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cgill-my.sharepoint.com/personal/eamon_duffy_mcgill_ca/Documents/Storage Lists/REMAIN/Updates/"/>
    </mc:Choice>
  </mc:AlternateContent>
  <xr:revisionPtr revIDLastSave="9" documentId="11_0E2FBC6026B3FC83136E1A5E4D2ADF24E13EBE3D" xr6:coauthVersionLast="47" xr6:coauthVersionMax="47" xr10:uidLastSave="{C33EF514-27D4-4D2C-8ED0-72F70CDB7F06}"/>
  <bookViews>
    <workbookView xWindow="-98" yWindow="-98" windowWidth="20715" windowHeight="13276" xr2:uid="{00000000-000D-0000-FFFF-FFFF00000000}"/>
  </bookViews>
  <sheets>
    <sheet name="Print Books" sheetId="1" r:id="rId1"/>
  </sheets>
  <definedNames>
    <definedName name="_xlnm._FilterDatabase" localSheetId="0" hidden="1">'Print Books'!$A$1:$BG$6776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6742" i="1" l="1"/>
  <c r="AV6742" i="1"/>
  <c r="AW6741" i="1"/>
  <c r="AV6741" i="1"/>
  <c r="AW69" i="1"/>
  <c r="AV69" i="1"/>
  <c r="AW61" i="1"/>
  <c r="AV61" i="1"/>
  <c r="AW48" i="1"/>
  <c r="AV48" i="1"/>
  <c r="AW47" i="1"/>
  <c r="AV47" i="1"/>
  <c r="AW46" i="1"/>
  <c r="AV46" i="1"/>
  <c r="AW44" i="1"/>
  <c r="AV44" i="1"/>
  <c r="AU44" i="1"/>
  <c r="AW43" i="1"/>
  <c r="AV43" i="1"/>
  <c r="AW42" i="1"/>
  <c r="AV42" i="1"/>
  <c r="AW40" i="1"/>
  <c r="AV40" i="1"/>
  <c r="AU40" i="1"/>
  <c r="AW39" i="1"/>
  <c r="AV39" i="1"/>
  <c r="AW38" i="1"/>
  <c r="AV38" i="1"/>
  <c r="AU38" i="1"/>
  <c r="AW37" i="1"/>
  <c r="AV37" i="1"/>
  <c r="AW36" i="1"/>
  <c r="AV36" i="1"/>
  <c r="AW35" i="1"/>
  <c r="AV35" i="1"/>
  <c r="AW33" i="1"/>
  <c r="AV33" i="1"/>
  <c r="AU33" i="1"/>
  <c r="AW32" i="1"/>
  <c r="AV32" i="1"/>
  <c r="AW31" i="1"/>
  <c r="AV31" i="1"/>
  <c r="AW30" i="1"/>
  <c r="AV30" i="1"/>
  <c r="AW29" i="1"/>
  <c r="AV29" i="1"/>
  <c r="AW28" i="1"/>
  <c r="AV28" i="1"/>
  <c r="AU28" i="1"/>
  <c r="AW27" i="1"/>
  <c r="AV27" i="1"/>
  <c r="AW26" i="1"/>
  <c r="AV26" i="1"/>
  <c r="AW25" i="1"/>
  <c r="AV25" i="1"/>
  <c r="AU25" i="1"/>
  <c r="AW23" i="1"/>
  <c r="AV23" i="1"/>
  <c r="AU23" i="1"/>
  <c r="AW22" i="1"/>
  <c r="AV22" i="1"/>
  <c r="AU22" i="1"/>
  <c r="AW20" i="1"/>
  <c r="AV20" i="1"/>
  <c r="AU20" i="1"/>
  <c r="AW19" i="1"/>
  <c r="AV19" i="1"/>
  <c r="AU19" i="1"/>
  <c r="AW18" i="1"/>
  <c r="AV18" i="1"/>
  <c r="AW17" i="1"/>
  <c r="AV17" i="1"/>
  <c r="AU17" i="1"/>
  <c r="AW16" i="1"/>
  <c r="AV16" i="1"/>
  <c r="AW15" i="1"/>
  <c r="AV15" i="1"/>
  <c r="AW14" i="1"/>
  <c r="AV14" i="1"/>
  <c r="AW13" i="1"/>
  <c r="AV13" i="1"/>
  <c r="AW12" i="1"/>
  <c r="AV12" i="1"/>
  <c r="AU12" i="1"/>
  <c r="AW11" i="1"/>
  <c r="AV11" i="1"/>
  <c r="AU11" i="1"/>
  <c r="AW10" i="1"/>
  <c r="AV10" i="1"/>
  <c r="AU10" i="1"/>
  <c r="AW6814" i="1"/>
  <c r="AV6814" i="1"/>
  <c r="AU6814" i="1"/>
  <c r="AW6813" i="1"/>
  <c r="AV6813" i="1"/>
  <c r="AW6812" i="1"/>
  <c r="AV6812" i="1"/>
  <c r="AU6812" i="1"/>
  <c r="AW6811" i="1"/>
  <c r="AV6811" i="1"/>
  <c r="AU6811" i="1"/>
  <c r="AW6810" i="1"/>
  <c r="AV6810" i="1"/>
  <c r="AW6809" i="1"/>
  <c r="AV6809" i="1"/>
  <c r="AW6808" i="1"/>
  <c r="AV6808" i="1"/>
  <c r="AU6808" i="1"/>
  <c r="AW6807" i="1"/>
  <c r="AV6807" i="1"/>
  <c r="AU6807" i="1"/>
  <c r="AW6806" i="1"/>
  <c r="AV6806" i="1"/>
  <c r="AW6805" i="1"/>
  <c r="AV6805" i="1"/>
  <c r="AU6805" i="1"/>
  <c r="AW6804" i="1"/>
  <c r="AV6804" i="1"/>
  <c r="AW6803" i="1"/>
  <c r="AV6803" i="1"/>
  <c r="AW6802" i="1"/>
  <c r="AV6802" i="1"/>
  <c r="AW6801" i="1"/>
  <c r="AV6801" i="1"/>
  <c r="AW6800" i="1"/>
  <c r="AV6800" i="1"/>
  <c r="AW6799" i="1"/>
  <c r="AV6799" i="1"/>
  <c r="AW6798" i="1"/>
  <c r="AV6798" i="1"/>
  <c r="AW6797" i="1"/>
  <c r="AV6797" i="1"/>
  <c r="AW6796" i="1"/>
  <c r="AV6796" i="1"/>
  <c r="AW6795" i="1"/>
  <c r="AV6795" i="1"/>
  <c r="AW6794" i="1"/>
  <c r="AV6794" i="1"/>
  <c r="AW6793" i="1"/>
  <c r="AV6793" i="1"/>
  <c r="AW6792" i="1"/>
  <c r="AV6792" i="1"/>
  <c r="AW6791" i="1"/>
  <c r="AV6791" i="1"/>
  <c r="AW6790" i="1"/>
  <c r="AV6790" i="1"/>
  <c r="AU6790" i="1"/>
  <c r="AW6789" i="1"/>
  <c r="AV6789" i="1"/>
  <c r="AU6789" i="1"/>
  <c r="AW6788" i="1"/>
  <c r="AV6788" i="1"/>
  <c r="AW6787" i="1"/>
  <c r="AV6787" i="1"/>
  <c r="AU6787" i="1"/>
  <c r="AW6786" i="1"/>
  <c r="AV6786" i="1"/>
  <c r="AU6786" i="1"/>
  <c r="AW6785" i="1"/>
  <c r="AV6785" i="1"/>
  <c r="AU6785" i="1"/>
  <c r="AW6784" i="1"/>
  <c r="AV6784" i="1"/>
  <c r="AW6783" i="1"/>
  <c r="AV6783" i="1"/>
  <c r="AU6783" i="1"/>
  <c r="AW6782" i="1"/>
  <c r="AV6782" i="1"/>
  <c r="AW6781" i="1"/>
  <c r="AV6781" i="1"/>
  <c r="AW6780" i="1"/>
  <c r="AV6780" i="1"/>
  <c r="AW6779" i="1"/>
  <c r="AV6779" i="1"/>
  <c r="AW6778" i="1"/>
  <c r="AV6778" i="1"/>
  <c r="AW6777" i="1"/>
  <c r="AV6777" i="1"/>
  <c r="AW6776" i="1"/>
  <c r="AV6776" i="1"/>
  <c r="AW6775" i="1"/>
  <c r="AV6775" i="1"/>
  <c r="AW6774" i="1"/>
  <c r="AV6774" i="1"/>
  <c r="AU6774" i="1"/>
  <c r="AW6773" i="1"/>
  <c r="AV6773" i="1"/>
  <c r="AU6773" i="1"/>
  <c r="AW6772" i="1"/>
  <c r="AV6772" i="1"/>
  <c r="AU6772" i="1"/>
  <c r="AW6771" i="1"/>
  <c r="AV6771" i="1"/>
  <c r="AU6771" i="1"/>
  <c r="AW6770" i="1"/>
  <c r="AV6770" i="1"/>
  <c r="AU6770" i="1"/>
  <c r="AW6769" i="1"/>
  <c r="AV6769" i="1"/>
  <c r="AU6769" i="1"/>
  <c r="AW6768" i="1"/>
  <c r="AV6768" i="1"/>
  <c r="AU6768" i="1"/>
  <c r="AW6767" i="1"/>
  <c r="AV6767" i="1"/>
  <c r="AU6767" i="1"/>
  <c r="AW6766" i="1"/>
  <c r="AV6766" i="1"/>
  <c r="AW6765" i="1"/>
  <c r="AV6765" i="1"/>
  <c r="AU6765" i="1"/>
  <c r="AW6764" i="1"/>
  <c r="AV6764" i="1"/>
  <c r="AW6763" i="1"/>
  <c r="AV6763" i="1"/>
  <c r="AU6763" i="1"/>
  <c r="AW6762" i="1"/>
  <c r="AV6762" i="1"/>
  <c r="AW6761" i="1"/>
  <c r="AV6761" i="1"/>
  <c r="AW6760" i="1"/>
  <c r="AV6760" i="1"/>
  <c r="AU6760" i="1"/>
  <c r="AW6759" i="1"/>
  <c r="AV6759" i="1"/>
  <c r="AW6758" i="1"/>
  <c r="AV6758" i="1"/>
  <c r="AU6758" i="1"/>
  <c r="AW6757" i="1"/>
  <c r="AV6757" i="1"/>
  <c r="AW6756" i="1"/>
  <c r="AV6756" i="1"/>
  <c r="AU6756" i="1"/>
  <c r="AW6755" i="1"/>
  <c r="AV6755" i="1"/>
  <c r="AU6755" i="1"/>
  <c r="AW6754" i="1"/>
  <c r="AV6754" i="1"/>
  <c r="AU6754" i="1"/>
  <c r="AW6753" i="1"/>
  <c r="AV6753" i="1"/>
  <c r="AU6753" i="1"/>
  <c r="AW6752" i="1"/>
  <c r="AV6752" i="1"/>
  <c r="AU6752" i="1"/>
  <c r="AW6751" i="1"/>
  <c r="AV6751" i="1"/>
  <c r="AU6751" i="1"/>
  <c r="AW6750" i="1"/>
  <c r="AV6750" i="1"/>
  <c r="AU6750" i="1"/>
  <c r="AW6749" i="1"/>
  <c r="AV6749" i="1"/>
  <c r="AU6749" i="1"/>
  <c r="AW6748" i="1"/>
  <c r="AV6748" i="1"/>
  <c r="AU6748" i="1"/>
  <c r="AW6747" i="1"/>
  <c r="AV6747" i="1"/>
  <c r="AU6747" i="1"/>
  <c r="AW6746" i="1"/>
  <c r="AV6746" i="1"/>
  <c r="AU6746" i="1"/>
  <c r="AW6745" i="1"/>
  <c r="AV6745" i="1"/>
  <c r="AU6745" i="1"/>
  <c r="AW6744" i="1"/>
  <c r="AV6744" i="1"/>
  <c r="AU6744" i="1"/>
  <c r="AW6743" i="1"/>
  <c r="AV6743" i="1"/>
  <c r="AW6740" i="1"/>
  <c r="AV6740" i="1"/>
  <c r="AU6740" i="1"/>
  <c r="AW6739" i="1"/>
  <c r="AV6739" i="1"/>
  <c r="AU6739" i="1"/>
  <c r="AW6738" i="1"/>
  <c r="AV6738" i="1"/>
  <c r="AU6738" i="1"/>
  <c r="AW6737" i="1"/>
  <c r="AV6737" i="1"/>
  <c r="AU6737" i="1"/>
  <c r="AW6736" i="1"/>
  <c r="AV6736" i="1"/>
  <c r="AW6735" i="1"/>
  <c r="AV6735" i="1"/>
  <c r="AW6734" i="1"/>
  <c r="AV6734" i="1"/>
  <c r="AU6734" i="1"/>
  <c r="AW6733" i="1"/>
  <c r="AV6733" i="1"/>
  <c r="AW6732" i="1"/>
  <c r="AV6732" i="1"/>
  <c r="AW6731" i="1"/>
  <c r="AV6731" i="1"/>
  <c r="AW6730" i="1"/>
  <c r="AV6730" i="1"/>
  <c r="AU6730" i="1"/>
  <c r="AW6729" i="1"/>
  <c r="AV6729" i="1"/>
  <c r="AU6729" i="1"/>
  <c r="AW6728" i="1"/>
  <c r="AV6728" i="1"/>
  <c r="AU6728" i="1"/>
  <c r="AW6727" i="1"/>
  <c r="AV6727" i="1"/>
  <c r="AU6727" i="1"/>
  <c r="AW6726" i="1"/>
  <c r="AV6726" i="1"/>
  <c r="AU6726" i="1"/>
  <c r="AW6725" i="1"/>
  <c r="AV6725" i="1"/>
  <c r="AU6725" i="1"/>
  <c r="AW6724" i="1"/>
  <c r="AV6724" i="1"/>
  <c r="AW6723" i="1"/>
  <c r="AV6723" i="1"/>
  <c r="AU6723" i="1"/>
  <c r="AW6722" i="1"/>
  <c r="AV6722" i="1"/>
  <c r="AW6721" i="1"/>
  <c r="AV6721" i="1"/>
  <c r="AW6720" i="1"/>
  <c r="AV6720" i="1"/>
  <c r="AU6720" i="1"/>
  <c r="AW6719" i="1"/>
  <c r="AV6719" i="1"/>
  <c r="AU6719" i="1"/>
  <c r="AW6718" i="1"/>
  <c r="AV6718" i="1"/>
  <c r="AU6718" i="1"/>
  <c r="AW6717" i="1"/>
  <c r="AV6717" i="1"/>
  <c r="AU6717" i="1"/>
  <c r="AW6716" i="1"/>
  <c r="AV6716" i="1"/>
  <c r="AU6716" i="1"/>
  <c r="AW6715" i="1"/>
  <c r="AV6715" i="1"/>
  <c r="AU6715" i="1"/>
  <c r="AW6714" i="1"/>
  <c r="AV6714" i="1"/>
  <c r="AU6714" i="1"/>
  <c r="AW6713" i="1"/>
  <c r="AV6713" i="1"/>
  <c r="AU6713" i="1"/>
  <c r="AW6712" i="1"/>
  <c r="AV6712" i="1"/>
  <c r="AU6712" i="1"/>
  <c r="AW6711" i="1"/>
  <c r="AV6711" i="1"/>
  <c r="AW6710" i="1"/>
  <c r="AV6710" i="1"/>
  <c r="AU6710" i="1"/>
  <c r="AW6709" i="1"/>
  <c r="AV6709" i="1"/>
  <c r="AU6709" i="1"/>
  <c r="AW6708" i="1"/>
  <c r="AV6708" i="1"/>
  <c r="AU6708" i="1"/>
  <c r="AW6707" i="1"/>
  <c r="AV6707" i="1"/>
  <c r="AW6706" i="1"/>
  <c r="AV6706" i="1"/>
  <c r="AW6705" i="1"/>
  <c r="AV6705" i="1"/>
  <c r="AW6704" i="1"/>
  <c r="AV6704" i="1"/>
  <c r="AW6703" i="1"/>
  <c r="AV6703" i="1"/>
  <c r="AW6702" i="1"/>
  <c r="AV6702" i="1"/>
  <c r="AU6702" i="1"/>
  <c r="AW6701" i="1"/>
  <c r="AV6701" i="1"/>
  <c r="AW6700" i="1"/>
  <c r="AV6700" i="1"/>
  <c r="AU6700" i="1"/>
  <c r="AW6699" i="1"/>
  <c r="AV6699" i="1"/>
  <c r="AU6699" i="1"/>
  <c r="AW6698" i="1"/>
  <c r="AV6698" i="1"/>
  <c r="AU6698" i="1"/>
  <c r="AW6697" i="1"/>
  <c r="AV6697" i="1"/>
  <c r="AU6697" i="1"/>
  <c r="AW6696" i="1"/>
  <c r="AV6696" i="1"/>
  <c r="AW6695" i="1"/>
  <c r="AV6695" i="1"/>
  <c r="AW6694" i="1"/>
  <c r="AV6694" i="1"/>
  <c r="AU6694" i="1"/>
  <c r="AW6693" i="1"/>
  <c r="AV6693" i="1"/>
  <c r="AW6692" i="1"/>
  <c r="AV6692" i="1"/>
  <c r="AU6692" i="1"/>
  <c r="AW6691" i="1"/>
  <c r="AV6691" i="1"/>
  <c r="AU6691" i="1"/>
  <c r="AW6690" i="1"/>
  <c r="AV6690" i="1"/>
  <c r="AW6689" i="1"/>
  <c r="AV6689" i="1"/>
  <c r="AW6688" i="1"/>
  <c r="AV6688" i="1"/>
  <c r="AU6688" i="1"/>
  <c r="AW6687" i="1"/>
  <c r="AV6687" i="1"/>
  <c r="AW6686" i="1"/>
  <c r="AV6686" i="1"/>
  <c r="AW6685" i="1"/>
  <c r="AV6685" i="1"/>
  <c r="AW6684" i="1"/>
  <c r="AV6684" i="1"/>
  <c r="AW6683" i="1"/>
  <c r="AV6683" i="1"/>
  <c r="AW6682" i="1"/>
  <c r="AV6682" i="1"/>
  <c r="AW6681" i="1"/>
  <c r="AV6681" i="1"/>
  <c r="AW6680" i="1"/>
  <c r="AV6680" i="1"/>
  <c r="AU6680" i="1"/>
  <c r="AW6679" i="1"/>
  <c r="AV6679" i="1"/>
  <c r="AU6679" i="1"/>
  <c r="AW6678" i="1"/>
  <c r="AV6678" i="1"/>
  <c r="AU6678" i="1"/>
  <c r="AW6677" i="1"/>
  <c r="AV6677" i="1"/>
  <c r="AU6677" i="1"/>
  <c r="AW6676" i="1"/>
  <c r="AV6676" i="1"/>
  <c r="AU6676" i="1"/>
  <c r="AW6675" i="1"/>
  <c r="AV6675" i="1"/>
  <c r="AW6674" i="1"/>
  <c r="AV6674" i="1"/>
  <c r="AU6674" i="1"/>
  <c r="AW6673" i="1"/>
  <c r="AV6673" i="1"/>
  <c r="AW6672" i="1"/>
  <c r="AV6672" i="1"/>
  <c r="AW6671" i="1"/>
  <c r="AV6671" i="1"/>
  <c r="AW6670" i="1"/>
  <c r="AV6670" i="1"/>
  <c r="AW6669" i="1"/>
  <c r="AV6669" i="1"/>
  <c r="AU6669" i="1"/>
  <c r="AW6668" i="1"/>
  <c r="AV6668" i="1"/>
  <c r="AW6667" i="1"/>
  <c r="AV6667" i="1"/>
  <c r="AW6666" i="1"/>
  <c r="AV6666" i="1"/>
  <c r="AW6665" i="1"/>
  <c r="AV6665" i="1"/>
  <c r="AW6664" i="1"/>
  <c r="AV6664" i="1"/>
  <c r="AW6663" i="1"/>
  <c r="AV6663" i="1"/>
  <c r="AW6662" i="1"/>
  <c r="AV6662" i="1"/>
  <c r="AW6661" i="1"/>
  <c r="AV6661" i="1"/>
  <c r="AW6660" i="1"/>
  <c r="AV6660" i="1"/>
  <c r="AU6660" i="1"/>
  <c r="AW6659" i="1"/>
  <c r="AV6659" i="1"/>
  <c r="AU6659" i="1"/>
  <c r="AW6658" i="1"/>
  <c r="AV6658" i="1"/>
  <c r="AW6657" i="1"/>
  <c r="AV6657" i="1"/>
  <c r="AW6656" i="1"/>
  <c r="AV6656" i="1"/>
  <c r="AW6655" i="1"/>
  <c r="AV6655" i="1"/>
  <c r="AW6654" i="1"/>
  <c r="AV6654" i="1"/>
  <c r="AW6653" i="1"/>
  <c r="AV6653" i="1"/>
  <c r="AW6652" i="1"/>
  <c r="AV6652" i="1"/>
  <c r="AU6652" i="1"/>
  <c r="AW6651" i="1"/>
  <c r="AV6651" i="1"/>
  <c r="AU6651" i="1"/>
  <c r="AW6650" i="1"/>
  <c r="AV6650" i="1"/>
  <c r="AW6649" i="1"/>
  <c r="AV6649" i="1"/>
  <c r="AW6648" i="1"/>
  <c r="AV6648" i="1"/>
  <c r="AW6647" i="1"/>
  <c r="AV6647" i="1"/>
  <c r="AU6647" i="1"/>
  <c r="AW6646" i="1"/>
  <c r="AV6646" i="1"/>
  <c r="AU6646" i="1"/>
  <c r="AW6645" i="1"/>
  <c r="AV6645" i="1"/>
  <c r="AW6644" i="1"/>
  <c r="AV6644" i="1"/>
  <c r="AU6644" i="1"/>
  <c r="AW6643" i="1"/>
  <c r="AV6643" i="1"/>
  <c r="AU6643" i="1"/>
  <c r="AW6642" i="1"/>
  <c r="AV6642" i="1"/>
  <c r="AW6641" i="1"/>
  <c r="AV6641" i="1"/>
  <c r="AW6640" i="1"/>
  <c r="AV6640" i="1"/>
  <c r="AW6639" i="1"/>
  <c r="AV6639" i="1"/>
  <c r="AW6638" i="1"/>
  <c r="AV6638" i="1"/>
  <c r="AW6637" i="1"/>
  <c r="AV6637" i="1"/>
  <c r="AW6636" i="1"/>
  <c r="AV6636" i="1"/>
  <c r="AW6635" i="1"/>
  <c r="AV6635" i="1"/>
  <c r="AW6634" i="1"/>
  <c r="AV6634" i="1"/>
  <c r="AU6634" i="1"/>
  <c r="AW6633" i="1"/>
  <c r="AV6633" i="1"/>
  <c r="AW6632" i="1"/>
  <c r="AV6632" i="1"/>
  <c r="AW6631" i="1"/>
  <c r="AV6631" i="1"/>
  <c r="AW6630" i="1"/>
  <c r="AV6630" i="1"/>
  <c r="AW6629" i="1"/>
  <c r="AV6629" i="1"/>
  <c r="AU6629" i="1"/>
  <c r="AW6628" i="1"/>
  <c r="AV6628" i="1"/>
  <c r="AW6627" i="1"/>
  <c r="AV6627" i="1"/>
  <c r="AU6627" i="1"/>
  <c r="AW6626" i="1"/>
  <c r="AV6626" i="1"/>
  <c r="AU6626" i="1"/>
  <c r="AW6625" i="1"/>
  <c r="AV6625" i="1"/>
  <c r="AU6625" i="1"/>
  <c r="AW6624" i="1"/>
  <c r="AV6624" i="1"/>
  <c r="AW6623" i="1"/>
  <c r="AV6623" i="1"/>
  <c r="AW6622" i="1"/>
  <c r="AV6622" i="1"/>
  <c r="AU6622" i="1"/>
  <c r="AW6621" i="1"/>
  <c r="AV6621" i="1"/>
  <c r="AW6620" i="1"/>
  <c r="AV6620" i="1"/>
  <c r="AW6619" i="1"/>
  <c r="AV6619" i="1"/>
  <c r="AW6618" i="1"/>
  <c r="AV6618" i="1"/>
  <c r="AW6617" i="1"/>
  <c r="AV6617" i="1"/>
  <c r="AW6616" i="1"/>
  <c r="AV6616" i="1"/>
  <c r="AU6616" i="1"/>
  <c r="AW6615" i="1"/>
  <c r="AV6615" i="1"/>
  <c r="AW6614" i="1"/>
  <c r="AV6614" i="1"/>
  <c r="AW6613" i="1"/>
  <c r="AV6613" i="1"/>
  <c r="AW6612" i="1"/>
  <c r="AV6612" i="1"/>
  <c r="AW6611" i="1"/>
  <c r="AV6611" i="1"/>
  <c r="AW6610" i="1"/>
  <c r="AV6610" i="1"/>
  <c r="AW6609" i="1"/>
  <c r="AV6609" i="1"/>
  <c r="AW6608" i="1"/>
  <c r="AV6608" i="1"/>
  <c r="AW6607" i="1"/>
  <c r="AV6607" i="1"/>
  <c r="AW6606" i="1"/>
  <c r="AV6606" i="1"/>
  <c r="AW6605" i="1"/>
  <c r="AV6605" i="1"/>
  <c r="AW6604" i="1"/>
  <c r="AV6604" i="1"/>
  <c r="AW6603" i="1"/>
  <c r="AV6603" i="1"/>
  <c r="AW6602" i="1"/>
  <c r="AV6602" i="1"/>
  <c r="AW6601" i="1"/>
  <c r="AV6601" i="1"/>
  <c r="AU6601" i="1"/>
  <c r="AW6600" i="1"/>
  <c r="AV6600" i="1"/>
  <c r="AU6600" i="1"/>
  <c r="AW6599" i="1"/>
  <c r="AV6599" i="1"/>
  <c r="AU6599" i="1"/>
  <c r="AW6598" i="1"/>
  <c r="AV6598" i="1"/>
  <c r="AU6598" i="1"/>
  <c r="AW6597" i="1"/>
  <c r="AV6597" i="1"/>
  <c r="AW6596" i="1"/>
  <c r="AV6596" i="1"/>
  <c r="AW6595" i="1"/>
  <c r="AV6595" i="1"/>
  <c r="AW6594" i="1"/>
  <c r="AV6594" i="1"/>
  <c r="AW6593" i="1"/>
  <c r="AV6593" i="1"/>
  <c r="AW6592" i="1"/>
  <c r="AV6592" i="1"/>
  <c r="AW6591" i="1"/>
  <c r="AV6591" i="1"/>
  <c r="AU6591" i="1"/>
  <c r="AW6590" i="1"/>
  <c r="AV6590" i="1"/>
  <c r="AU6590" i="1"/>
  <c r="AW6589" i="1"/>
  <c r="AV6589" i="1"/>
  <c r="AW6588" i="1"/>
  <c r="AV6588" i="1"/>
  <c r="AW6587" i="1"/>
  <c r="AV6587" i="1"/>
  <c r="AW6586" i="1"/>
  <c r="AV6586" i="1"/>
  <c r="AW6585" i="1"/>
  <c r="AV6585" i="1"/>
  <c r="AW6584" i="1"/>
  <c r="AV6584" i="1"/>
  <c r="AW6583" i="1"/>
  <c r="AV6583" i="1"/>
  <c r="AW6582" i="1"/>
  <c r="AV6582" i="1"/>
  <c r="AW6581" i="1"/>
  <c r="AV6581" i="1"/>
  <c r="AW6580" i="1"/>
  <c r="AV6580" i="1"/>
  <c r="AW6579" i="1"/>
  <c r="AV6579" i="1"/>
  <c r="AW6578" i="1"/>
  <c r="AV6578" i="1"/>
  <c r="AW6577" i="1"/>
  <c r="AV6577" i="1"/>
  <c r="AW6576" i="1"/>
  <c r="AV6576" i="1"/>
  <c r="AW6575" i="1"/>
  <c r="AV6575" i="1"/>
  <c r="AW6574" i="1"/>
  <c r="AV6574" i="1"/>
  <c r="AW6573" i="1"/>
  <c r="AV6573" i="1"/>
  <c r="AW6572" i="1"/>
  <c r="AV6572" i="1"/>
  <c r="AW6571" i="1"/>
  <c r="AV6571" i="1"/>
  <c r="AW6570" i="1"/>
  <c r="AV6570" i="1"/>
  <c r="AW6569" i="1"/>
  <c r="AV6569" i="1"/>
  <c r="AW6568" i="1"/>
  <c r="AV6568" i="1"/>
  <c r="AW6567" i="1"/>
  <c r="AV6567" i="1"/>
  <c r="AW6566" i="1"/>
  <c r="AV6566" i="1"/>
  <c r="AW6565" i="1"/>
  <c r="AV6565" i="1"/>
  <c r="AW6564" i="1"/>
  <c r="AV6564" i="1"/>
  <c r="AW6563" i="1"/>
  <c r="AV6563" i="1"/>
  <c r="AW6562" i="1"/>
  <c r="AV6562" i="1"/>
  <c r="AW6561" i="1"/>
  <c r="AV6561" i="1"/>
  <c r="AW6560" i="1"/>
  <c r="AV6560" i="1"/>
  <c r="AU6560" i="1"/>
  <c r="AW6559" i="1"/>
  <c r="AV6559" i="1"/>
  <c r="AW6558" i="1"/>
  <c r="AV6558" i="1"/>
  <c r="AW6557" i="1"/>
  <c r="AV6557" i="1"/>
  <c r="AW6556" i="1"/>
  <c r="AV6556" i="1"/>
  <c r="AW6555" i="1"/>
  <c r="AV6555" i="1"/>
  <c r="AW6554" i="1"/>
  <c r="AV6554" i="1"/>
  <c r="AW6553" i="1"/>
  <c r="AV6553" i="1"/>
  <c r="AW6552" i="1"/>
  <c r="AV6552" i="1"/>
  <c r="AW6551" i="1"/>
  <c r="AV6551" i="1"/>
  <c r="AU6551" i="1"/>
  <c r="AW6550" i="1"/>
  <c r="AV6550" i="1"/>
  <c r="AW6549" i="1"/>
  <c r="AV6549" i="1"/>
  <c r="AW6548" i="1"/>
  <c r="AV6548" i="1"/>
  <c r="AW6547" i="1"/>
  <c r="AV6547" i="1"/>
  <c r="AW6546" i="1"/>
  <c r="AV6546" i="1"/>
  <c r="AU6546" i="1"/>
  <c r="AW6545" i="1"/>
  <c r="AV6545" i="1"/>
  <c r="AU6545" i="1"/>
  <c r="AW6544" i="1"/>
  <c r="AV6544" i="1"/>
  <c r="AW6543" i="1"/>
  <c r="AV6543" i="1"/>
  <c r="AW6542" i="1"/>
  <c r="AV6542" i="1"/>
  <c r="AW6541" i="1"/>
  <c r="AV6541" i="1"/>
  <c r="AW6540" i="1"/>
  <c r="AV6540" i="1"/>
  <c r="AU6540" i="1"/>
  <c r="AW6539" i="1"/>
  <c r="AV6539" i="1"/>
  <c r="AW6538" i="1"/>
  <c r="AV6538" i="1"/>
  <c r="AW6537" i="1"/>
  <c r="AV6537" i="1"/>
  <c r="AW6536" i="1"/>
  <c r="AV6536" i="1"/>
  <c r="AW6535" i="1"/>
  <c r="AV6535" i="1"/>
  <c r="AW6534" i="1"/>
  <c r="AV6534" i="1"/>
  <c r="AW6533" i="1"/>
  <c r="AV6533" i="1"/>
  <c r="AW6532" i="1"/>
  <c r="AV6532" i="1"/>
  <c r="AW6531" i="1"/>
  <c r="AV6531" i="1"/>
  <c r="AU6531" i="1"/>
  <c r="AW6530" i="1"/>
  <c r="AV6530" i="1"/>
  <c r="AU6530" i="1"/>
  <c r="AW6529" i="1"/>
  <c r="AV6529" i="1"/>
  <c r="AU6529" i="1"/>
  <c r="AW6528" i="1"/>
  <c r="AV6528" i="1"/>
  <c r="AU6528" i="1"/>
  <c r="AW6527" i="1"/>
  <c r="AV6527" i="1"/>
  <c r="AU6527" i="1"/>
  <c r="AW6526" i="1"/>
  <c r="AV6526" i="1"/>
  <c r="AU6526" i="1"/>
  <c r="AW6525" i="1"/>
  <c r="AV6525" i="1"/>
  <c r="AU6525" i="1"/>
  <c r="AW6524" i="1"/>
  <c r="AV6524" i="1"/>
  <c r="AW6523" i="1"/>
  <c r="AV6523" i="1"/>
  <c r="AW6522" i="1"/>
  <c r="AV6522" i="1"/>
  <c r="AW6521" i="1"/>
  <c r="AV6521" i="1"/>
  <c r="AW6520" i="1"/>
  <c r="AV6520" i="1"/>
  <c r="AU6520" i="1"/>
  <c r="AW6519" i="1"/>
  <c r="AV6519" i="1"/>
  <c r="AW6518" i="1"/>
  <c r="AV6518" i="1"/>
  <c r="AW6517" i="1"/>
  <c r="AV6517" i="1"/>
  <c r="AW6516" i="1"/>
  <c r="AV6516" i="1"/>
  <c r="AW6515" i="1"/>
  <c r="AV6515" i="1"/>
  <c r="AW6514" i="1"/>
  <c r="AV6514" i="1"/>
  <c r="AW6513" i="1"/>
  <c r="AV6513" i="1"/>
  <c r="AW6512" i="1"/>
  <c r="AV6512" i="1"/>
  <c r="AW6511" i="1"/>
  <c r="AV6511" i="1"/>
  <c r="AW6510" i="1"/>
  <c r="AV6510" i="1"/>
  <c r="AW6509" i="1"/>
  <c r="AV6509" i="1"/>
  <c r="AW6508" i="1"/>
  <c r="AV6508" i="1"/>
  <c r="AW6507" i="1"/>
  <c r="AV6507" i="1"/>
  <c r="AW6506" i="1"/>
  <c r="AV6506" i="1"/>
  <c r="AW6505" i="1"/>
  <c r="AV6505" i="1"/>
  <c r="AW6504" i="1"/>
  <c r="AV6504" i="1"/>
  <c r="AW6503" i="1"/>
  <c r="AV6503" i="1"/>
  <c r="AW6502" i="1"/>
  <c r="AV6502" i="1"/>
  <c r="AW6501" i="1"/>
  <c r="AV6501" i="1"/>
  <c r="AW6500" i="1"/>
  <c r="AV6500" i="1"/>
  <c r="AW6499" i="1"/>
  <c r="AV6499" i="1"/>
  <c r="AW6498" i="1"/>
  <c r="AV6498" i="1"/>
  <c r="AW6497" i="1"/>
  <c r="AV6497" i="1"/>
  <c r="AW6496" i="1"/>
  <c r="AV6496" i="1"/>
  <c r="AW6495" i="1"/>
  <c r="AV6495" i="1"/>
  <c r="AU6495" i="1"/>
  <c r="AW6494" i="1"/>
  <c r="AV6494" i="1"/>
  <c r="AU6494" i="1"/>
  <c r="AW6493" i="1"/>
  <c r="AV6493" i="1"/>
  <c r="AW6492" i="1"/>
  <c r="AV6492" i="1"/>
  <c r="AW6491" i="1"/>
  <c r="AV6491" i="1"/>
  <c r="AW6490" i="1"/>
  <c r="AV6490" i="1"/>
  <c r="AW6489" i="1"/>
  <c r="AV6489" i="1"/>
  <c r="AW6488" i="1"/>
  <c r="AV6488" i="1"/>
  <c r="AW6487" i="1"/>
  <c r="AV6487" i="1"/>
  <c r="AW6486" i="1"/>
  <c r="AV6486" i="1"/>
  <c r="AW6485" i="1"/>
  <c r="AV6485" i="1"/>
  <c r="AU6485" i="1"/>
  <c r="AW6484" i="1"/>
  <c r="AV6484" i="1"/>
  <c r="AW6483" i="1"/>
  <c r="AV6483" i="1"/>
  <c r="AW6482" i="1"/>
  <c r="AV6482" i="1"/>
  <c r="AU6482" i="1"/>
  <c r="AW6481" i="1"/>
  <c r="AV6481" i="1"/>
  <c r="AW6480" i="1"/>
  <c r="AV6480" i="1"/>
  <c r="AW6479" i="1"/>
  <c r="AV6479" i="1"/>
  <c r="AW6478" i="1"/>
  <c r="AV6478" i="1"/>
  <c r="AW6477" i="1"/>
  <c r="AV6477" i="1"/>
  <c r="AW6476" i="1"/>
  <c r="AV6476" i="1"/>
  <c r="AW6475" i="1"/>
  <c r="AV6475" i="1"/>
  <c r="AW6474" i="1"/>
  <c r="AV6474" i="1"/>
  <c r="AU6474" i="1"/>
  <c r="AW6473" i="1"/>
  <c r="AV6473" i="1"/>
  <c r="AU6473" i="1"/>
  <c r="AW6472" i="1"/>
  <c r="AV6472" i="1"/>
  <c r="AU6472" i="1"/>
  <c r="AW6471" i="1"/>
  <c r="AV6471" i="1"/>
  <c r="AW6470" i="1"/>
  <c r="AV6470" i="1"/>
  <c r="AW6469" i="1"/>
  <c r="AV6469" i="1"/>
  <c r="AW6468" i="1"/>
  <c r="AV6468" i="1"/>
  <c r="AW6467" i="1"/>
  <c r="AV6467" i="1"/>
  <c r="AW6466" i="1"/>
  <c r="AV6466" i="1"/>
  <c r="AU6466" i="1"/>
  <c r="AW6465" i="1"/>
  <c r="AV6465" i="1"/>
  <c r="AW6464" i="1"/>
  <c r="AV6464" i="1"/>
  <c r="AW6463" i="1"/>
  <c r="AV6463" i="1"/>
  <c r="AW6462" i="1"/>
  <c r="AV6462" i="1"/>
  <c r="AW6461" i="1"/>
  <c r="AV6461" i="1"/>
  <c r="AU6461" i="1"/>
  <c r="AW6460" i="1"/>
  <c r="AV6460" i="1"/>
  <c r="AU6460" i="1"/>
  <c r="AW6459" i="1"/>
  <c r="AV6459" i="1"/>
  <c r="AW6458" i="1"/>
  <c r="AV6458" i="1"/>
  <c r="AW6457" i="1"/>
  <c r="AV6457" i="1"/>
  <c r="AW6456" i="1"/>
  <c r="AV6456" i="1"/>
  <c r="AW6455" i="1"/>
  <c r="AV6455" i="1"/>
  <c r="AW6454" i="1"/>
  <c r="AV6454" i="1"/>
  <c r="AW6453" i="1"/>
  <c r="AV6453" i="1"/>
  <c r="AW6452" i="1"/>
  <c r="AV6452" i="1"/>
  <c r="AW6451" i="1"/>
  <c r="AV6451" i="1"/>
  <c r="AW6450" i="1"/>
  <c r="AV6450" i="1"/>
  <c r="AW6449" i="1"/>
  <c r="AV6449" i="1"/>
  <c r="AW6448" i="1"/>
  <c r="AV6448" i="1"/>
  <c r="AW6447" i="1"/>
  <c r="AV6447" i="1"/>
  <c r="AW6446" i="1"/>
  <c r="AV6446" i="1"/>
  <c r="AW6445" i="1"/>
  <c r="AV6445" i="1"/>
  <c r="AU6445" i="1"/>
  <c r="AW6444" i="1"/>
  <c r="AV6444" i="1"/>
  <c r="AW6443" i="1"/>
  <c r="AV6443" i="1"/>
  <c r="AW6442" i="1"/>
  <c r="AV6442" i="1"/>
  <c r="AW6441" i="1"/>
  <c r="AV6441" i="1"/>
  <c r="AW6440" i="1"/>
  <c r="AV6440" i="1"/>
  <c r="AU6440" i="1"/>
  <c r="AW6439" i="1"/>
  <c r="AV6439" i="1"/>
  <c r="AW6438" i="1"/>
  <c r="AV6438" i="1"/>
  <c r="AU6438" i="1"/>
  <c r="AW6437" i="1"/>
  <c r="AV6437" i="1"/>
  <c r="AW6436" i="1"/>
  <c r="AV6436" i="1"/>
  <c r="AW6435" i="1"/>
  <c r="AV6435" i="1"/>
  <c r="AW6434" i="1"/>
  <c r="AV6434" i="1"/>
  <c r="AW6433" i="1"/>
  <c r="AV6433" i="1"/>
  <c r="AW6432" i="1"/>
  <c r="AV6432" i="1"/>
  <c r="AW6431" i="1"/>
  <c r="AV6431" i="1"/>
  <c r="AW6430" i="1"/>
  <c r="AV6430" i="1"/>
  <c r="AU6430" i="1"/>
  <c r="AW6429" i="1"/>
  <c r="AV6429" i="1"/>
  <c r="AW6428" i="1"/>
  <c r="AV6428" i="1"/>
  <c r="AU6428" i="1"/>
  <c r="AW6427" i="1"/>
  <c r="AV6427" i="1"/>
  <c r="AU6427" i="1"/>
  <c r="AW6426" i="1"/>
  <c r="AV6426" i="1"/>
  <c r="AW6425" i="1"/>
  <c r="AV6425" i="1"/>
  <c r="AW6424" i="1"/>
  <c r="AV6424" i="1"/>
  <c r="AU6424" i="1"/>
  <c r="AW6423" i="1"/>
  <c r="AV6423" i="1"/>
  <c r="AW6422" i="1"/>
  <c r="AV6422" i="1"/>
  <c r="AW6421" i="1"/>
  <c r="AV6421" i="1"/>
  <c r="AU6421" i="1"/>
  <c r="AW6420" i="1"/>
  <c r="AV6420" i="1"/>
  <c r="AW6419" i="1"/>
  <c r="AV6419" i="1"/>
  <c r="AW6418" i="1"/>
  <c r="AV6418" i="1"/>
  <c r="AW6417" i="1"/>
  <c r="AV6417" i="1"/>
  <c r="AW6416" i="1"/>
  <c r="AV6416" i="1"/>
  <c r="AW6415" i="1"/>
  <c r="AV6415" i="1"/>
  <c r="AW6414" i="1"/>
  <c r="AV6414" i="1"/>
  <c r="AW6413" i="1"/>
  <c r="AV6413" i="1"/>
  <c r="AW6412" i="1"/>
  <c r="AV6412" i="1"/>
  <c r="AW6411" i="1"/>
  <c r="AV6411" i="1"/>
  <c r="AW6410" i="1"/>
  <c r="AV6410" i="1"/>
  <c r="AW6409" i="1"/>
  <c r="AV6409" i="1"/>
  <c r="AU6409" i="1"/>
  <c r="AW6408" i="1"/>
  <c r="AV6408" i="1"/>
  <c r="AW6407" i="1"/>
  <c r="AV6407" i="1"/>
  <c r="AW6406" i="1"/>
  <c r="AV6406" i="1"/>
  <c r="AW6405" i="1"/>
  <c r="AV6405" i="1"/>
  <c r="AW6404" i="1"/>
  <c r="AV6404" i="1"/>
  <c r="AW6403" i="1"/>
  <c r="AV6403" i="1"/>
  <c r="AW6402" i="1"/>
  <c r="AV6402" i="1"/>
  <c r="AW6401" i="1"/>
  <c r="AV6401" i="1"/>
  <c r="AW6400" i="1"/>
  <c r="AV6400" i="1"/>
  <c r="AW6399" i="1"/>
  <c r="AV6399" i="1"/>
  <c r="AW6398" i="1"/>
  <c r="AV6398" i="1"/>
  <c r="AW6397" i="1"/>
  <c r="AV6397" i="1"/>
  <c r="AW6396" i="1"/>
  <c r="AV6396" i="1"/>
  <c r="AW6395" i="1"/>
  <c r="AV6395" i="1"/>
  <c r="AU6395" i="1"/>
  <c r="AW6394" i="1"/>
  <c r="AV6394" i="1"/>
  <c r="AW6393" i="1"/>
  <c r="AV6393" i="1"/>
  <c r="AW6392" i="1"/>
  <c r="AV6392" i="1"/>
  <c r="AW6391" i="1"/>
  <c r="AV6391" i="1"/>
  <c r="AW6390" i="1"/>
  <c r="AV6390" i="1"/>
  <c r="AW6389" i="1"/>
  <c r="AV6389" i="1"/>
  <c r="AW6388" i="1"/>
  <c r="AV6388" i="1"/>
  <c r="AW6387" i="1"/>
  <c r="AV6387" i="1"/>
  <c r="AU6387" i="1"/>
  <c r="AW6386" i="1"/>
  <c r="AV6386" i="1"/>
  <c r="AU6386" i="1"/>
  <c r="AW6385" i="1"/>
  <c r="AV6385" i="1"/>
  <c r="AU6385" i="1"/>
  <c r="AW6384" i="1"/>
  <c r="AV6384" i="1"/>
  <c r="AU6384" i="1"/>
  <c r="AW6383" i="1"/>
  <c r="AV6383" i="1"/>
  <c r="AU6383" i="1"/>
  <c r="AW6382" i="1"/>
  <c r="AV6382" i="1"/>
  <c r="AU6382" i="1"/>
  <c r="AW6381" i="1"/>
  <c r="AV6381" i="1"/>
  <c r="AU6381" i="1"/>
  <c r="AW6380" i="1"/>
  <c r="AV6380" i="1"/>
  <c r="AU6380" i="1"/>
  <c r="AW6379" i="1"/>
  <c r="AV6379" i="1"/>
  <c r="AU6379" i="1"/>
  <c r="AW6378" i="1"/>
  <c r="AV6378" i="1"/>
  <c r="AU6378" i="1"/>
  <c r="AW6377" i="1"/>
  <c r="AV6377" i="1"/>
  <c r="AW6376" i="1"/>
  <c r="AV6376" i="1"/>
  <c r="AW6375" i="1"/>
  <c r="AV6375" i="1"/>
  <c r="AW6374" i="1"/>
  <c r="AV6374" i="1"/>
  <c r="AU6374" i="1"/>
  <c r="AW6373" i="1"/>
  <c r="AV6373" i="1"/>
  <c r="AU6373" i="1"/>
  <c r="AW6372" i="1"/>
  <c r="AV6372" i="1"/>
  <c r="AW6371" i="1"/>
  <c r="AV6371" i="1"/>
  <c r="AW6370" i="1"/>
  <c r="AV6370" i="1"/>
  <c r="AU6370" i="1"/>
  <c r="AW6369" i="1"/>
  <c r="AV6369" i="1"/>
  <c r="AU6369" i="1"/>
  <c r="AW6368" i="1"/>
  <c r="AV6368" i="1"/>
  <c r="AU6368" i="1"/>
  <c r="AW6367" i="1"/>
  <c r="AV6367" i="1"/>
  <c r="AW6366" i="1"/>
  <c r="AV6366" i="1"/>
  <c r="AW6365" i="1"/>
  <c r="AV6365" i="1"/>
  <c r="AW6364" i="1"/>
  <c r="AV6364" i="1"/>
  <c r="AW6363" i="1"/>
  <c r="AV6363" i="1"/>
  <c r="AW6362" i="1"/>
  <c r="AV6362" i="1"/>
  <c r="AW6361" i="1"/>
  <c r="AV6361" i="1"/>
  <c r="AW6360" i="1"/>
  <c r="AV6360" i="1"/>
  <c r="AW6359" i="1"/>
  <c r="AV6359" i="1"/>
  <c r="AW6358" i="1"/>
  <c r="AV6358" i="1"/>
  <c r="AW6357" i="1"/>
  <c r="AV6357" i="1"/>
  <c r="AW6356" i="1"/>
  <c r="AV6356" i="1"/>
  <c r="AW6355" i="1"/>
  <c r="AV6355" i="1"/>
  <c r="AW6354" i="1"/>
  <c r="AV6354" i="1"/>
  <c r="AU6354" i="1"/>
  <c r="AW6353" i="1"/>
  <c r="AV6353" i="1"/>
  <c r="AU6353" i="1"/>
  <c r="AW6352" i="1"/>
  <c r="AV6352" i="1"/>
  <c r="AW6351" i="1"/>
  <c r="AV6351" i="1"/>
  <c r="AW6350" i="1"/>
  <c r="AV6350" i="1"/>
  <c r="AW6349" i="1"/>
  <c r="AV6349" i="1"/>
  <c r="AW6348" i="1"/>
  <c r="AV6348" i="1"/>
  <c r="AU6348" i="1"/>
  <c r="AW6347" i="1"/>
  <c r="AV6347" i="1"/>
  <c r="AW6346" i="1"/>
  <c r="AV6346" i="1"/>
  <c r="AW6345" i="1"/>
  <c r="AV6345" i="1"/>
  <c r="AU6345" i="1"/>
  <c r="AW6344" i="1"/>
  <c r="AV6344" i="1"/>
  <c r="AW6343" i="1"/>
  <c r="AV6343" i="1"/>
  <c r="AW6342" i="1"/>
  <c r="AV6342" i="1"/>
  <c r="AW6341" i="1"/>
  <c r="AV6341" i="1"/>
  <c r="AW6340" i="1"/>
  <c r="AV6340" i="1"/>
  <c r="AW6339" i="1"/>
  <c r="AV6339" i="1"/>
  <c r="AW6338" i="1"/>
  <c r="AV6338" i="1"/>
  <c r="AW6337" i="1"/>
  <c r="AV6337" i="1"/>
  <c r="AW6336" i="1"/>
  <c r="AV6336" i="1"/>
  <c r="AW6335" i="1"/>
  <c r="AV6335" i="1"/>
  <c r="AW6334" i="1"/>
  <c r="AV6334" i="1"/>
  <c r="AW6333" i="1"/>
  <c r="AV6333" i="1"/>
  <c r="AW6332" i="1"/>
  <c r="AV6332" i="1"/>
  <c r="AW6331" i="1"/>
  <c r="AV6331" i="1"/>
  <c r="AU6331" i="1"/>
  <c r="AW6330" i="1"/>
  <c r="AV6330" i="1"/>
  <c r="AW6329" i="1"/>
  <c r="AV6329" i="1"/>
  <c r="AW6328" i="1"/>
  <c r="AV6328" i="1"/>
  <c r="AW6327" i="1"/>
  <c r="AV6327" i="1"/>
  <c r="AW6326" i="1"/>
  <c r="AV6326" i="1"/>
  <c r="AW6325" i="1"/>
  <c r="AV6325" i="1"/>
  <c r="AW6324" i="1"/>
  <c r="AV6324" i="1"/>
  <c r="AW6323" i="1"/>
  <c r="AV6323" i="1"/>
  <c r="AW6322" i="1"/>
  <c r="AV6322" i="1"/>
  <c r="AU6322" i="1"/>
  <c r="AW6321" i="1"/>
  <c r="AV6321" i="1"/>
  <c r="AW6320" i="1"/>
  <c r="AV6320" i="1"/>
  <c r="AW6319" i="1"/>
  <c r="AV6319" i="1"/>
  <c r="AW6318" i="1"/>
  <c r="AV6318" i="1"/>
  <c r="AW6317" i="1"/>
  <c r="AV6317" i="1"/>
  <c r="AW6316" i="1"/>
  <c r="AV6316" i="1"/>
  <c r="AU6316" i="1"/>
  <c r="AW6315" i="1"/>
  <c r="AV6315" i="1"/>
  <c r="AW6314" i="1"/>
  <c r="AV6314" i="1"/>
  <c r="AW6313" i="1"/>
  <c r="AV6313" i="1"/>
  <c r="AW6312" i="1"/>
  <c r="AV6312" i="1"/>
  <c r="AW6311" i="1"/>
  <c r="AV6311" i="1"/>
  <c r="AW6310" i="1"/>
  <c r="AV6310" i="1"/>
  <c r="AW6309" i="1"/>
  <c r="AV6309" i="1"/>
  <c r="AW6308" i="1"/>
  <c r="AV6308" i="1"/>
  <c r="AU6308" i="1"/>
  <c r="AW6307" i="1"/>
  <c r="AV6307" i="1"/>
  <c r="AW6306" i="1"/>
  <c r="AV6306" i="1"/>
  <c r="AU6306" i="1"/>
  <c r="AW6305" i="1"/>
  <c r="AV6305" i="1"/>
  <c r="AW6304" i="1"/>
  <c r="AV6304" i="1"/>
  <c r="AW6303" i="1"/>
  <c r="AV6303" i="1"/>
  <c r="AW6302" i="1"/>
  <c r="AV6302" i="1"/>
  <c r="AW6301" i="1"/>
  <c r="AV6301" i="1"/>
  <c r="AW6300" i="1"/>
  <c r="AV6300" i="1"/>
  <c r="AW6299" i="1"/>
  <c r="AV6299" i="1"/>
  <c r="AW6298" i="1"/>
  <c r="AV6298" i="1"/>
  <c r="AW6297" i="1"/>
  <c r="AV6297" i="1"/>
  <c r="AU6297" i="1"/>
  <c r="AW6296" i="1"/>
  <c r="AV6296" i="1"/>
  <c r="AU6296" i="1"/>
  <c r="AW6295" i="1"/>
  <c r="AV6295" i="1"/>
  <c r="AW6294" i="1"/>
  <c r="AV6294" i="1"/>
  <c r="AU6294" i="1"/>
  <c r="AW6293" i="1"/>
  <c r="AV6293" i="1"/>
  <c r="AW6292" i="1"/>
  <c r="AV6292" i="1"/>
  <c r="AW6291" i="1"/>
  <c r="AV6291" i="1"/>
  <c r="AW6290" i="1"/>
  <c r="AV6290" i="1"/>
  <c r="AW6289" i="1"/>
  <c r="AV6289" i="1"/>
  <c r="AW6288" i="1"/>
  <c r="AV6288" i="1"/>
  <c r="AW6287" i="1"/>
  <c r="AV6287" i="1"/>
  <c r="AW6286" i="1"/>
  <c r="AV6286" i="1"/>
  <c r="AW6285" i="1"/>
  <c r="AV6285" i="1"/>
  <c r="AW6284" i="1"/>
  <c r="AV6284" i="1"/>
  <c r="AW6283" i="1"/>
  <c r="AV6283" i="1"/>
  <c r="AW6282" i="1"/>
  <c r="AV6282" i="1"/>
  <c r="AW6281" i="1"/>
  <c r="AV6281" i="1"/>
  <c r="AW6280" i="1"/>
  <c r="AV6280" i="1"/>
  <c r="AU6280" i="1"/>
  <c r="AW6279" i="1"/>
  <c r="AV6279" i="1"/>
  <c r="AW6278" i="1"/>
  <c r="AV6278" i="1"/>
  <c r="AW6277" i="1"/>
  <c r="AV6277" i="1"/>
  <c r="AW6276" i="1"/>
  <c r="AV6276" i="1"/>
  <c r="AW6275" i="1"/>
  <c r="AV6275" i="1"/>
  <c r="AW6274" i="1"/>
  <c r="AV6274" i="1"/>
  <c r="AW6273" i="1"/>
  <c r="AV6273" i="1"/>
  <c r="AW6272" i="1"/>
  <c r="AV6272" i="1"/>
  <c r="AW6271" i="1"/>
  <c r="AV6271" i="1"/>
  <c r="AW6270" i="1"/>
  <c r="AV6270" i="1"/>
  <c r="AW6269" i="1"/>
  <c r="AV6269" i="1"/>
  <c r="AW6268" i="1"/>
  <c r="AV6268" i="1"/>
  <c r="AU6268" i="1"/>
  <c r="AW6267" i="1"/>
  <c r="AV6267" i="1"/>
  <c r="AU6267" i="1"/>
  <c r="AW6266" i="1"/>
  <c r="AV6266" i="1"/>
  <c r="AU6266" i="1"/>
  <c r="AW6265" i="1"/>
  <c r="AV6265" i="1"/>
  <c r="AW6264" i="1"/>
  <c r="AV6264" i="1"/>
  <c r="AW6263" i="1"/>
  <c r="AV6263" i="1"/>
  <c r="AW6262" i="1"/>
  <c r="AV6262" i="1"/>
  <c r="AU6262" i="1"/>
  <c r="AW6261" i="1"/>
  <c r="AV6261" i="1"/>
  <c r="AW6260" i="1"/>
  <c r="AV6260" i="1"/>
  <c r="AU6260" i="1"/>
  <c r="AW6259" i="1"/>
  <c r="AV6259" i="1"/>
  <c r="AW6258" i="1"/>
  <c r="AV6258" i="1"/>
  <c r="AW6257" i="1"/>
  <c r="AV6257" i="1"/>
  <c r="AW6256" i="1"/>
  <c r="AV6256" i="1"/>
  <c r="AU6256" i="1"/>
  <c r="AW6255" i="1"/>
  <c r="AV6255" i="1"/>
  <c r="AU6255" i="1"/>
  <c r="AW6254" i="1"/>
  <c r="AV6254" i="1"/>
  <c r="AW6253" i="1"/>
  <c r="AV6253" i="1"/>
  <c r="AU6253" i="1"/>
  <c r="AW6252" i="1"/>
  <c r="AV6252" i="1"/>
  <c r="AW6251" i="1"/>
  <c r="AV6251" i="1"/>
  <c r="AW6250" i="1"/>
  <c r="AV6250" i="1"/>
  <c r="AW6249" i="1"/>
  <c r="AV6249" i="1"/>
  <c r="AU6249" i="1"/>
  <c r="AW6248" i="1"/>
  <c r="AV6248" i="1"/>
  <c r="AU6248" i="1"/>
  <c r="AW6247" i="1"/>
  <c r="AV6247" i="1"/>
  <c r="AU6247" i="1"/>
  <c r="AW6246" i="1"/>
  <c r="AV6246" i="1"/>
  <c r="AU6246" i="1"/>
  <c r="AW6245" i="1"/>
  <c r="AV6245" i="1"/>
  <c r="AW6244" i="1"/>
  <c r="AV6244" i="1"/>
  <c r="AW6243" i="1"/>
  <c r="AV6243" i="1"/>
  <c r="AW6242" i="1"/>
  <c r="AV6242" i="1"/>
  <c r="AW6241" i="1"/>
  <c r="AV6241" i="1"/>
  <c r="AW6240" i="1"/>
  <c r="AV6240" i="1"/>
  <c r="AW6239" i="1"/>
  <c r="AV6239" i="1"/>
  <c r="AU6239" i="1"/>
  <c r="AW6238" i="1"/>
  <c r="AV6238" i="1"/>
  <c r="AU6238" i="1"/>
  <c r="AW6237" i="1"/>
  <c r="AV6237" i="1"/>
  <c r="AU6237" i="1"/>
  <c r="AW6236" i="1"/>
  <c r="AV6236" i="1"/>
  <c r="AW6235" i="1"/>
  <c r="AV6235" i="1"/>
  <c r="AU6235" i="1"/>
  <c r="AW6234" i="1"/>
  <c r="AV6234" i="1"/>
  <c r="AW6233" i="1"/>
  <c r="AV6233" i="1"/>
  <c r="AW6232" i="1"/>
  <c r="AV6232" i="1"/>
  <c r="AU6232" i="1"/>
  <c r="AW6231" i="1"/>
  <c r="AV6231" i="1"/>
  <c r="AW6230" i="1"/>
  <c r="AV6230" i="1"/>
  <c r="AW6229" i="1"/>
  <c r="AV6229" i="1"/>
  <c r="AW6228" i="1"/>
  <c r="AV6228" i="1"/>
  <c r="AW6227" i="1"/>
  <c r="AV6227" i="1"/>
  <c r="AU6227" i="1"/>
  <c r="AW6226" i="1"/>
  <c r="AV6226" i="1"/>
  <c r="AW6225" i="1"/>
  <c r="AV6225" i="1"/>
  <c r="AW6224" i="1"/>
  <c r="AV6224" i="1"/>
  <c r="AW6223" i="1"/>
  <c r="AV6223" i="1"/>
  <c r="AW6222" i="1"/>
  <c r="AV6222" i="1"/>
  <c r="AU6222" i="1"/>
  <c r="AW6221" i="1"/>
  <c r="AV6221" i="1"/>
  <c r="AW6220" i="1"/>
  <c r="AV6220" i="1"/>
  <c r="AW6219" i="1"/>
  <c r="AV6219" i="1"/>
  <c r="AU6219" i="1"/>
  <c r="AW6218" i="1"/>
  <c r="AV6218" i="1"/>
  <c r="AW6217" i="1"/>
  <c r="AV6217" i="1"/>
  <c r="AU6217" i="1"/>
  <c r="AW6216" i="1"/>
  <c r="AV6216" i="1"/>
  <c r="AW6215" i="1"/>
  <c r="AV6215" i="1"/>
  <c r="AW6214" i="1"/>
  <c r="AV6214" i="1"/>
  <c r="AW6213" i="1"/>
  <c r="AV6213" i="1"/>
  <c r="AU6213" i="1"/>
  <c r="AW6212" i="1"/>
  <c r="AV6212" i="1"/>
  <c r="AU6212" i="1"/>
  <c r="AW6211" i="1"/>
  <c r="AV6211" i="1"/>
  <c r="AW6210" i="1"/>
  <c r="AV6210" i="1"/>
  <c r="AU6210" i="1"/>
  <c r="AW6209" i="1"/>
  <c r="AV6209" i="1"/>
  <c r="AW6208" i="1"/>
  <c r="AV6208" i="1"/>
  <c r="AU6208" i="1"/>
  <c r="AW6207" i="1"/>
  <c r="AV6207" i="1"/>
  <c r="AU6207" i="1"/>
  <c r="AW6206" i="1"/>
  <c r="AV6206" i="1"/>
  <c r="AW6205" i="1"/>
  <c r="AV6205" i="1"/>
  <c r="AU6205" i="1"/>
  <c r="AW6204" i="1"/>
  <c r="AV6204" i="1"/>
  <c r="AW6203" i="1"/>
  <c r="AV6203" i="1"/>
  <c r="AW6202" i="1"/>
  <c r="AV6202" i="1"/>
  <c r="AW6201" i="1"/>
  <c r="AV6201" i="1"/>
  <c r="AW6200" i="1"/>
  <c r="AV6200" i="1"/>
  <c r="AU6200" i="1"/>
  <c r="AW6199" i="1"/>
  <c r="AV6199" i="1"/>
  <c r="AW6198" i="1"/>
  <c r="AV6198" i="1"/>
  <c r="AW6197" i="1"/>
  <c r="AV6197" i="1"/>
  <c r="AW6196" i="1"/>
  <c r="AV6196" i="1"/>
  <c r="AW6195" i="1"/>
  <c r="AV6195" i="1"/>
  <c r="AW6194" i="1"/>
  <c r="AV6194" i="1"/>
  <c r="AU6194" i="1"/>
  <c r="AW6193" i="1"/>
  <c r="AV6193" i="1"/>
  <c r="AU6193" i="1"/>
  <c r="AW6192" i="1"/>
  <c r="AV6192" i="1"/>
  <c r="AU6192" i="1"/>
  <c r="AW6191" i="1"/>
  <c r="AV6191" i="1"/>
  <c r="AU6191" i="1"/>
  <c r="AW6190" i="1"/>
  <c r="AV6190" i="1"/>
  <c r="AU6190" i="1"/>
  <c r="AW6189" i="1"/>
  <c r="AV6189" i="1"/>
  <c r="AU6189" i="1"/>
  <c r="AW6188" i="1"/>
  <c r="AV6188" i="1"/>
  <c r="AU6188" i="1"/>
  <c r="AW6187" i="1"/>
  <c r="AV6187" i="1"/>
  <c r="AW6186" i="1"/>
  <c r="AV6186" i="1"/>
  <c r="AW6185" i="1"/>
  <c r="AV6185" i="1"/>
  <c r="AW6184" i="1"/>
  <c r="AV6184" i="1"/>
  <c r="AW6183" i="1"/>
  <c r="AV6183" i="1"/>
  <c r="AW6182" i="1"/>
  <c r="AV6182" i="1"/>
  <c r="AW6181" i="1"/>
  <c r="AV6181" i="1"/>
  <c r="AU6181" i="1"/>
  <c r="AW6180" i="1"/>
  <c r="AV6180" i="1"/>
  <c r="AW6179" i="1"/>
  <c r="AV6179" i="1"/>
  <c r="AU6179" i="1"/>
  <c r="AW6178" i="1"/>
  <c r="AV6178" i="1"/>
  <c r="AW6177" i="1"/>
  <c r="AV6177" i="1"/>
  <c r="AW6176" i="1"/>
  <c r="AV6176" i="1"/>
  <c r="AW6175" i="1"/>
  <c r="AV6175" i="1"/>
  <c r="AU6175" i="1"/>
  <c r="AW6174" i="1"/>
  <c r="AV6174" i="1"/>
  <c r="AU6174" i="1"/>
  <c r="AW6173" i="1"/>
  <c r="AV6173" i="1"/>
  <c r="AW6172" i="1"/>
  <c r="AV6172" i="1"/>
  <c r="AU6172" i="1"/>
  <c r="AW6171" i="1"/>
  <c r="AV6171" i="1"/>
  <c r="AW6170" i="1"/>
  <c r="AV6170" i="1"/>
  <c r="AW6169" i="1"/>
  <c r="AV6169" i="1"/>
  <c r="AU6169" i="1"/>
  <c r="AW6168" i="1"/>
  <c r="AV6168" i="1"/>
  <c r="AU6168" i="1"/>
  <c r="AW6167" i="1"/>
  <c r="AV6167" i="1"/>
  <c r="AW6166" i="1"/>
  <c r="AV6166" i="1"/>
  <c r="AW6165" i="1"/>
  <c r="AV6165" i="1"/>
  <c r="AW6164" i="1"/>
  <c r="AV6164" i="1"/>
  <c r="AW6163" i="1"/>
  <c r="AV6163" i="1"/>
  <c r="AW6162" i="1"/>
  <c r="AV6162" i="1"/>
  <c r="AW6161" i="1"/>
  <c r="AV6161" i="1"/>
  <c r="AW6160" i="1"/>
  <c r="AV6160" i="1"/>
  <c r="AU6160" i="1"/>
  <c r="AW6159" i="1"/>
  <c r="AV6159" i="1"/>
  <c r="AU6159" i="1"/>
  <c r="AW6158" i="1"/>
  <c r="AV6158" i="1"/>
  <c r="AU6158" i="1"/>
  <c r="AW6157" i="1"/>
  <c r="AV6157" i="1"/>
  <c r="AW6156" i="1"/>
  <c r="AV6156" i="1"/>
  <c r="AU6156" i="1"/>
  <c r="AW6155" i="1"/>
  <c r="AV6155" i="1"/>
  <c r="AW6154" i="1"/>
  <c r="AV6154" i="1"/>
  <c r="AW6153" i="1"/>
  <c r="AV6153" i="1"/>
  <c r="AW6152" i="1"/>
  <c r="AV6152" i="1"/>
  <c r="AW6151" i="1"/>
  <c r="AV6151" i="1"/>
  <c r="AU6151" i="1"/>
  <c r="AW6150" i="1"/>
  <c r="AV6150" i="1"/>
  <c r="AU6150" i="1"/>
  <c r="AW6149" i="1"/>
  <c r="AV6149" i="1"/>
  <c r="AU6149" i="1"/>
  <c r="AW6148" i="1"/>
  <c r="AV6148" i="1"/>
  <c r="AU6148" i="1"/>
  <c r="AW6147" i="1"/>
  <c r="AV6147" i="1"/>
  <c r="AU6147" i="1"/>
  <c r="AW6146" i="1"/>
  <c r="AV6146" i="1"/>
  <c r="AU6146" i="1"/>
  <c r="AW6145" i="1"/>
  <c r="AV6145" i="1"/>
  <c r="AU6145" i="1"/>
  <c r="AW6144" i="1"/>
  <c r="AV6144" i="1"/>
  <c r="AW6143" i="1"/>
  <c r="AV6143" i="1"/>
  <c r="AW6142" i="1"/>
  <c r="AV6142" i="1"/>
  <c r="AU6142" i="1"/>
  <c r="AW6141" i="1"/>
  <c r="AV6141" i="1"/>
  <c r="AU6141" i="1"/>
  <c r="AW6140" i="1"/>
  <c r="AV6140" i="1"/>
  <c r="AW6139" i="1"/>
  <c r="AV6139" i="1"/>
  <c r="AU6139" i="1"/>
  <c r="AW6138" i="1"/>
  <c r="AV6138" i="1"/>
  <c r="AW6137" i="1"/>
  <c r="AV6137" i="1"/>
  <c r="AW6136" i="1"/>
  <c r="AV6136" i="1"/>
  <c r="AW6135" i="1"/>
  <c r="AV6135" i="1"/>
  <c r="AW6134" i="1"/>
  <c r="AV6134" i="1"/>
  <c r="AW6133" i="1"/>
  <c r="AV6133" i="1"/>
  <c r="AU6133" i="1"/>
  <c r="AW6132" i="1"/>
  <c r="AV6132" i="1"/>
  <c r="AU6132" i="1"/>
  <c r="AW6131" i="1"/>
  <c r="AV6131" i="1"/>
  <c r="AW6130" i="1"/>
  <c r="AV6130" i="1"/>
  <c r="AU6130" i="1"/>
  <c r="AW6129" i="1"/>
  <c r="AV6129" i="1"/>
  <c r="AU6129" i="1"/>
  <c r="AW6128" i="1"/>
  <c r="AV6128" i="1"/>
  <c r="AW6127" i="1"/>
  <c r="AV6127" i="1"/>
  <c r="AW6126" i="1"/>
  <c r="AV6126" i="1"/>
  <c r="AW6125" i="1"/>
  <c r="AV6125" i="1"/>
  <c r="AW6124" i="1"/>
  <c r="AV6124" i="1"/>
  <c r="AW6123" i="1"/>
  <c r="AV6123" i="1"/>
  <c r="AW6122" i="1"/>
  <c r="AV6122" i="1"/>
  <c r="AW6121" i="1"/>
  <c r="AV6121" i="1"/>
  <c r="AW6120" i="1"/>
  <c r="AV6120" i="1"/>
  <c r="AW6119" i="1"/>
  <c r="AV6119" i="1"/>
  <c r="AW6118" i="1"/>
  <c r="AV6118" i="1"/>
  <c r="AW6117" i="1"/>
  <c r="AV6117" i="1"/>
  <c r="AW6116" i="1"/>
  <c r="AV6116" i="1"/>
  <c r="AU6116" i="1"/>
  <c r="AW6115" i="1"/>
  <c r="AV6115" i="1"/>
  <c r="AW6114" i="1"/>
  <c r="AV6114" i="1"/>
  <c r="AW6113" i="1"/>
  <c r="AV6113" i="1"/>
  <c r="AW6112" i="1"/>
  <c r="AV6112" i="1"/>
  <c r="AW6111" i="1"/>
  <c r="AV6111" i="1"/>
  <c r="AW6110" i="1"/>
  <c r="AV6110" i="1"/>
  <c r="AW6109" i="1"/>
  <c r="AV6109" i="1"/>
  <c r="AW6108" i="1"/>
  <c r="AV6108" i="1"/>
  <c r="AU6108" i="1"/>
  <c r="AW6107" i="1"/>
  <c r="AV6107" i="1"/>
  <c r="AW6106" i="1"/>
  <c r="AV6106" i="1"/>
  <c r="AU6106" i="1"/>
  <c r="AW6105" i="1"/>
  <c r="AV6105" i="1"/>
  <c r="AU6105" i="1"/>
  <c r="AW6104" i="1"/>
  <c r="AV6104" i="1"/>
  <c r="AU6104" i="1"/>
  <c r="AW6103" i="1"/>
  <c r="AV6103" i="1"/>
  <c r="AW6102" i="1"/>
  <c r="AV6102" i="1"/>
  <c r="AW6101" i="1"/>
  <c r="AV6101" i="1"/>
  <c r="AW6100" i="1"/>
  <c r="AV6100" i="1"/>
  <c r="AW6099" i="1"/>
  <c r="AV6099" i="1"/>
  <c r="AU6099" i="1"/>
  <c r="AW6098" i="1"/>
  <c r="AV6098" i="1"/>
  <c r="AW6097" i="1"/>
  <c r="AV6097" i="1"/>
  <c r="AW6096" i="1"/>
  <c r="AV6096" i="1"/>
  <c r="AW6095" i="1"/>
  <c r="AV6095" i="1"/>
  <c r="AW6094" i="1"/>
  <c r="AV6094" i="1"/>
  <c r="AW6093" i="1"/>
  <c r="AV6093" i="1"/>
  <c r="AW6092" i="1"/>
  <c r="AV6092" i="1"/>
  <c r="AW6091" i="1"/>
  <c r="AV6091" i="1"/>
  <c r="AW6090" i="1"/>
  <c r="AV6090" i="1"/>
  <c r="AW6089" i="1"/>
  <c r="AV6089" i="1"/>
  <c r="AU6089" i="1"/>
  <c r="AW6088" i="1"/>
  <c r="AV6088" i="1"/>
  <c r="AW6087" i="1"/>
  <c r="AV6087" i="1"/>
  <c r="AU6087" i="1"/>
  <c r="AW6086" i="1"/>
  <c r="AV6086" i="1"/>
  <c r="AW6085" i="1"/>
  <c r="AV6085" i="1"/>
  <c r="AW6084" i="1"/>
  <c r="AV6084" i="1"/>
  <c r="AW6083" i="1"/>
  <c r="AV6083" i="1"/>
  <c r="AU6083" i="1"/>
  <c r="AW6082" i="1"/>
  <c r="AV6082" i="1"/>
  <c r="AU6082" i="1"/>
  <c r="AW6081" i="1"/>
  <c r="AV6081" i="1"/>
  <c r="AU6081" i="1"/>
  <c r="AW6080" i="1"/>
  <c r="AV6080" i="1"/>
  <c r="AU6080" i="1"/>
  <c r="AW6079" i="1"/>
  <c r="AV6079" i="1"/>
  <c r="AW6078" i="1"/>
  <c r="AV6078" i="1"/>
  <c r="AW6077" i="1"/>
  <c r="AV6077" i="1"/>
  <c r="AW6076" i="1"/>
  <c r="AV6076" i="1"/>
  <c r="AW6075" i="1"/>
  <c r="AV6075" i="1"/>
  <c r="AW6074" i="1"/>
  <c r="AV6074" i="1"/>
  <c r="AW6073" i="1"/>
  <c r="AV6073" i="1"/>
  <c r="AU6073" i="1"/>
  <c r="AW6072" i="1"/>
  <c r="AV6072" i="1"/>
  <c r="AW6071" i="1"/>
  <c r="AV6071" i="1"/>
  <c r="AW6070" i="1"/>
  <c r="AV6070" i="1"/>
  <c r="AW6069" i="1"/>
  <c r="AV6069" i="1"/>
  <c r="AW6068" i="1"/>
  <c r="AV6068" i="1"/>
  <c r="AU6068" i="1"/>
  <c r="AW6067" i="1"/>
  <c r="AV6067" i="1"/>
  <c r="AW6066" i="1"/>
  <c r="AV6066" i="1"/>
  <c r="AW6065" i="1"/>
  <c r="AV6065" i="1"/>
  <c r="AW6064" i="1"/>
  <c r="AV6064" i="1"/>
  <c r="AW6063" i="1"/>
  <c r="AV6063" i="1"/>
  <c r="AW6062" i="1"/>
  <c r="AV6062" i="1"/>
  <c r="AW6061" i="1"/>
  <c r="AV6061" i="1"/>
  <c r="AW6060" i="1"/>
  <c r="AV6060" i="1"/>
  <c r="AW6059" i="1"/>
  <c r="AV6059" i="1"/>
  <c r="AW6058" i="1"/>
  <c r="AV6058" i="1"/>
  <c r="AW6057" i="1"/>
  <c r="AV6057" i="1"/>
  <c r="AW6056" i="1"/>
  <c r="AV6056" i="1"/>
  <c r="AW6055" i="1"/>
  <c r="AV6055" i="1"/>
  <c r="AW6054" i="1"/>
  <c r="AV6054" i="1"/>
  <c r="AW6053" i="1"/>
  <c r="AV6053" i="1"/>
  <c r="AW6052" i="1"/>
  <c r="AV6052" i="1"/>
  <c r="AW6051" i="1"/>
  <c r="AV6051" i="1"/>
  <c r="AW6050" i="1"/>
  <c r="AV6050" i="1"/>
  <c r="AW6049" i="1"/>
  <c r="AV6049" i="1"/>
  <c r="AW6048" i="1"/>
  <c r="AV6048" i="1"/>
  <c r="AW6047" i="1"/>
  <c r="AV6047" i="1"/>
  <c r="AW6046" i="1"/>
  <c r="AV6046" i="1"/>
  <c r="AW6045" i="1"/>
  <c r="AV6045" i="1"/>
  <c r="AU6045" i="1"/>
  <c r="AW6044" i="1"/>
  <c r="AV6044" i="1"/>
  <c r="AW6043" i="1"/>
  <c r="AV6043" i="1"/>
  <c r="AW6042" i="1"/>
  <c r="AV6042" i="1"/>
  <c r="AW6041" i="1"/>
  <c r="AV6041" i="1"/>
  <c r="AW6040" i="1"/>
  <c r="AV6040" i="1"/>
  <c r="AW6039" i="1"/>
  <c r="AV6039" i="1"/>
  <c r="AW6038" i="1"/>
  <c r="AV6038" i="1"/>
  <c r="AW6037" i="1"/>
  <c r="AV6037" i="1"/>
  <c r="AW6036" i="1"/>
  <c r="AV6036" i="1"/>
  <c r="AW6035" i="1"/>
  <c r="AV6035" i="1"/>
  <c r="AU6035" i="1"/>
  <c r="AW6034" i="1"/>
  <c r="AV6034" i="1"/>
  <c r="AW6033" i="1"/>
  <c r="AV6033" i="1"/>
  <c r="AU6033" i="1"/>
  <c r="AW6032" i="1"/>
  <c r="AV6032" i="1"/>
  <c r="AU6032" i="1"/>
  <c r="AW6031" i="1"/>
  <c r="AV6031" i="1"/>
  <c r="AW6030" i="1"/>
  <c r="AV6030" i="1"/>
  <c r="AW6029" i="1"/>
  <c r="AV6029" i="1"/>
  <c r="AW6028" i="1"/>
  <c r="AV6028" i="1"/>
  <c r="AW6027" i="1"/>
  <c r="AV6027" i="1"/>
  <c r="AU6027" i="1"/>
  <c r="AW6026" i="1"/>
  <c r="AV6026" i="1"/>
  <c r="AW6025" i="1"/>
  <c r="AV6025" i="1"/>
  <c r="AW6024" i="1"/>
  <c r="AV6024" i="1"/>
  <c r="AW6023" i="1"/>
  <c r="AV6023" i="1"/>
  <c r="AW6022" i="1"/>
  <c r="AV6022" i="1"/>
  <c r="AW6021" i="1"/>
  <c r="AV6021" i="1"/>
  <c r="AW6020" i="1"/>
  <c r="AV6020" i="1"/>
  <c r="AW6019" i="1"/>
  <c r="AV6019" i="1"/>
  <c r="AU6019" i="1"/>
  <c r="AW6018" i="1"/>
  <c r="AV6018" i="1"/>
  <c r="AU6018" i="1"/>
  <c r="AW6017" i="1"/>
  <c r="AV6017" i="1"/>
  <c r="AW6016" i="1"/>
  <c r="AV6016" i="1"/>
  <c r="AW6015" i="1"/>
  <c r="AV6015" i="1"/>
  <c r="AW6014" i="1"/>
  <c r="AV6014" i="1"/>
  <c r="AW6013" i="1"/>
  <c r="AV6013" i="1"/>
  <c r="AW6012" i="1"/>
  <c r="AV6012" i="1"/>
  <c r="AW6011" i="1"/>
  <c r="AV6011" i="1"/>
  <c r="AW6010" i="1"/>
  <c r="AV6010" i="1"/>
  <c r="AW6009" i="1"/>
  <c r="AV6009" i="1"/>
  <c r="AW6008" i="1"/>
  <c r="AV6008" i="1"/>
  <c r="AW6007" i="1"/>
  <c r="AV6007" i="1"/>
  <c r="AW6006" i="1"/>
  <c r="AV6006" i="1"/>
  <c r="AW6005" i="1"/>
  <c r="AV6005" i="1"/>
  <c r="AW6004" i="1"/>
  <c r="AV6004" i="1"/>
  <c r="AW6003" i="1"/>
  <c r="AV6003" i="1"/>
  <c r="AU6003" i="1"/>
  <c r="AW6002" i="1"/>
  <c r="AV6002" i="1"/>
  <c r="AW6001" i="1"/>
  <c r="AV6001" i="1"/>
  <c r="AW6000" i="1"/>
  <c r="AV6000" i="1"/>
  <c r="AW5999" i="1"/>
  <c r="AV5999" i="1"/>
  <c r="AW5998" i="1"/>
  <c r="AV5998" i="1"/>
  <c r="AW5997" i="1"/>
  <c r="AV5997" i="1"/>
  <c r="AW5996" i="1"/>
  <c r="AV5996" i="1"/>
  <c r="AW5995" i="1"/>
  <c r="AV5995" i="1"/>
  <c r="AW5994" i="1"/>
  <c r="AV5994" i="1"/>
  <c r="AU5994" i="1"/>
  <c r="AW5993" i="1"/>
  <c r="AV5993" i="1"/>
  <c r="AU5993" i="1"/>
  <c r="AW5992" i="1"/>
  <c r="AV5992" i="1"/>
  <c r="AW5991" i="1"/>
  <c r="AV5991" i="1"/>
  <c r="AW5990" i="1"/>
  <c r="AV5990" i="1"/>
  <c r="AU5990" i="1"/>
  <c r="AW5989" i="1"/>
  <c r="AV5989" i="1"/>
  <c r="AU5989" i="1"/>
  <c r="AW5988" i="1"/>
  <c r="AV5988" i="1"/>
  <c r="AW5987" i="1"/>
  <c r="AV5987" i="1"/>
  <c r="AW5986" i="1"/>
  <c r="AV5986" i="1"/>
  <c r="AU5986" i="1"/>
  <c r="AW5985" i="1"/>
  <c r="AV5985" i="1"/>
  <c r="AW5984" i="1"/>
  <c r="AV5984" i="1"/>
  <c r="AW5983" i="1"/>
  <c r="AV5983" i="1"/>
  <c r="AW5982" i="1"/>
  <c r="AV5982" i="1"/>
  <c r="AW5981" i="1"/>
  <c r="AV5981" i="1"/>
  <c r="AW5980" i="1"/>
  <c r="AV5980" i="1"/>
  <c r="AW5979" i="1"/>
  <c r="AV5979" i="1"/>
  <c r="AW5978" i="1"/>
  <c r="AV5978" i="1"/>
  <c r="AW5977" i="1"/>
  <c r="AV5977" i="1"/>
  <c r="AU5977" i="1"/>
  <c r="AW5976" i="1"/>
  <c r="AV5976" i="1"/>
  <c r="AW5975" i="1"/>
  <c r="AV5975" i="1"/>
  <c r="AU5975" i="1"/>
  <c r="AW5974" i="1"/>
  <c r="AV5974" i="1"/>
  <c r="AU5974" i="1"/>
  <c r="AW5973" i="1"/>
  <c r="AV5973" i="1"/>
  <c r="AW5972" i="1"/>
  <c r="AV5972" i="1"/>
  <c r="AU5972" i="1"/>
  <c r="AW5971" i="1"/>
  <c r="AV5971" i="1"/>
  <c r="AU5971" i="1"/>
  <c r="AW5970" i="1"/>
  <c r="AV5970" i="1"/>
  <c r="AU5970" i="1"/>
  <c r="AW5969" i="1"/>
  <c r="AV5969" i="1"/>
  <c r="AW5968" i="1"/>
  <c r="AV5968" i="1"/>
  <c r="AU5968" i="1"/>
  <c r="AW5967" i="1"/>
  <c r="AV5967" i="1"/>
  <c r="AW5966" i="1"/>
  <c r="AV5966" i="1"/>
  <c r="AW5965" i="1"/>
  <c r="AV5965" i="1"/>
  <c r="AU5965" i="1"/>
  <c r="AW5964" i="1"/>
  <c r="AV5964" i="1"/>
  <c r="AU5964" i="1"/>
  <c r="AW5963" i="1"/>
  <c r="AV5963" i="1"/>
  <c r="AW5962" i="1"/>
  <c r="AV5962" i="1"/>
  <c r="AW5961" i="1"/>
  <c r="AV5961" i="1"/>
  <c r="AW5960" i="1"/>
  <c r="AV5960" i="1"/>
  <c r="AW5959" i="1"/>
  <c r="AV5959" i="1"/>
  <c r="AW5958" i="1"/>
  <c r="AV5958" i="1"/>
  <c r="AW5957" i="1"/>
  <c r="AV5957" i="1"/>
  <c r="AW5956" i="1"/>
  <c r="AV5956" i="1"/>
  <c r="AW5955" i="1"/>
  <c r="AV5955" i="1"/>
  <c r="AW5954" i="1"/>
  <c r="AV5954" i="1"/>
  <c r="AW5953" i="1"/>
  <c r="AV5953" i="1"/>
  <c r="AW5952" i="1"/>
  <c r="AV5952" i="1"/>
  <c r="AW5951" i="1"/>
  <c r="AV5951" i="1"/>
  <c r="AW5950" i="1"/>
  <c r="AV5950" i="1"/>
  <c r="AW5949" i="1"/>
  <c r="AV5949" i="1"/>
  <c r="AW5948" i="1"/>
  <c r="AV5948" i="1"/>
  <c r="AW5947" i="1"/>
  <c r="AV5947" i="1"/>
  <c r="AW5946" i="1"/>
  <c r="AV5946" i="1"/>
  <c r="AW5945" i="1"/>
  <c r="AV5945" i="1"/>
  <c r="AW5944" i="1"/>
  <c r="AV5944" i="1"/>
  <c r="AU5944" i="1"/>
  <c r="AW5943" i="1"/>
  <c r="AV5943" i="1"/>
  <c r="AW5942" i="1"/>
  <c r="AV5942" i="1"/>
  <c r="AW5941" i="1"/>
  <c r="AV5941" i="1"/>
  <c r="AU5941" i="1"/>
  <c r="AW5940" i="1"/>
  <c r="AV5940" i="1"/>
  <c r="AU5940" i="1"/>
  <c r="AW5939" i="1"/>
  <c r="AV5939" i="1"/>
  <c r="AW5938" i="1"/>
  <c r="AV5938" i="1"/>
  <c r="AW5937" i="1"/>
  <c r="AV5937" i="1"/>
  <c r="AW5936" i="1"/>
  <c r="AV5936" i="1"/>
  <c r="AW5935" i="1"/>
  <c r="AV5935" i="1"/>
  <c r="AW5934" i="1"/>
  <c r="AV5934" i="1"/>
  <c r="AW5933" i="1"/>
  <c r="AV5933" i="1"/>
  <c r="AU5933" i="1"/>
  <c r="AW5932" i="1"/>
  <c r="AV5932" i="1"/>
  <c r="AW5931" i="1"/>
  <c r="AV5931" i="1"/>
  <c r="AW5930" i="1"/>
  <c r="AV5930" i="1"/>
  <c r="AU5930" i="1"/>
  <c r="AW5929" i="1"/>
  <c r="AV5929" i="1"/>
  <c r="AW5928" i="1"/>
  <c r="AV5928" i="1"/>
  <c r="AW5927" i="1"/>
  <c r="AV5927" i="1"/>
  <c r="AW5926" i="1"/>
  <c r="AV5926" i="1"/>
  <c r="AW5925" i="1"/>
  <c r="AV5925" i="1"/>
  <c r="AU5925" i="1"/>
  <c r="AW5924" i="1"/>
  <c r="AV5924" i="1"/>
  <c r="AW5923" i="1"/>
  <c r="AV5923" i="1"/>
  <c r="AW5922" i="1"/>
  <c r="AV5922" i="1"/>
  <c r="AW5921" i="1"/>
  <c r="AV5921" i="1"/>
  <c r="AW5920" i="1"/>
  <c r="AV5920" i="1"/>
  <c r="AU5920" i="1"/>
  <c r="AW5919" i="1"/>
  <c r="AV5919" i="1"/>
  <c r="AW5918" i="1"/>
  <c r="AV5918" i="1"/>
  <c r="AW5917" i="1"/>
  <c r="AV5917" i="1"/>
  <c r="AW5916" i="1"/>
  <c r="AV5916" i="1"/>
  <c r="AW5915" i="1"/>
  <c r="AV5915" i="1"/>
  <c r="AW5914" i="1"/>
  <c r="AV5914" i="1"/>
  <c r="AW5913" i="1"/>
  <c r="AV5913" i="1"/>
  <c r="AW5912" i="1"/>
  <c r="AV5912" i="1"/>
  <c r="AW5911" i="1"/>
  <c r="AV5911" i="1"/>
  <c r="AW5910" i="1"/>
  <c r="AV5910" i="1"/>
  <c r="AW5909" i="1"/>
  <c r="AV5909" i="1"/>
  <c r="AW5908" i="1"/>
  <c r="AV5908" i="1"/>
  <c r="AU5908" i="1"/>
  <c r="AW5907" i="1"/>
  <c r="AV5907" i="1"/>
  <c r="AU5907" i="1"/>
  <c r="AW5906" i="1"/>
  <c r="AV5906" i="1"/>
  <c r="AU5906" i="1"/>
  <c r="AW5905" i="1"/>
  <c r="AV5905" i="1"/>
  <c r="AW5904" i="1"/>
  <c r="AV5904" i="1"/>
  <c r="AU5904" i="1"/>
  <c r="AW5903" i="1"/>
  <c r="AV5903" i="1"/>
  <c r="AW5902" i="1"/>
  <c r="AV5902" i="1"/>
  <c r="AW5901" i="1"/>
  <c r="AV5901" i="1"/>
  <c r="AW5900" i="1"/>
  <c r="AV5900" i="1"/>
  <c r="AW5899" i="1"/>
  <c r="AV5899" i="1"/>
  <c r="AU5899" i="1"/>
  <c r="AW5898" i="1"/>
  <c r="AV5898" i="1"/>
  <c r="AW5897" i="1"/>
  <c r="AV5897" i="1"/>
  <c r="AU5897" i="1"/>
  <c r="AW5896" i="1"/>
  <c r="AV5896" i="1"/>
  <c r="AW5895" i="1"/>
  <c r="AV5895" i="1"/>
  <c r="AU5895" i="1"/>
  <c r="AW5894" i="1"/>
  <c r="AV5894" i="1"/>
  <c r="AU5894" i="1"/>
  <c r="AW5893" i="1"/>
  <c r="AV5893" i="1"/>
  <c r="AU5893" i="1"/>
  <c r="AW5892" i="1"/>
  <c r="AV5892" i="1"/>
  <c r="AW5891" i="1"/>
  <c r="AV5891" i="1"/>
  <c r="AW5890" i="1"/>
  <c r="AV5890" i="1"/>
  <c r="AW5889" i="1"/>
  <c r="AV5889" i="1"/>
  <c r="AW5888" i="1"/>
  <c r="AV5888" i="1"/>
  <c r="AU5888" i="1"/>
  <c r="AW5887" i="1"/>
  <c r="AV5887" i="1"/>
  <c r="AU5887" i="1"/>
  <c r="AW5886" i="1"/>
  <c r="AV5886" i="1"/>
  <c r="AW5885" i="1"/>
  <c r="AV5885" i="1"/>
  <c r="AW5884" i="1"/>
  <c r="AV5884" i="1"/>
  <c r="AW5883" i="1"/>
  <c r="AV5883" i="1"/>
  <c r="AW5882" i="1"/>
  <c r="AV5882" i="1"/>
  <c r="AW5881" i="1"/>
  <c r="AV5881" i="1"/>
  <c r="AU5881" i="1"/>
  <c r="AW5880" i="1"/>
  <c r="AV5880" i="1"/>
  <c r="AW5879" i="1"/>
  <c r="AV5879" i="1"/>
  <c r="AW5878" i="1"/>
  <c r="AV5878" i="1"/>
  <c r="AU5878" i="1"/>
  <c r="AW5877" i="1"/>
  <c r="AV5877" i="1"/>
  <c r="AU5877" i="1"/>
  <c r="AW5876" i="1"/>
  <c r="AV5876" i="1"/>
  <c r="AW5875" i="1"/>
  <c r="AV5875" i="1"/>
  <c r="AW5874" i="1"/>
  <c r="AV5874" i="1"/>
  <c r="AW5873" i="1"/>
  <c r="AV5873" i="1"/>
  <c r="AW5872" i="1"/>
  <c r="AV5872" i="1"/>
  <c r="AW5871" i="1"/>
  <c r="AV5871" i="1"/>
  <c r="AW5870" i="1"/>
  <c r="AV5870" i="1"/>
  <c r="AW5869" i="1"/>
  <c r="AV5869" i="1"/>
  <c r="AU5869" i="1"/>
  <c r="AW5868" i="1"/>
  <c r="AV5868" i="1"/>
  <c r="AW5867" i="1"/>
  <c r="AV5867" i="1"/>
  <c r="AW5866" i="1"/>
  <c r="AV5866" i="1"/>
  <c r="AU5866" i="1"/>
  <c r="AW5865" i="1"/>
  <c r="AV5865" i="1"/>
  <c r="AW5864" i="1"/>
  <c r="AV5864" i="1"/>
  <c r="AW5863" i="1"/>
  <c r="AV5863" i="1"/>
  <c r="AW5862" i="1"/>
  <c r="AV5862" i="1"/>
  <c r="AW5861" i="1"/>
  <c r="AV5861" i="1"/>
  <c r="AW5860" i="1"/>
  <c r="AV5860" i="1"/>
  <c r="AW5859" i="1"/>
  <c r="AV5859" i="1"/>
  <c r="AW5858" i="1"/>
  <c r="AV5858" i="1"/>
  <c r="AU5858" i="1"/>
  <c r="AW5857" i="1"/>
  <c r="AV5857" i="1"/>
  <c r="AW5856" i="1"/>
  <c r="AV5856" i="1"/>
  <c r="AU5856" i="1"/>
  <c r="AW5855" i="1"/>
  <c r="AV5855" i="1"/>
  <c r="AU5855" i="1"/>
  <c r="AW5854" i="1"/>
  <c r="AV5854" i="1"/>
  <c r="AW5853" i="1"/>
  <c r="AV5853" i="1"/>
  <c r="AW5852" i="1"/>
  <c r="AV5852" i="1"/>
  <c r="AW5851" i="1"/>
  <c r="AV5851" i="1"/>
  <c r="AW5850" i="1"/>
  <c r="AV5850" i="1"/>
  <c r="AU5850" i="1"/>
  <c r="AW5849" i="1"/>
  <c r="AV5849" i="1"/>
  <c r="AU5849" i="1"/>
  <c r="AW5848" i="1"/>
  <c r="AV5848" i="1"/>
  <c r="AW5847" i="1"/>
  <c r="AV5847" i="1"/>
  <c r="AW5846" i="1"/>
  <c r="AV5846" i="1"/>
  <c r="AW5845" i="1"/>
  <c r="AV5845" i="1"/>
  <c r="AW5844" i="1"/>
  <c r="AV5844" i="1"/>
  <c r="AW5843" i="1"/>
  <c r="AV5843" i="1"/>
  <c r="AW5842" i="1"/>
  <c r="AV5842" i="1"/>
  <c r="AW5841" i="1"/>
  <c r="AV5841" i="1"/>
  <c r="AW5840" i="1"/>
  <c r="AV5840" i="1"/>
  <c r="AW5839" i="1"/>
  <c r="AV5839" i="1"/>
  <c r="AW5838" i="1"/>
  <c r="AV5838" i="1"/>
  <c r="AW5837" i="1"/>
  <c r="AV5837" i="1"/>
  <c r="AU5837" i="1"/>
  <c r="AW5836" i="1"/>
  <c r="AV5836" i="1"/>
  <c r="AU5836" i="1"/>
  <c r="AW5835" i="1"/>
  <c r="AV5835" i="1"/>
  <c r="AU5835" i="1"/>
  <c r="AW5834" i="1"/>
  <c r="AV5834" i="1"/>
  <c r="AU5834" i="1"/>
  <c r="AW5833" i="1"/>
  <c r="AV5833" i="1"/>
  <c r="AW5832" i="1"/>
  <c r="AV5832" i="1"/>
  <c r="AW5831" i="1"/>
  <c r="AV5831" i="1"/>
  <c r="AW5830" i="1"/>
  <c r="AV5830" i="1"/>
  <c r="AW5829" i="1"/>
  <c r="AV5829" i="1"/>
  <c r="AW5828" i="1"/>
  <c r="AV5828" i="1"/>
  <c r="AW5827" i="1"/>
  <c r="AV5827" i="1"/>
  <c r="AW5826" i="1"/>
  <c r="AV5826" i="1"/>
  <c r="AW5825" i="1"/>
  <c r="AV5825" i="1"/>
  <c r="AW5824" i="1"/>
  <c r="AV5824" i="1"/>
  <c r="AW5823" i="1"/>
  <c r="AV5823" i="1"/>
  <c r="AW5822" i="1"/>
  <c r="AV5822" i="1"/>
  <c r="AW5821" i="1"/>
  <c r="AV5821" i="1"/>
  <c r="AW5820" i="1"/>
  <c r="AV5820" i="1"/>
  <c r="AW5819" i="1"/>
  <c r="AV5819" i="1"/>
  <c r="AW5818" i="1"/>
  <c r="AV5818" i="1"/>
  <c r="AU5818" i="1"/>
  <c r="AW5817" i="1"/>
  <c r="AV5817" i="1"/>
  <c r="AW5816" i="1"/>
  <c r="AV5816" i="1"/>
  <c r="AW5815" i="1"/>
  <c r="AV5815" i="1"/>
  <c r="AW5814" i="1"/>
  <c r="AV5814" i="1"/>
  <c r="AW5813" i="1"/>
  <c r="AV5813" i="1"/>
  <c r="AW5812" i="1"/>
  <c r="AV5812" i="1"/>
  <c r="AW5811" i="1"/>
  <c r="AV5811" i="1"/>
  <c r="AU5811" i="1"/>
  <c r="AW5810" i="1"/>
  <c r="AV5810" i="1"/>
  <c r="AU5810" i="1"/>
  <c r="AW5809" i="1"/>
  <c r="AV5809" i="1"/>
  <c r="AW5808" i="1"/>
  <c r="AV5808" i="1"/>
  <c r="AW5807" i="1"/>
  <c r="AV5807" i="1"/>
  <c r="AW5806" i="1"/>
  <c r="AV5806" i="1"/>
  <c r="AU5806" i="1"/>
  <c r="AW5805" i="1"/>
  <c r="AV5805" i="1"/>
  <c r="AU5805" i="1"/>
  <c r="AW5804" i="1"/>
  <c r="AV5804" i="1"/>
  <c r="AU5804" i="1"/>
  <c r="AW5803" i="1"/>
  <c r="AV5803" i="1"/>
  <c r="AU5803" i="1"/>
  <c r="AW5802" i="1"/>
  <c r="AV5802" i="1"/>
  <c r="AW5801" i="1"/>
  <c r="AV5801" i="1"/>
  <c r="AU5801" i="1"/>
  <c r="AW5800" i="1"/>
  <c r="AV5800" i="1"/>
  <c r="AU5800" i="1"/>
  <c r="AW5799" i="1"/>
  <c r="AV5799" i="1"/>
  <c r="AU5799" i="1"/>
  <c r="AW5798" i="1"/>
  <c r="AV5798" i="1"/>
  <c r="AW5797" i="1"/>
  <c r="AV5797" i="1"/>
  <c r="AW5796" i="1"/>
  <c r="AV5796" i="1"/>
  <c r="AW5795" i="1"/>
  <c r="AV5795" i="1"/>
  <c r="AW5794" i="1"/>
  <c r="AV5794" i="1"/>
  <c r="AW5793" i="1"/>
  <c r="AV5793" i="1"/>
  <c r="AW5792" i="1"/>
  <c r="AV5792" i="1"/>
  <c r="AU5792" i="1"/>
  <c r="AW5791" i="1"/>
  <c r="AV5791" i="1"/>
  <c r="AU5791" i="1"/>
  <c r="AW5790" i="1"/>
  <c r="AV5790" i="1"/>
  <c r="AW5789" i="1"/>
  <c r="AV5789" i="1"/>
  <c r="AW5788" i="1"/>
  <c r="AV5788" i="1"/>
  <c r="AU5788" i="1"/>
  <c r="AW5787" i="1"/>
  <c r="AV5787" i="1"/>
  <c r="AW5786" i="1"/>
  <c r="AV5786" i="1"/>
  <c r="AU5786" i="1"/>
  <c r="AW5785" i="1"/>
  <c r="AV5785" i="1"/>
  <c r="AW5784" i="1"/>
  <c r="AV5784" i="1"/>
  <c r="AU5784" i="1"/>
  <c r="AW5783" i="1"/>
  <c r="AV5783" i="1"/>
  <c r="AW5782" i="1"/>
  <c r="AV5782" i="1"/>
  <c r="AU5782" i="1"/>
  <c r="AW5781" i="1"/>
  <c r="AV5781" i="1"/>
  <c r="AW5780" i="1"/>
  <c r="AV5780" i="1"/>
  <c r="AW5779" i="1"/>
  <c r="AV5779" i="1"/>
  <c r="AU5779" i="1"/>
  <c r="AW5778" i="1"/>
  <c r="AV5778" i="1"/>
  <c r="AW5777" i="1"/>
  <c r="AV5777" i="1"/>
  <c r="AU5777" i="1"/>
  <c r="AW5776" i="1"/>
  <c r="AV5776" i="1"/>
  <c r="AW5775" i="1"/>
  <c r="AV5775" i="1"/>
  <c r="AW5774" i="1"/>
  <c r="AV5774" i="1"/>
  <c r="AW5773" i="1"/>
  <c r="AV5773" i="1"/>
  <c r="AW5772" i="1"/>
  <c r="AV5772" i="1"/>
  <c r="AW5771" i="1"/>
  <c r="AV5771" i="1"/>
  <c r="AW5770" i="1"/>
  <c r="AV5770" i="1"/>
  <c r="AU5770" i="1"/>
  <c r="AW5769" i="1"/>
  <c r="AV5769" i="1"/>
  <c r="AW5768" i="1"/>
  <c r="AV5768" i="1"/>
  <c r="AU5768" i="1"/>
  <c r="AW5767" i="1"/>
  <c r="AV5767" i="1"/>
  <c r="AW5766" i="1"/>
  <c r="AV5766" i="1"/>
  <c r="AU5766" i="1"/>
  <c r="AW5765" i="1"/>
  <c r="AV5765" i="1"/>
  <c r="AW5764" i="1"/>
  <c r="AV5764" i="1"/>
  <c r="AW5763" i="1"/>
  <c r="AV5763" i="1"/>
  <c r="AW5762" i="1"/>
  <c r="AV5762" i="1"/>
  <c r="AW5761" i="1"/>
  <c r="AV5761" i="1"/>
  <c r="AW5760" i="1"/>
  <c r="AV5760" i="1"/>
  <c r="AW5759" i="1"/>
  <c r="AV5759" i="1"/>
  <c r="AW5758" i="1"/>
  <c r="AV5758" i="1"/>
  <c r="AW5757" i="1"/>
  <c r="AV5757" i="1"/>
  <c r="AW5756" i="1"/>
  <c r="AV5756" i="1"/>
  <c r="AU5756" i="1"/>
  <c r="AW5755" i="1"/>
  <c r="AV5755" i="1"/>
  <c r="AW5754" i="1"/>
  <c r="AV5754" i="1"/>
  <c r="AW5753" i="1"/>
  <c r="AV5753" i="1"/>
  <c r="AW5752" i="1"/>
  <c r="AV5752" i="1"/>
  <c r="AW5751" i="1"/>
  <c r="AV5751" i="1"/>
  <c r="AW5750" i="1"/>
  <c r="AV5750" i="1"/>
  <c r="AW5749" i="1"/>
  <c r="AV5749" i="1"/>
  <c r="AW5748" i="1"/>
  <c r="AV5748" i="1"/>
  <c r="AW5747" i="1"/>
  <c r="AV5747" i="1"/>
  <c r="AU5747" i="1"/>
  <c r="AW5746" i="1"/>
  <c r="AV5746" i="1"/>
  <c r="AW5745" i="1"/>
  <c r="AV5745" i="1"/>
  <c r="AW5744" i="1"/>
  <c r="AV5744" i="1"/>
  <c r="AW5743" i="1"/>
  <c r="AV5743" i="1"/>
  <c r="AW5742" i="1"/>
  <c r="AV5742" i="1"/>
  <c r="AU5742" i="1"/>
  <c r="AW5741" i="1"/>
  <c r="AV5741" i="1"/>
  <c r="AW5740" i="1"/>
  <c r="AV5740" i="1"/>
  <c r="AW5739" i="1"/>
  <c r="AV5739" i="1"/>
  <c r="AW5738" i="1"/>
  <c r="AV5738" i="1"/>
  <c r="AW5737" i="1"/>
  <c r="AV5737" i="1"/>
  <c r="AW5736" i="1"/>
  <c r="AV5736" i="1"/>
  <c r="AW5735" i="1"/>
  <c r="AV5735" i="1"/>
  <c r="AW5734" i="1"/>
  <c r="AV5734" i="1"/>
  <c r="AW5733" i="1"/>
  <c r="AV5733" i="1"/>
  <c r="AW5732" i="1"/>
  <c r="AV5732" i="1"/>
  <c r="AU5732" i="1"/>
  <c r="AW5731" i="1"/>
  <c r="AV5731" i="1"/>
  <c r="AU5731" i="1"/>
  <c r="AW5730" i="1"/>
  <c r="AV5730" i="1"/>
  <c r="AW5729" i="1"/>
  <c r="AV5729" i="1"/>
  <c r="AW5728" i="1"/>
  <c r="AV5728" i="1"/>
  <c r="AW5727" i="1"/>
  <c r="AV5727" i="1"/>
  <c r="AU5727" i="1"/>
  <c r="AW5726" i="1"/>
  <c r="AV5726" i="1"/>
  <c r="AU5726" i="1"/>
  <c r="AW5725" i="1"/>
  <c r="AV5725" i="1"/>
  <c r="AW5724" i="1"/>
  <c r="AV5724" i="1"/>
  <c r="AW5723" i="1"/>
  <c r="AV5723" i="1"/>
  <c r="AW5722" i="1"/>
  <c r="AV5722" i="1"/>
  <c r="AW5721" i="1"/>
  <c r="AV5721" i="1"/>
  <c r="AU5721" i="1"/>
  <c r="AW5720" i="1"/>
  <c r="AV5720" i="1"/>
  <c r="AW5719" i="1"/>
  <c r="AV5719" i="1"/>
  <c r="AW5718" i="1"/>
  <c r="AV5718" i="1"/>
  <c r="AU5718" i="1"/>
  <c r="AW5717" i="1"/>
  <c r="AV5717" i="1"/>
  <c r="AW5716" i="1"/>
  <c r="AV5716" i="1"/>
  <c r="AW5715" i="1"/>
  <c r="AV5715" i="1"/>
  <c r="AW5714" i="1"/>
  <c r="AV5714" i="1"/>
  <c r="AW5713" i="1"/>
  <c r="AV5713" i="1"/>
  <c r="AW5712" i="1"/>
  <c r="AV5712" i="1"/>
  <c r="AW5711" i="1"/>
  <c r="AV5711" i="1"/>
  <c r="AW5710" i="1"/>
  <c r="AV5710" i="1"/>
  <c r="AW5709" i="1"/>
  <c r="AV5709" i="1"/>
  <c r="AW5708" i="1"/>
  <c r="AV5708" i="1"/>
  <c r="AW5707" i="1"/>
  <c r="AV5707" i="1"/>
  <c r="AW5706" i="1"/>
  <c r="AV5706" i="1"/>
  <c r="AW5705" i="1"/>
  <c r="AV5705" i="1"/>
  <c r="AW5704" i="1"/>
  <c r="AV5704" i="1"/>
  <c r="AW5703" i="1"/>
  <c r="AV5703" i="1"/>
  <c r="AU5703" i="1"/>
  <c r="AW5702" i="1"/>
  <c r="AV5702" i="1"/>
  <c r="AU5702" i="1"/>
  <c r="AW5701" i="1"/>
  <c r="AV5701" i="1"/>
  <c r="AW5700" i="1"/>
  <c r="AV5700" i="1"/>
  <c r="AU5700" i="1"/>
  <c r="AW5699" i="1"/>
  <c r="AV5699" i="1"/>
  <c r="AW5698" i="1"/>
  <c r="AV5698" i="1"/>
  <c r="AW5697" i="1"/>
  <c r="AV5697" i="1"/>
  <c r="AW5696" i="1"/>
  <c r="AV5696" i="1"/>
  <c r="AU5696" i="1"/>
  <c r="AW5695" i="1"/>
  <c r="AV5695" i="1"/>
  <c r="AW5694" i="1"/>
  <c r="AV5694" i="1"/>
  <c r="AW5693" i="1"/>
  <c r="AV5693" i="1"/>
  <c r="AW5692" i="1"/>
  <c r="AV5692" i="1"/>
  <c r="AW5691" i="1"/>
  <c r="AV5691" i="1"/>
  <c r="AW5690" i="1"/>
  <c r="AV5690" i="1"/>
  <c r="AW5689" i="1"/>
  <c r="AV5689" i="1"/>
  <c r="AW5688" i="1"/>
  <c r="AV5688" i="1"/>
  <c r="AU5688" i="1"/>
  <c r="AW5687" i="1"/>
  <c r="AV5687" i="1"/>
  <c r="AW5686" i="1"/>
  <c r="AV5686" i="1"/>
  <c r="AU5686" i="1"/>
  <c r="AW5685" i="1"/>
  <c r="AV5685" i="1"/>
  <c r="AU5685" i="1"/>
  <c r="AW5684" i="1"/>
  <c r="AV5684" i="1"/>
  <c r="AU5684" i="1"/>
  <c r="AW5683" i="1"/>
  <c r="AV5683" i="1"/>
  <c r="AW5682" i="1"/>
  <c r="AV5682" i="1"/>
  <c r="AU5682" i="1"/>
  <c r="AW5681" i="1"/>
  <c r="AV5681" i="1"/>
  <c r="AW5680" i="1"/>
  <c r="AV5680" i="1"/>
  <c r="AW5679" i="1"/>
  <c r="AV5679" i="1"/>
  <c r="AW5678" i="1"/>
  <c r="AV5678" i="1"/>
  <c r="AW5677" i="1"/>
  <c r="AV5677" i="1"/>
  <c r="AU5677" i="1"/>
  <c r="AW5676" i="1"/>
  <c r="AV5676" i="1"/>
  <c r="AW5675" i="1"/>
  <c r="AV5675" i="1"/>
  <c r="AW5674" i="1"/>
  <c r="AV5674" i="1"/>
  <c r="AU5674" i="1"/>
  <c r="AW5673" i="1"/>
  <c r="AV5673" i="1"/>
  <c r="AW5672" i="1"/>
  <c r="AV5672" i="1"/>
  <c r="AW5671" i="1"/>
  <c r="AV5671" i="1"/>
  <c r="AU5671" i="1"/>
  <c r="AW5670" i="1"/>
  <c r="AV5670" i="1"/>
  <c r="AU5670" i="1"/>
  <c r="AW5669" i="1"/>
  <c r="AV5669" i="1"/>
  <c r="AW5668" i="1"/>
  <c r="AV5668" i="1"/>
  <c r="AW5667" i="1"/>
  <c r="AV5667" i="1"/>
  <c r="AU5667" i="1"/>
  <c r="AW5666" i="1"/>
  <c r="AV5666" i="1"/>
  <c r="AU5666" i="1"/>
  <c r="AW5665" i="1"/>
  <c r="AV5665" i="1"/>
  <c r="AU5665" i="1"/>
  <c r="AW5664" i="1"/>
  <c r="AV5664" i="1"/>
  <c r="AW5663" i="1"/>
  <c r="AV5663" i="1"/>
  <c r="AW5662" i="1"/>
  <c r="AV5662" i="1"/>
  <c r="AW5661" i="1"/>
  <c r="AV5661" i="1"/>
  <c r="AW5660" i="1"/>
  <c r="AV5660" i="1"/>
  <c r="AW5659" i="1"/>
  <c r="AV5659" i="1"/>
  <c r="AW5658" i="1"/>
  <c r="AV5658" i="1"/>
  <c r="AW5657" i="1"/>
  <c r="AV5657" i="1"/>
  <c r="AW5656" i="1"/>
  <c r="AV5656" i="1"/>
  <c r="AU5656" i="1"/>
  <c r="AW5655" i="1"/>
  <c r="AV5655" i="1"/>
  <c r="AU5655" i="1"/>
  <c r="AW5654" i="1"/>
  <c r="AV5654" i="1"/>
  <c r="AW5653" i="1"/>
  <c r="AV5653" i="1"/>
  <c r="AW5652" i="1"/>
  <c r="AV5652" i="1"/>
  <c r="AU5652" i="1"/>
  <c r="AW5651" i="1"/>
  <c r="AV5651" i="1"/>
  <c r="AW5650" i="1"/>
  <c r="AV5650" i="1"/>
  <c r="AW5649" i="1"/>
  <c r="AV5649" i="1"/>
  <c r="AW5648" i="1"/>
  <c r="AV5648" i="1"/>
  <c r="AW5647" i="1"/>
  <c r="AV5647" i="1"/>
  <c r="AW5646" i="1"/>
  <c r="AV5646" i="1"/>
  <c r="AW5645" i="1"/>
  <c r="AV5645" i="1"/>
  <c r="AW5644" i="1"/>
  <c r="AV5644" i="1"/>
  <c r="AW5643" i="1"/>
  <c r="AV5643" i="1"/>
  <c r="AW5642" i="1"/>
  <c r="AV5642" i="1"/>
  <c r="AW5641" i="1"/>
  <c r="AV5641" i="1"/>
  <c r="AW5640" i="1"/>
  <c r="AV5640" i="1"/>
  <c r="AW5639" i="1"/>
  <c r="AV5639" i="1"/>
  <c r="AW5638" i="1"/>
  <c r="AV5638" i="1"/>
  <c r="AW5637" i="1"/>
  <c r="AV5637" i="1"/>
  <c r="AW5636" i="1"/>
  <c r="AV5636" i="1"/>
  <c r="AW5635" i="1"/>
  <c r="AV5635" i="1"/>
  <c r="AW5634" i="1"/>
  <c r="AV5634" i="1"/>
  <c r="AU5634" i="1"/>
  <c r="AW5633" i="1"/>
  <c r="AV5633" i="1"/>
  <c r="AW5632" i="1"/>
  <c r="AV5632" i="1"/>
  <c r="AW5631" i="1"/>
  <c r="AV5631" i="1"/>
  <c r="AW5630" i="1"/>
  <c r="AV5630" i="1"/>
  <c r="AW5629" i="1"/>
  <c r="AV5629" i="1"/>
  <c r="AW5628" i="1"/>
  <c r="AV5628" i="1"/>
  <c r="AW5627" i="1"/>
  <c r="AV5627" i="1"/>
  <c r="AW5626" i="1"/>
  <c r="AV5626" i="1"/>
  <c r="AW5625" i="1"/>
  <c r="AV5625" i="1"/>
  <c r="AW5624" i="1"/>
  <c r="AV5624" i="1"/>
  <c r="AW5623" i="1"/>
  <c r="AV5623" i="1"/>
  <c r="AW5622" i="1"/>
  <c r="AV5622" i="1"/>
  <c r="AW5621" i="1"/>
  <c r="AV5621" i="1"/>
  <c r="AW5620" i="1"/>
  <c r="AV5620" i="1"/>
  <c r="AW5619" i="1"/>
  <c r="AV5619" i="1"/>
  <c r="AW5618" i="1"/>
  <c r="AV5618" i="1"/>
  <c r="AW5617" i="1"/>
  <c r="AV5617" i="1"/>
  <c r="AW5616" i="1"/>
  <c r="AV5616" i="1"/>
  <c r="AW5615" i="1"/>
  <c r="AV5615" i="1"/>
  <c r="AW5614" i="1"/>
  <c r="AV5614" i="1"/>
  <c r="AU5614" i="1"/>
  <c r="AW5613" i="1"/>
  <c r="AV5613" i="1"/>
  <c r="AU5613" i="1"/>
  <c r="AW5612" i="1"/>
  <c r="AV5612" i="1"/>
  <c r="AW5611" i="1"/>
  <c r="AV5611" i="1"/>
  <c r="AW5610" i="1"/>
  <c r="AV5610" i="1"/>
  <c r="AW5609" i="1"/>
  <c r="AV5609" i="1"/>
  <c r="AW5608" i="1"/>
  <c r="AV5608" i="1"/>
  <c r="AW5607" i="1"/>
  <c r="AV5607" i="1"/>
  <c r="AW5606" i="1"/>
  <c r="AV5606" i="1"/>
  <c r="AW5605" i="1"/>
  <c r="AV5605" i="1"/>
  <c r="AU5605" i="1"/>
  <c r="AW5604" i="1"/>
  <c r="AV5604" i="1"/>
  <c r="AW5603" i="1"/>
  <c r="AV5603" i="1"/>
  <c r="AU5603" i="1"/>
  <c r="AW5602" i="1"/>
  <c r="AV5602" i="1"/>
  <c r="AW5601" i="1"/>
  <c r="AV5601" i="1"/>
  <c r="AW5600" i="1"/>
  <c r="AV5600" i="1"/>
  <c r="AW5599" i="1"/>
  <c r="AV5599" i="1"/>
  <c r="AW5598" i="1"/>
  <c r="AV5598" i="1"/>
  <c r="AW5597" i="1"/>
  <c r="AV5597" i="1"/>
  <c r="AW5596" i="1"/>
  <c r="AV5596" i="1"/>
  <c r="AW5595" i="1"/>
  <c r="AV5595" i="1"/>
  <c r="AW5594" i="1"/>
  <c r="AV5594" i="1"/>
  <c r="AW5593" i="1"/>
  <c r="AV5593" i="1"/>
  <c r="AW5592" i="1"/>
  <c r="AV5592" i="1"/>
  <c r="AW5591" i="1"/>
  <c r="AV5591" i="1"/>
  <c r="AW5590" i="1"/>
  <c r="AV5590" i="1"/>
  <c r="AW5589" i="1"/>
  <c r="AV5589" i="1"/>
  <c r="AW5588" i="1"/>
  <c r="AV5588" i="1"/>
  <c r="AW5587" i="1"/>
  <c r="AV5587" i="1"/>
  <c r="AW5586" i="1"/>
  <c r="AV5586" i="1"/>
  <c r="AW5585" i="1"/>
  <c r="AV5585" i="1"/>
  <c r="AW5584" i="1"/>
  <c r="AV5584" i="1"/>
  <c r="AW5583" i="1"/>
  <c r="AV5583" i="1"/>
  <c r="AW5582" i="1"/>
  <c r="AV5582" i="1"/>
  <c r="AW5581" i="1"/>
  <c r="AV5581" i="1"/>
  <c r="AU5581" i="1"/>
  <c r="AW5580" i="1"/>
  <c r="AV5580" i="1"/>
  <c r="AW5579" i="1"/>
  <c r="AV5579" i="1"/>
  <c r="AW5578" i="1"/>
  <c r="AV5578" i="1"/>
  <c r="AW5577" i="1"/>
  <c r="AV5577" i="1"/>
  <c r="AW5576" i="1"/>
  <c r="AV5576" i="1"/>
  <c r="AW5575" i="1"/>
  <c r="AV5575" i="1"/>
  <c r="AW5574" i="1"/>
  <c r="AV5574" i="1"/>
  <c r="AW5573" i="1"/>
  <c r="AV5573" i="1"/>
  <c r="AW5572" i="1"/>
  <c r="AV5572" i="1"/>
  <c r="AW5571" i="1"/>
  <c r="AV5571" i="1"/>
  <c r="AW5570" i="1"/>
  <c r="AV5570" i="1"/>
  <c r="AW5569" i="1"/>
  <c r="AV5569" i="1"/>
  <c r="AW5568" i="1"/>
  <c r="AV5568" i="1"/>
  <c r="AW5567" i="1"/>
  <c r="AV5567" i="1"/>
  <c r="AW5566" i="1"/>
  <c r="AV5566" i="1"/>
  <c r="AW5565" i="1"/>
  <c r="AV5565" i="1"/>
  <c r="AW5564" i="1"/>
  <c r="AV5564" i="1"/>
  <c r="AW5563" i="1"/>
  <c r="AV5563" i="1"/>
  <c r="AW5562" i="1"/>
  <c r="AV5562" i="1"/>
  <c r="AW5561" i="1"/>
  <c r="AV5561" i="1"/>
  <c r="AW5560" i="1"/>
  <c r="AV5560" i="1"/>
  <c r="AW5559" i="1"/>
  <c r="AV5559" i="1"/>
  <c r="AW5558" i="1"/>
  <c r="AV5558" i="1"/>
  <c r="AW5557" i="1"/>
  <c r="AV5557" i="1"/>
  <c r="AU5557" i="1"/>
  <c r="AW5556" i="1"/>
  <c r="AV5556" i="1"/>
  <c r="AW5555" i="1"/>
  <c r="AV5555" i="1"/>
  <c r="AW5554" i="1"/>
  <c r="AV5554" i="1"/>
  <c r="AW5553" i="1"/>
  <c r="AV5553" i="1"/>
  <c r="AW5552" i="1"/>
  <c r="AV5552" i="1"/>
  <c r="AW5551" i="1"/>
  <c r="AV5551" i="1"/>
  <c r="AW5550" i="1"/>
  <c r="AV5550" i="1"/>
  <c r="AW5549" i="1"/>
  <c r="AV5549" i="1"/>
  <c r="AU5549" i="1"/>
  <c r="AW5548" i="1"/>
  <c r="AV5548" i="1"/>
  <c r="AW5547" i="1"/>
  <c r="AV5547" i="1"/>
  <c r="AU5547" i="1"/>
  <c r="AW5546" i="1"/>
  <c r="AV5546" i="1"/>
  <c r="AW5545" i="1"/>
  <c r="AV5545" i="1"/>
  <c r="AW5544" i="1"/>
  <c r="AV5544" i="1"/>
  <c r="AW5543" i="1"/>
  <c r="AV5543" i="1"/>
  <c r="AW5542" i="1"/>
  <c r="AV5542" i="1"/>
  <c r="AW5541" i="1"/>
  <c r="AV5541" i="1"/>
  <c r="AW5540" i="1"/>
  <c r="AV5540" i="1"/>
  <c r="AW5539" i="1"/>
  <c r="AV5539" i="1"/>
  <c r="AW5538" i="1"/>
  <c r="AV5538" i="1"/>
  <c r="AW5537" i="1"/>
  <c r="AV5537" i="1"/>
  <c r="AW5536" i="1"/>
  <c r="AV5536" i="1"/>
  <c r="AW5535" i="1"/>
  <c r="AV5535" i="1"/>
  <c r="AW5534" i="1"/>
  <c r="AV5534" i="1"/>
  <c r="AW5533" i="1"/>
  <c r="AV5533" i="1"/>
  <c r="AW5532" i="1"/>
  <c r="AV5532" i="1"/>
  <c r="AW5531" i="1"/>
  <c r="AV5531" i="1"/>
  <c r="AW5530" i="1"/>
  <c r="AV5530" i="1"/>
  <c r="AU5530" i="1"/>
  <c r="AW5529" i="1"/>
  <c r="AV5529" i="1"/>
  <c r="AW5528" i="1"/>
  <c r="AV5528" i="1"/>
  <c r="AW5527" i="1"/>
  <c r="AV5527" i="1"/>
  <c r="AW5526" i="1"/>
  <c r="AV5526" i="1"/>
  <c r="AW5525" i="1"/>
  <c r="AV5525" i="1"/>
  <c r="AW5524" i="1"/>
  <c r="AV5524" i="1"/>
  <c r="AW5523" i="1"/>
  <c r="AV5523" i="1"/>
  <c r="AW5522" i="1"/>
  <c r="AV5522" i="1"/>
  <c r="AW5521" i="1"/>
  <c r="AV5521" i="1"/>
  <c r="AW5520" i="1"/>
  <c r="AV5520" i="1"/>
  <c r="AW5519" i="1"/>
  <c r="AV5519" i="1"/>
  <c r="AU5519" i="1"/>
  <c r="AW5518" i="1"/>
  <c r="AV5518" i="1"/>
  <c r="AW5517" i="1"/>
  <c r="AV5517" i="1"/>
  <c r="AW5516" i="1"/>
  <c r="AV5516" i="1"/>
  <c r="AW5515" i="1"/>
  <c r="AV5515" i="1"/>
  <c r="AW5514" i="1"/>
  <c r="AV5514" i="1"/>
  <c r="AW5513" i="1"/>
  <c r="AV5513" i="1"/>
  <c r="AU5513" i="1"/>
  <c r="AW5512" i="1"/>
  <c r="AV5512" i="1"/>
  <c r="AW5511" i="1"/>
  <c r="AV5511" i="1"/>
  <c r="AW5510" i="1"/>
  <c r="AV5510" i="1"/>
  <c r="AW5509" i="1"/>
  <c r="AV5509" i="1"/>
  <c r="AW5508" i="1"/>
  <c r="AV5508" i="1"/>
  <c r="AU5508" i="1"/>
  <c r="AW5507" i="1"/>
  <c r="AV5507" i="1"/>
  <c r="AW5506" i="1"/>
  <c r="AV5506" i="1"/>
  <c r="AW5505" i="1"/>
  <c r="AV5505" i="1"/>
  <c r="AW5504" i="1"/>
  <c r="AV5504" i="1"/>
  <c r="AW5503" i="1"/>
  <c r="AV5503" i="1"/>
  <c r="AW5502" i="1"/>
  <c r="AV5502" i="1"/>
  <c r="AW5501" i="1"/>
  <c r="AV5501" i="1"/>
  <c r="AW5500" i="1"/>
  <c r="AV5500" i="1"/>
  <c r="AW5499" i="1"/>
  <c r="AV5499" i="1"/>
  <c r="AW5498" i="1"/>
  <c r="AV5498" i="1"/>
  <c r="AU5498" i="1"/>
  <c r="AW5497" i="1"/>
  <c r="AV5497" i="1"/>
  <c r="AW5496" i="1"/>
  <c r="AV5496" i="1"/>
  <c r="AW5495" i="1"/>
  <c r="AV5495" i="1"/>
  <c r="AW5494" i="1"/>
  <c r="AV5494" i="1"/>
  <c r="AW5493" i="1"/>
  <c r="AV5493" i="1"/>
  <c r="AU5493" i="1"/>
  <c r="AW5492" i="1"/>
  <c r="AV5492" i="1"/>
  <c r="AU5492" i="1"/>
  <c r="AW5491" i="1"/>
  <c r="AV5491" i="1"/>
  <c r="AU5491" i="1"/>
  <c r="AW5490" i="1"/>
  <c r="AV5490" i="1"/>
  <c r="AU5490" i="1"/>
  <c r="AW5489" i="1"/>
  <c r="AV5489" i="1"/>
  <c r="AW5488" i="1"/>
  <c r="AV5488" i="1"/>
  <c r="AW5487" i="1"/>
  <c r="AV5487" i="1"/>
  <c r="AW5486" i="1"/>
  <c r="AV5486" i="1"/>
  <c r="AW5485" i="1"/>
  <c r="AV5485" i="1"/>
  <c r="AW5484" i="1"/>
  <c r="AV5484" i="1"/>
  <c r="AW5483" i="1"/>
  <c r="AV5483" i="1"/>
  <c r="AW5482" i="1"/>
  <c r="AV5482" i="1"/>
  <c r="AW5481" i="1"/>
  <c r="AV5481" i="1"/>
  <c r="AW5480" i="1"/>
  <c r="AV5480" i="1"/>
  <c r="AW5479" i="1"/>
  <c r="AV5479" i="1"/>
  <c r="AW5478" i="1"/>
  <c r="AV5478" i="1"/>
  <c r="AU5478" i="1"/>
  <c r="AW5477" i="1"/>
  <c r="AV5477" i="1"/>
  <c r="AW5476" i="1"/>
  <c r="AV5476" i="1"/>
  <c r="AW5475" i="1"/>
  <c r="AV5475" i="1"/>
  <c r="AU5475" i="1"/>
  <c r="AW5474" i="1"/>
  <c r="AV5474" i="1"/>
  <c r="AU5474" i="1"/>
  <c r="AW5473" i="1"/>
  <c r="AV5473" i="1"/>
  <c r="AW5472" i="1"/>
  <c r="AV5472" i="1"/>
  <c r="AW5471" i="1"/>
  <c r="AV5471" i="1"/>
  <c r="AW5470" i="1"/>
  <c r="AV5470" i="1"/>
  <c r="AW5469" i="1"/>
  <c r="AV5469" i="1"/>
  <c r="AW5468" i="1"/>
  <c r="AV5468" i="1"/>
  <c r="AW5467" i="1"/>
  <c r="AV5467" i="1"/>
  <c r="AW5466" i="1"/>
  <c r="AV5466" i="1"/>
  <c r="AW5465" i="1"/>
  <c r="AV5465" i="1"/>
  <c r="AW5464" i="1"/>
  <c r="AV5464" i="1"/>
  <c r="AU5464" i="1"/>
  <c r="AW5463" i="1"/>
  <c r="AV5463" i="1"/>
  <c r="AW5462" i="1"/>
  <c r="AV5462" i="1"/>
  <c r="AW5461" i="1"/>
  <c r="AV5461" i="1"/>
  <c r="AW5460" i="1"/>
  <c r="AV5460" i="1"/>
  <c r="AW5459" i="1"/>
  <c r="AV5459" i="1"/>
  <c r="AW5458" i="1"/>
  <c r="AV5458" i="1"/>
  <c r="AW5457" i="1"/>
  <c r="AV5457" i="1"/>
  <c r="AW5456" i="1"/>
  <c r="AV5456" i="1"/>
  <c r="AW5455" i="1"/>
  <c r="AV5455" i="1"/>
  <c r="AW5454" i="1"/>
  <c r="AV5454" i="1"/>
  <c r="AW5453" i="1"/>
  <c r="AV5453" i="1"/>
  <c r="AW5452" i="1"/>
  <c r="AV5452" i="1"/>
  <c r="AW5451" i="1"/>
  <c r="AV5451" i="1"/>
  <c r="AW5450" i="1"/>
  <c r="AV5450" i="1"/>
  <c r="AW5449" i="1"/>
  <c r="AV5449" i="1"/>
  <c r="AW5448" i="1"/>
  <c r="AV5448" i="1"/>
  <c r="AW5447" i="1"/>
  <c r="AV5447" i="1"/>
  <c r="AW5446" i="1"/>
  <c r="AV5446" i="1"/>
  <c r="AW5445" i="1"/>
  <c r="AV5445" i="1"/>
  <c r="AU5445" i="1"/>
  <c r="AW5444" i="1"/>
  <c r="AV5444" i="1"/>
  <c r="AW5443" i="1"/>
  <c r="AV5443" i="1"/>
  <c r="AW5442" i="1"/>
  <c r="AV5442" i="1"/>
  <c r="AW5441" i="1"/>
  <c r="AV5441" i="1"/>
  <c r="AW5440" i="1"/>
  <c r="AV5440" i="1"/>
  <c r="AW5439" i="1"/>
  <c r="AV5439" i="1"/>
  <c r="AW5438" i="1"/>
  <c r="AV5438" i="1"/>
  <c r="AW5437" i="1"/>
  <c r="AV5437" i="1"/>
  <c r="AW5436" i="1"/>
  <c r="AV5436" i="1"/>
  <c r="AW5435" i="1"/>
  <c r="AV5435" i="1"/>
  <c r="AW5434" i="1"/>
  <c r="AV5434" i="1"/>
  <c r="AW5433" i="1"/>
  <c r="AV5433" i="1"/>
  <c r="AW5432" i="1"/>
  <c r="AV5432" i="1"/>
  <c r="AW5431" i="1"/>
  <c r="AV5431" i="1"/>
  <c r="AW5430" i="1"/>
  <c r="AV5430" i="1"/>
  <c r="AW5429" i="1"/>
  <c r="AV5429" i="1"/>
  <c r="AW5428" i="1"/>
  <c r="AV5428" i="1"/>
  <c r="AW5427" i="1"/>
  <c r="AV5427" i="1"/>
  <c r="AW5426" i="1"/>
  <c r="AV5426" i="1"/>
  <c r="AU5426" i="1"/>
  <c r="AW5425" i="1"/>
  <c r="AV5425" i="1"/>
  <c r="AU5425" i="1"/>
  <c r="AW5424" i="1"/>
  <c r="AV5424" i="1"/>
  <c r="AU5424" i="1"/>
  <c r="AW5423" i="1"/>
  <c r="AV5423" i="1"/>
  <c r="AW5422" i="1"/>
  <c r="AV5422" i="1"/>
  <c r="AW5421" i="1"/>
  <c r="AV5421" i="1"/>
  <c r="AW5420" i="1"/>
  <c r="AV5420" i="1"/>
  <c r="AW5419" i="1"/>
  <c r="AV5419" i="1"/>
  <c r="AW5418" i="1"/>
  <c r="AV5418" i="1"/>
  <c r="AW5417" i="1"/>
  <c r="AV5417" i="1"/>
  <c r="AW5416" i="1"/>
  <c r="AV5416" i="1"/>
  <c r="AW5415" i="1"/>
  <c r="AV5415" i="1"/>
  <c r="AW5414" i="1"/>
  <c r="AV5414" i="1"/>
  <c r="AW5413" i="1"/>
  <c r="AV5413" i="1"/>
  <c r="AW5412" i="1"/>
  <c r="AV5412" i="1"/>
  <c r="AW5411" i="1"/>
  <c r="AV5411" i="1"/>
  <c r="AW5410" i="1"/>
  <c r="AV5410" i="1"/>
  <c r="AW5409" i="1"/>
  <c r="AV5409" i="1"/>
  <c r="AW5408" i="1"/>
  <c r="AV5408" i="1"/>
  <c r="AW5407" i="1"/>
  <c r="AV5407" i="1"/>
  <c r="AW5406" i="1"/>
  <c r="AV5406" i="1"/>
  <c r="AW5405" i="1"/>
  <c r="AV5405" i="1"/>
  <c r="AU5405" i="1"/>
  <c r="AW5404" i="1"/>
  <c r="AV5404" i="1"/>
  <c r="AU5404" i="1"/>
  <c r="AW5403" i="1"/>
  <c r="AV5403" i="1"/>
  <c r="AU5403" i="1"/>
  <c r="AW5402" i="1"/>
  <c r="AV5402" i="1"/>
  <c r="AU5402" i="1"/>
  <c r="AW5401" i="1"/>
  <c r="AV5401" i="1"/>
  <c r="AW5400" i="1"/>
  <c r="AV5400" i="1"/>
  <c r="AW5399" i="1"/>
  <c r="AV5399" i="1"/>
  <c r="AW5398" i="1"/>
  <c r="AV5398" i="1"/>
  <c r="AU5398" i="1"/>
  <c r="AW5397" i="1"/>
  <c r="AV5397" i="1"/>
  <c r="AU5397" i="1"/>
  <c r="AW5396" i="1"/>
  <c r="AV5396" i="1"/>
  <c r="AU5396" i="1"/>
  <c r="AW5395" i="1"/>
  <c r="AV5395" i="1"/>
  <c r="AU5395" i="1"/>
  <c r="AW5394" i="1"/>
  <c r="AV5394" i="1"/>
  <c r="AU5394" i="1"/>
  <c r="AW5393" i="1"/>
  <c r="AV5393" i="1"/>
  <c r="AW5392" i="1"/>
  <c r="AV5392" i="1"/>
  <c r="AW5391" i="1"/>
  <c r="AV5391" i="1"/>
  <c r="AW5390" i="1"/>
  <c r="AV5390" i="1"/>
  <c r="AW5389" i="1"/>
  <c r="AV5389" i="1"/>
  <c r="AW5388" i="1"/>
  <c r="AV5388" i="1"/>
  <c r="AW5387" i="1"/>
  <c r="AV5387" i="1"/>
  <c r="AW5386" i="1"/>
  <c r="AV5386" i="1"/>
  <c r="AW5385" i="1"/>
  <c r="AV5385" i="1"/>
  <c r="AW5384" i="1"/>
  <c r="AV5384" i="1"/>
  <c r="AW5383" i="1"/>
  <c r="AV5383" i="1"/>
  <c r="AW5382" i="1"/>
  <c r="AV5382" i="1"/>
  <c r="AW5381" i="1"/>
  <c r="AV5381" i="1"/>
  <c r="AW5380" i="1"/>
  <c r="AV5380" i="1"/>
  <c r="AW5379" i="1"/>
  <c r="AV5379" i="1"/>
  <c r="AW5378" i="1"/>
  <c r="AV5378" i="1"/>
  <c r="AW5377" i="1"/>
  <c r="AV5377" i="1"/>
  <c r="AU5377" i="1"/>
  <c r="AW5376" i="1"/>
  <c r="AV5376" i="1"/>
  <c r="AU5376" i="1"/>
  <c r="AW5375" i="1"/>
  <c r="AV5375" i="1"/>
  <c r="AU5375" i="1"/>
  <c r="AW5374" i="1"/>
  <c r="AV5374" i="1"/>
  <c r="AU5374" i="1"/>
  <c r="AW5373" i="1"/>
  <c r="AV5373" i="1"/>
  <c r="AU5373" i="1"/>
  <c r="AW5372" i="1"/>
  <c r="AV5372" i="1"/>
  <c r="AW5371" i="1"/>
  <c r="AV5371" i="1"/>
  <c r="AW5370" i="1"/>
  <c r="AV5370" i="1"/>
  <c r="AW5369" i="1"/>
  <c r="AV5369" i="1"/>
  <c r="AU5369" i="1"/>
  <c r="AW5368" i="1"/>
  <c r="AV5368" i="1"/>
  <c r="AW5367" i="1"/>
  <c r="AV5367" i="1"/>
  <c r="AW5366" i="1"/>
  <c r="AV5366" i="1"/>
  <c r="AW5365" i="1"/>
  <c r="AV5365" i="1"/>
  <c r="AW5364" i="1"/>
  <c r="AV5364" i="1"/>
  <c r="AW5363" i="1"/>
  <c r="AV5363" i="1"/>
  <c r="AW5362" i="1"/>
  <c r="AV5362" i="1"/>
  <c r="AW5361" i="1"/>
  <c r="AV5361" i="1"/>
  <c r="AW5360" i="1"/>
  <c r="AV5360" i="1"/>
  <c r="AW5359" i="1"/>
  <c r="AV5359" i="1"/>
  <c r="AW5358" i="1"/>
  <c r="AV5358" i="1"/>
  <c r="AW5357" i="1"/>
  <c r="AV5357" i="1"/>
  <c r="AU5357" i="1"/>
  <c r="AW5356" i="1"/>
  <c r="AV5356" i="1"/>
  <c r="AW5355" i="1"/>
  <c r="AV5355" i="1"/>
  <c r="AU5355" i="1"/>
  <c r="AW5354" i="1"/>
  <c r="AV5354" i="1"/>
  <c r="AW5353" i="1"/>
  <c r="AV5353" i="1"/>
  <c r="AW5352" i="1"/>
  <c r="AV5352" i="1"/>
  <c r="AU5352" i="1"/>
  <c r="AW5351" i="1"/>
  <c r="AV5351" i="1"/>
  <c r="AW5350" i="1"/>
  <c r="AV5350" i="1"/>
  <c r="AW5349" i="1"/>
  <c r="AV5349" i="1"/>
  <c r="AW5348" i="1"/>
  <c r="AV5348" i="1"/>
  <c r="AW5347" i="1"/>
  <c r="AV5347" i="1"/>
  <c r="AW5346" i="1"/>
  <c r="AV5346" i="1"/>
  <c r="AW5345" i="1"/>
  <c r="AV5345" i="1"/>
  <c r="AW5344" i="1"/>
  <c r="AV5344" i="1"/>
  <c r="AW5343" i="1"/>
  <c r="AV5343" i="1"/>
  <c r="AW5342" i="1"/>
  <c r="AV5342" i="1"/>
  <c r="AW5341" i="1"/>
  <c r="AV5341" i="1"/>
  <c r="AW5340" i="1"/>
  <c r="AV5340" i="1"/>
  <c r="AW5339" i="1"/>
  <c r="AV5339" i="1"/>
  <c r="AU5339" i="1"/>
  <c r="AW5338" i="1"/>
  <c r="AV5338" i="1"/>
  <c r="AW5337" i="1"/>
  <c r="AV5337" i="1"/>
  <c r="AW5336" i="1"/>
  <c r="AV5336" i="1"/>
  <c r="AW5335" i="1"/>
  <c r="AV5335" i="1"/>
  <c r="AW5334" i="1"/>
  <c r="AV5334" i="1"/>
  <c r="AW5333" i="1"/>
  <c r="AV5333" i="1"/>
  <c r="AW5332" i="1"/>
  <c r="AV5332" i="1"/>
  <c r="AW5331" i="1"/>
  <c r="AV5331" i="1"/>
  <c r="AW5330" i="1"/>
  <c r="AV5330" i="1"/>
  <c r="AW5329" i="1"/>
  <c r="AV5329" i="1"/>
  <c r="AW5328" i="1"/>
  <c r="AV5328" i="1"/>
  <c r="AU5328" i="1"/>
  <c r="AW5327" i="1"/>
  <c r="AV5327" i="1"/>
  <c r="AW5326" i="1"/>
  <c r="AV5326" i="1"/>
  <c r="AW5325" i="1"/>
  <c r="AV5325" i="1"/>
  <c r="AU5325" i="1"/>
  <c r="AW5324" i="1"/>
  <c r="AV5324" i="1"/>
  <c r="AW5323" i="1"/>
  <c r="AV5323" i="1"/>
  <c r="AU5323" i="1"/>
  <c r="AW5322" i="1"/>
  <c r="AV5322" i="1"/>
  <c r="AW5321" i="1"/>
  <c r="AV5321" i="1"/>
  <c r="AW5320" i="1"/>
  <c r="AV5320" i="1"/>
  <c r="AW5319" i="1"/>
  <c r="AV5319" i="1"/>
  <c r="AU5319" i="1"/>
  <c r="AW5318" i="1"/>
  <c r="AV5318" i="1"/>
  <c r="AU5318" i="1"/>
  <c r="AW5317" i="1"/>
  <c r="AV5317" i="1"/>
  <c r="AW5316" i="1"/>
  <c r="AV5316" i="1"/>
  <c r="AW5315" i="1"/>
  <c r="AV5315" i="1"/>
  <c r="AW5314" i="1"/>
  <c r="AV5314" i="1"/>
  <c r="AW5313" i="1"/>
  <c r="AV5313" i="1"/>
  <c r="AW5312" i="1"/>
  <c r="AV5312" i="1"/>
  <c r="AW5311" i="1"/>
  <c r="AV5311" i="1"/>
  <c r="AW5310" i="1"/>
  <c r="AV5310" i="1"/>
  <c r="AW5309" i="1"/>
  <c r="AV5309" i="1"/>
  <c r="AU5309" i="1"/>
  <c r="AW5308" i="1"/>
  <c r="AV5308" i="1"/>
  <c r="AW5307" i="1"/>
  <c r="AV5307" i="1"/>
  <c r="AW5306" i="1"/>
  <c r="AV5306" i="1"/>
  <c r="AW5305" i="1"/>
  <c r="AV5305" i="1"/>
  <c r="AW5304" i="1"/>
  <c r="AV5304" i="1"/>
  <c r="AW5303" i="1"/>
  <c r="AV5303" i="1"/>
  <c r="AW5302" i="1"/>
  <c r="AV5302" i="1"/>
  <c r="AW5301" i="1"/>
  <c r="AV5301" i="1"/>
  <c r="AU5301" i="1"/>
  <c r="AW5300" i="1"/>
  <c r="AV5300" i="1"/>
  <c r="AW5299" i="1"/>
  <c r="AV5299" i="1"/>
  <c r="AW5298" i="1"/>
  <c r="AV5298" i="1"/>
  <c r="AW5297" i="1"/>
  <c r="AV5297" i="1"/>
  <c r="AW5296" i="1"/>
  <c r="AV5296" i="1"/>
  <c r="AW5295" i="1"/>
  <c r="AV5295" i="1"/>
  <c r="AW5294" i="1"/>
  <c r="AV5294" i="1"/>
  <c r="AW5293" i="1"/>
  <c r="AV5293" i="1"/>
  <c r="AU5293" i="1"/>
  <c r="AW5292" i="1"/>
  <c r="AV5292" i="1"/>
  <c r="AW5291" i="1"/>
  <c r="AV5291" i="1"/>
  <c r="AW5290" i="1"/>
  <c r="AV5290" i="1"/>
  <c r="AW5289" i="1"/>
  <c r="AV5289" i="1"/>
  <c r="AW5288" i="1"/>
  <c r="AV5288" i="1"/>
  <c r="AW5287" i="1"/>
  <c r="AV5287" i="1"/>
  <c r="AW5286" i="1"/>
  <c r="AV5286" i="1"/>
  <c r="AW5285" i="1"/>
  <c r="AV5285" i="1"/>
  <c r="AU5285" i="1"/>
  <c r="AW5284" i="1"/>
  <c r="AV5284" i="1"/>
  <c r="AU5284" i="1"/>
  <c r="AW5283" i="1"/>
  <c r="AV5283" i="1"/>
  <c r="AU5283" i="1"/>
  <c r="AW5282" i="1"/>
  <c r="AV5282" i="1"/>
  <c r="AU5282" i="1"/>
  <c r="AW5281" i="1"/>
  <c r="AV5281" i="1"/>
  <c r="AW5280" i="1"/>
  <c r="AV5280" i="1"/>
  <c r="AW5279" i="1"/>
  <c r="AV5279" i="1"/>
  <c r="AW5278" i="1"/>
  <c r="AV5278" i="1"/>
  <c r="AW5277" i="1"/>
  <c r="AV5277" i="1"/>
  <c r="AU5277" i="1"/>
  <c r="AW5276" i="1"/>
  <c r="AV5276" i="1"/>
  <c r="AU5276" i="1"/>
  <c r="AW5275" i="1"/>
  <c r="AV5275" i="1"/>
  <c r="AW5274" i="1"/>
  <c r="AV5274" i="1"/>
  <c r="AW5273" i="1"/>
  <c r="AV5273" i="1"/>
  <c r="AW5272" i="1"/>
  <c r="AV5272" i="1"/>
  <c r="AW5271" i="1"/>
  <c r="AV5271" i="1"/>
  <c r="AW5270" i="1"/>
  <c r="AV5270" i="1"/>
  <c r="AW5269" i="1"/>
  <c r="AV5269" i="1"/>
  <c r="AW5268" i="1"/>
  <c r="AV5268" i="1"/>
  <c r="AW5267" i="1"/>
  <c r="AV5267" i="1"/>
  <c r="AW5266" i="1"/>
  <c r="AV5266" i="1"/>
  <c r="AU5266" i="1"/>
  <c r="AW5265" i="1"/>
  <c r="AV5265" i="1"/>
  <c r="AW5264" i="1"/>
  <c r="AV5264" i="1"/>
  <c r="AW5263" i="1"/>
  <c r="AV5263" i="1"/>
  <c r="AW5262" i="1"/>
  <c r="AV5262" i="1"/>
  <c r="AW5261" i="1"/>
  <c r="AV5261" i="1"/>
  <c r="AU5261" i="1"/>
  <c r="AW5260" i="1"/>
  <c r="AV5260" i="1"/>
  <c r="AU5260" i="1"/>
  <c r="AW5259" i="1"/>
  <c r="AV5259" i="1"/>
  <c r="AU5259" i="1"/>
  <c r="AW5258" i="1"/>
  <c r="AV5258" i="1"/>
  <c r="AW5257" i="1"/>
  <c r="AV5257" i="1"/>
  <c r="AW5256" i="1"/>
  <c r="AV5256" i="1"/>
  <c r="AW5255" i="1"/>
  <c r="AV5255" i="1"/>
  <c r="AW5254" i="1"/>
  <c r="AV5254" i="1"/>
  <c r="AW5253" i="1"/>
  <c r="AV5253" i="1"/>
  <c r="AW5252" i="1"/>
  <c r="AV5252" i="1"/>
  <c r="AW5251" i="1"/>
  <c r="AV5251" i="1"/>
  <c r="AW5250" i="1"/>
  <c r="AV5250" i="1"/>
  <c r="AU5250" i="1"/>
  <c r="AW5249" i="1"/>
  <c r="AV5249" i="1"/>
  <c r="AW5248" i="1"/>
  <c r="AV5248" i="1"/>
  <c r="AW5247" i="1"/>
  <c r="AV5247" i="1"/>
  <c r="AW5246" i="1"/>
  <c r="AV5246" i="1"/>
  <c r="AU5246" i="1"/>
  <c r="AW5245" i="1"/>
  <c r="AV5245" i="1"/>
  <c r="AW5244" i="1"/>
  <c r="AV5244" i="1"/>
  <c r="AW5243" i="1"/>
  <c r="AV5243" i="1"/>
  <c r="AW5242" i="1"/>
  <c r="AV5242" i="1"/>
  <c r="AW5241" i="1"/>
  <c r="AV5241" i="1"/>
  <c r="AW5240" i="1"/>
  <c r="AV5240" i="1"/>
  <c r="AW5239" i="1"/>
  <c r="AV5239" i="1"/>
  <c r="AU5239" i="1"/>
  <c r="AW5238" i="1"/>
  <c r="AV5238" i="1"/>
  <c r="AU5238" i="1"/>
  <c r="AW5237" i="1"/>
  <c r="AV5237" i="1"/>
  <c r="AU5237" i="1"/>
  <c r="AW5236" i="1"/>
  <c r="AV5236" i="1"/>
  <c r="AU5236" i="1"/>
  <c r="AW5235" i="1"/>
  <c r="AV5235" i="1"/>
  <c r="AU5235" i="1"/>
  <c r="AW5234" i="1"/>
  <c r="AV5234" i="1"/>
  <c r="AU5234" i="1"/>
  <c r="AW5233" i="1"/>
  <c r="AV5233" i="1"/>
  <c r="AU5233" i="1"/>
  <c r="AW5232" i="1"/>
  <c r="AV5232" i="1"/>
  <c r="AW5231" i="1"/>
  <c r="AV5231" i="1"/>
  <c r="AW5230" i="1"/>
  <c r="AV5230" i="1"/>
  <c r="AU5230" i="1"/>
  <c r="AW5229" i="1"/>
  <c r="AV5229" i="1"/>
  <c r="AU5229" i="1"/>
  <c r="AW5228" i="1"/>
  <c r="AV5228" i="1"/>
  <c r="AU5228" i="1"/>
  <c r="AW5227" i="1"/>
  <c r="AV5227" i="1"/>
  <c r="AU5227" i="1"/>
  <c r="AW5226" i="1"/>
  <c r="AV5226" i="1"/>
  <c r="AU5226" i="1"/>
  <c r="AW5225" i="1"/>
  <c r="AV5225" i="1"/>
  <c r="AW5224" i="1"/>
  <c r="AV5224" i="1"/>
  <c r="AW5223" i="1"/>
  <c r="AV5223" i="1"/>
  <c r="AW5222" i="1"/>
  <c r="AV5222" i="1"/>
  <c r="AW5221" i="1"/>
  <c r="AV5221" i="1"/>
  <c r="AW5220" i="1"/>
  <c r="AV5220" i="1"/>
  <c r="AW5219" i="1"/>
  <c r="AV5219" i="1"/>
  <c r="AW5218" i="1"/>
  <c r="AV5218" i="1"/>
  <c r="AU5218" i="1"/>
  <c r="AW5217" i="1"/>
  <c r="AV5217" i="1"/>
  <c r="AW5216" i="1"/>
  <c r="AV5216" i="1"/>
  <c r="AW5215" i="1"/>
  <c r="AV5215" i="1"/>
  <c r="AW5214" i="1"/>
  <c r="AV5214" i="1"/>
  <c r="AW5213" i="1"/>
  <c r="AV5213" i="1"/>
  <c r="AW5212" i="1"/>
  <c r="AV5212" i="1"/>
  <c r="AW5211" i="1"/>
  <c r="AV5211" i="1"/>
  <c r="AU5211" i="1"/>
  <c r="AW5210" i="1"/>
  <c r="AV5210" i="1"/>
  <c r="AW5209" i="1"/>
  <c r="AV5209" i="1"/>
  <c r="AW5208" i="1"/>
  <c r="AV5208" i="1"/>
  <c r="AW5207" i="1"/>
  <c r="AV5207" i="1"/>
  <c r="AW5206" i="1"/>
  <c r="AV5206" i="1"/>
  <c r="AW5205" i="1"/>
  <c r="AV5205" i="1"/>
  <c r="AW5204" i="1"/>
  <c r="AV5204" i="1"/>
  <c r="AW5203" i="1"/>
  <c r="AV5203" i="1"/>
  <c r="AU5203" i="1"/>
  <c r="AW5202" i="1"/>
  <c r="AV5202" i="1"/>
  <c r="AW5201" i="1"/>
  <c r="AV5201" i="1"/>
  <c r="AW5200" i="1"/>
  <c r="AV5200" i="1"/>
  <c r="AU5200" i="1"/>
  <c r="AW5199" i="1"/>
  <c r="AV5199" i="1"/>
  <c r="AU5199" i="1"/>
  <c r="AW5198" i="1"/>
  <c r="AV5198" i="1"/>
  <c r="AU5198" i="1"/>
  <c r="AW5197" i="1"/>
  <c r="AV5197" i="1"/>
  <c r="AW5196" i="1"/>
  <c r="AV5196" i="1"/>
  <c r="AU5196" i="1"/>
  <c r="AW5195" i="1"/>
  <c r="AV5195" i="1"/>
  <c r="AW5194" i="1"/>
  <c r="AV5194" i="1"/>
  <c r="AW5193" i="1"/>
  <c r="AV5193" i="1"/>
  <c r="AW5192" i="1"/>
  <c r="AV5192" i="1"/>
  <c r="AW5191" i="1"/>
  <c r="AV5191" i="1"/>
  <c r="AU5191" i="1"/>
  <c r="AW5190" i="1"/>
  <c r="AV5190" i="1"/>
  <c r="AW5189" i="1"/>
  <c r="AV5189" i="1"/>
  <c r="AW5188" i="1"/>
  <c r="AV5188" i="1"/>
  <c r="AW5187" i="1"/>
  <c r="AV5187" i="1"/>
  <c r="AW5186" i="1"/>
  <c r="AV5186" i="1"/>
  <c r="AW5185" i="1"/>
  <c r="AV5185" i="1"/>
  <c r="AW5184" i="1"/>
  <c r="AV5184" i="1"/>
  <c r="AW5183" i="1"/>
  <c r="AV5183" i="1"/>
  <c r="AW5182" i="1"/>
  <c r="AV5182" i="1"/>
  <c r="AU5182" i="1"/>
  <c r="AW5181" i="1"/>
  <c r="AV5181" i="1"/>
  <c r="AU5181" i="1"/>
  <c r="AW5180" i="1"/>
  <c r="AV5180" i="1"/>
  <c r="AW5179" i="1"/>
  <c r="AV5179" i="1"/>
  <c r="AU5179" i="1"/>
  <c r="AW5178" i="1"/>
  <c r="AV5178" i="1"/>
  <c r="AU5178" i="1"/>
  <c r="AW5177" i="1"/>
  <c r="AV5177" i="1"/>
  <c r="AW5176" i="1"/>
  <c r="AV5176" i="1"/>
  <c r="AU5176" i="1"/>
  <c r="AW5175" i="1"/>
  <c r="AV5175" i="1"/>
  <c r="AW5174" i="1"/>
  <c r="AV5174" i="1"/>
  <c r="AW5173" i="1"/>
  <c r="AV5173" i="1"/>
  <c r="AW5172" i="1"/>
  <c r="AV5172" i="1"/>
  <c r="AW5171" i="1"/>
  <c r="AV5171" i="1"/>
  <c r="AW5170" i="1"/>
  <c r="AV5170" i="1"/>
  <c r="AW5169" i="1"/>
  <c r="AV5169" i="1"/>
  <c r="AU5169" i="1"/>
  <c r="AW5168" i="1"/>
  <c r="AV5168" i="1"/>
  <c r="AU5168" i="1"/>
  <c r="AW5167" i="1"/>
  <c r="AV5167" i="1"/>
  <c r="AW5166" i="1"/>
  <c r="AV5166" i="1"/>
  <c r="AW5165" i="1"/>
  <c r="AV5165" i="1"/>
  <c r="AW5164" i="1"/>
  <c r="AV5164" i="1"/>
  <c r="AU5164" i="1"/>
  <c r="AW5163" i="1"/>
  <c r="AV5163" i="1"/>
  <c r="AW5162" i="1"/>
  <c r="AV5162" i="1"/>
  <c r="AW5161" i="1"/>
  <c r="AV5161" i="1"/>
  <c r="AW5160" i="1"/>
  <c r="AV5160" i="1"/>
  <c r="AW5159" i="1"/>
  <c r="AV5159" i="1"/>
  <c r="AW5158" i="1"/>
  <c r="AV5158" i="1"/>
  <c r="AW5157" i="1"/>
  <c r="AV5157" i="1"/>
  <c r="AW5156" i="1"/>
  <c r="AV5156" i="1"/>
  <c r="AW5155" i="1"/>
  <c r="AV5155" i="1"/>
  <c r="AW5154" i="1"/>
  <c r="AV5154" i="1"/>
  <c r="AW5153" i="1"/>
  <c r="AV5153" i="1"/>
  <c r="AU5153" i="1"/>
  <c r="AW5152" i="1"/>
  <c r="AV5152" i="1"/>
  <c r="AW5151" i="1"/>
  <c r="AV5151" i="1"/>
  <c r="AW5150" i="1"/>
  <c r="AV5150" i="1"/>
  <c r="AW5149" i="1"/>
  <c r="AV5149" i="1"/>
  <c r="AW5148" i="1"/>
  <c r="AV5148" i="1"/>
  <c r="AW5147" i="1"/>
  <c r="AV5147" i="1"/>
  <c r="AW5146" i="1"/>
  <c r="AV5146" i="1"/>
  <c r="AU5146" i="1"/>
  <c r="AW5145" i="1"/>
  <c r="AV5145" i="1"/>
  <c r="AU5145" i="1"/>
  <c r="AW5144" i="1"/>
  <c r="AV5144" i="1"/>
  <c r="AU5144" i="1"/>
  <c r="AW5143" i="1"/>
  <c r="AV5143" i="1"/>
  <c r="AW5142" i="1"/>
  <c r="AV5142" i="1"/>
  <c r="AW5141" i="1"/>
  <c r="AV5141" i="1"/>
  <c r="AU5141" i="1"/>
  <c r="AW5140" i="1"/>
  <c r="AV5140" i="1"/>
  <c r="AW5139" i="1"/>
  <c r="AV5139" i="1"/>
  <c r="AU5139" i="1"/>
  <c r="AW5138" i="1"/>
  <c r="AV5138" i="1"/>
  <c r="AU5138" i="1"/>
  <c r="AW5137" i="1"/>
  <c r="AV5137" i="1"/>
  <c r="AU5137" i="1"/>
  <c r="AW5136" i="1"/>
  <c r="AV5136" i="1"/>
  <c r="AW5135" i="1"/>
  <c r="AV5135" i="1"/>
  <c r="AW5134" i="1"/>
  <c r="AV5134" i="1"/>
  <c r="AW5133" i="1"/>
  <c r="AV5133" i="1"/>
  <c r="AW5132" i="1"/>
  <c r="AV5132" i="1"/>
  <c r="AW5131" i="1"/>
  <c r="AV5131" i="1"/>
  <c r="AW5130" i="1"/>
  <c r="AV5130" i="1"/>
  <c r="AW5129" i="1"/>
  <c r="AV5129" i="1"/>
  <c r="AW5128" i="1"/>
  <c r="AV5128" i="1"/>
  <c r="AW5127" i="1"/>
  <c r="AV5127" i="1"/>
  <c r="AU5127" i="1"/>
  <c r="AW5126" i="1"/>
  <c r="AV5126" i="1"/>
  <c r="AW5125" i="1"/>
  <c r="AV5125" i="1"/>
  <c r="AW5124" i="1"/>
  <c r="AV5124" i="1"/>
  <c r="AW5123" i="1"/>
  <c r="AV5123" i="1"/>
  <c r="AW5122" i="1"/>
  <c r="AV5122" i="1"/>
  <c r="AW5121" i="1"/>
  <c r="AV5121" i="1"/>
  <c r="AW5120" i="1"/>
  <c r="AV5120" i="1"/>
  <c r="AW5119" i="1"/>
  <c r="AV5119" i="1"/>
  <c r="AW5118" i="1"/>
  <c r="AV5118" i="1"/>
  <c r="AW5117" i="1"/>
  <c r="AV5117" i="1"/>
  <c r="AW5116" i="1"/>
  <c r="AV5116" i="1"/>
  <c r="AU5116" i="1"/>
  <c r="AW5115" i="1"/>
  <c r="AV5115" i="1"/>
  <c r="AU5115" i="1"/>
  <c r="AW5114" i="1"/>
  <c r="AV5114" i="1"/>
  <c r="AU5114" i="1"/>
  <c r="AW5113" i="1"/>
  <c r="AV5113" i="1"/>
  <c r="AU5113" i="1"/>
  <c r="AW5112" i="1"/>
  <c r="AV5112" i="1"/>
  <c r="AW5111" i="1"/>
  <c r="AV5111" i="1"/>
  <c r="AW5110" i="1"/>
  <c r="AV5110" i="1"/>
  <c r="AW5109" i="1"/>
  <c r="AV5109" i="1"/>
  <c r="AW5108" i="1"/>
  <c r="AV5108" i="1"/>
  <c r="AW5107" i="1"/>
  <c r="AV5107" i="1"/>
  <c r="AU5107" i="1"/>
  <c r="AW5106" i="1"/>
  <c r="AV5106" i="1"/>
  <c r="AW5105" i="1"/>
  <c r="AV5105" i="1"/>
  <c r="AW5104" i="1"/>
  <c r="AV5104" i="1"/>
  <c r="AW5103" i="1"/>
  <c r="AV5103" i="1"/>
  <c r="AW5102" i="1"/>
  <c r="AV5102" i="1"/>
  <c r="AW5101" i="1"/>
  <c r="AV5101" i="1"/>
  <c r="AW5100" i="1"/>
  <c r="AV5100" i="1"/>
  <c r="AW5099" i="1"/>
  <c r="AV5099" i="1"/>
  <c r="AW5098" i="1"/>
  <c r="AV5098" i="1"/>
  <c r="AU5098" i="1"/>
  <c r="AW5097" i="1"/>
  <c r="AV5097" i="1"/>
  <c r="AU5097" i="1"/>
  <c r="AW5096" i="1"/>
  <c r="AV5096" i="1"/>
  <c r="AU5096" i="1"/>
  <c r="AW5095" i="1"/>
  <c r="AV5095" i="1"/>
  <c r="AU5095" i="1"/>
  <c r="AW5094" i="1"/>
  <c r="AV5094" i="1"/>
  <c r="AU5094" i="1"/>
  <c r="AW5093" i="1"/>
  <c r="AV5093" i="1"/>
  <c r="AU5093" i="1"/>
  <c r="AW5092" i="1"/>
  <c r="AV5092" i="1"/>
  <c r="AU5092" i="1"/>
  <c r="AW5091" i="1"/>
  <c r="AV5091" i="1"/>
  <c r="AU5091" i="1"/>
  <c r="AW5090" i="1"/>
  <c r="AV5090" i="1"/>
  <c r="AU5090" i="1"/>
  <c r="AW5089" i="1"/>
  <c r="AV5089" i="1"/>
  <c r="AU5089" i="1"/>
  <c r="AW5088" i="1"/>
  <c r="AV5088" i="1"/>
  <c r="AW5087" i="1"/>
  <c r="AV5087" i="1"/>
  <c r="AW5086" i="1"/>
  <c r="AV5086" i="1"/>
  <c r="AU5086" i="1"/>
  <c r="AW5085" i="1"/>
  <c r="AV5085" i="1"/>
  <c r="AW5084" i="1"/>
  <c r="AV5084" i="1"/>
  <c r="AW5083" i="1"/>
  <c r="AV5083" i="1"/>
  <c r="AW5082" i="1"/>
  <c r="AV5082" i="1"/>
  <c r="AW5081" i="1"/>
  <c r="AV5081" i="1"/>
  <c r="AW5080" i="1"/>
  <c r="AV5080" i="1"/>
  <c r="AW5079" i="1"/>
  <c r="AV5079" i="1"/>
  <c r="AW5078" i="1"/>
  <c r="AV5078" i="1"/>
  <c r="AW5077" i="1"/>
  <c r="AV5077" i="1"/>
  <c r="AW5076" i="1"/>
  <c r="AV5076" i="1"/>
  <c r="AW5075" i="1"/>
  <c r="AV5075" i="1"/>
  <c r="AW5074" i="1"/>
  <c r="AV5074" i="1"/>
  <c r="AW5073" i="1"/>
  <c r="AV5073" i="1"/>
  <c r="AW5072" i="1"/>
  <c r="AV5072" i="1"/>
  <c r="AW5071" i="1"/>
  <c r="AV5071" i="1"/>
  <c r="AW5070" i="1"/>
  <c r="AV5070" i="1"/>
  <c r="AW5069" i="1"/>
  <c r="AV5069" i="1"/>
  <c r="AW5068" i="1"/>
  <c r="AV5068" i="1"/>
  <c r="AW5067" i="1"/>
  <c r="AV5067" i="1"/>
  <c r="AW5066" i="1"/>
  <c r="AV5066" i="1"/>
  <c r="AW5065" i="1"/>
  <c r="AV5065" i="1"/>
  <c r="AW5064" i="1"/>
  <c r="AV5064" i="1"/>
  <c r="AW5063" i="1"/>
  <c r="AV5063" i="1"/>
  <c r="AW5062" i="1"/>
  <c r="AV5062" i="1"/>
  <c r="AU5062" i="1"/>
  <c r="AW5061" i="1"/>
  <c r="AV5061" i="1"/>
  <c r="AW5060" i="1"/>
  <c r="AV5060" i="1"/>
  <c r="AU5060" i="1"/>
  <c r="AW5059" i="1"/>
  <c r="AV5059" i="1"/>
  <c r="AU5059" i="1"/>
  <c r="AW5058" i="1"/>
  <c r="AV5058" i="1"/>
  <c r="AW5057" i="1"/>
  <c r="AV5057" i="1"/>
  <c r="AW5056" i="1"/>
  <c r="AV5056" i="1"/>
  <c r="AW5055" i="1"/>
  <c r="AV5055" i="1"/>
  <c r="AW5054" i="1"/>
  <c r="AV5054" i="1"/>
  <c r="AW5053" i="1"/>
  <c r="AV5053" i="1"/>
  <c r="AW5052" i="1"/>
  <c r="AV5052" i="1"/>
  <c r="AW5051" i="1"/>
  <c r="AV5051" i="1"/>
  <c r="AU5051" i="1"/>
  <c r="AW5050" i="1"/>
  <c r="AV5050" i="1"/>
  <c r="AU5050" i="1"/>
  <c r="AW5049" i="1"/>
  <c r="AV5049" i="1"/>
  <c r="AW5048" i="1"/>
  <c r="AV5048" i="1"/>
  <c r="AW5047" i="1"/>
  <c r="AV5047" i="1"/>
  <c r="AW5046" i="1"/>
  <c r="AV5046" i="1"/>
  <c r="AW5045" i="1"/>
  <c r="AV5045" i="1"/>
  <c r="AW5044" i="1"/>
  <c r="AV5044" i="1"/>
  <c r="AU5044" i="1"/>
  <c r="AW5043" i="1"/>
  <c r="AV5043" i="1"/>
  <c r="AW5042" i="1"/>
  <c r="AV5042" i="1"/>
  <c r="AW5041" i="1"/>
  <c r="AV5041" i="1"/>
  <c r="AW5040" i="1"/>
  <c r="AV5040" i="1"/>
  <c r="AW5039" i="1"/>
  <c r="AV5039" i="1"/>
  <c r="AW5038" i="1"/>
  <c r="AV5038" i="1"/>
  <c r="AU5038" i="1"/>
  <c r="AW5037" i="1"/>
  <c r="AV5037" i="1"/>
  <c r="AW5036" i="1"/>
  <c r="AV5036" i="1"/>
  <c r="AW5035" i="1"/>
  <c r="AV5035" i="1"/>
  <c r="AU5035" i="1"/>
  <c r="AW5034" i="1"/>
  <c r="AV5034" i="1"/>
  <c r="AU5034" i="1"/>
  <c r="AW5033" i="1"/>
  <c r="AV5033" i="1"/>
  <c r="AW5032" i="1"/>
  <c r="AV5032" i="1"/>
  <c r="AW5031" i="1"/>
  <c r="AV5031" i="1"/>
  <c r="AW5030" i="1"/>
  <c r="AV5030" i="1"/>
  <c r="AW5029" i="1"/>
  <c r="AV5029" i="1"/>
  <c r="AW5028" i="1"/>
  <c r="AV5028" i="1"/>
  <c r="AW5027" i="1"/>
  <c r="AV5027" i="1"/>
  <c r="AU5027" i="1"/>
  <c r="AW5026" i="1"/>
  <c r="AV5026" i="1"/>
  <c r="AW5025" i="1"/>
  <c r="AV5025" i="1"/>
  <c r="AW5024" i="1"/>
  <c r="AV5024" i="1"/>
  <c r="AW5023" i="1"/>
  <c r="AV5023" i="1"/>
  <c r="AW5022" i="1"/>
  <c r="AV5022" i="1"/>
  <c r="AW5021" i="1"/>
  <c r="AV5021" i="1"/>
  <c r="AW5020" i="1"/>
  <c r="AV5020" i="1"/>
  <c r="AW5019" i="1"/>
  <c r="AV5019" i="1"/>
  <c r="AW5018" i="1"/>
  <c r="AV5018" i="1"/>
  <c r="AW5017" i="1"/>
  <c r="AV5017" i="1"/>
  <c r="AW5016" i="1"/>
  <c r="AV5016" i="1"/>
  <c r="AW5015" i="1"/>
  <c r="AV5015" i="1"/>
  <c r="AW5014" i="1"/>
  <c r="AV5014" i="1"/>
  <c r="AW5013" i="1"/>
  <c r="AV5013" i="1"/>
  <c r="AW5012" i="1"/>
  <c r="AV5012" i="1"/>
  <c r="AW5011" i="1"/>
  <c r="AV5011" i="1"/>
  <c r="AW5010" i="1"/>
  <c r="AV5010" i="1"/>
  <c r="AW5009" i="1"/>
  <c r="AV5009" i="1"/>
  <c r="AW5008" i="1"/>
  <c r="AV5008" i="1"/>
  <c r="AW5007" i="1"/>
  <c r="AV5007" i="1"/>
  <c r="AU5007" i="1"/>
  <c r="AW5006" i="1"/>
  <c r="AV5006" i="1"/>
  <c r="AU5006" i="1"/>
  <c r="AW5005" i="1"/>
  <c r="AV5005" i="1"/>
  <c r="AU5005" i="1"/>
  <c r="AW5004" i="1"/>
  <c r="AV5004" i="1"/>
  <c r="AU5004" i="1"/>
  <c r="AW5003" i="1"/>
  <c r="AV5003" i="1"/>
  <c r="AW5002" i="1"/>
  <c r="AV5002" i="1"/>
  <c r="AW5001" i="1"/>
  <c r="AV5001" i="1"/>
  <c r="AU5001" i="1"/>
  <c r="AW5000" i="1"/>
  <c r="AV5000" i="1"/>
  <c r="AW4999" i="1"/>
  <c r="AV4999" i="1"/>
  <c r="AW4998" i="1"/>
  <c r="AV4998" i="1"/>
  <c r="AW4997" i="1"/>
  <c r="AV4997" i="1"/>
  <c r="AW4996" i="1"/>
  <c r="AV4996" i="1"/>
  <c r="AW4995" i="1"/>
  <c r="AV4995" i="1"/>
  <c r="AW4994" i="1"/>
  <c r="AV4994" i="1"/>
  <c r="AW4993" i="1"/>
  <c r="AV4993" i="1"/>
  <c r="AW4992" i="1"/>
  <c r="AV4992" i="1"/>
  <c r="AW4991" i="1"/>
  <c r="AV4991" i="1"/>
  <c r="AW4990" i="1"/>
  <c r="AV4990" i="1"/>
  <c r="AW4989" i="1"/>
  <c r="AV4989" i="1"/>
  <c r="AW4988" i="1"/>
  <c r="AV4988" i="1"/>
  <c r="AW4987" i="1"/>
  <c r="AV4987" i="1"/>
  <c r="AW4986" i="1"/>
  <c r="AV4986" i="1"/>
  <c r="AW4985" i="1"/>
  <c r="AV4985" i="1"/>
  <c r="AW4984" i="1"/>
  <c r="AV4984" i="1"/>
  <c r="AW4983" i="1"/>
  <c r="AV4983" i="1"/>
  <c r="AW4982" i="1"/>
  <c r="AV4982" i="1"/>
  <c r="AW4981" i="1"/>
  <c r="AV4981" i="1"/>
  <c r="AW4980" i="1"/>
  <c r="AV4980" i="1"/>
  <c r="AU4980" i="1"/>
  <c r="AW4979" i="1"/>
  <c r="AV4979" i="1"/>
  <c r="AW4978" i="1"/>
  <c r="AV4978" i="1"/>
  <c r="AW4977" i="1"/>
  <c r="AV4977" i="1"/>
  <c r="AW4976" i="1"/>
  <c r="AV4976" i="1"/>
  <c r="AU4976" i="1"/>
  <c r="AW4975" i="1"/>
  <c r="AV4975" i="1"/>
  <c r="AW4974" i="1"/>
  <c r="AV4974" i="1"/>
  <c r="AW4973" i="1"/>
  <c r="AV4973" i="1"/>
  <c r="AW4972" i="1"/>
  <c r="AV4972" i="1"/>
  <c r="AW4971" i="1"/>
  <c r="AV4971" i="1"/>
  <c r="AW4970" i="1"/>
  <c r="AV4970" i="1"/>
  <c r="AW4969" i="1"/>
  <c r="AV4969" i="1"/>
  <c r="AW4968" i="1"/>
  <c r="AV4968" i="1"/>
  <c r="AW4967" i="1"/>
  <c r="AV4967" i="1"/>
  <c r="AW4966" i="1"/>
  <c r="AV4966" i="1"/>
  <c r="AU4966" i="1"/>
  <c r="AW4965" i="1"/>
  <c r="AV4965" i="1"/>
  <c r="AW4964" i="1"/>
  <c r="AV4964" i="1"/>
  <c r="AW4963" i="1"/>
  <c r="AV4963" i="1"/>
  <c r="AU4963" i="1"/>
  <c r="AW4962" i="1"/>
  <c r="AV4962" i="1"/>
  <c r="AW4961" i="1"/>
  <c r="AV4961" i="1"/>
  <c r="AW4960" i="1"/>
  <c r="AV4960" i="1"/>
  <c r="AW4959" i="1"/>
  <c r="AV4959" i="1"/>
  <c r="AU4959" i="1"/>
  <c r="AW4958" i="1"/>
  <c r="AV4958" i="1"/>
  <c r="AW4957" i="1"/>
  <c r="AV4957" i="1"/>
  <c r="AW4956" i="1"/>
  <c r="AV4956" i="1"/>
  <c r="AU4956" i="1"/>
  <c r="AW4955" i="1"/>
  <c r="AV4955" i="1"/>
  <c r="AW4954" i="1"/>
  <c r="AV4954" i="1"/>
  <c r="AW4953" i="1"/>
  <c r="AV4953" i="1"/>
  <c r="AW4952" i="1"/>
  <c r="AV4952" i="1"/>
  <c r="AU4952" i="1"/>
  <c r="AW4951" i="1"/>
  <c r="AV4951" i="1"/>
  <c r="AW4950" i="1"/>
  <c r="AV4950" i="1"/>
  <c r="AW4949" i="1"/>
  <c r="AV4949" i="1"/>
  <c r="AW4948" i="1"/>
  <c r="AV4948" i="1"/>
  <c r="AW4947" i="1"/>
  <c r="AV4947" i="1"/>
  <c r="AU4947" i="1"/>
  <c r="AW4946" i="1"/>
  <c r="AV4946" i="1"/>
  <c r="AU4946" i="1"/>
  <c r="AW4945" i="1"/>
  <c r="AV4945" i="1"/>
  <c r="AU4945" i="1"/>
  <c r="AW4944" i="1"/>
  <c r="AV4944" i="1"/>
  <c r="AU4944" i="1"/>
  <c r="AW4943" i="1"/>
  <c r="AV4943" i="1"/>
  <c r="AW4942" i="1"/>
  <c r="AV4942" i="1"/>
  <c r="AW4941" i="1"/>
  <c r="AV4941" i="1"/>
  <c r="AW4940" i="1"/>
  <c r="AV4940" i="1"/>
  <c r="AW4939" i="1"/>
  <c r="AV4939" i="1"/>
  <c r="AW4938" i="1"/>
  <c r="AV4938" i="1"/>
  <c r="AW4937" i="1"/>
  <c r="AV4937" i="1"/>
  <c r="AW4936" i="1"/>
  <c r="AV4936" i="1"/>
  <c r="AW4935" i="1"/>
  <c r="AV4935" i="1"/>
  <c r="AW4934" i="1"/>
  <c r="AV4934" i="1"/>
  <c r="AW4933" i="1"/>
  <c r="AV4933" i="1"/>
  <c r="AW4932" i="1"/>
  <c r="AV4932" i="1"/>
  <c r="AW4931" i="1"/>
  <c r="AV4931" i="1"/>
  <c r="AU4931" i="1"/>
  <c r="AW4930" i="1"/>
  <c r="AV4930" i="1"/>
  <c r="AW4929" i="1"/>
  <c r="AV4929" i="1"/>
  <c r="AW4928" i="1"/>
  <c r="AV4928" i="1"/>
  <c r="AW4927" i="1"/>
  <c r="AV4927" i="1"/>
  <c r="AW4926" i="1"/>
  <c r="AV4926" i="1"/>
  <c r="AW4925" i="1"/>
  <c r="AV4925" i="1"/>
  <c r="AW4924" i="1"/>
  <c r="AV4924" i="1"/>
  <c r="AW4923" i="1"/>
  <c r="AV4923" i="1"/>
  <c r="AU4923" i="1"/>
  <c r="AW4922" i="1"/>
  <c r="AV4922" i="1"/>
  <c r="AW4921" i="1"/>
  <c r="AV4921" i="1"/>
  <c r="AW4920" i="1"/>
  <c r="AV4920" i="1"/>
  <c r="AW4919" i="1"/>
  <c r="AV4919" i="1"/>
  <c r="AW4918" i="1"/>
  <c r="AV4918" i="1"/>
  <c r="AW4917" i="1"/>
  <c r="AV4917" i="1"/>
  <c r="AW4916" i="1"/>
  <c r="AV4916" i="1"/>
  <c r="AW4915" i="1"/>
  <c r="AV4915" i="1"/>
  <c r="AW4914" i="1"/>
  <c r="AV4914" i="1"/>
  <c r="AW4913" i="1"/>
  <c r="AV4913" i="1"/>
  <c r="AW4912" i="1"/>
  <c r="AV4912" i="1"/>
  <c r="AW4911" i="1"/>
  <c r="AV4911" i="1"/>
  <c r="AW4910" i="1"/>
  <c r="AV4910" i="1"/>
  <c r="AW4909" i="1"/>
  <c r="AV4909" i="1"/>
  <c r="AU4909" i="1"/>
  <c r="AW4908" i="1"/>
  <c r="AV4908" i="1"/>
  <c r="AU4908" i="1"/>
  <c r="AW4907" i="1"/>
  <c r="AV4907" i="1"/>
  <c r="AW4906" i="1"/>
  <c r="AV4906" i="1"/>
  <c r="AW4905" i="1"/>
  <c r="AV4905" i="1"/>
  <c r="AW4904" i="1"/>
  <c r="AV4904" i="1"/>
  <c r="AW4903" i="1"/>
  <c r="AV4903" i="1"/>
  <c r="AW4902" i="1"/>
  <c r="AV4902" i="1"/>
  <c r="AW4901" i="1"/>
  <c r="AV4901" i="1"/>
  <c r="AW4900" i="1"/>
  <c r="AV4900" i="1"/>
  <c r="AW4899" i="1"/>
  <c r="AV4899" i="1"/>
  <c r="AU4899" i="1"/>
  <c r="AW4898" i="1"/>
  <c r="AV4898" i="1"/>
  <c r="AW4897" i="1"/>
  <c r="AV4897" i="1"/>
  <c r="AU4897" i="1"/>
  <c r="AW4896" i="1"/>
  <c r="AV4896" i="1"/>
  <c r="AU4896" i="1"/>
  <c r="AW4895" i="1"/>
  <c r="AV4895" i="1"/>
  <c r="AU4895" i="1"/>
  <c r="AW4894" i="1"/>
  <c r="AV4894" i="1"/>
  <c r="AU4894" i="1"/>
  <c r="AW4893" i="1"/>
  <c r="AV4893" i="1"/>
  <c r="AU4893" i="1"/>
  <c r="AW4892" i="1"/>
  <c r="AV4892" i="1"/>
  <c r="AW4891" i="1"/>
  <c r="AV4891" i="1"/>
  <c r="AW4890" i="1"/>
  <c r="AV4890" i="1"/>
  <c r="AW4889" i="1"/>
  <c r="AV4889" i="1"/>
  <c r="AW4888" i="1"/>
  <c r="AV4888" i="1"/>
  <c r="AW4887" i="1"/>
  <c r="AV4887" i="1"/>
  <c r="AU4887" i="1"/>
  <c r="AW4886" i="1"/>
  <c r="AV4886" i="1"/>
  <c r="AU4886" i="1"/>
  <c r="AW4885" i="1"/>
  <c r="AV4885" i="1"/>
  <c r="AW4884" i="1"/>
  <c r="AV4884" i="1"/>
  <c r="AW4883" i="1"/>
  <c r="AV4883" i="1"/>
  <c r="AW4882" i="1"/>
  <c r="AV4882" i="1"/>
  <c r="AU4882" i="1"/>
  <c r="AW4881" i="1"/>
  <c r="AV4881" i="1"/>
  <c r="AW4880" i="1"/>
  <c r="AV4880" i="1"/>
  <c r="AW4879" i="1"/>
  <c r="AV4879" i="1"/>
  <c r="AW4878" i="1"/>
  <c r="AV4878" i="1"/>
  <c r="AW4877" i="1"/>
  <c r="AV4877" i="1"/>
  <c r="AW4876" i="1"/>
  <c r="AV4876" i="1"/>
  <c r="AW4875" i="1"/>
  <c r="AV4875" i="1"/>
  <c r="AW4874" i="1"/>
  <c r="AV4874" i="1"/>
  <c r="AW4873" i="1"/>
  <c r="AV4873" i="1"/>
  <c r="AW4872" i="1"/>
  <c r="AV4872" i="1"/>
  <c r="AW4871" i="1"/>
  <c r="AV4871" i="1"/>
  <c r="AW4870" i="1"/>
  <c r="AV4870" i="1"/>
  <c r="AW4869" i="1"/>
  <c r="AV4869" i="1"/>
  <c r="AW4868" i="1"/>
  <c r="AV4868" i="1"/>
  <c r="AW4867" i="1"/>
  <c r="AV4867" i="1"/>
  <c r="AW4866" i="1"/>
  <c r="AV4866" i="1"/>
  <c r="AU4866" i="1"/>
  <c r="AW4865" i="1"/>
  <c r="AV4865" i="1"/>
  <c r="AU4865" i="1"/>
  <c r="AW4864" i="1"/>
  <c r="AV4864" i="1"/>
  <c r="AU4864" i="1"/>
  <c r="AW4863" i="1"/>
  <c r="AV4863" i="1"/>
  <c r="AU4863" i="1"/>
  <c r="AW4862" i="1"/>
  <c r="AV4862" i="1"/>
  <c r="AW4861" i="1"/>
  <c r="AV4861" i="1"/>
  <c r="AW4860" i="1"/>
  <c r="AV4860" i="1"/>
  <c r="AW4859" i="1"/>
  <c r="AV4859" i="1"/>
  <c r="AW4858" i="1"/>
  <c r="AV4858" i="1"/>
  <c r="AW4857" i="1"/>
  <c r="AV4857" i="1"/>
  <c r="AW4856" i="1"/>
  <c r="AV4856" i="1"/>
  <c r="AW4855" i="1"/>
  <c r="AV4855" i="1"/>
  <c r="AW4854" i="1"/>
  <c r="AV4854" i="1"/>
  <c r="AW4853" i="1"/>
  <c r="AV4853" i="1"/>
  <c r="AU4853" i="1"/>
  <c r="AW4852" i="1"/>
  <c r="AV4852" i="1"/>
  <c r="AW4851" i="1"/>
  <c r="AV4851" i="1"/>
  <c r="AW4850" i="1"/>
  <c r="AV4850" i="1"/>
  <c r="AW4849" i="1"/>
  <c r="AV4849" i="1"/>
  <c r="AW4848" i="1"/>
  <c r="AV4848" i="1"/>
  <c r="AW4847" i="1"/>
  <c r="AV4847" i="1"/>
  <c r="AW4846" i="1"/>
  <c r="AV4846" i="1"/>
  <c r="AW4845" i="1"/>
  <c r="AV4845" i="1"/>
  <c r="AW4844" i="1"/>
  <c r="AV4844" i="1"/>
  <c r="AW4843" i="1"/>
  <c r="AV4843" i="1"/>
  <c r="AW4842" i="1"/>
  <c r="AV4842" i="1"/>
  <c r="AW4841" i="1"/>
  <c r="AV4841" i="1"/>
  <c r="AW4840" i="1"/>
  <c r="AV4840" i="1"/>
  <c r="AW4839" i="1"/>
  <c r="AV4839" i="1"/>
  <c r="AW4838" i="1"/>
  <c r="AV4838" i="1"/>
  <c r="AW4837" i="1"/>
  <c r="AV4837" i="1"/>
  <c r="AW4836" i="1"/>
  <c r="AV4836" i="1"/>
  <c r="AW4835" i="1"/>
  <c r="AV4835" i="1"/>
  <c r="AW4834" i="1"/>
  <c r="AV4834" i="1"/>
  <c r="AW4833" i="1"/>
  <c r="AV4833" i="1"/>
  <c r="AW4832" i="1"/>
  <c r="AV4832" i="1"/>
  <c r="AW4831" i="1"/>
  <c r="AV4831" i="1"/>
  <c r="AW4830" i="1"/>
  <c r="AV4830" i="1"/>
  <c r="AW4829" i="1"/>
  <c r="AV4829" i="1"/>
  <c r="AW4828" i="1"/>
  <c r="AV4828" i="1"/>
  <c r="AW4827" i="1"/>
  <c r="AV4827" i="1"/>
  <c r="AW4826" i="1"/>
  <c r="AV4826" i="1"/>
  <c r="AW4825" i="1"/>
  <c r="AV4825" i="1"/>
  <c r="AW4824" i="1"/>
  <c r="AV4824" i="1"/>
  <c r="AW4823" i="1"/>
  <c r="AV4823" i="1"/>
  <c r="AW4822" i="1"/>
  <c r="AV4822" i="1"/>
  <c r="AW4821" i="1"/>
  <c r="AV4821" i="1"/>
  <c r="AW4820" i="1"/>
  <c r="AV4820" i="1"/>
  <c r="AW4819" i="1"/>
  <c r="AV4819" i="1"/>
  <c r="AU4819" i="1"/>
  <c r="AW4818" i="1"/>
  <c r="AV4818" i="1"/>
  <c r="AU4818" i="1"/>
  <c r="AW4817" i="1"/>
  <c r="AV4817" i="1"/>
  <c r="AU4817" i="1"/>
  <c r="AW4816" i="1"/>
  <c r="AV4816" i="1"/>
  <c r="AU4816" i="1"/>
  <c r="AW4815" i="1"/>
  <c r="AV4815" i="1"/>
  <c r="AU4815" i="1"/>
  <c r="AW4814" i="1"/>
  <c r="AV4814" i="1"/>
  <c r="AU4814" i="1"/>
  <c r="AW4813" i="1"/>
  <c r="AV4813" i="1"/>
  <c r="AU4813" i="1"/>
  <c r="AW4812" i="1"/>
  <c r="AV4812" i="1"/>
  <c r="AW4811" i="1"/>
  <c r="AV4811" i="1"/>
  <c r="AW4810" i="1"/>
  <c r="AV4810" i="1"/>
  <c r="AW4809" i="1"/>
  <c r="AV4809" i="1"/>
  <c r="AU4809" i="1"/>
  <c r="AW4808" i="1"/>
  <c r="AV4808" i="1"/>
  <c r="AU4808" i="1"/>
  <c r="AW4807" i="1"/>
  <c r="AV4807" i="1"/>
  <c r="AW4806" i="1"/>
  <c r="AV4806" i="1"/>
  <c r="AU4806" i="1"/>
  <c r="AW4805" i="1"/>
  <c r="AV4805" i="1"/>
  <c r="AW4804" i="1"/>
  <c r="AV4804" i="1"/>
  <c r="AU4804" i="1"/>
  <c r="AW4803" i="1"/>
  <c r="AV4803" i="1"/>
  <c r="AU4803" i="1"/>
  <c r="AW4802" i="1"/>
  <c r="AV4802" i="1"/>
  <c r="AW4801" i="1"/>
  <c r="AV4801" i="1"/>
  <c r="AW4800" i="1"/>
  <c r="AV4800" i="1"/>
  <c r="AW4799" i="1"/>
  <c r="AV4799" i="1"/>
  <c r="AW4798" i="1"/>
  <c r="AV4798" i="1"/>
  <c r="AW4797" i="1"/>
  <c r="AV4797" i="1"/>
  <c r="AW4796" i="1"/>
  <c r="AV4796" i="1"/>
  <c r="AU4796" i="1"/>
  <c r="AW4795" i="1"/>
  <c r="AV4795" i="1"/>
  <c r="AW4794" i="1"/>
  <c r="AV4794" i="1"/>
  <c r="AW4793" i="1"/>
  <c r="AV4793" i="1"/>
  <c r="AW4792" i="1"/>
  <c r="AV4792" i="1"/>
  <c r="AW4791" i="1"/>
  <c r="AV4791" i="1"/>
  <c r="AU4791" i="1"/>
  <c r="AW4790" i="1"/>
  <c r="AV4790" i="1"/>
  <c r="AW4789" i="1"/>
  <c r="AV4789" i="1"/>
  <c r="AW4788" i="1"/>
  <c r="AV4788" i="1"/>
  <c r="AU4788" i="1"/>
  <c r="AW4787" i="1"/>
  <c r="AV4787" i="1"/>
  <c r="AU4787" i="1"/>
  <c r="AW4786" i="1"/>
  <c r="AV4786" i="1"/>
  <c r="AU4786" i="1"/>
  <c r="AW4785" i="1"/>
  <c r="AV4785" i="1"/>
  <c r="AU4785" i="1"/>
  <c r="AW4784" i="1"/>
  <c r="AV4784" i="1"/>
  <c r="AW4783" i="1"/>
  <c r="AV4783" i="1"/>
  <c r="AW4782" i="1"/>
  <c r="AV4782" i="1"/>
  <c r="AW4781" i="1"/>
  <c r="AV4781" i="1"/>
  <c r="AU4781" i="1"/>
  <c r="AW4780" i="1"/>
  <c r="AV4780" i="1"/>
  <c r="AW4779" i="1"/>
  <c r="AV4779" i="1"/>
  <c r="AU4779" i="1"/>
  <c r="AW4778" i="1"/>
  <c r="AV4778" i="1"/>
  <c r="AW4777" i="1"/>
  <c r="AV4777" i="1"/>
  <c r="AW4776" i="1"/>
  <c r="AV4776" i="1"/>
  <c r="AW4775" i="1"/>
  <c r="AV4775" i="1"/>
  <c r="AU4775" i="1"/>
  <c r="AW4774" i="1"/>
  <c r="AV4774" i="1"/>
  <c r="AW4773" i="1"/>
  <c r="AV4773" i="1"/>
  <c r="AW4772" i="1"/>
  <c r="AV4772" i="1"/>
  <c r="AW4771" i="1"/>
  <c r="AV4771" i="1"/>
  <c r="AW4770" i="1"/>
  <c r="AV4770" i="1"/>
  <c r="AW4769" i="1"/>
  <c r="AV4769" i="1"/>
  <c r="AW4768" i="1"/>
  <c r="AV4768" i="1"/>
  <c r="AW4767" i="1"/>
  <c r="AV4767" i="1"/>
  <c r="AW4766" i="1"/>
  <c r="AV4766" i="1"/>
  <c r="AU4766" i="1"/>
  <c r="AW4765" i="1"/>
  <c r="AV4765" i="1"/>
  <c r="AW4764" i="1"/>
  <c r="AV4764" i="1"/>
  <c r="AU4764" i="1"/>
  <c r="AW4763" i="1"/>
  <c r="AV4763" i="1"/>
  <c r="AW4762" i="1"/>
  <c r="AV4762" i="1"/>
  <c r="AU4762" i="1"/>
  <c r="AW4761" i="1"/>
  <c r="AV4761" i="1"/>
  <c r="AW4760" i="1"/>
  <c r="AV4760" i="1"/>
  <c r="AW4759" i="1"/>
  <c r="AV4759" i="1"/>
  <c r="AW4758" i="1"/>
  <c r="AV4758" i="1"/>
  <c r="AW4757" i="1"/>
  <c r="AV4757" i="1"/>
  <c r="AW4756" i="1"/>
  <c r="AV4756" i="1"/>
  <c r="AW4755" i="1"/>
  <c r="AV4755" i="1"/>
  <c r="AW4754" i="1"/>
  <c r="AV4754" i="1"/>
  <c r="AW4753" i="1"/>
  <c r="AV4753" i="1"/>
  <c r="AW4752" i="1"/>
  <c r="AV4752" i="1"/>
  <c r="AU4752" i="1"/>
  <c r="AW4751" i="1"/>
  <c r="AV4751" i="1"/>
  <c r="AU4751" i="1"/>
  <c r="AW4750" i="1"/>
  <c r="AV4750" i="1"/>
  <c r="AW4749" i="1"/>
  <c r="AV4749" i="1"/>
  <c r="AW4748" i="1"/>
  <c r="AV4748" i="1"/>
  <c r="AW4747" i="1"/>
  <c r="AV4747" i="1"/>
  <c r="AU4747" i="1"/>
  <c r="AW4746" i="1"/>
  <c r="AV4746" i="1"/>
  <c r="AW4745" i="1"/>
  <c r="AV4745" i="1"/>
  <c r="AW4744" i="1"/>
  <c r="AV4744" i="1"/>
  <c r="AW4743" i="1"/>
  <c r="AV4743" i="1"/>
  <c r="AW4742" i="1"/>
  <c r="AV4742" i="1"/>
  <c r="AW4741" i="1"/>
  <c r="AV4741" i="1"/>
  <c r="AW4740" i="1"/>
  <c r="AV4740" i="1"/>
  <c r="AW4739" i="1"/>
  <c r="AV4739" i="1"/>
  <c r="AW4738" i="1"/>
  <c r="AV4738" i="1"/>
  <c r="AW4737" i="1"/>
  <c r="AV4737" i="1"/>
  <c r="AW4736" i="1"/>
  <c r="AV4736" i="1"/>
  <c r="AW4735" i="1"/>
  <c r="AV4735" i="1"/>
  <c r="AW4734" i="1"/>
  <c r="AV4734" i="1"/>
  <c r="AW4733" i="1"/>
  <c r="AV4733" i="1"/>
  <c r="AW4732" i="1"/>
  <c r="AV4732" i="1"/>
  <c r="AW4731" i="1"/>
  <c r="AV4731" i="1"/>
  <c r="AW4730" i="1"/>
  <c r="AV4730" i="1"/>
  <c r="AW4729" i="1"/>
  <c r="AV4729" i="1"/>
  <c r="AW4728" i="1"/>
  <c r="AV4728" i="1"/>
  <c r="AU4728" i="1"/>
  <c r="AW4727" i="1"/>
  <c r="AV4727" i="1"/>
  <c r="AU4727" i="1"/>
  <c r="AW4726" i="1"/>
  <c r="AV4726" i="1"/>
  <c r="AW4725" i="1"/>
  <c r="AV4725" i="1"/>
  <c r="AW4724" i="1"/>
  <c r="AV4724" i="1"/>
  <c r="AU4724" i="1"/>
  <c r="AW4723" i="1"/>
  <c r="AV4723" i="1"/>
  <c r="AW4722" i="1"/>
  <c r="AV4722" i="1"/>
  <c r="AW4721" i="1"/>
  <c r="AV4721" i="1"/>
  <c r="AW4720" i="1"/>
  <c r="AV4720" i="1"/>
  <c r="AW4719" i="1"/>
  <c r="AV4719" i="1"/>
  <c r="AU4719" i="1"/>
  <c r="AW4718" i="1"/>
  <c r="AV4718" i="1"/>
  <c r="AU4718" i="1"/>
  <c r="AW4717" i="1"/>
  <c r="AV4717" i="1"/>
  <c r="AW4716" i="1"/>
  <c r="AV4716" i="1"/>
  <c r="AW4715" i="1"/>
  <c r="AV4715" i="1"/>
  <c r="AW4714" i="1"/>
  <c r="AV4714" i="1"/>
  <c r="AW4713" i="1"/>
  <c r="AV4713" i="1"/>
  <c r="AW4712" i="1"/>
  <c r="AV4712" i="1"/>
  <c r="AW4711" i="1"/>
  <c r="AV4711" i="1"/>
  <c r="AW4710" i="1"/>
  <c r="AV4710" i="1"/>
  <c r="AW4709" i="1"/>
  <c r="AV4709" i="1"/>
  <c r="AW4708" i="1"/>
  <c r="AV4708" i="1"/>
  <c r="AW4707" i="1"/>
  <c r="AV4707" i="1"/>
  <c r="AW4706" i="1"/>
  <c r="AV4706" i="1"/>
  <c r="AU4706" i="1"/>
  <c r="AW4705" i="1"/>
  <c r="AV4705" i="1"/>
  <c r="AW4704" i="1"/>
  <c r="AV4704" i="1"/>
  <c r="AW4703" i="1"/>
  <c r="AV4703" i="1"/>
  <c r="AU4703" i="1"/>
  <c r="AW4702" i="1"/>
  <c r="AV4702" i="1"/>
  <c r="AW4701" i="1"/>
  <c r="AV4701" i="1"/>
  <c r="AW4700" i="1"/>
  <c r="AV4700" i="1"/>
  <c r="AW4699" i="1"/>
  <c r="AV4699" i="1"/>
  <c r="AW4698" i="1"/>
  <c r="AV4698" i="1"/>
  <c r="AW4697" i="1"/>
  <c r="AV4697" i="1"/>
  <c r="AW4696" i="1"/>
  <c r="AV4696" i="1"/>
  <c r="AW4695" i="1"/>
  <c r="AV4695" i="1"/>
  <c r="AU4695" i="1"/>
  <c r="AW4694" i="1"/>
  <c r="AV4694" i="1"/>
  <c r="AU4694" i="1"/>
  <c r="AW4693" i="1"/>
  <c r="AV4693" i="1"/>
  <c r="AU4693" i="1"/>
  <c r="AW4692" i="1"/>
  <c r="AV4692" i="1"/>
  <c r="AU4692" i="1"/>
  <c r="AW4691" i="1"/>
  <c r="AV4691" i="1"/>
  <c r="AU4691" i="1"/>
  <c r="AW4690" i="1"/>
  <c r="AV4690" i="1"/>
  <c r="AW4689" i="1"/>
  <c r="AV4689" i="1"/>
  <c r="AW4688" i="1"/>
  <c r="AV4688" i="1"/>
  <c r="AU4688" i="1"/>
  <c r="AW4687" i="1"/>
  <c r="AV4687" i="1"/>
  <c r="AU4687" i="1"/>
  <c r="AW4686" i="1"/>
  <c r="AV4686" i="1"/>
  <c r="AW4685" i="1"/>
  <c r="AV4685" i="1"/>
  <c r="AW4684" i="1"/>
  <c r="AV4684" i="1"/>
  <c r="AW4683" i="1"/>
  <c r="AV4683" i="1"/>
  <c r="AW4682" i="1"/>
  <c r="AV4682" i="1"/>
  <c r="AW4681" i="1"/>
  <c r="AV4681" i="1"/>
  <c r="AW4680" i="1"/>
  <c r="AV4680" i="1"/>
  <c r="AW4679" i="1"/>
  <c r="AV4679" i="1"/>
  <c r="AU4679" i="1"/>
  <c r="AW4678" i="1"/>
  <c r="AV4678" i="1"/>
  <c r="AU4678" i="1"/>
  <c r="AW4677" i="1"/>
  <c r="AV4677" i="1"/>
  <c r="AW4676" i="1"/>
  <c r="AV4676" i="1"/>
  <c r="AW4675" i="1"/>
  <c r="AV4675" i="1"/>
  <c r="AU4675" i="1"/>
  <c r="AW4674" i="1"/>
  <c r="AV4674" i="1"/>
  <c r="AW4673" i="1"/>
  <c r="AV4673" i="1"/>
  <c r="AU4673" i="1"/>
  <c r="AW4672" i="1"/>
  <c r="AV4672" i="1"/>
  <c r="AU4672" i="1"/>
  <c r="AW4671" i="1"/>
  <c r="AV4671" i="1"/>
  <c r="AU4671" i="1"/>
  <c r="AW4670" i="1"/>
  <c r="AV4670" i="1"/>
  <c r="AW4669" i="1"/>
  <c r="AV4669" i="1"/>
  <c r="AW4668" i="1"/>
  <c r="AV4668" i="1"/>
  <c r="AW4667" i="1"/>
  <c r="AV4667" i="1"/>
  <c r="AW4666" i="1"/>
  <c r="AV4666" i="1"/>
  <c r="AW4665" i="1"/>
  <c r="AV4665" i="1"/>
  <c r="AW4664" i="1"/>
  <c r="AV4664" i="1"/>
  <c r="AW4663" i="1"/>
  <c r="AV4663" i="1"/>
  <c r="AW4662" i="1"/>
  <c r="AV4662" i="1"/>
  <c r="AU4662" i="1"/>
  <c r="AW4661" i="1"/>
  <c r="AV4661" i="1"/>
  <c r="AW4660" i="1"/>
  <c r="AV4660" i="1"/>
  <c r="AW4659" i="1"/>
  <c r="AV4659" i="1"/>
  <c r="AU4659" i="1"/>
  <c r="AW4658" i="1"/>
  <c r="AV4658" i="1"/>
  <c r="AW4657" i="1"/>
  <c r="AV4657" i="1"/>
  <c r="AW4656" i="1"/>
  <c r="AV4656" i="1"/>
  <c r="AW4655" i="1"/>
  <c r="AV4655" i="1"/>
  <c r="AW4654" i="1"/>
  <c r="AV4654" i="1"/>
  <c r="AW4653" i="1"/>
  <c r="AV4653" i="1"/>
  <c r="AU4653" i="1"/>
  <c r="AW4652" i="1"/>
  <c r="AV4652" i="1"/>
  <c r="AW4651" i="1"/>
  <c r="AV4651" i="1"/>
  <c r="AW4650" i="1"/>
  <c r="AV4650" i="1"/>
  <c r="AW4649" i="1"/>
  <c r="AV4649" i="1"/>
  <c r="AW4648" i="1"/>
  <c r="AV4648" i="1"/>
  <c r="AW4647" i="1"/>
  <c r="AV4647" i="1"/>
  <c r="AW4646" i="1"/>
  <c r="AV4646" i="1"/>
  <c r="AW4645" i="1"/>
  <c r="AV4645" i="1"/>
  <c r="AW4644" i="1"/>
  <c r="AV4644" i="1"/>
  <c r="AW4643" i="1"/>
  <c r="AV4643" i="1"/>
  <c r="AW4642" i="1"/>
  <c r="AV4642" i="1"/>
  <c r="AW4641" i="1"/>
  <c r="AV4641" i="1"/>
  <c r="AW4640" i="1"/>
  <c r="AV4640" i="1"/>
  <c r="AW4639" i="1"/>
  <c r="AV4639" i="1"/>
  <c r="AU4639" i="1"/>
  <c r="AW4638" i="1"/>
  <c r="AV4638" i="1"/>
  <c r="AW4637" i="1"/>
  <c r="AV4637" i="1"/>
  <c r="AW4636" i="1"/>
  <c r="AV4636" i="1"/>
  <c r="AW4635" i="1"/>
  <c r="AV4635" i="1"/>
  <c r="AW4634" i="1"/>
  <c r="AV4634" i="1"/>
  <c r="AW4633" i="1"/>
  <c r="AV4633" i="1"/>
  <c r="AW4632" i="1"/>
  <c r="AV4632" i="1"/>
  <c r="AW4631" i="1"/>
  <c r="AV4631" i="1"/>
  <c r="AW4630" i="1"/>
  <c r="AV4630" i="1"/>
  <c r="AW4629" i="1"/>
  <c r="AV4629" i="1"/>
  <c r="AW4628" i="1"/>
  <c r="AV4628" i="1"/>
  <c r="AW4627" i="1"/>
  <c r="AV4627" i="1"/>
  <c r="AW4626" i="1"/>
  <c r="AV4626" i="1"/>
  <c r="AU4626" i="1"/>
  <c r="AW4625" i="1"/>
  <c r="AV4625" i="1"/>
  <c r="AW4624" i="1"/>
  <c r="AV4624" i="1"/>
  <c r="AW4623" i="1"/>
  <c r="AV4623" i="1"/>
  <c r="AW4622" i="1"/>
  <c r="AV4622" i="1"/>
  <c r="AW4621" i="1"/>
  <c r="AV4621" i="1"/>
  <c r="AW4620" i="1"/>
  <c r="AV4620" i="1"/>
  <c r="AW4619" i="1"/>
  <c r="AV4619" i="1"/>
  <c r="AW4618" i="1"/>
  <c r="AV4618" i="1"/>
  <c r="AU4618" i="1"/>
  <c r="AW4617" i="1"/>
  <c r="AV4617" i="1"/>
  <c r="AU4617" i="1"/>
  <c r="AW4616" i="1"/>
  <c r="AV4616" i="1"/>
  <c r="AW4615" i="1"/>
  <c r="AV4615" i="1"/>
  <c r="AU4615" i="1"/>
  <c r="AW4614" i="1"/>
  <c r="AV4614" i="1"/>
  <c r="AW4613" i="1"/>
  <c r="AV4613" i="1"/>
  <c r="AW4612" i="1"/>
  <c r="AV4612" i="1"/>
  <c r="AW4611" i="1"/>
  <c r="AV4611" i="1"/>
  <c r="AW4610" i="1"/>
  <c r="AV4610" i="1"/>
  <c r="AW4609" i="1"/>
  <c r="AV4609" i="1"/>
  <c r="AW4608" i="1"/>
  <c r="AV4608" i="1"/>
  <c r="AW4607" i="1"/>
  <c r="AV4607" i="1"/>
  <c r="AW4606" i="1"/>
  <c r="AV4606" i="1"/>
  <c r="AW4605" i="1"/>
  <c r="AV4605" i="1"/>
  <c r="AW4604" i="1"/>
  <c r="AV4604" i="1"/>
  <c r="AW4603" i="1"/>
  <c r="AV4603" i="1"/>
  <c r="AW4602" i="1"/>
  <c r="AV4602" i="1"/>
  <c r="AW4601" i="1"/>
  <c r="AV4601" i="1"/>
  <c r="AU4601" i="1"/>
  <c r="AW4600" i="1"/>
  <c r="AV4600" i="1"/>
  <c r="AW4599" i="1"/>
  <c r="AV4599" i="1"/>
  <c r="AU4599" i="1"/>
  <c r="AW4598" i="1"/>
  <c r="AV4598" i="1"/>
  <c r="AU4598" i="1"/>
  <c r="AW4597" i="1"/>
  <c r="AV4597" i="1"/>
  <c r="AW4596" i="1"/>
  <c r="AV4596" i="1"/>
  <c r="AW4595" i="1"/>
  <c r="AV4595" i="1"/>
  <c r="AW4594" i="1"/>
  <c r="AV4594" i="1"/>
  <c r="AW4593" i="1"/>
  <c r="AV4593" i="1"/>
  <c r="AU4593" i="1"/>
  <c r="AW4592" i="1"/>
  <c r="AV4592" i="1"/>
  <c r="AU4592" i="1"/>
  <c r="AW4591" i="1"/>
  <c r="AV4591" i="1"/>
  <c r="AU4591" i="1"/>
  <c r="AW4590" i="1"/>
  <c r="AV4590" i="1"/>
  <c r="AW4589" i="1"/>
  <c r="AV4589" i="1"/>
  <c r="AW4588" i="1"/>
  <c r="AV4588" i="1"/>
  <c r="AW4587" i="1"/>
  <c r="AV4587" i="1"/>
  <c r="AW4586" i="1"/>
  <c r="AV4586" i="1"/>
  <c r="AW4585" i="1"/>
  <c r="AV4585" i="1"/>
  <c r="AW4584" i="1"/>
  <c r="AV4584" i="1"/>
  <c r="AW4583" i="1"/>
  <c r="AV4583" i="1"/>
  <c r="AW4582" i="1"/>
  <c r="AV4582" i="1"/>
  <c r="AW4581" i="1"/>
  <c r="AV4581" i="1"/>
  <c r="AW4580" i="1"/>
  <c r="AV4580" i="1"/>
  <c r="AW4579" i="1"/>
  <c r="AV4579" i="1"/>
  <c r="AW4578" i="1"/>
  <c r="AV4578" i="1"/>
  <c r="AW4577" i="1"/>
  <c r="AV4577" i="1"/>
  <c r="AW4576" i="1"/>
  <c r="AV4576" i="1"/>
  <c r="AW4575" i="1"/>
  <c r="AV4575" i="1"/>
  <c r="AW4574" i="1"/>
  <c r="AV4574" i="1"/>
  <c r="AW4573" i="1"/>
  <c r="AV4573" i="1"/>
  <c r="AW4572" i="1"/>
  <c r="AV4572" i="1"/>
  <c r="AW4571" i="1"/>
  <c r="AV4571" i="1"/>
  <c r="AW4570" i="1"/>
  <c r="AV4570" i="1"/>
  <c r="AU4570" i="1"/>
  <c r="AW4569" i="1"/>
  <c r="AV4569" i="1"/>
  <c r="AW4568" i="1"/>
  <c r="AV4568" i="1"/>
  <c r="AW4567" i="1"/>
  <c r="AV4567" i="1"/>
  <c r="AW4566" i="1"/>
  <c r="AV4566" i="1"/>
  <c r="AW4565" i="1"/>
  <c r="AV4565" i="1"/>
  <c r="AU4565" i="1"/>
  <c r="AW4564" i="1"/>
  <c r="AV4564" i="1"/>
  <c r="AW4563" i="1"/>
  <c r="AV4563" i="1"/>
  <c r="AW4562" i="1"/>
  <c r="AV4562" i="1"/>
  <c r="AW4561" i="1"/>
  <c r="AV4561" i="1"/>
  <c r="AW4560" i="1"/>
  <c r="AV4560" i="1"/>
  <c r="AW4559" i="1"/>
  <c r="AV4559" i="1"/>
  <c r="AW4558" i="1"/>
  <c r="AV4558" i="1"/>
  <c r="AW4557" i="1"/>
  <c r="AV4557" i="1"/>
  <c r="AW4556" i="1"/>
  <c r="AV4556" i="1"/>
  <c r="AW4555" i="1"/>
  <c r="AV4555" i="1"/>
  <c r="AW4554" i="1"/>
  <c r="AV4554" i="1"/>
  <c r="AW4553" i="1"/>
  <c r="AV4553" i="1"/>
  <c r="AW4552" i="1"/>
  <c r="AV4552" i="1"/>
  <c r="AW4551" i="1"/>
  <c r="AV4551" i="1"/>
  <c r="AW4550" i="1"/>
  <c r="AV4550" i="1"/>
  <c r="AU4550" i="1"/>
  <c r="AW4549" i="1"/>
  <c r="AV4549" i="1"/>
  <c r="AW4548" i="1"/>
  <c r="AV4548" i="1"/>
  <c r="AW4547" i="1"/>
  <c r="AV4547" i="1"/>
  <c r="AW4546" i="1"/>
  <c r="AV4546" i="1"/>
  <c r="AU4546" i="1"/>
  <c r="AW4545" i="1"/>
  <c r="AV4545" i="1"/>
  <c r="AW4544" i="1"/>
  <c r="AV4544" i="1"/>
  <c r="AW4543" i="1"/>
  <c r="AV4543" i="1"/>
  <c r="AW4542" i="1"/>
  <c r="AV4542" i="1"/>
  <c r="AW4541" i="1"/>
  <c r="AV4541" i="1"/>
  <c r="AW4540" i="1"/>
  <c r="AV4540" i="1"/>
  <c r="AW4539" i="1"/>
  <c r="AV4539" i="1"/>
  <c r="AW4538" i="1"/>
  <c r="AV4538" i="1"/>
  <c r="AU4538" i="1"/>
  <c r="AW4537" i="1"/>
  <c r="AV4537" i="1"/>
  <c r="AU4537" i="1"/>
  <c r="AW4536" i="1"/>
  <c r="AV4536" i="1"/>
  <c r="AW4535" i="1"/>
  <c r="AV4535" i="1"/>
  <c r="AW4534" i="1"/>
  <c r="AV4534" i="1"/>
  <c r="AW4533" i="1"/>
  <c r="AV4533" i="1"/>
  <c r="AW4532" i="1"/>
  <c r="AV4532" i="1"/>
  <c r="AW4531" i="1"/>
  <c r="AV4531" i="1"/>
  <c r="AW4530" i="1"/>
  <c r="AV4530" i="1"/>
  <c r="AW4529" i="1"/>
  <c r="AV4529" i="1"/>
  <c r="AW4528" i="1"/>
  <c r="AV4528" i="1"/>
  <c r="AU4528" i="1"/>
  <c r="AW4527" i="1"/>
  <c r="AV4527" i="1"/>
  <c r="AU4527" i="1"/>
  <c r="AW4526" i="1"/>
  <c r="AV4526" i="1"/>
  <c r="AW4525" i="1"/>
  <c r="AV4525" i="1"/>
  <c r="AU4525" i="1"/>
  <c r="AW4524" i="1"/>
  <c r="AV4524" i="1"/>
  <c r="AW4523" i="1"/>
  <c r="AV4523" i="1"/>
  <c r="AW4522" i="1"/>
  <c r="AV4522" i="1"/>
  <c r="AW4521" i="1"/>
  <c r="AV4521" i="1"/>
  <c r="AW4520" i="1"/>
  <c r="AV4520" i="1"/>
  <c r="AW4519" i="1"/>
  <c r="AV4519" i="1"/>
  <c r="AW4518" i="1"/>
  <c r="AV4518" i="1"/>
  <c r="AW4517" i="1"/>
  <c r="AV4517" i="1"/>
  <c r="AW4516" i="1"/>
  <c r="AV4516" i="1"/>
  <c r="AW4515" i="1"/>
  <c r="AV4515" i="1"/>
  <c r="AW4514" i="1"/>
  <c r="AV4514" i="1"/>
  <c r="AW4513" i="1"/>
  <c r="AV4513" i="1"/>
  <c r="AW4512" i="1"/>
  <c r="AV4512" i="1"/>
  <c r="AW4511" i="1"/>
  <c r="AV4511" i="1"/>
  <c r="AW4510" i="1"/>
  <c r="AV4510" i="1"/>
  <c r="AW4509" i="1"/>
  <c r="AV4509" i="1"/>
  <c r="AW4508" i="1"/>
  <c r="AV4508" i="1"/>
  <c r="AW4507" i="1"/>
  <c r="AV4507" i="1"/>
  <c r="AW4506" i="1"/>
  <c r="AV4506" i="1"/>
  <c r="AW4505" i="1"/>
  <c r="AV4505" i="1"/>
  <c r="AW4504" i="1"/>
  <c r="AV4504" i="1"/>
  <c r="AW4503" i="1"/>
  <c r="AV4503" i="1"/>
  <c r="AW4502" i="1"/>
  <c r="AV4502" i="1"/>
  <c r="AW4501" i="1"/>
  <c r="AV4501" i="1"/>
  <c r="AW4500" i="1"/>
  <c r="AV4500" i="1"/>
  <c r="AW4499" i="1"/>
  <c r="AV4499" i="1"/>
  <c r="AW4498" i="1"/>
  <c r="AV4498" i="1"/>
  <c r="AW4497" i="1"/>
  <c r="AV4497" i="1"/>
  <c r="AW4496" i="1"/>
  <c r="AV4496" i="1"/>
  <c r="AW4495" i="1"/>
  <c r="AV4495" i="1"/>
  <c r="AW4494" i="1"/>
  <c r="AV4494" i="1"/>
  <c r="AW4493" i="1"/>
  <c r="AV4493" i="1"/>
  <c r="AW4492" i="1"/>
  <c r="AV4492" i="1"/>
  <c r="AW4491" i="1"/>
  <c r="AV4491" i="1"/>
  <c r="AW4490" i="1"/>
  <c r="AV4490" i="1"/>
  <c r="AU4490" i="1"/>
  <c r="AW4489" i="1"/>
  <c r="AV4489" i="1"/>
  <c r="AU4489" i="1"/>
  <c r="AW4488" i="1"/>
  <c r="AV4488" i="1"/>
  <c r="AU4488" i="1"/>
  <c r="AW4487" i="1"/>
  <c r="AV4487" i="1"/>
  <c r="AU4487" i="1"/>
  <c r="AW4486" i="1"/>
  <c r="AV4486" i="1"/>
  <c r="AW4485" i="1"/>
  <c r="AV4485" i="1"/>
  <c r="AW4484" i="1"/>
  <c r="AV4484" i="1"/>
  <c r="AU4484" i="1"/>
  <c r="AW4483" i="1"/>
  <c r="AV4483" i="1"/>
  <c r="AU4483" i="1"/>
  <c r="AW4482" i="1"/>
  <c r="AV4482" i="1"/>
  <c r="AU4482" i="1"/>
  <c r="AW4481" i="1"/>
  <c r="AV4481" i="1"/>
  <c r="AU4481" i="1"/>
  <c r="AW4480" i="1"/>
  <c r="AV4480" i="1"/>
  <c r="AU4480" i="1"/>
  <c r="AW4479" i="1"/>
  <c r="AV4479" i="1"/>
  <c r="AU4479" i="1"/>
  <c r="AW4478" i="1"/>
  <c r="AV4478" i="1"/>
  <c r="AW4477" i="1"/>
  <c r="AV4477" i="1"/>
  <c r="AU4477" i="1"/>
  <c r="AW4476" i="1"/>
  <c r="AV4476" i="1"/>
  <c r="AW4475" i="1"/>
  <c r="AV4475" i="1"/>
  <c r="AW4474" i="1"/>
  <c r="AV4474" i="1"/>
  <c r="AW4473" i="1"/>
  <c r="AV4473" i="1"/>
  <c r="AW4472" i="1"/>
  <c r="AV4472" i="1"/>
  <c r="AW4471" i="1"/>
  <c r="AV4471" i="1"/>
  <c r="AW4470" i="1"/>
  <c r="AV4470" i="1"/>
  <c r="AW4469" i="1"/>
  <c r="AV4469" i="1"/>
  <c r="AU4469" i="1"/>
  <c r="AW4468" i="1"/>
  <c r="AV4468" i="1"/>
  <c r="AU4468" i="1"/>
  <c r="AW4467" i="1"/>
  <c r="AV4467" i="1"/>
  <c r="AU4467" i="1"/>
  <c r="AW4466" i="1"/>
  <c r="AV4466" i="1"/>
  <c r="AU4466" i="1"/>
  <c r="AW4465" i="1"/>
  <c r="AV4465" i="1"/>
  <c r="AU4465" i="1"/>
  <c r="AW4464" i="1"/>
  <c r="AV4464" i="1"/>
  <c r="AU4464" i="1"/>
  <c r="AW4463" i="1"/>
  <c r="AV4463" i="1"/>
  <c r="AU4463" i="1"/>
  <c r="AW4462" i="1"/>
  <c r="AV4462" i="1"/>
  <c r="AU4462" i="1"/>
  <c r="AW4461" i="1"/>
  <c r="AV4461" i="1"/>
  <c r="AU4461" i="1"/>
  <c r="AW4460" i="1"/>
  <c r="AV4460" i="1"/>
  <c r="AU4460" i="1"/>
  <c r="AW4459" i="1"/>
  <c r="AV4459" i="1"/>
  <c r="AW4458" i="1"/>
  <c r="AV4458" i="1"/>
  <c r="AW4457" i="1"/>
  <c r="AV4457" i="1"/>
  <c r="AW4456" i="1"/>
  <c r="AV4456" i="1"/>
  <c r="AW4455" i="1"/>
  <c r="AV4455" i="1"/>
  <c r="AU4455" i="1"/>
  <c r="AW4454" i="1"/>
  <c r="AV4454" i="1"/>
  <c r="AU4454" i="1"/>
  <c r="AW4453" i="1"/>
  <c r="AV4453" i="1"/>
  <c r="AU4453" i="1"/>
  <c r="AW4452" i="1"/>
  <c r="AV4452" i="1"/>
  <c r="AU4452" i="1"/>
  <c r="AW4451" i="1"/>
  <c r="AV4451" i="1"/>
  <c r="AW4450" i="1"/>
  <c r="AV4450" i="1"/>
  <c r="AW4449" i="1"/>
  <c r="AV4449" i="1"/>
  <c r="AW4448" i="1"/>
  <c r="AV4448" i="1"/>
  <c r="AW4447" i="1"/>
  <c r="AV4447" i="1"/>
  <c r="AW4446" i="1"/>
  <c r="AV4446" i="1"/>
  <c r="AW4445" i="1"/>
  <c r="AV4445" i="1"/>
  <c r="AW4444" i="1"/>
  <c r="AV4444" i="1"/>
  <c r="AW4443" i="1"/>
  <c r="AV4443" i="1"/>
  <c r="AW4442" i="1"/>
  <c r="AV4442" i="1"/>
  <c r="AU4442" i="1"/>
  <c r="AW4441" i="1"/>
  <c r="AV4441" i="1"/>
  <c r="AU4441" i="1"/>
  <c r="AW4440" i="1"/>
  <c r="AV4440" i="1"/>
  <c r="AW4439" i="1"/>
  <c r="AV4439" i="1"/>
  <c r="AW4438" i="1"/>
  <c r="AV4438" i="1"/>
  <c r="AU4438" i="1"/>
  <c r="AW4437" i="1"/>
  <c r="AV4437" i="1"/>
  <c r="AU4437" i="1"/>
  <c r="AW4436" i="1"/>
  <c r="AV4436" i="1"/>
  <c r="AU4436" i="1"/>
  <c r="AW4435" i="1"/>
  <c r="AV4435" i="1"/>
  <c r="AU4435" i="1"/>
  <c r="AW4434" i="1"/>
  <c r="AV4434" i="1"/>
  <c r="AW4433" i="1"/>
  <c r="AV4433" i="1"/>
  <c r="AW4432" i="1"/>
  <c r="AV4432" i="1"/>
  <c r="AW4431" i="1"/>
  <c r="AV4431" i="1"/>
  <c r="AU4431" i="1"/>
  <c r="AW4430" i="1"/>
  <c r="AV4430" i="1"/>
  <c r="AU4430" i="1"/>
  <c r="AW4429" i="1"/>
  <c r="AV4429" i="1"/>
  <c r="AW4428" i="1"/>
  <c r="AV4428" i="1"/>
  <c r="AW4427" i="1"/>
  <c r="AV4427" i="1"/>
  <c r="AU4427" i="1"/>
  <c r="AW4426" i="1"/>
  <c r="AV4426" i="1"/>
  <c r="AU4426" i="1"/>
  <c r="AW4425" i="1"/>
  <c r="AV4425" i="1"/>
  <c r="AU4425" i="1"/>
  <c r="AW4424" i="1"/>
  <c r="AV4424" i="1"/>
  <c r="AU4424" i="1"/>
  <c r="AW4423" i="1"/>
  <c r="AV4423" i="1"/>
  <c r="AU4423" i="1"/>
  <c r="AW4422" i="1"/>
  <c r="AV4422" i="1"/>
  <c r="AU4422" i="1"/>
  <c r="AW4421" i="1"/>
  <c r="AV4421" i="1"/>
  <c r="AW4420" i="1"/>
  <c r="AV4420" i="1"/>
  <c r="AU4420" i="1"/>
  <c r="AW4419" i="1"/>
  <c r="AV4419" i="1"/>
  <c r="AU4419" i="1"/>
  <c r="AW4418" i="1"/>
  <c r="AV4418" i="1"/>
  <c r="AU4418" i="1"/>
  <c r="AW4417" i="1"/>
  <c r="AV4417" i="1"/>
  <c r="AU4417" i="1"/>
  <c r="AW4416" i="1"/>
  <c r="AV4416" i="1"/>
  <c r="AW4415" i="1"/>
  <c r="AV4415" i="1"/>
  <c r="AU4415" i="1"/>
  <c r="AW4414" i="1"/>
  <c r="AV4414" i="1"/>
  <c r="AW4413" i="1"/>
  <c r="AV4413" i="1"/>
  <c r="AW4412" i="1"/>
  <c r="AV4412" i="1"/>
  <c r="AW4411" i="1"/>
  <c r="AV4411" i="1"/>
  <c r="AW4410" i="1"/>
  <c r="AV4410" i="1"/>
  <c r="AW4409" i="1"/>
  <c r="AV4409" i="1"/>
  <c r="AW4408" i="1"/>
  <c r="AV4408" i="1"/>
  <c r="AW4407" i="1"/>
  <c r="AV4407" i="1"/>
  <c r="AW4406" i="1"/>
  <c r="AV4406" i="1"/>
  <c r="AW4405" i="1"/>
  <c r="AV4405" i="1"/>
  <c r="AW4404" i="1"/>
  <c r="AV4404" i="1"/>
  <c r="AU4404" i="1"/>
  <c r="AW4403" i="1"/>
  <c r="AV4403" i="1"/>
  <c r="AW4402" i="1"/>
  <c r="AV4402" i="1"/>
  <c r="AW4401" i="1"/>
  <c r="AV4401" i="1"/>
  <c r="AW4400" i="1"/>
  <c r="AV4400" i="1"/>
  <c r="AU4400" i="1"/>
  <c r="AW4399" i="1"/>
  <c r="AV4399" i="1"/>
  <c r="AW4398" i="1"/>
  <c r="AV4398" i="1"/>
  <c r="AW4397" i="1"/>
  <c r="AV4397" i="1"/>
  <c r="AW4396" i="1"/>
  <c r="AV4396" i="1"/>
  <c r="AW4395" i="1"/>
  <c r="AV4395" i="1"/>
  <c r="AW4394" i="1"/>
  <c r="AV4394" i="1"/>
  <c r="AW4393" i="1"/>
  <c r="AV4393" i="1"/>
  <c r="AW4392" i="1"/>
  <c r="AV4392" i="1"/>
  <c r="AW4391" i="1"/>
  <c r="AV4391" i="1"/>
  <c r="AW4390" i="1"/>
  <c r="AV4390" i="1"/>
  <c r="AW4389" i="1"/>
  <c r="AV4389" i="1"/>
  <c r="AU4389" i="1"/>
  <c r="AW4388" i="1"/>
  <c r="AV4388" i="1"/>
  <c r="AU4388" i="1"/>
  <c r="AW4387" i="1"/>
  <c r="AV4387" i="1"/>
  <c r="AW4386" i="1"/>
  <c r="AV4386" i="1"/>
  <c r="AW4385" i="1"/>
  <c r="AV4385" i="1"/>
  <c r="AW4384" i="1"/>
  <c r="AV4384" i="1"/>
  <c r="AW4383" i="1"/>
  <c r="AV4383" i="1"/>
  <c r="AW4382" i="1"/>
  <c r="AV4382" i="1"/>
  <c r="AW4381" i="1"/>
  <c r="AV4381" i="1"/>
  <c r="AW4380" i="1"/>
  <c r="AV4380" i="1"/>
  <c r="AU4380" i="1"/>
  <c r="AW4379" i="1"/>
  <c r="AV4379" i="1"/>
  <c r="AU4379" i="1"/>
  <c r="AW4378" i="1"/>
  <c r="AV4378" i="1"/>
  <c r="AU4378" i="1"/>
  <c r="AW4377" i="1"/>
  <c r="AV4377" i="1"/>
  <c r="AU4377" i="1"/>
  <c r="AW4376" i="1"/>
  <c r="AV4376" i="1"/>
  <c r="AU4376" i="1"/>
  <c r="AW4375" i="1"/>
  <c r="AV4375" i="1"/>
  <c r="AU4375" i="1"/>
  <c r="AW4374" i="1"/>
  <c r="AV4374" i="1"/>
  <c r="AW4373" i="1"/>
  <c r="AV4373" i="1"/>
  <c r="AU4373" i="1"/>
  <c r="AW4372" i="1"/>
  <c r="AV4372" i="1"/>
  <c r="AU4372" i="1"/>
  <c r="AW4371" i="1"/>
  <c r="AV4371" i="1"/>
  <c r="AU4371" i="1"/>
  <c r="AW4370" i="1"/>
  <c r="AV4370" i="1"/>
  <c r="AW4369" i="1"/>
  <c r="AV4369" i="1"/>
  <c r="AW4368" i="1"/>
  <c r="AV4368" i="1"/>
  <c r="AW4367" i="1"/>
  <c r="AV4367" i="1"/>
  <c r="AW4366" i="1"/>
  <c r="AV4366" i="1"/>
  <c r="AW4365" i="1"/>
  <c r="AV4365" i="1"/>
  <c r="AW4364" i="1"/>
  <c r="AV4364" i="1"/>
  <c r="AW4363" i="1"/>
  <c r="AV4363" i="1"/>
  <c r="AW4362" i="1"/>
  <c r="AV4362" i="1"/>
  <c r="AW4361" i="1"/>
  <c r="AV4361" i="1"/>
  <c r="AW4360" i="1"/>
  <c r="AV4360" i="1"/>
  <c r="AW4359" i="1"/>
  <c r="AV4359" i="1"/>
  <c r="AU4359" i="1"/>
  <c r="AW4358" i="1"/>
  <c r="AV4358" i="1"/>
  <c r="AU4358" i="1"/>
  <c r="AW4357" i="1"/>
  <c r="AV4357" i="1"/>
  <c r="AU4357" i="1"/>
  <c r="AW4356" i="1"/>
  <c r="AV4356" i="1"/>
  <c r="AU4356" i="1"/>
  <c r="AW4355" i="1"/>
  <c r="AV4355" i="1"/>
  <c r="AU4355" i="1"/>
  <c r="AW4354" i="1"/>
  <c r="AV4354" i="1"/>
  <c r="AU4354" i="1"/>
  <c r="AW4353" i="1"/>
  <c r="AV4353" i="1"/>
  <c r="AU4353" i="1"/>
  <c r="AW4352" i="1"/>
  <c r="AV4352" i="1"/>
  <c r="AU4352" i="1"/>
  <c r="AW4351" i="1"/>
  <c r="AV4351" i="1"/>
  <c r="AW4350" i="1"/>
  <c r="AV4350" i="1"/>
  <c r="AW4349" i="1"/>
  <c r="AV4349" i="1"/>
  <c r="AW4348" i="1"/>
  <c r="AV4348" i="1"/>
  <c r="AW4347" i="1"/>
  <c r="AV4347" i="1"/>
  <c r="AW4346" i="1"/>
  <c r="AV4346" i="1"/>
  <c r="AW4345" i="1"/>
  <c r="AV4345" i="1"/>
  <c r="AW4344" i="1"/>
  <c r="AV4344" i="1"/>
  <c r="AW4343" i="1"/>
  <c r="AV4343" i="1"/>
  <c r="AW4342" i="1"/>
  <c r="AV4342" i="1"/>
  <c r="AW4341" i="1"/>
  <c r="AV4341" i="1"/>
  <c r="AW4340" i="1"/>
  <c r="AV4340" i="1"/>
  <c r="AW4339" i="1"/>
  <c r="AV4339" i="1"/>
  <c r="AW4338" i="1"/>
  <c r="AV4338" i="1"/>
  <c r="AW4337" i="1"/>
  <c r="AV4337" i="1"/>
  <c r="AW4336" i="1"/>
  <c r="AV4336" i="1"/>
  <c r="AW4335" i="1"/>
  <c r="AV4335" i="1"/>
  <c r="AW4334" i="1"/>
  <c r="AV4334" i="1"/>
  <c r="AW4333" i="1"/>
  <c r="AV4333" i="1"/>
  <c r="AW4332" i="1"/>
  <c r="AV4332" i="1"/>
  <c r="AU4332" i="1"/>
  <c r="AW4331" i="1"/>
  <c r="AV4331" i="1"/>
  <c r="AW4330" i="1"/>
  <c r="AV4330" i="1"/>
  <c r="AU4330" i="1"/>
  <c r="AW4329" i="1"/>
  <c r="AV4329" i="1"/>
  <c r="AU4329" i="1"/>
  <c r="AW4328" i="1"/>
  <c r="AV4328" i="1"/>
  <c r="AW4327" i="1"/>
  <c r="AV4327" i="1"/>
  <c r="AW4326" i="1"/>
  <c r="AV4326" i="1"/>
  <c r="AW4325" i="1"/>
  <c r="AV4325" i="1"/>
  <c r="AW4324" i="1"/>
  <c r="AV4324" i="1"/>
  <c r="AW4323" i="1"/>
  <c r="AV4323" i="1"/>
  <c r="AW4322" i="1"/>
  <c r="AV4322" i="1"/>
  <c r="AW4321" i="1"/>
  <c r="AV4321" i="1"/>
  <c r="AU4321" i="1"/>
  <c r="AW4320" i="1"/>
  <c r="AV4320" i="1"/>
  <c r="AU4320" i="1"/>
  <c r="AW4319" i="1"/>
  <c r="AV4319" i="1"/>
  <c r="AW4318" i="1"/>
  <c r="AV4318" i="1"/>
  <c r="AW4317" i="1"/>
  <c r="AV4317" i="1"/>
  <c r="AU4317" i="1"/>
  <c r="AW4316" i="1"/>
  <c r="AV4316" i="1"/>
  <c r="AW4315" i="1"/>
  <c r="AV4315" i="1"/>
  <c r="AW4314" i="1"/>
  <c r="AV4314" i="1"/>
  <c r="AW4313" i="1"/>
  <c r="AV4313" i="1"/>
  <c r="AW4312" i="1"/>
  <c r="AV4312" i="1"/>
  <c r="AW4311" i="1"/>
  <c r="AV4311" i="1"/>
  <c r="AW4310" i="1"/>
  <c r="AV4310" i="1"/>
  <c r="AW4309" i="1"/>
  <c r="AV4309" i="1"/>
  <c r="AW4308" i="1"/>
  <c r="AV4308" i="1"/>
  <c r="AW4307" i="1"/>
  <c r="AV4307" i="1"/>
  <c r="AW4306" i="1"/>
  <c r="AV4306" i="1"/>
  <c r="AW4305" i="1"/>
  <c r="AV4305" i="1"/>
  <c r="AW4304" i="1"/>
  <c r="AV4304" i="1"/>
  <c r="AW4303" i="1"/>
  <c r="AV4303" i="1"/>
  <c r="AW4302" i="1"/>
  <c r="AV4302" i="1"/>
  <c r="AW4301" i="1"/>
  <c r="AV4301" i="1"/>
  <c r="AW4300" i="1"/>
  <c r="AV4300" i="1"/>
  <c r="AU4300" i="1"/>
  <c r="AW4299" i="1"/>
  <c r="AV4299" i="1"/>
  <c r="AW4298" i="1"/>
  <c r="AV4298" i="1"/>
  <c r="AW4297" i="1"/>
  <c r="AV4297" i="1"/>
  <c r="AW4296" i="1"/>
  <c r="AV4296" i="1"/>
  <c r="AW4295" i="1"/>
  <c r="AV4295" i="1"/>
  <c r="AU4295" i="1"/>
  <c r="AW4294" i="1"/>
  <c r="AV4294" i="1"/>
  <c r="AW4293" i="1"/>
  <c r="AV4293" i="1"/>
  <c r="AW4292" i="1"/>
  <c r="AV4292" i="1"/>
  <c r="AW4291" i="1"/>
  <c r="AV4291" i="1"/>
  <c r="AW4290" i="1"/>
  <c r="AV4290" i="1"/>
  <c r="AW4289" i="1"/>
  <c r="AV4289" i="1"/>
  <c r="AW4288" i="1"/>
  <c r="AV4288" i="1"/>
  <c r="AW4287" i="1"/>
  <c r="AV4287" i="1"/>
  <c r="AW4286" i="1"/>
  <c r="AV4286" i="1"/>
  <c r="AW4285" i="1"/>
  <c r="AV4285" i="1"/>
  <c r="AU4285" i="1"/>
  <c r="AW4284" i="1"/>
  <c r="AV4284" i="1"/>
  <c r="AU4284" i="1"/>
  <c r="AW4283" i="1"/>
  <c r="AV4283" i="1"/>
  <c r="AW4282" i="1"/>
  <c r="AV4282" i="1"/>
  <c r="AW4281" i="1"/>
  <c r="AV4281" i="1"/>
  <c r="AW4280" i="1"/>
  <c r="AV4280" i="1"/>
  <c r="AU4280" i="1"/>
  <c r="AW4279" i="1"/>
  <c r="AV4279" i="1"/>
  <c r="AU4279" i="1"/>
  <c r="AW4278" i="1"/>
  <c r="AV4278" i="1"/>
  <c r="AW4277" i="1"/>
  <c r="AV4277" i="1"/>
  <c r="AW4276" i="1"/>
  <c r="AV4276" i="1"/>
  <c r="AU4276" i="1"/>
  <c r="AW4275" i="1"/>
  <c r="AV4275" i="1"/>
  <c r="AW4274" i="1"/>
  <c r="AV4274" i="1"/>
  <c r="AW4273" i="1"/>
  <c r="AV4273" i="1"/>
  <c r="AW4272" i="1"/>
  <c r="AV4272" i="1"/>
  <c r="AW4271" i="1"/>
  <c r="AV4271" i="1"/>
  <c r="AW4270" i="1"/>
  <c r="AV4270" i="1"/>
  <c r="AW4269" i="1"/>
  <c r="AV4269" i="1"/>
  <c r="AW4268" i="1"/>
  <c r="AV4268" i="1"/>
  <c r="AW4267" i="1"/>
  <c r="AV4267" i="1"/>
  <c r="AW4266" i="1"/>
  <c r="AV4266" i="1"/>
  <c r="AW4265" i="1"/>
  <c r="AV4265" i="1"/>
  <c r="AU4265" i="1"/>
  <c r="AW4264" i="1"/>
  <c r="AV4264" i="1"/>
  <c r="AW4263" i="1"/>
  <c r="AV4263" i="1"/>
  <c r="AW4262" i="1"/>
  <c r="AV4262" i="1"/>
  <c r="AW4261" i="1"/>
  <c r="AV4261" i="1"/>
  <c r="AW4260" i="1"/>
  <c r="AV4260" i="1"/>
  <c r="AW4259" i="1"/>
  <c r="AV4259" i="1"/>
  <c r="AW4258" i="1"/>
  <c r="AV4258" i="1"/>
  <c r="AW4257" i="1"/>
  <c r="AV4257" i="1"/>
  <c r="AW4256" i="1"/>
  <c r="AV4256" i="1"/>
  <c r="AW4255" i="1"/>
  <c r="AV4255" i="1"/>
  <c r="AW4254" i="1"/>
  <c r="AV4254" i="1"/>
  <c r="AW4253" i="1"/>
  <c r="AV4253" i="1"/>
  <c r="AW4252" i="1"/>
  <c r="AV4252" i="1"/>
  <c r="AW4251" i="1"/>
  <c r="AV4251" i="1"/>
  <c r="AU4251" i="1"/>
  <c r="AW4250" i="1"/>
  <c r="AV4250" i="1"/>
  <c r="AU4250" i="1"/>
  <c r="AW4249" i="1"/>
  <c r="AV4249" i="1"/>
  <c r="AU4249" i="1"/>
  <c r="AW4248" i="1"/>
  <c r="AV4248" i="1"/>
  <c r="AW4247" i="1"/>
  <c r="AV4247" i="1"/>
  <c r="AU4247" i="1"/>
  <c r="AW4246" i="1"/>
  <c r="AV4246" i="1"/>
  <c r="AW4245" i="1"/>
  <c r="AV4245" i="1"/>
  <c r="AW4244" i="1"/>
  <c r="AV4244" i="1"/>
  <c r="AU4244" i="1"/>
  <c r="AW4243" i="1"/>
  <c r="AV4243" i="1"/>
  <c r="AW4242" i="1"/>
  <c r="AV4242" i="1"/>
  <c r="AW4241" i="1"/>
  <c r="AV4241" i="1"/>
  <c r="AU4241" i="1"/>
  <c r="AW4240" i="1"/>
  <c r="AV4240" i="1"/>
  <c r="AU4240" i="1"/>
  <c r="AW4239" i="1"/>
  <c r="AV4239" i="1"/>
  <c r="AU4239" i="1"/>
  <c r="AW4238" i="1"/>
  <c r="AV4238" i="1"/>
  <c r="AW4237" i="1"/>
  <c r="AV4237" i="1"/>
  <c r="AW4236" i="1"/>
  <c r="AV4236" i="1"/>
  <c r="AW4235" i="1"/>
  <c r="AV4235" i="1"/>
  <c r="AW4234" i="1"/>
  <c r="AV4234" i="1"/>
  <c r="AW4233" i="1"/>
  <c r="AV4233" i="1"/>
  <c r="AW4232" i="1"/>
  <c r="AV4232" i="1"/>
  <c r="AU4232" i="1"/>
  <c r="AW4231" i="1"/>
  <c r="AV4231" i="1"/>
  <c r="AU4231" i="1"/>
  <c r="AW4230" i="1"/>
  <c r="AV4230" i="1"/>
  <c r="AU4230" i="1"/>
  <c r="AW4229" i="1"/>
  <c r="AV4229" i="1"/>
  <c r="AW4228" i="1"/>
  <c r="AV4228" i="1"/>
  <c r="AW4227" i="1"/>
  <c r="AV4227" i="1"/>
  <c r="AU4227" i="1"/>
  <c r="AW4226" i="1"/>
  <c r="AV4226" i="1"/>
  <c r="AW4225" i="1"/>
  <c r="AV4225" i="1"/>
  <c r="AW4224" i="1"/>
  <c r="AV4224" i="1"/>
  <c r="AW4223" i="1"/>
  <c r="AV4223" i="1"/>
  <c r="AW4222" i="1"/>
  <c r="AV4222" i="1"/>
  <c r="AU4222" i="1"/>
  <c r="AW4221" i="1"/>
  <c r="AV4221" i="1"/>
  <c r="AW4220" i="1"/>
  <c r="AV4220" i="1"/>
  <c r="AU4220" i="1"/>
  <c r="AW4219" i="1"/>
  <c r="AV4219" i="1"/>
  <c r="AW4218" i="1"/>
  <c r="AV4218" i="1"/>
  <c r="AW4217" i="1"/>
  <c r="AV4217" i="1"/>
  <c r="AW4216" i="1"/>
  <c r="AV4216" i="1"/>
  <c r="AW4215" i="1"/>
  <c r="AV4215" i="1"/>
  <c r="AW4214" i="1"/>
  <c r="AV4214" i="1"/>
  <c r="AW4213" i="1"/>
  <c r="AV4213" i="1"/>
  <c r="AW4212" i="1"/>
  <c r="AV4212" i="1"/>
  <c r="AW4211" i="1"/>
  <c r="AV4211" i="1"/>
  <c r="AW4210" i="1"/>
  <c r="AV4210" i="1"/>
  <c r="AW4209" i="1"/>
  <c r="AV4209" i="1"/>
  <c r="AU4209" i="1"/>
  <c r="AW4208" i="1"/>
  <c r="AV4208" i="1"/>
  <c r="AU4208" i="1"/>
  <c r="AW4207" i="1"/>
  <c r="AV4207" i="1"/>
  <c r="AW4206" i="1"/>
  <c r="AV4206" i="1"/>
  <c r="AW4205" i="1"/>
  <c r="AV4205" i="1"/>
  <c r="AW4204" i="1"/>
  <c r="AV4204" i="1"/>
  <c r="AW4203" i="1"/>
  <c r="AV4203" i="1"/>
  <c r="AW4202" i="1"/>
  <c r="AV4202" i="1"/>
  <c r="AW4201" i="1"/>
  <c r="AV4201" i="1"/>
  <c r="AW4200" i="1"/>
  <c r="AV4200" i="1"/>
  <c r="AW4199" i="1"/>
  <c r="AV4199" i="1"/>
  <c r="AW4198" i="1"/>
  <c r="AV4198" i="1"/>
  <c r="AW4197" i="1"/>
  <c r="AV4197" i="1"/>
  <c r="AW4196" i="1"/>
  <c r="AV4196" i="1"/>
  <c r="AW4195" i="1"/>
  <c r="AV4195" i="1"/>
  <c r="AW4194" i="1"/>
  <c r="AV4194" i="1"/>
  <c r="AW4193" i="1"/>
  <c r="AV4193" i="1"/>
  <c r="AW4192" i="1"/>
  <c r="AV4192" i="1"/>
  <c r="AU4192" i="1"/>
  <c r="AW4191" i="1"/>
  <c r="AV4191" i="1"/>
  <c r="AW4190" i="1"/>
  <c r="AV4190" i="1"/>
  <c r="AW4189" i="1"/>
  <c r="AV4189" i="1"/>
  <c r="AU4189" i="1"/>
  <c r="AW4188" i="1"/>
  <c r="AV4188" i="1"/>
  <c r="AU4188" i="1"/>
  <c r="AW4187" i="1"/>
  <c r="AV4187" i="1"/>
  <c r="AW4186" i="1"/>
  <c r="AV4186" i="1"/>
  <c r="AW4185" i="1"/>
  <c r="AV4185" i="1"/>
  <c r="AW4184" i="1"/>
  <c r="AV4184" i="1"/>
  <c r="AW4183" i="1"/>
  <c r="AV4183" i="1"/>
  <c r="AW4182" i="1"/>
  <c r="AV4182" i="1"/>
  <c r="AW4181" i="1"/>
  <c r="AV4181" i="1"/>
  <c r="AU4181" i="1"/>
  <c r="AW4180" i="1"/>
  <c r="AV4180" i="1"/>
  <c r="AW4179" i="1"/>
  <c r="AV4179" i="1"/>
  <c r="AW4178" i="1"/>
  <c r="AV4178" i="1"/>
  <c r="AW4177" i="1"/>
  <c r="AV4177" i="1"/>
  <c r="AW4176" i="1"/>
  <c r="AV4176" i="1"/>
  <c r="AW4175" i="1"/>
  <c r="AV4175" i="1"/>
  <c r="AU4175" i="1"/>
  <c r="AW4174" i="1"/>
  <c r="AV4174" i="1"/>
  <c r="AU4174" i="1"/>
  <c r="AW4173" i="1"/>
  <c r="AV4173" i="1"/>
  <c r="AW4172" i="1"/>
  <c r="AV4172" i="1"/>
  <c r="AU4172" i="1"/>
  <c r="AW4171" i="1"/>
  <c r="AV4171" i="1"/>
  <c r="AW4170" i="1"/>
  <c r="AV4170" i="1"/>
  <c r="AW4169" i="1"/>
  <c r="AV4169" i="1"/>
  <c r="AW4168" i="1"/>
  <c r="AV4168" i="1"/>
  <c r="AW4167" i="1"/>
  <c r="AV4167" i="1"/>
  <c r="AW4166" i="1"/>
  <c r="AV4166" i="1"/>
  <c r="AU4166" i="1"/>
  <c r="AW4165" i="1"/>
  <c r="AV4165" i="1"/>
  <c r="AU4165" i="1"/>
  <c r="AW4164" i="1"/>
  <c r="AV4164" i="1"/>
  <c r="AW4163" i="1"/>
  <c r="AV4163" i="1"/>
  <c r="AW4162" i="1"/>
  <c r="AV4162" i="1"/>
  <c r="AW4161" i="1"/>
  <c r="AV4161" i="1"/>
  <c r="AW4160" i="1"/>
  <c r="AV4160" i="1"/>
  <c r="AU4160" i="1"/>
  <c r="AW4159" i="1"/>
  <c r="AV4159" i="1"/>
  <c r="AW4158" i="1"/>
  <c r="AV4158" i="1"/>
  <c r="AW4157" i="1"/>
  <c r="AV4157" i="1"/>
  <c r="AW4156" i="1"/>
  <c r="AV4156" i="1"/>
  <c r="AW4155" i="1"/>
  <c r="AV4155" i="1"/>
  <c r="AW4154" i="1"/>
  <c r="AV4154" i="1"/>
  <c r="AW4153" i="1"/>
  <c r="AV4153" i="1"/>
  <c r="AW4152" i="1"/>
  <c r="AV4152" i="1"/>
  <c r="AU4152" i="1"/>
  <c r="AW4151" i="1"/>
  <c r="AV4151" i="1"/>
  <c r="AW4150" i="1"/>
  <c r="AV4150" i="1"/>
  <c r="AW4149" i="1"/>
  <c r="AV4149" i="1"/>
  <c r="AW4148" i="1"/>
  <c r="AV4148" i="1"/>
  <c r="AW4147" i="1"/>
  <c r="AV4147" i="1"/>
  <c r="AW4146" i="1"/>
  <c r="AV4146" i="1"/>
  <c r="AW4145" i="1"/>
  <c r="AV4145" i="1"/>
  <c r="AW4144" i="1"/>
  <c r="AV4144" i="1"/>
  <c r="AW4143" i="1"/>
  <c r="AV4143" i="1"/>
  <c r="AU4143" i="1"/>
  <c r="AW4142" i="1"/>
  <c r="AV4142" i="1"/>
  <c r="AW4141" i="1"/>
  <c r="AV4141" i="1"/>
  <c r="AW4140" i="1"/>
  <c r="AV4140" i="1"/>
  <c r="AW4139" i="1"/>
  <c r="AV4139" i="1"/>
  <c r="AU4139" i="1"/>
  <c r="AW4138" i="1"/>
  <c r="AV4138" i="1"/>
  <c r="AW4137" i="1"/>
  <c r="AV4137" i="1"/>
  <c r="AU4137" i="1"/>
  <c r="AW4136" i="1"/>
  <c r="AV4136" i="1"/>
  <c r="AW4135" i="1"/>
  <c r="AV4135" i="1"/>
  <c r="AW4134" i="1"/>
  <c r="AV4134" i="1"/>
  <c r="AU4134" i="1"/>
  <c r="AW4133" i="1"/>
  <c r="AV4133" i="1"/>
  <c r="AU4133" i="1"/>
  <c r="AW4132" i="1"/>
  <c r="AV4132" i="1"/>
  <c r="AU4132" i="1"/>
  <c r="AW4131" i="1"/>
  <c r="AV4131" i="1"/>
  <c r="AW4130" i="1"/>
  <c r="AV4130" i="1"/>
  <c r="AW4129" i="1"/>
  <c r="AV4129" i="1"/>
  <c r="AW4128" i="1"/>
  <c r="AV4128" i="1"/>
  <c r="AU4128" i="1"/>
  <c r="AW4127" i="1"/>
  <c r="AV4127" i="1"/>
  <c r="AW4126" i="1"/>
  <c r="AV4126" i="1"/>
  <c r="AW4125" i="1"/>
  <c r="AV4125" i="1"/>
  <c r="AU4125" i="1"/>
  <c r="AW4124" i="1"/>
  <c r="AV4124" i="1"/>
  <c r="AW4123" i="1"/>
  <c r="AV4123" i="1"/>
  <c r="AW4122" i="1"/>
  <c r="AV4122" i="1"/>
  <c r="AW4121" i="1"/>
  <c r="AV4121" i="1"/>
  <c r="AW4120" i="1"/>
  <c r="AV4120" i="1"/>
  <c r="AW4119" i="1"/>
  <c r="AV4119" i="1"/>
  <c r="AW4118" i="1"/>
  <c r="AV4118" i="1"/>
  <c r="AW4117" i="1"/>
  <c r="AV4117" i="1"/>
  <c r="AU4117" i="1"/>
  <c r="AW4116" i="1"/>
  <c r="AV4116" i="1"/>
  <c r="AU4116" i="1"/>
  <c r="AW4115" i="1"/>
  <c r="AV4115" i="1"/>
  <c r="AW4114" i="1"/>
  <c r="AV4114" i="1"/>
  <c r="AU4114" i="1"/>
  <c r="AW4113" i="1"/>
  <c r="AV4113" i="1"/>
  <c r="AW4112" i="1"/>
  <c r="AV4112" i="1"/>
  <c r="AU4112" i="1"/>
  <c r="AW4111" i="1"/>
  <c r="AV4111" i="1"/>
  <c r="AW4110" i="1"/>
  <c r="AV4110" i="1"/>
  <c r="AW4109" i="1"/>
  <c r="AV4109" i="1"/>
  <c r="AW4108" i="1"/>
  <c r="AV4108" i="1"/>
  <c r="AW4107" i="1"/>
  <c r="AV4107" i="1"/>
  <c r="AU4107" i="1"/>
  <c r="AW4106" i="1"/>
  <c r="AV4106" i="1"/>
  <c r="AW4105" i="1"/>
  <c r="AV4105" i="1"/>
  <c r="AW4104" i="1"/>
  <c r="AV4104" i="1"/>
  <c r="AU4104" i="1"/>
  <c r="AW4103" i="1"/>
  <c r="AV4103" i="1"/>
  <c r="AU4103" i="1"/>
  <c r="AW4102" i="1"/>
  <c r="AV4102" i="1"/>
  <c r="AW4101" i="1"/>
  <c r="AV4101" i="1"/>
  <c r="AW4100" i="1"/>
  <c r="AV4100" i="1"/>
  <c r="AW4099" i="1"/>
  <c r="AV4099" i="1"/>
  <c r="AU4099" i="1"/>
  <c r="AW4098" i="1"/>
  <c r="AV4098" i="1"/>
  <c r="AU4098" i="1"/>
  <c r="AW4097" i="1"/>
  <c r="AV4097" i="1"/>
  <c r="AW4096" i="1"/>
  <c r="AV4096" i="1"/>
  <c r="AW4095" i="1"/>
  <c r="AV4095" i="1"/>
  <c r="AU4095" i="1"/>
  <c r="AW4094" i="1"/>
  <c r="AV4094" i="1"/>
  <c r="AW4093" i="1"/>
  <c r="AV4093" i="1"/>
  <c r="AW4092" i="1"/>
  <c r="AV4092" i="1"/>
  <c r="AU4092" i="1"/>
  <c r="AW4091" i="1"/>
  <c r="AV4091" i="1"/>
  <c r="AW4090" i="1"/>
  <c r="AV4090" i="1"/>
  <c r="AW4089" i="1"/>
  <c r="AV4089" i="1"/>
  <c r="AW4088" i="1"/>
  <c r="AV4088" i="1"/>
  <c r="AW4087" i="1"/>
  <c r="AV4087" i="1"/>
  <c r="AW4086" i="1"/>
  <c r="AV4086" i="1"/>
  <c r="AW4085" i="1"/>
  <c r="AV4085" i="1"/>
  <c r="AW4084" i="1"/>
  <c r="AV4084" i="1"/>
  <c r="AW4083" i="1"/>
  <c r="AV4083" i="1"/>
  <c r="AW4082" i="1"/>
  <c r="AV4082" i="1"/>
  <c r="AW4081" i="1"/>
  <c r="AV4081" i="1"/>
  <c r="AW4080" i="1"/>
  <c r="AV4080" i="1"/>
  <c r="AU4080" i="1"/>
  <c r="AW4079" i="1"/>
  <c r="AV4079" i="1"/>
  <c r="AW4078" i="1"/>
  <c r="AV4078" i="1"/>
  <c r="AW4077" i="1"/>
  <c r="AV4077" i="1"/>
  <c r="AU4077" i="1"/>
  <c r="AW4076" i="1"/>
  <c r="AV4076" i="1"/>
  <c r="AW4075" i="1"/>
  <c r="AV4075" i="1"/>
  <c r="AW4074" i="1"/>
  <c r="AV4074" i="1"/>
  <c r="AU4074" i="1"/>
  <c r="AW4073" i="1"/>
  <c r="AV4073" i="1"/>
  <c r="AW4072" i="1"/>
  <c r="AV4072" i="1"/>
  <c r="AW4071" i="1"/>
  <c r="AV4071" i="1"/>
  <c r="AW4070" i="1"/>
  <c r="AV4070" i="1"/>
  <c r="AW4069" i="1"/>
  <c r="AV4069" i="1"/>
  <c r="AW4068" i="1"/>
  <c r="AV4068" i="1"/>
  <c r="AW4067" i="1"/>
  <c r="AV4067" i="1"/>
  <c r="AU4067" i="1"/>
  <c r="AW4066" i="1"/>
  <c r="AV4066" i="1"/>
  <c r="AW4065" i="1"/>
  <c r="AV4065" i="1"/>
  <c r="AU4065" i="1"/>
  <c r="AW4064" i="1"/>
  <c r="AV4064" i="1"/>
  <c r="AW4063" i="1"/>
  <c r="AV4063" i="1"/>
  <c r="AW4062" i="1"/>
  <c r="AV4062" i="1"/>
  <c r="AW4061" i="1"/>
  <c r="AV4061" i="1"/>
  <c r="AW4060" i="1"/>
  <c r="AV4060" i="1"/>
  <c r="AW4059" i="1"/>
  <c r="AV4059" i="1"/>
  <c r="AW4058" i="1"/>
  <c r="AV4058" i="1"/>
  <c r="AW4057" i="1"/>
  <c r="AV4057" i="1"/>
  <c r="AW4056" i="1"/>
  <c r="AV4056" i="1"/>
  <c r="AU4056" i="1"/>
  <c r="AW4055" i="1"/>
  <c r="AV4055" i="1"/>
  <c r="AU4055" i="1"/>
  <c r="AW4054" i="1"/>
  <c r="AV4054" i="1"/>
  <c r="AU4054" i="1"/>
  <c r="AW4053" i="1"/>
  <c r="AV4053" i="1"/>
  <c r="AU4053" i="1"/>
  <c r="AW4052" i="1"/>
  <c r="AV4052" i="1"/>
  <c r="AW4051" i="1"/>
  <c r="AV4051" i="1"/>
  <c r="AU4051" i="1"/>
  <c r="AW4050" i="1"/>
  <c r="AV4050" i="1"/>
  <c r="AU4050" i="1"/>
  <c r="AW4049" i="1"/>
  <c r="AV4049" i="1"/>
  <c r="AW4048" i="1"/>
  <c r="AV4048" i="1"/>
  <c r="AU4048" i="1"/>
  <c r="AW4047" i="1"/>
  <c r="AV4047" i="1"/>
  <c r="AW4046" i="1"/>
  <c r="AV4046" i="1"/>
  <c r="AW4045" i="1"/>
  <c r="AV4045" i="1"/>
  <c r="AW4044" i="1"/>
  <c r="AV4044" i="1"/>
  <c r="AW4043" i="1"/>
  <c r="AV4043" i="1"/>
  <c r="AW4042" i="1"/>
  <c r="AV4042" i="1"/>
  <c r="AW4041" i="1"/>
  <c r="AV4041" i="1"/>
  <c r="AW4040" i="1"/>
  <c r="AV4040" i="1"/>
  <c r="AU4040" i="1"/>
  <c r="AW4039" i="1"/>
  <c r="AV4039" i="1"/>
  <c r="AW4038" i="1"/>
  <c r="AV4038" i="1"/>
  <c r="AW4037" i="1"/>
  <c r="AV4037" i="1"/>
  <c r="AU4037" i="1"/>
  <c r="AW4036" i="1"/>
  <c r="AV4036" i="1"/>
  <c r="AU4036" i="1"/>
  <c r="AW4035" i="1"/>
  <c r="AV4035" i="1"/>
  <c r="AW4034" i="1"/>
  <c r="AV4034" i="1"/>
  <c r="AW4033" i="1"/>
  <c r="AV4033" i="1"/>
  <c r="AW4032" i="1"/>
  <c r="AV4032" i="1"/>
  <c r="AW4031" i="1"/>
  <c r="AV4031" i="1"/>
  <c r="AW4030" i="1"/>
  <c r="AV4030" i="1"/>
  <c r="AU4030" i="1"/>
  <c r="AW4029" i="1"/>
  <c r="AV4029" i="1"/>
  <c r="AW4028" i="1"/>
  <c r="AV4028" i="1"/>
  <c r="AW4027" i="1"/>
  <c r="AV4027" i="1"/>
  <c r="AU4027" i="1"/>
  <c r="AW4026" i="1"/>
  <c r="AV4026" i="1"/>
  <c r="AW4025" i="1"/>
  <c r="AV4025" i="1"/>
  <c r="AW4024" i="1"/>
  <c r="AV4024" i="1"/>
  <c r="AU4024" i="1"/>
  <c r="AW4023" i="1"/>
  <c r="AV4023" i="1"/>
  <c r="AU4023" i="1"/>
  <c r="AW4022" i="1"/>
  <c r="AV4022" i="1"/>
  <c r="AW4021" i="1"/>
  <c r="AV4021" i="1"/>
  <c r="AW4020" i="1"/>
  <c r="AV4020" i="1"/>
  <c r="AW4019" i="1"/>
  <c r="AV4019" i="1"/>
  <c r="AW4018" i="1"/>
  <c r="AV4018" i="1"/>
  <c r="AU4018" i="1"/>
  <c r="AW4017" i="1"/>
  <c r="AV4017" i="1"/>
  <c r="AU4017" i="1"/>
  <c r="AW4016" i="1"/>
  <c r="AV4016" i="1"/>
  <c r="AW4015" i="1"/>
  <c r="AV4015" i="1"/>
  <c r="AU4015" i="1"/>
  <c r="AW4014" i="1"/>
  <c r="AV4014" i="1"/>
  <c r="AU4014" i="1"/>
  <c r="AW4013" i="1"/>
  <c r="AV4013" i="1"/>
  <c r="AW4012" i="1"/>
  <c r="AV4012" i="1"/>
  <c r="AW4011" i="1"/>
  <c r="AV4011" i="1"/>
  <c r="AW4010" i="1"/>
  <c r="AV4010" i="1"/>
  <c r="AW4009" i="1"/>
  <c r="AV4009" i="1"/>
  <c r="AW4008" i="1"/>
  <c r="AV4008" i="1"/>
  <c r="AU4008" i="1"/>
  <c r="AW4007" i="1"/>
  <c r="AV4007" i="1"/>
  <c r="AW4006" i="1"/>
  <c r="AV4006" i="1"/>
  <c r="AW4005" i="1"/>
  <c r="AV4005" i="1"/>
  <c r="AW4004" i="1"/>
  <c r="AV4004" i="1"/>
  <c r="AW4003" i="1"/>
  <c r="AV4003" i="1"/>
  <c r="AW4002" i="1"/>
  <c r="AV4002" i="1"/>
  <c r="AW4001" i="1"/>
  <c r="AV4001" i="1"/>
  <c r="AU4001" i="1"/>
  <c r="AW4000" i="1"/>
  <c r="AV4000" i="1"/>
  <c r="AW3999" i="1"/>
  <c r="AV3999" i="1"/>
  <c r="AW3998" i="1"/>
  <c r="AV3998" i="1"/>
  <c r="AW3997" i="1"/>
  <c r="AV3997" i="1"/>
  <c r="AW3996" i="1"/>
  <c r="AV3996" i="1"/>
  <c r="AW3995" i="1"/>
  <c r="AV3995" i="1"/>
  <c r="AW3994" i="1"/>
  <c r="AV3994" i="1"/>
  <c r="AW3993" i="1"/>
  <c r="AV3993" i="1"/>
  <c r="AW3992" i="1"/>
  <c r="AV3992" i="1"/>
  <c r="AW3991" i="1"/>
  <c r="AV3991" i="1"/>
  <c r="AU3991" i="1"/>
  <c r="AW3990" i="1"/>
  <c r="AV3990" i="1"/>
  <c r="AU3990" i="1"/>
  <c r="AW3989" i="1"/>
  <c r="AV3989" i="1"/>
  <c r="AW3988" i="1"/>
  <c r="AV3988" i="1"/>
  <c r="AU3988" i="1"/>
  <c r="AW3987" i="1"/>
  <c r="AV3987" i="1"/>
  <c r="AW3986" i="1"/>
  <c r="AV3986" i="1"/>
  <c r="AW3985" i="1"/>
  <c r="AV3985" i="1"/>
  <c r="AW3984" i="1"/>
  <c r="AV3984" i="1"/>
  <c r="AU3984" i="1"/>
  <c r="AW3983" i="1"/>
  <c r="AV3983" i="1"/>
  <c r="AU3983" i="1"/>
  <c r="AW3982" i="1"/>
  <c r="AV3982" i="1"/>
  <c r="AU3982" i="1"/>
  <c r="AW3981" i="1"/>
  <c r="AV3981" i="1"/>
  <c r="AW3980" i="1"/>
  <c r="AV3980" i="1"/>
  <c r="AW3979" i="1"/>
  <c r="AV3979" i="1"/>
  <c r="AW3978" i="1"/>
  <c r="AV3978" i="1"/>
  <c r="AW3977" i="1"/>
  <c r="AV3977" i="1"/>
  <c r="AW3976" i="1"/>
  <c r="AV3976" i="1"/>
  <c r="AW3975" i="1"/>
  <c r="AV3975" i="1"/>
  <c r="AW3974" i="1"/>
  <c r="AV3974" i="1"/>
  <c r="AW3973" i="1"/>
  <c r="AV3973" i="1"/>
  <c r="AW3972" i="1"/>
  <c r="AV3972" i="1"/>
  <c r="AW3971" i="1"/>
  <c r="AV3971" i="1"/>
  <c r="AW3970" i="1"/>
  <c r="AV3970" i="1"/>
  <c r="AU3970" i="1"/>
  <c r="AW3969" i="1"/>
  <c r="AV3969" i="1"/>
  <c r="AW3968" i="1"/>
  <c r="AV3968" i="1"/>
  <c r="AW3967" i="1"/>
  <c r="AV3967" i="1"/>
  <c r="AU3967" i="1"/>
  <c r="AW3966" i="1"/>
  <c r="AV3966" i="1"/>
  <c r="AW3965" i="1"/>
  <c r="AV3965" i="1"/>
  <c r="AW3964" i="1"/>
  <c r="AV3964" i="1"/>
  <c r="AU3964" i="1"/>
  <c r="AW3963" i="1"/>
  <c r="AV3963" i="1"/>
  <c r="AW3962" i="1"/>
  <c r="AV3962" i="1"/>
  <c r="AW3961" i="1"/>
  <c r="AV3961" i="1"/>
  <c r="AW3960" i="1"/>
  <c r="AV3960" i="1"/>
  <c r="AU3960" i="1"/>
  <c r="AW3959" i="1"/>
  <c r="AV3959" i="1"/>
  <c r="AW3958" i="1"/>
  <c r="AV3958" i="1"/>
  <c r="AU3958" i="1"/>
  <c r="AW3957" i="1"/>
  <c r="AV3957" i="1"/>
  <c r="AW3956" i="1"/>
  <c r="AV3956" i="1"/>
  <c r="AW3955" i="1"/>
  <c r="AV3955" i="1"/>
  <c r="AW3954" i="1"/>
  <c r="AV3954" i="1"/>
  <c r="AW3953" i="1"/>
  <c r="AV3953" i="1"/>
  <c r="AW3952" i="1"/>
  <c r="AV3952" i="1"/>
  <c r="AW3951" i="1"/>
  <c r="AV3951" i="1"/>
  <c r="AW3950" i="1"/>
  <c r="AV3950" i="1"/>
  <c r="AW3949" i="1"/>
  <c r="AV3949" i="1"/>
  <c r="AW3948" i="1"/>
  <c r="AV3948" i="1"/>
  <c r="AU3948" i="1"/>
  <c r="AW3947" i="1"/>
  <c r="AV3947" i="1"/>
  <c r="AW3946" i="1"/>
  <c r="AV3946" i="1"/>
  <c r="AW3945" i="1"/>
  <c r="AV3945" i="1"/>
  <c r="AW3944" i="1"/>
  <c r="AV3944" i="1"/>
  <c r="AW3943" i="1"/>
  <c r="AV3943" i="1"/>
  <c r="AW3942" i="1"/>
  <c r="AV3942" i="1"/>
  <c r="AW3941" i="1"/>
  <c r="AV3941" i="1"/>
  <c r="AW3940" i="1"/>
  <c r="AV3940" i="1"/>
  <c r="AW3939" i="1"/>
  <c r="AV3939" i="1"/>
  <c r="AW3938" i="1"/>
  <c r="AV3938" i="1"/>
  <c r="AW3937" i="1"/>
  <c r="AV3937" i="1"/>
  <c r="AW3936" i="1"/>
  <c r="AV3936" i="1"/>
  <c r="AW3935" i="1"/>
  <c r="AV3935" i="1"/>
  <c r="AW3934" i="1"/>
  <c r="AV3934" i="1"/>
  <c r="AW3933" i="1"/>
  <c r="AV3933" i="1"/>
  <c r="AU3933" i="1"/>
  <c r="AW3932" i="1"/>
  <c r="AV3932" i="1"/>
  <c r="AW3931" i="1"/>
  <c r="AV3931" i="1"/>
  <c r="AW3930" i="1"/>
  <c r="AV3930" i="1"/>
  <c r="AW3929" i="1"/>
  <c r="AV3929" i="1"/>
  <c r="AU3929" i="1"/>
  <c r="AW3928" i="1"/>
  <c r="AV3928" i="1"/>
  <c r="AU3928" i="1"/>
  <c r="AW3927" i="1"/>
  <c r="AV3927" i="1"/>
  <c r="AW3926" i="1"/>
  <c r="AV3926" i="1"/>
  <c r="AW3925" i="1"/>
  <c r="AV3925" i="1"/>
  <c r="AU3925" i="1"/>
  <c r="AW3924" i="1"/>
  <c r="AV3924" i="1"/>
  <c r="AU3924" i="1"/>
  <c r="AW3923" i="1"/>
  <c r="AV3923" i="1"/>
  <c r="AW3922" i="1"/>
  <c r="AV3922" i="1"/>
  <c r="AW3921" i="1"/>
  <c r="AV3921" i="1"/>
  <c r="AW3920" i="1"/>
  <c r="AV3920" i="1"/>
  <c r="AW3919" i="1"/>
  <c r="AV3919" i="1"/>
  <c r="AW3918" i="1"/>
  <c r="AV3918" i="1"/>
  <c r="AW3917" i="1"/>
  <c r="AV3917" i="1"/>
  <c r="AW3916" i="1"/>
  <c r="AV3916" i="1"/>
  <c r="AW3915" i="1"/>
  <c r="AV3915" i="1"/>
  <c r="AU3915" i="1"/>
  <c r="AW3914" i="1"/>
  <c r="AV3914" i="1"/>
  <c r="AW3913" i="1"/>
  <c r="AV3913" i="1"/>
  <c r="AW3912" i="1"/>
  <c r="AV3912" i="1"/>
  <c r="AW3911" i="1"/>
  <c r="AV3911" i="1"/>
  <c r="AW3910" i="1"/>
  <c r="AV3910" i="1"/>
  <c r="AW3909" i="1"/>
  <c r="AV3909" i="1"/>
  <c r="AW3908" i="1"/>
  <c r="AV3908" i="1"/>
  <c r="AW3907" i="1"/>
  <c r="AV3907" i="1"/>
  <c r="AW3906" i="1"/>
  <c r="AV3906" i="1"/>
  <c r="AW3905" i="1"/>
  <c r="AV3905" i="1"/>
  <c r="AU3905" i="1"/>
  <c r="AW3904" i="1"/>
  <c r="AV3904" i="1"/>
  <c r="AU3904" i="1"/>
  <c r="AW3903" i="1"/>
  <c r="AV3903" i="1"/>
  <c r="AW3902" i="1"/>
  <c r="AV3902" i="1"/>
  <c r="AW3901" i="1"/>
  <c r="AV3901" i="1"/>
  <c r="AW3900" i="1"/>
  <c r="AV3900" i="1"/>
  <c r="AW3899" i="1"/>
  <c r="AV3899" i="1"/>
  <c r="AW3898" i="1"/>
  <c r="AV3898" i="1"/>
  <c r="AW3897" i="1"/>
  <c r="AV3897" i="1"/>
  <c r="AU3897" i="1"/>
  <c r="AW3896" i="1"/>
  <c r="AV3896" i="1"/>
  <c r="AU3896" i="1"/>
  <c r="AW3895" i="1"/>
  <c r="AV3895" i="1"/>
  <c r="AW3894" i="1"/>
  <c r="AV3894" i="1"/>
  <c r="AW3893" i="1"/>
  <c r="AV3893" i="1"/>
  <c r="AW3892" i="1"/>
  <c r="AV3892" i="1"/>
  <c r="AW3891" i="1"/>
  <c r="AV3891" i="1"/>
  <c r="AW3890" i="1"/>
  <c r="AV3890" i="1"/>
  <c r="AU3890" i="1"/>
  <c r="AW3889" i="1"/>
  <c r="AV3889" i="1"/>
  <c r="AU3889" i="1"/>
  <c r="AW3888" i="1"/>
  <c r="AV3888" i="1"/>
  <c r="AW3887" i="1"/>
  <c r="AV3887" i="1"/>
  <c r="AW3886" i="1"/>
  <c r="AV3886" i="1"/>
  <c r="AW3885" i="1"/>
  <c r="AV3885" i="1"/>
  <c r="AW3884" i="1"/>
  <c r="AV3884" i="1"/>
  <c r="AW3883" i="1"/>
  <c r="AV3883" i="1"/>
  <c r="AW3882" i="1"/>
  <c r="AV3882" i="1"/>
  <c r="AW3881" i="1"/>
  <c r="AV3881" i="1"/>
  <c r="AW3880" i="1"/>
  <c r="AV3880" i="1"/>
  <c r="AW3879" i="1"/>
  <c r="AV3879" i="1"/>
  <c r="AW3878" i="1"/>
  <c r="AV3878" i="1"/>
  <c r="AU3878" i="1"/>
  <c r="AW3877" i="1"/>
  <c r="AV3877" i="1"/>
  <c r="AU3877" i="1"/>
  <c r="AW3876" i="1"/>
  <c r="AV3876" i="1"/>
  <c r="AU3876" i="1"/>
  <c r="AW3875" i="1"/>
  <c r="AV3875" i="1"/>
  <c r="AU3875" i="1"/>
  <c r="AW3874" i="1"/>
  <c r="AV3874" i="1"/>
  <c r="AW3873" i="1"/>
  <c r="AV3873" i="1"/>
  <c r="AW3872" i="1"/>
  <c r="AV3872" i="1"/>
  <c r="AU3872" i="1"/>
  <c r="AW3871" i="1"/>
  <c r="AV3871" i="1"/>
  <c r="AW3870" i="1"/>
  <c r="AV3870" i="1"/>
  <c r="AU3870" i="1"/>
  <c r="AW3869" i="1"/>
  <c r="AV3869" i="1"/>
  <c r="AW3868" i="1"/>
  <c r="AV3868" i="1"/>
  <c r="AW3867" i="1"/>
  <c r="AV3867" i="1"/>
  <c r="AU3867" i="1"/>
  <c r="AW3866" i="1"/>
  <c r="AV3866" i="1"/>
  <c r="AU3866" i="1"/>
  <c r="AW3865" i="1"/>
  <c r="AV3865" i="1"/>
  <c r="AW3864" i="1"/>
  <c r="AV3864" i="1"/>
  <c r="AW3863" i="1"/>
  <c r="AV3863" i="1"/>
  <c r="AW3862" i="1"/>
  <c r="AV3862" i="1"/>
  <c r="AW3861" i="1"/>
  <c r="AV3861" i="1"/>
  <c r="AW3860" i="1"/>
  <c r="AV3860" i="1"/>
  <c r="AW3859" i="1"/>
  <c r="AV3859" i="1"/>
  <c r="AW3858" i="1"/>
  <c r="AV3858" i="1"/>
  <c r="AW3857" i="1"/>
  <c r="AV3857" i="1"/>
  <c r="AW3856" i="1"/>
  <c r="AV3856" i="1"/>
  <c r="AW3855" i="1"/>
  <c r="AV3855" i="1"/>
  <c r="AU3855" i="1"/>
  <c r="AW3854" i="1"/>
  <c r="AV3854" i="1"/>
  <c r="AU3854" i="1"/>
  <c r="AW3853" i="1"/>
  <c r="AV3853" i="1"/>
  <c r="AU3853" i="1"/>
  <c r="AW3852" i="1"/>
  <c r="AV3852" i="1"/>
  <c r="AU3852" i="1"/>
  <c r="AW3851" i="1"/>
  <c r="AV3851" i="1"/>
  <c r="AW3850" i="1"/>
  <c r="AV3850" i="1"/>
  <c r="AW3849" i="1"/>
  <c r="AV3849" i="1"/>
  <c r="AW3848" i="1"/>
  <c r="AV3848" i="1"/>
  <c r="AW3847" i="1"/>
  <c r="AV3847" i="1"/>
  <c r="AU3847" i="1"/>
  <c r="AW3846" i="1"/>
  <c r="AV3846" i="1"/>
  <c r="AW3845" i="1"/>
  <c r="AV3845" i="1"/>
  <c r="AW3844" i="1"/>
  <c r="AV3844" i="1"/>
  <c r="AW3843" i="1"/>
  <c r="AV3843" i="1"/>
  <c r="AW3842" i="1"/>
  <c r="AV3842" i="1"/>
  <c r="AW3841" i="1"/>
  <c r="AV3841" i="1"/>
  <c r="AW3840" i="1"/>
  <c r="AV3840" i="1"/>
  <c r="AW3839" i="1"/>
  <c r="AV3839" i="1"/>
  <c r="AW3838" i="1"/>
  <c r="AV3838" i="1"/>
  <c r="AW3837" i="1"/>
  <c r="AV3837" i="1"/>
  <c r="AW3836" i="1"/>
  <c r="AV3836" i="1"/>
  <c r="AU3836" i="1"/>
  <c r="AW3835" i="1"/>
  <c r="AV3835" i="1"/>
  <c r="AW3834" i="1"/>
  <c r="AV3834" i="1"/>
  <c r="AW3833" i="1"/>
  <c r="AV3833" i="1"/>
  <c r="AW3832" i="1"/>
  <c r="AV3832" i="1"/>
  <c r="AU3832" i="1"/>
  <c r="AW3831" i="1"/>
  <c r="AV3831" i="1"/>
  <c r="AW3830" i="1"/>
  <c r="AV3830" i="1"/>
  <c r="AW3829" i="1"/>
  <c r="AV3829" i="1"/>
  <c r="AW3828" i="1"/>
  <c r="AV3828" i="1"/>
  <c r="AW3827" i="1"/>
  <c r="AV3827" i="1"/>
  <c r="AW3826" i="1"/>
  <c r="AV3826" i="1"/>
  <c r="AW3825" i="1"/>
  <c r="AV3825" i="1"/>
  <c r="AU3825" i="1"/>
  <c r="AW3824" i="1"/>
  <c r="AV3824" i="1"/>
  <c r="AU3824" i="1"/>
  <c r="AW3823" i="1"/>
  <c r="AV3823" i="1"/>
  <c r="AW3822" i="1"/>
  <c r="AV3822" i="1"/>
  <c r="AW3821" i="1"/>
  <c r="AV3821" i="1"/>
  <c r="AW3820" i="1"/>
  <c r="AV3820" i="1"/>
  <c r="AW3819" i="1"/>
  <c r="AV3819" i="1"/>
  <c r="AW3818" i="1"/>
  <c r="AV3818" i="1"/>
  <c r="AW3817" i="1"/>
  <c r="AV3817" i="1"/>
  <c r="AW3816" i="1"/>
  <c r="AV3816" i="1"/>
  <c r="AW3815" i="1"/>
  <c r="AV3815" i="1"/>
  <c r="AU3815" i="1"/>
  <c r="AW3814" i="1"/>
  <c r="AV3814" i="1"/>
  <c r="AW3813" i="1"/>
  <c r="AV3813" i="1"/>
  <c r="AW3812" i="1"/>
  <c r="AV3812" i="1"/>
  <c r="AW3811" i="1"/>
  <c r="AV3811" i="1"/>
  <c r="AW3810" i="1"/>
  <c r="AV3810" i="1"/>
  <c r="AW3809" i="1"/>
  <c r="AV3809" i="1"/>
  <c r="AW3808" i="1"/>
  <c r="AV3808" i="1"/>
  <c r="AU3808" i="1"/>
  <c r="AW3807" i="1"/>
  <c r="AV3807" i="1"/>
  <c r="AW3806" i="1"/>
  <c r="AV3806" i="1"/>
  <c r="AW3805" i="1"/>
  <c r="AV3805" i="1"/>
  <c r="AU3805" i="1"/>
  <c r="AW3804" i="1"/>
  <c r="AV3804" i="1"/>
  <c r="AU3804" i="1"/>
  <c r="AW3803" i="1"/>
  <c r="AV3803" i="1"/>
  <c r="AW3802" i="1"/>
  <c r="AV3802" i="1"/>
  <c r="AW3801" i="1"/>
  <c r="AV3801" i="1"/>
  <c r="AW3800" i="1"/>
  <c r="AV3800" i="1"/>
  <c r="AW3799" i="1"/>
  <c r="AV3799" i="1"/>
  <c r="AU3799" i="1"/>
  <c r="AW3798" i="1"/>
  <c r="AV3798" i="1"/>
  <c r="AU3798" i="1"/>
  <c r="AW3797" i="1"/>
  <c r="AV3797" i="1"/>
  <c r="AU3797" i="1"/>
  <c r="AW3796" i="1"/>
  <c r="AV3796" i="1"/>
  <c r="AW3795" i="1"/>
  <c r="AV3795" i="1"/>
  <c r="AW3794" i="1"/>
  <c r="AV3794" i="1"/>
  <c r="AW3793" i="1"/>
  <c r="AV3793" i="1"/>
  <c r="AW3792" i="1"/>
  <c r="AV3792" i="1"/>
  <c r="AW3791" i="1"/>
  <c r="AV3791" i="1"/>
  <c r="AW3790" i="1"/>
  <c r="AV3790" i="1"/>
  <c r="AW3789" i="1"/>
  <c r="AV3789" i="1"/>
  <c r="AW3788" i="1"/>
  <c r="AV3788" i="1"/>
  <c r="AW3787" i="1"/>
  <c r="AV3787" i="1"/>
  <c r="AW3786" i="1"/>
  <c r="AV3786" i="1"/>
  <c r="AU3786" i="1"/>
  <c r="AW3785" i="1"/>
  <c r="AV3785" i="1"/>
  <c r="AW3784" i="1"/>
  <c r="AV3784" i="1"/>
  <c r="AU3784" i="1"/>
  <c r="AW3783" i="1"/>
  <c r="AV3783" i="1"/>
  <c r="AU3783" i="1"/>
  <c r="AW3782" i="1"/>
  <c r="AV3782" i="1"/>
  <c r="AW3781" i="1"/>
  <c r="AV3781" i="1"/>
  <c r="AW3780" i="1"/>
  <c r="AV3780" i="1"/>
  <c r="AW3779" i="1"/>
  <c r="AV3779" i="1"/>
  <c r="AW3778" i="1"/>
  <c r="AV3778" i="1"/>
  <c r="AW3777" i="1"/>
  <c r="AV3777" i="1"/>
  <c r="AU3777" i="1"/>
  <c r="AW3776" i="1"/>
  <c r="AV3776" i="1"/>
  <c r="AW3775" i="1"/>
  <c r="AV3775" i="1"/>
  <c r="AW3774" i="1"/>
  <c r="AV3774" i="1"/>
  <c r="AU3774" i="1"/>
  <c r="AW3773" i="1"/>
  <c r="AV3773" i="1"/>
  <c r="AU3773" i="1"/>
  <c r="AW3772" i="1"/>
  <c r="AV3772" i="1"/>
  <c r="AU3772" i="1"/>
  <c r="AW3771" i="1"/>
  <c r="AV3771" i="1"/>
  <c r="AU3771" i="1"/>
  <c r="AW3770" i="1"/>
  <c r="AV3770" i="1"/>
  <c r="AW3769" i="1"/>
  <c r="AV3769" i="1"/>
  <c r="AW3768" i="1"/>
  <c r="AV3768" i="1"/>
  <c r="AU3768" i="1"/>
  <c r="AW3767" i="1"/>
  <c r="AV3767" i="1"/>
  <c r="AW3766" i="1"/>
  <c r="AV3766" i="1"/>
  <c r="AW3765" i="1"/>
  <c r="AV3765" i="1"/>
  <c r="AW3764" i="1"/>
  <c r="AV3764" i="1"/>
  <c r="AW3763" i="1"/>
  <c r="AV3763" i="1"/>
  <c r="AW3762" i="1"/>
  <c r="AV3762" i="1"/>
  <c r="AW3761" i="1"/>
  <c r="AV3761" i="1"/>
  <c r="AW3760" i="1"/>
  <c r="AV3760" i="1"/>
  <c r="AW3759" i="1"/>
  <c r="AV3759" i="1"/>
  <c r="AW3758" i="1"/>
  <c r="AV3758" i="1"/>
  <c r="AW3757" i="1"/>
  <c r="AV3757" i="1"/>
  <c r="AW3756" i="1"/>
  <c r="AV3756" i="1"/>
  <c r="AU3756" i="1"/>
  <c r="AW3755" i="1"/>
  <c r="AV3755" i="1"/>
  <c r="AU3755" i="1"/>
  <c r="AW3754" i="1"/>
  <c r="AV3754" i="1"/>
  <c r="AW3753" i="1"/>
  <c r="AV3753" i="1"/>
  <c r="AU3753" i="1"/>
  <c r="AW3752" i="1"/>
  <c r="AV3752" i="1"/>
  <c r="AW3751" i="1"/>
  <c r="AV3751" i="1"/>
  <c r="AW3750" i="1"/>
  <c r="AV3750" i="1"/>
  <c r="AW3749" i="1"/>
  <c r="AV3749" i="1"/>
  <c r="AW3748" i="1"/>
  <c r="AV3748" i="1"/>
  <c r="AW3747" i="1"/>
  <c r="AV3747" i="1"/>
  <c r="AW3746" i="1"/>
  <c r="AV3746" i="1"/>
  <c r="AW3745" i="1"/>
  <c r="AV3745" i="1"/>
  <c r="AW3744" i="1"/>
  <c r="AV3744" i="1"/>
  <c r="AW3743" i="1"/>
  <c r="AV3743" i="1"/>
  <c r="AU3743" i="1"/>
  <c r="AW3742" i="1"/>
  <c r="AV3742" i="1"/>
  <c r="AU3742" i="1"/>
  <c r="AW3741" i="1"/>
  <c r="AV3741" i="1"/>
  <c r="AW3740" i="1"/>
  <c r="AV3740" i="1"/>
  <c r="AU3740" i="1"/>
  <c r="AW3739" i="1"/>
  <c r="AV3739" i="1"/>
  <c r="AU3739" i="1"/>
  <c r="AW3738" i="1"/>
  <c r="AV3738" i="1"/>
  <c r="AW3737" i="1"/>
  <c r="AV3737" i="1"/>
  <c r="AW3736" i="1"/>
  <c r="AV3736" i="1"/>
  <c r="AW3735" i="1"/>
  <c r="AV3735" i="1"/>
  <c r="AU3735" i="1"/>
  <c r="AW3734" i="1"/>
  <c r="AV3734" i="1"/>
  <c r="AU3734" i="1"/>
  <c r="AW3733" i="1"/>
  <c r="AV3733" i="1"/>
  <c r="AW3732" i="1"/>
  <c r="AV3732" i="1"/>
  <c r="AW3731" i="1"/>
  <c r="AV3731" i="1"/>
  <c r="AW3730" i="1"/>
  <c r="AV3730" i="1"/>
  <c r="AW3729" i="1"/>
  <c r="AV3729" i="1"/>
  <c r="AW3728" i="1"/>
  <c r="AV3728" i="1"/>
  <c r="AW3727" i="1"/>
  <c r="AV3727" i="1"/>
  <c r="AW3726" i="1"/>
  <c r="AV3726" i="1"/>
  <c r="AW3725" i="1"/>
  <c r="AV3725" i="1"/>
  <c r="AU3725" i="1"/>
  <c r="AW3724" i="1"/>
  <c r="AV3724" i="1"/>
  <c r="AU3724" i="1"/>
  <c r="AW3723" i="1"/>
  <c r="AV3723" i="1"/>
  <c r="AW3722" i="1"/>
  <c r="AV3722" i="1"/>
  <c r="AU3722" i="1"/>
  <c r="AW3721" i="1"/>
  <c r="AV3721" i="1"/>
  <c r="AU3721" i="1"/>
  <c r="AW3720" i="1"/>
  <c r="AV3720" i="1"/>
  <c r="AW3719" i="1"/>
  <c r="AV3719" i="1"/>
  <c r="AU3719" i="1"/>
  <c r="AW3718" i="1"/>
  <c r="AV3718" i="1"/>
  <c r="AU3718" i="1"/>
  <c r="AW3717" i="1"/>
  <c r="AV3717" i="1"/>
  <c r="AU3717" i="1"/>
  <c r="AW3716" i="1"/>
  <c r="AV3716" i="1"/>
  <c r="AW3715" i="1"/>
  <c r="AV3715" i="1"/>
  <c r="AW3714" i="1"/>
  <c r="AV3714" i="1"/>
  <c r="AW3713" i="1"/>
  <c r="AV3713" i="1"/>
  <c r="AU3713" i="1"/>
  <c r="AW3712" i="1"/>
  <c r="AV3712" i="1"/>
  <c r="AW3711" i="1"/>
  <c r="AV3711" i="1"/>
  <c r="AW3710" i="1"/>
  <c r="AV3710" i="1"/>
  <c r="AW3709" i="1"/>
  <c r="AV3709" i="1"/>
  <c r="AU3709" i="1"/>
  <c r="AW3708" i="1"/>
  <c r="AV3708" i="1"/>
  <c r="AW3707" i="1"/>
  <c r="AV3707" i="1"/>
  <c r="AU3707" i="1"/>
  <c r="AW3706" i="1"/>
  <c r="AV3706" i="1"/>
  <c r="AU3706" i="1"/>
  <c r="AW3705" i="1"/>
  <c r="AV3705" i="1"/>
  <c r="AU3705" i="1"/>
  <c r="AW3704" i="1"/>
  <c r="AV3704" i="1"/>
  <c r="AU3704" i="1"/>
  <c r="AW3703" i="1"/>
  <c r="AV3703" i="1"/>
  <c r="AU3703" i="1"/>
  <c r="AW3702" i="1"/>
  <c r="AV3702" i="1"/>
  <c r="AU3702" i="1"/>
  <c r="AW3701" i="1"/>
  <c r="AV3701" i="1"/>
  <c r="AW3700" i="1"/>
  <c r="AV3700" i="1"/>
  <c r="AU3700" i="1"/>
  <c r="AW3699" i="1"/>
  <c r="AV3699" i="1"/>
  <c r="AU3699" i="1"/>
  <c r="AW3698" i="1"/>
  <c r="AV3698" i="1"/>
  <c r="AW3697" i="1"/>
  <c r="AV3697" i="1"/>
  <c r="AU3697" i="1"/>
  <c r="AW3696" i="1"/>
  <c r="AV3696" i="1"/>
  <c r="AU3696" i="1"/>
  <c r="AW3695" i="1"/>
  <c r="AV3695" i="1"/>
  <c r="AU3695" i="1"/>
  <c r="AW3694" i="1"/>
  <c r="AV3694" i="1"/>
  <c r="AU3694" i="1"/>
  <c r="AW3693" i="1"/>
  <c r="AV3693" i="1"/>
  <c r="AU3693" i="1"/>
  <c r="AW3692" i="1"/>
  <c r="AV3692" i="1"/>
  <c r="AW3691" i="1"/>
  <c r="AV3691" i="1"/>
  <c r="AW3690" i="1"/>
  <c r="AV3690" i="1"/>
  <c r="AW3689" i="1"/>
  <c r="AV3689" i="1"/>
  <c r="AW3688" i="1"/>
  <c r="AV3688" i="1"/>
  <c r="AW3687" i="1"/>
  <c r="AV3687" i="1"/>
  <c r="AW3686" i="1"/>
  <c r="AV3686" i="1"/>
  <c r="AW3685" i="1"/>
  <c r="AV3685" i="1"/>
  <c r="AW3684" i="1"/>
  <c r="AV3684" i="1"/>
  <c r="AW3683" i="1"/>
  <c r="AV3683" i="1"/>
  <c r="AW3682" i="1"/>
  <c r="AV3682" i="1"/>
  <c r="AW3681" i="1"/>
  <c r="AV3681" i="1"/>
  <c r="AU3681" i="1"/>
  <c r="AW3680" i="1"/>
  <c r="AV3680" i="1"/>
  <c r="AU3680" i="1"/>
  <c r="AW3679" i="1"/>
  <c r="AV3679" i="1"/>
  <c r="AU3679" i="1"/>
  <c r="AW3678" i="1"/>
  <c r="AV3678" i="1"/>
  <c r="AU3678" i="1"/>
  <c r="AW3677" i="1"/>
  <c r="AV3677" i="1"/>
  <c r="AW3676" i="1"/>
  <c r="AV3676" i="1"/>
  <c r="AW3675" i="1"/>
  <c r="AV3675" i="1"/>
  <c r="AW3674" i="1"/>
  <c r="AV3674" i="1"/>
  <c r="AW3673" i="1"/>
  <c r="AV3673" i="1"/>
  <c r="AW3672" i="1"/>
  <c r="AV3672" i="1"/>
  <c r="AW3671" i="1"/>
  <c r="AV3671" i="1"/>
  <c r="AW3670" i="1"/>
  <c r="AV3670" i="1"/>
  <c r="AW3669" i="1"/>
  <c r="AV3669" i="1"/>
  <c r="AW3668" i="1"/>
  <c r="AV3668" i="1"/>
  <c r="AW3667" i="1"/>
  <c r="AV3667" i="1"/>
  <c r="AU3667" i="1"/>
  <c r="AW3666" i="1"/>
  <c r="AV3666" i="1"/>
  <c r="AW3665" i="1"/>
  <c r="AV3665" i="1"/>
  <c r="AW3664" i="1"/>
  <c r="AV3664" i="1"/>
  <c r="AW3663" i="1"/>
  <c r="AV3663" i="1"/>
  <c r="AW3662" i="1"/>
  <c r="AV3662" i="1"/>
  <c r="AU3662" i="1"/>
  <c r="AW3661" i="1"/>
  <c r="AV3661" i="1"/>
  <c r="AU3661" i="1"/>
  <c r="AW3660" i="1"/>
  <c r="AV3660" i="1"/>
  <c r="AW3659" i="1"/>
  <c r="AV3659" i="1"/>
  <c r="AW3658" i="1"/>
  <c r="AV3658" i="1"/>
  <c r="AW3657" i="1"/>
  <c r="AV3657" i="1"/>
  <c r="AW3656" i="1"/>
  <c r="AV3656" i="1"/>
  <c r="AW3655" i="1"/>
  <c r="AV3655" i="1"/>
  <c r="AW3654" i="1"/>
  <c r="AV3654" i="1"/>
  <c r="AW3653" i="1"/>
  <c r="AV3653" i="1"/>
  <c r="AW3652" i="1"/>
  <c r="AV3652" i="1"/>
  <c r="AW3651" i="1"/>
  <c r="AV3651" i="1"/>
  <c r="AW3650" i="1"/>
  <c r="AV3650" i="1"/>
  <c r="AU3650" i="1"/>
  <c r="AW3649" i="1"/>
  <c r="AV3649" i="1"/>
  <c r="AW3648" i="1"/>
  <c r="AV3648" i="1"/>
  <c r="AW3647" i="1"/>
  <c r="AV3647" i="1"/>
  <c r="AU3647" i="1"/>
  <c r="AW3646" i="1"/>
  <c r="AV3646" i="1"/>
  <c r="AW3645" i="1"/>
  <c r="AV3645" i="1"/>
  <c r="AW3644" i="1"/>
  <c r="AV3644" i="1"/>
  <c r="AW3643" i="1"/>
  <c r="AV3643" i="1"/>
  <c r="AW3642" i="1"/>
  <c r="AV3642" i="1"/>
  <c r="AU3642" i="1"/>
  <c r="AW3641" i="1"/>
  <c r="AV3641" i="1"/>
  <c r="AW3640" i="1"/>
  <c r="AV3640" i="1"/>
  <c r="AW3639" i="1"/>
  <c r="AV3639" i="1"/>
  <c r="AW3638" i="1"/>
  <c r="AV3638" i="1"/>
  <c r="AW3637" i="1"/>
  <c r="AV3637" i="1"/>
  <c r="AU3637" i="1"/>
  <c r="AW3636" i="1"/>
  <c r="AV3636" i="1"/>
  <c r="AU3636" i="1"/>
  <c r="AW3635" i="1"/>
  <c r="AV3635" i="1"/>
  <c r="AW3634" i="1"/>
  <c r="AV3634" i="1"/>
  <c r="AW3633" i="1"/>
  <c r="AV3633" i="1"/>
  <c r="AU3633" i="1"/>
  <c r="AW3632" i="1"/>
  <c r="AV3632" i="1"/>
  <c r="AW3631" i="1"/>
  <c r="AV3631" i="1"/>
  <c r="AW3630" i="1"/>
  <c r="AV3630" i="1"/>
  <c r="AW3629" i="1"/>
  <c r="AV3629" i="1"/>
  <c r="AW3628" i="1"/>
  <c r="AV3628" i="1"/>
  <c r="AW3627" i="1"/>
  <c r="AV3627" i="1"/>
  <c r="AW3626" i="1"/>
  <c r="AV3626" i="1"/>
  <c r="AW3625" i="1"/>
  <c r="AV3625" i="1"/>
  <c r="AW3624" i="1"/>
  <c r="AV3624" i="1"/>
  <c r="AW3623" i="1"/>
  <c r="AV3623" i="1"/>
  <c r="AW3622" i="1"/>
  <c r="AV3622" i="1"/>
  <c r="AW3621" i="1"/>
  <c r="AV3621" i="1"/>
  <c r="AU3621" i="1"/>
  <c r="AW3620" i="1"/>
  <c r="AV3620" i="1"/>
  <c r="AU3620" i="1"/>
  <c r="AW3619" i="1"/>
  <c r="AV3619" i="1"/>
  <c r="AW3618" i="1"/>
  <c r="AV3618" i="1"/>
  <c r="AW3617" i="1"/>
  <c r="AV3617" i="1"/>
  <c r="AW3616" i="1"/>
  <c r="AV3616" i="1"/>
  <c r="AU3616" i="1"/>
  <c r="AW3615" i="1"/>
  <c r="AV3615" i="1"/>
  <c r="AW3614" i="1"/>
  <c r="AV3614" i="1"/>
  <c r="AW3613" i="1"/>
  <c r="AV3613" i="1"/>
  <c r="AW3612" i="1"/>
  <c r="AV3612" i="1"/>
  <c r="AU3612" i="1"/>
  <c r="AW3611" i="1"/>
  <c r="AV3611" i="1"/>
  <c r="AU3611" i="1"/>
  <c r="AW3610" i="1"/>
  <c r="AV3610" i="1"/>
  <c r="AW3609" i="1"/>
  <c r="AV3609" i="1"/>
  <c r="AW3608" i="1"/>
  <c r="AV3608" i="1"/>
  <c r="AW3607" i="1"/>
  <c r="AV3607" i="1"/>
  <c r="AW3606" i="1"/>
  <c r="AV3606" i="1"/>
  <c r="AW3605" i="1"/>
  <c r="AV3605" i="1"/>
  <c r="AW3604" i="1"/>
  <c r="AV3604" i="1"/>
  <c r="AU3604" i="1"/>
  <c r="AW3603" i="1"/>
  <c r="AV3603" i="1"/>
  <c r="AU3603" i="1"/>
  <c r="AW3602" i="1"/>
  <c r="AV3602" i="1"/>
  <c r="AW3601" i="1"/>
  <c r="AV3601" i="1"/>
  <c r="AW3600" i="1"/>
  <c r="AV3600" i="1"/>
  <c r="AW3599" i="1"/>
  <c r="AV3599" i="1"/>
  <c r="AW3598" i="1"/>
  <c r="AV3598" i="1"/>
  <c r="AU3598" i="1"/>
  <c r="AW3597" i="1"/>
  <c r="AV3597" i="1"/>
  <c r="AU3597" i="1"/>
  <c r="AW3596" i="1"/>
  <c r="AV3596" i="1"/>
  <c r="AW3595" i="1"/>
  <c r="AV3595" i="1"/>
  <c r="AW3594" i="1"/>
  <c r="AV3594" i="1"/>
  <c r="AW3593" i="1"/>
  <c r="AV3593" i="1"/>
  <c r="AW3592" i="1"/>
  <c r="AV3592" i="1"/>
  <c r="AW3591" i="1"/>
  <c r="AV3591" i="1"/>
  <c r="AW3590" i="1"/>
  <c r="AV3590" i="1"/>
  <c r="AW3589" i="1"/>
  <c r="AV3589" i="1"/>
  <c r="AW3588" i="1"/>
  <c r="AV3588" i="1"/>
  <c r="AW3587" i="1"/>
  <c r="AV3587" i="1"/>
  <c r="AW3586" i="1"/>
  <c r="AV3586" i="1"/>
  <c r="AW3585" i="1"/>
  <c r="AV3585" i="1"/>
  <c r="AU3585" i="1"/>
  <c r="AW3584" i="1"/>
  <c r="AV3584" i="1"/>
  <c r="AW3583" i="1"/>
  <c r="AV3583" i="1"/>
  <c r="AW3582" i="1"/>
  <c r="AV3582" i="1"/>
  <c r="AW3581" i="1"/>
  <c r="AV3581" i="1"/>
  <c r="AW3580" i="1"/>
  <c r="AV3580" i="1"/>
  <c r="AU3580" i="1"/>
  <c r="AW3579" i="1"/>
  <c r="AV3579" i="1"/>
  <c r="AW3578" i="1"/>
  <c r="AV3578" i="1"/>
  <c r="AW3577" i="1"/>
  <c r="AV3577" i="1"/>
  <c r="AW3576" i="1"/>
  <c r="AV3576" i="1"/>
  <c r="AW3575" i="1"/>
  <c r="AV3575" i="1"/>
  <c r="AW3574" i="1"/>
  <c r="AV3574" i="1"/>
  <c r="AW3573" i="1"/>
  <c r="AV3573" i="1"/>
  <c r="AW3572" i="1"/>
  <c r="AV3572" i="1"/>
  <c r="AW3571" i="1"/>
  <c r="AV3571" i="1"/>
  <c r="AW3570" i="1"/>
  <c r="AV3570" i="1"/>
  <c r="AW3569" i="1"/>
  <c r="AV3569" i="1"/>
  <c r="AW3568" i="1"/>
  <c r="AV3568" i="1"/>
  <c r="AW3567" i="1"/>
  <c r="AV3567" i="1"/>
  <c r="AW3566" i="1"/>
  <c r="AV3566" i="1"/>
  <c r="AU3566" i="1"/>
  <c r="AW3565" i="1"/>
  <c r="AV3565" i="1"/>
  <c r="AW3564" i="1"/>
  <c r="AV3564" i="1"/>
  <c r="AW3563" i="1"/>
  <c r="AV3563" i="1"/>
  <c r="AW3562" i="1"/>
  <c r="AV3562" i="1"/>
  <c r="AW3561" i="1"/>
  <c r="AV3561" i="1"/>
  <c r="AW3560" i="1"/>
  <c r="AV3560" i="1"/>
  <c r="AW3559" i="1"/>
  <c r="AV3559" i="1"/>
  <c r="AW3558" i="1"/>
  <c r="AV3558" i="1"/>
  <c r="AW3557" i="1"/>
  <c r="AV3557" i="1"/>
  <c r="AU3557" i="1"/>
  <c r="AW3556" i="1"/>
  <c r="AV3556" i="1"/>
  <c r="AU3556" i="1"/>
  <c r="AW3555" i="1"/>
  <c r="AV3555" i="1"/>
  <c r="AW3554" i="1"/>
  <c r="AV3554" i="1"/>
  <c r="AW3553" i="1"/>
  <c r="AV3553" i="1"/>
  <c r="AU3553" i="1"/>
  <c r="AW3552" i="1"/>
  <c r="AV3552" i="1"/>
  <c r="AW3551" i="1"/>
  <c r="AV3551" i="1"/>
  <c r="AW3550" i="1"/>
  <c r="AV3550" i="1"/>
  <c r="AU3550" i="1"/>
  <c r="AW3549" i="1"/>
  <c r="AV3549" i="1"/>
  <c r="AW3548" i="1"/>
  <c r="AV3548" i="1"/>
  <c r="AU3548" i="1"/>
  <c r="AW3547" i="1"/>
  <c r="AV3547" i="1"/>
  <c r="AW3546" i="1"/>
  <c r="AV3546" i="1"/>
  <c r="AW3545" i="1"/>
  <c r="AV3545" i="1"/>
  <c r="AU3545" i="1"/>
  <c r="AW3544" i="1"/>
  <c r="AV3544" i="1"/>
  <c r="AU3544" i="1"/>
  <c r="AW3543" i="1"/>
  <c r="AV3543" i="1"/>
  <c r="AW3542" i="1"/>
  <c r="AV3542" i="1"/>
  <c r="AU3542" i="1"/>
  <c r="AW3541" i="1"/>
  <c r="AV3541" i="1"/>
  <c r="AU3541" i="1"/>
  <c r="AW3540" i="1"/>
  <c r="AV3540" i="1"/>
  <c r="AW3539" i="1"/>
  <c r="AV3539" i="1"/>
  <c r="AW3538" i="1"/>
  <c r="AV3538" i="1"/>
  <c r="AW3537" i="1"/>
  <c r="AV3537" i="1"/>
  <c r="AW3536" i="1"/>
  <c r="AV3536" i="1"/>
  <c r="AW3535" i="1"/>
  <c r="AV3535" i="1"/>
  <c r="AW3534" i="1"/>
  <c r="AV3534" i="1"/>
  <c r="AW3533" i="1"/>
  <c r="AV3533" i="1"/>
  <c r="AW3532" i="1"/>
  <c r="AV3532" i="1"/>
  <c r="AW3531" i="1"/>
  <c r="AV3531" i="1"/>
  <c r="AW3530" i="1"/>
  <c r="AV3530" i="1"/>
  <c r="AW3529" i="1"/>
  <c r="AV3529" i="1"/>
  <c r="AW3528" i="1"/>
  <c r="AV3528" i="1"/>
  <c r="AW3527" i="1"/>
  <c r="AV3527" i="1"/>
  <c r="AW3526" i="1"/>
  <c r="AV3526" i="1"/>
  <c r="AW3525" i="1"/>
  <c r="AV3525" i="1"/>
  <c r="AU3525" i="1"/>
  <c r="AW3524" i="1"/>
  <c r="AV3524" i="1"/>
  <c r="AU3524" i="1"/>
  <c r="AW3523" i="1"/>
  <c r="AV3523" i="1"/>
  <c r="AU3523" i="1"/>
  <c r="AW3522" i="1"/>
  <c r="AV3522" i="1"/>
  <c r="AW3521" i="1"/>
  <c r="AV3521" i="1"/>
  <c r="AW3520" i="1"/>
  <c r="AV3520" i="1"/>
  <c r="AU3520" i="1"/>
  <c r="AW3519" i="1"/>
  <c r="AV3519" i="1"/>
  <c r="AW3518" i="1"/>
  <c r="AV3518" i="1"/>
  <c r="AU3518" i="1"/>
  <c r="AW3517" i="1"/>
  <c r="AV3517" i="1"/>
  <c r="AU3517" i="1"/>
  <c r="AW3516" i="1"/>
  <c r="AV3516" i="1"/>
  <c r="AW3515" i="1"/>
  <c r="AV3515" i="1"/>
  <c r="AW3514" i="1"/>
  <c r="AV3514" i="1"/>
  <c r="AW3513" i="1"/>
  <c r="AV3513" i="1"/>
  <c r="AW3512" i="1"/>
  <c r="AV3512" i="1"/>
  <c r="AW3511" i="1"/>
  <c r="AV3511" i="1"/>
  <c r="AW3510" i="1"/>
  <c r="AV3510" i="1"/>
  <c r="AW3509" i="1"/>
  <c r="AV3509" i="1"/>
  <c r="AW3508" i="1"/>
  <c r="AV3508" i="1"/>
  <c r="AW3507" i="1"/>
  <c r="AV3507" i="1"/>
  <c r="AW3506" i="1"/>
  <c r="AV3506" i="1"/>
  <c r="AW3505" i="1"/>
  <c r="AV3505" i="1"/>
  <c r="AW3504" i="1"/>
  <c r="AV3504" i="1"/>
  <c r="AW3503" i="1"/>
  <c r="AV3503" i="1"/>
  <c r="AW3502" i="1"/>
  <c r="AV3502" i="1"/>
  <c r="AW3501" i="1"/>
  <c r="AV3501" i="1"/>
  <c r="AW3500" i="1"/>
  <c r="AV3500" i="1"/>
  <c r="AW3499" i="1"/>
  <c r="AV3499" i="1"/>
  <c r="AW3498" i="1"/>
  <c r="AV3498" i="1"/>
  <c r="AW3497" i="1"/>
  <c r="AV3497" i="1"/>
  <c r="AW3496" i="1"/>
  <c r="AV3496" i="1"/>
  <c r="AW3495" i="1"/>
  <c r="AV3495" i="1"/>
  <c r="AU3495" i="1"/>
  <c r="AW3494" i="1"/>
  <c r="AV3494" i="1"/>
  <c r="AU3494" i="1"/>
  <c r="AW3493" i="1"/>
  <c r="AV3493" i="1"/>
  <c r="AW3492" i="1"/>
  <c r="AV3492" i="1"/>
  <c r="AW3491" i="1"/>
  <c r="AV3491" i="1"/>
  <c r="AW3490" i="1"/>
  <c r="AV3490" i="1"/>
  <c r="AW3489" i="1"/>
  <c r="AV3489" i="1"/>
  <c r="AW3488" i="1"/>
  <c r="AV3488" i="1"/>
  <c r="AW3487" i="1"/>
  <c r="AV3487" i="1"/>
  <c r="AW3486" i="1"/>
  <c r="AV3486" i="1"/>
  <c r="AW3485" i="1"/>
  <c r="AV3485" i="1"/>
  <c r="AU3485" i="1"/>
  <c r="AW3484" i="1"/>
  <c r="AV3484" i="1"/>
  <c r="AU3484" i="1"/>
  <c r="AW3483" i="1"/>
  <c r="AV3483" i="1"/>
  <c r="AW3482" i="1"/>
  <c r="AV3482" i="1"/>
  <c r="AW3481" i="1"/>
  <c r="AV3481" i="1"/>
  <c r="AW3480" i="1"/>
  <c r="AV3480" i="1"/>
  <c r="AW3479" i="1"/>
  <c r="AV3479" i="1"/>
  <c r="AU3479" i="1"/>
  <c r="AW3478" i="1"/>
  <c r="AV3478" i="1"/>
  <c r="AW3477" i="1"/>
  <c r="AV3477" i="1"/>
  <c r="AU3477" i="1"/>
  <c r="AW3476" i="1"/>
  <c r="AV3476" i="1"/>
  <c r="AW3475" i="1"/>
  <c r="AV3475" i="1"/>
  <c r="AW3474" i="1"/>
  <c r="AV3474" i="1"/>
  <c r="AW3473" i="1"/>
  <c r="AV3473" i="1"/>
  <c r="AW3472" i="1"/>
  <c r="AV3472" i="1"/>
  <c r="AU3472" i="1"/>
  <c r="AW3471" i="1"/>
  <c r="AV3471" i="1"/>
  <c r="AU3471" i="1"/>
  <c r="AW3470" i="1"/>
  <c r="AV3470" i="1"/>
  <c r="AU3470" i="1"/>
  <c r="AW3469" i="1"/>
  <c r="AV3469" i="1"/>
  <c r="AU3469" i="1"/>
  <c r="AW3468" i="1"/>
  <c r="AV3468" i="1"/>
  <c r="AU3468" i="1"/>
  <c r="AW3467" i="1"/>
  <c r="AV3467" i="1"/>
  <c r="AU3467" i="1"/>
  <c r="AW3466" i="1"/>
  <c r="AV3466" i="1"/>
  <c r="AU3466" i="1"/>
  <c r="AW3465" i="1"/>
  <c r="AV3465" i="1"/>
  <c r="AW3464" i="1"/>
  <c r="AV3464" i="1"/>
  <c r="AW3463" i="1"/>
  <c r="AV3463" i="1"/>
  <c r="AU3463" i="1"/>
  <c r="AW3462" i="1"/>
  <c r="AV3462" i="1"/>
  <c r="AU3462" i="1"/>
  <c r="AW3461" i="1"/>
  <c r="AV3461" i="1"/>
  <c r="AW3460" i="1"/>
  <c r="AV3460" i="1"/>
  <c r="AU3460" i="1"/>
  <c r="AW3459" i="1"/>
  <c r="AV3459" i="1"/>
  <c r="AW3458" i="1"/>
  <c r="AV3458" i="1"/>
  <c r="AW3457" i="1"/>
  <c r="AV3457" i="1"/>
  <c r="AU3457" i="1"/>
  <c r="AW3456" i="1"/>
  <c r="AV3456" i="1"/>
  <c r="AU3456" i="1"/>
  <c r="AW3455" i="1"/>
  <c r="AV3455" i="1"/>
  <c r="AW3454" i="1"/>
  <c r="AV3454" i="1"/>
  <c r="AW3453" i="1"/>
  <c r="AV3453" i="1"/>
  <c r="AW3452" i="1"/>
  <c r="AV3452" i="1"/>
  <c r="AW3451" i="1"/>
  <c r="AV3451" i="1"/>
  <c r="AW3450" i="1"/>
  <c r="AV3450" i="1"/>
  <c r="AW3449" i="1"/>
  <c r="AV3449" i="1"/>
  <c r="AU3449" i="1"/>
  <c r="AW3448" i="1"/>
  <c r="AV3448" i="1"/>
  <c r="AW3447" i="1"/>
  <c r="AV3447" i="1"/>
  <c r="AW3446" i="1"/>
  <c r="AV3446" i="1"/>
  <c r="AW3445" i="1"/>
  <c r="AV3445" i="1"/>
  <c r="AU3445" i="1"/>
  <c r="AW3444" i="1"/>
  <c r="AV3444" i="1"/>
  <c r="AU3444" i="1"/>
  <c r="AW3443" i="1"/>
  <c r="AV3443" i="1"/>
  <c r="AW3442" i="1"/>
  <c r="AV3442" i="1"/>
  <c r="AW3441" i="1"/>
  <c r="AV3441" i="1"/>
  <c r="AU3441" i="1"/>
  <c r="AW3440" i="1"/>
  <c r="AV3440" i="1"/>
  <c r="AU3440" i="1"/>
  <c r="AW3439" i="1"/>
  <c r="AV3439" i="1"/>
  <c r="AU3439" i="1"/>
  <c r="AW3438" i="1"/>
  <c r="AV3438" i="1"/>
  <c r="AW3437" i="1"/>
  <c r="AV3437" i="1"/>
  <c r="AW3436" i="1"/>
  <c r="AV3436" i="1"/>
  <c r="AW3435" i="1"/>
  <c r="AV3435" i="1"/>
  <c r="AW3434" i="1"/>
  <c r="AV3434" i="1"/>
  <c r="AU3434" i="1"/>
  <c r="AW3433" i="1"/>
  <c r="AV3433" i="1"/>
  <c r="AW3432" i="1"/>
  <c r="AV3432" i="1"/>
  <c r="AW3431" i="1"/>
  <c r="AV3431" i="1"/>
  <c r="AU3431" i="1"/>
  <c r="AW3430" i="1"/>
  <c r="AV3430" i="1"/>
  <c r="AW3429" i="1"/>
  <c r="AV3429" i="1"/>
  <c r="AW3428" i="1"/>
  <c r="AV3428" i="1"/>
  <c r="AU3428" i="1"/>
  <c r="AW3427" i="1"/>
  <c r="AV3427" i="1"/>
  <c r="AW3426" i="1"/>
  <c r="AV3426" i="1"/>
  <c r="AW3425" i="1"/>
  <c r="AV3425" i="1"/>
  <c r="AW3424" i="1"/>
  <c r="AV3424" i="1"/>
  <c r="AW3423" i="1"/>
  <c r="AV3423" i="1"/>
  <c r="AW3422" i="1"/>
  <c r="AV3422" i="1"/>
  <c r="AW3421" i="1"/>
  <c r="AV3421" i="1"/>
  <c r="AU3421" i="1"/>
  <c r="AW3420" i="1"/>
  <c r="AV3420" i="1"/>
  <c r="AW3419" i="1"/>
  <c r="AV3419" i="1"/>
  <c r="AW3418" i="1"/>
  <c r="AV3418" i="1"/>
  <c r="AW3417" i="1"/>
  <c r="AV3417" i="1"/>
  <c r="AU3417" i="1"/>
  <c r="AW3416" i="1"/>
  <c r="AV3416" i="1"/>
  <c r="AW3415" i="1"/>
  <c r="AV3415" i="1"/>
  <c r="AW3414" i="1"/>
  <c r="AV3414" i="1"/>
  <c r="AW3413" i="1"/>
  <c r="AV3413" i="1"/>
  <c r="AW3412" i="1"/>
  <c r="AV3412" i="1"/>
  <c r="AW3411" i="1"/>
  <c r="AV3411" i="1"/>
  <c r="AU3411" i="1"/>
  <c r="AW3410" i="1"/>
  <c r="AV3410" i="1"/>
  <c r="AW3409" i="1"/>
  <c r="AV3409" i="1"/>
  <c r="AW3408" i="1"/>
  <c r="AV3408" i="1"/>
  <c r="AW3407" i="1"/>
  <c r="AV3407" i="1"/>
  <c r="AW3406" i="1"/>
  <c r="AV3406" i="1"/>
  <c r="AU3406" i="1"/>
  <c r="AW3405" i="1"/>
  <c r="AV3405" i="1"/>
  <c r="AW3404" i="1"/>
  <c r="AV3404" i="1"/>
  <c r="AW3403" i="1"/>
  <c r="AV3403" i="1"/>
  <c r="AW3402" i="1"/>
  <c r="AV3402" i="1"/>
  <c r="AW3401" i="1"/>
  <c r="AV3401" i="1"/>
  <c r="AW3400" i="1"/>
  <c r="AV3400" i="1"/>
  <c r="AW3399" i="1"/>
  <c r="AV3399" i="1"/>
  <c r="AU3399" i="1"/>
  <c r="AW3398" i="1"/>
  <c r="AV3398" i="1"/>
  <c r="AW3397" i="1"/>
  <c r="AV3397" i="1"/>
  <c r="AW3396" i="1"/>
  <c r="AV3396" i="1"/>
  <c r="AW3395" i="1"/>
  <c r="AV3395" i="1"/>
  <c r="AU3395" i="1"/>
  <c r="AW3394" i="1"/>
  <c r="AV3394" i="1"/>
  <c r="AW3393" i="1"/>
  <c r="AV3393" i="1"/>
  <c r="AU3393" i="1"/>
  <c r="AW3392" i="1"/>
  <c r="AV3392" i="1"/>
  <c r="AW3391" i="1"/>
  <c r="AV3391" i="1"/>
  <c r="AW3390" i="1"/>
  <c r="AV3390" i="1"/>
  <c r="AW3389" i="1"/>
  <c r="AV3389" i="1"/>
  <c r="AU3389" i="1"/>
  <c r="AW3388" i="1"/>
  <c r="AV3388" i="1"/>
  <c r="AU3388" i="1"/>
  <c r="AW3387" i="1"/>
  <c r="AV3387" i="1"/>
  <c r="AU3387" i="1"/>
  <c r="AW3386" i="1"/>
  <c r="AV3386" i="1"/>
  <c r="AW3385" i="1"/>
  <c r="AV3385" i="1"/>
  <c r="AW3384" i="1"/>
  <c r="AV3384" i="1"/>
  <c r="AW3383" i="1"/>
  <c r="AV3383" i="1"/>
  <c r="AU3383" i="1"/>
  <c r="AW3382" i="1"/>
  <c r="AV3382" i="1"/>
  <c r="AW3381" i="1"/>
  <c r="AV3381" i="1"/>
  <c r="AU3381" i="1"/>
  <c r="AW3380" i="1"/>
  <c r="AV3380" i="1"/>
  <c r="AW3379" i="1"/>
  <c r="AV3379" i="1"/>
  <c r="AW3378" i="1"/>
  <c r="AV3378" i="1"/>
  <c r="AW3377" i="1"/>
  <c r="AV3377" i="1"/>
  <c r="AW3376" i="1"/>
  <c r="AV3376" i="1"/>
  <c r="AW3375" i="1"/>
  <c r="AV3375" i="1"/>
  <c r="AW3374" i="1"/>
  <c r="AV3374" i="1"/>
  <c r="AW3373" i="1"/>
  <c r="AV3373" i="1"/>
  <c r="AU3373" i="1"/>
  <c r="AW3372" i="1"/>
  <c r="AV3372" i="1"/>
  <c r="AW3371" i="1"/>
  <c r="AV3371" i="1"/>
  <c r="AW3370" i="1"/>
  <c r="AV3370" i="1"/>
  <c r="AW3369" i="1"/>
  <c r="AV3369" i="1"/>
  <c r="AW3368" i="1"/>
  <c r="AV3368" i="1"/>
  <c r="AW3367" i="1"/>
  <c r="AV3367" i="1"/>
  <c r="AW3366" i="1"/>
  <c r="AV3366" i="1"/>
  <c r="AW3365" i="1"/>
  <c r="AV3365" i="1"/>
  <c r="AW3364" i="1"/>
  <c r="AV3364" i="1"/>
  <c r="AW3363" i="1"/>
  <c r="AV3363" i="1"/>
  <c r="AW3362" i="1"/>
  <c r="AV3362" i="1"/>
  <c r="AW3361" i="1"/>
  <c r="AV3361" i="1"/>
  <c r="AW3360" i="1"/>
  <c r="AV3360" i="1"/>
  <c r="AW3359" i="1"/>
  <c r="AV3359" i="1"/>
  <c r="AW3358" i="1"/>
  <c r="AV3358" i="1"/>
  <c r="AW3357" i="1"/>
  <c r="AV3357" i="1"/>
  <c r="AW3356" i="1"/>
  <c r="AV3356" i="1"/>
  <c r="AW3355" i="1"/>
  <c r="AV3355" i="1"/>
  <c r="AW3354" i="1"/>
  <c r="AV3354" i="1"/>
  <c r="AW3353" i="1"/>
  <c r="AV3353" i="1"/>
  <c r="AU3353" i="1"/>
  <c r="AW3352" i="1"/>
  <c r="AV3352" i="1"/>
  <c r="AU3352" i="1"/>
  <c r="AW3351" i="1"/>
  <c r="AV3351" i="1"/>
  <c r="AU3351" i="1"/>
  <c r="AW3350" i="1"/>
  <c r="AV3350" i="1"/>
  <c r="AW3349" i="1"/>
  <c r="AV3349" i="1"/>
  <c r="AW3348" i="1"/>
  <c r="AV3348" i="1"/>
  <c r="AW3347" i="1"/>
  <c r="AV3347" i="1"/>
  <c r="AW3346" i="1"/>
  <c r="AV3346" i="1"/>
  <c r="AW3345" i="1"/>
  <c r="AV3345" i="1"/>
  <c r="AW3344" i="1"/>
  <c r="AV3344" i="1"/>
  <c r="AW3343" i="1"/>
  <c r="AV3343" i="1"/>
  <c r="AW3342" i="1"/>
  <c r="AV3342" i="1"/>
  <c r="AW3341" i="1"/>
  <c r="AV3341" i="1"/>
  <c r="AW3340" i="1"/>
  <c r="AV3340" i="1"/>
  <c r="AU3340" i="1"/>
  <c r="AW3339" i="1"/>
  <c r="AV3339" i="1"/>
  <c r="AW3338" i="1"/>
  <c r="AV3338" i="1"/>
  <c r="AW3337" i="1"/>
  <c r="AV3337" i="1"/>
  <c r="AW3336" i="1"/>
  <c r="AV3336" i="1"/>
  <c r="AW3335" i="1"/>
  <c r="AV3335" i="1"/>
  <c r="AW3334" i="1"/>
  <c r="AV3334" i="1"/>
  <c r="AU3334" i="1"/>
  <c r="AW3333" i="1"/>
  <c r="AV3333" i="1"/>
  <c r="AU3333" i="1"/>
  <c r="AW3332" i="1"/>
  <c r="AV3332" i="1"/>
  <c r="AW3331" i="1"/>
  <c r="AV3331" i="1"/>
  <c r="AW3330" i="1"/>
  <c r="AV3330" i="1"/>
  <c r="AU3330" i="1"/>
  <c r="AW3329" i="1"/>
  <c r="AV3329" i="1"/>
  <c r="AU3329" i="1"/>
  <c r="AW3328" i="1"/>
  <c r="AV3328" i="1"/>
  <c r="AU3328" i="1"/>
  <c r="AW3327" i="1"/>
  <c r="AV3327" i="1"/>
  <c r="AU3327" i="1"/>
  <c r="AW3326" i="1"/>
  <c r="AV3326" i="1"/>
  <c r="AU3326" i="1"/>
  <c r="AW3325" i="1"/>
  <c r="AV3325" i="1"/>
  <c r="AW3324" i="1"/>
  <c r="AV3324" i="1"/>
  <c r="AU3324" i="1"/>
  <c r="AW3323" i="1"/>
  <c r="AV3323" i="1"/>
  <c r="AW3322" i="1"/>
  <c r="AV3322" i="1"/>
  <c r="AW3321" i="1"/>
  <c r="AV3321" i="1"/>
  <c r="AW3320" i="1"/>
  <c r="AV3320" i="1"/>
  <c r="AU3320" i="1"/>
  <c r="AW3319" i="1"/>
  <c r="AV3319" i="1"/>
  <c r="AU3319" i="1"/>
  <c r="AW3318" i="1"/>
  <c r="AV3318" i="1"/>
  <c r="AU3318" i="1"/>
  <c r="AW3317" i="1"/>
  <c r="AV3317" i="1"/>
  <c r="AW3316" i="1"/>
  <c r="AV3316" i="1"/>
  <c r="AU3316" i="1"/>
  <c r="AW3315" i="1"/>
  <c r="AV3315" i="1"/>
  <c r="AU3315" i="1"/>
  <c r="AW3314" i="1"/>
  <c r="AV3314" i="1"/>
  <c r="AU3314" i="1"/>
  <c r="AW3313" i="1"/>
  <c r="AV3313" i="1"/>
  <c r="AU3313" i="1"/>
  <c r="AW3312" i="1"/>
  <c r="AV3312" i="1"/>
  <c r="AU3312" i="1"/>
  <c r="AW3311" i="1"/>
  <c r="AV3311" i="1"/>
  <c r="AW3310" i="1"/>
  <c r="AV3310" i="1"/>
  <c r="AW3309" i="1"/>
  <c r="AV3309" i="1"/>
  <c r="AW3308" i="1"/>
  <c r="AV3308" i="1"/>
  <c r="AW3307" i="1"/>
  <c r="AV3307" i="1"/>
  <c r="AW3306" i="1"/>
  <c r="AV3306" i="1"/>
  <c r="AU3306" i="1"/>
  <c r="AW3305" i="1"/>
  <c r="AV3305" i="1"/>
  <c r="AU3305" i="1"/>
  <c r="AW3304" i="1"/>
  <c r="AV3304" i="1"/>
  <c r="AW3303" i="1"/>
  <c r="AV3303" i="1"/>
  <c r="AU3303" i="1"/>
  <c r="AW3302" i="1"/>
  <c r="AV3302" i="1"/>
  <c r="AW3301" i="1"/>
  <c r="AV3301" i="1"/>
  <c r="AU3301" i="1"/>
  <c r="AW3300" i="1"/>
  <c r="AV3300" i="1"/>
  <c r="AW3299" i="1"/>
  <c r="AV3299" i="1"/>
  <c r="AU3299" i="1"/>
  <c r="AW3298" i="1"/>
  <c r="AV3298" i="1"/>
  <c r="AU3298" i="1"/>
  <c r="AW3297" i="1"/>
  <c r="AV3297" i="1"/>
  <c r="AW3296" i="1"/>
  <c r="AV3296" i="1"/>
  <c r="AU3296" i="1"/>
  <c r="AW3295" i="1"/>
  <c r="AV3295" i="1"/>
  <c r="AU3295" i="1"/>
  <c r="AW3294" i="1"/>
  <c r="AV3294" i="1"/>
  <c r="AU3294" i="1"/>
  <c r="AW3293" i="1"/>
  <c r="AV3293" i="1"/>
  <c r="AW3292" i="1"/>
  <c r="AV3292" i="1"/>
  <c r="AU3292" i="1"/>
  <c r="AW3291" i="1"/>
  <c r="AV3291" i="1"/>
  <c r="AU3291" i="1"/>
  <c r="AW3290" i="1"/>
  <c r="AV3290" i="1"/>
  <c r="AW3289" i="1"/>
  <c r="AV3289" i="1"/>
  <c r="AW3288" i="1"/>
  <c r="AV3288" i="1"/>
  <c r="AW3287" i="1"/>
  <c r="AV3287" i="1"/>
  <c r="AU3287" i="1"/>
  <c r="AW3286" i="1"/>
  <c r="AV3286" i="1"/>
  <c r="AU3286" i="1"/>
  <c r="AW3285" i="1"/>
  <c r="AV3285" i="1"/>
  <c r="AU3285" i="1"/>
  <c r="AW3284" i="1"/>
  <c r="AV3284" i="1"/>
  <c r="AU3284" i="1"/>
  <c r="AW3283" i="1"/>
  <c r="AV3283" i="1"/>
  <c r="AU3283" i="1"/>
  <c r="AW3282" i="1"/>
  <c r="AV3282" i="1"/>
  <c r="AU3282" i="1"/>
  <c r="AW3281" i="1"/>
  <c r="AV3281" i="1"/>
  <c r="AU3281" i="1"/>
  <c r="AW3280" i="1"/>
  <c r="AV3280" i="1"/>
  <c r="AU3280" i="1"/>
  <c r="AW3279" i="1"/>
  <c r="AV3279" i="1"/>
  <c r="AU3279" i="1"/>
  <c r="AW3278" i="1"/>
  <c r="AV3278" i="1"/>
  <c r="AU3278" i="1"/>
  <c r="AW3277" i="1"/>
  <c r="AV3277" i="1"/>
  <c r="AW3276" i="1"/>
  <c r="AV3276" i="1"/>
  <c r="AW3275" i="1"/>
  <c r="AV3275" i="1"/>
  <c r="AW3274" i="1"/>
  <c r="AV3274" i="1"/>
  <c r="AW3273" i="1"/>
  <c r="AV3273" i="1"/>
  <c r="AW3272" i="1"/>
  <c r="AV3272" i="1"/>
  <c r="AU3272" i="1"/>
  <c r="AW3271" i="1"/>
  <c r="AV3271" i="1"/>
  <c r="AU3271" i="1"/>
  <c r="AW3270" i="1"/>
  <c r="AV3270" i="1"/>
  <c r="AU3270" i="1"/>
  <c r="AW3269" i="1"/>
  <c r="AV3269" i="1"/>
  <c r="AW3268" i="1"/>
  <c r="AV3268" i="1"/>
  <c r="AU3268" i="1"/>
  <c r="AW3267" i="1"/>
  <c r="AV3267" i="1"/>
  <c r="AW3266" i="1"/>
  <c r="AV3266" i="1"/>
  <c r="AU3266" i="1"/>
  <c r="AW3265" i="1"/>
  <c r="AV3265" i="1"/>
  <c r="AU3265" i="1"/>
  <c r="AW3264" i="1"/>
  <c r="AV3264" i="1"/>
  <c r="AU3264" i="1"/>
  <c r="AW3263" i="1"/>
  <c r="AV3263" i="1"/>
  <c r="AW3262" i="1"/>
  <c r="AV3262" i="1"/>
  <c r="AW3261" i="1"/>
  <c r="AV3261" i="1"/>
  <c r="AW3260" i="1"/>
  <c r="AV3260" i="1"/>
  <c r="AW3259" i="1"/>
  <c r="AV3259" i="1"/>
  <c r="AW3258" i="1"/>
  <c r="AV3258" i="1"/>
  <c r="AW3257" i="1"/>
  <c r="AV3257" i="1"/>
  <c r="AW3256" i="1"/>
  <c r="AV3256" i="1"/>
  <c r="AW3255" i="1"/>
  <c r="AV3255" i="1"/>
  <c r="AW3254" i="1"/>
  <c r="AV3254" i="1"/>
  <c r="AW3253" i="1"/>
  <c r="AV3253" i="1"/>
  <c r="AW3252" i="1"/>
  <c r="AV3252" i="1"/>
  <c r="AU3252" i="1"/>
  <c r="AW3251" i="1"/>
  <c r="AV3251" i="1"/>
  <c r="AU3251" i="1"/>
  <c r="AW3250" i="1"/>
  <c r="AV3250" i="1"/>
  <c r="AU3250" i="1"/>
  <c r="AW3249" i="1"/>
  <c r="AV3249" i="1"/>
  <c r="AU3249" i="1"/>
  <c r="AW3248" i="1"/>
  <c r="AV3248" i="1"/>
  <c r="AU3248" i="1"/>
  <c r="AW3247" i="1"/>
  <c r="AV3247" i="1"/>
  <c r="AU3247" i="1"/>
  <c r="AW3246" i="1"/>
  <c r="AV3246" i="1"/>
  <c r="AU3246" i="1"/>
  <c r="AW3245" i="1"/>
  <c r="AV3245" i="1"/>
  <c r="AU3245" i="1"/>
  <c r="AW3244" i="1"/>
  <c r="AV3244" i="1"/>
  <c r="AU3244" i="1"/>
  <c r="AW3243" i="1"/>
  <c r="AV3243" i="1"/>
  <c r="AU3243" i="1"/>
  <c r="AW3242" i="1"/>
  <c r="AV3242" i="1"/>
  <c r="AW3241" i="1"/>
  <c r="AV3241" i="1"/>
  <c r="AW3240" i="1"/>
  <c r="AV3240" i="1"/>
  <c r="AU3240" i="1"/>
  <c r="AW3239" i="1"/>
  <c r="AV3239" i="1"/>
  <c r="AU3239" i="1"/>
  <c r="AW3238" i="1"/>
  <c r="AV3238" i="1"/>
  <c r="AU3238" i="1"/>
  <c r="AW3237" i="1"/>
  <c r="AV3237" i="1"/>
  <c r="AW3236" i="1"/>
  <c r="AV3236" i="1"/>
  <c r="AW3235" i="1"/>
  <c r="AV3235" i="1"/>
  <c r="AW3234" i="1"/>
  <c r="AV3234" i="1"/>
  <c r="AW3233" i="1"/>
  <c r="AV3233" i="1"/>
  <c r="AW3232" i="1"/>
  <c r="AV3232" i="1"/>
  <c r="AU3232" i="1"/>
  <c r="AW3231" i="1"/>
  <c r="AV3231" i="1"/>
  <c r="AU3231" i="1"/>
  <c r="AW3230" i="1"/>
  <c r="AV3230" i="1"/>
  <c r="AU3230" i="1"/>
  <c r="AW3229" i="1"/>
  <c r="AV3229" i="1"/>
  <c r="AW3228" i="1"/>
  <c r="AV3228" i="1"/>
  <c r="AW3227" i="1"/>
  <c r="AV3227" i="1"/>
  <c r="AU3227" i="1"/>
  <c r="AW3226" i="1"/>
  <c r="AV3226" i="1"/>
  <c r="AU3226" i="1"/>
  <c r="AW3225" i="1"/>
  <c r="AV3225" i="1"/>
  <c r="AW3224" i="1"/>
  <c r="AV3224" i="1"/>
  <c r="AU3224" i="1"/>
  <c r="AW3223" i="1"/>
  <c r="AV3223" i="1"/>
  <c r="AU3223" i="1"/>
  <c r="AW3222" i="1"/>
  <c r="AV3222" i="1"/>
  <c r="AW3221" i="1"/>
  <c r="AV3221" i="1"/>
  <c r="AU3221" i="1"/>
  <c r="AW3220" i="1"/>
  <c r="AV3220" i="1"/>
  <c r="AU3220" i="1"/>
  <c r="AW3219" i="1"/>
  <c r="AV3219" i="1"/>
  <c r="AW3218" i="1"/>
  <c r="AV3218" i="1"/>
  <c r="AW3217" i="1"/>
  <c r="AV3217" i="1"/>
  <c r="AW3216" i="1"/>
  <c r="AV3216" i="1"/>
  <c r="AW3215" i="1"/>
  <c r="AV3215" i="1"/>
  <c r="AW3214" i="1"/>
  <c r="AV3214" i="1"/>
  <c r="AU3214" i="1"/>
  <c r="AW3213" i="1"/>
  <c r="AV3213" i="1"/>
  <c r="AU3213" i="1"/>
  <c r="AW3212" i="1"/>
  <c r="AV3212" i="1"/>
  <c r="AU3212" i="1"/>
  <c r="AW3211" i="1"/>
  <c r="AV3211" i="1"/>
  <c r="AU3211" i="1"/>
  <c r="AW3210" i="1"/>
  <c r="AV3210" i="1"/>
  <c r="AU3210" i="1"/>
  <c r="AW3209" i="1"/>
  <c r="AV3209" i="1"/>
  <c r="AU3209" i="1"/>
  <c r="AW3208" i="1"/>
  <c r="AV3208" i="1"/>
  <c r="AU3208" i="1"/>
  <c r="AW3207" i="1"/>
  <c r="AV3207" i="1"/>
  <c r="AU3207" i="1"/>
  <c r="AW3206" i="1"/>
  <c r="AV3206" i="1"/>
  <c r="AU3206" i="1"/>
  <c r="AW3205" i="1"/>
  <c r="AV3205" i="1"/>
  <c r="AU3205" i="1"/>
  <c r="AW3204" i="1"/>
  <c r="AV3204" i="1"/>
  <c r="AU3204" i="1"/>
  <c r="AW3203" i="1"/>
  <c r="AV3203" i="1"/>
  <c r="AU3203" i="1"/>
  <c r="AW3202" i="1"/>
  <c r="AV3202" i="1"/>
  <c r="AU3202" i="1"/>
  <c r="AW3201" i="1"/>
  <c r="AV3201" i="1"/>
  <c r="AU3201" i="1"/>
  <c r="AW3200" i="1"/>
  <c r="AV3200" i="1"/>
  <c r="AU3200" i="1"/>
  <c r="AW3199" i="1"/>
  <c r="AV3199" i="1"/>
  <c r="AU3199" i="1"/>
  <c r="AW3198" i="1"/>
  <c r="AV3198" i="1"/>
  <c r="AU3198" i="1"/>
  <c r="AW3197" i="1"/>
  <c r="AV3197" i="1"/>
  <c r="AU3197" i="1"/>
  <c r="AW3196" i="1"/>
  <c r="AV3196" i="1"/>
  <c r="AU3196" i="1"/>
  <c r="AW3195" i="1"/>
  <c r="AV3195" i="1"/>
  <c r="AU3195" i="1"/>
  <c r="AW3194" i="1"/>
  <c r="AV3194" i="1"/>
  <c r="AW3193" i="1"/>
  <c r="AV3193" i="1"/>
  <c r="AW3192" i="1"/>
  <c r="AV3192" i="1"/>
  <c r="AU3192" i="1"/>
  <c r="AW3191" i="1"/>
  <c r="AV3191" i="1"/>
  <c r="AU3191" i="1"/>
  <c r="AW3190" i="1"/>
  <c r="AV3190" i="1"/>
  <c r="AU3190" i="1"/>
  <c r="AW3189" i="1"/>
  <c r="AV3189" i="1"/>
  <c r="AW3188" i="1"/>
  <c r="AV3188" i="1"/>
  <c r="AU3188" i="1"/>
  <c r="AW3187" i="1"/>
  <c r="AV3187" i="1"/>
  <c r="AW3186" i="1"/>
  <c r="AV3186" i="1"/>
  <c r="AW3185" i="1"/>
  <c r="AV3185" i="1"/>
  <c r="AU3185" i="1"/>
  <c r="AW3184" i="1"/>
  <c r="AV3184" i="1"/>
  <c r="AU3184" i="1"/>
  <c r="AW3183" i="1"/>
  <c r="AV3183" i="1"/>
  <c r="AW3182" i="1"/>
  <c r="AV3182" i="1"/>
  <c r="AW3181" i="1"/>
  <c r="AV3181" i="1"/>
  <c r="AW3180" i="1"/>
  <c r="AV3180" i="1"/>
  <c r="AU3180" i="1"/>
  <c r="AW3179" i="1"/>
  <c r="AV3179" i="1"/>
  <c r="AW3178" i="1"/>
  <c r="AV3178" i="1"/>
  <c r="AW3177" i="1"/>
  <c r="AV3177" i="1"/>
  <c r="AW3176" i="1"/>
  <c r="AV3176" i="1"/>
  <c r="AW3175" i="1"/>
  <c r="AV3175" i="1"/>
  <c r="AW3174" i="1"/>
  <c r="AV3174" i="1"/>
  <c r="AW3173" i="1"/>
  <c r="AV3173" i="1"/>
  <c r="AW3172" i="1"/>
  <c r="AV3172" i="1"/>
  <c r="AW3171" i="1"/>
  <c r="AV3171" i="1"/>
  <c r="AU3171" i="1"/>
  <c r="AW3170" i="1"/>
  <c r="AV3170" i="1"/>
  <c r="AU3170" i="1"/>
  <c r="AW3169" i="1"/>
  <c r="AV3169" i="1"/>
  <c r="AU3169" i="1"/>
  <c r="AW3168" i="1"/>
  <c r="AV3168" i="1"/>
  <c r="AU3168" i="1"/>
  <c r="AW3167" i="1"/>
  <c r="AV3167" i="1"/>
  <c r="AU3167" i="1"/>
  <c r="AW3166" i="1"/>
  <c r="AV3166" i="1"/>
  <c r="AU3166" i="1"/>
  <c r="AW3165" i="1"/>
  <c r="AV3165" i="1"/>
  <c r="AU3165" i="1"/>
  <c r="AW3164" i="1"/>
  <c r="AV3164" i="1"/>
  <c r="AU3164" i="1"/>
  <c r="AW3163" i="1"/>
  <c r="AV3163" i="1"/>
  <c r="AU3163" i="1"/>
  <c r="AW3162" i="1"/>
  <c r="AV3162" i="1"/>
  <c r="AU3162" i="1"/>
  <c r="AW3161" i="1"/>
  <c r="AV3161" i="1"/>
  <c r="AU3161" i="1"/>
  <c r="AW3160" i="1"/>
  <c r="AV3160" i="1"/>
  <c r="AU3160" i="1"/>
  <c r="AW3159" i="1"/>
  <c r="AV3159" i="1"/>
  <c r="AU3159" i="1"/>
  <c r="AW3158" i="1"/>
  <c r="AV3158" i="1"/>
  <c r="AU3158" i="1"/>
  <c r="AW3157" i="1"/>
  <c r="AV3157" i="1"/>
  <c r="AU3157" i="1"/>
  <c r="AW3156" i="1"/>
  <c r="AV3156" i="1"/>
  <c r="AU3156" i="1"/>
  <c r="AW3155" i="1"/>
  <c r="AV3155" i="1"/>
  <c r="AU3155" i="1"/>
  <c r="AW3154" i="1"/>
  <c r="AV3154" i="1"/>
  <c r="AU3154" i="1"/>
  <c r="AW3153" i="1"/>
  <c r="AV3153" i="1"/>
  <c r="AW3152" i="1"/>
  <c r="AV3152" i="1"/>
  <c r="AU3152" i="1"/>
  <c r="AW3151" i="1"/>
  <c r="AV3151" i="1"/>
  <c r="AU3151" i="1"/>
  <c r="AW3150" i="1"/>
  <c r="AV3150" i="1"/>
  <c r="AU3150" i="1"/>
  <c r="AW3149" i="1"/>
  <c r="AV3149" i="1"/>
  <c r="AU3149" i="1"/>
  <c r="AW3148" i="1"/>
  <c r="AV3148" i="1"/>
  <c r="AW3147" i="1"/>
  <c r="AV3147" i="1"/>
  <c r="AW3146" i="1"/>
  <c r="AV3146" i="1"/>
  <c r="AW3145" i="1"/>
  <c r="AV3145" i="1"/>
  <c r="AW3144" i="1"/>
  <c r="AV3144" i="1"/>
  <c r="AU3144" i="1"/>
  <c r="AW3143" i="1"/>
  <c r="AV3143" i="1"/>
  <c r="AW3142" i="1"/>
  <c r="AV3142" i="1"/>
  <c r="AW3141" i="1"/>
  <c r="AV3141" i="1"/>
  <c r="AW3140" i="1"/>
  <c r="AV3140" i="1"/>
  <c r="AW3139" i="1"/>
  <c r="AV3139" i="1"/>
  <c r="AW3138" i="1"/>
  <c r="AV3138" i="1"/>
  <c r="AU3138" i="1"/>
  <c r="AW3137" i="1"/>
  <c r="AV3137" i="1"/>
  <c r="AU3137" i="1"/>
  <c r="AW3136" i="1"/>
  <c r="AV3136" i="1"/>
  <c r="AU3136" i="1"/>
  <c r="AW3135" i="1"/>
  <c r="AV3135" i="1"/>
  <c r="AU3135" i="1"/>
  <c r="AW3134" i="1"/>
  <c r="AV3134" i="1"/>
  <c r="AU3134" i="1"/>
  <c r="AW3133" i="1"/>
  <c r="AV3133" i="1"/>
  <c r="AU3133" i="1"/>
  <c r="AW3132" i="1"/>
  <c r="AV3132" i="1"/>
  <c r="AU3132" i="1"/>
  <c r="AW3131" i="1"/>
  <c r="AV3131" i="1"/>
  <c r="AW3130" i="1"/>
  <c r="AV3130" i="1"/>
  <c r="AW3129" i="1"/>
  <c r="AV3129" i="1"/>
  <c r="AU3129" i="1"/>
  <c r="AW3128" i="1"/>
  <c r="AV3128" i="1"/>
  <c r="AU3128" i="1"/>
  <c r="AW3127" i="1"/>
  <c r="AV3127" i="1"/>
  <c r="AU3127" i="1"/>
  <c r="AW3126" i="1"/>
  <c r="AV3126" i="1"/>
  <c r="AU3126" i="1"/>
  <c r="AW3125" i="1"/>
  <c r="AV3125" i="1"/>
  <c r="AU3125" i="1"/>
  <c r="AW3124" i="1"/>
  <c r="AV3124" i="1"/>
  <c r="AW3123" i="1"/>
  <c r="AV3123" i="1"/>
  <c r="AU3123" i="1"/>
  <c r="AW3122" i="1"/>
  <c r="AV3122" i="1"/>
  <c r="AW3121" i="1"/>
  <c r="AV3121" i="1"/>
  <c r="AW3120" i="1"/>
  <c r="AV3120" i="1"/>
  <c r="AW3119" i="1"/>
  <c r="AV3119" i="1"/>
  <c r="AW3118" i="1"/>
  <c r="AV3118" i="1"/>
  <c r="AU3118" i="1"/>
  <c r="AW3117" i="1"/>
  <c r="AV3117" i="1"/>
  <c r="AW3116" i="1"/>
  <c r="AV3116" i="1"/>
  <c r="AU3116" i="1"/>
  <c r="AW3115" i="1"/>
  <c r="AV3115" i="1"/>
  <c r="AW3114" i="1"/>
  <c r="AV3114" i="1"/>
  <c r="AU3114" i="1"/>
  <c r="AW3113" i="1"/>
  <c r="AV3113" i="1"/>
  <c r="AW3112" i="1"/>
  <c r="AV3112" i="1"/>
  <c r="AU3112" i="1"/>
  <c r="AW3111" i="1"/>
  <c r="AV3111" i="1"/>
  <c r="AU3111" i="1"/>
  <c r="AW3110" i="1"/>
  <c r="AV3110" i="1"/>
  <c r="AU3110" i="1"/>
  <c r="AW3109" i="1"/>
  <c r="AV3109" i="1"/>
  <c r="AU3109" i="1"/>
  <c r="AW3108" i="1"/>
  <c r="AV3108" i="1"/>
  <c r="AU3108" i="1"/>
  <c r="AW3107" i="1"/>
  <c r="AV3107" i="1"/>
  <c r="AW3106" i="1"/>
  <c r="AV3106" i="1"/>
  <c r="AW3105" i="1"/>
  <c r="AV3105" i="1"/>
  <c r="AU3105" i="1"/>
  <c r="AW3104" i="1"/>
  <c r="AV3104" i="1"/>
  <c r="AU3104" i="1"/>
  <c r="AW3103" i="1"/>
  <c r="AV3103" i="1"/>
  <c r="AU3103" i="1"/>
  <c r="AW3102" i="1"/>
  <c r="AV3102" i="1"/>
  <c r="AW3101" i="1"/>
  <c r="AV3101" i="1"/>
  <c r="AU3101" i="1"/>
  <c r="AW3100" i="1"/>
  <c r="AV3100" i="1"/>
  <c r="AW3099" i="1"/>
  <c r="AV3099" i="1"/>
  <c r="AW3098" i="1"/>
  <c r="AV3098" i="1"/>
  <c r="AW3097" i="1"/>
  <c r="AV3097" i="1"/>
  <c r="AW3096" i="1"/>
  <c r="AV3096" i="1"/>
  <c r="AW3095" i="1"/>
  <c r="AV3095" i="1"/>
  <c r="AW3094" i="1"/>
  <c r="AV3094" i="1"/>
  <c r="AW3093" i="1"/>
  <c r="AV3093" i="1"/>
  <c r="AW3092" i="1"/>
  <c r="AV3092" i="1"/>
  <c r="AW3091" i="1"/>
  <c r="AV3091" i="1"/>
  <c r="AW3090" i="1"/>
  <c r="AV3090" i="1"/>
  <c r="AW3089" i="1"/>
  <c r="AV3089" i="1"/>
  <c r="AW3088" i="1"/>
  <c r="AV3088" i="1"/>
  <c r="AU3088" i="1"/>
  <c r="AW3087" i="1"/>
  <c r="AV3087" i="1"/>
  <c r="AW3086" i="1"/>
  <c r="AV3086" i="1"/>
  <c r="AW3085" i="1"/>
  <c r="AV3085" i="1"/>
  <c r="AU3085" i="1"/>
  <c r="AW3084" i="1"/>
  <c r="AV3084" i="1"/>
  <c r="AW3083" i="1"/>
  <c r="AV3083" i="1"/>
  <c r="AW3082" i="1"/>
  <c r="AV3082" i="1"/>
  <c r="AW3081" i="1"/>
  <c r="AV3081" i="1"/>
  <c r="AW3080" i="1"/>
  <c r="AV3080" i="1"/>
  <c r="AW3079" i="1"/>
  <c r="AV3079" i="1"/>
  <c r="AU3079" i="1"/>
  <c r="AW3078" i="1"/>
  <c r="AV3078" i="1"/>
  <c r="AW3077" i="1"/>
  <c r="AV3077" i="1"/>
  <c r="AW3076" i="1"/>
  <c r="AV3076" i="1"/>
  <c r="AW3075" i="1"/>
  <c r="AV3075" i="1"/>
  <c r="AW3074" i="1"/>
  <c r="AV3074" i="1"/>
  <c r="AW3073" i="1"/>
  <c r="AV3073" i="1"/>
  <c r="AW3072" i="1"/>
  <c r="AV3072" i="1"/>
  <c r="AW3071" i="1"/>
  <c r="AV3071" i="1"/>
  <c r="AW3070" i="1"/>
  <c r="AV3070" i="1"/>
  <c r="AW3069" i="1"/>
  <c r="AV3069" i="1"/>
  <c r="AW3068" i="1"/>
  <c r="AV3068" i="1"/>
  <c r="AW3067" i="1"/>
  <c r="AV3067" i="1"/>
  <c r="AW3066" i="1"/>
  <c r="AV3066" i="1"/>
  <c r="AW3065" i="1"/>
  <c r="AV3065" i="1"/>
  <c r="AW3064" i="1"/>
  <c r="AV3064" i="1"/>
  <c r="AW3063" i="1"/>
  <c r="AV3063" i="1"/>
  <c r="AW3062" i="1"/>
  <c r="AV3062" i="1"/>
  <c r="AW3061" i="1"/>
  <c r="AV3061" i="1"/>
  <c r="AW3060" i="1"/>
  <c r="AV3060" i="1"/>
  <c r="AW3059" i="1"/>
  <c r="AV3059" i="1"/>
  <c r="AW3058" i="1"/>
  <c r="AV3058" i="1"/>
  <c r="AW3057" i="1"/>
  <c r="AV3057" i="1"/>
  <c r="AU3057" i="1"/>
  <c r="AW3056" i="1"/>
  <c r="AV3056" i="1"/>
  <c r="AU3056" i="1"/>
  <c r="AW3055" i="1"/>
  <c r="AV3055" i="1"/>
  <c r="AW3054" i="1"/>
  <c r="AV3054" i="1"/>
  <c r="AW3053" i="1"/>
  <c r="AV3053" i="1"/>
  <c r="AU3053" i="1"/>
  <c r="AW3052" i="1"/>
  <c r="AV3052" i="1"/>
  <c r="AW3051" i="1"/>
  <c r="AV3051" i="1"/>
  <c r="AW3050" i="1"/>
  <c r="AV3050" i="1"/>
  <c r="AW3049" i="1"/>
  <c r="AV3049" i="1"/>
  <c r="AW3048" i="1"/>
  <c r="AV3048" i="1"/>
  <c r="AW3047" i="1"/>
  <c r="AV3047" i="1"/>
  <c r="AW3046" i="1"/>
  <c r="AV3046" i="1"/>
  <c r="AU3046" i="1"/>
  <c r="AW3045" i="1"/>
  <c r="AV3045" i="1"/>
  <c r="AW3044" i="1"/>
  <c r="AV3044" i="1"/>
  <c r="AW3043" i="1"/>
  <c r="AV3043" i="1"/>
  <c r="AW3042" i="1"/>
  <c r="AV3042" i="1"/>
  <c r="AW3041" i="1"/>
  <c r="AV3041" i="1"/>
  <c r="AW3040" i="1"/>
  <c r="AV3040" i="1"/>
  <c r="AW3039" i="1"/>
  <c r="AV3039" i="1"/>
  <c r="AW3038" i="1"/>
  <c r="AV3038" i="1"/>
  <c r="AU3038" i="1"/>
  <c r="AW3037" i="1"/>
  <c r="AV3037" i="1"/>
  <c r="AW3036" i="1"/>
  <c r="AV3036" i="1"/>
  <c r="AU3036" i="1"/>
  <c r="AW3035" i="1"/>
  <c r="AV3035" i="1"/>
  <c r="AU3035" i="1"/>
  <c r="AW3034" i="1"/>
  <c r="AV3034" i="1"/>
  <c r="AW3033" i="1"/>
  <c r="AV3033" i="1"/>
  <c r="AW3032" i="1"/>
  <c r="AV3032" i="1"/>
  <c r="AW3031" i="1"/>
  <c r="AV3031" i="1"/>
  <c r="AW3030" i="1"/>
  <c r="AV3030" i="1"/>
  <c r="AW3029" i="1"/>
  <c r="AV3029" i="1"/>
  <c r="AW3028" i="1"/>
  <c r="AV3028" i="1"/>
  <c r="AW3027" i="1"/>
  <c r="AV3027" i="1"/>
  <c r="AW3026" i="1"/>
  <c r="AV3026" i="1"/>
  <c r="AW3025" i="1"/>
  <c r="AV3025" i="1"/>
  <c r="AW3024" i="1"/>
  <c r="AV3024" i="1"/>
  <c r="AW3023" i="1"/>
  <c r="AV3023" i="1"/>
  <c r="AW3022" i="1"/>
  <c r="AV3022" i="1"/>
  <c r="AW3021" i="1"/>
  <c r="AV3021" i="1"/>
  <c r="AW3020" i="1"/>
  <c r="AV3020" i="1"/>
  <c r="AW3019" i="1"/>
  <c r="AV3019" i="1"/>
  <c r="AW3018" i="1"/>
  <c r="AV3018" i="1"/>
  <c r="AW3017" i="1"/>
  <c r="AV3017" i="1"/>
  <c r="AW3016" i="1"/>
  <c r="AV3016" i="1"/>
  <c r="AW3015" i="1"/>
  <c r="AV3015" i="1"/>
  <c r="AW3014" i="1"/>
  <c r="AV3014" i="1"/>
  <c r="AW3013" i="1"/>
  <c r="AV3013" i="1"/>
  <c r="AW3012" i="1"/>
  <c r="AV3012" i="1"/>
  <c r="AW3011" i="1"/>
  <c r="AV3011" i="1"/>
  <c r="AW3010" i="1"/>
  <c r="AV3010" i="1"/>
  <c r="AW3009" i="1"/>
  <c r="AV3009" i="1"/>
  <c r="AW3008" i="1"/>
  <c r="AV3008" i="1"/>
  <c r="AW3007" i="1"/>
  <c r="AV3007" i="1"/>
  <c r="AW3006" i="1"/>
  <c r="AV3006" i="1"/>
  <c r="AW3005" i="1"/>
  <c r="AV3005" i="1"/>
  <c r="AU3005" i="1"/>
  <c r="AW3004" i="1"/>
  <c r="AV3004" i="1"/>
  <c r="AU3004" i="1"/>
  <c r="AW3003" i="1"/>
  <c r="AV3003" i="1"/>
  <c r="AU3003" i="1"/>
  <c r="AW3002" i="1"/>
  <c r="AV3002" i="1"/>
  <c r="AU3002" i="1"/>
  <c r="AW3001" i="1"/>
  <c r="AV3001" i="1"/>
  <c r="AU3001" i="1"/>
  <c r="AW3000" i="1"/>
  <c r="AV3000" i="1"/>
  <c r="AW2999" i="1"/>
  <c r="AV2999" i="1"/>
  <c r="AW2998" i="1"/>
  <c r="AV2998" i="1"/>
  <c r="AW2997" i="1"/>
  <c r="AV2997" i="1"/>
  <c r="AU2997" i="1"/>
  <c r="AW2996" i="1"/>
  <c r="AV2996" i="1"/>
  <c r="AW2995" i="1"/>
  <c r="AV2995" i="1"/>
  <c r="AW2994" i="1"/>
  <c r="AV2994" i="1"/>
  <c r="AW2993" i="1"/>
  <c r="AV2993" i="1"/>
  <c r="AW2992" i="1"/>
  <c r="AV2992" i="1"/>
  <c r="AU2992" i="1"/>
  <c r="AW2991" i="1"/>
  <c r="AV2991" i="1"/>
  <c r="AU2991" i="1"/>
  <c r="AW2990" i="1"/>
  <c r="AV2990" i="1"/>
  <c r="AU2990" i="1"/>
  <c r="AW2989" i="1"/>
  <c r="AV2989" i="1"/>
  <c r="AU2989" i="1"/>
  <c r="AW2988" i="1"/>
  <c r="AV2988" i="1"/>
  <c r="AW2987" i="1"/>
  <c r="AV2987" i="1"/>
  <c r="AU2987" i="1"/>
  <c r="AW2986" i="1"/>
  <c r="AV2986" i="1"/>
  <c r="AW2985" i="1"/>
  <c r="AV2985" i="1"/>
  <c r="AU2985" i="1"/>
  <c r="AW2984" i="1"/>
  <c r="AV2984" i="1"/>
  <c r="AW2983" i="1"/>
  <c r="AV2983" i="1"/>
  <c r="AU2983" i="1"/>
  <c r="AW2982" i="1"/>
  <c r="AV2982" i="1"/>
  <c r="AW2981" i="1"/>
  <c r="AV2981" i="1"/>
  <c r="AU2981" i="1"/>
  <c r="AW2980" i="1"/>
  <c r="AV2980" i="1"/>
  <c r="AW2979" i="1"/>
  <c r="AV2979" i="1"/>
  <c r="AW2978" i="1"/>
  <c r="AV2978" i="1"/>
  <c r="AU2978" i="1"/>
  <c r="AW2977" i="1"/>
  <c r="AV2977" i="1"/>
  <c r="AW2976" i="1"/>
  <c r="AV2976" i="1"/>
  <c r="AU2976" i="1"/>
  <c r="AW2975" i="1"/>
  <c r="AV2975" i="1"/>
  <c r="AW2974" i="1"/>
  <c r="AV2974" i="1"/>
  <c r="AW2973" i="1"/>
  <c r="AV2973" i="1"/>
  <c r="AW2972" i="1"/>
  <c r="AV2972" i="1"/>
  <c r="AW2971" i="1"/>
  <c r="AV2971" i="1"/>
  <c r="AW2970" i="1"/>
  <c r="AV2970" i="1"/>
  <c r="AU2970" i="1"/>
  <c r="AW2969" i="1"/>
  <c r="AV2969" i="1"/>
  <c r="AW2968" i="1"/>
  <c r="AV2968" i="1"/>
  <c r="AW2967" i="1"/>
  <c r="AV2967" i="1"/>
  <c r="AW2966" i="1"/>
  <c r="AV2966" i="1"/>
  <c r="AU2966" i="1"/>
  <c r="AW2965" i="1"/>
  <c r="AV2965" i="1"/>
  <c r="AU2965" i="1"/>
  <c r="AW2964" i="1"/>
  <c r="AV2964" i="1"/>
  <c r="AU2964" i="1"/>
  <c r="AW2963" i="1"/>
  <c r="AV2963" i="1"/>
  <c r="AU2963" i="1"/>
  <c r="AW2962" i="1"/>
  <c r="AV2962" i="1"/>
  <c r="AU2962" i="1"/>
  <c r="AW2961" i="1"/>
  <c r="AV2961" i="1"/>
  <c r="AW2960" i="1"/>
  <c r="AV2960" i="1"/>
  <c r="AW2959" i="1"/>
  <c r="AV2959" i="1"/>
  <c r="AW2958" i="1"/>
  <c r="AV2958" i="1"/>
  <c r="AU2958" i="1"/>
  <c r="AW2957" i="1"/>
  <c r="AV2957" i="1"/>
  <c r="AW2956" i="1"/>
  <c r="AV2956" i="1"/>
  <c r="AW2955" i="1"/>
  <c r="AV2955" i="1"/>
  <c r="AW2954" i="1"/>
  <c r="AV2954" i="1"/>
  <c r="AW2953" i="1"/>
  <c r="AV2953" i="1"/>
  <c r="AW2952" i="1"/>
  <c r="AV2952" i="1"/>
  <c r="AW2951" i="1"/>
  <c r="AV2951" i="1"/>
  <c r="AW2950" i="1"/>
  <c r="AV2950" i="1"/>
  <c r="AU2950" i="1"/>
  <c r="AW2949" i="1"/>
  <c r="AV2949" i="1"/>
  <c r="AU2949" i="1"/>
  <c r="AW2948" i="1"/>
  <c r="AV2948" i="1"/>
  <c r="AW2947" i="1"/>
  <c r="AV2947" i="1"/>
  <c r="AW2946" i="1"/>
  <c r="AV2946" i="1"/>
  <c r="AU2946" i="1"/>
  <c r="AW2945" i="1"/>
  <c r="AV2945" i="1"/>
  <c r="AW2944" i="1"/>
  <c r="AV2944" i="1"/>
  <c r="AW2943" i="1"/>
  <c r="AV2943" i="1"/>
  <c r="AW2942" i="1"/>
  <c r="AV2942" i="1"/>
  <c r="AW2941" i="1"/>
  <c r="AV2941" i="1"/>
  <c r="AW2940" i="1"/>
  <c r="AV2940" i="1"/>
  <c r="AW2939" i="1"/>
  <c r="AV2939" i="1"/>
  <c r="AW2938" i="1"/>
  <c r="AV2938" i="1"/>
  <c r="AW2937" i="1"/>
  <c r="AV2937" i="1"/>
  <c r="AU2937" i="1"/>
  <c r="AW2936" i="1"/>
  <c r="AV2936" i="1"/>
  <c r="AW2935" i="1"/>
  <c r="AV2935" i="1"/>
  <c r="AW2934" i="1"/>
  <c r="AV2934" i="1"/>
  <c r="AW2933" i="1"/>
  <c r="AV2933" i="1"/>
  <c r="AW2932" i="1"/>
  <c r="AV2932" i="1"/>
  <c r="AU2932" i="1"/>
  <c r="AW2931" i="1"/>
  <c r="AV2931" i="1"/>
  <c r="AW2930" i="1"/>
  <c r="AV2930" i="1"/>
  <c r="AU2930" i="1"/>
  <c r="AW2929" i="1"/>
  <c r="AV2929" i="1"/>
  <c r="AW2928" i="1"/>
  <c r="AV2928" i="1"/>
  <c r="AU2928" i="1"/>
  <c r="AW2927" i="1"/>
  <c r="AV2927" i="1"/>
  <c r="AU2927" i="1"/>
  <c r="AW2926" i="1"/>
  <c r="AV2926" i="1"/>
  <c r="AU2926" i="1"/>
  <c r="AW2925" i="1"/>
  <c r="AV2925" i="1"/>
  <c r="AU2925" i="1"/>
  <c r="AW2924" i="1"/>
  <c r="AV2924" i="1"/>
  <c r="AU2924" i="1"/>
  <c r="AW2923" i="1"/>
  <c r="AV2923" i="1"/>
  <c r="AU2923" i="1"/>
  <c r="AW2922" i="1"/>
  <c r="AV2922" i="1"/>
  <c r="AU2922" i="1"/>
  <c r="AW2921" i="1"/>
  <c r="AV2921" i="1"/>
  <c r="AU2921" i="1"/>
  <c r="AW2920" i="1"/>
  <c r="AV2920" i="1"/>
  <c r="AU2920" i="1"/>
  <c r="AW2919" i="1"/>
  <c r="AV2919" i="1"/>
  <c r="AU2919" i="1"/>
  <c r="AW2918" i="1"/>
  <c r="AV2918" i="1"/>
  <c r="AU2918" i="1"/>
  <c r="AW2917" i="1"/>
  <c r="AV2917" i="1"/>
  <c r="AU2917" i="1"/>
  <c r="AW2916" i="1"/>
  <c r="AV2916" i="1"/>
  <c r="AU2916" i="1"/>
  <c r="AW2915" i="1"/>
  <c r="AV2915" i="1"/>
  <c r="AW2914" i="1"/>
  <c r="AV2914" i="1"/>
  <c r="AW2913" i="1"/>
  <c r="AV2913" i="1"/>
  <c r="AW2912" i="1"/>
  <c r="AV2912" i="1"/>
  <c r="AW2911" i="1"/>
  <c r="AV2911" i="1"/>
  <c r="AU2911" i="1"/>
  <c r="AW2910" i="1"/>
  <c r="AV2910" i="1"/>
  <c r="AU2910" i="1"/>
  <c r="AW2909" i="1"/>
  <c r="AV2909" i="1"/>
  <c r="AU2909" i="1"/>
  <c r="AW2908" i="1"/>
  <c r="AV2908" i="1"/>
  <c r="AW2907" i="1"/>
  <c r="AV2907" i="1"/>
  <c r="AW2906" i="1"/>
  <c r="AV2906" i="1"/>
  <c r="AU2906" i="1"/>
  <c r="AW2905" i="1"/>
  <c r="AV2905" i="1"/>
  <c r="AU2905" i="1"/>
  <c r="AW2904" i="1"/>
  <c r="AV2904" i="1"/>
  <c r="AW2903" i="1"/>
  <c r="AV2903" i="1"/>
  <c r="AU2903" i="1"/>
  <c r="AW2902" i="1"/>
  <c r="AV2902" i="1"/>
  <c r="AU2902" i="1"/>
  <c r="AW2901" i="1"/>
  <c r="AV2901" i="1"/>
  <c r="AW2900" i="1"/>
  <c r="AV2900" i="1"/>
  <c r="AW2899" i="1"/>
  <c r="AV2899" i="1"/>
  <c r="AU2899" i="1"/>
  <c r="AW2898" i="1"/>
  <c r="AV2898" i="1"/>
  <c r="AU2898" i="1"/>
  <c r="AW2897" i="1"/>
  <c r="AV2897" i="1"/>
  <c r="AU2897" i="1"/>
  <c r="AW2896" i="1"/>
  <c r="AV2896" i="1"/>
  <c r="AU2896" i="1"/>
  <c r="AW2895" i="1"/>
  <c r="AV2895" i="1"/>
  <c r="AW2894" i="1"/>
  <c r="AV2894" i="1"/>
  <c r="AW2893" i="1"/>
  <c r="AV2893" i="1"/>
  <c r="AW2892" i="1"/>
  <c r="AV2892" i="1"/>
  <c r="AU2892" i="1"/>
  <c r="AW2891" i="1"/>
  <c r="AV2891" i="1"/>
  <c r="AU2891" i="1"/>
  <c r="AW2890" i="1"/>
  <c r="AV2890" i="1"/>
  <c r="AU2890" i="1"/>
  <c r="AW2889" i="1"/>
  <c r="AV2889" i="1"/>
  <c r="AU2889" i="1"/>
  <c r="AW2888" i="1"/>
  <c r="AV2888" i="1"/>
  <c r="AU2888" i="1"/>
  <c r="AW2887" i="1"/>
  <c r="AV2887" i="1"/>
  <c r="AW2886" i="1"/>
  <c r="AV2886" i="1"/>
  <c r="AW2885" i="1"/>
  <c r="AV2885" i="1"/>
  <c r="AW2884" i="1"/>
  <c r="AV2884" i="1"/>
  <c r="AU2884" i="1"/>
  <c r="AW2883" i="1"/>
  <c r="AV2883" i="1"/>
  <c r="AU2883" i="1"/>
  <c r="AW2882" i="1"/>
  <c r="AV2882" i="1"/>
  <c r="AU2882" i="1"/>
  <c r="AW2881" i="1"/>
  <c r="AV2881" i="1"/>
  <c r="AW2880" i="1"/>
  <c r="AV2880" i="1"/>
  <c r="AW2879" i="1"/>
  <c r="AV2879" i="1"/>
  <c r="AW2878" i="1"/>
  <c r="AV2878" i="1"/>
  <c r="AW2877" i="1"/>
  <c r="AV2877" i="1"/>
  <c r="AW2876" i="1"/>
  <c r="AV2876" i="1"/>
  <c r="AW2875" i="1"/>
  <c r="AV2875" i="1"/>
  <c r="AW2874" i="1"/>
  <c r="AV2874" i="1"/>
  <c r="AW2873" i="1"/>
  <c r="AV2873" i="1"/>
  <c r="AW2872" i="1"/>
  <c r="AV2872" i="1"/>
  <c r="AW2871" i="1"/>
  <c r="AV2871" i="1"/>
  <c r="AW2870" i="1"/>
  <c r="AV2870" i="1"/>
  <c r="AW2869" i="1"/>
  <c r="AV2869" i="1"/>
  <c r="AW2868" i="1"/>
  <c r="AV2868" i="1"/>
  <c r="AW2867" i="1"/>
  <c r="AV2867" i="1"/>
  <c r="AW2866" i="1"/>
  <c r="AV2866" i="1"/>
  <c r="AU2866" i="1"/>
  <c r="AW2865" i="1"/>
  <c r="AV2865" i="1"/>
  <c r="AW2864" i="1"/>
  <c r="AV2864" i="1"/>
  <c r="AW2863" i="1"/>
  <c r="AV2863" i="1"/>
  <c r="AU2863" i="1"/>
  <c r="AW2862" i="1"/>
  <c r="AV2862" i="1"/>
  <c r="AW2861" i="1"/>
  <c r="AV2861" i="1"/>
  <c r="AW2860" i="1"/>
  <c r="AV2860" i="1"/>
  <c r="AW2859" i="1"/>
  <c r="AV2859" i="1"/>
  <c r="AU2859" i="1"/>
  <c r="AW2858" i="1"/>
  <c r="AV2858" i="1"/>
  <c r="AW2857" i="1"/>
  <c r="AV2857" i="1"/>
  <c r="AU2857" i="1"/>
  <c r="AW2856" i="1"/>
  <c r="AV2856" i="1"/>
  <c r="AW2855" i="1"/>
  <c r="AV2855" i="1"/>
  <c r="AW2854" i="1"/>
  <c r="AV2854" i="1"/>
  <c r="AU2854" i="1"/>
  <c r="AW2853" i="1"/>
  <c r="AV2853" i="1"/>
  <c r="AU2853" i="1"/>
  <c r="AW2852" i="1"/>
  <c r="AV2852" i="1"/>
  <c r="AU2852" i="1"/>
  <c r="AW2851" i="1"/>
  <c r="AV2851" i="1"/>
  <c r="AU2851" i="1"/>
  <c r="AW2850" i="1"/>
  <c r="AV2850" i="1"/>
  <c r="AW2849" i="1"/>
  <c r="AV2849" i="1"/>
  <c r="AW2848" i="1"/>
  <c r="AV2848" i="1"/>
  <c r="AW2847" i="1"/>
  <c r="AV2847" i="1"/>
  <c r="AW2846" i="1"/>
  <c r="AV2846" i="1"/>
  <c r="AU2846" i="1"/>
  <c r="AW2845" i="1"/>
  <c r="AV2845" i="1"/>
  <c r="AW2844" i="1"/>
  <c r="AV2844" i="1"/>
  <c r="AW2843" i="1"/>
  <c r="AV2843" i="1"/>
  <c r="AW2842" i="1"/>
  <c r="AV2842" i="1"/>
  <c r="AU2842" i="1"/>
  <c r="AW2841" i="1"/>
  <c r="AV2841" i="1"/>
  <c r="AW2840" i="1"/>
  <c r="AV2840" i="1"/>
  <c r="AU2840" i="1"/>
  <c r="AW2839" i="1"/>
  <c r="AV2839" i="1"/>
  <c r="AU2839" i="1"/>
  <c r="AW2838" i="1"/>
  <c r="AV2838" i="1"/>
  <c r="AW2837" i="1"/>
  <c r="AV2837" i="1"/>
  <c r="AW2836" i="1"/>
  <c r="AV2836" i="1"/>
  <c r="AW2835" i="1"/>
  <c r="AV2835" i="1"/>
  <c r="AW2834" i="1"/>
  <c r="AV2834" i="1"/>
  <c r="AW2833" i="1"/>
  <c r="AV2833" i="1"/>
  <c r="AW2832" i="1"/>
  <c r="AV2832" i="1"/>
  <c r="AW2831" i="1"/>
  <c r="AV2831" i="1"/>
  <c r="AW2830" i="1"/>
  <c r="AV2830" i="1"/>
  <c r="AW2829" i="1"/>
  <c r="AV2829" i="1"/>
  <c r="AW2828" i="1"/>
  <c r="AV2828" i="1"/>
  <c r="AW2827" i="1"/>
  <c r="AV2827" i="1"/>
  <c r="AU2827" i="1"/>
  <c r="AW2826" i="1"/>
  <c r="AV2826" i="1"/>
  <c r="AW2825" i="1"/>
  <c r="AV2825" i="1"/>
  <c r="AW2824" i="1"/>
  <c r="AV2824" i="1"/>
  <c r="AU2824" i="1"/>
  <c r="AW2823" i="1"/>
  <c r="AV2823" i="1"/>
  <c r="AW2822" i="1"/>
  <c r="AV2822" i="1"/>
  <c r="AW2821" i="1"/>
  <c r="AV2821" i="1"/>
  <c r="AU2821" i="1"/>
  <c r="AW2820" i="1"/>
  <c r="AV2820" i="1"/>
  <c r="AW2819" i="1"/>
  <c r="AV2819" i="1"/>
  <c r="AW2818" i="1"/>
  <c r="AV2818" i="1"/>
  <c r="AW2817" i="1"/>
  <c r="AV2817" i="1"/>
  <c r="AU2817" i="1"/>
  <c r="AW2816" i="1"/>
  <c r="AV2816" i="1"/>
  <c r="AW2815" i="1"/>
  <c r="AV2815" i="1"/>
  <c r="AW2814" i="1"/>
  <c r="AV2814" i="1"/>
  <c r="AW2813" i="1"/>
  <c r="AV2813" i="1"/>
  <c r="AW2812" i="1"/>
  <c r="AV2812" i="1"/>
  <c r="AW2811" i="1"/>
  <c r="AV2811" i="1"/>
  <c r="AW2810" i="1"/>
  <c r="AV2810" i="1"/>
  <c r="AW2809" i="1"/>
  <c r="AV2809" i="1"/>
  <c r="AW2808" i="1"/>
  <c r="AV2808" i="1"/>
  <c r="AW2807" i="1"/>
  <c r="AV2807" i="1"/>
  <c r="AU2807" i="1"/>
  <c r="AW2806" i="1"/>
  <c r="AV2806" i="1"/>
  <c r="AW2805" i="1"/>
  <c r="AV2805" i="1"/>
  <c r="AW2804" i="1"/>
  <c r="AV2804" i="1"/>
  <c r="AW2803" i="1"/>
  <c r="AV2803" i="1"/>
  <c r="AW2802" i="1"/>
  <c r="AV2802" i="1"/>
  <c r="AW2801" i="1"/>
  <c r="AV2801" i="1"/>
  <c r="AW2800" i="1"/>
  <c r="AV2800" i="1"/>
  <c r="AW2799" i="1"/>
  <c r="AV2799" i="1"/>
  <c r="AW2798" i="1"/>
  <c r="AV2798" i="1"/>
  <c r="AU2798" i="1"/>
  <c r="AW2797" i="1"/>
  <c r="AV2797" i="1"/>
  <c r="AW2796" i="1"/>
  <c r="AV2796" i="1"/>
  <c r="AU2796" i="1"/>
  <c r="AW2795" i="1"/>
  <c r="AV2795" i="1"/>
  <c r="AW2794" i="1"/>
  <c r="AV2794" i="1"/>
  <c r="AW2793" i="1"/>
  <c r="AV2793" i="1"/>
  <c r="AW2792" i="1"/>
  <c r="AV2792" i="1"/>
  <c r="AW2791" i="1"/>
  <c r="AV2791" i="1"/>
  <c r="AW2790" i="1"/>
  <c r="AV2790" i="1"/>
  <c r="AW2789" i="1"/>
  <c r="AV2789" i="1"/>
  <c r="AU2789" i="1"/>
  <c r="AW2788" i="1"/>
  <c r="AV2788" i="1"/>
  <c r="AU2788" i="1"/>
  <c r="AW2787" i="1"/>
  <c r="AV2787" i="1"/>
  <c r="AW2786" i="1"/>
  <c r="AV2786" i="1"/>
  <c r="AW2785" i="1"/>
  <c r="AV2785" i="1"/>
  <c r="AU2785" i="1"/>
  <c r="AW2784" i="1"/>
  <c r="AV2784" i="1"/>
  <c r="AW2783" i="1"/>
  <c r="AV2783" i="1"/>
  <c r="AU2783" i="1"/>
  <c r="AW2782" i="1"/>
  <c r="AV2782" i="1"/>
  <c r="AW2781" i="1"/>
  <c r="AV2781" i="1"/>
  <c r="AW2780" i="1"/>
  <c r="AV2780" i="1"/>
  <c r="AW2779" i="1"/>
  <c r="AV2779" i="1"/>
  <c r="AW2778" i="1"/>
  <c r="AV2778" i="1"/>
  <c r="AU2778" i="1"/>
  <c r="AW2777" i="1"/>
  <c r="AV2777" i="1"/>
  <c r="AW2776" i="1"/>
  <c r="AV2776" i="1"/>
  <c r="AW2775" i="1"/>
  <c r="AV2775" i="1"/>
  <c r="AW2774" i="1"/>
  <c r="AV2774" i="1"/>
  <c r="AW2773" i="1"/>
  <c r="AV2773" i="1"/>
  <c r="AW2772" i="1"/>
  <c r="AV2772" i="1"/>
  <c r="AU2772" i="1"/>
  <c r="AW2771" i="1"/>
  <c r="AV2771" i="1"/>
  <c r="AW2770" i="1"/>
  <c r="AV2770" i="1"/>
  <c r="AW2769" i="1"/>
  <c r="AV2769" i="1"/>
  <c r="AW2768" i="1"/>
  <c r="AV2768" i="1"/>
  <c r="AW2767" i="1"/>
  <c r="AV2767" i="1"/>
  <c r="AW2766" i="1"/>
  <c r="AV2766" i="1"/>
  <c r="AU2766" i="1"/>
  <c r="AW2765" i="1"/>
  <c r="AV2765" i="1"/>
  <c r="AW2764" i="1"/>
  <c r="AV2764" i="1"/>
  <c r="AW2763" i="1"/>
  <c r="AV2763" i="1"/>
  <c r="AW2762" i="1"/>
  <c r="AV2762" i="1"/>
  <c r="AU2762" i="1"/>
  <c r="AW2761" i="1"/>
  <c r="AV2761" i="1"/>
  <c r="AW2760" i="1"/>
  <c r="AV2760" i="1"/>
  <c r="AW2759" i="1"/>
  <c r="AV2759" i="1"/>
  <c r="AW2758" i="1"/>
  <c r="AV2758" i="1"/>
  <c r="AW2757" i="1"/>
  <c r="AV2757" i="1"/>
  <c r="AW2756" i="1"/>
  <c r="AV2756" i="1"/>
  <c r="AW2755" i="1"/>
  <c r="AV2755" i="1"/>
  <c r="AW2754" i="1"/>
  <c r="AV2754" i="1"/>
  <c r="AU2754" i="1"/>
  <c r="AW2753" i="1"/>
  <c r="AV2753" i="1"/>
  <c r="AW2752" i="1"/>
  <c r="AV2752" i="1"/>
  <c r="AW2751" i="1"/>
  <c r="AV2751" i="1"/>
  <c r="AU2751" i="1"/>
  <c r="AW2750" i="1"/>
  <c r="AV2750" i="1"/>
  <c r="AU2750" i="1"/>
  <c r="AW2749" i="1"/>
  <c r="AV2749" i="1"/>
  <c r="AU2749" i="1"/>
  <c r="AW2748" i="1"/>
  <c r="AV2748" i="1"/>
  <c r="AW2747" i="1"/>
  <c r="AV2747" i="1"/>
  <c r="AW2746" i="1"/>
  <c r="AV2746" i="1"/>
  <c r="AW2745" i="1"/>
  <c r="AV2745" i="1"/>
  <c r="AW2744" i="1"/>
  <c r="AV2744" i="1"/>
  <c r="AW2743" i="1"/>
  <c r="AV2743" i="1"/>
  <c r="AU2743" i="1"/>
  <c r="AW2742" i="1"/>
  <c r="AV2742" i="1"/>
  <c r="AU2742" i="1"/>
  <c r="AW2741" i="1"/>
  <c r="AV2741" i="1"/>
  <c r="AW2740" i="1"/>
  <c r="AV2740" i="1"/>
  <c r="AW2739" i="1"/>
  <c r="AV2739" i="1"/>
  <c r="AW2738" i="1"/>
  <c r="AV2738" i="1"/>
  <c r="AW2737" i="1"/>
  <c r="AV2737" i="1"/>
  <c r="AW2736" i="1"/>
  <c r="AV2736" i="1"/>
  <c r="AW2735" i="1"/>
  <c r="AV2735" i="1"/>
  <c r="AW2734" i="1"/>
  <c r="AV2734" i="1"/>
  <c r="AW2733" i="1"/>
  <c r="AV2733" i="1"/>
  <c r="AW2732" i="1"/>
  <c r="AV2732" i="1"/>
  <c r="AW2731" i="1"/>
  <c r="AV2731" i="1"/>
  <c r="AW2730" i="1"/>
  <c r="AV2730" i="1"/>
  <c r="AW2729" i="1"/>
  <c r="AV2729" i="1"/>
  <c r="AW2728" i="1"/>
  <c r="AV2728" i="1"/>
  <c r="AW2727" i="1"/>
  <c r="AV2727" i="1"/>
  <c r="AW2726" i="1"/>
  <c r="AV2726" i="1"/>
  <c r="AW2725" i="1"/>
  <c r="AV2725" i="1"/>
  <c r="AU2725" i="1"/>
  <c r="AW2724" i="1"/>
  <c r="AV2724" i="1"/>
  <c r="AW2723" i="1"/>
  <c r="AV2723" i="1"/>
  <c r="AU2723" i="1"/>
  <c r="AW2722" i="1"/>
  <c r="AV2722" i="1"/>
  <c r="AW2721" i="1"/>
  <c r="AV2721" i="1"/>
  <c r="AW2720" i="1"/>
  <c r="AV2720" i="1"/>
  <c r="AU2720" i="1"/>
  <c r="AW2719" i="1"/>
  <c r="AV2719" i="1"/>
  <c r="AU2719" i="1"/>
  <c r="AW2718" i="1"/>
  <c r="AV2718" i="1"/>
  <c r="AU2718" i="1"/>
  <c r="AW2717" i="1"/>
  <c r="AV2717" i="1"/>
  <c r="AW2716" i="1"/>
  <c r="AV2716" i="1"/>
  <c r="AU2716" i="1"/>
  <c r="AW2715" i="1"/>
  <c r="AV2715" i="1"/>
  <c r="AW2714" i="1"/>
  <c r="AV2714" i="1"/>
  <c r="AW2713" i="1"/>
  <c r="AV2713" i="1"/>
  <c r="AW2712" i="1"/>
  <c r="AV2712" i="1"/>
  <c r="AW2711" i="1"/>
  <c r="AV2711" i="1"/>
  <c r="AW2710" i="1"/>
  <c r="AV2710" i="1"/>
  <c r="AW2709" i="1"/>
  <c r="AV2709" i="1"/>
  <c r="AW2708" i="1"/>
  <c r="AV2708" i="1"/>
  <c r="AW2707" i="1"/>
  <c r="AV2707" i="1"/>
  <c r="AW2706" i="1"/>
  <c r="AV2706" i="1"/>
  <c r="AW2705" i="1"/>
  <c r="AV2705" i="1"/>
  <c r="AW2704" i="1"/>
  <c r="AV2704" i="1"/>
  <c r="AW2703" i="1"/>
  <c r="AV2703" i="1"/>
  <c r="AW2702" i="1"/>
  <c r="AV2702" i="1"/>
  <c r="AW2701" i="1"/>
  <c r="AV2701" i="1"/>
  <c r="AU2701" i="1"/>
  <c r="AW2700" i="1"/>
  <c r="AV2700" i="1"/>
  <c r="AW2699" i="1"/>
  <c r="AV2699" i="1"/>
  <c r="AW2698" i="1"/>
  <c r="AV2698" i="1"/>
  <c r="AW2697" i="1"/>
  <c r="AV2697" i="1"/>
  <c r="AW2696" i="1"/>
  <c r="AV2696" i="1"/>
  <c r="AW2695" i="1"/>
  <c r="AV2695" i="1"/>
  <c r="AW2694" i="1"/>
  <c r="AV2694" i="1"/>
  <c r="AW2693" i="1"/>
  <c r="AV2693" i="1"/>
  <c r="AU2693" i="1"/>
  <c r="AW2692" i="1"/>
  <c r="AV2692" i="1"/>
  <c r="AW2691" i="1"/>
  <c r="AV2691" i="1"/>
  <c r="AW2690" i="1"/>
  <c r="AV2690" i="1"/>
  <c r="AW2689" i="1"/>
  <c r="AV2689" i="1"/>
  <c r="AU2689" i="1"/>
  <c r="AW2688" i="1"/>
  <c r="AV2688" i="1"/>
  <c r="AW2687" i="1"/>
  <c r="AV2687" i="1"/>
  <c r="AU2687" i="1"/>
  <c r="AW2686" i="1"/>
  <c r="AV2686" i="1"/>
  <c r="AW2685" i="1"/>
  <c r="AV2685" i="1"/>
  <c r="AW2684" i="1"/>
  <c r="AV2684" i="1"/>
  <c r="AW2683" i="1"/>
  <c r="AV2683" i="1"/>
  <c r="AW2682" i="1"/>
  <c r="AV2682" i="1"/>
  <c r="AW2681" i="1"/>
  <c r="AV2681" i="1"/>
  <c r="AW2680" i="1"/>
  <c r="AV2680" i="1"/>
  <c r="AW2679" i="1"/>
  <c r="AV2679" i="1"/>
  <c r="AW2678" i="1"/>
  <c r="AV2678" i="1"/>
  <c r="AW2677" i="1"/>
  <c r="AV2677" i="1"/>
  <c r="AW2676" i="1"/>
  <c r="AV2676" i="1"/>
  <c r="AW2675" i="1"/>
  <c r="AV2675" i="1"/>
  <c r="AW2674" i="1"/>
  <c r="AV2674" i="1"/>
  <c r="AW2673" i="1"/>
  <c r="AV2673" i="1"/>
  <c r="AU2673" i="1"/>
  <c r="AW2672" i="1"/>
  <c r="AV2672" i="1"/>
  <c r="AW2671" i="1"/>
  <c r="AV2671" i="1"/>
  <c r="AW2670" i="1"/>
  <c r="AV2670" i="1"/>
  <c r="AW2669" i="1"/>
  <c r="AV2669" i="1"/>
  <c r="AW2668" i="1"/>
  <c r="AV2668" i="1"/>
  <c r="AW2667" i="1"/>
  <c r="AV2667" i="1"/>
  <c r="AW2666" i="1"/>
  <c r="AV2666" i="1"/>
  <c r="AW2665" i="1"/>
  <c r="AV2665" i="1"/>
  <c r="AW2664" i="1"/>
  <c r="AV2664" i="1"/>
  <c r="AW2663" i="1"/>
  <c r="AV2663" i="1"/>
  <c r="AU2663" i="1"/>
  <c r="AW2662" i="1"/>
  <c r="AV2662" i="1"/>
  <c r="AW2661" i="1"/>
  <c r="AV2661" i="1"/>
  <c r="AW2660" i="1"/>
  <c r="AV2660" i="1"/>
  <c r="AW2659" i="1"/>
  <c r="AV2659" i="1"/>
  <c r="AW2658" i="1"/>
  <c r="AV2658" i="1"/>
  <c r="AW2657" i="1"/>
  <c r="AV2657" i="1"/>
  <c r="AU2657" i="1"/>
  <c r="AW2656" i="1"/>
  <c r="AV2656" i="1"/>
  <c r="AU2656" i="1"/>
  <c r="AW2655" i="1"/>
  <c r="AV2655" i="1"/>
  <c r="AW2654" i="1"/>
  <c r="AV2654" i="1"/>
  <c r="AW2653" i="1"/>
  <c r="AV2653" i="1"/>
  <c r="AW2652" i="1"/>
  <c r="AV2652" i="1"/>
  <c r="AW2651" i="1"/>
  <c r="AV2651" i="1"/>
  <c r="AW2650" i="1"/>
  <c r="AV2650" i="1"/>
  <c r="AW2649" i="1"/>
  <c r="AV2649" i="1"/>
  <c r="AW2648" i="1"/>
  <c r="AV2648" i="1"/>
  <c r="AW2647" i="1"/>
  <c r="AV2647" i="1"/>
  <c r="AW2646" i="1"/>
  <c r="AV2646" i="1"/>
  <c r="AU2646" i="1"/>
  <c r="AW2645" i="1"/>
  <c r="AV2645" i="1"/>
  <c r="AW2644" i="1"/>
  <c r="AV2644" i="1"/>
  <c r="AW2643" i="1"/>
  <c r="AV2643" i="1"/>
  <c r="AW2642" i="1"/>
  <c r="AV2642" i="1"/>
  <c r="AU2642" i="1"/>
  <c r="AW2641" i="1"/>
  <c r="AV2641" i="1"/>
  <c r="AU2641" i="1"/>
  <c r="AW2640" i="1"/>
  <c r="AV2640" i="1"/>
  <c r="AW2639" i="1"/>
  <c r="AV2639" i="1"/>
  <c r="AW2638" i="1"/>
  <c r="AV2638" i="1"/>
  <c r="AW2637" i="1"/>
  <c r="AV2637" i="1"/>
  <c r="AU2637" i="1"/>
  <c r="AW2636" i="1"/>
  <c r="AV2636" i="1"/>
  <c r="AU2636" i="1"/>
  <c r="AW2635" i="1"/>
  <c r="AV2635" i="1"/>
  <c r="AU2635" i="1"/>
  <c r="AW2634" i="1"/>
  <c r="AV2634" i="1"/>
  <c r="AU2634" i="1"/>
  <c r="AW2633" i="1"/>
  <c r="AV2633" i="1"/>
  <c r="AW2632" i="1"/>
  <c r="AV2632" i="1"/>
  <c r="AW2631" i="1"/>
  <c r="AV2631" i="1"/>
  <c r="AW2630" i="1"/>
  <c r="AV2630" i="1"/>
  <c r="AW2629" i="1"/>
  <c r="AV2629" i="1"/>
  <c r="AW2628" i="1"/>
  <c r="AV2628" i="1"/>
  <c r="AW2627" i="1"/>
  <c r="AV2627" i="1"/>
  <c r="AW2626" i="1"/>
  <c r="AV2626" i="1"/>
  <c r="AW2625" i="1"/>
  <c r="AV2625" i="1"/>
  <c r="AW2624" i="1"/>
  <c r="AV2624" i="1"/>
  <c r="AW2623" i="1"/>
  <c r="AV2623" i="1"/>
  <c r="AW2622" i="1"/>
  <c r="AV2622" i="1"/>
  <c r="AW2621" i="1"/>
  <c r="AV2621" i="1"/>
  <c r="AW2620" i="1"/>
  <c r="AV2620" i="1"/>
  <c r="AW2619" i="1"/>
  <c r="AV2619" i="1"/>
  <c r="AW2618" i="1"/>
  <c r="AV2618" i="1"/>
  <c r="AW2617" i="1"/>
  <c r="AV2617" i="1"/>
  <c r="AW2616" i="1"/>
  <c r="AV2616" i="1"/>
  <c r="AU2616" i="1"/>
  <c r="AW2615" i="1"/>
  <c r="AV2615" i="1"/>
  <c r="AW2614" i="1"/>
  <c r="AV2614" i="1"/>
  <c r="AW2613" i="1"/>
  <c r="AV2613" i="1"/>
  <c r="AW2612" i="1"/>
  <c r="AV2612" i="1"/>
  <c r="AW2611" i="1"/>
  <c r="AV2611" i="1"/>
  <c r="AU2611" i="1"/>
  <c r="AW2610" i="1"/>
  <c r="AV2610" i="1"/>
  <c r="AW2609" i="1"/>
  <c r="AV2609" i="1"/>
  <c r="AW2608" i="1"/>
  <c r="AV2608" i="1"/>
  <c r="AU2608" i="1"/>
  <c r="AW2607" i="1"/>
  <c r="AV2607" i="1"/>
  <c r="AW2606" i="1"/>
  <c r="AV2606" i="1"/>
  <c r="AW2605" i="1"/>
  <c r="AV2605" i="1"/>
  <c r="AW2604" i="1"/>
  <c r="AV2604" i="1"/>
  <c r="AW2603" i="1"/>
  <c r="AV2603" i="1"/>
  <c r="AW2602" i="1"/>
  <c r="AV2602" i="1"/>
  <c r="AU2602" i="1"/>
  <c r="AW2601" i="1"/>
  <c r="AV2601" i="1"/>
  <c r="AW2600" i="1"/>
  <c r="AV2600" i="1"/>
  <c r="AU2600" i="1"/>
  <c r="AW2599" i="1"/>
  <c r="AV2599" i="1"/>
  <c r="AW2598" i="1"/>
  <c r="AV2598" i="1"/>
  <c r="AW2597" i="1"/>
  <c r="AV2597" i="1"/>
  <c r="AW2596" i="1"/>
  <c r="AV2596" i="1"/>
  <c r="AW2595" i="1"/>
  <c r="AV2595" i="1"/>
  <c r="AW2594" i="1"/>
  <c r="AV2594" i="1"/>
  <c r="AW2593" i="1"/>
  <c r="AV2593" i="1"/>
  <c r="AU2593" i="1"/>
  <c r="AW2592" i="1"/>
  <c r="AV2592" i="1"/>
  <c r="AW2591" i="1"/>
  <c r="AV2591" i="1"/>
  <c r="AW2590" i="1"/>
  <c r="AV2590" i="1"/>
  <c r="AU2590" i="1"/>
  <c r="AW2589" i="1"/>
  <c r="AV2589" i="1"/>
  <c r="AU2589" i="1"/>
  <c r="AW2588" i="1"/>
  <c r="AV2588" i="1"/>
  <c r="AU2588" i="1"/>
  <c r="AW2587" i="1"/>
  <c r="AV2587" i="1"/>
  <c r="AU2587" i="1"/>
  <c r="AW2586" i="1"/>
  <c r="AV2586" i="1"/>
  <c r="AW2585" i="1"/>
  <c r="AV2585" i="1"/>
  <c r="AU2585" i="1"/>
  <c r="AW2584" i="1"/>
  <c r="AV2584" i="1"/>
  <c r="AU2584" i="1"/>
  <c r="AW2583" i="1"/>
  <c r="AV2583" i="1"/>
  <c r="AW2582" i="1"/>
  <c r="AV2582" i="1"/>
  <c r="AU2582" i="1"/>
  <c r="AW2581" i="1"/>
  <c r="AV2581" i="1"/>
  <c r="AU2581" i="1"/>
  <c r="AW2580" i="1"/>
  <c r="AV2580" i="1"/>
  <c r="AU2580" i="1"/>
  <c r="AW2579" i="1"/>
  <c r="AV2579" i="1"/>
  <c r="AU2579" i="1"/>
  <c r="AW2578" i="1"/>
  <c r="AV2578" i="1"/>
  <c r="AW2577" i="1"/>
  <c r="AV2577" i="1"/>
  <c r="AU2577" i="1"/>
  <c r="AW2576" i="1"/>
  <c r="AV2576" i="1"/>
  <c r="AU2576" i="1"/>
  <c r="AW2575" i="1"/>
  <c r="AV2575" i="1"/>
  <c r="AU2575" i="1"/>
  <c r="AW2574" i="1"/>
  <c r="AV2574" i="1"/>
  <c r="AW2573" i="1"/>
  <c r="AV2573" i="1"/>
  <c r="AU2573" i="1"/>
  <c r="AW2572" i="1"/>
  <c r="AV2572" i="1"/>
  <c r="AU2572" i="1"/>
  <c r="AW2571" i="1"/>
  <c r="AV2571" i="1"/>
  <c r="AW2570" i="1"/>
  <c r="AV2570" i="1"/>
  <c r="AU2570" i="1"/>
  <c r="AW2569" i="1"/>
  <c r="AV2569" i="1"/>
  <c r="AW2568" i="1"/>
  <c r="AV2568" i="1"/>
  <c r="AW2567" i="1"/>
  <c r="AV2567" i="1"/>
  <c r="AW2566" i="1"/>
  <c r="AV2566" i="1"/>
  <c r="AU2566" i="1"/>
  <c r="AW2565" i="1"/>
  <c r="AV2565" i="1"/>
  <c r="AW2564" i="1"/>
  <c r="AV2564" i="1"/>
  <c r="AW2563" i="1"/>
  <c r="AV2563" i="1"/>
  <c r="AW2562" i="1"/>
  <c r="AV2562" i="1"/>
  <c r="AW2561" i="1"/>
  <c r="AV2561" i="1"/>
  <c r="AU2561" i="1"/>
  <c r="AW2560" i="1"/>
  <c r="AV2560" i="1"/>
  <c r="AW2559" i="1"/>
  <c r="AV2559" i="1"/>
  <c r="AW2558" i="1"/>
  <c r="AV2558" i="1"/>
  <c r="AW2557" i="1"/>
  <c r="AV2557" i="1"/>
  <c r="AW2556" i="1"/>
  <c r="AV2556" i="1"/>
  <c r="AU2556" i="1"/>
  <c r="AW2555" i="1"/>
  <c r="AV2555" i="1"/>
  <c r="AW2554" i="1"/>
  <c r="AV2554" i="1"/>
  <c r="AW2553" i="1"/>
  <c r="AV2553" i="1"/>
  <c r="AW2552" i="1"/>
  <c r="AV2552" i="1"/>
  <c r="AW2551" i="1"/>
  <c r="AV2551" i="1"/>
  <c r="AW2550" i="1"/>
  <c r="AV2550" i="1"/>
  <c r="AW2549" i="1"/>
  <c r="AV2549" i="1"/>
  <c r="AU2549" i="1"/>
  <c r="AW2548" i="1"/>
  <c r="AV2548" i="1"/>
  <c r="AW2547" i="1"/>
  <c r="AV2547" i="1"/>
  <c r="AW2546" i="1"/>
  <c r="AV2546" i="1"/>
  <c r="AW2545" i="1"/>
  <c r="AV2545" i="1"/>
  <c r="AU2545" i="1"/>
  <c r="AW2544" i="1"/>
  <c r="AV2544" i="1"/>
  <c r="AW2543" i="1"/>
  <c r="AV2543" i="1"/>
  <c r="AW2542" i="1"/>
  <c r="AV2542" i="1"/>
  <c r="AU2542" i="1"/>
  <c r="AW2541" i="1"/>
  <c r="AV2541" i="1"/>
  <c r="AU2541" i="1"/>
  <c r="AW2540" i="1"/>
  <c r="AV2540" i="1"/>
  <c r="AW2539" i="1"/>
  <c r="AV2539" i="1"/>
  <c r="AW2538" i="1"/>
  <c r="AV2538" i="1"/>
  <c r="AU2538" i="1"/>
  <c r="AW2537" i="1"/>
  <c r="AV2537" i="1"/>
  <c r="AW2536" i="1"/>
  <c r="AV2536" i="1"/>
  <c r="AW2535" i="1"/>
  <c r="AV2535" i="1"/>
  <c r="AU2535" i="1"/>
  <c r="AW2534" i="1"/>
  <c r="AV2534" i="1"/>
  <c r="AW2533" i="1"/>
  <c r="AV2533" i="1"/>
  <c r="AW2532" i="1"/>
  <c r="AV2532" i="1"/>
  <c r="AW2531" i="1"/>
  <c r="AV2531" i="1"/>
  <c r="AW2530" i="1"/>
  <c r="AV2530" i="1"/>
  <c r="AW2529" i="1"/>
  <c r="AV2529" i="1"/>
  <c r="AW2528" i="1"/>
  <c r="AV2528" i="1"/>
  <c r="AW2527" i="1"/>
  <c r="AV2527" i="1"/>
  <c r="AW2526" i="1"/>
  <c r="AV2526" i="1"/>
  <c r="AW2525" i="1"/>
  <c r="AV2525" i="1"/>
  <c r="AW2524" i="1"/>
  <c r="AV2524" i="1"/>
  <c r="AW2523" i="1"/>
  <c r="AV2523" i="1"/>
  <c r="AW2522" i="1"/>
  <c r="AV2522" i="1"/>
  <c r="AW2521" i="1"/>
  <c r="AV2521" i="1"/>
  <c r="AW2520" i="1"/>
  <c r="AV2520" i="1"/>
  <c r="AW2519" i="1"/>
  <c r="AV2519" i="1"/>
  <c r="AU2519" i="1"/>
  <c r="AW2518" i="1"/>
  <c r="AV2518" i="1"/>
  <c r="AW2517" i="1"/>
  <c r="AV2517" i="1"/>
  <c r="AW2516" i="1"/>
  <c r="AV2516" i="1"/>
  <c r="AW2515" i="1"/>
  <c r="AV2515" i="1"/>
  <c r="AU2515" i="1"/>
  <c r="AW2514" i="1"/>
  <c r="AV2514" i="1"/>
  <c r="AW2513" i="1"/>
  <c r="AV2513" i="1"/>
  <c r="AW2512" i="1"/>
  <c r="AV2512" i="1"/>
  <c r="AW2511" i="1"/>
  <c r="AV2511" i="1"/>
  <c r="AW2510" i="1"/>
  <c r="AV2510" i="1"/>
  <c r="AU2510" i="1"/>
  <c r="AW2509" i="1"/>
  <c r="AV2509" i="1"/>
  <c r="AW2508" i="1"/>
  <c r="AV2508" i="1"/>
  <c r="AW2507" i="1"/>
  <c r="AV2507" i="1"/>
  <c r="AW2506" i="1"/>
  <c r="AV2506" i="1"/>
  <c r="AW2505" i="1"/>
  <c r="AV2505" i="1"/>
  <c r="AW2504" i="1"/>
  <c r="AV2504" i="1"/>
  <c r="AW2503" i="1"/>
  <c r="AV2503" i="1"/>
  <c r="AW2502" i="1"/>
  <c r="AV2502" i="1"/>
  <c r="AW2501" i="1"/>
  <c r="AV2501" i="1"/>
  <c r="AU2501" i="1"/>
  <c r="AW2500" i="1"/>
  <c r="AV2500" i="1"/>
  <c r="AU2500" i="1"/>
  <c r="AW2499" i="1"/>
  <c r="AV2499" i="1"/>
  <c r="AU2499" i="1"/>
  <c r="AW2498" i="1"/>
  <c r="AV2498" i="1"/>
  <c r="AW2497" i="1"/>
  <c r="AV2497" i="1"/>
  <c r="AW2496" i="1"/>
  <c r="AV2496" i="1"/>
  <c r="AU2496" i="1"/>
  <c r="AW2495" i="1"/>
  <c r="AV2495" i="1"/>
  <c r="AU2495" i="1"/>
  <c r="AW2494" i="1"/>
  <c r="AV2494" i="1"/>
  <c r="AU2494" i="1"/>
  <c r="AW2493" i="1"/>
  <c r="AV2493" i="1"/>
  <c r="AW2492" i="1"/>
  <c r="AV2492" i="1"/>
  <c r="AW2491" i="1"/>
  <c r="AV2491" i="1"/>
  <c r="AU2491" i="1"/>
  <c r="AW2490" i="1"/>
  <c r="AV2490" i="1"/>
  <c r="AU2490" i="1"/>
  <c r="AW2489" i="1"/>
  <c r="AV2489" i="1"/>
  <c r="AU2489" i="1"/>
  <c r="AW2488" i="1"/>
  <c r="AV2488" i="1"/>
  <c r="AU2488" i="1"/>
  <c r="AW2487" i="1"/>
  <c r="AV2487" i="1"/>
  <c r="AW2486" i="1"/>
  <c r="AV2486" i="1"/>
  <c r="AU2486" i="1"/>
  <c r="AW2485" i="1"/>
  <c r="AV2485" i="1"/>
  <c r="AU2485" i="1"/>
  <c r="AW2484" i="1"/>
  <c r="AV2484" i="1"/>
  <c r="AW2483" i="1"/>
  <c r="AV2483" i="1"/>
  <c r="AW2482" i="1"/>
  <c r="AV2482" i="1"/>
  <c r="AW2481" i="1"/>
  <c r="AV2481" i="1"/>
  <c r="AW2480" i="1"/>
  <c r="AV2480" i="1"/>
  <c r="AW2479" i="1"/>
  <c r="AV2479" i="1"/>
  <c r="AW2478" i="1"/>
  <c r="AV2478" i="1"/>
  <c r="AW2477" i="1"/>
  <c r="AV2477" i="1"/>
  <c r="AW2476" i="1"/>
  <c r="AV2476" i="1"/>
  <c r="AU2476" i="1"/>
  <c r="AW2475" i="1"/>
  <c r="AV2475" i="1"/>
  <c r="AW2474" i="1"/>
  <c r="AV2474" i="1"/>
  <c r="AW2473" i="1"/>
  <c r="AV2473" i="1"/>
  <c r="AW2472" i="1"/>
  <c r="AV2472" i="1"/>
  <c r="AU2472" i="1"/>
  <c r="AW2471" i="1"/>
  <c r="AV2471" i="1"/>
  <c r="AU2471" i="1"/>
  <c r="AW2470" i="1"/>
  <c r="AV2470" i="1"/>
  <c r="AW2469" i="1"/>
  <c r="AV2469" i="1"/>
  <c r="AU2469" i="1"/>
  <c r="AW2468" i="1"/>
  <c r="AV2468" i="1"/>
  <c r="AW2467" i="1"/>
  <c r="AV2467" i="1"/>
  <c r="AW2466" i="1"/>
  <c r="AV2466" i="1"/>
  <c r="AW2465" i="1"/>
  <c r="AV2465" i="1"/>
  <c r="AU2465" i="1"/>
  <c r="AW2464" i="1"/>
  <c r="AV2464" i="1"/>
  <c r="AU2464" i="1"/>
  <c r="AW2463" i="1"/>
  <c r="AV2463" i="1"/>
  <c r="AU2463" i="1"/>
  <c r="AW2462" i="1"/>
  <c r="AV2462" i="1"/>
  <c r="AW2461" i="1"/>
  <c r="AV2461" i="1"/>
  <c r="AW2460" i="1"/>
  <c r="AV2460" i="1"/>
  <c r="AW2459" i="1"/>
  <c r="AV2459" i="1"/>
  <c r="AU2459" i="1"/>
  <c r="AW2458" i="1"/>
  <c r="AV2458" i="1"/>
  <c r="AU2458" i="1"/>
  <c r="AW2457" i="1"/>
  <c r="AV2457" i="1"/>
  <c r="AW2456" i="1"/>
  <c r="AV2456" i="1"/>
  <c r="AU2456" i="1"/>
  <c r="AW2455" i="1"/>
  <c r="AV2455" i="1"/>
  <c r="AU2455" i="1"/>
  <c r="AW2454" i="1"/>
  <c r="AV2454" i="1"/>
  <c r="AW2453" i="1"/>
  <c r="AV2453" i="1"/>
  <c r="AW2452" i="1"/>
  <c r="AV2452" i="1"/>
  <c r="AW2451" i="1"/>
  <c r="AV2451" i="1"/>
  <c r="AU2451" i="1"/>
  <c r="AW2450" i="1"/>
  <c r="AV2450" i="1"/>
  <c r="AW2449" i="1"/>
  <c r="AV2449" i="1"/>
  <c r="AW2448" i="1"/>
  <c r="AV2448" i="1"/>
  <c r="AW2447" i="1"/>
  <c r="AV2447" i="1"/>
  <c r="AW2446" i="1"/>
  <c r="AV2446" i="1"/>
  <c r="AW2445" i="1"/>
  <c r="AV2445" i="1"/>
  <c r="AW2444" i="1"/>
  <c r="AV2444" i="1"/>
  <c r="AW2443" i="1"/>
  <c r="AV2443" i="1"/>
  <c r="AW2442" i="1"/>
  <c r="AV2442" i="1"/>
  <c r="AW2441" i="1"/>
  <c r="AV2441" i="1"/>
  <c r="AU2441" i="1"/>
  <c r="AW2440" i="1"/>
  <c r="AV2440" i="1"/>
  <c r="AW2439" i="1"/>
  <c r="AV2439" i="1"/>
  <c r="AW2438" i="1"/>
  <c r="AV2438" i="1"/>
  <c r="AW2437" i="1"/>
  <c r="AV2437" i="1"/>
  <c r="AW2436" i="1"/>
  <c r="AV2436" i="1"/>
  <c r="AU2436" i="1"/>
  <c r="AW2435" i="1"/>
  <c r="AV2435" i="1"/>
  <c r="AW2434" i="1"/>
  <c r="AV2434" i="1"/>
  <c r="AU2434" i="1"/>
  <c r="AW2433" i="1"/>
  <c r="AV2433" i="1"/>
  <c r="AW2432" i="1"/>
  <c r="AV2432" i="1"/>
  <c r="AW2431" i="1"/>
  <c r="AV2431" i="1"/>
  <c r="AU2431" i="1"/>
  <c r="AW2430" i="1"/>
  <c r="AV2430" i="1"/>
  <c r="AU2430" i="1"/>
  <c r="AW2429" i="1"/>
  <c r="AV2429" i="1"/>
  <c r="AW2428" i="1"/>
  <c r="AV2428" i="1"/>
  <c r="AU2428" i="1"/>
  <c r="AW2427" i="1"/>
  <c r="AV2427" i="1"/>
  <c r="AW2426" i="1"/>
  <c r="AV2426" i="1"/>
  <c r="AW2425" i="1"/>
  <c r="AV2425" i="1"/>
  <c r="AU2425" i="1"/>
  <c r="AW2424" i="1"/>
  <c r="AV2424" i="1"/>
  <c r="AW2423" i="1"/>
  <c r="AV2423" i="1"/>
  <c r="AW2422" i="1"/>
  <c r="AV2422" i="1"/>
  <c r="AW2421" i="1"/>
  <c r="AV2421" i="1"/>
  <c r="AW2420" i="1"/>
  <c r="AV2420" i="1"/>
  <c r="AW2419" i="1"/>
  <c r="AV2419" i="1"/>
  <c r="AW2418" i="1"/>
  <c r="AV2418" i="1"/>
  <c r="AW2417" i="1"/>
  <c r="AV2417" i="1"/>
  <c r="AU2417" i="1"/>
  <c r="AW2416" i="1"/>
  <c r="AV2416" i="1"/>
  <c r="AU2416" i="1"/>
  <c r="AW2415" i="1"/>
  <c r="AV2415" i="1"/>
  <c r="AW2414" i="1"/>
  <c r="AV2414" i="1"/>
  <c r="AW2413" i="1"/>
  <c r="AV2413" i="1"/>
  <c r="AU2413" i="1"/>
  <c r="AW2412" i="1"/>
  <c r="AV2412" i="1"/>
  <c r="AW2411" i="1"/>
  <c r="AV2411" i="1"/>
  <c r="AW2410" i="1"/>
  <c r="AV2410" i="1"/>
  <c r="AW2409" i="1"/>
  <c r="AV2409" i="1"/>
  <c r="AW2408" i="1"/>
  <c r="AV2408" i="1"/>
  <c r="AU2408" i="1"/>
  <c r="AW2407" i="1"/>
  <c r="AV2407" i="1"/>
  <c r="AW2406" i="1"/>
  <c r="AV2406" i="1"/>
  <c r="AW2405" i="1"/>
  <c r="AV2405" i="1"/>
  <c r="AU2405" i="1"/>
  <c r="AW2404" i="1"/>
  <c r="AV2404" i="1"/>
  <c r="AW2403" i="1"/>
  <c r="AV2403" i="1"/>
  <c r="AU2403" i="1"/>
  <c r="AW2402" i="1"/>
  <c r="AV2402" i="1"/>
  <c r="AW2401" i="1"/>
  <c r="AV2401" i="1"/>
  <c r="AW2400" i="1"/>
  <c r="AV2400" i="1"/>
  <c r="AU2400" i="1"/>
  <c r="AW2399" i="1"/>
  <c r="AV2399" i="1"/>
  <c r="AU2399" i="1"/>
  <c r="AW2398" i="1"/>
  <c r="AV2398" i="1"/>
  <c r="AW2397" i="1"/>
  <c r="AV2397" i="1"/>
  <c r="AU2397" i="1"/>
  <c r="AW2396" i="1"/>
  <c r="AV2396" i="1"/>
  <c r="AW2395" i="1"/>
  <c r="AV2395" i="1"/>
  <c r="AW2394" i="1"/>
  <c r="AV2394" i="1"/>
  <c r="AW2393" i="1"/>
  <c r="AV2393" i="1"/>
  <c r="AW2392" i="1"/>
  <c r="AV2392" i="1"/>
  <c r="AW2391" i="1"/>
  <c r="AV2391" i="1"/>
  <c r="AW2390" i="1"/>
  <c r="AV2390" i="1"/>
  <c r="AU2390" i="1"/>
  <c r="AW2389" i="1"/>
  <c r="AV2389" i="1"/>
  <c r="AU2389" i="1"/>
  <c r="AW2388" i="1"/>
  <c r="AV2388" i="1"/>
  <c r="AW2387" i="1"/>
  <c r="AV2387" i="1"/>
  <c r="AU2387" i="1"/>
  <c r="AW2386" i="1"/>
  <c r="AV2386" i="1"/>
  <c r="AW2385" i="1"/>
  <c r="AV2385" i="1"/>
  <c r="AW2384" i="1"/>
  <c r="AV2384" i="1"/>
  <c r="AU2384" i="1"/>
  <c r="AW2383" i="1"/>
  <c r="AV2383" i="1"/>
  <c r="AU2383" i="1"/>
  <c r="AW2382" i="1"/>
  <c r="AV2382" i="1"/>
  <c r="AU2382" i="1"/>
  <c r="AW2381" i="1"/>
  <c r="AV2381" i="1"/>
  <c r="AW2380" i="1"/>
  <c r="AV2380" i="1"/>
  <c r="AU2380" i="1"/>
  <c r="AW2379" i="1"/>
  <c r="AV2379" i="1"/>
  <c r="AU2379" i="1"/>
  <c r="AW2378" i="1"/>
  <c r="AV2378" i="1"/>
  <c r="AU2378" i="1"/>
  <c r="AW2377" i="1"/>
  <c r="AV2377" i="1"/>
  <c r="AU2377" i="1"/>
  <c r="AW2376" i="1"/>
  <c r="AV2376" i="1"/>
  <c r="AU2376" i="1"/>
  <c r="AW2375" i="1"/>
  <c r="AV2375" i="1"/>
  <c r="AU2375" i="1"/>
  <c r="AW2374" i="1"/>
  <c r="AV2374" i="1"/>
  <c r="AW2373" i="1"/>
  <c r="AV2373" i="1"/>
  <c r="AU2373" i="1"/>
  <c r="AW2372" i="1"/>
  <c r="AV2372" i="1"/>
  <c r="AU2372" i="1"/>
  <c r="AW2371" i="1"/>
  <c r="AV2371" i="1"/>
  <c r="AW2370" i="1"/>
  <c r="AV2370" i="1"/>
  <c r="AW2369" i="1"/>
  <c r="AV2369" i="1"/>
  <c r="AW2368" i="1"/>
  <c r="AV2368" i="1"/>
  <c r="AU2368" i="1"/>
  <c r="AW2367" i="1"/>
  <c r="AV2367" i="1"/>
  <c r="AW2366" i="1"/>
  <c r="AV2366" i="1"/>
  <c r="AU2366" i="1"/>
  <c r="AW2365" i="1"/>
  <c r="AV2365" i="1"/>
  <c r="AW2364" i="1"/>
  <c r="AV2364" i="1"/>
  <c r="AW2363" i="1"/>
  <c r="AV2363" i="1"/>
  <c r="AU2363" i="1"/>
  <c r="AW2362" i="1"/>
  <c r="AV2362" i="1"/>
  <c r="AW2361" i="1"/>
  <c r="AV2361" i="1"/>
  <c r="AW2360" i="1"/>
  <c r="AV2360" i="1"/>
  <c r="AW2359" i="1"/>
  <c r="AV2359" i="1"/>
  <c r="AW2358" i="1"/>
  <c r="AV2358" i="1"/>
  <c r="AW2357" i="1"/>
  <c r="AV2357" i="1"/>
  <c r="AW2356" i="1"/>
  <c r="AV2356" i="1"/>
  <c r="AW2355" i="1"/>
  <c r="AV2355" i="1"/>
  <c r="AW2354" i="1"/>
  <c r="AV2354" i="1"/>
  <c r="AW2353" i="1"/>
  <c r="AV2353" i="1"/>
  <c r="AW2352" i="1"/>
  <c r="AV2352" i="1"/>
  <c r="AU2352" i="1"/>
  <c r="AW2351" i="1"/>
  <c r="AV2351" i="1"/>
  <c r="AW2350" i="1"/>
  <c r="AV2350" i="1"/>
  <c r="AU2350" i="1"/>
  <c r="AW2349" i="1"/>
  <c r="AV2349" i="1"/>
  <c r="AW2348" i="1"/>
  <c r="AV2348" i="1"/>
  <c r="AW2347" i="1"/>
  <c r="AV2347" i="1"/>
  <c r="AW2346" i="1"/>
  <c r="AV2346" i="1"/>
  <c r="AU2346" i="1"/>
  <c r="AW2345" i="1"/>
  <c r="AV2345" i="1"/>
  <c r="AW2344" i="1"/>
  <c r="AV2344" i="1"/>
  <c r="AW2343" i="1"/>
  <c r="AV2343" i="1"/>
  <c r="AU2343" i="1"/>
  <c r="AW2342" i="1"/>
  <c r="AV2342" i="1"/>
  <c r="AW2341" i="1"/>
  <c r="AV2341" i="1"/>
  <c r="AW2340" i="1"/>
  <c r="AV2340" i="1"/>
  <c r="AW2339" i="1"/>
  <c r="AV2339" i="1"/>
  <c r="AW2338" i="1"/>
  <c r="AV2338" i="1"/>
  <c r="AW2337" i="1"/>
  <c r="AV2337" i="1"/>
  <c r="AW2336" i="1"/>
  <c r="AV2336" i="1"/>
  <c r="AW2335" i="1"/>
  <c r="AV2335" i="1"/>
  <c r="AW2334" i="1"/>
  <c r="AV2334" i="1"/>
  <c r="AW2333" i="1"/>
  <c r="AV2333" i="1"/>
  <c r="AW2332" i="1"/>
  <c r="AV2332" i="1"/>
  <c r="AW2331" i="1"/>
  <c r="AV2331" i="1"/>
  <c r="AW2330" i="1"/>
  <c r="AV2330" i="1"/>
  <c r="AW2329" i="1"/>
  <c r="AV2329" i="1"/>
  <c r="AW2328" i="1"/>
  <c r="AV2328" i="1"/>
  <c r="AU2328" i="1"/>
  <c r="AW2327" i="1"/>
  <c r="AV2327" i="1"/>
  <c r="AU2327" i="1"/>
  <c r="AW2326" i="1"/>
  <c r="AV2326" i="1"/>
  <c r="AU2326" i="1"/>
  <c r="AW2325" i="1"/>
  <c r="AV2325" i="1"/>
  <c r="AW2324" i="1"/>
  <c r="AV2324" i="1"/>
  <c r="AW2323" i="1"/>
  <c r="AV2323" i="1"/>
  <c r="AW2322" i="1"/>
  <c r="AV2322" i="1"/>
  <c r="AW2321" i="1"/>
  <c r="AV2321" i="1"/>
  <c r="AW2320" i="1"/>
  <c r="AV2320" i="1"/>
  <c r="AW2319" i="1"/>
  <c r="AV2319" i="1"/>
  <c r="AU2319" i="1"/>
  <c r="AW2318" i="1"/>
  <c r="AV2318" i="1"/>
  <c r="AW2317" i="1"/>
  <c r="AV2317" i="1"/>
  <c r="AU2317" i="1"/>
  <c r="AW2316" i="1"/>
  <c r="AV2316" i="1"/>
  <c r="AW2315" i="1"/>
  <c r="AV2315" i="1"/>
  <c r="AW2314" i="1"/>
  <c r="AV2314" i="1"/>
  <c r="AU2314" i="1"/>
  <c r="AW2313" i="1"/>
  <c r="AV2313" i="1"/>
  <c r="AU2313" i="1"/>
  <c r="AW2312" i="1"/>
  <c r="AV2312" i="1"/>
  <c r="AW2311" i="1"/>
  <c r="AV2311" i="1"/>
  <c r="AW2310" i="1"/>
  <c r="AV2310" i="1"/>
  <c r="AW2309" i="1"/>
  <c r="AV2309" i="1"/>
  <c r="AW2308" i="1"/>
  <c r="AV2308" i="1"/>
  <c r="AW2307" i="1"/>
  <c r="AV2307" i="1"/>
  <c r="AW2306" i="1"/>
  <c r="AV2306" i="1"/>
  <c r="AW2305" i="1"/>
  <c r="AV2305" i="1"/>
  <c r="AW2304" i="1"/>
  <c r="AV2304" i="1"/>
  <c r="AU2304" i="1"/>
  <c r="AW2303" i="1"/>
  <c r="AV2303" i="1"/>
  <c r="AW2302" i="1"/>
  <c r="AV2302" i="1"/>
  <c r="AW2301" i="1"/>
  <c r="AV2301" i="1"/>
  <c r="AU2301" i="1"/>
  <c r="AW2300" i="1"/>
  <c r="AV2300" i="1"/>
  <c r="AW2299" i="1"/>
  <c r="AV2299" i="1"/>
  <c r="AU2299" i="1"/>
  <c r="AW2298" i="1"/>
  <c r="AV2298" i="1"/>
  <c r="AW2297" i="1"/>
  <c r="AV2297" i="1"/>
  <c r="AW2296" i="1"/>
  <c r="AV2296" i="1"/>
  <c r="AW2295" i="1"/>
  <c r="AV2295" i="1"/>
  <c r="AU2295" i="1"/>
  <c r="AW2294" i="1"/>
  <c r="AV2294" i="1"/>
  <c r="AW2293" i="1"/>
  <c r="AV2293" i="1"/>
  <c r="AU2293" i="1"/>
  <c r="AW2292" i="1"/>
  <c r="AV2292" i="1"/>
  <c r="AW2291" i="1"/>
  <c r="AV2291" i="1"/>
  <c r="AW2290" i="1"/>
  <c r="AV2290" i="1"/>
  <c r="AU2290" i="1"/>
  <c r="AW2289" i="1"/>
  <c r="AV2289" i="1"/>
  <c r="AU2289" i="1"/>
  <c r="AW2288" i="1"/>
  <c r="AV2288" i="1"/>
  <c r="AU2288" i="1"/>
  <c r="AW2287" i="1"/>
  <c r="AV2287" i="1"/>
  <c r="AW2286" i="1"/>
  <c r="AV2286" i="1"/>
  <c r="AW2285" i="1"/>
  <c r="AV2285" i="1"/>
  <c r="AW2284" i="1"/>
  <c r="AV2284" i="1"/>
  <c r="AU2284" i="1"/>
  <c r="AW2283" i="1"/>
  <c r="AV2283" i="1"/>
  <c r="AU2283" i="1"/>
  <c r="AW2282" i="1"/>
  <c r="AV2282" i="1"/>
  <c r="AW2281" i="1"/>
  <c r="AV2281" i="1"/>
  <c r="AW2280" i="1"/>
  <c r="AV2280" i="1"/>
  <c r="AW2279" i="1"/>
  <c r="AV2279" i="1"/>
  <c r="AW2278" i="1"/>
  <c r="AV2278" i="1"/>
  <c r="AW2277" i="1"/>
  <c r="AV2277" i="1"/>
  <c r="AW2276" i="1"/>
  <c r="AV2276" i="1"/>
  <c r="AW2275" i="1"/>
  <c r="AV2275" i="1"/>
  <c r="AW2274" i="1"/>
  <c r="AV2274" i="1"/>
  <c r="AW2273" i="1"/>
  <c r="AV2273" i="1"/>
  <c r="AW2272" i="1"/>
  <c r="AV2272" i="1"/>
  <c r="AU2272" i="1"/>
  <c r="AW2271" i="1"/>
  <c r="AV2271" i="1"/>
  <c r="AW2270" i="1"/>
  <c r="AV2270" i="1"/>
  <c r="AW2269" i="1"/>
  <c r="AV2269" i="1"/>
  <c r="AW2268" i="1"/>
  <c r="AV2268" i="1"/>
  <c r="AW2267" i="1"/>
  <c r="AV2267" i="1"/>
  <c r="AU2267" i="1"/>
  <c r="AW2266" i="1"/>
  <c r="AV2266" i="1"/>
  <c r="AW2265" i="1"/>
  <c r="AV2265" i="1"/>
  <c r="AW2264" i="1"/>
  <c r="AV2264" i="1"/>
  <c r="AW2263" i="1"/>
  <c r="AV2263" i="1"/>
  <c r="AW2262" i="1"/>
  <c r="AV2262" i="1"/>
  <c r="AW2261" i="1"/>
  <c r="AV2261" i="1"/>
  <c r="AW2260" i="1"/>
  <c r="AV2260" i="1"/>
  <c r="AW2259" i="1"/>
  <c r="AV2259" i="1"/>
  <c r="AU2259" i="1"/>
  <c r="AW2258" i="1"/>
  <c r="AV2258" i="1"/>
  <c r="AU2258" i="1"/>
  <c r="AW2257" i="1"/>
  <c r="AV2257" i="1"/>
  <c r="AU2257" i="1"/>
  <c r="AW2256" i="1"/>
  <c r="AV2256" i="1"/>
  <c r="AW2255" i="1"/>
  <c r="AV2255" i="1"/>
  <c r="AW2254" i="1"/>
  <c r="AV2254" i="1"/>
  <c r="AU2254" i="1"/>
  <c r="AW2253" i="1"/>
  <c r="AV2253" i="1"/>
  <c r="AW2252" i="1"/>
  <c r="AV2252" i="1"/>
  <c r="AW2251" i="1"/>
  <c r="AV2251" i="1"/>
  <c r="AW2250" i="1"/>
  <c r="AV2250" i="1"/>
  <c r="AW2249" i="1"/>
  <c r="AV2249" i="1"/>
  <c r="AW2248" i="1"/>
  <c r="AV2248" i="1"/>
  <c r="AW2247" i="1"/>
  <c r="AV2247" i="1"/>
  <c r="AW2246" i="1"/>
  <c r="AV2246" i="1"/>
  <c r="AU2246" i="1"/>
  <c r="AW2245" i="1"/>
  <c r="AV2245" i="1"/>
  <c r="AU2245" i="1"/>
  <c r="AW2244" i="1"/>
  <c r="AV2244" i="1"/>
  <c r="AU2244" i="1"/>
  <c r="AW2243" i="1"/>
  <c r="AV2243" i="1"/>
  <c r="AW2242" i="1"/>
  <c r="AV2242" i="1"/>
  <c r="AW2241" i="1"/>
  <c r="AV2241" i="1"/>
  <c r="AW2240" i="1"/>
  <c r="AV2240" i="1"/>
  <c r="AU2240" i="1"/>
  <c r="AW2239" i="1"/>
  <c r="AV2239" i="1"/>
  <c r="AW2238" i="1"/>
  <c r="AV2238" i="1"/>
  <c r="AW2237" i="1"/>
  <c r="AV2237" i="1"/>
  <c r="AW2236" i="1"/>
  <c r="AV2236" i="1"/>
  <c r="AU2236" i="1"/>
  <c r="AW2235" i="1"/>
  <c r="AV2235" i="1"/>
  <c r="AW2234" i="1"/>
  <c r="AV2234" i="1"/>
  <c r="AW2233" i="1"/>
  <c r="AV2233" i="1"/>
  <c r="AW2232" i="1"/>
  <c r="AV2232" i="1"/>
  <c r="AU2232" i="1"/>
  <c r="AW2231" i="1"/>
  <c r="AV2231" i="1"/>
  <c r="AW2230" i="1"/>
  <c r="AV2230" i="1"/>
  <c r="AW2229" i="1"/>
  <c r="AV2229" i="1"/>
  <c r="AW2228" i="1"/>
  <c r="AV2228" i="1"/>
  <c r="AW2227" i="1"/>
  <c r="AV2227" i="1"/>
  <c r="AW2226" i="1"/>
  <c r="AV2226" i="1"/>
  <c r="AW2225" i="1"/>
  <c r="AV2225" i="1"/>
  <c r="AU2225" i="1"/>
  <c r="AW2224" i="1"/>
  <c r="AV2224" i="1"/>
  <c r="AU2224" i="1"/>
  <c r="AW2223" i="1"/>
  <c r="AV2223" i="1"/>
  <c r="AW2222" i="1"/>
  <c r="AV2222" i="1"/>
  <c r="AW2221" i="1"/>
  <c r="AV2221" i="1"/>
  <c r="AW2220" i="1"/>
  <c r="AV2220" i="1"/>
  <c r="AW2219" i="1"/>
  <c r="AV2219" i="1"/>
  <c r="AW2218" i="1"/>
  <c r="AV2218" i="1"/>
  <c r="AW2217" i="1"/>
  <c r="AV2217" i="1"/>
  <c r="AW2216" i="1"/>
  <c r="AV2216" i="1"/>
  <c r="AW2215" i="1"/>
  <c r="AV2215" i="1"/>
  <c r="AW2214" i="1"/>
  <c r="AV2214" i="1"/>
  <c r="AW2213" i="1"/>
  <c r="AV2213" i="1"/>
  <c r="AW2212" i="1"/>
  <c r="AV2212" i="1"/>
  <c r="AW2211" i="1"/>
  <c r="AV2211" i="1"/>
  <c r="AU2211" i="1"/>
  <c r="AW2210" i="1"/>
  <c r="AV2210" i="1"/>
  <c r="AW2209" i="1"/>
  <c r="AV2209" i="1"/>
  <c r="AU2209" i="1"/>
  <c r="AW2208" i="1"/>
  <c r="AV2208" i="1"/>
  <c r="AW2207" i="1"/>
  <c r="AV2207" i="1"/>
  <c r="AW2206" i="1"/>
  <c r="AV2206" i="1"/>
  <c r="AU2206" i="1"/>
  <c r="AW2205" i="1"/>
  <c r="AV2205" i="1"/>
  <c r="AW2204" i="1"/>
  <c r="AV2204" i="1"/>
  <c r="AW2203" i="1"/>
  <c r="AV2203" i="1"/>
  <c r="AW2202" i="1"/>
  <c r="AV2202" i="1"/>
  <c r="AW2201" i="1"/>
  <c r="AV2201" i="1"/>
  <c r="AU2201" i="1"/>
  <c r="AW2200" i="1"/>
  <c r="AV2200" i="1"/>
  <c r="AW2199" i="1"/>
  <c r="AV2199" i="1"/>
  <c r="AU2199" i="1"/>
  <c r="AW2198" i="1"/>
  <c r="AV2198" i="1"/>
  <c r="AW2197" i="1"/>
  <c r="AV2197" i="1"/>
  <c r="AU2197" i="1"/>
  <c r="AW2196" i="1"/>
  <c r="AV2196" i="1"/>
  <c r="AW2195" i="1"/>
  <c r="AV2195" i="1"/>
  <c r="AW2194" i="1"/>
  <c r="AV2194" i="1"/>
  <c r="AU2194" i="1"/>
  <c r="AW2193" i="1"/>
  <c r="AV2193" i="1"/>
  <c r="AW2192" i="1"/>
  <c r="AV2192" i="1"/>
  <c r="AW2191" i="1"/>
  <c r="AV2191" i="1"/>
  <c r="AW2190" i="1"/>
  <c r="AV2190" i="1"/>
  <c r="AW2189" i="1"/>
  <c r="AV2189" i="1"/>
  <c r="AU2189" i="1"/>
  <c r="AW2188" i="1"/>
  <c r="AV2188" i="1"/>
  <c r="AW2187" i="1"/>
  <c r="AV2187" i="1"/>
  <c r="AW2186" i="1"/>
  <c r="AV2186" i="1"/>
  <c r="AW2185" i="1"/>
  <c r="AV2185" i="1"/>
  <c r="AW2184" i="1"/>
  <c r="AV2184" i="1"/>
  <c r="AW2183" i="1"/>
  <c r="AV2183" i="1"/>
  <c r="AW2182" i="1"/>
  <c r="AV2182" i="1"/>
  <c r="AU2182" i="1"/>
  <c r="AW2181" i="1"/>
  <c r="AV2181" i="1"/>
  <c r="AU2181" i="1"/>
  <c r="AW2180" i="1"/>
  <c r="AV2180" i="1"/>
  <c r="AW2179" i="1"/>
  <c r="AV2179" i="1"/>
  <c r="AW2178" i="1"/>
  <c r="AV2178" i="1"/>
  <c r="AW2177" i="1"/>
  <c r="AV2177" i="1"/>
  <c r="AW2176" i="1"/>
  <c r="AV2176" i="1"/>
  <c r="AW2175" i="1"/>
  <c r="AV2175" i="1"/>
  <c r="AW2174" i="1"/>
  <c r="AV2174" i="1"/>
  <c r="AW2173" i="1"/>
  <c r="AV2173" i="1"/>
  <c r="AU2173" i="1"/>
  <c r="AW2172" i="1"/>
  <c r="AV2172" i="1"/>
  <c r="AW2171" i="1"/>
  <c r="AV2171" i="1"/>
  <c r="AW2170" i="1"/>
  <c r="AV2170" i="1"/>
  <c r="AW2169" i="1"/>
  <c r="AV2169" i="1"/>
  <c r="AU2169" i="1"/>
  <c r="AW2168" i="1"/>
  <c r="AV2168" i="1"/>
  <c r="AW2167" i="1"/>
  <c r="AV2167" i="1"/>
  <c r="AW2166" i="1"/>
  <c r="AV2166" i="1"/>
  <c r="AU2166" i="1"/>
  <c r="AW2165" i="1"/>
  <c r="AV2165" i="1"/>
  <c r="AU2165" i="1"/>
  <c r="AW2164" i="1"/>
  <c r="AV2164" i="1"/>
  <c r="AW2163" i="1"/>
  <c r="AV2163" i="1"/>
  <c r="AU2163" i="1"/>
  <c r="AW2162" i="1"/>
  <c r="AV2162" i="1"/>
  <c r="AW2161" i="1"/>
  <c r="AV2161" i="1"/>
  <c r="AU2161" i="1"/>
  <c r="AW2160" i="1"/>
  <c r="AV2160" i="1"/>
  <c r="AU2160" i="1"/>
  <c r="AW2159" i="1"/>
  <c r="AV2159" i="1"/>
  <c r="AU2159" i="1"/>
  <c r="AW2158" i="1"/>
  <c r="AV2158" i="1"/>
  <c r="AU2158" i="1"/>
  <c r="AW2157" i="1"/>
  <c r="AV2157" i="1"/>
  <c r="AW2156" i="1"/>
  <c r="AV2156" i="1"/>
  <c r="AU2156" i="1"/>
  <c r="AW2155" i="1"/>
  <c r="AV2155" i="1"/>
  <c r="AU2155" i="1"/>
  <c r="AW2154" i="1"/>
  <c r="AV2154" i="1"/>
  <c r="AU2154" i="1"/>
  <c r="AW2153" i="1"/>
  <c r="AV2153" i="1"/>
  <c r="AU2153" i="1"/>
  <c r="AW2152" i="1"/>
  <c r="AV2152" i="1"/>
  <c r="AU2152" i="1"/>
  <c r="AW2151" i="1"/>
  <c r="AV2151" i="1"/>
  <c r="AU2151" i="1"/>
  <c r="AW2150" i="1"/>
  <c r="AV2150" i="1"/>
  <c r="AW2149" i="1"/>
  <c r="AV2149" i="1"/>
  <c r="AW2148" i="1"/>
  <c r="AV2148" i="1"/>
  <c r="AU2148" i="1"/>
  <c r="AW2147" i="1"/>
  <c r="AV2147" i="1"/>
  <c r="AW2146" i="1"/>
  <c r="AV2146" i="1"/>
  <c r="AU2146" i="1"/>
  <c r="AW2145" i="1"/>
  <c r="AV2145" i="1"/>
  <c r="AU2145" i="1"/>
  <c r="AW2144" i="1"/>
  <c r="AV2144" i="1"/>
  <c r="AU2144" i="1"/>
  <c r="AW2143" i="1"/>
  <c r="AV2143" i="1"/>
  <c r="AU2143" i="1"/>
  <c r="AW2142" i="1"/>
  <c r="AV2142" i="1"/>
  <c r="AW2141" i="1"/>
  <c r="AV2141" i="1"/>
  <c r="AW2140" i="1"/>
  <c r="AV2140" i="1"/>
  <c r="AU2140" i="1"/>
  <c r="AW2139" i="1"/>
  <c r="AV2139" i="1"/>
  <c r="AW2138" i="1"/>
  <c r="AV2138" i="1"/>
  <c r="AW2137" i="1"/>
  <c r="AV2137" i="1"/>
  <c r="AU2137" i="1"/>
  <c r="AW2136" i="1"/>
  <c r="AV2136" i="1"/>
  <c r="AW2135" i="1"/>
  <c r="AV2135" i="1"/>
  <c r="AW2134" i="1"/>
  <c r="AV2134" i="1"/>
  <c r="AW2133" i="1"/>
  <c r="AV2133" i="1"/>
  <c r="AW2132" i="1"/>
  <c r="AV2132" i="1"/>
  <c r="AW2131" i="1"/>
  <c r="AV2131" i="1"/>
  <c r="AU2131" i="1"/>
  <c r="AW2130" i="1"/>
  <c r="AV2130" i="1"/>
  <c r="AU2130" i="1"/>
  <c r="AW2129" i="1"/>
  <c r="AV2129" i="1"/>
  <c r="AU2129" i="1"/>
  <c r="AW2128" i="1"/>
  <c r="AV2128" i="1"/>
  <c r="AW2127" i="1"/>
  <c r="AV2127" i="1"/>
  <c r="AW2126" i="1"/>
  <c r="AV2126" i="1"/>
  <c r="AU2126" i="1"/>
  <c r="AW2125" i="1"/>
  <c r="AV2125" i="1"/>
  <c r="AW2124" i="1"/>
  <c r="AV2124" i="1"/>
  <c r="AW2123" i="1"/>
  <c r="AV2123" i="1"/>
  <c r="AW2122" i="1"/>
  <c r="AV2122" i="1"/>
  <c r="AW2121" i="1"/>
  <c r="AV2121" i="1"/>
  <c r="AW2120" i="1"/>
  <c r="AV2120" i="1"/>
  <c r="AW2119" i="1"/>
  <c r="AV2119" i="1"/>
  <c r="AW2118" i="1"/>
  <c r="AV2118" i="1"/>
  <c r="AW2117" i="1"/>
  <c r="AV2117" i="1"/>
  <c r="AW2116" i="1"/>
  <c r="AV2116" i="1"/>
  <c r="AW2115" i="1"/>
  <c r="AV2115" i="1"/>
  <c r="AW2114" i="1"/>
  <c r="AV2114" i="1"/>
  <c r="AU2114" i="1"/>
  <c r="AW2113" i="1"/>
  <c r="AV2113" i="1"/>
  <c r="AW2112" i="1"/>
  <c r="AV2112" i="1"/>
  <c r="AW2111" i="1"/>
  <c r="AV2111" i="1"/>
  <c r="AW2110" i="1"/>
  <c r="AV2110" i="1"/>
  <c r="AW2109" i="1"/>
  <c r="AV2109" i="1"/>
  <c r="AW2108" i="1"/>
  <c r="AV2108" i="1"/>
  <c r="AW2107" i="1"/>
  <c r="AV2107" i="1"/>
  <c r="AU2107" i="1"/>
  <c r="AW2106" i="1"/>
  <c r="AV2106" i="1"/>
  <c r="AW2105" i="1"/>
  <c r="AV2105" i="1"/>
  <c r="AW2104" i="1"/>
  <c r="AV2104" i="1"/>
  <c r="AW2103" i="1"/>
  <c r="AV2103" i="1"/>
  <c r="AW2102" i="1"/>
  <c r="AV2102" i="1"/>
  <c r="AW2101" i="1"/>
  <c r="AV2101" i="1"/>
  <c r="AW2100" i="1"/>
  <c r="AV2100" i="1"/>
  <c r="AW2099" i="1"/>
  <c r="AV2099" i="1"/>
  <c r="AW2098" i="1"/>
  <c r="AV2098" i="1"/>
  <c r="AW2097" i="1"/>
  <c r="AV2097" i="1"/>
  <c r="AW2096" i="1"/>
  <c r="AV2096" i="1"/>
  <c r="AW2095" i="1"/>
  <c r="AV2095" i="1"/>
  <c r="AW2094" i="1"/>
  <c r="AV2094" i="1"/>
  <c r="AW2093" i="1"/>
  <c r="AV2093" i="1"/>
  <c r="AW2092" i="1"/>
  <c r="AV2092" i="1"/>
  <c r="AW2091" i="1"/>
  <c r="AV2091" i="1"/>
  <c r="AW2090" i="1"/>
  <c r="AV2090" i="1"/>
  <c r="AW2089" i="1"/>
  <c r="AV2089" i="1"/>
  <c r="AW2088" i="1"/>
  <c r="AV2088" i="1"/>
  <c r="AW2087" i="1"/>
  <c r="AV2087" i="1"/>
  <c r="AW2086" i="1"/>
  <c r="AV2086" i="1"/>
  <c r="AW2085" i="1"/>
  <c r="AV2085" i="1"/>
  <c r="AW2084" i="1"/>
  <c r="AV2084" i="1"/>
  <c r="AW2083" i="1"/>
  <c r="AV2083" i="1"/>
  <c r="AW2082" i="1"/>
  <c r="AV2082" i="1"/>
  <c r="AW2081" i="1"/>
  <c r="AV2081" i="1"/>
  <c r="AW2080" i="1"/>
  <c r="AV2080" i="1"/>
  <c r="AU2080" i="1"/>
  <c r="AW2079" i="1"/>
  <c r="AV2079" i="1"/>
  <c r="AW2078" i="1"/>
  <c r="AV2078" i="1"/>
  <c r="AW2077" i="1"/>
  <c r="AV2077" i="1"/>
  <c r="AW2076" i="1"/>
  <c r="AV2076" i="1"/>
  <c r="AW2075" i="1"/>
  <c r="AV2075" i="1"/>
  <c r="AW2074" i="1"/>
  <c r="AV2074" i="1"/>
  <c r="AW2073" i="1"/>
  <c r="AV2073" i="1"/>
  <c r="AW2072" i="1"/>
  <c r="AV2072" i="1"/>
  <c r="AW2071" i="1"/>
  <c r="AV2071" i="1"/>
  <c r="AW2070" i="1"/>
  <c r="AV2070" i="1"/>
  <c r="AW2069" i="1"/>
  <c r="AV2069" i="1"/>
  <c r="AW2068" i="1"/>
  <c r="AV2068" i="1"/>
  <c r="AW2067" i="1"/>
  <c r="AV2067" i="1"/>
  <c r="AW2066" i="1"/>
  <c r="AV2066" i="1"/>
  <c r="AW2065" i="1"/>
  <c r="AV2065" i="1"/>
  <c r="AW2064" i="1"/>
  <c r="AV2064" i="1"/>
  <c r="AU2064" i="1"/>
  <c r="AW2063" i="1"/>
  <c r="AV2063" i="1"/>
  <c r="AW2062" i="1"/>
  <c r="AV2062" i="1"/>
  <c r="AW2061" i="1"/>
  <c r="AV2061" i="1"/>
  <c r="AW2060" i="1"/>
  <c r="AV2060" i="1"/>
  <c r="AW2059" i="1"/>
  <c r="AV2059" i="1"/>
  <c r="AU2059" i="1"/>
  <c r="AW2058" i="1"/>
  <c r="AV2058" i="1"/>
  <c r="AW2057" i="1"/>
  <c r="AV2057" i="1"/>
  <c r="AW2056" i="1"/>
  <c r="AV2056" i="1"/>
  <c r="AU2056" i="1"/>
  <c r="AW2055" i="1"/>
  <c r="AV2055" i="1"/>
  <c r="AW2054" i="1"/>
  <c r="AV2054" i="1"/>
  <c r="AW2053" i="1"/>
  <c r="AV2053" i="1"/>
  <c r="AW2052" i="1"/>
  <c r="AV2052" i="1"/>
  <c r="AW2051" i="1"/>
  <c r="AV2051" i="1"/>
  <c r="AW2050" i="1"/>
  <c r="AV2050" i="1"/>
  <c r="AW2049" i="1"/>
  <c r="AV2049" i="1"/>
  <c r="AW2048" i="1"/>
  <c r="AV2048" i="1"/>
  <c r="AW2047" i="1"/>
  <c r="AV2047" i="1"/>
  <c r="AW2046" i="1"/>
  <c r="AV2046" i="1"/>
  <c r="AU2046" i="1"/>
  <c r="AW2045" i="1"/>
  <c r="AV2045" i="1"/>
  <c r="AU2045" i="1"/>
  <c r="AW2044" i="1"/>
  <c r="AV2044" i="1"/>
  <c r="AU2044" i="1"/>
  <c r="AW2043" i="1"/>
  <c r="AV2043" i="1"/>
  <c r="AW2042" i="1"/>
  <c r="AV2042" i="1"/>
  <c r="AW2041" i="1"/>
  <c r="AV2041" i="1"/>
  <c r="AW2040" i="1"/>
  <c r="AV2040" i="1"/>
  <c r="AW2039" i="1"/>
  <c r="AV2039" i="1"/>
  <c r="AW2038" i="1"/>
  <c r="AV2038" i="1"/>
  <c r="AW2037" i="1"/>
  <c r="AV2037" i="1"/>
  <c r="AU2037" i="1"/>
  <c r="AW2036" i="1"/>
  <c r="AV2036" i="1"/>
  <c r="AW2035" i="1"/>
  <c r="AV2035" i="1"/>
  <c r="AU2035" i="1"/>
  <c r="AW2034" i="1"/>
  <c r="AV2034" i="1"/>
  <c r="AU2034" i="1"/>
  <c r="AW2033" i="1"/>
  <c r="AV2033" i="1"/>
  <c r="AW2032" i="1"/>
  <c r="AV2032" i="1"/>
  <c r="AU2032" i="1"/>
  <c r="AW2031" i="1"/>
  <c r="AV2031" i="1"/>
  <c r="AW2030" i="1"/>
  <c r="AV2030" i="1"/>
  <c r="AW2029" i="1"/>
  <c r="AV2029" i="1"/>
  <c r="AW2028" i="1"/>
  <c r="AV2028" i="1"/>
  <c r="AW2027" i="1"/>
  <c r="AV2027" i="1"/>
  <c r="AU2027" i="1"/>
  <c r="AW2026" i="1"/>
  <c r="AV2026" i="1"/>
  <c r="AW2025" i="1"/>
  <c r="AV2025" i="1"/>
  <c r="AW2024" i="1"/>
  <c r="AV2024" i="1"/>
  <c r="AW2023" i="1"/>
  <c r="AV2023" i="1"/>
  <c r="AU2023" i="1"/>
  <c r="AW2022" i="1"/>
  <c r="AV2022" i="1"/>
  <c r="AU2022" i="1"/>
  <c r="AW2021" i="1"/>
  <c r="AV2021" i="1"/>
  <c r="AW2020" i="1"/>
  <c r="AV2020" i="1"/>
  <c r="AU2020" i="1"/>
  <c r="AW2019" i="1"/>
  <c r="AV2019" i="1"/>
  <c r="AU2019" i="1"/>
  <c r="AW2018" i="1"/>
  <c r="AV2018" i="1"/>
  <c r="AU2018" i="1"/>
  <c r="AW2017" i="1"/>
  <c r="AV2017" i="1"/>
  <c r="AU2017" i="1"/>
  <c r="AW2016" i="1"/>
  <c r="AV2016" i="1"/>
  <c r="AW2015" i="1"/>
  <c r="AV2015" i="1"/>
  <c r="AW2014" i="1"/>
  <c r="AV2014" i="1"/>
  <c r="AW2013" i="1"/>
  <c r="AV2013" i="1"/>
  <c r="AU2013" i="1"/>
  <c r="AW2012" i="1"/>
  <c r="AV2012" i="1"/>
  <c r="AU2012" i="1"/>
  <c r="AW2011" i="1"/>
  <c r="AV2011" i="1"/>
  <c r="AU2011" i="1"/>
  <c r="AW2010" i="1"/>
  <c r="AV2010" i="1"/>
  <c r="AW2009" i="1"/>
  <c r="AV2009" i="1"/>
  <c r="AU2009" i="1"/>
  <c r="AW2008" i="1"/>
  <c r="AV2008" i="1"/>
  <c r="AW2007" i="1"/>
  <c r="AV2007" i="1"/>
  <c r="AW2006" i="1"/>
  <c r="AV2006" i="1"/>
  <c r="AU2006" i="1"/>
  <c r="AW2005" i="1"/>
  <c r="AV2005" i="1"/>
  <c r="AU2005" i="1"/>
  <c r="AW2004" i="1"/>
  <c r="AV2004" i="1"/>
  <c r="AW2003" i="1"/>
  <c r="AV2003" i="1"/>
  <c r="AW2002" i="1"/>
  <c r="AV2002" i="1"/>
  <c r="AU2002" i="1"/>
  <c r="AW2001" i="1"/>
  <c r="AV2001" i="1"/>
  <c r="AW2000" i="1"/>
  <c r="AV2000" i="1"/>
  <c r="AU2000" i="1"/>
  <c r="AW1999" i="1"/>
  <c r="AV1999" i="1"/>
  <c r="AW1998" i="1"/>
  <c r="AV1998" i="1"/>
  <c r="AW1997" i="1"/>
  <c r="AV1997" i="1"/>
  <c r="AW1996" i="1"/>
  <c r="AV1996" i="1"/>
  <c r="AU1996" i="1"/>
  <c r="AW1995" i="1"/>
  <c r="AV1995" i="1"/>
  <c r="AW1994" i="1"/>
  <c r="AV1994" i="1"/>
  <c r="AU1994" i="1"/>
  <c r="AW1993" i="1"/>
  <c r="AV1993" i="1"/>
  <c r="AU1993" i="1"/>
  <c r="AW1992" i="1"/>
  <c r="AV1992" i="1"/>
  <c r="AU1992" i="1"/>
  <c r="AW1991" i="1"/>
  <c r="AV1991" i="1"/>
  <c r="AW1990" i="1"/>
  <c r="AV1990" i="1"/>
  <c r="AW1989" i="1"/>
  <c r="AV1989" i="1"/>
  <c r="AW1988" i="1"/>
  <c r="AV1988" i="1"/>
  <c r="AW1987" i="1"/>
  <c r="AV1987" i="1"/>
  <c r="AW1986" i="1"/>
  <c r="AV1986" i="1"/>
  <c r="AW1985" i="1"/>
  <c r="AV1985" i="1"/>
  <c r="AW1984" i="1"/>
  <c r="AV1984" i="1"/>
  <c r="AW1983" i="1"/>
  <c r="AV1983" i="1"/>
  <c r="AU1983" i="1"/>
  <c r="AW1982" i="1"/>
  <c r="AV1982" i="1"/>
  <c r="AW1981" i="1"/>
  <c r="AV1981" i="1"/>
  <c r="AW1980" i="1"/>
  <c r="AV1980" i="1"/>
  <c r="AW1979" i="1"/>
  <c r="AV1979" i="1"/>
  <c r="AW1978" i="1"/>
  <c r="AV1978" i="1"/>
  <c r="AW1977" i="1"/>
  <c r="AV1977" i="1"/>
  <c r="AW1976" i="1"/>
  <c r="AV1976" i="1"/>
  <c r="AW1975" i="1"/>
  <c r="AV1975" i="1"/>
  <c r="AU1975" i="1"/>
  <c r="AW1974" i="1"/>
  <c r="AV1974" i="1"/>
  <c r="AU1974" i="1"/>
  <c r="AW1973" i="1"/>
  <c r="AV1973" i="1"/>
  <c r="AW1972" i="1"/>
  <c r="AV1972" i="1"/>
  <c r="AW1971" i="1"/>
  <c r="AV1971" i="1"/>
  <c r="AW1970" i="1"/>
  <c r="AV1970" i="1"/>
  <c r="AW1969" i="1"/>
  <c r="AV1969" i="1"/>
  <c r="AW1968" i="1"/>
  <c r="AV1968" i="1"/>
  <c r="AU1968" i="1"/>
  <c r="AW1967" i="1"/>
  <c r="AV1967" i="1"/>
  <c r="AW1966" i="1"/>
  <c r="AV1966" i="1"/>
  <c r="AW1965" i="1"/>
  <c r="AV1965" i="1"/>
  <c r="AW1964" i="1"/>
  <c r="AV1964" i="1"/>
  <c r="AW1963" i="1"/>
  <c r="AV1963" i="1"/>
  <c r="AW1962" i="1"/>
  <c r="AV1962" i="1"/>
  <c r="AW1961" i="1"/>
  <c r="AV1961" i="1"/>
  <c r="AW1960" i="1"/>
  <c r="AV1960" i="1"/>
  <c r="AW1959" i="1"/>
  <c r="AV1959" i="1"/>
  <c r="AW1958" i="1"/>
  <c r="AV1958" i="1"/>
  <c r="AW1957" i="1"/>
  <c r="AV1957" i="1"/>
  <c r="AW1956" i="1"/>
  <c r="AV1956" i="1"/>
  <c r="AW1955" i="1"/>
  <c r="AV1955" i="1"/>
  <c r="AW1954" i="1"/>
  <c r="AV1954" i="1"/>
  <c r="AW1953" i="1"/>
  <c r="AV1953" i="1"/>
  <c r="AW1952" i="1"/>
  <c r="AV1952" i="1"/>
  <c r="AU1952" i="1"/>
  <c r="AW1951" i="1"/>
  <c r="AV1951" i="1"/>
  <c r="AW1950" i="1"/>
  <c r="AV1950" i="1"/>
  <c r="AW1949" i="1"/>
  <c r="AV1949" i="1"/>
  <c r="AW1948" i="1"/>
  <c r="AV1948" i="1"/>
  <c r="AW1947" i="1"/>
  <c r="AV1947" i="1"/>
  <c r="AW1946" i="1"/>
  <c r="AV1946" i="1"/>
  <c r="AW1945" i="1"/>
  <c r="AV1945" i="1"/>
  <c r="AU1945" i="1"/>
  <c r="AW1944" i="1"/>
  <c r="AV1944" i="1"/>
  <c r="AU1944" i="1"/>
  <c r="AW1943" i="1"/>
  <c r="AV1943" i="1"/>
  <c r="AU1943" i="1"/>
  <c r="AW1942" i="1"/>
  <c r="AV1942" i="1"/>
  <c r="AU1942" i="1"/>
  <c r="AW1941" i="1"/>
  <c r="AV1941" i="1"/>
  <c r="AW1940" i="1"/>
  <c r="AV1940" i="1"/>
  <c r="AW1939" i="1"/>
  <c r="AV1939" i="1"/>
  <c r="AU1939" i="1"/>
  <c r="AW1938" i="1"/>
  <c r="AV1938" i="1"/>
  <c r="AW1937" i="1"/>
  <c r="AV1937" i="1"/>
  <c r="AU1937" i="1"/>
  <c r="AW1936" i="1"/>
  <c r="AV1936" i="1"/>
  <c r="AU1936" i="1"/>
  <c r="AW1935" i="1"/>
  <c r="AV1935" i="1"/>
  <c r="AU1935" i="1"/>
  <c r="AW1934" i="1"/>
  <c r="AV1934" i="1"/>
  <c r="AW1933" i="1"/>
  <c r="AV1933" i="1"/>
  <c r="AU1933" i="1"/>
  <c r="AW1932" i="1"/>
  <c r="AV1932" i="1"/>
  <c r="AU1932" i="1"/>
  <c r="AW1931" i="1"/>
  <c r="AV1931" i="1"/>
  <c r="AW1930" i="1"/>
  <c r="AV1930" i="1"/>
  <c r="AU1930" i="1"/>
  <c r="AW1929" i="1"/>
  <c r="AV1929" i="1"/>
  <c r="AW1928" i="1"/>
  <c r="AV1928" i="1"/>
  <c r="AW1927" i="1"/>
  <c r="AV1927" i="1"/>
  <c r="AU1927" i="1"/>
  <c r="AW1926" i="1"/>
  <c r="AV1926" i="1"/>
  <c r="AW1925" i="1"/>
  <c r="AV1925" i="1"/>
  <c r="AW1924" i="1"/>
  <c r="AV1924" i="1"/>
  <c r="AW1923" i="1"/>
  <c r="AV1923" i="1"/>
  <c r="AU1923" i="1"/>
  <c r="AW1922" i="1"/>
  <c r="AV1922" i="1"/>
  <c r="AU1922" i="1"/>
  <c r="AW1921" i="1"/>
  <c r="AV1921" i="1"/>
  <c r="AW1920" i="1"/>
  <c r="AV1920" i="1"/>
  <c r="AU1920" i="1"/>
  <c r="AW1919" i="1"/>
  <c r="AV1919" i="1"/>
  <c r="AW1918" i="1"/>
  <c r="AV1918" i="1"/>
  <c r="AW1917" i="1"/>
  <c r="AV1917" i="1"/>
  <c r="AU1917" i="1"/>
  <c r="AW1916" i="1"/>
  <c r="AV1916" i="1"/>
  <c r="AU1916" i="1"/>
  <c r="AW1915" i="1"/>
  <c r="AV1915" i="1"/>
  <c r="AU1915" i="1"/>
  <c r="AW1914" i="1"/>
  <c r="AV1914" i="1"/>
  <c r="AU1914" i="1"/>
  <c r="AW1913" i="1"/>
  <c r="AV1913" i="1"/>
  <c r="AW1912" i="1"/>
  <c r="AV1912" i="1"/>
  <c r="AU1912" i="1"/>
  <c r="AW1911" i="1"/>
  <c r="AV1911" i="1"/>
  <c r="AW1910" i="1"/>
  <c r="AV1910" i="1"/>
  <c r="AW1909" i="1"/>
  <c r="AV1909" i="1"/>
  <c r="AW1908" i="1"/>
  <c r="AV1908" i="1"/>
  <c r="AW1907" i="1"/>
  <c r="AV1907" i="1"/>
  <c r="AW1906" i="1"/>
  <c r="AV1906" i="1"/>
  <c r="AW1905" i="1"/>
  <c r="AV1905" i="1"/>
  <c r="AW1904" i="1"/>
  <c r="AV1904" i="1"/>
  <c r="AU1904" i="1"/>
  <c r="AW1903" i="1"/>
  <c r="AV1903" i="1"/>
  <c r="AU1903" i="1"/>
  <c r="AW1902" i="1"/>
  <c r="AV1902" i="1"/>
  <c r="AU1902" i="1"/>
  <c r="AW1901" i="1"/>
  <c r="AV1901" i="1"/>
  <c r="AU1901" i="1"/>
  <c r="AW1900" i="1"/>
  <c r="AV1900" i="1"/>
  <c r="AU1900" i="1"/>
  <c r="AW1899" i="1"/>
  <c r="AV1899" i="1"/>
  <c r="AU1899" i="1"/>
  <c r="AW1898" i="1"/>
  <c r="AV1898" i="1"/>
  <c r="AW1897" i="1"/>
  <c r="AV1897" i="1"/>
  <c r="AW1896" i="1"/>
  <c r="AV1896" i="1"/>
  <c r="AW1895" i="1"/>
  <c r="AV1895" i="1"/>
  <c r="AW1894" i="1"/>
  <c r="AV1894" i="1"/>
  <c r="AW1893" i="1"/>
  <c r="AV1893" i="1"/>
  <c r="AW1892" i="1"/>
  <c r="AV1892" i="1"/>
  <c r="AW1891" i="1"/>
  <c r="AV1891" i="1"/>
  <c r="AW1890" i="1"/>
  <c r="AV1890" i="1"/>
  <c r="AW1889" i="1"/>
  <c r="AV1889" i="1"/>
  <c r="AW1888" i="1"/>
  <c r="AV1888" i="1"/>
  <c r="AW1887" i="1"/>
  <c r="AV1887" i="1"/>
  <c r="AW1886" i="1"/>
  <c r="AV1886" i="1"/>
  <c r="AW1885" i="1"/>
  <c r="AV1885" i="1"/>
  <c r="AW1884" i="1"/>
  <c r="AV1884" i="1"/>
  <c r="AU1884" i="1"/>
  <c r="AW1883" i="1"/>
  <c r="AV1883" i="1"/>
  <c r="AU1883" i="1"/>
  <c r="AW1882" i="1"/>
  <c r="AV1882" i="1"/>
  <c r="AW1881" i="1"/>
  <c r="AV1881" i="1"/>
  <c r="AW1880" i="1"/>
  <c r="AV1880" i="1"/>
  <c r="AU1880" i="1"/>
  <c r="AW1879" i="1"/>
  <c r="AV1879" i="1"/>
  <c r="AW1878" i="1"/>
  <c r="AV1878" i="1"/>
  <c r="AW1877" i="1"/>
  <c r="AV1877" i="1"/>
  <c r="AW1876" i="1"/>
  <c r="AV1876" i="1"/>
  <c r="AW1875" i="1"/>
  <c r="AV1875" i="1"/>
  <c r="AW1874" i="1"/>
  <c r="AV1874" i="1"/>
  <c r="AU1874" i="1"/>
  <c r="AW1873" i="1"/>
  <c r="AV1873" i="1"/>
  <c r="AW1872" i="1"/>
  <c r="AV1872" i="1"/>
  <c r="AW1871" i="1"/>
  <c r="AV1871" i="1"/>
  <c r="AW1870" i="1"/>
  <c r="AV1870" i="1"/>
  <c r="AW1869" i="1"/>
  <c r="AV1869" i="1"/>
  <c r="AW1868" i="1"/>
  <c r="AV1868" i="1"/>
  <c r="AW1867" i="1"/>
  <c r="AV1867" i="1"/>
  <c r="AU1867" i="1"/>
  <c r="AW1866" i="1"/>
  <c r="AV1866" i="1"/>
  <c r="AU1866" i="1"/>
  <c r="AW1865" i="1"/>
  <c r="AV1865" i="1"/>
  <c r="AW1864" i="1"/>
  <c r="AV1864" i="1"/>
  <c r="AU1864" i="1"/>
  <c r="AW1863" i="1"/>
  <c r="AV1863" i="1"/>
  <c r="AW1862" i="1"/>
  <c r="AV1862" i="1"/>
  <c r="AW1861" i="1"/>
  <c r="AV1861" i="1"/>
  <c r="AW1860" i="1"/>
  <c r="AV1860" i="1"/>
  <c r="AW1859" i="1"/>
  <c r="AV1859" i="1"/>
  <c r="AW1858" i="1"/>
  <c r="AV1858" i="1"/>
  <c r="AU1858" i="1"/>
  <c r="AW1857" i="1"/>
  <c r="AV1857" i="1"/>
  <c r="AU1857" i="1"/>
  <c r="AW1856" i="1"/>
  <c r="AV1856" i="1"/>
  <c r="AU1856" i="1"/>
  <c r="AW1855" i="1"/>
  <c r="AV1855" i="1"/>
  <c r="AW1854" i="1"/>
  <c r="AV1854" i="1"/>
  <c r="AW1853" i="1"/>
  <c r="AV1853" i="1"/>
  <c r="AW1852" i="1"/>
  <c r="AV1852" i="1"/>
  <c r="AU1852" i="1"/>
  <c r="AW1851" i="1"/>
  <c r="AV1851" i="1"/>
  <c r="AU1851" i="1"/>
  <c r="AW1850" i="1"/>
  <c r="AV1850" i="1"/>
  <c r="AW1849" i="1"/>
  <c r="AV1849" i="1"/>
  <c r="AU1849" i="1"/>
  <c r="AW1848" i="1"/>
  <c r="AV1848" i="1"/>
  <c r="AW1847" i="1"/>
  <c r="AV1847" i="1"/>
  <c r="AW1846" i="1"/>
  <c r="AV1846" i="1"/>
  <c r="AW1845" i="1"/>
  <c r="AV1845" i="1"/>
  <c r="AW1844" i="1"/>
  <c r="AV1844" i="1"/>
  <c r="AW1843" i="1"/>
  <c r="AV1843" i="1"/>
  <c r="AW1842" i="1"/>
  <c r="AV1842" i="1"/>
  <c r="AU1842" i="1"/>
  <c r="AW1841" i="1"/>
  <c r="AV1841" i="1"/>
  <c r="AW1840" i="1"/>
  <c r="AV1840" i="1"/>
  <c r="AW1839" i="1"/>
  <c r="AV1839" i="1"/>
  <c r="AU1839" i="1"/>
  <c r="AW1838" i="1"/>
  <c r="AV1838" i="1"/>
  <c r="AU1838" i="1"/>
  <c r="AW1837" i="1"/>
  <c r="AV1837" i="1"/>
  <c r="AU1837" i="1"/>
  <c r="AW1836" i="1"/>
  <c r="AV1836" i="1"/>
  <c r="AU1836" i="1"/>
  <c r="AW1835" i="1"/>
  <c r="AV1835" i="1"/>
  <c r="AU1835" i="1"/>
  <c r="AW1834" i="1"/>
  <c r="AV1834" i="1"/>
  <c r="AU1834" i="1"/>
  <c r="AW1833" i="1"/>
  <c r="AV1833" i="1"/>
  <c r="AU1833" i="1"/>
  <c r="AW1832" i="1"/>
  <c r="AV1832" i="1"/>
  <c r="AW1831" i="1"/>
  <c r="AV1831" i="1"/>
  <c r="AW1830" i="1"/>
  <c r="AV1830" i="1"/>
  <c r="AW1829" i="1"/>
  <c r="AV1829" i="1"/>
  <c r="AW1828" i="1"/>
  <c r="AV1828" i="1"/>
  <c r="AW1827" i="1"/>
  <c r="AV1827" i="1"/>
  <c r="AU1827" i="1"/>
  <c r="AW1826" i="1"/>
  <c r="AV1826" i="1"/>
  <c r="AW1825" i="1"/>
  <c r="AV1825" i="1"/>
  <c r="AU1825" i="1"/>
  <c r="AW1824" i="1"/>
  <c r="AV1824" i="1"/>
  <c r="AW1823" i="1"/>
  <c r="AV1823" i="1"/>
  <c r="AU1823" i="1"/>
  <c r="AW1822" i="1"/>
  <c r="AV1822" i="1"/>
  <c r="AW1821" i="1"/>
  <c r="AV1821" i="1"/>
  <c r="AW1820" i="1"/>
  <c r="AV1820" i="1"/>
  <c r="AW1819" i="1"/>
  <c r="AV1819" i="1"/>
  <c r="AW1818" i="1"/>
  <c r="AV1818" i="1"/>
  <c r="AW1817" i="1"/>
  <c r="AV1817" i="1"/>
  <c r="AW1816" i="1"/>
  <c r="AV1816" i="1"/>
  <c r="AW1815" i="1"/>
  <c r="AV1815" i="1"/>
  <c r="AW1814" i="1"/>
  <c r="AV1814" i="1"/>
  <c r="AW1813" i="1"/>
  <c r="AV1813" i="1"/>
  <c r="AW1812" i="1"/>
  <c r="AV1812" i="1"/>
  <c r="AW1811" i="1"/>
  <c r="AV1811" i="1"/>
  <c r="AW1810" i="1"/>
  <c r="AV1810" i="1"/>
  <c r="AU1810" i="1"/>
  <c r="AW1809" i="1"/>
  <c r="AV1809" i="1"/>
  <c r="AW1808" i="1"/>
  <c r="AV1808" i="1"/>
  <c r="AU1808" i="1"/>
  <c r="AW1807" i="1"/>
  <c r="AV1807" i="1"/>
  <c r="AW1806" i="1"/>
  <c r="AV1806" i="1"/>
  <c r="AW1805" i="1"/>
  <c r="AV1805" i="1"/>
  <c r="AW1804" i="1"/>
  <c r="AV1804" i="1"/>
  <c r="AW1803" i="1"/>
  <c r="AV1803" i="1"/>
  <c r="AW1802" i="1"/>
  <c r="AV1802" i="1"/>
  <c r="AW1801" i="1"/>
  <c r="AV1801" i="1"/>
  <c r="AW1800" i="1"/>
  <c r="AV1800" i="1"/>
  <c r="AW1799" i="1"/>
  <c r="AV1799" i="1"/>
  <c r="AU1799" i="1"/>
  <c r="AW1798" i="1"/>
  <c r="AV1798" i="1"/>
  <c r="AW1797" i="1"/>
  <c r="AV1797" i="1"/>
  <c r="AU1797" i="1"/>
  <c r="AW1796" i="1"/>
  <c r="AV1796" i="1"/>
  <c r="AW1795" i="1"/>
  <c r="AV1795" i="1"/>
  <c r="AW1794" i="1"/>
  <c r="AV1794" i="1"/>
  <c r="AU1794" i="1"/>
  <c r="AW1793" i="1"/>
  <c r="AV1793" i="1"/>
  <c r="AU1793" i="1"/>
  <c r="AW1792" i="1"/>
  <c r="AV1792" i="1"/>
  <c r="AU1792" i="1"/>
  <c r="AW1791" i="1"/>
  <c r="AV1791" i="1"/>
  <c r="AU1791" i="1"/>
  <c r="AW1790" i="1"/>
  <c r="AV1790" i="1"/>
  <c r="AU1790" i="1"/>
  <c r="AW1789" i="1"/>
  <c r="AV1789" i="1"/>
  <c r="AW1788" i="1"/>
  <c r="AV1788" i="1"/>
  <c r="AW1787" i="1"/>
  <c r="AV1787" i="1"/>
  <c r="AU1787" i="1"/>
  <c r="AW1786" i="1"/>
  <c r="AV1786" i="1"/>
  <c r="AU1786" i="1"/>
  <c r="AW1785" i="1"/>
  <c r="AV1785" i="1"/>
  <c r="AW1784" i="1"/>
  <c r="AV1784" i="1"/>
  <c r="AW1783" i="1"/>
  <c r="AV1783" i="1"/>
  <c r="AW1782" i="1"/>
  <c r="AV1782" i="1"/>
  <c r="AW1781" i="1"/>
  <c r="AV1781" i="1"/>
  <c r="AU1781" i="1"/>
  <c r="AW1780" i="1"/>
  <c r="AV1780" i="1"/>
  <c r="AU1780" i="1"/>
  <c r="AW1779" i="1"/>
  <c r="AV1779" i="1"/>
  <c r="AW1778" i="1"/>
  <c r="AV1778" i="1"/>
  <c r="AW1777" i="1"/>
  <c r="AV1777" i="1"/>
  <c r="AW1776" i="1"/>
  <c r="AV1776" i="1"/>
  <c r="AW1775" i="1"/>
  <c r="AV1775" i="1"/>
  <c r="AW1774" i="1"/>
  <c r="AV1774" i="1"/>
  <c r="AW1773" i="1"/>
  <c r="AV1773" i="1"/>
  <c r="AW1772" i="1"/>
  <c r="AV1772" i="1"/>
  <c r="AW1771" i="1"/>
  <c r="AV1771" i="1"/>
  <c r="AU1771" i="1"/>
  <c r="AW1770" i="1"/>
  <c r="AV1770" i="1"/>
  <c r="AW1769" i="1"/>
  <c r="AV1769" i="1"/>
  <c r="AW1768" i="1"/>
  <c r="AV1768" i="1"/>
  <c r="AW1767" i="1"/>
  <c r="AV1767" i="1"/>
  <c r="AW1766" i="1"/>
  <c r="AV1766" i="1"/>
  <c r="AW1765" i="1"/>
  <c r="AV1765" i="1"/>
  <c r="AW1764" i="1"/>
  <c r="AV1764" i="1"/>
  <c r="AU1764" i="1"/>
  <c r="AW1763" i="1"/>
  <c r="AV1763" i="1"/>
  <c r="AW1762" i="1"/>
  <c r="AV1762" i="1"/>
  <c r="AW1761" i="1"/>
  <c r="AV1761" i="1"/>
  <c r="AW1760" i="1"/>
  <c r="AV1760" i="1"/>
  <c r="AW1759" i="1"/>
  <c r="AV1759" i="1"/>
  <c r="AU1759" i="1"/>
  <c r="AW1758" i="1"/>
  <c r="AV1758" i="1"/>
  <c r="AU1758" i="1"/>
  <c r="AW1757" i="1"/>
  <c r="AV1757" i="1"/>
  <c r="AU1757" i="1"/>
  <c r="AW1756" i="1"/>
  <c r="AV1756" i="1"/>
  <c r="AW1755" i="1"/>
  <c r="AV1755" i="1"/>
  <c r="AW1754" i="1"/>
  <c r="AV1754" i="1"/>
  <c r="AW1753" i="1"/>
  <c r="AV1753" i="1"/>
  <c r="AU1753" i="1"/>
  <c r="AW1752" i="1"/>
  <c r="AV1752" i="1"/>
  <c r="AU1752" i="1"/>
  <c r="AW1751" i="1"/>
  <c r="AV1751" i="1"/>
  <c r="AW1750" i="1"/>
  <c r="AV1750" i="1"/>
  <c r="AW1749" i="1"/>
  <c r="AV1749" i="1"/>
  <c r="AU1749" i="1"/>
  <c r="AW1748" i="1"/>
  <c r="AV1748" i="1"/>
  <c r="AU1748" i="1"/>
  <c r="AW1747" i="1"/>
  <c r="AV1747" i="1"/>
  <c r="AW1746" i="1"/>
  <c r="AV1746" i="1"/>
  <c r="AW1745" i="1"/>
  <c r="AV1745" i="1"/>
  <c r="AW1744" i="1"/>
  <c r="AV1744" i="1"/>
  <c r="AW1743" i="1"/>
  <c r="AV1743" i="1"/>
  <c r="AW1742" i="1"/>
  <c r="AV1742" i="1"/>
  <c r="AW1741" i="1"/>
  <c r="AV1741" i="1"/>
  <c r="AU1741" i="1"/>
  <c r="AW1740" i="1"/>
  <c r="AV1740" i="1"/>
  <c r="AU1740" i="1"/>
  <c r="AW1739" i="1"/>
  <c r="AV1739" i="1"/>
  <c r="AW1738" i="1"/>
  <c r="AV1738" i="1"/>
  <c r="AW1737" i="1"/>
  <c r="AV1737" i="1"/>
  <c r="AU1737" i="1"/>
  <c r="AW1736" i="1"/>
  <c r="AV1736" i="1"/>
  <c r="AW1735" i="1"/>
  <c r="AV1735" i="1"/>
  <c r="AU1735" i="1"/>
  <c r="AW1734" i="1"/>
  <c r="AV1734" i="1"/>
  <c r="AW1733" i="1"/>
  <c r="AV1733" i="1"/>
  <c r="AU1733" i="1"/>
  <c r="AW1732" i="1"/>
  <c r="AV1732" i="1"/>
  <c r="AU1732" i="1"/>
  <c r="AW1731" i="1"/>
  <c r="AV1731" i="1"/>
  <c r="AU1731" i="1"/>
  <c r="AW1730" i="1"/>
  <c r="AV1730" i="1"/>
  <c r="AW1729" i="1"/>
  <c r="AV1729" i="1"/>
  <c r="AU1729" i="1"/>
  <c r="AW1728" i="1"/>
  <c r="AV1728" i="1"/>
  <c r="AU1728" i="1"/>
  <c r="AW1727" i="1"/>
  <c r="AV1727" i="1"/>
  <c r="AW1726" i="1"/>
  <c r="AV1726" i="1"/>
  <c r="AW1725" i="1"/>
  <c r="AV1725" i="1"/>
  <c r="AU1725" i="1"/>
  <c r="AW1724" i="1"/>
  <c r="AV1724" i="1"/>
  <c r="AU1724" i="1"/>
  <c r="AW1723" i="1"/>
  <c r="AV1723" i="1"/>
  <c r="AU1723" i="1"/>
  <c r="AW1722" i="1"/>
  <c r="AV1722" i="1"/>
  <c r="AU1722" i="1"/>
  <c r="AW1721" i="1"/>
  <c r="AV1721" i="1"/>
  <c r="AU1721" i="1"/>
  <c r="AW1720" i="1"/>
  <c r="AV1720" i="1"/>
  <c r="AW1719" i="1"/>
  <c r="AV1719" i="1"/>
  <c r="AW1718" i="1"/>
  <c r="AV1718" i="1"/>
  <c r="AU1718" i="1"/>
  <c r="AW1717" i="1"/>
  <c r="AV1717" i="1"/>
  <c r="AW1716" i="1"/>
  <c r="AV1716" i="1"/>
  <c r="AU1716" i="1"/>
  <c r="AW1715" i="1"/>
  <c r="AV1715" i="1"/>
  <c r="AU1715" i="1"/>
  <c r="AW1714" i="1"/>
  <c r="AV1714" i="1"/>
  <c r="AW1713" i="1"/>
  <c r="AV1713" i="1"/>
  <c r="AU1713" i="1"/>
  <c r="AW1712" i="1"/>
  <c r="AV1712" i="1"/>
  <c r="AU1712" i="1"/>
  <c r="AW1711" i="1"/>
  <c r="AV1711" i="1"/>
  <c r="AW1710" i="1"/>
  <c r="AV1710" i="1"/>
  <c r="AW1709" i="1"/>
  <c r="AV1709" i="1"/>
  <c r="AU1709" i="1"/>
  <c r="AW1708" i="1"/>
  <c r="AV1708" i="1"/>
  <c r="AW1707" i="1"/>
  <c r="AV1707" i="1"/>
  <c r="AW1706" i="1"/>
  <c r="AV1706" i="1"/>
  <c r="AU1706" i="1"/>
  <c r="AW1705" i="1"/>
  <c r="AV1705" i="1"/>
  <c r="AW1704" i="1"/>
  <c r="AV1704" i="1"/>
  <c r="AU1704" i="1"/>
  <c r="AW1703" i="1"/>
  <c r="AV1703" i="1"/>
  <c r="AU1703" i="1"/>
  <c r="AW1702" i="1"/>
  <c r="AV1702" i="1"/>
  <c r="AW1701" i="1"/>
  <c r="AV1701" i="1"/>
  <c r="AU1701" i="1"/>
  <c r="AW1700" i="1"/>
  <c r="AV1700" i="1"/>
  <c r="AU1700" i="1"/>
  <c r="AW1699" i="1"/>
  <c r="AV1699" i="1"/>
  <c r="AW1698" i="1"/>
  <c r="AV1698" i="1"/>
  <c r="AW1697" i="1"/>
  <c r="AV1697" i="1"/>
  <c r="AW1696" i="1"/>
  <c r="AV1696" i="1"/>
  <c r="AU1696" i="1"/>
  <c r="AW1695" i="1"/>
  <c r="AV1695" i="1"/>
  <c r="AW1694" i="1"/>
  <c r="AV1694" i="1"/>
  <c r="AU1694" i="1"/>
  <c r="AW1693" i="1"/>
  <c r="AV1693" i="1"/>
  <c r="AU1693" i="1"/>
  <c r="AW1692" i="1"/>
  <c r="AV1692" i="1"/>
  <c r="AW1691" i="1"/>
  <c r="AV1691" i="1"/>
  <c r="AW1690" i="1"/>
  <c r="AV1690" i="1"/>
  <c r="AW1689" i="1"/>
  <c r="AV1689" i="1"/>
  <c r="AU1689" i="1"/>
  <c r="AW1688" i="1"/>
  <c r="AV1688" i="1"/>
  <c r="AW1687" i="1"/>
  <c r="AV1687" i="1"/>
  <c r="AW1686" i="1"/>
  <c r="AV1686" i="1"/>
  <c r="AW1685" i="1"/>
  <c r="AV1685" i="1"/>
  <c r="AW1684" i="1"/>
  <c r="AV1684" i="1"/>
  <c r="AU1684" i="1"/>
  <c r="AW1683" i="1"/>
  <c r="AV1683" i="1"/>
  <c r="AW1682" i="1"/>
  <c r="AV1682" i="1"/>
  <c r="AW1681" i="1"/>
  <c r="AV1681" i="1"/>
  <c r="AW1680" i="1"/>
  <c r="AV1680" i="1"/>
  <c r="AW1679" i="1"/>
  <c r="AV1679" i="1"/>
  <c r="AW1678" i="1"/>
  <c r="AV1678" i="1"/>
  <c r="AW1677" i="1"/>
  <c r="AV1677" i="1"/>
  <c r="AW1676" i="1"/>
  <c r="AV1676" i="1"/>
  <c r="AW1675" i="1"/>
  <c r="AV1675" i="1"/>
  <c r="AU1675" i="1"/>
  <c r="AW1674" i="1"/>
  <c r="AV1674" i="1"/>
  <c r="AU1674" i="1"/>
  <c r="AW1673" i="1"/>
  <c r="AV1673" i="1"/>
  <c r="AW1672" i="1"/>
  <c r="AV1672" i="1"/>
  <c r="AW1671" i="1"/>
  <c r="AV1671" i="1"/>
  <c r="AW1670" i="1"/>
  <c r="AV1670" i="1"/>
  <c r="AW1669" i="1"/>
  <c r="AV1669" i="1"/>
  <c r="AW1668" i="1"/>
  <c r="AV1668" i="1"/>
  <c r="AW1667" i="1"/>
  <c r="AV1667" i="1"/>
  <c r="AW1666" i="1"/>
  <c r="AV1666" i="1"/>
  <c r="AW1665" i="1"/>
  <c r="AV1665" i="1"/>
  <c r="AW1664" i="1"/>
  <c r="AV1664" i="1"/>
  <c r="AW1663" i="1"/>
  <c r="AV1663" i="1"/>
  <c r="AW1662" i="1"/>
  <c r="AV1662" i="1"/>
  <c r="AW1661" i="1"/>
  <c r="AV1661" i="1"/>
  <c r="AW1660" i="1"/>
  <c r="AV1660" i="1"/>
  <c r="AW1659" i="1"/>
  <c r="AV1659" i="1"/>
  <c r="AW1658" i="1"/>
  <c r="AV1658" i="1"/>
  <c r="AW1657" i="1"/>
  <c r="AV1657" i="1"/>
  <c r="AW1656" i="1"/>
  <c r="AV1656" i="1"/>
  <c r="AW1655" i="1"/>
  <c r="AV1655" i="1"/>
  <c r="AW1654" i="1"/>
  <c r="AV1654" i="1"/>
  <c r="AU1654" i="1"/>
  <c r="AW1653" i="1"/>
  <c r="AV1653" i="1"/>
  <c r="AW1652" i="1"/>
  <c r="AV1652" i="1"/>
  <c r="AU1652" i="1"/>
  <c r="AW1651" i="1"/>
  <c r="AV1651" i="1"/>
  <c r="AW1650" i="1"/>
  <c r="AV1650" i="1"/>
  <c r="AU1650" i="1"/>
  <c r="AW1649" i="1"/>
  <c r="AV1649" i="1"/>
  <c r="AU1649" i="1"/>
  <c r="AW1648" i="1"/>
  <c r="AV1648" i="1"/>
  <c r="AU1648" i="1"/>
  <c r="AW1647" i="1"/>
  <c r="AV1647" i="1"/>
  <c r="AW1646" i="1"/>
  <c r="AV1646" i="1"/>
  <c r="AW1645" i="1"/>
  <c r="AV1645" i="1"/>
  <c r="AW1644" i="1"/>
  <c r="AV1644" i="1"/>
  <c r="AU1644" i="1"/>
  <c r="AW1643" i="1"/>
  <c r="AV1643" i="1"/>
  <c r="AU1643" i="1"/>
  <c r="AW1642" i="1"/>
  <c r="AV1642" i="1"/>
  <c r="AW1641" i="1"/>
  <c r="AV1641" i="1"/>
  <c r="AW1640" i="1"/>
  <c r="AV1640" i="1"/>
  <c r="AW1639" i="1"/>
  <c r="AV1639" i="1"/>
  <c r="AW1638" i="1"/>
  <c r="AV1638" i="1"/>
  <c r="AW1637" i="1"/>
  <c r="AV1637" i="1"/>
  <c r="AW1636" i="1"/>
  <c r="AV1636" i="1"/>
  <c r="AW1635" i="1"/>
  <c r="AV1635" i="1"/>
  <c r="AW1634" i="1"/>
  <c r="AV1634" i="1"/>
  <c r="AW1633" i="1"/>
  <c r="AV1633" i="1"/>
  <c r="AW1632" i="1"/>
  <c r="AV1632" i="1"/>
  <c r="AU1632" i="1"/>
  <c r="AW1631" i="1"/>
  <c r="AV1631" i="1"/>
  <c r="AU1631" i="1"/>
  <c r="AW1630" i="1"/>
  <c r="AV1630" i="1"/>
  <c r="AU1630" i="1"/>
  <c r="AW1629" i="1"/>
  <c r="AV1629" i="1"/>
  <c r="AU1629" i="1"/>
  <c r="AW1628" i="1"/>
  <c r="AV1628" i="1"/>
  <c r="AU1628" i="1"/>
  <c r="AW1627" i="1"/>
  <c r="AV1627" i="1"/>
  <c r="AW1626" i="1"/>
  <c r="AV1626" i="1"/>
  <c r="AW1625" i="1"/>
  <c r="AV1625" i="1"/>
  <c r="AW1624" i="1"/>
  <c r="AV1624" i="1"/>
  <c r="AW1623" i="1"/>
  <c r="AV1623" i="1"/>
  <c r="AW1622" i="1"/>
  <c r="AV1622" i="1"/>
  <c r="AW1621" i="1"/>
  <c r="AV1621" i="1"/>
  <c r="AW1620" i="1"/>
  <c r="AV1620" i="1"/>
  <c r="AW1619" i="1"/>
  <c r="AV1619" i="1"/>
  <c r="AU1619" i="1"/>
  <c r="AW1618" i="1"/>
  <c r="AV1618" i="1"/>
  <c r="AU1618" i="1"/>
  <c r="AW1617" i="1"/>
  <c r="AV1617" i="1"/>
  <c r="AU1617" i="1"/>
  <c r="AW1616" i="1"/>
  <c r="AV1616" i="1"/>
  <c r="AU1616" i="1"/>
  <c r="AW1615" i="1"/>
  <c r="AV1615" i="1"/>
  <c r="AU1615" i="1"/>
  <c r="AW1614" i="1"/>
  <c r="AV1614" i="1"/>
  <c r="AU1614" i="1"/>
  <c r="AW1613" i="1"/>
  <c r="AV1613" i="1"/>
  <c r="AU1613" i="1"/>
  <c r="AW1612" i="1"/>
  <c r="AV1612" i="1"/>
  <c r="AU1612" i="1"/>
  <c r="AW1611" i="1"/>
  <c r="AV1611" i="1"/>
  <c r="AW1610" i="1"/>
  <c r="AV1610" i="1"/>
  <c r="AW1609" i="1"/>
  <c r="AV1609" i="1"/>
  <c r="AW1608" i="1"/>
  <c r="AV1608" i="1"/>
  <c r="AU1608" i="1"/>
  <c r="AW1607" i="1"/>
  <c r="AV1607" i="1"/>
  <c r="AU1607" i="1"/>
  <c r="AW1606" i="1"/>
  <c r="AV1606" i="1"/>
  <c r="AU1606" i="1"/>
  <c r="AW1605" i="1"/>
  <c r="AV1605" i="1"/>
  <c r="AU1605" i="1"/>
  <c r="AW1604" i="1"/>
  <c r="AV1604" i="1"/>
  <c r="AU1604" i="1"/>
  <c r="AW1603" i="1"/>
  <c r="AV1603" i="1"/>
  <c r="AU1603" i="1"/>
  <c r="AW1602" i="1"/>
  <c r="AV1602" i="1"/>
  <c r="AU1602" i="1"/>
  <c r="AW1601" i="1"/>
  <c r="AV1601" i="1"/>
  <c r="AU1601" i="1"/>
  <c r="AW1600" i="1"/>
  <c r="AV1600" i="1"/>
  <c r="AU1600" i="1"/>
  <c r="AW1599" i="1"/>
  <c r="AV1599" i="1"/>
  <c r="AU1599" i="1"/>
  <c r="AW1598" i="1"/>
  <c r="AV1598" i="1"/>
  <c r="AU1598" i="1"/>
  <c r="AW1597" i="1"/>
  <c r="AV1597" i="1"/>
  <c r="AW1596" i="1"/>
  <c r="AV1596" i="1"/>
  <c r="AW1595" i="1"/>
  <c r="AV1595" i="1"/>
  <c r="AW1594" i="1"/>
  <c r="AV1594" i="1"/>
  <c r="AW1593" i="1"/>
  <c r="AV1593" i="1"/>
  <c r="AW1592" i="1"/>
  <c r="AV1592" i="1"/>
  <c r="AU1592" i="1"/>
  <c r="AW1591" i="1"/>
  <c r="AV1591" i="1"/>
  <c r="AW1590" i="1"/>
  <c r="AV1590" i="1"/>
  <c r="AW1589" i="1"/>
  <c r="AV1589" i="1"/>
  <c r="AU1589" i="1"/>
  <c r="AW1588" i="1"/>
  <c r="AV1588" i="1"/>
  <c r="AU1588" i="1"/>
  <c r="AW1587" i="1"/>
  <c r="AV1587" i="1"/>
  <c r="AU1587" i="1"/>
  <c r="AW1586" i="1"/>
  <c r="AV1586" i="1"/>
  <c r="AU1586" i="1"/>
  <c r="AW1585" i="1"/>
  <c r="AV1585" i="1"/>
  <c r="AU1585" i="1"/>
  <c r="AW1584" i="1"/>
  <c r="AV1584" i="1"/>
  <c r="AU1584" i="1"/>
  <c r="AW1583" i="1"/>
  <c r="AV1583" i="1"/>
  <c r="AW1582" i="1"/>
  <c r="AV1582" i="1"/>
  <c r="AW1581" i="1"/>
  <c r="AV1581" i="1"/>
  <c r="AW1580" i="1"/>
  <c r="AV1580" i="1"/>
  <c r="AU1580" i="1"/>
  <c r="AW1579" i="1"/>
  <c r="AV1579" i="1"/>
  <c r="AU1579" i="1"/>
  <c r="AW1578" i="1"/>
  <c r="AV1578" i="1"/>
  <c r="AW1577" i="1"/>
  <c r="AV1577" i="1"/>
  <c r="AU1577" i="1"/>
  <c r="AW1576" i="1"/>
  <c r="AV1576" i="1"/>
  <c r="AW1575" i="1"/>
  <c r="AV1575" i="1"/>
  <c r="AW1574" i="1"/>
  <c r="AV1574" i="1"/>
  <c r="AW1573" i="1"/>
  <c r="AV1573" i="1"/>
  <c r="AW1572" i="1"/>
  <c r="AV1572" i="1"/>
  <c r="AW1571" i="1"/>
  <c r="AV1571" i="1"/>
  <c r="AW1570" i="1"/>
  <c r="AV1570" i="1"/>
  <c r="AW1569" i="1"/>
  <c r="AV1569" i="1"/>
  <c r="AW1568" i="1"/>
  <c r="AV1568" i="1"/>
  <c r="AW1567" i="1"/>
  <c r="AV1567" i="1"/>
  <c r="AW1566" i="1"/>
  <c r="AV1566" i="1"/>
  <c r="AW1565" i="1"/>
  <c r="AV1565" i="1"/>
  <c r="AU1565" i="1"/>
  <c r="AW1564" i="1"/>
  <c r="AV1564" i="1"/>
  <c r="AW1563" i="1"/>
  <c r="AV1563" i="1"/>
  <c r="AU1563" i="1"/>
  <c r="AW1562" i="1"/>
  <c r="AV1562" i="1"/>
  <c r="AW1561" i="1"/>
  <c r="AV1561" i="1"/>
  <c r="AU1561" i="1"/>
  <c r="AW1560" i="1"/>
  <c r="AV1560" i="1"/>
  <c r="AU1560" i="1"/>
  <c r="AW1559" i="1"/>
  <c r="AV1559" i="1"/>
  <c r="AW1558" i="1"/>
  <c r="AV1558" i="1"/>
  <c r="AW1557" i="1"/>
  <c r="AV1557" i="1"/>
  <c r="AW1556" i="1"/>
  <c r="AV1556" i="1"/>
  <c r="AW1555" i="1"/>
  <c r="AV1555" i="1"/>
  <c r="AW1554" i="1"/>
  <c r="AV1554" i="1"/>
  <c r="AW1553" i="1"/>
  <c r="AV1553" i="1"/>
  <c r="AW1552" i="1"/>
  <c r="AV1552" i="1"/>
  <c r="AW1551" i="1"/>
  <c r="AV1551" i="1"/>
  <c r="AW1550" i="1"/>
  <c r="AV1550" i="1"/>
  <c r="AW1549" i="1"/>
  <c r="AV1549" i="1"/>
  <c r="AW1548" i="1"/>
  <c r="AV1548" i="1"/>
  <c r="AU1548" i="1"/>
  <c r="AW1547" i="1"/>
  <c r="AV1547" i="1"/>
  <c r="AW1546" i="1"/>
  <c r="AV1546" i="1"/>
  <c r="AU1546" i="1"/>
  <c r="AW1545" i="1"/>
  <c r="AV1545" i="1"/>
  <c r="AW1544" i="1"/>
  <c r="AV1544" i="1"/>
  <c r="AW1543" i="1"/>
  <c r="AV1543" i="1"/>
  <c r="AW1542" i="1"/>
  <c r="AV1542" i="1"/>
  <c r="AW1541" i="1"/>
  <c r="AV1541" i="1"/>
  <c r="AU1541" i="1"/>
  <c r="AW1540" i="1"/>
  <c r="AV1540" i="1"/>
  <c r="AW1539" i="1"/>
  <c r="AV1539" i="1"/>
  <c r="AW1538" i="1"/>
  <c r="AV1538" i="1"/>
  <c r="AW1537" i="1"/>
  <c r="AV1537" i="1"/>
  <c r="AU1537" i="1"/>
  <c r="AW1536" i="1"/>
  <c r="AV1536" i="1"/>
  <c r="AW1535" i="1"/>
  <c r="AV1535" i="1"/>
  <c r="AW1534" i="1"/>
  <c r="AV1534" i="1"/>
  <c r="AW1533" i="1"/>
  <c r="AV1533" i="1"/>
  <c r="AU1533" i="1"/>
  <c r="AW1532" i="1"/>
  <c r="AV1532" i="1"/>
  <c r="AW1531" i="1"/>
  <c r="AV1531" i="1"/>
  <c r="AW1530" i="1"/>
  <c r="AV1530" i="1"/>
  <c r="AW1529" i="1"/>
  <c r="AV1529" i="1"/>
  <c r="AW1528" i="1"/>
  <c r="AV1528" i="1"/>
  <c r="AW1527" i="1"/>
  <c r="AV1527" i="1"/>
  <c r="AW1526" i="1"/>
  <c r="AV1526" i="1"/>
  <c r="AW1525" i="1"/>
  <c r="AV1525" i="1"/>
  <c r="AW1524" i="1"/>
  <c r="AV1524" i="1"/>
  <c r="AW1523" i="1"/>
  <c r="AV1523" i="1"/>
  <c r="AW1522" i="1"/>
  <c r="AV1522" i="1"/>
  <c r="AW1521" i="1"/>
  <c r="AV1521" i="1"/>
  <c r="AW1520" i="1"/>
  <c r="AV1520" i="1"/>
  <c r="AW1519" i="1"/>
  <c r="AV1519" i="1"/>
  <c r="AW1518" i="1"/>
  <c r="AV1518" i="1"/>
  <c r="AW1517" i="1"/>
  <c r="AV1517" i="1"/>
  <c r="AW1516" i="1"/>
  <c r="AV1516" i="1"/>
  <c r="AW1515" i="1"/>
  <c r="AV1515" i="1"/>
  <c r="AW1514" i="1"/>
  <c r="AV1514" i="1"/>
  <c r="AW1513" i="1"/>
  <c r="AV1513" i="1"/>
  <c r="AW1512" i="1"/>
  <c r="AV1512" i="1"/>
  <c r="AW1511" i="1"/>
  <c r="AV1511" i="1"/>
  <c r="AW1510" i="1"/>
  <c r="AV1510" i="1"/>
  <c r="AW1509" i="1"/>
  <c r="AV1509" i="1"/>
  <c r="AW1508" i="1"/>
  <c r="AV1508" i="1"/>
  <c r="AW1507" i="1"/>
  <c r="AV1507" i="1"/>
  <c r="AW1506" i="1"/>
  <c r="AV1506" i="1"/>
  <c r="AW1505" i="1"/>
  <c r="AV1505" i="1"/>
  <c r="AW1504" i="1"/>
  <c r="AV1504" i="1"/>
  <c r="AU1504" i="1"/>
  <c r="AW1503" i="1"/>
  <c r="AV1503" i="1"/>
  <c r="AU1503" i="1"/>
  <c r="AW1502" i="1"/>
  <c r="AV1502" i="1"/>
  <c r="AU1502" i="1"/>
  <c r="AW1501" i="1"/>
  <c r="AV1501" i="1"/>
  <c r="AW1500" i="1"/>
  <c r="AV1500" i="1"/>
  <c r="AW1499" i="1"/>
  <c r="AV1499" i="1"/>
  <c r="AW1498" i="1"/>
  <c r="AV1498" i="1"/>
  <c r="AW1497" i="1"/>
  <c r="AV1497" i="1"/>
  <c r="AU1497" i="1"/>
  <c r="AW1496" i="1"/>
  <c r="AV1496" i="1"/>
  <c r="AU1496" i="1"/>
  <c r="AW1495" i="1"/>
  <c r="AV1495" i="1"/>
  <c r="AW1494" i="1"/>
  <c r="AV1494" i="1"/>
  <c r="AW1493" i="1"/>
  <c r="AV1493" i="1"/>
  <c r="AW1492" i="1"/>
  <c r="AV1492" i="1"/>
  <c r="AW1491" i="1"/>
  <c r="AV1491" i="1"/>
  <c r="AW1490" i="1"/>
  <c r="AV1490" i="1"/>
  <c r="AW1489" i="1"/>
  <c r="AV1489" i="1"/>
  <c r="AU1489" i="1"/>
  <c r="AW1488" i="1"/>
  <c r="AV1488" i="1"/>
  <c r="AW1487" i="1"/>
  <c r="AV1487" i="1"/>
  <c r="AU1487" i="1"/>
  <c r="AW1486" i="1"/>
  <c r="AV1486" i="1"/>
  <c r="AU1486" i="1"/>
  <c r="AW1485" i="1"/>
  <c r="AV1485" i="1"/>
  <c r="AW1484" i="1"/>
  <c r="AV1484" i="1"/>
  <c r="AW1483" i="1"/>
  <c r="AV1483" i="1"/>
  <c r="AW1482" i="1"/>
  <c r="AV1482" i="1"/>
  <c r="AW1481" i="1"/>
  <c r="AV1481" i="1"/>
  <c r="AW1480" i="1"/>
  <c r="AV1480" i="1"/>
  <c r="AW1479" i="1"/>
  <c r="AV1479" i="1"/>
  <c r="AW1478" i="1"/>
  <c r="AV1478" i="1"/>
  <c r="AW1477" i="1"/>
  <c r="AV1477" i="1"/>
  <c r="AU1477" i="1"/>
  <c r="AW1476" i="1"/>
  <c r="AV1476" i="1"/>
  <c r="AU1476" i="1"/>
  <c r="AW1475" i="1"/>
  <c r="AV1475" i="1"/>
  <c r="AU1475" i="1"/>
  <c r="AW1474" i="1"/>
  <c r="AV1474" i="1"/>
  <c r="AU1474" i="1"/>
  <c r="AW1473" i="1"/>
  <c r="AV1473" i="1"/>
  <c r="AU1473" i="1"/>
  <c r="AW1472" i="1"/>
  <c r="AV1472" i="1"/>
  <c r="AU1472" i="1"/>
  <c r="AW1471" i="1"/>
  <c r="AV1471" i="1"/>
  <c r="AU1471" i="1"/>
  <c r="AW1470" i="1"/>
  <c r="AV1470" i="1"/>
  <c r="AU1470" i="1"/>
  <c r="AW1469" i="1"/>
  <c r="AV1469" i="1"/>
  <c r="AU1469" i="1"/>
  <c r="AW1468" i="1"/>
  <c r="AV1468" i="1"/>
  <c r="AU1468" i="1"/>
  <c r="AW1467" i="1"/>
  <c r="AV1467" i="1"/>
  <c r="AU1467" i="1"/>
  <c r="AW1466" i="1"/>
  <c r="AV1466" i="1"/>
  <c r="AU1466" i="1"/>
  <c r="AW1465" i="1"/>
  <c r="AV1465" i="1"/>
  <c r="AU1465" i="1"/>
  <c r="AW1464" i="1"/>
  <c r="AV1464" i="1"/>
  <c r="AU1464" i="1"/>
  <c r="AW1463" i="1"/>
  <c r="AV1463" i="1"/>
  <c r="AW1462" i="1"/>
  <c r="AV1462" i="1"/>
  <c r="AU1462" i="1"/>
  <c r="AW1461" i="1"/>
  <c r="AV1461" i="1"/>
  <c r="AU1461" i="1"/>
  <c r="AW1460" i="1"/>
  <c r="AV1460" i="1"/>
  <c r="AW1459" i="1"/>
  <c r="AV1459" i="1"/>
  <c r="AU1459" i="1"/>
  <c r="AW1458" i="1"/>
  <c r="AV1458" i="1"/>
  <c r="AW1457" i="1"/>
  <c r="AV1457" i="1"/>
  <c r="AU1457" i="1"/>
  <c r="AW1456" i="1"/>
  <c r="AV1456" i="1"/>
  <c r="AU1456" i="1"/>
  <c r="AW1455" i="1"/>
  <c r="AV1455" i="1"/>
  <c r="AU1455" i="1"/>
  <c r="AW1454" i="1"/>
  <c r="AV1454" i="1"/>
  <c r="AU1454" i="1"/>
  <c r="AW1453" i="1"/>
  <c r="AV1453" i="1"/>
  <c r="AU1453" i="1"/>
  <c r="AW1452" i="1"/>
  <c r="AV1452" i="1"/>
  <c r="AU1452" i="1"/>
  <c r="AW1451" i="1"/>
  <c r="AV1451" i="1"/>
  <c r="AU1451" i="1"/>
  <c r="AW1450" i="1"/>
  <c r="AV1450" i="1"/>
  <c r="AW1449" i="1"/>
  <c r="AV1449" i="1"/>
  <c r="AU1449" i="1"/>
  <c r="AW1448" i="1"/>
  <c r="AV1448" i="1"/>
  <c r="AW1447" i="1"/>
  <c r="AV1447" i="1"/>
  <c r="AW1446" i="1"/>
  <c r="AV1446" i="1"/>
  <c r="AU1446" i="1"/>
  <c r="AW1445" i="1"/>
  <c r="AV1445" i="1"/>
  <c r="AW1444" i="1"/>
  <c r="AV1444" i="1"/>
  <c r="AW1443" i="1"/>
  <c r="AV1443" i="1"/>
  <c r="AU1443" i="1"/>
  <c r="AW1442" i="1"/>
  <c r="AV1442" i="1"/>
  <c r="AW1441" i="1"/>
  <c r="AV1441" i="1"/>
  <c r="AW1440" i="1"/>
  <c r="AV1440" i="1"/>
  <c r="AU1440" i="1"/>
  <c r="AW1439" i="1"/>
  <c r="AV1439" i="1"/>
  <c r="AW1438" i="1"/>
  <c r="AV1438" i="1"/>
  <c r="AW1437" i="1"/>
  <c r="AV1437" i="1"/>
  <c r="AU1437" i="1"/>
  <c r="AW1436" i="1"/>
  <c r="AV1436" i="1"/>
  <c r="AU1436" i="1"/>
  <c r="AW1435" i="1"/>
  <c r="AV1435" i="1"/>
  <c r="AW1434" i="1"/>
  <c r="AV1434" i="1"/>
  <c r="AW1433" i="1"/>
  <c r="AV1433" i="1"/>
  <c r="AW1432" i="1"/>
  <c r="AV1432" i="1"/>
  <c r="AU1432" i="1"/>
  <c r="AW1431" i="1"/>
  <c r="AV1431" i="1"/>
  <c r="AU1431" i="1"/>
  <c r="AW1430" i="1"/>
  <c r="AV1430" i="1"/>
  <c r="AU1430" i="1"/>
  <c r="AW1429" i="1"/>
  <c r="AV1429" i="1"/>
  <c r="AU1429" i="1"/>
  <c r="AW1428" i="1"/>
  <c r="AV1428" i="1"/>
  <c r="AU1428" i="1"/>
  <c r="AW1427" i="1"/>
  <c r="AV1427" i="1"/>
  <c r="AW1426" i="1"/>
  <c r="AV1426" i="1"/>
  <c r="AW1425" i="1"/>
  <c r="AV1425" i="1"/>
  <c r="AU1425" i="1"/>
  <c r="AW1424" i="1"/>
  <c r="AV1424" i="1"/>
  <c r="AU1424" i="1"/>
  <c r="AW1423" i="1"/>
  <c r="AV1423" i="1"/>
  <c r="AW1422" i="1"/>
  <c r="AV1422" i="1"/>
  <c r="AW1421" i="1"/>
  <c r="AV1421" i="1"/>
  <c r="AW1420" i="1"/>
  <c r="AV1420" i="1"/>
  <c r="AU1420" i="1"/>
  <c r="AW1419" i="1"/>
  <c r="AV1419" i="1"/>
  <c r="AU1419" i="1"/>
  <c r="AW1418" i="1"/>
  <c r="AV1418" i="1"/>
  <c r="AU1418" i="1"/>
  <c r="AW1417" i="1"/>
  <c r="AV1417" i="1"/>
  <c r="AW1416" i="1"/>
  <c r="AV1416" i="1"/>
  <c r="AU1416" i="1"/>
  <c r="AW1415" i="1"/>
  <c r="AV1415" i="1"/>
  <c r="AW1414" i="1"/>
  <c r="AV1414" i="1"/>
  <c r="AW1413" i="1"/>
  <c r="AV1413" i="1"/>
  <c r="AW1412" i="1"/>
  <c r="AV1412" i="1"/>
  <c r="AW1411" i="1"/>
  <c r="AV1411" i="1"/>
  <c r="AW1410" i="1"/>
  <c r="AV1410" i="1"/>
  <c r="AW1409" i="1"/>
  <c r="AV1409" i="1"/>
  <c r="AU1409" i="1"/>
  <c r="AW1408" i="1"/>
  <c r="AV1408" i="1"/>
  <c r="AW1407" i="1"/>
  <c r="AV1407" i="1"/>
  <c r="AW1406" i="1"/>
  <c r="AV1406" i="1"/>
  <c r="AW1405" i="1"/>
  <c r="AV1405" i="1"/>
  <c r="AU1405" i="1"/>
  <c r="AW1404" i="1"/>
  <c r="AV1404" i="1"/>
  <c r="AU1404" i="1"/>
  <c r="AW1403" i="1"/>
  <c r="AV1403" i="1"/>
  <c r="AW1402" i="1"/>
  <c r="AV1402" i="1"/>
  <c r="AU1402" i="1"/>
  <c r="AW1401" i="1"/>
  <c r="AV1401" i="1"/>
  <c r="AW1400" i="1"/>
  <c r="AV1400" i="1"/>
  <c r="AW1399" i="1"/>
  <c r="AV1399" i="1"/>
  <c r="AU1399" i="1"/>
  <c r="AW1398" i="1"/>
  <c r="AV1398" i="1"/>
  <c r="AU1398" i="1"/>
  <c r="AW1397" i="1"/>
  <c r="AV1397" i="1"/>
  <c r="AW1396" i="1"/>
  <c r="AV1396" i="1"/>
  <c r="AW1395" i="1"/>
  <c r="AV1395" i="1"/>
  <c r="AW1394" i="1"/>
  <c r="AV1394" i="1"/>
  <c r="AW1393" i="1"/>
  <c r="AV1393" i="1"/>
  <c r="AW1392" i="1"/>
  <c r="AV1392" i="1"/>
  <c r="AU1392" i="1"/>
  <c r="AW1391" i="1"/>
  <c r="AV1391" i="1"/>
  <c r="AW1390" i="1"/>
  <c r="AV1390" i="1"/>
  <c r="AU1390" i="1"/>
  <c r="AW1389" i="1"/>
  <c r="AV1389" i="1"/>
  <c r="AW1388" i="1"/>
  <c r="AV1388" i="1"/>
  <c r="AW1387" i="1"/>
  <c r="AV1387" i="1"/>
  <c r="AU1387" i="1"/>
  <c r="AW1386" i="1"/>
  <c r="AV1386" i="1"/>
  <c r="AW1385" i="1"/>
  <c r="AV1385" i="1"/>
  <c r="AW1384" i="1"/>
  <c r="AV1384" i="1"/>
  <c r="AU1384" i="1"/>
  <c r="AW1383" i="1"/>
  <c r="AV1383" i="1"/>
  <c r="AU1383" i="1"/>
  <c r="AW1382" i="1"/>
  <c r="AV1382" i="1"/>
  <c r="AU1382" i="1"/>
  <c r="AW1381" i="1"/>
  <c r="AV1381" i="1"/>
  <c r="AW1380" i="1"/>
  <c r="AV1380" i="1"/>
  <c r="AW1379" i="1"/>
  <c r="AV1379" i="1"/>
  <c r="AW1378" i="1"/>
  <c r="AV1378" i="1"/>
  <c r="AU1378" i="1"/>
  <c r="AW1377" i="1"/>
  <c r="AV1377" i="1"/>
  <c r="AU1377" i="1"/>
  <c r="AW1376" i="1"/>
  <c r="AV1376" i="1"/>
  <c r="AU1376" i="1"/>
  <c r="AW1375" i="1"/>
  <c r="AV1375" i="1"/>
  <c r="AU1375" i="1"/>
  <c r="AW1374" i="1"/>
  <c r="AV1374" i="1"/>
  <c r="AU1374" i="1"/>
  <c r="AW1373" i="1"/>
  <c r="AV1373" i="1"/>
  <c r="AU1373" i="1"/>
  <c r="AW1372" i="1"/>
  <c r="AV1372" i="1"/>
  <c r="AU1372" i="1"/>
  <c r="AW1371" i="1"/>
  <c r="AV1371" i="1"/>
  <c r="AU1371" i="1"/>
  <c r="AW1370" i="1"/>
  <c r="AV1370" i="1"/>
  <c r="AU1370" i="1"/>
  <c r="AW1369" i="1"/>
  <c r="AV1369" i="1"/>
  <c r="AU1369" i="1"/>
  <c r="AW1368" i="1"/>
  <c r="AV1368" i="1"/>
  <c r="AU1368" i="1"/>
  <c r="AW1367" i="1"/>
  <c r="AV1367" i="1"/>
  <c r="AU1367" i="1"/>
  <c r="AW1366" i="1"/>
  <c r="AV1366" i="1"/>
  <c r="AU1366" i="1"/>
  <c r="AW1365" i="1"/>
  <c r="AV1365" i="1"/>
  <c r="AU1365" i="1"/>
  <c r="AW1364" i="1"/>
  <c r="AV1364" i="1"/>
  <c r="AU1364" i="1"/>
  <c r="AW1363" i="1"/>
  <c r="AV1363" i="1"/>
  <c r="AU1363" i="1"/>
  <c r="AW1362" i="1"/>
  <c r="AV1362" i="1"/>
  <c r="AU1362" i="1"/>
  <c r="AW1361" i="1"/>
  <c r="AV1361" i="1"/>
  <c r="AU1361" i="1"/>
  <c r="AW1360" i="1"/>
  <c r="AV1360" i="1"/>
  <c r="AU1360" i="1"/>
  <c r="AW1359" i="1"/>
  <c r="AV1359" i="1"/>
  <c r="AW1358" i="1"/>
  <c r="AV1358" i="1"/>
  <c r="AW1357" i="1"/>
  <c r="AV1357" i="1"/>
  <c r="AW1356" i="1"/>
  <c r="AV1356" i="1"/>
  <c r="AW1355" i="1"/>
  <c r="AV1355" i="1"/>
  <c r="AW1354" i="1"/>
  <c r="AV1354" i="1"/>
  <c r="AW1353" i="1"/>
  <c r="AV1353" i="1"/>
  <c r="AW1352" i="1"/>
  <c r="AV1352" i="1"/>
  <c r="AW1351" i="1"/>
  <c r="AV1351" i="1"/>
  <c r="AW1350" i="1"/>
  <c r="AV1350" i="1"/>
  <c r="AW1349" i="1"/>
  <c r="AV1349" i="1"/>
  <c r="AW1348" i="1"/>
  <c r="AV1348" i="1"/>
  <c r="AW1347" i="1"/>
  <c r="AV1347" i="1"/>
  <c r="AW1346" i="1"/>
  <c r="AV1346" i="1"/>
  <c r="AW1345" i="1"/>
  <c r="AV1345" i="1"/>
  <c r="AW1344" i="1"/>
  <c r="AV1344" i="1"/>
  <c r="AW1343" i="1"/>
  <c r="AV1343" i="1"/>
  <c r="AU1343" i="1"/>
  <c r="AW1342" i="1"/>
  <c r="AV1342" i="1"/>
  <c r="AU1342" i="1"/>
  <c r="AW1341" i="1"/>
  <c r="AV1341" i="1"/>
  <c r="AU1341" i="1"/>
  <c r="AW1340" i="1"/>
  <c r="AV1340" i="1"/>
  <c r="AW1339" i="1"/>
  <c r="AV1339" i="1"/>
  <c r="AW1338" i="1"/>
  <c r="AV1338" i="1"/>
  <c r="AW1337" i="1"/>
  <c r="AV1337" i="1"/>
  <c r="AW1336" i="1"/>
  <c r="AV1336" i="1"/>
  <c r="AU1336" i="1"/>
  <c r="AW1335" i="1"/>
  <c r="AV1335" i="1"/>
  <c r="AW1334" i="1"/>
  <c r="AV1334" i="1"/>
  <c r="AU1334" i="1"/>
  <c r="AW1333" i="1"/>
  <c r="AV1333" i="1"/>
  <c r="AW1332" i="1"/>
  <c r="AV1332" i="1"/>
  <c r="AU1332" i="1"/>
  <c r="AW1331" i="1"/>
  <c r="AV1331" i="1"/>
  <c r="AW1330" i="1"/>
  <c r="AV1330" i="1"/>
  <c r="AW1329" i="1"/>
  <c r="AV1329" i="1"/>
  <c r="AW1328" i="1"/>
  <c r="AV1328" i="1"/>
  <c r="AU1328" i="1"/>
  <c r="AW1327" i="1"/>
  <c r="AV1327" i="1"/>
  <c r="AW1326" i="1"/>
  <c r="AV1326" i="1"/>
  <c r="AU1326" i="1"/>
  <c r="AW1325" i="1"/>
  <c r="AV1325" i="1"/>
  <c r="AW1324" i="1"/>
  <c r="AV1324" i="1"/>
  <c r="AW1323" i="1"/>
  <c r="AV1323" i="1"/>
  <c r="AW1322" i="1"/>
  <c r="AV1322" i="1"/>
  <c r="AU1322" i="1"/>
  <c r="AW1321" i="1"/>
  <c r="AV1321" i="1"/>
  <c r="AW1320" i="1"/>
  <c r="AV1320" i="1"/>
  <c r="AU1320" i="1"/>
  <c r="AW1319" i="1"/>
  <c r="AV1319" i="1"/>
  <c r="AW1318" i="1"/>
  <c r="AV1318" i="1"/>
  <c r="AW1317" i="1"/>
  <c r="AV1317" i="1"/>
  <c r="AW1316" i="1"/>
  <c r="AV1316" i="1"/>
  <c r="AU1316" i="1"/>
  <c r="AW1315" i="1"/>
  <c r="AV1315" i="1"/>
  <c r="AW1314" i="1"/>
  <c r="AV1314" i="1"/>
  <c r="AW1313" i="1"/>
  <c r="AV1313" i="1"/>
  <c r="AW1312" i="1"/>
  <c r="AV1312" i="1"/>
  <c r="AW1311" i="1"/>
  <c r="AV1311" i="1"/>
  <c r="AW1310" i="1"/>
  <c r="AV1310" i="1"/>
  <c r="AW1309" i="1"/>
  <c r="AV1309" i="1"/>
  <c r="AW1308" i="1"/>
  <c r="AV1308" i="1"/>
  <c r="AW1307" i="1"/>
  <c r="AV1307" i="1"/>
  <c r="AU1307" i="1"/>
  <c r="AW1306" i="1"/>
  <c r="AV1306" i="1"/>
  <c r="AU1306" i="1"/>
  <c r="AW1305" i="1"/>
  <c r="AV1305" i="1"/>
  <c r="AU1305" i="1"/>
  <c r="AW1304" i="1"/>
  <c r="AV1304" i="1"/>
  <c r="AU1304" i="1"/>
  <c r="AW1303" i="1"/>
  <c r="AV1303" i="1"/>
  <c r="AW1302" i="1"/>
  <c r="AV1302" i="1"/>
  <c r="AW1301" i="1"/>
  <c r="AV1301" i="1"/>
  <c r="AW1300" i="1"/>
  <c r="AV1300" i="1"/>
  <c r="AW1299" i="1"/>
  <c r="AV1299" i="1"/>
  <c r="AW1298" i="1"/>
  <c r="AV1298" i="1"/>
  <c r="AW1297" i="1"/>
  <c r="AV1297" i="1"/>
  <c r="AU1297" i="1"/>
  <c r="AW1296" i="1"/>
  <c r="AV1296" i="1"/>
  <c r="AU1296" i="1"/>
  <c r="AW1295" i="1"/>
  <c r="AV1295" i="1"/>
  <c r="AU1295" i="1"/>
  <c r="AW1294" i="1"/>
  <c r="AV1294" i="1"/>
  <c r="AW1293" i="1"/>
  <c r="AV1293" i="1"/>
  <c r="AW1292" i="1"/>
  <c r="AV1292" i="1"/>
  <c r="AW1291" i="1"/>
  <c r="AV1291" i="1"/>
  <c r="AU1291" i="1"/>
  <c r="AW1290" i="1"/>
  <c r="AV1290" i="1"/>
  <c r="AU1290" i="1"/>
  <c r="AW1289" i="1"/>
  <c r="AV1289" i="1"/>
  <c r="AU1289" i="1"/>
  <c r="AW1288" i="1"/>
  <c r="AV1288" i="1"/>
  <c r="AU1288" i="1"/>
  <c r="AW1287" i="1"/>
  <c r="AV1287" i="1"/>
  <c r="AU1287" i="1"/>
  <c r="AW1286" i="1"/>
  <c r="AV1286" i="1"/>
  <c r="AU1286" i="1"/>
  <c r="AW1285" i="1"/>
  <c r="AV1285" i="1"/>
  <c r="AU1285" i="1"/>
  <c r="AW1284" i="1"/>
  <c r="AV1284" i="1"/>
  <c r="AW1283" i="1"/>
  <c r="AV1283" i="1"/>
  <c r="AW1282" i="1"/>
  <c r="AV1282" i="1"/>
  <c r="AW1281" i="1"/>
  <c r="AV1281" i="1"/>
  <c r="AW1280" i="1"/>
  <c r="AV1280" i="1"/>
  <c r="AU1280" i="1"/>
  <c r="AW1279" i="1"/>
  <c r="AV1279" i="1"/>
  <c r="AU1279" i="1"/>
  <c r="AW1278" i="1"/>
  <c r="AV1278" i="1"/>
  <c r="AU1278" i="1"/>
  <c r="AW1277" i="1"/>
  <c r="AV1277" i="1"/>
  <c r="AU1277" i="1"/>
  <c r="AW1276" i="1"/>
  <c r="AV1276" i="1"/>
  <c r="AW1275" i="1"/>
  <c r="AV1275" i="1"/>
  <c r="AW1274" i="1"/>
  <c r="AV1274" i="1"/>
  <c r="AU1274" i="1"/>
  <c r="AW1273" i="1"/>
  <c r="AV1273" i="1"/>
  <c r="AU1273" i="1"/>
  <c r="AW1272" i="1"/>
  <c r="AV1272" i="1"/>
  <c r="AW1271" i="1"/>
  <c r="AV1271" i="1"/>
  <c r="AU1271" i="1"/>
  <c r="AW1270" i="1"/>
  <c r="AV1270" i="1"/>
  <c r="AW1269" i="1"/>
  <c r="AV1269" i="1"/>
  <c r="AW1268" i="1"/>
  <c r="AV1268" i="1"/>
  <c r="AU1268" i="1"/>
  <c r="AW1267" i="1"/>
  <c r="AV1267" i="1"/>
  <c r="AU1267" i="1"/>
  <c r="AW1266" i="1"/>
  <c r="AV1266" i="1"/>
  <c r="AW1265" i="1"/>
  <c r="AV1265" i="1"/>
  <c r="AW1264" i="1"/>
  <c r="AV1264" i="1"/>
  <c r="AU1264" i="1"/>
  <c r="AW1263" i="1"/>
  <c r="AV1263" i="1"/>
  <c r="AU1263" i="1"/>
  <c r="AW1262" i="1"/>
  <c r="AV1262" i="1"/>
  <c r="AU1262" i="1"/>
  <c r="AW1261" i="1"/>
  <c r="AV1261" i="1"/>
  <c r="AU1261" i="1"/>
  <c r="AW1260" i="1"/>
  <c r="AV1260" i="1"/>
  <c r="AU1260" i="1"/>
  <c r="AW1259" i="1"/>
  <c r="AV1259" i="1"/>
  <c r="AU1259" i="1"/>
  <c r="AW1258" i="1"/>
  <c r="AV1258" i="1"/>
  <c r="AU1258" i="1"/>
  <c r="AW1257" i="1"/>
  <c r="AV1257" i="1"/>
  <c r="AU1257" i="1"/>
  <c r="AW1256" i="1"/>
  <c r="AV1256" i="1"/>
  <c r="AU1256" i="1"/>
  <c r="AW1255" i="1"/>
  <c r="AV1255" i="1"/>
  <c r="AW1254" i="1"/>
  <c r="AV1254" i="1"/>
  <c r="AW1253" i="1"/>
  <c r="AV1253" i="1"/>
  <c r="AW1252" i="1"/>
  <c r="AV1252" i="1"/>
  <c r="AU1252" i="1"/>
  <c r="AW1251" i="1"/>
  <c r="AV1251" i="1"/>
  <c r="AW1250" i="1"/>
  <c r="AV1250" i="1"/>
  <c r="AW1249" i="1"/>
  <c r="AV1249" i="1"/>
  <c r="AU1249" i="1"/>
  <c r="AW1248" i="1"/>
  <c r="AV1248" i="1"/>
  <c r="AU1248" i="1"/>
  <c r="AW1247" i="1"/>
  <c r="AV1247" i="1"/>
  <c r="AU1247" i="1"/>
  <c r="AW1246" i="1"/>
  <c r="AV1246" i="1"/>
  <c r="AU1246" i="1"/>
  <c r="AW1245" i="1"/>
  <c r="AV1245" i="1"/>
  <c r="AU1245" i="1"/>
  <c r="AW1244" i="1"/>
  <c r="AV1244" i="1"/>
  <c r="AU1244" i="1"/>
  <c r="AW1243" i="1"/>
  <c r="AV1243" i="1"/>
  <c r="AU1243" i="1"/>
  <c r="AW1242" i="1"/>
  <c r="AV1242" i="1"/>
  <c r="AW1241" i="1"/>
  <c r="AV1241" i="1"/>
  <c r="AW1240" i="1"/>
  <c r="AV1240" i="1"/>
  <c r="AW1239" i="1"/>
  <c r="AV1239" i="1"/>
  <c r="AW1238" i="1"/>
  <c r="AV1238" i="1"/>
  <c r="AW1237" i="1"/>
  <c r="AV1237" i="1"/>
  <c r="AU1237" i="1"/>
  <c r="AW1236" i="1"/>
  <c r="AV1236" i="1"/>
  <c r="AU1236" i="1"/>
  <c r="AW1235" i="1"/>
  <c r="AV1235" i="1"/>
  <c r="AU1235" i="1"/>
  <c r="AW1234" i="1"/>
  <c r="AV1234" i="1"/>
  <c r="AU1234" i="1"/>
  <c r="AW1233" i="1"/>
  <c r="AV1233" i="1"/>
  <c r="AU1233" i="1"/>
  <c r="AW1232" i="1"/>
  <c r="AV1232" i="1"/>
  <c r="AU1232" i="1"/>
  <c r="AW1231" i="1"/>
  <c r="AV1231" i="1"/>
  <c r="AU1231" i="1"/>
  <c r="AW1230" i="1"/>
  <c r="AV1230" i="1"/>
  <c r="AU1230" i="1"/>
  <c r="AW1229" i="1"/>
  <c r="AV1229" i="1"/>
  <c r="AU1229" i="1"/>
  <c r="AW1228" i="1"/>
  <c r="AV1228" i="1"/>
  <c r="AU1228" i="1"/>
  <c r="AW1227" i="1"/>
  <c r="AV1227" i="1"/>
  <c r="AU1227" i="1"/>
  <c r="AW1226" i="1"/>
  <c r="AV1226" i="1"/>
  <c r="AU1226" i="1"/>
  <c r="AW1225" i="1"/>
  <c r="AV1225" i="1"/>
  <c r="AU1225" i="1"/>
  <c r="AW1224" i="1"/>
  <c r="AV1224" i="1"/>
  <c r="AU1224" i="1"/>
  <c r="AW1223" i="1"/>
  <c r="AV1223" i="1"/>
  <c r="AU1223" i="1"/>
  <c r="AW1222" i="1"/>
  <c r="AV1222" i="1"/>
  <c r="AW1221" i="1"/>
  <c r="AV1221" i="1"/>
  <c r="AW1220" i="1"/>
  <c r="AV1220" i="1"/>
  <c r="AW1219" i="1"/>
  <c r="AV1219" i="1"/>
  <c r="AW1218" i="1"/>
  <c r="AV1218" i="1"/>
  <c r="AW1217" i="1"/>
  <c r="AV1217" i="1"/>
  <c r="AU1217" i="1"/>
  <c r="AW1216" i="1"/>
  <c r="AV1216" i="1"/>
  <c r="AU1216" i="1"/>
  <c r="AW1215" i="1"/>
  <c r="AV1215" i="1"/>
  <c r="AU1215" i="1"/>
  <c r="AW1214" i="1"/>
  <c r="AV1214" i="1"/>
  <c r="AU1214" i="1"/>
  <c r="AW1213" i="1"/>
  <c r="AV1213" i="1"/>
  <c r="AU1213" i="1"/>
  <c r="AW1212" i="1"/>
  <c r="AV1212" i="1"/>
  <c r="AW1211" i="1"/>
  <c r="AV1211" i="1"/>
  <c r="AU1211" i="1"/>
  <c r="AW1210" i="1"/>
  <c r="AV1210" i="1"/>
  <c r="AW1209" i="1"/>
  <c r="AV1209" i="1"/>
  <c r="AW1208" i="1"/>
  <c r="AV1208" i="1"/>
  <c r="AW1207" i="1"/>
  <c r="AV1207" i="1"/>
  <c r="AU1207" i="1"/>
  <c r="AW1206" i="1"/>
  <c r="AV1206" i="1"/>
  <c r="AW1205" i="1"/>
  <c r="AV1205" i="1"/>
  <c r="AW1204" i="1"/>
  <c r="AV1204" i="1"/>
  <c r="AW1203" i="1"/>
  <c r="AV1203" i="1"/>
  <c r="AW1202" i="1"/>
  <c r="AV1202" i="1"/>
  <c r="AW1201" i="1"/>
  <c r="AV1201" i="1"/>
  <c r="AW1200" i="1"/>
  <c r="AV1200" i="1"/>
  <c r="AW1199" i="1"/>
  <c r="AV1199" i="1"/>
  <c r="AW1198" i="1"/>
  <c r="AV1198" i="1"/>
  <c r="AW1197" i="1"/>
  <c r="AV1197" i="1"/>
  <c r="AW1196" i="1"/>
  <c r="AV1196" i="1"/>
  <c r="AW1195" i="1"/>
  <c r="AV1195" i="1"/>
  <c r="AW1194" i="1"/>
  <c r="AV1194" i="1"/>
  <c r="AW1193" i="1"/>
  <c r="AV1193" i="1"/>
  <c r="AW1192" i="1"/>
  <c r="AV1192" i="1"/>
  <c r="AW1191" i="1"/>
  <c r="AV1191" i="1"/>
  <c r="AW1190" i="1"/>
  <c r="AV1190" i="1"/>
  <c r="AW1189" i="1"/>
  <c r="AV1189" i="1"/>
  <c r="AW1188" i="1"/>
  <c r="AV1188" i="1"/>
  <c r="AW1187" i="1"/>
  <c r="AV1187" i="1"/>
  <c r="AW1186" i="1"/>
  <c r="AV1186" i="1"/>
  <c r="AU1186" i="1"/>
  <c r="AW1185" i="1"/>
  <c r="AV1185" i="1"/>
  <c r="AW1184" i="1"/>
  <c r="AV1184" i="1"/>
  <c r="AW1183" i="1"/>
  <c r="AV1183" i="1"/>
  <c r="AW1182" i="1"/>
  <c r="AV1182" i="1"/>
  <c r="AU1182" i="1"/>
  <c r="AW1181" i="1"/>
  <c r="AV1181" i="1"/>
  <c r="AW1180" i="1"/>
  <c r="AV1180" i="1"/>
  <c r="AW1179" i="1"/>
  <c r="AV1179" i="1"/>
  <c r="AW1178" i="1"/>
  <c r="AV1178" i="1"/>
  <c r="AW1177" i="1"/>
  <c r="AV1177" i="1"/>
  <c r="AW1176" i="1"/>
  <c r="AV1176" i="1"/>
  <c r="AW1175" i="1"/>
  <c r="AV1175" i="1"/>
  <c r="AU1175" i="1"/>
  <c r="AW1174" i="1"/>
  <c r="AV1174" i="1"/>
  <c r="AW1173" i="1"/>
  <c r="AV1173" i="1"/>
  <c r="AU1173" i="1"/>
  <c r="AW1172" i="1"/>
  <c r="AV1172" i="1"/>
  <c r="AW1171" i="1"/>
  <c r="AV1171" i="1"/>
  <c r="AW1170" i="1"/>
  <c r="AV1170" i="1"/>
  <c r="AW1169" i="1"/>
  <c r="AV1169" i="1"/>
  <c r="AW1168" i="1"/>
  <c r="AV1168" i="1"/>
  <c r="AU1168" i="1"/>
  <c r="AW1167" i="1"/>
  <c r="AV1167" i="1"/>
  <c r="AW1166" i="1"/>
  <c r="AV1166" i="1"/>
  <c r="AW1165" i="1"/>
  <c r="AV1165" i="1"/>
  <c r="AW1164" i="1"/>
  <c r="AV1164" i="1"/>
  <c r="AU1164" i="1"/>
  <c r="AW1163" i="1"/>
  <c r="AV1163" i="1"/>
  <c r="AW1162" i="1"/>
  <c r="AV1162" i="1"/>
  <c r="AW1161" i="1"/>
  <c r="AV1161" i="1"/>
  <c r="AW1160" i="1"/>
  <c r="AV1160" i="1"/>
  <c r="AW1159" i="1"/>
  <c r="AV1159" i="1"/>
  <c r="AW1158" i="1"/>
  <c r="AV1158" i="1"/>
  <c r="AU1158" i="1"/>
  <c r="AW1157" i="1"/>
  <c r="AV1157" i="1"/>
  <c r="AW1156" i="1"/>
  <c r="AV1156" i="1"/>
  <c r="AW1155" i="1"/>
  <c r="AV1155" i="1"/>
  <c r="AW1154" i="1"/>
  <c r="AV1154" i="1"/>
  <c r="AW1153" i="1"/>
  <c r="AV1153" i="1"/>
  <c r="AW1152" i="1"/>
  <c r="AV1152" i="1"/>
  <c r="AU1152" i="1"/>
  <c r="AW1151" i="1"/>
  <c r="AV1151" i="1"/>
  <c r="AW1150" i="1"/>
  <c r="AV1150" i="1"/>
  <c r="AW1149" i="1"/>
  <c r="AV1149" i="1"/>
  <c r="AW1148" i="1"/>
  <c r="AV1148" i="1"/>
  <c r="AU1148" i="1"/>
  <c r="AW1147" i="1"/>
  <c r="AV1147" i="1"/>
  <c r="AU1147" i="1"/>
  <c r="AW1146" i="1"/>
  <c r="AV1146" i="1"/>
  <c r="AW1145" i="1"/>
  <c r="AV1145" i="1"/>
  <c r="AW1144" i="1"/>
  <c r="AV1144" i="1"/>
  <c r="AW1143" i="1"/>
  <c r="AV1143" i="1"/>
  <c r="AW1142" i="1"/>
  <c r="AV1142" i="1"/>
  <c r="AW1141" i="1"/>
  <c r="AV1141" i="1"/>
  <c r="AW1140" i="1"/>
  <c r="AV1140" i="1"/>
  <c r="AW1139" i="1"/>
  <c r="AV1139" i="1"/>
  <c r="AW1138" i="1"/>
  <c r="AV1138" i="1"/>
  <c r="AW1137" i="1"/>
  <c r="AV1137" i="1"/>
  <c r="AW1136" i="1"/>
  <c r="AV1136" i="1"/>
  <c r="AW1135" i="1"/>
  <c r="AV1135" i="1"/>
  <c r="AW1134" i="1"/>
  <c r="AV1134" i="1"/>
  <c r="AU1134" i="1"/>
  <c r="AW1133" i="1"/>
  <c r="AV1133" i="1"/>
  <c r="AU1133" i="1"/>
  <c r="AW1132" i="1"/>
  <c r="AV1132" i="1"/>
  <c r="AW1131" i="1"/>
  <c r="AV1131" i="1"/>
  <c r="AU1131" i="1"/>
  <c r="AW1130" i="1"/>
  <c r="AV1130" i="1"/>
  <c r="AU1130" i="1"/>
  <c r="AW1129" i="1"/>
  <c r="AV1129" i="1"/>
  <c r="AW1128" i="1"/>
  <c r="AV1128" i="1"/>
  <c r="AW1127" i="1"/>
  <c r="AV1127" i="1"/>
  <c r="AW1126" i="1"/>
  <c r="AV1126" i="1"/>
  <c r="AW1125" i="1"/>
  <c r="AV1125" i="1"/>
  <c r="AU1125" i="1"/>
  <c r="AW1124" i="1"/>
  <c r="AV1124" i="1"/>
  <c r="AW1123" i="1"/>
  <c r="AV1123" i="1"/>
  <c r="AW1122" i="1"/>
  <c r="AV1122" i="1"/>
  <c r="AU1122" i="1"/>
  <c r="AW1121" i="1"/>
  <c r="AV1121" i="1"/>
  <c r="AW1120" i="1"/>
  <c r="AV1120" i="1"/>
  <c r="AW1119" i="1"/>
  <c r="AV1119" i="1"/>
  <c r="AU1119" i="1"/>
  <c r="AW1118" i="1"/>
  <c r="AV1118" i="1"/>
  <c r="AW1117" i="1"/>
  <c r="AV1117" i="1"/>
  <c r="AW1116" i="1"/>
  <c r="AV1116" i="1"/>
  <c r="AW1115" i="1"/>
  <c r="AV1115" i="1"/>
  <c r="AU1115" i="1"/>
  <c r="AW1114" i="1"/>
  <c r="AV1114" i="1"/>
  <c r="AU1114" i="1"/>
  <c r="AW1113" i="1"/>
  <c r="AV1113" i="1"/>
  <c r="AW1112" i="1"/>
  <c r="AV1112" i="1"/>
  <c r="AW1111" i="1"/>
  <c r="AV1111" i="1"/>
  <c r="AW1110" i="1"/>
  <c r="AV1110" i="1"/>
  <c r="AW1109" i="1"/>
  <c r="AV1109" i="1"/>
  <c r="AU1109" i="1"/>
  <c r="AW1108" i="1"/>
  <c r="AV1108" i="1"/>
  <c r="AU1108" i="1"/>
  <c r="AW1107" i="1"/>
  <c r="AV1107" i="1"/>
  <c r="AU1107" i="1"/>
  <c r="AW1106" i="1"/>
  <c r="AV1106" i="1"/>
  <c r="AU1106" i="1"/>
  <c r="AW1105" i="1"/>
  <c r="AV1105" i="1"/>
  <c r="AU1105" i="1"/>
  <c r="AW1104" i="1"/>
  <c r="AV1104" i="1"/>
  <c r="AW1103" i="1"/>
  <c r="AV1103" i="1"/>
  <c r="AU1103" i="1"/>
  <c r="AW1102" i="1"/>
  <c r="AV1102" i="1"/>
  <c r="AW1101" i="1"/>
  <c r="AV1101" i="1"/>
  <c r="AW1100" i="1"/>
  <c r="AV1100" i="1"/>
  <c r="AW1099" i="1"/>
  <c r="AV1099" i="1"/>
  <c r="AU1099" i="1"/>
  <c r="AW1098" i="1"/>
  <c r="AV1098" i="1"/>
  <c r="AU1098" i="1"/>
  <c r="AW1097" i="1"/>
  <c r="AV1097" i="1"/>
  <c r="AW1096" i="1"/>
  <c r="AV1096" i="1"/>
  <c r="AW1095" i="1"/>
  <c r="AV1095" i="1"/>
  <c r="AW1094" i="1"/>
  <c r="AV1094" i="1"/>
  <c r="AW1093" i="1"/>
  <c r="AV1093" i="1"/>
  <c r="AU1093" i="1"/>
  <c r="AW1092" i="1"/>
  <c r="AV1092" i="1"/>
  <c r="AU1092" i="1"/>
  <c r="AW1091" i="1"/>
  <c r="AV1091" i="1"/>
  <c r="AU1091" i="1"/>
  <c r="AW1090" i="1"/>
  <c r="AV1090" i="1"/>
  <c r="AW1089" i="1"/>
  <c r="AV1089" i="1"/>
  <c r="AW1088" i="1"/>
  <c r="AV1088" i="1"/>
  <c r="AU1088" i="1"/>
  <c r="AW1087" i="1"/>
  <c r="AV1087" i="1"/>
  <c r="AW1086" i="1"/>
  <c r="AV1086" i="1"/>
  <c r="AW1085" i="1"/>
  <c r="AV1085" i="1"/>
  <c r="AW1084" i="1"/>
  <c r="AV1084" i="1"/>
  <c r="AW1083" i="1"/>
  <c r="AV1083" i="1"/>
  <c r="AW1082" i="1"/>
  <c r="AV1082" i="1"/>
  <c r="AU1082" i="1"/>
  <c r="AW1081" i="1"/>
  <c r="AV1081" i="1"/>
  <c r="AW1080" i="1"/>
  <c r="AV1080" i="1"/>
  <c r="AW1079" i="1"/>
  <c r="AV1079" i="1"/>
  <c r="AW1078" i="1"/>
  <c r="AV1078" i="1"/>
  <c r="AU1078" i="1"/>
  <c r="AW1077" i="1"/>
  <c r="AV1077" i="1"/>
  <c r="AW1076" i="1"/>
  <c r="AV1076" i="1"/>
  <c r="AU1076" i="1"/>
  <c r="AW1075" i="1"/>
  <c r="AV1075" i="1"/>
  <c r="AU1075" i="1"/>
  <c r="AW1074" i="1"/>
  <c r="AV1074" i="1"/>
  <c r="AW1073" i="1"/>
  <c r="AV1073" i="1"/>
  <c r="AW1072" i="1"/>
  <c r="AV1072" i="1"/>
  <c r="AW1071" i="1"/>
  <c r="AV1071" i="1"/>
  <c r="AW1070" i="1"/>
  <c r="AV1070" i="1"/>
  <c r="AW1069" i="1"/>
  <c r="AV1069" i="1"/>
  <c r="AU1069" i="1"/>
  <c r="AW1068" i="1"/>
  <c r="AV1068" i="1"/>
  <c r="AW1067" i="1"/>
  <c r="AV1067" i="1"/>
  <c r="AU1067" i="1"/>
  <c r="AW1066" i="1"/>
  <c r="AV1066" i="1"/>
  <c r="AU1066" i="1"/>
  <c r="AW1065" i="1"/>
  <c r="AV1065" i="1"/>
  <c r="AW1064" i="1"/>
  <c r="AV1064" i="1"/>
  <c r="AW1063" i="1"/>
  <c r="AV1063" i="1"/>
  <c r="AU1063" i="1"/>
  <c r="AW1062" i="1"/>
  <c r="AV1062" i="1"/>
  <c r="AU1062" i="1"/>
  <c r="AW1061" i="1"/>
  <c r="AV1061" i="1"/>
  <c r="AW1060" i="1"/>
  <c r="AV1060" i="1"/>
  <c r="AW1059" i="1"/>
  <c r="AV1059" i="1"/>
  <c r="AW1058" i="1"/>
  <c r="AV1058" i="1"/>
  <c r="AW1057" i="1"/>
  <c r="AV1057" i="1"/>
  <c r="AW1056" i="1"/>
  <c r="AV1056" i="1"/>
  <c r="AW1055" i="1"/>
  <c r="AV1055" i="1"/>
  <c r="AU1055" i="1"/>
  <c r="AW1054" i="1"/>
  <c r="AV1054" i="1"/>
  <c r="AW1053" i="1"/>
  <c r="AV1053" i="1"/>
  <c r="AU1053" i="1"/>
  <c r="AW1052" i="1"/>
  <c r="AV1052" i="1"/>
  <c r="AW1051" i="1"/>
  <c r="AV1051" i="1"/>
  <c r="AW1050" i="1"/>
  <c r="AV1050" i="1"/>
  <c r="AW1049" i="1"/>
  <c r="AV1049" i="1"/>
  <c r="AU1049" i="1"/>
  <c r="AW1048" i="1"/>
  <c r="AV1048" i="1"/>
  <c r="AU1048" i="1"/>
  <c r="AW1047" i="1"/>
  <c r="AV1047" i="1"/>
  <c r="AW1046" i="1"/>
  <c r="AV1046" i="1"/>
  <c r="AW1045" i="1"/>
  <c r="AV1045" i="1"/>
  <c r="AW1044" i="1"/>
  <c r="AV1044" i="1"/>
  <c r="AU1044" i="1"/>
  <c r="AW1043" i="1"/>
  <c r="AV1043" i="1"/>
  <c r="AW1042" i="1"/>
  <c r="AV1042" i="1"/>
  <c r="AW1041" i="1"/>
  <c r="AV1041" i="1"/>
  <c r="AW1040" i="1"/>
  <c r="AV1040" i="1"/>
  <c r="AW1039" i="1"/>
  <c r="AV1039" i="1"/>
  <c r="AW1038" i="1"/>
  <c r="AV1038" i="1"/>
  <c r="AW1037" i="1"/>
  <c r="AV1037" i="1"/>
  <c r="AW1036" i="1"/>
  <c r="AV1036" i="1"/>
  <c r="AU1036" i="1"/>
  <c r="AW1035" i="1"/>
  <c r="AV1035" i="1"/>
  <c r="AW1034" i="1"/>
  <c r="AV1034" i="1"/>
  <c r="AW1033" i="1"/>
  <c r="AV1033" i="1"/>
  <c r="AW1032" i="1"/>
  <c r="AV1032" i="1"/>
  <c r="AW1031" i="1"/>
  <c r="AV1031" i="1"/>
  <c r="AU1031" i="1"/>
  <c r="AW1030" i="1"/>
  <c r="AV1030" i="1"/>
  <c r="AW1029" i="1"/>
  <c r="AV1029" i="1"/>
  <c r="AW1028" i="1"/>
  <c r="AV1028" i="1"/>
  <c r="AU1028" i="1"/>
  <c r="AW1027" i="1"/>
  <c r="AV1027" i="1"/>
  <c r="AU1027" i="1"/>
  <c r="AW1026" i="1"/>
  <c r="AV1026" i="1"/>
  <c r="AW1025" i="1"/>
  <c r="AV1025" i="1"/>
  <c r="AW1024" i="1"/>
  <c r="AV1024" i="1"/>
  <c r="AW1023" i="1"/>
  <c r="AV1023" i="1"/>
  <c r="AW1022" i="1"/>
  <c r="AV1022" i="1"/>
  <c r="AU1022" i="1"/>
  <c r="AW1021" i="1"/>
  <c r="AV1021" i="1"/>
  <c r="AW1020" i="1"/>
  <c r="AV1020" i="1"/>
  <c r="AW1019" i="1"/>
  <c r="AV1019" i="1"/>
  <c r="AU1019" i="1"/>
  <c r="AW1018" i="1"/>
  <c r="AV1018" i="1"/>
  <c r="AW1017" i="1"/>
  <c r="AV1017" i="1"/>
  <c r="AW1016" i="1"/>
  <c r="AV1016" i="1"/>
  <c r="AW1015" i="1"/>
  <c r="AV1015" i="1"/>
  <c r="AW1014" i="1"/>
  <c r="AV1014" i="1"/>
  <c r="AU1014" i="1"/>
  <c r="AW1013" i="1"/>
  <c r="AV1013" i="1"/>
  <c r="AW1012" i="1"/>
  <c r="AV1012" i="1"/>
  <c r="AW1011" i="1"/>
  <c r="AV1011" i="1"/>
  <c r="AU1011" i="1"/>
  <c r="AW1010" i="1"/>
  <c r="AV1010" i="1"/>
  <c r="AW1009" i="1"/>
  <c r="AV1009" i="1"/>
  <c r="AW1008" i="1"/>
  <c r="AV1008" i="1"/>
  <c r="AW1007" i="1"/>
  <c r="AV1007" i="1"/>
  <c r="AU1007" i="1"/>
  <c r="AW1006" i="1"/>
  <c r="AV1006" i="1"/>
  <c r="AW1005" i="1"/>
  <c r="AV1005" i="1"/>
  <c r="AU1005" i="1"/>
  <c r="AW1004" i="1"/>
  <c r="AV1004" i="1"/>
  <c r="AW1003" i="1"/>
  <c r="AV1003" i="1"/>
  <c r="AW1002" i="1"/>
  <c r="AV1002" i="1"/>
  <c r="AW1001" i="1"/>
  <c r="AV1001" i="1"/>
  <c r="AW1000" i="1"/>
  <c r="AV1000" i="1"/>
  <c r="AU1000" i="1"/>
  <c r="AW999" i="1"/>
  <c r="AV999" i="1"/>
  <c r="AU999" i="1"/>
  <c r="AW998" i="1"/>
  <c r="AV998" i="1"/>
  <c r="AU998" i="1"/>
  <c r="AW997" i="1"/>
  <c r="AV997" i="1"/>
  <c r="AU997" i="1"/>
  <c r="AW996" i="1"/>
  <c r="AV996" i="1"/>
  <c r="AW995" i="1"/>
  <c r="AV995" i="1"/>
  <c r="AU995" i="1"/>
  <c r="AW994" i="1"/>
  <c r="AV994" i="1"/>
  <c r="AW993" i="1"/>
  <c r="AV993" i="1"/>
  <c r="AW992" i="1"/>
  <c r="AV992" i="1"/>
  <c r="AW991" i="1"/>
  <c r="AV991" i="1"/>
  <c r="AU991" i="1"/>
  <c r="AW990" i="1"/>
  <c r="AV990" i="1"/>
  <c r="AW989" i="1"/>
  <c r="AV989" i="1"/>
  <c r="AW988" i="1"/>
  <c r="AV988" i="1"/>
  <c r="AW987" i="1"/>
  <c r="AV987" i="1"/>
  <c r="AW986" i="1"/>
  <c r="AV986" i="1"/>
  <c r="AU986" i="1"/>
  <c r="AW985" i="1"/>
  <c r="AV985" i="1"/>
  <c r="AW984" i="1"/>
  <c r="AV984" i="1"/>
  <c r="AU984" i="1"/>
  <c r="AW983" i="1"/>
  <c r="AV983" i="1"/>
  <c r="AU983" i="1"/>
  <c r="AW982" i="1"/>
  <c r="AV982" i="1"/>
  <c r="AU982" i="1"/>
  <c r="AW981" i="1"/>
  <c r="AV981" i="1"/>
  <c r="AW980" i="1"/>
  <c r="AV980" i="1"/>
  <c r="AU980" i="1"/>
  <c r="AW979" i="1"/>
  <c r="AV979" i="1"/>
  <c r="AU979" i="1"/>
  <c r="AW978" i="1"/>
  <c r="AV978" i="1"/>
  <c r="AU978" i="1"/>
  <c r="AW977" i="1"/>
  <c r="AV977" i="1"/>
  <c r="AW976" i="1"/>
  <c r="AV976" i="1"/>
  <c r="AU976" i="1"/>
  <c r="AW975" i="1"/>
  <c r="AV975" i="1"/>
  <c r="AW974" i="1"/>
  <c r="AV974" i="1"/>
  <c r="AW973" i="1"/>
  <c r="AV973" i="1"/>
  <c r="AW972" i="1"/>
  <c r="AV972" i="1"/>
  <c r="AW971" i="1"/>
  <c r="AV971" i="1"/>
  <c r="AW970" i="1"/>
  <c r="AV970" i="1"/>
  <c r="AW969" i="1"/>
  <c r="AV969" i="1"/>
  <c r="AW968" i="1"/>
  <c r="AV968" i="1"/>
  <c r="AW967" i="1"/>
  <c r="AV967" i="1"/>
  <c r="AU967" i="1"/>
  <c r="AW966" i="1"/>
  <c r="AV966" i="1"/>
  <c r="AU966" i="1"/>
  <c r="AW965" i="1"/>
  <c r="AV965" i="1"/>
  <c r="AW964" i="1"/>
  <c r="AV964" i="1"/>
  <c r="AU964" i="1"/>
  <c r="AW963" i="1"/>
  <c r="AV963" i="1"/>
  <c r="AU963" i="1"/>
  <c r="AW962" i="1"/>
  <c r="AV962" i="1"/>
  <c r="AU962" i="1"/>
  <c r="AW961" i="1"/>
  <c r="AV961" i="1"/>
  <c r="AW960" i="1"/>
  <c r="AV960" i="1"/>
  <c r="AW959" i="1"/>
  <c r="AV959" i="1"/>
  <c r="AW958" i="1"/>
  <c r="AV958" i="1"/>
  <c r="AW957" i="1"/>
  <c r="AV957" i="1"/>
  <c r="AW956" i="1"/>
  <c r="AV956" i="1"/>
  <c r="AW955" i="1"/>
  <c r="AV955" i="1"/>
  <c r="AW954" i="1"/>
  <c r="AV954" i="1"/>
  <c r="AW953" i="1"/>
  <c r="AV953" i="1"/>
  <c r="AU953" i="1"/>
  <c r="AW952" i="1"/>
  <c r="AV952" i="1"/>
  <c r="AW951" i="1"/>
  <c r="AV951" i="1"/>
  <c r="AU951" i="1"/>
  <c r="AW950" i="1"/>
  <c r="AV950" i="1"/>
  <c r="AU950" i="1"/>
  <c r="AW949" i="1"/>
  <c r="AV949" i="1"/>
  <c r="AW948" i="1"/>
  <c r="AV948" i="1"/>
  <c r="AW947" i="1"/>
  <c r="AV947" i="1"/>
  <c r="AW946" i="1"/>
  <c r="AV946" i="1"/>
  <c r="AW945" i="1"/>
  <c r="AV945" i="1"/>
  <c r="AW944" i="1"/>
  <c r="AV944" i="1"/>
  <c r="AW943" i="1"/>
  <c r="AV943" i="1"/>
  <c r="AW942" i="1"/>
  <c r="AV942" i="1"/>
  <c r="AW941" i="1"/>
  <c r="AV941" i="1"/>
  <c r="AW940" i="1"/>
  <c r="AV940" i="1"/>
  <c r="AW939" i="1"/>
  <c r="AV939" i="1"/>
  <c r="AW938" i="1"/>
  <c r="AV938" i="1"/>
  <c r="AW937" i="1"/>
  <c r="AV937" i="1"/>
  <c r="AW936" i="1"/>
  <c r="AV936" i="1"/>
  <c r="AU936" i="1"/>
  <c r="AW935" i="1"/>
  <c r="AV935" i="1"/>
  <c r="AW934" i="1"/>
  <c r="AV934" i="1"/>
  <c r="AW933" i="1"/>
  <c r="AV933" i="1"/>
  <c r="AU933" i="1"/>
  <c r="AW932" i="1"/>
  <c r="AV932" i="1"/>
  <c r="AW931" i="1"/>
  <c r="AV931" i="1"/>
  <c r="AW930" i="1"/>
  <c r="AV930" i="1"/>
  <c r="AW929" i="1"/>
  <c r="AV929" i="1"/>
  <c r="AW928" i="1"/>
  <c r="AV928" i="1"/>
  <c r="AW927" i="1"/>
  <c r="AV927" i="1"/>
  <c r="AU927" i="1"/>
  <c r="AW926" i="1"/>
  <c r="AV926" i="1"/>
  <c r="AW925" i="1"/>
  <c r="AV925" i="1"/>
  <c r="AW924" i="1"/>
  <c r="AV924" i="1"/>
  <c r="AW923" i="1"/>
  <c r="AV923" i="1"/>
  <c r="AW922" i="1"/>
  <c r="AV922" i="1"/>
  <c r="AW921" i="1"/>
  <c r="AV921" i="1"/>
  <c r="AW920" i="1"/>
  <c r="AV920" i="1"/>
  <c r="AW919" i="1"/>
  <c r="AV919" i="1"/>
  <c r="AW918" i="1"/>
  <c r="AV918" i="1"/>
  <c r="AU918" i="1"/>
  <c r="AW917" i="1"/>
  <c r="AV917" i="1"/>
  <c r="AW916" i="1"/>
  <c r="AV916" i="1"/>
  <c r="AW915" i="1"/>
  <c r="AV915" i="1"/>
  <c r="AW914" i="1"/>
  <c r="AV914" i="1"/>
  <c r="AW913" i="1"/>
  <c r="AV913" i="1"/>
  <c r="AU913" i="1"/>
  <c r="AW912" i="1"/>
  <c r="AV912" i="1"/>
  <c r="AU912" i="1"/>
  <c r="AW911" i="1"/>
  <c r="AV911" i="1"/>
  <c r="AW910" i="1"/>
  <c r="AV910" i="1"/>
  <c r="AW909" i="1"/>
  <c r="AV909" i="1"/>
  <c r="AU909" i="1"/>
  <c r="AW908" i="1"/>
  <c r="AV908" i="1"/>
  <c r="AW907" i="1"/>
  <c r="AV907" i="1"/>
  <c r="AW906" i="1"/>
  <c r="AV906" i="1"/>
  <c r="AW905" i="1"/>
  <c r="AV905" i="1"/>
  <c r="AW904" i="1"/>
  <c r="AV904" i="1"/>
  <c r="AW903" i="1"/>
  <c r="AV903" i="1"/>
  <c r="AW902" i="1"/>
  <c r="AV902" i="1"/>
  <c r="AU902" i="1"/>
  <c r="AW901" i="1"/>
  <c r="AV901" i="1"/>
  <c r="AW900" i="1"/>
  <c r="AV900" i="1"/>
  <c r="AW899" i="1"/>
  <c r="AV899" i="1"/>
  <c r="AU899" i="1"/>
  <c r="AW898" i="1"/>
  <c r="AV898" i="1"/>
  <c r="AU898" i="1"/>
  <c r="AW897" i="1"/>
  <c r="AV897" i="1"/>
  <c r="AU897" i="1"/>
  <c r="AW896" i="1"/>
  <c r="AV896" i="1"/>
  <c r="AW895" i="1"/>
  <c r="AV895" i="1"/>
  <c r="AU895" i="1"/>
  <c r="AW894" i="1"/>
  <c r="AV894" i="1"/>
  <c r="AU894" i="1"/>
  <c r="AW893" i="1"/>
  <c r="AV893" i="1"/>
  <c r="AW892" i="1"/>
  <c r="AV892" i="1"/>
  <c r="AW891" i="1"/>
  <c r="AV891" i="1"/>
  <c r="AU891" i="1"/>
  <c r="AW890" i="1"/>
  <c r="AV890" i="1"/>
  <c r="AW889" i="1"/>
  <c r="AV889" i="1"/>
  <c r="AW888" i="1"/>
  <c r="AV888" i="1"/>
  <c r="AU888" i="1"/>
  <c r="AW887" i="1"/>
  <c r="AV887" i="1"/>
  <c r="AU887" i="1"/>
  <c r="AW886" i="1"/>
  <c r="AV886" i="1"/>
  <c r="AU886" i="1"/>
  <c r="AW885" i="1"/>
  <c r="AV885" i="1"/>
  <c r="AU885" i="1"/>
  <c r="AW884" i="1"/>
  <c r="AV884" i="1"/>
  <c r="AU884" i="1"/>
  <c r="AW883" i="1"/>
  <c r="AV883" i="1"/>
  <c r="AU883" i="1"/>
  <c r="AW882" i="1"/>
  <c r="AV882" i="1"/>
  <c r="AW881" i="1"/>
  <c r="AV881" i="1"/>
  <c r="AW880" i="1"/>
  <c r="AV880" i="1"/>
  <c r="AW879" i="1"/>
  <c r="AV879" i="1"/>
  <c r="AW878" i="1"/>
  <c r="AV878" i="1"/>
  <c r="AW877" i="1"/>
  <c r="AV877" i="1"/>
  <c r="AW876" i="1"/>
  <c r="AV876" i="1"/>
  <c r="AW875" i="1"/>
  <c r="AV875" i="1"/>
  <c r="AU875" i="1"/>
  <c r="AW874" i="1"/>
  <c r="AV874" i="1"/>
  <c r="AU874" i="1"/>
  <c r="AW873" i="1"/>
  <c r="AV873" i="1"/>
  <c r="AW872" i="1"/>
  <c r="AV872" i="1"/>
  <c r="AW871" i="1"/>
  <c r="AV871" i="1"/>
  <c r="AU871" i="1"/>
  <c r="AW870" i="1"/>
  <c r="AV870" i="1"/>
  <c r="AW869" i="1"/>
  <c r="AV869" i="1"/>
  <c r="AU869" i="1"/>
  <c r="AW868" i="1"/>
  <c r="AV868" i="1"/>
  <c r="AU868" i="1"/>
  <c r="AW867" i="1"/>
  <c r="AV867" i="1"/>
  <c r="AU867" i="1"/>
  <c r="AW866" i="1"/>
  <c r="AV866" i="1"/>
  <c r="AU866" i="1"/>
  <c r="AW865" i="1"/>
  <c r="AV865" i="1"/>
  <c r="AU865" i="1"/>
  <c r="AW864" i="1"/>
  <c r="AV864" i="1"/>
  <c r="AU864" i="1"/>
  <c r="AW863" i="1"/>
  <c r="AV863" i="1"/>
  <c r="AU863" i="1"/>
  <c r="AW862" i="1"/>
  <c r="AV862" i="1"/>
  <c r="AW861" i="1"/>
  <c r="AV861" i="1"/>
  <c r="AW860" i="1"/>
  <c r="AV860" i="1"/>
  <c r="AW859" i="1"/>
  <c r="AV859" i="1"/>
  <c r="AW858" i="1"/>
  <c r="AV858" i="1"/>
  <c r="AU858" i="1"/>
  <c r="AW857" i="1"/>
  <c r="AV857" i="1"/>
  <c r="AU857" i="1"/>
  <c r="AW856" i="1"/>
  <c r="AV856" i="1"/>
  <c r="AU856" i="1"/>
  <c r="AW855" i="1"/>
  <c r="AV855" i="1"/>
  <c r="AU855" i="1"/>
  <c r="AW854" i="1"/>
  <c r="AV854" i="1"/>
  <c r="AU854" i="1"/>
  <c r="AW853" i="1"/>
  <c r="AV853" i="1"/>
  <c r="AU853" i="1"/>
  <c r="AW852" i="1"/>
  <c r="AV852" i="1"/>
  <c r="AU852" i="1"/>
  <c r="AW851" i="1"/>
  <c r="AV851" i="1"/>
  <c r="AU851" i="1"/>
  <c r="AW850" i="1"/>
  <c r="AV850" i="1"/>
  <c r="AU850" i="1"/>
  <c r="AW849" i="1"/>
  <c r="AV849" i="1"/>
  <c r="AW848" i="1"/>
  <c r="AV848" i="1"/>
  <c r="AW847" i="1"/>
  <c r="AV847" i="1"/>
  <c r="AW846" i="1"/>
  <c r="AV846" i="1"/>
  <c r="AU846" i="1"/>
  <c r="AW845" i="1"/>
  <c r="AV845" i="1"/>
  <c r="AU845" i="1"/>
  <c r="AW844" i="1"/>
  <c r="AV844" i="1"/>
  <c r="AW843" i="1"/>
  <c r="AV843" i="1"/>
  <c r="AU843" i="1"/>
  <c r="AW842" i="1"/>
  <c r="AV842" i="1"/>
  <c r="AU842" i="1"/>
  <c r="AW841" i="1"/>
  <c r="AV841" i="1"/>
  <c r="AW840" i="1"/>
  <c r="AV840" i="1"/>
  <c r="AW839" i="1"/>
  <c r="AV839" i="1"/>
  <c r="AU839" i="1"/>
  <c r="AW838" i="1"/>
  <c r="AV838" i="1"/>
  <c r="AW837" i="1"/>
  <c r="AV837" i="1"/>
  <c r="AU837" i="1"/>
  <c r="AW836" i="1"/>
  <c r="AV836" i="1"/>
  <c r="AW835" i="1"/>
  <c r="AV835" i="1"/>
  <c r="AW834" i="1"/>
  <c r="AV834" i="1"/>
  <c r="AW833" i="1"/>
  <c r="AV833" i="1"/>
  <c r="AW832" i="1"/>
  <c r="AV832" i="1"/>
  <c r="AU832" i="1"/>
  <c r="AW831" i="1"/>
  <c r="AV831" i="1"/>
  <c r="AW830" i="1"/>
  <c r="AV830" i="1"/>
  <c r="AU830" i="1"/>
  <c r="AW829" i="1"/>
  <c r="AV829" i="1"/>
  <c r="AW828" i="1"/>
  <c r="AV828" i="1"/>
  <c r="AW827" i="1"/>
  <c r="AV827" i="1"/>
  <c r="AU827" i="1"/>
  <c r="AW826" i="1"/>
  <c r="AV826" i="1"/>
  <c r="AU826" i="1"/>
  <c r="AW825" i="1"/>
  <c r="AV825" i="1"/>
  <c r="AU825" i="1"/>
  <c r="AW824" i="1"/>
  <c r="AV824" i="1"/>
  <c r="AU824" i="1"/>
  <c r="AW823" i="1"/>
  <c r="AV823" i="1"/>
  <c r="AW822" i="1"/>
  <c r="AV822" i="1"/>
  <c r="AW821" i="1"/>
  <c r="AV821" i="1"/>
  <c r="AU821" i="1"/>
  <c r="AW820" i="1"/>
  <c r="AV820" i="1"/>
  <c r="AU820" i="1"/>
  <c r="AW819" i="1"/>
  <c r="AV819" i="1"/>
  <c r="AU819" i="1"/>
  <c r="AW818" i="1"/>
  <c r="AV818" i="1"/>
  <c r="AU818" i="1"/>
  <c r="AW817" i="1"/>
  <c r="AV817" i="1"/>
  <c r="AW816" i="1"/>
  <c r="AV816" i="1"/>
  <c r="AW815" i="1"/>
  <c r="AV815" i="1"/>
  <c r="AU815" i="1"/>
  <c r="AW814" i="1"/>
  <c r="AV814" i="1"/>
  <c r="AW813" i="1"/>
  <c r="AV813" i="1"/>
  <c r="AU813" i="1"/>
  <c r="AW812" i="1"/>
  <c r="AV812" i="1"/>
  <c r="AU812" i="1"/>
  <c r="AW811" i="1"/>
  <c r="AV811" i="1"/>
  <c r="AW810" i="1"/>
  <c r="AV810" i="1"/>
  <c r="AW809" i="1"/>
  <c r="AV809" i="1"/>
  <c r="AU809" i="1"/>
  <c r="AW808" i="1"/>
  <c r="AV808" i="1"/>
  <c r="AU808" i="1"/>
  <c r="AW807" i="1"/>
  <c r="AV807" i="1"/>
  <c r="AU807" i="1"/>
  <c r="AW806" i="1"/>
  <c r="AV806" i="1"/>
  <c r="AU806" i="1"/>
  <c r="AW805" i="1"/>
  <c r="AV805" i="1"/>
  <c r="AW804" i="1"/>
  <c r="AV804" i="1"/>
  <c r="AU804" i="1"/>
  <c r="AW803" i="1"/>
  <c r="AV803" i="1"/>
  <c r="AW802" i="1"/>
  <c r="AV802" i="1"/>
  <c r="AU802" i="1"/>
  <c r="AW801" i="1"/>
  <c r="AV801" i="1"/>
  <c r="AU801" i="1"/>
  <c r="AW800" i="1"/>
  <c r="AV800" i="1"/>
  <c r="AW799" i="1"/>
  <c r="AV799" i="1"/>
  <c r="AU799" i="1"/>
  <c r="AW798" i="1"/>
  <c r="AV798" i="1"/>
  <c r="AW797" i="1"/>
  <c r="AV797" i="1"/>
  <c r="AW796" i="1"/>
  <c r="AV796" i="1"/>
  <c r="AU796" i="1"/>
  <c r="AW795" i="1"/>
  <c r="AV795" i="1"/>
  <c r="AU795" i="1"/>
  <c r="AW794" i="1"/>
  <c r="AV794" i="1"/>
  <c r="AW793" i="1"/>
  <c r="AV793" i="1"/>
  <c r="AW792" i="1"/>
  <c r="AV792" i="1"/>
  <c r="AW791" i="1"/>
  <c r="AV791" i="1"/>
  <c r="AU791" i="1"/>
  <c r="AW790" i="1"/>
  <c r="AV790" i="1"/>
  <c r="AW789" i="1"/>
  <c r="AV789" i="1"/>
  <c r="AW788" i="1"/>
  <c r="AV788" i="1"/>
  <c r="AW787" i="1"/>
  <c r="AV787" i="1"/>
  <c r="AW786" i="1"/>
  <c r="AV786" i="1"/>
  <c r="AW785" i="1"/>
  <c r="AV785" i="1"/>
  <c r="AU785" i="1"/>
  <c r="AW784" i="1"/>
  <c r="AV784" i="1"/>
  <c r="AU784" i="1"/>
  <c r="AW783" i="1"/>
  <c r="AV783" i="1"/>
  <c r="AU783" i="1"/>
  <c r="AW782" i="1"/>
  <c r="AV782" i="1"/>
  <c r="AW781" i="1"/>
  <c r="AV781" i="1"/>
  <c r="AW780" i="1"/>
  <c r="AV780" i="1"/>
  <c r="AW779" i="1"/>
  <c r="AV779" i="1"/>
  <c r="AW778" i="1"/>
  <c r="AV778" i="1"/>
  <c r="AW777" i="1"/>
  <c r="AV777" i="1"/>
  <c r="AW776" i="1"/>
  <c r="AV776" i="1"/>
  <c r="AW775" i="1"/>
  <c r="AV775" i="1"/>
  <c r="AU775" i="1"/>
  <c r="AW774" i="1"/>
  <c r="AV774" i="1"/>
  <c r="AU774" i="1"/>
  <c r="AW773" i="1"/>
  <c r="AV773" i="1"/>
  <c r="AW772" i="1"/>
  <c r="AV772" i="1"/>
  <c r="AU772" i="1"/>
  <c r="AW771" i="1"/>
  <c r="AV771" i="1"/>
  <c r="AW770" i="1"/>
  <c r="AV770" i="1"/>
  <c r="AU770" i="1"/>
  <c r="AW769" i="1"/>
  <c r="AV769" i="1"/>
  <c r="AU769" i="1"/>
  <c r="AW768" i="1"/>
  <c r="AV768" i="1"/>
  <c r="AU768" i="1"/>
  <c r="AW767" i="1"/>
  <c r="AV767" i="1"/>
  <c r="AU767" i="1"/>
  <c r="AW766" i="1"/>
  <c r="AV766" i="1"/>
  <c r="AW765" i="1"/>
  <c r="AV765" i="1"/>
  <c r="AW764" i="1"/>
  <c r="AV764" i="1"/>
  <c r="AW763" i="1"/>
  <c r="AV763" i="1"/>
  <c r="AU763" i="1"/>
  <c r="AW762" i="1"/>
  <c r="AV762" i="1"/>
  <c r="AW761" i="1"/>
  <c r="AV761" i="1"/>
  <c r="AW760" i="1"/>
  <c r="AV760" i="1"/>
  <c r="AU760" i="1"/>
  <c r="AW759" i="1"/>
  <c r="AV759" i="1"/>
  <c r="AW758" i="1"/>
  <c r="AV758" i="1"/>
  <c r="AW757" i="1"/>
  <c r="AV757" i="1"/>
  <c r="AU757" i="1"/>
  <c r="AW756" i="1"/>
  <c r="AV756" i="1"/>
  <c r="AU756" i="1"/>
  <c r="AW755" i="1"/>
  <c r="AV755" i="1"/>
  <c r="AW754" i="1"/>
  <c r="AV754" i="1"/>
  <c r="AW753" i="1"/>
  <c r="AV753" i="1"/>
  <c r="AW752" i="1"/>
  <c r="AV752" i="1"/>
  <c r="AW751" i="1"/>
  <c r="AV751" i="1"/>
  <c r="AW750" i="1"/>
  <c r="AV750" i="1"/>
  <c r="AW749" i="1"/>
  <c r="AV749" i="1"/>
  <c r="AU749" i="1"/>
  <c r="AW748" i="1"/>
  <c r="AV748" i="1"/>
  <c r="AU748" i="1"/>
  <c r="AW747" i="1"/>
  <c r="AV747" i="1"/>
  <c r="AU747" i="1"/>
  <c r="AW746" i="1"/>
  <c r="AV746" i="1"/>
  <c r="AU746" i="1"/>
  <c r="AW745" i="1"/>
  <c r="AV745" i="1"/>
  <c r="AW744" i="1"/>
  <c r="AV744" i="1"/>
  <c r="AW743" i="1"/>
  <c r="AV743" i="1"/>
  <c r="AU743" i="1"/>
  <c r="AW742" i="1"/>
  <c r="AV742" i="1"/>
  <c r="AU742" i="1"/>
  <c r="AW741" i="1"/>
  <c r="AV741" i="1"/>
  <c r="AU741" i="1"/>
  <c r="AW740" i="1"/>
  <c r="AV740" i="1"/>
  <c r="AU740" i="1"/>
  <c r="AW739" i="1"/>
  <c r="AV739" i="1"/>
  <c r="AW738" i="1"/>
  <c r="AV738" i="1"/>
  <c r="AU738" i="1"/>
  <c r="AW737" i="1"/>
  <c r="AV737" i="1"/>
  <c r="AU737" i="1"/>
  <c r="AW736" i="1"/>
  <c r="AV736" i="1"/>
  <c r="AW735" i="1"/>
  <c r="AV735" i="1"/>
  <c r="AW734" i="1"/>
  <c r="AV734" i="1"/>
  <c r="AW733" i="1"/>
  <c r="AV733" i="1"/>
  <c r="AU733" i="1"/>
  <c r="AW732" i="1"/>
  <c r="AV732" i="1"/>
  <c r="AW731" i="1"/>
  <c r="AV731" i="1"/>
  <c r="AW730" i="1"/>
  <c r="AV730" i="1"/>
  <c r="AW729" i="1"/>
  <c r="AV729" i="1"/>
  <c r="AW728" i="1"/>
  <c r="AV728" i="1"/>
  <c r="AW727" i="1"/>
  <c r="AV727" i="1"/>
  <c r="AU727" i="1"/>
  <c r="AW726" i="1"/>
  <c r="AV726" i="1"/>
  <c r="AW725" i="1"/>
  <c r="AV725" i="1"/>
  <c r="AW724" i="1"/>
  <c r="AV724" i="1"/>
  <c r="AU724" i="1"/>
  <c r="AW723" i="1"/>
  <c r="AV723" i="1"/>
  <c r="AU723" i="1"/>
  <c r="AW722" i="1"/>
  <c r="AV722" i="1"/>
  <c r="AU722" i="1"/>
  <c r="AW721" i="1"/>
  <c r="AV721" i="1"/>
  <c r="AU721" i="1"/>
  <c r="AW720" i="1"/>
  <c r="AV720" i="1"/>
  <c r="AU720" i="1"/>
  <c r="AW719" i="1"/>
  <c r="AV719" i="1"/>
  <c r="AW718" i="1"/>
  <c r="AV718" i="1"/>
  <c r="AW717" i="1"/>
  <c r="AV717" i="1"/>
  <c r="AU717" i="1"/>
  <c r="AW716" i="1"/>
  <c r="AV716" i="1"/>
  <c r="AW715" i="1"/>
  <c r="AV715" i="1"/>
  <c r="AW714" i="1"/>
  <c r="AV714" i="1"/>
  <c r="AW713" i="1"/>
  <c r="AV713" i="1"/>
  <c r="AW712" i="1"/>
  <c r="AV712" i="1"/>
  <c r="AW711" i="1"/>
  <c r="AV711" i="1"/>
  <c r="AU711" i="1"/>
  <c r="AW710" i="1"/>
  <c r="AV710" i="1"/>
  <c r="AU710" i="1"/>
  <c r="AW709" i="1"/>
  <c r="AV709" i="1"/>
  <c r="AU709" i="1"/>
  <c r="AW708" i="1"/>
  <c r="AV708" i="1"/>
  <c r="AU708" i="1"/>
  <c r="AW707" i="1"/>
  <c r="AV707" i="1"/>
  <c r="AU707" i="1"/>
  <c r="AW706" i="1"/>
  <c r="AV706" i="1"/>
  <c r="AW705" i="1"/>
  <c r="AV705" i="1"/>
  <c r="AW704" i="1"/>
  <c r="AV704" i="1"/>
  <c r="AU704" i="1"/>
  <c r="AW703" i="1"/>
  <c r="AV703" i="1"/>
  <c r="AW702" i="1"/>
  <c r="AV702" i="1"/>
  <c r="AW701" i="1"/>
  <c r="AV701" i="1"/>
  <c r="AW700" i="1"/>
  <c r="AV700" i="1"/>
  <c r="AW699" i="1"/>
  <c r="AV699" i="1"/>
  <c r="AU699" i="1"/>
  <c r="AW698" i="1"/>
  <c r="AV698" i="1"/>
  <c r="AU698" i="1"/>
  <c r="AW697" i="1"/>
  <c r="AV697" i="1"/>
  <c r="AW696" i="1"/>
  <c r="AV696" i="1"/>
  <c r="AW695" i="1"/>
  <c r="AV695" i="1"/>
  <c r="AW694" i="1"/>
  <c r="AV694" i="1"/>
  <c r="AU694" i="1"/>
  <c r="AW693" i="1"/>
  <c r="AV693" i="1"/>
  <c r="AW692" i="1"/>
  <c r="AV692" i="1"/>
  <c r="AW691" i="1"/>
  <c r="AV691" i="1"/>
  <c r="AW690" i="1"/>
  <c r="AV690" i="1"/>
  <c r="AW689" i="1"/>
  <c r="AV689" i="1"/>
  <c r="AW688" i="1"/>
  <c r="AV688" i="1"/>
  <c r="AU688" i="1"/>
  <c r="AW687" i="1"/>
  <c r="AV687" i="1"/>
  <c r="AU687" i="1"/>
  <c r="AW686" i="1"/>
  <c r="AV686" i="1"/>
  <c r="AU686" i="1"/>
  <c r="AW685" i="1"/>
  <c r="AV685" i="1"/>
  <c r="AU685" i="1"/>
  <c r="AW684" i="1"/>
  <c r="AV684" i="1"/>
  <c r="AU684" i="1"/>
  <c r="AW683" i="1"/>
  <c r="AV683" i="1"/>
  <c r="AU683" i="1"/>
  <c r="AW682" i="1"/>
  <c r="AV682" i="1"/>
  <c r="AU682" i="1"/>
  <c r="AW681" i="1"/>
  <c r="AV681" i="1"/>
  <c r="AU681" i="1"/>
  <c r="AW680" i="1"/>
  <c r="AV680" i="1"/>
  <c r="AW679" i="1"/>
  <c r="AV679" i="1"/>
  <c r="AU679" i="1"/>
  <c r="AW678" i="1"/>
  <c r="AV678" i="1"/>
  <c r="AW677" i="1"/>
  <c r="AV677" i="1"/>
  <c r="AW676" i="1"/>
  <c r="AV676" i="1"/>
  <c r="AU676" i="1"/>
  <c r="AW675" i="1"/>
  <c r="AV675" i="1"/>
  <c r="AU675" i="1"/>
  <c r="AW674" i="1"/>
  <c r="AV674" i="1"/>
  <c r="AU674" i="1"/>
  <c r="AW673" i="1"/>
  <c r="AV673" i="1"/>
  <c r="AU673" i="1"/>
  <c r="AW672" i="1"/>
  <c r="AV672" i="1"/>
  <c r="AU672" i="1"/>
  <c r="AW671" i="1"/>
  <c r="AV671" i="1"/>
  <c r="AU671" i="1"/>
  <c r="AW670" i="1"/>
  <c r="AV670" i="1"/>
  <c r="AU670" i="1"/>
  <c r="AW669" i="1"/>
  <c r="AV669" i="1"/>
  <c r="AW668" i="1"/>
  <c r="AV668" i="1"/>
  <c r="AW667" i="1"/>
  <c r="AV667" i="1"/>
  <c r="AW666" i="1"/>
  <c r="AV666" i="1"/>
  <c r="AU666" i="1"/>
  <c r="AW665" i="1"/>
  <c r="AV665" i="1"/>
  <c r="AU665" i="1"/>
  <c r="AW664" i="1"/>
  <c r="AV664" i="1"/>
  <c r="AU664" i="1"/>
  <c r="AW663" i="1"/>
  <c r="AV663" i="1"/>
  <c r="AU663" i="1"/>
  <c r="AW662" i="1"/>
  <c r="AV662" i="1"/>
  <c r="AU662" i="1"/>
  <c r="AW661" i="1"/>
  <c r="AV661" i="1"/>
  <c r="AU661" i="1"/>
  <c r="AW660" i="1"/>
  <c r="AV660" i="1"/>
  <c r="AU660" i="1"/>
  <c r="AW659" i="1"/>
  <c r="AV659" i="1"/>
  <c r="AU659" i="1"/>
  <c r="AW658" i="1"/>
  <c r="AV658" i="1"/>
  <c r="AU658" i="1"/>
  <c r="AW657" i="1"/>
  <c r="AV657" i="1"/>
  <c r="AU657" i="1"/>
  <c r="AW656" i="1"/>
  <c r="AV656" i="1"/>
  <c r="AU656" i="1"/>
  <c r="AW655" i="1"/>
  <c r="AV655" i="1"/>
  <c r="AW654" i="1"/>
  <c r="AV654" i="1"/>
  <c r="AW653" i="1"/>
  <c r="AV653" i="1"/>
  <c r="AW652" i="1"/>
  <c r="AV652" i="1"/>
  <c r="AU652" i="1"/>
  <c r="AW651" i="1"/>
  <c r="AV651" i="1"/>
  <c r="AW650" i="1"/>
  <c r="AV650" i="1"/>
  <c r="AW649" i="1"/>
  <c r="AV649" i="1"/>
  <c r="AW648" i="1"/>
  <c r="AV648" i="1"/>
  <c r="AW647" i="1"/>
  <c r="AV647" i="1"/>
  <c r="AW646" i="1"/>
  <c r="AV646" i="1"/>
  <c r="AW645" i="1"/>
  <c r="AV645" i="1"/>
  <c r="AW644" i="1"/>
  <c r="AV644" i="1"/>
  <c r="AW643" i="1"/>
  <c r="AV643" i="1"/>
  <c r="AU643" i="1"/>
  <c r="AW642" i="1"/>
  <c r="AV642" i="1"/>
  <c r="AW641" i="1"/>
  <c r="AV641" i="1"/>
  <c r="AW640" i="1"/>
  <c r="AV640" i="1"/>
  <c r="AU640" i="1"/>
  <c r="AW639" i="1"/>
  <c r="AV639" i="1"/>
  <c r="AW638" i="1"/>
  <c r="AV638" i="1"/>
  <c r="AU638" i="1"/>
  <c r="AW637" i="1"/>
  <c r="AV637" i="1"/>
  <c r="AW636" i="1"/>
  <c r="AV636" i="1"/>
  <c r="AU636" i="1"/>
  <c r="AW635" i="1"/>
  <c r="AV635" i="1"/>
  <c r="AU635" i="1"/>
  <c r="AW634" i="1"/>
  <c r="AV634" i="1"/>
  <c r="AU634" i="1"/>
  <c r="AW633" i="1"/>
  <c r="AV633" i="1"/>
  <c r="AU633" i="1"/>
  <c r="AW632" i="1"/>
  <c r="AV632" i="1"/>
  <c r="AU632" i="1"/>
  <c r="AW631" i="1"/>
  <c r="AV631" i="1"/>
  <c r="AU631" i="1"/>
  <c r="AW630" i="1"/>
  <c r="AV630" i="1"/>
  <c r="AU630" i="1"/>
  <c r="AW629" i="1"/>
  <c r="AV629" i="1"/>
  <c r="AU629" i="1"/>
  <c r="AW628" i="1"/>
  <c r="AV628" i="1"/>
  <c r="AU628" i="1"/>
  <c r="AW627" i="1"/>
  <c r="AV627" i="1"/>
  <c r="AU627" i="1"/>
  <c r="AW626" i="1"/>
  <c r="AV626" i="1"/>
  <c r="AU626" i="1"/>
  <c r="AW625" i="1"/>
  <c r="AV625" i="1"/>
  <c r="AU625" i="1"/>
  <c r="AW624" i="1"/>
  <c r="AV624" i="1"/>
  <c r="AU624" i="1"/>
  <c r="AW623" i="1"/>
  <c r="AV623" i="1"/>
  <c r="AU623" i="1"/>
  <c r="AW622" i="1"/>
  <c r="AV622" i="1"/>
  <c r="AU622" i="1"/>
  <c r="AW621" i="1"/>
  <c r="AV621" i="1"/>
  <c r="AU621" i="1"/>
  <c r="AW620" i="1"/>
  <c r="AV620" i="1"/>
  <c r="AU620" i="1"/>
  <c r="AW619" i="1"/>
  <c r="AV619" i="1"/>
  <c r="AU619" i="1"/>
  <c r="AW618" i="1"/>
  <c r="AV618" i="1"/>
  <c r="AW617" i="1"/>
  <c r="AV617" i="1"/>
  <c r="AW616" i="1"/>
  <c r="AV616" i="1"/>
  <c r="AW615" i="1"/>
  <c r="AV615" i="1"/>
  <c r="AU615" i="1"/>
  <c r="AW614" i="1"/>
  <c r="AV614" i="1"/>
  <c r="AU614" i="1"/>
  <c r="AW613" i="1"/>
  <c r="AV613" i="1"/>
  <c r="AW612" i="1"/>
  <c r="AV612" i="1"/>
  <c r="AW611" i="1"/>
  <c r="AV611" i="1"/>
  <c r="AW610" i="1"/>
  <c r="AV610" i="1"/>
  <c r="AW609" i="1"/>
  <c r="AV609" i="1"/>
  <c r="AU609" i="1"/>
  <c r="AW608" i="1"/>
  <c r="AV608" i="1"/>
  <c r="AW607" i="1"/>
  <c r="AV607" i="1"/>
  <c r="AU607" i="1"/>
  <c r="AW606" i="1"/>
  <c r="AV606" i="1"/>
  <c r="AW605" i="1"/>
  <c r="AV605" i="1"/>
  <c r="AU605" i="1"/>
  <c r="AW604" i="1"/>
  <c r="AV604" i="1"/>
  <c r="AW603" i="1"/>
  <c r="AV603" i="1"/>
  <c r="AW602" i="1"/>
  <c r="AV602" i="1"/>
  <c r="AW601" i="1"/>
  <c r="AV601" i="1"/>
  <c r="AW600" i="1"/>
  <c r="AV600" i="1"/>
  <c r="AW599" i="1"/>
  <c r="AV599" i="1"/>
  <c r="AW598" i="1"/>
  <c r="AV598" i="1"/>
  <c r="AW597" i="1"/>
  <c r="AV597" i="1"/>
  <c r="AW596" i="1"/>
  <c r="AV596" i="1"/>
  <c r="AW595" i="1"/>
  <c r="AV595" i="1"/>
  <c r="AW594" i="1"/>
  <c r="AV594" i="1"/>
  <c r="AW593" i="1"/>
  <c r="AV593" i="1"/>
  <c r="AW592" i="1"/>
  <c r="AV592" i="1"/>
  <c r="AW591" i="1"/>
  <c r="AV591" i="1"/>
  <c r="AW590" i="1"/>
  <c r="AV590" i="1"/>
  <c r="AW589" i="1"/>
  <c r="AV589" i="1"/>
  <c r="AW588" i="1"/>
  <c r="AV588" i="1"/>
  <c r="AW587" i="1"/>
  <c r="AV587" i="1"/>
  <c r="AW586" i="1"/>
  <c r="AV586" i="1"/>
  <c r="AW585" i="1"/>
  <c r="AV585" i="1"/>
  <c r="AU585" i="1"/>
  <c r="AW584" i="1"/>
  <c r="AV584" i="1"/>
  <c r="AW583" i="1"/>
  <c r="AV583" i="1"/>
  <c r="AU583" i="1"/>
  <c r="AW582" i="1"/>
  <c r="AV582" i="1"/>
  <c r="AU582" i="1"/>
  <c r="AW581" i="1"/>
  <c r="AV581" i="1"/>
  <c r="AU581" i="1"/>
  <c r="AW580" i="1"/>
  <c r="AV580" i="1"/>
  <c r="AW579" i="1"/>
  <c r="AV579" i="1"/>
  <c r="AU579" i="1"/>
  <c r="AW578" i="1"/>
  <c r="AV578" i="1"/>
  <c r="AW577" i="1"/>
  <c r="AV577" i="1"/>
  <c r="AU577" i="1"/>
  <c r="AW576" i="1"/>
  <c r="AV576" i="1"/>
  <c r="AW575" i="1"/>
  <c r="AV575" i="1"/>
  <c r="AW574" i="1"/>
  <c r="AV574" i="1"/>
  <c r="AW573" i="1"/>
  <c r="AV573" i="1"/>
  <c r="AW572" i="1"/>
  <c r="AV572" i="1"/>
  <c r="AW571" i="1"/>
  <c r="AV571" i="1"/>
  <c r="AW570" i="1"/>
  <c r="AV570" i="1"/>
  <c r="AU570" i="1"/>
  <c r="AW569" i="1"/>
  <c r="AV569" i="1"/>
  <c r="AU569" i="1"/>
  <c r="AW568" i="1"/>
  <c r="AV568" i="1"/>
  <c r="AU568" i="1"/>
  <c r="AW567" i="1"/>
  <c r="AV567" i="1"/>
  <c r="AW566" i="1"/>
  <c r="AV566" i="1"/>
  <c r="AW565" i="1"/>
  <c r="AV565" i="1"/>
  <c r="AU565" i="1"/>
  <c r="AW564" i="1"/>
  <c r="AV564" i="1"/>
  <c r="AU564" i="1"/>
  <c r="AW563" i="1"/>
  <c r="AV563" i="1"/>
  <c r="AW562" i="1"/>
  <c r="AV562" i="1"/>
  <c r="AU562" i="1"/>
  <c r="AW561" i="1"/>
  <c r="AV561" i="1"/>
  <c r="AU561" i="1"/>
  <c r="AW560" i="1"/>
  <c r="AV560" i="1"/>
  <c r="AW559" i="1"/>
  <c r="AV559" i="1"/>
  <c r="AW558" i="1"/>
  <c r="AV558" i="1"/>
  <c r="AU558" i="1"/>
  <c r="AW557" i="1"/>
  <c r="AV557" i="1"/>
  <c r="AW556" i="1"/>
  <c r="AV556" i="1"/>
  <c r="AW555" i="1"/>
  <c r="AV555" i="1"/>
  <c r="AU555" i="1"/>
  <c r="AW554" i="1"/>
  <c r="AV554" i="1"/>
  <c r="AU554" i="1"/>
  <c r="AW553" i="1"/>
  <c r="AV553" i="1"/>
  <c r="AU553" i="1"/>
  <c r="AW552" i="1"/>
  <c r="AV552" i="1"/>
  <c r="AW551" i="1"/>
  <c r="AV551" i="1"/>
  <c r="AU551" i="1"/>
  <c r="AW550" i="1"/>
  <c r="AV550" i="1"/>
  <c r="AU550" i="1"/>
  <c r="AW549" i="1"/>
  <c r="AV549" i="1"/>
  <c r="AU549" i="1"/>
  <c r="AW548" i="1"/>
  <c r="AV548" i="1"/>
  <c r="AU548" i="1"/>
  <c r="AW547" i="1"/>
  <c r="AV547" i="1"/>
  <c r="AU547" i="1"/>
  <c r="AW546" i="1"/>
  <c r="AV546" i="1"/>
  <c r="AU546" i="1"/>
  <c r="AW545" i="1"/>
  <c r="AV545" i="1"/>
  <c r="AU545" i="1"/>
  <c r="AW544" i="1"/>
  <c r="AV544" i="1"/>
  <c r="AW543" i="1"/>
  <c r="AV543" i="1"/>
  <c r="AW542" i="1"/>
  <c r="AV542" i="1"/>
  <c r="AW541" i="1"/>
  <c r="AV541" i="1"/>
  <c r="AW540" i="1"/>
  <c r="AV540" i="1"/>
  <c r="AU540" i="1"/>
  <c r="AW539" i="1"/>
  <c r="AV539" i="1"/>
  <c r="AU539" i="1"/>
  <c r="AW538" i="1"/>
  <c r="AV538" i="1"/>
  <c r="AU538" i="1"/>
  <c r="AW537" i="1"/>
  <c r="AV537" i="1"/>
  <c r="AU537" i="1"/>
  <c r="AW536" i="1"/>
  <c r="AV536" i="1"/>
  <c r="AU536" i="1"/>
  <c r="AW535" i="1"/>
  <c r="AV535" i="1"/>
  <c r="AU535" i="1"/>
  <c r="AW534" i="1"/>
  <c r="AV534" i="1"/>
  <c r="AU534" i="1"/>
  <c r="AW533" i="1"/>
  <c r="AV533" i="1"/>
  <c r="AW532" i="1"/>
  <c r="AV532" i="1"/>
  <c r="AW531" i="1"/>
  <c r="AV531" i="1"/>
  <c r="AW530" i="1"/>
  <c r="AV530" i="1"/>
  <c r="AW529" i="1"/>
  <c r="AV529" i="1"/>
  <c r="AW528" i="1"/>
  <c r="AV528" i="1"/>
  <c r="AW527" i="1"/>
  <c r="AV527" i="1"/>
  <c r="AW526" i="1"/>
  <c r="AV526" i="1"/>
  <c r="AW525" i="1"/>
  <c r="AV525" i="1"/>
  <c r="AU525" i="1"/>
  <c r="AW524" i="1"/>
  <c r="AV524" i="1"/>
  <c r="AW523" i="1"/>
  <c r="AV523" i="1"/>
  <c r="AW522" i="1"/>
  <c r="AV522" i="1"/>
  <c r="AW521" i="1"/>
  <c r="AV521" i="1"/>
  <c r="AW520" i="1"/>
  <c r="AV520" i="1"/>
  <c r="AW519" i="1"/>
  <c r="AV519" i="1"/>
  <c r="AW518" i="1"/>
  <c r="AV518" i="1"/>
  <c r="AW517" i="1"/>
  <c r="AV517" i="1"/>
  <c r="AU517" i="1"/>
  <c r="AW516" i="1"/>
  <c r="AV516" i="1"/>
  <c r="AU516" i="1"/>
  <c r="AW515" i="1"/>
  <c r="AV515" i="1"/>
  <c r="AU515" i="1"/>
  <c r="AW514" i="1"/>
  <c r="AV514" i="1"/>
  <c r="AU514" i="1"/>
  <c r="AW513" i="1"/>
  <c r="AV513" i="1"/>
  <c r="AU513" i="1"/>
  <c r="AW512" i="1"/>
  <c r="AV512" i="1"/>
  <c r="AU512" i="1"/>
  <c r="AW511" i="1"/>
  <c r="AV511" i="1"/>
  <c r="AU511" i="1"/>
  <c r="AW510" i="1"/>
  <c r="AV510" i="1"/>
  <c r="AU510" i="1"/>
  <c r="AW509" i="1"/>
  <c r="AV509" i="1"/>
  <c r="AW508" i="1"/>
  <c r="AV508" i="1"/>
  <c r="AW507" i="1"/>
  <c r="AV507" i="1"/>
  <c r="AW506" i="1"/>
  <c r="AV506" i="1"/>
  <c r="AU506" i="1"/>
  <c r="AW505" i="1"/>
  <c r="AV505" i="1"/>
  <c r="AW504" i="1"/>
  <c r="AV504" i="1"/>
  <c r="AW503" i="1"/>
  <c r="AV503" i="1"/>
  <c r="AU503" i="1"/>
  <c r="AW502" i="1"/>
  <c r="AV502" i="1"/>
  <c r="AW501" i="1"/>
  <c r="AV501" i="1"/>
  <c r="AW500" i="1"/>
  <c r="AV500" i="1"/>
  <c r="AW499" i="1"/>
  <c r="AV499" i="1"/>
  <c r="AW498" i="1"/>
  <c r="AV498" i="1"/>
  <c r="AW497" i="1"/>
  <c r="AV497" i="1"/>
  <c r="AW496" i="1"/>
  <c r="AV496" i="1"/>
  <c r="AU496" i="1"/>
  <c r="AW495" i="1"/>
  <c r="AV495" i="1"/>
  <c r="AU495" i="1"/>
  <c r="AW494" i="1"/>
  <c r="AV494" i="1"/>
  <c r="AW493" i="1"/>
  <c r="AV493" i="1"/>
  <c r="AW492" i="1"/>
  <c r="AV492" i="1"/>
  <c r="AU492" i="1"/>
  <c r="AW491" i="1"/>
  <c r="AV491" i="1"/>
  <c r="AU491" i="1"/>
  <c r="AW490" i="1"/>
  <c r="AV490" i="1"/>
  <c r="AU490" i="1"/>
  <c r="AW489" i="1"/>
  <c r="AV489" i="1"/>
  <c r="AU489" i="1"/>
  <c r="AW488" i="1"/>
  <c r="AV488" i="1"/>
  <c r="AU488" i="1"/>
  <c r="AW487" i="1"/>
  <c r="AV487" i="1"/>
  <c r="AW486" i="1"/>
  <c r="AV486" i="1"/>
  <c r="AW485" i="1"/>
  <c r="AV485" i="1"/>
  <c r="AU485" i="1"/>
  <c r="AW484" i="1"/>
  <c r="AV484" i="1"/>
  <c r="AW483" i="1"/>
  <c r="AV483" i="1"/>
  <c r="AW482" i="1"/>
  <c r="AV482" i="1"/>
  <c r="AW481" i="1"/>
  <c r="AV481" i="1"/>
  <c r="AW480" i="1"/>
  <c r="AV480" i="1"/>
  <c r="AW479" i="1"/>
  <c r="AV479" i="1"/>
  <c r="AW478" i="1"/>
  <c r="AV478" i="1"/>
  <c r="AW477" i="1"/>
  <c r="AV477" i="1"/>
  <c r="AU477" i="1"/>
  <c r="AW476" i="1"/>
  <c r="AV476" i="1"/>
  <c r="AW475" i="1"/>
  <c r="AV475" i="1"/>
  <c r="AW474" i="1"/>
  <c r="AV474" i="1"/>
  <c r="AU474" i="1"/>
  <c r="AW473" i="1"/>
  <c r="AV473" i="1"/>
  <c r="AU473" i="1"/>
  <c r="AW472" i="1"/>
  <c r="AV472" i="1"/>
  <c r="AW471" i="1"/>
  <c r="AV471" i="1"/>
  <c r="AW470" i="1"/>
  <c r="AV470" i="1"/>
  <c r="AU470" i="1"/>
  <c r="AW469" i="1"/>
  <c r="AV469" i="1"/>
  <c r="AW468" i="1"/>
  <c r="AV468" i="1"/>
  <c r="AW467" i="1"/>
  <c r="AV467" i="1"/>
  <c r="AW466" i="1"/>
  <c r="AV466" i="1"/>
  <c r="AW465" i="1"/>
  <c r="AV465" i="1"/>
  <c r="AU465" i="1"/>
  <c r="AW464" i="1"/>
  <c r="AV464" i="1"/>
  <c r="AW463" i="1"/>
  <c r="AV463" i="1"/>
  <c r="AW462" i="1"/>
  <c r="AV462" i="1"/>
  <c r="AW461" i="1"/>
  <c r="AV461" i="1"/>
  <c r="AW460" i="1"/>
  <c r="AV460" i="1"/>
  <c r="AW459" i="1"/>
  <c r="AV459" i="1"/>
  <c r="AW458" i="1"/>
  <c r="AV458" i="1"/>
  <c r="AU458" i="1"/>
  <c r="AW457" i="1"/>
  <c r="AV457" i="1"/>
  <c r="AW456" i="1"/>
  <c r="AV456" i="1"/>
  <c r="AW455" i="1"/>
  <c r="AV455" i="1"/>
  <c r="AW454" i="1"/>
  <c r="AV454" i="1"/>
  <c r="AW453" i="1"/>
  <c r="AV453" i="1"/>
  <c r="AW452" i="1"/>
  <c r="AV452" i="1"/>
  <c r="AW451" i="1"/>
  <c r="AV451" i="1"/>
  <c r="AW450" i="1"/>
  <c r="AV450" i="1"/>
  <c r="AW449" i="1"/>
  <c r="AV449" i="1"/>
  <c r="AW448" i="1"/>
  <c r="AV448" i="1"/>
  <c r="AW447" i="1"/>
  <c r="AV447" i="1"/>
  <c r="AW446" i="1"/>
  <c r="AV446" i="1"/>
  <c r="AW445" i="1"/>
  <c r="AV445" i="1"/>
  <c r="AW444" i="1"/>
  <c r="AV444" i="1"/>
  <c r="AW443" i="1"/>
  <c r="AV443" i="1"/>
  <c r="AW442" i="1"/>
  <c r="AV442" i="1"/>
  <c r="AU442" i="1"/>
  <c r="AW441" i="1"/>
  <c r="AV441" i="1"/>
  <c r="AW440" i="1"/>
  <c r="AV440" i="1"/>
  <c r="AW439" i="1"/>
  <c r="AV439" i="1"/>
  <c r="AW438" i="1"/>
  <c r="AV438" i="1"/>
  <c r="AW437" i="1"/>
  <c r="AV437" i="1"/>
  <c r="AW436" i="1"/>
  <c r="AV436" i="1"/>
  <c r="AU436" i="1"/>
  <c r="AW435" i="1"/>
  <c r="AV435" i="1"/>
  <c r="AU435" i="1"/>
  <c r="AW434" i="1"/>
  <c r="AV434" i="1"/>
  <c r="AW433" i="1"/>
  <c r="AV433" i="1"/>
  <c r="AU433" i="1"/>
  <c r="AW432" i="1"/>
  <c r="AV432" i="1"/>
  <c r="AU432" i="1"/>
  <c r="AW431" i="1"/>
  <c r="AV431" i="1"/>
  <c r="AW430" i="1"/>
  <c r="AV430" i="1"/>
  <c r="AW429" i="1"/>
  <c r="AV429" i="1"/>
  <c r="AW428" i="1"/>
  <c r="AV428" i="1"/>
  <c r="AW427" i="1"/>
  <c r="AV427" i="1"/>
  <c r="AW426" i="1"/>
  <c r="AV426" i="1"/>
  <c r="AU426" i="1"/>
  <c r="AW425" i="1"/>
  <c r="AV425" i="1"/>
  <c r="AU425" i="1"/>
  <c r="AW424" i="1"/>
  <c r="AV424" i="1"/>
  <c r="AU424" i="1"/>
  <c r="AW423" i="1"/>
  <c r="AV423" i="1"/>
  <c r="AW422" i="1"/>
  <c r="AV422" i="1"/>
  <c r="AW421" i="1"/>
  <c r="AV421" i="1"/>
  <c r="AU421" i="1"/>
  <c r="AW420" i="1"/>
  <c r="AV420" i="1"/>
  <c r="AW419" i="1"/>
  <c r="AV419" i="1"/>
  <c r="AW418" i="1"/>
  <c r="AV418" i="1"/>
  <c r="AW417" i="1"/>
  <c r="AV417" i="1"/>
  <c r="AW416" i="1"/>
  <c r="AV416" i="1"/>
  <c r="AW415" i="1"/>
  <c r="AV415" i="1"/>
  <c r="AW414" i="1"/>
  <c r="AV414" i="1"/>
  <c r="AW413" i="1"/>
  <c r="AV413" i="1"/>
  <c r="AW412" i="1"/>
  <c r="AV412" i="1"/>
  <c r="AW411" i="1"/>
  <c r="AV411" i="1"/>
  <c r="AW410" i="1"/>
  <c r="AV410" i="1"/>
  <c r="AU410" i="1"/>
  <c r="AW409" i="1"/>
  <c r="AV409" i="1"/>
  <c r="AU409" i="1"/>
  <c r="AW408" i="1"/>
  <c r="AV408" i="1"/>
  <c r="AW407" i="1"/>
  <c r="AV407" i="1"/>
  <c r="AW406" i="1"/>
  <c r="AV406" i="1"/>
  <c r="AU406" i="1"/>
  <c r="AW405" i="1"/>
  <c r="AV405" i="1"/>
  <c r="AW404" i="1"/>
  <c r="AV404" i="1"/>
  <c r="AW403" i="1"/>
  <c r="AV403" i="1"/>
  <c r="AW402" i="1"/>
  <c r="AV402" i="1"/>
  <c r="AW401" i="1"/>
  <c r="AV401" i="1"/>
  <c r="AW400" i="1"/>
  <c r="AV400" i="1"/>
  <c r="AW399" i="1"/>
  <c r="AV399" i="1"/>
  <c r="AW398" i="1"/>
  <c r="AV398" i="1"/>
  <c r="AW397" i="1"/>
  <c r="AV397" i="1"/>
  <c r="AW396" i="1"/>
  <c r="AV396" i="1"/>
  <c r="AW395" i="1"/>
  <c r="AV395" i="1"/>
  <c r="AU395" i="1"/>
  <c r="AW394" i="1"/>
  <c r="AV394" i="1"/>
  <c r="AU394" i="1"/>
  <c r="AW393" i="1"/>
  <c r="AV393" i="1"/>
  <c r="AW392" i="1"/>
  <c r="AV392" i="1"/>
  <c r="AW391" i="1"/>
  <c r="AV391" i="1"/>
  <c r="AW390" i="1"/>
  <c r="AV390" i="1"/>
  <c r="AW389" i="1"/>
  <c r="AV389" i="1"/>
  <c r="AW388" i="1"/>
  <c r="AV388" i="1"/>
  <c r="AW387" i="1"/>
  <c r="AV387" i="1"/>
  <c r="AU387" i="1"/>
  <c r="AW386" i="1"/>
  <c r="AV386" i="1"/>
  <c r="AW385" i="1"/>
  <c r="AV385" i="1"/>
  <c r="AW384" i="1"/>
  <c r="AV384" i="1"/>
  <c r="AW383" i="1"/>
  <c r="AV383" i="1"/>
  <c r="AU383" i="1"/>
  <c r="AW382" i="1"/>
  <c r="AV382" i="1"/>
  <c r="AU382" i="1"/>
  <c r="AW381" i="1"/>
  <c r="AV381" i="1"/>
  <c r="AW380" i="1"/>
  <c r="AV380" i="1"/>
  <c r="AW379" i="1"/>
  <c r="AV379" i="1"/>
  <c r="AU379" i="1"/>
  <c r="AW378" i="1"/>
  <c r="AV378" i="1"/>
  <c r="AW377" i="1"/>
  <c r="AV377" i="1"/>
  <c r="AW376" i="1"/>
  <c r="AV376" i="1"/>
  <c r="AW375" i="1"/>
  <c r="AV375" i="1"/>
  <c r="AW374" i="1"/>
  <c r="AV374" i="1"/>
  <c r="AW373" i="1"/>
  <c r="AV373" i="1"/>
  <c r="AW372" i="1"/>
  <c r="AV372" i="1"/>
  <c r="AW371" i="1"/>
  <c r="AV371" i="1"/>
  <c r="AW370" i="1"/>
  <c r="AV370" i="1"/>
  <c r="AW369" i="1"/>
  <c r="AV369" i="1"/>
  <c r="AU369" i="1"/>
  <c r="AW368" i="1"/>
  <c r="AV368" i="1"/>
  <c r="AU368" i="1"/>
  <c r="AW367" i="1"/>
  <c r="AV367" i="1"/>
  <c r="AU367" i="1"/>
  <c r="AW366" i="1"/>
  <c r="AV366" i="1"/>
  <c r="AU366" i="1"/>
  <c r="AW365" i="1"/>
  <c r="AV365" i="1"/>
  <c r="AW364" i="1"/>
  <c r="AV364" i="1"/>
  <c r="AW363" i="1"/>
  <c r="AV363" i="1"/>
  <c r="AW362" i="1"/>
  <c r="AV362" i="1"/>
  <c r="AW361" i="1"/>
  <c r="AV361" i="1"/>
  <c r="AW360" i="1"/>
  <c r="AV360" i="1"/>
  <c r="AW359" i="1"/>
  <c r="AV359" i="1"/>
  <c r="AW358" i="1"/>
  <c r="AV358" i="1"/>
  <c r="AW357" i="1"/>
  <c r="AV357" i="1"/>
  <c r="AW356" i="1"/>
  <c r="AV356" i="1"/>
  <c r="AW355" i="1"/>
  <c r="AV355" i="1"/>
  <c r="AW354" i="1"/>
  <c r="AV354" i="1"/>
  <c r="AW353" i="1"/>
  <c r="AV353" i="1"/>
  <c r="AU353" i="1"/>
  <c r="AW352" i="1"/>
  <c r="AV352" i="1"/>
  <c r="AW351" i="1"/>
  <c r="AV351" i="1"/>
  <c r="AU351" i="1"/>
  <c r="AW350" i="1"/>
  <c r="AV350" i="1"/>
  <c r="AW349" i="1"/>
  <c r="AV349" i="1"/>
  <c r="AW348" i="1"/>
  <c r="AV348" i="1"/>
  <c r="AW347" i="1"/>
  <c r="AV347" i="1"/>
  <c r="AU347" i="1"/>
  <c r="AW346" i="1"/>
  <c r="AV346" i="1"/>
  <c r="AW345" i="1"/>
  <c r="AV345" i="1"/>
  <c r="AW344" i="1"/>
  <c r="AV344" i="1"/>
  <c r="AW343" i="1"/>
  <c r="AV343" i="1"/>
  <c r="AU343" i="1"/>
  <c r="AW342" i="1"/>
  <c r="AV342" i="1"/>
  <c r="AW341" i="1"/>
  <c r="AV341" i="1"/>
  <c r="AW340" i="1"/>
  <c r="AV340" i="1"/>
  <c r="AW339" i="1"/>
  <c r="AV339" i="1"/>
  <c r="AW338" i="1"/>
  <c r="AV338" i="1"/>
  <c r="AW337" i="1"/>
  <c r="AV337" i="1"/>
  <c r="AW336" i="1"/>
  <c r="AV336" i="1"/>
  <c r="AU336" i="1"/>
  <c r="AW335" i="1"/>
  <c r="AV335" i="1"/>
  <c r="AW334" i="1"/>
  <c r="AV334" i="1"/>
  <c r="AW333" i="1"/>
  <c r="AV333" i="1"/>
  <c r="AW332" i="1"/>
  <c r="AV332" i="1"/>
  <c r="AW331" i="1"/>
  <c r="AV331" i="1"/>
  <c r="AU331" i="1"/>
  <c r="AW330" i="1"/>
  <c r="AV330" i="1"/>
  <c r="AU330" i="1"/>
  <c r="AW329" i="1"/>
  <c r="AV329" i="1"/>
  <c r="AW328" i="1"/>
  <c r="AV328" i="1"/>
  <c r="AW327" i="1"/>
  <c r="AV327" i="1"/>
  <c r="AW326" i="1"/>
  <c r="AV326" i="1"/>
  <c r="AW325" i="1"/>
  <c r="AV325" i="1"/>
  <c r="AW324" i="1"/>
  <c r="AV324" i="1"/>
  <c r="AW323" i="1"/>
  <c r="AV323" i="1"/>
  <c r="AU323" i="1"/>
  <c r="AW322" i="1"/>
  <c r="AV322" i="1"/>
  <c r="AW321" i="1"/>
  <c r="AV321" i="1"/>
  <c r="AW320" i="1"/>
  <c r="AV320" i="1"/>
  <c r="AW319" i="1"/>
  <c r="AV319" i="1"/>
  <c r="AU319" i="1"/>
  <c r="AW318" i="1"/>
  <c r="AV318" i="1"/>
  <c r="AW317" i="1"/>
  <c r="AV317" i="1"/>
  <c r="AW316" i="1"/>
  <c r="AV316" i="1"/>
  <c r="AW315" i="1"/>
  <c r="AV315" i="1"/>
  <c r="AW314" i="1"/>
  <c r="AV314" i="1"/>
  <c r="AW313" i="1"/>
  <c r="AV313" i="1"/>
  <c r="AW312" i="1"/>
  <c r="AV312" i="1"/>
  <c r="AW311" i="1"/>
  <c r="AV311" i="1"/>
  <c r="AW310" i="1"/>
  <c r="AV310" i="1"/>
  <c r="AU310" i="1"/>
  <c r="AW309" i="1"/>
  <c r="AV309" i="1"/>
  <c r="AU309" i="1"/>
  <c r="AW308" i="1"/>
  <c r="AV308" i="1"/>
  <c r="AW307" i="1"/>
  <c r="AV307" i="1"/>
  <c r="AW306" i="1"/>
  <c r="AV306" i="1"/>
  <c r="AW305" i="1"/>
  <c r="AV305" i="1"/>
  <c r="AU305" i="1"/>
  <c r="AW304" i="1"/>
  <c r="AV304" i="1"/>
  <c r="AU304" i="1"/>
  <c r="AW303" i="1"/>
  <c r="AV303" i="1"/>
  <c r="AU303" i="1"/>
  <c r="AW302" i="1"/>
  <c r="AV302" i="1"/>
  <c r="AW301" i="1"/>
  <c r="AV301" i="1"/>
  <c r="AW300" i="1"/>
  <c r="AV300" i="1"/>
  <c r="AW299" i="1"/>
  <c r="AV299" i="1"/>
  <c r="AW298" i="1"/>
  <c r="AV298" i="1"/>
  <c r="AW297" i="1"/>
  <c r="AV297" i="1"/>
  <c r="AW296" i="1"/>
  <c r="AV296" i="1"/>
  <c r="AW295" i="1"/>
  <c r="AV295" i="1"/>
  <c r="AW294" i="1"/>
  <c r="AV294" i="1"/>
  <c r="AU294" i="1"/>
  <c r="AW293" i="1"/>
  <c r="AV293" i="1"/>
  <c r="AU293" i="1"/>
  <c r="AW292" i="1"/>
  <c r="AV292" i="1"/>
  <c r="AW291" i="1"/>
  <c r="AV291" i="1"/>
  <c r="AW290" i="1"/>
  <c r="AV290" i="1"/>
  <c r="AW289" i="1"/>
  <c r="AV289" i="1"/>
  <c r="AW288" i="1"/>
  <c r="AV288" i="1"/>
  <c r="AU288" i="1"/>
  <c r="AW287" i="1"/>
  <c r="AV287" i="1"/>
  <c r="AU287" i="1"/>
  <c r="AW286" i="1"/>
  <c r="AV286" i="1"/>
  <c r="AW285" i="1"/>
  <c r="AV285" i="1"/>
  <c r="AU285" i="1"/>
  <c r="AW284" i="1"/>
  <c r="AV284" i="1"/>
  <c r="AU284" i="1"/>
  <c r="AW283" i="1"/>
  <c r="AV283" i="1"/>
  <c r="AW282" i="1"/>
  <c r="AV282" i="1"/>
  <c r="AW281" i="1"/>
  <c r="AV281" i="1"/>
  <c r="AW280" i="1"/>
  <c r="AV280" i="1"/>
  <c r="AW279" i="1"/>
  <c r="AV279" i="1"/>
  <c r="AW278" i="1"/>
  <c r="AV278" i="1"/>
  <c r="AW277" i="1"/>
  <c r="AV277" i="1"/>
  <c r="AW276" i="1"/>
  <c r="AV276" i="1"/>
  <c r="AW275" i="1"/>
  <c r="AV275" i="1"/>
  <c r="AW274" i="1"/>
  <c r="AV274" i="1"/>
  <c r="AU274" i="1"/>
  <c r="AW273" i="1"/>
  <c r="AV273" i="1"/>
  <c r="AW272" i="1"/>
  <c r="AV272" i="1"/>
  <c r="AW271" i="1"/>
  <c r="AV271" i="1"/>
  <c r="AW270" i="1"/>
  <c r="AV270" i="1"/>
  <c r="AW269" i="1"/>
  <c r="AV269" i="1"/>
  <c r="AW268" i="1"/>
  <c r="AV268" i="1"/>
  <c r="AW267" i="1"/>
  <c r="AV267" i="1"/>
  <c r="AW266" i="1"/>
  <c r="AV266" i="1"/>
  <c r="AW265" i="1"/>
  <c r="AV265" i="1"/>
  <c r="AU265" i="1"/>
  <c r="AW264" i="1"/>
  <c r="AV264" i="1"/>
  <c r="AU264" i="1"/>
  <c r="AW263" i="1"/>
  <c r="AV263" i="1"/>
  <c r="AU263" i="1"/>
  <c r="AW262" i="1"/>
  <c r="AV262" i="1"/>
  <c r="AU262" i="1"/>
  <c r="AW261" i="1"/>
  <c r="AV261" i="1"/>
  <c r="AU261" i="1"/>
  <c r="AW260" i="1"/>
  <c r="AV260" i="1"/>
  <c r="AU260" i="1"/>
  <c r="AW259" i="1"/>
  <c r="AV259" i="1"/>
  <c r="AU259" i="1"/>
  <c r="AW258" i="1"/>
  <c r="AV258" i="1"/>
  <c r="AU258" i="1"/>
  <c r="AW257" i="1"/>
  <c r="AV257" i="1"/>
  <c r="AU257" i="1"/>
  <c r="AW256" i="1"/>
  <c r="AV256" i="1"/>
  <c r="AW255" i="1"/>
  <c r="AV255" i="1"/>
  <c r="AW254" i="1"/>
  <c r="AV254" i="1"/>
  <c r="AW253" i="1"/>
  <c r="AV253" i="1"/>
  <c r="AW252" i="1"/>
  <c r="AV252" i="1"/>
  <c r="AU252" i="1"/>
  <c r="AW251" i="1"/>
  <c r="AV251" i="1"/>
  <c r="AU251" i="1"/>
  <c r="AW250" i="1"/>
  <c r="AV250" i="1"/>
  <c r="AU250" i="1"/>
  <c r="AW249" i="1"/>
  <c r="AV249" i="1"/>
  <c r="AU249" i="1"/>
  <c r="AW248" i="1"/>
  <c r="AV248" i="1"/>
  <c r="AU248" i="1"/>
  <c r="AW247" i="1"/>
  <c r="AV247" i="1"/>
  <c r="AU247" i="1"/>
  <c r="AW246" i="1"/>
  <c r="AV246" i="1"/>
  <c r="AW245" i="1"/>
  <c r="AV245" i="1"/>
  <c r="AW244" i="1"/>
  <c r="AV244" i="1"/>
  <c r="AW243" i="1"/>
  <c r="AV243" i="1"/>
  <c r="AW242" i="1"/>
  <c r="AV242" i="1"/>
  <c r="AW241" i="1"/>
  <c r="AV241" i="1"/>
  <c r="AU241" i="1"/>
  <c r="AW240" i="1"/>
  <c r="AV240" i="1"/>
  <c r="AU240" i="1"/>
  <c r="AW239" i="1"/>
  <c r="AV239" i="1"/>
  <c r="AU239" i="1"/>
  <c r="AW238" i="1"/>
  <c r="AV238" i="1"/>
  <c r="AW237" i="1"/>
  <c r="AV237" i="1"/>
  <c r="AU237" i="1"/>
  <c r="AW236" i="1"/>
  <c r="AV236" i="1"/>
  <c r="AW235" i="1"/>
  <c r="AV235" i="1"/>
  <c r="AW234" i="1"/>
  <c r="AV234" i="1"/>
  <c r="AW233" i="1"/>
  <c r="AV233" i="1"/>
  <c r="AU233" i="1"/>
  <c r="AW232" i="1"/>
  <c r="AV232" i="1"/>
  <c r="AW231" i="1"/>
  <c r="AV231" i="1"/>
  <c r="AW230" i="1"/>
  <c r="AV230" i="1"/>
  <c r="AU230" i="1"/>
  <c r="AW229" i="1"/>
  <c r="AV229" i="1"/>
  <c r="AW228" i="1"/>
  <c r="AV228" i="1"/>
  <c r="AW227" i="1"/>
  <c r="AV227" i="1"/>
  <c r="AW226" i="1"/>
  <c r="AV226" i="1"/>
  <c r="AW225" i="1"/>
  <c r="AV225" i="1"/>
  <c r="AW224" i="1"/>
  <c r="AV224" i="1"/>
  <c r="AU224" i="1"/>
  <c r="AW223" i="1"/>
  <c r="AV223" i="1"/>
  <c r="AW222" i="1"/>
  <c r="AV222" i="1"/>
  <c r="AW221" i="1"/>
  <c r="AV221" i="1"/>
  <c r="AW220" i="1"/>
  <c r="AV220" i="1"/>
  <c r="AW219" i="1"/>
  <c r="AV219" i="1"/>
  <c r="AW218" i="1"/>
  <c r="AV218" i="1"/>
  <c r="AW217" i="1"/>
  <c r="AV217" i="1"/>
  <c r="AW216" i="1"/>
  <c r="AV216" i="1"/>
  <c r="AW215" i="1"/>
  <c r="AV215" i="1"/>
  <c r="AW214" i="1"/>
  <c r="AV214" i="1"/>
  <c r="AW213" i="1"/>
  <c r="AV213" i="1"/>
  <c r="AU213" i="1"/>
  <c r="AW212" i="1"/>
  <c r="AV212" i="1"/>
  <c r="AW211" i="1"/>
  <c r="AV211" i="1"/>
  <c r="AW210" i="1"/>
  <c r="AV210" i="1"/>
  <c r="AW209" i="1"/>
  <c r="AV209" i="1"/>
  <c r="AW208" i="1"/>
  <c r="AV208" i="1"/>
  <c r="AU208" i="1"/>
  <c r="AW207" i="1"/>
  <c r="AV207" i="1"/>
  <c r="AW206" i="1"/>
  <c r="AV206" i="1"/>
  <c r="AW205" i="1"/>
  <c r="AV205" i="1"/>
  <c r="AW204" i="1"/>
  <c r="AV204" i="1"/>
  <c r="AW203" i="1"/>
  <c r="AV203" i="1"/>
  <c r="AW202" i="1"/>
  <c r="AV202" i="1"/>
  <c r="AW201" i="1"/>
  <c r="AV201" i="1"/>
  <c r="AW200" i="1"/>
  <c r="AV200" i="1"/>
  <c r="AW199" i="1"/>
  <c r="AV199" i="1"/>
  <c r="AW198" i="1"/>
  <c r="AV198" i="1"/>
  <c r="AU198" i="1"/>
  <c r="AW197" i="1"/>
  <c r="AV197" i="1"/>
  <c r="AW196" i="1"/>
  <c r="AV196" i="1"/>
  <c r="AU196" i="1"/>
  <c r="AW195" i="1"/>
  <c r="AV195" i="1"/>
  <c r="AW194" i="1"/>
  <c r="AV194" i="1"/>
  <c r="AW193" i="1"/>
  <c r="AV193" i="1"/>
  <c r="AW192" i="1"/>
  <c r="AV192" i="1"/>
  <c r="AW191" i="1"/>
  <c r="AV191" i="1"/>
  <c r="AW190" i="1"/>
  <c r="AV190" i="1"/>
  <c r="AU190" i="1"/>
  <c r="AW189" i="1"/>
  <c r="AV189" i="1"/>
  <c r="AU189" i="1"/>
  <c r="AW188" i="1"/>
  <c r="AV188" i="1"/>
  <c r="AU188" i="1"/>
  <c r="AW187" i="1"/>
  <c r="AV187" i="1"/>
  <c r="AW186" i="1"/>
  <c r="AV186" i="1"/>
  <c r="AW185" i="1"/>
  <c r="AV185" i="1"/>
  <c r="AW184" i="1"/>
  <c r="AV184" i="1"/>
  <c r="AW183" i="1"/>
  <c r="AV183" i="1"/>
  <c r="AW182" i="1"/>
  <c r="AV182" i="1"/>
  <c r="AW181" i="1"/>
  <c r="AV181" i="1"/>
  <c r="AU181" i="1"/>
  <c r="AW180" i="1"/>
  <c r="AV180" i="1"/>
  <c r="AW179" i="1"/>
  <c r="AV179" i="1"/>
  <c r="AW178" i="1"/>
  <c r="AV178" i="1"/>
  <c r="AW177" i="1"/>
  <c r="AV177" i="1"/>
  <c r="AU177" i="1"/>
  <c r="AW176" i="1"/>
  <c r="AV176" i="1"/>
  <c r="AW175" i="1"/>
  <c r="AV175" i="1"/>
  <c r="AW174" i="1"/>
  <c r="AV174" i="1"/>
  <c r="AW173" i="1"/>
  <c r="AV173" i="1"/>
  <c r="AW172" i="1"/>
  <c r="AV172" i="1"/>
  <c r="AW171" i="1"/>
  <c r="AV171" i="1"/>
  <c r="AU171" i="1"/>
  <c r="AW170" i="1"/>
  <c r="AV170" i="1"/>
  <c r="AU170" i="1"/>
  <c r="AW169" i="1"/>
  <c r="AV169" i="1"/>
  <c r="AU169" i="1"/>
  <c r="AW168" i="1"/>
  <c r="AV168" i="1"/>
  <c r="AW167" i="1"/>
  <c r="AV167" i="1"/>
  <c r="AW166" i="1"/>
  <c r="AV166" i="1"/>
  <c r="AW165" i="1"/>
  <c r="AV165" i="1"/>
  <c r="AW164" i="1"/>
  <c r="AV164" i="1"/>
  <c r="AU164" i="1"/>
  <c r="AW163" i="1"/>
  <c r="AV163" i="1"/>
  <c r="AW162" i="1"/>
  <c r="AV162" i="1"/>
  <c r="AW161" i="1"/>
  <c r="AV161" i="1"/>
  <c r="AW160" i="1"/>
  <c r="AV160" i="1"/>
  <c r="AU160" i="1"/>
  <c r="AW159" i="1"/>
  <c r="AV159" i="1"/>
  <c r="AW158" i="1"/>
  <c r="AV158" i="1"/>
  <c r="AW157" i="1"/>
  <c r="AV157" i="1"/>
  <c r="AW156" i="1"/>
  <c r="AV156" i="1"/>
  <c r="AW155" i="1"/>
  <c r="AV155" i="1"/>
  <c r="AW154" i="1"/>
  <c r="AV154" i="1"/>
  <c r="AW153" i="1"/>
  <c r="AV153" i="1"/>
  <c r="AW152" i="1"/>
  <c r="AV152" i="1"/>
  <c r="AW151" i="1"/>
  <c r="AV151" i="1"/>
  <c r="AW150" i="1"/>
  <c r="AV150" i="1"/>
  <c r="AU150" i="1"/>
  <c r="AW149" i="1"/>
  <c r="AV149" i="1"/>
  <c r="AW148" i="1"/>
  <c r="AV148" i="1"/>
  <c r="AW147" i="1"/>
  <c r="AV147" i="1"/>
  <c r="AW146" i="1"/>
  <c r="AV146" i="1"/>
  <c r="AW145" i="1"/>
  <c r="AV145" i="1"/>
  <c r="AU145" i="1"/>
  <c r="AW144" i="1"/>
  <c r="AV144" i="1"/>
  <c r="AW143" i="1"/>
  <c r="AV143" i="1"/>
  <c r="AW142" i="1"/>
  <c r="AV142" i="1"/>
  <c r="AU142" i="1"/>
  <c r="AW141" i="1"/>
  <c r="AV141" i="1"/>
  <c r="AW140" i="1"/>
  <c r="AV140" i="1"/>
  <c r="AW139" i="1"/>
  <c r="AV139" i="1"/>
  <c r="AW138" i="1"/>
  <c r="AV138" i="1"/>
  <c r="AW137" i="1"/>
  <c r="AV137" i="1"/>
  <c r="AW136" i="1"/>
  <c r="AV136" i="1"/>
  <c r="AW135" i="1"/>
  <c r="AV135" i="1"/>
  <c r="AU135" i="1"/>
  <c r="AW134" i="1"/>
  <c r="AV134" i="1"/>
  <c r="AW133" i="1"/>
  <c r="AV133" i="1"/>
  <c r="AU133" i="1"/>
  <c r="AW132" i="1"/>
  <c r="AV132" i="1"/>
  <c r="AW131" i="1"/>
  <c r="AV131" i="1"/>
  <c r="AW130" i="1"/>
  <c r="AV130" i="1"/>
  <c r="AW129" i="1"/>
  <c r="AV129" i="1"/>
  <c r="AW128" i="1"/>
  <c r="AV128" i="1"/>
  <c r="AW127" i="1"/>
  <c r="AV127" i="1"/>
  <c r="AW126" i="1"/>
  <c r="AV126" i="1"/>
  <c r="AW125" i="1"/>
  <c r="AV125" i="1"/>
  <c r="AW124" i="1"/>
  <c r="AV124" i="1"/>
  <c r="AW123" i="1"/>
  <c r="AV123" i="1"/>
  <c r="AW122" i="1"/>
  <c r="AV122" i="1"/>
  <c r="AW121" i="1"/>
  <c r="AV121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16" i="1"/>
  <c r="AV116" i="1"/>
  <c r="AU116" i="1"/>
  <c r="AW115" i="1"/>
  <c r="AV115" i="1"/>
  <c r="AU115" i="1"/>
  <c r="AW114" i="1"/>
  <c r="AV114" i="1"/>
  <c r="AU114" i="1"/>
  <c r="AW113" i="1"/>
  <c r="AV113" i="1"/>
  <c r="AU113" i="1"/>
  <c r="AW112" i="1"/>
  <c r="AV112" i="1"/>
  <c r="AW111" i="1"/>
  <c r="AV111" i="1"/>
  <c r="AU111" i="1"/>
  <c r="AW110" i="1"/>
  <c r="AV110" i="1"/>
  <c r="AU110" i="1"/>
  <c r="AW109" i="1"/>
  <c r="AV109" i="1"/>
  <c r="AU109" i="1"/>
  <c r="AW108" i="1"/>
  <c r="AV108" i="1"/>
  <c r="AU108" i="1"/>
  <c r="AW107" i="1"/>
  <c r="AV107" i="1"/>
  <c r="AU107" i="1"/>
  <c r="AW106" i="1"/>
  <c r="AV106" i="1"/>
  <c r="AU106" i="1"/>
  <c r="AW105" i="1"/>
  <c r="AV105" i="1"/>
  <c r="AU105" i="1"/>
  <c r="AW104" i="1"/>
  <c r="AV104" i="1"/>
  <c r="AU104" i="1"/>
  <c r="AW103" i="1"/>
  <c r="AV103" i="1"/>
  <c r="AU103" i="1"/>
  <c r="AW102" i="1"/>
  <c r="AV102" i="1"/>
  <c r="AU102" i="1"/>
  <c r="AW101" i="1"/>
  <c r="AV101" i="1"/>
  <c r="AW100" i="1"/>
  <c r="AV100" i="1"/>
  <c r="AW99" i="1"/>
  <c r="AV99" i="1"/>
  <c r="AW98" i="1"/>
  <c r="AV98" i="1"/>
  <c r="AU98" i="1"/>
  <c r="AW97" i="1"/>
  <c r="AV97" i="1"/>
  <c r="AW96" i="1"/>
  <c r="AV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W88" i="1"/>
  <c r="AV88" i="1"/>
  <c r="AW87" i="1"/>
  <c r="AV87" i="1"/>
  <c r="AW86" i="1"/>
  <c r="AV86" i="1"/>
  <c r="AU86" i="1"/>
  <c r="AW85" i="1"/>
  <c r="AV85" i="1"/>
  <c r="AU85" i="1"/>
  <c r="AW84" i="1"/>
  <c r="AV84" i="1"/>
  <c r="AU84" i="1"/>
  <c r="AW83" i="1"/>
  <c r="AV83" i="1"/>
  <c r="AU83" i="1"/>
  <c r="AW82" i="1"/>
  <c r="AV82" i="1"/>
  <c r="AU82" i="1"/>
  <c r="AW81" i="1"/>
  <c r="AV81" i="1"/>
  <c r="AU81" i="1"/>
  <c r="AW80" i="1"/>
  <c r="AV80" i="1"/>
  <c r="AU80" i="1"/>
  <c r="AW79" i="1"/>
  <c r="AV79" i="1"/>
  <c r="AU79" i="1"/>
  <c r="AW78" i="1"/>
  <c r="AV78" i="1"/>
  <c r="AU78" i="1"/>
  <c r="AW77" i="1"/>
  <c r="AV77" i="1"/>
  <c r="AU77" i="1"/>
  <c r="AW76" i="1"/>
  <c r="AV76" i="1"/>
  <c r="AU76" i="1"/>
  <c r="AW75" i="1"/>
  <c r="AV75" i="1"/>
  <c r="AU75" i="1"/>
  <c r="AW74" i="1"/>
  <c r="AV74" i="1"/>
  <c r="AU74" i="1"/>
  <c r="AW73" i="1"/>
  <c r="AV73" i="1"/>
  <c r="AU73" i="1"/>
  <c r="AW72" i="1"/>
  <c r="AV72" i="1"/>
  <c r="AU72" i="1"/>
  <c r="AW71" i="1"/>
  <c r="AV71" i="1"/>
  <c r="AU71" i="1"/>
  <c r="AW70" i="1"/>
  <c r="AV70" i="1"/>
  <c r="AU70" i="1"/>
  <c r="AW68" i="1"/>
  <c r="AV68" i="1"/>
  <c r="AW67" i="1"/>
  <c r="AV67" i="1"/>
  <c r="AW66" i="1"/>
  <c r="AV66" i="1"/>
  <c r="AW65" i="1"/>
  <c r="AV65" i="1"/>
  <c r="AU65" i="1"/>
  <c r="AW64" i="1"/>
  <c r="AV64" i="1"/>
  <c r="AU64" i="1"/>
  <c r="AW63" i="1"/>
  <c r="AV63" i="1"/>
  <c r="AU63" i="1"/>
  <c r="AW62" i="1"/>
  <c r="AV62" i="1"/>
  <c r="AU62" i="1"/>
  <c r="AW60" i="1"/>
  <c r="AV60" i="1"/>
  <c r="AU60" i="1"/>
  <c r="AW59" i="1"/>
  <c r="AV59" i="1"/>
  <c r="AW58" i="1"/>
  <c r="AV58" i="1"/>
  <c r="AW57" i="1"/>
  <c r="AV57" i="1"/>
  <c r="AU57" i="1"/>
  <c r="AW56" i="1"/>
  <c r="AV56" i="1"/>
  <c r="AU56" i="1"/>
  <c r="AW55" i="1"/>
  <c r="AV55" i="1"/>
  <c r="AU55" i="1"/>
  <c r="AW54" i="1"/>
  <c r="AV54" i="1"/>
  <c r="AU54" i="1"/>
  <c r="AW53" i="1"/>
  <c r="AV53" i="1"/>
  <c r="AU53" i="1"/>
  <c r="AW52" i="1"/>
  <c r="AV52" i="1"/>
  <c r="AU52" i="1"/>
  <c r="AW51" i="1"/>
  <c r="AV51" i="1"/>
  <c r="AU51" i="1"/>
  <c r="AW50" i="1"/>
  <c r="AV50" i="1"/>
  <c r="AU50" i="1"/>
  <c r="AW49" i="1"/>
  <c r="AV49" i="1"/>
  <c r="AU49" i="1"/>
  <c r="AW45" i="1"/>
  <c r="AV45" i="1"/>
  <c r="AU45" i="1"/>
  <c r="AW41" i="1"/>
  <c r="AV41" i="1"/>
  <c r="AW34" i="1"/>
  <c r="AV34" i="1"/>
  <c r="AW24" i="1"/>
  <c r="AV24" i="1"/>
  <c r="AU24" i="1"/>
  <c r="AW21" i="1"/>
  <c r="AV21" i="1"/>
  <c r="AU21" i="1"/>
  <c r="AW9" i="1"/>
  <c r="AV9" i="1"/>
  <c r="AU9" i="1"/>
  <c r="AW8" i="1"/>
  <c r="AV8" i="1"/>
  <c r="AW7" i="1"/>
  <c r="AV7" i="1"/>
  <c r="AW6" i="1"/>
  <c r="AV6" i="1"/>
  <c r="AW5" i="1"/>
  <c r="AV5" i="1"/>
  <c r="AU5" i="1"/>
  <c r="AW4" i="1"/>
  <c r="AV4" i="1"/>
  <c r="AW3" i="1"/>
  <c r="AV3" i="1"/>
  <c r="AU3" i="1"/>
  <c r="AW2" i="1"/>
  <c r="AV2" i="1"/>
</calcChain>
</file>

<file path=xl/sharedStrings.xml><?xml version="1.0" encoding="utf-8"?>
<sst xmlns="http://schemas.openxmlformats.org/spreadsheetml/2006/main" count="211726" uniqueCount="65865">
  <si>
    <t>Collection Code</t>
  </si>
  <si>
    <t>Location Code</t>
  </si>
  <si>
    <t>Display Call Number</t>
  </si>
  <si>
    <t>Display Call Number Normalized</t>
  </si>
  <si>
    <t>Title</t>
  </si>
  <si>
    <t>Enumeration</t>
  </si>
  <si>
    <t>Possible Multi-Volume Set</t>
  </si>
  <si>
    <t>Copy Number</t>
  </si>
  <si>
    <t>Possible Duplicate</t>
  </si>
  <si>
    <t>Multi-Edition Title</t>
  </si>
  <si>
    <t>Number of Related Ebooks</t>
  </si>
  <si>
    <t>Author</t>
  </si>
  <si>
    <t>Publisher</t>
  </si>
  <si>
    <t>Publication Year</t>
  </si>
  <si>
    <t>Edition</t>
  </si>
  <si>
    <t>Primary Language</t>
  </si>
  <si>
    <t>Series</t>
  </si>
  <si>
    <t>LC Subclass</t>
  </si>
  <si>
    <t>Recorded Uses - Item</t>
  </si>
  <si>
    <t>Recorded Uses - Title</t>
  </si>
  <si>
    <t>Last Charge Date - Item</t>
  </si>
  <si>
    <t>Last Charge Date - Title</t>
  </si>
  <si>
    <t>Last Add Date - Item</t>
  </si>
  <si>
    <t>Last Add Date - Title</t>
  </si>
  <si>
    <t>Global Holdings - Same Edition</t>
  </si>
  <si>
    <t>Canada Holdings - Same Edition</t>
  </si>
  <si>
    <t>Canada Holdings - Any Edition</t>
  </si>
  <si>
    <t>Quebec Holdings - Same Edition</t>
  </si>
  <si>
    <t>Quebec Holdings - Any Edition</t>
  </si>
  <si>
    <t>All Comparator Library Holdings - Same Edition</t>
  </si>
  <si>
    <t>All Comparator Library Holdings - Any Edition</t>
  </si>
  <si>
    <t>BCI - Same Edition</t>
  </si>
  <si>
    <t>BCI - Any Edition</t>
  </si>
  <si>
    <t>ARL Libraries - Same Edition</t>
  </si>
  <si>
    <t>ARL Libraries - Any Edition</t>
  </si>
  <si>
    <t>CARL - Same Edition</t>
  </si>
  <si>
    <t>CARL - Any Edition</t>
  </si>
  <si>
    <t>AAU - Same Edition</t>
  </si>
  <si>
    <t>AAU - Any Edition</t>
  </si>
  <si>
    <t>HathiTrust Retention Commitments - Same Edition</t>
  </si>
  <si>
    <t>HathiTrust Retention Commitments - Any Edition</t>
  </si>
  <si>
    <t>CRKN - Same Edition</t>
  </si>
  <si>
    <t>CRKN - Any Edition</t>
  </si>
  <si>
    <t>Published in Canada</t>
  </si>
  <si>
    <t>HathiTrust Public Domain</t>
  </si>
  <si>
    <t>HathiTrust In Copyright</t>
  </si>
  <si>
    <t>HathiTrust URL</t>
  </si>
  <si>
    <t>OPAC URL</t>
  </si>
  <si>
    <t>WorldCat URL</t>
  </si>
  <si>
    <t>OCLC Work ID</t>
  </si>
  <si>
    <t>WorldCat OCLC Number</t>
  </si>
  <si>
    <t>Bib Record Number</t>
  </si>
  <si>
    <t>Bib Control Number</t>
  </si>
  <si>
    <t>Item Control Number</t>
  </si>
  <si>
    <t>Item Type Code</t>
  </si>
  <si>
    <t>Item Status Code</t>
  </si>
  <si>
    <t>ISBN</t>
  </si>
  <si>
    <t>Barcode</t>
  </si>
  <si>
    <t>SCS Item ID</t>
  </si>
  <si>
    <t>LGGG</t>
  </si>
  <si>
    <t>- Main Collection - Regular Loan</t>
  </si>
  <si>
    <t>Yes</t>
  </si>
  <si>
    <t>No</t>
  </si>
  <si>
    <t>0</t>
  </si>
  <si>
    <t>1957</t>
  </si>
  <si>
    <t>eng</t>
  </si>
  <si>
    <t xml:space="preserve">P  </t>
  </si>
  <si>
    <t>2019-02-02</t>
  </si>
  <si>
    <t>AVAILABLE</t>
  </si>
  <si>
    <t>2011-04-05</t>
  </si>
  <si>
    <t>2008-11-27</t>
  </si>
  <si>
    <t>2008-04-08</t>
  </si>
  <si>
    <t>1963</t>
  </si>
  <si>
    <t>2019-05-08</t>
  </si>
  <si>
    <t>2012-04-10</t>
  </si>
  <si>
    <t>2008-05-01</t>
  </si>
  <si>
    <t>2011-03-30</t>
  </si>
  <si>
    <t>1961</t>
  </si>
  <si>
    <t>2015-02-28</t>
  </si>
  <si>
    <t>2013-03-24</t>
  </si>
  <si>
    <t>SSLS</t>
  </si>
  <si>
    <t>2005-09-30</t>
  </si>
  <si>
    <t>2013-02-22</t>
  </si>
  <si>
    <t>v.5</t>
  </si>
  <si>
    <t>1992</t>
  </si>
  <si>
    <t>2015-06-05</t>
  </si>
  <si>
    <t>v.3</t>
  </si>
  <si>
    <t>v.1</t>
  </si>
  <si>
    <t>v.4</t>
  </si>
  <si>
    <t>v.6</t>
  </si>
  <si>
    <t>v.2</t>
  </si>
  <si>
    <t>P1 H8 v. 7</t>
  </si>
  <si>
    <t>0                      P  0001000H  8                                                       v. 7</t>
  </si>
  <si>
    <t>Ernst Toller and his ideology, by William Anthony Willibrand ...</t>
  </si>
  <si>
    <t>v. 7*</t>
  </si>
  <si>
    <t>Willibrand, W. A. (William Anthony)</t>
  </si>
  <si>
    <t>Iowa City, Ia., The University, 1945.</t>
  </si>
  <si>
    <t>1945</t>
  </si>
  <si>
    <t>University of Iowa humanistic studies, vol. VII</t>
  </si>
  <si>
    <t>2018-10-16</t>
  </si>
  <si>
    <t>2729696:eng</t>
  </si>
  <si>
    <t>1871459</t>
  </si>
  <si>
    <t>ocm01871459</t>
  </si>
  <si>
    <t>3000376208V</t>
  </si>
  <si>
    <t>Book_thsis</t>
  </si>
  <si>
    <t>792003141</t>
  </si>
  <si>
    <t>1983</t>
  </si>
  <si>
    <t>2017-11-02</t>
  </si>
  <si>
    <t>2001-02-12</t>
  </si>
  <si>
    <t>1965</t>
  </si>
  <si>
    <t>fre</t>
  </si>
  <si>
    <t>2015-10-14</t>
  </si>
  <si>
    <t>2008-02-11</t>
  </si>
  <si>
    <t>1967</t>
  </si>
  <si>
    <t>ger</t>
  </si>
  <si>
    <t>2016-02-17</t>
  </si>
  <si>
    <t>2013</t>
  </si>
  <si>
    <t>1980</t>
  </si>
  <si>
    <t>2015-06-01</t>
  </si>
  <si>
    <t>2012-03-20</t>
  </si>
  <si>
    <t>2012-03-05</t>
  </si>
  <si>
    <t>Studies in language.</t>
  </si>
  <si>
    <t>1977</t>
  </si>
  <si>
    <t>2016-03-13</t>
  </si>
  <si>
    <t>2018-04-04</t>
  </si>
  <si>
    <t>1990</t>
  </si>
  <si>
    <t>2017-03-30</t>
  </si>
  <si>
    <t>1968</t>
  </si>
  <si>
    <t>2018-03-28</t>
  </si>
  <si>
    <t>2013-09-19</t>
  </si>
  <si>
    <t>P21 I582 1962</t>
  </si>
  <si>
    <t>0                      P  0021000I  582         1962</t>
  </si>
  <si>
    <t>Proceedings of the Ninth International Congress of Linguists : Cambridge, Mass., August 27-31, 1962 / edited by Horace G. Lunt.</t>
  </si>
  <si>
    <t>International Congress of Linguists (9th : 1962 : Cambridge, Mass.)</t>
  </si>
  <si>
    <t>The Hague : Mouton &amp; Co., 1964.</t>
  </si>
  <si>
    <t>1964</t>
  </si>
  <si>
    <t>Janua linguarum. Series maior ; XII</t>
  </si>
  <si>
    <t>2018-09-11</t>
  </si>
  <si>
    <t>6023939:eng</t>
  </si>
  <si>
    <t>2727893</t>
  </si>
  <si>
    <t>ocm02727893</t>
  </si>
  <si>
    <t>31031368542</t>
  </si>
  <si>
    <t>Book</t>
  </si>
  <si>
    <t>792168880</t>
  </si>
  <si>
    <t>P21 L5 2005</t>
  </si>
  <si>
    <t>0                      P  0021000L  5           2005</t>
  </si>
  <si>
    <t>Sprache und Kognition : traditionelle und neue Ansätze : Akten des 40. Linguistischen Kolloquiums in Moskau 2005 = Language and cognition : traditional and new approaches Proceedings of the 40th Linguistics Colloquium, Moscow 2005 / Olga Souleimanova (Hrsg. / Ed.).</t>
  </si>
  <si>
    <t>Linguistisches Kolloquium (40th : 2005 : Moscow, Russia)</t>
  </si>
  <si>
    <t>Frankfurt am Main : Peter Lang Pub Inc., 2010.</t>
  </si>
  <si>
    <t>2010</t>
  </si>
  <si>
    <t>Linguistik international ; Bd. 23</t>
  </si>
  <si>
    <t>5615215758:ger</t>
  </si>
  <si>
    <t>607973779</t>
  </si>
  <si>
    <t>ocn607973779</t>
  </si>
  <si>
    <t>3103231187V</t>
  </si>
  <si>
    <t>9783631572795</t>
  </si>
  <si>
    <t>794818503</t>
  </si>
  <si>
    <t>1982</t>
  </si>
  <si>
    <t>2018-04-09</t>
  </si>
  <si>
    <t>2014-02-16</t>
  </si>
  <si>
    <t>2016-07-20</t>
  </si>
  <si>
    <t>2015-08-21</t>
  </si>
  <si>
    <t>P21 S63 1998</t>
  </si>
  <si>
    <t>0                      P  0021000S  63          1998</t>
  </si>
  <si>
    <t>Langue and parole in synchronic and diachronic perspective : selected proceedings of the XXXIst Annual Meeting of the Societas Linguistica Europaea, St. Andrews, 1998 / edited by Christopher Beedham.</t>
  </si>
  <si>
    <t>Societas Linguistica Europaea. Meeting (31st : 1998 : St. Andrews, Scotland)</t>
  </si>
  <si>
    <t>Amsterdam ; New York : Pergamon, 1999.</t>
  </si>
  <si>
    <t>1999</t>
  </si>
  <si>
    <t>1st ed.</t>
  </si>
  <si>
    <t>2015-02-23</t>
  </si>
  <si>
    <t>800573138:eng</t>
  </si>
  <si>
    <t>43529574</t>
  </si>
  <si>
    <t>ocm43529574</t>
  </si>
  <si>
    <t>3103014297$</t>
  </si>
  <si>
    <t>9780080435817</t>
  </si>
  <si>
    <t>793628747</t>
  </si>
  <si>
    <t>P21 S633 2013</t>
  </si>
  <si>
    <t>0                      P  0021000S  633         2013</t>
  </si>
  <si>
    <t>Livelli di analisi e fenomeni di interfaccia : atti del XLVII Congresso internazionale di studi della Società di linguistica italiana (SLI) : Fisciano, Salerno 26-28 settembre 2013 / a cura di Annibale Elia - Claudio Iacobini - Miriam Voghera.</t>
  </si>
  <si>
    <t>Società di linguistica italiana. Congresso internazionale di studi (47h : 2013 : Fisciano, Italy)</t>
  </si>
  <si>
    <t>Roma : Bulzoni editore, 2016.</t>
  </si>
  <si>
    <t>2016</t>
  </si>
  <si>
    <t>ita</t>
  </si>
  <si>
    <t>Società di linguistica italiana ; 60</t>
  </si>
  <si>
    <t>4062919442:ita</t>
  </si>
  <si>
    <t>972088945</t>
  </si>
  <si>
    <t>ocn972088945</t>
  </si>
  <si>
    <t>3103701561K</t>
  </si>
  <si>
    <t>9788868970451</t>
  </si>
  <si>
    <t>795028483</t>
  </si>
  <si>
    <t>P21 S78 1993</t>
  </si>
  <si>
    <t>0                      P  0021000S  78          1993</t>
  </si>
  <si>
    <t>Papers from the Fifth Student Conference in Linguistics : SCIL-V, University of Washington, April 17-18, 1993 / edited by Vern M. Lindblad and Michael Gamon.</t>
  </si>
  <si>
    <t>Student Conference in Linguistics (5th : 1993 : University of Washington)</t>
  </si>
  <si>
    <t>Cambridge MA : Distributed by Dept. of Linguistics and Philosophy, Massachusetts Institute of Technology, [1993]</t>
  </si>
  <si>
    <t>1993</t>
  </si>
  <si>
    <t>MIT working papers in linguistics ; v. 20</t>
  </si>
  <si>
    <t>2016-10-12</t>
  </si>
  <si>
    <t>1028162826:eng</t>
  </si>
  <si>
    <t>29210136</t>
  </si>
  <si>
    <t>ocm29210136</t>
  </si>
  <si>
    <t>31035227680</t>
  </si>
  <si>
    <t>793305382</t>
  </si>
  <si>
    <t>P23 A383 2014</t>
  </si>
  <si>
    <t>0                      P  0023000A  383         2014</t>
  </si>
  <si>
    <t>Proceedings of IATL 2014 / edited by Nurit Melnik.</t>
  </si>
  <si>
    <t>Agudah ha-Yiśreʼelit le-valshanut teʼoretit. Conference. Conference (30th : 2014 : Israel?)</t>
  </si>
  <si>
    <t>[Cambridge, Mass.] : MITWPL, [2015?]</t>
  </si>
  <si>
    <t>2015</t>
  </si>
  <si>
    <t>MIT working papers in linguistics ; 78</t>
  </si>
  <si>
    <t>2845416653:eng</t>
  </si>
  <si>
    <t>948531162</t>
  </si>
  <si>
    <t>ocn948531162</t>
  </si>
  <si>
    <t>3103653951B</t>
  </si>
  <si>
    <t>795015543</t>
  </si>
  <si>
    <t>P23 I58 1970</t>
  </si>
  <si>
    <t>0                      P  0023000I  58          1970</t>
  </si>
  <si>
    <t>Pragmatics of natural languages. Edited by Yehoshua Bar-Hillel.</t>
  </si>
  <si>
    <t>Bar-Hillel, Yehoshua.</t>
  </si>
  <si>
    <t>Dordrecht, D. Reidel [©1971]</t>
  </si>
  <si>
    <t>1971</t>
  </si>
  <si>
    <t>Synthese library</t>
  </si>
  <si>
    <t>2016-10-07</t>
  </si>
  <si>
    <t>365282308:eng</t>
  </si>
  <si>
    <t>310663</t>
  </si>
  <si>
    <t>ocm00310663</t>
  </si>
  <si>
    <t>31027297840</t>
  </si>
  <si>
    <t>9780391001305</t>
  </si>
  <si>
    <t>791332505</t>
  </si>
  <si>
    <t>P25 C25 v.13</t>
  </si>
  <si>
    <t>0                      P  0025000C  25                                                      v.13</t>
  </si>
  <si>
    <t>The Karok language / by William Bright.</t>
  </si>
  <si>
    <t>v.13*</t>
  </si>
  <si>
    <t>Bright, William, 1928-2006.</t>
  </si>
  <si>
    <t>Berkeley : University of California Press, 1957.</t>
  </si>
  <si>
    <t>University of California publications in linguistics ; v. 13</t>
  </si>
  <si>
    <t>2016-11-21</t>
  </si>
  <si>
    <t>15140277:eng</t>
  </si>
  <si>
    <t>5006303</t>
  </si>
  <si>
    <t>ocm05006303</t>
  </si>
  <si>
    <t>3100911647E</t>
  </si>
  <si>
    <t>792400685</t>
  </si>
  <si>
    <t>P25 C25 v.20</t>
  </si>
  <si>
    <t>0                      P  0025000C  25                                                      v.20</t>
  </si>
  <si>
    <t>The Spanish of rural Panama: major dialectal features.</t>
  </si>
  <si>
    <t>v.20*</t>
  </si>
  <si>
    <t>Robe, Stanley Linn, 1915-</t>
  </si>
  <si>
    <t>Berkeley, University of California Press, 1960.</t>
  </si>
  <si>
    <t>1960</t>
  </si>
  <si>
    <t>University of California publications in linguistics, v. 20</t>
  </si>
  <si>
    <t>2015-07-27</t>
  </si>
  <si>
    <t>4580427:eng</t>
  </si>
  <si>
    <t>2360429</t>
  </si>
  <si>
    <t>ocm02360429</t>
  </si>
  <si>
    <t>31036355967</t>
  </si>
  <si>
    <t>792109374</t>
  </si>
  <si>
    <t>P25 C25 v.52</t>
  </si>
  <si>
    <t>0                      P  0025000C  25                                                      v.52</t>
  </si>
  <si>
    <t>Pronominal reference in Thai, Burmese, and Vietnamese, by Joseph R. Cooke.</t>
  </si>
  <si>
    <t>v.52*</t>
  </si>
  <si>
    <t>Cooke, Joseph R.</t>
  </si>
  <si>
    <t>Berkeley, University of California Press, 1968.</t>
  </si>
  <si>
    <t>University of California publications in linguistics, v. 52</t>
  </si>
  <si>
    <t>2019-05-30</t>
  </si>
  <si>
    <t>1132587:eng</t>
  </si>
  <si>
    <t>9426</t>
  </si>
  <si>
    <t>ocm00009426</t>
  </si>
  <si>
    <t>31037733841</t>
  </si>
  <si>
    <t>791226934</t>
  </si>
  <si>
    <t>P25 C25 v.69</t>
  </si>
  <si>
    <t>0                      P  0025000C  25                                                      v.69</t>
  </si>
  <si>
    <t>A word geography of California and Nevada, by Elizabeth S. Bright.</t>
  </si>
  <si>
    <t>v.69*</t>
  </si>
  <si>
    <t>Bright, Elizabeth (Elizabeth S.)</t>
  </si>
  <si>
    <t>Berkeley, University of California Press, 1971.</t>
  </si>
  <si>
    <t>University of California publications in linguistics, v. 69</t>
  </si>
  <si>
    <t>2015-03-15</t>
  </si>
  <si>
    <t>1505080:eng</t>
  </si>
  <si>
    <t>348459</t>
  </si>
  <si>
    <t>ocm00348459</t>
  </si>
  <si>
    <t>3103386156N</t>
  </si>
  <si>
    <t>9780520093676</t>
  </si>
  <si>
    <t>791345984</t>
  </si>
  <si>
    <t>P25 C25 v.8</t>
  </si>
  <si>
    <t>0                      P  0025000C  25                                                      v.8</t>
  </si>
  <si>
    <t>Studies in Vietnamese (Annamese) grammar.</t>
  </si>
  <si>
    <t>v.8*</t>
  </si>
  <si>
    <t>Emeneau, M. B. (Murray Barnson), 1904-2005.</t>
  </si>
  <si>
    <t>Berkeley, University of California Press, 1951.</t>
  </si>
  <si>
    <t>1951</t>
  </si>
  <si>
    <t>University of California publications in linguistics, v.8</t>
  </si>
  <si>
    <t>2018-08-01</t>
  </si>
  <si>
    <t>53133142:eng</t>
  </si>
  <si>
    <t>5032946</t>
  </si>
  <si>
    <t>ocm05032946</t>
  </si>
  <si>
    <t>3103636209Z</t>
  </si>
  <si>
    <t>792402975</t>
  </si>
  <si>
    <t>P25 H9</t>
  </si>
  <si>
    <t>0                      P  0025000H  9</t>
  </si>
  <si>
    <t>Language in culture and society; a reader in linguistics and anthropology [edited by] Dell Hymes.</t>
  </si>
  <si>
    <t>Hymes, Dell H., editor.</t>
  </si>
  <si>
    <t>New York, Harper &amp; Row [1964]</t>
  </si>
  <si>
    <t>Harper international editions.</t>
  </si>
  <si>
    <t>2019-04-16</t>
  </si>
  <si>
    <t>906993419:eng</t>
  </si>
  <si>
    <t>306523</t>
  </si>
  <si>
    <t>ocm00306523</t>
  </si>
  <si>
    <t>3100020706C</t>
  </si>
  <si>
    <t>ON_LOAN</t>
  </si>
  <si>
    <t>9780063562264</t>
  </si>
  <si>
    <t>791330807</t>
  </si>
  <si>
    <t>3000150292Z</t>
  </si>
  <si>
    <t>791330810</t>
  </si>
  <si>
    <t>31001469962</t>
  </si>
  <si>
    <t>791330809</t>
  </si>
  <si>
    <t>3000150294V</t>
  </si>
  <si>
    <t>791330811</t>
  </si>
  <si>
    <t>2004-04-10</t>
  </si>
  <si>
    <t>3000314484G</t>
  </si>
  <si>
    <t>791330808</t>
  </si>
  <si>
    <t>31000207096</t>
  </si>
  <si>
    <t>791330806</t>
  </si>
  <si>
    <t>P25 I25</t>
  </si>
  <si>
    <t>0                      P  0025000I  25</t>
  </si>
  <si>
    <t>Idiomas, cosmovisiones y cultura [por Germán Fernández Guizzetti et al.].</t>
  </si>
  <si>
    <t>Rosario, Argentina, Instituto de Antropología, Universidad Nacional del Litoral [1968]-</t>
  </si>
  <si>
    <t>spa</t>
  </si>
  <si>
    <t>Cuadernos de antropología</t>
  </si>
  <si>
    <t>2015-10-20</t>
  </si>
  <si>
    <t>53648623:spa</t>
  </si>
  <si>
    <t>2687429</t>
  </si>
  <si>
    <t>ocm02687429</t>
  </si>
  <si>
    <t>3000423596Y</t>
  </si>
  <si>
    <t>792163333</t>
  </si>
  <si>
    <t>P25 I3 v. 28 no.1-2</t>
  </si>
  <si>
    <t>0                      P  0025000I  3                                                       v. 28 no.1-2</t>
  </si>
  <si>
    <t>Themes in Greek and Latin epitaphs / by Richmond Lattimore.</t>
  </si>
  <si>
    <t>v. 28 no.1-2*</t>
  </si>
  <si>
    <t>Lattimore, Richmond, 1906-1984.</t>
  </si>
  <si>
    <t>Urbana : University of Illinois Press, 1962.</t>
  </si>
  <si>
    <t>1962</t>
  </si>
  <si>
    <t>Illini books ; IB-5</t>
  </si>
  <si>
    <t>2019-03-22</t>
  </si>
  <si>
    <t>2019-10-30</t>
  </si>
  <si>
    <t>140971406:eng</t>
  </si>
  <si>
    <t>8487095</t>
  </si>
  <si>
    <t>ocm08487095</t>
  </si>
  <si>
    <t>3100141132B</t>
  </si>
  <si>
    <t>792622355</t>
  </si>
  <si>
    <t>30002010058</t>
  </si>
  <si>
    <t>792622354</t>
  </si>
  <si>
    <t>P25 I3 v. 47</t>
  </si>
  <si>
    <t>0                      P  0025000I  3                                                       v. 47</t>
  </si>
  <si>
    <t>Middlemarch from notebook to novel; a study of George Eliot's creative method.</t>
  </si>
  <si>
    <t>v. 47*</t>
  </si>
  <si>
    <t>Beaty, Jerome, 1924-</t>
  </si>
  <si>
    <t>Urbana, University of Illinois Press, 1960.</t>
  </si>
  <si>
    <t>Illinois studies in language and literature, v. 47</t>
  </si>
  <si>
    <t>2016-10-15</t>
  </si>
  <si>
    <t>1377955:eng</t>
  </si>
  <si>
    <t>313489</t>
  </si>
  <si>
    <t>ocm00313489</t>
  </si>
  <si>
    <t>3000752551M</t>
  </si>
  <si>
    <t>791333620</t>
  </si>
  <si>
    <t>P25 I3 v.18 no.1-2</t>
  </si>
  <si>
    <t>0                      P  0025000I  3                                                       v.18 no.1-2</t>
  </si>
  <si>
    <t>The German legends of the hairy anchorite, by Charles Allyn Williams; with two old French texts of La vie de saint Jehan Paulus, edited by Louis Allen.</t>
  </si>
  <si>
    <t>v.18 no.1-2*</t>
  </si>
  <si>
    <t>Williams, Charles Allyn, 1877-</t>
  </si>
  <si>
    <t>[Urbana] University of Illinois, 1935.</t>
  </si>
  <si>
    <t>1935</t>
  </si>
  <si>
    <t>[Illinois. University] Illinois studies in language and literature. vol. XVIII, no. 1-2</t>
  </si>
  <si>
    <t>2018-02-02</t>
  </si>
  <si>
    <t>10195019:eng</t>
  </si>
  <si>
    <t>3467346</t>
  </si>
  <si>
    <t>ocm03467346</t>
  </si>
  <si>
    <t>31009867964</t>
  </si>
  <si>
    <t>792258495</t>
  </si>
  <si>
    <t>P25 I3 v.20 no.1-2</t>
  </si>
  <si>
    <t>0                      P  0025000I  3                                                       v.20 no.1-2</t>
  </si>
  <si>
    <t>Race mixture among the Greeks before Alexander, by Aubrey Diller.</t>
  </si>
  <si>
    <t>v.20 no.1-2*</t>
  </si>
  <si>
    <t>Diller, Aubrey, 1903-</t>
  </si>
  <si>
    <t>Urbana, The University of Illinois, 1937.</t>
  </si>
  <si>
    <t>1937</t>
  </si>
  <si>
    <t>Illinois studies in language and literature ; vol. 20, no. 1-2</t>
  </si>
  <si>
    <t>2016-02-02</t>
  </si>
  <si>
    <t>1291666:eng</t>
  </si>
  <si>
    <t>4953211</t>
  </si>
  <si>
    <t>ocm04953211</t>
  </si>
  <si>
    <t>3103644454Q</t>
  </si>
  <si>
    <t>792396382</t>
  </si>
  <si>
    <t>P25 I3 v.9 no.1 1963</t>
  </si>
  <si>
    <t>0                      P  0025000I  3                                                       v.9 no.1 1963</t>
  </si>
  <si>
    <t>Studies in the narrative method of Defoe.</t>
  </si>
  <si>
    <t>v.9 no.1 1963*</t>
  </si>
  <si>
    <t>Secord, Arthur Wellesley, 1891-1957.</t>
  </si>
  <si>
    <t>New York, Russell &amp; Russell, 1963.</t>
  </si>
  <si>
    <t>University of Illinois studies in language and literature ; v. 9, no. 1</t>
  </si>
  <si>
    <t>2009-03-30</t>
  </si>
  <si>
    <t>2018-05-03</t>
  </si>
  <si>
    <t>1685104:eng</t>
  </si>
  <si>
    <t>774800</t>
  </si>
  <si>
    <t>ocm00774800</t>
  </si>
  <si>
    <t>3100146851S</t>
  </si>
  <si>
    <t>791467294</t>
  </si>
  <si>
    <t>3000519740M</t>
  </si>
  <si>
    <t>791467293</t>
  </si>
  <si>
    <t>3100146852Q</t>
  </si>
  <si>
    <t>791467292</t>
  </si>
  <si>
    <t>30002396131</t>
  </si>
  <si>
    <t>791467295</t>
  </si>
  <si>
    <t>- Education Migration Project - By Request</t>
  </si>
  <si>
    <t>P25 J6 1966</t>
  </si>
  <si>
    <t>0                      P  0025000J  6           1966</t>
  </si>
  <si>
    <t>Readings in linguistics I, the development of descriptive linguistics in America since 1925-56. [Prepared for the Committee on Language Programs of the American Council of Learned Societies].</t>
  </si>
  <si>
    <t>v. 1</t>
  </si>
  <si>
    <t>Joos, Martin.</t>
  </si>
  <si>
    <t>Chicago, University of Chicago Press, [1966]</t>
  </si>
  <si>
    <t>1966</t>
  </si>
  <si>
    <t>4th ed.</t>
  </si>
  <si>
    <t>2018-02-06</t>
  </si>
  <si>
    <t>9020911456:eng</t>
  </si>
  <si>
    <t>427286898</t>
  </si>
  <si>
    <t>ocn427286898</t>
  </si>
  <si>
    <t>30010102160</t>
  </si>
  <si>
    <t>794564298</t>
  </si>
  <si>
    <t>3100233275F</t>
  </si>
  <si>
    <t>794564299</t>
  </si>
  <si>
    <t>P25 L56 v. 12 1970</t>
  </si>
  <si>
    <t>0                      P  0025000L  56                                                      v. 12 1970</t>
  </si>
  <si>
    <t>Essais linguistiques / par Louis Hjelmslev ; publiés par le Circle linguistique de Copenhague à l'occasion du soixantième anniversaire de Louis Hjelmslev, 1959.</t>
  </si>
  <si>
    <t>v. 12 1970*</t>
  </si>
  <si>
    <t>Hjelmslev, Louis, 1899-1965.</t>
  </si>
  <si>
    <t>Copenhague : Nordisk Sprog- og Kulturforlag, 1970.</t>
  </si>
  <si>
    <t>1970</t>
  </si>
  <si>
    <t>2. éd.</t>
  </si>
  <si>
    <t>Travaux du Cercle linguistique de Copenhague ; v. 12</t>
  </si>
  <si>
    <t>2016-09-06</t>
  </si>
  <si>
    <t>1405543200:fre</t>
  </si>
  <si>
    <t>5593831</t>
  </si>
  <si>
    <t>ocm05593831</t>
  </si>
  <si>
    <t>3000583605G</t>
  </si>
  <si>
    <t>792441398</t>
  </si>
  <si>
    <t>1952</t>
  </si>
  <si>
    <t>2015-06-23</t>
  </si>
  <si>
    <t>P25 P38 no.5</t>
  </si>
  <si>
    <t>0                      P  0025000P  38                                                      no.5</t>
  </si>
  <si>
    <t>Adjectives and nominalizations.</t>
  </si>
  <si>
    <t>no.5*</t>
  </si>
  <si>
    <t>Vendler, Zeno.</t>
  </si>
  <si>
    <t>The Hague, Paris, Mouton, 1968.</t>
  </si>
  <si>
    <t>Papers on formal linguistics, no. 5</t>
  </si>
  <si>
    <t>2015-08-12</t>
  </si>
  <si>
    <t>2085447:eng</t>
  </si>
  <si>
    <t>1154206</t>
  </si>
  <si>
    <t>ocm01154206</t>
  </si>
  <si>
    <t>3102818803G</t>
  </si>
  <si>
    <t>791558976</t>
  </si>
  <si>
    <t>P25 P55</t>
  </si>
  <si>
    <t>0                      P  0025000P  55</t>
  </si>
  <si>
    <t>Studies in linguistic analysis.</t>
  </si>
  <si>
    <t>Philological Society (Great Britain)</t>
  </si>
  <si>
    <t>Oxford, Blackwell, 1957.</t>
  </si>
  <si>
    <t>2015-06-09</t>
  </si>
  <si>
    <t>9021341614:eng</t>
  </si>
  <si>
    <t>1805360</t>
  </si>
  <si>
    <t>ocm01805360</t>
  </si>
  <si>
    <t>31027298553</t>
  </si>
  <si>
    <t>9780631113003</t>
  </si>
  <si>
    <t>791991935</t>
  </si>
  <si>
    <t>1947</t>
  </si>
  <si>
    <t>2016-10-31</t>
  </si>
  <si>
    <t>2015-08-06</t>
  </si>
  <si>
    <t>2002-11-29</t>
  </si>
  <si>
    <t>P26 B3 F47</t>
  </si>
  <si>
    <t>0                      P  0026000B  3                  F  47</t>
  </si>
  <si>
    <t>Festschrift Kurt Baldinger zum 60. Geburtstag : 17. November 1979 / hrsg. von Manfred Höfler, Henri Vernay und Lothar Wolf.</t>
  </si>
  <si>
    <t>V. 2</t>
  </si>
  <si>
    <t>Tübingen : Niemeyer, 1979.</t>
  </si>
  <si>
    <t>1979</t>
  </si>
  <si>
    <t>2017-09-03</t>
  </si>
  <si>
    <t>795527259:ger</t>
  </si>
  <si>
    <t>6212542</t>
  </si>
  <si>
    <t>ocm06212542</t>
  </si>
  <si>
    <t>31027298465</t>
  </si>
  <si>
    <t>9783484501409</t>
  </si>
  <si>
    <t>792483344</t>
  </si>
  <si>
    <t>V. 1</t>
  </si>
  <si>
    <t>31027298415</t>
  </si>
  <si>
    <t>792483345</t>
  </si>
  <si>
    <t>P26 B4</t>
  </si>
  <si>
    <t>0                      P  0026000B  4</t>
  </si>
  <si>
    <t>Langue, discours, société : pour Emile Benveniste / sous la direction de Julia Kristeva, Jean-Claude Milner, Nicolas Ruwet.</t>
  </si>
  <si>
    <t>Paris : Éditions du Seuil, ©1975.</t>
  </si>
  <si>
    <t>1975</t>
  </si>
  <si>
    <t>Linguistique</t>
  </si>
  <si>
    <t>2017-11-27</t>
  </si>
  <si>
    <t>908951574:fre</t>
  </si>
  <si>
    <t>2090229</t>
  </si>
  <si>
    <t>ocm02090229</t>
  </si>
  <si>
    <t>31027298563</t>
  </si>
  <si>
    <t>9782020042819</t>
  </si>
  <si>
    <t>792043500</t>
  </si>
  <si>
    <t>P26 C67</t>
  </si>
  <si>
    <t>0                      P  0026000C  67</t>
  </si>
  <si>
    <t>Studies in honor of Hermann Collitz : professor of Germanic philology, emeritus, in the Johns Hopkins University, Baltimore, Maryland / presented by a group of his pupils and friends on the occasion of his seventy-fifth birthday, February 4, 1930.</t>
  </si>
  <si>
    <t>Baltimore, Md. : Johns Hopkins Press, 1930.</t>
  </si>
  <si>
    <t>1930</t>
  </si>
  <si>
    <t>2015-11-18</t>
  </si>
  <si>
    <t>34400340:eng</t>
  </si>
  <si>
    <t>1948955</t>
  </si>
  <si>
    <t>ocm01948955</t>
  </si>
  <si>
    <t>3102729888Y</t>
  </si>
  <si>
    <t>792016770</t>
  </si>
  <si>
    <t>P26 D38</t>
  </si>
  <si>
    <t>0                      P  0026000D  38</t>
  </si>
  <si>
    <t>Mélanges de linguistique offerts à Albert Dauzat par ses élèves et ses amis.</t>
  </si>
  <si>
    <t>Paris, Éditions d'Artrey [1951]</t>
  </si>
  <si>
    <t>2015-09-18</t>
  </si>
  <si>
    <t>53812967:fre</t>
  </si>
  <si>
    <t>23409038</t>
  </si>
  <si>
    <t>ocm23409038</t>
  </si>
  <si>
    <t>3102729898W</t>
  </si>
  <si>
    <t>793170095</t>
  </si>
  <si>
    <t>P26 F35 F67 1985</t>
  </si>
  <si>
    <t>0                      P  0026000F  35                 F  67          1985</t>
  </si>
  <si>
    <t>For Gordon H. Fairbanks / edited by Veneeta Z. Acson and Richard L. Leed.</t>
  </si>
  <si>
    <t>Honolulu : University of Hawaii Press, ©1985.</t>
  </si>
  <si>
    <t>1985</t>
  </si>
  <si>
    <t>Oceanic linguistics special publication ; no. 20</t>
  </si>
  <si>
    <t>2018-05-15</t>
  </si>
  <si>
    <t>354807886:eng</t>
  </si>
  <si>
    <t>11599134</t>
  </si>
  <si>
    <t>ocm11599134</t>
  </si>
  <si>
    <t>3102729884Y</t>
  </si>
  <si>
    <t>9780824809928</t>
  </si>
  <si>
    <t>792779920</t>
  </si>
  <si>
    <t>P26 H24 K46 2001</t>
  </si>
  <si>
    <t>0                      P  0026000H  24                 K  46          2001</t>
  </si>
  <si>
    <t>Ken Hale : a life in language / edited by Michael Kenstowicz.</t>
  </si>
  <si>
    <t>Cambridge, Mass. : MIT Press, ©2001.</t>
  </si>
  <si>
    <t>2001</t>
  </si>
  <si>
    <t>Current studies in linguistics ; 36</t>
  </si>
  <si>
    <t>2017-10-20</t>
  </si>
  <si>
    <t>819559121:eng</t>
  </si>
  <si>
    <t>44702224</t>
  </si>
  <si>
    <t>ocm44702224</t>
  </si>
  <si>
    <t>31027299206</t>
  </si>
  <si>
    <t>9780262112574</t>
  </si>
  <si>
    <t>793656136</t>
  </si>
  <si>
    <t>P26 H28 1973</t>
  </si>
  <si>
    <t>0                      P  0026000H  28          1973</t>
  </si>
  <si>
    <t>A Festschrift for Morris Halle / edited by Stephen R. Anderson and Paul Kiparsky.</t>
  </si>
  <si>
    <t>New York : Holt, Rinehart and Winston, [1973]</t>
  </si>
  <si>
    <t>1973</t>
  </si>
  <si>
    <t>375124478:eng</t>
  </si>
  <si>
    <t>754342</t>
  </si>
  <si>
    <t>ocm00754342</t>
  </si>
  <si>
    <t>3102551672Y</t>
  </si>
  <si>
    <t>9780030865954</t>
  </si>
  <si>
    <t>791462298</t>
  </si>
  <si>
    <t>31000253217</t>
  </si>
  <si>
    <t>791462299</t>
  </si>
  <si>
    <t>P26 H29 L36 1987</t>
  </si>
  <si>
    <t>0                      P  0026000H  29                 L  36          1987</t>
  </si>
  <si>
    <t>Language topics : essays in honour of Michael Halliday / edited by Ross Steele and Terry Threadgold.</t>
  </si>
  <si>
    <t>Amsterdam ; Philadelphia : J. Benjamins, 1987.</t>
  </si>
  <si>
    <t>1987</t>
  </si>
  <si>
    <t>2015-07-12</t>
  </si>
  <si>
    <t>479029380:eng</t>
  </si>
  <si>
    <t>16404650</t>
  </si>
  <si>
    <t>ocm16404650</t>
  </si>
  <si>
    <t>3102729881Y</t>
  </si>
  <si>
    <t>9781556190285</t>
  </si>
  <si>
    <t>792962135</t>
  </si>
  <si>
    <t>2006-02-10</t>
  </si>
  <si>
    <t>3102729886Y</t>
  </si>
  <si>
    <t>792962134</t>
  </si>
  <si>
    <t>P26 L48 E86</t>
  </si>
  <si>
    <t>0                      P  0026000L  48                 E  86</t>
  </si>
  <si>
    <t>Étrennes de septantaine : travaux de linguistique et de grammaire comparée offerts à Michel Lejeune par un groupe de ses élèves.</t>
  </si>
  <si>
    <t>Paris : Klincksieck, 1978.</t>
  </si>
  <si>
    <t>1978</t>
  </si>
  <si>
    <t>Études et commentaires ; 91</t>
  </si>
  <si>
    <t>2017-04-27</t>
  </si>
  <si>
    <t>918627340:fre</t>
  </si>
  <si>
    <t>4148945</t>
  </si>
  <si>
    <t>ocm04148945</t>
  </si>
  <si>
    <t>31027299540</t>
  </si>
  <si>
    <t>9782252019559</t>
  </si>
  <si>
    <t>792326127</t>
  </si>
  <si>
    <t>P26 L57x</t>
  </si>
  <si>
    <t>0                      P  0026000L  57x</t>
  </si>
  <si>
    <t>Saggi e ricerche in memoria di Ettore Li Gotti.</t>
  </si>
  <si>
    <t>V. 3</t>
  </si>
  <si>
    <t>Bollettino / Centro di studi filologici e linguistici siciliani ; 6-8</t>
  </si>
  <si>
    <t>2009-06-09</t>
  </si>
  <si>
    <t>2018-11-18</t>
  </si>
  <si>
    <t>118471016:ita</t>
  </si>
  <si>
    <t>12054982</t>
  </si>
  <si>
    <t>ocm12054982</t>
  </si>
  <si>
    <t>31027299296</t>
  </si>
  <si>
    <t>792799146</t>
  </si>
  <si>
    <t>31027299394</t>
  </si>
  <si>
    <t>792799148</t>
  </si>
  <si>
    <t>2012-07-14</t>
  </si>
  <si>
    <t>31027299344</t>
  </si>
  <si>
    <t>792799147</t>
  </si>
  <si>
    <t>P26 P4 S38 1983</t>
  </si>
  <si>
    <t>0                      P  0026000P  4                  S  38          1983</t>
  </si>
  <si>
    <t>Scritti linguistici in onore di Giovan Battista Pellegrini.</t>
  </si>
  <si>
    <t>Pisa : Pacini, [1983]</t>
  </si>
  <si>
    <t>2018-04-10</t>
  </si>
  <si>
    <t>346023600:ita</t>
  </si>
  <si>
    <t>10302624</t>
  </si>
  <si>
    <t>ocm10302624</t>
  </si>
  <si>
    <t>3102729982V</t>
  </si>
  <si>
    <t>792719092</t>
  </si>
  <si>
    <t>3102729977X</t>
  </si>
  <si>
    <t>792719093</t>
  </si>
  <si>
    <t>P26 S26 F47 1986</t>
  </si>
  <si>
    <t>0                      P  0026000S  26                 F  47          1986</t>
  </si>
  <si>
    <t>A Festschrift for Sol Saporta / Michael Brame, Heles Contreras, Frederick J. Newmeyer, editors.</t>
  </si>
  <si>
    <t>Seattle : Noit Amrofer, ©1986.</t>
  </si>
  <si>
    <t>1986</t>
  </si>
  <si>
    <t>2018-11-22</t>
  </si>
  <si>
    <t>54842425:eng</t>
  </si>
  <si>
    <t>13863824</t>
  </si>
  <si>
    <t>ocm13863824</t>
  </si>
  <si>
    <t>3102729993T</t>
  </si>
  <si>
    <t>9780932998064</t>
  </si>
  <si>
    <t>792869875</t>
  </si>
  <si>
    <t>P26 S95 S68</t>
  </si>
  <si>
    <t>0                      P  0026000S  95                 S  68</t>
  </si>
  <si>
    <t>Studies in diachronic, synchronic, and typological linguistics : festschrift for Oswald Szemerényi on the occasion of his 65th birthday / edited by Bela Brogyanyi.</t>
  </si>
  <si>
    <t>Amsterdam : J. Benjamin, 1979.</t>
  </si>
  <si>
    <t>Amsterdam studies in the theory and history of linguistic science : Series 4, Current issues in linguistic theory ; v. 11, 0304-0763</t>
  </si>
  <si>
    <t>2016-04-10</t>
  </si>
  <si>
    <t>9846146976:eng</t>
  </si>
  <si>
    <t>6502933</t>
  </si>
  <si>
    <t>ocm06502933</t>
  </si>
  <si>
    <t>3102729999T</t>
  </si>
  <si>
    <t>9789027235046</t>
  </si>
  <si>
    <t>792504175</t>
  </si>
  <si>
    <t>2003-07-09</t>
  </si>
  <si>
    <t>3102729994T</t>
  </si>
  <si>
    <t>792504174</t>
  </si>
  <si>
    <t>P27 C5</t>
  </si>
  <si>
    <t>0                      P  0027000C  5</t>
  </si>
  <si>
    <t>Chomsky : selected readings / edited by J.P.B. Allen and Paul Van Buren.</t>
  </si>
  <si>
    <t>Chomsky, Noam.</t>
  </si>
  <si>
    <t>London ; New York : Oxford University Press, 1971.</t>
  </si>
  <si>
    <t>Language and language learning ; 31</t>
  </si>
  <si>
    <t>2019-08-20</t>
  </si>
  <si>
    <t>22039902:eng</t>
  </si>
  <si>
    <t>129256</t>
  </si>
  <si>
    <t>ocm00129256</t>
  </si>
  <si>
    <t>3102730027R</t>
  </si>
  <si>
    <t>9780194371148</t>
  </si>
  <si>
    <t>791265914</t>
  </si>
  <si>
    <t>2006-04-04</t>
  </si>
  <si>
    <t>3102730022R</t>
  </si>
  <si>
    <t>791265916</t>
  </si>
  <si>
    <t>2003-11-09</t>
  </si>
  <si>
    <t>3000969052M</t>
  </si>
  <si>
    <t>791265915</t>
  </si>
  <si>
    <t>P27 F5</t>
  </si>
  <si>
    <t>0                      P  0027000F  5</t>
  </si>
  <si>
    <t>Papers in linguistics, 1934-1951.</t>
  </si>
  <si>
    <t>Firth, J. R. (John Rupert), 1890-1960.</t>
  </si>
  <si>
    <t>London, New York, Oxford University Press, 1957.</t>
  </si>
  <si>
    <t>2016-05-28</t>
  </si>
  <si>
    <t>11050345:eng</t>
  </si>
  <si>
    <t>32594232</t>
  </si>
  <si>
    <t>ocm32594232</t>
  </si>
  <si>
    <t>3000997707S</t>
  </si>
  <si>
    <t>9780197135488</t>
  </si>
  <si>
    <t>793389774</t>
  </si>
  <si>
    <t>P27 F52 1968b</t>
  </si>
  <si>
    <t>0                      P  0027000F  52          1968b</t>
  </si>
  <si>
    <t>Selected papers of J.R. Firth, 1952-59. / edited by F.R. Palmer.</t>
  </si>
  <si>
    <t>Bloomington : Indiana University Press, 1968.</t>
  </si>
  <si>
    <t>Indiana University studies in the history and theory of linguistics</t>
  </si>
  <si>
    <t>2015-05-27</t>
  </si>
  <si>
    <t>1139107:eng</t>
  </si>
  <si>
    <t>173639</t>
  </si>
  <si>
    <t>ocm00173639</t>
  </si>
  <si>
    <t>3102730048N</t>
  </si>
  <si>
    <t>791281173</t>
  </si>
  <si>
    <t>- Redpath Basement - Chinese Japanese Korean Collection - Regular Loan</t>
  </si>
  <si>
    <t>P27 G26 2013</t>
  </si>
  <si>
    <t>0                      P  0027000G  26          2013</t>
  </si>
  <si>
    <t>Gao Huanian wen ji = A collection of scholarly articles by Gao Huanian, Professor of Linguistics / Zhi Fulan bian.</t>
  </si>
  <si>
    <t>Gao, Huanian, author.</t>
  </si>
  <si>
    <t>Guangzhou Shi : Guangdong ren min chu ban she, 2013.</t>
  </si>
  <si>
    <t>Di 1 ban.</t>
  </si>
  <si>
    <t>chi</t>
  </si>
  <si>
    <t>1372609044:chi</t>
  </si>
  <si>
    <t>854991989</t>
  </si>
  <si>
    <t>ocn854991989</t>
  </si>
  <si>
    <t>31035156214</t>
  </si>
  <si>
    <t>9787218085593</t>
  </si>
  <si>
    <t>794952993</t>
  </si>
  <si>
    <t>P27 J3 1960</t>
  </si>
  <si>
    <t>0                      P  0027000J  3           1960</t>
  </si>
  <si>
    <t>Humanistische Reden und Vorträge.</t>
  </si>
  <si>
    <t>Jaeger, Werner, 1888-1961.</t>
  </si>
  <si>
    <t>Berlin, De Gruyter, 1960.</t>
  </si>
  <si>
    <t>2. erweiterte Aufl.</t>
  </si>
  <si>
    <t>2016-07-26</t>
  </si>
  <si>
    <t>118346636:ger</t>
  </si>
  <si>
    <t>7023490</t>
  </si>
  <si>
    <t>ocm07023490</t>
  </si>
  <si>
    <t>3102730014T</t>
  </si>
  <si>
    <t>9783110025217</t>
  </si>
  <si>
    <t>792535982</t>
  </si>
  <si>
    <t>P27 J32</t>
  </si>
  <si>
    <t>0                      P  0027000J  32</t>
  </si>
  <si>
    <t>Essais de linguistique générale / Roman Jakobson ; traduit de l'anglais et préfacé par Nicolas Ruwet.</t>
  </si>
  <si>
    <t>Jakobson, Roman, 1896-1982.</t>
  </si>
  <si>
    <t>Paris : Les Editions de Minuit, ©1963-</t>
  </si>
  <si>
    <t>Arguments ; no. 14</t>
  </si>
  <si>
    <t>2019-04-01</t>
  </si>
  <si>
    <t>69536486:fre</t>
  </si>
  <si>
    <t>10053319</t>
  </si>
  <si>
    <t>ocm10053319</t>
  </si>
  <si>
    <t>3102730055L</t>
  </si>
  <si>
    <t>9782707300430</t>
  </si>
  <si>
    <t>792706712</t>
  </si>
  <si>
    <t>2016-04-06</t>
  </si>
  <si>
    <t>3102730050L</t>
  </si>
  <si>
    <t>792706711</t>
  </si>
  <si>
    <t>2015-10-07</t>
  </si>
  <si>
    <t>3000992971$</t>
  </si>
  <si>
    <t>792706710</t>
  </si>
  <si>
    <t>P27 J343</t>
  </si>
  <si>
    <t>0                      P  0027000J  343</t>
  </si>
  <si>
    <t>Selected writings / Roman Jakobson.</t>
  </si>
  <si>
    <t>ʼS-Gravenhage : Mouton, 1962-&lt;1988, 2014&gt;</t>
  </si>
  <si>
    <t>2007-03-07</t>
  </si>
  <si>
    <t>2019-01-21</t>
  </si>
  <si>
    <t>3699769826:eng</t>
  </si>
  <si>
    <t>173067</t>
  </si>
  <si>
    <t>ocm00173067</t>
  </si>
  <si>
    <t>31008430859</t>
  </si>
  <si>
    <t>9789027931788</t>
  </si>
  <si>
    <t>791280862</t>
  </si>
  <si>
    <t>V. 6 pt.1</t>
  </si>
  <si>
    <t>3100421171T</t>
  </si>
  <si>
    <t>791280858</t>
  </si>
  <si>
    <t>2018-05-11</t>
  </si>
  <si>
    <t>3100421161W</t>
  </si>
  <si>
    <t>791280861</t>
  </si>
  <si>
    <t>30003141362</t>
  </si>
  <si>
    <t>791280863</t>
  </si>
  <si>
    <t>V. 6 pt.2</t>
  </si>
  <si>
    <t>3100421172R</t>
  </si>
  <si>
    <t>791280857</t>
  </si>
  <si>
    <t>V. 7</t>
  </si>
  <si>
    <t>2007-02-28</t>
  </si>
  <si>
    <t>3100843105T</t>
  </si>
  <si>
    <t>791280856</t>
  </si>
  <si>
    <t>31027981033</t>
  </si>
  <si>
    <t>791280854</t>
  </si>
  <si>
    <t>V. 5</t>
  </si>
  <si>
    <t>3100421170V</t>
  </si>
  <si>
    <t>791280859</t>
  </si>
  <si>
    <t>V. 8</t>
  </si>
  <si>
    <t>2002-11-03</t>
  </si>
  <si>
    <t>3100421173P</t>
  </si>
  <si>
    <t>791280855</t>
  </si>
  <si>
    <t>V. 4</t>
  </si>
  <si>
    <t>2007-06-20</t>
  </si>
  <si>
    <t>3102768664S</t>
  </si>
  <si>
    <t>791280860</t>
  </si>
  <si>
    <t>P27 M25</t>
  </si>
  <si>
    <t>0                      P  0027000M  25</t>
  </si>
  <si>
    <t>Grammar and meaning; papers on syntactic and semantic topics [by] James D. McCawley.</t>
  </si>
  <si>
    <t>McCawley, James D.</t>
  </si>
  <si>
    <t>Tokyo, Taishukan Pub. Co. [1973]</t>
  </si>
  <si>
    <t>Taishukan studies in modern linguistics</t>
  </si>
  <si>
    <t>2018-02-26</t>
  </si>
  <si>
    <t>1942891:eng</t>
  </si>
  <si>
    <t>979556</t>
  </si>
  <si>
    <t>ocm00979556</t>
  </si>
  <si>
    <t>3102730056L</t>
  </si>
  <si>
    <t>791517169</t>
  </si>
  <si>
    <t>P27 P5</t>
  </si>
  <si>
    <t>0                      P  0027000P  5</t>
  </si>
  <si>
    <t>Selected writings : to commemorate the 60th birthday of Kenneth Lee Pike / edited by Ruth M. Brend.</t>
  </si>
  <si>
    <t>Pike, Kenneth L. (Kenneth Lee), 1912-2000, author.</t>
  </si>
  <si>
    <t>The Hague : Mouton, 1972.</t>
  </si>
  <si>
    <t>1972</t>
  </si>
  <si>
    <t>Janua linguarum. Series maior ; v. 55</t>
  </si>
  <si>
    <t>2017-09-15</t>
  </si>
  <si>
    <t>118698213:eng</t>
  </si>
  <si>
    <t>532480</t>
  </si>
  <si>
    <t>ocm00532480</t>
  </si>
  <si>
    <t>3102730087F</t>
  </si>
  <si>
    <t>9789027921758</t>
  </si>
  <si>
    <t>791405881</t>
  </si>
  <si>
    <t>P27 P85 1991</t>
  </si>
  <si>
    <t>0                      P  0027000P  85          1991</t>
  </si>
  <si>
    <t>The great Eskimo vocabulary hoax, and other irreverent essays on the study of language / Geoffrey K. Pullum.</t>
  </si>
  <si>
    <t>Pullum, Geoffrey K.</t>
  </si>
  <si>
    <t>Chicago : University of Chicago Press, ©1991.</t>
  </si>
  <si>
    <t>1991</t>
  </si>
  <si>
    <t>2016-06-18</t>
  </si>
  <si>
    <t>14404507:eng</t>
  </si>
  <si>
    <t>22380544</t>
  </si>
  <si>
    <t>ocm22380544</t>
  </si>
  <si>
    <t>3102730067J</t>
  </si>
  <si>
    <t>9780226685335</t>
  </si>
  <si>
    <t>793142331</t>
  </si>
  <si>
    <t>P27 S325 2008</t>
  </si>
  <si>
    <t>0                      P  0027000S  325         2008</t>
  </si>
  <si>
    <t>The collected works of Edward Sapir. 1, General linguistics / edited by Pierre Swiggers.</t>
  </si>
  <si>
    <t>Sapir, Edward, 1884-1939.</t>
  </si>
  <si>
    <t>Berlin ; New York : Mouton de Gruyter, ©2008.</t>
  </si>
  <si>
    <t>2008</t>
  </si>
  <si>
    <t>The collected works of Edward Sapir ; 1</t>
  </si>
  <si>
    <t>2019-04-20</t>
  </si>
  <si>
    <t>3768882146:eng</t>
  </si>
  <si>
    <t>181910147</t>
  </si>
  <si>
    <t>ocn181910147</t>
  </si>
  <si>
    <t>3102872365D</t>
  </si>
  <si>
    <t>9783110195194</t>
  </si>
  <si>
    <t>794284056</t>
  </si>
  <si>
    <t>P27 S33</t>
  </si>
  <si>
    <t>0                      P  0027000S  33</t>
  </si>
  <si>
    <t>Selected writings of Edward Sapir in language, culture and personality / edited by David G. Mandelbaum.</t>
  </si>
  <si>
    <t>Berkeley : University of California Press, ©1949.</t>
  </si>
  <si>
    <t>1949</t>
  </si>
  <si>
    <t>2002-08-19</t>
  </si>
  <si>
    <t>886003:eng</t>
  </si>
  <si>
    <t>7634052</t>
  </si>
  <si>
    <t>ocm07634052</t>
  </si>
  <si>
    <t>3102730094D</t>
  </si>
  <si>
    <t>9780520011151</t>
  </si>
  <si>
    <t>792571645</t>
  </si>
  <si>
    <t>3102730099D</t>
  </si>
  <si>
    <t>792571647</t>
  </si>
  <si>
    <t>2014-10-20</t>
  </si>
  <si>
    <t>3102730058L</t>
  </si>
  <si>
    <t>792571643</t>
  </si>
  <si>
    <t>3102730073H</t>
  </si>
  <si>
    <t>792571646</t>
  </si>
  <si>
    <t>3102730063J</t>
  </si>
  <si>
    <t>792571644</t>
  </si>
  <si>
    <t>P27 S34 1964</t>
  </si>
  <si>
    <t>0                      P  0027000S  34          1964</t>
  </si>
  <si>
    <t>Culture, language and personality / Edward Sapir ; selected essays edited by David G. Mandelbaum.</t>
  </si>
  <si>
    <t>Berkeley : University of California Press, 1964, ©1949.</t>
  </si>
  <si>
    <t>1st paper-bound ed.</t>
  </si>
  <si>
    <t>2016-01-22</t>
  </si>
  <si>
    <t>5377714783:eng</t>
  </si>
  <si>
    <t>11611734</t>
  </si>
  <si>
    <t>ocm11611734</t>
  </si>
  <si>
    <t>3102730089F</t>
  </si>
  <si>
    <t>792780598</t>
  </si>
  <si>
    <t>P27 W53 1956</t>
  </si>
  <si>
    <t>0                      P  0027000W  53          1956</t>
  </si>
  <si>
    <t>Language, thought, and reality : selected writings of Benjamin Lee Whorf / edited and with an introduction by John B. Carroll ; foreword by Stuart Chase.</t>
  </si>
  <si>
    <t>Whorf, Benjamin Lee, 1897-1941, author.</t>
  </si>
  <si>
    <t>Cambridge, MA : MIT Press, ©1956.</t>
  </si>
  <si>
    <t>1956</t>
  </si>
  <si>
    <t>M.I.T. paperback series</t>
  </si>
  <si>
    <t>2009-06-08</t>
  </si>
  <si>
    <t>2017-11-19</t>
  </si>
  <si>
    <t>6665367:eng</t>
  </si>
  <si>
    <t>299475978</t>
  </si>
  <si>
    <t>ocn299475978</t>
  </si>
  <si>
    <t>3102730086F</t>
  </si>
  <si>
    <t>9780262230032</t>
  </si>
  <si>
    <t>794430285</t>
  </si>
  <si>
    <t>2013-11-28</t>
  </si>
  <si>
    <t>3102730065J</t>
  </si>
  <si>
    <t>794430283</t>
  </si>
  <si>
    <t>2009-02-12</t>
  </si>
  <si>
    <t>3102730101S</t>
  </si>
  <si>
    <t>794430282</t>
  </si>
  <si>
    <t>2008-05-09</t>
  </si>
  <si>
    <t>3102730096D</t>
  </si>
  <si>
    <t>794430284</t>
  </si>
  <si>
    <t>2013-02-02</t>
  </si>
  <si>
    <t>3102730060J</t>
  </si>
  <si>
    <t>794430281</t>
  </si>
  <si>
    <t>3000979918H</t>
  </si>
  <si>
    <t>794430280</t>
  </si>
  <si>
    <t>P29 C28 2011</t>
  </si>
  <si>
    <t>0                      P  0029000C  28          2011</t>
  </si>
  <si>
    <t>The Cambridge encyclopedia of the language sciences / edited by Patrick Colm Hogan.</t>
  </si>
  <si>
    <t>Cambridge ; New York : Cambridge University Press, 2011.</t>
  </si>
  <si>
    <t>2011</t>
  </si>
  <si>
    <t>151271254:eng</t>
  </si>
  <si>
    <t>258332197</t>
  </si>
  <si>
    <t>ocn258332197</t>
  </si>
  <si>
    <t>3103312607W</t>
  </si>
  <si>
    <t>9780521866897</t>
  </si>
  <si>
    <t>794399474</t>
  </si>
  <si>
    <t>P29 C64 2010</t>
  </si>
  <si>
    <t>0                      P  0029000C  64          2010</t>
  </si>
  <si>
    <t>The Cambridge encyclopedia of language / David Crystal.</t>
  </si>
  <si>
    <t>Crystal, David, 1941-</t>
  </si>
  <si>
    <t>Cambridge ; New York : Cambridge University Press, 2010.</t>
  </si>
  <si>
    <t>3rd ed.</t>
  </si>
  <si>
    <t>2018-06-26</t>
  </si>
  <si>
    <t>8609555:eng</t>
  </si>
  <si>
    <t>499073732</t>
  </si>
  <si>
    <t>ocn499073732</t>
  </si>
  <si>
    <t>31031340087</t>
  </si>
  <si>
    <t>9780521516983</t>
  </si>
  <si>
    <t>794803370</t>
  </si>
  <si>
    <t>P29 C65 2003</t>
  </si>
  <si>
    <t>0                      P  0029000C  65          2003</t>
  </si>
  <si>
    <t>A dictionary of linguistics &amp; phonetics / David Crystal.</t>
  </si>
  <si>
    <t>Malden, MA : Blackwell Pub., 2003.</t>
  </si>
  <si>
    <t>2003</t>
  </si>
  <si>
    <t>5th ed.</t>
  </si>
  <si>
    <t>The Language library</t>
  </si>
  <si>
    <t>4457721:eng</t>
  </si>
  <si>
    <t>49824714</t>
  </si>
  <si>
    <t>ocm49824714</t>
  </si>
  <si>
    <t>3102730102S</t>
  </si>
  <si>
    <t>9780631226635</t>
  </si>
  <si>
    <t>793748645</t>
  </si>
  <si>
    <t>SHSS</t>
  </si>
  <si>
    <t>- Boxed - Unavailable - REQUEST VIA ILL</t>
  </si>
  <si>
    <t>P29 C68 2001</t>
  </si>
  <si>
    <t>0                      P  0029000C  68          2001</t>
  </si>
  <si>
    <t>A dictionary of language / David Crystal.</t>
  </si>
  <si>
    <t>Chicago : University of Chicago Press, 2001.</t>
  </si>
  <si>
    <t>2nd ed.</t>
  </si>
  <si>
    <t>2018-06-22</t>
  </si>
  <si>
    <t>3856865614:eng</t>
  </si>
  <si>
    <t>45610177</t>
  </si>
  <si>
    <t>ocm45610177</t>
  </si>
  <si>
    <t>3102167744X</t>
  </si>
  <si>
    <t>9780226122038</t>
  </si>
  <si>
    <t>793674742</t>
  </si>
  <si>
    <t>P29 D53 2007</t>
  </si>
  <si>
    <t>0                      P  0029000D  53          2007</t>
  </si>
  <si>
    <t>Linguistique &amp; sciences du langage / Jean Dubois [and others].</t>
  </si>
  <si>
    <t>Paris : Larousse, ©2007.</t>
  </si>
  <si>
    <t>2007</t>
  </si>
  <si>
    <t>Grand dictionnaire</t>
  </si>
  <si>
    <t>2973779395:fre</t>
  </si>
  <si>
    <t>236098884</t>
  </si>
  <si>
    <t>ocn236098884</t>
  </si>
  <si>
    <t>3103041945M</t>
  </si>
  <si>
    <t>9782035832900</t>
  </si>
  <si>
    <t>794371090</t>
  </si>
  <si>
    <t>P29 D8 1995</t>
  </si>
  <si>
    <t>0                      P  0029000D  8           1995</t>
  </si>
  <si>
    <t>Nouveau dictionnaire encyclopédique des sciences du langage / Oswald Ducrot ; Jean-Marie Schaeffer ; avec la collaboration de Marielle Abrioux [and others].</t>
  </si>
  <si>
    <t>Ducrot, Oswald.</t>
  </si>
  <si>
    <t>[Paris] : Editions du Seuil, ©1995.</t>
  </si>
  <si>
    <t>1995</t>
  </si>
  <si>
    <t>2015-10-27</t>
  </si>
  <si>
    <t>3882919858:fre</t>
  </si>
  <si>
    <t>33430726</t>
  </si>
  <si>
    <t>ocm33430726</t>
  </si>
  <si>
    <t>3101419536A</t>
  </si>
  <si>
    <t>9782020144377</t>
  </si>
  <si>
    <t>793409156</t>
  </si>
  <si>
    <t>P29 L52 2002</t>
  </si>
  <si>
    <t>0                      P  0029000L  52          2002</t>
  </si>
  <si>
    <t>The linguistics encyclopedia / edited by Kirsten Malmkjær.</t>
  </si>
  <si>
    <t>London ; New York : Routledge, 2002.</t>
  </si>
  <si>
    <t>2002</t>
  </si>
  <si>
    <t>2019-03-13</t>
  </si>
  <si>
    <t>1047504224:eng</t>
  </si>
  <si>
    <t>45917103</t>
  </si>
  <si>
    <t>ocm45917103</t>
  </si>
  <si>
    <t>31021864417</t>
  </si>
  <si>
    <t>UNAVAILABLE</t>
  </si>
  <si>
    <t>9780415222099</t>
  </si>
  <si>
    <t>793681153</t>
  </si>
  <si>
    <t>P29 M34 2007</t>
  </si>
  <si>
    <t>0                      P  0029000M  34          2007</t>
  </si>
  <si>
    <t>The concise Oxford dictionary of linguistics / P.H. Matthews.</t>
  </si>
  <si>
    <t>Matthews, P. H. (Peter Hugoe)</t>
  </si>
  <si>
    <t>Oxford [England] ; New York : Oxford University Press, 2007.</t>
  </si>
  <si>
    <t>Oxford paperback reference</t>
  </si>
  <si>
    <t>2015-01-12</t>
  </si>
  <si>
    <t>596340:eng</t>
  </si>
  <si>
    <t>167505258</t>
  </si>
  <si>
    <t>ocn167505258</t>
  </si>
  <si>
    <t>3102571821S</t>
  </si>
  <si>
    <t>9780199202720</t>
  </si>
  <si>
    <t>794262505</t>
  </si>
  <si>
    <t>P29 T687 1999</t>
  </si>
  <si>
    <t>0                      P  0029000T  687         1999</t>
  </si>
  <si>
    <t>Key concepts in language and linguistics / R.L. Trask.</t>
  </si>
  <si>
    <t>Trask, R. L. (Robert Lawrence), 1944-2004.</t>
  </si>
  <si>
    <t>London ; New York : Routledge, 1999.</t>
  </si>
  <si>
    <t>Key concepts series</t>
  </si>
  <si>
    <t>2019-10-17</t>
  </si>
  <si>
    <t>4924293957:eng</t>
  </si>
  <si>
    <t>39060772</t>
  </si>
  <si>
    <t>ocm39060772</t>
  </si>
  <si>
    <t>31019185846</t>
  </si>
  <si>
    <t>TRANSIT</t>
  </si>
  <si>
    <t>9780415157414</t>
  </si>
  <si>
    <t>793537066</t>
  </si>
  <si>
    <t>P35 A57 2011</t>
  </si>
  <si>
    <t>0                      P  0035000A  57          2011</t>
  </si>
  <si>
    <t>Anthropological linguistics : critical concepts in language studies / edited by Bambi B. Schieffelin and Paul B. Garrett.</t>
  </si>
  <si>
    <t>London ; New York : Routledge, 2011.</t>
  </si>
  <si>
    <t>Critical concepts in language studies</t>
  </si>
  <si>
    <t>2011-08-08</t>
  </si>
  <si>
    <t>2013-03-02</t>
  </si>
  <si>
    <t>915089925:eng</t>
  </si>
  <si>
    <t>647976788</t>
  </si>
  <si>
    <t>ocn647976788</t>
  </si>
  <si>
    <t>3103346561T</t>
  </si>
  <si>
    <t>9780415551786</t>
  </si>
  <si>
    <t>794830973</t>
  </si>
  <si>
    <t>3103346571R</t>
  </si>
  <si>
    <t>794830976</t>
  </si>
  <si>
    <t>3103346576R</t>
  </si>
  <si>
    <t>794830975</t>
  </si>
  <si>
    <t>3103346566T</t>
  </si>
  <si>
    <t>794830974</t>
  </si>
  <si>
    <t>2012-12-17</t>
  </si>
  <si>
    <t>31033465142</t>
  </si>
  <si>
    <t>794830972</t>
  </si>
  <si>
    <t>P35 B3 1978</t>
  </si>
  <si>
    <t>0                      P  0035000B  3           1978</t>
  </si>
  <si>
    <t>Verbal art as performance / Richard Bauman, with supplementary essays by Barbara A. Babcock [and others].</t>
  </si>
  <si>
    <t>Bauman, Richard.</t>
  </si>
  <si>
    <t>Rowley, Mass. : Newbury House Publishers, [1977]</t>
  </si>
  <si>
    <t>Series in sociolinguistics</t>
  </si>
  <si>
    <t>2015-09-24</t>
  </si>
  <si>
    <t>3120788:eng</t>
  </si>
  <si>
    <t>123156534</t>
  </si>
  <si>
    <t>ocn123156534</t>
  </si>
  <si>
    <t>3102730106S</t>
  </si>
  <si>
    <t>9780883770931</t>
  </si>
  <si>
    <t>794224040</t>
  </si>
  <si>
    <t>P35 B33 2003</t>
  </si>
  <si>
    <t>0                      P  0035000B  33          2003</t>
  </si>
  <si>
    <t>Voices of modernity : language ideologies and the politics of inequality / Richard Bauman, Charles L. Briggs.</t>
  </si>
  <si>
    <t>Bauman, Richard, 1940-</t>
  </si>
  <si>
    <t>Cambridge, England ; New York : Cambridge University Press, 2003.</t>
  </si>
  <si>
    <t>Studies in the social and cultural foundations of language ; 21</t>
  </si>
  <si>
    <t>2015-02-18</t>
  </si>
  <si>
    <t>801288109:eng</t>
  </si>
  <si>
    <t>50684325</t>
  </si>
  <si>
    <t>ocm50684325</t>
  </si>
  <si>
    <t>3102730188C</t>
  </si>
  <si>
    <t>9780521810692</t>
  </si>
  <si>
    <t>793770552</t>
  </si>
  <si>
    <t>P35 B64 2006</t>
  </si>
  <si>
    <t>0                      P  0035000B  64          2006</t>
  </si>
  <si>
    <t>Language, culture and identity in applied linguistics : selected papers from the Annual Meeting of the British Association for Applied Linguistics, University of Bristol, September 2005 / edited by Richard Kiely [and others].</t>
  </si>
  <si>
    <t>British Association for Applied Linguistics. Meeting (38th : 2005 : University of Bristol)</t>
  </si>
  <si>
    <t>London ; Oakville, CT : British Association for Applied Linguistics in association with Equinox, 2006.</t>
  </si>
  <si>
    <t>2006</t>
  </si>
  <si>
    <t>British studies in applied linguistics ; v. 21</t>
  </si>
  <si>
    <t>2019-11-21</t>
  </si>
  <si>
    <t>55710821:eng</t>
  </si>
  <si>
    <t>70174885</t>
  </si>
  <si>
    <t>ocm70174885</t>
  </si>
  <si>
    <t>3102595436C</t>
  </si>
  <si>
    <t>9781845532192</t>
  </si>
  <si>
    <t>794150131</t>
  </si>
  <si>
    <t>P35 C3</t>
  </si>
  <si>
    <t>0                      P  0035000C  3</t>
  </si>
  <si>
    <t>Introduzione all'etnolinguistica / Giorgio Raimondo Cardona.</t>
  </si>
  <si>
    <t>Cardona, Giorgio Raimondo.</t>
  </si>
  <si>
    <t>Bologna : Il mulino, 1976.</t>
  </si>
  <si>
    <t>1976</t>
  </si>
  <si>
    <t>La Nuova scienza : Serie di linguistica e critica letteraria</t>
  </si>
  <si>
    <t>2017-02-23</t>
  </si>
  <si>
    <t>3855452333:ita</t>
  </si>
  <si>
    <t>3203947</t>
  </si>
  <si>
    <t>ocm03203947</t>
  </si>
  <si>
    <t>3102730162G</t>
  </si>
  <si>
    <t>792229098</t>
  </si>
  <si>
    <t>P35 C32 1992</t>
  </si>
  <si>
    <t>0                      P  0035000C  32          1992</t>
  </si>
  <si>
    <t>The sound in between : voice, space, performance / Paul Carter.</t>
  </si>
  <si>
    <t>Carter, Paul, 1951-</t>
  </si>
  <si>
    <t>Kensington, NSW, Australia : New South Wales University Press ; Strawberry Hills, NSW, Australia : New Endeavor Press, 1992.</t>
  </si>
  <si>
    <t>2018-03-13</t>
  </si>
  <si>
    <t>138760077:eng</t>
  </si>
  <si>
    <t>27885225</t>
  </si>
  <si>
    <t>ocm27885225</t>
  </si>
  <si>
    <t>3103070515T</t>
  </si>
  <si>
    <t>9780868401096</t>
  </si>
  <si>
    <t>793274391</t>
  </si>
  <si>
    <t>P35 C59 2004</t>
  </si>
  <si>
    <t>0                      P  0035000C  59          2004</t>
  </si>
  <si>
    <t>A companion to linguistic anthropology / edited by Alessandro Duranti.</t>
  </si>
  <si>
    <t>Malden, MA : Blackwell Pub., 2004.</t>
  </si>
  <si>
    <t>2004</t>
  </si>
  <si>
    <t>Blackwell companions to anthropology ; 1</t>
  </si>
  <si>
    <t>2018-04-03</t>
  </si>
  <si>
    <t>3372827810:eng</t>
  </si>
  <si>
    <t>52471583</t>
  </si>
  <si>
    <t>ocm52471583</t>
  </si>
  <si>
    <t>3102730157I</t>
  </si>
  <si>
    <t>9780631223528</t>
  </si>
  <si>
    <t>793807249</t>
  </si>
  <si>
    <t>P35 C8 1987</t>
  </si>
  <si>
    <t>0                      P  0035000C  8           1987</t>
  </si>
  <si>
    <t>Cultural models in language and thought / edited by Dorothy Holland, Naomi Quinn.</t>
  </si>
  <si>
    <t>Cambridge [Cambridgeshire] ; New York : Cambridge University Press, 1987.</t>
  </si>
  <si>
    <t>2016-08-04</t>
  </si>
  <si>
    <t>723120244:eng</t>
  </si>
  <si>
    <t>13860683</t>
  </si>
  <si>
    <t>ocm13860683</t>
  </si>
  <si>
    <t>3102730178E</t>
  </si>
  <si>
    <t>9780521323468</t>
  </si>
  <si>
    <t>792869671</t>
  </si>
  <si>
    <t>P35 C858 2011</t>
  </si>
  <si>
    <t>0                      P  0035000C  858         2011</t>
  </si>
  <si>
    <t>Culture and language : multidisciplinary case studies / Michael A. Morris (ed.).</t>
  </si>
  <si>
    <t>Frankfurt am Main : Peter Lang, 2011, ©2011.</t>
  </si>
  <si>
    <t>Sprache, Mehrsprachigkeit und sozialer Wandel, 1610-143X ; Bd. 12</t>
  </si>
  <si>
    <t>865025596:eng</t>
  </si>
  <si>
    <t>713987869</t>
  </si>
  <si>
    <t>ocn713987869</t>
  </si>
  <si>
    <t>3103233077S</t>
  </si>
  <si>
    <t>9783631601679</t>
  </si>
  <si>
    <t>794873192</t>
  </si>
  <si>
    <t>P35 D35 2004</t>
  </si>
  <si>
    <t>0                      P  0035000D  35          2004</t>
  </si>
  <si>
    <t>A basic course in anthropological linguistics / [by] series editor, Marcel Danesi.</t>
  </si>
  <si>
    <t>Danesi, Marcel, 1946-</t>
  </si>
  <si>
    <t>Toronto : Canadian Scholars' Press, c2004.</t>
  </si>
  <si>
    <t>Studies in cultural and linguistic anthropology ; v. 2</t>
  </si>
  <si>
    <t>2016-01-25</t>
  </si>
  <si>
    <t>1045626:eng</t>
  </si>
  <si>
    <t>53822044</t>
  </si>
  <si>
    <t>ocm53822044</t>
  </si>
  <si>
    <t>3102730173E</t>
  </si>
  <si>
    <t>9781551302522</t>
  </si>
  <si>
    <t>793851043</t>
  </si>
  <si>
    <t>P35 D35 2008</t>
  </si>
  <si>
    <t>0                      P  0035000D  35          2008</t>
  </si>
  <si>
    <t>Language, society, and culture : introducing anthropological linguistics / Marcel Danesi.</t>
  </si>
  <si>
    <t>Toronto : Canadian Scholars' Press, c2008.</t>
  </si>
  <si>
    <t>355748628:eng</t>
  </si>
  <si>
    <t>226659679</t>
  </si>
  <si>
    <t>ocn226659679</t>
  </si>
  <si>
    <t>3102708198U</t>
  </si>
  <si>
    <t>9781551303475</t>
  </si>
  <si>
    <t>794345770</t>
  </si>
  <si>
    <t>P35 D35 2012</t>
  </si>
  <si>
    <t>0                      P  0035000D  35          2012</t>
  </si>
  <si>
    <t>Linguistic anthropology : a brief introduction / by Marcel Danesi.</t>
  </si>
  <si>
    <t>Toronto : Canadian Scholars' Press Inc., c2012.</t>
  </si>
  <si>
    <t>2012</t>
  </si>
  <si>
    <t>2016-03-17</t>
  </si>
  <si>
    <t>1126753833:eng</t>
  </si>
  <si>
    <t>801167254</t>
  </si>
  <si>
    <t>ocn801167254</t>
  </si>
  <si>
    <t>3103403719M</t>
  </si>
  <si>
    <t>9781551304892</t>
  </si>
  <si>
    <t>794924849</t>
  </si>
  <si>
    <t>P35 D45 2010b</t>
  </si>
  <si>
    <t>0                      P  0035000D  45          2010b</t>
  </si>
  <si>
    <t>Through the language glass : how words colour your world / Guy Deutscher.</t>
  </si>
  <si>
    <t>Deutscher, Guy, 1969-</t>
  </si>
  <si>
    <t>London : William Heinemann, 2010.</t>
  </si>
  <si>
    <t>2019-09-05</t>
  </si>
  <si>
    <t>2997778013:eng</t>
  </si>
  <si>
    <t>520727800</t>
  </si>
  <si>
    <t>ocn520727800</t>
  </si>
  <si>
    <t>3103230897C</t>
  </si>
  <si>
    <t>9780434016907</t>
  </si>
  <si>
    <t>794808700</t>
  </si>
  <si>
    <t>P35 E45 2011</t>
  </si>
  <si>
    <t>0                      P  0035000E  45          2011</t>
  </si>
  <si>
    <t>Embodiment via body parts : studies from various languages and cultures / edited by Zouheir A. Maalej, Ning Yu.</t>
  </si>
  <si>
    <t>Amsterdam ; Philadelphia : John Benjamins Pub. Co., ©2011.</t>
  </si>
  <si>
    <t>Human cognitive processing ; v. 31</t>
  </si>
  <si>
    <t>891153950:eng</t>
  </si>
  <si>
    <t>717303796</t>
  </si>
  <si>
    <t>ocn717303796</t>
  </si>
  <si>
    <t>3103407404H</t>
  </si>
  <si>
    <t>9789027223852</t>
  </si>
  <si>
    <t>794874199</t>
  </si>
  <si>
    <t>P35 E8698 2010</t>
  </si>
  <si>
    <t>0                      P  0035000E  8698        2010</t>
  </si>
  <si>
    <t>Ethnolinguistic diversity and education : language, literacy, and culture / edited by Marcia Farr, Lisya Seloni, and Juyoung Song.</t>
  </si>
  <si>
    <t>New York : Routledge, 2010.</t>
  </si>
  <si>
    <t>791912628:eng</t>
  </si>
  <si>
    <t>298781483</t>
  </si>
  <si>
    <t>ocn298781483</t>
  </si>
  <si>
    <t>3103156898L</t>
  </si>
  <si>
    <t>9780415802789</t>
  </si>
  <si>
    <t>794428451</t>
  </si>
  <si>
    <t>P35 E913 2012</t>
  </si>
  <si>
    <t>0                      P  0035000E  913         2012</t>
  </si>
  <si>
    <t>Language : the cultural tool / Daniel L. Everett.</t>
  </si>
  <si>
    <t>Everett, Daniel Leonard.</t>
  </si>
  <si>
    <t>New York : Pantheon Books, ©2012.</t>
  </si>
  <si>
    <t>2019-05-24</t>
  </si>
  <si>
    <t>894533004:eng</t>
  </si>
  <si>
    <t>719428388</t>
  </si>
  <si>
    <t>ocn719428388</t>
  </si>
  <si>
    <t>3103410660M</t>
  </si>
  <si>
    <t>9780307378538</t>
  </si>
  <si>
    <t>794874579</t>
  </si>
  <si>
    <t>P35 E94 2000</t>
  </si>
  <si>
    <t>0                      P  0035000E  94          2000</t>
  </si>
  <si>
    <t>Explorations in linguistic relativity / edited by Martin Pütz, Marjolijn H. Verspoor.</t>
  </si>
  <si>
    <t>Amsterdam ; Philadelphia : J. Benjamins, 2000.</t>
  </si>
  <si>
    <t>2000</t>
  </si>
  <si>
    <t>Amsterdam studies in the theory and history of linguistic science. Series IV, Current issues in linguistic theory, 0304-0763 ; v. 199</t>
  </si>
  <si>
    <t>44804755:eng</t>
  </si>
  <si>
    <t>43323688</t>
  </si>
  <si>
    <t>ocm43323688</t>
  </si>
  <si>
    <t>3102051532H</t>
  </si>
  <si>
    <t>9781556199776</t>
  </si>
  <si>
    <t>793624497</t>
  </si>
  <si>
    <t>P35 E95</t>
  </si>
  <si>
    <t>0                      P  0035000E  95</t>
  </si>
  <si>
    <t>Explorations in the ethnography of speaking / edited by Richard Bauman and Joel Sherzer.</t>
  </si>
  <si>
    <t>London ; New York : Cambridge University Press, 1974.</t>
  </si>
  <si>
    <t>1974</t>
  </si>
  <si>
    <t>2016-10-17</t>
  </si>
  <si>
    <t>351690780:eng</t>
  </si>
  <si>
    <t>1311238</t>
  </si>
  <si>
    <t>ocm01311238</t>
  </si>
  <si>
    <t>3100661372I</t>
  </si>
  <si>
    <t>9780521204958</t>
  </si>
  <si>
    <t>791597124</t>
  </si>
  <si>
    <t>3102730189C</t>
  </si>
  <si>
    <t>791597123</t>
  </si>
  <si>
    <t>P35 F5 1989</t>
  </si>
  <si>
    <t>0                      P  0035000F  5           1989</t>
  </si>
  <si>
    <t>Language and ethnicity in minority sociolinguistic perspective / Joshua A. Fishman.</t>
  </si>
  <si>
    <t>Fishman, Joshua A.</t>
  </si>
  <si>
    <t>Clevedon, Avon, England ; Philadelphia : Multilingual Matters, Ltd., ©1989.</t>
  </si>
  <si>
    <t>1989</t>
  </si>
  <si>
    <t>Multilingual matters ; 45</t>
  </si>
  <si>
    <t>2015-10-15</t>
  </si>
  <si>
    <t>1064189:eng</t>
  </si>
  <si>
    <t>17727528</t>
  </si>
  <si>
    <t>ocm17727528</t>
  </si>
  <si>
    <t>31027343320</t>
  </si>
  <si>
    <t>9781853590061</t>
  </si>
  <si>
    <t>793001312</t>
  </si>
  <si>
    <t>P35 F64 1997</t>
  </si>
  <si>
    <t>0                      P  0035000F  64          1997</t>
  </si>
  <si>
    <t>Anthropological linguistics : an introduction / William A. Foley.</t>
  </si>
  <si>
    <t>Foley, William A.</t>
  </si>
  <si>
    <t>Malden, MA : Blackwell Publishers, 1997.</t>
  </si>
  <si>
    <t>1997</t>
  </si>
  <si>
    <t>Language in society ; 24</t>
  </si>
  <si>
    <t>2016-04-05</t>
  </si>
  <si>
    <t>288327642:eng</t>
  </si>
  <si>
    <t>35280797</t>
  </si>
  <si>
    <t>ocm35280797</t>
  </si>
  <si>
    <t>3102730179E</t>
  </si>
  <si>
    <t>9780631151210</t>
  </si>
  <si>
    <t>793448591</t>
  </si>
  <si>
    <t>P35 F67 2006</t>
  </si>
  <si>
    <t>0                      P  0035000F  67          2006</t>
  </si>
  <si>
    <t>Language and ethnicity / Carmen Fought.</t>
  </si>
  <si>
    <t>Fought, Carmen, 1966-</t>
  </si>
  <si>
    <t>Cambridge, UK ; New York : Cambridge University Press, 2006.</t>
  </si>
  <si>
    <t>Key topics in sociolinguistics</t>
  </si>
  <si>
    <t>2015-03-18</t>
  </si>
  <si>
    <t>52155449:eng</t>
  </si>
  <si>
    <t>68799762</t>
  </si>
  <si>
    <t>ocm68799762</t>
  </si>
  <si>
    <t>3102565264R</t>
  </si>
  <si>
    <t>9780521848435</t>
  </si>
  <si>
    <t>794144296</t>
  </si>
  <si>
    <t>P35 F7</t>
  </si>
  <si>
    <t>0                      P  0035000F  7</t>
  </si>
  <si>
    <t>Language, context, and the imagination : essays / by Paul Friedrich ; selected and introduced by Anwar S. Dil.</t>
  </si>
  <si>
    <t>Friedrich, Paul, 1927-2016.</t>
  </si>
  <si>
    <t>Stanford, Calif. : Stanford University Press, 1979.</t>
  </si>
  <si>
    <t>Language science and national development</t>
  </si>
  <si>
    <t>2016-10-27</t>
  </si>
  <si>
    <t>459725:eng</t>
  </si>
  <si>
    <t>5503141</t>
  </si>
  <si>
    <t>ocm05503141</t>
  </si>
  <si>
    <t>3102730169G</t>
  </si>
  <si>
    <t>9780804710220</t>
  </si>
  <si>
    <t>792436335</t>
  </si>
  <si>
    <t>P35 F72 1986</t>
  </si>
  <si>
    <t>0                      P  0035000F  72          1986</t>
  </si>
  <si>
    <t>The language parallax : linguistic relativism and poetic indeterminacy / by Paul Friedrich.</t>
  </si>
  <si>
    <t>Austin : University of Texas Press, 1986.</t>
  </si>
  <si>
    <t>Texas linguistics series</t>
  </si>
  <si>
    <t>2017-12-19</t>
  </si>
  <si>
    <t>345941189:eng</t>
  </si>
  <si>
    <t>12236734</t>
  </si>
  <si>
    <t>ocm12236734</t>
  </si>
  <si>
    <t>3102730164G</t>
  </si>
  <si>
    <t>9780292746503</t>
  </si>
  <si>
    <t>792807199</t>
  </si>
  <si>
    <t>P35 G74 2011</t>
  </si>
  <si>
    <t>0                      P  0035000G  74          2011</t>
  </si>
  <si>
    <t>Bourdieu, language and linguistics / [edited] by Michael Grenfell.</t>
  </si>
  <si>
    <t>London ; New York, N.Y. : Continuum, ©2011.</t>
  </si>
  <si>
    <t>412532479:eng</t>
  </si>
  <si>
    <t>540644098</t>
  </si>
  <si>
    <t>ocn540644098</t>
  </si>
  <si>
    <t>3103233320T</t>
  </si>
  <si>
    <t>9781847065698</t>
  </si>
  <si>
    <t>794810689</t>
  </si>
  <si>
    <t>P35 G85 2016</t>
  </si>
  <si>
    <t>0                      P  0035000G  85          2016</t>
  </si>
  <si>
    <t>Constructions in cognitive contexts : why individuals matter in linguistic relativity research / Franziska Günther.</t>
  </si>
  <si>
    <t>Günther, Franziska, author.</t>
  </si>
  <si>
    <t>Berlin ; Boston : De Gruyter Mouton, [2016]</t>
  </si>
  <si>
    <t>Trends in linguistics studies and monographs ; volume 299</t>
  </si>
  <si>
    <t>3955268165:eng</t>
  </si>
  <si>
    <t>963439076</t>
  </si>
  <si>
    <t>ocn963439076</t>
  </si>
  <si>
    <t>3103697867U</t>
  </si>
  <si>
    <t>9783110459784</t>
  </si>
  <si>
    <t>795024891</t>
  </si>
  <si>
    <t>P35 H34 1999</t>
  </si>
  <si>
    <t>0                      P  0035000H  34          1999</t>
  </si>
  <si>
    <t>Handbook of language &amp; ethnic identity / edited by Joshua A. Fishman.</t>
  </si>
  <si>
    <t>New York : Oxford University Press, 1999.</t>
  </si>
  <si>
    <t>2016-10-23</t>
  </si>
  <si>
    <t>895880698:eng</t>
  </si>
  <si>
    <t>39508220</t>
  </si>
  <si>
    <t>ocm39508220</t>
  </si>
  <si>
    <t>3102730190A</t>
  </si>
  <si>
    <t>9780195124286</t>
  </si>
  <si>
    <t>793547355</t>
  </si>
  <si>
    <t>P35 H34 2010</t>
  </si>
  <si>
    <t>0                      P  0035000H  34          2010</t>
  </si>
  <si>
    <t>Handbook of language &amp; ethnic identity / edited by Joshua A. Fishman and Ofelia García.</t>
  </si>
  <si>
    <t>New York, N.Y. : Oxford University Press, 2010-</t>
  </si>
  <si>
    <t>2018-03-08</t>
  </si>
  <si>
    <t>2866759841:eng</t>
  </si>
  <si>
    <t>428926502</t>
  </si>
  <si>
    <t>ocn428926502</t>
  </si>
  <si>
    <t>3103362041H</t>
  </si>
  <si>
    <t>9780195374926</t>
  </si>
  <si>
    <t>794779000</t>
  </si>
  <si>
    <t>P35 I47 1991</t>
  </si>
  <si>
    <t>0                      P  0035000I  47          1991</t>
  </si>
  <si>
    <t>The Influence of language on culture and thought : essays in honor of Joshua A. Fishman's sixty-fifth birthday / edited by Robert L. Cooper, Bernard Spolsky.</t>
  </si>
  <si>
    <t>Berlin ; New York : Mouton de Gruyter, 1991.</t>
  </si>
  <si>
    <t>889975770:eng</t>
  </si>
  <si>
    <t>23217241</t>
  </si>
  <si>
    <t>ocm23217241</t>
  </si>
  <si>
    <t>3102730150I</t>
  </si>
  <si>
    <t>9780899258027</t>
  </si>
  <si>
    <t>793164857</t>
  </si>
  <si>
    <t>P35 I495 2007</t>
  </si>
  <si>
    <t>0                      P  0035000I  495         2007</t>
  </si>
  <si>
    <t>Intercultural spaces : language, culture, identity / edited by Aileen Pearson-Evans and Angela Leahy.</t>
  </si>
  <si>
    <t>New York : P. Lang, ©2007.</t>
  </si>
  <si>
    <t>2015-06-02</t>
  </si>
  <si>
    <t>363777422:eng</t>
  </si>
  <si>
    <t>131065894</t>
  </si>
  <si>
    <t>ocn131065894</t>
  </si>
  <si>
    <t>3102641889P</t>
  </si>
  <si>
    <t>9780820495460</t>
  </si>
  <si>
    <t>794231695</t>
  </si>
  <si>
    <t>P35 I53 1997</t>
  </si>
  <si>
    <t>0                      P  0035000I  53          1997</t>
  </si>
  <si>
    <t>Assessing ethnolinguistic vitality : theory and practice : selected papers from the Third International Language Assessment Conference / edited by Gloria Kindell and M. Paul Lewis.</t>
  </si>
  <si>
    <t>International Language Assessment Conference (3rd : 1997 : High Wycombe, England)</t>
  </si>
  <si>
    <t>Dallas : SIL International, ©2000.</t>
  </si>
  <si>
    <t>SIL International publications in sociolinguistics ; publication 3</t>
  </si>
  <si>
    <t>475792626:eng</t>
  </si>
  <si>
    <t>45261568</t>
  </si>
  <si>
    <t>ocm45261568</t>
  </si>
  <si>
    <t>3102730186C</t>
  </si>
  <si>
    <t>9781556710872</t>
  </si>
  <si>
    <t>793668000</t>
  </si>
  <si>
    <t>P35 K49 2001</t>
  </si>
  <si>
    <t>0                      P  0035000K  49          2001</t>
  </si>
  <si>
    <t>Key terms in language and culture / edited by Alessandro Duranti.</t>
  </si>
  <si>
    <t>Malden, Mass. : Blackwell, 2001.</t>
  </si>
  <si>
    <t>2017-09-05</t>
  </si>
  <si>
    <t>925767:eng</t>
  </si>
  <si>
    <t>45304068</t>
  </si>
  <si>
    <t>ocm45304068</t>
  </si>
  <si>
    <t>3102111189L</t>
  </si>
  <si>
    <t>9780631226659</t>
  </si>
  <si>
    <t>793668919</t>
  </si>
  <si>
    <t>P35 K685 2006</t>
  </si>
  <si>
    <t>0                      P  0035000K  685         2006</t>
  </si>
  <si>
    <t>Language, mind, and culture : a practical introduction / Zoltán Kövecses ; exercises written by Bálint Koller [and others].</t>
  </si>
  <si>
    <t>Kövecses, Zoltán.</t>
  </si>
  <si>
    <t>New York : Oxford, 2006.</t>
  </si>
  <si>
    <t>2018-03-14</t>
  </si>
  <si>
    <t>891927916:eng</t>
  </si>
  <si>
    <t>61278615</t>
  </si>
  <si>
    <t>ocm61278615</t>
  </si>
  <si>
    <t>3102592810G</t>
  </si>
  <si>
    <t>9780195187199</t>
  </si>
  <si>
    <t>793950417</t>
  </si>
  <si>
    <t>P35 L265 2000</t>
  </si>
  <si>
    <t>0                      P  0035000L  265         2000</t>
  </si>
  <si>
    <t>The Routledge language and cultural theory reader / edited by Lucy Burke, Tony Crowley, and Alan Girvin.</t>
  </si>
  <si>
    <t>London ; New York, NY : Routledge, 2000.</t>
  </si>
  <si>
    <t>Politics of language</t>
  </si>
  <si>
    <t>5453839456:eng</t>
  </si>
  <si>
    <t>42397862</t>
  </si>
  <si>
    <t>ocm42397862</t>
  </si>
  <si>
    <t>3102730181C</t>
  </si>
  <si>
    <t>9780415186803</t>
  </si>
  <si>
    <t>793606634</t>
  </si>
  <si>
    <t>P35 L28 2011</t>
  </si>
  <si>
    <t>0                      P  0035000L  28          2011</t>
  </si>
  <si>
    <t>The language and intercultural communication reader / edited by Zhu Hua.</t>
  </si>
  <si>
    <t>2013-11-25</t>
  </si>
  <si>
    <t>476050736:eng</t>
  </si>
  <si>
    <t>606777725</t>
  </si>
  <si>
    <t>ocn606777725</t>
  </si>
  <si>
    <t>3103232674E</t>
  </si>
  <si>
    <t>9780415549127</t>
  </si>
  <si>
    <t>794817241</t>
  </si>
  <si>
    <t>P35 L332 2006</t>
  </si>
  <si>
    <t>0                      P  0035000L  332         2006</t>
  </si>
  <si>
    <t>Language, culture, and society : key topics in linguistic anthropology / [edited by] Christine Jourdan, Kevin Tuite.</t>
  </si>
  <si>
    <t>Cambridge ; New York : Cambridge University Press, ©2006.</t>
  </si>
  <si>
    <t>Studies in the social and cultural foundations of language ; no. 23</t>
  </si>
  <si>
    <t>2018-03-16</t>
  </si>
  <si>
    <t>801746075:eng</t>
  </si>
  <si>
    <t>62760950</t>
  </si>
  <si>
    <t>ocm62760950</t>
  </si>
  <si>
    <t>3102556931D</t>
  </si>
  <si>
    <t>9780521849418</t>
  </si>
  <si>
    <t>794112190</t>
  </si>
  <si>
    <t>P35 L333 1998</t>
  </si>
  <si>
    <t>0                      P  0035000L  333         1998</t>
  </si>
  <si>
    <t>Language ideologies : practice and theory / edited by Bambi B. Schieffelin, Kathryn A. Woolard, and Paul V. Kroskrity.</t>
  </si>
  <si>
    <t>New York : Oxford University Press, 1998.</t>
  </si>
  <si>
    <t>1998</t>
  </si>
  <si>
    <t>Oxford studies in anthropological linguistics ; 16</t>
  </si>
  <si>
    <t>2016-05-02</t>
  </si>
  <si>
    <t>1060424395:eng</t>
  </si>
  <si>
    <t>37157247</t>
  </si>
  <si>
    <t>ocm37157247</t>
  </si>
  <si>
    <t>3102730161G</t>
  </si>
  <si>
    <t>9780195105612</t>
  </si>
  <si>
    <t>793491954</t>
  </si>
  <si>
    <t>P35 L334 1997</t>
  </si>
  <si>
    <t>0                      P  0035000L  334         1997</t>
  </si>
  <si>
    <t>Language machines : technologies of literary and cultural production / edited by Jeffrey Masten, Peter Stallybrass, and Nancy Vickers.</t>
  </si>
  <si>
    <t>New York : Routledge, 1997.</t>
  </si>
  <si>
    <t>Essays from the English Institute</t>
  </si>
  <si>
    <t>2016-12-08</t>
  </si>
  <si>
    <t>2018-09-21</t>
  </si>
  <si>
    <t>795070643:eng</t>
  </si>
  <si>
    <t>36477033</t>
  </si>
  <si>
    <t>ocm36477033</t>
  </si>
  <si>
    <t>3102730151I</t>
  </si>
  <si>
    <t>9780415918633</t>
  </si>
  <si>
    <t>793476254</t>
  </si>
  <si>
    <t>3102730156I</t>
  </si>
  <si>
    <t>793476255</t>
  </si>
  <si>
    <t>P35 L345 2009</t>
  </si>
  <si>
    <t>0                      P  0035000L  345         2009</t>
  </si>
  <si>
    <t>Langue, langage et interactions culturelles / sous la direction de Béatrice Pothier.</t>
  </si>
  <si>
    <t>Paris : Harmattan ; Angers : Éditions de l'UCO, ©2009.</t>
  </si>
  <si>
    <t>2009</t>
  </si>
  <si>
    <t>Cahiers du CIRHiLL, 1269-9942 ; no 31</t>
  </si>
  <si>
    <t>366942776:fre</t>
  </si>
  <si>
    <t>492092922</t>
  </si>
  <si>
    <t>ocn492092922</t>
  </si>
  <si>
    <t>31032509703</t>
  </si>
  <si>
    <t>9782296101357</t>
  </si>
  <si>
    <t>794800998</t>
  </si>
  <si>
    <t>P35 L44 1996</t>
  </si>
  <si>
    <t>0                      P  0035000L  44          1996</t>
  </si>
  <si>
    <t>The Whorf theory complex : a critical reconstruction / Penny Lee.</t>
  </si>
  <si>
    <t>Lee, Penny, 1944-</t>
  </si>
  <si>
    <t>Amsterdam ; Philadelphia : J. Benjamins Pub., ©1996.</t>
  </si>
  <si>
    <t>1996</t>
  </si>
  <si>
    <t>Amsterdam studies in the theory and history of linguistic science. Series III, Studies in the history of the language sciences ; v. 81</t>
  </si>
  <si>
    <t>890948046:eng</t>
  </si>
  <si>
    <t>34989995</t>
  </si>
  <si>
    <t>ocm34989995</t>
  </si>
  <si>
    <t>3102730222L</t>
  </si>
  <si>
    <t>9781556196188</t>
  </si>
  <si>
    <t>793440638</t>
  </si>
  <si>
    <t>P35 L48 2001</t>
  </si>
  <si>
    <t>0                      P  0035000L  48          2001</t>
  </si>
  <si>
    <t>Linguistic anthropology : a reader / edited by Alessandro Duranti.</t>
  </si>
  <si>
    <t>Malden, Mass. : Blackwell Publishers, 2001.</t>
  </si>
  <si>
    <t>Blackwell anthologies in social and cultural anthropology ; 1</t>
  </si>
  <si>
    <t>836808:eng</t>
  </si>
  <si>
    <t>44579005</t>
  </si>
  <si>
    <t>ocm44579005</t>
  </si>
  <si>
    <t>3102730217N</t>
  </si>
  <si>
    <t>9780631221104</t>
  </si>
  <si>
    <t>793653498</t>
  </si>
  <si>
    <t>P35 L48 2009</t>
  </si>
  <si>
    <t>0                      P  0035000L  48          2009</t>
  </si>
  <si>
    <t>Malden, MA : Wiley-Blackwell, ©2009.</t>
  </si>
  <si>
    <t>Blackwell anthologies in social and cultural anthropology</t>
  </si>
  <si>
    <t>2018-03-05</t>
  </si>
  <si>
    <t>298186590</t>
  </si>
  <si>
    <t>ocn298186590</t>
  </si>
  <si>
    <t>3103079479L</t>
  </si>
  <si>
    <t>9781405126335</t>
  </si>
  <si>
    <t>794427582</t>
  </si>
  <si>
    <t>P35 L84 1992</t>
  </si>
  <si>
    <t>0                      P  0035000L  84          1992</t>
  </si>
  <si>
    <t>Language diversity and thought : a reformulation of the linguistic relativity hypothesis / John A. Lucy.</t>
  </si>
  <si>
    <t>Lucy, John Arthur, 1949-</t>
  </si>
  <si>
    <t>Cambridge ; New York : Cambridge University Press, 1992.</t>
  </si>
  <si>
    <t>Studies in the social and cultural foundations of language ; no. 12</t>
  </si>
  <si>
    <t>2015-01-30</t>
  </si>
  <si>
    <t>836893552:eng</t>
  </si>
  <si>
    <t>24174700</t>
  </si>
  <si>
    <t>ocm24174700</t>
  </si>
  <si>
    <t>3103592025$</t>
  </si>
  <si>
    <t>9780521384186</t>
  </si>
  <si>
    <t>793191451</t>
  </si>
  <si>
    <t>P35 M2813 2011</t>
  </si>
  <si>
    <t>0                      P  0035000M  2813        2011</t>
  </si>
  <si>
    <t>Capital and affects : the politics of the language economy / Christian Marazzi ; translated and with an introduction by Giuseppina Mecchia.</t>
  </si>
  <si>
    <t>Marazzi, Christian.</t>
  </si>
  <si>
    <t>Los Angeles, CA : Semiotext(e) ; Cambridge, Mass. : Distributed by the MIT Press, ©2011.</t>
  </si>
  <si>
    <t>Semiotext(e) foreign agents series</t>
  </si>
  <si>
    <t>2019-04-12</t>
  </si>
  <si>
    <t>479066937:eng</t>
  </si>
  <si>
    <t>719429239</t>
  </si>
  <si>
    <t>ocn719429239</t>
  </si>
  <si>
    <t>31033653024</t>
  </si>
  <si>
    <t>9781584351030</t>
  </si>
  <si>
    <t>794874616</t>
  </si>
  <si>
    <t>P35 N38 1996</t>
  </si>
  <si>
    <t>0                      P  0035000N  38          1996</t>
  </si>
  <si>
    <t>Natural histories of discourse / edited by Michael Silverstein and Greg Urban.</t>
  </si>
  <si>
    <t>Chicago : University of Chicago Press, 1996.</t>
  </si>
  <si>
    <t>2018-03-04</t>
  </si>
  <si>
    <t>893105:eng</t>
  </si>
  <si>
    <t>33819833</t>
  </si>
  <si>
    <t>ocm33819833</t>
  </si>
  <si>
    <t>3102557847A</t>
  </si>
  <si>
    <t>9780226757698</t>
  </si>
  <si>
    <t>793411892</t>
  </si>
  <si>
    <t>2015-04-15</t>
  </si>
  <si>
    <t>3102730539A</t>
  </si>
  <si>
    <t>793411891</t>
  </si>
  <si>
    <t>P35 O5 1982</t>
  </si>
  <si>
    <t>0                      P  0035000O  5           1982</t>
  </si>
  <si>
    <t>Orality and literacy : the technologizing of the word / Walter J. Ong.</t>
  </si>
  <si>
    <t>Ong, Walter J.</t>
  </si>
  <si>
    <t>London ; New York : Methuen, 1982.</t>
  </si>
  <si>
    <t>New accents</t>
  </si>
  <si>
    <t>2017-11-14</t>
  </si>
  <si>
    <t>2019-10-15</t>
  </si>
  <si>
    <t>91683:eng</t>
  </si>
  <si>
    <t>8345642</t>
  </si>
  <si>
    <t>ocm08345642</t>
  </si>
  <si>
    <t>3103710437K</t>
  </si>
  <si>
    <t>9780416713701</t>
  </si>
  <si>
    <t>792614193</t>
  </si>
  <si>
    <t>2013-04-02</t>
  </si>
  <si>
    <t>31027851902</t>
  </si>
  <si>
    <t>792614196</t>
  </si>
  <si>
    <t>3102730213N</t>
  </si>
  <si>
    <t>792614195</t>
  </si>
  <si>
    <t>P35 O5 1982b</t>
  </si>
  <si>
    <t>0                      P  0035000O  5           1982b</t>
  </si>
  <si>
    <t>London : Routledge, 1982.</t>
  </si>
  <si>
    <t>New accents (Routledge)</t>
  </si>
  <si>
    <t>2019-04-23</t>
  </si>
  <si>
    <t>263622895</t>
  </si>
  <si>
    <t>ocn263622895</t>
  </si>
  <si>
    <t>3103709965U</t>
  </si>
  <si>
    <t>9780415027960</t>
  </si>
  <si>
    <t>794404081</t>
  </si>
  <si>
    <t>P35 O5 2002</t>
  </si>
  <si>
    <t>0                      P  0035000O  5           2002</t>
  </si>
  <si>
    <t>2019-06-26</t>
  </si>
  <si>
    <t>49874897</t>
  </si>
  <si>
    <t>ocm49874897</t>
  </si>
  <si>
    <t>31028339985</t>
  </si>
  <si>
    <t>9780415281829</t>
  </si>
  <si>
    <t>793749707</t>
  </si>
  <si>
    <t>2018-01-11</t>
  </si>
  <si>
    <t>3102833962B</t>
  </si>
  <si>
    <t>793749708</t>
  </si>
  <si>
    <t>2017-03-23</t>
  </si>
  <si>
    <t>3102730203P</t>
  </si>
  <si>
    <t>793749706</t>
  </si>
  <si>
    <t>P35 O73 2011</t>
  </si>
  <si>
    <t>0                      P  0035000O  73          2011</t>
  </si>
  <si>
    <t>Orality and literacy : reflections across disciplines / edited by Keith Thor Carlson, Kristina Fagan, and Natalia Khanenko-Friesen.</t>
  </si>
  <si>
    <t>Toronto ; Buffalo : University of Toronto Press, ©2011.</t>
  </si>
  <si>
    <t>945751064:eng</t>
  </si>
  <si>
    <t>729307500</t>
  </si>
  <si>
    <t>ocn729307500</t>
  </si>
  <si>
    <t>3103325040P</t>
  </si>
  <si>
    <t>9780802098269</t>
  </si>
  <si>
    <t>794879171</t>
  </si>
  <si>
    <t>P35 O88 1994</t>
  </si>
  <si>
    <t>0                      P  0035000O  88          1994</t>
  </si>
  <si>
    <t>An other tongue : nation and ethnicity in the linguistic borderlands / edited by Alfred Arteaga.</t>
  </si>
  <si>
    <t>Durham : Duke University Press, 1994.</t>
  </si>
  <si>
    <t>1994</t>
  </si>
  <si>
    <t>2016-04-04</t>
  </si>
  <si>
    <t>836731209:eng</t>
  </si>
  <si>
    <t>29600712</t>
  </si>
  <si>
    <t>ocm29600712</t>
  </si>
  <si>
    <t>3102730198A</t>
  </si>
  <si>
    <t>9780822314585</t>
  </si>
  <si>
    <t>793315898</t>
  </si>
  <si>
    <t>P35 O94 2009</t>
  </si>
  <si>
    <t>0                      P  0035000O  94          2009</t>
  </si>
  <si>
    <t>The anthropology of language : an introduction to linguistic anthropology / Harriet Joseph Ottenheimer.</t>
  </si>
  <si>
    <t>Ottenheimer, Harriet, 1941-</t>
  </si>
  <si>
    <t>Belmont, CA : Wadsworth, ©2009.</t>
  </si>
  <si>
    <t>2017-05-26</t>
  </si>
  <si>
    <t>31889:eng</t>
  </si>
  <si>
    <t>216940204</t>
  </si>
  <si>
    <t>ocn216940204</t>
  </si>
  <si>
    <t>3103062404V</t>
  </si>
  <si>
    <t>9780495508847</t>
  </si>
  <si>
    <t>794316103</t>
  </si>
  <si>
    <t>P35 P57 2004</t>
  </si>
  <si>
    <t>0                      P  0035000P  57          2004</t>
  </si>
  <si>
    <t>Speaking in queer tongues : globalization and gay language / edited by William L. Leap and Tom Boellstorff.</t>
  </si>
  <si>
    <t>Urbana : University of Illinois Press, ©2004.</t>
  </si>
  <si>
    <t>2019-10-24</t>
  </si>
  <si>
    <t>837455360:eng</t>
  </si>
  <si>
    <t>51726909</t>
  </si>
  <si>
    <t>ocm51726909</t>
  </si>
  <si>
    <t>3102577509H</t>
  </si>
  <si>
    <t>9780252028717</t>
  </si>
  <si>
    <t>793789735</t>
  </si>
  <si>
    <t>P35 R45 1993</t>
  </si>
  <si>
    <t>0                      P  0035000R  45          1993</t>
  </si>
  <si>
    <t>Responsibility and evidence in oral discourse / edited by Jane H. Hill and Judith T. Irvine.</t>
  </si>
  <si>
    <t>Cambridge [England] ; New York : Cambridge University Press, 1993.</t>
  </si>
  <si>
    <t>Studies in the social and cultural foundations of language ; no. 15</t>
  </si>
  <si>
    <t>2018-05-07</t>
  </si>
  <si>
    <t>365126231:eng</t>
  </si>
  <si>
    <t>24912152</t>
  </si>
  <si>
    <t>ocm24912152</t>
  </si>
  <si>
    <t>3102730219N</t>
  </si>
  <si>
    <t>9780521415156</t>
  </si>
  <si>
    <t>793208160</t>
  </si>
  <si>
    <t>P35 R46 1992</t>
  </si>
  <si>
    <t>0                      P  0035000R  46          1992</t>
  </si>
  <si>
    <t>Rethinking context : language as an interactive phenomenon / edited by Alessandro Duranti and Charles Goodwin.</t>
  </si>
  <si>
    <t>Cambridge [England] ; New York : Cambridge University Press, 1992.</t>
  </si>
  <si>
    <t>Studies in the social and cultural foundations of language ; no. 11</t>
  </si>
  <si>
    <t>807077375:eng</t>
  </si>
  <si>
    <t>22984311</t>
  </si>
  <si>
    <t>ocm22984311</t>
  </si>
  <si>
    <t>3102730214N</t>
  </si>
  <si>
    <t>9780521381697</t>
  </si>
  <si>
    <t>793158754</t>
  </si>
  <si>
    <t>P35 R465 1996</t>
  </si>
  <si>
    <t>0                      P  0035000R  465         1996</t>
  </si>
  <si>
    <t>Rethinking linguistic relativity / edited by John J. Gumperz and Stephen C. Levinson.</t>
  </si>
  <si>
    <t>Cambridge ; New York, NY, USA : Cambridge University Press, 1996.</t>
  </si>
  <si>
    <t>Studies in the social and cultural foundations of language ; no. 17</t>
  </si>
  <si>
    <t>2015-03-05</t>
  </si>
  <si>
    <t>349955016:eng</t>
  </si>
  <si>
    <t>33047146</t>
  </si>
  <si>
    <t>ocm33047146</t>
  </si>
  <si>
    <t>3102730209P</t>
  </si>
  <si>
    <t>9780521444330</t>
  </si>
  <si>
    <t>793400517</t>
  </si>
  <si>
    <t>3102730204P</t>
  </si>
  <si>
    <t>793400516</t>
  </si>
  <si>
    <t>P35 R57 2006</t>
  </si>
  <si>
    <t>0                      P  0035000R  57          2006</t>
  </si>
  <si>
    <t>Language and culture : global flows and local complexity / Karen Risager.</t>
  </si>
  <si>
    <t>Risager, Karen, 1947-</t>
  </si>
  <si>
    <t>Clevedon ; Buffalo : Multilingual Matters, ©2006.</t>
  </si>
  <si>
    <t>Languages for intercultural communication and education ; 11</t>
  </si>
  <si>
    <t>793975839:eng</t>
  </si>
  <si>
    <t>61169744</t>
  </si>
  <si>
    <t>ocm61169744</t>
  </si>
  <si>
    <t>3102555646O</t>
  </si>
  <si>
    <t>9781853598593</t>
  </si>
  <si>
    <t>793947815</t>
  </si>
  <si>
    <t>P35 R68 2015</t>
  </si>
  <si>
    <t>0                      P  0035000R  68          2015</t>
  </si>
  <si>
    <t>The Routledge Handbook of language and culture / edited by Farzad Sharifian.</t>
  </si>
  <si>
    <t>London ; New York : Routledge, 2015.</t>
  </si>
  <si>
    <t>2014</t>
  </si>
  <si>
    <t>Routledge handbooks in linguistics</t>
  </si>
  <si>
    <t>2016-02-09</t>
  </si>
  <si>
    <t>1896644445:eng</t>
  </si>
  <si>
    <t>880672161</t>
  </si>
  <si>
    <t>ocn880672161</t>
  </si>
  <si>
    <t>3103580707R</t>
  </si>
  <si>
    <t>9780415527019</t>
  </si>
  <si>
    <t>794973321</t>
  </si>
  <si>
    <t>P35 S49 2011</t>
  </si>
  <si>
    <t>0                      P  0035000S  49          2011</t>
  </si>
  <si>
    <t>Cultural conceptualisations and language : theoretical framework and applications / Farzad Sharifian.</t>
  </si>
  <si>
    <t>Sharifian, Farzad.</t>
  </si>
  <si>
    <t>Cognitive linguistic studies in cultural contexts ; v. 1</t>
  </si>
  <si>
    <t>2012-02-12</t>
  </si>
  <si>
    <t>762674477:eng</t>
  </si>
  <si>
    <t>690090374</t>
  </si>
  <si>
    <t>ocn690090374</t>
  </si>
  <si>
    <t>31033443990</t>
  </si>
  <si>
    <t>9789027204042</t>
  </si>
  <si>
    <t>794855321</t>
  </si>
  <si>
    <t>P35 U495 2012</t>
  </si>
  <si>
    <t>0                      P  0035000U  495         2012</t>
  </si>
  <si>
    <t>Ethnolinguistics and cultural concepts : truth, love, hate and war / James W. Underhill.</t>
  </si>
  <si>
    <t>Underhill, James W. (James William)</t>
  </si>
  <si>
    <t>Cambridge ; New York : Cambridge University Press, 2012.</t>
  </si>
  <si>
    <t>1074798386:eng</t>
  </si>
  <si>
    <t>773371735</t>
  </si>
  <si>
    <t>ocn773371735</t>
  </si>
  <si>
    <t>3103422320Q</t>
  </si>
  <si>
    <t>9781107010642</t>
  </si>
  <si>
    <t>794905555</t>
  </si>
  <si>
    <t>P35 V527 2012</t>
  </si>
  <si>
    <t>0                      P  0035000V  527         2012</t>
  </si>
  <si>
    <t>Ideology in language use : pragmatic guidelines for empirical research / Jef Verschueren.</t>
  </si>
  <si>
    <t>Verschueren, Jef.</t>
  </si>
  <si>
    <t>1009111286:eng</t>
  </si>
  <si>
    <t>751752376</t>
  </si>
  <si>
    <t>ocn751752376</t>
  </si>
  <si>
    <t>3103409483U</t>
  </si>
  <si>
    <t>9781107006522</t>
  </si>
  <si>
    <t>794890901</t>
  </si>
  <si>
    <t>P35 W37 2006</t>
  </si>
  <si>
    <t>0                      P  0035000W  37          2006</t>
  </si>
  <si>
    <t>Understanding cultural narratives : exploring identity and the multicultural experience / Linda Watkins-Goffman.</t>
  </si>
  <si>
    <t>Watkins-Goffman, Linda.</t>
  </si>
  <si>
    <t>Ann Arbor : University of Michigan Press, ©2006.</t>
  </si>
  <si>
    <t>Michigan teacher training</t>
  </si>
  <si>
    <t>2016-02-03</t>
  </si>
  <si>
    <t>443462840:eng</t>
  </si>
  <si>
    <t>71300319</t>
  </si>
  <si>
    <t>ocm71300319</t>
  </si>
  <si>
    <t>3102592160R</t>
  </si>
  <si>
    <t>9780472030347</t>
  </si>
  <si>
    <t>794165155</t>
  </si>
  <si>
    <t>P35 W65 2016</t>
  </si>
  <si>
    <t>0                      P  0035000W  65          2016</t>
  </si>
  <si>
    <t>The kingdom of speech / Tom Wolfe.</t>
  </si>
  <si>
    <t>Wolfe, Tom, author.</t>
  </si>
  <si>
    <t>New York : Little, Brown and Company, August 2016.</t>
  </si>
  <si>
    <t>First edition.</t>
  </si>
  <si>
    <t>2018-11-30</t>
  </si>
  <si>
    <t>2835818704:eng</t>
  </si>
  <si>
    <t>932174083</t>
  </si>
  <si>
    <t>ocn932174083</t>
  </si>
  <si>
    <t>3103657076B</t>
  </si>
  <si>
    <t>9780316404624</t>
  </si>
  <si>
    <t>795008464</t>
  </si>
  <si>
    <t>P35.5 A65 S78 2011</t>
  </si>
  <si>
    <t>0                      P  0035500A  65                 S  78          2011</t>
  </si>
  <si>
    <t>Arabic, self and identity : a study in conflict and displacement / Yasir Suleiman.</t>
  </si>
  <si>
    <t>Suleiman, Yasir.</t>
  </si>
  <si>
    <t>New York : Oxford University Press, ©2011.</t>
  </si>
  <si>
    <t>476551485:eng</t>
  </si>
  <si>
    <t>607574248</t>
  </si>
  <si>
    <t>ocn607574248</t>
  </si>
  <si>
    <t>3103362649$</t>
  </si>
  <si>
    <t>9780199747016</t>
  </si>
  <si>
    <t>794818269</t>
  </si>
  <si>
    <t>P35.5 A65 S85 2013</t>
  </si>
  <si>
    <t>0                      P  0035500A  65                 S  85          2013</t>
  </si>
  <si>
    <t>Arabic in the fray : language ideology and cultural politics / Yasir Suleiman.</t>
  </si>
  <si>
    <t>Edinburgh : Edinburgh University Press, ©2013.</t>
  </si>
  <si>
    <t>2014-05-13</t>
  </si>
  <si>
    <t>1415570567:eng</t>
  </si>
  <si>
    <t>824733698</t>
  </si>
  <si>
    <t>ocn824733698</t>
  </si>
  <si>
    <t>3103501531Q</t>
  </si>
  <si>
    <t>9780748680313</t>
  </si>
  <si>
    <t>794938261</t>
  </si>
  <si>
    <t>P35.5 A78 G56 2010</t>
  </si>
  <si>
    <t>0                      P  0035500A  78                 G  56          2010</t>
  </si>
  <si>
    <t>Globalization of language and culture in Asia : the impact of globalization processes on language / edited by Viniti Vaish.</t>
  </si>
  <si>
    <t>London ; New York : Continuum, ©2010.</t>
  </si>
  <si>
    <t>Advances in sociolinguistics</t>
  </si>
  <si>
    <t>2019-07-12</t>
  </si>
  <si>
    <t>943715603:eng</t>
  </si>
  <si>
    <t>465368385</t>
  </si>
  <si>
    <t>ocn465368385</t>
  </si>
  <si>
    <t>3103133911J</t>
  </si>
  <si>
    <t>9781847061836</t>
  </si>
  <si>
    <t>794793889</t>
  </si>
  <si>
    <t>P35.5 A8 T73 2007</t>
  </si>
  <si>
    <t>0                      P  0035500A  8                  T  73          2007</t>
  </si>
  <si>
    <t>Translating lives : living with two languages and cultures / [edited by] Mary Besemeres &amp; Anna Wierzbicka.</t>
  </si>
  <si>
    <t>St Lucia, Qld. : University of Queensland Press, 2007.</t>
  </si>
  <si>
    <t>803290517:eng</t>
  </si>
  <si>
    <t>154667832</t>
  </si>
  <si>
    <t>ocn154667832</t>
  </si>
  <si>
    <t>3102651118I</t>
  </si>
  <si>
    <t>9780702236037</t>
  </si>
  <si>
    <t>794251970</t>
  </si>
  <si>
    <t>P35.5 C2 H48 2016</t>
  </si>
  <si>
    <t>0                      P  0035500C  2                  H  48          2016</t>
  </si>
  <si>
    <t>Sustaining the nation : the making and moving of language and nation / Monica Heller, Lindsay A. Bell, Michelle Daveluy, Mireille McLaughlin and Hubert Noël.</t>
  </si>
  <si>
    <t>Heller, Monica, author.</t>
  </si>
  <si>
    <t>Oxford ; New York : Oxford University Press, [2016]</t>
  </si>
  <si>
    <t>Oxford studies in sociolinguistics</t>
  </si>
  <si>
    <t>2019-03-16</t>
  </si>
  <si>
    <t>2548039323:eng</t>
  </si>
  <si>
    <t>911004578</t>
  </si>
  <si>
    <t>ocn911004578</t>
  </si>
  <si>
    <t>31036455694</t>
  </si>
  <si>
    <t>9780199947218</t>
  </si>
  <si>
    <t>794996946</t>
  </si>
  <si>
    <t>P35.5 C6 B63 2010</t>
  </si>
  <si>
    <t>0                      P  0035500C  6                  B  63          2010</t>
  </si>
  <si>
    <t>Mindmapping China : language, discourse, and advertising in China / Jeanne Boden.</t>
  </si>
  <si>
    <t>Boden, Jeanne.</t>
  </si>
  <si>
    <t>Brussels : ASP, ©2010.</t>
  </si>
  <si>
    <t>2016-05-06</t>
  </si>
  <si>
    <t>803414907:eng</t>
  </si>
  <si>
    <t>617445720</t>
  </si>
  <si>
    <t>ocn617445720</t>
  </si>
  <si>
    <t>31033121246</t>
  </si>
  <si>
    <t>9789054876908</t>
  </si>
  <si>
    <t>794822881</t>
  </si>
  <si>
    <t>P35.5 C6 H63 1998</t>
  </si>
  <si>
    <t>0                      P  0035500C  6                  H  63          1998</t>
  </si>
  <si>
    <t>The politics of Chinese language and culture : the art of reading dragons / Bob Hodge and Kam Louie.</t>
  </si>
  <si>
    <t>Hodge, Bob (Robert Ian Vere)</t>
  </si>
  <si>
    <t>London ; New York : Routledge, 1998.</t>
  </si>
  <si>
    <t>Culture and communication in Asia</t>
  </si>
  <si>
    <t>799877679:eng</t>
  </si>
  <si>
    <t>40330209</t>
  </si>
  <si>
    <t>ocm40330209</t>
  </si>
  <si>
    <t>3102730226L</t>
  </si>
  <si>
    <t>9780415172653</t>
  </si>
  <si>
    <t>793564297</t>
  </si>
  <si>
    <t>P35.5 C75 B56 2008</t>
  </si>
  <si>
    <t>0                      P  0035500C  75                 B  56          2008</t>
  </si>
  <si>
    <t>Grassroots literacy : writing, identity and voice in central Africa / Jan Blommaert.</t>
  </si>
  <si>
    <t>Blommaert, Jan.</t>
  </si>
  <si>
    <t>London ; New York : Routledge, 2008.</t>
  </si>
  <si>
    <t>Literacies ; 7</t>
  </si>
  <si>
    <t>2017-08-28</t>
  </si>
  <si>
    <t>802946441:eng</t>
  </si>
  <si>
    <t>182779325</t>
  </si>
  <si>
    <t>ocn182779325</t>
  </si>
  <si>
    <t>3102978176O</t>
  </si>
  <si>
    <t>9780415426312</t>
  </si>
  <si>
    <t>794285536</t>
  </si>
  <si>
    <t>P35.5 E54 I83 2005</t>
  </si>
  <si>
    <t>0                      P  0035500E  54                 I  83          2005</t>
  </si>
  <si>
    <t>The Italian encounter with Tudor England : a cultural politics of translation / Michael Wyatt.</t>
  </si>
  <si>
    <t>Wyatt, Michael, 1956-</t>
  </si>
  <si>
    <t>Cambridge, UK ; New York : Cambridge University Press, 2005.</t>
  </si>
  <si>
    <t>2005</t>
  </si>
  <si>
    <t>Cambridge studies in Renaissance literature and culture</t>
  </si>
  <si>
    <t>2019-04-25</t>
  </si>
  <si>
    <t>797219178:eng</t>
  </si>
  <si>
    <t>60667978</t>
  </si>
  <si>
    <t>ocm60667978</t>
  </si>
  <si>
    <t>3102488329G</t>
  </si>
  <si>
    <t>9780521848961</t>
  </si>
  <si>
    <t>793941741</t>
  </si>
  <si>
    <t>P35.5 E85 K83 2008</t>
  </si>
  <si>
    <t>0                      P  0035500E  85                 K  83          2008</t>
  </si>
  <si>
    <t>A union of diversity : language, identity and polity-building in Europe / Peter A. Kraus.</t>
  </si>
  <si>
    <t>Kraus, Peter A.</t>
  </si>
  <si>
    <t>New York : Cambridge University Press, 2008.</t>
  </si>
  <si>
    <t>Themes in European governance</t>
  </si>
  <si>
    <t>2016-11-09</t>
  </si>
  <si>
    <t>792950321:eng</t>
  </si>
  <si>
    <t>173182515</t>
  </si>
  <si>
    <t>ocn173182515</t>
  </si>
  <si>
    <t>3102881219P</t>
  </si>
  <si>
    <t>9780521859394</t>
  </si>
  <si>
    <t>794265353</t>
  </si>
  <si>
    <t>P35.5 E85 R45 1997</t>
  </si>
  <si>
    <t>0                      P  0035500E  85                 R  45          1997</t>
  </si>
  <si>
    <t>Knowledge, discovery, and imagination in early modern Europe : the rise of aesthetic rationalism / Timothy J. Reiss.</t>
  </si>
  <si>
    <t>Reiss, Timothy J., 1942-</t>
  </si>
  <si>
    <t>Cambridge ; New York : Cambridge University Press, 1997.</t>
  </si>
  <si>
    <t>Cambridge studies in Renaissance literature and culture ; 15</t>
  </si>
  <si>
    <t>836979529:eng</t>
  </si>
  <si>
    <t>34912694</t>
  </si>
  <si>
    <t>ocm34912694</t>
  </si>
  <si>
    <t>3102730216N</t>
  </si>
  <si>
    <t>9780521582216</t>
  </si>
  <si>
    <t>793438654</t>
  </si>
  <si>
    <t>P35.5 F8 M57 2009</t>
  </si>
  <si>
    <t>0                      P  0035500F  8                  M  57          2009</t>
  </si>
  <si>
    <t>Miroir du français : éléments pour une histoire culturelle de la langue française / Francis Gingras [compiler].</t>
  </si>
  <si>
    <t>Montréal (Québec) : Département des littératures de langue française, Université de Montréal, ©2007.</t>
  </si>
  <si>
    <t>Paragraphes, 0843-5235 ; v. 26</t>
  </si>
  <si>
    <t>2015-01-08</t>
  </si>
  <si>
    <t>279197989:fre</t>
  </si>
  <si>
    <t>212636939</t>
  </si>
  <si>
    <t>ocn212636939</t>
  </si>
  <si>
    <t>31032517833</t>
  </si>
  <si>
    <t>9782921447195</t>
  </si>
  <si>
    <t>794306099</t>
  </si>
  <si>
    <t>P35.5 G9 K63 2010</t>
  </si>
  <si>
    <t>0                      P  0035500G  9                  K  63          2010</t>
  </si>
  <si>
    <t>Language, culture, and mind : natural constructions and social kinds / Paul Kockelman.</t>
  </si>
  <si>
    <t>Kockelman, Paul.</t>
  </si>
  <si>
    <t>Cambridge, UK ; New York : Cambridge University Press, 2010.</t>
  </si>
  <si>
    <t>Language, culture &amp; cognition ; 10</t>
  </si>
  <si>
    <t>2013-10-04</t>
  </si>
  <si>
    <t>793229434:eng</t>
  </si>
  <si>
    <t>437299193</t>
  </si>
  <si>
    <t>ocn437299193</t>
  </si>
  <si>
    <t>3103132658O</t>
  </si>
  <si>
    <t>9780521516396</t>
  </si>
  <si>
    <t>794785646</t>
  </si>
  <si>
    <t>P35.5 M44 L34 2017</t>
  </si>
  <si>
    <t>0                      P  0035500M  44                 L  34          2017</t>
  </si>
  <si>
    <t>Language and identity in multilingual Mediterranean settings : challenges for historical sociolinguistics / edited by Piera Molinelli.</t>
  </si>
  <si>
    <t>Berlin ; Boston : De Gruyter Mouton, [2017]</t>
  </si>
  <si>
    <t>2017</t>
  </si>
  <si>
    <t>Trends in linguistics. Studies and monographs, 1861-4302 ; volume 310</t>
  </si>
  <si>
    <t>4418415736:eng</t>
  </si>
  <si>
    <t>994368533</t>
  </si>
  <si>
    <t>ocn994368533</t>
  </si>
  <si>
    <t>3103739760U</t>
  </si>
  <si>
    <t>9783110552454</t>
  </si>
  <si>
    <t>795039038</t>
  </si>
  <si>
    <t>P35.5 M6 H36 1999</t>
  </si>
  <si>
    <t>0                      P  0035500M  6                  H  36          1999</t>
  </si>
  <si>
    <t>Intertexts : writings on language, utterance, and context / William F. Hanks.</t>
  </si>
  <si>
    <t>Hanks, William F.</t>
  </si>
  <si>
    <t>Lanham, Md. : Rowman &amp; Littlefield, ©2000.</t>
  </si>
  <si>
    <t>20865520:eng</t>
  </si>
  <si>
    <t>41580402</t>
  </si>
  <si>
    <t>ocm41580402</t>
  </si>
  <si>
    <t>3102730267D</t>
  </si>
  <si>
    <t>9780847687404</t>
  </si>
  <si>
    <t>793594531</t>
  </si>
  <si>
    <t>P35.5 N7 N38 2015</t>
  </si>
  <si>
    <t>0                      P  0035500N  7                  N  38          2015</t>
  </si>
  <si>
    <t>Native studies keywords / edited by Stephanie Nohelani Teves, Andrea Smith, and Michelle H. Raheja.</t>
  </si>
  <si>
    <t>Tucson : The University of Arizona Press, [2015]</t>
  </si>
  <si>
    <t>Critical issues in indigenous studies</t>
  </si>
  <si>
    <t>2501399136:eng</t>
  </si>
  <si>
    <t>894747960</t>
  </si>
  <si>
    <t>ocn894747960</t>
  </si>
  <si>
    <t>3103697589W</t>
  </si>
  <si>
    <t>9780816531509</t>
  </si>
  <si>
    <t>794982984</t>
  </si>
  <si>
    <t>P35.5 U6 H43 2012</t>
  </si>
  <si>
    <t>0                      P  0035500U  6                  H  43          2012</t>
  </si>
  <si>
    <t>Words at work and play : three decades in family and community life / Shirley Brice Heath.</t>
  </si>
  <si>
    <t>Heath, Shirley Brice.</t>
  </si>
  <si>
    <t>2012-09-27</t>
  </si>
  <si>
    <t>933022995:eng</t>
  </si>
  <si>
    <t>741103320</t>
  </si>
  <si>
    <t>ocn741103320</t>
  </si>
  <si>
    <t>3103409476W</t>
  </si>
  <si>
    <t>9780521603034</t>
  </si>
  <si>
    <t>794883548</t>
  </si>
  <si>
    <t>P35.5 U6 L36 2010</t>
  </si>
  <si>
    <t>0                      P  0035500U  6                  L  36          2010</t>
  </si>
  <si>
    <t>Language diversity in the USA / edited by Kim Potowski.</t>
  </si>
  <si>
    <t>New York : Cambridge University Press, 2010.</t>
  </si>
  <si>
    <t>2017-11-10</t>
  </si>
  <si>
    <t>888483785:eng</t>
  </si>
  <si>
    <t>567162706</t>
  </si>
  <si>
    <t>ocn567162706</t>
  </si>
  <si>
    <t>3103231161Z</t>
  </si>
  <si>
    <t>9780521768528</t>
  </si>
  <si>
    <t>794813233</t>
  </si>
  <si>
    <t>P35.5 U6 L38 2005</t>
  </si>
  <si>
    <t>0                      P  0035500U  6                  L  38          2005</t>
  </si>
  <si>
    <t>Latino language and literacy in ethnolinguistic Chicago / edited by Marcia Farr.</t>
  </si>
  <si>
    <t>Mahwah, N.J. : Lawrence Erlbaum Associates, 2005.</t>
  </si>
  <si>
    <t>2016-08-30</t>
  </si>
  <si>
    <t>766842313:eng</t>
  </si>
  <si>
    <t>55078143</t>
  </si>
  <si>
    <t>ocm55078143</t>
  </si>
  <si>
    <t>31025818919</t>
  </si>
  <si>
    <t>9780805843477</t>
  </si>
  <si>
    <t>793873942</t>
  </si>
  <si>
    <t>2016-03-29</t>
  </si>
  <si>
    <t>2014-12-08</t>
  </si>
  <si>
    <t>P37 A84 2000</t>
  </si>
  <si>
    <t>0                      P  0037000A  84          2000</t>
  </si>
  <si>
    <t>Aspects of language production / edited by Linda Wheeldon.</t>
  </si>
  <si>
    <t>Hove, East Sussex [U.K.] ; Philadelphia, PA : Psychology Press, 2000.</t>
  </si>
  <si>
    <t>Studies in cognition series, 1369-0183</t>
  </si>
  <si>
    <t>2015-06-25</t>
  </si>
  <si>
    <t>56577055:eng</t>
  </si>
  <si>
    <t>44650854</t>
  </si>
  <si>
    <t>ocm44650854</t>
  </si>
  <si>
    <t>3102730269D</t>
  </si>
  <si>
    <t>9780863778827</t>
  </si>
  <si>
    <t>793655069</t>
  </si>
  <si>
    <t>P37 A88 2007</t>
  </si>
  <si>
    <t>0                      P  0037000A  88          2007</t>
  </si>
  <si>
    <t>Automaticity and control in language processing / edited by Antje S. Meyer, Linda R. Wheeldon and Andrea Krott.</t>
  </si>
  <si>
    <t>Hove [England] ; New York : Psychology Press, 2007.</t>
  </si>
  <si>
    <t>Advances in behavioural brain science</t>
  </si>
  <si>
    <t>1059971710:eng</t>
  </si>
  <si>
    <t>67945090</t>
  </si>
  <si>
    <t>ocm67945090</t>
  </si>
  <si>
    <t>3102568220N</t>
  </si>
  <si>
    <t>9781841696508</t>
  </si>
  <si>
    <t>794142010</t>
  </si>
  <si>
    <t>P37 B337 2002</t>
  </si>
  <si>
    <t>0                      P  0037000B  337         2002</t>
  </si>
  <si>
    <t>Basic functions of language, reading and reading disability / edited by Evelin Witruk, Angela D. Friederici, Thomas Lachmann.</t>
  </si>
  <si>
    <t>Boston : Kluwer Academic Publishers, 2002.</t>
  </si>
  <si>
    <t>Neuropsychology and cognition</t>
  </si>
  <si>
    <t>2017-12-07</t>
  </si>
  <si>
    <t>351549813:eng</t>
  </si>
  <si>
    <t>49326855</t>
  </si>
  <si>
    <t>ocm49326855</t>
  </si>
  <si>
    <t>3102224547R</t>
  </si>
  <si>
    <t>9781402070273</t>
  </si>
  <si>
    <t>793737650</t>
  </si>
  <si>
    <t>P37 B64 2010</t>
  </si>
  <si>
    <t>0                      P  0037000B  64          2010</t>
  </si>
  <si>
    <t>Language in cognition : uncovering mental structures and the rules behind them / Cedric Boeckx.</t>
  </si>
  <si>
    <t>Boeckx, Cedric.</t>
  </si>
  <si>
    <t>Chichester, U.K. ; Malden, MA : Wiley-Blackwell, 2010.</t>
  </si>
  <si>
    <t>2013-02-16</t>
  </si>
  <si>
    <t>797269031:eng</t>
  </si>
  <si>
    <t>319499393</t>
  </si>
  <si>
    <t>ocn319499393</t>
  </si>
  <si>
    <t>3103135723F</t>
  </si>
  <si>
    <t>9781405158817</t>
  </si>
  <si>
    <t>794484024</t>
  </si>
  <si>
    <t>P37 C546 1993</t>
  </si>
  <si>
    <t>0                      P  0037000C  546         1993</t>
  </si>
  <si>
    <t>Language and thought / by Noam Chomsky.</t>
  </si>
  <si>
    <t>Chomsky, Noam, author.</t>
  </si>
  <si>
    <t>Wakefield, R.I. : Moyer Bell, ©1993.</t>
  </si>
  <si>
    <t>Anshen transdisciplinary lectureships in art, science, and the philosophy of culture ; monograph 3</t>
  </si>
  <si>
    <t>2018-09-06</t>
  </si>
  <si>
    <t>5611544378:eng</t>
  </si>
  <si>
    <t>28848068</t>
  </si>
  <si>
    <t>ocm28848068</t>
  </si>
  <si>
    <t>31027302809</t>
  </si>
  <si>
    <t>9781559210768</t>
  </si>
  <si>
    <t>793297647</t>
  </si>
  <si>
    <t>P37 C6155 1995</t>
  </si>
  <si>
    <t>0                      P  0037000C  6155        1995</t>
  </si>
  <si>
    <t>Connectionist models of memory and language / edited by Joseph P. Levy [and others].</t>
  </si>
  <si>
    <t>London ; Bristol, Pa. : UCL Press, 1995.</t>
  </si>
  <si>
    <t>2018-03-31</t>
  </si>
  <si>
    <t>40214820:eng</t>
  </si>
  <si>
    <t>34345547</t>
  </si>
  <si>
    <t>ocm34345547</t>
  </si>
  <si>
    <t>3102730255F</t>
  </si>
  <si>
    <t>9781857283686</t>
  </si>
  <si>
    <t>793424703</t>
  </si>
  <si>
    <t>P37 C64 2001</t>
  </si>
  <si>
    <t>0                      P  0037000C  64          2001</t>
  </si>
  <si>
    <t>Cognition and second language instruction / edited by Peter Robinson.</t>
  </si>
  <si>
    <t>Cambridge ; New York, N.Y. : Cambridge University Press, 2001.</t>
  </si>
  <si>
    <t>Cambridge applied linguistics series</t>
  </si>
  <si>
    <t>2017-11-30</t>
  </si>
  <si>
    <t>144988331:eng</t>
  </si>
  <si>
    <t>48108884</t>
  </si>
  <si>
    <t>ocm48108884</t>
  </si>
  <si>
    <t>3102250854H</t>
  </si>
  <si>
    <t>9780521802888</t>
  </si>
  <si>
    <t>793716157</t>
  </si>
  <si>
    <t>P37 C69 2010</t>
  </si>
  <si>
    <t>0                      P  0037000C  69          2010</t>
  </si>
  <si>
    <t>Psycholinguistics 101 / H. Wind Cowles.</t>
  </si>
  <si>
    <t>Cowles, H. Wind.</t>
  </si>
  <si>
    <t>New York : Springer Pub. Co., ©2010.</t>
  </si>
  <si>
    <t>The psych 101 series</t>
  </si>
  <si>
    <t>2012-03-22</t>
  </si>
  <si>
    <t>3901491140:eng</t>
  </si>
  <si>
    <t>286485774</t>
  </si>
  <si>
    <t>ocn286485774</t>
  </si>
  <si>
    <t>31032365731</t>
  </si>
  <si>
    <t>9780826115614</t>
  </si>
  <si>
    <t>794421130</t>
  </si>
  <si>
    <t>P37 D33 2004b</t>
  </si>
  <si>
    <t>0                      P  0037000D  33          2004b</t>
  </si>
  <si>
    <t>Language, mind and brain : some psychological and neurological contraints on theories of grammar / Ewa Dąbrowska.</t>
  </si>
  <si>
    <t>Dąbrowska, Ewa, 1963-</t>
  </si>
  <si>
    <t>Edinburgh : Edinburgh University Press, ©2004.</t>
  </si>
  <si>
    <t>2015-01-13</t>
  </si>
  <si>
    <t>17462768:eng</t>
  </si>
  <si>
    <t>56965720</t>
  </si>
  <si>
    <t>ocm56965720</t>
  </si>
  <si>
    <t>3102503400Y</t>
  </si>
  <si>
    <t>9780748614745</t>
  </si>
  <si>
    <t>793904960</t>
  </si>
  <si>
    <t>P37 D41534 2010</t>
  </si>
  <si>
    <t>0                      P  0037000D  41534       2010</t>
  </si>
  <si>
    <t>De la grammaire à l'inconscient : dans les traces de Damourette et Pichon : actes du colloque de Cerisy-la-Salle du 1er au 11 août 2009 / textes réunis par Michel Arrivé, Valelia Muni Toke et Claudine Normand.</t>
  </si>
  <si>
    <t>Limoges : Lambert-Lucas, 2010.</t>
  </si>
  <si>
    <t>Colloque de Cerisy</t>
  </si>
  <si>
    <t>918590536:fre</t>
  </si>
  <si>
    <t>697594102</t>
  </si>
  <si>
    <t>ocn697594102</t>
  </si>
  <si>
    <t>3103338834N</t>
  </si>
  <si>
    <t>9782359350227</t>
  </si>
  <si>
    <t>794860049</t>
  </si>
  <si>
    <t>P37 D43 1984</t>
  </si>
  <si>
    <t>0                      P  0037000D  43          1984</t>
  </si>
  <si>
    <t>Thought into speech : the psychology of a language / James Deese.</t>
  </si>
  <si>
    <t>Deese, James, 1921-1999.</t>
  </si>
  <si>
    <t>Englewood Cliffs, NJ : Prentice-Hall, ©1984.</t>
  </si>
  <si>
    <t>1984</t>
  </si>
  <si>
    <t>The Century psychology series</t>
  </si>
  <si>
    <t>2018-05-31</t>
  </si>
  <si>
    <t>365797890:eng</t>
  </si>
  <si>
    <t>9256263</t>
  </si>
  <si>
    <t>ocm09256263</t>
  </si>
  <si>
    <t>3102730271B</t>
  </si>
  <si>
    <t>9780139199448</t>
  </si>
  <si>
    <t>792666525</t>
  </si>
  <si>
    <t>P37 D52 1983</t>
  </si>
  <si>
    <t>0                      P  0037000D  52          1983</t>
  </si>
  <si>
    <t>Dialogues on the psychology of language and thought : conversations with Noam Chomsky, Charles Osgood, Jean Piaget, Ulric Neisser, and Marcel Kinsbourne / edited by Robert W. Rieber, in collaboration with Gilbert Voyat.</t>
  </si>
  <si>
    <t>New York : Plenum Press, ©1983.</t>
  </si>
  <si>
    <t>Cognition and language</t>
  </si>
  <si>
    <t>2016-05-25</t>
  </si>
  <si>
    <t>3856974570:eng</t>
  </si>
  <si>
    <t>8954424</t>
  </si>
  <si>
    <t>ocm08954424</t>
  </si>
  <si>
    <t>3101012990E</t>
  </si>
  <si>
    <t>9780306411854</t>
  </si>
  <si>
    <t>792650116</t>
  </si>
  <si>
    <t>2006-09-21</t>
  </si>
  <si>
    <t>3102730261D</t>
  </si>
  <si>
    <t>792650117</t>
  </si>
  <si>
    <t>P37 D67 2011</t>
  </si>
  <si>
    <t>0                      P  0037000D  67          2011</t>
  </si>
  <si>
    <t>Language and religion : a journey into the human mind / William Downes.</t>
  </si>
  <si>
    <t>Downes, William.</t>
  </si>
  <si>
    <t>2013-04-08</t>
  </si>
  <si>
    <t>793027638:eng</t>
  </si>
  <si>
    <t>647976985</t>
  </si>
  <si>
    <t>ocn647976985</t>
  </si>
  <si>
    <t>3103234410O</t>
  </si>
  <si>
    <t>9780521792233</t>
  </si>
  <si>
    <t>794830999</t>
  </si>
  <si>
    <t>P37 E94 2013</t>
  </si>
  <si>
    <t>0                      P  0037000E  94          2013</t>
  </si>
  <si>
    <t>Linguistic relativity : evidence across languages and cognitive domains / Caleb Everett.</t>
  </si>
  <si>
    <t>Everett, Caleb.</t>
  </si>
  <si>
    <t>Berlin ; Boston : De Gruyter Mouton, [2013]</t>
  </si>
  <si>
    <t>Applications of cognitive linguistics, 1861-4078 ; volume 25</t>
  </si>
  <si>
    <t>1375032713:eng</t>
  </si>
  <si>
    <t>847833667</t>
  </si>
  <si>
    <t>ocn847833667</t>
  </si>
  <si>
    <t>3103505010T</t>
  </si>
  <si>
    <t>9783110307801</t>
  </si>
  <si>
    <t>794949751</t>
  </si>
  <si>
    <t>P37 F47 2011</t>
  </si>
  <si>
    <t>0                      P  0037000F  47          2011</t>
  </si>
  <si>
    <t>Fundamentals of psycholinguistics / Eva M. Fernández and Helen Smith Cairns.</t>
  </si>
  <si>
    <t>Fernández, Eva M., author.</t>
  </si>
  <si>
    <t>Chichester, West Sussex [England] ; Malden, MA : Wiley-Blackwell, 2011.</t>
  </si>
  <si>
    <t>Fundamentals of linguistics</t>
  </si>
  <si>
    <t>2020-01-06</t>
  </si>
  <si>
    <t>375471938:eng</t>
  </si>
  <si>
    <t>502304823</t>
  </si>
  <si>
    <t>ocn502304823</t>
  </si>
  <si>
    <t>3103227341E</t>
  </si>
  <si>
    <t>9781405191524</t>
  </si>
  <si>
    <t>794805626</t>
  </si>
  <si>
    <t>P37 F7</t>
  </si>
  <si>
    <t>0                      P  0037000F  7</t>
  </si>
  <si>
    <t>Speech errors as linguistic evidence, edited by Victoria A. Fromkin.</t>
  </si>
  <si>
    <t>Fromkin, Victoria, compiler.</t>
  </si>
  <si>
    <t>The Hague, Mouton, 1973.</t>
  </si>
  <si>
    <t>Janua linguarum. Series maior ; 77</t>
  </si>
  <si>
    <t>2015-09-11</t>
  </si>
  <si>
    <t>1928409:eng</t>
  </si>
  <si>
    <t>1009093</t>
  </si>
  <si>
    <t>ocm01009093</t>
  </si>
  <si>
    <t>3100661375C</t>
  </si>
  <si>
    <t>9789027926685</t>
  </si>
  <si>
    <t>791523991</t>
  </si>
  <si>
    <t>3102730312K</t>
  </si>
  <si>
    <t>791523992</t>
  </si>
  <si>
    <t>P37 G5</t>
  </si>
  <si>
    <t>0                      P  0037000G  5</t>
  </si>
  <si>
    <t>Experimental psycholinguistics : an introduction / Sam Glucksberg, Joseph H. Danks.</t>
  </si>
  <si>
    <t>Glucksberg, Sam.</t>
  </si>
  <si>
    <t>Hillsdale, N.J. : L. Erlbaum Associates ; New York : Distributed by Halsted Press Division of Wiley, 1975.</t>
  </si>
  <si>
    <t>867391104:eng</t>
  </si>
  <si>
    <t>1195923</t>
  </si>
  <si>
    <t>ocm01195923</t>
  </si>
  <si>
    <t>3000981141E</t>
  </si>
  <si>
    <t>9780470308400</t>
  </si>
  <si>
    <t>791570096</t>
  </si>
  <si>
    <t>31027302977</t>
  </si>
  <si>
    <t>791570097</t>
  </si>
  <si>
    <t>2014-11-23</t>
  </si>
  <si>
    <t>31027302927</t>
  </si>
  <si>
    <t>791570095</t>
  </si>
  <si>
    <t>P37 H3 1982</t>
  </si>
  <si>
    <t>0                      P  0037000H  3           1982</t>
  </si>
  <si>
    <t>Handbook of applied psycholinguistics : major thrusts of research and theory / edited by Sheldon Rosenberg.</t>
  </si>
  <si>
    <t>Hillsdale, N.J. : L. Erlbaum Associates, ©1982.</t>
  </si>
  <si>
    <t>2017-07-11</t>
  </si>
  <si>
    <t>889404159:eng</t>
  </si>
  <si>
    <t>7672352</t>
  </si>
  <si>
    <t>ocm07672352</t>
  </si>
  <si>
    <t>31027302829</t>
  </si>
  <si>
    <t>9780898591736</t>
  </si>
  <si>
    <t>792573796</t>
  </si>
  <si>
    <t>3102730323I</t>
  </si>
  <si>
    <t>792573795</t>
  </si>
  <si>
    <t>P37 H335 1994</t>
  </si>
  <si>
    <t>0                      P  0037000H  335         1994</t>
  </si>
  <si>
    <t>Handbook of psycholinguistics / edited by Morton Ann Gernsbacher.</t>
  </si>
  <si>
    <t>San Diego : Academic Press, ©1994.</t>
  </si>
  <si>
    <t>1098901020:eng</t>
  </si>
  <si>
    <t>28722470</t>
  </si>
  <si>
    <t>ocm28722470</t>
  </si>
  <si>
    <t>3102730313K</t>
  </si>
  <si>
    <t>9780122808906</t>
  </si>
  <si>
    <t>793294810</t>
  </si>
  <si>
    <t>P37 I5</t>
  </si>
  <si>
    <t>0                      P  0037000I  5</t>
  </si>
  <si>
    <t>Innate ideas / edited by Stephen P. Stich.</t>
  </si>
  <si>
    <t>Berkeley : University of California Press, [1975]</t>
  </si>
  <si>
    <t>2007-01-24</t>
  </si>
  <si>
    <t>2017-11-05</t>
  </si>
  <si>
    <t>501163:eng</t>
  </si>
  <si>
    <t>1433015</t>
  </si>
  <si>
    <t>ocm01433015</t>
  </si>
  <si>
    <t>31027302889</t>
  </si>
  <si>
    <t>9780520028227</t>
  </si>
  <si>
    <t>791624746</t>
  </si>
  <si>
    <t>2009-11-27</t>
  </si>
  <si>
    <t>3102730324I</t>
  </si>
  <si>
    <t>791624748</t>
  </si>
  <si>
    <t>31027302839</t>
  </si>
  <si>
    <t>791624747</t>
  </si>
  <si>
    <t>P37 I68 2012</t>
  </si>
  <si>
    <t>0                      P  0037000I  68          2012</t>
  </si>
  <si>
    <t>Introduction to psycholinguistics : understanding language science / Matthew J. Traxler.</t>
  </si>
  <si>
    <t>Traxler, Matthew J.</t>
  </si>
  <si>
    <t>Chichester, West Sussex ; Malden MA : Wiley-Blackwell, 2012.</t>
  </si>
  <si>
    <t>866215758:eng</t>
  </si>
  <si>
    <t>707263897</t>
  </si>
  <si>
    <t>ocn707263897</t>
  </si>
  <si>
    <t>3103405173K</t>
  </si>
  <si>
    <t>9781405198622</t>
  </si>
  <si>
    <t>794867620</t>
  </si>
  <si>
    <t>P37 J33 1994</t>
  </si>
  <si>
    <t>0                      P  0037000J  33          1994</t>
  </si>
  <si>
    <t>Patterns in the mind : language and human nature / Ray Jackendoff.</t>
  </si>
  <si>
    <t>Jackendoff, Ray, 1945-</t>
  </si>
  <si>
    <t>New York, NY : BasicBooks, [1994]</t>
  </si>
  <si>
    <t>2016-02-26</t>
  </si>
  <si>
    <t>506056892:eng</t>
  </si>
  <si>
    <t>28962314</t>
  </si>
  <si>
    <t>ocm28962314</t>
  </si>
  <si>
    <t>31031032854</t>
  </si>
  <si>
    <t>9780465054619</t>
  </si>
  <si>
    <t>793300405</t>
  </si>
  <si>
    <t>P37 J39 2003</t>
  </si>
  <si>
    <t>0                      P  0037000J  39          2003</t>
  </si>
  <si>
    <t>The psychology of language / Timothy B. Jay.</t>
  </si>
  <si>
    <t>Jay, Timothy.</t>
  </si>
  <si>
    <t>Upper Saddle River, N.J. : Prentice Hall, ©2003.</t>
  </si>
  <si>
    <t>2017-01-08</t>
  </si>
  <si>
    <t>983723:eng</t>
  </si>
  <si>
    <t>50041585</t>
  </si>
  <si>
    <t>ocm50041585</t>
  </si>
  <si>
    <t>3102730314K</t>
  </si>
  <si>
    <t>9780130266095</t>
  </si>
  <si>
    <t>793754306</t>
  </si>
  <si>
    <t>2012-02-02</t>
  </si>
  <si>
    <t>3102730309M</t>
  </si>
  <si>
    <t>793754305</t>
  </si>
  <si>
    <t>P37 L32 1989</t>
  </si>
  <si>
    <t>0                      P  0037000L  32          1989</t>
  </si>
  <si>
    <t>Language and cognition / edited by Jacques Montangero, Anastasia Tryphon.</t>
  </si>
  <si>
    <t>Geneva : Fondation archives Jean Piaget, 1989.</t>
  </si>
  <si>
    <t>Cahiers de la Fondation archives Jean Piaget ; no. 10</t>
  </si>
  <si>
    <t>2016-10-13</t>
  </si>
  <si>
    <t>422878742:eng</t>
  </si>
  <si>
    <t>23148033</t>
  </si>
  <si>
    <t>ocm23148033</t>
  </si>
  <si>
    <t>31027302957</t>
  </si>
  <si>
    <t>9782882880543</t>
  </si>
  <si>
    <t>793162917</t>
  </si>
  <si>
    <t>P37 L34</t>
  </si>
  <si>
    <t>0                      P  0037000L  34</t>
  </si>
  <si>
    <t>Language and learning : the debate between Jean Piaget and Noam Chomsky / edited by Massimo Piattelli-Palmarini.</t>
  </si>
  <si>
    <t>Théories du langage, théories de l'apprentissage. English.</t>
  </si>
  <si>
    <t>Cambridge, Mass. : Harvard University Press, 1980.</t>
  </si>
  <si>
    <t>2015-04-16</t>
  </si>
  <si>
    <t>2016-09-19</t>
  </si>
  <si>
    <t>4783150701:eng</t>
  </si>
  <si>
    <t>6016193</t>
  </si>
  <si>
    <t>ocm06016193</t>
  </si>
  <si>
    <t>31027302907</t>
  </si>
  <si>
    <t>9780674509405</t>
  </si>
  <si>
    <t>792470168</t>
  </si>
  <si>
    <t>3103679643H</t>
  </si>
  <si>
    <t>792470170</t>
  </si>
  <si>
    <t>3000300704H</t>
  </si>
  <si>
    <t>792470167</t>
  </si>
  <si>
    <t>P37 L34 1980</t>
  </si>
  <si>
    <t>0                      P  0037000L  34          1980</t>
  </si>
  <si>
    <t>3103701377D</t>
  </si>
  <si>
    <t>792470169</t>
  </si>
  <si>
    <t>3103701336R</t>
  </si>
  <si>
    <t>792470166</t>
  </si>
  <si>
    <t>P37 L344 1987</t>
  </si>
  <si>
    <t>0                      P  0037000L  344         1987</t>
  </si>
  <si>
    <t>Women, fire, and dangerous things : what categories reveal about the mind / George Lakoff.</t>
  </si>
  <si>
    <t>Lakoff, George.</t>
  </si>
  <si>
    <t>Chicago : University of Chicago Press, ©1987.</t>
  </si>
  <si>
    <t>2019-02-25</t>
  </si>
  <si>
    <t>2019-12-19</t>
  </si>
  <si>
    <t>6807588:eng</t>
  </si>
  <si>
    <t>14001013</t>
  </si>
  <si>
    <t>ocm14001013</t>
  </si>
  <si>
    <t>3102711067P</t>
  </si>
  <si>
    <t>9780226468037</t>
  </si>
  <si>
    <t>792874337</t>
  </si>
  <si>
    <t>3102789738H</t>
  </si>
  <si>
    <t>792874336</t>
  </si>
  <si>
    <t>P37 L357 2003</t>
  </si>
  <si>
    <t>0                      P  0037000L  357         2003</t>
  </si>
  <si>
    <t>Language in mind : advances in the study of language and thought / edited by Dedre Gentner and Susan Goldin-Meadow.</t>
  </si>
  <si>
    <t>Cambridge, Mass. : MIT Press, ©2003.</t>
  </si>
  <si>
    <t>A Bradford book</t>
  </si>
  <si>
    <t>2018-11-15</t>
  </si>
  <si>
    <t>800625927:eng</t>
  </si>
  <si>
    <t>50292549</t>
  </si>
  <si>
    <t>ocm50292549</t>
  </si>
  <si>
    <t>3102730311K</t>
  </si>
  <si>
    <t>9780262072434</t>
  </si>
  <si>
    <t>793760168</t>
  </si>
  <si>
    <t>P37 L36</t>
  </si>
  <si>
    <t>0                      P  0037000L  36</t>
  </si>
  <si>
    <t>Language, mind, and brain / edited by Thomas W. Simon, Robert J. Scholes.</t>
  </si>
  <si>
    <t>Hillsdale, N.J. : L. Erlbaum Associates, 1982.</t>
  </si>
  <si>
    <t>2016-04-27</t>
  </si>
  <si>
    <t>1074553399:eng</t>
  </si>
  <si>
    <t>7734558</t>
  </si>
  <si>
    <t>ocm07734558</t>
  </si>
  <si>
    <t>3102730306M</t>
  </si>
  <si>
    <t>9780898591538</t>
  </si>
  <si>
    <t>792576508</t>
  </si>
  <si>
    <t>P37 L364 v.26 no.9</t>
  </si>
  <si>
    <t>0                      P  0037000L  364                                                     v.26 no.9</t>
  </si>
  <si>
    <t>The cognitive neuroscience of semantic processing : a special issue [of] Language and cognitive processes : cognitive neuroscience of language.</t>
  </si>
  <si>
    <t>v.26 no.9*</t>
  </si>
  <si>
    <t>[Hove, East Sussex] ; New York : Psychology Press, 2011.</t>
  </si>
  <si>
    <t>Language and cognitive processes, 0169-0965 ; v. 26, no. 9</t>
  </si>
  <si>
    <t>1157294149:eng</t>
  </si>
  <si>
    <t>794494214</t>
  </si>
  <si>
    <t>ocn794494214</t>
  </si>
  <si>
    <t>3103505240H</t>
  </si>
  <si>
    <t>9781848727502</t>
  </si>
  <si>
    <t>794919928</t>
  </si>
  <si>
    <t>P37 L366 1999</t>
  </si>
  <si>
    <t>0                      P  0037000L  366         1999</t>
  </si>
  <si>
    <t>Language processing / edited by Simon Garrod and Martin J. Pickering.</t>
  </si>
  <si>
    <t>Hove, East Sussex, UK : Psychology Press, ©1999.</t>
  </si>
  <si>
    <t>2019-09-23</t>
  </si>
  <si>
    <t>413880390:eng</t>
  </si>
  <si>
    <t>41466451</t>
  </si>
  <si>
    <t>ocm41466451</t>
  </si>
  <si>
    <t>3102730301M</t>
  </si>
  <si>
    <t>9780863778360</t>
  </si>
  <si>
    <t>793592160</t>
  </si>
  <si>
    <t>P37 L44 1989</t>
  </si>
  <si>
    <t>0                      P  0037000L  44          1989</t>
  </si>
  <si>
    <t>Speaking : from intention to articulation / Willem J.M. Levelt.</t>
  </si>
  <si>
    <t>Levelt, W. J. M. (Willem J. M.), 1938-</t>
  </si>
  <si>
    <t>Cambridge, Massachusetts : MIT Press, [1989]</t>
  </si>
  <si>
    <t>ACL-MIT Press series in natural-language processing</t>
  </si>
  <si>
    <t>2015-07-13</t>
  </si>
  <si>
    <t>4916136109:eng</t>
  </si>
  <si>
    <t>18136175</t>
  </si>
  <si>
    <t>ocm18136175</t>
  </si>
  <si>
    <t>31027302917</t>
  </si>
  <si>
    <t>9780262121378</t>
  </si>
  <si>
    <t>793015100</t>
  </si>
  <si>
    <t>2013-04-17</t>
  </si>
  <si>
    <t>31027302869</t>
  </si>
  <si>
    <t>793015099</t>
  </si>
  <si>
    <t>P37 M3</t>
  </si>
  <si>
    <t>0                      P  0037000M  3</t>
  </si>
  <si>
    <t>The conceptual basis of language / David McNeill.</t>
  </si>
  <si>
    <t>McNeill, David, 1933-</t>
  </si>
  <si>
    <t>Hillsdale, N.J. : Lawrence Erlbaum Associates ; New York : Distributed by the Halsted Press, Division of Wiley, 1979.</t>
  </si>
  <si>
    <t>14926680:eng</t>
  </si>
  <si>
    <t>4593387</t>
  </si>
  <si>
    <t>ocm04593387</t>
  </si>
  <si>
    <t>3102739681Z</t>
  </si>
  <si>
    <t>9780470266632</t>
  </si>
  <si>
    <t>792366265</t>
  </si>
  <si>
    <t>P37 M357 2011</t>
  </si>
  <si>
    <t>0                      P  0037000M  357         2011</t>
  </si>
  <si>
    <t>Psycholinguistics : introduction and applications / Lise Menn.</t>
  </si>
  <si>
    <t>(text + CD-ROM)</t>
  </si>
  <si>
    <t>Menn, Lise, author.</t>
  </si>
  <si>
    <t>San Diego : Plural Pub., ©2011.</t>
  </si>
  <si>
    <t>2012-05-02</t>
  </si>
  <si>
    <t>2019-05-07</t>
  </si>
  <si>
    <t>503313444:eng</t>
  </si>
  <si>
    <t>642278783</t>
  </si>
  <si>
    <t>ocn642278783</t>
  </si>
  <si>
    <t>3103323235T</t>
  </si>
  <si>
    <t>9781597562836</t>
  </si>
  <si>
    <t>794828026</t>
  </si>
  <si>
    <t>P37 M36 1988</t>
  </si>
  <si>
    <t>0                      P  0037000M  36          1988</t>
  </si>
  <si>
    <t>Mental representations : the interface between language and reality / edited by Ruth M. Kempson.</t>
  </si>
  <si>
    <t>Cambridge ; New York : Cambridge University Press, ©1988.</t>
  </si>
  <si>
    <t>1988</t>
  </si>
  <si>
    <t>795489578:eng</t>
  </si>
  <si>
    <t>17873236</t>
  </si>
  <si>
    <t>ocm17873236</t>
  </si>
  <si>
    <t>3102730347E</t>
  </si>
  <si>
    <t>9780521342513</t>
  </si>
  <si>
    <t>793006139</t>
  </si>
  <si>
    <t>P37 M363 2007</t>
  </si>
  <si>
    <t>0                      P  0037000M  363         2007</t>
  </si>
  <si>
    <t>Mental states / edited by Andrea C. Schalley and Drew Khlentzos.</t>
  </si>
  <si>
    <t>Amsterdam ; Philadelphia : J. Benjamins Pub. Co., 2007.</t>
  </si>
  <si>
    <t>Studies in language companion series ; v. 92-93</t>
  </si>
  <si>
    <t>5465826468:eng</t>
  </si>
  <si>
    <t>191680136</t>
  </si>
  <si>
    <t>ocn191680136</t>
  </si>
  <si>
    <t>31026516133</t>
  </si>
  <si>
    <t>9789027231055</t>
  </si>
  <si>
    <t>794298254</t>
  </si>
  <si>
    <t>31026524361</t>
  </si>
  <si>
    <t>794298255</t>
  </si>
  <si>
    <t>P37 M63 1987</t>
  </si>
  <si>
    <t>0                      P  0037000M  63          1987</t>
  </si>
  <si>
    <t>Modularity in knowledge representation and natural-language understanding / edited by Jay L. Garfield.</t>
  </si>
  <si>
    <t>Cambridge, Mass. : MIT Press, ©1987.</t>
  </si>
  <si>
    <t>54903617:eng</t>
  </si>
  <si>
    <t>15109259</t>
  </si>
  <si>
    <t>ocm15109259</t>
  </si>
  <si>
    <t>3102730342E</t>
  </si>
  <si>
    <t>9780262071055</t>
  </si>
  <si>
    <t>792920592</t>
  </si>
  <si>
    <t>P37 N44 1998</t>
  </si>
  <si>
    <t>0                      P  0037000N  44          1998</t>
  </si>
  <si>
    <t>The new psychology of language : cognitive and functional approaches to language structure / edited by Michael Tomasello.</t>
  </si>
  <si>
    <t>Mahwah, N.J. : L. Erlbaum, ©1998-©2003.</t>
  </si>
  <si>
    <t>2011-10-14</t>
  </si>
  <si>
    <t>2015-06-08</t>
  </si>
  <si>
    <t>4161015919:eng</t>
  </si>
  <si>
    <t>38391853</t>
  </si>
  <si>
    <t>ocm38391853</t>
  </si>
  <si>
    <t>3102327212O</t>
  </si>
  <si>
    <t>9780805825763</t>
  </si>
  <si>
    <t>793522688</t>
  </si>
  <si>
    <t>3102730363A</t>
  </si>
  <si>
    <t>793522689</t>
  </si>
  <si>
    <t>2009-03-23</t>
  </si>
  <si>
    <t>3102327185D</t>
  </si>
  <si>
    <t>793522687</t>
  </si>
  <si>
    <t>P37 O26 2008</t>
  </si>
  <si>
    <t>0                      P  0037000O  26          2008</t>
  </si>
  <si>
    <t>Communicating with one another : toward a psychology of spontaneous spoken discourse / by Daniel C. O'Connell, Sabine Kowal ; foreword by Donelson E. Dulany.</t>
  </si>
  <si>
    <t>O'Connell, Daniel C.</t>
  </si>
  <si>
    <t>New York ; [London] : Springer, 2008.</t>
  </si>
  <si>
    <t>2015-08-22</t>
  </si>
  <si>
    <t>801746132:eng</t>
  </si>
  <si>
    <t>192027301</t>
  </si>
  <si>
    <t>ocn192027301</t>
  </si>
  <si>
    <t>3103055959$</t>
  </si>
  <si>
    <t>9780387776316</t>
  </si>
  <si>
    <t>794302698</t>
  </si>
  <si>
    <t>P37 P475 1994</t>
  </si>
  <si>
    <t>0                      P  0037000P  475         1994</t>
  </si>
  <si>
    <t>Perspectives on sentence processing / edited by Charles Clifton, Jr., Lyn Frazier, Keith Rayner.</t>
  </si>
  <si>
    <t>Hillsdale, N.J. : L. Erlbaum Associates, 1994.</t>
  </si>
  <si>
    <t>352245550:eng</t>
  </si>
  <si>
    <t>29912173</t>
  </si>
  <si>
    <t>ocm29912173</t>
  </si>
  <si>
    <t>3102730369A</t>
  </si>
  <si>
    <t>9780805815818</t>
  </si>
  <si>
    <t>793323778</t>
  </si>
  <si>
    <t>P37 P5 2003</t>
  </si>
  <si>
    <t>0                      P  0037000P  5           2003</t>
  </si>
  <si>
    <t>Phonetics and phonology in language comprehension and production : differences and similarities / edited by Niels O. Schiller, Antje S. Meyer.</t>
  </si>
  <si>
    <t>Berlin ; New York : Mouton de Gruyter, 2003.</t>
  </si>
  <si>
    <t>Phonology and phonetics ; 6</t>
  </si>
  <si>
    <t>2017-08-22</t>
  </si>
  <si>
    <t>890937646:eng</t>
  </si>
  <si>
    <t>52602773</t>
  </si>
  <si>
    <t>ocm52602773</t>
  </si>
  <si>
    <t>3102730364A</t>
  </si>
  <si>
    <t>9783110178722</t>
  </si>
  <si>
    <t>793810787</t>
  </si>
  <si>
    <t>P37 R453 2011</t>
  </si>
  <si>
    <t>0                      P  0037000R  453         2011</t>
  </si>
  <si>
    <t>Relations between language and memory : organization, representation, and processing / Cornelia Zelinsky-Wibbelt (ed.).</t>
  </si>
  <si>
    <t>Frankfurt am Main ; New York : Peter Lang, ©2011.</t>
  </si>
  <si>
    <t>Sabest ; Bd. 23</t>
  </si>
  <si>
    <t>1040720956:eng</t>
  </si>
  <si>
    <t>746296356</t>
  </si>
  <si>
    <t>ocn746296356</t>
  </si>
  <si>
    <t>31033806065</t>
  </si>
  <si>
    <t>9783631577530</t>
  </si>
  <si>
    <t>794887055</t>
  </si>
  <si>
    <t>P37 R54 2005</t>
  </si>
  <si>
    <t>0                      P  0037000R  54          2005</t>
  </si>
  <si>
    <t>Impersonal passion : language as affect / Denise Riley.</t>
  </si>
  <si>
    <t>Riley, Denise, 1948-</t>
  </si>
  <si>
    <t>Durham : Duke University Press, ©2005.</t>
  </si>
  <si>
    <t>2017-01-20</t>
  </si>
  <si>
    <t>16297142:eng</t>
  </si>
  <si>
    <t>56195051</t>
  </si>
  <si>
    <t>ocm56195051</t>
  </si>
  <si>
    <t>3102730351C</t>
  </si>
  <si>
    <t>9780822335009</t>
  </si>
  <si>
    <t>793888985</t>
  </si>
  <si>
    <t>P37 R55 2000</t>
  </si>
  <si>
    <t>0                      P  0037000R  55          2000</t>
  </si>
  <si>
    <t>The words of selves : identification, solidarity, irony / Denise Riley.</t>
  </si>
  <si>
    <t>Stanford, Calif. : Stanford University Press, 2000.</t>
  </si>
  <si>
    <t>Atopia</t>
  </si>
  <si>
    <t>793829717:eng</t>
  </si>
  <si>
    <t>43465992</t>
  </si>
  <si>
    <t>ocm43465992</t>
  </si>
  <si>
    <t>3102730346E</t>
  </si>
  <si>
    <t>9780804736725</t>
  </si>
  <si>
    <t>793627488</t>
  </si>
  <si>
    <t>P37 R69 2016</t>
  </si>
  <si>
    <t>0                      P  0037000R  69          2016</t>
  </si>
  <si>
    <t>The Routledge handbook of language and creativity / edited by Rodney H. Jones.</t>
  </si>
  <si>
    <t>London ; New York : Routledge, 2016.</t>
  </si>
  <si>
    <t>Routledge handbooks</t>
  </si>
  <si>
    <t>2017-06-21</t>
  </si>
  <si>
    <t>2749411808:eng</t>
  </si>
  <si>
    <t>822667930</t>
  </si>
  <si>
    <t>ocn822667930</t>
  </si>
  <si>
    <t>3103612947V</t>
  </si>
  <si>
    <t>9780415839730</t>
  </si>
  <si>
    <t>794936582</t>
  </si>
  <si>
    <t>P37 S36 1998</t>
  </si>
  <si>
    <t>0                      P  0037000S  36          1998</t>
  </si>
  <si>
    <t>Psycholinguistics / Thomas Scovel.</t>
  </si>
  <si>
    <t>Scovel, Thomas, 1939-</t>
  </si>
  <si>
    <t>Oxford ; New York : Oxford University Press, 1998.</t>
  </si>
  <si>
    <t>Oxford introductions to language study</t>
  </si>
  <si>
    <t>42138507:eng</t>
  </si>
  <si>
    <t>39377575</t>
  </si>
  <si>
    <t>ocm39377575</t>
  </si>
  <si>
    <t>3101896459F</t>
  </si>
  <si>
    <t>9780194372138</t>
  </si>
  <si>
    <t>793545054</t>
  </si>
  <si>
    <t>P37 S452 2009</t>
  </si>
  <si>
    <t>0                      P  0037000S  452         2009</t>
  </si>
  <si>
    <t>The logic of language / Pieter A.M. Seuren.</t>
  </si>
  <si>
    <t>Seuren, Pieter A. M.</t>
  </si>
  <si>
    <t>Oxford ; New York : Oxford University Press, 2010.</t>
  </si>
  <si>
    <t>Language from within ; v. 2</t>
  </si>
  <si>
    <t>2010-01-23</t>
  </si>
  <si>
    <t>198592964:eng</t>
  </si>
  <si>
    <t>469603136</t>
  </si>
  <si>
    <t>ocn469603136</t>
  </si>
  <si>
    <t>31031305116</t>
  </si>
  <si>
    <t>9780199559480</t>
  </si>
  <si>
    <t>794795812</t>
  </si>
  <si>
    <t>P37 S54 1987</t>
  </si>
  <si>
    <t>0                      P  0037000S  54          1987</t>
  </si>
  <si>
    <t>Social and functional approaches to language and thought / edited by Maya Hickmann ; with a foreword by Jerome Bruner.</t>
  </si>
  <si>
    <t>Orlando : Academic Press, 1987.</t>
  </si>
  <si>
    <t>9052896:eng</t>
  </si>
  <si>
    <t>15083347</t>
  </si>
  <si>
    <t>ocm15083347</t>
  </si>
  <si>
    <t>3102730412H</t>
  </si>
  <si>
    <t>9780123472250</t>
  </si>
  <si>
    <t>792919438</t>
  </si>
  <si>
    <t>P37 S77 1993</t>
  </si>
  <si>
    <t>0                      P  0037000S  77          1993</t>
  </si>
  <si>
    <t>An introduction to psycholinguistics / Danny D. Steinberg.</t>
  </si>
  <si>
    <t>Steinberg, Danny D.</t>
  </si>
  <si>
    <t>London ; New York : Longman, 1993.</t>
  </si>
  <si>
    <t>Learning about language</t>
  </si>
  <si>
    <t>344699:eng</t>
  </si>
  <si>
    <t>26853942</t>
  </si>
  <si>
    <t>ocm26853942</t>
  </si>
  <si>
    <t>31027303728</t>
  </si>
  <si>
    <t>9780582059825</t>
  </si>
  <si>
    <t>793253537</t>
  </si>
  <si>
    <t>P37 T24 1997</t>
  </si>
  <si>
    <t>0                      P  0037000T  24          1997</t>
  </si>
  <si>
    <t>Talker variability in speech processing / edited by Keith Johnson, John W. Mullennix.</t>
  </si>
  <si>
    <t>San Diego : Academic Press, ©1997.</t>
  </si>
  <si>
    <t>Ed. 1.</t>
  </si>
  <si>
    <t>2016-07-13</t>
  </si>
  <si>
    <t>150299364:eng</t>
  </si>
  <si>
    <t>35145828</t>
  </si>
  <si>
    <t>ocm35145828</t>
  </si>
  <si>
    <t>31027303934</t>
  </si>
  <si>
    <t>9780123865601</t>
  </si>
  <si>
    <t>793445255</t>
  </si>
  <si>
    <t>P37 V94 1986</t>
  </si>
  <si>
    <t>0                      P  0037000V  94          1986</t>
  </si>
  <si>
    <t>Thought and language / Lev Vygotsky.</t>
  </si>
  <si>
    <t>Vygotskiĭ, L. S. (Lev Semenovich), 1896-1934.</t>
  </si>
  <si>
    <t>Cambridge, Mass. : MIT Press, ©1986.</t>
  </si>
  <si>
    <t>Translation newly rev. and edited / by Alex Kozulin.</t>
  </si>
  <si>
    <t>2018-10-24</t>
  </si>
  <si>
    <t>10177737249:eng</t>
  </si>
  <si>
    <t>12807907</t>
  </si>
  <si>
    <t>ocm12807907</t>
  </si>
  <si>
    <t>31027303994</t>
  </si>
  <si>
    <t>9780262220293</t>
  </si>
  <si>
    <t>792828908</t>
  </si>
  <si>
    <t>P37 V9413 2012</t>
  </si>
  <si>
    <t>0                      P  0037000V  9413        2012</t>
  </si>
  <si>
    <t>Thought and language / Lev Vygotsky ; edited and translated by Eugenia Hanfmann, Gertrude Vakar, and Alex Kozulin ; new foreword by Alex Kozulin.</t>
  </si>
  <si>
    <t>Cambridge, Mass. : MIT Press, 2012.</t>
  </si>
  <si>
    <t>Rev. and expanded ed.</t>
  </si>
  <si>
    <t>2019-02-14</t>
  </si>
  <si>
    <t>768728899</t>
  </si>
  <si>
    <t>ocn768728899</t>
  </si>
  <si>
    <t>3103414267I</t>
  </si>
  <si>
    <t>9780262517713</t>
  </si>
  <si>
    <t>794902645</t>
  </si>
  <si>
    <t>P37 W35 2013</t>
  </si>
  <si>
    <t>0                      P  0037000W  35          2013</t>
  </si>
  <si>
    <t>Introducing psycholinguistics / Paul Warren, Victoria University of Wellington.</t>
  </si>
  <si>
    <t>Warren, Paul, 1958-</t>
  </si>
  <si>
    <t>Cambridge : Cambridge University Press, 2013.</t>
  </si>
  <si>
    <t>Cambridge introductions to language and linguistics</t>
  </si>
  <si>
    <t>2016-12-15</t>
  </si>
  <si>
    <t>1108678800:eng</t>
  </si>
  <si>
    <t>793726551</t>
  </si>
  <si>
    <t>ocn793726551</t>
  </si>
  <si>
    <t>31034326742</t>
  </si>
  <si>
    <t>9780521113632</t>
  </si>
  <si>
    <t>794918659</t>
  </si>
  <si>
    <t>P37 W68 2010</t>
  </si>
  <si>
    <t>0                      P  0037000W  68          2010</t>
  </si>
  <si>
    <t>Words and the mind : how words capture human experience / edited by Barbara C. Malt and Phillip Wolff.</t>
  </si>
  <si>
    <t>New York : Oxford University Press, 2010.</t>
  </si>
  <si>
    <t>866239571:eng</t>
  </si>
  <si>
    <t>154806541</t>
  </si>
  <si>
    <t>ocn154806541</t>
  </si>
  <si>
    <t>3103155273A</t>
  </si>
  <si>
    <t>9780195311129</t>
  </si>
  <si>
    <t>794253107</t>
  </si>
  <si>
    <t>P37 W73 2008</t>
  </si>
  <si>
    <t>0                      P  0037000W  73          2008</t>
  </si>
  <si>
    <t>Formulaic language : pushing the boundaries / Alison Wray.</t>
  </si>
  <si>
    <t>Wray, Alison.</t>
  </si>
  <si>
    <t>Oxford ; New York : Oxford University Press, 2008.</t>
  </si>
  <si>
    <t>Oxford applied linguistics</t>
  </si>
  <si>
    <t>2015-02-27</t>
  </si>
  <si>
    <t>864538253:eng</t>
  </si>
  <si>
    <t>262523883</t>
  </si>
  <si>
    <t>ocn262523883</t>
  </si>
  <si>
    <t>3102855502H</t>
  </si>
  <si>
    <t>9780194422451</t>
  </si>
  <si>
    <t>794402026</t>
  </si>
  <si>
    <t>P37 Y53 2007</t>
  </si>
  <si>
    <t>0                      P  0037000Y  53          2007</t>
  </si>
  <si>
    <t>Yiddishkeyt et psychanalyse : le transfert à une langue / sous la direction de Max Kohn.</t>
  </si>
  <si>
    <t>Paris : MJW, ©2007.</t>
  </si>
  <si>
    <t>Collection "Psychopathologie fondamentale"</t>
  </si>
  <si>
    <t>2015-07-20</t>
  </si>
  <si>
    <t>351742040:fre</t>
  </si>
  <si>
    <t>85886117</t>
  </si>
  <si>
    <t>ocm85886117</t>
  </si>
  <si>
    <t>3103037071O</t>
  </si>
  <si>
    <t>9782952457309</t>
  </si>
  <si>
    <t>794217452</t>
  </si>
  <si>
    <t>P37 Z245 2013</t>
  </si>
  <si>
    <t>0                      P  0037000Z  245         2013</t>
  </si>
  <si>
    <t>The word in the word : literary text reception and linguistic relativity / Aprilia Zank.</t>
  </si>
  <si>
    <t>Zank, Aprilia, author.</t>
  </si>
  <si>
    <t>Berlin : Lit, ©2013.</t>
  </si>
  <si>
    <t>1746024881:eng</t>
  </si>
  <si>
    <t>830355093</t>
  </si>
  <si>
    <t>ocn830355093</t>
  </si>
  <si>
    <t>3103529466I</t>
  </si>
  <si>
    <t>9783643903389</t>
  </si>
  <si>
    <t>794943334</t>
  </si>
  <si>
    <t>P37.3 C76 2009</t>
  </si>
  <si>
    <t>0                      P  0037300C  76          2009</t>
  </si>
  <si>
    <t>Crosslinguistic approaches to the psychology of language : research in the tradition of Dan Isaac Slobin / edited by Jiansheng Guo [and others].</t>
  </si>
  <si>
    <t>New York, NY : Psychology Press, ©2009.</t>
  </si>
  <si>
    <t>2017-01-31</t>
  </si>
  <si>
    <t>793254190:eng</t>
  </si>
  <si>
    <t>190850840</t>
  </si>
  <si>
    <t>ocn190850840</t>
  </si>
  <si>
    <t>3103057432A</t>
  </si>
  <si>
    <t>9780805859980</t>
  </si>
  <si>
    <t>794296248</t>
  </si>
  <si>
    <t>P37.45 E18 H36 2006</t>
  </si>
  <si>
    <t>0                      P  0037450E  18                 H  36          2006</t>
  </si>
  <si>
    <t>The handbook of East Asian psycholinguistics / general editor, Ping Li.</t>
  </si>
  <si>
    <t>Cambridge ; New York : Cambridge University Press, 2006-2009.</t>
  </si>
  <si>
    <t>2012-02-01</t>
  </si>
  <si>
    <t>2015-02-26</t>
  </si>
  <si>
    <t>4921937066:eng</t>
  </si>
  <si>
    <t>64312973</t>
  </si>
  <si>
    <t>ocm64312973</t>
  </si>
  <si>
    <t>3102556843E</t>
  </si>
  <si>
    <t>9780521833332</t>
  </si>
  <si>
    <t>794128406</t>
  </si>
  <si>
    <t>3102565324W</t>
  </si>
  <si>
    <t>794128405</t>
  </si>
  <si>
    <t>V.3</t>
  </si>
  <si>
    <t>3103101466A</t>
  </si>
  <si>
    <t>794128404</t>
  </si>
  <si>
    <t>P37.5 C37 C48 2002</t>
  </si>
  <si>
    <t>0                      P  0037500C  37                 C  48          2002</t>
  </si>
  <si>
    <t>Cartesian linguistics : a chapter in the history of rationalist thought / Noam Chomsky.</t>
  </si>
  <si>
    <t>Christchurch, N.Z. : Cybereditions Corp., ©2002.</t>
  </si>
  <si>
    <t>2nd ed. / edited with a new introduction by James McGilvray.</t>
  </si>
  <si>
    <t>3768618880:eng</t>
  </si>
  <si>
    <t>53189388</t>
  </si>
  <si>
    <t>ocm53189388</t>
  </si>
  <si>
    <t>3102531328Q</t>
  </si>
  <si>
    <t>9781877275456</t>
  </si>
  <si>
    <t>793823476</t>
  </si>
  <si>
    <t>P37.5 C37 C48 2009</t>
  </si>
  <si>
    <t>0                      P  0037500C  37                 C  48          2009</t>
  </si>
  <si>
    <t>Cartesian linguistics : a chapter in the history of rationalist thought / Noam Chomsky ; edited, with a new introduction, by James McGilvray.</t>
  </si>
  <si>
    <t>Cambridge, UK ; New York : Cambridge University Press, ©2009.</t>
  </si>
  <si>
    <t>2015-01-24</t>
  </si>
  <si>
    <t>276224216</t>
  </si>
  <si>
    <t>ocn276224216</t>
  </si>
  <si>
    <t>3102856760W</t>
  </si>
  <si>
    <t>9780521881760</t>
  </si>
  <si>
    <t>794416130</t>
  </si>
  <si>
    <t>P37.5 C65 G37 2010</t>
  </si>
  <si>
    <t>0                      P  0037500C  65                 G  37          2010</t>
  </si>
  <si>
    <t>Speech, memory, and meaning : intertextuality in everyday language / by Boris Gasparov.</t>
  </si>
  <si>
    <t>Gasparov, B.</t>
  </si>
  <si>
    <t>Berlin ; New York : De Gruyter Mouton, ©2010.</t>
  </si>
  <si>
    <t>Trends in linguistics. Studies and monographs, 1861-4302 ; 214</t>
  </si>
  <si>
    <t>2011-07-06</t>
  </si>
  <si>
    <t>792298250:eng</t>
  </si>
  <si>
    <t>537309002</t>
  </si>
  <si>
    <t>ocn537309002</t>
  </si>
  <si>
    <t>3103241624N</t>
  </si>
  <si>
    <t>9783110219104</t>
  </si>
  <si>
    <t>794810281</t>
  </si>
  <si>
    <t>P37.5 C66 G47 1990</t>
  </si>
  <si>
    <t>0                      P  0037500C  66                 G  47          1990</t>
  </si>
  <si>
    <t>Language comprehension as structure building / Morton Ann Gernsbacher.</t>
  </si>
  <si>
    <t>Gernsbacher, Morton Ann.</t>
  </si>
  <si>
    <t>Hillsdale, N.J. : L. Erlbaum, 1990.</t>
  </si>
  <si>
    <t>2018-11-19</t>
  </si>
  <si>
    <t>23569025:eng</t>
  </si>
  <si>
    <t>22181700</t>
  </si>
  <si>
    <t>ocm22181700</t>
  </si>
  <si>
    <t>31027303758</t>
  </si>
  <si>
    <t>9780805806762</t>
  </si>
  <si>
    <t>793136356</t>
  </si>
  <si>
    <t>P37.5 C74 C37 2004</t>
  </si>
  <si>
    <t>0                      P  0037500C  74                 C  37          2004</t>
  </si>
  <si>
    <t>Language and creativity : the art of common talk / Ronald Carter.</t>
  </si>
  <si>
    <t>Carter, Ronald, 1947-2018.</t>
  </si>
  <si>
    <t>London ; New York : Routledge, 2004.</t>
  </si>
  <si>
    <t>2016-04-28</t>
  </si>
  <si>
    <t>799809546:eng</t>
  </si>
  <si>
    <t>52601115</t>
  </si>
  <si>
    <t>ocm52601115</t>
  </si>
  <si>
    <t>3102730401J</t>
  </si>
  <si>
    <t>9780415234481</t>
  </si>
  <si>
    <t>793810655</t>
  </si>
  <si>
    <t>P37.5 C74 C74 2011</t>
  </si>
  <si>
    <t>0                      P  0037500C  74                 C  74          2011</t>
  </si>
  <si>
    <t>Creativity in language : the state of the art / edited by Joe Swann, Rob Pope and Ronald Carter.</t>
  </si>
  <si>
    <t>Basingstoke ; New York : Palgrave Macmillan, 2011.</t>
  </si>
  <si>
    <t>3902425948:eng</t>
  </si>
  <si>
    <t>754149836</t>
  </si>
  <si>
    <t>ocn754149836</t>
  </si>
  <si>
    <t>3103342993R</t>
  </si>
  <si>
    <t>9780230575592</t>
  </si>
  <si>
    <t>794892574</t>
  </si>
  <si>
    <t>P37.5 C74 M39 2007</t>
  </si>
  <si>
    <t>0                      P  0037500C  74                 M  39          2007</t>
  </si>
  <si>
    <t>Linguistic creativity in Japanese discourse : exploring the multiplicity of self, perspective, and voice / Senko K. Maynard.</t>
  </si>
  <si>
    <t>Maynard, Senko K.</t>
  </si>
  <si>
    <t>Amsterdam ; Philadelphia : J. Benjamins Pub. Co., ©2007.</t>
  </si>
  <si>
    <t>Pragmatics &amp; beyond, 0922-842X ; v. 159</t>
  </si>
  <si>
    <t>2016-03-14</t>
  </si>
  <si>
    <t>368370865:eng</t>
  </si>
  <si>
    <t>85862315</t>
  </si>
  <si>
    <t>ocm85862315</t>
  </si>
  <si>
    <t>3102639118X</t>
  </si>
  <si>
    <t>9789027254023</t>
  </si>
  <si>
    <t>794217307</t>
  </si>
  <si>
    <t>P37.5 C74 P47 2007</t>
  </si>
  <si>
    <t>0                      P  0037500C  74                 P  47          2007</t>
  </si>
  <si>
    <t>Creativity and artificial intelligence : a conceptual blending approach / by Francisco Câmara Pereira.</t>
  </si>
  <si>
    <t>Pereira, Francisco Câmara, 1972-</t>
  </si>
  <si>
    <t>Berlin ; New York : Mouton de Gruyter, ©2007.</t>
  </si>
  <si>
    <t>Applications of cognitive linguistics, 1861-4078 ; 4</t>
  </si>
  <si>
    <t>2015-11-24</t>
  </si>
  <si>
    <t>799777244:eng</t>
  </si>
  <si>
    <t>167506672</t>
  </si>
  <si>
    <t>ocn167506672</t>
  </si>
  <si>
    <t>31028828075</t>
  </si>
  <si>
    <t>9783110186093</t>
  </si>
  <si>
    <t>794262521</t>
  </si>
  <si>
    <t>P37.5 C74 V43 2012</t>
  </si>
  <si>
    <t>0                      P  0037500C  74                 V  43          2012</t>
  </si>
  <si>
    <t>Exploding the creativity myth : the computational foundations of linguistic creativity / Tony Veale.</t>
  </si>
  <si>
    <t>Veale, Tony, 1967-</t>
  </si>
  <si>
    <t>London ; New York : Continuum International Pub. Group, 2012.</t>
  </si>
  <si>
    <t>1177005406:eng</t>
  </si>
  <si>
    <t>777652759</t>
  </si>
  <si>
    <t>ocn777652759</t>
  </si>
  <si>
    <t>3103432541B</t>
  </si>
  <si>
    <t>9781441166371</t>
  </si>
  <si>
    <t>794908983</t>
  </si>
  <si>
    <t>P37.5 C74 W56 2011</t>
  </si>
  <si>
    <t>0                      P  0037500C  74                 W  56          2011</t>
  </si>
  <si>
    <t>Windows to the mind : metaphor, metonymy and conceptual blending / edited by Sandra Handl, Hans-Jörg Schmid.</t>
  </si>
  <si>
    <t>Berlin ; New York : De Gruyter Mouton, ©2011.</t>
  </si>
  <si>
    <t>Cognitive linguistics research ; 48</t>
  </si>
  <si>
    <t>2011-06-28</t>
  </si>
  <si>
    <t>793199334:eng</t>
  </si>
  <si>
    <t>666491797</t>
  </si>
  <si>
    <t>ocn666491797</t>
  </si>
  <si>
    <t>3103321548Q</t>
  </si>
  <si>
    <t>9783110238181</t>
  </si>
  <si>
    <t>794845225</t>
  </si>
  <si>
    <t>P37.5 D37 C66 1996</t>
  </si>
  <si>
    <t>0                      P  0037500D  37                 C  66          1996</t>
  </si>
  <si>
    <t>Computational psycholinguistics : AI and connectionist models of human language processing / edited by Ton Dijkstra and Koenraad de Smedt.</t>
  </si>
  <si>
    <t>London ; Bristol, PA : Taylor &amp; Francis Ltd., 1996.</t>
  </si>
  <si>
    <t>807566967:eng</t>
  </si>
  <si>
    <t>35559408</t>
  </si>
  <si>
    <t>ocm35559408</t>
  </si>
  <si>
    <t>31027303866</t>
  </si>
  <si>
    <t>9780748404650</t>
  </si>
  <si>
    <t>793452170</t>
  </si>
  <si>
    <t>P37.5 I55 I54 1997</t>
  </si>
  <si>
    <t>0                      P  0037500I  55                 I  54          1997</t>
  </si>
  <si>
    <t>The inheritance and innateness of grammars / edited by Myrna Gopnik.</t>
  </si>
  <si>
    <t>New York : Oxford University Press, 1997.</t>
  </si>
  <si>
    <t>Vancouver studies in cognitive science ; v. 6</t>
  </si>
  <si>
    <t>2019-05-01</t>
  </si>
  <si>
    <t>1082067406:eng</t>
  </si>
  <si>
    <t>36407677</t>
  </si>
  <si>
    <t>ocm36407677</t>
  </si>
  <si>
    <t>31027304579</t>
  </si>
  <si>
    <t>9780195115338</t>
  </si>
  <si>
    <t>793474351</t>
  </si>
  <si>
    <t>2019-04-15</t>
  </si>
  <si>
    <t>31027304529</t>
  </si>
  <si>
    <t>793474352</t>
  </si>
  <si>
    <t>P37.5 M38 M37 2003</t>
  </si>
  <si>
    <t>0                      P  0037500M  38                 M  37          2003</t>
  </si>
  <si>
    <t>Masked priming : the state of the art / edited by Sachiko Kinoshita and Stephen J. Lupker.</t>
  </si>
  <si>
    <t>New York : Psychology Press, 2003.</t>
  </si>
  <si>
    <t>Macquarie monographs in cognitive science</t>
  </si>
  <si>
    <t>2018-01-16</t>
  </si>
  <si>
    <t>1054008817:eng</t>
  </si>
  <si>
    <t>51223496</t>
  </si>
  <si>
    <t>ocm51223496</t>
  </si>
  <si>
    <t>3102987815E</t>
  </si>
  <si>
    <t>9781841690957</t>
  </si>
  <si>
    <t>793780801</t>
  </si>
  <si>
    <t>P37.5 M46 M45 2010</t>
  </si>
  <si>
    <t>0                      P  0037500M  46                 M  45          2010</t>
  </si>
  <si>
    <t>Memory, mind and language / edited by Hans Götzsche.</t>
  </si>
  <si>
    <t>Newcastle : Cambridge Scholars, ©2010.</t>
  </si>
  <si>
    <t>353716945:eng</t>
  </si>
  <si>
    <t>473479519</t>
  </si>
  <si>
    <t>ocn473479519</t>
  </si>
  <si>
    <t>31032304095</t>
  </si>
  <si>
    <t>9781443816397</t>
  </si>
  <si>
    <t>794797949</t>
  </si>
  <si>
    <t>P37.5 M46 S36 2014</t>
  </si>
  <si>
    <t>0                      P  0037500M  46                 S  36          2014</t>
  </si>
  <si>
    <t>The cultural memory of language / Susan Samata.</t>
  </si>
  <si>
    <t>Samata, Susan, author.</t>
  </si>
  <si>
    <t>London ; New York : Bloomsbury, 2014.</t>
  </si>
  <si>
    <t>Contemporary applied linguistics ; volume 5</t>
  </si>
  <si>
    <t>2019-01-30</t>
  </si>
  <si>
    <t>10076216359:eng</t>
  </si>
  <si>
    <t>875997068</t>
  </si>
  <si>
    <t>ocn875997068</t>
  </si>
  <si>
    <t>3103580263U</t>
  </si>
  <si>
    <t>9781472583734</t>
  </si>
  <si>
    <t>794969751</t>
  </si>
  <si>
    <t>P37.5 R42 R43 2003</t>
  </si>
  <si>
    <t>0                      P  0037500R  42                 R  43          2003</t>
  </si>
  <si>
    <t>Reading complex words : cross-language studies / edited by Egbert M.H. Assink, Dominiek Sandra.</t>
  </si>
  <si>
    <t>New York : Kluwer Academic/Plenum Publishers, ©2003.</t>
  </si>
  <si>
    <t>Neuropsychology and cognition ; 22</t>
  </si>
  <si>
    <t>837705137:eng</t>
  </si>
  <si>
    <t>51306090</t>
  </si>
  <si>
    <t>ocm51306090</t>
  </si>
  <si>
    <t>3102730447B</t>
  </si>
  <si>
    <t>9780306477072</t>
  </si>
  <si>
    <t>793782770</t>
  </si>
  <si>
    <t>P37.5 S65 A47 1994</t>
  </si>
  <si>
    <t>0                      P  0037500S  65                 A  47          1994</t>
  </si>
  <si>
    <t>Semantics and experience : universal metaphors of time in English, Mandarin, Hindi, and Sesotho / Hoyt Alverson.</t>
  </si>
  <si>
    <t>Alverson, Hoyt, 1942-</t>
  </si>
  <si>
    <t>Baltimore : Johns Hopkins University Press, 1994.</t>
  </si>
  <si>
    <t>Parallax : re-visions of culture and society</t>
  </si>
  <si>
    <t>2016-02-21</t>
  </si>
  <si>
    <t>196912344:eng</t>
  </si>
  <si>
    <t>29219928</t>
  </si>
  <si>
    <t>ocm29219928</t>
  </si>
  <si>
    <t>3102730437D</t>
  </si>
  <si>
    <t>9780801848117</t>
  </si>
  <si>
    <t>793305587</t>
  </si>
  <si>
    <t>P37.5 S65 E923 2013</t>
  </si>
  <si>
    <t>0                      P  0037500S  65                 E  923         2013</t>
  </si>
  <si>
    <t>Language and time : a cognitive linguistics approach / Vyvyan Evans.</t>
  </si>
  <si>
    <t>Evans, Vyvyan.</t>
  </si>
  <si>
    <t>1405359533:eng</t>
  </si>
  <si>
    <t>841198141</t>
  </si>
  <si>
    <t>ocn841198141</t>
  </si>
  <si>
    <t>31035046635</t>
  </si>
  <si>
    <t>9781107043800</t>
  </si>
  <si>
    <t>794946655</t>
  </si>
  <si>
    <t>P37.5 S65 E93 2003</t>
  </si>
  <si>
    <t>0                      P  0037500S  65                 E  93          2003</t>
  </si>
  <si>
    <t>The structure of time : language, meaning, and temporal cognition / Vyvyan Evans.</t>
  </si>
  <si>
    <t>Amsterdam ; Philadelphia : John Benjamins Pub., ©2003.</t>
  </si>
  <si>
    <t>Human cognitive processing, 1387-6724 ; v. 12</t>
  </si>
  <si>
    <t>2016-10-18</t>
  </si>
  <si>
    <t>793912133:eng</t>
  </si>
  <si>
    <t>53276505</t>
  </si>
  <si>
    <t>ocm53276505</t>
  </si>
  <si>
    <t>3102730427F</t>
  </si>
  <si>
    <t>9789027223647</t>
  </si>
  <si>
    <t>793825280</t>
  </si>
  <si>
    <t>P37.5 S65 F86 2005</t>
  </si>
  <si>
    <t>0                      P  0037500S  65                 F  86          2005</t>
  </si>
  <si>
    <t>Functional features in language and space : insights from perception, categorization, and development / edited by Laura Carlson and Emile van der Zee.</t>
  </si>
  <si>
    <t>Oxford ; New York : Oxford University Press, 2005.</t>
  </si>
  <si>
    <t>[Oxford linguistics]</t>
  </si>
  <si>
    <t>2016-12-02</t>
  </si>
  <si>
    <t>1076457149:eng</t>
  </si>
  <si>
    <t>53393411</t>
  </si>
  <si>
    <t>ocm53393411</t>
  </si>
  <si>
    <t>3102730422F</t>
  </si>
  <si>
    <t>9780199264322</t>
  </si>
  <si>
    <t>793827860</t>
  </si>
  <si>
    <t>P37.5 S65 R47 2003</t>
  </si>
  <si>
    <t>0                      P  0037500S  65                 R  47          2003</t>
  </si>
  <si>
    <t>Representing direction in language and space / edited by Emile van der Zee and Jon Slack.</t>
  </si>
  <si>
    <t>Oxford ; New York : Oxford University Press, 2003.</t>
  </si>
  <si>
    <t>Explorations in language and space ; 01</t>
  </si>
  <si>
    <t>2016-09-18</t>
  </si>
  <si>
    <t>350047755:eng</t>
  </si>
  <si>
    <t>51107870</t>
  </si>
  <si>
    <t>ocm51107870</t>
  </si>
  <si>
    <t>3102730428F</t>
  </si>
  <si>
    <t>9780199260188</t>
  </si>
  <si>
    <t>793779110</t>
  </si>
  <si>
    <t>P37.5 S65 S59 2006</t>
  </si>
  <si>
    <t>0                      P  0037500S  65                 S  59          2006</t>
  </si>
  <si>
    <t>Space in languages : linguistic systems and cognitive categories / edited by Maya Hickmann, Stéphane Robert.</t>
  </si>
  <si>
    <t>Amsterdam ; Philadelphia : J. Benjamins Pub. Co., ©2006.</t>
  </si>
  <si>
    <t>Typological studies in language, 0167-7373 ; v. 66</t>
  </si>
  <si>
    <t>2016-03-04</t>
  </si>
  <si>
    <t>1076490397:eng</t>
  </si>
  <si>
    <t>64596013</t>
  </si>
  <si>
    <t>ocm64596013</t>
  </si>
  <si>
    <t>3102587077D</t>
  </si>
  <si>
    <t>9789027229779</t>
  </si>
  <si>
    <t>794130797</t>
  </si>
  <si>
    <t>P37.5 S65 S65 2010</t>
  </si>
  <si>
    <t>0                      P  0037500S  65                 S  65          2010</t>
  </si>
  <si>
    <t>The spatial foundations of language and cognition / edited by Kelly S. Mix, Linda B. Smith, and Michael Gasser.</t>
  </si>
  <si>
    <t>Oxford ; New York : Oxford University Press, ©2010.</t>
  </si>
  <si>
    <t>Explorations in language and space ; 4</t>
  </si>
  <si>
    <t>2012-02-24</t>
  </si>
  <si>
    <t>323415450:eng</t>
  </si>
  <si>
    <t>437305857</t>
  </si>
  <si>
    <t>ocn437305857</t>
  </si>
  <si>
    <t>31032419950</t>
  </si>
  <si>
    <t>9780199553242</t>
  </si>
  <si>
    <t>794785804</t>
  </si>
  <si>
    <t>P37.5 S67 E73 2007</t>
  </si>
  <si>
    <t>0                      P  0037500S  67                 E  73          2007</t>
  </si>
  <si>
    <t>Um-- slips, stumbles, and verbal blunders, and what they mean / Michael Erard.</t>
  </si>
  <si>
    <t>Erard, Michael.</t>
  </si>
  <si>
    <t>New York : Pantheon Books, ©2007.</t>
  </si>
  <si>
    <t>2016-05-09</t>
  </si>
  <si>
    <t>63098853:eng</t>
  </si>
  <si>
    <t>77520742</t>
  </si>
  <si>
    <t>ocm77520742</t>
  </si>
  <si>
    <t>3102641232G</t>
  </si>
  <si>
    <t>9780375423567</t>
  </si>
  <si>
    <t>794191712</t>
  </si>
  <si>
    <t>P37.5 S67 R44 1996</t>
  </si>
  <si>
    <t>0                      P  0037500S  67                 R  44          1996</t>
  </si>
  <si>
    <t>The human semantic potential : spatial language and constrained connectionism / Terry Regier.</t>
  </si>
  <si>
    <t>Regier, Terry.</t>
  </si>
  <si>
    <t>Cambridge, Mass. : MIT Press, ©1996.</t>
  </si>
  <si>
    <t>Neural network modeling and connectionism</t>
  </si>
  <si>
    <t>2016-11-26</t>
  </si>
  <si>
    <t>799394202:eng</t>
  </si>
  <si>
    <t>33899975</t>
  </si>
  <si>
    <t>ocm33899975</t>
  </si>
  <si>
    <t>31027304549</t>
  </si>
  <si>
    <t>9780262181730</t>
  </si>
  <si>
    <t>793413598</t>
  </si>
  <si>
    <t>P37.5 S68 H36 2005</t>
  </si>
  <si>
    <t>0                      P  0037500S  68                 H  36          2005</t>
  </si>
  <si>
    <t>The handbook of speech perception / edited by David B. Pisoni and Robert E. Remez.</t>
  </si>
  <si>
    <t>Malden, MA : Blackwell Pub., 2005.</t>
  </si>
  <si>
    <t>Blackwell handbooks in linguistics</t>
  </si>
  <si>
    <t>2019-02-15</t>
  </si>
  <si>
    <t>766062009:eng</t>
  </si>
  <si>
    <t>55960816</t>
  </si>
  <si>
    <t>ocm55960816</t>
  </si>
  <si>
    <t>31027997616</t>
  </si>
  <si>
    <t>9780631229278</t>
  </si>
  <si>
    <t>793884565</t>
  </si>
  <si>
    <t>P39 C73 2012</t>
  </si>
  <si>
    <t>0                      P  0039000C  73          2012</t>
  </si>
  <si>
    <t>The emergence of meaning / Stephen Crain, Macquarie University, Sydney.</t>
  </si>
  <si>
    <t>Crain, Stephen, 1947- author.</t>
  </si>
  <si>
    <t>Cambridge : Cambridge University Press, 2012.</t>
  </si>
  <si>
    <t>Cambridge studies in linguistics ; 135</t>
  </si>
  <si>
    <t>2013-01-13</t>
  </si>
  <si>
    <t>1168735355:eng</t>
  </si>
  <si>
    <t>793221779</t>
  </si>
  <si>
    <t>ocn793221779</t>
  </si>
  <si>
    <t>3103411848G</t>
  </si>
  <si>
    <t>9780521674881</t>
  </si>
  <si>
    <t>794917827</t>
  </si>
  <si>
    <t>P39 F46 2010</t>
  </si>
  <si>
    <t>0                      P  0039000F  46          2010</t>
  </si>
  <si>
    <t>Grammar, geometry, &amp; brain / Jens Erik Fenstad.</t>
  </si>
  <si>
    <t>Fenstad, Jens Erik.</t>
  </si>
  <si>
    <t>Stanford, Calif. : CSLI Publications, ©2010.</t>
  </si>
  <si>
    <t>CSLI lecture notes ; no. 200</t>
  </si>
  <si>
    <t>2010-10-13</t>
  </si>
  <si>
    <t>417727293:eng</t>
  </si>
  <si>
    <t>429475521</t>
  </si>
  <si>
    <t>ocn429475521</t>
  </si>
  <si>
    <t>3103242045X</t>
  </si>
  <si>
    <t>9781575865935</t>
  </si>
  <si>
    <t>794780019</t>
  </si>
  <si>
    <t>P39 L367 2010</t>
  </si>
  <si>
    <t>0                      P  0039000L  367         2010</t>
  </si>
  <si>
    <t>Language, thought and reference / George Powell.</t>
  </si>
  <si>
    <t>Powell, George, 1967-</t>
  </si>
  <si>
    <t>Basingsoke, Hampshire [England] ; New York : Palgrave Macmillan, 2010.</t>
  </si>
  <si>
    <t>Palgrave studies in pragmatics, language and cognition</t>
  </si>
  <si>
    <t>195934870:eng</t>
  </si>
  <si>
    <t>318873494</t>
  </si>
  <si>
    <t>ocn318873494</t>
  </si>
  <si>
    <t>3103239812T</t>
  </si>
  <si>
    <t>9780230227958</t>
  </si>
  <si>
    <t>794482733</t>
  </si>
  <si>
    <t>P39 L5965 2002</t>
  </si>
  <si>
    <t>0                      P  0039000L  5965        2002</t>
  </si>
  <si>
    <t>Logical form and language / edited by Gerhard Preyer and Georg Peter.</t>
  </si>
  <si>
    <t>Oxford, UK ; New York : Clarendon Press ; New York : Oxford University Press, 2002.</t>
  </si>
  <si>
    <t>2016-03-21</t>
  </si>
  <si>
    <t>351293629:eng</t>
  </si>
  <si>
    <t>47863191</t>
  </si>
  <si>
    <t>ocm47863191</t>
  </si>
  <si>
    <t>3102730440B</t>
  </si>
  <si>
    <t>9780199244607</t>
  </si>
  <si>
    <t>793709581</t>
  </si>
  <si>
    <t>P39.5 A44 2009</t>
  </si>
  <si>
    <t>0                      P  0039500A  44          2009</t>
  </si>
  <si>
    <t>Framing discourse on the environment : a critical discourse approach / Richard J. Alexander.</t>
  </si>
  <si>
    <t>Alexander, Richard J., 1945-</t>
  </si>
  <si>
    <t>New York : Routledge, 2009.</t>
  </si>
  <si>
    <t>Routledge critical studies in discourse ; 1</t>
  </si>
  <si>
    <t>2017-07-20</t>
  </si>
  <si>
    <t>792257259:eng</t>
  </si>
  <si>
    <t>217263558</t>
  </si>
  <si>
    <t>ocn217263558</t>
  </si>
  <si>
    <t>3102976641N</t>
  </si>
  <si>
    <t>9780415991230</t>
  </si>
  <si>
    <t>794316345</t>
  </si>
  <si>
    <t>P39.5 E25 2001</t>
  </si>
  <si>
    <t>0                      P  0039500E  25          2001</t>
  </si>
  <si>
    <t>The ecolinguistics reader : language, ecology, and environment / edited by Alwin Fill and Peter Mühlhäusler.</t>
  </si>
  <si>
    <t>London ; New York : Continuum, 2001.</t>
  </si>
  <si>
    <t>1074660298:eng</t>
  </si>
  <si>
    <t>44162453</t>
  </si>
  <si>
    <t>ocm44162453</t>
  </si>
  <si>
    <t>31027304921</t>
  </si>
  <si>
    <t>9780826449122</t>
  </si>
  <si>
    <t>793643674</t>
  </si>
  <si>
    <t>P39.5 G37 2004</t>
  </si>
  <si>
    <t>0                      P  0039500G  37          2004</t>
  </si>
  <si>
    <t>Language : an ecological view / Mark Garner.</t>
  </si>
  <si>
    <t>Garner, Mark.</t>
  </si>
  <si>
    <t>Oxford ; New York : Peter Lang, ©2004.</t>
  </si>
  <si>
    <t>Contemporary studies in descriptive linguistics, 1660-9301 ; v. 1</t>
  </si>
  <si>
    <t>899410605:eng</t>
  </si>
  <si>
    <t>56318579</t>
  </si>
  <si>
    <t>ocm56318579</t>
  </si>
  <si>
    <t>31027304873</t>
  </si>
  <si>
    <t>9783039100545</t>
  </si>
  <si>
    <t>793890513</t>
  </si>
  <si>
    <t>P39.5 W37 2010</t>
  </si>
  <si>
    <t>0                      P  0039500W  37          2010</t>
  </si>
  <si>
    <t>Coping with an idea of ecological grammar / Elżbieta Magdalena Wąsik.</t>
  </si>
  <si>
    <t>Wąsik, Elżbieta.</t>
  </si>
  <si>
    <t>Frankfurt am Main ; New York : Peter Lang, 2010.</t>
  </si>
  <si>
    <t>Philologica Wratislaviensia : from grammar to discourse, 1866-699X ; v. 2</t>
  </si>
  <si>
    <t>407480054:eng</t>
  </si>
  <si>
    <t>535495813</t>
  </si>
  <si>
    <t>ocn535495813</t>
  </si>
  <si>
    <t>3103230582N</t>
  </si>
  <si>
    <t>9783631602287</t>
  </si>
  <si>
    <t>794810174</t>
  </si>
  <si>
    <t>P40 A27 1993</t>
  </si>
  <si>
    <t>0                      P  0040000A  27          1993</t>
  </si>
  <si>
    <t>La sociologie du langage / Pierre Achard.</t>
  </si>
  <si>
    <t>Achard, Pierre.</t>
  </si>
  <si>
    <t>Paris : Presses universitaires de France, 1993.</t>
  </si>
  <si>
    <t>1. éd.</t>
  </si>
  <si>
    <t>Que sais-je? ; 2720</t>
  </si>
  <si>
    <t>365195126:fre</t>
  </si>
  <si>
    <t>27730017</t>
  </si>
  <si>
    <t>ocm27730017</t>
  </si>
  <si>
    <t>31027304677</t>
  </si>
  <si>
    <t>9782130451624</t>
  </si>
  <si>
    <t>793271005</t>
  </si>
  <si>
    <t>P40 A35 2007</t>
  </si>
  <si>
    <t>0                      P  0040000A  35          2007</t>
  </si>
  <si>
    <t>Language and social relations / Asif Agha.</t>
  </si>
  <si>
    <t>Agha, Asif, 1961- author.</t>
  </si>
  <si>
    <t>Cambridge ; New York : Cambridge University Press, 2007.</t>
  </si>
  <si>
    <t>Studies in the social and cultural foundations of language ; no. 24</t>
  </si>
  <si>
    <t>2017-05-31</t>
  </si>
  <si>
    <t>58292453:eng</t>
  </si>
  <si>
    <t>71347505</t>
  </si>
  <si>
    <t>ocm71347505</t>
  </si>
  <si>
    <t>3102567479B</t>
  </si>
  <si>
    <t>9780521571760</t>
  </si>
  <si>
    <t>794165907</t>
  </si>
  <si>
    <t>P40 A53 1987</t>
  </si>
  <si>
    <t>0                      P  0040000A  53          1987</t>
  </si>
  <si>
    <t>Analyzing intercultural communication / edited by Karlfried Knapp, Werner Enninger, Annelie Knapp-Potthoff.</t>
  </si>
  <si>
    <t>Berlin ; New York : Mouton de Gruyter, 1987.</t>
  </si>
  <si>
    <t>Studies in anthropological linguistics ; 1</t>
  </si>
  <si>
    <t>350220908:eng</t>
  </si>
  <si>
    <t>16092075</t>
  </si>
  <si>
    <t>ocm16092075</t>
  </si>
  <si>
    <t>31027304931</t>
  </si>
  <si>
    <t>9780899253336</t>
  </si>
  <si>
    <t>792954561</t>
  </si>
  <si>
    <t>P40 B3 1981</t>
  </si>
  <si>
    <t>0                      P  0040000B  3           1981</t>
  </si>
  <si>
    <t>Langage et communications sociales / Christian Bachmann, Jacqueline Lindenfeld, Jacky Simonin ; préface de Jean-Claude Chevalier.</t>
  </si>
  <si>
    <t>Bachmann, C.</t>
  </si>
  <si>
    <t>Paris : Hatier-CREDIF, ©1981.</t>
  </si>
  <si>
    <t>1981</t>
  </si>
  <si>
    <t>Langues et apprentissage des langues</t>
  </si>
  <si>
    <t>2015-04-10</t>
  </si>
  <si>
    <t>148784116:fre</t>
  </si>
  <si>
    <t>9291167</t>
  </si>
  <si>
    <t>ocm09291167</t>
  </si>
  <si>
    <t>3000970197Z</t>
  </si>
  <si>
    <t>9782218056109</t>
  </si>
  <si>
    <t>792668628</t>
  </si>
  <si>
    <t>P40 B324 2010</t>
  </si>
  <si>
    <t>0                      P  0040000B  324         2010</t>
  </si>
  <si>
    <t>Barbarians at the gate : studies in language attitudes / edited by Patricia Donaher.</t>
  </si>
  <si>
    <t>Newcastle upon Tyne : Cambridge Scholars, 2010.</t>
  </si>
  <si>
    <t>2014-02-04</t>
  </si>
  <si>
    <t>371908544:eng</t>
  </si>
  <si>
    <t>498134805</t>
  </si>
  <si>
    <t>ocn498134805</t>
  </si>
  <si>
    <t>3103232929F</t>
  </si>
  <si>
    <t>9781443817035</t>
  </si>
  <si>
    <t>794803115</t>
  </si>
  <si>
    <t>P40 B39 1990</t>
  </si>
  <si>
    <t>0                      P  0040000B  39          1990</t>
  </si>
  <si>
    <t>The structuring of pedagogic discourse / Basil Bernstein.</t>
  </si>
  <si>
    <t>Bernstein, Basil, author.</t>
  </si>
  <si>
    <t>London ; New York : Routledge, 1990.</t>
  </si>
  <si>
    <t>Class, codes, and control ; v. 4</t>
  </si>
  <si>
    <t>2018-03-18</t>
  </si>
  <si>
    <t>9438510818:eng</t>
  </si>
  <si>
    <t>20421515</t>
  </si>
  <si>
    <t>ocm20421515</t>
  </si>
  <si>
    <t>31009810078</t>
  </si>
  <si>
    <t>9780415045681</t>
  </si>
  <si>
    <t>793087441</t>
  </si>
  <si>
    <t>P40 C35 1993</t>
  </si>
  <si>
    <t>0                      P  0040000C  35          1993</t>
  </si>
  <si>
    <t>La sociolinguistique / Louis-Jean Calvet.</t>
  </si>
  <si>
    <t>Calvet, Louis-Jean, 1942-</t>
  </si>
  <si>
    <t>Paris : Presses Universitaires de France, 1993.</t>
  </si>
  <si>
    <t>Que sais-je? ; 2731</t>
  </si>
  <si>
    <t>351093643:fre</t>
  </si>
  <si>
    <t>221830229</t>
  </si>
  <si>
    <t>ocn221830229</t>
  </si>
  <si>
    <t>31027304745</t>
  </si>
  <si>
    <t>9782130452515</t>
  </si>
  <si>
    <t>794327904</t>
  </si>
  <si>
    <t>P40 C35 2013</t>
  </si>
  <si>
    <t>0                      P  0040000C  35          2013</t>
  </si>
  <si>
    <t>Calvet, Louis-Jean, 1942- author.</t>
  </si>
  <si>
    <t>Paris : Presses universitaires de France, 2013.</t>
  </si>
  <si>
    <t>Huitième édition mise à jour.</t>
  </si>
  <si>
    <t>Que sais-je? : lettres ; N° 2731</t>
  </si>
  <si>
    <t>905366859</t>
  </si>
  <si>
    <t>ocn905366859</t>
  </si>
  <si>
    <t>31032006594</t>
  </si>
  <si>
    <t>9782130621478</t>
  </si>
  <si>
    <t>794991267</t>
  </si>
  <si>
    <t>P40 C36 2011</t>
  </si>
  <si>
    <t>0                      P  0040000C  36          2011</t>
  </si>
  <si>
    <t>The Cambridge handbook of sociolinguistics / edited by Rajend Mesthrie.</t>
  </si>
  <si>
    <t>Cambridge handbooks in language and linguistics</t>
  </si>
  <si>
    <t>2016-11-07</t>
  </si>
  <si>
    <t>1017101126:eng</t>
  </si>
  <si>
    <t>738338589</t>
  </si>
  <si>
    <t>ocn738338589</t>
  </si>
  <si>
    <t>3103381789J</t>
  </si>
  <si>
    <t>9780521897075</t>
  </si>
  <si>
    <t>794882451</t>
  </si>
  <si>
    <t>P40 C4413 1997</t>
  </si>
  <si>
    <t>0                      P  0040000C  4413        1997</t>
  </si>
  <si>
    <t>The capture of speech and other political writings / Michel de Certeau ; edited and with an introduction by Luce Giard ; translated and with an afterword by Tom Conley.</t>
  </si>
  <si>
    <t>Certeau, Michel de.</t>
  </si>
  <si>
    <t>Minneapolis : University of Minnesota Press, ©1997.</t>
  </si>
  <si>
    <t>2018-12-20</t>
  </si>
  <si>
    <t>5091080770:eng</t>
  </si>
  <si>
    <t>37837777</t>
  </si>
  <si>
    <t>ocm37837777</t>
  </si>
  <si>
    <t>31027304697</t>
  </si>
  <si>
    <t>9780816627684</t>
  </si>
  <si>
    <t>793508121</t>
  </si>
  <si>
    <t>P40 C45 1989</t>
  </si>
  <si>
    <t>0                      P  0040000C  45          1989</t>
  </si>
  <si>
    <t>Language, the social mirror / Elaine Chaika.</t>
  </si>
  <si>
    <t>Chaika, Elaine, 1934-</t>
  </si>
  <si>
    <t>Cambridge [Mass.] : Newbury House, ©1989.</t>
  </si>
  <si>
    <t>17070399:eng</t>
  </si>
  <si>
    <t>18190888</t>
  </si>
  <si>
    <t>ocm18190888</t>
  </si>
  <si>
    <t>31027304647</t>
  </si>
  <si>
    <t>9780066326139</t>
  </si>
  <si>
    <t>793017069</t>
  </si>
  <si>
    <t>P40 C455 2009</t>
  </si>
  <si>
    <t>0                      P  0040000C  455         2009</t>
  </si>
  <si>
    <t>Sociolinguistic theory : linguistic variation and its social significance / J.K. Chambers.</t>
  </si>
  <si>
    <t>Chambers, J. K.</t>
  </si>
  <si>
    <t>Chichester, U.K. ; Malden, MA : Blackwell, 2009.</t>
  </si>
  <si>
    <t>Rev. ed.</t>
  </si>
  <si>
    <t>Language in society ; 22</t>
  </si>
  <si>
    <t>348996419:eng</t>
  </si>
  <si>
    <t>226304797</t>
  </si>
  <si>
    <t>ocn226304797</t>
  </si>
  <si>
    <t>3103058390Y</t>
  </si>
  <si>
    <t>9781405152464</t>
  </si>
  <si>
    <t>794344822</t>
  </si>
  <si>
    <t>P40 C58 1996</t>
  </si>
  <si>
    <t>0                      P  0040000C  58          1996</t>
  </si>
  <si>
    <t>Contrastive sociolinguistics / edited by Marlis Hellinger, Ulrich Ammon.</t>
  </si>
  <si>
    <t>Berlin ; New York : Mouton de Gruyter, 1996.</t>
  </si>
  <si>
    <t>Contributions to the sociology of language ; 71</t>
  </si>
  <si>
    <t>2015-09-25</t>
  </si>
  <si>
    <t>350555051:eng</t>
  </si>
  <si>
    <t>35029637</t>
  </si>
  <si>
    <t>ocm35029637</t>
  </si>
  <si>
    <t>3102730500G</t>
  </si>
  <si>
    <t>9783110149661</t>
  </si>
  <si>
    <t>793442118</t>
  </si>
  <si>
    <t>P40 C63 2013</t>
  </si>
  <si>
    <t>0                      P  0040000C  63          2013</t>
  </si>
  <si>
    <t>Sociolinguistics : the study of speakers' choices / Florian Coulmas.</t>
  </si>
  <si>
    <t>Coulmas, Florian.</t>
  </si>
  <si>
    <t>New York : Cambridge University Press, 2013.</t>
  </si>
  <si>
    <t>Second edition.</t>
  </si>
  <si>
    <t>2014-05-12</t>
  </si>
  <si>
    <t>4919189678:eng</t>
  </si>
  <si>
    <t>822972361</t>
  </si>
  <si>
    <t>ocn822972361</t>
  </si>
  <si>
    <t>3103501687D</t>
  </si>
  <si>
    <t>9781107037649</t>
  </si>
  <si>
    <t>794936788</t>
  </si>
  <si>
    <t>P40 C64 1991</t>
  </si>
  <si>
    <t>0                      P  0040000C  64          1991</t>
  </si>
  <si>
    <t>Language, society, and the elderly : discourse, identity, and ageing / Nikolas Coupland, Justine Coupland, and Howard Giles.</t>
  </si>
  <si>
    <t>Coupland, Nikolas, 1950-</t>
  </si>
  <si>
    <t>Oxford, UK ; Cambridge, Mass. : B. Blackwell, 1991.</t>
  </si>
  <si>
    <t>Language in society ; 16</t>
  </si>
  <si>
    <t>2017-12-02</t>
  </si>
  <si>
    <t>836839456:eng</t>
  </si>
  <si>
    <t>23215870</t>
  </si>
  <si>
    <t>ocm23215870</t>
  </si>
  <si>
    <t>31027304901</t>
  </si>
  <si>
    <t>9780631180043</t>
  </si>
  <si>
    <t>793164752</t>
  </si>
  <si>
    <t>P40 C66 2014</t>
  </si>
  <si>
    <t>0                      P  0040000C  66          2014</t>
  </si>
  <si>
    <t>Beyond words : sobs, hums, stutters and other vocalizations / Steven Connor.</t>
  </si>
  <si>
    <t>Connor, Steven, 1955- author.</t>
  </si>
  <si>
    <t>London : Reaktion Books, 2014.</t>
  </si>
  <si>
    <t>2019-02-01</t>
  </si>
  <si>
    <t>1823814919:eng</t>
  </si>
  <si>
    <t>859583895</t>
  </si>
  <si>
    <t>ocn859583895</t>
  </si>
  <si>
    <t>3103529827E</t>
  </si>
  <si>
    <t>9781780232584</t>
  </si>
  <si>
    <t>794958002</t>
  </si>
  <si>
    <t>P40 D33 2011</t>
  </si>
  <si>
    <t>0                      P  0040000D  33          2011</t>
  </si>
  <si>
    <t>An introduction to sociolinguistics : society and identity / Sharon K. Deckert and Caroline H. Vickers.</t>
  </si>
  <si>
    <t>Deckert, Sharon K.</t>
  </si>
  <si>
    <t>London ; New York, NY : Continuum, ©2011.</t>
  </si>
  <si>
    <t>895585928:eng</t>
  </si>
  <si>
    <t>726748977</t>
  </si>
  <si>
    <t>ocn726748977</t>
  </si>
  <si>
    <t>3103364532X</t>
  </si>
  <si>
    <t>9781441100283</t>
  </si>
  <si>
    <t>794877336</t>
  </si>
  <si>
    <t>P40 D496 2006</t>
  </si>
  <si>
    <t>0                      P  0040000D  496         2006</t>
  </si>
  <si>
    <t>Discourse and identity / edited by Anna De Fina, Deborah Schiffrin, Michael Bamberg.</t>
  </si>
  <si>
    <t>Studies in interactional sociolinguistics</t>
  </si>
  <si>
    <t>896872978:eng</t>
  </si>
  <si>
    <t>64312974</t>
  </si>
  <si>
    <t>ocm64312974</t>
  </si>
  <si>
    <t>3102566292H</t>
  </si>
  <si>
    <t>9780521834025</t>
  </si>
  <si>
    <t>794128407</t>
  </si>
  <si>
    <t>P40 D53 2017</t>
  </si>
  <si>
    <t>0                      P  0040000D  53          2017</t>
  </si>
  <si>
    <t>Diversity and super-diversity : sociocultural linguistic perspectives / Anna De Fina, Didem Ikizoglu, and Jeremy Wegner, editors.</t>
  </si>
  <si>
    <t>Washington, DC : Georgetown University Press, [2017]</t>
  </si>
  <si>
    <t>Georgetown University round table on languages and linguistics series</t>
  </si>
  <si>
    <t>3983249165:eng</t>
  </si>
  <si>
    <t>957696610</t>
  </si>
  <si>
    <t>ocn957696610</t>
  </si>
  <si>
    <t>31037590285</t>
  </si>
  <si>
    <t>9781626164222</t>
  </si>
  <si>
    <t>795021241</t>
  </si>
  <si>
    <t>31037590277</t>
  </si>
  <si>
    <t>795021240</t>
  </si>
  <si>
    <t>P40 D57 2011</t>
  </si>
  <si>
    <t>0                      P  0040000D  57          2011</t>
  </si>
  <si>
    <t>Discourses of deficit / edited by Christopher N. Candlin, Jonathan Crichton.</t>
  </si>
  <si>
    <t>Houndmills, Basingstoke, Hampshire ; New York : Palgrave Macmillan, 2011.</t>
  </si>
  <si>
    <t>Palgrave studies in professional and organizational discourse</t>
  </si>
  <si>
    <t>506167369:eng</t>
  </si>
  <si>
    <t>742229802</t>
  </si>
  <si>
    <t>ocn742229802</t>
  </si>
  <si>
    <t>3103322062X</t>
  </si>
  <si>
    <t>9780230249721</t>
  </si>
  <si>
    <t>794884823</t>
  </si>
  <si>
    <t>P40 E13 2010</t>
  </si>
  <si>
    <t>0                      P  0040000E  13          2010</t>
  </si>
  <si>
    <t>Sociolinguistics and the legal process / Diana Eades.</t>
  </si>
  <si>
    <t>Eades, Diana, 1953-</t>
  </si>
  <si>
    <t>Bristol ; Buffalo : Multilingual Matters, ©2010.</t>
  </si>
  <si>
    <t>MM textbooks</t>
  </si>
  <si>
    <t>2018-03-01</t>
  </si>
  <si>
    <t>353711901:eng</t>
  </si>
  <si>
    <t>504281294</t>
  </si>
  <si>
    <t>ocn504281294</t>
  </si>
  <si>
    <t>3103241927E</t>
  </si>
  <si>
    <t>9781847692542</t>
  </si>
  <si>
    <t>794806808</t>
  </si>
  <si>
    <t>P40 E36 2011</t>
  </si>
  <si>
    <t>0                      P  0040000E  36          2011</t>
  </si>
  <si>
    <t>Challenges in the social life of language / John Edwards.</t>
  </si>
  <si>
    <t>Edwards, John, 1947 December 3-</t>
  </si>
  <si>
    <t>Language and globalization</t>
  </si>
  <si>
    <t>2013-04-05</t>
  </si>
  <si>
    <t>916953028:eng</t>
  </si>
  <si>
    <t>700205589</t>
  </si>
  <si>
    <t>ocn700205589</t>
  </si>
  <si>
    <t>31033446275</t>
  </si>
  <si>
    <t>9780230500310</t>
  </si>
  <si>
    <t>794861904</t>
  </si>
  <si>
    <t>P40 E38 2013</t>
  </si>
  <si>
    <t>0                      P  0040000E  38          2013</t>
  </si>
  <si>
    <t>Sociolinguistics : a very short introduction / John Edwards.</t>
  </si>
  <si>
    <t>Oxford ; New York : Oxford University Press, ©2013.</t>
  </si>
  <si>
    <t>Very short introductions ; 365</t>
  </si>
  <si>
    <t>2019-04-07</t>
  </si>
  <si>
    <t>1378992799:eng</t>
  </si>
  <si>
    <t>818734481</t>
  </si>
  <si>
    <t>ocn818734481</t>
  </si>
  <si>
    <t>31035058027</t>
  </si>
  <si>
    <t>9780199858613</t>
  </si>
  <si>
    <t>794934141</t>
  </si>
  <si>
    <t>P40 E43 2011</t>
  </si>
  <si>
    <t>0                      P  0040000E  43          2011</t>
  </si>
  <si>
    <t>Embodied interaction : language and body in the material world / edited by Jürgen Streeck, Charles Goodwin and Curtis LeBaron.</t>
  </si>
  <si>
    <t>New York : Cambridge University Press, 2011.</t>
  </si>
  <si>
    <t>Learning in doing : social, cognitive and computational perspectives</t>
  </si>
  <si>
    <t>790248966:eng</t>
  </si>
  <si>
    <t>703205183</t>
  </si>
  <si>
    <t>ocn703205183</t>
  </si>
  <si>
    <t>31033633620</t>
  </si>
  <si>
    <t>9780521895637</t>
  </si>
  <si>
    <t>794864484</t>
  </si>
  <si>
    <t>P40 F35 2001</t>
  </si>
  <si>
    <t>0                      P  0040000F  35          2001</t>
  </si>
  <si>
    <t>Language and power / Norman Fairclough.</t>
  </si>
  <si>
    <t>Fairclough, Norman, 1941-</t>
  </si>
  <si>
    <t>Harlow, Eng. ; New York : Longman, 2001.</t>
  </si>
  <si>
    <t>Language in social life series</t>
  </si>
  <si>
    <t>2019-01-10</t>
  </si>
  <si>
    <t>15736319:eng</t>
  </si>
  <si>
    <t>45835641</t>
  </si>
  <si>
    <t>ocm45835641</t>
  </si>
  <si>
    <t>31027304961</t>
  </si>
  <si>
    <t>9780582414839</t>
  </si>
  <si>
    <t>793679274</t>
  </si>
  <si>
    <t>P40 F47 1996</t>
  </si>
  <si>
    <t>0                      P  0040000F  47          1996</t>
  </si>
  <si>
    <t>Sociolinguistic perspectives : papers on language in society, 1959-1994 / Charles A. Ferguson ; edited by Thom Huebner.</t>
  </si>
  <si>
    <t>Ferguson, Charles A. (Charles Albert), 1921-1998.</t>
  </si>
  <si>
    <t>New York : Oxford University Press, 1996.</t>
  </si>
  <si>
    <t>2017-03-21</t>
  </si>
  <si>
    <t>797218923:eng</t>
  </si>
  <si>
    <t>31433893</t>
  </si>
  <si>
    <t>ocm31433893</t>
  </si>
  <si>
    <t>31027304911</t>
  </si>
  <si>
    <t>9780195092905</t>
  </si>
  <si>
    <t>793361083</t>
  </si>
  <si>
    <t>P40 F54 1994</t>
  </si>
  <si>
    <t>0                      P  0040000F  54          1994</t>
  </si>
  <si>
    <t>Sociolinguistic metatheory / Esther Figueroa.</t>
  </si>
  <si>
    <t>Figueroa, Esther.</t>
  </si>
  <si>
    <t>Oxford, OX, UK ; Tarrytown, N.Y., USA : Elsevier Science, 1994.</t>
  </si>
  <si>
    <t>Language &amp; communication library ; v. 14</t>
  </si>
  <si>
    <t>2015-03-31</t>
  </si>
  <si>
    <t>31868055:eng</t>
  </si>
  <si>
    <t>30109623</t>
  </si>
  <si>
    <t>ocm30109623</t>
  </si>
  <si>
    <t>31027304813</t>
  </si>
  <si>
    <t>9780080423999</t>
  </si>
  <si>
    <t>793329898</t>
  </si>
  <si>
    <t>P40 F57 2006</t>
  </si>
  <si>
    <t>0                      P  0040000F  57          2006</t>
  </si>
  <si>
    <t>Language loyalty, language planning, and language revitalization : recent writings and reflections from Joshua A. Fishman / edited by Nancy H. Hornberger and Martin Pütz.</t>
  </si>
  <si>
    <t>Clevedon [England] ; Buffalo : Multilingual Matters, ©2006.</t>
  </si>
  <si>
    <t>Bilingual education and bilingualism ; 59</t>
  </si>
  <si>
    <t>2019-03-18</t>
  </si>
  <si>
    <t>180767710:eng</t>
  </si>
  <si>
    <t>65425931</t>
  </si>
  <si>
    <t>ocm65425931</t>
  </si>
  <si>
    <t>3102567251L</t>
  </si>
  <si>
    <t>9781853599019</t>
  </si>
  <si>
    <t>794134448</t>
  </si>
  <si>
    <t>P40 F76 2017</t>
  </si>
  <si>
    <t>0                      P  0040000F  76          2017</t>
  </si>
  <si>
    <t>Les frontières des langues / sous la direction de François Soulages ; préface de Danielle Tartakowsky.</t>
  </si>
  <si>
    <t>Paris : L'Harmattan, [2017]</t>
  </si>
  <si>
    <t>Collection Eidos. Série Retina, 2105-4274 ; 57</t>
  </si>
  <si>
    <t>5212396572:fre</t>
  </si>
  <si>
    <t>1012706351</t>
  </si>
  <si>
    <t>on1012706351</t>
  </si>
  <si>
    <t>3103793248Y</t>
  </si>
  <si>
    <t>9782343132587</t>
  </si>
  <si>
    <t>795046567</t>
  </si>
  <si>
    <t>P40 G44 1996</t>
  </si>
  <si>
    <t>0                      P  0040000G  44          1996</t>
  </si>
  <si>
    <t>Social linguistics and literacies : ideology in discourses / James Paul Gee.</t>
  </si>
  <si>
    <t>Gee, James Paul.</t>
  </si>
  <si>
    <t>London ; Bristol, PA : Taylor &amp; Francis, 1996.</t>
  </si>
  <si>
    <t>Critical perspectives on literacy and education</t>
  </si>
  <si>
    <t>2015-08-19</t>
  </si>
  <si>
    <t>478788331:eng</t>
  </si>
  <si>
    <t>36343233</t>
  </si>
  <si>
    <t>ocm36343233</t>
  </si>
  <si>
    <t>3102986994$</t>
  </si>
  <si>
    <t>9780748404995</t>
  </si>
  <si>
    <t>793473124</t>
  </si>
  <si>
    <t>P40 H32</t>
  </si>
  <si>
    <t>0                      P  0040000H  32</t>
  </si>
  <si>
    <t>Language as social semiotic : the social interpretation of language and meaning / M.A.K. Halliday.</t>
  </si>
  <si>
    <t>Halliday, M. A. K. (Michael Alexander Kirkwood), 1925-</t>
  </si>
  <si>
    <t>London : Edward Arnold, 1978.</t>
  </si>
  <si>
    <t>2018-05-30</t>
  </si>
  <si>
    <t>836642965:eng</t>
  </si>
  <si>
    <t>5029338</t>
  </si>
  <si>
    <t>ocm05029338</t>
  </si>
  <si>
    <t>3102730532A</t>
  </si>
  <si>
    <t>9780713159677</t>
  </si>
  <si>
    <t>792402640</t>
  </si>
  <si>
    <t>P40 H323 2012</t>
  </si>
  <si>
    <t>0                      P  0040000H  323         2012</t>
  </si>
  <si>
    <t>Teaching and researching language and culture / Joan Kelly Hall.</t>
  </si>
  <si>
    <t>Hall, Joan Kelly.</t>
  </si>
  <si>
    <t>Harlow, England ; New York : Longman, 2012.</t>
  </si>
  <si>
    <t>Applied linguistics in action</t>
  </si>
  <si>
    <t>2013-10-03</t>
  </si>
  <si>
    <t>138719376:eng</t>
  </si>
  <si>
    <t>712931292</t>
  </si>
  <si>
    <t>ocn712931292</t>
  </si>
  <si>
    <t>31033423948</t>
  </si>
  <si>
    <t>9781408205068</t>
  </si>
  <si>
    <t>794872428</t>
  </si>
  <si>
    <t>P40 H3425 2005</t>
  </si>
  <si>
    <t>0                      P  0040000H  3425        2005</t>
  </si>
  <si>
    <t>Handbook of language and social interaction / edited by Kristine L. Fitch, Robert E. Sanders.</t>
  </si>
  <si>
    <t>LEA's communication series</t>
  </si>
  <si>
    <t>766842243:eng</t>
  </si>
  <si>
    <t>56012235</t>
  </si>
  <si>
    <t>ocm56012235</t>
  </si>
  <si>
    <t>3102730527C</t>
  </si>
  <si>
    <t>9780805842401</t>
  </si>
  <si>
    <t>793885883</t>
  </si>
  <si>
    <t>P40 H348 2005</t>
  </si>
  <si>
    <t>0                      P  0040000H  348         2005</t>
  </si>
  <si>
    <t>The collected works of Ruqaiya Hasan / Ruqaiya Hasan ; edited by Jonathan J. Webster.</t>
  </si>
  <si>
    <t>Hasan, Ruqaiya.</t>
  </si>
  <si>
    <t>London ; Oakville, CT : Equinox Pub., 2005-&lt;2011&gt;</t>
  </si>
  <si>
    <t>3980317629:eng</t>
  </si>
  <si>
    <t>56752966</t>
  </si>
  <si>
    <t>ocm56752966</t>
  </si>
  <si>
    <t>3103099998T</t>
  </si>
  <si>
    <t>9781904768333</t>
  </si>
  <si>
    <t>793901221</t>
  </si>
  <si>
    <t>3102531526K</t>
  </si>
  <si>
    <t>793901222</t>
  </si>
  <si>
    <t>P40 H66 2008</t>
  </si>
  <si>
    <t>0                      P  0040000H  66          2008</t>
  </si>
  <si>
    <t>An introduction to sociolinguistics / Janet Holmes.</t>
  </si>
  <si>
    <t>Holmes, Janet, 1947-</t>
  </si>
  <si>
    <t>Harlow : Longman, 2007.</t>
  </si>
  <si>
    <t>2016-01-07</t>
  </si>
  <si>
    <t>3749545542:eng</t>
  </si>
  <si>
    <t>170038151</t>
  </si>
  <si>
    <t>ocn170038151</t>
  </si>
  <si>
    <t>3103213426$</t>
  </si>
  <si>
    <t>9781405821315</t>
  </si>
  <si>
    <t>794263224</t>
  </si>
  <si>
    <t>- Reserves and A/V Room - Reserve Collection - 24 Hour Loan</t>
  </si>
  <si>
    <t>P40 H66 2013</t>
  </si>
  <si>
    <t>0                      P  0040000H  66          2013</t>
  </si>
  <si>
    <t>Holmes, Janet, 1947- author.</t>
  </si>
  <si>
    <t>London, England ; New York : Routledge, 2013.</t>
  </si>
  <si>
    <t>2018-06-27</t>
  </si>
  <si>
    <t>867189369</t>
  </si>
  <si>
    <t>ocn867189369</t>
  </si>
  <si>
    <t>3103710427N</t>
  </si>
  <si>
    <t>ON_HOLD</t>
  </si>
  <si>
    <t>9781408276747</t>
  </si>
  <si>
    <t>794963877</t>
  </si>
  <si>
    <t>P40 H663 2002</t>
  </si>
  <si>
    <t>0                      P  0040000H  663         2002</t>
  </si>
  <si>
    <t>Language as social action : social psychology and language use / Thomas Holtgraves.</t>
  </si>
  <si>
    <t>Holtgraves, Thomas.</t>
  </si>
  <si>
    <t>Mahwah, N.J. : Erlbaum, 2002.</t>
  </si>
  <si>
    <t>2018-10-09</t>
  </si>
  <si>
    <t>1002165:eng</t>
  </si>
  <si>
    <t>46918155</t>
  </si>
  <si>
    <t>ocm46918155</t>
  </si>
  <si>
    <t>3102675346H</t>
  </si>
  <si>
    <t>9780805831405</t>
  </si>
  <si>
    <t>793694433</t>
  </si>
  <si>
    <t>P40 I34 2011</t>
  </si>
  <si>
    <t>0                      P  0040000I  34          2011</t>
  </si>
  <si>
    <t>Identity through a language lens / Kamila Ciepiela (ed.).</t>
  </si>
  <si>
    <t>Frankfurt am Main ; New York : Peter Lang, 2011.</t>
  </si>
  <si>
    <t>Łódź studies in language ; vol. 23</t>
  </si>
  <si>
    <t>1006317646:eng</t>
  </si>
  <si>
    <t>741652299</t>
  </si>
  <si>
    <t>ocn741652299</t>
  </si>
  <si>
    <t>3103342872Y</t>
  </si>
  <si>
    <t>9783631616024</t>
  </si>
  <si>
    <t>794884377</t>
  </si>
  <si>
    <t>P40 I55 1996</t>
  </si>
  <si>
    <t>0                      P  0040000I  55          1996</t>
  </si>
  <si>
    <t>Interaction and grammar / edited by Elinor Ochs, Emanuel A. Schegloff, Sandra A. Thompson.</t>
  </si>
  <si>
    <t>Cambridge ; New York : Cambridge University Press, 1996.</t>
  </si>
  <si>
    <t>Studies in interactional sociolinguistics ; 13</t>
  </si>
  <si>
    <t>2019-01-19</t>
  </si>
  <si>
    <t>896261120:eng</t>
  </si>
  <si>
    <t>32922475</t>
  </si>
  <si>
    <t>ocm32922475</t>
  </si>
  <si>
    <t>3102730538A</t>
  </si>
  <si>
    <t>9780521552257</t>
  </si>
  <si>
    <t>793397519</t>
  </si>
  <si>
    <t>2016-03-11</t>
  </si>
  <si>
    <t>2010-09-24</t>
  </si>
  <si>
    <t>2019-04-27</t>
  </si>
  <si>
    <t>2013-05-07</t>
  </si>
  <si>
    <t>P40 K4</t>
  </si>
  <si>
    <t>0                      P  0040000K  4</t>
  </si>
  <si>
    <t>Male/female language : with a comprehensive bibliography / by Mary Ritchie Key.</t>
  </si>
  <si>
    <t>Key, Mary Ritchie.</t>
  </si>
  <si>
    <t>Metuchen, N.J. : Scarecrow Press, 1975.</t>
  </si>
  <si>
    <t>2019-03-21</t>
  </si>
  <si>
    <t>797042416:eng</t>
  </si>
  <si>
    <t>1046181</t>
  </si>
  <si>
    <t>ocm01046181</t>
  </si>
  <si>
    <t>31027305506</t>
  </si>
  <si>
    <t>9780810807488</t>
  </si>
  <si>
    <t>791533000</t>
  </si>
  <si>
    <t>2011-02-07</t>
  </si>
  <si>
    <t>3102730509G</t>
  </si>
  <si>
    <t>791532999</t>
  </si>
  <si>
    <t>P40 K73 1993</t>
  </si>
  <si>
    <t>0                      P  0040000K  73          1993</t>
  </si>
  <si>
    <t>Language as ideology / Robert Hodge and Gunther Kress.</t>
  </si>
  <si>
    <t>London ; New York : Routledge, ©1993.</t>
  </si>
  <si>
    <t>The Politics of language</t>
  </si>
  <si>
    <t>2019-04-22</t>
  </si>
  <si>
    <t>12702940:eng</t>
  </si>
  <si>
    <t>25832199</t>
  </si>
  <si>
    <t>ocm25832199</t>
  </si>
  <si>
    <t>3102784842W</t>
  </si>
  <si>
    <t>9780415070010</t>
  </si>
  <si>
    <t>793230977</t>
  </si>
  <si>
    <t>P40 L2833 2009</t>
  </si>
  <si>
    <t>0                      P  0040000L  2833        2009</t>
  </si>
  <si>
    <t>Language and poverty / edited by Wayne Harbert with help from Sally McConnell-Ginet, Amanda Miller and John Whitman.</t>
  </si>
  <si>
    <t>Bristol ; Buffalo : Multilingual matters, ©2009.</t>
  </si>
  <si>
    <t>Multilingual matters ; 141</t>
  </si>
  <si>
    <t>2018-03-15</t>
  </si>
  <si>
    <t>766621363:eng</t>
  </si>
  <si>
    <t>232536716</t>
  </si>
  <si>
    <t>ocn232536716</t>
  </si>
  <si>
    <t>3103057511B</t>
  </si>
  <si>
    <t>9781847691187</t>
  </si>
  <si>
    <t>794363769</t>
  </si>
  <si>
    <t>P40 L284 1990</t>
  </si>
  <si>
    <t>0                      P  0040000L  284         1990</t>
  </si>
  <si>
    <t>Language and the politics of emotion / edited by Catherine A. Lutz, Lila Abu-Lughod.</t>
  </si>
  <si>
    <t>Cambridge [England] ; New York : Cambridge University Press ; Paris : Editions de la maison des sciences de l'homme, ©1990.</t>
  </si>
  <si>
    <t>Studies in emotion and social interaction</t>
  </si>
  <si>
    <t>350364715:eng</t>
  </si>
  <si>
    <t>21035208</t>
  </si>
  <si>
    <t>ocm21035208</t>
  </si>
  <si>
    <t>31028655268</t>
  </si>
  <si>
    <t>9780521382045</t>
  </si>
  <si>
    <t>793107096</t>
  </si>
  <si>
    <t>P40 L287 1984</t>
  </si>
  <si>
    <t>0                      P  0040000L  287         1984</t>
  </si>
  <si>
    <t>Language and power / edited by Cheris Kramarae, Muriel Schulz, William M. O'Barr.</t>
  </si>
  <si>
    <t>Beverly Hills, Calif. : Sage Publications, ©1984.</t>
  </si>
  <si>
    <t>3943266941:eng</t>
  </si>
  <si>
    <t>10456934</t>
  </si>
  <si>
    <t>ocm10456934</t>
  </si>
  <si>
    <t>3102730520C</t>
  </si>
  <si>
    <t>9780803922556</t>
  </si>
  <si>
    <t>792727281</t>
  </si>
  <si>
    <t>P40 L289 1982</t>
  </si>
  <si>
    <t>0                      P  0040000L  289         1982</t>
  </si>
  <si>
    <t>Language and social identity / edited by John J. Gumperz.</t>
  </si>
  <si>
    <t>Cambridge [Cambridgeshire] ; New York : Cambridge University Press, 1982.</t>
  </si>
  <si>
    <t>Studies in interactional sociolinguistics ; 2</t>
  </si>
  <si>
    <t>2019-01-06</t>
  </si>
  <si>
    <t>8911386832:eng</t>
  </si>
  <si>
    <t>8387986</t>
  </si>
  <si>
    <t>ocm08387986</t>
  </si>
  <si>
    <t>3102730510E</t>
  </si>
  <si>
    <t>9780521246927</t>
  </si>
  <si>
    <t>792616417</t>
  </si>
  <si>
    <t>3102730515E</t>
  </si>
  <si>
    <t>792616416</t>
  </si>
  <si>
    <t>P40 L2957 2011</t>
  </si>
  <si>
    <t>0                      P  0040000L  2957        2011</t>
  </si>
  <si>
    <t>Language, culture and the dynamics of age / edited by Anna Duszak and Urszula Okulska.</t>
  </si>
  <si>
    <t>Berlin ; New York : De Gruyter Mouton, 2011.</t>
  </si>
  <si>
    <t>Language, power and social process ; 28</t>
  </si>
  <si>
    <t>670016672:eng</t>
  </si>
  <si>
    <t>667213232</t>
  </si>
  <si>
    <t>ocn667213232</t>
  </si>
  <si>
    <t>3103323470F</t>
  </si>
  <si>
    <t>9783110238105</t>
  </si>
  <si>
    <t>794845467</t>
  </si>
  <si>
    <t>P40 L2958 2003</t>
  </si>
  <si>
    <t>0                      P  0040000L  2958        2003</t>
  </si>
  <si>
    <t>The language, ethnicity and race reader / edited by Roxy Harris and Ben Rampton.</t>
  </si>
  <si>
    <t>London : Routledge, 2003.</t>
  </si>
  <si>
    <t>352994554:eng</t>
  </si>
  <si>
    <t>53347554</t>
  </si>
  <si>
    <t>ocm53347554</t>
  </si>
  <si>
    <t>3102738884X</t>
  </si>
  <si>
    <t>9780415276016</t>
  </si>
  <si>
    <t>793826790</t>
  </si>
  <si>
    <t>P40 L296 1991</t>
  </si>
  <si>
    <t>0                      P  0040000L  296         1991</t>
  </si>
  <si>
    <t>Language, history, and class / edited by Penelope J. Corfield.</t>
  </si>
  <si>
    <t>Oxford, U.K. ; Cambridge, Mass. : B. Blackwell, 1991.</t>
  </si>
  <si>
    <t>55368062:eng</t>
  </si>
  <si>
    <t>22119237</t>
  </si>
  <si>
    <t>ocm22119237</t>
  </si>
  <si>
    <t>31027305418</t>
  </si>
  <si>
    <t>9780631167327</t>
  </si>
  <si>
    <t>793134710</t>
  </si>
  <si>
    <t>P40 L2965 1999</t>
  </si>
  <si>
    <t>0                      P  0040000L  2965        1999</t>
  </si>
  <si>
    <t>Language ideological debates / edited by Jan Blommaert.</t>
  </si>
  <si>
    <t>Berlin ; New York : Mouton de Gruyter, 1999.</t>
  </si>
  <si>
    <t>Language, power, and social process ; 2</t>
  </si>
  <si>
    <t>2019-09-30</t>
  </si>
  <si>
    <t>27190983:eng</t>
  </si>
  <si>
    <t>41527904</t>
  </si>
  <si>
    <t>ocm41527904</t>
  </si>
  <si>
    <t>3102730536A</t>
  </si>
  <si>
    <t>9783110163506</t>
  </si>
  <si>
    <t>793593434</t>
  </si>
  <si>
    <t>P40 L2967 2000</t>
  </si>
  <si>
    <t>0                      P  0040000L  2967        2000</t>
  </si>
  <si>
    <t>Language in action : new studies of language in society : essays in honor of Roger W. Shuy / edited by Joy Kreeft Peyton [and others].</t>
  </si>
  <si>
    <t>Cresskill, N.J. : Hampton Press, 2000.</t>
  </si>
  <si>
    <t>27519110:eng</t>
  </si>
  <si>
    <t>42652617</t>
  </si>
  <si>
    <t>ocm42652617</t>
  </si>
  <si>
    <t>3102730531A</t>
  </si>
  <si>
    <t>9781572732735</t>
  </si>
  <si>
    <t>793610783</t>
  </si>
  <si>
    <t>P40 L2998 1999</t>
  </si>
  <si>
    <t>0                      P  0040000L  2998        1999</t>
  </si>
  <si>
    <t>Language, society and power : an introduction / edited by Linda Thomas and Shân Wareing.</t>
  </si>
  <si>
    <t>1098921887:eng</t>
  </si>
  <si>
    <t>40417763</t>
  </si>
  <si>
    <t>ocm40417763</t>
  </si>
  <si>
    <t>3102294383R</t>
  </si>
  <si>
    <t>9780415187442</t>
  </si>
  <si>
    <t>793566167</t>
  </si>
  <si>
    <t>P40 L36 2011</t>
  </si>
  <si>
    <t>0                      P  0040000L  36          2011</t>
  </si>
  <si>
    <t>Langage, genre et sexualité / sous la direction de Alexandre Duchêne et Claudine Moïse.</t>
  </si>
  <si>
    <t>Québec : Éditions Nota Bene, 2011.</t>
  </si>
  <si>
    <t>Collection langues et pratiques discursives</t>
  </si>
  <si>
    <t>1060855495:eng</t>
  </si>
  <si>
    <t>768248413</t>
  </si>
  <si>
    <t>ocn768248413</t>
  </si>
  <si>
    <t>3103447672E</t>
  </si>
  <si>
    <t>9782895183662</t>
  </si>
  <si>
    <t>794902165</t>
  </si>
  <si>
    <t>P40 L395 1995</t>
  </si>
  <si>
    <t>0                      P  0040000L  395         1995</t>
  </si>
  <si>
    <t>Textual politics : discourse and social dynamics / Jay L. Lemke.</t>
  </si>
  <si>
    <t>Lemke, J. L. (Jay L.)</t>
  </si>
  <si>
    <t>London ; Bristol, PA : Taylor &amp; Francis, 1995.</t>
  </si>
  <si>
    <t>2017-08-09</t>
  </si>
  <si>
    <t>2018-03-09</t>
  </si>
  <si>
    <t>801237286:eng</t>
  </si>
  <si>
    <t>31782896</t>
  </si>
  <si>
    <t>ocm31782896</t>
  </si>
  <si>
    <t>3103099640B</t>
  </si>
  <si>
    <t>9780748402151</t>
  </si>
  <si>
    <t>793368177</t>
  </si>
  <si>
    <t>31027305820</t>
  </si>
  <si>
    <t>793368176</t>
  </si>
  <si>
    <t>P40 L48</t>
  </si>
  <si>
    <t>0                      P  0040000L  48</t>
  </si>
  <si>
    <t>Language diversity and language contact : essays / by Stanley Lieberson ; selected and introduced by Anwar S. Dil.</t>
  </si>
  <si>
    <t>Lieberson, Stanley, 1933-2018.</t>
  </si>
  <si>
    <t>Stanford, Calif. : Stanford University Press, 1981.</t>
  </si>
  <si>
    <t>2019-03-15</t>
  </si>
  <si>
    <t>795245008:eng</t>
  </si>
  <si>
    <t>7386035</t>
  </si>
  <si>
    <t>ocm07386035</t>
  </si>
  <si>
    <t>31027305772</t>
  </si>
  <si>
    <t>9780804710985</t>
  </si>
  <si>
    <t>792556421</t>
  </si>
  <si>
    <t>P40 L52 2007</t>
  </si>
  <si>
    <t>0                      P  0040000L  52          2007</t>
  </si>
  <si>
    <t>Linguistic identity in postcolonial multilingual spaces / edited by Eric A. Anchimbe.</t>
  </si>
  <si>
    <t>Newcastle, UK : Cambridge Scholars, 2007.</t>
  </si>
  <si>
    <t>114131125:eng</t>
  </si>
  <si>
    <t>173239366</t>
  </si>
  <si>
    <t>ocn173239366</t>
  </si>
  <si>
    <t>31028526988</t>
  </si>
  <si>
    <t>9781847183279</t>
  </si>
  <si>
    <t>794265741</t>
  </si>
  <si>
    <t>P40 L55 2013</t>
  </si>
  <si>
    <t>0                      P  0040000L  55          2013</t>
  </si>
  <si>
    <t>The sociolinguistics of writing / Theresa Lillis.</t>
  </si>
  <si>
    <t>Lillis, Theresa M., 1956-</t>
  </si>
  <si>
    <t>Edinburgh sociolinguistcs</t>
  </si>
  <si>
    <t>1232669486:eng</t>
  </si>
  <si>
    <t>840255387</t>
  </si>
  <si>
    <t>ocn840255387</t>
  </si>
  <si>
    <t>3103499908N</t>
  </si>
  <si>
    <t>9780748637485</t>
  </si>
  <si>
    <t>794945897</t>
  </si>
  <si>
    <t>P40 L63 2010</t>
  </si>
  <si>
    <t>0                      P  0040000L  63          2010</t>
  </si>
  <si>
    <t>Eavesdropping : an intimate history / John L. Locke.</t>
  </si>
  <si>
    <t>Locke, John L., author.</t>
  </si>
  <si>
    <t>2013-05-15</t>
  </si>
  <si>
    <t>796332584:eng</t>
  </si>
  <si>
    <t>520711948</t>
  </si>
  <si>
    <t>ocn520711948</t>
  </si>
  <si>
    <t>3103231532T</t>
  </si>
  <si>
    <t>9780199236138</t>
  </si>
  <si>
    <t>794808684</t>
  </si>
  <si>
    <t>P40 M37</t>
  </si>
  <si>
    <t>0                      P  0040000M  37</t>
  </si>
  <si>
    <t>Introduction à la sociolinguistique : la linguistique sociale / par Jean-Baptiste Marcellesi et Bernard Gardin ...</t>
  </si>
  <si>
    <t>Marcellesi, Jean Baptiste.</t>
  </si>
  <si>
    <t>Paris : Larousse, 1974.</t>
  </si>
  <si>
    <t>Langue et langage</t>
  </si>
  <si>
    <t>4494880503:fre</t>
  </si>
  <si>
    <t>1375979</t>
  </si>
  <si>
    <t>ocm01375979</t>
  </si>
  <si>
    <t>3100661380J</t>
  </si>
  <si>
    <t>9782030703366</t>
  </si>
  <si>
    <t>791612686</t>
  </si>
  <si>
    <t>2013-08-26</t>
  </si>
  <si>
    <t>31027305576</t>
  </si>
  <si>
    <t>791612685</t>
  </si>
  <si>
    <t>P40 M394 2010</t>
  </si>
  <si>
    <t>0                      P  0040000M  394         2010</t>
  </si>
  <si>
    <t>Language and the market society : critical reflections on discourse and dominance / Gerlinde Mautner.</t>
  </si>
  <si>
    <t>Mautner, Gerlinde, 1963-</t>
  </si>
  <si>
    <t>Routledge critical studies in discourse ; 2</t>
  </si>
  <si>
    <t>2012-11-13</t>
  </si>
  <si>
    <t>793270664:eng</t>
  </si>
  <si>
    <t>435967619</t>
  </si>
  <si>
    <t>ocn435967619</t>
  </si>
  <si>
    <t>3103128146M</t>
  </si>
  <si>
    <t>9780415998147</t>
  </si>
  <si>
    <t>794784025</t>
  </si>
  <si>
    <t>P40 M398 2008</t>
  </si>
  <si>
    <t>0                      P  0040000M  398         2008</t>
  </si>
  <si>
    <t>Language and power : an introduction to institutional discourse / Andrea Mayr.</t>
  </si>
  <si>
    <t>Mayr, Andrea, 1972-</t>
  </si>
  <si>
    <t>London ; New York : Continuum, ©2008.</t>
  </si>
  <si>
    <t>797251817:eng</t>
  </si>
  <si>
    <t>229464203</t>
  </si>
  <si>
    <t>ocn229464203</t>
  </si>
  <si>
    <t>3102976809P</t>
  </si>
  <si>
    <t>9780826487445</t>
  </si>
  <si>
    <t>794354040</t>
  </si>
  <si>
    <t>P40 M398 2012</t>
  </si>
  <si>
    <t>0                      P  0040000M  398         2012</t>
  </si>
  <si>
    <t>The language of crime and deviance : an introduction to critical linguistic analysis in media and popular culture / Andrea Mayr and David Machin.</t>
  </si>
  <si>
    <t>London ; New York : Continuum International Pub. Group, 2011.</t>
  </si>
  <si>
    <t>1067169804:eng</t>
  </si>
  <si>
    <t>727047918</t>
  </si>
  <si>
    <t>ocn727047918</t>
  </si>
  <si>
    <t>3103381956J</t>
  </si>
  <si>
    <t>9781441102409</t>
  </si>
  <si>
    <t>794877650</t>
  </si>
  <si>
    <t>P40 M47 2009</t>
  </si>
  <si>
    <t>0                      P  0040000M  47          2009</t>
  </si>
  <si>
    <t>Introducing sociolinguistics / Rajend Mesthrie, Joan Swann, Ana Deumert and William L. Leap.</t>
  </si>
  <si>
    <t>Mesthrie, Rajend, author.</t>
  </si>
  <si>
    <t>Edinburgh : Edinburgh University Press, [2009]</t>
  </si>
  <si>
    <t>2018-09-13</t>
  </si>
  <si>
    <t>766906674:eng</t>
  </si>
  <si>
    <t>280543868</t>
  </si>
  <si>
    <t>ocn280543868</t>
  </si>
  <si>
    <t>3102859687J</t>
  </si>
  <si>
    <t>9780748638437</t>
  </si>
  <si>
    <t>794420428</t>
  </si>
  <si>
    <t>P40 M498 2006</t>
  </si>
  <si>
    <t>0                      P  0040000M  498         2006</t>
  </si>
  <si>
    <t>Introducing sociolinguistics / Miriam Meyerhoff.</t>
  </si>
  <si>
    <t>Meyerhoff, Miriam.</t>
  </si>
  <si>
    <t>London ; New York : Routledge, ©2006.</t>
  </si>
  <si>
    <t>2019-09-11</t>
  </si>
  <si>
    <t>47383178:eng</t>
  </si>
  <si>
    <t>63195934</t>
  </si>
  <si>
    <t>ocm63195934</t>
  </si>
  <si>
    <t>3102592600O</t>
  </si>
  <si>
    <t>9780415399470</t>
  </si>
  <si>
    <t>794119984</t>
  </si>
  <si>
    <t>31026937443</t>
  </si>
  <si>
    <t>794119985</t>
  </si>
  <si>
    <t>P40 M498 2011</t>
  </si>
  <si>
    <t>0                      P  0040000M  498         2011</t>
  </si>
  <si>
    <t>Meyerhoff, Miriam, author.</t>
  </si>
  <si>
    <t>2nd edition.</t>
  </si>
  <si>
    <t>2019-03-09</t>
  </si>
  <si>
    <t>663102444</t>
  </si>
  <si>
    <t>ocn663102444</t>
  </si>
  <si>
    <t>3103232673E</t>
  </si>
  <si>
    <t>9780415550055</t>
  </si>
  <si>
    <t>794837734</t>
  </si>
  <si>
    <t>P40 M54 1980</t>
  </si>
  <si>
    <t>0                      P  0040000M  54          1980</t>
  </si>
  <si>
    <t>Language and social networks / Lesley Milroy.</t>
  </si>
  <si>
    <t>Milroy, Lesley.</t>
  </si>
  <si>
    <t>Oxford : B. Blackwell, 1980.</t>
  </si>
  <si>
    <t>Language in society ; 2</t>
  </si>
  <si>
    <t>181246:eng</t>
  </si>
  <si>
    <t>6503817</t>
  </si>
  <si>
    <t>ocm06503817</t>
  </si>
  <si>
    <t>3102730593Z</t>
  </si>
  <si>
    <t>9780631100614</t>
  </si>
  <si>
    <t>792504219</t>
  </si>
  <si>
    <t>P40 M66 2008</t>
  </si>
  <si>
    <t>0                      P  0040000M  66          2008</t>
  </si>
  <si>
    <t>An introduction to language and society / Martin Montgomery.</t>
  </si>
  <si>
    <t>Montgomery, Martin.</t>
  </si>
  <si>
    <t>5048939:eng</t>
  </si>
  <si>
    <t>189699863</t>
  </si>
  <si>
    <t>ocn189699863</t>
  </si>
  <si>
    <t>3102974827T</t>
  </si>
  <si>
    <t>9780415382991</t>
  </si>
  <si>
    <t>794295240</t>
  </si>
  <si>
    <t>P40 M665 2011</t>
  </si>
  <si>
    <t>0                      P  0040000M  665         2011</t>
  </si>
  <si>
    <t>The language, society and power reader / edited by Annabelle Mooney [and others].</t>
  </si>
  <si>
    <t>3943378723:eng</t>
  </si>
  <si>
    <t>166361389</t>
  </si>
  <si>
    <t>ocn166361389</t>
  </si>
  <si>
    <t>3103234568B</t>
  </si>
  <si>
    <t>9780415430821</t>
  </si>
  <si>
    <t>794260656</t>
  </si>
  <si>
    <t>P40 M85 2012</t>
  </si>
  <si>
    <t>0                      P  0040000M  85          2012</t>
  </si>
  <si>
    <t>Multimodal texts from around the world : cultural and linguistic insights / edited by Wendy L. Bowcher.</t>
  </si>
  <si>
    <t>Houndmills, Basingstoke, Hampshire ; New York : Palgrave Macmillan, 2012.</t>
  </si>
  <si>
    <t>1059915297:eng</t>
  </si>
  <si>
    <t>767864897</t>
  </si>
  <si>
    <t>ocn767864897</t>
  </si>
  <si>
    <t>3103431960$</t>
  </si>
  <si>
    <t>9780230251632</t>
  </si>
  <si>
    <t>794901643</t>
  </si>
  <si>
    <t>P40 N425 2010</t>
  </si>
  <si>
    <t>0                      P  0040000N  425         2010</t>
  </si>
  <si>
    <t>New adventures in language and interaction / edited by Jürgen Streeck.</t>
  </si>
  <si>
    <t>Amsterdam ; Philadelphia : John Benjamins Pub. Co., ©2010.</t>
  </si>
  <si>
    <t>Pragmatics &amp; beyond new series ; v. 196</t>
  </si>
  <si>
    <t>2012-07-20</t>
  </si>
  <si>
    <t>687473698:eng</t>
  </si>
  <si>
    <t>553371022</t>
  </si>
  <si>
    <t>ocn553371022</t>
  </si>
  <si>
    <t>31032275428</t>
  </si>
  <si>
    <t>9789027256003</t>
  </si>
  <si>
    <t>794811918</t>
  </si>
  <si>
    <t>P40 O85 2010</t>
  </si>
  <si>
    <t>0                      P  0040000O  85          2010</t>
  </si>
  <si>
    <t>High vs. low and mixed varieties : status, norms and functions across time and languages / edited by Gunvor Mejdell and Lutz Edzard.</t>
  </si>
  <si>
    <t>Oslo Workshop on High and Low Varieties, Diglossia, and Language Contact: Linguistic Products and Social Processes (2010 : Oslo, Norway)</t>
  </si>
  <si>
    <t>Wiesbaden : Harrassowitz, 2012.</t>
  </si>
  <si>
    <t>Abhandlungen für die Kunde des Morgenlandes ; Bd. 77</t>
  </si>
  <si>
    <t>1171529451:eng</t>
  </si>
  <si>
    <t>812463731</t>
  </si>
  <si>
    <t>ocn812463731</t>
  </si>
  <si>
    <t>3103454553S</t>
  </si>
  <si>
    <t>9783447066969</t>
  </si>
  <si>
    <t>794930973</t>
  </si>
  <si>
    <t>P40 O94 2013</t>
  </si>
  <si>
    <t>0                      P  0040000O  94          2013</t>
  </si>
  <si>
    <t>The Oxford handbook of sociolinguistics / edited by Robert Bayley, Richard Cameron, and Ceil Lucas.</t>
  </si>
  <si>
    <t>Oxford handbooks in linguistics</t>
  </si>
  <si>
    <t>2015-04-06</t>
  </si>
  <si>
    <t>1111018526:eng</t>
  </si>
  <si>
    <t>794272261</t>
  </si>
  <si>
    <t>ocn794272261</t>
  </si>
  <si>
    <t>3103529602O</t>
  </si>
  <si>
    <t>9780199744084</t>
  </si>
  <si>
    <t>794919473</t>
  </si>
  <si>
    <t>P40 P4115 2010</t>
  </si>
  <si>
    <t>0                      P  0040000P  4115        2010</t>
  </si>
  <si>
    <t>Language as a local practice / Alastair Pennycook.</t>
  </si>
  <si>
    <t>1</t>
  </si>
  <si>
    <t>Pennycook, Alastair, 1957-</t>
  </si>
  <si>
    <t>Milton Park, Abingdon ; New York : Routledge, 2010.</t>
  </si>
  <si>
    <t>2019-05-09</t>
  </si>
  <si>
    <t>322514328:eng</t>
  </si>
  <si>
    <t>436311268</t>
  </si>
  <si>
    <t>ocn436311268</t>
  </si>
  <si>
    <t>3103243072N</t>
  </si>
  <si>
    <t>9780415547505</t>
  </si>
  <si>
    <t>794784630</t>
  </si>
  <si>
    <t>P40 P655 2011</t>
  </si>
  <si>
    <t>0                      P  0040000P  655         2011</t>
  </si>
  <si>
    <t>Postcolonial linguistic voices : identity choices and representations / edited by Eric A. Anchimbe and Stephen A. Mforteh.</t>
  </si>
  <si>
    <t>Berlin ; Boston : De Gruyter Mouton, 2011.</t>
  </si>
  <si>
    <t>Contributions to the sociology of language ; 100</t>
  </si>
  <si>
    <t>999408146:eng</t>
  </si>
  <si>
    <t>747331895</t>
  </si>
  <si>
    <t>ocn747331895</t>
  </si>
  <si>
    <t>3103423402N</t>
  </si>
  <si>
    <t>9783110260663</t>
  </si>
  <si>
    <t>794888062</t>
  </si>
  <si>
    <t>P40 P69 2008</t>
  </si>
  <si>
    <t>0                      P  0040000P  69          2008</t>
  </si>
  <si>
    <t>Problematizing identity : everyday struggles in language, culture, and education / edited by Angel M.Y. Lin.</t>
  </si>
  <si>
    <t>New York : Lawrence Erlbaum Associates, ©2008.</t>
  </si>
  <si>
    <t>2016-03-24</t>
  </si>
  <si>
    <t>792926303:eng</t>
  </si>
  <si>
    <t>86090385</t>
  </si>
  <si>
    <t>ocm86090385</t>
  </si>
  <si>
    <t>3102649688$</t>
  </si>
  <si>
    <t>9780805853384</t>
  </si>
  <si>
    <t>794218310</t>
  </si>
  <si>
    <t>P40 R36 2006</t>
  </si>
  <si>
    <t>0                      P  0040000R  36          2006</t>
  </si>
  <si>
    <t>Language in late modernity : interaction in an urban school / Ben Rampton.</t>
  </si>
  <si>
    <t>Rampton, Ben, 1953-</t>
  </si>
  <si>
    <t>Cambridge ; New York : Cambridge University Press, 2006.</t>
  </si>
  <si>
    <t>Studies in interactional sociolinguistics ; 22</t>
  </si>
  <si>
    <t>2016-06-29</t>
  </si>
  <si>
    <t>793875747:eng</t>
  </si>
  <si>
    <t>62532858</t>
  </si>
  <si>
    <t>ocm62532858</t>
  </si>
  <si>
    <t>3102581819P</t>
  </si>
  <si>
    <t>9780521812634</t>
  </si>
  <si>
    <t>794109275</t>
  </si>
  <si>
    <t>P40 R36 2010</t>
  </si>
  <si>
    <t>0                      P  0040000R  36          2010</t>
  </si>
  <si>
    <t>Transforming violent conflict : radical disagreement, dialogue and survival / Oliver Ramsbotham.</t>
  </si>
  <si>
    <t>Ramsbotham, Oliver.</t>
  </si>
  <si>
    <t>London ; New York : Routledge, 2010.</t>
  </si>
  <si>
    <t>Routledge studies in peace and conflict resolution</t>
  </si>
  <si>
    <t>510810867:eng</t>
  </si>
  <si>
    <t>317928166</t>
  </si>
  <si>
    <t>ocn317928166</t>
  </si>
  <si>
    <t>3103131590N</t>
  </si>
  <si>
    <t>9780415552073</t>
  </si>
  <si>
    <t>794477199</t>
  </si>
  <si>
    <t>P40 R46</t>
  </si>
  <si>
    <t>0                      P  0040000R  46</t>
  </si>
  <si>
    <t>The Relationship of verbal and nonverbal communication / edited by Mary Ritchie Key.</t>
  </si>
  <si>
    <t>The Hague ; New York : Mouton, ©1980.</t>
  </si>
  <si>
    <t>Contributions to the sociology of language ; no. 25</t>
  </si>
  <si>
    <t>2019-10-11</t>
  </si>
  <si>
    <t>5454072924:eng</t>
  </si>
  <si>
    <t>7059755</t>
  </si>
  <si>
    <t>ocm07059755</t>
  </si>
  <si>
    <t>3000306369C</t>
  </si>
  <si>
    <t>9789027978783</t>
  </si>
  <si>
    <t>792537965</t>
  </si>
  <si>
    <t>2006-07-07</t>
  </si>
  <si>
    <t>30009658473</t>
  </si>
  <si>
    <t>792537966</t>
  </si>
  <si>
    <t>P40 R59 2000</t>
  </si>
  <si>
    <t>0                      P  0040000R  59          2000</t>
  </si>
  <si>
    <t>Language in society : an introduction to sociolinguistics / Suzanne Romaine.</t>
  </si>
  <si>
    <t>Romaine, Suzanne, 1951-</t>
  </si>
  <si>
    <t>Oxford ; New York : Oxford University Press, ©2000.</t>
  </si>
  <si>
    <t>2018-05-27</t>
  </si>
  <si>
    <t>796454082:eng</t>
  </si>
  <si>
    <t>43458125</t>
  </si>
  <si>
    <t>ocm43458125</t>
  </si>
  <si>
    <t>31027305536</t>
  </si>
  <si>
    <t>9780198731924</t>
  </si>
  <si>
    <t>793627181</t>
  </si>
  <si>
    <t>P40 R68 2007</t>
  </si>
  <si>
    <t>0                      P  0040000R  68          2007</t>
  </si>
  <si>
    <t>The Routledge companion to sociolinguistics / edited by Carmen Llamas, Louise Mullany and Peter Stockwell.</t>
  </si>
  <si>
    <t>London ; New York : Routledge, 2007.</t>
  </si>
  <si>
    <t>888375609:eng</t>
  </si>
  <si>
    <t>67239841</t>
  </si>
  <si>
    <t>ocm67239841</t>
  </si>
  <si>
    <t>3102565721K</t>
  </si>
  <si>
    <t>9780415338493</t>
  </si>
  <si>
    <t>794139979</t>
  </si>
  <si>
    <t>P40 R683 2010</t>
  </si>
  <si>
    <t>0                      P  0040000R  683         2010</t>
  </si>
  <si>
    <t>Routledge handbook of sociolinguistics around the world / edited by Martin J. Ball.</t>
  </si>
  <si>
    <t>Milton Park, Abingdon, Oxon ; New York, NY : Routledge, 2010.</t>
  </si>
  <si>
    <t>2018-10-19</t>
  </si>
  <si>
    <t>766925102:eng</t>
  </si>
  <si>
    <t>244063583</t>
  </si>
  <si>
    <t>ocn244063583</t>
  </si>
  <si>
    <t>3103130907X</t>
  </si>
  <si>
    <t>9780415422789</t>
  </si>
  <si>
    <t>794380751</t>
  </si>
  <si>
    <t>P40 S295 2013</t>
  </si>
  <si>
    <t>0                      P  0040000S  295         2013</t>
  </si>
  <si>
    <t>Sociolinguistic fieldwork / Natalie Schilling.</t>
  </si>
  <si>
    <t>Schilling, Natalie.</t>
  </si>
  <si>
    <t>Cambridge ; New York : Cambridge University Press, 2013.</t>
  </si>
  <si>
    <t>2016-03-15</t>
  </si>
  <si>
    <t>1176359994:eng</t>
  </si>
  <si>
    <t>815757354</t>
  </si>
  <si>
    <t>ocn815757354</t>
  </si>
  <si>
    <t>31035000612</t>
  </si>
  <si>
    <t>9780521762922</t>
  </si>
  <si>
    <t>794932696</t>
  </si>
  <si>
    <t>P40 S34 2011</t>
  </si>
  <si>
    <t>0                      P  0040000S  34          2011</t>
  </si>
  <si>
    <t>The SAGE handbook of sociolinguistics / edited by Ruth Wodak, Barbara Johnstone, and Paul Kerswill.</t>
  </si>
  <si>
    <t>Los Angeles : SAGE, 2011.</t>
  </si>
  <si>
    <t>2012-12-07</t>
  </si>
  <si>
    <t>901541118:eng</t>
  </si>
  <si>
    <t>640086396</t>
  </si>
  <si>
    <t>ocn640086396</t>
  </si>
  <si>
    <t>31032301534</t>
  </si>
  <si>
    <t>9781847870957</t>
  </si>
  <si>
    <t>794827279</t>
  </si>
  <si>
    <t>P40 S462 2010</t>
  </si>
  <si>
    <t>0                      P  0040000S  462         2010</t>
  </si>
  <si>
    <t>Language and power : a resource book for students / Paul Simpson and Andrea Mayr.</t>
  </si>
  <si>
    <t>Simpson, Paul, 1959-</t>
  </si>
  <si>
    <t>London ; New York, NY : Routledge, 2010.</t>
  </si>
  <si>
    <t>Routledge English language introductions</t>
  </si>
  <si>
    <t>2017-09-11</t>
  </si>
  <si>
    <t>407859479:eng</t>
  </si>
  <si>
    <t>311790137</t>
  </si>
  <si>
    <t>ocn311790137</t>
  </si>
  <si>
    <t>3103157048E</t>
  </si>
  <si>
    <t>9780415468992</t>
  </si>
  <si>
    <t>794436497</t>
  </si>
  <si>
    <t>P40 S544 1987</t>
  </si>
  <si>
    <t>0                      P  0040000S  544         1987</t>
  </si>
  <si>
    <t>The Social history of language / edited by Peter Burke, Roy Porter.</t>
  </si>
  <si>
    <t>Cambridge studies in oral and literate culture ; 12</t>
  </si>
  <si>
    <t>2019-08-02</t>
  </si>
  <si>
    <t>2019-10-29</t>
  </si>
  <si>
    <t>496589743:eng</t>
  </si>
  <si>
    <t>15629224</t>
  </si>
  <si>
    <t>ocm15629224</t>
  </si>
  <si>
    <t>31025236528</t>
  </si>
  <si>
    <t>9780521301589</t>
  </si>
  <si>
    <t>792937412</t>
  </si>
  <si>
    <t>31027305850</t>
  </si>
  <si>
    <t>792937411</t>
  </si>
  <si>
    <t>P40 S5485 2013</t>
  </si>
  <si>
    <t>0                      P  0040000S  5485        2013</t>
  </si>
  <si>
    <t>Sociolinguistique du contact : dictionnaire des termes et concepts / sous la direction de Jacky Simonin et Sylvie Wharton ; préface de Monica Heller ; avec les contributions de Sophie Alby [and nineteen others].</t>
  </si>
  <si>
    <t>Lyon : ENS éditions, 2013.</t>
  </si>
  <si>
    <t>Collection Langages</t>
  </si>
  <si>
    <t>1212034648:fre</t>
  </si>
  <si>
    <t>829676188</t>
  </si>
  <si>
    <t>ocn829676188</t>
  </si>
  <si>
    <t>31035271158</t>
  </si>
  <si>
    <t>9782847883695</t>
  </si>
  <si>
    <t>794942580</t>
  </si>
  <si>
    <t>P40 S578 1983</t>
  </si>
  <si>
    <t>0                      P  0040000S  578         1983</t>
  </si>
  <si>
    <t>Sociolinguistics and language acquisition / Nessa Wolfson, Elliot Judd, editors.</t>
  </si>
  <si>
    <t>Rowley, Mass. : Newbury House, 1983.</t>
  </si>
  <si>
    <t>Series on issues in second language research</t>
  </si>
  <si>
    <t>2017-11-03</t>
  </si>
  <si>
    <t>350972251:eng</t>
  </si>
  <si>
    <t>9082934</t>
  </si>
  <si>
    <t>ocm09082934</t>
  </si>
  <si>
    <t>3001000628K</t>
  </si>
  <si>
    <t>9780883772690</t>
  </si>
  <si>
    <t>792656070</t>
  </si>
  <si>
    <t>P40 S579 2001</t>
  </si>
  <si>
    <t>0                      P  0040000S  579         2001</t>
  </si>
  <si>
    <t>Sociolinguistics and social theory / edited by Nikolas Coupland, Srikant Sarangi, and Christopher N. Candlin.</t>
  </si>
  <si>
    <t>Harlow, England ; New York : Longman, 2001.</t>
  </si>
  <si>
    <t>2015-03-26</t>
  </si>
  <si>
    <t>503038765:eng</t>
  </si>
  <si>
    <t>45420097</t>
  </si>
  <si>
    <t>ocm45420097</t>
  </si>
  <si>
    <t>3102730591Z</t>
  </si>
  <si>
    <t>9780582327849</t>
  </si>
  <si>
    <t>793671111</t>
  </si>
  <si>
    <t>P40 S583 2010</t>
  </si>
  <si>
    <t>0                      P  0040000S  583         2010</t>
  </si>
  <si>
    <t>The sociology of language and religion : change, conflict and accommodation / edited by Tope Omoniyi.</t>
  </si>
  <si>
    <t>Basingstoke, Hampshire ; New York, NY : Palgrave Macmillan, 2010.</t>
  </si>
  <si>
    <t>793198908:eng</t>
  </si>
  <si>
    <t>457772044</t>
  </si>
  <si>
    <t>ocn457772044</t>
  </si>
  <si>
    <t>31032329981</t>
  </si>
  <si>
    <t>9780230516991</t>
  </si>
  <si>
    <t>794790140</t>
  </si>
  <si>
    <t>P40 S596 2011</t>
  </si>
  <si>
    <t>0                      P  0040000S  596         2011</t>
  </si>
  <si>
    <t>Spatial dimensions of social thought / edited by Thomas W. Schubert, Anne Maass.</t>
  </si>
  <si>
    <t>Berlin ; Boston : De Gruyter Mouton, ©2011.</t>
  </si>
  <si>
    <t>Applications of cognitive linguistics ; 18</t>
  </si>
  <si>
    <t>987586027:eng</t>
  </si>
  <si>
    <t>746489207</t>
  </si>
  <si>
    <t>ocn746489207</t>
  </si>
  <si>
    <t>3103406206R</t>
  </si>
  <si>
    <t>9783110254303</t>
  </si>
  <si>
    <t>794887234</t>
  </si>
  <si>
    <t>P40 S63 2011</t>
  </si>
  <si>
    <t>0                      P  0040000S  63          2011</t>
  </si>
  <si>
    <t>Sociolinguistique urbaine : identités et mise en mots / Sabine Bastian, Thierry Bulot, Elisabeth Burr (ed.).</t>
  </si>
  <si>
    <t>Journées Internationales de Sociolinguistique Urbaine (6th : 2009 : Leipzig, Germany)</t>
  </si>
  <si>
    <t>München : Martin Meidenbauer, [2011]</t>
  </si>
  <si>
    <t>Sprache, Kultur, Gesellschaft ; 6</t>
  </si>
  <si>
    <t>2016-03-30</t>
  </si>
  <si>
    <t>901064816:fre</t>
  </si>
  <si>
    <t>750287954</t>
  </si>
  <si>
    <t>ocn750287954</t>
  </si>
  <si>
    <t>3103446620S</t>
  </si>
  <si>
    <t>9783899752311</t>
  </si>
  <si>
    <t>794890135</t>
  </si>
  <si>
    <t>P40 S784 2010</t>
  </si>
  <si>
    <t>0                      P  0040000S  784         2010</t>
  </si>
  <si>
    <t>Sociolinguistics and language education / edited by Nancy H. Hornberger and Sandra Lee McKay.</t>
  </si>
  <si>
    <t>New perspectives on language and education</t>
  </si>
  <si>
    <t>2016-09-27</t>
  </si>
  <si>
    <t>888388664:eng</t>
  </si>
  <si>
    <t>505423766</t>
  </si>
  <si>
    <t>ocn505423766</t>
  </si>
  <si>
    <t>3103134148X</t>
  </si>
  <si>
    <t>9781847692832</t>
  </si>
  <si>
    <t>794807178</t>
  </si>
  <si>
    <t>P40 T7475 2010</t>
  </si>
  <si>
    <t>0                      P  0040000T  7475        2010</t>
  </si>
  <si>
    <t>Investigations in sociohistorical linguistics : stories of colonisation and contact / Peter Trudgill.</t>
  </si>
  <si>
    <t>Trudgill, Peter.</t>
  </si>
  <si>
    <t>2014-03-23</t>
  </si>
  <si>
    <t>792131126:eng</t>
  </si>
  <si>
    <t>643763601</t>
  </si>
  <si>
    <t>ocn643763601</t>
  </si>
  <si>
    <t>3103230748P</t>
  </si>
  <si>
    <t>9780521115292</t>
  </si>
  <si>
    <t>794829054</t>
  </si>
  <si>
    <t>P40 T749 2002</t>
  </si>
  <si>
    <t>0                      P  0040000T  749         2002</t>
  </si>
  <si>
    <t>Sociolinguistic variation and change / Peter Trudgill.</t>
  </si>
  <si>
    <t>Washington, D.C. : Georgetown University Press, ©2002.</t>
  </si>
  <si>
    <t>6224085:eng</t>
  </si>
  <si>
    <t>48074040</t>
  </si>
  <si>
    <t>ocm48074040</t>
  </si>
  <si>
    <t>31027306279</t>
  </si>
  <si>
    <t>9780878403691</t>
  </si>
  <si>
    <t>793715157</t>
  </si>
  <si>
    <t>P40 T75 1995</t>
  </si>
  <si>
    <t>0                      P  0040000T  75          1995</t>
  </si>
  <si>
    <t>Sociolinguistics : an introduction to language and society / Peter Trudgill.</t>
  </si>
  <si>
    <t>London, England ; New York, N.Y., USA : Penguin, ©1995.</t>
  </si>
  <si>
    <t>New 3rd rev. ed.</t>
  </si>
  <si>
    <t>2017-03-22</t>
  </si>
  <si>
    <t>3537605:eng</t>
  </si>
  <si>
    <t>34053254</t>
  </si>
  <si>
    <t>ocm34053254</t>
  </si>
  <si>
    <t>3101715879G</t>
  </si>
  <si>
    <t>9780140239263</t>
  </si>
  <si>
    <t>793417469</t>
  </si>
  <si>
    <t>3102730602D</t>
  </si>
  <si>
    <t>793417470</t>
  </si>
  <si>
    <t>P40 T76 2010</t>
  </si>
  <si>
    <t>0                      P  0040000T  76          2010</t>
  </si>
  <si>
    <t>An introduction to English sociolinguistics / Graeme Trousdale.</t>
  </si>
  <si>
    <t>Trousdale, Graeme, 1971-</t>
  </si>
  <si>
    <t>Edinburgh : Edinburgh University Press, ©2010.</t>
  </si>
  <si>
    <t>Edinburgh textbooks on the English language</t>
  </si>
  <si>
    <t>198586080:eng</t>
  </si>
  <si>
    <t>320798929</t>
  </si>
  <si>
    <t>ocn320798929</t>
  </si>
  <si>
    <t>3103133295O</t>
  </si>
  <si>
    <t>9780748623242</t>
  </si>
  <si>
    <t>794486889</t>
  </si>
  <si>
    <t>P40 V354 2012</t>
  </si>
  <si>
    <t>0                      P  0040000V  354         2012</t>
  </si>
  <si>
    <t>What is sociolinguistics / Gerard Van Herk.</t>
  </si>
  <si>
    <t>Van Herk, Gerard.</t>
  </si>
  <si>
    <t>Chichester, West Sussex, UK ; Malden, MA : Wiley-Blackwell, 2012.</t>
  </si>
  <si>
    <t>Linguistics in the world</t>
  </si>
  <si>
    <t>1077987756:eng</t>
  </si>
  <si>
    <t>733222223</t>
  </si>
  <si>
    <t>ocn733222223</t>
  </si>
  <si>
    <t>3103410962D</t>
  </si>
  <si>
    <t>9781405193191</t>
  </si>
  <si>
    <t>794881713</t>
  </si>
  <si>
    <t>P40 W27 2002</t>
  </si>
  <si>
    <t>0                      P  0040000W  27          2002</t>
  </si>
  <si>
    <t>An introduction to sociolinguistics / Ronald Wardhaugh.</t>
  </si>
  <si>
    <t>Wardhaugh, Ronald.</t>
  </si>
  <si>
    <t>Malden, MA : Blackwell Pub., 2002.</t>
  </si>
  <si>
    <t>Blackwell textbooks in linguistics ; 4</t>
  </si>
  <si>
    <t>935619:eng</t>
  </si>
  <si>
    <t>46641904</t>
  </si>
  <si>
    <t>ocm46641904</t>
  </si>
  <si>
    <t>3102730598Z</t>
  </si>
  <si>
    <t>9780631225393</t>
  </si>
  <si>
    <t>793688513</t>
  </si>
  <si>
    <t>2017-01-05</t>
  </si>
  <si>
    <t>3102730603D</t>
  </si>
  <si>
    <t>793688514</t>
  </si>
  <si>
    <t>P40 W27 2006</t>
  </si>
  <si>
    <t>0                      P  0040000W  27          2006</t>
  </si>
  <si>
    <t>Malden, Mass., USA : Blackwell Pub., 2006.</t>
  </si>
  <si>
    <t>60835457</t>
  </si>
  <si>
    <t>ocm60835457</t>
  </si>
  <si>
    <t>31026550321</t>
  </si>
  <si>
    <t>9781405135597</t>
  </si>
  <si>
    <t>793944850</t>
  </si>
  <si>
    <t>2015-02-16</t>
  </si>
  <si>
    <t>3103096499J</t>
  </si>
  <si>
    <t>793944849</t>
  </si>
  <si>
    <t>P40 W27 2010</t>
  </si>
  <si>
    <t>0                      P  0040000W  27          2010</t>
  </si>
  <si>
    <t>Chichester, West Sussex, U.K. ; Malden, MA : Wiley-Blackwell, 2010.</t>
  </si>
  <si>
    <t>6th ed.</t>
  </si>
  <si>
    <t>2019-04-24</t>
  </si>
  <si>
    <t>317288704</t>
  </si>
  <si>
    <t>ocn317288704</t>
  </si>
  <si>
    <t>31033040402</t>
  </si>
  <si>
    <t>9781405186681</t>
  </si>
  <si>
    <t>794452040</t>
  </si>
  <si>
    <t>P40 Y68 2008</t>
  </si>
  <si>
    <t>0                      P  0040000Y  68          2008</t>
  </si>
  <si>
    <t>Language and interaction : an advanced resource book / Richard F. Young.</t>
  </si>
  <si>
    <t>Young, Richard, 1948-</t>
  </si>
  <si>
    <t>Routledge applied linguistics</t>
  </si>
  <si>
    <t>865561010:eng</t>
  </si>
  <si>
    <t>182779224</t>
  </si>
  <si>
    <t>ocn182779224</t>
  </si>
  <si>
    <t>3102853112Z</t>
  </si>
  <si>
    <t>9780415385534</t>
  </si>
  <si>
    <t>794285533</t>
  </si>
  <si>
    <t>P40.3 D38 2013</t>
  </si>
  <si>
    <t>0                      P  0040300D  38          2013</t>
  </si>
  <si>
    <t>Data collection in sociolinguistics : methods and applications / edited by Christine Mallinson, Becky Childs, and Gerard Van Herk.</t>
  </si>
  <si>
    <t>New York : Routledge, Taylor &amp; Francis Group, 2013.</t>
  </si>
  <si>
    <t>1098226743:eng</t>
  </si>
  <si>
    <t>783167659</t>
  </si>
  <si>
    <t>ocn783167659</t>
  </si>
  <si>
    <t>3103498362X</t>
  </si>
  <si>
    <t>9780415898560</t>
  </si>
  <si>
    <t>794914092</t>
  </si>
  <si>
    <t>P40.3 M33 2009</t>
  </si>
  <si>
    <t>0                      P  0040300M  33          2009</t>
  </si>
  <si>
    <t>Quantitative methods in sociolinguistics / Ronald K.S. Macaulay.</t>
  </si>
  <si>
    <t>Macaulay, Ronald K. S.</t>
  </si>
  <si>
    <t>Houndmills, Basingstoke ; New York : Palgrave Macmillan, ©2009.</t>
  </si>
  <si>
    <t>2017-11-01</t>
  </si>
  <si>
    <t>319410267:eng</t>
  </si>
  <si>
    <t>432587682</t>
  </si>
  <si>
    <t>ocn432587682</t>
  </si>
  <si>
    <t>31030870691</t>
  </si>
  <si>
    <t>9780230579170</t>
  </si>
  <si>
    <t>794781904</t>
  </si>
  <si>
    <t>P40.3 R345 2016</t>
  </si>
  <si>
    <t>0                      P  0040300R  345         2016</t>
  </si>
  <si>
    <t>Human communication across cultures : a cross-cultural introduction to pragmatics and sociolinguistics / Vincent Remillard and Karen Williams.</t>
  </si>
  <si>
    <t>Remillard, Vincent Leonard, 1942- author.</t>
  </si>
  <si>
    <t>Sheffield, UK ; Bristol, CT : Equinox, 2016.</t>
  </si>
  <si>
    <t>2956955194:eng</t>
  </si>
  <si>
    <t>945359011</t>
  </si>
  <si>
    <t>ocn945359011</t>
  </si>
  <si>
    <t>3103657451B</t>
  </si>
  <si>
    <t>9781781793541</t>
  </si>
  <si>
    <t>795013456</t>
  </si>
  <si>
    <t>P40.3 R44 2014</t>
  </si>
  <si>
    <t>0                      P  0040300R  44          2014</t>
  </si>
  <si>
    <t>Regards sociolinguistiques contemporains : terrains, espaces et complexités de la recherche / Gilles Forlot et Fanny Martin (Éd.).</t>
  </si>
  <si>
    <t>Paris : L'Harmattan, [2014]</t>
  </si>
  <si>
    <t>Carnets d'atelier de sociolinguistique, 2014 (Hors série)</t>
  </si>
  <si>
    <t>2268395150:fre</t>
  </si>
  <si>
    <t>897806448</t>
  </si>
  <si>
    <t>ocn897806448</t>
  </si>
  <si>
    <t>3103586203I</t>
  </si>
  <si>
    <t>9782343046143</t>
  </si>
  <si>
    <t>794985413</t>
  </si>
  <si>
    <t>P40.45 A35 L367 2009</t>
  </si>
  <si>
    <t>0                      P  0040450A  35                 L  367         2009</t>
  </si>
  <si>
    <t>The languages of urban Africa / edited by Fiona Mc Laughlin.</t>
  </si>
  <si>
    <t>London ; New York, NY : Continuum, ©2009.</t>
  </si>
  <si>
    <t>1044587959:eng</t>
  </si>
  <si>
    <t>231585941</t>
  </si>
  <si>
    <t>ocn231585941</t>
  </si>
  <si>
    <t>31030864193</t>
  </si>
  <si>
    <t>9781847061164</t>
  </si>
  <si>
    <t>794357771</t>
  </si>
  <si>
    <t>P40.45 A357 A34 1994</t>
  </si>
  <si>
    <t>0                      P  0040450A  357                A  34          1994</t>
  </si>
  <si>
    <t>Language attitudes in sub-Saharan Africa : a sociolinguistic overview / Efurosibina Adegbija.</t>
  </si>
  <si>
    <t>Adegbija, Efurosibina E., 1952-</t>
  </si>
  <si>
    <t>Clevedon, Avon ; Philadelphia : Multilingual Matters, Ltd., ©1994.</t>
  </si>
  <si>
    <t>Multilingual matters ; 103</t>
  </si>
  <si>
    <t>2015-04-01</t>
  </si>
  <si>
    <t>799776988:eng</t>
  </si>
  <si>
    <t>30027278</t>
  </si>
  <si>
    <t>ocm30027278</t>
  </si>
  <si>
    <t>31027306209</t>
  </si>
  <si>
    <t>9781853592393</t>
  </si>
  <si>
    <t>793326949</t>
  </si>
  <si>
    <t>P40.45 A358 Z33 2007</t>
  </si>
  <si>
    <t>0                      P  0040450A  358                Z  33          2007</t>
  </si>
  <si>
    <t>The African palimpsest : indigenization of language in the West African europhone novel / Chantal Zabus.</t>
  </si>
  <si>
    <t>Zabus, Chantal J.</t>
  </si>
  <si>
    <t>Amsterdam ; New York : Rodopi, 2007.</t>
  </si>
  <si>
    <t>2nd enl. ed.</t>
  </si>
  <si>
    <t>Cross/cultures, 0924-1426 ; 4</t>
  </si>
  <si>
    <t>801842825:eng</t>
  </si>
  <si>
    <t>219973112</t>
  </si>
  <si>
    <t>ocn219973112</t>
  </si>
  <si>
    <t>3102885491O</t>
  </si>
  <si>
    <t>9789042022249</t>
  </si>
  <si>
    <t>794319345</t>
  </si>
  <si>
    <t>P40.45 A65 A55 2016</t>
  </si>
  <si>
    <t>0                      P  0040450A  65                 A  55          2016</t>
  </si>
  <si>
    <t>Modern Arabic sociolinguistics : diglossia, variation, codeswitching, attitudes and identity / Abdulkafi Albirini.</t>
  </si>
  <si>
    <t>Albirini, Abdulkafi.</t>
  </si>
  <si>
    <t>London ; New York : Routledge, Taylor &amp; Francis Group, 2016.</t>
  </si>
  <si>
    <t>2302060770:eng</t>
  </si>
  <si>
    <t>904011986</t>
  </si>
  <si>
    <t>ocn904011986</t>
  </si>
  <si>
    <t>31036130321</t>
  </si>
  <si>
    <t>9780415707466</t>
  </si>
  <si>
    <t>794989907</t>
  </si>
  <si>
    <t>P40.45 C2 F73 2014</t>
  </si>
  <si>
    <t>0                      P  0040450C  2                  F  73          2014</t>
  </si>
  <si>
    <t>La francophonie en Acadie : dynamiques sociales et langagières : textes en hommage à Louise Péronnet / sous la direction de Laurence Arrighi et Matthieu LeBlanc.</t>
  </si>
  <si>
    <t>Sudbury : Prise de parole, 2014.</t>
  </si>
  <si>
    <t>Collection Agora</t>
  </si>
  <si>
    <t>2029929283:fre</t>
  </si>
  <si>
    <t>898325238</t>
  </si>
  <si>
    <t>ocn898325238</t>
  </si>
  <si>
    <t>3103495520A</t>
  </si>
  <si>
    <t>9782894239285</t>
  </si>
  <si>
    <t>794986221</t>
  </si>
  <si>
    <t>P40.45 C2 L35 2007</t>
  </si>
  <si>
    <t>0                      P  0040450C  2                  L  35          2007</t>
  </si>
  <si>
    <t>Language issues in Canada : multidisciplinary perspectives / edited by Martin Howard.</t>
  </si>
  <si>
    <t>Newcastle, UK : Cambridge Scholars Pub., 2007.</t>
  </si>
  <si>
    <t>2017-12-21</t>
  </si>
  <si>
    <t>148239454:eng</t>
  </si>
  <si>
    <t>166281547</t>
  </si>
  <si>
    <t>ocn166281547</t>
  </si>
  <si>
    <t>3102572028B</t>
  </si>
  <si>
    <t>9781847182036</t>
  </si>
  <si>
    <t>794259890</t>
  </si>
  <si>
    <t>P40.45 C27 L4 1985</t>
  </si>
  <si>
    <t>0                      P  0040450C  27                 L  4           1985</t>
  </si>
  <si>
    <t>Acts of identity : Creole-based approaches to language and ethnicity / R.B. Le Page and Andrée Tabouret-Keller.</t>
  </si>
  <si>
    <t>Le Page, R. B. (Robert Brock), 1920-2006.</t>
  </si>
  <si>
    <t>Cambridge ; New York : Cambridge University Press, 1985.</t>
  </si>
  <si>
    <t>2015-12-03</t>
  </si>
  <si>
    <t>806962978:eng</t>
  </si>
  <si>
    <t>11532413</t>
  </si>
  <si>
    <t>ocm11532413</t>
  </si>
  <si>
    <t>3103018618O</t>
  </si>
  <si>
    <t>9780521302609</t>
  </si>
  <si>
    <t>792777115</t>
  </si>
  <si>
    <t>P40.45 E85 B87 2004</t>
  </si>
  <si>
    <t>0                      P  0040450E  85                 B  87          2004</t>
  </si>
  <si>
    <t>Languages and communities in early modern Europe / Peter Burke.</t>
  </si>
  <si>
    <t>Burke, Peter, 1937-</t>
  </si>
  <si>
    <t>Cambridge ; New York : Cambridge University Press, 2004.</t>
  </si>
  <si>
    <t>The 2002 Wiles lectures given at the Queen's University, Belfast</t>
  </si>
  <si>
    <t>2015-10-19</t>
  </si>
  <si>
    <t>908669:eng</t>
  </si>
  <si>
    <t>54670068</t>
  </si>
  <si>
    <t>ocm54670068</t>
  </si>
  <si>
    <t>3102419576V</t>
  </si>
  <si>
    <t>9780521828963</t>
  </si>
  <si>
    <t>793865075</t>
  </si>
  <si>
    <t>P40.45 E85 S46 2004</t>
  </si>
  <si>
    <t>0                      P  0040450E  85                 S  46          2004</t>
  </si>
  <si>
    <t>Multilinguisme et multiculturalité dans l'Europe des lumières : actes du séminaire international des jeunes dix-huitiémistes 2004 = Multilingualism and multiculturalism in Enlightenment Europe : proceedings of the international seminar for young eighteenth-century scholars 2004 / études réunies par Ursula Haskins Gonthier et Alain Sandrier.</t>
  </si>
  <si>
    <t>Séminaire international des jeunes dix-huitiémistes.</t>
  </si>
  <si>
    <t>Paris : H. Champion, 2007.</t>
  </si>
  <si>
    <t>Etudes internationales sur le dix-huitième siècle = International eighteenth-century studies, 1286-4730 ; 10</t>
  </si>
  <si>
    <t>5609165387:fre</t>
  </si>
  <si>
    <t>159956055</t>
  </si>
  <si>
    <t>ocn159956055</t>
  </si>
  <si>
    <t>31028315006</t>
  </si>
  <si>
    <t>9782745315656</t>
  </si>
  <si>
    <t>794256934</t>
  </si>
  <si>
    <t>P40.45 E852 S63 2016</t>
  </si>
  <si>
    <t>0                      P  0040450E  852                S  63          2016</t>
  </si>
  <si>
    <t>Sociolinguistic transition in former Eastern Bloc countries : two decades after the regime change / Marián Sloboda, Petteri Laihonen, Anastassia Zabrodskaja (eds).</t>
  </si>
  <si>
    <t>Frankfurt am Main : Peter Lang Edition, [2016]</t>
  </si>
  <si>
    <t>Prague papers on language, society and interaction ; volume 4</t>
  </si>
  <si>
    <t>3885500985:eng</t>
  </si>
  <si>
    <t>956692532</t>
  </si>
  <si>
    <t>ocn956692532</t>
  </si>
  <si>
    <t>31036551231</t>
  </si>
  <si>
    <t>9783631662724</t>
  </si>
  <si>
    <t>795020383</t>
  </si>
  <si>
    <t>P40.45 E853 S74 2010</t>
  </si>
  <si>
    <t>0                      P  0040450E  853                S  74          2010</t>
  </si>
  <si>
    <t>Language and social change in Central Europe : discourses on policy, identity and the German language / Patrick Stevenson and Jenny Carl.</t>
  </si>
  <si>
    <t>Stevenson, Patrick, 1954-</t>
  </si>
  <si>
    <t>2015-11-19</t>
  </si>
  <si>
    <t>802899547:eng</t>
  </si>
  <si>
    <t>320798922</t>
  </si>
  <si>
    <t>ocn320798922</t>
  </si>
  <si>
    <t>3103230868I</t>
  </si>
  <si>
    <t>9780748635986</t>
  </si>
  <si>
    <t>794486887</t>
  </si>
  <si>
    <t>P40.45 F8 L36 2013</t>
  </si>
  <si>
    <t>0                      P  0040450F  8                  L  36          2013</t>
  </si>
  <si>
    <t>Language and social structure in urban France / edited by Mari C. Jones and David Hornsby.</t>
  </si>
  <si>
    <t>London : Legenda, 2013.</t>
  </si>
  <si>
    <t>1746038956:eng</t>
  </si>
  <si>
    <t>810950375</t>
  </si>
  <si>
    <t>ocn810950375</t>
  </si>
  <si>
    <t>3103529829E</t>
  </si>
  <si>
    <t>9781907975417</t>
  </si>
  <si>
    <t>794929654</t>
  </si>
  <si>
    <t>P40.45 G7 C45 2010</t>
  </si>
  <si>
    <t>0                      P  0040450G  7                  C  45          2010</t>
  </si>
  <si>
    <t>The language of Whiggism : liberty and patriotism, 1802-1830 / by Kathryn Chittick.</t>
  </si>
  <si>
    <t>Chittick, Kathryn, 1953-</t>
  </si>
  <si>
    <t>London : Pickering &amp; Chatto, 2010.</t>
  </si>
  <si>
    <t>Enlightenment world ; no. 18</t>
  </si>
  <si>
    <t>802616645:eng</t>
  </si>
  <si>
    <t>503647675</t>
  </si>
  <si>
    <t>ocn503647675</t>
  </si>
  <si>
    <t>3103240767G</t>
  </si>
  <si>
    <t>9781851964246</t>
  </si>
  <si>
    <t>794806636</t>
  </si>
  <si>
    <t>P40.45 G7 L36 2000</t>
  </si>
  <si>
    <t>0                      P  0040450G  7                  L  36          2000</t>
  </si>
  <si>
    <t>Language, labour and migration / edited by Anne J. Kershen.</t>
  </si>
  <si>
    <t>Aldershot ; Burlington [Vt.] : Ashgate, ©2000.</t>
  </si>
  <si>
    <t>2018-06-19</t>
  </si>
  <si>
    <t>34418352:eng</t>
  </si>
  <si>
    <t>44533520</t>
  </si>
  <si>
    <t>ocm44533520</t>
  </si>
  <si>
    <t>31027306671</t>
  </si>
  <si>
    <t>9780754611714</t>
  </si>
  <si>
    <t>793652600</t>
  </si>
  <si>
    <t>P40.45 G7 M33 2009</t>
  </si>
  <si>
    <t>0                      P  0040450G  7                  M  33          2009</t>
  </si>
  <si>
    <t>Language anxiety : conflict and change in the history of English / Tim William Machan.</t>
  </si>
  <si>
    <t>Machan, Tim William.</t>
  </si>
  <si>
    <t>Oxford ; New York : Oxford University Press, 2009.</t>
  </si>
  <si>
    <t>793111544:eng</t>
  </si>
  <si>
    <t>258102877</t>
  </si>
  <si>
    <t>ocn258102877</t>
  </si>
  <si>
    <t>31030851784</t>
  </si>
  <si>
    <t>9780199232123</t>
  </si>
  <si>
    <t>794399434</t>
  </si>
  <si>
    <t>P40.45 H66 O64 1997</t>
  </si>
  <si>
    <t>0                      P  0040450H  66                 O  64          1997</t>
  </si>
  <si>
    <t>One country, two systems, three languages : a survey of changing language use in Hong Kong / edited by Sue Wright and Helen Kelly-Holmes.</t>
  </si>
  <si>
    <t>Clevedon, England ; Philadelphia : Multilingual Matters, ©1997.</t>
  </si>
  <si>
    <t>Current issues in language and society</t>
  </si>
  <si>
    <t>2015-12-22</t>
  </si>
  <si>
    <t>799428651:eng</t>
  </si>
  <si>
    <t>36824689</t>
  </si>
  <si>
    <t>ocm36824689</t>
  </si>
  <si>
    <t>31027306573</t>
  </si>
  <si>
    <t>9781853593963</t>
  </si>
  <si>
    <t>793485102</t>
  </si>
  <si>
    <t>P40.45 I4 B39 1986</t>
  </si>
  <si>
    <t>0                      P  0040450I  4                  B  39          1986</t>
  </si>
  <si>
    <t>Dynamics of language maintenance among linguistic minorities : a sociolinguistic study of the Tamil communities in Bangalore / Jennifer Marie Bayer.</t>
  </si>
  <si>
    <t>Bayer, Jennifer M. (Jennifer Marie), 1949-</t>
  </si>
  <si>
    <t>Mysore : Central Institute of Indian Languages, 1986.</t>
  </si>
  <si>
    <t>Sociolinguistics series / Central Institute of Indian Languages ; 2</t>
  </si>
  <si>
    <t>2017-03-15</t>
  </si>
  <si>
    <t>15408867:eng</t>
  </si>
  <si>
    <t>17201845</t>
  </si>
  <si>
    <t>ocm17201845</t>
  </si>
  <si>
    <t>31027306475</t>
  </si>
  <si>
    <t>792983945</t>
  </si>
  <si>
    <t>P40.45 I75 B46 1994</t>
  </si>
  <si>
    <t>0                      P  0040450I  75                 B  46          1994</t>
  </si>
  <si>
    <t>Language, identity, and social division : the case of Israel / Eliezer Ben-Rafael.</t>
  </si>
  <si>
    <t>Ben Rafael, Eliezer.</t>
  </si>
  <si>
    <t>Oxford : Clarendon Press ; New York : Oxford University Press, 1994.</t>
  </si>
  <si>
    <t>Oxford studies in language contact</t>
  </si>
  <si>
    <t>2017-09-25</t>
  </si>
  <si>
    <t>365254343:eng</t>
  </si>
  <si>
    <t>28417910</t>
  </si>
  <si>
    <t>ocm28417910</t>
  </si>
  <si>
    <t>31027306435</t>
  </si>
  <si>
    <t>9780198240723</t>
  </si>
  <si>
    <t>793287694</t>
  </si>
  <si>
    <t>P40.45 I8 P59 2012</t>
  </si>
  <si>
    <t>0                      P  0040450I  8                  P  59          2012</t>
  </si>
  <si>
    <t>Plurilinguismo/sintassi : atti del XLVI Congresso internazionale di studi della Società di linguistica italiana (SLI) : Siena, 27-29 settembre 2012 / a cura di Carla Bruno, Simone Casini, Francesca Gallina, Raymond Siebetcheu.</t>
  </si>
  <si>
    <t>Società di linguistica italiana. Congresso internazionale di studi (46th : 2012 : Siena, Italy)</t>
  </si>
  <si>
    <t>Roma : Bulzoni editore, 2015.</t>
  </si>
  <si>
    <t>Pubblicazioni della Società di linguistica italiana ; 59</t>
  </si>
  <si>
    <t>2625606750:ita</t>
  </si>
  <si>
    <t>921889991</t>
  </si>
  <si>
    <t>ocn921889991</t>
  </si>
  <si>
    <t>3103639906Z</t>
  </si>
  <si>
    <t>9788878709812</t>
  </si>
  <si>
    <t>795003493</t>
  </si>
  <si>
    <t>P40.45 J3 N35 2010</t>
  </si>
  <si>
    <t>0                      P  0040450J  3                  N  35          2010</t>
  </si>
  <si>
    <t>Jendā de manabu gengogaku / Nakamura Momoko hen.</t>
  </si>
  <si>
    <t>Kyōto-shi : Sekai Shisōsha, 2010.</t>
  </si>
  <si>
    <t>jpn</t>
  </si>
  <si>
    <t>2018-03-24</t>
  </si>
  <si>
    <t>476778593:jpn</t>
  </si>
  <si>
    <t>607972864</t>
  </si>
  <si>
    <t>ocn607972864</t>
  </si>
  <si>
    <t>3103289843Z</t>
  </si>
  <si>
    <t>9784790714705</t>
  </si>
  <si>
    <t>794818483</t>
  </si>
  <si>
    <t>P40.45 J3 S55213 1999</t>
  </si>
  <si>
    <t>0                      P  0040450J  3                  S  55213       1999</t>
  </si>
  <si>
    <t>Sociolinguistics in Japanese contexts / Takesi Sibata ; edited by Tetsuya Kunihiro, Fumio Inoue, Daniel Long.</t>
  </si>
  <si>
    <t>Shibata, Takeshi, 1918-2007.</t>
  </si>
  <si>
    <t>Berlin ; New York, N.Y. : Mouton de Gruyter, 1999.</t>
  </si>
  <si>
    <t>Contributions to the sociology of language ; 81</t>
  </si>
  <si>
    <t>113640974:eng</t>
  </si>
  <si>
    <t>39785232</t>
  </si>
  <si>
    <t>ocm39785232</t>
  </si>
  <si>
    <t>31027306593</t>
  </si>
  <si>
    <t>9783110149791</t>
  </si>
  <si>
    <t>793553209</t>
  </si>
  <si>
    <t>P40.45 N3 D57 1995</t>
  </si>
  <si>
    <t>0                      P  0040450N  3                  D  57          1995</t>
  </si>
  <si>
    <t>Discrimination through language in Africa? : perspectives on the Namibian experience / edited by Martin Pütz.</t>
  </si>
  <si>
    <t>Berlin ; New York : Mouton de Gruyter, 1995.</t>
  </si>
  <si>
    <t>Contributions to the sociology of language ; 69</t>
  </si>
  <si>
    <t>2015-11-17</t>
  </si>
  <si>
    <t>806781663:eng</t>
  </si>
  <si>
    <t>33007655</t>
  </si>
  <si>
    <t>ocm33007655</t>
  </si>
  <si>
    <t>3102730675$</t>
  </si>
  <si>
    <t>9783110148176</t>
  </si>
  <si>
    <t>793399458</t>
  </si>
  <si>
    <t>P40.45 P19 S85 2011</t>
  </si>
  <si>
    <t>0                      P  0040450P  19                 S  85          2011</t>
  </si>
  <si>
    <t>Language and identity in the Israel-Palestine conflict : the politics of self-perception in the Middle East / Camelia Suleiman.</t>
  </si>
  <si>
    <t>Suleiman, Camelia.</t>
  </si>
  <si>
    <t>London ; New York : I.B. Tauris, 2011.</t>
  </si>
  <si>
    <t>Library of modern Middle East studies ; 115</t>
  </si>
  <si>
    <t>1021226441:eng</t>
  </si>
  <si>
    <t>751721789</t>
  </si>
  <si>
    <t>ocn751721789</t>
  </si>
  <si>
    <t>3103380599R</t>
  </si>
  <si>
    <t>9781848858190</t>
  </si>
  <si>
    <t>794890630</t>
  </si>
  <si>
    <t>P40.45 P65 V65 2010</t>
  </si>
  <si>
    <t>0                      P  0040450P  65                 V  65          2010</t>
  </si>
  <si>
    <t>Social structure, space and possession in Tongan culture and language : an ethnolinguistic study / Svenja Völkel.</t>
  </si>
  <si>
    <t>Völkel, Svenja.</t>
  </si>
  <si>
    <t>Culture and language use ; v. 2</t>
  </si>
  <si>
    <t>793202462:eng</t>
  </si>
  <si>
    <t>646630450</t>
  </si>
  <si>
    <t>ocn646630450</t>
  </si>
  <si>
    <t>3103314199L</t>
  </si>
  <si>
    <t>9789027202833</t>
  </si>
  <si>
    <t>794830549</t>
  </si>
  <si>
    <t>P40.45 S34 M85 2010</t>
  </si>
  <si>
    <t>0                      P  0040450S  34                 M  85          2010</t>
  </si>
  <si>
    <t>Multilingual urban Scandinavia : new linguistic practices / edited by Pia Quist and Bente A. Svendsen.</t>
  </si>
  <si>
    <t>Multilingual Matters</t>
  </si>
  <si>
    <t>796628003:eng</t>
  </si>
  <si>
    <t>640084251</t>
  </si>
  <si>
    <t>ocn640084251</t>
  </si>
  <si>
    <t>3103229748V</t>
  </si>
  <si>
    <t>9781847693136</t>
  </si>
  <si>
    <t>794827251</t>
  </si>
  <si>
    <t>P40.45 S55 C44 2013</t>
  </si>
  <si>
    <t>0                      P  0040450S  55                 C  44          2013</t>
  </si>
  <si>
    <t>Sociolinguistic history of early identities in Singapore : from colonialism to nationalism / Phyllis Chew.</t>
  </si>
  <si>
    <t>Chew, Phyllis Ghim Lian.</t>
  </si>
  <si>
    <t>Houndmills, Basingstoke, Hampshire ; New York : Palgrave Macmillan, 2013.</t>
  </si>
  <si>
    <t>2017-10-04</t>
  </si>
  <si>
    <t>1183365690:eng</t>
  </si>
  <si>
    <t>802321064</t>
  </si>
  <si>
    <t>ocn802321064</t>
  </si>
  <si>
    <t>31034577776</t>
  </si>
  <si>
    <t>9781137012333</t>
  </si>
  <si>
    <t>794925566</t>
  </si>
  <si>
    <t>P40.45 S6 B75 2011</t>
  </si>
  <si>
    <t>0                      P  0040450S  6                  B  75          2011</t>
  </si>
  <si>
    <t>Emerging traditions : towards a postcolonial stylistics of black South African fiction in English / Vicki Briault Manus.</t>
  </si>
  <si>
    <t>Briault Manus, Vicki, 1952-</t>
  </si>
  <si>
    <t>Lanham, Md. : Lexington Books, ©2011.</t>
  </si>
  <si>
    <t>2019-11-24</t>
  </si>
  <si>
    <t>772780702:eng</t>
  </si>
  <si>
    <t>698328044</t>
  </si>
  <si>
    <t>ocn698328044</t>
  </si>
  <si>
    <t>3103363940N</t>
  </si>
  <si>
    <t>9780739148075</t>
  </si>
  <si>
    <t>794860836</t>
  </si>
  <si>
    <t>P40.45 S6 C64 2013</t>
  </si>
  <si>
    <t>0                      P  0040450S  6                  C  64          2013</t>
  </si>
  <si>
    <t>Accented futures : language activism and the ending of apartheid / Carli Coetzee.</t>
  </si>
  <si>
    <t>Coetzee, Carli.</t>
  </si>
  <si>
    <t>Johannesburg : Wits University Press, 2013.</t>
  </si>
  <si>
    <t>1379266870:eng</t>
  </si>
  <si>
    <t>856975692</t>
  </si>
  <si>
    <t>ocn856975692</t>
  </si>
  <si>
    <t>3103532431A</t>
  </si>
  <si>
    <t>9781868147403</t>
  </si>
  <si>
    <t>794954685</t>
  </si>
  <si>
    <t>P40.45 S6 L36 2002</t>
  </si>
  <si>
    <t>0                      P  0040450S  6                  L  36          2002</t>
  </si>
  <si>
    <t>Language in South Africa / edited by Rajend Mesthrie.</t>
  </si>
  <si>
    <t>Cambridge, U.K. ; New York : Cambridge University Press, 2002.</t>
  </si>
  <si>
    <t>864896611:eng</t>
  </si>
  <si>
    <t>51062774</t>
  </si>
  <si>
    <t>ocm51062774</t>
  </si>
  <si>
    <t>31027306601</t>
  </si>
  <si>
    <t>9780521791052</t>
  </si>
  <si>
    <t>793778093</t>
  </si>
  <si>
    <t>P40.45 S65 P65 2010</t>
  </si>
  <si>
    <t>0                      P  0040450S  65                 P  65          2010</t>
  </si>
  <si>
    <t>Politics and the theory of language in the USSR, 1917-1938 : the birth of sociological linguistics / edited by Craig Brandist and Katya Chown.</t>
  </si>
  <si>
    <t>London ; New York, NY : Anthem Press, 2010.</t>
  </si>
  <si>
    <t>Anthem series on Russian, East European and Eurasian studies</t>
  </si>
  <si>
    <t>350717319:eng</t>
  </si>
  <si>
    <t>468979307</t>
  </si>
  <si>
    <t>ocn468979307</t>
  </si>
  <si>
    <t>3103132555R</t>
  </si>
  <si>
    <t>9781843318408</t>
  </si>
  <si>
    <t>794795708</t>
  </si>
  <si>
    <t>P40.45 S9 D87 2014</t>
  </si>
  <si>
    <t>0                      P  0040450S  9                  D  87          2014</t>
  </si>
  <si>
    <t>The acquisition of sociolinguistic competence in a Lingua Franca context / Mercedes Durham.</t>
  </si>
  <si>
    <t>Durham, Mercedes.</t>
  </si>
  <si>
    <t>Bristol ; Tonawanda, NY, USA : Multilingual Matters, [2014]</t>
  </si>
  <si>
    <t>Second language acquisition ; 75</t>
  </si>
  <si>
    <t>2017-02-25</t>
  </si>
  <si>
    <t>1823482449:eng</t>
  </si>
  <si>
    <t>868083107</t>
  </si>
  <si>
    <t>ocn868083107</t>
  </si>
  <si>
    <t>3103530457E</t>
  </si>
  <si>
    <t>9781783091430</t>
  </si>
  <si>
    <t>794964421</t>
  </si>
  <si>
    <t>P40.45 U5 L35 2000</t>
  </si>
  <si>
    <t>0                      P  0040450U  5                  L  35          2000</t>
  </si>
  <si>
    <t>The language war / Robin Tolmach Lakoff.</t>
  </si>
  <si>
    <t>Lakoff, Robin Tolmach.</t>
  </si>
  <si>
    <t>Berkeley : University of California Press, 2000.</t>
  </si>
  <si>
    <t>2019-03-14</t>
  </si>
  <si>
    <t>887645:eng</t>
  </si>
  <si>
    <t>42733557</t>
  </si>
  <si>
    <t>ocm42733557</t>
  </si>
  <si>
    <t>31027306503</t>
  </si>
  <si>
    <t>9780520222960</t>
  </si>
  <si>
    <t>793612960</t>
  </si>
  <si>
    <t>P40.45 U5 T67 1997</t>
  </si>
  <si>
    <t>0                      P  0040450U  5                  T  67          1997</t>
  </si>
  <si>
    <t>Puerto Rican discourse : a sociolinguistic study of a New York suburb / Lourdes Torres.</t>
  </si>
  <si>
    <t>Torres, Lourdes, 1959-</t>
  </si>
  <si>
    <t>Mahwah, N.J. : L. Erlbaum Associates Publishers, 1997.</t>
  </si>
  <si>
    <t>Everyday communication</t>
  </si>
  <si>
    <t>2018-02-03</t>
  </si>
  <si>
    <t>138808211:eng</t>
  </si>
  <si>
    <t>35658060</t>
  </si>
  <si>
    <t>ocm35658060</t>
  </si>
  <si>
    <t>3102730686Y</t>
  </si>
  <si>
    <t>9780805819304</t>
  </si>
  <si>
    <t>793454429</t>
  </si>
  <si>
    <t>P40.5 D45 C37 1992</t>
  </si>
  <si>
    <t>0                      P  0040500D  45                 C  37          1992</t>
  </si>
  <si>
    <t>Canada's official languages : the progress of bilingualism / Richard J. Joy.</t>
  </si>
  <si>
    <t>Joy, Richard J., 1924-</t>
  </si>
  <si>
    <t>Toronto ; Boston : University of Toronto Press, ©1992.</t>
  </si>
  <si>
    <t>2013-03-23</t>
  </si>
  <si>
    <t>2016-11-29</t>
  </si>
  <si>
    <t>3857324136:eng</t>
  </si>
  <si>
    <t>27144676</t>
  </si>
  <si>
    <t>ocm27144676</t>
  </si>
  <si>
    <t>31027306219</t>
  </si>
  <si>
    <t>9780802050076</t>
  </si>
  <si>
    <t>793259920</t>
  </si>
  <si>
    <t>31027307138</t>
  </si>
  <si>
    <t>793259921</t>
  </si>
  <si>
    <t>P40.5 D53 D53 2007</t>
  </si>
  <si>
    <t>0                      P  0040500D  53                 D  53          2007</t>
  </si>
  <si>
    <t>Dialogue in focus groups : exploring socially shared knowledge / Ivana Marková [and others].</t>
  </si>
  <si>
    <t>London ; Oakville, CT : Equinox, 2007.</t>
  </si>
  <si>
    <t>Linguistic insights</t>
  </si>
  <si>
    <t>2019-03-20</t>
  </si>
  <si>
    <t>891047213:eng</t>
  </si>
  <si>
    <t>80460392</t>
  </si>
  <si>
    <t>ocm80460392</t>
  </si>
  <si>
    <t>3102574352P</t>
  </si>
  <si>
    <t>9781845530495</t>
  </si>
  <si>
    <t>794200960</t>
  </si>
  <si>
    <t>P40.5 D57 2007</t>
  </si>
  <si>
    <t>0                      P  0040500D  57          2007</t>
  </si>
  <si>
    <t>Discourses of endangerment : ideology and interest in the defence of languages / edited by Alexandre Duchêne and Monica Heller.</t>
  </si>
  <si>
    <t>London ; New York : Continuum, ©2007.</t>
  </si>
  <si>
    <t>2018-06-07</t>
  </si>
  <si>
    <t>796717491:eng</t>
  </si>
  <si>
    <t>72868582</t>
  </si>
  <si>
    <t>ocm72868582</t>
  </si>
  <si>
    <t>3102569042L</t>
  </si>
  <si>
    <t>9780826487452</t>
  </si>
  <si>
    <t>794170717</t>
  </si>
  <si>
    <t>P40.5 E53 E84 2011</t>
  </si>
  <si>
    <t>0                      P  0040500E  53                 E  84          2011</t>
  </si>
  <si>
    <t>Ethnographic contributions to the study of endangered languages / edited by Tania Granadillo and Heidi A. Orcutt-Gachiri ; with a foreword by Jane H. Hill ; and an afterword by Ofelia Zepeda.</t>
  </si>
  <si>
    <t>Tucson : University of Arizona Press, ©2011.</t>
  </si>
  <si>
    <t>2013-08-12</t>
  </si>
  <si>
    <t>774483190:eng</t>
  </si>
  <si>
    <t>700042419</t>
  </si>
  <si>
    <t>ocn700042419</t>
  </si>
  <si>
    <t>3103383878A</t>
  </si>
  <si>
    <t>9780816526994</t>
  </si>
  <si>
    <t>794861752</t>
  </si>
  <si>
    <t>P40.5 E53 E93 2010</t>
  </si>
  <si>
    <t>0                      P  0040500E  53                 E  93          2010</t>
  </si>
  <si>
    <t>Dying words : endangered languages and what they have to tell us / Nicholas Evans.</t>
  </si>
  <si>
    <t>Evans, Nicholas, 1956-</t>
  </si>
  <si>
    <t>The language library</t>
  </si>
  <si>
    <t>2015-11-04</t>
  </si>
  <si>
    <t>793120029:eng</t>
  </si>
  <si>
    <t>263146950</t>
  </si>
  <si>
    <t>ocn263146950</t>
  </si>
  <si>
    <t>3102858215C</t>
  </si>
  <si>
    <t>9780631233053</t>
  </si>
  <si>
    <t>794403402</t>
  </si>
  <si>
    <t>P40.5 E53 F68 2008</t>
  </si>
  <si>
    <t>0                      P  0040500E  53                 F  68          2008</t>
  </si>
  <si>
    <t>Endangered languages and language learning : proceedings of the conference FEL XII, 24-27 September 2008 Fryske Akademy, It Aljemint, Ljouwert/Leeuwarden, the Netherlands / editors, Tjeerd de Graaf, Nicholas Ostler and Reinier Salverda.</t>
  </si>
  <si>
    <t>Foundation for Endangered Languages. Conference (12th : 2008 : Ljouwert/Leeuwarden, Netherlands)</t>
  </si>
  <si>
    <t>Bath, UK : FEL ; Ljouwert/Leeurwarden : Fryske Academy, 2008.</t>
  </si>
  <si>
    <t>364579562:eng</t>
  </si>
  <si>
    <t>299949660</t>
  </si>
  <si>
    <t>ocn299949660</t>
  </si>
  <si>
    <t>31028557119</t>
  </si>
  <si>
    <t>9780956021007</t>
  </si>
  <si>
    <t>794430807</t>
  </si>
  <si>
    <t>P40.5 E53 H37 2010</t>
  </si>
  <si>
    <t>0                      P  0040500E  53                 H  37          2010</t>
  </si>
  <si>
    <t>The last speakers : the quest to save the world's most endangered languages / K. David Harrison.</t>
  </si>
  <si>
    <t>Harrison, K. David.</t>
  </si>
  <si>
    <t>Washington, D.C. : National Geographic, ©2010.</t>
  </si>
  <si>
    <t>2015-05-26</t>
  </si>
  <si>
    <t>796570738:eng</t>
  </si>
  <si>
    <t>251204945</t>
  </si>
  <si>
    <t>ocn251204945</t>
  </si>
  <si>
    <t>3103227003V</t>
  </si>
  <si>
    <t>9781426204616</t>
  </si>
  <si>
    <t>794385571</t>
  </si>
  <si>
    <t>P40.5 E75 B76 1987</t>
  </si>
  <si>
    <t>0                      P  0040500E  75                 B  76          1987</t>
  </si>
  <si>
    <t>Politeness : some universals in language usage / Penelope Brown and Stephen C. Levinson.</t>
  </si>
  <si>
    <t>Brown, Penelope.</t>
  </si>
  <si>
    <t>Studies in interactional sociolinguistics ; 4</t>
  </si>
  <si>
    <t>2019-10-03</t>
  </si>
  <si>
    <t>8359461:eng</t>
  </si>
  <si>
    <t>14413158</t>
  </si>
  <si>
    <t>ocm14413158</t>
  </si>
  <si>
    <t>31027350297</t>
  </si>
  <si>
    <t>9780521308625</t>
  </si>
  <si>
    <t>792889407</t>
  </si>
  <si>
    <t>P40.5 E75 L37 2009</t>
  </si>
  <si>
    <t>0                      P  0040500E  75                 L  37          2009</t>
  </si>
  <si>
    <t>Kategorii︠a︡ vezhlivosti i stilʹ kommunikat︠s︡ii : sopostavlenie angliĭskikh i russkikh lingvokulʹturnykh tradit︠s︡iĭ / T.V. Larina.</t>
  </si>
  <si>
    <t>Larina, T. V. (Tatʹi︠a︡na Viktorovna)</t>
  </si>
  <si>
    <t>Moskva : Rukopisnye pami︠a︡tniki Drevneĭ Rusi, 2009.</t>
  </si>
  <si>
    <t>rus</t>
  </si>
  <si>
    <t>I︠A︡zyk, semiotika, kulʹtura, 1727-1630</t>
  </si>
  <si>
    <t>198971772:rus</t>
  </si>
  <si>
    <t>320952080</t>
  </si>
  <si>
    <t>ocn320952080</t>
  </si>
  <si>
    <t>31032861190</t>
  </si>
  <si>
    <t>9785955102979</t>
  </si>
  <si>
    <t>794487522</t>
  </si>
  <si>
    <t>P40.5 E75 W38 2003</t>
  </si>
  <si>
    <t>0                      P  0040500E  75                 W  38          2003</t>
  </si>
  <si>
    <t>Politeness / Richard J. Watts.</t>
  </si>
  <si>
    <t>Watts, Richard J.</t>
  </si>
  <si>
    <t>Cambridge, UK ; New York : Cambridge University Press, 2003.</t>
  </si>
  <si>
    <t>709811:eng</t>
  </si>
  <si>
    <t>51800140</t>
  </si>
  <si>
    <t>ocm51800140</t>
  </si>
  <si>
    <t>3102730671$</t>
  </si>
  <si>
    <t>9780521790857</t>
  </si>
  <si>
    <t>793791263</t>
  </si>
  <si>
    <t>P40.5 F54 G53 2012</t>
  </si>
  <si>
    <t>0                      P  0040500F  54                 G  53          2012</t>
  </si>
  <si>
    <t>Interpreting figurative meaning / Raymond W. Gibbs, Jr., Herbert L. Colston.</t>
  </si>
  <si>
    <t>Gibbs, Raymond W.</t>
  </si>
  <si>
    <t>2015-02-02</t>
  </si>
  <si>
    <t>1072105542:eng</t>
  </si>
  <si>
    <t>772450056</t>
  </si>
  <si>
    <t>ocn772450056</t>
  </si>
  <si>
    <t>3103430564F</t>
  </si>
  <si>
    <t>9781107024359</t>
  </si>
  <si>
    <t>794904570</t>
  </si>
  <si>
    <t>P40.5 G76 E39 2009</t>
  </si>
  <si>
    <t>0                      P  0040500G  76                 E  39          2009</t>
  </si>
  <si>
    <t>Language and identity : an introduction / John Edwards.</t>
  </si>
  <si>
    <t>Cambridge, UK ; New York : Cambridge University Press, 2009.</t>
  </si>
  <si>
    <t>2019-08-08</t>
  </si>
  <si>
    <t>3857806516:eng</t>
  </si>
  <si>
    <t>318872009</t>
  </si>
  <si>
    <t>ocn318872009</t>
  </si>
  <si>
    <t>31028602280</t>
  </si>
  <si>
    <t>9780521873819</t>
  </si>
  <si>
    <t>794482674</t>
  </si>
  <si>
    <t>P40.5 G76 L36 2003</t>
  </si>
  <si>
    <t>0                      P  0040500G  76                 L  36          2003</t>
  </si>
  <si>
    <t>Language and social identity / edited by Richard K. Blot ; foreword by Charles Briggs.</t>
  </si>
  <si>
    <t>Westport, Conn. : Praeger, ©2003.</t>
  </si>
  <si>
    <t>3901404371:eng</t>
  </si>
  <si>
    <t>51755937</t>
  </si>
  <si>
    <t>ocm51755937</t>
  </si>
  <si>
    <t>31027306513</t>
  </si>
  <si>
    <t>9780897897839</t>
  </si>
  <si>
    <t>793790340</t>
  </si>
  <si>
    <t>P40.5 G76 L36 2010</t>
  </si>
  <si>
    <t>0                      P  0040500G  76                 L  36          2010</t>
  </si>
  <si>
    <t>Language and identities / edited by Carmen Llamas and Dominic Watt.</t>
  </si>
  <si>
    <t>888472316:eng</t>
  </si>
  <si>
    <t>320798579</t>
  </si>
  <si>
    <t>ocn320798579</t>
  </si>
  <si>
    <t>3103131615$</t>
  </si>
  <si>
    <t>9780748635771</t>
  </si>
  <si>
    <t>794486839</t>
  </si>
  <si>
    <t>P40.5 G76 S63 2006</t>
  </si>
  <si>
    <t>0                      P  0040500G  76                 S  63          2006</t>
  </si>
  <si>
    <t>The sociolinguistics of identity / edited by Tope Omoniyi and Goodith White.</t>
  </si>
  <si>
    <t>London ; New York, NY : Continuum, ©2006.</t>
  </si>
  <si>
    <t>766776920:eng</t>
  </si>
  <si>
    <t>76942896</t>
  </si>
  <si>
    <t>ocm76942896</t>
  </si>
  <si>
    <t>3102567710E</t>
  </si>
  <si>
    <t>9780826490643</t>
  </si>
  <si>
    <t>794179641</t>
  </si>
  <si>
    <t>P40.5 G762 A855 2010</t>
  </si>
  <si>
    <t>0                      P  0040500G  762                A  855         2010</t>
  </si>
  <si>
    <t>Indigenous language and social identity : papers in honour of Michael Walsh / edited by Brett Baker, Ilana Mushin, Mark Harvey and Rod Gardner.</t>
  </si>
  <si>
    <t>Canberra : Pacific Linguistics, College of Asia and the Pacific, The Australian National University, 2010.</t>
  </si>
  <si>
    <t>Pacific linguistics ; 626</t>
  </si>
  <si>
    <t>2013-05-14</t>
  </si>
  <si>
    <t>1080951063:eng</t>
  </si>
  <si>
    <t>778006064</t>
  </si>
  <si>
    <t>ocn778006064</t>
  </si>
  <si>
    <t>31034373183</t>
  </si>
  <si>
    <t>9780858836181</t>
  </si>
  <si>
    <t>794909322</t>
  </si>
  <si>
    <t>P40.5 G762 K695 2014</t>
  </si>
  <si>
    <t>0                      P  0040500G  762                K  695         2014</t>
  </si>
  <si>
    <t>Han'gŭl kongdongch'e / Yi Sang-gyu chiŭm.</t>
  </si>
  <si>
    <t>Yi, Sang-gyu, 1953-</t>
  </si>
  <si>
    <t>Sŏul-si : Pangmunsa, 2014.</t>
  </si>
  <si>
    <t>Ch'op'an.</t>
  </si>
  <si>
    <t>kor</t>
  </si>
  <si>
    <t>2019-11-05</t>
  </si>
  <si>
    <t>4125294572:kor</t>
  </si>
  <si>
    <t>896812196</t>
  </si>
  <si>
    <t>ocn896812196</t>
  </si>
  <si>
    <t>31039010033</t>
  </si>
  <si>
    <t>9788998468378</t>
  </si>
  <si>
    <t>794984188</t>
  </si>
  <si>
    <t>P40.5 H56 L36 2010</t>
  </si>
  <si>
    <t>0                      P  0040500H  56                 L  36          2010</t>
  </si>
  <si>
    <t>The languages of global hip-hop / edited by Marina Terkourafi.</t>
  </si>
  <si>
    <t>370806646:eng</t>
  </si>
  <si>
    <t>496962141</t>
  </si>
  <si>
    <t>ocn496962141</t>
  </si>
  <si>
    <t>3103322592C</t>
  </si>
  <si>
    <t>9780826431608</t>
  </si>
  <si>
    <t>794802854</t>
  </si>
  <si>
    <t>P40.5 H57 M46 2009</t>
  </si>
  <si>
    <t>0                      P  0040500H  57                 M  46          2009</t>
  </si>
  <si>
    <t>Gendered identities and immigrant language learning / Julia Menard-Warwick.</t>
  </si>
  <si>
    <t>Menard-Warwick, Julia.</t>
  </si>
  <si>
    <t>Bristol ; Buffalo : Multilingual Matters, ©2009.</t>
  </si>
  <si>
    <t>Critical language and literacy studies</t>
  </si>
  <si>
    <t>2015-09-15</t>
  </si>
  <si>
    <t>312669630:eng</t>
  </si>
  <si>
    <t>424331065</t>
  </si>
  <si>
    <t>ocn424331065</t>
  </si>
  <si>
    <t>3103155023Q</t>
  </si>
  <si>
    <t>9781847692146</t>
  </si>
  <si>
    <t>794506619</t>
  </si>
  <si>
    <t>P40.5 I57 B75 1986</t>
  </si>
  <si>
    <t>0                      P  0040500I  57                 B  75          1986</t>
  </si>
  <si>
    <t>Learning how to ask : a sociolinguistic appraisal of the role of the interview in social science research / Charles L. Briggs.</t>
  </si>
  <si>
    <t>Briggs, Charles L., 1953-</t>
  </si>
  <si>
    <t>Cambridge [Cambridgeshire] ; New York : Cambridge University Press, 1986.</t>
  </si>
  <si>
    <t>Studies in the social and cultural foundations of language ; no. 1</t>
  </si>
  <si>
    <t>2016-06-16</t>
  </si>
  <si>
    <t>13176280:eng</t>
  </si>
  <si>
    <t>17005246</t>
  </si>
  <si>
    <t>ocm17005246</t>
  </si>
  <si>
    <t>3102730684Y</t>
  </si>
  <si>
    <t>9780521322256</t>
  </si>
  <si>
    <t>792980242</t>
  </si>
  <si>
    <t>P40.5 J3 H3 1989</t>
  </si>
  <si>
    <t>0                      P  0040500J  3                  H  3           1989</t>
  </si>
  <si>
    <t>Symbolic values of foreign language use : from the Japanese case to a general sociolinguistic perspective / by Harald Haarmann.</t>
  </si>
  <si>
    <t>Haarmann, Harald.</t>
  </si>
  <si>
    <t>Berlin ; New York : Mouton de Gruyter, 1989.</t>
  </si>
  <si>
    <t>Contributions to the sociology of language ; 51</t>
  </si>
  <si>
    <t>2015-06-29</t>
  </si>
  <si>
    <t>795511475:eng</t>
  </si>
  <si>
    <t>19125791</t>
  </si>
  <si>
    <t>ocm19125791</t>
  </si>
  <si>
    <t>31027306465</t>
  </si>
  <si>
    <t>9780899254852</t>
  </si>
  <si>
    <t>793047843</t>
  </si>
  <si>
    <t>P40.5 L28 C36 2001</t>
  </si>
  <si>
    <t>0                      P  0040500L  28                 C  36          2001</t>
  </si>
  <si>
    <t>Can threatened languages be saved? : reversing language shift, revisited : a 21st century perspective / edited by Joshua A. Fishman.</t>
  </si>
  <si>
    <t>Clevedon [England] ; Buffalo : Multilingual Matters, 2001.</t>
  </si>
  <si>
    <t>Multilingual matters ; 116</t>
  </si>
  <si>
    <t>2015-05-11</t>
  </si>
  <si>
    <t>793890447:eng</t>
  </si>
  <si>
    <t>43526784</t>
  </si>
  <si>
    <t>ocm43526784</t>
  </si>
  <si>
    <t>31027307276</t>
  </si>
  <si>
    <t>9781853594939</t>
  </si>
  <si>
    <t>793628665</t>
  </si>
  <si>
    <t>P40.5 L28 E63 1998</t>
  </si>
  <si>
    <t>0                      P  0040500L  28                 E  63          1998</t>
  </si>
  <si>
    <t>Endangered languages : language loss and community response / edited by Lenore A. Grenoble and Lindsay J. Whaley.</t>
  </si>
  <si>
    <t>Cambridge [England] ; New York : Cambridge University Press, 1998.</t>
  </si>
  <si>
    <t>795063961:eng</t>
  </si>
  <si>
    <t>36103897</t>
  </si>
  <si>
    <t>ocm36103897</t>
  </si>
  <si>
    <t>31027307226</t>
  </si>
  <si>
    <t>9780521591027</t>
  </si>
  <si>
    <t>793466412</t>
  </si>
  <si>
    <t>P40.5 L28 F57 1991</t>
  </si>
  <si>
    <t>0                      P  0040500L  28                 F  57          1991</t>
  </si>
  <si>
    <t>First language attrition / edited by Herbert W. Seliger and Robert M. Vago.</t>
  </si>
  <si>
    <t>Cambridge [England] ; New York : Cambridge University Press, 1991.</t>
  </si>
  <si>
    <t>2018-05-01</t>
  </si>
  <si>
    <t>895792059:eng</t>
  </si>
  <si>
    <t>21446204</t>
  </si>
  <si>
    <t>ocm21446204</t>
  </si>
  <si>
    <t>3103592141Y</t>
  </si>
  <si>
    <t>9780521344265</t>
  </si>
  <si>
    <t>793119198</t>
  </si>
  <si>
    <t>P40.5 L28 H45 2005</t>
  </si>
  <si>
    <t>0                      P  0040500L  28                 H  45          2005</t>
  </si>
  <si>
    <t>Echolalias : on the forgetting of language / Daniel Heller-Roazen.</t>
  </si>
  <si>
    <t>Heller-Roazen, Daniel.</t>
  </si>
  <si>
    <t>New York : Zone Books, 2005.</t>
  </si>
  <si>
    <t>2015-01-27</t>
  </si>
  <si>
    <t>16320084:eng</t>
  </si>
  <si>
    <t>55587746</t>
  </si>
  <si>
    <t>ocm55587746</t>
  </si>
  <si>
    <t>31027307128</t>
  </si>
  <si>
    <t>9781890951498</t>
  </si>
  <si>
    <t>793878803</t>
  </si>
  <si>
    <t>2014-10-16</t>
  </si>
  <si>
    <t>3102563117B</t>
  </si>
  <si>
    <t>793878804</t>
  </si>
  <si>
    <t>P40.5 L28 K68 1999</t>
  </si>
  <si>
    <t>0                      P  0040500L  28                 K  68          1999</t>
  </si>
  <si>
    <t>Face[t]s of first language loss / Sandra G. Kouritzin.</t>
  </si>
  <si>
    <t>Kouritzin, Sandra G.</t>
  </si>
  <si>
    <t>Mahwah, N.J. : L. Erlbaum Associates, 1999.</t>
  </si>
  <si>
    <t>2017-11-25</t>
  </si>
  <si>
    <t>2288351993:eng</t>
  </si>
  <si>
    <t>40660217</t>
  </si>
  <si>
    <t>ocm40660217</t>
  </si>
  <si>
    <t>31034749506</t>
  </si>
  <si>
    <t>9780805831856</t>
  </si>
  <si>
    <t>793572256</t>
  </si>
  <si>
    <t>P40.5 L28 L35 2007</t>
  </si>
  <si>
    <t>0                      P  0040500L  28                 L  35          2007</t>
  </si>
  <si>
    <t>Language attrition : theoretical perspectives / edited by Barbara Köpke [and others].</t>
  </si>
  <si>
    <t>Studies in bilingualism ; v. 33</t>
  </si>
  <si>
    <t>4929602600:eng</t>
  </si>
  <si>
    <t>138341636</t>
  </si>
  <si>
    <t>ocn138341636</t>
  </si>
  <si>
    <t>3102642867P</t>
  </si>
  <si>
    <t>9789027241443</t>
  </si>
  <si>
    <t>794234320</t>
  </si>
  <si>
    <t>P40.5 L28 S365 2011</t>
  </si>
  <si>
    <t>0                      P  0040500L  28                 S  365         2011</t>
  </si>
  <si>
    <t>Language attrition / Monika S. Schmid.</t>
  </si>
  <si>
    <t>Schmid, Monika S.</t>
  </si>
  <si>
    <t>762447213:eng</t>
  </si>
  <si>
    <t>689858584</t>
  </si>
  <si>
    <t>ocn689858584</t>
  </si>
  <si>
    <t>3103342291B</t>
  </si>
  <si>
    <t>9780521760409</t>
  </si>
  <si>
    <t>794855040</t>
  </si>
  <si>
    <t>P40.5 L28 S87 2008</t>
  </si>
  <si>
    <t>0                      P  0040500L  28                 S  87          2008</t>
  </si>
  <si>
    <t>Sustaining linguistic diversity : endangered and minority languages and language varieties / Kendall A. King [and others], editors.</t>
  </si>
  <si>
    <t>Georgetown University Round Table on Languages and Linguistics (2007)</t>
  </si>
  <si>
    <t>Washington, D.C. : Georgetown University Press, ©2008.</t>
  </si>
  <si>
    <t>865278774:eng</t>
  </si>
  <si>
    <t>132681435</t>
  </si>
  <si>
    <t>ocn132681435</t>
  </si>
  <si>
    <t>3103103985K</t>
  </si>
  <si>
    <t>9781589011922</t>
  </si>
  <si>
    <t>794232009</t>
  </si>
  <si>
    <t>2014-04-06</t>
  </si>
  <si>
    <t>3102872265G</t>
  </si>
  <si>
    <t>794232010</t>
  </si>
  <si>
    <t>2014-03-17</t>
  </si>
  <si>
    <t>3102872264G</t>
  </si>
  <si>
    <t>794232011</t>
  </si>
  <si>
    <t>P40.5 L28 T79 2005</t>
  </si>
  <si>
    <t>0                      P  0040500L  28                 T  79          2005</t>
  </si>
  <si>
    <t>Language endangerment and language revitalization / by Tasaku Tsunoda.</t>
  </si>
  <si>
    <t>Tsunoda, Tasaku.</t>
  </si>
  <si>
    <t>Berlin ; New York : Mouton de Gruyter, ©2005.</t>
  </si>
  <si>
    <t>Trends in linguistics. Studies and monographs ; 148</t>
  </si>
  <si>
    <t>2015-03-10</t>
  </si>
  <si>
    <t>17182596:eng</t>
  </si>
  <si>
    <t>56614349</t>
  </si>
  <si>
    <t>ocm56614349</t>
  </si>
  <si>
    <t>3102730709A</t>
  </si>
  <si>
    <t>9783110176629</t>
  </si>
  <si>
    <t>793897055</t>
  </si>
  <si>
    <t>P40.5 L32 M48 2002</t>
  </si>
  <si>
    <t>0                      P  0040500L  32                 M  48          2002</t>
  </si>
  <si>
    <t>Methodological and analytical issues in language maintenance and language shift studies / Maya Khemlani David, ed.</t>
  </si>
  <si>
    <t>Frankfurt am Main ; New York : Lang, ©2002.</t>
  </si>
  <si>
    <t>Duisburger Arbeiten zur Sprach- und Kulturwissenschaft, 0934-3709 = Duisburg Papers on Research in Language and Culture. ; Bd. 46</t>
  </si>
  <si>
    <t>38984250:eng</t>
  </si>
  <si>
    <t>49385632</t>
  </si>
  <si>
    <t>ocm49385632</t>
  </si>
  <si>
    <t>3102730699W</t>
  </si>
  <si>
    <t>9783631389201</t>
  </si>
  <si>
    <t>793739112</t>
  </si>
  <si>
    <t>P40.5 L322 A844 2004</t>
  </si>
  <si>
    <t>0                      P  0040500L  322                A  844         2004</t>
  </si>
  <si>
    <t>Maintaining a minority language : a case study of Hispanic teenagers / John Gibbons and Elizabeth Ramirez.</t>
  </si>
  <si>
    <t>Gibbons, John, 1946-</t>
  </si>
  <si>
    <t>Clevedon, England ; Buffalo : Multilingual Matters, ©2004.</t>
  </si>
  <si>
    <t>Multilingual matters ; 129</t>
  </si>
  <si>
    <t>793043606:eng</t>
  </si>
  <si>
    <t>54391970</t>
  </si>
  <si>
    <t>ocm54391970</t>
  </si>
  <si>
    <t>3102730694W</t>
  </si>
  <si>
    <t>9781853597411</t>
  </si>
  <si>
    <t>793860792</t>
  </si>
  <si>
    <t>P40.5 L33 A25 2003</t>
  </si>
  <si>
    <t>0                      P  0040500L  33                 A  25          2003</t>
  </si>
  <si>
    <t>Spoken here : travels among threatened languages / Mark Abley.</t>
  </si>
  <si>
    <t>Abley, Mark, 1955-</t>
  </si>
  <si>
    <t>[Toronto] : Random House Canada, 2003.</t>
  </si>
  <si>
    <t>720108:eng</t>
  </si>
  <si>
    <t>51043073</t>
  </si>
  <si>
    <t>ocm51043073</t>
  </si>
  <si>
    <t>31027307304</t>
  </si>
  <si>
    <t>9780679311010</t>
  </si>
  <si>
    <t>793777530</t>
  </si>
  <si>
    <t>P40.5 L33 C36 2011</t>
  </si>
  <si>
    <t>0                      P  0040500L  33                 C  36          2011</t>
  </si>
  <si>
    <t>The Cambridge handbook of endangered languages / [edited by] Peter K. Austin, Julia Sallabank.</t>
  </si>
  <si>
    <t>Cambridge ; New York : Cambridge University Press, ©2011.</t>
  </si>
  <si>
    <t>Cambridge handbooks in linguistics</t>
  </si>
  <si>
    <t>2014-03-31</t>
  </si>
  <si>
    <t>766091822:eng</t>
  </si>
  <si>
    <t>693684130</t>
  </si>
  <si>
    <t>ocn693684130</t>
  </si>
  <si>
    <t>3103234291E</t>
  </si>
  <si>
    <t>9780521882156</t>
  </si>
  <si>
    <t>794856633</t>
  </si>
  <si>
    <t>P40.5 L33 C79 2000</t>
  </si>
  <si>
    <t>0                      P  0040500L  33                 C  79          2000</t>
  </si>
  <si>
    <t>Language death / David Crystal.</t>
  </si>
  <si>
    <t>Cambridge, UK ; New York, NY : Cambridge University Press, 2000.</t>
  </si>
  <si>
    <t>1027216:eng</t>
  </si>
  <si>
    <t>42682795</t>
  </si>
  <si>
    <t>ocm42682795</t>
  </si>
  <si>
    <t>3102727939C</t>
  </si>
  <si>
    <t>9780521653213</t>
  </si>
  <si>
    <t>793611658</t>
  </si>
  <si>
    <t>2017-05-12</t>
  </si>
  <si>
    <t>31022761692</t>
  </si>
  <si>
    <t>793611659</t>
  </si>
  <si>
    <t>P40.5 L33 D35 2003</t>
  </si>
  <si>
    <t>0                      P  0040500L  33                 D  35          2003</t>
  </si>
  <si>
    <t>Language in danger : the loss of linguistic diversity and the threat to our future / Andrew Dalby.</t>
  </si>
  <si>
    <t>Dalby, Andrew, 1947-</t>
  </si>
  <si>
    <t>New York : Columbia University Press, ©2003.</t>
  </si>
  <si>
    <t>2016-08-11</t>
  </si>
  <si>
    <t>4905509424:eng</t>
  </si>
  <si>
    <t>51059007</t>
  </si>
  <si>
    <t>ocm51059007</t>
  </si>
  <si>
    <t>31027307256</t>
  </si>
  <si>
    <t>9780231129008</t>
  </si>
  <si>
    <t>793777886</t>
  </si>
  <si>
    <t>P40.5 L33 D63 2011</t>
  </si>
  <si>
    <t>0                      P  0040500L  33                 D  63          2011</t>
  </si>
  <si>
    <t>Documenting endangered languages : achievements and perspectives / edited by Geoffrey Haig [and others].</t>
  </si>
  <si>
    <t>Trends in linguistics : studies and monographs ; 240</t>
  </si>
  <si>
    <t>2012-07-23</t>
  </si>
  <si>
    <t>1059440624:eng</t>
  </si>
  <si>
    <t>743040466</t>
  </si>
  <si>
    <t>ocn743040466</t>
  </si>
  <si>
    <t>31034069300</t>
  </si>
  <si>
    <t>9783110260014</t>
  </si>
  <si>
    <t>794885344</t>
  </si>
  <si>
    <t>P40.5 L33 E53 2014</t>
  </si>
  <si>
    <t>0                      P  0040500L  33                 E  53          2014</t>
  </si>
  <si>
    <t>Endangered languages : beliefs and ideologies in language documentation and revitalization / edited by Peter K. Austin and Julia Sallabank.</t>
  </si>
  <si>
    <t>Oxford : Published for the British Academy by Oxford University Press, 2014.</t>
  </si>
  <si>
    <t>Proceedings of the British Academy, 0068-1202 ; 199</t>
  </si>
  <si>
    <t>3862791645:eng</t>
  </si>
  <si>
    <t>883651659</t>
  </si>
  <si>
    <t>ocn883651659</t>
  </si>
  <si>
    <t>3103580343V</t>
  </si>
  <si>
    <t>9780197265765</t>
  </si>
  <si>
    <t>794975773</t>
  </si>
  <si>
    <t>P40.5 L33 E53 2018</t>
  </si>
  <si>
    <t>0                      P  0040500L  33                 E  53          2018</t>
  </si>
  <si>
    <t>Endangered Iranian languages / Saloumeh Gholami (ed.).</t>
  </si>
  <si>
    <t>Wiesbaden : Reichert Verlag, [2018].</t>
  </si>
  <si>
    <t>2018</t>
  </si>
  <si>
    <t>5415264085:eng</t>
  </si>
  <si>
    <t>1050447217</t>
  </si>
  <si>
    <t>on1050447217</t>
  </si>
  <si>
    <t>3103768147X</t>
  </si>
  <si>
    <t>9783954903290</t>
  </si>
  <si>
    <t>795061511</t>
  </si>
  <si>
    <t>P40.5 L33 E54 2007</t>
  </si>
  <si>
    <t>0                      P  0040500L  33                 E  54          2007</t>
  </si>
  <si>
    <t>Endangered languages / edited by Peter K. Austin and Andrew Simpson.</t>
  </si>
  <si>
    <t>Hamburg : Helmut Buske Verlag, ©2007.</t>
  </si>
  <si>
    <t>Linguistische Berichte. Sonderheft ; 14</t>
  </si>
  <si>
    <t>2015-03-21</t>
  </si>
  <si>
    <t>3943580599:eng</t>
  </si>
  <si>
    <t>85855030</t>
  </si>
  <si>
    <t>ocm85855030</t>
  </si>
  <si>
    <t>3102693222M</t>
  </si>
  <si>
    <t>9783875484656</t>
  </si>
  <si>
    <t>794217254</t>
  </si>
  <si>
    <t>P40.5 L33 H34 2009</t>
  </si>
  <si>
    <t>0                      P  0040500L  33                 H  34          2009</t>
  </si>
  <si>
    <t>On the death and life of languages / Claude Hagège ; translated by Jody Gladding.</t>
  </si>
  <si>
    <t>Hagège, Claude, 1936-</t>
  </si>
  <si>
    <t>New Haven, CT : Yale University Press, ©2009.</t>
  </si>
  <si>
    <t>2016-01-27</t>
  </si>
  <si>
    <t>34893041:eng</t>
  </si>
  <si>
    <t>312096754</t>
  </si>
  <si>
    <t>ocn312096754</t>
  </si>
  <si>
    <t>31031347749</t>
  </si>
  <si>
    <t>9780300137330</t>
  </si>
  <si>
    <t>794436664</t>
  </si>
  <si>
    <t>P40.5 L33 H37 2007</t>
  </si>
  <si>
    <t>0                      P  0040500L  33                 H  37          2007</t>
  </si>
  <si>
    <t>When languages die : the extinction of the world's languages and the erosion of human knowledge / K. David Harrison.</t>
  </si>
  <si>
    <t>Oxford ; New York : Oxford University Press, 2007.</t>
  </si>
  <si>
    <t>801234414:eng</t>
  </si>
  <si>
    <t>65425996</t>
  </si>
  <si>
    <t>ocm65425996</t>
  </si>
  <si>
    <t>3102634042D</t>
  </si>
  <si>
    <t>9780195181920</t>
  </si>
  <si>
    <t>794134471</t>
  </si>
  <si>
    <t>P40.5 L33 I58 1989</t>
  </si>
  <si>
    <t>0                      P  0040500L  33                 I  58          1989</t>
  </si>
  <si>
    <t>Investigating obsolescence : studies in language contraction and death / edited by Nancy C. Dorian.</t>
  </si>
  <si>
    <t>Cambridge [England] ; New York : Cambridge University Press, 1989.</t>
  </si>
  <si>
    <t>Studies in the social and cultural foundations of language ; 7</t>
  </si>
  <si>
    <t>895792104:eng</t>
  </si>
  <si>
    <t>18105890</t>
  </si>
  <si>
    <t>ocm18105890</t>
  </si>
  <si>
    <t>3102730689Y</t>
  </si>
  <si>
    <t>9780521324052</t>
  </si>
  <si>
    <t>793013927</t>
  </si>
  <si>
    <t>P40.5 L33 L56 2000</t>
  </si>
  <si>
    <t>0                      P  0040500L  33                 L  56          2000</t>
  </si>
  <si>
    <t>Language death and language maintenance : theoretical, practical, and descriptive approaches / edited by Mark Janse, Sijmen Tol.</t>
  </si>
  <si>
    <t>Amsterdam studies in the theory and history of linguistic science. Series IV, Current issues in linguistic theory ; v. 240</t>
  </si>
  <si>
    <t>374887410:eng</t>
  </si>
  <si>
    <t>51652903</t>
  </si>
  <si>
    <t>ocm51652903</t>
  </si>
  <si>
    <t>31027307158</t>
  </si>
  <si>
    <t>9781588113825</t>
  </si>
  <si>
    <t>793788709</t>
  </si>
  <si>
    <t>P40.5 L33 N48 2000</t>
  </si>
  <si>
    <t>0                      P  0040500L  33                 N  48          2000</t>
  </si>
  <si>
    <t>Vanishing voices : the extinction of the world's languages / Daniel Nettle and Suzanne Romaine.</t>
  </si>
  <si>
    <t>Nettle, Daniel.</t>
  </si>
  <si>
    <t>New York : Oxford University Press, ©2000.</t>
  </si>
  <si>
    <t>2019-05-23</t>
  </si>
  <si>
    <t>792590173:eng</t>
  </si>
  <si>
    <t>41580409</t>
  </si>
  <si>
    <t>ocm41580409</t>
  </si>
  <si>
    <t>3102170566N</t>
  </si>
  <si>
    <t>9780195136241</t>
  </si>
  <si>
    <t>793594533</t>
  </si>
  <si>
    <t>2017-08-16</t>
  </si>
  <si>
    <t>31027307108</t>
  </si>
  <si>
    <t>793594532</t>
  </si>
  <si>
    <t>- Redpath Basement - Education Collection - Regular Loan</t>
  </si>
  <si>
    <t>P40.5 L33 N49 2010</t>
  </si>
  <si>
    <t>0                      P  0040500L  33                 N  49          2010</t>
  </si>
  <si>
    <t>New perspectives on endangered languages : bridging gaps between sociolinguistics, documentation and language revitalization / edited by José Antonio Flores Farfán, Fernando Ramallo.</t>
  </si>
  <si>
    <t>Culture and language use ; v. 1</t>
  </si>
  <si>
    <t>2018-11-06</t>
  </si>
  <si>
    <t>796521016:eng</t>
  </si>
  <si>
    <t>645790936</t>
  </si>
  <si>
    <t>ocn645790936</t>
  </si>
  <si>
    <t>3103322524Q</t>
  </si>
  <si>
    <t>9789027202819</t>
  </si>
  <si>
    <t>794829864</t>
  </si>
  <si>
    <t>P40.5 L33 P363 1996</t>
  </si>
  <si>
    <t>0                      P  0040500L  33                 P  363         1996</t>
  </si>
  <si>
    <t>Papers on language endangerment and the maintenance of linguistic diversity / edited by Jonathan David Bobaljik, Rob Pensalfini, and Luciana Storto.</t>
  </si>
  <si>
    <t>Cambridge, MA : MITWPL, Dept. of Linguistics MIT, [1996]</t>
  </si>
  <si>
    <t>The MIT working papers in linguistics ; v. 28</t>
  </si>
  <si>
    <t>2017-03-17</t>
  </si>
  <si>
    <t>477205409:eng</t>
  </si>
  <si>
    <t>36652489</t>
  </si>
  <si>
    <t>ocm36652489</t>
  </si>
  <si>
    <t>3103485008Y</t>
  </si>
  <si>
    <t>793480552</t>
  </si>
  <si>
    <t>P40.5 L33 U53 2006</t>
  </si>
  <si>
    <t>0                      P  0040500L  33                 U  53          2006</t>
  </si>
  <si>
    <t>Undescribed and endangered languages : the preservation of linguistic diversity / editor, Amedeo de Dominicis. Book 7.</t>
  </si>
  <si>
    <t>Newcastle-upon-Tyne : Cambridge Scholars, 2007.</t>
  </si>
  <si>
    <t>865591494:eng</t>
  </si>
  <si>
    <t>76936466</t>
  </si>
  <si>
    <t>ocm76936466</t>
  </si>
  <si>
    <t>31025704227</t>
  </si>
  <si>
    <t>9781847180568</t>
  </si>
  <si>
    <t>794179301</t>
  </si>
  <si>
    <t>P40.5 L332 P16 2010</t>
  </si>
  <si>
    <t>0                      P  0040500L  332                P  16          2010</t>
  </si>
  <si>
    <t>Endangered Austronesian and Australian Aboriginal languages : essays on language documentation, archiving, and revitalization / edited by Gunter Senft.</t>
  </si>
  <si>
    <t>Canberra, ACT : Pacific Linguistics, College of Asia and the Pacific, Australian National University, 2010.</t>
  </si>
  <si>
    <t>Pacific linguistics ; 617</t>
  </si>
  <si>
    <t>2014-12-03</t>
  </si>
  <si>
    <t>1010734905:eng</t>
  </si>
  <si>
    <t>656001765</t>
  </si>
  <si>
    <t>ocn656001765</t>
  </si>
  <si>
    <t>3103334094E</t>
  </si>
  <si>
    <t>9780858836235</t>
  </si>
  <si>
    <t>794834452</t>
  </si>
  <si>
    <t>P40.5 L35 A54 2001</t>
  </si>
  <si>
    <t>0                      P  0040500L  35                 A  54          2001</t>
  </si>
  <si>
    <t>Motivation in language planning and language policy / Dennis Ager.</t>
  </si>
  <si>
    <t>Ager, D. E.</t>
  </si>
  <si>
    <t>Clevedon [England] ; Buffalo : Multilingual Matters, ©2001.</t>
  </si>
  <si>
    <t>Multilingual matters ; 119</t>
  </si>
  <si>
    <t>34887189:eng</t>
  </si>
  <si>
    <t>45506003</t>
  </si>
  <si>
    <t>ocm45506003</t>
  </si>
  <si>
    <t>3102730700A</t>
  </si>
  <si>
    <t>9781853595295</t>
  </si>
  <si>
    <t>793673089</t>
  </si>
  <si>
    <t>P40.5 L35 A78884 1990</t>
  </si>
  <si>
    <t>0                      P  0040500L  35                 A  78884       1990</t>
  </si>
  <si>
    <t>Language planning and education in Australasia and the South Pacific / edited by Richard B. Baldauf, Jr. and Allan Luke.</t>
  </si>
  <si>
    <t>Clevedon, Avon, England ; Philadelphia : Multilingual Matters, ©1990.</t>
  </si>
  <si>
    <t>Multilingual matters ; 55</t>
  </si>
  <si>
    <t>351749991:eng</t>
  </si>
  <si>
    <t>18948449</t>
  </si>
  <si>
    <t>ocm18948449</t>
  </si>
  <si>
    <t>31027307216</t>
  </si>
  <si>
    <t>9781853590481</t>
  </si>
  <si>
    <t>793042089</t>
  </si>
  <si>
    <t>P40.5 L35 C225 1984</t>
  </si>
  <si>
    <t>0                      P  0040500L  35                 C  225         1984</t>
  </si>
  <si>
    <t>Conflict and language planning in Quebec / edited by Richard Y. Bourhis.</t>
  </si>
  <si>
    <t>Clevedon, Avon, England : Multilingual Matters, ©1984.</t>
  </si>
  <si>
    <t>Multilingual matters ; 5</t>
  </si>
  <si>
    <t>2014-03-28</t>
  </si>
  <si>
    <t>54701167:eng</t>
  </si>
  <si>
    <t>11814488</t>
  </si>
  <si>
    <t>ocm11814488</t>
  </si>
  <si>
    <t>3102730690W</t>
  </si>
  <si>
    <t>9780905028163</t>
  </si>
  <si>
    <t>792789261</t>
  </si>
  <si>
    <t>2019-03-11</t>
  </si>
  <si>
    <t>3102730695W</t>
  </si>
  <si>
    <t>792789262</t>
  </si>
  <si>
    <t>2009-07-13</t>
  </si>
  <si>
    <t>31027306543</t>
  </si>
  <si>
    <t>792789260</t>
  </si>
  <si>
    <t>31029124167</t>
  </si>
  <si>
    <t>792789263</t>
  </si>
  <si>
    <t>P40.5 L35 C67 1989</t>
  </si>
  <si>
    <t>0                      P  0040500L  35                 C  67          1989</t>
  </si>
  <si>
    <t>Language planning and social change / Robert L. Cooper.</t>
  </si>
  <si>
    <t>Cooper, Robert L. (Robert Leon), 1931-2012.</t>
  </si>
  <si>
    <t>Cambridge ; New York : Cambridge University Press, 1989.</t>
  </si>
  <si>
    <t>2662102:eng</t>
  </si>
  <si>
    <t>19624070</t>
  </si>
  <si>
    <t>ocm19624070</t>
  </si>
  <si>
    <t>31027307168</t>
  </si>
  <si>
    <t>9780521333597</t>
  </si>
  <si>
    <t>793064163</t>
  </si>
  <si>
    <t>P40.5 L35 F47 2006</t>
  </si>
  <si>
    <t>0                      P  0040500L  35                 F  47          2006</t>
  </si>
  <si>
    <t>Language planning and education / Gibson Ferguson.</t>
  </si>
  <si>
    <t>Ferguson, Gibson.</t>
  </si>
  <si>
    <t>Edinburgh : Edinburgh University Press, ©2006.</t>
  </si>
  <si>
    <t>Edinburgh textbooks in applied linguistics</t>
  </si>
  <si>
    <t>2017-03-18</t>
  </si>
  <si>
    <t>49914742:eng</t>
  </si>
  <si>
    <t>66263470</t>
  </si>
  <si>
    <t>ocm66263470</t>
  </si>
  <si>
    <t>31025569569</t>
  </si>
  <si>
    <t>9780748612611</t>
  </si>
  <si>
    <t>794138775</t>
  </si>
  <si>
    <t>P40.5 L35 F57 2006</t>
  </si>
  <si>
    <t>0                      P  0040500L  35                 F  57          2006</t>
  </si>
  <si>
    <t>Do not leave your language alone : the hidden status agendas within corpus planning in language policy / Joshua A. Fishman.</t>
  </si>
  <si>
    <t>Mahwah, N.J. : Lawrence Erlbaum Publishers, 2006.</t>
  </si>
  <si>
    <t>2017-12-13</t>
  </si>
  <si>
    <t>285148413:eng</t>
  </si>
  <si>
    <t>61758698</t>
  </si>
  <si>
    <t>ocm61758698</t>
  </si>
  <si>
    <t>3102582430T</t>
  </si>
  <si>
    <t>9780805850239</t>
  </si>
  <si>
    <t>794098154</t>
  </si>
  <si>
    <t>P40.5 L35 K36 1997</t>
  </si>
  <si>
    <t>0                      P  0040500L  35                 K  36          1997</t>
  </si>
  <si>
    <t>Language planning from practice to theory / Robert B. Kaplan, Richard B. Baldauf.</t>
  </si>
  <si>
    <t>Kaplan, Robert B.</t>
  </si>
  <si>
    <t>Clevedon [England] ; Philadelphia : Multilingual Matters, ©1997.</t>
  </si>
  <si>
    <t>Multilingual matters ; 108</t>
  </si>
  <si>
    <t>2015-11-12</t>
  </si>
  <si>
    <t>692290:eng</t>
  </si>
  <si>
    <t>36225068</t>
  </si>
  <si>
    <t>ocm36225068</t>
  </si>
  <si>
    <t>3103475546G</t>
  </si>
  <si>
    <t>9781853593727</t>
  </si>
  <si>
    <t>793469593</t>
  </si>
  <si>
    <t>P40.5 L35 L26 1983</t>
  </si>
  <si>
    <t>0                      P  0040500L  35                 L  26          1983</t>
  </si>
  <si>
    <t>Language planning and language education / edited by Chris Kennedy.</t>
  </si>
  <si>
    <t>London ; Boston : G. Allen &amp; Unwin, 1984, ©1983.</t>
  </si>
  <si>
    <t>350100751:eng</t>
  </si>
  <si>
    <t>9683459</t>
  </si>
  <si>
    <t>ocm09683459</t>
  </si>
  <si>
    <t>3000972375R</t>
  </si>
  <si>
    <t>9780044070191</t>
  </si>
  <si>
    <t>792688459</t>
  </si>
  <si>
    <t>P40.5 L35 L28 2007</t>
  </si>
  <si>
    <t>0                      P  0040500L  35                 L  28          2007</t>
  </si>
  <si>
    <t>Language planning and policy : issues in language planning and literacy / edited by Anthony J. Liddicoat.</t>
  </si>
  <si>
    <t>Clevedon ; Buffalo : Multilingual Matters, ©2007.</t>
  </si>
  <si>
    <t>Language planning and policy</t>
  </si>
  <si>
    <t>2564883994:eng</t>
  </si>
  <si>
    <t>77575025</t>
  </si>
  <si>
    <t>ocm77575025</t>
  </si>
  <si>
    <t>3102570999F</t>
  </si>
  <si>
    <t>9781853599774</t>
  </si>
  <si>
    <t>794192532</t>
  </si>
  <si>
    <t>P40.5 L35 L294 1994</t>
  </si>
  <si>
    <t>0                      P  0040500L  35                 L  294         1994</t>
  </si>
  <si>
    <t>Language planning around the world : contexts and systemic change / Richard D. Lambert, editor ; Rune Bergentoft [and others].</t>
  </si>
  <si>
    <t>Washington, D.C. : National Foreign Language Center at The Johns Hopkins University, ©1994.</t>
  </si>
  <si>
    <t>National Foreign Language Center monograph series</t>
  </si>
  <si>
    <t>355693711:eng</t>
  </si>
  <si>
    <t>29911369</t>
  </si>
  <si>
    <t>ocm29911369</t>
  </si>
  <si>
    <t>3102730772X</t>
  </si>
  <si>
    <t>9781880671030</t>
  </si>
  <si>
    <t>793323707</t>
  </si>
  <si>
    <t>P40.5 L35 L3</t>
  </si>
  <si>
    <t>0                      P  0040500L  35                 L  3</t>
  </si>
  <si>
    <t>Language planning processes / edited by Joan Rubin [and others].</t>
  </si>
  <si>
    <t>The Hague ; New York : Mouton, 1977.</t>
  </si>
  <si>
    <t>Contributions to the sociology of language ; 21</t>
  </si>
  <si>
    <t>2017-03-10</t>
  </si>
  <si>
    <t>118247873:eng</t>
  </si>
  <si>
    <t>4034817</t>
  </si>
  <si>
    <t>ocm04034817</t>
  </si>
  <si>
    <t>3102730767Z</t>
  </si>
  <si>
    <t>9789027977144</t>
  </si>
  <si>
    <t>792315536</t>
  </si>
  <si>
    <t>P40.5 L35 L36 2014</t>
  </si>
  <si>
    <t>0                      P  0040500L  35                 L  36          2014</t>
  </si>
  <si>
    <t>Langue et territoire. Études en aménagement linguistique / sous la direction de Ali Reguigui, Julie Boissonneault = Language and territory. Studies in language planning / edited by Ali Reguigui, Julie Boissonneault.</t>
  </si>
  <si>
    <t>Sudbury, Ontario, Canada : Université Laurentienne, [2014]</t>
  </si>
  <si>
    <t>Série monographique en sciences humaines = Human sciences monograph series, 1198-8282 ; 14</t>
  </si>
  <si>
    <t>1823802355:fre</t>
  </si>
  <si>
    <t>912029693</t>
  </si>
  <si>
    <t>ocn912029693</t>
  </si>
  <si>
    <t>3103627341$</t>
  </si>
  <si>
    <t>9780886670856</t>
  </si>
  <si>
    <t>794998709</t>
  </si>
  <si>
    <t>3103644833I</t>
  </si>
  <si>
    <t>794998710</t>
  </si>
  <si>
    <t>P40.5 L35 P76 1983</t>
  </si>
  <si>
    <t>0                      P  0040500L  35                 P  76          1983</t>
  </si>
  <si>
    <t>Progress in language planning : international perspectives / edited by Juan Cobarrubias, Joshua A. Fishman.</t>
  </si>
  <si>
    <t>Berlin ; New York : Mouton Publishers, ©1983.</t>
  </si>
  <si>
    <t>Contributions to the sociology of language ; 31</t>
  </si>
  <si>
    <t>2017-03-20</t>
  </si>
  <si>
    <t>795289907:eng</t>
  </si>
  <si>
    <t>8976002</t>
  </si>
  <si>
    <t>ocm08976002</t>
  </si>
  <si>
    <t>31027307570</t>
  </si>
  <si>
    <t>9789027933584</t>
  </si>
  <si>
    <t>792650956</t>
  </si>
  <si>
    <t>P40.5 L35 W75 2004</t>
  </si>
  <si>
    <t>0                      P  0040500L  35                 W  75          2004</t>
  </si>
  <si>
    <t>Language policy and language planning : from nationalism to globalisation / Sue Wright.</t>
  </si>
  <si>
    <t>Wright, Sue, 1947-</t>
  </si>
  <si>
    <t>Houndmills, Basingstoke, Hampshire [England] ; New York : Palgrave Macmillan, 2004.</t>
  </si>
  <si>
    <t>795476168:eng</t>
  </si>
  <si>
    <t>156056611</t>
  </si>
  <si>
    <t>ocn156056611</t>
  </si>
  <si>
    <t>31023617349</t>
  </si>
  <si>
    <t>9780333986417</t>
  </si>
  <si>
    <t>794254076</t>
  </si>
  <si>
    <t>P40.5 L352 A325 2012</t>
  </si>
  <si>
    <t>0                      P  0040500L  352                A  325         2012</t>
  </si>
  <si>
    <t>Paradigm shift in language planning and policy : game-theoretic solutions / by Ettien Koffi.</t>
  </si>
  <si>
    <t>Koffi, Ettien N'da, 1963-</t>
  </si>
  <si>
    <t>Berlin ; Boston : De Gruyter Mouton, 2012.</t>
  </si>
  <si>
    <t>Contributions to the sociology of language ; . 101</t>
  </si>
  <si>
    <t>1043291540:eng</t>
  </si>
  <si>
    <t>760176439</t>
  </si>
  <si>
    <t>ocn760176439</t>
  </si>
  <si>
    <t>31034256127</t>
  </si>
  <si>
    <t>9781934078105</t>
  </si>
  <si>
    <t>794898378</t>
  </si>
  <si>
    <t>P40.5 L352 A3565 1992</t>
  </si>
  <si>
    <t>0                      P  0040500L  352                A  3565        1992</t>
  </si>
  <si>
    <t>Language repertoires and state construction in Africa / David D. Laitin.</t>
  </si>
  <si>
    <t>Laitin, David D.</t>
  </si>
  <si>
    <t>Cambridge studies in comparative politics</t>
  </si>
  <si>
    <t>2017-09-13</t>
  </si>
  <si>
    <t>27468003:eng</t>
  </si>
  <si>
    <t>24541541</t>
  </si>
  <si>
    <t>ocm24541541</t>
  </si>
  <si>
    <t>31027307324</t>
  </si>
  <si>
    <t>9780521413435</t>
  </si>
  <si>
    <t>793200604</t>
  </si>
  <si>
    <t>31027307374</t>
  </si>
  <si>
    <t>793200605</t>
  </si>
  <si>
    <t>P40.5 L352 E85 2010</t>
  </si>
  <si>
    <t>0                      P  0040500L  352                E  85          2010</t>
  </si>
  <si>
    <t>Cities and languages : governance and policy : an international symposium / edited by Richard Clément &amp; Caroline Andrew.</t>
  </si>
  <si>
    <t>International Symposium "Language Planning in Capitals and Urban Environments: Practices and Challenges" (2010 : Ottawa, Ont.)</t>
  </si>
  <si>
    <t>Ottawa : Invenire Books, c2012.</t>
  </si>
  <si>
    <t>1075839026:eng</t>
  </si>
  <si>
    <t>774094689</t>
  </si>
  <si>
    <t>ocn774094689</t>
  </si>
  <si>
    <t>31033270869</t>
  </si>
  <si>
    <t>9780987757500</t>
  </si>
  <si>
    <t>794906257</t>
  </si>
  <si>
    <t>P40.5 L352 E8514 2010</t>
  </si>
  <si>
    <t>0                      P  0040500L  352                E  8514        2010</t>
  </si>
  <si>
    <t>Villes et langues : gouvernance et politiques : symposium international / sous la direction de Richard Clément et Caroline Andrew.</t>
  </si>
  <si>
    <t>Ottawa : Invenire, 2012.</t>
  </si>
  <si>
    <t>1075839033:fre</t>
  </si>
  <si>
    <t>830051784</t>
  </si>
  <si>
    <t>ocn830051784</t>
  </si>
  <si>
    <t>3103494702C</t>
  </si>
  <si>
    <t>9780987757524</t>
  </si>
  <si>
    <t>794943114</t>
  </si>
  <si>
    <t>P40.5 L352 E854 2005</t>
  </si>
  <si>
    <t>0                      P  0040500L  352                E  854         2005</t>
  </si>
  <si>
    <t>Language planning and policy in Europe / edited by Robert B. Kaplan and Richard B. Baldauf, Jr.</t>
  </si>
  <si>
    <t>Clevedon ; Buffalo : Multilingual Matters, ©2005-&lt;c2006&gt;</t>
  </si>
  <si>
    <t>865187431:eng</t>
  </si>
  <si>
    <t>58455110</t>
  </si>
  <si>
    <t>ocm58455110</t>
  </si>
  <si>
    <t>31025631347</t>
  </si>
  <si>
    <t>9781853598111</t>
  </si>
  <si>
    <t>793921216</t>
  </si>
  <si>
    <t>31025631289</t>
  </si>
  <si>
    <t>793921217</t>
  </si>
  <si>
    <t>P40.5 L352 I43 1985</t>
  </si>
  <si>
    <t>0                      P  0040500L  352                I  43          1985</t>
  </si>
  <si>
    <t>Language planning in India / Hans R. Dua.</t>
  </si>
  <si>
    <t>Dua, Hans Raj.</t>
  </si>
  <si>
    <t>New Delhi : Harnam Publications, 1985.</t>
  </si>
  <si>
    <t>2019-04-21</t>
  </si>
  <si>
    <t>5439695:eng</t>
  </si>
  <si>
    <t>12667681</t>
  </si>
  <si>
    <t>ocm12667681</t>
  </si>
  <si>
    <t>3102730763Z</t>
  </si>
  <si>
    <t>792823345</t>
  </si>
  <si>
    <t>P40.5 L352 L295 2007</t>
  </si>
  <si>
    <t>0                      P  0040500L  352                L  295         2007</t>
  </si>
  <si>
    <t>Language planning and policy in Latin America / edited by Richard B. Baldauf Jr. and Robert B. Kaplan.</t>
  </si>
  <si>
    <t>Clevedon ; Buffalo : Multilingual Matters, ©2007-</t>
  </si>
  <si>
    <t>2015-04-13</t>
  </si>
  <si>
    <t>2288476839:eng</t>
  </si>
  <si>
    <t>85692748</t>
  </si>
  <si>
    <t>ocm85692748</t>
  </si>
  <si>
    <t>3103096742K</t>
  </si>
  <si>
    <t>9781847690067</t>
  </si>
  <si>
    <t>794214293</t>
  </si>
  <si>
    <t>P40.5 L352 S655 1990</t>
  </si>
  <si>
    <t>0                      P  0040500L  352                S  655         1990</t>
  </si>
  <si>
    <t>Language planning in the Soviet Union / edited by Michael Kirkwood.</t>
  </si>
  <si>
    <t>New York : St. Martin's Press, 1990.</t>
  </si>
  <si>
    <t>18169047:eng</t>
  </si>
  <si>
    <t>20453053</t>
  </si>
  <si>
    <t>ocm20453053</t>
  </si>
  <si>
    <t>31027307482</t>
  </si>
  <si>
    <t>9780312041199</t>
  </si>
  <si>
    <t>793088300</t>
  </si>
  <si>
    <t>P40.5 L354 C36 2012</t>
  </si>
  <si>
    <t>0                      P  0040500L  354                C  36          2012</t>
  </si>
  <si>
    <t>Verbal hygiene / Deborah Cameron.</t>
  </si>
  <si>
    <t>Cameron, Deborah, 1958-</t>
  </si>
  <si>
    <t>London ; New York : Routledge, 2012.</t>
  </si>
  <si>
    <t>Routledge linguistics classics</t>
  </si>
  <si>
    <t>2016-10-21</t>
  </si>
  <si>
    <t>4917767061:eng</t>
  </si>
  <si>
    <t>754389868</t>
  </si>
  <si>
    <t>ocn754389868</t>
  </si>
  <si>
    <t>3103406120Q</t>
  </si>
  <si>
    <t>9780415695992</t>
  </si>
  <si>
    <t>794892806</t>
  </si>
  <si>
    <t>P40.5 L354 W35 2016</t>
  </si>
  <si>
    <t>0                      P  0040500L  354                W  35          2016</t>
  </si>
  <si>
    <t>Linguistic purism : language attitudes in France and Quebec / Olivia Walsh.</t>
  </si>
  <si>
    <t>Walsh, Olivia, author.</t>
  </si>
  <si>
    <t>Amsterdam ; Philadelphia : John Benjamins Publishing Company, [2016]</t>
  </si>
  <si>
    <t>IMPACT: Studies in Language and Society ; volume 41</t>
  </si>
  <si>
    <t>2019-04-08</t>
  </si>
  <si>
    <t>3283932716:eng</t>
  </si>
  <si>
    <t>949870364</t>
  </si>
  <si>
    <t>ocn949870364</t>
  </si>
  <si>
    <t>31036462968</t>
  </si>
  <si>
    <t>9789027258335</t>
  </si>
  <si>
    <t>795016253</t>
  </si>
  <si>
    <t>P40.5 L356 B75 2013</t>
  </si>
  <si>
    <t>0                      P  0040500L  356                B  75          2013</t>
  </si>
  <si>
    <t>Bringing Our Languages Home : Language Revitalization for Families / edited with a How-to Guide for Parents by Leanne Hinton.</t>
  </si>
  <si>
    <t>Berkeley, California : Heyday, [2013]</t>
  </si>
  <si>
    <t>2019-06-04</t>
  </si>
  <si>
    <t>1887734528:eng</t>
  </si>
  <si>
    <t>813690954</t>
  </si>
  <si>
    <t>ocn813690954</t>
  </si>
  <si>
    <t>3103453966I</t>
  </si>
  <si>
    <t>9781597142007</t>
  </si>
  <si>
    <t>794931798</t>
  </si>
  <si>
    <t>P40.5 L356 G74 2001</t>
  </si>
  <si>
    <t>0                      P  0040500L  356                G  74          2001</t>
  </si>
  <si>
    <t>The green book of language revitalization in practice / edited by Leanne Hinton and Ken Hale.</t>
  </si>
  <si>
    <t>San Diego : Academic Press, ©2001.</t>
  </si>
  <si>
    <t>2019-02-07</t>
  </si>
  <si>
    <t>354077219:eng</t>
  </si>
  <si>
    <t>47640996</t>
  </si>
  <si>
    <t>ocm47640996</t>
  </si>
  <si>
    <t>31027307266</t>
  </si>
  <si>
    <t>9780123493538</t>
  </si>
  <si>
    <t>793704231</t>
  </si>
  <si>
    <t>P40.5 L357 G74 2006</t>
  </si>
  <si>
    <t>0                      P  0040500L  357                G  74          2006</t>
  </si>
  <si>
    <t>Saving languages : an introduction to language revitalization / Lenore A. Grenoble and Lindsay J. Whaley.</t>
  </si>
  <si>
    <t>Grenoble, Lenore A.</t>
  </si>
  <si>
    <t>801325548:eng</t>
  </si>
  <si>
    <t>60794225</t>
  </si>
  <si>
    <t>ocm60794225</t>
  </si>
  <si>
    <t>31025633341</t>
  </si>
  <si>
    <t>9780521816212</t>
  </si>
  <si>
    <t>793943815</t>
  </si>
  <si>
    <t>P40.5 L3572 L29 2016</t>
  </si>
  <si>
    <t>0                      P  0040500L  3572               L  29          2016</t>
  </si>
  <si>
    <t>Language documentation and revitalization in Latin American contexts / edited by Gabriela Pérez Báez, Chris Rogers, Jorge Emilio Rosés Labrada.</t>
  </si>
  <si>
    <t>Berlin : De Gruyter, [2016]</t>
  </si>
  <si>
    <t>Trends in linguistics. Studies and monographs ; volume 295</t>
  </si>
  <si>
    <t>3695464476:eng</t>
  </si>
  <si>
    <t>956745411</t>
  </si>
  <si>
    <t>ocn956745411</t>
  </si>
  <si>
    <t>31034225838</t>
  </si>
  <si>
    <t>9783110438079</t>
  </si>
  <si>
    <t>795020414</t>
  </si>
  <si>
    <t>P40.5 L37 W37 1987</t>
  </si>
  <si>
    <t>0                      P  0040500L  37                 W  37          1987</t>
  </si>
  <si>
    <t>Languages in competition : dominance, diversity, and decline / Ronald Wardhaugh.</t>
  </si>
  <si>
    <t>Oxford, UK ; New York, NY, USA : B. Blackwell ; London, England : A. Deutsch, ©1987.</t>
  </si>
  <si>
    <t>795427356:eng</t>
  </si>
  <si>
    <t>15549133</t>
  </si>
  <si>
    <t>ocm15549133</t>
  </si>
  <si>
    <t>3102730764Z</t>
  </si>
  <si>
    <t>9780631157441</t>
  </si>
  <si>
    <t>792935038</t>
  </si>
  <si>
    <t>P40.5 L38 C53 2018</t>
  </si>
  <si>
    <t>0                      P  0040500L  38                 C  53          2018</t>
  </si>
  <si>
    <t>Language matters : a sociolinguistic analysis of language and nationalism in Guam, the Philippines, and Puerto Rico / Sharon Clampitt-Dunlap.</t>
  </si>
  <si>
    <t>Clampitt-Dunlap, Sharon, author.</t>
  </si>
  <si>
    <t>Washington, DC : Academica Press, [2018]</t>
  </si>
  <si>
    <t>4906749070:eng</t>
  </si>
  <si>
    <t>1030608805</t>
  </si>
  <si>
    <t>on1030608805</t>
  </si>
  <si>
    <t>31037040990</t>
  </si>
  <si>
    <t>9781680530681</t>
  </si>
  <si>
    <t>795054773</t>
  </si>
  <si>
    <t>P40.5 L38 C66 2000</t>
  </si>
  <si>
    <t>0                      P  0040500L  38                 C  66          2000</t>
  </si>
  <si>
    <t>Contacts de langues et identités culturelles : perspectives lexicographiques : actes des quatrièmes Journées scientifiques du réseau "Etude du français en francophonie" / [édité par] Danièle Latin, Claude Poirier ; avec la collaboration de Nathalie Bacon et Jean Bédard.</t>
  </si>
  <si>
    <t>UREF. Réseau "Etude du français en francophonie." Journées scientifiques (4th : 1998 : Québec, Québec)</t>
  </si>
  <si>
    <t>Saint-Nicolas, Québec, Canada : Agence Universitaire de la Francophonie : Presses de l'Université Laval, ©2000.</t>
  </si>
  <si>
    <t>Universités francophones. Actualité scientifique</t>
  </si>
  <si>
    <t>37619433:fre</t>
  </si>
  <si>
    <t>48131911</t>
  </si>
  <si>
    <t>ocm48131911</t>
  </si>
  <si>
    <t>31027306445</t>
  </si>
  <si>
    <t>9782763777764</t>
  </si>
  <si>
    <t>793716647</t>
  </si>
  <si>
    <t>P40.5 L38 L36 1993</t>
  </si>
  <si>
    <t>0                      P  0040500L  38                 L  36          1993</t>
  </si>
  <si>
    <t>Language conflict and language planning / edited by Ernst Håkon Jahr.</t>
  </si>
  <si>
    <t>Berlin ; New York : Mouton de Gruyter, 1993.</t>
  </si>
  <si>
    <t>Trends in linguistics. Studies and monographs ; 72</t>
  </si>
  <si>
    <t>30974142:eng</t>
  </si>
  <si>
    <t>28710646</t>
  </si>
  <si>
    <t>ocm28710646</t>
  </si>
  <si>
    <t>31027307442</t>
  </si>
  <si>
    <t>9783110135398</t>
  </si>
  <si>
    <t>793294403</t>
  </si>
  <si>
    <t>P40.5 L38 O88 2005</t>
  </si>
  <si>
    <t>0                      P  0040500L  38                 O  88          2005</t>
  </si>
  <si>
    <t>Empires of the word : a language history of the world / Nicholas Ostler.</t>
  </si>
  <si>
    <t>Ostler, Nicholas.</t>
  </si>
  <si>
    <t>London : HarperCollins, 2005.</t>
  </si>
  <si>
    <t>2018-10-17</t>
  </si>
  <si>
    <t>796381725:eng</t>
  </si>
  <si>
    <t>51527480</t>
  </si>
  <si>
    <t>ocm51527480</t>
  </si>
  <si>
    <t>31027307344</t>
  </si>
  <si>
    <t>9780007118700</t>
  </si>
  <si>
    <t>793786203</t>
  </si>
  <si>
    <t>P40.5 L38 Q47 2014</t>
  </si>
  <si>
    <t>0                      P  0040500L  38                 Q  47          2014</t>
  </si>
  <si>
    <t>Questioning language contact : limits of contact, contact at its limits / edited by Robert Nicolaï.</t>
  </si>
  <si>
    <t>Leiden ; Boston : Brill, [2014]</t>
  </si>
  <si>
    <t>Brill Studies in language contact and dynamics of language ; volume 1</t>
  </si>
  <si>
    <t>2033622396:eng</t>
  </si>
  <si>
    <t>884500267</t>
  </si>
  <si>
    <t>ocn884500267</t>
  </si>
  <si>
    <t>3103581666E</t>
  </si>
  <si>
    <t>9789004279049</t>
  </si>
  <si>
    <t>794976400</t>
  </si>
  <si>
    <t>P40.5 L38 W49 2003</t>
  </si>
  <si>
    <t>0                      P  0040500L  38                 W  49          2003</t>
  </si>
  <si>
    <t>When languages collide : perspectives on language conflict, language competition, and language coexistence / edited by Brian D. Joseph [and others].</t>
  </si>
  <si>
    <t>Columbus : Ohio State University Press, ©2003.</t>
  </si>
  <si>
    <t>1013560:eng</t>
  </si>
  <si>
    <t>50123480</t>
  </si>
  <si>
    <t>ocm50123480</t>
  </si>
  <si>
    <t>3102768628$</t>
  </si>
  <si>
    <t>9780814209134</t>
  </si>
  <si>
    <t>793756049</t>
  </si>
  <si>
    <t>P40.5 L382 E853 2015</t>
  </si>
  <si>
    <t>0                      P  0040500L  382                E  853         2015</t>
  </si>
  <si>
    <t>Le choix du vulgaire : Espagne, France, Italie (XIIIe-XVIe siècle) / sous la direction de Nella Bianchi Bensimon, Bernard Darbord et Marie-Christine Gomez-Géraud.</t>
  </si>
  <si>
    <t>Paris : Classiques Garnier, 2015.</t>
  </si>
  <si>
    <t>Colloques, congrès et conférences sur la Renaissance européenne, 2107-1829 ; 86</t>
  </si>
  <si>
    <t>2785114484:fre</t>
  </si>
  <si>
    <t>924010380</t>
  </si>
  <si>
    <t>ocn924010380</t>
  </si>
  <si>
    <t>3103623305N</t>
  </si>
  <si>
    <t>9782812434365</t>
  </si>
  <si>
    <t>795004716</t>
  </si>
  <si>
    <t>P40.5 L382 S747 2016</t>
  </si>
  <si>
    <t>0                      P  0040500L  382                S  747         2016</t>
  </si>
  <si>
    <t>El español en contacto con las otras lenguas peninsulares / Dolors Poch Olivé (ed.).</t>
  </si>
  <si>
    <t>Madrid : Iberoamericana ; Frankfurt am Main : Vervuert, 2016.</t>
  </si>
  <si>
    <t>Lingüística Iberoamericana ; vol. 63</t>
  </si>
  <si>
    <t>4041681646:spa</t>
  </si>
  <si>
    <t>968759093</t>
  </si>
  <si>
    <t>ocn968759093</t>
  </si>
  <si>
    <t>3103709539A</t>
  </si>
  <si>
    <t>9788484899860</t>
  </si>
  <si>
    <t>795027222</t>
  </si>
  <si>
    <t>P40.5 L54 C877 2009</t>
  </si>
  <si>
    <t>0                      P  0040500L  54                 C  877         2009</t>
  </si>
  <si>
    <t>Current trends in diachronic semantics and pragmatics / edited by Maj-Britt Mosegaard Hansen, Jacqueline Visconti.</t>
  </si>
  <si>
    <t>Bingley, UK : Emerald, 2009.</t>
  </si>
  <si>
    <t>Studies in pragmatics, 1750-368X ; 7</t>
  </si>
  <si>
    <t>766918931:eng</t>
  </si>
  <si>
    <t>499490537</t>
  </si>
  <si>
    <t>ocn499490537</t>
  </si>
  <si>
    <t>3103156043I</t>
  </si>
  <si>
    <t>9781849506779</t>
  </si>
  <si>
    <t>794803789</t>
  </si>
  <si>
    <t>P40.5 L54 H68 2010</t>
  </si>
  <si>
    <t>0                      P  0040500L  54                 H  68          2010</t>
  </si>
  <si>
    <t>How globalizing professions deal with national languages : studies in cultural conflict and cooperation / edited by Michel Gueldry ; with a foreword by Aline Germain-Rutherford.</t>
  </si>
  <si>
    <t>Lewiston, N.Y. : Edwin Mellen Press, 2010.</t>
  </si>
  <si>
    <t>796784028:eng</t>
  </si>
  <si>
    <t>430053246</t>
  </si>
  <si>
    <t>ocn430053246</t>
  </si>
  <si>
    <t>3103314256Q</t>
  </si>
  <si>
    <t>9780773446502</t>
  </si>
  <si>
    <t>794780547</t>
  </si>
  <si>
    <t>P40.5 L54 M39 2016</t>
  </si>
  <si>
    <t>0                      P  0040500L  54                 M  39          2016</t>
  </si>
  <si>
    <t>Words on the move : why English won't- and cant- sit still (like, literally) / John McWhorter.</t>
  </si>
  <si>
    <t>McWhorter, John H., author.</t>
  </si>
  <si>
    <t>New York : Henry Holt and Co., 2016.</t>
  </si>
  <si>
    <t>3834644892:eng</t>
  </si>
  <si>
    <t>936192063</t>
  </si>
  <si>
    <t>ocn936192063</t>
  </si>
  <si>
    <t>3103657280C</t>
  </si>
  <si>
    <t>9781627794718</t>
  </si>
  <si>
    <t>795010471</t>
  </si>
  <si>
    <t>P40.5 L54 M489 2014</t>
  </si>
  <si>
    <t>0                      P  0040500L  54                 M  489         2014</t>
  </si>
  <si>
    <t>Mediatization and sociolinguistic change / edited by Jannis Androutsopoulos.</t>
  </si>
  <si>
    <t>Berlin ; Boston : De Gruyter, ©2014.</t>
  </si>
  <si>
    <t>Linguae &amp; litterae, 1869-7054 ; v. 36</t>
  </si>
  <si>
    <t>2016-01-15</t>
  </si>
  <si>
    <t>4417566460:eng</t>
  </si>
  <si>
    <t>884300548</t>
  </si>
  <si>
    <t>ocn884300548</t>
  </si>
  <si>
    <t>3103582470E</t>
  </si>
  <si>
    <t>9783110343571</t>
  </si>
  <si>
    <t>794976252</t>
  </si>
  <si>
    <t>P40.5 L542 C46 2016</t>
  </si>
  <si>
    <t>0                      P  0040500L  542                C  46          2016</t>
  </si>
  <si>
    <t>Language change in Central Asia / edited by Elise S. Ahn, Juldyz Smagulova.</t>
  </si>
  <si>
    <t>Boston : De Gruyter Mouton, [2016]</t>
  </si>
  <si>
    <t>Contributions to the Sociology of Language ; volume 106</t>
  </si>
  <si>
    <t>2892388284:eng</t>
  </si>
  <si>
    <t>927166034</t>
  </si>
  <si>
    <t>ocn927166034</t>
  </si>
  <si>
    <t>3103658706$</t>
  </si>
  <si>
    <t>9781614516095</t>
  </si>
  <si>
    <t>795005732</t>
  </si>
  <si>
    <t>P40.5 L542 E85 2015</t>
  </si>
  <si>
    <t>0                      P  0040500L  542                E  85          2015</t>
  </si>
  <si>
    <t>Imprimeurs et libraires de la Renaissance : le travail de la langue = Sprachpolitik der Drucker, Verleger und Buchhändler der Renaissance / coordination éditoriale, Elsa Kammerer, Jan-Dirk Müller = herausgegeben von Elsa Kammerer, Jan-Dirk Müller.</t>
  </si>
  <si>
    <t>Genève : Droz, 2015.</t>
  </si>
  <si>
    <t>Travaux d'humanisme et Renaissance, 0082-6081 ; no DXLIX</t>
  </si>
  <si>
    <t>2791908941:fre</t>
  </si>
  <si>
    <t>929689294</t>
  </si>
  <si>
    <t>ocn929689294</t>
  </si>
  <si>
    <t>31036234279</t>
  </si>
  <si>
    <t>9782600018364</t>
  </si>
  <si>
    <t>795006653</t>
  </si>
  <si>
    <t>P40.5 L56 E39 2010</t>
  </si>
  <si>
    <t>0                      P  0040500L  56                 E  39          2010</t>
  </si>
  <si>
    <t>Minority languages and group identity : cases and categories / John Edwards.</t>
  </si>
  <si>
    <t>Impact, 1385-7908 ; v. 27</t>
  </si>
  <si>
    <t>2013-01-15</t>
  </si>
  <si>
    <t>399521994:eng</t>
  </si>
  <si>
    <t>440563533</t>
  </si>
  <si>
    <t>ocn440563533</t>
  </si>
  <si>
    <t>31031284815</t>
  </si>
  <si>
    <t>9789027218667</t>
  </si>
  <si>
    <t>794786500</t>
  </si>
  <si>
    <t>P40.5 L56 G837 2018</t>
  </si>
  <si>
    <t>0                      P  0040500L  56                 G  837         2018</t>
  </si>
  <si>
    <t>Discourse, ideology and heritage language socialization : micro and macro perspectives / Martin Guardado.</t>
  </si>
  <si>
    <t>Guardado, Martin, author.</t>
  </si>
  <si>
    <t>Boston ; Berlin : De Gruyter Mouton, [2018]</t>
  </si>
  <si>
    <t>Contributions to the sociology of language, 1861-0676 ; volume 104</t>
  </si>
  <si>
    <t>4936462970:eng</t>
  </si>
  <si>
    <t>1030904445</t>
  </si>
  <si>
    <t>on1030904445</t>
  </si>
  <si>
    <t>3103793745K</t>
  </si>
  <si>
    <t>9781614515449</t>
  </si>
  <si>
    <t>795054911</t>
  </si>
  <si>
    <t>P40.5 L56 R48 2014</t>
  </si>
  <si>
    <t>0                      P  0040500L  56                 R  48          2014</t>
  </si>
  <si>
    <t>Rethinking heritage language education / edited by Peter Perciles Trifonas, Themistoklis Aravossitas.</t>
  </si>
  <si>
    <t>Cambridge : Cambridge University Press, [2014]</t>
  </si>
  <si>
    <t>The Cambridge education research series</t>
  </si>
  <si>
    <t>2018-02-19</t>
  </si>
  <si>
    <t>2213209496:eng</t>
  </si>
  <si>
    <t>890161255</t>
  </si>
  <si>
    <t>ocn890161255</t>
  </si>
  <si>
    <t>3103642008M</t>
  </si>
  <si>
    <t>9781107437623</t>
  </si>
  <si>
    <t>794978958</t>
  </si>
  <si>
    <t>P40.5 L56 R68 2017</t>
  </si>
  <si>
    <t>0                      P  0040500L  56                 R  68          2017</t>
  </si>
  <si>
    <t>The Routledge handbook of migration and language / edited by Suresh Canagarajah.</t>
  </si>
  <si>
    <t>London : Routledge, Taylor &amp; Francis Group, 2017.</t>
  </si>
  <si>
    <t>Routledge handbooks in applied linguistics</t>
  </si>
  <si>
    <t>2018-05-17</t>
  </si>
  <si>
    <t>4059306013:eng</t>
  </si>
  <si>
    <t>958351557</t>
  </si>
  <si>
    <t>ocn958351557</t>
  </si>
  <si>
    <t>31037604037</t>
  </si>
  <si>
    <t>9781138801981</t>
  </si>
  <si>
    <t>795021701</t>
  </si>
  <si>
    <t>P40.5 L56 S39 2014</t>
  </si>
  <si>
    <t>0                      P  0040500L  56                 S  39          2014</t>
  </si>
  <si>
    <t>Salsa, language and transnationalism / Britta Schneider.</t>
  </si>
  <si>
    <t>Schneider, Britta.</t>
  </si>
  <si>
    <t>Bristol ; Buffalo : Multilingual Matters, [2014]</t>
  </si>
  <si>
    <t>Encounters ; 3</t>
  </si>
  <si>
    <t>1792073606:eng</t>
  </si>
  <si>
    <t>870980715</t>
  </si>
  <si>
    <t>ocn870980715</t>
  </si>
  <si>
    <t>31035675643</t>
  </si>
  <si>
    <t>9781783091898</t>
  </si>
  <si>
    <t>794967101</t>
  </si>
  <si>
    <t>P40.5 L562 B4174 2013</t>
  </si>
  <si>
    <t>0                      P  0040500L  562                B  4174        2013</t>
  </si>
  <si>
    <t>Le declin d'une élite : francophones d'Anvers - anglophones de Montréal / Céline Préaux.</t>
  </si>
  <si>
    <t>Preaux, Celine, author.</t>
  </si>
  <si>
    <t>Bruxelles ; New York : P.I.E. Lang, 2013.</t>
  </si>
  <si>
    <t>Études canadiennes, 1781-3867 ; no. 27</t>
  </si>
  <si>
    <t>1738419410:fre</t>
  </si>
  <si>
    <t>865470464</t>
  </si>
  <si>
    <t>ocn865470464</t>
  </si>
  <si>
    <t>3103505352C</t>
  </si>
  <si>
    <t>9782875740816</t>
  </si>
  <si>
    <t>794962966</t>
  </si>
  <si>
    <t>P40.5 L58 G44 2008</t>
  </si>
  <si>
    <t>0                      P  0040500L  58                 G  44          2008</t>
  </si>
  <si>
    <t>2018-07-23</t>
  </si>
  <si>
    <t>83609555</t>
  </si>
  <si>
    <t>ocm83609555</t>
  </si>
  <si>
    <t>3102644981A</t>
  </si>
  <si>
    <t>9780415427753</t>
  </si>
  <si>
    <t>794208939</t>
  </si>
  <si>
    <t>P40.5 L58 G44 2012</t>
  </si>
  <si>
    <t>0                      P  0040500L  58                 G  44          2012</t>
  </si>
  <si>
    <t>Abingdon, Oxon ; New York : Routledge, 2012.</t>
  </si>
  <si>
    <t>2018-07-17</t>
  </si>
  <si>
    <t>690585421</t>
  </si>
  <si>
    <t>ocn690585421</t>
  </si>
  <si>
    <t>3103235276E</t>
  </si>
  <si>
    <t>9780415617758</t>
  </si>
  <si>
    <t>794855521</t>
  </si>
  <si>
    <t>P40.5 L58 M37 2000</t>
  </si>
  <si>
    <t>0                      P  0040500L  58                 M  37          2000</t>
  </si>
  <si>
    <t>Multilingual literacies : reading and writing different worlds / Marilyn Martin-Jones, Kathryn Jones.</t>
  </si>
  <si>
    <t>Martin-Jones, Marilyn.</t>
  </si>
  <si>
    <t>Amsterdam ; Philadelphia : J. Benjamins, ©2000.</t>
  </si>
  <si>
    <t>Studies in written language and literacy ; v. 10</t>
  </si>
  <si>
    <t>919085067:eng</t>
  </si>
  <si>
    <t>44067066</t>
  </si>
  <si>
    <t>ocm44067066</t>
  </si>
  <si>
    <t>31034002760</t>
  </si>
  <si>
    <t>9781588110251</t>
  </si>
  <si>
    <t>793641662</t>
  </si>
  <si>
    <t>P40.5 L58 P34 2014</t>
  </si>
  <si>
    <t>0                      P  0040500L  58                 P  34          2014</t>
  </si>
  <si>
    <t>Materializing literacies in communities : the uses of literacy revisited / Kate Pahl.</t>
  </si>
  <si>
    <t>Pahl, Kate, author.</t>
  </si>
  <si>
    <t>London ; New York : Bloomsbury Academic, An imprint of Bloombury Publishing Plc, 2014.</t>
  </si>
  <si>
    <t>1860529452:eng</t>
  </si>
  <si>
    <t>886879258</t>
  </si>
  <si>
    <t>ocn886879258</t>
  </si>
  <si>
    <t>3103580233$</t>
  </si>
  <si>
    <t>9780567469618</t>
  </si>
  <si>
    <t>794977596</t>
  </si>
  <si>
    <t>P40.5 S57 B45 2016</t>
  </si>
  <si>
    <t>0                      P  0040500S  57                 B  45          2016</t>
  </si>
  <si>
    <t>Bilingual landscape of the contemporary world / Sambor Grucza, Magdalena Olpinska-Szkielko, Piotr Romanowski(eds).</t>
  </si>
  <si>
    <t>Frankfurt am Main : Peter Lang, [2016]</t>
  </si>
  <si>
    <t>Warschauer studien zur germanistik und zur angewandten linguistik ; band 26</t>
  </si>
  <si>
    <t>3873257360:eng</t>
  </si>
  <si>
    <t>957264796</t>
  </si>
  <si>
    <t>ocn957264796</t>
  </si>
  <si>
    <t>3103655124$</t>
  </si>
  <si>
    <t>9783631667606</t>
  </si>
  <si>
    <t>795020839</t>
  </si>
  <si>
    <t>P40.5 S57 L36 2003</t>
  </si>
  <si>
    <t>0                      P  0040500S  57                 L  36          2003</t>
  </si>
  <si>
    <t>Language socialization in bilingual and multilingual societies / edited by Robert Bayley and Sandra R. Schecter.</t>
  </si>
  <si>
    <t>Clevedon ; Buffalo : Multilingual Matters, ©2003.</t>
  </si>
  <si>
    <t>Bilingual education and bilingualism ; 39</t>
  </si>
  <si>
    <t>2016-02-08</t>
  </si>
  <si>
    <t>367504776:eng</t>
  </si>
  <si>
    <t>50676388</t>
  </si>
  <si>
    <t>ocm50676388</t>
  </si>
  <si>
    <t>31027307560</t>
  </si>
  <si>
    <t>9781853596360</t>
  </si>
  <si>
    <t>793770410</t>
  </si>
  <si>
    <t>P40.5 S57 V65 2015</t>
  </si>
  <si>
    <t>0                      P  0040500S  57                 V  65          2015</t>
  </si>
  <si>
    <t>Mädchenfreundschaften unter dem Einfluss von social media : eine soziolinguistische Untersuchung / Martin Voigt.</t>
  </si>
  <si>
    <t>Voigt, Martin.</t>
  </si>
  <si>
    <t>Frankfurt am Main : Peter Lang Edition, ©2015.</t>
  </si>
  <si>
    <t>Sprache, Medien, Innovationen, 2190-6386 ; Band 6</t>
  </si>
  <si>
    <t>2269061712:ger</t>
  </si>
  <si>
    <t>917491388</t>
  </si>
  <si>
    <t>ocn917491388</t>
  </si>
  <si>
    <t>3103629983N</t>
  </si>
  <si>
    <t>9783631662137</t>
  </si>
  <si>
    <t>795000928</t>
  </si>
  <si>
    <t>P40.5 S63 E29</t>
  </si>
  <si>
    <t>0                      P  0040500S  63                 E  29</t>
  </si>
  <si>
    <t>Language and disadvantage / John R. Edwards.</t>
  </si>
  <si>
    <t>London : Arnold, 1979.</t>
  </si>
  <si>
    <t>Studies in language disability and remediation ; 5</t>
  </si>
  <si>
    <t>2019-03-31</t>
  </si>
  <si>
    <t>18401294:eng</t>
  </si>
  <si>
    <t>6244304</t>
  </si>
  <si>
    <t>ocm06244304</t>
  </si>
  <si>
    <t>31027307412</t>
  </si>
  <si>
    <t>9780713162301</t>
  </si>
  <si>
    <t>792485377</t>
  </si>
  <si>
    <t>P40.5 S63 S63 2013</t>
  </si>
  <si>
    <t>0                      P  0040500S  63                 S  63          2013</t>
  </si>
  <si>
    <t>The Social Meanings of Language, Dialect and Accent : International Perspectives on Speech Styles / edited by Howard Giles &amp; Bernadette Watson.</t>
  </si>
  <si>
    <t>New York : PETER LANG, [2013]</t>
  </si>
  <si>
    <t>Language as social action ; v. 16</t>
  </si>
  <si>
    <t>1175297383:eng</t>
  </si>
  <si>
    <t>814982186</t>
  </si>
  <si>
    <t>ocn814982186</t>
  </si>
  <si>
    <t>3103471368Y</t>
  </si>
  <si>
    <t>9781433118685</t>
  </si>
  <si>
    <t>794932331</t>
  </si>
  <si>
    <t>P40.5 S632 I57 1986</t>
  </si>
  <si>
    <t>0                      P  0040500S  632                I  57          1986</t>
  </si>
  <si>
    <t>Solo in the new order : language and hierarchy in an Indonesian city / James T. Siegel.</t>
  </si>
  <si>
    <t>Siegel, James T., 1937-</t>
  </si>
  <si>
    <t>Princeton, N.J. : Princeton University Press, ©1986.</t>
  </si>
  <si>
    <t>2019-10-21</t>
  </si>
  <si>
    <t>6972792:eng</t>
  </si>
  <si>
    <t>13560867</t>
  </si>
  <si>
    <t>ocm13560867</t>
  </si>
  <si>
    <t>31027308175</t>
  </si>
  <si>
    <t>9780691094274</t>
  </si>
  <si>
    <t>792857816</t>
  </si>
  <si>
    <t>P40.5 U73 L354 2012</t>
  </si>
  <si>
    <t>0                      P  0040500U  73                 L  354         2012</t>
  </si>
  <si>
    <t>Langages de jeunes, plurilinguisme et urbanisation / sous la direction de Rada Tirvassen ; préface de Marielle Rispail.</t>
  </si>
  <si>
    <t>Paris : L'Harmattan, [2012]</t>
  </si>
  <si>
    <t>Espaces discursifs</t>
  </si>
  <si>
    <t>1178475264:fre</t>
  </si>
  <si>
    <t>812251703</t>
  </si>
  <si>
    <t>ocn812251703</t>
  </si>
  <si>
    <t>3103506512A</t>
  </si>
  <si>
    <t>9782296996960</t>
  </si>
  <si>
    <t>794930798</t>
  </si>
  <si>
    <t>P40.5 U73 L36 2014</t>
  </si>
  <si>
    <t>0                      P  0040500U  73                 L  36          2014</t>
  </si>
  <si>
    <t>Langue et territoire. Études en sociolinguistique urbaine / sous la direction de Julie Boissonneault, Ali Reguigui = Language and territory. Studies in urban sociolinguistics / edited by Julie Boissonneault, Ali Reguigui.</t>
  </si>
  <si>
    <t>Sudbury, Ontario : Université Laurentienne, [2014]</t>
  </si>
  <si>
    <t>Série monographique en sciences humaines = Human sciences monograph series, 1198-8282 ; 15</t>
  </si>
  <si>
    <t>3864044782:fre</t>
  </si>
  <si>
    <t>912029691</t>
  </si>
  <si>
    <t>ocn912029691</t>
  </si>
  <si>
    <t>31036273215</t>
  </si>
  <si>
    <t>9780886670863</t>
  </si>
  <si>
    <t>794998708</t>
  </si>
  <si>
    <t>P40.5 U732 M33 2015</t>
  </si>
  <si>
    <t>0                      P  0040500U  732                M  33          2015</t>
  </si>
  <si>
    <t>Fighters, girls and other identities : sociolinguistics in a Martial Arts Club / Lian Malai Madsen.</t>
  </si>
  <si>
    <t>Madsen, Lian Malai, author.</t>
  </si>
  <si>
    <t>Bristol ; Buffalo : Multilingual Matters, [2015]</t>
  </si>
  <si>
    <t>Encounters ; 5</t>
  </si>
  <si>
    <t>2592987717:eng</t>
  </si>
  <si>
    <t>906294928</t>
  </si>
  <si>
    <t>ocn906294928</t>
  </si>
  <si>
    <t>3103612995K</t>
  </si>
  <si>
    <t>9781783093984</t>
  </si>
  <si>
    <t>794992334</t>
  </si>
  <si>
    <t>P40.8 A87 2010</t>
  </si>
  <si>
    <t>0                      P  0040800A  87          2010</t>
  </si>
  <si>
    <t>Classe de langues et culture(s)--vers l'interculturalité : actes du 9e Colloque international de l'AFDECE, Université McGill, Université de Montréal, Québec / sous la direction de Hervé de Fontenay, Dominique Groux et Geneviève Leidelinger.</t>
  </si>
  <si>
    <t>Association française pour le développement de l'éducation comparée et des échanges. Colloque international (9th : 2010 : Université McGill and Université de Montréal)</t>
  </si>
  <si>
    <t>Paris : Harmattan, ©2011.</t>
  </si>
  <si>
    <t>Collection Education comparée</t>
  </si>
  <si>
    <t>1367516096:fre</t>
  </si>
  <si>
    <t>786161386</t>
  </si>
  <si>
    <t>ocn786161386</t>
  </si>
  <si>
    <t>3103452064C</t>
  </si>
  <si>
    <t>9782296560659</t>
  </si>
  <si>
    <t>794915880</t>
  </si>
  <si>
    <t>P40.8 C668 1993</t>
  </si>
  <si>
    <t>0                      P  0040800C  668         1993</t>
  </si>
  <si>
    <t>Language, minority education, and gender : linking social justice and power / David Corson.</t>
  </si>
  <si>
    <t>Corson, David.</t>
  </si>
  <si>
    <t>Clevedon [England] ; Philadelphia : Multilingual Matters ; Toronto : Ontario Institute for Studies in Education, ©1993.</t>
  </si>
  <si>
    <t>The Language and education library ; 6</t>
  </si>
  <si>
    <t>2017-12-03</t>
  </si>
  <si>
    <t>836782939:eng</t>
  </si>
  <si>
    <t>28215615</t>
  </si>
  <si>
    <t>ocm28215615</t>
  </si>
  <si>
    <t>3102730787V</t>
  </si>
  <si>
    <t>9781853592102</t>
  </si>
  <si>
    <t>793282843</t>
  </si>
  <si>
    <t>2017-10-10</t>
  </si>
  <si>
    <t>3102798742E</t>
  </si>
  <si>
    <t>793282844</t>
  </si>
  <si>
    <t>P40.8 C688 1996</t>
  </si>
  <si>
    <t>0                      P  0040800C  688         1996</t>
  </si>
  <si>
    <t>Social justice and language policy in education : the Canadian research / by David Corson and Sylvie Lemay.</t>
  </si>
  <si>
    <t>Toronto : OISE Press, c1996.</t>
  </si>
  <si>
    <t>2017-07-04</t>
  </si>
  <si>
    <t>46016529:eng</t>
  </si>
  <si>
    <t>35937593</t>
  </si>
  <si>
    <t>ocm35937593</t>
  </si>
  <si>
    <t>31017038575</t>
  </si>
  <si>
    <t>9780774404341</t>
  </si>
  <si>
    <t>793461611</t>
  </si>
  <si>
    <t>P40.8 D35 2007</t>
  </si>
  <si>
    <t>0                      P  0040800D  35          2007</t>
  </si>
  <si>
    <t>Discourse in content and language integrated learning (CLIL) classrooms / Christiane Dalton-Puffer.</t>
  </si>
  <si>
    <t>Dalton-Puffer, Christiane, 1961-</t>
  </si>
  <si>
    <t>Amsterdam ; Philadelphia : John Benjamins Pub., ©2007.</t>
  </si>
  <si>
    <t>Language learning &amp; language teaching, 1569-9471 ; v. 20</t>
  </si>
  <si>
    <t>103528064:eng</t>
  </si>
  <si>
    <t>145937479</t>
  </si>
  <si>
    <t>ocn145937479</t>
  </si>
  <si>
    <t>3102646300$</t>
  </si>
  <si>
    <t>9789027219794</t>
  </si>
  <si>
    <t>794240236</t>
  </si>
  <si>
    <t>P40.8 E38 2011</t>
  </si>
  <si>
    <t>0                      P  0040800E  38          2011</t>
  </si>
  <si>
    <t>Educational linguistics in practice : applying the local globally and the global locally / edited by Francis M. Hult and Kendall A. King.</t>
  </si>
  <si>
    <t>Bristol ; Buffalo : Multilingual Matters, ©2011.</t>
  </si>
  <si>
    <t>Bilingual education&amp;bilingualism</t>
  </si>
  <si>
    <t>792035430:eng</t>
  </si>
  <si>
    <t>695860337</t>
  </si>
  <si>
    <t>ocn695860337</t>
  </si>
  <si>
    <t>3103233253Q</t>
  </si>
  <si>
    <t>9781847693532</t>
  </si>
  <si>
    <t>794858751</t>
  </si>
  <si>
    <t>P40.8 E53 1997</t>
  </si>
  <si>
    <t>0                      P  0040800E  53          1997</t>
  </si>
  <si>
    <t>Encyclopedia of language and education.</t>
  </si>
  <si>
    <t>Dordrecht ; Boston : Kluwer, ©1997.</t>
  </si>
  <si>
    <t>3373486755:eng</t>
  </si>
  <si>
    <t>38581865</t>
  </si>
  <si>
    <t>ocm38581865</t>
  </si>
  <si>
    <t>31020858413</t>
  </si>
  <si>
    <t>9780792345961</t>
  </si>
  <si>
    <t>793527568</t>
  </si>
  <si>
    <t>3102085829U</t>
  </si>
  <si>
    <t>793527571</t>
  </si>
  <si>
    <t>2009-04-11</t>
  </si>
  <si>
    <t>3102085837V</t>
  </si>
  <si>
    <t>793527569</t>
  </si>
  <si>
    <t>v.8</t>
  </si>
  <si>
    <t>31020858324</t>
  </si>
  <si>
    <t>793527566</t>
  </si>
  <si>
    <t>31020858332</t>
  </si>
  <si>
    <t>793527570</t>
  </si>
  <si>
    <t>31020858243</t>
  </si>
  <si>
    <t>793527572</t>
  </si>
  <si>
    <t>v.7</t>
  </si>
  <si>
    <t>2014-07-24</t>
  </si>
  <si>
    <t>3102730782V</t>
  </si>
  <si>
    <t>793527567</t>
  </si>
  <si>
    <t>2010-04-22</t>
  </si>
  <si>
    <t>3102085828W</t>
  </si>
  <si>
    <t>793527574</t>
  </si>
  <si>
    <t>31020858251</t>
  </si>
  <si>
    <t>793527573</t>
  </si>
  <si>
    <t>P40.8 E53 2008</t>
  </si>
  <si>
    <t>0                      P  0040800E  53          2008</t>
  </si>
  <si>
    <t>Encyclopedia of language and education / general editor, Nancy H. Hornberger.</t>
  </si>
  <si>
    <t>New York : Springer, ©2008.</t>
  </si>
  <si>
    <t>Springer reference</t>
  </si>
  <si>
    <t>836149487:eng</t>
  </si>
  <si>
    <t>185028339</t>
  </si>
  <si>
    <t>ocn185028339</t>
  </si>
  <si>
    <t>31029197079</t>
  </si>
  <si>
    <t>9780387328751</t>
  </si>
  <si>
    <t>794291862</t>
  </si>
  <si>
    <t>2017-10-12</t>
  </si>
  <si>
    <t>3102919688X</t>
  </si>
  <si>
    <t>794291857</t>
  </si>
  <si>
    <t>v.9</t>
  </si>
  <si>
    <t>3102919698V</t>
  </si>
  <si>
    <t>794291856</t>
  </si>
  <si>
    <t>31029197029</t>
  </si>
  <si>
    <t>794291863</t>
  </si>
  <si>
    <t>v.10</t>
  </si>
  <si>
    <t>31029197039</t>
  </si>
  <si>
    <t>794291855</t>
  </si>
  <si>
    <t>31029197225</t>
  </si>
  <si>
    <t>794291859</t>
  </si>
  <si>
    <t>31029197275</t>
  </si>
  <si>
    <t>794291858</t>
  </si>
  <si>
    <t>2008-07-31</t>
  </si>
  <si>
    <t>31029197177</t>
  </si>
  <si>
    <t>794291860</t>
  </si>
  <si>
    <t>31029197127</t>
  </si>
  <si>
    <t>794291861</t>
  </si>
  <si>
    <t>P40.8 G58 2011</t>
  </si>
  <si>
    <t>0                      P  0040800G  58          2011</t>
  </si>
  <si>
    <t>True to the language game : African American discourse, cultural politics, and pedagogy / Keith Gilyard.</t>
  </si>
  <si>
    <t>Gilyard, Keith, 1952-</t>
  </si>
  <si>
    <t>New York : Routledge, 2011.</t>
  </si>
  <si>
    <t>815078934:eng</t>
  </si>
  <si>
    <t>644680084</t>
  </si>
  <si>
    <t>ocn644680084</t>
  </si>
  <si>
    <t>31033451972</t>
  </si>
  <si>
    <t>9780415887168</t>
  </si>
  <si>
    <t>794829343</t>
  </si>
  <si>
    <t>P40.8 H35 2007</t>
  </si>
  <si>
    <t>0                      P  0040800H  35          2007</t>
  </si>
  <si>
    <t>Language and education / M.A.K. Halliday ; edited by Jonathan J. Webster.</t>
  </si>
  <si>
    <t>London ; New York, NY : Continuum, 2007.</t>
  </si>
  <si>
    <t>The collected works of M.A.K. Halliday ; v. 9</t>
  </si>
  <si>
    <t>2015-03-22</t>
  </si>
  <si>
    <t>17323664:eng</t>
  </si>
  <si>
    <t>57063017</t>
  </si>
  <si>
    <t>ocm57063017</t>
  </si>
  <si>
    <t>31025702419</t>
  </si>
  <si>
    <t>9780826458759</t>
  </si>
  <si>
    <t>793906556</t>
  </si>
  <si>
    <t>P40.8 H36 2008</t>
  </si>
  <si>
    <t>0                      P  0040800H  36          2008</t>
  </si>
  <si>
    <t>The handbook of educational linguistics / edited by Bernard Spolsky and Francis M. Hult.</t>
  </si>
  <si>
    <t>Malden, MA : Blackwell Pub., 2008.</t>
  </si>
  <si>
    <t>2016-11-08</t>
  </si>
  <si>
    <t>871873251:eng</t>
  </si>
  <si>
    <t>162126813</t>
  </si>
  <si>
    <t>ocn162126813</t>
  </si>
  <si>
    <t>3102574218$</t>
  </si>
  <si>
    <t>9781405154109</t>
  </si>
  <si>
    <t>794257184</t>
  </si>
  <si>
    <t>P40.8 K37 2008</t>
  </si>
  <si>
    <t>0                      P  0040800K  37          2008</t>
  </si>
  <si>
    <t>The politics of language in Chinese education, 1895-1919 / by Elisabeth Kaske.</t>
  </si>
  <si>
    <t>Kaske, Elisabeth.</t>
  </si>
  <si>
    <t>Leiden ; Boston : Brill, 2008.</t>
  </si>
  <si>
    <t>Sinica Leidensia, 0169-9563 ; v. 82</t>
  </si>
  <si>
    <t>2016-01-11</t>
  </si>
  <si>
    <t>113727040:eng</t>
  </si>
  <si>
    <t>171268385</t>
  </si>
  <si>
    <t>ocn171268385</t>
  </si>
  <si>
    <t>3102646749G</t>
  </si>
  <si>
    <t>9789004163676</t>
  </si>
  <si>
    <t>794264337</t>
  </si>
  <si>
    <t>P40.8 L369 2002</t>
  </si>
  <si>
    <t>0                      P  0040800L  369         2002</t>
  </si>
  <si>
    <t>Language policies in education : critical issues / edited by James W. Tollefson.</t>
  </si>
  <si>
    <t>4784197893:eng</t>
  </si>
  <si>
    <t>45879815</t>
  </si>
  <si>
    <t>ocm45879815</t>
  </si>
  <si>
    <t>3103309245D</t>
  </si>
  <si>
    <t>9780805836004</t>
  </si>
  <si>
    <t>793680383</t>
  </si>
  <si>
    <t>P40.8 M44 2008</t>
  </si>
  <si>
    <t>0                      P  0040800M  44          2008</t>
  </si>
  <si>
    <t>Uncovering CLIL : content and language integrated learning in bilingual and multilingual education / Peeter Mehisto, David Marsh, María Jesús Frigols.</t>
  </si>
  <si>
    <t>Mehisto, Peeter.</t>
  </si>
  <si>
    <t>Oxford : Macmillan Education, 2008.</t>
  </si>
  <si>
    <t>Macmillan books for teachers</t>
  </si>
  <si>
    <t>2016-10-30</t>
  </si>
  <si>
    <t>796738027:eng</t>
  </si>
  <si>
    <t>229463507</t>
  </si>
  <si>
    <t>ocn229463507</t>
  </si>
  <si>
    <t>3103233093O</t>
  </si>
  <si>
    <t>9780230027190</t>
  </si>
  <si>
    <t>794354029</t>
  </si>
  <si>
    <t>P40.8 P667 1992</t>
  </si>
  <si>
    <t>0                      P  0040800P  667         1992</t>
  </si>
  <si>
    <t>Conscientious objections : stirring up trouble about language, technology, and education / Neil Postman.</t>
  </si>
  <si>
    <t>Postman, Neil.</t>
  </si>
  <si>
    <t>New York : Vintage Books, 1992.</t>
  </si>
  <si>
    <t>1st Vintage Books ed.</t>
  </si>
  <si>
    <t>890021:eng</t>
  </si>
  <si>
    <t>24247105</t>
  </si>
  <si>
    <t>ocm24247105</t>
  </si>
  <si>
    <t>3102313454V</t>
  </si>
  <si>
    <t>9780679734215</t>
  </si>
  <si>
    <t>793193563</t>
  </si>
  <si>
    <t>P40.8 R68 2015</t>
  </si>
  <si>
    <t>0                      P  0040800R  68          2015</t>
  </si>
  <si>
    <t>The Routledge handbook of educational linguistics / edited by Martha Bigelow and Johanna Ennser-Kananen.</t>
  </si>
  <si>
    <t>New York : Routledge, 2015.</t>
  </si>
  <si>
    <t>2018-02-09</t>
  </si>
  <si>
    <t>1767542663:eng</t>
  </si>
  <si>
    <t>868150660</t>
  </si>
  <si>
    <t>ocn868150660</t>
  </si>
  <si>
    <t>31035336350</t>
  </si>
  <si>
    <t>9780415531306</t>
  </si>
  <si>
    <t>794964469</t>
  </si>
  <si>
    <t>P40.8 S358 2004</t>
  </si>
  <si>
    <t>0                      P  0040800S  358         2004</t>
  </si>
  <si>
    <t>The language of schooling : a functional linguistics perspective / Mary J. Schleppegrell.</t>
  </si>
  <si>
    <t>Schleppegrell, Mary.</t>
  </si>
  <si>
    <t>Mahwah, N.J. : Lawrence Erlbaum Associates, 2004.</t>
  </si>
  <si>
    <t>2016-06-26</t>
  </si>
  <si>
    <t>796687637:eng</t>
  </si>
  <si>
    <t>52895558</t>
  </si>
  <si>
    <t>ocm52895558</t>
  </si>
  <si>
    <t>3102366925M</t>
  </si>
  <si>
    <t>9780805846768</t>
  </si>
  <si>
    <t>793816745</t>
  </si>
  <si>
    <t>P40.8 S58 2000</t>
  </si>
  <si>
    <t>0                      P  0040800S  58          2000</t>
  </si>
  <si>
    <t>Linguistic genocide in education, or worldwide diversity and human rights? / Tove Skutnabb-Kangas.</t>
  </si>
  <si>
    <t>Skutnabb-Kangas, Tove.</t>
  </si>
  <si>
    <t>Mahwah, N.J. : L. Erlbaum Associates, 2000.</t>
  </si>
  <si>
    <t>2018-02-23</t>
  </si>
  <si>
    <t>1002520:eng</t>
  </si>
  <si>
    <t>41488765</t>
  </si>
  <si>
    <t>ocm41488765</t>
  </si>
  <si>
    <t>31027308135</t>
  </si>
  <si>
    <t>9780805834673</t>
  </si>
  <si>
    <t>793592744</t>
  </si>
  <si>
    <t>2015-09-23</t>
  </si>
  <si>
    <t>3102550624B</t>
  </si>
  <si>
    <t>793592745</t>
  </si>
  <si>
    <t>P40.8 S62 2010</t>
  </si>
  <si>
    <t>0                      P  0040800S  62          2010</t>
  </si>
  <si>
    <t>Linguistica educativa : atti del XLIV congresso internazionale di studi della Società di Linguistica Italiana (SLI), Viterbo, 27-29 settembre 2010 / a cura di Silvana Ferreri.</t>
  </si>
  <si>
    <t>Società di linguistica italiana. Congresso internazionale di studi (44th : 2010 : Viterbo, Italy)</t>
  </si>
  <si>
    <t>Roma : Bulzoni, 2012.</t>
  </si>
  <si>
    <t>Pubblicazioni della Società di Linguista Italiana ; 55</t>
  </si>
  <si>
    <t>1177018753:ita</t>
  </si>
  <si>
    <t>812503931</t>
  </si>
  <si>
    <t>ocn812503931</t>
  </si>
  <si>
    <t>3103448905F</t>
  </si>
  <si>
    <t>9788878706545</t>
  </si>
  <si>
    <t>794930982</t>
  </si>
  <si>
    <t>P40.8 S63 2007</t>
  </si>
  <si>
    <t>0                      P  0040800S  63          2007</t>
  </si>
  <si>
    <t>Sociolinguistic and pedagogical dimensions of dialects in education / edited by Andreas Papapavlou and Pavlos Pavlou.</t>
  </si>
  <si>
    <t>Newcastle [England] : Cambridge Scholars, 2007.</t>
  </si>
  <si>
    <t>2018-03-12</t>
  </si>
  <si>
    <t>69775650:eng</t>
  </si>
  <si>
    <t>85898412</t>
  </si>
  <si>
    <t>ocm85898412</t>
  </si>
  <si>
    <t>3102572580L</t>
  </si>
  <si>
    <t>9781847181596</t>
  </si>
  <si>
    <t>794217689</t>
  </si>
  <si>
    <t>P40.8 W33 2013</t>
  </si>
  <si>
    <t>0                      P  0040800W  33          2013</t>
  </si>
  <si>
    <t>Classroom discourse and teacher development / Steve Walsh.</t>
  </si>
  <si>
    <t>Walsh, Steve, 1959- author.</t>
  </si>
  <si>
    <t>2015-01-20</t>
  </si>
  <si>
    <t>1207335212:eng</t>
  </si>
  <si>
    <t>827267064</t>
  </si>
  <si>
    <t>ocn827267064</t>
  </si>
  <si>
    <t>3103500554Q</t>
  </si>
  <si>
    <t>9780748645176</t>
  </si>
  <si>
    <t>794939995</t>
  </si>
  <si>
    <t>P40.8 W34 2011</t>
  </si>
  <si>
    <t>0                      P  0040800W  34          2011</t>
  </si>
  <si>
    <t>Exploring classroom discourse : language in action / Steve Walsh.</t>
  </si>
  <si>
    <t>Walsh, Steve, 1959-</t>
  </si>
  <si>
    <t>Abingdon, Oxon ; New York : Routledge, 2011.</t>
  </si>
  <si>
    <t>Routledge introductions to applied linguistics</t>
  </si>
  <si>
    <t>865043561:eng</t>
  </si>
  <si>
    <t>651914285</t>
  </si>
  <si>
    <t>ocn651914285</t>
  </si>
  <si>
    <t>3103234648C</t>
  </si>
  <si>
    <t>9780415570664</t>
  </si>
  <si>
    <t>794833155</t>
  </si>
  <si>
    <t>P40.8 W35 2006</t>
  </si>
  <si>
    <t>0                      P  0040800W  35          2006</t>
  </si>
  <si>
    <t>Investigating classroom discourse / Steve Walsh.</t>
  </si>
  <si>
    <t>London ; New York : Routledge, Taylor &amp; Francis Group, 2006.</t>
  </si>
  <si>
    <t>Domains of discourse</t>
  </si>
  <si>
    <t>46048971:eng</t>
  </si>
  <si>
    <t>61499988</t>
  </si>
  <si>
    <t>ocm61499988</t>
  </si>
  <si>
    <t>3102584084N</t>
  </si>
  <si>
    <t>9780415364683</t>
  </si>
  <si>
    <t>793954194</t>
  </si>
  <si>
    <t>P40.85 D44 R37 2007</t>
  </si>
  <si>
    <t>0                      P  0040850D  44                 R  37          2007</t>
  </si>
  <si>
    <t>Global issues in language, education and development : perspectives from postcolonial countries / Naz Rassool ; with case studies by Maggie Canvin, Kathleen Heugh, and Naz Rassool ; with Sabiha Mansoor.</t>
  </si>
  <si>
    <t>Rassool, Naz, 1949-</t>
  </si>
  <si>
    <t>Clevedon [England] ; Buffalo [N.Y.] : Multilingual Matters Ltd., ©2007.</t>
  </si>
  <si>
    <t>Linguistic diversity and language rights ; 4</t>
  </si>
  <si>
    <t>797235276:eng</t>
  </si>
  <si>
    <t>70483439</t>
  </si>
  <si>
    <t>ocm70483439</t>
  </si>
  <si>
    <t>31025698025</t>
  </si>
  <si>
    <t>9781853599521</t>
  </si>
  <si>
    <t>794155865</t>
  </si>
  <si>
    <t>P40.85 F8 H46 2007</t>
  </si>
  <si>
    <t>0                      P  0040850F  8                  H  46          2007</t>
  </si>
  <si>
    <t>Du bilinguisme en famille au plurilinguisme à l'école / Christine Hélot.</t>
  </si>
  <si>
    <t>Hélot, Christine.</t>
  </si>
  <si>
    <t>Paris : Harmattan, ©2007.</t>
  </si>
  <si>
    <t>2018-07-26</t>
  </si>
  <si>
    <t>108061152:fre</t>
  </si>
  <si>
    <t>159956211</t>
  </si>
  <si>
    <t>ocn159956211</t>
  </si>
  <si>
    <t>31028701022</t>
  </si>
  <si>
    <t>9782296036666</t>
  </si>
  <si>
    <t>794256941</t>
  </si>
  <si>
    <t>P40.85 Q3 C37 2017</t>
  </si>
  <si>
    <t>0                      P  0040850Q  3                  C  37          2017</t>
  </si>
  <si>
    <t>Libre-Choix au Cégep : Un Suicide Linguistique / par Charles Castonguay.</t>
  </si>
  <si>
    <t>Castonguay, Charles, author.</t>
  </si>
  <si>
    <t>Montréal, Québec : Les Éditions du Renouveau Québécois, 2017.</t>
  </si>
  <si>
    <t>Carnets de l'Aut'Journal ; 16</t>
  </si>
  <si>
    <t>2018-07-27</t>
  </si>
  <si>
    <t>4541617595:fre</t>
  </si>
  <si>
    <t>1005986063</t>
  </si>
  <si>
    <t>on1005986063</t>
  </si>
  <si>
    <t>31037293744</t>
  </si>
  <si>
    <t>9782924770023</t>
  </si>
  <si>
    <t>795042878</t>
  </si>
  <si>
    <t>P41 B3x 1975</t>
  </si>
  <si>
    <t>0                      P  0041000B  3x          1975</t>
  </si>
  <si>
    <t>Class, codes, and control : theoretical studies towards a sociology of language / Basil Bernstein.</t>
  </si>
  <si>
    <t>Bernstein, Basil.</t>
  </si>
  <si>
    <t>New York : Schocken Books, [1975, ©1971]</t>
  </si>
  <si>
    <t>Second revised edition 1974</t>
  </si>
  <si>
    <t>2016-10-24</t>
  </si>
  <si>
    <t>2223523957:eng</t>
  </si>
  <si>
    <t>947925</t>
  </si>
  <si>
    <t>ocm00947925</t>
  </si>
  <si>
    <t>30009758370</t>
  </si>
  <si>
    <t>9780805204582</t>
  </si>
  <si>
    <t>791509574</t>
  </si>
  <si>
    <t>P41 D5413x</t>
  </si>
  <si>
    <t>0                      P  0041000D  5413x</t>
  </si>
  <si>
    <t>Sociolinguistics : a critical survey of theory and application / Norbert Dittmar ; translated from the German by Peter Sand [and others].</t>
  </si>
  <si>
    <t>Dittmar, Norbert.</t>
  </si>
  <si>
    <t>London : Edward Arnold, 1976.</t>
  </si>
  <si>
    <t>Theoretical linguistics ; 1</t>
  </si>
  <si>
    <t>2001-10-16</t>
  </si>
  <si>
    <t>2019-01-09</t>
  </si>
  <si>
    <t>8907713643:eng</t>
  </si>
  <si>
    <t>2343264</t>
  </si>
  <si>
    <t>ocm02343264</t>
  </si>
  <si>
    <t>31027308203</t>
  </si>
  <si>
    <t>9780713158281</t>
  </si>
  <si>
    <t>792106761</t>
  </si>
  <si>
    <t>3102730779X</t>
  </si>
  <si>
    <t>792106760</t>
  </si>
  <si>
    <t>P41 F34</t>
  </si>
  <si>
    <t>0                      P  0041000F  34</t>
  </si>
  <si>
    <t>Théorie du récit; introduction aux langages totalitaires. Critique de la raison, l'économie narrative.</t>
  </si>
  <si>
    <t>Faye, Jean Pierre, 1925-</t>
  </si>
  <si>
    <t>[Paris] Hermann [1972]</t>
  </si>
  <si>
    <t>Collection Savoir</t>
  </si>
  <si>
    <t>375989738:fre</t>
  </si>
  <si>
    <t>938478</t>
  </si>
  <si>
    <t>ocm00938478</t>
  </si>
  <si>
    <t>3102730790T</t>
  </si>
  <si>
    <t>9782705656959</t>
  </si>
  <si>
    <t>791506943</t>
  </si>
  <si>
    <t>P41 F48</t>
  </si>
  <si>
    <t>0                      P  0041000F  48</t>
  </si>
  <si>
    <t>Bilingualism in the barrio [by] Joshua A. Fishman, Robert L. Cooper, Roxana Ma, et al.</t>
  </si>
  <si>
    <t>Bloomington, Indiana University [1971]</t>
  </si>
  <si>
    <t>Indiana University publications. Language science monographs, v. 7</t>
  </si>
  <si>
    <t>2015-03-12</t>
  </si>
  <si>
    <t>1324911:eng</t>
  </si>
  <si>
    <t>221430</t>
  </si>
  <si>
    <t>ocm00221430</t>
  </si>
  <si>
    <t>31027308067</t>
  </si>
  <si>
    <t>9780877501565</t>
  </si>
  <si>
    <t>791298051</t>
  </si>
  <si>
    <t>P41 F485x</t>
  </si>
  <si>
    <t>0                      P  0041000F  485x</t>
  </si>
  <si>
    <t>Language and nationalism : two integrative essays / [by] Joshua A. Fishman.</t>
  </si>
  <si>
    <t>Fishman, Joshua A., author.</t>
  </si>
  <si>
    <t>Rowley, Mass. : Newbury House Publishers, [1973]</t>
  </si>
  <si>
    <t>2011-03-27</t>
  </si>
  <si>
    <t>2018-04-01</t>
  </si>
  <si>
    <t>557257:eng</t>
  </si>
  <si>
    <t>855231</t>
  </si>
  <si>
    <t>ocm00855231</t>
  </si>
  <si>
    <t>3000993839V</t>
  </si>
  <si>
    <t>9780912066158</t>
  </si>
  <si>
    <t>791487875</t>
  </si>
  <si>
    <t>2006-09-13</t>
  </si>
  <si>
    <t>31027308017</t>
  </si>
  <si>
    <t>791487873</t>
  </si>
  <si>
    <t>3102730791T</t>
  </si>
  <si>
    <t>791487874</t>
  </si>
  <si>
    <t>3102730796T</t>
  </si>
  <si>
    <t>791487876</t>
  </si>
  <si>
    <t>P41 F5</t>
  </si>
  <si>
    <t>0                      P  0041000F  5</t>
  </si>
  <si>
    <t>Language problems of developing nations / Joshua A. Fishman, Charles A. Ferguson, Jyotirindra Das Gupta, editors.</t>
  </si>
  <si>
    <t>New York : Wiley, [1968]</t>
  </si>
  <si>
    <t>2018-03-23</t>
  </si>
  <si>
    <t>118230258:eng</t>
  </si>
  <si>
    <t>449755</t>
  </si>
  <si>
    <t>ocm00449755</t>
  </si>
  <si>
    <t>3102730857Y</t>
  </si>
  <si>
    <t>9780471261605</t>
  </si>
  <si>
    <t>791381999</t>
  </si>
  <si>
    <t>3102730862W</t>
  </si>
  <si>
    <t>791381998</t>
  </si>
  <si>
    <t>P41 G6x</t>
  </si>
  <si>
    <t>0                      P  0041000G  6x</t>
  </si>
  <si>
    <t>Culture, language, and society / Ward H. Goodenough.</t>
  </si>
  <si>
    <t>Goodenough, Ward Hunt.</t>
  </si>
  <si>
    <t>Reading, Mass. : Addison-Wesley, ©1971.</t>
  </si>
  <si>
    <t>A McCaleb module in anthropology</t>
  </si>
  <si>
    <t>2016-01-17</t>
  </si>
  <si>
    <t>460800:eng</t>
  </si>
  <si>
    <t>223360970</t>
  </si>
  <si>
    <t>ocn223360970</t>
  </si>
  <si>
    <t>31027308233</t>
  </si>
  <si>
    <t>9780201115604</t>
  </si>
  <si>
    <t>794335203</t>
  </si>
  <si>
    <t>2005-03-29</t>
  </si>
  <si>
    <t>31027308381</t>
  </si>
  <si>
    <t>794335204</t>
  </si>
  <si>
    <t>P41 G79 1986</t>
  </si>
  <si>
    <t>0                      P  0041000G  79          1986</t>
  </si>
  <si>
    <t>Directions in sociolinguistics : the ethnography of communication / edited by John J. Gumperz and Dell Hymes.</t>
  </si>
  <si>
    <t>Oxford, UK ; New York, NY, USA : B. Blackwell, 1986.</t>
  </si>
  <si>
    <t>150469393:eng</t>
  </si>
  <si>
    <t>13095130</t>
  </si>
  <si>
    <t>ocm13095130</t>
  </si>
  <si>
    <t>3102730854Y</t>
  </si>
  <si>
    <t>9780631149873</t>
  </si>
  <si>
    <t>792840233</t>
  </si>
  <si>
    <t>P41 H26 2004</t>
  </si>
  <si>
    <t>0                      P  0041000H  26          2004</t>
  </si>
  <si>
    <t>The linguistics of history / Roy Harris.</t>
  </si>
  <si>
    <t>Harris, Roy, 1931-</t>
  </si>
  <si>
    <t>2016-01-20</t>
  </si>
  <si>
    <t>944434:eng</t>
  </si>
  <si>
    <t>55706457</t>
  </si>
  <si>
    <t>ocm55706457</t>
  </si>
  <si>
    <t>3102730849$</t>
  </si>
  <si>
    <t>9780748619306</t>
  </si>
  <si>
    <t>793881466</t>
  </si>
  <si>
    <t>P41 K4 1989</t>
  </si>
  <si>
    <t>0                      P  0041000K  4           1989</t>
  </si>
  <si>
    <t>Language and historical representation : getting the story crooked / Hans Kellner.</t>
  </si>
  <si>
    <t>Kellner, Hans, 1945-</t>
  </si>
  <si>
    <t>Madison, Wis. : University of Wisconsin Press, ©1989.</t>
  </si>
  <si>
    <t>Rhetoric of the human sciences</t>
  </si>
  <si>
    <t>231105177:eng</t>
  </si>
  <si>
    <t>18558923</t>
  </si>
  <si>
    <t>ocm18558923</t>
  </si>
  <si>
    <t>31028024776</t>
  </si>
  <si>
    <t>9780299120504</t>
  </si>
  <si>
    <t>793029036</t>
  </si>
  <si>
    <t>P41 L26 1973</t>
  </si>
  <si>
    <t>0                      P  0041000L  26          1973</t>
  </si>
  <si>
    <t>Sociolinguistic patterns / William Labov.</t>
  </si>
  <si>
    <t>Labov, William.</t>
  </si>
  <si>
    <t>Philadelphia, PA : University of Pennsylvania Press, [1973, ©1972]</t>
  </si>
  <si>
    <t>Conduct and communication, 4</t>
  </si>
  <si>
    <t>2019-03-30</t>
  </si>
  <si>
    <t>298922:eng</t>
  </si>
  <si>
    <t>644343</t>
  </si>
  <si>
    <t>ocm00644343</t>
  </si>
  <si>
    <t>3102607952O</t>
  </si>
  <si>
    <t>9780812276572</t>
  </si>
  <si>
    <t>791436159</t>
  </si>
  <si>
    <t>3102607949Q</t>
  </si>
  <si>
    <t>791436160</t>
  </si>
  <si>
    <t>2016-01-08</t>
  </si>
  <si>
    <t>31027308253</t>
  </si>
  <si>
    <t>791436158</t>
  </si>
  <si>
    <t>3102730866W</t>
  </si>
  <si>
    <t>791436157</t>
  </si>
  <si>
    <t>2018-01-17</t>
  </si>
  <si>
    <t>31027308301</t>
  </si>
  <si>
    <t>791436156</t>
  </si>
  <si>
    <t>P41 L2614x</t>
  </si>
  <si>
    <t>0                      P  0041000L  2614x</t>
  </si>
  <si>
    <t>Sociolinguistique : William Labov / présentation de Pierre Encrevé ; traduit de l'anglais par Alain Kihm.</t>
  </si>
  <si>
    <t>Paris : Éditions de Minuit, 1976.</t>
  </si>
  <si>
    <t>Le Sens commun</t>
  </si>
  <si>
    <t>2016-08-19</t>
  </si>
  <si>
    <t>8908703674:fre</t>
  </si>
  <si>
    <t>4000597</t>
  </si>
  <si>
    <t>ocm04000597</t>
  </si>
  <si>
    <t>30009836738</t>
  </si>
  <si>
    <t>9782707301208</t>
  </si>
  <si>
    <t>792312384</t>
  </si>
  <si>
    <t>P41 L326 2006</t>
  </si>
  <si>
    <t>0                      P  0041000L  326         2006</t>
  </si>
  <si>
    <t>Language and history : integrationist perspectives / edited by Nigel Love.</t>
  </si>
  <si>
    <t>London ; New York : Routledge, 2006.</t>
  </si>
  <si>
    <t>Routledge advances in communication and linguistic theory ; 4</t>
  </si>
  <si>
    <t>2016-06-20</t>
  </si>
  <si>
    <t>797223081:eng</t>
  </si>
  <si>
    <t>60856149</t>
  </si>
  <si>
    <t>ocm60856149</t>
  </si>
  <si>
    <t>31025569991</t>
  </si>
  <si>
    <t>9780415317627</t>
  </si>
  <si>
    <t>793945406</t>
  </si>
  <si>
    <t>P41 L3x</t>
  </si>
  <si>
    <t>0                      P  0041000L  3x</t>
  </si>
  <si>
    <t>Language in its social setting / edited by William W. Gage.</t>
  </si>
  <si>
    <t>Washington, D.C. : Anthropological Society of Washington, ©1974.</t>
  </si>
  <si>
    <t>2377990:eng</t>
  </si>
  <si>
    <t>1526252</t>
  </si>
  <si>
    <t>ocm01526252</t>
  </si>
  <si>
    <t>3102730851Y</t>
  </si>
  <si>
    <t>791690412</t>
  </si>
  <si>
    <t>P41 L53</t>
  </si>
  <si>
    <t>0                      P  0041000L  53</t>
  </si>
  <si>
    <t>Linguaggi nella società e nella tecnica. Convegno promosso dalla Ing. C. Olivetti &amp; C., S.p.a. per il centenario della nascita di Camillo Olivetti. Museo nazionale della scienza e della tecnica, Milano, 14-17 ottobre 1968.</t>
  </si>
  <si>
    <t>Milano, Edizioni di Comunità, 1970.</t>
  </si>
  <si>
    <t>Saggi di cultura contemporanea ; 87</t>
  </si>
  <si>
    <t>131829117:ita</t>
  </si>
  <si>
    <t>2693527</t>
  </si>
  <si>
    <t>ocm02693527</t>
  </si>
  <si>
    <t>31027308263</t>
  </si>
  <si>
    <t>792163907</t>
  </si>
  <si>
    <t>P41 P72</t>
  </si>
  <si>
    <t>0                      P  0041000P  72</t>
  </si>
  <si>
    <t>Sociolinguistics : selected readings / edited by J.B. Pride and Janet Holmes.</t>
  </si>
  <si>
    <t>Pride, J. B., compiler.</t>
  </si>
  <si>
    <t>Harmondsworth, Penguin, 1972.</t>
  </si>
  <si>
    <t>Penguin modern linguistics readings</t>
  </si>
  <si>
    <t>2016-12-06</t>
  </si>
  <si>
    <t>821284971:eng</t>
  </si>
  <si>
    <t>651225</t>
  </si>
  <si>
    <t>ocm00651225</t>
  </si>
  <si>
    <t>31027309034</t>
  </si>
  <si>
    <t>9780140806656</t>
  </si>
  <si>
    <t>791437897</t>
  </si>
  <si>
    <t>2008-05-15</t>
  </si>
  <si>
    <t>31027309084</t>
  </si>
  <si>
    <t>791437900</t>
  </si>
  <si>
    <t>3103705877A</t>
  </si>
  <si>
    <t>791437899</t>
  </si>
  <si>
    <t>2004-03-19</t>
  </si>
  <si>
    <t>3102730867W</t>
  </si>
  <si>
    <t>791437898</t>
  </si>
  <si>
    <t>2011-02-18</t>
  </si>
  <si>
    <t>3102730898Q</t>
  </si>
  <si>
    <t>791437896</t>
  </si>
  <si>
    <t>P41 R8x</t>
  </si>
  <si>
    <t>0                      P  0041000R  8x</t>
  </si>
  <si>
    <t>Can language be planned? Sociolinguistic theory and practice for developing nations. Edited by Joan Rubin and Björn H. Jernudd.</t>
  </si>
  <si>
    <t>Honolulu] University Press of Hawaii [©1971]</t>
  </si>
  <si>
    <t>[1st ed.</t>
  </si>
  <si>
    <t>2017-03-05</t>
  </si>
  <si>
    <t>889211903:eng</t>
  </si>
  <si>
    <t>277196</t>
  </si>
  <si>
    <t>ocm00277196</t>
  </si>
  <si>
    <t>3102730934Z</t>
  </si>
  <si>
    <t>9780824801007</t>
  </si>
  <si>
    <t>791320899</t>
  </si>
  <si>
    <t>3102730878U</t>
  </si>
  <si>
    <t>791320898</t>
  </si>
  <si>
    <t>2008-03-31</t>
  </si>
  <si>
    <t>3000969023T</t>
  </si>
  <si>
    <t>791320897</t>
  </si>
  <si>
    <t>P47 A33 2018</t>
  </si>
  <si>
    <t>0                      P  0047000A  33          2018</t>
  </si>
  <si>
    <t>Souvent textes varient : génétique, intertextualité, édition et traduction / Jean-Michel Adam.</t>
  </si>
  <si>
    <t>Adam, Jean-Michel, author.</t>
  </si>
  <si>
    <t>Paris : Classiques Garnier, 2018.</t>
  </si>
  <si>
    <t>Investigations stylistiques, 2267-8778 ; 6</t>
  </si>
  <si>
    <t>4793877922:fre</t>
  </si>
  <si>
    <t>1021798967</t>
  </si>
  <si>
    <t>on1021798967</t>
  </si>
  <si>
    <t>3103793625U</t>
  </si>
  <si>
    <t>9782406073451</t>
  </si>
  <si>
    <t>795051177</t>
  </si>
  <si>
    <t>P47 B7 1971</t>
  </si>
  <si>
    <t>0                      P  0047000B  7           1971</t>
  </si>
  <si>
    <t>Tense in the novel: an investigation of some potentialities of linguistic criticism. [By] W.J.M. Bronzwaer.</t>
  </si>
  <si>
    <t>Bronzwaer, W. J. M., 1936-</t>
  </si>
  <si>
    <t>Groningen, Wolters-Noordhoff, 1970. [1971]</t>
  </si>
  <si>
    <t>2016-05-26</t>
  </si>
  <si>
    <t>1177258:eng</t>
  </si>
  <si>
    <t>152866</t>
  </si>
  <si>
    <t>ocm00152866</t>
  </si>
  <si>
    <t>3102730881S</t>
  </si>
  <si>
    <t>9789001170202</t>
  </si>
  <si>
    <t>791273814</t>
  </si>
  <si>
    <t>P47 C36 2013</t>
  </si>
  <si>
    <t>0                      P  0047000C  36          2013</t>
  </si>
  <si>
    <t>The Cambridge companion to textual scholarship / edited by Neil Fraistat and Julia Flanders.</t>
  </si>
  <si>
    <t>Cambridge companions to literature</t>
  </si>
  <si>
    <t>2019-05-28</t>
  </si>
  <si>
    <t>1124397599:eng</t>
  </si>
  <si>
    <t>798809920</t>
  </si>
  <si>
    <t>ocn798809920</t>
  </si>
  <si>
    <t>3103500604X</t>
  </si>
  <si>
    <t>9780521514101</t>
  </si>
  <si>
    <t>794924023</t>
  </si>
  <si>
    <t>P47 C4713 1999</t>
  </si>
  <si>
    <t>0                      P  0047000C  4713        1999</t>
  </si>
  <si>
    <t>In praise of the variant : a critical history of philology / Bernard Cerquiglini ; translated by Betsy Wing.</t>
  </si>
  <si>
    <t>Cerquiglini, Bernard.</t>
  </si>
  <si>
    <t>Baltimore : Johns Hopkins University Press, 1999.</t>
  </si>
  <si>
    <t>Parallax</t>
  </si>
  <si>
    <t>25144438:eng</t>
  </si>
  <si>
    <t>40043626</t>
  </si>
  <si>
    <t>ocm40043626</t>
  </si>
  <si>
    <t>31026434400</t>
  </si>
  <si>
    <t>9780801861260</t>
  </si>
  <si>
    <t>793558769</t>
  </si>
  <si>
    <t>P47 C53 2010</t>
  </si>
  <si>
    <t>0                      P  0047000C  53          2010</t>
  </si>
  <si>
    <t>Filologia e modernità : metodi, problemi, interpreti : atti del XXXVIII Convegno interuniversitario (Bressanone/Brixen - Innsbruck, 15-18 luglio 2010) / a cura di Gianfelice Peron e Alvise Andreose.</t>
  </si>
  <si>
    <t>Convegno interuniversitario di studi (38th : 2010 : Bressanone, Italy; Innsbruck, Austria)</t>
  </si>
  <si>
    <t>Padova : Esedra editrice, [2014]</t>
  </si>
  <si>
    <t>Quaderni del Circolo filologico-linguistico padovano ; 26</t>
  </si>
  <si>
    <t>2588663386:ita</t>
  </si>
  <si>
    <t>908335756</t>
  </si>
  <si>
    <t>ocn908335756</t>
  </si>
  <si>
    <t>3103628992R</t>
  </si>
  <si>
    <t>9788860580528</t>
  </si>
  <si>
    <t>794994534</t>
  </si>
  <si>
    <t>P47 C74 2007</t>
  </si>
  <si>
    <t>0                      P  0047000C  74          2007</t>
  </si>
  <si>
    <t>La création en acte : devenir de la critique génétique / sous la direction de Paul Gifford et Marion Schmid.</t>
  </si>
  <si>
    <t>Amsterdam ; New York, N.Y. : Rodopi, 2007.</t>
  </si>
  <si>
    <t>Faux titre ; 289</t>
  </si>
  <si>
    <t>2018-01-04</t>
  </si>
  <si>
    <t>888358982:fre</t>
  </si>
  <si>
    <t>136886548</t>
  </si>
  <si>
    <t>ocn136886548</t>
  </si>
  <si>
    <t>3102804992G</t>
  </si>
  <si>
    <t>9789042020931</t>
  </si>
  <si>
    <t>794232727</t>
  </si>
  <si>
    <t>P47 E35 1997</t>
  </si>
  <si>
    <t>0                      P  0047000E  35          1997</t>
  </si>
  <si>
    <t>Editer, traduire, interpréter : essais de méthodologie philosophique / par P.W. Rosemann [and 10 others] ; sous la direction de Steve G. Lofts et Philipp W. Rosemann.</t>
  </si>
  <si>
    <t>Louvain-la-Neuve : Editions de l'Institut supérieur de philosophie ; Louvain : Editions Peeters, 1997.</t>
  </si>
  <si>
    <t>Philosophes médiévaux ; t. 36</t>
  </si>
  <si>
    <t>2015-05-01</t>
  </si>
  <si>
    <t>806818599:fre</t>
  </si>
  <si>
    <t>38469494</t>
  </si>
  <si>
    <t>ocm38469494</t>
  </si>
  <si>
    <t>3102524227M</t>
  </si>
  <si>
    <t>9782877233507</t>
  </si>
  <si>
    <t>793524358</t>
  </si>
  <si>
    <t>P47 G73 2010</t>
  </si>
  <si>
    <t>0                      P  0047000G  73          2010</t>
  </si>
  <si>
    <t>The pleasures of contamination : evidence, text, and voice in textual studies / David Greetham.</t>
  </si>
  <si>
    <t>Greetham, D. C. (David C.), 1941-</t>
  </si>
  <si>
    <t>Bloomington : Indiana University Press, ©2010.</t>
  </si>
  <si>
    <t>Textual cultures: theory and praxis</t>
  </si>
  <si>
    <t>2013-08-14</t>
  </si>
  <si>
    <t>319706983:eng</t>
  </si>
  <si>
    <t>432994670</t>
  </si>
  <si>
    <t>ocn432994670</t>
  </si>
  <si>
    <t>31032269332</t>
  </si>
  <si>
    <t>9780253355065</t>
  </si>
  <si>
    <t>794782190</t>
  </si>
  <si>
    <t>P47 K45</t>
  </si>
  <si>
    <t>0                      P  0047000K  45</t>
  </si>
  <si>
    <t>The classical text : aspects of editing in the age of the printed book / by E.J. Kenney.</t>
  </si>
  <si>
    <t>Kenney, E. J.</t>
  </si>
  <si>
    <t>Berkeley : University of California Press, ©1974.</t>
  </si>
  <si>
    <t>Sather classical lectures ; v. 44</t>
  </si>
  <si>
    <t>2019-10-01</t>
  </si>
  <si>
    <t>2200532:eng</t>
  </si>
  <si>
    <t>1273366</t>
  </si>
  <si>
    <t>ocm01273366</t>
  </si>
  <si>
    <t>31027309172</t>
  </si>
  <si>
    <t>9780520027114</t>
  </si>
  <si>
    <t>791589282</t>
  </si>
  <si>
    <t>P47 K7</t>
  </si>
  <si>
    <t>0                      P  0047000K  7</t>
  </si>
  <si>
    <t>Le texte du roman; approche sémiologique d'une structure discursive transformationnelle.</t>
  </si>
  <si>
    <t>Kristeva, Julia, 1941-</t>
  </si>
  <si>
    <t>The Hague, Mouton, 1970.</t>
  </si>
  <si>
    <t>Approaches to semiotics, 6</t>
  </si>
  <si>
    <t>2018-09-27</t>
  </si>
  <si>
    <t>354237558:fre</t>
  </si>
  <si>
    <t>307811</t>
  </si>
  <si>
    <t>ocm00307811</t>
  </si>
  <si>
    <t>3102730953V</t>
  </si>
  <si>
    <t>791331431</t>
  </si>
  <si>
    <t>P47 L42 1985</t>
  </si>
  <si>
    <t>0                      P  0047000L  42          1985</t>
  </si>
  <si>
    <t>Leçons d'écriture : ce que disent les manuscrits / textes réunis par Almuth Grésillon et Michaël Werner ; en hommage à Louis Hay.</t>
  </si>
  <si>
    <t>Paris : Minard, 1985.</t>
  </si>
  <si>
    <t>Biblio thèque ; 3</t>
  </si>
  <si>
    <t>2018-01-05</t>
  </si>
  <si>
    <t>428840893:fre</t>
  </si>
  <si>
    <t>14291716</t>
  </si>
  <si>
    <t>ocm14291716</t>
  </si>
  <si>
    <t>3102730943X</t>
  </si>
  <si>
    <t>9782256908378</t>
  </si>
  <si>
    <t>792884886</t>
  </si>
  <si>
    <t>P47 M34 1983</t>
  </si>
  <si>
    <t>0                      P  0047000M  34          1983</t>
  </si>
  <si>
    <t>A critique of modern textual criticism / Jerome J. McGann.</t>
  </si>
  <si>
    <t>McGann, Jerome J.</t>
  </si>
  <si>
    <t>Chicago : University of Chicago Press, 1983.</t>
  </si>
  <si>
    <t>2015-10-01</t>
  </si>
  <si>
    <t>28819642:eng</t>
  </si>
  <si>
    <t>8927938</t>
  </si>
  <si>
    <t>ocm08927938</t>
  </si>
  <si>
    <t>31034871897</t>
  </si>
  <si>
    <t>9780226558516</t>
  </si>
  <si>
    <t>792648380</t>
  </si>
  <si>
    <t>3103483549J</t>
  </si>
  <si>
    <t>792648381</t>
  </si>
  <si>
    <t>2010-10-07</t>
  </si>
  <si>
    <t>31027309280</t>
  </si>
  <si>
    <t>792648379</t>
  </si>
  <si>
    <t>P47 R43 2004</t>
  </si>
  <si>
    <t>0                      P  0047000R  43          2004</t>
  </si>
  <si>
    <t>Reading notes /edited by Dirk van Hulle , Wim Van Mierlo ; book reviews editor Dirk van Hulle.</t>
  </si>
  <si>
    <t>Amsterdam ; New York : Rodopi, 2004.</t>
  </si>
  <si>
    <t>Variants : the journal of the European Society for Textual Scholarship, 1573-3084 ; 2/3</t>
  </si>
  <si>
    <t>2016-03-01</t>
  </si>
  <si>
    <t>5616159285:eng</t>
  </si>
  <si>
    <t>60817468</t>
  </si>
  <si>
    <t>ocm60817468</t>
  </si>
  <si>
    <t>3103608141E</t>
  </si>
  <si>
    <t>9789042018211</t>
  </si>
  <si>
    <t>793944409</t>
  </si>
  <si>
    <t>P47 R564 1979</t>
  </si>
  <si>
    <t>0                      P  0047000R  564         1979</t>
  </si>
  <si>
    <t>La production du texte / Michael Riffaterre.</t>
  </si>
  <si>
    <t>Riffaterre, Michael.</t>
  </si>
  <si>
    <t>Paris : Seuil, ©1979.</t>
  </si>
  <si>
    <t>Poétique</t>
  </si>
  <si>
    <t>2016-04-22</t>
  </si>
  <si>
    <t>43723807:fre</t>
  </si>
  <si>
    <t>6920979</t>
  </si>
  <si>
    <t>ocm06920979</t>
  </si>
  <si>
    <t>3102730939Z</t>
  </si>
  <si>
    <t>9782020052092</t>
  </si>
  <si>
    <t>792530621</t>
  </si>
  <si>
    <t>P47 S35 2017</t>
  </si>
  <si>
    <t>0                      P  0047000S  35          2017</t>
  </si>
  <si>
    <t>Textuality and knowledge : essays / Peter L. Shillingsburg.</t>
  </si>
  <si>
    <t>Shillingsburg, Peter L., author.</t>
  </si>
  <si>
    <t>University Park, Pennsylvania : The Pennsylvania State University Press, [2017]</t>
  </si>
  <si>
    <t>The Penn State series in the history of the book</t>
  </si>
  <si>
    <t>4437701527:eng</t>
  </si>
  <si>
    <t>963915078</t>
  </si>
  <si>
    <t>ocn963915078</t>
  </si>
  <si>
    <t>3103702374E</t>
  </si>
  <si>
    <t>9780271078502</t>
  </si>
  <si>
    <t>795025010</t>
  </si>
  <si>
    <t>2003-09-24</t>
  </si>
  <si>
    <t>2018-01-18</t>
  </si>
  <si>
    <t>P47 T43 2010</t>
  </si>
  <si>
    <t>0                      P  0047000T  43          2010</t>
  </si>
  <si>
    <t>Text comparison and digital creativity : the production of presence and meaning in digital text scholarship / edited by Wido van Peursen, Ernst D. Thoutenhoofd, Adriaan van der Weel.</t>
  </si>
  <si>
    <t>Leiden ; Boston : Brill, 2010.</t>
  </si>
  <si>
    <t>Scholarly Communication ; 1</t>
  </si>
  <si>
    <t>2011-06-07</t>
  </si>
  <si>
    <t>510825588:eng</t>
  </si>
  <si>
    <t>647901928</t>
  </si>
  <si>
    <t>ocn647901928</t>
  </si>
  <si>
    <t>3103312355V</t>
  </si>
  <si>
    <t>9789004188655</t>
  </si>
  <si>
    <t>794830940</t>
  </si>
  <si>
    <t>P47 T49 2009</t>
  </si>
  <si>
    <t>0                      P  0047000T  49          2009</t>
  </si>
  <si>
    <t>Textual editing and criticism : an introduction / Erick Kelemen ; foreword by Donald H. Reiman.</t>
  </si>
  <si>
    <t>New York : W.W. Norton &amp; Co., ©2009.</t>
  </si>
  <si>
    <t>796027518:eng</t>
  </si>
  <si>
    <t>190877080</t>
  </si>
  <si>
    <t>ocn190877080</t>
  </si>
  <si>
    <t>3103154414K</t>
  </si>
  <si>
    <t>9780393929423</t>
  </si>
  <si>
    <t>794296432</t>
  </si>
  <si>
    <t>P49 B2813 1986</t>
  </si>
  <si>
    <t>0                      P  0049000B  2813        1986</t>
  </si>
  <si>
    <t>Speech genres &amp; other late essays / M.M. Bakhtin ; translated by Vern W. McGee ; edited by Caryl Emerson and Michael Holquist.</t>
  </si>
  <si>
    <t>Bakhtin, M. M. (Mikhail Mikhaĭlovich), 1895-1975.</t>
  </si>
  <si>
    <t>University of Texas Press Slavic series ; no. 8</t>
  </si>
  <si>
    <t>2018-07-18</t>
  </si>
  <si>
    <t>2019-09-25</t>
  </si>
  <si>
    <t>4921159:eng</t>
  </si>
  <si>
    <t>13859718</t>
  </si>
  <si>
    <t>ocm13859718</t>
  </si>
  <si>
    <t>3102730930Z</t>
  </si>
  <si>
    <t>9780292720466</t>
  </si>
  <si>
    <t>792869539</t>
  </si>
  <si>
    <t>3103145711C</t>
  </si>
  <si>
    <t>792869540</t>
  </si>
  <si>
    <t>P49 B35 1984</t>
  </si>
  <si>
    <t>0                      P  0049000B  35          1984</t>
  </si>
  <si>
    <t>Le bruissement de la langue / Roland Barthes.</t>
  </si>
  <si>
    <t>Barthes, Roland.</t>
  </si>
  <si>
    <t>Paris : Seuil, ©1984.</t>
  </si>
  <si>
    <t>Essais critiques / Roland Barthes ; 4</t>
  </si>
  <si>
    <t>2018-08-29</t>
  </si>
  <si>
    <t>886090:fre</t>
  </si>
  <si>
    <t>12107442</t>
  </si>
  <si>
    <t>ocm12107442</t>
  </si>
  <si>
    <t>31027309250</t>
  </si>
  <si>
    <t>9782020069311</t>
  </si>
  <si>
    <t>792801885</t>
  </si>
  <si>
    <t>2017-09-12</t>
  </si>
  <si>
    <t>31037109338</t>
  </si>
  <si>
    <t>792801884</t>
  </si>
  <si>
    <t>P49 B3513 1986</t>
  </si>
  <si>
    <t>0                      P  0049000B  3513        1986</t>
  </si>
  <si>
    <t>The rustle of language / Roland Barthes ; translated by Richard Howard.</t>
  </si>
  <si>
    <t>New York : Hill and Wang, 1986.</t>
  </si>
  <si>
    <t>2019-07-22</t>
  </si>
  <si>
    <t>2019-12-08</t>
  </si>
  <si>
    <t>886090:eng</t>
  </si>
  <si>
    <t>12946719</t>
  </si>
  <si>
    <t>ocm12946719</t>
  </si>
  <si>
    <t>31027309200</t>
  </si>
  <si>
    <t>9780809083442</t>
  </si>
  <si>
    <t>792834205</t>
  </si>
  <si>
    <t>3103980066A</t>
  </si>
  <si>
    <t>792834204</t>
  </si>
  <si>
    <t>P49 C58 1977</t>
  </si>
  <si>
    <t>0                      P  0049000C  58          1977</t>
  </si>
  <si>
    <t>Comunicación y lenguaje / Rafael Lapesa, cord.</t>
  </si>
  <si>
    <t>Madrid : Editorial Karpos, 1977, ©1976.</t>
  </si>
  <si>
    <t>Colección Karpos ; 5</t>
  </si>
  <si>
    <t>9437945477:spa</t>
  </si>
  <si>
    <t>3682938</t>
  </si>
  <si>
    <t>ocm03682938</t>
  </si>
  <si>
    <t>3102730951V</t>
  </si>
  <si>
    <t>9788485261048</t>
  </si>
  <si>
    <t>792280548</t>
  </si>
  <si>
    <t>P49 S75 1984</t>
  </si>
  <si>
    <t>0                      P  0049000S  75          1984</t>
  </si>
  <si>
    <t>George Steiner : a reader.</t>
  </si>
  <si>
    <t>Steiner, George, 1929-</t>
  </si>
  <si>
    <t>New York : Oxford University Press, 1984.</t>
  </si>
  <si>
    <t>1059205570:eng</t>
  </si>
  <si>
    <t>10799206</t>
  </si>
  <si>
    <t>ocm10799206</t>
  </si>
  <si>
    <t>3102730990N</t>
  </si>
  <si>
    <t>9780195204582</t>
  </si>
  <si>
    <t>792744224</t>
  </si>
  <si>
    <t>P51 A63 1987</t>
  </si>
  <si>
    <t>0                      P  0051000A  63          1987</t>
  </si>
  <si>
    <t>Applying second language acquisition research / edited by David Nunan.</t>
  </si>
  <si>
    <t>Adelaide : National Curriculum Resource Centre, 1987.</t>
  </si>
  <si>
    <t>Research series / National Curriculum Resource Centre, 0817-945X</t>
  </si>
  <si>
    <t>2015-04-19</t>
  </si>
  <si>
    <t>22203215:eng</t>
  </si>
  <si>
    <t>20862451</t>
  </si>
  <si>
    <t>ocm20862451</t>
  </si>
  <si>
    <t>31021633209</t>
  </si>
  <si>
    <t>9780724341825</t>
  </si>
  <si>
    <t>793101902</t>
  </si>
  <si>
    <t>P51 A86 1992</t>
  </si>
  <si>
    <t>0                      P  0051000A  86          1992</t>
  </si>
  <si>
    <t>Aspects of language teaching / Rekha Aslam.</t>
  </si>
  <si>
    <t>Aslam, Rekha.</t>
  </si>
  <si>
    <t>New Delhi : Northern Book Centre, ©1992.</t>
  </si>
  <si>
    <t>30340861:eng</t>
  </si>
  <si>
    <t>28157691</t>
  </si>
  <si>
    <t>ocm28157691</t>
  </si>
  <si>
    <t>3102731001R</t>
  </si>
  <si>
    <t>9788172110253</t>
  </si>
  <si>
    <t>793281338</t>
  </si>
  <si>
    <t>P51 A88 1995</t>
  </si>
  <si>
    <t>0                      P  0051000A  88          1995</t>
  </si>
  <si>
    <t>Attention and awareness in foreign language learning / edited by Richard Schmidt.</t>
  </si>
  <si>
    <t>[Honolulu] : Second Language Teaching &amp; Curriculum Center, University of Hawaii at Manoa, 1995.</t>
  </si>
  <si>
    <t>Technical report ; no. 9</t>
  </si>
  <si>
    <t>2019-07-28</t>
  </si>
  <si>
    <t>144839643:eng</t>
  </si>
  <si>
    <t>34634684</t>
  </si>
  <si>
    <t>ocm34634684</t>
  </si>
  <si>
    <t>31026363230</t>
  </si>
  <si>
    <t>9780824817947</t>
  </si>
  <si>
    <t>793431959</t>
  </si>
  <si>
    <t>P51 B354 2014</t>
  </si>
  <si>
    <t>0                      P  0051000B  354         2014</t>
  </si>
  <si>
    <t>Understanding silence and reticence : ways of participating in second language acquisition / Dat Bao.</t>
  </si>
  <si>
    <t>Bao, Dat, author.</t>
  </si>
  <si>
    <t>1784259254:eng</t>
  </si>
  <si>
    <t>857981457</t>
  </si>
  <si>
    <t>ocn857981457</t>
  </si>
  <si>
    <t>3103530058Q</t>
  </si>
  <si>
    <t>9781441102706</t>
  </si>
  <si>
    <t>794955669</t>
  </si>
  <si>
    <t>P51 B73 1960</t>
  </si>
  <si>
    <t>0                      P  0051000B  73          1960</t>
  </si>
  <si>
    <t>Language and language learning : theory and practice / Nelson Brooks.</t>
  </si>
  <si>
    <t>Brooks, Nelson H.</t>
  </si>
  <si>
    <t>New York : Harcourt, Brace, ©1960.</t>
  </si>
  <si>
    <t>1089956100:eng</t>
  </si>
  <si>
    <t>951369</t>
  </si>
  <si>
    <t>ocm00951369</t>
  </si>
  <si>
    <t>3102730986P</t>
  </si>
  <si>
    <t>791510231</t>
  </si>
  <si>
    <t>P51 B775</t>
  </si>
  <si>
    <t>0                      P  0051000B  775</t>
  </si>
  <si>
    <t>Principles of language learning and teaching / H. Douglas Brown.</t>
  </si>
  <si>
    <t>Brown, H. Douglas, 1941-</t>
  </si>
  <si>
    <t>Englewood Cliffs, N.J. : Prentice-Hall, ©1980.</t>
  </si>
  <si>
    <t>2015-09-16</t>
  </si>
  <si>
    <t>8363169:eng</t>
  </si>
  <si>
    <t>5310065</t>
  </si>
  <si>
    <t>ocm05310065</t>
  </si>
  <si>
    <t>3103452986I</t>
  </si>
  <si>
    <t>9780137092956</t>
  </si>
  <si>
    <t>792424005</t>
  </si>
  <si>
    <t>P51 B775 1994</t>
  </si>
  <si>
    <t>0                      P  0051000B  775         1994</t>
  </si>
  <si>
    <t>Englewood Cliffs, N.J. : Prentice Hall Regents, ©1994.</t>
  </si>
  <si>
    <t>2016-01-26</t>
  </si>
  <si>
    <t>28421545</t>
  </si>
  <si>
    <t>ocm28421545</t>
  </si>
  <si>
    <t>3103309060F</t>
  </si>
  <si>
    <t>9780131919662</t>
  </si>
  <si>
    <t>793287840</t>
  </si>
  <si>
    <t>P51 B775 2000</t>
  </si>
  <si>
    <t>0                      P  0051000B  775         2000</t>
  </si>
  <si>
    <t>White Plains, NY : Longman, ©2000.</t>
  </si>
  <si>
    <t>2018-09-10</t>
  </si>
  <si>
    <t>42842469</t>
  </si>
  <si>
    <t>ocm42842469</t>
  </si>
  <si>
    <t>31033990991</t>
  </si>
  <si>
    <t>9780130178169</t>
  </si>
  <si>
    <t>793615754</t>
  </si>
  <si>
    <t>P51 B7754 1994</t>
  </si>
  <si>
    <t>0                      P  0051000B  7754        1994</t>
  </si>
  <si>
    <t>Teaching by principles : an interactive approach to language pedagogy / H. Douglas Brown.</t>
  </si>
  <si>
    <t>2015-12-09</t>
  </si>
  <si>
    <t>14354428:eng</t>
  </si>
  <si>
    <t>28632355</t>
  </si>
  <si>
    <t>ocm28632355</t>
  </si>
  <si>
    <t>3103217336L</t>
  </si>
  <si>
    <t>9780133282207</t>
  </si>
  <si>
    <t>793292412</t>
  </si>
  <si>
    <t>P51 B7754 2007</t>
  </si>
  <si>
    <t>0                      P  0051000B  7754        2007</t>
  </si>
  <si>
    <t>White Plains, NY : Pearson Education, ©2007.</t>
  </si>
  <si>
    <t>2018-05-24</t>
  </si>
  <si>
    <t>76183358</t>
  </si>
  <si>
    <t>ocm76183358</t>
  </si>
  <si>
    <t>3103585228I</t>
  </si>
  <si>
    <t>9780136127116</t>
  </si>
  <si>
    <t>794175881</t>
  </si>
  <si>
    <t>P51 C54 2005</t>
  </si>
  <si>
    <t>0                      P  0051000C  54          2005</t>
  </si>
  <si>
    <t>Citizenship and language learning : international perspectives / [edited by] Audrey Osler and Hugh Starkey.</t>
  </si>
  <si>
    <t>Stoke-on-Trent, UK ; Sterling, USA : British Council, Trentham Books, 2005.</t>
  </si>
  <si>
    <t>2016-11-25</t>
  </si>
  <si>
    <t>365036857:eng</t>
  </si>
  <si>
    <t>224509680</t>
  </si>
  <si>
    <t>ocn224509680</t>
  </si>
  <si>
    <t>31025810486</t>
  </si>
  <si>
    <t>9781858563343</t>
  </si>
  <si>
    <t>794338692</t>
  </si>
  <si>
    <t>P51 C56 1983</t>
  </si>
  <si>
    <t>0                      P  0051000C  56          1983</t>
  </si>
  <si>
    <t>Classroom oriented research in second language acquisition / Herbert W. Seliger and Michael H. Long, editors.</t>
  </si>
  <si>
    <t>Rowley, MA : Newbury House, 1983.</t>
  </si>
  <si>
    <t>2017-02-27</t>
  </si>
  <si>
    <t>353484765:eng</t>
  </si>
  <si>
    <t>9082927</t>
  </si>
  <si>
    <t>ocm09082927</t>
  </si>
  <si>
    <t>3101951537Q</t>
  </si>
  <si>
    <t>9780883772676</t>
  </si>
  <si>
    <t>792656067</t>
  </si>
  <si>
    <t>P51 C6226 2010</t>
  </si>
  <si>
    <t>0                      P  0051000C  6226        2010</t>
  </si>
  <si>
    <t>Conceptualising 'learning' in applied linguistics / edited by Paul Seedhouse, Steve Walsh, Chris Jenks.</t>
  </si>
  <si>
    <t>Houndmills, Basingstoke, Hampshire ; New York : Palgrave Macmillan, 2010.</t>
  </si>
  <si>
    <t>686164518:eng</t>
  </si>
  <si>
    <t>613433761</t>
  </si>
  <si>
    <t>ocn613433761</t>
  </si>
  <si>
    <t>3103227308M</t>
  </si>
  <si>
    <t>9780230232549</t>
  </si>
  <si>
    <t>794822136</t>
  </si>
  <si>
    <t>P51 C78 2010</t>
  </si>
  <si>
    <t>0                      P  0051000C  78          2010</t>
  </si>
  <si>
    <t>Basics of language for language learners / Peter W. Culicover and Elizabeth Hume.</t>
  </si>
  <si>
    <t>Culicover, Peter W.</t>
  </si>
  <si>
    <t>Columbus : Ohio State University Press, ©2010.</t>
  </si>
  <si>
    <t>2013-11-23</t>
  </si>
  <si>
    <t>1042435936:eng</t>
  </si>
  <si>
    <t>465190141</t>
  </si>
  <si>
    <t>ocn465190141</t>
  </si>
  <si>
    <t>3103242199K</t>
  </si>
  <si>
    <t>9780814251720</t>
  </si>
  <si>
    <t>794793652</t>
  </si>
  <si>
    <t>P51 D275 2012</t>
  </si>
  <si>
    <t>0                      P  0051000D  275         2012</t>
  </si>
  <si>
    <t>CLIL activities with CD-ROM : a resource for subject and language teachers / Liz Dale, Rosie Tanner ; consultant and editor, Scott Thornbury.</t>
  </si>
  <si>
    <t>(Text + 1 CD-ROM)</t>
  </si>
  <si>
    <t>Dale, Liz.</t>
  </si>
  <si>
    <t>New York ; Cambridge : Cambridge University Press, 2012.</t>
  </si>
  <si>
    <t>Cambridge handbooks for language teachers</t>
  </si>
  <si>
    <t>2018-04-29</t>
  </si>
  <si>
    <t>3902453112:eng</t>
  </si>
  <si>
    <t>758397422</t>
  </si>
  <si>
    <t>ocn758397422</t>
  </si>
  <si>
    <t>3103405888Y</t>
  </si>
  <si>
    <t>9780521149846</t>
  </si>
  <si>
    <t>794896347</t>
  </si>
  <si>
    <t>P51 D48 1990</t>
  </si>
  <si>
    <t>0                      P  0051000D  48          1990</t>
  </si>
  <si>
    <t>The Development of second language proficiency / edited by Birgit Harley [and others].</t>
  </si>
  <si>
    <t>Cambridge ; New York : Cambridge University Press, 1990.</t>
  </si>
  <si>
    <t>The Cambridge applied linguistics series</t>
  </si>
  <si>
    <t>365532102:eng</t>
  </si>
  <si>
    <t>20263597</t>
  </si>
  <si>
    <t>ocm20263597</t>
  </si>
  <si>
    <t>31026557925</t>
  </si>
  <si>
    <t>9780521387958</t>
  </si>
  <si>
    <t>793082315</t>
  </si>
  <si>
    <t>P51 D49 1990</t>
  </si>
  <si>
    <t>0                      P  0051000D  49          1990</t>
  </si>
  <si>
    <t>2013-12-18</t>
  </si>
  <si>
    <t>3102731042J</t>
  </si>
  <si>
    <t>793082316</t>
  </si>
  <si>
    <t>P51 E48 2003</t>
  </si>
  <si>
    <t>0                      P  0051000E  48          2003</t>
  </si>
  <si>
    <t>Task-based language learning and teaching / Rod Ellis.</t>
  </si>
  <si>
    <t>Ellis, Rod.</t>
  </si>
  <si>
    <t>Oxford, U.K. ; New York : Oxford University Press, 2003.</t>
  </si>
  <si>
    <t>2017-11-16</t>
  </si>
  <si>
    <t>661191:eng</t>
  </si>
  <si>
    <t>52180058</t>
  </si>
  <si>
    <t>ocm52180058</t>
  </si>
  <si>
    <t>3103398966L</t>
  </si>
  <si>
    <t>9780194421591</t>
  </si>
  <si>
    <t>793800336</t>
  </si>
  <si>
    <t>P51 E569 2010</t>
  </si>
  <si>
    <t>0                      P  0051000E  569         2010</t>
  </si>
  <si>
    <t>L'enseignement des langues vivantes étrangères à l'école : impacts sur le développement de la langue maternelle / sous la direction de Colette Corblin, Jérémi Sauvage.</t>
  </si>
  <si>
    <t>Paris : Harmattan, 2010.</t>
  </si>
  <si>
    <t>Enfance &amp; langages</t>
  </si>
  <si>
    <t>2017-09-29</t>
  </si>
  <si>
    <t>796523161:fre</t>
  </si>
  <si>
    <t>655744043</t>
  </si>
  <si>
    <t>ocn655744043</t>
  </si>
  <si>
    <t>3103301034G</t>
  </si>
  <si>
    <t>9782296116405</t>
  </si>
  <si>
    <t>794834414</t>
  </si>
  <si>
    <t>P51 F549 1998</t>
  </si>
  <si>
    <t>0                      P  0051000F  549         1998</t>
  </si>
  <si>
    <t>Focus on form in classroom second language acquisition / Catherine Doughty and Jessica Williams.</t>
  </si>
  <si>
    <t>Cambridge, UK ; New York : Cambridge University Press, 1998.</t>
  </si>
  <si>
    <t>2018-08-30</t>
  </si>
  <si>
    <t>350407955:eng</t>
  </si>
  <si>
    <t>37992957</t>
  </si>
  <si>
    <t>ocm37992957</t>
  </si>
  <si>
    <t>3103453282Z</t>
  </si>
  <si>
    <t>9780521623902</t>
  </si>
  <si>
    <t>793512368</t>
  </si>
  <si>
    <t>3103398976J</t>
  </si>
  <si>
    <t>793512367</t>
  </si>
  <si>
    <t>P51 F57 1991</t>
  </si>
  <si>
    <t>0                      P  0051000F  57          1991</t>
  </si>
  <si>
    <t>Foreign/second language pedagogy research : a commemorative volume for Claus Færch / edited by Robert Phillipson [and others].</t>
  </si>
  <si>
    <t>Clevedon, Avon, England ; Philadelphia : Multilingual Matters Ltd., ©1991.</t>
  </si>
  <si>
    <t>Multilingual matters ; 64</t>
  </si>
  <si>
    <t>797124131:eng</t>
  </si>
  <si>
    <t>21593152</t>
  </si>
  <si>
    <t>ocm21593152</t>
  </si>
  <si>
    <t>3101115509H</t>
  </si>
  <si>
    <t>9781853590856</t>
  </si>
  <si>
    <t>793123567</t>
  </si>
  <si>
    <t>P51 F694 2004</t>
  </si>
  <si>
    <t>0                      P  0051000F  694         2004</t>
  </si>
  <si>
    <t>Essential linguistics : what you need to know to teach reading, ESL, spelling, phonics, and grammar / David E. Freeman, Yvonne S. Freeman.</t>
  </si>
  <si>
    <t>Freeman, David E.</t>
  </si>
  <si>
    <t>Portsmouth, NH : Heinemann, ©2004.</t>
  </si>
  <si>
    <t>796428677:eng</t>
  </si>
  <si>
    <t>53434681</t>
  </si>
  <si>
    <t>ocm53434681</t>
  </si>
  <si>
    <t>3103400745S</t>
  </si>
  <si>
    <t>9780325002743</t>
  </si>
  <si>
    <t>793828202</t>
  </si>
  <si>
    <t>P51 G344 2011</t>
  </si>
  <si>
    <t>0                      P  0051000G  344         2011</t>
  </si>
  <si>
    <t>Language and learning in the digital age / James Paul Gee and Elisabeth R. Hayes.</t>
  </si>
  <si>
    <t>Abingdon, Oxon. [England] ; New York : Routledge, 2011.</t>
  </si>
  <si>
    <t>2014-09-25</t>
  </si>
  <si>
    <t>574177466:eng</t>
  </si>
  <si>
    <t>656850422</t>
  </si>
  <si>
    <t>ocn656850422</t>
  </si>
  <si>
    <t>3103343236J</t>
  </si>
  <si>
    <t>9780415602761</t>
  </si>
  <si>
    <t>794835172</t>
  </si>
  <si>
    <t>P51 H286 2005</t>
  </si>
  <si>
    <t>0                      P  0051000H  286         2005</t>
  </si>
  <si>
    <t>Literature in language education / Geoff. Hall.</t>
  </si>
  <si>
    <t>Hall, Geoff, 1955-</t>
  </si>
  <si>
    <t>Basingstoke [England] ; New York : Palgrave Macmillan, 2005.</t>
  </si>
  <si>
    <t>Research and practice in applied linguistics</t>
  </si>
  <si>
    <t>2016-01-04</t>
  </si>
  <si>
    <t>14484019:eng</t>
  </si>
  <si>
    <t>60245505</t>
  </si>
  <si>
    <t>ocm60245505</t>
  </si>
  <si>
    <t>31037054355</t>
  </si>
  <si>
    <t>9781403943354</t>
  </si>
  <si>
    <t>793934507</t>
  </si>
  <si>
    <t>P51 H288 2005</t>
  </si>
  <si>
    <t>0                      P  0051000H  288         2005</t>
  </si>
  <si>
    <t>Dialogue with Bakhtin on second and foreign language learning : new perspectives / edited by Joan Kelly Hall, Gergana Vitanova, Ludmila Marchenkova.</t>
  </si>
  <si>
    <t>Mahwah, N.J. : L. Erlbaum, ©2005.</t>
  </si>
  <si>
    <t>2019-01-26</t>
  </si>
  <si>
    <t>866313370:eng</t>
  </si>
  <si>
    <t>54775147</t>
  </si>
  <si>
    <t>ocm54775147</t>
  </si>
  <si>
    <t>3102731017P</t>
  </si>
  <si>
    <t>9780805850215</t>
  </si>
  <si>
    <t>793867550</t>
  </si>
  <si>
    <t>P51 H29 2001</t>
  </si>
  <si>
    <t>0                      P  0051000H  29          2001</t>
  </si>
  <si>
    <t>Methods for teaching foreign languages : creating a community of learners in the classroom / Joan Kelly Hall.</t>
  </si>
  <si>
    <t>Upper Saddle River, N.J. : Merrill Prentice Hall, ©2001.</t>
  </si>
  <si>
    <t>9535047:eng</t>
  </si>
  <si>
    <t>52263921</t>
  </si>
  <si>
    <t>ocm52263921</t>
  </si>
  <si>
    <t>3103737253K</t>
  </si>
  <si>
    <t>9780130879103</t>
  </si>
  <si>
    <t>793802178</t>
  </si>
  <si>
    <t>P51 H315 1991</t>
  </si>
  <si>
    <t>0                      P  0051000H  315         1991</t>
  </si>
  <si>
    <t>Fluency and accuracy : toward balance in language teaching and learning / Hector Hammerly.</t>
  </si>
  <si>
    <t>Hammerly, Hector.</t>
  </si>
  <si>
    <t>Clevedon, Avon, England ; Philadelphia : Multilingual Matters, ©1991.</t>
  </si>
  <si>
    <t>Multilingual matters ; 73</t>
  </si>
  <si>
    <t>2015-01-16</t>
  </si>
  <si>
    <t>797124120:eng</t>
  </si>
  <si>
    <t>22493709</t>
  </si>
  <si>
    <t>ocm22493709</t>
  </si>
  <si>
    <t>31011155932</t>
  </si>
  <si>
    <t>9781853591167</t>
  </si>
  <si>
    <t>793145873</t>
  </si>
  <si>
    <t>P51 H67 2008</t>
  </si>
  <si>
    <t>0                      P  0051000H  67          2008</t>
  </si>
  <si>
    <t>Becoming a language teacher : a practical guide to second language learning and teaching / Elaine Kolker Horwitz.</t>
  </si>
  <si>
    <t>Horwitz, Elaine Kolker, 1950-</t>
  </si>
  <si>
    <t>Boston : Pearson/Allyn and Bacon, ©2008.</t>
  </si>
  <si>
    <t>2017-05-08</t>
  </si>
  <si>
    <t>196153641:eng</t>
  </si>
  <si>
    <t>73503497</t>
  </si>
  <si>
    <t>ocm73503497</t>
  </si>
  <si>
    <t>3102652652S</t>
  </si>
  <si>
    <t>9780205430826</t>
  </si>
  <si>
    <t>794171255</t>
  </si>
  <si>
    <t>2015-05-15</t>
  </si>
  <si>
    <t>P51 I33 2011</t>
  </si>
  <si>
    <t>0                      P  0051000I  33          2011</t>
  </si>
  <si>
    <t>Identity formation in globalizing contexts : language learning in the new millennium / edited by Christina Higgins.</t>
  </si>
  <si>
    <t>Language and social processes ; 1</t>
  </si>
  <si>
    <t>1073437622:eng</t>
  </si>
  <si>
    <t>747232701</t>
  </si>
  <si>
    <t>ocn747232701</t>
  </si>
  <si>
    <t>31034075662</t>
  </si>
  <si>
    <t>9783110266382</t>
  </si>
  <si>
    <t>794887897</t>
  </si>
  <si>
    <t>P51 J55 2001</t>
  </si>
  <si>
    <t>0                      P  0051000J  55          2001</t>
  </si>
  <si>
    <t>An introduction to foreign language learning and teaching / Keith Johnson.</t>
  </si>
  <si>
    <t>Johnson, Keith, 1944-</t>
  </si>
  <si>
    <t>Harlow, Essex, London ; New York : Longman, 2001.</t>
  </si>
  <si>
    <t>10792126:eng</t>
  </si>
  <si>
    <t>44014497</t>
  </si>
  <si>
    <t>ocm44014497</t>
  </si>
  <si>
    <t>3102236417N</t>
  </si>
  <si>
    <t>9780582290860</t>
  </si>
  <si>
    <t>793640580</t>
  </si>
  <si>
    <t>P51 K66 1981</t>
  </si>
  <si>
    <t>0                      P  0051000K  66          1981</t>
  </si>
  <si>
    <t>Second language acquisition and second language learning / Stephen Krashen.</t>
  </si>
  <si>
    <t>Krashen, Stephen D.</t>
  </si>
  <si>
    <t>Oxford ; New York : Pergamon Press, 1981.</t>
  </si>
  <si>
    <t>Language teaching methodology series</t>
  </si>
  <si>
    <t>18678143:eng</t>
  </si>
  <si>
    <t>7913241</t>
  </si>
  <si>
    <t>ocm07913241</t>
  </si>
  <si>
    <t>3103601425Z</t>
  </si>
  <si>
    <t>9780080253381</t>
  </si>
  <si>
    <t>792586383</t>
  </si>
  <si>
    <t>P51 K66 1981b</t>
  </si>
  <si>
    <t>0                      P  0051000K  66          1981b</t>
  </si>
  <si>
    <t>2013-05-01</t>
  </si>
  <si>
    <t>3102731033L</t>
  </si>
  <si>
    <t>792586384</t>
  </si>
  <si>
    <t>P51 K883 2006</t>
  </si>
  <si>
    <t>0                      P  0051000K  883         2006</t>
  </si>
  <si>
    <t>Understanding language teaching : from method to postmethod / B. Kumaravadivelu.</t>
  </si>
  <si>
    <t>Kumaravadivelu, B., 1948-</t>
  </si>
  <si>
    <t>Mahwah, N.J. : Lawrence Erlbaum Associates, 2006.</t>
  </si>
  <si>
    <t>ESL &amp; applied linguistics professional series</t>
  </si>
  <si>
    <t>2015-05-19</t>
  </si>
  <si>
    <t>864047077:eng</t>
  </si>
  <si>
    <t>60245678</t>
  </si>
  <si>
    <t>ocm60245678</t>
  </si>
  <si>
    <t>31026321928</t>
  </si>
  <si>
    <t>9780805851762</t>
  </si>
  <si>
    <t>793934554</t>
  </si>
  <si>
    <t>P51 L364 2011</t>
  </si>
  <si>
    <t>0                      P  0051000L  364         2011</t>
  </si>
  <si>
    <t>Languages for specific purposes in theory and practice / edited by Azamat Akbarov.</t>
  </si>
  <si>
    <t>Newcastle upon Tyne, UK : Cambridge Scholars Publishing, 2011.</t>
  </si>
  <si>
    <t>2017-09-08</t>
  </si>
  <si>
    <t>1082314497:eng</t>
  </si>
  <si>
    <t>794621462</t>
  </si>
  <si>
    <t>ocn794621462</t>
  </si>
  <si>
    <t>3103408773R</t>
  </si>
  <si>
    <t>9781443833813</t>
  </si>
  <si>
    <t>794920195</t>
  </si>
  <si>
    <t>P51 L588 2012</t>
  </si>
  <si>
    <t>0                      P  0051000L  588         2012</t>
  </si>
  <si>
    <t>The roles of language in CLIL / Ana Llinares, Tom Morton, Rachel Whittaker.</t>
  </si>
  <si>
    <t>Llinares, Ana, 1968-</t>
  </si>
  <si>
    <t>Cambridge language teaching library</t>
  </si>
  <si>
    <t>2016-08-31</t>
  </si>
  <si>
    <t>5617936648:eng</t>
  </si>
  <si>
    <t>757935804</t>
  </si>
  <si>
    <t>ocn757935804</t>
  </si>
  <si>
    <t>3103423298B</t>
  </si>
  <si>
    <t>9780521150071</t>
  </si>
  <si>
    <t>794895954</t>
  </si>
  <si>
    <t>P51 L5985 2018</t>
  </si>
  <si>
    <t>0                      P  0051000L  5985        2018</t>
  </si>
  <si>
    <t>Language diversity and academic writing / Samantha Looker-Koenigs (University of Wisconsin, Oshkosh).</t>
  </si>
  <si>
    <t>Looker-Koenigs, Samantha, author.</t>
  </si>
  <si>
    <t>Boston : Bedford/St. Martin's, [2018]</t>
  </si>
  <si>
    <t>Bedford Spotlight Reader</t>
  </si>
  <si>
    <t>4480655164:eng</t>
  </si>
  <si>
    <t>1002644221</t>
  </si>
  <si>
    <t>on1002644221</t>
  </si>
  <si>
    <t>3103810133X</t>
  </si>
  <si>
    <t>9781319055097</t>
  </si>
  <si>
    <t>795041172</t>
  </si>
  <si>
    <t>P51 L97 2007</t>
  </si>
  <si>
    <t>0                      P  0051000L  97          2007</t>
  </si>
  <si>
    <t>Learning and teaching languages through content : a counterbalanced approach / Roy Lyster.</t>
  </si>
  <si>
    <t>Lyster, Roy.</t>
  </si>
  <si>
    <t>Language learning and language teaching, 1569-9471 ; v. 18</t>
  </si>
  <si>
    <t>2018-03-11</t>
  </si>
  <si>
    <t>792557649:eng</t>
  </si>
  <si>
    <t>82367835</t>
  </si>
  <si>
    <t>ocm82367835</t>
  </si>
  <si>
    <t>3103033264$</t>
  </si>
  <si>
    <t>9789027219749</t>
  </si>
  <si>
    <t>794205718</t>
  </si>
  <si>
    <t>3102722578$</t>
  </si>
  <si>
    <t>794205719</t>
  </si>
  <si>
    <t>P51 M44 2017</t>
  </si>
  <si>
    <t>0                      P  0051000M  44          2017</t>
  </si>
  <si>
    <t>CLIL essentials for secondary school teachers / Peeter Mehisto with Y.L. Teresa Ting.</t>
  </si>
  <si>
    <t>Cambridge, United Kingdom : Cambridge University Press, 2017.</t>
  </si>
  <si>
    <t>The Cambridge teacher series</t>
  </si>
  <si>
    <t>4798271782:eng</t>
  </si>
  <si>
    <t>1027221324</t>
  </si>
  <si>
    <t>on1027221324</t>
  </si>
  <si>
    <t>3103798702D</t>
  </si>
  <si>
    <t>9781108400848</t>
  </si>
  <si>
    <t>795052618</t>
  </si>
  <si>
    <t>P51 N5 1957</t>
  </si>
  <si>
    <t>0                      P  0051000N  5           1957</t>
  </si>
  <si>
    <t>Learning a foreign language : a handbook prepared especially for missionaries / by Eugene A. Nida.</t>
  </si>
  <si>
    <t>Nida, Eugene A. (Eugene Albert), 1914-2011, author.</t>
  </si>
  <si>
    <t>New York : Published by Friendship Press for Committee on Missionary Personnel, Division of Overseas Ministries, National Council of the Churches of Christ in the U.S.A., [1957]</t>
  </si>
  <si>
    <t>Revised edition.</t>
  </si>
  <si>
    <t>2015-12-04</t>
  </si>
  <si>
    <t>14546190:eng</t>
  </si>
  <si>
    <t>4915043</t>
  </si>
  <si>
    <t>ocm04915043</t>
  </si>
  <si>
    <t>3000999651J</t>
  </si>
  <si>
    <t>9780377290419</t>
  </si>
  <si>
    <t>792393300</t>
  </si>
  <si>
    <t>3102731014P</t>
  </si>
  <si>
    <t>792393301</t>
  </si>
  <si>
    <t>P51 N65 2010</t>
  </si>
  <si>
    <t>0                      P  0051000N  65          2010</t>
  </si>
  <si>
    <t>Norms in educational linguistics = Normen in educational linguistics : linguistics, didactic and cultural perspectives = Sprachwissenschaftliche, Didaktische Und Kulturwissenschaftliche Perspektiven / edited by Stefanie Dose [and others].</t>
  </si>
  <si>
    <t>Frankfurt am Main ; New York : Peter Lang, ©2010.</t>
  </si>
  <si>
    <t>LaCuLi: Language culture literacy ; 3</t>
  </si>
  <si>
    <t>2017-03-28</t>
  </si>
  <si>
    <t>656983605:eng</t>
  </si>
  <si>
    <t>664669026</t>
  </si>
  <si>
    <t>ocn664669026</t>
  </si>
  <si>
    <t>3103229840S</t>
  </si>
  <si>
    <t>9783631590140</t>
  </si>
  <si>
    <t>794844211</t>
  </si>
  <si>
    <t>P51 N85 1995</t>
  </si>
  <si>
    <t>0                      P  0051000N  85          1995</t>
  </si>
  <si>
    <t>Language teaching methodology : a textbook for teachers / David Nunan.</t>
  </si>
  <si>
    <t>Nunan, David.</t>
  </si>
  <si>
    <t>New York : Prentice Hall, 1991.</t>
  </si>
  <si>
    <t>2018-02-27</t>
  </si>
  <si>
    <t>11251397:eng</t>
  </si>
  <si>
    <t>22512328</t>
  </si>
  <si>
    <t>ocm22512328</t>
  </si>
  <si>
    <t>31033991722</t>
  </si>
  <si>
    <t>9780135214695</t>
  </si>
  <si>
    <t>793146825</t>
  </si>
  <si>
    <t>P51 O94 1990</t>
  </si>
  <si>
    <t>0                      P  0051000O  94          1990</t>
  </si>
  <si>
    <t>Language learning strategies : what every teacher should know / Rebecca L. Oxford.</t>
  </si>
  <si>
    <t>Oxford, Rebecca L.</t>
  </si>
  <si>
    <t>New York : Newbury House Publisher, ©1990.</t>
  </si>
  <si>
    <t>2018-11-12</t>
  </si>
  <si>
    <t>22159481:eng</t>
  </si>
  <si>
    <t>20265559</t>
  </si>
  <si>
    <t>ocm20265559</t>
  </si>
  <si>
    <t>3101176899B</t>
  </si>
  <si>
    <t>9780066326078</t>
  </si>
  <si>
    <t>793082566</t>
  </si>
  <si>
    <t>P51 P68 2007</t>
  </si>
  <si>
    <t>0                      P  0051000P  68          2007</t>
  </si>
  <si>
    <t>Practice in a second language : perspectives from applied linguistics and cognitive psychology / edited by Robert M. DeKeyser.</t>
  </si>
  <si>
    <t>2014-07-08</t>
  </si>
  <si>
    <t>891811262:eng</t>
  </si>
  <si>
    <t>71329983</t>
  </si>
  <si>
    <t>ocm71329983</t>
  </si>
  <si>
    <t>3102596112L</t>
  </si>
  <si>
    <t>9780521865296</t>
  </si>
  <si>
    <t>794165575</t>
  </si>
  <si>
    <t>3102693211O</t>
  </si>
  <si>
    <t>794165574</t>
  </si>
  <si>
    <t>P51 R45 1990</t>
  </si>
  <si>
    <t>0                      P  0051000R  45          1990</t>
  </si>
  <si>
    <t>Research in the language classroom : 1989 / editors Christopher Brumfit, Rosamond Mitchell.</t>
  </si>
  <si>
    <t>London : Modern English in association with the British Council, ©1990.</t>
  </si>
  <si>
    <t>ELT documents ; 133</t>
  </si>
  <si>
    <t>572505480:eng</t>
  </si>
  <si>
    <t>22242171</t>
  </si>
  <si>
    <t>ocm22242171</t>
  </si>
  <si>
    <t>3101188913R</t>
  </si>
  <si>
    <t>9780333512166</t>
  </si>
  <si>
    <t>793138262</t>
  </si>
  <si>
    <t>P51 R45 2001</t>
  </si>
  <si>
    <t>0                      P  0051000R  45          2001</t>
  </si>
  <si>
    <t>Researching pedagogic tasks : second language learning, teaching, and testing / edited by Martin Bygate, Peter Skehan, Merrill Swain.</t>
  </si>
  <si>
    <t>Applied linguistics and language study</t>
  </si>
  <si>
    <t>2016-11-24</t>
  </si>
  <si>
    <t>836978543:eng</t>
  </si>
  <si>
    <t>44650837</t>
  </si>
  <si>
    <t>ocm44650837</t>
  </si>
  <si>
    <t>31021099559</t>
  </si>
  <si>
    <t>9780582414822</t>
  </si>
  <si>
    <t>793655065</t>
  </si>
  <si>
    <t>P51 R467 2001</t>
  </si>
  <si>
    <t>0                      P  0051000R  467         2001</t>
  </si>
  <si>
    <t>Approaches and methods in language teaching / Jack C. Richards and Theodore S. Rodgers.</t>
  </si>
  <si>
    <t>Richards, Jack C., 1943-</t>
  </si>
  <si>
    <t>Cambridge ; New York : Cambridge University Press, 2001.</t>
  </si>
  <si>
    <t>2016-12-05</t>
  </si>
  <si>
    <t>5534267931:eng</t>
  </si>
  <si>
    <t>45093754</t>
  </si>
  <si>
    <t>ocm45093754</t>
  </si>
  <si>
    <t>31022567222</t>
  </si>
  <si>
    <t>9780521803656</t>
  </si>
  <si>
    <t>793664396</t>
  </si>
  <si>
    <t>3103284476O</t>
  </si>
  <si>
    <t>793664395</t>
  </si>
  <si>
    <t>P51 R485 1994</t>
  </si>
  <si>
    <t>0                      P  0051000R  485         1994</t>
  </si>
  <si>
    <t>Reflective teaching in second language classrooms / Jack C. Richards, Charles Lockhart.</t>
  </si>
  <si>
    <t>Cambridge [England] ; New York, NY, USA : Cambridge University Press, 1994.</t>
  </si>
  <si>
    <t>Cambridge language education</t>
  </si>
  <si>
    <t>2017-03-24</t>
  </si>
  <si>
    <t>343417:eng</t>
  </si>
  <si>
    <t>28063600</t>
  </si>
  <si>
    <t>ocm28063600</t>
  </si>
  <si>
    <t>3101316890E</t>
  </si>
  <si>
    <t>9780521451819</t>
  </si>
  <si>
    <t>793278876</t>
  </si>
  <si>
    <t>2015-12-19</t>
  </si>
  <si>
    <t>3103284481M</t>
  </si>
  <si>
    <t>793278877</t>
  </si>
  <si>
    <t>P51 R5 1983</t>
  </si>
  <si>
    <t>0                      P  0051000R  5           1983</t>
  </si>
  <si>
    <t>Communicating naturally in a second language : theory and practice in language teaching / Wilga M. Rivers.</t>
  </si>
  <si>
    <t>Rivers, Wilga M.</t>
  </si>
  <si>
    <t>Cambridge [Cambridgeshire] ; New York : Cambridge University Press, ©1983.</t>
  </si>
  <si>
    <t>2018-12-10</t>
  </si>
  <si>
    <t>43521153:eng</t>
  </si>
  <si>
    <t>9131762</t>
  </si>
  <si>
    <t>ocm09131762</t>
  </si>
  <si>
    <t>3000344117P</t>
  </si>
  <si>
    <t>9780521254014</t>
  </si>
  <si>
    <t>792658768</t>
  </si>
  <si>
    <t>3103601523Z</t>
  </si>
  <si>
    <t>792658767</t>
  </si>
  <si>
    <t>P51 R66 2013</t>
  </si>
  <si>
    <t>0                      P  0051000R  66          2013</t>
  </si>
  <si>
    <t>Routledge encyclopedia of language teaching and learning / edited by Michael Byram and Adelheid Hu.</t>
  </si>
  <si>
    <t>Abingdon, Oxon ; New York : Routledge, ©2013.</t>
  </si>
  <si>
    <t>864096518:eng</t>
  </si>
  <si>
    <t>754734478</t>
  </si>
  <si>
    <t>ocn754734478</t>
  </si>
  <si>
    <t>3103453829T</t>
  </si>
  <si>
    <t>9780415593762</t>
  </si>
  <si>
    <t>794893135</t>
  </si>
  <si>
    <t>P51 S32 1981</t>
  </si>
  <si>
    <t>0                      P  0051000S  32          1981</t>
  </si>
  <si>
    <t>The Second language classroom : directions for the 1980's : essays in honor of Mary Finocchiaro / editors, James E. Alatis, Howard B. Altman, Penelope M. Alatis.</t>
  </si>
  <si>
    <t>New York : Oxford University Press, 1981.</t>
  </si>
  <si>
    <t>2019-09-18</t>
  </si>
  <si>
    <t>895540224:eng</t>
  </si>
  <si>
    <t>6982085</t>
  </si>
  <si>
    <t>ocm06982085</t>
  </si>
  <si>
    <t>3000995492X</t>
  </si>
  <si>
    <t>9780195029284</t>
  </si>
  <si>
    <t>792533785</t>
  </si>
  <si>
    <t>P51 S42 2006</t>
  </si>
  <si>
    <t>0                      P  0051000S  42          2006</t>
  </si>
  <si>
    <t>The experience of language teaching / Rose M. Senior.</t>
  </si>
  <si>
    <t>Senior, Rose M.</t>
  </si>
  <si>
    <t>46714955:eng</t>
  </si>
  <si>
    <t>62341526</t>
  </si>
  <si>
    <t>ocm62341526</t>
  </si>
  <si>
    <t>3102585977V</t>
  </si>
  <si>
    <t>9780521847605</t>
  </si>
  <si>
    <t>794105392</t>
  </si>
  <si>
    <t>P51 S53</t>
  </si>
  <si>
    <t>0                      P  0051000S  53</t>
  </si>
  <si>
    <t>Second language development : trends and issues / Sascha W. Felix (ed.).</t>
  </si>
  <si>
    <t>Tübingen : Narr, 1980.</t>
  </si>
  <si>
    <t>Tübinger Beiträge zur Linguistik ; 125</t>
  </si>
  <si>
    <t>2017-08-05</t>
  </si>
  <si>
    <t>889367172:eng</t>
  </si>
  <si>
    <t>6203100</t>
  </si>
  <si>
    <t>ocm06203100</t>
  </si>
  <si>
    <t>3102731036L</t>
  </si>
  <si>
    <t>9783878081258</t>
  </si>
  <si>
    <t>792482962</t>
  </si>
  <si>
    <t>3102731031L</t>
  </si>
  <si>
    <t>792482963</t>
  </si>
  <si>
    <t>P51 S545 2008</t>
  </si>
  <si>
    <t>0                      P  0051000S  545         2008</t>
  </si>
  <si>
    <t>Sociocultural theory and the teaching of second languages / edited by James P. Lantolf and Matthew E. Poehner.</t>
  </si>
  <si>
    <t>London ; Oakville, CT : Equinox Pub., 2008.</t>
  </si>
  <si>
    <t>Studies in applied linguistics</t>
  </si>
  <si>
    <t>351873402:eng</t>
  </si>
  <si>
    <t>173182468</t>
  </si>
  <si>
    <t>ocn173182468</t>
  </si>
  <si>
    <t>31032320303</t>
  </si>
  <si>
    <t>9781845532499</t>
  </si>
  <si>
    <t>794265344</t>
  </si>
  <si>
    <t>P51 S55 1989</t>
  </si>
  <si>
    <t>0                      P  0051000S  55          1989</t>
  </si>
  <si>
    <t>Second language research methods / Herbert W. Seliger, Elana Shohamy.</t>
  </si>
  <si>
    <t>Seliger, Herbert W., 1937-</t>
  </si>
  <si>
    <t>Oxford : Oxford University Press, 1989.</t>
  </si>
  <si>
    <t>28629255:eng</t>
  </si>
  <si>
    <t>26304724</t>
  </si>
  <si>
    <t>ocm26304724</t>
  </si>
  <si>
    <t>3100218691P</t>
  </si>
  <si>
    <t>9780194370097</t>
  </si>
  <si>
    <t>793242097</t>
  </si>
  <si>
    <t>2015-09-08</t>
  </si>
  <si>
    <t>3102610096T</t>
  </si>
  <si>
    <t>793242098</t>
  </si>
  <si>
    <t>P51 S58 2000</t>
  </si>
  <si>
    <t>0                      P  0051000S  58          2000</t>
  </si>
  <si>
    <t>Teacher's handbook : contextualized language instruction / Judith L. Shrum, Eileen W. Glisan.</t>
  </si>
  <si>
    <t>Shrum, Judith L.</t>
  </si>
  <si>
    <t>Australia ; [Boston, Mass.] : Heinle &amp; Heinle, ©2000.</t>
  </si>
  <si>
    <t>2nd ed., rev. expanded ed.</t>
  </si>
  <si>
    <t>18989354:eng</t>
  </si>
  <si>
    <t>45116919</t>
  </si>
  <si>
    <t>ocm45116919</t>
  </si>
  <si>
    <t>3103399193Z</t>
  </si>
  <si>
    <t>9780838414651</t>
  </si>
  <si>
    <t>793664891</t>
  </si>
  <si>
    <t>P51 S75 1983</t>
  </si>
  <si>
    <t>0                      P  0051000S  75          1983</t>
  </si>
  <si>
    <t>Fundamental concepts of language teaching / H.H. Stern.</t>
  </si>
  <si>
    <t>Stern, H. H. (Hans Heinrich)</t>
  </si>
  <si>
    <t>Oxford ; New York : Oxford University Press, 1983.</t>
  </si>
  <si>
    <t>2015-05-07</t>
  </si>
  <si>
    <t>4916520009:eng</t>
  </si>
  <si>
    <t>9816171</t>
  </si>
  <si>
    <t>ocm09816171</t>
  </si>
  <si>
    <t>3000970497N</t>
  </si>
  <si>
    <t>9780194370653</t>
  </si>
  <si>
    <t>792694788</t>
  </si>
  <si>
    <t>P51 S76 1992</t>
  </si>
  <si>
    <t>0                      P  0051000S  76          1992</t>
  </si>
  <si>
    <t>Issues and options in language teaching / H.H. Stern ; edited by Patrick Allen and Birgit Harley.</t>
  </si>
  <si>
    <t>Stern, H. H. (Hans Heinrich), author.</t>
  </si>
  <si>
    <t>Oxford : Oxford University Press, 1992.</t>
  </si>
  <si>
    <t>Oxford applied linguistics.</t>
  </si>
  <si>
    <t>2016-06-21</t>
  </si>
  <si>
    <t>26213308:eng</t>
  </si>
  <si>
    <t>877707599</t>
  </si>
  <si>
    <t>ocn877707599</t>
  </si>
  <si>
    <t>3103678644K</t>
  </si>
  <si>
    <t>9780194370660</t>
  </si>
  <si>
    <t>794970995</t>
  </si>
  <si>
    <t>P51 T373 2011</t>
  </si>
  <si>
    <t>0                      P  0051000T  373         2011</t>
  </si>
  <si>
    <t>Teaching linguistics : reflections on practice / edited by Koenraad Kuiper.</t>
  </si>
  <si>
    <t>London ; Oakville, CT : Equinox Pub., 2011.</t>
  </si>
  <si>
    <t>481045902:eng</t>
  </si>
  <si>
    <t>614990575</t>
  </si>
  <si>
    <t>ocn614990575</t>
  </si>
  <si>
    <t>3103341287H</t>
  </si>
  <si>
    <t>9781845536862</t>
  </si>
  <si>
    <t>794822689</t>
  </si>
  <si>
    <t>P51 T78 2003</t>
  </si>
  <si>
    <t>0                      P  0051000T  78          2003</t>
  </si>
  <si>
    <t>Understanding expertise in teaching : case studies of second language teachers / Amy B.M. Tsui.</t>
  </si>
  <si>
    <t>Tsui, Amy.</t>
  </si>
  <si>
    <t>Cambridge ; New York : Cambridge University Press, 2003.</t>
  </si>
  <si>
    <t>Cambridge applied linguistics</t>
  </si>
  <si>
    <t>233407587:eng</t>
  </si>
  <si>
    <t>49576349</t>
  </si>
  <si>
    <t>ocm49576349</t>
  </si>
  <si>
    <t>3102278688C</t>
  </si>
  <si>
    <t>9780521632072</t>
  </si>
  <si>
    <t>793743307</t>
  </si>
  <si>
    <t>P51 U54</t>
  </si>
  <si>
    <t>0                      P  0051000U  54</t>
  </si>
  <si>
    <t>Understanding second &amp; foreign language learning : issues &amp; approaches / Jack C. Richards, editor.</t>
  </si>
  <si>
    <t>Rowley, Mass. : Newbury House Publishers, ©1978.</t>
  </si>
  <si>
    <t>2013-03-27</t>
  </si>
  <si>
    <t>2015-06-10</t>
  </si>
  <si>
    <t>890654506:eng</t>
  </si>
  <si>
    <t>4503230</t>
  </si>
  <si>
    <t>ocm04503230</t>
  </si>
  <si>
    <t>3102731021N</t>
  </si>
  <si>
    <t>9780883771242</t>
  </si>
  <si>
    <t>792356798</t>
  </si>
  <si>
    <t>30009694178</t>
  </si>
  <si>
    <t>792356799</t>
  </si>
  <si>
    <t>P51 U7 1995</t>
  </si>
  <si>
    <t>0                      P  0051000U  7           1995</t>
  </si>
  <si>
    <t>A course in language teaching : practice and theory / Penny Ur.</t>
  </si>
  <si>
    <t>Ur, Penny.</t>
  </si>
  <si>
    <t>Cambridge [England] ; New York : Cambridge University Press, 1996.</t>
  </si>
  <si>
    <t>Cambridge teacher training and development</t>
  </si>
  <si>
    <t>2018-09-18</t>
  </si>
  <si>
    <t>14296099:eng</t>
  </si>
  <si>
    <t>31045991</t>
  </si>
  <si>
    <t>ocm31045991</t>
  </si>
  <si>
    <t>3103032981F</t>
  </si>
  <si>
    <t>9780521449946</t>
  </si>
  <si>
    <t>793352297</t>
  </si>
  <si>
    <t>P51 U7 2012</t>
  </si>
  <si>
    <t>0                      P  0051000U  7           2012</t>
  </si>
  <si>
    <t>A course in English language teaching / Penny Ur.</t>
  </si>
  <si>
    <t>Ur, Penny, author.</t>
  </si>
  <si>
    <t>Cambridge ; New York : Cambridge University Press, [2012]</t>
  </si>
  <si>
    <t>3771158389:eng</t>
  </si>
  <si>
    <t>772971680</t>
  </si>
  <si>
    <t>ocn772971680</t>
  </si>
  <si>
    <t>3103423290B</t>
  </si>
  <si>
    <t>9781107684676</t>
  </si>
  <si>
    <t>794905062</t>
  </si>
  <si>
    <t>P51 V375 2012</t>
  </si>
  <si>
    <t>0                      P  0051000V  375         2012</t>
  </si>
  <si>
    <t>Variability and stability in foreign and second language learning contexts. Volume 1 / editors, Ewa Piechurska-Kuciel and Liliana Piasecka.</t>
  </si>
  <si>
    <t>Newcastle : Cambridge Scholars, 2012.</t>
  </si>
  <si>
    <t>3374327430:eng</t>
  </si>
  <si>
    <t>774639688</t>
  </si>
  <si>
    <t>ocn774639688</t>
  </si>
  <si>
    <t>3103406237L</t>
  </si>
  <si>
    <t>9781443835794</t>
  </si>
  <si>
    <t>794906732</t>
  </si>
  <si>
    <t>3103406234L</t>
  </si>
  <si>
    <t>794906731</t>
  </si>
  <si>
    <t>P51 W65 2011</t>
  </si>
  <si>
    <t>0                      P  0051000W  65          2011</t>
  </si>
  <si>
    <t>Language teaching : linguistic theory in practice / Melinda Whong.</t>
  </si>
  <si>
    <t>Whong, Melinda.</t>
  </si>
  <si>
    <t>Edinburgh : Edinburgh University Press, ©2011.</t>
  </si>
  <si>
    <t>796129234:eng</t>
  </si>
  <si>
    <t>711945724</t>
  </si>
  <si>
    <t>ocn711945724</t>
  </si>
  <si>
    <t>3103233213Y</t>
  </si>
  <si>
    <t>9780748636358</t>
  </si>
  <si>
    <t>794871414</t>
  </si>
  <si>
    <t>P51 W7 1987</t>
  </si>
  <si>
    <t>0                      P  0051000W  7           1987</t>
  </si>
  <si>
    <t>Roles of teachers and learners / Tony Wright.</t>
  </si>
  <si>
    <t>Wright, Tony, 1948 February 18-</t>
  </si>
  <si>
    <t>Oxford ; New York : Oxford University Press, 1987.</t>
  </si>
  <si>
    <t>Language teaching, a scheme for teacher education</t>
  </si>
  <si>
    <t>114737298:eng</t>
  </si>
  <si>
    <t>16518916</t>
  </si>
  <si>
    <t>ocm16518916</t>
  </si>
  <si>
    <t>30010008842</t>
  </si>
  <si>
    <t>9780194371339</t>
  </si>
  <si>
    <t>792964494</t>
  </si>
  <si>
    <t>P53.2963 D47 2015</t>
  </si>
  <si>
    <t>0                      P  0053000                                                           .2963 D47 2015</t>
  </si>
  <si>
    <t>Pronunciation fundamentals : evidence-based perspectives for L2 teaching and research / Tracey M. Derwing, University of Alberta ; Murray J. Munro, Simon Fraser University.</t>
  </si>
  <si>
    <t>Derwing, Tracey M., author.</t>
  </si>
  <si>
    <t>Amsterdam ; Philadelphia : John Benjamins Publishing Company, [2015]</t>
  </si>
  <si>
    <t>Language Learning &amp; Language Teaching ; volume 42</t>
  </si>
  <si>
    <t>2018-01-25</t>
  </si>
  <si>
    <t>2454160467:eng</t>
  </si>
  <si>
    <t>904542181</t>
  </si>
  <si>
    <t>ocn904542181</t>
  </si>
  <si>
    <t>3103607737N</t>
  </si>
  <si>
    <t>9789027213266</t>
  </si>
  <si>
    <t>794990586</t>
  </si>
  <si>
    <t>P53.2967 D57 2005</t>
  </si>
  <si>
    <t>0                      P  0053000                                                           .2967 D57 2005</t>
  </si>
  <si>
    <t>Distance education and languages : evolution and change / edited by B"rje Holmberg, Monica Shelley, and Cynthia White.</t>
  </si>
  <si>
    <t>Buffalo : Multilingual Matters, ©2005.</t>
  </si>
  <si>
    <t>793971323:eng</t>
  </si>
  <si>
    <t>56012134</t>
  </si>
  <si>
    <t>ocm56012134</t>
  </si>
  <si>
    <t>31025561370</t>
  </si>
  <si>
    <t>9781853597763</t>
  </si>
  <si>
    <t>793885869</t>
  </si>
  <si>
    <t>P53.4115 D38 2013</t>
  </si>
  <si>
    <t>0                      P  0053000                                                           .4115 D38 2013</t>
  </si>
  <si>
    <t>Native speakers and native users : loss and gain / Alan Davies.</t>
  </si>
  <si>
    <t>Davies, Alan, 1931 February 17-</t>
  </si>
  <si>
    <t>1209963360:eng</t>
  </si>
  <si>
    <t>828626791</t>
  </si>
  <si>
    <t>ocn828626791</t>
  </si>
  <si>
    <t>3103501362Q</t>
  </si>
  <si>
    <t>9780521119276</t>
  </si>
  <si>
    <t>794941410</t>
  </si>
  <si>
    <t>P53.4115 P47 2000</t>
  </si>
  <si>
    <t>0                      P  0053000                                                           .4115 P47 2000</t>
  </si>
  <si>
    <t>Perspectives on fluency / edited by Heidi Riggenbach.</t>
  </si>
  <si>
    <t>Ann Arbor : University of Michigan Press, ©2000.</t>
  </si>
  <si>
    <t>27793094:eng</t>
  </si>
  <si>
    <t>43115101</t>
  </si>
  <si>
    <t>ocm43115101</t>
  </si>
  <si>
    <t>3102877932I</t>
  </si>
  <si>
    <t>9780472110285</t>
  </si>
  <si>
    <t>793620508</t>
  </si>
  <si>
    <t>P53.41155 J33 2008</t>
  </si>
  <si>
    <t>0                      P  0053000                                                           .41155 J33 2008</t>
  </si>
  <si>
    <t>Language, identity, and study abroad : sociocultural perspectives / Jane Jackson.</t>
  </si>
  <si>
    <t>Jackson, Jane, 1954-</t>
  </si>
  <si>
    <t>London ; Oakville : Equinox Pub., 2008.</t>
  </si>
  <si>
    <t>2015-10-06</t>
  </si>
  <si>
    <t>196805116:eng</t>
  </si>
  <si>
    <t>165082622</t>
  </si>
  <si>
    <t>ocn165082622</t>
  </si>
  <si>
    <t>3103286164R</t>
  </si>
  <si>
    <t>9781845531416</t>
  </si>
  <si>
    <t>794259132</t>
  </si>
  <si>
    <t>P53.4117 G47 2008</t>
  </si>
  <si>
    <t>0                      P  0053000                                                           .4117 G47 2008</t>
  </si>
  <si>
    <t>Gesture : second language acquisition and classroom research / edited by Steven G. McCafferty and Gale Stam.</t>
  </si>
  <si>
    <t>New York : Routledge, 2008.</t>
  </si>
  <si>
    <t>2015-09-30</t>
  </si>
  <si>
    <t>802034381:eng</t>
  </si>
  <si>
    <t>162501924</t>
  </si>
  <si>
    <t>ocn162501924</t>
  </si>
  <si>
    <t>3103322432R</t>
  </si>
  <si>
    <t>9780805860528</t>
  </si>
  <si>
    <t>794257390</t>
  </si>
  <si>
    <t>P53.4117 I58 2011</t>
  </si>
  <si>
    <t>0                      P  0053000                                                           .4117 I58 2011</t>
  </si>
  <si>
    <t>Integrating gestures : the interdisciplinary nature of gesture / edited by Gale Stam, Mika Ishino.</t>
  </si>
  <si>
    <t>Amsterdam ; Philadelphia : John Benjamins Pub., ©2011.</t>
  </si>
  <si>
    <t>Gesture studies, 1874-6829 ; v. 4</t>
  </si>
  <si>
    <t>1004985289:eng</t>
  </si>
  <si>
    <t>690090377</t>
  </si>
  <si>
    <t>ocn690090377</t>
  </si>
  <si>
    <t>31033631528</t>
  </si>
  <si>
    <t>9789027228451</t>
  </si>
  <si>
    <t>794855322</t>
  </si>
  <si>
    <t>P53 A475 1991</t>
  </si>
  <si>
    <t>0                      P  0053000A  475         1991</t>
  </si>
  <si>
    <t>Focus on the language classroom : an introduction to classroom research for language teachers / Dick Allwright, Kathleen M. Bailey.</t>
  </si>
  <si>
    <t>Allwright, Dick.</t>
  </si>
  <si>
    <t>New directions in language teaching</t>
  </si>
  <si>
    <t>808110277:eng</t>
  </si>
  <si>
    <t>23015567</t>
  </si>
  <si>
    <t>ocm23015567</t>
  </si>
  <si>
    <t>31011492300</t>
  </si>
  <si>
    <t>9780521269094</t>
  </si>
  <si>
    <t>793159416</t>
  </si>
  <si>
    <t>P53 A48 1988</t>
  </si>
  <si>
    <t>0                      P  0053000A  48          1988</t>
  </si>
  <si>
    <t>Observation in the language classroom / Dick Allwright.</t>
  </si>
  <si>
    <t>London ; New York : Longman, 1988.</t>
  </si>
  <si>
    <t>8403706:eng</t>
  </si>
  <si>
    <t>15109348</t>
  </si>
  <si>
    <t>ocm15109348</t>
  </si>
  <si>
    <t>3000995717Z</t>
  </si>
  <si>
    <t>9780582553767</t>
  </si>
  <si>
    <t>792920618</t>
  </si>
  <si>
    <t>P53 B454 1990</t>
  </si>
  <si>
    <t>0                      P  0053000B  454         1990</t>
  </si>
  <si>
    <t>Contexts of competence : social and cultural considerations in communicative language teaching / Margie Berns.</t>
  </si>
  <si>
    <t>Berns, Margie S.</t>
  </si>
  <si>
    <t>New York : Plenum Press, ©1990.</t>
  </si>
  <si>
    <t>Topics in language and linguistics</t>
  </si>
  <si>
    <t>836722236:eng</t>
  </si>
  <si>
    <t>22113822</t>
  </si>
  <si>
    <t>ocm22113822</t>
  </si>
  <si>
    <t>31011424860</t>
  </si>
  <si>
    <t>9780306434693</t>
  </si>
  <si>
    <t>793134390</t>
  </si>
  <si>
    <t>3102731057H</t>
  </si>
  <si>
    <t>793134389</t>
  </si>
  <si>
    <t>P53 B53 2011</t>
  </si>
  <si>
    <t>0                      P  0053000B  53          2011</t>
  </si>
  <si>
    <t>Memory activities for language learning / Nick Bilbrough.</t>
  </si>
  <si>
    <t>(text+CD-ROM)</t>
  </si>
  <si>
    <t>Bilbrough, Nick.</t>
  </si>
  <si>
    <t>2013-12-16</t>
  </si>
  <si>
    <t>762048199:eng</t>
  </si>
  <si>
    <t>688559509</t>
  </si>
  <si>
    <t>ocn688559509</t>
  </si>
  <si>
    <t>3103234305T</t>
  </si>
  <si>
    <t>9780521132411</t>
  </si>
  <si>
    <t>794854464</t>
  </si>
  <si>
    <t>P53 B755 2004</t>
  </si>
  <si>
    <t>0                      P  0053000B  755         2004</t>
  </si>
  <si>
    <t>Content-based second language instruction / Donna M. Brinton, Marguerite Ann Snow, Marjorie Bingham Wesche.</t>
  </si>
  <si>
    <t>Brinton, Donna.</t>
  </si>
  <si>
    <t>Ann Arbor : University of Michigan Press, 2004.</t>
  </si>
  <si>
    <t>Michigan classics ed.</t>
  </si>
  <si>
    <t>2015-12-17</t>
  </si>
  <si>
    <t>10350107:eng</t>
  </si>
  <si>
    <t>214992881</t>
  </si>
  <si>
    <t>ocn214992881</t>
  </si>
  <si>
    <t>3103474498D</t>
  </si>
  <si>
    <t>RECALLED</t>
  </si>
  <si>
    <t>9780472089178</t>
  </si>
  <si>
    <t>794314637</t>
  </si>
  <si>
    <t>P53 B79</t>
  </si>
  <si>
    <t>0                      P  0053000B  79</t>
  </si>
  <si>
    <t>The communicative approach to language teaching / C.J. Brumfit and K. Johnson.</t>
  </si>
  <si>
    <t>Brumfit, Christopher.</t>
  </si>
  <si>
    <t>Oxford : Oxford University Press, 1979.</t>
  </si>
  <si>
    <t>5616974033:eng</t>
  </si>
  <si>
    <t>6943687</t>
  </si>
  <si>
    <t>ocm06943687</t>
  </si>
  <si>
    <t>30009684555</t>
  </si>
  <si>
    <t>9780194370783</t>
  </si>
  <si>
    <t>792531768</t>
  </si>
  <si>
    <t>P53 B793 1984</t>
  </si>
  <si>
    <t>0                      P  0053000B  793         1984</t>
  </si>
  <si>
    <t>Communicative methodology in language teaching : the roles of fluency and accuracy / Christopher Brumfit.</t>
  </si>
  <si>
    <t>Cambridge ; New York : Cambridge University Press, 1984.</t>
  </si>
  <si>
    <t>795321782:eng</t>
  </si>
  <si>
    <t>10277513</t>
  </si>
  <si>
    <t>ocm10277513</t>
  </si>
  <si>
    <t>3103679294G</t>
  </si>
  <si>
    <t>9780521264235</t>
  </si>
  <si>
    <t>792717882</t>
  </si>
  <si>
    <t>P53 B87 1984</t>
  </si>
  <si>
    <t>0                      P  0053000B  87          1984</t>
  </si>
  <si>
    <t>Learning a field language / Robbins Burling.</t>
  </si>
  <si>
    <t>Burling, Robbins.</t>
  </si>
  <si>
    <t>Ann Arbor : University of Michigan Press, ©1984.</t>
  </si>
  <si>
    <t>56516:eng</t>
  </si>
  <si>
    <t>10825132</t>
  </si>
  <si>
    <t>ocm10825132</t>
  </si>
  <si>
    <t>3102731052H</t>
  </si>
  <si>
    <t>9780472080533</t>
  </si>
  <si>
    <t>792745449</t>
  </si>
  <si>
    <t>P53 C43 1988</t>
  </si>
  <si>
    <t>0                      P  0053000C  43          1988</t>
  </si>
  <si>
    <t>Second language classrooms : research on teaching and learning / Craig Chaudron.</t>
  </si>
  <si>
    <t>Chaudron, Craig, 1946-</t>
  </si>
  <si>
    <t>Cambridge [Cambridgeshire] ; New York : Cambridge University Press, 1988.</t>
  </si>
  <si>
    <t>2015-05-12</t>
  </si>
  <si>
    <t>14194687:eng</t>
  </si>
  <si>
    <t>15629215</t>
  </si>
  <si>
    <t>ocm15629215</t>
  </si>
  <si>
    <t>31019048128</t>
  </si>
  <si>
    <t>9780521327756</t>
  </si>
  <si>
    <t>792937408</t>
  </si>
  <si>
    <t>P53 C594 1997</t>
  </si>
  <si>
    <t>0                      P  0053000C  594         1997</t>
  </si>
  <si>
    <t>Content-based instruction in foreign language education : models and methods / Stephen B. Stryker and Betty Lou Leaver, editors.</t>
  </si>
  <si>
    <t>Washington, D.C. : Georgetown University Press, ©1997.</t>
  </si>
  <si>
    <t>799428735:eng</t>
  </si>
  <si>
    <t>36485812</t>
  </si>
  <si>
    <t>ocm36485812</t>
  </si>
  <si>
    <t>3103400493R</t>
  </si>
  <si>
    <t>9780878406593</t>
  </si>
  <si>
    <t>793476433</t>
  </si>
  <si>
    <t>P53 C7 2004</t>
  </si>
  <si>
    <t>0                      P  0053000C  7           2004</t>
  </si>
  <si>
    <t>Critical pedagogies and language learning / edited by Bonny Norton, Kelleen Toohey.</t>
  </si>
  <si>
    <t>140768964:eng</t>
  </si>
  <si>
    <t>52109644</t>
  </si>
  <si>
    <t>ocm52109644</t>
  </si>
  <si>
    <t>3103398870M</t>
  </si>
  <si>
    <t>9780521828024</t>
  </si>
  <si>
    <t>793798650</t>
  </si>
  <si>
    <t>P53 C74 1986</t>
  </si>
  <si>
    <t>0                      P  0053000C  74          1986</t>
  </si>
  <si>
    <t>Crosslinguistic influence in second language acquisition / edited by Eric Kellerman and Michael Sharwood Smith.</t>
  </si>
  <si>
    <t>New York : Pergamon Institute of English, 1986.</t>
  </si>
  <si>
    <t>2017-12-06</t>
  </si>
  <si>
    <t>353484944:eng</t>
  </si>
  <si>
    <t>12370222</t>
  </si>
  <si>
    <t>ocm12370222</t>
  </si>
  <si>
    <t>3101951539M</t>
  </si>
  <si>
    <t>9780080303253</t>
  </si>
  <si>
    <t>792812355</t>
  </si>
  <si>
    <t>P53 C76 1986</t>
  </si>
  <si>
    <t>0                      P  0053000C  76          1986</t>
  </si>
  <si>
    <t>Culture bound : bridging the cultural gap in language teaching / edited by Joyce Merrill Valdes.</t>
  </si>
  <si>
    <t>2017-10-31</t>
  </si>
  <si>
    <t>807375376:eng</t>
  </si>
  <si>
    <t>12970326</t>
  </si>
  <si>
    <t>ocm12970326</t>
  </si>
  <si>
    <t>3000987924Q</t>
  </si>
  <si>
    <t>9780521325264</t>
  </si>
  <si>
    <t>792835045</t>
  </si>
  <si>
    <t>P53 C77 1999</t>
  </si>
  <si>
    <t>0                      P  0053000C  77          1999</t>
  </si>
  <si>
    <t>Culture in second language teaching and learning / [edited by] Eli Hinkel.</t>
  </si>
  <si>
    <t>Cambridge, U.K. ; New York : Cambridge University Press, 1999.</t>
  </si>
  <si>
    <t>2015-11-16</t>
  </si>
  <si>
    <t>56354523:eng</t>
  </si>
  <si>
    <t>40479833</t>
  </si>
  <si>
    <t>ocm40479833</t>
  </si>
  <si>
    <t>3102431745G</t>
  </si>
  <si>
    <t>9780521642767</t>
  </si>
  <si>
    <t>793568105</t>
  </si>
  <si>
    <t>P53 C78 1983</t>
  </si>
  <si>
    <t>0                      P  0053000C  78          1983</t>
  </si>
  <si>
    <t>Heritage language education : a literature review / Jim Cummins, principal investigator.</t>
  </si>
  <si>
    <t>Cummins, Jim, 1949-</t>
  </si>
  <si>
    <t>Toronto, Ont. : Ministry of Education : Publications Sales, Ontario Institute for Studies in Education [distributor], ©1983.</t>
  </si>
  <si>
    <t>3943267430:eng</t>
  </si>
  <si>
    <t>11344470</t>
  </si>
  <si>
    <t>ocm11344470</t>
  </si>
  <si>
    <t>3001000078T</t>
  </si>
  <si>
    <t>9780774383752</t>
  </si>
  <si>
    <t>792769383</t>
  </si>
  <si>
    <t>P53 D43 1987</t>
  </si>
  <si>
    <t>0                      P  0053000D  43          1987</t>
  </si>
  <si>
    <t>Strategic interaction : learning languages through scenarios / Robert J. Di Pietro.</t>
  </si>
  <si>
    <t>Di Pietro, Robert J.</t>
  </si>
  <si>
    <t>Cambridge [Cambridgeshire] ; New York : Oxford University Press, 1987.</t>
  </si>
  <si>
    <t>7367735:eng</t>
  </si>
  <si>
    <t>13823885</t>
  </si>
  <si>
    <t>ocm13823885</t>
  </si>
  <si>
    <t>3000995486S</t>
  </si>
  <si>
    <t>9780521324250</t>
  </si>
  <si>
    <t>792868269</t>
  </si>
  <si>
    <t>P53 D575 2009</t>
  </si>
  <si>
    <t>0                      P  0053000D  575         2009</t>
  </si>
  <si>
    <t>Discourses on language and integration : critical perspectives on language testing regimes in Europe / edited by Gabrielle Hogan-Brun, Clare Mar-Molinero, Patrick Stevenson.</t>
  </si>
  <si>
    <t>Amsterdam ; Philadelphia : John Benjamins Pub. Co., ©2009.</t>
  </si>
  <si>
    <t>Discourse approaches to politics, society and culture, 1569-9463 ; v. 33</t>
  </si>
  <si>
    <t>796518766:eng</t>
  </si>
  <si>
    <t>289009186</t>
  </si>
  <si>
    <t>ocn289009186</t>
  </si>
  <si>
    <t>3103085734V</t>
  </si>
  <si>
    <t>9789027206237</t>
  </si>
  <si>
    <t>794421648</t>
  </si>
  <si>
    <t>P53 E29 2013</t>
  </si>
  <si>
    <t>0                      P  0053000E  29          2013</t>
  </si>
  <si>
    <t>École et langues : des difficultés en contextes / sous la direction de Stéphanie Galligani, Sandrine Wachs et Corinne Weber.</t>
  </si>
  <si>
    <t>Paris : Riveneuve éditions, [2013]</t>
  </si>
  <si>
    <t>Collection Actes académiques. Série Langues et perspectives didactiques</t>
  </si>
  <si>
    <t>2016-04-19</t>
  </si>
  <si>
    <t>1415576459:fre</t>
  </si>
  <si>
    <t>898223200</t>
  </si>
  <si>
    <t>ocn898223200</t>
  </si>
  <si>
    <t>31031995614</t>
  </si>
  <si>
    <t>9782360131600</t>
  </si>
  <si>
    <t>794986146</t>
  </si>
  <si>
    <t>P53 E39 1998</t>
  </si>
  <si>
    <t>0                      P  0053000E  39          1998</t>
  </si>
  <si>
    <t>Interpersonal dynamics in second language education : the visible and invisible classroom / Madeline E. Ehrman, Zoltan Dörnyei.</t>
  </si>
  <si>
    <t>Ehrman, Madeline Elizabeth.</t>
  </si>
  <si>
    <t>Thousand Oaks, Calif. : Sage Publications, ©1998.</t>
  </si>
  <si>
    <t>837069459:eng</t>
  </si>
  <si>
    <t>38738857</t>
  </si>
  <si>
    <t>ocm38738857</t>
  </si>
  <si>
    <t>3103453284Z</t>
  </si>
  <si>
    <t>9780761907213</t>
  </si>
  <si>
    <t>793529559</t>
  </si>
  <si>
    <t>P53 E43 1984</t>
  </si>
  <si>
    <t>0                      P  0053000E  43          1984</t>
  </si>
  <si>
    <t>Classroom second language development : a study of classroom interaction and language acquisition / Rod Ellis.</t>
  </si>
  <si>
    <t>Oxford [Oxfordshire] ; New York : Pergamon Press, ©1984.</t>
  </si>
  <si>
    <t>2015-01-31</t>
  </si>
  <si>
    <t>62965:eng</t>
  </si>
  <si>
    <t>10432534</t>
  </si>
  <si>
    <t>ocm10432534</t>
  </si>
  <si>
    <t>3000972922O</t>
  </si>
  <si>
    <t>9780080315164</t>
  </si>
  <si>
    <t>792726259</t>
  </si>
  <si>
    <t>P53 E97 1986</t>
  </si>
  <si>
    <t>0                      P  0053000E  97          1986</t>
  </si>
  <si>
    <t>Experimental approaches to second language learning / edited by Vivian Cook.</t>
  </si>
  <si>
    <t>Oxford [Oxfordshire] ; New York : Pergamon Institute of English ; Hayward, CA, U.S.A. : Distributed in U.S.A., Alemany Press, 1986.</t>
  </si>
  <si>
    <t>2014-03-25</t>
  </si>
  <si>
    <t>684708057:eng</t>
  </si>
  <si>
    <t>13010047</t>
  </si>
  <si>
    <t>ocm13010047</t>
  </si>
  <si>
    <t>3102731079D</t>
  </si>
  <si>
    <t>9780080315508</t>
  </si>
  <si>
    <t>792837291</t>
  </si>
  <si>
    <t>3103398961L</t>
  </si>
  <si>
    <t>792837290</t>
  </si>
  <si>
    <t>P53 E98 2010</t>
  </si>
  <si>
    <t>0                      P  0053000E  98          2010</t>
  </si>
  <si>
    <t>Exploring new paths in language pedagogy : lexis and corpus-based language teaching / edited by María Moreno Jaén, Fernando Serrano Valverde and María Calzada Pérez.</t>
  </si>
  <si>
    <t>London ; Oakville, CT : Equinox Pub., 2010.</t>
  </si>
  <si>
    <t>Equinox English linguistics and ELT</t>
  </si>
  <si>
    <t>2013-05-16</t>
  </si>
  <si>
    <t>654057141:eng</t>
  </si>
  <si>
    <t>664450923</t>
  </si>
  <si>
    <t>ocn664450923</t>
  </si>
  <si>
    <t>3103320588M</t>
  </si>
  <si>
    <t>9781845536954</t>
  </si>
  <si>
    <t>794843983</t>
  </si>
  <si>
    <t>P53 F53 2009</t>
  </si>
  <si>
    <t>0                      P  0053000F  53          2009</t>
  </si>
  <si>
    <t>First language use in second and foreign language learning / edited by Miles Turnbull and Jennifer Dailey-O'Cain.</t>
  </si>
  <si>
    <t>Bristol, UK ; Buffalo [N.Y.] : Multilingual Matters, ©2009.</t>
  </si>
  <si>
    <t>Second language acquisition</t>
  </si>
  <si>
    <t>2015-04-30</t>
  </si>
  <si>
    <t>1011712401:eng</t>
  </si>
  <si>
    <t>320806434</t>
  </si>
  <si>
    <t>ocn320806434</t>
  </si>
  <si>
    <t>3103302112D</t>
  </si>
  <si>
    <t>9781847691965</t>
  </si>
  <si>
    <t>794487174</t>
  </si>
  <si>
    <t>P53 F594 1987</t>
  </si>
  <si>
    <t>0                      P  0053000F  594         1987</t>
  </si>
  <si>
    <t>Foreign language learning : a research perspective / [edited by] Bill VanPatten, Trisha R. Dvorak, James F. Lee.</t>
  </si>
  <si>
    <t>Cambridge [Cambridgeshire] ; New York : Newbury House, ©1987.</t>
  </si>
  <si>
    <t>Cross-linguistic series on second language research</t>
  </si>
  <si>
    <t>2015-05-08</t>
  </si>
  <si>
    <t>836669371:eng</t>
  </si>
  <si>
    <t>14166472</t>
  </si>
  <si>
    <t>ocm14166472</t>
  </si>
  <si>
    <t>3103601592G</t>
  </si>
  <si>
    <t>9780066325583</t>
  </si>
  <si>
    <t>792880368</t>
  </si>
  <si>
    <t>P53 F5955 1995</t>
  </si>
  <si>
    <t>0                      P  0053000F  5955        1995</t>
  </si>
  <si>
    <t>Foreign language learning : the journey of a lifetime / edited by Richard Donato and Robert M. Terry.</t>
  </si>
  <si>
    <t>Lincolnwood, Ill., USA : National Textbook Co., ©1995.</t>
  </si>
  <si>
    <t>The ACTFL foreign language education series</t>
  </si>
  <si>
    <t>907703650:eng</t>
  </si>
  <si>
    <t>32827024</t>
  </si>
  <si>
    <t>ocm32827024</t>
  </si>
  <si>
    <t>3103400487T</t>
  </si>
  <si>
    <t>9780844293943</t>
  </si>
  <si>
    <t>793395341</t>
  </si>
  <si>
    <t>P53 F598 1991</t>
  </si>
  <si>
    <t>0                      P  0053000F  598         1991</t>
  </si>
  <si>
    <t>Foreign language research in cross-cultural perspective / edited by Kees De Bot, Ralph B. Ginsberg &amp; Claire Kramsch.</t>
  </si>
  <si>
    <t>Amsterdam ; Philadelphia : J. Benjamins Pub. Co., 1991.</t>
  </si>
  <si>
    <t>Studies in bilingualism ; v. 2</t>
  </si>
  <si>
    <t>97353:eng</t>
  </si>
  <si>
    <t>23140977</t>
  </si>
  <si>
    <t>ocm23140977</t>
  </si>
  <si>
    <t>3102731074D</t>
  </si>
  <si>
    <t>9781556193453</t>
  </si>
  <si>
    <t>793162347</t>
  </si>
  <si>
    <t>2013-12-08</t>
  </si>
  <si>
    <t>3103475646D</t>
  </si>
  <si>
    <t>793162348</t>
  </si>
  <si>
    <t>P53 F599 2011</t>
  </si>
  <si>
    <t>0                      P  0053000F  599         2011</t>
  </si>
  <si>
    <t>Foreign language teaching in Asia and beyond : current perspectives and future directions / edited by Wai-Meng Chan, Kwee Nyet Chin and Titima Suthiwa.</t>
  </si>
  <si>
    <t>Boston : De Gruyter Mouton, ©2011.</t>
  </si>
  <si>
    <t>Studies in second and foreign language education ; 3</t>
  </si>
  <si>
    <t>2014-03-18</t>
  </si>
  <si>
    <t>3769033691:eng</t>
  </si>
  <si>
    <t>726151296</t>
  </si>
  <si>
    <t>ocn726151296</t>
  </si>
  <si>
    <t>3103396023R</t>
  </si>
  <si>
    <t>9781614510000</t>
  </si>
  <si>
    <t>794877091</t>
  </si>
  <si>
    <t>P53 F654 2004</t>
  </si>
  <si>
    <t>0                      P  0053000F  654         2004</t>
  </si>
  <si>
    <t>Formulaic sequences : acquisition, processing, and use / edited by Norbert Schmitt.</t>
  </si>
  <si>
    <t>Amsterdam ; Philadelphia : John Benjamins Pub., ©2004.</t>
  </si>
  <si>
    <t>Language learning and language teaching, 1569-9471 ; v. 9</t>
  </si>
  <si>
    <t>866187842:eng</t>
  </si>
  <si>
    <t>54073892</t>
  </si>
  <si>
    <t>ocm54073892</t>
  </si>
  <si>
    <t>3103398979J</t>
  </si>
  <si>
    <t>9789027217073</t>
  </si>
  <si>
    <t>793856810</t>
  </si>
  <si>
    <t>P53 F73 1992</t>
  </si>
  <si>
    <t>0                      P  0053000F  73          1992</t>
  </si>
  <si>
    <t>Whole language for second language learners / Yvonne S. Freeman, David E. Freeman.</t>
  </si>
  <si>
    <t>Freeman, Yvonne S.</t>
  </si>
  <si>
    <t>Portsmouth, NH : Heinemann, ©1992.</t>
  </si>
  <si>
    <t>2019-05-17</t>
  </si>
  <si>
    <t>28018933:eng</t>
  </si>
  <si>
    <t>25165141</t>
  </si>
  <si>
    <t>ocm25165141</t>
  </si>
  <si>
    <t>31037733558</t>
  </si>
  <si>
    <t>9780435087234</t>
  </si>
  <si>
    <t>793213633</t>
  </si>
  <si>
    <t>P53 F75 2010</t>
  </si>
  <si>
    <t>0                      P  0053000F  75          2010</t>
  </si>
  <si>
    <t>From migrant to citizen : testing language, testing culture / edited by Christina Slade and Martina Möllering.</t>
  </si>
  <si>
    <t>New York : Palgrave Macmillan, 2010.</t>
  </si>
  <si>
    <t>2017-10-23</t>
  </si>
  <si>
    <t>796313571:eng</t>
  </si>
  <si>
    <t>317926654</t>
  </si>
  <si>
    <t>ocn317926654</t>
  </si>
  <si>
    <t>3103240866D</t>
  </si>
  <si>
    <t>9780230576339</t>
  </si>
  <si>
    <t>794476974</t>
  </si>
  <si>
    <t>P53 F76 2002</t>
  </si>
  <si>
    <t>0                      P  0053000F  76          2002</t>
  </si>
  <si>
    <t>From the classroom : grounded activities for language learning / Miles Turnbull, Jill Sinclair Bell, Sharon Lapkin, editors.</t>
  </si>
  <si>
    <t>[Toronto] : University of Toronto Press, [2002]</t>
  </si>
  <si>
    <t>2016-01-19</t>
  </si>
  <si>
    <t>890433793:eng</t>
  </si>
  <si>
    <t>50994381</t>
  </si>
  <si>
    <t>ocm50994381</t>
  </si>
  <si>
    <t>3102272706C</t>
  </si>
  <si>
    <t>9780969179696</t>
  </si>
  <si>
    <t>793776457</t>
  </si>
  <si>
    <t>P53 G42x 2002</t>
  </si>
  <si>
    <t>0                      P  0053000G  42x         2002</t>
  </si>
  <si>
    <t>Discourse and technology : multimodal discourse analysis / Philip LeVine and Ron Scollon, editors.</t>
  </si>
  <si>
    <t>Washington, D.C. : Georgetown University Press, 2004.</t>
  </si>
  <si>
    <t>2016-03-18</t>
  </si>
  <si>
    <t>892663995:eng</t>
  </si>
  <si>
    <t>53485295</t>
  </si>
  <si>
    <t>ocm53485295</t>
  </si>
  <si>
    <t>3102352321O</t>
  </si>
  <si>
    <t>9781589011014</t>
  </si>
  <si>
    <t>793829540</t>
  </si>
  <si>
    <t>2004-05-17</t>
  </si>
  <si>
    <t>3102352326O</t>
  </si>
  <si>
    <t>793829541</t>
  </si>
  <si>
    <t>P53 G42x 2005</t>
  </si>
  <si>
    <t>0                      P  0053000G  42x         2005</t>
  </si>
  <si>
    <t>Educating for advanced foreign language capacities : constructs, curriculum, instruction, assessment / Heidi Byrnes, Heather Weger-Guntharp, and Katherine A. Sprang, editors.</t>
  </si>
  <si>
    <t>Georgetown University Round Table on Languages and Linguistics (2005)</t>
  </si>
  <si>
    <t>Washington, D.C. : Georgetown University Press, 2006.</t>
  </si>
  <si>
    <t>Georgetown University Round Table on languages and linguistics series</t>
  </si>
  <si>
    <t>2015-12-02</t>
  </si>
  <si>
    <t>867400072:eng</t>
  </si>
  <si>
    <t>63472688</t>
  </si>
  <si>
    <t>ocm63472688</t>
  </si>
  <si>
    <t>3102666799X</t>
  </si>
  <si>
    <t>9781589011182</t>
  </si>
  <si>
    <t>794121412</t>
  </si>
  <si>
    <t>3102666804B</t>
  </si>
  <si>
    <t>794121411</t>
  </si>
  <si>
    <t>P53 G545 2002</t>
  </si>
  <si>
    <t>0                      P  0053000G  545         2002</t>
  </si>
  <si>
    <t>Globalization and language teaching / edited by David Block and Deborah Cameron.</t>
  </si>
  <si>
    <t>1082062797:eng</t>
  </si>
  <si>
    <t>47136659</t>
  </si>
  <si>
    <t>ocm47136659</t>
  </si>
  <si>
    <t>3102547920G</t>
  </si>
  <si>
    <t>9780415242752</t>
  </si>
  <si>
    <t>793699288</t>
  </si>
  <si>
    <t>P53 G64 2012</t>
  </si>
  <si>
    <t>0                      P  0053000G  64          2012</t>
  </si>
  <si>
    <t>Painting Borges : philosophy interpreting art interpreting literature / Jorge J.E. Gracia.</t>
  </si>
  <si>
    <t>Gracia, Jorge J. E.</t>
  </si>
  <si>
    <t>Albany : State University of New York Press, ©2012.</t>
  </si>
  <si>
    <t>SUNY series in Latin American and Iberian thought and culture</t>
  </si>
  <si>
    <t>918813296:eng</t>
  </si>
  <si>
    <t>733755365</t>
  </si>
  <si>
    <t>ocn733755365</t>
  </si>
  <si>
    <t>3103411151Z</t>
  </si>
  <si>
    <t>9781438441788</t>
  </si>
  <si>
    <t>794882206</t>
  </si>
  <si>
    <t>P53 G66 1988</t>
  </si>
  <si>
    <t>0                      P  0053000G  66          1988</t>
  </si>
  <si>
    <t>Grammar and second language teaching : a book of readings / edited by William Rutherford, Michael Sharwood Smith.</t>
  </si>
  <si>
    <t>New York : Newbury House Publishers, ©1988.</t>
  </si>
  <si>
    <t>836715484:eng</t>
  </si>
  <si>
    <t>16647205</t>
  </si>
  <si>
    <t>ocm16647205</t>
  </si>
  <si>
    <t>31019047237</t>
  </si>
  <si>
    <t>9780066324944</t>
  </si>
  <si>
    <t>792967588</t>
  </si>
  <si>
    <t>P53 H365 2011</t>
  </si>
  <si>
    <t>0                      P  0053000H  365         2011</t>
  </si>
  <si>
    <t>Language and education : learning and teaching in society / Ruqaiya Hasan ; edited by Jonathan J. Webster.</t>
  </si>
  <si>
    <t>London ; Oakville : Equinox, 2011.</t>
  </si>
  <si>
    <t>The collected works of Ruqaiya Hasan ; v. 3</t>
  </si>
  <si>
    <t>985962942:eng</t>
  </si>
  <si>
    <t>144514205</t>
  </si>
  <si>
    <t>ocn144514205</t>
  </si>
  <si>
    <t>3103381131A</t>
  </si>
  <si>
    <t>9781904768371</t>
  </si>
  <si>
    <t>794235833</t>
  </si>
  <si>
    <t>P53 H47 2008</t>
  </si>
  <si>
    <t>0                      P  0053000H  47          2008</t>
  </si>
  <si>
    <t>Heritage language education : a new field emerging / edited by Donna M. Brinton, Olga Kagan, and Susan Bauckus.</t>
  </si>
  <si>
    <t>New York, NY : Routledge, 2008.</t>
  </si>
  <si>
    <t>2017-02-02</t>
  </si>
  <si>
    <t>364465654:eng</t>
  </si>
  <si>
    <t>144767839</t>
  </si>
  <si>
    <t>ocn144767839</t>
  </si>
  <si>
    <t>3102647587A</t>
  </si>
  <si>
    <t>9780805848038</t>
  </si>
  <si>
    <t>794236950</t>
  </si>
  <si>
    <t>P53 I34 2007</t>
  </si>
  <si>
    <t>0                      P  0053000I  34          2007</t>
  </si>
  <si>
    <t>Identity and second language learning : culture, inquiry, and dialogic activity in educational contexts / edited by Miguel Mantero.</t>
  </si>
  <si>
    <t>Charlotte, N.C. : IAP, ©2007.</t>
  </si>
  <si>
    <t>Contemporary language studies in education</t>
  </si>
  <si>
    <t>867398189:eng</t>
  </si>
  <si>
    <t>70131134</t>
  </si>
  <si>
    <t>ocm70131134</t>
  </si>
  <si>
    <t>31025947691</t>
  </si>
  <si>
    <t>9781593115395</t>
  </si>
  <si>
    <t>794149285</t>
  </si>
  <si>
    <t>P53 I516 1985</t>
  </si>
  <si>
    <t>0                      P  0053000I  516         1985</t>
  </si>
  <si>
    <t>Input in second language acquisition / edited by Susan M. Gass and Carolyn G. Madden.</t>
  </si>
  <si>
    <t>Cambridge, Mass. : Newbury House Publishers, 1985.</t>
  </si>
  <si>
    <t>Issues in second language research</t>
  </si>
  <si>
    <t>2015-09-14</t>
  </si>
  <si>
    <t>3768459637:eng</t>
  </si>
  <si>
    <t>11261884</t>
  </si>
  <si>
    <t>ocm11261884</t>
  </si>
  <si>
    <t>3103622026W</t>
  </si>
  <si>
    <t>9780883772843</t>
  </si>
  <si>
    <t>792765767</t>
  </si>
  <si>
    <t>P53 I517 1987</t>
  </si>
  <si>
    <t>0                      P  0053000I  517         1987</t>
  </si>
  <si>
    <t>Interactive language teaching / edited by Wilga M. Rivers.</t>
  </si>
  <si>
    <t>7846882:eng</t>
  </si>
  <si>
    <t>13792362</t>
  </si>
  <si>
    <t>ocm13792362</t>
  </si>
  <si>
    <t>31009440807</t>
  </si>
  <si>
    <t>9780521322164</t>
  </si>
  <si>
    <t>792866521</t>
  </si>
  <si>
    <t>P53 I519 1987</t>
  </si>
  <si>
    <t>0                      P  0053000I  519         1987</t>
  </si>
  <si>
    <t>Interlanguage phonology : the acquisition of a second language sound system / [edited by] Georgette Ioup, Steven Weinberger.</t>
  </si>
  <si>
    <t>Cambridge, MA : Newbury House Publishers, ©1987.</t>
  </si>
  <si>
    <t>Series on Issues in second language research series</t>
  </si>
  <si>
    <t>836670695:eng</t>
  </si>
  <si>
    <t>14188710</t>
  </si>
  <si>
    <t>ocm14188710</t>
  </si>
  <si>
    <t>31034757802</t>
  </si>
  <si>
    <t>9780066322872</t>
  </si>
  <si>
    <t>792881255</t>
  </si>
  <si>
    <t>P53 I526 1984</t>
  </si>
  <si>
    <t>0                      P  0053000I  526         1984</t>
  </si>
  <si>
    <t>Interlanguage / Alan Davies, C. Criper, A.P.R. Howatt, editors.</t>
  </si>
  <si>
    <t>Edinburgh : Edinburgh University Press, ©1984.</t>
  </si>
  <si>
    <t>2017-06-06</t>
  </si>
  <si>
    <t>5218379:eng</t>
  </si>
  <si>
    <t>12582711</t>
  </si>
  <si>
    <t>ocm12582711</t>
  </si>
  <si>
    <t>3102731075D</t>
  </si>
  <si>
    <t>9780852244999</t>
  </si>
  <si>
    <t>792820026</t>
  </si>
  <si>
    <t>P53 I527 2007</t>
  </si>
  <si>
    <t>0                      P  0053000I  527         2007</t>
  </si>
  <si>
    <t>Missionary linguistics IV = Lingüística misionera IV : lexicography : selected papers from the fifth International Conference on Missionary Linguistics, Mérida, Yucatán, 14-17 March 2007 / edited by Otto Zwartjes, Ramón Arzápalo Marín, Thomas C. Smith-Stark.</t>
  </si>
  <si>
    <t>International Conference on Missionary Linguistics (4th : 2007 : Mérida, Mexico)</t>
  </si>
  <si>
    <t>Amsterdam studies in the theory and history of linguistic science. Series III, Studies in the history of the language sciences, 0304-0720 ; v. 114</t>
  </si>
  <si>
    <t>2017-10-05</t>
  </si>
  <si>
    <t>3769352548:eng</t>
  </si>
  <si>
    <t>310224963</t>
  </si>
  <si>
    <t>ocn310224963</t>
  </si>
  <si>
    <t>3103104476X</t>
  </si>
  <si>
    <t>9789027246059</t>
  </si>
  <si>
    <t>794435262</t>
  </si>
  <si>
    <t>P53 I527 2012</t>
  </si>
  <si>
    <t>0                      P  0053000I  527         2012</t>
  </si>
  <si>
    <t>Missionary linguistics V = Lingüística Misionera V : Translation theories and practices : Selected papers from the Seventh International Conference on Missionary linguistics, Bremen, 28 February - 2 March 2012 / edited by Otto Zwartjes, University of Amsterdam, Klaus Zimmermann, University of Bremen and Martina Schrader-Kniffki, University of Maintz.</t>
  </si>
  <si>
    <t>International Conference on Missionary Linguistics (7th : 2012 : Bremen, Germany)</t>
  </si>
  <si>
    <t>Amsterdam ; Philadelphia : John Benjamins Publishing Company, [2014]</t>
  </si>
  <si>
    <t>Amsterdam studies in the theory and history of linguistic science. Series III, Studies in the history of the language sciences ; volume 122</t>
  </si>
  <si>
    <t>2014-08-26</t>
  </si>
  <si>
    <t>2643451310:eng</t>
  </si>
  <si>
    <t>864752961</t>
  </si>
  <si>
    <t>ocn864752961</t>
  </si>
  <si>
    <t>3103567927$</t>
  </si>
  <si>
    <t>9789027246134</t>
  </si>
  <si>
    <t>794962354</t>
  </si>
  <si>
    <t>P53 I65 2010</t>
  </si>
  <si>
    <t>0                      P  0053000I  65          2010</t>
  </si>
  <si>
    <t>Interrogations épistémologiques en didactique des langues / coordonné par Dominique Macaire, Jean-Paul Narcy-Combes et Henri Portine.</t>
  </si>
  <si>
    <t>Paris : Clé International, 2010.</t>
  </si>
  <si>
    <t>Le français dans le monde. Recherches et applications, 0015-9395 ; no. 48</t>
  </si>
  <si>
    <t>774001225:fre</t>
  </si>
  <si>
    <t>681406291</t>
  </si>
  <si>
    <t>ocn681406291</t>
  </si>
  <si>
    <t>3103302824R</t>
  </si>
  <si>
    <t>9782090371208</t>
  </si>
  <si>
    <t>794851377</t>
  </si>
  <si>
    <t>P53 J654 2005</t>
  </si>
  <si>
    <t>0                      P  0053000J  654         2005</t>
  </si>
  <si>
    <t>Third language learners : pragmatic production and awareness / Maria Pilar Safont Jordà.</t>
  </si>
  <si>
    <t>Jordà, Maria Pilar Safont, 1972-</t>
  </si>
  <si>
    <t>Clevedon ; Buffalo : Multilingual Matters, ©2005.</t>
  </si>
  <si>
    <t>Second language acquisition ; 12</t>
  </si>
  <si>
    <t>793971337:eng</t>
  </si>
  <si>
    <t>56014536</t>
  </si>
  <si>
    <t>ocm56014536</t>
  </si>
  <si>
    <t>31025855638</t>
  </si>
  <si>
    <t>9781853598036</t>
  </si>
  <si>
    <t>793886041</t>
  </si>
  <si>
    <t>P53 J85 2004</t>
  </si>
  <si>
    <t>0                      P  0053000J  85          2004</t>
  </si>
  <si>
    <t>Gender, participation and silence in the language classroom : sh-shushing the girls / Allyson Julé.</t>
  </si>
  <si>
    <t>Julé, Allyson, 1965-</t>
  </si>
  <si>
    <t>Houndmills, Basingstoke, Hampshire ; New York : Palgrave Macmillan, 2004.</t>
  </si>
  <si>
    <t>762748:eng</t>
  </si>
  <si>
    <t>52858207</t>
  </si>
  <si>
    <t>ocm52858207</t>
  </si>
  <si>
    <t>3102492522T</t>
  </si>
  <si>
    <t>9781403915832</t>
  </si>
  <si>
    <t>793815921</t>
  </si>
  <si>
    <t>P53 K72</t>
  </si>
  <si>
    <t>0                      P  0053000K  72</t>
  </si>
  <si>
    <t>Discourse analysis and second language teaching / Claire J. Kramsch ; prepared by ERIC Clearinghouse on Languages and Linguistics.</t>
  </si>
  <si>
    <t>Kramsch, Claire J.</t>
  </si>
  <si>
    <t>Washington, D.C. : Center for Applied Linguistics, 1981.</t>
  </si>
  <si>
    <t>Language in education ; 37</t>
  </si>
  <si>
    <t>520235:eng</t>
  </si>
  <si>
    <t>7796671</t>
  </si>
  <si>
    <t>ocm07796671</t>
  </si>
  <si>
    <t>30009694445</t>
  </si>
  <si>
    <t>9780872811584</t>
  </si>
  <si>
    <t>792580212</t>
  </si>
  <si>
    <t>P53 K73 1982</t>
  </si>
  <si>
    <t>0                      P  0053000K  73          1982</t>
  </si>
  <si>
    <t>Principles and practice in second language acquisition / Stephen D. Krashen.</t>
  </si>
  <si>
    <t>Krashen, Stephen D., author.</t>
  </si>
  <si>
    <t>Oxford ; New York : Pergamon Press, 1982.</t>
  </si>
  <si>
    <t>2017-03-04</t>
  </si>
  <si>
    <t>2017-12-09</t>
  </si>
  <si>
    <t>411894:eng</t>
  </si>
  <si>
    <t>7734300</t>
  </si>
  <si>
    <t>ocm07734300</t>
  </si>
  <si>
    <t>3000969423D</t>
  </si>
  <si>
    <t>9780080286280</t>
  </si>
  <si>
    <t>792576482</t>
  </si>
  <si>
    <t>2016-09-12</t>
  </si>
  <si>
    <t>3102731071D</t>
  </si>
  <si>
    <t>792576484</t>
  </si>
  <si>
    <t>3102731050H</t>
  </si>
  <si>
    <t>792576483</t>
  </si>
  <si>
    <t>2014-07-16</t>
  </si>
  <si>
    <t>3102731076D</t>
  </si>
  <si>
    <t>792576481</t>
  </si>
  <si>
    <t>2016-08-25</t>
  </si>
  <si>
    <t>31027310919</t>
  </si>
  <si>
    <t>792576480</t>
  </si>
  <si>
    <t>P53 L34 1983</t>
  </si>
  <si>
    <t>0                      P  0053000L  34          1983</t>
  </si>
  <si>
    <t>Language and communication / edited by Jack C. Richards and Richard W. Schmidt.</t>
  </si>
  <si>
    <t>London ; New York : Longman, 1983.</t>
  </si>
  <si>
    <t>3740821952:eng</t>
  </si>
  <si>
    <t>9111016</t>
  </si>
  <si>
    <t>ocm09111016</t>
  </si>
  <si>
    <t>31033992611</t>
  </si>
  <si>
    <t>9780582550346</t>
  </si>
  <si>
    <t>792657622</t>
  </si>
  <si>
    <t>P53 L35 1996</t>
  </si>
  <si>
    <t>0                      P  0053000L  35          1996</t>
  </si>
  <si>
    <t>Language learning strategies around the world : cross-cultural perspectives / edited by Rebecca Oxford.</t>
  </si>
  <si>
    <t>Honolulu : Second Language Teaching &amp; Curriculum Center, University of Hawai'i at Mānoa, ©1996.</t>
  </si>
  <si>
    <t>Technical report ; #13</t>
  </si>
  <si>
    <t>2015-04-18</t>
  </si>
  <si>
    <t>628685:eng</t>
  </si>
  <si>
    <t>36556111</t>
  </si>
  <si>
    <t>ocm36556111</t>
  </si>
  <si>
    <t>3101872429J</t>
  </si>
  <si>
    <t>9780824819101</t>
  </si>
  <si>
    <t>793478493</t>
  </si>
  <si>
    <t>P53 L3643 2011</t>
  </si>
  <si>
    <t>0                      P  0053000L  3643        2011</t>
  </si>
  <si>
    <t>Language teaching in blended contexts / edited by Margaret Nicolson, Linda Murphy and Margaret Southgate.</t>
  </si>
  <si>
    <t>Edinburgh : Dunedin, 2011.</t>
  </si>
  <si>
    <t>2017-11-08</t>
  </si>
  <si>
    <t>1005396536:eng</t>
  </si>
  <si>
    <t>668198430</t>
  </si>
  <si>
    <t>ocn668198430</t>
  </si>
  <si>
    <t>31033848746</t>
  </si>
  <si>
    <t>9781906716202</t>
  </si>
  <si>
    <t>794846354</t>
  </si>
  <si>
    <t>P53 L3647 2011</t>
  </si>
  <si>
    <t>0                      P  0053000L  3647        2011</t>
  </si>
  <si>
    <t>Language testing : theories and practices / edited by Barry O'Sullivan.</t>
  </si>
  <si>
    <t>Palgrave advances in linguistics</t>
  </si>
  <si>
    <t>2018-04-24</t>
  </si>
  <si>
    <t>810949404:eng</t>
  </si>
  <si>
    <t>700205702</t>
  </si>
  <si>
    <t>ocn700205702</t>
  </si>
  <si>
    <t>3103362811$</t>
  </si>
  <si>
    <t>9780230230637</t>
  </si>
  <si>
    <t>794861926</t>
  </si>
  <si>
    <t>P53 L365 2009</t>
  </si>
  <si>
    <t>0                      P  0053000L  365         2009</t>
  </si>
  <si>
    <t>Language testing, migration, and citizenship : cross-national perspectives on integration regimes / edited by Guus Extra, Massimiliano Spotti and Piet Van Avermaet.</t>
  </si>
  <si>
    <t>London ; New York : Continuum, ©2009.</t>
  </si>
  <si>
    <t>2019-06-03</t>
  </si>
  <si>
    <t>791913991:eng</t>
  </si>
  <si>
    <t>277203863</t>
  </si>
  <si>
    <t>ocn277203863</t>
  </si>
  <si>
    <t>3103087395N</t>
  </si>
  <si>
    <t>9781847063458</t>
  </si>
  <si>
    <t>794418785</t>
  </si>
  <si>
    <t>P53 L37 1980</t>
  </si>
  <si>
    <t>0                      P  0053000L  37          1980</t>
  </si>
  <si>
    <t>Discourse analysis in second language research / Diane Larsen-Freeman.</t>
  </si>
  <si>
    <t>Larsen-Freeman, Diane.</t>
  </si>
  <si>
    <t>Rowley, MA : Newbury House Publishers, 1980.</t>
  </si>
  <si>
    <t>2018-07-21</t>
  </si>
  <si>
    <t>63763:eng</t>
  </si>
  <si>
    <t>5831337</t>
  </si>
  <si>
    <t>ocm05831337</t>
  </si>
  <si>
    <t>3000972419X</t>
  </si>
  <si>
    <t>9780883771631</t>
  </si>
  <si>
    <t>792457365</t>
  </si>
  <si>
    <t>P53 L39 1987</t>
  </si>
  <si>
    <t>0                      P  0053000L  39          1987</t>
  </si>
  <si>
    <t>Learner strategies in language learning / edited by Anita Wenden and Joan Rubin.</t>
  </si>
  <si>
    <t>Englewood Cliffs, N.Y. : Prentice/Hall International, ©1987.</t>
  </si>
  <si>
    <t>2016-02-23</t>
  </si>
  <si>
    <t>353455473:eng</t>
  </si>
  <si>
    <t>13668548</t>
  </si>
  <si>
    <t>ocm13668548</t>
  </si>
  <si>
    <t>3000998490M</t>
  </si>
  <si>
    <t>9780080334851</t>
  </si>
  <si>
    <t>792862377</t>
  </si>
  <si>
    <t>P53 L437 2003</t>
  </si>
  <si>
    <t>0                      P  0053000L  437         2003</t>
  </si>
  <si>
    <t>Making communicative language teaching happen / James F. Lee, Bill VanPatten.</t>
  </si>
  <si>
    <t>Lee, James F.</t>
  </si>
  <si>
    <t>Boston : McGraw-Hill, ©2003.</t>
  </si>
  <si>
    <t>The McGraw-Hill second language professional series</t>
  </si>
  <si>
    <t>4238418525:eng</t>
  </si>
  <si>
    <t>51265945</t>
  </si>
  <si>
    <t>ocm51265945</t>
  </si>
  <si>
    <t>31023022931</t>
  </si>
  <si>
    <t>9780073655178</t>
  </si>
  <si>
    <t>793781803</t>
  </si>
  <si>
    <t>P53 L44</t>
  </si>
  <si>
    <t>0                      P  0053000L  44</t>
  </si>
  <si>
    <t>Fluency and language teaching / Richard Leeson.</t>
  </si>
  <si>
    <t>Leeson, Richard, author.</t>
  </si>
  <si>
    <t>London : Longman, 1975.</t>
  </si>
  <si>
    <t>512356:eng</t>
  </si>
  <si>
    <t>2436300</t>
  </si>
  <si>
    <t>ocm02436300</t>
  </si>
  <si>
    <t>3103601607T</t>
  </si>
  <si>
    <t>9780582550780</t>
  </si>
  <si>
    <t>792121800</t>
  </si>
  <si>
    <t>P53 L459</t>
  </si>
  <si>
    <t>0                      P  0053000L  459</t>
  </si>
  <si>
    <t>Psychology and the language learning process / A.A. Leontiev ; edited by C.V. James.</t>
  </si>
  <si>
    <t>Leontʹev, A. A. (Alekseĭ Alekseevich), 1936-2004, author.</t>
  </si>
  <si>
    <t>2018-07-03</t>
  </si>
  <si>
    <t>29307951:eng</t>
  </si>
  <si>
    <t>7756594</t>
  </si>
  <si>
    <t>ocm07756594</t>
  </si>
  <si>
    <t>3102731051H</t>
  </si>
  <si>
    <t>9780080246017</t>
  </si>
  <si>
    <t>792578223</t>
  </si>
  <si>
    <t>P53 L67 1982</t>
  </si>
  <si>
    <t>0                      P  0053000L  67          1982</t>
  </si>
  <si>
    <t>The loss of language skills / edited by Richard D. Lambert and Barbara F. Freed.</t>
  </si>
  <si>
    <t>Rowley, Mass. : Newbury House Publishers, 1982.</t>
  </si>
  <si>
    <t>2015-03-24</t>
  </si>
  <si>
    <t>355913023:eng</t>
  </si>
  <si>
    <t>7577508</t>
  </si>
  <si>
    <t>ocm07577508</t>
  </si>
  <si>
    <t>3102731127K</t>
  </si>
  <si>
    <t>9780883772058</t>
  </si>
  <si>
    <t>792567558</t>
  </si>
  <si>
    <t>2008-12-15</t>
  </si>
  <si>
    <t>3102731132I</t>
  </si>
  <si>
    <t>792567559</t>
  </si>
  <si>
    <t>P53 M26 1989</t>
  </si>
  <si>
    <t>0                      P  0053000M  26          1989</t>
  </si>
  <si>
    <t>The inward ear : poetry in the language classroom / Alan Maley and Alan Duff.</t>
  </si>
  <si>
    <t>Maley, Alan, 1937-</t>
  </si>
  <si>
    <t>21551151:eng</t>
  </si>
  <si>
    <t>19777341</t>
  </si>
  <si>
    <t>ocm19777341</t>
  </si>
  <si>
    <t>31006764032</t>
  </si>
  <si>
    <t>9780521320481</t>
  </si>
  <si>
    <t>793068495</t>
  </si>
  <si>
    <t>P53 M38 1991</t>
  </si>
  <si>
    <t>0                      P  0053000M  38          1991</t>
  </si>
  <si>
    <t>The communicative syllabus : a systemic-functional approach to language teaching / Robin Melrose.</t>
  </si>
  <si>
    <t>Melrose, Robin.</t>
  </si>
  <si>
    <t>London ; New York : Pinter Publishers, 1991.</t>
  </si>
  <si>
    <t>Open linguistics series</t>
  </si>
  <si>
    <t>20983652:eng</t>
  </si>
  <si>
    <t>24380614</t>
  </si>
  <si>
    <t>ocm24380614</t>
  </si>
  <si>
    <t>3101111305G</t>
  </si>
  <si>
    <t>9780861871377</t>
  </si>
  <si>
    <t>793197204</t>
  </si>
  <si>
    <t>P53 M54 1985</t>
  </si>
  <si>
    <t>0                      P  0053000M  54          1985</t>
  </si>
  <si>
    <t>Modelling and assessing second language acquisition / edited by Kenneth Hyltenstam and Manfred Pienemann.</t>
  </si>
  <si>
    <t>San Diego, Calif. : College-Hill Press, ©1985.</t>
  </si>
  <si>
    <t>2017-08-15</t>
  </si>
  <si>
    <t>350175679:eng</t>
  </si>
  <si>
    <t>11969929</t>
  </si>
  <si>
    <t>ocm11969929</t>
  </si>
  <si>
    <t>3102731107O</t>
  </si>
  <si>
    <t>9780887441356</t>
  </si>
  <si>
    <t>792795165</t>
  </si>
  <si>
    <t>P53 N35 1992</t>
  </si>
  <si>
    <t>0                      P  0053000N  35          1992</t>
  </si>
  <si>
    <t>Lexical phrases and language teaching / James R. Nattinger, Jeanette S. DeCarrico.</t>
  </si>
  <si>
    <t>Nattinger, James R.</t>
  </si>
  <si>
    <t>Oxford [England] ; New York : Oxford University Press, 1992.</t>
  </si>
  <si>
    <t>20833320:eng</t>
  </si>
  <si>
    <t>30035544</t>
  </si>
  <si>
    <t>ocm30035544</t>
  </si>
  <si>
    <t>3101164434Y</t>
  </si>
  <si>
    <t>9780194371643</t>
  </si>
  <si>
    <t>793327527</t>
  </si>
  <si>
    <t>P53 N86 1989</t>
  </si>
  <si>
    <t>0                      P  0053000N  86          1989</t>
  </si>
  <si>
    <t>Designing tasks for the communicative classroom / David Nunan.</t>
  </si>
  <si>
    <t>2017-11-21</t>
  </si>
  <si>
    <t>836791:eng</t>
  </si>
  <si>
    <t>18780714</t>
  </si>
  <si>
    <t>ocm18780714</t>
  </si>
  <si>
    <t>3102575972$</t>
  </si>
  <si>
    <t>9780521370141</t>
  </si>
  <si>
    <t>793037046</t>
  </si>
  <si>
    <t>P53 N87 1992</t>
  </si>
  <si>
    <t>0                      P  0053000N  87          1992</t>
  </si>
  <si>
    <t>Research methods in language learning / David Nunan.</t>
  </si>
  <si>
    <t>Cambridge ; New York, NY, USA : Cambridge University Press, 1992.</t>
  </si>
  <si>
    <t>2015-11-10</t>
  </si>
  <si>
    <t>24141621:eng</t>
  </si>
  <si>
    <t>24952173</t>
  </si>
  <si>
    <t>ocm24952173</t>
  </si>
  <si>
    <t>3101238039V</t>
  </si>
  <si>
    <t>9780521419376</t>
  </si>
  <si>
    <t>793208795</t>
  </si>
  <si>
    <t>P53 N88 2004</t>
  </si>
  <si>
    <t>0                      P  0053000N  88          2004</t>
  </si>
  <si>
    <t>Task-based language teaching / David Nunan.</t>
  </si>
  <si>
    <t>Cambridge, UK ; New York, NY, USA : Cambridge University Press, 2004.</t>
  </si>
  <si>
    <t>24735258:eng</t>
  </si>
  <si>
    <t>58564704</t>
  </si>
  <si>
    <t>ocm58564704</t>
  </si>
  <si>
    <t>3102585460B</t>
  </si>
  <si>
    <t>9780521840170</t>
  </si>
  <si>
    <t>793922776</t>
  </si>
  <si>
    <t>P53 P377 2002</t>
  </si>
  <si>
    <t>0                      P  0053000P  377         2002</t>
  </si>
  <si>
    <t>Pedagogical norms for second and foreign language learning and teaching : studies in honour of Albert Valdman / edited by Susan Gass [and others].</t>
  </si>
  <si>
    <t>Amsterdam ; Philadelphia : J. Benjamins Pub. Co., ©2002.</t>
  </si>
  <si>
    <t>Language learning and language teaching, 1569-9471 ; v. 5</t>
  </si>
  <si>
    <t>793897107:eng</t>
  </si>
  <si>
    <t>49942768</t>
  </si>
  <si>
    <t>ocm49942768</t>
  </si>
  <si>
    <t>3102260060Y</t>
  </si>
  <si>
    <t>9781588112613</t>
  </si>
  <si>
    <t>793751190</t>
  </si>
  <si>
    <t>P53 P378 2012</t>
  </si>
  <si>
    <t>0                      P  0053000P  378         2012</t>
  </si>
  <si>
    <t>Pedagogical stylistics : current trends in language, literature and ELT / edited by Michael Burke [and others].</t>
  </si>
  <si>
    <t>Advances in stylistics</t>
  </si>
  <si>
    <t>1028101974:eng</t>
  </si>
  <si>
    <t>757480882</t>
  </si>
  <si>
    <t>ocn757480882</t>
  </si>
  <si>
    <t>3103407231H</t>
  </si>
  <si>
    <t>9781441140104</t>
  </si>
  <si>
    <t>794895506</t>
  </si>
  <si>
    <t>P53 P4443 2012</t>
  </si>
  <si>
    <t>0                      P  0053000P  4443        2012</t>
  </si>
  <si>
    <t>Languages of the world : an introduction / Asya Pereltsvaig.</t>
  </si>
  <si>
    <t>Pereltsvaig, Asya, 1972-</t>
  </si>
  <si>
    <t>1023725335:eng</t>
  </si>
  <si>
    <t>756913021</t>
  </si>
  <si>
    <t>ocn756913021</t>
  </si>
  <si>
    <t>3103408989J</t>
  </si>
  <si>
    <t>9781107002784</t>
  </si>
  <si>
    <t>794895082</t>
  </si>
  <si>
    <t>P53 P734 2011</t>
  </si>
  <si>
    <t>0                      P  0053000P  734         2011</t>
  </si>
  <si>
    <t>Processes and process-orientation in foreign language teaching and learning / edited by Wai-Meng Chan [and others].</t>
  </si>
  <si>
    <t>[Berlin] ; Boston : De Gruyter Mouton, ©2011.</t>
  </si>
  <si>
    <t>Studies in second and foreign language education ; 4</t>
  </si>
  <si>
    <t>3858135147:eng</t>
  </si>
  <si>
    <t>726621680</t>
  </si>
  <si>
    <t>ocn726621680</t>
  </si>
  <si>
    <t>3103396046N</t>
  </si>
  <si>
    <t>9781614510093</t>
  </si>
  <si>
    <t>794877277</t>
  </si>
  <si>
    <t>P53 P736 2004</t>
  </si>
  <si>
    <t>0                      P  0053000P  736         2004</t>
  </si>
  <si>
    <t>Processing instruction : theory, research, and commentary / edited by Bill VanPatten.</t>
  </si>
  <si>
    <t>Mahwah, N.J. : L. Erlbaum Associates, 2004.</t>
  </si>
  <si>
    <t>Second language acquisition research</t>
  </si>
  <si>
    <t>800656397:eng</t>
  </si>
  <si>
    <t>52937484</t>
  </si>
  <si>
    <t>ocm52937484</t>
  </si>
  <si>
    <t>3102339683M</t>
  </si>
  <si>
    <t>9780805846355</t>
  </si>
  <si>
    <t>793817577</t>
  </si>
  <si>
    <t>P53 R49 2010</t>
  </si>
  <si>
    <t>0                      P  0053000R  49          2010</t>
  </si>
  <si>
    <t>Making it happen : from interactive to participatory language teaching : evolving theory and practice / Patricia A. Richard-Amato.</t>
  </si>
  <si>
    <t>Richard-Amato, Patricia A.</t>
  </si>
  <si>
    <t>White Plains, NY : Pearson Education, ©2010.</t>
  </si>
  <si>
    <t>3772450257:eng</t>
  </si>
  <si>
    <t>313017239</t>
  </si>
  <si>
    <t>ocn313017239</t>
  </si>
  <si>
    <t>3103362044H</t>
  </si>
  <si>
    <t>MISSING</t>
  </si>
  <si>
    <t>9780132361378</t>
  </si>
  <si>
    <t>794437530</t>
  </si>
  <si>
    <t>P53 R5</t>
  </si>
  <si>
    <t>0                      P  0053000R  5</t>
  </si>
  <si>
    <t>Study of the role of second languages in Asia, Africa, and Latin America, edited by Frank A. Rice.</t>
  </si>
  <si>
    <t>Washington, Center for Applied Linguistics of the Modern Language Association of America, 1962.</t>
  </si>
  <si>
    <t>1429117:eng</t>
  </si>
  <si>
    <t>450369</t>
  </si>
  <si>
    <t>ocm00450369</t>
  </si>
  <si>
    <t>3102731133I</t>
  </si>
  <si>
    <t>791382168</t>
  </si>
  <si>
    <t>31027310929</t>
  </si>
  <si>
    <t>791382169</t>
  </si>
  <si>
    <t>P53 R67 1975</t>
  </si>
  <si>
    <t>0                      P  0053000R  67          1975</t>
  </si>
  <si>
    <t>Linguistic theory, linguistic description, and language teaching / Eddy Roulet ; translation by Christopher N. Candlin.</t>
  </si>
  <si>
    <t>Roulet, Eddy, author.</t>
  </si>
  <si>
    <t>2015-06-20</t>
  </si>
  <si>
    <t>512354:eng</t>
  </si>
  <si>
    <t>1863696</t>
  </si>
  <si>
    <t>ocm01863696</t>
  </si>
  <si>
    <t>3000983277G</t>
  </si>
  <si>
    <t>9780582550759</t>
  </si>
  <si>
    <t>792001856</t>
  </si>
  <si>
    <t>3102731128K</t>
  </si>
  <si>
    <t>792001857</t>
  </si>
  <si>
    <t>P53 R87 1987</t>
  </si>
  <si>
    <t>0                      P  0053000R  87          1987</t>
  </si>
  <si>
    <t>Second language grammar : learning and teaching / William E. Rutherford.</t>
  </si>
  <si>
    <t>Rutherford, William E.</t>
  </si>
  <si>
    <t>London ; New York : Longman, 1987.</t>
  </si>
  <si>
    <t>2015-11-30</t>
  </si>
  <si>
    <t>347655983:eng</t>
  </si>
  <si>
    <t>13945569</t>
  </si>
  <si>
    <t>ocm13945569</t>
  </si>
  <si>
    <t>3001000630X</t>
  </si>
  <si>
    <t>9780582553750</t>
  </si>
  <si>
    <t>792872395</t>
  </si>
  <si>
    <t>P53 S385 1996</t>
  </si>
  <si>
    <t>0                      P  0053000S  385         1996</t>
  </si>
  <si>
    <t>Second language classroom research : issues and opportunities / edited by Jacquelyn Schachter, Susan Gass.</t>
  </si>
  <si>
    <t>Mahwah, N.J. : Lawrence Erlbaum Associates, 1996.</t>
  </si>
  <si>
    <t>Second language research</t>
  </si>
  <si>
    <t>891541360:eng</t>
  </si>
  <si>
    <t>34077544</t>
  </si>
  <si>
    <t>ocm34077544</t>
  </si>
  <si>
    <t>31018239140</t>
  </si>
  <si>
    <t>9780805819359</t>
  </si>
  <si>
    <t>793418004</t>
  </si>
  <si>
    <t>P53 S3918 1995</t>
  </si>
  <si>
    <t>0                      P  0053000S  3918        1995</t>
  </si>
  <si>
    <t>Second language practice : classroom strategies for developing communicative competence / edited by Georges Duquette.</t>
  </si>
  <si>
    <t>Clevedon [England] : Philadelphia : Multilingual Matters, ©1995.</t>
  </si>
  <si>
    <t>797125510:eng</t>
  </si>
  <si>
    <t>32699488</t>
  </si>
  <si>
    <t>ocm32699488</t>
  </si>
  <si>
    <t>3101514935E</t>
  </si>
  <si>
    <t>9781853593062</t>
  </si>
  <si>
    <t>793391966</t>
  </si>
  <si>
    <t>P53 S392 1993</t>
  </si>
  <si>
    <t>0                      P  0053000S  392         1993</t>
  </si>
  <si>
    <t>Second language reading and vocabulary learning / edited by Thomas Huckin, Margot Haynes, James Coady.</t>
  </si>
  <si>
    <t>Norwood, New Jersey : Ablex Publishing Corporation, 1993.</t>
  </si>
  <si>
    <t>2015-06-27</t>
  </si>
  <si>
    <t>365074876:eng</t>
  </si>
  <si>
    <t>25871348</t>
  </si>
  <si>
    <t>ocm25871348</t>
  </si>
  <si>
    <t>3101259092A</t>
  </si>
  <si>
    <t>9780893918507</t>
  </si>
  <si>
    <t>793231941</t>
  </si>
  <si>
    <t>P53 S62 2001</t>
  </si>
  <si>
    <t>0                      P  0053000S  62          2001</t>
  </si>
  <si>
    <t>Sociolinguistics and language education : a festschrift for Dr. D.P. Pattanayak / edited by Omkar N. Koul, P. Umarani.</t>
  </si>
  <si>
    <t>New Delhi : Creative Books, 2001.</t>
  </si>
  <si>
    <t>2016-09-01</t>
  </si>
  <si>
    <t>474767095:eng</t>
  </si>
  <si>
    <t>48544345</t>
  </si>
  <si>
    <t>ocm48544345</t>
  </si>
  <si>
    <t>3102731129K</t>
  </si>
  <si>
    <t>9788186318874</t>
  </si>
  <si>
    <t>793723550</t>
  </si>
  <si>
    <t>P53 S655 2009</t>
  </si>
  <si>
    <t>0                      P  0053000S  655         2009</t>
  </si>
  <si>
    <t>The L1 in L2 learning : teachers' beliefs and practices / Yanan Song &amp; Stephen Andrews.</t>
  </si>
  <si>
    <t>Song, Yanan.</t>
  </si>
  <si>
    <t>Muenchen : LINCOM Europa, 2009.</t>
  </si>
  <si>
    <t>Lincom studies in language acquisition ; 24</t>
  </si>
  <si>
    <t>2017-10-08</t>
  </si>
  <si>
    <t>347479775:eng</t>
  </si>
  <si>
    <t>316002330</t>
  </si>
  <si>
    <t>ocn316002330</t>
  </si>
  <si>
    <t>31034281552</t>
  </si>
  <si>
    <t>9783895865787</t>
  </si>
  <si>
    <t>794440371</t>
  </si>
  <si>
    <t>P53 S665 1995</t>
  </si>
  <si>
    <t>0                      P  0053000S  665         1995</t>
  </si>
  <si>
    <t>COLT -- Communicative Orientation of Language Teaching Observation Scheme : coding conventions and applications / Nina Spada, Maria Fröhlich.</t>
  </si>
  <si>
    <t>Spada, Nina.</t>
  </si>
  <si>
    <t>Sydney : National Centre for English Language Teaching and Research, 1995.</t>
  </si>
  <si>
    <t>2015-09-09</t>
  </si>
  <si>
    <t>477487456:eng</t>
  </si>
  <si>
    <t>38396864</t>
  </si>
  <si>
    <t>ocm38396864</t>
  </si>
  <si>
    <t>3101594413X</t>
  </si>
  <si>
    <t>9781864080605</t>
  </si>
  <si>
    <t>793522730</t>
  </si>
  <si>
    <t>P53 S87 1983</t>
  </si>
  <si>
    <t>0                      P  0053000S  87          1983</t>
  </si>
  <si>
    <t>Strategies in interlanguage communication / edited by Claus Færch and Gabriele Kasper.</t>
  </si>
  <si>
    <t>2005-06-30</t>
  </si>
  <si>
    <t>347870851:eng</t>
  </si>
  <si>
    <t>8629683</t>
  </si>
  <si>
    <t>ocm08629683</t>
  </si>
  <si>
    <t>3102731124K</t>
  </si>
  <si>
    <t>9780582553736</t>
  </si>
  <si>
    <t>792631417</t>
  </si>
  <si>
    <t>30009704471</t>
  </si>
  <si>
    <t>792631418</t>
  </si>
  <si>
    <t>P53 T345 2011</t>
  </si>
  <si>
    <t>0                      P  0053000T  345         2011</t>
  </si>
  <si>
    <t>Teaching stylistics / [edited by] Lesley Jeffries, Dan McIntyre.</t>
  </si>
  <si>
    <t>Houndmills, Basingstoke, Hampshire, UK ; New York : Palgrave Macmillan, 2011.</t>
  </si>
  <si>
    <t>Teaching the new English.</t>
  </si>
  <si>
    <t>760624805:eng</t>
  </si>
  <si>
    <t>682891250</t>
  </si>
  <si>
    <t>ocn682891250</t>
  </si>
  <si>
    <t>31033417508</t>
  </si>
  <si>
    <t>9780230235878</t>
  </si>
  <si>
    <t>794852988</t>
  </si>
  <si>
    <t>P53 T35 1992</t>
  </si>
  <si>
    <t>0                      P  0053000T  35          1992</t>
  </si>
  <si>
    <t>Text and context : cross-disciplinary perspectives on language study / Claire Kramsch, editor, University of California at Berkeley ; Sally McConnell-Ginet, editor, Cornell University.</t>
  </si>
  <si>
    <t>Lexington, Massachusetts ; Toronto : D.C. Heath, ©1992.</t>
  </si>
  <si>
    <t>Series on foreign language acquisition research and instruction</t>
  </si>
  <si>
    <t>28174185:eng</t>
  </si>
  <si>
    <t>25471977</t>
  </si>
  <si>
    <t>ocm25471977</t>
  </si>
  <si>
    <t>3101160400Y</t>
  </si>
  <si>
    <t>9780669270242</t>
  </si>
  <si>
    <t>793222773</t>
  </si>
  <si>
    <t>P53 V36 1988</t>
  </si>
  <si>
    <t>0                      P  0053000V  36          1988</t>
  </si>
  <si>
    <t>The classroom and the language learner : ethnography and second Language classroom research / Leo van Lier.</t>
  </si>
  <si>
    <t>Van Lier, Leo.</t>
  </si>
  <si>
    <t>795427080:eng</t>
  </si>
  <si>
    <t>15318065</t>
  </si>
  <si>
    <t>ocm15318065</t>
  </si>
  <si>
    <t>3101951543V</t>
  </si>
  <si>
    <t>9780582552647</t>
  </si>
  <si>
    <t>792928046</t>
  </si>
  <si>
    <t>P53 V364 1996</t>
  </si>
  <si>
    <t>0                      P  0053000V  364         1996</t>
  </si>
  <si>
    <t>Input processing and grammar instruction in second language acquisition / Bill VanPatten.</t>
  </si>
  <si>
    <t>VanPatten, Bill.</t>
  </si>
  <si>
    <t>Norwood, N.J. : Ablex Pub., [©1996]</t>
  </si>
  <si>
    <t>Second language learning</t>
  </si>
  <si>
    <t>2015-02-10</t>
  </si>
  <si>
    <t>3030937:eng</t>
  </si>
  <si>
    <t>34244854</t>
  </si>
  <si>
    <t>ocm34244854</t>
  </si>
  <si>
    <t>31017428055</t>
  </si>
  <si>
    <t>9781567502374</t>
  </si>
  <si>
    <t>793422224</t>
  </si>
  <si>
    <t>P53 W43 1990</t>
  </si>
  <si>
    <t>0                      P  0053000W  43          1990</t>
  </si>
  <si>
    <t>Aspects of language teaching / H.G. Widdowson.</t>
  </si>
  <si>
    <t>Widdowson, H. G.</t>
  </si>
  <si>
    <t>Oxford : Oxford University Press, 1990.</t>
  </si>
  <si>
    <t>Oxford English</t>
  </si>
  <si>
    <t>2015-01-19</t>
  </si>
  <si>
    <t>24132366:eng</t>
  </si>
  <si>
    <t>22766282</t>
  </si>
  <si>
    <t>ocm22766282</t>
  </si>
  <si>
    <t>31033994321</t>
  </si>
  <si>
    <t>9780194371834</t>
  </si>
  <si>
    <t>793153217</t>
  </si>
  <si>
    <t>P53 W65 1998</t>
  </si>
  <si>
    <t>0                      P  0053000W  65          1998</t>
  </si>
  <si>
    <t>Second language development in writing : measures of fluency, accuracy, &amp; complexity / Kate Wolfe-Quintero, Shunji Inagaki, &amp; Hae-Young Kim.</t>
  </si>
  <si>
    <t>Wolfe-Quintero, Kate.</t>
  </si>
  <si>
    <t>[Honolulu] : Second Language Teaching &amp; Curriculum Center, University of Hawaii at Manoa, ©1998.</t>
  </si>
  <si>
    <t>Technical report ; #17</t>
  </si>
  <si>
    <t>892105814:eng</t>
  </si>
  <si>
    <t>40664312</t>
  </si>
  <si>
    <t>ocm40664312</t>
  </si>
  <si>
    <t>3102731135I</t>
  </si>
  <si>
    <t>9780824820695</t>
  </si>
  <si>
    <t>793572302</t>
  </si>
  <si>
    <t>P53 W66 1996</t>
  </si>
  <si>
    <t>0                      P  0053000W  66          1996</t>
  </si>
  <si>
    <t>Teacher cognition in language teaching : beliefs, decision-making, and classroom practice / Devon Woods.</t>
  </si>
  <si>
    <t>Woods, Devon, author.</t>
  </si>
  <si>
    <t>892175785:eng</t>
  </si>
  <si>
    <t>32968541</t>
  </si>
  <si>
    <t>ocm32968541</t>
  </si>
  <si>
    <t>31018281333</t>
  </si>
  <si>
    <t>9780521497008</t>
  </si>
  <si>
    <t>793398416</t>
  </si>
  <si>
    <t>P53.15 M338 1998</t>
  </si>
  <si>
    <t>0                      P  0053150M  338         1998</t>
  </si>
  <si>
    <t>Materials development in language teaching / edited by Brian Tomlinson.</t>
  </si>
  <si>
    <t>Cambridge ; New York : Cambridge University Press, 1998.</t>
  </si>
  <si>
    <t>2019-06-01</t>
  </si>
  <si>
    <t>556813:eng</t>
  </si>
  <si>
    <t>37770835</t>
  </si>
  <si>
    <t>ocm37770835</t>
  </si>
  <si>
    <t>3101885385T</t>
  </si>
  <si>
    <t>9780521574181</t>
  </si>
  <si>
    <t>793506705</t>
  </si>
  <si>
    <t>P53.15 M38 2011</t>
  </si>
  <si>
    <t>0                      P  0053150M  38          2011</t>
  </si>
  <si>
    <t>Cambridge, N.Y. : Cambridge University Press, 2011.</t>
  </si>
  <si>
    <t>2018-09-19</t>
  </si>
  <si>
    <t>658200744</t>
  </si>
  <si>
    <t>ocn658200744</t>
  </si>
  <si>
    <t>3103234968$</t>
  </si>
  <si>
    <t>9780521762854</t>
  </si>
  <si>
    <t>794835924</t>
  </si>
  <si>
    <t>P53.15 R43 2010</t>
  </si>
  <si>
    <t>0                      P  0053150R  43          2010</t>
  </si>
  <si>
    <t>Research for materials development in language learning : evidence for best practice / edited by Brian Tomlinson and Hitomi Masuhara.</t>
  </si>
  <si>
    <t>792453364:eng</t>
  </si>
  <si>
    <t>632084892</t>
  </si>
  <si>
    <t>ocn632084892</t>
  </si>
  <si>
    <t>3103408407D</t>
  </si>
  <si>
    <t>9781441101457</t>
  </si>
  <si>
    <t>794825091</t>
  </si>
  <si>
    <t>P53.2 G65 2008</t>
  </si>
  <si>
    <t>0                      P  0053200G  65          2008</t>
  </si>
  <si>
    <t>Working with images / Ben Goldstein ; consultant and editor, Scott Thornbury.</t>
  </si>
  <si>
    <t>Goldstein, Ben, 1966-</t>
  </si>
  <si>
    <t>Cambridge ; New York : Cambridge University Press, 2008.</t>
  </si>
  <si>
    <t>117090814:eng</t>
  </si>
  <si>
    <t>182656773</t>
  </si>
  <si>
    <t>ocn182656773</t>
  </si>
  <si>
    <t>31028568004</t>
  </si>
  <si>
    <t>9780521710572</t>
  </si>
  <si>
    <t>794284986</t>
  </si>
  <si>
    <t>P53.2 M43 2011</t>
  </si>
  <si>
    <t>0                      P  0053200M  43          2011</t>
  </si>
  <si>
    <t>Media in foreign language teaching and learning / edited by Wai Meng Chan [and others].</t>
  </si>
  <si>
    <t>Studies in second and foreign language education ; 5</t>
  </si>
  <si>
    <t>1083486185:eng</t>
  </si>
  <si>
    <t>726151298</t>
  </si>
  <si>
    <t>ocn726151298</t>
  </si>
  <si>
    <t>3103396110Q</t>
  </si>
  <si>
    <t>9781614510130</t>
  </si>
  <si>
    <t>794877092</t>
  </si>
  <si>
    <t>P53.2 V53 1982</t>
  </si>
  <si>
    <t>0                      P  0053200V  53          1982</t>
  </si>
  <si>
    <t>Video in the language classroom / edited by Marion Geddes and Gill Sturtridge.</t>
  </si>
  <si>
    <t>London : Heinemann Educational Books, 1982.</t>
  </si>
  <si>
    <t>Practical language teaching ; no. 7</t>
  </si>
  <si>
    <t>350068185:eng</t>
  </si>
  <si>
    <t>8800172</t>
  </si>
  <si>
    <t>ocm08800172</t>
  </si>
  <si>
    <t>3000994558Y</t>
  </si>
  <si>
    <t>9780435289713</t>
  </si>
  <si>
    <t>792641779</t>
  </si>
  <si>
    <t>P53.2 W75 1989</t>
  </si>
  <si>
    <t>0                      P  0053200W  75          1989</t>
  </si>
  <si>
    <t>Pictures for language learning / Andrew Wright ; with drawings and photographs by the author.</t>
  </si>
  <si>
    <t>Wright, Andrew, 1937-</t>
  </si>
  <si>
    <t>3805410346:eng</t>
  </si>
  <si>
    <t>19777439</t>
  </si>
  <si>
    <t>ocm19777439</t>
  </si>
  <si>
    <t>3100676239Q</t>
  </si>
  <si>
    <t>9780521352321</t>
  </si>
  <si>
    <t>793068506</t>
  </si>
  <si>
    <t>P53.255 B73 2008</t>
  </si>
  <si>
    <t>0                      P  0053255B  73          2008</t>
  </si>
  <si>
    <t>Communicative language teaching in action : putting principles to work / Klaus Brandl.</t>
  </si>
  <si>
    <t>Brandl, Klaus.</t>
  </si>
  <si>
    <t>Upper Saddle River, N.J. : Pearson Prentice Hall, ©2008.</t>
  </si>
  <si>
    <t>1220005738:eng</t>
  </si>
  <si>
    <t>167490949</t>
  </si>
  <si>
    <t>ocn167490949</t>
  </si>
  <si>
    <t>3103284008D</t>
  </si>
  <si>
    <t>9780131579064</t>
  </si>
  <si>
    <t>794262413</t>
  </si>
  <si>
    <t>P53.27 C37 2011</t>
  </si>
  <si>
    <t>0                      P  0053270C  37          2011</t>
  </si>
  <si>
    <t>Journal writing in second language education / Christine Pearson Casanave.</t>
  </si>
  <si>
    <t>Casanave, Christine Pearson, 1944-</t>
  </si>
  <si>
    <t>Ann Arbor : University of Michigan Press, ©2011.</t>
  </si>
  <si>
    <t>The Michigan series on teaching multilingual writers</t>
  </si>
  <si>
    <t>665028551:eng</t>
  </si>
  <si>
    <t>666406476</t>
  </si>
  <si>
    <t>ocn666406476</t>
  </si>
  <si>
    <t>3103345044F</t>
  </si>
  <si>
    <t>9780472034574</t>
  </si>
  <si>
    <t>794845187</t>
  </si>
  <si>
    <t>P53.27 C66 1996</t>
  </si>
  <si>
    <t>0                      P  0053270C  66          1996</t>
  </si>
  <si>
    <t>Contrastive rhetoric : cross-cultural aspects of second-language writing / Ulla Connor.</t>
  </si>
  <si>
    <t>Connor, Ulla, 1948-</t>
  </si>
  <si>
    <t>2014-12-04</t>
  </si>
  <si>
    <t>2016-03-02</t>
  </si>
  <si>
    <t>808202351:eng</t>
  </si>
  <si>
    <t>32166549</t>
  </si>
  <si>
    <t>ocm32166549</t>
  </si>
  <si>
    <t>3101827518P</t>
  </si>
  <si>
    <t>9780521441452</t>
  </si>
  <si>
    <t>793377127</t>
  </si>
  <si>
    <t>3102731130I</t>
  </si>
  <si>
    <t>793377126</t>
  </si>
  <si>
    <t>P53.27 F44 2006</t>
  </si>
  <si>
    <t>0                      P  0053270F  44          2006</t>
  </si>
  <si>
    <t>Feedback in second language writing : contexts and issues / edited by Ken Hyland, Fiona Hyland.</t>
  </si>
  <si>
    <t>3856422464:eng</t>
  </si>
  <si>
    <t>64453540</t>
  </si>
  <si>
    <t>ocm64453540</t>
  </si>
  <si>
    <t>3102686777R</t>
  </si>
  <si>
    <t>9780521856638</t>
  </si>
  <si>
    <t>794129527</t>
  </si>
  <si>
    <t>2017-04-04</t>
  </si>
  <si>
    <t>3102592172P</t>
  </si>
  <si>
    <t>794129526</t>
  </si>
  <si>
    <t>P53.27 H948 2004</t>
  </si>
  <si>
    <t>0                      P  0053270H  948         2004</t>
  </si>
  <si>
    <t>Genre and second language writing / Ken Hyland.</t>
  </si>
  <si>
    <t>Hyland, Ken.</t>
  </si>
  <si>
    <t>Ann Arbor : University of Michigan Press, ©2004.</t>
  </si>
  <si>
    <t>Michigan series on teaching multilingual writers</t>
  </si>
  <si>
    <t>2018-08-08</t>
  </si>
  <si>
    <t>1020894:eng</t>
  </si>
  <si>
    <t>55633767</t>
  </si>
  <si>
    <t>ocm55633767</t>
  </si>
  <si>
    <t>3102450716G</t>
  </si>
  <si>
    <t>9780472030149</t>
  </si>
  <si>
    <t>793879868</t>
  </si>
  <si>
    <t>P53.27 H95 2003</t>
  </si>
  <si>
    <t>0                      P  0053270H  95          2003</t>
  </si>
  <si>
    <t>Second language writing / Ken Hyland.</t>
  </si>
  <si>
    <t>2018-05-28</t>
  </si>
  <si>
    <t>708590:eng</t>
  </si>
  <si>
    <t>51477876</t>
  </si>
  <si>
    <t>ocm51477876</t>
  </si>
  <si>
    <t>3102433275H</t>
  </si>
  <si>
    <t>9780521827058</t>
  </si>
  <si>
    <t>793785125</t>
  </si>
  <si>
    <t>P53.27 L58 2002</t>
  </si>
  <si>
    <t>0                      P  0053270L  58          2002</t>
  </si>
  <si>
    <t>Peer response in second language writing classrooms / Jun Liu, Jette G. Hansen.</t>
  </si>
  <si>
    <t>Liu, Jun, 1959-</t>
  </si>
  <si>
    <t>Ann Arbor : University of Michigan Press, ©2002.</t>
  </si>
  <si>
    <t>37540744:eng</t>
  </si>
  <si>
    <t>48473896</t>
  </si>
  <si>
    <t>ocm48473896</t>
  </si>
  <si>
    <t>3102211016S</t>
  </si>
  <si>
    <t>9780472088089</t>
  </si>
  <si>
    <t>793721865</t>
  </si>
  <si>
    <t>P53.27 N38 2013</t>
  </si>
  <si>
    <t>0                      P  0053270N  38          2013</t>
  </si>
  <si>
    <t>Narrative research in applied linguistics / edited by Gary Barkhuizen, University of Auckland, New Zealand.</t>
  </si>
  <si>
    <t>Cambridge, United Kingdom : Cambridge University Press, 2013.</t>
  </si>
  <si>
    <t>1379634005:eng</t>
  </si>
  <si>
    <t>843861982</t>
  </si>
  <si>
    <t>ocn843861982</t>
  </si>
  <si>
    <t>31037604134</t>
  </si>
  <si>
    <t>9781107042698</t>
  </si>
  <si>
    <t>794948298</t>
  </si>
  <si>
    <t>P53.27 T73 2010</t>
  </si>
  <si>
    <t>0                      P  0053270T  73          2010</t>
  </si>
  <si>
    <t>Traditions of writing research / edited by Charles Bazerman [and others].</t>
  </si>
  <si>
    <t>New York ; London : Routledge, 2010.</t>
  </si>
  <si>
    <t>2012-02-21</t>
  </si>
  <si>
    <t>1053766229:eng</t>
  </si>
  <si>
    <t>259266346</t>
  </si>
  <si>
    <t>ocn259266346</t>
  </si>
  <si>
    <t>3103154992Q</t>
  </si>
  <si>
    <t>9780415993371</t>
  </si>
  <si>
    <t>794399857</t>
  </si>
  <si>
    <t>P53.27 W35 2011</t>
  </si>
  <si>
    <t>0                      P  0053270W  35          2011</t>
  </si>
  <si>
    <t>The genuine teachers of this art : rhetorical education in antiquity / Jeffrey Walker.</t>
  </si>
  <si>
    <t>Walker, Jeffrey, 1949-</t>
  </si>
  <si>
    <t>Columbia : University of South Carolina Press, ©2011.</t>
  </si>
  <si>
    <t>Studies in rhetoric/communication</t>
  </si>
  <si>
    <t>2014-11-02</t>
  </si>
  <si>
    <t>884278727:eng</t>
  </si>
  <si>
    <t>714505178</t>
  </si>
  <si>
    <t>ocn714505178</t>
  </si>
  <si>
    <t>3103383916J</t>
  </si>
  <si>
    <t>9781611170160</t>
  </si>
  <si>
    <t>794873404</t>
  </si>
  <si>
    <t>P53.28 B43 2003</t>
  </si>
  <si>
    <t>0                      P  0053280B  43          2003</t>
  </si>
  <si>
    <t>Teaching and researching computer-assisted language learning / Ken Beatty.</t>
  </si>
  <si>
    <t>Beatty, Ken.</t>
  </si>
  <si>
    <t>Harlow : Longman, 2003.</t>
  </si>
  <si>
    <t>Applied linguistics in action series</t>
  </si>
  <si>
    <t>715883:eng</t>
  </si>
  <si>
    <t>50270580</t>
  </si>
  <si>
    <t>ocm50270580</t>
  </si>
  <si>
    <t>3103475893Y</t>
  </si>
  <si>
    <t>9780582329003</t>
  </si>
  <si>
    <t>793759478</t>
  </si>
  <si>
    <t>P53.28 C6635 2012</t>
  </si>
  <si>
    <t>0                      P  0053280C  6635        2012</t>
  </si>
  <si>
    <t>Computer-assisted language learning : diversity in research and practice / edited by Glenn Stockwell.</t>
  </si>
  <si>
    <t>Cambridge, UK ; New York : Cambridge University Press, 2012.</t>
  </si>
  <si>
    <t>2014-02-27</t>
  </si>
  <si>
    <t>1087967226:eng</t>
  </si>
  <si>
    <t>753630349</t>
  </si>
  <si>
    <t>ocn753630349</t>
  </si>
  <si>
    <t>31034086135</t>
  </si>
  <si>
    <t>9781107016347</t>
  </si>
  <si>
    <t>794892265</t>
  </si>
  <si>
    <t>P53.28 D53 2012</t>
  </si>
  <si>
    <t>0                      P  0053280D  53          2012</t>
  </si>
  <si>
    <t>Digital games in language learning and teaching / edited by Hayo Reinders, Head of Learner Development, Middlesex University, UK.</t>
  </si>
  <si>
    <t>New York : Palgrave Macmillan, 2012.</t>
  </si>
  <si>
    <t>New language learning and teaching environments</t>
  </si>
  <si>
    <t>1083642750:eng</t>
  </si>
  <si>
    <t>786273282</t>
  </si>
  <si>
    <t>ocn786273282</t>
  </si>
  <si>
    <t>3103412390H</t>
  </si>
  <si>
    <t>9781137022837</t>
  </si>
  <si>
    <t>794915998</t>
  </si>
  <si>
    <t>P53.28 G76 2012</t>
  </si>
  <si>
    <t>0                      P  0053280G  76          2012</t>
  </si>
  <si>
    <t>Didactique des langues et technologies : de l'EAO aux réseaux sociaux / Muriel Grosbois.</t>
  </si>
  <si>
    <t>Grosbois, Muriel.</t>
  </si>
  <si>
    <t>Paris : Presses de l'Université Paris-Sorbonne, ©2012.</t>
  </si>
  <si>
    <t>Travaux de stylistique et de linguistique françaises. Série Etudes linguistiques.</t>
  </si>
  <si>
    <t>1173714286:fre</t>
  </si>
  <si>
    <t>813835091</t>
  </si>
  <si>
    <t>ocn813835091</t>
  </si>
  <si>
    <t>3103467073M</t>
  </si>
  <si>
    <t>9782840508489</t>
  </si>
  <si>
    <t>794931813</t>
  </si>
  <si>
    <t>P53.28 J489 2016</t>
  </si>
  <si>
    <t>0                      P  0053280J  489         2016</t>
  </si>
  <si>
    <t>Jeu(x) et langue(s) : avatars du ludique dans l'enseignement/apprentissage des langues / coordonné par Haydée Silva et Mathieu Loiseau.</t>
  </si>
  <si>
    <t>Paris : Clé international : Le français dans le monde, [2016]</t>
  </si>
  <si>
    <t>Le français dans le monde. Recherches et applications 0994-6632 ; janvier 2016 = no. 59</t>
  </si>
  <si>
    <t>2019-04-26</t>
  </si>
  <si>
    <t>2899541031:fre</t>
  </si>
  <si>
    <t>941806296</t>
  </si>
  <si>
    <t>ocn941806296</t>
  </si>
  <si>
    <t>3103658852P</t>
  </si>
  <si>
    <t>9782090371321</t>
  </si>
  <si>
    <t>795012299</t>
  </si>
  <si>
    <t>P53.28 K44 2007</t>
  </si>
  <si>
    <t>0                      P  0053280K  44          2007</t>
  </si>
  <si>
    <t>ICT and language learning : from print to the mobile phone / Marie-Madeleine Kenning.</t>
  </si>
  <si>
    <t>Kenning, M.-M.</t>
  </si>
  <si>
    <t>Basingstoke : Palgrave Macmillan, 2007.</t>
  </si>
  <si>
    <t>2018-10-10</t>
  </si>
  <si>
    <t>308981326:eng</t>
  </si>
  <si>
    <t>85689604</t>
  </si>
  <si>
    <t>ocm85689604</t>
  </si>
  <si>
    <t>3102976561M</t>
  </si>
  <si>
    <t>9780230517073</t>
  </si>
  <si>
    <t>794214115</t>
  </si>
  <si>
    <t>P53.28 K87 2011</t>
  </si>
  <si>
    <t>0                      P  0053280K  87          2011</t>
  </si>
  <si>
    <t>Foreign language learning and use : interaction in informal social networks / Naomi Kurata.</t>
  </si>
  <si>
    <t>Kurata, Naomi.</t>
  </si>
  <si>
    <t>New York, NY : Continuum International Pub. Group, 2011.</t>
  </si>
  <si>
    <t>792036041:eng</t>
  </si>
  <si>
    <t>557407812</t>
  </si>
  <si>
    <t>ocn557407812</t>
  </si>
  <si>
    <t>31033244957</t>
  </si>
  <si>
    <t>9780826424303</t>
  </si>
  <si>
    <t>794812426</t>
  </si>
  <si>
    <t>P53.28 L483 2006</t>
  </si>
  <si>
    <t>0                      P  0053280L  483         2006</t>
  </si>
  <si>
    <t>CALL dimensions : options and issues in computer assisted language learning / Mike Levy, Glenn Stockwell.</t>
  </si>
  <si>
    <t>Levy, Mike, 1953-</t>
  </si>
  <si>
    <t>Mahwah, N.J. : L. Erbaum Associates, 2006.</t>
  </si>
  <si>
    <t>196984213:eng</t>
  </si>
  <si>
    <t>63705787</t>
  </si>
  <si>
    <t>ocm63705787</t>
  </si>
  <si>
    <t>31026321978</t>
  </si>
  <si>
    <t>9780805856330</t>
  </si>
  <si>
    <t>794122890</t>
  </si>
  <si>
    <t>P53.28 M475 2013</t>
  </si>
  <si>
    <t>0                      P  0053280M  475         2013</t>
  </si>
  <si>
    <t>Online teaching and learning : sociocultural perspectives / Carla Meskill.</t>
  </si>
  <si>
    <t>Meskill, Carla, author.</t>
  </si>
  <si>
    <t>London, England : Bloomsbury Academic, An imprint of Bloomsbury Publishing Plc, 2013.</t>
  </si>
  <si>
    <t>Advances in digital language learning and teaching</t>
  </si>
  <si>
    <t>1374920960:eng</t>
  </si>
  <si>
    <t>834431294</t>
  </si>
  <si>
    <t>ocn834431294</t>
  </si>
  <si>
    <t>3103503160O</t>
  </si>
  <si>
    <t>9781441159458</t>
  </si>
  <si>
    <t>794944343</t>
  </si>
  <si>
    <t>P53.28 S43 2007</t>
  </si>
  <si>
    <t>0                      P  0053280S  43          2007</t>
  </si>
  <si>
    <t>Blended learning : using technology in and beyond the language classroom / Pete Sharma &amp; Barney Barrett.</t>
  </si>
  <si>
    <t>Sharma, Pete, 1956-</t>
  </si>
  <si>
    <t>Oxford : Macmillan, 2007.</t>
  </si>
  <si>
    <t>792591096:eng</t>
  </si>
  <si>
    <t>195632036</t>
  </si>
  <si>
    <t>ocn195632036</t>
  </si>
  <si>
    <t>31032861072</t>
  </si>
  <si>
    <t>9780230020832</t>
  </si>
  <si>
    <t>794304159</t>
  </si>
  <si>
    <t>P53.28 S73 2013</t>
  </si>
  <si>
    <t>0                      P  0053280S  73          2013</t>
  </si>
  <si>
    <t>Language learning with technology : ideas for integrating technology in the language classroom / Graham Stanley ; Consultant and editor: Scott Thornbury.</t>
  </si>
  <si>
    <t>Stanley, Graham.</t>
  </si>
  <si>
    <t>1417160110:eng</t>
  </si>
  <si>
    <t>820780980</t>
  </si>
  <si>
    <t>ocn820780980</t>
  </si>
  <si>
    <t>3103501691B</t>
  </si>
  <si>
    <t>9781107628809</t>
  </si>
  <si>
    <t>794935740</t>
  </si>
  <si>
    <t>P53.28 T43 1997</t>
  </si>
  <si>
    <t>0                      P  0053280T  43          1997</t>
  </si>
  <si>
    <t>Technology-enhanced language learning / Michael D. Bush, editor and Robert M. Terry, associate editor ; in conjunction with the American Council on the Teaching of Foreign Languages.</t>
  </si>
  <si>
    <t>Lincolnwood, Ill. : National Textbook Co., ©1997.</t>
  </si>
  <si>
    <t>435633098:eng</t>
  </si>
  <si>
    <t>36163363</t>
  </si>
  <si>
    <t>ocm36163363</t>
  </si>
  <si>
    <t>31017035114</t>
  </si>
  <si>
    <t>9780844293967</t>
  </si>
  <si>
    <t>793467923</t>
  </si>
  <si>
    <t>P53.285 A23 2011</t>
  </si>
  <si>
    <t>0                      P  0053285A  23          2011</t>
  </si>
  <si>
    <t>Academic podcasting and mobile assisted language learning : applications and outcomes / Betty Rose Facer, Mohammed Abdous, [editors].</t>
  </si>
  <si>
    <t>Hershey, PA : Information Science Reference, 2011.</t>
  </si>
  <si>
    <t>820129708:eng</t>
  </si>
  <si>
    <t>617382266</t>
  </si>
  <si>
    <t>ocn617382266</t>
  </si>
  <si>
    <t>31033437108</t>
  </si>
  <si>
    <t>9781609601416</t>
  </si>
  <si>
    <t>794822842</t>
  </si>
  <si>
    <t>P53.285 D83 2007</t>
  </si>
  <si>
    <t>0                      P  0053285D  83          2007</t>
  </si>
  <si>
    <t>The Internet and the language classroom / Gavin Dudeney.</t>
  </si>
  <si>
    <t>Dudeney, Gavin, 1964-</t>
  </si>
  <si>
    <t>34854766:eng</t>
  </si>
  <si>
    <t>74967108</t>
  </si>
  <si>
    <t>ocm74967108</t>
  </si>
  <si>
    <t>3102569316I</t>
  </si>
  <si>
    <t>9780521684460</t>
  </si>
  <si>
    <t>794174121</t>
  </si>
  <si>
    <t>P53.29 T34 1986</t>
  </si>
  <si>
    <t>0                      P  0053290T  34          1986</t>
  </si>
  <si>
    <t>Talking to learn : conversation in second language acquisition / editor, Richard R. Day.</t>
  </si>
  <si>
    <t>Rowley, MA : Newbury House, 1986.</t>
  </si>
  <si>
    <t>836676147:eng</t>
  </si>
  <si>
    <t>12724177</t>
  </si>
  <si>
    <t>ocm12724177</t>
  </si>
  <si>
    <t>3000988469J</t>
  </si>
  <si>
    <t>9780883773178</t>
  </si>
  <si>
    <t>792825813</t>
  </si>
  <si>
    <t>P53.29 T46 2012</t>
  </si>
  <si>
    <t>0                      P  0053290T  46          2012</t>
  </si>
  <si>
    <t>Explaining conversations : a developmental social exchange theory / R. Murray Thomas, Marie K. Iding.</t>
  </si>
  <si>
    <t>Thomas, R. Murray (Robert Murray), 1921-</t>
  </si>
  <si>
    <t>Lanham : Jason Aronson, 2012.</t>
  </si>
  <si>
    <t>1118881950:eng</t>
  </si>
  <si>
    <t>748329989</t>
  </si>
  <si>
    <t>ocn748329989</t>
  </si>
  <si>
    <t>3103405164M</t>
  </si>
  <si>
    <t>9780765708724</t>
  </si>
  <si>
    <t>794889077</t>
  </si>
  <si>
    <t>P53.295 D8 1986</t>
  </si>
  <si>
    <t>0                      P  0053295D  8           1986</t>
  </si>
  <si>
    <t>Course design : developing programs and materials for language learning / Fraida Dubin and Elite Olshtain.</t>
  </si>
  <si>
    <t>Dubin, Fraida.</t>
  </si>
  <si>
    <t>2017-07-08</t>
  </si>
  <si>
    <t>827743160:eng</t>
  </si>
  <si>
    <t>12752382</t>
  </si>
  <si>
    <t>ocm12752382</t>
  </si>
  <si>
    <t>3102491634S</t>
  </si>
  <si>
    <t>9780521256766</t>
  </si>
  <si>
    <t>792826854</t>
  </si>
  <si>
    <t>P53.295 R53 2001</t>
  </si>
  <si>
    <t>0                      P  0053295R  53          2001</t>
  </si>
  <si>
    <t>Curriculum development in language teaching / Jack C. Richards.</t>
  </si>
  <si>
    <t>Cambridge, UK ; New York : Cambridge University Press, 2001.</t>
  </si>
  <si>
    <t>2018-08-13</t>
  </si>
  <si>
    <t>47364:eng</t>
  </si>
  <si>
    <t>43985524</t>
  </si>
  <si>
    <t>ocm43985524</t>
  </si>
  <si>
    <t>3102266776O</t>
  </si>
  <si>
    <t>9780521800600</t>
  </si>
  <si>
    <t>793640188</t>
  </si>
  <si>
    <t>P53.297 K36 1998</t>
  </si>
  <si>
    <t>0                      P  0053297K  36          1998</t>
  </si>
  <si>
    <t>Words into worlds : learning a second language through process drama / by Shin-Mei Kao and Cecily O'Neill.</t>
  </si>
  <si>
    <t>Kao, Shin-Mei.</t>
  </si>
  <si>
    <t>Stamford, Conn. : Ablex, ©1998.</t>
  </si>
  <si>
    <t>Contemporary studies in second language learning</t>
  </si>
  <si>
    <t>837010632:eng</t>
  </si>
  <si>
    <t>37755204</t>
  </si>
  <si>
    <t>ocm37755204</t>
  </si>
  <si>
    <t>3102059515E</t>
  </si>
  <si>
    <t>9781567503685</t>
  </si>
  <si>
    <t>793506335</t>
  </si>
  <si>
    <t>P53.4 B334 2010</t>
  </si>
  <si>
    <t>0                      P  0053400B  334         2010</t>
  </si>
  <si>
    <t>Language assessment in practice : developing language assessments and justifying their use in the real world / Lyle Bachman and Adrian Palmer.</t>
  </si>
  <si>
    <t>Bachman, Lyle F., 1944-</t>
  </si>
  <si>
    <t>796168187:eng</t>
  </si>
  <si>
    <t>659418621</t>
  </si>
  <si>
    <t>ocn659418621</t>
  </si>
  <si>
    <t>31031341054</t>
  </si>
  <si>
    <t>9780194422932</t>
  </si>
  <si>
    <t>794836339</t>
  </si>
  <si>
    <t>P53.4 B758 2005</t>
  </si>
  <si>
    <t>0                      P  0053400B  758         2005</t>
  </si>
  <si>
    <t>Interviewer variability in oral proficiency interviews / Annie Brown.</t>
  </si>
  <si>
    <t>Brown, Annie, 1954-</t>
  </si>
  <si>
    <t>Frankfurt am Main ; New York : P. Lang, 2005.</t>
  </si>
  <si>
    <t>Language testing and evaluation ; v. 4</t>
  </si>
  <si>
    <t>2019-04-17</t>
  </si>
  <si>
    <t>47024879:eng</t>
  </si>
  <si>
    <t>62697212</t>
  </si>
  <si>
    <t>ocm62697212</t>
  </si>
  <si>
    <t>3102548151U</t>
  </si>
  <si>
    <t>9780820477596</t>
  </si>
  <si>
    <t>794110881</t>
  </si>
  <si>
    <t>P53.4 B76 2004</t>
  </si>
  <si>
    <t>0                      P  0053400B  76          2004</t>
  </si>
  <si>
    <t>Language assessment : principles and classroom practices / H. Douglas Brown.</t>
  </si>
  <si>
    <t>New York : Pearson/Longman, ©2004.</t>
  </si>
  <si>
    <t>149012989:eng</t>
  </si>
  <si>
    <t>52381492</t>
  </si>
  <si>
    <t>ocm52381492</t>
  </si>
  <si>
    <t>31034531831</t>
  </si>
  <si>
    <t>9780130988348</t>
  </si>
  <si>
    <t>793805062</t>
  </si>
  <si>
    <t>P53.4 B76 2010</t>
  </si>
  <si>
    <t>0                      P  0053400B  76          2010</t>
  </si>
  <si>
    <t>Language assessment : principles and classroom practices / H. Douglas Brown ; Priyanvada Abeywickrama.</t>
  </si>
  <si>
    <t>White Plains, NY : Pearson Education, 2010.</t>
  </si>
  <si>
    <t>436027624</t>
  </si>
  <si>
    <t>ocn436027624</t>
  </si>
  <si>
    <t>3103373454V</t>
  </si>
  <si>
    <t>9780138149314</t>
  </si>
  <si>
    <t>794784064</t>
  </si>
  <si>
    <t>P53.4 C36 2011</t>
  </si>
  <si>
    <t>0                      P  0053400C  36          2011</t>
  </si>
  <si>
    <t>Designing and analyzing language tests / Nathan T. Carr.</t>
  </si>
  <si>
    <t>Carr, Nathan T. (Nathan Thomas), 1966-</t>
  </si>
  <si>
    <t>Oxford ; New York : Oxford University Press, 2011.</t>
  </si>
  <si>
    <t>Oxford handbooks for language teachers</t>
  </si>
  <si>
    <t>2018-03-22</t>
  </si>
  <si>
    <t>985314639:eng</t>
  </si>
  <si>
    <t>746293837</t>
  </si>
  <si>
    <t>ocn746293837</t>
  </si>
  <si>
    <t>3103380765R</t>
  </si>
  <si>
    <t>9780194422970</t>
  </si>
  <si>
    <t>794887051</t>
  </si>
  <si>
    <t>P53.4 C37 1985</t>
  </si>
  <si>
    <t>0                      P  0053400C  37          1985</t>
  </si>
  <si>
    <t>Make your own language tests : a practical guide to writing language performance tests / Brendan J. Carroll and Patrick J. Hall.</t>
  </si>
  <si>
    <t>Carroll, Brendan J.</t>
  </si>
  <si>
    <t>Oxford [Oxfordshire] ; New York : Pergamon Institute of English, 1985.</t>
  </si>
  <si>
    <t>4520382:eng</t>
  </si>
  <si>
    <t>11727099</t>
  </si>
  <si>
    <t>ocm11727099</t>
  </si>
  <si>
    <t>30009890643</t>
  </si>
  <si>
    <t>9780080315478</t>
  </si>
  <si>
    <t>792784842</t>
  </si>
  <si>
    <t>P53.4 C394 2006</t>
  </si>
  <si>
    <t>0                      P  0053400C  394         2006</t>
  </si>
  <si>
    <t>Assessing language through computer technology / Carol A. Chapelle and Dan Douglas.</t>
  </si>
  <si>
    <t>Chapelle, Carol A.</t>
  </si>
  <si>
    <t>Cambridge [England] : New York : Cambridge University Press, 2006.</t>
  </si>
  <si>
    <t>The Cambridge language assessment series</t>
  </si>
  <si>
    <t>2017-09-06</t>
  </si>
  <si>
    <t>148692787:eng</t>
  </si>
  <si>
    <t>63705775</t>
  </si>
  <si>
    <t>ocm63705775</t>
  </si>
  <si>
    <t>31025568866</t>
  </si>
  <si>
    <t>9780521840217</t>
  </si>
  <si>
    <t>794122885</t>
  </si>
  <si>
    <t>P53.4 C45 2005</t>
  </si>
  <si>
    <t>0                      P  0053400C  45          2005</t>
  </si>
  <si>
    <t>Changing language teaching through language testing : a washback study / Liying Cheng.</t>
  </si>
  <si>
    <t>Cheng, Liying, 1959-</t>
  </si>
  <si>
    <t>Cambridge [England] ; New York : Cambridge University Press, 2005.</t>
  </si>
  <si>
    <t>Studies in language testing ; 21</t>
  </si>
  <si>
    <t>149169501:eng</t>
  </si>
  <si>
    <t>70077072</t>
  </si>
  <si>
    <t>ocm70077072</t>
  </si>
  <si>
    <t>3103135451I</t>
  </si>
  <si>
    <t>9780521836142</t>
  </si>
  <si>
    <t>794148464</t>
  </si>
  <si>
    <t>P53.4 C537 2011</t>
  </si>
  <si>
    <t>0                      P  0053400C  537         2011</t>
  </si>
  <si>
    <t>Classroom-based language assessment / Dina Tsagari, Ildikó Csépes (eds.).</t>
  </si>
  <si>
    <t>Frankfurt am Main ; New York : Peter Lang, [2011]</t>
  </si>
  <si>
    <t>Language testing and evaluation, 1612-815X ; VOLUME 25</t>
  </si>
  <si>
    <t>1043190550:eng</t>
  </si>
  <si>
    <t>746296348</t>
  </si>
  <si>
    <t>ocn746296348</t>
  </si>
  <si>
    <t>31035030052</t>
  </si>
  <si>
    <t>9783631606438</t>
  </si>
  <si>
    <t>794887053</t>
  </si>
  <si>
    <t>P53.4 C59 1992</t>
  </si>
  <si>
    <t>0                      P  0053400C  59          1992</t>
  </si>
  <si>
    <t>The Construct of language proficiency : applications of psychological models to language assessment / edited by Ludo Verhoeven and John H.A.L. de Jong.</t>
  </si>
  <si>
    <t>Amsterdam ; Philadelphia : John Benjamins Pub. Co., 1992.</t>
  </si>
  <si>
    <t>902091319:eng</t>
  </si>
  <si>
    <t>26159314</t>
  </si>
  <si>
    <t>ocm26159314</t>
  </si>
  <si>
    <t>3102731116M</t>
  </si>
  <si>
    <t>9781556194610</t>
  </si>
  <si>
    <t>793238851</t>
  </si>
  <si>
    <t>P53.4 D47 1998</t>
  </si>
  <si>
    <t>0                      P  0053400D  47          1998</t>
  </si>
  <si>
    <t>Designing second language performance assessments / John M. Norris [and others].</t>
  </si>
  <si>
    <t>Honolulu : Second Language Teaching &amp; Curriculum Center, University of Hawai'i at Mānoa, ©1998.</t>
  </si>
  <si>
    <t>Technical report ; no. 18</t>
  </si>
  <si>
    <t>56337495:eng</t>
  </si>
  <si>
    <t>40151427</t>
  </si>
  <si>
    <t>ocm40151427</t>
  </si>
  <si>
    <t>31020888596</t>
  </si>
  <si>
    <t>9780824821098</t>
  </si>
  <si>
    <t>793560792</t>
  </si>
  <si>
    <t>P53.4 D489 2004</t>
  </si>
  <si>
    <t>0                      P  0053400D  489         2004</t>
  </si>
  <si>
    <t>Dictionary of language testing / Alan Davies [and others].</t>
  </si>
  <si>
    <t>Cambridge ; New York, NY : Press Syndicate of the University of Cambridge, 1999.</t>
  </si>
  <si>
    <t>Studies in language testing ; 7</t>
  </si>
  <si>
    <t>326826389:eng</t>
  </si>
  <si>
    <t>42794080</t>
  </si>
  <si>
    <t>ocm42794080</t>
  </si>
  <si>
    <t>31023998022</t>
  </si>
  <si>
    <t>9780521651011</t>
  </si>
  <si>
    <t>793614518</t>
  </si>
  <si>
    <t>P53.4 D68 1993</t>
  </si>
  <si>
    <t>0                      P  0053400D  68          1993</t>
  </si>
  <si>
    <t>A new decade of language testing research : selected papers from the 1990 Language Testing Research Colloquium : dedicated in memory of Michael Canale / Dan Douglas and Carol Chapelle, editors.</t>
  </si>
  <si>
    <t>Language Testing Research Colloquim (1990)</t>
  </si>
  <si>
    <t>Alexandria, Virginia : Teachers of English to Speakers of Other Languages, ©1993.</t>
  </si>
  <si>
    <t>2019-07-24</t>
  </si>
  <si>
    <t>114865940:eng</t>
  </si>
  <si>
    <t>28494029</t>
  </si>
  <si>
    <t>ocm28494029</t>
  </si>
  <si>
    <t>3102061687J</t>
  </si>
  <si>
    <t>9780939791439</t>
  </si>
  <si>
    <t>793289102</t>
  </si>
  <si>
    <t>P53.4 E98 2011</t>
  </si>
  <si>
    <t>0                      P  0053400E  98          2011</t>
  </si>
  <si>
    <t>Examining speaking : research and practice in assessing second language speaking / edited by Lynda Taylor.</t>
  </si>
  <si>
    <t>Studies in language testing ; 30</t>
  </si>
  <si>
    <t>908663459:eng</t>
  </si>
  <si>
    <t>730054583</t>
  </si>
  <si>
    <t>ocn730054583</t>
  </si>
  <si>
    <t>3103380326A</t>
  </si>
  <si>
    <t>9780521736701</t>
  </si>
  <si>
    <t>794879860</t>
  </si>
  <si>
    <t>P53.4 F85 2007</t>
  </si>
  <si>
    <t>0                      P  0053400F  85          2007</t>
  </si>
  <si>
    <t>Language testing and assessment : an advanced resource book / Glenn Fulcher and Fred Davidson.</t>
  </si>
  <si>
    <t>Fulcher, Glenn, author.</t>
  </si>
  <si>
    <t>2017-02-14</t>
  </si>
  <si>
    <t>792923275:eng</t>
  </si>
  <si>
    <t>70483442</t>
  </si>
  <si>
    <t>ocm70483442</t>
  </si>
  <si>
    <t>31026342309</t>
  </si>
  <si>
    <t>9780415339476</t>
  </si>
  <si>
    <t>794155866</t>
  </si>
  <si>
    <t>P53.4 G74 2012</t>
  </si>
  <si>
    <t>0                      P  0053400G  74          2012</t>
  </si>
  <si>
    <t>Language functions revisited : theoretical and empirical bases for language construct definition across the ability range / Anthony Green ; with contributions from John L M Trim and Roger Hawkey.</t>
  </si>
  <si>
    <t>Green, Anthony, 1966-</t>
  </si>
  <si>
    <t>EnglishProfile studies ; 2</t>
  </si>
  <si>
    <t>865299392:eng</t>
  </si>
  <si>
    <t>711989048</t>
  </si>
  <si>
    <t>ocn711989048</t>
  </si>
  <si>
    <t>3103422326Q</t>
  </si>
  <si>
    <t>9780521184991</t>
  </si>
  <si>
    <t>794871523</t>
  </si>
  <si>
    <t>P53.4 H84 1989</t>
  </si>
  <si>
    <t>0                      P  0053400H  84          1989</t>
  </si>
  <si>
    <t>Testing for language teachers / Arthur Hughes.</t>
  </si>
  <si>
    <t>Hughes, Arthur, 1941-</t>
  </si>
  <si>
    <t>115151329:eng</t>
  </si>
  <si>
    <t>18869767</t>
  </si>
  <si>
    <t>ocm18869767</t>
  </si>
  <si>
    <t>3100676238S</t>
  </si>
  <si>
    <t>9780521252645</t>
  </si>
  <si>
    <t>793039811</t>
  </si>
  <si>
    <t>P53.4 I35 2007</t>
  </si>
  <si>
    <t>0                      P  0053400I  35          2007</t>
  </si>
  <si>
    <t>IELTS collected papers : research in speaking and writing assessment / edited by Lynda Taylor and Peter Falvey.</t>
  </si>
  <si>
    <t>Studies in language testing ; 19</t>
  </si>
  <si>
    <t>479643311:eng</t>
  </si>
  <si>
    <t>80019877</t>
  </si>
  <si>
    <t>ocm80019877</t>
  </si>
  <si>
    <t>3102569306K</t>
  </si>
  <si>
    <t>9780521542487</t>
  </si>
  <si>
    <t>794199637</t>
  </si>
  <si>
    <t>P53.4 I355 2012</t>
  </si>
  <si>
    <t>0                      P  0053400I  355         2012</t>
  </si>
  <si>
    <t>IELTS collected papers 2 : research in reading and listening assessment / edited by Lynda Taylor and Cyril J Weir.</t>
  </si>
  <si>
    <t>Studies in language testing ; 34</t>
  </si>
  <si>
    <t>2018-01-23</t>
  </si>
  <si>
    <t>3861472253:eng</t>
  </si>
  <si>
    <t>758397357</t>
  </si>
  <si>
    <t>ocn758397357</t>
  </si>
  <si>
    <t>3103408978L</t>
  </si>
  <si>
    <t>9781107602649</t>
  </si>
  <si>
    <t>794896341</t>
  </si>
  <si>
    <t>2015-11-07</t>
  </si>
  <si>
    <t>P53.4 L383 1993</t>
  </si>
  <si>
    <t>0                      P  0053400L  383         1993</t>
  </si>
  <si>
    <t>Performance testing, cognition, and assessment : selected papers from the 15th Language Testing Research Colloquium (LTRC), Cambridge and Arnhem / [edited by Michael Milanovic and Nick Saville].</t>
  </si>
  <si>
    <t>Language Testing Research Colloquium (15th : 1993 : Cambridge, England and Arnhem, Netherlands)</t>
  </si>
  <si>
    <t>Studies in language testing ; 3</t>
  </si>
  <si>
    <t>2017-07-06</t>
  </si>
  <si>
    <t>326939402:eng</t>
  </si>
  <si>
    <t>35206277</t>
  </si>
  <si>
    <t>ocm35206277</t>
  </si>
  <si>
    <t>31027312629</t>
  </si>
  <si>
    <t>9780521481694</t>
  </si>
  <si>
    <t>793446768</t>
  </si>
  <si>
    <t>P53.4 L87 1995</t>
  </si>
  <si>
    <t>0                      P  0053400L  87          1995</t>
  </si>
  <si>
    <t>Le point sur l'évaluation en didactique des langues / Denise Lussier, Carolyn E. Turner.</t>
  </si>
  <si>
    <t>Lussier, Denise, 1941-</t>
  </si>
  <si>
    <t>Anjou, Québec : CEC, 1995.</t>
  </si>
  <si>
    <t>Point sur</t>
  </si>
  <si>
    <t>40896283:fre</t>
  </si>
  <si>
    <t>428083266</t>
  </si>
  <si>
    <t>ocn428083266</t>
  </si>
  <si>
    <t>3101569695R</t>
  </si>
  <si>
    <t>9782761711357</t>
  </si>
  <si>
    <t>794768469</t>
  </si>
  <si>
    <t>P53.4 M25 2000</t>
  </si>
  <si>
    <t>0                      P  0053400M  25          2000</t>
  </si>
  <si>
    <t>Language testing / Tim McNamara.</t>
  </si>
  <si>
    <t>McNamara, T. F. (Timothy Francis), 1949-</t>
  </si>
  <si>
    <t>Oxford [England] ; New York : Oxford University Press, 2000.</t>
  </si>
  <si>
    <t>2015-10-10</t>
  </si>
  <si>
    <t>9381356558:eng</t>
  </si>
  <si>
    <t>43763288</t>
  </si>
  <si>
    <t>ocm43763288</t>
  </si>
  <si>
    <t>31020871851</t>
  </si>
  <si>
    <t>9780194372220</t>
  </si>
  <si>
    <t>793634247</t>
  </si>
  <si>
    <t>P53.4 M359 2006</t>
  </si>
  <si>
    <t>0                      P  0053400M  359         2006</t>
  </si>
  <si>
    <t>Language testing : the social dimension / Tim McNamara and Carsten Roever.</t>
  </si>
  <si>
    <t>Malden, MA : Blackwell Pub., ©2006.</t>
  </si>
  <si>
    <t>Language learning. Monograph series</t>
  </si>
  <si>
    <t>2015-04-22</t>
  </si>
  <si>
    <t>70276497</t>
  </si>
  <si>
    <t>ocm70276497</t>
  </si>
  <si>
    <t>3102636552P</t>
  </si>
  <si>
    <t>9781405155434</t>
  </si>
  <si>
    <t>794152423</t>
  </si>
  <si>
    <t>P53.4 M36 1996</t>
  </si>
  <si>
    <t>0                      P  0053400M  36          1996</t>
  </si>
  <si>
    <t>Measuring second language performance / T.F. McNamara.</t>
  </si>
  <si>
    <t>London ; New York : Longman, 1996.</t>
  </si>
  <si>
    <t>2017-04-22</t>
  </si>
  <si>
    <t>38507072:eng</t>
  </si>
  <si>
    <t>33443522</t>
  </si>
  <si>
    <t>ocm33443522</t>
  </si>
  <si>
    <t>31017066374</t>
  </si>
  <si>
    <t>9780582089075</t>
  </si>
  <si>
    <t>793409713</t>
  </si>
  <si>
    <t>P53.4 M85 2005</t>
  </si>
  <si>
    <t>0                      P  0053400M  85          2005</t>
  </si>
  <si>
    <t>Multilingualism and assessment : achieving transparency, assuring quality, sustaining diversity : proceedings of the ALTE Berlin conference, May 2005.</t>
  </si>
  <si>
    <t>Studies in language testing ; 27</t>
  </si>
  <si>
    <t>504226340:eng</t>
  </si>
  <si>
    <t>232327374</t>
  </si>
  <si>
    <t>ocn232327374</t>
  </si>
  <si>
    <t>3102855615C</t>
  </si>
  <si>
    <t>9780521711920</t>
  </si>
  <si>
    <t>794363432</t>
  </si>
  <si>
    <t>P53.4 S27 1996</t>
  </si>
  <si>
    <t>0                      P  0053400S  27          1996</t>
  </si>
  <si>
    <t>Second language proficiency, foreign language aptitude, and intelligence : quantitative and qualitative analyses / Miyuki Sasaki.</t>
  </si>
  <si>
    <t>Sasaki, Miyuki, 1959-</t>
  </si>
  <si>
    <t>New York : P. Lang, ©1996.</t>
  </si>
  <si>
    <t>Theoretical studies in second language acquisition ; vol. 6</t>
  </si>
  <si>
    <t>808522856:eng</t>
  </si>
  <si>
    <t>32167977</t>
  </si>
  <si>
    <t>ocm32167977</t>
  </si>
  <si>
    <t>3101704039Y</t>
  </si>
  <si>
    <t>9780820424972</t>
  </si>
  <si>
    <t>793377311</t>
  </si>
  <si>
    <t>P53.4 S5 2001</t>
  </si>
  <si>
    <t>0                      P  0053400S  5           2001</t>
  </si>
  <si>
    <t>The power of tests : a critical perspective on the uses of language tests / Elana Shohamy.</t>
  </si>
  <si>
    <t>Shohamy, Elana Goldberg.</t>
  </si>
  <si>
    <t>2017-10-15</t>
  </si>
  <si>
    <t>839223240:eng</t>
  </si>
  <si>
    <t>44118166</t>
  </si>
  <si>
    <t>ocm44118166</t>
  </si>
  <si>
    <t>3103499657M</t>
  </si>
  <si>
    <t>9780582423367</t>
  </si>
  <si>
    <t>793642850</t>
  </si>
  <si>
    <t>P53.4 V35 1996</t>
  </si>
  <si>
    <t>0                      P  0053400V  35          1996</t>
  </si>
  <si>
    <t>Validation in language testing / edited by Alister Cumming and Richard Berwick.</t>
  </si>
  <si>
    <t>Clevedon [England] ; Philadelphia : Multilingual Matters, ©1996.</t>
  </si>
  <si>
    <t>Modern languages in practice ; 2</t>
  </si>
  <si>
    <t>359733200:eng</t>
  </si>
  <si>
    <t>32133156</t>
  </si>
  <si>
    <t>ocm32133156</t>
  </si>
  <si>
    <t>3101511917V</t>
  </si>
  <si>
    <t>9781853592966</t>
  </si>
  <si>
    <t>793376546</t>
  </si>
  <si>
    <t>P53.412 G467 2015</t>
  </si>
  <si>
    <t>0                      P  0053412G  467         2015</t>
  </si>
  <si>
    <t>Genres textuels/discursifs et enseignement des langues / coordonné par Eliane Gouvêa Lousada et Jean-Paul Bronckart.</t>
  </si>
  <si>
    <t>Paris : Le Français dans le Monde, [2015]</t>
  </si>
  <si>
    <t>Le français dans le monde, 0994-6632 ; juillet 2015 = no. 58</t>
  </si>
  <si>
    <t>2583211329:fre</t>
  </si>
  <si>
    <t>914472947</t>
  </si>
  <si>
    <t>ocn914472947</t>
  </si>
  <si>
    <t>31036289174</t>
  </si>
  <si>
    <t>9782090371314</t>
  </si>
  <si>
    <t>795000250</t>
  </si>
  <si>
    <t>P53.412 K43 2014</t>
  </si>
  <si>
    <t>0                      P  0053412K  43          2014</t>
  </si>
  <si>
    <t>Pedagogical grammar / Casey Keck, Boise State University ; YouJin Kim, Georgia State University.</t>
  </si>
  <si>
    <t>Keck, Casey.</t>
  </si>
  <si>
    <t>2017-07-05</t>
  </si>
  <si>
    <t>2219477318:eng</t>
  </si>
  <si>
    <t>885231603</t>
  </si>
  <si>
    <t>ocn885231603</t>
  </si>
  <si>
    <t>3103582620I</t>
  </si>
  <si>
    <t>9789027212177</t>
  </si>
  <si>
    <t>794977169</t>
  </si>
  <si>
    <t>P53.412 N48 2002</t>
  </si>
  <si>
    <t>0                      P  0053412N  48          2002</t>
  </si>
  <si>
    <t>New perspectives on grammar teaching in second language classrooms / edited by Eli Hinkel and Sandra Fotos.</t>
  </si>
  <si>
    <t>Mahwah, N.J. : L. Erlbaum Associates, 2002.</t>
  </si>
  <si>
    <t>ESL and applied linguistics professional series</t>
  </si>
  <si>
    <t>2017-07-26</t>
  </si>
  <si>
    <t>766621415:eng</t>
  </si>
  <si>
    <t>45879779</t>
  </si>
  <si>
    <t>ocm45879779</t>
  </si>
  <si>
    <t>3102288266N</t>
  </si>
  <si>
    <t>9780805839555</t>
  </si>
  <si>
    <t>793680381</t>
  </si>
  <si>
    <t>P53.43 P73 2011</t>
  </si>
  <si>
    <t>0                      P  0053430P  73          2011</t>
  </si>
  <si>
    <t>The pragmatics of humour across discourse domains / edited by Marta Dynel.</t>
  </si>
  <si>
    <t>Pragmatics &amp; beyond new series ; v. 210</t>
  </si>
  <si>
    <t>891151236:eng</t>
  </si>
  <si>
    <t>717301119</t>
  </si>
  <si>
    <t>ocn717301119</t>
  </si>
  <si>
    <t>3103382913N</t>
  </si>
  <si>
    <t>9789027256140</t>
  </si>
  <si>
    <t>794874187</t>
  </si>
  <si>
    <t>P53.44 A66 2010</t>
  </si>
  <si>
    <t>0                      P  0053440A  66          2010</t>
  </si>
  <si>
    <t>Apprendre en classe d'immersion : quels concepts? quelle théorie? / sous la direction de Rita Carol.</t>
  </si>
  <si>
    <t>Paris : L'Harmattan, ©2010.</t>
  </si>
  <si>
    <t>Sémantiques</t>
  </si>
  <si>
    <t>1076165601:fre</t>
  </si>
  <si>
    <t>666251828</t>
  </si>
  <si>
    <t>ocn666251828</t>
  </si>
  <si>
    <t>3103379008T</t>
  </si>
  <si>
    <t>9782296117907</t>
  </si>
  <si>
    <t>794845080</t>
  </si>
  <si>
    <t>P53.44 F67 2010</t>
  </si>
  <si>
    <t>0                      P  0053440F  67          2010</t>
  </si>
  <si>
    <t>Struggling learners &amp; language immersion education : research-based, practitioner-informed responses to educators' top questions / Tara Williams Fortune with Mandy Menke.</t>
  </si>
  <si>
    <t>Fortune, Tara Williams, 1955- author.</t>
  </si>
  <si>
    <t>Minneapolis, MN : Center for Advanced Research on Language Acquisition (CARLA), [2010]</t>
  </si>
  <si>
    <t>552907424:eng</t>
  </si>
  <si>
    <t>652546521</t>
  </si>
  <si>
    <t>ocn652546521</t>
  </si>
  <si>
    <t>3103473858D</t>
  </si>
  <si>
    <t>9780984399604</t>
  </si>
  <si>
    <t>794833493</t>
  </si>
  <si>
    <t>P53.44 I44 2011</t>
  </si>
  <si>
    <t>0                      P  0053440I  44          2011</t>
  </si>
  <si>
    <t>Immersion education : practices, policies, possibilities / edited by Diane J. Tedick, Donna Christian and Tara Williams Fortune.</t>
  </si>
  <si>
    <t>Bilingual education &amp; bilingualism ; [83]</t>
  </si>
  <si>
    <t>2018-08-23</t>
  </si>
  <si>
    <t>794361004:eng</t>
  </si>
  <si>
    <t>704895980</t>
  </si>
  <si>
    <t>ocn704895980</t>
  </si>
  <si>
    <t>3103363680O</t>
  </si>
  <si>
    <t>9781847694034</t>
  </si>
  <si>
    <t>794865911</t>
  </si>
  <si>
    <t>P53.44 I46 1997</t>
  </si>
  <si>
    <t>0                      P  0053440I  46          1997</t>
  </si>
  <si>
    <t>Immersion education : international perspectives / [edited by] Robert Keith Johnson and Merrill Swain.</t>
  </si>
  <si>
    <t>837044329:eng</t>
  </si>
  <si>
    <t>36074346</t>
  </si>
  <si>
    <t>ocm36074346</t>
  </si>
  <si>
    <t>31034758701</t>
  </si>
  <si>
    <t>9780521583855</t>
  </si>
  <si>
    <t>793465620</t>
  </si>
  <si>
    <t>P53.44 I58 2012</t>
  </si>
  <si>
    <t>0                      P  0053440I  58          2012</t>
  </si>
  <si>
    <t>Intensive exposure experiences in second language learning / edited by Carmen Muñoz.</t>
  </si>
  <si>
    <t>Bristol ; Buffalo : Multilingual Matters, ©2012.</t>
  </si>
  <si>
    <t>2019-04-09</t>
  </si>
  <si>
    <t>1119961507:eng</t>
  </si>
  <si>
    <t>795575211</t>
  </si>
  <si>
    <t>ocn795575211</t>
  </si>
  <si>
    <t>31034145689</t>
  </si>
  <si>
    <t>9781847698056</t>
  </si>
  <si>
    <t>794921349</t>
  </si>
  <si>
    <t>P53.44 P38 2008</t>
  </si>
  <si>
    <t>0                      P  0053440P  38          2008</t>
  </si>
  <si>
    <t>Pathways to multilingualism : evolving perspectives on immersion education / edited by Tara Williams Fortune and Diane J. Tedick.</t>
  </si>
  <si>
    <t>Clevedon ; Buffalo : Multilingual Matters, ©2008.</t>
  </si>
  <si>
    <t>Bilingual education and bilingualism ; 66</t>
  </si>
  <si>
    <t>872255651:eng</t>
  </si>
  <si>
    <t>159822073</t>
  </si>
  <si>
    <t>ocn159822073</t>
  </si>
  <si>
    <t>3103033265$</t>
  </si>
  <si>
    <t>9781847690364</t>
  </si>
  <si>
    <t>794256608</t>
  </si>
  <si>
    <t>P53.44 P68 2007</t>
  </si>
  <si>
    <t>0                      P  0053440P  68          2007</t>
  </si>
  <si>
    <t>Language and identity in a dual immersion school / Kim Potowski.</t>
  </si>
  <si>
    <t>Potowski, Kim.</t>
  </si>
  <si>
    <t>Clevedon ; Buffalo : Multilingual Matters Ltd., ©2007.</t>
  </si>
  <si>
    <t>Bilingual education and bilingualism ; 63</t>
  </si>
  <si>
    <t>60205236:eng</t>
  </si>
  <si>
    <t>73741838</t>
  </si>
  <si>
    <t>ocm73741838</t>
  </si>
  <si>
    <t>3102573390L</t>
  </si>
  <si>
    <t>9781853599446</t>
  </si>
  <si>
    <t>794171377</t>
  </si>
  <si>
    <t>P53.447 H35 2004</t>
  </si>
  <si>
    <t>0                      P  0053447H  35          2004</t>
  </si>
  <si>
    <t>Content-based second language teaching and learning : an interactive approach / Marjorie Hall Haley, Theresa Y. Austin.</t>
  </si>
  <si>
    <t>Haley, Marjorie Hall, 1952-</t>
  </si>
  <si>
    <t>Boston : Pearson/Allyn and Bacon, ©2004.</t>
  </si>
  <si>
    <t>2015-09-29</t>
  </si>
  <si>
    <t>914284624:eng</t>
  </si>
  <si>
    <t>52594765</t>
  </si>
  <si>
    <t>ocm52594765</t>
  </si>
  <si>
    <t>3103398973J</t>
  </si>
  <si>
    <t>9780205344277</t>
  </si>
  <si>
    <t>793810539</t>
  </si>
  <si>
    <t>P53.447 P55 2014</t>
  </si>
  <si>
    <t>0                      P  0053447P  55          2014</t>
  </si>
  <si>
    <t>Peer interaction and second language learning / Jenefer Philp, Rebecca Adams, and Noriko Iwashita ; Lancaster University, Northcentral University, and the University of Queensland, Brisbane.</t>
  </si>
  <si>
    <t>Philp, Jenefer.</t>
  </si>
  <si>
    <t>New York, NY : Routledge, Taylor &amp; Francis Group, 2014.</t>
  </si>
  <si>
    <t>Second language acquisition research series</t>
  </si>
  <si>
    <t>1779845245:eng</t>
  </si>
  <si>
    <t>773023797</t>
  </si>
  <si>
    <t>ocn773023797</t>
  </si>
  <si>
    <t>3103582610K</t>
  </si>
  <si>
    <t>9780415895712</t>
  </si>
  <si>
    <t>794905237</t>
  </si>
  <si>
    <t>P53.447 S48 2000</t>
  </si>
  <si>
    <t>0                      P  0053447S  48          2000</t>
  </si>
  <si>
    <t>Second and foreign language learning through classroom interaction / edited by Joan Kelly Hall and Lorrie Stoops Verplaetse.</t>
  </si>
  <si>
    <t>Mahwah, N.J. : Erlbaum, 2000.</t>
  </si>
  <si>
    <t>2017-06-29</t>
  </si>
  <si>
    <t>766778862:eng</t>
  </si>
  <si>
    <t>43095839</t>
  </si>
  <si>
    <t>ocm43095839</t>
  </si>
  <si>
    <t>3103474406V</t>
  </si>
  <si>
    <t>9780805835137</t>
  </si>
  <si>
    <t>793620119</t>
  </si>
  <si>
    <t>P53.45 B96 1997</t>
  </si>
  <si>
    <t>0                      P  0053450B  96          1997</t>
  </si>
  <si>
    <t>Teaching and assessing intercultural communicative competence / Michael Byram.</t>
  </si>
  <si>
    <t>Byram, Michael.</t>
  </si>
  <si>
    <t>Clevedon ; Philadelphia : Multilingual Matters, ©1997.</t>
  </si>
  <si>
    <t>Multilingual matters</t>
  </si>
  <si>
    <t>3856742267:eng</t>
  </si>
  <si>
    <t>36485825</t>
  </si>
  <si>
    <t>ocm36485825</t>
  </si>
  <si>
    <t>3101848119M</t>
  </si>
  <si>
    <t>9781853593789</t>
  </si>
  <si>
    <t>793476440</t>
  </si>
  <si>
    <t>P53.45 C75 2004</t>
  </si>
  <si>
    <t>0                      P  0053450C  75          2004</t>
  </si>
  <si>
    <t>Critical pedagogy : political approaches to language and intercultural communication / edited by Alison Phipps and Manuela Guilherme.</t>
  </si>
  <si>
    <t>Clevedon, UK ; Buffalo : Multilingual Matters, ©2004.</t>
  </si>
  <si>
    <t>Languages for intercultural communication and education ; 8</t>
  </si>
  <si>
    <t>2018-10-12</t>
  </si>
  <si>
    <t>3943848145:eng</t>
  </si>
  <si>
    <t>53793575</t>
  </si>
  <si>
    <t>ocm53793575</t>
  </si>
  <si>
    <t>3102520641M</t>
  </si>
  <si>
    <t>9781853597534</t>
  </si>
  <si>
    <t>793850407</t>
  </si>
  <si>
    <t>P53.45 C86 2003</t>
  </si>
  <si>
    <t>0                      P  0053450C  86          2003</t>
  </si>
  <si>
    <t>Culture as the core : perspectives on culture in second language learning / edited by Dale L. Lange and R. Michael Paige.</t>
  </si>
  <si>
    <t>Greenwich, Conn. : Information Age Pub., ©2003.</t>
  </si>
  <si>
    <t>Research in second language learning</t>
  </si>
  <si>
    <t>890566369:eng</t>
  </si>
  <si>
    <t>51460820</t>
  </si>
  <si>
    <t>ocm51460820</t>
  </si>
  <si>
    <t>3103474394G</t>
  </si>
  <si>
    <t>9781931576239</t>
  </si>
  <si>
    <t>793784779</t>
  </si>
  <si>
    <t>P53.45 K86 2008</t>
  </si>
  <si>
    <t>0                      P  0053450K  86          2008</t>
  </si>
  <si>
    <t>Cultural globalization and language education / B. Kumaravadivelu.</t>
  </si>
  <si>
    <t>New Haven : Yale University Press, ©2008.</t>
  </si>
  <si>
    <t>102144946:eng</t>
  </si>
  <si>
    <t>123349739</t>
  </si>
  <si>
    <t>ocn123349739</t>
  </si>
  <si>
    <t>3102641962Q</t>
  </si>
  <si>
    <t>9780300111101</t>
  </si>
  <si>
    <t>794226646</t>
  </si>
  <si>
    <t>P53.45 L357 1998</t>
  </si>
  <si>
    <t>0                      P  0053450L  357         1998</t>
  </si>
  <si>
    <t>Language learning in intercultural perspective : approaches through drama and ethnography / edited by Michael Byram and Michael Fleming.</t>
  </si>
  <si>
    <t>Cambridge, U.K. ; New York : Cambridge University Press, 1998.</t>
  </si>
  <si>
    <t>792003731:eng</t>
  </si>
  <si>
    <t>38067616</t>
  </si>
  <si>
    <t>ocm38067616</t>
  </si>
  <si>
    <t>3103398972J</t>
  </si>
  <si>
    <t>9780521623766</t>
  </si>
  <si>
    <t>793514302</t>
  </si>
  <si>
    <t>P53.45 P37 2011</t>
  </si>
  <si>
    <t>0                      P  0053450P  37          2011</t>
  </si>
  <si>
    <t>Language across difference : ethnicity, communication, and youth identities in changing urban schools / Django Paris.</t>
  </si>
  <si>
    <t>Paris, Django.</t>
  </si>
  <si>
    <t>Cambridge, UK ; New York : Cambridge University Press, 2011.</t>
  </si>
  <si>
    <t>1061302995:eng</t>
  </si>
  <si>
    <t>711048214</t>
  </si>
  <si>
    <t>ocn711048214</t>
  </si>
  <si>
    <t>31033424945</t>
  </si>
  <si>
    <t>9780521193375</t>
  </si>
  <si>
    <t>794870693</t>
  </si>
  <si>
    <t>P53.45 S473 2005</t>
  </si>
  <si>
    <t>0                      P  0053450S  473         2005</t>
  </si>
  <si>
    <t>Foreign language teachers and intercultural competence : an international investigation / Lies Sercu, with Ewa Bandura [and others].</t>
  </si>
  <si>
    <t>Sercu, Lies.</t>
  </si>
  <si>
    <t>Languages for intercultural communication and education ; 10</t>
  </si>
  <si>
    <t>793971311:eng</t>
  </si>
  <si>
    <t>58843172</t>
  </si>
  <si>
    <t>ocm58843172</t>
  </si>
  <si>
    <t>3102564695D</t>
  </si>
  <si>
    <t>9781853598432</t>
  </si>
  <si>
    <t>793925258</t>
  </si>
  <si>
    <t>P53.45 T66 1993</t>
  </si>
  <si>
    <t>0                      P  0053450T  66          1993</t>
  </si>
  <si>
    <t>Cultural awareness / Barry Tomalin &amp; Susan Stempleski.</t>
  </si>
  <si>
    <t>Tomalin, Barry, 1942-</t>
  </si>
  <si>
    <t>Oxford ; New York : Oxford University Press, 1993.</t>
  </si>
  <si>
    <t>32631273:eng</t>
  </si>
  <si>
    <t>31052678</t>
  </si>
  <si>
    <t>ocm31052678</t>
  </si>
  <si>
    <t>3101872437K</t>
  </si>
  <si>
    <t>9780194371940</t>
  </si>
  <si>
    <t>793352474</t>
  </si>
  <si>
    <t>P53.454 A53 2007</t>
  </si>
  <si>
    <t>0                      P  0053454A  53          2007</t>
  </si>
  <si>
    <t>Teacher language awareness / Stephen Andrews.</t>
  </si>
  <si>
    <t>Andrews, Stephen, 1948-</t>
  </si>
  <si>
    <t>Cambridge, UK ; New York : Cambridge University Press, 2007.</t>
  </si>
  <si>
    <t>2017-08-10</t>
  </si>
  <si>
    <t>102497251:eng</t>
  </si>
  <si>
    <t>124031821</t>
  </si>
  <si>
    <t>ocn124031821</t>
  </si>
  <si>
    <t>3102571638W</t>
  </si>
  <si>
    <t>9780521530194</t>
  </si>
  <si>
    <t>794229395</t>
  </si>
  <si>
    <t>P53.454 C43 2012</t>
  </si>
  <si>
    <t>0                      P  0053454C  43          2012</t>
  </si>
  <si>
    <t>Language awareness in teaching : a toolkit for content and language teachers / Timothy Chadwick.</t>
  </si>
  <si>
    <t>Chadwick, Timothy.</t>
  </si>
  <si>
    <t>Cambridge : Cambridge Univ. Press, 2012.</t>
  </si>
  <si>
    <t>1106840680:eng</t>
  </si>
  <si>
    <t>793079778</t>
  </si>
  <si>
    <t>ocn793079778</t>
  </si>
  <si>
    <t>3103422252N</t>
  </si>
  <si>
    <t>9781107618282</t>
  </si>
  <si>
    <t>794917515</t>
  </si>
  <si>
    <t>P53.457 R423 2012</t>
  </si>
  <si>
    <t>0                      P  0053457R  423         2012</t>
  </si>
  <si>
    <t>Realizing autonomy : practice and reflection in language education contexts / edited by Kay Irie and Alison Stewart ; foreword by Richard Smith and Naoko Aoki ; afterword by Scott Thornbury.</t>
  </si>
  <si>
    <t>2015-08-13</t>
  </si>
  <si>
    <t>1037070813:eng</t>
  </si>
  <si>
    <t>758973655</t>
  </si>
  <si>
    <t>ocn758973655</t>
  </si>
  <si>
    <t>31034093582</t>
  </si>
  <si>
    <t>9780230282643</t>
  </si>
  <si>
    <t>794896736</t>
  </si>
  <si>
    <t>P53.47 F54 2011</t>
  </si>
  <si>
    <t>0                      P  0053470F  54          2011</t>
  </si>
  <si>
    <t>Influence of aural training in music on the perceptive performance of adult learners' sound discrimination abilities in an unknown foreign language / Friederike Flottmann.</t>
  </si>
  <si>
    <t>Flottmann, Friederike.</t>
  </si>
  <si>
    <t>European University Studies. Series XXI, Linguistics ; v. 369 = Europäische Hochschulschriften. Reihe XXI, Linguistik ; Bd. 369</t>
  </si>
  <si>
    <t>766261249:eng</t>
  </si>
  <si>
    <t>690539672</t>
  </si>
  <si>
    <t>ocn690539672</t>
  </si>
  <si>
    <t>3103313620O</t>
  </si>
  <si>
    <t>9783631613535</t>
  </si>
  <si>
    <t>794855491</t>
  </si>
  <si>
    <t>P 53.47 G85 1995</t>
  </si>
  <si>
    <t>0                      P  0053470G  85          1995</t>
  </si>
  <si>
    <t>A guide for the teaching of second language listening / David J. Mendelsohn and Joan Rubin, editors.</t>
  </si>
  <si>
    <t>San Diego, CA : Dominie Press, ©1995.</t>
  </si>
  <si>
    <t>2016-05-13</t>
  </si>
  <si>
    <t>495039244:eng</t>
  </si>
  <si>
    <t>32865129</t>
  </si>
  <si>
    <t>ocm32865129</t>
  </si>
  <si>
    <t>31019880998</t>
  </si>
  <si>
    <t>9781562704032</t>
  </si>
  <si>
    <t>793396314</t>
  </si>
  <si>
    <t>P53.47 V36 2012</t>
  </si>
  <si>
    <t>0                      P  0053470V  36          2012</t>
  </si>
  <si>
    <t>Teaching and learning second language listening : metacognition in action / Larry Vandergrift, Christine C.M. Goh.</t>
  </si>
  <si>
    <t>Vandergrift, Larry, author.</t>
  </si>
  <si>
    <t>New York : Routledge, 2012.</t>
  </si>
  <si>
    <t>2015-06-19</t>
  </si>
  <si>
    <t>601172933:eng</t>
  </si>
  <si>
    <t>659750830</t>
  </si>
  <si>
    <t>ocn659750830</t>
  </si>
  <si>
    <t>31033848608</t>
  </si>
  <si>
    <t>9780415883719</t>
  </si>
  <si>
    <t>794836461</t>
  </si>
  <si>
    <t>P53.475 L56 2001</t>
  </si>
  <si>
    <t>0                      P  0053475L  56          2001</t>
  </si>
  <si>
    <t>Linking literacies : perspectives on L2 reading-writing connections / edited by Diane Belcher and Alan Hirvela.</t>
  </si>
  <si>
    <t>Ann Arbor : University of Michigan Press, ©2001.</t>
  </si>
  <si>
    <t>2017-08-03</t>
  </si>
  <si>
    <t>837024927:eng</t>
  </si>
  <si>
    <t>45845425</t>
  </si>
  <si>
    <t>ocm45845425</t>
  </si>
  <si>
    <t>3102105714E</t>
  </si>
  <si>
    <t>9780472097531</t>
  </si>
  <si>
    <t>793679453</t>
  </si>
  <si>
    <t>P53.55 S43 2005</t>
  </si>
  <si>
    <t>0                      P  0053550S  43          2005</t>
  </si>
  <si>
    <t>Second language needs analysis / edited by Michael H. Long.</t>
  </si>
  <si>
    <t>2018-05-14</t>
  </si>
  <si>
    <t>766840377:eng</t>
  </si>
  <si>
    <t>60418319</t>
  </si>
  <si>
    <t>ocm60418319</t>
  </si>
  <si>
    <t>3102549169O</t>
  </si>
  <si>
    <t>9780521853125</t>
  </si>
  <si>
    <t>793937566</t>
  </si>
  <si>
    <t>P53.6 L86 2004</t>
  </si>
  <si>
    <t>0                      P  0053600L  86          2004</t>
  </si>
  <si>
    <t>Assessing speaking / Sari Luoma.</t>
  </si>
  <si>
    <t>Luoma, Sari.</t>
  </si>
  <si>
    <t>Cambridge ; New York : Cambridge University Press, ©2004.</t>
  </si>
  <si>
    <t>Cambridge language assessment series</t>
  </si>
  <si>
    <t>2015-12-08</t>
  </si>
  <si>
    <t>709921:eng</t>
  </si>
  <si>
    <t>55794831</t>
  </si>
  <si>
    <t>ocm55794831</t>
  </si>
  <si>
    <t>3102457188T</t>
  </si>
  <si>
    <t>9780521804875</t>
  </si>
  <si>
    <t>793882593</t>
  </si>
  <si>
    <t>P53.6 U5 1987</t>
  </si>
  <si>
    <t>0                      P  0053600U  5           1987</t>
  </si>
  <si>
    <t>Testing spoken language : a handbook of oral testing techniques / Nic Underhill.</t>
  </si>
  <si>
    <t>Underhill, Nic.</t>
  </si>
  <si>
    <t>807782197:eng</t>
  </si>
  <si>
    <t>14933511</t>
  </si>
  <si>
    <t>ocm14933511</t>
  </si>
  <si>
    <t>30010013214</t>
  </si>
  <si>
    <t>9780521321310</t>
  </si>
  <si>
    <t>792914266</t>
  </si>
  <si>
    <t>P53.62 P723 2010</t>
  </si>
  <si>
    <t>0                      P  0053620P  723         2010</t>
  </si>
  <si>
    <t>Pragmatics across languages and cultures / edited by Anna Trosborg.</t>
  </si>
  <si>
    <t>Handbooks of pragmatics ; v. 7.</t>
  </si>
  <si>
    <t>2011-04-15</t>
  </si>
  <si>
    <t>9965157556:eng</t>
  </si>
  <si>
    <t>642204948</t>
  </si>
  <si>
    <t>ocn642204948</t>
  </si>
  <si>
    <t>3103228134I</t>
  </si>
  <si>
    <t>9783110214437</t>
  </si>
  <si>
    <t>794827928</t>
  </si>
  <si>
    <t>P53.67 L57 2013</t>
  </si>
  <si>
    <t>0                      P  0053670L  57          2013</t>
  </si>
  <si>
    <t>Living languages : an integrated approach to teaching foreign languages in primary schools / edited by Catherine Watts, Clare Forder and Hilary Phillips.</t>
  </si>
  <si>
    <t>(text + 1 DVD-ROM)</t>
  </si>
  <si>
    <t>Milton Park, Abingdon, Oxon ; New York : Routledge, 2013.</t>
  </si>
  <si>
    <t>1168735323:eng</t>
  </si>
  <si>
    <t>754733741</t>
  </si>
  <si>
    <t>ocn754733741</t>
  </si>
  <si>
    <t>31034328296</t>
  </si>
  <si>
    <t>9780415675628</t>
  </si>
  <si>
    <t>794893121</t>
  </si>
  <si>
    <t>P53.67 L58 2013</t>
  </si>
  <si>
    <t>0                      P  0053670L  58          2013</t>
  </si>
  <si>
    <t>Living languages : an integrated approach to teaching foreign languages in secondary schools / edited by Catherine Watts and Clare Forder.</t>
  </si>
  <si>
    <t>(Text + DVD)</t>
  </si>
  <si>
    <t>New York : Routledge/Taylor &amp; Francis Group, 2013.</t>
  </si>
  <si>
    <t>754733745</t>
  </si>
  <si>
    <t>ocn754733745</t>
  </si>
  <si>
    <t>3103497382X</t>
  </si>
  <si>
    <t>9780415675666</t>
  </si>
  <si>
    <t>794893122</t>
  </si>
  <si>
    <t>P53.7 A4813 1993</t>
  </si>
  <si>
    <t>0                      P  0053700A  4813        1993</t>
  </si>
  <si>
    <t>The Babel of the unconscious : mother tongue and foreign tongues in the analytic dimension / Jacqueline Amati-Mehler, Simona Argentieri, and Jorge Canestri ; translated from the Italian by Jill Whitelaw-Cucco.</t>
  </si>
  <si>
    <t>Amati-Mehler, Jacqueline.</t>
  </si>
  <si>
    <t>Madison, Conn. : International Universities Press, ©1993.</t>
  </si>
  <si>
    <t>1151412888:eng</t>
  </si>
  <si>
    <t>28850919</t>
  </si>
  <si>
    <t>ocm28850919</t>
  </si>
  <si>
    <t>3102731167C</t>
  </si>
  <si>
    <t>9780823605309</t>
  </si>
  <si>
    <t>793297824</t>
  </si>
  <si>
    <t>P53.7 F67 1998</t>
  </si>
  <si>
    <t>0                      P  0053700F  67          1998</t>
  </si>
  <si>
    <t>Foreign language learning : psycholinguistic studies on training and retention / edited by Alice F. Healy, Lyle E. Bourne, Jr.</t>
  </si>
  <si>
    <t>Mahwah, N.J. : L. Erlbaum Associates, 1998.</t>
  </si>
  <si>
    <t>2017-07-22</t>
  </si>
  <si>
    <t>890862053:eng</t>
  </si>
  <si>
    <t>39261804</t>
  </si>
  <si>
    <t>ocm39261804</t>
  </si>
  <si>
    <t>3101950690N</t>
  </si>
  <si>
    <t>9780805827545</t>
  </si>
  <si>
    <t>793541968</t>
  </si>
  <si>
    <t>P53.7 G37 1985</t>
  </si>
  <si>
    <t>0                      P  0053700G  37          1985</t>
  </si>
  <si>
    <t>Social psychology and second language learning : the role of attitudes and motivation / R.C. Gardner.</t>
  </si>
  <si>
    <t>Gardner, Robert C.</t>
  </si>
  <si>
    <t>London ; Baltimore, Md., U.S.A. : E. Arnold, 1985.</t>
  </si>
  <si>
    <t>The Social psychology of language ; 4</t>
  </si>
  <si>
    <t>2017-12-20</t>
  </si>
  <si>
    <t>836663416:eng</t>
  </si>
  <si>
    <t>14068530</t>
  </si>
  <si>
    <t>ocm14068530</t>
  </si>
  <si>
    <t>3102731162C</t>
  </si>
  <si>
    <t>9780713164251</t>
  </si>
  <si>
    <t>792876283</t>
  </si>
  <si>
    <t>P53.7 I58 1987</t>
  </si>
  <si>
    <t>0                      P  0053700I  58          1987</t>
  </si>
  <si>
    <t>Introspection in second language research / edited by Claus Færch and Gabriele Kasper.</t>
  </si>
  <si>
    <t>Clevedon, Avon, England ; Philadelphia : Multilingual Matters, ©1987.</t>
  </si>
  <si>
    <t>Multilingual matters ; 30</t>
  </si>
  <si>
    <t>350175684:eng</t>
  </si>
  <si>
    <t>15630076</t>
  </si>
  <si>
    <t>ocm15630076</t>
  </si>
  <si>
    <t>3102731157E</t>
  </si>
  <si>
    <t>9780905028736</t>
  </si>
  <si>
    <t>792937548</t>
  </si>
  <si>
    <t>P53.7 L58 2009</t>
  </si>
  <si>
    <t>0                      P  0053700L  58          2009</t>
  </si>
  <si>
    <t>Applying cognitive linguistics to second language learning and teaching / Jeannette Littlemore.</t>
  </si>
  <si>
    <t>Littlemore, Jeannette.</t>
  </si>
  <si>
    <t>Basingstoke, Hampshire ; New York : Palgrave Macmillan, 2009.</t>
  </si>
  <si>
    <t>195192606:eng</t>
  </si>
  <si>
    <t>457772168</t>
  </si>
  <si>
    <t>ocn457772168</t>
  </si>
  <si>
    <t>3103130325A</t>
  </si>
  <si>
    <t>9780230219489</t>
  </si>
  <si>
    <t>794790143</t>
  </si>
  <si>
    <t>P53.7 W55 1997</t>
  </si>
  <si>
    <t>0                      P  0053700W  55          1997</t>
  </si>
  <si>
    <t>Psychology for language teachers : a social constructivist approach / Marion Williams and Robert L. Burden.</t>
  </si>
  <si>
    <t>Williams, Marion, 1948-</t>
  </si>
  <si>
    <t>2017-08-26</t>
  </si>
  <si>
    <t>337960551:eng</t>
  </si>
  <si>
    <t>36458564</t>
  </si>
  <si>
    <t>ocm36458564</t>
  </si>
  <si>
    <t>3101886281$</t>
  </si>
  <si>
    <t>9780521495288</t>
  </si>
  <si>
    <t>793475798</t>
  </si>
  <si>
    <t>P53.7 W55 2015</t>
  </si>
  <si>
    <t>0                      P  0053700W  55          2015</t>
  </si>
  <si>
    <t>Exploring psychology in language learning and teaching / Marion Williams, Sarah Mercer, and Stephen Ryan.</t>
  </si>
  <si>
    <t>Williams, Marion, 1948- author.</t>
  </si>
  <si>
    <t>Oxford, United Kingdom : Oxford University Press, 2015.</t>
  </si>
  <si>
    <t>2835845795:eng</t>
  </si>
  <si>
    <t>926095496</t>
  </si>
  <si>
    <t>ocn926095496</t>
  </si>
  <si>
    <t>31037407134</t>
  </si>
  <si>
    <t>9780194423991</t>
  </si>
  <si>
    <t>795005282</t>
  </si>
  <si>
    <t>P53.75 B47 1991</t>
  </si>
  <si>
    <t>0                      P  0053750B  47          1991</t>
  </si>
  <si>
    <t>Reading development in a second language : theoretical, empirical, and classroom perspectives / Elizabeth B. Bernhardt.</t>
  </si>
  <si>
    <t>Bernhardt, Elizabeth Buchter.</t>
  </si>
  <si>
    <t>Norwood, NJ : Ablex Pub. Corp., 1991.</t>
  </si>
  <si>
    <t>2017-03-06</t>
  </si>
  <si>
    <t>143613912:eng</t>
  </si>
  <si>
    <t>23047632</t>
  </si>
  <si>
    <t>ocm23047632</t>
  </si>
  <si>
    <t>3101952629G</t>
  </si>
  <si>
    <t>9780893916756</t>
  </si>
  <si>
    <t>793160104</t>
  </si>
  <si>
    <t>P53.75 D39 1998</t>
  </si>
  <si>
    <t>0                      P  0053750D  39          1998</t>
  </si>
  <si>
    <t>Extensive reading in the second language classroom / Richard R. Day, Julian Bamford.</t>
  </si>
  <si>
    <t>Day, Richard R.</t>
  </si>
  <si>
    <t>556298:eng</t>
  </si>
  <si>
    <t>37157654</t>
  </si>
  <si>
    <t>ocm37157654</t>
  </si>
  <si>
    <t>31019180069</t>
  </si>
  <si>
    <t>9780521560733</t>
  </si>
  <si>
    <t>793491974</t>
  </si>
  <si>
    <t>P53.75 G73 2009</t>
  </si>
  <si>
    <t>0                      P  0053750G  73          2009</t>
  </si>
  <si>
    <t>Reading in a second language : moving from theory to practice / William Grabe.</t>
  </si>
  <si>
    <t>Grabe, William.</t>
  </si>
  <si>
    <t>New York : Cambridge University Press, 2009.</t>
  </si>
  <si>
    <t>891295937:eng</t>
  </si>
  <si>
    <t>229445930</t>
  </si>
  <si>
    <t>ocn229445930</t>
  </si>
  <si>
    <t>31030629408</t>
  </si>
  <si>
    <t>9780521509862</t>
  </si>
  <si>
    <t>794353894</t>
  </si>
  <si>
    <t>P53.75 I58 1988</t>
  </si>
  <si>
    <t>0                      P  0053750I  58          1988</t>
  </si>
  <si>
    <t>Interactive approaches to second language reading / edited by Patricia L. Carrell, Joanne Devine, David E. Eskey.</t>
  </si>
  <si>
    <t>Cambridge ; New York : Cambridge University Press, 1988.</t>
  </si>
  <si>
    <t>2018-09-03</t>
  </si>
  <si>
    <t>347910083:eng</t>
  </si>
  <si>
    <t>16525607</t>
  </si>
  <si>
    <t>ocm16525607</t>
  </si>
  <si>
    <t>3101971276G</t>
  </si>
  <si>
    <t>9780521353601</t>
  </si>
  <si>
    <t>792964815</t>
  </si>
  <si>
    <t>P53.75 T43 1986</t>
  </si>
  <si>
    <t>0                      P  0053750T  43          1986</t>
  </si>
  <si>
    <t>Teaching second language reading for academic purposes / Fraida Dubin, David E. Eskey, William Grabe, editors.</t>
  </si>
  <si>
    <t>Reading, Mass. : Addison-Wesley, ©1986.</t>
  </si>
  <si>
    <t>The Addison-Wesley second language professional library series</t>
  </si>
  <si>
    <t>345840800:eng</t>
  </si>
  <si>
    <t>12419992</t>
  </si>
  <si>
    <t>ocm12419992</t>
  </si>
  <si>
    <t>3101952493F</t>
  </si>
  <si>
    <t>9780201116687</t>
  </si>
  <si>
    <t>792814982</t>
  </si>
  <si>
    <t>P53.755 M43 2013</t>
  </si>
  <si>
    <t>0                      P  0053755M  43          2013</t>
  </si>
  <si>
    <t>Meaningful Action : Earl Stevick's Influence on Language Teaching / edited by Jane Arnold and Tim Murphey.</t>
  </si>
  <si>
    <t>Cambridge : CAMBRIDGE University Press, [2013]</t>
  </si>
  <si>
    <t>Cambridge Language Teaching Library</t>
  </si>
  <si>
    <t>1372407542:eng</t>
  </si>
  <si>
    <t>816317946</t>
  </si>
  <si>
    <t>ocn816317946</t>
  </si>
  <si>
    <t>3103501922G</t>
  </si>
  <si>
    <t>9781107610439</t>
  </si>
  <si>
    <t>794933065</t>
  </si>
  <si>
    <t>P53.755 Z33 2012</t>
  </si>
  <si>
    <t>0                      P  0053755Z  33          2012</t>
  </si>
  <si>
    <t>Qualitative research methods for second language education : a coursebook / by Nugrahenny T. Zacharias.</t>
  </si>
  <si>
    <t>Zacharias, Nugrahenny T.</t>
  </si>
  <si>
    <t>Newcastle upon Tyne : Cambridge Scholars Pub., 2012.</t>
  </si>
  <si>
    <t>1103122028:eng</t>
  </si>
  <si>
    <t>772000710</t>
  </si>
  <si>
    <t>ocn772000710</t>
  </si>
  <si>
    <t>3103406233L</t>
  </si>
  <si>
    <t>9781443835053</t>
  </si>
  <si>
    <t>794904340</t>
  </si>
  <si>
    <t>P53.774 E97 2010</t>
  </si>
  <si>
    <t>0                      P  0053774E  97          2010</t>
  </si>
  <si>
    <t>Exploring semiotic remediation as discourse practice / edited by Paul A. Prior, Julie A. Hengst.</t>
  </si>
  <si>
    <t>888475813:eng</t>
  </si>
  <si>
    <t>294885553</t>
  </si>
  <si>
    <t>ocn294885553</t>
  </si>
  <si>
    <t>31031563831</t>
  </si>
  <si>
    <t>9780230221017</t>
  </si>
  <si>
    <t>794425060</t>
  </si>
  <si>
    <t>P53.775 C37 2006</t>
  </si>
  <si>
    <t>0                      P  0053775C  37          2006</t>
  </si>
  <si>
    <t>Boys and foreign language learning : real boys don't do languages / Jo Carr and Anne Pauwels.</t>
  </si>
  <si>
    <t>Carr, Jo, 1943-</t>
  </si>
  <si>
    <t>Basingstoke [England] ; New York : Palgrave Macmillan, 2006.</t>
  </si>
  <si>
    <t>2015-11-09</t>
  </si>
  <si>
    <t>1044125:eng</t>
  </si>
  <si>
    <t>60835667</t>
  </si>
  <si>
    <t>ocm60835667</t>
  </si>
  <si>
    <t>3102561950O</t>
  </si>
  <si>
    <t>9781403939678</t>
  </si>
  <si>
    <t>793944876</t>
  </si>
  <si>
    <t>P53.775 C48 2001</t>
  </si>
  <si>
    <t>0                      P  0053775C  48          2001</t>
  </si>
  <si>
    <t>Gender in the language classroom / Monika Chavez.</t>
  </si>
  <si>
    <t>Chavez, Monika.</t>
  </si>
  <si>
    <t>Boston : McGraw Hill, ©2001.</t>
  </si>
  <si>
    <t>The McGraw Hill second language professional series. Directions in second language learning</t>
  </si>
  <si>
    <t>40792:eng</t>
  </si>
  <si>
    <t>43978134</t>
  </si>
  <si>
    <t>ocm43978134</t>
  </si>
  <si>
    <t>3102266407A</t>
  </si>
  <si>
    <t>9780072367492</t>
  </si>
  <si>
    <t>793640006</t>
  </si>
  <si>
    <t>P53.78 S56 1990</t>
  </si>
  <si>
    <t>0                      P  0053780S  56          1990</t>
  </si>
  <si>
    <t>Simulation, gaming, and language learning / edited by David Crookall and Rebecca L. Oxford.</t>
  </si>
  <si>
    <t>New York : Newbury House Publishers, ©1990.</t>
  </si>
  <si>
    <t>2016-05-17</t>
  </si>
  <si>
    <t>355992488:eng</t>
  </si>
  <si>
    <t>20992890</t>
  </si>
  <si>
    <t>ocm20992890</t>
  </si>
  <si>
    <t>31002579346</t>
  </si>
  <si>
    <t>9780066326177</t>
  </si>
  <si>
    <t>793105408</t>
  </si>
  <si>
    <t>P53.8 A7 1985</t>
  </si>
  <si>
    <t>0                      P  0053800A  7           1985</t>
  </si>
  <si>
    <t>Beyond methodology : second language teaching and the community / Mary Ashworth.</t>
  </si>
  <si>
    <t>Ashworth, Mary.</t>
  </si>
  <si>
    <t>Cambridge [Cambridgeshire] ; New York : Cambridge University Press, 1985.</t>
  </si>
  <si>
    <t>327270365:eng</t>
  </si>
  <si>
    <t>12052291</t>
  </si>
  <si>
    <t>ocm12052291</t>
  </si>
  <si>
    <t>3000988488F</t>
  </si>
  <si>
    <t>9780521266659</t>
  </si>
  <si>
    <t>792798819</t>
  </si>
  <si>
    <t>P53.8 G56 2015</t>
  </si>
  <si>
    <t>0                      P  0053800G  56          2015</t>
  </si>
  <si>
    <t>Globalising sociolinguistics : challenging and expanding theory / edited by Dick Smakman and Patrick Heinrich.</t>
  </si>
  <si>
    <t>London ; New York : Routledge, Taylor &amp; Francis Group, 2015.</t>
  </si>
  <si>
    <t>2018-01-03</t>
  </si>
  <si>
    <t>2550789305:eng</t>
  </si>
  <si>
    <t>904011217</t>
  </si>
  <si>
    <t>ocn904011217</t>
  </si>
  <si>
    <t>3103607465U</t>
  </si>
  <si>
    <t>9780415725590</t>
  </si>
  <si>
    <t>794989896</t>
  </si>
  <si>
    <t>P53.8 P68 1995</t>
  </si>
  <si>
    <t>0                      P  0053800P  68          1995</t>
  </si>
  <si>
    <t>Power and inequality in language education / edited by James W. Tollefson.</t>
  </si>
  <si>
    <t>Cambridge [England] ; New York : Cambridge University Press, 1995.</t>
  </si>
  <si>
    <t>33244538:eng</t>
  </si>
  <si>
    <t>31133189</t>
  </si>
  <si>
    <t>ocm31133189</t>
  </si>
  <si>
    <t>3102731158E</t>
  </si>
  <si>
    <t>9780521462662</t>
  </si>
  <si>
    <t>793354115</t>
  </si>
  <si>
    <t>P53.8 S624 2011</t>
  </si>
  <si>
    <t>0                      P  0053800S  624         2011</t>
  </si>
  <si>
    <t>Social justice language teacher education / edited by Margaret R. Hawkins.</t>
  </si>
  <si>
    <t>Bristol, UK ; Buffalo, NY : Multilingual Matters, ©2011.</t>
  </si>
  <si>
    <t>Bilingual education and bilingualism ; 84</t>
  </si>
  <si>
    <t>5617415460:eng</t>
  </si>
  <si>
    <t>715286255</t>
  </si>
  <si>
    <t>ocn715286255</t>
  </si>
  <si>
    <t>31034064699</t>
  </si>
  <si>
    <t>9781847694232</t>
  </si>
  <si>
    <t>794873850</t>
  </si>
  <si>
    <t>P53.818 K67 2012</t>
  </si>
  <si>
    <t>0                      P  0053818K  67          2012</t>
  </si>
  <si>
    <t>Teaching languages to students with specific learning differences / Judit Kormos and Anne Margaret Smith.</t>
  </si>
  <si>
    <t>Kormos, Judit.</t>
  </si>
  <si>
    <t>9906829114:eng</t>
  </si>
  <si>
    <t>765881824</t>
  </si>
  <si>
    <t>ocn765881824</t>
  </si>
  <si>
    <t>3103405178K</t>
  </si>
  <si>
    <t>9781847696205</t>
  </si>
  <si>
    <t>794900745</t>
  </si>
  <si>
    <t>P53.818 W67 2008</t>
  </si>
  <si>
    <t>0                      P  0053818W  67          2008</t>
  </si>
  <si>
    <t>Worlds apart? : disability and foreign language learning / edited by Tammy Berberi, Elizabeth C. Hamilton, Ian M. Sutherland ; foreword by Sander L. Gilman.</t>
  </si>
  <si>
    <t>866288177:eng</t>
  </si>
  <si>
    <t>144768354</t>
  </si>
  <si>
    <t>ocn144768354</t>
  </si>
  <si>
    <t>3102651558Z</t>
  </si>
  <si>
    <t>9780300116304</t>
  </si>
  <si>
    <t>794236965</t>
  </si>
  <si>
    <t>P53.82 I58 2007</t>
  </si>
  <si>
    <t>0                      P  0053820I  58          2007</t>
  </si>
  <si>
    <t>Investigating tasks in formal language learning / edited by María del Pilar García Mayo.</t>
  </si>
  <si>
    <t>Clevedon [England] ; Buffalo : Multilingual Matters, ©2007.</t>
  </si>
  <si>
    <t>Second language acquisition ; 20</t>
  </si>
  <si>
    <t>1044415736:eng</t>
  </si>
  <si>
    <t>70687425</t>
  </si>
  <si>
    <t>ocm70687425</t>
  </si>
  <si>
    <t>3102573399L</t>
  </si>
  <si>
    <t>9781853599279</t>
  </si>
  <si>
    <t>794157744</t>
  </si>
  <si>
    <t>P53.82 R47 2011</t>
  </si>
  <si>
    <t>0                      P  0053820R  47          2011</t>
  </si>
  <si>
    <t>Research informing practice-practice informing research : innovative teaching methologies for world language teachers / edited by David Schwarzer, Mary Petrón, and Christopher Luke.</t>
  </si>
  <si>
    <t>Charlotte, NC : Information Age Pub., 2011.</t>
  </si>
  <si>
    <t>2014-04-28</t>
  </si>
  <si>
    <t>2453068055:eng</t>
  </si>
  <si>
    <t>704120484</t>
  </si>
  <si>
    <t>ocn704120484</t>
  </si>
  <si>
    <t>31033631812</t>
  </si>
  <si>
    <t>9781617353901</t>
  </si>
  <si>
    <t>794865265</t>
  </si>
  <si>
    <t>P53.82 T35 2006</t>
  </si>
  <si>
    <t>0                      P  0053820T  35          2006</t>
  </si>
  <si>
    <t>Task-based language education : from theory to practice / edited by Kris van den Branden.</t>
  </si>
  <si>
    <t>Cambridge [England] ; New York : Cambridge University Press, 2006.</t>
  </si>
  <si>
    <t>891480124:eng</t>
  </si>
  <si>
    <t>70660089</t>
  </si>
  <si>
    <t>ocm70660089</t>
  </si>
  <si>
    <t>3102635858K</t>
  </si>
  <si>
    <t>9780521689526</t>
  </si>
  <si>
    <t>794156964</t>
  </si>
  <si>
    <t>P53.82 T36 1993</t>
  </si>
  <si>
    <t>0                      P  0053820T  36          1993</t>
  </si>
  <si>
    <t>Tasks and language learning : integrating theory and practice / edited by Graham Crookes and Susan M. Gass.</t>
  </si>
  <si>
    <t>Clevedon [England] ; Philadelphia : Multilingual Matters, ©1993.</t>
  </si>
  <si>
    <t>Multilingual matters ; 93</t>
  </si>
  <si>
    <t>797088912:eng</t>
  </si>
  <si>
    <t>27388726</t>
  </si>
  <si>
    <t>ocm27388726</t>
  </si>
  <si>
    <t>3102731148G</t>
  </si>
  <si>
    <t>9781853591853</t>
  </si>
  <si>
    <t>793265471</t>
  </si>
  <si>
    <t>P53.82 W55 2007</t>
  </si>
  <si>
    <t>0                      P  0053820W  55          2007</t>
  </si>
  <si>
    <t>Doing task-based teaching / Dave Willis and Jane Willis.</t>
  </si>
  <si>
    <t>Willis, Dave.</t>
  </si>
  <si>
    <t>Oxford : Oxford University Press, 2007.</t>
  </si>
  <si>
    <t>103005136:eng</t>
  </si>
  <si>
    <t>137247491</t>
  </si>
  <si>
    <t>ocn137247491</t>
  </si>
  <si>
    <t>31025700817</t>
  </si>
  <si>
    <t>9780194422109</t>
  </si>
  <si>
    <t>794233300</t>
  </si>
  <si>
    <t>P53.85 B35 2006</t>
  </si>
  <si>
    <t>0                      P  0053850B  35          2006</t>
  </si>
  <si>
    <t>Language teacher supervision : a case-based approach / Kathleen M. Bailey.</t>
  </si>
  <si>
    <t>Bailey, Kathleen M.</t>
  </si>
  <si>
    <t>2019-02-12</t>
  </si>
  <si>
    <t>865162140:eng</t>
  </si>
  <si>
    <t>68192574</t>
  </si>
  <si>
    <t>ocm68192574</t>
  </si>
  <si>
    <t>3102634876K</t>
  </si>
  <si>
    <t>9780521838689</t>
  </si>
  <si>
    <t>794142710</t>
  </si>
  <si>
    <t>P53.85 C35 2010</t>
  </si>
  <si>
    <t>0                      P  0053850C  35          2010</t>
  </si>
  <si>
    <t>Bringing creative teaching into the young learner classroom / Lynne Cameron and Penny McKay.</t>
  </si>
  <si>
    <t>Cameron, Lynne.</t>
  </si>
  <si>
    <t>Oxford [England] ; New York : Oxford University Press, 2010.</t>
  </si>
  <si>
    <t>Into the classroom</t>
  </si>
  <si>
    <t>2016-11-27</t>
  </si>
  <si>
    <t>770700918:eng</t>
  </si>
  <si>
    <t>617565352</t>
  </si>
  <si>
    <t>ocn617565352</t>
  </si>
  <si>
    <t>3103381798H</t>
  </si>
  <si>
    <t>9780194422482</t>
  </si>
  <si>
    <t>794823041</t>
  </si>
  <si>
    <t>P53.85 C36 2009</t>
  </si>
  <si>
    <t>0                      P  0053850C  36          2009</t>
  </si>
  <si>
    <t>The Cambridge guide to second language teacher education / edited by Anne Burns, Jack C. Richards.</t>
  </si>
  <si>
    <t>3769382389:eng</t>
  </si>
  <si>
    <t>297146904</t>
  </si>
  <si>
    <t>ocn297146904</t>
  </si>
  <si>
    <t>31031350073</t>
  </si>
  <si>
    <t>9780521760126</t>
  </si>
  <si>
    <t>794425676</t>
  </si>
  <si>
    <t>P53.85 F67 1996</t>
  </si>
  <si>
    <t>0                      P  0053850F  67          1996</t>
  </si>
  <si>
    <t>Foreign language teacher education : multiple perspectives / edited by Zena Moore.</t>
  </si>
  <si>
    <t>Lanham [Md.] : University Press of America, ©1996.</t>
  </si>
  <si>
    <t>836991722:eng</t>
  </si>
  <si>
    <t>35096113</t>
  </si>
  <si>
    <t>ocm35096113</t>
  </si>
  <si>
    <t>3101855939U</t>
  </si>
  <si>
    <t>9780761804673</t>
  </si>
  <si>
    <t>793443895</t>
  </si>
  <si>
    <t>P53.85 H33 2013</t>
  </si>
  <si>
    <t>0                      P  0053850H  33          2013</t>
  </si>
  <si>
    <t>Motivating learning / Jill Hadfield and Zoltan Dornyei.</t>
  </si>
  <si>
    <t>Hadfield, Jill, author.</t>
  </si>
  <si>
    <t>Harlow, England : Pearson, 2013.</t>
  </si>
  <si>
    <t>Research and resources in language teaching.</t>
  </si>
  <si>
    <t>2017-11-13</t>
  </si>
  <si>
    <t>1365506739:eng</t>
  </si>
  <si>
    <t>811600504</t>
  </si>
  <si>
    <t>ocn811600504</t>
  </si>
  <si>
    <t>3103498856K</t>
  </si>
  <si>
    <t>9781408249703</t>
  </si>
  <si>
    <t>794930259</t>
  </si>
  <si>
    <t>P53.85 I57 2012</t>
  </si>
  <si>
    <t>0                      P  0053850I  57          2012</t>
  </si>
  <si>
    <t>Insights into the European portfolio for student teachers of languages (EPOSTL) / edited by David Newby.</t>
  </si>
  <si>
    <t>3770454870:eng</t>
  </si>
  <si>
    <t>772000748</t>
  </si>
  <si>
    <t>ocn772000748</t>
  </si>
  <si>
    <t>3103406235L</t>
  </si>
  <si>
    <t>9781443835039</t>
  </si>
  <si>
    <t>794904350</t>
  </si>
  <si>
    <t>P53.85 K84 2012</t>
  </si>
  <si>
    <t>0                      P  0053850K  84          2012</t>
  </si>
  <si>
    <t>Teacher development in action : understanding language teachers' conceptual change / Magdalena Kubanyiova.</t>
  </si>
  <si>
    <t>Kubanyiova, Magdalena, 1977-</t>
  </si>
  <si>
    <t>Houndmills, Basingstoke Hampshire ; New York : Palgrave Macmillan, 2012.</t>
  </si>
  <si>
    <t>1106505320:eng</t>
  </si>
  <si>
    <t>666235261</t>
  </si>
  <si>
    <t>ocn666235261</t>
  </si>
  <si>
    <t>3103409388X</t>
  </si>
  <si>
    <t>9780230232587</t>
  </si>
  <si>
    <t>794844932</t>
  </si>
  <si>
    <t>P53.85 K86 2012</t>
  </si>
  <si>
    <t>0                      P  0053850K  86          2012</t>
  </si>
  <si>
    <t>Language teacher education for a global society : a modular model for knowing, analyzing, recognizing, doing, and seeing / B. Kumaravadivelu.</t>
  </si>
  <si>
    <t>New York : Routledge/Taylor and Francis, 2012.</t>
  </si>
  <si>
    <t>420327841:eng</t>
  </si>
  <si>
    <t>548660308</t>
  </si>
  <si>
    <t>ocn548660308</t>
  </si>
  <si>
    <t>3103382519Z</t>
  </si>
  <si>
    <t>9780415877374</t>
  </si>
  <si>
    <t>794811172</t>
  </si>
  <si>
    <t>P53.85 L36 2011</t>
  </si>
  <si>
    <t>0                      P  0053850L  36          2011</t>
  </si>
  <si>
    <t>Language awareness in teacher education : cultural-political and social-educational perspectives / Stephan Breidbach, Daniela Elsner, Andrea Young, eds.</t>
  </si>
  <si>
    <t>Frankfurt am Main : Peter Lang, ©2011.</t>
  </si>
  <si>
    <t>Mehrsprachigkeit in Schule und Unterricht ; Bd. 13</t>
  </si>
  <si>
    <t>2017-02-10</t>
  </si>
  <si>
    <t>901666720:eng</t>
  </si>
  <si>
    <t>732499574</t>
  </si>
  <si>
    <t>ocn732499574</t>
  </si>
  <si>
    <t>3103235118T</t>
  </si>
  <si>
    <t>9783631614648</t>
  </si>
  <si>
    <t>794881299</t>
  </si>
  <si>
    <t>P53.85 L37 2014</t>
  </si>
  <si>
    <t>0                      P  0053850L  37          2014</t>
  </si>
  <si>
    <t>Language teachers and teaching : global perspectives, local initiatives / edited by Selim Ben Said and Lawrence Jun Zhang.</t>
  </si>
  <si>
    <t>New York : Routledge, Taylor &amp; Francis Group, 2014.</t>
  </si>
  <si>
    <t>Routledge research in education ; 98</t>
  </si>
  <si>
    <t>2018-01-09</t>
  </si>
  <si>
    <t>1779806588:eng</t>
  </si>
  <si>
    <t>792875909</t>
  </si>
  <si>
    <t>ocn792875909</t>
  </si>
  <si>
    <t>3103502708M</t>
  </si>
  <si>
    <t>9780415636278</t>
  </si>
  <si>
    <t>794917136</t>
  </si>
  <si>
    <t>P53.85 N66 2005</t>
  </si>
  <si>
    <t>0                      P  0053850N  66          2005</t>
  </si>
  <si>
    <t>Non-native language teachers : perceptions, challenges, and contributions to the profession / Enric Llurda, editor.</t>
  </si>
  <si>
    <t>New York : Springer, ©2005.</t>
  </si>
  <si>
    <t>Educational linguistics ; v. 5</t>
  </si>
  <si>
    <t>857532593:eng</t>
  </si>
  <si>
    <t>57557334</t>
  </si>
  <si>
    <t>ocm57557334</t>
  </si>
  <si>
    <t>31025489830</t>
  </si>
  <si>
    <t>9780387245669</t>
  </si>
  <si>
    <t>793915400</t>
  </si>
  <si>
    <t>P53.85 O5 1997</t>
  </si>
  <si>
    <t>0                      P  0053850O  5           1997</t>
  </si>
  <si>
    <t>On becoming a language educator : personal essays on professional development / edited by Christine Pearson Casanave, Sandra R. Schecter.</t>
  </si>
  <si>
    <t>Mahwah, NJ : Lawrence Erlbaum, 1997.</t>
  </si>
  <si>
    <t>2015-02-17</t>
  </si>
  <si>
    <t>45755096:eng</t>
  </si>
  <si>
    <t>35848980</t>
  </si>
  <si>
    <t>ocm35848980</t>
  </si>
  <si>
    <t>3103226166K</t>
  </si>
  <si>
    <t>9780805822632</t>
  </si>
  <si>
    <t>793458954</t>
  </si>
  <si>
    <t>P53.85 P47 1992</t>
  </si>
  <si>
    <t>0                      P  0053850P  47          1992</t>
  </si>
  <si>
    <t>Perspectives on second language teacher education / edited by John Flowerdew, Mark Brock, Sophie Hsia.</t>
  </si>
  <si>
    <t>Hong Kong : City Polytechnic of Hong Kong, ©1992.</t>
  </si>
  <si>
    <t>2015-10-22</t>
  </si>
  <si>
    <t>29329854:eng</t>
  </si>
  <si>
    <t>26592974</t>
  </si>
  <si>
    <t>ocm26592974</t>
  </si>
  <si>
    <t>3101880386F</t>
  </si>
  <si>
    <t>793247874</t>
  </si>
  <si>
    <t>P53.85 R53 1998</t>
  </si>
  <si>
    <t>0                      P  0053850R  53          1998</t>
  </si>
  <si>
    <t>Beyond training : perspectives on language teacher education / Jack C. Richards.</t>
  </si>
  <si>
    <t>308808819:eng</t>
  </si>
  <si>
    <t>37401030</t>
  </si>
  <si>
    <t>ocm37401030</t>
  </si>
  <si>
    <t>3101970168O</t>
  </si>
  <si>
    <t>9780521626804</t>
  </si>
  <si>
    <t>793497941</t>
  </si>
  <si>
    <t>P53.85 R533 2011</t>
  </si>
  <si>
    <t>0                      P  0053850R  533         2011</t>
  </si>
  <si>
    <t>Practice teaching : a reflective approach / Jack C. Richards, Thomas S.C. Farrell.</t>
  </si>
  <si>
    <t>815111355:eng</t>
  </si>
  <si>
    <t>664352348</t>
  </si>
  <si>
    <t>ocn664352348</t>
  </si>
  <si>
    <t>31033438311</t>
  </si>
  <si>
    <t>9780521186223</t>
  </si>
  <si>
    <t>794843443</t>
  </si>
  <si>
    <t>P53.85 S43 1990</t>
  </si>
  <si>
    <t>0                      P  0053850S  43          1990</t>
  </si>
  <si>
    <t>Second language teacher education / edited by Jack C. Richards and David Nunan.</t>
  </si>
  <si>
    <t>Cambridge [England] ; New York : Cambridge University Press, 1990.</t>
  </si>
  <si>
    <t>2011-12-12</t>
  </si>
  <si>
    <t>2019-03-12</t>
  </si>
  <si>
    <t>350124577:eng</t>
  </si>
  <si>
    <t>20132516</t>
  </si>
  <si>
    <t>ocm20132516</t>
  </si>
  <si>
    <t>3100676407V</t>
  </si>
  <si>
    <t>9780521383844</t>
  </si>
  <si>
    <t>793078559</t>
  </si>
  <si>
    <t>3101844201K</t>
  </si>
  <si>
    <t>793078560</t>
  </si>
  <si>
    <t>P53.85 S434 2004</t>
  </si>
  <si>
    <t>0                      P  0053850S  434         2004</t>
  </si>
  <si>
    <t>Second language teacher education : international perspectives / edited by Diane J. Tedick.</t>
  </si>
  <si>
    <t>503421879:eng</t>
  </si>
  <si>
    <t>55847228</t>
  </si>
  <si>
    <t>ocm55847228</t>
  </si>
  <si>
    <t>3102400913Z</t>
  </si>
  <si>
    <t>9780805848793</t>
  </si>
  <si>
    <t>793883120</t>
  </si>
  <si>
    <t>P53.85 T4 1996</t>
  </si>
  <si>
    <t>0                      P  0053850T  4           1996</t>
  </si>
  <si>
    <t>Teacher learning in language teaching / edited by Donald Freeman and Jack C. Richards.</t>
  </si>
  <si>
    <t>509738364:eng</t>
  </si>
  <si>
    <t>32393724</t>
  </si>
  <si>
    <t>ocm32393724</t>
  </si>
  <si>
    <t>3101828103C</t>
  </si>
  <si>
    <t>9780521551212</t>
  </si>
  <si>
    <t>793382872</t>
  </si>
  <si>
    <t>P53.85 W34 1992</t>
  </si>
  <si>
    <t>0                      P  0053850W  34          1992</t>
  </si>
  <si>
    <t>Classroom observation tasks : a resource book for language teachers and trainers / Ruth Wajnryb.</t>
  </si>
  <si>
    <t>Wajnryb, Ruth.</t>
  </si>
  <si>
    <t>203293266:eng</t>
  </si>
  <si>
    <t>24540035</t>
  </si>
  <si>
    <t>ocm24540035</t>
  </si>
  <si>
    <t>3101801860J</t>
  </si>
  <si>
    <t>9780521403627</t>
  </si>
  <si>
    <t>793200532</t>
  </si>
  <si>
    <t>P53.85 W35 1991</t>
  </si>
  <si>
    <t>0                      P  0053850W  35          1991</t>
  </si>
  <si>
    <t>Training foreign language teachers : a reflective approach / Michael J. Wallace.</t>
  </si>
  <si>
    <t>Wallace, Michael J.</t>
  </si>
  <si>
    <t>2662396:eng</t>
  </si>
  <si>
    <t>24144110</t>
  </si>
  <si>
    <t>ocm24144110</t>
  </si>
  <si>
    <t>3101801550Y</t>
  </si>
  <si>
    <t>9780521356367</t>
  </si>
  <si>
    <t>793190851</t>
  </si>
  <si>
    <t>P53.85 W68 2011</t>
  </si>
  <si>
    <t>0                      P  0053850W  68          2011</t>
  </si>
  <si>
    <t>WorldCALL : international perspectives on computer-assisted language learning / edited by Mike Levy [and others].</t>
  </si>
  <si>
    <t>Routledge studies in computer assisted language learning ; 5</t>
  </si>
  <si>
    <t>369781943:eng</t>
  </si>
  <si>
    <t>495781654</t>
  </si>
  <si>
    <t>ocn495781654</t>
  </si>
  <si>
    <t>3103323056V</t>
  </si>
  <si>
    <t>9780415880862</t>
  </si>
  <si>
    <t>794802049</t>
  </si>
  <si>
    <t>P53.855 A67 2002</t>
  </si>
  <si>
    <t>0                      P  0053855A  67          2002</t>
  </si>
  <si>
    <t>Apprentissages des langues et technologies : usages et émergence / [édité par] Marie-José Barbot et Véronica Pugibet.</t>
  </si>
  <si>
    <t>Paris : Clé international : FIPF, [2002]</t>
  </si>
  <si>
    <t>Français dans le monde. Recherches et applications, 0015-9395 ; janvier 2002 (numéro spécial)</t>
  </si>
  <si>
    <t>2016-06-03</t>
  </si>
  <si>
    <t>892315268:fre</t>
  </si>
  <si>
    <t>49381586</t>
  </si>
  <si>
    <t>ocm49381586</t>
  </si>
  <si>
    <t>3102249924Q</t>
  </si>
  <si>
    <t>9782090371024</t>
  </si>
  <si>
    <t>793738956</t>
  </si>
  <si>
    <t>P53.855 D84 2013</t>
  </si>
  <si>
    <t>0                      P  0053855D  84          2013</t>
  </si>
  <si>
    <t>Technology in the L2 curriculum / Stayc Dubravac.</t>
  </si>
  <si>
    <t>Dubravac, Stayc.</t>
  </si>
  <si>
    <t>Boston : Pearson Education, ©2013.</t>
  </si>
  <si>
    <t>Theory and practice in second language classroom instruction</t>
  </si>
  <si>
    <t>2014-06-25</t>
  </si>
  <si>
    <t>1009095935:eng</t>
  </si>
  <si>
    <t>809454937</t>
  </si>
  <si>
    <t>ocn809454937</t>
  </si>
  <si>
    <t>31034974059</t>
  </si>
  <si>
    <t>9780132385121</t>
  </si>
  <si>
    <t>794928446</t>
  </si>
  <si>
    <t>P53.855 G78 2012</t>
  </si>
  <si>
    <t>0                      P  0053855G  78          2012</t>
  </si>
  <si>
    <t>Blending technologies in second language classrooms / Paul Gruba and Don Hinkelman.</t>
  </si>
  <si>
    <t>Gruba, Paul.</t>
  </si>
  <si>
    <t>2014-04-01</t>
  </si>
  <si>
    <t>1009108118:eng</t>
  </si>
  <si>
    <t>748328721</t>
  </si>
  <si>
    <t>ocn748328721</t>
  </si>
  <si>
    <t>3103421486F</t>
  </si>
  <si>
    <t>9780230232617</t>
  </si>
  <si>
    <t>794888989</t>
  </si>
  <si>
    <t>P53.855 M88 2013</t>
  </si>
  <si>
    <t>0                      P  0053855M  88          2013</t>
  </si>
  <si>
    <t>Mutations technologiques, nouvelles pratiques sociales et didactique des langues / coordonné par Christian Ollivier et Laurent Puren.</t>
  </si>
  <si>
    <t>Paris : CLE International, [2013].</t>
  </si>
  <si>
    <t>Le français dans le monde : Recherches et applications ; 54</t>
  </si>
  <si>
    <t>1408289389:fre</t>
  </si>
  <si>
    <t>860837534</t>
  </si>
  <si>
    <t>ocn860837534</t>
  </si>
  <si>
    <t>31035343591</t>
  </si>
  <si>
    <t>9782090371277</t>
  </si>
  <si>
    <t>794958557</t>
  </si>
  <si>
    <t>P53.855 P79 2016</t>
  </si>
  <si>
    <t>0                      P  0053855P  79          2016</t>
  </si>
  <si>
    <t>A psycholinguistic approach to technology and language learning / edited by Ronard P. Leow, Luis Cerezo, and Melissa Baralt.</t>
  </si>
  <si>
    <t>Leow, Ronald P. (Ronald Philip), 1954- editor.</t>
  </si>
  <si>
    <t>Studies in Second and Foreign Language Education ; volume 11</t>
  </si>
  <si>
    <t>2017-02-21</t>
  </si>
  <si>
    <t>2614154072:eng</t>
  </si>
  <si>
    <t>918150165</t>
  </si>
  <si>
    <t>ocn918150165</t>
  </si>
  <si>
    <t>3103609096P</t>
  </si>
  <si>
    <t>9781614514022</t>
  </si>
  <si>
    <t>795001025</t>
  </si>
  <si>
    <t>P53.855 S83 2011</t>
  </si>
  <si>
    <t>0                      P  0053855S  83          2011</t>
  </si>
  <si>
    <t>Interdisciplinarity and languages : current issues in research, teaching, professional applications and ICT / Francisca Suau-Jiménez and Barry Pennock-Speck.</t>
  </si>
  <si>
    <t>Suau Jiménez, Francisca.</t>
  </si>
  <si>
    <t>Oxford ; New York : Peter Lang, 2011.</t>
  </si>
  <si>
    <t>Contemporary studies in descriptive linguistics ; v. 30</t>
  </si>
  <si>
    <t>999053629:eng</t>
  </si>
  <si>
    <t>703623780</t>
  </si>
  <si>
    <t>ocn703623780</t>
  </si>
  <si>
    <t>3103341437L</t>
  </si>
  <si>
    <t>9783034302838</t>
  </si>
  <si>
    <t>794865040</t>
  </si>
  <si>
    <t>P53.855 T44 2016</t>
  </si>
  <si>
    <t>0                      P  0053855T  44          2016</t>
  </si>
  <si>
    <t>Technology-enhanced language learning for specialized domains : practical applications and mobility / edited by Elena Martín-Monje, Izaskun Elorza and Blanca García Riaza.</t>
  </si>
  <si>
    <t>Routledge research in education ; 162</t>
  </si>
  <si>
    <t>2794545231:eng</t>
  </si>
  <si>
    <t>928750417</t>
  </si>
  <si>
    <t>ocn928750417</t>
  </si>
  <si>
    <t>3103654083T</t>
  </si>
  <si>
    <t>9781138120433</t>
  </si>
  <si>
    <t>795006357</t>
  </si>
  <si>
    <t>P53.86 C66 2010</t>
  </si>
  <si>
    <t>0                      P  0053860C  66          2010</t>
  </si>
  <si>
    <t>Translation in language teaching : an argument for reassessment / Guy Cook.</t>
  </si>
  <si>
    <t>Cook, Guy (Guy W. D.)</t>
  </si>
  <si>
    <t>Oxford : Oxford University Press, ©2010.</t>
  </si>
  <si>
    <t>2012-03-15</t>
  </si>
  <si>
    <t>775306910:eng</t>
  </si>
  <si>
    <t>613313278</t>
  </si>
  <si>
    <t>ocn613313278</t>
  </si>
  <si>
    <t>3103134296K</t>
  </si>
  <si>
    <t>9780194424752</t>
  </si>
  <si>
    <t>794821869</t>
  </si>
  <si>
    <t>P53.9 C63 1997</t>
  </si>
  <si>
    <t>0                      P  0053900C  63          1997</t>
  </si>
  <si>
    <t>Second language vocabulary acquisition : a rationale for pedagogy / James Coady and Thomas Huckin.</t>
  </si>
  <si>
    <t>Coady, James.</t>
  </si>
  <si>
    <t>2018-09-04</t>
  </si>
  <si>
    <t>794633107:eng</t>
  </si>
  <si>
    <t>34723756</t>
  </si>
  <si>
    <t>ocm34723756</t>
  </si>
  <si>
    <t>3101803539C</t>
  </si>
  <si>
    <t>9780521561327</t>
  </si>
  <si>
    <t>793434191</t>
  </si>
  <si>
    <t>P53.9 G36 1991</t>
  </si>
  <si>
    <t>0                      P  0053900G  36          1991</t>
  </si>
  <si>
    <t>De la langue à la culture par les mots / Robert Galisson.</t>
  </si>
  <si>
    <t>Galisson, Robert.</t>
  </si>
  <si>
    <t>Paris : CLE international, ©1991.</t>
  </si>
  <si>
    <t>Didactique des langues étrangères</t>
  </si>
  <si>
    <t>348846543:fre</t>
  </si>
  <si>
    <t>31668162</t>
  </si>
  <si>
    <t>ocm31668162</t>
  </si>
  <si>
    <t>3101731704M</t>
  </si>
  <si>
    <t>9782190333519</t>
  </si>
  <si>
    <t>793365410</t>
  </si>
  <si>
    <t>P53.9 K45 2010</t>
  </si>
  <si>
    <t>0                      P  0053900K  45          2010</t>
  </si>
  <si>
    <t>The mental lexicon and vocabulary learning : implications for the foreign language classroom / Saskia Kersten.</t>
  </si>
  <si>
    <t>Kersten, Saskia.</t>
  </si>
  <si>
    <t>Tübingen : Narr, ©2010.</t>
  </si>
  <si>
    <t>Language in performance, 0939-9399 ; 43</t>
  </si>
  <si>
    <t>2015-12-06</t>
  </si>
  <si>
    <t>694995369:eng</t>
  </si>
  <si>
    <t>679931926</t>
  </si>
  <si>
    <t>ocn679931926</t>
  </si>
  <si>
    <t>3103301840R</t>
  </si>
  <si>
    <t>9783823365860</t>
  </si>
  <si>
    <t>794850780</t>
  </si>
  <si>
    <t>P53.9 M63 2007</t>
  </si>
  <si>
    <t>0                      P  0053900M  63          2007</t>
  </si>
  <si>
    <t>Modelling and assessing vocabulary knowledge / edited by Helmut Daller, James Milton, and Jeanine Treffers-Daller.</t>
  </si>
  <si>
    <t>766841102:eng</t>
  </si>
  <si>
    <t>137222775</t>
  </si>
  <si>
    <t>ocn137222775</t>
  </si>
  <si>
    <t>3102572280U</t>
  </si>
  <si>
    <t>9780521703277</t>
  </si>
  <si>
    <t>794232952</t>
  </si>
  <si>
    <t>P53.9 N29 2001</t>
  </si>
  <si>
    <t>0                      P  0053900N  29          2001</t>
  </si>
  <si>
    <t>Learning vocabulary in another language / I.S.P. Nation.</t>
  </si>
  <si>
    <t>Nation, I. S. P.</t>
  </si>
  <si>
    <t>35107790:eng</t>
  </si>
  <si>
    <t>45854346</t>
  </si>
  <si>
    <t>ocm45854346</t>
  </si>
  <si>
    <t>3102489067D</t>
  </si>
  <si>
    <t>9780521800921</t>
  </si>
  <si>
    <t>793679758</t>
  </si>
  <si>
    <t>P53.9 S365 2010</t>
  </si>
  <si>
    <t>0                      P  0053900S  365         2010</t>
  </si>
  <si>
    <t>Researching vocabulary : a vocabulary research manual / Norbert Schmitt.</t>
  </si>
  <si>
    <t>Schmitt, Norbert.</t>
  </si>
  <si>
    <t>796388859:eng</t>
  </si>
  <si>
    <t>461274514</t>
  </si>
  <si>
    <t>ocn461274514</t>
  </si>
  <si>
    <t>3103228404F</t>
  </si>
  <si>
    <t>9781403985361</t>
  </si>
  <si>
    <t>794791404</t>
  </si>
  <si>
    <t>P53.9 S37 2000</t>
  </si>
  <si>
    <t>0                      P  0053900S  37          2000</t>
  </si>
  <si>
    <t>Vocabulary in language teaching / Norbert Schmitt.</t>
  </si>
  <si>
    <t>Schmitt, Norbert, 1956-</t>
  </si>
  <si>
    <t>Cambridge ; New York : Cambridge University Press, 2000.</t>
  </si>
  <si>
    <t>909257:eng</t>
  </si>
  <si>
    <t>42786317</t>
  </si>
  <si>
    <t>ocm42786317</t>
  </si>
  <si>
    <t>3103228755X</t>
  </si>
  <si>
    <t>9780521660488</t>
  </si>
  <si>
    <t>793614352</t>
  </si>
  <si>
    <t>P53.9 V634 2004</t>
  </si>
  <si>
    <t>0                      P  0053900V  634         2004</t>
  </si>
  <si>
    <t>Vocabulary in a second language : selection, acquisition, and testing / edited by Paul Bogaards, Batia Laufer.</t>
  </si>
  <si>
    <t>Language learning and language teaching, 1569-9471 ; v. 10</t>
  </si>
  <si>
    <t>793926291:eng</t>
  </si>
  <si>
    <t>55644930</t>
  </si>
  <si>
    <t>ocm55644930</t>
  </si>
  <si>
    <t>3103309050H</t>
  </si>
  <si>
    <t>9789027217097</t>
  </si>
  <si>
    <t>793880095</t>
  </si>
  <si>
    <t>P53.9 W47 2009</t>
  </si>
  <si>
    <t>0                      P  0053900W  47          2009</t>
  </si>
  <si>
    <t>Lexical inferencing in a first and second language : cross-linguistic dimensions / Marjorie Bingham Wesche and T. Sima Paribakht.</t>
  </si>
  <si>
    <t>Wesche, Marjorie Bingham, 1941-</t>
  </si>
  <si>
    <t>Bristol, UK ; Buffalo [N.Y.] : Multilingual Matters, 2009.</t>
  </si>
  <si>
    <t>793213979:eng</t>
  </si>
  <si>
    <t>430816170</t>
  </si>
  <si>
    <t>ocn430816170</t>
  </si>
  <si>
    <t>3103157486V</t>
  </si>
  <si>
    <t>9781847692238</t>
  </si>
  <si>
    <t>794781151</t>
  </si>
  <si>
    <t>P57 A9 R67 2012</t>
  </si>
  <si>
    <t>0                      P  0057000A  9                  R  67          2012</t>
  </si>
  <si>
    <t>Learning to write, reading to learn : genre, knowledge and pedagogy in the Sydney school / David Rose and J.R. Martin.</t>
  </si>
  <si>
    <t>Rose, David, 1955-</t>
  </si>
  <si>
    <t>Bristol, CT ; South Yorkshire : Equinox Pub., 2012.</t>
  </si>
  <si>
    <t>Equinox textbooks and surveys in linguistics</t>
  </si>
  <si>
    <t>891150940:eng</t>
  </si>
  <si>
    <t>717300822</t>
  </si>
  <si>
    <t>ocn717300822</t>
  </si>
  <si>
    <t>3103468210O</t>
  </si>
  <si>
    <t>9781845531430</t>
  </si>
  <si>
    <t>794874185</t>
  </si>
  <si>
    <t>P57 C3 C53 2009</t>
  </si>
  <si>
    <t>0                      P  0057000C  3                  C  53          2009</t>
  </si>
  <si>
    <t>Multilingualism, citizenship, and identity : voices of youth and symbolic investments in an urban, globalized world / Julie Byrd Clark.</t>
  </si>
  <si>
    <t>Clark, Julie Byrd.</t>
  </si>
  <si>
    <t>797256948:eng</t>
  </si>
  <si>
    <t>432982924</t>
  </si>
  <si>
    <t>ocn432982924</t>
  </si>
  <si>
    <t>3103132490M</t>
  </si>
  <si>
    <t>9781441182517</t>
  </si>
  <si>
    <t>794782031</t>
  </si>
  <si>
    <t>P57 C3 M56 2013</t>
  </si>
  <si>
    <t>0                      P  0057000C  3                  M  56          2013</t>
  </si>
  <si>
    <t>Minority populations in Canadian second language education / edited by Katy Arnett and Callie Mady.</t>
  </si>
  <si>
    <t>Bristol : Multilingual Matters, [2013]</t>
  </si>
  <si>
    <t>New perspectives on language and education ; [32]</t>
  </si>
  <si>
    <t>1320836301:eng</t>
  </si>
  <si>
    <t>843180929</t>
  </si>
  <si>
    <t>ocn843180929</t>
  </si>
  <si>
    <t>3103504159M</t>
  </si>
  <si>
    <t>9781783090303</t>
  </si>
  <si>
    <t>794947955</t>
  </si>
  <si>
    <t>P57 C6 L36 2005</t>
  </si>
  <si>
    <t>0                      P  0057000C  6                  L  36          2005</t>
  </si>
  <si>
    <t>Language education in China : policy and experience from 1949 / Agnes S.L. Lam.</t>
  </si>
  <si>
    <t>Lam, Agnes.</t>
  </si>
  <si>
    <t>Hong Kong : Hong Kong University Press ; London : Eurospan [distributor], 2005.</t>
  </si>
  <si>
    <t>Education in China : reform and diversity</t>
  </si>
  <si>
    <t>45190460:eng</t>
  </si>
  <si>
    <t>61478456</t>
  </si>
  <si>
    <t>ocm61478456</t>
  </si>
  <si>
    <t>31025781927</t>
  </si>
  <si>
    <t>9789622097506</t>
  </si>
  <si>
    <t>793953759</t>
  </si>
  <si>
    <t>P57 E9 C665 2009</t>
  </si>
  <si>
    <t>0                      P  0057000E  9                  C  665         2009</t>
  </si>
  <si>
    <t>Content and language integrated learning : evidence from research in Europe / edited by Yolanda Ruiz de Zarobe and Rosa María Jiménez Catalán.</t>
  </si>
  <si>
    <t>Bristol, UK ; Buffalo [N.Y.] : Channel View Publications, ©2009.</t>
  </si>
  <si>
    <t>Second language acquisition ; 41</t>
  </si>
  <si>
    <t>865434988:eng</t>
  </si>
  <si>
    <t>316098662</t>
  </si>
  <si>
    <t>ocn316098662</t>
  </si>
  <si>
    <t>3103229487W</t>
  </si>
  <si>
    <t>9781847691668</t>
  </si>
  <si>
    <t>794444259</t>
  </si>
  <si>
    <t>P57 E9 C69 2010</t>
  </si>
  <si>
    <t>0                      P  0057000E  9                  C  69          2010</t>
  </si>
  <si>
    <t>CLIL : content and language integrated learning / Do Coyle, Philip Hood, David Marsh.</t>
  </si>
  <si>
    <t>section of book is loose; will be repaired after (Dec.5/17)</t>
  </si>
  <si>
    <t>Coyle, Do, 1952- author.</t>
  </si>
  <si>
    <t>793221985:eng</t>
  </si>
  <si>
    <t>460059744</t>
  </si>
  <si>
    <t>ocn460059744</t>
  </si>
  <si>
    <t>3103132435Y</t>
  </si>
  <si>
    <t>9780521112987</t>
  </si>
  <si>
    <t>794790965</t>
  </si>
  <si>
    <t>P57 H8 D677 2006</t>
  </si>
  <si>
    <t>0                      P  0057000H  8                  D  677         2006</t>
  </si>
  <si>
    <t>Motivation, language attitudes and globalisation : a Hungarian perspective / Zoltán Dörnyei, Kata Csizér, and Nóra Németh.</t>
  </si>
  <si>
    <t>Dörnyei, Zoltán.</t>
  </si>
  <si>
    <t>Second language acquisition ; 18</t>
  </si>
  <si>
    <t>2015-07-29</t>
  </si>
  <si>
    <t>793975845:eng</t>
  </si>
  <si>
    <t>63125857</t>
  </si>
  <si>
    <t>ocm63125857</t>
  </si>
  <si>
    <t>3102573391L</t>
  </si>
  <si>
    <t>9781853598869</t>
  </si>
  <si>
    <t>794118720</t>
  </si>
  <si>
    <t>P57 J3 L34 2012</t>
  </si>
  <si>
    <t>0                      P  0057000J  3                  L  34          2012</t>
  </si>
  <si>
    <t>Language and citizenship in Japan / edited by Nanette Gottlieb.</t>
  </si>
  <si>
    <t>Routledge studies in sociolinguistics ; 4</t>
  </si>
  <si>
    <t>918815453:eng</t>
  </si>
  <si>
    <t>733755716</t>
  </si>
  <si>
    <t>ocn733755716</t>
  </si>
  <si>
    <t>3103405516K</t>
  </si>
  <si>
    <t>9780415897228</t>
  </si>
  <si>
    <t>794882215</t>
  </si>
  <si>
    <t>P57 J3 L36 2011</t>
  </si>
  <si>
    <t>0                      P  0057000J  3                  L  36          2011</t>
  </si>
  <si>
    <t>Language life in Japan : transformations and prospects / edited by Patrick Heinrich and Christian Galan.</t>
  </si>
  <si>
    <t>Routledge contemporary Japan series ; 34</t>
  </si>
  <si>
    <t>796541668:eng</t>
  </si>
  <si>
    <t>503308080</t>
  </si>
  <si>
    <t>ocn503308080</t>
  </si>
  <si>
    <t>3103228342A</t>
  </si>
  <si>
    <t>9780415587228</t>
  </si>
  <si>
    <t>794806435</t>
  </si>
  <si>
    <t>P57 J3 L37 2012</t>
  </si>
  <si>
    <t>0                      P  0057000J  3                  L  37          2012</t>
  </si>
  <si>
    <t>Language policy in Japan : the challenge of change / Nanette Gottlieb.</t>
  </si>
  <si>
    <t>Gottlieb, Nanette, 1948-</t>
  </si>
  <si>
    <t>987588541:eng</t>
  </si>
  <si>
    <t>746489225</t>
  </si>
  <si>
    <t>ocn746489225</t>
  </si>
  <si>
    <t>3103381682M</t>
  </si>
  <si>
    <t>9781107007161</t>
  </si>
  <si>
    <t>794887241</t>
  </si>
  <si>
    <t>P57 S7 A7813 1991</t>
  </si>
  <si>
    <t>0                      P  0057000S  7                  A  7813        1991</t>
  </si>
  <si>
    <t>The Catalan immersion program : a European point of view / Josep Maria Artigal ; translated from Catalan by Jacqueline Hall.</t>
  </si>
  <si>
    <t>Artigal, Josep Maria.</t>
  </si>
  <si>
    <t>Norwood, N.J. : Ablex Pub. Corp., ©1991.</t>
  </si>
  <si>
    <t>2015-11-25</t>
  </si>
  <si>
    <t>2870152:eng</t>
  </si>
  <si>
    <t>24066781</t>
  </si>
  <si>
    <t>ocm24066781</t>
  </si>
  <si>
    <t>3101213561I</t>
  </si>
  <si>
    <t>9780893917470</t>
  </si>
  <si>
    <t>793188651</t>
  </si>
  <si>
    <t>P57 U7 C75 2012</t>
  </si>
  <si>
    <t>0                      P  0057000U  7                  C  75          2012</t>
  </si>
  <si>
    <t>Critical and intercultural theory and language pedagogy / Glenn S. Levine, Alison Phipps, editors.</t>
  </si>
  <si>
    <t>Boston, MA : Heinle Cengage Learning, ©2012.</t>
  </si>
  <si>
    <t>AAUSC issues in language program direction ; 2010</t>
  </si>
  <si>
    <t>2017-11-06</t>
  </si>
  <si>
    <t>4202661180:eng</t>
  </si>
  <si>
    <t>654314129</t>
  </si>
  <si>
    <t>ocn654314129</t>
  </si>
  <si>
    <t>3103498198X</t>
  </si>
  <si>
    <t>9780495800071</t>
  </si>
  <si>
    <t>794833943</t>
  </si>
  <si>
    <t>P57 U7 I53 2015</t>
  </si>
  <si>
    <t>0                      P  0057000U  7                  I  53          2015</t>
  </si>
  <si>
    <t>Individual differences, L2 development, and language program administration : from theory to application / Cristina Sanz, Beatriz Lado, editors ; Stacey Katz Bourns, series editor.</t>
  </si>
  <si>
    <t>Stamford, CT : Cengage Learning, [2014]</t>
  </si>
  <si>
    <t>AAUSC 2013 volume -- issues in language program direction</t>
  </si>
  <si>
    <t>2045359973:eng</t>
  </si>
  <si>
    <t>885379540</t>
  </si>
  <si>
    <t>ocn885379540</t>
  </si>
  <si>
    <t>31036107773</t>
  </si>
  <si>
    <t>9781285760582</t>
  </si>
  <si>
    <t>794977281</t>
  </si>
  <si>
    <t>P59 M48 P47 2017</t>
  </si>
  <si>
    <t>0                      P  0059000M  48                 P  47          2017</t>
  </si>
  <si>
    <t>A pesky set : papers for David Pesetsky / edited by Claire Halpert, Hadas Kotek, Coppe van Urk.</t>
  </si>
  <si>
    <t>Cambridge, Mass. : Massachusetts Institute of Technology, [2017]</t>
  </si>
  <si>
    <t>MIT working papers in linguistics</t>
  </si>
  <si>
    <t>4241148360:eng</t>
  </si>
  <si>
    <t>989622537</t>
  </si>
  <si>
    <t>ocn989622537</t>
  </si>
  <si>
    <t>3103701899K</t>
  </si>
  <si>
    <t>9781541229334</t>
  </si>
  <si>
    <t>795037168</t>
  </si>
  <si>
    <t>P60 M43 2001</t>
  </si>
  <si>
    <t>0                      P  0060000M  43          2001</t>
  </si>
  <si>
    <t>Media occupations and professions : a reader / edited by Jeremy Tunstall.</t>
  </si>
  <si>
    <t>Oxford [England] ; New York : Oxford University Press, 2001.</t>
  </si>
  <si>
    <t>Oxford readers in media and communication</t>
  </si>
  <si>
    <t>2016-12-13</t>
  </si>
  <si>
    <t>793257193:eng</t>
  </si>
  <si>
    <t>45505991</t>
  </si>
  <si>
    <t>ocm45505991</t>
  </si>
  <si>
    <t>3102731166C</t>
  </si>
  <si>
    <t>9780198742463</t>
  </si>
  <si>
    <t>793673081</t>
  </si>
  <si>
    <t>P61 A375 2010</t>
  </si>
  <si>
    <t>0                      P  0061000A  375         2010</t>
  </si>
  <si>
    <t>The western classical tradition in linguistics / Keith Allan.</t>
  </si>
  <si>
    <t>Allan, Keith, 1943-</t>
  </si>
  <si>
    <t>2nd expanded ed.</t>
  </si>
  <si>
    <t>2011-11-14</t>
  </si>
  <si>
    <t>57498350:eng</t>
  </si>
  <si>
    <t>319064273</t>
  </si>
  <si>
    <t>ocn319064273</t>
  </si>
  <si>
    <t>31032410410</t>
  </si>
  <si>
    <t>9781845536657</t>
  </si>
  <si>
    <t>794483364</t>
  </si>
  <si>
    <t>P61 A94 1994</t>
  </si>
  <si>
    <t>0                      P  0061000A  94          1994</t>
  </si>
  <si>
    <t>La révolution technologique de la grammatisation : introduction à l'histoire des sciences du langage / Sylvain Auroux.</t>
  </si>
  <si>
    <t>Auroux, Sylvain.</t>
  </si>
  <si>
    <t>Liège : Mardaga, ©1994.</t>
  </si>
  <si>
    <t>Philosophie et langage</t>
  </si>
  <si>
    <t>2019-01-23</t>
  </si>
  <si>
    <t>365219756:fre</t>
  </si>
  <si>
    <t>33865105</t>
  </si>
  <si>
    <t>ocm33865105</t>
  </si>
  <si>
    <t>3102731146G</t>
  </si>
  <si>
    <t>9782870095652</t>
  </si>
  <si>
    <t>793412783</t>
  </si>
  <si>
    <t>P61 C47 1989</t>
  </si>
  <si>
    <t>0                      P  0061000C  47          1989</t>
  </si>
  <si>
    <t>Éloge de la variante : histoire critique de la philologie / Bernard Cerquiglini.</t>
  </si>
  <si>
    <t>Paris : Seuil, ©1989.</t>
  </si>
  <si>
    <t>Des travaux</t>
  </si>
  <si>
    <t>2019-01-29</t>
  </si>
  <si>
    <t>25144438:fre</t>
  </si>
  <si>
    <t>19873282</t>
  </si>
  <si>
    <t>ocm19873282</t>
  </si>
  <si>
    <t>3102731217J</t>
  </si>
  <si>
    <t>9782020104333</t>
  </si>
  <si>
    <t>793071100</t>
  </si>
  <si>
    <t>P61 C65 2010</t>
  </si>
  <si>
    <t>0                      P  0061000C  65          2010</t>
  </si>
  <si>
    <t>Histoire des idées sur le langage et les langues / Bernard Colombat, Jean-Marie Fournier, Christian Puech.</t>
  </si>
  <si>
    <t>Colombat, Bernard.</t>
  </si>
  <si>
    <t>Paris : Klincksieck, ©2010.</t>
  </si>
  <si>
    <t>50 questions ; 33e</t>
  </si>
  <si>
    <t>2019-02-05</t>
  </si>
  <si>
    <t>69743424:fre</t>
  </si>
  <si>
    <t>603567935</t>
  </si>
  <si>
    <t>ocn603567935</t>
  </si>
  <si>
    <t>31032492293</t>
  </si>
  <si>
    <t>9782252035993</t>
  </si>
  <si>
    <t>794815684</t>
  </si>
  <si>
    <t>P61 H38 1989</t>
  </si>
  <si>
    <t>0                      P  0061000H  38          1989</t>
  </si>
  <si>
    <t>Landmarks in linguistic thought : the Western tradition from Socrates to Saussure / Roy Harris and Talbot J. Taylor.</t>
  </si>
  <si>
    <t>London ; New York : Routledge, ©1989.</t>
  </si>
  <si>
    <t>Routledge history of linguistic thought series</t>
  </si>
  <si>
    <t>2017-11-15</t>
  </si>
  <si>
    <t>9490311225:eng</t>
  </si>
  <si>
    <t>47195629</t>
  </si>
  <si>
    <t>ocm47195629</t>
  </si>
  <si>
    <t>31027311976</t>
  </si>
  <si>
    <t>9780415002905</t>
  </si>
  <si>
    <t>793700604</t>
  </si>
  <si>
    <t>2013-06-03</t>
  </si>
  <si>
    <t>3102731202L</t>
  </si>
  <si>
    <t>793700605</t>
  </si>
  <si>
    <t>P61 H58</t>
  </si>
  <si>
    <t>0                      P  0061000H  58</t>
  </si>
  <si>
    <t>History of linguistic thought and contemporary linguistics / ed. by Herman Parret.</t>
  </si>
  <si>
    <t>Berlin ; New York : De Gruyter, 1976.</t>
  </si>
  <si>
    <t>Foundations of communication (library editions)</t>
  </si>
  <si>
    <t>2016-07-15</t>
  </si>
  <si>
    <t>3855036:eng</t>
  </si>
  <si>
    <t>2067995</t>
  </si>
  <si>
    <t>ocm02067995</t>
  </si>
  <si>
    <t>31027311878</t>
  </si>
  <si>
    <t>9783110058185</t>
  </si>
  <si>
    <t>792039012</t>
  </si>
  <si>
    <t>P61 I57 2005</t>
  </si>
  <si>
    <t>0                      P  0061000I  57          2005</t>
  </si>
  <si>
    <t>History of linguistics 2005 : selected papers from the Tenth International Conference on History of the Language Sciences (ICHOLS X), 1-5 September 2005, Urbana-Champaign, Illinois / edited by Douglas A. Kibbee.</t>
  </si>
  <si>
    <t>International Conference on the History of the Language Sciences (10th : 2005 : Urbana, Ill.)</t>
  </si>
  <si>
    <t>Amsterdam ; Philadelphia : John Benjamins Pub. Co., ©2007.</t>
  </si>
  <si>
    <t>Amsterdam studies in the theory and history of linguistic science. Series III, Studies in the history of the language sciences ; v. 112</t>
  </si>
  <si>
    <t>2019-05-16</t>
  </si>
  <si>
    <t>796519140:eng</t>
  </si>
  <si>
    <t>173182451</t>
  </si>
  <si>
    <t>ocn173182451</t>
  </si>
  <si>
    <t>3102831918T</t>
  </si>
  <si>
    <t>9789027246035</t>
  </si>
  <si>
    <t>794265339</t>
  </si>
  <si>
    <t>P61 I57 2008</t>
  </si>
  <si>
    <t>0                      P  0061000I  57          2008</t>
  </si>
  <si>
    <t>History of linguistics 2008 : selected papers from the eleventh international conference on the history of the language sciences (ICHoLS XI), 28 August -2 September 2008, Potsdam / edited by Gerda Hassler ; with the assistance of Gesina Volkmann.</t>
  </si>
  <si>
    <t>International Conference on the History of the Language Sciences (11th : 2008 : Potsdam)</t>
  </si>
  <si>
    <t>Amsterdam ; Philadelphia : John Benjamins Pub. Co., 2011.</t>
  </si>
  <si>
    <t>Amsterdam studies in the theory and history of linguistic science. Series III, Studies in the history of the language sciences ; v. 115</t>
  </si>
  <si>
    <t>9415215549:eng</t>
  </si>
  <si>
    <t>691928397</t>
  </si>
  <si>
    <t>ocn691928397</t>
  </si>
  <si>
    <t>3103127646B</t>
  </si>
  <si>
    <t>9789027246066</t>
  </si>
  <si>
    <t>794855903</t>
  </si>
  <si>
    <t>P61 I57 2011</t>
  </si>
  <si>
    <t>0                      P  0061000I  57          2011</t>
  </si>
  <si>
    <t>History of Linguistics 2011 : selected papers from the 12th International Conference on the History of the Language Sciences (ICHOLS XII), Saint-Petersburg, 28 August-2 September 2011 / edited by Vadim Kasevich, Saint-Petersburg State University ; Yuri A. Kleiner, Saint-Petersburg State University ; Patrick Sériot, University Of Lausanne ; with the assistance of Anna Isanina.</t>
  </si>
  <si>
    <t>International Conference on the History of the Language Sciences (12th : 2011 : Saint Petersburg, Russia)</t>
  </si>
  <si>
    <t>Studies in the history of the language sciences ; v. 123</t>
  </si>
  <si>
    <t>2067773703:eng</t>
  </si>
  <si>
    <t>879601296</t>
  </si>
  <si>
    <t>ocn879601296</t>
  </si>
  <si>
    <t>3103198701E</t>
  </si>
  <si>
    <t>9789027246141</t>
  </si>
  <si>
    <t>794972424</t>
  </si>
  <si>
    <t>P61 I57 2014</t>
  </si>
  <si>
    <t>0                      P  0061000I  57          2014</t>
  </si>
  <si>
    <t>History of linguistics 2014 : selected papers from the 13th International Conference on the History of the Language Sciences (ICHOLS XIII), Vila Real, Portugal, 25-29 August 2014 / edited by Carlos Assunção, Gonçalo Fernandes, Rolf Kemmler, University of Trás-os-Montes and Alto Douro.</t>
  </si>
  <si>
    <t>International Conference on the History of the Language Sciences (13th : 2014 : Vila Real, Portugal)</t>
  </si>
  <si>
    <t>Studies in the history of the language sciences, Amsterdam studies in the theory and history of linguistic science. Series III ; volume 126</t>
  </si>
  <si>
    <t>3012360168:eng</t>
  </si>
  <si>
    <t>949870363</t>
  </si>
  <si>
    <t>ocn949870363</t>
  </si>
  <si>
    <t>3103687195M</t>
  </si>
  <si>
    <t>9789027246172</t>
  </si>
  <si>
    <t>795016252</t>
  </si>
  <si>
    <t>P61 J27</t>
  </si>
  <si>
    <t>0                      P  0061000J  27</t>
  </si>
  <si>
    <t>Genèse de la pensée linguistique / André Jacob ; avec la collaboration de Pierre Caussat et Robert Nadeau.</t>
  </si>
  <si>
    <t>Jacob, André, author.</t>
  </si>
  <si>
    <t>Paris : A. Colin, [1973]</t>
  </si>
  <si>
    <t>2017-10-06</t>
  </si>
  <si>
    <t>1612185:fre</t>
  </si>
  <si>
    <t>803176</t>
  </si>
  <si>
    <t>ocm00803176</t>
  </si>
  <si>
    <t>3102731203L</t>
  </si>
  <si>
    <t>791473802</t>
  </si>
  <si>
    <t>3000997790F</t>
  </si>
  <si>
    <t>791473803</t>
  </si>
  <si>
    <t>P61 M33 2011</t>
  </si>
  <si>
    <t>0                      P  0061000M  33          2011</t>
  </si>
  <si>
    <t>Seven ways of looking at language / Ronald K.S. Macaulay.</t>
  </si>
  <si>
    <t>Houndsmills, Basingstoke, Hampshire : Palgrave Macmillan, ©2011.</t>
  </si>
  <si>
    <t>5617256907:eng</t>
  </si>
  <si>
    <t>693517120</t>
  </si>
  <si>
    <t>ocn693517120</t>
  </si>
  <si>
    <t>3103231857G</t>
  </si>
  <si>
    <t>9780230279308</t>
  </si>
  <si>
    <t>794856501</t>
  </si>
  <si>
    <t>P61 O94 2013</t>
  </si>
  <si>
    <t>0                      P  0061000O  94          2013</t>
  </si>
  <si>
    <t>The Oxford handbook of the history of linguistics / edited by Keith Allan.</t>
  </si>
  <si>
    <t>Oxford : Oxford University Press, 2013.</t>
  </si>
  <si>
    <t>1352462409:eng</t>
  </si>
  <si>
    <t>843973137</t>
  </si>
  <si>
    <t>ocn843973137</t>
  </si>
  <si>
    <t>3103529448M</t>
  </si>
  <si>
    <t>9780199585847</t>
  </si>
  <si>
    <t>794948375</t>
  </si>
  <si>
    <t>P61 P56 2010</t>
  </si>
  <si>
    <t>0                      P  0061000P  56          2010</t>
  </si>
  <si>
    <t>Philology and its histories / edited by Sean Gurd.</t>
  </si>
  <si>
    <t>Classical memories/modern identities</t>
  </si>
  <si>
    <t>2011-04-06</t>
  </si>
  <si>
    <t>478032511:eng</t>
  </si>
  <si>
    <t>609871859</t>
  </si>
  <si>
    <t>ocn609871859</t>
  </si>
  <si>
    <t>3103229031H</t>
  </si>
  <si>
    <t>9780814211304</t>
  </si>
  <si>
    <t>794820337</t>
  </si>
  <si>
    <t>P61 R6 1997</t>
  </si>
  <si>
    <t>0                      P  0061000R  6           1997</t>
  </si>
  <si>
    <t>A short history of linguistics / R.H. Robins.</t>
  </si>
  <si>
    <t>Robins, R. H. (Robert Henry), author.</t>
  </si>
  <si>
    <t>London ; New York : Longman, [1997].</t>
  </si>
  <si>
    <t>Fourth edition.</t>
  </si>
  <si>
    <t>Longman linguistics library</t>
  </si>
  <si>
    <t>512373:eng</t>
  </si>
  <si>
    <t>35178602</t>
  </si>
  <si>
    <t>ocm35178602</t>
  </si>
  <si>
    <t>31027311898</t>
  </si>
  <si>
    <t>9780582249943</t>
  </si>
  <si>
    <t>793446124</t>
  </si>
  <si>
    <t>P61 S48 1998</t>
  </si>
  <si>
    <t>0                      P  0061000S  48          1998</t>
  </si>
  <si>
    <t>Western linguistics : an historical introduction / Pieter A.M. Seuren.</t>
  </si>
  <si>
    <t>Oxford, UK ; Malden, Mass. : Blackwell Publishers, 1998.</t>
  </si>
  <si>
    <t>2016-12-01</t>
  </si>
  <si>
    <t>42025277:eng</t>
  </si>
  <si>
    <t>37748608</t>
  </si>
  <si>
    <t>ocm37748608</t>
  </si>
  <si>
    <t>31027311848</t>
  </si>
  <si>
    <t>9780631208907</t>
  </si>
  <si>
    <t>793506198</t>
  </si>
  <si>
    <t>P61 S7513 1994</t>
  </si>
  <si>
    <t>0                      P  0061000S  7513        1994</t>
  </si>
  <si>
    <t>History of linguistics / edited by Giulio Lepschy.</t>
  </si>
  <si>
    <t>Storia della linguistica. English.</t>
  </si>
  <si>
    <t>London ; New York : Longman, 1994-</t>
  </si>
  <si>
    <t>3374035645:eng</t>
  </si>
  <si>
    <t>28677376</t>
  </si>
  <si>
    <t>ocm28677376</t>
  </si>
  <si>
    <t>3102731205L</t>
  </si>
  <si>
    <t>9780582094888</t>
  </si>
  <si>
    <t>793293613</t>
  </si>
  <si>
    <t>3102731210J</t>
  </si>
  <si>
    <t>793293614</t>
  </si>
  <si>
    <t>3102731215J</t>
  </si>
  <si>
    <t>793293615</t>
  </si>
  <si>
    <t>3102731200L</t>
  </si>
  <si>
    <t>793293612</t>
  </si>
  <si>
    <t>P61 S93 1997</t>
  </si>
  <si>
    <t>0                      P  0061000S  93          1997</t>
  </si>
  <si>
    <t>Histoire de la pensée linguistique : analyse du langage et réflexion linguistique dans la culture occidentale de l'Antiquité au XIXè siècle / Pierre Swiggers.</t>
  </si>
  <si>
    <t>Swiggers, Pierre.</t>
  </si>
  <si>
    <t>Paris : Presses universitaires de France, 1997.</t>
  </si>
  <si>
    <t>1re éd.</t>
  </si>
  <si>
    <t>Linguistique nouvelle</t>
  </si>
  <si>
    <t>2015-04-03</t>
  </si>
  <si>
    <t>303897800:fre</t>
  </si>
  <si>
    <t>37891476</t>
  </si>
  <si>
    <t>ocm37891476</t>
  </si>
  <si>
    <t>31027311906</t>
  </si>
  <si>
    <t>9782130487098</t>
  </si>
  <si>
    <t>793509533</t>
  </si>
  <si>
    <t>P61 T87 2014</t>
  </si>
  <si>
    <t>0                      P  0061000T  87          2014</t>
  </si>
  <si>
    <t>Philology : the forgotten origins of the modern humanities / James Turner.</t>
  </si>
  <si>
    <t>Turner, James, 1946- author.</t>
  </si>
  <si>
    <t>Princeton, New Jersey : Princeton University Press, [2014]</t>
  </si>
  <si>
    <t>2019-01-08</t>
  </si>
  <si>
    <t>1778150306:eng</t>
  </si>
  <si>
    <t>868427422</t>
  </si>
  <si>
    <t>ocn868427422</t>
  </si>
  <si>
    <t>3103566351F</t>
  </si>
  <si>
    <t>9780691145648</t>
  </si>
  <si>
    <t>794964710</t>
  </si>
  <si>
    <t>P61 W44 2013</t>
  </si>
  <si>
    <t>0                      P  0061000W  44          2013</t>
  </si>
  <si>
    <t>Language teaching through the ages / Garon Wheeler.</t>
  </si>
  <si>
    <t>Wheeler, Garon, author.</t>
  </si>
  <si>
    <t>Routledge research in education ; 93</t>
  </si>
  <si>
    <t>791328982:eng</t>
  </si>
  <si>
    <t>798062009</t>
  </si>
  <si>
    <t>ocn798062009</t>
  </si>
  <si>
    <t>3103497106I</t>
  </si>
  <si>
    <t>9780415657891</t>
  </si>
  <si>
    <t>794923160</t>
  </si>
  <si>
    <t>P62 H575 1995</t>
  </si>
  <si>
    <t>0                      P  0062000H  575         1995</t>
  </si>
  <si>
    <t>History and rationality : the Skövde papers in the historiography of linguistics / Klaus D. Dutz, Kjell-Åke Forsgren (eds.).</t>
  </si>
  <si>
    <t>Münster : Nodus, ©1995.</t>
  </si>
  <si>
    <t>Acta Universitatis Skodvensis. Series linguistica, 0948-3403 ; v. 1</t>
  </si>
  <si>
    <t>2019-07-18</t>
  </si>
  <si>
    <t>897791079:ger</t>
  </si>
  <si>
    <t>35204647</t>
  </si>
  <si>
    <t>ocm35204647</t>
  </si>
  <si>
    <t>3102731226H</t>
  </si>
  <si>
    <t>9783893237012</t>
  </si>
  <si>
    <t>793446741</t>
  </si>
  <si>
    <t>P63 L84 2005</t>
  </si>
  <si>
    <t>0                      P  0063000L  84          2005</t>
  </si>
  <si>
    <t>Grammar and philosophy in late antiquity : a study of Priscian's sources / Anneli Luhtala.</t>
  </si>
  <si>
    <t>Luhtala, Anneli.</t>
  </si>
  <si>
    <t>Amsterdam ; Philadelphia : John Benjamins Pub., ©2005.</t>
  </si>
  <si>
    <t>Amsterdam studies in the theory and history of linguistic science. Series III, Studies in the history of the language sciences, 0304-0720 ; v. 107</t>
  </si>
  <si>
    <t>892328112:eng</t>
  </si>
  <si>
    <t>57010034</t>
  </si>
  <si>
    <t>ocm57010034</t>
  </si>
  <si>
    <t>31027311868</t>
  </si>
  <si>
    <t>9789027245984</t>
  </si>
  <si>
    <t>793905961</t>
  </si>
  <si>
    <t>P65 Z95 1997</t>
  </si>
  <si>
    <t>0                      P  0065000Z  95          1997</t>
  </si>
  <si>
    <t>Mother of reason and revelation : a short history of medieval Jewish linguistic thought / Irene E. Zwiep.</t>
  </si>
  <si>
    <t>Zwiep, Irene E., 1962-</t>
  </si>
  <si>
    <t>Amsterdam : J.C. Gieben, 1997.</t>
  </si>
  <si>
    <t>Amsterdam studies in Jewish thought ; v. 5</t>
  </si>
  <si>
    <t>2016-01-28</t>
  </si>
  <si>
    <t>201676127:eng</t>
  </si>
  <si>
    <t>39071657</t>
  </si>
  <si>
    <t>ocm39071657</t>
  </si>
  <si>
    <t>3102731232F</t>
  </si>
  <si>
    <t>9789050632072</t>
  </si>
  <si>
    <t>793537415</t>
  </si>
  <si>
    <t>P71 P3 1985</t>
  </si>
  <si>
    <t>0                      P  0071000P  3           1985</t>
  </si>
  <si>
    <t>Grammatical theory in Western Europe, 1500-1700 : trends in vernacular grammar I / G.A. Padley.</t>
  </si>
  <si>
    <t>Padley, G. A., 1924-</t>
  </si>
  <si>
    <t>Cambridge [Cambridgeshire] : Cambridge University Press, 1985.</t>
  </si>
  <si>
    <t>2019-11-20</t>
  </si>
  <si>
    <t>3986370:eng</t>
  </si>
  <si>
    <t>71506492</t>
  </si>
  <si>
    <t>ocm71506492</t>
  </si>
  <si>
    <t>3102731258B</t>
  </si>
  <si>
    <t>9780521223072</t>
  </si>
  <si>
    <t>794166997</t>
  </si>
  <si>
    <t>P75 M66 2013</t>
  </si>
  <si>
    <t>0                      P  0075000M  66          2013</t>
  </si>
  <si>
    <t>From philology to English studies : language and culture in the nineteenth century / Haruko Momma.</t>
  </si>
  <si>
    <t>Momma, H.</t>
  </si>
  <si>
    <t>Studies in English language</t>
  </si>
  <si>
    <t>1120942761:eng</t>
  </si>
  <si>
    <t>793221676</t>
  </si>
  <si>
    <t>ocn793221676</t>
  </si>
  <si>
    <t>31034325961</t>
  </si>
  <si>
    <t>9780521518864</t>
  </si>
  <si>
    <t>794917816</t>
  </si>
  <si>
    <t>P81 F7 L38 2010</t>
  </si>
  <si>
    <t>0                      P  0081000F  7                  L  38          2010</t>
  </si>
  <si>
    <t>Signs of light : French and British theories of linguistic communication, 1648-1789 / Matthew Lauzon.</t>
  </si>
  <si>
    <t>Lauzon, Matthew, 1972-</t>
  </si>
  <si>
    <t>Ithaca, N.Y. : Cornell University Press, 2010.</t>
  </si>
  <si>
    <t>796298616:eng</t>
  </si>
  <si>
    <t>467927393</t>
  </si>
  <si>
    <t>ocn467927393</t>
  </si>
  <si>
    <t>3103241933C</t>
  </si>
  <si>
    <t>9780801448478</t>
  </si>
  <si>
    <t>794795243</t>
  </si>
  <si>
    <t>P81 I4 T85 2017</t>
  </si>
  <si>
    <t>0                      P  0081000I  4                  T  85          2017</t>
  </si>
  <si>
    <t>Tullio De Mauro e la Società di linguistica italiana : 50 anni di storia della linguistica, un percorso comune : atti della tavola rotonda, LI Congresso internazionale di studi della Società di linguistica italiana, Napoli, 28 settembre 2017 / a cura di Francesca M. Dovetto.</t>
  </si>
  <si>
    <t>Roma : Bulzoni editore, 2018.</t>
  </si>
  <si>
    <t>Pubblicazioni della Società di linguistica italiana ; 64</t>
  </si>
  <si>
    <t>5477372461:ita</t>
  </si>
  <si>
    <t>1056198276</t>
  </si>
  <si>
    <t>on1056198276</t>
  </si>
  <si>
    <t>3103862418E</t>
  </si>
  <si>
    <t>9788868971298</t>
  </si>
  <si>
    <t>795063570</t>
  </si>
  <si>
    <t>P81 I8 S64 2000</t>
  </si>
  <si>
    <t>0                      P  0081000I  8                  S  64          2000</t>
  </si>
  <si>
    <t>Italia linguistica anno mille, italia linguistica anno duemila : atti del XXXIV Congresso internazionale di studi della Società di linguistica italiana (SLI), Firenze, 19-21 ottobre 2000 / a cura di Nicoletta Maraschio e Teresa Poggi Salani ; con la collaborazione di Marina Bongi, Maria Palmerini.</t>
  </si>
  <si>
    <t>Società di linguistica italiana. Congresso internazionale di studi (34th : 2000 : Florence, Italy)</t>
  </si>
  <si>
    <t>Roma : Bulzoni, 2003.</t>
  </si>
  <si>
    <t>Pubblicazioni della Società di linguistica italiana ; 45</t>
  </si>
  <si>
    <t>905751120:ita</t>
  </si>
  <si>
    <t>54785718</t>
  </si>
  <si>
    <t>ocm54785718</t>
  </si>
  <si>
    <t>31027312983</t>
  </si>
  <si>
    <t>9788883198861</t>
  </si>
  <si>
    <t>793867885</t>
  </si>
  <si>
    <t>P81 I8 S64 2011</t>
  </si>
  <si>
    <t>0                      P  0081000I  8                  S  64          2011</t>
  </si>
  <si>
    <t>Coesistenze linguistiche nell'italia pre- e postunitaria : Atti del XLV Congresso Internazionale di Studi della Societa di Linguistica Italiana (SLI) : Aosta/Bard/Torino 26-28 settembre 2011 / a cura di Tullio Telmon, Gianmario Raimondi e Luisa Revelli.</t>
  </si>
  <si>
    <t>Società di linguistica italiana. Congresso internazionale di studi (45th : 2011 : Aosta, Italy; Bard, Italy; Turin, Italy)</t>
  </si>
  <si>
    <t>Roma : Bulzoni Editore, 2012.</t>
  </si>
  <si>
    <t>Pubblicazioni della societa di linguistica italiana ; 57, no. 1-2</t>
  </si>
  <si>
    <t>2013-07-30</t>
  </si>
  <si>
    <t>1212448092:ita</t>
  </si>
  <si>
    <t>829746809</t>
  </si>
  <si>
    <t>ocn829746809</t>
  </si>
  <si>
    <t>31034838538</t>
  </si>
  <si>
    <t>9788878707221</t>
  </si>
  <si>
    <t>794942738</t>
  </si>
  <si>
    <t>31034838528</t>
  </si>
  <si>
    <t>794942737</t>
  </si>
  <si>
    <t>P81 U5 M87 1993</t>
  </si>
  <si>
    <t>0                      P  0081000U  5                  M  87          1993</t>
  </si>
  <si>
    <t>Theory groups and the study of language in North America : a social history / Stephen O. Murray.</t>
  </si>
  <si>
    <t>Murray, Stephen O.</t>
  </si>
  <si>
    <t>Amsterdam ; Philadelphia : J. Benjamins, 1994.</t>
  </si>
  <si>
    <t>Studies in the history of the language sciences ; vol 69</t>
  </si>
  <si>
    <t>2017-06-16</t>
  </si>
  <si>
    <t>31334388:eng</t>
  </si>
  <si>
    <t>60228959</t>
  </si>
  <si>
    <t>ocm60228959</t>
  </si>
  <si>
    <t>31027312963</t>
  </si>
  <si>
    <t>9789027245564</t>
  </si>
  <si>
    <t>793934417</t>
  </si>
  <si>
    <t>P83 S56 2010</t>
  </si>
  <si>
    <t>0                      P  0083000S  56          2010</t>
  </si>
  <si>
    <t>Penser le langage à l'âge classique / Gilles Siouffi.</t>
  </si>
  <si>
    <t>Siouffi, Gilles.</t>
  </si>
  <si>
    <t>Paris : A. Colin, 2010.</t>
  </si>
  <si>
    <t>U . Linguistique</t>
  </si>
  <si>
    <t>2018-11-21</t>
  </si>
  <si>
    <t>686275647:fre</t>
  </si>
  <si>
    <t>670472091</t>
  </si>
  <si>
    <t>ocn670472091</t>
  </si>
  <si>
    <t>3103316300P</t>
  </si>
  <si>
    <t>9782200249298</t>
  </si>
  <si>
    <t>794847832</t>
  </si>
  <si>
    <t>P85 A6 J67 2012</t>
  </si>
  <si>
    <t>0                      P  0085000A  6                  J  67          2012</t>
  </si>
  <si>
    <t>Saussure / John E Joseph.</t>
  </si>
  <si>
    <t>Joseph, John Earl, author.</t>
  </si>
  <si>
    <t>Oxford ; New York : Oxford Unievrsity Press, ©2012.</t>
  </si>
  <si>
    <t>3944780695:eng</t>
  </si>
  <si>
    <t>741540914</t>
  </si>
  <si>
    <t>ocn741540914</t>
  </si>
  <si>
    <t>31034058681</t>
  </si>
  <si>
    <t>9780199695652</t>
  </si>
  <si>
    <t>794884146</t>
  </si>
  <si>
    <t>P85 B22 F33 1997</t>
  </si>
  <si>
    <t>0                      P  0085000B  22                 F  33          1997</t>
  </si>
  <si>
    <t>Face to face : Bakhtin in Russia and the West / edited by Carol Adlam [and others].</t>
  </si>
  <si>
    <t>Sheffield, England : Sheffield Academic Press, ©1997.</t>
  </si>
  <si>
    <t>2015-04-23</t>
  </si>
  <si>
    <t>803354130:eng</t>
  </si>
  <si>
    <t>37835919</t>
  </si>
  <si>
    <t>ocm37835919</t>
  </si>
  <si>
    <t>3101826543V</t>
  </si>
  <si>
    <t>9781850758105</t>
  </si>
  <si>
    <t>793508026</t>
  </si>
  <si>
    <t>P85 B33 A25 2010</t>
  </si>
  <si>
    <t>0                      P  0085000B  33                 A  25          2010</t>
  </si>
  <si>
    <t>Le lexique de l'auteur : séminaire à l'Ecole pratique des hautes études, 1973-1974 ; suivi de fragments inédits du Roland Barthes par Roland Barthes / Roland Barthes ; avant-propos d'Eric Marty ; présentation et édition d'Anne Herschberg Pierrot.</t>
  </si>
  <si>
    <t>Paris : Editions du Seuil, ©2010.</t>
  </si>
  <si>
    <t>Les cours et les séminaires de Roland Barthes</t>
  </si>
  <si>
    <t>793229953:fre</t>
  </si>
  <si>
    <t>501381747</t>
  </si>
  <si>
    <t>ocn501381747</t>
  </si>
  <si>
    <t>3103225809F</t>
  </si>
  <si>
    <t>9782020618519</t>
  </si>
  <si>
    <t>794804600</t>
  </si>
  <si>
    <t>P85 B33 A3 1992</t>
  </si>
  <si>
    <t>0                      P  0085000B  33                 A  3           1992</t>
  </si>
  <si>
    <t>Incidents / Roland Barthes ; translated by Richard Howard.</t>
  </si>
  <si>
    <t>Berkeley : University of California Press, ©1992.</t>
  </si>
  <si>
    <t>2013-02-19</t>
  </si>
  <si>
    <t>2019-05-13</t>
  </si>
  <si>
    <t>1022334:eng</t>
  </si>
  <si>
    <t>25026110</t>
  </si>
  <si>
    <t>ocm25026110</t>
  </si>
  <si>
    <t>3102731318G</t>
  </si>
  <si>
    <t>9780520071049</t>
  </si>
  <si>
    <t>793210322</t>
  </si>
  <si>
    <t>3102485178O</t>
  </si>
  <si>
    <t>793210323</t>
  </si>
  <si>
    <t>P85 B33 A3 2010</t>
  </si>
  <si>
    <t>0                      P  0085000B  33                 A  3           2010</t>
  </si>
  <si>
    <t>Mourning diary : October 26, 1977-September 15, 1979 / Roland Barthes ; text established and annotated by Nathalie Léger ; translated from the French by Richard Howard.</t>
  </si>
  <si>
    <t>New York : Hill and Wang, 2010.</t>
  </si>
  <si>
    <t>1st American ed.</t>
  </si>
  <si>
    <t>2909146627:eng</t>
  </si>
  <si>
    <t>526809468</t>
  </si>
  <si>
    <t>ocn526809468</t>
  </si>
  <si>
    <t>3103236175D</t>
  </si>
  <si>
    <t>9780809062331</t>
  </si>
  <si>
    <t>794809243</t>
  </si>
  <si>
    <t>P85 B33 A36</t>
  </si>
  <si>
    <t>0                      P  0085000B  33                 A  36</t>
  </si>
  <si>
    <t>Roland Barthes / par Roland Barthes.</t>
  </si>
  <si>
    <t>Paris : Seuil, [1975]</t>
  </si>
  <si>
    <t>Ecrivains de toujours ; 96</t>
  </si>
  <si>
    <t>2018-11-27</t>
  </si>
  <si>
    <t>886345:fre</t>
  </si>
  <si>
    <t>1501586</t>
  </si>
  <si>
    <t>ocm01501586</t>
  </si>
  <si>
    <t>3103404628J</t>
  </si>
  <si>
    <t>9782020000963</t>
  </si>
  <si>
    <t>791675888</t>
  </si>
  <si>
    <t>3102731349A</t>
  </si>
  <si>
    <t>791675887</t>
  </si>
  <si>
    <t>P85 B33 A3613 1977</t>
  </si>
  <si>
    <t>0                      P  0085000B  33                 A  3613        1977</t>
  </si>
  <si>
    <t>Roland Barthes / by Roland Barthes ; translated by Richard Howard.</t>
  </si>
  <si>
    <t>New York : Hill and Wang, 1977.</t>
  </si>
  <si>
    <t>2019-11-30</t>
  </si>
  <si>
    <t>886345:eng</t>
  </si>
  <si>
    <t>2798791</t>
  </si>
  <si>
    <t>ocm02798791</t>
  </si>
  <si>
    <t>3103068595N</t>
  </si>
  <si>
    <t>9780809082452</t>
  </si>
  <si>
    <t>792177892</t>
  </si>
  <si>
    <t>P85 B33 A37</t>
  </si>
  <si>
    <t>0                      P  0085000B  33                 A  37</t>
  </si>
  <si>
    <t>Le grain de la voix : entretiens, 1962-1980 / Roland Barthes.</t>
  </si>
  <si>
    <t>Paris : Seuil, ©1981.</t>
  </si>
  <si>
    <t>2017-09-20</t>
  </si>
  <si>
    <t>2908573383:fre</t>
  </si>
  <si>
    <t>8494768</t>
  </si>
  <si>
    <t>ocm08494768</t>
  </si>
  <si>
    <t>3102731344A</t>
  </si>
  <si>
    <t>9782020057967</t>
  </si>
  <si>
    <t>792622998</t>
  </si>
  <si>
    <t>3000322586C</t>
  </si>
  <si>
    <t>792622999</t>
  </si>
  <si>
    <t>P85 B33 A4 2018</t>
  </si>
  <si>
    <t>0                      P  0085000B  33                 A  4           2018</t>
  </si>
  <si>
    <t>Album : unpublished correspondence and texts / Roland Barthes ; established and presented by Éric Marty ; with the assistance of Claude Coste for "On Seven Sentences in Bouvard et Pécuchet" ; translated by Jody Gladding.</t>
  </si>
  <si>
    <t>Barthes, Roland, author.</t>
  </si>
  <si>
    <t>New York : Columbia University Press, [2018]</t>
  </si>
  <si>
    <t>European perspectives : a series in social thought and cultural criticism</t>
  </si>
  <si>
    <t>4743662451:eng</t>
  </si>
  <si>
    <t>987766961</t>
  </si>
  <si>
    <t>ocn987766961</t>
  </si>
  <si>
    <t>3103669733M</t>
  </si>
  <si>
    <t>9780231179867</t>
  </si>
  <si>
    <t>795036380</t>
  </si>
  <si>
    <t>P85 B33 A5 2015</t>
  </si>
  <si>
    <t>0                      P  0085000B  33                 A  5           2015</t>
  </si>
  <si>
    <t>'The "Scandal" of Marxism' and other writings on politics / Roland Barthes ; translation and editorial comments by Chris Turner.</t>
  </si>
  <si>
    <t>London ; New York ; Calcutta : Seagull Books, 2015.</t>
  </si>
  <si>
    <t>Essays and interviews ; volume 2</t>
  </si>
  <si>
    <t>2017-06-11</t>
  </si>
  <si>
    <t>2943540014:eng</t>
  </si>
  <si>
    <t>927513856</t>
  </si>
  <si>
    <t>ocn927513856</t>
  </si>
  <si>
    <t>3103507641Y</t>
  </si>
  <si>
    <t>9780857422392</t>
  </si>
  <si>
    <t>795006015</t>
  </si>
  <si>
    <t>Roland Barthes : essays and interviews. Volume 5, 'Simply a particular contemporary' : interviews 1970-79 / Roland Barthes ; translation and editorial comments by Chris Turner.</t>
  </si>
  <si>
    <t>Barthes, Roland, interviewee.</t>
  </si>
  <si>
    <t>London : Seagull Books, 2015.</t>
  </si>
  <si>
    <t>The French list</t>
  </si>
  <si>
    <t>9415312652:eng</t>
  </si>
  <si>
    <t>905524178</t>
  </si>
  <si>
    <t>ocn905524178</t>
  </si>
  <si>
    <t>3103658468Q</t>
  </si>
  <si>
    <t>9780857422408</t>
  </si>
  <si>
    <t>794991481</t>
  </si>
  <si>
    <t>3103658473X</t>
  </si>
  <si>
    <t>794991480</t>
  </si>
  <si>
    <t>3103507645Y</t>
  </si>
  <si>
    <t>795006016</t>
  </si>
  <si>
    <t>P85 B33 A5 2016</t>
  </si>
  <si>
    <t>0                      P  0085000B  33                 A  5           2016</t>
  </si>
  <si>
    <t>"Masculine, feminine, neuter" and other writings on literature / Roland Barthes ; translation and editorial comments by Chris Turner.</t>
  </si>
  <si>
    <t>London ; New York ; Calcutta : Seagull Books, 2016.</t>
  </si>
  <si>
    <t>Essays and interviews ; volume 3</t>
  </si>
  <si>
    <t>2625492613:eng</t>
  </si>
  <si>
    <t>921865810</t>
  </si>
  <si>
    <t>ocn921865810</t>
  </si>
  <si>
    <t>3103710734E</t>
  </si>
  <si>
    <t>9780857422422</t>
  </si>
  <si>
    <t>795003391</t>
  </si>
  <si>
    <t>3103710735C</t>
  </si>
  <si>
    <t>795003390</t>
  </si>
  <si>
    <t>P85 B33 A79 2003</t>
  </si>
  <si>
    <t>0                      P  0085000B  33                 A  79          2003</t>
  </si>
  <si>
    <t>Roland Barthes / Graham Allen.</t>
  </si>
  <si>
    <t>Allen, Graham, 1963-</t>
  </si>
  <si>
    <t>London ; New York : Routledge, 2003.</t>
  </si>
  <si>
    <t>Routledge critical thinkers</t>
  </si>
  <si>
    <t>692523:eng</t>
  </si>
  <si>
    <t>51607500</t>
  </si>
  <si>
    <t>ocm51607500</t>
  </si>
  <si>
    <t>3102731339C</t>
  </si>
  <si>
    <t>9780415263610</t>
  </si>
  <si>
    <t>793787675</t>
  </si>
  <si>
    <t>P85 B33 B33 2016</t>
  </si>
  <si>
    <t>0                      P  0085000B  33                 B  33          2016</t>
  </si>
  <si>
    <t>The afterlives of Roland Barthes / Neil Badmington.</t>
  </si>
  <si>
    <t>Badmington, Neil, 1971- author.</t>
  </si>
  <si>
    <t>New York, NY, USA : Bloomsbury Academic, an imprint of Bloomsbury Publishing Plc, 2016.</t>
  </si>
  <si>
    <t>2976776319:eng</t>
  </si>
  <si>
    <t>946462379</t>
  </si>
  <si>
    <t>ocn946462379</t>
  </si>
  <si>
    <t>31037395164</t>
  </si>
  <si>
    <t>9781474297455</t>
  </si>
  <si>
    <t>795014484</t>
  </si>
  <si>
    <t>P85 B33 B36 2010</t>
  </si>
  <si>
    <t>0                      P  0085000B  33                 B  36          2010</t>
  </si>
  <si>
    <t>Barthes / sous la direction de Raphaël Enthoven ; avec Igor et Grichka Bogdanov [and others].</t>
  </si>
  <si>
    <t>[Paris] : Fayard : France culture, ©2010.</t>
  </si>
  <si>
    <t>Nouveaux chemins de la connaissance ; 2</t>
  </si>
  <si>
    <t>1652636:fre</t>
  </si>
  <si>
    <t>680229740</t>
  </si>
  <si>
    <t>ocn680229740</t>
  </si>
  <si>
    <t>31033176542</t>
  </si>
  <si>
    <t>9782213655901</t>
  </si>
  <si>
    <t>794851090</t>
  </si>
  <si>
    <t>P85 B33 B85 1992</t>
  </si>
  <si>
    <t>0                      P  0085000B  33                 B  85          1992</t>
  </si>
  <si>
    <t>The death and return of the author : criticism and subjectivity in Barthes, Foucault and Derrida / Seán Burke.</t>
  </si>
  <si>
    <t>Burke, Sean, 1961-</t>
  </si>
  <si>
    <t>Edinburgh : Edinburgh University Press, 1992.</t>
  </si>
  <si>
    <t>2015-01-28</t>
  </si>
  <si>
    <t>197563044:eng</t>
  </si>
  <si>
    <t>27157000</t>
  </si>
  <si>
    <t>ocm27157000</t>
  </si>
  <si>
    <t>3102731324E</t>
  </si>
  <si>
    <t>9780748603558</t>
  </si>
  <si>
    <t>793260388</t>
  </si>
  <si>
    <t>2013-03-18</t>
  </si>
  <si>
    <t>3102801645A</t>
  </si>
  <si>
    <t>793260389</t>
  </si>
  <si>
    <t>P85 B33 B85 1998</t>
  </si>
  <si>
    <t>0                      P  0085000B  33                 B  85          1998</t>
  </si>
  <si>
    <t>Burke, Seán.</t>
  </si>
  <si>
    <t>Edinburgh : Edinburgh University Press, 1998.</t>
  </si>
  <si>
    <t>2018-05-04</t>
  </si>
  <si>
    <t>41961014</t>
  </si>
  <si>
    <t>ocm41961014</t>
  </si>
  <si>
    <t>31019063526</t>
  </si>
  <si>
    <t>9780748610068</t>
  </si>
  <si>
    <t>793600020</t>
  </si>
  <si>
    <t>2016-05-12</t>
  </si>
  <si>
    <t>3103386962Y</t>
  </si>
  <si>
    <t>793600019</t>
  </si>
  <si>
    <t>P85 B33 C2913 1995</t>
  </si>
  <si>
    <t>0                      P  0085000B  33                 C  2913        1995</t>
  </si>
  <si>
    <t>Roland Barthes : a biography / Louis-Jean Calvet ; translated by Sarah Wykes.</t>
  </si>
  <si>
    <t>Bloomington : Indiana University Press, 1995.</t>
  </si>
  <si>
    <t>2019-10-19</t>
  </si>
  <si>
    <t>4494985707:eng</t>
  </si>
  <si>
    <t>31295073</t>
  </si>
  <si>
    <t>ocm31295073</t>
  </si>
  <si>
    <t>31027313606</t>
  </si>
  <si>
    <t>9780253349873</t>
  </si>
  <si>
    <t>793358051</t>
  </si>
  <si>
    <t>P85 B33 C65 2015</t>
  </si>
  <si>
    <t>0                      P  0085000B  33                 C  65          2015</t>
  </si>
  <si>
    <t>Roland Barthes : création, émotion, jouissance / sous la direction de Nenad Ivić et Maja Vukušić Zorica.</t>
  </si>
  <si>
    <t>Paris : Classiques Garnier, 2017.</t>
  </si>
  <si>
    <t>Rencontres, 2103-5636 ; 274</t>
  </si>
  <si>
    <t>4513285314:fre</t>
  </si>
  <si>
    <t>1004550324</t>
  </si>
  <si>
    <t>on1004550324</t>
  </si>
  <si>
    <t>3103718595$</t>
  </si>
  <si>
    <t>9782406064145</t>
  </si>
  <si>
    <t>795041975</t>
  </si>
  <si>
    <t>P85 B33 C83 2002</t>
  </si>
  <si>
    <t>0                      P  0085000B  33                 C  83          2002</t>
  </si>
  <si>
    <t>Barthes : a very short introduction / Jonathan Culler.</t>
  </si>
  <si>
    <t>Culler, Jonathan D.</t>
  </si>
  <si>
    <t>Oxford ; New York : Oxford University Press, 2002.</t>
  </si>
  <si>
    <t>Very short introductions ; 56</t>
  </si>
  <si>
    <t>1153722412:eng</t>
  </si>
  <si>
    <t>48417246</t>
  </si>
  <si>
    <t>ocm48417246</t>
  </si>
  <si>
    <t>3102544751S</t>
  </si>
  <si>
    <t>9780192801593</t>
  </si>
  <si>
    <t>793720561</t>
  </si>
  <si>
    <t>P85 B33 F3</t>
  </si>
  <si>
    <t>0                      P  0085000B  33                 F  3</t>
  </si>
  <si>
    <t>Comprendre Roland Barthes / J.-B. Fages.</t>
  </si>
  <si>
    <t>Fages, Jean Baptiste.</t>
  </si>
  <si>
    <t>Toulouse : Privat, 1979.</t>
  </si>
  <si>
    <t>Pensee</t>
  </si>
  <si>
    <t>2018-03-20</t>
  </si>
  <si>
    <t>16689317:fre</t>
  </si>
  <si>
    <t>5184326</t>
  </si>
  <si>
    <t>ocm05184326</t>
  </si>
  <si>
    <t>3102731330C</t>
  </si>
  <si>
    <t>9782708921634</t>
  </si>
  <si>
    <t>792414374</t>
  </si>
  <si>
    <t>P85 B33 G35 2013</t>
  </si>
  <si>
    <t>0                      P  0085000B  33                 G  35          2013</t>
  </si>
  <si>
    <t>Roland Barthes e la tentazione del romanzo / Guido Mattia Gallerani.</t>
  </si>
  <si>
    <t>Gallerani, Guido Mattia, 1984-</t>
  </si>
  <si>
    <t>[Milan, Italy] : Morellini, ©2013.</t>
  </si>
  <si>
    <t>Tracciati</t>
  </si>
  <si>
    <t>1416693865:ita</t>
  </si>
  <si>
    <t>841181217</t>
  </si>
  <si>
    <t>ocn841181217</t>
  </si>
  <si>
    <t>3103126467H</t>
  </si>
  <si>
    <t>9788862982771</t>
  </si>
  <si>
    <t>794946555</t>
  </si>
  <si>
    <t>P85 B33 G56 2012</t>
  </si>
  <si>
    <t>0                      P  0085000B  33                 G  56          2012</t>
  </si>
  <si>
    <t>Roland Barthes : au lieu de la vie / Marie Gil.</t>
  </si>
  <si>
    <t>Gil, Marie.</t>
  </si>
  <si>
    <t>[Paris] : Flammarion, ©2012.</t>
  </si>
  <si>
    <t>Grandes biographies</t>
  </si>
  <si>
    <t>1096936096:fre</t>
  </si>
  <si>
    <t>688495046</t>
  </si>
  <si>
    <t>ocn688495046</t>
  </si>
  <si>
    <t>3103426992F</t>
  </si>
  <si>
    <t>9782081244436</t>
  </si>
  <si>
    <t>794854336</t>
  </si>
  <si>
    <t>P85 B33 G87 2012</t>
  </si>
  <si>
    <t>0                      P  0085000B  33                 G  87          2012</t>
  </si>
  <si>
    <t>Les premiers jours de Roland Barthes : précédé de, Barthes en Arcadie / Christian Gury.</t>
  </si>
  <si>
    <t>Gury, Christian, author.</t>
  </si>
  <si>
    <t>Paris : Non lieu, ©2012.</t>
  </si>
  <si>
    <t>1077567128:fre</t>
  </si>
  <si>
    <t>775064239</t>
  </si>
  <si>
    <t>ocn775064239</t>
  </si>
  <si>
    <t>3103438151Y</t>
  </si>
  <si>
    <t>9782352701170</t>
  </si>
  <si>
    <t>794907239</t>
  </si>
  <si>
    <t>P85 B33 J68 1986</t>
  </si>
  <si>
    <t>0                      P  0085000B  33                 J  68          1986</t>
  </si>
  <si>
    <t>La littérature selon Barthes / Vincent Jouve.</t>
  </si>
  <si>
    <t>Jouve, Vincent.</t>
  </si>
  <si>
    <t>Paris : Editions de Minuit, 1986.</t>
  </si>
  <si>
    <t>Arguments (Editions de Minuit)</t>
  </si>
  <si>
    <t>5612541620:fre</t>
  </si>
  <si>
    <t>427248153</t>
  </si>
  <si>
    <t>ocn427248153</t>
  </si>
  <si>
    <t>3102731325E</t>
  </si>
  <si>
    <t>9782707310668</t>
  </si>
  <si>
    <t>794552690</t>
  </si>
  <si>
    <t>P85 B33 M36 2011</t>
  </si>
  <si>
    <t>0                      P  0085000B  33                 M  36          2011</t>
  </si>
  <si>
    <t>Roland Barthes : or, the profession of cultural studies / Martin McQuillan.</t>
  </si>
  <si>
    <t>McQuillan, Martin.</t>
  </si>
  <si>
    <t>London ; New York : Palgrave Macmillan, 2011.</t>
  </si>
  <si>
    <t>Transitions</t>
  </si>
  <si>
    <t>2011-12-06</t>
  </si>
  <si>
    <t>573612492:eng</t>
  </si>
  <si>
    <t>639162563</t>
  </si>
  <si>
    <t>ocn639162563</t>
  </si>
  <si>
    <t>3103363724X</t>
  </si>
  <si>
    <t>9780333914571</t>
  </si>
  <si>
    <t>794826597</t>
  </si>
  <si>
    <t>P85 B33 M37 2006</t>
  </si>
  <si>
    <t>0                      P  0085000B  33                 M  37          2006</t>
  </si>
  <si>
    <t>Roland Barthes, le métier d'écrire : essai / Éric Marty.</t>
  </si>
  <si>
    <t>Marty, Éric, 1955-</t>
  </si>
  <si>
    <t>Paris : Seuil, ©2006.</t>
  </si>
  <si>
    <t>Fiction &amp; Cie</t>
  </si>
  <si>
    <t>292496072:fre</t>
  </si>
  <si>
    <t>66629788</t>
  </si>
  <si>
    <t>ocm66629788</t>
  </si>
  <si>
    <t>31026091405</t>
  </si>
  <si>
    <t>9782020862660</t>
  </si>
  <si>
    <t>794139436</t>
  </si>
  <si>
    <t>P85 B33 M3746 2010</t>
  </si>
  <si>
    <t>0                      P  0085000B  33                 M  3746        2010</t>
  </si>
  <si>
    <t>Roland Barthes : la littérature et le droit à la mort / Éric Marty.</t>
  </si>
  <si>
    <t>Paris : Seuil, ©2010.</t>
  </si>
  <si>
    <t>3944317274:fre</t>
  </si>
  <si>
    <t>607472978</t>
  </si>
  <si>
    <t>ocn607472978</t>
  </si>
  <si>
    <t>3103269239S</t>
  </si>
  <si>
    <t>9782021028225</t>
  </si>
  <si>
    <t>794818077</t>
  </si>
  <si>
    <t>P85 B33 M67 1991</t>
  </si>
  <si>
    <t>0                      P  0085000B  33                 M  67          1991</t>
  </si>
  <si>
    <t>Roland Barthes.</t>
  </si>
  <si>
    <t>Moriarty, Mike.</t>
  </si>
  <si>
    <t>Polity Press, 1991.</t>
  </si>
  <si>
    <t>Key contemporary thinkers</t>
  </si>
  <si>
    <t>2015-12-05</t>
  </si>
  <si>
    <t>5610459093:eng</t>
  </si>
  <si>
    <t>24753303</t>
  </si>
  <si>
    <t>ocm24753303</t>
  </si>
  <si>
    <t>3102731321E</t>
  </si>
  <si>
    <t>9780745604558</t>
  </si>
  <si>
    <t>793204720</t>
  </si>
  <si>
    <t>3102731326E</t>
  </si>
  <si>
    <t>793204721</t>
  </si>
  <si>
    <t>P85 B33 O44 2012</t>
  </si>
  <si>
    <t>0                      P  0085000B  33                 O  44          2012</t>
  </si>
  <si>
    <t>Roland Barthes at the Collège de France / Lucy O'Meara.</t>
  </si>
  <si>
    <t>O'Meara, Lucy.</t>
  </si>
  <si>
    <t>Liverpool : Liverpool University Press, 2012.</t>
  </si>
  <si>
    <t>Contemporary French and francophone cultures ; 22</t>
  </si>
  <si>
    <t>1117902592:eng</t>
  </si>
  <si>
    <t>794592504</t>
  </si>
  <si>
    <t>ocn794592504</t>
  </si>
  <si>
    <t>31034559914</t>
  </si>
  <si>
    <t>9781846318436</t>
  </si>
  <si>
    <t>794920067</t>
  </si>
  <si>
    <t>P85 B33 S3613 2017</t>
  </si>
  <si>
    <t>0                      P  0085000B  33                 S  3613        2017</t>
  </si>
  <si>
    <t>Barthes : a biography / Tiphaine Samoyault ; translated by Andrew Brown.</t>
  </si>
  <si>
    <t>Samoyault, Tiphaine, author.</t>
  </si>
  <si>
    <t>Cambridge, UK ; Malden, MA, USA : Polity Press, [2017]</t>
  </si>
  <si>
    <t>English edition.</t>
  </si>
  <si>
    <t>4495351562:eng</t>
  </si>
  <si>
    <t>951563188</t>
  </si>
  <si>
    <t>ocn951563188</t>
  </si>
  <si>
    <t>3103670801X</t>
  </si>
  <si>
    <t>9781509505654</t>
  </si>
  <si>
    <t>795017533</t>
  </si>
  <si>
    <t>P85 B33 S54 1989</t>
  </si>
  <si>
    <t>0                      P  0085000B  33                 S  54          1989</t>
  </si>
  <si>
    <t>Signs in culture : Roland Barthes today / edited by Steven Ungar and Betty R. McGraw.</t>
  </si>
  <si>
    <t>Iowa City : University of Iowa Press, 1989.</t>
  </si>
  <si>
    <t>797075567:eng</t>
  </si>
  <si>
    <t>19553699</t>
  </si>
  <si>
    <t>ocm19553699</t>
  </si>
  <si>
    <t>31027313822</t>
  </si>
  <si>
    <t>9780877452454</t>
  </si>
  <si>
    <t>793061864</t>
  </si>
  <si>
    <t>P85 B33 S6513 2017</t>
  </si>
  <si>
    <t>0                      P  0085000B  33                 S  6513        2017</t>
  </si>
  <si>
    <t>The friendship of Roland Barthes / Philippe Sollers ; translated by Andrew Brown.</t>
  </si>
  <si>
    <t>Sollers, Philippe, 1936- author.</t>
  </si>
  <si>
    <t>3695476380:eng</t>
  </si>
  <si>
    <t>952226360</t>
  </si>
  <si>
    <t>ocn952226360</t>
  </si>
  <si>
    <t>31037037183</t>
  </si>
  <si>
    <t>9781509513314</t>
  </si>
  <si>
    <t>795018111</t>
  </si>
  <si>
    <t>P85 B33 S73 2015</t>
  </si>
  <si>
    <t>0                      P  0085000B  33                 S  73          2015</t>
  </si>
  <si>
    <t>Roland Barthes / Andy Stafford.</t>
  </si>
  <si>
    <t>Stafford, Andy, author.</t>
  </si>
  <si>
    <t>London : Reaktion Books, 2015.</t>
  </si>
  <si>
    <t>Critical lives</t>
  </si>
  <si>
    <t>2764791566:eng</t>
  </si>
  <si>
    <t>905380340</t>
  </si>
  <si>
    <t>ocn905380340</t>
  </si>
  <si>
    <t>3103654509L</t>
  </si>
  <si>
    <t>9781780234953</t>
  </si>
  <si>
    <t>794991293</t>
  </si>
  <si>
    <t>P85 B33 T46 2015</t>
  </si>
  <si>
    <t>0                      P  0085000B  33                 T  46          2015</t>
  </si>
  <si>
    <t>Pour Roland Barthes / Chantal Thomas.</t>
  </si>
  <si>
    <t>Thomas, Chantal, 1945-</t>
  </si>
  <si>
    <t>Paris : Seuil, [2015]</t>
  </si>
  <si>
    <t>2530111878:fre</t>
  </si>
  <si>
    <t>910076294</t>
  </si>
  <si>
    <t>ocn910076294</t>
  </si>
  <si>
    <t>3103627725I</t>
  </si>
  <si>
    <t>9782021280029</t>
  </si>
  <si>
    <t>794995788</t>
  </si>
  <si>
    <t>P85 B33 U53 1983</t>
  </si>
  <si>
    <t>0                      P  0085000B  33                 U  53          1983</t>
  </si>
  <si>
    <t>Roland Barthes, the professor of desire / Steven Ungar.</t>
  </si>
  <si>
    <t>Ungar, Steven, 1945-</t>
  </si>
  <si>
    <t>Lincoln : University of Nebraska Press, ©1983.</t>
  </si>
  <si>
    <t>2017-09-26</t>
  </si>
  <si>
    <t>43410810:eng</t>
  </si>
  <si>
    <t>9464361</t>
  </si>
  <si>
    <t>ocm09464361</t>
  </si>
  <si>
    <t>3103741573Q</t>
  </si>
  <si>
    <t>9780803245518</t>
  </si>
  <si>
    <t>792677379</t>
  </si>
  <si>
    <t>P85 B33 W5 1989</t>
  </si>
  <si>
    <t>0                      P  0085000B  33                 W  5           1989</t>
  </si>
  <si>
    <t>The ecstasies of Roland Barthes / Mary Bittner Wiseman.</t>
  </si>
  <si>
    <t>Wiseman, Mary Bittner.</t>
  </si>
  <si>
    <t>London ; New York : Routledge, 1989.</t>
  </si>
  <si>
    <t>Critics of the twentieth century</t>
  </si>
  <si>
    <t>17945740:eng</t>
  </si>
  <si>
    <t>18291999</t>
  </si>
  <si>
    <t>ocm18291999</t>
  </si>
  <si>
    <t>31027313980</t>
  </si>
  <si>
    <t>9780415023603</t>
  </si>
  <si>
    <t>793020066</t>
  </si>
  <si>
    <t>3000643468H</t>
  </si>
  <si>
    <t>793020065</t>
  </si>
  <si>
    <t>P85 B45 B78 2011</t>
  </si>
  <si>
    <t>0                      P  0085000B  45                 B  78          2011</t>
  </si>
  <si>
    <t>Relire Benveniste : réceptions actuelles des "Problèmes de linguistique générale / Émilie Brunet et Rudolf Mahrer.</t>
  </si>
  <si>
    <t>Brunet, Émilie.</t>
  </si>
  <si>
    <t>Louvain-la-Neuve : Academia Bruylant ; Paris : L'Harmattan, 2011.</t>
  </si>
  <si>
    <t>Sciences du langage, carrefours et points de vue ; n°3</t>
  </si>
  <si>
    <t>1082649614:fre</t>
  </si>
  <si>
    <t>785726249</t>
  </si>
  <si>
    <t>ocn785726249</t>
  </si>
  <si>
    <t>3103467042S</t>
  </si>
  <si>
    <t>9782872099979</t>
  </si>
  <si>
    <t>794915128</t>
  </si>
  <si>
    <t>P85 B45 P6</t>
  </si>
  <si>
    <t>0                      P  0085000B  45                 P  6</t>
  </si>
  <si>
    <t>Polyphonic linguistics : the many voices of Émile Benveniste / guest editors, Sylvère Lotringer, Thomas Gora.</t>
  </si>
  <si>
    <t>The Hague ; New York : Mouton, 1981.</t>
  </si>
  <si>
    <t>Semiotica. Special supplement, 0037-1998 ; 1981</t>
  </si>
  <si>
    <t>2015-10-26</t>
  </si>
  <si>
    <t>890226580:eng</t>
  </si>
  <si>
    <t>8092880</t>
  </si>
  <si>
    <t>ocm08092880</t>
  </si>
  <si>
    <t>31027313784</t>
  </si>
  <si>
    <t>792597727</t>
  </si>
  <si>
    <t>P85 C44 M37 2002</t>
  </si>
  <si>
    <t>0                      P  0085000C  44                 M  37          2002</t>
  </si>
  <si>
    <t>Disciplines and nations : Niko Marr vs. his Georgian students on Tbilisi State University and the Japhetidology/Caucasology schism / Marcello Cherchi and H. Paul Manning.</t>
  </si>
  <si>
    <t>Cherchi, Marcello.</t>
  </si>
  <si>
    <t>Pittsburgh, Pa. : Center for Russian &amp; East European Studies, University Center for International Studies, University of Pittsburgh, ©2002.</t>
  </si>
  <si>
    <t>The Carl Beck papers in Russian &amp; East European studies, 0889-275X ; no. 1603</t>
  </si>
  <si>
    <t>2017-05-15</t>
  </si>
  <si>
    <t>198991972:eng</t>
  </si>
  <si>
    <t>52332202</t>
  </si>
  <si>
    <t>ocm52332202</t>
  </si>
  <si>
    <t>31027313794</t>
  </si>
  <si>
    <t>793803665</t>
  </si>
  <si>
    <t>P85 C47 A3 2012</t>
  </si>
  <si>
    <t>0                      P  0085000C  47                 A  3           2012</t>
  </si>
  <si>
    <t>The science of language : interviews with James McGilvray / Noam Chomsky.</t>
  </si>
  <si>
    <t>2019-02-22</t>
  </si>
  <si>
    <t>948147211:eng</t>
  </si>
  <si>
    <t>742234560</t>
  </si>
  <si>
    <t>ocn742234560</t>
  </si>
  <si>
    <t>3103405885Y</t>
  </si>
  <si>
    <t>9781107016378</t>
  </si>
  <si>
    <t>794884851</t>
  </si>
  <si>
    <t>P85 C47 A5 2001</t>
  </si>
  <si>
    <t>0                      P  0085000C  47                 A  5           2001</t>
  </si>
  <si>
    <t>Propaganda and the public mind : conversations with Noam Chomsky / David Barsamian and Noam Chomsky.</t>
  </si>
  <si>
    <t>Chomsky, Noam. author.</t>
  </si>
  <si>
    <t>Cambridge, Mass. : South End Press, ©2001.</t>
  </si>
  <si>
    <t>2016-11-22</t>
  </si>
  <si>
    <t>1163120659:eng</t>
  </si>
  <si>
    <t>45392730</t>
  </si>
  <si>
    <t>ocm45392730</t>
  </si>
  <si>
    <t>31027313696</t>
  </si>
  <si>
    <t>9780896086357</t>
  </si>
  <si>
    <t>793670543</t>
  </si>
  <si>
    <t>P85 C47 A5 2014</t>
  </si>
  <si>
    <t>0                      P  0085000C  47                 A  5           2014</t>
  </si>
  <si>
    <t>On language, democracy, and social justice : Noam Chomsky's critical intervention / Pierre W. Orelus with Noam Chomsky.</t>
  </si>
  <si>
    <t>Orelus, Pierre W.</t>
  </si>
  <si>
    <t>New York : Peter Lang, [2014]</t>
  </si>
  <si>
    <t>Counterpoints: studies in the postmodern theory of education, 1058-1634 ; vol. 458</t>
  </si>
  <si>
    <t>2019-05-15</t>
  </si>
  <si>
    <t>1362202857:eng</t>
  </si>
  <si>
    <t>849822602</t>
  </si>
  <si>
    <t>ocn849822602</t>
  </si>
  <si>
    <t>3103532782S</t>
  </si>
  <si>
    <t>9781433124488</t>
  </si>
  <si>
    <t>794950383</t>
  </si>
  <si>
    <t>P85 C47 B3714 1998</t>
  </si>
  <si>
    <t>0                      P  0085000C  47                 B  3714        1998</t>
  </si>
  <si>
    <t>Noam Chomsky : une voix discordante / Robert F. Barsky ; traduit de l'anglais (Canada) par Geneviève Joublin.</t>
  </si>
  <si>
    <t>Barsky, Robert F.</t>
  </si>
  <si>
    <t>Paris : O. Jacob, ©1998.</t>
  </si>
  <si>
    <t>2016-04-17</t>
  </si>
  <si>
    <t>477401251:fre</t>
  </si>
  <si>
    <t>57561938</t>
  </si>
  <si>
    <t>ocm57561938</t>
  </si>
  <si>
    <t>3102819554B</t>
  </si>
  <si>
    <t>9782738105479</t>
  </si>
  <si>
    <t>793915519</t>
  </si>
  <si>
    <t>P85 C47 C36 2005</t>
  </si>
  <si>
    <t>0                      P  0085000C  47                 C  36          2005</t>
  </si>
  <si>
    <t>The Cambridge companion to Chomsky / edited by James McGilvray.</t>
  </si>
  <si>
    <t>2012-01-08</t>
  </si>
  <si>
    <t>2018-02-21</t>
  </si>
  <si>
    <t>4817540289:eng</t>
  </si>
  <si>
    <t>56012671</t>
  </si>
  <si>
    <t>ocm56012671</t>
  </si>
  <si>
    <t>3102739261E</t>
  </si>
  <si>
    <t>9780521780131</t>
  </si>
  <si>
    <t>793885912</t>
  </si>
  <si>
    <t>31027313950</t>
  </si>
  <si>
    <t>793885911</t>
  </si>
  <si>
    <t>P85 C47 C4513 2010</t>
  </si>
  <si>
    <t>0                      P  0085000C  47                 C  4513        2010</t>
  </si>
  <si>
    <t>Chomsky notebook / edited by Jean Bricmont + Julie Franck.</t>
  </si>
  <si>
    <t>Chomsky. English.</t>
  </si>
  <si>
    <t>New York : Columbia University Press, [2010]</t>
  </si>
  <si>
    <t>Columbia themes in philosophy</t>
  </si>
  <si>
    <t>2011-01-05</t>
  </si>
  <si>
    <t>4535982725:eng</t>
  </si>
  <si>
    <t>320798593</t>
  </si>
  <si>
    <t>ocn320798593</t>
  </si>
  <si>
    <t>3103157759S</t>
  </si>
  <si>
    <t>9780231144742</t>
  </si>
  <si>
    <t>794486842</t>
  </si>
  <si>
    <t>P85 C47 C48 2010</t>
  </si>
  <si>
    <t>0                      P  0085000C  47                 C  48          2010</t>
  </si>
  <si>
    <t>Chomskyan (r)evolutions / edited by Douglas A. Kibbee.</t>
  </si>
  <si>
    <t>Amsterdam ; Philadelphia : John Benjamins Pub. Company, ©2010.</t>
  </si>
  <si>
    <t>2010-09-01</t>
  </si>
  <si>
    <t>888293893:eng</t>
  </si>
  <si>
    <t>461896836</t>
  </si>
  <si>
    <t>ocn461896836</t>
  </si>
  <si>
    <t>31032438503</t>
  </si>
  <si>
    <t>9789027211699</t>
  </si>
  <si>
    <t>794791779</t>
  </si>
  <si>
    <t>P85 C47 C65 2008</t>
  </si>
  <si>
    <t>0                      P  0085000C  47                 C  65          2008</t>
  </si>
  <si>
    <t>Chomsky : a guide for the perplexed / John Collins.</t>
  </si>
  <si>
    <t>Collins, John, 1969-</t>
  </si>
  <si>
    <t>Guides for the perplexed</t>
  </si>
  <si>
    <t>4535623986:eng</t>
  </si>
  <si>
    <t>182731824</t>
  </si>
  <si>
    <t>ocn182731824</t>
  </si>
  <si>
    <t>31029754054</t>
  </si>
  <si>
    <t>9780826486622</t>
  </si>
  <si>
    <t>794285244</t>
  </si>
  <si>
    <t>P85 C47 C66 1996</t>
  </si>
  <si>
    <t>0                      P  0085000C  47                 C  66          1996</t>
  </si>
  <si>
    <t>Chomsky's universal grammar : an introduction / Vivian Cook and Mark Newson.</t>
  </si>
  <si>
    <t>Cook, Vivian, 1940-</t>
  </si>
  <si>
    <t>Oxford, OX, UK ; Cambridge, Mass., USA : Blackwell Publishers, 1996.</t>
  </si>
  <si>
    <t>2nd [updated] ed.</t>
  </si>
  <si>
    <t>836884640:eng</t>
  </si>
  <si>
    <t>32738541</t>
  </si>
  <si>
    <t>ocm32738541</t>
  </si>
  <si>
    <t>31027313852</t>
  </si>
  <si>
    <t>9780631197966</t>
  </si>
  <si>
    <t>793392904</t>
  </si>
  <si>
    <t>P85 C47 C67 1992</t>
  </si>
  <si>
    <t>0                      P  0085000C  47                 C  67          1992</t>
  </si>
  <si>
    <t>Chronicles of dissent / Noam Chomsky ; interviewed by David Barsamian.</t>
  </si>
  <si>
    <t>Vancouver : New Star Books, c1992.</t>
  </si>
  <si>
    <t>2019-02-21</t>
  </si>
  <si>
    <t>9478887:eng</t>
  </si>
  <si>
    <t>26854828</t>
  </si>
  <si>
    <t>ocm26854828</t>
  </si>
  <si>
    <t>31027313802</t>
  </si>
  <si>
    <t>9780921586241</t>
  </si>
  <si>
    <t>793253646</t>
  </si>
  <si>
    <t>P85 C47 E34 2000</t>
  </si>
  <si>
    <t>0                      P  0085000C  47                 E  34          2000</t>
  </si>
  <si>
    <t>The social and political thought of Noam Chomsky / Alison Edgley.</t>
  </si>
  <si>
    <t>Edgley, Alison, 1963-</t>
  </si>
  <si>
    <t>London ; New York : Routledge, 2000.</t>
  </si>
  <si>
    <t>Routledge studies in social and political thought ; 24</t>
  </si>
  <si>
    <t>2019-05-03</t>
  </si>
  <si>
    <t>1014719:eng</t>
  </si>
  <si>
    <t>42726281</t>
  </si>
  <si>
    <t>ocm42726281</t>
  </si>
  <si>
    <t>3102731406F</t>
  </si>
  <si>
    <t>9780415205863</t>
  </si>
  <si>
    <t>793612848</t>
  </si>
  <si>
    <t>P85 C47 H34 1993</t>
  </si>
  <si>
    <t>0                      P  0085000C  47                 H  34          1993</t>
  </si>
  <si>
    <t>The linguistics wars / Randy Allen Harris.</t>
  </si>
  <si>
    <t>Harris, Randy Allen.</t>
  </si>
  <si>
    <t>New York : Oxford University Press, 1993.</t>
  </si>
  <si>
    <t>2019-10-09</t>
  </si>
  <si>
    <t>20632398:eng</t>
  </si>
  <si>
    <t>26761785</t>
  </si>
  <si>
    <t>ocm26761785</t>
  </si>
  <si>
    <t>31027313960</t>
  </si>
  <si>
    <t>9780195072563</t>
  </si>
  <si>
    <t>793250976</t>
  </si>
  <si>
    <t>P85 C47 K55 2016</t>
  </si>
  <si>
    <t>0                      P  0085000C  47                 K  55          2016</t>
  </si>
  <si>
    <t>Decoding Chomsky : science and revolutionary politics / Chris Knight.</t>
  </si>
  <si>
    <t>Knight, Chris, 1942- author.</t>
  </si>
  <si>
    <t>New Haven : Yale University Press, [2016]</t>
  </si>
  <si>
    <t>3173986322:eng</t>
  </si>
  <si>
    <t>945028669</t>
  </si>
  <si>
    <t>ocn945028669</t>
  </si>
  <si>
    <t>3103422624H</t>
  </si>
  <si>
    <t>9780300221466</t>
  </si>
  <si>
    <t>795013212</t>
  </si>
  <si>
    <t>P85 C47 M27 1996</t>
  </si>
  <si>
    <t>0                      P  0085000C  47                 M  27          1996</t>
  </si>
  <si>
    <t>Chomsky for beginners / John Maher and Judy Groves ; edited by Richard Appignanesi.</t>
  </si>
  <si>
    <t>Maher, John Christopher.</t>
  </si>
  <si>
    <t>Cambridge : Icon Books, 1996.</t>
  </si>
  <si>
    <t>For beginners</t>
  </si>
  <si>
    <t>2019-01-02</t>
  </si>
  <si>
    <t>3901676005:eng</t>
  </si>
  <si>
    <t>36323880</t>
  </si>
  <si>
    <t>ocm36323880</t>
  </si>
  <si>
    <t>3102731412D</t>
  </si>
  <si>
    <t>9781874166429</t>
  </si>
  <si>
    <t>793472550</t>
  </si>
  <si>
    <t>3101893763R</t>
  </si>
  <si>
    <t>793472551</t>
  </si>
  <si>
    <t>P85 C47 M39 1999</t>
  </si>
  <si>
    <t>0                      P  0085000C  47                 M  39          1999</t>
  </si>
  <si>
    <t>Chomsky : language, mind, and politics / James McGilvray.</t>
  </si>
  <si>
    <t>McGilvray, James A. (James Alasdair), 1942-</t>
  </si>
  <si>
    <t>Cambridge, UK ; Malden, MA : Polity Press, 1999.</t>
  </si>
  <si>
    <t>118209660:eng</t>
  </si>
  <si>
    <t>40734785</t>
  </si>
  <si>
    <t>ocm40734785</t>
  </si>
  <si>
    <t>3102731407F</t>
  </si>
  <si>
    <t>9780745618876</t>
  </si>
  <si>
    <t>793574254</t>
  </si>
  <si>
    <t>31027401789</t>
  </si>
  <si>
    <t>793574255</t>
  </si>
  <si>
    <t>P85 C47 M39 2014</t>
  </si>
  <si>
    <t>0                      P  0085000C  47                 M  39          2014</t>
  </si>
  <si>
    <t>Chomsky : language, mind, politics / James McGilvray.</t>
  </si>
  <si>
    <t>McGilvray, James A. (James Alasdair), 1942- author.</t>
  </si>
  <si>
    <t>Cambridge, UK ; Malden, MA : Polity Press, 2014.</t>
  </si>
  <si>
    <t>4062899970:eng</t>
  </si>
  <si>
    <t>853505929</t>
  </si>
  <si>
    <t>ocn853505929</t>
  </si>
  <si>
    <t>31035056219</t>
  </si>
  <si>
    <t>9780745649900</t>
  </si>
  <si>
    <t>794952240</t>
  </si>
  <si>
    <t>P85 C47 N48 2010</t>
  </si>
  <si>
    <t>0                      P  0085000C  47                 N  48          2010</t>
  </si>
  <si>
    <t>New world of indigenous resistance : Noam Chomsky and voices from North, South, and Central America / edited by Lois Meyer and Benjamín Maldonado Alvarado.</t>
  </si>
  <si>
    <t>San Francisco : City Lights Books, ©2010.</t>
  </si>
  <si>
    <t>Open media series</t>
  </si>
  <si>
    <t>2016-10-20</t>
  </si>
  <si>
    <t>341245782:eng</t>
  </si>
  <si>
    <t>456178314</t>
  </si>
  <si>
    <t>ocn456178314</t>
  </si>
  <si>
    <t>31032408849</t>
  </si>
  <si>
    <t>9780872865334</t>
  </si>
  <si>
    <t>794788542</t>
  </si>
  <si>
    <t>P85 C47 N633 2010</t>
  </si>
  <si>
    <t>0                      P  0085000C  47                 N  633         2010</t>
  </si>
  <si>
    <t>Noam Chomsky and language descriptions / edited by John Ole Askedal, Ian Roberts, Tomonori Matsushita.</t>
  </si>
  <si>
    <t>The development of the Anglo-Saxon language and linguistic universals (DASLU) ; v. 2</t>
  </si>
  <si>
    <t>2011-03-20</t>
  </si>
  <si>
    <t>1076496123:eng</t>
  </si>
  <si>
    <t>528665961</t>
  </si>
  <si>
    <t>ocn528665961</t>
  </si>
  <si>
    <t>31032416999</t>
  </si>
  <si>
    <t>9789027210692</t>
  </si>
  <si>
    <t>794809697</t>
  </si>
  <si>
    <t>P85 C47 N64 1994</t>
  </si>
  <si>
    <t>0                      P  0085000C  47                 N  64          1994</t>
  </si>
  <si>
    <t>Noam Chomsky : critical assessments / edited by Carlos P. Otero.</t>
  </si>
  <si>
    <t>v.1; t.1</t>
  </si>
  <si>
    <t>London ; New York : Routledge, 1994-</t>
  </si>
  <si>
    <t>2018-02-04</t>
  </si>
  <si>
    <t>4241358952:eng</t>
  </si>
  <si>
    <t>428022524</t>
  </si>
  <si>
    <t>ocn428022524</t>
  </si>
  <si>
    <t>31027190231</t>
  </si>
  <si>
    <t>9780415106979</t>
  </si>
  <si>
    <t>794753927</t>
  </si>
  <si>
    <t>v.4;t.2</t>
  </si>
  <si>
    <t>2005-07-05</t>
  </si>
  <si>
    <t>3101454260Q</t>
  </si>
  <si>
    <t>794753920</t>
  </si>
  <si>
    <t>v.2;t.2</t>
  </si>
  <si>
    <t>2006-10-11</t>
  </si>
  <si>
    <t>3101454252P</t>
  </si>
  <si>
    <t>794753924</t>
  </si>
  <si>
    <t>v.4;t.1</t>
  </si>
  <si>
    <t>2002-02-08</t>
  </si>
  <si>
    <t>3101454240W</t>
  </si>
  <si>
    <t>794753921</t>
  </si>
  <si>
    <t>v.3;t.2</t>
  </si>
  <si>
    <t>3101454244O</t>
  </si>
  <si>
    <t>794753922</t>
  </si>
  <si>
    <t>v.3;p.1</t>
  </si>
  <si>
    <t>3101454248G</t>
  </si>
  <si>
    <t>794753923</t>
  </si>
  <si>
    <t>v.1;t.2</t>
  </si>
  <si>
    <t>2005-02-07</t>
  </si>
  <si>
    <t>3101454257F</t>
  </si>
  <si>
    <t>794753926</t>
  </si>
  <si>
    <t>v.2;t.1</t>
  </si>
  <si>
    <t>3101454256H</t>
  </si>
  <si>
    <t>794753925</t>
  </si>
  <si>
    <t>P85 C47 U5 2002</t>
  </si>
  <si>
    <t>0                      P  0085000C  47                 U  5           2002</t>
  </si>
  <si>
    <t>Understanding power : the indispensable Chomsky / edited by Peter R. Mitchell and John Schoeffel.</t>
  </si>
  <si>
    <t>New York : New Press, ©2002.</t>
  </si>
  <si>
    <t>2019-10-28</t>
  </si>
  <si>
    <t>56674913:eng</t>
  </si>
  <si>
    <t>46936001</t>
  </si>
  <si>
    <t>ocm46936001</t>
  </si>
  <si>
    <t>31027314487</t>
  </si>
  <si>
    <t>9781565847033</t>
  </si>
  <si>
    <t>793694856</t>
  </si>
  <si>
    <t>P85 C47 W57 1997</t>
  </si>
  <si>
    <t>0                      P  0085000C  47                 W  57          1997</t>
  </si>
  <si>
    <t>Noam Chomsky : on power, knowledge, and human nature / Peter Wilkin.</t>
  </si>
  <si>
    <t>Wilkin, Peter, 1963-</t>
  </si>
  <si>
    <t>New York : St. Martin's Press, 1997.</t>
  </si>
  <si>
    <t>311609062:eng</t>
  </si>
  <si>
    <t>36407665</t>
  </si>
  <si>
    <t>ocm36407665</t>
  </si>
  <si>
    <t>31027314437</t>
  </si>
  <si>
    <t>9780312174774</t>
  </si>
  <si>
    <t>793474346</t>
  </si>
  <si>
    <t>P85 C47 W573 2011</t>
  </si>
  <si>
    <t>0                      P  0085000C  47                 W  573         2011</t>
  </si>
  <si>
    <t>Chomsky and deconstruction : the politics of unconscious knowledge / Christopher Wise.</t>
  </si>
  <si>
    <t>Wise, Christopher, 1961-</t>
  </si>
  <si>
    <t>New York, NY : Palgrave Macmillan, 2011.</t>
  </si>
  <si>
    <t>581706875:eng</t>
  </si>
  <si>
    <t>657600108</t>
  </si>
  <si>
    <t>ocn657600108</t>
  </si>
  <si>
    <t>3103344401F</t>
  </si>
  <si>
    <t>9780230110823</t>
  </si>
  <si>
    <t>794835557</t>
  </si>
  <si>
    <t>P85 D59 A3 2011</t>
  </si>
  <si>
    <t>0                      P  0085000D  59                 A  3           2011</t>
  </si>
  <si>
    <t>I am a linguist / by R.M.W. Dixon ; with a foreword by Peter Matthews.</t>
  </si>
  <si>
    <t>Dixon, Robert M. W., 1939- author.</t>
  </si>
  <si>
    <t>Leiden ; Boston : Brill, 2011.</t>
  </si>
  <si>
    <t>Brill eBook titles</t>
  </si>
  <si>
    <t>675322423:eng</t>
  </si>
  <si>
    <t>667873235</t>
  </si>
  <si>
    <t>ocn667873235</t>
  </si>
  <si>
    <t>3103323265N</t>
  </si>
  <si>
    <t>9789004192355</t>
  </si>
  <si>
    <t>794845722</t>
  </si>
  <si>
    <t>P85 F7 D78 1981b</t>
  </si>
  <si>
    <t>0                      P  0085000F  7                  D  78          1981b</t>
  </si>
  <si>
    <t>Frege : philosophy of language / Michael Dummett.</t>
  </si>
  <si>
    <t>Dummett, Michael A. E.</t>
  </si>
  <si>
    <t>London : Duckworth, 1981.</t>
  </si>
  <si>
    <t>2d ed.</t>
  </si>
  <si>
    <t>2017-07-03</t>
  </si>
  <si>
    <t>1763022:eng</t>
  </si>
  <si>
    <t>7884104</t>
  </si>
  <si>
    <t>ocm07884104</t>
  </si>
  <si>
    <t>31027314447</t>
  </si>
  <si>
    <t>9780715615683</t>
  </si>
  <si>
    <t>792585147</t>
  </si>
  <si>
    <t>P85 G72 G73 2010</t>
  </si>
  <si>
    <t>0                      P  0085000G  72                 G  73          2010</t>
  </si>
  <si>
    <t>Gramsci, language, and translation / edited by Peter Ives and Rocco Lacorte.</t>
  </si>
  <si>
    <t>Lanham, Md. : Lexington Books, ©2010.</t>
  </si>
  <si>
    <t>Cultural studies / pedagogy / activism</t>
  </si>
  <si>
    <t>2019-08-14</t>
  </si>
  <si>
    <t>866525819:eng</t>
  </si>
  <si>
    <t>503308127</t>
  </si>
  <si>
    <t>ocn503308127</t>
  </si>
  <si>
    <t>3103312387P</t>
  </si>
  <si>
    <t>9780739118597</t>
  </si>
  <si>
    <t>794806438</t>
  </si>
  <si>
    <t>P85 G735 M43 2010</t>
  </si>
  <si>
    <t>0                      P  0085000G  735                M  43          2010</t>
  </si>
  <si>
    <t>Meaning and analysis : new essays on Grice / edited by Klaus Petrus.</t>
  </si>
  <si>
    <t>897761907:eng</t>
  </si>
  <si>
    <t>298778539</t>
  </si>
  <si>
    <t>ocn298778539</t>
  </si>
  <si>
    <t>31032337639</t>
  </si>
  <si>
    <t>9780230579088</t>
  </si>
  <si>
    <t>794428426</t>
  </si>
  <si>
    <t>P85 H344 B34 2011</t>
  </si>
  <si>
    <t>0                      P  0085000H  344                B  34          2011</t>
  </si>
  <si>
    <t>Zellig Harris : from American linguistics to socialist Zionism / Robert F. Barsky.</t>
  </si>
  <si>
    <t>Barsky, Robert F., author.</t>
  </si>
  <si>
    <t>Cambridge, Mass. : MIT Press, [2011]</t>
  </si>
  <si>
    <t>2011-07-04</t>
  </si>
  <si>
    <t>551437722:eng</t>
  </si>
  <si>
    <t>650827402</t>
  </si>
  <si>
    <t>ocn650827402</t>
  </si>
  <si>
    <t>31033448033</t>
  </si>
  <si>
    <t>9780262015264</t>
  </si>
  <si>
    <t>794832613</t>
  </si>
  <si>
    <t>P85 H37 K6 1972</t>
  </si>
  <si>
    <t>0                      P  0085000H  37                 K  6           1972</t>
  </si>
  <si>
    <t>On Heidegger and language. Edited and translated by Joseph J. Kockelmans.</t>
  </si>
  <si>
    <t>Kockelmans, Joseph J., 1923- compiler.</t>
  </si>
  <si>
    <t>Evanston [Ill.] Northwestern University Press, 1972.</t>
  </si>
  <si>
    <t>Northwestern University studies in phenomenology &amp; existential philosophy</t>
  </si>
  <si>
    <t>467874:eng</t>
  </si>
  <si>
    <t>329588</t>
  </si>
  <si>
    <t>ocm00329588</t>
  </si>
  <si>
    <t>31027314467</t>
  </si>
  <si>
    <t>9780810103672</t>
  </si>
  <si>
    <t>791339249</t>
  </si>
  <si>
    <t>P85 H37 L3413 2000</t>
  </si>
  <si>
    <t>0                      P  0085000H  37                 L  3413        2000</t>
  </si>
  <si>
    <t>Heidegger, language, and world-disclosure / Cristina Lafont ; translated by Graham Harman.</t>
  </si>
  <si>
    <t>Lafont, Cristina, 1963-</t>
  </si>
  <si>
    <t>Cambridge, UK ; New York : Cambridge University Press, 2000.</t>
  </si>
  <si>
    <t>Modern European philosophy</t>
  </si>
  <si>
    <t>44690556:eng</t>
  </si>
  <si>
    <t>43615833</t>
  </si>
  <si>
    <t>ocm43615833</t>
  </si>
  <si>
    <t>31027314417</t>
  </si>
  <si>
    <t>9780521662475</t>
  </si>
  <si>
    <t>793630990</t>
  </si>
  <si>
    <t>P85 H37 M47 1990</t>
  </si>
  <si>
    <t>0                      P  0085000H  37                 M  47          1990</t>
  </si>
  <si>
    <t>Le langage Heidegger / Henri Meschonnic.</t>
  </si>
  <si>
    <t>Meschonnic, Henri, 1932-2009.</t>
  </si>
  <si>
    <t>Paris : Presses universitaires de France, ©1990.</t>
  </si>
  <si>
    <t>Ecriture</t>
  </si>
  <si>
    <t>673833758:fre</t>
  </si>
  <si>
    <t>22689230</t>
  </si>
  <si>
    <t>ocm22689230</t>
  </si>
  <si>
    <t>31034247256</t>
  </si>
  <si>
    <t>9782130428701</t>
  </si>
  <si>
    <t>793151137</t>
  </si>
  <si>
    <t>P85 H37 W5</t>
  </si>
  <si>
    <t>0                      P  0085000H  37                 W  5</t>
  </si>
  <si>
    <t>Heidegger and the language of poetry / David A. White.</t>
  </si>
  <si>
    <t>White, David A., 1942-</t>
  </si>
  <si>
    <t>Lincoln : University of Nebraska Press, ©1978.</t>
  </si>
  <si>
    <t>11024071:eng</t>
  </si>
  <si>
    <t>3844527</t>
  </si>
  <si>
    <t>ocm03844527</t>
  </si>
  <si>
    <t>31027314369</t>
  </si>
  <si>
    <t>9780803247031</t>
  </si>
  <si>
    <t>792297844</t>
  </si>
  <si>
    <t>P85 H6 S65 1996</t>
  </si>
  <si>
    <t>0                      P  0085000H  6                  S  65          1996</t>
  </si>
  <si>
    <t>Strong wits and spider webs : a study of Hobbes's philosophy of language / Deborah Hansen Soles.</t>
  </si>
  <si>
    <t>Soles, Deborah Hansen.</t>
  </si>
  <si>
    <t>Aldershot, Hants, England ; Brookfield, Vt. : Avebury, ©1996.</t>
  </si>
  <si>
    <t>Avebury series in philosophy</t>
  </si>
  <si>
    <t>890326543:eng</t>
  </si>
  <si>
    <t>36216747</t>
  </si>
  <si>
    <t>ocm36216747</t>
  </si>
  <si>
    <t>31027314319</t>
  </si>
  <si>
    <t>9781859724118</t>
  </si>
  <si>
    <t>793469422</t>
  </si>
  <si>
    <t>P85 H8 M84 1993</t>
  </si>
  <si>
    <t>0                      P  0085000H  8                  M  84          1993</t>
  </si>
  <si>
    <t>Wilhelm von Humboldts Sprachwissenschaft : ein kommentiertes Verzeichnis des sprachwissenschaftlichen Nachlasses / Kurt Mueller-Vollmer ; mit einer Einleitung und zwei Anhängen.</t>
  </si>
  <si>
    <t>Mueller-Vollmer, Kurt.</t>
  </si>
  <si>
    <t>Paderborn : F. Schöningh, ©1993.</t>
  </si>
  <si>
    <t>2019-07-04</t>
  </si>
  <si>
    <t>291653409:ger</t>
  </si>
  <si>
    <t>30976721</t>
  </si>
  <si>
    <t>ocm30976721</t>
  </si>
  <si>
    <t>3102731411D</t>
  </si>
  <si>
    <t>9783506739698</t>
  </si>
  <si>
    <t>793350541</t>
  </si>
  <si>
    <t>P85 H8 M85 1993</t>
  </si>
  <si>
    <t>0                      P  0085000H  8                  M  85          1993</t>
  </si>
  <si>
    <t>Epigenesis : Naturphilosophie im Sprachdenken Wilhelm von Humboldts / Helmut Müller-Sievers.</t>
  </si>
  <si>
    <t>Müller-Sievers, Helmut.</t>
  </si>
  <si>
    <t>Paderborn : Schöningh, 1993.</t>
  </si>
  <si>
    <t>Humboldt-Studien</t>
  </si>
  <si>
    <t>198948165:ger</t>
  </si>
  <si>
    <t>30688738</t>
  </si>
  <si>
    <t>ocm30688738</t>
  </si>
  <si>
    <t>3102731492Y</t>
  </si>
  <si>
    <t>9783506740250</t>
  </si>
  <si>
    <t>793342336</t>
  </si>
  <si>
    <t>P85 K333 A25 2018</t>
  </si>
  <si>
    <t>0                      P  0085000K  333                A  25          2018</t>
  </si>
  <si>
    <t>Lingüística coseriana, lingüística histórica, tradiciones discursivas / Johannes Kabatek ; edición de Cristina Bleortu, David Paul Gerards.</t>
  </si>
  <si>
    <t>Kabatek, Johannes, author.</t>
  </si>
  <si>
    <t>Madrid : Iberoamericana ; Frankfurt am Main : Vervuert, 2018.</t>
  </si>
  <si>
    <t>Lingüística iberoamericana ; vol. 72</t>
  </si>
  <si>
    <t>5351457113:spa</t>
  </si>
  <si>
    <t>1045483429</t>
  </si>
  <si>
    <t>on1045483429</t>
  </si>
  <si>
    <t>3103785658B</t>
  </si>
  <si>
    <t>9788416922932</t>
  </si>
  <si>
    <t>795060347</t>
  </si>
  <si>
    <t>P85 L34 R35 1991</t>
  </si>
  <si>
    <t>0                      P  0085000L  34                 R  35          1991</t>
  </si>
  <si>
    <t>Lacan and the subject of language / edited by Ellie Ragland-Sullivan, Mark Bracher.</t>
  </si>
  <si>
    <t>New York : Routledge, 1991.</t>
  </si>
  <si>
    <t>2019-12-13</t>
  </si>
  <si>
    <t>350361675:eng</t>
  </si>
  <si>
    <t>22489346</t>
  </si>
  <si>
    <t>ocm22489346</t>
  </si>
  <si>
    <t>31027314731</t>
  </si>
  <si>
    <t>9780415903073</t>
  </si>
  <si>
    <t>793145613</t>
  </si>
  <si>
    <t>P85 L68 A53 2003</t>
  </si>
  <si>
    <t>0                      P  0085000L  68                 A  53          2003</t>
  </si>
  <si>
    <t>Conversations with Lotman : cultural semiotics in language, literature, and cognition / Edna Andrews.</t>
  </si>
  <si>
    <t>Andrews, Edna, 1958-</t>
  </si>
  <si>
    <t>Toronto ; Buffalo : University of Toronto Press, ©2003.</t>
  </si>
  <si>
    <t>Toronto studies in semiotics and communication</t>
  </si>
  <si>
    <t>2017-02-13</t>
  </si>
  <si>
    <t>837930919:eng</t>
  </si>
  <si>
    <t>53162044</t>
  </si>
  <si>
    <t>ocm53162044</t>
  </si>
  <si>
    <t>31027314791</t>
  </si>
  <si>
    <t>9780802036865</t>
  </si>
  <si>
    <t>793822783</t>
  </si>
  <si>
    <t>P85 L68 S46 2012</t>
  </si>
  <si>
    <t>0                      P  0085000L  68                 S  46          2012</t>
  </si>
  <si>
    <t>The texture of culture : an introduction to Yuri Lotman's semiotic theory / Aleksei Semenenko.</t>
  </si>
  <si>
    <t>Semenenko, Aleksei.</t>
  </si>
  <si>
    <t>Semiotics and popular culture</t>
  </si>
  <si>
    <t>1106194270:eng</t>
  </si>
  <si>
    <t>769987256</t>
  </si>
  <si>
    <t>ocn769987256</t>
  </si>
  <si>
    <t>3103456931C</t>
  </si>
  <si>
    <t>9781137007148</t>
  </si>
  <si>
    <t>794903771</t>
  </si>
  <si>
    <t>P85 M23 G46 1999</t>
  </si>
  <si>
    <t>0                      P  0085000M  23                 G  46          1999</t>
  </si>
  <si>
    <t>McLuhan and Baudrillard : the masters of implosion / Gary Genosko.</t>
  </si>
  <si>
    <t>Genosko, Gary.</t>
  </si>
  <si>
    <t>793933301:eng</t>
  </si>
  <si>
    <t>40255932</t>
  </si>
  <si>
    <t>ocm40255932</t>
  </si>
  <si>
    <t>31027314643</t>
  </si>
  <si>
    <t>9780415190619</t>
  </si>
  <si>
    <t>793562825</t>
  </si>
  <si>
    <t>P85 M23 R6</t>
  </si>
  <si>
    <t>0                      P  0085000M  23                 R  6</t>
  </si>
  <si>
    <t>McLuhan : pro &amp; con / edited and with an introd. by Raymond Rosenthal.</t>
  </si>
  <si>
    <t>Rosenthal, Raymond, 1915-1995, compiler.</t>
  </si>
  <si>
    <t>New York, Funk &amp; Wagnalls [1968]</t>
  </si>
  <si>
    <t>2003-10-09</t>
  </si>
  <si>
    <t>2016-10-14</t>
  </si>
  <si>
    <t>5218390477:eng</t>
  </si>
  <si>
    <t>306884</t>
  </si>
  <si>
    <t>ocm00306884</t>
  </si>
  <si>
    <t>3102731490Y</t>
  </si>
  <si>
    <t>791331008</t>
  </si>
  <si>
    <t>2003-11-21</t>
  </si>
  <si>
    <t>31027314545</t>
  </si>
  <si>
    <t>791331005</t>
  </si>
  <si>
    <t>3102731495Y</t>
  </si>
  <si>
    <t>791331004</t>
  </si>
  <si>
    <t>3000241773D</t>
  </si>
  <si>
    <t>791331009</t>
  </si>
  <si>
    <t>3000241774B</t>
  </si>
  <si>
    <t>791331003</t>
  </si>
  <si>
    <t>2002-03-13</t>
  </si>
  <si>
    <t>31027314595</t>
  </si>
  <si>
    <t>791331006</t>
  </si>
  <si>
    <t>3000993845$</t>
  </si>
  <si>
    <t>791331002</t>
  </si>
  <si>
    <t>2001-11-21</t>
  </si>
  <si>
    <t>3102731485$</t>
  </si>
  <si>
    <t>791331007</t>
  </si>
  <si>
    <t>P85 M23 S7</t>
  </si>
  <si>
    <t>0                      P  0085000M  23                 S  7</t>
  </si>
  <si>
    <t>McLuhan, hot &amp; cool : a primer for the understanding of &amp; a critical symposium with a rebuttal by McLuhan / edited by Gerald Emanuel Stearn.</t>
  </si>
  <si>
    <t>New York : Dial Press, 1967.</t>
  </si>
  <si>
    <t>Brahmin book</t>
  </si>
  <si>
    <t>2006-06-05</t>
  </si>
  <si>
    <t>2287037532:eng</t>
  </si>
  <si>
    <t>178038</t>
  </si>
  <si>
    <t>ocm00178038</t>
  </si>
  <si>
    <t>3000992983T</t>
  </si>
  <si>
    <t>791283054</t>
  </si>
  <si>
    <t>2003-11-10</t>
  </si>
  <si>
    <t>31027314701</t>
  </si>
  <si>
    <t>791283057</t>
  </si>
  <si>
    <t>31027314751</t>
  </si>
  <si>
    <t>791283055</t>
  </si>
  <si>
    <t>2008-01-30</t>
  </si>
  <si>
    <t>3102731480$</t>
  </si>
  <si>
    <t>791283056</t>
  </si>
  <si>
    <t>P85 P38 L57 1996</t>
  </si>
  <si>
    <t>0                      P  0085000P  38                 L  57          1996</t>
  </si>
  <si>
    <t>A general introduction to the semeiotic of Charles Sanders Peirce / James Jakób Liszka.</t>
  </si>
  <si>
    <t>Liszka, James Jakób, 1950-</t>
  </si>
  <si>
    <t>Bloomington : Indiana University Press, ©1996.</t>
  </si>
  <si>
    <t>993050:eng</t>
  </si>
  <si>
    <t>33080147</t>
  </si>
  <si>
    <t>ocm33080147</t>
  </si>
  <si>
    <t>3102731494Y</t>
  </si>
  <si>
    <t>9780253330475</t>
  </si>
  <si>
    <t>793401404</t>
  </si>
  <si>
    <t>P85 P38 P44 1991</t>
  </si>
  <si>
    <t>0                      P  0085000P  38                 P  44          1991</t>
  </si>
  <si>
    <t>Peirce on signs : writings on semiotic / by Charles Sanders Peirce ; edited by James Hoopes.</t>
  </si>
  <si>
    <t>Peirce, Charles S. (Charles Sanders), 1839-1914.</t>
  </si>
  <si>
    <t>Chapel Hill : University of North Carolina Press, ©1991.</t>
  </si>
  <si>
    <t>477466856:eng</t>
  </si>
  <si>
    <t>23462965</t>
  </si>
  <si>
    <t>ocm23462965</t>
  </si>
  <si>
    <t>31027315376</t>
  </si>
  <si>
    <t>9780807819920</t>
  </si>
  <si>
    <t>793172018</t>
  </si>
  <si>
    <t>P85 P38 P45 1995</t>
  </si>
  <si>
    <t>0                      P  0085000P  38                 P  45          1995</t>
  </si>
  <si>
    <t>Peirce's doctrine of signs : theory, applications, and connections / edited by Vincent M. Colapietro, Thomas M. Olshewsky.</t>
  </si>
  <si>
    <t>Approaches to semiotics ; 123</t>
  </si>
  <si>
    <t>2018-04-19</t>
  </si>
  <si>
    <t>376208631:eng</t>
  </si>
  <si>
    <t>33079697</t>
  </si>
  <si>
    <t>ocm33079697</t>
  </si>
  <si>
    <t>31027315326</t>
  </si>
  <si>
    <t>9783110142525</t>
  </si>
  <si>
    <t>793401349</t>
  </si>
  <si>
    <t>P85 P38 P46 1985</t>
  </si>
  <si>
    <t>0                      P  0085000P  38                 P  46          1985</t>
  </si>
  <si>
    <t>Charles S. Peirce and the linguistic sign / by David A. Pharies.</t>
  </si>
  <si>
    <t>Pharies, David A.</t>
  </si>
  <si>
    <t>Amsterdam ; Philadelphia : J. Benjamins, 1985.</t>
  </si>
  <si>
    <t>Foundations of semiotics, 0168-2555 ; v. 9</t>
  </si>
  <si>
    <t>2017-11-22</t>
  </si>
  <si>
    <t>4382200:eng</t>
  </si>
  <si>
    <t>12052696</t>
  </si>
  <si>
    <t>ocm12052696</t>
  </si>
  <si>
    <t>31027314613</t>
  </si>
  <si>
    <t>9789027232793</t>
  </si>
  <si>
    <t>792798894</t>
  </si>
  <si>
    <t>P85 S14 E35 2007</t>
  </si>
  <si>
    <t>0                      P  0085000S  14                 E  35          2007</t>
  </si>
  <si>
    <t>Edward Sapir : critical assessments of leading linguists / edited by E.F.K. Koerner.</t>
  </si>
  <si>
    <t>Critical assessments of leading linguists</t>
  </si>
  <si>
    <t>902548:eng</t>
  </si>
  <si>
    <t>86037968</t>
  </si>
  <si>
    <t>ocm86037968</t>
  </si>
  <si>
    <t>3102888265O</t>
  </si>
  <si>
    <t>9780415255073</t>
  </si>
  <si>
    <t>794217984</t>
  </si>
  <si>
    <t>3102888270M</t>
  </si>
  <si>
    <t>794217985</t>
  </si>
  <si>
    <t>3102888275M</t>
  </si>
  <si>
    <t>794217986</t>
  </si>
  <si>
    <t>P85 S18 B66 2010</t>
  </si>
  <si>
    <t>0                      P  0085000S  18                 B  66          2010</t>
  </si>
  <si>
    <t>Saussure : a guide for the perplexed / Paul Bouissac.</t>
  </si>
  <si>
    <t>Bouissac, Paul.</t>
  </si>
  <si>
    <t>Guides for the perplexed series</t>
  </si>
  <si>
    <t>803414765:eng</t>
  </si>
  <si>
    <t>432982954</t>
  </si>
  <si>
    <t>ocn432982954</t>
  </si>
  <si>
    <t>3103132759L</t>
  </si>
  <si>
    <t>9781441120687</t>
  </si>
  <si>
    <t>794782033</t>
  </si>
  <si>
    <t>P85 S18 C8 1986</t>
  </si>
  <si>
    <t>0                      P  0085000S  18                 C  8           1986</t>
  </si>
  <si>
    <t>Ferdinand de Saussure / Jonathan Culler.</t>
  </si>
  <si>
    <t>Ithaca, N.Y. : Cornell University Press, 1986.</t>
  </si>
  <si>
    <t>8907776078:eng</t>
  </si>
  <si>
    <t>13360870</t>
  </si>
  <si>
    <t>ocm13360870</t>
  </si>
  <si>
    <t>31027315396</t>
  </si>
  <si>
    <t>9780801419171</t>
  </si>
  <si>
    <t>792850154</t>
  </si>
  <si>
    <t>3000473551Q</t>
  </si>
  <si>
    <t>792850152</t>
  </si>
  <si>
    <t>2010-07-06</t>
  </si>
  <si>
    <t>3102731503C</t>
  </si>
  <si>
    <t>792850155</t>
  </si>
  <si>
    <t>2011-09-01</t>
  </si>
  <si>
    <t>3102731498Y</t>
  </si>
  <si>
    <t>792850151</t>
  </si>
  <si>
    <t>2000-03-17</t>
  </si>
  <si>
    <t>31027315346</t>
  </si>
  <si>
    <t>792850153</t>
  </si>
  <si>
    <t>P85 S18 C83 1976b</t>
  </si>
  <si>
    <t>0                      P  0085000S  18                 C  83          1976b</t>
  </si>
  <si>
    <t>Saussure / Jonathan Culler.</t>
  </si>
  <si>
    <t>Hassocks [England] : Harvester Press, 1976.</t>
  </si>
  <si>
    <t>412749:eng</t>
  </si>
  <si>
    <t>2794724</t>
  </si>
  <si>
    <t>ocm02794724</t>
  </si>
  <si>
    <t>31027315248</t>
  </si>
  <si>
    <t>9780855273798</t>
  </si>
  <si>
    <t>792177085</t>
  </si>
  <si>
    <t>31027315298</t>
  </si>
  <si>
    <t>792177084</t>
  </si>
  <si>
    <t>P85 S18 D29 2011</t>
  </si>
  <si>
    <t>0                      P  0085000S  18                 D  29          2011</t>
  </si>
  <si>
    <t>What if Derrida was wrong about Saussure? / Russell Daylight.</t>
  </si>
  <si>
    <t>Daylight, Russell.</t>
  </si>
  <si>
    <t>2011-05-02</t>
  </si>
  <si>
    <t>659669589:eng</t>
  </si>
  <si>
    <t>665137685</t>
  </si>
  <si>
    <t>ocn665137685</t>
  </si>
  <si>
    <t>3103233381H</t>
  </si>
  <si>
    <t>9780748641970</t>
  </si>
  <si>
    <t>794844649</t>
  </si>
  <si>
    <t>P85 S18 G38 2013</t>
  </si>
  <si>
    <t>0                      P  0085000S  18                 G  38          2013</t>
  </si>
  <si>
    <t>Beyond pure reason : Ferdinand de Saussure's philosophy of language and its early romantic antecedents / Boris Gasparov.</t>
  </si>
  <si>
    <t>New York : Columbia University Press, ©2013.</t>
  </si>
  <si>
    <t>University seminars, Leonard Hastings Schoff memorial lectures</t>
  </si>
  <si>
    <t>1080076937:eng</t>
  </si>
  <si>
    <t>776874645</t>
  </si>
  <si>
    <t>ocn776874645</t>
  </si>
  <si>
    <t>3103411773D</t>
  </si>
  <si>
    <t>9780231157803</t>
  </si>
  <si>
    <t>794908401</t>
  </si>
  <si>
    <t>P85 S18 H6 1991</t>
  </si>
  <si>
    <t>0                      P  0085000S  18                 H  6           1991</t>
  </si>
  <si>
    <t>Saussure : signs, system, and arbitrariness / David Holdcroft.</t>
  </si>
  <si>
    <t>Holdcroft, David.</t>
  </si>
  <si>
    <t>836733908:eng</t>
  </si>
  <si>
    <t>22451463</t>
  </si>
  <si>
    <t>ocm22451463</t>
  </si>
  <si>
    <t>3102731509C</t>
  </si>
  <si>
    <t>9780521326186</t>
  </si>
  <si>
    <t>793144563</t>
  </si>
  <si>
    <t>P85 S32 F56 1988</t>
  </si>
  <si>
    <t>0                      P  0085000S  32                 F  56          1988</t>
  </si>
  <si>
    <t>The romantic irony of semiotics : Friedrich Schlegel and the crisis of representation / by Marike Finlay.</t>
  </si>
  <si>
    <t>Finlay, Marike.</t>
  </si>
  <si>
    <t>Berlin ; New York : Mouton de Gruyter, 1988.</t>
  </si>
  <si>
    <t>Approaches to semiotics ; 79</t>
  </si>
  <si>
    <t>2019-04-14</t>
  </si>
  <si>
    <t>889609787:eng</t>
  </si>
  <si>
    <t>17260482</t>
  </si>
  <si>
    <t>ocm17260482</t>
  </si>
  <si>
    <t>31027315258</t>
  </si>
  <si>
    <t>9780899253305</t>
  </si>
  <si>
    <t>792985708</t>
  </si>
  <si>
    <t>P85 S65 C66 2008</t>
  </si>
  <si>
    <t>0                      P  0085000S  65                 C  66          2008</t>
  </si>
  <si>
    <t>Leo Spitzer : lo stile e il metodo : atti del XXXVI Convegno interuniversitario, Bressanone-Innsbruck, 10-13 luglio 2008 / a cura di Ivano Paccagnella e Elisa Gregori.</t>
  </si>
  <si>
    <t>Convegno interuniversitario di studi (36th : 2008 : Bressanone, Italy, and Innsbruck, Austria)</t>
  </si>
  <si>
    <t>Padova : Esedra, ©2010.</t>
  </si>
  <si>
    <t>Quaderni del Circolo filologico linguistico padovano ; 24</t>
  </si>
  <si>
    <t>796523529:ita</t>
  </si>
  <si>
    <t>656502031</t>
  </si>
  <si>
    <t>ocn656502031</t>
  </si>
  <si>
    <t>31032859785</t>
  </si>
  <si>
    <t>9788860580368</t>
  </si>
  <si>
    <t>794834863</t>
  </si>
  <si>
    <t>P85 S74 A5 2017</t>
  </si>
  <si>
    <t>0                      P  0085000S  74                 A  5           2017</t>
  </si>
  <si>
    <t>A long Saturday : conversations / George Steiner ; with Laure Adler ; translated by Teresa Lavender Fagan.</t>
  </si>
  <si>
    <t>Steiner, George, 1929- interviewee.</t>
  </si>
  <si>
    <t>Chicago ; London : The University of Chicago Press, 2017.</t>
  </si>
  <si>
    <t>3223560358:eng</t>
  </si>
  <si>
    <t>952139207</t>
  </si>
  <si>
    <t>ocn952139207</t>
  </si>
  <si>
    <t>3103670438Q</t>
  </si>
  <si>
    <t>9780226350387</t>
  </si>
  <si>
    <t>795018035</t>
  </si>
  <si>
    <t>P85 S74 R4 1994</t>
  </si>
  <si>
    <t>0                      P  0085000S  74                 R  4           1994</t>
  </si>
  <si>
    <t>Reading George Steiner / edited by Nathan A. Scott, Jr. and Ronald A. Sharp.</t>
  </si>
  <si>
    <t>2009-11-08</t>
  </si>
  <si>
    <t>2015-10-18</t>
  </si>
  <si>
    <t>350051921:eng</t>
  </si>
  <si>
    <t>28721435</t>
  </si>
  <si>
    <t>ocm28721435</t>
  </si>
  <si>
    <t>3102731510A</t>
  </si>
  <si>
    <t>9780801848322</t>
  </si>
  <si>
    <t>793294672</t>
  </si>
  <si>
    <t>3102731515A</t>
  </si>
  <si>
    <t>793294673</t>
  </si>
  <si>
    <t>P85 S9 W55 1996</t>
  </si>
  <si>
    <t>0                      P  0085000S  9                  W  55          1996</t>
  </si>
  <si>
    <t>The dream of an absolute language : Emanuel Swedenborg and French literary culture / Lynn R. Wilkinson.</t>
  </si>
  <si>
    <t>Wilkinson, Lynn Rosellen.</t>
  </si>
  <si>
    <t>Albany : State University of New York Press, ©1996.</t>
  </si>
  <si>
    <t>2016-12-22</t>
  </si>
  <si>
    <t>288466585:eng</t>
  </si>
  <si>
    <t>32697765</t>
  </si>
  <si>
    <t>ocm32697765</t>
  </si>
  <si>
    <t>31026594644</t>
  </si>
  <si>
    <t>9780791429266</t>
  </si>
  <si>
    <t>793391846</t>
  </si>
  <si>
    <t>P85 W5 H6</t>
  </si>
  <si>
    <t>0                      P  0085000W  5                  H  6</t>
  </si>
  <si>
    <t>La philosophie du langage de Ludwig Wittgenstein / Gilbert Hottois ; préf. de J. Bouveresse.</t>
  </si>
  <si>
    <t>Hottois, Gilbert, 1946-</t>
  </si>
  <si>
    <t>[Bruxelles] : Editions de l'Université de Bruxelles, [©1976]</t>
  </si>
  <si>
    <t>Université libre de Bruxelles, Faculte de philosophie et lettres ; 63</t>
  </si>
  <si>
    <t>2015-03-23</t>
  </si>
  <si>
    <t>351249775:fre</t>
  </si>
  <si>
    <t>2389555</t>
  </si>
  <si>
    <t>ocm02389555</t>
  </si>
  <si>
    <t>31027315218</t>
  </si>
  <si>
    <t>9782800406220</t>
  </si>
  <si>
    <t>792114824</t>
  </si>
  <si>
    <t>2015-07-30</t>
  </si>
  <si>
    <t>v.20</t>
  </si>
  <si>
    <t>v.15</t>
  </si>
  <si>
    <t>v.11</t>
  </si>
  <si>
    <t>v.13</t>
  </si>
  <si>
    <t>v.16</t>
  </si>
  <si>
    <t>v.19</t>
  </si>
  <si>
    <t>v.12</t>
  </si>
  <si>
    <t>v.14</t>
  </si>
  <si>
    <t>v.17</t>
  </si>
  <si>
    <t>2014-09-19</t>
  </si>
  <si>
    <t>v.21</t>
  </si>
  <si>
    <t>v.18</t>
  </si>
  <si>
    <t>2019-08-12</t>
  </si>
  <si>
    <t>2005-06-10</t>
  </si>
  <si>
    <t>2009-03-19</t>
  </si>
  <si>
    <t>2015-11-27</t>
  </si>
  <si>
    <t>2003-02-21</t>
  </si>
  <si>
    <t>P87 S35</t>
  </si>
  <si>
    <t>0                      P  0087000S  35</t>
  </si>
  <si>
    <t>The science of human communication; new directions and new findings in communication research.</t>
  </si>
  <si>
    <t>Schramm, Wilbur, 1907-1987, editor.</t>
  </si>
  <si>
    <t>New York, Basic Books [1963]</t>
  </si>
  <si>
    <t>2015-02-24</t>
  </si>
  <si>
    <t>768616873:eng</t>
  </si>
  <si>
    <t>306850</t>
  </si>
  <si>
    <t>ocm00306850</t>
  </si>
  <si>
    <t>3000993847W</t>
  </si>
  <si>
    <t>791330982</t>
  </si>
  <si>
    <t>31027315474</t>
  </si>
  <si>
    <t>791330980</t>
  </si>
  <si>
    <t>3102731583X</t>
  </si>
  <si>
    <t>791330981</t>
  </si>
  <si>
    <t>31027315424</t>
  </si>
  <si>
    <t>791330979</t>
  </si>
  <si>
    <t>P87.3 E18 C75 2001</t>
  </si>
  <si>
    <t>0                      P  0087300E  18                 C  75          2001</t>
  </si>
  <si>
    <t>Critical issues in communication : looking inward for answers : essays in honor of K.E. Eapen / editors, Srinivas R. Melkote, Sandhya Rao.</t>
  </si>
  <si>
    <t>New Delhi ; Thousand Oaks, Calif. : Sage, 2001.</t>
  </si>
  <si>
    <t>2018-11-20</t>
  </si>
  <si>
    <t>836984055:eng</t>
  </si>
  <si>
    <t>45172830</t>
  </si>
  <si>
    <t>ocm45172830</t>
  </si>
  <si>
    <t>31027315494</t>
  </si>
  <si>
    <t>9780761995111</t>
  </si>
  <si>
    <t>793666146</t>
  </si>
  <si>
    <t>P87.5 A15 2017</t>
  </si>
  <si>
    <t>0                      P  0087500A  15          2017</t>
  </si>
  <si>
    <t>Les 100 mots des sciences de l'information et de la communication / sous la direction de Jean-Baptiste Legavre, Rémy Rieffel.</t>
  </si>
  <si>
    <t>Paris : Presses universitaires de France, [2017]</t>
  </si>
  <si>
    <t>1re édition.</t>
  </si>
  <si>
    <t>Que sais-je?, 0768-0066 ; no 4071</t>
  </si>
  <si>
    <t>4497275490:fre</t>
  </si>
  <si>
    <t>1002119707</t>
  </si>
  <si>
    <t>on1002119707</t>
  </si>
  <si>
    <t>3103720704H</t>
  </si>
  <si>
    <t>9782130786054</t>
  </si>
  <si>
    <t>795040928</t>
  </si>
  <si>
    <t>P87.5 C43 2011</t>
  </si>
  <si>
    <t>0                      P  0087500C  43          2011</t>
  </si>
  <si>
    <t>A dictionary of media and communication / Daniel Chandler, Rod Munday.</t>
  </si>
  <si>
    <t>Chandler, Daniel.</t>
  </si>
  <si>
    <t>866063077:eng</t>
  </si>
  <si>
    <t>668193476</t>
  </si>
  <si>
    <t>ocn668193476</t>
  </si>
  <si>
    <t>31032327839</t>
  </si>
  <si>
    <t>9780199568758</t>
  </si>
  <si>
    <t>794846006</t>
  </si>
  <si>
    <t>P87.5 E496 2009</t>
  </si>
  <si>
    <t>0                      P  0087500E  496         2009</t>
  </si>
  <si>
    <t>Encyclopedia of communication theory / Stephen W. Littlejohn, Karen A. Foss, editors.</t>
  </si>
  <si>
    <t>Los Angeles, Calif. : Sage, ©2009.</t>
  </si>
  <si>
    <t>2014-07-10</t>
  </si>
  <si>
    <t>2016-02-01</t>
  </si>
  <si>
    <t>1044589093:eng</t>
  </si>
  <si>
    <t>299710048</t>
  </si>
  <si>
    <t>ocn299710048</t>
  </si>
  <si>
    <t>3103069875E</t>
  </si>
  <si>
    <t>9781412959377</t>
  </si>
  <si>
    <t>794430512</t>
  </si>
  <si>
    <t>3103069861G</t>
  </si>
  <si>
    <t>794430511</t>
  </si>
  <si>
    <t>- Reference Collection - In Library Use</t>
  </si>
  <si>
    <t>P87.5 E55 2013</t>
  </si>
  <si>
    <t>0                      P  0087500E  55          2013</t>
  </si>
  <si>
    <t>Encyclopedia of media and communication / edited by Marcel Danesi.</t>
  </si>
  <si>
    <t>Toronto ; Buffalo ; London : University of Toronto Press, [2013]</t>
  </si>
  <si>
    <t>2013-08-23</t>
  </si>
  <si>
    <t>1413552266:eng</t>
  </si>
  <si>
    <t>809408651</t>
  </si>
  <si>
    <t>ocn809408651</t>
  </si>
  <si>
    <t>3103423614F</t>
  </si>
  <si>
    <t>9781442643147</t>
  </si>
  <si>
    <t>794928382</t>
  </si>
  <si>
    <t>P87.5 W38 1997</t>
  </si>
  <si>
    <t>0                      P  0087500W  38          1997</t>
  </si>
  <si>
    <t>A dictionary of communication and media studies / James Watson, Anne Hill.</t>
  </si>
  <si>
    <t>Watson, James, 1936-</t>
  </si>
  <si>
    <t>London ; New York : Arnold ; New York, NY : Distributed exclusively in the USA by St. Martin's Press, 1997.</t>
  </si>
  <si>
    <t>2016-01-31</t>
  </si>
  <si>
    <t>3762339:eng</t>
  </si>
  <si>
    <t>36534355</t>
  </si>
  <si>
    <t>ocm36534355</t>
  </si>
  <si>
    <t>31027315562</t>
  </si>
  <si>
    <t>9780340676356</t>
  </si>
  <si>
    <t>793477947</t>
  </si>
  <si>
    <t>P90 A13 2002</t>
  </si>
  <si>
    <t>0                      P  0090000A  13          2002</t>
  </si>
  <si>
    <t>1929 : Beiträge zur Archäologie der Medien / herausgegeben von Stefan Andriopoulos und Bernhard J. Dotzler.</t>
  </si>
  <si>
    <t>Frankfurt am Main : Suhrkamp, 2002.</t>
  </si>
  <si>
    <t>1. Aufl.</t>
  </si>
  <si>
    <t>Suhrkamp Taschenbuch Wissenschaft ; 1579</t>
  </si>
  <si>
    <t>2017-08-25</t>
  </si>
  <si>
    <t>351949613:ger</t>
  </si>
  <si>
    <t>50780445</t>
  </si>
  <si>
    <t>ocm50780445</t>
  </si>
  <si>
    <t>3102655190N</t>
  </si>
  <si>
    <t>9783518291795</t>
  </si>
  <si>
    <t>793772929</t>
  </si>
  <si>
    <t>P90 A8417 2012</t>
  </si>
  <si>
    <t>0                      P  0090000A  8417        2012</t>
  </si>
  <si>
    <t>An overture to philosophy of communication : the carrier of meaning / Ronald C. Arnett &amp; Annette M. Holba.</t>
  </si>
  <si>
    <t>Arnett, Ronald C., 1952-</t>
  </si>
  <si>
    <t>New York : Peeter Lang, ©2012.</t>
  </si>
  <si>
    <t>1206101731:eng</t>
  </si>
  <si>
    <t>811001248</t>
  </si>
  <si>
    <t>ocn811001248</t>
  </si>
  <si>
    <t>3103468092E</t>
  </si>
  <si>
    <t>9781433113451</t>
  </si>
  <si>
    <t>794929668</t>
  </si>
  <si>
    <t>P90 A87 1989</t>
  </si>
  <si>
    <t>0                      P  0090000A  87          1989</t>
  </si>
  <si>
    <t>Théories de la communication : histoire, contexte, pouvoir / Paul Attallah.</t>
  </si>
  <si>
    <t>Attallah, Paul, 1954-</t>
  </si>
  <si>
    <t>Sillery : Presses de l'Université du Québec, 1989.</t>
  </si>
  <si>
    <t>Collection Communication et société</t>
  </si>
  <si>
    <t>2017-04-26</t>
  </si>
  <si>
    <t>890488749:fre</t>
  </si>
  <si>
    <t>19628984</t>
  </si>
  <si>
    <t>ocm19628984</t>
  </si>
  <si>
    <t>31027316039</t>
  </si>
  <si>
    <t>9782760505261</t>
  </si>
  <si>
    <t>793064560</t>
  </si>
  <si>
    <t>P90 B3 1965</t>
  </si>
  <si>
    <t>0                      P  0090000B  3           1965</t>
  </si>
  <si>
    <t>Mass communication: television, radio, film, press; the media and their practice in the United States of America.</t>
  </si>
  <si>
    <t>Barnouw, Erik, 1908-2001.</t>
  </si>
  <si>
    <t>New York, Rinehart [1956]</t>
  </si>
  <si>
    <t>2016-02-06</t>
  </si>
  <si>
    <t>196969823:eng</t>
  </si>
  <si>
    <t>306846</t>
  </si>
  <si>
    <t>ocm00306846</t>
  </si>
  <si>
    <t>3102731588X</t>
  </si>
  <si>
    <t>791330977</t>
  </si>
  <si>
    <t>P90 B328 1991</t>
  </si>
  <si>
    <t>0                      P  0090000B  328         1991</t>
  </si>
  <si>
    <t>La communication / Christian Baylon, Xavier Mignot.</t>
  </si>
  <si>
    <t>Baylon, Christian.</t>
  </si>
  <si>
    <t>Paris : Nathan, 1991.</t>
  </si>
  <si>
    <t>2015-06-11</t>
  </si>
  <si>
    <t>41247303:fre</t>
  </si>
  <si>
    <t>270795905</t>
  </si>
  <si>
    <t>ocn270795905</t>
  </si>
  <si>
    <t>31027316245</t>
  </si>
  <si>
    <t>794412105</t>
  </si>
  <si>
    <t>P90 B33</t>
  </si>
  <si>
    <t>0                      P  0090000B  33</t>
  </si>
  <si>
    <t>Message, média, communication; de Lascaux à l'orginateur [par] Yveline R. Baticle.</t>
  </si>
  <si>
    <t>Baticle, Yveline.</t>
  </si>
  <si>
    <t>[Paris] Magnard/Université [1973]</t>
  </si>
  <si>
    <t>Information, communication</t>
  </si>
  <si>
    <t>898756696:fre</t>
  </si>
  <si>
    <t>1364941</t>
  </si>
  <si>
    <t>ocm01364941</t>
  </si>
  <si>
    <t>3103592352L</t>
  </si>
  <si>
    <t>791610150</t>
  </si>
  <si>
    <t>P90 B4 1952</t>
  </si>
  <si>
    <t>0                      P  0090000B  4           1952</t>
  </si>
  <si>
    <t>Content analysis in communication research / by Bernard Berelson.</t>
  </si>
  <si>
    <t>Berelson, Bernard, 1912-1979.</t>
  </si>
  <si>
    <t>Glencoe, Ill. : Free Press, [1952]</t>
  </si>
  <si>
    <t>Foundations of communication research</t>
  </si>
  <si>
    <t>2017-09-14</t>
  </si>
  <si>
    <t>149576104:eng</t>
  </si>
  <si>
    <t>652655</t>
  </si>
  <si>
    <t>ocm00652655</t>
  </si>
  <si>
    <t>31027316099</t>
  </si>
  <si>
    <t>791438203</t>
  </si>
  <si>
    <t>P90 B4128 2006</t>
  </si>
  <si>
    <t>0                      P  0090000B  4128        2006</t>
  </si>
  <si>
    <t>50 ways to understand communication : a guided tour of key ideas and theorists in communication, media, and culture / Arthur Asa Berger with illustrations by the author.</t>
  </si>
  <si>
    <t>Berger, Arthur Asa, 1933-</t>
  </si>
  <si>
    <t>Lanham : Rowman &amp; Littlefield Publishers, ©2006.</t>
  </si>
  <si>
    <t>796415207:eng</t>
  </si>
  <si>
    <t>62281534</t>
  </si>
  <si>
    <t>ocm62281534</t>
  </si>
  <si>
    <t>31026326159</t>
  </si>
  <si>
    <t>9780742541078</t>
  </si>
  <si>
    <t>794103344</t>
  </si>
  <si>
    <t>P90 B413 1995</t>
  </si>
  <si>
    <t>0                      P  0090000B  413         1995</t>
  </si>
  <si>
    <t>Essentials of mass communication theory / Arthur Asa Berger.</t>
  </si>
  <si>
    <t>Thousand Oaks : Sage Publications, ©1995.</t>
  </si>
  <si>
    <t>2015-08-14</t>
  </si>
  <si>
    <t>33742662:eng</t>
  </si>
  <si>
    <t>32203810</t>
  </si>
  <si>
    <t>ocm32203810</t>
  </si>
  <si>
    <t>3102731599V</t>
  </si>
  <si>
    <t>9780803973565</t>
  </si>
  <si>
    <t>793378112</t>
  </si>
  <si>
    <t>P90 B42</t>
  </si>
  <si>
    <t>0                      P  0090000B  42</t>
  </si>
  <si>
    <t>The process of communication; an introduction to theory and practice.</t>
  </si>
  <si>
    <t>Berlo, David K., 1929-1996.</t>
  </si>
  <si>
    <t>New York, Holt, Rinehart and Winston [1960]</t>
  </si>
  <si>
    <t>2015-03-03</t>
  </si>
  <si>
    <t>3901269929:eng</t>
  </si>
  <si>
    <t>231993</t>
  </si>
  <si>
    <t>ocm00231993</t>
  </si>
  <si>
    <t>3102731594V</t>
  </si>
  <si>
    <t>9780030074905</t>
  </si>
  <si>
    <t>791302444</t>
  </si>
  <si>
    <t>P90 B43 2013</t>
  </si>
  <si>
    <t>0                      P  0090000B  43          2013</t>
  </si>
  <si>
    <t>Masters of the word : how media shaped history from the alphabet to the Internet / William J. Bernstein.</t>
  </si>
  <si>
    <t>Bernstein, William J.</t>
  </si>
  <si>
    <t>New York, NY : Grove Press, an imprint of Grove/Atlantic, [2013]</t>
  </si>
  <si>
    <t>2016-06-28</t>
  </si>
  <si>
    <t>1403215568:eng</t>
  </si>
  <si>
    <t>820531290</t>
  </si>
  <si>
    <t>ocn820531290</t>
  </si>
  <si>
    <t>3103498939L</t>
  </si>
  <si>
    <t>9780802121387</t>
  </si>
  <si>
    <t>794935454</t>
  </si>
  <si>
    <t>P90 B638 1999</t>
  </si>
  <si>
    <t>0                      P  0090000B  638         1999</t>
  </si>
  <si>
    <t>Holding on to reality : the nature of information at the turn of the millennium / Albert Borgmann.</t>
  </si>
  <si>
    <t>Borgmann, Albert.</t>
  </si>
  <si>
    <t>Chicago : University of Chicago Press, 1999.</t>
  </si>
  <si>
    <t>794186634:eng</t>
  </si>
  <si>
    <t>39714053</t>
  </si>
  <si>
    <t>ocm39714053</t>
  </si>
  <si>
    <t>31027578300</t>
  </si>
  <si>
    <t>9780226066257</t>
  </si>
  <si>
    <t>793551629</t>
  </si>
  <si>
    <t>P90 B695 2009</t>
  </si>
  <si>
    <t>0                      P  0090000B  695         2009</t>
  </si>
  <si>
    <t>A social history of the media : from Gutenberg to the Internet / Asa Briggs and Peter Burke.</t>
  </si>
  <si>
    <t>Briggs, Asa, 1921-2016, author.</t>
  </si>
  <si>
    <t>Cambridge, UK ; Malden, MA : Polity, 2009.</t>
  </si>
  <si>
    <t>2019-05-25</t>
  </si>
  <si>
    <t>56687351:eng</t>
  </si>
  <si>
    <t>427611115</t>
  </si>
  <si>
    <t>ocn427611115</t>
  </si>
  <si>
    <t>3103128717A</t>
  </si>
  <si>
    <t>9780745644943</t>
  </si>
  <si>
    <t>794693280</t>
  </si>
  <si>
    <t>P90 B725 2002</t>
  </si>
  <si>
    <t>0                      P  0090000B  725         2002</t>
  </si>
  <si>
    <t>L'explosion de la communication à l'aube de XXIe siècle / Philippe Breton et Serge Proulx.</t>
  </si>
  <si>
    <t>Breton, Philippe, 1951-</t>
  </si>
  <si>
    <t>Montréal : Boréal, c2002.</t>
  </si>
  <si>
    <t>Nouv. éd. ent. ref.</t>
  </si>
  <si>
    <t>9849484080:fre</t>
  </si>
  <si>
    <t>50622610</t>
  </si>
  <si>
    <t>ocm50622610</t>
  </si>
  <si>
    <t>31027316215</t>
  </si>
  <si>
    <t>9782764602171</t>
  </si>
  <si>
    <t>793769070</t>
  </si>
  <si>
    <t>P90 B725 2006</t>
  </si>
  <si>
    <t>0                      P  0090000B  725         2006</t>
  </si>
  <si>
    <t>L'explosion de la communication à l'aube du XXIe siècle / Philippe Breton et Serge Proulx.</t>
  </si>
  <si>
    <t>Montréal : Boréal, 2006.</t>
  </si>
  <si>
    <t>Boréal compact ; 29</t>
  </si>
  <si>
    <t>4820422496:fre</t>
  </si>
  <si>
    <t>64503583</t>
  </si>
  <si>
    <t>ocm64503583</t>
  </si>
  <si>
    <t>31025338155</t>
  </si>
  <si>
    <t>9782764604595</t>
  </si>
  <si>
    <t>794129750</t>
  </si>
  <si>
    <t>P90 C3 1960</t>
  </si>
  <si>
    <t>0                      P  0090000C  3           1960</t>
  </si>
  <si>
    <t>Explorations in communication, an anthology. Edited by Edmund Carpenter and Marshall McLuhan.</t>
  </si>
  <si>
    <t>Carpenter, Edmund, 1922-2011, editor.</t>
  </si>
  <si>
    <t>Boston, Beacon Press [1960]</t>
  </si>
  <si>
    <t>Beacon series in contemporary communications</t>
  </si>
  <si>
    <t>2017-01-12</t>
  </si>
  <si>
    <t>4820445467:eng</t>
  </si>
  <si>
    <t>710713</t>
  </si>
  <si>
    <t>ocm00710713</t>
  </si>
  <si>
    <t>3000169664A</t>
  </si>
  <si>
    <t>791452039</t>
  </si>
  <si>
    <t>P90 C3 1966</t>
  </si>
  <si>
    <t>0                      P  0090000C  3           1966</t>
  </si>
  <si>
    <t>Explorations in communication, an anthology.</t>
  </si>
  <si>
    <t>Boston, Beacon Press [1966, ©1960]</t>
  </si>
  <si>
    <t>306700</t>
  </si>
  <si>
    <t>ocm00306700</t>
  </si>
  <si>
    <t>3000375079L</t>
  </si>
  <si>
    <t>9780807061916</t>
  </si>
  <si>
    <t>791330897</t>
  </si>
  <si>
    <t>2018-05-22</t>
  </si>
  <si>
    <t>31027316421</t>
  </si>
  <si>
    <t>791330901</t>
  </si>
  <si>
    <t>30010114758</t>
  </si>
  <si>
    <t>791330899</t>
  </si>
  <si>
    <t>31027316373</t>
  </si>
  <si>
    <t>791330898</t>
  </si>
  <si>
    <t>2010-07-29</t>
  </si>
  <si>
    <t>31027316323</t>
  </si>
  <si>
    <t>791330900</t>
  </si>
  <si>
    <t>P90 C625 mod. 9</t>
  </si>
  <si>
    <t>0                      P  0090000C  625                                                     mod. 9</t>
  </si>
  <si>
    <t>Print media / by Marianne Lafon and Alexandra McHugh.</t>
  </si>
  <si>
    <t>Lafon, Marianne.</t>
  </si>
  <si>
    <t>[Montreal] : McGill University, English Dept., 1973.</t>
  </si>
  <si>
    <t>[Communication, literature and society ; mod. 9]</t>
  </si>
  <si>
    <t>2015-04-24</t>
  </si>
  <si>
    <t>46113162:eng</t>
  </si>
  <si>
    <t>61535953</t>
  </si>
  <si>
    <t>ocm61535953</t>
  </si>
  <si>
    <t>31027316461</t>
  </si>
  <si>
    <t>793967258</t>
  </si>
  <si>
    <t>- Schulich Section 1 - By Request</t>
  </si>
  <si>
    <t>P90 C627 1972</t>
  </si>
  <si>
    <t>0                      P  0090000C  627         1972</t>
  </si>
  <si>
    <t>Communication.</t>
  </si>
  <si>
    <t>San Francisco, W.H. Freeman [1972]</t>
  </si>
  <si>
    <t>2019-08-21</t>
  </si>
  <si>
    <t>5613999560:eng</t>
  </si>
  <si>
    <t>481258</t>
  </si>
  <si>
    <t>ocm00481258</t>
  </si>
  <si>
    <t>3000042734W</t>
  </si>
  <si>
    <t>9780716708667</t>
  </si>
  <si>
    <t>791389090</t>
  </si>
  <si>
    <t>31027317086</t>
  </si>
  <si>
    <t>791389089</t>
  </si>
  <si>
    <t>P90 C6292 2006</t>
  </si>
  <si>
    <t>0                      P  0090000C  6292        2006</t>
  </si>
  <si>
    <t>Communication as-- : perspectives on theory / edited by Gregory J. Shepherd, Jeffrey St. John, Ted Striphas.</t>
  </si>
  <si>
    <t>Thousand Oaks, Calif. : Sage Publications, ©2006.</t>
  </si>
  <si>
    <t>2016-06-17</t>
  </si>
  <si>
    <t>796377409:eng</t>
  </si>
  <si>
    <t>57531461</t>
  </si>
  <si>
    <t>ocm57531461</t>
  </si>
  <si>
    <t>31035844922</t>
  </si>
  <si>
    <t>9781412906579</t>
  </si>
  <si>
    <t>793914938</t>
  </si>
  <si>
    <t>3102580186$</t>
  </si>
  <si>
    <t>793914937</t>
  </si>
  <si>
    <t>P90 C62945 2003</t>
  </si>
  <si>
    <t>0                      P  0090000C  62945       2003</t>
  </si>
  <si>
    <t>Communication in history : technology, culture, society / [edited by] David Crowley, Paul Heyer.</t>
  </si>
  <si>
    <t>Boston : Allyn and Bacon, ©2003.</t>
  </si>
  <si>
    <t>2015-03-30</t>
  </si>
  <si>
    <t>796448746:eng</t>
  </si>
  <si>
    <t>49664449</t>
  </si>
  <si>
    <t>ocm49664449</t>
  </si>
  <si>
    <t>31025083527</t>
  </si>
  <si>
    <t>9780321088055</t>
  </si>
  <si>
    <t>793745151</t>
  </si>
  <si>
    <t>P90 C62945 2007</t>
  </si>
  <si>
    <t>0                      P  0090000C  62945       2007</t>
  </si>
  <si>
    <t>Boston : Pearson Allyn &amp; Bacon, ©2007.</t>
  </si>
  <si>
    <t>2014-01-08</t>
  </si>
  <si>
    <t>2018-02-05</t>
  </si>
  <si>
    <t>64585900</t>
  </si>
  <si>
    <t>ocm64585900</t>
  </si>
  <si>
    <t>3103070456O</t>
  </si>
  <si>
    <t>9780205483884</t>
  </si>
  <si>
    <t>794130406</t>
  </si>
  <si>
    <t>3102816432U</t>
  </si>
  <si>
    <t>794130407</t>
  </si>
  <si>
    <t>2016-09-09</t>
  </si>
  <si>
    <t>3103007747O</t>
  </si>
  <si>
    <t>794130405</t>
  </si>
  <si>
    <t>P90 C62945 2011</t>
  </si>
  <si>
    <t>0                      P  0090000C  62945       2011</t>
  </si>
  <si>
    <t>Boston, MA : Allyn &amp; Bacon/Pearson, ©2011.</t>
  </si>
  <si>
    <t>477256845</t>
  </si>
  <si>
    <t>ocn477256845</t>
  </si>
  <si>
    <t>3103437549S</t>
  </si>
  <si>
    <t>9780205693092</t>
  </si>
  <si>
    <t>794798914</t>
  </si>
  <si>
    <t>2014-05-30</t>
  </si>
  <si>
    <t>3103322440P</t>
  </si>
  <si>
    <t>794798915</t>
  </si>
  <si>
    <t>P90 C6297 2012</t>
  </si>
  <si>
    <t>0                      P  0090000C  6297        2012</t>
  </si>
  <si>
    <t>Communication, new media and everyday life / Tony Chalkley [and others].</t>
  </si>
  <si>
    <t>Melbourne : Oxford University Press, 2012.</t>
  </si>
  <si>
    <t>2012-10-22</t>
  </si>
  <si>
    <t>791370214:eng</t>
  </si>
  <si>
    <t>769191353</t>
  </si>
  <si>
    <t>ocn769191353</t>
  </si>
  <si>
    <t>3103428827O</t>
  </si>
  <si>
    <t>9780195572322</t>
  </si>
  <si>
    <t>794903132</t>
  </si>
  <si>
    <t>P90 C6327 2010</t>
  </si>
  <si>
    <t>0                      P  0090000C  6327        2010</t>
  </si>
  <si>
    <t>Communication theory / edited by Peter J. Schulz.</t>
  </si>
  <si>
    <t>London ; Los Angeles, Calif. : SAGE, 2010.</t>
  </si>
  <si>
    <t>SAGE benchmarks in communication</t>
  </si>
  <si>
    <t>2015-08-25</t>
  </si>
  <si>
    <t>9415701821:eng</t>
  </si>
  <si>
    <t>618984533</t>
  </si>
  <si>
    <t>ocn618984533</t>
  </si>
  <si>
    <t>31034317733</t>
  </si>
  <si>
    <t>9781848601130</t>
  </si>
  <si>
    <t>794823259</t>
  </si>
  <si>
    <t>2015-07-22</t>
  </si>
  <si>
    <t>31034317713</t>
  </si>
  <si>
    <t>794823261</t>
  </si>
  <si>
    <t>31034317723</t>
  </si>
  <si>
    <t>794823260</t>
  </si>
  <si>
    <t>31034317703</t>
  </si>
  <si>
    <t>794823262</t>
  </si>
  <si>
    <t>P90 C6334 1989</t>
  </si>
  <si>
    <t>0                      P  0090000C  6334        1989</t>
  </si>
  <si>
    <t>Communication studies : an introductory reader / edited by John Corner and Jeremy Hawthorn.</t>
  </si>
  <si>
    <t>London ; New York : Edward Arnold ; New York, NY : Distributed in the USA by Routledge, Chapman, and Hall, 1989.</t>
  </si>
  <si>
    <t>836656551:eng</t>
  </si>
  <si>
    <t>25025532</t>
  </si>
  <si>
    <t>ocm25025532</t>
  </si>
  <si>
    <t>31027317144</t>
  </si>
  <si>
    <t>9780340500897</t>
  </si>
  <si>
    <t>793210235</t>
  </si>
  <si>
    <t>P90 C63357 1996</t>
  </si>
  <si>
    <t>0                      P  0090000C  63357       1996</t>
  </si>
  <si>
    <t>The communication theory reader / edited by Paul Cobley.</t>
  </si>
  <si>
    <t>London ; New York : Routledge, 1996.</t>
  </si>
  <si>
    <t>2019-07-17</t>
  </si>
  <si>
    <t>56062429:eng</t>
  </si>
  <si>
    <t>34553534</t>
  </si>
  <si>
    <t>ocm34553534</t>
  </si>
  <si>
    <t>31027317046</t>
  </si>
  <si>
    <t>9780415147163</t>
  </si>
  <si>
    <t>793429779</t>
  </si>
  <si>
    <t>P90 C63364 1998</t>
  </si>
  <si>
    <t>0                      P  0090000C  63364       1998</t>
  </si>
  <si>
    <t>Communication : views from the helm for the 21st century / Judith S. Trent, editor.</t>
  </si>
  <si>
    <t>Boston : Allyn and Bacon, ©1998.</t>
  </si>
  <si>
    <t>2015-04-08</t>
  </si>
  <si>
    <t>42478791:eng</t>
  </si>
  <si>
    <t>38092136</t>
  </si>
  <si>
    <t>ocm38092136</t>
  </si>
  <si>
    <t>3102731699S</t>
  </si>
  <si>
    <t>9780205281671</t>
  </si>
  <si>
    <t>793515035</t>
  </si>
  <si>
    <t>P90 C65 2013</t>
  </si>
  <si>
    <t>0                      P  0090000C  65          2013</t>
  </si>
  <si>
    <t>Communication et grands projets : les nouveaux défis / sous la direction de Valérie Lehmann et Bernard Motulsky en collaboration avec Valérie Colomb.</t>
  </si>
  <si>
    <t>Québec, Québec : Presses de l'Université du Québec, [2013]</t>
  </si>
  <si>
    <t>1185642805:fre</t>
  </si>
  <si>
    <t>820618249</t>
  </si>
  <si>
    <t>ocn820618249</t>
  </si>
  <si>
    <t>31034039734</t>
  </si>
  <si>
    <t>9782760536760</t>
  </si>
  <si>
    <t>794935525</t>
  </si>
  <si>
    <t>P90 C66 2010</t>
  </si>
  <si>
    <t>0                      P  0090000C  66          2010</t>
  </si>
  <si>
    <t>Constructing charisma : celebrity, fame, and power in nineteenth-century Europe / edited by Edward Berenson and Eva Giloi.</t>
  </si>
  <si>
    <t>New York : Berghahn Books, 2010.</t>
  </si>
  <si>
    <t>866535455:eng</t>
  </si>
  <si>
    <t>555673125</t>
  </si>
  <si>
    <t>ocn555673125</t>
  </si>
  <si>
    <t>31032291736</t>
  </si>
  <si>
    <t>9781845456948</t>
  </si>
  <si>
    <t>794812230</t>
  </si>
  <si>
    <t>P90 C683 2014</t>
  </si>
  <si>
    <t>0                      P  0090000C  683         2014</t>
  </si>
  <si>
    <t>The coordinated management of meaning : a festschrift in honor of W. Barnett Pearce / edited by Stephen W. Littlejohn and Sheila McNamee.</t>
  </si>
  <si>
    <t>Madison : Fairleigh Dickinson University Press, [2014]</t>
  </si>
  <si>
    <t>The Fairleigh Dickinson university press series in communication studies</t>
  </si>
  <si>
    <t>2016-04-15</t>
  </si>
  <si>
    <t>1364782666:eng</t>
  </si>
  <si>
    <t>851417629</t>
  </si>
  <si>
    <t>ocn851417629</t>
  </si>
  <si>
    <t>3103505535A</t>
  </si>
  <si>
    <t>9781611475265</t>
  </si>
  <si>
    <t>794950857</t>
  </si>
  <si>
    <t>P90 C87 2002</t>
  </si>
  <si>
    <t>0                      P  0090000C  87          2002</t>
  </si>
  <si>
    <t>Media and power / James Curran.</t>
  </si>
  <si>
    <t>Curran, James.</t>
  </si>
  <si>
    <t>Communication and society</t>
  </si>
  <si>
    <t>1012369:eng</t>
  </si>
  <si>
    <t>49594683</t>
  </si>
  <si>
    <t>ocm49594683</t>
  </si>
  <si>
    <t>3102731680U</t>
  </si>
  <si>
    <t>9780415077392</t>
  </si>
  <si>
    <t>793743711</t>
  </si>
  <si>
    <t>P90 D245 2011</t>
  </si>
  <si>
    <t>0                      P  0090000D  245         2011</t>
  </si>
  <si>
    <t>Applying communication theory for professional life : a practical introduction / Marianne Dainton, Elaine Zelley.</t>
  </si>
  <si>
    <t>Dainton, Marianne.</t>
  </si>
  <si>
    <t>Thousand Oaks, Calif. : SAGE Publications, ©2011.</t>
  </si>
  <si>
    <t>755636:eng</t>
  </si>
  <si>
    <t>456170121</t>
  </si>
  <si>
    <t>ocn456170121</t>
  </si>
  <si>
    <t>3103312410$</t>
  </si>
  <si>
    <t>9781412976916</t>
  </si>
  <si>
    <t>794788395</t>
  </si>
  <si>
    <t>P90 D466 2003</t>
  </si>
  <si>
    <t>0                      P  0090000D  466         2003</t>
  </si>
  <si>
    <t>Sense-making methodology reader : selected writings of Brenda Dervin / edited by Brenda Dervin, Lois Foreman-Wernet ; with Eric Lauterbach.</t>
  </si>
  <si>
    <t>Dervin, Brenda.</t>
  </si>
  <si>
    <t>Cresskill, N.J. : Hampton Press, ©2003.</t>
  </si>
  <si>
    <t>836148488:eng</t>
  </si>
  <si>
    <t>51871729</t>
  </si>
  <si>
    <t>ocm51871729</t>
  </si>
  <si>
    <t>31026342477</t>
  </si>
  <si>
    <t>9781572735088</t>
  </si>
  <si>
    <t>793793183</t>
  </si>
  <si>
    <t>P90 D467 2012</t>
  </si>
  <si>
    <t>0                      P  0090000D  467         2012</t>
  </si>
  <si>
    <t>Media life / Mark Deuze.</t>
  </si>
  <si>
    <t>Deuze, Mark, author.</t>
  </si>
  <si>
    <t>Cambridge, UK ; Malden, MA : Polity Press, 2012.</t>
  </si>
  <si>
    <t>Digital media and society</t>
  </si>
  <si>
    <t>2017-04-10</t>
  </si>
  <si>
    <t>836166911:eng</t>
  </si>
  <si>
    <t>707962928</t>
  </si>
  <si>
    <t>ocn707962928</t>
  </si>
  <si>
    <t>3103432064M</t>
  </si>
  <si>
    <t>9780745650005</t>
  </si>
  <si>
    <t>794868385</t>
  </si>
  <si>
    <t>P90 D483 2008</t>
  </si>
  <si>
    <t>0                      P  0090000D  483         2008</t>
  </si>
  <si>
    <t>Essentials of human communication / Joseph A. DeVito.</t>
  </si>
  <si>
    <t>DeVito, Joseph A.</t>
  </si>
  <si>
    <t>Boston : Allyn and Bacon, ©2008.</t>
  </si>
  <si>
    <t>2016-08-22</t>
  </si>
  <si>
    <t>325934:eng</t>
  </si>
  <si>
    <t>122956321</t>
  </si>
  <si>
    <t>ocn122956321</t>
  </si>
  <si>
    <t>3103100509N</t>
  </si>
  <si>
    <t>9780205491469</t>
  </si>
  <si>
    <t>794221857</t>
  </si>
  <si>
    <t>3103032010J</t>
  </si>
  <si>
    <t>794221856</t>
  </si>
  <si>
    <t>P90 E23 1999</t>
  </si>
  <si>
    <t>0                      P  0090000E  23          1999</t>
  </si>
  <si>
    <t>East and West : modes of communication : proceedings of the first plenary conference at Merida / edited by Evangelos Chrysos and Ian Wood.</t>
  </si>
  <si>
    <t>Leiden ; Boston : Brill, 1999.</t>
  </si>
  <si>
    <t>Transformation of the Roman world, 1386-4165 ; v. 5</t>
  </si>
  <si>
    <t>807375509:eng</t>
  </si>
  <si>
    <t>43114946</t>
  </si>
  <si>
    <t>ocm43114946</t>
  </si>
  <si>
    <t>3102731752X</t>
  </si>
  <si>
    <t>9789004109292</t>
  </si>
  <si>
    <t>793620446</t>
  </si>
  <si>
    <t>P90 E685 2013</t>
  </si>
  <si>
    <t>0                      P  0090000E  685         2013</t>
  </si>
  <si>
    <t>Digital memory and the archive / Wolfgang Ernst ; edited and with an introduction by Jussi Parikka.</t>
  </si>
  <si>
    <t>Ernst, Wolfgang.</t>
  </si>
  <si>
    <t>Minneapolis : University of Minnesota Press, ©2013.</t>
  </si>
  <si>
    <t>Electronic mediations ; v. 39</t>
  </si>
  <si>
    <t>2018-05-29</t>
  </si>
  <si>
    <t>1212414501:eng</t>
  </si>
  <si>
    <t>788269737</t>
  </si>
  <si>
    <t>ocn788269737</t>
  </si>
  <si>
    <t>31034705185</t>
  </si>
  <si>
    <t>9780816677665</t>
  </si>
  <si>
    <t>794916299</t>
  </si>
  <si>
    <t>P90 F26 1997</t>
  </si>
  <si>
    <t>0                      P  0090000F  26          1997</t>
  </si>
  <si>
    <t>A history of mass communication : six information revolutions / Irving Fang.</t>
  </si>
  <si>
    <t>Fang, Irving E.</t>
  </si>
  <si>
    <t>Boston : Focal Press, ©1997.</t>
  </si>
  <si>
    <t>365625733:eng</t>
  </si>
  <si>
    <t>35637521</t>
  </si>
  <si>
    <t>ocm35637521</t>
  </si>
  <si>
    <t>31027317380</t>
  </si>
  <si>
    <t>9780240802541</t>
  </si>
  <si>
    <t>793453803</t>
  </si>
  <si>
    <t>P90 F3x</t>
  </si>
  <si>
    <t>0                      P  0090000F  3x</t>
  </si>
  <si>
    <t>Histoire de la communication.</t>
  </si>
  <si>
    <t>Fabre, Maurice.</t>
  </si>
  <si>
    <t>[Lausanne], [Éditions Rencontre], [1963]</t>
  </si>
  <si>
    <t>La Science illustrée, v. 9</t>
  </si>
  <si>
    <t>5344982:fre</t>
  </si>
  <si>
    <t>12850854</t>
  </si>
  <si>
    <t>ocm12850854</t>
  </si>
  <si>
    <t>31027317330</t>
  </si>
  <si>
    <t>792830625</t>
  </si>
  <si>
    <t>P90 F5514x</t>
  </si>
  <si>
    <t>0                      P  0090000F  5514x</t>
  </si>
  <si>
    <t>La force du quotidien / Vilem Flusser.; Traduit de l'anglais par Jean Mesrie et Barbara Niceall. Illustré par Gordon Swann.</t>
  </si>
  <si>
    <t>Flusser, Vilém, 1920-1991.</t>
  </si>
  <si>
    <t>[Montréal] : H.M.H., 1973.</t>
  </si>
  <si>
    <t>Collection Aujourd'hui</t>
  </si>
  <si>
    <t>365103652:fre</t>
  </si>
  <si>
    <t>427310811</t>
  </si>
  <si>
    <t>ocn427310811</t>
  </si>
  <si>
    <t>30009755584</t>
  </si>
  <si>
    <t>9782250005653</t>
  </si>
  <si>
    <t>794581101</t>
  </si>
  <si>
    <t>P90 F58 1990</t>
  </si>
  <si>
    <t>0                      P  0090000F  58          1990</t>
  </si>
  <si>
    <t>Introduction to communication studies / John Fiske.</t>
  </si>
  <si>
    <t>Fiske, John.</t>
  </si>
  <si>
    <t>Studies in culture and communication</t>
  </si>
  <si>
    <t>2018-07-04</t>
  </si>
  <si>
    <t>1012256:eng</t>
  </si>
  <si>
    <t>20420742</t>
  </si>
  <si>
    <t>ocm20420742</t>
  </si>
  <si>
    <t>3102731754X</t>
  </si>
  <si>
    <t>9780415046718</t>
  </si>
  <si>
    <t>793087406</t>
  </si>
  <si>
    <t>P90 G4776 2006</t>
  </si>
  <si>
    <t>0                      P  0090000G  4776        2006</t>
  </si>
  <si>
    <t>Always already new : media, history and the data of culture / Lisa Gitelman.</t>
  </si>
  <si>
    <t>Gitelman, Lisa.</t>
  </si>
  <si>
    <t>Cambridge, Mass. : MIT Press, ©2006.</t>
  </si>
  <si>
    <t>2017-12-15</t>
  </si>
  <si>
    <t>794133776:eng</t>
  </si>
  <si>
    <t>62766731</t>
  </si>
  <si>
    <t>ocm62766731</t>
  </si>
  <si>
    <t>3102587866S</t>
  </si>
  <si>
    <t>9780262072717</t>
  </si>
  <si>
    <t>794112418</t>
  </si>
  <si>
    <t>P90 G4778 2001</t>
  </si>
  <si>
    <t>0                      P  0090000G  4778        2001</t>
  </si>
  <si>
    <t>Media unlimited : how the torrent of images and sounds overwhelms our lives / Todd Gitlin.</t>
  </si>
  <si>
    <t>Gitlin, Todd.</t>
  </si>
  <si>
    <t>New York : Metropolitan Books, 2001.</t>
  </si>
  <si>
    <t>2753379:eng</t>
  </si>
  <si>
    <t>47894375</t>
  </si>
  <si>
    <t>ocm47894375</t>
  </si>
  <si>
    <t>31028046242</t>
  </si>
  <si>
    <t>9780805048988</t>
  </si>
  <si>
    <t>793710467</t>
  </si>
  <si>
    <t>P90 G57</t>
  </si>
  <si>
    <t>0                      P  0090000G  57</t>
  </si>
  <si>
    <t>Communications and media : constructing a cross-discipline / by George N. Gordon.</t>
  </si>
  <si>
    <t>Gordon, George N.</t>
  </si>
  <si>
    <t>New York : Hastings House, [1975]</t>
  </si>
  <si>
    <t>Humanistic studies in the communication arts</t>
  </si>
  <si>
    <t>908776021:eng</t>
  </si>
  <si>
    <t>1176700</t>
  </si>
  <si>
    <t>ocm01176700</t>
  </si>
  <si>
    <t>3102731750X</t>
  </si>
  <si>
    <t>9780803811980</t>
  </si>
  <si>
    <t>791565775</t>
  </si>
  <si>
    <t>P90 G577 2009</t>
  </si>
  <si>
    <t>0                      P  0090000G  577         2009</t>
  </si>
  <si>
    <t>Media and society into the 21st century : a historical introduction / Lyn Gorman and David McLean.</t>
  </si>
  <si>
    <t>Gorman, Lyn.</t>
  </si>
  <si>
    <t>Chichester, UK ; Malden, MA : Wiley-Blackwell, 2009.</t>
  </si>
  <si>
    <t>2016-07-10</t>
  </si>
  <si>
    <t>2564827486:eng</t>
  </si>
  <si>
    <t>246887627</t>
  </si>
  <si>
    <t>ocn246887627</t>
  </si>
  <si>
    <t>3103062221X</t>
  </si>
  <si>
    <t>9781405149358</t>
  </si>
  <si>
    <t>794383730</t>
  </si>
  <si>
    <t>P90 H2933 2013</t>
  </si>
  <si>
    <t>0                      P  0090000H  2933        2013</t>
  </si>
  <si>
    <t>Handbook of communication history / edited by Peter Simonson [and others].</t>
  </si>
  <si>
    <t>New York : Routledge, 2013.</t>
  </si>
  <si>
    <t>International Communication Association (ICA) handbook series</t>
  </si>
  <si>
    <t>2016-08-23</t>
  </si>
  <si>
    <t>1137367709:eng</t>
  </si>
  <si>
    <t>764307324</t>
  </si>
  <si>
    <t>ocn764307324</t>
  </si>
  <si>
    <t>3103471763M</t>
  </si>
  <si>
    <t>9780415892599</t>
  </si>
  <si>
    <t>794900295</t>
  </si>
  <si>
    <t>P90 H294 2010</t>
  </si>
  <si>
    <t>0                      P  0090000H  294         2010</t>
  </si>
  <si>
    <t>The handbook of communication science / edited by Charles R. Berger, Michael E. Roloff, David R. Roskos-Ewoldsen.</t>
  </si>
  <si>
    <t>Los Angeles : Sage, ©2010.</t>
  </si>
  <si>
    <t>4924073286:eng</t>
  </si>
  <si>
    <t>262887674</t>
  </si>
  <si>
    <t>ocn262887674</t>
  </si>
  <si>
    <t>3103079687D</t>
  </si>
  <si>
    <t>9781412918138</t>
  </si>
  <si>
    <t>794402554</t>
  </si>
  <si>
    <t>P90 H35 1997</t>
  </si>
  <si>
    <t>0                      P  0090000H  35          1997</t>
  </si>
  <si>
    <t>Communication across cultures : translation theory and contrastive text linguistics / Basil Hatim.</t>
  </si>
  <si>
    <t>Hatim, B. (Basil), 1947- author.</t>
  </si>
  <si>
    <t>Exeter linguistic studies</t>
  </si>
  <si>
    <t>2017-04-20</t>
  </si>
  <si>
    <t>197894646:eng</t>
  </si>
  <si>
    <t>37026236</t>
  </si>
  <si>
    <t>ocm37026236</t>
  </si>
  <si>
    <t>3102731746Z</t>
  </si>
  <si>
    <t>9780859894906</t>
  </si>
  <si>
    <t>793490235</t>
  </si>
  <si>
    <t>P90 H38 1986</t>
  </si>
  <si>
    <t>0                      P  0090000H  38          1986</t>
  </si>
  <si>
    <t>The muse learns to write : reflections on orality and literacy from antiquity to the present / Eric A. Havelock.</t>
  </si>
  <si>
    <t>Havelock, Eric Alfred.</t>
  </si>
  <si>
    <t>New Haven : Yale University Press, ©1986.</t>
  </si>
  <si>
    <t>2019-04-19</t>
  </si>
  <si>
    <t>836632987:eng</t>
  </si>
  <si>
    <t>13426478</t>
  </si>
  <si>
    <t>ocm13426478</t>
  </si>
  <si>
    <t>3102731741Z</t>
  </si>
  <si>
    <t>9780300037418</t>
  </si>
  <si>
    <t>792853078</t>
  </si>
  <si>
    <t>P90 H87</t>
  </si>
  <si>
    <t>0                      P  0090000H  87</t>
  </si>
  <si>
    <t>Interpersonal communication in organizations : a perceptual approach / Richard C. Huseman, James M. Lahiff, John D. Hatfield.</t>
  </si>
  <si>
    <t>Huseman, Richard C.</t>
  </si>
  <si>
    <t>Boston : Holbrook Press, ©1976.</t>
  </si>
  <si>
    <t>2018-08-31</t>
  </si>
  <si>
    <t>2463512:eng</t>
  </si>
  <si>
    <t>1582843</t>
  </si>
  <si>
    <t>ocm01582843</t>
  </si>
  <si>
    <t>3102731767V</t>
  </si>
  <si>
    <t>9780205048977</t>
  </si>
  <si>
    <t>791756493</t>
  </si>
  <si>
    <t>P90 I485 1990</t>
  </si>
  <si>
    <t>0                      P  0090000I  485         1990</t>
  </si>
  <si>
    <t>Media theory : an introduction / Fred Inglis.</t>
  </si>
  <si>
    <t>Inglis, Fred.</t>
  </si>
  <si>
    <t>Oxford, UK ; Cambridge, Mass., USA : B. Blackwell, 1990.</t>
  </si>
  <si>
    <t>836725295:eng</t>
  </si>
  <si>
    <t>20259203</t>
  </si>
  <si>
    <t>ocm20259203</t>
  </si>
  <si>
    <t>31027318083</t>
  </si>
  <si>
    <t>9780631159179</t>
  </si>
  <si>
    <t>793081904</t>
  </si>
  <si>
    <t>P90 I49</t>
  </si>
  <si>
    <t>0                      P  0090000I  49</t>
  </si>
  <si>
    <t>The bias of communication.</t>
  </si>
  <si>
    <t>Innis, Harold A. (Harold Adams), 1894-1952.</t>
  </si>
  <si>
    <t>[Toronto] University of Toronto Press, 1951.</t>
  </si>
  <si>
    <t>2015-04-05</t>
  </si>
  <si>
    <t>8910131511:eng</t>
  </si>
  <si>
    <t>4128437</t>
  </si>
  <si>
    <t>ocm04128437</t>
  </si>
  <si>
    <t>3102731793P</t>
  </si>
  <si>
    <t>9780802060273</t>
  </si>
  <si>
    <t>792323974</t>
  </si>
  <si>
    <t>P90 I49 1964</t>
  </si>
  <si>
    <t>0                      P  0090000I  49          1964</t>
  </si>
  <si>
    <t>The bias of communication / Harold A. Innis ; introduction by Marshall McLuhan.</t>
  </si>
  <si>
    <t>[Toronto] : University of Toronto Press, 1964, ©1951.</t>
  </si>
  <si>
    <t>Canadian university paperbooks ; 26</t>
  </si>
  <si>
    <t>2009-01-07</t>
  </si>
  <si>
    <t>2019-09-24</t>
  </si>
  <si>
    <t>5966053</t>
  </si>
  <si>
    <t>ocm05966053</t>
  </si>
  <si>
    <t>3001011526H</t>
  </si>
  <si>
    <t>9780802010407</t>
  </si>
  <si>
    <t>792466851</t>
  </si>
  <si>
    <t>3102802457A</t>
  </si>
  <si>
    <t>792466852</t>
  </si>
  <si>
    <t>P90 I49 2008</t>
  </si>
  <si>
    <t>0                      P  0090000I  49          2008</t>
  </si>
  <si>
    <t>The bias of communication / Harold A. Innis ; with a new introduction by Alexander John Watson.</t>
  </si>
  <si>
    <t>Toronto ; Buffalo, NY : University of Toronto Press, ©2008.</t>
  </si>
  <si>
    <t>2018-07-30</t>
  </si>
  <si>
    <t>227928741</t>
  </si>
  <si>
    <t>ocn227928741</t>
  </si>
  <si>
    <t>3103065364A</t>
  </si>
  <si>
    <t>9780802096067</t>
  </si>
  <si>
    <t>794348434</t>
  </si>
  <si>
    <t>2014-06-19</t>
  </si>
  <si>
    <t>3103292723S</t>
  </si>
  <si>
    <t>794348435</t>
  </si>
  <si>
    <t>P90 I5</t>
  </si>
  <si>
    <t>0                      P  0090000I  5</t>
  </si>
  <si>
    <t>Empire and communications.</t>
  </si>
  <si>
    <t>Oxford, Clarendon Press, 1950.</t>
  </si>
  <si>
    <t>1950</t>
  </si>
  <si>
    <t>Belt lectures on imperial economic history [1948]</t>
  </si>
  <si>
    <t>2015-05-13</t>
  </si>
  <si>
    <t>1428959:eng</t>
  </si>
  <si>
    <t>3227158</t>
  </si>
  <si>
    <t>ocm03227158</t>
  </si>
  <si>
    <t>3000187183O</t>
  </si>
  <si>
    <t>792232209</t>
  </si>
  <si>
    <t>3102731783R</t>
  </si>
  <si>
    <t>792232208</t>
  </si>
  <si>
    <t>P90 I5 2007</t>
  </si>
  <si>
    <t>0                      P  0090000I  5           2007</t>
  </si>
  <si>
    <t>Empire and communications / Harold A. Innis ; general introduction by Alexander John Watson.</t>
  </si>
  <si>
    <t>Lanham, Md. : Rowman &amp; Littlefield, ©2007.</t>
  </si>
  <si>
    <t>Rowman &amp; Littlefield ed.</t>
  </si>
  <si>
    <t>Critical media studies</t>
  </si>
  <si>
    <t>78893263</t>
  </si>
  <si>
    <t>ocm78893263</t>
  </si>
  <si>
    <t>3102597690N</t>
  </si>
  <si>
    <t>9780742555082</t>
  </si>
  <si>
    <t>794196404</t>
  </si>
  <si>
    <t>P90 I55 1948</t>
  </si>
  <si>
    <t>0                      P  0090000I  55          1948</t>
  </si>
  <si>
    <t>Minerva's owl.</t>
  </si>
  <si>
    <t>Toronto University Press 1948.</t>
  </si>
  <si>
    <t>1948</t>
  </si>
  <si>
    <t>2017-12-10</t>
  </si>
  <si>
    <t>10775506:eng</t>
  </si>
  <si>
    <t>271431176</t>
  </si>
  <si>
    <t>ocn271431176</t>
  </si>
  <si>
    <t>31027318043</t>
  </si>
  <si>
    <t>794414302</t>
  </si>
  <si>
    <t>3102731799P</t>
  </si>
  <si>
    <t>794414301</t>
  </si>
  <si>
    <t>P90 I59 2011</t>
  </si>
  <si>
    <t>0                      P  0090000I  59          2011</t>
  </si>
  <si>
    <t>Intersections of media and communications : concepts and critical frameworks / edited by Will Straw, Sandra Gabriele, Ira Wagman.</t>
  </si>
  <si>
    <t>Toronto : Emond Montgomery Publications, 2011.</t>
  </si>
  <si>
    <t>2018-10-02</t>
  </si>
  <si>
    <t>1017154900:eng</t>
  </si>
  <si>
    <t>726556277</t>
  </si>
  <si>
    <t>ocn726556277</t>
  </si>
  <si>
    <t>3103487662X</t>
  </si>
  <si>
    <t>9781552394649</t>
  </si>
  <si>
    <t>794877186</t>
  </si>
  <si>
    <t>P90 J5575 2014</t>
  </si>
  <si>
    <t>0                      P  0090000J  5575        2014</t>
  </si>
  <si>
    <t>The Johns Hopkins guide to digital media / edited by Marie-Laure Ryan, Lori Emerson, and Benjamin J. Robertson.</t>
  </si>
  <si>
    <t>Baltimore : Johns Hopkins University Press, 2014.</t>
  </si>
  <si>
    <t>2014-11-18</t>
  </si>
  <si>
    <t>2019-02-03</t>
  </si>
  <si>
    <t>1356769874:eng</t>
  </si>
  <si>
    <t>846846818</t>
  </si>
  <si>
    <t>ocn846846818</t>
  </si>
  <si>
    <t>3103532503D</t>
  </si>
  <si>
    <t>9781421412238</t>
  </si>
  <si>
    <t>794949304</t>
  </si>
  <si>
    <t>2003-07-22</t>
  </si>
  <si>
    <t>2014-10-21</t>
  </si>
  <si>
    <t>P90 K4575 2015</t>
  </si>
  <si>
    <t>0                      P  0090000K  4575        2015</t>
  </si>
  <si>
    <t>Chaos media : a sonic economy of digital space / Stephen Kennedy.</t>
  </si>
  <si>
    <t>Kennedy, Stephen.</t>
  </si>
  <si>
    <t>London ; New York : Bloomsbury Academic, 2015.</t>
  </si>
  <si>
    <t>Bloomsbury sound studies</t>
  </si>
  <si>
    <t>1391093255:eng</t>
  </si>
  <si>
    <t>890377356</t>
  </si>
  <si>
    <t>ocn890377356</t>
  </si>
  <si>
    <t>3103607479J</t>
  </si>
  <si>
    <t>9781623567064</t>
  </si>
  <si>
    <t>794979149</t>
  </si>
  <si>
    <t>P90 K557 2010</t>
  </si>
  <si>
    <t>0                      P  0090000K  557         2010</t>
  </si>
  <si>
    <t>A communication universe : manifestations of meaning, stagings of significance / Igor E. Klyukanov.</t>
  </si>
  <si>
    <t>Klyukanov, Igor.</t>
  </si>
  <si>
    <t>Lexington studies in political communication</t>
  </si>
  <si>
    <t>954851175:eng</t>
  </si>
  <si>
    <t>613311533</t>
  </si>
  <si>
    <t>ocn613311533</t>
  </si>
  <si>
    <t>3103226338K</t>
  </si>
  <si>
    <t>9780739137239</t>
  </si>
  <si>
    <t>794821862</t>
  </si>
  <si>
    <t>P90 K666 2011</t>
  </si>
  <si>
    <t>0                      P  0090000K  666         2011</t>
  </si>
  <si>
    <t>Revolutions in communication : media history from Gutenberg to the digital age / Bill Kovarik.</t>
  </si>
  <si>
    <t>Kovarik, Bill.</t>
  </si>
  <si>
    <t>New York : Continuum, ©2011.</t>
  </si>
  <si>
    <t>581735961:eng</t>
  </si>
  <si>
    <t>657602601</t>
  </si>
  <si>
    <t>ocn657602601</t>
  </si>
  <si>
    <t>3103363850O</t>
  </si>
  <si>
    <t>9781441194954</t>
  </si>
  <si>
    <t>794835589</t>
  </si>
  <si>
    <t>P90 K68 2001</t>
  </si>
  <si>
    <t>0                      P  0090000K  68          2001</t>
  </si>
  <si>
    <t>Multimodal discourse : the modes and media of contemporary communication / Gunther Kress, Theo van Leeuwen.</t>
  </si>
  <si>
    <t>Kress, Gunther R.</t>
  </si>
  <si>
    <t>London : Arnold ; New York : Oxford University Press, 2001.</t>
  </si>
  <si>
    <t>2019-09-16</t>
  </si>
  <si>
    <t>144936058:eng</t>
  </si>
  <si>
    <t>46694668</t>
  </si>
  <si>
    <t>ocm46694668</t>
  </si>
  <si>
    <t>31021707966</t>
  </si>
  <si>
    <t>9780340662922</t>
  </si>
  <si>
    <t>793689777</t>
  </si>
  <si>
    <t>P90 L38 2009</t>
  </si>
  <si>
    <t>0                      P  0090000L  38          2009</t>
  </si>
  <si>
    <t>Media studies : theories and approaches / Dan Laughey.</t>
  </si>
  <si>
    <t>Laughey, Dan.</t>
  </si>
  <si>
    <t>Harpenden [England] : Kamera Books, 2009.</t>
  </si>
  <si>
    <t>2019-03-05</t>
  </si>
  <si>
    <t>867584504:eng</t>
  </si>
  <si>
    <t>456182996</t>
  </si>
  <si>
    <t>ocn456182996</t>
  </si>
  <si>
    <t>3102860605T</t>
  </si>
  <si>
    <t>9781842433249</t>
  </si>
  <si>
    <t>794788623</t>
  </si>
  <si>
    <t>P90 L413 1999</t>
  </si>
  <si>
    <t>0                      P  0090000L  413         1999</t>
  </si>
  <si>
    <t>Digital McLuhan : a guide to the information millennium / Paul Levinson.</t>
  </si>
  <si>
    <t>Levinson, Paul, author.</t>
  </si>
  <si>
    <t>New York : Routledge, 1999.</t>
  </si>
  <si>
    <t>2015-11-05</t>
  </si>
  <si>
    <t>836988640:eng</t>
  </si>
  <si>
    <t>39763899</t>
  </si>
  <si>
    <t>ocm39763899</t>
  </si>
  <si>
    <t>3102731796P</t>
  </si>
  <si>
    <t>9780415192514</t>
  </si>
  <si>
    <t>793552780</t>
  </si>
  <si>
    <t>P90 L44 2013</t>
  </si>
  <si>
    <t>0                      P  0090000L  44          2013</t>
  </si>
  <si>
    <t>Life without media / edited by Eva Comas, Joan Cuenca, and Klaus Zilles.</t>
  </si>
  <si>
    <t>New York : Peter Lang, [2013]</t>
  </si>
  <si>
    <t>1436817209:eng</t>
  </si>
  <si>
    <t>830992442</t>
  </si>
  <si>
    <t>ocn830992442</t>
  </si>
  <si>
    <t>3103503131U</t>
  </si>
  <si>
    <t>9781433122620</t>
  </si>
  <si>
    <t>794943772</t>
  </si>
  <si>
    <t>P90 L5845 2010</t>
  </si>
  <si>
    <t>0                      P  0090000L  5845        2010</t>
  </si>
  <si>
    <t>Understanding new media : extending Marshall McLuhan / Robert K. Logan.</t>
  </si>
  <si>
    <t>Logan, Robert K., 1939-</t>
  </si>
  <si>
    <t>New York : Peter Lang, ©2010.</t>
  </si>
  <si>
    <t>2017-03-16</t>
  </si>
  <si>
    <t>792609043:eng</t>
  </si>
  <si>
    <t>648480673</t>
  </si>
  <si>
    <t>ocn648480673</t>
  </si>
  <si>
    <t>31032366376</t>
  </si>
  <si>
    <t>9781433111273</t>
  </si>
  <si>
    <t>794831284</t>
  </si>
  <si>
    <t>P90 L5845 2016</t>
  </si>
  <si>
    <t>0                      P  0090000L  5845        2016</t>
  </si>
  <si>
    <t>Logan, Robert K., 1939- author.</t>
  </si>
  <si>
    <t>New York : Peter Lang, [2016]</t>
  </si>
  <si>
    <t>Understanding media ecology ; vol. 2</t>
  </si>
  <si>
    <t>927166011</t>
  </si>
  <si>
    <t>ocn927166011</t>
  </si>
  <si>
    <t>3103698918Y</t>
  </si>
  <si>
    <t>9781433131479</t>
  </si>
  <si>
    <t>795005730</t>
  </si>
  <si>
    <t>P90 M167 2011</t>
  </si>
  <si>
    <t>0                      P  0090000M  167         2011</t>
  </si>
  <si>
    <t>Matters of communication : political, cultural, and technological challenges to communication theorizing / edited by Timothy Kuhn.</t>
  </si>
  <si>
    <t>New York : Hampton Press, ©2011.</t>
  </si>
  <si>
    <t>The ICA conference theme book series</t>
  </si>
  <si>
    <t>869432903:eng</t>
  </si>
  <si>
    <t>713834646</t>
  </si>
  <si>
    <t>ocn713834646</t>
  </si>
  <si>
    <t>3103385258O</t>
  </si>
  <si>
    <t>9781612890289</t>
  </si>
  <si>
    <t>794873108</t>
  </si>
  <si>
    <t>P90 M256 1998</t>
  </si>
  <si>
    <t>0                      P  0090000M  256         1998</t>
  </si>
  <si>
    <t>Electric language : understanding the present / Eric McLuhan.</t>
  </si>
  <si>
    <t>McLuhan, Eric.</t>
  </si>
  <si>
    <t>Toronto, Canada : Stoddart, 1998.</t>
  </si>
  <si>
    <t>2016-05-18</t>
  </si>
  <si>
    <t>3901290524:eng</t>
  </si>
  <si>
    <t>38753690</t>
  </si>
  <si>
    <t>ocm38753690</t>
  </si>
  <si>
    <t>3102731837Y</t>
  </si>
  <si>
    <t>9780773759725</t>
  </si>
  <si>
    <t>793530176</t>
  </si>
  <si>
    <t>P90 M257 2011</t>
  </si>
  <si>
    <t>0                      P  0090000M  257         2011</t>
  </si>
  <si>
    <t>Theories of communication / Eric McLuhan and Marshall McLuhan.</t>
  </si>
  <si>
    <t>New York : Peter Lang, ©2011.</t>
  </si>
  <si>
    <t>1008877206:eng</t>
  </si>
  <si>
    <t>668990505</t>
  </si>
  <si>
    <t>ocn668990505</t>
  </si>
  <si>
    <t>3103385043W</t>
  </si>
  <si>
    <t>9781433112126</t>
  </si>
  <si>
    <t>794846649</t>
  </si>
  <si>
    <t>P90 M2577 1988</t>
  </si>
  <si>
    <t>0                      P  0090000M  2577        1988</t>
  </si>
  <si>
    <t>Laws of media : the new science / Marshall and Eric McLuhan.</t>
  </si>
  <si>
    <t>McLuhan, Marshall, 1911-1980.</t>
  </si>
  <si>
    <t>Toronto ; Buffalo : University of Toronto Press, ©1988.</t>
  </si>
  <si>
    <t>196507629:eng</t>
  </si>
  <si>
    <t>18839288</t>
  </si>
  <si>
    <t>ocm18839288</t>
  </si>
  <si>
    <t>3103026814L</t>
  </si>
  <si>
    <t>9780802057822</t>
  </si>
  <si>
    <t>793038989</t>
  </si>
  <si>
    <t>LGSS</t>
  </si>
  <si>
    <t>- Main (Mossman Collection) - Regular Loan</t>
  </si>
  <si>
    <t>31001255683</t>
  </si>
  <si>
    <t>793038988</t>
  </si>
  <si>
    <t>P90 M258</t>
  </si>
  <si>
    <t>0                      P  0090000M  258</t>
  </si>
  <si>
    <t>The medium is the massage [by] Marshall McLuhan [and] Quentin Fiore. Co-ordinated by Jerome Agel.</t>
  </si>
  <si>
    <t>New York, Random House [1967]</t>
  </si>
  <si>
    <t>2018-05-02</t>
  </si>
  <si>
    <t>2019-06-07</t>
  </si>
  <si>
    <t>167306:eng</t>
  </si>
  <si>
    <t>308404</t>
  </si>
  <si>
    <t>ocm00308404</t>
  </si>
  <si>
    <t>3102731832Y</t>
  </si>
  <si>
    <t>791331680</t>
  </si>
  <si>
    <t>3000999583A</t>
  </si>
  <si>
    <t>791331681</t>
  </si>
  <si>
    <t>P90 M258 1967a</t>
  </si>
  <si>
    <t>0                      P  0090000M  258         1967a</t>
  </si>
  <si>
    <t>The medium is the massage / Marshall McLuhan, Quentin Fiore ; co-ordinated by Jerome Agel.</t>
  </si>
  <si>
    <t>New York ; London ; Toronto : Bantam Books, ©1967.</t>
  </si>
  <si>
    <t>Bantam Books. Sociology ; 121634-4</t>
  </si>
  <si>
    <t>203688</t>
  </si>
  <si>
    <t>ocm00203688</t>
  </si>
  <si>
    <t>3102731822$</t>
  </si>
  <si>
    <t>9780553121636</t>
  </si>
  <si>
    <t>791292644</t>
  </si>
  <si>
    <t>31027318121</t>
  </si>
  <si>
    <t>791292645</t>
  </si>
  <si>
    <t>2011-01-10</t>
  </si>
  <si>
    <t>31027318171</t>
  </si>
  <si>
    <t>791292643</t>
  </si>
  <si>
    <t>2014-06-10</t>
  </si>
  <si>
    <t>3102731827$</t>
  </si>
  <si>
    <t>791292646</t>
  </si>
  <si>
    <t>3103533493V</t>
  </si>
  <si>
    <t>791292641</t>
  </si>
  <si>
    <t>P90 M2583 F5</t>
  </si>
  <si>
    <t>0                      P  0090000M  2583               F  5</t>
  </si>
  <si>
    <t>Sense and nonsense of McLuhan / by Sidney Finkelstein.</t>
  </si>
  <si>
    <t>Finkelstein, Sidney, 1909-1974.</t>
  </si>
  <si>
    <t>New York : International Publishers, [1968]</t>
  </si>
  <si>
    <t>1359153:eng</t>
  </si>
  <si>
    <t>306657</t>
  </si>
  <si>
    <t>ocm00306657</t>
  </si>
  <si>
    <t>3102731848W</t>
  </si>
  <si>
    <t>791330877</t>
  </si>
  <si>
    <t>- Blackader-Lauterman Collection - Regular Loan</t>
  </si>
  <si>
    <t>P90 M26</t>
  </si>
  <si>
    <t>0                      P  0090000M  26</t>
  </si>
  <si>
    <t>Understanding media : the extensions of man / by Marshall McLuhan.</t>
  </si>
  <si>
    <t>McLuhan, Marshall, 1911-1980, author.</t>
  </si>
  <si>
    <t>New York : McGraw-Hill, [1964]</t>
  </si>
  <si>
    <t>[1st ed.].</t>
  </si>
  <si>
    <t>2019-06-10</t>
  </si>
  <si>
    <t>52572391:eng</t>
  </si>
  <si>
    <t>305387</t>
  </si>
  <si>
    <t>ocm00305387</t>
  </si>
  <si>
    <t>31029834213</t>
  </si>
  <si>
    <t>791330508</t>
  </si>
  <si>
    <t>P90 M26 1964</t>
  </si>
  <si>
    <t>0                      P  0090000M  26          1964</t>
  </si>
  <si>
    <t>3102731838Y</t>
  </si>
  <si>
    <t>791330509</t>
  </si>
  <si>
    <t>2016-12-09</t>
  </si>
  <si>
    <t>31029834263</t>
  </si>
  <si>
    <t>791330510</t>
  </si>
  <si>
    <t>31035926820</t>
  </si>
  <si>
    <t>791330511</t>
  </si>
  <si>
    <t>2014-03-04</t>
  </si>
  <si>
    <t>31034757872</t>
  </si>
  <si>
    <t>791330505</t>
  </si>
  <si>
    <t>2016-09-16</t>
  </si>
  <si>
    <t>3102731823$</t>
  </si>
  <si>
    <t>791330507</t>
  </si>
  <si>
    <t>3102740079C</t>
  </si>
  <si>
    <t>791330504</t>
  </si>
  <si>
    <t>P90 M26 1994</t>
  </si>
  <si>
    <t>0                      P  0090000M  26          1994</t>
  </si>
  <si>
    <t>Understanding media : the extensions of man / Marshall McLuhan ; introduction by Lewis H. Lapham.</t>
  </si>
  <si>
    <t>Cambridge, Mass. : MIT Press, 1994.</t>
  </si>
  <si>
    <t>First MIT Press edition, 1994.</t>
  </si>
  <si>
    <t>30734000</t>
  </si>
  <si>
    <t>ocm30734000</t>
  </si>
  <si>
    <t>3102581470P</t>
  </si>
  <si>
    <t>9780262631594</t>
  </si>
  <si>
    <t>793343445</t>
  </si>
  <si>
    <t>P90 M26 2003</t>
  </si>
  <si>
    <t>0                      P  0090000M  26          2003</t>
  </si>
  <si>
    <t>Understanding media : the extensions of man / Marshall McLuhan ; edited by W. Terrence Gordon.</t>
  </si>
  <si>
    <t>Corte Madera, CA : Gingko Press, 2003.</t>
  </si>
  <si>
    <t>Critical ed.</t>
  </si>
  <si>
    <t>52373416</t>
  </si>
  <si>
    <t>ocm52373416</t>
  </si>
  <si>
    <t>3102581004E</t>
  </si>
  <si>
    <t>9781584230731</t>
  </si>
  <si>
    <t>793804726</t>
  </si>
  <si>
    <t>P90 M2614</t>
  </si>
  <si>
    <t>0                      P  0090000M  2614</t>
  </si>
  <si>
    <t>Pour comprendre les média: les prolongements technologiques de l'homme. Traduit de l'anglais / par Jean Paré.</t>
  </si>
  <si>
    <t>Montréal Éditions HMH 1968.</t>
  </si>
  <si>
    <t>Collection Constantes ; no 13</t>
  </si>
  <si>
    <t>3873318252:fre</t>
  </si>
  <si>
    <t>427286965</t>
  </si>
  <si>
    <t>ocn427286965</t>
  </si>
  <si>
    <t>31027318181</t>
  </si>
  <si>
    <t>794564427</t>
  </si>
  <si>
    <t>2016-11-03</t>
  </si>
  <si>
    <t>31027318131</t>
  </si>
  <si>
    <t>794564428</t>
  </si>
  <si>
    <t>P90 M2644 2010</t>
  </si>
  <si>
    <t>0                      P  0090000M  2644        2010</t>
  </si>
  <si>
    <t>The 21st century media (r)evolution : emergent communication practices / Jim Macnamara.</t>
  </si>
  <si>
    <t>Macnamara, Jim.</t>
  </si>
  <si>
    <t>2011-07-19</t>
  </si>
  <si>
    <t>792778274:eng</t>
  </si>
  <si>
    <t>463454430</t>
  </si>
  <si>
    <t>ocn463454430</t>
  </si>
  <si>
    <t>3103232070W</t>
  </si>
  <si>
    <t>9781433109362</t>
  </si>
  <si>
    <t>794792674</t>
  </si>
  <si>
    <t>P90 M279 2006</t>
  </si>
  <si>
    <t>0                      P  0090000M  279         2006</t>
  </si>
  <si>
    <t>Communication studies / Sky Marsen.</t>
  </si>
  <si>
    <t>Marsen, Sky.</t>
  </si>
  <si>
    <t>Basingstoke : Palgrave Macmillan, 2006.</t>
  </si>
  <si>
    <t>Palgrave foundations</t>
  </si>
  <si>
    <t>47813196:eng</t>
  </si>
  <si>
    <t>63703089</t>
  </si>
  <si>
    <t>ocm63703089</t>
  </si>
  <si>
    <t>31025688313</t>
  </si>
  <si>
    <t>9781403939982</t>
  </si>
  <si>
    <t>794122720</t>
  </si>
  <si>
    <t>P90 M34213 1998</t>
  </si>
  <si>
    <t>0                      P  0090000M  34213       1998</t>
  </si>
  <si>
    <t>Theories of communication : a short introduction / Armand Mattelart and Michèle Mattelart ; translated by Susan Gruenheck Taponier and James A. Cohen.</t>
  </si>
  <si>
    <t>Mattelart, Armand.</t>
  </si>
  <si>
    <t>London ; Thousand Oaks, Calif. : Sage Publications, 1998.</t>
  </si>
  <si>
    <t>2016-03-22</t>
  </si>
  <si>
    <t>2908643779:eng</t>
  </si>
  <si>
    <t>40140163</t>
  </si>
  <si>
    <t>ocm40140163</t>
  </si>
  <si>
    <t>3102730183C</t>
  </si>
  <si>
    <t>9780761956464</t>
  </si>
  <si>
    <t>793560519</t>
  </si>
  <si>
    <t>3102818805G</t>
  </si>
  <si>
    <t>793560520</t>
  </si>
  <si>
    <t>P90 M34313 1996</t>
  </si>
  <si>
    <t>0                      P  0090000M  34313       1996</t>
  </si>
  <si>
    <t>The invention of communication / Armand Mattelart ; translated by Susan Emanuel.</t>
  </si>
  <si>
    <t>Minneapolis, Minn. : University of Minnesota Press, ©1996.</t>
  </si>
  <si>
    <t>Media studies</t>
  </si>
  <si>
    <t>20702028:eng</t>
  </si>
  <si>
    <t>34576748</t>
  </si>
  <si>
    <t>ocm34576748</t>
  </si>
  <si>
    <t>3102731845W</t>
  </si>
  <si>
    <t>9780816626960</t>
  </si>
  <si>
    <t>793430303</t>
  </si>
  <si>
    <t>P90 M34413 1992</t>
  </si>
  <si>
    <t>0                      P  0090000M  34413       1992</t>
  </si>
  <si>
    <t>Rethinking media theory : signposts and new directions / Armand Mattelart + Michèle Mattelart ; translated by James A. Cohen and Marina Urquidi.</t>
  </si>
  <si>
    <t>Minneapolis : University of Minnesota Press, ©1992.</t>
  </si>
  <si>
    <t>Media &amp; society ; 5</t>
  </si>
  <si>
    <t>5090847018:eng</t>
  </si>
  <si>
    <t>24626778</t>
  </si>
  <si>
    <t>ocm24626778</t>
  </si>
  <si>
    <t>3102731850U</t>
  </si>
  <si>
    <t>9780816619085</t>
  </si>
  <si>
    <t>793202404</t>
  </si>
  <si>
    <t>P90 M35 1983</t>
  </si>
  <si>
    <t>0                      P  0090000M  35          1983</t>
  </si>
  <si>
    <t>Mass communication theory : an introduction / Denis McQuail.</t>
  </si>
  <si>
    <t>McQuail, Denis.</t>
  </si>
  <si>
    <t>London ; Beverly Hills : Sage Publications, ©1983.</t>
  </si>
  <si>
    <t>4202489:eng</t>
  </si>
  <si>
    <t>9853990</t>
  </si>
  <si>
    <t>ocm09853990</t>
  </si>
  <si>
    <t>3102731835Y</t>
  </si>
  <si>
    <t>9780803997707</t>
  </si>
  <si>
    <t>792696910</t>
  </si>
  <si>
    <t>P90 M35 2010</t>
  </si>
  <si>
    <t>0                      P  0090000M  35          2010</t>
  </si>
  <si>
    <t>McQuail's mass communication theory / Denis McQuail.</t>
  </si>
  <si>
    <t>London ; Thousand Oaks, Calif. : Sage Publications, ©2010.</t>
  </si>
  <si>
    <t>2018-08-24</t>
  </si>
  <si>
    <t>3901013928:eng</t>
  </si>
  <si>
    <t>465369629</t>
  </si>
  <si>
    <t>ocn465369629</t>
  </si>
  <si>
    <t>3103232493G</t>
  </si>
  <si>
    <t>9781849202923</t>
  </si>
  <si>
    <t>794793896</t>
  </si>
  <si>
    <t>P90 M36 2011</t>
  </si>
  <si>
    <t>0                      P  0090000M  36          2011</t>
  </si>
  <si>
    <t>Philosophical approaches to communication / Claude Mangion.</t>
  </si>
  <si>
    <t>Mangion, Claude.</t>
  </si>
  <si>
    <t>Bristol, U.K. ; Chicago : Intellect, 2011.</t>
  </si>
  <si>
    <t>2018-06-08</t>
  </si>
  <si>
    <t>887056268:eng</t>
  </si>
  <si>
    <t>670480336</t>
  </si>
  <si>
    <t>ocn670480336</t>
  </si>
  <si>
    <t>3103364188Z</t>
  </si>
  <si>
    <t>9781841504292</t>
  </si>
  <si>
    <t>794847995</t>
  </si>
  <si>
    <t>P90 M363 2002</t>
  </si>
  <si>
    <t>0                      P  0090000M  363         2002</t>
  </si>
  <si>
    <t>Making connections : communication through the ages / Charles T. Meadow.</t>
  </si>
  <si>
    <t>Meadow, Charles T.</t>
  </si>
  <si>
    <t>Lanham, Md. : Scarecrow Press, 2002.</t>
  </si>
  <si>
    <t>2018-12-05</t>
  </si>
  <si>
    <t>328308991:eng</t>
  </si>
  <si>
    <t>48249156</t>
  </si>
  <si>
    <t>ocm48249156</t>
  </si>
  <si>
    <t>31027318151</t>
  </si>
  <si>
    <t>9780810842335</t>
  </si>
  <si>
    <t>793718766</t>
  </si>
  <si>
    <t>P90 M366 2002</t>
  </si>
  <si>
    <t>0                      P  0090000M  366         2002</t>
  </si>
  <si>
    <t>McQuail's reader in mass communication theory / edited by Denis McQuail.</t>
  </si>
  <si>
    <t>London ; Thousand Oaks, Calif. : Sage Publications, 2002.</t>
  </si>
  <si>
    <t>3901190440:eng</t>
  </si>
  <si>
    <t>48835353</t>
  </si>
  <si>
    <t>ocm48835353</t>
  </si>
  <si>
    <t>31033552376</t>
  </si>
  <si>
    <t>9780761972426</t>
  </si>
  <si>
    <t>793728728</t>
  </si>
  <si>
    <t>P90 M36622 2011</t>
  </si>
  <si>
    <t>0                      P  0090000M  36622       2011</t>
  </si>
  <si>
    <t>Media archaeology : approaches, applications, and implications / edited by Erkki Huhtamo and Jussi Parikka.</t>
  </si>
  <si>
    <t>Berkeley, Calif. : University of California Press, ©2011.</t>
  </si>
  <si>
    <t>654437631:eng</t>
  </si>
  <si>
    <t>664555771</t>
  </si>
  <si>
    <t>ocn664555771</t>
  </si>
  <si>
    <t>31033625168</t>
  </si>
  <si>
    <t>9780520262737</t>
  </si>
  <si>
    <t>794844056</t>
  </si>
  <si>
    <t>P90 M3676 2009</t>
  </si>
  <si>
    <t>0                      P  0090000M  3676        2009</t>
  </si>
  <si>
    <t>Media industries : history, theory, and method / edited by Jennifer Holt and Alisa Perren.</t>
  </si>
  <si>
    <t>Chichester, West Sussex ; Malden, MA : Wiley-Blackwell, 2009.</t>
  </si>
  <si>
    <t>2018-08-27</t>
  </si>
  <si>
    <t>793122419:eng</t>
  </si>
  <si>
    <t>244417933</t>
  </si>
  <si>
    <t>ocn244417933</t>
  </si>
  <si>
    <t>3103081463D</t>
  </si>
  <si>
    <t>9781405163415</t>
  </si>
  <si>
    <t>794381525</t>
  </si>
  <si>
    <t>P90 M36765 2016</t>
  </si>
  <si>
    <t>0                      P  0090000M  36765       2016</t>
  </si>
  <si>
    <t>Media industries : perspectives on an evolving field / edited by Amelia Arsenault and Alisa Perren.</t>
  </si>
  <si>
    <t>[United States] : [CreateSpace Independent Publishing Platform], [2016]</t>
  </si>
  <si>
    <t>4194146446:eng</t>
  </si>
  <si>
    <t>953151311</t>
  </si>
  <si>
    <t>ocn953151311</t>
  </si>
  <si>
    <t>31036681813</t>
  </si>
  <si>
    <t>9781522991830</t>
  </si>
  <si>
    <t>795018580</t>
  </si>
  <si>
    <t>P90 M3679 2011</t>
  </si>
  <si>
    <t>0                      P  0090000M  3679        2011</t>
  </si>
  <si>
    <t>Media perspectives for the 21st century : concepts, topics and issues / edited by Stylianos Papathanassopoulos.</t>
  </si>
  <si>
    <t>1005011517:eng</t>
  </si>
  <si>
    <t>647976684</t>
  </si>
  <si>
    <t>ocn647976684</t>
  </si>
  <si>
    <t>3103231728P</t>
  </si>
  <si>
    <t>9780415574983</t>
  </si>
  <si>
    <t>794830971</t>
  </si>
  <si>
    <t>P90 M372316 2017</t>
  </si>
  <si>
    <t>0                      P  0090000M  372316      2017</t>
  </si>
  <si>
    <t>Media theory and cultural technologies : in memoriam Friedrich Kittler / edited by Maria Teresa Cruz.</t>
  </si>
  <si>
    <t>Newcastle upon Tyne, UK : Cambridge Scholars Publishing, 2017.</t>
  </si>
  <si>
    <t>2018-10-01</t>
  </si>
  <si>
    <t>4064707124:eng</t>
  </si>
  <si>
    <t>972255533</t>
  </si>
  <si>
    <t>ocn972255533</t>
  </si>
  <si>
    <t>3103704330O</t>
  </si>
  <si>
    <t>9781443850711</t>
  </si>
  <si>
    <t>795028593</t>
  </si>
  <si>
    <t>P90 M3737 2011</t>
  </si>
  <si>
    <t>0                      P  0090000M  3737        2011</t>
  </si>
  <si>
    <t>Medill on media engagement / edited by Abe Peck, Edward C. Malthouse.</t>
  </si>
  <si>
    <t>Cresskill, NJ : Hampton Press, Inc., [2011]</t>
  </si>
  <si>
    <t>1393778656:eng</t>
  </si>
  <si>
    <t>663822338</t>
  </si>
  <si>
    <t>ocn663822338</t>
  </si>
  <si>
    <t>3103321454R</t>
  </si>
  <si>
    <t>9781572739864</t>
  </si>
  <si>
    <t>794842727</t>
  </si>
  <si>
    <t>P90 M43 2003</t>
  </si>
  <si>
    <t>0                      P  0090000M  43          2003</t>
  </si>
  <si>
    <t>Media organisation and production / edited by Simon Cottle.</t>
  </si>
  <si>
    <t>London ; Thousand Oaks, Calif. : Sage, 2003.</t>
  </si>
  <si>
    <t>Media in focus</t>
  </si>
  <si>
    <t>1044416683:eng</t>
  </si>
  <si>
    <t>53831906</t>
  </si>
  <si>
    <t>ocm53831906</t>
  </si>
  <si>
    <t>3102731846W</t>
  </si>
  <si>
    <t>9780761974932</t>
  </si>
  <si>
    <t>793851351</t>
  </si>
  <si>
    <t>P90 M454 2005</t>
  </si>
  <si>
    <t>0                      P  0090000M  454         2005</t>
  </si>
  <si>
    <t>Baudrillard and the media : a critical introduction / William Merrin.</t>
  </si>
  <si>
    <t>Merrin, William.</t>
  </si>
  <si>
    <t>Cambridge, UK ; Malden, MA : Polity, 2005.</t>
  </si>
  <si>
    <t>2018-09-05</t>
  </si>
  <si>
    <t>364403513:eng</t>
  </si>
  <si>
    <t>61217673</t>
  </si>
  <si>
    <t>ocm61217673</t>
  </si>
  <si>
    <t>31025479982</t>
  </si>
  <si>
    <t>9780745630724</t>
  </si>
  <si>
    <t>793948938</t>
  </si>
  <si>
    <t>P90 M57 2005</t>
  </si>
  <si>
    <t>0                      P  0090000M  57          2005</t>
  </si>
  <si>
    <t>Media/theory : thinking about media and communications / Shaun Moores.</t>
  </si>
  <si>
    <t>Moores, Shaun, author.</t>
  </si>
  <si>
    <t>London ; New York : Routledge, 2005.</t>
  </si>
  <si>
    <t>Comedia</t>
  </si>
  <si>
    <t>801842799:eng</t>
  </si>
  <si>
    <t>57465506</t>
  </si>
  <si>
    <t>ocm57465506</t>
  </si>
  <si>
    <t>3102519283W</t>
  </si>
  <si>
    <t>9780415243834</t>
  </si>
  <si>
    <t>793913478</t>
  </si>
  <si>
    <t>P90 M595 2010</t>
  </si>
  <si>
    <t>0                      P  0090000M  595         2010</t>
  </si>
  <si>
    <t>Introduction to the history of communication : evolutions &amp; revolutions / Terence P. Moran.</t>
  </si>
  <si>
    <t>Moran, Terence P.</t>
  </si>
  <si>
    <t>792286980:eng</t>
  </si>
  <si>
    <t>640916511</t>
  </si>
  <si>
    <t>ocn640916511</t>
  </si>
  <si>
    <t>31032311168</t>
  </si>
  <si>
    <t>9781433104121</t>
  </si>
  <si>
    <t>794827449</t>
  </si>
  <si>
    <t>P90 N5 2003</t>
  </si>
  <si>
    <t>0                      P  0090000N  5           2003</t>
  </si>
  <si>
    <t>New media, 1740-1915 / edited by Lisa Gitelman and Geoffrey B. Pingree.</t>
  </si>
  <si>
    <t>Media in transition</t>
  </si>
  <si>
    <t>350177483:eng</t>
  </si>
  <si>
    <t>50252046</t>
  </si>
  <si>
    <t>ocm50252046</t>
  </si>
  <si>
    <t>3102923485L</t>
  </si>
  <si>
    <t>9780262072458</t>
  </si>
  <si>
    <t>793758972</t>
  </si>
  <si>
    <t>P90 N52 2006</t>
  </si>
  <si>
    <t>0                      P  0090000N  52          2006</t>
  </si>
  <si>
    <t>New media, old media : a history and theory reader / edited by Wendy Hui Kyong Chun &amp; Thomas Keenan.</t>
  </si>
  <si>
    <t>New York : Routledge, 2006.</t>
  </si>
  <si>
    <t>2017-02-28</t>
  </si>
  <si>
    <t>872713506:eng</t>
  </si>
  <si>
    <t>60492092</t>
  </si>
  <si>
    <t>ocm60492092</t>
  </si>
  <si>
    <t>31025609041</t>
  </si>
  <si>
    <t>9780415942232</t>
  </si>
  <si>
    <t>793938199</t>
  </si>
  <si>
    <t>P90 O532 2002</t>
  </si>
  <si>
    <t>0                      P  0090000O  532         2002</t>
  </si>
  <si>
    <t>An Ong reader : challenges for further inquiry / Walter J. Ong ; edited by Thomas J. Farrell, Paul A. Soukup.</t>
  </si>
  <si>
    <t>Cresskill, N.J. : Hampton Press, ©2002.</t>
  </si>
  <si>
    <t>The Hampton Press communication series. Media ecology</t>
  </si>
  <si>
    <t>1059187011:eng</t>
  </si>
  <si>
    <t>48655910</t>
  </si>
  <si>
    <t>ocm48655910</t>
  </si>
  <si>
    <t>3102731868S</t>
  </si>
  <si>
    <t>9781572734449</t>
  </si>
  <si>
    <t>793725744</t>
  </si>
  <si>
    <t>P90 O88 2010</t>
  </si>
  <si>
    <t>0                      P  0090000O  88          2010</t>
  </si>
  <si>
    <t>Critical media studies : an introduction / Brian L. Ott and Robert L. Mack.</t>
  </si>
  <si>
    <t>Ott, Brian L.</t>
  </si>
  <si>
    <t>2016-11-30</t>
  </si>
  <si>
    <t>364374684:eng</t>
  </si>
  <si>
    <t>373560443</t>
  </si>
  <si>
    <t>ocn373560443</t>
  </si>
  <si>
    <t>3103086858K</t>
  </si>
  <si>
    <t>9781405161855</t>
  </si>
  <si>
    <t>794494925</t>
  </si>
  <si>
    <t>P90 P336 2012</t>
  </si>
  <si>
    <t>0                      P  0090000P  336         2012</t>
  </si>
  <si>
    <t>What is media archaeology? / Jussi Parikka.</t>
  </si>
  <si>
    <t>Parikka, Jussi, 1976-</t>
  </si>
  <si>
    <t>2017-04-18</t>
  </si>
  <si>
    <t>1105014558:eng</t>
  </si>
  <si>
    <t>769419861</t>
  </si>
  <si>
    <t>ocn769419861</t>
  </si>
  <si>
    <t>31033949502</t>
  </si>
  <si>
    <t>9780745650258</t>
  </si>
  <si>
    <t>794903288</t>
  </si>
  <si>
    <t>P90 P3393 2011</t>
  </si>
  <si>
    <t>0                      P  0090000P  3393        2011</t>
  </si>
  <si>
    <t>The ascent of media : from Gilgamesh to Google via Gutenberg / Roger Parry.</t>
  </si>
  <si>
    <t>Parry, Roger, 1953-</t>
  </si>
  <si>
    <t>London ; Boston : Nicholas Brealey Pub., 2011.</t>
  </si>
  <si>
    <t>2012-03-31</t>
  </si>
  <si>
    <t>865559884:eng</t>
  </si>
  <si>
    <t>712118526</t>
  </si>
  <si>
    <t>ocn712118526</t>
  </si>
  <si>
    <t>31033806251</t>
  </si>
  <si>
    <t>9781857885705</t>
  </si>
  <si>
    <t>794871735</t>
  </si>
  <si>
    <t>P90 P355 2011</t>
  </si>
  <si>
    <t>0                      P  0090000P  355         2011</t>
  </si>
  <si>
    <t>Converging media : a new introduction to mass communication / John V. Pavlik, Shawn McIntosh.</t>
  </si>
  <si>
    <t>Pavlik, John V. (John Vernon)</t>
  </si>
  <si>
    <t>New York : Oxford University Press, 2011.</t>
  </si>
  <si>
    <t>2013-01-28</t>
  </si>
  <si>
    <t>898413635:eng</t>
  </si>
  <si>
    <t>424333845</t>
  </si>
  <si>
    <t>ocn424333845</t>
  </si>
  <si>
    <t>3103322611P</t>
  </si>
  <si>
    <t>9780195379105</t>
  </si>
  <si>
    <t>794506647</t>
  </si>
  <si>
    <t>P90 P379 2007</t>
  </si>
  <si>
    <t>0                      P  0090000P  379         2007</t>
  </si>
  <si>
    <t>Perspectives on philosophy of communication / edited by Pat Arneson.</t>
  </si>
  <si>
    <t>West Lafayette, Indiana : Purdue University Press, [2007]</t>
  </si>
  <si>
    <t>Philosophy/communication</t>
  </si>
  <si>
    <t>57995700:eng</t>
  </si>
  <si>
    <t>71004158</t>
  </si>
  <si>
    <t>ocm71004158</t>
  </si>
  <si>
    <t>3102596063E</t>
  </si>
  <si>
    <t>9781557534316</t>
  </si>
  <si>
    <t>794162112</t>
  </si>
  <si>
    <t>P90 P388 1999</t>
  </si>
  <si>
    <t>0                      P  0090000P  388         1999</t>
  </si>
  <si>
    <t>Speaking into the air : a history of the idea of communication / John Durham Peters.</t>
  </si>
  <si>
    <t>Peters, John Durham.</t>
  </si>
  <si>
    <t>837025690:eng</t>
  </si>
  <si>
    <t>40452957</t>
  </si>
  <si>
    <t>ocm40452957</t>
  </si>
  <si>
    <t>3103629244O</t>
  </si>
  <si>
    <t>9780226662763</t>
  </si>
  <si>
    <t>793567516</t>
  </si>
  <si>
    <t>2015-08-31</t>
  </si>
  <si>
    <t>3102710831B</t>
  </si>
  <si>
    <t>793567517</t>
  </si>
  <si>
    <t>2019-02-06</t>
  </si>
  <si>
    <t>3103629239H</t>
  </si>
  <si>
    <t>793567518</t>
  </si>
  <si>
    <t>3102804241A</t>
  </si>
  <si>
    <t>793567515</t>
  </si>
  <si>
    <t>3102804236C</t>
  </si>
  <si>
    <t>793567514</t>
  </si>
  <si>
    <t>P90 P455 2012</t>
  </si>
  <si>
    <t>0                      P  0090000P  455         2012</t>
  </si>
  <si>
    <t>Philosophical profiles in the theory of communication / edited by Jason Hannan ; with a foreword by Richard J. Bernstein ; and an afterword by John Durham Peters.</t>
  </si>
  <si>
    <t>New York : P. Lang, ©2012.</t>
  </si>
  <si>
    <t>2016-04-25</t>
  </si>
  <si>
    <t>987588247:eng</t>
  </si>
  <si>
    <t>746489222</t>
  </si>
  <si>
    <t>ocn746489222</t>
  </si>
  <si>
    <t>3103433261C</t>
  </si>
  <si>
    <t>9781433116469</t>
  </si>
  <si>
    <t>794887239</t>
  </si>
  <si>
    <t>P90 P46 2008</t>
  </si>
  <si>
    <t>0                      P  0090000P  46          2008</t>
  </si>
  <si>
    <t>Philosophies of communication : implications for everyday experience / [edited by] Melissa A. Cook, Annette M. Holba.</t>
  </si>
  <si>
    <t>New York : Peter Lang, 2008.</t>
  </si>
  <si>
    <t>900107155:eng</t>
  </si>
  <si>
    <t>192109683</t>
  </si>
  <si>
    <t>ocn192109683</t>
  </si>
  <si>
    <t>31029734690</t>
  </si>
  <si>
    <t>9781433102196</t>
  </si>
  <si>
    <t>794303456</t>
  </si>
  <si>
    <t>P90 P468 2012</t>
  </si>
  <si>
    <t>0                      P  0090000P  468         2012</t>
  </si>
  <si>
    <t>Philosophy of communication / edited by Briankle G. Chang and Garnet C. Butchart.</t>
  </si>
  <si>
    <t>Cambridge, Mass. : MIT Press, ©2012.</t>
  </si>
  <si>
    <t>1019839249:eng</t>
  </si>
  <si>
    <t>755904554</t>
  </si>
  <si>
    <t>ocn755904554</t>
  </si>
  <si>
    <t>3103412297K</t>
  </si>
  <si>
    <t>9780262516976</t>
  </si>
  <si>
    <t>794894067</t>
  </si>
  <si>
    <t>P90 Q48 1995</t>
  </si>
  <si>
    <t>0                      P  0090000Q  48          1995</t>
  </si>
  <si>
    <t>Questioning the media : a critical introduction / editors, John Downing, Ali Mohammadi, Annabelle Sreberny-Mohammadi.</t>
  </si>
  <si>
    <t>Thousand Oaks, Calif. : Sage Publications, ©1995.</t>
  </si>
  <si>
    <t>2017-04-24</t>
  </si>
  <si>
    <t>796281456:eng</t>
  </si>
  <si>
    <t>31737622</t>
  </si>
  <si>
    <t>ocm31737622</t>
  </si>
  <si>
    <t>3102727518S</t>
  </si>
  <si>
    <t>9780803971967</t>
  </si>
  <si>
    <t>793366754</t>
  </si>
  <si>
    <t>3101571238F</t>
  </si>
  <si>
    <t>793366755</t>
  </si>
  <si>
    <t>P90 R28 1998</t>
  </si>
  <si>
    <t>0                      P  0090000R  28          1998</t>
  </si>
  <si>
    <t>The long path to nearness : a contribution to a corporeal philosophy of communication and the groundwork for an ethics of relief / Ramsey Eric Ramsey.</t>
  </si>
  <si>
    <t>Ramsey, Ramsey Eric, 1960- author.</t>
  </si>
  <si>
    <t>Atlantic Highlands, New Jersey : Humanities Press, 1998.</t>
  </si>
  <si>
    <t>937853:eng</t>
  </si>
  <si>
    <t>36713067</t>
  </si>
  <si>
    <t>ocm36713067</t>
  </si>
  <si>
    <t>3101853476H</t>
  </si>
  <si>
    <t>9780391040489</t>
  </si>
  <si>
    <t>793482421</t>
  </si>
  <si>
    <t>P90 R345 2001</t>
  </si>
  <si>
    <t>0                      P  0090000R  345         2001</t>
  </si>
  <si>
    <t>Media studies : the essential introduction / Philip Rayner, Pete Wall, and Stephen Kruger.</t>
  </si>
  <si>
    <t>Rayner, Philip, 1947-</t>
  </si>
  <si>
    <t>London ; New York : Routledge, 2001.</t>
  </si>
  <si>
    <t>9738321129:eng</t>
  </si>
  <si>
    <t>45604014</t>
  </si>
  <si>
    <t>ocm45604014</t>
  </si>
  <si>
    <t>3102731890M</t>
  </si>
  <si>
    <t>9780415236102</t>
  </si>
  <si>
    <t>793674593</t>
  </si>
  <si>
    <t>P90 R38 2003</t>
  </si>
  <si>
    <t>0                      P  0090000R  38          2003</t>
  </si>
  <si>
    <t>Rethinking media change : the aesthetics of transition / edited by David Thorburn and Henry Jenkins ; associate editor, Brad Seawell.</t>
  </si>
  <si>
    <t>2018-08-20</t>
  </si>
  <si>
    <t>889331615:eng</t>
  </si>
  <si>
    <t>51210540</t>
  </si>
  <si>
    <t>ocm51210540</t>
  </si>
  <si>
    <t>3102795663P</t>
  </si>
  <si>
    <t>9780262201469</t>
  </si>
  <si>
    <t>793780445</t>
  </si>
  <si>
    <t>P90 R596 2006</t>
  </si>
  <si>
    <t>0                      P  0090000R  596         2006</t>
  </si>
  <si>
    <t>Mass media in a changing world : history, industry, controversy / George Rodman.</t>
  </si>
  <si>
    <t>(text + 2 CD-ROMs)</t>
  </si>
  <si>
    <t>Rodman, George R., 1948-</t>
  </si>
  <si>
    <t>New York : McGraw-Hill, ©2006.</t>
  </si>
  <si>
    <t>370349:eng</t>
  </si>
  <si>
    <t>56014567</t>
  </si>
  <si>
    <t>ocm56014567</t>
  </si>
  <si>
    <t>31034787026</t>
  </si>
  <si>
    <t>9780072957112</t>
  </si>
  <si>
    <t>793886048</t>
  </si>
  <si>
    <t>P90 R613 1994</t>
  </si>
  <si>
    <t>0                      P  0090000R  613         1994</t>
  </si>
  <si>
    <t>A history of communication study : a biographical approach / Everett M. Rogers.</t>
  </si>
  <si>
    <t>Rogers, Everett M.</t>
  </si>
  <si>
    <t>New York, N.Y. : The Free Press ; Toronto : Maxwell Macmillan Canada ; New York : Maxwell Macmillan International, ©1994.</t>
  </si>
  <si>
    <t>2015-04-25</t>
  </si>
  <si>
    <t>31699990:eng</t>
  </si>
  <si>
    <t>29386556</t>
  </si>
  <si>
    <t>ocm29386556</t>
  </si>
  <si>
    <t>3102731860S</t>
  </si>
  <si>
    <t>9780029267356</t>
  </si>
  <si>
    <t>793309460</t>
  </si>
  <si>
    <t>P90 R67 2006</t>
  </si>
  <si>
    <t>0                      P  0090000R  67          2006</t>
  </si>
  <si>
    <t>Organized networks : media theory, creative labour, new institutions / Ned Rossiter.</t>
  </si>
  <si>
    <t>Rossiter, Ned.</t>
  </si>
  <si>
    <t>Amsterdam : Institute of Network Cultures, 2006.</t>
  </si>
  <si>
    <t>2016-05-20</t>
  </si>
  <si>
    <t>865461345:eng</t>
  </si>
  <si>
    <t>85828417</t>
  </si>
  <si>
    <t>ocm85828417</t>
  </si>
  <si>
    <t>3102597723Y</t>
  </si>
  <si>
    <t>9789056625269</t>
  </si>
  <si>
    <t>794216621</t>
  </si>
  <si>
    <t>P90 S23 2013</t>
  </si>
  <si>
    <t>0                      P  0090000S  23          2013</t>
  </si>
  <si>
    <t>The complexity of human communication / Philip J. Salem.</t>
  </si>
  <si>
    <t>Salem, Philip J.</t>
  </si>
  <si>
    <t>New York : Hampton Press, 2013.</t>
  </si>
  <si>
    <t>Quantitative methods in communication</t>
  </si>
  <si>
    <t>141596894:eng</t>
  </si>
  <si>
    <t>809420868</t>
  </si>
  <si>
    <t>ocn809420868</t>
  </si>
  <si>
    <t>3103497949N</t>
  </si>
  <si>
    <t>9781612891064</t>
  </si>
  <si>
    <t>794928431</t>
  </si>
  <si>
    <t>P90 S26 2011</t>
  </si>
  <si>
    <t>0                      P  0090000S  26          2011</t>
  </si>
  <si>
    <t>A sampler of international media and communication statistics 2010 / compiled by Sara Leckner &amp; Ulrika Facht.</t>
  </si>
  <si>
    <t>Göteborg : NORDICOM, Göteborg University, [2011?]</t>
  </si>
  <si>
    <t>Nordic media trends, 1401-0410 ; 12</t>
  </si>
  <si>
    <t>796592592:eng</t>
  </si>
  <si>
    <t>705930985</t>
  </si>
  <si>
    <t>ocn705930985</t>
  </si>
  <si>
    <t>3103404078R</t>
  </si>
  <si>
    <t>9789186523145</t>
  </si>
  <si>
    <t>794866393</t>
  </si>
  <si>
    <t>P90 S337 1997</t>
  </si>
  <si>
    <t>0                      P  0090000S  337         1997</t>
  </si>
  <si>
    <t>The more you watch, the less you know : news wars/(sub)merged hopes/media adventures / Danny Schechter ; foreword by Jackson Browne and Robert W. McChesney.</t>
  </si>
  <si>
    <t>Schechter, Danny.</t>
  </si>
  <si>
    <t>New York : Seven Stories Press, ©1997.</t>
  </si>
  <si>
    <t>A Seven Stories Press first ed.</t>
  </si>
  <si>
    <t>20385818:eng</t>
  </si>
  <si>
    <t>36170761</t>
  </si>
  <si>
    <t>ocm36170761</t>
  </si>
  <si>
    <t>3102731861S</t>
  </si>
  <si>
    <t>9781888363401</t>
  </si>
  <si>
    <t>793468206</t>
  </si>
  <si>
    <t>P90 S348 1996</t>
  </si>
  <si>
    <t>0                      P  0090000S  348         1996</t>
  </si>
  <si>
    <t>Theorizing communication : a history / Dan Schiller.</t>
  </si>
  <si>
    <t>Schiller, Dan, 1951- author.</t>
  </si>
  <si>
    <t>116908469:eng</t>
  </si>
  <si>
    <t>33207502</t>
  </si>
  <si>
    <t>ocm33207502</t>
  </si>
  <si>
    <t>3102731942T</t>
  </si>
  <si>
    <t>9780195101997</t>
  </si>
  <si>
    <t>793404255</t>
  </si>
  <si>
    <t>P90 S36 1986</t>
  </si>
  <si>
    <t>0                      P  0090000S  36          1986</t>
  </si>
  <si>
    <t>Communicative praxis and the space of subjectivity / Calvin O. Schrag.</t>
  </si>
  <si>
    <t>Schrag, Calvin O.</t>
  </si>
  <si>
    <t>Bloomington : Indiana University Press, [1986]</t>
  </si>
  <si>
    <t>Studies in phenomenology and existential philosophy</t>
  </si>
  <si>
    <t>2019-06-27</t>
  </si>
  <si>
    <t>773181:eng</t>
  </si>
  <si>
    <t>12083193</t>
  </si>
  <si>
    <t>ocm12083193</t>
  </si>
  <si>
    <t>3102731937V</t>
  </si>
  <si>
    <t>9780253313836</t>
  </si>
  <si>
    <t>792800574</t>
  </si>
  <si>
    <t>P90 S37 1960</t>
  </si>
  <si>
    <t>0                      P  0090000S  37          1960</t>
  </si>
  <si>
    <t>Mass communications : a book of readings / selected and edited by ... Wilbur Schramm.</t>
  </si>
  <si>
    <t>Urbana : University of Illinois Press, 1960.</t>
  </si>
  <si>
    <t>889863092:eng</t>
  </si>
  <si>
    <t>710723</t>
  </si>
  <si>
    <t>ocm00710723</t>
  </si>
  <si>
    <t>3102731917Z</t>
  </si>
  <si>
    <t>791452043</t>
  </si>
  <si>
    <t>2017-01-03</t>
  </si>
  <si>
    <t>3102731912Z</t>
  </si>
  <si>
    <t>791452044</t>
  </si>
  <si>
    <t>P90 S457 1991</t>
  </si>
  <si>
    <t>0                      P  0090000S  457         1991</t>
  </si>
  <si>
    <t>Gatekeeping / Pamela J. Shoemaker.</t>
  </si>
  <si>
    <t>Shoemaker, Pamela J.</t>
  </si>
  <si>
    <t>Newbury Park : Sage Publications, ©1991.</t>
  </si>
  <si>
    <t>Communication concepts, 1057-7440 ; 3</t>
  </si>
  <si>
    <t>26226395:eng</t>
  </si>
  <si>
    <t>24246812</t>
  </si>
  <si>
    <t>ocm24246812</t>
  </si>
  <si>
    <t>3102731910Z</t>
  </si>
  <si>
    <t>9780803944367</t>
  </si>
  <si>
    <t>793193492</t>
  </si>
  <si>
    <t>P90 S458 2009</t>
  </si>
  <si>
    <t>0                      P  0090000S  458         2009</t>
  </si>
  <si>
    <t>Gatekeeping theory / Pamela J. Shoemaker, Tim P. Vos.</t>
  </si>
  <si>
    <t>104338274:eng</t>
  </si>
  <si>
    <t>258331230</t>
  </si>
  <si>
    <t>ocn258331230</t>
  </si>
  <si>
    <t>31030826457</t>
  </si>
  <si>
    <t>9780415981385</t>
  </si>
  <si>
    <t>794399464</t>
  </si>
  <si>
    <t>P90 S52 2010</t>
  </si>
  <si>
    <t>0                      P  0090000S  52          2010</t>
  </si>
  <si>
    <t>Refiguring mass communication : a history / Peter Simonson.</t>
  </si>
  <si>
    <t>Simonson, Peter, 1962-</t>
  </si>
  <si>
    <t>Urbana : University of Illinois Press, ©2010.</t>
  </si>
  <si>
    <t>The history of communication</t>
  </si>
  <si>
    <t>792475345:eng</t>
  </si>
  <si>
    <t>434126051</t>
  </si>
  <si>
    <t>ocn434126051</t>
  </si>
  <si>
    <t>31032435708</t>
  </si>
  <si>
    <t>9780252077050</t>
  </si>
  <si>
    <t>794782784</t>
  </si>
  <si>
    <t>P90 S58</t>
  </si>
  <si>
    <t>0                      P  0090000S  58</t>
  </si>
  <si>
    <t>The politics of information : problems of policy in modern media / Anthony Smith.</t>
  </si>
  <si>
    <t>Smith, Anthony, 1938-</t>
  </si>
  <si>
    <t>London : Macmillan, 1978.</t>
  </si>
  <si>
    <t>Communications and culture</t>
  </si>
  <si>
    <t>3901016584:eng</t>
  </si>
  <si>
    <t>4287915</t>
  </si>
  <si>
    <t>ocm04287915</t>
  </si>
  <si>
    <t>3102731926X</t>
  </si>
  <si>
    <t>9780333236109</t>
  </si>
  <si>
    <t>792338268</t>
  </si>
  <si>
    <t>P90 S767 2006</t>
  </si>
  <si>
    <t>0                      P  0090000S  767         2006</t>
  </si>
  <si>
    <t>Echoes and reflections : on media ecology as a field of study / Lance Strate.</t>
  </si>
  <si>
    <t>Strate, Lance.</t>
  </si>
  <si>
    <t>Cresskill, N.J. : Hampton Press, Inc., ©2006.</t>
  </si>
  <si>
    <t>905774425:eng</t>
  </si>
  <si>
    <t>70063065</t>
  </si>
  <si>
    <t>ocm70063065</t>
  </si>
  <si>
    <t>3102636706T</t>
  </si>
  <si>
    <t>9781572737259</t>
  </si>
  <si>
    <t>794148258</t>
  </si>
  <si>
    <t>P90 T394 2010</t>
  </si>
  <si>
    <t>0                      P  0090000T  394         2010</t>
  </si>
  <si>
    <t>Žižek and the media / Paul A. Taylor.</t>
  </si>
  <si>
    <t>Taylor, Paul A., 1967-</t>
  </si>
  <si>
    <t>Cambridge ; Malden, MA : Polity, 2010.</t>
  </si>
  <si>
    <t>Theory and media</t>
  </si>
  <si>
    <t>478739529:eng</t>
  </si>
  <si>
    <t>610832801</t>
  </si>
  <si>
    <t>ocn610832801</t>
  </si>
  <si>
    <t>3103232608S</t>
  </si>
  <si>
    <t>9780745643670</t>
  </si>
  <si>
    <t>794820803</t>
  </si>
  <si>
    <t>P90 T438 2006</t>
  </si>
  <si>
    <t>0                      P  0090000T  438         2006</t>
  </si>
  <si>
    <t>Thinking with James Carey : essays on communications, transportation, history / edited by Jeremy Packer and Craig Robertson.</t>
  </si>
  <si>
    <t>New York : Peter Lang, ©2006.</t>
  </si>
  <si>
    <t>Intersections in communications and culture ; v. 15</t>
  </si>
  <si>
    <t>899071134:eng</t>
  </si>
  <si>
    <t>60791551</t>
  </si>
  <si>
    <t>ocm60791551</t>
  </si>
  <si>
    <t>3102548715K</t>
  </si>
  <si>
    <t>9780820474052</t>
  </si>
  <si>
    <t>793943648</t>
  </si>
  <si>
    <t>P90 T67 2007</t>
  </si>
  <si>
    <t>0                      P  0090000T  67          2007</t>
  </si>
  <si>
    <t>The Toronto school of communication theory : interpretations, extensions, applications / edited by Rita Watson and Menahem Blondheim.</t>
  </si>
  <si>
    <t>[Toronto] : University of Toronto Press ; Jerusalem : Hebrew University Magnes Press, c2007.</t>
  </si>
  <si>
    <t>1046377421:eng</t>
  </si>
  <si>
    <t>191889278</t>
  </si>
  <si>
    <t>ocn191889278</t>
  </si>
  <si>
    <t>31027056332</t>
  </si>
  <si>
    <t>9780802097750</t>
  </si>
  <si>
    <t>794301815</t>
  </si>
  <si>
    <t>P90 U42 2012</t>
  </si>
  <si>
    <t>0                      P  0090000U  42          2012</t>
  </si>
  <si>
    <t>Avatar emergency / Gregory L. Ulmer.</t>
  </si>
  <si>
    <t>Ulmer, Gregory L., 1944-</t>
  </si>
  <si>
    <t>Anderson, S.C. : Parlor Press, 2012.</t>
  </si>
  <si>
    <t>New media theory</t>
  </si>
  <si>
    <t>1119594308:eng</t>
  </si>
  <si>
    <t>777002185</t>
  </si>
  <si>
    <t>ocn777002185</t>
  </si>
  <si>
    <t>31034137863</t>
  </si>
  <si>
    <t>9781602352896</t>
  </si>
  <si>
    <t>794908502</t>
  </si>
  <si>
    <t>P90 W29 2003</t>
  </si>
  <si>
    <t>0                      P  0090000W  29          2003</t>
  </si>
  <si>
    <t>Media communication : an introduction to theory and process / James Watson.</t>
  </si>
  <si>
    <t>Houndmills, Basingstoke, Hampshire ; New York : Palgrave Macmillan, 2003.</t>
  </si>
  <si>
    <t>792960271:eng</t>
  </si>
  <si>
    <t>50670073</t>
  </si>
  <si>
    <t>ocm50670073</t>
  </si>
  <si>
    <t>3102731954R</t>
  </si>
  <si>
    <t>9781403901491</t>
  </si>
  <si>
    <t>793770260</t>
  </si>
  <si>
    <t>P90 W475 1980</t>
  </si>
  <si>
    <t>0                      P  0090000W  475         1980</t>
  </si>
  <si>
    <t>System and structure : essays in communication and exchange / Anthony Wilden.</t>
  </si>
  <si>
    <t>Wilden, Anthony.</t>
  </si>
  <si>
    <t>London ; New York : Tavistock, 1980.</t>
  </si>
  <si>
    <t>2019-01-31</t>
  </si>
  <si>
    <t>478860:eng</t>
  </si>
  <si>
    <t>8688469</t>
  </si>
  <si>
    <t>ocm08688469</t>
  </si>
  <si>
    <t>31027403507</t>
  </si>
  <si>
    <t>9780422767002</t>
  </si>
  <si>
    <t>792635450</t>
  </si>
  <si>
    <t>P90 W54 2003</t>
  </si>
  <si>
    <t>0                      P  0090000W  54          2003</t>
  </si>
  <si>
    <t>Understanding media theory / Kevin Williams.</t>
  </si>
  <si>
    <t>Williams, Kevin, 1955-</t>
  </si>
  <si>
    <t>London : Arnold ; New York : Distributed in the U.S.A. by Oxford University Press, 2003.</t>
  </si>
  <si>
    <t>2015-08-04</t>
  </si>
  <si>
    <t>682476:eng</t>
  </si>
  <si>
    <t>41621567</t>
  </si>
  <si>
    <t>ocm41621567</t>
  </si>
  <si>
    <t>31027343212</t>
  </si>
  <si>
    <t>9780340719039</t>
  </si>
  <si>
    <t>793595455</t>
  </si>
  <si>
    <t>P90 W557 2011</t>
  </si>
  <si>
    <t>0                      P  0090000W  557         2011</t>
  </si>
  <si>
    <t>Kittler and the media / Geoffrey Winthrop-Young.</t>
  </si>
  <si>
    <t>Winthrop-Young, Geoffrey, 1960-</t>
  </si>
  <si>
    <t>Cambridge, UK ; Malden, MA : Polity Press, 2011.</t>
  </si>
  <si>
    <t>Theory and media.</t>
  </si>
  <si>
    <t>648699407:eng</t>
  </si>
  <si>
    <t>694728808</t>
  </si>
  <si>
    <t>ocn694728808</t>
  </si>
  <si>
    <t>3103233061U</t>
  </si>
  <si>
    <t>9780745644066</t>
  </si>
  <si>
    <t>794857873</t>
  </si>
  <si>
    <t>P90 W8 1989</t>
  </si>
  <si>
    <t>0                      P  0090000W  8           1989</t>
  </si>
  <si>
    <t>Information anxiety / Richard Saul Wurman.</t>
  </si>
  <si>
    <t>Wurman, Richard Saul, 1935-</t>
  </si>
  <si>
    <t>New York : Doubleday, 1989.</t>
  </si>
  <si>
    <t>2015-11-13</t>
  </si>
  <si>
    <t>836728793:eng</t>
  </si>
  <si>
    <t>18442022</t>
  </si>
  <si>
    <t>ocm18442022</t>
  </si>
  <si>
    <t>3102731991J</t>
  </si>
  <si>
    <t>9780385243940</t>
  </si>
  <si>
    <t>793025711</t>
  </si>
  <si>
    <t>P90 X575 2011</t>
  </si>
  <si>
    <t>0                      P  0090000X  575         2011</t>
  </si>
  <si>
    <t>Xin mei ti shi jian yan jiu / Qiu Linchuan, Chen Taowen zhu bian.</t>
  </si>
  <si>
    <t>Beijing : Zhongguo ren min da xue chu ban she, 2011.</t>
  </si>
  <si>
    <t>Chuan bo yu she hui cong shu</t>
  </si>
  <si>
    <t>1868174863:chi</t>
  </si>
  <si>
    <t>758106555</t>
  </si>
  <si>
    <t>ocn758106555</t>
  </si>
  <si>
    <t>31036674191</t>
  </si>
  <si>
    <t>9787300121093</t>
  </si>
  <si>
    <t>794896084</t>
  </si>
  <si>
    <t>P91 A55 2000</t>
  </si>
  <si>
    <t>0                      P  0091000A  55          2000</t>
  </si>
  <si>
    <t>Primal scenes of communication : communication, consumerism, and social movements / Ian Angus.</t>
  </si>
  <si>
    <t>Angus, Ian H.</t>
  </si>
  <si>
    <t>Albany : State University of New York Press, ©2000.</t>
  </si>
  <si>
    <t>SUNY series in the philosophy of the social sciences</t>
  </si>
  <si>
    <t>2019-03-25</t>
  </si>
  <si>
    <t>800076307:eng</t>
  </si>
  <si>
    <t>42717934</t>
  </si>
  <si>
    <t>ocm42717934</t>
  </si>
  <si>
    <t>3102731956R</t>
  </si>
  <si>
    <t>9780791446652</t>
  </si>
  <si>
    <t>793612569</t>
  </si>
  <si>
    <t>P91 B34 2009</t>
  </si>
  <si>
    <t>0                      P  0091000B  34          2009</t>
  </si>
  <si>
    <t>Reading media theory : thinkers, approaches and contexts / David M. Barlow, Brett Mills.</t>
  </si>
  <si>
    <t>Barlow, David M. (David Maxwell), 1949-</t>
  </si>
  <si>
    <t>Harlow, England ; New York : Pearson Longman, 2009.</t>
  </si>
  <si>
    <t>930369840:eng</t>
  </si>
  <si>
    <t>255142854</t>
  </si>
  <si>
    <t>ocn255142854</t>
  </si>
  <si>
    <t>31028565631</t>
  </si>
  <si>
    <t>9781405821995</t>
  </si>
  <si>
    <t>794398710</t>
  </si>
  <si>
    <t>P91 B43 2012</t>
  </si>
  <si>
    <t>0                      P  0091000B  43          2012</t>
  </si>
  <si>
    <t>Media analysis techniques / Arthur Asa Berger.</t>
  </si>
  <si>
    <t>Thousand Oaks, Calif. : SAGE, ©2012.</t>
  </si>
  <si>
    <t>2017-01-24</t>
  </si>
  <si>
    <t>1045006:eng</t>
  </si>
  <si>
    <t>699379211</t>
  </si>
  <si>
    <t>ocn699379211</t>
  </si>
  <si>
    <t>3103384093Q</t>
  </si>
  <si>
    <t>9781412987769</t>
  </si>
  <si>
    <t>794861387</t>
  </si>
  <si>
    <t>P91 B54 2002</t>
  </si>
  <si>
    <t>0                      P  0091000B  54          2002</t>
  </si>
  <si>
    <t>Media semiotics : an introduction / Jonathan Bignell.</t>
  </si>
  <si>
    <t>Bignell, Jonathan, author.</t>
  </si>
  <si>
    <t>Manchester ; New York : Manchester University Press : Distributed exclusively in the U.S.A. by Palgrave, 2002.</t>
  </si>
  <si>
    <t>2015-10-29</t>
  </si>
  <si>
    <t>38692264:eng</t>
  </si>
  <si>
    <t>48943879</t>
  </si>
  <si>
    <t>ocm48943879</t>
  </si>
  <si>
    <t>31027513166</t>
  </si>
  <si>
    <t>9780719062056</t>
  </si>
  <si>
    <t>793731027</t>
  </si>
  <si>
    <t>3102732007N</t>
  </si>
  <si>
    <t>793731028</t>
  </si>
  <si>
    <t>P91 C27 2000</t>
  </si>
  <si>
    <t>0                      P  0091000C  27          2000</t>
  </si>
  <si>
    <t>Voyeur nation : media, privacy, and peering in modern culture / Clay Calvert.</t>
  </si>
  <si>
    <t>Calvert, Clay (Law professor)</t>
  </si>
  <si>
    <t>Boulder, Colo. : Westview Press, 2000.</t>
  </si>
  <si>
    <t>Critical studies in communication and in the cultural industries</t>
  </si>
  <si>
    <t>51318:eng</t>
  </si>
  <si>
    <t>44426998</t>
  </si>
  <si>
    <t>ocm44426998</t>
  </si>
  <si>
    <t>3102732033H</t>
  </si>
  <si>
    <t>9780813366272</t>
  </si>
  <si>
    <t>793645957</t>
  </si>
  <si>
    <t>P91 C33 1992</t>
  </si>
  <si>
    <t>0                      P  0091000C  33          1992</t>
  </si>
  <si>
    <t>Communication as culture : essays on media and society / James W. Carey.</t>
  </si>
  <si>
    <t>Carey, James W.</t>
  </si>
  <si>
    <t>New York : Routledge, 1992.</t>
  </si>
  <si>
    <t>Media and popular culture ; 1</t>
  </si>
  <si>
    <t>16324494:eng</t>
  </si>
  <si>
    <t>26735061</t>
  </si>
  <si>
    <t>ocm26735061</t>
  </si>
  <si>
    <t>3102804245A</t>
  </si>
  <si>
    <t>9780415907255</t>
  </si>
  <si>
    <t>793250600</t>
  </si>
  <si>
    <t>P91 C3x 1973</t>
  </si>
  <si>
    <t>0                      P  0091000C  3x          1973</t>
  </si>
  <si>
    <t>Oh, what a blow that phantom gave me! / Edmond Carpenter.</t>
  </si>
  <si>
    <t>Carpenter, Edmund, 1922-2011.</t>
  </si>
  <si>
    <t>New York : Holt, Rinehart and Winston, 1973.</t>
  </si>
  <si>
    <t>2019-05-21</t>
  </si>
  <si>
    <t>1648458:eng</t>
  </si>
  <si>
    <t>15766487</t>
  </si>
  <si>
    <t>ocm15766487</t>
  </si>
  <si>
    <t>3102732023J</t>
  </si>
  <si>
    <t>9780030068812</t>
  </si>
  <si>
    <t>792941651</t>
  </si>
  <si>
    <t>2009-03-05</t>
  </si>
  <si>
    <t>3102732018L</t>
  </si>
  <si>
    <t>792941650</t>
  </si>
  <si>
    <t>P91 C495 2007</t>
  </si>
  <si>
    <t>0                      P  0091000C  495         2007</t>
  </si>
  <si>
    <t>The communication of leadership : the design of leadership style / Jonathan Charteris-Black.</t>
  </si>
  <si>
    <t>Charteris-Black, Jonathan, 1955- author.</t>
  </si>
  <si>
    <t>Routledge studies in linguistics</t>
  </si>
  <si>
    <t>796136618:eng</t>
  </si>
  <si>
    <t>68799785</t>
  </si>
  <si>
    <t>ocm68799785</t>
  </si>
  <si>
    <t>3102567212T</t>
  </si>
  <si>
    <t>9780415378291</t>
  </si>
  <si>
    <t>794144299</t>
  </si>
  <si>
    <t>P91 C536 2013</t>
  </si>
  <si>
    <t>0                      P  0091000C  536         2013</t>
  </si>
  <si>
    <t>Communication and community / edited by Patricia Moy, University of Washington.</t>
  </si>
  <si>
    <t>New York, New York : Hampton Press, Inc., [2013]</t>
  </si>
  <si>
    <t>The ICA Conference theme book series</t>
  </si>
  <si>
    <t>2016-04-29</t>
  </si>
  <si>
    <t>5620026935:eng</t>
  </si>
  <si>
    <t>833145433</t>
  </si>
  <si>
    <t>ocn833145433</t>
  </si>
  <si>
    <t>3103499081Y</t>
  </si>
  <si>
    <t>9781612891149</t>
  </si>
  <si>
    <t>794944058</t>
  </si>
  <si>
    <t>P91 C5615 1997</t>
  </si>
  <si>
    <t>0                      P  0091000C  5615        1997</t>
  </si>
  <si>
    <t>Communication strategies : psycholinguistic and sociolinguistic perspectives / edited by Gabriele Kasper and Eric Kellerman.</t>
  </si>
  <si>
    <t>London ; New York : Longman, 1997.</t>
  </si>
  <si>
    <t>836909888:eng</t>
  </si>
  <si>
    <t>36458113</t>
  </si>
  <si>
    <t>ocm36458113</t>
  </si>
  <si>
    <t>3102731999J</t>
  </si>
  <si>
    <t>9780582100176</t>
  </si>
  <si>
    <t>793475753</t>
  </si>
  <si>
    <t>P91 C67 2011</t>
  </si>
  <si>
    <t>0                      P  0091000C  67          2011</t>
  </si>
  <si>
    <t>Theorising media : power, form and subjectivity / John Corner.</t>
  </si>
  <si>
    <t>Corner, John, 1943-</t>
  </si>
  <si>
    <t>Manchester, U.K. ; New York : Manchester University Press ; New York : Distributed in the United States exclusively by Palgrave Macmillan, 2011.</t>
  </si>
  <si>
    <t>2014-02-03</t>
  </si>
  <si>
    <t>1020530828:eng</t>
  </si>
  <si>
    <t>724657336</t>
  </si>
  <si>
    <t>ocn724657336</t>
  </si>
  <si>
    <t>3103382379T</t>
  </si>
  <si>
    <t>9780719082603</t>
  </si>
  <si>
    <t>794876561</t>
  </si>
  <si>
    <t>P91 C85 1990</t>
  </si>
  <si>
    <t>0                      P  0091000C  85          1990</t>
  </si>
  <si>
    <t>Cultural communication and intercultural contact / edited by Donal Carbaugh.</t>
  </si>
  <si>
    <t>Hillsdale, N.J. : L. Erlbaum Associates, 1990.</t>
  </si>
  <si>
    <t>Communication textbook series. Intercultural communication</t>
  </si>
  <si>
    <t>138689199:eng</t>
  </si>
  <si>
    <t>20636246</t>
  </si>
  <si>
    <t>ocm20636246</t>
  </si>
  <si>
    <t>3102731993J</t>
  </si>
  <si>
    <t>9780805807271</t>
  </si>
  <si>
    <t>793093760</t>
  </si>
  <si>
    <t>P91 D67 2001</t>
  </si>
  <si>
    <t>0                      P  0091000D  67          2001</t>
  </si>
  <si>
    <t>Radical media : rebellious communication and social movements / by John D.H. Downing ; with Tamara Villarreal Ford, Genève Gil, and Laura Stein.</t>
  </si>
  <si>
    <t>Downing, John (John Derek Hall)</t>
  </si>
  <si>
    <t>Thousand Oaks, Calif. : Sage Publications, ©2001.</t>
  </si>
  <si>
    <t>836956628:eng</t>
  </si>
  <si>
    <t>43728884</t>
  </si>
  <si>
    <t>ocm43728884</t>
  </si>
  <si>
    <t>31029394234</t>
  </si>
  <si>
    <t>9780803956988</t>
  </si>
  <si>
    <t>793633584</t>
  </si>
  <si>
    <t>P91 E96 2008</t>
  </si>
  <si>
    <t>0                      P  0091000E  96          2008</t>
  </si>
  <si>
    <t>Evolution of communicative flexibility : complexity, creativity, and adaptability in human and animal communication / edited by D Kimbrough Oller and Ulrike Griebel.</t>
  </si>
  <si>
    <t>Cambridge, Mass. : MIT Press, ©2008.</t>
  </si>
  <si>
    <t>The Vienna series in theoretical biology</t>
  </si>
  <si>
    <t>792866664:eng</t>
  </si>
  <si>
    <t>192045666</t>
  </si>
  <si>
    <t>ocn192045666</t>
  </si>
  <si>
    <t>31029737161</t>
  </si>
  <si>
    <t>9780262151214</t>
  </si>
  <si>
    <t>794302916</t>
  </si>
  <si>
    <t>P91 F3 1968</t>
  </si>
  <si>
    <t>0                      P  0091000F  3           1968</t>
  </si>
  <si>
    <t>Communications: the transfer of meaning, by Don Fabun, with the assistance of Niels Sundermeyer. Art direction by Bob Conover.</t>
  </si>
  <si>
    <t>Fabun, Don.</t>
  </si>
  <si>
    <t>Beverly Hills, Calif., Glencoe Press [1968]</t>
  </si>
  <si>
    <t>[Rev. and enl. ed.].</t>
  </si>
  <si>
    <t>398897:eng</t>
  </si>
  <si>
    <t>66636</t>
  </si>
  <si>
    <t>ocm00066636</t>
  </si>
  <si>
    <t>3102731996J</t>
  </si>
  <si>
    <t>9780024774903</t>
  </si>
  <si>
    <t>791244716</t>
  </si>
  <si>
    <t>30009938522</t>
  </si>
  <si>
    <t>791244715</t>
  </si>
  <si>
    <t>P91 H34 1967</t>
  </si>
  <si>
    <t>0                      P  0091000H  34          1967</t>
  </si>
  <si>
    <t>The popular arts, by Stuart Hall and Paddy Whannel.</t>
  </si>
  <si>
    <t>Hall, Stuart.</t>
  </si>
  <si>
    <t>Boston, Beacon Press [1967, ©1964]</t>
  </si>
  <si>
    <t>2019-10-27</t>
  </si>
  <si>
    <t>57497796:eng</t>
  </si>
  <si>
    <t>1707125</t>
  </si>
  <si>
    <t>ocm01707125</t>
  </si>
  <si>
    <t>3102732063B</t>
  </si>
  <si>
    <t>791841167</t>
  </si>
  <si>
    <t>P91 I56 1990</t>
  </si>
  <si>
    <t>0                      P  0091000I  56          1990</t>
  </si>
  <si>
    <t>Intentions in communication / edited by Philip R. Cohen, Jerry Morgan, and Martha E. Pollack.</t>
  </si>
  <si>
    <t>Cambridge, Mass. : MIT Press, ©1990.</t>
  </si>
  <si>
    <t>Systems Development Foundation benchmark series</t>
  </si>
  <si>
    <t>2017-10-26</t>
  </si>
  <si>
    <t>345779938:eng</t>
  </si>
  <si>
    <t>20055637</t>
  </si>
  <si>
    <t>ocm20055637</t>
  </si>
  <si>
    <t>3102732059D</t>
  </si>
  <si>
    <t>9780262031509</t>
  </si>
  <si>
    <t>793076071</t>
  </si>
  <si>
    <t>- Life Sciences Section - By Request</t>
  </si>
  <si>
    <t>P 91 I61 1990</t>
  </si>
  <si>
    <t>0                      P  0091000I  61          1990</t>
  </si>
  <si>
    <t>3100854614Y</t>
  </si>
  <si>
    <t>793076070</t>
  </si>
  <si>
    <t>P91 K4</t>
  </si>
  <si>
    <t>0                      P  0091000K  4</t>
  </si>
  <si>
    <t>The effects of mass communication.</t>
  </si>
  <si>
    <t>Klapper, Joseph T.</t>
  </si>
  <si>
    <t>Glencoe, Ill., Free Press [1960]</t>
  </si>
  <si>
    <t>Foundations of communications research ; v. 3</t>
  </si>
  <si>
    <t>2006-11-30</t>
  </si>
  <si>
    <t>4820452190:eng</t>
  </si>
  <si>
    <t>41173374</t>
  </si>
  <si>
    <t>ocm41173374</t>
  </si>
  <si>
    <t>31027320807</t>
  </si>
  <si>
    <t>793586019</t>
  </si>
  <si>
    <t>2006-12-01</t>
  </si>
  <si>
    <t>3102608114F</t>
  </si>
  <si>
    <t>793586020</t>
  </si>
  <si>
    <t>31027320759</t>
  </si>
  <si>
    <t>793586018</t>
  </si>
  <si>
    <t>30009938530</t>
  </si>
  <si>
    <t>793586017</t>
  </si>
  <si>
    <t>P91 L34 1988</t>
  </si>
  <si>
    <t>0                      P  0091000L  34          1988</t>
  </si>
  <si>
    <t>Phenomenology of communication : Merleau-Ponty's thematics in communicology and semiology / Richard L. Lanigan.</t>
  </si>
  <si>
    <t>Lanigan, Richard L.</t>
  </si>
  <si>
    <t>Pittsburgh, PA : Duquesne University Press, ©1988.</t>
  </si>
  <si>
    <t>229730557:eng</t>
  </si>
  <si>
    <t>16717028</t>
  </si>
  <si>
    <t>ocm16717028</t>
  </si>
  <si>
    <t>31027320769</t>
  </si>
  <si>
    <t>9780820701851</t>
  </si>
  <si>
    <t>792970072</t>
  </si>
  <si>
    <t>P91 M25 2007</t>
  </si>
  <si>
    <t>0                      P  0091000M  25          2007</t>
  </si>
  <si>
    <t>Communication revolution : critical junctures and the future of media / Robert W. McChesney.</t>
  </si>
  <si>
    <t>McChesney, Robert Waterman, 1952-</t>
  </si>
  <si>
    <t>New York : New Press : Distributed by W.W. Norton &amp; Co., 2007.</t>
  </si>
  <si>
    <t>198243556:eng</t>
  </si>
  <si>
    <t>124031823</t>
  </si>
  <si>
    <t>ocn124031823</t>
  </si>
  <si>
    <t>3103151059$</t>
  </si>
  <si>
    <t>9781595582072</t>
  </si>
  <si>
    <t>794229397</t>
  </si>
  <si>
    <t>2014-08-20</t>
  </si>
  <si>
    <t>31026428070</t>
  </si>
  <si>
    <t>794229396</t>
  </si>
  <si>
    <t>P91 M274</t>
  </si>
  <si>
    <t>0                      P  0091000M  274</t>
  </si>
  <si>
    <t>Culture is our business [by] Marshall McLuhan.</t>
  </si>
  <si>
    <t>New York, McGraw-Hill [1970]</t>
  </si>
  <si>
    <t>2015-06-15</t>
  </si>
  <si>
    <t>52364980:eng</t>
  </si>
  <si>
    <t>68442</t>
  </si>
  <si>
    <t>ocm00068442</t>
  </si>
  <si>
    <t>3102732041F</t>
  </si>
  <si>
    <t>791245284</t>
  </si>
  <si>
    <t>3000992988J</t>
  </si>
  <si>
    <t>791245283</t>
  </si>
  <si>
    <t>P91 M379 1992</t>
  </si>
  <si>
    <t>0                      P  0091000M  379         1992</t>
  </si>
  <si>
    <t>Media cultures : reappraising transnational media / edited by Michael Skovmand and Kim Christian Schrøder.</t>
  </si>
  <si>
    <t>London ; New York : Routledge, 1992.</t>
  </si>
  <si>
    <t>836907148:eng</t>
  </si>
  <si>
    <t>24429880</t>
  </si>
  <si>
    <t>ocm24429880</t>
  </si>
  <si>
    <t>3102732108K</t>
  </si>
  <si>
    <t>9780415063845</t>
  </si>
  <si>
    <t>793198059</t>
  </si>
  <si>
    <t>P91 M3794 2000</t>
  </si>
  <si>
    <t>0                      P  0091000M  3794        2000</t>
  </si>
  <si>
    <t>Media studies : a reader / edited by Paul Marris and Sue Thornham.</t>
  </si>
  <si>
    <t>New York : New York University Press, 2000.</t>
  </si>
  <si>
    <t>836973470:eng</t>
  </si>
  <si>
    <t>42733601</t>
  </si>
  <si>
    <t>ocm42733601</t>
  </si>
  <si>
    <t>31027694123</t>
  </si>
  <si>
    <t>9780814756478</t>
  </si>
  <si>
    <t>793612970</t>
  </si>
  <si>
    <t>P91 M3794 2009</t>
  </si>
  <si>
    <t>0                      P  0091000M  3794        2009</t>
  </si>
  <si>
    <t>Media studies : a reader / edited by Sue Thornham, Caroline Bassett and Paul Marris.</t>
  </si>
  <si>
    <t>Edinburgh : Edinburgh University Press, ©2009.</t>
  </si>
  <si>
    <t>427541875</t>
  </si>
  <si>
    <t>ocn427541875</t>
  </si>
  <si>
    <t>3102859846L</t>
  </si>
  <si>
    <t>9780748637843</t>
  </si>
  <si>
    <t>794681059</t>
  </si>
  <si>
    <t>P91 M58 2011</t>
  </si>
  <si>
    <t>0                      P  0091000M  58          2011</t>
  </si>
  <si>
    <t>Counterblast / Marshall McLuhan ; foreword by W. Terrence Gordon.</t>
  </si>
  <si>
    <t>McLuhan, Marshall, 1911-1980. author.</t>
  </si>
  <si>
    <t>Berkeley, California : Gingko Press, 2011.</t>
  </si>
  <si>
    <t>1954 edition.</t>
  </si>
  <si>
    <t>52566677:eng</t>
  </si>
  <si>
    <t>701021876</t>
  </si>
  <si>
    <t>ocn701021876</t>
  </si>
  <si>
    <t>3103362024L</t>
  </si>
  <si>
    <t>9781584234524</t>
  </si>
  <si>
    <t>794862521</t>
  </si>
  <si>
    <t>P91 O73 1996</t>
  </si>
  <si>
    <t>0                      P  0091000O  73          1996</t>
  </si>
  <si>
    <t>Orality, literacy, and modern media / edited by Dietrich Scheunemann.</t>
  </si>
  <si>
    <t>Columbia, SC : Camden House, ©1996.</t>
  </si>
  <si>
    <t>2007-05-08</t>
  </si>
  <si>
    <t>39646495:eng</t>
  </si>
  <si>
    <t>33948812</t>
  </si>
  <si>
    <t>ocm33948812</t>
  </si>
  <si>
    <t>31027320847</t>
  </si>
  <si>
    <t>9781571130327</t>
  </si>
  <si>
    <t>793414898</t>
  </si>
  <si>
    <t>3102598520$</t>
  </si>
  <si>
    <t>793414897</t>
  </si>
  <si>
    <t>P91 P48 2015</t>
  </si>
  <si>
    <t>0                      P  0091000P  48          2015</t>
  </si>
  <si>
    <t>The marvelous clouds : toward a philosophy of elemental media / John Durham Peters.</t>
  </si>
  <si>
    <t>Peters, John Durham, author.</t>
  </si>
  <si>
    <t>Chicago ; London : The University of Chicago Press, 2015.</t>
  </si>
  <si>
    <t>2072655012:eng</t>
  </si>
  <si>
    <t>890360375</t>
  </si>
  <si>
    <t>ocn890360375</t>
  </si>
  <si>
    <t>31037005796</t>
  </si>
  <si>
    <t>9780226253831</t>
  </si>
  <si>
    <t>794979138</t>
  </si>
  <si>
    <t>P91 P48 2016</t>
  </si>
  <si>
    <t>0                      P  0091000P  48          2016</t>
  </si>
  <si>
    <t>The marvelous clouds : toward a philosophy of elemental media. / John Durham Peters.</t>
  </si>
  <si>
    <t>Chicago : University of Chicago Press, 2016.</t>
  </si>
  <si>
    <t>Paperback edition.</t>
  </si>
  <si>
    <t>944157471</t>
  </si>
  <si>
    <t>ocn944157471</t>
  </si>
  <si>
    <t>3103696915D</t>
  </si>
  <si>
    <t>9780226421353</t>
  </si>
  <si>
    <t>795012740</t>
  </si>
  <si>
    <t>P91 P6 1988</t>
  </si>
  <si>
    <t>0                      P  0091000P  6           1988</t>
  </si>
  <si>
    <t>The Political economy of information / edited by Vincent Mosco and Janet Wasko.</t>
  </si>
  <si>
    <t>Madison, Wis. : University of Wisconsin Press, 1988.</t>
  </si>
  <si>
    <t>Studies in communication and society</t>
  </si>
  <si>
    <t>506012576:eng</t>
  </si>
  <si>
    <t>17106342</t>
  </si>
  <si>
    <t>ocm17106342</t>
  </si>
  <si>
    <t>3102732126G</t>
  </si>
  <si>
    <t>9780299115708</t>
  </si>
  <si>
    <t>792982461</t>
  </si>
  <si>
    <t>P91 R44 1989</t>
  </si>
  <si>
    <t>0                      P  0091000R  44          1989</t>
  </si>
  <si>
    <t>Rethinking communication / editors Brenda Dervin [and others].</t>
  </si>
  <si>
    <t>Newbury Park, Calif. : SAGE publications ; [New Brunswick, N.J.] : Published in cooperation with the International Communication Association, 1989.</t>
  </si>
  <si>
    <t>349950131:eng</t>
  </si>
  <si>
    <t>18815667</t>
  </si>
  <si>
    <t>ocm18815667</t>
  </si>
  <si>
    <t>3102710826D</t>
  </si>
  <si>
    <t>9780803930292</t>
  </si>
  <si>
    <t>793037914</t>
  </si>
  <si>
    <t>P91 R442 2010</t>
  </si>
  <si>
    <t>0                      P  0091000R  442         2010</t>
  </si>
  <si>
    <t>Rethinking communication : keywords in communication research / edited by Stuart Allan.</t>
  </si>
  <si>
    <t>Cresskill, N.J. : Hampton Press, ©2010.</t>
  </si>
  <si>
    <t>479457870:eng</t>
  </si>
  <si>
    <t>611965145</t>
  </si>
  <si>
    <t>ocn611965145</t>
  </si>
  <si>
    <t>3103226542C</t>
  </si>
  <si>
    <t>9781572739567</t>
  </si>
  <si>
    <t>794821213</t>
  </si>
  <si>
    <t>P91 S46 1996</t>
  </si>
  <si>
    <t>0                      P  0091000S  46          1996</t>
  </si>
  <si>
    <t>Mediating the message : theories of influences on mass media content / Pamela J. Shoemaker, Stephen D. Reese.</t>
  </si>
  <si>
    <t>White Plains, N.Y. : Longman, ©1996.</t>
  </si>
  <si>
    <t>23151579:eng</t>
  </si>
  <si>
    <t>30815851</t>
  </si>
  <si>
    <t>ocm30815851</t>
  </si>
  <si>
    <t>3102732147C</t>
  </si>
  <si>
    <t>9780801312519</t>
  </si>
  <si>
    <t>793345842</t>
  </si>
  <si>
    <t>P91 S46 2014</t>
  </si>
  <si>
    <t>0                      P  0091000S  46          2014</t>
  </si>
  <si>
    <t>Mediating the message in the 21st century : a media Sociology perspective / Pamela J. Shoemaker, Stephen D. Reese.</t>
  </si>
  <si>
    <t>Third edition.</t>
  </si>
  <si>
    <t>2886832005:eng</t>
  </si>
  <si>
    <t>864535114</t>
  </si>
  <si>
    <t>ocn864535114</t>
  </si>
  <si>
    <t>31035027944</t>
  </si>
  <si>
    <t>9780415989138</t>
  </si>
  <si>
    <t>794962154</t>
  </si>
  <si>
    <t>P91 T3 1964</t>
  </si>
  <si>
    <t>0                      P  0091000T  3           1964</t>
  </si>
  <si>
    <t>Culture for the millions? / mass media in modern society ; ed. by N. Jacobs.</t>
  </si>
  <si>
    <t>Jacobs, Norman, 1914-</t>
  </si>
  <si>
    <t>Boston : Beacon Press, 1964.</t>
  </si>
  <si>
    <t>Beacon ser. in contemp. communications) (beacon paperback no.bp184</t>
  </si>
  <si>
    <t>1360422:eng</t>
  </si>
  <si>
    <t>223362361</t>
  </si>
  <si>
    <t>ocn223362361</t>
  </si>
  <si>
    <t>3102732153A</t>
  </si>
  <si>
    <t>9780807061992</t>
  </si>
  <si>
    <t>794335212</t>
  </si>
  <si>
    <t>3001011596X</t>
  </si>
  <si>
    <t>794335211</t>
  </si>
  <si>
    <t>P91 W3 1977</t>
  </si>
  <si>
    <t>0                      P  0091000W  3           1977</t>
  </si>
  <si>
    <t>How real is real? : confusion, disinformation, communication / Paul Watzlawick.</t>
  </si>
  <si>
    <t>Watzlawick, Paul, 1921-2007, author.</t>
  </si>
  <si>
    <t>New York : Vintage Books, 1977.</t>
  </si>
  <si>
    <t>First Vintage books edition.</t>
  </si>
  <si>
    <t>Vintage work of science and psychology ; V-256</t>
  </si>
  <si>
    <t>2002-06-20</t>
  </si>
  <si>
    <t>2863461916:eng</t>
  </si>
  <si>
    <t>2425092</t>
  </si>
  <si>
    <t>ocm02425092</t>
  </si>
  <si>
    <t>31027321648</t>
  </si>
  <si>
    <t>9780394722566</t>
  </si>
  <si>
    <t>792120293</t>
  </si>
  <si>
    <t>3102732133E</t>
  </si>
  <si>
    <t>792120291</t>
  </si>
  <si>
    <t>3000984947T</t>
  </si>
  <si>
    <t>792120292</t>
  </si>
  <si>
    <t>P91 W59 2002</t>
  </si>
  <si>
    <t>0                      P  0091000W  59          2002</t>
  </si>
  <si>
    <t>Word, image, number : communication in the Middle Ages / edited by John J. Contreni and Santa Casciani.</t>
  </si>
  <si>
    <t>[Firenze] : SISMEL edizioni del Galluzzo, 2002.</t>
  </si>
  <si>
    <t>Micrologus' library ; 8</t>
  </si>
  <si>
    <t>2018-02-14</t>
  </si>
  <si>
    <t>865287403:eng</t>
  </si>
  <si>
    <t>50569090</t>
  </si>
  <si>
    <t>ocm50569090</t>
  </si>
  <si>
    <t>31029834361</t>
  </si>
  <si>
    <t>9788884500212</t>
  </si>
  <si>
    <t>793767883</t>
  </si>
  <si>
    <t>P91 Z53813 2006</t>
  </si>
  <si>
    <t>0                      P  0091000Z  53813       2006</t>
  </si>
  <si>
    <t>Deep time of the media : toward an archaeology of hearing and seeing by technical means / Siegfried Zielinski ; translated by Gloria Custance.</t>
  </si>
  <si>
    <t>Zielinski, Siegfried.</t>
  </si>
  <si>
    <t>Electronic culture--history, theory, practice</t>
  </si>
  <si>
    <t>2556630:eng</t>
  </si>
  <si>
    <t>59818260</t>
  </si>
  <si>
    <t>ocm59818260</t>
  </si>
  <si>
    <t>31025452610</t>
  </si>
  <si>
    <t>9780262240499</t>
  </si>
  <si>
    <t>793931993</t>
  </si>
  <si>
    <t>P91.25 A122 2017</t>
  </si>
  <si>
    <t>0                      P  0091250A  122         2017</t>
  </si>
  <si>
    <t>20 ans revue COMMposite : anthologie reflexive / préface, France Aubin, Éric George, Guillaume Latzko-Toth et Florence Millerand ; introduction, William Grondin et Bachir Sirois-Moumni ; Marie Bénéjean, Stéfany Boisvert, Geneviève Boivin, Luc Bonneville, Tara Chanady, Jean-Claude Domenget, Fabien Dumais [and 26 others].</t>
  </si>
  <si>
    <t>Montréal : La revue électronique COMMposite, 2017.</t>
  </si>
  <si>
    <t>5068614857:fre</t>
  </si>
  <si>
    <t>1043763018</t>
  </si>
  <si>
    <t>on1043763018</t>
  </si>
  <si>
    <t>3103785871B</t>
  </si>
  <si>
    <t>795059787</t>
  </si>
  <si>
    <t>P91.25 B468 2005</t>
  </si>
  <si>
    <t>0                      P  0091250B  468         2005</t>
  </si>
  <si>
    <t>Making sense of media : key texts in media and cultural studies / [edited by] Arthur Asa Berger.</t>
  </si>
  <si>
    <t>2015-08-18</t>
  </si>
  <si>
    <t>14235712:eng</t>
  </si>
  <si>
    <t>55286087</t>
  </si>
  <si>
    <t>ocm55286087</t>
  </si>
  <si>
    <t>31029516828</t>
  </si>
  <si>
    <t>9781405120166</t>
  </si>
  <si>
    <t>793876527</t>
  </si>
  <si>
    <t>P91.25 C18 2010</t>
  </si>
  <si>
    <t>0                      P  0091250C  18          2010</t>
  </si>
  <si>
    <t>Communicology : the new science of embodied discourse / edited by Deborah Eicher-Catt and Isaac E. Catt.</t>
  </si>
  <si>
    <t>Madison : Fairleigh Dickinson University Press, ©2010.</t>
  </si>
  <si>
    <t>888409565:eng</t>
  </si>
  <si>
    <t>431934727</t>
  </si>
  <si>
    <t>ocn431934727</t>
  </si>
  <si>
    <t>3103240695D</t>
  </si>
  <si>
    <t>9780838641477</t>
  </si>
  <si>
    <t>794781552</t>
  </si>
  <si>
    <t>P91.25 C59983 2012</t>
  </si>
  <si>
    <t>0                      P  0091250C  59983       2012</t>
  </si>
  <si>
    <t>Communication @ the center / edited by Steve Jones, University of Illinois Chicago.</t>
  </si>
  <si>
    <t>New York, New York : Hampton Press, Inc., [2012]</t>
  </si>
  <si>
    <t>1086709100:eng</t>
  </si>
  <si>
    <t>779606985</t>
  </si>
  <si>
    <t>ocn779606985</t>
  </si>
  <si>
    <t>3103429275S</t>
  </si>
  <si>
    <t>9781612890821</t>
  </si>
  <si>
    <t>794911105</t>
  </si>
  <si>
    <t>P91.25 C83 1992</t>
  </si>
  <si>
    <t>0                      P  0091250C  83          1992</t>
  </si>
  <si>
    <t>Culture and power : a media, culture &amp; society reader / edited by Paddy Scannell, Philip Schlesinger, and Colin Sparks.</t>
  </si>
  <si>
    <t>London ; Newbury Park, Calif. : Sage Publications, 1992.</t>
  </si>
  <si>
    <t>The Media, culture &amp; society series</t>
  </si>
  <si>
    <t>836903450:eng</t>
  </si>
  <si>
    <t>27236545</t>
  </si>
  <si>
    <t>ocm27236545</t>
  </si>
  <si>
    <t>3102732145C</t>
  </si>
  <si>
    <t>9780803986305</t>
  </si>
  <si>
    <t>793262637</t>
  </si>
  <si>
    <t>P91.25 G47 2002</t>
  </si>
  <si>
    <t>0                      P  0091250G  47          2002</t>
  </si>
  <si>
    <t>Against the mainstream : the selected works of George Gerbner / edited by Michael Morgan.</t>
  </si>
  <si>
    <t>Gerbner, George.</t>
  </si>
  <si>
    <t>New York : P. Lang, ©2002.</t>
  </si>
  <si>
    <t>Media &amp; culture ; vol. 1</t>
  </si>
  <si>
    <t>2015-01-29</t>
  </si>
  <si>
    <t>196186859:eng</t>
  </si>
  <si>
    <t>47283115</t>
  </si>
  <si>
    <t>ocm47283115</t>
  </si>
  <si>
    <t>3102732135E</t>
  </si>
  <si>
    <t>9780820441634</t>
  </si>
  <si>
    <t>793702586</t>
  </si>
  <si>
    <t>P91.25 I48 1986</t>
  </si>
  <si>
    <t>0                      P  0091250I  48          1986</t>
  </si>
  <si>
    <t>Inter/media : interpersonal communication in a media world / edited by Gary Gumpert and Robert Cathcart.</t>
  </si>
  <si>
    <t>New York : Oxford University Press, 1986.</t>
  </si>
  <si>
    <t>836726286:eng</t>
  </si>
  <si>
    <t>12420761</t>
  </si>
  <si>
    <t>ocm12420761</t>
  </si>
  <si>
    <t>3102732130E</t>
  </si>
  <si>
    <t>9780195039832</t>
  </si>
  <si>
    <t>792815122</t>
  </si>
  <si>
    <t>P91.25 M364 1994</t>
  </si>
  <si>
    <t>0                      P  0091250M  364         1994</t>
  </si>
  <si>
    <t>Materialities of communication / edited by Hans Ulrich Gumbrecht and K. Ludwig Pfeiffer ; translated by William Whobrey.</t>
  </si>
  <si>
    <t>Stanford, Calif. : Stanford University Press, 1994.</t>
  </si>
  <si>
    <t>Writing science</t>
  </si>
  <si>
    <t>355343937:eng</t>
  </si>
  <si>
    <t>28213585</t>
  </si>
  <si>
    <t>ocm28213585</t>
  </si>
  <si>
    <t>31027321716</t>
  </si>
  <si>
    <t>9780804722636</t>
  </si>
  <si>
    <t>793282678</t>
  </si>
  <si>
    <t>P91.25 M3645 2012</t>
  </si>
  <si>
    <t>0                      P  0091250M  3645        2012</t>
  </si>
  <si>
    <t>Media studies : the basics / Julian McDougall.</t>
  </si>
  <si>
    <t>McDougall, Julian.</t>
  </si>
  <si>
    <t>Abingdon, Oxon ; New York, NY : Routledge, 2012.</t>
  </si>
  <si>
    <t>The basics</t>
  </si>
  <si>
    <t>1120472773:eng</t>
  </si>
  <si>
    <t>746838425</t>
  </si>
  <si>
    <t>ocn746838425</t>
  </si>
  <si>
    <t>3103414968Y</t>
  </si>
  <si>
    <t>9780415681261</t>
  </si>
  <si>
    <t>794887529</t>
  </si>
  <si>
    <t>P91.25 M365 2005</t>
  </si>
  <si>
    <t>0                      P  0091250M  365         2005</t>
  </si>
  <si>
    <t>Marshall McLuhan.</t>
  </si>
  <si>
    <t>v.0</t>
  </si>
  <si>
    <t>Corte Madera, CA : Ginko Press, ©2005.</t>
  </si>
  <si>
    <t>9658310083:eng</t>
  </si>
  <si>
    <t>63661170</t>
  </si>
  <si>
    <t>ocm63661170</t>
  </si>
  <si>
    <t>3102548290J</t>
  </si>
  <si>
    <t>9781584230519</t>
  </si>
  <si>
    <t>794122141</t>
  </si>
  <si>
    <t>3102548299J</t>
  </si>
  <si>
    <t>794122127</t>
  </si>
  <si>
    <t>3102548266P</t>
  </si>
  <si>
    <t>794122133</t>
  </si>
  <si>
    <t>3102548279N</t>
  </si>
  <si>
    <t>794122123</t>
  </si>
  <si>
    <t>3102548261P</t>
  </si>
  <si>
    <t>794122134</t>
  </si>
  <si>
    <t>3102548275N</t>
  </si>
  <si>
    <t>794122131</t>
  </si>
  <si>
    <t>3102548271N</t>
  </si>
  <si>
    <t>794122136</t>
  </si>
  <si>
    <t>3102548289L</t>
  </si>
  <si>
    <t>794122125</t>
  </si>
  <si>
    <t>3102548281L</t>
  </si>
  <si>
    <t>794122140</t>
  </si>
  <si>
    <t>3102548276N</t>
  </si>
  <si>
    <t>794122135</t>
  </si>
  <si>
    <t>3102548270N</t>
  </si>
  <si>
    <t>794122132</t>
  </si>
  <si>
    <t>3102548284L</t>
  </si>
  <si>
    <t>794122126</t>
  </si>
  <si>
    <t>3102548274N</t>
  </si>
  <si>
    <t>794122124</t>
  </si>
  <si>
    <t>B000670184</t>
  </si>
  <si>
    <t>794122120</t>
  </si>
  <si>
    <t>3102548280L</t>
  </si>
  <si>
    <t>794122138</t>
  </si>
  <si>
    <t>3102548294J</t>
  </si>
  <si>
    <t>794122128</t>
  </si>
  <si>
    <t>3102548265P</t>
  </si>
  <si>
    <t>794122129</t>
  </si>
  <si>
    <t>3102548285L</t>
  </si>
  <si>
    <t>794122137</t>
  </si>
  <si>
    <t>3102548286L</t>
  </si>
  <si>
    <t>794122139</t>
  </si>
  <si>
    <t>3102548264P</t>
  </si>
  <si>
    <t>794122121</t>
  </si>
  <si>
    <t>3102548260P</t>
  </si>
  <si>
    <t>794122130</t>
  </si>
  <si>
    <t>3102548259R</t>
  </si>
  <si>
    <t>794122122</t>
  </si>
  <si>
    <t>P91.25 N39 1990</t>
  </si>
  <si>
    <t>0                      P  0091250N  39          1990</t>
  </si>
  <si>
    <t>Bankers, bagmen, and bandits : business and politics in the age of greed / R.T. Naylor.</t>
  </si>
  <si>
    <t>Naylor, R. T., 1945-</t>
  </si>
  <si>
    <t>Montreal ; New York : Black Rose Books, ©1990.</t>
  </si>
  <si>
    <t>341724998:eng</t>
  </si>
  <si>
    <t>23468730</t>
  </si>
  <si>
    <t>ocm23468730</t>
  </si>
  <si>
    <t>31027321618</t>
  </si>
  <si>
    <t>9780921689768</t>
  </si>
  <si>
    <t>793172296</t>
  </si>
  <si>
    <t>P91.27 H37 2011</t>
  </si>
  <si>
    <t>0                      P  0091270H  37          2011</t>
  </si>
  <si>
    <t>The uses of digital literacy / John Hartley.</t>
  </si>
  <si>
    <t>Hartley, John, 1948-</t>
  </si>
  <si>
    <t>New Brunswick, N.J. : Transaction Publishers, 2011.</t>
  </si>
  <si>
    <t>Creative economy and innovation culture series</t>
  </si>
  <si>
    <t>2014-03-29</t>
  </si>
  <si>
    <t>156846759:eng</t>
  </si>
  <si>
    <t>495276835</t>
  </si>
  <si>
    <t>ocn495276835</t>
  </si>
  <si>
    <t>31032265962</t>
  </si>
  <si>
    <t>9781412814294</t>
  </si>
  <si>
    <t>794801656</t>
  </si>
  <si>
    <t>P91.28 G36 2016</t>
  </si>
  <si>
    <t>0                      P  0091280G  36          2016</t>
  </si>
  <si>
    <t>Chuan bo bian jie de xiao shi : hu lian wang kai qi zai zao wen ming shi dai = The melting of dissemination boundaries / Gao Gang zhu.</t>
  </si>
  <si>
    <t>Gao, Gang, 1953- author.</t>
  </si>
  <si>
    <t>Beijing : Zhong yang guang bo dian shi da xue chu ban she, 2016.</t>
  </si>
  <si>
    <t>4017330145:chi</t>
  </si>
  <si>
    <t>967781147</t>
  </si>
  <si>
    <t>ocn967781147</t>
  </si>
  <si>
    <t>3103793279N</t>
  </si>
  <si>
    <t>9787304078270</t>
  </si>
  <si>
    <t>795026735</t>
  </si>
  <si>
    <t>P91.3 A48 2013</t>
  </si>
  <si>
    <t>0                      P  0091300A  48          2013</t>
  </si>
  <si>
    <t>Qualitative media analysis / David L. Altheide, Christopher J. Schneider.</t>
  </si>
  <si>
    <t>Altheide, David L.</t>
  </si>
  <si>
    <t>Los Angeles : Sage Publications, ©2013.</t>
  </si>
  <si>
    <t>Qualitative research methods ; v. 38</t>
  </si>
  <si>
    <t>37600452:eng</t>
  </si>
  <si>
    <t>793340162</t>
  </si>
  <si>
    <t>ocn793340162</t>
  </si>
  <si>
    <t>3103414424K</t>
  </si>
  <si>
    <t>9781452230054</t>
  </si>
  <si>
    <t>794918025</t>
  </si>
  <si>
    <t>P91.3 A485 1999</t>
  </si>
  <si>
    <t>0                      P  0091300A  485         1999</t>
  </si>
  <si>
    <t>Popular culture in the classroom : teaching and researching critical media literacy / Donna E. Alvermann, Jennifer S. Moon, Margaret C. Hagood.</t>
  </si>
  <si>
    <t>Alvermann, Donna E.</t>
  </si>
  <si>
    <t>Newark, Del. : International Reading Association ; Chicago, Ill. : National Reading Conference, ©1999.</t>
  </si>
  <si>
    <t>Literacy studies series</t>
  </si>
  <si>
    <t>312473096:eng</t>
  </si>
  <si>
    <t>40521298</t>
  </si>
  <si>
    <t>ocm40521298</t>
  </si>
  <si>
    <t>31022007960</t>
  </si>
  <si>
    <t>9780872072459</t>
  </si>
  <si>
    <t>793568951</t>
  </si>
  <si>
    <t>P91.3 A58 2012</t>
  </si>
  <si>
    <t>0                      P  0091300A  58          2012</t>
  </si>
  <si>
    <t>Media research methods : understanding metric and interpretive approaches / James A. Anderson.</t>
  </si>
  <si>
    <t>Anderson, James A.</t>
  </si>
  <si>
    <t>Los Angeles, Calif. : SAGE Publications, ©2012.</t>
  </si>
  <si>
    <t>2017-08-18</t>
  </si>
  <si>
    <t>796717531:eng</t>
  </si>
  <si>
    <t>706020676</t>
  </si>
  <si>
    <t>ocn706020676</t>
  </si>
  <si>
    <t>3103385269M</t>
  </si>
  <si>
    <t>9781412999564</t>
  </si>
  <si>
    <t>794866490</t>
  </si>
  <si>
    <t>P91.3 B385 2011</t>
  </si>
  <si>
    <t>0                      P  0091300B  385         2011</t>
  </si>
  <si>
    <t>Media and communication research methods : an introduction to qualitative and quantitative approaches / Arthur Asa Berger.</t>
  </si>
  <si>
    <t>Thousand Oaks : SAGE Publications, ©2011.</t>
  </si>
  <si>
    <t>793567720:eng</t>
  </si>
  <si>
    <t>617425457</t>
  </si>
  <si>
    <t>ocn617425457</t>
  </si>
  <si>
    <t>3103312435W</t>
  </si>
  <si>
    <t>9781412987776</t>
  </si>
  <si>
    <t>794822872</t>
  </si>
  <si>
    <t>P91.3 B387 2005</t>
  </si>
  <si>
    <t>0                      P  0091300B  387         2005</t>
  </si>
  <si>
    <t>Media research methods : audiences, institutions, texts / Ina Bertrand and Peter Hughes.</t>
  </si>
  <si>
    <t>Bertrand, Ina, 1939-</t>
  </si>
  <si>
    <t>New York : Palgrave Macmillan, 2005.</t>
  </si>
  <si>
    <t>865297781:eng</t>
  </si>
  <si>
    <t>55625456</t>
  </si>
  <si>
    <t>ocm55625456</t>
  </si>
  <si>
    <t>31027321726</t>
  </si>
  <si>
    <t>9780333960943</t>
  </si>
  <si>
    <t>793879717</t>
  </si>
  <si>
    <t>P91.3 B39 1993</t>
  </si>
  <si>
    <t>0                      P  0091300B  39          1993</t>
  </si>
  <si>
    <t>Beyond agendas : new directions in communication research / edited by Philip Gaunt ; foreword by Everette E. Dennis ; sponsored by Southwestern Bell Foundation.</t>
  </si>
  <si>
    <t>Westport, Conn. : Greenwood Press, 1993.</t>
  </si>
  <si>
    <t>Contributions to the study of mass media and communications, 0732-4456 ; no. 43</t>
  </si>
  <si>
    <t>836736085:eng</t>
  </si>
  <si>
    <t>27897423</t>
  </si>
  <si>
    <t>ocm27897423</t>
  </si>
  <si>
    <t>3102732213F</t>
  </si>
  <si>
    <t>9780313288630</t>
  </si>
  <si>
    <t>793274871</t>
  </si>
  <si>
    <t>P91.3 B74 2013</t>
  </si>
  <si>
    <t>0                      P  0091300B  74          2013</t>
  </si>
  <si>
    <t>Qualitative research methods for media studies / Bonnie S. Brennen.</t>
  </si>
  <si>
    <t>Brennen, Bonnie.</t>
  </si>
  <si>
    <t>New York ; London : Routledge, ©2013.</t>
  </si>
  <si>
    <t>1167163961:eng</t>
  </si>
  <si>
    <t>748335423</t>
  </si>
  <si>
    <t>ocn748335423</t>
  </si>
  <si>
    <t>3103479761R</t>
  </si>
  <si>
    <t>9780415890212</t>
  </si>
  <si>
    <t>794889183</t>
  </si>
  <si>
    <t>P91.3 B74 2017</t>
  </si>
  <si>
    <t>0                      P  0091300B  74          2017</t>
  </si>
  <si>
    <t>Brennen, Bonnie, author.</t>
  </si>
  <si>
    <t>New York : Routledge, 2017.</t>
  </si>
  <si>
    <t>975372876</t>
  </si>
  <si>
    <t>ocn975372876</t>
  </si>
  <si>
    <t>31037384545</t>
  </si>
  <si>
    <t>9781138219212</t>
  </si>
  <si>
    <t>795030162</t>
  </si>
  <si>
    <t>P91.3 C36 2003</t>
  </si>
  <si>
    <t>0                      P  0091300C  36          2003</t>
  </si>
  <si>
    <t>Canonic texts in media research : are there any? should there be? how about these? / edited by Elihu Katz [and others].</t>
  </si>
  <si>
    <t>Cambridge : Polity Press ; Malden, MA : Distributed in the U.S.A. by Blackwell Publishers, 2003.</t>
  </si>
  <si>
    <t>2019-10-22</t>
  </si>
  <si>
    <t>890614503:eng</t>
  </si>
  <si>
    <t>49750444</t>
  </si>
  <si>
    <t>ocm49750444</t>
  </si>
  <si>
    <t>3102732203H</t>
  </si>
  <si>
    <t>9780745629339</t>
  </si>
  <si>
    <t>793747152</t>
  </si>
  <si>
    <t>P91.3 C67 1998</t>
  </si>
  <si>
    <t>0                      P  0091300C  67          1998</t>
  </si>
  <si>
    <t>Studying media : problems of theory and method / John Corner.</t>
  </si>
  <si>
    <t>Edinburgh : Edinburgh University Press, ©1998.</t>
  </si>
  <si>
    <t>2015-04-09</t>
  </si>
  <si>
    <t>1040901:eng</t>
  </si>
  <si>
    <t>41443825</t>
  </si>
  <si>
    <t>ocm41443825</t>
  </si>
  <si>
    <t>31027321736</t>
  </si>
  <si>
    <t>9780748610679</t>
  </si>
  <si>
    <t>793591646</t>
  </si>
  <si>
    <t>P91.3 C67 2014</t>
  </si>
  <si>
    <t>0                      P  0091300C  67          2014</t>
  </si>
  <si>
    <t>Observing and analyzing communication behavior / John A. Courtright.</t>
  </si>
  <si>
    <t>Courtright, John, 1948-</t>
  </si>
  <si>
    <t>1400674385:eng</t>
  </si>
  <si>
    <t>858940258</t>
  </si>
  <si>
    <t>ocn858940258</t>
  </si>
  <si>
    <t>31035323715</t>
  </si>
  <si>
    <t>9781433124167</t>
  </si>
  <si>
    <t>794957192</t>
  </si>
  <si>
    <t>P91.3 C73 2018</t>
  </si>
  <si>
    <t>0                      P  0091300C  73          2018</t>
  </si>
  <si>
    <t>The craft of criticism : critical media studies in practice / edited by Michael Kackman and Mary Celeste Kearney.</t>
  </si>
  <si>
    <t>New York, NY : Routledge, 2018.</t>
  </si>
  <si>
    <t>5292214906:eng</t>
  </si>
  <si>
    <t>957241738</t>
  </si>
  <si>
    <t>ocn957241738</t>
  </si>
  <si>
    <t>3103810059J</t>
  </si>
  <si>
    <t>9780415716291</t>
  </si>
  <si>
    <t>795020823</t>
  </si>
  <si>
    <t>P91.3 D49 2011</t>
  </si>
  <si>
    <t>0                      P  0091300D  49          2011</t>
  </si>
  <si>
    <t>De-westernizing communication research : altering questions and changing frameworks / edited by Georgette Wang.</t>
  </si>
  <si>
    <t>Routledge contemporary Asia series ; v. 25</t>
  </si>
  <si>
    <t>355153366:eng</t>
  </si>
  <si>
    <t>475450083</t>
  </si>
  <si>
    <t>ocn475450083</t>
  </si>
  <si>
    <t>3103231936H</t>
  </si>
  <si>
    <t>9780415575454</t>
  </si>
  <si>
    <t>794798248</t>
  </si>
  <si>
    <t>P91.3 D57 2010</t>
  </si>
  <si>
    <t>0                      P  0091300D  57          2010</t>
  </si>
  <si>
    <t>Distinctive qualities in communication research / edited by Donal Carbaugh and Patrice Buzzanell.</t>
  </si>
  <si>
    <t>New York, N.Y. : Routledge/Taylor and Francis Group, 2010.</t>
  </si>
  <si>
    <t>1011925881:eng</t>
  </si>
  <si>
    <t>470808582</t>
  </si>
  <si>
    <t>ocn470808582</t>
  </si>
  <si>
    <t>3103087355V</t>
  </si>
  <si>
    <t>9780415990257</t>
  </si>
  <si>
    <t>794796361</t>
  </si>
  <si>
    <t>P91.3 G86 2000</t>
  </si>
  <si>
    <t>0                      P  0091300G  86          2000</t>
  </si>
  <si>
    <t>Media research methods : measuring audiences, reactions and impact / Barrie Gunter.</t>
  </si>
  <si>
    <t>Gunter, Barrie, author.</t>
  </si>
  <si>
    <t>London ; Thousand Oaks ; New Delhi : SAGE Publications, 2000.</t>
  </si>
  <si>
    <t>797257092:eng</t>
  </si>
  <si>
    <t>43378085</t>
  </si>
  <si>
    <t>ocm43378085</t>
  </si>
  <si>
    <t>3102732204H</t>
  </si>
  <si>
    <t>9780761956587</t>
  </si>
  <si>
    <t>793625534</t>
  </si>
  <si>
    <t>P91.3 H34 2012</t>
  </si>
  <si>
    <t>0                      P  0091300H  34          2012</t>
  </si>
  <si>
    <t>The handbook of media and communication research : qualitative and quantitative methodologies / edited by Klaus Bruhn Jensen.</t>
  </si>
  <si>
    <t>2013-08-09</t>
  </si>
  <si>
    <t>793075010:eng</t>
  </si>
  <si>
    <t>722452072</t>
  </si>
  <si>
    <t>ocn722452072</t>
  </si>
  <si>
    <t>3103380963L</t>
  </si>
  <si>
    <t>9780415609654</t>
  </si>
  <si>
    <t>794875671</t>
  </si>
  <si>
    <t>P91.3 H36 1997</t>
  </si>
  <si>
    <t>0                      P  0091300H  36          1997</t>
  </si>
  <si>
    <t>Handbook of research on teaching literacy through the communicative and visual arts / edited by James Flood, Shirley Brice Heath, and Diane Lapp.</t>
  </si>
  <si>
    <t>New York : Macmillan Library Reference USA ; London : Prentice Hall International, ©1997-©2008.</t>
  </si>
  <si>
    <t>2015-05-06</t>
  </si>
  <si>
    <t>766841327:eng</t>
  </si>
  <si>
    <t>35103238</t>
  </si>
  <si>
    <t>ocm35103238</t>
  </si>
  <si>
    <t>3101851179X</t>
  </si>
  <si>
    <t>9780028971827</t>
  </si>
  <si>
    <t>793444143</t>
  </si>
  <si>
    <t>P91.3 I53 2013</t>
  </si>
  <si>
    <t>0                      P  0091300I  53          2013</t>
  </si>
  <si>
    <t>Challenging communication research / edited by Leah A. Lievrouw.</t>
  </si>
  <si>
    <t>International Communication Association. Annual Conference (63rd : 2013 : London, England)</t>
  </si>
  <si>
    <t>ICA Annual Conference theme book series ; vol. 1</t>
  </si>
  <si>
    <t>1907572888:eng</t>
  </si>
  <si>
    <t>864709597</t>
  </si>
  <si>
    <t>ocn864709597</t>
  </si>
  <si>
    <t>3103567309L</t>
  </si>
  <si>
    <t>9781433125355</t>
  </si>
  <si>
    <t>794962276</t>
  </si>
  <si>
    <t>P91.3 K49 2011</t>
  </si>
  <si>
    <t>0                      P  0091300K  49          2011</t>
  </si>
  <si>
    <t>Communication research : asking questions, finding answers / Joann Keyton.</t>
  </si>
  <si>
    <t>Keyton, Joann.</t>
  </si>
  <si>
    <t>New York : McGraw-Hill, [2011]</t>
  </si>
  <si>
    <t>2013-04-26</t>
  </si>
  <si>
    <t>5476:eng</t>
  </si>
  <si>
    <t>436028197</t>
  </si>
  <si>
    <t>ocn436028197</t>
  </si>
  <si>
    <t>3103323338Q</t>
  </si>
  <si>
    <t>9780073406763</t>
  </si>
  <si>
    <t>794784077</t>
  </si>
  <si>
    <t>P91.3 L39 1999</t>
  </si>
  <si>
    <t>0                      P  0091300L  39          1999</t>
  </si>
  <si>
    <t>Leadership in times of change : a handbook for communication and media administrators / edited by William G. Christ.</t>
  </si>
  <si>
    <t>Annandale, Va. : National Communication Association ; Mahwah, N.J. : Erlbaum, ©1999.</t>
  </si>
  <si>
    <t>895891756:eng</t>
  </si>
  <si>
    <t>39398948</t>
  </si>
  <si>
    <t>ocm39398948</t>
  </si>
  <si>
    <t>3102732205H</t>
  </si>
  <si>
    <t>9780805826982</t>
  </si>
  <si>
    <t>793545713</t>
  </si>
  <si>
    <t>P91.3 L56 2002</t>
  </si>
  <si>
    <t>0                      P  0091300L  56          2002</t>
  </si>
  <si>
    <t>Qualitative communication research methods.</t>
  </si>
  <si>
    <t>Lindlof, Thomas R.</t>
  </si>
  <si>
    <t>Thousand Oaks, Calif. : Sage Publications, ©2002.</t>
  </si>
  <si>
    <t>2nd ed. / Thomas R. Lindlof, Bryan C. Taylor.</t>
  </si>
  <si>
    <t>1044694:eng</t>
  </si>
  <si>
    <t>49531239</t>
  </si>
  <si>
    <t>ocm49531239</t>
  </si>
  <si>
    <t>31027321952</t>
  </si>
  <si>
    <t>9780761924937</t>
  </si>
  <si>
    <t>793742288</t>
  </si>
  <si>
    <t>P91.3 L56 2011</t>
  </si>
  <si>
    <t>0                      P  0091300L  56          2011</t>
  </si>
  <si>
    <t>Qualitative communication research methods / Thomas R. Lindlof, Bryan C. Taylor.</t>
  </si>
  <si>
    <t>Thousand Oaks, Calif. : SAGE, ©2011.</t>
  </si>
  <si>
    <t>641528411</t>
  </si>
  <si>
    <t>ocn641528411</t>
  </si>
  <si>
    <t>31032376008</t>
  </si>
  <si>
    <t>9781412974721</t>
  </si>
  <si>
    <t>794827618</t>
  </si>
  <si>
    <t>P91.3 M3665 2009</t>
  </si>
  <si>
    <t>0                      P  0091300M  3665        2009</t>
  </si>
  <si>
    <t>Mass communication research methods / edited by Anders Hansen.</t>
  </si>
  <si>
    <t>London : SAGE, 2009.</t>
  </si>
  <si>
    <t>Sage benchmarks in social research methods</t>
  </si>
  <si>
    <t>2010-09-25</t>
  </si>
  <si>
    <t>4918134194:eng</t>
  </si>
  <si>
    <t>228363084</t>
  </si>
  <si>
    <t>ocn228363084</t>
  </si>
  <si>
    <t>31030950860</t>
  </si>
  <si>
    <t>9781412930048</t>
  </si>
  <si>
    <t>794349140</t>
  </si>
  <si>
    <t>2011-06-17</t>
  </si>
  <si>
    <t>3103095097Z</t>
  </si>
  <si>
    <t>794349143</t>
  </si>
  <si>
    <t>3103095091Z</t>
  </si>
  <si>
    <t>794349142</t>
  </si>
  <si>
    <t>3103095096Z</t>
  </si>
  <si>
    <t>794349141</t>
  </si>
  <si>
    <t>P91.3 M3865 2010</t>
  </si>
  <si>
    <t>0                      P  0091300M  3865        2010</t>
  </si>
  <si>
    <t>The media industries and their markets : quantitative analyses / edited by Patrick-Yves Badillo and Jean-Baptiste Lesourd.</t>
  </si>
  <si>
    <t>New York, NY : Palgrave Macmillan, 2010, ©2010.</t>
  </si>
  <si>
    <t>Applied Econometrics Association series</t>
  </si>
  <si>
    <t>815079276:eng</t>
  </si>
  <si>
    <t>670211518</t>
  </si>
  <si>
    <t>ocn670211518</t>
  </si>
  <si>
    <t>31032302129</t>
  </si>
  <si>
    <t>9780230277700</t>
  </si>
  <si>
    <t>794847457</t>
  </si>
  <si>
    <t>P91.3 M387 1987</t>
  </si>
  <si>
    <t>0                      P  0091300M  387         1987</t>
  </si>
  <si>
    <t>Media, knowledge, and power : a reader / edited by Oliver Boyd-Barrett and Peter Braham at the Open University.</t>
  </si>
  <si>
    <t>London ; Wolfeboro, N.H. : Croom Helm in association with the Open University, ©1987.</t>
  </si>
  <si>
    <t>836669665:eng</t>
  </si>
  <si>
    <t>14167289</t>
  </si>
  <si>
    <t>ocm14167289</t>
  </si>
  <si>
    <t>3103773307J</t>
  </si>
  <si>
    <t>9780709950264</t>
  </si>
  <si>
    <t>792880449</t>
  </si>
  <si>
    <t>P91.3 M388 1991</t>
  </si>
  <si>
    <t>0                      P  0091300M  388         1991</t>
  </si>
  <si>
    <t>The Media studies book : a guide for teachers / edited by David Lusted.</t>
  </si>
  <si>
    <t>London ; New York : Routledge, 1991.</t>
  </si>
  <si>
    <t>836863194:eng</t>
  </si>
  <si>
    <t>21195309</t>
  </si>
  <si>
    <t>ocm21195309</t>
  </si>
  <si>
    <t>3100981006A</t>
  </si>
  <si>
    <t>9780415014601</t>
  </si>
  <si>
    <t>793111919</t>
  </si>
  <si>
    <t>P91.3 M46 2009</t>
  </si>
  <si>
    <t>0                      P  0091300M  46          2009</t>
  </si>
  <si>
    <t>Communication research methods / Gerianne Merrigan, Carole L. Huston.</t>
  </si>
  <si>
    <t>Merrigan, Gerianne.</t>
  </si>
  <si>
    <t>New York : Oxford University Press, 2009.</t>
  </si>
  <si>
    <t>14298807:eng</t>
  </si>
  <si>
    <t>243545906</t>
  </si>
  <si>
    <t>ocn243545906</t>
  </si>
  <si>
    <t>3103054229U</t>
  </si>
  <si>
    <t>9780195314823</t>
  </si>
  <si>
    <t>794378490</t>
  </si>
  <si>
    <t>P91.3 M49 2010</t>
  </si>
  <si>
    <t>0                      P  0091300M  49          2010</t>
  </si>
  <si>
    <t>Media, culture, and mediality : new insights into the current state of research / Ludwig Jäger, Erika Linz, Irmela Schneider, eds.</t>
  </si>
  <si>
    <t>Bielefeld [Germany] : Transcript ; New Brunswick, NJ : Distributed in North America by Transaction Publishers, ©2010.</t>
  </si>
  <si>
    <t>Transcript cultural and media studies</t>
  </si>
  <si>
    <t>503792758:eng</t>
  </si>
  <si>
    <t>642847621</t>
  </si>
  <si>
    <t>ocn642847621</t>
  </si>
  <si>
    <t>3103227012T</t>
  </si>
  <si>
    <t>9783837613766</t>
  </si>
  <si>
    <t>794828517</t>
  </si>
  <si>
    <t>P91.3 P68 1996</t>
  </si>
  <si>
    <t>0                      P  0091300P  68          1996</t>
  </si>
  <si>
    <t>An analysis of thinking and research about qualitative methods / W. James Potter.</t>
  </si>
  <si>
    <t>Potter, W. James.</t>
  </si>
  <si>
    <t>Mahwah, N.J. : Erlbaum, 1996.</t>
  </si>
  <si>
    <t>2017-05-20</t>
  </si>
  <si>
    <t>20685097:eng</t>
  </si>
  <si>
    <t>33360993</t>
  </si>
  <si>
    <t>ocm33360993</t>
  </si>
  <si>
    <t>31027321912</t>
  </si>
  <si>
    <t>9780805817508</t>
  </si>
  <si>
    <t>793407883</t>
  </si>
  <si>
    <t>P91.3 R48 2007</t>
  </si>
  <si>
    <t>0                      P  0091300R  48          2007</t>
  </si>
  <si>
    <t>Rethinking media education : critical pedagogy and identity politics / edited by Anita Nowak, Sue Abel, Karen Ross.</t>
  </si>
  <si>
    <t>Cresskill, NJ : Hampton Press, ©2007.</t>
  </si>
  <si>
    <t>The Hampton Press communication series. Women, culture and mass communication</t>
  </si>
  <si>
    <t>2015-08-20</t>
  </si>
  <si>
    <t>906561614:eng</t>
  </si>
  <si>
    <t>85444112</t>
  </si>
  <si>
    <t>ocm85444112</t>
  </si>
  <si>
    <t>3102653558R</t>
  </si>
  <si>
    <t>9781572737266</t>
  </si>
  <si>
    <t>794213644</t>
  </si>
  <si>
    <t>P91.3 R49 1995</t>
  </si>
  <si>
    <t>0                      P  0091300R  49          1995</t>
  </si>
  <si>
    <t>Rethinking media literacy : a critical pedagogy of representation / Peter McLaren [and others].</t>
  </si>
  <si>
    <t>New York : P. Lang, ©1995.</t>
  </si>
  <si>
    <t>Counterpoints ; v. 4</t>
  </si>
  <si>
    <t>2016-04-11</t>
  </si>
  <si>
    <t>33034053:eng</t>
  </si>
  <si>
    <t>31410498</t>
  </si>
  <si>
    <t>ocm31410498</t>
  </si>
  <si>
    <t>3101542279E</t>
  </si>
  <si>
    <t>9780820418025</t>
  </si>
  <si>
    <t>793360566</t>
  </si>
  <si>
    <t>P91.3 R64 2010</t>
  </si>
  <si>
    <t>0                      P  0091300R  64          2010</t>
  </si>
  <si>
    <t>Revisioning diversity in communication studies / Amardo Rodriguez.</t>
  </si>
  <si>
    <t>Rodriguez, Amardo.</t>
  </si>
  <si>
    <t>Kibworht, Leicester, UK : Troubador Pub., Ltd., ©2010.</t>
  </si>
  <si>
    <t>Communication &amp; social justice</t>
  </si>
  <si>
    <t>2011-06-20</t>
  </si>
  <si>
    <t>496718955:eng</t>
  </si>
  <si>
    <t>632166012</t>
  </si>
  <si>
    <t>ocn632166012</t>
  </si>
  <si>
    <t>3103232638M</t>
  </si>
  <si>
    <t>9781848761773</t>
  </si>
  <si>
    <t>794825132</t>
  </si>
  <si>
    <t>P91.3 R68 2009</t>
  </si>
  <si>
    <t>0                      P  0091300R  68          2009</t>
  </si>
  <si>
    <t>Routledge handbook of applied communication research / edited by Lawrence R. Frey, Kenneth N. Cissna.</t>
  </si>
  <si>
    <t>Routledge communication series</t>
  </si>
  <si>
    <t>766909733:eng</t>
  </si>
  <si>
    <t>268957371</t>
  </si>
  <si>
    <t>ocn268957371</t>
  </si>
  <si>
    <t>3103087351V</t>
  </si>
  <si>
    <t>9780805849837</t>
  </si>
  <si>
    <t>794408767</t>
  </si>
  <si>
    <t>P91.3 R685 2014</t>
  </si>
  <si>
    <t>0                      P  0091300R  685         2014</t>
  </si>
  <si>
    <t>The Routledge handbook of language and professional communication / edited by Vijay Bhatia and Stephen Bremner.</t>
  </si>
  <si>
    <t>Milton Park, Abingdon, Oxon ; New York, NY : Routledge, 2014.</t>
  </si>
  <si>
    <t>1491731056:eng</t>
  </si>
  <si>
    <t>854760724</t>
  </si>
  <si>
    <t>ocn854760724</t>
  </si>
  <si>
    <t>3103530174J</t>
  </si>
  <si>
    <t>9780415676199</t>
  </si>
  <si>
    <t>794952709</t>
  </si>
  <si>
    <t>P91.3 R83 2010</t>
  </si>
  <si>
    <t>0                      P  0091300R  83          2010</t>
  </si>
  <si>
    <t>Communication research : strategies and sources / Rebecca B. Rubin, Alan M. Rubin, Paul Haridakis, Linda J. Piele.</t>
  </si>
  <si>
    <t>Rubin, Rebecca B.</t>
  </si>
  <si>
    <t>Belmont, CA : Wadsworth Cengage Learning, ©2010.</t>
  </si>
  <si>
    <t>7th ed.</t>
  </si>
  <si>
    <t>492562:eng</t>
  </si>
  <si>
    <t>244063422</t>
  </si>
  <si>
    <t>ocn244063422</t>
  </si>
  <si>
    <t>31032374710</t>
  </si>
  <si>
    <t>9780495095880</t>
  </si>
  <si>
    <t>794380723</t>
  </si>
  <si>
    <t>P91.3 T43 1999</t>
  </si>
  <si>
    <t>0                      P  0091300T  43          1999</t>
  </si>
  <si>
    <t>Teaching communication : theory, research, and methods / edited by Anita L. Vangelisti, John A. Daly, and Gustav W. Friedrich.</t>
  </si>
  <si>
    <t>Mahwah, N.J. : Erlbaum Associates, 1999.</t>
  </si>
  <si>
    <t>866634713:eng</t>
  </si>
  <si>
    <t>37993596</t>
  </si>
  <si>
    <t>ocm37993596</t>
  </si>
  <si>
    <t>31027322429</t>
  </si>
  <si>
    <t>9780805828351</t>
  </si>
  <si>
    <t>793512419</t>
  </si>
  <si>
    <t>P91.3 T49 2007</t>
  </si>
  <si>
    <t>0                      P  0091300T  49          2007</t>
  </si>
  <si>
    <t>Theorizing communication : readings across traditions / edited by Robert T. Craig, Heidi L. Muller.</t>
  </si>
  <si>
    <t>Los Angeles : Sage Publications, ©2007.</t>
  </si>
  <si>
    <t>2018-07-14</t>
  </si>
  <si>
    <t>363849441:eng</t>
  </si>
  <si>
    <t>74987461</t>
  </si>
  <si>
    <t>ocm74987461</t>
  </si>
  <si>
    <t>3102638084Q</t>
  </si>
  <si>
    <t>9781412952378</t>
  </si>
  <si>
    <t>794174230</t>
  </si>
  <si>
    <t>P91.3 T76 2011</t>
  </si>
  <si>
    <t>0                      P  0091300T  76          2011</t>
  </si>
  <si>
    <t>Introducing communication research : paths of inquiry / Donald Treadwell.</t>
  </si>
  <si>
    <t>Treadwell, D. F. (Donald Francis)</t>
  </si>
  <si>
    <t>1008956619:eng</t>
  </si>
  <si>
    <t>456170123</t>
  </si>
  <si>
    <t>ocn456170123</t>
  </si>
  <si>
    <t>3103323409T</t>
  </si>
  <si>
    <t>9781412944571</t>
  </si>
  <si>
    <t>794788396</t>
  </si>
  <si>
    <t>P91.3 W38 1995</t>
  </si>
  <si>
    <t>0                      P  0091300W  38          1995</t>
  </si>
  <si>
    <t>Research methods for communication science / James H. Watt and Sjef A. van den Berg.</t>
  </si>
  <si>
    <t>Watt, James H.</t>
  </si>
  <si>
    <t>Boston : Allyn and Bacon, ©1995.</t>
  </si>
  <si>
    <t>17402101:eng</t>
  </si>
  <si>
    <t>31012420</t>
  </si>
  <si>
    <t>ocm31012420</t>
  </si>
  <si>
    <t>3102732222D</t>
  </si>
  <si>
    <t>9780205140268</t>
  </si>
  <si>
    <t>793351425</t>
  </si>
  <si>
    <t>P91.3 W47 2011</t>
  </si>
  <si>
    <t>0                      P  0091300W  47          2011</t>
  </si>
  <si>
    <t>Mass media research : an introduction / Roger D. Wimmer, Joseph R. Dominick.</t>
  </si>
  <si>
    <t>Wimmer, Roger D.</t>
  </si>
  <si>
    <t>Boston, Mass. : Cengage- Wadsworth, ©2011.</t>
  </si>
  <si>
    <t>9th ed.</t>
  </si>
  <si>
    <t>Wadsworth series in mass communication and journalism</t>
  </si>
  <si>
    <t>713656:eng</t>
  </si>
  <si>
    <t>426795680</t>
  </si>
  <si>
    <t>ocn426795680</t>
  </si>
  <si>
    <t>3103322668F</t>
  </si>
  <si>
    <t>9781439082744</t>
  </si>
  <si>
    <t>794516178</t>
  </si>
  <si>
    <t>P91.5 G7 F67 2000</t>
  </si>
  <si>
    <t>0                      P  0091500G  7                  F  67          2000</t>
  </si>
  <si>
    <t>Formations : a 21st century media studies textbook / edited by Dan Fleming ; consulting editors, Henry A. Giroux, Lawrence Grossberg.</t>
  </si>
  <si>
    <t>Manchester : Manchester University Press, 2000.</t>
  </si>
  <si>
    <t>2018-05-23</t>
  </si>
  <si>
    <t>837061841:eng</t>
  </si>
  <si>
    <t>47837376</t>
  </si>
  <si>
    <t>ocm47837376</t>
  </si>
  <si>
    <t>3103135727F</t>
  </si>
  <si>
    <t>9780719058455</t>
  </si>
  <si>
    <t>793709001</t>
  </si>
  <si>
    <t>P91.5 G7 M39 2011</t>
  </si>
  <si>
    <t>0                      P  0091500G  7                  M  39          2011</t>
  </si>
  <si>
    <t>Teaching creative &amp; media 14+ / Markham May, Sue Warr.</t>
  </si>
  <si>
    <t>May, Markham.</t>
  </si>
  <si>
    <t>Maidenhead : Open University Press, 2010.</t>
  </si>
  <si>
    <t>907385208:eng</t>
  </si>
  <si>
    <t>645699962</t>
  </si>
  <si>
    <t>ocn645699962</t>
  </si>
  <si>
    <t>3103234809E</t>
  </si>
  <si>
    <t>9780335237524</t>
  </si>
  <si>
    <t>794829709</t>
  </si>
  <si>
    <t>P91.5 U5 A49 1996</t>
  </si>
  <si>
    <t>0                      P  0091500U  5                  A  49          1996</t>
  </si>
  <si>
    <t>American communication research : the remembered history / edited by Everette E. Dennis, Ellen Wartella.</t>
  </si>
  <si>
    <t>376447889:eng</t>
  </si>
  <si>
    <t>33079213</t>
  </si>
  <si>
    <t>ocm33079213</t>
  </si>
  <si>
    <t>31027322499</t>
  </si>
  <si>
    <t>9780805817430</t>
  </si>
  <si>
    <t>793401293</t>
  </si>
  <si>
    <t>P91.5 U5 B88 2010</t>
  </si>
  <si>
    <t>0                      P  0091500U  5                  B  88          2010</t>
  </si>
  <si>
    <t>Media education goes to school : young people make meaning of media &amp; urban education / Allison Butler.</t>
  </si>
  <si>
    <t>Butler, Allison.</t>
  </si>
  <si>
    <t>Minding the media, 2151-2949 ; v. 1</t>
  </si>
  <si>
    <t>2013-06-16</t>
  </si>
  <si>
    <t>322554155:eng</t>
  </si>
  <si>
    <t>436358402</t>
  </si>
  <si>
    <t>ocn436358402</t>
  </si>
  <si>
    <t>31031135272</t>
  </si>
  <si>
    <t>9781433107603</t>
  </si>
  <si>
    <t>794784687</t>
  </si>
  <si>
    <t>P91.5 U5 C66 2003</t>
  </si>
  <si>
    <t>0                      P  0091500U  5                  C  66          2003</t>
  </si>
  <si>
    <t>Communication researchers and policy-making / edited by Sandra Braman.</t>
  </si>
  <si>
    <t>The MIT Press sourcebooks</t>
  </si>
  <si>
    <t>56874592:eng</t>
  </si>
  <si>
    <t>51093202</t>
  </si>
  <si>
    <t>ocm51093202</t>
  </si>
  <si>
    <t>3102353618D</t>
  </si>
  <si>
    <t>9780262523400</t>
  </si>
  <si>
    <t>793778706</t>
  </si>
  <si>
    <t>P91.5 U5 G57 2000</t>
  </si>
  <si>
    <t>0                      P  0091500U  5                  G  57          2000</t>
  </si>
  <si>
    <t>Origins of mass communications research during the American Cold War : educational effects and contemporary implications / Timothy Glander.</t>
  </si>
  <si>
    <t>Glander, Timothy Richard, 1960-</t>
  </si>
  <si>
    <t>Mahwah, N.J. : L. Erlbaum, 2000.</t>
  </si>
  <si>
    <t>Sociocultural, political, and historical studies in education</t>
  </si>
  <si>
    <t>2017-11-17</t>
  </si>
  <si>
    <t>1001714:eng</t>
  </si>
  <si>
    <t>41674460</t>
  </si>
  <si>
    <t>ocm41674460</t>
  </si>
  <si>
    <t>3102732229D</t>
  </si>
  <si>
    <t>9780805827347</t>
  </si>
  <si>
    <t>793596794</t>
  </si>
  <si>
    <t>P91.5 U5 M44 2012</t>
  </si>
  <si>
    <t>0                      P  0091500U  5                  M  44          2012</t>
  </si>
  <si>
    <t>The media teacher's handbook / edited by Elaine Scarratt and Jon Davison.</t>
  </si>
  <si>
    <t>1078803425:eng</t>
  </si>
  <si>
    <t>723723510</t>
  </si>
  <si>
    <t>ocn723723510</t>
  </si>
  <si>
    <t>3103382191V</t>
  </si>
  <si>
    <t>9780415499934</t>
  </si>
  <si>
    <t>794876049</t>
  </si>
  <si>
    <t>P91.6 C37 2013</t>
  </si>
  <si>
    <t>0                      P  0091600C  37          2013</t>
  </si>
  <si>
    <t>Careers in communications &amp; media / editor, Michael Shally-Jensen, Ph. D.</t>
  </si>
  <si>
    <t>Amenia, New York : Grey House Publishing/Salem Press, a division of EBSCO Information Services, Inc., [2014]</t>
  </si>
  <si>
    <t>Careers in--</t>
  </si>
  <si>
    <t>1845785566:eng</t>
  </si>
  <si>
    <t>866581570</t>
  </si>
  <si>
    <t>ocn866581570</t>
  </si>
  <si>
    <t>31035057442</t>
  </si>
  <si>
    <t>9781619252301</t>
  </si>
  <si>
    <t>794963420</t>
  </si>
  <si>
    <t>P92 A35 M43 2009</t>
  </si>
  <si>
    <t>0                      P  0092000A  35                 M  43          2009</t>
  </si>
  <si>
    <t>Media and identity in Africa / edited by Kimani Njogu and John Middleton.</t>
  </si>
  <si>
    <t>Edinburgh : Edinburgh University Press for the International African Institute, ©2009.</t>
  </si>
  <si>
    <t>International African seminars ; new ser. 7</t>
  </si>
  <si>
    <t>998397767:eng</t>
  </si>
  <si>
    <t>277068732</t>
  </si>
  <si>
    <t>ocn277068732</t>
  </si>
  <si>
    <t>3102858058A</t>
  </si>
  <si>
    <t>9780748635221</t>
  </si>
  <si>
    <t>794418296</t>
  </si>
  <si>
    <t>P92 A4 H3</t>
  </si>
  <si>
    <t>0                      P  0092000A  4                  H  3</t>
  </si>
  <si>
    <t>Muffled drums : the news media in Africa / William A. Hachten ; with the editorial collaboration of Harva S. Hachten.</t>
  </si>
  <si>
    <t>Hachten, William A., author.</t>
  </si>
  <si>
    <t>Ames, Iowa : Iowa State University Press, 1971.</t>
  </si>
  <si>
    <t>1265062:eng</t>
  </si>
  <si>
    <t>130407</t>
  </si>
  <si>
    <t>ocm00130407</t>
  </si>
  <si>
    <t>31027322557</t>
  </si>
  <si>
    <t>9780813811956</t>
  </si>
  <si>
    <t>791266257</t>
  </si>
  <si>
    <t>2006-01-22</t>
  </si>
  <si>
    <t>31027322605</t>
  </si>
  <si>
    <t>791266258</t>
  </si>
  <si>
    <t>P92 A4 R4</t>
  </si>
  <si>
    <t>0                      P  0092000A  4                  R  4</t>
  </si>
  <si>
    <t>Reporting Africa; edited by Olav Stokke. Contributors: Eddie Agyemang [and others].</t>
  </si>
  <si>
    <t>Uppsala, Scandinavian Institute of African Studies; New York, Africana Pub. Corp. [1971]</t>
  </si>
  <si>
    <t>2011-04-19</t>
  </si>
  <si>
    <t>422734042:eng</t>
  </si>
  <si>
    <t>219938</t>
  </si>
  <si>
    <t>ocm00219938</t>
  </si>
  <si>
    <t>3102732225D</t>
  </si>
  <si>
    <t>9780841900905</t>
  </si>
  <si>
    <t>791297530</t>
  </si>
  <si>
    <t>3102732220D</t>
  </si>
  <si>
    <t>791297529</t>
  </si>
  <si>
    <t>P92 A4 W5</t>
  </si>
  <si>
    <t>0                      P  0092000A  4                  W  5</t>
  </si>
  <si>
    <t>Mass media in Black Africa : philosophy and control / Dennis L. Wilcox.</t>
  </si>
  <si>
    <t>Wilcox, Dennis L.</t>
  </si>
  <si>
    <t>New York : Praeger, 1975.</t>
  </si>
  <si>
    <t>Praeger special studies in international politics and government</t>
  </si>
  <si>
    <t>2298639:eng</t>
  </si>
  <si>
    <t>1501972</t>
  </si>
  <si>
    <t>ocm01501972</t>
  </si>
  <si>
    <t>31027322567</t>
  </si>
  <si>
    <t>9780275059903</t>
  </si>
  <si>
    <t>791675946</t>
  </si>
  <si>
    <t>P92 A46 B68 1995</t>
  </si>
  <si>
    <t>0                      P  0092000A  46                 B  68          1995</t>
  </si>
  <si>
    <t>Mass media in sub-Saharan Africa / Louise M. Bourgault.</t>
  </si>
  <si>
    <t>Bourgault, Louise Manon.</t>
  </si>
  <si>
    <t>Bloomington : Indiana University Press, ©1995.</t>
  </si>
  <si>
    <t>992640:eng</t>
  </si>
  <si>
    <t>30779159</t>
  </si>
  <si>
    <t>ocm30779159</t>
  </si>
  <si>
    <t>31027322469</t>
  </si>
  <si>
    <t>9780253312501</t>
  </si>
  <si>
    <t>793344745</t>
  </si>
  <si>
    <t>P92 A65 A73 2011</t>
  </si>
  <si>
    <t>0                      P  0092000A  65                 A  73          2011</t>
  </si>
  <si>
    <t>Arab media : globalization and emerging media industries / Noha Mellor, Muhammad Ayish, Nabil Dajani, and Khalil Rinnawi.</t>
  </si>
  <si>
    <t>908529644:eng</t>
  </si>
  <si>
    <t>731216190</t>
  </si>
  <si>
    <t>ocn731216190</t>
  </si>
  <si>
    <t>3103342033T</t>
  </si>
  <si>
    <t>9780745645346</t>
  </si>
  <si>
    <t>794880675</t>
  </si>
  <si>
    <t>P92 A65 B76 2010</t>
  </si>
  <si>
    <t>0                      P  0092000A  65                 B  76          2010</t>
  </si>
  <si>
    <t>Broadcast, internet, and TV media in the Arab world and small nations : studies in recent developments / edited by Jabbar Audah Al-Obaidi, William G. Covington, Jr. ; with a foreword by Shakir Mustafa.</t>
  </si>
  <si>
    <t>Lewiston, N.Y. : Edwin Mellen Press, ©2010.</t>
  </si>
  <si>
    <t>503148774:eng</t>
  </si>
  <si>
    <t>641998720</t>
  </si>
  <si>
    <t>ocn641998720</t>
  </si>
  <si>
    <t>3103323354M</t>
  </si>
  <si>
    <t>9780773413023</t>
  </si>
  <si>
    <t>794827826</t>
  </si>
  <si>
    <t>P92 A7 A76 2001</t>
  </si>
  <si>
    <t>0                      P  0092000A  7                  A  76          2001</t>
  </si>
  <si>
    <t>Asian media productions / edited by Brian Moeran.</t>
  </si>
  <si>
    <t>Honolulu : University of Hawai'i Press, ©2001.</t>
  </si>
  <si>
    <t>ConsumAsiaN book series</t>
  </si>
  <si>
    <t>2019-10-20</t>
  </si>
  <si>
    <t>33310293:eng</t>
  </si>
  <si>
    <t>43969000</t>
  </si>
  <si>
    <t>ocm43969000</t>
  </si>
  <si>
    <t>3102732231B</t>
  </si>
  <si>
    <t>9780824824372</t>
  </si>
  <si>
    <t>793639765</t>
  </si>
  <si>
    <t>P92 A7 L48 2017</t>
  </si>
  <si>
    <t>0                      P  0092000A  7                  L  48          2017</t>
  </si>
  <si>
    <t>Celebrity culture and the entertainment industry in Asia : use of celebrity and its influence on society, culture and communication / Vivienne Leung, Kimmy Cheng and Tommy Tse.</t>
  </si>
  <si>
    <t>Leung, Vivienne, author.</t>
  </si>
  <si>
    <t>Bristol, UK ; Chicago, USA : Intellect, 2017.</t>
  </si>
  <si>
    <t>4465044492:eng</t>
  </si>
  <si>
    <t>979568215</t>
  </si>
  <si>
    <t>ocn979568215</t>
  </si>
  <si>
    <t>3103669369H</t>
  </si>
  <si>
    <t>9781783208074</t>
  </si>
  <si>
    <t>795033531</t>
  </si>
  <si>
    <t>P92 B28 A93 2011</t>
  </si>
  <si>
    <t>0                      P  0092000B  28                 A  93          2011</t>
  </si>
  <si>
    <t>Audiovisual media and identity issues in Southeastern Europe / edited by Eckehard Pistrick, Nicola Scaldaferri and Greta Schwörer.</t>
  </si>
  <si>
    <t>Newcastle upon Tyne : Cambridge Scholars, 2011.</t>
  </si>
  <si>
    <t>1010085496:eng</t>
  </si>
  <si>
    <t>710018857</t>
  </si>
  <si>
    <t>ocn710018857</t>
  </si>
  <si>
    <t>3103342335K</t>
  </si>
  <si>
    <t>9781443829304</t>
  </si>
  <si>
    <t>794870038</t>
  </si>
  <si>
    <t>P92 B36 B36 2013</t>
  </si>
  <si>
    <t>0                      P  0092000B  36                 B  36          2013</t>
  </si>
  <si>
    <t>Bangladesh's changing mediascape : from state control to market forces / editors, Brian Shoesmith and Jude William Genilo.</t>
  </si>
  <si>
    <t>Bristol, UK ; Chicago, USA : Intellect, 2013.</t>
  </si>
  <si>
    <t>2262724772:eng</t>
  </si>
  <si>
    <t>874961292</t>
  </si>
  <si>
    <t>ocn874961292</t>
  </si>
  <si>
    <t>3103633669G</t>
  </si>
  <si>
    <t>9781841504735</t>
  </si>
  <si>
    <t>794969125</t>
  </si>
  <si>
    <t>P92 C3 B679 2012</t>
  </si>
  <si>
    <t>0                      P  0092000C  3                  B  679         2012</t>
  </si>
  <si>
    <t>Conjuguer avec les médias : les défis inédits du relationniste / Lise Boily et Marcel A. Chartrand.</t>
  </si>
  <si>
    <t>Boily-Blanchette, Lise.</t>
  </si>
  <si>
    <t>Québec : Presses de l'Université Laval, ©2012.</t>
  </si>
  <si>
    <t>[2e éd.].</t>
  </si>
  <si>
    <t>1170041984:fre</t>
  </si>
  <si>
    <t>811605052</t>
  </si>
  <si>
    <t>ocn811605052</t>
  </si>
  <si>
    <t>3103601660P</t>
  </si>
  <si>
    <t>9782763798639</t>
  </si>
  <si>
    <t>794930279</t>
  </si>
  <si>
    <t>P92 C3 C325 2002</t>
  </si>
  <si>
    <t>0                      P  0092000C  3                  C  325         2002</t>
  </si>
  <si>
    <t>Canadian communications : issues in contemporary media and culture / edited by Bohdan Szuchewycz and Jeannette Sloniowski.</t>
  </si>
  <si>
    <t>[Toronto] : Prentice Hall, ©2002.</t>
  </si>
  <si>
    <t>436198022:eng</t>
  </si>
  <si>
    <t>46628187</t>
  </si>
  <si>
    <t>ocm46628187</t>
  </si>
  <si>
    <t>3102732306E</t>
  </si>
  <si>
    <t>9780130905840</t>
  </si>
  <si>
    <t>793687974</t>
  </si>
  <si>
    <t>P92 C3 C3x</t>
  </si>
  <si>
    <t>0                      P  0092000C  3                  C  3x</t>
  </si>
  <si>
    <t>Report of the Special Senate Committee on Mass Media.</t>
  </si>
  <si>
    <t>Canada. Parliament. Senate. Special Committee on Mass Media.</t>
  </si>
  <si>
    <t>[Ottawa] : [Queen's Printer], [1970]</t>
  </si>
  <si>
    <t>2019-04-13</t>
  </si>
  <si>
    <t>5612675992:eng</t>
  </si>
  <si>
    <t>426948755</t>
  </si>
  <si>
    <t>ocn426948755</t>
  </si>
  <si>
    <t>3102732305E</t>
  </si>
  <si>
    <t>794516710</t>
  </si>
  <si>
    <t>2008-10-17</t>
  </si>
  <si>
    <t>3102732295$</t>
  </si>
  <si>
    <t>794516713</t>
  </si>
  <si>
    <t>31027322793</t>
  </si>
  <si>
    <t>794516718</t>
  </si>
  <si>
    <t>2008-11-09</t>
  </si>
  <si>
    <t>31027322645</t>
  </si>
  <si>
    <t>794516717</t>
  </si>
  <si>
    <t>2002-03-19</t>
  </si>
  <si>
    <t>31027322695</t>
  </si>
  <si>
    <t>794516714</t>
  </si>
  <si>
    <t>3102732300E</t>
  </si>
  <si>
    <t>794516716</t>
  </si>
  <si>
    <t>2013-04-07</t>
  </si>
  <si>
    <t>31027322743</t>
  </si>
  <si>
    <t>794516711</t>
  </si>
  <si>
    <t>3102711430J</t>
  </si>
  <si>
    <t>794516715</t>
  </si>
  <si>
    <t>2004-11-03</t>
  </si>
  <si>
    <t>3102732290$</t>
  </si>
  <si>
    <t>794516709</t>
  </si>
  <si>
    <t>P92 C3 C556 2009</t>
  </si>
  <si>
    <t>0                      P  0092000C  3                  C  556         2009</t>
  </si>
  <si>
    <t>Communicating in Canada's past : essays in media history / edited by Gene Allen and Daniel J. Robinson.</t>
  </si>
  <si>
    <t>Toronto ; Buffalo, NY : University of Toronto Press, ©2009.</t>
  </si>
  <si>
    <t>1042641981:eng</t>
  </si>
  <si>
    <t>404612757</t>
  </si>
  <si>
    <t>ocn404612757</t>
  </si>
  <si>
    <t>3103072143R</t>
  </si>
  <si>
    <t>9780802093165</t>
  </si>
  <si>
    <t>794499142</t>
  </si>
  <si>
    <t>P92 C3 C564 2004</t>
  </si>
  <si>
    <t>0                      P  0092000C  3                  C  564         2004</t>
  </si>
  <si>
    <t>Communication history in Canada / edited by Daniel J. Robinson.</t>
  </si>
  <si>
    <t>Don Mills, Ont. ; New York : Oxford University Press, 2004.</t>
  </si>
  <si>
    <t>2019-11-19</t>
  </si>
  <si>
    <t>987634:eng</t>
  </si>
  <si>
    <t>53075314</t>
  </si>
  <si>
    <t>ocm53075314</t>
  </si>
  <si>
    <t>3103014385Z</t>
  </si>
  <si>
    <t>9780195419290</t>
  </si>
  <si>
    <t>793820765</t>
  </si>
  <si>
    <t>P92 C3 C564 2009</t>
  </si>
  <si>
    <t>0                      P  0092000C  3                  C  564         2009</t>
  </si>
  <si>
    <t>Don Mills, Ont. ; New York : Oxford University Press, 2009.</t>
  </si>
  <si>
    <t>2017-10-19</t>
  </si>
  <si>
    <t>302061081</t>
  </si>
  <si>
    <t>ocn302061081</t>
  </si>
  <si>
    <t>3103268070U</t>
  </si>
  <si>
    <t>9780195430189</t>
  </si>
  <si>
    <t>794433228</t>
  </si>
  <si>
    <t>P92 C3 C66 2012</t>
  </si>
  <si>
    <t>0                      P  0092000C  3                  C  66          2012</t>
  </si>
  <si>
    <t>L'information : la nécessaire perspective citoyenne / Raymond Corriveau, Guillaume Sirois.</t>
  </si>
  <si>
    <t>Corriveau, Raymond, 1950-</t>
  </si>
  <si>
    <t>Québec : Presses de l'Université du Québec, ©2012.</t>
  </si>
  <si>
    <t>2013-09-25</t>
  </si>
  <si>
    <t>1082133048:fre</t>
  </si>
  <si>
    <t>805892854</t>
  </si>
  <si>
    <t>ocn805892854</t>
  </si>
  <si>
    <t>3103402694D</t>
  </si>
  <si>
    <t>9782760534193</t>
  </si>
  <si>
    <t>794926505</t>
  </si>
  <si>
    <t>P92 C3 D4 2015</t>
  </si>
  <si>
    <t>0                      P  0092000C  3                  D  4           2015</t>
  </si>
  <si>
    <t>De quels médias le Québec a-t-il besoin? : [recueil d'entretiens] / propos recueillis par Marie-France Bazzo et Nathalie Collard ; rédaction, René-Daniel Dubois ; coordination, Carole Bouchard.</t>
  </si>
  <si>
    <t>Montrèal, Quèbec : Leméac, ©2015.</t>
  </si>
  <si>
    <t>2796266904:fre</t>
  </si>
  <si>
    <t>928986495</t>
  </si>
  <si>
    <t>ocn928986495</t>
  </si>
  <si>
    <t>3103496979L</t>
  </si>
  <si>
    <t>9782760912243</t>
  </si>
  <si>
    <t>795006436</t>
  </si>
  <si>
    <t>P92 C3 H68 2007</t>
  </si>
  <si>
    <t>0                      P  0092000C  3                  H  68          2007</t>
  </si>
  <si>
    <t>How Canadians communicate. II, Media, globalization, and identity / edited by David Taras, Maria Bakardjieva, and Frits Pannekoek.</t>
  </si>
  <si>
    <t>Calgary : University of Calgary Press, ©2007.</t>
  </si>
  <si>
    <t>How Canadians communicate ; 2</t>
  </si>
  <si>
    <t>2015-11-03</t>
  </si>
  <si>
    <t>4160069306:eng</t>
  </si>
  <si>
    <t>173372028</t>
  </si>
  <si>
    <t>ocn173372028</t>
  </si>
  <si>
    <t>3103094199$</t>
  </si>
  <si>
    <t>9781552382240</t>
  </si>
  <si>
    <t>794267799</t>
  </si>
  <si>
    <t>3102553910T</t>
  </si>
  <si>
    <t>794267798</t>
  </si>
  <si>
    <t>P92 C3 I7</t>
  </si>
  <si>
    <t>0                      P  0092000C  3                  I  7</t>
  </si>
  <si>
    <t>Mass media in Canada.</t>
  </si>
  <si>
    <t>Irving, John A., editor.</t>
  </si>
  <si>
    <t>Toronto, Ryerson Press [©1962]</t>
  </si>
  <si>
    <t>1797748:eng</t>
  </si>
  <si>
    <t>2681923</t>
  </si>
  <si>
    <t>ocm02681923</t>
  </si>
  <si>
    <t>3102711613H</t>
  </si>
  <si>
    <t>792162612</t>
  </si>
  <si>
    <t>2006-11-20</t>
  </si>
  <si>
    <t>30009962806</t>
  </si>
  <si>
    <t>792162611</t>
  </si>
  <si>
    <t>31031029131</t>
  </si>
  <si>
    <t>792162614</t>
  </si>
  <si>
    <t>P92 C3 I7 1969</t>
  </si>
  <si>
    <t>0                      P  0092000C  3                  I  7           1969</t>
  </si>
  <si>
    <t>2003-09-23</t>
  </si>
  <si>
    <t>3102711629F</t>
  </si>
  <si>
    <t>792162610</t>
  </si>
  <si>
    <t>3102711649B</t>
  </si>
  <si>
    <t>792162615</t>
  </si>
  <si>
    <t>3102711644B</t>
  </si>
  <si>
    <t>792162613</t>
  </si>
  <si>
    <t>P92 C3 L67 2004</t>
  </si>
  <si>
    <t>0                      P  0092000C  3                  L  67          2004</t>
  </si>
  <si>
    <t>Mass communication in Canada / Rowland Lorimer and Mike Gasher.</t>
  </si>
  <si>
    <t>Lorimer, Rowland, 1944-</t>
  </si>
  <si>
    <t>Don Mills, Ont. : Oxford University Press, 2004.</t>
  </si>
  <si>
    <t>2015-08-11</t>
  </si>
  <si>
    <t>4917884787:eng</t>
  </si>
  <si>
    <t>52747808</t>
  </si>
  <si>
    <t>ocm52747808</t>
  </si>
  <si>
    <t>3103013577Z</t>
  </si>
  <si>
    <t>9780195418040</t>
  </si>
  <si>
    <t>793813138</t>
  </si>
  <si>
    <t>31031384664</t>
  </si>
  <si>
    <t>793813139</t>
  </si>
  <si>
    <t>P92 C3 L67 2012</t>
  </si>
  <si>
    <t>0                      P  0092000C  3                  L  67          2012</t>
  </si>
  <si>
    <t>Mass communication in Canada / Mike Gasher, David Skinner, Rowland Lorimer.</t>
  </si>
  <si>
    <t>Gasher, Mike, 1954-</t>
  </si>
  <si>
    <t>Don Mills, Ont. : Oxford University Press, c2012.</t>
  </si>
  <si>
    <t>2014-02-26</t>
  </si>
  <si>
    <t>766387730</t>
  </si>
  <si>
    <t>ocn766387730</t>
  </si>
  <si>
    <t>3103402909M</t>
  </si>
  <si>
    <t>9780195433838</t>
  </si>
  <si>
    <t>794900896</t>
  </si>
  <si>
    <t>- Reserves and A/V Room - Reserve Collection - 3 Hour Loan</t>
  </si>
  <si>
    <t>P92 C3 M46 2002</t>
  </si>
  <si>
    <t>0                      P  0092000C  3                  M  46          2002</t>
  </si>
  <si>
    <t>Mediascapes : new patterns in Canadian communication / edited by Paul Attallah and Leslie Regan Shade.</t>
  </si>
  <si>
    <t>Scarborough, Ont. : Thomson Nelson, ©2002.</t>
  </si>
  <si>
    <t>2015-09-02</t>
  </si>
  <si>
    <t>1171953016:eng</t>
  </si>
  <si>
    <t>48118050</t>
  </si>
  <si>
    <t>ocm48118050</t>
  </si>
  <si>
    <t>3102711641B</t>
  </si>
  <si>
    <t>9780176042035</t>
  </si>
  <si>
    <t>793716410</t>
  </si>
  <si>
    <t>P92 C3 M46 2010</t>
  </si>
  <si>
    <t>0                      P  0092000C  3                  M  46          2010</t>
  </si>
  <si>
    <t>Mediascapes : new patterns in Canadian communication / edited by Leslie Regan Shade.</t>
  </si>
  <si>
    <t>Toronto : Nelson Education, [2009], c2010.</t>
  </si>
  <si>
    <t>2017-01-30</t>
  </si>
  <si>
    <t>305105056</t>
  </si>
  <si>
    <t>ocn305105056</t>
  </si>
  <si>
    <t>3103266831M</t>
  </si>
  <si>
    <t>9780176500351</t>
  </si>
  <si>
    <t>794434180</t>
  </si>
  <si>
    <t>2017-01-06</t>
  </si>
  <si>
    <t>P92 C3 R33 1992</t>
  </si>
  <si>
    <t>0                      P  0092000C  3                  R  33          1992</t>
  </si>
  <si>
    <t>Les médias québécois : presse, radio, télévision, câblodistribution / Marc Raboy.</t>
  </si>
  <si>
    <t>Raboy, Marc, 1948-</t>
  </si>
  <si>
    <t>Boucherville, Québec : G. Morin, 1992.</t>
  </si>
  <si>
    <t>476336459:fre</t>
  </si>
  <si>
    <t>427964443</t>
  </si>
  <si>
    <t>ocn427964443</t>
  </si>
  <si>
    <t>3102740842V</t>
  </si>
  <si>
    <t>9782891054409</t>
  </si>
  <si>
    <t>794725562</t>
  </si>
  <si>
    <t>P92 C3 R65 1996</t>
  </si>
  <si>
    <t>0                      P  0092000C  3                  R  65          1996</t>
  </si>
  <si>
    <t>Media Canada : an introductory analysis / Walter I. Romanow, Walter C. Soderlund.</t>
  </si>
  <si>
    <t>Romanow, W. I., 1924-</t>
  </si>
  <si>
    <t>Toronto : Copp Clark, c1996.</t>
  </si>
  <si>
    <t>2007-12-04</t>
  </si>
  <si>
    <t>259936518:eng</t>
  </si>
  <si>
    <t>35929253</t>
  </si>
  <si>
    <t>ocm35929253</t>
  </si>
  <si>
    <t>31027116921</t>
  </si>
  <si>
    <t>9780773055452</t>
  </si>
  <si>
    <t>793461247</t>
  </si>
  <si>
    <t>31027116873</t>
  </si>
  <si>
    <t>793461246</t>
  </si>
  <si>
    <t>P92 C3 R8 1978</t>
  </si>
  <si>
    <t>0                      P  0092000C  3                  R  8           1978</t>
  </si>
  <si>
    <t>The making of the Canadian media / Paul Rutherford.</t>
  </si>
  <si>
    <t>Rutherford, Paul, 1944-</t>
  </si>
  <si>
    <t>Toronto ; New York : McGraw-Hill Ryerson, ©1978.</t>
  </si>
  <si>
    <t>McGraw-Hill Ryerson series in Canadian sociology</t>
  </si>
  <si>
    <t>13132778:eng</t>
  </si>
  <si>
    <t>3960167</t>
  </si>
  <si>
    <t>ocm03960167</t>
  </si>
  <si>
    <t>3000355927G</t>
  </si>
  <si>
    <t>9780070826533</t>
  </si>
  <si>
    <t>792308731</t>
  </si>
  <si>
    <t>P92 C3 S43 1996</t>
  </si>
  <si>
    <t>0                      P  0092000C  3                  S  43          1996</t>
  </si>
  <si>
    <t>Seeing ourselves : media power and policy in Canada / [edited by] Helen Holmes, David Taras.</t>
  </si>
  <si>
    <t>Toronto ; London : Harcourt Brace &amp; Company, Canada, ©1996.</t>
  </si>
  <si>
    <t>2013-03-12</t>
  </si>
  <si>
    <t>2018-01-29</t>
  </si>
  <si>
    <t>62817171:eng</t>
  </si>
  <si>
    <t>36746731</t>
  </si>
  <si>
    <t>ocm36746731</t>
  </si>
  <si>
    <t>3102607958O</t>
  </si>
  <si>
    <t>9780774733786</t>
  </si>
  <si>
    <t>793483391</t>
  </si>
  <si>
    <t>3102607954O</t>
  </si>
  <si>
    <t>793483390</t>
  </si>
  <si>
    <t>2015-11-01</t>
  </si>
  <si>
    <t>3102607957O</t>
  </si>
  <si>
    <t>793483392</t>
  </si>
  <si>
    <t>P92 C3 S59</t>
  </si>
  <si>
    <t>0                      P  0092000C  3                  S  59</t>
  </si>
  <si>
    <t>Dependency road : communications, capitalism, consciousness, and Canada / by Dallas W. Smythe.</t>
  </si>
  <si>
    <t>Smythe, Dallas Walker, 1907-1992.</t>
  </si>
  <si>
    <t>Norwood, N.J. : Ablex Pub. Corp., ©1981.</t>
  </si>
  <si>
    <t>Communication and information science</t>
  </si>
  <si>
    <t>551205:eng</t>
  </si>
  <si>
    <t>8176628</t>
  </si>
  <si>
    <t>ocm08176628</t>
  </si>
  <si>
    <t>31027116627</t>
  </si>
  <si>
    <t>9780893910884</t>
  </si>
  <si>
    <t>792603910</t>
  </si>
  <si>
    <t>P92 C3 S74 2011</t>
  </si>
  <si>
    <t>0                      P  0092000C  3                  S  74          2011</t>
  </si>
  <si>
    <t>About Canada : media / Peter Steven.</t>
  </si>
  <si>
    <t>Steven, Peter, 1950-</t>
  </si>
  <si>
    <t>Halifax, N.S. : Fernwood Pub., c2011.</t>
  </si>
  <si>
    <t>About Canada series ; 8</t>
  </si>
  <si>
    <t>8911364661:eng</t>
  </si>
  <si>
    <t>754335419</t>
  </si>
  <si>
    <t>ocn754335419</t>
  </si>
  <si>
    <t>31033257278</t>
  </si>
  <si>
    <t>9781552664476</t>
  </si>
  <si>
    <t>794892760</t>
  </si>
  <si>
    <t>P92 C3 T37 1999</t>
  </si>
  <si>
    <t>0                      P  0092000C  3                  T  37          1999</t>
  </si>
  <si>
    <t>Power and betrayal in the Canadian media / David Taras.</t>
  </si>
  <si>
    <t>Taras, David, 1950-</t>
  </si>
  <si>
    <t>Peterborough, Ont. ; Orchard Park, NY : Broadview Press, ©1999.</t>
  </si>
  <si>
    <t>2015-11-08</t>
  </si>
  <si>
    <t>35700899:eng</t>
  </si>
  <si>
    <t>43441829</t>
  </si>
  <si>
    <t>ocm43441829</t>
  </si>
  <si>
    <t>3102607962M</t>
  </si>
  <si>
    <t>9781551111414</t>
  </si>
  <si>
    <t>793626817</t>
  </si>
  <si>
    <t>P92 C3 T37 2001</t>
  </si>
  <si>
    <t>0                      P  0092000C  3                  T  37          2001</t>
  </si>
  <si>
    <t>Peterborough, Ont., Canada ; Orchard Park, NY : Broadview Press, ©2001.</t>
  </si>
  <si>
    <t>Updated ed.</t>
  </si>
  <si>
    <t>46629446</t>
  </si>
  <si>
    <t>ocm46629446</t>
  </si>
  <si>
    <t>3102686585V</t>
  </si>
  <si>
    <t>9781551114644</t>
  </si>
  <si>
    <t>793688046</t>
  </si>
  <si>
    <t>3102750318A</t>
  </si>
  <si>
    <t>793688047</t>
  </si>
  <si>
    <t>P92 C3 V56 2000</t>
  </si>
  <si>
    <t>0                      P  0092000C  3                  V  56          2000</t>
  </si>
  <si>
    <t>The mass media in Canada / Mary Vipond.</t>
  </si>
  <si>
    <t>Vipond, Mary, 1943-</t>
  </si>
  <si>
    <t>Toronto : James Lorimer, 2000.</t>
  </si>
  <si>
    <t>2011-02-21</t>
  </si>
  <si>
    <t>2016-12-17</t>
  </si>
  <si>
    <t>12027695:eng</t>
  </si>
  <si>
    <t>46678123</t>
  </si>
  <si>
    <t>ocm46678123</t>
  </si>
  <si>
    <t>31028151208</t>
  </si>
  <si>
    <t>9781550287141</t>
  </si>
  <si>
    <t>793689304</t>
  </si>
  <si>
    <t>3103252412M</t>
  </si>
  <si>
    <t>793689305</t>
  </si>
  <si>
    <t>3102605078I</t>
  </si>
  <si>
    <t>793689308</t>
  </si>
  <si>
    <t>3103251245Q</t>
  </si>
  <si>
    <t>793689306</t>
  </si>
  <si>
    <t>2013-08-05</t>
  </si>
  <si>
    <t>31027116687</t>
  </si>
  <si>
    <t>793689307</t>
  </si>
  <si>
    <t>P92 C3 V56 2011</t>
  </si>
  <si>
    <t>0                      P  0092000C  3                  V  56          2011</t>
  </si>
  <si>
    <t>Toronto : J. Lorimer &amp; Co., c2011.</t>
  </si>
  <si>
    <t>2019-11-12</t>
  </si>
  <si>
    <t>695980804</t>
  </si>
  <si>
    <t>ocn695980804</t>
  </si>
  <si>
    <t>3103268601Q</t>
  </si>
  <si>
    <t>9781552776582</t>
  </si>
  <si>
    <t>794858792</t>
  </si>
  <si>
    <t>P92 C5 B57 1989</t>
  </si>
  <si>
    <t>0                      P  0092000C  5                  B  57          1989</t>
  </si>
  <si>
    <t>Qi lai! : mobilizing one billion Chinese : the Chinese communication system / Robert L. Bishop.</t>
  </si>
  <si>
    <t>Bishop, Robert L., 1931-</t>
  </si>
  <si>
    <t>Ames : Iowa State University Press, 1989.</t>
  </si>
  <si>
    <t>2015-03-11</t>
  </si>
  <si>
    <t>346574410:eng</t>
  </si>
  <si>
    <t>17264065</t>
  </si>
  <si>
    <t>ocm17264065</t>
  </si>
  <si>
    <t>31027116589</t>
  </si>
  <si>
    <t>9780813802930</t>
  </si>
  <si>
    <t>792986077</t>
  </si>
  <si>
    <t>P92 C5 C48 1989</t>
  </si>
  <si>
    <t>0                      P  0092000C  5                  C  48          1989</t>
  </si>
  <si>
    <t>Mass media in China : the history and the future / Won Ho Chang.</t>
  </si>
  <si>
    <t>Chang, Won Ho.</t>
  </si>
  <si>
    <t>18372388:eng</t>
  </si>
  <si>
    <t>18908954</t>
  </si>
  <si>
    <t>ocm18908954</t>
  </si>
  <si>
    <t>31027116725</t>
  </si>
  <si>
    <t>9780813802725</t>
  </si>
  <si>
    <t>793041080</t>
  </si>
  <si>
    <t>P92 C5 C511 2011</t>
  </si>
  <si>
    <t>0                      P  0092000C  5                  C  511         2011</t>
  </si>
  <si>
    <t>Changing media, changing China / edited by Susan L. Shirk.</t>
  </si>
  <si>
    <t>2016-04-03</t>
  </si>
  <si>
    <t>458007645:eng</t>
  </si>
  <si>
    <t>587229712</t>
  </si>
  <si>
    <t>ocn587229712</t>
  </si>
  <si>
    <t>31032356566</t>
  </si>
  <si>
    <t>9780199751983</t>
  </si>
  <si>
    <t>794814483</t>
  </si>
  <si>
    <t>P92 C5 C516 2003</t>
  </si>
  <si>
    <t>0                      P  0092000C  5                  C  516         2003</t>
  </si>
  <si>
    <t>Chinese media, global contexts / edited by Chin-chuan Lee.</t>
  </si>
  <si>
    <t>RoutledgeCurzon studies in Asia's transformations</t>
  </si>
  <si>
    <t>1117695091:eng</t>
  </si>
  <si>
    <t>50422968</t>
  </si>
  <si>
    <t>ocm50422968</t>
  </si>
  <si>
    <t>3102767642$</t>
  </si>
  <si>
    <t>9780415303347</t>
  </si>
  <si>
    <t>793764819</t>
  </si>
  <si>
    <t>31037482288</t>
  </si>
  <si>
    <t>793764818</t>
  </si>
  <si>
    <t>P92 C5 C52 2000</t>
  </si>
  <si>
    <t>0                      P  0092000C  5                  C  52          2000</t>
  </si>
  <si>
    <t>Chinese perspectives in rhetoric and communication / edited by D. Ray Heisey.</t>
  </si>
  <si>
    <t>Stamford, Conn. : Ablex Pub. Corp., 2000.</t>
  </si>
  <si>
    <t>Advances in communication and culture</t>
  </si>
  <si>
    <t>3031678:eng</t>
  </si>
  <si>
    <t>42680562</t>
  </si>
  <si>
    <t>ocm42680562</t>
  </si>
  <si>
    <t>31027116941</t>
  </si>
  <si>
    <t>9781567504941</t>
  </si>
  <si>
    <t>793611580</t>
  </si>
  <si>
    <t>P92 C5 H58 1982</t>
  </si>
  <si>
    <t>0                      P  0092000C  5                  H  58          1982</t>
  </si>
  <si>
    <t>Mass communication in China / John Howkins.</t>
  </si>
  <si>
    <t>Howkins, John, 1945-</t>
  </si>
  <si>
    <t>New York : Longman, ©1982.</t>
  </si>
  <si>
    <t>Annenberg/Longman communication books</t>
  </si>
  <si>
    <t>28918002:eng</t>
  </si>
  <si>
    <t>7577462</t>
  </si>
  <si>
    <t>ocm07577462</t>
  </si>
  <si>
    <t>31027116843</t>
  </si>
  <si>
    <t>9780582282643</t>
  </si>
  <si>
    <t>792567544</t>
  </si>
  <si>
    <t>P92 C5 K36 1998</t>
  </si>
  <si>
    <t>0                      P  0092000C  5                  K  36          1998</t>
  </si>
  <si>
    <t>Communicating effectively with the Chinese / Ge Gao, Stella Ting-Toomey.</t>
  </si>
  <si>
    <t>Kao, Ko.</t>
  </si>
  <si>
    <t>Communicating effectively in multicultural contexts ; vol. 5</t>
  </si>
  <si>
    <t>2016-09-22</t>
  </si>
  <si>
    <t>3769751207:eng</t>
  </si>
  <si>
    <t>39069353</t>
  </si>
  <si>
    <t>ocm39069353</t>
  </si>
  <si>
    <t>31027116795</t>
  </si>
  <si>
    <t>9780803970021</t>
  </si>
  <si>
    <t>793537290</t>
  </si>
  <si>
    <t>P92 C5 K66 2014</t>
  </si>
  <si>
    <t>0                      P  0092000C  5                  K  66          2014</t>
  </si>
  <si>
    <t>Popular media, social emotion and public discourse in contemporary China / Shuyu Kong.</t>
  </si>
  <si>
    <t>Kong, Shuyu, author.</t>
  </si>
  <si>
    <t>London ; New York, NY : Routledge, 2014.</t>
  </si>
  <si>
    <t>Routledge contemporary China series ; 117</t>
  </si>
  <si>
    <t>1404747170:eng</t>
  </si>
  <si>
    <t>859383163</t>
  </si>
  <si>
    <t>ocn859383163</t>
  </si>
  <si>
    <t>3103530450E</t>
  </si>
  <si>
    <t>9780415719896</t>
  </si>
  <si>
    <t>794957741</t>
  </si>
  <si>
    <t>P92 C5 M43 2002</t>
  </si>
  <si>
    <t>0                      P  0092000C  5                  M  43          2002</t>
  </si>
  <si>
    <t>Media in China : consumption, content and crisis / edited by Stephanie Hemelryk Donald, Michael Keane and Yin Hong.</t>
  </si>
  <si>
    <t>London ; New York : Routledge Curzon, 2002.</t>
  </si>
  <si>
    <t>351517204:eng</t>
  </si>
  <si>
    <t>50104473</t>
  </si>
  <si>
    <t>ocm50104473</t>
  </si>
  <si>
    <t>31027116599</t>
  </si>
  <si>
    <t>9780700716142</t>
  </si>
  <si>
    <t>793755679</t>
  </si>
  <si>
    <t>P92 C5 M43 2006</t>
  </si>
  <si>
    <t>0                      P  0092000C  5                  M  43          2006</t>
  </si>
  <si>
    <t>Media and the Chinese diaspora : community, communications and commerce / edited by Wanning Sun.</t>
  </si>
  <si>
    <t>Media, culture, and social change in Asia series ; 5</t>
  </si>
  <si>
    <t>796915495:eng</t>
  </si>
  <si>
    <t>62381440</t>
  </si>
  <si>
    <t>ocm62381440</t>
  </si>
  <si>
    <t>3102564681F</t>
  </si>
  <si>
    <t>9780415352048</t>
  </si>
  <si>
    <t>794106327</t>
  </si>
  <si>
    <t>P92 C5 S86 2002</t>
  </si>
  <si>
    <t>0                      P  0092000C  5                  S  86          2002</t>
  </si>
  <si>
    <t>Leaving China : media, migration, and transnational imagination / Wanning Sun.</t>
  </si>
  <si>
    <t>Sun, Wanning, 1963-</t>
  </si>
  <si>
    <t>Lanham : Rowman &amp; Littlefield, ©2002.</t>
  </si>
  <si>
    <t>World social change</t>
  </si>
  <si>
    <t>838374707:eng</t>
  </si>
  <si>
    <t>48965104</t>
  </si>
  <si>
    <t>ocm48965104</t>
  </si>
  <si>
    <t>31027116697</t>
  </si>
  <si>
    <t>9780742517967</t>
  </si>
  <si>
    <t>793731789</t>
  </si>
  <si>
    <t>P92 C5 Z43 1995</t>
  </si>
  <si>
    <t>0                      P  0092000C  5                  Z  43          1995</t>
  </si>
  <si>
    <t>China pop : how soap operas, tabloids, and bestsellers are transforming a culture / Jianying Zha.</t>
  </si>
  <si>
    <t>Zha, Jianying.</t>
  </si>
  <si>
    <t>New York : New Press : Distributed by W.W. Norton, ©1995.</t>
  </si>
  <si>
    <t>2017-09-24</t>
  </si>
  <si>
    <t>33359472:eng</t>
  </si>
  <si>
    <t>31607897</t>
  </si>
  <si>
    <t>ocm31607897</t>
  </si>
  <si>
    <t>31027116549</t>
  </si>
  <si>
    <t>9781565842496</t>
  </si>
  <si>
    <t>793364306</t>
  </si>
  <si>
    <t>P92 C5 Z468 2013</t>
  </si>
  <si>
    <t>0                      P  0092000C  5                  Z  468         2013</t>
  </si>
  <si>
    <t>Chan shi Zhongguo de fang shi : mei jie lie bian shi dai de wen hua jing guan / Zhou Zhiqiang zhu.</t>
  </si>
  <si>
    <t>Zhou, Zhiqiang, 1969- author.</t>
  </si>
  <si>
    <t>Beijing : Zhongguo dian ying chu ban she, 2013.</t>
  </si>
  <si>
    <t>"Chuan mei xin shi ye" cong shu</t>
  </si>
  <si>
    <t>1881582701:chi</t>
  </si>
  <si>
    <t>879305751</t>
  </si>
  <si>
    <t>ocn879305751</t>
  </si>
  <si>
    <t>31032005655</t>
  </si>
  <si>
    <t>9787106037741</t>
  </si>
  <si>
    <t>794971885</t>
  </si>
  <si>
    <t>P92 C6 L555 2017</t>
  </si>
  <si>
    <t>0                      P  0092000C  6                  L  555         2017</t>
  </si>
  <si>
    <t>Zhongguo wang luo chuan bo zhi du yan jiu : ji yu xin zhi du jing ji xue de shi jiao = Zhongguo wangluo chuanbo zhidu yanjiu / Li Jianhua zhu.</t>
  </si>
  <si>
    <t>Li, Jianhua, author.</t>
  </si>
  <si>
    <t>Beijing Shi : Hong qi chu ban she, 2017.</t>
  </si>
  <si>
    <t>Beijing di 1 ban.</t>
  </si>
  <si>
    <t>Xin wen chuan bo yan jiu cong shu</t>
  </si>
  <si>
    <t>4395192913:chi</t>
  </si>
  <si>
    <t>991585464</t>
  </si>
  <si>
    <t>ocn991585464</t>
  </si>
  <si>
    <t>3103793392R</t>
  </si>
  <si>
    <t>9787505139619</t>
  </si>
  <si>
    <t>795037994</t>
  </si>
  <si>
    <t>P92 C6 S54 2013</t>
  </si>
  <si>
    <t>0                      P  0092000C  6                  S  54          2013</t>
  </si>
  <si>
    <t>She hui xing bie shi ye xia de mei jie yan jiu = Media studies from a gender perspective / Liu Liqun deng zhu.</t>
  </si>
  <si>
    <t>Liu, Liqun, author.</t>
  </si>
  <si>
    <t>Beijing Shi : Zhongguo chuan mei da xue chu ban she, 2013.</t>
  </si>
  <si>
    <t>Mei jie yu she hui shu xi. Di 3 ji</t>
  </si>
  <si>
    <t>1780443652:chi</t>
  </si>
  <si>
    <t>869109043</t>
  </si>
  <si>
    <t>ocn869109043</t>
  </si>
  <si>
    <t>31031997118</t>
  </si>
  <si>
    <t>9787565707858</t>
  </si>
  <si>
    <t>794965156</t>
  </si>
  <si>
    <t>P92 C6 W46 2013</t>
  </si>
  <si>
    <t>0                      P  0092000C  6                  W  46          2013</t>
  </si>
  <si>
    <t>Dang dai Zhongguo da zhong chuan mei yan jiu / Wen Chunying, Gu Yuanping zhu.</t>
  </si>
  <si>
    <t>Wen, Chunying, author.</t>
  </si>
  <si>
    <t>Ya Zhou guo jia yu di qu chuan mei yan jiu cong shu</t>
  </si>
  <si>
    <t>2533506614:chi</t>
  </si>
  <si>
    <t>868535680</t>
  </si>
  <si>
    <t>ocn868535680</t>
  </si>
  <si>
    <t>3103199690W</t>
  </si>
  <si>
    <t>9787565706837</t>
  </si>
  <si>
    <t>794964738</t>
  </si>
  <si>
    <t>P92 C6 Z436 2013</t>
  </si>
  <si>
    <t>0                      P  0092000C  6                  Z  436         2013</t>
  </si>
  <si>
    <t>Xizang Zang yu chuan mei de fa zhan yu bian qian, 1951-2012 = A documentary review of Tibetan media (1951-2012) : evolutions and transformations / Zhao Jinqiu, Yu Ping, Liu Yuanyuan bian zhu.</t>
  </si>
  <si>
    <t>Zhao, Jinqiu, author.</t>
  </si>
  <si>
    <t>1416680920:chi</t>
  </si>
  <si>
    <t>866730298</t>
  </si>
  <si>
    <t>ocn866730298</t>
  </si>
  <si>
    <t>3103199706A</t>
  </si>
  <si>
    <t>9787565708206</t>
  </si>
  <si>
    <t>794963596</t>
  </si>
  <si>
    <t>P92 C6 Z436 2014</t>
  </si>
  <si>
    <t>0                      P  0092000C  6                  Z  436         2014</t>
  </si>
  <si>
    <t>Xin mei ti yu xin mei ti chan ye / Zhang Xiaomei zhu.</t>
  </si>
  <si>
    <t>Zhang, Xiaomei, 1970- author.</t>
  </si>
  <si>
    <t>Beijing : Zhongguo dian ying chu ban she, 2014.</t>
  </si>
  <si>
    <t>2276682302:chi</t>
  </si>
  <si>
    <t>900863832</t>
  </si>
  <si>
    <t>ocn900863832</t>
  </si>
  <si>
    <t>3103200247I</t>
  </si>
  <si>
    <t>9787106038755</t>
  </si>
  <si>
    <t>794987945</t>
  </si>
  <si>
    <t>P92 C9 V46 2010</t>
  </si>
  <si>
    <t>0                      P  0092000C  9                  V  46          2010</t>
  </si>
  <si>
    <t>Digital dilemmas : the state, the individual, and digital media in Cuba / Cristina Venegas.</t>
  </si>
  <si>
    <t>Venegas, Cristina, 1959-</t>
  </si>
  <si>
    <t>New Brunswick, N.J. : Rutgers University Press, ©2010.</t>
  </si>
  <si>
    <t>New directions in international studies</t>
  </si>
  <si>
    <t>2016-03-09</t>
  </si>
  <si>
    <t>797269089:eng</t>
  </si>
  <si>
    <t>310171800</t>
  </si>
  <si>
    <t>ocn310171800</t>
  </si>
  <si>
    <t>31031561925</t>
  </si>
  <si>
    <t>9780813546865</t>
  </si>
  <si>
    <t>794435180</t>
  </si>
  <si>
    <t>P92 D4 R44 2017</t>
  </si>
  <si>
    <t>0                      P  0092000D  4                  R  44          2017</t>
  </si>
  <si>
    <t>Culture war : affective cultural politics, tepid nationalism and art activism / Camilla Møhring Reestorff.</t>
  </si>
  <si>
    <t>Reestorff, Camilla Møhring, author.</t>
  </si>
  <si>
    <t>Bristol, UK ; Chicago, IL, USA : Intellect, 2017.</t>
  </si>
  <si>
    <t>2017-10-03</t>
  </si>
  <si>
    <t>4243872163:eng</t>
  </si>
  <si>
    <t>985696888</t>
  </si>
  <si>
    <t>ocn985696888</t>
  </si>
  <si>
    <t>31036690626</t>
  </si>
  <si>
    <t>9781783207572</t>
  </si>
  <si>
    <t>795035446</t>
  </si>
  <si>
    <t>P92 E18 H65 2012</t>
  </si>
  <si>
    <t>0                      P  0092000E  18                 H  65          2012</t>
  </si>
  <si>
    <t>Digital media in East Asia : national innovation and the transformation of a region / Carin Holroyd and Ken Coates.</t>
  </si>
  <si>
    <t>Holroyd, Carin.</t>
  </si>
  <si>
    <t>Amherst, New York : Cambria Press, [2012]</t>
  </si>
  <si>
    <t>1090818521:eng</t>
  </si>
  <si>
    <t>781556005</t>
  </si>
  <si>
    <t>ocn781556005</t>
  </si>
  <si>
    <t>3103412151V</t>
  </si>
  <si>
    <t>9781604978056</t>
  </si>
  <si>
    <t>794912872</t>
  </si>
  <si>
    <t>P92 E77 M43 2010</t>
  </si>
  <si>
    <t>0                      P  0092000E  77                 M  43          2010</t>
  </si>
  <si>
    <t>Media, markets &amp; public spheres : European media at the crossroads / edited by Jostein Gripsrud and Lennart Weibull.</t>
  </si>
  <si>
    <t>Bristol : Intellect, 2010.</t>
  </si>
  <si>
    <t>Changing media, changing Europe series ; v. 7</t>
  </si>
  <si>
    <t>796561933:eng</t>
  </si>
  <si>
    <t>559764370</t>
  </si>
  <si>
    <t>ocn559764370</t>
  </si>
  <si>
    <t>3103242125Y</t>
  </si>
  <si>
    <t>9781841503059</t>
  </si>
  <si>
    <t>794812675</t>
  </si>
  <si>
    <t>P92 E85 P37 2011</t>
  </si>
  <si>
    <t>0                      P  0092000E  85                 P  37          2011</t>
  </si>
  <si>
    <t>European media : structures, policies and identity / Stylianos Papathanassopoulos and Ralph Negrine.</t>
  </si>
  <si>
    <t>Papathanassopoulos, S.</t>
  </si>
  <si>
    <t>Cambridge ; Malden, MA : Polity, 2011.</t>
  </si>
  <si>
    <t>Global media and communication</t>
  </si>
  <si>
    <t>936540720:eng</t>
  </si>
  <si>
    <t>707246936</t>
  </si>
  <si>
    <t>ocn707246936</t>
  </si>
  <si>
    <t>3103341721E</t>
  </si>
  <si>
    <t>9780745644752</t>
  </si>
  <si>
    <t>794867593</t>
  </si>
  <si>
    <t>P92 E852 S74 2010</t>
  </si>
  <si>
    <t>0                      P  0092000E  852                S  74          2010</t>
  </si>
  <si>
    <t>Die Medien in Osteuropa : Mediensysteme im Transformationsprozess / Marc Stegherr, Kerstin Liesem.</t>
  </si>
  <si>
    <t>Stegherr, Marc.</t>
  </si>
  <si>
    <t>Wiesbaden : VS Verlag für Sozialwissenschaften, 2010.</t>
  </si>
  <si>
    <t>792746819:ger</t>
  </si>
  <si>
    <t>657596789</t>
  </si>
  <si>
    <t>ocn657596789</t>
  </si>
  <si>
    <t>3103300207K</t>
  </si>
  <si>
    <t>9783531174822</t>
  </si>
  <si>
    <t>794835523</t>
  </si>
  <si>
    <t>P92 E9 M38 2010</t>
  </si>
  <si>
    <t>0                      P  0092000E  9                  M  38          2010</t>
  </si>
  <si>
    <t>Media freedom and pluralism : media policy challenges in the enlarged Europe / edited by Beata Klimkiewicz.</t>
  </si>
  <si>
    <t>Budapest, Hungary ; New York : Central European University Press, 2010.</t>
  </si>
  <si>
    <t>2011-11-28</t>
  </si>
  <si>
    <t>803321251:eng</t>
  </si>
  <si>
    <t>589017739</t>
  </si>
  <si>
    <t>ocn589017739</t>
  </si>
  <si>
    <t>3103322587E</t>
  </si>
  <si>
    <t>9789639776739</t>
  </si>
  <si>
    <t>794814668</t>
  </si>
  <si>
    <t>P92 E9 N49 2011</t>
  </si>
  <si>
    <t>0                      P  0092000E  9                  N  49          2011</t>
  </si>
  <si>
    <t>News in Europe, Europe on news / edited by Agnieszka Stępińska.</t>
  </si>
  <si>
    <t>Berlin : Logos, 2011.</t>
  </si>
  <si>
    <t>900480619:eng</t>
  </si>
  <si>
    <t>747681504</t>
  </si>
  <si>
    <t>ocn747681504</t>
  </si>
  <si>
    <t>31033703853</t>
  </si>
  <si>
    <t>9783832527037</t>
  </si>
  <si>
    <t>794888350</t>
  </si>
  <si>
    <t>P92 E9 P74 2008</t>
  </si>
  <si>
    <t>0                      P  0092000E  9                  P  74          2008</t>
  </si>
  <si>
    <t>La presse et les périodiques techniques en Europe, 1750-1950 / sous la direction de Patrice Bret, Konstantinos Chatzis, Liliane Pérez.</t>
  </si>
  <si>
    <t>Paris : Harmattan, ©2008.</t>
  </si>
  <si>
    <t>Recherches en gestion</t>
  </si>
  <si>
    <t>2016-12-20</t>
  </si>
  <si>
    <t>768014569:fre</t>
  </si>
  <si>
    <t>298596519</t>
  </si>
  <si>
    <t>ocn298596519</t>
  </si>
  <si>
    <t>3103302564S</t>
  </si>
  <si>
    <t>9782296073951</t>
  </si>
  <si>
    <t>794428054</t>
  </si>
  <si>
    <t>P92 E93 C47 2012</t>
  </si>
  <si>
    <t>0                      P  0092000E  93                 C  47          2012</t>
  </si>
  <si>
    <t>Central and Eastern European media in comparative perspective : politics, economy and culture / edited by John Downey and Sabina Mihelj.</t>
  </si>
  <si>
    <t>Burlington, VT : Ashgate Pub. Company, 2012.</t>
  </si>
  <si>
    <t>1011149703:eng</t>
  </si>
  <si>
    <t>754105582</t>
  </si>
  <si>
    <t>ocn754105582</t>
  </si>
  <si>
    <t>3103408957P</t>
  </si>
  <si>
    <t>9781409435426</t>
  </si>
  <si>
    <t>794892489</t>
  </si>
  <si>
    <t>P92 E95 C66 2010</t>
  </si>
  <si>
    <t>0                      P  0092000E  95                 C  66          2010</t>
  </si>
  <si>
    <t>Comparative media systems : European and global perspectives / edited by Bogusława Dobek-Ostrowska [and others].</t>
  </si>
  <si>
    <t>Budapest ; New York : Central European University Press, 2010.</t>
  </si>
  <si>
    <t>2012-03-23</t>
  </si>
  <si>
    <t>841924134:eng</t>
  </si>
  <si>
    <t>326626808</t>
  </si>
  <si>
    <t>ocn326626808</t>
  </si>
  <si>
    <t>3103312394N</t>
  </si>
  <si>
    <t>9789639776548</t>
  </si>
  <si>
    <t>794490518</t>
  </si>
  <si>
    <t>P92 F8 K83 2011</t>
  </si>
  <si>
    <t>0                      P  0092000F  8                  K  83          2011</t>
  </si>
  <si>
    <t>The media in contemporary France / by Raymond Kuhn.</t>
  </si>
  <si>
    <t>Kuhn, Raymond.</t>
  </si>
  <si>
    <t>Maidenhead, Berkshire, England ; New York : Open University Press, 2011.</t>
  </si>
  <si>
    <t>National media</t>
  </si>
  <si>
    <t>601360365:eng</t>
  </si>
  <si>
    <t>659773707</t>
  </si>
  <si>
    <t>ocn659773707</t>
  </si>
  <si>
    <t>3103235232M</t>
  </si>
  <si>
    <t>9780335236213</t>
  </si>
  <si>
    <t>794836550</t>
  </si>
  <si>
    <t>P92 G3 W54 2010</t>
  </si>
  <si>
    <t>0                      P  0092000G  3                  W  54          2010</t>
  </si>
  <si>
    <t>Wie im Westen, nur anders : Medien in der DDR / Stefan Zahlmann (Hg.).</t>
  </si>
  <si>
    <t>Berlin : Panama Verlag, ©2010.</t>
  </si>
  <si>
    <t>793231289:ger</t>
  </si>
  <si>
    <t>649847166</t>
  </si>
  <si>
    <t>ocn649847166</t>
  </si>
  <si>
    <t>3103302463V</t>
  </si>
  <si>
    <t>9783938714119</t>
  </si>
  <si>
    <t>794832047</t>
  </si>
  <si>
    <t>P92 G7 B74</t>
  </si>
  <si>
    <t>0                      P  0092000G  7                  B  74</t>
  </si>
  <si>
    <t>The British media and Ireland : truth : the first casualty / [edited by the Campaign for Free Speech on Ireland].</t>
  </si>
  <si>
    <t>London : Information on Ireland ; London : [Distributed by] Publications Distribution Cooperative, [1979?]</t>
  </si>
  <si>
    <t>2018-09-28</t>
  </si>
  <si>
    <t>933809584:eng</t>
  </si>
  <si>
    <t>8219745</t>
  </si>
  <si>
    <t>ocm08219745</t>
  </si>
  <si>
    <t>3102711710E</t>
  </si>
  <si>
    <t>792606102</t>
  </si>
  <si>
    <t>P92 G7 E43 1997</t>
  </si>
  <si>
    <t>0                      P  0092000G  7                  E  43          1997</t>
  </si>
  <si>
    <t>The mass media and power in modern Britain / John Eldridge, Jenny Kitzinger, Kevin Williams.</t>
  </si>
  <si>
    <t>Eldridge, J. E. T. (John Eric Thomas)</t>
  </si>
  <si>
    <t>Oxford ; New York : Oxford University Press, 1997.</t>
  </si>
  <si>
    <t>Oxford modern Britain</t>
  </si>
  <si>
    <t>2019-03-19</t>
  </si>
  <si>
    <t>20689828:eng</t>
  </si>
  <si>
    <t>35084415</t>
  </si>
  <si>
    <t>ocm35084415</t>
  </si>
  <si>
    <t>3102711700G</t>
  </si>
  <si>
    <t>9780198781721</t>
  </si>
  <si>
    <t>793443429</t>
  </si>
  <si>
    <t>P92 G7 I46 1987</t>
  </si>
  <si>
    <t>0                      P  0092000G  7                  I  46          1987</t>
  </si>
  <si>
    <t>Impacts and influences : essays on media power in the twentieth century / edited by James Curran, Anthony Smith, and Pauline Wingate ; [sponsored by the Acton Society].</t>
  </si>
  <si>
    <t>London : New York : Methuen, 1987.</t>
  </si>
  <si>
    <t>836678875:eng</t>
  </si>
  <si>
    <t>14518469</t>
  </si>
  <si>
    <t>ocm14518469</t>
  </si>
  <si>
    <t>31027117418</t>
  </si>
  <si>
    <t>9780416006025</t>
  </si>
  <si>
    <t>792892775</t>
  </si>
  <si>
    <t>P92 G7 L46 1988</t>
  </si>
  <si>
    <t>0                      P  0092000G  7                  L  46          1988</t>
  </si>
  <si>
    <t>A culture for democracy : mass communication and the cultivated mind in Britain between the wars / by D.L. LeMahieu.</t>
  </si>
  <si>
    <t>LeMahieu, D. L., 1945-</t>
  </si>
  <si>
    <t>Oxford [England] : Clarendon Press ; New York : Oxford University Press, 1988.</t>
  </si>
  <si>
    <t>371426575:eng</t>
  </si>
  <si>
    <t>17200141</t>
  </si>
  <si>
    <t>ocm17200141</t>
  </si>
  <si>
    <t>3102711736A</t>
  </si>
  <si>
    <t>9780198201373</t>
  </si>
  <si>
    <t>792983793</t>
  </si>
  <si>
    <t>P92 G7 M45 2008</t>
  </si>
  <si>
    <t>0                      P  0092000G  7                  M  45          2008</t>
  </si>
  <si>
    <t>The media in Scotland / edited by Neil Blain and David Hutchison.</t>
  </si>
  <si>
    <t>Edinburgh : Edinburgh University Press, ©2008.</t>
  </si>
  <si>
    <t>2019-07-11</t>
  </si>
  <si>
    <t>866245368:eng</t>
  </si>
  <si>
    <t>184821883</t>
  </si>
  <si>
    <t>ocn184821883</t>
  </si>
  <si>
    <t>31028537549</t>
  </si>
  <si>
    <t>9780748627998</t>
  </si>
  <si>
    <t>794290764</t>
  </si>
  <si>
    <t>P92 G7 R63 2010</t>
  </si>
  <si>
    <t>0                      P  0092000G  7                  R  63          2010</t>
  </si>
  <si>
    <t>Pockets of resistance : British news media, war and theory in the 2003 invasion of Iraq / Piers Robinson [and others]. ; with Philip M. Taylor.</t>
  </si>
  <si>
    <t>Manchester ; New York : Manchester University Press ; New York : Distributed by ... Palgrave Macmillan, 2010.</t>
  </si>
  <si>
    <t>505932759:eng</t>
  </si>
  <si>
    <t>645493115</t>
  </si>
  <si>
    <t>ocn645493115</t>
  </si>
  <si>
    <t>3103229883K</t>
  </si>
  <si>
    <t>9780719084454</t>
  </si>
  <si>
    <t>794829533</t>
  </si>
  <si>
    <t>P92 G7 W55 2010</t>
  </si>
  <si>
    <t>0                      P  0092000G  7                  W  55          2010</t>
  </si>
  <si>
    <t>Get me a murder a day! : a history of media and communication in Britain / Kevin Williams.</t>
  </si>
  <si>
    <t>London ; New York : Bloomsbury Academic, 2010.</t>
  </si>
  <si>
    <t>2013-11-05</t>
  </si>
  <si>
    <t>365508665:eng</t>
  </si>
  <si>
    <t>277068325</t>
  </si>
  <si>
    <t>ocn277068325</t>
  </si>
  <si>
    <t>3103130229D</t>
  </si>
  <si>
    <t>9780340983256</t>
  </si>
  <si>
    <t>794418283</t>
  </si>
  <si>
    <t>P92 G75 I535 2010</t>
  </si>
  <si>
    <t>0                      P  0092000G  75                 I  535         2010</t>
  </si>
  <si>
    <t>Orality, literacy and performance in the ancient world / edited by Elizabeth Minchin.</t>
  </si>
  <si>
    <t>International Conference on Orality and Literacy in the Ancient World (9th : 2010 : Canberra, Australia)</t>
  </si>
  <si>
    <t>Leiden ; Boston : Brill, 2012.</t>
  </si>
  <si>
    <t>Mnemosyne supplements. Monographs on Greek and Latin language and literature, 0169-8958 ; volume 335</t>
  </si>
  <si>
    <t>1016739762:eng</t>
  </si>
  <si>
    <t>755004190</t>
  </si>
  <si>
    <t>ocn755004190</t>
  </si>
  <si>
    <t>3103529332R</t>
  </si>
  <si>
    <t>9789004217744</t>
  </si>
  <si>
    <t>794893375</t>
  </si>
  <si>
    <t>P92 G75 L48 1996</t>
  </si>
  <si>
    <t>0                      P  0092000G  75                 L  48          1996</t>
  </si>
  <si>
    <t>News and society in the Greek polis / Sian Lewis.</t>
  </si>
  <si>
    <t>Lewis, Sian.</t>
  </si>
  <si>
    <t>Chapel Hill : University of North Carolina Press, 1996.</t>
  </si>
  <si>
    <t>Studies in the history of Greece and Rome</t>
  </si>
  <si>
    <t>39438597:eng</t>
  </si>
  <si>
    <t>34413045</t>
  </si>
  <si>
    <t>ocm34413045</t>
  </si>
  <si>
    <t>3103582325R</t>
  </si>
  <si>
    <t>9780807823095</t>
  </si>
  <si>
    <t>793426300</t>
  </si>
  <si>
    <t>P92 G75 Z34 1993</t>
  </si>
  <si>
    <t>0                      P  0092000G  75                 Z  34          1993</t>
  </si>
  <si>
    <t>Mass media in Greece : power, politics, and privatization / Thimios Zaharopoulos and Manny E. Paraschos.</t>
  </si>
  <si>
    <t>Zaharopoulos, Thimios.</t>
  </si>
  <si>
    <t>Westport, Conn. : Praeger, 1993.</t>
  </si>
  <si>
    <t>370844044:eng</t>
  </si>
  <si>
    <t>25965129</t>
  </si>
  <si>
    <t>ocm25965129</t>
  </si>
  <si>
    <t>31027117772</t>
  </si>
  <si>
    <t>9780275941062</t>
  </si>
  <si>
    <t>793234207</t>
  </si>
  <si>
    <t>P92 I4 A845 2012</t>
  </si>
  <si>
    <t>0                      P  0092000I  4                  A  845         2012</t>
  </si>
  <si>
    <t>Indian media : global approaches / Adrian Athique.</t>
  </si>
  <si>
    <t>Athique, Adrian.</t>
  </si>
  <si>
    <t>1086607565:eng</t>
  </si>
  <si>
    <t>747534644</t>
  </si>
  <si>
    <t>ocn747534644</t>
  </si>
  <si>
    <t>31034092399</t>
  </si>
  <si>
    <t>9780745653327</t>
  </si>
  <si>
    <t>794888260</t>
  </si>
  <si>
    <t>P92 I4 R35 2011</t>
  </si>
  <si>
    <t>0                      P  0092000I  4                  R  35          2011</t>
  </si>
  <si>
    <t>Media in modern India / Manoj Rajan ; foreword by Jai Narain Sharma.</t>
  </si>
  <si>
    <t>Rajan, Manoj.</t>
  </si>
  <si>
    <t>New Delhi : Deep &amp; Deep Publications, ©2011.</t>
  </si>
  <si>
    <t>760374633:eng</t>
  </si>
  <si>
    <t>682434287</t>
  </si>
  <si>
    <t>ocn682434287</t>
  </si>
  <si>
    <t>3103299470$</t>
  </si>
  <si>
    <t>9788184503524</t>
  </si>
  <si>
    <t>794852799</t>
  </si>
  <si>
    <t>P92 I7 R38 2010</t>
  </si>
  <si>
    <t>0                      P  0092000I  7                  R  38          2010</t>
  </si>
  <si>
    <t>Indian media in a globalised world / Maya Ranganathan, Usha M. Rodrigues.</t>
  </si>
  <si>
    <t>Ranganathan, Maya.</t>
  </si>
  <si>
    <t>Thousand Oaks : SAGE, 2010.</t>
  </si>
  <si>
    <t>476383911:eng</t>
  </si>
  <si>
    <t>607323259</t>
  </si>
  <si>
    <t>ocn607323259</t>
  </si>
  <si>
    <t>3103346027F</t>
  </si>
  <si>
    <t>9788132104018</t>
  </si>
  <si>
    <t>794817869</t>
  </si>
  <si>
    <t>P92 I7 R46 2010</t>
  </si>
  <si>
    <t>0                      P  0092000I  7                  R  46          2010</t>
  </si>
  <si>
    <t>Reorienting global communication : Indian and Chinese media beyond borders / edited by Michael Curtin and Hemant Shah.</t>
  </si>
  <si>
    <t>Popular culture and politics in Asia Pacific</t>
  </si>
  <si>
    <t>2015-01-23</t>
  </si>
  <si>
    <t>830966801:eng</t>
  </si>
  <si>
    <t>419262977</t>
  </si>
  <si>
    <t>ocn419262977</t>
  </si>
  <si>
    <t>31030980152</t>
  </si>
  <si>
    <t>9780252035012</t>
  </si>
  <si>
    <t>794503118</t>
  </si>
  <si>
    <t>P92 I73 M37 2007</t>
  </si>
  <si>
    <t>0                      P  0092000I  73                 M  37          2007</t>
  </si>
  <si>
    <t>Mapping Irish media : critical explorations / edited by John Horgan, Barbara O'Connor, Helena Sheehan.</t>
  </si>
  <si>
    <t>Dublin : University College Dublin Press, 2007.</t>
  </si>
  <si>
    <t>2017-06-07</t>
  </si>
  <si>
    <t>354640293:eng</t>
  </si>
  <si>
    <t>123114694</t>
  </si>
  <si>
    <t>ocn123114694</t>
  </si>
  <si>
    <t>3102571708Z</t>
  </si>
  <si>
    <t>9781904558835</t>
  </si>
  <si>
    <t>794222959</t>
  </si>
  <si>
    <t>P92 I76 M67 2010</t>
  </si>
  <si>
    <t>0                      P  0092000I  76                 M  67          2010</t>
  </si>
  <si>
    <t>A history of the media in Ireland / Christopher Morash.</t>
  </si>
  <si>
    <t>Morash, Chris, 1963-</t>
  </si>
  <si>
    <t>349777415:eng</t>
  </si>
  <si>
    <t>434613445</t>
  </si>
  <si>
    <t>ocn434613445</t>
  </si>
  <si>
    <t>3103132695G</t>
  </si>
  <si>
    <t>9780521843928</t>
  </si>
  <si>
    <t>794783088</t>
  </si>
  <si>
    <t>P92 I8 S75 2015</t>
  </si>
  <si>
    <t>0                      P  0092000I  8                  S  75          2015</t>
  </si>
  <si>
    <t>Storia della comunicazione e dello spettacolo in Italia.</t>
  </si>
  <si>
    <t>Milano : VP, Vita e pensiero, [2015]-[2018]</t>
  </si>
  <si>
    <t>Media spettacolo processi culturali. Trattati e manuali</t>
  </si>
  <si>
    <t>5319428066:ita</t>
  </si>
  <si>
    <t>953571610</t>
  </si>
  <si>
    <t>ocn953571610</t>
  </si>
  <si>
    <t>3103720880Y</t>
  </si>
  <si>
    <t>9788834335192</t>
  </si>
  <si>
    <t>795018829</t>
  </si>
  <si>
    <t>P92 J3 R68 2018</t>
  </si>
  <si>
    <t>0                      P  0092000J  3                  R  68          2018</t>
  </si>
  <si>
    <t>Routledge handbook of Japanese media / edited by Fabienne Darling-Wolf.</t>
  </si>
  <si>
    <t>London ; New York : Routledge, 2018.</t>
  </si>
  <si>
    <t>4784864891:eng</t>
  </si>
  <si>
    <t>957242423</t>
  </si>
  <si>
    <t>ocn957242423</t>
  </si>
  <si>
    <t>3103741205I</t>
  </si>
  <si>
    <t>9781138917415</t>
  </si>
  <si>
    <t>795020831</t>
  </si>
  <si>
    <t>P92 K6 E44 1994</t>
  </si>
  <si>
    <t>0                      P  0092000K  6                  E  44          1994</t>
  </si>
  <si>
    <t>Elite media amidst mass culture : a critical look at mass communication in Korea / edited by Chie-woon Kim and Jae-won Lee.</t>
  </si>
  <si>
    <t>Seoul, Korea : NANAM Publishing House, 1994.</t>
  </si>
  <si>
    <t>33821225:eng</t>
  </si>
  <si>
    <t>32108500</t>
  </si>
  <si>
    <t>ocm32108500</t>
  </si>
  <si>
    <t>3102711817B</t>
  </si>
  <si>
    <t>9788930060172</t>
  </si>
  <si>
    <t>793375848</t>
  </si>
  <si>
    <t>P92 L3 C54 1996</t>
  </si>
  <si>
    <t>0                      P  0092000L  3                  C  54          1996</t>
  </si>
  <si>
    <t>Communication in Latin America : journalism, mass media, and society / Richard R. Cole, editor.</t>
  </si>
  <si>
    <t>Wilmington, Del. : Scholarly Resources, 1996.</t>
  </si>
  <si>
    <t>Jaguar books on Latin America ; no. 14</t>
  </si>
  <si>
    <t>38429789:eng</t>
  </si>
  <si>
    <t>33441250</t>
  </si>
  <si>
    <t>ocm33441250</t>
  </si>
  <si>
    <t>3102711797Z</t>
  </si>
  <si>
    <t>9780842025584</t>
  </si>
  <si>
    <t>793409578</t>
  </si>
  <si>
    <t>P92 L3 H36 2009</t>
  </si>
  <si>
    <t>0                      P  0092000L  3                  H  36          2009</t>
  </si>
  <si>
    <t>The handbook of Spanish language media / edited by Alan B. Albarran.</t>
  </si>
  <si>
    <t>862768698:eng</t>
  </si>
  <si>
    <t>255902130</t>
  </si>
  <si>
    <t>ocn255902130</t>
  </si>
  <si>
    <t>3103087279U</t>
  </si>
  <si>
    <t>9780415990448</t>
  </si>
  <si>
    <t>794398915</t>
  </si>
  <si>
    <t>P92 L3 M37 1993</t>
  </si>
  <si>
    <t>0                      P  0092000L  3                  M  37          1993</t>
  </si>
  <si>
    <t>Communication, culture and hegemony : from the media to mediations / J. Martin-Barbero ; translated by Elizabeth Fox and Robert A. White ; with an introduction by Philip Schlesinger.</t>
  </si>
  <si>
    <t>Martín B., Jesús (Martín Barbero)</t>
  </si>
  <si>
    <t>London ; Newbury Park : SAGE Publications, 1993.</t>
  </si>
  <si>
    <t>Communication and human values</t>
  </si>
  <si>
    <t>4495038225:eng</t>
  </si>
  <si>
    <t>28722072</t>
  </si>
  <si>
    <t>ocm28722072</t>
  </si>
  <si>
    <t>31027800026</t>
  </si>
  <si>
    <t>9780803984882</t>
  </si>
  <si>
    <t>793294752</t>
  </si>
  <si>
    <t>P92 L3 M435 2008</t>
  </si>
  <si>
    <t>0                      P  0092000L  3                  M  435         2008</t>
  </si>
  <si>
    <t>The media in Latin America / edited by Jairo Lugo-Ocando.</t>
  </si>
  <si>
    <t>Maidenhead, Berkshire, England ; New York : McGraw Hill/Open University Press, 2008.</t>
  </si>
  <si>
    <t>National medias</t>
  </si>
  <si>
    <t>866245792:eng</t>
  </si>
  <si>
    <t>179805398</t>
  </si>
  <si>
    <t>ocn179805398</t>
  </si>
  <si>
    <t>31030563837</t>
  </si>
  <si>
    <t>9780335222025</t>
  </si>
  <si>
    <t>794279114</t>
  </si>
  <si>
    <t>P92 M3 M362 2010</t>
  </si>
  <si>
    <t>0                      P  0092000M  3                  M  362         2010</t>
  </si>
  <si>
    <t>Media, culture and society in Malaysia / edited by Yeoh Seng Guan.</t>
  </si>
  <si>
    <t>Routledge Malaysian studies series ; 9</t>
  </si>
  <si>
    <t>889210965:eng</t>
  </si>
  <si>
    <t>311790211</t>
  </si>
  <si>
    <t>ocn311790211</t>
  </si>
  <si>
    <t>3103243422L</t>
  </si>
  <si>
    <t>9780415552462</t>
  </si>
  <si>
    <t>794436501</t>
  </si>
  <si>
    <t>P92 M3 M64 2009</t>
  </si>
  <si>
    <t>0                      P  0092000M  3                  M  64          2009</t>
  </si>
  <si>
    <t>The public sphere and media politics in Malaysia / by Mohd Azizuddin Mohd Sani.</t>
  </si>
  <si>
    <t>Mohd. Azizuddin Mohd. Sani.</t>
  </si>
  <si>
    <t>Newcastle upon Tyne : Cambridge Scholars, 2009.</t>
  </si>
  <si>
    <t>2019-09-26</t>
  </si>
  <si>
    <t>194209511:eng</t>
  </si>
  <si>
    <t>316429386</t>
  </si>
  <si>
    <t>ocn316429386</t>
  </si>
  <si>
    <t>3102858705$</t>
  </si>
  <si>
    <t>9781443803601</t>
  </si>
  <si>
    <t>794448864</t>
  </si>
  <si>
    <t>P92 M5 M37 1994</t>
  </si>
  <si>
    <t>0                      P  0092000M  5                  M  37          1994</t>
  </si>
  <si>
    <t>Mass media in the Middle East : a comprehensive handbook / edited by Yahya R. Kamalipour and Hamid Mowlana.</t>
  </si>
  <si>
    <t>Westport, Conn. : Greenwood Press, 1994.</t>
  </si>
  <si>
    <t>2015-04-04</t>
  </si>
  <si>
    <t>836729872:eng</t>
  </si>
  <si>
    <t>29595343</t>
  </si>
  <si>
    <t>ocm29595343</t>
  </si>
  <si>
    <t>3102732119I</t>
  </si>
  <si>
    <t>9780313285356</t>
  </si>
  <si>
    <t>793315520</t>
  </si>
  <si>
    <t>P92 M5 M374 2001</t>
  </si>
  <si>
    <t>0                      P  0092000M  5                  M  374         2001</t>
  </si>
  <si>
    <t>Mass media, politics, and society in the Middle East / edited by Kai Hafez.</t>
  </si>
  <si>
    <t>Cresskill, N.J. : Hampton Press, ©2001.</t>
  </si>
  <si>
    <t>The Hampton Press communication series. Political communication</t>
  </si>
  <si>
    <t>2015-05-25</t>
  </si>
  <si>
    <t>56604793:eng</t>
  </si>
  <si>
    <t>45325556</t>
  </si>
  <si>
    <t>ocm45325556</t>
  </si>
  <si>
    <t>3102111638I</t>
  </si>
  <si>
    <t>9781572733039</t>
  </si>
  <si>
    <t>793669452</t>
  </si>
  <si>
    <t>P92 M6 C64 2007</t>
  </si>
  <si>
    <t>0                      P  0092000M  6                  C  64          2007</t>
  </si>
  <si>
    <t>Comunicación para el desarrollo en México / colaboradores Adriana Peimbert Reyes ... [et al.] ; coordinadoras I. Lorena Zaldívar Bribiesca, Mónica García Abraham.</t>
  </si>
  <si>
    <t>México, D.F. : Asociación Mexicana de Investigadores de la Comunicación ; Morelia, Mich. : Universidad Latina de América, 2007.</t>
  </si>
  <si>
    <t>314952705:spa</t>
  </si>
  <si>
    <t>427486888</t>
  </si>
  <si>
    <t>ocn427486888</t>
  </si>
  <si>
    <t>31031062146</t>
  </si>
  <si>
    <t>9789685815048</t>
  </si>
  <si>
    <t>794662396</t>
  </si>
  <si>
    <t>P92 N46 C66 1986</t>
  </si>
  <si>
    <t>0                      P  0092000N  46                 C  66          1986</t>
  </si>
  <si>
    <t>Communicating in popular Nicaragua / Armand Mattelart, editor.</t>
  </si>
  <si>
    <t>New York : International General, [1986]</t>
  </si>
  <si>
    <t>8340023:eng</t>
  </si>
  <si>
    <t>15009369</t>
  </si>
  <si>
    <t>ocm15009369</t>
  </si>
  <si>
    <t>3102711818B</t>
  </si>
  <si>
    <t>9780884770244</t>
  </si>
  <si>
    <t>792916310</t>
  </si>
  <si>
    <t>P92 P8 R5 1976</t>
  </si>
  <si>
    <t>0                      P  0092000P  8                  R  5           1976</t>
  </si>
  <si>
    <t>Mass communications services : (an analysis) Puerto Rican government radio, television, and community education / Consuelo Rivera de Otero.</t>
  </si>
  <si>
    <t>Rivera de Otero, Consuelo.</t>
  </si>
  <si>
    <t>Rio Piedras : University of Puerto Rico Press, 1976.</t>
  </si>
  <si>
    <t>423425009:eng</t>
  </si>
  <si>
    <t>2020582</t>
  </si>
  <si>
    <t>ocm02020582</t>
  </si>
  <si>
    <t>3102711798Z</t>
  </si>
  <si>
    <t>9780847727315</t>
  </si>
  <si>
    <t>792030013</t>
  </si>
  <si>
    <t>P92 R9 A78 2009</t>
  </si>
  <si>
    <t>0                      P  0092000R  9                  A  78          2009</t>
  </si>
  <si>
    <t>The media in Russia / Anna Arutunyan.</t>
  </si>
  <si>
    <t>Arutunyan, Anna.</t>
  </si>
  <si>
    <t>Maidenhead, Berkshire, England ; New York : Open University Press, 2009.</t>
  </si>
  <si>
    <t>2015-02-20</t>
  </si>
  <si>
    <t>142563191:eng</t>
  </si>
  <si>
    <t>244765380</t>
  </si>
  <si>
    <t>ocn244765380</t>
  </si>
  <si>
    <t>31031135242</t>
  </si>
  <si>
    <t>9780335228904</t>
  </si>
  <si>
    <t>794382302</t>
  </si>
  <si>
    <t>P92 R9 M3</t>
  </si>
  <si>
    <t>0                      P  0092000R  9                  M  3</t>
  </si>
  <si>
    <t>Voices of the red giants : communications in Russia and China / James W. Markham.</t>
  </si>
  <si>
    <t>Markham, James Walter, 1910-1972, author.</t>
  </si>
  <si>
    <t>Ames, Iowa : Iowa State University Press, 1967.</t>
  </si>
  <si>
    <t>862881799:eng</t>
  </si>
  <si>
    <t>670902</t>
  </si>
  <si>
    <t>ocm00670902</t>
  </si>
  <si>
    <t>3102711809D</t>
  </si>
  <si>
    <t>9780813810850</t>
  </si>
  <si>
    <t>791442400</t>
  </si>
  <si>
    <t>P92 R9 R87 2010</t>
  </si>
  <si>
    <t>0                      P  0092000R  9                  R  87          2010</t>
  </si>
  <si>
    <t>Russian mass media and changing values / edited by Arja Rosenholm, Kaarle Nordenstreng and Elena Trubina.</t>
  </si>
  <si>
    <t>Routledge contemporary Russia and Eastern Europe series ; 24</t>
  </si>
  <si>
    <t>888401130:eng</t>
  </si>
  <si>
    <t>457164595</t>
  </si>
  <si>
    <t>ocn457164595</t>
  </si>
  <si>
    <t>3103238726Y</t>
  </si>
  <si>
    <t>9780415577465</t>
  </si>
  <si>
    <t>794789992</t>
  </si>
  <si>
    <t>P92 S34 M43 2010</t>
  </si>
  <si>
    <t>0                      P  0092000S  34                 M  43          2010</t>
  </si>
  <si>
    <t>Media mergers and the defence of pluralism / edited by Olof Hultén, Sune Tjernström &amp; Stefan Melesko.</t>
  </si>
  <si>
    <t>Göteborg : Nordicom, 2010.</t>
  </si>
  <si>
    <t>604645864:eng</t>
  </si>
  <si>
    <t>669751199</t>
  </si>
  <si>
    <t>ocn669751199</t>
  </si>
  <si>
    <t>31033553089</t>
  </si>
  <si>
    <t>9789186523077</t>
  </si>
  <si>
    <t>794847030</t>
  </si>
  <si>
    <t>P92 S58 S55 2003</t>
  </si>
  <si>
    <t>0                      P  0092000S  58                 S  55          2003</t>
  </si>
  <si>
    <t>Shifting selves : post-apartheid essays on mass media, culture, and identity / edited by Herman Wasserman and Sean Jacobs.</t>
  </si>
  <si>
    <t>Cape Town : Kwela Books, 2003.</t>
  </si>
  <si>
    <t>Social identities South Africa series</t>
  </si>
  <si>
    <t>367029289:eng</t>
  </si>
  <si>
    <t>52782859</t>
  </si>
  <si>
    <t>ocm52782859</t>
  </si>
  <si>
    <t>31027118209</t>
  </si>
  <si>
    <t>9780795701641</t>
  </si>
  <si>
    <t>793813903</t>
  </si>
  <si>
    <t>P92 S64 S685 2010</t>
  </si>
  <si>
    <t>0                      P  0092000S  64                 S  685         2010</t>
  </si>
  <si>
    <t>South Asian media cultures : audiences, representations, contexts / edited by Shakuntala Banaji.</t>
  </si>
  <si>
    <t>London ; New York : Anthem Press, 2010.</t>
  </si>
  <si>
    <t>Anthem South Asian studies</t>
  </si>
  <si>
    <t>2011-03-21</t>
  </si>
  <si>
    <t>1044436861:eng</t>
  </si>
  <si>
    <t>468979309</t>
  </si>
  <si>
    <t>ocn468979309</t>
  </si>
  <si>
    <t>31031331058</t>
  </si>
  <si>
    <t>9781843318422</t>
  </si>
  <si>
    <t>794795709</t>
  </si>
  <si>
    <t>P92 S8 R44 2010</t>
  </si>
  <si>
    <t>0                      P  0092000S  8                  R  44          2010</t>
  </si>
  <si>
    <t>Regional aesthetics : locating Swedish media / eds. Erik Hedling, Olof Hedling &amp; Mats Jönsson.</t>
  </si>
  <si>
    <t>Stockholm : National Library of Sweden, ©2010.</t>
  </si>
  <si>
    <t>Mediehistoriskt arkiv, 1654-6601 ; 15</t>
  </si>
  <si>
    <t>2011-09-12</t>
  </si>
  <si>
    <t>503093294:eng</t>
  </si>
  <si>
    <t>678552046</t>
  </si>
  <si>
    <t>ocn678552046</t>
  </si>
  <si>
    <t>3103346546X</t>
  </si>
  <si>
    <t>9789188468147</t>
  </si>
  <si>
    <t>794850480</t>
  </si>
  <si>
    <t>P92 U5 B33 1983</t>
  </si>
  <si>
    <t>0                      P  0092000U  5                  B  33          1983</t>
  </si>
  <si>
    <t>The media monopoly / Ben H. Bagdikian.</t>
  </si>
  <si>
    <t>Bagdikian, Ben H.</t>
  </si>
  <si>
    <t>Boston : Beacon Press, ©1983.</t>
  </si>
  <si>
    <t>463447:eng</t>
  </si>
  <si>
    <t>9082666</t>
  </si>
  <si>
    <t>ocm09082666</t>
  </si>
  <si>
    <t>31027118573</t>
  </si>
  <si>
    <t>9780807061626</t>
  </si>
  <si>
    <t>792656011</t>
  </si>
  <si>
    <t>P92 U5 B345 1992</t>
  </si>
  <si>
    <t>0                      P  0092000U  5                  B  345         1992</t>
  </si>
  <si>
    <t>The republic of mass culture : journalism, filmmaking, and broadcasting in America since 1941 / James L. Baughman.</t>
  </si>
  <si>
    <t>Baughman, James L., 1952-2016.</t>
  </si>
  <si>
    <t>Baltimore : Johns Hopkins University Press, ©1992.</t>
  </si>
  <si>
    <t>The American moment</t>
  </si>
  <si>
    <t>2016-11-20</t>
  </si>
  <si>
    <t>796443956:eng</t>
  </si>
  <si>
    <t>24590084</t>
  </si>
  <si>
    <t>ocm24590084</t>
  </si>
  <si>
    <t>31027118425</t>
  </si>
  <si>
    <t>9780801842764</t>
  </si>
  <si>
    <t>793201681</t>
  </si>
  <si>
    <t>P92 U5 C55 2010</t>
  </si>
  <si>
    <t>0                      P  0092000U  5                  C  55          2010</t>
  </si>
  <si>
    <t>The networked wilderness : communicating in early New England / Matt Cohen.</t>
  </si>
  <si>
    <t>Cohen, Matt, 1970-</t>
  </si>
  <si>
    <t>Minneapolis : University of Minnesota Press, ©2010.</t>
  </si>
  <si>
    <t>2019-02-28</t>
  </si>
  <si>
    <t>864918627:eng</t>
  </si>
  <si>
    <t>351319371</t>
  </si>
  <si>
    <t>ocn351319371</t>
  </si>
  <si>
    <t>3103322702O</t>
  </si>
  <si>
    <t>9780816660971</t>
  </si>
  <si>
    <t>794491410</t>
  </si>
  <si>
    <t>P92 U5 C85 1989</t>
  </si>
  <si>
    <t>0                      P  0092000U  5                  C  85          1989</t>
  </si>
  <si>
    <t>Cultural politics in contemporary America / edited by Ian Angus and Sut Jhally.</t>
  </si>
  <si>
    <t>New York : Routledge, 1989.</t>
  </si>
  <si>
    <t>2015-01-05</t>
  </si>
  <si>
    <t>350080875:eng</t>
  </si>
  <si>
    <t>18165505</t>
  </si>
  <si>
    <t>ocm18165505</t>
  </si>
  <si>
    <t>31027118691</t>
  </si>
  <si>
    <t>9780415900096</t>
  </si>
  <si>
    <t>793016190</t>
  </si>
  <si>
    <t>P92 U5 F44 1989</t>
  </si>
  <si>
    <t>0                      P  0092000U  5                  F  44          1989</t>
  </si>
  <si>
    <t>Media hoaxes / Fred Fedler.</t>
  </si>
  <si>
    <t>Fedler, Fred.</t>
  </si>
  <si>
    <t>2019-07-16</t>
  </si>
  <si>
    <t>21195320:eng</t>
  </si>
  <si>
    <t>20055885</t>
  </si>
  <si>
    <t>ocm20055885</t>
  </si>
  <si>
    <t>31027118553</t>
  </si>
  <si>
    <t>9780813811178</t>
  </si>
  <si>
    <t>793076123</t>
  </si>
  <si>
    <t>P92 U5 F45 2005</t>
  </si>
  <si>
    <t>0                      P  0092000U  5                  F  45          2005</t>
  </si>
  <si>
    <t>American media history / Anthony R. Fellow with John Tebbel.</t>
  </si>
  <si>
    <t>Fellow, Anthony R., author.</t>
  </si>
  <si>
    <t>Southbank, Victoria, Australia ; [Belmont, CA] : Thomson/Wadsworth, ©2005.</t>
  </si>
  <si>
    <t>16555152:eng</t>
  </si>
  <si>
    <t>58790041</t>
  </si>
  <si>
    <t>ocm58790041</t>
  </si>
  <si>
    <t>3102631260F</t>
  </si>
  <si>
    <t>9780534644017</t>
  </si>
  <si>
    <t>793924304</t>
  </si>
  <si>
    <t>P92 U5 H365 2009</t>
  </si>
  <si>
    <t>0                      P  0092000U  5                  H  365         2009</t>
  </si>
  <si>
    <t>Empire of illusion : the end of literacy and the triumph of spectacle / Chris Hedges.</t>
  </si>
  <si>
    <t>Hedges, Chris, author.</t>
  </si>
  <si>
    <t>New York : Nation Books, ©2009.</t>
  </si>
  <si>
    <t>2019-01-04</t>
  </si>
  <si>
    <t>803810301:eng</t>
  </si>
  <si>
    <t>301887642</t>
  </si>
  <si>
    <t>ocn301887642</t>
  </si>
  <si>
    <t>3103472561O</t>
  </si>
  <si>
    <t>9781568584379</t>
  </si>
  <si>
    <t>794433008</t>
  </si>
  <si>
    <t>P92 U5 I46 1999</t>
  </si>
  <si>
    <t>0                      P  0092000U  5                  I  46          1999</t>
  </si>
  <si>
    <t>Impact of mass media : current issues / edited by Ray Eldon Hiebert.</t>
  </si>
  <si>
    <t>New York : Longman, ©1999.</t>
  </si>
  <si>
    <t>796289836:eng</t>
  </si>
  <si>
    <t>39291425</t>
  </si>
  <si>
    <t>ocm39291425</t>
  </si>
  <si>
    <t>31027118357</t>
  </si>
  <si>
    <t>9780801331985</t>
  </si>
  <si>
    <t>793542990</t>
  </si>
  <si>
    <t>P92 U5 J33 2011</t>
  </si>
  <si>
    <t>0                      P  0092000U  5                  J  33          2011</t>
  </si>
  <si>
    <t>The space of opinion : media intellectuals and the public sphere / Ronald N. Jacobs, Eleanor Townsley.</t>
  </si>
  <si>
    <t>Jacobs, Ronald N.</t>
  </si>
  <si>
    <t>New York : Oxford University Press, USA, ©2011.</t>
  </si>
  <si>
    <t>2017-06-10</t>
  </si>
  <si>
    <t>864141105:eng</t>
  </si>
  <si>
    <t>711052176</t>
  </si>
  <si>
    <t>ocn711052176</t>
  </si>
  <si>
    <t>3103406430F</t>
  </si>
  <si>
    <t>9780199797929</t>
  </si>
  <si>
    <t>794870893</t>
  </si>
  <si>
    <t>P92 U5 L4</t>
  </si>
  <si>
    <t>0                      P  0092000U  5                  L  4</t>
  </si>
  <si>
    <t>The uses of the media by the Chicano movement: a study in minority access [by] Francisco J. Lewels, Jr.</t>
  </si>
  <si>
    <t>Lewels, Francisco J.</t>
  </si>
  <si>
    <t>New York, Praeger Publishers [1974]</t>
  </si>
  <si>
    <t>Praeger special studies in U.S. economic, social, and political issues</t>
  </si>
  <si>
    <t>2018-03-19</t>
  </si>
  <si>
    <t>321215232:eng</t>
  </si>
  <si>
    <t>797800</t>
  </si>
  <si>
    <t>ocm00797800</t>
  </si>
  <si>
    <t>3102742952I</t>
  </si>
  <si>
    <t>9780275288655</t>
  </si>
  <si>
    <t>791472273</t>
  </si>
  <si>
    <t>P92 U5 M33 2002</t>
  </si>
  <si>
    <t>0                      P  0092000U  5                  M  33          2002</t>
  </si>
  <si>
    <t>Our media, not theirs : the democratic struggle against corporate media / Robert W. McChesney and John Nichols.</t>
  </si>
  <si>
    <t>New York : Seven Stories, 2002.</t>
  </si>
  <si>
    <t>An open media book</t>
  </si>
  <si>
    <t>2017-02-06</t>
  </si>
  <si>
    <t>838459605:eng</t>
  </si>
  <si>
    <t>50583809</t>
  </si>
  <si>
    <t>ocm50583809</t>
  </si>
  <si>
    <t>3102742948K</t>
  </si>
  <si>
    <t>9781583225493</t>
  </si>
  <si>
    <t>793768231</t>
  </si>
  <si>
    <t>P92 U5 M444 1993</t>
  </si>
  <si>
    <t>0                      P  0092000U  5                  M  444         1993</t>
  </si>
  <si>
    <t>Media spectacles / edited by Marjorie Garber, Jann Matlock &amp; Rebecca L. Walkowitz.</t>
  </si>
  <si>
    <t>New York : Routledge, 1993.</t>
  </si>
  <si>
    <t>2009-04-22</t>
  </si>
  <si>
    <t>353419969:eng</t>
  </si>
  <si>
    <t>27895395</t>
  </si>
  <si>
    <t>ocm27895395</t>
  </si>
  <si>
    <t>3103069515Z</t>
  </si>
  <si>
    <t>9780415907507</t>
  </si>
  <si>
    <t>793274660</t>
  </si>
  <si>
    <t>3102742928O</t>
  </si>
  <si>
    <t>793274659</t>
  </si>
  <si>
    <t>P92 U5 M45 1991</t>
  </si>
  <si>
    <t>0                      P  0092000U  5                  M  45          1991</t>
  </si>
  <si>
    <t>Media USA : process and effect / [edited by] Arthur Asa Berger.</t>
  </si>
  <si>
    <t>New York : Longman, ©1991.</t>
  </si>
  <si>
    <t>Longman series in public communication</t>
  </si>
  <si>
    <t>836839483:eng</t>
  </si>
  <si>
    <t>21037175</t>
  </si>
  <si>
    <t>ocm21037175</t>
  </si>
  <si>
    <t>3102742964G</t>
  </si>
  <si>
    <t>9780801304521</t>
  </si>
  <si>
    <t>793107236</t>
  </si>
  <si>
    <t>P92 U5 M54 2011</t>
  </si>
  <si>
    <t>0                      P  0092000U  5                  M  54          2011</t>
  </si>
  <si>
    <t>Tomboys, pretty boys, and outspoken women : the media revolution of 1973 / Edward D. Miller.</t>
  </si>
  <si>
    <t>Miller, Edward D., 1960-</t>
  </si>
  <si>
    <t>2015-03-16</t>
  </si>
  <si>
    <t>1046170089:eng</t>
  </si>
  <si>
    <t>687681546</t>
  </si>
  <si>
    <t>ocn687681546</t>
  </si>
  <si>
    <t>3103406371A</t>
  </si>
  <si>
    <t>9780472117758</t>
  </si>
  <si>
    <t>794854040</t>
  </si>
  <si>
    <t>P92 U5 M68 2011</t>
  </si>
  <si>
    <t>0                      P  0092000U  5                  M  68          2011</t>
  </si>
  <si>
    <t>A moment of danger : critical studies in the history of U.S. communication since World War II / edited by Janice Peck &amp; Inger L. Stole.</t>
  </si>
  <si>
    <t>Milwaukee, Wis. : Marquette University Press, ©2011.</t>
  </si>
  <si>
    <t>Diederich studies in media and communication ; no. 2</t>
  </si>
  <si>
    <t>2012-03-16</t>
  </si>
  <si>
    <t>970413211:eng</t>
  </si>
  <si>
    <t>744560470</t>
  </si>
  <si>
    <t>ocn744560470</t>
  </si>
  <si>
    <t>3103407676Y</t>
  </si>
  <si>
    <t>9780874620344</t>
  </si>
  <si>
    <t>794886300</t>
  </si>
  <si>
    <t>P92 U5 P55 1990</t>
  </si>
  <si>
    <t>0                      P  0092000U  5                  P  55          1990</t>
  </si>
  <si>
    <t>Place images in media : portrayal, experience, and meaning / edited by Leo Zonn.</t>
  </si>
  <si>
    <t>Savage, MD : Rowman &amp; Littlefield, [1990]</t>
  </si>
  <si>
    <t>24364645:eng</t>
  </si>
  <si>
    <t>22279859</t>
  </si>
  <si>
    <t>ocm22279859</t>
  </si>
  <si>
    <t>3102785988H</t>
  </si>
  <si>
    <t>9780847675944</t>
  </si>
  <si>
    <t>793139469</t>
  </si>
  <si>
    <t>P92 U5 R36 2007</t>
  </si>
  <si>
    <t>0                      P  0092000U  5                  R  36          2007</t>
  </si>
  <si>
    <t>Mass media unleashed : how Washington policymakers shortchanged the American public / Carl R. Ramey.</t>
  </si>
  <si>
    <t>Ramey, Carl R., 1941-</t>
  </si>
  <si>
    <t>Lanham : Rowman &amp; Littlefield, ©2007.</t>
  </si>
  <si>
    <t>2017-01-26</t>
  </si>
  <si>
    <t>69733409:eng</t>
  </si>
  <si>
    <t>85830682</t>
  </si>
  <si>
    <t>ocm85830682</t>
  </si>
  <si>
    <t>3102641330D</t>
  </si>
  <si>
    <t>9780742555709</t>
  </si>
  <si>
    <t>794216764</t>
  </si>
  <si>
    <t>P92 U5 S56 1991</t>
  </si>
  <si>
    <t>0                      P  0092000U  5                  S  56          1991</t>
  </si>
  <si>
    <t>Perspectives on mass communication history / Wm. David Sloan.</t>
  </si>
  <si>
    <t>Sloan, W. David (William David), 1947-</t>
  </si>
  <si>
    <t>Hillsdale, N.J. : L. Erlbaum Associates, 1991.</t>
  </si>
  <si>
    <t>Communication textbook series. General communication theory and methodology</t>
  </si>
  <si>
    <t>24932340:eng</t>
  </si>
  <si>
    <t>23462598</t>
  </si>
  <si>
    <t>ocm23462598</t>
  </si>
  <si>
    <t>3102742935M</t>
  </si>
  <si>
    <t>9780805808353</t>
  </si>
  <si>
    <t>793171943</t>
  </si>
  <si>
    <t>P92 U5 S586 1993</t>
  </si>
  <si>
    <t>0                      P  0092000U  5                  S  586         1993</t>
  </si>
  <si>
    <t>Small nations, big neighbour : Denmark and Quebec/Canada compare notes on American popular culture / edited by Roger de la Garde, William Gilsdorf, and Ilja Wechselmann ; with the collaboration of Jorgen Lerche-Nielsen.</t>
  </si>
  <si>
    <t>London : J. Libbey, ©1993.</t>
  </si>
  <si>
    <t>Acamedia research monograph, 0966-9057 ; 10</t>
  </si>
  <si>
    <t>894517988:eng</t>
  </si>
  <si>
    <t>28097197</t>
  </si>
  <si>
    <t>ocm28097197</t>
  </si>
  <si>
    <t>3102742936M</t>
  </si>
  <si>
    <t>9780861963430</t>
  </si>
  <si>
    <t>793279602</t>
  </si>
  <si>
    <t>P92 U5 S646 2004</t>
  </si>
  <si>
    <t>0                      P  0092000U  5                  S  646         2004</t>
  </si>
  <si>
    <t>The creation of the media : political origins of modern communications / Paul Starr.</t>
  </si>
  <si>
    <t>Starr, Paul, 1949- author.</t>
  </si>
  <si>
    <t>New York : Basic Books, [2004]</t>
  </si>
  <si>
    <t>1917486:eng</t>
  </si>
  <si>
    <t>53215713</t>
  </si>
  <si>
    <t>ocm53215713</t>
  </si>
  <si>
    <t>3103428094Y</t>
  </si>
  <si>
    <t>9780465081936</t>
  </si>
  <si>
    <t>793823826</t>
  </si>
  <si>
    <t>2014-12-02</t>
  </si>
  <si>
    <t>3102742987C</t>
  </si>
  <si>
    <t>793823825</t>
  </si>
  <si>
    <t>P92 U5 S75</t>
  </si>
  <si>
    <t>0                      P  0092000U  5                  S  75</t>
  </si>
  <si>
    <t>Documentary expression and thirties America / William Stott.</t>
  </si>
  <si>
    <t>Stott, William, 1940-</t>
  </si>
  <si>
    <t>New York : Oxford University Press, 1973.</t>
  </si>
  <si>
    <t>2015-04-07</t>
  </si>
  <si>
    <t>143935544:eng</t>
  </si>
  <si>
    <t>762760</t>
  </si>
  <si>
    <t>ocm00762760</t>
  </si>
  <si>
    <t>3102743008E</t>
  </si>
  <si>
    <t>9780195017175</t>
  </si>
  <si>
    <t>791464670</t>
  </si>
  <si>
    <t>P92 U5 T4</t>
  </si>
  <si>
    <t>0                      P  0092000U  5                  T  4</t>
  </si>
  <si>
    <t>The media in America [by] John Tebbel.</t>
  </si>
  <si>
    <t>Tebbel, John William, 1912-2004.</t>
  </si>
  <si>
    <t>New York, Crowell [1974]</t>
  </si>
  <si>
    <t>2017-04-12</t>
  </si>
  <si>
    <t>865033488:eng</t>
  </si>
  <si>
    <t>922845</t>
  </si>
  <si>
    <t>ocm00922845</t>
  </si>
  <si>
    <t>3102742993A</t>
  </si>
  <si>
    <t>9780690005004</t>
  </si>
  <si>
    <t>791502875</t>
  </si>
  <si>
    <t>P92 U5 W525 2010</t>
  </si>
  <si>
    <t>0                      P  0092000U  5                  W  525         2010</t>
  </si>
  <si>
    <t>100 media moments that changed America / Jim Willis.</t>
  </si>
  <si>
    <t>Willis, Jim, 1946 March 19-</t>
  </si>
  <si>
    <t>Santa Barbara, Calif. : Greenwood Press, ©2010.</t>
  </si>
  <si>
    <t>2019-03-04</t>
  </si>
  <si>
    <t>431418448:eng</t>
  </si>
  <si>
    <t>457768263</t>
  </si>
  <si>
    <t>ocn457768263</t>
  </si>
  <si>
    <t>3103156000Q</t>
  </si>
  <si>
    <t>9780313355172</t>
  </si>
  <si>
    <t>794790117</t>
  </si>
  <si>
    <t>P92 U5 W53 1982</t>
  </si>
  <si>
    <t>0                      P  0092000U  5                  W  53          1982</t>
  </si>
  <si>
    <t>Vietnam in prose and film / James C. Wilson.</t>
  </si>
  <si>
    <t>Wilson, James C., 1948-</t>
  </si>
  <si>
    <t>Jefferson, N.C. : McFarland, 1982.</t>
  </si>
  <si>
    <t>19889:eng</t>
  </si>
  <si>
    <t>8389121</t>
  </si>
  <si>
    <t>ocm08389121</t>
  </si>
  <si>
    <t>3102742989C</t>
  </si>
  <si>
    <t>9780899500508</t>
  </si>
  <si>
    <t>792616600</t>
  </si>
  <si>
    <t>P92 U6 C845 2010</t>
  </si>
  <si>
    <t>0                      P  0092000U  6                  C  845         2010</t>
  </si>
  <si>
    <t>Cultural narratives : textuality and performance in American culture before 1900 / edited by Sandra M. Gustafson and Caroline F. Sloat.</t>
  </si>
  <si>
    <t>Notre Dame, Ind. : University of Notre Dame Press, ©2010.</t>
  </si>
  <si>
    <t>2017-04-25</t>
  </si>
  <si>
    <t>796127999:eng</t>
  </si>
  <si>
    <t>468973389</t>
  </si>
  <si>
    <t>ocn468973389</t>
  </si>
  <si>
    <t>3103243143Q</t>
  </si>
  <si>
    <t>9780268029760</t>
  </si>
  <si>
    <t>794795573</t>
  </si>
  <si>
    <t>P92 Y8 K87 2003</t>
  </si>
  <si>
    <t>0                      P  0092000Y  8                  K  87          2003</t>
  </si>
  <si>
    <t>Prime time crime : Balkan media in war and peace / Kemal Kurspahic.</t>
  </si>
  <si>
    <t>Kurspahić, Kemal, 1946-</t>
  </si>
  <si>
    <t>Washington, DC : United States Institute of Peace Press, 2003.</t>
  </si>
  <si>
    <t>436183:eng</t>
  </si>
  <si>
    <t>50755952</t>
  </si>
  <si>
    <t>ocm50755952</t>
  </si>
  <si>
    <t>3102742984C</t>
  </si>
  <si>
    <t>9781929223398</t>
  </si>
  <si>
    <t>793772357</t>
  </si>
  <si>
    <t>P92 Y8 R6</t>
  </si>
  <si>
    <t>0                      P  0092000Y  8                  R  6</t>
  </si>
  <si>
    <t>Tito's maverick media : the politics of mass communications in Yugoslavia / Gertrude Joch Robinson.</t>
  </si>
  <si>
    <t>Robinson, Gertrude Joch.</t>
  </si>
  <si>
    <t>Urbana : University of Illinois Press, ©1977.</t>
  </si>
  <si>
    <t>891682887:eng</t>
  </si>
  <si>
    <t>2655407</t>
  </si>
  <si>
    <t>ocm02655407</t>
  </si>
  <si>
    <t>3102742974E</t>
  </si>
  <si>
    <t>9780252005978</t>
  </si>
  <si>
    <t>792158591</t>
  </si>
  <si>
    <t>P92 Y8 T46 1994</t>
  </si>
  <si>
    <t>0                      P  0092000Y  8                  T  46          1994</t>
  </si>
  <si>
    <t>Forging war : the media in Serbia, Croatia and Bosnia-Hercegovina / [Mark Thompson].</t>
  </si>
  <si>
    <t>Thompson, Mark, 1959-</t>
  </si>
  <si>
    <t>London : Article 19, [1994]</t>
  </si>
  <si>
    <t>International Centre Against Censorship</t>
  </si>
  <si>
    <t>2017-10-11</t>
  </si>
  <si>
    <t>3901557756:eng</t>
  </si>
  <si>
    <t>30915874</t>
  </si>
  <si>
    <t>ocm30915874</t>
  </si>
  <si>
    <t>3102743015C</t>
  </si>
  <si>
    <t>9781870798228</t>
  </si>
  <si>
    <t>793349010</t>
  </si>
  <si>
    <t>P92.2 M43.2012</t>
  </si>
  <si>
    <t>0                      P  0092200M  43                                                      .2012</t>
  </si>
  <si>
    <t>Les médias de l'expression de la diversité culturelle en Afrique / sous la direction de Serge Théophile Balima et Michel Mathien.</t>
  </si>
  <si>
    <t>Bruxelles : Bruylant, 2012.</t>
  </si>
  <si>
    <t>Médias, sociétés et relations internationales</t>
  </si>
  <si>
    <t>1107176062:fre</t>
  </si>
  <si>
    <t>793192908</t>
  </si>
  <si>
    <t>ocn793192908</t>
  </si>
  <si>
    <t>3103473463N</t>
  </si>
  <si>
    <t>9782802737025</t>
  </si>
  <si>
    <t>794917670</t>
  </si>
  <si>
    <t>P92.5 A1 B32 2000</t>
  </si>
  <si>
    <t>0                      P  0092500A  1                  B  32          2000</t>
  </si>
  <si>
    <t>Canadian communication thought : ten foundational writers / Robert E. Babe.</t>
  </si>
  <si>
    <t>Babe, Robert E.</t>
  </si>
  <si>
    <t>Toronto ; Buffalo : University of Toronto Press, ©2000.</t>
  </si>
  <si>
    <t>855237311:eng</t>
  </si>
  <si>
    <t>43574373</t>
  </si>
  <si>
    <t>ocm43574373</t>
  </si>
  <si>
    <t>3103014322A</t>
  </si>
  <si>
    <t>9780802040985</t>
  </si>
  <si>
    <t>793630026</t>
  </si>
  <si>
    <t>P92.5 B38 S35 2011</t>
  </si>
  <si>
    <t>0                      P  0092500B  38                 S  35          2011</t>
  </si>
  <si>
    <t>Frank Batten : the untold story of the founder of the Weather Channel / Connie Sage.</t>
  </si>
  <si>
    <t>Sage, Connie, 1948-</t>
  </si>
  <si>
    <t>Charlottesville : University of Virginia Press in association with the Norfolk Historical Society, 2011.</t>
  </si>
  <si>
    <t>9827296723:eng</t>
  </si>
  <si>
    <t>693208250</t>
  </si>
  <si>
    <t>ocn693208250</t>
  </si>
  <si>
    <t>3103383931F</t>
  </si>
  <si>
    <t>9780813931555</t>
  </si>
  <si>
    <t>794856442</t>
  </si>
  <si>
    <t>P92.5 C37 J36 1997</t>
  </si>
  <si>
    <t>0                      P  0092500C  37                 J  36          1997</t>
  </si>
  <si>
    <t>James Carey : a critical reader / Eve Stryker Munson and Catherine A. Warren, editors.</t>
  </si>
  <si>
    <t>1044414012:eng</t>
  </si>
  <si>
    <t>36511418</t>
  </si>
  <si>
    <t>ocm36511418</t>
  </si>
  <si>
    <t>31027430534</t>
  </si>
  <si>
    <t>9780816627028</t>
  </si>
  <si>
    <t>793477132</t>
  </si>
  <si>
    <t>P92.5 G48 M68 2012</t>
  </si>
  <si>
    <t>0                      P  0092500G  48                 M  68          2012</t>
  </si>
  <si>
    <t>George Gerbner : a critical introduction to media and communication theory / Michael Morgan.</t>
  </si>
  <si>
    <t>Morgan, Michael, 1953 April 15-</t>
  </si>
  <si>
    <t>New York : Peter Lang, ©2012.</t>
  </si>
  <si>
    <t>A critical introduction to media and communication theory ; v. 3</t>
  </si>
  <si>
    <t>984119205:eng</t>
  </si>
  <si>
    <t>746154089</t>
  </si>
  <si>
    <t>ocn746154089</t>
  </si>
  <si>
    <t>31034077382</t>
  </si>
  <si>
    <t>9781433109874</t>
  </si>
  <si>
    <t>794886987</t>
  </si>
  <si>
    <t>P92.5 I56 A3 2016</t>
  </si>
  <si>
    <t>0                      P  0092500I  56                 A  3           2016</t>
  </si>
  <si>
    <t>Harold Innis reflects : memoir and WWI writings/correspondence / edited by William J. Buxton, Michael R. Cheney, and Paul Heyer.</t>
  </si>
  <si>
    <t>Innis, Harold A. (Harold Adams), 1894-1952, author.</t>
  </si>
  <si>
    <t>Lanham, Maryland : Rowman &amp; Littlefield, [2016]</t>
  </si>
  <si>
    <t>Critical media studies : institutions, politics, and culture</t>
  </si>
  <si>
    <t>3872282316:eng</t>
  </si>
  <si>
    <t>951506584</t>
  </si>
  <si>
    <t>ocn951506584</t>
  </si>
  <si>
    <t>3103728697M</t>
  </si>
  <si>
    <t>9781442273993</t>
  </si>
  <si>
    <t>795017478</t>
  </si>
  <si>
    <t>P92.5 M3 A4 1987</t>
  </si>
  <si>
    <t>0                      P  0092500M  3                  A  4           1987</t>
  </si>
  <si>
    <t>Letters of Marshall McLuhan / selected and edited by Matie Molinaro, Corinne McLuhan, William Toye.</t>
  </si>
  <si>
    <t>Toronto ; New York : Oxford University Press, 1987.</t>
  </si>
  <si>
    <t>143917887:eng</t>
  </si>
  <si>
    <t>18989905</t>
  </si>
  <si>
    <t>ocm18989905</t>
  </si>
  <si>
    <t>31027430486</t>
  </si>
  <si>
    <t>9780195405941</t>
  </si>
  <si>
    <t>793043874</t>
  </si>
  <si>
    <t>P92.5 M3 A4 2003</t>
  </si>
  <si>
    <t>0                      P  0092500M  3                  A  4           2003</t>
  </si>
  <si>
    <t>Understanding me : lectures and interviews / Marshall McLuhan ; edited by Stephanie McLuhan and David Staines ; with a foreword by Tom Wolfe.</t>
  </si>
  <si>
    <t>Toronto, Ont. : McClelland &amp; Stewart, ©2003.</t>
  </si>
  <si>
    <t>2016-01-10</t>
  </si>
  <si>
    <t>794750129:eng</t>
  </si>
  <si>
    <t>52152562</t>
  </si>
  <si>
    <t>ocm52152562</t>
  </si>
  <si>
    <t>31027430426</t>
  </si>
  <si>
    <t>9780771055454</t>
  </si>
  <si>
    <t>793799667</t>
  </si>
  <si>
    <t>P92.5 M3 C38 2016</t>
  </si>
  <si>
    <t>0                      P  0092500M  3                  C  38          2016</t>
  </si>
  <si>
    <t>Remediating McLuhan / Richard Cavell.</t>
  </si>
  <si>
    <t>Cavell, Richard, 1949- author.</t>
  </si>
  <si>
    <t>Amsterdam : Amsterdam University Press, 2016.</t>
  </si>
  <si>
    <t>Recursions: theories of media, materiality, and cultural techniques</t>
  </si>
  <si>
    <t>2857091881:eng</t>
  </si>
  <si>
    <t>954018723</t>
  </si>
  <si>
    <t>ocn954018723</t>
  </si>
  <si>
    <t>3103740925Q</t>
  </si>
  <si>
    <t>9789089649508</t>
  </si>
  <si>
    <t>795019551</t>
  </si>
  <si>
    <t>P92.5 M3 C69 2009</t>
  </si>
  <si>
    <t>0                      P  0092500M  3                  C  69          2009</t>
  </si>
  <si>
    <t>Marshall McLuhan / Douglas Coupland ; introduction by John Ralston Saul.</t>
  </si>
  <si>
    <t>Coupland, Douglas.</t>
  </si>
  <si>
    <t>Toronto, Ont. ; New York : Penguin Group, 2009.</t>
  </si>
  <si>
    <t>Extraordinary Canadians</t>
  </si>
  <si>
    <t>2017-12-22</t>
  </si>
  <si>
    <t>341511289:eng</t>
  </si>
  <si>
    <t>473375096</t>
  </si>
  <si>
    <t>ocn473375096</t>
  </si>
  <si>
    <t>31030726668</t>
  </si>
  <si>
    <t>9780670069224</t>
  </si>
  <si>
    <t>794797751</t>
  </si>
  <si>
    <t>P92.5 M3 D8</t>
  </si>
  <si>
    <t>0                      P  0092500M  3                  D  8</t>
  </si>
  <si>
    <t>Duffy, Dennis, 1938-</t>
  </si>
  <si>
    <t>Toronto, Montreal, McClelland and Stewart [©1969]</t>
  </si>
  <si>
    <t>1969</t>
  </si>
  <si>
    <t>New Canadian library</t>
  </si>
  <si>
    <t>2016-10-03</t>
  </si>
  <si>
    <t>1164601:eng</t>
  </si>
  <si>
    <t>25028</t>
  </si>
  <si>
    <t>ocm00025028</t>
  </si>
  <si>
    <t>31027430388</t>
  </si>
  <si>
    <t>791232393</t>
  </si>
  <si>
    <t>31027430436</t>
  </si>
  <si>
    <t>791232391</t>
  </si>
  <si>
    <t>P92.5 M3 F52 2015</t>
  </si>
  <si>
    <t>0                      P  0092500M  3                  F  52          2015</t>
  </si>
  <si>
    <t>Finding McLuhan : the mind, the man, the message / edited by Jaqueline McLeod Rogers, Tracy Whalen, Catherine G. Taylor.</t>
  </si>
  <si>
    <t>Regina, Saskatchewan : University of Regina Press, [2015]</t>
  </si>
  <si>
    <t>2276648444:eng</t>
  </si>
  <si>
    <t>900828315</t>
  </si>
  <si>
    <t>ocn900828315</t>
  </si>
  <si>
    <t>3103729442D</t>
  </si>
  <si>
    <t>9780889773745</t>
  </si>
  <si>
    <t>794987941</t>
  </si>
  <si>
    <t>P92.5 M3 F57 2001</t>
  </si>
  <si>
    <t>0                      P  0092500M  3                  F  57          2001</t>
  </si>
  <si>
    <t>Marshall McLuhan : wise guy / Judith Fitzgerald.</t>
  </si>
  <si>
    <t>Fitzgerald, Judith.</t>
  </si>
  <si>
    <t>Montréal : XYZ Pub., 2001.</t>
  </si>
  <si>
    <t>The Quest library ; 14</t>
  </si>
  <si>
    <t>3754921954:eng</t>
  </si>
  <si>
    <t>47786719</t>
  </si>
  <si>
    <t>ocm47786719</t>
  </si>
  <si>
    <t>3102796631R</t>
  </si>
  <si>
    <t>9780968816677</t>
  </si>
  <si>
    <t>793708005</t>
  </si>
  <si>
    <t>P92.5 M3 F67 1996</t>
  </si>
  <si>
    <t>0                      P  0092500M  3                  F  67          1996</t>
  </si>
  <si>
    <t>Forward through the rearview mirror : reflections on and by Marshall McLuhan / edited by Paul Benedetti and Nancy DeHart ; with commentaries by Frank Zingrone ... [et al.] ; Marshall McLuhan biography by Philip Marchand.</t>
  </si>
  <si>
    <t>Scarborough, Ont. : Prentice Hall Canada, c1996.</t>
  </si>
  <si>
    <t>836965409:eng</t>
  </si>
  <si>
    <t>35926668</t>
  </si>
  <si>
    <t>ocm35926668</t>
  </si>
  <si>
    <t>31027430378</t>
  </si>
  <si>
    <t>9780134949567</t>
  </si>
  <si>
    <t>793461064</t>
  </si>
  <si>
    <t>P92.5 M3 G66 1997</t>
  </si>
  <si>
    <t>0                      P  0092500M  3                  G  66          1997</t>
  </si>
  <si>
    <t>Marshall McLuhan : escape into understanding / W. Terrence Gordon.</t>
  </si>
  <si>
    <t>Gordon, W. Terrence (William Terrence), 1942-</t>
  </si>
  <si>
    <t>Toronto : Stoddart, 1997.</t>
  </si>
  <si>
    <t>2008-03-18</t>
  </si>
  <si>
    <t>3943773338:eng</t>
  </si>
  <si>
    <t>37492309</t>
  </si>
  <si>
    <t>ocm37492309</t>
  </si>
  <si>
    <t>3102743017C</t>
  </si>
  <si>
    <t>9780773730458</t>
  </si>
  <si>
    <t>793500034</t>
  </si>
  <si>
    <t>3102524287A</t>
  </si>
  <si>
    <t>793500033</t>
  </si>
  <si>
    <t>2012-04-21</t>
  </si>
  <si>
    <t>31027430338</t>
  </si>
  <si>
    <t>793500032</t>
  </si>
  <si>
    <t>P92.5 M3 G67 1997</t>
  </si>
  <si>
    <t>0                      P  0092500M  3                  G  67          1997</t>
  </si>
  <si>
    <t>McLuhan for beginners / [by W. Terrence Gordon ; illustrated by Susan Willmarth].</t>
  </si>
  <si>
    <t>Gordon, W. Terrence, 1942-</t>
  </si>
  <si>
    <t>New York, NY : Writers and Readers Pub., ©1997.</t>
  </si>
  <si>
    <t>Beginners documentary comic book ; 82</t>
  </si>
  <si>
    <t>17103860:eng</t>
  </si>
  <si>
    <t>36399985</t>
  </si>
  <si>
    <t>ocm36399985</t>
  </si>
  <si>
    <t>31025496717</t>
  </si>
  <si>
    <t>9780863162312</t>
  </si>
  <si>
    <t>793474268</t>
  </si>
  <si>
    <t>31027430594</t>
  </si>
  <si>
    <t>793474267</t>
  </si>
  <si>
    <t>P92.5 M3 G675 2010</t>
  </si>
  <si>
    <t>0                      P  0092500M  3                  G  675         2010</t>
  </si>
  <si>
    <t>McLuhan : a guide for the perplexed / W. Terrence Gordon.</t>
  </si>
  <si>
    <t>New York : Continuum, 2010.</t>
  </si>
  <si>
    <t>2018-06-29</t>
  </si>
  <si>
    <t>796298797:eng</t>
  </si>
  <si>
    <t>317928326</t>
  </si>
  <si>
    <t>ocn317928326</t>
  </si>
  <si>
    <t>31031287346</t>
  </si>
  <si>
    <t>9781441126290</t>
  </si>
  <si>
    <t>794477219</t>
  </si>
  <si>
    <t>P92.5 M3 L343 2012</t>
  </si>
  <si>
    <t>0                      P  0092500M  3                  L  343         2012</t>
  </si>
  <si>
    <t>Marshall McLuhan's mosaic : probing the literary origins of media studies / Elena Lamberti.</t>
  </si>
  <si>
    <t>Lamberti, Elena.</t>
  </si>
  <si>
    <t>Toronto : University of Toronto Press, ©2012.</t>
  </si>
  <si>
    <t>2012-07-27</t>
  </si>
  <si>
    <t>904210341:eng</t>
  </si>
  <si>
    <t>756268978</t>
  </si>
  <si>
    <t>ocn756268978</t>
  </si>
  <si>
    <t>3103326947V</t>
  </si>
  <si>
    <t>9781442640139</t>
  </si>
  <si>
    <t>794894374</t>
  </si>
  <si>
    <t>P92.5 M3 L44 2005</t>
  </si>
  <si>
    <t>0                      P  0092500M  3                  L  44          2005</t>
  </si>
  <si>
    <t>The legacy of McLuhan / edited by Lance Strate, Edward Wachtel.</t>
  </si>
  <si>
    <t>Cresskill, NJ : Hampton Press, ©2005.</t>
  </si>
  <si>
    <t>354004957:eng</t>
  </si>
  <si>
    <t>60644859</t>
  </si>
  <si>
    <t>ocm60644859</t>
  </si>
  <si>
    <t>31024820408</t>
  </si>
  <si>
    <t>9781572735309</t>
  </si>
  <si>
    <t>793941277</t>
  </si>
  <si>
    <t>P92.5 M3 L66 2017</t>
  </si>
  <si>
    <t>0                      P  0092500M  3                  L  66          2017</t>
  </si>
  <si>
    <t>McLuhan and symbolist communication : the shock of dislocation / Andrea Lombardinilo ; with an interview with Derrick de Kerckhove.</t>
  </si>
  <si>
    <t>Lombardinilo, Andrea, author.</t>
  </si>
  <si>
    <t>Oxford : Peter Lang, [2017]</t>
  </si>
  <si>
    <t>Interdisciplinary communication studies ; volume 9</t>
  </si>
  <si>
    <t>4243590969:eng</t>
  </si>
  <si>
    <t>983562998</t>
  </si>
  <si>
    <t>ocn983562998</t>
  </si>
  <si>
    <t>3103703410V</t>
  </si>
  <si>
    <t>9781787074392</t>
  </si>
  <si>
    <t>795034801</t>
  </si>
  <si>
    <t>P92.5 M3 M34 1998</t>
  </si>
  <si>
    <t>0                      P  0092500M  3                  M  34          1998</t>
  </si>
  <si>
    <t>Marshall McLuhan : the medium and the messenger : a biography / Philip Marchand ; [with a new foreword by Neil Postman].</t>
  </si>
  <si>
    <t>Marchand, Philip, 1946-</t>
  </si>
  <si>
    <t>Cambridge, Mass. : MIT Press, 1998.</t>
  </si>
  <si>
    <t>1st MIT Press ed.</t>
  </si>
  <si>
    <t>836955285:eng</t>
  </si>
  <si>
    <t>39342898</t>
  </si>
  <si>
    <t>ocm39342898</t>
  </si>
  <si>
    <t>31027430328</t>
  </si>
  <si>
    <t>9780262631860</t>
  </si>
  <si>
    <t>793544104</t>
  </si>
  <si>
    <t>P92.5 M3 M35 2014</t>
  </si>
  <si>
    <t>0                      P  0092500M  3                  M  35          2014</t>
  </si>
  <si>
    <t>McLuhan's global village today : transatlantic perspectives / edited by Carmen Birkle, Angela Krewani and Martin Kuester.</t>
  </si>
  <si>
    <t>London : Pickering &amp; Chatto, 2014.</t>
  </si>
  <si>
    <t>Studies for the International Society for Cultural History ; 6</t>
  </si>
  <si>
    <t>1851117218:eng</t>
  </si>
  <si>
    <t>870980844</t>
  </si>
  <si>
    <t>ocn870980844</t>
  </si>
  <si>
    <t>31035317511</t>
  </si>
  <si>
    <t>9781848934610</t>
  </si>
  <si>
    <t>794967103</t>
  </si>
  <si>
    <t>P92.5 M3 M35 2015</t>
  </si>
  <si>
    <t>0                      P  0092500M  3                  M  35          2015</t>
  </si>
  <si>
    <t>McLuhan : social media between faith and culture / Domenico Pietropaolo, ed. ; Robert K. Logan, co-ed.</t>
  </si>
  <si>
    <t>Ottawa : Legas, 2014.</t>
  </si>
  <si>
    <t>Language, media &amp; education studies series ; 61</t>
  </si>
  <si>
    <t>4586859657:eng</t>
  </si>
  <si>
    <t>890512094</t>
  </si>
  <si>
    <t>ocn890512094</t>
  </si>
  <si>
    <t>3103703265E</t>
  </si>
  <si>
    <t>9781897493519</t>
  </si>
  <si>
    <t>794979312</t>
  </si>
  <si>
    <t>P92.5 M3 M355 1995</t>
  </si>
  <si>
    <t>0                      P  0092500M  3                  M  355         1995</t>
  </si>
  <si>
    <t>Essential McLuhan / edited by Eric McLuhan and Frank Zingrone.</t>
  </si>
  <si>
    <t>Concord, Ont. : House of Anansi, 1995.</t>
  </si>
  <si>
    <t>2019-11-14</t>
  </si>
  <si>
    <t>45423:eng</t>
  </si>
  <si>
    <t>31781471</t>
  </si>
  <si>
    <t>ocm31781471</t>
  </si>
  <si>
    <t>31027430398</t>
  </si>
  <si>
    <t>9780887845659</t>
  </si>
  <si>
    <t>793368074</t>
  </si>
  <si>
    <t>31027430446</t>
  </si>
  <si>
    <t>793368075</t>
  </si>
  <si>
    <t>P92.5 M3 N4 1993</t>
  </si>
  <si>
    <t>0                      P  0092500M  3                  N  4           1993</t>
  </si>
  <si>
    <t>Clarifying McLuhan : an assessment of process and product / S.D. Neill.</t>
  </si>
  <si>
    <t>Neill, S. D. (Samuel D.), 1928-</t>
  </si>
  <si>
    <t>Contributions to the study of mass media and communications, 0732-4456 ; no. 37</t>
  </si>
  <si>
    <t>143764851:eng</t>
  </si>
  <si>
    <t>26764316</t>
  </si>
  <si>
    <t>ocm26764316</t>
  </si>
  <si>
    <t>3101232958L</t>
  </si>
  <si>
    <t>9780313284441</t>
  </si>
  <si>
    <t>793251141</t>
  </si>
  <si>
    <t>P92.5 M3 P37 2010</t>
  </si>
  <si>
    <t>0                      P  0092500M  3                  P  37          2010</t>
  </si>
  <si>
    <t>Conversations avec McLuhan, 1966-1973 / Jean Paré.</t>
  </si>
  <si>
    <t>Paré, Jean, 1935-</t>
  </si>
  <si>
    <t>Montréal : Boréal, 2010.</t>
  </si>
  <si>
    <t>2011-04-26</t>
  </si>
  <si>
    <t>631977640:fre</t>
  </si>
  <si>
    <t>663714802</t>
  </si>
  <si>
    <t>ocn663714802</t>
  </si>
  <si>
    <t>3103267279S</t>
  </si>
  <si>
    <t>9782764620755</t>
  </si>
  <si>
    <t>794838168</t>
  </si>
  <si>
    <t>P92.5 M3 P69 2014</t>
  </si>
  <si>
    <t>0                      P  0092500M  3                  P  69          2014</t>
  </si>
  <si>
    <t>Marshall McLuhan and Northrop Frye : apocalypse and alchemy / B.W. Powe.</t>
  </si>
  <si>
    <t>Powe, B. W. (Bruce W.), 1955- author.</t>
  </si>
  <si>
    <t>Toronto : University of Toronto Press, [2014]</t>
  </si>
  <si>
    <t>1744465538:eng</t>
  </si>
  <si>
    <t>865495451</t>
  </si>
  <si>
    <t>ocn865495451</t>
  </si>
  <si>
    <t>3103494352E</t>
  </si>
  <si>
    <t>9781442648111</t>
  </si>
  <si>
    <t>794963057</t>
  </si>
  <si>
    <t>P92.5 M3 T35 2017</t>
  </si>
  <si>
    <t>0                      P  0092500M  3                  T  35          2017</t>
  </si>
  <si>
    <t>Taking up McLuhan's cause : perspectives on media and formal causality / edited by Corey Anton, Robert K. Logan &amp; Lance Strate.</t>
  </si>
  <si>
    <t>Bristol : Intellect ; Chicago, IL : Intellect/The University of Chicago Press, 2017.</t>
  </si>
  <si>
    <t>2019-11-15</t>
  </si>
  <si>
    <t>2946709157:eng</t>
  </si>
  <si>
    <t>974443820</t>
  </si>
  <si>
    <t>ocn974443820</t>
  </si>
  <si>
    <t>3103655587X</t>
  </si>
  <si>
    <t>9781783206940</t>
  </si>
  <si>
    <t>795029581</t>
  </si>
  <si>
    <t>P92.5.M3 T35 2017</t>
  </si>
  <si>
    <t>3103867329P</t>
  </si>
  <si>
    <t>795029580</t>
  </si>
  <si>
    <t>P92.5 M3 T5</t>
  </si>
  <si>
    <t>0                      P  0092500M  3                  T  5</t>
  </si>
  <si>
    <t>The medium is the rear view mirror, understanding McLuhan [by] Donald F. Theall.</t>
  </si>
  <si>
    <t>Theall, Donald F., author.</t>
  </si>
  <si>
    <t>Montreal, McGill-Queen's University Press, 1971.</t>
  </si>
  <si>
    <t>2013-06-28</t>
  </si>
  <si>
    <t>1254273:eng</t>
  </si>
  <si>
    <t>127028</t>
  </si>
  <si>
    <t>ocm00127028</t>
  </si>
  <si>
    <t>3102743018C</t>
  </si>
  <si>
    <t>9780773500938</t>
  </si>
  <si>
    <t>791265181</t>
  </si>
  <si>
    <t>2006-01-25</t>
  </si>
  <si>
    <t>3102743023A</t>
  </si>
  <si>
    <t>791265179</t>
  </si>
  <si>
    <t>3000966308S</t>
  </si>
  <si>
    <t>791265176</t>
  </si>
  <si>
    <t>P92.5 M3 T73 2010</t>
  </si>
  <si>
    <t>0                      P  0092500M  3                  T  73          2010</t>
  </si>
  <si>
    <t>Transforming McLuhan : cultural, critical, and postmodern perspectives / edited by Paul Grosswiler.</t>
  </si>
  <si>
    <t>792286928:eng</t>
  </si>
  <si>
    <t>642624617</t>
  </si>
  <si>
    <t>ocn642624617</t>
  </si>
  <si>
    <t>3103230917P</t>
  </si>
  <si>
    <t>9781433110672</t>
  </si>
  <si>
    <t>794828314</t>
  </si>
  <si>
    <t>P92.5 M3 W55 1996</t>
  </si>
  <si>
    <t>0                      P  0092500M  3                  W  55          1996</t>
  </si>
  <si>
    <t>McLuhan, or modernism in reverse / Glenn Willmott.</t>
  </si>
  <si>
    <t>Willmott, Glenn, 1963-</t>
  </si>
  <si>
    <t>Toronto ; Buffalo : University of Toronto Press, ©1996.</t>
  </si>
  <si>
    <t>Theory/culture series. ^A773399 ^A773399</t>
  </si>
  <si>
    <t>39460483:eng</t>
  </si>
  <si>
    <t>34952668</t>
  </si>
  <si>
    <t>ocm34952668</t>
  </si>
  <si>
    <t>3102743029A</t>
  </si>
  <si>
    <t>9780802008015</t>
  </si>
  <si>
    <t>793439721</t>
  </si>
  <si>
    <t>31027430504</t>
  </si>
  <si>
    <t>793439722</t>
  </si>
  <si>
    <t>P92.5 M37 A5 2011</t>
  </si>
  <si>
    <t>0                      P  0092500M  37                 A  5           2011</t>
  </si>
  <si>
    <t>Pour un regard-monde / Armand Mattelart ; entretiens avec Michel Sénécal.</t>
  </si>
  <si>
    <t>Montréal : Presses de l'Université de Montréal, 2011.</t>
  </si>
  <si>
    <t>Champ libre</t>
  </si>
  <si>
    <t>760617735:fre</t>
  </si>
  <si>
    <t>1006730885</t>
  </si>
  <si>
    <t>on1006730885</t>
  </si>
  <si>
    <t>3103268475I</t>
  </si>
  <si>
    <t>9782760622470</t>
  </si>
  <si>
    <t>795043298</t>
  </si>
  <si>
    <t>P92.5 O54 L36 2011</t>
  </si>
  <si>
    <t>0                      P  0092500O  54                 L  36          2011</t>
  </si>
  <si>
    <t>Language, culture, and identity : the legacy of Walter J. Ong, S.J. / edited by Sara van den Berg and Thomas M. Walsh.</t>
  </si>
  <si>
    <t>Cresskill, NJ : Hampton Press, ©2011.</t>
  </si>
  <si>
    <t>Hampton Press communication series. Media ecology</t>
  </si>
  <si>
    <t>629085530:eng</t>
  </si>
  <si>
    <t>663459062</t>
  </si>
  <si>
    <t>ocn663459062</t>
  </si>
  <si>
    <t>3103383689E</t>
  </si>
  <si>
    <t>9781572739666</t>
  </si>
  <si>
    <t>794838073</t>
  </si>
  <si>
    <t>P92.5 O54 O42 2012</t>
  </si>
  <si>
    <t>0                      P  0092500O  54                 O  42          2012</t>
  </si>
  <si>
    <t>Of Ong and media ecology : essays in communication, composition and literary studies / edited by Thomas J. Farrell and Paul A. Soukup.</t>
  </si>
  <si>
    <t>New York : Hampton Press, ©2012.</t>
  </si>
  <si>
    <t>2015-03-27</t>
  </si>
  <si>
    <t>1056506684:eng</t>
  </si>
  <si>
    <t>765485282</t>
  </si>
  <si>
    <t>ocn765485282</t>
  </si>
  <si>
    <t>3103410788F</t>
  </si>
  <si>
    <t>9781612890746</t>
  </si>
  <si>
    <t>794900657</t>
  </si>
  <si>
    <t>P92.65 E85 N38 2014</t>
  </si>
  <si>
    <t>0                      P  0092650E  85                 N  38          2014</t>
  </si>
  <si>
    <t>National conversations : public service media and cultural diversity in Europe / edited by Karina Horsti, Gunilla Hultén and Gavan Titley.</t>
  </si>
  <si>
    <t>Bristol, UK ; Chicago, USA : Intellect, 2014.</t>
  </si>
  <si>
    <t>2082430268:eng</t>
  </si>
  <si>
    <t>859584042</t>
  </si>
  <si>
    <t>ocn859584042</t>
  </si>
  <si>
    <t>3103532084C</t>
  </si>
  <si>
    <t>9781783201754</t>
  </si>
  <si>
    <t>794958007</t>
  </si>
  <si>
    <t>P93 A3</t>
  </si>
  <si>
    <t>0                      P  0093000A  3</t>
  </si>
  <si>
    <t>Advances in content analysis / Karl Erik Rosengren, editor.</t>
  </si>
  <si>
    <t>Beverly Hills : Sage Publications, ©1981.</t>
  </si>
  <si>
    <t>Sage annual reviews of communication research ; v. 9</t>
  </si>
  <si>
    <t>2016-05-04</t>
  </si>
  <si>
    <t>23916290:eng</t>
  </si>
  <si>
    <t>6815983</t>
  </si>
  <si>
    <t>ocm06815983</t>
  </si>
  <si>
    <t>31027430514</t>
  </si>
  <si>
    <t>9780803915558</t>
  </si>
  <si>
    <t>792524883</t>
  </si>
  <si>
    <t>P93 A67 2001</t>
  </si>
  <si>
    <t>0                      P  0093000A  67          2001</t>
  </si>
  <si>
    <t>Applications of computer content analysis / edited by Mark D. West.</t>
  </si>
  <si>
    <t>Westport, CT : Ablex Pub., 2001.</t>
  </si>
  <si>
    <t>Progress in communication sciences, 0163-5689 ; v. 17</t>
  </si>
  <si>
    <t>354981833:eng</t>
  </si>
  <si>
    <t>45890450</t>
  </si>
  <si>
    <t>ocm45890450</t>
  </si>
  <si>
    <t>31027430368</t>
  </si>
  <si>
    <t>9781567505047</t>
  </si>
  <si>
    <t>793680673</t>
  </si>
  <si>
    <t>P93 E93 2014</t>
  </si>
  <si>
    <t>0                      P  0093000E  93          2014</t>
  </si>
  <si>
    <t>Examining paratextual theory and its applications in digital culture / Nadine Desrochers, Université de Montréal, Canada, Daniel Apollon, University of Bergen, Norway, [editors].</t>
  </si>
  <si>
    <t>Hershey, PA : Information Science Reference, an imprint of IGI Global, [2014]</t>
  </si>
  <si>
    <t>Advances in Human and Social Aspects of Technology (AHSAT) book series, 2328-1316</t>
  </si>
  <si>
    <t>2277790870:eng</t>
  </si>
  <si>
    <t>868644904</t>
  </si>
  <si>
    <t>ocn868644904</t>
  </si>
  <si>
    <t>3103495889Q</t>
  </si>
  <si>
    <t>9781466660021</t>
  </si>
  <si>
    <t>794964867</t>
  </si>
  <si>
    <t>P93 G53 1991</t>
  </si>
  <si>
    <t>0                      P  0093000G  53          1991</t>
  </si>
  <si>
    <t>Analyse de contenu et contenus d'analyses / Rodolphe Ghiglione, Alain Blanchet.</t>
  </si>
  <si>
    <t>Ghiglione, Rodolphe.</t>
  </si>
  <si>
    <t>Paris : Dunod, ©1991.</t>
  </si>
  <si>
    <t>28366842:fre</t>
  </si>
  <si>
    <t>427960865</t>
  </si>
  <si>
    <t>ocn427960865</t>
  </si>
  <si>
    <t>3102743020A</t>
  </si>
  <si>
    <t>9782100000685</t>
  </si>
  <si>
    <t>794722683</t>
  </si>
  <si>
    <t>P93 H65</t>
  </si>
  <si>
    <t>0                      P  0093000H  65</t>
  </si>
  <si>
    <t>Content analysis for the social sciences and humanities [by] Ole R. Holsti.</t>
  </si>
  <si>
    <t>Holsti, Ole R., author.</t>
  </si>
  <si>
    <t>Reading, Mass., Addison-Wesley Pub. Co. [1969]</t>
  </si>
  <si>
    <t>2015-02-06</t>
  </si>
  <si>
    <t>2019-08-09</t>
  </si>
  <si>
    <t>1214992:eng</t>
  </si>
  <si>
    <t>45548</t>
  </si>
  <si>
    <t>ocm00045548</t>
  </si>
  <si>
    <t>3103605470A</t>
  </si>
  <si>
    <t>9780201029406</t>
  </si>
  <si>
    <t>791238038</t>
  </si>
  <si>
    <t>3102743092X</t>
  </si>
  <si>
    <t>791238040</t>
  </si>
  <si>
    <t>2011-01-11</t>
  </si>
  <si>
    <t>3102664404V</t>
  </si>
  <si>
    <t>791238039</t>
  </si>
  <si>
    <t>P93 K5 1971a</t>
  </si>
  <si>
    <t>0                      P  0093000K  5           1971a</t>
  </si>
  <si>
    <t>Pour analyser les media; l'analyse de contenu.</t>
  </si>
  <si>
    <t>Kientz, Albert.</t>
  </si>
  <si>
    <t>[Paris?] Mame, [©1971]</t>
  </si>
  <si>
    <t>Collection medium</t>
  </si>
  <si>
    <t>2015-12-16</t>
  </si>
  <si>
    <t>1794410:eng</t>
  </si>
  <si>
    <t>1197979</t>
  </si>
  <si>
    <t>ocm01197979</t>
  </si>
  <si>
    <t>3000975696T</t>
  </si>
  <si>
    <t>791570959</t>
  </si>
  <si>
    <t>P93 K74 1980</t>
  </si>
  <si>
    <t>0                      P  0093000K  74          1980</t>
  </si>
  <si>
    <t>Content analysis : an introduction to its methodology / Klaus Krippendorff.</t>
  </si>
  <si>
    <t>Krippendorff, Klaus.</t>
  </si>
  <si>
    <t>Beverly Hills : Sage Publications, ©1980.</t>
  </si>
  <si>
    <t>The Sage commtext series ; 5</t>
  </si>
  <si>
    <t>2017-07-07</t>
  </si>
  <si>
    <t>35626633:eng</t>
  </si>
  <si>
    <t>6581330</t>
  </si>
  <si>
    <t>ocm06581330</t>
  </si>
  <si>
    <t>31027430720</t>
  </si>
  <si>
    <t>9780803914971</t>
  </si>
  <si>
    <t>792510072</t>
  </si>
  <si>
    <t>P93 K74 2013</t>
  </si>
  <si>
    <t>0                      P  0093000K  74          2013</t>
  </si>
  <si>
    <t>Los Angeles ; London : SAGE, 2013.</t>
  </si>
  <si>
    <t>2019-07-15</t>
  </si>
  <si>
    <t>765486192</t>
  </si>
  <si>
    <t>ocn765486192</t>
  </si>
  <si>
    <t>3103582550F</t>
  </si>
  <si>
    <t>9781412983150</t>
  </si>
  <si>
    <t>794900663</t>
  </si>
  <si>
    <t>P93 L47 2008</t>
  </si>
  <si>
    <t>0                      P  0093000L  47          2008</t>
  </si>
  <si>
    <t>L'analyse de contenu : de la théorie à la pratique : la méthode Morin-Chartier / Christian Leray ; préface de Lise Chartier.</t>
  </si>
  <si>
    <t>Leray, Christian.</t>
  </si>
  <si>
    <t>Québec : Presses de l'Université du Québec, 2008.</t>
  </si>
  <si>
    <t>PRATICOM</t>
  </si>
  <si>
    <t>2016-05-24</t>
  </si>
  <si>
    <t>802202194:fre</t>
  </si>
  <si>
    <t>233787039</t>
  </si>
  <si>
    <t>ocn233787039</t>
  </si>
  <si>
    <t>3102708831L</t>
  </si>
  <si>
    <t>9782760515871</t>
  </si>
  <si>
    <t>794367038</t>
  </si>
  <si>
    <t>P93 M38 2005</t>
  </si>
  <si>
    <t>0                      P  0093000M  38          2005</t>
  </si>
  <si>
    <t>Media discourses : analysing media texts / Donald Matheson.</t>
  </si>
  <si>
    <t>Matheson, Donald.</t>
  </si>
  <si>
    <t>Maidenhead : Open University Press, 2005.</t>
  </si>
  <si>
    <t>Issues in cultural and media studies</t>
  </si>
  <si>
    <t>2017-03-01</t>
  </si>
  <si>
    <t>794122761:eng</t>
  </si>
  <si>
    <t>60740926</t>
  </si>
  <si>
    <t>ocm60740926</t>
  </si>
  <si>
    <t>3102523982U</t>
  </si>
  <si>
    <t>9780335214709</t>
  </si>
  <si>
    <t>793942890</t>
  </si>
  <si>
    <t>P93 N48 1986</t>
  </si>
  <si>
    <t>0                      P  0093000N  48          1986</t>
  </si>
  <si>
    <t>The politics of linguistics / Frederick J. Newmeyer.</t>
  </si>
  <si>
    <t>Newmeyer, Frederick J.</t>
  </si>
  <si>
    <t>Chicago : University of Chicago Press, 1986.</t>
  </si>
  <si>
    <t>6965642:eng</t>
  </si>
  <si>
    <t>13560657</t>
  </si>
  <si>
    <t>ocm13560657</t>
  </si>
  <si>
    <t>3102743103B</t>
  </si>
  <si>
    <t>9780226577203</t>
  </si>
  <si>
    <t>792857788</t>
  </si>
  <si>
    <t>P93 R54 1998</t>
  </si>
  <si>
    <t>0                      P  0093000R  54          1998</t>
  </si>
  <si>
    <t>Analyzing media messages : using quantitative content analysis in research / Daniel Riffe, Stephen Lacy, Frederick G. Fico.</t>
  </si>
  <si>
    <t>Riffe, Daniel.</t>
  </si>
  <si>
    <t>Mahwah, N.J. : Lawrence Erlbaum Associates, 1998.</t>
  </si>
  <si>
    <t>799758981:eng</t>
  </si>
  <si>
    <t>38048228</t>
  </si>
  <si>
    <t>ocm38048228</t>
  </si>
  <si>
    <t>3102743093X</t>
  </si>
  <si>
    <t>9780805820188</t>
  </si>
  <si>
    <t>793513811</t>
  </si>
  <si>
    <t>P93 R54 2005</t>
  </si>
  <si>
    <t>0                      P  0093000R  54          2005</t>
  </si>
  <si>
    <t>Mahwah, N.J. : Lawrence Erlbaum, 2005.</t>
  </si>
  <si>
    <t>LEA communication series</t>
  </si>
  <si>
    <t>2015-03-09</t>
  </si>
  <si>
    <t>56922430</t>
  </si>
  <si>
    <t>ocm56922430</t>
  </si>
  <si>
    <t>3102549749A</t>
  </si>
  <si>
    <t>9780805852974</t>
  </si>
  <si>
    <t>793904152</t>
  </si>
  <si>
    <t>P93 R54 2014</t>
  </si>
  <si>
    <t>0                      P  0093000R  54          2014</t>
  </si>
  <si>
    <t>Analyzing media messages : using quantitative content analysis in research / Daniel Riffe, Stephen Lacy and Frederick Fico.</t>
  </si>
  <si>
    <t>New York : Routledge/Taylor &amp; Francis Group, 2014.</t>
  </si>
  <si>
    <t>861273913</t>
  </si>
  <si>
    <t>ocn861273913</t>
  </si>
  <si>
    <t>3103505433D</t>
  </si>
  <si>
    <t>9780415517669</t>
  </si>
  <si>
    <t>794958987</t>
  </si>
  <si>
    <t>P93 T49 2001</t>
  </si>
  <si>
    <t>0                      P  0093000T  49          2001</t>
  </si>
  <si>
    <t>Theory, method, and practice in computer content analysis / edited by Mark D. West.</t>
  </si>
  <si>
    <t>Progress in communication sciences, 0163-5689 ; v. 16</t>
  </si>
  <si>
    <t>766792312:eng</t>
  </si>
  <si>
    <t>45129222</t>
  </si>
  <si>
    <t>ocm45129222</t>
  </si>
  <si>
    <t>31027430780</t>
  </si>
  <si>
    <t>9781567505023</t>
  </si>
  <si>
    <t>793665131</t>
  </si>
  <si>
    <t>P93.4 O94 2013</t>
  </si>
  <si>
    <t>0                      P  0093400O  94          2013</t>
  </si>
  <si>
    <t>The Oxford handbook of new audiovisual aesthetics / edited by John Richardson, Claudia Gorbman, Carol Vernallis.</t>
  </si>
  <si>
    <t>Oxford ; New York : Oxford University Press, [2013]</t>
  </si>
  <si>
    <t>2017-09-02</t>
  </si>
  <si>
    <t>1744981276:eng</t>
  </si>
  <si>
    <t>828626784</t>
  </si>
  <si>
    <t>ocn828626784</t>
  </si>
  <si>
    <t>3103531080G</t>
  </si>
  <si>
    <t>9780199733866</t>
  </si>
  <si>
    <t>794941408</t>
  </si>
  <si>
    <t>P93.5 A38 1995</t>
  </si>
  <si>
    <t>0                      P  0093500A  38          1995</t>
  </si>
  <si>
    <t>Advances in visual semiotics : the semiotic web 1992-93 / edited by Thomas A. Sebeok, Jean Umiker-Sebeok.</t>
  </si>
  <si>
    <t>Berlin ; New York : Mouton de Gruyter, 1995, ©1994.</t>
  </si>
  <si>
    <t>Approaches to semiotics ; 118</t>
  </si>
  <si>
    <t>2019-01-28</t>
  </si>
  <si>
    <t>365536448:eng</t>
  </si>
  <si>
    <t>31794615</t>
  </si>
  <si>
    <t>ocm31794615</t>
  </si>
  <si>
    <t>3102743099X</t>
  </si>
  <si>
    <t>9783110130010</t>
  </si>
  <si>
    <t>793368534</t>
  </si>
  <si>
    <t>P93.5 C765 2006</t>
  </si>
  <si>
    <t>0                      P  0093500C  765         2006</t>
  </si>
  <si>
    <t>Left to right : the cultural shift from text to image / David Crow.</t>
  </si>
  <si>
    <t>Crow, David, 1962-</t>
  </si>
  <si>
    <t>Lausanne ; Worthing : AVA Academia, 2006.</t>
  </si>
  <si>
    <t>3857125648:eng</t>
  </si>
  <si>
    <t>71542962</t>
  </si>
  <si>
    <t>ocm71542962</t>
  </si>
  <si>
    <t>3102631957X</t>
  </si>
  <si>
    <t>9782940373369</t>
  </si>
  <si>
    <t>794167257</t>
  </si>
  <si>
    <t>P93.5 D78 2014</t>
  </si>
  <si>
    <t>0                      P  0093500D  78          2014</t>
  </si>
  <si>
    <t>Graphesis : visual forms of knowledge production / Johanna Drucker.</t>
  </si>
  <si>
    <t>Drucker, Johanna, 1952- author.</t>
  </si>
  <si>
    <t>Cambridge, Massachusetts : Harvard University Press, 2014.</t>
  </si>
  <si>
    <t>MetaLABprojects</t>
  </si>
  <si>
    <t>1410786546:eng</t>
  </si>
  <si>
    <t>861478374</t>
  </si>
  <si>
    <t>ocn861478374</t>
  </si>
  <si>
    <t>31035663889</t>
  </si>
  <si>
    <t>9780674724938</t>
  </si>
  <si>
    <t>794959196</t>
  </si>
  <si>
    <t>P93.5 D8 1995</t>
  </si>
  <si>
    <t>0                      P  0093500D  8           1995</t>
  </si>
  <si>
    <t>Du simple au double : approches sémio-pragmatiques de Metropolis et Pour la suite du monde / sous la direction de Charles Perraton et Jean-Philippe Uzel.</t>
  </si>
  <si>
    <t>Montréal : Groupe d'études et de recherches en sémiotique des espaces, Université du Québec à Montréal, 1995.</t>
  </si>
  <si>
    <t>Cahiers du gerse ; no 1</t>
  </si>
  <si>
    <t>2017-09-19</t>
  </si>
  <si>
    <t>40993899:fre</t>
  </si>
  <si>
    <t>612716259</t>
  </si>
  <si>
    <t>ocn612716259</t>
  </si>
  <si>
    <t>3103283574P</t>
  </si>
  <si>
    <t>9782921961004</t>
  </si>
  <si>
    <t>794821479</t>
  </si>
  <si>
    <t>P93.5 E53 1999</t>
  </si>
  <si>
    <t>0                      P  0093500E  53          1999</t>
  </si>
  <si>
    <t>The domain of images / James Elkins.</t>
  </si>
  <si>
    <t>Elkins, James, 1955-</t>
  </si>
  <si>
    <t>Ithaca : Cornell University Press, 1999.</t>
  </si>
  <si>
    <t>2016-10-29</t>
  </si>
  <si>
    <t>2750072:eng</t>
  </si>
  <si>
    <t>39307310</t>
  </si>
  <si>
    <t>ocm39307310</t>
  </si>
  <si>
    <t>3102544678R</t>
  </si>
  <si>
    <t>9780801435591</t>
  </si>
  <si>
    <t>793543288</t>
  </si>
  <si>
    <t>P93.5 E656 2014</t>
  </si>
  <si>
    <t>0                      P  0093500E  656         2014</t>
  </si>
  <si>
    <t>Embodied politics in visual autobiography / edited by Sarah Brophy and Janice Hladki.</t>
  </si>
  <si>
    <t>Cultural spaces</t>
  </si>
  <si>
    <t>1885116383:eng</t>
  </si>
  <si>
    <t>879584199</t>
  </si>
  <si>
    <t>ocn879584199</t>
  </si>
  <si>
    <t>3103495256D</t>
  </si>
  <si>
    <t>9781442646605</t>
  </si>
  <si>
    <t>794972394</t>
  </si>
  <si>
    <t>P93.5 H36 2001</t>
  </si>
  <si>
    <t>0                      P  0093500H  36          2001</t>
  </si>
  <si>
    <t>Handbook of visual analysis / edited by Theo Van Leeuwen and Carey Jewitt.</t>
  </si>
  <si>
    <t>London ; Thousand Oaks [Calif.] : SAGE, 2001.</t>
  </si>
  <si>
    <t>2019-12-09</t>
  </si>
  <si>
    <t>56687172:eng</t>
  </si>
  <si>
    <t>47138970</t>
  </si>
  <si>
    <t>ocm47138970</t>
  </si>
  <si>
    <t>31027430740</t>
  </si>
  <si>
    <t>9780761964766</t>
  </si>
  <si>
    <t>793699367</t>
  </si>
  <si>
    <t>P93.5 H363 2005</t>
  </si>
  <si>
    <t>0                      P  0093500H  363         2005</t>
  </si>
  <si>
    <t>Handbook of visual communication : theory, methods, and media / edited by Ken Smith [and others].</t>
  </si>
  <si>
    <t>Mahwah, N.J. : L. Erlbaum, 2005.</t>
  </si>
  <si>
    <t>801257106:eng</t>
  </si>
  <si>
    <t>56647653</t>
  </si>
  <si>
    <t>ocm56647653</t>
  </si>
  <si>
    <t>3102652910R</t>
  </si>
  <si>
    <t>9780805841787</t>
  </si>
  <si>
    <t>793898041</t>
  </si>
  <si>
    <t>2015-10-23</t>
  </si>
  <si>
    <t>3102930111E</t>
  </si>
  <si>
    <t>793898040</t>
  </si>
  <si>
    <t>P93.5 H456 2006</t>
  </si>
  <si>
    <t>0                      P  0093500H  456         2006</t>
  </si>
  <si>
    <t>The elements of visual analysis / Marguerite Helmers.</t>
  </si>
  <si>
    <t>Helmers, Marguerite H., 1961-</t>
  </si>
  <si>
    <t>New York : Pearson Longman, ©2006.</t>
  </si>
  <si>
    <t>Elements of composition series</t>
  </si>
  <si>
    <t>46529307:eng</t>
  </si>
  <si>
    <t>62110007</t>
  </si>
  <si>
    <t>ocm62110007</t>
  </si>
  <si>
    <t>31025478779</t>
  </si>
  <si>
    <t>9780321165251</t>
  </si>
  <si>
    <t>794100286</t>
  </si>
  <si>
    <t>P93.5 I47 1994</t>
  </si>
  <si>
    <t>0                      P  0093500I  47          1994</t>
  </si>
  <si>
    <t>Images in language, media, and mind / edited by Roy F. Fox.</t>
  </si>
  <si>
    <t>Urbana, Ill. : National Council of Teachers of English, ©1994.</t>
  </si>
  <si>
    <t>32773096:eng</t>
  </si>
  <si>
    <t>30594018</t>
  </si>
  <si>
    <t>ocm30594018</t>
  </si>
  <si>
    <t>3103453018I</t>
  </si>
  <si>
    <t>9780814122815</t>
  </si>
  <si>
    <t>793339733</t>
  </si>
  <si>
    <t>P93.5 I477 2011</t>
  </si>
  <si>
    <t>0                      P  0093500I  477         2011</t>
  </si>
  <si>
    <t>Images in use : towards the critical analysis of visual communication / edited by Matteo Stocchetti, Karin Kukkonen.</t>
  </si>
  <si>
    <t>Discourse approaches to politics, society, and culture ; v. 44</t>
  </si>
  <si>
    <t>2012-07-09</t>
  </si>
  <si>
    <t>936845494:eng</t>
  </si>
  <si>
    <t>741355655</t>
  </si>
  <si>
    <t>ocn741355655</t>
  </si>
  <si>
    <t>3103406893S</t>
  </si>
  <si>
    <t>9789027206350</t>
  </si>
  <si>
    <t>794883885</t>
  </si>
  <si>
    <t>P93.5 I72 2011</t>
  </si>
  <si>
    <t>0                      P  0093500I  72          2011</t>
  </si>
  <si>
    <t>Ireland, design and visual culture : negotiating modernity, 1922-1992 / edited by Linda King and Elaine Sisson.</t>
  </si>
  <si>
    <t>Cork : Cork University Press, 2011.</t>
  </si>
  <si>
    <t>657068747:eng</t>
  </si>
  <si>
    <t>664677369</t>
  </si>
  <si>
    <t>ocn664677369</t>
  </si>
  <si>
    <t>3103342037T</t>
  </si>
  <si>
    <t>9781859184721</t>
  </si>
  <si>
    <t>794844249</t>
  </si>
  <si>
    <t>P93.5 J64 1994</t>
  </si>
  <si>
    <t>0                      P  0093500J  64          1994</t>
  </si>
  <si>
    <t>Introduction à l'analyse de l'image / Martine Joly.</t>
  </si>
  <si>
    <t>Joly, Martine.</t>
  </si>
  <si>
    <t>[Paris] : Editions Nathan, ©1993.</t>
  </si>
  <si>
    <t>Nathan université.</t>
  </si>
  <si>
    <t>6604297:fre</t>
  </si>
  <si>
    <t>428019792</t>
  </si>
  <si>
    <t>ocn428019792</t>
  </si>
  <si>
    <t>31027430692</t>
  </si>
  <si>
    <t>794751636</t>
  </si>
  <si>
    <t>P93.5 L37 1995</t>
  </si>
  <si>
    <t>0                      P  0093500L  37          1995</t>
  </si>
  <si>
    <t>La leçon de choses / Pierre Laszlo.</t>
  </si>
  <si>
    <t>Laszlo, Pierre.</t>
  </si>
  <si>
    <t>Paris : Austral, ©1995.</t>
  </si>
  <si>
    <t>La Collection Diversio</t>
  </si>
  <si>
    <t>3901696786:fre</t>
  </si>
  <si>
    <t>35599895</t>
  </si>
  <si>
    <t>ocm35599895</t>
  </si>
  <si>
    <t>3102743105B</t>
  </si>
  <si>
    <t>9782841120130</t>
  </si>
  <si>
    <t>793453182</t>
  </si>
  <si>
    <t>P93.5 L47 2006</t>
  </si>
  <si>
    <t>0                      P  0093500L  47          2006</t>
  </si>
  <si>
    <t>Visual communication : images with messages / Paul Martin Lester.</t>
  </si>
  <si>
    <t>Lester, Paul Martin.</t>
  </si>
  <si>
    <t>Belmont, CA : Thomson Wadsworth, ©2006.</t>
  </si>
  <si>
    <t>793254527:eng</t>
  </si>
  <si>
    <t>59266203</t>
  </si>
  <si>
    <t>ocm59266203</t>
  </si>
  <si>
    <t>3102654160X</t>
  </si>
  <si>
    <t>9780534637200</t>
  </si>
  <si>
    <t>793928935</t>
  </si>
  <si>
    <t>P93.5 L56 2017</t>
  </si>
  <si>
    <t>0                      P  0093500L  56          2017</t>
  </si>
  <si>
    <t>The book of circles : visualizing spheres of knowledge / Manuel Lima.</t>
  </si>
  <si>
    <t>Lima, Manuel, 1978- author.</t>
  </si>
  <si>
    <t>New York : Princeton Architectural Press, [2017]</t>
  </si>
  <si>
    <t>2019-09-04</t>
  </si>
  <si>
    <t>3874960121:eng</t>
  </si>
  <si>
    <t>958780483</t>
  </si>
  <si>
    <t>ocn958780483</t>
  </si>
  <si>
    <t>3103903338$</t>
  </si>
  <si>
    <t>9781616895280</t>
  </si>
  <si>
    <t>795021945</t>
  </si>
  <si>
    <t>P93.5 N48 2003</t>
  </si>
  <si>
    <t>0                      P  0093500N  48          2003</t>
  </si>
  <si>
    <t>New media : theories and practices of digitextuality / edited by Anna Everett and John T. Caldwell.</t>
  </si>
  <si>
    <t>New York : Routledge, 2003.</t>
  </si>
  <si>
    <t>AFI film readers</t>
  </si>
  <si>
    <t>838904194:eng</t>
  </si>
  <si>
    <t>52178778</t>
  </si>
  <si>
    <t>ocm52178778</t>
  </si>
  <si>
    <t>31022999113</t>
  </si>
  <si>
    <t>9780415939959</t>
  </si>
  <si>
    <t>793800297</t>
  </si>
  <si>
    <t>P93.5 O28 2012</t>
  </si>
  <si>
    <t>0                      P  0093500O  28          2012</t>
  </si>
  <si>
    <t>Observation points : the visual poetics of national parks / Thomas Patin, editor.</t>
  </si>
  <si>
    <t>Minneapolis : University of Minnesota Press, [2012]</t>
  </si>
  <si>
    <t>1120953362:eng</t>
  </si>
  <si>
    <t>759910058</t>
  </si>
  <si>
    <t>ocn759910058</t>
  </si>
  <si>
    <t>3103431547F</t>
  </si>
  <si>
    <t>9780816651450</t>
  </si>
  <si>
    <t>794897893</t>
  </si>
  <si>
    <t>P93.5 R67 2001</t>
  </si>
  <si>
    <t>0                      P  0093500R  67          2001</t>
  </si>
  <si>
    <t>Visual methodologies : an introduction to the interpretation of visual materials / Gillian Rose.</t>
  </si>
  <si>
    <t>Rose, Gillian, 1962-</t>
  </si>
  <si>
    <t>London ; Thousand Oaks, Calif. : Sage, 2001.</t>
  </si>
  <si>
    <t>2019-09-09</t>
  </si>
  <si>
    <t>58715344:eng</t>
  </si>
  <si>
    <t>46868084</t>
  </si>
  <si>
    <t>ocm46868084</t>
  </si>
  <si>
    <t>3102795617Z</t>
  </si>
  <si>
    <t>9780761966647</t>
  </si>
  <si>
    <t>793693395</t>
  </si>
  <si>
    <t>P93.5 R67 2012</t>
  </si>
  <si>
    <t>0                      P  0093500R  67          2012</t>
  </si>
  <si>
    <t>Visual methodologies : an introduction to researching with visual materials / Gillian Rose.</t>
  </si>
  <si>
    <t>Los Angeles [i.e. Thousand Oaks, Calif.] : SAGE Pubications, 2012.</t>
  </si>
  <si>
    <t>3625160251:eng</t>
  </si>
  <si>
    <t>766264330</t>
  </si>
  <si>
    <t>ocn766264330</t>
  </si>
  <si>
    <t>31034087034</t>
  </si>
  <si>
    <t>9780857028877</t>
  </si>
  <si>
    <t>794900795</t>
  </si>
  <si>
    <t>P93.5 S2613 1990</t>
  </si>
  <si>
    <t>0                      P  0093500S  2613        1990</t>
  </si>
  <si>
    <t>Semiotics of visual language / Fernande Saint-Martin.</t>
  </si>
  <si>
    <t>Saint-Martin, Fernande, 1927-</t>
  </si>
  <si>
    <t>Bloomington : Indiana University Press, ©1990.</t>
  </si>
  <si>
    <t>Advances in semiotics</t>
  </si>
  <si>
    <t>993308:eng</t>
  </si>
  <si>
    <t>20722333</t>
  </si>
  <si>
    <t>ocm20722333</t>
  </si>
  <si>
    <t>31027430700</t>
  </si>
  <si>
    <t>9780253350572</t>
  </si>
  <si>
    <t>793096707</t>
  </si>
  <si>
    <t>P93.5 S265 2003</t>
  </si>
  <si>
    <t>0                      P  0093500S  265         2003</t>
  </si>
  <si>
    <t>Images et sociétés : le progrès, les médias, la guerre / Catherine Saouter.</t>
  </si>
  <si>
    <t>Saouter, Catherine, 1956-</t>
  </si>
  <si>
    <t>[Montréal] : Presses de l'Université de Montréal, ©2003.</t>
  </si>
  <si>
    <t>Paramètres</t>
  </si>
  <si>
    <t>864905313:fre</t>
  </si>
  <si>
    <t>52495605</t>
  </si>
  <si>
    <t>ocm52495605</t>
  </si>
  <si>
    <t>31027430652</t>
  </si>
  <si>
    <t>9782760618688</t>
  </si>
  <si>
    <t>793807933</t>
  </si>
  <si>
    <t>P93.5 S35 2004</t>
  </si>
  <si>
    <t>0                      P  0093500S  35          2004</t>
  </si>
  <si>
    <t>Understanding the visual / Tony Schirato and Jen Webb.</t>
  </si>
  <si>
    <t>Schirato, Tony.</t>
  </si>
  <si>
    <t>London ; Thousand Oaks, Calif. : SAGE, 2004.</t>
  </si>
  <si>
    <t>Understanding contemporary culture</t>
  </si>
  <si>
    <t>935823:eng</t>
  </si>
  <si>
    <t>56655473</t>
  </si>
  <si>
    <t>ocm56655473</t>
  </si>
  <si>
    <t>31025074764</t>
  </si>
  <si>
    <t>9781412901567</t>
  </si>
  <si>
    <t>793898380</t>
  </si>
  <si>
    <t>P93.5 S55 2014</t>
  </si>
  <si>
    <t>0                      P  0093500S  55          2014</t>
  </si>
  <si>
    <t>Visual politics and North Korea : seeing is believing / David Shim.</t>
  </si>
  <si>
    <t>Shim, David, author.</t>
  </si>
  <si>
    <t>London ; New York : Routledge, Taylor &amp; Francis Group, 2014.</t>
  </si>
  <si>
    <t>Interventions</t>
  </si>
  <si>
    <t>2016-09-13</t>
  </si>
  <si>
    <t>1412497289:eng</t>
  </si>
  <si>
    <t>839388635</t>
  </si>
  <si>
    <t>ocn839388635</t>
  </si>
  <si>
    <t>3103504714C</t>
  </si>
  <si>
    <t>9780415839488</t>
  </si>
  <si>
    <t>794945614</t>
  </si>
  <si>
    <t>P93.5 S64 2015</t>
  </si>
  <si>
    <t>0                      P  0093500S  64          2015</t>
  </si>
  <si>
    <t>Spectacle / editors, Jennifer L. Creech and Thomas O. Haakenson.</t>
  </si>
  <si>
    <t>Creech, Jennifer L., 1973- editor.</t>
  </si>
  <si>
    <t>Oxford ; New York : Peter Lang, [2015]</t>
  </si>
  <si>
    <t>German Visual Culture ; Volume two</t>
  </si>
  <si>
    <t>2621574144:eng</t>
  </si>
  <si>
    <t>890971592</t>
  </si>
  <si>
    <t>ocn890971592</t>
  </si>
  <si>
    <t>3103608813S</t>
  </si>
  <si>
    <t>9783034318037</t>
  </si>
  <si>
    <t>794979764</t>
  </si>
  <si>
    <t>P93.5 S73 1996</t>
  </si>
  <si>
    <t>0                      P  0093500S  73          1996</t>
  </si>
  <si>
    <t>Good looking : essays on the virtue of images / Barbara Maria Stafford.</t>
  </si>
  <si>
    <t>Stafford, Barbara Maria, 1941-</t>
  </si>
  <si>
    <t>Cambridge, Mass. : The MIT Press, ©1996.</t>
  </si>
  <si>
    <t>2017-02-01</t>
  </si>
  <si>
    <t>603847:eng</t>
  </si>
  <si>
    <t>34318999</t>
  </si>
  <si>
    <t>ocm34318999</t>
  </si>
  <si>
    <t>31027350551</t>
  </si>
  <si>
    <t>9780262193696</t>
  </si>
  <si>
    <t>793423929</t>
  </si>
  <si>
    <t>P93.5 T837 2006</t>
  </si>
  <si>
    <t>0                      P  0093500T  837         2006</t>
  </si>
  <si>
    <t>Beautiful evidence / Edward R. Tufte.</t>
  </si>
  <si>
    <t>Tufte, Edward R., 1942-</t>
  </si>
  <si>
    <t>Cheshire, Conn. : Graphics Press, ©2006.</t>
  </si>
  <si>
    <t>56399063:eng</t>
  </si>
  <si>
    <t>70203994</t>
  </si>
  <si>
    <t>ocm70203994</t>
  </si>
  <si>
    <t>31028651956</t>
  </si>
  <si>
    <t>9780961392178</t>
  </si>
  <si>
    <t>794150756</t>
  </si>
  <si>
    <t>3102652858M</t>
  </si>
  <si>
    <t>794150755</t>
  </si>
  <si>
    <t>P93.5 T84 1990</t>
  </si>
  <si>
    <t>0                      P  0093500T  84          1990</t>
  </si>
  <si>
    <t>Envisioning information / Edward R. Tufte.</t>
  </si>
  <si>
    <t>Tufte, Edward R., 1942- author.</t>
  </si>
  <si>
    <t>Cheshire, Connecticut : Graphics Press, [1990]</t>
  </si>
  <si>
    <t>2018-12-09</t>
  </si>
  <si>
    <t>2019-07-03</t>
  </si>
  <si>
    <t>6202230:eng</t>
  </si>
  <si>
    <t>21270160</t>
  </si>
  <si>
    <t>ocm21270160</t>
  </si>
  <si>
    <t>31028250128</t>
  </si>
  <si>
    <t>9780961392116</t>
  </si>
  <si>
    <t>793113919</t>
  </si>
  <si>
    <t>3100654599I</t>
  </si>
  <si>
    <t>793113916</t>
  </si>
  <si>
    <t>2019-01-07</t>
  </si>
  <si>
    <t>3103261231N</t>
  </si>
  <si>
    <t>793113915</t>
  </si>
  <si>
    <t>31028835168</t>
  </si>
  <si>
    <t>793113918</t>
  </si>
  <si>
    <t>P93.5 T846 1997</t>
  </si>
  <si>
    <t>0                      P  0093500T  846         1997</t>
  </si>
  <si>
    <t>Visual explanations : images and quantities, evidence and narrative / Edward R. Tufte.</t>
  </si>
  <si>
    <t>Cheshire, Conn. : Graphics Press, ©1997.</t>
  </si>
  <si>
    <t>2019-02-04</t>
  </si>
  <si>
    <t>660516:eng</t>
  </si>
  <si>
    <t>36234417</t>
  </si>
  <si>
    <t>ocm36234417</t>
  </si>
  <si>
    <t>3102802456A</t>
  </si>
  <si>
    <t>9780961392123</t>
  </si>
  <si>
    <t>793469886</t>
  </si>
  <si>
    <t>3103035942B</t>
  </si>
  <si>
    <t>793469884</t>
  </si>
  <si>
    <t>P93.5 T846 1997b</t>
  </si>
  <si>
    <t>0                      P  0093500T  846         1997b</t>
  </si>
  <si>
    <t>3101809522$</t>
  </si>
  <si>
    <t>793469885</t>
  </si>
  <si>
    <t>P93.5 V545 2011</t>
  </si>
  <si>
    <t>0                      P  0093500V  545         2011</t>
  </si>
  <si>
    <t>Visible writings : cultures, forms, readings / edited by Marija Dalbello and Mary Shaw.</t>
  </si>
  <si>
    <t>New Brunswick, N.J. : Rutgers University Press, ©2011.</t>
  </si>
  <si>
    <t>399818250:eng</t>
  </si>
  <si>
    <t>527702682</t>
  </si>
  <si>
    <t>ocn527702682</t>
  </si>
  <si>
    <t>3103320968E</t>
  </si>
  <si>
    <t>9780813548821</t>
  </si>
  <si>
    <t>794809365</t>
  </si>
  <si>
    <t>P93.5 V565 2006</t>
  </si>
  <si>
    <t>0                      P  0093500V  565         2006</t>
  </si>
  <si>
    <t>Visual communication : perception, rhetoric, and technology / edited by Diane S. Hope.</t>
  </si>
  <si>
    <t>Cresskill, NJ : Hampton Press in collaboration with RIT Cary Graphic Arts Press, ©2006.</t>
  </si>
  <si>
    <t>The Hampton Press communication series. Visual communication</t>
  </si>
  <si>
    <t>2019-02-27</t>
  </si>
  <si>
    <t>902464066:eng</t>
  </si>
  <si>
    <t>62408810</t>
  </si>
  <si>
    <t>ocm62408810</t>
  </si>
  <si>
    <t>31026324753</t>
  </si>
  <si>
    <t>9781572736689</t>
  </si>
  <si>
    <t>794106680</t>
  </si>
  <si>
    <t>P93.5 V5656 2009</t>
  </si>
  <si>
    <t>0                      P  0093500V  5656        2009</t>
  </si>
  <si>
    <t>Visual impact : the power of visual persuasion / edited by Susan B. Barnes.</t>
  </si>
  <si>
    <t>Cresskill, N.J. : Hampton Press, ©2009.</t>
  </si>
  <si>
    <t>906611027:eng</t>
  </si>
  <si>
    <t>235945792</t>
  </si>
  <si>
    <t>ocn235945792</t>
  </si>
  <si>
    <t>3102977536O</t>
  </si>
  <si>
    <t>9781572736627</t>
  </si>
  <si>
    <t>794370545</t>
  </si>
  <si>
    <t>P93.5 V568 2008</t>
  </si>
  <si>
    <t>0                      P  0093500V  568         2008</t>
  </si>
  <si>
    <t>Visual rhetoric : a reader in communication and American culture / Lester C. Olson, Cara A. Finnegan, Diane S. Hope, editors.</t>
  </si>
  <si>
    <t>Los Angeles : Sage, ©2008.</t>
  </si>
  <si>
    <t>866258199:eng</t>
  </si>
  <si>
    <t>174501266</t>
  </si>
  <si>
    <t>ocn174501266</t>
  </si>
  <si>
    <t>3102883109M</t>
  </si>
  <si>
    <t>9781412949194</t>
  </si>
  <si>
    <t>794274412</t>
  </si>
  <si>
    <t>P93.5 W397 2007</t>
  </si>
  <si>
    <t>0                      P  0093500W  397         2007</t>
  </si>
  <si>
    <t>Ways of seeing, ways of speaking : the integration of rhetoric and vision in constructing the real / edited by Kristie S. Fleckenstein, Sue Hum, Linda T. Calendrillo.</t>
  </si>
  <si>
    <t>West Lafayette, Ind. : Parlor Press, ©2007.</t>
  </si>
  <si>
    <t>Visual rhetoric.</t>
  </si>
  <si>
    <t>2018-04-13</t>
  </si>
  <si>
    <t>902089967:eng</t>
  </si>
  <si>
    <t>176648828</t>
  </si>
  <si>
    <t>ocn176648828</t>
  </si>
  <si>
    <t>31029725503</t>
  </si>
  <si>
    <t>9781602350335</t>
  </si>
  <si>
    <t>794277471</t>
  </si>
  <si>
    <t>P93.5 W66 2010</t>
  </si>
  <si>
    <t>0                      P  0093500W  66          2010</t>
  </si>
  <si>
    <t>Words and images : a French rendez-vous / edited &amp; translated by Anthony Wall.</t>
  </si>
  <si>
    <t>Calgary : University of Calgary Press, ©2010.</t>
  </si>
  <si>
    <t>1098638271:eng</t>
  </si>
  <si>
    <t>473375781</t>
  </si>
  <si>
    <t>ocn473375781</t>
  </si>
  <si>
    <t>31030729109</t>
  </si>
  <si>
    <t>9781552382592</t>
  </si>
  <si>
    <t>794797761</t>
  </si>
  <si>
    <t>P93.55 G45 2012</t>
  </si>
  <si>
    <t>0                      P  0093550G  45          2012</t>
  </si>
  <si>
    <t>Remodelling communication : from WWII to the WWW / Gary Genosko.</t>
  </si>
  <si>
    <t>Toronto ; Buffalo : University of Toronto Press, ©2012.</t>
  </si>
  <si>
    <t>1057308099:eng</t>
  </si>
  <si>
    <t>766387992</t>
  </si>
  <si>
    <t>ocn766387992</t>
  </si>
  <si>
    <t>3103327015N</t>
  </si>
  <si>
    <t>9781442644342</t>
  </si>
  <si>
    <t>794900903</t>
  </si>
  <si>
    <t>P93.7 H39 2005</t>
  </si>
  <si>
    <t>0                      P  0093700H  39          2005</t>
  </si>
  <si>
    <t>Statistical methods for communication science / Andrew F. Hayes.</t>
  </si>
  <si>
    <t>Hayes, Andrew F.</t>
  </si>
  <si>
    <t>Lea's communication series</t>
  </si>
  <si>
    <t>2019-11-28</t>
  </si>
  <si>
    <t>1003223:eng</t>
  </si>
  <si>
    <t>58043346</t>
  </si>
  <si>
    <t>ocm58043346</t>
  </si>
  <si>
    <t>3102574759D</t>
  </si>
  <si>
    <t>9780805854879</t>
  </si>
  <si>
    <t>793919671</t>
  </si>
  <si>
    <t>P94 A44 2004</t>
  </si>
  <si>
    <t>0                      P  0094000A  44          2004</t>
  </si>
  <si>
    <t>Media ethics and social change / Valerie Alia.</t>
  </si>
  <si>
    <t>Alia, Valerie, 1942-</t>
  </si>
  <si>
    <t>New York : Routledge, 2004.</t>
  </si>
  <si>
    <t>2017-06-09</t>
  </si>
  <si>
    <t>1016427:eng</t>
  </si>
  <si>
    <t>55736781</t>
  </si>
  <si>
    <t>ocm55736781</t>
  </si>
  <si>
    <t>3102507051K</t>
  </si>
  <si>
    <t>9780415971997</t>
  </si>
  <si>
    <t>793881696</t>
  </si>
  <si>
    <t>P94 A48 1988</t>
  </si>
  <si>
    <t>0                      P  0094000A  48          1988</t>
  </si>
  <si>
    <t>Mediated communication : a social action perspective / James A. Anderson, Timothy P. Meyer.</t>
  </si>
  <si>
    <t>Anderson, James A. (James Arthur), 1939-</t>
  </si>
  <si>
    <t>Newbury Park : Sage Publications, ©1988.</t>
  </si>
  <si>
    <t>Current communication ; v. 1</t>
  </si>
  <si>
    <t>836717710:eng</t>
  </si>
  <si>
    <t>18351592</t>
  </si>
  <si>
    <t>ocm18351592</t>
  </si>
  <si>
    <t>3102743081Z</t>
  </si>
  <si>
    <t>9780803930506</t>
  </si>
  <si>
    <t>793022534</t>
  </si>
  <si>
    <t>P94 B47 2000</t>
  </si>
  <si>
    <t>0                      P  0094000B  47          2000</t>
  </si>
  <si>
    <t>Media ethics &amp; accountability systems / by Claude-Jean Bertrand.</t>
  </si>
  <si>
    <t>Bertrand, Claude Jean.</t>
  </si>
  <si>
    <t>New Brunswick, N.J. : Transaction Publishers, ©2000.</t>
  </si>
  <si>
    <t>2015-11-06</t>
  </si>
  <si>
    <t>9476009:eng</t>
  </si>
  <si>
    <t>42733762</t>
  </si>
  <si>
    <t>ocm42733762</t>
  </si>
  <si>
    <t>31027430662</t>
  </si>
  <si>
    <t>9781560004202</t>
  </si>
  <si>
    <t>793613014</t>
  </si>
  <si>
    <t>P94 B5 2000</t>
  </si>
  <si>
    <t>0                      P  0094000B  5           2000</t>
  </si>
  <si>
    <t>Postmodern media culture / Jonathan Bignell.</t>
  </si>
  <si>
    <t>Bignell, Jonathan.</t>
  </si>
  <si>
    <t>Edinburgh : Edinburgh University Press, ©2000.</t>
  </si>
  <si>
    <t>9760809:eng</t>
  </si>
  <si>
    <t>45307193</t>
  </si>
  <si>
    <t>ocm45307193</t>
  </si>
  <si>
    <t>3102785807$</t>
  </si>
  <si>
    <t>9780748609888</t>
  </si>
  <si>
    <t>793669009</t>
  </si>
  <si>
    <t>P94 B66 2006</t>
  </si>
  <si>
    <t>0                      P  0094000B  66          2006</t>
  </si>
  <si>
    <t>The book of imaginary media : excavating the dream of the ultimate communication medium / edited by Eric Kluitenberg.</t>
  </si>
  <si>
    <t>(text + DVD)</t>
  </si>
  <si>
    <t>Rotterdam : De Balie : NAi Publishers, ©2006.</t>
  </si>
  <si>
    <t>2015-02-13</t>
  </si>
  <si>
    <t>363947759:eng</t>
  </si>
  <si>
    <t>85828418</t>
  </si>
  <si>
    <t>ocm85828418</t>
  </si>
  <si>
    <t>31025982278</t>
  </si>
  <si>
    <t>9789056625399</t>
  </si>
  <si>
    <t>794216622</t>
  </si>
  <si>
    <t>P94 B839 2008</t>
  </si>
  <si>
    <t>0                      P  0094000B  839         2008</t>
  </si>
  <si>
    <t>Living ethics : across media platforms / Michael Bugeja.</t>
  </si>
  <si>
    <t>Bugeja, Michael J.</t>
  </si>
  <si>
    <t>New York : Oxford University Press, 2008.</t>
  </si>
  <si>
    <t>2018-04-22</t>
  </si>
  <si>
    <t>196098705:eng</t>
  </si>
  <si>
    <t>85862220</t>
  </si>
  <si>
    <t>ocm85862220</t>
  </si>
  <si>
    <t>31026434234</t>
  </si>
  <si>
    <t>9780195188608</t>
  </si>
  <si>
    <t>794217296</t>
  </si>
  <si>
    <t>P94 C4465 2012</t>
  </si>
  <si>
    <t>0                      P  0094000C  4465        2012</t>
  </si>
  <si>
    <t>Ethics for public communication : defining moments in media history / Clifford G. Christians, Mark Fackler, John P. Ferre.</t>
  </si>
  <si>
    <t>Christians, Clifford G.</t>
  </si>
  <si>
    <t>Oxford ; New York : Oxford University Press, ©2012.</t>
  </si>
  <si>
    <t>2018-05-08</t>
  </si>
  <si>
    <t>901981911:eng</t>
  </si>
  <si>
    <t>725827735</t>
  </si>
  <si>
    <t>ocn725827735</t>
  </si>
  <si>
    <t>3103395871Y</t>
  </si>
  <si>
    <t>9780195374544</t>
  </si>
  <si>
    <t>794876937</t>
  </si>
  <si>
    <t>P94 C5696 2012</t>
  </si>
  <si>
    <t>0                      P  0094000C  5696        2012</t>
  </si>
  <si>
    <t>Communication ethics and crisis : negotiating differences in public and private spheres / edited by S. Alyssa Groom and J.M.H. Fritz.</t>
  </si>
  <si>
    <t>Madison : Fairleigh Dickinson University Press, ©2012.</t>
  </si>
  <si>
    <t>907373086:eng</t>
  </si>
  <si>
    <t>729344022</t>
  </si>
  <si>
    <t>ocn729344022</t>
  </si>
  <si>
    <t>3103395516I</t>
  </si>
  <si>
    <t>9781611474497</t>
  </si>
  <si>
    <t>794879258</t>
  </si>
  <si>
    <t>P94 C57 1989</t>
  </si>
  <si>
    <t>0                      P  0094000C  57          1989</t>
  </si>
  <si>
    <t>Communication ethics and global change / Thomas W. Cooper, general editor [and others].</t>
  </si>
  <si>
    <t>White Plains, N.Y. : Longman, ©1989.</t>
  </si>
  <si>
    <t>Communications</t>
  </si>
  <si>
    <t>2015-06-22</t>
  </si>
  <si>
    <t>366477101:eng</t>
  </si>
  <si>
    <t>18166353</t>
  </si>
  <si>
    <t>ocm18166353</t>
  </si>
  <si>
    <t>31027431179</t>
  </si>
  <si>
    <t>9780801302244</t>
  </si>
  <si>
    <t>793016257</t>
  </si>
  <si>
    <t>P94 C5716 1997</t>
  </si>
  <si>
    <t>0                      P  0094000C  5716        1997</t>
  </si>
  <si>
    <t>Communication ethics and universal values / editors, Clifford Christians and Michael Traber.</t>
  </si>
  <si>
    <t>Thousand Oaks, Calif. : Sage Publications, ©1997.</t>
  </si>
  <si>
    <t>353795888:eng</t>
  </si>
  <si>
    <t>35990416</t>
  </si>
  <si>
    <t>ocm35990416</t>
  </si>
  <si>
    <t>31027431277</t>
  </si>
  <si>
    <t>9780761905844</t>
  </si>
  <si>
    <t>793463485</t>
  </si>
  <si>
    <t>P94 C5717 2008</t>
  </si>
  <si>
    <t>0                      P  0094000C  5717        2008</t>
  </si>
  <si>
    <t>Communication ethics: between cosmopolitanism and provinciality / edited by Kathleen Glenister Roberts and Ronald C. Arnett.</t>
  </si>
  <si>
    <t>New York : P. Lang, ©2008.</t>
  </si>
  <si>
    <t>Critical intercultural communication studies, 1528-6118 ; v. 12</t>
  </si>
  <si>
    <t>131239609:eng</t>
  </si>
  <si>
    <t>212893725</t>
  </si>
  <si>
    <t>ocn212893725</t>
  </si>
  <si>
    <t>3102974578S</t>
  </si>
  <si>
    <t>9781433103261</t>
  </si>
  <si>
    <t>794306481</t>
  </si>
  <si>
    <t>P94 C572 1997</t>
  </si>
  <si>
    <t>0                      P  0094000C  572         1997</t>
  </si>
  <si>
    <t>Communication ethics in an age of diversity / edited by Josina M. Makau and Ronald C. Arnett.</t>
  </si>
  <si>
    <t>Urbana : University of Illinois Press, ©1997.</t>
  </si>
  <si>
    <t>353770667:eng</t>
  </si>
  <si>
    <t>34149159</t>
  </si>
  <si>
    <t>ocm34149159</t>
  </si>
  <si>
    <t>31027431227</t>
  </si>
  <si>
    <t>9780252022692</t>
  </si>
  <si>
    <t>793420174</t>
  </si>
  <si>
    <t>P94 C5725 2005</t>
  </si>
  <si>
    <t>0                      P  0094000C  5725        2005</t>
  </si>
  <si>
    <t>Communication ethics, media &amp; popular culture / Phyllis M. Japp, Mark Meister &amp; Debra K. Japp.</t>
  </si>
  <si>
    <t>New York : Peter Lang, ©2005.</t>
  </si>
  <si>
    <t>Popular culture and everyday life ; v. 9</t>
  </si>
  <si>
    <t>2017-02-03</t>
  </si>
  <si>
    <t>478741781:eng</t>
  </si>
  <si>
    <t>57169948</t>
  </si>
  <si>
    <t>ocm57169948</t>
  </si>
  <si>
    <t>3102554831O</t>
  </si>
  <si>
    <t>9780820471198</t>
  </si>
  <si>
    <t>793907834</t>
  </si>
  <si>
    <t>P94 C573 1990</t>
  </si>
  <si>
    <t>0                      P  0094000C  573         1990</t>
  </si>
  <si>
    <t>The Communicative ethics controversy / edited by Seyla Benhabib and Fred Dallmayr.</t>
  </si>
  <si>
    <t>Studies in contemporary German social thought</t>
  </si>
  <si>
    <t>2018-03-26</t>
  </si>
  <si>
    <t>1062318324:eng</t>
  </si>
  <si>
    <t>21195196</t>
  </si>
  <si>
    <t>ocm21195196</t>
  </si>
  <si>
    <t>31027431129</t>
  </si>
  <si>
    <t>9780262023054</t>
  </si>
  <si>
    <t>793111896</t>
  </si>
  <si>
    <t>P94 C584 2006</t>
  </si>
  <si>
    <t>0                      P  0094000C  584         2006</t>
  </si>
  <si>
    <t>Contemporary media ethics : a practical guide for students, scholars, and professionals / edited by Mitchell Land, Bill W. Hornaday.</t>
  </si>
  <si>
    <t>Spokane, Wash. : Marquette Books, ©2006.</t>
  </si>
  <si>
    <t>368425013:eng</t>
  </si>
  <si>
    <t>62084238</t>
  </si>
  <si>
    <t>ocm62084238</t>
  </si>
  <si>
    <t>3102577107T</t>
  </si>
  <si>
    <t>9780922993413</t>
  </si>
  <si>
    <t>794099651</t>
  </si>
  <si>
    <t>P94 C585 2011</t>
  </si>
  <si>
    <t>0                      P  0094000C  585         2011</t>
  </si>
  <si>
    <t>Controversies in media ethics / A. David Gordon [and others] ; with contributions by John A. Armstrong [i.e. John S. Armstrong] [and others].</t>
  </si>
  <si>
    <t>2017-03-03</t>
  </si>
  <si>
    <t>37135648:eng</t>
  </si>
  <si>
    <t>166361560</t>
  </si>
  <si>
    <t>ocn166361560</t>
  </si>
  <si>
    <t>3103384144X</t>
  </si>
  <si>
    <t>9780415992473</t>
  </si>
  <si>
    <t>794260670</t>
  </si>
  <si>
    <t>P94 C59 1990</t>
  </si>
  <si>
    <t>0                      P  0094000C  59          1990</t>
  </si>
  <si>
    <t>Conversations on communication ethics / edited by Karen Joy Greenberg.</t>
  </si>
  <si>
    <t>2869669:eng</t>
  </si>
  <si>
    <t>22510686</t>
  </si>
  <si>
    <t>ocm22510686</t>
  </si>
  <si>
    <t>3102743107B</t>
  </si>
  <si>
    <t>9780893916565</t>
  </si>
  <si>
    <t>793146700</t>
  </si>
  <si>
    <t>P94 C63 2000</t>
  </si>
  <si>
    <t>0                      P  0094000C  63          2000</t>
  </si>
  <si>
    <t>The place of media power : pilgrims and witnesses of the media age / Nick Couldry.</t>
  </si>
  <si>
    <t>Couldry, Nick.</t>
  </si>
  <si>
    <t>2015-06-06</t>
  </si>
  <si>
    <t>793931299:eng</t>
  </si>
  <si>
    <t>42912000</t>
  </si>
  <si>
    <t>ocm42912000</t>
  </si>
  <si>
    <t>31027431433</t>
  </si>
  <si>
    <t>9780415213141</t>
  </si>
  <si>
    <t>793617102</t>
  </si>
  <si>
    <t>P94 C77 2006</t>
  </si>
  <si>
    <t>0                      P  0094000C  77          2006</t>
  </si>
  <si>
    <t>Critical readings : moral panics and the media / edited by Chas Critcher.</t>
  </si>
  <si>
    <t>Maidenhead [England] ; New York : Open University Press, 2006.</t>
  </si>
  <si>
    <t>2017-11-23</t>
  </si>
  <si>
    <t>895988068:eng</t>
  </si>
  <si>
    <t>61756725</t>
  </si>
  <si>
    <t>ocm61756725</t>
  </si>
  <si>
    <t>31026520941</t>
  </si>
  <si>
    <t>9780335218080</t>
  </si>
  <si>
    <t>794097894</t>
  </si>
  <si>
    <t>2009-04-08</t>
  </si>
  <si>
    <t>3102620430O</t>
  </si>
  <si>
    <t>794097893</t>
  </si>
  <si>
    <t>P94 C77 2016</t>
  </si>
  <si>
    <t>0                      P  0094000C  77          2016</t>
  </si>
  <si>
    <t>Controversies in digital ethics / edited by Amber Davisson and Paul Booth.</t>
  </si>
  <si>
    <t>New York : Bloomsbury Academic, 2016.</t>
  </si>
  <si>
    <t>2016-09-14</t>
  </si>
  <si>
    <t>2783877763:eng</t>
  </si>
  <si>
    <t>910702581</t>
  </si>
  <si>
    <t>ocn910702581</t>
  </si>
  <si>
    <t>3103654778V</t>
  </si>
  <si>
    <t>9781501310560</t>
  </si>
  <si>
    <t>794996425</t>
  </si>
  <si>
    <t>P94 C84 2017</t>
  </si>
  <si>
    <t>0                      P  0094000C  84          2017</t>
  </si>
  <si>
    <t>Cultures of communication : theologies of media in early modern Europe and beyond / edited by Helmut Puff, Ulrike Strasser, and Christopher Wild.</t>
  </si>
  <si>
    <t>Toronto : Published by the University of Toronto Press in association with the UCLA Center for Seventeenth- and Eighteenth-Century Studies and the William Andrews Clark Memorial Library, [2017]</t>
  </si>
  <si>
    <t>The UCLA Clark Memorial Library series ; 25</t>
  </si>
  <si>
    <t>3905286875:eng</t>
  </si>
  <si>
    <t>950450591</t>
  </si>
  <si>
    <t>ocn950450591</t>
  </si>
  <si>
    <t>3103728879G</t>
  </si>
  <si>
    <t>9781442630376</t>
  </si>
  <si>
    <t>795016631</t>
  </si>
  <si>
    <t>P94 D37 2017</t>
  </si>
  <si>
    <t>0                      P  0094000D  37          2017</t>
  </si>
  <si>
    <t>Think/point/shoot : media ethics, technology, and global change / Annette Danto and Mobina Hashmi ; in collaboration with Lonnie Isabel.</t>
  </si>
  <si>
    <t>Danto, Annette, author.</t>
  </si>
  <si>
    <t>New York, NY : Routledge, 2017.</t>
  </si>
  <si>
    <t>2978201565:eng</t>
  </si>
  <si>
    <t>946579795</t>
  </si>
  <si>
    <t>ocn946579795</t>
  </si>
  <si>
    <t>3103422634F</t>
  </si>
  <si>
    <t>9781138847958</t>
  </si>
  <si>
    <t>795014581</t>
  </si>
  <si>
    <t>P94 E77 2010</t>
  </si>
  <si>
    <t>0                      P  0094000E  77          2010</t>
  </si>
  <si>
    <t>Ethics and entertainment : essays on media culture and media morality / edited by Howard Good and Sandra L. Borden.</t>
  </si>
  <si>
    <t>Jefferson, N.C. : McFarland &amp; Company, Inc., Publishers, ©2010.</t>
  </si>
  <si>
    <t>2013-11-22</t>
  </si>
  <si>
    <t>819593993:eng</t>
  </si>
  <si>
    <t>432995245</t>
  </si>
  <si>
    <t>ocn432995245</t>
  </si>
  <si>
    <t>31031134157</t>
  </si>
  <si>
    <t>9780786439096</t>
  </si>
  <si>
    <t>794782199</t>
  </si>
  <si>
    <t>P94 E775 2010</t>
  </si>
  <si>
    <t>0                      P  0094000E  775         2010</t>
  </si>
  <si>
    <t>Ethics &amp; evil in the public sphere : media, universal values &amp; global development : essays in honor of Clifford G. Christians / edited by Robert Fortner, Mark Fackler.</t>
  </si>
  <si>
    <t>The Hampton Press communication series. Mass communication and journalism</t>
  </si>
  <si>
    <t>2013-12-23</t>
  </si>
  <si>
    <t>510250202:eng</t>
  </si>
  <si>
    <t>646811262</t>
  </si>
  <si>
    <t>ocn646811262</t>
  </si>
  <si>
    <t>3103324717E</t>
  </si>
  <si>
    <t>9781572739390</t>
  </si>
  <si>
    <t>794830640</t>
  </si>
  <si>
    <t>P94 F69 2011</t>
  </si>
  <si>
    <t>0                      P  0094000F  69          2011</t>
  </si>
  <si>
    <t>Critical reflections on religion and media in contemporary Bali / by Richard Fox.</t>
  </si>
  <si>
    <t>Fox, Richard, 1972-</t>
  </si>
  <si>
    <t>Numen book series : studies in the history of religions, 0169-8834 ; v. 130</t>
  </si>
  <si>
    <t>2011-09-20</t>
  </si>
  <si>
    <t>686141746:eng</t>
  </si>
  <si>
    <t>670324812</t>
  </si>
  <si>
    <t>ocn670324812</t>
  </si>
  <si>
    <t>3103232329X</t>
  </si>
  <si>
    <t>9789004176492</t>
  </si>
  <si>
    <t>794847617</t>
  </si>
  <si>
    <t>P94 F76 2009</t>
  </si>
  <si>
    <t>0                      P  0094000F  76          2009</t>
  </si>
  <si>
    <t>Media witnessing : testimony in the age of mass communication / edited by Paul Frosh and Amit Pinchevski.</t>
  </si>
  <si>
    <t>Basingstoke [England] ; New York : Palgrave Macmillan, 2009.</t>
  </si>
  <si>
    <t>900779945:eng</t>
  </si>
  <si>
    <t>182737281</t>
  </si>
  <si>
    <t>ocn182737281</t>
  </si>
  <si>
    <t>3102855996O</t>
  </si>
  <si>
    <t>9780230551497</t>
  </si>
  <si>
    <t>794285373</t>
  </si>
  <si>
    <t>P94 G67 1999</t>
  </si>
  <si>
    <t>0                      P  0094000G  67          1999</t>
  </si>
  <si>
    <t>Controversies in media ethics / A. David Gordon, John Michael Kittross ; overview and commentary by John C. Merrill ; contributions by Carol Reuss.</t>
  </si>
  <si>
    <t>Gordon, David, 1935-</t>
  </si>
  <si>
    <t>38959743</t>
  </si>
  <si>
    <t>ocm38959743</t>
  </si>
  <si>
    <t>31027431395</t>
  </si>
  <si>
    <t>9780801330254</t>
  </si>
  <si>
    <t>793534383</t>
  </si>
  <si>
    <t>P94 G79 2010</t>
  </si>
  <si>
    <t>0                      P  0094000G  79          2010</t>
  </si>
  <si>
    <t>Premediation : affect and mediality after 9/11 / Richard Grusin.</t>
  </si>
  <si>
    <t>Grusin, Richard A.</t>
  </si>
  <si>
    <t>Basingstoke [England] ; New York : Palgrave Macmillan, 2010.</t>
  </si>
  <si>
    <t>2012-08-20</t>
  </si>
  <si>
    <t>793064322:eng</t>
  </si>
  <si>
    <t>430839586</t>
  </si>
  <si>
    <t>ocn430839586</t>
  </si>
  <si>
    <t>3103133062$</t>
  </si>
  <si>
    <t>9780230242517</t>
  </si>
  <si>
    <t>794781243</t>
  </si>
  <si>
    <t>P94 H353 2011</t>
  </si>
  <si>
    <t>0                      P  0094000H  353         2011</t>
  </si>
  <si>
    <t>The handbook of communication ethics / edited by George Cheney, Steve May, Debashish Munshi.</t>
  </si>
  <si>
    <t>2015-02-11</t>
  </si>
  <si>
    <t>9657844321:eng</t>
  </si>
  <si>
    <t>369141939</t>
  </si>
  <si>
    <t>ocn369141939</t>
  </si>
  <si>
    <t>3103312707T</t>
  </si>
  <si>
    <t>9780415994644</t>
  </si>
  <si>
    <t>794494299</t>
  </si>
  <si>
    <t>P94 H354 2011</t>
  </si>
  <si>
    <t>0                      P  0094000H  354         2011</t>
  </si>
  <si>
    <t>The handbook of global communication and media ethics / edited by Robert S. Fortner and P. Mark Fackler.</t>
  </si>
  <si>
    <t>Chichester, West Sussex, U.K. ; Malden, MA : Wiley-Blackwell, 2011.</t>
  </si>
  <si>
    <t>Handbooks in communication and media</t>
  </si>
  <si>
    <t>2014-07-17</t>
  </si>
  <si>
    <t>1076168920:eng</t>
  </si>
  <si>
    <t>670375342</t>
  </si>
  <si>
    <t>ocn670375342</t>
  </si>
  <si>
    <t>3103355649T</t>
  </si>
  <si>
    <t>9781405188128</t>
  </si>
  <si>
    <t>794847679</t>
  </si>
  <si>
    <t>3103355658R</t>
  </si>
  <si>
    <t>794847678</t>
  </si>
  <si>
    <t>P94 H65 2000</t>
  </si>
  <si>
    <t>0                      P  0094000H  65          2000</t>
  </si>
  <si>
    <t>Holding the media accountable : citizens, ethics, and the law / edited by David Pritchard.</t>
  </si>
  <si>
    <t>Bloomington : Indiana University Press, ©2000.</t>
  </si>
  <si>
    <t>34652815:eng</t>
  </si>
  <si>
    <t>41892142</t>
  </si>
  <si>
    <t>ocm41892142</t>
  </si>
  <si>
    <t>31027431297</t>
  </si>
  <si>
    <t>9780253336620</t>
  </si>
  <si>
    <t>793598337</t>
  </si>
  <si>
    <t>P94 H656 2006</t>
  </si>
  <si>
    <t>0                      P  0094000H  656         2006</t>
  </si>
  <si>
    <t>Religion in the media age / Stewart M. Hoover.</t>
  </si>
  <si>
    <t>Hoover, Stewart M., author.</t>
  </si>
  <si>
    <t>Religion, media and culture</t>
  </si>
  <si>
    <t>2018-10-04</t>
  </si>
  <si>
    <t>46563380:eng</t>
  </si>
  <si>
    <t>62152779</t>
  </si>
  <si>
    <t>ocm62152779</t>
  </si>
  <si>
    <t>31025569981</t>
  </si>
  <si>
    <t>9780415314220</t>
  </si>
  <si>
    <t>794101370</t>
  </si>
  <si>
    <t>P94 H6594 2015</t>
  </si>
  <si>
    <t>0                      P  0094000H  6594        2015</t>
  </si>
  <si>
    <t>Understanding media ethics / David Sanford Horner.</t>
  </si>
  <si>
    <t>Horner, David Sanford.</t>
  </si>
  <si>
    <t>Thousand Oaks, CA : Sage Publications, 2015.</t>
  </si>
  <si>
    <t>2215527382:eng</t>
  </si>
  <si>
    <t>915334275</t>
  </si>
  <si>
    <t>ocn915334275</t>
  </si>
  <si>
    <t>3103654814G</t>
  </si>
  <si>
    <t>9781849207874</t>
  </si>
  <si>
    <t>795000521</t>
  </si>
  <si>
    <t>P94 J46 1997</t>
  </si>
  <si>
    <t>0                      P  0094000J  46          1997</t>
  </si>
  <si>
    <t>Ethical issues in the communication process / J. Vernon Jensen.</t>
  </si>
  <si>
    <t>Jensen, J. Vernon (John Vernon), 1922-</t>
  </si>
  <si>
    <t>Mahwah, N.J. : Erlbaum, 1997.</t>
  </si>
  <si>
    <t>2015-09-01</t>
  </si>
  <si>
    <t>41272986:eng</t>
  </si>
  <si>
    <t>35686175</t>
  </si>
  <si>
    <t>ocm35686175</t>
  </si>
  <si>
    <t>31027431199</t>
  </si>
  <si>
    <t>9780805820355</t>
  </si>
  <si>
    <t>793454939</t>
  </si>
  <si>
    <t>P94 K58 2004</t>
  </si>
  <si>
    <t>0                      P  0094000K  58          2004</t>
  </si>
  <si>
    <t>Framing abuse : media influence and public understanding of sexual violence against children / Jenny Kitzinger.</t>
  </si>
  <si>
    <t>Kitzinger, Jenny.</t>
  </si>
  <si>
    <t>London ; Ann Arbor, MI : Pluto Press, 2004.</t>
  </si>
  <si>
    <t>2015-04-02</t>
  </si>
  <si>
    <t>327221420:eng</t>
  </si>
  <si>
    <t>56648928</t>
  </si>
  <si>
    <t>ocm56648928</t>
  </si>
  <si>
    <t>31027431453</t>
  </si>
  <si>
    <t>9780745323329</t>
  </si>
  <si>
    <t>793898097</t>
  </si>
  <si>
    <t>P94 L67 2013</t>
  </si>
  <si>
    <t>0                      P  0094000L  67          2013</t>
  </si>
  <si>
    <t>Lost in media : the ethics of everyday life / Tony Kashani &amp; Benjamin Frymer, editors.</t>
  </si>
  <si>
    <t>New York : Peter Lang, ©2013.</t>
  </si>
  <si>
    <t>Minding the media, 2151-2949 ; v. 7</t>
  </si>
  <si>
    <t>1170707496:eng</t>
  </si>
  <si>
    <t>812017889</t>
  </si>
  <si>
    <t>ocn812017889</t>
  </si>
  <si>
    <t>31034984025</t>
  </si>
  <si>
    <t>9781433113673</t>
  </si>
  <si>
    <t>794930524</t>
  </si>
  <si>
    <t>P94 M34 1999</t>
  </si>
  <si>
    <t>0                      P  0094000M  34          1999</t>
  </si>
  <si>
    <t>The medium and the light : reflections on religion / Marshall McLuhan ; edited by Eric McLuhan and Jacek Szlarek.</t>
  </si>
  <si>
    <t>Toronto ; New York : Stoddart, 1999.</t>
  </si>
  <si>
    <t>2010-10-26</t>
  </si>
  <si>
    <t>52365092:eng</t>
  </si>
  <si>
    <t>40574024</t>
  </si>
  <si>
    <t>ocm40574024</t>
  </si>
  <si>
    <t>31027431511</t>
  </si>
  <si>
    <t>9780773760318</t>
  </si>
  <si>
    <t>793570188</t>
  </si>
  <si>
    <t>31027431463</t>
  </si>
  <si>
    <t>793570187</t>
  </si>
  <si>
    <t>P94 M349 2007</t>
  </si>
  <si>
    <t>0                      P  0094000M  349         2007</t>
  </si>
  <si>
    <t>Media &amp; values : intimate transgressions in a changing moral and cultural landscape / David E. Morrison [and others].</t>
  </si>
  <si>
    <t>Bristol, U.K. ; Chicago : Intellect, 2007.</t>
  </si>
  <si>
    <t>2018-05-12</t>
  </si>
  <si>
    <t>803082868:eng</t>
  </si>
  <si>
    <t>166366950</t>
  </si>
  <si>
    <t>ocn166366950</t>
  </si>
  <si>
    <t>31030627708</t>
  </si>
  <si>
    <t>9781841501833</t>
  </si>
  <si>
    <t>794260706</t>
  </si>
  <si>
    <t>P94 M357 2013</t>
  </si>
  <si>
    <t>0                      P  0094000M  357         2013</t>
  </si>
  <si>
    <t>Media and the moral mind / edited by Ron Tamborini.</t>
  </si>
  <si>
    <t>Abingdon, Oxon ; New York, NY : Routledge, 2013.</t>
  </si>
  <si>
    <t>Electronic media research series</t>
  </si>
  <si>
    <t>1089262161:eng</t>
  </si>
  <si>
    <t>754733869</t>
  </si>
  <si>
    <t>ocn754733869</t>
  </si>
  <si>
    <t>31034120175</t>
  </si>
  <si>
    <t>9780415506359</t>
  </si>
  <si>
    <t>794893124</t>
  </si>
  <si>
    <t>P94 M36 2011</t>
  </si>
  <si>
    <t>0                      P  0094000M  36          2011</t>
  </si>
  <si>
    <t>Media ethics : issues and cases / [edited by] Philip Patterson, Lee Wilkins.</t>
  </si>
  <si>
    <t>New York : McGraw-Hill, ©2011.</t>
  </si>
  <si>
    <t>2013-10-13</t>
  </si>
  <si>
    <t>895899867:eng</t>
  </si>
  <si>
    <t>436028134</t>
  </si>
  <si>
    <t>ocn436028134</t>
  </si>
  <si>
    <t>3103339861D</t>
  </si>
  <si>
    <t>9780073511948</t>
  </si>
  <si>
    <t>794784072</t>
  </si>
  <si>
    <t>P94 M3618 2011</t>
  </si>
  <si>
    <t>0                      P  0094000M  3618        2011</t>
  </si>
  <si>
    <t>Media, markets, and morals / Edward H. Spence [and others].</t>
  </si>
  <si>
    <t>Malden, MA : Wiley-Blackwell, 2011.</t>
  </si>
  <si>
    <t>761560191:eng</t>
  </si>
  <si>
    <t>687713166</t>
  </si>
  <si>
    <t>ocn687713166</t>
  </si>
  <si>
    <t>3103364494O</t>
  </si>
  <si>
    <t>9781405175470</t>
  </si>
  <si>
    <t>794854179</t>
  </si>
  <si>
    <t>P94 M3625 2003</t>
  </si>
  <si>
    <t>0                      P  0094000M  3625        2003</t>
  </si>
  <si>
    <t>Mediating religion : conversations in media, religion and culture / edited by Jolyon Mitchell and Sophia Marriage.</t>
  </si>
  <si>
    <t>London ; New York : T &amp; T Clark, 2003.</t>
  </si>
  <si>
    <t>2018-06-01</t>
  </si>
  <si>
    <t>837250106:eng</t>
  </si>
  <si>
    <t>51623103</t>
  </si>
  <si>
    <t>ocm51623103</t>
  </si>
  <si>
    <t>31027431217</t>
  </si>
  <si>
    <t>9780567088673</t>
  </si>
  <si>
    <t>793788117</t>
  </si>
  <si>
    <t>P94 M3628 2009</t>
  </si>
  <si>
    <t>0                      P  0094000M  3628        2009</t>
  </si>
  <si>
    <t>Mediation, remediation, and the dynamics of cultural memory / edited by Astrid Erll, Ann Rigney ; in collaboration with Laura Basu and Paulus Bijl.</t>
  </si>
  <si>
    <t>Berlin ; New York : Walter de Gruyter, ©2009.</t>
  </si>
  <si>
    <t>Media and cultural memory = Medien und kulturelle erinnerung, 1613-8961 ; 10</t>
  </si>
  <si>
    <t>2016-10-19</t>
  </si>
  <si>
    <t>5218349435:eng</t>
  </si>
  <si>
    <t>259265284</t>
  </si>
  <si>
    <t>ocn259265284</t>
  </si>
  <si>
    <t>3103086936L</t>
  </si>
  <si>
    <t>9783110204445</t>
  </si>
  <si>
    <t>794399749</t>
  </si>
  <si>
    <t>P94 M43 2012</t>
  </si>
  <si>
    <t>0                      P  0094000M  43          2012</t>
  </si>
  <si>
    <t>Media accountability : who will watch the watchdog in the Twitter age? / edited by William A. Babcock.</t>
  </si>
  <si>
    <t>1083518681:eng</t>
  </si>
  <si>
    <t>741542071</t>
  </si>
  <si>
    <t>ocn741542071</t>
  </si>
  <si>
    <t>3103405212T</t>
  </si>
  <si>
    <t>9780415698399</t>
  </si>
  <si>
    <t>794884176</t>
  </si>
  <si>
    <t>P94 M44 2013</t>
  </si>
  <si>
    <t>0                      P  0094000M  44          2013</t>
  </si>
  <si>
    <t>Media and public shaming : drawing the boundaries of disclosure / edited by Julian Petley.</t>
  </si>
  <si>
    <t>London : I.B. Tauris ; [Oxford] : Reuters Institute for the Study of Journalism, University of Oxford, 2013.</t>
  </si>
  <si>
    <t>RISJ/I.B. Tauris publications</t>
  </si>
  <si>
    <t>1378895173:eng</t>
  </si>
  <si>
    <t>825559495</t>
  </si>
  <si>
    <t>ocn825559495</t>
  </si>
  <si>
    <t>3103501340U</t>
  </si>
  <si>
    <t>9781780765877</t>
  </si>
  <si>
    <t>794938641</t>
  </si>
  <si>
    <t>P94 M45 2013</t>
  </si>
  <si>
    <t>0                      P  0094000M  45          2013</t>
  </si>
  <si>
    <t>The memory effect : the remediation of memory in literature and film / Russell J.A. Kilbourn, Eleanor Ty, editors.</t>
  </si>
  <si>
    <t>Waterloo, Ontario : Wilfrid Laurier University Press, [2013]</t>
  </si>
  <si>
    <t>2019-03-03</t>
  </si>
  <si>
    <t>1783166909:eng</t>
  </si>
  <si>
    <t>841673095</t>
  </si>
  <si>
    <t>ocn841673095</t>
  </si>
  <si>
    <t>3103493107Y</t>
  </si>
  <si>
    <t>9781554589142</t>
  </si>
  <si>
    <t>794947061</t>
  </si>
  <si>
    <t>P94 M47 2006</t>
  </si>
  <si>
    <t>0                      P  0094000M  47          2006</t>
  </si>
  <si>
    <t>Media, mission and morality / John Merrill.</t>
  </si>
  <si>
    <t>Merrill, John Calhoun, 1924-2012.</t>
  </si>
  <si>
    <t>A scholarly milestone essay in mass communication ; v. 1</t>
  </si>
  <si>
    <t>53902642:eng</t>
  </si>
  <si>
    <t>70068752</t>
  </si>
  <si>
    <t>ocm70068752</t>
  </si>
  <si>
    <t>31026469508</t>
  </si>
  <si>
    <t>9780922993598</t>
  </si>
  <si>
    <t>794148403</t>
  </si>
  <si>
    <t>P94 M665 2013</t>
  </si>
  <si>
    <t>0                      P  0094000M  665         2013</t>
  </si>
  <si>
    <t>Moral panics, social fears, and the media : historical perspectives / edited by Siân Nicholas and Tom O'Malley.</t>
  </si>
  <si>
    <t>Routledge research in cultural and media studies ; 46</t>
  </si>
  <si>
    <t>1170837445:eng</t>
  </si>
  <si>
    <t>768171519</t>
  </si>
  <si>
    <t>ocn768171519</t>
  </si>
  <si>
    <t>3103498397R</t>
  </si>
  <si>
    <t>9780415501613</t>
  </si>
  <si>
    <t>794902123</t>
  </si>
  <si>
    <t>P94 P384 2001</t>
  </si>
  <si>
    <t>0                      P  0094000P  384         2001</t>
  </si>
  <si>
    <t>Media effects and society / Elizabeth M. Perse.</t>
  </si>
  <si>
    <t>Perse, Elizabeth M.</t>
  </si>
  <si>
    <t>Mahwah, NJ : L. Erlbaum Associates, 2001.</t>
  </si>
  <si>
    <t>2016-11-23</t>
  </si>
  <si>
    <t>1001629:eng</t>
  </si>
  <si>
    <t>45129193</t>
  </si>
  <si>
    <t>ocm45129193</t>
  </si>
  <si>
    <t>3102743182W</t>
  </si>
  <si>
    <t>9780805825053</t>
  </si>
  <si>
    <t>793665127</t>
  </si>
  <si>
    <t>3102743187W</t>
  </si>
  <si>
    <t>793665128</t>
  </si>
  <si>
    <t>P94 P63 1985</t>
  </si>
  <si>
    <t>0                      P  0094000P  63          1985</t>
  </si>
  <si>
    <t>Amusing ourselves to death : public discourse in the age of show business / Neil Postman.</t>
  </si>
  <si>
    <t>New York : Viking, 1985.</t>
  </si>
  <si>
    <t>433246819:eng</t>
  </si>
  <si>
    <t>11842779</t>
  </si>
  <si>
    <t>ocm11842779</t>
  </si>
  <si>
    <t>3103524585V</t>
  </si>
  <si>
    <t>9780670804542</t>
  </si>
  <si>
    <t>792790642</t>
  </si>
  <si>
    <t>2016-02-24</t>
  </si>
  <si>
    <t>3102607969M</t>
  </si>
  <si>
    <t>792790639</t>
  </si>
  <si>
    <t>3103524594T</t>
  </si>
  <si>
    <t>792790640</t>
  </si>
  <si>
    <t>3102607964M</t>
  </si>
  <si>
    <t>792790641</t>
  </si>
  <si>
    <t>P94 P63 1986</t>
  </si>
  <si>
    <t>0                      P  0094000P  63          1986</t>
  </si>
  <si>
    <t>New York : Penguin Books, 1986, ©1985.</t>
  </si>
  <si>
    <t>Penguin books</t>
  </si>
  <si>
    <t>2012-03-19</t>
  </si>
  <si>
    <t>2018-04-27</t>
  </si>
  <si>
    <t>13456186</t>
  </si>
  <si>
    <t>ocm13456186</t>
  </si>
  <si>
    <t>3103399114E</t>
  </si>
  <si>
    <t>9780140094381</t>
  </si>
  <si>
    <t>792854068</t>
  </si>
  <si>
    <t>2010-12-13</t>
  </si>
  <si>
    <t>3102743167$</t>
  </si>
  <si>
    <t>792854069</t>
  </si>
  <si>
    <t>3102607959O</t>
  </si>
  <si>
    <t>792854067</t>
  </si>
  <si>
    <t>P94 P63 2006</t>
  </si>
  <si>
    <t>0                      P  0094000P  63          2006</t>
  </si>
  <si>
    <t>Amusing ourselves to death : public discourse in the age of show business / Neil Postman ; new introduction by Andrew Postman.</t>
  </si>
  <si>
    <t>New York, N.Y., U.S.A. : Penguin Books, 2006.</t>
  </si>
  <si>
    <t>20th anniversary edition.</t>
  </si>
  <si>
    <t>2018-12-21</t>
  </si>
  <si>
    <t>2019-12-22</t>
  </si>
  <si>
    <t>62757793</t>
  </si>
  <si>
    <t>ocm62757793</t>
  </si>
  <si>
    <t>3103759129$</t>
  </si>
  <si>
    <t>9780143036531</t>
  </si>
  <si>
    <t>794112096</t>
  </si>
  <si>
    <t>31037591192</t>
  </si>
  <si>
    <t>794112097</t>
  </si>
  <si>
    <t>31037591249</t>
  </si>
  <si>
    <t>794112098</t>
  </si>
  <si>
    <t>P94 P68 2012</t>
  </si>
  <si>
    <t>0                      P  0094000P  68          2012</t>
  </si>
  <si>
    <t>Media effects / W. James Potter.</t>
  </si>
  <si>
    <t>Thousand Oaks, Calif. : SAGE Publications, ©2012.</t>
  </si>
  <si>
    <t>897601430:eng</t>
  </si>
  <si>
    <t>721906557</t>
  </si>
  <si>
    <t>ocn721906557</t>
  </si>
  <si>
    <t>3103432502J</t>
  </si>
  <si>
    <t>9781412964692</t>
  </si>
  <si>
    <t>794875503</t>
  </si>
  <si>
    <t>P94 R448 2001</t>
  </si>
  <si>
    <t>0                      P  0094000R  448         2001</t>
  </si>
  <si>
    <t>Religion and media / edited by Hent de Vries and Samuel Weber.</t>
  </si>
  <si>
    <t>Stanford, Calif. : Stanford University Press, 2001.</t>
  </si>
  <si>
    <t>Cultural memory in the present</t>
  </si>
  <si>
    <t>435428451:eng</t>
  </si>
  <si>
    <t>46462696</t>
  </si>
  <si>
    <t>ocm46462696</t>
  </si>
  <si>
    <t>31027431571</t>
  </si>
  <si>
    <t>9780804734967</t>
  </si>
  <si>
    <t>793685336</t>
  </si>
  <si>
    <t>P94 R453 2012</t>
  </si>
  <si>
    <t>0                      P  0094000R  453         2012</t>
  </si>
  <si>
    <t>Religion and communication : an anthology of extensions in theory, research, and method / edited by Stephen M. Croucher, Tina M. Harris.</t>
  </si>
  <si>
    <t>1088415651:eng</t>
  </si>
  <si>
    <t>780161466</t>
  </si>
  <si>
    <t>ocn780161466</t>
  </si>
  <si>
    <t>31034301120</t>
  </si>
  <si>
    <t>9781433112881</t>
  </si>
  <si>
    <t>794911803</t>
  </si>
  <si>
    <t>P94 R454 2002</t>
  </si>
  <si>
    <t>0                      P  0094000R  454         2002</t>
  </si>
  <si>
    <t>Religion as entertainment / edited by C.K. Robertson ; with a foreword by Wade Clark Roof.</t>
  </si>
  <si>
    <t>2018-12-12</t>
  </si>
  <si>
    <t>366273420:eng</t>
  </si>
  <si>
    <t>46959397</t>
  </si>
  <si>
    <t>ocm46959397</t>
  </si>
  <si>
    <t>31027431521</t>
  </si>
  <si>
    <t>9780820456546</t>
  </si>
  <si>
    <t>793695483</t>
  </si>
  <si>
    <t>P94 R4543 2006</t>
  </si>
  <si>
    <t>0                      P  0094000R  4543        2006</t>
  </si>
  <si>
    <t>Religion, media, and the public sphere / edited by Birgit Meyer and Annelies Moors.</t>
  </si>
  <si>
    <t>Bloomington : Indiana University Press, ©2006.</t>
  </si>
  <si>
    <t>2019-04-28</t>
  </si>
  <si>
    <t>431493452:eng</t>
  </si>
  <si>
    <t>60341451</t>
  </si>
  <si>
    <t>ocm60341451</t>
  </si>
  <si>
    <t>3102560932W</t>
  </si>
  <si>
    <t>9780253346537</t>
  </si>
  <si>
    <t>793935605</t>
  </si>
  <si>
    <t>P94 R48 1997</t>
  </si>
  <si>
    <t>0                      P  0094000R  48          1997</t>
  </si>
  <si>
    <t>Rethinking media, religion, and culture / [edited by] Stewart M. Hoover, Knut Lundby.</t>
  </si>
  <si>
    <t>351077078:eng</t>
  </si>
  <si>
    <t>39886711</t>
  </si>
  <si>
    <t>ocm39886711</t>
  </si>
  <si>
    <t>3102743188W</t>
  </si>
  <si>
    <t>9780761901709</t>
  </si>
  <si>
    <t>793555963</t>
  </si>
  <si>
    <t>P94 R55 1996</t>
  </si>
  <si>
    <t>0                      P  0094000R  55          1996</t>
  </si>
  <si>
    <t>Deceit, delusion, and detection / W. Peter Robinson.</t>
  </si>
  <si>
    <t>Robinson, William Peter.</t>
  </si>
  <si>
    <t>Thousand Oaks, Calif. : Sage Publications, ©1996.</t>
  </si>
  <si>
    <t>Language and language behaviors ; v. 6</t>
  </si>
  <si>
    <t>48553401:eng</t>
  </si>
  <si>
    <t>33334331</t>
  </si>
  <si>
    <t>ocm33334331</t>
  </si>
  <si>
    <t>3102743173Y</t>
  </si>
  <si>
    <t>9780803952607</t>
  </si>
  <si>
    <t>793407107</t>
  </si>
  <si>
    <t>P94 R58</t>
  </si>
  <si>
    <t>0                      P  0094000R  58</t>
  </si>
  <si>
    <t>Rolʹ sredstv massovoĭ informat︠s︡ii i propagandy v nravstvennom vospitanii : po materialam vsesoi︠u︡znoĭ nauchno-prakticheskoĭ konferent︠s︡ii v Baku (25-27 apreli︠a︡ 1979 g.) / [Sostaviteli D.S. Avraamov, V.K. Arkhipenko].</t>
  </si>
  <si>
    <t>Moskva : Myslʹ, 1979.</t>
  </si>
  <si>
    <t>Opyt i aktualʹnye problemy ideologicheskoĭ raboty</t>
  </si>
  <si>
    <t>24335555:rus</t>
  </si>
  <si>
    <t>6736493</t>
  </si>
  <si>
    <t>ocm06736493</t>
  </si>
  <si>
    <t>3102743168$</t>
  </si>
  <si>
    <t>792520071</t>
  </si>
  <si>
    <t>P94 S24 2009</t>
  </si>
  <si>
    <t>0                      P  0094000S  24          2009</t>
  </si>
  <si>
    <t>The SAGE handbook of media processes and effects / edited by Robin L. Nabi, Mary Beth Oliver.</t>
  </si>
  <si>
    <t>Los Angeles ; London : SAGE, ©2009.</t>
  </si>
  <si>
    <t>192151717:eng</t>
  </si>
  <si>
    <t>313654707</t>
  </si>
  <si>
    <t>ocn313654707</t>
  </si>
  <si>
    <t>3103135366J</t>
  </si>
  <si>
    <t>9781412959964</t>
  </si>
  <si>
    <t>794437934</t>
  </si>
  <si>
    <t>P94 S49 2002</t>
  </si>
  <si>
    <t>0                      P  0094000S  49          2002</t>
  </si>
  <si>
    <t>Sex, religion, media / edited by Dane S. Claussen.</t>
  </si>
  <si>
    <t>Lanham, Md. : Rowman &amp; Littlefield, ©2002.</t>
  </si>
  <si>
    <t>1039076:eng</t>
  </si>
  <si>
    <t>48265570</t>
  </si>
  <si>
    <t>ocm48265570</t>
  </si>
  <si>
    <t>3102734363V</t>
  </si>
  <si>
    <t>9780742515574</t>
  </si>
  <si>
    <t>793719089</t>
  </si>
  <si>
    <t>P94 S63 2013</t>
  </si>
  <si>
    <t>0                      P  0094000S  63          2013</t>
  </si>
  <si>
    <t>Social media and the value of truth / edited by Berrin Beasley and Mitchell R. Haney.</t>
  </si>
  <si>
    <t>Lanham, Maryland : Lexington Books, [2013]</t>
  </si>
  <si>
    <t>2014-03-19</t>
  </si>
  <si>
    <t>1209336387:eng</t>
  </si>
  <si>
    <t>818865796</t>
  </si>
  <si>
    <t>ocn818865796</t>
  </si>
  <si>
    <t>3103470540$</t>
  </si>
  <si>
    <t>9780739174128</t>
  </si>
  <si>
    <t>794934229</t>
  </si>
  <si>
    <t>P94 T33 1987</t>
  </si>
  <si>
    <t>0                      P  0094000T  33          1987</t>
  </si>
  <si>
    <t>La critique littéraire au XXe siècle / Jean-Yves Tadié.</t>
  </si>
  <si>
    <t>Tadié, Jean-Yves, 1936-</t>
  </si>
  <si>
    <t>Paris : P. Belfond, ©1987.</t>
  </si>
  <si>
    <t>Les Dossiers Belfond</t>
  </si>
  <si>
    <t>2019-02-26</t>
  </si>
  <si>
    <t>348972048:fre</t>
  </si>
  <si>
    <t>16405242</t>
  </si>
  <si>
    <t>ocm16405242</t>
  </si>
  <si>
    <t>3102743189W</t>
  </si>
  <si>
    <t>9782714419743</t>
  </si>
  <si>
    <t>792962224</t>
  </si>
  <si>
    <t>P94 T38 2008</t>
  </si>
  <si>
    <t>0                      P  0094000T  38          2008</t>
  </si>
  <si>
    <t>Critical theories of mass media : then and now / Paul A. Taylor and Jan Ll. Harris.</t>
  </si>
  <si>
    <t>2017-07-15</t>
  </si>
  <si>
    <t>1073446320:eng</t>
  </si>
  <si>
    <t>166384895</t>
  </si>
  <si>
    <t>ocn166384895</t>
  </si>
  <si>
    <t>31025741094</t>
  </si>
  <si>
    <t>9780335218127</t>
  </si>
  <si>
    <t>794261249</t>
  </si>
  <si>
    <t>P94 T65 2011</t>
  </si>
  <si>
    <t>0                      P  0094000T  65          2011</t>
  </si>
  <si>
    <t>Practicing communication ethics : development, discernment, and decision-making / Paula S. Tompkins.</t>
  </si>
  <si>
    <t>Tompkins, Paula S.</t>
  </si>
  <si>
    <t>Boston, MA : Allyn &amp; Bacon, ©2011.</t>
  </si>
  <si>
    <t>323186719:eng</t>
  </si>
  <si>
    <t>437054143</t>
  </si>
  <si>
    <t>ocn437054143</t>
  </si>
  <si>
    <t>3103322533O</t>
  </si>
  <si>
    <t>9780205453603</t>
  </si>
  <si>
    <t>794785352</t>
  </si>
  <si>
    <t>P94 V355 2010</t>
  </si>
  <si>
    <t>0                      P  0094000V  355         2010</t>
  </si>
  <si>
    <t>Valuation and media ecology : ethics, morals, and laws / edited by Corey Anton.</t>
  </si>
  <si>
    <t>371887274:eng</t>
  </si>
  <si>
    <t>498112234</t>
  </si>
  <si>
    <t>ocn498112234</t>
  </si>
  <si>
    <t>3103313730J</t>
  </si>
  <si>
    <t>9781572738683</t>
  </si>
  <si>
    <t>794803072</t>
  </si>
  <si>
    <t>P94 W37 2011</t>
  </si>
  <si>
    <t>0                      P  0094000W  37          2011</t>
  </si>
  <si>
    <t>Ethics and the media : an introduction / Stephen J.A. Ward.</t>
  </si>
  <si>
    <t>Ward, Stephen J. A. (Stephen John Anthony), 1951-</t>
  </si>
  <si>
    <t>Cambridge applied ethics</t>
  </si>
  <si>
    <t>908549840:eng</t>
  </si>
  <si>
    <t>738338033</t>
  </si>
  <si>
    <t>ocn738338033</t>
  </si>
  <si>
    <t>3103380731X</t>
  </si>
  <si>
    <t>9780521889643</t>
  </si>
  <si>
    <t>794882442</t>
  </si>
  <si>
    <t>P94 W45 2000</t>
  </si>
  <si>
    <t>0                      P  0094000W  45          2000</t>
  </si>
  <si>
    <t>Communicating unreality : modern media and the reconstruction of reality / Gabriel Weimann.</t>
  </si>
  <si>
    <t>Weimann, Gabriel, 1950-</t>
  </si>
  <si>
    <t>Thousand Oaks : Sage Publications, ©2000.</t>
  </si>
  <si>
    <t>2016-02-25</t>
  </si>
  <si>
    <t>26495681:eng</t>
  </si>
  <si>
    <t>41404330</t>
  </si>
  <si>
    <t>ocm41404330</t>
  </si>
  <si>
    <t>31027431591</t>
  </si>
  <si>
    <t>9780761919858</t>
  </si>
  <si>
    <t>793590719</t>
  </si>
  <si>
    <t>P94.5 A37 A78 1998</t>
  </si>
  <si>
    <t>0                      P  0094500A  37                 A  78          1998</t>
  </si>
  <si>
    <t>The Afrocentric idea / Molefi Kete Asante.</t>
  </si>
  <si>
    <t>Asante, Molefi Kete, 1942-</t>
  </si>
  <si>
    <t>Philadelphia : Temple University Press, 1998.</t>
  </si>
  <si>
    <t>677782:eng</t>
  </si>
  <si>
    <t>37712962</t>
  </si>
  <si>
    <t>ocm37712962</t>
  </si>
  <si>
    <t>3102743190U</t>
  </si>
  <si>
    <t>9781566395946</t>
  </si>
  <si>
    <t>793505321</t>
  </si>
  <si>
    <t>P94.5 A37 B36 2011</t>
  </si>
  <si>
    <t>0                      P  0094500A  37                 B  36          2011</t>
  </si>
  <si>
    <t>Digital griots : African American rhetoric in a multimedia age / Adam J. Banks.</t>
  </si>
  <si>
    <t>Banks, Adam J. (Adam Joel)</t>
  </si>
  <si>
    <t>Carbondale, Ill. : Southern Illinois University Press, 2010, ©2011.</t>
  </si>
  <si>
    <t>CCCC studies in writing &amp; rhetoric</t>
  </si>
  <si>
    <t>497491847:eng</t>
  </si>
  <si>
    <t>633139665</t>
  </si>
  <si>
    <t>ocn633139665</t>
  </si>
  <si>
    <t>3103361418F</t>
  </si>
  <si>
    <t>9780809330201</t>
  </si>
  <si>
    <t>794825255</t>
  </si>
  <si>
    <t>P94.5 A37 R66 2004</t>
  </si>
  <si>
    <t>0                      P  0094500A  37                 R  66          2004</t>
  </si>
  <si>
    <t>Black demons : the media's depiction of the African American male criminal stereotype / Dennis Rome.</t>
  </si>
  <si>
    <t>Rome, Dennis.</t>
  </si>
  <si>
    <t>Westport, Conn. : Praeger, 2004.</t>
  </si>
  <si>
    <t>Crime, media, and popular culture</t>
  </si>
  <si>
    <t>801526943:eng</t>
  </si>
  <si>
    <t>54374595</t>
  </si>
  <si>
    <t>ocm54374595</t>
  </si>
  <si>
    <t>3102743185W</t>
  </si>
  <si>
    <t>9780275972448</t>
  </si>
  <si>
    <t>793860459</t>
  </si>
  <si>
    <t>P94.5 A372 U536 2011</t>
  </si>
  <si>
    <t>0                      P  0094500A  372                U  536         2011</t>
  </si>
  <si>
    <t>Beyond blackface : African Americans and the creation of American popular culture, 1890-1930 / edited by W. Fitzhugh Brundage.</t>
  </si>
  <si>
    <t>Chapel Hill : University of North Carolina Press, ©2011.</t>
  </si>
  <si>
    <t>H. Eugene and Lillian Youngs Lehman series</t>
  </si>
  <si>
    <t>2017-03-13</t>
  </si>
  <si>
    <t>899330071:eng</t>
  </si>
  <si>
    <t>668197735</t>
  </si>
  <si>
    <t>ocn668197735</t>
  </si>
  <si>
    <t>31033626351</t>
  </si>
  <si>
    <t>9780807834626</t>
  </si>
  <si>
    <t>794846324</t>
  </si>
  <si>
    <t>P94.5 A372 U55 2000</t>
  </si>
  <si>
    <t>0                      P  0094500A  372                U  55          2000</t>
  </si>
  <si>
    <t>The black image in the white mind : media and race in America / Robert M. Entman and Andrew Rojecki.</t>
  </si>
  <si>
    <t>Entman, Robert M.</t>
  </si>
  <si>
    <t>Chicago : University of Chicago Press, 2000.</t>
  </si>
  <si>
    <t>Studies in communication, media, and public opinion</t>
  </si>
  <si>
    <t>20656055:eng</t>
  </si>
  <si>
    <t>43118261</t>
  </si>
  <si>
    <t>ocm43118261</t>
  </si>
  <si>
    <t>3102743175Y</t>
  </si>
  <si>
    <t>9780226210759</t>
  </si>
  <si>
    <t>793620599</t>
  </si>
  <si>
    <t>3102743170Y</t>
  </si>
  <si>
    <t>793620600</t>
  </si>
  <si>
    <t>P94.5 A372 U557 2000</t>
  </si>
  <si>
    <t>0                      P  0094500A  372                U  557         2000</t>
  </si>
  <si>
    <t>Race, media, and the crisis of civil society : from Watts to Rodney King / Ronald N. Jacobs.</t>
  </si>
  <si>
    <t>Cambridge [England] ; New York : Cambridge University Press, 2000.</t>
  </si>
  <si>
    <t>Cambridge cultural social studies</t>
  </si>
  <si>
    <t>793895103:eng</t>
  </si>
  <si>
    <t>42579487</t>
  </si>
  <si>
    <t>ocm42579487</t>
  </si>
  <si>
    <t>3102743165$</t>
  </si>
  <si>
    <t>9780521623605</t>
  </si>
  <si>
    <t>793609166</t>
  </si>
  <si>
    <t>P94.5 A372 U574 1990</t>
  </si>
  <si>
    <t>0                      P  0094500A  372                U  574         1990</t>
  </si>
  <si>
    <t>Split image : African Americans in the mass media / edited by Jannette L. Dates and William Barlow.</t>
  </si>
  <si>
    <t>Washington, D.C. : Howard University Press, 1990.</t>
  </si>
  <si>
    <t>908056045:eng</t>
  </si>
  <si>
    <t>21335850</t>
  </si>
  <si>
    <t>ocm21335850</t>
  </si>
  <si>
    <t>3102743160$</t>
  </si>
  <si>
    <t>9780882580630</t>
  </si>
  <si>
    <t>793116072</t>
  </si>
  <si>
    <t>P94.5 A372 U578 1994</t>
  </si>
  <si>
    <t>0                      P  0094500A  372                U  578         1994</t>
  </si>
  <si>
    <t>Ceramic uncles &amp; celluloid mammies : Black images and their influence on culture / Patricia A. Turner.</t>
  </si>
  <si>
    <t>Turner, Patricia A. (Patricia Ann), 1955-</t>
  </si>
  <si>
    <t>New York : Anchor Books, ©1994.</t>
  </si>
  <si>
    <t>2019-11-03</t>
  </si>
  <si>
    <t>905944:eng</t>
  </si>
  <si>
    <t>29023592</t>
  </si>
  <si>
    <t>ocm29023592</t>
  </si>
  <si>
    <t>3102743191U</t>
  </si>
  <si>
    <t>9780385467841</t>
  </si>
  <si>
    <t>793301580</t>
  </si>
  <si>
    <t>P94.5 A75 W8 2009</t>
  </si>
  <si>
    <t>0                      P  0094500A  75                 W  8           2009</t>
  </si>
  <si>
    <t>Media, politics, and Asian Americans / by H. Denis Wu and Tien-Tsung Lee.</t>
  </si>
  <si>
    <t>Wu, H. Denis.</t>
  </si>
  <si>
    <t>Cresskill, NJ : Hampton Press, ©2009.</t>
  </si>
  <si>
    <t>2015-12-01</t>
  </si>
  <si>
    <t>155963803:eng</t>
  </si>
  <si>
    <t>268547524</t>
  </si>
  <si>
    <t>ocn268547524</t>
  </si>
  <si>
    <t>31030863038</t>
  </si>
  <si>
    <t>9781572738706</t>
  </si>
  <si>
    <t>794408169</t>
  </si>
  <si>
    <t>P94.5 A762 U6 2009</t>
  </si>
  <si>
    <t>0                      P  0094500A  762                U  6           2009</t>
  </si>
  <si>
    <t>Asian Americans and the media / Kent A. Ono and Vincent N. Pham.</t>
  </si>
  <si>
    <t>Ono, Kent A., 1964-</t>
  </si>
  <si>
    <t>The media and minorities</t>
  </si>
  <si>
    <t>140615641:eng</t>
  </si>
  <si>
    <t>236321398</t>
  </si>
  <si>
    <t>ocn236321398</t>
  </si>
  <si>
    <t>3102856305J</t>
  </si>
  <si>
    <t>9780745642734</t>
  </si>
  <si>
    <t>794371448</t>
  </si>
  <si>
    <t>P94.5 B55 M37 2007</t>
  </si>
  <si>
    <t>0                      P  0094500B  55                 M  37          2007</t>
  </si>
  <si>
    <t>Haunted life : visual culture and Black modernity / David Marriott.</t>
  </si>
  <si>
    <t>Marriott, D. S.</t>
  </si>
  <si>
    <t>New Brunswick, N.J. : Rutgers University Press, ©2007.</t>
  </si>
  <si>
    <t>African-American studies</t>
  </si>
  <si>
    <t>476689785:eng</t>
  </si>
  <si>
    <t>70483313</t>
  </si>
  <si>
    <t>ocm70483313</t>
  </si>
  <si>
    <t>3102637488I</t>
  </si>
  <si>
    <t>9780813540276</t>
  </si>
  <si>
    <t>794155845</t>
  </si>
  <si>
    <t>P94.5 C45 R65 2012</t>
  </si>
  <si>
    <t>0                      P  0094500C  45                 R  65          2012</t>
  </si>
  <si>
    <t>Fame attack : the inflation of celebrity and its consequences / Chris Rojek.</t>
  </si>
  <si>
    <t>Rojek, Chris.</t>
  </si>
  <si>
    <t>London : Bloomsbury Academic, 2012.</t>
  </si>
  <si>
    <t>2016-07-29</t>
  </si>
  <si>
    <t>1060364989:eng</t>
  </si>
  <si>
    <t>772499308</t>
  </si>
  <si>
    <t>ocn772499308</t>
  </si>
  <si>
    <t>31034094383</t>
  </si>
  <si>
    <t>9781849660716</t>
  </si>
  <si>
    <t>794904626</t>
  </si>
  <si>
    <t>P94.5 C452 U61 2012</t>
  </si>
  <si>
    <t>0                      P  0094500C  452                U  61          2012</t>
  </si>
  <si>
    <t>Beyond Black : Celebrity and Race in Obama's America / Ellis Cashmore.</t>
  </si>
  <si>
    <t>Cashmore, Ellis.</t>
  </si>
  <si>
    <t>London, UK ; New York, NY, USA : Bloomsbury Academic, 2012.</t>
  </si>
  <si>
    <t>2013-11-06</t>
  </si>
  <si>
    <t>1173256851:eng</t>
  </si>
  <si>
    <t>809977812</t>
  </si>
  <si>
    <t>ocn809977812</t>
  </si>
  <si>
    <t>3103470831T</t>
  </si>
  <si>
    <t>9781780931494</t>
  </si>
  <si>
    <t>794928985</t>
  </si>
  <si>
    <t>P94.5 C552 U65 2003</t>
  </si>
  <si>
    <t>0                      P  0094500C  552                U  65          2003</t>
  </si>
  <si>
    <t>Children, teens, families, and mass media : the millennial generation / Rose M. Kundanis.</t>
  </si>
  <si>
    <t>Kundanis, Rose M., 1947-</t>
  </si>
  <si>
    <t>Mahwah, N.J. : L. Erlbaum, 2003.</t>
  </si>
  <si>
    <t>797212483:eng</t>
  </si>
  <si>
    <t>51290066</t>
  </si>
  <si>
    <t>ocm51290066</t>
  </si>
  <si>
    <t>3102313744O</t>
  </si>
  <si>
    <t>9780805845631</t>
  </si>
  <si>
    <t>793782338</t>
  </si>
  <si>
    <t>P94.5 C57 C48 2001</t>
  </si>
  <si>
    <t>0                      P  0094500C  57                 C  48          2001</t>
  </si>
  <si>
    <t>Chinese American masculinities : from Fu Manchu to Bruce Lee / Jachinson Chan.</t>
  </si>
  <si>
    <t>Chan, Jachinson.</t>
  </si>
  <si>
    <t>New York : Routledge, 2001.</t>
  </si>
  <si>
    <t>Asian Americans</t>
  </si>
  <si>
    <t>2016-04-21</t>
  </si>
  <si>
    <t>3205480:eng</t>
  </si>
  <si>
    <t>44868936</t>
  </si>
  <si>
    <t>ocm44868936</t>
  </si>
  <si>
    <t>31027431551</t>
  </si>
  <si>
    <t>9780815340294</t>
  </si>
  <si>
    <t>793659516</t>
  </si>
  <si>
    <t>P94.5 F342 U655 1995</t>
  </si>
  <si>
    <t>0                      P  0094500F  342                U  655         1995</t>
  </si>
  <si>
    <t>Family plots : the de-Oedipalization of popular culture / Dana Heller.</t>
  </si>
  <si>
    <t>Heller, Dana A. (Dana Alice), 1959-</t>
  </si>
  <si>
    <t>Philadelphia : University of Pennsylvania Press, ©1995.</t>
  </si>
  <si>
    <t>Feminist cultural studies, the media, and political culture</t>
  </si>
  <si>
    <t>1010386:eng</t>
  </si>
  <si>
    <t>32273157</t>
  </si>
  <si>
    <t>ocm32273157</t>
  </si>
  <si>
    <t>31027432274</t>
  </si>
  <si>
    <t>9780812232943</t>
  </si>
  <si>
    <t>793379805</t>
  </si>
  <si>
    <t>P94.5 G38 M43 2007</t>
  </si>
  <si>
    <t>0                      P  0094500G  38                 M  43          2007</t>
  </si>
  <si>
    <t>Media Q : media/queered : visibility and its discontents / edited by Kevin G. Barnhurst.</t>
  </si>
  <si>
    <t>New York : Peter Lang, ©2007.</t>
  </si>
  <si>
    <t>62829638:eng</t>
  </si>
  <si>
    <t>77116827</t>
  </si>
  <si>
    <t>ocm77116827</t>
  </si>
  <si>
    <t>3102643696L</t>
  </si>
  <si>
    <t>9780820495323</t>
  </si>
  <si>
    <t>794180959</t>
  </si>
  <si>
    <t>P94.5 G57 J46 2014</t>
  </si>
  <si>
    <t>0                      P  0094500G  57                 J  46          2014</t>
  </si>
  <si>
    <t>Tween girls and their mediated friends / Nancy A. Jennings.</t>
  </si>
  <si>
    <t>Jennings, Nancy A.</t>
  </si>
  <si>
    <t>Mediated youth, 1555-1814 ; vol. 21</t>
  </si>
  <si>
    <t>1778158558:eng</t>
  </si>
  <si>
    <t>868429197</t>
  </si>
  <si>
    <t>ocn868429197</t>
  </si>
  <si>
    <t>31035329011</t>
  </si>
  <si>
    <t>9781433121883</t>
  </si>
  <si>
    <t>794964717</t>
  </si>
  <si>
    <t>P94.5 G57 K43 2006</t>
  </si>
  <si>
    <t>0                      P  0094500G  57                 K  43          2006</t>
  </si>
  <si>
    <t>Girls make media / Mary Celeste Kearney.</t>
  </si>
  <si>
    <t>Kearney, Mary Celeste, 1962-</t>
  </si>
  <si>
    <t>2017-11-29</t>
  </si>
  <si>
    <t>46535802:eng</t>
  </si>
  <si>
    <t>62118261</t>
  </si>
  <si>
    <t>ocm62118261</t>
  </si>
  <si>
    <t>31025785641</t>
  </si>
  <si>
    <t>9780415972772</t>
  </si>
  <si>
    <t>794100371</t>
  </si>
  <si>
    <t>P94.5 G57 M43 2011</t>
  </si>
  <si>
    <t>0                      P  0094500G  57                 M  43          2011</t>
  </si>
  <si>
    <t>Mediated girlhoods : new explorations of girls' media culture / edited by Mary Celeste Kearney, Morgan Genevieve Blue.</t>
  </si>
  <si>
    <t>New York : Peter Lang, [2011-2018]</t>
  </si>
  <si>
    <t>Mediated youth ; v. 10, 26</t>
  </si>
  <si>
    <t>616679250:eng</t>
  </si>
  <si>
    <t>662152495</t>
  </si>
  <si>
    <t>ocn662152495</t>
  </si>
  <si>
    <t>3103738007U</t>
  </si>
  <si>
    <t>9781433105616</t>
  </si>
  <si>
    <t>794837092</t>
  </si>
  <si>
    <t>3103343597Z</t>
  </si>
  <si>
    <t>794837093</t>
  </si>
  <si>
    <t>P94.5 H58 L365 2011</t>
  </si>
  <si>
    <t>0                      P  0094500H  58                 L  365         2011</t>
  </si>
  <si>
    <t>Latina/o discourse in vernacular spaces : somos de una voz? / edited by Michelle A. Holling and Bernadette M. Calafell.</t>
  </si>
  <si>
    <t>Race, rites, and rhetoric: colors, cultures, and communication.</t>
  </si>
  <si>
    <t>2012-03-08</t>
  </si>
  <si>
    <t>656951373:eng</t>
  </si>
  <si>
    <t>664667210</t>
  </si>
  <si>
    <t>ocn664667210</t>
  </si>
  <si>
    <t>3103364444Y</t>
  </si>
  <si>
    <t>9780739146484</t>
  </si>
  <si>
    <t>794844191</t>
  </si>
  <si>
    <t>P94.5 H58 V34 2010</t>
  </si>
  <si>
    <t>0                      P  0094500H  58                 V  34          2010</t>
  </si>
  <si>
    <t>Latina/os and the media / Angharad N. Valdivia.</t>
  </si>
  <si>
    <t>Valdivia, Angharad N.</t>
  </si>
  <si>
    <t>Cambridge [England] ; Malden, Mass. : Polity Press, 2010.</t>
  </si>
  <si>
    <t>Media and minorities</t>
  </si>
  <si>
    <t>2013-05-30</t>
  </si>
  <si>
    <t>197392702:eng</t>
  </si>
  <si>
    <t>320316182</t>
  </si>
  <si>
    <t>ocn320316182</t>
  </si>
  <si>
    <t>31032439236</t>
  </si>
  <si>
    <t>9780745640075</t>
  </si>
  <si>
    <t>794486125</t>
  </si>
  <si>
    <t>P94.5 H582 U65 1997</t>
  </si>
  <si>
    <t>0                      P  0094500H  582                U  65          1997</t>
  </si>
  <si>
    <t>Latin looks : images of Latinas and Latinos in the U.S. media / edited by Clara E. Rodríguez.</t>
  </si>
  <si>
    <t>Boulder, Colorado : Westview Press, 1997.</t>
  </si>
  <si>
    <t>801240554:eng</t>
  </si>
  <si>
    <t>36364100</t>
  </si>
  <si>
    <t>ocm36364100</t>
  </si>
  <si>
    <t>31027432078</t>
  </si>
  <si>
    <t>9780813327655</t>
  </si>
  <si>
    <t>793473587</t>
  </si>
  <si>
    <t>P94.5 I48 H39 2016</t>
  </si>
  <si>
    <t>0                      P  0094500I  48                 H  39          2016</t>
  </si>
  <si>
    <t>Framing immigrants : news coverage, public opinion, and policy / Chris Haynes, Jennifer Merolla, and S. Karthick Ramakrishnan.</t>
  </si>
  <si>
    <t>Haynes, Chris, 1977- author.</t>
  </si>
  <si>
    <t>New York : Russell Sage Foundation, [2016]</t>
  </si>
  <si>
    <t>3005041136:eng</t>
  </si>
  <si>
    <t>949760213</t>
  </si>
  <si>
    <t>ocn949760213</t>
  </si>
  <si>
    <t>3103405274H</t>
  </si>
  <si>
    <t>9780871545336</t>
  </si>
  <si>
    <t>795016098</t>
  </si>
  <si>
    <t>P94.5 I48 I33 2013</t>
  </si>
  <si>
    <t>0                      P  0094500I  48                 I  33          2013</t>
  </si>
  <si>
    <t>Identités diasporiques et communication / sous la direction de Christian Agbobli, Oumar Kane et Gaby Hsab.</t>
  </si>
  <si>
    <t>Québec (Québec) : Presses de l'Université du Québec, [2013]</t>
  </si>
  <si>
    <t>Collection Communication</t>
  </si>
  <si>
    <t>1771915705:fre</t>
  </si>
  <si>
    <t>868228637</t>
  </si>
  <si>
    <t>ocn868228637</t>
  </si>
  <si>
    <t>31034935944</t>
  </si>
  <si>
    <t>9782760539082</t>
  </si>
  <si>
    <t>794964559</t>
  </si>
  <si>
    <t>P94.5 I48 M43 2001</t>
  </si>
  <si>
    <t>0                      P  0094500I  48                 M  43          2001</t>
  </si>
  <si>
    <t>Media and migration : constructions of mobility and difference / edited by Russell King and Nancy Wood.</t>
  </si>
  <si>
    <t>Routledge research in cultural and media studies ; 8</t>
  </si>
  <si>
    <t>2016-11-01</t>
  </si>
  <si>
    <t>795348504:eng</t>
  </si>
  <si>
    <t>45890390</t>
  </si>
  <si>
    <t>ocm45890390</t>
  </si>
  <si>
    <t>31027432028</t>
  </si>
  <si>
    <t>9780415229258</t>
  </si>
  <si>
    <t>793680653</t>
  </si>
  <si>
    <t>P94.5 I48 M54 2012</t>
  </si>
  <si>
    <t>0                      P  0094500I  48                 M  54          2012</t>
  </si>
  <si>
    <t>Migrations and the media / edited by Kerry Moore, Bernhard Gross, Terry Threadgold.</t>
  </si>
  <si>
    <t>Global crises and the media ; v. 6</t>
  </si>
  <si>
    <t>1017260997:eng</t>
  </si>
  <si>
    <t>755080593</t>
  </si>
  <si>
    <t>ocn755080593</t>
  </si>
  <si>
    <t>31034079120</t>
  </si>
  <si>
    <t>9781433107719</t>
  </si>
  <si>
    <t>794893626</t>
  </si>
  <si>
    <t>P94.5 I482 E865 2018</t>
  </si>
  <si>
    <t>0                      P  0094500I  482                E  865         2018</t>
  </si>
  <si>
    <t>Migrants, refugees, and the media : the new reality of open societies / edited by Sai Felicia Krishna-Hensel.</t>
  </si>
  <si>
    <t>Abingdon, Oxon ; New York, NY : Routledge, 2018.</t>
  </si>
  <si>
    <t>Global interdisciplinary studies series</t>
  </si>
  <si>
    <t>5020013121:eng</t>
  </si>
  <si>
    <t>1031414956</t>
  </si>
  <si>
    <t>on1031414956</t>
  </si>
  <si>
    <t>3103714389M</t>
  </si>
  <si>
    <t>9780815377177</t>
  </si>
  <si>
    <t>795055410</t>
  </si>
  <si>
    <t>P94.5 I482 S34 2011</t>
  </si>
  <si>
    <t>0                      P  0094500I  482                S  34          2011</t>
  </si>
  <si>
    <t>Media in motion : cultural complexity and migration in the Nordic region / by Elisabeth Eide and Kaarina Nikunen.</t>
  </si>
  <si>
    <t>Farnham, Surrey, England ; Burlington, VT : Ashgate Pub., 2011.</t>
  </si>
  <si>
    <t>Research in migration and ethnic relations series</t>
  </si>
  <si>
    <t>888359145:eng</t>
  </si>
  <si>
    <t>648480748</t>
  </si>
  <si>
    <t>ocn648480748</t>
  </si>
  <si>
    <t>3103232422U</t>
  </si>
  <si>
    <t>9781409404460</t>
  </si>
  <si>
    <t>794831292</t>
  </si>
  <si>
    <t>P94.5 I482 U654 2013</t>
  </si>
  <si>
    <t>0                      P  0094500I  482                U  654         2013</t>
  </si>
  <si>
    <t>Shaping immigration news : a French-American comparison / Rodney Benson, New York University.</t>
  </si>
  <si>
    <t>Benson, Rodney.</t>
  </si>
  <si>
    <t>New York, NY : Cambridge University Press, 2013.</t>
  </si>
  <si>
    <t>Communication, society and politics</t>
  </si>
  <si>
    <t>2013-11-03</t>
  </si>
  <si>
    <t>1568355729:eng</t>
  </si>
  <si>
    <t>828190094</t>
  </si>
  <si>
    <t>ocn828190094</t>
  </si>
  <si>
    <t>3103505869W</t>
  </si>
  <si>
    <t>9780521887670</t>
  </si>
  <si>
    <t>794940914</t>
  </si>
  <si>
    <t>P94.5 I53 A64 2012</t>
  </si>
  <si>
    <t>0                      P  0094500I  53                 A  64          2012</t>
  </si>
  <si>
    <t>American Indians and the mass media / edited by Meta G. Carstarphen and John P. Sanchez.</t>
  </si>
  <si>
    <t>Norman : University of Oklahoma Press, ©2012.</t>
  </si>
  <si>
    <t>1120947468:eng</t>
  </si>
  <si>
    <t>758973680</t>
  </si>
  <si>
    <t>ocn758973680</t>
  </si>
  <si>
    <t>3103433249G</t>
  </si>
  <si>
    <t>9780806142340</t>
  </si>
  <si>
    <t>794896743</t>
  </si>
  <si>
    <t>P94.5 I532 C2163 2017</t>
  </si>
  <si>
    <t>0                      P  0094500I  532                C  2163        2017</t>
  </si>
  <si>
    <t>We interrupt this program : indigenous media tactics in Canadian culture / Miranda J. Brady and John M.H. Kelly.</t>
  </si>
  <si>
    <t>Brady, Miranda J., author.</t>
  </si>
  <si>
    <t>Vancouver ; Toronto : UBC Press, [2017]</t>
  </si>
  <si>
    <t>4549628984:eng</t>
  </si>
  <si>
    <t>985071678</t>
  </si>
  <si>
    <t>ocn985071678</t>
  </si>
  <si>
    <t>31037297413</t>
  </si>
  <si>
    <t>9780774835084</t>
  </si>
  <si>
    <t>795035193</t>
  </si>
  <si>
    <t>P94.5 I532 C3 2010</t>
  </si>
  <si>
    <t>0                      P  0094500I  532                C  3           2010</t>
  </si>
  <si>
    <t>Indigenous screen cultures in Canada / edited by Sigurjón Baldur Hafsteinsson and Marian Bredin.</t>
  </si>
  <si>
    <t>Winnipeg : University of Manitoba Press, ©2010.</t>
  </si>
  <si>
    <t>1042642039:eng</t>
  </si>
  <si>
    <t>614855249</t>
  </si>
  <si>
    <t>ocn614855249</t>
  </si>
  <si>
    <t>3103267235$</t>
  </si>
  <si>
    <t>9780887557187</t>
  </si>
  <si>
    <t>794822620</t>
  </si>
  <si>
    <t>P94.5 J49 C66 2018</t>
  </si>
  <si>
    <t>0                      P  0094500J  49                 C  66          2018</t>
  </si>
  <si>
    <t>Connected Jews : expressions of community in analogue and digital culture / edited by Simon J. Bronner and Caspar Battegay.</t>
  </si>
  <si>
    <t>London : The Littman Library of Jewish Civilization ; Liverpool : Liverpool University Press, 2018.</t>
  </si>
  <si>
    <t>Jewish cultural studies ; volume 6</t>
  </si>
  <si>
    <t>2020-01-13</t>
  </si>
  <si>
    <t>8969976860:eng</t>
  </si>
  <si>
    <t>950745614</t>
  </si>
  <si>
    <t>ocn950745614</t>
  </si>
  <si>
    <t>9781906764869</t>
  </si>
  <si>
    <t>795016788</t>
  </si>
  <si>
    <t>P94.5 M44 B93 1998</t>
  </si>
  <si>
    <t>0                      P  0094500M  44                 B  93          1998</t>
  </si>
  <si>
    <t>Performance anxieties : re-producing masculinity / David Buchbinder.</t>
  </si>
  <si>
    <t>Buchbinder, David, 1947-</t>
  </si>
  <si>
    <t>St. Leonards, N.S.W., Australia : Allen &amp; Unwin, 1998.</t>
  </si>
  <si>
    <t>2016-09-08</t>
  </si>
  <si>
    <t>41762703:eng</t>
  </si>
  <si>
    <t>38820035</t>
  </si>
  <si>
    <t>ocm38820035</t>
  </si>
  <si>
    <t>31027432332</t>
  </si>
  <si>
    <t>9781864484250</t>
  </si>
  <si>
    <t>793530713</t>
  </si>
  <si>
    <t>P94.5 M44 M33 2003</t>
  </si>
  <si>
    <t>0                      P  0094500M  44                 M  33          2003</t>
  </si>
  <si>
    <t>Representing men : maleness and masculinity in the media / Kenneth MacKinnon.</t>
  </si>
  <si>
    <t>MacKinnon, Kenneth, 1942-</t>
  </si>
  <si>
    <t>London : Arnold, 2003.</t>
  </si>
  <si>
    <t>905373196:eng</t>
  </si>
  <si>
    <t>52056651</t>
  </si>
  <si>
    <t>ocm52056651</t>
  </si>
  <si>
    <t>31027432186</t>
  </si>
  <si>
    <t>9780340808320</t>
  </si>
  <si>
    <t>793797408</t>
  </si>
  <si>
    <t>P94.5 M44 M67 2011</t>
  </si>
  <si>
    <t>0                      P  0094500M  44                 M  67          2011</t>
  </si>
  <si>
    <t>The media and the models of masculinity / Mark Moss.</t>
  </si>
  <si>
    <t>Moss, Mark Howard, 1962-</t>
  </si>
  <si>
    <t>768696640:eng</t>
  </si>
  <si>
    <t>695683623</t>
  </si>
  <si>
    <t>ocn695683623</t>
  </si>
  <si>
    <t>3103344493Y</t>
  </si>
  <si>
    <t>9780739166253</t>
  </si>
  <si>
    <t>794858693</t>
  </si>
  <si>
    <t>P94.5 M55 D4 1978</t>
  </si>
  <si>
    <t>0                      P  0094500M  55                 D  4           1978</t>
  </si>
  <si>
    <t>Detecting prejudice : a handbook for you on discrimination in visual materials / [compiled by the Educational resource cooperative handbook editorial committee ; Junia Wilson [and others]].</t>
  </si>
  <si>
    <t>Montréal : [publisher not identified], 1978.</t>
  </si>
  <si>
    <t>5613068363:eng</t>
  </si>
  <si>
    <t>428020111</t>
  </si>
  <si>
    <t>ocn428020111</t>
  </si>
  <si>
    <t>31021884043</t>
  </si>
  <si>
    <t>794751932</t>
  </si>
  <si>
    <t>P94.5 M55 E867 2000</t>
  </si>
  <si>
    <t>0                      P  0094500M  55                 E  867         2000</t>
  </si>
  <si>
    <t>Ethnic minorities and the media : changing cultural boundaries / edited by Simon Cottle.</t>
  </si>
  <si>
    <t>Buckingham ; Philadelphia : Open University Press, 2000.</t>
  </si>
  <si>
    <t>2019-01-25</t>
  </si>
  <si>
    <t>795250605:eng</t>
  </si>
  <si>
    <t>42842386</t>
  </si>
  <si>
    <t>ocm42842386</t>
  </si>
  <si>
    <t>3102743198U</t>
  </si>
  <si>
    <t>9780335202706</t>
  </si>
  <si>
    <t>793615741</t>
  </si>
  <si>
    <t>P94.5 M55 F47 1998</t>
  </si>
  <si>
    <t>0                      P  0094500M  55                 F  47          1998</t>
  </si>
  <si>
    <t>Representing "race" : ideology, identity, and the media / Robert Ferguson.</t>
  </si>
  <si>
    <t>Ferguson, Robert, 1941-</t>
  </si>
  <si>
    <t>London ; New York : Arnold, ©1998.</t>
  </si>
  <si>
    <t>329993986:eng</t>
  </si>
  <si>
    <t>38566661</t>
  </si>
  <si>
    <t>ocm38566661</t>
  </si>
  <si>
    <t>31027432392</t>
  </si>
  <si>
    <t>9780340692387</t>
  </si>
  <si>
    <t>793527161</t>
  </si>
  <si>
    <t>P94.5 M55 M38 2011</t>
  </si>
  <si>
    <t>0                      P  0094500M  55                 M  38          2011</t>
  </si>
  <si>
    <t>Understanding ethnic media : producers, consumers, and societies / Matthew D. Matsaganis, Vikki S. Katz, Sandra J. Ball-Rokeach.</t>
  </si>
  <si>
    <t>Matsaganis, Matthew D.</t>
  </si>
  <si>
    <t>Los Angeles : SAGE, ©2011.</t>
  </si>
  <si>
    <t>796246336:eng</t>
  </si>
  <si>
    <t>464584653</t>
  </si>
  <si>
    <t>ocn464584653</t>
  </si>
  <si>
    <t>31032374544</t>
  </si>
  <si>
    <t>9781412959131</t>
  </si>
  <si>
    <t>794793279</t>
  </si>
  <si>
    <t>P94.5 M55 M44 2003</t>
  </si>
  <si>
    <t>0                      P  0094500M  55                 M  44          2003</t>
  </si>
  <si>
    <t>The media of Diaspora / edited by Karim H. Karim.</t>
  </si>
  <si>
    <t>Transnationalism. Routledge research in transnationalism ; 8</t>
  </si>
  <si>
    <t>9657910132:eng</t>
  </si>
  <si>
    <t>50417244</t>
  </si>
  <si>
    <t>ocm50417244</t>
  </si>
  <si>
    <t>31022782141</t>
  </si>
  <si>
    <t>9780415279307</t>
  </si>
  <si>
    <t>793764596</t>
  </si>
  <si>
    <t>P94.5 M55 S53 2010</t>
  </si>
  <si>
    <t>0                      P  0094500M  55                 S  53          2010</t>
  </si>
  <si>
    <t>Cultural diversity and global media : the mediation of difference / Eugenia Siapera.</t>
  </si>
  <si>
    <t>Siapera, Eugenia.</t>
  </si>
  <si>
    <t>792105197:eng</t>
  </si>
  <si>
    <t>441199482</t>
  </si>
  <si>
    <t>ocn441199482</t>
  </si>
  <si>
    <t>3103242464H</t>
  </si>
  <si>
    <t>9781405180474</t>
  </si>
  <si>
    <t>794786720</t>
  </si>
  <si>
    <t>P94.5 M55 S63 2013</t>
  </si>
  <si>
    <t>0                      P  0094500M  55                 S  63          2013</t>
  </si>
  <si>
    <t>Social Media and Minority Languages : Convergence and the Creative Industries / edited by Elin Haf Gruffydd Jones and Enrique Uribe-Jongbloed.</t>
  </si>
  <si>
    <t>Bristol ; Buffalo : MULTILINGUAL MATTERS, [2013]</t>
  </si>
  <si>
    <t>1173744728:eng</t>
  </si>
  <si>
    <t>813861635</t>
  </si>
  <si>
    <t>ocn813861635</t>
  </si>
  <si>
    <t>3103456704O</t>
  </si>
  <si>
    <t>9781847699046</t>
  </si>
  <si>
    <t>794931877</t>
  </si>
  <si>
    <t>P94.5 M552 A83 1996</t>
  </si>
  <si>
    <t>0                      P  0094500M  552                A  83          1996</t>
  </si>
  <si>
    <t>Electronic media and indigenous peoples : a voice of our own? / Donald R. Browne.</t>
  </si>
  <si>
    <t>Browne, Donald R.</t>
  </si>
  <si>
    <t>Ames : Iowa State University Press, 1996.</t>
  </si>
  <si>
    <t>329254055:eng</t>
  </si>
  <si>
    <t>34798055</t>
  </si>
  <si>
    <t>ocm34798055</t>
  </si>
  <si>
    <t>31027432098</t>
  </si>
  <si>
    <t>9780813823164</t>
  </si>
  <si>
    <t>793436206</t>
  </si>
  <si>
    <t>P94.5 M552 A837 2001</t>
  </si>
  <si>
    <t>0                      P  0094500M  552                A  837         2001</t>
  </si>
  <si>
    <t>Floating lives : the media and Asian diasporas / edited by Stuart Cunningham and John Sinclair.</t>
  </si>
  <si>
    <t>Lanham, Md. : Rowman &amp; Littlefield Publishers, ©2001.</t>
  </si>
  <si>
    <t>900451014:eng</t>
  </si>
  <si>
    <t>46359320</t>
  </si>
  <si>
    <t>ocm46359320</t>
  </si>
  <si>
    <t>31027432048</t>
  </si>
  <si>
    <t>9780742511354</t>
  </si>
  <si>
    <t>793683160</t>
  </si>
  <si>
    <t>P94.5 M552 C25 1997</t>
  </si>
  <si>
    <t>0                      P  0094500M  552                C  25          1997</t>
  </si>
  <si>
    <t>The mass media and Canadian diversity / edited by Stephen E. Nancoo, Robert Sterling Nancoo.</t>
  </si>
  <si>
    <t>Mississauga : Canadian Educators' Press, 1996.</t>
  </si>
  <si>
    <t>2015-11-14</t>
  </si>
  <si>
    <t>3769448236:eng</t>
  </si>
  <si>
    <t>37213526</t>
  </si>
  <si>
    <t>ocm37213526</t>
  </si>
  <si>
    <t>3102743199U</t>
  </si>
  <si>
    <t>9781896191041</t>
  </si>
  <si>
    <t>793493417</t>
  </si>
  <si>
    <t>P94.5 M552 C33 2001</t>
  </si>
  <si>
    <t>0                      P  0094500M  552                C  33          2001</t>
  </si>
  <si>
    <t>Media and minorities : representing diversity in a multicultural Canada / Augie Fleras and Jean Lock Kunz.</t>
  </si>
  <si>
    <t>Fleras, Augie, 1947-</t>
  </si>
  <si>
    <t>Toronto : Thompson Educational, ©2001.</t>
  </si>
  <si>
    <t>35969738:eng</t>
  </si>
  <si>
    <t>46628171</t>
  </si>
  <si>
    <t>ocm46628171</t>
  </si>
  <si>
    <t>3103041551W</t>
  </si>
  <si>
    <t>9781550771237</t>
  </si>
  <si>
    <t>793687969</t>
  </si>
  <si>
    <t>2017-03-31</t>
  </si>
  <si>
    <t>31027432400</t>
  </si>
  <si>
    <t>793687970</t>
  </si>
  <si>
    <t>P94.5 M552 C334 2011</t>
  </si>
  <si>
    <t>0                      P  0094500M  552                C  334         2011</t>
  </si>
  <si>
    <t>The media gaze : representations of diversities in Canada / Augie Fleras.</t>
  </si>
  <si>
    <t>Vancouver : UBC Press, c2011.</t>
  </si>
  <si>
    <t>908580862:eng</t>
  </si>
  <si>
    <t>729990552</t>
  </si>
  <si>
    <t>ocn729990552</t>
  </si>
  <si>
    <t>3103325967V</t>
  </si>
  <si>
    <t>9780774821360</t>
  </si>
  <si>
    <t>794879760</t>
  </si>
  <si>
    <t>P94.5 M552 C337 2016</t>
  </si>
  <si>
    <t>0                      P  0094500M  552                C  337         2016</t>
  </si>
  <si>
    <t>Framed : media and the coverage of race in Canadian politics / Erin Tolley.</t>
  </si>
  <si>
    <t>Tolley, Erin, author.</t>
  </si>
  <si>
    <t>Vancouver ; Toronto : UBC Press, [2016]</t>
  </si>
  <si>
    <t>Communication, strategy, and politics</t>
  </si>
  <si>
    <t>2018-11-29</t>
  </si>
  <si>
    <t>2584452246:eng</t>
  </si>
  <si>
    <t>907657460</t>
  </si>
  <si>
    <t>ocn907657460</t>
  </si>
  <si>
    <t>3103644750M</t>
  </si>
  <si>
    <t>9780774831239</t>
  </si>
  <si>
    <t>794993746</t>
  </si>
  <si>
    <t>P94.5 M552 F54 2011</t>
  </si>
  <si>
    <t>0                      P  0094500M  552                F  54          2011</t>
  </si>
  <si>
    <t>Conditionally one of "us" : a study of print media, minorities and positioning practices / Camilla Haavisto.</t>
  </si>
  <si>
    <t>Haavisto, Camilla, 1978- author.</t>
  </si>
  <si>
    <t>Helsinki : Research Institute, Swedish School of Social Science, University of Helsinki, 2011.</t>
  </si>
  <si>
    <t>SSKH skrifter ; no 30</t>
  </si>
  <si>
    <t>1178383005:eng</t>
  </si>
  <si>
    <t>863052621</t>
  </si>
  <si>
    <t>ocn863052621</t>
  </si>
  <si>
    <t>3103708840I</t>
  </si>
  <si>
    <t>9789521052170</t>
  </si>
  <si>
    <t>794960836</t>
  </si>
  <si>
    <t>P94.5 M552 G74 2011</t>
  </si>
  <si>
    <t>0                      P  0094500M  552                G  74          2011</t>
  </si>
  <si>
    <t>Postcolonial media culture in Britain / edited by Rosalind Brunt, Rinella Cere.</t>
  </si>
  <si>
    <t>New York : Palgrave Macmillan, ©2011.</t>
  </si>
  <si>
    <t>2013-11-01</t>
  </si>
  <si>
    <t>573612303:eng</t>
  </si>
  <si>
    <t>701242238</t>
  </si>
  <si>
    <t>ocn701242238</t>
  </si>
  <si>
    <t>3103341377G</t>
  </si>
  <si>
    <t>9780230545311</t>
  </si>
  <si>
    <t>794862678</t>
  </si>
  <si>
    <t>P94.5 M552 I7533 2006</t>
  </si>
  <si>
    <t>0                      P  0094500M  552                I  7533        2006</t>
  </si>
  <si>
    <t>Media, minorities, and hybrid identities : the Arab and Russian communities in Israel / Hanna Adoni, Dan Caspi, Akiba A. Cohen.</t>
  </si>
  <si>
    <t>Adoni, Hanna.</t>
  </si>
  <si>
    <t>Cresskill, N.J. : Hampton Press, ©2006.</t>
  </si>
  <si>
    <t>368600288:eng</t>
  </si>
  <si>
    <t>64065966</t>
  </si>
  <si>
    <t>ocm64065966</t>
  </si>
  <si>
    <t>3102590598H</t>
  </si>
  <si>
    <t>9781572737006</t>
  </si>
  <si>
    <t>794123781</t>
  </si>
  <si>
    <t>P94.5 M552 I7545 2009</t>
  </si>
  <si>
    <t>0                      P  0094500M  552                I  7545        2009</t>
  </si>
  <si>
    <t>The Arab public sphere in Israel : media space and cultural resistance / Amal Jamal.</t>
  </si>
  <si>
    <t>Jamal, Amal (Professor of political science)</t>
  </si>
  <si>
    <t>Bloomington : Indiana University Press, ©2009.</t>
  </si>
  <si>
    <t>Indiana series in Middle East studies</t>
  </si>
  <si>
    <t>2015-03-29</t>
  </si>
  <si>
    <t>797257143:eng</t>
  </si>
  <si>
    <t>313659299</t>
  </si>
  <si>
    <t>ocn313659299</t>
  </si>
  <si>
    <t>31031114469</t>
  </si>
  <si>
    <t>9780253353863</t>
  </si>
  <si>
    <t>794438013</t>
  </si>
  <si>
    <t>P94.5 M552 I7564 2014</t>
  </si>
  <si>
    <t>0                      P  0094500M  552                I  7564        2014</t>
  </si>
  <si>
    <t>Media and ethnic minorities in the Holy Land / edited by Dan Caspi and Nelly Elias.</t>
  </si>
  <si>
    <t>London : Vallentine Mitchell, 2014.</t>
  </si>
  <si>
    <t>1413481071:eng</t>
  </si>
  <si>
    <t>862101178</t>
  </si>
  <si>
    <t>ocn862101178</t>
  </si>
  <si>
    <t>3103530225Q</t>
  </si>
  <si>
    <t>9780853038979</t>
  </si>
  <si>
    <t>794960061</t>
  </si>
  <si>
    <t>P94.5 M552 U625 2015</t>
  </si>
  <si>
    <t>0                      P  0094500M  552                U  625         2015</t>
  </si>
  <si>
    <t>Racism in American popular media : from Aunt Jemima to the Frito Bandito / Brian D. Behnken and Gregory D. Smithers.</t>
  </si>
  <si>
    <t>Behnken, Brian D., author.</t>
  </si>
  <si>
    <t>Santa Barbara, California : Praeger, an imprint of ABC-CLIO, LLC, [2015]</t>
  </si>
  <si>
    <t>Racism in American institutions</t>
  </si>
  <si>
    <t>2018-04-02</t>
  </si>
  <si>
    <t>1907803238:eng</t>
  </si>
  <si>
    <t>881400738</t>
  </si>
  <si>
    <t>ocn881400738</t>
  </si>
  <si>
    <t>3103612057R</t>
  </si>
  <si>
    <t>9781440829765</t>
  </si>
  <si>
    <t>794974290</t>
  </si>
  <si>
    <t>P94.5 M552 U634 1998</t>
  </si>
  <si>
    <t>0                      P  0094500M  552                U  634         1998</t>
  </si>
  <si>
    <t>Whitewash : racialized politics and the media / John Gabriel.</t>
  </si>
  <si>
    <t>Gabriel, John, 1951-</t>
  </si>
  <si>
    <t>800025742:eng</t>
  </si>
  <si>
    <t>37820047</t>
  </si>
  <si>
    <t>ocm37820047</t>
  </si>
  <si>
    <t>31027432204</t>
  </si>
  <si>
    <t>9780415149709</t>
  </si>
  <si>
    <t>793507801</t>
  </si>
  <si>
    <t>P94.5 M552 U6467 2003</t>
  </si>
  <si>
    <t>0                      P  0094500M  552                U  6467        2003</t>
  </si>
  <si>
    <t>The mass media and the dynamics of American racial attitudes / Paul M. Kellstedt.</t>
  </si>
  <si>
    <t>Kellstedt, Paul M., 1968-</t>
  </si>
  <si>
    <t>708339:eng</t>
  </si>
  <si>
    <t>51210359</t>
  </si>
  <si>
    <t>ocm51210359</t>
  </si>
  <si>
    <t>31027432156</t>
  </si>
  <si>
    <t>9780521821711</t>
  </si>
  <si>
    <t>793780423</t>
  </si>
  <si>
    <t>P94.5 M552 U652 2011</t>
  </si>
  <si>
    <t>0                      P  0094500M  552                U  652         2011</t>
  </si>
  <si>
    <t>Racial spectacles : explorations in media, race, and justice / Jonathan Markovitz.</t>
  </si>
  <si>
    <t>Markovitz, Jonathan.</t>
  </si>
  <si>
    <t>901548322:eng</t>
  </si>
  <si>
    <t>651914893</t>
  </si>
  <si>
    <t>ocn651914893</t>
  </si>
  <si>
    <t>3103364454W</t>
  </si>
  <si>
    <t>9780415883450</t>
  </si>
  <si>
    <t>794833182</t>
  </si>
  <si>
    <t>P94.5 M552 U655 2011</t>
  </si>
  <si>
    <t>0                      P  0094500M  552                U  655         2011</t>
  </si>
  <si>
    <t>Media, minorities, and meaning : a critical introduction / Debra L. Merskin.</t>
  </si>
  <si>
    <t>Merskin, Debra L.</t>
  </si>
  <si>
    <t>616682453:eng</t>
  </si>
  <si>
    <t>662152828</t>
  </si>
  <si>
    <t>ocn662152828</t>
  </si>
  <si>
    <t>3103324427L</t>
  </si>
  <si>
    <t>9781433111402</t>
  </si>
  <si>
    <t>794837104</t>
  </si>
  <si>
    <t>P94.5 M552 U668 2013</t>
  </si>
  <si>
    <t>0                      P  0094500M  552                U  668         2013</t>
  </si>
  <si>
    <t>Bell Hooks : a critical introduction to media and communication theory / Catherine R. Squires.</t>
  </si>
  <si>
    <t>Squires, Catherine R., 1972-</t>
  </si>
  <si>
    <t>A critical introduction to media and communication theory ; vol. 8</t>
  </si>
  <si>
    <t>1436848192:eng</t>
  </si>
  <si>
    <t>818659522</t>
  </si>
  <si>
    <t>ocn818659522</t>
  </si>
  <si>
    <t>31035291170</t>
  </si>
  <si>
    <t>9781433115875</t>
  </si>
  <si>
    <t>794934070</t>
  </si>
  <si>
    <t>P94.5 M552 U69 1985</t>
  </si>
  <si>
    <t>0                      P  0094500M  552                U  69          1985</t>
  </si>
  <si>
    <t>Minorities and media : diversity and the end of mass communication / Clint C. Wilson II, Félix Gutiérrez.</t>
  </si>
  <si>
    <t>Wilson, Clint C., II.</t>
  </si>
  <si>
    <t>Beverly Hills : Sage Publications, ©1985.</t>
  </si>
  <si>
    <t>2016-11-05</t>
  </si>
  <si>
    <t>2863466712:eng</t>
  </si>
  <si>
    <t>11841731</t>
  </si>
  <si>
    <t>ocm11841731</t>
  </si>
  <si>
    <t>31030387219</t>
  </si>
  <si>
    <t>9780803924543</t>
  </si>
  <si>
    <t>792790445</t>
  </si>
  <si>
    <t>P94.5 M552 U69 1995</t>
  </si>
  <si>
    <t>0                      P  0094500M  552                U  69          1995</t>
  </si>
  <si>
    <t>Race, multiculturalism, and the media : from mass to class communication / Clint C. Wilson II, Félix Gutiérrez.</t>
  </si>
  <si>
    <t>806464282:eng</t>
  </si>
  <si>
    <t>32385146</t>
  </si>
  <si>
    <t>ocm32385146</t>
  </si>
  <si>
    <t>31027432410</t>
  </si>
  <si>
    <t>9780803946286</t>
  </si>
  <si>
    <t>793382408</t>
  </si>
  <si>
    <t>P94.5 M552 U69 2003</t>
  </si>
  <si>
    <t>0                      P  0094500M  552                U  69          2003</t>
  </si>
  <si>
    <t>Racism, sexism, and the media : the rise of class communication in multicultural America / Clint C. Wilson, Félix Gutiérrez, Lena M. Chao.</t>
  </si>
  <si>
    <t>Wilson, Clint C., II, author.</t>
  </si>
  <si>
    <t>Thousand Oaks, Calif. : Sage Publications, ©2003.</t>
  </si>
  <si>
    <t>755348:eng</t>
  </si>
  <si>
    <t>51944359</t>
  </si>
  <si>
    <t>ocm51944359</t>
  </si>
  <si>
    <t>31027432362</t>
  </si>
  <si>
    <t>9780761925163</t>
  </si>
  <si>
    <t>793795032</t>
  </si>
  <si>
    <t>P94.5 M552 U69 2013</t>
  </si>
  <si>
    <t>0                      P  0094500M  552                U  69          2013</t>
  </si>
  <si>
    <t>Racism, sexism, and the media : multicultural issues into the new communications age / Clint C. Wilson II, Félix Gutiérrez, and Lena M. Chao.</t>
  </si>
  <si>
    <t>Thousand Oaks [Calif.] : SAGE Publications, ©2013.</t>
  </si>
  <si>
    <t>1183283880:eng</t>
  </si>
  <si>
    <t>794032641</t>
  </si>
  <si>
    <t>ocn794032641</t>
  </si>
  <si>
    <t>3103468704B</t>
  </si>
  <si>
    <t>9781452217512</t>
  </si>
  <si>
    <t>794918991</t>
  </si>
  <si>
    <t>P94.5 M67 P43 2010</t>
  </si>
  <si>
    <t>0                      P  0094500M  67                 P  43          2010</t>
  </si>
  <si>
    <t>Peculiar portrayals : Mormons on the page, stage, and screen / edited by Mark T. Decker and Michael Austin.</t>
  </si>
  <si>
    <t>Logan, Utah : Utah State University Press, ©2010.</t>
  </si>
  <si>
    <t>919139564:eng</t>
  </si>
  <si>
    <t>468973611</t>
  </si>
  <si>
    <t>ocn468973611</t>
  </si>
  <si>
    <t>3103243091J</t>
  </si>
  <si>
    <t>9780874217735</t>
  </si>
  <si>
    <t>794795590</t>
  </si>
  <si>
    <t>P94.5 P46 M38 2019</t>
  </si>
  <si>
    <t>0                      P  0094500P  46                 M  38          2019</t>
  </si>
  <si>
    <t>The matter of disability : materiality, biopolitics, crip affect / David T. Mitchell, Susan Antebi, and Sharon L. Snyder, editors.</t>
  </si>
  <si>
    <t>Ann Arbor : University of Michigan Press, 2019.</t>
  </si>
  <si>
    <t>2019</t>
  </si>
  <si>
    <t>Corporealities: discourses of disability</t>
  </si>
  <si>
    <t>2019-08-22</t>
  </si>
  <si>
    <t>8936671039:eng</t>
  </si>
  <si>
    <t>1055263568</t>
  </si>
  <si>
    <t>on1055263568</t>
  </si>
  <si>
    <t>31038770317</t>
  </si>
  <si>
    <t>9780472054114</t>
  </si>
  <si>
    <t>795063296</t>
  </si>
  <si>
    <t>P94.5 S26 S2937 1999</t>
  </si>
  <si>
    <t>0                      P  0094500S  26                 S  2937        1999</t>
  </si>
  <si>
    <t>Sami and Greenlandic media / edited by Frank Horn.</t>
  </si>
  <si>
    <t>Rovaniemi : Northern Institute for Environmental and Minority Law, University of Lapland, 1999.</t>
  </si>
  <si>
    <t>Juridica Lapponica, 0783-4144 ; no. 22</t>
  </si>
  <si>
    <t>478409880:eng</t>
  </si>
  <si>
    <t>51512421</t>
  </si>
  <si>
    <t>ocm51512421</t>
  </si>
  <si>
    <t>31027432264</t>
  </si>
  <si>
    <t>9789516347090</t>
  </si>
  <si>
    <t>793785824</t>
  </si>
  <si>
    <t>P94.5 T43 U55 2013</t>
  </si>
  <si>
    <t>0                      P  0094500T  43                 U  55          2013</t>
  </si>
  <si>
    <t>L'universitaire et les médias, une collaboration risquée mais nécessaire / sous la direction de Alain Létourneau.</t>
  </si>
  <si>
    <t>Montréal : Liber, ©2013.</t>
  </si>
  <si>
    <t>1206458853:fre</t>
  </si>
  <si>
    <t>833208631</t>
  </si>
  <si>
    <t>ocn833208631</t>
  </si>
  <si>
    <t>31034234897</t>
  </si>
  <si>
    <t>9782895783602</t>
  </si>
  <si>
    <t>794944086</t>
  </si>
  <si>
    <t>P94.5 W65 B56 2004</t>
  </si>
  <si>
    <t>0                      P  0094500W  65                 B  56          2004</t>
  </si>
  <si>
    <t>Gender, modernity, and the popular press in inter-war Britain / Adrian Bingham.</t>
  </si>
  <si>
    <t>Bingham, Adrian.</t>
  </si>
  <si>
    <t>Oxford : Clarendon ; Oxford ; New York : Oxford University Press, 2004.</t>
  </si>
  <si>
    <t>Oxford historical monographs</t>
  </si>
  <si>
    <t>892532:eng</t>
  </si>
  <si>
    <t>56093406</t>
  </si>
  <si>
    <t>ocm56093406</t>
  </si>
  <si>
    <t>31027432068</t>
  </si>
  <si>
    <t>9780199272471</t>
  </si>
  <si>
    <t>793887594</t>
  </si>
  <si>
    <t>P94.5 W65 C465 2012</t>
  </si>
  <si>
    <t>0                      P  0094500W  65                 C  465         2012</t>
  </si>
  <si>
    <t>Challenging images of women in the media : reinventing women's lives / edited by Theresa Carilli and Jane Campbell.</t>
  </si>
  <si>
    <t>Lanham, Md. : Lexington Books, ©2012.</t>
  </si>
  <si>
    <t>2016-03-23</t>
  </si>
  <si>
    <t>1107204898:eng</t>
  </si>
  <si>
    <t>793224297</t>
  </si>
  <si>
    <t>ocn793224297</t>
  </si>
  <si>
    <t>31034148268</t>
  </si>
  <si>
    <t>9780739176986</t>
  </si>
  <si>
    <t>794917889</t>
  </si>
  <si>
    <t>P94.5 W65 C677 2004</t>
  </si>
  <si>
    <t>0                      P  0094500W  65                 C  677         2004</t>
  </si>
  <si>
    <t>The spectacular modern woman : feminine visibility in the 1920s / Liz Conor.</t>
  </si>
  <si>
    <t>Conor, Liz, 1966-</t>
  </si>
  <si>
    <t>Bloomington : Indiana University Press, ©2004.</t>
  </si>
  <si>
    <t>2016-12-16</t>
  </si>
  <si>
    <t>199039940:eng</t>
  </si>
  <si>
    <t>53223617</t>
  </si>
  <si>
    <t>ocm53223617</t>
  </si>
  <si>
    <t>31027432018</t>
  </si>
  <si>
    <t>9780253343918</t>
  </si>
  <si>
    <t>793824022</t>
  </si>
  <si>
    <t>P94.5 W65 E54 2012</t>
  </si>
  <si>
    <t>0                      P  0094500W  65                 E  54          2012</t>
  </si>
  <si>
    <t>The bride factory : mass media portrayals of women and weddings / Erika Engstrom.</t>
  </si>
  <si>
    <t>Engstrom, Erika, 1964-</t>
  </si>
  <si>
    <t>2017-05-03</t>
  </si>
  <si>
    <t>1044572450:eng</t>
  </si>
  <si>
    <t>761334852</t>
  </si>
  <si>
    <t>ocn761334852</t>
  </si>
  <si>
    <t>3103422118Y</t>
  </si>
  <si>
    <t>9781433117466</t>
  </si>
  <si>
    <t>794899163</t>
  </si>
  <si>
    <t>P94.5 W65 F42 2005</t>
  </si>
  <si>
    <t>0                      P  0094500W  65                 F  42          2005</t>
  </si>
  <si>
    <t>Featuring females : feminist analyses of media / edited by Ellen Cole and Jessica Henderson Daniel.</t>
  </si>
  <si>
    <t>Washington, DC : American Psychological Association, [2005]</t>
  </si>
  <si>
    <t>Psychology of women book series</t>
  </si>
  <si>
    <t>905874874:eng</t>
  </si>
  <si>
    <t>57754311</t>
  </si>
  <si>
    <t>ocm57754311</t>
  </si>
  <si>
    <t>31031471976</t>
  </si>
  <si>
    <t>9781591472780</t>
  </si>
  <si>
    <t>793919012</t>
  </si>
  <si>
    <t>P94.5 W65 F45 1995</t>
  </si>
  <si>
    <t>0                      P  0094500W  65                 F  45          1995</t>
  </si>
  <si>
    <t>Feminism, multiculturalism, and the media : global diversities / edited by Angharad N. Valdivia.</t>
  </si>
  <si>
    <t>2017-01-25</t>
  </si>
  <si>
    <t>505573766:eng</t>
  </si>
  <si>
    <t>32200195</t>
  </si>
  <si>
    <t>ocm32200195</t>
  </si>
  <si>
    <t>3102743267X</t>
  </si>
  <si>
    <t>9780803957749</t>
  </si>
  <si>
    <t>793377861</t>
  </si>
  <si>
    <t>P94.5 W65 I56 1999</t>
  </si>
  <si>
    <t>0                      P  0094500W  65                 I  56          1999</t>
  </si>
  <si>
    <t>Tough girls : women warriors and wonder women in popular culture / Sherrie A. Inness.</t>
  </si>
  <si>
    <t>Inness, Sherrie A., author.</t>
  </si>
  <si>
    <t>Philadelphia : University of Pennsylvania Press, [1999]</t>
  </si>
  <si>
    <t>370746917:eng</t>
  </si>
  <si>
    <t>39060598</t>
  </si>
  <si>
    <t>ocm39060598</t>
  </si>
  <si>
    <t>3102743252Z</t>
  </si>
  <si>
    <t>9780812234664</t>
  </si>
  <si>
    <t>793537023</t>
  </si>
  <si>
    <t>P94.5 W65 K38 2007</t>
  </si>
  <si>
    <t>0                      P  0094500W  65                 K  38          2007</t>
  </si>
  <si>
    <t>Women and media : changing roles, struggle and impact / by Pooja Kataria.</t>
  </si>
  <si>
    <t>Kataria, Pooja.</t>
  </si>
  <si>
    <t>New Delhi : Regal Publications, ©2007.</t>
  </si>
  <si>
    <t>2016-05-08</t>
  </si>
  <si>
    <t>122854601:eng</t>
  </si>
  <si>
    <t>197305751</t>
  </si>
  <si>
    <t>ocn197305751</t>
  </si>
  <si>
    <t>3102898215T</t>
  </si>
  <si>
    <t>9788189915483</t>
  </si>
  <si>
    <t>794304440</t>
  </si>
  <si>
    <t>P94.5 W65 L57 2010</t>
  </si>
  <si>
    <t>0                      P  0094500W  65                 L  57          2010</t>
  </si>
  <si>
    <t>Shi shang za zhi yu zhong chan jie ji nü xing shen fen : yi "shi jie shi zhuang zhi yuan - ELLE" wei ge an / Liu Fang zhu.</t>
  </si>
  <si>
    <t>Liu, Fang, 1964-</t>
  </si>
  <si>
    <t>Beijing : Jiu zhou chu ban she, 2010.</t>
  </si>
  <si>
    <t>Xin sheng dai nü xing zhu yi xue shu lun cong ; 7 = Series books of feminist studies by new generation ; 7</t>
  </si>
  <si>
    <t>2015-02-14</t>
  </si>
  <si>
    <t>763123938:chi</t>
  </si>
  <si>
    <t>690509598</t>
  </si>
  <si>
    <t>ocn690509598</t>
  </si>
  <si>
    <t>3103316039S</t>
  </si>
  <si>
    <t>9787510803444</t>
  </si>
  <si>
    <t>794855448</t>
  </si>
  <si>
    <t>P94.5 W65 L66 1995</t>
  </si>
  <si>
    <t>0                      P  0094500W  65                 L  66          1995</t>
  </si>
  <si>
    <t>Women and media : content, careers, and criticism / Cynthia M. Lont.</t>
  </si>
  <si>
    <t>Lont, Cynthia M.</t>
  </si>
  <si>
    <t>Belmont, CA : Wadsworth Pub. Co., ©1995.</t>
  </si>
  <si>
    <t>2019-07-10</t>
  </si>
  <si>
    <t>836962204:eng</t>
  </si>
  <si>
    <t>31207007</t>
  </si>
  <si>
    <t>ocm31207007</t>
  </si>
  <si>
    <t>3102683252L</t>
  </si>
  <si>
    <t>9780534247324</t>
  </si>
  <si>
    <t>793355903</t>
  </si>
  <si>
    <t>P94.5 W65 R84 2012</t>
  </si>
  <si>
    <t>0                      P  0094500W  65                 R  84          2012</t>
  </si>
  <si>
    <t>Media depictions of brides, wives, and mothers / edited by Alena Amato Ruggerio.</t>
  </si>
  <si>
    <t>2015-03-08</t>
  </si>
  <si>
    <t>1185186564:eng</t>
  </si>
  <si>
    <t>798060234</t>
  </si>
  <si>
    <t>ocn798060234</t>
  </si>
  <si>
    <t>3103413918B</t>
  </si>
  <si>
    <t>9780739177082</t>
  </si>
  <si>
    <t>794923121</t>
  </si>
  <si>
    <t>P94.5 W65 T46 2007</t>
  </si>
  <si>
    <t>0                      P  0094500W  65                 T  46          2007</t>
  </si>
  <si>
    <t>Women, feminism and media / Sue Thornham.</t>
  </si>
  <si>
    <t>Thornham, Sue.</t>
  </si>
  <si>
    <t>Edinburgh : Edinburgh University Press, ©2007.</t>
  </si>
  <si>
    <t>Media topics</t>
  </si>
  <si>
    <t>70001602:eng</t>
  </si>
  <si>
    <t>86167663</t>
  </si>
  <si>
    <t>ocm86167663</t>
  </si>
  <si>
    <t>3102570938R</t>
  </si>
  <si>
    <t>9780748620715</t>
  </si>
  <si>
    <t>794218761</t>
  </si>
  <si>
    <t>P94.5 W65 W6 1980</t>
  </si>
  <si>
    <t>0                      P  0094500W  65                 W  6           1980</t>
  </si>
  <si>
    <t>Women and media / edited by Helen Baehr.</t>
  </si>
  <si>
    <t>Oxford ; New York : Pergamon Press, 1980.</t>
  </si>
  <si>
    <t>54431364:eng</t>
  </si>
  <si>
    <t>7206902</t>
  </si>
  <si>
    <t>ocm07206902</t>
  </si>
  <si>
    <t>3000968452B</t>
  </si>
  <si>
    <t>9780080260617</t>
  </si>
  <si>
    <t>792546441</t>
  </si>
  <si>
    <t>2002-06-26</t>
  </si>
  <si>
    <t>3000325971V</t>
  </si>
  <si>
    <t>792546440</t>
  </si>
  <si>
    <t>P94.5 W65 W657 2005</t>
  </si>
  <si>
    <t>0                      P  0094500W  65                 W  657         2005</t>
  </si>
  <si>
    <t>Women and the media : diverse perspectives / edited by Theresa Carilli, Jane Campbell.</t>
  </si>
  <si>
    <t>Lanham, Md. : University Press of America, ©2005.</t>
  </si>
  <si>
    <t>2018-02-22</t>
  </si>
  <si>
    <t>796518576:eng</t>
  </si>
  <si>
    <t>60384940</t>
  </si>
  <si>
    <t>ocm60384940</t>
  </si>
  <si>
    <t>3102503141Z</t>
  </si>
  <si>
    <t>9780761830405</t>
  </si>
  <si>
    <t>793936779</t>
  </si>
  <si>
    <t>P94.5 W65 W659 2012</t>
  </si>
  <si>
    <t>0                      P  0094500W  65                 W  659         2012</t>
  </si>
  <si>
    <t>Women and the media in Asia : the precarious self / edited by Youna Kim.</t>
  </si>
  <si>
    <t>1083641970:eng</t>
  </si>
  <si>
    <t>779244375</t>
  </si>
  <si>
    <t>ocn779244375</t>
  </si>
  <si>
    <t>31034228633</t>
  </si>
  <si>
    <t>9780230292727</t>
  </si>
  <si>
    <t>794910591</t>
  </si>
  <si>
    <t>P94.5 W65 W66 2005</t>
  </si>
  <si>
    <t>0                      P  0094500W  65                 W  66          2005</t>
  </si>
  <si>
    <t>31025812018</t>
  </si>
  <si>
    <t>793936780</t>
  </si>
  <si>
    <t>P94.5 W65 W667 1996</t>
  </si>
  <si>
    <t>0                      P  0094500W  65                 W  667         1996</t>
  </si>
  <si>
    <t>Women in communication : a biographical sourcebook / edited by Nancy Signorielli ; foreword by Alan M. Rubin.</t>
  </si>
  <si>
    <t>Westport, Connecticut : Greenwood Press, 1996.</t>
  </si>
  <si>
    <t>837044087:eng</t>
  </si>
  <si>
    <t>34046784</t>
  </si>
  <si>
    <t>ocm34046784</t>
  </si>
  <si>
    <t>3101723983P</t>
  </si>
  <si>
    <t>9780313291647</t>
  </si>
  <si>
    <t>793417177</t>
  </si>
  <si>
    <t>P94.5 W65 W68 1992</t>
  </si>
  <si>
    <t>0                      P  0094500W  65                 W  68          1992</t>
  </si>
  <si>
    <t>Women making meaning : new feminist directions in communication / edited by Lana F. Rakow.</t>
  </si>
  <si>
    <t>New York ; London : Routledge, 1992.</t>
  </si>
  <si>
    <t>836877121:eng</t>
  </si>
  <si>
    <t>25410496</t>
  </si>
  <si>
    <t>ocm25410496</t>
  </si>
  <si>
    <t>3103099200V</t>
  </si>
  <si>
    <t>9780415906296</t>
  </si>
  <si>
    <t>793219962</t>
  </si>
  <si>
    <t>3101165821M</t>
  </si>
  <si>
    <t>793219963</t>
  </si>
  <si>
    <t>P94.5 W65 W686 1993</t>
  </si>
  <si>
    <t>0                      P  0094500W  65                 W  686         1993</t>
  </si>
  <si>
    <t>Women's power and roles as portrayed in visual images of women in the arts and mass media / edited by Valerie Malhotra Bentz and Philip E.F. Mayes.</t>
  </si>
  <si>
    <t>Lewiston, NY : E. Mellen Press, ©1993.</t>
  </si>
  <si>
    <t>142803:eng</t>
  </si>
  <si>
    <t>28549772</t>
  </si>
  <si>
    <t>ocm28549772</t>
  </si>
  <si>
    <t>3102882941V</t>
  </si>
  <si>
    <t>9780773493292</t>
  </si>
  <si>
    <t>793290758</t>
  </si>
  <si>
    <t>P94.5 W65 Z446 2010</t>
  </si>
  <si>
    <t>0                      P  0094500W  65                 Z  446         2010</t>
  </si>
  <si>
    <t>Nü xing zhu yi mei jie pi ping / Zhang Jingjie zhu.</t>
  </si>
  <si>
    <t>Zhang, Jingjie, 1979-</t>
  </si>
  <si>
    <t>Xin sheng dai nü xing zhu yi xue shu lun cong ; 8 = Series books of feminist studies by new generation ; 8</t>
  </si>
  <si>
    <t>9323246034:chi</t>
  </si>
  <si>
    <t>690509599</t>
  </si>
  <si>
    <t>ocn690509599</t>
  </si>
  <si>
    <t>3103316044Q</t>
  </si>
  <si>
    <t>794855449</t>
  </si>
  <si>
    <t>P94.5 W65 Z6 1994</t>
  </si>
  <si>
    <t>0                      P  0094500W  65                 Z  6           1994</t>
  </si>
  <si>
    <t>Feminist media studies / Liesbet van Zoonen.</t>
  </si>
  <si>
    <t>Zoonen, Liesbet van, 1959-</t>
  </si>
  <si>
    <t>London ; Thousand Oaks, CA : Sage, 1994.</t>
  </si>
  <si>
    <t>6728515:eng</t>
  </si>
  <si>
    <t>30777085</t>
  </si>
  <si>
    <t>ocm30777085</t>
  </si>
  <si>
    <t>31013129149</t>
  </si>
  <si>
    <t>9780803985537</t>
  </si>
  <si>
    <t>793344594</t>
  </si>
  <si>
    <t>31027684167</t>
  </si>
  <si>
    <t>793344595</t>
  </si>
  <si>
    <t>P94.5 W652 A783 2008</t>
  </si>
  <si>
    <t>0                      P  0094500W  652                A  783         2008</t>
  </si>
  <si>
    <t>Commercializing women : images of Asian women in the media / edited by Katherine T. Frith, Kavita Karan.</t>
  </si>
  <si>
    <t>Cresskill, N.J. : Hampton Press, ©2008.</t>
  </si>
  <si>
    <t>477186663:eng</t>
  </si>
  <si>
    <t>225852418</t>
  </si>
  <si>
    <t>ocn225852418</t>
  </si>
  <si>
    <t>3102975445X</t>
  </si>
  <si>
    <t>9781572738522</t>
  </si>
  <si>
    <t>794342666</t>
  </si>
  <si>
    <t>P94.5 W652 C32 2011</t>
  </si>
  <si>
    <t>0                      P  0094500W  652                C  32          2011</t>
  </si>
  <si>
    <t>Beyond bylines : media workers and women's rights in Canada / Barbara M. Freeman.</t>
  </si>
  <si>
    <t>Freeman, Barbara M., 1947-</t>
  </si>
  <si>
    <t>Waterloo, Ont. : Wilfrid Laurier University Press, ©2011.</t>
  </si>
  <si>
    <t>Film and media studies series</t>
  </si>
  <si>
    <t>2016-04-14</t>
  </si>
  <si>
    <t>902768735:eng</t>
  </si>
  <si>
    <t>726556289</t>
  </si>
  <si>
    <t>ocn726556289</t>
  </si>
  <si>
    <t>3103325945Z</t>
  </si>
  <si>
    <t>9781554583034</t>
  </si>
  <si>
    <t>794877188</t>
  </si>
  <si>
    <t>P94.5 W652 C37 2008</t>
  </si>
  <si>
    <t>0                      P  0094500W  652                C  37          2008</t>
  </si>
  <si>
    <t>Le sexe dans les médias : obstacle aux rapports égalitaires / [recherche et rédaction, Ginette Plamondon].</t>
  </si>
  <si>
    <t>Plamondon, Ginette, 1959-</t>
  </si>
  <si>
    <t>Québec : Conseil du statut de la femme, [2008]</t>
  </si>
  <si>
    <t>Avis du Conseil du statut de la femme</t>
  </si>
  <si>
    <t>8908464650:fre</t>
  </si>
  <si>
    <t>300278557</t>
  </si>
  <si>
    <t>ocn300278557</t>
  </si>
  <si>
    <t>3103223293N</t>
  </si>
  <si>
    <t>9782550531807</t>
  </si>
  <si>
    <t>794431164</t>
  </si>
  <si>
    <t>P94.5 W652 J38 1995</t>
  </si>
  <si>
    <t>0                      P  0094500W  652                J  38          1995</t>
  </si>
  <si>
    <t>Women, media, and consumption in Japan / Lise Skov and Brian Moeran, editors.</t>
  </si>
  <si>
    <t>Honolulu : University of Hawai'i Press, ©1995.</t>
  </si>
  <si>
    <t>349995903:eng</t>
  </si>
  <si>
    <t>32547498</t>
  </si>
  <si>
    <t>ocm32547498</t>
  </si>
  <si>
    <t>3102743284T</t>
  </si>
  <si>
    <t>9780824817756</t>
  </si>
  <si>
    <t>793387137</t>
  </si>
  <si>
    <t>P94.5 W652 M43 2012</t>
  </si>
  <si>
    <t>0                      P  0094500W  652                M  43          2012</t>
  </si>
  <si>
    <t>Media to jendā / Kunihiro Yōko, Tōkyō Joshi Daigaku Joseigaku Kenkyūjo hen.</t>
  </si>
  <si>
    <t>Tōkyō : Keisō Shobō, 2012.</t>
  </si>
  <si>
    <t>Dai 1-han.</t>
  </si>
  <si>
    <t>1076053754:jpn</t>
  </si>
  <si>
    <t>774274659</t>
  </si>
  <si>
    <t>ocn774274659</t>
  </si>
  <si>
    <t>3103441199C</t>
  </si>
  <si>
    <t>9784326653690</t>
  </si>
  <si>
    <t>794906380</t>
  </si>
  <si>
    <t>P94.5 W652 M5 2004</t>
  </si>
  <si>
    <t>0                      P  0094500W  652                M  5           2004</t>
  </si>
  <si>
    <t>Women and media in the Middle East : power through self-expression / edited by Naomi Sakr.</t>
  </si>
  <si>
    <t>London ; New York : I.B. Tauris, 2004.</t>
  </si>
  <si>
    <t>Library of modern Middle East studies ; 41</t>
  </si>
  <si>
    <t>2016-04-13</t>
  </si>
  <si>
    <t>793981248:eng</t>
  </si>
  <si>
    <t>56442144</t>
  </si>
  <si>
    <t>ocm56442144</t>
  </si>
  <si>
    <t>3102426934Y</t>
  </si>
  <si>
    <t>9781850434856</t>
  </si>
  <si>
    <t>793893380</t>
  </si>
  <si>
    <t>P94.5 W652 U614 2004</t>
  </si>
  <si>
    <t>0                      P  0094500W  652                U  614         2004</t>
  </si>
  <si>
    <t>Action chicks : new images of tough women in popular culture / edited by Sherrie A. Inness.</t>
  </si>
  <si>
    <t>New York : Palgrave Macmillan, 2004.</t>
  </si>
  <si>
    <t>1007830783:eng</t>
  </si>
  <si>
    <t>52239630</t>
  </si>
  <si>
    <t>ocm52239630</t>
  </si>
  <si>
    <t>3102743353W</t>
  </si>
  <si>
    <t>9781403964038</t>
  </si>
  <si>
    <t>793801669</t>
  </si>
  <si>
    <t>P94.5 W652 U6145 2012</t>
  </si>
  <si>
    <t>0                      P  0094500W  652                U  6145        2012</t>
  </si>
  <si>
    <t>Seeing the American woman, 1880-1920 : the social impact of the visual media explosion / Katherine H. Adams, Michael L. Keene and Jennifer C. Koella.</t>
  </si>
  <si>
    <t>Adams, Katherine H., 1954-</t>
  </si>
  <si>
    <t>Jefferson, N.C. : McFarland, ©2012.</t>
  </si>
  <si>
    <t>1067168168:eng</t>
  </si>
  <si>
    <t>733232531</t>
  </si>
  <si>
    <t>ocn733232531</t>
  </si>
  <si>
    <t>31033957602</t>
  </si>
  <si>
    <t>9780786466610</t>
  </si>
  <si>
    <t>794881847</t>
  </si>
  <si>
    <t>P94.5 W652 U634 1994</t>
  </si>
  <si>
    <t>0                      P  0094500W  652                U  634         1994</t>
  </si>
  <si>
    <t>Where the girls are : growing up female with the mass media / Susan J. Douglas.</t>
  </si>
  <si>
    <t>Douglas, Susan J. (Susan Jeanne), 1950-</t>
  </si>
  <si>
    <t>New York : Times Books, ©1994.</t>
  </si>
  <si>
    <t>31697675:eng</t>
  </si>
  <si>
    <t>29753060</t>
  </si>
  <si>
    <t>ocm29753060</t>
  </si>
  <si>
    <t>3102743279V</t>
  </si>
  <si>
    <t>9780812922066</t>
  </si>
  <si>
    <t>793319589</t>
  </si>
  <si>
    <t>P94.5 W652 U634 1995</t>
  </si>
  <si>
    <t>0                      P  0094500W  652                U  634         1995</t>
  </si>
  <si>
    <t>Douglas, Susan J. (Susan Jeanne), 1950- author.</t>
  </si>
  <si>
    <t>New York : Three Rivers Press, [1995]</t>
  </si>
  <si>
    <t>46699245</t>
  </si>
  <si>
    <t>ocm46699245</t>
  </si>
  <si>
    <t>3102743269X</t>
  </si>
  <si>
    <t>9780812925302</t>
  </si>
  <si>
    <t>793689843</t>
  </si>
  <si>
    <t>P94.5 W652 U655 2001</t>
  </si>
  <si>
    <t>0                      P  0094500W  652                U  655         2001</t>
  </si>
  <si>
    <t>The girl on the magazine cover : the origins of visual stereotypes in American mass media / Carolyn Kitch.</t>
  </si>
  <si>
    <t>Kitch, Carolyn L.</t>
  </si>
  <si>
    <t>Chapel Hill : University of North Carolina Press, ©2001.</t>
  </si>
  <si>
    <t>20498295:eng</t>
  </si>
  <si>
    <t>46462846</t>
  </si>
  <si>
    <t>ocm46462846</t>
  </si>
  <si>
    <t>31021491688</t>
  </si>
  <si>
    <t>9780807826539</t>
  </si>
  <si>
    <t>793685374</t>
  </si>
  <si>
    <t>P94.5 W652 U665 2010</t>
  </si>
  <si>
    <t>0                      P  0094500W  652                U  665         2010</t>
  </si>
  <si>
    <t>Dangerous curves : Latina bodies in the media / Isabel Molina-Guzmán.</t>
  </si>
  <si>
    <t>Molina-Guzmán, Isabel.</t>
  </si>
  <si>
    <t>New York : New York University Press, ©2010.</t>
  </si>
  <si>
    <t>Critical cultural communication</t>
  </si>
  <si>
    <t>2011-10-19</t>
  </si>
  <si>
    <t>793231535:eng</t>
  </si>
  <si>
    <t>326483200</t>
  </si>
  <si>
    <t>ocn326483200</t>
  </si>
  <si>
    <t>31030979852</t>
  </si>
  <si>
    <t>9780814757352</t>
  </si>
  <si>
    <t>794490392</t>
  </si>
  <si>
    <t>P94.5 W652 U68 2002</t>
  </si>
  <si>
    <t>0                      P  0094500W  652                U  68          2002</t>
  </si>
  <si>
    <t>Postfeminist news : political women in media culture / Mary Douglas Vavrus.</t>
  </si>
  <si>
    <t>Vavrus, Mary Douglas.</t>
  </si>
  <si>
    <t>Albany : State University of New York Press, ©2002.</t>
  </si>
  <si>
    <t>SUNY series Communication studies</t>
  </si>
  <si>
    <t>2016-02-05</t>
  </si>
  <si>
    <t>837998576:eng</t>
  </si>
  <si>
    <t>48876609</t>
  </si>
  <si>
    <t>ocm48876609</t>
  </si>
  <si>
    <t>3102743274V</t>
  </si>
  <si>
    <t>9780791454466</t>
  </si>
  <si>
    <t>793729498</t>
  </si>
  <si>
    <t>P94.5 Y72 A25 1995</t>
  </si>
  <si>
    <t>0                      P  0094500Y  72                 A  25          1995</t>
  </si>
  <si>
    <t>Youth, murder, spectacle : the cultural politics of "youth in crisis" / Charles R. Acland.</t>
  </si>
  <si>
    <t>Acland, Charles R., 1963-</t>
  </si>
  <si>
    <t>Boulder : Westview Press, 1994.</t>
  </si>
  <si>
    <t>Cultural studies</t>
  </si>
  <si>
    <t>2018-04-26</t>
  </si>
  <si>
    <t>32439618:eng</t>
  </si>
  <si>
    <t>428011696</t>
  </si>
  <si>
    <t>ocn428011696</t>
  </si>
  <si>
    <t>31027432214</t>
  </si>
  <si>
    <t>9780813322872</t>
  </si>
  <si>
    <t>794748193</t>
  </si>
  <si>
    <t>P94.5 Y72 C43 2008</t>
  </si>
  <si>
    <t>0                      P  0094500Y  72                 C  43          2008</t>
  </si>
  <si>
    <t>The changing portrayal of adolescents in the media since 1950 / edited by Patrick Jamieson, Daniel Romer.</t>
  </si>
  <si>
    <t>866283961:eng</t>
  </si>
  <si>
    <t>187417671</t>
  </si>
  <si>
    <t>ocn187417671</t>
  </si>
  <si>
    <t>3102977617P</t>
  </si>
  <si>
    <t>9780195342956</t>
  </si>
  <si>
    <t>794294177</t>
  </si>
  <si>
    <t>P94.5 Y72 R83 2013</t>
  </si>
  <si>
    <t>0                      P  0094500Y  72                 R  83          2013</t>
  </si>
  <si>
    <t>Youth and media / Andy Ruddock.</t>
  </si>
  <si>
    <t>Ruddock, Andy, author.</t>
  </si>
  <si>
    <t>London, England ; Thousand Oaks, California : SAGE Publications Ltd., 2013.</t>
  </si>
  <si>
    <t>1144602349:eng</t>
  </si>
  <si>
    <t>821703072</t>
  </si>
  <si>
    <t>ocn821703072</t>
  </si>
  <si>
    <t>31035000338</t>
  </si>
  <si>
    <t>9781848600928</t>
  </si>
  <si>
    <t>794936233</t>
  </si>
  <si>
    <t>P94.5 Y72 S87 2011</t>
  </si>
  <si>
    <t>0                      P  0094500Y  72                 S  87          2011</t>
  </si>
  <si>
    <t>Supernatural youth : the rise of the teen hero in literature and popular culture / edited by Jes Battis.</t>
  </si>
  <si>
    <t>Lanham : Lexington Books, ©2011.</t>
  </si>
  <si>
    <t>918135512:eng</t>
  </si>
  <si>
    <t>733232766</t>
  </si>
  <si>
    <t>ocn733232766</t>
  </si>
  <si>
    <t>3103385228U</t>
  </si>
  <si>
    <t>9780739128596</t>
  </si>
  <si>
    <t>794881871</t>
  </si>
  <si>
    <t>P94.5 Y722 U675 2010</t>
  </si>
  <si>
    <t>0                      P  0094500Y  722                U  675         2010</t>
  </si>
  <si>
    <t>Drop that knowledge : youth radio stories / Elisabeth Soep and Vivian Chávez.</t>
  </si>
  <si>
    <t>Soep, Elisabeth.</t>
  </si>
  <si>
    <t>Berkeley : University of California Press, ©2010.</t>
  </si>
  <si>
    <t>793253039:eng</t>
  </si>
  <si>
    <t>340961369</t>
  </si>
  <si>
    <t>ocn340961369</t>
  </si>
  <si>
    <t>3103243368G</t>
  </si>
  <si>
    <t>9780520250215</t>
  </si>
  <si>
    <t>794491032</t>
  </si>
  <si>
    <t>P94.5 Y722 U74 2010</t>
  </si>
  <si>
    <t>0                      P  0094500Y  722                U  74          2010</t>
  </si>
  <si>
    <t>Teen media : Hollywood and the youth market in the digital age / Valerie Wee.</t>
  </si>
  <si>
    <t>Wee, Valerie, 1968-</t>
  </si>
  <si>
    <t>Jefferson, N.C. : McFarland &amp; Co., ©2010.</t>
  </si>
  <si>
    <t>2012-04-16</t>
  </si>
  <si>
    <t>355638187:eng</t>
  </si>
  <si>
    <t>476156873</t>
  </si>
  <si>
    <t>ocn476156873</t>
  </si>
  <si>
    <t>3103322528Q</t>
  </si>
  <si>
    <t>9780786442690</t>
  </si>
  <si>
    <t>794798514</t>
  </si>
  <si>
    <t>P94.6 A246 2016</t>
  </si>
  <si>
    <t>0                      P  0094600A  246         2016</t>
  </si>
  <si>
    <t>La médiation culturelle / Bruno Nassim Aboudrar, François Mairesse.</t>
  </si>
  <si>
    <t>Aboudrar, Bruno Nassim, author.</t>
  </si>
  <si>
    <t>Paris : Presses universitaires de France, [2016]</t>
  </si>
  <si>
    <t>Que sais-je? ; no 4046</t>
  </si>
  <si>
    <t>3873599228:fre</t>
  </si>
  <si>
    <t>958610853</t>
  </si>
  <si>
    <t>ocn958610853</t>
  </si>
  <si>
    <t>31037092222</t>
  </si>
  <si>
    <t>9782130732549</t>
  </si>
  <si>
    <t>795021913</t>
  </si>
  <si>
    <t>P94.6 A35 1996</t>
  </si>
  <si>
    <t>0                      P  0094600A  35          1996</t>
  </si>
  <si>
    <t>Achieving understanding : discourse in intercultural encounters / Katharina Bremer [and others].</t>
  </si>
  <si>
    <t>London : Longman, 1996.</t>
  </si>
  <si>
    <t>836919811:eng</t>
  </si>
  <si>
    <t>34357182</t>
  </si>
  <si>
    <t>ocm34357182</t>
  </si>
  <si>
    <t>3102743253Z</t>
  </si>
  <si>
    <t>9780582086449</t>
  </si>
  <si>
    <t>793425168</t>
  </si>
  <si>
    <t>P94.6 A43 1999</t>
  </si>
  <si>
    <t>0                      P  0094600A  43          1999</t>
  </si>
  <si>
    <t>Covering the community : a diversity handbook for media / Leigh Stephens Aldrich.</t>
  </si>
  <si>
    <t>Aldrich, Leigh Stephens.</t>
  </si>
  <si>
    <t>Thousand Oaks, Calif. : Pine Forge Press, ©1999.</t>
  </si>
  <si>
    <t>A diversity stylebook for media</t>
  </si>
  <si>
    <t>323078487:eng</t>
  </si>
  <si>
    <t>40573438</t>
  </si>
  <si>
    <t>ocm40573438</t>
  </si>
  <si>
    <t>3102743259Z</t>
  </si>
  <si>
    <t>9780761985136</t>
  </si>
  <si>
    <t>793570162</t>
  </si>
  <si>
    <t>P94.6 A574 2002</t>
  </si>
  <si>
    <t>0                      P  0094600A  574         2002</t>
  </si>
  <si>
    <t>The Anthropology of media : a reader / edited by Kelly Askew and Richard R. Wilk.</t>
  </si>
  <si>
    <t>Malden, MA : Blackwell Publishers, 2002.</t>
  </si>
  <si>
    <t>Blackwell readers in anthropology ; 2</t>
  </si>
  <si>
    <t>843205258:eng</t>
  </si>
  <si>
    <t>48077399</t>
  </si>
  <si>
    <t>ocm48077399</t>
  </si>
  <si>
    <t>3102743254Z</t>
  </si>
  <si>
    <t>9780631220930</t>
  </si>
  <si>
    <t>793715315</t>
  </si>
  <si>
    <t>P94.6 B36 2013</t>
  </si>
  <si>
    <t>0                      P  0094600B  36          2013</t>
  </si>
  <si>
    <t>Barthes' Mythologies today : readings of contemporary culture / edited by Pete Bennett and Julian McDougall.</t>
  </si>
  <si>
    <t>Routledge Research in Cultural and Media Studies ; 52</t>
  </si>
  <si>
    <t>2019-05-27</t>
  </si>
  <si>
    <t>1404737912:eng</t>
  </si>
  <si>
    <t>823578061</t>
  </si>
  <si>
    <t>ocn823578061</t>
  </si>
  <si>
    <t>31034994071</t>
  </si>
  <si>
    <t>9780415821223</t>
  </si>
  <si>
    <t>794937262</t>
  </si>
  <si>
    <t>P94.6 B42 2005</t>
  </si>
  <si>
    <t>0                      P  0094600B  42          2005</t>
  </si>
  <si>
    <t>Fredric Wertham and the critique of mass culture / Bart Beaty.</t>
  </si>
  <si>
    <t>Beaty, Bart.</t>
  </si>
  <si>
    <t>Jackson : University Press of Mississippi, ©2005.</t>
  </si>
  <si>
    <t>2017-10-18</t>
  </si>
  <si>
    <t>938549:eng</t>
  </si>
  <si>
    <t>58563478</t>
  </si>
  <si>
    <t>ocm58563478</t>
  </si>
  <si>
    <t>31025597671</t>
  </si>
  <si>
    <t>9781578068104</t>
  </si>
  <si>
    <t>793922749</t>
  </si>
  <si>
    <t>P94.6 B46 2011</t>
  </si>
  <si>
    <t>0                      P  0094600B  46          2011</t>
  </si>
  <si>
    <t>After the media : culture and identity in the 21st century / by Pete Bennett, Alex Kendall and Julian McDougall.</t>
  </si>
  <si>
    <t>Bennett, Peter, 1961-</t>
  </si>
  <si>
    <t>502938837:eng</t>
  </si>
  <si>
    <t>641536282</t>
  </si>
  <si>
    <t>ocn641536282</t>
  </si>
  <si>
    <t>3103235130P</t>
  </si>
  <si>
    <t>9780415586825</t>
  </si>
  <si>
    <t>794827700</t>
  </si>
  <si>
    <t>P94.6 B47 1996</t>
  </si>
  <si>
    <t>0                      P  0094600B  47          1996</t>
  </si>
  <si>
    <t>Manufacturing desire : media, popular culture, and everyday life / Arthur Asa Berger.</t>
  </si>
  <si>
    <t>New Brunswick, N.J. : Transaction Publishers, ©1996.</t>
  </si>
  <si>
    <t>2015-07-07</t>
  </si>
  <si>
    <t>196546324:eng</t>
  </si>
  <si>
    <t>33009181</t>
  </si>
  <si>
    <t>ocm33009181</t>
  </si>
  <si>
    <t>31027506131</t>
  </si>
  <si>
    <t>9781560002260</t>
  </si>
  <si>
    <t>793399575</t>
  </si>
  <si>
    <t>P94.6 B48 2012</t>
  </si>
  <si>
    <t>0                      P  0094600B  48          2012</t>
  </si>
  <si>
    <t>Beyond globalization : making new worlds in media, art, and social practices / edited by A. Aneesh, Lane Hall, and Patrice Petro.</t>
  </si>
  <si>
    <t>New Brunswick, N.J. : Rutgers University Press, ©2012.</t>
  </si>
  <si>
    <t>836577216:eng</t>
  </si>
  <si>
    <t>708243792</t>
  </si>
  <si>
    <t>ocn708243792</t>
  </si>
  <si>
    <t>3103382444W</t>
  </si>
  <si>
    <t>9780813551531</t>
  </si>
  <si>
    <t>794868679</t>
  </si>
  <si>
    <t>P94.6 B695 2012</t>
  </si>
  <si>
    <t>0                      P  0094600B  695         2012</t>
  </si>
  <si>
    <t>Culture and the media / Paul Bowman, Cardiff University, UK.</t>
  </si>
  <si>
    <t>Bowman, Paul.</t>
  </si>
  <si>
    <t>Houndmills, Basingstoke, Hampshire ; New York, NY : Palgrave Macmillan, 2012.</t>
  </si>
  <si>
    <t>Key concerns in media studies</t>
  </si>
  <si>
    <t>1191728865:eng</t>
  </si>
  <si>
    <t>824087971</t>
  </si>
  <si>
    <t>ocn824087971</t>
  </si>
  <si>
    <t>3103457290H</t>
  </si>
  <si>
    <t>9780230277120</t>
  </si>
  <si>
    <t>794937562</t>
  </si>
  <si>
    <t>P94.6 C372 2009</t>
  </si>
  <si>
    <t>0                      P  0094600C  372         2009</t>
  </si>
  <si>
    <t>Communication as culture : essays on media and society / James W. Carey ; new foreword by G. Stuart Adam.</t>
  </si>
  <si>
    <t>2018-02-08</t>
  </si>
  <si>
    <t>212628054</t>
  </si>
  <si>
    <t>ocn212628054</t>
  </si>
  <si>
    <t>3102975277X</t>
  </si>
  <si>
    <t>9780415989756</t>
  </si>
  <si>
    <t>794306087</t>
  </si>
  <si>
    <t>P94.6 C376 2006</t>
  </si>
  <si>
    <t>0                      P  0094600C  376         2006</t>
  </si>
  <si>
    <t>Celebrity culture / Ellis Cashmore.</t>
  </si>
  <si>
    <t>Abingdon [England] ; New York : Routledge, 2006.</t>
  </si>
  <si>
    <t>2019-07-23</t>
  </si>
  <si>
    <t>43625841:eng</t>
  </si>
  <si>
    <t>63703907</t>
  </si>
  <si>
    <t>ocm63703907</t>
  </si>
  <si>
    <t>3102565192O</t>
  </si>
  <si>
    <t>9780415373111</t>
  </si>
  <si>
    <t>794122787</t>
  </si>
  <si>
    <t>P94.6 C663 2012</t>
  </si>
  <si>
    <t>0                      P  0094600C  663         2012</t>
  </si>
  <si>
    <t>Communication matters : materialist approaches to media, mobility and networks / edited by Jeremy Packer and Stephen B. Crofts Wiley.</t>
  </si>
  <si>
    <t>Shaping inquiry in culture, communication and media studies</t>
  </si>
  <si>
    <t>2014-02-17</t>
  </si>
  <si>
    <t>1101928468:eng</t>
  </si>
  <si>
    <t>694393761</t>
  </si>
  <si>
    <t>ocn694393761</t>
  </si>
  <si>
    <t>3103381012H</t>
  </si>
  <si>
    <t>9780415782241</t>
  </si>
  <si>
    <t>794857533</t>
  </si>
  <si>
    <t>P94.6 C687 2006</t>
  </si>
  <si>
    <t>0                      P  0094600C  687         2006</t>
  </si>
  <si>
    <t>Listening beyond the echoes : media, ethics, and agency in an uncertain world / Nick Couldry.</t>
  </si>
  <si>
    <t>Boulder, Colo. : Paradigm Publishers, ©2006.</t>
  </si>
  <si>
    <t>Cultural politics and the promise of democracy</t>
  </si>
  <si>
    <t>372895936:eng</t>
  </si>
  <si>
    <t>63125878</t>
  </si>
  <si>
    <t>ocm63125878</t>
  </si>
  <si>
    <t>31025856733</t>
  </si>
  <si>
    <t>9781594512353</t>
  </si>
  <si>
    <t>794118729</t>
  </si>
  <si>
    <t>P94.6 C76 2003</t>
  </si>
  <si>
    <t>0                      P  0094600C  76          2003</t>
  </si>
  <si>
    <t>Cross-cultural and intercultural communication / William B. Gudykunst, editor.</t>
  </si>
  <si>
    <t>2016-10-11</t>
  </si>
  <si>
    <t>755617:eng</t>
  </si>
  <si>
    <t>51818525</t>
  </si>
  <si>
    <t>ocm51818525</t>
  </si>
  <si>
    <t>3102346666X</t>
  </si>
  <si>
    <t>9780761929000</t>
  </si>
  <si>
    <t>793791894</t>
  </si>
  <si>
    <t>P94.6 D38 2013</t>
  </si>
  <si>
    <t>0                      P  0094600D  38          2013</t>
  </si>
  <si>
    <t>Promotional cultures : the rise and spread of advertising, public relations, marketing and branding / Aeron Davis.</t>
  </si>
  <si>
    <t>Davis, Aeron, author.</t>
  </si>
  <si>
    <t>Cambridge, UK : Polity, 2013.</t>
  </si>
  <si>
    <t>2016-10-06</t>
  </si>
  <si>
    <t>1491708698:eng</t>
  </si>
  <si>
    <t>827267058</t>
  </si>
  <si>
    <t>ocn827267058</t>
  </si>
  <si>
    <t>3103501269T</t>
  </si>
  <si>
    <t>9780745639826</t>
  </si>
  <si>
    <t>794939993</t>
  </si>
  <si>
    <t>P94.6 D48 2001</t>
  </si>
  <si>
    <t>0                      P  0094600D  48          2001</t>
  </si>
  <si>
    <t>Developing intercultural competence in practice / edited by Michael Byram, Adam Nichols, and David Stevens.</t>
  </si>
  <si>
    <t>Clevedon, England ; Buffalo, N.Y. : Multilingual Matters, ©2001.</t>
  </si>
  <si>
    <t>Languages for intercultural communication and education ; 1</t>
  </si>
  <si>
    <t>2016-11-17</t>
  </si>
  <si>
    <t>46240391</t>
  </si>
  <si>
    <t>ocm46240391</t>
  </si>
  <si>
    <t>3102469099H</t>
  </si>
  <si>
    <t>9781853595370</t>
  </si>
  <si>
    <t>793682091</t>
  </si>
  <si>
    <t>P94.6 E43 2010</t>
  </si>
  <si>
    <t>0                      P  0094600E  43          2010</t>
  </si>
  <si>
    <t>Electronic elsewheres : media, technology, and the experience of social space / Chris Berry, Soyoung Kim, and Lynn Spigel, editors.</t>
  </si>
  <si>
    <t>Public worlds ; v. 17</t>
  </si>
  <si>
    <t>1076494517:eng</t>
  </si>
  <si>
    <t>351318485</t>
  </si>
  <si>
    <t>ocn351318485</t>
  </si>
  <si>
    <t>31031133680</t>
  </si>
  <si>
    <t>9780816647361</t>
  </si>
  <si>
    <t>794491399</t>
  </si>
  <si>
    <t>P94.6 E54 2011</t>
  </si>
  <si>
    <t>0                      P  0094600E  54          2011</t>
  </si>
  <si>
    <t>Enjeux interculturels des médias : altérités, transferts et violences / ouvrage collectif dirigé par Michèle Garneau, Hans-Jürgen Lüsebrink et Walter Moser.</t>
  </si>
  <si>
    <t>[Ottawa] : Presses de l'Université d'Ottawa, 2011.</t>
  </si>
  <si>
    <t>Transfers culturels</t>
  </si>
  <si>
    <t>2014-09-17</t>
  </si>
  <si>
    <t>841093301:fre</t>
  </si>
  <si>
    <t>432991514</t>
  </si>
  <si>
    <t>ocn432991514</t>
  </si>
  <si>
    <t>3103325404L</t>
  </si>
  <si>
    <t>9782760307209</t>
  </si>
  <si>
    <t>794782164</t>
  </si>
  <si>
    <t>P94.6 G59 2010</t>
  </si>
  <si>
    <t>0                      P  0094600G  59          2010</t>
  </si>
  <si>
    <t>Globalization, communication and the workplace : talking across the world / edited by Gail Forey and Jane Lockwood.</t>
  </si>
  <si>
    <t>866262632:eng</t>
  </si>
  <si>
    <t>277203896</t>
  </si>
  <si>
    <t>ocn277203896</t>
  </si>
  <si>
    <t>3103231740L</t>
  </si>
  <si>
    <t>9780826446077</t>
  </si>
  <si>
    <t>794418788</t>
  </si>
  <si>
    <t>P94.6 H358 2012</t>
  </si>
  <si>
    <t>0                      P  0094600H  358         2012</t>
  </si>
  <si>
    <t>The handbook of intercultural discourse and communication / edited by Christina Bratt Paulston, Scott F. Kiesling, and Elizabeth S. Rangel.</t>
  </si>
  <si>
    <t>Malden, MA : John Wiley &amp; Sons, 2012.</t>
  </si>
  <si>
    <t>2013-01-02</t>
  </si>
  <si>
    <t>917905338:eng</t>
  </si>
  <si>
    <t>732967833</t>
  </si>
  <si>
    <t>ocn732967833</t>
  </si>
  <si>
    <t>3103408919X</t>
  </si>
  <si>
    <t>9781405162722</t>
  </si>
  <si>
    <t>794881556</t>
  </si>
  <si>
    <t>P94.6 H365 2009</t>
  </si>
  <si>
    <t>0                      P  0094600H  365         2009</t>
  </si>
  <si>
    <t>Learning language and culture via public Internet discussion forums / Barbara E. Hanna, Juliana de Nooy.</t>
  </si>
  <si>
    <t>Hanna, Barbara E., 1964-</t>
  </si>
  <si>
    <t>176283129:eng</t>
  </si>
  <si>
    <t>294998518</t>
  </si>
  <si>
    <t>ocn294998518</t>
  </si>
  <si>
    <t>3102857924U</t>
  </si>
  <si>
    <t>9780230576308</t>
  </si>
  <si>
    <t>794425317</t>
  </si>
  <si>
    <t>P94.6 H46513 2012</t>
  </si>
  <si>
    <t>0                      P  0094600H  46513       2012</t>
  </si>
  <si>
    <t>Cultures of mediatization / Andreas Hepp ; translated by Keith Tribe.</t>
  </si>
  <si>
    <t>Hepp, Andreas.</t>
  </si>
  <si>
    <t>Cambridge, UK ; Malden, Ma : Polity, ©2013.</t>
  </si>
  <si>
    <t>1016295956:eng</t>
  </si>
  <si>
    <t>795181818</t>
  </si>
  <si>
    <t>ocn795181818</t>
  </si>
  <si>
    <t>31034289819</t>
  </si>
  <si>
    <t>9780745662268</t>
  </si>
  <si>
    <t>794921094</t>
  </si>
  <si>
    <t>P94.6 H64 2010</t>
  </si>
  <si>
    <t>0                      P  0094600H  64          2010</t>
  </si>
  <si>
    <t>Intercultural communication : an advanced resource book for students / Adrian Holliday, Martin Hyde and John Kullman.</t>
  </si>
  <si>
    <t>Holliday, Adrian.</t>
  </si>
  <si>
    <t>195543567:eng</t>
  </si>
  <si>
    <t>318414751</t>
  </si>
  <si>
    <t>ocn318414751</t>
  </si>
  <si>
    <t>31031341182</t>
  </si>
  <si>
    <t>9780415489416</t>
  </si>
  <si>
    <t>794481664</t>
  </si>
  <si>
    <t>P94.6 H68 2012</t>
  </si>
  <si>
    <t>0                      P  0094600H  68          2012</t>
  </si>
  <si>
    <t>Intercultural dialogue in practice : managing value judgment through foreign language education / Stephanie Ann Houghton.</t>
  </si>
  <si>
    <t>Houghton, Stephanie, 1969-</t>
  </si>
  <si>
    <t>Languages for intercultural communication and education ; 22</t>
  </si>
  <si>
    <t>1120965929:eng</t>
  </si>
  <si>
    <t>768793283</t>
  </si>
  <si>
    <t>ocn768793283</t>
  </si>
  <si>
    <t>31034129469</t>
  </si>
  <si>
    <t>9781847697257</t>
  </si>
  <si>
    <t>794902748</t>
  </si>
  <si>
    <t>P94.6 H8 1999</t>
  </si>
  <si>
    <t>0                      P  0094600H  8           1999</t>
  </si>
  <si>
    <t>Kua wen hua jiao ji xue gai lun / Hu Wenzhong zhu.</t>
  </si>
  <si>
    <t>Hu, Wenzhong, 1935-</t>
  </si>
  <si>
    <t>Beijing Shi : Wai yu jiao xue yu yan jiu chu ban she, 1999.</t>
  </si>
  <si>
    <t>Kua wen hua jiao ji cong shu = Intercultural communication series</t>
  </si>
  <si>
    <t>3858783385:chi</t>
  </si>
  <si>
    <t>47853416</t>
  </si>
  <si>
    <t>ocm47853416</t>
  </si>
  <si>
    <t>3102358876C</t>
  </si>
  <si>
    <t>9787560016603</t>
  </si>
  <si>
    <t>793709403</t>
  </si>
  <si>
    <t>P94.6 H84 2010</t>
  </si>
  <si>
    <t>0                      P  0094600H  84          2010</t>
  </si>
  <si>
    <t>Cult-ure [Texte imprimé] / written and designed by Rian Hughes.</t>
  </si>
  <si>
    <t>Hughes, Rian, Auteur.</t>
  </si>
  <si>
    <t>London : Fiell, 2010.</t>
  </si>
  <si>
    <t>2013-10-20</t>
  </si>
  <si>
    <t>495544899:eng</t>
  </si>
  <si>
    <t>758344384</t>
  </si>
  <si>
    <t>ocn758344384</t>
  </si>
  <si>
    <t>3103321188U</t>
  </si>
  <si>
    <t>9781906863289</t>
  </si>
  <si>
    <t>794896117</t>
  </si>
  <si>
    <t>P94.6 I5829 2010</t>
  </si>
  <si>
    <t>0                      P  0094600I  5829        2010</t>
  </si>
  <si>
    <t>The intercultural dynamics of multicultural working / edited by Manuela Guilherme, Evelyne Glaser and María del Carmen Méndez García.</t>
  </si>
  <si>
    <t>Bristol ; Ronawanda, NY : Multilingual Matters, ©2010.</t>
  </si>
  <si>
    <t>Languages for intercultural communication and education ; 19</t>
  </si>
  <si>
    <t>471528261:eng</t>
  </si>
  <si>
    <t>601087527</t>
  </si>
  <si>
    <t>ocn601087527</t>
  </si>
  <si>
    <t>3103134651G</t>
  </si>
  <si>
    <t>9781847692863</t>
  </si>
  <si>
    <t>794815253</t>
  </si>
  <si>
    <t>P94.6 K57 2011</t>
  </si>
  <si>
    <t>0                      P  0094600K  57          2011</t>
  </si>
  <si>
    <t>Networked reenactments : stories transdisciplinary knowledges tell / Katie King ; foreword by Donna Haraway.</t>
  </si>
  <si>
    <t>King, Katie, 1952-</t>
  </si>
  <si>
    <t>Durham [N.C.] : Duke University Press, 2011.</t>
  </si>
  <si>
    <t>2015-02-04</t>
  </si>
  <si>
    <t>1088326015:eng</t>
  </si>
  <si>
    <t>791649942</t>
  </si>
  <si>
    <t>ocn791649942</t>
  </si>
  <si>
    <t>3103395500K</t>
  </si>
  <si>
    <t>9780822350545</t>
  </si>
  <si>
    <t>794916876</t>
  </si>
  <si>
    <t>P94.6 K74 2017</t>
  </si>
  <si>
    <t>0                      P  0094600K  74          2017</t>
  </si>
  <si>
    <t>Getting through : the pleasures and perils of cross-cultural communication / Roger Kreuz and Richard Roberts.</t>
  </si>
  <si>
    <t>Kreuz, Roger J., author.</t>
  </si>
  <si>
    <t>Cambridge, Massachusetts : The MIT Press, [2017]</t>
  </si>
  <si>
    <t>4065292527:eng</t>
  </si>
  <si>
    <t>972309048</t>
  </si>
  <si>
    <t>ocn972309048</t>
  </si>
  <si>
    <t>31037401756</t>
  </si>
  <si>
    <t>9780262036313</t>
  </si>
  <si>
    <t>795028603</t>
  </si>
  <si>
    <t>P94.6 L356 2012</t>
  </si>
  <si>
    <t>0                      P  0094600L  356         2012</t>
  </si>
  <si>
    <t>Language and intercultural communication in the new era / edited by Farzad Sharifian and Maryam Jamarani.</t>
  </si>
  <si>
    <t>Routledge studies in language and intercultural communication ; 1</t>
  </si>
  <si>
    <t>2015-01-07</t>
  </si>
  <si>
    <t>1216866702:eng</t>
  </si>
  <si>
    <t>741542058</t>
  </si>
  <si>
    <t>ocn741542058</t>
  </si>
  <si>
    <t>3103471804V</t>
  </si>
  <si>
    <t>9780415808897</t>
  </si>
  <si>
    <t>794884171</t>
  </si>
  <si>
    <t>P94.6 L37 1999</t>
  </si>
  <si>
    <t>0                      P  0094600L  37          1999</t>
  </si>
  <si>
    <t>Culture jam : the uncooling of America / Kalle Lasn.</t>
  </si>
  <si>
    <t>Lasn, Kalle.</t>
  </si>
  <si>
    <t>New York : Eagle Brook, ©1999.</t>
  </si>
  <si>
    <t>3372829708:eng</t>
  </si>
  <si>
    <t>40762771</t>
  </si>
  <si>
    <t>ocm40762771</t>
  </si>
  <si>
    <t>31037662626</t>
  </si>
  <si>
    <t>9780688156565</t>
  </si>
  <si>
    <t>793575238</t>
  </si>
  <si>
    <t>Pages 199 to 210 Missing</t>
  </si>
  <si>
    <t>3102743250Z</t>
  </si>
  <si>
    <t>793575237</t>
  </si>
  <si>
    <t>P94.6 L44 2003</t>
  </si>
  <si>
    <t>0                      P  0094600L  44          2003</t>
  </si>
  <si>
    <t>Revolt of the masscult / Chris Lehmann.</t>
  </si>
  <si>
    <t>Lehmann, Chris.</t>
  </si>
  <si>
    <t>Chicago : Prickly Paradigm Press, ©2003.</t>
  </si>
  <si>
    <t>Paradigm ; 7</t>
  </si>
  <si>
    <t>749503:eng</t>
  </si>
  <si>
    <t>52127050</t>
  </si>
  <si>
    <t>ocm52127050</t>
  </si>
  <si>
    <t>3102743374S</t>
  </si>
  <si>
    <t>9780971757578</t>
  </si>
  <si>
    <t>793798936</t>
  </si>
  <si>
    <t>P94.6 L49 2012</t>
  </si>
  <si>
    <t>0                      P  0094600L  49          2012</t>
  </si>
  <si>
    <t>Global media apocalypse : pleasure, violence and the cultural imaginings of doom / by Jeff Lewis, Professor of Media and Cultural Studies, RMIT University, Australia.</t>
  </si>
  <si>
    <t>Lewis, Jeff, 1964-</t>
  </si>
  <si>
    <t>1176354587:eng</t>
  </si>
  <si>
    <t>798615465</t>
  </si>
  <si>
    <t>ocn798615465</t>
  </si>
  <si>
    <t>3103457891$</t>
  </si>
  <si>
    <t>9781137005441</t>
  </si>
  <si>
    <t>794923907</t>
  </si>
  <si>
    <t>P94.6 L56 2010</t>
  </si>
  <si>
    <t>0                      P  0094600L  56          2010</t>
  </si>
  <si>
    <t>Los límites de Babel : ensayos sobre la comunicación entre lenguas y culturas / Grupo Alfaqueque.</t>
  </si>
  <si>
    <t>Madrid : Iberoamericana ; Frankfurt am Main : Vervuert, 2010.</t>
  </si>
  <si>
    <t>836454209:spa</t>
  </si>
  <si>
    <t>519246820</t>
  </si>
  <si>
    <t>ocn519246820</t>
  </si>
  <si>
    <t>3103369996Q</t>
  </si>
  <si>
    <t>9788484895138</t>
  </si>
  <si>
    <t>794808394</t>
  </si>
  <si>
    <t>P94.6 L66 2011</t>
  </si>
  <si>
    <t>0                      P  0094600L  66          2011</t>
  </si>
  <si>
    <t>The long history of new media : technology, historiography, and contextualizing newness / edited by David W. Park, Nicholas W. Jankowski, Steve Jones.</t>
  </si>
  <si>
    <t>Digital formations ; v. 76</t>
  </si>
  <si>
    <t>864833755:eng</t>
  </si>
  <si>
    <t>711643488</t>
  </si>
  <si>
    <t>ocn711643488</t>
  </si>
  <si>
    <t>31033618153</t>
  </si>
  <si>
    <t>9781433114403</t>
  </si>
  <si>
    <t>794871076</t>
  </si>
  <si>
    <t>P94.6 L68 2001</t>
  </si>
  <si>
    <t>0                      P  0094600L  68          2001</t>
  </si>
  <si>
    <t>The media and cultural production / P. Eric Louw.</t>
  </si>
  <si>
    <t>Louw, P. Eric, author.</t>
  </si>
  <si>
    <t>London ; Thousand Oaks : Sage, ©2001.</t>
  </si>
  <si>
    <t>36906219:eng</t>
  </si>
  <si>
    <t>46332364</t>
  </si>
  <si>
    <t>ocm46332364</t>
  </si>
  <si>
    <t>31027432450</t>
  </si>
  <si>
    <t>9780761965824</t>
  </si>
  <si>
    <t>793682631</t>
  </si>
  <si>
    <t>P94.6 L845 2012</t>
  </si>
  <si>
    <t>0                      P  0094600L  845         2012</t>
  </si>
  <si>
    <t>Globalization and media : global village of Babel / Jack Lule.</t>
  </si>
  <si>
    <t>Lule, Jack, 1954-</t>
  </si>
  <si>
    <t>Lanham, Md. : Rowman &amp; Littlefield, ©2012.</t>
  </si>
  <si>
    <t>Globalization</t>
  </si>
  <si>
    <t>1074862636:eng</t>
  </si>
  <si>
    <t>744301864</t>
  </si>
  <si>
    <t>ocn744301864</t>
  </si>
  <si>
    <t>3103405517K</t>
  </si>
  <si>
    <t>9780742568358</t>
  </si>
  <si>
    <t>794886157</t>
  </si>
  <si>
    <t>P94.6 M35 1997</t>
  </si>
  <si>
    <t>0                      P  0094600M  35          1997</t>
  </si>
  <si>
    <t>Media research : technology, art, communication / Marshall McLuhan ; edited with commentary, Michel A. Moos.</t>
  </si>
  <si>
    <t>Amsterdam : G &amp; B Arts, ©1997.</t>
  </si>
  <si>
    <t>Critical voices in art, theory and culture</t>
  </si>
  <si>
    <t>2009-05-11</t>
  </si>
  <si>
    <t>52365093:eng</t>
  </si>
  <si>
    <t>37799096</t>
  </si>
  <si>
    <t>ocm37799096</t>
  </si>
  <si>
    <t>31027433075</t>
  </si>
  <si>
    <t>9789057010910</t>
  </si>
  <si>
    <t>793507259</t>
  </si>
  <si>
    <t>31027433173</t>
  </si>
  <si>
    <t>793507260</t>
  </si>
  <si>
    <t>2011-09-06</t>
  </si>
  <si>
    <t>31027433123</t>
  </si>
  <si>
    <t>793507261</t>
  </si>
  <si>
    <t>P94.6 M385 2012</t>
  </si>
  <si>
    <t>0                      P  0094600M  385         2012</t>
  </si>
  <si>
    <t>Creativity and cultural production : issues for media practice / Phillip McIntyre.</t>
  </si>
  <si>
    <t>McIntyre, Phillip, 1953-</t>
  </si>
  <si>
    <t>Basingstoke ; New York : Palgrave Macmillan, 2012.</t>
  </si>
  <si>
    <t>1009108195:eng</t>
  </si>
  <si>
    <t>748328965</t>
  </si>
  <si>
    <t>ocn748328965</t>
  </si>
  <si>
    <t>3103405360G</t>
  </si>
  <si>
    <t>9780230272286</t>
  </si>
  <si>
    <t>794889062</t>
  </si>
  <si>
    <t>P94.6 M4 2006</t>
  </si>
  <si>
    <t>0                      P  0094600M  4           2006</t>
  </si>
  <si>
    <t>Media &amp; cultural theory / edited by James Curran and David Morley.</t>
  </si>
  <si>
    <t>354521427:eng</t>
  </si>
  <si>
    <t>58423137</t>
  </si>
  <si>
    <t>ocm58423137</t>
  </si>
  <si>
    <t>3102558367H</t>
  </si>
  <si>
    <t>9780415317047</t>
  </si>
  <si>
    <t>793920690</t>
  </si>
  <si>
    <t>P94.6 M424 2001</t>
  </si>
  <si>
    <t>0                      P  0094600M  424         2001</t>
  </si>
  <si>
    <t>Media and cultural studies : keyworks / edited by Meenakshi Gigi Durham and Douglas M. Kellner.</t>
  </si>
  <si>
    <t>Keyworks in cultural studies ; 2</t>
  </si>
  <si>
    <t>4918890626:eng</t>
  </si>
  <si>
    <t>44650979</t>
  </si>
  <si>
    <t>ocm44650979</t>
  </si>
  <si>
    <t>31027799748</t>
  </si>
  <si>
    <t>9780631220954</t>
  </si>
  <si>
    <t>793655114</t>
  </si>
  <si>
    <t>P94.6 M424 2006</t>
  </si>
  <si>
    <t>0                      P  0094600M  424         2006</t>
  </si>
  <si>
    <t>Malden, MA : Blackwell, 2006.</t>
  </si>
  <si>
    <t>60401994</t>
  </si>
  <si>
    <t>ocm60401994</t>
  </si>
  <si>
    <t>31025076610</t>
  </si>
  <si>
    <t>9781405132589</t>
  </si>
  <si>
    <t>793937118</t>
  </si>
  <si>
    <t>P94.6 M424 2012</t>
  </si>
  <si>
    <t>0                      P  0094600M  424         2012</t>
  </si>
  <si>
    <t>Malden : Wiley-Blackwell, 2012.</t>
  </si>
  <si>
    <t>758973643</t>
  </si>
  <si>
    <t>ocn758973643</t>
  </si>
  <si>
    <t>31034087024</t>
  </si>
  <si>
    <t>9780470658086</t>
  </si>
  <si>
    <t>794896734</t>
  </si>
  <si>
    <t>P94.6 M4246 2007</t>
  </si>
  <si>
    <t>0                      P  0094600M  4246        2007</t>
  </si>
  <si>
    <t>Media and public spheres / edited by Richard Butsch.</t>
  </si>
  <si>
    <t>New York : Palgrave Macmillan, 2007.</t>
  </si>
  <si>
    <t>2017-05-30</t>
  </si>
  <si>
    <t>888283835:eng</t>
  </si>
  <si>
    <t>174050428</t>
  </si>
  <si>
    <t>ocn174050428</t>
  </si>
  <si>
    <t>31025701992</t>
  </si>
  <si>
    <t>9780230007215</t>
  </si>
  <si>
    <t>794272335</t>
  </si>
  <si>
    <t>P94.6 M425 2009</t>
  </si>
  <si>
    <t>0                      P  0094600M  425         2009</t>
  </si>
  <si>
    <t>Media/cultural studies : critical approaches / edited by Rhonda Hammer &amp; Douglas Kellner.</t>
  </si>
  <si>
    <t>New York : Peter Lang, ©2009.</t>
  </si>
  <si>
    <t>2016-12-12</t>
  </si>
  <si>
    <t>3857440215:eng</t>
  </si>
  <si>
    <t>298131201</t>
  </si>
  <si>
    <t>ocn298131201</t>
  </si>
  <si>
    <t>3103323406T</t>
  </si>
  <si>
    <t>9780820495262</t>
  </si>
  <si>
    <t>794427398</t>
  </si>
  <si>
    <t>P94.6 M4255 2010</t>
  </si>
  <si>
    <t>0                      P  0094600M  4255        2010</t>
  </si>
  <si>
    <t>Media events in a global age / edited by Nick Couldry, Andreas Hepp and Friedrich Krotz.</t>
  </si>
  <si>
    <t>2013-08-30</t>
  </si>
  <si>
    <t>865863910:eng</t>
  </si>
  <si>
    <t>237881126</t>
  </si>
  <si>
    <t>ocn237881126</t>
  </si>
  <si>
    <t>3102860699B</t>
  </si>
  <si>
    <t>9780415477109</t>
  </si>
  <si>
    <t>794373702</t>
  </si>
  <si>
    <t>P94.6 M426 2002</t>
  </si>
  <si>
    <t>0                      P  0094600M  426         2002</t>
  </si>
  <si>
    <t>Media worlds : anthropology on new terrain / edited by Faye D. Ginsburg, Lila Abu-Lughod, and Brian Larkin.</t>
  </si>
  <si>
    <t>Berkeley : University of California Press, ©2002.</t>
  </si>
  <si>
    <t>792302522:eng</t>
  </si>
  <si>
    <t>49011573</t>
  </si>
  <si>
    <t>ocm49011573</t>
  </si>
  <si>
    <t>31027433025</t>
  </si>
  <si>
    <t>9780520224483</t>
  </si>
  <si>
    <t>793732779</t>
  </si>
  <si>
    <t>P94.6 M435 2010</t>
  </si>
  <si>
    <t>0                      P  0094600M  435         2010</t>
  </si>
  <si>
    <t>Médias, dispositifs, médiations / sous la direction de Sylvie Thiéblemont-Dollet et Angeliki Koukoutsaki-Monnier.</t>
  </si>
  <si>
    <t>Nancy : Presses universitaires de Nancy, 2010.</t>
  </si>
  <si>
    <t>Interculturalités</t>
  </si>
  <si>
    <t>1004366122:fre</t>
  </si>
  <si>
    <t>642213043</t>
  </si>
  <si>
    <t>ocn642213043</t>
  </si>
  <si>
    <t>31033580232</t>
  </si>
  <si>
    <t>9782814300071</t>
  </si>
  <si>
    <t>794827946</t>
  </si>
  <si>
    <t>P94.6 M48 2014</t>
  </si>
  <si>
    <t>0                      P  0094600M  48          2014</t>
  </si>
  <si>
    <t>Metaphor and intercultural communication / edited by Andreas Musolff, Fiona MacArthur and Giulio Pagani.</t>
  </si>
  <si>
    <t>London ; New York : Bloomsbury Academic, 2014.</t>
  </si>
  <si>
    <t>1781466098:eng</t>
  </si>
  <si>
    <t>857981396</t>
  </si>
  <si>
    <t>ocn857981396</t>
  </si>
  <si>
    <t>3103531615C</t>
  </si>
  <si>
    <t>9781441165473</t>
  </si>
  <si>
    <t>794955667</t>
  </si>
  <si>
    <t>P94.6 N49 1997</t>
  </si>
  <si>
    <t>0                      P  0094600N  49          1997</t>
  </si>
  <si>
    <t>New ways in teaching culture / Alvino E. Fantini, editor.</t>
  </si>
  <si>
    <t>Alexandria, Va. : Teachers of English to Speakers of Other Languages, ©1997.</t>
  </si>
  <si>
    <t>New ways in TESOL series II</t>
  </si>
  <si>
    <t>2019-04-29</t>
  </si>
  <si>
    <t>355441661:eng</t>
  </si>
  <si>
    <t>38533437</t>
  </si>
  <si>
    <t>ocm38533437</t>
  </si>
  <si>
    <t>31034755976</t>
  </si>
  <si>
    <t>9780939791705</t>
  </si>
  <si>
    <t>793526230</t>
  </si>
  <si>
    <t>P94.6 N53 2012</t>
  </si>
  <si>
    <t>0                      P  0094600N  53          2012</t>
  </si>
  <si>
    <t>Narratives of place, belonging and language : an intercultural perspective / Máiréad Nic Craith.</t>
  </si>
  <si>
    <t>Nic Craith, Máiréad.</t>
  </si>
  <si>
    <t>1009143100:eng</t>
  </si>
  <si>
    <t>748328724</t>
  </si>
  <si>
    <t>ocn748328724</t>
  </si>
  <si>
    <t>31034087290</t>
  </si>
  <si>
    <t>9780230202634</t>
  </si>
  <si>
    <t>794888990</t>
  </si>
  <si>
    <t>P94.6 O5 2011</t>
  </si>
  <si>
    <t>0                      P  0094600O  5           2011</t>
  </si>
  <si>
    <t>On media memory : collective memory in a new media age / edited by Motti Neiger, Oren Meyers, and Eyal Zandberg.</t>
  </si>
  <si>
    <t>Palgrave Macmillan memory studies</t>
  </si>
  <si>
    <t>2015-11-23</t>
  </si>
  <si>
    <t>1004982500:eng</t>
  </si>
  <si>
    <t>698330421</t>
  </si>
  <si>
    <t>ocn698330421</t>
  </si>
  <si>
    <t>3103235519H</t>
  </si>
  <si>
    <t>9780230275683</t>
  </si>
  <si>
    <t>794860877</t>
  </si>
  <si>
    <t>P94.6 P38 2008</t>
  </si>
  <si>
    <t>0                      P  0094600P  38          2008</t>
  </si>
  <si>
    <t>Participation and media production : critical reflections on content creation / edited by Nico Carpentier and Benjamin De Cleen.</t>
  </si>
  <si>
    <t>Newcastle, UK : Cambridge Scholars Pub., 2008.</t>
  </si>
  <si>
    <t>796595315:eng</t>
  </si>
  <si>
    <t>191245069</t>
  </si>
  <si>
    <t>ocn191245069</t>
  </si>
  <si>
    <t>31028526978</t>
  </si>
  <si>
    <t>9781847184535</t>
  </si>
  <si>
    <t>794297606</t>
  </si>
  <si>
    <t>P94.6 P83 2012</t>
  </si>
  <si>
    <t>0                      P  0094600P  83          2012</t>
  </si>
  <si>
    <t>Public memory, public media, and the politics of justice / edited by Philip Lee, Pradip Ninan Thomas.</t>
  </si>
  <si>
    <t>1167253582:eng</t>
  </si>
  <si>
    <t>785873550</t>
  </si>
  <si>
    <t>ocn785873550</t>
  </si>
  <si>
    <t>3103431160N</t>
  </si>
  <si>
    <t>9780230354067</t>
  </si>
  <si>
    <t>794915608</t>
  </si>
  <si>
    <t>P94.6 R68 2012</t>
  </si>
  <si>
    <t>0                      P  0094600R  68          2012</t>
  </si>
  <si>
    <t>The Routledge handbook of language and intercultural communication / edited by Jane Jackson.</t>
  </si>
  <si>
    <t>Milton Park, Abingdon, Oxon ; New York, NY : Routledge, 2012.</t>
  </si>
  <si>
    <t>787984229:eng</t>
  </si>
  <si>
    <t>702941972</t>
  </si>
  <si>
    <t>ocn702941972</t>
  </si>
  <si>
    <t>3103471831P</t>
  </si>
  <si>
    <t>9780415709828</t>
  </si>
  <si>
    <t>794864391</t>
  </si>
  <si>
    <t>P94.6 S36 2012</t>
  </si>
  <si>
    <t>0                      P  0094600S  36          2012</t>
  </si>
  <si>
    <t>Intercultural communication : a discourse approach / Ron Scollon, Suzanne Wong Scollon, and Rodney H. Jones.</t>
  </si>
  <si>
    <t>Scollon, Ronald, 1939-</t>
  </si>
  <si>
    <t>Malden, MA : Wiley-Blackwell, 2012.</t>
  </si>
  <si>
    <t>Language in society ; 21</t>
  </si>
  <si>
    <t>4020051207:eng</t>
  </si>
  <si>
    <t>730054592</t>
  </si>
  <si>
    <t>ocn730054592</t>
  </si>
  <si>
    <t>3103408785P</t>
  </si>
  <si>
    <t>9780470656402</t>
  </si>
  <si>
    <t>794879861</t>
  </si>
  <si>
    <t>P94.6 S479 2010</t>
  </si>
  <si>
    <t>0                      P  0094600S  479         2010</t>
  </si>
  <si>
    <t>A beginner's guide to the deep culture experience : beneath the surface / Joseph Shaules.</t>
  </si>
  <si>
    <t>Shaules, Joseph.</t>
  </si>
  <si>
    <t>Boston : Intercultural Press, 2010.</t>
  </si>
  <si>
    <t>797303822:eng</t>
  </si>
  <si>
    <t>550553778</t>
  </si>
  <si>
    <t>ocn550553778</t>
  </si>
  <si>
    <t>3103231006D</t>
  </si>
  <si>
    <t>9780984247103</t>
  </si>
  <si>
    <t>794811402</t>
  </si>
  <si>
    <t>P94.6 S48 2007</t>
  </si>
  <si>
    <t>0                      P  0094600S  48          2007</t>
  </si>
  <si>
    <t>Deep culture : the hidden challenges of global living / Joseph Shaules.</t>
  </si>
  <si>
    <t>Clevedon ; Buffalo : Multilingual matters, ©2007.</t>
  </si>
  <si>
    <t>Languages for intercultural communication and education ; 16</t>
  </si>
  <si>
    <t>802711321:eng</t>
  </si>
  <si>
    <t>136778248</t>
  </si>
  <si>
    <t>ocn136778248</t>
  </si>
  <si>
    <t>3102648729C</t>
  </si>
  <si>
    <t>9781847690173</t>
  </si>
  <si>
    <t>794232676</t>
  </si>
  <si>
    <t>3102863993R</t>
  </si>
  <si>
    <t>794232677</t>
  </si>
  <si>
    <t>P94.6 S58 2010</t>
  </si>
  <si>
    <t>0                      P  0094600S  58          2010</t>
  </si>
  <si>
    <t>Slovarʹ po mezhkulʹturnoĭ kommunikat︠s︡ii : poni︠a︡tii︠a︡ i personalii / V.G. Zinchenko [and others].</t>
  </si>
  <si>
    <t>Moskva : Flinta : Nauka, 2010.</t>
  </si>
  <si>
    <t>764745299:rus</t>
  </si>
  <si>
    <t>692343106</t>
  </si>
  <si>
    <t>ocn692343106</t>
  </si>
  <si>
    <t>3103393266P</t>
  </si>
  <si>
    <t>9785976508439</t>
  </si>
  <si>
    <t>794856221</t>
  </si>
  <si>
    <t>P94.6 T54 2000</t>
  </si>
  <si>
    <t>0                      P  0094600T  54          2000</t>
  </si>
  <si>
    <t>Theories of the new media : a historical perspective / edited and with an introduction by John Thornton Caldwell.</t>
  </si>
  <si>
    <t>London : Athlone, c 2000.</t>
  </si>
  <si>
    <t>837011642:eng</t>
  </si>
  <si>
    <t>42875402</t>
  </si>
  <si>
    <t>ocm42875402</t>
  </si>
  <si>
    <t>3102743298R</t>
  </si>
  <si>
    <t>9780485300918</t>
  </si>
  <si>
    <t>793616410</t>
  </si>
  <si>
    <t>P94.6 T726 2011</t>
  </si>
  <si>
    <t>0                      P  0094600T  726         2011</t>
  </si>
  <si>
    <t>Transforming otherness / Jason Finch and Peter Nynas, editors.</t>
  </si>
  <si>
    <t>New Brunswick : Transaction Publishers, ©2011.</t>
  </si>
  <si>
    <t>506320607:eng</t>
  </si>
  <si>
    <t>642847987</t>
  </si>
  <si>
    <t>ocn642847987</t>
  </si>
  <si>
    <t>3103343592Z</t>
  </si>
  <si>
    <t>9781412814966</t>
  </si>
  <si>
    <t>794828548</t>
  </si>
  <si>
    <t>P94.6 T727 2009</t>
  </si>
  <si>
    <t>0                      P  0094600T  727         2009</t>
  </si>
  <si>
    <t>Translation of cultures / edited by Petra Rüdiger and Konrad Gross.</t>
  </si>
  <si>
    <t>Amsterdam ; New York : Rodopi, 2009.</t>
  </si>
  <si>
    <t>Cross/cultures ; 106</t>
  </si>
  <si>
    <t>1011369753:eng</t>
  </si>
  <si>
    <t>428006947</t>
  </si>
  <si>
    <t>ocn428006947</t>
  </si>
  <si>
    <t>31031348932</t>
  </si>
  <si>
    <t>9789042025967</t>
  </si>
  <si>
    <t>794745762</t>
  </si>
  <si>
    <t>P94.6 T87 2010</t>
  </si>
  <si>
    <t>0                      P  0094600T  87          2010</t>
  </si>
  <si>
    <t>Ordinary people and the media : the demotic turn / Graeme Turner.</t>
  </si>
  <si>
    <t>Turner, Graeme.</t>
  </si>
  <si>
    <t>Los Angeles : SAGE, 2010.</t>
  </si>
  <si>
    <t>Theory, culture &amp; society</t>
  </si>
  <si>
    <t>794361435:eng</t>
  </si>
  <si>
    <t>436265507</t>
  </si>
  <si>
    <t>ocn436265507</t>
  </si>
  <si>
    <t>31031313138</t>
  </si>
  <si>
    <t>9781848601666</t>
  </si>
  <si>
    <t>794784531</t>
  </si>
  <si>
    <t>P94.65 A45 R37 2012</t>
  </si>
  <si>
    <t>0                      P  0094650A  45                 R  37          2012</t>
  </si>
  <si>
    <t>Beyond the lettered city : indigenous literacies in the Andes / Joanne Rappaport and Thom Cummins.</t>
  </si>
  <si>
    <t>Rappaport, Joanne.</t>
  </si>
  <si>
    <t>Durham, NC : Duke University Press, 2012.</t>
  </si>
  <si>
    <t>Narrating native histories</t>
  </si>
  <si>
    <t>2017-09-27</t>
  </si>
  <si>
    <t>934895185:eng</t>
  </si>
  <si>
    <t>741273594</t>
  </si>
  <si>
    <t>ocn741273594</t>
  </si>
  <si>
    <t>31034057546</t>
  </si>
  <si>
    <t>9780822351160</t>
  </si>
  <si>
    <t>794883744</t>
  </si>
  <si>
    <t>P94.65 C6 N49 2010</t>
  </si>
  <si>
    <t>0                      P  0094650C  6                  N  49          2010</t>
  </si>
  <si>
    <t>New media for a new China / edited by James F. Scotton and William A. Hachten.</t>
  </si>
  <si>
    <t>Malden, Mass. : Wiley-Blackwell, ©2010.</t>
  </si>
  <si>
    <t>2013-11-24</t>
  </si>
  <si>
    <t>866879879:eng</t>
  </si>
  <si>
    <t>435422517</t>
  </si>
  <si>
    <t>ocn435422517</t>
  </si>
  <si>
    <t>3103242402T</t>
  </si>
  <si>
    <t>9781405187978</t>
  </si>
  <si>
    <t>794783325</t>
  </si>
  <si>
    <t>P94.65 E85 M35 2011</t>
  </si>
  <si>
    <t>0                      P  0094650E  85                 M  35          2011</t>
  </si>
  <si>
    <t>Les médias de la diversité culturelle dans les pays latins d'Europe / Annie Lenoble-Bart, Michel Mathien ; Françoise Albertini [and twenty-six others].</t>
  </si>
  <si>
    <t>Bruxelles : Bruylant, 2011.</t>
  </si>
  <si>
    <t>Collection Médias, sociétés et relations internationales ; 12</t>
  </si>
  <si>
    <t>5218864815:fre</t>
  </si>
  <si>
    <t>778054323</t>
  </si>
  <si>
    <t>ocn778054323</t>
  </si>
  <si>
    <t>31034383021</t>
  </si>
  <si>
    <t>9782802730743</t>
  </si>
  <si>
    <t>794909348</t>
  </si>
  <si>
    <t>P94.65 E85 R58 2005</t>
  </si>
  <si>
    <t>0                      P  0094650E  85                 R  58          2005</t>
  </si>
  <si>
    <t>Rituals, images and words : varieties of cultural expression in late medieval and early modern Europe / edited by F.W. Kent and Charles Zika.</t>
  </si>
  <si>
    <t>Turnhout : Brepols, 2005.</t>
  </si>
  <si>
    <t>Late medieval and early modern studies ; 3</t>
  </si>
  <si>
    <t>892688442:eng</t>
  </si>
  <si>
    <t>62345240</t>
  </si>
  <si>
    <t>ocm62345240</t>
  </si>
  <si>
    <t>3102675373B</t>
  </si>
  <si>
    <t>9782503509075</t>
  </si>
  <si>
    <t>794105734</t>
  </si>
  <si>
    <t>P94.65 G3 M37 2006</t>
  </si>
  <si>
    <t>0                      P  0094650G  3                  M  37          2006</t>
  </si>
  <si>
    <t>Mass media, culture and society in twentieth-century Germany / edited by Karl Christian Führer and Corey Ross.</t>
  </si>
  <si>
    <t>New perspectives in German studies</t>
  </si>
  <si>
    <t>766243088:eng</t>
  </si>
  <si>
    <t>65426002</t>
  </si>
  <si>
    <t>ocm65426002</t>
  </si>
  <si>
    <t>3102566577C</t>
  </si>
  <si>
    <t>9780230008380</t>
  </si>
  <si>
    <t>794134474</t>
  </si>
  <si>
    <t>P94.65 I4 C66 2010</t>
  </si>
  <si>
    <t>0                      P  0094650I  4                  C  66          2010</t>
  </si>
  <si>
    <t>Communication, culture and confrontation / edited by Bernard Bel [and others].</t>
  </si>
  <si>
    <t>Los Angeles : Sage, 2010.</t>
  </si>
  <si>
    <t>Communication processes ; v. 3</t>
  </si>
  <si>
    <t>2014-07-14</t>
  </si>
  <si>
    <t>426595041:eng</t>
  </si>
  <si>
    <t>463454422</t>
  </si>
  <si>
    <t>ocn463454422</t>
  </si>
  <si>
    <t>3103338455V</t>
  </si>
  <si>
    <t>9788132102274</t>
  </si>
  <si>
    <t>794792672</t>
  </si>
  <si>
    <t>P94.65 I4 S86 2010</t>
  </si>
  <si>
    <t>0                      P  0094650I  4                  S  86          2010</t>
  </si>
  <si>
    <t>Pirate modernity : Delhi's media urbanism / Ravi Sundaram.</t>
  </si>
  <si>
    <t>Sundaram, Ravi.</t>
  </si>
  <si>
    <t>London ; New York : Routledge, 2009.</t>
  </si>
  <si>
    <t>Asia's transformations</t>
  </si>
  <si>
    <t>2016-02-18</t>
  </si>
  <si>
    <t>802201950:eng</t>
  </si>
  <si>
    <t>297222667</t>
  </si>
  <si>
    <t>ocn297222667</t>
  </si>
  <si>
    <t>3102859861H</t>
  </si>
  <si>
    <t>9780415409667</t>
  </si>
  <si>
    <t>794427012</t>
  </si>
  <si>
    <t>P94.65 I8 B49 2010</t>
  </si>
  <si>
    <t>0                      P  0094650I  8                  B  49          2010</t>
  </si>
  <si>
    <t>Beyond monopoly : globalization and contemporary Italian media / edited by Michela Ardizzoni and Chiara Ferrari.</t>
  </si>
  <si>
    <t>2014-04-07</t>
  </si>
  <si>
    <t>866289076:eng</t>
  </si>
  <si>
    <t>445480124</t>
  </si>
  <si>
    <t>ocn445480124</t>
  </si>
  <si>
    <t>3103157492T</t>
  </si>
  <si>
    <t>9780739128510</t>
  </si>
  <si>
    <t>794787258</t>
  </si>
  <si>
    <t>P94.65 J3 D43 2016</t>
  </si>
  <si>
    <t>0                      P  0094650J  3                  D  43          2016</t>
  </si>
  <si>
    <t>Debating otaku in contemporary Japan : historical perspectives and new horizons / edited by Patrick W. Galbraith, Thiam Huat Kam and Björn-Ole Kamm.</t>
  </si>
  <si>
    <t>London ; New York : Bloomsbury Academic, 2016.</t>
  </si>
  <si>
    <t>SOAS studies in modern and contemporary Japan</t>
  </si>
  <si>
    <t>2018-11-09</t>
  </si>
  <si>
    <t>2496914927:eng</t>
  </si>
  <si>
    <t>1019821432</t>
  </si>
  <si>
    <t>on1019821432</t>
  </si>
  <si>
    <t>31037402752</t>
  </si>
  <si>
    <t>9781350014169</t>
  </si>
  <si>
    <t>795049441</t>
  </si>
  <si>
    <t>- Book Display - Regular Loan</t>
  </si>
  <si>
    <t>P94.65 J3 G35 2014</t>
  </si>
  <si>
    <t>0                      P  0094650J  3                  G  35          2014</t>
  </si>
  <si>
    <t>The Moé manifesto : an insider's look at the worlds of manga, anime, and gaming / Patrick W. Galbraith.</t>
  </si>
  <si>
    <t>Galbraith, Patrick W., author.</t>
  </si>
  <si>
    <t>Tokyo ; Rutland, Vermont : Tuttle Publishing, [2014]</t>
  </si>
  <si>
    <t>1376225354:eng</t>
  </si>
  <si>
    <t>855905684</t>
  </si>
  <si>
    <t>ocn855905684</t>
  </si>
  <si>
    <t>3103704948I</t>
  </si>
  <si>
    <t>9784805312827</t>
  </si>
  <si>
    <t>794953908</t>
  </si>
  <si>
    <t>P94.65 J3 I46 2012</t>
  </si>
  <si>
    <t>0                      P  0094650J  3                  I  46          2012</t>
  </si>
  <si>
    <t>Idols and celebrity in Japanese media culture / edited by Patrick W. Galbraith and Jason G. Karlin.</t>
  </si>
  <si>
    <t>1172629767:eng</t>
  </si>
  <si>
    <t>792880345</t>
  </si>
  <si>
    <t>ocn792880345</t>
  </si>
  <si>
    <t>3103428876E</t>
  </si>
  <si>
    <t>9780230298309</t>
  </si>
  <si>
    <t>794917187</t>
  </si>
  <si>
    <t>P94.65 K6 K66 2016</t>
  </si>
  <si>
    <t>0                      P  0094650K  6                  K  66          2016</t>
  </si>
  <si>
    <t>Korean screen cultures : interrogating cinema, tv, music and online games / edited by Andrew David Jackson and Colette Balmain.</t>
  </si>
  <si>
    <t>Oxford ; New York : Peter Lang, [2016]</t>
  </si>
  <si>
    <t>2889857122:eng</t>
  </si>
  <si>
    <t>921926754</t>
  </si>
  <si>
    <t>ocn921926754</t>
  </si>
  <si>
    <t>3103697195G</t>
  </si>
  <si>
    <t>9783034318228</t>
  </si>
  <si>
    <t>795003531</t>
  </si>
  <si>
    <t>P94.65 K6 K675 2017</t>
  </si>
  <si>
    <t>0                      P  0094650K  6                  K  675         2017</t>
  </si>
  <si>
    <t>The Korean Wave : evolution, fandom, and transnationality / edited by Tae-Jin Yoon and Dal Yong Jin.</t>
  </si>
  <si>
    <t>Lanham, Maryland : Lexington Books, [2017]</t>
  </si>
  <si>
    <t>4652656073:eng</t>
  </si>
  <si>
    <t>995284238</t>
  </si>
  <si>
    <t>ocn995284238</t>
  </si>
  <si>
    <t>3103866111K</t>
  </si>
  <si>
    <t>9781498555562</t>
  </si>
  <si>
    <t>795039402</t>
  </si>
  <si>
    <t>P94.65 K6 R87 2008</t>
  </si>
  <si>
    <t>0                      P  0094650K  6                  R  87          2008</t>
  </si>
  <si>
    <t>Pop goes Korea : behind the revolution in movies, music, and Internet culture / Mark James Russell.</t>
  </si>
  <si>
    <t>Russell, Mark James, 1970-</t>
  </si>
  <si>
    <t>Berkeley, Calif. : Stone Bridge Press, ©2008.</t>
  </si>
  <si>
    <t>2016-04-23</t>
  </si>
  <si>
    <t>908553584:eng</t>
  </si>
  <si>
    <t>182529145</t>
  </si>
  <si>
    <t>ocn182529145</t>
  </si>
  <si>
    <t>3103057404G</t>
  </si>
  <si>
    <t>9781933330686</t>
  </si>
  <si>
    <t>794284434</t>
  </si>
  <si>
    <t>P94.65 K7 B34 2016</t>
  </si>
  <si>
    <t>0                      P  0094650K  7                  B  34          2016</t>
  </si>
  <si>
    <t>North Korea's hidden revolution : how the information underground is transforming a closed society / Jieun Baek.</t>
  </si>
  <si>
    <t>Baek, Jieun, author.</t>
  </si>
  <si>
    <t>New Haven ; London : Yale University Press, [2016]</t>
  </si>
  <si>
    <t>3926140039:eng</t>
  </si>
  <si>
    <t>946481868</t>
  </si>
  <si>
    <t>ocn946481868</t>
  </si>
  <si>
    <t>3103657538$</t>
  </si>
  <si>
    <t>9780300217810</t>
  </si>
  <si>
    <t>795014515</t>
  </si>
  <si>
    <t>P94.65 L29 L46 1997</t>
  </si>
  <si>
    <t>0                      P  0094650L  29                 L  46          1997</t>
  </si>
  <si>
    <t>Lenguaje y comunicación intercultural en el mundo hispánico / Klaus Zimmermann y Christine Bierbach (eds.).</t>
  </si>
  <si>
    <t>Frankfurt am Main : Vervuert ; Madrid : Iberoamericana, 1997.</t>
  </si>
  <si>
    <t>Bibliotheca Ibero-Americana, 0067-8015 ; vol. 60</t>
  </si>
  <si>
    <t>2016-08-18</t>
  </si>
  <si>
    <t>762368595:spa</t>
  </si>
  <si>
    <t>42887938</t>
  </si>
  <si>
    <t>ocm42887938</t>
  </si>
  <si>
    <t>31026676337</t>
  </si>
  <si>
    <t>9783893545605</t>
  </si>
  <si>
    <t>793616657</t>
  </si>
  <si>
    <t>P94.65 L29 M44 2012</t>
  </si>
  <si>
    <t>0                      P  0094650L  29                 M  44          2012</t>
  </si>
  <si>
    <t>Media, sound, and culture in Latin America and the Caribbean / edited by Alejandra Bronfman and Andrew Grant Wood.</t>
  </si>
  <si>
    <t>Pittsburgh : University of Pittsburgh Press, ©2012.</t>
  </si>
  <si>
    <t>Pitt Latin American series</t>
  </si>
  <si>
    <t>2015-04-14</t>
  </si>
  <si>
    <t>1101289473:eng</t>
  </si>
  <si>
    <t>754713663</t>
  </si>
  <si>
    <t>ocn754713663</t>
  </si>
  <si>
    <t>3103430809I</t>
  </si>
  <si>
    <t>9780822961871</t>
  </si>
  <si>
    <t>794893014</t>
  </si>
  <si>
    <t>P94.65 U6 A28 2011</t>
  </si>
  <si>
    <t>0                      P  0094650U  6                  A  28          2011</t>
  </si>
  <si>
    <t>Acculturated / edited by Naomi Schaefer Riley and Christine Rosen.</t>
  </si>
  <si>
    <t>West Conshohocken, PA : Templeton Press, ©2011.</t>
  </si>
  <si>
    <t>2012-05-14</t>
  </si>
  <si>
    <t>663794106:eng</t>
  </si>
  <si>
    <t>666226969</t>
  </si>
  <si>
    <t>ocn666226969</t>
  </si>
  <si>
    <t>3103343316K</t>
  </si>
  <si>
    <t>9781599473727</t>
  </si>
  <si>
    <t>794844884</t>
  </si>
  <si>
    <t>P94.65 U6 C58 2004</t>
  </si>
  <si>
    <t>0                      P  0094650U  6                  C  58          2004</t>
  </si>
  <si>
    <t>Anti-intellectualism in American media : magazines &amp; higher education / Dane S. Claussen.</t>
  </si>
  <si>
    <t>Claussen, Dane S., 1963-</t>
  </si>
  <si>
    <t>New York : P. Lang, ©2004.</t>
  </si>
  <si>
    <t>Higher ed ; v. 11</t>
  </si>
  <si>
    <t>898708394:eng</t>
  </si>
  <si>
    <t>48449817</t>
  </si>
  <si>
    <t>ocm48449817</t>
  </si>
  <si>
    <t>31027433005</t>
  </si>
  <si>
    <t>9780820457215</t>
  </si>
  <si>
    <t>793721343</t>
  </si>
  <si>
    <t>P94.65 U6 G46 2003</t>
  </si>
  <si>
    <t>0                      P  0094650U  6                  G  46          2003</t>
  </si>
  <si>
    <t>Gender, race, and class in media : a text-reader / Gail Dines, Jean M. Humez, editors.</t>
  </si>
  <si>
    <t>Thousand Oaks : Sage Publications, ©2003.</t>
  </si>
  <si>
    <t>796280886:eng</t>
  </si>
  <si>
    <t>49531234</t>
  </si>
  <si>
    <t>ocm49531234</t>
  </si>
  <si>
    <t>3102734668M</t>
  </si>
  <si>
    <t>9780761922605</t>
  </si>
  <si>
    <t>793742286</t>
  </si>
  <si>
    <t>3102743295R</t>
  </si>
  <si>
    <t>793742287</t>
  </si>
  <si>
    <t>P94.65 U6 G46 2011</t>
  </si>
  <si>
    <t>0                      P  0094650U  6                  G  46          2011</t>
  </si>
  <si>
    <t>Gender, race, and class in media : a critical reader / editors, Gail Dines, Jean M. Humez.</t>
  </si>
  <si>
    <t>2017-05-25</t>
  </si>
  <si>
    <t>648922100</t>
  </si>
  <si>
    <t>ocn648922100</t>
  </si>
  <si>
    <t>3103313591D</t>
  </si>
  <si>
    <t>9781412974417</t>
  </si>
  <si>
    <t>794831379</t>
  </si>
  <si>
    <t>P94.65 U6 G46 2015</t>
  </si>
  <si>
    <t>0                      P  0094650U  6                  G  46          2015</t>
  </si>
  <si>
    <t>Gender, race, and class in media : a critical reader / Gail Dines, Wheelock College ; Jean M. Humez, University of Massachusetts, Boston, Editors.</t>
  </si>
  <si>
    <t>Los Angeles : SAGE, [2015]</t>
  </si>
  <si>
    <t>861755014</t>
  </si>
  <si>
    <t>ocn861755014</t>
  </si>
  <si>
    <t>3103565800E</t>
  </si>
  <si>
    <t>9781452259062</t>
  </si>
  <si>
    <t>794959582</t>
  </si>
  <si>
    <t>P94.65 U6 J46 2006</t>
  </si>
  <si>
    <t>0                      P  0094650U  6                  J  46          2006</t>
  </si>
  <si>
    <t>Convergence culture : where old and new media collide / Henry Jenkins.</t>
  </si>
  <si>
    <t>Jenkins, Henry, 1958-</t>
  </si>
  <si>
    <t>New York : New York University Press, ©2006.</t>
  </si>
  <si>
    <t>796332569:eng</t>
  </si>
  <si>
    <t>64594290</t>
  </si>
  <si>
    <t>ocm64594290</t>
  </si>
  <si>
    <t>31025877036</t>
  </si>
  <si>
    <t>9780814742815</t>
  </si>
  <si>
    <t>794130656</t>
  </si>
  <si>
    <t>P94.65 U6 M57 2016</t>
  </si>
  <si>
    <t>0                      P  0094650U  6                  M  57          2016</t>
  </si>
  <si>
    <t>Hearts and mines : the US empire's culture industry / Tanner Mirrlees.</t>
  </si>
  <si>
    <t>Mirrlees, Tanner, author.</t>
  </si>
  <si>
    <t>Vancouver : UBC Press, [2016]</t>
  </si>
  <si>
    <t>2579912978:eng</t>
  </si>
  <si>
    <t>907657359</t>
  </si>
  <si>
    <t>ocn907657359</t>
  </si>
  <si>
    <t>3103645841E</t>
  </si>
  <si>
    <t>9780774830140</t>
  </si>
  <si>
    <t>794993738</t>
  </si>
  <si>
    <t>P94.7 B68 2008</t>
  </si>
  <si>
    <t>0                      P  0094700B  68          2008</t>
  </si>
  <si>
    <t>Impoliteness in interaction / Derek Bousfield.</t>
  </si>
  <si>
    <t>Bousfield, Derek.</t>
  </si>
  <si>
    <t>Amsterdam ; Philadelphia : John Benjamins Pub., ©2008.</t>
  </si>
  <si>
    <t>Pragmatics &amp; beyond, 0922-842X ; new ser., v. 167</t>
  </si>
  <si>
    <t>2017-02-09</t>
  </si>
  <si>
    <t>5219205753:eng</t>
  </si>
  <si>
    <t>164802387</t>
  </si>
  <si>
    <t>ocn164802387</t>
  </si>
  <si>
    <t>31026503744</t>
  </si>
  <si>
    <t>9789027254115</t>
  </si>
  <si>
    <t>794258940</t>
  </si>
  <si>
    <t>P94.7 F33 2009</t>
  </si>
  <si>
    <t>0                      P  0094700F  33          2009</t>
  </si>
  <si>
    <t>Face, communication and social interaction / edited by Francesca Bargiela-Chiappini and Michael Haugh.</t>
  </si>
  <si>
    <t>London ; Oakville, CT : Equinox Pub., 2009.</t>
  </si>
  <si>
    <t>2016-02-10</t>
  </si>
  <si>
    <t>1076487592:eng</t>
  </si>
  <si>
    <t>226304710</t>
  </si>
  <si>
    <t>ocn226304710</t>
  </si>
  <si>
    <t>3102858651T</t>
  </si>
  <si>
    <t>9781845539139</t>
  </si>
  <si>
    <t>794344794</t>
  </si>
  <si>
    <t>P94.7 H83 2014</t>
  </si>
  <si>
    <t>0                      P  0094700H  83          2014</t>
  </si>
  <si>
    <t>Exploring intercultural communication : language in action / Zhu Hua.</t>
  </si>
  <si>
    <t>Hua, Zhu, 1970-</t>
  </si>
  <si>
    <t>Milton Park, Abingdon, Oxon : Routledge, 2014.</t>
  </si>
  <si>
    <t>1376643843:eng</t>
  </si>
  <si>
    <t>783168955</t>
  </si>
  <si>
    <t>ocn783168955</t>
  </si>
  <si>
    <t>3103501860B</t>
  </si>
  <si>
    <t>9780415585507</t>
  </si>
  <si>
    <t>794914106</t>
  </si>
  <si>
    <t>P94.7 I48 2010</t>
  </si>
  <si>
    <t>0                      P  0094700I  48          2010</t>
  </si>
  <si>
    <t>Interpersonal pragmatics / edited by Miriam A. Locher, Sage L. Graham.</t>
  </si>
  <si>
    <t>Handbooks of pragmatics ; v. 6.</t>
  </si>
  <si>
    <t>861815173:eng</t>
  </si>
  <si>
    <t>642204945</t>
  </si>
  <si>
    <t>ocn642204945</t>
  </si>
  <si>
    <t>3103237302H</t>
  </si>
  <si>
    <t>9783110214321</t>
  </si>
  <si>
    <t>794827927</t>
  </si>
  <si>
    <t>P94.7 M674 2006</t>
  </si>
  <si>
    <t>0                      P  0094700M  674         2006</t>
  </si>
  <si>
    <t>Human conflict : disagreement, misunderstanding, and problematic talk / C. David Mortensen.</t>
  </si>
  <si>
    <t>Mortensen, C. David.</t>
  </si>
  <si>
    <t>Lanham, Md. : Rowman &amp; Littlefield Publishers, ©2006.</t>
  </si>
  <si>
    <t>1009248:eng</t>
  </si>
  <si>
    <t>58789986</t>
  </si>
  <si>
    <t>ocm58789986</t>
  </si>
  <si>
    <t>3102491433Y</t>
  </si>
  <si>
    <t>9780742527294</t>
  </si>
  <si>
    <t>793924298</t>
  </si>
  <si>
    <t>P94.7 O37 2014</t>
  </si>
  <si>
    <t>0                      P  0094700O  37          2014</t>
  </si>
  <si>
    <t>Cleopatra at the breakfast table : why I studied Latin with my teenager and how I discovered the daughterland / by Peter O'Brien.</t>
  </si>
  <si>
    <t>O'Brien, Peter, 1957- author.</t>
  </si>
  <si>
    <t>Toronto : Fourfront Editions, [2014]</t>
  </si>
  <si>
    <t>3956852060:eng</t>
  </si>
  <si>
    <t>866622004</t>
  </si>
  <si>
    <t>ocn866622004</t>
  </si>
  <si>
    <t>3103494534C</t>
  </si>
  <si>
    <t>9781927443668</t>
  </si>
  <si>
    <t>794963567</t>
  </si>
  <si>
    <t>P94.7 S36 2013</t>
  </si>
  <si>
    <t>0                      P  0094700S  36          2013</t>
  </si>
  <si>
    <t>Exploring professional communication : language in action / Stephanie Schnurr.</t>
  </si>
  <si>
    <t>Schnurr, Stephanie, 1975-</t>
  </si>
  <si>
    <t>2014-12-06</t>
  </si>
  <si>
    <t>1176883690:eng</t>
  </si>
  <si>
    <t>742512428</t>
  </si>
  <si>
    <t>ocn742512428</t>
  </si>
  <si>
    <t>3103430986$</t>
  </si>
  <si>
    <t>9780415584814</t>
  </si>
  <si>
    <t>794885138</t>
  </si>
  <si>
    <t>P94.7 S53 1998</t>
  </si>
  <si>
    <t>0                      P  0094700S  53          1998</t>
  </si>
  <si>
    <t>Dialectical approaches to studying personal relationships / edited by Barbara M. Montgomery, Leslie A. Baxter.</t>
  </si>
  <si>
    <t>352265196:eng</t>
  </si>
  <si>
    <t>37606285</t>
  </si>
  <si>
    <t>ocm37606285</t>
  </si>
  <si>
    <t>3102743290R</t>
  </si>
  <si>
    <t>9780805821123</t>
  </si>
  <si>
    <t>793502672</t>
  </si>
  <si>
    <t>P95 A35 1988</t>
  </si>
  <si>
    <t>0                      P  0095000A  35          1988</t>
  </si>
  <si>
    <t>You are the message : secrets of the master communicators / Roger Ailes, with Jon Kraushar.</t>
  </si>
  <si>
    <t>Ailes, Roger.</t>
  </si>
  <si>
    <t>Homewood, Ill. : Dow Jones-Irwin, ©1988.</t>
  </si>
  <si>
    <t>4202296237:eng</t>
  </si>
  <si>
    <t>17296505</t>
  </si>
  <si>
    <t>ocm17296505</t>
  </si>
  <si>
    <t>3102743291R</t>
  </si>
  <si>
    <t>9780870949760</t>
  </si>
  <si>
    <t>792986773</t>
  </si>
  <si>
    <t>P95 A76 1987</t>
  </si>
  <si>
    <t>0                      P  0095000A  76          1987</t>
  </si>
  <si>
    <t>InterGrammar : toward an integrative model of verbal, prosodic, and kinesic choices in speech / by Horst Arndt, Richard Wayne Janney.</t>
  </si>
  <si>
    <t>Arndt, Horst, 1929-</t>
  </si>
  <si>
    <t>Studies in anthropological linguistics ; 2</t>
  </si>
  <si>
    <t>321134871:eng</t>
  </si>
  <si>
    <t>16527107</t>
  </si>
  <si>
    <t>ocm16527107</t>
  </si>
  <si>
    <t>3102743372S</t>
  </si>
  <si>
    <t>9780899253312</t>
  </si>
  <si>
    <t>792965026</t>
  </si>
  <si>
    <t>P95 B65 1984</t>
  </si>
  <si>
    <t>0                      P  0095000B  65          1984</t>
  </si>
  <si>
    <t>Speech science primer : physiology, acoustics, and perception of speech / Gloria J. Borden, Katherine S. Harris.</t>
  </si>
  <si>
    <t>Borden, Gloria J.</t>
  </si>
  <si>
    <t>Baltimore : Williams &amp; Wilkins, 1983, ©1984.</t>
  </si>
  <si>
    <t>3700636:eng</t>
  </si>
  <si>
    <t>10147375</t>
  </si>
  <si>
    <t>ocm10147375</t>
  </si>
  <si>
    <t>3100009153V</t>
  </si>
  <si>
    <t>9780683009422</t>
  </si>
  <si>
    <t>792711527</t>
  </si>
  <si>
    <t>P95 B65 2011</t>
  </si>
  <si>
    <t>0                      P  0095000B  65          2011</t>
  </si>
  <si>
    <t>Speech science primer : physiology, acoustics, and perception of speech / Lawrence J. Raphael, Gloria J. Borden, Katherine S. Harris.</t>
  </si>
  <si>
    <t>Raphael, Lawrence J.</t>
  </si>
  <si>
    <t>Baltimore, MD : Wolters Kluwer Health/Lippincott Williams &amp; Wilkins, ©2011.</t>
  </si>
  <si>
    <t>2017-09-10</t>
  </si>
  <si>
    <t>669122279</t>
  </si>
  <si>
    <t>ocn669122279</t>
  </si>
  <si>
    <t>31033220450</t>
  </si>
  <si>
    <t>9781608313570</t>
  </si>
  <si>
    <t>794846703</t>
  </si>
  <si>
    <t>P95 B77 1995</t>
  </si>
  <si>
    <t>0                      P  0095000B  77          1995</t>
  </si>
  <si>
    <t>Speakers, listeners, and communication : explorations in discourse analysis / Gillian Brown.</t>
  </si>
  <si>
    <t>Brown, Gillian.</t>
  </si>
  <si>
    <t>Cambridge ; New York, NY, USA : Cambridge University Press, 1995.</t>
  </si>
  <si>
    <t>837002364:eng</t>
  </si>
  <si>
    <t>31737545</t>
  </si>
  <si>
    <t>ocm31737545</t>
  </si>
  <si>
    <t>3102743362U</t>
  </si>
  <si>
    <t>9780521587051</t>
  </si>
  <si>
    <t>793366746</t>
  </si>
  <si>
    <t>P95 B97 2010</t>
  </si>
  <si>
    <t>0                      P  0095000B  97          2010</t>
  </si>
  <si>
    <t>Discovering speech, words, and mind / Dani Byrd and Toben H. Mintz.</t>
  </si>
  <si>
    <t>Byrd, Dani.</t>
  </si>
  <si>
    <t>2018-07-16</t>
  </si>
  <si>
    <t>323294721:eng</t>
  </si>
  <si>
    <t>784171295</t>
  </si>
  <si>
    <t>ocn784171295</t>
  </si>
  <si>
    <t>31036584419</t>
  </si>
  <si>
    <t>9781405157995</t>
  </si>
  <si>
    <t>794914452</t>
  </si>
  <si>
    <t>31036592705</t>
  </si>
  <si>
    <t>794914451</t>
  </si>
  <si>
    <t>P95 C38613 2005</t>
  </si>
  <si>
    <t>0                      P  0095000C  38613       2005</t>
  </si>
  <si>
    <t>For more than one voice : toward a philosophy of vocal expression / Adriana Cavarero ; translated and with an introduction by Paul A. Kottman.</t>
  </si>
  <si>
    <t>Cavarero, Adriana, author.</t>
  </si>
  <si>
    <t>Stanford, Calif. : Stanford University Press, 2005.</t>
  </si>
  <si>
    <t>2018-04-14</t>
  </si>
  <si>
    <t>2542277119:eng</t>
  </si>
  <si>
    <t>55680035</t>
  </si>
  <si>
    <t>ocm55680035</t>
  </si>
  <si>
    <t>3102743347Y</t>
  </si>
  <si>
    <t>9780804749541</t>
  </si>
  <si>
    <t>793880868</t>
  </si>
  <si>
    <t>P95 C6</t>
  </si>
  <si>
    <t>0                      P  0095000C  6</t>
  </si>
  <si>
    <t>Conversational routine : explorations in standardized communication situations and prepatterned speech / edited by Florian Coulmas.</t>
  </si>
  <si>
    <t>The Hague ; New York : Mouton Publishers, ©1981.</t>
  </si>
  <si>
    <t>Janua linguarum : Series maior ; 96</t>
  </si>
  <si>
    <t>2018-06-28</t>
  </si>
  <si>
    <t>878686204:eng</t>
  </si>
  <si>
    <t>237419259</t>
  </si>
  <si>
    <t>ocn237419259</t>
  </si>
  <si>
    <t>3102743342Y</t>
  </si>
  <si>
    <t>9789027930989</t>
  </si>
  <si>
    <t>794373311</t>
  </si>
  <si>
    <t>P95 G58</t>
  </si>
  <si>
    <t>0                      P  0095000G  58</t>
  </si>
  <si>
    <t>Forms of talk / Erving Goffman.</t>
  </si>
  <si>
    <t>Goffman, Erving.</t>
  </si>
  <si>
    <t>Philadelphia : University of Pennsylvania Press, ©1981.</t>
  </si>
  <si>
    <t>University of Pennsylvania publications in conduct and communication</t>
  </si>
  <si>
    <t>1010206:eng</t>
  </si>
  <si>
    <t>7276738</t>
  </si>
  <si>
    <t>ocm07276738</t>
  </si>
  <si>
    <t>3102743348Y</t>
  </si>
  <si>
    <t>9780812277906</t>
  </si>
  <si>
    <t>792550668</t>
  </si>
  <si>
    <t>3102743358W</t>
  </si>
  <si>
    <t>792550667</t>
  </si>
  <si>
    <t>3102743343Y</t>
  </si>
  <si>
    <t>792550669</t>
  </si>
  <si>
    <t>P95 I55 1986</t>
  </si>
  <si>
    <t>0                      P  0095000I  55          1986</t>
  </si>
  <si>
    <t>Invariance and variability in speech processes / edited by Joseph S. Perkell, Dennis H. Klatt.</t>
  </si>
  <si>
    <t>Hillsdale, N.J. : Lawrence Erlbaum Associates, 1986.</t>
  </si>
  <si>
    <t>2016-09-21</t>
  </si>
  <si>
    <t>353534134:eng</t>
  </si>
  <si>
    <t>12908890</t>
  </si>
  <si>
    <t>ocm12908890</t>
  </si>
  <si>
    <t>3102743364U</t>
  </si>
  <si>
    <t>9780898595451</t>
  </si>
  <si>
    <t>792832498</t>
  </si>
  <si>
    <t>P95 L226 2015</t>
  </si>
  <si>
    <t>0                      P  0095000L  226         2015</t>
  </si>
  <si>
    <t>Recherches sur la parole / Jean-Yves Lacoste.</t>
  </si>
  <si>
    <t>Lacoste, Jean-Yves, author.</t>
  </si>
  <si>
    <t>Louvain [Belgium] ; Paris ; Bristol, CT : Peeters, 2015.</t>
  </si>
  <si>
    <t>Bibliothèque philosophique de Louvain ; 94</t>
  </si>
  <si>
    <t>2522640157:fre</t>
  </si>
  <si>
    <t>908917297</t>
  </si>
  <si>
    <t>ocn908917297</t>
  </si>
  <si>
    <t>31036286566</t>
  </si>
  <si>
    <t>9789042931916</t>
  </si>
  <si>
    <t>794995136</t>
  </si>
  <si>
    <t>P95 N5 1993</t>
  </si>
  <si>
    <t>0                      P  0095000N  5           1993</t>
  </si>
  <si>
    <t>Power in language : verbal communication and social influence / Sik Hung Ng, James J. Bradac.</t>
  </si>
  <si>
    <t>Ng, Sik Hung.</t>
  </si>
  <si>
    <t>Newbury Park : Sage Publications, ©1993.</t>
  </si>
  <si>
    <t>Language and language behaviors ; vol. 3</t>
  </si>
  <si>
    <t>836730234:eng</t>
  </si>
  <si>
    <t>27810574</t>
  </si>
  <si>
    <t>ocm27810574</t>
  </si>
  <si>
    <t>3102743366U</t>
  </si>
  <si>
    <t>9780803944220</t>
  </si>
  <si>
    <t>793272462</t>
  </si>
  <si>
    <t>P95 O74 2000</t>
  </si>
  <si>
    <t>0                      P  0095000O  74          2000</t>
  </si>
  <si>
    <t>Speech communications : human and machine / Douglas O'Shaughnessy.</t>
  </si>
  <si>
    <t>O'Shaughnessy, Douglas, 1950-</t>
  </si>
  <si>
    <t>New York : Institute of Electrical and Electronics Engineers, ©2000.</t>
  </si>
  <si>
    <t>2019-01-17</t>
  </si>
  <si>
    <t>26486649:eng</t>
  </si>
  <si>
    <t>41256311</t>
  </si>
  <si>
    <t>ocm41256311</t>
  </si>
  <si>
    <t>3103307195E</t>
  </si>
  <si>
    <t>9780780334496</t>
  </si>
  <si>
    <t>793587560</t>
  </si>
  <si>
    <t>2019-01-15</t>
  </si>
  <si>
    <t>3103306347M</t>
  </si>
  <si>
    <t>793587561</t>
  </si>
  <si>
    <t>P95 P68 1987</t>
  </si>
  <si>
    <t>0                      P  0095000P  68          1987</t>
  </si>
  <si>
    <t>Discourse and social psychology : beyond attitudes and behaviour / Jonathan Potter and Margaret Wetherell.</t>
  </si>
  <si>
    <t>Potter, Jonathan, 1956-</t>
  </si>
  <si>
    <t>London ; Newbury Park, Calif. : Sage Publications, 1987.</t>
  </si>
  <si>
    <t>2019-02-11</t>
  </si>
  <si>
    <t>325366608:eng</t>
  </si>
  <si>
    <t>16462607</t>
  </si>
  <si>
    <t>ocm16462607</t>
  </si>
  <si>
    <t>3000482101J</t>
  </si>
  <si>
    <t>9780803980556</t>
  </si>
  <si>
    <t>792963273</t>
  </si>
  <si>
    <t>P95 P74 2011</t>
  </si>
  <si>
    <t>0                      P  0095000P  74          2011</t>
  </si>
  <si>
    <t>Primate communication and human language : vocalisation, gestures, imitation and deixis in humans and non-humans / edited by Anne Vilain, Jean-Luc Schwartz, Christian Abry, Jacques Vauclair.</t>
  </si>
  <si>
    <t>Advances in interaction studies (AIS), 1879-873X ; v. 1</t>
  </si>
  <si>
    <t>2012-09-05</t>
  </si>
  <si>
    <t>902467108:eng</t>
  </si>
  <si>
    <t>671573459</t>
  </si>
  <si>
    <t>ocn671573459</t>
  </si>
  <si>
    <t>3103364493O</t>
  </si>
  <si>
    <t>9789027204547</t>
  </si>
  <si>
    <t>794848874</t>
  </si>
  <si>
    <t>P95 R65 1989</t>
  </si>
  <si>
    <t>0                      P  0095000R  65          1989</t>
  </si>
  <si>
    <t>The telephone book : technology--schizophrenia--electric speech / Avital Ronell.</t>
  </si>
  <si>
    <t>Ronell, Avital.</t>
  </si>
  <si>
    <t>Lincoln : University of Nebraska Press, ©1989.</t>
  </si>
  <si>
    <t>138663830:eng</t>
  </si>
  <si>
    <t>18589150</t>
  </si>
  <si>
    <t>ocm18589150</t>
  </si>
  <si>
    <t>3102743338$</t>
  </si>
  <si>
    <t>9780803238763</t>
  </si>
  <si>
    <t>793029999</t>
  </si>
  <si>
    <t>P95 S625 2010</t>
  </si>
  <si>
    <t>0                      P  0095000S  625         2010</t>
  </si>
  <si>
    <t>Spoken communication / edited by Massimo Pettorino [and others].</t>
  </si>
  <si>
    <t>Newcastle upon Tyne : Cambridge Scholars, ©2010.</t>
  </si>
  <si>
    <t>903307744:eng</t>
  </si>
  <si>
    <t>646393779</t>
  </si>
  <si>
    <t>ocn646393779</t>
  </si>
  <si>
    <t>3103230454W</t>
  </si>
  <si>
    <t>9781443822763</t>
  </si>
  <si>
    <t>794830351</t>
  </si>
  <si>
    <t>P95 T286 1999</t>
  </si>
  <si>
    <t>0                      P  0095000T  286         1999</t>
  </si>
  <si>
    <t>Talk, work, and institutional order : discourse in medical, mediation, and management settings / edited by Srikant Sarangi, Celia Roberts.</t>
  </si>
  <si>
    <t>Language, power, and social process ; 1</t>
  </si>
  <si>
    <t>891391588:eng</t>
  </si>
  <si>
    <t>41645959</t>
  </si>
  <si>
    <t>ocm41645959</t>
  </si>
  <si>
    <t>3102789725J</t>
  </si>
  <si>
    <t>9783110157239</t>
  </si>
  <si>
    <t>793595933</t>
  </si>
  <si>
    <t>P95 T32 2006</t>
  </si>
  <si>
    <t>0                      P  0095000T  32          2006</t>
  </si>
  <si>
    <t>Speech production and perception / Mark Tatham and Katherine Morton.</t>
  </si>
  <si>
    <t>Tatham, Mark.</t>
  </si>
  <si>
    <t>Houndmills, Basingstoke, Hampshire ; New York : Palgrave Macmillan, 2006.</t>
  </si>
  <si>
    <t>46267507:eng</t>
  </si>
  <si>
    <t>61731462</t>
  </si>
  <si>
    <t>ocm61731462</t>
  </si>
  <si>
    <t>3102565766C</t>
  </si>
  <si>
    <t>9781403917324</t>
  </si>
  <si>
    <t>794092021</t>
  </si>
  <si>
    <t>P95 T32 2011</t>
  </si>
  <si>
    <t>0                      P  0095000T  32          2011</t>
  </si>
  <si>
    <t>A guide to speech production and perception / Mark Tatham and Katherine Morton.</t>
  </si>
  <si>
    <t>374124208:eng</t>
  </si>
  <si>
    <t>500818360</t>
  </si>
  <si>
    <t>ocn500818360</t>
  </si>
  <si>
    <t>3103341301U</t>
  </si>
  <si>
    <t>9780748636525</t>
  </si>
  <si>
    <t>794804220</t>
  </si>
  <si>
    <t>P95 T36 1992</t>
  </si>
  <si>
    <t>0                      P  0095000T  36          1992</t>
  </si>
  <si>
    <t>Talk at work : interaction in institutional settings / edited by Paul Drew and John Heritage.</t>
  </si>
  <si>
    <t>Studies in interactional sociolinguistics ; 8</t>
  </si>
  <si>
    <t>806464186:eng</t>
  </si>
  <si>
    <t>24954051</t>
  </si>
  <si>
    <t>ocm24954051</t>
  </si>
  <si>
    <t>3102784923X</t>
  </si>
  <si>
    <t>9780521374897</t>
  </si>
  <si>
    <t>793208956</t>
  </si>
  <si>
    <t>P95 T562 1998</t>
  </si>
  <si>
    <t>0                      P  0095000T  562         1998</t>
  </si>
  <si>
    <t>Time, memory, and the verbal arts : essays on the thought of Walter Ong / edited by Dennis L. Weeks and Jane Hoogestraat.</t>
  </si>
  <si>
    <t>Selinsgrove : Susquehanna University Press, ©1998.</t>
  </si>
  <si>
    <t>2019-11-08</t>
  </si>
  <si>
    <t>476254097:eng</t>
  </si>
  <si>
    <t>38216283</t>
  </si>
  <si>
    <t>ocm38216283</t>
  </si>
  <si>
    <t>3102743333$</t>
  </si>
  <si>
    <t>9781575910093</t>
  </si>
  <si>
    <t>793519013</t>
  </si>
  <si>
    <t>P95.3 H84 2011</t>
  </si>
  <si>
    <t>0                      P  0095300H  84          2011</t>
  </si>
  <si>
    <t>Teaching and researching speaking / Rebecca Hughes.</t>
  </si>
  <si>
    <t>Hughes, Rebecca, 1962-</t>
  </si>
  <si>
    <t>Harlow, UK : Longman/Pearson, 2011.</t>
  </si>
  <si>
    <t>2012-10-24</t>
  </si>
  <si>
    <t>145369586:eng</t>
  </si>
  <si>
    <t>653842751</t>
  </si>
  <si>
    <t>ocn653842751</t>
  </si>
  <si>
    <t>3103345140C</t>
  </si>
  <si>
    <t>9781408205044</t>
  </si>
  <si>
    <t>794833851</t>
  </si>
  <si>
    <t>P95.3 L33 2007</t>
  </si>
  <si>
    <t>0                      P  0095300L  33          2007</t>
  </si>
  <si>
    <t>Enseigner l'oral au secondaire : séquences didactiques intégrées et outils d'évaluation / Lizanne Lafontaine.</t>
  </si>
  <si>
    <t>Lafontaine, Lizanne, 1968-</t>
  </si>
  <si>
    <t>Montréal : Chenelière éducation, [20]06, c2007.</t>
  </si>
  <si>
    <t>Chenelière/Didactique. Langue et communication</t>
  </si>
  <si>
    <t>58290744:fre</t>
  </si>
  <si>
    <t>71345014</t>
  </si>
  <si>
    <t>ocm71345014</t>
  </si>
  <si>
    <t>3102552934T</t>
  </si>
  <si>
    <t>9782765009191</t>
  </si>
  <si>
    <t>794165853</t>
  </si>
  <si>
    <t>P95.3 S665 2011</t>
  </si>
  <si>
    <t>0                      P  0095300S  665         2011</t>
  </si>
  <si>
    <t>Spoken language understanding : systems for extracting semantic information from speech / [editors] Gokhan Tur, Renato De Mori.</t>
  </si>
  <si>
    <t>Hoboken, NJ : Wiley, 2011.</t>
  </si>
  <si>
    <t>2012-08-06</t>
  </si>
  <si>
    <t>760650880:eng</t>
  </si>
  <si>
    <t>682895188</t>
  </si>
  <si>
    <t>ocn682895188</t>
  </si>
  <si>
    <t>3103364592L</t>
  </si>
  <si>
    <t>9780470688243</t>
  </si>
  <si>
    <t>794853105</t>
  </si>
  <si>
    <t>P95.3 T35 2007</t>
  </si>
  <si>
    <t>0                      P  0095300T  35          2007</t>
  </si>
  <si>
    <t>Talking texts : how speech and writing interact in school learning / edited by Rosalind Horowitz.</t>
  </si>
  <si>
    <t>Mahwah, N.J. : L. Erlbaum Associates, 2007.</t>
  </si>
  <si>
    <t>2015-07-24</t>
  </si>
  <si>
    <t>891546599:eng</t>
  </si>
  <si>
    <t>70230593</t>
  </si>
  <si>
    <t>ocm70230593</t>
  </si>
  <si>
    <t>3103135801G</t>
  </si>
  <si>
    <t>9780805853049</t>
  </si>
  <si>
    <t>794151132</t>
  </si>
  <si>
    <t>P95.45 A54 2013</t>
  </si>
  <si>
    <t>0                      P  0095450A  54          2013</t>
  </si>
  <si>
    <t>Living room revolution : a handbook for conversation, community and the common good / Cecile Andrews.</t>
  </si>
  <si>
    <t>Andrews, Cecile, author.</t>
  </si>
  <si>
    <t>Gabriola Island, BC : New Society Publishers, [2013]</t>
  </si>
  <si>
    <t>1232407456:eng</t>
  </si>
  <si>
    <t>812258671</t>
  </si>
  <si>
    <t>ocn812258671</t>
  </si>
  <si>
    <t>3103423693$</t>
  </si>
  <si>
    <t>9780865717336</t>
  </si>
  <si>
    <t>794930889</t>
  </si>
  <si>
    <t>P95.45 A65 2011</t>
  </si>
  <si>
    <t>0                      P  0095450A  65          2011</t>
  </si>
  <si>
    <t>Applied conversation analysis : intervention and change in institutional talk / edited by Charles Antaki.</t>
  </si>
  <si>
    <t>772781506:eng</t>
  </si>
  <si>
    <t>698330364</t>
  </si>
  <si>
    <t>ocn698330364</t>
  </si>
  <si>
    <t>3103381016H</t>
  </si>
  <si>
    <t>9780230229969</t>
  </si>
  <si>
    <t>794860849</t>
  </si>
  <si>
    <t>P95.45 A66 2005</t>
  </si>
  <si>
    <t>0                      P  0095450A  66          2005</t>
  </si>
  <si>
    <t>Applying conversation analysis / edited by Keith Richards, Paul Seedhouse.</t>
  </si>
  <si>
    <t>Houndmills, Basingstoke, Hampshire ; New York : Palgrave Macmillan, 2005.</t>
  </si>
  <si>
    <t>354221603:eng</t>
  </si>
  <si>
    <t>56085628</t>
  </si>
  <si>
    <t>ocm56085628</t>
  </si>
  <si>
    <t>3102743421Z</t>
  </si>
  <si>
    <t>9781403942333</t>
  </si>
  <si>
    <t>793887411</t>
  </si>
  <si>
    <t>P95.45 B87 1993</t>
  </si>
  <si>
    <t>0                      P  0095450B  87          1993</t>
  </si>
  <si>
    <t>The art of conversation / Peter Burke.</t>
  </si>
  <si>
    <t>Ithaca, NY : Cornell University Press, 1993.</t>
  </si>
  <si>
    <t>3943809116:eng</t>
  </si>
  <si>
    <t>28065591</t>
  </si>
  <si>
    <t>ocm28065591</t>
  </si>
  <si>
    <t>31027434120</t>
  </si>
  <si>
    <t>9780801429569</t>
  </si>
  <si>
    <t>793279004</t>
  </si>
  <si>
    <t>P95.45 C66438 2009</t>
  </si>
  <si>
    <t>0                      P  0095450C  66438       2009</t>
  </si>
  <si>
    <t>Conversation analysis : comparative perspectives / edited by Jack Sidnell.</t>
  </si>
  <si>
    <t>Cambridge : Cambridge University Press, 2009.</t>
  </si>
  <si>
    <t>Studies in interactional sociolinguistics ; 27</t>
  </si>
  <si>
    <t>3857456092:eng</t>
  </si>
  <si>
    <t>299718427</t>
  </si>
  <si>
    <t>ocn299718427</t>
  </si>
  <si>
    <t>3102860237Z</t>
  </si>
  <si>
    <t>9780521883719</t>
  </si>
  <si>
    <t>794430603</t>
  </si>
  <si>
    <t>P95.45 C6644 2004</t>
  </si>
  <si>
    <t>0                      P  0095450C  6644        2004</t>
  </si>
  <si>
    <t>Conversation analysis : studies from the first generation / [edited by] Gene H. Lerner.</t>
  </si>
  <si>
    <t>Pragmatics &amp; beyond ; new ser. v. 125</t>
  </si>
  <si>
    <t>793926302:eng</t>
  </si>
  <si>
    <t>55495198</t>
  </si>
  <si>
    <t>ocm55495198</t>
  </si>
  <si>
    <t>31027434160</t>
  </si>
  <si>
    <t>9789027253675</t>
  </si>
  <si>
    <t>793877181</t>
  </si>
  <si>
    <t>P95.45 C6685 2013</t>
  </si>
  <si>
    <t>0                      P  0095450C  6685        2013</t>
  </si>
  <si>
    <t>Conversational repair and human understanding / edited by Makoto Hayashi, Geoffrey Raymond, Jack Sidnell.</t>
  </si>
  <si>
    <t>Cambridge, UK ; New York : Cambridge University Press, 2013.</t>
  </si>
  <si>
    <t>Studies in interactional sociolinguistics ; 30</t>
  </si>
  <si>
    <t>2013-03-05</t>
  </si>
  <si>
    <t>1121676907:eng</t>
  </si>
  <si>
    <t>796775699</t>
  </si>
  <si>
    <t>ocn796775699</t>
  </si>
  <si>
    <t>31034561055</t>
  </si>
  <si>
    <t>9781107002791</t>
  </si>
  <si>
    <t>794922356</t>
  </si>
  <si>
    <t>P95.45 D5 2005</t>
  </si>
  <si>
    <t>0                      P  0095450D  5           2005</t>
  </si>
  <si>
    <t>Dialogue as a means of collective communication / edited by Bela Banathy and Patrick M. Jenlink.</t>
  </si>
  <si>
    <t>New York : Kluwer Academic/Plenum Publishers, ©2005.</t>
  </si>
  <si>
    <t>905778845:eng</t>
  </si>
  <si>
    <t>55962176</t>
  </si>
  <si>
    <t>ocm55962176</t>
  </si>
  <si>
    <t>3102750652U</t>
  </si>
  <si>
    <t>9780306486890</t>
  </si>
  <si>
    <t>793884648</t>
  </si>
  <si>
    <t>P95.45 D56 1990</t>
  </si>
  <si>
    <t>0                      P  0095450D  56          1990</t>
  </si>
  <si>
    <t>Conversational competence and social development / Ioanna Dimitracopoulou.</t>
  </si>
  <si>
    <t>Dimitracopoulou, Ioanna.</t>
  </si>
  <si>
    <t>21482209:eng</t>
  </si>
  <si>
    <t>19623868</t>
  </si>
  <si>
    <t>ocm19623868</t>
  </si>
  <si>
    <t>31027434062</t>
  </si>
  <si>
    <t>9780521375511</t>
  </si>
  <si>
    <t>793064130</t>
  </si>
  <si>
    <t>P95.45 G56 2012</t>
  </si>
  <si>
    <t>0                      P  0095450G  56          2012</t>
  </si>
  <si>
    <t>The interactive stance : meaning for conversation / Jonathan Ginzburg.</t>
  </si>
  <si>
    <t>Ginzburg, Jonathan, 1964-</t>
  </si>
  <si>
    <t>Oxford ; New York : Oxford University Press, 2012.</t>
  </si>
  <si>
    <t>Oxford linguistics</t>
  </si>
  <si>
    <t>2012-08-04</t>
  </si>
  <si>
    <t>1156594630:eng</t>
  </si>
  <si>
    <t>789661231</t>
  </si>
  <si>
    <t>ocn789661231</t>
  </si>
  <si>
    <t>3103410832M</t>
  </si>
  <si>
    <t>9780199697922</t>
  </si>
  <si>
    <t>794916612</t>
  </si>
  <si>
    <t>P95.45 G8 1982</t>
  </si>
  <si>
    <t>0                      P  0095450G  8           1982</t>
  </si>
  <si>
    <t>Discourse strategies / John J. Gumperz.</t>
  </si>
  <si>
    <t>Gumperz, John J. (John Joseph), 1922-2013.</t>
  </si>
  <si>
    <t>Studies in interactional sociolinguistics ; 1</t>
  </si>
  <si>
    <t>8941232674:eng</t>
  </si>
  <si>
    <t>8034257</t>
  </si>
  <si>
    <t>ocm08034257</t>
  </si>
  <si>
    <t>31027434022</t>
  </si>
  <si>
    <t>9780521246910</t>
  </si>
  <si>
    <t>792594586</t>
  </si>
  <si>
    <t>3103286056W</t>
  </si>
  <si>
    <t>792594585</t>
  </si>
  <si>
    <t>3101915987$</t>
  </si>
  <si>
    <t>792594587</t>
  </si>
  <si>
    <t>P95.45 H386 2007</t>
  </si>
  <si>
    <t>0                      P  0095450H  386         2007</t>
  </si>
  <si>
    <t>Doing conversation analysis / Paul ten Have.</t>
  </si>
  <si>
    <t>Have, Paul ten, 1937-</t>
  </si>
  <si>
    <t>London : SAGE, 2007.</t>
  </si>
  <si>
    <t>Introducing qualitative methods</t>
  </si>
  <si>
    <t>53103561:eng</t>
  </si>
  <si>
    <t>78989421</t>
  </si>
  <si>
    <t>ocm78989421</t>
  </si>
  <si>
    <t>3102572523X</t>
  </si>
  <si>
    <t>9781412921749</t>
  </si>
  <si>
    <t>794196739</t>
  </si>
  <si>
    <t>P95.45 H69 2001</t>
  </si>
  <si>
    <t>0                      P  0095450H  69          2001</t>
  </si>
  <si>
    <t>How to analyse talk in institutional settings : a casebook of methods / edited by Alec McHoul and Mark Rapley.</t>
  </si>
  <si>
    <t>802342045:eng</t>
  </si>
  <si>
    <t>45845469</t>
  </si>
  <si>
    <t>ocm45845469</t>
  </si>
  <si>
    <t>3103469265A</t>
  </si>
  <si>
    <t>9780826454638</t>
  </si>
  <si>
    <t>793679467</t>
  </si>
  <si>
    <t>P95.45 H88 1998</t>
  </si>
  <si>
    <t>0                      P  0095450H  88          1998</t>
  </si>
  <si>
    <t>Conversation analysis : principles, practices, and applications / Ian Hutchby and Robin Wooffitt.</t>
  </si>
  <si>
    <t>Hutchby, Ian.</t>
  </si>
  <si>
    <t>Cambridge ; Malden, Mass. : Polity Press, 1998.</t>
  </si>
  <si>
    <t>3856353483:eng</t>
  </si>
  <si>
    <t>38433057</t>
  </si>
  <si>
    <t>ocm38433057</t>
  </si>
  <si>
    <t>3102743399O</t>
  </si>
  <si>
    <t>9780745615486</t>
  </si>
  <si>
    <t>793523823</t>
  </si>
  <si>
    <t>P95.45 H88 2008</t>
  </si>
  <si>
    <t>0                      P  0095450H  88          2008</t>
  </si>
  <si>
    <t>Conversation analysis / Ian Hutchby and Robin Wooffitt.</t>
  </si>
  <si>
    <t>Cambridge : Polity, 2008.</t>
  </si>
  <si>
    <t>4926923752:eng</t>
  </si>
  <si>
    <t>191890790</t>
  </si>
  <si>
    <t>ocn191890790</t>
  </si>
  <si>
    <t>3103642852O</t>
  </si>
  <si>
    <t>9780745638652</t>
  </si>
  <si>
    <t>794301937</t>
  </si>
  <si>
    <t>P95.45 K4 2003</t>
  </si>
  <si>
    <t>0                      P  0095450K  4           2003</t>
  </si>
  <si>
    <t>Situation-bound utterances in L1 and L2 / by Istvan Kecskes.</t>
  </si>
  <si>
    <t>Kecskés, István.</t>
  </si>
  <si>
    <t>Studies on language acquisition ; 19</t>
  </si>
  <si>
    <t>1072590:eng</t>
  </si>
  <si>
    <t>50510749</t>
  </si>
  <si>
    <t>ocm50510749</t>
  </si>
  <si>
    <t>3102743396O</t>
  </si>
  <si>
    <t>9783110173581</t>
  </si>
  <si>
    <t>793766480</t>
  </si>
  <si>
    <t>P95.45 K87 2006</t>
  </si>
  <si>
    <t>0                      P  0095450K  87          2006</t>
  </si>
  <si>
    <t>Second language interaction / Salla Kurhila.</t>
  </si>
  <si>
    <t>Kurhila, Salla.</t>
  </si>
  <si>
    <t>Amsterdam ; Philadelphia : J. Benjamins, ©2006.</t>
  </si>
  <si>
    <t>Pragmatics &amp; beyond, 0922-842X ; v. 145</t>
  </si>
  <si>
    <t>48412310:eng</t>
  </si>
  <si>
    <t>64453552</t>
  </si>
  <si>
    <t>ocm64453552</t>
  </si>
  <si>
    <t>3102578963Q</t>
  </si>
  <si>
    <t>9789027253880</t>
  </si>
  <si>
    <t>794129531</t>
  </si>
  <si>
    <t>P95.45 L54 2011</t>
  </si>
  <si>
    <t>0                      P  0095450L  54          2011</t>
  </si>
  <si>
    <t>An introduction to conversation analysis / by Anthony J. Liddicoat.</t>
  </si>
  <si>
    <t>Liddicoat, Anthony, 1962-</t>
  </si>
  <si>
    <t>London ; New York : Continuum, ©2011.</t>
  </si>
  <si>
    <t>58292663:eng</t>
  </si>
  <si>
    <t>731534644</t>
  </si>
  <si>
    <t>ocn731534644</t>
  </si>
  <si>
    <t>3103344940T</t>
  </si>
  <si>
    <t>9781441117618</t>
  </si>
  <si>
    <t>794880833</t>
  </si>
  <si>
    <t>P95.45 M35 2000</t>
  </si>
  <si>
    <t>0                      P  0095450M  35          2000</t>
  </si>
  <si>
    <t>Conversation analysis / Numa Markee.</t>
  </si>
  <si>
    <t>Markee, Numa.</t>
  </si>
  <si>
    <t>Mahwah, N.J. : L. Erlbaum Associates, ©2000.</t>
  </si>
  <si>
    <t>Second language acquisition research. Monographs on research methodology</t>
  </si>
  <si>
    <t>1001457:eng</t>
  </si>
  <si>
    <t>41940199</t>
  </si>
  <si>
    <t>ocm41940199</t>
  </si>
  <si>
    <t>3102750647W</t>
  </si>
  <si>
    <t>9780805819991</t>
  </si>
  <si>
    <t>793599256</t>
  </si>
  <si>
    <t>P95.45 M46 2010</t>
  </si>
  <si>
    <t>0                      P  0095450M  46          2010</t>
  </si>
  <si>
    <t>A good talk : the story and skill of conversation / Daniel Menaker.</t>
  </si>
  <si>
    <t>Menaker, Daniel.</t>
  </si>
  <si>
    <t>New York : Twelve, 2010.</t>
  </si>
  <si>
    <t>195438920:eng</t>
  </si>
  <si>
    <t>318242679</t>
  </si>
  <si>
    <t>ocn318242679</t>
  </si>
  <si>
    <t>3103157312B</t>
  </si>
  <si>
    <t>9780446540025</t>
  </si>
  <si>
    <t>794481292</t>
  </si>
  <si>
    <t>P95.45 M54 2006</t>
  </si>
  <si>
    <t>0                      P  0095450M  54          2006</t>
  </si>
  <si>
    <t>Conversation : a history of a declining art / Stephen Miller.</t>
  </si>
  <si>
    <t>Miller, Stephen, 1941-</t>
  </si>
  <si>
    <t>New Haven : Yale University Press, ©2006.</t>
  </si>
  <si>
    <t>2016-04-01</t>
  </si>
  <si>
    <t>796458655:eng</t>
  </si>
  <si>
    <t>61748209</t>
  </si>
  <si>
    <t>ocm61748209</t>
  </si>
  <si>
    <t>3102563283V</t>
  </si>
  <si>
    <t>9780300110302</t>
  </si>
  <si>
    <t>794097645</t>
  </si>
  <si>
    <t>P95.45 M64 1988</t>
  </si>
  <si>
    <t>0                      P  0095450M  64          1988</t>
  </si>
  <si>
    <t>Talking culture : ethnography and conversation analysis / Michael Moerman with an appendix by Michael Moerman and Harvey Sacks.</t>
  </si>
  <si>
    <t>Moerman, Michael.</t>
  </si>
  <si>
    <t>Philadelphia : University of Pennsylvania Press, ©1988.</t>
  </si>
  <si>
    <t>11692329:eng</t>
  </si>
  <si>
    <t>16088101</t>
  </si>
  <si>
    <t>ocm16088101</t>
  </si>
  <si>
    <t>3102743385Q</t>
  </si>
  <si>
    <t>9780812280722</t>
  </si>
  <si>
    <t>792954306</t>
  </si>
  <si>
    <t>P95.45 M67 2011</t>
  </si>
  <si>
    <t>0                      P  0095450M  67          2011</t>
  </si>
  <si>
    <t>The morality of knowledge in conversation / edited by Tanya Stivers, Lorenza Mondada, Jakob Steensig.</t>
  </si>
  <si>
    <t>Studies in interactional sociolinguistics ; 29</t>
  </si>
  <si>
    <t>628698020:eng</t>
  </si>
  <si>
    <t>663441135</t>
  </si>
  <si>
    <t>ocn663441135</t>
  </si>
  <si>
    <t>3103235299A</t>
  </si>
  <si>
    <t>9780521194549</t>
  </si>
  <si>
    <t>794837929</t>
  </si>
  <si>
    <t>P95.45 N47 2004</t>
  </si>
  <si>
    <t>0                      P  0095450N  47          2004</t>
  </si>
  <si>
    <t>Beyond the black box : talk-in-interaction in the airline cockpit / Maurice Nevile.</t>
  </si>
  <si>
    <t>Nevile, Maurice, 1964-</t>
  </si>
  <si>
    <t>Aldershot, Hants, England ; Burlington, VT : Ashgate, ©2004.</t>
  </si>
  <si>
    <t>Directions in ethnomethodology and conversation analysis</t>
  </si>
  <si>
    <t>196899731:eng</t>
  </si>
  <si>
    <t>54073730</t>
  </si>
  <si>
    <t>ocm54073730</t>
  </si>
  <si>
    <t>31025769285</t>
  </si>
  <si>
    <t>9780754642404</t>
  </si>
  <si>
    <t>793856786</t>
  </si>
  <si>
    <t>P95.45 P77 1994</t>
  </si>
  <si>
    <t>0                      P  0095450P  77          1994</t>
  </si>
  <si>
    <t>Conversation analysis : the study of talk-in-interaction / George Psathas.</t>
  </si>
  <si>
    <t>Psathas, George.</t>
  </si>
  <si>
    <t>Thousand Oaks, Calif. : Sage, 1994.</t>
  </si>
  <si>
    <t>Qualitative research methods ; v. 35</t>
  </si>
  <si>
    <t>836943244:eng</t>
  </si>
  <si>
    <t>270798678</t>
  </si>
  <si>
    <t>ocn270798678</t>
  </si>
  <si>
    <t>3102743387Q</t>
  </si>
  <si>
    <t>794412122</t>
  </si>
  <si>
    <t>P95.45 S29 2001</t>
  </si>
  <si>
    <t>0                      P  0095450S  29          2001</t>
  </si>
  <si>
    <t>Creating conversations : improvisation in everyday discourse / R. Keith Sawyer.</t>
  </si>
  <si>
    <t>Sawyer, R. Keith (Robert Keith)</t>
  </si>
  <si>
    <t>Perspectives on creativity</t>
  </si>
  <si>
    <t>35112220:eng</t>
  </si>
  <si>
    <t>45603935</t>
  </si>
  <si>
    <t>ocm45603935</t>
  </si>
  <si>
    <t>3102743384Q</t>
  </si>
  <si>
    <t>9781572733299</t>
  </si>
  <si>
    <t>793674569</t>
  </si>
  <si>
    <t>P95.45 S54 2010</t>
  </si>
  <si>
    <t>0                      P  0095450S  54          2010</t>
  </si>
  <si>
    <t>Conversation analysis : an introduction / Jack Sidnell.</t>
  </si>
  <si>
    <t>Sidnell, Jack.</t>
  </si>
  <si>
    <t>Language in society ; 37</t>
  </si>
  <si>
    <t>3856446466:eng</t>
  </si>
  <si>
    <t>226356123</t>
  </si>
  <si>
    <t>ocn226356123</t>
  </si>
  <si>
    <t>3103231769H</t>
  </si>
  <si>
    <t>9781405159005</t>
  </si>
  <si>
    <t>794345077</t>
  </si>
  <si>
    <t>P95.45 S86 1984</t>
  </si>
  <si>
    <t>0                      P  0095450S  86          1984</t>
  </si>
  <si>
    <t>Structures of social action : studies in conversation analysis / edited by J. Maxwell Atkinson and John Heritage.</t>
  </si>
  <si>
    <t>Cambridge [Cambridgeshire] ; New York : Cambridge University Press ; Paris : Editions de la Maison des Sciences de l'homme, 1984.</t>
  </si>
  <si>
    <t>4921613708:eng</t>
  </si>
  <si>
    <t>10823185</t>
  </si>
  <si>
    <t>ocm10823185</t>
  </si>
  <si>
    <t>3000373034G</t>
  </si>
  <si>
    <t>9780521248150</t>
  </si>
  <si>
    <t>792745175</t>
  </si>
  <si>
    <t>P95.45 S877 2013</t>
  </si>
  <si>
    <t>0                      P  0095450S  877         2013</t>
  </si>
  <si>
    <t>Studies of laughter in interaction / edited by Phillip Glenn and Elizabeth Holt.</t>
  </si>
  <si>
    <t>London ; New York : Bloomsbury Academic, 2013.</t>
  </si>
  <si>
    <t>3859790540:eng</t>
  </si>
  <si>
    <t>825558008</t>
  </si>
  <si>
    <t>ocn825558008</t>
  </si>
  <si>
    <t>3103500681H</t>
  </si>
  <si>
    <t>9781441164797</t>
  </si>
  <si>
    <t>794938629</t>
  </si>
  <si>
    <t>P95.45 T3635 2007</t>
  </si>
  <si>
    <t>0                      P  0095450T  3635        2007</t>
  </si>
  <si>
    <t>Talking voices : repetition, dialogue, and imagery in conversational discourse / Deborah Tannen.</t>
  </si>
  <si>
    <t>Tannen, Deborah.</t>
  </si>
  <si>
    <t>Cambridge : Cambridge University Press, 2007.</t>
  </si>
  <si>
    <t>Studies in interactional sociolinguistics ; 25</t>
  </si>
  <si>
    <t>10141319494:eng</t>
  </si>
  <si>
    <t>76798208</t>
  </si>
  <si>
    <t>ocm76798208</t>
  </si>
  <si>
    <t>3102572640Q</t>
  </si>
  <si>
    <t>9780521688963</t>
  </si>
  <si>
    <t>794176960</t>
  </si>
  <si>
    <t>P95.45 T46 2006</t>
  </si>
  <si>
    <t>0                      P  0095450T  46          2006</t>
  </si>
  <si>
    <t>Textual conversations in the Renaissance : ethics, authors, technologies / edited by Zachary Lesser and Benedict S. Robinson.</t>
  </si>
  <si>
    <t>Aldershot [England] ; Burlington, VT : Ashgate, ©2006.</t>
  </si>
  <si>
    <t>2016-07-19</t>
  </si>
  <si>
    <t>890971909:eng</t>
  </si>
  <si>
    <t>69331700</t>
  </si>
  <si>
    <t>ocm69331700</t>
  </si>
  <si>
    <t>31025669426</t>
  </si>
  <si>
    <t>9780754656852</t>
  </si>
  <si>
    <t>794145799</t>
  </si>
  <si>
    <t>P95.455 D38 2011</t>
  </si>
  <si>
    <t>0                      P  0095455D  38          2011</t>
  </si>
  <si>
    <t>Le dialogue, fonction première du langage : analyse énonciative de textes / Jean-Pierre Desclés, Gaëll Guibert.</t>
  </si>
  <si>
    <t>Desclés, Jean-Pierre.</t>
  </si>
  <si>
    <t>Paris : Champion, 2011.</t>
  </si>
  <si>
    <t>Bibliothèque de grammaire et de linguistique, 1278-3889 ; 38</t>
  </si>
  <si>
    <t>919191329:fre</t>
  </si>
  <si>
    <t>734008118</t>
  </si>
  <si>
    <t>ocn734008118</t>
  </si>
  <si>
    <t>31034361575</t>
  </si>
  <si>
    <t>9782745322463</t>
  </si>
  <si>
    <t>794882382</t>
  </si>
  <si>
    <t>P95.455 D96 1991</t>
  </si>
  <si>
    <t>0                      P  0095455D  96          1991</t>
  </si>
  <si>
    <t>The Dynamics of dialogue / edited by Ivana Marková and Klaus Foppa, editors.</t>
  </si>
  <si>
    <t>New York : Springer-Verlag, 1990.</t>
  </si>
  <si>
    <t>351202260:eng</t>
  </si>
  <si>
    <t>22422392</t>
  </si>
  <si>
    <t>ocm22422392</t>
  </si>
  <si>
    <t>3102743460R</t>
  </si>
  <si>
    <t>9780387913889</t>
  </si>
  <si>
    <t>793143664</t>
  </si>
  <si>
    <t>P95.455 I5 1990</t>
  </si>
  <si>
    <t>0                      P  0095455I  5           1990</t>
  </si>
  <si>
    <t>The Interpretation of dialogue / edited by Tullio Maranhão.</t>
  </si>
  <si>
    <t>Chicago : University of Chicago Press, ©1990.</t>
  </si>
  <si>
    <t>21725101:eng</t>
  </si>
  <si>
    <t>19886143</t>
  </si>
  <si>
    <t>ocm19886143</t>
  </si>
  <si>
    <t>3102743463R</t>
  </si>
  <si>
    <t>9780226504339</t>
  </si>
  <si>
    <t>793071376</t>
  </si>
  <si>
    <t>P95.455 Q34 2009</t>
  </si>
  <si>
    <t>0                      P  0095455Q  34          2009</t>
  </si>
  <si>
    <t>Television dialogue : the sitcom Friends vs. natural conversation / Paulo Quaglio.</t>
  </si>
  <si>
    <t>Quaglio, Paulo.</t>
  </si>
  <si>
    <t>Studies in corpus linguistics, 1388-0373 ; v. 36</t>
  </si>
  <si>
    <t>796520822:eng</t>
  </si>
  <si>
    <t>271812208</t>
  </si>
  <si>
    <t>ocn271812208</t>
  </si>
  <si>
    <t>3103052774D</t>
  </si>
  <si>
    <t>9789027223104</t>
  </si>
  <si>
    <t>794415044</t>
  </si>
  <si>
    <t>P95.455 R4 1994</t>
  </si>
  <si>
    <t>0                      P  0095455R  4           1994</t>
  </si>
  <si>
    <t>The reach of dialogue : confirmation, voice, and community / [edited by] Rob Anderson, Kenneth N. Cissna, Ronald C. Arnett.</t>
  </si>
  <si>
    <t>Cresskill, N.J. : Hampton Press, ©1994.</t>
  </si>
  <si>
    <t>The Hampton Press communication series</t>
  </si>
  <si>
    <t>906700400:eng</t>
  </si>
  <si>
    <t>30814670</t>
  </si>
  <si>
    <t>ocm30814670</t>
  </si>
  <si>
    <t>31030558610</t>
  </si>
  <si>
    <t>9781881303008</t>
  </si>
  <si>
    <t>793345774</t>
  </si>
  <si>
    <t>P95.455 S277 2005</t>
  </si>
  <si>
    <t>0                      P  0095455S  277         2005</t>
  </si>
  <si>
    <t>Linguistic dimensions of crisis talk : formalising structures in a controlled language / Claudia Sassen.</t>
  </si>
  <si>
    <t>Sassen, Claudia.</t>
  </si>
  <si>
    <t>Amsterdam ; Philadelphia : J. Benjamins Pub., ©2005.</t>
  </si>
  <si>
    <t>Pragmatics &amp; beyond, 0922-842X ; new ser., v. 136</t>
  </si>
  <si>
    <t>793958062:eng</t>
  </si>
  <si>
    <t>60245536</t>
  </si>
  <si>
    <t>ocm60245536</t>
  </si>
  <si>
    <t>3102593608K</t>
  </si>
  <si>
    <t>9789027253798</t>
  </si>
  <si>
    <t>793934516</t>
  </si>
  <si>
    <t>P95.455 W43 2010</t>
  </si>
  <si>
    <t>0                      P  0095455W  43          2010</t>
  </si>
  <si>
    <t>Dialogue : the mixed game / Edda Weigand.</t>
  </si>
  <si>
    <t>Weigand, Edda.</t>
  </si>
  <si>
    <t>Dialogue studies ; v. 10</t>
  </si>
  <si>
    <t>793475239:eng</t>
  </si>
  <si>
    <t>662408211</t>
  </si>
  <si>
    <t>ocn662408211</t>
  </si>
  <si>
    <t>3103313568J</t>
  </si>
  <si>
    <t>9789027210272</t>
  </si>
  <si>
    <t>794837303</t>
  </si>
  <si>
    <t>P95.455 W63 2011</t>
  </si>
  <si>
    <t>0                      P  0095455W  63          2011</t>
  </si>
  <si>
    <t>Dialogue / Peter Womack.</t>
  </si>
  <si>
    <t>Womack, Peter, 1952-</t>
  </si>
  <si>
    <t>The new critical idiom</t>
  </si>
  <si>
    <t>131231226:eng</t>
  </si>
  <si>
    <t>212848874</t>
  </si>
  <si>
    <t>ocn212848874</t>
  </si>
  <si>
    <t>31032347801</t>
  </si>
  <si>
    <t>9780415329217</t>
  </si>
  <si>
    <t>794306294</t>
  </si>
  <si>
    <t>P95.46 C66 2017</t>
  </si>
  <si>
    <t>0                      P  0095460C  66          2017</t>
  </si>
  <si>
    <t>Community-based media pedagogies : relational practices of listening in the commons / [edited by] Bronwen Low, Chloë Brushwood Rose, and Paula M. Salvio.</t>
  </si>
  <si>
    <t>New York ; London : Routledge, Taylor &amp; Francis Group, 2017.</t>
  </si>
  <si>
    <t>Routledge research in education ; 179</t>
  </si>
  <si>
    <t>2224560691:eng</t>
  </si>
  <si>
    <t>963732818</t>
  </si>
  <si>
    <t>ocn963732818</t>
  </si>
  <si>
    <t>3103657595O</t>
  </si>
  <si>
    <t>9781138899520</t>
  </si>
  <si>
    <t>795024930</t>
  </si>
  <si>
    <t>P95.46 H45 2013</t>
  </si>
  <si>
    <t>0                      P  0095460H  45          2013</t>
  </si>
  <si>
    <t>Noise : a human history of sound and listening / David Hendy.</t>
  </si>
  <si>
    <t>Hendy, David.</t>
  </si>
  <si>
    <t>London : Profile, 2013.</t>
  </si>
  <si>
    <t>1171950322:eng</t>
  </si>
  <si>
    <t>812688661</t>
  </si>
  <si>
    <t>ocn812688661</t>
  </si>
  <si>
    <t>3103499834K</t>
  </si>
  <si>
    <t>9781781250891</t>
  </si>
  <si>
    <t>794931198</t>
  </si>
  <si>
    <t>P95.46 L33 2013</t>
  </si>
  <si>
    <t>0                      P  0095460L  33          2013</t>
  </si>
  <si>
    <t>Listening publics : the politics and experience of listening in the media age / Kate Lacey.</t>
  </si>
  <si>
    <t>Cambridge, UK ; Malden, MA : Polity Press, 2013.</t>
  </si>
  <si>
    <t>2017-02-17</t>
  </si>
  <si>
    <t>1343346882:eng</t>
  </si>
  <si>
    <t>835970855</t>
  </si>
  <si>
    <t>ocn835970855</t>
  </si>
  <si>
    <t>3103500096X</t>
  </si>
  <si>
    <t>9780745660257</t>
  </si>
  <si>
    <t>794944783</t>
  </si>
  <si>
    <t>P95.46 L55 2010</t>
  </si>
  <si>
    <t>0                      P  0095460L  55          2010</t>
  </si>
  <si>
    <t>Listening and human communication in the 21st century / edited by Andrew D. Wolvin.</t>
  </si>
  <si>
    <t>1043815005:eng</t>
  </si>
  <si>
    <t>230183190</t>
  </si>
  <si>
    <t>ocn230183190</t>
  </si>
  <si>
    <t>3103238007M</t>
  </si>
  <si>
    <t>9781405181655</t>
  </si>
  <si>
    <t>794354682</t>
  </si>
  <si>
    <t>P95.46 R67 2011</t>
  </si>
  <si>
    <t>0                      P  0095460R  67          2011</t>
  </si>
  <si>
    <t>Teaching and researching listening / Michael Rost.</t>
  </si>
  <si>
    <t>Rost, Michael, 1952-</t>
  </si>
  <si>
    <t>Harlow ; New York : Longman/Pearson, 2011.</t>
  </si>
  <si>
    <t>38186523:eng</t>
  </si>
  <si>
    <t>667213215</t>
  </si>
  <si>
    <t>ocn667213215</t>
  </si>
  <si>
    <t>3103234320P</t>
  </si>
  <si>
    <t>9781408205075</t>
  </si>
  <si>
    <t>794845464</t>
  </si>
  <si>
    <t>P95.52 W58 2010</t>
  </si>
  <si>
    <t>0                      P  0095520W  58          2010</t>
  </si>
  <si>
    <t>"Why do you ask?" : the function of questions in institutional discourse / edited by Alice F. Freed and Susan Ehrlich.</t>
  </si>
  <si>
    <t>1078037375:eng</t>
  </si>
  <si>
    <t>309836316</t>
  </si>
  <si>
    <t>ocn309836316</t>
  </si>
  <si>
    <t>3103157813X</t>
  </si>
  <si>
    <t>9780195306897</t>
  </si>
  <si>
    <t>794434781</t>
  </si>
  <si>
    <t>P95.53 B37 2012</t>
  </si>
  <si>
    <t>0                      P  0095530B  37          2012</t>
  </si>
  <si>
    <t>Silence et rencontre : la disponibilité de l'autre / Marc André Barsalou ; préface de Luce Des Aulniers.</t>
  </si>
  <si>
    <t>Barsalou, Marc-André, 1977-</t>
  </si>
  <si>
    <t>Québec, Qué. : Presses de l'Université du Québec, 2012.</t>
  </si>
  <si>
    <t>Communication</t>
  </si>
  <si>
    <t>2291324666:fre</t>
  </si>
  <si>
    <t>780956140</t>
  </si>
  <si>
    <t>ocn780956140</t>
  </si>
  <si>
    <t>3103326687W</t>
  </si>
  <si>
    <t>9782760531383</t>
  </si>
  <si>
    <t>794912420</t>
  </si>
  <si>
    <t>P95.53 C58 1998</t>
  </si>
  <si>
    <t>0                      P  0095530C  58          1998</t>
  </si>
  <si>
    <t>Organizing silence : a world of possibilities / Robin Patric Clair.</t>
  </si>
  <si>
    <t>Clair, Robin Patric.</t>
  </si>
  <si>
    <t>Albany, N.Y. : State University of New York Press, ©1998.</t>
  </si>
  <si>
    <t>SUNY series in communication studies</t>
  </si>
  <si>
    <t>2013-07-23</t>
  </si>
  <si>
    <t>2019-04-11</t>
  </si>
  <si>
    <t>799684849:eng</t>
  </si>
  <si>
    <t>37935289</t>
  </si>
  <si>
    <t>ocm37935289</t>
  </si>
  <si>
    <t>3103476009Z</t>
  </si>
  <si>
    <t>9780791439418</t>
  </si>
  <si>
    <t>793510786</t>
  </si>
  <si>
    <t>3102743448V</t>
  </si>
  <si>
    <t>793510785</t>
  </si>
  <si>
    <t>P95.53 J38 1993</t>
  </si>
  <si>
    <t>0                      P  0095530J  38          1993</t>
  </si>
  <si>
    <t>The power of silence : social and pragmatic perspectives / Adam Jaworski.</t>
  </si>
  <si>
    <t>Jaworski, Adam, 1957-</t>
  </si>
  <si>
    <t>Newbury Park, Calif. : Sage, ©1993.</t>
  </si>
  <si>
    <t>Language and language behaviors ; v. 1</t>
  </si>
  <si>
    <t>20953973:eng</t>
  </si>
  <si>
    <t>26723633</t>
  </si>
  <si>
    <t>ocm26723633</t>
  </si>
  <si>
    <t>3102743447V</t>
  </si>
  <si>
    <t>9780803949669</t>
  </si>
  <si>
    <t>793250448</t>
  </si>
  <si>
    <t>P95.53 P47 1985</t>
  </si>
  <si>
    <t>0                      P  0095530P  47          1985</t>
  </si>
  <si>
    <t>Perspectives on silence / edited by Deborah Tannen and Muriel Saville-Troike.</t>
  </si>
  <si>
    <t>Norwood, N.J. : Ablex Pub. Corp., ©1985.</t>
  </si>
  <si>
    <t>2017-08-24</t>
  </si>
  <si>
    <t>350989309:eng</t>
  </si>
  <si>
    <t>11090548</t>
  </si>
  <si>
    <t>ocm11090548</t>
  </si>
  <si>
    <t>3102504674A</t>
  </si>
  <si>
    <t>9780893912550</t>
  </si>
  <si>
    <t>792757578</t>
  </si>
  <si>
    <t>P95.54 B67 2013</t>
  </si>
  <si>
    <t>0                      P  0095540B  67          2013</t>
  </si>
  <si>
    <t>Speaking hatefully : culture, communication, and political action in Hungary / David Boromisza-Habashi.</t>
  </si>
  <si>
    <t>Boromisza-Habashi, David.</t>
  </si>
  <si>
    <t>University Park : Pennsylvania State University Press, 2013.</t>
  </si>
  <si>
    <t>Rhetoric and democratic deliberation</t>
  </si>
  <si>
    <t>2013-12-17</t>
  </si>
  <si>
    <t>1211760015:eng</t>
  </si>
  <si>
    <t>800024877</t>
  </si>
  <si>
    <t>ocn800024877</t>
  </si>
  <si>
    <t>3103468315L</t>
  </si>
  <si>
    <t>9780271056371</t>
  </si>
  <si>
    <t>794924389</t>
  </si>
  <si>
    <t>P95.54 B88 1997</t>
  </si>
  <si>
    <t>0                      P  0095540B  88          1997</t>
  </si>
  <si>
    <t>Excitable speech : a politics of the performative / Judith Butler.</t>
  </si>
  <si>
    <t>Butler, Judith, 1956-</t>
  </si>
  <si>
    <t>807498594:eng</t>
  </si>
  <si>
    <t>35128212</t>
  </si>
  <si>
    <t>ocm35128212</t>
  </si>
  <si>
    <t>3102750642W</t>
  </si>
  <si>
    <t>9780415915885</t>
  </si>
  <si>
    <t>793444770</t>
  </si>
  <si>
    <t>3102617491Q</t>
  </si>
  <si>
    <t>793444771</t>
  </si>
  <si>
    <t>P95.54 G45 2002</t>
  </si>
  <si>
    <t>0                      P  0095540G  45          2002</t>
  </si>
  <si>
    <t>Speaking back : the free speech versus hate speech debate / Katharine Gelber.</t>
  </si>
  <si>
    <t>Gelber, Katharine.</t>
  </si>
  <si>
    <t>Discourse approaches to politics, society, and culture, 1569-9463 ; v. 1</t>
  </si>
  <si>
    <t>2017-03-29</t>
  </si>
  <si>
    <t>793897024:eng</t>
  </si>
  <si>
    <t>48761727</t>
  </si>
  <si>
    <t>ocm48761727</t>
  </si>
  <si>
    <t>3102743440V</t>
  </si>
  <si>
    <t>9781588111883</t>
  </si>
  <si>
    <t>793727287</t>
  </si>
  <si>
    <t>P95.54 H69 2011</t>
  </si>
  <si>
    <t>0                      P  0095540H  69          2011</t>
  </si>
  <si>
    <t>Castells and the media / Philip N. Howard.</t>
  </si>
  <si>
    <t>Howard, Philip N.</t>
  </si>
  <si>
    <t>945893123:eng</t>
  </si>
  <si>
    <t>669751153</t>
  </si>
  <si>
    <t>ocn669751153</t>
  </si>
  <si>
    <t>3103341741A</t>
  </si>
  <si>
    <t>9780745652597</t>
  </si>
  <si>
    <t>794847026</t>
  </si>
  <si>
    <t>P95.54 M43 2000</t>
  </si>
  <si>
    <t>0                      P  0095540M  43          2000</t>
  </si>
  <si>
    <t>Media organisations in society / edited by James Curran.</t>
  </si>
  <si>
    <t>London : Arnold ; New York : Co-published in the United States of America by Oxford University Press, 2000.</t>
  </si>
  <si>
    <t>44420559:eng</t>
  </si>
  <si>
    <t>43406191</t>
  </si>
  <si>
    <t>ocm43406191</t>
  </si>
  <si>
    <t>3102743443V</t>
  </si>
  <si>
    <t>9780340720141</t>
  </si>
  <si>
    <t>793626063</t>
  </si>
  <si>
    <t>P95.54 M66 2000</t>
  </si>
  <si>
    <t>0                      P  0095540M  66          2000</t>
  </si>
  <si>
    <t>Media and everyday life in modern society / Shaun Moores.</t>
  </si>
  <si>
    <t>Moores, Shaun.</t>
  </si>
  <si>
    <t>2019-08-19</t>
  </si>
  <si>
    <t>9533216:eng</t>
  </si>
  <si>
    <t>44404383</t>
  </si>
  <si>
    <t>ocm44404383</t>
  </si>
  <si>
    <t>3102743438X</t>
  </si>
  <si>
    <t>9780748611799</t>
  </si>
  <si>
    <t>793645412</t>
  </si>
  <si>
    <t>P95.54 S745 2014</t>
  </si>
  <si>
    <t>0                      P  0095540S  745         2014</t>
  </si>
  <si>
    <t>Amazing ourselves to death : Neil Postman's brave new world revisited / Lance Strate.</t>
  </si>
  <si>
    <t>A critical introduction to media and communication theory ; vol. 10</t>
  </si>
  <si>
    <t>1415373140:eng</t>
  </si>
  <si>
    <t>862575149</t>
  </si>
  <si>
    <t>ocn862575149</t>
  </si>
  <si>
    <t>31035323813</t>
  </si>
  <si>
    <t>9781433119316</t>
  </si>
  <si>
    <t>794960429</t>
  </si>
  <si>
    <t>P95.54 V65 2010</t>
  </si>
  <si>
    <t>0                      P  0095540V  65          2010</t>
  </si>
  <si>
    <t>Voice : vocal aesthetics in digital arts and media / edited by Norie Neumark, Ross Gibson, and Theo van Leeuwen.</t>
  </si>
  <si>
    <t>Cambridge, Mass. : MIT Press, ©2010.</t>
  </si>
  <si>
    <t>Leonardo</t>
  </si>
  <si>
    <t>796545850:eng</t>
  </si>
  <si>
    <t>456551197</t>
  </si>
  <si>
    <t>ocn456551197</t>
  </si>
  <si>
    <t>3103226692$</t>
  </si>
  <si>
    <t>9780262013901</t>
  </si>
  <si>
    <t>794789116</t>
  </si>
  <si>
    <t>P95.54 W35 2011</t>
  </si>
  <si>
    <t>0                      P  0095540W  35          2011</t>
  </si>
  <si>
    <t>The communication of hate / Michael Waltman &amp; John Haas.</t>
  </si>
  <si>
    <t>Waltman, Michael.</t>
  </si>
  <si>
    <t>Language as social action ; v. 9</t>
  </si>
  <si>
    <t>2015-05-04</t>
  </si>
  <si>
    <t>667794852:eng</t>
  </si>
  <si>
    <t>666878039</t>
  </si>
  <si>
    <t>ocn666878039</t>
  </si>
  <si>
    <t>3103312493K</t>
  </si>
  <si>
    <t>9781433104473</t>
  </si>
  <si>
    <t>794845367</t>
  </si>
  <si>
    <t>P95.54 W65 2005</t>
  </si>
  <si>
    <t>0                      P  0095540W  65          2005</t>
  </si>
  <si>
    <t>Il faut sauver la communication / Dominique Wolton.</t>
  </si>
  <si>
    <t>Wolton, Dominique.</t>
  </si>
  <si>
    <t>Paris : Flammarion, ©2005.</t>
  </si>
  <si>
    <t>3857339877:fre</t>
  </si>
  <si>
    <t>57765890</t>
  </si>
  <si>
    <t>ocm57765890</t>
  </si>
  <si>
    <t>31026559557</t>
  </si>
  <si>
    <t>9782082104487</t>
  </si>
  <si>
    <t>793919099</t>
  </si>
  <si>
    <t>P95.55 A47 2000</t>
  </si>
  <si>
    <t>0                      P  0095550A  47          2000</t>
  </si>
  <si>
    <t>Illocutionary acts and sentence meaning / William P. Alston.</t>
  </si>
  <si>
    <t>Alston, William P., author.</t>
  </si>
  <si>
    <t>Ithaca, N.Y. : Cornell University Press, 2000.</t>
  </si>
  <si>
    <t>9845985482:eng</t>
  </si>
  <si>
    <t>42683124</t>
  </si>
  <si>
    <t>ocm42683124</t>
  </si>
  <si>
    <t>3102743436X</t>
  </si>
  <si>
    <t>9780801436697</t>
  </si>
  <si>
    <t>793611733</t>
  </si>
  <si>
    <t>P95.55 A57 2013</t>
  </si>
  <si>
    <t>0                      P  0095550A  57          2013</t>
  </si>
  <si>
    <t>Représentation et traitement des actes de langage indirects / Sophie Anquetil.</t>
  </si>
  <si>
    <t>Anquetil, Sophie.</t>
  </si>
  <si>
    <t>Paris : Classiques Garnier, 2013.</t>
  </si>
  <si>
    <t>Domaines linguistiques ; 3. Série Formes discursives ; 2</t>
  </si>
  <si>
    <t>1843185519:fre</t>
  </si>
  <si>
    <t>876349426</t>
  </si>
  <si>
    <t>ocn876349426</t>
  </si>
  <si>
    <t>3103200614C</t>
  </si>
  <si>
    <t>9782812413193</t>
  </si>
  <si>
    <t>794970006</t>
  </si>
  <si>
    <t>P95.55 A87 2011</t>
  </si>
  <si>
    <t>0                      P  0095550A  87          2011</t>
  </si>
  <si>
    <t>Assertion : new philosophical essays / edited by Jessica Brown and Herman Cappelen.</t>
  </si>
  <si>
    <t>2013-11-18</t>
  </si>
  <si>
    <t>793208744:eng</t>
  </si>
  <si>
    <t>704241787</t>
  </si>
  <si>
    <t>ocn704241787</t>
  </si>
  <si>
    <t>3103234131T</t>
  </si>
  <si>
    <t>9780199573004</t>
  </si>
  <si>
    <t>794865316</t>
  </si>
  <si>
    <t>P95.55 D83 1984</t>
  </si>
  <si>
    <t>0                      P  0095550D  83          1984</t>
  </si>
  <si>
    <t>Le dire et le dit / Oswald Ducrot.</t>
  </si>
  <si>
    <t>Paris : Minuit, ©1984.</t>
  </si>
  <si>
    <t>Propositions</t>
  </si>
  <si>
    <t>1152221490:fre</t>
  </si>
  <si>
    <t>13008018</t>
  </si>
  <si>
    <t>ocm13008018</t>
  </si>
  <si>
    <t>3103217523H</t>
  </si>
  <si>
    <t>9782707310033</t>
  </si>
  <si>
    <t>792837067</t>
  </si>
  <si>
    <t>P95.55 K47 2016</t>
  </si>
  <si>
    <t>0                      P  0095550K  47          2016</t>
  </si>
  <si>
    <t>Les actes de langage dans le discours : théorie et fonctionnement / Catherine Kerbrat-Orecchioni ; sous la direction de Henri Mitterand.</t>
  </si>
  <si>
    <t>Kerbrat-Orecchioni, Catherine, author.</t>
  </si>
  <si>
    <t>Malakoff : Armand Colin, [2016]</t>
  </si>
  <si>
    <t>Cursus</t>
  </si>
  <si>
    <t>2017-12-18</t>
  </si>
  <si>
    <t>422732858:fre</t>
  </si>
  <si>
    <t>958183664</t>
  </si>
  <si>
    <t>ocn958183664</t>
  </si>
  <si>
    <t>31037185747</t>
  </si>
  <si>
    <t>9782200613419</t>
  </si>
  <si>
    <t>795021478</t>
  </si>
  <si>
    <t>P95.55 K58 2013</t>
  </si>
  <si>
    <t>0                      P  0095550K  58          2013</t>
  </si>
  <si>
    <t>From utterances to speech acts / Mikhail Kissine.</t>
  </si>
  <si>
    <t>Kissine, Mikhail.</t>
  </si>
  <si>
    <t>2014-02-19</t>
  </si>
  <si>
    <t>1171665243:eng</t>
  </si>
  <si>
    <t>812531016</t>
  </si>
  <si>
    <t>ocn812531016</t>
  </si>
  <si>
    <t>3103499814O</t>
  </si>
  <si>
    <t>9781107009769</t>
  </si>
  <si>
    <t>794931040</t>
  </si>
  <si>
    <t>P95.55 L69 2007</t>
  </si>
  <si>
    <t>0                      P  0095550L  69          2007</t>
  </si>
  <si>
    <t>Performativity / James Loxley.</t>
  </si>
  <si>
    <t>Loxley, James, 1968-</t>
  </si>
  <si>
    <t>2017-04-28</t>
  </si>
  <si>
    <t>58708699:eng</t>
  </si>
  <si>
    <t>71842631</t>
  </si>
  <si>
    <t>ocm71842631</t>
  </si>
  <si>
    <t>3102568083H</t>
  </si>
  <si>
    <t>9780415329255</t>
  </si>
  <si>
    <t>794169138</t>
  </si>
  <si>
    <t>P95.55 P47 1995</t>
  </si>
  <si>
    <t>0                      P  0095550P  47          1995</t>
  </si>
  <si>
    <t>Performativity and performance / edited with an introduction by Andrew Parker and Eve Kosofsky Sedgwick.</t>
  </si>
  <si>
    <t>New York : Routledge, 1995.</t>
  </si>
  <si>
    <t>353640564:eng</t>
  </si>
  <si>
    <t>30979010</t>
  </si>
  <si>
    <t>ocm30979010</t>
  </si>
  <si>
    <t>3102743425Z</t>
  </si>
  <si>
    <t>9780415910545</t>
  </si>
  <si>
    <t>793350639</t>
  </si>
  <si>
    <t>P95.55 P48 1990</t>
  </si>
  <si>
    <t>0                      P  0095550P  48          1990</t>
  </si>
  <si>
    <t>Speech acts and literary theory / Sandy Petrey.</t>
  </si>
  <si>
    <t>Petrey, Sandy.</t>
  </si>
  <si>
    <t>New York : Routledge, 1990.</t>
  </si>
  <si>
    <t>23220013:eng</t>
  </si>
  <si>
    <t>21374438</t>
  </si>
  <si>
    <t>ocm21374438</t>
  </si>
  <si>
    <t>3102743424Z</t>
  </si>
  <si>
    <t>9780415901819</t>
  </si>
  <si>
    <t>793117056</t>
  </si>
  <si>
    <t>31027350571</t>
  </si>
  <si>
    <t>793117057</t>
  </si>
  <si>
    <t>P95.55 P68 2005</t>
  </si>
  <si>
    <t>0                      P  0095550P  68          2005</t>
  </si>
  <si>
    <t>The logic of conventional implicatures / Christopher Potts.</t>
  </si>
  <si>
    <t>Potts, Christopher, 1977-</t>
  </si>
  <si>
    <t>Oxford : Oxford University Press, ©2005.</t>
  </si>
  <si>
    <t>Oxford studies in theoretical linguistics ; 7</t>
  </si>
  <si>
    <t>990116:eng</t>
  </si>
  <si>
    <t>56964776</t>
  </si>
  <si>
    <t>ocm56964776</t>
  </si>
  <si>
    <t>3102743422Z</t>
  </si>
  <si>
    <t>9780199273829</t>
  </si>
  <si>
    <t>793904922</t>
  </si>
  <si>
    <t>P95.55 S4</t>
  </si>
  <si>
    <t>0                      P  0095550S  4</t>
  </si>
  <si>
    <t>Expression and meaning : studies in the theory of speech acts / John R. Searle.</t>
  </si>
  <si>
    <t>Searle, John R.</t>
  </si>
  <si>
    <t>Cambridge, Eng. ; New York : Cambridge University Press, 1979.</t>
  </si>
  <si>
    <t>2017-04-07</t>
  </si>
  <si>
    <t>221678:eng</t>
  </si>
  <si>
    <t>4858046</t>
  </si>
  <si>
    <t>ocm04858046</t>
  </si>
  <si>
    <t>3102743510Y</t>
  </si>
  <si>
    <t>9780521229012</t>
  </si>
  <si>
    <t>792388993</t>
  </si>
  <si>
    <t>P95.55 S42 1985</t>
  </si>
  <si>
    <t>0                      P  0095550S  42          1985</t>
  </si>
  <si>
    <t>Foundations of illocutionary logic / John R. Searle and Daniel Vanderveken.</t>
  </si>
  <si>
    <t>2016-12-07</t>
  </si>
  <si>
    <t>2896368:eng</t>
  </si>
  <si>
    <t>10506424</t>
  </si>
  <si>
    <t>ocm10506424</t>
  </si>
  <si>
    <t>3103254970O</t>
  </si>
  <si>
    <t>9780521263245</t>
  </si>
  <si>
    <t>792729459</t>
  </si>
  <si>
    <t>3102743511Y</t>
  </si>
  <si>
    <t>792729458</t>
  </si>
  <si>
    <t>P95.55 S63</t>
  </si>
  <si>
    <t>0                      P  0095550S  63</t>
  </si>
  <si>
    <t>Speech act theory and pragmatics / edited by John R. Searle, Ferenc Kiefer, and Manfred Bierwisch.</t>
  </si>
  <si>
    <t>Dordrecht, Holland ; Boston : D. Reidel ; Hingham, MA : Sold and distributed in the U.S.A. and Canada by Kluwer Boston, ©1980.</t>
  </si>
  <si>
    <t>Synthese language library ; v. 10</t>
  </si>
  <si>
    <t>365447609:eng</t>
  </si>
  <si>
    <t>5831108</t>
  </si>
  <si>
    <t>ocm05831108</t>
  </si>
  <si>
    <t>3102743505$</t>
  </si>
  <si>
    <t>9789027710437</t>
  </si>
  <si>
    <t>792457336</t>
  </si>
  <si>
    <t>P95.55 S77 2009</t>
  </si>
  <si>
    <t>0                      P  0095550S  77          2009</t>
  </si>
  <si>
    <t>Sprechende Körper, Poetik der Ansteckung : Performativa in Literatur und Rhetorik / Elisabeth Strowick.</t>
  </si>
  <si>
    <t>Strowick, Elisabeth, 1967-</t>
  </si>
  <si>
    <t>München : Fink, 2009.</t>
  </si>
  <si>
    <t>792935099:ger</t>
  </si>
  <si>
    <t>311817969</t>
  </si>
  <si>
    <t>ocn311817969</t>
  </si>
  <si>
    <t>3103641646W</t>
  </si>
  <si>
    <t>9783770544752</t>
  </si>
  <si>
    <t>794436571</t>
  </si>
  <si>
    <t>P95.55 T44 1986</t>
  </si>
  <si>
    <t>0                      P  0095550T  44          1986</t>
  </si>
  <si>
    <t>Théorie des actes de langage, éthique et droit / publié sous la direction de Paul Amselek, avec la collaboration de Zénon Bankowski [and others].</t>
  </si>
  <si>
    <t>Paris : Presses universitaires de France, ©1986.</t>
  </si>
  <si>
    <t>345873152:fre</t>
  </si>
  <si>
    <t>14213392</t>
  </si>
  <si>
    <t>ocm14213392</t>
  </si>
  <si>
    <t>3102743504$</t>
  </si>
  <si>
    <t>9782130393542</t>
  </si>
  <si>
    <t>792882121</t>
  </si>
  <si>
    <t>P95.8 A44 1996</t>
  </si>
  <si>
    <t>0                      P  0095800A  44          1996</t>
  </si>
  <si>
    <t>The media and politics / Dean E. Alger.</t>
  </si>
  <si>
    <t>Alger, Dean.</t>
  </si>
  <si>
    <t>Belmont : Wadsworth Pub. Co., ©1996.</t>
  </si>
  <si>
    <t>2nd [rev.] ed.</t>
  </si>
  <si>
    <t>180430711:eng</t>
  </si>
  <si>
    <t>32745449</t>
  </si>
  <si>
    <t>ocm32745449</t>
  </si>
  <si>
    <t>3102743498L</t>
  </si>
  <si>
    <t>9780534236946</t>
  </si>
  <si>
    <t>793393227</t>
  </si>
  <si>
    <t>P95.8 A76 2011</t>
  </si>
  <si>
    <t>0                      P  0095800A  76          2011</t>
  </si>
  <si>
    <t>Kill the messenger : the media's role in the fate of the world / Maria Armoudian ; foreword by Tom Hayden.</t>
  </si>
  <si>
    <t>Armoudian, Maria.</t>
  </si>
  <si>
    <t>Amherst, N.Y. : Prometheus Books, 2011.</t>
  </si>
  <si>
    <t>2018-11-16</t>
  </si>
  <si>
    <t>694995249:eng</t>
  </si>
  <si>
    <t>679931754</t>
  </si>
  <si>
    <t>ocn679931754</t>
  </si>
  <si>
    <t>3103363864M</t>
  </si>
  <si>
    <t>9781616143879</t>
  </si>
  <si>
    <t>794850773</t>
  </si>
  <si>
    <t>P95.8 B36 2018</t>
  </si>
  <si>
    <t>0                      P  0095800B  36          2018</t>
  </si>
  <si>
    <t>Ctrl Alt Delete : how politics and the media crashed our democracy / Tom Baldwin.</t>
  </si>
  <si>
    <t>Baldwin, Tom (Journalist), author.</t>
  </si>
  <si>
    <t>London : Hurst &amp; Company, 2018.</t>
  </si>
  <si>
    <t>5396639638:eng</t>
  </si>
  <si>
    <t>1030487240</t>
  </si>
  <si>
    <t>on1030487240</t>
  </si>
  <si>
    <t>31037375627</t>
  </si>
  <si>
    <t>9781787380066</t>
  </si>
  <si>
    <t>795054709</t>
  </si>
  <si>
    <t>P95.8 C48 1989</t>
  </si>
  <si>
    <t>0                      P  0095800C  48          1989</t>
  </si>
  <si>
    <t>Necessary illusions : thought control in democratic societies / Noam Chomsky.</t>
  </si>
  <si>
    <t>Montréal : CBC Enterprises, c1989.</t>
  </si>
  <si>
    <t>CBC Massey lectures ; 1988</t>
  </si>
  <si>
    <t>2012-04-03</t>
  </si>
  <si>
    <t>8576363:eng</t>
  </si>
  <si>
    <t>18987076</t>
  </si>
  <si>
    <t>ocm18987076</t>
  </si>
  <si>
    <t>3102743494L</t>
  </si>
  <si>
    <t>9780887943416</t>
  </si>
  <si>
    <t>793043653</t>
  </si>
  <si>
    <t>3102743496L</t>
  </si>
  <si>
    <t>793043651</t>
  </si>
  <si>
    <t>3102743495L</t>
  </si>
  <si>
    <t>793043652</t>
  </si>
  <si>
    <t>P95.8 C53 2012</t>
  </si>
  <si>
    <t>0                      P  0095800C  53          2012</t>
  </si>
  <si>
    <t>Citizen voices : performing public participation in science and environment communication / edited by Louise Phillips, Anabela Carvalho and Julie Doyle.</t>
  </si>
  <si>
    <t>Bristol, UK ; Chicago : Intellect, 2012.</t>
  </si>
  <si>
    <t>European Communication Research and Education Association series</t>
  </si>
  <si>
    <t>1194096257:eng</t>
  </si>
  <si>
    <t>788269165</t>
  </si>
  <si>
    <t>ocn788269165</t>
  </si>
  <si>
    <t>3103456665F</t>
  </si>
  <si>
    <t>9781841506210</t>
  </si>
  <si>
    <t>794916292</t>
  </si>
  <si>
    <t>P95.8 C559 1997</t>
  </si>
  <si>
    <t>0                      P  0095800C  559         1997</t>
  </si>
  <si>
    <t>Communication and democracy : exploring the intellectual frontiers in agenda-setting theory / edited by Maxwell McCombs, Donald L. Shaw, David Weaver.</t>
  </si>
  <si>
    <t>Mahwah, NJ : Lawrence Erlbaum Associates, 1997.</t>
  </si>
  <si>
    <t>2014-01-03</t>
  </si>
  <si>
    <t>2018-01-10</t>
  </si>
  <si>
    <t>864901631:eng</t>
  </si>
  <si>
    <t>36648891</t>
  </si>
  <si>
    <t>ocm36648891</t>
  </si>
  <si>
    <t>3102743490L</t>
  </si>
  <si>
    <t>9780805825541</t>
  </si>
  <si>
    <t>793480418</t>
  </si>
  <si>
    <t>3102743489N</t>
  </si>
  <si>
    <t>793480419</t>
  </si>
  <si>
    <t>P95.8 C645 2011</t>
  </si>
  <si>
    <t>0                      P  0095800C  645         2011</t>
  </si>
  <si>
    <t>Communications research in action : scholar-activist collaborations for a democratic public sphere / edited by Philip M. Napoli and Minna Aslama.</t>
  </si>
  <si>
    <t>New York : Fordham University Press, 2011.</t>
  </si>
  <si>
    <t>Donald McGannon Communication Research Center's Everett C. Parker book series</t>
  </si>
  <si>
    <t>2012-05-17</t>
  </si>
  <si>
    <t>495517281:eng</t>
  </si>
  <si>
    <t>630467834</t>
  </si>
  <si>
    <t>ocn630467834</t>
  </si>
  <si>
    <t>3103323368K</t>
  </si>
  <si>
    <t>9780823233472</t>
  </si>
  <si>
    <t>794824466</t>
  </si>
  <si>
    <t>P95.8 C66 2010</t>
  </si>
  <si>
    <t>0                      P  0095800C  66          2010</t>
  </si>
  <si>
    <t>Communications policy : theories and issues / edited by Stylianos Papathanassopoulos, Ralph Negrine.</t>
  </si>
  <si>
    <t>Houndmills, Basingstock, Hampshire ; New York : Palgrave Macmillan, 2010.</t>
  </si>
  <si>
    <t>810949572:eng</t>
  </si>
  <si>
    <t>726695597</t>
  </si>
  <si>
    <t>ocn726695597</t>
  </si>
  <si>
    <t>3103233197L</t>
  </si>
  <si>
    <t>9780230224599</t>
  </si>
  <si>
    <t>794877292</t>
  </si>
  <si>
    <t>P95.8 C85 2011</t>
  </si>
  <si>
    <t>0                      P  0095800C  85          2011</t>
  </si>
  <si>
    <t>Media and democracy / James Curran.</t>
  </si>
  <si>
    <t>Oxford ; New York : Routledge, 2011.</t>
  </si>
  <si>
    <t>Communication and society.</t>
  </si>
  <si>
    <t>3856366136:eng</t>
  </si>
  <si>
    <t>212848843</t>
  </si>
  <si>
    <t>ocn212848843</t>
  </si>
  <si>
    <t>3103234388D</t>
  </si>
  <si>
    <t>9780415317061</t>
  </si>
  <si>
    <t>794306293</t>
  </si>
  <si>
    <t>P95.8 D57 2011</t>
  </si>
  <si>
    <t>0                      P  0095800D  57          2011</t>
  </si>
  <si>
    <t>Discourse theory and critical media politics / edited by Lincoln Dahlberg, Sean Phelan.</t>
  </si>
  <si>
    <t>2017-12-14</t>
  </si>
  <si>
    <t>897525601:eng</t>
  </si>
  <si>
    <t>721884020</t>
  </si>
  <si>
    <t>ocn721884020</t>
  </si>
  <si>
    <t>31034085256</t>
  </si>
  <si>
    <t>9780230276994</t>
  </si>
  <si>
    <t>794875409</t>
  </si>
  <si>
    <t>P95.8 F54 2005</t>
  </si>
  <si>
    <t>0                      P  0095800F  54          2005</t>
  </si>
  <si>
    <t>Filtering the news : essays on Herman and Chomsky's propaganda model / Jeffery Klaehn, editor.</t>
  </si>
  <si>
    <t>Montreal ; New York : Black Rose Books, ©2005.</t>
  </si>
  <si>
    <t>807697775:eng</t>
  </si>
  <si>
    <t>57208359</t>
  </si>
  <si>
    <t>ocm57208359</t>
  </si>
  <si>
    <t>3102508918Y</t>
  </si>
  <si>
    <t>9781551642604</t>
  </si>
  <si>
    <t>793908965</t>
  </si>
  <si>
    <t>P95.8 F74 2008</t>
  </si>
  <si>
    <t>0                      P  0095800F  74          2008</t>
  </si>
  <si>
    <t>The politics of media policy / Des Freedman.</t>
  </si>
  <si>
    <t>Freedman, Des, 1962-</t>
  </si>
  <si>
    <t>Cambridge : Polity Press, 2008.</t>
  </si>
  <si>
    <t>58528453:eng</t>
  </si>
  <si>
    <t>71627356</t>
  </si>
  <si>
    <t>ocm71627356</t>
  </si>
  <si>
    <t>3102853422O</t>
  </si>
  <si>
    <t>9780745628417</t>
  </si>
  <si>
    <t>794167430</t>
  </si>
  <si>
    <t>P95.8 G56 2009</t>
  </si>
  <si>
    <t>0                      P  0095800G  56          2009</t>
  </si>
  <si>
    <t>Médias et démocratie : le grand malentendu / Anne-Marie Gingras.</t>
  </si>
  <si>
    <t>Gingras, Anne-Marie.</t>
  </si>
  <si>
    <t>Québec, Québec : Presses de l'Université du Québec, 2009.</t>
  </si>
  <si>
    <t>3e éd., rev. et augm.</t>
  </si>
  <si>
    <t>38921102:fre</t>
  </si>
  <si>
    <t>436223045</t>
  </si>
  <si>
    <t>ocn436223045</t>
  </si>
  <si>
    <t>3103071269O</t>
  </si>
  <si>
    <t>9782760523883</t>
  </si>
  <si>
    <t>794784437</t>
  </si>
  <si>
    <t>P95.8 H33 2006</t>
  </si>
  <si>
    <t>0                      P  0095800H  33          2006</t>
  </si>
  <si>
    <t>Remaking media : the struggle to democratize public communication / Robert A. Hackett, William K. Carroll.</t>
  </si>
  <si>
    <t>Hackett, Robert A., author.</t>
  </si>
  <si>
    <t>New York ; London : Routledge, 2006.</t>
  </si>
  <si>
    <t>Communication and society ; 34</t>
  </si>
  <si>
    <t>864083941:eng</t>
  </si>
  <si>
    <t>62326728</t>
  </si>
  <si>
    <t>ocm62326728</t>
  </si>
  <si>
    <t>3102557311V</t>
  </si>
  <si>
    <t>9780415394680</t>
  </si>
  <si>
    <t>794105037</t>
  </si>
  <si>
    <t>P95.8 H33413 2007</t>
  </si>
  <si>
    <t>0                      P  0095800H  33413       2007</t>
  </si>
  <si>
    <t>The myth of media globalization / Kai Hafez ; translated by Alex Skinner.</t>
  </si>
  <si>
    <t>Hafez, Kai, 1964-</t>
  </si>
  <si>
    <t>Cambridge ; Malden, Mass. : Polity Press, ©2007.</t>
  </si>
  <si>
    <t>2016-06-06</t>
  </si>
  <si>
    <t>52456152:eng</t>
  </si>
  <si>
    <t>122282217</t>
  </si>
  <si>
    <t>ocn122282217</t>
  </si>
  <si>
    <t>3102569168E</t>
  </si>
  <si>
    <t>9780745639086</t>
  </si>
  <si>
    <t>794219897</t>
  </si>
  <si>
    <t>P95.8 H349 2004</t>
  </si>
  <si>
    <t>0                      P  0095800H  349         2004</t>
  </si>
  <si>
    <t>Comparing media systems : three models of media and politics / Daniel C. Hallin, Paolo Mancini.</t>
  </si>
  <si>
    <t>Hallin, Daniel C.</t>
  </si>
  <si>
    <t>Communication, society, and politics</t>
  </si>
  <si>
    <t>9542541891:eng</t>
  </si>
  <si>
    <t>53993000</t>
  </si>
  <si>
    <t>ocm53993000</t>
  </si>
  <si>
    <t>3102743471P</t>
  </si>
  <si>
    <t>9780521835350</t>
  </si>
  <si>
    <t>793854881</t>
  </si>
  <si>
    <t>P95.8 H365 2011</t>
  </si>
  <si>
    <t>0                      P  0095800H  365         2011</t>
  </si>
  <si>
    <t>The handbook of global media and communication policy / edited by Robin Mansell and Marc Raboy.</t>
  </si>
  <si>
    <t>Global handbooks in media and communication research</t>
  </si>
  <si>
    <t>1029043413:eng</t>
  </si>
  <si>
    <t>679941461</t>
  </si>
  <si>
    <t>ocn679941461</t>
  </si>
  <si>
    <t>3103234882Z</t>
  </si>
  <si>
    <t>9781405198714</t>
  </si>
  <si>
    <t>794850974</t>
  </si>
  <si>
    <t>P95.8 H37 2011</t>
  </si>
  <si>
    <t>0                      P  0095800H  37          2011</t>
  </si>
  <si>
    <t>Democracy in the age of new media : the politics of the spectacle / Tauel Harper.</t>
  </si>
  <si>
    <t>Harper, Tauel, 1976-</t>
  </si>
  <si>
    <t>796116106:eng</t>
  </si>
  <si>
    <t>650019946</t>
  </si>
  <si>
    <t>ocn650019946</t>
  </si>
  <si>
    <t>3103364467U</t>
  </si>
  <si>
    <t>9781433109102</t>
  </si>
  <si>
    <t>794832173</t>
  </si>
  <si>
    <t>P95.8 H59 2012</t>
  </si>
  <si>
    <t>0                      P  0095800H  59          2012</t>
  </si>
  <si>
    <t>How media inform democracy : a comparative approach / edited by Toril Aalberg and James Curran.</t>
  </si>
  <si>
    <t>Routledge new developments in communication and society research ; 1</t>
  </si>
  <si>
    <t>2018-01-08</t>
  </si>
  <si>
    <t>1009146854:eng</t>
  </si>
  <si>
    <t>659750846</t>
  </si>
  <si>
    <t>ocn659750846</t>
  </si>
  <si>
    <t>3103385644E</t>
  </si>
  <si>
    <t>9780415889087</t>
  </si>
  <si>
    <t>794836466</t>
  </si>
  <si>
    <t>P95.8 I67 2011</t>
  </si>
  <si>
    <t>0                      P  0095800I  67          2011</t>
  </si>
  <si>
    <t>Global media and communication policy / Petros Iosifidis.</t>
  </si>
  <si>
    <t>Iosifidis, Petros.</t>
  </si>
  <si>
    <t>Houndmills, Basingstoke, Hampshire ; New York : Palgrave Macmillan, ©2011.</t>
  </si>
  <si>
    <t>2015-08-17</t>
  </si>
  <si>
    <t>900755320:eng</t>
  </si>
  <si>
    <t>724657228</t>
  </si>
  <si>
    <t>ocn724657228</t>
  </si>
  <si>
    <t>3103343016T</t>
  </si>
  <si>
    <t>9780230218796</t>
  </si>
  <si>
    <t>794876556</t>
  </si>
  <si>
    <t>P95.8 K45 2012</t>
  </si>
  <si>
    <t>0                      P  0095800K  45          2012</t>
  </si>
  <si>
    <t>Media spectacle and insurrection, 2011 : from the Arab uprisings to Occupy everywhere / Douglas Kellner.</t>
  </si>
  <si>
    <t>Kellner, Douglas, 1943-</t>
  </si>
  <si>
    <t>London : Continuum, 2012.</t>
  </si>
  <si>
    <t>Critical adventures in new media</t>
  </si>
  <si>
    <t>1127755767:eng</t>
  </si>
  <si>
    <t>801604763</t>
  </si>
  <si>
    <t>ocn801604763</t>
  </si>
  <si>
    <t>3103457291H</t>
  </si>
  <si>
    <t>9781441160973</t>
  </si>
  <si>
    <t>794925117</t>
  </si>
  <si>
    <t>P95.8 L49 2011</t>
  </si>
  <si>
    <t>0                      P  0095800L  49          2011</t>
  </si>
  <si>
    <t>Crisis in the global mediasphere : desire, displeasure and cultural transformation / Jeff Lewis.</t>
  </si>
  <si>
    <t>Lewis, Jeff.</t>
  </si>
  <si>
    <t>Basingstoke, Hampshire ; New York, NY : Palgrave Macmillan, 2011.</t>
  </si>
  <si>
    <t>572499196:eng</t>
  </si>
  <si>
    <t>656556640</t>
  </si>
  <si>
    <t>ocn656556640</t>
  </si>
  <si>
    <t>3103232810K</t>
  </si>
  <si>
    <t>9780230247420</t>
  </si>
  <si>
    <t>794834932</t>
  </si>
  <si>
    <t>P95.8 L54 2011</t>
  </si>
  <si>
    <t>0                      P  0095800L  54          2011</t>
  </si>
  <si>
    <t>Alternative and activist new media / Leah A. Lievrouw.</t>
  </si>
  <si>
    <t>Lievrouw, Leah A., author.</t>
  </si>
  <si>
    <t>Cambridge, UK ; Malden, MA : Polity, 2011.</t>
  </si>
  <si>
    <t>Digital media and society series</t>
  </si>
  <si>
    <t>2015-12-10</t>
  </si>
  <si>
    <t>573625948:eng</t>
  </si>
  <si>
    <t>656772605</t>
  </si>
  <si>
    <t>ocn656772605</t>
  </si>
  <si>
    <t>3103232498G</t>
  </si>
  <si>
    <t>9780745641843</t>
  </si>
  <si>
    <t>794835057</t>
  </si>
  <si>
    <t>P95.8 L68 2010</t>
  </si>
  <si>
    <t>0                      P  0095800L  68          2010</t>
  </si>
  <si>
    <t>The media and political process / P. Eric Louw.</t>
  </si>
  <si>
    <t>Louw, P. Eric.</t>
  </si>
  <si>
    <t>Los Angeles, Calif. ; London : SAGE, 2010.</t>
  </si>
  <si>
    <t>756068:eng</t>
  </si>
  <si>
    <t>465369456</t>
  </si>
  <si>
    <t>ocn465369456</t>
  </si>
  <si>
    <t>3103241622N</t>
  </si>
  <si>
    <t>9781848604469</t>
  </si>
  <si>
    <t>794793895</t>
  </si>
  <si>
    <t>P95.8 M378 2006</t>
  </si>
  <si>
    <t>0                      P  0095800M  378         2006</t>
  </si>
  <si>
    <t>Mass media and political communication in new democracies / edited by Katrin Voltmer.</t>
  </si>
  <si>
    <t>Routledge/ECPR studies in European political science ; 42</t>
  </si>
  <si>
    <t>2017-06-14</t>
  </si>
  <si>
    <t>872858649:eng</t>
  </si>
  <si>
    <t>59098757</t>
  </si>
  <si>
    <t>ocm59098757</t>
  </si>
  <si>
    <t>3102489774R</t>
  </si>
  <si>
    <t>9780415337793</t>
  </si>
  <si>
    <t>793927340</t>
  </si>
  <si>
    <t>P95.8 M3812 2011</t>
  </si>
  <si>
    <t>0                      P  0095800M  3812        2011</t>
  </si>
  <si>
    <t>Measures of press freedom and media contributions to development : evaluating the evaluators / edited by Monroe E. Price, Susan Abbott, Libby Morgan.</t>
  </si>
  <si>
    <t>Mass communication and journalism, 2153-2761 ; v. 4</t>
  </si>
  <si>
    <t>769994872:eng</t>
  </si>
  <si>
    <t>696773032</t>
  </si>
  <si>
    <t>ocn696773032</t>
  </si>
  <si>
    <t>3103344519A</t>
  </si>
  <si>
    <t>9781433112898</t>
  </si>
  <si>
    <t>794859438</t>
  </si>
  <si>
    <t>P95.8 M384 2001</t>
  </si>
  <si>
    <t>0                      P  0095800M  384         2001</t>
  </si>
  <si>
    <t>Media and globalization : why the state matters / edited by Nancy Morris and Silvio Waisbord ; epilogue by Kaarle Nordenstreng.</t>
  </si>
  <si>
    <t>Lanham, MD : Rowman &amp; Littlefield, ©2001.</t>
  </si>
  <si>
    <t>890378108:eng</t>
  </si>
  <si>
    <t>45804815</t>
  </si>
  <si>
    <t>ocm45804815</t>
  </si>
  <si>
    <t>3102743555Q</t>
  </si>
  <si>
    <t>9780742510296</t>
  </si>
  <si>
    <t>793678587</t>
  </si>
  <si>
    <t>2011-11-29</t>
  </si>
  <si>
    <t>31026937287</t>
  </si>
  <si>
    <t>793678588</t>
  </si>
  <si>
    <t>P95.8 M386 2011</t>
  </si>
  <si>
    <t>0                      P  0095800M  386         2011</t>
  </si>
  <si>
    <t>Media and social justice / edited by Sue Curry Jansen, Jefferson Pooley, and Lora Taub-Pervizpour.</t>
  </si>
  <si>
    <t>New York : Palgrave Macmillan, 2011.</t>
  </si>
  <si>
    <t>1019883056:eng</t>
  </si>
  <si>
    <t>662407409</t>
  </si>
  <si>
    <t>ocn662407409</t>
  </si>
  <si>
    <t>3103363657U</t>
  </si>
  <si>
    <t>9780230108639</t>
  </si>
  <si>
    <t>794837287</t>
  </si>
  <si>
    <t>P95.8 M39 2008</t>
  </si>
  <si>
    <t>0                      P  0095800M  39          2008</t>
  </si>
  <si>
    <t>The political economy of media : enduring issues, emerging dilemmas / Robert W. McChesney.</t>
  </si>
  <si>
    <t>New York : Monthly Review Press, ©2008.</t>
  </si>
  <si>
    <t>2019-02-10</t>
  </si>
  <si>
    <t>221938861:eng</t>
  </si>
  <si>
    <t>154759475</t>
  </si>
  <si>
    <t>ocn154759475</t>
  </si>
  <si>
    <t>3102883795N</t>
  </si>
  <si>
    <t>9781583671610</t>
  </si>
  <si>
    <t>794252777</t>
  </si>
  <si>
    <t>P95.8 M39335 2009</t>
  </si>
  <si>
    <t>0                      P  0095800M  39335       2009</t>
  </si>
  <si>
    <t>Media, policy and interaction / edited by Richard Fitzgerald and William Housley.</t>
  </si>
  <si>
    <t>Farnham, Surrey, England ; Burlington, VT : Ashgate Pub., ©2009.</t>
  </si>
  <si>
    <t>766794656:eng</t>
  </si>
  <si>
    <t>423732689</t>
  </si>
  <si>
    <t>ocn423732689</t>
  </si>
  <si>
    <t>3103157297Z</t>
  </si>
  <si>
    <t>9780754674146</t>
  </si>
  <si>
    <t>794506296</t>
  </si>
  <si>
    <t>P95.8 M43 1991</t>
  </si>
  <si>
    <t>0                      P  0095800M  43          1991</t>
  </si>
  <si>
    <t>Media, elections, and democracy / Frederick J. Fletcher, editor.</t>
  </si>
  <si>
    <t>Toronto : Dundurn Press, ©1991.</t>
  </si>
  <si>
    <t>Research studies, 1188-2743 ; v. 19</t>
  </si>
  <si>
    <t>5336981763:eng</t>
  </si>
  <si>
    <t>28888182</t>
  </si>
  <si>
    <t>ocm28888182</t>
  </si>
  <si>
    <t>3102743550Q</t>
  </si>
  <si>
    <t>9781550021158</t>
  </si>
  <si>
    <t>793298504</t>
  </si>
  <si>
    <t>P95.8 M44 1997</t>
  </si>
  <si>
    <t>0                      P  0095800M  44          1997</t>
  </si>
  <si>
    <t>Media and cultural regulation / edited by Kenneth Thompson.</t>
  </si>
  <si>
    <t>London ; Thousand Oaks, Calif. : Sage Publications ; Milton Keynes : Open University, 1997.</t>
  </si>
  <si>
    <t>Culture, media and identities</t>
  </si>
  <si>
    <t>56227940:eng</t>
  </si>
  <si>
    <t>37902237</t>
  </si>
  <si>
    <t>ocm37902237</t>
  </si>
  <si>
    <t>3102710708K</t>
  </si>
  <si>
    <t>9780761954392</t>
  </si>
  <si>
    <t>793509690</t>
  </si>
  <si>
    <t>P95.8 M49 2001</t>
  </si>
  <si>
    <t>0                      P  0095800M  49          2001</t>
  </si>
  <si>
    <t>Media voices : the James Cameron Memorial Lectures / edited by Hugh Stephenson.</t>
  </si>
  <si>
    <t>London : Politico's, 2001.</t>
  </si>
  <si>
    <t>36321823:eng</t>
  </si>
  <si>
    <t>47272232</t>
  </si>
  <si>
    <t>ocm47272232</t>
  </si>
  <si>
    <t>3102743547S</t>
  </si>
  <si>
    <t>9781842750070</t>
  </si>
  <si>
    <t>793702404</t>
  </si>
  <si>
    <t>P95.8 M88 1998</t>
  </si>
  <si>
    <t>0                      P  0095800M  88          1998</t>
  </si>
  <si>
    <t>Impersonal influence : how perceptions of mass collectives affect political attitudes / Diana C. Mutz.</t>
  </si>
  <si>
    <t>Mutz, Diana Carole.</t>
  </si>
  <si>
    <t>Cambridge studies in political psychology and public opinion</t>
  </si>
  <si>
    <t>795143097:eng</t>
  </si>
  <si>
    <t>39116624</t>
  </si>
  <si>
    <t>ocm39116624</t>
  </si>
  <si>
    <t>3102743544S</t>
  </si>
  <si>
    <t>9780521631327</t>
  </si>
  <si>
    <t>793538402</t>
  </si>
  <si>
    <t>P95.8 N44 2008</t>
  </si>
  <si>
    <t>0                      P  0095800N  44          2008</t>
  </si>
  <si>
    <t>The transformation of political communication : continuities and changes in media and politics / Ralph M. Negrine.</t>
  </si>
  <si>
    <t>Negrine, Ralph M.</t>
  </si>
  <si>
    <t>Basingstoke [England] ; New York : Palgrave Macmillan, ©2008.</t>
  </si>
  <si>
    <t>321903358:eng</t>
  </si>
  <si>
    <t>235945752</t>
  </si>
  <si>
    <t>ocn235945752</t>
  </si>
  <si>
    <t>3102854708F</t>
  </si>
  <si>
    <t>9780230000308</t>
  </si>
  <si>
    <t>794370542</t>
  </si>
  <si>
    <t>P95.8 N48 1997</t>
  </si>
  <si>
    <t>0                      P  0095800N  48          1997</t>
  </si>
  <si>
    <t>News media and foreign relations : a multifaceted perspective / edited by Abbas Malek.</t>
  </si>
  <si>
    <t>Norwood, N.J. : Ablex Pub., ©1997.</t>
  </si>
  <si>
    <t>The Ablex communication, culture &amp; information series</t>
  </si>
  <si>
    <t>905398246:eng</t>
  </si>
  <si>
    <t>35223031</t>
  </si>
  <si>
    <t>ocm35223031</t>
  </si>
  <si>
    <t>3102743541S</t>
  </si>
  <si>
    <t>9781567502725</t>
  </si>
  <si>
    <t>793447147</t>
  </si>
  <si>
    <t>P95.8 N49 2010</t>
  </si>
  <si>
    <t>0                      P  0095800N  49          2010</t>
  </si>
  <si>
    <t>New media, old news : journalism &amp; democracy in the digital age / edited by Natalie Fenton.</t>
  </si>
  <si>
    <t>793216343:eng</t>
  </si>
  <si>
    <t>351322151</t>
  </si>
  <si>
    <t>ocn351322151</t>
  </si>
  <si>
    <t>3103130757T</t>
  </si>
  <si>
    <t>9781847875730</t>
  </si>
  <si>
    <t>794491420</t>
  </si>
  <si>
    <t>P95.8 O28 2008</t>
  </si>
  <si>
    <t>0                      P  0095800O  28          2008</t>
  </si>
  <si>
    <t>Introduction to media and politics / Sarah Oates.</t>
  </si>
  <si>
    <t>Oates, Sarah.</t>
  </si>
  <si>
    <t>London ; Thousand Oaks, Calif. : SAGE, 2008.</t>
  </si>
  <si>
    <t>105098362:eng</t>
  </si>
  <si>
    <t>156891251</t>
  </si>
  <si>
    <t>ocn156891251</t>
  </si>
  <si>
    <t>31028813906</t>
  </si>
  <si>
    <t>9781412902618</t>
  </si>
  <si>
    <t>794255600</t>
  </si>
  <si>
    <t>P95.8 O53 2011</t>
  </si>
  <si>
    <t>0                      P  0095800O  53          2011</t>
  </si>
  <si>
    <t>On media monitoring : the media and their contribution to democracy / edited by Josef Trappel and Werner A. Meier.</t>
  </si>
  <si>
    <t>Mass communication and journalism ; v. 2</t>
  </si>
  <si>
    <t>863941001:eng</t>
  </si>
  <si>
    <t>653121575</t>
  </si>
  <si>
    <t>ocn653121575</t>
  </si>
  <si>
    <t>31033616247</t>
  </si>
  <si>
    <t>9781433111037</t>
  </si>
  <si>
    <t>794833705</t>
  </si>
  <si>
    <t>P95.8 P643 2007</t>
  </si>
  <si>
    <t>0                      P  0095800P  643         2007</t>
  </si>
  <si>
    <t>The political communication reader / edited by Ralph Negrine and James Stanyer.</t>
  </si>
  <si>
    <t>353920674:eng</t>
  </si>
  <si>
    <t>76836011</t>
  </si>
  <si>
    <t>ocm76836011</t>
  </si>
  <si>
    <t>3102637577H</t>
  </si>
  <si>
    <t>9780415359351</t>
  </si>
  <si>
    <t>794177664</t>
  </si>
  <si>
    <t>P95.8 P6436 2010</t>
  </si>
  <si>
    <t>0                      P  0095800P  6436        2010</t>
  </si>
  <si>
    <t>The political economy of media and power / edited by Jeffery Klaehn.</t>
  </si>
  <si>
    <t>2014-06-30</t>
  </si>
  <si>
    <t>383916514:eng</t>
  </si>
  <si>
    <t>511608794</t>
  </si>
  <si>
    <t>ocn511608794</t>
  </si>
  <si>
    <t>3103242302W</t>
  </si>
  <si>
    <t>9781433107733</t>
  </si>
  <si>
    <t>794807921</t>
  </si>
  <si>
    <t>P95.8 P645 1996</t>
  </si>
  <si>
    <t>0                      P  0095800P  645         1996</t>
  </si>
  <si>
    <t>Political persuasion and attitude change / edited by Diana C. Mutz, Paul M. Sniderman, and Richard A. Brody.</t>
  </si>
  <si>
    <t>Ann Arbor : University of Michigan Press, ©1996.</t>
  </si>
  <si>
    <t>351154318:eng</t>
  </si>
  <si>
    <t>34283061</t>
  </si>
  <si>
    <t>ocm34283061</t>
  </si>
  <si>
    <t>3102743539U</t>
  </si>
  <si>
    <t>9780472095551</t>
  </si>
  <si>
    <t>793423198</t>
  </si>
  <si>
    <t>P95.8 P655 2008</t>
  </si>
  <si>
    <t>0                      P  0095800P  655         2008</t>
  </si>
  <si>
    <t>The politics of news : the news of politics / edited by Doris Graber, Denis McQuail, Pippa Norris.</t>
  </si>
  <si>
    <t>Washington, D.C. : CQ Press, ©2008.</t>
  </si>
  <si>
    <t>140891146:eng</t>
  </si>
  <si>
    <t>124039131</t>
  </si>
  <si>
    <t>ocn124039131</t>
  </si>
  <si>
    <t>31026487752</t>
  </si>
  <si>
    <t>9780872894068</t>
  </si>
  <si>
    <t>794229578</t>
  </si>
  <si>
    <t>P95.8 P83 2008</t>
  </si>
  <si>
    <t>0                      P  0095800P  83          2008</t>
  </si>
  <si>
    <t>Public deliberation and public culture : the writings of Bernhard Peters, 1993-2005 / edited by Hartmut Wessler ; foreword by Jürgen Habermas ; translated by Keith Tribe.</t>
  </si>
  <si>
    <t>Houndmills, Basingstoke, Hampshire ; New York : Palgrave Macmillan, 2008.</t>
  </si>
  <si>
    <t>Transformations of the state</t>
  </si>
  <si>
    <t>891140545:eng</t>
  </si>
  <si>
    <t>187300292</t>
  </si>
  <si>
    <t>ocn187300292</t>
  </si>
  <si>
    <t>3102855284A</t>
  </si>
  <si>
    <t>9780230573536</t>
  </si>
  <si>
    <t>794293076</t>
  </si>
  <si>
    <t>P95.8 P85 2010</t>
  </si>
  <si>
    <t>0                      P  0095800P  85          2010</t>
  </si>
  <si>
    <t>Public policy and mass media : the interplay of mass communication and political decision making / edited by Sigrid Koch-Baumgarten and Katrin Voltmer.</t>
  </si>
  <si>
    <t>London ; New York : Routledge/ECPR, 2010.</t>
  </si>
  <si>
    <t>Routledge/ECPR studies in European political science ; 66</t>
  </si>
  <si>
    <t>866286475:eng</t>
  </si>
  <si>
    <t>432315141</t>
  </si>
  <si>
    <t>ocn432315141</t>
  </si>
  <si>
    <t>3103242820D</t>
  </si>
  <si>
    <t>9780415485463</t>
  </si>
  <si>
    <t>794781677</t>
  </si>
  <si>
    <t>P95.8 R44 2010</t>
  </si>
  <si>
    <t>0                      P  0095800R  44          2010</t>
  </si>
  <si>
    <t>Regulating convergence / edited by Susan J. Drucker, Gary Gumpert.</t>
  </si>
  <si>
    <t>Communication law, 2153-1390 ; v. 1</t>
  </si>
  <si>
    <t>2011-09-28</t>
  </si>
  <si>
    <t>505797394:eng</t>
  </si>
  <si>
    <t>645247821</t>
  </si>
  <si>
    <t>ocn645247821</t>
  </si>
  <si>
    <t>3103238657V</t>
  </si>
  <si>
    <t>9781433110894</t>
  </si>
  <si>
    <t>794829506</t>
  </si>
  <si>
    <t>P95.8 S35 2009</t>
  </si>
  <si>
    <t>0                      P  0095800S  35          2009</t>
  </si>
  <si>
    <t>Stagecraft and statecraft : advance and media events in political communication / Dan Schill.</t>
  </si>
  <si>
    <t>Schill, Dan, 1979-</t>
  </si>
  <si>
    <t>Lanham, MD : Lexington Books, ©2009.</t>
  </si>
  <si>
    <t>908398195:eng</t>
  </si>
  <si>
    <t>298324442</t>
  </si>
  <si>
    <t>ocn298324442</t>
  </si>
  <si>
    <t>31030826741</t>
  </si>
  <si>
    <t>9780739128619</t>
  </si>
  <si>
    <t>794427665</t>
  </si>
  <si>
    <t>P95.8 S37 2008</t>
  </si>
  <si>
    <t>0                      P  0095800S  37          2008</t>
  </si>
  <si>
    <t>Why democracies need an unlovable press / Michael Schudson.</t>
  </si>
  <si>
    <t>Schudson, Michael.</t>
  </si>
  <si>
    <t>Cambridge, UK ; Malden, MA : Polity, ©2008.</t>
  </si>
  <si>
    <t>2019-03-28</t>
  </si>
  <si>
    <t>137780727:eng</t>
  </si>
  <si>
    <t>228224817</t>
  </si>
  <si>
    <t>ocn228224817</t>
  </si>
  <si>
    <t>31030537935</t>
  </si>
  <si>
    <t>9780745644523</t>
  </si>
  <si>
    <t>794349034</t>
  </si>
  <si>
    <t>P95.8 S54 1988</t>
  </si>
  <si>
    <t>0                      P  0095800S  54          1988</t>
  </si>
  <si>
    <t>The politics of representation : writing practices in biography, photography, and policy analysis / Michael J. Shapiro.</t>
  </si>
  <si>
    <t>Shapiro, Michael J.</t>
  </si>
  <si>
    <t>889357888:eng</t>
  </si>
  <si>
    <t>17354250</t>
  </si>
  <si>
    <t>ocm17354250</t>
  </si>
  <si>
    <t>3102743534U</t>
  </si>
  <si>
    <t>9780299116309</t>
  </si>
  <si>
    <t>792988919</t>
  </si>
  <si>
    <t>3102743537U</t>
  </si>
  <si>
    <t>792988918</t>
  </si>
  <si>
    <t>P95.8 S77 2011</t>
  </si>
  <si>
    <t>0                      P  0095800S  77          2011</t>
  </si>
  <si>
    <t>Mass media, politics and democracy / John Street.</t>
  </si>
  <si>
    <t>Street, John, 1952-</t>
  </si>
  <si>
    <t>14190321:eng</t>
  </si>
  <si>
    <t>696321804</t>
  </si>
  <si>
    <t>ocn696321804</t>
  </si>
  <si>
    <t>3103231808Q</t>
  </si>
  <si>
    <t>9781403947345</t>
  </si>
  <si>
    <t>794859146</t>
  </si>
  <si>
    <t>P95.8 T45 2005</t>
  </si>
  <si>
    <t>0                      P  0095800T  45          2005</t>
  </si>
  <si>
    <t>Socialist register 2006 : telling the truth / edited by Leo Panitch and Colin Leys.</t>
  </si>
  <si>
    <t>London : Merlin Press ; New York : Monthly Review Press ; Halifax, Can. : Fernwood Publishing, 2005.</t>
  </si>
  <si>
    <t>Socialist register ; 2006</t>
  </si>
  <si>
    <t>2015-03-20</t>
  </si>
  <si>
    <t>2908603330:eng</t>
  </si>
  <si>
    <t>61441044</t>
  </si>
  <si>
    <t>ocm61441044</t>
  </si>
  <si>
    <t>3102706759S</t>
  </si>
  <si>
    <t>9780850365597</t>
  </si>
  <si>
    <t>793952770</t>
  </si>
  <si>
    <t>P95.8 T74 2012</t>
  </si>
  <si>
    <t>0                      P  0095800T  74          2012</t>
  </si>
  <si>
    <t>Trends in communication policy research : new theories, methods and subjects / edited by Natascha Just and Manuel Puppis.</t>
  </si>
  <si>
    <t>Bristol ; Chicago : Intellect, 2012.</t>
  </si>
  <si>
    <t>European communication research and education association series</t>
  </si>
  <si>
    <t>2013-10-02</t>
  </si>
  <si>
    <t>1013048948:eng</t>
  </si>
  <si>
    <t>786266640</t>
  </si>
  <si>
    <t>ocn786266640</t>
  </si>
  <si>
    <t>3103395082J</t>
  </si>
  <si>
    <t>9781841504674</t>
  </si>
  <si>
    <t>794915989</t>
  </si>
  <si>
    <t>P95.8 V65 2013</t>
  </si>
  <si>
    <t>0                      P  0095800V  65          2013</t>
  </si>
  <si>
    <t>The media in transitional democracies / Katrin Voltmer.</t>
  </si>
  <si>
    <t>Voltmer, Katrin.</t>
  </si>
  <si>
    <t>Cambridge : Polity, 2013.</t>
  </si>
  <si>
    <t>Contemporary political communication</t>
  </si>
  <si>
    <t>994855329:eng</t>
  </si>
  <si>
    <t>844772136</t>
  </si>
  <si>
    <t>ocn844772136</t>
  </si>
  <si>
    <t>3103500386Q</t>
  </si>
  <si>
    <t>9780745644592</t>
  </si>
  <si>
    <t>794948731</t>
  </si>
  <si>
    <t>P95.8 W38 2010</t>
  </si>
  <si>
    <t>0                      P  0095800W  38          2010</t>
  </si>
  <si>
    <t>Mediating politics : newspapers, radio, television and the Internet / Neil Washbourne.</t>
  </si>
  <si>
    <t>Washbourne, Neil.</t>
  </si>
  <si>
    <t>Maidenhead, Berkshire, England : Open University Press, 2010.</t>
  </si>
  <si>
    <t>2012-10-25</t>
  </si>
  <si>
    <t>796104546:eng</t>
  </si>
  <si>
    <t>465371998</t>
  </si>
  <si>
    <t>ocn465371998</t>
  </si>
  <si>
    <t>3103133171V</t>
  </si>
  <si>
    <t>9780335217601</t>
  </si>
  <si>
    <t>794793916</t>
  </si>
  <si>
    <t>P95.8 W54 1992</t>
  </si>
  <si>
    <t>0                      P  0095800W  54          1992</t>
  </si>
  <si>
    <t>Common cents : media portrayal of the Gulf War and other events / James Winter.</t>
  </si>
  <si>
    <t>Winter, James P.</t>
  </si>
  <si>
    <t>Montréal ; New York : Black Rose Books, ©1992.</t>
  </si>
  <si>
    <t>Black Rose Books ; no. V174.</t>
  </si>
  <si>
    <t>45755657:eng</t>
  </si>
  <si>
    <t>37180250</t>
  </si>
  <si>
    <t>ocm37180250</t>
  </si>
  <si>
    <t>3102743525W</t>
  </si>
  <si>
    <t>9781895431247</t>
  </si>
  <si>
    <t>793492260</t>
  </si>
  <si>
    <t>P95.8 W65 1997</t>
  </si>
  <si>
    <t>0                      P  0095800W  65          1997</t>
  </si>
  <si>
    <t>Media and political conflict : news from the Middle East / Gadi Wolfsfeld.</t>
  </si>
  <si>
    <t>Wolfsfeld, Gadi.</t>
  </si>
  <si>
    <t>Cambridge [England] ; New York, NY, USA : Cambridge University Press, 1997.</t>
  </si>
  <si>
    <t>836958233:eng</t>
  </si>
  <si>
    <t>34691228</t>
  </si>
  <si>
    <t>ocm34691228</t>
  </si>
  <si>
    <t>3102743524W</t>
  </si>
  <si>
    <t>9780521580458</t>
  </si>
  <si>
    <t>793433382</t>
  </si>
  <si>
    <t>P95.8 Z366 2011</t>
  </si>
  <si>
    <t>0                      P  0095800Z  366         2011</t>
  </si>
  <si>
    <t>Chuan bo yu she hui : zheng zhi jing ji yu wen hua fen xi / Zhao Yuezhi zhu.</t>
  </si>
  <si>
    <t>Zhao, Yuezhi, 1965-</t>
  </si>
  <si>
    <t>Beijing Shi : Zhongguo chuan mei da xue chu ban she, 2011.</t>
  </si>
  <si>
    <t>Xin wen xue yu chuan bo xue ming jia lun cong</t>
  </si>
  <si>
    <t>58305120:chi</t>
  </si>
  <si>
    <t>780115873</t>
  </si>
  <si>
    <t>ocn780115873</t>
  </si>
  <si>
    <t>31036674175</t>
  </si>
  <si>
    <t>9787565702235</t>
  </si>
  <si>
    <t>794911782</t>
  </si>
  <si>
    <t>P95.82 A356 M43 2010</t>
  </si>
  <si>
    <t>0                      P  0095820A  356                M  43          2010</t>
  </si>
  <si>
    <t>Media policy in a changing Southern Africa : critical reflections on media reforms in the global age / edited by Dumisani Moyo and Wallace Chuma.</t>
  </si>
  <si>
    <t>Pretoria : Unisa Press, 2010.</t>
  </si>
  <si>
    <t>861186238:eng</t>
  </si>
  <si>
    <t>630437816</t>
  </si>
  <si>
    <t>ocn630437816</t>
  </si>
  <si>
    <t>3103323342O</t>
  </si>
  <si>
    <t>9781868885695</t>
  </si>
  <si>
    <t>794824408</t>
  </si>
  <si>
    <t>P95.82 A4 M4 2002</t>
  </si>
  <si>
    <t>0                      P  0095820A  4                  M  4           2002</t>
  </si>
  <si>
    <t>Media and democracy in Africa / Goran Hyden, Michael Leslie, and Folu F. Ogundimu, editors.</t>
  </si>
  <si>
    <t>New Brunswick, N.J. : Transaction Publishers, ©2002.</t>
  </si>
  <si>
    <t>2018-11-02</t>
  </si>
  <si>
    <t>349986950:eng</t>
  </si>
  <si>
    <t>50022678</t>
  </si>
  <si>
    <t>ocm50022678</t>
  </si>
  <si>
    <t>3102743517Y</t>
  </si>
  <si>
    <t>9780765801487</t>
  </si>
  <si>
    <t>793753735</t>
  </si>
  <si>
    <t>P95.82 A4 P67 2011</t>
  </si>
  <si>
    <t>0                      P  0095820A  4                  P  67          2011</t>
  </si>
  <si>
    <t>Popular media, democracy and development in Africa / edited by Herman Wasserman.</t>
  </si>
  <si>
    <t>Internationalizing media studies</t>
  </si>
  <si>
    <t>2019-04-10</t>
  </si>
  <si>
    <t>366794262:eng</t>
  </si>
  <si>
    <t>491891010</t>
  </si>
  <si>
    <t>ocn491891010</t>
  </si>
  <si>
    <t>3103230209B</t>
  </si>
  <si>
    <t>9780415577939</t>
  </si>
  <si>
    <t>794800700</t>
  </si>
  <si>
    <t>P95.82 A65 R84 2004</t>
  </si>
  <si>
    <t>0                      P  0095820A  65                 R  84          2004</t>
  </si>
  <si>
    <t>Arab mass media : newspapers, radio, and television in Arab politics / William A. Rugh.</t>
  </si>
  <si>
    <t>Rugh, William A.</t>
  </si>
  <si>
    <t>670337:eng</t>
  </si>
  <si>
    <t>53038467</t>
  </si>
  <si>
    <t>ocm53038467</t>
  </si>
  <si>
    <t>3102800831A</t>
  </si>
  <si>
    <t>9780275982126</t>
  </si>
  <si>
    <t>793819833</t>
  </si>
  <si>
    <t>P95.82 A785 P65 2008</t>
  </si>
  <si>
    <t>0                      P  0095820A  785                P  65          2008</t>
  </si>
  <si>
    <t>Political regimes and the media in Asia / edited by Krishna Sen and Terence Lee.</t>
  </si>
  <si>
    <t>Routledge media, culture and social change in Asia</t>
  </si>
  <si>
    <t>2016-03-19</t>
  </si>
  <si>
    <t>888567197:eng</t>
  </si>
  <si>
    <t>144224937</t>
  </si>
  <si>
    <t>ocn144224937</t>
  </si>
  <si>
    <t>31025739865</t>
  </si>
  <si>
    <t>9780415402972</t>
  </si>
  <si>
    <t>794235494</t>
  </si>
  <si>
    <t>P95.82 A785 W66 2008</t>
  </si>
  <si>
    <t>0                      P  0095820A  785                W  66          2008</t>
  </si>
  <si>
    <t>The media and political change in Southeast Asia : karaoke culture and the evolution of personality politics / Jonathan Woodier.</t>
  </si>
  <si>
    <t>Woodier, Jonathan.</t>
  </si>
  <si>
    <t>Cheltenham : Edward Elgar, ©2008.</t>
  </si>
  <si>
    <t>800759761:eng</t>
  </si>
  <si>
    <t>262720281</t>
  </si>
  <si>
    <t>ocn262720281</t>
  </si>
  <si>
    <t>3103082283B</t>
  </si>
  <si>
    <t>9781848441781</t>
  </si>
  <si>
    <t>794402298</t>
  </si>
  <si>
    <t>P95.82 C3 M44 2010</t>
  </si>
  <si>
    <t>0                      P  0095820C  3                  M  44          2010</t>
  </si>
  <si>
    <t>Mediating Canadian politics / [edited by] Shannon Sampert, Linda Trimple.</t>
  </si>
  <si>
    <t>Toronto : Pearson Prentice Hall, ©2010.</t>
  </si>
  <si>
    <t>478142475:eng</t>
  </si>
  <si>
    <t>245555942</t>
  </si>
  <si>
    <t>ocn245555942</t>
  </si>
  <si>
    <t>3102709183S</t>
  </si>
  <si>
    <t>9780132068642</t>
  </si>
  <si>
    <t>794383439</t>
  </si>
  <si>
    <t>P95.82 C3 M45 2012</t>
  </si>
  <si>
    <t>0                      P  0095820C  3                  M  45          2012</t>
  </si>
  <si>
    <t>Media and politics / edited by David Taras and Christopher Waddell.</t>
  </si>
  <si>
    <t>Edmonton : AU Press, c2012.</t>
  </si>
  <si>
    <t>How Canadians communicate ; 4</t>
  </si>
  <si>
    <t>1099367637:eng</t>
  </si>
  <si>
    <t>784293078</t>
  </si>
  <si>
    <t>ocn784293078</t>
  </si>
  <si>
    <t>3103402473N</t>
  </si>
  <si>
    <t>9781926836812</t>
  </si>
  <si>
    <t>794914463</t>
  </si>
  <si>
    <t>P95.82 C3 N47 2007</t>
  </si>
  <si>
    <t>0                      P  0095820C  3                  N  47          2007</t>
  </si>
  <si>
    <t>Politics, society, and the media / Paul Nesbitt-Larking.</t>
  </si>
  <si>
    <t>Nesbitt-Larking, Paul W. (Paul Wingfield), 1954-</t>
  </si>
  <si>
    <t>Peterborough, Ont. : Broadview Press, ©2007.</t>
  </si>
  <si>
    <t>9593155064:eng</t>
  </si>
  <si>
    <t>74028956</t>
  </si>
  <si>
    <t>ocm74028956</t>
  </si>
  <si>
    <t>31025530973</t>
  </si>
  <si>
    <t>9781551118123</t>
  </si>
  <si>
    <t>794171804</t>
  </si>
  <si>
    <t>P95.82 C3 R32 2010</t>
  </si>
  <si>
    <t>0                      P  0095820C  3                  R  32          2010</t>
  </si>
  <si>
    <t>Media divides : communication rights and the right to communicate in Canada / Marc Raboy and Jeremy Shtern ; with William J. McIver [and others].</t>
  </si>
  <si>
    <t>Vancouver : UBC Press, ©2010.</t>
  </si>
  <si>
    <t>2019-03-26</t>
  </si>
  <si>
    <t>791993791:eng</t>
  </si>
  <si>
    <t>473375060</t>
  </si>
  <si>
    <t>ocn473375060</t>
  </si>
  <si>
    <t>3103073043Q</t>
  </si>
  <si>
    <t>9780774817745</t>
  </si>
  <si>
    <t>794797750</t>
  </si>
  <si>
    <t>P95.82 C3 R62 1998</t>
  </si>
  <si>
    <t>0                      P  0095820C  3                  R  62          1998</t>
  </si>
  <si>
    <t>Constructing the Quebec referendum : French and English media voices / Gertrude J. Robinson.</t>
  </si>
  <si>
    <t>Toronto ; Buffalo : University of Toronto Press, ©1998.</t>
  </si>
  <si>
    <t>2018-03-02</t>
  </si>
  <si>
    <t>41479238:eng</t>
  </si>
  <si>
    <t>39354977</t>
  </si>
  <si>
    <t>ocm39354977</t>
  </si>
  <si>
    <t>3102711905A</t>
  </si>
  <si>
    <t>9780802009098</t>
  </si>
  <si>
    <t>793544501</t>
  </si>
  <si>
    <t>2011-11-03</t>
  </si>
  <si>
    <t>31027119216</t>
  </si>
  <si>
    <t>793544499</t>
  </si>
  <si>
    <t>31027119206</t>
  </si>
  <si>
    <t>793544500</t>
  </si>
  <si>
    <t>P95.82 C3 S53 1996</t>
  </si>
  <si>
    <t>0                      P  0095820C  3                  S  53          1996</t>
  </si>
  <si>
    <t>Politics and the media in Canada / Arthur Siegel.</t>
  </si>
  <si>
    <t>Siegel, Arthur.</t>
  </si>
  <si>
    <t>Toronto ; New York : McGraw-Hill Ryerson, ©1996.</t>
  </si>
  <si>
    <t>McGraw-Hill Ryerson series n Canadian politics</t>
  </si>
  <si>
    <t>43456262:eng</t>
  </si>
  <si>
    <t>37480990</t>
  </si>
  <si>
    <t>ocm37480990</t>
  </si>
  <si>
    <t>3102711907A</t>
  </si>
  <si>
    <t>9780075515333</t>
  </si>
  <si>
    <t>793499762</t>
  </si>
  <si>
    <t>31027119138</t>
  </si>
  <si>
    <t>793499763</t>
  </si>
  <si>
    <t>31027119148</t>
  </si>
  <si>
    <t>793499760</t>
  </si>
  <si>
    <t>3102711908A</t>
  </si>
  <si>
    <t>793499761</t>
  </si>
  <si>
    <t>P95.82 C6 Z39 2011</t>
  </si>
  <si>
    <t>0                      P  0095820C  6                  Z  39          2011</t>
  </si>
  <si>
    <t>The transformation of political communication in China : from propaganda to hegemony / Xiaoling Zhang.</t>
  </si>
  <si>
    <t>Zhang, Xiaoling, 1961-</t>
  </si>
  <si>
    <t>Hackensack, N.J. : World Scientific, ©2011.</t>
  </si>
  <si>
    <t>Series on contemporary China, 1793-0847 ; v. 29</t>
  </si>
  <si>
    <t>2012-07-25</t>
  </si>
  <si>
    <t>770558528:eng</t>
  </si>
  <si>
    <t>697261727</t>
  </si>
  <si>
    <t>ocn697261727</t>
  </si>
  <si>
    <t>3103365276U</t>
  </si>
  <si>
    <t>9789814340939</t>
  </si>
  <si>
    <t>794859755</t>
  </si>
  <si>
    <t>P95.82 C6 Z43 2008</t>
  </si>
  <si>
    <t>0                      P  0095820C  6                  Z  43          2008</t>
  </si>
  <si>
    <t>Communication in China : political economy, power, and conflict / Yuezhi Zhao.</t>
  </si>
  <si>
    <t>Lanham, Md. : Rowman &amp; Littlefield, ©2008.</t>
  </si>
  <si>
    <t>State and society in East Asia</t>
  </si>
  <si>
    <t>2015-07-16</t>
  </si>
  <si>
    <t>113982565:eng</t>
  </si>
  <si>
    <t>172521727</t>
  </si>
  <si>
    <t>ocn172521727</t>
  </si>
  <si>
    <t>3102882403H</t>
  </si>
  <si>
    <t>9780742519657</t>
  </si>
  <si>
    <t>794264816</t>
  </si>
  <si>
    <t>P95.82 D45 C85 2012</t>
  </si>
  <si>
    <t>0                      P  0095820D  45                 C  85          2012</t>
  </si>
  <si>
    <t>Comparing media systems beyond the Western world / edited by Daniel C. Hallin, Paolo Mancini.</t>
  </si>
  <si>
    <t>2015-09-10</t>
  </si>
  <si>
    <t>3902002910:eng</t>
  </si>
  <si>
    <t>722452142</t>
  </si>
  <si>
    <t>ocn722452142</t>
  </si>
  <si>
    <t>3103406707C</t>
  </si>
  <si>
    <t>9781107013650</t>
  </si>
  <si>
    <t>794875673</t>
  </si>
  <si>
    <t>P95.82 E3 S25 2013</t>
  </si>
  <si>
    <t>0                      P  0095820E  3                  S  25          2013</t>
  </si>
  <si>
    <t>Transformations in Egyptian journalism / Naomi Sakr.</t>
  </si>
  <si>
    <t>Sakr, Naomi.</t>
  </si>
  <si>
    <t>London : I.B. Tauris : Reuters Institute for the Study of Journalism, University of Oxford, 2013.</t>
  </si>
  <si>
    <t>RISJ challenges</t>
  </si>
  <si>
    <t>1279765423:eng</t>
  </si>
  <si>
    <t>824342568</t>
  </si>
  <si>
    <t>ocn824342568</t>
  </si>
  <si>
    <t>3103497620$</t>
  </si>
  <si>
    <t>9781780765891</t>
  </si>
  <si>
    <t>794937700</t>
  </si>
  <si>
    <t>P95.82 E85 E942 2012</t>
  </si>
  <si>
    <t>0                      P  0095820E  85                 E  942         2012</t>
  </si>
  <si>
    <t>European identity : what the media say / edited by Paul Bayley and Geoffrey Williams.</t>
  </si>
  <si>
    <t>IntUne, integrated and united</t>
  </si>
  <si>
    <t>1067881269:eng</t>
  </si>
  <si>
    <t>769544971</t>
  </si>
  <si>
    <t>ocn769544971</t>
  </si>
  <si>
    <t>3103423171I</t>
  </si>
  <si>
    <t>9780199602308</t>
  </si>
  <si>
    <t>794903504</t>
  </si>
  <si>
    <t>P95.82 E85 K37 2013</t>
  </si>
  <si>
    <t>0                      P  0095820E  85                 K  37          2013</t>
  </si>
  <si>
    <t>Rethinking media pluralism / Kari Karppinen.</t>
  </si>
  <si>
    <t>Karppinen, Kari.</t>
  </si>
  <si>
    <t>New York : Fordham University Press, 2013.</t>
  </si>
  <si>
    <t>1186076737:eng</t>
  </si>
  <si>
    <t>792885781</t>
  </si>
  <si>
    <t>ocn792885781</t>
  </si>
  <si>
    <t>3103454924M</t>
  </si>
  <si>
    <t>9780823245123</t>
  </si>
  <si>
    <t>794917246</t>
  </si>
  <si>
    <t>P95.82 E85 M42 2004</t>
  </si>
  <si>
    <t>0                      P  0095820E  85                 M  42          2004</t>
  </si>
  <si>
    <t>The media and elections : a handbook and comparative study / edited by Bernd-Peter Lange, David Ward.</t>
  </si>
  <si>
    <t>European Institute for the Media series</t>
  </si>
  <si>
    <t>800656382:eng</t>
  </si>
  <si>
    <t>53138703</t>
  </si>
  <si>
    <t>ocm53138703</t>
  </si>
  <si>
    <t>3102711899W</t>
  </si>
  <si>
    <t>9780805847802</t>
  </si>
  <si>
    <t>793822132</t>
  </si>
  <si>
    <t>P95.82 E85 M425 2008</t>
  </si>
  <si>
    <t>0                      P  0095820E  85                 M  425         2008</t>
  </si>
  <si>
    <t>Media, democracy and European culture / [edited by] Ib Bondebjerg and Peter Madsen.</t>
  </si>
  <si>
    <t>Bistol, UK ; Chicago : Intellect, 2008.</t>
  </si>
  <si>
    <t>866282342:eng</t>
  </si>
  <si>
    <t>262429792</t>
  </si>
  <si>
    <t>ocn262429792</t>
  </si>
  <si>
    <t>31030790188</t>
  </si>
  <si>
    <t>9781841502472</t>
  </si>
  <si>
    <t>794401731</t>
  </si>
  <si>
    <t>P95.82 E85 M426 2011</t>
  </si>
  <si>
    <t>0                      P  0095820E  85                 M  426         2011</t>
  </si>
  <si>
    <t>Media, nationalism and European identities / edited by Miklós Sükösd, Karol Jakubowicz.</t>
  </si>
  <si>
    <t>Budapest ; New York : Central European University Press, ©2011.</t>
  </si>
  <si>
    <t>2018-09-17</t>
  </si>
  <si>
    <t>478762216:eng</t>
  </si>
  <si>
    <t>610870865</t>
  </si>
  <si>
    <t>ocn610870865</t>
  </si>
  <si>
    <t>3103363482U</t>
  </si>
  <si>
    <t>9789639776746</t>
  </si>
  <si>
    <t>794820894</t>
  </si>
  <si>
    <t>P95.82 E852 F56 2008</t>
  </si>
  <si>
    <t>0                      P  0095820E  852                F  56          2008</t>
  </si>
  <si>
    <t>Finding the right place on the map : Central and Eastern European media change in a global perspective / edited by Karol Jakubowicz and Miklós Sükösd.</t>
  </si>
  <si>
    <t>Bristol, UK ; Chicago : Intellect, 2008.</t>
  </si>
  <si>
    <t>European Communication Research and Education Association (ECREA)</t>
  </si>
  <si>
    <t>866282293:eng</t>
  </si>
  <si>
    <t>225876140</t>
  </si>
  <si>
    <t>ocn225876140</t>
  </si>
  <si>
    <t>3103055182H</t>
  </si>
  <si>
    <t>9781841501932</t>
  </si>
  <si>
    <t>794343223</t>
  </si>
  <si>
    <t>P95.82 E852 F74 1995</t>
  </si>
  <si>
    <t>0                      P  0095820E  852                F  74          1995</t>
  </si>
  <si>
    <t>Freedom for publishing, publishing for freedom : the Central and East European Publishing Project / edited by Timothy Garton Ash ; with contributions by Ralf Dahrendorf, Richard Davy, Elizabeth Winter.</t>
  </si>
  <si>
    <t>Budapest : Central European University Press, 1995.</t>
  </si>
  <si>
    <t>2016-11-28</t>
  </si>
  <si>
    <t>837009583:eng</t>
  </si>
  <si>
    <t>33311777</t>
  </si>
  <si>
    <t>ocm33311777</t>
  </si>
  <si>
    <t>3102711897W</t>
  </si>
  <si>
    <t>9781858660554</t>
  </si>
  <si>
    <t>793406602</t>
  </si>
  <si>
    <t>P95.82 E852 M42 2009</t>
  </si>
  <si>
    <t>0                      P  0095820E  852                M  42          2009</t>
  </si>
  <si>
    <t>Media, democracy and freedom : the post-communist experience / Marta Dyczok &amp; Oxana Gaman-Golutvina (eds).</t>
  </si>
  <si>
    <t>Bern ; New York : Peter Lang, ©2009.</t>
  </si>
  <si>
    <t>Interdisciplinary studies on Central and Eastern Europe, 1661-1349 ; v. 6</t>
  </si>
  <si>
    <t>792666698:eng</t>
  </si>
  <si>
    <t>435711242</t>
  </si>
  <si>
    <t>ocn435711242</t>
  </si>
  <si>
    <t>3103323352M</t>
  </si>
  <si>
    <t>9783034303118</t>
  </si>
  <si>
    <t>794783666</t>
  </si>
  <si>
    <t>P95.82 E852 S36 2013</t>
  </si>
  <si>
    <t>0                      P  0095820E  852                S  36          2013</t>
  </si>
  <si>
    <t>Samizdat, tamizdat, and beyond : transnational media during and after socialism / edited by Friederike Kind-Kovács and Jessie Labov.</t>
  </si>
  <si>
    <t>New York : Berghahn Books, 2013.</t>
  </si>
  <si>
    <t>Studies in contemporary European history ; v. 13</t>
  </si>
  <si>
    <t>1143020252:eng</t>
  </si>
  <si>
    <t>775664097</t>
  </si>
  <si>
    <t>ocn775664097</t>
  </si>
  <si>
    <t>31034992213</t>
  </si>
  <si>
    <t>9780857455857</t>
  </si>
  <si>
    <t>794907747</t>
  </si>
  <si>
    <t>P95.82 E852 S66 1994</t>
  </si>
  <si>
    <t>0                      P  0095820E  852                S  66          1994</t>
  </si>
  <si>
    <t>Media beyond socialism : theory and practice in East-Central Europe / Slavko Splichal.</t>
  </si>
  <si>
    <t>Splichal, Slavko.</t>
  </si>
  <si>
    <t>International communication and popular culture</t>
  </si>
  <si>
    <t>259936554:eng</t>
  </si>
  <si>
    <t>29548321</t>
  </si>
  <si>
    <t>ocm29548321</t>
  </si>
  <si>
    <t>3102711888Y</t>
  </si>
  <si>
    <t>9780813318196</t>
  </si>
  <si>
    <t>793313905</t>
  </si>
  <si>
    <t>P95.82 F8 N68 2007</t>
  </si>
  <si>
    <t>0                      P  0095820F  8                  N  68          2007</t>
  </si>
  <si>
    <t>Les nouveaux mots du pouvoir : Abécédaire critique / sous la direction de Pascal Durand.</t>
  </si>
  <si>
    <t>Bruxelles : Aden, 2007.</t>
  </si>
  <si>
    <t>102899524:fre</t>
  </si>
  <si>
    <t>132401775</t>
  </si>
  <si>
    <t>ocn132401775</t>
  </si>
  <si>
    <t>31033464293</t>
  </si>
  <si>
    <t>9782930402338</t>
  </si>
  <si>
    <t>794231901</t>
  </si>
  <si>
    <t>P95.82 G7 H377 2012</t>
  </si>
  <si>
    <t>0                      P  0095820G  7                  H  377         2012</t>
  </si>
  <si>
    <t>Beyond the left : the communist critique of the media / Stephen Harper.</t>
  </si>
  <si>
    <t>Harper, Stephen, 1971-</t>
  </si>
  <si>
    <t>Winchester, U.K. ; Washington, D.C. : Zero Books, 2012.</t>
  </si>
  <si>
    <t>2013-12-02</t>
  </si>
  <si>
    <t>1087964121:eng</t>
  </si>
  <si>
    <t>755072758</t>
  </si>
  <si>
    <t>ocn755072758</t>
  </si>
  <si>
    <t>3103409665S</t>
  </si>
  <si>
    <t>9781846949760</t>
  </si>
  <si>
    <t>794893595</t>
  </si>
  <si>
    <t>P95.82 G7 L36 2011</t>
  </si>
  <si>
    <t>0                      P  0095820G  7                  L  36          2011</t>
  </si>
  <si>
    <t>The personalisation of politics in the UK : mediated leadership from Attlee to Cameron / Ana Inés Langer.</t>
  </si>
  <si>
    <t>Langer, Ana Inés.</t>
  </si>
  <si>
    <t>Manchester ; New York : Manchester University Press, ©2011.</t>
  </si>
  <si>
    <t>1088632848:eng</t>
  </si>
  <si>
    <t>780277227</t>
  </si>
  <si>
    <t>ocn780277227</t>
  </si>
  <si>
    <t>31034086243</t>
  </si>
  <si>
    <t>9780719081460</t>
  </si>
  <si>
    <t>794911886</t>
  </si>
  <si>
    <t>P95.82 I4 B76 2005</t>
  </si>
  <si>
    <t>0                      P  0095820I  4                  B  76          2005</t>
  </si>
  <si>
    <t>Empowering visions : the politics of representation in Hindu nationalism / Christiane Brosius.</t>
  </si>
  <si>
    <t>Brosius, Christiane, 1966-</t>
  </si>
  <si>
    <t>London : Anthem, 2005.</t>
  </si>
  <si>
    <t>2017-12-12</t>
  </si>
  <si>
    <t>795693605:eng</t>
  </si>
  <si>
    <t>52566622</t>
  </si>
  <si>
    <t>ocm52566622</t>
  </si>
  <si>
    <t>3102569863U</t>
  </si>
  <si>
    <t>9781843311348</t>
  </si>
  <si>
    <t>793809881</t>
  </si>
  <si>
    <t>P95.82 I7 S68 1994</t>
  </si>
  <si>
    <t>0                      P  0095820I  7                  S  68          1994</t>
  </si>
  <si>
    <t>Small media, big revolution : communication, culture, and the Iranian revolution / Annabelle Sreberny-Mohammadi, Ali Mohammadi.</t>
  </si>
  <si>
    <t>Sreberny, Annabelle.</t>
  </si>
  <si>
    <t>Minneapolis : University of Minnesota Press, ©1994.</t>
  </si>
  <si>
    <t>2018-03-21</t>
  </si>
  <si>
    <t>793998440:eng</t>
  </si>
  <si>
    <t>29548231</t>
  </si>
  <si>
    <t>ocm29548231</t>
  </si>
  <si>
    <t>3102712369C</t>
  </si>
  <si>
    <t>9780816622160</t>
  </si>
  <si>
    <t>793313891</t>
  </si>
  <si>
    <t>P95.82 J3 K37 1988</t>
  </si>
  <si>
    <t>0                      P  0095820J  3                  K  37          1988</t>
  </si>
  <si>
    <t>The state and the mass media in Japan, 1918-1945 / Gregory J. Kasza.</t>
  </si>
  <si>
    <t>Kasza, Gregory James.</t>
  </si>
  <si>
    <t>Berkeley : University of California Press, ©1988.</t>
  </si>
  <si>
    <t>342422:eng</t>
  </si>
  <si>
    <t>14692574</t>
  </si>
  <si>
    <t>ocm14692574</t>
  </si>
  <si>
    <t>3102712364C</t>
  </si>
  <si>
    <t>9780520059436</t>
  </si>
  <si>
    <t>792899053</t>
  </si>
  <si>
    <t>P95.82 K6 H365 2012</t>
  </si>
  <si>
    <t>0                      P  0095820K  6                  H  365         2012</t>
  </si>
  <si>
    <t>Han'guk sahoe wa midiŏ konggongsŏng : chaengchŏm kwa chŏnmang / Midiŏ Konggongsŏng P'orŏm yŏkkŭm ; Kang Myŏng-gu [and others] chiŭm.</t>
  </si>
  <si>
    <t>P'aju-si : Hanul Ak'ademi, 2012.</t>
  </si>
  <si>
    <t>Hanul ak'ademi ; 1431</t>
  </si>
  <si>
    <t>2582056844:kor</t>
  </si>
  <si>
    <t>785515421</t>
  </si>
  <si>
    <t>ocn785515421</t>
  </si>
  <si>
    <t>3103487112L</t>
  </si>
  <si>
    <t>9788946054318</t>
  </si>
  <si>
    <t>794914955</t>
  </si>
  <si>
    <t>P95.82 K6 K557 2018</t>
  </si>
  <si>
    <t>0                      P  0095820K  6                  K  557         2018</t>
  </si>
  <si>
    <t>Media governance in Korea 1980-2017 / Daeho Kim.</t>
  </si>
  <si>
    <t>Kim, Daeho, author.</t>
  </si>
  <si>
    <t>Cham, Switzerland : Palgrave Macmillan, [2018]</t>
  </si>
  <si>
    <t>4543272499:eng</t>
  </si>
  <si>
    <t>1006302356</t>
  </si>
  <si>
    <t>on1006302356</t>
  </si>
  <si>
    <t>3103741121O</t>
  </si>
  <si>
    <t>9783319703015</t>
  </si>
  <si>
    <t>795042941</t>
  </si>
  <si>
    <t>P95.82 K87 S54 2011</t>
  </si>
  <si>
    <t>0                      P  0095820K  87                 S  54          2011</t>
  </si>
  <si>
    <t>Kurdish identity, discourse, and new media / Jaffer Sheyholislami.</t>
  </si>
  <si>
    <t>Şêxulîslamî, Ceʼferî.</t>
  </si>
  <si>
    <t>Palgrave Macmillan series in international political communication</t>
  </si>
  <si>
    <t>2013-02-27</t>
  </si>
  <si>
    <t>686283828:eng</t>
  </si>
  <si>
    <t>670481167</t>
  </si>
  <si>
    <t>ocn670481167</t>
  </si>
  <si>
    <t>3103361605B</t>
  </si>
  <si>
    <t>9780230109858</t>
  </si>
  <si>
    <t>794848060</t>
  </si>
  <si>
    <t>P95.82 L29 M38 2012</t>
  </si>
  <si>
    <t>0                      P  0095820L  29                 M  38          2012</t>
  </si>
  <si>
    <t>Media and politics in Latin America : globalization, democracy and identity / Carolina Matos.</t>
  </si>
  <si>
    <t>Matos, Carolina, 1973-</t>
  </si>
  <si>
    <t>London ; New York : I.B Tauris, 2012.</t>
  </si>
  <si>
    <t>International library of political studies ; v. 52</t>
  </si>
  <si>
    <t>1009098985:eng</t>
  </si>
  <si>
    <t>748328824</t>
  </si>
  <si>
    <t>ocn748328824</t>
  </si>
  <si>
    <t>31034112183</t>
  </si>
  <si>
    <t>9781848856127</t>
  </si>
  <si>
    <t>794889020</t>
  </si>
  <si>
    <t>P95.82 M628 A73 2007</t>
  </si>
  <si>
    <t>0                      P  0095820M  628                A  73          2007</t>
  </si>
  <si>
    <t>Arab media and political renewal : community, legitimacy and public life / edited by Naomi Sakr.</t>
  </si>
  <si>
    <t>London : I.B. Tauris, 2007.</t>
  </si>
  <si>
    <t>Library of modern Middle East Studies ; 68</t>
  </si>
  <si>
    <t>2018-11-11</t>
  </si>
  <si>
    <t>797238368:eng</t>
  </si>
  <si>
    <t>72151018</t>
  </si>
  <si>
    <t>ocm72151018</t>
  </si>
  <si>
    <t>3102570060B</t>
  </si>
  <si>
    <t>9781845113278</t>
  </si>
  <si>
    <t>794169701</t>
  </si>
  <si>
    <t>P95.82 M628 K43 2013</t>
  </si>
  <si>
    <t>0                      P  0095820M  628                K  43          2013</t>
  </si>
  <si>
    <t>Image politics in the Middle East : the role of the visual in political struggle / Lina Khatib.</t>
  </si>
  <si>
    <t>Khatib, Lina (Lina H.)</t>
  </si>
  <si>
    <t>London ; New York : I.B. Tauris &amp; Co. Ltd, 2013.</t>
  </si>
  <si>
    <t>1165950023:eng</t>
  </si>
  <si>
    <t>794816682</t>
  </si>
  <si>
    <t>ocn794816682</t>
  </si>
  <si>
    <t>31034328374</t>
  </si>
  <si>
    <t>9781848852822</t>
  </si>
  <si>
    <t>794920529</t>
  </si>
  <si>
    <t>P95.82 N4 M43 2009</t>
  </si>
  <si>
    <t>0                      P  0095820N  4                  M  43          2009</t>
  </si>
  <si>
    <t>Mediatization of politics in history / edited by Huub Wijfjes and Gerrit Voerman.</t>
  </si>
  <si>
    <t>Leuven ; Walpole, MA : Peeters, 2009.</t>
  </si>
  <si>
    <t>Groningen studies in cultural change ; v. 35</t>
  </si>
  <si>
    <t>293285027:eng</t>
  </si>
  <si>
    <t>406112206</t>
  </si>
  <si>
    <t>ocn406112206</t>
  </si>
  <si>
    <t>3103086498O</t>
  </si>
  <si>
    <t>9789042922051</t>
  </si>
  <si>
    <t>794499577</t>
  </si>
  <si>
    <t>P95.82 R6 G76 1996</t>
  </si>
  <si>
    <t>0                      P  0095820R  6                  G  76          1996</t>
  </si>
  <si>
    <t>Mass media in revolution and national development : the Romanian laboratory / Peter Gross.</t>
  </si>
  <si>
    <t>Gross, Peter, 1949-</t>
  </si>
  <si>
    <t>Ames, Iowa : Iowa State University Press, 1996.</t>
  </si>
  <si>
    <t>836967253:eng</t>
  </si>
  <si>
    <t>34742474</t>
  </si>
  <si>
    <t>ocm34742474</t>
  </si>
  <si>
    <t>3102712342G</t>
  </si>
  <si>
    <t>9780813826707</t>
  </si>
  <si>
    <t>793434607</t>
  </si>
  <si>
    <t>P95.82 S33 B73 2018</t>
  </si>
  <si>
    <t>0                      P  0095820S  33                 B  73          2018</t>
  </si>
  <si>
    <t>Broadcasting change : Arabic media as a catalyst for liberalism / Joseph Braude.</t>
  </si>
  <si>
    <t>Braude, Joseph, author.</t>
  </si>
  <si>
    <t>Lanham : Rowman &amp; Littlefield, [2018]</t>
  </si>
  <si>
    <t>4493962134:eng</t>
  </si>
  <si>
    <t>1003273285</t>
  </si>
  <si>
    <t>on1003273285</t>
  </si>
  <si>
    <t>31038099127</t>
  </si>
  <si>
    <t>9781538101278</t>
  </si>
  <si>
    <t>795041476</t>
  </si>
  <si>
    <t>P95.82 S55 L44 2010</t>
  </si>
  <si>
    <t>0                      P  0095820S  55                 L  44          2010</t>
  </si>
  <si>
    <t>The media, cultural control and government in Singapore / Terence Lee.</t>
  </si>
  <si>
    <t>Lee, Terence, 1972-</t>
  </si>
  <si>
    <t>Routledge media, culture and social change in Asia ; 20</t>
  </si>
  <si>
    <t>2016-08-17</t>
  </si>
  <si>
    <t>503597088:eng</t>
  </si>
  <si>
    <t>166374020</t>
  </si>
  <si>
    <t>ocn166374020</t>
  </si>
  <si>
    <t>3103239360Y</t>
  </si>
  <si>
    <t>9780415413305</t>
  </si>
  <si>
    <t>794260847</t>
  </si>
  <si>
    <t>P95.82 S6 H67 2001</t>
  </si>
  <si>
    <t>0                      P  0095820S  6                  H  67          2001</t>
  </si>
  <si>
    <t>Communication and democratic reform in South Africa / Robert B. Horwitz.</t>
  </si>
  <si>
    <t>Horwitz, Robert Britt.</t>
  </si>
  <si>
    <t>1028046:eng</t>
  </si>
  <si>
    <t>44802820</t>
  </si>
  <si>
    <t>ocm44802820</t>
  </si>
  <si>
    <t>3102712348G</t>
  </si>
  <si>
    <t>9780521791663</t>
  </si>
  <si>
    <t>793658491</t>
  </si>
  <si>
    <t>P95.82 S6 M44 2003</t>
  </si>
  <si>
    <t>0                      P  0095820S  6                  M  44          2003</t>
  </si>
  <si>
    <t>Media, identity and the public sphere in post-apartheid South Africa / edited by Abebe Zegeye and Richard L. Harris.</t>
  </si>
  <si>
    <t>Leiden ; Boston : Brill, 2003.</t>
  </si>
  <si>
    <t>International studies in sociology and social anthropology, 0074-8684 ; v. 88</t>
  </si>
  <si>
    <t>369545887:eng</t>
  </si>
  <si>
    <t>51251757</t>
  </si>
  <si>
    <t>ocm51251757</t>
  </si>
  <si>
    <t>3102743335$</t>
  </si>
  <si>
    <t>9789004126336</t>
  </si>
  <si>
    <t>793781436</t>
  </si>
  <si>
    <t>P95.82 S65 R654 2011</t>
  </si>
  <si>
    <t>0                      P  0095820S  65                 R  654         2011</t>
  </si>
  <si>
    <t>Moscow prime time : how the Soviet Union built the media empire that lost the cultural Cold War / Kristin Roth-Ey.</t>
  </si>
  <si>
    <t>Roth-Ey, Kristin.</t>
  </si>
  <si>
    <t>Ithaca : Cornell University Press, 2011.</t>
  </si>
  <si>
    <t>949832495:eng</t>
  </si>
  <si>
    <t>681536503</t>
  </si>
  <si>
    <t>ocn681536503</t>
  </si>
  <si>
    <t>3103341191I</t>
  </si>
  <si>
    <t>9780801448744</t>
  </si>
  <si>
    <t>794852282</t>
  </si>
  <si>
    <t>P95.82 S65 S5 1994</t>
  </si>
  <si>
    <t>0                      P  0095820S  65                 S  5           1994</t>
  </si>
  <si>
    <t>Dismantling utopia : how information ended the Soviet Union / Scott Shane.</t>
  </si>
  <si>
    <t>Shane, Scott, 1954- author.</t>
  </si>
  <si>
    <t>Chicago : I.R. Dee, 1994.</t>
  </si>
  <si>
    <t>31358310:eng</t>
  </si>
  <si>
    <t>29563843</t>
  </si>
  <si>
    <t>ocm29563843</t>
  </si>
  <si>
    <t>3102712344G</t>
  </si>
  <si>
    <t>9781566630481</t>
  </si>
  <si>
    <t>793314365</t>
  </si>
  <si>
    <t>P95.82 S9 H65 2010</t>
  </si>
  <si>
    <t>0                      P  0095820S  9                  H  65          2010</t>
  </si>
  <si>
    <t>The invisible scissors : media freedom and censorship in Switzerland / Marc Höchli.</t>
  </si>
  <si>
    <t>Höchli, Marc.</t>
  </si>
  <si>
    <t>New York : Peter Lang, 2010.</t>
  </si>
  <si>
    <t>796432259:eng</t>
  </si>
  <si>
    <t>489720913</t>
  </si>
  <si>
    <t>ocn489720913</t>
  </si>
  <si>
    <t>3103241841D</t>
  </si>
  <si>
    <t>9783034303897</t>
  </si>
  <si>
    <t>794800434</t>
  </si>
  <si>
    <t>P95.82 U6 A36 2000</t>
  </si>
  <si>
    <t>0                      P  0095820U  6                  A  36          2000</t>
  </si>
  <si>
    <t>Advocacy groups and the entertainment industry / Michael Suman, senior editor, Gabriel Rossman, assistant editor ; prepared under the auspices of the Center for Communication Policy, University of California, Los Angeles.</t>
  </si>
  <si>
    <t>Westport, Conn. : Praeger, 2000.</t>
  </si>
  <si>
    <t>2016-04-12</t>
  </si>
  <si>
    <t>475770347:eng</t>
  </si>
  <si>
    <t>43036860</t>
  </si>
  <si>
    <t>ocm43036860</t>
  </si>
  <si>
    <t>3102712341G</t>
  </si>
  <si>
    <t>9780275968854</t>
  </si>
  <si>
    <t>793619091</t>
  </si>
  <si>
    <t>P95.82 U6 B37 2013</t>
  </si>
  <si>
    <t>0                      P  0095820U  6                  B  37          2013</t>
  </si>
  <si>
    <t>Navigating the news : a political media user's guide / Michael Baranowski.</t>
  </si>
  <si>
    <t>Baranowski, Michael.</t>
  </si>
  <si>
    <t>Santa Barbara, California : Praeger, [2013]</t>
  </si>
  <si>
    <t>1178582457:eng</t>
  </si>
  <si>
    <t>816512969</t>
  </si>
  <si>
    <t>ocn816512969</t>
  </si>
  <si>
    <t>3103504803B</t>
  </si>
  <si>
    <t>9781440803215</t>
  </si>
  <si>
    <t>794933173</t>
  </si>
  <si>
    <t>P95.82 U6 B45 2005</t>
  </si>
  <si>
    <t>0                      P  0095820U  6                  B  45          2005</t>
  </si>
  <si>
    <t>Fog facts : searching for truth in the land of spin / Larry Beinhart.</t>
  </si>
  <si>
    <t>Beinhart, Larry.</t>
  </si>
  <si>
    <t>New York, NY : Nation Books, ©2005.</t>
  </si>
  <si>
    <t>294659655:eng</t>
  </si>
  <si>
    <t>61520527</t>
  </si>
  <si>
    <t>ocm61520527</t>
  </si>
  <si>
    <t>3102546718S</t>
  </si>
  <si>
    <t>9781560257677</t>
  </si>
  <si>
    <t>793961059</t>
  </si>
  <si>
    <t>P95.82 U6 C53 2010</t>
  </si>
  <si>
    <t>0                      P  0095820U  6                  C  53          2010</t>
  </si>
  <si>
    <t>Beyond the echo chamber : reshaping politics through networked progressive media / Jessica Clark and Tracy Van Slyke.</t>
  </si>
  <si>
    <t>Clark, Jessica.</t>
  </si>
  <si>
    <t>New York : The New Press : Distributed by W.W. Norton &amp; Co., ©2010.</t>
  </si>
  <si>
    <t>2011-03-01</t>
  </si>
  <si>
    <t>194887158:eng</t>
  </si>
  <si>
    <t>317452880</t>
  </si>
  <si>
    <t>ocn317452880</t>
  </si>
  <si>
    <t>3103097902I</t>
  </si>
  <si>
    <t>9781595584717</t>
  </si>
  <si>
    <t>794453568</t>
  </si>
  <si>
    <t>P95.82 U6 C64 2007</t>
  </si>
  <si>
    <t>0                      P  0095820U  6                  C  64          2007</t>
  </si>
  <si>
    <t>The last days of democracy : how big media and power-hungry government are turning America into a dictatorship / Elliot D. Cohen &amp; Bruce W. Fraser.</t>
  </si>
  <si>
    <t>Cohen, Elliot D.</t>
  </si>
  <si>
    <t>Amherst, N.Y. : Prometheus Books, 2007.</t>
  </si>
  <si>
    <t>306691360:eng</t>
  </si>
  <si>
    <t>79256742</t>
  </si>
  <si>
    <t>ocm79256742</t>
  </si>
  <si>
    <t>3102637903J</t>
  </si>
  <si>
    <t>9781591025047</t>
  </si>
  <si>
    <t>794197507</t>
  </si>
  <si>
    <t>P95.82 U6 C76 1994</t>
  </si>
  <si>
    <t>0                      P  0095820U  6                  C  76          1994</t>
  </si>
  <si>
    <t>By invitation only : how the media limit political debate / David Croteau and William Hoynes.</t>
  </si>
  <si>
    <t>Croteau, David.</t>
  </si>
  <si>
    <t>Monroe, ME : Common Courage, ©1994.</t>
  </si>
  <si>
    <t>367458424:eng</t>
  </si>
  <si>
    <t>30892446</t>
  </si>
  <si>
    <t>ocm30892446</t>
  </si>
  <si>
    <t>3102712340G</t>
  </si>
  <si>
    <t>9781567510454</t>
  </si>
  <si>
    <t>793347479</t>
  </si>
  <si>
    <t>P95.82 U6 D38 1998</t>
  </si>
  <si>
    <t>0                      P  0095820U  6                  D  38          1998</t>
  </si>
  <si>
    <t>New media and American politics / Richard Davis, Diana Owen.</t>
  </si>
  <si>
    <t>Davis, Richard, 1955-</t>
  </si>
  <si>
    <t>34531671:eng</t>
  </si>
  <si>
    <t>38199369</t>
  </si>
  <si>
    <t>ocm38199369</t>
  </si>
  <si>
    <t>3102712338I</t>
  </si>
  <si>
    <t>9780195120608</t>
  </si>
  <si>
    <t>793518552</t>
  </si>
  <si>
    <t>P95.82 U6 D64 1997</t>
  </si>
  <si>
    <t>0                      P  0095820U  6                  D  64          1997</t>
  </si>
  <si>
    <t>Do the media govern? : politicians, voters, and reporters in America / Shanto Iyengar, Richard Reeves, editors.</t>
  </si>
  <si>
    <t>807498808:eng</t>
  </si>
  <si>
    <t>35145708</t>
  </si>
  <si>
    <t>ocm35145708</t>
  </si>
  <si>
    <t>3102718489I</t>
  </si>
  <si>
    <t>9780803956056</t>
  </si>
  <si>
    <t>793445226</t>
  </si>
  <si>
    <t>P95.82 U6 G36 1982</t>
  </si>
  <si>
    <t>0                      P  0095820U  6                  G  36          1982</t>
  </si>
  <si>
    <t>Beyond agenda setting : information subsidies and public policy / Oscar H. Gandy, Jr.</t>
  </si>
  <si>
    <t>Gandy, Oscar H.</t>
  </si>
  <si>
    <t>Norwood, N.J. : Ablex Pub. Co., ©1982.</t>
  </si>
  <si>
    <t>2015-07-06</t>
  </si>
  <si>
    <t>792094794:eng</t>
  </si>
  <si>
    <t>8688543</t>
  </si>
  <si>
    <t>ocm08688543</t>
  </si>
  <si>
    <t>3102712337I</t>
  </si>
  <si>
    <t>9780893910969</t>
  </si>
  <si>
    <t>792635458</t>
  </si>
  <si>
    <t>P95.82 U6 G57</t>
  </si>
  <si>
    <t>0                      P  0095820U  6                  G  57</t>
  </si>
  <si>
    <t>The whole world is watching : mass media in the making &amp; unmaking of the New Left / Todd Gitlin.</t>
  </si>
  <si>
    <t>Berkeley : University of California Press, [1980]</t>
  </si>
  <si>
    <t>707423:eng</t>
  </si>
  <si>
    <t>6040584</t>
  </si>
  <si>
    <t>ocm06040584</t>
  </si>
  <si>
    <t>3102712334I</t>
  </si>
  <si>
    <t>9780520038899</t>
  </si>
  <si>
    <t>792471478</t>
  </si>
  <si>
    <t>3102155335T</t>
  </si>
  <si>
    <t>792471476</t>
  </si>
  <si>
    <t>2017-06-22</t>
  </si>
  <si>
    <t>3102712336I</t>
  </si>
  <si>
    <t>792471477</t>
  </si>
  <si>
    <t>P95.82 U6 G73 1996</t>
  </si>
  <si>
    <t>0                      P  0095820U  6                  G  73          1996</t>
  </si>
  <si>
    <t>Pattern of deception : the media's role in the Clinton presidency / by Tim Graham.</t>
  </si>
  <si>
    <t>Graham, Tim.</t>
  </si>
  <si>
    <t>Alexandria, Va. : Media Research Center, ©1996.</t>
  </si>
  <si>
    <t>207565835:eng</t>
  </si>
  <si>
    <t>34975110</t>
  </si>
  <si>
    <t>ocm34975110</t>
  </si>
  <si>
    <t>3102712333I</t>
  </si>
  <si>
    <t>9780962734830</t>
  </si>
  <si>
    <t>793440267</t>
  </si>
  <si>
    <t>P95.82 U6 H36 2008</t>
  </si>
  <si>
    <t>0                      P  0095820U  6                  H  36          2008</t>
  </si>
  <si>
    <t>The new blue media : how Michael Moore, MoveOn.org, Jon Stewart and company are transforming progressive politics / Theodore Hamm.</t>
  </si>
  <si>
    <t>Hamm, Theodore, 1966-</t>
  </si>
  <si>
    <t>New York : New Press : Distributed by W.W. Norton, 2008.</t>
  </si>
  <si>
    <t>941663488:eng</t>
  </si>
  <si>
    <t>175289879</t>
  </si>
  <si>
    <t>ocn175289879</t>
  </si>
  <si>
    <t>3102882989N</t>
  </si>
  <si>
    <t>9781595580405</t>
  </si>
  <si>
    <t>794275013</t>
  </si>
  <si>
    <t>P95.82 U6 I54 2004</t>
  </si>
  <si>
    <t>0                      P  0095820U  6                  I  54          2004</t>
  </si>
  <si>
    <t>Changing concepts of time / Harold A. Innis ; introduction by James W. Carey.</t>
  </si>
  <si>
    <t>Lanham, Md. : Rowman &amp; Littlefield Publishers, ©2004.</t>
  </si>
  <si>
    <t>2016-06-23</t>
  </si>
  <si>
    <t>740493:eng</t>
  </si>
  <si>
    <t>53356017</t>
  </si>
  <si>
    <t>ocm53356017</t>
  </si>
  <si>
    <t>3102578426C</t>
  </si>
  <si>
    <t>9780742528178</t>
  </si>
  <si>
    <t>793826892</t>
  </si>
  <si>
    <t>P95.82 U6 K45 2005</t>
  </si>
  <si>
    <t>0                      P  0095820U  6                  K  45          2005</t>
  </si>
  <si>
    <t>Media spectacle and the crisis of democracy : terrorism, war, and election battles / Douglas Kellner.</t>
  </si>
  <si>
    <t>Boulder, Colo. ; London : Paradigm, ©2005.</t>
  </si>
  <si>
    <t>3145340187:eng</t>
  </si>
  <si>
    <t>57750095</t>
  </si>
  <si>
    <t>ocm57750095</t>
  </si>
  <si>
    <t>31025802600</t>
  </si>
  <si>
    <t>9781594511189</t>
  </si>
  <si>
    <t>793918793</t>
  </si>
  <si>
    <t>P95.82 U6 K47 1999</t>
  </si>
  <si>
    <t>0                      P  0095820U  6                  K  47          1999</t>
  </si>
  <si>
    <t>Remote &amp; controlled : media politics in a cynical age / Matthew Robert Kerbel.</t>
  </si>
  <si>
    <t>Kerbel, Matthew Robert, 1958-</t>
  </si>
  <si>
    <t>Boulder, Colorado : Westview Press, 1999.</t>
  </si>
  <si>
    <t>Dilemmas in American politics</t>
  </si>
  <si>
    <t>801356652:eng</t>
  </si>
  <si>
    <t>39539202</t>
  </si>
  <si>
    <t>ocm39539202</t>
  </si>
  <si>
    <t>3102712331I</t>
  </si>
  <si>
    <t>9780813368696</t>
  </si>
  <si>
    <t>793548229</t>
  </si>
  <si>
    <t>P95.82 U6 L33 2012</t>
  </si>
  <si>
    <t>0                      P  0095820U  6                  L  33          2012</t>
  </si>
  <si>
    <t>Why Americans hate the media and how it matters / Jonathan M. Ladd.</t>
  </si>
  <si>
    <t>Ladd, Jonathan M., 1978-</t>
  </si>
  <si>
    <t>Princeton : Princeton University Press, 2012.</t>
  </si>
  <si>
    <t>898132031:eng</t>
  </si>
  <si>
    <t>756280565</t>
  </si>
  <si>
    <t>ocn756280565</t>
  </si>
  <si>
    <t>31034076463</t>
  </si>
  <si>
    <t>9780691147857</t>
  </si>
  <si>
    <t>794894412</t>
  </si>
  <si>
    <t>P95.82 U6 L48 2013</t>
  </si>
  <si>
    <t>0                      P  0095820U  6                  L  48          2013</t>
  </si>
  <si>
    <t>How partisan media polarize America / Matthew Levendusky.</t>
  </si>
  <si>
    <t>Levendusky, Matthew, author.</t>
  </si>
  <si>
    <t>Chicago ; London : The University of Chicago Press, [2013]</t>
  </si>
  <si>
    <t>Chicago studies in American politics</t>
  </si>
  <si>
    <t>2017-04-03</t>
  </si>
  <si>
    <t>1761532191:eng</t>
  </si>
  <si>
    <t>827528895</t>
  </si>
  <si>
    <t>ocn827528895</t>
  </si>
  <si>
    <t>3103505969T</t>
  </si>
  <si>
    <t>9780226068961</t>
  </si>
  <si>
    <t>794940119</t>
  </si>
  <si>
    <t>P95.82 U6 L58 2006</t>
  </si>
  <si>
    <t>0                      P  0095820U  6                  L  58          2006</t>
  </si>
  <si>
    <t>Prologue to a farce : communication and democracy in America / Mark Lloyd.</t>
  </si>
  <si>
    <t>Lloyd, Mark.</t>
  </si>
  <si>
    <t>Urbana : University of Illinois Press, ©2006.</t>
  </si>
  <si>
    <t>905770722:eng</t>
  </si>
  <si>
    <t>70199881</t>
  </si>
  <si>
    <t>ocm70199881</t>
  </si>
  <si>
    <t>31026340953</t>
  </si>
  <si>
    <t>9780252031045</t>
  </si>
  <si>
    <t>794150696</t>
  </si>
  <si>
    <t>P95.82 U6 M37 2016</t>
  </si>
  <si>
    <t>0                      P  0095820U  6                  M  37          2016</t>
  </si>
  <si>
    <t>Political turbulence : how social media shape collective action / Helen Margetts, Peter John, Scott Hale &amp; Taha Yasseri.</t>
  </si>
  <si>
    <t>Margetts, Helen, author.</t>
  </si>
  <si>
    <t>Princeton, New Jersey : Princeton University Press, [2016]</t>
  </si>
  <si>
    <t>2018-10-23</t>
  </si>
  <si>
    <t>2506035310:eng</t>
  </si>
  <si>
    <t>908084019</t>
  </si>
  <si>
    <t>ocn908084019</t>
  </si>
  <si>
    <t>3103654463J</t>
  </si>
  <si>
    <t>9780691159225</t>
  </si>
  <si>
    <t>794994148</t>
  </si>
  <si>
    <t>P95.82 U6 M378 2004</t>
  </si>
  <si>
    <t>0                      P  0095820U  6                  M  378         2004</t>
  </si>
  <si>
    <t>The problem of the media : U.S. communication politics in the twenty-first century / Robert W. McChesney.</t>
  </si>
  <si>
    <t>New York : Monthly Review Press, ©2004.</t>
  </si>
  <si>
    <t>1057519:eng</t>
  </si>
  <si>
    <t>53887536</t>
  </si>
  <si>
    <t>ocm53887536</t>
  </si>
  <si>
    <t>31031510481</t>
  </si>
  <si>
    <t>9781583671061</t>
  </si>
  <si>
    <t>793852225</t>
  </si>
  <si>
    <t>3102712329K</t>
  </si>
  <si>
    <t>793852224</t>
  </si>
  <si>
    <t>P95.82 U6 M38 1999</t>
  </si>
  <si>
    <t>0                      P  0095820U  6                  M  38          1999</t>
  </si>
  <si>
    <t>Rich media, poor democracy : communication politics in dubious times / Robert W. McChesney.</t>
  </si>
  <si>
    <t>Urbana : University of Illinois Press, ©1999.</t>
  </si>
  <si>
    <t>2016-04-02</t>
  </si>
  <si>
    <t>905895887:eng</t>
  </si>
  <si>
    <t>40403736</t>
  </si>
  <si>
    <t>ocm40403736</t>
  </si>
  <si>
    <t>3102743477P</t>
  </si>
  <si>
    <t>9780252024481</t>
  </si>
  <si>
    <t>793565906</t>
  </si>
  <si>
    <t>2014-04-05</t>
  </si>
  <si>
    <t>3102823746Q</t>
  </si>
  <si>
    <t>793565905</t>
  </si>
  <si>
    <t>P95.82 U6 M385 2008</t>
  </si>
  <si>
    <t>0                      P  0095820U  6                  M  385         2008</t>
  </si>
  <si>
    <t>The conservative resurgence and the press : the media's role in the rise of the Right / James Brian McPherson ; foreword by Sidney Blumenthal.</t>
  </si>
  <si>
    <t>McPherson, James Brian, 1958-</t>
  </si>
  <si>
    <t>Evanston, Ill. : Northwestern University Press, ©2008.</t>
  </si>
  <si>
    <t>Medill School of Journalism visions of the American press</t>
  </si>
  <si>
    <t>2012-04-07</t>
  </si>
  <si>
    <t>115648859:eng</t>
  </si>
  <si>
    <t>179797366</t>
  </si>
  <si>
    <t>ocn179797366</t>
  </si>
  <si>
    <t>31029713877</t>
  </si>
  <si>
    <t>9780810123328</t>
  </si>
  <si>
    <t>794279048</t>
  </si>
  <si>
    <t>3103284769H</t>
  </si>
  <si>
    <t>794279049</t>
  </si>
  <si>
    <t>P95.82 U6 M464 2013</t>
  </si>
  <si>
    <t>0                      P  0095820U  6                  M  464         2013</t>
  </si>
  <si>
    <t>Media interventions / edited by Kevin Howley ; afterword by Nick Couldry.</t>
  </si>
  <si>
    <t>2013-10-17</t>
  </si>
  <si>
    <t>1182581065:eng</t>
  </si>
  <si>
    <t>818659520</t>
  </si>
  <si>
    <t>ocn818659520</t>
  </si>
  <si>
    <t>31034973434</t>
  </si>
  <si>
    <t>9781433112119</t>
  </si>
  <si>
    <t>794934069</t>
  </si>
  <si>
    <t>P95.82 U6 N53 2005</t>
  </si>
  <si>
    <t>0                      P  0095820U  6                  N  53          2005</t>
  </si>
  <si>
    <t>Tragedy and farce : how the American media sell wars, spin elections, and destroy democracy / John Nichols and Robert W. McChesney ; with illustrations by Tom Tomorrow.</t>
  </si>
  <si>
    <t>Nichols, John, 1959-</t>
  </si>
  <si>
    <t>New York : New Press : Distributed by W.W. Norton, 2005.</t>
  </si>
  <si>
    <t>796385731:eng</t>
  </si>
  <si>
    <t>60644867</t>
  </si>
  <si>
    <t>ocm60644867</t>
  </si>
  <si>
    <t>3102492603U</t>
  </si>
  <si>
    <t>9781595580160</t>
  </si>
  <si>
    <t>793941279</t>
  </si>
  <si>
    <t>P95.82 U6 N56 1990</t>
  </si>
  <si>
    <t>0                      P  0095820U  6                  N  56          1990</t>
  </si>
  <si>
    <t>Mediated political realities / Dan Nimmo, James E. Combs.</t>
  </si>
  <si>
    <t>Nimmo, Dan D.</t>
  </si>
  <si>
    <t>New York : Longman, ©1990.</t>
  </si>
  <si>
    <t>21778130:eng</t>
  </si>
  <si>
    <t>19739318</t>
  </si>
  <si>
    <t>ocm19739318</t>
  </si>
  <si>
    <t>3102712412J</t>
  </si>
  <si>
    <t>9780801302206</t>
  </si>
  <si>
    <t>793067377</t>
  </si>
  <si>
    <t>P95.82 U6 P38 2011</t>
  </si>
  <si>
    <t>0                      P  0095820U  6                  P  38          2011</t>
  </si>
  <si>
    <t>Strategic communication : origins, concepts, and current debates / Christopher Paul.</t>
  </si>
  <si>
    <t>Paul, Christopher.</t>
  </si>
  <si>
    <t>Santa Barbara, CA : Praeger, ©2011.</t>
  </si>
  <si>
    <t>Contemporary military, strategic, and security issues</t>
  </si>
  <si>
    <t>2012-06-23</t>
  </si>
  <si>
    <t>889178885:eng</t>
  </si>
  <si>
    <t>690088628</t>
  </si>
  <si>
    <t>ocn690088628</t>
  </si>
  <si>
    <t>3103363692M</t>
  </si>
  <si>
    <t>9780313386404</t>
  </si>
  <si>
    <t>794855206</t>
  </si>
  <si>
    <t>P95.82 U6 P66 1994</t>
  </si>
  <si>
    <t>0                      P  0095820U  6                  P  66          1994</t>
  </si>
  <si>
    <t>Politics and the media / [edited by] Richard Davis.</t>
  </si>
  <si>
    <t>Englewood Cliffs, N.J. : Prentice Hall, ©1994.</t>
  </si>
  <si>
    <t>55696174:eng</t>
  </si>
  <si>
    <t>27935597</t>
  </si>
  <si>
    <t>ocm27935597</t>
  </si>
  <si>
    <t>3102712415J</t>
  </si>
  <si>
    <t>9780131458970</t>
  </si>
  <si>
    <t>793275676</t>
  </si>
  <si>
    <t>P95.82 U6 S34 1989</t>
  </si>
  <si>
    <t>0                      P  0095820U  6                  S  34          1989</t>
  </si>
  <si>
    <t>Culture, Inc. : the corporate takeover of public expression / Herbert I. Schiller.</t>
  </si>
  <si>
    <t>Schiller, Herbert I., 1919-2000, author.</t>
  </si>
  <si>
    <t>New York : Oxford University Press, 1989.</t>
  </si>
  <si>
    <t>2015-09-13</t>
  </si>
  <si>
    <t>19115939:eng</t>
  </si>
  <si>
    <t>19130574</t>
  </si>
  <si>
    <t>ocm19130574</t>
  </si>
  <si>
    <t>3102712411J</t>
  </si>
  <si>
    <t>9780195050059</t>
  </si>
  <si>
    <t>793048259</t>
  </si>
  <si>
    <t>P95.82 U6 T87 2013</t>
  </si>
  <si>
    <t>0                      P  0095820U  6                  T  87          2013</t>
  </si>
  <si>
    <t>The democratic surround : multimedia &amp; American liberalism from World War II to the psychedelic sixties / Fred Turner.</t>
  </si>
  <si>
    <t>Turner, Fred, author.</t>
  </si>
  <si>
    <t>Chicago ; London : The University of Chicago Press, 2013.</t>
  </si>
  <si>
    <t>1781966475:eng</t>
  </si>
  <si>
    <t>834409169</t>
  </si>
  <si>
    <t>ocn834409169</t>
  </si>
  <si>
    <t>3103556244P</t>
  </si>
  <si>
    <t>9780226817460</t>
  </si>
  <si>
    <t>794944322</t>
  </si>
  <si>
    <t>P95.82 U6 W54 2011</t>
  </si>
  <si>
    <t>0                      P  0095820U  6                  W  54          2011</t>
  </si>
  <si>
    <t>After broadcast news : media regimes, democracy, and the new information environment / Bruce A. Williams, Michael X. Delli Carpini.</t>
  </si>
  <si>
    <t>Williams, Bruce Alan.</t>
  </si>
  <si>
    <t>819651316:eng</t>
  </si>
  <si>
    <t>707486678</t>
  </si>
  <si>
    <t>ocn707486678</t>
  </si>
  <si>
    <t>3103385266M</t>
  </si>
  <si>
    <t>9781107010314</t>
  </si>
  <si>
    <t>794867814</t>
  </si>
  <si>
    <t>P95.82 W47 J36 2005</t>
  </si>
  <si>
    <t>0                      P  0095820W  47                 J  36          2005</t>
  </si>
  <si>
    <t>Media politics and democracy in Palestine : political culture, pluralism, and the Palestinian authority / Amal Jamal.</t>
  </si>
  <si>
    <t>Brighton [England] ; Portland, Or. : Sussex Academic Press, 2005.</t>
  </si>
  <si>
    <t>2015-04-21</t>
  </si>
  <si>
    <t>368466858:eng</t>
  </si>
  <si>
    <t>56599778</t>
  </si>
  <si>
    <t>ocm56599778</t>
  </si>
  <si>
    <t>31025560295</t>
  </si>
  <si>
    <t>9781845190392</t>
  </si>
  <si>
    <t>793896801</t>
  </si>
  <si>
    <t>P96 A39 L86 1994</t>
  </si>
  <si>
    <t>0                      P  0096000A  39                 L  86          1994</t>
  </si>
  <si>
    <t>Moral threats and dangerous desires : AIDS in the news media / Deborah Lupton.</t>
  </si>
  <si>
    <t>Lupton, Deborah.</t>
  </si>
  <si>
    <t>London ; Bristol, Pa. : Taylor &amp; Francis, 1994.</t>
  </si>
  <si>
    <t>Social aspects of AIDS</t>
  </si>
  <si>
    <t>2016-05-11</t>
  </si>
  <si>
    <t>836913432:eng</t>
  </si>
  <si>
    <t>28929672</t>
  </si>
  <si>
    <t>ocm28929672</t>
  </si>
  <si>
    <t>3102712401L</t>
  </si>
  <si>
    <t>9780748401796</t>
  </si>
  <si>
    <t>793299804</t>
  </si>
  <si>
    <t>P96 A39 M43 2003</t>
  </si>
  <si>
    <t>0                      P  0096000A  39                 M  43          2003</t>
  </si>
  <si>
    <t>Media-mediated AIDS / edited by Linda K. Fuller.</t>
  </si>
  <si>
    <t>Health communication</t>
  </si>
  <si>
    <t>6000733:eng</t>
  </si>
  <si>
    <t>50006580</t>
  </si>
  <si>
    <t>ocm50006580</t>
  </si>
  <si>
    <t>31027123966</t>
  </si>
  <si>
    <t>9781572732636</t>
  </si>
  <si>
    <t>793753486</t>
  </si>
  <si>
    <t>P96 A44 A85 2010</t>
  </si>
  <si>
    <t>0                      P  0096000A  44                 A  85          2010</t>
  </si>
  <si>
    <t>Alternative media and politics of resistance : a communication perspective / Joshua D. Atkinson.</t>
  </si>
  <si>
    <t>Atkinson, Joshua D.</t>
  </si>
  <si>
    <t>Frontiers in political communication, 1525-9730 ; v. 16</t>
  </si>
  <si>
    <t>2018-05-18</t>
  </si>
  <si>
    <t>347196411:eng</t>
  </si>
  <si>
    <t>463307407</t>
  </si>
  <si>
    <t>ocn463307407</t>
  </si>
  <si>
    <t>3103113543Z</t>
  </si>
  <si>
    <t>9781433105173</t>
  </si>
  <si>
    <t>794792343</t>
  </si>
  <si>
    <t>P96 A44 C37 2010</t>
  </si>
  <si>
    <t>0                      P  0096000A  44                 C  37          2010</t>
  </si>
  <si>
    <t>Médiactivistes / Dominique Cardon et Fabien Granjon.</t>
  </si>
  <si>
    <t>Cardon, Dominique.</t>
  </si>
  <si>
    <t>Paris : Presses Sciences po, 2010.</t>
  </si>
  <si>
    <t>Contester ; 9</t>
  </si>
  <si>
    <t>619660353:fre</t>
  </si>
  <si>
    <t>662576506</t>
  </si>
  <si>
    <t>ocn662576506</t>
  </si>
  <si>
    <t>31033284285</t>
  </si>
  <si>
    <t>9782724611687</t>
  </si>
  <si>
    <t>794837360</t>
  </si>
  <si>
    <t>P96 A44 C66 2003</t>
  </si>
  <si>
    <t>0                      P  0096000A  44                 C  66          2003</t>
  </si>
  <si>
    <t>Contesting media power : alternative media in a networked world / edited by Nick Couldry and James Curran.</t>
  </si>
  <si>
    <t>Lanham, Md. : Rowman &amp; Littlefield, ©2003.</t>
  </si>
  <si>
    <t>795456060:eng</t>
  </si>
  <si>
    <t>51728710</t>
  </si>
  <si>
    <t>ocm51728710</t>
  </si>
  <si>
    <t>3102322080$</t>
  </si>
  <si>
    <t>9780742523845</t>
  </si>
  <si>
    <t>793789798</t>
  </si>
  <si>
    <t>P96 A44 C69 2007</t>
  </si>
  <si>
    <t>0                      P  0096000A  44                 C  69          2007</t>
  </si>
  <si>
    <t>The alternative media handbook / Kate Coyer, Tony Dowmunt and Alan Fountain.</t>
  </si>
  <si>
    <t>Coyer, Kate.</t>
  </si>
  <si>
    <t>Media practice</t>
  </si>
  <si>
    <t>2015-11-15</t>
  </si>
  <si>
    <t>62574445:eng</t>
  </si>
  <si>
    <t>154677587</t>
  </si>
  <si>
    <t>ocn154677587</t>
  </si>
  <si>
    <t>3102881247J</t>
  </si>
  <si>
    <t>9780415359665</t>
  </si>
  <si>
    <t>794252043</t>
  </si>
  <si>
    <t>P96 A44 K46 2011</t>
  </si>
  <si>
    <t>0                      P  0096000A  44                 K  46          2011</t>
  </si>
  <si>
    <t>Alternative and mainstream media : the converging spectrum / Linda Jean Kenix.</t>
  </si>
  <si>
    <t>Kenix, Linda Jean.</t>
  </si>
  <si>
    <t>London ; New York : Bloomsbury Academic, 2011.</t>
  </si>
  <si>
    <t>2014-04-27</t>
  </si>
  <si>
    <t>995706071:eng</t>
  </si>
  <si>
    <t>747008414</t>
  </si>
  <si>
    <t>ocn747008414</t>
  </si>
  <si>
    <t>3103381973F</t>
  </si>
  <si>
    <t>9781849665209</t>
  </si>
  <si>
    <t>794887626</t>
  </si>
  <si>
    <t>P96 A44 P37 2008</t>
  </si>
  <si>
    <t>0                      P  0096000A  44                 P  37          2008</t>
  </si>
  <si>
    <t>Animal spirits : a bestiary of the commons / Matteo Pasquinelli.</t>
  </si>
  <si>
    <t>Pasquinelli, Matteo.</t>
  </si>
  <si>
    <t>Rotterdam, The Netherlands : NAi Publishers ; [Amsterdam] : Institute of Network Cultures ; New York, NY : Available in North, South and Central America through D.A.P., ©2008.</t>
  </si>
  <si>
    <t>Studies in network cultures.</t>
  </si>
  <si>
    <t>2018-02-01</t>
  </si>
  <si>
    <t>168310577:eng</t>
  </si>
  <si>
    <t>286498011</t>
  </si>
  <si>
    <t>ocn286498011</t>
  </si>
  <si>
    <t>3103081552C</t>
  </si>
  <si>
    <t>9789056626631</t>
  </si>
  <si>
    <t>794421177</t>
  </si>
  <si>
    <t>P96 A442 C3 2012</t>
  </si>
  <si>
    <t>0                      P  0096000A  442                C  3           2012</t>
  </si>
  <si>
    <t>Alternative media in Canada / edited by Kirsten Kozolanka, Patricia Mazepa, and David Skinner.</t>
  </si>
  <si>
    <t>Vancouver : UBC Press, c2012.</t>
  </si>
  <si>
    <t>1048951914:eng</t>
  </si>
  <si>
    <t>762958715</t>
  </si>
  <si>
    <t>ocn762958715</t>
  </si>
  <si>
    <t>3103402357U</t>
  </si>
  <si>
    <t>9780774821643</t>
  </si>
  <si>
    <t>794900075</t>
  </si>
  <si>
    <t>P96 A442 G743 2002</t>
  </si>
  <si>
    <t>0                      P  0096000A  442                G  743         2002</t>
  </si>
  <si>
    <t>Alternative media / Chris Atton.</t>
  </si>
  <si>
    <t>Atton, Chris.</t>
  </si>
  <si>
    <t>London ; Thousand Oaks [Calif.] : SAGE, 2002.</t>
  </si>
  <si>
    <t>1045077:eng</t>
  </si>
  <si>
    <t>47900803</t>
  </si>
  <si>
    <t>ocm47900803</t>
  </si>
  <si>
    <t>31027123956</t>
  </si>
  <si>
    <t>9780761967712</t>
  </si>
  <si>
    <t>793710621</t>
  </si>
  <si>
    <t>P96 A56 A56 2010</t>
  </si>
  <si>
    <t>0                      P  0096000A  56                 A  56          2010</t>
  </si>
  <si>
    <t>The anthropology of news &amp; journalism : global perspectives / edited by S. Elizabeth Bird.</t>
  </si>
  <si>
    <t>908609717:eng</t>
  </si>
  <si>
    <t>313659296</t>
  </si>
  <si>
    <t>ocn313659296</t>
  </si>
  <si>
    <t>31031548570</t>
  </si>
  <si>
    <t>9780253353696</t>
  </si>
  <si>
    <t>794438012</t>
  </si>
  <si>
    <t>P96 A56 D54 2012</t>
  </si>
  <si>
    <t>0                      P  0096000A  56                 D  54          2012</t>
  </si>
  <si>
    <t>Digital anthropology / edited by Heather A. Horst and Daniel Miller.</t>
  </si>
  <si>
    <t>London ; New York : Berg, 2012.</t>
  </si>
  <si>
    <t>2017-09-21</t>
  </si>
  <si>
    <t>1173795686:eng</t>
  </si>
  <si>
    <t>764357614</t>
  </si>
  <si>
    <t>ocn764357614</t>
  </si>
  <si>
    <t>3103432529F</t>
  </si>
  <si>
    <t>9780857852908</t>
  </si>
  <si>
    <t>794900398</t>
  </si>
  <si>
    <t>P96 A56 M43 2005</t>
  </si>
  <si>
    <t>0                      P  0096000A  56                 M  43          2005</t>
  </si>
  <si>
    <t>Media anthropology / editors, Eric W. Rothenbuhler, Mihai Coman.</t>
  </si>
  <si>
    <t>Thousand Oaks, Calif. : Sage, ©2005.</t>
  </si>
  <si>
    <t>351293490:eng</t>
  </si>
  <si>
    <t>56924719</t>
  </si>
  <si>
    <t>ocm56924719</t>
  </si>
  <si>
    <t>31025190773</t>
  </si>
  <si>
    <t>9781412906708</t>
  </si>
  <si>
    <t>793904215</t>
  </si>
  <si>
    <t>P96 A56 P48 2003</t>
  </si>
  <si>
    <t>0                      P  0096000A  56                 P  48          2003</t>
  </si>
  <si>
    <t>Anthropology &amp; mass communication : media and myth in the new millennium / Mark Allen Peterson.</t>
  </si>
  <si>
    <t>Peterson, Mark Allen.</t>
  </si>
  <si>
    <t>New York : Berghahn Books, 2003.</t>
  </si>
  <si>
    <t>Anthropology &amp;</t>
  </si>
  <si>
    <t>864659895:eng</t>
  </si>
  <si>
    <t>52409552</t>
  </si>
  <si>
    <t>ocm52409552</t>
  </si>
  <si>
    <t>31027123946</t>
  </si>
  <si>
    <t>9781571812773</t>
  </si>
  <si>
    <t>793805676</t>
  </si>
  <si>
    <t>P96 A56 S86 2013</t>
  </si>
  <si>
    <t>0                      P  0096000A  56                 S  86          2013</t>
  </si>
  <si>
    <t>Media and ritual : death, community, and everyday life / Johanna Sumiala.</t>
  </si>
  <si>
    <t>Sumiala, Johanna.</t>
  </si>
  <si>
    <t>Abingdon, Oxon ; New York : Routledge, 2013.</t>
  </si>
  <si>
    <t>Media, religion, and culture</t>
  </si>
  <si>
    <t>1172613358:eng</t>
  </si>
  <si>
    <t>758394379</t>
  </si>
  <si>
    <t>ocn758394379</t>
  </si>
  <si>
    <t>3103432700D</t>
  </si>
  <si>
    <t>9780415684323</t>
  </si>
  <si>
    <t>794896259</t>
  </si>
  <si>
    <t>P96 A56 T44 2010</t>
  </si>
  <si>
    <t>0                      P  0096000A  56                 T  44          2010</t>
  </si>
  <si>
    <t>Theorising media and practice / edited by Birgit Bräuchler and John Postill.</t>
  </si>
  <si>
    <t>Anthropology of media ; v. 4</t>
  </si>
  <si>
    <t>375207219:eng</t>
  </si>
  <si>
    <t>502029697</t>
  </si>
  <si>
    <t>ocn502029697</t>
  </si>
  <si>
    <t>3103233168R</t>
  </si>
  <si>
    <t>9781845457419</t>
  </si>
  <si>
    <t>794805300</t>
  </si>
  <si>
    <t>P96 A7 R47 2012</t>
  </si>
  <si>
    <t>0                      P  0096000A  7                  R  47          2012</t>
  </si>
  <si>
    <t>Resistance in contemporary Middle Eastern cultures : literature, cinema and music / edited by Karima Laachir and Saeed Talajooy.</t>
  </si>
  <si>
    <t>Routledge research in postcolonial literatures ; 44</t>
  </si>
  <si>
    <t>1194513707:eng</t>
  </si>
  <si>
    <t>730404019</t>
  </si>
  <si>
    <t>ocn730404019</t>
  </si>
  <si>
    <t>3103471863J</t>
  </si>
  <si>
    <t>9780415893374</t>
  </si>
  <si>
    <t>794880089</t>
  </si>
  <si>
    <t>P96 A752 G75 2012</t>
  </si>
  <si>
    <t>0                      P  0096000A  752                G  75          2012</t>
  </si>
  <si>
    <t>Military media management : negotiating the "front" line in mediatized war / Sarah Maltby.</t>
  </si>
  <si>
    <t>Maltby, Sarah.</t>
  </si>
  <si>
    <t>Media, war and security</t>
  </si>
  <si>
    <t>1029425549:eng</t>
  </si>
  <si>
    <t>757935678</t>
  </si>
  <si>
    <t>ocn757935678</t>
  </si>
  <si>
    <t>3103421934A</t>
  </si>
  <si>
    <t>9780415580052</t>
  </si>
  <si>
    <t>794895935</t>
  </si>
  <si>
    <t>P96 A752 U55 2011</t>
  </si>
  <si>
    <t>0                      P  0096000A  752                U  55          2011</t>
  </si>
  <si>
    <t>Leading the narrative : the case for strategic communication / Mari K. Eder.</t>
  </si>
  <si>
    <t>Eder, Mari K.</t>
  </si>
  <si>
    <t>Annapolis, Md. : Naval Institute Press, ©2011.</t>
  </si>
  <si>
    <t>900798461:eng</t>
  </si>
  <si>
    <t>724704425</t>
  </si>
  <si>
    <t>ocn724704425</t>
  </si>
  <si>
    <t>3103396693W</t>
  </si>
  <si>
    <t>9781612510477</t>
  </si>
  <si>
    <t>794876741</t>
  </si>
  <si>
    <t>P96 A752 U67 2007</t>
  </si>
  <si>
    <t>0                      P  0096000A  752                U  67          2007</t>
  </si>
  <si>
    <t>War and media operations : the U.S. military and the press from Vietnam to Iraq / Thomas Rid.</t>
  </si>
  <si>
    <t>Rid, Thomas, 1975- author.</t>
  </si>
  <si>
    <t>Cass military studies</t>
  </si>
  <si>
    <t>864086047:eng</t>
  </si>
  <si>
    <t>70883080</t>
  </si>
  <si>
    <t>ocm70883080</t>
  </si>
  <si>
    <t>3102572186X</t>
  </si>
  <si>
    <t>9780415416597</t>
  </si>
  <si>
    <t>794160910</t>
  </si>
  <si>
    <t>P96 A792 S63 2013</t>
  </si>
  <si>
    <t>0                      P  0096000A  792                S  63          2013</t>
  </si>
  <si>
    <t>Spacefarers : images of astronauts and cosmonauts in the heroic era of spaceflight / edited by Michael J. Neufeld.</t>
  </si>
  <si>
    <t>Washington, D.C. : Smithsonian Institution Scholarly Press, 2013.</t>
  </si>
  <si>
    <t>A Smithsonian contribution to knowledge</t>
  </si>
  <si>
    <t>1404741240:eng</t>
  </si>
  <si>
    <t>828143264</t>
  </si>
  <si>
    <t>ocn828143264</t>
  </si>
  <si>
    <t>31034993024</t>
  </si>
  <si>
    <t>9781935623199</t>
  </si>
  <si>
    <t>794940760</t>
  </si>
  <si>
    <t>P96 A83 A2 1998</t>
  </si>
  <si>
    <t>0                      P  0096000A  83                 A  2           1998</t>
  </si>
  <si>
    <t>Audiences : a sociological theory of performance and imagination / Nicholas Abercrombie &amp; Brian Longhurst.</t>
  </si>
  <si>
    <t>Abercrombie, Nicholas.</t>
  </si>
  <si>
    <t>London ; Thousand Oaks, Calif. : Sage, 1998.</t>
  </si>
  <si>
    <t>42300411:eng</t>
  </si>
  <si>
    <t>39482325</t>
  </si>
  <si>
    <t>ocm39482325</t>
  </si>
  <si>
    <t>3101953832E</t>
  </si>
  <si>
    <t>9780803989610</t>
  </si>
  <si>
    <t>793546746</t>
  </si>
  <si>
    <t>P96 A83 A935 2014</t>
  </si>
  <si>
    <t>0                      P  0096000A  83                 A  935         2014</t>
  </si>
  <si>
    <t>Audience research methodologies : between innovation and consolidation / edited by Geoffroy Patriarche, Helena Bilandzic, Jakob Linaa Jensen, and Jelena Jurisic.</t>
  </si>
  <si>
    <t>New York : Routledge, 2014.</t>
  </si>
  <si>
    <t>Routledge studies in European communication research and education ; 2</t>
  </si>
  <si>
    <t>1374917303:eng</t>
  </si>
  <si>
    <t>826896284</t>
  </si>
  <si>
    <t>ocn826896284</t>
  </si>
  <si>
    <t>3103501597E</t>
  </si>
  <si>
    <t>9780415827355</t>
  </si>
  <si>
    <t>794939548</t>
  </si>
  <si>
    <t>P96 A83 A94 1989</t>
  </si>
  <si>
    <t>0                      P  0096000A  83                 A  94          1989</t>
  </si>
  <si>
    <t>Audience responses to media diversification : coping with plenty / edited by Lee B. Becker, Klaus Schoenbach.</t>
  </si>
  <si>
    <t>Hillsdale, N.J. : L. Erlbaum Associates, 1989.</t>
  </si>
  <si>
    <t>2017-01-13</t>
  </si>
  <si>
    <t>889464615:eng</t>
  </si>
  <si>
    <t>18014594</t>
  </si>
  <si>
    <t>ocm18014594</t>
  </si>
  <si>
    <t>31027123916</t>
  </si>
  <si>
    <t>9780805802290</t>
  </si>
  <si>
    <t>793010531</t>
  </si>
  <si>
    <t>P96 A83 A95 1994</t>
  </si>
  <si>
    <t>0                      P  0096000A  83                 A  95          1994</t>
  </si>
  <si>
    <t>Audiencemaking : how the media create the audience / editors, James S. Ettema and D. Charles Whitney.</t>
  </si>
  <si>
    <t>Thousand Oaks, Calif. : Sage Publications, ©1994.</t>
  </si>
  <si>
    <t>Sage annual reviews of communication research ; v. 22</t>
  </si>
  <si>
    <t>792310670:eng</t>
  </si>
  <si>
    <t>30072671</t>
  </si>
  <si>
    <t>ocm30072671</t>
  </si>
  <si>
    <t>31027123868</t>
  </si>
  <si>
    <t>9780803946255</t>
  </si>
  <si>
    <t>793328657</t>
  </si>
  <si>
    <t>P96 A83 C64 2010</t>
  </si>
  <si>
    <t>0                      P  0096000A  83                 C  64          2010</t>
  </si>
  <si>
    <t>The media and the public : "them" and "us" in media discourse / Stephen Coleman and Karen Ross.</t>
  </si>
  <si>
    <t>Coleman, Stephen, 1957-</t>
  </si>
  <si>
    <t>Chichester, West Sussex ; Malden, MA : Wiley-Blackwell, 2010.</t>
  </si>
  <si>
    <t>Communication in the public interest</t>
  </si>
  <si>
    <t>2012-09-17</t>
  </si>
  <si>
    <t>792105720:eng</t>
  </si>
  <si>
    <t>437306650</t>
  </si>
  <si>
    <t>ocn437306650</t>
  </si>
  <si>
    <t>31032429368</t>
  </si>
  <si>
    <t>9781405160407</t>
  </si>
  <si>
    <t>794785842</t>
  </si>
  <si>
    <t>P96 A83 C65 2000</t>
  </si>
  <si>
    <t>0                      P  0096000A  83                 C  65          2000</t>
  </si>
  <si>
    <t>Consuming audiences? : production and reception in media research / edited by Ingunn Hagen, Janet Wasko.</t>
  </si>
  <si>
    <t>Cresskill, N.J. : Hampton Press, ©2000.</t>
  </si>
  <si>
    <t>International Association for Media and Communication Research</t>
  </si>
  <si>
    <t>144161827:eng</t>
  </si>
  <si>
    <t>42290899</t>
  </si>
  <si>
    <t>ocm42290899</t>
  </si>
  <si>
    <t>31027123848</t>
  </si>
  <si>
    <t>9781572731752</t>
  </si>
  <si>
    <t>793604493</t>
  </si>
  <si>
    <t>P96 A83 C75 2003</t>
  </si>
  <si>
    <t>0                      P  0096000A  83                 C  75          2003</t>
  </si>
  <si>
    <t>Critical readings : media and audiences / edited by Virginia Nightingale and Karen Ross.</t>
  </si>
  <si>
    <t>Maidenhead : Open University Press, 2003.</t>
  </si>
  <si>
    <t>930404048:eng</t>
  </si>
  <si>
    <t>54060358</t>
  </si>
  <si>
    <t>ocm54060358</t>
  </si>
  <si>
    <t>3102568210P</t>
  </si>
  <si>
    <t>9780335211661</t>
  </si>
  <si>
    <t>793856427</t>
  </si>
  <si>
    <t>P96 A83 H35 2011</t>
  </si>
  <si>
    <t>0                      P  0096000A  83                 H  35          2011</t>
  </si>
  <si>
    <t>The handbook of media audiences / [edited by] Virginia Nightingale.</t>
  </si>
  <si>
    <t>Malden : Wiley-Blackwell, 2011.</t>
  </si>
  <si>
    <t>2019-09-06</t>
  </si>
  <si>
    <t>1075956656:eng</t>
  </si>
  <si>
    <t>671701618</t>
  </si>
  <si>
    <t>ocn671701618</t>
  </si>
  <si>
    <t>3103234801E</t>
  </si>
  <si>
    <t>9781405184182</t>
  </si>
  <si>
    <t>794849036</t>
  </si>
  <si>
    <t>P96 A83 H57 2011</t>
  </si>
  <si>
    <t>0                      P  0096000A  83                 H  57          2011</t>
  </si>
  <si>
    <t>History of participatory media : politics and publics, 1750-2000 / edited by Anders Ekström [and others].</t>
  </si>
  <si>
    <t>Routledge studies in cultural history ; 13</t>
  </si>
  <si>
    <t>793277098:eng</t>
  </si>
  <si>
    <t>491890896</t>
  </si>
  <si>
    <t>ocn491890896</t>
  </si>
  <si>
    <t>3103236518D</t>
  </si>
  <si>
    <t>9780415880688</t>
  </si>
  <si>
    <t>794800699</t>
  </si>
  <si>
    <t>P96 A83 J46 2006</t>
  </si>
  <si>
    <t>0                      P  0096000A  83                 J  46          2006</t>
  </si>
  <si>
    <t>Fans, bloggers, and gamers : exploring participatory culture / Henry Jenkins.</t>
  </si>
  <si>
    <t>342119876:eng</t>
  </si>
  <si>
    <t>65187292</t>
  </si>
  <si>
    <t>ocm65187292</t>
  </si>
  <si>
    <t>31026342379</t>
  </si>
  <si>
    <t>9780814742846</t>
  </si>
  <si>
    <t>794132700</t>
  </si>
  <si>
    <t>P96 A83 K46 2009</t>
  </si>
  <si>
    <t>0                      P  0096000A  83                 K  46          2009</t>
  </si>
  <si>
    <t>The spectator and the spectacle : audiences in modernity and postmodernity / Dennis Kennedy.</t>
  </si>
  <si>
    <t>Kennedy, Dennis, 1940- author.</t>
  </si>
  <si>
    <t>2019-12-18</t>
  </si>
  <si>
    <t>796336766:eng</t>
  </si>
  <si>
    <t>299280524</t>
  </si>
  <si>
    <t>ocn299280524</t>
  </si>
  <si>
    <t>31028573369</t>
  </si>
  <si>
    <t>9780521899765</t>
  </si>
  <si>
    <t>794429009</t>
  </si>
  <si>
    <t>P96 A83 M39 1997</t>
  </si>
  <si>
    <t>0                      P  0096000A  83                 M  39          1997</t>
  </si>
  <si>
    <t>Audience analysis / Denis McQuail.</t>
  </si>
  <si>
    <t>590702:eng</t>
  </si>
  <si>
    <t>36783701</t>
  </si>
  <si>
    <t>ocm36783701</t>
  </si>
  <si>
    <t>3102712375A</t>
  </si>
  <si>
    <t>9780761910015</t>
  </si>
  <si>
    <t>793484175</t>
  </si>
  <si>
    <t>P96 A83 M395 2014</t>
  </si>
  <si>
    <t>0                      P  0096000A  83                 M  395         2014</t>
  </si>
  <si>
    <t>Meanings of audiences : comparative discourses / edited by Richard Butsch and Sonia Livingstone.</t>
  </si>
  <si>
    <t>London : Routledge, 2014.</t>
  </si>
  <si>
    <t>1284448253:eng</t>
  </si>
  <si>
    <t>829738687</t>
  </si>
  <si>
    <t>ocn829738687</t>
  </si>
  <si>
    <t>3103504345I</t>
  </si>
  <si>
    <t>9780415837293</t>
  </si>
  <si>
    <t>794942704</t>
  </si>
  <si>
    <t>P96 A83 M63 2009</t>
  </si>
  <si>
    <t>0                      P  0096000A  83                 M  63          2009</t>
  </si>
  <si>
    <t>Modes of spectating / Alison Oddey and Christine White.</t>
  </si>
  <si>
    <t>Oddey, Alison, 1954-</t>
  </si>
  <si>
    <t>Bristol, UK ; Chicago : Intellect, 2009.</t>
  </si>
  <si>
    <t>257916637:eng</t>
  </si>
  <si>
    <t>262429439</t>
  </si>
  <si>
    <t>ocn262429439</t>
  </si>
  <si>
    <t>31031347837</t>
  </si>
  <si>
    <t>9781841502397</t>
  </si>
  <si>
    <t>794401694</t>
  </si>
  <si>
    <t>P96 A83 N35 2011</t>
  </si>
  <si>
    <t>0                      P  0096000A  83                 N  35          2011</t>
  </si>
  <si>
    <t>Audience evolution : new technologies and the transformation of media audiences / Philip M. Napoli.</t>
  </si>
  <si>
    <t>Napoli, Philip M.</t>
  </si>
  <si>
    <t>New York : Columbia University Press, 2011.</t>
  </si>
  <si>
    <t>2011-08-03</t>
  </si>
  <si>
    <t>794003318:eng</t>
  </si>
  <si>
    <t>635463772</t>
  </si>
  <si>
    <t>ocn635463772</t>
  </si>
  <si>
    <t>3103237687T</t>
  </si>
  <si>
    <t>9780231150347</t>
  </si>
  <si>
    <t>794825545</t>
  </si>
  <si>
    <t>P96 A83 R47 2003</t>
  </si>
  <si>
    <t>0                      P  0096000A  83                 R  47          2003</t>
  </si>
  <si>
    <t>Researching audiences / Kim Schrøder [and others].</t>
  </si>
  <si>
    <t>682580:eng</t>
  </si>
  <si>
    <t>52056715</t>
  </si>
  <si>
    <t>ocm52056715</t>
  </si>
  <si>
    <t>3102580828R</t>
  </si>
  <si>
    <t>9780340762752</t>
  </si>
  <si>
    <t>793797417</t>
  </si>
  <si>
    <t>P96 A83 R48 1999</t>
  </si>
  <si>
    <t>0                      P  0096000A  83                 R  48          1999</t>
  </si>
  <si>
    <t>Rethinking the media audience : the new agenda / edited by Pertti Alasuutari.</t>
  </si>
  <si>
    <t>London ; Thousand Oaks, Calif. : Sage Publications, 1999.</t>
  </si>
  <si>
    <t>803483410:eng</t>
  </si>
  <si>
    <t>43243905</t>
  </si>
  <si>
    <t>ocm43243905</t>
  </si>
  <si>
    <t>3102032069L</t>
  </si>
  <si>
    <t>9780761950707</t>
  </si>
  <si>
    <t>793622094</t>
  </si>
  <si>
    <t>P96 A83 S73 2005</t>
  </si>
  <si>
    <t>0                      P  0096000A  83                 S  73          2005</t>
  </si>
  <si>
    <t>Media reception studies / Janet Staiger.</t>
  </si>
  <si>
    <t>Staiger, Janet.</t>
  </si>
  <si>
    <t>New York : New York University Press, ©2005.</t>
  </si>
  <si>
    <t>131893:eng</t>
  </si>
  <si>
    <t>57434172</t>
  </si>
  <si>
    <t>ocm57434172</t>
  </si>
  <si>
    <t>3102554597L</t>
  </si>
  <si>
    <t>9780814781340</t>
  </si>
  <si>
    <t>793912940</t>
  </si>
  <si>
    <t>P96 A832 A786 2008</t>
  </si>
  <si>
    <t>0                      P  0096000A  832                A  786         2008</t>
  </si>
  <si>
    <t>Media consumption and everyday life in Asia / edited by Youna Kim.</t>
  </si>
  <si>
    <t>Routledge advances in internationalizing media studies ; 1</t>
  </si>
  <si>
    <t>2017-03-07</t>
  </si>
  <si>
    <t>888575986:eng</t>
  </si>
  <si>
    <t>202542260</t>
  </si>
  <si>
    <t>ocn202542260</t>
  </si>
  <si>
    <t>31029724478</t>
  </si>
  <si>
    <t>9780415962452</t>
  </si>
  <si>
    <t>794304975</t>
  </si>
  <si>
    <t>P96 A832 J378 2010</t>
  </si>
  <si>
    <t>0                      P  0096000A  832                J  378         2010</t>
  </si>
  <si>
    <t>Audience studies : a Japanese perspective / Toshie Takahashi.</t>
  </si>
  <si>
    <t>Takahashi, Toshie, 1964-</t>
  </si>
  <si>
    <t>Routledge advances in internationalizing media studies ; 5</t>
  </si>
  <si>
    <t>2013-07-31</t>
  </si>
  <si>
    <t>802202042:eng</t>
  </si>
  <si>
    <t>311759165</t>
  </si>
  <si>
    <t>ocn311759165</t>
  </si>
  <si>
    <t>3103086668O</t>
  </si>
  <si>
    <t>9780415800136</t>
  </si>
  <si>
    <t>794436351</t>
  </si>
  <si>
    <t>P96 A832 U63 2008</t>
  </si>
  <si>
    <t>0                      P  0096000A  832                U  63          2008</t>
  </si>
  <si>
    <t>The citizen audience : crowds, publics, and individuals / Richard Butsch.</t>
  </si>
  <si>
    <t>Butsch, Richard, 1943-</t>
  </si>
  <si>
    <t>802749998:eng</t>
  </si>
  <si>
    <t>156845801</t>
  </si>
  <si>
    <t>ocn156845801</t>
  </si>
  <si>
    <t>3102649375A</t>
  </si>
  <si>
    <t>9780415977890</t>
  </si>
  <si>
    <t>794255258</t>
  </si>
  <si>
    <t>P96 A832 U67 2011</t>
  </si>
  <si>
    <t>0                      P  0096000A  832                U  67          2011</t>
  </si>
  <si>
    <t>Niche news : the politics of news choice / Natalie Jomini Stroud.</t>
  </si>
  <si>
    <t>Stroud, Natalie Jomini.</t>
  </si>
  <si>
    <t>479196842:eng</t>
  </si>
  <si>
    <t>611551570</t>
  </si>
  <si>
    <t>ocn611551570</t>
  </si>
  <si>
    <t>3103345045F</t>
  </si>
  <si>
    <t>9780199755509</t>
  </si>
  <si>
    <t>794821125</t>
  </si>
  <si>
    <t>P96 A86 F55 2019</t>
  </si>
  <si>
    <t>0                      P  0096000A  86                 F  55          2019</t>
  </si>
  <si>
    <t>Dynamics of media writing : adapt and connect / Vincent F. Filak.</t>
  </si>
  <si>
    <t>Filak, Vincent F., author.</t>
  </si>
  <si>
    <t>Thousand Oaks, California : CQ Press, a division of Sage Publications, Inc., [2019]</t>
  </si>
  <si>
    <t>2827748697:eng</t>
  </si>
  <si>
    <t>1019838997</t>
  </si>
  <si>
    <t>on1019838997</t>
  </si>
  <si>
    <t>3103811896D</t>
  </si>
  <si>
    <t>9781506381466</t>
  </si>
  <si>
    <t>795049901</t>
  </si>
  <si>
    <t>P96 A86 F75 2006</t>
  </si>
  <si>
    <t>0                      P  0096000A  86                 F  75          2006</t>
  </si>
  <si>
    <t>Writing for visual media / Anthony Friedmann.</t>
  </si>
  <si>
    <t>(Text + DVD-ROM)</t>
  </si>
  <si>
    <t>Friedmann, Anthony.</t>
  </si>
  <si>
    <t>Amsterdam ; Boston : Elsevier/Focal Press, ©2006.</t>
  </si>
  <si>
    <t>14358167:eng</t>
  </si>
  <si>
    <t>65425944</t>
  </si>
  <si>
    <t>ocm65425944</t>
  </si>
  <si>
    <t>31026317484</t>
  </si>
  <si>
    <t>9780240807263</t>
  </si>
  <si>
    <t>794134455</t>
  </si>
  <si>
    <t>P96 C35 B85 2012</t>
  </si>
  <si>
    <t>0                      P  0096000C  35                 B  85          2012</t>
  </si>
  <si>
    <t>Gods like us : on movie stardom and modern fame / Ty Burr.</t>
  </si>
  <si>
    <t>Burr, Ty.</t>
  </si>
  <si>
    <t>2016-10-04</t>
  </si>
  <si>
    <t>1169512498:eng</t>
  </si>
  <si>
    <t>758388801</t>
  </si>
  <si>
    <t>ocn758388801</t>
  </si>
  <si>
    <t>3103414094I</t>
  </si>
  <si>
    <t>9780307377661</t>
  </si>
  <si>
    <t>794896183</t>
  </si>
  <si>
    <t>P96 C35 B87 2009</t>
  </si>
  <si>
    <t>0                      P  0096000C  35                 B  87          2009</t>
  </si>
  <si>
    <t>Celeb 2.0 : how social media foster our fascination with popular culture / Kelli S. Burns.</t>
  </si>
  <si>
    <t>Burns, Kelli S.</t>
  </si>
  <si>
    <t>Santa Barbara, Calif. : Praeger/ABC-CLIO, ©2009.</t>
  </si>
  <si>
    <t>New directions in media</t>
  </si>
  <si>
    <t>2015-03-13</t>
  </si>
  <si>
    <t>797260532:eng</t>
  </si>
  <si>
    <t>320193428</t>
  </si>
  <si>
    <t>ocn320193428</t>
  </si>
  <si>
    <t>31031136151</t>
  </si>
  <si>
    <t>9780313356889</t>
  </si>
  <si>
    <t>794485506</t>
  </si>
  <si>
    <t>P96 C42 I738 1985</t>
  </si>
  <si>
    <t>0                      P  0096000C  42                 I  738         1985</t>
  </si>
  <si>
    <t>Media control in Ireland, 1923-1983 / Kieran Woodman.</t>
  </si>
  <si>
    <t>Woodman, Kieran.</t>
  </si>
  <si>
    <t>Carbondale : Southern Illinois University Press, ©1985.</t>
  </si>
  <si>
    <t>4319975:eng</t>
  </si>
  <si>
    <t>11548619</t>
  </si>
  <si>
    <t>ocm11548619</t>
  </si>
  <si>
    <t>3102750592P</t>
  </si>
  <si>
    <t>9780809312405</t>
  </si>
  <si>
    <t>792777924</t>
  </si>
  <si>
    <t>P96 C43 C47 2010</t>
  </si>
  <si>
    <t>0                      P  0096000C  43                 C  47          2010</t>
  </si>
  <si>
    <t>Characters in fictional worlds : understanding imaginary beings in literature, film, and other media / edited by Jens Eder, Fotis Jannidis, Ralf Schneider.</t>
  </si>
  <si>
    <t>Berlin ; New York : De Gruyter, ©2010.</t>
  </si>
  <si>
    <t>Revisionen. Grundbegriffe der Literaturtheorie ; 3</t>
  </si>
  <si>
    <t>862211169:eng</t>
  </si>
  <si>
    <t>664352668</t>
  </si>
  <si>
    <t>ocn664352668</t>
  </si>
  <si>
    <t>31033620957</t>
  </si>
  <si>
    <t>9783110232417</t>
  </si>
  <si>
    <t>794843446</t>
  </si>
  <si>
    <t>P96 C652 J3 2019</t>
  </si>
  <si>
    <t>0                      P  0096000C  652                J  3           2019</t>
  </si>
  <si>
    <t>Persistently postwar : media and the politics of memory in Japan / edited by Blai Guarné, Artur Lozano-Mendez and Dolores P. Martinez.</t>
  </si>
  <si>
    <t>New York : Berghahn Books, 2019.</t>
  </si>
  <si>
    <t>5379620365:eng</t>
  </si>
  <si>
    <t>1048290228</t>
  </si>
  <si>
    <t>on1048290228</t>
  </si>
  <si>
    <t>3103808707D</t>
  </si>
  <si>
    <t>9781785339592</t>
  </si>
  <si>
    <t>795060844</t>
  </si>
  <si>
    <t>P96 C74 B76 2003</t>
  </si>
  <si>
    <t>0                      P  0096000C  74                 B  76          2003</t>
  </si>
  <si>
    <t>Crime and law in media culture / Sheila Brown.</t>
  </si>
  <si>
    <t>Brown, Sheila, 1959-</t>
  </si>
  <si>
    <t>Buckingham ; Philadelphia : Open University Press, 2003.</t>
  </si>
  <si>
    <t>190789139:eng</t>
  </si>
  <si>
    <t>50023415</t>
  </si>
  <si>
    <t>ocm50023415</t>
  </si>
  <si>
    <t>31027506023</t>
  </si>
  <si>
    <t>9780335205493</t>
  </si>
  <si>
    <t>793753814</t>
  </si>
  <si>
    <t>P96 C74 C37 2006</t>
  </si>
  <si>
    <t>0                      P  0096000C  74                 C  37          2006</t>
  </si>
  <si>
    <t>Captured by the media : prison discourse in popular culture / edited by Paul Mason.</t>
  </si>
  <si>
    <t>Cullompton, UK ; Portland, Or. : Willan, ©2006.</t>
  </si>
  <si>
    <t>796327995:eng</t>
  </si>
  <si>
    <t>60838308</t>
  </si>
  <si>
    <t>ocm60838308</t>
  </si>
  <si>
    <t>31025462352</t>
  </si>
  <si>
    <t>9781843921455</t>
  </si>
  <si>
    <t>793944971</t>
  </si>
  <si>
    <t>P96 C74 C38 2008</t>
  </si>
  <si>
    <t>0                      P  0096000C  74                 C  38          2008</t>
  </si>
  <si>
    <t>Crime, culture and the media / Eamonn Carrabine.</t>
  </si>
  <si>
    <t>Carrabine, Eamonn.</t>
  </si>
  <si>
    <t>Cambridge, UK ; Malden, MA : Polity, 2008.</t>
  </si>
  <si>
    <t>Crime &amp; society series</t>
  </si>
  <si>
    <t>137789293:eng</t>
  </si>
  <si>
    <t>316861470</t>
  </si>
  <si>
    <t>ocn316861470</t>
  </si>
  <si>
    <t>3102976071Z</t>
  </si>
  <si>
    <t>9780745634654</t>
  </si>
  <si>
    <t>794450146</t>
  </si>
  <si>
    <t>P96 C74 C75 1995</t>
  </si>
  <si>
    <t>0                      P  0096000C  74                 C  75          1995</t>
  </si>
  <si>
    <t>Crime and the media / edited by Richard V. Ericson.</t>
  </si>
  <si>
    <t>Aldershot ; Brookfield, Vt., USA : Dartmouth, ©1995.</t>
  </si>
  <si>
    <t>International library of criminology, criminal justice, and penology</t>
  </si>
  <si>
    <t>10303311:eng</t>
  </si>
  <si>
    <t>31436290</t>
  </si>
  <si>
    <t>ocm31436290</t>
  </si>
  <si>
    <t>3102750596P</t>
  </si>
  <si>
    <t>9781855214330</t>
  </si>
  <si>
    <t>793361393</t>
  </si>
  <si>
    <t>P96 C74 C76 1995</t>
  </si>
  <si>
    <t>0                      P  0096000C  74                 C  76          1995</t>
  </si>
  <si>
    <t>Crime and the media : the post-modern spectacle / edited by David Kidd-Hewitt and Richard Osborne.</t>
  </si>
  <si>
    <t>London ; East Haven, CT : Pluto Press, 1995.</t>
  </si>
  <si>
    <t>836992115:eng</t>
  </si>
  <si>
    <t>33078326</t>
  </si>
  <si>
    <t>ocm33078326</t>
  </si>
  <si>
    <t>3102750594P</t>
  </si>
  <si>
    <t>9780745309125</t>
  </si>
  <si>
    <t>793401159</t>
  </si>
  <si>
    <t>P96 C74 C77 2003</t>
  </si>
  <si>
    <t>0                      P  0096000C  74                 C  77          2003</t>
  </si>
  <si>
    <t>Criminal visions : media representations of crime and justice / edited by Paul Mason.</t>
  </si>
  <si>
    <t>Cullompton, Devon ; Portland, Ore. : Willan, 2003.</t>
  </si>
  <si>
    <t>793072476:eng</t>
  </si>
  <si>
    <t>51779614</t>
  </si>
  <si>
    <t>ocm51779614</t>
  </si>
  <si>
    <t>3102750591P</t>
  </si>
  <si>
    <t>9781843920144</t>
  </si>
  <si>
    <t>793790933</t>
  </si>
  <si>
    <t>P96 C74 D4613 2014</t>
  </si>
  <si>
    <t>0                      P  0096000C  74                 D  4613        2014</t>
  </si>
  <si>
    <t>Caught on camera : film in the courtroom from the Nuremberg trials to the trials of the Khmer Rouge / Christian Delage ; edited and translated by Ralph Schoolcraft and Mary Byrd Kelly.</t>
  </si>
  <si>
    <t>Delage, Christian.</t>
  </si>
  <si>
    <t>Philadelphia : University of Pennsylvania Press, ©2014.</t>
  </si>
  <si>
    <t>Critical authors and issues series</t>
  </si>
  <si>
    <t>1312319355:eng</t>
  </si>
  <si>
    <t>842880456</t>
  </si>
  <si>
    <t>ocn842880456</t>
  </si>
  <si>
    <t>31035658398</t>
  </si>
  <si>
    <t>9780812245561</t>
  </si>
  <si>
    <t>794947680</t>
  </si>
  <si>
    <t>P96 C74 F73 2010</t>
  </si>
  <si>
    <t>0                      P  0096000C  74                 F  73          2010</t>
  </si>
  <si>
    <t>Framing crime : cultural criminology and the image / edited by Keith J. Hayward and Mike Presdee.</t>
  </si>
  <si>
    <t>2016-11-16</t>
  </si>
  <si>
    <t>1011774377:eng</t>
  </si>
  <si>
    <t>176946525</t>
  </si>
  <si>
    <t>ocn176946525</t>
  </si>
  <si>
    <t>3103131695K</t>
  </si>
  <si>
    <t>9780415459037</t>
  </si>
  <si>
    <t>794278024</t>
  </si>
  <si>
    <t>P96 C74 G74 2010</t>
  </si>
  <si>
    <t>0                      P  0096000C  74                 G  74          2010</t>
  </si>
  <si>
    <t>Crime and media : a reader / edited by Chris Greer.</t>
  </si>
  <si>
    <t>Routledge student readers</t>
  </si>
  <si>
    <t>864338949:eng</t>
  </si>
  <si>
    <t>166378608</t>
  </si>
  <si>
    <t>ocn166378608</t>
  </si>
  <si>
    <t>3103097356Q</t>
  </si>
  <si>
    <t>9780415422390</t>
  </si>
  <si>
    <t>794260878</t>
  </si>
  <si>
    <t>P96 C74 H68 1998</t>
  </si>
  <si>
    <t>0                      P  0096000C  74                 H  68          1998</t>
  </si>
  <si>
    <t>Crime, the media, and the law / Dennis Howitt.</t>
  </si>
  <si>
    <t>Howitt, Dennis.</t>
  </si>
  <si>
    <t>Chichester [England] ; New York : Wiley, ©1998.</t>
  </si>
  <si>
    <t>Wiley series in the psychology of crime, policing, and law</t>
  </si>
  <si>
    <t>550899:eng</t>
  </si>
  <si>
    <t>37806100</t>
  </si>
  <si>
    <t>ocm37806100</t>
  </si>
  <si>
    <t>3102750590P</t>
  </si>
  <si>
    <t>9780471969051</t>
  </si>
  <si>
    <t>793507466</t>
  </si>
  <si>
    <t>P96 C74 J48 2004</t>
  </si>
  <si>
    <t>0                      P  0096000C  74                 J  48          2004</t>
  </si>
  <si>
    <t>Media and crime / Yvonne Jewkes.</t>
  </si>
  <si>
    <t>Jewkes, Yvonne, 1966-</t>
  </si>
  <si>
    <t>London ; Thousand Oaks : SAGE, ©2004.</t>
  </si>
  <si>
    <t>Key approaches to criminology</t>
  </si>
  <si>
    <t>1044928:eng</t>
  </si>
  <si>
    <t>55970796</t>
  </si>
  <si>
    <t>ocm55970796</t>
  </si>
  <si>
    <t>3102750589R</t>
  </si>
  <si>
    <t>9780761947653</t>
  </si>
  <si>
    <t>793884902</t>
  </si>
  <si>
    <t>2015-02-07</t>
  </si>
  <si>
    <t>3102750586R</t>
  </si>
  <si>
    <t>793884901</t>
  </si>
  <si>
    <t>P96 C74 J48 2011</t>
  </si>
  <si>
    <t>0                      P  0096000C  74                 J  48          2011</t>
  </si>
  <si>
    <t>Media &amp; crime : a critical introduction / Yvonne Jewkes.</t>
  </si>
  <si>
    <t>2015-01-25</t>
  </si>
  <si>
    <t>651078213</t>
  </si>
  <si>
    <t>ocn651078213</t>
  </si>
  <si>
    <t>3103233901F</t>
  </si>
  <si>
    <t>9781848607033</t>
  </si>
  <si>
    <t>794832836</t>
  </si>
  <si>
    <t>P96 C74 M37 2009</t>
  </si>
  <si>
    <t>0                      P  0096000C  74                 M  37          2009</t>
  </si>
  <si>
    <t>Crime, justice and the media / Ian Marsh and Gaynor Melville.</t>
  </si>
  <si>
    <t>Marsh, Ian, 1952-</t>
  </si>
  <si>
    <t>112903370:eng</t>
  </si>
  <si>
    <t>166379414</t>
  </si>
  <si>
    <t>ocn166379414</t>
  </si>
  <si>
    <t>3102856519B</t>
  </si>
  <si>
    <t>9780415444903</t>
  </si>
  <si>
    <t>794260934</t>
  </si>
  <si>
    <t>P96 C74 M43 1994</t>
  </si>
  <si>
    <t>0                      P  0096000C  74                 M  43          1994</t>
  </si>
  <si>
    <t>Media, process, and the social construction of crime : studies in newsmaking criminology / edited by Gregg Barak.</t>
  </si>
  <si>
    <t>New York : Garland Pub., 1994.</t>
  </si>
  <si>
    <t>Garland reference library of the humanities ; v. 1690. Current issues in criminal justice ; v. 10</t>
  </si>
  <si>
    <t>2016-03-27</t>
  </si>
  <si>
    <t>836955540:eng</t>
  </si>
  <si>
    <t>29361272</t>
  </si>
  <si>
    <t>ocm29361272</t>
  </si>
  <si>
    <t>3102750584R</t>
  </si>
  <si>
    <t>9780815312598</t>
  </si>
  <si>
    <t>793309087</t>
  </si>
  <si>
    <t>P96 C74 R334 2010</t>
  </si>
  <si>
    <t>0                      P  0096000C  74                 R  334         2010</t>
  </si>
  <si>
    <t>Race, crime and the media / Robert L. Bing III [editor].</t>
  </si>
  <si>
    <t>Bing, Robert L.</t>
  </si>
  <si>
    <t>New York : McGraw Hill, ©2010.</t>
  </si>
  <si>
    <t>2012-03-01</t>
  </si>
  <si>
    <t>198594892:eng</t>
  </si>
  <si>
    <t>320802993</t>
  </si>
  <si>
    <t>ocn320802993</t>
  </si>
  <si>
    <t>3103322656H</t>
  </si>
  <si>
    <t>9780073401560</t>
  </si>
  <si>
    <t>794487107</t>
  </si>
  <si>
    <t>P96 C74 S87 1992</t>
  </si>
  <si>
    <t>0                      P  0096000C  74                 S  87          1992</t>
  </si>
  <si>
    <t>Media, crime, and criminal justice : images and realities / Ray Surette.</t>
  </si>
  <si>
    <t>Surette, Ray.</t>
  </si>
  <si>
    <t>Pacific Grove, Calif. : Brooks/Cole Pub. Co., ©1992.</t>
  </si>
  <si>
    <t>Contemporary issues in crime and justice series</t>
  </si>
  <si>
    <t>836863180:eng</t>
  </si>
  <si>
    <t>23689954</t>
  </si>
  <si>
    <t>ocm23689954</t>
  </si>
  <si>
    <t>3102750587R</t>
  </si>
  <si>
    <t>9780534164409</t>
  </si>
  <si>
    <t>793179923</t>
  </si>
  <si>
    <t>P96 C74 S87 1998</t>
  </si>
  <si>
    <t>0                      P  0096000C  74                 S  87          1998</t>
  </si>
  <si>
    <t>Surette, Ray, author.</t>
  </si>
  <si>
    <t>Belmont, CA : Wadsworth Pub., [1998]</t>
  </si>
  <si>
    <t>36858087</t>
  </si>
  <si>
    <t>ocm36858087</t>
  </si>
  <si>
    <t>3102750579T</t>
  </si>
  <si>
    <t>9780534508630</t>
  </si>
  <si>
    <t>793485926</t>
  </si>
  <si>
    <t>P96 C74 S87 2007</t>
  </si>
  <si>
    <t>0                      P  0096000C  74                 S  87          2007</t>
  </si>
  <si>
    <t>Media, crime, and criminal justice : images, realities, and policies / Ray Surette.</t>
  </si>
  <si>
    <t>Belmont, CA : Thomson/Wadsworth, ©2007.</t>
  </si>
  <si>
    <t>Wadsworth contemporary issues in crime and justice series</t>
  </si>
  <si>
    <t>68045661</t>
  </si>
  <si>
    <t>ocm68045661</t>
  </si>
  <si>
    <t>31025964780</t>
  </si>
  <si>
    <t>9780534551476</t>
  </si>
  <si>
    <t>794142179</t>
  </si>
  <si>
    <t>P96 C742 G73 2014</t>
  </si>
  <si>
    <t>0                      P  0096000C  742                G  73          2014</t>
  </si>
  <si>
    <t>Print culture, crime and justice in eighteenth-century London / Richard M. Ward.</t>
  </si>
  <si>
    <t>Ward, Richard M., author.</t>
  </si>
  <si>
    <t>History of crime, deviance and punishment</t>
  </si>
  <si>
    <t>2019-12-06</t>
  </si>
  <si>
    <t>1391165521:eng</t>
  </si>
  <si>
    <t>857981678</t>
  </si>
  <si>
    <t>ocn857981678</t>
  </si>
  <si>
    <t>31035675585</t>
  </si>
  <si>
    <t>9781472506856</t>
  </si>
  <si>
    <t>794955694</t>
  </si>
  <si>
    <t>P96 C742 G775 2012</t>
  </si>
  <si>
    <t>0                      P  0096000C  742                G  775         2012</t>
  </si>
  <si>
    <t>Crime, policy and the media : the shaping of criminal justice, 1989-2010 / Jon Silverman.</t>
  </si>
  <si>
    <t>Silverman, Jon.</t>
  </si>
  <si>
    <t>766990880:eng</t>
  </si>
  <si>
    <t>694393752</t>
  </si>
  <si>
    <t>ocn694393752</t>
  </si>
  <si>
    <t>31033823154</t>
  </si>
  <si>
    <t>9780415672313</t>
  </si>
  <si>
    <t>794857526</t>
  </si>
  <si>
    <t>P96 C742 U63 2001</t>
  </si>
  <si>
    <t>0                      P  0096000C  742                U  63          2001</t>
  </si>
  <si>
    <t>Tabloid justice : criminal justice in an age of media frenzy / Richard L. Fox, Robert W. Van Sickel.</t>
  </si>
  <si>
    <t>Fox, Richard Logan.</t>
  </si>
  <si>
    <t>Boulder, CO : L. Rienner, 2001.</t>
  </si>
  <si>
    <t>287834255:eng</t>
  </si>
  <si>
    <t>44268110</t>
  </si>
  <si>
    <t>ocm44268110</t>
  </si>
  <si>
    <t>3102750588R</t>
  </si>
  <si>
    <t>9781555879136</t>
  </si>
  <si>
    <t>793644773</t>
  </si>
  <si>
    <t>P96 C742 U63 2007</t>
  </si>
  <si>
    <t>0                      P  0096000C  742                U  63          2007</t>
  </si>
  <si>
    <t>Tabloid justice : criminal justice in an age of media frenzy / Richard L. Fox, Robert W. Van Sickel, Thomas L. Steiger.</t>
  </si>
  <si>
    <t>Boulder : Lynne Rienner Publishers, 2007.</t>
  </si>
  <si>
    <t>77573897</t>
  </si>
  <si>
    <t>ocm77573897</t>
  </si>
  <si>
    <t>3102641345B</t>
  </si>
  <si>
    <t>9781588265326</t>
  </si>
  <si>
    <t>794192452</t>
  </si>
  <si>
    <t>P96 C742 U638 2012</t>
  </si>
  <si>
    <t>0                      P  0096000C  742                U  638         2012</t>
  </si>
  <si>
    <t>The harms of crime media : essays on the perpetuation of racism, sexism and class stereotypes / edited by Denise L. Bissler and Joan L. Conners.</t>
  </si>
  <si>
    <t>1106148899:eng</t>
  </si>
  <si>
    <t>757462042</t>
  </si>
  <si>
    <t>ocn757462042</t>
  </si>
  <si>
    <t>3103431630E</t>
  </si>
  <si>
    <t>9780786463800</t>
  </si>
  <si>
    <t>794895369</t>
  </si>
  <si>
    <t>P96 C742 U67 2011</t>
  </si>
  <si>
    <t>0                      P  0096000C  742                U  67          2011</t>
  </si>
  <si>
    <t>Media and criminal justice : the CSI effect / Dennis J. Stevens.</t>
  </si>
  <si>
    <t>Stevens, Dennis J.</t>
  </si>
  <si>
    <t>Sudbury, Mass. : Jones and Bartlett, ©2010.</t>
  </si>
  <si>
    <t>198596774:eng</t>
  </si>
  <si>
    <t>320804466</t>
  </si>
  <si>
    <t>ocn320804466</t>
  </si>
  <si>
    <t>3103097368O</t>
  </si>
  <si>
    <t>9780763755317</t>
  </si>
  <si>
    <t>794487153</t>
  </si>
  <si>
    <t>P96 C76 C483 2014</t>
  </si>
  <si>
    <t>0                      P  0096000C  76                 C  483         2014</t>
  </si>
  <si>
    <t>Critical studies in communication and society / edited by Jin Cao, Vincent Mosco, Leslie Regan Shade = Chuan bo yu she hui de pi pan yan jiu / Cao jin, (Jia) Wensente Mosike, Laisili Ligen Xiede zhu bian.</t>
  </si>
  <si>
    <t>Shanghai : Shanghai yi wen chu ban she, 2014.</t>
  </si>
  <si>
    <t>2886381336:eng</t>
  </si>
  <si>
    <t>935073111</t>
  </si>
  <si>
    <t>ocn935073111</t>
  </si>
  <si>
    <t>31036673632</t>
  </si>
  <si>
    <t>9787532763160</t>
  </si>
  <si>
    <t>795009922</t>
  </si>
  <si>
    <t>P96 C76 C73 1991</t>
  </si>
  <si>
    <t>0                      P  0096000C  76                 C  73          1991</t>
  </si>
  <si>
    <t>Critical perspectives on media and society / editors, Robert K. Avery, David Eason.</t>
  </si>
  <si>
    <t>New York : Guilford Press, ©1991.</t>
  </si>
  <si>
    <t>The Guilford communication series</t>
  </si>
  <si>
    <t>350387660:eng</t>
  </si>
  <si>
    <t>24010537</t>
  </si>
  <si>
    <t>ocm24010537</t>
  </si>
  <si>
    <t>3102750580R</t>
  </si>
  <si>
    <t>9780898623154</t>
  </si>
  <si>
    <t>793187359</t>
  </si>
  <si>
    <t>P96 C76 C75 1992</t>
  </si>
  <si>
    <t>0                      P  0096000C  76                 C  75          1992</t>
  </si>
  <si>
    <t>Critical studies of Canadian mass media / edited by Marc Grenier.</t>
  </si>
  <si>
    <t>Toronto : Butterworths, 1992.</t>
  </si>
  <si>
    <t>2019-11-17</t>
  </si>
  <si>
    <t>32880038:eng</t>
  </si>
  <si>
    <t>30920497</t>
  </si>
  <si>
    <t>ocm30920497</t>
  </si>
  <si>
    <t>3102750578T</t>
  </si>
  <si>
    <t>9780409906356</t>
  </si>
  <si>
    <t>793349149</t>
  </si>
  <si>
    <t>P96 C76 D4 2000</t>
  </si>
  <si>
    <t>0                      P  0096000C  76                 D  4           2000</t>
  </si>
  <si>
    <t>De-Westernizing media studies / edited by James Curran and Myung-Jin Park.</t>
  </si>
  <si>
    <t>2017-05-23</t>
  </si>
  <si>
    <t>766939138:eng</t>
  </si>
  <si>
    <t>50664882</t>
  </si>
  <si>
    <t>ocm50664882</t>
  </si>
  <si>
    <t>3102750582R</t>
  </si>
  <si>
    <t>9780415193948</t>
  </si>
  <si>
    <t>793770062</t>
  </si>
  <si>
    <t>P96 C76 L5 2016</t>
  </si>
  <si>
    <t>0                      P  0096000C  76                 L  5           2016</t>
  </si>
  <si>
    <t>Wen hua ying you de chao yue = Ce que la transcendance culturelle devrait être = Towards cultural transcendence / Li Pingqing zhu.</t>
  </si>
  <si>
    <t>Li, Pingqing, author.</t>
  </si>
  <si>
    <t>Montreal : Ling 7 publication, 2016.</t>
  </si>
  <si>
    <t>Qing zhu Qi tian chuan mei 10 zhou nian xi lie ji nian cong shu</t>
  </si>
  <si>
    <t>8872098911:chi</t>
  </si>
  <si>
    <t>1083096721</t>
  </si>
  <si>
    <t>on1083096721</t>
  </si>
  <si>
    <t>31038616393</t>
  </si>
  <si>
    <t>9780988133020</t>
  </si>
  <si>
    <t>795077964</t>
  </si>
  <si>
    <t>P96 C76 S76 2011</t>
  </si>
  <si>
    <t>0                      P  0096000C  76                 S  76          2011</t>
  </si>
  <si>
    <t>Critical media analysis : an introduction for media professionals / MatteoStocchetti, Karin Kukkonen.</t>
  </si>
  <si>
    <t>Stocchetti, Matteo.</t>
  </si>
  <si>
    <t>2011-09-30</t>
  </si>
  <si>
    <t>866221459:eng</t>
  </si>
  <si>
    <t>690539577</t>
  </si>
  <si>
    <t>ocn690539577</t>
  </si>
  <si>
    <t>3103233330R</t>
  </si>
  <si>
    <t>9783631605844</t>
  </si>
  <si>
    <t>794855482</t>
  </si>
  <si>
    <t>P96 C76 S78 1986</t>
  </si>
  <si>
    <t>0                      P  0096000C  76                 S  78          1986</t>
  </si>
  <si>
    <t>Studies in entertainment : critical approaches to mass culture / edited by Tania Modleski.</t>
  </si>
  <si>
    <t>Bloomington : Indiana University Press, ©1986.</t>
  </si>
  <si>
    <t>Theories of contemporary culture ; v. 7</t>
  </si>
  <si>
    <t>2019-08-03</t>
  </si>
  <si>
    <t>799330170:eng</t>
  </si>
  <si>
    <t>13269816</t>
  </si>
  <si>
    <t>ocm13269816</t>
  </si>
  <si>
    <t>3102683253L</t>
  </si>
  <si>
    <t>9780253355669</t>
  </si>
  <si>
    <t>792846692</t>
  </si>
  <si>
    <t>31010232425</t>
  </si>
  <si>
    <t>792846691</t>
  </si>
  <si>
    <t>P96 C76 W47 1990</t>
  </si>
  <si>
    <t>0                      P  0096000C  76                 W  47          1990</t>
  </si>
  <si>
    <t>The media and public issues : a guide for teaching critical mindedness / Walter Werner and Kenneth Nixon ; general editor and project director, Richard Butt.</t>
  </si>
  <si>
    <t>Werner, Walter.</t>
  </si>
  <si>
    <t>London, Ont. : Althouse Press, 1990.</t>
  </si>
  <si>
    <t>381625:eng</t>
  </si>
  <si>
    <t>22118700</t>
  </si>
  <si>
    <t>ocm22118700</t>
  </si>
  <si>
    <t>3100484138D</t>
  </si>
  <si>
    <t>9780920354278</t>
  </si>
  <si>
    <t>793134678</t>
  </si>
  <si>
    <t>P96 D36 C66 2003</t>
  </si>
  <si>
    <t>0                      P  0096000D  36                 C  66          2003</t>
  </si>
  <si>
    <t>Communication and cyberspace : social interaction in an electronic environment / edited by Lance Strate, Ron L. Jacobson, Stephanie B. Gibson.</t>
  </si>
  <si>
    <t>Creskill, N.J. : Hampton Press, ©2003.</t>
  </si>
  <si>
    <t>The Hampton Press communication series. Communication and public space</t>
  </si>
  <si>
    <t>905363659:eng</t>
  </si>
  <si>
    <t>49977262</t>
  </si>
  <si>
    <t>ocm49977262</t>
  </si>
  <si>
    <t>3102750664S</t>
  </si>
  <si>
    <t>9781572733930</t>
  </si>
  <si>
    <t>793752717</t>
  </si>
  <si>
    <t>P96 D36 M85 2007</t>
  </si>
  <si>
    <t>0                      P  0096000D  36                 M  85          2007</t>
  </si>
  <si>
    <t>The multilingual Internet : language, culture, and communication online / edited by Brenda Danet and Susan C. Herring.</t>
  </si>
  <si>
    <t>1064349111:eng</t>
  </si>
  <si>
    <t>67405669</t>
  </si>
  <si>
    <t>ocm67405669</t>
  </si>
  <si>
    <t>3102596757W</t>
  </si>
  <si>
    <t>9780195304794</t>
  </si>
  <si>
    <t>794140785</t>
  </si>
  <si>
    <t>P96 D36 W67 2000</t>
  </si>
  <si>
    <t>0                      P  0096000D  36                 W  67          2000</t>
  </si>
  <si>
    <t>Words on the web : computer mediated communication / edited by Lyn Pemberton, Simon Shurville.</t>
  </si>
  <si>
    <t>Exeter, England ; Portland, OR, USA : Intellect, 2000.</t>
  </si>
  <si>
    <t>1044411287:eng</t>
  </si>
  <si>
    <t>46365954</t>
  </si>
  <si>
    <t>ocm46365954</t>
  </si>
  <si>
    <t>3102750651U</t>
  </si>
  <si>
    <t>9781871516562</t>
  </si>
  <si>
    <t>793683398</t>
  </si>
  <si>
    <t>P96 D37 S77 2007</t>
  </si>
  <si>
    <t>0                      P  0096000D  37                 S  77          2007</t>
  </si>
  <si>
    <t>James Dean transfigured : the many faces of rebel iconography / Claudia Springer.</t>
  </si>
  <si>
    <t>Springer, Claudia, 1956-</t>
  </si>
  <si>
    <t>Austin : University of Texas Press, 2007.</t>
  </si>
  <si>
    <t>800964361:eng</t>
  </si>
  <si>
    <t>70884927</t>
  </si>
  <si>
    <t>ocm70884927</t>
  </si>
  <si>
    <t>31025964486</t>
  </si>
  <si>
    <t>9780292714434</t>
  </si>
  <si>
    <t>794161007</t>
  </si>
  <si>
    <t>P96 D382 G74 2013</t>
  </si>
  <si>
    <t>0                      P  0096000D  382                G  74          2013</t>
  </si>
  <si>
    <t>Oppositions and ideology in news discourse / Matt Davies.</t>
  </si>
  <si>
    <t>Davies, Matt.</t>
  </si>
  <si>
    <t>1167054627:eng</t>
  </si>
  <si>
    <t>809456909</t>
  </si>
  <si>
    <t>ocn809456909</t>
  </si>
  <si>
    <t>31034328492</t>
  </si>
  <si>
    <t>9781441180605</t>
  </si>
  <si>
    <t>794928459</t>
  </si>
  <si>
    <t>P96 D45 S36 2014</t>
  </si>
  <si>
    <t>0                      P  0096000D  45                 S  36          2014</t>
  </si>
  <si>
    <t>Media and development / Martin Scott.</t>
  </si>
  <si>
    <t>Scott, Martin, 1982- author.</t>
  </si>
  <si>
    <t>London ; New York : Zed Books, 2014.</t>
  </si>
  <si>
    <t>Development matters</t>
  </si>
  <si>
    <t>2014-09-05</t>
  </si>
  <si>
    <t>1886431705:eng</t>
  </si>
  <si>
    <t>872985669</t>
  </si>
  <si>
    <t>ocn872985669</t>
  </si>
  <si>
    <t>3103531952W</t>
  </si>
  <si>
    <t>9781780325514</t>
  </si>
  <si>
    <t>794968336</t>
  </si>
  <si>
    <t>P96 D62 C65 1997</t>
  </si>
  <si>
    <t>0                      P  0096000D  62                 C  65          1997</t>
  </si>
  <si>
    <t>Doing documentary work / Robert Coles.</t>
  </si>
  <si>
    <t>Coles, Robert, author.</t>
  </si>
  <si>
    <t>New York : New York Public Library : Oxford University Press, 1997.</t>
  </si>
  <si>
    <t>597356:eng</t>
  </si>
  <si>
    <t>36379674</t>
  </si>
  <si>
    <t>ocm36379674</t>
  </si>
  <si>
    <t>3102750650U</t>
  </si>
  <si>
    <t>9780195116298</t>
  </si>
  <si>
    <t>793473869</t>
  </si>
  <si>
    <t>P96 D62 I43 2007</t>
  </si>
  <si>
    <t>0                      P  0096000D  62                 I  43          2007</t>
  </si>
  <si>
    <t>The image and the witness : trauma, memory and visual culture / edited by Frances Guerin and Roger Hallas.</t>
  </si>
  <si>
    <t>London ; New York : Wallflower Press, 2007.</t>
  </si>
  <si>
    <t>Nonfictions</t>
  </si>
  <si>
    <t>2019-03-07</t>
  </si>
  <si>
    <t>865293204:eng</t>
  </si>
  <si>
    <t>144223479</t>
  </si>
  <si>
    <t>ocn144223479</t>
  </si>
  <si>
    <t>3102573437U</t>
  </si>
  <si>
    <t>9781905674190</t>
  </si>
  <si>
    <t>794235473</t>
  </si>
  <si>
    <t>P96 D62 R48 2008</t>
  </si>
  <si>
    <t>0                      P  0096000D  62                 R  48          2008</t>
  </si>
  <si>
    <t>Rethinking documentary : new perspectives, new practices / edited by Thomas Austin and Wilma de Jong.</t>
  </si>
  <si>
    <t>Maidenhead, Berkshire, England ; New York : Open University Press/McGraw Hill Education, 2008.</t>
  </si>
  <si>
    <t>945241788:eng</t>
  </si>
  <si>
    <t>190967323</t>
  </si>
  <si>
    <t>ocn190967323</t>
  </si>
  <si>
    <t>31028539377</t>
  </si>
  <si>
    <t>9780335221912</t>
  </si>
  <si>
    <t>794296581</t>
  </si>
  <si>
    <t>P96 D78 D78 2012</t>
  </si>
  <si>
    <t>0                      P  0096000D  78                 D  78          2012</t>
  </si>
  <si>
    <t>Drugs &amp; media : new perspectives on communication, consumption, and consciousness / [edited by] Robert C. MacDougall.</t>
  </si>
  <si>
    <t>New York : Continuum, ©2012.</t>
  </si>
  <si>
    <t>766994126:eng</t>
  </si>
  <si>
    <t>694396636</t>
  </si>
  <si>
    <t>ocn694396636</t>
  </si>
  <si>
    <t>31034066399</t>
  </si>
  <si>
    <t>9781441134929</t>
  </si>
  <si>
    <t>794857658</t>
  </si>
  <si>
    <t>P96 E25 A483 2010</t>
  </si>
  <si>
    <t>0                      P  0096000E  25                 A  483         2010</t>
  </si>
  <si>
    <t>The media economy / Alan B. Albarran.</t>
  </si>
  <si>
    <t>Albarran, Alan B.</t>
  </si>
  <si>
    <t>New York : Routledge/Taylor &amp; Francis, 2010.</t>
  </si>
  <si>
    <t>Media management and economics series</t>
  </si>
  <si>
    <t>159799960:eng</t>
  </si>
  <si>
    <t>223810649</t>
  </si>
  <si>
    <t>ocn223810649</t>
  </si>
  <si>
    <t>3103231599H</t>
  </si>
  <si>
    <t>9780415990455</t>
  </si>
  <si>
    <t>794336544</t>
  </si>
  <si>
    <t>P96 E25 A92</t>
  </si>
  <si>
    <t>0                      P  0096000E  25                 A  92</t>
  </si>
  <si>
    <t>Canada's cultural industries : broadcasting, publishing, records, and film / Paul Audley.</t>
  </si>
  <si>
    <t>Audley, Paul.</t>
  </si>
  <si>
    <t>Toronto : J. Lorimer, in association with the Canadian Institute for Economic Policy, 1983.</t>
  </si>
  <si>
    <t>Canada Institute for Economic Policy series</t>
  </si>
  <si>
    <t>2008-03-27</t>
  </si>
  <si>
    <t>865268101:eng</t>
  </si>
  <si>
    <t>9753070</t>
  </si>
  <si>
    <t>ocm09753070</t>
  </si>
  <si>
    <t>3102750648W</t>
  </si>
  <si>
    <t>9780888624581</t>
  </si>
  <si>
    <t>792691695</t>
  </si>
  <si>
    <t>3102750657U</t>
  </si>
  <si>
    <t>792691696</t>
  </si>
  <si>
    <t>2004-11-26</t>
  </si>
  <si>
    <t>3102750653U</t>
  </si>
  <si>
    <t>792691697</t>
  </si>
  <si>
    <t>P96 E25 B34 2004</t>
  </si>
  <si>
    <t>0                      P  0096000E  25                 B  34          2004</t>
  </si>
  <si>
    <t>The new media monopoly / Ben H. Bagdikian.</t>
  </si>
  <si>
    <t>Boston : Beacon Press, ©2004.</t>
  </si>
  <si>
    <t>3373311216:eng</t>
  </si>
  <si>
    <t>53215789</t>
  </si>
  <si>
    <t>ocm53215789</t>
  </si>
  <si>
    <t>3102384552Q</t>
  </si>
  <si>
    <t>9780807061879</t>
  </si>
  <si>
    <t>793823846</t>
  </si>
  <si>
    <t>2012-04-29</t>
  </si>
  <si>
    <t>3102750645W</t>
  </si>
  <si>
    <t>793823847</t>
  </si>
  <si>
    <t>P96 E25 B48 2012</t>
  </si>
  <si>
    <t>0                      P  0096000E  25                 B  48          2012</t>
  </si>
  <si>
    <t>Big media, big money : cultural texts and political economics / Ronald V. Bettig and Jeanne Lynn Hall.</t>
  </si>
  <si>
    <t>Bettig, Ronald V.</t>
  </si>
  <si>
    <t>Lanham, Md. : Rowman &amp; Littlefield Publishers, Inc., ©2012.</t>
  </si>
  <si>
    <t>2016-08-26</t>
  </si>
  <si>
    <t>1038969:eng</t>
  </si>
  <si>
    <t>755698771</t>
  </si>
  <si>
    <t>ocn755698771</t>
  </si>
  <si>
    <t>3103430236U</t>
  </si>
  <si>
    <t>9781442204270</t>
  </si>
  <si>
    <t>794893851</t>
  </si>
  <si>
    <t>P96 E25 D69 2013</t>
  </si>
  <si>
    <t>0                      P  0096000E  25                 D  69          2013</t>
  </si>
  <si>
    <t>Understanding media economics / Gillian Doyle.</t>
  </si>
  <si>
    <t>Doyle, Gillian.</t>
  </si>
  <si>
    <t>Los Angeles, California ; London : SAGE, [2013]</t>
  </si>
  <si>
    <t>1045084:eng</t>
  </si>
  <si>
    <t>843035164</t>
  </si>
  <si>
    <t>ocn843035164</t>
  </si>
  <si>
    <t>3103500494L</t>
  </si>
  <si>
    <t>9781412930765</t>
  </si>
  <si>
    <t>794947812</t>
  </si>
  <si>
    <t>P96 E25 E53 2013</t>
  </si>
  <si>
    <t>0                      P  0096000E  25                 E  53          2013</t>
  </si>
  <si>
    <t>Blockbusters : hit-making, risk-taking, and the big business of entertainment / Anita Elberse.</t>
  </si>
  <si>
    <t>Elberse, Anita.</t>
  </si>
  <si>
    <t>New York : Henry Holt and Company, [2013]</t>
  </si>
  <si>
    <t>1412701022:eng</t>
  </si>
  <si>
    <t>827256545</t>
  </si>
  <si>
    <t>ocn827256545</t>
  </si>
  <si>
    <t>3103502674B</t>
  </si>
  <si>
    <t>9780805094336</t>
  </si>
  <si>
    <t>794939894</t>
  </si>
  <si>
    <t>P96 E25 G573 2017</t>
  </si>
  <si>
    <t>0                      P  0096000E  25                 G  573         2017</t>
  </si>
  <si>
    <t>Global media giants / edited by Benjamin J. Birkinbine, Rodrigo Gómez, and Janet Wasko.</t>
  </si>
  <si>
    <t>2939698793:eng</t>
  </si>
  <si>
    <t>954007345</t>
  </si>
  <si>
    <t>ocn954007345</t>
  </si>
  <si>
    <t>3103657034R</t>
  </si>
  <si>
    <t>9781138927704</t>
  </si>
  <si>
    <t>795019535</t>
  </si>
  <si>
    <t>P96 E25 H355 2011</t>
  </si>
  <si>
    <t>0                      P  0096000E  25                 H  355         2011</t>
  </si>
  <si>
    <t>The handbook of political economy of communications / edited by Janet Wasko, Graham Murdock, and Helena Sousa.</t>
  </si>
  <si>
    <t>Chichester, West Sussex ; Malden, MA : Wiley-Blackwell, 2011.</t>
  </si>
  <si>
    <t>768838010:eng</t>
  </si>
  <si>
    <t>679941456</t>
  </si>
  <si>
    <t>ocn679941456</t>
  </si>
  <si>
    <t>3103234907B</t>
  </si>
  <si>
    <t>9781405188807</t>
  </si>
  <si>
    <t>794850973</t>
  </si>
  <si>
    <t>P96 E25 M435 2011</t>
  </si>
  <si>
    <t>0                      P  0096000E  25                 M  435         2011</t>
  </si>
  <si>
    <t>Media, structures, and power : the Robert E. Babe collection / edited by Edward A. Comor.</t>
  </si>
  <si>
    <t>Toronto : University of Toronto Press, ©2011.</t>
  </si>
  <si>
    <t>2012-07-05</t>
  </si>
  <si>
    <t>902768792:eng</t>
  </si>
  <si>
    <t>726556378</t>
  </si>
  <si>
    <t>ocn726556378</t>
  </si>
  <si>
    <t>3103325975T</t>
  </si>
  <si>
    <t>9780802098603</t>
  </si>
  <si>
    <t>794877200</t>
  </si>
  <si>
    <t>P96 E25 M67 1996</t>
  </si>
  <si>
    <t>0                      P  0096000E  25                 M  67          1996</t>
  </si>
  <si>
    <t>The political economy of communication : rethinking and renewal / Vincent Mosco.</t>
  </si>
  <si>
    <t>Mosco, Vincent.</t>
  </si>
  <si>
    <t>London ; Thousand Oaks, Calif. : Sage Publications, 1996.</t>
  </si>
  <si>
    <t>The media, culture &amp; society series</t>
  </si>
  <si>
    <t>4160762964:eng</t>
  </si>
  <si>
    <t>35844216</t>
  </si>
  <si>
    <t>ocm35844216</t>
  </si>
  <si>
    <t>3102750625$</t>
  </si>
  <si>
    <t>9780803985605</t>
  </si>
  <si>
    <t>793458862</t>
  </si>
  <si>
    <t>P96 E25 M67 2009</t>
  </si>
  <si>
    <t>0                      P  0096000E  25                 M  67          2009</t>
  </si>
  <si>
    <t>The political economy of communication / Vincent Mosco.</t>
  </si>
  <si>
    <t>Mosco, Vincent, author.</t>
  </si>
  <si>
    <t>300402241</t>
  </si>
  <si>
    <t>ocn300402241</t>
  </si>
  <si>
    <t>3103080083P</t>
  </si>
  <si>
    <t>9781412947015</t>
  </si>
  <si>
    <t>794431457</t>
  </si>
  <si>
    <t>P96 E25 P528 2011</t>
  </si>
  <si>
    <t>0                      P  0096000E  25                 P  528         2011</t>
  </si>
  <si>
    <t>The economics and financing of media companies / Robert G. Picard.</t>
  </si>
  <si>
    <t>Picard, Robert G.</t>
  </si>
  <si>
    <t>New York : Fordham University Press, ©2011.</t>
  </si>
  <si>
    <t>2011-11-17</t>
  </si>
  <si>
    <t>1020585:eng</t>
  </si>
  <si>
    <t>657270860</t>
  </si>
  <si>
    <t>ocn657270860</t>
  </si>
  <si>
    <t>31033625266</t>
  </si>
  <si>
    <t>9780823232567</t>
  </si>
  <si>
    <t>794835420</t>
  </si>
  <si>
    <t>P96 E25 R68 2016</t>
  </si>
  <si>
    <t>0                      P  0096000E  25                 R  68          2016</t>
  </si>
  <si>
    <t>The Routledge companion to labor and media / edited by Richard Maxwell.</t>
  </si>
  <si>
    <t>New York : Routledge, Taylor &amp; Francis Group, 2016.</t>
  </si>
  <si>
    <t>Routledge companions</t>
  </si>
  <si>
    <t>2017-06-02</t>
  </si>
  <si>
    <t>2295536807:eng</t>
  </si>
  <si>
    <t>903363376</t>
  </si>
  <si>
    <t>ocn903363376</t>
  </si>
  <si>
    <t>3103607841S</t>
  </si>
  <si>
    <t>9780415837446</t>
  </si>
  <si>
    <t>794989052</t>
  </si>
  <si>
    <t>P96 E25 S35 2010</t>
  </si>
  <si>
    <t>0                      P  0096000E  25                 S  35          2010</t>
  </si>
  <si>
    <t>Words and money / André Schiffrin.</t>
  </si>
  <si>
    <t>Schiffrin, André.</t>
  </si>
  <si>
    <t>London ; New York : Verso, 2010.</t>
  </si>
  <si>
    <t>2011-08-25</t>
  </si>
  <si>
    <t>463831546:eng</t>
  </si>
  <si>
    <t>601100926</t>
  </si>
  <si>
    <t>ocn601100926</t>
  </si>
  <si>
    <t>31032303146</t>
  </si>
  <si>
    <t>9781844676804</t>
  </si>
  <si>
    <t>794815298</t>
  </si>
  <si>
    <t>P96 E25 W524 2004</t>
  </si>
  <si>
    <t>0                      P  0096000E  25                 W  524         2004</t>
  </si>
  <si>
    <t>Who owns the media? : global trends and local resistances / edited by Pradip N. Thomas and Zaharom Nain ; with a foreword by Peter Golding.</t>
  </si>
  <si>
    <t>London ; New York : Zed Books ; Penang, Malaysia : Southbound ; New York : Distributed exclusively in the U.S. by Palgrave, 2004.</t>
  </si>
  <si>
    <t>837652667:eng</t>
  </si>
  <si>
    <t>53476479</t>
  </si>
  <si>
    <t>ocm53476479</t>
  </si>
  <si>
    <t>31025630820</t>
  </si>
  <si>
    <t>9781842774687</t>
  </si>
  <si>
    <t>793829126</t>
  </si>
  <si>
    <t>P96 E25 W56 2011</t>
  </si>
  <si>
    <t>0                      P  0096000E  25                 W  56          2011</t>
  </si>
  <si>
    <t>The political economies of media : the transformation of the global media industries / Dwayne Winseck, Dal Yong Jin.</t>
  </si>
  <si>
    <t>Winseck, Dwayne Roy, 1964-</t>
  </si>
  <si>
    <t>London : Bloomsbury Academic, 2011.</t>
  </si>
  <si>
    <t>1089451333:eng</t>
  </si>
  <si>
    <t>750150912</t>
  </si>
  <si>
    <t>ocn750150912</t>
  </si>
  <si>
    <t>3103342410L</t>
  </si>
  <si>
    <t>9781849663533</t>
  </si>
  <si>
    <t>794890058</t>
  </si>
  <si>
    <t>P96 E252 E8514 2008</t>
  </si>
  <si>
    <t>0                      P  0096000E  252                E  8514        2008</t>
  </si>
  <si>
    <t>Western media systems / Jonathan Hardy.</t>
  </si>
  <si>
    <t>Hardy, Jonathan, 1963-</t>
  </si>
  <si>
    <t>112885340:eng</t>
  </si>
  <si>
    <t>166360348</t>
  </si>
  <si>
    <t>ocn166360348</t>
  </si>
  <si>
    <t>31028538870</t>
  </si>
  <si>
    <t>9780415396912</t>
  </si>
  <si>
    <t>794260619</t>
  </si>
  <si>
    <t>P96 E252 L38413 2012</t>
  </si>
  <si>
    <t>0                      P  0096000E  252                L  38413       2012</t>
  </si>
  <si>
    <t>Political economy, communication and knowledge : a Latin American perspective / edited by César Bolaño, Guillermo Mastrini and Francisco Serra.</t>
  </si>
  <si>
    <t>Economía política, communicación y conocimiento. English.</t>
  </si>
  <si>
    <t>The IAMCR book series</t>
  </si>
  <si>
    <t>1083320037:eng</t>
  </si>
  <si>
    <t>778990881</t>
  </si>
  <si>
    <t>ocn778990881</t>
  </si>
  <si>
    <t>31034308646</t>
  </si>
  <si>
    <t>9781612890265</t>
  </si>
  <si>
    <t>794910435</t>
  </si>
  <si>
    <t>P96 E252 U6257 2007</t>
  </si>
  <si>
    <t>0                      P  0096000E  252                U  6257        2007</t>
  </si>
  <si>
    <t>Media concentration and democracy : why ownership matters / C. Edwin Baker.</t>
  </si>
  <si>
    <t>Baker, C. Edwin.</t>
  </si>
  <si>
    <t>2018-07-12</t>
  </si>
  <si>
    <t>116909835:eng</t>
  </si>
  <si>
    <t>68220992</t>
  </si>
  <si>
    <t>ocm68220992</t>
  </si>
  <si>
    <t>3102568869Y</t>
  </si>
  <si>
    <t>9780521868327</t>
  </si>
  <si>
    <t>794142890</t>
  </si>
  <si>
    <t>P96 E252 U6345 2011</t>
  </si>
  <si>
    <t>0                      P  0096000E  252                U  6345        2011</t>
  </si>
  <si>
    <t>Empires of entertainment : media industries and the politics of deregulation, 1980-1996 / Jennifer Holt.</t>
  </si>
  <si>
    <t>Holt, Jennifer, 1968-</t>
  </si>
  <si>
    <t>764123686:eng</t>
  </si>
  <si>
    <t>691927401</t>
  </si>
  <si>
    <t>ocn691927401</t>
  </si>
  <si>
    <t>31033623870</t>
  </si>
  <si>
    <t>9780813550527</t>
  </si>
  <si>
    <t>794855881</t>
  </si>
  <si>
    <t>P96 E29 B35 2016</t>
  </si>
  <si>
    <t>0                      P  0096000E  29                 B  35          2016</t>
  </si>
  <si>
    <t>La dure école : essai / Normand Baillargeon.</t>
  </si>
  <si>
    <t>Baillargeon, Normand, 1958- author.</t>
  </si>
  <si>
    <t>Montréal, Québec : Leméac, [2016]</t>
  </si>
  <si>
    <t>2950255881:fre</t>
  </si>
  <si>
    <t>944305964</t>
  </si>
  <si>
    <t>ocn944305964</t>
  </si>
  <si>
    <t>31036450281</t>
  </si>
  <si>
    <t>9782760912267</t>
  </si>
  <si>
    <t>795012878</t>
  </si>
  <si>
    <t>P96 E29 E35 2010</t>
  </si>
  <si>
    <t>0                      P  0096000E  29                 E  35          2010</t>
  </si>
  <si>
    <t>Education and the culture of print in modern America / edited by Adam R. Nelson and John L. Rudolph.</t>
  </si>
  <si>
    <t>Madison, Wis. : University of Wisconsin Press, ©2010.</t>
  </si>
  <si>
    <t>Print culture history in modern America</t>
  </si>
  <si>
    <t>888409559:eng</t>
  </si>
  <si>
    <t>456728973</t>
  </si>
  <si>
    <t>ocn456728973</t>
  </si>
  <si>
    <t>3103241738I</t>
  </si>
  <si>
    <t>9780299236144</t>
  </si>
  <si>
    <t>794789285</t>
  </si>
  <si>
    <t>P96 E292 W464 2011</t>
  </si>
  <si>
    <t>0                      P  0096000E  292                W  464         2011</t>
  </si>
  <si>
    <t>Examining education, media, and dialogue under occupation : the case of Palestine and Israel / edited by Ilham Nasser, Lawrence N. Berlin and Shelley Wong.</t>
  </si>
  <si>
    <t>Critical language and literacy studies ; 11</t>
  </si>
  <si>
    <t>2014-02-25</t>
  </si>
  <si>
    <t>1044135421:eng</t>
  </si>
  <si>
    <t>716070211</t>
  </si>
  <si>
    <t>ocn716070211</t>
  </si>
  <si>
    <t>3103383642M</t>
  </si>
  <si>
    <t>9781847694270</t>
  </si>
  <si>
    <t>794873994</t>
  </si>
  <si>
    <t>P96 E57 E56 2013</t>
  </si>
  <si>
    <t>0                      P  0096000E  57                 E  56          2013</t>
  </si>
  <si>
    <t>Environmental conflict and the media / Libby Lester &amp; Brett Hutchins, Editors.</t>
  </si>
  <si>
    <t>Global crises and the media ; vol. 13</t>
  </si>
  <si>
    <t>1303001560:eng</t>
  </si>
  <si>
    <t>842316259</t>
  </si>
  <si>
    <t>ocn842316259</t>
  </si>
  <si>
    <t>3103499261W</t>
  </si>
  <si>
    <t>9781433118937</t>
  </si>
  <si>
    <t>794947398</t>
  </si>
  <si>
    <t>P96 E57 E584 2002</t>
  </si>
  <si>
    <t>0                      P  0096000E  57                 E  584         2002</t>
  </si>
  <si>
    <t>Enviropop : studies in environmental rhetoric and popular culture / edited by Mark Meister and Phyllis M. Japp.</t>
  </si>
  <si>
    <t>Westport, Conn. : Praeger, 2002.</t>
  </si>
  <si>
    <t>797212441:eng</t>
  </si>
  <si>
    <t>48942890</t>
  </si>
  <si>
    <t>ocm48942890</t>
  </si>
  <si>
    <t>31027511406</t>
  </si>
  <si>
    <t>9780275969288</t>
  </si>
  <si>
    <t>793730971</t>
  </si>
  <si>
    <t>P96 E57 H36 2010</t>
  </si>
  <si>
    <t>0                      P  0096000E  57                 H  36          2010</t>
  </si>
  <si>
    <t>Environment, media and communication / Anders Hansen.</t>
  </si>
  <si>
    <t>Hansen, Anders, 1957-</t>
  </si>
  <si>
    <t>Routledge introductions to environment series</t>
  </si>
  <si>
    <t>316701129:eng</t>
  </si>
  <si>
    <t>429634751</t>
  </si>
  <si>
    <t>ocn429634751</t>
  </si>
  <si>
    <t>3103240426X</t>
  </si>
  <si>
    <t>9780415425759</t>
  </si>
  <si>
    <t>794780187</t>
  </si>
  <si>
    <t>P96 E57 L477 2010</t>
  </si>
  <si>
    <t>0                      P  0096000E  57                 L  477         2010</t>
  </si>
  <si>
    <t>Media and environment : conflict, politics and the news / Libby Lester.</t>
  </si>
  <si>
    <t>Lester, Libby.</t>
  </si>
  <si>
    <t>Cambridge, UK ; Malden, MA : Polity, ©2010.</t>
  </si>
  <si>
    <t>791994634:eng</t>
  </si>
  <si>
    <t>617508894</t>
  </si>
  <si>
    <t>ocn617508894</t>
  </si>
  <si>
    <t>3103233617M</t>
  </si>
  <si>
    <t>9780745644011</t>
  </si>
  <si>
    <t>794822984</t>
  </si>
  <si>
    <t>P96 E57 M445 2014</t>
  </si>
  <si>
    <t>0                      P  0096000E  57                 M  445         2014</t>
  </si>
  <si>
    <t>Media and the environment / edited by Anders Hansen.</t>
  </si>
  <si>
    <t>London ; New York : Routledge, 2014.</t>
  </si>
  <si>
    <t>Critical concepts in the environment</t>
  </si>
  <si>
    <t>1673244207:eng</t>
  </si>
  <si>
    <t>841557745</t>
  </si>
  <si>
    <t>ocn841557745</t>
  </si>
  <si>
    <t>31035531511</t>
  </si>
  <si>
    <t>9780415525626</t>
  </si>
  <si>
    <t>794946954</t>
  </si>
  <si>
    <t>31035530720</t>
  </si>
  <si>
    <t>794946957</t>
  </si>
  <si>
    <t>31035530622</t>
  </si>
  <si>
    <t>794946955</t>
  </si>
  <si>
    <t>31035530672</t>
  </si>
  <si>
    <t>794946956</t>
  </si>
  <si>
    <t>P96 E572 C63 2011</t>
  </si>
  <si>
    <t>0                      P  0096000E  572                C  63          2011</t>
  </si>
  <si>
    <t>China's environment and China's environment journalists : a study / Hugo de Burgh and Zeng Rong.</t>
  </si>
  <si>
    <t>Burgh, Hugo de, 1949-</t>
  </si>
  <si>
    <t>Bristol, UK ; Chicago : Intellect, 2011.</t>
  </si>
  <si>
    <t>826238579:eng</t>
  </si>
  <si>
    <t>707726511</t>
  </si>
  <si>
    <t>ocn707726511</t>
  </si>
  <si>
    <t>31034095016</t>
  </si>
  <si>
    <t>9781841504698</t>
  </si>
  <si>
    <t>794868062</t>
  </si>
  <si>
    <t>P96 F46 L96 2012</t>
  </si>
  <si>
    <t>0                      P  0096000F  46                 L  96          2012</t>
  </si>
  <si>
    <t>Prismatic media, transnational circuits : feminism in a globalized present / Krista Geneviève Lynes.</t>
  </si>
  <si>
    <t>Lynes, Krista Geneviève.</t>
  </si>
  <si>
    <t>Basingstoke, Hampshire ; New York, NY : Palgrave Macmillan, 2012.</t>
  </si>
  <si>
    <t>Global cinema</t>
  </si>
  <si>
    <t>2013-10-22</t>
  </si>
  <si>
    <t>1405370225:eng</t>
  </si>
  <si>
    <t>800640467</t>
  </si>
  <si>
    <t>ocn800640467</t>
  </si>
  <si>
    <t>3103471199Y</t>
  </si>
  <si>
    <t>9780230337541</t>
  </si>
  <si>
    <t>794924597</t>
  </si>
  <si>
    <t>P96 F46 M46 2011</t>
  </si>
  <si>
    <t>0                      P  0096000F  46                 M  46          2011</t>
  </si>
  <si>
    <t>Feminism in the news : representations of the women's movement since the 1960s / Kaitlynn Mendes.</t>
  </si>
  <si>
    <t>Mendes, Kaitlynn, 1983-</t>
  </si>
  <si>
    <t>1044909416:eng</t>
  </si>
  <si>
    <t>713185479</t>
  </si>
  <si>
    <t>ocn713185479</t>
  </si>
  <si>
    <t>3103381020F</t>
  </si>
  <si>
    <t>9780230274457</t>
  </si>
  <si>
    <t>794872684</t>
  </si>
  <si>
    <t>P96 F672 U624 2005</t>
  </si>
  <si>
    <t>0                      P  0096000F  672                U  624         2005</t>
  </si>
  <si>
    <t>The future of media : resistance and reform in the 21st century / edited by Robert W. McChesney, Russell Newman, and Ben Scott ; with a foreword by Bill Moyers.</t>
  </si>
  <si>
    <t>New York : Seven Stories Press, 2005.</t>
  </si>
  <si>
    <t>A Seven Stories Press 1st ed.</t>
  </si>
  <si>
    <t>892348222:eng</t>
  </si>
  <si>
    <t>57574152</t>
  </si>
  <si>
    <t>ocm57574152</t>
  </si>
  <si>
    <t>3102751119C</t>
  </si>
  <si>
    <t>9781583226797</t>
  </si>
  <si>
    <t>793915760</t>
  </si>
  <si>
    <t>P96 G45 O75 2010</t>
  </si>
  <si>
    <t>0                      P  0096000G  45                 O  75          2010</t>
  </si>
  <si>
    <t>The genome incorporated : constructing biodigital identity / by Kate O'Riordan.</t>
  </si>
  <si>
    <t>O'Riordan, Kate, 1971-</t>
  </si>
  <si>
    <t>Burlington, VT : Ashgate Pub., 2010.</t>
  </si>
  <si>
    <t>Theory, technology and society</t>
  </si>
  <si>
    <t>796122420:eng</t>
  </si>
  <si>
    <t>477269492</t>
  </si>
  <si>
    <t>ocn477269492</t>
  </si>
  <si>
    <t>3103133193R</t>
  </si>
  <si>
    <t>9780754678519</t>
  </si>
  <si>
    <t>794798937</t>
  </si>
  <si>
    <t>P96 G455 S57 2007</t>
  </si>
  <si>
    <t>0                      P  0096000G  455                S  57          2007</t>
  </si>
  <si>
    <t>Genre studies in mass media : a handbook / Art Silverblatt.</t>
  </si>
  <si>
    <t>Silverblatt, Art.</t>
  </si>
  <si>
    <t>Armonk, N.Y. : M.E. Sharpe, ©2007.</t>
  </si>
  <si>
    <t>801745886:eng</t>
  </si>
  <si>
    <t>70335115</t>
  </si>
  <si>
    <t>ocm70335115</t>
  </si>
  <si>
    <t>3102643934O</t>
  </si>
  <si>
    <t>9780765616692</t>
  </si>
  <si>
    <t>794153758</t>
  </si>
  <si>
    <t>P96 G47 A33 2009</t>
  </si>
  <si>
    <t>0                      P  0096000G  47                 A  33          2009</t>
  </si>
  <si>
    <t>Geographies of media and communication : a critical introduction / Paul C. Adams.</t>
  </si>
  <si>
    <t>Adams, Paul C.</t>
  </si>
  <si>
    <t>Chichester, U.K. ; Malden, MA : Wiley-Blackwell, 2009.</t>
  </si>
  <si>
    <t>Critical introductions to geography</t>
  </si>
  <si>
    <t>793122439:eng</t>
  </si>
  <si>
    <t>237788695</t>
  </si>
  <si>
    <t>ocn237788695</t>
  </si>
  <si>
    <t>3103081309S</t>
  </si>
  <si>
    <t>9781405154130</t>
  </si>
  <si>
    <t>794373512</t>
  </si>
  <si>
    <t>P96 G47 U546 2011</t>
  </si>
  <si>
    <t>0                      P  0096000G  47                 U  546         2011</t>
  </si>
  <si>
    <t>Unfolding the semiotic web in urban discourse / Zdzisław Wąsik (ed.) in scientific cooperation with Daina Teters.</t>
  </si>
  <si>
    <t>Frankfurt am Main : Peter Lang, [2011]</t>
  </si>
  <si>
    <t>Philologica Wratislaviensia : from grammar to discourse, 1866-699X ; volume 3</t>
  </si>
  <si>
    <t>1136660154:eng</t>
  </si>
  <si>
    <t>730414891</t>
  </si>
  <si>
    <t>ocn730414891</t>
  </si>
  <si>
    <t>3103342059P</t>
  </si>
  <si>
    <t>9783631616260</t>
  </si>
  <si>
    <t>794880241</t>
  </si>
  <si>
    <t>P96 H43 M417 2010</t>
  </si>
  <si>
    <t>0                      P  0096000H  43                 M  417         2010</t>
  </si>
  <si>
    <t>Les médias et la santé : de l'émergence à l'appropriation des normes sociales / sous la direction de Lise Renaud ; ont collaboré à cet ouvrage, Sandra Aubé ... [et al.].</t>
  </si>
  <si>
    <t>Québec : Presses de l'Université du Québec, 2010.</t>
  </si>
  <si>
    <t>Collection Santé et société</t>
  </si>
  <si>
    <t>1042437499:fre</t>
  </si>
  <si>
    <t>463768393</t>
  </si>
  <si>
    <t>ocn463768393</t>
  </si>
  <si>
    <t>31030725807</t>
  </si>
  <si>
    <t>9782760524231</t>
  </si>
  <si>
    <t>794792983</t>
  </si>
  <si>
    <t>P96 H432 G73 2007</t>
  </si>
  <si>
    <t>0                      P  0096000H  432                G  73          2007</t>
  </si>
  <si>
    <t>Health, risk and news : [the MMR vaccine and the media] / [Tammy Boyce].</t>
  </si>
  <si>
    <t>Boyce, Tammy, 1970-</t>
  </si>
  <si>
    <t>Media and culture, 1098-4208 ; v. 9</t>
  </si>
  <si>
    <t>105077294:eng</t>
  </si>
  <si>
    <t>156863692</t>
  </si>
  <si>
    <t>ocn156863692</t>
  </si>
  <si>
    <t>31026433277</t>
  </si>
  <si>
    <t>9780820488387</t>
  </si>
  <si>
    <t>794255349</t>
  </si>
  <si>
    <t>P96 H46 H47 2008</t>
  </si>
  <si>
    <t>0                      P  0096000H  46                 H  47          2008</t>
  </si>
  <si>
    <t>Heroes in a global world / edited by Susan J. Drucker, Gary Gumpert.</t>
  </si>
  <si>
    <t>The Hampton Press communication series. Mass communications and journalism</t>
  </si>
  <si>
    <t>353382339:eng</t>
  </si>
  <si>
    <t>148725172</t>
  </si>
  <si>
    <t>ocn148725172</t>
  </si>
  <si>
    <t>31026533194</t>
  </si>
  <si>
    <t>9781572736948</t>
  </si>
  <si>
    <t>794240845</t>
  </si>
  <si>
    <t>P96 H462 F84 2011</t>
  </si>
  <si>
    <t>0                      P  0096000H  462                F  84          2011</t>
  </si>
  <si>
    <t>Heroes and legends of fin-de-siècle France : gender, politics, and national identity / Venita Datta.</t>
  </si>
  <si>
    <t>Datta, Venita, 1961-</t>
  </si>
  <si>
    <t>2012-04-13</t>
  </si>
  <si>
    <t>756927811:eng</t>
  </si>
  <si>
    <t>681536395</t>
  </si>
  <si>
    <t>ocn681536395</t>
  </si>
  <si>
    <t>3103345566X</t>
  </si>
  <si>
    <t>9780521195959</t>
  </si>
  <si>
    <t>794852278</t>
  </si>
  <si>
    <t>P96 H55 A53 2011</t>
  </si>
  <si>
    <t>0                      P  0096000H  55                 A  53          2011</t>
  </si>
  <si>
    <t>Technologies of history : visual media and the eccentricity of the past / Steve F. Anderson.</t>
  </si>
  <si>
    <t>Anderson, Steve F.</t>
  </si>
  <si>
    <t>Hanover, N.H. : Dartmouth College Press, ©2011.</t>
  </si>
  <si>
    <t>Interfaces, studies in visual culture</t>
  </si>
  <si>
    <t>694095164:eng</t>
  </si>
  <si>
    <t>678923918</t>
  </si>
  <si>
    <t>ocn678923918</t>
  </si>
  <si>
    <t>3103321920I</t>
  </si>
  <si>
    <t>9781584659013</t>
  </si>
  <si>
    <t>794850552</t>
  </si>
  <si>
    <t>P96 H55 H57 2004</t>
  </si>
  <si>
    <t>0                      P  0096000H  55                 H  57          2004</t>
  </si>
  <si>
    <t>History and the media / edited by David Cannadine.</t>
  </si>
  <si>
    <t>2019-11-18</t>
  </si>
  <si>
    <t>13124213:eng</t>
  </si>
  <si>
    <t>54479216</t>
  </si>
  <si>
    <t>ocm54479216</t>
  </si>
  <si>
    <t>3102751124A</t>
  </si>
  <si>
    <t>9781403920379</t>
  </si>
  <si>
    <t>793862605</t>
  </si>
  <si>
    <t>P96 H55 M68 2008</t>
  </si>
  <si>
    <t>0                      P  0096000H  55                 M  68          2008</t>
  </si>
  <si>
    <t>Toward the visualization of history : the past as image / Mark Moss.</t>
  </si>
  <si>
    <t>Lanham : Lexington Books, ©2008.</t>
  </si>
  <si>
    <t>2019-03-27</t>
  </si>
  <si>
    <t>688148517:eng</t>
  </si>
  <si>
    <t>213080745</t>
  </si>
  <si>
    <t>ocn213080745</t>
  </si>
  <si>
    <t>3102970722B</t>
  </si>
  <si>
    <t>9780739124376</t>
  </si>
  <si>
    <t>794306793</t>
  </si>
  <si>
    <t>P96 H55 S55 2014</t>
  </si>
  <si>
    <t>0                      P  0096000H  55                 S  55          2014</t>
  </si>
  <si>
    <t>Silence, screen, and spectacle : rethinking social memory in the age of information / edited by Lindsey A. Freeman, Benjamin Nienass, and Rachel Daniell.</t>
  </si>
  <si>
    <t>New York ; Oxford : Berghahn Books, 2014.</t>
  </si>
  <si>
    <t>Remapping cultural history ; volume 14</t>
  </si>
  <si>
    <t>2014-06-09</t>
  </si>
  <si>
    <t>1362202813:eng</t>
  </si>
  <si>
    <t>849822558</t>
  </si>
  <si>
    <t>ocn849822558</t>
  </si>
  <si>
    <t>31035323853</t>
  </si>
  <si>
    <t>9781782382805</t>
  </si>
  <si>
    <t>794950382</t>
  </si>
  <si>
    <t>P96 H632 U64 2010</t>
  </si>
  <si>
    <t>0                      P  0096000H  632                U  64          2010</t>
  </si>
  <si>
    <t>Queer temporalities in gay male representation : tragedy, normativity, and futurity / Dustin Bradley Goltz.</t>
  </si>
  <si>
    <t>Goltz, Dustin Bradley, 1974-</t>
  </si>
  <si>
    <t>Routledge studies in rhetoric and communication ; 2</t>
  </si>
  <si>
    <t>803763615:eng</t>
  </si>
  <si>
    <t>326670521</t>
  </si>
  <si>
    <t>ocn326670521</t>
  </si>
  <si>
    <t>3103154432G</t>
  </si>
  <si>
    <t>9780415872287</t>
  </si>
  <si>
    <t>794490562</t>
  </si>
  <si>
    <t>P96 H65 K5 1981</t>
  </si>
  <si>
    <t>0                      P  0096000H  65                 K  5           1981</t>
  </si>
  <si>
    <t>Stephen King's Danse macabre.</t>
  </si>
  <si>
    <t>King, Stephen, 1947-</t>
  </si>
  <si>
    <t>New York : Everest House, ©1981.</t>
  </si>
  <si>
    <t>5090374516:eng</t>
  </si>
  <si>
    <t>5831220</t>
  </si>
  <si>
    <t>ocm05831220</t>
  </si>
  <si>
    <t>3102751123A</t>
  </si>
  <si>
    <t>9780896960763</t>
  </si>
  <si>
    <t>792457346</t>
  </si>
  <si>
    <t>P96 H84 J37 2014</t>
  </si>
  <si>
    <t>0                      P  0096000H  84                 J  37          2014</t>
  </si>
  <si>
    <t>The therapeutic cloning debate : global science and journalism in the public sphere / Eric A. Jensen, University of Warwick, UK.</t>
  </si>
  <si>
    <t>Jensen, Eric Allen.</t>
  </si>
  <si>
    <t>Farnham, Surrey ; Burlington, VT : Ashgate, [2014]</t>
  </si>
  <si>
    <t>1416355110:eng</t>
  </si>
  <si>
    <t>862962046</t>
  </si>
  <si>
    <t>ocn862962046</t>
  </si>
  <si>
    <t>3103530471A</t>
  </si>
  <si>
    <t>9781409429821</t>
  </si>
  <si>
    <t>794960715</t>
  </si>
  <si>
    <t>P96 H85 H85 2011</t>
  </si>
  <si>
    <t>0                      P  0096000H  85                 H  85          2011</t>
  </si>
  <si>
    <t>Human rights and media / edited by Diana Papademas.</t>
  </si>
  <si>
    <t>Bingley, U.K. : Emerald, ©2011.</t>
  </si>
  <si>
    <t>Studies in communications ; 6</t>
  </si>
  <si>
    <t>2014-02-06</t>
  </si>
  <si>
    <t>117096288:eng</t>
  </si>
  <si>
    <t>760285116</t>
  </si>
  <si>
    <t>ocn760285116</t>
  </si>
  <si>
    <t>3103405530G</t>
  </si>
  <si>
    <t>9780762300525</t>
  </si>
  <si>
    <t>794898475</t>
  </si>
  <si>
    <t>P96 H85 M43 2012</t>
  </si>
  <si>
    <t>0                      P  0096000H  85                 M  43          2012</t>
  </si>
  <si>
    <t>Media, mobilization, and human rights : mediating suffering / edited by Tristan Anne Borer.</t>
  </si>
  <si>
    <t>London ; New York : Zed Books : Distributed in the USA exclusively by Palgrave Macmillan, ©2012.</t>
  </si>
  <si>
    <t>1182845940:eng</t>
  </si>
  <si>
    <t>801605694</t>
  </si>
  <si>
    <t>ocn801605694</t>
  </si>
  <si>
    <t>3103432941$</t>
  </si>
  <si>
    <t>9781780320670</t>
  </si>
  <si>
    <t>794925123</t>
  </si>
  <si>
    <t>P96 H85 R44 2013</t>
  </si>
  <si>
    <t>0                      P  0096000H  85                 R  44          2013</t>
  </si>
  <si>
    <t>Remembering mass violence : oral history, new media, and performance / edited by Steven High, Edward Little, Thi Ry Duong.</t>
  </si>
  <si>
    <t>Toronto ; Buffalo ; London : University of Toronto Press, [2014]</t>
  </si>
  <si>
    <t>1784121790:eng</t>
  </si>
  <si>
    <t>842499914</t>
  </si>
  <si>
    <t>ocn842499914</t>
  </si>
  <si>
    <t>31034937880</t>
  </si>
  <si>
    <t>9781442646803</t>
  </si>
  <si>
    <t>794947540</t>
  </si>
  <si>
    <t>P96 H85 S53 2012</t>
  </si>
  <si>
    <t>0                      P  0096000H  85                 S  53          2012</t>
  </si>
  <si>
    <t>Human rights journalism : advances in reporting distant humanitarian interventions / Ibrahim Seaga Shaw.</t>
  </si>
  <si>
    <t>Shaw, Ibrahim Seaga, 1962-</t>
  </si>
  <si>
    <t>2013-09-30</t>
  </si>
  <si>
    <t>1158273462:eng</t>
  </si>
  <si>
    <t>767864259</t>
  </si>
  <si>
    <t>ocn767864259</t>
  </si>
  <si>
    <t>3103381933N</t>
  </si>
  <si>
    <t>9780230321427</t>
  </si>
  <si>
    <t>794901634</t>
  </si>
  <si>
    <t>P96 H85 V53 2005</t>
  </si>
  <si>
    <t>0                      P  0096000H  85                 V  53          2005</t>
  </si>
  <si>
    <t>Video for change : a guide for advocacy and activism / edited by Sam Gregory [and others].</t>
  </si>
  <si>
    <t>London ; Ann Arbor, MI : Pluto Press in association with Witness, 2005.</t>
  </si>
  <si>
    <t>2017-05-19</t>
  </si>
  <si>
    <t>802420697:eng</t>
  </si>
  <si>
    <t>61477845</t>
  </si>
  <si>
    <t>ocm61477845</t>
  </si>
  <si>
    <t>31025479922</t>
  </si>
  <si>
    <t>9780745324135</t>
  </si>
  <si>
    <t>793953706</t>
  </si>
  <si>
    <t>P96 I34 M36 2003</t>
  </si>
  <si>
    <t>0                      P  0096000I  34                 M  36          2003</t>
  </si>
  <si>
    <t>Mapping the margins : identity, politics, and the media / edited by Karenb Ross, Deniz Derman.</t>
  </si>
  <si>
    <t>Creskill, NJ : Hampton Press, ©2003.</t>
  </si>
  <si>
    <t>2017-07-19</t>
  </si>
  <si>
    <t>839141176:eng</t>
  </si>
  <si>
    <t>49386386</t>
  </si>
  <si>
    <t>ocm49386386</t>
  </si>
  <si>
    <t>3102751122A</t>
  </si>
  <si>
    <t>9781572734210</t>
  </si>
  <si>
    <t>793739208</t>
  </si>
  <si>
    <t>P96 I34 R63 2014</t>
  </si>
  <si>
    <t>0                      P  0096000I  34                 R  63          2014</t>
  </si>
  <si>
    <t>Disability, obesity and ageing : popular media identifications / Debbie Rodan, Katie Ellis, Pia Lebeck.</t>
  </si>
  <si>
    <t>Rodan, Debbie.</t>
  </si>
  <si>
    <t>Farnham, Surrey [England] : Ashgate, [2014]</t>
  </si>
  <si>
    <t>The cultural politics of media and popular culture</t>
  </si>
  <si>
    <t>1774492511:eng</t>
  </si>
  <si>
    <t>853113768</t>
  </si>
  <si>
    <t>ocn853113768</t>
  </si>
  <si>
    <t>3103529653E</t>
  </si>
  <si>
    <t>9781409440512</t>
  </si>
  <si>
    <t>794951913</t>
  </si>
  <si>
    <t>P96 I5 C625 2013</t>
  </si>
  <si>
    <t>0                      P  0096000I  5                  C  625         2013</t>
  </si>
  <si>
    <t>Communication and power in the global era : orders and borders / edited by Marwan M. Kraidy.</t>
  </si>
  <si>
    <t>London ; New York : Routledge, 2013.</t>
  </si>
  <si>
    <t>1137367714:eng</t>
  </si>
  <si>
    <t>778425793</t>
  </si>
  <si>
    <t>ocn778425793</t>
  </si>
  <si>
    <t>3103458023X</t>
  </si>
  <si>
    <t>9780415627344</t>
  </si>
  <si>
    <t>794909978</t>
  </si>
  <si>
    <t>P96 I5 C675 2011</t>
  </si>
  <si>
    <t>0                      P  0096000I  5                  C  675         2011</t>
  </si>
  <si>
    <t>Communication internationale et communication interculturelle : regards épistémologiques et espaces de pratique / sous la direction de Christian Agbobli et Gaby Hsab.</t>
  </si>
  <si>
    <t>Québec : Presses de l'Université du Québec, 2011.</t>
  </si>
  <si>
    <t>1061042529:fre</t>
  </si>
  <si>
    <t>712851682</t>
  </si>
  <si>
    <t>ocn712851682</t>
  </si>
  <si>
    <t>3103402434V</t>
  </si>
  <si>
    <t>9782760531185</t>
  </si>
  <si>
    <t>794872359</t>
  </si>
  <si>
    <t>P96 I5 E75 2011</t>
  </si>
  <si>
    <t>0                      P  0096000I  5                  E  75          2011</t>
  </si>
  <si>
    <t>Ethical issues in international communication / edited by Alexander G. Nikolaev.</t>
  </si>
  <si>
    <t>764603548:eng</t>
  </si>
  <si>
    <t>692287911</t>
  </si>
  <si>
    <t>ocn692287911</t>
  </si>
  <si>
    <t>3103235063M</t>
  </si>
  <si>
    <t>9780230272897</t>
  </si>
  <si>
    <t>794856068</t>
  </si>
  <si>
    <t>P96 I5 F59 2007</t>
  </si>
  <si>
    <t>0                      P  0096000I  5                  F  59          2007</t>
  </si>
  <si>
    <t>Understanding global media / Terry Flew.</t>
  </si>
  <si>
    <t>Flew, Terry.</t>
  </si>
  <si>
    <t>Basingstoke [England] ; New York : Palgrave Macmillan, 2007.</t>
  </si>
  <si>
    <t>2015-08-24</t>
  </si>
  <si>
    <t>62742920:eng</t>
  </si>
  <si>
    <t>77004129</t>
  </si>
  <si>
    <t>ocm77004129</t>
  </si>
  <si>
    <t>31025696179</t>
  </si>
  <si>
    <t>9781403920485</t>
  </si>
  <si>
    <t>794180135</t>
  </si>
  <si>
    <t>P96 I5 F76 2012</t>
  </si>
  <si>
    <t>0                      P  0096000I  5                  F  76          2012</t>
  </si>
  <si>
    <t>From NWICO to WSIS : 30 years of communication geopolitics : actors and flows, structures and divides / edited by Divina Frau-Meigs [and others].</t>
  </si>
  <si>
    <t>Bristol, UK ; Chicago, USA : Intellect, 2012.</t>
  </si>
  <si>
    <t>2013-11-20</t>
  </si>
  <si>
    <t>1166395575:eng</t>
  </si>
  <si>
    <t>808802613</t>
  </si>
  <si>
    <t>ocn808802613</t>
  </si>
  <si>
    <t>3103432774$</t>
  </si>
  <si>
    <t>9781841506753</t>
  </si>
  <si>
    <t>794927884</t>
  </si>
  <si>
    <t>P96 I5 G535 2014</t>
  </si>
  <si>
    <t>0                      P  0096000I  5                  G  535         2014</t>
  </si>
  <si>
    <t>Global communication : new agendas in communication / edited by Karin G. Wilkins, Joseph D. Straubhaar, and Shanti Kumar.</t>
  </si>
  <si>
    <t>New agendas in communication</t>
  </si>
  <si>
    <t>1623339550:eng</t>
  </si>
  <si>
    <t>816031129</t>
  </si>
  <si>
    <t>ocn816031129</t>
  </si>
  <si>
    <t>3103502423R</t>
  </si>
  <si>
    <t>9780415828970</t>
  </si>
  <si>
    <t>794932907</t>
  </si>
  <si>
    <t>P96 I5 G55 2011</t>
  </si>
  <si>
    <t>0                      P  0096000I  5                  G  55          2011</t>
  </si>
  <si>
    <t>Global media, culture, and identity : theory, cases, and approaches / edited by Rohit Chopra and Radhika Gajjala.</t>
  </si>
  <si>
    <t>2012-08-14</t>
  </si>
  <si>
    <t>689092492:eng</t>
  </si>
  <si>
    <t>673412861</t>
  </si>
  <si>
    <t>ocn673412861</t>
  </si>
  <si>
    <t>3103343328I</t>
  </si>
  <si>
    <t>9780415877909</t>
  </si>
  <si>
    <t>794849536</t>
  </si>
  <si>
    <t>P96 I5 H368 2012</t>
  </si>
  <si>
    <t>0                      P  0096000I  5                  H  368         2012</t>
  </si>
  <si>
    <t>Handbook of comparative communication research / edited by Frank Esser Thomas Hanitzsch.</t>
  </si>
  <si>
    <t>1106190194:eng</t>
  </si>
  <si>
    <t>635487235</t>
  </si>
  <si>
    <t>ocn635487235</t>
  </si>
  <si>
    <t>3103431794$</t>
  </si>
  <si>
    <t>9780415802710</t>
  </si>
  <si>
    <t>794825648</t>
  </si>
  <si>
    <t>P96 I5 H46 1997</t>
  </si>
  <si>
    <t>0                      P  0096000I  5                  H  46          1997</t>
  </si>
  <si>
    <t>The global media : the new missionaries of corporate capitalism / Edward S. Herman and Robert W. McChesney.</t>
  </si>
  <si>
    <t>Herman, Edward S.</t>
  </si>
  <si>
    <t>London ; Washington, D.C. : Cassell, 1997.</t>
  </si>
  <si>
    <t>180767:eng</t>
  </si>
  <si>
    <t>36170770</t>
  </si>
  <si>
    <t>ocm36170770</t>
  </si>
  <si>
    <t>31027511790</t>
  </si>
  <si>
    <t>9780304334339</t>
  </si>
  <si>
    <t>793468210</t>
  </si>
  <si>
    <t>P96 I5 I4848 2010</t>
  </si>
  <si>
    <t>0                      P  0096000I  5                  I  4848        2010</t>
  </si>
  <si>
    <t>International communication : a reader / edited by Daya Kishan Thussu.</t>
  </si>
  <si>
    <t>2542059682:eng</t>
  </si>
  <si>
    <t>166361473</t>
  </si>
  <si>
    <t>ocn166361473</t>
  </si>
  <si>
    <t>3103134765B</t>
  </si>
  <si>
    <t>9780415444552</t>
  </si>
  <si>
    <t>794260662</t>
  </si>
  <si>
    <t>P96 I5 I48485 2011</t>
  </si>
  <si>
    <t>0                      P  0096000I  5                  I  48485       2011</t>
  </si>
  <si>
    <t>International communication and global news networks : historical perspectives / edited by Peter Putnis, Chandrika Kaul, Jürgen Wilke.</t>
  </si>
  <si>
    <t>IAMCR book series</t>
  </si>
  <si>
    <t>1003639930:eng</t>
  </si>
  <si>
    <t>747713068</t>
  </si>
  <si>
    <t>ocn747713068</t>
  </si>
  <si>
    <t>3103385243Q</t>
  </si>
  <si>
    <t>9781612890548</t>
  </si>
  <si>
    <t>794888391</t>
  </si>
  <si>
    <t>P96 I5 M37 2010</t>
  </si>
  <si>
    <t>0                      P  0096000I  5                  M  37          2010</t>
  </si>
  <si>
    <t>Global communication : theories, stakeholders, and trends / Thomas L. McPhail.</t>
  </si>
  <si>
    <t>McPhail, Thomas L.</t>
  </si>
  <si>
    <t>Chichester, West Sussex, U.K. ; Malden, MA : Wiley-Blackwell, ©2010.</t>
  </si>
  <si>
    <t>2015-12-15</t>
  </si>
  <si>
    <t>796430433:eng</t>
  </si>
  <si>
    <t>441196673</t>
  </si>
  <si>
    <t>ocn441196673</t>
  </si>
  <si>
    <t>3103242466H</t>
  </si>
  <si>
    <t>9781444330304</t>
  </si>
  <si>
    <t>794786717</t>
  </si>
  <si>
    <t>P96 I5 M425 1997</t>
  </si>
  <si>
    <t>0                      P  0096000I  5                  M  425         1997</t>
  </si>
  <si>
    <t>Media in global context : a reader / edited by Annabelle Sreberny-Mohammadi [and others].</t>
  </si>
  <si>
    <t>Foundations in media</t>
  </si>
  <si>
    <t>613703:eng</t>
  </si>
  <si>
    <t>36315763</t>
  </si>
  <si>
    <t>ocm36315763</t>
  </si>
  <si>
    <t>31027511710</t>
  </si>
  <si>
    <t>9780340676868</t>
  </si>
  <si>
    <t>793472389</t>
  </si>
  <si>
    <t>P96 I5 M426 2010</t>
  </si>
  <si>
    <t>0                      P  0096000I  5                  M  426         2010</t>
  </si>
  <si>
    <t>Medienkulturen / Daniela Wawra, Hrsg.</t>
  </si>
  <si>
    <t>Frankfurt am Main ; New York, NY : Lang, ©2010.</t>
  </si>
  <si>
    <t>866860192:ger</t>
  </si>
  <si>
    <t>671537770</t>
  </si>
  <si>
    <t>ocn671537770</t>
  </si>
  <si>
    <t>3103303531U</t>
  </si>
  <si>
    <t>9783631596005</t>
  </si>
  <si>
    <t>794848793</t>
  </si>
  <si>
    <t>P96 I5 M4913 1994</t>
  </si>
  <si>
    <t>0                      P  0096000I  5                  M  4913        1994</t>
  </si>
  <si>
    <t>Mapping world communication : war, progress, culture / Armand Mattelart ; translated by Susan Emanuel and James A. Cohen.</t>
  </si>
  <si>
    <t>2018-01-31</t>
  </si>
  <si>
    <t>2908624305:eng</t>
  </si>
  <si>
    <t>28853829</t>
  </si>
  <si>
    <t>ocm28853829</t>
  </si>
  <si>
    <t>31027511682</t>
  </si>
  <si>
    <t>9780816622610</t>
  </si>
  <si>
    <t>793297934</t>
  </si>
  <si>
    <t>P96 I5 O17 2002</t>
  </si>
  <si>
    <t>0                      P  0096000I  5                  O  17          2002</t>
  </si>
  <si>
    <t>Global media governance : a beginner's guide / Seán Ó Siochrú and Bruce Girard with Amy Mahan.</t>
  </si>
  <si>
    <t>Ó Siochrú, Seán, 1955-</t>
  </si>
  <si>
    <t>Lanham, MD : Rowman &amp; Littlefield, ©2002.</t>
  </si>
  <si>
    <t>201352723:eng</t>
  </si>
  <si>
    <t>48544108</t>
  </si>
  <si>
    <t>ocm48544108</t>
  </si>
  <si>
    <t>31027512511</t>
  </si>
  <si>
    <t>9780742515659</t>
  </si>
  <si>
    <t>793723534</t>
  </si>
  <si>
    <t>P96 I5 R54 2009</t>
  </si>
  <si>
    <t>0                      P  0096000I  5                  R  54          2009</t>
  </si>
  <si>
    <t>The right to communicate : historical hopes, global debates, and future premises / edited by Aliaa Dakroury, Mahmoud Eid, Yahya R. Kamalipour.</t>
  </si>
  <si>
    <t>Dubuque, IA : Kendall Hunt Publishing Company, ©2009.</t>
  </si>
  <si>
    <t>2845264912:eng</t>
  </si>
  <si>
    <t>403631125</t>
  </si>
  <si>
    <t>ocn403631125</t>
  </si>
  <si>
    <t>3103135175N</t>
  </si>
  <si>
    <t>9780757564055</t>
  </si>
  <si>
    <t>794499040</t>
  </si>
  <si>
    <t>P96 I5 S6 1980</t>
  </si>
  <si>
    <t>0                      P  0096000I  5                  S  6           1980</t>
  </si>
  <si>
    <t>The geopolitics of information : how Western culture dominates the world / by Anthony Smith.</t>
  </si>
  <si>
    <t>Smith, Anthony, 1938- author.</t>
  </si>
  <si>
    <t>New York : Oxford University Press, 1980.</t>
  </si>
  <si>
    <t>2003-03-09</t>
  </si>
  <si>
    <t>2015-06-16</t>
  </si>
  <si>
    <t>4682080:eng</t>
  </si>
  <si>
    <t>6588463</t>
  </si>
  <si>
    <t>ocm06588463</t>
  </si>
  <si>
    <t>31027512433</t>
  </si>
  <si>
    <t>9780195202083</t>
  </si>
  <si>
    <t>792510478</t>
  </si>
  <si>
    <t>31027512473</t>
  </si>
  <si>
    <t>792510477</t>
  </si>
  <si>
    <t>2002-04-08</t>
  </si>
  <si>
    <t>31027512423</t>
  </si>
  <si>
    <t>792510479</t>
  </si>
  <si>
    <t>P96 I5 S748 2010</t>
  </si>
  <si>
    <t>0                      P  0096000I  5                  S  748         2010</t>
  </si>
  <si>
    <t>The no-nonsense guide to global media / Peter Steven.</t>
  </si>
  <si>
    <t>Steven, Peter.</t>
  </si>
  <si>
    <t>Oxford : New Internationalist, 2010.</t>
  </si>
  <si>
    <t>No-nonsense guides</t>
  </si>
  <si>
    <t>2010-11-30</t>
  </si>
  <si>
    <t>13460108:eng</t>
  </si>
  <si>
    <t>624419600</t>
  </si>
  <si>
    <t>ocn624419600</t>
  </si>
  <si>
    <t>3103230470S</t>
  </si>
  <si>
    <t>9781906523404</t>
  </si>
  <si>
    <t>794823936</t>
  </si>
  <si>
    <t>P96 I5 S75 1994</t>
  </si>
  <si>
    <t>0                      P  0096000I  5                  S  75          1994</t>
  </si>
  <si>
    <t>Global communication in the twenty-first century / Robert L. Stevenson.</t>
  </si>
  <si>
    <t>Stevenson, Robert L.</t>
  </si>
  <si>
    <t>New York : Longman, ©1994.</t>
  </si>
  <si>
    <t>31153229:eng</t>
  </si>
  <si>
    <t>28675249</t>
  </si>
  <si>
    <t>ocm28675249</t>
  </si>
  <si>
    <t>31027512395</t>
  </si>
  <si>
    <t>9780801304033</t>
  </si>
  <si>
    <t>793293460</t>
  </si>
  <si>
    <t>P96 I5 T39 1997</t>
  </si>
  <si>
    <t>0                      P  0096000I  5                  T  39          1997</t>
  </si>
  <si>
    <t>Global communications, international affairs and the media since 1945 / Philip M. Taylor.</t>
  </si>
  <si>
    <t>Taylor, Philip M.</t>
  </si>
  <si>
    <t>London ; New York : Routledge, 1997.</t>
  </si>
  <si>
    <t>The new international history series</t>
  </si>
  <si>
    <t>540753:eng</t>
  </si>
  <si>
    <t>36307840</t>
  </si>
  <si>
    <t>ocm36307840</t>
  </si>
  <si>
    <t>31027512355</t>
  </si>
  <si>
    <t>9780415116787</t>
  </si>
  <si>
    <t>793472192</t>
  </si>
  <si>
    <t>P96 I5 T48 2000</t>
  </si>
  <si>
    <t>0                      P  0096000I  5                  T  48          2000</t>
  </si>
  <si>
    <t>International communication : a critical introduction / Daya Kishan Thussu.</t>
  </si>
  <si>
    <t>Thussu, Daya Kishan.</t>
  </si>
  <si>
    <t>London : Arnold, 2000.</t>
  </si>
  <si>
    <t>9593562202:eng</t>
  </si>
  <si>
    <t>43417821</t>
  </si>
  <si>
    <t>ocm43417821</t>
  </si>
  <si>
    <t>31027512345</t>
  </si>
  <si>
    <t>9780340741306</t>
  </si>
  <si>
    <t>793626242</t>
  </si>
  <si>
    <t>P96.I5 T485 2007</t>
  </si>
  <si>
    <t>0                      P  0096000I  5                  T  485         2007</t>
  </si>
  <si>
    <t>Media on the move : global flow and contra-flow / edited by Daya Kishan Thussu.</t>
  </si>
  <si>
    <t>2016-08-24</t>
  </si>
  <si>
    <t>1059974700:eng</t>
  </si>
  <si>
    <t>69680059</t>
  </si>
  <si>
    <t>ocm69680059</t>
  </si>
  <si>
    <t>3102567328O</t>
  </si>
  <si>
    <t>9780415354578</t>
  </si>
  <si>
    <t>794146828</t>
  </si>
  <si>
    <t>P96 I5 V65 2014</t>
  </si>
  <si>
    <t>0                      P  0096000I  5                  V  65          2014</t>
  </si>
  <si>
    <t>The global public sphere : public communication in the age of reflective interdependence / Ingrid Volkmer.</t>
  </si>
  <si>
    <t>Volkmer, Ingrid, author.</t>
  </si>
  <si>
    <t>Cambridge : Polity, 2014.</t>
  </si>
  <si>
    <t>2035410281:eng</t>
  </si>
  <si>
    <t>881520652</t>
  </si>
  <si>
    <t>ocn881520652</t>
  </si>
  <si>
    <t>31035674538</t>
  </si>
  <si>
    <t>9780745639581</t>
  </si>
  <si>
    <t>794974572</t>
  </si>
  <si>
    <t>P96 I52 E85</t>
  </si>
  <si>
    <t>0                      P  0096000I  52                 E  85</t>
  </si>
  <si>
    <t>Eurovision news and the international flow of information : history, problems and perspectives, 1960-1980 / by Stefan R. Melnik.</t>
  </si>
  <si>
    <t>Melnik, Stefan R.</t>
  </si>
  <si>
    <t>Bochum : Studienverlag Dr. N. Brockmeyer, 1981.</t>
  </si>
  <si>
    <t>Studies in international communication ; v. 1</t>
  </si>
  <si>
    <t>2017-11-12</t>
  </si>
  <si>
    <t>291344925:eng</t>
  </si>
  <si>
    <t>8451700</t>
  </si>
  <si>
    <t>ocm08451700</t>
  </si>
  <si>
    <t>31027512325</t>
  </si>
  <si>
    <t>9783883391915</t>
  </si>
  <si>
    <t>792620222</t>
  </si>
  <si>
    <t>P96 I53 S63 2007</t>
  </si>
  <si>
    <t>0                      P  0096000I  53                 S  63          2007</t>
  </si>
  <si>
    <t>Globalization, development and the mass media / Colin Sparks.</t>
  </si>
  <si>
    <t>Sparks, Colin, 1947-</t>
  </si>
  <si>
    <t>Los Angeles ; London : SAGE, 2007.</t>
  </si>
  <si>
    <t>113421265:eng</t>
  </si>
  <si>
    <t>170036709</t>
  </si>
  <si>
    <t>ocn170036709</t>
  </si>
  <si>
    <t>31025738976</t>
  </si>
  <si>
    <t>9780761961611</t>
  </si>
  <si>
    <t>794263211</t>
  </si>
  <si>
    <t>P96 I53 T735 2011</t>
  </si>
  <si>
    <t>0                      P  0096000I  53                 T  735         2011</t>
  </si>
  <si>
    <t>Transatlantic encounters : philosophy, media, politics : in memory of Mateusz Oleksy / Elżbieta H. Oleksy, Wiesław Oleksy (eds.).</t>
  </si>
  <si>
    <t>American studies and media, 1610-6814 ; v. 3</t>
  </si>
  <si>
    <t>1011144835:eng</t>
  </si>
  <si>
    <t>753295454</t>
  </si>
  <si>
    <t>ocn753295454</t>
  </si>
  <si>
    <t>31033841270</t>
  </si>
  <si>
    <t>9783631617281</t>
  </si>
  <si>
    <t>794892012</t>
  </si>
  <si>
    <t>P96 I6 M36 1987</t>
  </si>
  <si>
    <t>0                      P  0096000I  6                  M  36          1987</t>
  </si>
  <si>
    <t>Electronic colonialism : the future of international broadcasting and communication / Thomas L. McPhail.</t>
  </si>
  <si>
    <t>Newbury Park, Calif. : Sage Publications, ©1987.</t>
  </si>
  <si>
    <t>Rev. 2nd ed.</t>
  </si>
  <si>
    <t>Sage library of social research ; v. 126</t>
  </si>
  <si>
    <t>457210:eng</t>
  </si>
  <si>
    <t>13395900</t>
  </si>
  <si>
    <t>ocm13395900</t>
  </si>
  <si>
    <t>31027512237</t>
  </si>
  <si>
    <t>9780803927315</t>
  </si>
  <si>
    <t>792851905</t>
  </si>
  <si>
    <t>2010-11-16</t>
  </si>
  <si>
    <t>31027512247</t>
  </si>
  <si>
    <t>792851906</t>
  </si>
  <si>
    <t>P96 I73 B75 2005</t>
  </si>
  <si>
    <t>0                      P  0096000I  73                 B  75          2005</t>
  </si>
  <si>
    <t>Bring 'em on : media and politics in the Iraq War / edited by Lee Artz and Yahya R. Kamalipour.</t>
  </si>
  <si>
    <t>Lanham, Md. : Rowman &amp; Littlefield Publishers, ©2005.</t>
  </si>
  <si>
    <t>Communication, media, and politics</t>
  </si>
  <si>
    <t>2018-04-05</t>
  </si>
  <si>
    <t>366985570:eng</t>
  </si>
  <si>
    <t>55797974</t>
  </si>
  <si>
    <t>ocm55797974</t>
  </si>
  <si>
    <t>31027512227</t>
  </si>
  <si>
    <t>9780742536883</t>
  </si>
  <si>
    <t>793882669</t>
  </si>
  <si>
    <t>3102479336F</t>
  </si>
  <si>
    <t>793882668</t>
  </si>
  <si>
    <t>P96 I73 E93 2009</t>
  </si>
  <si>
    <t>0                      P  0096000I  73                 E  93          2009</t>
  </si>
  <si>
    <t>Evaluation and stance in war news : a linguistic analysis of American, British and Italian television news reporting of the 2003 Iraqi war / edited by Louann Haarman, Linda Lombardo.</t>
  </si>
  <si>
    <t>Corpus and discourse. Research in corpus and discourse</t>
  </si>
  <si>
    <t>803414784:eng</t>
  </si>
  <si>
    <t>245566054</t>
  </si>
  <si>
    <t>ocn245566054</t>
  </si>
  <si>
    <t>3103063090L</t>
  </si>
  <si>
    <t>9781847061768</t>
  </si>
  <si>
    <t>794383522</t>
  </si>
  <si>
    <t>P96 I73 L43 2006</t>
  </si>
  <si>
    <t>0                      P  0096000I  73                 L  43          2006</t>
  </si>
  <si>
    <t>Leading to the 2003 Iraq War : the global media debate / edited by Alexander G. Nikolaev and Ernest A. Hakanen.</t>
  </si>
  <si>
    <t>New York : Palgrave Macmillan, 2006.</t>
  </si>
  <si>
    <t>1090254823:eng</t>
  </si>
  <si>
    <t>60375439</t>
  </si>
  <si>
    <t>ocm60375439</t>
  </si>
  <si>
    <t>3102545610Z</t>
  </si>
  <si>
    <t>9781403971135</t>
  </si>
  <si>
    <t>793936590</t>
  </si>
  <si>
    <t>P96 I84 I83 2000</t>
  </si>
  <si>
    <t>0                      P  0096000I  84                 I  83          2000</t>
  </si>
  <si>
    <t>Islam and the West in the mass media : fragmented images in a globalizing world / edited by Kai Hafez.</t>
  </si>
  <si>
    <t>Cresskill, NJ : Hampton Press, 2000.</t>
  </si>
  <si>
    <t>2016-03-26</t>
  </si>
  <si>
    <t>905416193:eng</t>
  </si>
  <si>
    <t>42009446</t>
  </si>
  <si>
    <t>ocm42009446</t>
  </si>
  <si>
    <t>31027512217</t>
  </si>
  <si>
    <t>9781572732674</t>
  </si>
  <si>
    <t>793601116</t>
  </si>
  <si>
    <t>P96 I84 M87 2006</t>
  </si>
  <si>
    <t>0                      P  0096000I  84                 M  87          2006</t>
  </si>
  <si>
    <t>Muslims and the news media / edited by Elizabeth Poole and John E. Richardson.</t>
  </si>
  <si>
    <t>London ; New York : I.B. Tauris, 2006.</t>
  </si>
  <si>
    <t>899466566:eng</t>
  </si>
  <si>
    <t>62226039</t>
  </si>
  <si>
    <t>ocm62226039</t>
  </si>
  <si>
    <t>3102555109A</t>
  </si>
  <si>
    <t>9781845111717</t>
  </si>
  <si>
    <t>794102464</t>
  </si>
  <si>
    <t>P96 I842 G734 2008</t>
  </si>
  <si>
    <t>0                      P  0096000I  842                G  734         2008</t>
  </si>
  <si>
    <t>Islam in the British broadsheets : the impact of orientalism on representations of Islam in the British press / Elzain Elgamri.</t>
  </si>
  <si>
    <t>Elgamri, Elzain.</t>
  </si>
  <si>
    <t>Reading, UK : Ithaca Press, 2008.</t>
  </si>
  <si>
    <t>803138994:eng</t>
  </si>
  <si>
    <t>192079334</t>
  </si>
  <si>
    <t>ocn192079334</t>
  </si>
  <si>
    <t>3102856237G</t>
  </si>
  <si>
    <t>9780863723322</t>
  </si>
  <si>
    <t>794303224</t>
  </si>
  <si>
    <t>P96 I842 G764 2011</t>
  </si>
  <si>
    <t>0                      P  0096000I  842                G  764         2011</t>
  </si>
  <si>
    <t>Pointing the finger : Islam and Muslims in the British media / [edited by] Julian Petley and Robin Richardson.</t>
  </si>
  <si>
    <t>Oxford : Oneworld, 2011.</t>
  </si>
  <si>
    <t>686286714:eng</t>
  </si>
  <si>
    <t>670484528</t>
  </si>
  <si>
    <t>ocn670484528</t>
  </si>
  <si>
    <t>3103234827A</t>
  </si>
  <si>
    <t>9781851688135</t>
  </si>
  <si>
    <t>794848181</t>
  </si>
  <si>
    <t>P96 L34 D87 2009</t>
  </si>
  <si>
    <t>0                      P  0096000L  34                 D  87          2009</t>
  </si>
  <si>
    <t>Language and media : a resource book for students / Alan Durant and Marina Lambrou.</t>
  </si>
  <si>
    <t>Durant, Alan, 1954-</t>
  </si>
  <si>
    <t>891097939:eng</t>
  </si>
  <si>
    <t>244057418</t>
  </si>
  <si>
    <t>ocn244057418</t>
  </si>
  <si>
    <t>3103086899C</t>
  </si>
  <si>
    <t>9780415475730</t>
  </si>
  <si>
    <t>794380609</t>
  </si>
  <si>
    <t>P96 L34 F35 1995</t>
  </si>
  <si>
    <t>0                      P  0096000L  34                 F  35          1995</t>
  </si>
  <si>
    <t>Media discourse / Norman Fairclough.</t>
  </si>
  <si>
    <t>London ; New York : E. Arnold, 1995.</t>
  </si>
  <si>
    <t>1007028:eng</t>
  </si>
  <si>
    <t>32429357</t>
  </si>
  <si>
    <t>ocm32429357</t>
  </si>
  <si>
    <t>31027512169</t>
  </si>
  <si>
    <t>9780340632222</t>
  </si>
  <si>
    <t>793383847</t>
  </si>
  <si>
    <t>P96 L34 F35 2005</t>
  </si>
  <si>
    <t>0                      P  0096000L  34                 F  35          2005</t>
  </si>
  <si>
    <t>London ; New York : Bloomsbury Academic, 2005.</t>
  </si>
  <si>
    <t>691102844</t>
  </si>
  <si>
    <t>ocn691102844</t>
  </si>
  <si>
    <t>31033023441</t>
  </si>
  <si>
    <t>9780340588895</t>
  </si>
  <si>
    <t>794855699</t>
  </si>
  <si>
    <t>P96 L34 L35 2009</t>
  </si>
  <si>
    <t>0                      P  0096000L  34                 L  35          2009</t>
  </si>
  <si>
    <t>Language and new media : linguistic, cultural, and technological evolutions / edited by Charley Rowe and Eva L. Wyss ; with a foreword by Naomi S. Baron.</t>
  </si>
  <si>
    <t>Cresskill, NJ : Hampton Press, [2009]</t>
  </si>
  <si>
    <t>New media, policy and social research issues</t>
  </si>
  <si>
    <t>2016-03-16</t>
  </si>
  <si>
    <t>818631720:eng</t>
  </si>
  <si>
    <t>320622239</t>
  </si>
  <si>
    <t>ocn320622239</t>
  </si>
  <si>
    <t>3103155223K</t>
  </si>
  <si>
    <t>9781572739291</t>
  </si>
  <si>
    <t>794486601</t>
  </si>
  <si>
    <t>P96 L34 L36 2010</t>
  </si>
  <si>
    <t>0                      P  0096000L  34                 L  36          2010</t>
  </si>
  <si>
    <t>Language ideologies and media discourse : texts, practices, politics / edited by Sally Johnson and Tommaso M. Milani.</t>
  </si>
  <si>
    <t>1044651244:eng</t>
  </si>
  <si>
    <t>432982929</t>
  </si>
  <si>
    <t>ocn432982929</t>
  </si>
  <si>
    <t>3103131119E</t>
  </si>
  <si>
    <t>9781441129673</t>
  </si>
  <si>
    <t>794782032</t>
  </si>
  <si>
    <t>P96 L34 L365 2007</t>
  </si>
  <si>
    <t>0                      P  0096000L  34                 L  365         2007</t>
  </si>
  <si>
    <t>Language in the media : representations, identities, ideologies / edited by Sally Johnson and Astrid Ensslin.</t>
  </si>
  <si>
    <t>2018-03-25</t>
  </si>
  <si>
    <t>864327723:eng</t>
  </si>
  <si>
    <t>122309101</t>
  </si>
  <si>
    <t>ocn122309101</t>
  </si>
  <si>
    <t>3102572678K</t>
  </si>
  <si>
    <t>9780826495488</t>
  </si>
  <si>
    <t>794220072</t>
  </si>
  <si>
    <t>P96 L34 M94 2010</t>
  </si>
  <si>
    <t>0                      P  0096000L  34                 M  94          2010</t>
  </si>
  <si>
    <t>The discourse of blogs and wikis / Greg Myers.</t>
  </si>
  <si>
    <t>Myers, Greg, 1954-</t>
  </si>
  <si>
    <t>London : Continuum, 2009.</t>
  </si>
  <si>
    <t>Continuum discourse series</t>
  </si>
  <si>
    <t>293330632:eng</t>
  </si>
  <si>
    <t>277203901</t>
  </si>
  <si>
    <t>ocn277203901</t>
  </si>
  <si>
    <t>3103130728Z</t>
  </si>
  <si>
    <t>9781847064134</t>
  </si>
  <si>
    <t>794418790</t>
  </si>
  <si>
    <t>P96 L34 M96 2010</t>
  </si>
  <si>
    <t>0                      P  0096000L  34                 M  96          2010</t>
  </si>
  <si>
    <t>Bourdieu, language and the media / John F. Myles.</t>
  </si>
  <si>
    <t>Myles, John, 1953-</t>
  </si>
  <si>
    <t>477836759:eng</t>
  </si>
  <si>
    <t>609541078</t>
  </si>
  <si>
    <t>ocn609541078</t>
  </si>
  <si>
    <t>31032310259</t>
  </si>
  <si>
    <t>9780230222090</t>
  </si>
  <si>
    <t>794820128</t>
  </si>
  <si>
    <t>P96 L34 O39 2006</t>
  </si>
  <si>
    <t>0                      P  0096000L  34                 O  39          2006</t>
  </si>
  <si>
    <t>Investigating media discourse / Anne O'Keeffe.</t>
  </si>
  <si>
    <t>O'Keeffe, Anne.</t>
  </si>
  <si>
    <t>48310638:eng</t>
  </si>
  <si>
    <t>63660230</t>
  </si>
  <si>
    <t>ocm63660230</t>
  </si>
  <si>
    <t>3102565777A</t>
  </si>
  <si>
    <t>9780415364676</t>
  </si>
  <si>
    <t>794122071</t>
  </si>
  <si>
    <t>P96 L34 R67 1997</t>
  </si>
  <si>
    <t>0                      P  0096000L  34                 R  67          1997</t>
  </si>
  <si>
    <t>The semantics of media / by Jeff Ross.</t>
  </si>
  <si>
    <t>Ross, Jeff.</t>
  </si>
  <si>
    <t>Dordrecht ; Boston : Kluwer Academic Publishers, ©1997.</t>
  </si>
  <si>
    <t>Studies in linguistics and philosophy ; v. 64</t>
  </si>
  <si>
    <t>5612229561:eng</t>
  </si>
  <si>
    <t>36074561</t>
  </si>
  <si>
    <t>ocm36074561</t>
  </si>
  <si>
    <t>31027512119</t>
  </si>
  <si>
    <t>9780792343899</t>
  </si>
  <si>
    <t>793465677</t>
  </si>
  <si>
    <t>P96 L34 W75 2010</t>
  </si>
  <si>
    <t>0                      P  0096000L  34                 W  75          2010</t>
  </si>
  <si>
    <t>Writing and the digital generation : essays on new media rhetoric / edited by Heather Urbanski.</t>
  </si>
  <si>
    <t>888359044:eng</t>
  </si>
  <si>
    <t>432995264</t>
  </si>
  <si>
    <t>ocn432995264</t>
  </si>
  <si>
    <t>3103156149F</t>
  </si>
  <si>
    <t>9780786437207</t>
  </si>
  <si>
    <t>794782200</t>
  </si>
  <si>
    <t>P96 L342 A35747 2006</t>
  </si>
  <si>
    <t>0                      P  0096000L  342                A  35747       2006</t>
  </si>
  <si>
    <t>Indigenous language media in Africa / edited by Abiodun Salawu.</t>
  </si>
  <si>
    <t>Lagos : CCBAAC, ©2006.</t>
  </si>
  <si>
    <t>2016-04-09</t>
  </si>
  <si>
    <t>355395974:eng</t>
  </si>
  <si>
    <t>82365409</t>
  </si>
  <si>
    <t>ocm82365409</t>
  </si>
  <si>
    <t>31026520627</t>
  </si>
  <si>
    <t>9789780390242</t>
  </si>
  <si>
    <t>794205660</t>
  </si>
  <si>
    <t>P96 L342 C2 2016</t>
  </si>
  <si>
    <t>0                      P  0096000L  342                C  2           2016</t>
  </si>
  <si>
    <t>Language and Canadian media : representations, ideologies, policies / Rachelle Vessey.</t>
  </si>
  <si>
    <t>Vessey, Rachelle, author.</t>
  </si>
  <si>
    <t>London : Palgrave Macmillan, [2016]</t>
  </si>
  <si>
    <t>3087226946:eng</t>
  </si>
  <si>
    <t>934194335</t>
  </si>
  <si>
    <t>ocn934194335</t>
  </si>
  <si>
    <t>3103645445M</t>
  </si>
  <si>
    <t>9781137530004</t>
  </si>
  <si>
    <t>795009506</t>
  </si>
  <si>
    <t>P96.L342 S747 2019</t>
  </si>
  <si>
    <t>0                      P  0096000L  342                S  747         2019</t>
  </si>
  <si>
    <t>El español de Cataluña en los medios de comunicación / Dolors Poch Olivé (ed.).</t>
  </si>
  <si>
    <t>Madrid : Iberoamericana ; Frankfurt am Main : Vervuert, 2019.</t>
  </si>
  <si>
    <t>Lingüística iberoamericana ; vol. 78</t>
  </si>
  <si>
    <t>2020-01-15</t>
  </si>
  <si>
    <t>9897881436:spa</t>
  </si>
  <si>
    <t>1134621191</t>
  </si>
  <si>
    <t>on1134621191</t>
  </si>
  <si>
    <t>3103875712U</t>
  </si>
  <si>
    <t>9788491920878</t>
  </si>
  <si>
    <t>795086905</t>
  </si>
  <si>
    <t>P96 L342 U557 2005</t>
  </si>
  <si>
    <t>0                      P  0096000L  342                U  557         2005</t>
  </si>
  <si>
    <t>Slam dunks and no-brainers : language in your life, the media, business, politics, and, like, whatever / Leslie Savan.</t>
  </si>
  <si>
    <t>Savan, Leslie.</t>
  </si>
  <si>
    <t>New York : Knopf, 2005.</t>
  </si>
  <si>
    <t>441232280:eng</t>
  </si>
  <si>
    <t>58546024</t>
  </si>
  <si>
    <t>ocm58546024</t>
  </si>
  <si>
    <t>3102751291U</t>
  </si>
  <si>
    <t>9780375402470</t>
  </si>
  <si>
    <t>793922298</t>
  </si>
  <si>
    <t>P96 L5 D45 2007</t>
  </si>
  <si>
    <t>0                      P  0096000L  5                  D  45          2007</t>
  </si>
  <si>
    <t>Textwelten und Bildräume : Essays zu Literatur und Medien / Volker Demuth.</t>
  </si>
  <si>
    <t>Demuth, Volker.</t>
  </si>
  <si>
    <t>Würzburg : Königshausen &amp; Neumann, 2007.</t>
  </si>
  <si>
    <t>899840971:ger</t>
  </si>
  <si>
    <t>91790343</t>
  </si>
  <si>
    <t>ocm91790343</t>
  </si>
  <si>
    <t>3103506106O</t>
  </si>
  <si>
    <t>9783826035340</t>
  </si>
  <si>
    <t>794219183</t>
  </si>
  <si>
    <t>P96 L5 I43 2010</t>
  </si>
  <si>
    <t>0                      P  0096000L  5                  I  43          2010</t>
  </si>
  <si>
    <t>ImageScapes : studies in intermediality / Christian J. Emden and Gabriele Rippl (eds).</t>
  </si>
  <si>
    <t>Oxford ; New York : Peter Lang, ©2010.</t>
  </si>
  <si>
    <t>Cultural history and literary imagination ; v. 9</t>
  </si>
  <si>
    <t>2017-02-07</t>
  </si>
  <si>
    <t>792075462:eng</t>
  </si>
  <si>
    <t>648480782</t>
  </si>
  <si>
    <t>ocn648480782</t>
  </si>
  <si>
    <t>3103233821E</t>
  </si>
  <si>
    <t>9783039105731</t>
  </si>
  <si>
    <t>794831293</t>
  </si>
  <si>
    <t>P96 L5 I58 2011</t>
  </si>
  <si>
    <t>0                      P  0096000L  5                  I  58          2011</t>
  </si>
  <si>
    <t>The invasion of books in peripheral literary fields : transmitting preferences and images in media, networks and translation / edited by Petra Broomans and Ester Jiresch.</t>
  </si>
  <si>
    <t>Groningen : Barkhuis, 2011.</t>
  </si>
  <si>
    <t>Studies in cultural transfer and transmission ; v. 3</t>
  </si>
  <si>
    <t>2014-03-05</t>
  </si>
  <si>
    <t>1118415982:eng</t>
  </si>
  <si>
    <t>785080185</t>
  </si>
  <si>
    <t>ocn785080185</t>
  </si>
  <si>
    <t>31034148228</t>
  </si>
  <si>
    <t>9789491431067</t>
  </si>
  <si>
    <t>794914702</t>
  </si>
  <si>
    <t>P96 L5 K58 1997</t>
  </si>
  <si>
    <t>0                      P  0096000L  5                  K  58          1997</t>
  </si>
  <si>
    <t>Literature, media, information systems : essays / Friedrich A. Kittler ; edited and introduced, John Johnston.</t>
  </si>
  <si>
    <t>Kittler, Friedrich A.</t>
  </si>
  <si>
    <t>Amsterdam : GB Arts International, ©1997.</t>
  </si>
  <si>
    <t>3173667:eng</t>
  </si>
  <si>
    <t>38313495</t>
  </si>
  <si>
    <t>ocm38313495</t>
  </si>
  <si>
    <t>3101854627H</t>
  </si>
  <si>
    <t>9789057010712</t>
  </si>
  <si>
    <t>793521977</t>
  </si>
  <si>
    <t>P96 L5 L5</t>
  </si>
  <si>
    <t>0                      P  0096000L  5                  L  5</t>
  </si>
  <si>
    <t>Literatur in den Massenmedien, Demontage von Dichtung? / hrsg. von Friedrich Knilli, Knut Hickethier, Wolf Dieter Lützen.</t>
  </si>
  <si>
    <t>München ; Wien : Hanser, 1976.</t>
  </si>
  <si>
    <t>Reihe Hanser Medien</t>
  </si>
  <si>
    <t>8334492:ger</t>
  </si>
  <si>
    <t>3096657</t>
  </si>
  <si>
    <t>ocm03096657</t>
  </si>
  <si>
    <t>3102751290U</t>
  </si>
  <si>
    <t>9783446122642</t>
  </si>
  <si>
    <t>792217007</t>
  </si>
  <si>
    <t>P96 L5 T36 2010</t>
  </si>
  <si>
    <t>0                      P  0096000L  5                  T  36          2010</t>
  </si>
  <si>
    <t>Chong gou wen xue chang : dang dai wen hua qing jing zhong de chuan mei yu wen xue = Reconstruction of literature field : Medias and literature in modern situation / Tan Xudong zhu.</t>
  </si>
  <si>
    <t>Tan, Xudong.</t>
  </si>
  <si>
    <t>Lanzhou shi : Dunhuang wen yi chu ban she, 2010.</t>
  </si>
  <si>
    <t>1165065401:chi</t>
  </si>
  <si>
    <t>808630724</t>
  </si>
  <si>
    <t>ocn808630724</t>
  </si>
  <si>
    <t>3103554683D</t>
  </si>
  <si>
    <t>9787546801537</t>
  </si>
  <si>
    <t>794927796</t>
  </si>
  <si>
    <t>P96 L5 W46 2004</t>
  </si>
  <si>
    <t>0                      P  0096000L  5                  W  46          2004</t>
  </si>
  <si>
    <t>Kultur, Medien, Literatur : Literaturwissenschaft als Medienkulturwissenschaft / Waltraud "Wara" Wende.</t>
  </si>
  <si>
    <t>Wende, Waltraud, 1957-</t>
  </si>
  <si>
    <t>Würzburg : Königshausen &amp; Neumann, ©2004.</t>
  </si>
  <si>
    <t>141022692:ger</t>
  </si>
  <si>
    <t>54695941</t>
  </si>
  <si>
    <t>ocm54695941</t>
  </si>
  <si>
    <t>3102670946J</t>
  </si>
  <si>
    <t>9783826027420</t>
  </si>
  <si>
    <t>793865947</t>
  </si>
  <si>
    <t>P96 L62 M35 2009</t>
  </si>
  <si>
    <t>0                      P  0096000L  62                 M  35          2009</t>
  </si>
  <si>
    <t>Making our media : global initiatives toward a democratic public sphere / edited by Laura Stein, Dorothy Kidd, Clemencia Rodríguez.</t>
  </si>
  <si>
    <t>Cresskill, NJ : Hampton Press, ©2009-</t>
  </si>
  <si>
    <t>Euricom monographs</t>
  </si>
  <si>
    <t>3863837487:eng</t>
  </si>
  <si>
    <t>320622150</t>
  </si>
  <si>
    <t>ocn320622150</t>
  </si>
  <si>
    <t>31031574314</t>
  </si>
  <si>
    <t>9781572737921</t>
  </si>
  <si>
    <t>794486594</t>
  </si>
  <si>
    <t>3103157720Y</t>
  </si>
  <si>
    <t>794486595</t>
  </si>
  <si>
    <t>P96 L622 C2157 2018</t>
  </si>
  <si>
    <t>0                      P  0096000L  622                C  2157        2018</t>
  </si>
  <si>
    <t>Extinction de voix : plaidoyer pour la sauvegarde de l'information régionale / Marie-Ève Martel ; préface de Michel Nadeau.</t>
  </si>
  <si>
    <t>Martel, Marie-Ève, 1979- author.</t>
  </si>
  <si>
    <t>[Montréal] : Éditions Somme toute, [2018]</t>
  </si>
  <si>
    <t>5560689052:fre</t>
  </si>
  <si>
    <t>1066135460</t>
  </si>
  <si>
    <t>on1066135460</t>
  </si>
  <si>
    <t>31037306443</t>
  </si>
  <si>
    <t>9782897940409</t>
  </si>
  <si>
    <t>795066759</t>
  </si>
  <si>
    <t>P96 L622 G76 2007</t>
  </si>
  <si>
    <t>0                      P  0096000L  622                G  76          2007</t>
  </si>
  <si>
    <t>Understanding the local media / Meryl Aldridge.</t>
  </si>
  <si>
    <t>Aldridge, Meryl.</t>
  </si>
  <si>
    <t>Maidenhead : Open University Press, 2007.</t>
  </si>
  <si>
    <t>2015-09-28</t>
  </si>
  <si>
    <t>63322056:eng</t>
  </si>
  <si>
    <t>77795692</t>
  </si>
  <si>
    <t>ocm77795692</t>
  </si>
  <si>
    <t>31025701814</t>
  </si>
  <si>
    <t>9780335221721</t>
  </si>
  <si>
    <t>794193399</t>
  </si>
  <si>
    <t>P96 L622 G85 2011</t>
  </si>
  <si>
    <t>0                      P  0096000L  622                G  85          2011</t>
  </si>
  <si>
    <t>Local radio, going global / Guy Starkey.</t>
  </si>
  <si>
    <t>Starkey, Guy.</t>
  </si>
  <si>
    <t>Basingstoke, Hampshire ; New York : Palgrave Macmillan, 2011.</t>
  </si>
  <si>
    <t>900755198:eng</t>
  </si>
  <si>
    <t>724657087</t>
  </si>
  <si>
    <t>ocn724657087</t>
  </si>
  <si>
    <t>3103381967H</t>
  </si>
  <si>
    <t>9780230276895</t>
  </si>
  <si>
    <t>794876545</t>
  </si>
  <si>
    <t>P96 M34 M36 2011</t>
  </si>
  <si>
    <t>0                      P  0096000M  34                 M  36          2011</t>
  </si>
  <si>
    <t>Managing media work / Mark Deuze, editor.</t>
  </si>
  <si>
    <t>577370413:eng</t>
  </si>
  <si>
    <t>526116855</t>
  </si>
  <si>
    <t>ocn526116855</t>
  </si>
  <si>
    <t>3103227018T</t>
  </si>
  <si>
    <t>9781412971249</t>
  </si>
  <si>
    <t>794809158</t>
  </si>
  <si>
    <t>P96 M34 M385 2013</t>
  </si>
  <si>
    <t>0                      P  0096000M  34                 M  385         2013</t>
  </si>
  <si>
    <t>Media management and economics research in a transmedia environment : papers from the 2012 Broadcast Education Association research symposium / symposium chair [and] edited by Alan B. Albarran.</t>
  </si>
  <si>
    <t>New York, NY : Routledge, Taylor &amp; Francis Group, 2013.</t>
  </si>
  <si>
    <t>2014-08-07</t>
  </si>
  <si>
    <t>1413491851:eng</t>
  </si>
  <si>
    <t>819741515</t>
  </si>
  <si>
    <t>ocn819741515</t>
  </si>
  <si>
    <t>3103498440Y</t>
  </si>
  <si>
    <t>9780415818155</t>
  </si>
  <si>
    <t>794934867</t>
  </si>
  <si>
    <t>P96 M34 M44 2011</t>
  </si>
  <si>
    <t>0                      P  0096000M  34                 M  44          2011</t>
  </si>
  <si>
    <t>Media clusters : spatial agglomeration and content capabilities / edited by Charlie Karlsson, Robert G. Picard.</t>
  </si>
  <si>
    <t>Cheltenham, UK ; Northampton, MA, USA : Edward Elgar Pub., ©2011.</t>
  </si>
  <si>
    <t>New horizons in regional science</t>
  </si>
  <si>
    <t>1056207770:eng</t>
  </si>
  <si>
    <t>742002679</t>
  </si>
  <si>
    <t>ocn742002679</t>
  </si>
  <si>
    <t>31034219840</t>
  </si>
  <si>
    <t>9780857932686</t>
  </si>
  <si>
    <t>794884646</t>
  </si>
  <si>
    <t>P96 M36 B35 2002</t>
  </si>
  <si>
    <t>0                      P  0096000M  36                 B  35          2002</t>
  </si>
  <si>
    <t>Media, markets, and democracy / C. Edwin Baker.</t>
  </si>
  <si>
    <t>Cambridge ; New York : Cambridge University Press, 2002.</t>
  </si>
  <si>
    <t>9566737:eng</t>
  </si>
  <si>
    <t>46402100</t>
  </si>
  <si>
    <t>ocm46402100</t>
  </si>
  <si>
    <t>3102560936W</t>
  </si>
  <si>
    <t>9780521804356</t>
  </si>
  <si>
    <t>793684120</t>
  </si>
  <si>
    <t>P96 M36 H37 2010</t>
  </si>
  <si>
    <t>0                      P  0096000M  36                 H  37          2010</t>
  </si>
  <si>
    <t>Cross-media promotion / Jonathan Hardy.</t>
  </si>
  <si>
    <t>2012-11-28</t>
  </si>
  <si>
    <t>774048077:eng</t>
  </si>
  <si>
    <t>670206847</t>
  </si>
  <si>
    <t>ocn670206847</t>
  </si>
  <si>
    <t>3103230838O</t>
  </si>
  <si>
    <t>9781433101465</t>
  </si>
  <si>
    <t>794847437</t>
  </si>
  <si>
    <t>P96 M385 C66 2013</t>
  </si>
  <si>
    <t>0                      P  0096000M  385                C  66          2013</t>
  </si>
  <si>
    <t>Communicating marginalized masculinities : identity politics in TV, film, and new media / edited by Ronald L. Jackson II and Jamie E. Moshin.</t>
  </si>
  <si>
    <t>Routledge studies in rhetoric and communication ; 11</t>
  </si>
  <si>
    <t>2018-07-11</t>
  </si>
  <si>
    <t>1123819855:eng</t>
  </si>
  <si>
    <t>776535188</t>
  </si>
  <si>
    <t>ocn776535188</t>
  </si>
  <si>
    <t>3103457144U</t>
  </si>
  <si>
    <t>9780415623070</t>
  </si>
  <si>
    <t>794908167</t>
  </si>
  <si>
    <t>P96 M395 M38 2012</t>
  </si>
  <si>
    <t>0                      P  0096000M  395                M  38          2012</t>
  </si>
  <si>
    <t>Mathematics in popular culture : essays on appearances in film, fiction, games, television and other media / edited by Jessica K. Sklar and Elizabeth S. Sklar ; foreword by Keith Devlin.</t>
  </si>
  <si>
    <t>1097992834:eng</t>
  </si>
  <si>
    <t>757462061</t>
  </si>
  <si>
    <t>ocn757462061</t>
  </si>
  <si>
    <t>31034112015</t>
  </si>
  <si>
    <t>9780786449781</t>
  </si>
  <si>
    <t>794895373</t>
  </si>
  <si>
    <t>P96 M4 G34 2010</t>
  </si>
  <si>
    <t>0                      P  0096000M  4                  G  34          2010</t>
  </si>
  <si>
    <t>New digital media and learning as an emerging area and "worked examples" as one way forward / James Paul Gee.</t>
  </si>
  <si>
    <t>Cambridge, Mass. : The MIT Press, ©2010.</t>
  </si>
  <si>
    <t>The John D. and Catherine T. Macarthur Foundation reports on digital media and learning</t>
  </si>
  <si>
    <t>308237364:eng</t>
  </si>
  <si>
    <t>421146810</t>
  </si>
  <si>
    <t>ocn421146810</t>
  </si>
  <si>
    <t>3103157808Z</t>
  </si>
  <si>
    <t>9780262513692</t>
  </si>
  <si>
    <t>794503749</t>
  </si>
  <si>
    <t>P96 M4 J46 2009</t>
  </si>
  <si>
    <t>0                      P  0096000M  4                  J  46          2009</t>
  </si>
  <si>
    <t>Confronting the challenges of participatory culture : media education for the 21st century / Henry Jenkins (P.I.) with Ravi Purushotma [and others].</t>
  </si>
  <si>
    <t>Cambridge, MA : The MIT Press, ©2009.</t>
  </si>
  <si>
    <t>The John D. and Catherine T. MacArthur Foundation Reports on Digital Media and Learning</t>
  </si>
  <si>
    <t>2017-05-24</t>
  </si>
  <si>
    <t>196417866:eng</t>
  </si>
  <si>
    <t>314378966</t>
  </si>
  <si>
    <t>ocn314378966</t>
  </si>
  <si>
    <t>31031358516</t>
  </si>
  <si>
    <t>9780262513623</t>
  </si>
  <si>
    <t>794438443</t>
  </si>
  <si>
    <t>P96 M4 J66 2012</t>
  </si>
  <si>
    <t>0                      P  0096000M  4                  J  66          2012</t>
  </si>
  <si>
    <t>Understanding digital literacies : a practical introduction / Rodney H. Jones, Christoph A. Hafner.</t>
  </si>
  <si>
    <t>Jones, Rodney H.</t>
  </si>
  <si>
    <t>London [i.e. Abingdon, Oxon] ; New York : Routledge, 2012.</t>
  </si>
  <si>
    <t>1118882020:eng</t>
  </si>
  <si>
    <t>711041611</t>
  </si>
  <si>
    <t>ocn711041611</t>
  </si>
  <si>
    <t>3103429373P</t>
  </si>
  <si>
    <t>9780415673167</t>
  </si>
  <si>
    <t>794870501</t>
  </si>
  <si>
    <t>P96 M4 M45 2007</t>
  </si>
  <si>
    <t>0                      P  0096000M  4                  M  45          2007</t>
  </si>
  <si>
    <t>Media literacy : a reader / edited by Donaldo Macedo &amp; Shirley R. Steinberg.</t>
  </si>
  <si>
    <t>2012-01-26</t>
  </si>
  <si>
    <t>2017-02-24</t>
  </si>
  <si>
    <t>802253099:eng</t>
  </si>
  <si>
    <t>77116826</t>
  </si>
  <si>
    <t>ocm77116826</t>
  </si>
  <si>
    <t>31030351232</t>
  </si>
  <si>
    <t>9780820486680</t>
  </si>
  <si>
    <t>794180955</t>
  </si>
  <si>
    <t>3103212624Y</t>
  </si>
  <si>
    <t>794180958</t>
  </si>
  <si>
    <t>2011-09-22</t>
  </si>
  <si>
    <t>3103034607W</t>
  </si>
  <si>
    <t>794180957</t>
  </si>
  <si>
    <t>2014-09-10</t>
  </si>
  <si>
    <t>3102639520J</t>
  </si>
  <si>
    <t>794180956</t>
  </si>
  <si>
    <t>P96 M4 N5495 2012</t>
  </si>
  <si>
    <t>0                      P  0096000M  4                  N  5495        2012</t>
  </si>
  <si>
    <t>News literacy : global perspectives for the newsroom and the classroom / edited by Paul Mihailidis.</t>
  </si>
  <si>
    <t>Mass communication and journalism ; v. 7</t>
  </si>
  <si>
    <t>1047564559:eng</t>
  </si>
  <si>
    <t>762373559</t>
  </si>
  <si>
    <t>ocn762373559</t>
  </si>
  <si>
    <t>31034050020</t>
  </si>
  <si>
    <t>9781433115646</t>
  </si>
  <si>
    <t>794899900</t>
  </si>
  <si>
    <t>P96 M4 P68 1998</t>
  </si>
  <si>
    <t>0                      P  0096000M  4                  P  68          1998</t>
  </si>
  <si>
    <t>Media literacy / W. James Potter.</t>
  </si>
  <si>
    <t>Thousand Oaks : Sage Publications, ©1998.</t>
  </si>
  <si>
    <t>2477764:eng</t>
  </si>
  <si>
    <t>37451859</t>
  </si>
  <si>
    <t>ocm37451859</t>
  </si>
  <si>
    <t>3102751285W</t>
  </si>
  <si>
    <t>9780761909255</t>
  </si>
  <si>
    <t>793498982</t>
  </si>
  <si>
    <t>31019532143</t>
  </si>
  <si>
    <t>793498983</t>
  </si>
  <si>
    <t>P96 M4 P68 2001</t>
  </si>
  <si>
    <t>0                      P  0096000M  4                  P  68          2001</t>
  </si>
  <si>
    <t>Thousand Oaks, Calif. : Sage, ©2001.</t>
  </si>
  <si>
    <t>45363238</t>
  </si>
  <si>
    <t>ocm45363238</t>
  </si>
  <si>
    <t>3103400499R</t>
  </si>
  <si>
    <t>9780761923145</t>
  </si>
  <si>
    <t>793670096</t>
  </si>
  <si>
    <t>3102751284W</t>
  </si>
  <si>
    <t>793670097</t>
  </si>
  <si>
    <t>P96 M4 P68 2011</t>
  </si>
  <si>
    <t>0                      P  0096000M  4                  P  68          2011</t>
  </si>
  <si>
    <t>2013-10-29</t>
  </si>
  <si>
    <t>495597262</t>
  </si>
  <si>
    <t>ocn495597262</t>
  </si>
  <si>
    <t>3103238950M</t>
  </si>
  <si>
    <t>9781412979450</t>
  </si>
  <si>
    <t>794801841</t>
  </si>
  <si>
    <t>P96 M4 P68 2013</t>
  </si>
  <si>
    <t>0                      P  0096000M  4                  P  68          2013</t>
  </si>
  <si>
    <t>Potter, W. James, author.</t>
  </si>
  <si>
    <t>Los Angeles ; London : Sage Publications, ©2013.</t>
  </si>
  <si>
    <t>2013-10-24</t>
  </si>
  <si>
    <t>756767688</t>
  </si>
  <si>
    <t>ocn756767688</t>
  </si>
  <si>
    <t>3103432286C</t>
  </si>
  <si>
    <t>9781452206257</t>
  </si>
  <si>
    <t>794894905</t>
  </si>
  <si>
    <t>P96 M4 S34 2012</t>
  </si>
  <si>
    <t>0                      P  0096000M  4                  S  34          2012</t>
  </si>
  <si>
    <t>The teacher's guide to media literacy : critical thinking in a multimedia world / Cyndy Scheibe, Faith Rogow.</t>
  </si>
  <si>
    <t>Scheibe, Cyndy.</t>
  </si>
  <si>
    <t>Thousand Oaks, Calif. : Corwin, ©2012.</t>
  </si>
  <si>
    <t>1079004460:eng</t>
  </si>
  <si>
    <t>733232937</t>
  </si>
  <si>
    <t>ocn733232937</t>
  </si>
  <si>
    <t>3103396072H</t>
  </si>
  <si>
    <t>9781412997584</t>
  </si>
  <si>
    <t>794881881</t>
  </si>
  <si>
    <t>P96 M4S53 2009</t>
  </si>
  <si>
    <t>0                      P  0096000M  4                  S  53          2009</t>
  </si>
  <si>
    <t>Media literacy is elementary : teaching youth to critically read and create media / Jeff Share.</t>
  </si>
  <si>
    <t>Share, Jeff.</t>
  </si>
  <si>
    <t>Rethinking childhood, 1086-7155 ; v. 41</t>
  </si>
  <si>
    <t>891945706:eng</t>
  </si>
  <si>
    <t>233283708</t>
  </si>
  <si>
    <t>ocn233283708</t>
  </si>
  <si>
    <t>31031359601</t>
  </si>
  <si>
    <t>9781433103926</t>
  </si>
  <si>
    <t>794366004</t>
  </si>
  <si>
    <t>P96 M4 S55 2010</t>
  </si>
  <si>
    <t>0                      P  0096000M  4                  S  55          2010</t>
  </si>
  <si>
    <t>Design literacies : learning and innovation in the digital age / Mary P. Sheridan and Jennifer Rowsell.</t>
  </si>
  <si>
    <t>Sheridan, Mary P., 1966-</t>
  </si>
  <si>
    <t>Literacies</t>
  </si>
  <si>
    <t>374609129:eng</t>
  </si>
  <si>
    <t>457164570</t>
  </si>
  <si>
    <t>ocn457164570</t>
  </si>
  <si>
    <t>3103133463O</t>
  </si>
  <si>
    <t>9780415559645</t>
  </si>
  <si>
    <t>794789988</t>
  </si>
  <si>
    <t>P96 M4 S59 2009</t>
  </si>
  <si>
    <t>0                      P  0096000M  4                  S  59          2009</t>
  </si>
  <si>
    <t>Approaches to media literacy : a handbook / Art Silverblatt, Jane Ferry, Barbara Finan.</t>
  </si>
  <si>
    <t>Armonk, N.Y. : M.E. Sharpe, ©2009.</t>
  </si>
  <si>
    <t>199202680:eng</t>
  </si>
  <si>
    <t>271104185</t>
  </si>
  <si>
    <t>ocn271104185</t>
  </si>
  <si>
    <t>3103085763P</t>
  </si>
  <si>
    <t>9780765622648</t>
  </si>
  <si>
    <t>794413720</t>
  </si>
  <si>
    <t>P96 M4 T253 2010</t>
  </si>
  <si>
    <t>0                      P  0096000M  4                  T  253         2010</t>
  </si>
  <si>
    <t>Teaching media in primary schools / edited by Cary Bazalgette.</t>
  </si>
  <si>
    <t>London : SAGE, 2010.</t>
  </si>
  <si>
    <t>502151513:eng</t>
  </si>
  <si>
    <t>640084629</t>
  </si>
  <si>
    <t>ocn640084629</t>
  </si>
  <si>
    <t>3103323145U</t>
  </si>
  <si>
    <t>9781849205757</t>
  </si>
  <si>
    <t>794827262</t>
  </si>
  <si>
    <t>P96 M42 U5846 2014</t>
  </si>
  <si>
    <t>0                      P  0096000M  42                 U  5846        2014</t>
  </si>
  <si>
    <t>The Praeger handbook of media literacy / Art Silverblatt, editor.</t>
  </si>
  <si>
    <t>Santa Barbara, California : Praeger, [2014]</t>
  </si>
  <si>
    <t>3771442870:eng</t>
  </si>
  <si>
    <t>780481242</t>
  </si>
  <si>
    <t>ocn780481242</t>
  </si>
  <si>
    <t>3103505435D</t>
  </si>
  <si>
    <t>9780313392818</t>
  </si>
  <si>
    <t>794912276</t>
  </si>
  <si>
    <t>2016-12-19</t>
  </si>
  <si>
    <t>3103505440B</t>
  </si>
  <si>
    <t>794912275</t>
  </si>
  <si>
    <t>P96 M42 U585 2005</t>
  </si>
  <si>
    <t>0                      P  0096000M  42                 U  585         2005</t>
  </si>
  <si>
    <t>Speaking the lower frequencies : students and media literacy / Walter R. Jacobs.</t>
  </si>
  <si>
    <t>Jacobs, Walter R., 1968-</t>
  </si>
  <si>
    <t>Albany : State University of New York Press, ©2005.</t>
  </si>
  <si>
    <t>2009-03-31</t>
  </si>
  <si>
    <t>14016483:eng</t>
  </si>
  <si>
    <t>55067158</t>
  </si>
  <si>
    <t>ocm55067158</t>
  </si>
  <si>
    <t>3102502082Y</t>
  </si>
  <si>
    <t>9780791463956</t>
  </si>
  <si>
    <t>793873698</t>
  </si>
  <si>
    <t>3102579945Q</t>
  </si>
  <si>
    <t>793873697</t>
  </si>
  <si>
    <t>P96 M45 C76 2010</t>
  </si>
  <si>
    <t>0                      P  0096000M  45                 C  76          2010</t>
  </si>
  <si>
    <t>Mediating madness : mental distress and cultural representation / Simon Cross.</t>
  </si>
  <si>
    <t>Cross, Simon, 1964-</t>
  </si>
  <si>
    <t>793257083:eng</t>
  </si>
  <si>
    <t>436623477</t>
  </si>
  <si>
    <t>ocn436623477</t>
  </si>
  <si>
    <t>3103242036Z</t>
  </si>
  <si>
    <t>9780230005310</t>
  </si>
  <si>
    <t>794784848</t>
  </si>
  <si>
    <t>P96 M45 H37 2009</t>
  </si>
  <si>
    <t>0                      P  0096000M  45                 H  37          2009</t>
  </si>
  <si>
    <t>Madness, power and the media : class, gender and race in popular representations of mental distress / Stephen Harper.</t>
  </si>
  <si>
    <t>Houndmills, Basingstoke, Hampshire ; New York, NY : Palgrave Macmillan, 2009.</t>
  </si>
  <si>
    <t>773591301:eng</t>
  </si>
  <si>
    <t>298778547</t>
  </si>
  <si>
    <t>ocn298778547</t>
  </si>
  <si>
    <t>31031348814</t>
  </si>
  <si>
    <t>9780230218802</t>
  </si>
  <si>
    <t>794428429</t>
  </si>
  <si>
    <t>P96 M45 M43 1996</t>
  </si>
  <si>
    <t>0                      P  0096000M  45                 M  43          1996</t>
  </si>
  <si>
    <t>Media and mental health / Glasgow Media Group ; edited by Greg Philo.</t>
  </si>
  <si>
    <t>2015-11-11</t>
  </si>
  <si>
    <t>3901610258:eng</t>
  </si>
  <si>
    <t>34823876</t>
  </si>
  <si>
    <t>ocm34823876</t>
  </si>
  <si>
    <t>3102751280W</t>
  </si>
  <si>
    <t>9780582292192</t>
  </si>
  <si>
    <t>793436597</t>
  </si>
  <si>
    <t>P96 M5 R53 1994</t>
  </si>
  <si>
    <t>0                      P  0096000M  5                  R  53          1994</t>
  </si>
  <si>
    <t>A richer vision : the development of ethnic minority media in western democracies / edited by Charles Husband.</t>
  </si>
  <si>
    <t>Paris, France : Unesco Pub. ; London, England : J. Libbey, 1994.</t>
  </si>
  <si>
    <t>Communication and development series</t>
  </si>
  <si>
    <t>891992919:eng</t>
  </si>
  <si>
    <t>30736980</t>
  </si>
  <si>
    <t>ocm30736980</t>
  </si>
  <si>
    <t>3102751277Y</t>
  </si>
  <si>
    <t>9780861964505</t>
  </si>
  <si>
    <t>793343611</t>
  </si>
  <si>
    <t>P96 M6 D43 2010</t>
  </si>
  <si>
    <t>0                      P  0096000M  6                  D  43          2010</t>
  </si>
  <si>
    <t>Prehistoric monsters : the real and imagined creatures of the past that we love to fear / Allen A. Debus.</t>
  </si>
  <si>
    <t>Debus, Allen A.</t>
  </si>
  <si>
    <t>Jefferson, N.C. : McFarland &amp; Co., Publishers, 2010.</t>
  </si>
  <si>
    <t>2010-06-02</t>
  </si>
  <si>
    <t>255964040:eng</t>
  </si>
  <si>
    <t>368029703</t>
  </si>
  <si>
    <t>ocn368029703</t>
  </si>
  <si>
    <t>3103156889N</t>
  </si>
  <si>
    <t>9780786442812</t>
  </si>
  <si>
    <t>794494043</t>
  </si>
  <si>
    <t>P96 M6 M66 2015</t>
  </si>
  <si>
    <t>0                      P  0096000M  6                  M  66          2015</t>
  </si>
  <si>
    <t>Monsters and monstrosity from the fin de siècle to the millennium : new essays / edited by Sharla Hutchison and Rebecca A. Brown.</t>
  </si>
  <si>
    <t>Jefferson, North Carolina : McFarland &amp; Company, Inc., Publishers, [2015]</t>
  </si>
  <si>
    <t>2753875742:eng</t>
  </si>
  <si>
    <t>908375270</t>
  </si>
  <si>
    <t>ocn908375270</t>
  </si>
  <si>
    <t>3103657818U</t>
  </si>
  <si>
    <t>9780786495061</t>
  </si>
  <si>
    <t>794994592</t>
  </si>
  <si>
    <t>P96 M62 U655 2001</t>
  </si>
  <si>
    <t>0                      P  0096000M  62                 U  655         2001</t>
  </si>
  <si>
    <t>At stake : monsters and the rhetoric of fear in public culture / Edward J. Ingebretsen.</t>
  </si>
  <si>
    <t>Ingebretsen, Edward J., 1950-</t>
  </si>
  <si>
    <t>Chicago : University of Chicago Press, ©2001.</t>
  </si>
  <si>
    <t>2018-11-26</t>
  </si>
  <si>
    <t>793048371:eng</t>
  </si>
  <si>
    <t>46240233</t>
  </si>
  <si>
    <t>ocm46240233</t>
  </si>
  <si>
    <t>3103476088J</t>
  </si>
  <si>
    <t>9780226380063</t>
  </si>
  <si>
    <t>793682031</t>
  </si>
  <si>
    <t>P96 M83 C67 2000</t>
  </si>
  <si>
    <t>0                      P  0096000M  83                 C  67          2000</t>
  </si>
  <si>
    <t>The children are watching : how the media teach about diversity / Carlos E. Cortés.</t>
  </si>
  <si>
    <t>Cortés, Carlos E.</t>
  </si>
  <si>
    <t>New York : Teachers College Press, ©2000.</t>
  </si>
  <si>
    <t>Multicultural education series</t>
  </si>
  <si>
    <t>20845775:eng</t>
  </si>
  <si>
    <t>42954383</t>
  </si>
  <si>
    <t>ocm42954383</t>
  </si>
  <si>
    <t>3102751273Y</t>
  </si>
  <si>
    <t>9780807739389</t>
  </si>
  <si>
    <t>793617872</t>
  </si>
  <si>
    <t>3102044774L</t>
  </si>
  <si>
    <t>793617871</t>
  </si>
  <si>
    <t>P96 M85 L47 1993</t>
  </si>
  <si>
    <t>0                      P  0096000M  85                 L  47          1993</t>
  </si>
  <si>
    <t>Pictures at an execution / Wendy Lesser.</t>
  </si>
  <si>
    <t>Lesser, Wendy.</t>
  </si>
  <si>
    <t>Cambridge, Mass. : Harvard University Press, 1993.</t>
  </si>
  <si>
    <t>395891:eng</t>
  </si>
  <si>
    <t>27897148</t>
  </si>
  <si>
    <t>ocm27897148</t>
  </si>
  <si>
    <t>3102751272Y</t>
  </si>
  <si>
    <t>9780674667358</t>
  </si>
  <si>
    <t>793274837</t>
  </si>
  <si>
    <t>P96 M852 I854 2012</t>
  </si>
  <si>
    <t>0                      P  0096000M  852                I  854         2012</t>
  </si>
  <si>
    <t>Murder made in Italy : homicide, media, and contemporary Italian culture / Ellen Nerenberg.</t>
  </si>
  <si>
    <t>Nerenberg, Ellen Victoria, 1962-</t>
  </si>
  <si>
    <t>Bloomington : Indiana University Press, 2012.</t>
  </si>
  <si>
    <t>1120949223:eng</t>
  </si>
  <si>
    <t>663954305</t>
  </si>
  <si>
    <t>ocn663954305</t>
  </si>
  <si>
    <t>3103411235$</t>
  </si>
  <si>
    <t>9780253356253</t>
  </si>
  <si>
    <t>794843074</t>
  </si>
  <si>
    <t>P96 N35 L33 2013</t>
  </si>
  <si>
    <t>0                      P  0096000N  35                 L  33          2013</t>
  </si>
  <si>
    <t>The language of life and death : the transformation of experience in oral narrative / William Labov.</t>
  </si>
  <si>
    <t>Cambridge : CAMBRIDGE University Press, 2013.</t>
  </si>
  <si>
    <t>1408737012:eng</t>
  </si>
  <si>
    <t>823139809</t>
  </si>
  <si>
    <t>ocn823139809</t>
  </si>
  <si>
    <t>3103501375O</t>
  </si>
  <si>
    <t>9781107033344</t>
  </si>
  <si>
    <t>794936951</t>
  </si>
  <si>
    <t>P96 N35 N37 2005</t>
  </si>
  <si>
    <t>0                      P  0096000N  35                 N  37          2005</t>
  </si>
  <si>
    <t>Narrative and media / Helen Fulton [and others].</t>
  </si>
  <si>
    <t>871836313:eng</t>
  </si>
  <si>
    <t>59881741</t>
  </si>
  <si>
    <t>ocm59881741</t>
  </si>
  <si>
    <t>3102558541F</t>
  </si>
  <si>
    <t>9780521617420</t>
  </si>
  <si>
    <t>793932596</t>
  </si>
  <si>
    <t>P96 N35 N49 2011</t>
  </si>
  <si>
    <t>0                      P  0096000N  35                 N  49          2011</t>
  </si>
  <si>
    <t>New narratives : stories and storytelling in the digital age / edited by Ruth Page and Bronwen Thomas.</t>
  </si>
  <si>
    <t>Lincoln : University of Nebraska Press, ©2011.</t>
  </si>
  <si>
    <t>Frontiers of narrative</t>
  </si>
  <si>
    <t>2014-10-08</t>
  </si>
  <si>
    <t>865550773:eng</t>
  </si>
  <si>
    <t>712115611</t>
  </si>
  <si>
    <t>ocn712115611</t>
  </si>
  <si>
    <t>3103384245U</t>
  </si>
  <si>
    <t>9780803217867</t>
  </si>
  <si>
    <t>794871666</t>
  </si>
  <si>
    <t>P96 N35 P34 2012</t>
  </si>
  <si>
    <t>0                      P  0096000N  35                 P  34          2012</t>
  </si>
  <si>
    <t>Stories and social media : identities and interaction / Ruth E. Page.</t>
  </si>
  <si>
    <t>Page, Ruth E., 1972-</t>
  </si>
  <si>
    <t>Routledge studies in sociolinguistics ; 3</t>
  </si>
  <si>
    <t>663875267:eng</t>
  </si>
  <si>
    <t>666242868</t>
  </si>
  <si>
    <t>ocn666242868</t>
  </si>
  <si>
    <t>3103385651C</t>
  </si>
  <si>
    <t>9780415889810</t>
  </si>
  <si>
    <t>794845045</t>
  </si>
  <si>
    <t>P96 N37 M56 2011</t>
  </si>
  <si>
    <t>0                      P  0096000N  37                 M  56          2011</t>
  </si>
  <si>
    <t>Media nations : communicating belonging and exclusion in the modern world / Sabina Mihelj.</t>
  </si>
  <si>
    <t>Mihelj, Sabina.</t>
  </si>
  <si>
    <t>2012-03-30</t>
  </si>
  <si>
    <t>686283857:eng</t>
  </si>
  <si>
    <t>670481201</t>
  </si>
  <si>
    <t>ocn670481201</t>
  </si>
  <si>
    <t>3103235520F</t>
  </si>
  <si>
    <t>9780230231863</t>
  </si>
  <si>
    <t>794848071</t>
  </si>
  <si>
    <t>P96 N37 N38 2009</t>
  </si>
  <si>
    <t>0                      P  0096000N  37                 N  38          2009</t>
  </si>
  <si>
    <t>The nation on screen : discourses of the national on global television / edited by Enric Castelló, Alexander Dhoest, and Hugh O'Donnell.</t>
  </si>
  <si>
    <t>Newcastle upon Tyne, UK : Cambridge Scholars Pub., 2009.</t>
  </si>
  <si>
    <t>866018195:eng</t>
  </si>
  <si>
    <t>458728341</t>
  </si>
  <si>
    <t>ocn458728341</t>
  </si>
  <si>
    <t>3103131683M</t>
  </si>
  <si>
    <t>9781443806145</t>
  </si>
  <si>
    <t>794790525</t>
  </si>
  <si>
    <t>P96 N372 C3 2015</t>
  </si>
  <si>
    <t>0                      P  0096000N  372                C  3           2015</t>
  </si>
  <si>
    <t>Reclaiming Canadian bodies : visual media and representation / Lynda Mannik and Karen McGarry, editors.</t>
  </si>
  <si>
    <t>Waterloo, Ontario : Wilfrid Laurier University Press, [2015]</t>
  </si>
  <si>
    <t>Cultural studies series</t>
  </si>
  <si>
    <t>2239575984:eng</t>
  </si>
  <si>
    <t>890512016</t>
  </si>
  <si>
    <t>ocn890512016</t>
  </si>
  <si>
    <t>3103644647F</t>
  </si>
  <si>
    <t>9781554589838</t>
  </si>
  <si>
    <t>794979305</t>
  </si>
  <si>
    <t>P96 O24 M659 2011</t>
  </si>
  <si>
    <t>0                      P  0096000O  24                 M  659         2011</t>
  </si>
  <si>
    <t>Will the revolution be televised? : a Marxist analysis of the media / John Molyneux.</t>
  </si>
  <si>
    <t>Molyneux, John.</t>
  </si>
  <si>
    <t>London : Bookmarks, 2011.</t>
  </si>
  <si>
    <t>1079991026:eng</t>
  </si>
  <si>
    <t>776777387</t>
  </si>
  <si>
    <t>ocn776777387</t>
  </si>
  <si>
    <t>3103395358G</t>
  </si>
  <si>
    <t>9781905192915</t>
  </si>
  <si>
    <t>794908315</t>
  </si>
  <si>
    <t>P96 O24 R33 2003</t>
  </si>
  <si>
    <t>0                      P  0096000O  24                 R  33          2003</t>
  </si>
  <si>
    <t>Media mythmakers : how journalists, activists, and advertisers mislead us / Benjamin Radford.</t>
  </si>
  <si>
    <t>Radford, Benjamin, 1970-</t>
  </si>
  <si>
    <t>Amherst, N.Y. : Prometheus Books, 2003.</t>
  </si>
  <si>
    <t>939791:eng</t>
  </si>
  <si>
    <t>51854673</t>
  </si>
  <si>
    <t>ocm51854673</t>
  </si>
  <si>
    <t>31024913006</t>
  </si>
  <si>
    <t>9781591020721</t>
  </si>
  <si>
    <t>793792671</t>
  </si>
  <si>
    <t>P96 O242 G67 2013</t>
  </si>
  <si>
    <t>0                      P  0096000O  242                G  67          2013</t>
  </si>
  <si>
    <t>Rebooting the Herman &amp; Chomsky propaganda model in the twenty-first century / Brian Michael Goss.</t>
  </si>
  <si>
    <t>Goss, Brian Michael, 1965-</t>
  </si>
  <si>
    <t>Intersections in communications and culture: global approaches and transdisciplinary perspectives, 1528-610X ; vol. 30</t>
  </si>
  <si>
    <t>1261431124:eng</t>
  </si>
  <si>
    <t>840934544</t>
  </si>
  <si>
    <t>ocn840934544</t>
  </si>
  <si>
    <t>31034993132</t>
  </si>
  <si>
    <t>9781433116209</t>
  </si>
  <si>
    <t>794946377</t>
  </si>
  <si>
    <t>P96 P322 H55 2011</t>
  </si>
  <si>
    <t>0                      P  0096000P  322                H  55          2011</t>
  </si>
  <si>
    <t>Paranormal media : audiences, spirits, and magic in popular culture / Annette Hill.</t>
  </si>
  <si>
    <t>Hill, Annette.</t>
  </si>
  <si>
    <t>796114688:eng</t>
  </si>
  <si>
    <t>449888895</t>
  </si>
  <si>
    <t>ocn449888895</t>
  </si>
  <si>
    <t>3103229767R</t>
  </si>
  <si>
    <t>9780415544627</t>
  </si>
  <si>
    <t>794787603</t>
  </si>
  <si>
    <t>P96 P72 C766 2012</t>
  </si>
  <si>
    <t>0                      P  0096000P  72                 C  766         2012</t>
  </si>
  <si>
    <t>Why are we the good guys? : reclaiming your mind from the delusions of propaganda / David Cromwell.</t>
  </si>
  <si>
    <t>Cromwell, David, 1962-</t>
  </si>
  <si>
    <t>Winchester, UK ; Washington, D.C. : Zero Books, 2012.</t>
  </si>
  <si>
    <t>1125657368:eng</t>
  </si>
  <si>
    <t>800042944</t>
  </si>
  <si>
    <t>ocn800042944</t>
  </si>
  <si>
    <t>3103470382Y</t>
  </si>
  <si>
    <t>9781780993652</t>
  </si>
  <si>
    <t>794924483</t>
  </si>
  <si>
    <t>P96 P72 S66 2012</t>
  </si>
  <si>
    <t>0                      P  0096000P  72                 S  66          2012</t>
  </si>
  <si>
    <t>Radio propaganda and the broadcasting of hatred : historical development and definitions / Keith Somerville.</t>
  </si>
  <si>
    <t>Somerville, Keith.</t>
  </si>
  <si>
    <t>1176389025:eng</t>
  </si>
  <si>
    <t>798059549</t>
  </si>
  <si>
    <t>ocn798059549</t>
  </si>
  <si>
    <t>31034323839</t>
  </si>
  <si>
    <t>9780230278295</t>
  </si>
  <si>
    <t>794923099</t>
  </si>
  <si>
    <t>P96 P722 E85 2013</t>
  </si>
  <si>
    <t>0                      P  0096000P  722                E  85          2013</t>
  </si>
  <si>
    <t>War of words : culture and the mass media in the making of the Cold War in Europe / edited by Judith Devlin and Christoph Hendrik Müller.</t>
  </si>
  <si>
    <t>Dublin : University College Dublin Press, 2013.</t>
  </si>
  <si>
    <t>2016-11-15</t>
  </si>
  <si>
    <t>400525839:eng</t>
  </si>
  <si>
    <t>528428780</t>
  </si>
  <si>
    <t>ocn528428780</t>
  </si>
  <si>
    <t>3103501286P</t>
  </si>
  <si>
    <t>9781906359379</t>
  </si>
  <si>
    <t>794809523</t>
  </si>
  <si>
    <t>P96 P73 C66 2013</t>
  </si>
  <si>
    <t>0                      P  0096000P  73                 C  66          2013</t>
  </si>
  <si>
    <t>Controversial images : media representations on the edge / edited by Feona Attwood, Vincent Campbell, I.Q. Hunter, and Sharon Lockyer.</t>
  </si>
  <si>
    <t>Houndmills, Basingstoke, Hampshire [England] ; New York : Palgrave Macmillan, 2013.</t>
  </si>
  <si>
    <t>2015-05-28</t>
  </si>
  <si>
    <t>1224921108:eng</t>
  </si>
  <si>
    <t>798059551</t>
  </si>
  <si>
    <t>ocn798059551</t>
  </si>
  <si>
    <t>3103457713I</t>
  </si>
  <si>
    <t>9780230284050</t>
  </si>
  <si>
    <t>794923100</t>
  </si>
  <si>
    <t>P96 P73 M44 2010</t>
  </si>
  <si>
    <t>0                      P  0096000P  73                 M  44          2010</t>
  </si>
  <si>
    <t>Trauma and media : theories, histories, and images / Allen Meek.</t>
  </si>
  <si>
    <t>Meek, Allen, 1961-</t>
  </si>
  <si>
    <t>Routledge research in cultural and media studies ; 23</t>
  </si>
  <si>
    <t>803763488:eng</t>
  </si>
  <si>
    <t>277196171</t>
  </si>
  <si>
    <t>ocn277196171</t>
  </si>
  <si>
    <t>3103154080I</t>
  </si>
  <si>
    <t>9780415801232</t>
  </si>
  <si>
    <t>794418660</t>
  </si>
  <si>
    <t>P96 P73 R68 2011</t>
  </si>
  <si>
    <t>0                      P  0096000P  73                 R  68          2011</t>
  </si>
  <si>
    <t>Popular trauma culture : selling the pain of others in the mass media / Anne Rothe.</t>
  </si>
  <si>
    <t>Rothe, Anne.</t>
  </si>
  <si>
    <t>2013-09-03</t>
  </si>
  <si>
    <t>763160150:eng</t>
  </si>
  <si>
    <t>690585248</t>
  </si>
  <si>
    <t>ocn690585248</t>
  </si>
  <si>
    <t>3103385447K</t>
  </si>
  <si>
    <t>9780813551289</t>
  </si>
  <si>
    <t>794855514</t>
  </si>
  <si>
    <t>P96 P75 B37 2012</t>
  </si>
  <si>
    <t>0                      P  0096000P  75                 B  37          2012</t>
  </si>
  <si>
    <t>The Martians have landed! : a history of media-driven panics and hoaxes / Robert E. Bartholomew and Benjamin Radford.</t>
  </si>
  <si>
    <t>Bartholomew, Robert E.</t>
  </si>
  <si>
    <t>2014-11-05</t>
  </si>
  <si>
    <t>797258631:eng</t>
  </si>
  <si>
    <t>706409852</t>
  </si>
  <si>
    <t>ocn706409852</t>
  </si>
  <si>
    <t>3103385621I</t>
  </si>
  <si>
    <t>9780786464982</t>
  </si>
  <si>
    <t>794866816</t>
  </si>
  <si>
    <t>P96 P75 G37 2011</t>
  </si>
  <si>
    <t>0                      P  0096000P  75                 G  37          2011</t>
  </si>
  <si>
    <t>Media and memory / Joanne Garde-Hansen.</t>
  </si>
  <si>
    <t>Garde-Hansen, Joanne.</t>
  </si>
  <si>
    <t>Edinburgh : Edinburgh University, ©2011.</t>
  </si>
  <si>
    <t>2016-03-08</t>
  </si>
  <si>
    <t>901989437:eng</t>
  </si>
  <si>
    <t>756882471</t>
  </si>
  <si>
    <t>ocn756882471</t>
  </si>
  <si>
    <t>3103342527G</t>
  </si>
  <si>
    <t>9780748640331</t>
  </si>
  <si>
    <t>794895035</t>
  </si>
  <si>
    <t>P96 P75 G55 2003</t>
  </si>
  <si>
    <t>0                      P  0096000P  75                 G  55          2003</t>
  </si>
  <si>
    <t>Media psychology / David Giles.</t>
  </si>
  <si>
    <t>Giles, David, 1964-</t>
  </si>
  <si>
    <t>Mahwah, N.J. : Lawrence Erlbaum Associates Publishers, 2003.</t>
  </si>
  <si>
    <t>2018-11-13</t>
  </si>
  <si>
    <t>960821:eng</t>
  </si>
  <si>
    <t>51505328</t>
  </si>
  <si>
    <t>ocm51505328</t>
  </si>
  <si>
    <t>3102751261$</t>
  </si>
  <si>
    <t>9780805840483</t>
  </si>
  <si>
    <t>793785639</t>
  </si>
  <si>
    <t>P96 P75 M34 2000</t>
  </si>
  <si>
    <t>0                      P  0096000P  75                 M  34          2000</t>
  </si>
  <si>
    <t>Media entertainment : the psychology of its appeal / edited by Dolf Zillmann, Peter Vorderer.</t>
  </si>
  <si>
    <t>Mahwah, N.J. : Lawrence Erlbaum Associates Publishers, 2000.</t>
  </si>
  <si>
    <t>895880718:eng</t>
  </si>
  <si>
    <t>43032502</t>
  </si>
  <si>
    <t>ocm43032502</t>
  </si>
  <si>
    <t>31027512521</t>
  </si>
  <si>
    <t>9780805833249</t>
  </si>
  <si>
    <t>793619001</t>
  </si>
  <si>
    <t>P96 P75 M3455 2011</t>
  </si>
  <si>
    <t>0                      P  0096000P  75                 M  3455        2011</t>
  </si>
  <si>
    <t>Media psychology / edited by Gayle Brewer.</t>
  </si>
  <si>
    <t>Houndmills, Basingstoke, Hampshire ; New York, NY : Palgrave Macmillan, 2011.</t>
  </si>
  <si>
    <t>1069494233:eng</t>
  </si>
  <si>
    <t>713185476</t>
  </si>
  <si>
    <t>ocn713185476</t>
  </si>
  <si>
    <t>31034087054</t>
  </si>
  <si>
    <t>9780230279209</t>
  </si>
  <si>
    <t>794872683</t>
  </si>
  <si>
    <t>P96 P75 N48 1997</t>
  </si>
  <si>
    <t>0                      P  0096000P  75                 N  48          1997</t>
  </si>
  <si>
    <t>New horizons in media psychology : research cooperation and projects in Europe / Peter Winterhoff-Spurk, Tom H.A. van der Voort (Eds.).</t>
  </si>
  <si>
    <t>Opladen : Westdeutscher Verlag, ©1997.</t>
  </si>
  <si>
    <t>898227053:eng</t>
  </si>
  <si>
    <t>37498008</t>
  </si>
  <si>
    <t>ocm37498008</t>
  </si>
  <si>
    <t>31027513400</t>
  </si>
  <si>
    <t>9783531128597</t>
  </si>
  <si>
    <t>793500185</t>
  </si>
  <si>
    <t>P96 P75 P68 2012</t>
  </si>
  <si>
    <t>0                      P  0096000P  75                 P  68          2012</t>
  </si>
  <si>
    <t>Psychophysiological measurement and meaning : cognitive and emotional processing of media / Robert F. Potter, Paul D. Bolls.</t>
  </si>
  <si>
    <t>Potter, Robert F.</t>
  </si>
  <si>
    <t>Communication series</t>
  </si>
  <si>
    <t>2012-09-15</t>
  </si>
  <si>
    <t>1099961353:eng</t>
  </si>
  <si>
    <t>191925548</t>
  </si>
  <si>
    <t>ocn191925548</t>
  </si>
  <si>
    <t>3103383431U</t>
  </si>
  <si>
    <t>9780805862867</t>
  </si>
  <si>
    <t>794302239</t>
  </si>
  <si>
    <t>P96 P75 R4 1991</t>
  </si>
  <si>
    <t>0                      P  0096000P  75                 R  4           1991</t>
  </si>
  <si>
    <t>Responding to the screen : reception and reaction processes / edited by Jennings Bryant, Dolf Zillmann.</t>
  </si>
  <si>
    <t>918808056:eng</t>
  </si>
  <si>
    <t>22386981</t>
  </si>
  <si>
    <t>ocm22386981</t>
  </si>
  <si>
    <t>31027513382</t>
  </si>
  <si>
    <t>9780805800333</t>
  </si>
  <si>
    <t>793142775</t>
  </si>
  <si>
    <t>P96 P83 L583 2014</t>
  </si>
  <si>
    <t>0                      P  0096000P  83                 L  583         2014</t>
  </si>
  <si>
    <t>Bi jiao shi ye xia de zhong mei mei jie gong xin li yan jiu = Under the comparative perspective of Sino-American media credibility study / Liu Xueyi zhu.</t>
  </si>
  <si>
    <t>Liu, Xueyi, author.</t>
  </si>
  <si>
    <t>Beijing : Zhongguo chuan mei da xue chu ban she, 2014.</t>
  </si>
  <si>
    <t>3029112092:chi</t>
  </si>
  <si>
    <t>870959192</t>
  </si>
  <si>
    <t>ocn870959192</t>
  </si>
  <si>
    <t>3103199701A</t>
  </si>
  <si>
    <t>9787565707988</t>
  </si>
  <si>
    <t>794967032</t>
  </si>
  <si>
    <t>P96 P83 S67 2002</t>
  </si>
  <si>
    <t>0                      P  0096000P  83                 S  67          2002</t>
  </si>
  <si>
    <t>Agenda-setting dynamics in Canada / Stuart N. Soroka.</t>
  </si>
  <si>
    <t>Soroka, Stuart Neil, 1970-</t>
  </si>
  <si>
    <t>Vancouver : UBC Press, ©2002.</t>
  </si>
  <si>
    <t>2013-09-17</t>
  </si>
  <si>
    <t>2018-04-23</t>
  </si>
  <si>
    <t>765403:eng</t>
  </si>
  <si>
    <t>50111865</t>
  </si>
  <si>
    <t>ocm50111865</t>
  </si>
  <si>
    <t>31027513322</t>
  </si>
  <si>
    <t>9780774809580</t>
  </si>
  <si>
    <t>793755770</t>
  </si>
  <si>
    <t>31027513312</t>
  </si>
  <si>
    <t>793755771</t>
  </si>
  <si>
    <t>P96 P832 G736 2016</t>
  </si>
  <si>
    <t>0                      P  0096000P  832                G  736         2016</t>
  </si>
  <si>
    <t>Print, publicity, and popular radicalism in the 1790s : the laurel of liberty / Jon Mee.</t>
  </si>
  <si>
    <t>Mee, Jon, author.</t>
  </si>
  <si>
    <t>Cambridge, United Kingdom : Cambridge University Press, 2016.</t>
  </si>
  <si>
    <t>Cambridge Studies in Romanticism ; 112</t>
  </si>
  <si>
    <t>2018-08-14</t>
  </si>
  <si>
    <t>2946472426:eng</t>
  </si>
  <si>
    <t>946142263</t>
  </si>
  <si>
    <t>ocn946142263</t>
  </si>
  <si>
    <t>31036574278</t>
  </si>
  <si>
    <t>9781107133617</t>
  </si>
  <si>
    <t>795014297</t>
  </si>
  <si>
    <t>P96 P832 U62 2002</t>
  </si>
  <si>
    <t>0                      P  0096000P  832                U  62          2002</t>
  </si>
  <si>
    <t>Creating fear : news and the construction of crisis / David L. Altheide.</t>
  </si>
  <si>
    <t>New York : Aldine de Gruyter, ©2002.</t>
  </si>
  <si>
    <t>Social problems and social issues</t>
  </si>
  <si>
    <t>2018-11-28</t>
  </si>
  <si>
    <t>800682996:eng</t>
  </si>
  <si>
    <t>47863236</t>
  </si>
  <si>
    <t>ocm47863236</t>
  </si>
  <si>
    <t>31027513294</t>
  </si>
  <si>
    <t>9780202306599</t>
  </si>
  <si>
    <t>793709593</t>
  </si>
  <si>
    <t>P96 P842 U654 1999</t>
  </si>
  <si>
    <t>0                      P  0096000P  842                U  654         1999</t>
  </si>
  <si>
    <t>Why Americans hate welfare : race, media, and the politics of antipoverty policy / Martin Gilens.</t>
  </si>
  <si>
    <t>Gilens, Martin.</t>
  </si>
  <si>
    <t>2018-07-31</t>
  </si>
  <si>
    <t>43655:eng</t>
  </si>
  <si>
    <t>40179760</t>
  </si>
  <si>
    <t>ocm40179760</t>
  </si>
  <si>
    <t>31027513284</t>
  </si>
  <si>
    <t>9780226293646</t>
  </si>
  <si>
    <t>793561247</t>
  </si>
  <si>
    <t>P96 P852 A878 2000</t>
  </si>
  <si>
    <t>0                      P  0096000P  852                A  878         2000</t>
  </si>
  <si>
    <t>Fame games : the production of celebrity in Australia / Graeme Turner, Frances Bonner, P. David Marshall.</t>
  </si>
  <si>
    <t>837057438:eng</t>
  </si>
  <si>
    <t>44701141</t>
  </si>
  <si>
    <t>ocm44701141</t>
  </si>
  <si>
    <t>31026341558</t>
  </si>
  <si>
    <t>9780521791472</t>
  </si>
  <si>
    <t>793656075</t>
  </si>
  <si>
    <t>P96 R32 A93 2011</t>
  </si>
  <si>
    <t>0                      P  0096000R  32                 A  93          2011</t>
  </si>
  <si>
    <t>Radicalisation and media : connectivity and terrorism in the new media ecology / Akil N. Awan, Andrew Hoskins and Ben O'Loughlin.</t>
  </si>
  <si>
    <t>Awan, Akil N.</t>
  </si>
  <si>
    <t>860708011:eng</t>
  </si>
  <si>
    <t>709812358</t>
  </si>
  <si>
    <t>ocn709812358</t>
  </si>
  <si>
    <t>3103364811S</t>
  </si>
  <si>
    <t>9780415550352</t>
  </si>
  <si>
    <t>794869885</t>
  </si>
  <si>
    <t>P96 R322 E87 2014</t>
  </si>
  <si>
    <t>0                      P  0096000R  322                E  87          2014</t>
  </si>
  <si>
    <t>Media and revolt : strategies and performances from the 1960s to the present / edited by Kathrin Fahlenbrach, Erling Sivertsen, and Rolf Werenskjold.</t>
  </si>
  <si>
    <t>New York : Berghahn, 2014.</t>
  </si>
  <si>
    <t>Protest, culture and society ; volume 11</t>
  </si>
  <si>
    <t>2019-01-14</t>
  </si>
  <si>
    <t>1492404186:eng</t>
  </si>
  <si>
    <t>843862181</t>
  </si>
  <si>
    <t>ocn843862181</t>
  </si>
  <si>
    <t>31035314992</t>
  </si>
  <si>
    <t>9780857459985</t>
  </si>
  <si>
    <t>794948299</t>
  </si>
  <si>
    <t>P96 R35 C85 1996</t>
  </si>
  <si>
    <t>0                      P  0096000R  35                 C  85          1996</t>
  </si>
  <si>
    <t>Rape on trial : how the mass media construct legal reform and social change / Lisa M. Cuklanz.</t>
  </si>
  <si>
    <t>Cuklanz, Lisa M.</t>
  </si>
  <si>
    <t>Philadelphia, Pa. : University of Pennsylvania Press, ©1996.</t>
  </si>
  <si>
    <t>37905406:eng</t>
  </si>
  <si>
    <t>33080087</t>
  </si>
  <si>
    <t>ocm33080087</t>
  </si>
  <si>
    <t>31027513254</t>
  </si>
  <si>
    <t>9780812233216</t>
  </si>
  <si>
    <t>793401399</t>
  </si>
  <si>
    <t>P96 R35 H67 2004</t>
  </si>
  <si>
    <t>0                      P  0096000R  35                 H  67          2004</t>
  </si>
  <si>
    <t>Public rape : representing violation in fiction and film / Tanya Horeck.</t>
  </si>
  <si>
    <t>Horeck, Tanya.</t>
  </si>
  <si>
    <t>London : Routledge, 2004.</t>
  </si>
  <si>
    <t>Sussex studies in culture and communication</t>
  </si>
  <si>
    <t>285026478:eng</t>
  </si>
  <si>
    <t>52990767</t>
  </si>
  <si>
    <t>ocm52990767</t>
  </si>
  <si>
    <t>31032922344</t>
  </si>
  <si>
    <t>9780415288552</t>
  </si>
  <si>
    <t>793818702</t>
  </si>
  <si>
    <t>P96 R86 N37 2012</t>
  </si>
  <si>
    <t>0                      P  0096000R  86                 N  37          2012</t>
  </si>
  <si>
    <t>Narrative landmines : rumors, Islamist extremism, and the struggle for strategic influence / Daniel Leonard Bernardi [and others].</t>
  </si>
  <si>
    <t>917682895:eng</t>
  </si>
  <si>
    <t>732847930</t>
  </si>
  <si>
    <t>ocn732847930</t>
  </si>
  <si>
    <t>3103413144T</t>
  </si>
  <si>
    <t>9780813552507</t>
  </si>
  <si>
    <t>794881450</t>
  </si>
  <si>
    <t>P96 S29 E37 2011</t>
  </si>
  <si>
    <t>0                      P  0096000S  29                 E  37          2011</t>
  </si>
  <si>
    <t>Power of scandal : semiotic and pragmatic in mass media / Johannes Ehrat.</t>
  </si>
  <si>
    <t>Ehrat, Johannes, 1952-</t>
  </si>
  <si>
    <t>Toronto ; Buffalo [N.Y.] : University of Toronto Press, ©2011.</t>
  </si>
  <si>
    <t>Toronto studies in semiotics and communication.</t>
  </si>
  <si>
    <t>2019-07-08</t>
  </si>
  <si>
    <t>687443137:eng</t>
  </si>
  <si>
    <t>671530720</t>
  </si>
  <si>
    <t>ocn671530720</t>
  </si>
  <si>
    <t>3103268421S</t>
  </si>
  <si>
    <t>9781442641259</t>
  </si>
  <si>
    <t>794848742</t>
  </si>
  <si>
    <t>P96 S29 E58 2012</t>
  </si>
  <si>
    <t>0                      P  0096000S  29                 E  58          2012</t>
  </si>
  <si>
    <t>Scandal and silence : media responses to presidential misconduct / Robert M. Entman.</t>
  </si>
  <si>
    <t>1119126437:eng</t>
  </si>
  <si>
    <t>760971096</t>
  </si>
  <si>
    <t>ocn760971096</t>
  </si>
  <si>
    <t>31034720740</t>
  </si>
  <si>
    <t>9780745647623</t>
  </si>
  <si>
    <t>794898744</t>
  </si>
  <si>
    <t>P96 S29 M43 1997</t>
  </si>
  <si>
    <t>0                      P  0096000S  29                 M  43          1997</t>
  </si>
  <si>
    <t>Media scandals : morality and desire in the popular culture marketplace / edited by James Lull and Stephen Hinerman.</t>
  </si>
  <si>
    <t>New York : Columbia University Press, 1997.</t>
  </si>
  <si>
    <t>836924301:eng</t>
  </si>
  <si>
    <t>37187401</t>
  </si>
  <si>
    <t>ocm37187401</t>
  </si>
  <si>
    <t>31027513214</t>
  </si>
  <si>
    <t>9780231111645</t>
  </si>
  <si>
    <t>793492445</t>
  </si>
  <si>
    <t>P96 S29 T49 2000</t>
  </si>
  <si>
    <t>0                      P  0096000S  29                 T  49          2000</t>
  </si>
  <si>
    <t>Political scandal : power and visibility in the media age / John B. Thompson.</t>
  </si>
  <si>
    <t>Thompson, John B. (John Brookshire)</t>
  </si>
  <si>
    <t>Cambridge : Polity Press ; Malden, MA : Blackwell, 2000.</t>
  </si>
  <si>
    <t>345707844:eng</t>
  </si>
  <si>
    <t>43790343</t>
  </si>
  <si>
    <t>ocm43790343</t>
  </si>
  <si>
    <t>31020909557</t>
  </si>
  <si>
    <t>9780745625492</t>
  </si>
  <si>
    <t>793634601</t>
  </si>
  <si>
    <t>P96 S32 C87 2013</t>
  </si>
  <si>
    <t>0                      P  0096000S  32                 C  87          2013</t>
  </si>
  <si>
    <t>Communicating the North : media structures and images in the making of the Nordic Region / edited by Jonas Harvard, Södertörn University, Sweden and Mid Sweden University, Peter Stadius, Helsinki University, Finland.</t>
  </si>
  <si>
    <t>Surrey, England ; Burlington, VT : Ashgate, [2013]</t>
  </si>
  <si>
    <t>The Nordic experience</t>
  </si>
  <si>
    <t>1411005859:eng</t>
  </si>
  <si>
    <t>841198094</t>
  </si>
  <si>
    <t>ocn841198094</t>
  </si>
  <si>
    <t>3103503404R</t>
  </si>
  <si>
    <t>9781409449485</t>
  </si>
  <si>
    <t>794946649</t>
  </si>
  <si>
    <t>P96 S33 C66 1999</t>
  </si>
  <si>
    <t>0                      P  0096000S  33                 C  66          1999</t>
  </si>
  <si>
    <t>Communicating uncertainty : media coverage of new and controversial science / edited by Sharon M. Friedman, Sharon Dunwoody, Carol L. Rogers.</t>
  </si>
  <si>
    <t>799790885:eng</t>
  </si>
  <si>
    <t>39614847</t>
  </si>
  <si>
    <t>ocm39614847</t>
  </si>
  <si>
    <t>31027513204</t>
  </si>
  <si>
    <t>9780805827279</t>
  </si>
  <si>
    <t>793549106</t>
  </si>
  <si>
    <t>P96 S34 R58 2000</t>
  </si>
  <si>
    <t>0                      P  0096000S  34                 R  58          2000</t>
  </si>
  <si>
    <t>Science fiction / Adam Roberts.</t>
  </si>
  <si>
    <t>Roberts, Adam (Adam Charles)</t>
  </si>
  <si>
    <t>881629:eng</t>
  </si>
  <si>
    <t>41338934</t>
  </si>
  <si>
    <t>ocm41338934</t>
  </si>
  <si>
    <t>31027513196</t>
  </si>
  <si>
    <t>9780415192040</t>
  </si>
  <si>
    <t>793589429</t>
  </si>
  <si>
    <t>P96 S34 R58 2006</t>
  </si>
  <si>
    <t>0                      P  0096000S  34                 R  58          2006</t>
  </si>
  <si>
    <t>60557332</t>
  </si>
  <si>
    <t>ocm60557332</t>
  </si>
  <si>
    <t>3102488945V</t>
  </si>
  <si>
    <t>9780415366670</t>
  </si>
  <si>
    <t>793939665</t>
  </si>
  <si>
    <t>P96 S43 D36 2002</t>
  </si>
  <si>
    <t>0                      P  0096000S  43                 D  36          2002</t>
  </si>
  <si>
    <t>Understanding media semiotics / Marcel Danesi.</t>
  </si>
  <si>
    <t>London : Arnold ; New York : Oxford University Press, 2002.</t>
  </si>
  <si>
    <t>1007297:eng</t>
  </si>
  <si>
    <t>48754263</t>
  </si>
  <si>
    <t>ocm48754263</t>
  </si>
  <si>
    <t>31027513156</t>
  </si>
  <si>
    <t>9780340808832</t>
  </si>
  <si>
    <t>793727149</t>
  </si>
  <si>
    <t>P96 S43 G32 2010</t>
  </si>
  <si>
    <t>0                      P  0096000S  43                 G  32          2010</t>
  </si>
  <si>
    <t>Media literacy and semiotics / Elliot Gaines.</t>
  </si>
  <si>
    <t>Gaines, Elliot, 1950-</t>
  </si>
  <si>
    <t>476783199:eng</t>
  </si>
  <si>
    <t>607977736</t>
  </si>
  <si>
    <t>ocn607977736</t>
  </si>
  <si>
    <t>3103312558P</t>
  </si>
  <si>
    <t>9780230108271</t>
  </si>
  <si>
    <t>794818737</t>
  </si>
  <si>
    <t>P96 S43 S46 1997</t>
  </si>
  <si>
    <t>0                      P  0096000S  43                 S  46          1997</t>
  </si>
  <si>
    <t>Semiotics of the media : state of the art, projects, and perspectives / edited by Winfried Nöth.</t>
  </si>
  <si>
    <t>Berlin ; New York, N.Y. : Mouton de Gruyter, 1997.</t>
  </si>
  <si>
    <t>Approaches to semiotics</t>
  </si>
  <si>
    <t>2018-06-21</t>
  </si>
  <si>
    <t>891113307:eng</t>
  </si>
  <si>
    <t>36755938</t>
  </si>
  <si>
    <t>ocm36755938</t>
  </si>
  <si>
    <t>31027513146</t>
  </si>
  <si>
    <t>9783110155372</t>
  </si>
  <si>
    <t>793483601</t>
  </si>
  <si>
    <t>P96 S45 G44 2012</t>
  </si>
  <si>
    <t>0                      P  0096000S  45                 G  44          2012</t>
  </si>
  <si>
    <t>The gender and media reader / edited by Mary Celeste Kearney.</t>
  </si>
  <si>
    <t>263782008:eng</t>
  </si>
  <si>
    <t>674933026</t>
  </si>
  <si>
    <t>ocn674933026</t>
  </si>
  <si>
    <t>3103384149X</t>
  </si>
  <si>
    <t>9780415993456</t>
  </si>
  <si>
    <t>794849627</t>
  </si>
  <si>
    <t>P96 S45 G55 2007</t>
  </si>
  <si>
    <t>0                      P  0096000S  45                 G  55          2007</t>
  </si>
  <si>
    <t>Gender and the media / Rosalind Gill.</t>
  </si>
  <si>
    <t>Gill, Rosalind (Rosalind Clair)</t>
  </si>
  <si>
    <t>Cambridge, UK ; Malden, MA, USA : Polity, 2007.</t>
  </si>
  <si>
    <t>50868781:eng</t>
  </si>
  <si>
    <t>67374730</t>
  </si>
  <si>
    <t>ocm67374730</t>
  </si>
  <si>
    <t>31025674907</t>
  </si>
  <si>
    <t>9780745612737</t>
  </si>
  <si>
    <t>794140413</t>
  </si>
  <si>
    <t>P96 S45 G564 2011</t>
  </si>
  <si>
    <t>0                      P  0096000S  45                 G  564         2011</t>
  </si>
  <si>
    <t>Gendered transformations : theory and practices on gender and media / edited by Tonny Krijnen, Claudia Alvares and Sofie Van Bauwel.</t>
  </si>
  <si>
    <t>Bristol, UK ; Chicago, USA : Intellect, 2011.</t>
  </si>
  <si>
    <t>861954184:eng</t>
  </si>
  <si>
    <t>701104684</t>
  </si>
  <si>
    <t>ocn701104684</t>
  </si>
  <si>
    <t>31033132033</t>
  </si>
  <si>
    <t>9781841503660</t>
  </si>
  <si>
    <t>794862573</t>
  </si>
  <si>
    <t>P96 S45 M35 2009</t>
  </si>
  <si>
    <t>0                      P  0096000S  45                 M  35          2009</t>
  </si>
  <si>
    <t>Mainstreaming sex : the sexualization of Western culture / edited by Feona Attwood.</t>
  </si>
  <si>
    <t>London ; New York : I.B. Tauris, 2009.</t>
  </si>
  <si>
    <t>794251072:eng</t>
  </si>
  <si>
    <t>232980975</t>
  </si>
  <si>
    <t>ocn232980975</t>
  </si>
  <si>
    <t>3103130973J</t>
  </si>
  <si>
    <t>9781845118273</t>
  </si>
  <si>
    <t>794364709</t>
  </si>
  <si>
    <t>P96 S45 R67 2010</t>
  </si>
  <si>
    <t>0                      P  0096000S  45                 R  67          2010</t>
  </si>
  <si>
    <t>Gendered media : women, men, and identity politics / Karen Ross.</t>
  </si>
  <si>
    <t>Ross, Karen, 1957-</t>
  </si>
  <si>
    <t>Lanham : Rowman &amp; Littlefield Publishers, ©2010.</t>
  </si>
  <si>
    <t>2018-04-17</t>
  </si>
  <si>
    <t>892548569:eng</t>
  </si>
  <si>
    <t>437054040</t>
  </si>
  <si>
    <t>ocn437054040</t>
  </si>
  <si>
    <t>3103155796S</t>
  </si>
  <si>
    <t>9780742554061</t>
  </si>
  <si>
    <t>794785333</t>
  </si>
  <si>
    <t>P96 S452 U64 1995</t>
  </si>
  <si>
    <t>0                      P  0096000S  452                U  64          1995</t>
  </si>
  <si>
    <t>Gender, race, and class in media : a text-reader / edited by Gail Dines &amp; Jean M. Humez.</t>
  </si>
  <si>
    <t>Thousand Oaks, Calif. : Sage, ©1995.</t>
  </si>
  <si>
    <t>2016-03-31</t>
  </si>
  <si>
    <t>2016-12-14</t>
  </si>
  <si>
    <t>30978901</t>
  </si>
  <si>
    <t>ocm30978901</t>
  </si>
  <si>
    <t>31027513058</t>
  </si>
  <si>
    <t>9780803951631</t>
  </si>
  <si>
    <t>793350624</t>
  </si>
  <si>
    <t>31027513098</t>
  </si>
  <si>
    <t>793350625</t>
  </si>
  <si>
    <t>P96 S48 B38 1988</t>
  </si>
  <si>
    <t>0                      P  0096000S  48                 B  38          1988</t>
  </si>
  <si>
    <t>Communication and the sexes / Barbara Bate.</t>
  </si>
  <si>
    <t>Bate, Barbara.</t>
  </si>
  <si>
    <t>New York : Harper &amp; Row, ©1988.</t>
  </si>
  <si>
    <t>646049:eng</t>
  </si>
  <si>
    <t>15660014</t>
  </si>
  <si>
    <t>ocm15660014</t>
  </si>
  <si>
    <t>31027513078</t>
  </si>
  <si>
    <t>9780060405434</t>
  </si>
  <si>
    <t>792938696</t>
  </si>
  <si>
    <t>P96 S48 C57 1997</t>
  </si>
  <si>
    <t>0                      P  0096000S  48                 C  57          1997</t>
  </si>
  <si>
    <t>Communicating gender in context / edited by Helga Kotthoff, Ruth Wodak.</t>
  </si>
  <si>
    <t>Amsterdam, Netherlands ; Philadelphia : J. Benjamin, ©1997.</t>
  </si>
  <si>
    <t>Pragmatics &amp; beyond, 0922-842X ; new ser. 42</t>
  </si>
  <si>
    <t>350632022:eng</t>
  </si>
  <si>
    <t>36316019</t>
  </si>
  <si>
    <t>ocm36316019</t>
  </si>
  <si>
    <t>31027513048</t>
  </si>
  <si>
    <t>9781556198045</t>
  </si>
  <si>
    <t>793472473</t>
  </si>
  <si>
    <t>3102581007E</t>
  </si>
  <si>
    <t>793472474</t>
  </si>
  <si>
    <t>P96 S48 C64 1992</t>
  </si>
  <si>
    <t>0                      P  0096000S  48                 C  64          1992</t>
  </si>
  <si>
    <t>Constructing and reconstructing gender : the links among communication, language, and gender / edited by Linda A.M. Perry, Lynn H. Turner, Helen M. Sterk.</t>
  </si>
  <si>
    <t>Albany : State University of New York Press, ©1992.</t>
  </si>
  <si>
    <t>SUNY series in feminist criticism and theory</t>
  </si>
  <si>
    <t>890209682:eng</t>
  </si>
  <si>
    <t>24378785</t>
  </si>
  <si>
    <t>ocm24378785</t>
  </si>
  <si>
    <t>31027513028</t>
  </si>
  <si>
    <t>9780791410097</t>
  </si>
  <si>
    <t>793196961</t>
  </si>
  <si>
    <t>P96 S48 G45 2009</t>
  </si>
  <si>
    <t>0                      P  0096000S  48                 G  45          2009</t>
  </si>
  <si>
    <t>Gender and spoken interaction / edited by Pia Pichler and Eva Eppler.</t>
  </si>
  <si>
    <t>Houndmills, Basingstoke, Hampshire [England] ; New York : Palgrave Macmillan, 2009.</t>
  </si>
  <si>
    <t>352740247:eng</t>
  </si>
  <si>
    <t>259265669</t>
  </si>
  <si>
    <t>ocn259265669</t>
  </si>
  <si>
    <t>3103052542P</t>
  </si>
  <si>
    <t>9780230574021</t>
  </si>
  <si>
    <t>794399807</t>
  </si>
  <si>
    <t>P96 S48 K76 2006</t>
  </si>
  <si>
    <t>0                      P  0096000S  48                 K  76          2006</t>
  </si>
  <si>
    <t>Gender communication theories &amp; analyses : from silence to performance / Charlotte Kroløkke, Ann Scott Sørensen.</t>
  </si>
  <si>
    <t>Kroløkke, Charlotte.</t>
  </si>
  <si>
    <t>9727410:eng</t>
  </si>
  <si>
    <t>57693405</t>
  </si>
  <si>
    <t>ocm57693405</t>
  </si>
  <si>
    <t>3102507108R</t>
  </si>
  <si>
    <t>9780761929178</t>
  </si>
  <si>
    <t>793917865</t>
  </si>
  <si>
    <t>P96 S48 L63 2011</t>
  </si>
  <si>
    <t>0                      P  0096000S  48                 L  63          2011</t>
  </si>
  <si>
    <t>Duels and duets : why men and women talk so differently / John L. Locke.</t>
  </si>
  <si>
    <t>Locke, John L.</t>
  </si>
  <si>
    <t>770308058:eng</t>
  </si>
  <si>
    <t>697036802</t>
  </si>
  <si>
    <t>ocn697036802</t>
  </si>
  <si>
    <t>31033427554</t>
  </si>
  <si>
    <t>9780521887137</t>
  </si>
  <si>
    <t>794859650</t>
  </si>
  <si>
    <t>P96 S48 S49 1998</t>
  </si>
  <si>
    <t>0                      P  0096000S  48                 S  49          1998</t>
  </si>
  <si>
    <t>Sex differences and similarities in communication : critical essays and empirical investigations of sex and gender in interaction / edited by Daniel J. Canary, Kathryn Dindia.</t>
  </si>
  <si>
    <t>Mahwah, N.J. : Erlbaum, 1998.</t>
  </si>
  <si>
    <t>3857293857:eng</t>
  </si>
  <si>
    <t>37955759</t>
  </si>
  <si>
    <t>ocm37955759</t>
  </si>
  <si>
    <t>3102751298U</t>
  </si>
  <si>
    <t>9780805823332</t>
  </si>
  <si>
    <t>793511273</t>
  </si>
  <si>
    <t>P96 S48 S49 2006</t>
  </si>
  <si>
    <t>0                      P  0096000S  48                 S  49          2006</t>
  </si>
  <si>
    <t>Sex differences and similarities in communication / edited by Kathryn Dindia, Daniel J. Canary.</t>
  </si>
  <si>
    <t>766896423:eng</t>
  </si>
  <si>
    <t>62161198</t>
  </si>
  <si>
    <t>ocm62161198</t>
  </si>
  <si>
    <t>3102581256Z</t>
  </si>
  <si>
    <t>9780805851410</t>
  </si>
  <si>
    <t>794101545</t>
  </si>
  <si>
    <t>P96 S482 F876 2016</t>
  </si>
  <si>
    <t>0                      P  0096000S  482                F  876         2016</t>
  </si>
  <si>
    <t>Pour une communication publique sans stéréotype de sexe : guide pratique.</t>
  </si>
  <si>
    <t>Paris : La Documentation française, [2016]</t>
  </si>
  <si>
    <t>2019-03-08</t>
  </si>
  <si>
    <t>3966089870:fre</t>
  </si>
  <si>
    <t>993751087</t>
  </si>
  <si>
    <t>ocn993751087</t>
  </si>
  <si>
    <t>31037196544</t>
  </si>
  <si>
    <t>9782111451377</t>
  </si>
  <si>
    <t>795038771</t>
  </si>
  <si>
    <t>P96 S5 C57 2011</t>
  </si>
  <si>
    <t>0                      P  0096000S  5                  C  57          2011</t>
  </si>
  <si>
    <t>Circuits of visibility : gender and transnational media cultures / edited by Radha S. Hegde.</t>
  </si>
  <si>
    <t>New York : New York University Press, ©2011.</t>
  </si>
  <si>
    <t>764606873:eng</t>
  </si>
  <si>
    <t>692291872</t>
  </si>
  <si>
    <t>ocn692291872</t>
  </si>
  <si>
    <t>3103363599P</t>
  </si>
  <si>
    <t>9780814737309</t>
  </si>
  <si>
    <t>794856195</t>
  </si>
  <si>
    <t>P96 S5 G46 2017</t>
  </si>
  <si>
    <t>0                      P  0096000S  5                  G  46          2017</t>
  </si>
  <si>
    <t>Gender and the media : critical concepts in media and cultural studies / edited by Kaitlynn Mendes.</t>
  </si>
  <si>
    <t>Abingdon, Oxon ; New York : Routledge, 2017.</t>
  </si>
  <si>
    <t>Critical concepts in media and cultural studies</t>
  </si>
  <si>
    <t>3929264496:eng</t>
  </si>
  <si>
    <t>945571312</t>
  </si>
  <si>
    <t>ocn945571312</t>
  </si>
  <si>
    <t>3103710462L</t>
  </si>
  <si>
    <t>9781138827516</t>
  </si>
  <si>
    <t>795013649</t>
  </si>
  <si>
    <t>3103710457E</t>
  </si>
  <si>
    <t>795013648</t>
  </si>
  <si>
    <t>3103710450S</t>
  </si>
  <si>
    <t>795013651</t>
  </si>
  <si>
    <t>31037104778</t>
  </si>
  <si>
    <t>795013650</t>
  </si>
  <si>
    <t>P96 S5 H36 2012</t>
  </si>
  <si>
    <t>0                      P  0096000S  5                  H  36          2012</t>
  </si>
  <si>
    <t>The handbook of gender, sex, and media / edited by Karen Ross.</t>
  </si>
  <si>
    <t>1070449479:eng</t>
  </si>
  <si>
    <t>726620649</t>
  </si>
  <si>
    <t>ocn726620649</t>
  </si>
  <si>
    <t>31033815220</t>
  </si>
  <si>
    <t>9781444338546</t>
  </si>
  <si>
    <t>794877254</t>
  </si>
  <si>
    <t>P96 S58 K64 2016</t>
  </si>
  <si>
    <t>0                      P  0096000S  58                 K  64          2016</t>
  </si>
  <si>
    <t>Queer representation, visibility, and race in American film and television : screening the closet / Melanie E.S. Kohnen.</t>
  </si>
  <si>
    <t>Kohnen, Melanie E. S., author.</t>
  </si>
  <si>
    <t>New York : Routledge, 2016.</t>
  </si>
  <si>
    <t>Routledge research in cultural and media studies ; 36</t>
  </si>
  <si>
    <t>1057242128:eng</t>
  </si>
  <si>
    <t>913573107</t>
  </si>
  <si>
    <t>ocn913573107</t>
  </si>
  <si>
    <t>3103611300C</t>
  </si>
  <si>
    <t>9780415894142</t>
  </si>
  <si>
    <t>794999487</t>
  </si>
  <si>
    <t>P96 S63 H36 2011</t>
  </si>
  <si>
    <t>0                      P  0096000S  63                 H  36          2011</t>
  </si>
  <si>
    <t>Media and conflict : escalating evil / Cees J. Hamelink.</t>
  </si>
  <si>
    <t>Hamelink, Cees J., 1940-</t>
  </si>
  <si>
    <t>Boulder, Colo. : Paradigm Publishers, 2011.</t>
  </si>
  <si>
    <t>Media and power</t>
  </si>
  <si>
    <t>2011-10-12</t>
  </si>
  <si>
    <t>793468845:eng</t>
  </si>
  <si>
    <t>607574264</t>
  </si>
  <si>
    <t>ocn607574264</t>
  </si>
  <si>
    <t>3103233193L</t>
  </si>
  <si>
    <t>9781594516436</t>
  </si>
  <si>
    <t>794818271</t>
  </si>
  <si>
    <t>P96 S63 T73 2011</t>
  </si>
  <si>
    <t>0                      P  0096000S  63                 T  73          2011</t>
  </si>
  <si>
    <t>Transnational protests and the media / edited by Simon Cottle &amp; Libby Lester.</t>
  </si>
  <si>
    <t>Global crises and the media, 1947-2587 ; v. 10</t>
  </si>
  <si>
    <t>864833736:eng</t>
  </si>
  <si>
    <t>711643480</t>
  </si>
  <si>
    <t>ocn711643480</t>
  </si>
  <si>
    <t>31033630639</t>
  </si>
  <si>
    <t>9781433109850</t>
  </si>
  <si>
    <t>794871075</t>
  </si>
  <si>
    <t>P96 S642 C2 2010</t>
  </si>
  <si>
    <t>0                      P  0096000S  642                C  2           2010</t>
  </si>
  <si>
    <t>Medien und Integration in Nordamerika : Erfahrungen aus den Einwanderungsländern Kanada und USA / Rainer Geissler, Horst Pöttker (Hrsg.).</t>
  </si>
  <si>
    <t>Bielefeld : Transcript, ©2010.</t>
  </si>
  <si>
    <t>Medienumbrüche ; 35</t>
  </si>
  <si>
    <t>793201639:ger</t>
  </si>
  <si>
    <t>698942660</t>
  </si>
  <si>
    <t>ocn698942660</t>
  </si>
  <si>
    <t>3103332436M</t>
  </si>
  <si>
    <t>9783837610345</t>
  </si>
  <si>
    <t>794861295</t>
  </si>
  <si>
    <t>P96 S66 L33 2010</t>
  </si>
  <si>
    <t>0                      P  0096000S  66                 L  33          2010</t>
  </si>
  <si>
    <t>Acoustic territories : sound culture and everyday life / by Brandon LaBelle.</t>
  </si>
  <si>
    <t>LaBelle, Brandon.</t>
  </si>
  <si>
    <t>796238781:eng</t>
  </si>
  <si>
    <t>463854381</t>
  </si>
  <si>
    <t>ocn463854381</t>
  </si>
  <si>
    <t>3103344052H</t>
  </si>
  <si>
    <t>9781441157249</t>
  </si>
  <si>
    <t>794793031</t>
  </si>
  <si>
    <t>P96 S7 P68 2015</t>
  </si>
  <si>
    <t>0                      P  0096000S  7                  P  68          2015</t>
  </si>
  <si>
    <t>The new time and space / John Potts.</t>
  </si>
  <si>
    <t>Potts, John, 1959- author.</t>
  </si>
  <si>
    <t>Houndmills, Basingstoke, Hampshire ; New York, NY : Palgrave Macmillan, 2015.</t>
  </si>
  <si>
    <t>2621577494:eng</t>
  </si>
  <si>
    <t>913116884</t>
  </si>
  <si>
    <t>ocn913116884</t>
  </si>
  <si>
    <t>3103697420Z</t>
  </si>
  <si>
    <t>9781137494375</t>
  </si>
  <si>
    <t>794999109</t>
  </si>
  <si>
    <t>P96 S74 I45 2003</t>
  </si>
  <si>
    <t>0                      P  0096000S  74                 I  45          2003</t>
  </si>
  <si>
    <t>Images that injure : pictorial stereotypes in the media / edited by Paul Martin Lester and Susan Dente Ross ; foreword by Everette E. Dennis.</t>
  </si>
  <si>
    <t>2015-05-29</t>
  </si>
  <si>
    <t>917533496:eng</t>
  </si>
  <si>
    <t>52030773</t>
  </si>
  <si>
    <t>ocm52030773</t>
  </si>
  <si>
    <t>3102751385T</t>
  </si>
  <si>
    <t>9780275978464</t>
  </si>
  <si>
    <t>793796728</t>
  </si>
  <si>
    <t>2013-11-10</t>
  </si>
  <si>
    <t>3102751383T</t>
  </si>
  <si>
    <t>793796729</t>
  </si>
  <si>
    <t>P96 S74 I45 2011</t>
  </si>
  <si>
    <t>0                      P  0096000S  74                 I  45          2011</t>
  </si>
  <si>
    <t>Images that injure : pictorial stereotypes in the media / Susan Dente Ross and Paul Martin Lester, editors.</t>
  </si>
  <si>
    <t>Santa Barbara, Calif. : Praeger, ©2011.</t>
  </si>
  <si>
    <t>690904788</t>
  </si>
  <si>
    <t>ocn690904788</t>
  </si>
  <si>
    <t>31033626223</t>
  </si>
  <si>
    <t>9780313378928</t>
  </si>
  <si>
    <t>794855619</t>
  </si>
  <si>
    <t>P96 S75 A46 2016</t>
  </si>
  <si>
    <t>0                      P  0096000S  75                 A  46          2016</t>
  </si>
  <si>
    <t>Stéréotypes et clichés : langue, discours, société / Ruth Amossy, Anne Herschberg-Pierrot.</t>
  </si>
  <si>
    <t>Amossy, Ruth, author.</t>
  </si>
  <si>
    <t>Paris : Armand Colin, 2016.</t>
  </si>
  <si>
    <t>128</t>
  </si>
  <si>
    <t>11119536:fre</t>
  </si>
  <si>
    <t>1089812421</t>
  </si>
  <si>
    <t>on1089812421</t>
  </si>
  <si>
    <t>31038594938</t>
  </si>
  <si>
    <t>9782200613853</t>
  </si>
  <si>
    <t>795079616</t>
  </si>
  <si>
    <t>P96 S9 N49 2013</t>
  </si>
  <si>
    <t>0                      P  0096000S  9                  N  49          2013</t>
  </si>
  <si>
    <t>New suburban stories / edited by Martin Dines and Timotheus Vermeulen.</t>
  </si>
  <si>
    <t>London ; New York : Bloomsbury, 2013.</t>
  </si>
  <si>
    <t>Bloomsbury studies in the city</t>
  </si>
  <si>
    <t>2014-12-18</t>
  </si>
  <si>
    <t>1404029595:eng</t>
  </si>
  <si>
    <t>851414242</t>
  </si>
  <si>
    <t>ocn851414242</t>
  </si>
  <si>
    <t>3103504335K</t>
  </si>
  <si>
    <t>9781472510938</t>
  </si>
  <si>
    <t>794950848</t>
  </si>
  <si>
    <t>P96 S96 S65 2010</t>
  </si>
  <si>
    <t>0                      P  0096000S  96                 S  65          2010</t>
  </si>
  <si>
    <t>Symbols + images + codes : the secret language of meaning in film, TV, games and visual media / Pamela Jaye Smith.</t>
  </si>
  <si>
    <t>Smith, Pamela Jaye, 1948-</t>
  </si>
  <si>
    <t>Studio City, CA : Michael Wiese Productions, ©2010.</t>
  </si>
  <si>
    <t>2013-08-28</t>
  </si>
  <si>
    <t>3901739105:eng</t>
  </si>
  <si>
    <t>456171304</t>
  </si>
  <si>
    <t>ocn456171304</t>
  </si>
  <si>
    <t>3103312446U</t>
  </si>
  <si>
    <t>9781932907742</t>
  </si>
  <si>
    <t>794788446</t>
  </si>
  <si>
    <t>P96 T42 B37 2013</t>
  </si>
  <si>
    <t>0                      P  0096000T  42                 B  37          2013</t>
  </si>
  <si>
    <t>Language online : investigating digital texts and practices / David Barton, Carmen Lee.</t>
  </si>
  <si>
    <t>Barton, David, 1949- author.</t>
  </si>
  <si>
    <t>Milton Park, Abingdon, Oxon : Routledge, 2013.</t>
  </si>
  <si>
    <t>1791419565:eng</t>
  </si>
  <si>
    <t>794041221</t>
  </si>
  <si>
    <t>ocn794041221</t>
  </si>
  <si>
    <t>3103500505$</t>
  </si>
  <si>
    <t>9780415524940</t>
  </si>
  <si>
    <t>794919124</t>
  </si>
  <si>
    <t>P96 T42 B59 1998</t>
  </si>
  <si>
    <t>0                      P  0096000T  42                 B  59          1998</t>
  </si>
  <si>
    <t>Remediation : understanding new media / Jay David Bolter and Richard Grusin.</t>
  </si>
  <si>
    <t>Bolter, J. David, 1951-</t>
  </si>
  <si>
    <t>Cambridge, Mass. : MIT Press, ©1999.</t>
  </si>
  <si>
    <t>799428755:eng</t>
  </si>
  <si>
    <t>39399438</t>
  </si>
  <si>
    <t>ocm39399438</t>
  </si>
  <si>
    <t>3102751381T</t>
  </si>
  <si>
    <t>9780262024525</t>
  </si>
  <si>
    <t>793545753</t>
  </si>
  <si>
    <t>P96 T42 B59 2000</t>
  </si>
  <si>
    <t>0                      P  0096000T  42                 B  59          2000</t>
  </si>
  <si>
    <t>Cambridge, Mass. : MIT Press, 1999.</t>
  </si>
  <si>
    <t>55800346</t>
  </si>
  <si>
    <t>ocm55800346</t>
  </si>
  <si>
    <t>3102670576P</t>
  </si>
  <si>
    <t>9780262522793</t>
  </si>
  <si>
    <t>793882718</t>
  </si>
  <si>
    <t>3102493353P</t>
  </si>
  <si>
    <t>793882717</t>
  </si>
  <si>
    <t>P96 T42 D54 2009</t>
  </si>
  <si>
    <t>0                      P  0096000T  42                 D  54          2009</t>
  </si>
  <si>
    <t>Digital tools in media studies : analysis and research : an overview / Michael Ross, Manfred Grauer, Bernd Freisleben (eds.).</t>
  </si>
  <si>
    <t>Bielefeld : Transcript ; New Brunswick [N.J.] : Distributed in North America by Transaction Publishers, ©2009.</t>
  </si>
  <si>
    <t>Medienumbrüche = Media upheavals ; v. 27</t>
  </si>
  <si>
    <t>892272764:eng</t>
  </si>
  <si>
    <t>286472836</t>
  </si>
  <si>
    <t>ocn286472836</t>
  </si>
  <si>
    <t>31030791195</t>
  </si>
  <si>
    <t>9783837610239</t>
  </si>
  <si>
    <t>794421095</t>
  </si>
  <si>
    <t>P96 T42 D5513 2012</t>
  </si>
  <si>
    <t>0                      P  0096000T  42                 D  5513        2012</t>
  </si>
  <si>
    <t>The network society / Jan Van Dijk.</t>
  </si>
  <si>
    <t>Dijk, Jan van, 1952-</t>
  </si>
  <si>
    <t>London : Sage Publications, 2012.</t>
  </si>
  <si>
    <t>3rd edition.</t>
  </si>
  <si>
    <t>2019-10-12</t>
  </si>
  <si>
    <t>4921899045:eng</t>
  </si>
  <si>
    <t>769546516</t>
  </si>
  <si>
    <t>ocn769546516</t>
  </si>
  <si>
    <t>3103395268H</t>
  </si>
  <si>
    <t>9781446248959</t>
  </si>
  <si>
    <t>794903534</t>
  </si>
  <si>
    <t>P96 T42 D99 2010</t>
  </si>
  <si>
    <t>0                      P  0096000T  42                 D  99          2010</t>
  </si>
  <si>
    <t>Media convergence / Tim Dwyer.</t>
  </si>
  <si>
    <t>Dwyer, Tim.</t>
  </si>
  <si>
    <t>Maidenhead ; New York : McGraw Hill/Open University Press, 2010.</t>
  </si>
  <si>
    <t>2013-03-04</t>
  </si>
  <si>
    <t>347462574:eng</t>
  </si>
  <si>
    <t>463648239</t>
  </si>
  <si>
    <t>ocn463648239</t>
  </si>
  <si>
    <t>3103241605R</t>
  </si>
  <si>
    <t>9780335228737</t>
  </si>
  <si>
    <t>794792890</t>
  </si>
  <si>
    <t>P96 T42 F57 2011</t>
  </si>
  <si>
    <t>0                      P  0096000T  42                 F  57          2011</t>
  </si>
  <si>
    <t>Media, masculinities and the machine : F1, Transformers and fantasizing technology at its limits / Dan Fleming and Damion Sturm.</t>
  </si>
  <si>
    <t>Fleming, Dan.</t>
  </si>
  <si>
    <t>581735991:eng</t>
  </si>
  <si>
    <t>657602645</t>
  </si>
  <si>
    <t>ocn657602645</t>
  </si>
  <si>
    <t>31033615534</t>
  </si>
  <si>
    <t>9781441115546</t>
  </si>
  <si>
    <t>794835592</t>
  </si>
  <si>
    <t>P96 T42 F58 2005</t>
  </si>
  <si>
    <t>0                      P  0096000T  42                 F  58          2005</t>
  </si>
  <si>
    <t>New media : an introduction / Terry Flew.</t>
  </si>
  <si>
    <t>South Melbourne, Vic. ; New York : Oxford University Press, 2005.</t>
  </si>
  <si>
    <t>663070:eng</t>
  </si>
  <si>
    <t>56912751</t>
  </si>
  <si>
    <t>ocm56912751</t>
  </si>
  <si>
    <t>31025031370</t>
  </si>
  <si>
    <t>9780195550412</t>
  </si>
  <si>
    <t>793903888</t>
  </si>
  <si>
    <t>P96 T42 F77 2013</t>
  </si>
  <si>
    <t>0                      P  0096000T  42                 F  77          2013</t>
  </si>
  <si>
    <t>Frontiers in new media research / edited by Francis L.F. Lee [and others].</t>
  </si>
  <si>
    <t>Routledge research in information technology and society ; 15</t>
  </si>
  <si>
    <t>2017-02-20</t>
  </si>
  <si>
    <t>1090718838:eng</t>
  </si>
  <si>
    <t>759915218</t>
  </si>
  <si>
    <t>ocn759915218</t>
  </si>
  <si>
    <t>3103457139W</t>
  </si>
  <si>
    <t>9780415524155</t>
  </si>
  <si>
    <t>794897979</t>
  </si>
  <si>
    <t>P96 T42 F84 2009</t>
  </si>
  <si>
    <t>0                      P  0096000T  42                 F  84          2009</t>
  </si>
  <si>
    <t>New media : culture and image / Kelli Fuery.</t>
  </si>
  <si>
    <t>Fuery, Kelli.</t>
  </si>
  <si>
    <t>198780178:eng</t>
  </si>
  <si>
    <t>245598422</t>
  </si>
  <si>
    <t>ocn245598422</t>
  </si>
  <si>
    <t>3103054727F</t>
  </si>
  <si>
    <t>9781403989437</t>
  </si>
  <si>
    <t>794383562</t>
  </si>
  <si>
    <t>P96 T42 G56 2014</t>
  </si>
  <si>
    <t>0                      P  0096000T  42                 G  56          2014</t>
  </si>
  <si>
    <t>Paper knowledge : toward a media history of documents / Lisa Gitelman.</t>
  </si>
  <si>
    <t>Durham ; London : Duke University Press, 2014.</t>
  </si>
  <si>
    <t>Sign, Storage, Transmission</t>
  </si>
  <si>
    <t>1372198834:eng</t>
  </si>
  <si>
    <t>854906247</t>
  </si>
  <si>
    <t>ocn854906247</t>
  </si>
  <si>
    <t>3103610104H</t>
  </si>
  <si>
    <t>9780822356455</t>
  </si>
  <si>
    <t>794952821</t>
  </si>
  <si>
    <t>P96 T42 G64 2012</t>
  </si>
  <si>
    <t>0                      P  0096000T  42                 G  64          2012</t>
  </si>
  <si>
    <t>New technologies and the media.</t>
  </si>
  <si>
    <t>Goggin, Gerard, 1964-</t>
  </si>
  <si>
    <t>Basingstoke : Palgrave macmillan, 2012.</t>
  </si>
  <si>
    <t>1045561697:eng</t>
  </si>
  <si>
    <t>795337461</t>
  </si>
  <si>
    <t>ocn795337461</t>
  </si>
  <si>
    <t>3103395209T</t>
  </si>
  <si>
    <t>9780230282216</t>
  </si>
  <si>
    <t>794921170</t>
  </si>
  <si>
    <t>P96 T42 G76 2013</t>
  </si>
  <si>
    <t>0                      P  0096000T  42                 G  76          2013</t>
  </si>
  <si>
    <t>Old new media : from oral to virtual environments / Paul Grosswiler.</t>
  </si>
  <si>
    <t>Grosswiler, Paul.</t>
  </si>
  <si>
    <t>1440942474:eng</t>
  </si>
  <si>
    <t>802103122</t>
  </si>
  <si>
    <t>ocn802103122</t>
  </si>
  <si>
    <t>3103498603$</t>
  </si>
  <si>
    <t>9781433115851</t>
  </si>
  <si>
    <t>794925413</t>
  </si>
  <si>
    <t>P96 T42 H34 2004</t>
  </si>
  <si>
    <t>0                      P  0096000T  42                 H  34          2004</t>
  </si>
  <si>
    <t>Information and communication technologies in everyday life : a concise introduction and research guide / Leslie Haddon.</t>
  </si>
  <si>
    <t>Haddon, Leslie.</t>
  </si>
  <si>
    <t>Oxford ; New York : Berg, 2004.</t>
  </si>
  <si>
    <t>English ed.</t>
  </si>
  <si>
    <t>New technologies/new cultures</t>
  </si>
  <si>
    <t>793367858:eng</t>
  </si>
  <si>
    <t>56456129</t>
  </si>
  <si>
    <t>ocm56456129</t>
  </si>
  <si>
    <t>31024237767</t>
  </si>
  <si>
    <t>9781859737934</t>
  </si>
  <si>
    <t>793893604</t>
  </si>
  <si>
    <t>P96 T42 H36 2006</t>
  </si>
  <si>
    <t>0                      P  0096000T  42                 H  36          2006</t>
  </si>
  <si>
    <t>Handbook of new media : social shaping and social consequences of ICTs / edited by Leah A. Lievrouw and Sonia Livingstone.</t>
  </si>
  <si>
    <t>London ; Thousand Oaks, Calif. : SAGE, 2006.</t>
  </si>
  <si>
    <t>Updated student ed.</t>
  </si>
  <si>
    <t>2015-12-18</t>
  </si>
  <si>
    <t>796444295:eng</t>
  </si>
  <si>
    <t>61879125</t>
  </si>
  <si>
    <t>ocm61879125</t>
  </si>
  <si>
    <t>31025579525</t>
  </si>
  <si>
    <t>9781412918732</t>
  </si>
  <si>
    <t>794099028</t>
  </si>
  <si>
    <t>P96 T42 H369 2005</t>
  </si>
  <si>
    <t>0                      P  0096000T  42                 H  369         2005</t>
  </si>
  <si>
    <t>Digital matters : theory and culture of the matrix / Jan Ll. Harris and Paul A. Taylor.</t>
  </si>
  <si>
    <t>Harris, Jan Ll., 1969-</t>
  </si>
  <si>
    <t>2015-05-21</t>
  </si>
  <si>
    <t>803042740:eng</t>
  </si>
  <si>
    <t>58546874</t>
  </si>
  <si>
    <t>ocm58546874</t>
  </si>
  <si>
    <t>3102488336E</t>
  </si>
  <si>
    <t>9780415251853</t>
  </si>
  <si>
    <t>793922451</t>
  </si>
  <si>
    <t>P96 T42 H39 2012</t>
  </si>
  <si>
    <t>0                      P  0096000T  42                 H  39          2012</t>
  </si>
  <si>
    <t>How we think : digital media and contemporary technogenesis / N. Katherine Hayles.</t>
  </si>
  <si>
    <t>Hayles, Katherine, 1943-</t>
  </si>
  <si>
    <t>Chicago ; London : The University of Chicago Press, 2012.</t>
  </si>
  <si>
    <t>2019-08-13</t>
  </si>
  <si>
    <t>1012055102:eng</t>
  </si>
  <si>
    <t>753915105</t>
  </si>
  <si>
    <t>ocn753915105</t>
  </si>
  <si>
    <t>3103502225X</t>
  </si>
  <si>
    <t>9780226321400</t>
  </si>
  <si>
    <t>794892403</t>
  </si>
  <si>
    <t>P96 T42 H65 2005</t>
  </si>
  <si>
    <t>0                      P  0096000T  42                 H  65          2005</t>
  </si>
  <si>
    <t>Communication theory : media, technology and society / David Holmes.</t>
  </si>
  <si>
    <t>Holmes, David, 1962-</t>
  </si>
  <si>
    <t>London ; Thousand Oaks, Calif. : SAGE, 2005.</t>
  </si>
  <si>
    <t>796375803:eng</t>
  </si>
  <si>
    <t>59711384</t>
  </si>
  <si>
    <t>ocm59711384</t>
  </si>
  <si>
    <t>3102579930S</t>
  </si>
  <si>
    <t>9780761970699</t>
  </si>
  <si>
    <t>793931116</t>
  </si>
  <si>
    <t>P96 T42 H866 2017</t>
  </si>
  <si>
    <t>0                      P  0096000T  42                 H  866         2017</t>
  </si>
  <si>
    <t>Classics from papyrus to the internet : an introduction to transmission and reception / Jeffrey M. Hunt, R. Alden Smith, Fabio Stok ; foreword by Craig Kallendorf.</t>
  </si>
  <si>
    <t>Hunt, Jeffrey Michael, author.</t>
  </si>
  <si>
    <t>Austin : University of Texas Press, 2017.</t>
  </si>
  <si>
    <t>Ashley and Peter Larkin series in Greek and Roman culture</t>
  </si>
  <si>
    <t>3916690377:eng</t>
  </si>
  <si>
    <t>961009761</t>
  </si>
  <si>
    <t>ocn961009761</t>
  </si>
  <si>
    <t>31037388222</t>
  </si>
  <si>
    <t>9781477313015</t>
  </si>
  <si>
    <t>795023553</t>
  </si>
  <si>
    <t>P96 T42 H88 2001</t>
  </si>
  <si>
    <t>0                      P  0096000T  42                 H  88          2001</t>
  </si>
  <si>
    <t>Conversation and technology : from the telephone to the Internet / Ian Hutchby.</t>
  </si>
  <si>
    <t>Cambridge, UK ; Malden, MA : Polity Press, ©2001.</t>
  </si>
  <si>
    <t>837004787:eng</t>
  </si>
  <si>
    <t>44067042</t>
  </si>
  <si>
    <t>ocm44067042</t>
  </si>
  <si>
    <t>3102751371V</t>
  </si>
  <si>
    <t>9780745621104</t>
  </si>
  <si>
    <t>793641655</t>
  </si>
  <si>
    <t>P96 T42 I45 2010</t>
  </si>
  <si>
    <t>0                      P  0096000T  42                 I  45          2010</t>
  </si>
  <si>
    <t>Immersed in media : telepresence in everyday life / edited by Cheryl Campanella Bracken &amp; Paul D. Skalski.</t>
  </si>
  <si>
    <t>2012-01-06</t>
  </si>
  <si>
    <t>888409626:eng</t>
  </si>
  <si>
    <t>263977951</t>
  </si>
  <si>
    <t>ocn263977951</t>
  </si>
  <si>
    <t>3103158458X</t>
  </si>
  <si>
    <t>9780415993395</t>
  </si>
  <si>
    <t>794404250</t>
  </si>
  <si>
    <t>P96 T42 J46 2010</t>
  </si>
  <si>
    <t>0                      P  0096000T  42                 J  46          2010</t>
  </si>
  <si>
    <t>Media convergence : the three degrees of network, mass, and interpersonal communication / Klaus Bruhn Jensen.</t>
  </si>
  <si>
    <t>Jensen, Klaus Bruhn.</t>
  </si>
  <si>
    <t>797260307:eng</t>
  </si>
  <si>
    <t>244057507</t>
  </si>
  <si>
    <t>ocn244057507</t>
  </si>
  <si>
    <t>3103131586P</t>
  </si>
  <si>
    <t>9780415482035</t>
  </si>
  <si>
    <t>794380617</t>
  </si>
  <si>
    <t>P96 T42 K46 2012</t>
  </si>
  <si>
    <t>0                      P  0096000T  42                 K  46          2012</t>
  </si>
  <si>
    <t>Life after new media : mediation as a vital process / Sarah Kember and Joanna Zylinska.</t>
  </si>
  <si>
    <t>Kember, Sarah.</t>
  </si>
  <si>
    <t>2018-12-06</t>
  </si>
  <si>
    <t>1088280825:eng</t>
  </si>
  <si>
    <t>780063873</t>
  </si>
  <si>
    <t>ocn780063873</t>
  </si>
  <si>
    <t>3103411804O</t>
  </si>
  <si>
    <t>9780262018197</t>
  </si>
  <si>
    <t>794911726</t>
  </si>
  <si>
    <t>P96 T42 K567 2008</t>
  </si>
  <si>
    <t>0                      P  0096000T  42                 K  567         2008</t>
  </si>
  <si>
    <t>Mechanisms : new media and the forensic imagination / Matthew G. Kirschenbaum.</t>
  </si>
  <si>
    <t>Kirschenbaum, Matthew G.</t>
  </si>
  <si>
    <t>320567499:eng</t>
  </si>
  <si>
    <t>79256819</t>
  </si>
  <si>
    <t>ocm79256819</t>
  </si>
  <si>
    <t>3102648418N</t>
  </si>
  <si>
    <t>9780262113113</t>
  </si>
  <si>
    <t>794197536</t>
  </si>
  <si>
    <t>P96 T42 K5713 1999</t>
  </si>
  <si>
    <t>0                      P  0096000T  42                 K  5713        1999</t>
  </si>
  <si>
    <t>Gramophone, film, typewriter / Friedrich Kittler ; translated, with an introduction, by Geoffrey Winthrop-Young and Michael Wutz.</t>
  </si>
  <si>
    <t>Stanford, Calif. : Stanford University Press, ©1999.</t>
  </si>
  <si>
    <t>2019-06-11</t>
  </si>
  <si>
    <t>17245707:eng</t>
  </si>
  <si>
    <t>39800562</t>
  </si>
  <si>
    <t>ocm39800562</t>
  </si>
  <si>
    <t>3102657443G</t>
  </si>
  <si>
    <t>9780804732321</t>
  </si>
  <si>
    <t>793553664</t>
  </si>
  <si>
    <t>31030415005</t>
  </si>
  <si>
    <t>793553663</t>
  </si>
  <si>
    <t>2018-02-24</t>
  </si>
  <si>
    <t>31029997144</t>
  </si>
  <si>
    <t>793553665</t>
  </si>
  <si>
    <t>P96 T42 L39 2009</t>
  </si>
  <si>
    <t>0                      P  0096000T  42                 L  39          2009</t>
  </si>
  <si>
    <t>Media and communication technologies : a critical introduction / Stephen Lax.</t>
  </si>
  <si>
    <t>Lax, Stephen.</t>
  </si>
  <si>
    <t>Basingstoke ; New York : Palgrave Macmillan, 2009.</t>
  </si>
  <si>
    <t>196136681:eng</t>
  </si>
  <si>
    <t>259716152</t>
  </si>
  <si>
    <t>ocn259716152</t>
  </si>
  <si>
    <t>31030546886</t>
  </si>
  <si>
    <t>9781403998897</t>
  </si>
  <si>
    <t>794400089</t>
  </si>
  <si>
    <t>P96 T42 L64 2004</t>
  </si>
  <si>
    <t>0                      P  0096000T  42                 L  64          2004</t>
  </si>
  <si>
    <t>The sixth language : learning a living in the Internet age / Robert K. Logan.</t>
  </si>
  <si>
    <t>Caldwell, N.J. : Blackburn Press, ©2000 [i.e. c2004]</t>
  </si>
  <si>
    <t>837079875:eng</t>
  </si>
  <si>
    <t>57551095</t>
  </si>
  <si>
    <t>ocm57551095</t>
  </si>
  <si>
    <t>3102594207S</t>
  </si>
  <si>
    <t>9781930665996</t>
  </si>
  <si>
    <t>793915262</t>
  </si>
  <si>
    <t>P96 T42 L66 2008</t>
  </si>
  <si>
    <t>0                      P  0096000T  42                 L  66          2008</t>
  </si>
  <si>
    <t>Media technology : critical perspectives / Joost Van Loon.</t>
  </si>
  <si>
    <t>Loon, Joost van.</t>
  </si>
  <si>
    <t>Maidenhead : McGraw-Hill/Open University Press, 2008.</t>
  </si>
  <si>
    <t>2016-03-03</t>
  </si>
  <si>
    <t>792907354:eng</t>
  </si>
  <si>
    <t>148823418</t>
  </si>
  <si>
    <t>ocn148823418</t>
  </si>
  <si>
    <t>31028563539</t>
  </si>
  <si>
    <t>9780335214471</t>
  </si>
  <si>
    <t>794240997</t>
  </si>
  <si>
    <t>P96 T42 M35 2001</t>
  </si>
  <si>
    <t>0                      P  0096000T  42                 M  35          2001</t>
  </si>
  <si>
    <t>The language of new media / Lev Manovich.</t>
  </si>
  <si>
    <t>Manovich, Lev.</t>
  </si>
  <si>
    <t>14327337:eng</t>
  </si>
  <si>
    <t>54838521</t>
  </si>
  <si>
    <t>ocm54838521</t>
  </si>
  <si>
    <t>3102797532Q</t>
  </si>
  <si>
    <t>9780262133746</t>
  </si>
  <si>
    <t>793869012</t>
  </si>
  <si>
    <t>31030430592</t>
  </si>
  <si>
    <t>793869013</t>
  </si>
  <si>
    <t>P96 T42 M355 2017</t>
  </si>
  <si>
    <t>0                      P  0096000T  42                 M  355         2017</t>
  </si>
  <si>
    <t>Ecstatic worlds : media, utopias, ecologies / Janine Marchessault.</t>
  </si>
  <si>
    <t>Marchessault, Janine, author.</t>
  </si>
  <si>
    <t>4471546354:eng</t>
  </si>
  <si>
    <t>978539883</t>
  </si>
  <si>
    <t>ocn978539883</t>
  </si>
  <si>
    <t>31037048126</t>
  </si>
  <si>
    <t>9780262036467</t>
  </si>
  <si>
    <t>795033326</t>
  </si>
  <si>
    <t>P96 T42 M365 2009</t>
  </si>
  <si>
    <t>0                      P  0096000T  42                 M  365         2009</t>
  </si>
  <si>
    <t>The language of new media design : theory and practice / Radan Martinec and Theo Van Leeuwen.</t>
  </si>
  <si>
    <t>Martinec, Radan.</t>
  </si>
  <si>
    <t>2018-01-30</t>
  </si>
  <si>
    <t>865345453:eng</t>
  </si>
  <si>
    <t>435544594</t>
  </si>
  <si>
    <t>ocn435544594</t>
  </si>
  <si>
    <t>3102977403X</t>
  </si>
  <si>
    <t>9780415372572</t>
  </si>
  <si>
    <t>794783408</t>
  </si>
  <si>
    <t>P96 T42 M38 1989</t>
  </si>
  <si>
    <t>0                      P  0096000T  42                 M  38          1989</t>
  </si>
  <si>
    <t>The global village : transformations in world life and media in the 21st century / Marshall McLuhan and Bruce R. Powers.</t>
  </si>
  <si>
    <t>2017-06-12</t>
  </si>
  <si>
    <t>808481734:eng</t>
  </si>
  <si>
    <t>18291588</t>
  </si>
  <si>
    <t>ocm18291588</t>
  </si>
  <si>
    <t>3102751364X</t>
  </si>
  <si>
    <t>9780195054446</t>
  </si>
  <si>
    <t>793020010</t>
  </si>
  <si>
    <t>P96 T42 M425 2010</t>
  </si>
  <si>
    <t>0                      P  0096000T  42                 M  425         2010</t>
  </si>
  <si>
    <t>Media, technology, and society : theories of media evolution / W. Russell Neuman, editor.</t>
  </si>
  <si>
    <t>Ann Arbor : Digital Culture Books/University of Michigan Press : University of Michigan Library, ©2010.</t>
  </si>
  <si>
    <t>2014-11-19</t>
  </si>
  <si>
    <t>796411745:eng</t>
  </si>
  <si>
    <t>318874998</t>
  </si>
  <si>
    <t>ocn318874998</t>
  </si>
  <si>
    <t>3103240705S</t>
  </si>
  <si>
    <t>9780472070824</t>
  </si>
  <si>
    <t>794482847</t>
  </si>
  <si>
    <t>P96 T42 M45 2004</t>
  </si>
  <si>
    <t>0                      P  0096000T  42                 M  45          2004</t>
  </si>
  <si>
    <t>Memory bytes : history, technology, and digital culture / Lauren Rabinovitz and Abraham Geil, editors.</t>
  </si>
  <si>
    <t>Durham : Duke University Press, 2004.</t>
  </si>
  <si>
    <t>864890913:eng</t>
  </si>
  <si>
    <t>52587503</t>
  </si>
  <si>
    <t>ocm52587503</t>
  </si>
  <si>
    <t>3102751360X</t>
  </si>
  <si>
    <t>9780822332282</t>
  </si>
  <si>
    <t>793810280</t>
  </si>
  <si>
    <t>P96 T42 N478 2003</t>
  </si>
  <si>
    <t>0                      P  0096000T  42                 N  478         2003</t>
  </si>
  <si>
    <t>New media : a critical introduction / Martin Lister [and others].</t>
  </si>
  <si>
    <t>2014-05-14</t>
  </si>
  <si>
    <t>888500145:eng</t>
  </si>
  <si>
    <t>49785856</t>
  </si>
  <si>
    <t>ocm49785856</t>
  </si>
  <si>
    <t>3102751356Z</t>
  </si>
  <si>
    <t>9780415223775</t>
  </si>
  <si>
    <t>793747838</t>
  </si>
  <si>
    <t>3102751355Z</t>
  </si>
  <si>
    <t>793747839</t>
  </si>
  <si>
    <t>P96 T42 N478 2009</t>
  </si>
  <si>
    <t>0                      P  0096000T  42                 N  478         2009</t>
  </si>
  <si>
    <t>Milton Park, Abingdon, Oxon ; New York, N.Y. : Routledge, 2009.</t>
  </si>
  <si>
    <t>231884257</t>
  </si>
  <si>
    <t>ocn231884257</t>
  </si>
  <si>
    <t>31028564498</t>
  </si>
  <si>
    <t>9780415431606</t>
  </si>
  <si>
    <t>794358778</t>
  </si>
  <si>
    <t>P96 T42 O36 1998</t>
  </si>
  <si>
    <t>0                      P  0096000T  42                 O  36          1998</t>
  </si>
  <si>
    <t>Avatars of the word : from papyrus to cyberspace / James J. O'Donnell.</t>
  </si>
  <si>
    <t>O'Donnell, James Joseph, 1950- author.</t>
  </si>
  <si>
    <t>Cambridge, Massachusetts : Harvard University Press, 1998.</t>
  </si>
  <si>
    <t>837014012:eng</t>
  </si>
  <si>
    <t>37819954</t>
  </si>
  <si>
    <t>ocm37819954</t>
  </si>
  <si>
    <t>3102751353Z</t>
  </si>
  <si>
    <t>9780674055452</t>
  </si>
  <si>
    <t>793507777</t>
  </si>
  <si>
    <t>P96 T42 P67 1995</t>
  </si>
  <si>
    <t>0                      P  0096000T  42                 P  67          1995</t>
  </si>
  <si>
    <t>The second media age / Mark Poster.</t>
  </si>
  <si>
    <t>Poster, Mark.</t>
  </si>
  <si>
    <t>Cambridge, UK : Polity Press ; Cambridge, Mass. : B. Blackwell, 1995.</t>
  </si>
  <si>
    <t>37072807:eng</t>
  </si>
  <si>
    <t>32346756</t>
  </si>
  <si>
    <t>ocm32346756</t>
  </si>
  <si>
    <t>3102751351Z</t>
  </si>
  <si>
    <t>9780745613956</t>
  </si>
  <si>
    <t>793381429</t>
  </si>
  <si>
    <t>P96 T42 P76 2012</t>
  </si>
  <si>
    <t>0                      P  0096000T  42                 P  76          2012</t>
  </si>
  <si>
    <t>Produsing theory in a digital world : the intersection of audiences and production in contemporary theory / edited by Rebecca Ann Lind.</t>
  </si>
  <si>
    <t>New York : Peter Lang, [2012-2015]</t>
  </si>
  <si>
    <t>Digital formations, 1526-3169 ; v. 80, 99</t>
  </si>
  <si>
    <t>4663672727:eng</t>
  </si>
  <si>
    <t>793099472</t>
  </si>
  <si>
    <t>ocn793099472</t>
  </si>
  <si>
    <t>3103414231O</t>
  </si>
  <si>
    <t>9781433115202</t>
  </si>
  <si>
    <t>794917554</t>
  </si>
  <si>
    <t>P96 T42 P89 2012</t>
  </si>
  <si>
    <t>0                      P  0096000T  42                 P  89          2012</t>
  </si>
  <si>
    <t>Putting knowledge to work and letting information play / edited by Timothy W. Luke, Jeremy Hunsinger.</t>
  </si>
  <si>
    <t>Rotterdam, Netherlands ; Boston : Sense Publishers, ©2012.</t>
  </si>
  <si>
    <t>Transdisciplinary studies ; v. 04</t>
  </si>
  <si>
    <t>1167895475:eng</t>
  </si>
  <si>
    <t>810124881</t>
  </si>
  <si>
    <t>ocn810124881</t>
  </si>
  <si>
    <t>31034138870</t>
  </si>
  <si>
    <t>9789460917264</t>
  </si>
  <si>
    <t>794929185</t>
  </si>
  <si>
    <t>P96 T42 Q36 2010</t>
  </si>
  <si>
    <t>0                      P  0096000T  42                 Q  36          2010</t>
  </si>
  <si>
    <t>Qualitative inquiry and human rights / Norman K. Denzin, Michael D. Giardina, editors.</t>
  </si>
  <si>
    <t>Walnut Creek, Calif. : Left Coast Press, ©2010.</t>
  </si>
  <si>
    <t>352414032:eng</t>
  </si>
  <si>
    <t>471811305</t>
  </si>
  <si>
    <t>ocn471811305</t>
  </si>
  <si>
    <t>3103238816X</t>
  </si>
  <si>
    <t>9781598745375</t>
  </si>
  <si>
    <t>794797066</t>
  </si>
  <si>
    <t>P96 T42 R47 2007</t>
  </si>
  <si>
    <t>0                      P  0096000T  42                 R  47          2007</t>
  </si>
  <si>
    <t>Residual media / Charles R. Acland, editor.</t>
  </si>
  <si>
    <t>Minneapolis : University of Minnesota Press, ©2007.</t>
  </si>
  <si>
    <t>57995693:eng</t>
  </si>
  <si>
    <t>71004148</t>
  </si>
  <si>
    <t>ocm71004148</t>
  </si>
  <si>
    <t>3102595181B</t>
  </si>
  <si>
    <t>9780816644711</t>
  </si>
  <si>
    <t>794162108</t>
  </si>
  <si>
    <t>3103074405I</t>
  </si>
  <si>
    <t>794162109</t>
  </si>
  <si>
    <t>P96 T42 S37 2000</t>
  </si>
  <si>
    <t>0                      P  0096000T  42                 S  37          2000</t>
  </si>
  <si>
    <t>Haunted media : electronic presence from telegraphy to television / Jeffrey Sconce.</t>
  </si>
  <si>
    <t>Sconce, Jeffrey, 1962-</t>
  </si>
  <si>
    <t>Durham, NC : Duke University Press, 2000.</t>
  </si>
  <si>
    <t>Console-ing passions</t>
  </si>
  <si>
    <t>287316561:eng</t>
  </si>
  <si>
    <t>43706959</t>
  </si>
  <si>
    <t>ocm43706959</t>
  </si>
  <si>
    <t>31027513460</t>
  </si>
  <si>
    <t>9780822325536</t>
  </si>
  <si>
    <t>793633114</t>
  </si>
  <si>
    <t>P96 T42 S449 2013</t>
  </si>
  <si>
    <t>0                      P  0096000T  42                 S  449         2013</t>
  </si>
  <si>
    <t>Spoken and written discourse in online interactions : a multimodal approach / Maria Grazia Sindoni.</t>
  </si>
  <si>
    <t>Sindoni, Maria Grazia, 1974-</t>
  </si>
  <si>
    <t>New York, NY : Routledge, 2013.</t>
  </si>
  <si>
    <t>Routledge studies in multimodality ; 7</t>
  </si>
  <si>
    <t>1770930535:eng</t>
  </si>
  <si>
    <t>764304858</t>
  </si>
  <si>
    <t>ocn764304858</t>
  </si>
  <si>
    <t>31034984075</t>
  </si>
  <si>
    <t>9780415523165</t>
  </si>
  <si>
    <t>794900262</t>
  </si>
  <si>
    <t>P96 T42 S67 1996</t>
  </si>
  <si>
    <t>0                      P  0096000T  42                 S  67          1996</t>
  </si>
  <si>
    <t>Electronic eros : bodies and desire in the postindustrial age / by Claudia Springer.</t>
  </si>
  <si>
    <t>Austin : University of Texas Press, 1996.</t>
  </si>
  <si>
    <t>37647445:eng</t>
  </si>
  <si>
    <t>32923159</t>
  </si>
  <si>
    <t>ocm32923159</t>
  </si>
  <si>
    <t>3102800803G</t>
  </si>
  <si>
    <t>9780292776968</t>
  </si>
  <si>
    <t>793397568</t>
  </si>
  <si>
    <t>P96 T42 T87 2015</t>
  </si>
  <si>
    <t>0                      P  0096000T  42                 T  87          2015</t>
  </si>
  <si>
    <t>Reclaiming conversation : the power of talk in a digital age / Sherry Turkle.</t>
  </si>
  <si>
    <t>Turkle, Sherry, author.</t>
  </si>
  <si>
    <t>New York : Penguin Press, 2015.</t>
  </si>
  <si>
    <t>2019-01-03</t>
  </si>
  <si>
    <t>2496959643:eng</t>
  </si>
  <si>
    <t>922549181</t>
  </si>
  <si>
    <t>ocn922549181</t>
  </si>
  <si>
    <t>3103652952E</t>
  </si>
  <si>
    <t>9781594205552</t>
  </si>
  <si>
    <t>795003909</t>
  </si>
  <si>
    <t>P96 T42 T89 2010</t>
  </si>
  <si>
    <t>0                      P  0096000T  42                 T  89          2010</t>
  </si>
  <si>
    <t>The twenty-first-century media industry : economic and managerial implications in the age of new media / edited by John Allen Hendricks.</t>
  </si>
  <si>
    <t>Studies in new media</t>
  </si>
  <si>
    <t>1044436218:eng</t>
  </si>
  <si>
    <t>609529034</t>
  </si>
  <si>
    <t>ocn609529034</t>
  </si>
  <si>
    <t>3103240649N</t>
  </si>
  <si>
    <t>9780739140031</t>
  </si>
  <si>
    <t>794819990</t>
  </si>
  <si>
    <t>P96 T422 A35 2010</t>
  </si>
  <si>
    <t>0                      P  0096000T  422                A  35          2010</t>
  </si>
  <si>
    <t>Media and technology in emerging African democracies / [edited by] Cosmas U. Nwokeafor and Kehbuma Langmia ; foreword by Chuka Onwumechili.</t>
  </si>
  <si>
    <t>Lanham : University Press of America, ©2010.</t>
  </si>
  <si>
    <t>495519591:eng</t>
  </si>
  <si>
    <t>630470360</t>
  </si>
  <si>
    <t>ocn630470360</t>
  </si>
  <si>
    <t>31033121148</t>
  </si>
  <si>
    <t>9780761851998</t>
  </si>
  <si>
    <t>794824515</t>
  </si>
  <si>
    <t>P96 T422 G75 2009</t>
  </si>
  <si>
    <t>0                      P  0096000T  422                G  75          2009</t>
  </si>
  <si>
    <t>Posting it : the Victorian revolution in letter writing / Catherine J. Golden.</t>
  </si>
  <si>
    <t>Golden, Catherine.</t>
  </si>
  <si>
    <t>Gainesville : University Press of Florida, ©2009.</t>
  </si>
  <si>
    <t>908526451:eng</t>
  </si>
  <si>
    <t>316826743</t>
  </si>
  <si>
    <t>ocn316826743</t>
  </si>
  <si>
    <t>3103087467Q</t>
  </si>
  <si>
    <t>9780813033792</t>
  </si>
  <si>
    <t>794449912</t>
  </si>
  <si>
    <t>P96 T422 I83 2013</t>
  </si>
  <si>
    <t>0                      P  0096000T  422                I  83          2013</t>
  </si>
  <si>
    <t>Postal culture : writing and reading letters in post-unification Italy / Gabriella Romani.</t>
  </si>
  <si>
    <t>Romani, Gabriella, author.</t>
  </si>
  <si>
    <t>Toronto Italian studies</t>
  </si>
  <si>
    <t>1789546107:eng</t>
  </si>
  <si>
    <t>858716716</t>
  </si>
  <si>
    <t>ocn858716716</t>
  </si>
  <si>
    <t>3103493603J</t>
  </si>
  <si>
    <t>9781442647084</t>
  </si>
  <si>
    <t>794956493</t>
  </si>
  <si>
    <t>P96 T422 N65 2008</t>
  </si>
  <si>
    <t>0                      P  0096000T  422                N  65          2008</t>
  </si>
  <si>
    <t>Signal and noise : media, infrastructure, and urban culture in Nigeria / Brian Larkin.</t>
  </si>
  <si>
    <t>Larkin, Brian.</t>
  </si>
  <si>
    <t>Durham : Duke University Press, 2008.</t>
  </si>
  <si>
    <t>2019-07-09</t>
  </si>
  <si>
    <t>865180987:eng</t>
  </si>
  <si>
    <t>179103773</t>
  </si>
  <si>
    <t>ocn179103773</t>
  </si>
  <si>
    <t>3102882490$</t>
  </si>
  <si>
    <t>9780822340904</t>
  </si>
  <si>
    <t>794278801</t>
  </si>
  <si>
    <t>P96 T422 U6343 1999</t>
  </si>
  <si>
    <t>0                      P  0096000T  422                U  6343        1999</t>
  </si>
  <si>
    <t>Scripts, grooves, and writing machines : representing technology in the Edison era / Lisa Gitelman.</t>
  </si>
  <si>
    <t>836984958:eng</t>
  </si>
  <si>
    <t>41266266</t>
  </si>
  <si>
    <t>ocm41266266</t>
  </si>
  <si>
    <t>31027514241</t>
  </si>
  <si>
    <t>9780804732703</t>
  </si>
  <si>
    <t>793587818</t>
  </si>
  <si>
    <t>P96 T422 U6357 2006</t>
  </si>
  <si>
    <t>0                      P  0096000T  422                U  6357        2006</t>
  </si>
  <si>
    <t>Media organizations and convergence : case studies of media convergence pioneers / Gracie Lawson-Borders.</t>
  </si>
  <si>
    <t>Lawson-Borders, Gracie.</t>
  </si>
  <si>
    <t>197689598:eng</t>
  </si>
  <si>
    <t>61200745</t>
  </si>
  <si>
    <t>ocm61200745</t>
  </si>
  <si>
    <t>3102498016M</t>
  </si>
  <si>
    <t>9780805851977</t>
  </si>
  <si>
    <t>793948521</t>
  </si>
  <si>
    <t>P96.T422 U639 2007</t>
  </si>
  <si>
    <t>0                      P  0096000T  422                U  639         2007</t>
  </si>
  <si>
    <t>Electric sounds : technological change and the rise of corporate mass media / Steve J. Wurtzler.</t>
  </si>
  <si>
    <t>Wurtzler, Steve J.</t>
  </si>
  <si>
    <t>New York : Columbia University Press, ©2007.</t>
  </si>
  <si>
    <t>Film and culture series</t>
  </si>
  <si>
    <t>802616625:eng</t>
  </si>
  <si>
    <t>70199883</t>
  </si>
  <si>
    <t>ocm70199883</t>
  </si>
  <si>
    <t>31026323824</t>
  </si>
  <si>
    <t>9780231136761</t>
  </si>
  <si>
    <t>794150697</t>
  </si>
  <si>
    <t>P96 T47 A83 2013</t>
  </si>
  <si>
    <t>0                      P  0096000T  47                 A  83          2013</t>
  </si>
  <si>
    <t>Understanding terrorism in the age of global media : a communication approach / Cristina Archetti.</t>
  </si>
  <si>
    <t>Archetti, Cristina.</t>
  </si>
  <si>
    <t>New York : Palgrave Macmillan, 2013.</t>
  </si>
  <si>
    <t>1176389026:eng</t>
  </si>
  <si>
    <t>792880313</t>
  </si>
  <si>
    <t>ocn792880313</t>
  </si>
  <si>
    <t>3103457896$</t>
  </si>
  <si>
    <t>9780230360495</t>
  </si>
  <si>
    <t>794917181</t>
  </si>
  <si>
    <t>P96 T47 F73 2003</t>
  </si>
  <si>
    <t>0                      P  0096000T  47                 F  73          2003</t>
  </si>
  <si>
    <t>Framing terrorism : the news media, the government, and the public / edited by Pippa Norris, Montague Kern, and Marion Just.</t>
  </si>
  <si>
    <t>801118747:eng</t>
  </si>
  <si>
    <t>51763890</t>
  </si>
  <si>
    <t>ocm51763890</t>
  </si>
  <si>
    <t>31032851300</t>
  </si>
  <si>
    <t>9780415947183</t>
  </si>
  <si>
    <t>793790509</t>
  </si>
  <si>
    <t>P96 T47 I4 2011</t>
  </si>
  <si>
    <t>0                      P  0096000T  47                 I  4           2011</t>
  </si>
  <si>
    <t>If it was not for terrorism : crisis, compromise and elite discourse in the age of "war on terror" / edited by Banu Baybars-Hawks and Lemi Baruh.</t>
  </si>
  <si>
    <t>Newcastle upon Tyne : Cambridge Scholars Pub., 2011.</t>
  </si>
  <si>
    <t>1060287266:eng</t>
  </si>
  <si>
    <t>741733747</t>
  </si>
  <si>
    <t>ocn741733747</t>
  </si>
  <si>
    <t>3103380598R</t>
  </si>
  <si>
    <t>9781443831628</t>
  </si>
  <si>
    <t>794884407</t>
  </si>
  <si>
    <t>P96 T47 M44 2012</t>
  </si>
  <si>
    <t>0                      P  0096000T  47                 M  44          2012</t>
  </si>
  <si>
    <t>Media and terrorism : global perspectives / edited by Des Freedman and Daya Kishan Thussu.</t>
  </si>
  <si>
    <t>Los Angeles : SAGE, 2012.</t>
  </si>
  <si>
    <t>2014-06-04</t>
  </si>
  <si>
    <t>1009274736:eng</t>
  </si>
  <si>
    <t>751835558</t>
  </si>
  <si>
    <t>ocn751835558</t>
  </si>
  <si>
    <t>31034096101</t>
  </si>
  <si>
    <t>9781446201572</t>
  </si>
  <si>
    <t>794891297</t>
  </si>
  <si>
    <t>P96 T47 N38 2007</t>
  </si>
  <si>
    <t>0                      P  0096000T  47                 N  38          2007</t>
  </si>
  <si>
    <t>The media : the terrorists' battlefield / edited by Centre of Excellence Defence Against Terrorism, Ankara, Turkey.</t>
  </si>
  <si>
    <t>NATO Advanced Research Workshop on the Media: Vital Ground for Terrorist Operations (2006 : Ankara, Turkey)</t>
  </si>
  <si>
    <t>Amsterdam, Netherlands ; Washington, DC : IOS Press, 2007.</t>
  </si>
  <si>
    <t>NATO security through science series. E, Human and societal dynamics, 1574-5597 ; v. 17</t>
  </si>
  <si>
    <t>1153124299:eng</t>
  </si>
  <si>
    <t>127107633</t>
  </si>
  <si>
    <t>ocn127107633</t>
  </si>
  <si>
    <t>3102637773B</t>
  </si>
  <si>
    <t>9781586037307</t>
  </si>
  <si>
    <t>794231270</t>
  </si>
  <si>
    <t>P96 T47 S45 2011</t>
  </si>
  <si>
    <t>0                      P  0096000T  47                 S  45          2011</t>
  </si>
  <si>
    <t>Global terrorism and new media : the post-Al Qaeda generation / Philip Seib and Dana M. Janbek.</t>
  </si>
  <si>
    <t>Seib, Philip M., 1949-</t>
  </si>
  <si>
    <t>2013-02-14</t>
  </si>
  <si>
    <t>796541653:eng</t>
  </si>
  <si>
    <t>432998214</t>
  </si>
  <si>
    <t>ocn432998214</t>
  </si>
  <si>
    <t>31032313044</t>
  </si>
  <si>
    <t>9780415779616</t>
  </si>
  <si>
    <t>794782230</t>
  </si>
  <si>
    <t>P96 T472 A59 2010</t>
  </si>
  <si>
    <t>0                      P  0096000T  472                A  59          2010</t>
  </si>
  <si>
    <t>A study of audience responses to the media discourse about the 'other ' : the fear of terrorism between Australian Muslims and the broader community / Anne Aly ; with a foreword by Lelia Green.</t>
  </si>
  <si>
    <t>Aly, Anne, 1967-</t>
  </si>
  <si>
    <t>366103258:eng</t>
  </si>
  <si>
    <t>490808828</t>
  </si>
  <si>
    <t>ocn490808828</t>
  </si>
  <si>
    <t>3103324431J</t>
  </si>
  <si>
    <t>9780773437708</t>
  </si>
  <si>
    <t>794800547</t>
  </si>
  <si>
    <t>P96 T472 I845 2013</t>
  </si>
  <si>
    <t>0                      P  0096000T  472                I  845         2013</t>
  </si>
  <si>
    <t>Women, terrorism and trauma in Italian culture / Ruth Glynn.</t>
  </si>
  <si>
    <t>Glynn, Ruth.</t>
  </si>
  <si>
    <t>New York, N.Y. : Palgrave Macmillan, ©2013.</t>
  </si>
  <si>
    <t>Italian and Italian American studies</t>
  </si>
  <si>
    <t>1168736831:eng</t>
  </si>
  <si>
    <t>810534003</t>
  </si>
  <si>
    <t>ocn810534003</t>
  </si>
  <si>
    <t>3103529362L</t>
  </si>
  <si>
    <t>9781137294067</t>
  </si>
  <si>
    <t>794929460</t>
  </si>
  <si>
    <t>P96 T472 R8753 2010</t>
  </si>
  <si>
    <t>0                      P  0096000T  472                R  8753        2010</t>
  </si>
  <si>
    <t>Mass media and modern warfare : reporting on the Russian war on terrorism / Greg Simons.</t>
  </si>
  <si>
    <t>Simons, Greg.</t>
  </si>
  <si>
    <t>Farnham, England ; Burlington, VT : Ashgate, 2010.</t>
  </si>
  <si>
    <t>2012-03-04</t>
  </si>
  <si>
    <t>858335428:eng</t>
  </si>
  <si>
    <t>429816917</t>
  </si>
  <si>
    <t>ocn429816917</t>
  </si>
  <si>
    <t>3103131446$</t>
  </si>
  <si>
    <t>9780754674726</t>
  </si>
  <si>
    <t>794780359</t>
  </si>
  <si>
    <t>P96 T472 U63 2002</t>
  </si>
  <si>
    <t>0                      P  0096000T  472                U  63          2002</t>
  </si>
  <si>
    <t>Communication and terrorism : public and media responses to 9/11 / edited by Bradley S. Greenberg.</t>
  </si>
  <si>
    <t>2018-10-25</t>
  </si>
  <si>
    <t>795427531:eng</t>
  </si>
  <si>
    <t>50590768</t>
  </si>
  <si>
    <t>ocm50590768</t>
  </si>
  <si>
    <t>31027514163</t>
  </si>
  <si>
    <t>9781572734968</t>
  </si>
  <si>
    <t>793768353</t>
  </si>
  <si>
    <t>P96 T672 U654 2010</t>
  </si>
  <si>
    <t>0                      P  0096000T  672                U  654         2010</t>
  </si>
  <si>
    <t>Media representations of gender and torture post-9/11 / Marita Gronnvoll.</t>
  </si>
  <si>
    <t>Gronnvoll, Marita.</t>
  </si>
  <si>
    <t>Routledge studies in rhetoric and communication ; 4</t>
  </si>
  <si>
    <t>2012-02-08</t>
  </si>
  <si>
    <t>369781539:eng</t>
  </si>
  <si>
    <t>495780872</t>
  </si>
  <si>
    <t>ocn495780872</t>
  </si>
  <si>
    <t>3103241497F</t>
  </si>
  <si>
    <t>9780415874809</t>
  </si>
  <si>
    <t>794801998</t>
  </si>
  <si>
    <t>P96 T74 2013</t>
  </si>
  <si>
    <t>0                      P  0096000T  74          2013</t>
  </si>
  <si>
    <t>Illusions : petit manuel pour une critique des médias / Simon Tremblay-Pepin.</t>
  </si>
  <si>
    <t>Tremblay-Pépin, Simon.</t>
  </si>
  <si>
    <t>Montréal, Qc : Lux éditeur, [2013]</t>
  </si>
  <si>
    <t>Lettres libres</t>
  </si>
  <si>
    <t>1433997902:fre</t>
  </si>
  <si>
    <t>864083883</t>
  </si>
  <si>
    <t>ocn864083883</t>
  </si>
  <si>
    <t>3103493506M</t>
  </si>
  <si>
    <t>9782895961703</t>
  </si>
  <si>
    <t>794961651</t>
  </si>
  <si>
    <t>P96 V35 F36 2011</t>
  </si>
  <si>
    <t>0                      P  0096000V  35                 F  36          2011</t>
  </si>
  <si>
    <t>Fanpires : audience consumption of the modern vampire / edited by Gareth Schott and Kirstine Moffat.</t>
  </si>
  <si>
    <t>Washington, DC : New Academia Pub., 2011.</t>
  </si>
  <si>
    <t>2018-08-03</t>
  </si>
  <si>
    <t>1058805277:eng</t>
  </si>
  <si>
    <t>767579872</t>
  </si>
  <si>
    <t>ocn767579872</t>
  </si>
  <si>
    <t>3103395601H</t>
  </si>
  <si>
    <t>9780984583218</t>
  </si>
  <si>
    <t>794901280</t>
  </si>
  <si>
    <t>P96 V5 B69 2005</t>
  </si>
  <si>
    <t>0                      P  0096000V  5                  B  69          2005</t>
  </si>
  <si>
    <t>Media and violence : gendering the debates / Karen Boyle.</t>
  </si>
  <si>
    <t>Boyle, Karen, 1972-</t>
  </si>
  <si>
    <t>London ; Thousand Oaks : Sage Publications, 2005.</t>
  </si>
  <si>
    <t>799560666:eng</t>
  </si>
  <si>
    <t>56806244</t>
  </si>
  <si>
    <t>ocm56806244</t>
  </si>
  <si>
    <t>31027514095</t>
  </si>
  <si>
    <t>9781412903790</t>
  </si>
  <si>
    <t>793902196</t>
  </si>
  <si>
    <t>P96 V5 C37 2003</t>
  </si>
  <si>
    <t>0                      P  0096000V  5                  C  37          2003</t>
  </si>
  <si>
    <t>Violence and the media / Cynthia Carter and C. Kay Weaver.</t>
  </si>
  <si>
    <t>Carter, Cynthia, 1959-</t>
  </si>
  <si>
    <t>Buckingham [England] ; Philadelphia, PA : Open University Press, 2003.</t>
  </si>
  <si>
    <t>116894650:eng</t>
  </si>
  <si>
    <t>50322741</t>
  </si>
  <si>
    <t>ocm50322741</t>
  </si>
  <si>
    <t>3102734687I</t>
  </si>
  <si>
    <t>9780335205066</t>
  </si>
  <si>
    <t>793760796</t>
  </si>
  <si>
    <t>P96 V5 C75 2006</t>
  </si>
  <si>
    <t>0                      P  0096000V  5                  C  75          2006</t>
  </si>
  <si>
    <t>Critical readings : violence and the media / edited by C. Kay Weaver and Cynthia Carter.</t>
  </si>
  <si>
    <t>Maidenhead : Open University Press, 2006.</t>
  </si>
  <si>
    <t>3855970823:eng</t>
  </si>
  <si>
    <t>62532598</t>
  </si>
  <si>
    <t>ocm62532598</t>
  </si>
  <si>
    <t>3102568696Y</t>
  </si>
  <si>
    <t>9780335218066</t>
  </si>
  <si>
    <t>794109257</t>
  </si>
  <si>
    <t>P96 V5 G74 2008</t>
  </si>
  <si>
    <t>0                      P  0096000V  5                  G  74          2008</t>
  </si>
  <si>
    <t>Media violence and aggression : science and ideology / Tom Grimes, James A. Anderson, Lori Bergen.</t>
  </si>
  <si>
    <t>Grimes, Tom, 1951-</t>
  </si>
  <si>
    <t>Thousand Oaks : Sage Publications, ©2008.</t>
  </si>
  <si>
    <t>919211566:eng</t>
  </si>
  <si>
    <t>123390925</t>
  </si>
  <si>
    <t>ocn123390925</t>
  </si>
  <si>
    <t>31026449908</t>
  </si>
  <si>
    <t>9781412914406</t>
  </si>
  <si>
    <t>794226993</t>
  </si>
  <si>
    <t>P96 V5 I55 2001</t>
  </si>
  <si>
    <t>0                      P  0096000V  5                  I  55          2001</t>
  </si>
  <si>
    <t>Ill effects : the media/violence debate / edited by Martin Barker and Julian Petley.</t>
  </si>
  <si>
    <t>1060423988:eng</t>
  </si>
  <si>
    <t>45172651</t>
  </si>
  <si>
    <t>ocm45172651</t>
  </si>
  <si>
    <t>3102768584R</t>
  </si>
  <si>
    <t>9780415225120</t>
  </si>
  <si>
    <t>793666096</t>
  </si>
  <si>
    <t>P96 V5 S36 2012</t>
  </si>
  <si>
    <t>0                      P  0096000V  5                  S  36          2012</t>
  </si>
  <si>
    <t>School shootings : mediatized violence in a global age / edited by Glenn W. Muschert, Johanna Sumiala.</t>
  </si>
  <si>
    <t>Bingley, UK : Emerald, 2012.</t>
  </si>
  <si>
    <t>Studies in media and communications, 2050-2060 ; v. 7</t>
  </si>
  <si>
    <t>2016-11-13</t>
  </si>
  <si>
    <t>1166316043:eng</t>
  </si>
  <si>
    <t>809124273</t>
  </si>
  <si>
    <t>ocn809124273</t>
  </si>
  <si>
    <t>3103457344O</t>
  </si>
  <si>
    <t>9781780529189</t>
  </si>
  <si>
    <t>794928151</t>
  </si>
  <si>
    <t>P96 V5 S96 2008</t>
  </si>
  <si>
    <t>0                      P  0096000V  5                  S  96          2008</t>
  </si>
  <si>
    <t>The aesthetics of violence in contemporary media / Gwyn Symonds.</t>
  </si>
  <si>
    <t>Symonds, Gwyn.</t>
  </si>
  <si>
    <t>New York : Continuum, 2008.</t>
  </si>
  <si>
    <t>131230599:eng</t>
  </si>
  <si>
    <t>212847169</t>
  </si>
  <si>
    <t>ocn212847169</t>
  </si>
  <si>
    <t>3102977374M</t>
  </si>
  <si>
    <t>9780826429872</t>
  </si>
  <si>
    <t>794306267</t>
  </si>
  <si>
    <t>P96 V52 I84 2012</t>
  </si>
  <si>
    <t>0                      P  0096000V  52                 I  84          2012</t>
  </si>
  <si>
    <t>Forme, volti e linguaggi della violenza nella cultura italiana / a cura di Federica Colleoni, Francesca Parmeggiani.</t>
  </si>
  <si>
    <t>Brescia [Italy] : F=Dibom Edizioni Letterarie, 2012.</t>
  </si>
  <si>
    <t>2013-07-08</t>
  </si>
  <si>
    <t>1309326867:ita</t>
  </si>
  <si>
    <t>842840544</t>
  </si>
  <si>
    <t>ocn842840544</t>
  </si>
  <si>
    <t>31034855589</t>
  </si>
  <si>
    <t>794947603</t>
  </si>
  <si>
    <t>P96 W35 C37 2000</t>
  </si>
  <si>
    <t>0                      P  0096000W  35                 C  37          2000</t>
  </si>
  <si>
    <t>The media at war : communication and conflict in the twentieth century / Susan L. Carruthers.</t>
  </si>
  <si>
    <t>Carruthers, Susan L. (Susan Lisa)</t>
  </si>
  <si>
    <t>New York : St. Martin's Press, 2000.</t>
  </si>
  <si>
    <t>836978502:eng</t>
  </si>
  <si>
    <t>41592999</t>
  </si>
  <si>
    <t>ocm41592999</t>
  </si>
  <si>
    <t>3102751470S</t>
  </si>
  <si>
    <t>9780312228002</t>
  </si>
  <si>
    <t>793594782</t>
  </si>
  <si>
    <t>P96 W35 C37 2011</t>
  </si>
  <si>
    <t>0                      P  0096000W  35                 C  37          2011</t>
  </si>
  <si>
    <t>The media at war / Susan L. Carruthers.</t>
  </si>
  <si>
    <t>656768484</t>
  </si>
  <si>
    <t>ocn656768484</t>
  </si>
  <si>
    <t>31032346844</t>
  </si>
  <si>
    <t>9780230244573</t>
  </si>
  <si>
    <t>794835012</t>
  </si>
  <si>
    <t>P96 W35 C658 2010</t>
  </si>
  <si>
    <t>0                      P  0096000W  35                 C  658         2010</t>
  </si>
  <si>
    <t>Concerning war : a critical reader in contemporary art / [editors, Maria Hlavajova and Jill Winder].</t>
  </si>
  <si>
    <t>Utrecht : BAK ; Rotterdam : Post Editions, ©2010.</t>
  </si>
  <si>
    <t>[2nd ed.].</t>
  </si>
  <si>
    <t>BAK critical reader series</t>
  </si>
  <si>
    <t>793505613:eng</t>
  </si>
  <si>
    <t>697691222</t>
  </si>
  <si>
    <t>ocn697691222</t>
  </si>
  <si>
    <t>3103363948N</t>
  </si>
  <si>
    <t>9789460830273</t>
  </si>
  <si>
    <t>794860233</t>
  </si>
  <si>
    <t>P96 W35 D44 2012</t>
  </si>
  <si>
    <t>0                      P  0096000W  35                 D  44          2012</t>
  </si>
  <si>
    <t>Media power and the transformation of war / Chiara de Franco.</t>
  </si>
  <si>
    <t>De Franco, Chiara, 1977-</t>
  </si>
  <si>
    <t>Houndmills, Basingstoke, Hampshire [UK] ; New York : Palgrave Macmillan, 2012.</t>
  </si>
  <si>
    <t>Published EUI PhD theses.</t>
  </si>
  <si>
    <t>1176389035:eng</t>
  </si>
  <si>
    <t>792880398</t>
  </si>
  <si>
    <t>ocn792880398</t>
  </si>
  <si>
    <t>31034327503</t>
  </si>
  <si>
    <t>9781137009746</t>
  </si>
  <si>
    <t>794917200</t>
  </si>
  <si>
    <t>P96 W35 H35 2007</t>
  </si>
  <si>
    <t>0                      P  0096000W  35                 H  35          2007</t>
  </si>
  <si>
    <t>Media, war and postmodernity / Philip Hammond.</t>
  </si>
  <si>
    <t>Hammond, Phil, 1964-</t>
  </si>
  <si>
    <t>131130546:eng</t>
  </si>
  <si>
    <t>123136580</t>
  </si>
  <si>
    <t>ocn123136580</t>
  </si>
  <si>
    <t>3102573693C</t>
  </si>
  <si>
    <t>9780415374934</t>
  </si>
  <si>
    <t>794223497</t>
  </si>
  <si>
    <t>P96 W35 H67 2010</t>
  </si>
  <si>
    <t>0                      P  0096000W  35                 H  67          2010</t>
  </si>
  <si>
    <t>War and media : the emergence of diffused war / Andrew Hoskins and Ben O'Loughlin.</t>
  </si>
  <si>
    <t>Hoskins, Andrew, 1967-</t>
  </si>
  <si>
    <t>Cambridge, UK ; Malden, MA : Polity Press, 2010.</t>
  </si>
  <si>
    <t>905887743:eng</t>
  </si>
  <si>
    <t>573196842</t>
  </si>
  <si>
    <t>ocn573196842</t>
  </si>
  <si>
    <t>3103230204B</t>
  </si>
  <si>
    <t>9780745638492</t>
  </si>
  <si>
    <t>794813886</t>
  </si>
  <si>
    <t>P96 W35 J87 2012</t>
  </si>
  <si>
    <t>0                      P  0096000W  35                 J  87          2012</t>
  </si>
  <si>
    <t>Justifying war : propaganda, politics and the modern age / edited by David Welch, edited by Jo Fox.</t>
  </si>
  <si>
    <t>New York, NY : Palgrave Macmillan, 2012.</t>
  </si>
  <si>
    <t>1157596218:eng</t>
  </si>
  <si>
    <t>781848503</t>
  </si>
  <si>
    <t>ocn781848503</t>
  </si>
  <si>
    <t>3103423041R</t>
  </si>
  <si>
    <t>9780230246270</t>
  </si>
  <si>
    <t>794913350</t>
  </si>
  <si>
    <t>P96 W35 M47 2011</t>
  </si>
  <si>
    <t>0                      P  0096000W  35                 M  47          2011</t>
  </si>
  <si>
    <t>The battle for the mind : war and peace in the era of mass communication / Gary S. Messinger.</t>
  </si>
  <si>
    <t>Messinger, Gary S., 1943-</t>
  </si>
  <si>
    <t>Amherst : University of Massachusetts Press, ©2011.</t>
  </si>
  <si>
    <t>496688563:eng</t>
  </si>
  <si>
    <t>632133135</t>
  </si>
  <si>
    <t>ocn632133135</t>
  </si>
  <si>
    <t>3103344347A</t>
  </si>
  <si>
    <t>9781558498532</t>
  </si>
  <si>
    <t>794825119</t>
  </si>
  <si>
    <t>P96 W35 S45 2013</t>
  </si>
  <si>
    <t>0                      P  0096000W  35                 S  45          2013</t>
  </si>
  <si>
    <t>Selling war : the role of the mass media in hostile conflicts from World War I to the "War on Terror" / edited by Josef Seethaler [and others].</t>
  </si>
  <si>
    <t>Bristol, UK ; Chicago, IL : Intellect, 2013.</t>
  </si>
  <si>
    <t>1210675048:eng</t>
  </si>
  <si>
    <t>825099930</t>
  </si>
  <si>
    <t>ocn825099930</t>
  </si>
  <si>
    <t>3103456705O</t>
  </si>
  <si>
    <t>9781841506104</t>
  </si>
  <si>
    <t>794938470</t>
  </si>
  <si>
    <t>P96 W35 T85 2012</t>
  </si>
  <si>
    <t>0                      P  0096000W  35                 T  85          2012</t>
  </si>
  <si>
    <t>Icons of war and terror : media images in an age of international risk / John Tulloch and R. Warwick Blood.</t>
  </si>
  <si>
    <t>Tulloch, John.</t>
  </si>
  <si>
    <t>1082320815:eng</t>
  </si>
  <si>
    <t>741542051</t>
  </si>
  <si>
    <t>ocn741542051</t>
  </si>
  <si>
    <t>3103423026V</t>
  </si>
  <si>
    <t>9780415698047</t>
  </si>
  <si>
    <t>794884169</t>
  </si>
  <si>
    <t>P96 W35 W35 2010</t>
  </si>
  <si>
    <t>0                      P  0096000W  35                 W  35          2010</t>
  </si>
  <si>
    <t>War and conflict communication / edited by Philip Seib.</t>
  </si>
  <si>
    <t>2014-01-28</t>
  </si>
  <si>
    <t>321975002:eng</t>
  </si>
  <si>
    <t>424554619</t>
  </si>
  <si>
    <t>ocn424554619</t>
  </si>
  <si>
    <t>3103303280T</t>
  </si>
  <si>
    <t>9780415554589</t>
  </si>
  <si>
    <t>794506781</t>
  </si>
  <si>
    <t>3103303292R</t>
  </si>
  <si>
    <t>794506782</t>
  </si>
  <si>
    <t>P96 W352 A34 2008</t>
  </si>
  <si>
    <t>0                      P  0096000W  352                A  34          2008</t>
  </si>
  <si>
    <t>Narrating war and peace in Africa / edited by Toyin Falola and Hetty ter Haar.</t>
  </si>
  <si>
    <t>Africa Conference (Tex.) (2008 : University of Texas at Austin)</t>
  </si>
  <si>
    <t>Rochester, NY : University of Rochester Press, 2010.</t>
  </si>
  <si>
    <t>Rochester studies in African history and the diaspora, 1092-5228 ; v. 47</t>
  </si>
  <si>
    <t>478296274:eng</t>
  </si>
  <si>
    <t>610206195</t>
  </si>
  <si>
    <t>ocn610206195</t>
  </si>
  <si>
    <t>31032286117</t>
  </si>
  <si>
    <t>9781580463300</t>
  </si>
  <si>
    <t>794820526</t>
  </si>
  <si>
    <t>P96 W352 G726 1996</t>
  </si>
  <si>
    <t>0                      P  0096000W  352                G  726         1996</t>
  </si>
  <si>
    <t>War, culture, and the media : representations of the military in 20th century Britain / edited by Ian Stewart and Susan L. Carruthers.</t>
  </si>
  <si>
    <t>Trowbridge, Wiltshire : Flicks Books ; Madison [N.J.] : Fairleigh Dickinson University Press, 1996.</t>
  </si>
  <si>
    <t>Studies in war and film ; v. 3</t>
  </si>
  <si>
    <t>2019-11-06</t>
  </si>
  <si>
    <t>374258687:eng</t>
  </si>
  <si>
    <t>33898387</t>
  </si>
  <si>
    <t>ocm33898387</t>
  </si>
  <si>
    <t>3102665107$</t>
  </si>
  <si>
    <t>9780948911859</t>
  </si>
  <si>
    <t>793413475</t>
  </si>
  <si>
    <t>P96 W352 G726 2012</t>
  </si>
  <si>
    <t>0                      P  0096000W  352                G  726         2012</t>
  </si>
  <si>
    <t>How to look good in a war : justifying and challenging state violence / Brian Rappert.</t>
  </si>
  <si>
    <t>Rappert, Brian.</t>
  </si>
  <si>
    <t>London : Pluto Press ; New York : Distributed in the United States of America by Palgrave Macmillan, 2012.</t>
  </si>
  <si>
    <t>2014-02-12</t>
  </si>
  <si>
    <t>1121107637:eng</t>
  </si>
  <si>
    <t>796392062</t>
  </si>
  <si>
    <t>ocn796392062</t>
  </si>
  <si>
    <t>3103432405M</t>
  </si>
  <si>
    <t>9780745331805</t>
  </si>
  <si>
    <t>794922200</t>
  </si>
  <si>
    <t>P96 W352 I77 2013</t>
  </si>
  <si>
    <t>0                      P  0096000W  352                I  77          2013</t>
  </si>
  <si>
    <t>The Normalization of War in Israeli Discourse, 1967-2008 / Dalia Gavriely-Nuri.</t>
  </si>
  <si>
    <t>Gavriely-Nuri, Dalia.</t>
  </si>
  <si>
    <t>1171627561:eng</t>
  </si>
  <si>
    <t>812509035</t>
  </si>
  <si>
    <t>ocn812509035</t>
  </si>
  <si>
    <t>31034703691</t>
  </si>
  <si>
    <t>9780739172605</t>
  </si>
  <si>
    <t>794931025</t>
  </si>
  <si>
    <t>P96 W352 R95 2012</t>
  </si>
  <si>
    <t>0                      P  0096000W  352                R  95          2012</t>
  </si>
  <si>
    <t>Le journalisme entre guerre et paix au Rwanda / Annie Laliberté.</t>
  </si>
  <si>
    <t>Laliberté, Annie.</t>
  </si>
  <si>
    <t>[Québec] : Presses de l'Université Laval, [2012]</t>
  </si>
  <si>
    <t>Nouvelle Collection Nord-Sud</t>
  </si>
  <si>
    <t>1178480926:fre</t>
  </si>
  <si>
    <t>819097763</t>
  </si>
  <si>
    <t>ocn819097763</t>
  </si>
  <si>
    <t>3103403265R</t>
  </si>
  <si>
    <t>9782763790596</t>
  </si>
  <si>
    <t>794934370</t>
  </si>
  <si>
    <t>P96 W352 U554 2004</t>
  </si>
  <si>
    <t>0                      P  0096000W  352                U  554         2004</t>
  </si>
  <si>
    <t>War, media, and propaganda : a global perspective / edited by Yahya R. Kamalipour and Nancy Snow.</t>
  </si>
  <si>
    <t>Lanham, Md. : Rowman &amp; Littlefield, ©2004.</t>
  </si>
  <si>
    <t>905775288:eng</t>
  </si>
  <si>
    <t>54822942</t>
  </si>
  <si>
    <t>ocm54822942</t>
  </si>
  <si>
    <t>3102751466U</t>
  </si>
  <si>
    <t>9780742535626</t>
  </si>
  <si>
    <t>793868660</t>
  </si>
  <si>
    <t>P96 W352 U555 2016</t>
  </si>
  <si>
    <t>0                      P  0096000W  352                U  555         2016</t>
  </si>
  <si>
    <t>Holy war : cowboys, Indians, and 9/11s / Mark Cronlund Anderson.</t>
  </si>
  <si>
    <t>Anderson, Mark Cronlund, 1960- author.</t>
  </si>
  <si>
    <t>[Regina, Saskatchewan] : University of Regina Press, [2016]</t>
  </si>
  <si>
    <t>2918535695:eng</t>
  </si>
  <si>
    <t>939203738</t>
  </si>
  <si>
    <t>ocn939203738</t>
  </si>
  <si>
    <t>3103683711D</t>
  </si>
  <si>
    <t>9780889774148</t>
  </si>
  <si>
    <t>795011515</t>
  </si>
  <si>
    <t>P96 W352 U5565 2012</t>
  </si>
  <si>
    <t>0                      P  0096000W  352                U  5565        2012</t>
  </si>
  <si>
    <t>American militarism and anti-militarism in popular media, 1945-1970 / Lisa M. Mundey.</t>
  </si>
  <si>
    <t>Mundey, Lisa M., 1975-</t>
  </si>
  <si>
    <t>2018-07-09</t>
  </si>
  <si>
    <t>1078781901:eng</t>
  </si>
  <si>
    <t>757461948</t>
  </si>
  <si>
    <t>ocn757461948</t>
  </si>
  <si>
    <t>3103421931A</t>
  </si>
  <si>
    <t>9780786466504</t>
  </si>
  <si>
    <t>794895364</t>
  </si>
  <si>
    <t>P96 W352 U5574 2010</t>
  </si>
  <si>
    <t>0                      P  0096000W  352                U  5574        2010</t>
  </si>
  <si>
    <t>Militainment, Inc. : war, media, and popular culture / Roger Stahl.</t>
  </si>
  <si>
    <t>Stahl, Roger.</t>
  </si>
  <si>
    <t>2012-07-16</t>
  </si>
  <si>
    <t>797244574:eng</t>
  </si>
  <si>
    <t>277195971</t>
  </si>
  <si>
    <t>ocn277195971</t>
  </si>
  <si>
    <t>3103155501F</t>
  </si>
  <si>
    <t>9780415999779</t>
  </si>
  <si>
    <t>794418605</t>
  </si>
  <si>
    <t>P96 W352 U5585 2009</t>
  </si>
  <si>
    <t>0                      P  0096000W  352                U  5585        2009</t>
  </si>
  <si>
    <t>War and the media : essays on news reporting, propaganda and popular culture / edited by Paul M. Haridakis, Barbara S. Hugenberg and Stanley T. Wearden.</t>
  </si>
  <si>
    <t>Jefferson, N.C. : McFarland, ©2009.</t>
  </si>
  <si>
    <t>908480483:eng</t>
  </si>
  <si>
    <t>386706606</t>
  </si>
  <si>
    <t>ocn386706606</t>
  </si>
  <si>
    <t>3103097688B</t>
  </si>
  <si>
    <t>9780786446070</t>
  </si>
  <si>
    <t>794495563</t>
  </si>
  <si>
    <t>P96 W36 M56 2005</t>
  </si>
  <si>
    <t>0                      P  0096000W  36                 M  56          2005</t>
  </si>
  <si>
    <t>Disinformation : 22 media myths that undermine the War on Terror / Richard Miniter.</t>
  </si>
  <si>
    <t>Miniter, Richard.</t>
  </si>
  <si>
    <t>Washington, DC : Regnery Pub. ; Lanham, MD : Distributed to the trade by National Book Network, ©2005.</t>
  </si>
  <si>
    <t>46521922:eng</t>
  </si>
  <si>
    <t>61684137</t>
  </si>
  <si>
    <t>ocm61684137</t>
  </si>
  <si>
    <t>31025482040</t>
  </si>
  <si>
    <t>9780895260062</t>
  </si>
  <si>
    <t>794090805</t>
  </si>
  <si>
    <t>P96 W6 H4</t>
  </si>
  <si>
    <t>0                      P  0096000W  6                  H  4</t>
  </si>
  <si>
    <t>Hearth and Home : images of women in the mass media / edited by Gaye Tuchman, Arlene Kaplan Daniels and James Benét.</t>
  </si>
  <si>
    <t>New York : Oxford University, 1978.</t>
  </si>
  <si>
    <t>2010-09-26</t>
  </si>
  <si>
    <t>865043170:eng</t>
  </si>
  <si>
    <t>3433296</t>
  </si>
  <si>
    <t>ocm03433296</t>
  </si>
  <si>
    <t>3102751462U</t>
  </si>
  <si>
    <t>9780195023510</t>
  </si>
  <si>
    <t>792255076</t>
  </si>
  <si>
    <t>2010-11-22</t>
  </si>
  <si>
    <t>3102751467U</t>
  </si>
  <si>
    <t>792255075</t>
  </si>
  <si>
    <t>3102751460U</t>
  </si>
  <si>
    <t>792255074</t>
  </si>
  <si>
    <t>P96.W62 B48 2010</t>
  </si>
  <si>
    <t>0                      P  0096000W  62                 B  48          2010</t>
  </si>
  <si>
    <t>Between fear and freedom : cultural representations of the Cold War / edited by Kathleen Starck.</t>
  </si>
  <si>
    <t>Newcastle : Cambridge Scholars, 2010.</t>
  </si>
  <si>
    <t>2011-10-17</t>
  </si>
  <si>
    <t>796311532:eng</t>
  </si>
  <si>
    <t>551122622</t>
  </si>
  <si>
    <t>ocn551122622</t>
  </si>
  <si>
    <t>31031331098</t>
  </si>
  <si>
    <t>9781443818599</t>
  </si>
  <si>
    <t>794811537</t>
  </si>
  <si>
    <t>P96 W62 M57 2011</t>
  </si>
  <si>
    <t>0                      P  0096000W  62                 M  57          2011</t>
  </si>
  <si>
    <t>The right to look : a counterhistory of visuality / Nicholas Mirzoeff.</t>
  </si>
  <si>
    <t>Mirzoeff, Nicholas, 1962-</t>
  </si>
  <si>
    <t>Durham, NC : Duke University Press, ©2011.</t>
  </si>
  <si>
    <t>E-Duke books scholarly collection</t>
  </si>
  <si>
    <t>2019-11-04</t>
  </si>
  <si>
    <t>775902273:eng</t>
  </si>
  <si>
    <t>700406654</t>
  </si>
  <si>
    <t>ocn700406654</t>
  </si>
  <si>
    <t>3103382484O</t>
  </si>
  <si>
    <t>9780822348955</t>
  </si>
  <si>
    <t>794862043</t>
  </si>
  <si>
    <t>P98 B33 1996</t>
  </si>
  <si>
    <t>0                      P  0098000B  33          1996</t>
  </si>
  <si>
    <t>Language and computers : a practical introduction to the computer analysis of language / Geoff Barnbrook.</t>
  </si>
  <si>
    <t>Barnbrook, Geoff.</t>
  </si>
  <si>
    <t>Edinburgh : Edinburgh University Press, ©1996.</t>
  </si>
  <si>
    <t>Edinburgh textbooks in empirical linguistics</t>
  </si>
  <si>
    <t>2016-09-10</t>
  </si>
  <si>
    <t>324690170:eng</t>
  </si>
  <si>
    <t>35693108</t>
  </si>
  <si>
    <t>ocm35693108</t>
  </si>
  <si>
    <t>3102751450W</t>
  </si>
  <si>
    <t>9780748608485</t>
  </si>
  <si>
    <t>793455118</t>
  </si>
  <si>
    <t>P98 B35 2003</t>
  </si>
  <si>
    <t>0                      P  0098000B  35          2003</t>
  </si>
  <si>
    <t>Finite state morphology / Kenneth R. Beesley, Lauri Karttunen.</t>
  </si>
  <si>
    <t>Beesley, Kenneth R., 1954-</t>
  </si>
  <si>
    <t>Stanford, Calif. : CSLI Publications, ©2003.</t>
  </si>
  <si>
    <t>Studies in computational linguistics</t>
  </si>
  <si>
    <t>2018-07-24</t>
  </si>
  <si>
    <t>785957:eng</t>
  </si>
  <si>
    <t>51258176</t>
  </si>
  <si>
    <t>ocm51258176</t>
  </si>
  <si>
    <t>3102751449Y</t>
  </si>
  <si>
    <t>9781575864334</t>
  </si>
  <si>
    <t>793781542</t>
  </si>
  <si>
    <t>P98 C6378 2001</t>
  </si>
  <si>
    <t>0                      P  0098000C  6378        2001</t>
  </si>
  <si>
    <t>Corpus linguistics in North America : selections from the 1999 symposium / edited by Rita C. Simpson and John M. Swales.</t>
  </si>
  <si>
    <t>836993580:eng</t>
  </si>
  <si>
    <t>45484483</t>
  </si>
  <si>
    <t>ocm45484483</t>
  </si>
  <si>
    <t>31027515170</t>
  </si>
  <si>
    <t>9780472097623</t>
  </si>
  <si>
    <t>793672432</t>
  </si>
  <si>
    <t>P98 C675 2007</t>
  </si>
  <si>
    <t>0                      P  0098000C  675         2007</t>
  </si>
  <si>
    <t>Corpus linguistics 25 years on / edited by Roberta Facchinetti.</t>
  </si>
  <si>
    <t>Language and computers : studies in practical linguistics ; no. 62</t>
  </si>
  <si>
    <t>888318083:eng</t>
  </si>
  <si>
    <t>136725510</t>
  </si>
  <si>
    <t>ocn136725510</t>
  </si>
  <si>
    <t>31025980568</t>
  </si>
  <si>
    <t>9789042021952</t>
  </si>
  <si>
    <t>794232662</t>
  </si>
  <si>
    <t>P98 C73 2007</t>
  </si>
  <si>
    <t>0                      P  0098000C  73          2007</t>
  </si>
  <si>
    <t>Creating and digitizing language corpora / edited by Joan C. Beal, Karen P. Corrigan and Hermann L. Moisl ; foreword Shana Poplack.</t>
  </si>
  <si>
    <t>New York : Palgrave, 2007-2016.</t>
  </si>
  <si>
    <t>2795242765:eng</t>
  </si>
  <si>
    <t>70230769</t>
  </si>
  <si>
    <t>ocm70230769</t>
  </si>
  <si>
    <t>31025712495</t>
  </si>
  <si>
    <t>9781403943668</t>
  </si>
  <si>
    <t>794151193</t>
  </si>
  <si>
    <t>3102571615$</t>
  </si>
  <si>
    <t>794151192</t>
  </si>
  <si>
    <t>P98 C85 1986</t>
  </si>
  <si>
    <t>0                      P  0098000C  85          1986</t>
  </si>
  <si>
    <t>Natural language processing : a knowledge-engineering approach / Richard E. Cullingford.</t>
  </si>
  <si>
    <t>Cullingford, Richard E., 1946-</t>
  </si>
  <si>
    <t>Totowa, N.J. : Rowman &amp; Littlefield, 1986.</t>
  </si>
  <si>
    <t>2018-09-30</t>
  </si>
  <si>
    <t>198713241:eng</t>
  </si>
  <si>
    <t>12749757</t>
  </si>
  <si>
    <t>ocm12749757</t>
  </si>
  <si>
    <t>3102751520Z</t>
  </si>
  <si>
    <t>9780847673582</t>
  </si>
  <si>
    <t>792826635</t>
  </si>
  <si>
    <t>P98 G75 1986</t>
  </si>
  <si>
    <t>0                      P  0098000G  75          1986</t>
  </si>
  <si>
    <t>Computational linguistics : an introduction / Ralph Grishman.</t>
  </si>
  <si>
    <t>Grishman, Ralph.</t>
  </si>
  <si>
    <t>Studies in natural language processing</t>
  </si>
  <si>
    <t>810695037:eng</t>
  </si>
  <si>
    <t>13331683</t>
  </si>
  <si>
    <t>ocm13331683</t>
  </si>
  <si>
    <t>3103306527K</t>
  </si>
  <si>
    <t>9780521325028</t>
  </si>
  <si>
    <t>792848801</t>
  </si>
  <si>
    <t>P98 H346 2010</t>
  </si>
  <si>
    <t>0                      P  0098000H  346         2010</t>
  </si>
  <si>
    <t>The handbook of computational linguistics and natural language processing / edited by Alexander Clark, Chris Fox, and Shalom Lappin.</t>
  </si>
  <si>
    <t>2013-07-05</t>
  </si>
  <si>
    <t>1007604618:eng</t>
  </si>
  <si>
    <t>500823419</t>
  </si>
  <si>
    <t>ocn500823419</t>
  </si>
  <si>
    <t>3103227149K</t>
  </si>
  <si>
    <t>9781405155816</t>
  </si>
  <si>
    <t>794804293</t>
  </si>
  <si>
    <t>P98 J87 2000</t>
  </si>
  <si>
    <t>0                      P  0098000J  87          2000</t>
  </si>
  <si>
    <t>Speech and language processing : an introduction to natural language processing, computational linguistics, and speech recognition / Daniel Jurafsky and James H. Martin.</t>
  </si>
  <si>
    <t>Jurafsky, Dan, 1962-</t>
  </si>
  <si>
    <t>Upper Saddle River, N.J. : Prentice Hall, 2000.</t>
  </si>
  <si>
    <t>Prentice Hall series in artificial intelligence</t>
  </si>
  <si>
    <t>796420461:eng</t>
  </si>
  <si>
    <t>43324289</t>
  </si>
  <si>
    <t>ocm43324289</t>
  </si>
  <si>
    <t>3102806957G</t>
  </si>
  <si>
    <t>9780130950697</t>
  </si>
  <si>
    <t>793624549</t>
  </si>
  <si>
    <t>P98 J87 2009</t>
  </si>
  <si>
    <t>0                      P  0098000J  87          2009</t>
  </si>
  <si>
    <t>Speech and language processing : an introduction to natural language processing, computational linguistics, and speech recognition / Daniel Jurafsky, James H. Martin.</t>
  </si>
  <si>
    <t>Upper Saddle River, N.J. : Pearson Prentice Hall, ©2009.</t>
  </si>
  <si>
    <t>2019-09-12</t>
  </si>
  <si>
    <t>213375806</t>
  </si>
  <si>
    <t>ocn213375806</t>
  </si>
  <si>
    <t>3103667571W</t>
  </si>
  <si>
    <t>9780131873216</t>
  </si>
  <si>
    <t>794307670</t>
  </si>
  <si>
    <t>31036872147</t>
  </si>
  <si>
    <t>794307669</t>
  </si>
  <si>
    <t>P98 L43 2011</t>
  </si>
  <si>
    <t>0                      P  0098000L  43          2011</t>
  </si>
  <si>
    <t>Meaning, logic and ludics / Alain Lecomte.</t>
  </si>
  <si>
    <t>Lecomte, Alain, 1947-</t>
  </si>
  <si>
    <t>London : Imperial College Press, ©2011.</t>
  </si>
  <si>
    <t>949991169:eng</t>
  </si>
  <si>
    <t>426796350</t>
  </si>
  <si>
    <t>ocn426796350</t>
  </si>
  <si>
    <t>31033418515</t>
  </si>
  <si>
    <t>9781848164567</t>
  </si>
  <si>
    <t>794516183</t>
  </si>
  <si>
    <t>P98 P37 2017</t>
  </si>
  <si>
    <t>0                      P  0098000P  37          2017</t>
  </si>
  <si>
    <t>Partiality and underspecification in information, languages, and knowledge / edited by Henning Christiansen, M. Dolores Jiménez-López, Roussanka Loukanova and Lawrence S. Moss.</t>
  </si>
  <si>
    <t>Newcastle upon Tyne : Cambridge Scholars Publishing, 2017.</t>
  </si>
  <si>
    <t>4617631168:eng</t>
  </si>
  <si>
    <t>1008898116</t>
  </si>
  <si>
    <t>on1008898116</t>
  </si>
  <si>
    <t>3103738764R</t>
  </si>
  <si>
    <t>9781443879477</t>
  </si>
  <si>
    <t>795044848</t>
  </si>
  <si>
    <t>P98 P89 2013</t>
  </si>
  <si>
    <t>0                      P  0098000P  89          2013</t>
  </si>
  <si>
    <t>Puzzles in logic, languages and computation / Dragomir Radev, ed.</t>
  </si>
  <si>
    <t>Berlin : Springer, 2013.</t>
  </si>
  <si>
    <t>Recreational linguistics</t>
  </si>
  <si>
    <t>2014-05-05</t>
  </si>
  <si>
    <t>5583223748:eng</t>
  </si>
  <si>
    <t>863949987</t>
  </si>
  <si>
    <t>ocn863949987</t>
  </si>
  <si>
    <t>31035677401</t>
  </si>
  <si>
    <t>9783642343773</t>
  </si>
  <si>
    <t>794961586</t>
  </si>
  <si>
    <t>P98 S54 1992</t>
  </si>
  <si>
    <t>0                      P  0098000S  54          1992</t>
  </si>
  <si>
    <t>Constraint-based grammar formalisms : parsing and type inference for natural and computer languages / Stuart M. Shieber.</t>
  </si>
  <si>
    <t>Shieber, Stuart M.</t>
  </si>
  <si>
    <t>Cambridge, Mass. : MIT Press, ©1992.</t>
  </si>
  <si>
    <t>2016-08-01</t>
  </si>
  <si>
    <t>803986312:eng</t>
  </si>
  <si>
    <t>25369157</t>
  </si>
  <si>
    <t>ocm25369157</t>
  </si>
  <si>
    <t>3102751545V</t>
  </si>
  <si>
    <t>9780262193245</t>
  </si>
  <si>
    <t>793218786</t>
  </si>
  <si>
    <t>P98.5 A87 A34 1999</t>
  </si>
  <si>
    <t>0                      P  0098500A  87                 A  34          1999</t>
  </si>
  <si>
    <t>Advances in automatic text summarization / edited by Inderjeet Mani and Mark T. Maybury.</t>
  </si>
  <si>
    <t>2017-01-04</t>
  </si>
  <si>
    <t>417110864:eng</t>
  </si>
  <si>
    <t>41070720</t>
  </si>
  <si>
    <t>ocm41070720</t>
  </si>
  <si>
    <t>3102751532X</t>
  </si>
  <si>
    <t>9780262133593</t>
  </si>
  <si>
    <t>793583159</t>
  </si>
  <si>
    <t>P98.5 I57 C75 2011</t>
  </si>
  <si>
    <t>0                      P  0098500I  57                 C  75          2011</t>
  </si>
  <si>
    <t>Internet linguistics : a student guide / David Crystal.</t>
  </si>
  <si>
    <t>Abingdon, Oxon ; New York, NY : Routledge, 2011.</t>
  </si>
  <si>
    <t>552441731:eng</t>
  </si>
  <si>
    <t>651914359</t>
  </si>
  <si>
    <t>ocn651914359</t>
  </si>
  <si>
    <t>3103344779T</t>
  </si>
  <si>
    <t>9780415602686</t>
  </si>
  <si>
    <t>794833161</t>
  </si>
  <si>
    <t>P98.5 I57 C79 2006</t>
  </si>
  <si>
    <t>0                      P  0098500I  57                 C  79          2006</t>
  </si>
  <si>
    <t>Language and the internet / David Crystal.</t>
  </si>
  <si>
    <t>1028279:eng</t>
  </si>
  <si>
    <t>67945044</t>
  </si>
  <si>
    <t>ocm67945044</t>
  </si>
  <si>
    <t>3102565348S</t>
  </si>
  <si>
    <t>9780521868594</t>
  </si>
  <si>
    <t>794142008</t>
  </si>
  <si>
    <t>P98.5 I57 T49 2007</t>
  </si>
  <si>
    <t>0                      P  0098500I  57                 T  49          2007</t>
  </si>
  <si>
    <t>Texture of internet : netlinguistics in progress / edited by Santiago Posteguillo, María José Esteve, M. Lluïsa Gea-Valor.</t>
  </si>
  <si>
    <t>Newcastle : Cambridge Scholars Publishing, 2007.</t>
  </si>
  <si>
    <t>104338448:eng</t>
  </si>
  <si>
    <t>153576492</t>
  </si>
  <si>
    <t>ocn153576492</t>
  </si>
  <si>
    <t>3102570834U</t>
  </si>
  <si>
    <t>9781847181732</t>
  </si>
  <si>
    <t>794249922</t>
  </si>
  <si>
    <t>P98.5 P38 R36 2011</t>
  </si>
  <si>
    <t>0                      P  0098500P  38                 R  36          2011</t>
  </si>
  <si>
    <t>Reading machines : toward an algorithmic criticism / Stephen Ramsay.</t>
  </si>
  <si>
    <t>Ramsay, Stephen.</t>
  </si>
  <si>
    <t>Urbana : University of Illinois Press, ©2011.</t>
  </si>
  <si>
    <t>Topics in the digital humanities</t>
  </si>
  <si>
    <t>2015-04-12</t>
  </si>
  <si>
    <t>843036594:eng</t>
  </si>
  <si>
    <t>708761605</t>
  </si>
  <si>
    <t>ocn708761605</t>
  </si>
  <si>
    <t>31034054947</t>
  </si>
  <si>
    <t>9780252036415</t>
  </si>
  <si>
    <t>794869333</t>
  </si>
  <si>
    <t>P98.5 S45 B67 2012</t>
  </si>
  <si>
    <t>0                      P  0098500S  45                 B  67          2012</t>
  </si>
  <si>
    <t>Pursuing meaning / Emma Borg.</t>
  </si>
  <si>
    <t>Borg, Emma.</t>
  </si>
  <si>
    <t>Oxford : Oxford University Press, 2012.</t>
  </si>
  <si>
    <t>2015-11-02</t>
  </si>
  <si>
    <t>1101308027:eng</t>
  </si>
  <si>
    <t>767566631</t>
  </si>
  <si>
    <t>ocn767566631</t>
  </si>
  <si>
    <t>31034229356</t>
  </si>
  <si>
    <t>9780199588374</t>
  </si>
  <si>
    <t>794901129</t>
  </si>
  <si>
    <t>P98.5 S83 M36 1999</t>
  </si>
  <si>
    <t>0                      P  0098500S  83                 M  36          1999</t>
  </si>
  <si>
    <t>Foundations of statistical natural language processing / Christopher D. Manning, Hinrich Schütze.</t>
  </si>
  <si>
    <t>Manning, Christopher D.</t>
  </si>
  <si>
    <t>12165628:eng</t>
  </si>
  <si>
    <t>40848647</t>
  </si>
  <si>
    <t>ocm40848647</t>
  </si>
  <si>
    <t>3103347294S</t>
  </si>
  <si>
    <t>9780262133609</t>
  </si>
  <si>
    <t>793577324</t>
  </si>
  <si>
    <t>P99 A186 2013</t>
  </si>
  <si>
    <t>0                      P  0099000A  186         2013</t>
  </si>
  <si>
    <t>The language of war monuments / Gill Abousnnouga and David Machin.</t>
  </si>
  <si>
    <t>Abousnnouga, Gill, author.</t>
  </si>
  <si>
    <t>Bllomsbury advances in semiotics</t>
  </si>
  <si>
    <t>2018-09-12</t>
  </si>
  <si>
    <t>1791425597:eng</t>
  </si>
  <si>
    <t>844074044</t>
  </si>
  <si>
    <t>ocn844074044</t>
  </si>
  <si>
    <t>3103504690$</t>
  </si>
  <si>
    <t>9781623563332</t>
  </si>
  <si>
    <t>794948407</t>
  </si>
  <si>
    <t>P99 B22 1994</t>
  </si>
  <si>
    <t>0                      P  0099000B  22          1994</t>
  </si>
  <si>
    <t>On meaning-making : essays in semiotics / Mieke Bal.</t>
  </si>
  <si>
    <t>Bal, Mieke, 1946-</t>
  </si>
  <si>
    <t>Sonoma, Calif. : Polebridge Press, ©1994.</t>
  </si>
  <si>
    <t>Foundations &amp; facets. Literary facets</t>
  </si>
  <si>
    <t>2016-12-10</t>
  </si>
  <si>
    <t>144086807:eng</t>
  </si>
  <si>
    <t>29598688</t>
  </si>
  <si>
    <t>ocm29598688</t>
  </si>
  <si>
    <t>3102751596L</t>
  </si>
  <si>
    <t>9780944344392</t>
  </si>
  <si>
    <t>793315805</t>
  </si>
  <si>
    <t>P99 B23 2006</t>
  </si>
  <si>
    <t>0                      P  0099000B  23          2006</t>
  </si>
  <si>
    <t>The primacy of semiosis : an ontology of relations / Paul Bains.</t>
  </si>
  <si>
    <t>Bains, Paul.</t>
  </si>
  <si>
    <t>Toronto ; Buffalo : University of Toronto Press, ©2006.</t>
  </si>
  <si>
    <t>2019-05-31</t>
  </si>
  <si>
    <t>295455915:eng</t>
  </si>
  <si>
    <t>63705393</t>
  </si>
  <si>
    <t>ocm63705393</t>
  </si>
  <si>
    <t>3102552594T</t>
  </si>
  <si>
    <t>9780802090034</t>
  </si>
  <si>
    <t>794122840</t>
  </si>
  <si>
    <t>P99 B285</t>
  </si>
  <si>
    <t>0                      P  0099000B  285</t>
  </si>
  <si>
    <t>Leçon : leçon inaugurale de la Chaire de sémiologie littéraire du Collège de France, prononcée le 7 janvier 1977 / Roland Barthes.</t>
  </si>
  <si>
    <t>Paris : Seuil, ©1978.</t>
  </si>
  <si>
    <t>37038799:fre</t>
  </si>
  <si>
    <t>9532340</t>
  </si>
  <si>
    <t>ocm09532340</t>
  </si>
  <si>
    <t>3102751594L</t>
  </si>
  <si>
    <t>9782020050036</t>
  </si>
  <si>
    <t>792680362</t>
  </si>
  <si>
    <t>P99 B286 1985</t>
  </si>
  <si>
    <t>0                      P  0099000B  286         1985</t>
  </si>
  <si>
    <t>L'aventure sémiologique / Roland Barthes.</t>
  </si>
  <si>
    <t>Paris : Seuil, ©1985.</t>
  </si>
  <si>
    <t>2018-04-20</t>
  </si>
  <si>
    <t>13811936:fre</t>
  </si>
  <si>
    <t>13190951</t>
  </si>
  <si>
    <t>ocm13190951</t>
  </si>
  <si>
    <t>3102751593L</t>
  </si>
  <si>
    <t>9782020089364</t>
  </si>
  <si>
    <t>792844359</t>
  </si>
  <si>
    <t>P99 B28613 1988</t>
  </si>
  <si>
    <t>0                      P  0099000B  28613       1988</t>
  </si>
  <si>
    <t>The semiotic challenge / Roland Barthes ; translated by Richard Howard.</t>
  </si>
  <si>
    <t>New York : Hill and Wang, 1988.</t>
  </si>
  <si>
    <t>13811936:eng</t>
  </si>
  <si>
    <t>16982286</t>
  </si>
  <si>
    <t>ocm16982286</t>
  </si>
  <si>
    <t>3103446261W</t>
  </si>
  <si>
    <t>9780809085293</t>
  </si>
  <si>
    <t>792979493</t>
  </si>
  <si>
    <t>3102751597L</t>
  </si>
  <si>
    <t>792979494</t>
  </si>
  <si>
    <t>P99 B28713 1985</t>
  </si>
  <si>
    <t>0                      P  0099000B  28713       1985</t>
  </si>
  <si>
    <t>The grain of the voice : interviews 1962-1980 / Roland Barthes ; translated by Linda Coverdale.</t>
  </si>
  <si>
    <t>New York : Hill and Wang, 1985.</t>
  </si>
  <si>
    <t>4029944:eng</t>
  </si>
  <si>
    <t>11043410</t>
  </si>
  <si>
    <t>ocm11043410</t>
  </si>
  <si>
    <t>3102751591L</t>
  </si>
  <si>
    <t>9780809050888</t>
  </si>
  <si>
    <t>792755320</t>
  </si>
  <si>
    <t>P99 B28713 2009</t>
  </si>
  <si>
    <t>0                      P  0099000B  28713       2009</t>
  </si>
  <si>
    <t>The grain of the voice : interviews 1962-1980 / Roland Barthes ; translated from the French by Linda Coverdale.</t>
  </si>
  <si>
    <t>Evanston, Ill. : Northwestern University Press, 2009.</t>
  </si>
  <si>
    <t>Northwestern University Press ed.</t>
  </si>
  <si>
    <t>318428642</t>
  </si>
  <si>
    <t>ocn318428642</t>
  </si>
  <si>
    <t>31032221531</t>
  </si>
  <si>
    <t>9780810126404</t>
  </si>
  <si>
    <t>794481794</t>
  </si>
  <si>
    <t>P99 B3</t>
  </si>
  <si>
    <t>0                      P  0099000B  3</t>
  </si>
  <si>
    <t>L'obvie et l'obtus : essais critiques III / Roland Barthes.</t>
  </si>
  <si>
    <t>Paris : Éditions du Seuil, ©1982.</t>
  </si>
  <si>
    <t>Tel quel</t>
  </si>
  <si>
    <t>4535566230:fre</t>
  </si>
  <si>
    <t>234135604</t>
  </si>
  <si>
    <t>ocn234135604</t>
  </si>
  <si>
    <t>31037111304</t>
  </si>
  <si>
    <t>9782020062480</t>
  </si>
  <si>
    <t>794368616</t>
  </si>
  <si>
    <t>2010-12-11</t>
  </si>
  <si>
    <t>3102789710L</t>
  </si>
  <si>
    <t>794368615</t>
  </si>
  <si>
    <t>3102751590L</t>
  </si>
  <si>
    <t>794368614</t>
  </si>
  <si>
    <t>P99 B313 1985</t>
  </si>
  <si>
    <t>0                      P  0099000B  313         1985</t>
  </si>
  <si>
    <t>The responsibility of forms : critical essays on music, art, and representation / Roland Barthes ; translated from the French by Richard Howard.</t>
  </si>
  <si>
    <t>2016-02-19</t>
  </si>
  <si>
    <t>4820562234:eng</t>
  </si>
  <si>
    <t>10949763</t>
  </si>
  <si>
    <t>ocm10949763</t>
  </si>
  <si>
    <t>3102751589N</t>
  </si>
  <si>
    <t>9780809080755</t>
  </si>
  <si>
    <t>792750955</t>
  </si>
  <si>
    <t>P99 B313 1991</t>
  </si>
  <si>
    <t>0                      P  0099000B  313         1991</t>
  </si>
  <si>
    <t>Berkeley : University of California Press, 1991, ©1985.</t>
  </si>
  <si>
    <t>2014-02-01</t>
  </si>
  <si>
    <t>3372737600:eng</t>
  </si>
  <si>
    <t>222158492</t>
  </si>
  <si>
    <t>ocn222158492</t>
  </si>
  <si>
    <t>3102751588N</t>
  </si>
  <si>
    <t>9780520072381</t>
  </si>
  <si>
    <t>794329517</t>
  </si>
  <si>
    <t>3102327369B</t>
  </si>
  <si>
    <t>794329516</t>
  </si>
  <si>
    <t>3102751587N</t>
  </si>
  <si>
    <t>794329518</t>
  </si>
  <si>
    <t>P99 B37 1984</t>
  </si>
  <si>
    <t>0                      P  0099000B  37          1984</t>
  </si>
  <si>
    <t>Writing degree zero ; &amp;, Elements of semiology / Roland Barthes ; translated from the French by Annette Lavers and Colin Smith.</t>
  </si>
  <si>
    <t>London : J. Cape, 1984.</t>
  </si>
  <si>
    <t>2019-03-29</t>
  </si>
  <si>
    <t>1230207:eng</t>
  </si>
  <si>
    <t>15222101</t>
  </si>
  <si>
    <t>ocm15222101</t>
  </si>
  <si>
    <t>3103020109V</t>
  </si>
  <si>
    <t>9780224022675</t>
  </si>
  <si>
    <t>792924446</t>
  </si>
  <si>
    <t>P99 C297 1984</t>
  </si>
  <si>
    <t>0                      P  0099000C  297         1984</t>
  </si>
  <si>
    <t>Carnival! / Umberto Eco, V.V. Ivanov, Monica Rector ; edited by Thomas A. Sebeok ; assisted by Marcia E. Erickson.</t>
  </si>
  <si>
    <t>Berlin ; New York : Mouton Publishers, ©1984.</t>
  </si>
  <si>
    <t>Approaches to semiotics ; 64</t>
  </si>
  <si>
    <t>2016-04-07</t>
  </si>
  <si>
    <t>8906966054:eng</t>
  </si>
  <si>
    <t>10726990</t>
  </si>
  <si>
    <t>ocm10726990</t>
  </si>
  <si>
    <t>3102751574P</t>
  </si>
  <si>
    <t>9783110095890</t>
  </si>
  <si>
    <t>792739979</t>
  </si>
  <si>
    <t>P99 C34</t>
  </si>
  <si>
    <t>0                      P  0099000C  34</t>
  </si>
  <si>
    <t>Semiotica : saggio critico, testimonianze, documenti / Francesco Casetti.</t>
  </si>
  <si>
    <t>Casetti, Francesco.</t>
  </si>
  <si>
    <t>Milano : Accademia, [1978?]</t>
  </si>
  <si>
    <t>Manuali Accademia</t>
  </si>
  <si>
    <t>9381352505:ita</t>
  </si>
  <si>
    <t>4056198</t>
  </si>
  <si>
    <t>ocm04056198</t>
  </si>
  <si>
    <t>3102751572P</t>
  </si>
  <si>
    <t>792317867</t>
  </si>
  <si>
    <t>P99 C463 2002</t>
  </si>
  <si>
    <t>0                      P  0099000C  463         2002</t>
  </si>
  <si>
    <t>Semiotics : the basics / Daniel Chandler.</t>
  </si>
  <si>
    <t>15758159:eng</t>
  </si>
  <si>
    <t>47971851</t>
  </si>
  <si>
    <t>ocm47971851</t>
  </si>
  <si>
    <t>3102751570P</t>
  </si>
  <si>
    <t>9780415265935</t>
  </si>
  <si>
    <t>793712551</t>
  </si>
  <si>
    <t>P99 C463 2007</t>
  </si>
  <si>
    <t>0                      P  0099000C  463         2007</t>
  </si>
  <si>
    <t>London ; New York : Routledge, ©2007.</t>
  </si>
  <si>
    <t>Basics (Routledge (Firm)</t>
  </si>
  <si>
    <t>70864411</t>
  </si>
  <si>
    <t>ocm70864411</t>
  </si>
  <si>
    <t>3102568425H</t>
  </si>
  <si>
    <t>9780415363761</t>
  </si>
  <si>
    <t>794160304</t>
  </si>
  <si>
    <t>P99 C463 2017</t>
  </si>
  <si>
    <t>0                      P  0099000C  463         2017</t>
  </si>
  <si>
    <t>Chandler, Daniel, author.</t>
  </si>
  <si>
    <t>Abingdon, Oxon ; New York, NY : Routledge, 2017.</t>
  </si>
  <si>
    <t>966668154</t>
  </si>
  <si>
    <t>ocn966668154</t>
  </si>
  <si>
    <t>3103670402A</t>
  </si>
  <si>
    <t>9781138232921</t>
  </si>
  <si>
    <t>795026306</t>
  </si>
  <si>
    <t>P99 C544 1990</t>
  </si>
  <si>
    <t>0                      P  0099000C  544         1990</t>
  </si>
  <si>
    <t>Sources of semiotic : readings with commentary from antiquity to the present / D.S. Clarke, Jr.</t>
  </si>
  <si>
    <t>Clarke, D. S. (David S.), 1936-</t>
  </si>
  <si>
    <t>Carbondale : Southern Illinois University Press, ©1990.</t>
  </si>
  <si>
    <t>1007235:eng</t>
  </si>
  <si>
    <t>20672115</t>
  </si>
  <si>
    <t>ocm20672115</t>
  </si>
  <si>
    <t>3102751568R</t>
  </si>
  <si>
    <t>9780809316137</t>
  </si>
  <si>
    <t>793095067</t>
  </si>
  <si>
    <t>P99 C55 1999</t>
  </si>
  <si>
    <t>0                      P  0099000C  55          1999</t>
  </si>
  <si>
    <t>Semiotics for beginners / Paul Cobley and Litza Jansz ; edited by Richard Appignanesi.</t>
  </si>
  <si>
    <t>Cobley, Paul, 1963-</t>
  </si>
  <si>
    <t>Cambridge : Icon Books, 1997.</t>
  </si>
  <si>
    <t>5218529971:eng</t>
  </si>
  <si>
    <t>41967795</t>
  </si>
  <si>
    <t>ocm41967795</t>
  </si>
  <si>
    <t>3102751567R</t>
  </si>
  <si>
    <t>9781874166559</t>
  </si>
  <si>
    <t>793600230</t>
  </si>
  <si>
    <t>P99 C66 2015</t>
  </si>
  <si>
    <t>0                      P  0099000C  66          2015</t>
  </si>
  <si>
    <t>Semiotics and visual communication II : culture of seduction / edited by Evripides Zantides.</t>
  </si>
  <si>
    <t>International Conference &amp; Poster Exhibition on Semiotics and Visual Communication (2nd : 2015 : Cyprus University of Technology), creator.</t>
  </si>
  <si>
    <t>4455382265:eng</t>
  </si>
  <si>
    <t>1000352581</t>
  </si>
  <si>
    <t>on1000352581</t>
  </si>
  <si>
    <t>31037393609</t>
  </si>
  <si>
    <t>9781527500020</t>
  </si>
  <si>
    <t>795040164</t>
  </si>
  <si>
    <t>P99 D36 2008</t>
  </si>
  <si>
    <t>0                      P  0099000D  36          2008</t>
  </si>
  <si>
    <t>Of cigarettes, high heels, and other interesting things : an introduction to semiotics / Marcel Danesi.</t>
  </si>
  <si>
    <t>New York : Palgrave Macmillan, 2008.</t>
  </si>
  <si>
    <t>2018-12-13</t>
  </si>
  <si>
    <t>25284721:eng</t>
  </si>
  <si>
    <t>180689992</t>
  </si>
  <si>
    <t>ocn180689992</t>
  </si>
  <si>
    <t>3102970802C</t>
  </si>
  <si>
    <t>9780230605237</t>
  </si>
  <si>
    <t>794280167</t>
  </si>
  <si>
    <t>P99 D37 1999</t>
  </si>
  <si>
    <t>0                      P  0099000D  37          1999</t>
  </si>
  <si>
    <t>The uncoded world : a poetic semiosis of the wandered / Vivian Darroch-Lozowski.</t>
  </si>
  <si>
    <t>Darroch-Lozowski, Vivian, 1941-</t>
  </si>
  <si>
    <t>New York : P. Lang, ©1999.</t>
  </si>
  <si>
    <t>Semiotics and the human sciences ; vol. 18</t>
  </si>
  <si>
    <t>377463955:eng</t>
  </si>
  <si>
    <t>39951745</t>
  </si>
  <si>
    <t>ocm39951745</t>
  </si>
  <si>
    <t>3102751638U</t>
  </si>
  <si>
    <t>9780820444130</t>
  </si>
  <si>
    <t>793557675</t>
  </si>
  <si>
    <t>P99 D37x</t>
  </si>
  <si>
    <t>0                      P  0099000D  37x</t>
  </si>
  <si>
    <t>Semiotics and iconography / Hubert Damisch.</t>
  </si>
  <si>
    <t>Damisch, Hubert.</t>
  </si>
  <si>
    <t>Lisse, Netherlands : Peter de Ridder Press, 1975.</t>
  </si>
  <si>
    <t>PdR Press Publications in Semiotics of Art 1</t>
  </si>
  <si>
    <t>2015-11-22</t>
  </si>
  <si>
    <t>5524469:eng</t>
  </si>
  <si>
    <t>2612124</t>
  </si>
  <si>
    <t>ocm02612124</t>
  </si>
  <si>
    <t>3102751637U</t>
  </si>
  <si>
    <t>792152659</t>
  </si>
  <si>
    <t>P99 D38 2014</t>
  </si>
  <si>
    <t>0                      P  0099000D  38          2014</t>
  </si>
  <si>
    <t>Le symbole / Baudoin Decharneux, Luc Nefontaine.</t>
  </si>
  <si>
    <t>Decharneux, Baudouin, auteur.</t>
  </si>
  <si>
    <t>Paris : PUF, 2014.</t>
  </si>
  <si>
    <t>Troisième édition.</t>
  </si>
  <si>
    <t>Que-sais-je? ; no. 3365.</t>
  </si>
  <si>
    <t>349603256:fre</t>
  </si>
  <si>
    <t>905112365</t>
  </si>
  <si>
    <t>ocn905112365</t>
  </si>
  <si>
    <t>31036211054</t>
  </si>
  <si>
    <t>9782130633747</t>
  </si>
  <si>
    <t>794991121</t>
  </si>
  <si>
    <t>P99 D398 1990</t>
  </si>
  <si>
    <t>0                      P  0099000D  398         1990</t>
  </si>
  <si>
    <t>Basics of semiotics / John Deely.</t>
  </si>
  <si>
    <t>Deely, John N.</t>
  </si>
  <si>
    <t>992522:eng</t>
  </si>
  <si>
    <t>20561552</t>
  </si>
  <si>
    <t>ocm20561552</t>
  </si>
  <si>
    <t>3102751635U</t>
  </si>
  <si>
    <t>9780253316769</t>
  </si>
  <si>
    <t>793091440</t>
  </si>
  <si>
    <t>P99 D4 1982</t>
  </si>
  <si>
    <t>0                      P  0099000D  4           1982</t>
  </si>
  <si>
    <t>Introducing semiotic : its history and doctrine / by John Deely ; with a foreword by Thomas A. Sebeok.</t>
  </si>
  <si>
    <t>Bloomington : Indiana University Press, 1982.</t>
  </si>
  <si>
    <t>2008-01-15</t>
  </si>
  <si>
    <t>865443030:eng</t>
  </si>
  <si>
    <t>8306756</t>
  </si>
  <si>
    <t>ocm08306756</t>
  </si>
  <si>
    <t>3000158518W</t>
  </si>
  <si>
    <t>9780253330802</t>
  </si>
  <si>
    <t>792611372</t>
  </si>
  <si>
    <t>30003405130</t>
  </si>
  <si>
    <t>792611373</t>
  </si>
  <si>
    <t>2015-11-26</t>
  </si>
  <si>
    <t>P99 D433 2010</t>
  </si>
  <si>
    <t>0                      P  0099000D  433         2010</t>
  </si>
  <si>
    <t>Semiotics seen synchronically : the view from 2010 / John Deely.</t>
  </si>
  <si>
    <t>Deely, John.</t>
  </si>
  <si>
    <t>New York ; Ottawa : Legas, ©2010.</t>
  </si>
  <si>
    <t>Language, media &amp; education studies ; 47</t>
  </si>
  <si>
    <t>3756343620:eng</t>
  </si>
  <si>
    <t>565924061</t>
  </si>
  <si>
    <t>ocn565924061</t>
  </si>
  <si>
    <t>31032679609</t>
  </si>
  <si>
    <t>9781897493175</t>
  </si>
  <si>
    <t>794813053</t>
  </si>
  <si>
    <t>P99 D55 2010</t>
  </si>
  <si>
    <t>0                      P  0099000D  55          2010</t>
  </si>
  <si>
    <t>Parallels, interactions, and illuminations : traversing Chinese and Western theories of the sign / Ersu Ding.</t>
  </si>
  <si>
    <t>Ding, Ersu.</t>
  </si>
  <si>
    <t>Toronto ; Buffalo : University of Toronto Press, ©2010.</t>
  </si>
  <si>
    <t>349281526:eng</t>
  </si>
  <si>
    <t>466659909</t>
  </si>
  <si>
    <t>ocn466659909</t>
  </si>
  <si>
    <t>3103267514V</t>
  </si>
  <si>
    <t>9781442640481</t>
  </si>
  <si>
    <t>794794879</t>
  </si>
  <si>
    <t>P99 D88 2011</t>
  </si>
  <si>
    <t>0                      P  0099000D  88          2011</t>
  </si>
  <si>
    <t>Linguistic supertypes : a cognitive-semiotic theory of human communication by / Per Durst-Andersen.</t>
  </si>
  <si>
    <t>Durst-Andersen, Per.</t>
  </si>
  <si>
    <t>Semiotics, communication and cognition ; 6</t>
  </si>
  <si>
    <t>763160334:eng</t>
  </si>
  <si>
    <t>690585548</t>
  </si>
  <si>
    <t>ocn690585548</t>
  </si>
  <si>
    <t>3103344832Y</t>
  </si>
  <si>
    <t>9783110253139</t>
  </si>
  <si>
    <t>794855523</t>
  </si>
  <si>
    <t>P99 E2614 2010</t>
  </si>
  <si>
    <t>0                      P  0099000E  2614        2010</t>
  </si>
  <si>
    <t>De l'arbre au labyrinthe / Umberto Eco ; essais traduits de l'italien par Hélène Sauvage.</t>
  </si>
  <si>
    <t>Eco, Umberto.</t>
  </si>
  <si>
    <t>Paris : Grasset, 2010.</t>
  </si>
  <si>
    <t>Livre de poche ; 32400. Biblio essais</t>
  </si>
  <si>
    <t>2289945062:fre</t>
  </si>
  <si>
    <t>688494683</t>
  </si>
  <si>
    <t>ocn688494683</t>
  </si>
  <si>
    <t>3103632183A</t>
  </si>
  <si>
    <t>9782246748519</t>
  </si>
  <si>
    <t>794854322</t>
  </si>
  <si>
    <t>P99 E2713 2000</t>
  </si>
  <si>
    <t>0                      P  0099000E  2713        2000</t>
  </si>
  <si>
    <t>Kant and the platypus : essays on language and cognition / Umberto Eco ; translated from the Italian by Alastair McEwen.</t>
  </si>
  <si>
    <t>New York : Harcourt Brace, ©2000.</t>
  </si>
  <si>
    <t>1151962440:eng</t>
  </si>
  <si>
    <t>41326537</t>
  </si>
  <si>
    <t>ocm41326537</t>
  </si>
  <si>
    <t>3102751629W</t>
  </si>
  <si>
    <t>9780151004478</t>
  </si>
  <si>
    <t>793589156</t>
  </si>
  <si>
    <t>2013-08-31</t>
  </si>
  <si>
    <t>3102751634U</t>
  </si>
  <si>
    <t>793589155</t>
  </si>
  <si>
    <t>P99 E28</t>
  </si>
  <si>
    <t>0                      P  0099000E  28</t>
  </si>
  <si>
    <t>The role of the reader : explorations in the semiotics of texts / Umberto Eco.</t>
  </si>
  <si>
    <t>Eco, Umberto, author.</t>
  </si>
  <si>
    <t>Bloomington : Indiana University Press, [1979]</t>
  </si>
  <si>
    <t>2017-07-10</t>
  </si>
  <si>
    <t>421376:eng</t>
  </si>
  <si>
    <t>4003437</t>
  </si>
  <si>
    <t>ocm04003437</t>
  </si>
  <si>
    <t>3102751633U</t>
  </si>
  <si>
    <t>9780253111395</t>
  </si>
  <si>
    <t>792312722</t>
  </si>
  <si>
    <t>3102751630U</t>
  </si>
  <si>
    <t>792312721</t>
  </si>
  <si>
    <t>P99 E294 1984</t>
  </si>
  <si>
    <t>0                      P  0099000E  294         1984</t>
  </si>
  <si>
    <t>Semiotica e filosofia del linguaggio / Umberto Eco.</t>
  </si>
  <si>
    <t>Torino : G. Einaudi, ©1984.</t>
  </si>
  <si>
    <t>1a ed. "Paperbacks."</t>
  </si>
  <si>
    <t>Einaudi paperbacks ; 151</t>
  </si>
  <si>
    <t>1097239168:ita</t>
  </si>
  <si>
    <t>13004384</t>
  </si>
  <si>
    <t>ocm13004384</t>
  </si>
  <si>
    <t>3102751632U</t>
  </si>
  <si>
    <t>9788806056902</t>
  </si>
  <si>
    <t>792836811</t>
  </si>
  <si>
    <t>P99 E295 1984</t>
  </si>
  <si>
    <t>0                      P  0099000E  295         1984</t>
  </si>
  <si>
    <t>Semiotics and the philosophy of language / Umberto Eco.</t>
  </si>
  <si>
    <t>Bloomington : Indiana University Press, ©1984.</t>
  </si>
  <si>
    <t>1097239168:eng</t>
  </si>
  <si>
    <t>9412976</t>
  </si>
  <si>
    <t>ocm09412976</t>
  </si>
  <si>
    <t>3102751628W</t>
  </si>
  <si>
    <t>9780253351685</t>
  </si>
  <si>
    <t>792675084</t>
  </si>
  <si>
    <t>3102751627W</t>
  </si>
  <si>
    <t>792675083</t>
  </si>
  <si>
    <t>3102751626W</t>
  </si>
  <si>
    <t>792675082</t>
  </si>
  <si>
    <t>P99 E29614 1988</t>
  </si>
  <si>
    <t>0                      P  0099000E  29614       1988</t>
  </si>
  <si>
    <t>Le signe : histoire et analyse d'un concept / Umberto Eco. Adapte de l'italien par Jean-Marie Klinkenberg.</t>
  </si>
  <si>
    <t>Bruxelles : Editions Labor, ©1988.</t>
  </si>
  <si>
    <t>2019-06-21</t>
  </si>
  <si>
    <t>14521584:fre</t>
  </si>
  <si>
    <t>18971881</t>
  </si>
  <si>
    <t>ocm18971881</t>
  </si>
  <si>
    <t>3102751625W</t>
  </si>
  <si>
    <t>9782804003265</t>
  </si>
  <si>
    <t>793043036</t>
  </si>
  <si>
    <t>P99 E3</t>
  </si>
  <si>
    <t>0                      P  0099000E  3</t>
  </si>
  <si>
    <t>A theory of semiotics / Umberto Eco.</t>
  </si>
  <si>
    <t>Bloomington : Indiana University Press, ©1976.</t>
  </si>
  <si>
    <t>2019-02-20</t>
  </si>
  <si>
    <t>421561:eng</t>
  </si>
  <si>
    <t>1195082</t>
  </si>
  <si>
    <t>ocm01195082</t>
  </si>
  <si>
    <t>3102751624W</t>
  </si>
  <si>
    <t>9780253359551</t>
  </si>
  <si>
    <t>791569924</t>
  </si>
  <si>
    <t>3102751623W</t>
  </si>
  <si>
    <t>791569926</t>
  </si>
  <si>
    <t>2011-08-26</t>
  </si>
  <si>
    <t>3102983362Z</t>
  </si>
  <si>
    <t>791569927</t>
  </si>
  <si>
    <t>3102911916X</t>
  </si>
  <si>
    <t>791569925</t>
  </si>
  <si>
    <t>P99 F72 1993</t>
  </si>
  <si>
    <t>0                      P  0099000F  72          1993</t>
  </si>
  <si>
    <t>Grimoire de l'art, grammaire de l'être / Louis Francœur, Marie Francœur.</t>
  </si>
  <si>
    <t>Francoeur, Louis, 1931-</t>
  </si>
  <si>
    <t>Sainte-Foy, Québec, Canada : Presses de l'Université Laval ; Paris, France : Klincksieck, 1993.</t>
  </si>
  <si>
    <t>14940851:fre</t>
  </si>
  <si>
    <t>32273060</t>
  </si>
  <si>
    <t>ocm32273060</t>
  </si>
  <si>
    <t>3102751612Y</t>
  </si>
  <si>
    <t>9782763773384</t>
  </si>
  <si>
    <t>793379796</t>
  </si>
  <si>
    <t>P99 F76 1986</t>
  </si>
  <si>
    <t>0                      P  0099000F  76          1986</t>
  </si>
  <si>
    <t>Frontiers in semiotics / edited by John Deely, Brooke Williams, and Felicia E. Kruse.</t>
  </si>
  <si>
    <t>353247182:eng</t>
  </si>
  <si>
    <t>13094187</t>
  </si>
  <si>
    <t>ocm13094187</t>
  </si>
  <si>
    <t>3102751698I</t>
  </si>
  <si>
    <t>9780253346056</t>
  </si>
  <si>
    <t>792840142</t>
  </si>
  <si>
    <t>P99 G67 1987</t>
  </si>
  <si>
    <t>0                      P  0099000G  67          1987</t>
  </si>
  <si>
    <t>On meaning : selected writings in semiotic theory / Algirdas Julien Greimas ; translation by Paul J. Perron and Frank H. Collins ; foreword by Fredric Jameson ; introduction by Paul J. Perron.</t>
  </si>
  <si>
    <t>Greimas, Algirdas Julien.</t>
  </si>
  <si>
    <t>Minneapolis : University of Minnesota Press, ©1987.</t>
  </si>
  <si>
    <t>Theory and history of literature ; v. 38</t>
  </si>
  <si>
    <t>2908433250:eng</t>
  </si>
  <si>
    <t>13669623</t>
  </si>
  <si>
    <t>ocm13669623</t>
  </si>
  <si>
    <t>3102751689K</t>
  </si>
  <si>
    <t>9780816615186</t>
  </si>
  <si>
    <t>792862434</t>
  </si>
  <si>
    <t>P99 G6813 1984</t>
  </si>
  <si>
    <t>0                      P  0099000G  6813        1984</t>
  </si>
  <si>
    <t>Structural semantics : an attempt at a method / by A.J. Greimas ; translated by Daniele McDowell, Ronald Schleifer, and Alan Velie ; with an introduction by Ronald Schleifer.</t>
  </si>
  <si>
    <t>Lincoln : University of Nebraska Press, [1984]</t>
  </si>
  <si>
    <t>2908506302:eng</t>
  </si>
  <si>
    <t>123160622</t>
  </si>
  <si>
    <t>ocn123160622</t>
  </si>
  <si>
    <t>3102751693I</t>
  </si>
  <si>
    <t>9780803221123</t>
  </si>
  <si>
    <t>794224146</t>
  </si>
  <si>
    <t>P99 G69</t>
  </si>
  <si>
    <t>0                      P  0099000G  69</t>
  </si>
  <si>
    <t>Sémiotique : dictionnaire raisonné de la théorie du langage / par Algirdas Julien Greimas et Joseph Courtés.</t>
  </si>
  <si>
    <t>Paris : Hachette, ©1979.</t>
  </si>
  <si>
    <t>Langue, linguistique, communication</t>
  </si>
  <si>
    <t>571656:fre</t>
  </si>
  <si>
    <t>6225144</t>
  </si>
  <si>
    <t>ocm06225144</t>
  </si>
  <si>
    <t>3102751694I</t>
  </si>
  <si>
    <t>9782010052217</t>
  </si>
  <si>
    <t>792484346</t>
  </si>
  <si>
    <t>P99 G6913 1982</t>
  </si>
  <si>
    <t>0                      P  0099000G  6913        1982</t>
  </si>
  <si>
    <t>Semiotics and language : an analytical dictionary / A.J. Greimas and J. Courtés ; translation by Larry Crist [and others].</t>
  </si>
  <si>
    <t>Bloomington : Indiana University Press, ©1982.</t>
  </si>
  <si>
    <t>3901123021:eng</t>
  </si>
  <si>
    <t>7836147</t>
  </si>
  <si>
    <t>ocm07836147</t>
  </si>
  <si>
    <t>3102751691I</t>
  </si>
  <si>
    <t>9780253351692</t>
  </si>
  <si>
    <t>792582425</t>
  </si>
  <si>
    <t>P99 G69513 1993</t>
  </si>
  <si>
    <t>0                      P  0099000G  69513       1993</t>
  </si>
  <si>
    <t>The semiotics of passions : from states of affairs to states of feeling / Algirdas Julien Greimas and Jacques Fontanille ; translation by Paul Perron and Frank Collins ; foreword by Paul Perron and Paolo Fabbri.</t>
  </si>
  <si>
    <t>Minneapolis : University of Minnesota Press, ©1993.</t>
  </si>
  <si>
    <t>289553116:eng</t>
  </si>
  <si>
    <t>25964529</t>
  </si>
  <si>
    <t>ocm25964529</t>
  </si>
  <si>
    <t>3102751690I</t>
  </si>
  <si>
    <t>9780816621040</t>
  </si>
  <si>
    <t>793234104</t>
  </si>
  <si>
    <t>P99 H275 2012</t>
  </si>
  <si>
    <t>0                      P  0099000H  275         2012</t>
  </si>
  <si>
    <t>This means this, this means that : a user's guide to semiotics / Sean Hall.</t>
  </si>
  <si>
    <t>Hall, Sean.</t>
  </si>
  <si>
    <t>London : Laurence King Pub., 2012.</t>
  </si>
  <si>
    <t>865050636:eng</t>
  </si>
  <si>
    <t>760291938</t>
  </si>
  <si>
    <t>ocn760291938</t>
  </si>
  <si>
    <t>3103408859S</t>
  </si>
  <si>
    <t>9781856697354</t>
  </si>
  <si>
    <t>794898547</t>
  </si>
  <si>
    <t>P99 H58 1983</t>
  </si>
  <si>
    <t>0                      P  0099000H  58          1983</t>
  </si>
  <si>
    <t>History of semiotics / edited by Achim Eschbach &amp; Jürgen Trabant.</t>
  </si>
  <si>
    <t>Amsterdam ; Philadelphia : J. Benjamins, 1983.</t>
  </si>
  <si>
    <t>Foundations of semiotics, 0168-2555 ; v. 7</t>
  </si>
  <si>
    <t>350814219:eng</t>
  </si>
  <si>
    <t>9960828</t>
  </si>
  <si>
    <t>ocm09960828</t>
  </si>
  <si>
    <t>3102751674M</t>
  </si>
  <si>
    <t>9789027232779</t>
  </si>
  <si>
    <t>792702268</t>
  </si>
  <si>
    <t>P99 K3 2001</t>
  </si>
  <si>
    <t>0                      P  0099000K  3           2001</t>
  </si>
  <si>
    <t>Formal pragmatics : semantics, pragmatics, presupposition, and focus / Nirit Kadmon.</t>
  </si>
  <si>
    <t>Kadmon, Nirit.</t>
  </si>
  <si>
    <t>Malden : Blackwell, 2001.</t>
  </si>
  <si>
    <t>837079793:eng</t>
  </si>
  <si>
    <t>43561678</t>
  </si>
  <si>
    <t>ocm43561678</t>
  </si>
  <si>
    <t>3102751661O</t>
  </si>
  <si>
    <t>9780631201205</t>
  </si>
  <si>
    <t>793629528</t>
  </si>
  <si>
    <t>P99 K684 2010</t>
  </si>
  <si>
    <t>0                      P  0099000K  684         2010</t>
  </si>
  <si>
    <t>Multimodality : a social semiotic approach to contemporary communication / Gunther Kress.</t>
  </si>
  <si>
    <t>792539566:eng</t>
  </si>
  <si>
    <t>318100517</t>
  </si>
  <si>
    <t>ocn318100517</t>
  </si>
  <si>
    <t>3103130694O</t>
  </si>
  <si>
    <t>9780415320603</t>
  </si>
  <si>
    <t>794480955</t>
  </si>
  <si>
    <t>P99 K687 1986</t>
  </si>
  <si>
    <t>0                      P  0099000K  687         1986</t>
  </si>
  <si>
    <t>The Kristeva reader / Julia Kristeva ; edited by Toril Moi.</t>
  </si>
  <si>
    <t>3</t>
  </si>
  <si>
    <t>New York : Columbia University Press, 1986.</t>
  </si>
  <si>
    <t>2019-10-04</t>
  </si>
  <si>
    <t>1061431:eng</t>
  </si>
  <si>
    <t>13559620</t>
  </si>
  <si>
    <t>ocm13559620</t>
  </si>
  <si>
    <t>3103903629P</t>
  </si>
  <si>
    <t>9780231063241</t>
  </si>
  <si>
    <t>792857618</t>
  </si>
  <si>
    <t>2018-12-03</t>
  </si>
  <si>
    <t>3102751739R</t>
  </si>
  <si>
    <t>792857619</t>
  </si>
  <si>
    <t>3103903588D</t>
  </si>
  <si>
    <t>792857616</t>
  </si>
  <si>
    <t>2</t>
  </si>
  <si>
    <t>3103903585J</t>
  </si>
  <si>
    <t>792857617</t>
  </si>
  <si>
    <t>P99 K687 1987</t>
  </si>
  <si>
    <t>0                      P  0099000K  687         1987</t>
  </si>
  <si>
    <t>Oxford : Basil Blackwell, 1986.</t>
  </si>
  <si>
    <t>2018-04-25</t>
  </si>
  <si>
    <t>59246387</t>
  </si>
  <si>
    <t>ocm59246387</t>
  </si>
  <si>
    <t>3102751744P</t>
  </si>
  <si>
    <t>9780631149316</t>
  </si>
  <si>
    <t>793928834</t>
  </si>
  <si>
    <t>P99 K6916 1980</t>
  </si>
  <si>
    <t>0                      P  0099000K  6916        1980</t>
  </si>
  <si>
    <t>Materia e senso : pratiche significanti e teoria del linguaggio / Julia Kristeva ; traduzioni di Bruno Bellotto e Daniela De Agostini.</t>
  </si>
  <si>
    <t>Torino : G. Einaudi, 1980.</t>
  </si>
  <si>
    <t>La Ricerca critica. Letteratura ; 51</t>
  </si>
  <si>
    <t>890974691:ita</t>
  </si>
  <si>
    <t>7490742</t>
  </si>
  <si>
    <t>ocm07490742</t>
  </si>
  <si>
    <t>3102751743P</t>
  </si>
  <si>
    <t>792561623</t>
  </si>
  <si>
    <t>P99 K694 1997</t>
  </si>
  <si>
    <t>0                      P  0099000K  694         1997</t>
  </si>
  <si>
    <t>The portable Kristeva / Kelly Oliver, editor.</t>
  </si>
  <si>
    <t>New York : Columbia University Press, ©1997.</t>
  </si>
  <si>
    <t>European perspectives</t>
  </si>
  <si>
    <t>991887:eng</t>
  </si>
  <si>
    <t>35243500</t>
  </si>
  <si>
    <t>ocm35243500</t>
  </si>
  <si>
    <t>3102751738R</t>
  </si>
  <si>
    <t>9780231105040</t>
  </si>
  <si>
    <t>793447687</t>
  </si>
  <si>
    <t>P99 K694 2002</t>
  </si>
  <si>
    <t>0                      P  0099000K  694         2002</t>
  </si>
  <si>
    <t>New York : Columbia University Press, ©2002.</t>
  </si>
  <si>
    <t>2019-04-04</t>
  </si>
  <si>
    <t>48857877</t>
  </si>
  <si>
    <t>ocm48857877</t>
  </si>
  <si>
    <t>3102751831O</t>
  </si>
  <si>
    <t>9780231126281</t>
  </si>
  <si>
    <t>793729146</t>
  </si>
  <si>
    <t>3103018902H</t>
  </si>
  <si>
    <t>793729147</t>
  </si>
  <si>
    <t>P99 K7 1974</t>
  </si>
  <si>
    <t>0                      P  0099000K  7           1974</t>
  </si>
  <si>
    <t>La revolution du langage poetique : l'avant-garde a la fin du XIXe siecle, Lautreamont et Mallarme / Julia Kristeva.</t>
  </si>
  <si>
    <t>Paris : Editions du Seuil, 1974.</t>
  </si>
  <si>
    <t>Points ; 174</t>
  </si>
  <si>
    <t>2019-08-16</t>
  </si>
  <si>
    <t>9621710387:fre</t>
  </si>
  <si>
    <t>223019833</t>
  </si>
  <si>
    <t>ocn223019833</t>
  </si>
  <si>
    <t>31036286906</t>
  </si>
  <si>
    <t>9782020086134</t>
  </si>
  <si>
    <t>794333778</t>
  </si>
  <si>
    <t>P99 K72x</t>
  </si>
  <si>
    <t>0                      P  0099000K  72x</t>
  </si>
  <si>
    <t>The system and the speaking subject / Julia Kristeva.</t>
  </si>
  <si>
    <t>2015-12-20</t>
  </si>
  <si>
    <t>9489988271:eng</t>
  </si>
  <si>
    <t>2612152</t>
  </si>
  <si>
    <t>ocm02612152</t>
  </si>
  <si>
    <t>3102751736R</t>
  </si>
  <si>
    <t>792152663</t>
  </si>
  <si>
    <t>P99 L83 2016</t>
  </si>
  <si>
    <t>0                      P  0099000L  83          2016</t>
  </si>
  <si>
    <t>The story of emoji / Gavin Lucas.</t>
  </si>
  <si>
    <t>Lucas, Gavin, 1975- author.</t>
  </si>
  <si>
    <t>Munich : Prestel Verlag, [2016]</t>
  </si>
  <si>
    <t>2983172913:eng</t>
  </si>
  <si>
    <t>923852466</t>
  </si>
  <si>
    <t>ocn923852466</t>
  </si>
  <si>
    <t>3103656988A</t>
  </si>
  <si>
    <t>9783791381503</t>
  </si>
  <si>
    <t>795004696</t>
  </si>
  <si>
    <t>P99 M349 2012</t>
  </si>
  <si>
    <t>0                      P  0099000M  349         2012</t>
  </si>
  <si>
    <t>The semiotics of drink and drinking / Paul Manning.</t>
  </si>
  <si>
    <t>Manning, Paul, 1964-</t>
  </si>
  <si>
    <t>London : New York : Continuum International Pub. Group, 2012.</t>
  </si>
  <si>
    <t>Continuum advances in semiotics</t>
  </si>
  <si>
    <t>2018-04-30</t>
  </si>
  <si>
    <t>1028102020:eng</t>
  </si>
  <si>
    <t>757480955</t>
  </si>
  <si>
    <t>ocn757480955</t>
  </si>
  <si>
    <t>3103395027V</t>
  </si>
  <si>
    <t>9781441160188</t>
  </si>
  <si>
    <t>794895508</t>
  </si>
  <si>
    <t>P99 M35513 2001</t>
  </si>
  <si>
    <t>0                      P  0099000M  35513       2001</t>
  </si>
  <si>
    <t>On representation / Louis Marin ; translated by Catherine Porter.</t>
  </si>
  <si>
    <t>Marin, Louis, 1931- author.</t>
  </si>
  <si>
    <t>Meridian</t>
  </si>
  <si>
    <t>1108594701:eng</t>
  </si>
  <si>
    <t>46872299</t>
  </si>
  <si>
    <t>ocm46872299</t>
  </si>
  <si>
    <t>3103283797F</t>
  </si>
  <si>
    <t>9780804741507</t>
  </si>
  <si>
    <t>793693484</t>
  </si>
  <si>
    <t>2015-09-27</t>
  </si>
  <si>
    <t>3102751719V</t>
  </si>
  <si>
    <t>793693483</t>
  </si>
  <si>
    <t>P99 M3983 2016</t>
  </si>
  <si>
    <t>0                      P  0099000M  3983        2016</t>
  </si>
  <si>
    <t>L'aube des signes : préhistoire et naissance de l'homme / Alain Médam.</t>
  </si>
  <si>
    <t>Médam, Alain, author.</t>
  </si>
  <si>
    <t>Montréal : Liber, [2016]</t>
  </si>
  <si>
    <t>3918326340:fre</t>
  </si>
  <si>
    <t>961104719</t>
  </si>
  <si>
    <t>ocn961104719</t>
  </si>
  <si>
    <t>3103646086J</t>
  </si>
  <si>
    <t>9782895785545</t>
  </si>
  <si>
    <t>795023606</t>
  </si>
  <si>
    <t>P99 M3993 2010</t>
  </si>
  <si>
    <t>0                      P  0099000M  3993        2010</t>
  </si>
  <si>
    <t>Entangling forms : within semiosic processes / by Floyd Merrell.</t>
  </si>
  <si>
    <t>Merrell, Floyd, 1937-</t>
  </si>
  <si>
    <t>Semiotics, communication and cognition ; 5</t>
  </si>
  <si>
    <t>792300493:eng</t>
  </si>
  <si>
    <t>648148347</t>
  </si>
  <si>
    <t>ocn648148347</t>
  </si>
  <si>
    <t>3103227304M</t>
  </si>
  <si>
    <t>9783110245578</t>
  </si>
  <si>
    <t>794831189</t>
  </si>
  <si>
    <t>P99 M412 2002</t>
  </si>
  <si>
    <t>0                      P  0099000M  412         2002</t>
  </si>
  <si>
    <t>Sensing corporeally : toward a posthuman understanding / Floyd Merrell.</t>
  </si>
  <si>
    <t>2015-11-20</t>
  </si>
  <si>
    <t>837495240:eng</t>
  </si>
  <si>
    <t>50271576</t>
  </si>
  <si>
    <t>ocm50271576</t>
  </si>
  <si>
    <t>3102751716V</t>
  </si>
  <si>
    <t>9780802037046</t>
  </si>
  <si>
    <t>793759562</t>
  </si>
  <si>
    <t>P99 M43</t>
  </si>
  <si>
    <t>0                      P  0099000M  43</t>
  </si>
  <si>
    <t>Essais sémiotiques / Christian Metz.</t>
  </si>
  <si>
    <t>Metz, Christian.</t>
  </si>
  <si>
    <t>Paris : Klincksieck, 1977.</t>
  </si>
  <si>
    <t>Collection d'esthétique ; 29</t>
  </si>
  <si>
    <t>2017-06-08</t>
  </si>
  <si>
    <t>12931325:fre</t>
  </si>
  <si>
    <t>3873226</t>
  </si>
  <si>
    <t>ocm03873226</t>
  </si>
  <si>
    <t>3102751711V</t>
  </si>
  <si>
    <t>9782252019498</t>
  </si>
  <si>
    <t>792300548</t>
  </si>
  <si>
    <t>P99 M663 no.11</t>
  </si>
  <si>
    <t>0                      P  0099000M  663                                                     no.11</t>
  </si>
  <si>
    <t>A.J. Greimas and narrative cognition / by Paul Perron and Marcel Danesi.</t>
  </si>
  <si>
    <t>no.11*</t>
  </si>
  <si>
    <t>Perron, Paul.</t>
  </si>
  <si>
    <t>Toronto : Toronto Semiotic Circle, 1993.</t>
  </si>
  <si>
    <t>Monograph series of the TSC, 0838-5858 ; no. 11</t>
  </si>
  <si>
    <t>199214725:eng</t>
  </si>
  <si>
    <t>28755679</t>
  </si>
  <si>
    <t>ocm28755679</t>
  </si>
  <si>
    <t>3102751770J</t>
  </si>
  <si>
    <t>793295788</t>
  </si>
  <si>
    <t>P99 M663 no.9</t>
  </si>
  <si>
    <t>0                      P  0099000M  663                                                     no.9</t>
  </si>
  <si>
    <t>Objects and objections / by Mary Douglas.</t>
  </si>
  <si>
    <t>no.9*</t>
  </si>
  <si>
    <t>Douglas, Mary.</t>
  </si>
  <si>
    <t>Toronto : Toronto Semiotic Circle, 1992.</t>
  </si>
  <si>
    <t>Monograph series of the Toronto Semiotic Circle ; no. 9</t>
  </si>
  <si>
    <t>1028230237:eng</t>
  </si>
  <si>
    <t>29772365</t>
  </si>
  <si>
    <t>ocm29772365</t>
  </si>
  <si>
    <t>3102751772J</t>
  </si>
  <si>
    <t>793320133</t>
  </si>
  <si>
    <t>P99 N48 2010</t>
  </si>
  <si>
    <t>0                      P  0099000N  48          2010</t>
  </si>
  <si>
    <t>New perspectives on narrative and multimodality / edited by Ruth Page.</t>
  </si>
  <si>
    <t>Routledge studies in multimodality ; 1</t>
  </si>
  <si>
    <t>2015-02-03</t>
  </si>
  <si>
    <t>766708425:eng</t>
  </si>
  <si>
    <t>311758686</t>
  </si>
  <si>
    <t>ocn311758686</t>
  </si>
  <si>
    <t>3103086939L</t>
  </si>
  <si>
    <t>9780415995177</t>
  </si>
  <si>
    <t>794436338</t>
  </si>
  <si>
    <t>P99 N6513 1990</t>
  </si>
  <si>
    <t>0                      P  0099000N  6513        1990</t>
  </si>
  <si>
    <t>Handbook of semiotics / Winfried Nöth.</t>
  </si>
  <si>
    <t>Nöth, Winfried.</t>
  </si>
  <si>
    <t>992657:eng</t>
  </si>
  <si>
    <t>19847086</t>
  </si>
  <si>
    <t>ocm19847086</t>
  </si>
  <si>
    <t>31031026680</t>
  </si>
  <si>
    <t>9780253341204</t>
  </si>
  <si>
    <t>793070381</t>
  </si>
  <si>
    <t>P99 O5 1985</t>
  </si>
  <si>
    <t>0                      P  0099000O  5           1985</t>
  </si>
  <si>
    <t>On signs / edited by Marshall Blonsky.</t>
  </si>
  <si>
    <t>Baltimore : Johns Hopkins University Press, [1985]</t>
  </si>
  <si>
    <t>2018-04-06</t>
  </si>
  <si>
    <t>54669558:eng</t>
  </si>
  <si>
    <t>11211731</t>
  </si>
  <si>
    <t>ocm11211731</t>
  </si>
  <si>
    <t>3102751749P</t>
  </si>
  <si>
    <t>9780801830068</t>
  </si>
  <si>
    <t>792763270</t>
  </si>
  <si>
    <t>3102751753N</t>
  </si>
  <si>
    <t>792763271</t>
  </si>
  <si>
    <t>P99 O84 1992</t>
  </si>
  <si>
    <t>0                      P  0099000O  84          1992</t>
  </si>
  <si>
    <t>Voir et savoir : la perception des univers du discours / Pierre Ouellet.</t>
  </si>
  <si>
    <t>Ouellet, Pierre, 1950-</t>
  </si>
  <si>
    <t>Candiac, Québec : Editions Balzac, ©1992.</t>
  </si>
  <si>
    <t>Collection L'Univers des discours</t>
  </si>
  <si>
    <t>29712827:fre</t>
  </si>
  <si>
    <t>31865714</t>
  </si>
  <si>
    <t>ocm31865714</t>
  </si>
  <si>
    <t>3102751747P</t>
  </si>
  <si>
    <t>9782921425247</t>
  </si>
  <si>
    <t>793369809</t>
  </si>
  <si>
    <t>P99 P4 1977</t>
  </si>
  <si>
    <t>0                      P  0099000P  4           1977</t>
  </si>
  <si>
    <t>Semiotic and significs : the correspondence between Charles S. Peirce and Lady Victoria Welby / edited by Charles S. Hardwick, with the assistance of James Cook.</t>
  </si>
  <si>
    <t>Bloomington : Indiana University Press, ©1977.</t>
  </si>
  <si>
    <t>889401428:eng</t>
  </si>
  <si>
    <t>2401585</t>
  </si>
  <si>
    <t>ocm02401585</t>
  </si>
  <si>
    <t>3102751834O</t>
  </si>
  <si>
    <t>9780253351630</t>
  </si>
  <si>
    <t>792117203</t>
  </si>
  <si>
    <t>P99 P457 2011</t>
  </si>
  <si>
    <t>0                      P  0099000P  457         2011</t>
  </si>
  <si>
    <t>Performances et objets culturels : nouvelles perspectives / sous la direction de Louise Hébert et Lucie Guillemette.</t>
  </si>
  <si>
    <t>Québec : Presses de l'Université Laval, 2011.</t>
  </si>
  <si>
    <t>Vie des signes. Série Actes</t>
  </si>
  <si>
    <t>1080552715:fre</t>
  </si>
  <si>
    <t>777303848</t>
  </si>
  <si>
    <t>ocn777303848</t>
  </si>
  <si>
    <t>3103326778V</t>
  </si>
  <si>
    <t>9782763790558</t>
  </si>
  <si>
    <t>794908650</t>
  </si>
  <si>
    <t>P99 P464 2012</t>
  </si>
  <si>
    <t>0                      P  0099000P  464         2012</t>
  </si>
  <si>
    <t>Expression and interpretation in language / Susan Petrilli ; with an foreword by Vincent Colapietro.</t>
  </si>
  <si>
    <t>Petrilli, Susan.</t>
  </si>
  <si>
    <t>New Brunswick, N.J. : Transaction Publishers, ©2012.</t>
  </si>
  <si>
    <t>5618322639:eng</t>
  </si>
  <si>
    <t>717297965</t>
  </si>
  <si>
    <t>ocn717297965</t>
  </si>
  <si>
    <t>31033957632</t>
  </si>
  <si>
    <t>9781412842631</t>
  </si>
  <si>
    <t>794874173</t>
  </si>
  <si>
    <t>P99 P4688 2010</t>
  </si>
  <si>
    <t>0                      P  0099000P  4688        2010</t>
  </si>
  <si>
    <t>Sign crossroads in global perspective : semioethics and responsibility / Susan Petrilli ; John Deely, editor.</t>
  </si>
  <si>
    <t>New Brunswick, N.J. : Transaction Publishers, 2010.</t>
  </si>
  <si>
    <t>2017-07-17</t>
  </si>
  <si>
    <t>234861019:eng</t>
  </si>
  <si>
    <t>351324680</t>
  </si>
  <si>
    <t>ocn351324680</t>
  </si>
  <si>
    <t>31037484620</t>
  </si>
  <si>
    <t>9781412810678</t>
  </si>
  <si>
    <t>794491448</t>
  </si>
  <si>
    <t>P99 P48 2005</t>
  </si>
  <si>
    <t>0                      P  0099000P  48          2005</t>
  </si>
  <si>
    <t>Semiotics unbounded : interpretive routes through the open network of signs / Susan Petrilli and Augusto Ponzio.</t>
  </si>
  <si>
    <t>Toronto ; Buffalo : University of Toronto Press, ©2005.</t>
  </si>
  <si>
    <t>2017-04-13</t>
  </si>
  <si>
    <t>14470679:eng</t>
  </si>
  <si>
    <t>56319279</t>
  </si>
  <si>
    <t>ocm56319279</t>
  </si>
  <si>
    <t>3102531057T</t>
  </si>
  <si>
    <t>9780802087652</t>
  </si>
  <si>
    <t>793890550</t>
  </si>
  <si>
    <t>P99 P488 2013</t>
  </si>
  <si>
    <t>0                      P  0099000P  488         2013</t>
  </si>
  <si>
    <t>Look at the bunny : totem, taboo, technology / Dominic Pettman.</t>
  </si>
  <si>
    <t>Pettman, Dominic, author.</t>
  </si>
  <si>
    <t>Ropley : Zero, 2013.</t>
  </si>
  <si>
    <t>2013-10-31</t>
  </si>
  <si>
    <t>1190266749:eng</t>
  </si>
  <si>
    <t>824726549</t>
  </si>
  <si>
    <t>ocn824726549</t>
  </si>
  <si>
    <t>3103500972A</t>
  </si>
  <si>
    <t>9781780991399</t>
  </si>
  <si>
    <t>794938199</t>
  </si>
  <si>
    <t>P99 P5613 1993</t>
  </si>
  <si>
    <t>0                      P  0099000P  5613        1993</t>
  </si>
  <si>
    <t>Signs, dialogue, and ideology / Augusto Ponzio ; edited and translated from Italian by Susan Petrilli.</t>
  </si>
  <si>
    <t>Ponzio, Augusto.</t>
  </si>
  <si>
    <t>Amsterdam ; Philadelphia : J. Benjamins, 1993.</t>
  </si>
  <si>
    <t>Critical theory, 0920-3060 ; v. 11</t>
  </si>
  <si>
    <t>2019-06-12</t>
  </si>
  <si>
    <t>31561373:eng</t>
  </si>
  <si>
    <t>28891461</t>
  </si>
  <si>
    <t>ocm28891461</t>
  </si>
  <si>
    <t>3102751827Q</t>
  </si>
  <si>
    <t>9789027224217</t>
  </si>
  <si>
    <t>793298759</t>
  </si>
  <si>
    <t>P99 P77 2010</t>
  </si>
  <si>
    <t>0                      P  0099000P  77          2010</t>
  </si>
  <si>
    <t>Essays in contemporary semiotics / Sergei G. Proskurin.</t>
  </si>
  <si>
    <t>Proskurin, S. G. (Sergeĭ Gennadʹevich)</t>
  </si>
  <si>
    <t>Ottawa : Legas, c2010.</t>
  </si>
  <si>
    <t>Language, media &amp; education studies ; 50</t>
  </si>
  <si>
    <t>674462718:eng</t>
  </si>
  <si>
    <t>667805544</t>
  </si>
  <si>
    <t>ocn667805544</t>
  </si>
  <si>
    <t>3103267729N</t>
  </si>
  <si>
    <t>9781897493212</t>
  </si>
  <si>
    <t>794845662</t>
  </si>
  <si>
    <t>P99 R514 1983</t>
  </si>
  <si>
    <t>0                      P  0099000R  514         1983</t>
  </si>
  <si>
    <t>Sémiotique de la poésie / Michael Riffaterre ; traduit de l'anglais par Jean-Jacques Thomas.</t>
  </si>
  <si>
    <t>Paris : Seuil, ©1983.</t>
  </si>
  <si>
    <t>Collection Poétique</t>
  </si>
  <si>
    <t>421755:fre</t>
  </si>
  <si>
    <t>9871975</t>
  </si>
  <si>
    <t>ocm09871975</t>
  </si>
  <si>
    <t>31025084426</t>
  </si>
  <si>
    <t>9782020063357</t>
  </si>
  <si>
    <t>792697618</t>
  </si>
  <si>
    <t>3102542753$</t>
  </si>
  <si>
    <t>792697619</t>
  </si>
  <si>
    <t>P99 R63 1987</t>
  </si>
  <si>
    <t>0                      P  0099000R  63          1987</t>
  </si>
  <si>
    <t>Signifying nothing : the semiotics of zero / Brian Rotman.</t>
  </si>
  <si>
    <t>Rotman, B. (Brian)</t>
  </si>
  <si>
    <t>Houndmills, Basingstoke, Hampshire : Macmillan, 1987.</t>
  </si>
  <si>
    <t>Language, discourse, society</t>
  </si>
  <si>
    <t>352239:eng</t>
  </si>
  <si>
    <t>16873819</t>
  </si>
  <si>
    <t>ocm16873819</t>
  </si>
  <si>
    <t>3102751817S</t>
  </si>
  <si>
    <t>9780333439203</t>
  </si>
  <si>
    <t>792975952</t>
  </si>
  <si>
    <t>P99 R643 2010</t>
  </si>
  <si>
    <t>0                      P  0099000R  643         2010</t>
  </si>
  <si>
    <t>The Routledge companion to semiotics / edited by Paul Cobley.</t>
  </si>
  <si>
    <t>3132657113:eng</t>
  </si>
  <si>
    <t>166361601</t>
  </si>
  <si>
    <t>ocn166361601</t>
  </si>
  <si>
    <t>3102859609Z</t>
  </si>
  <si>
    <t>9780415440721</t>
  </si>
  <si>
    <t>794260674</t>
  </si>
  <si>
    <t>P99 S346 1994</t>
  </si>
  <si>
    <t>0                      P  0099000S  346         1994</t>
  </si>
  <si>
    <t>Signs : an introduction to semiotics / Thomas A. Sebeok.</t>
  </si>
  <si>
    <t>Sebeok, Thomas A. (Thomas Albert), 1920-2001.</t>
  </si>
  <si>
    <t>Toronto ; Buffalo : University of Toronto Press, ©1994.</t>
  </si>
  <si>
    <t>Toronto studies in semiotics</t>
  </si>
  <si>
    <t>283800868:eng</t>
  </si>
  <si>
    <t>29308033</t>
  </si>
  <si>
    <t>ocm29308033</t>
  </si>
  <si>
    <t>3102751876G</t>
  </si>
  <si>
    <t>9780802029584</t>
  </si>
  <si>
    <t>793307369</t>
  </si>
  <si>
    <t>P99 S346 2001</t>
  </si>
  <si>
    <t>0                      P  0099000S  346         2001</t>
  </si>
  <si>
    <t>Toronto ; Buffalo : University of Toronto Press, 2001.</t>
  </si>
  <si>
    <t>47270781</t>
  </si>
  <si>
    <t>ocm47270781</t>
  </si>
  <si>
    <t>3102751804U</t>
  </si>
  <si>
    <t>9780802036346</t>
  </si>
  <si>
    <t>793702310</t>
  </si>
  <si>
    <t>P99 S36886 2010</t>
  </si>
  <si>
    <t>0                      P  0099000S  36886       2010</t>
  </si>
  <si>
    <t>Semiosis and catastrophes : René Thom's semiotic heritage / Wolfgang Wildgen &amp; Per Aage Brandt (eds.).</t>
  </si>
  <si>
    <t>Bern ; New York : Peter Lang, ©2010.</t>
  </si>
  <si>
    <t>European semiotics : language, cognition, and culture = sémiotiques Européennes : langage, cognition et culture ; v. 10</t>
  </si>
  <si>
    <t>628848006:eng</t>
  </si>
  <si>
    <t>663447759</t>
  </si>
  <si>
    <t>ocn663447759</t>
  </si>
  <si>
    <t>3103233827E</t>
  </si>
  <si>
    <t>9783034304672</t>
  </si>
  <si>
    <t>794838063</t>
  </si>
  <si>
    <t>P99 S3814 1989</t>
  </si>
  <si>
    <t>0                      P  0099000S  3814        1989</t>
  </si>
  <si>
    <t>The Semiotic bridge : trends from California / edited by Irmengard Rauch, Gerald F. Carr.</t>
  </si>
  <si>
    <t>Approaches to semiotics ; 86</t>
  </si>
  <si>
    <t>897848652:eng</t>
  </si>
  <si>
    <t>19885271</t>
  </si>
  <si>
    <t>ocm19885271</t>
  </si>
  <si>
    <t>3102751795F</t>
  </si>
  <si>
    <t>9780899256269</t>
  </si>
  <si>
    <t>793071288</t>
  </si>
  <si>
    <t>P99 S38148 2010</t>
  </si>
  <si>
    <t>0                      P  0099000S  38148       2010</t>
  </si>
  <si>
    <t>Semiotic landscapes : language, image, space / edited by Adam Jaworski and Crispin Thurlow.</t>
  </si>
  <si>
    <t>London ; New York : Continuum International Publishing Group, ©2010.</t>
  </si>
  <si>
    <t>2014-05-28</t>
  </si>
  <si>
    <t>1044437102:eng</t>
  </si>
  <si>
    <t>610165174</t>
  </si>
  <si>
    <t>ocn610165174</t>
  </si>
  <si>
    <t>31031331294</t>
  </si>
  <si>
    <t>9781847061829</t>
  </si>
  <si>
    <t>794820503</t>
  </si>
  <si>
    <t>P99 S3873 1985</t>
  </si>
  <si>
    <t>0                      P  0099000S  3873        1985</t>
  </si>
  <si>
    <t>Semiotics : an introductory anthology / edited with introductions by Robert E. Innis.</t>
  </si>
  <si>
    <t>Bloomington : Indiana University Press, ©1985.</t>
  </si>
  <si>
    <t>799330261:eng</t>
  </si>
  <si>
    <t>10850401</t>
  </si>
  <si>
    <t>ocm10850401</t>
  </si>
  <si>
    <t>3102751870G</t>
  </si>
  <si>
    <t>9780253351623</t>
  </si>
  <si>
    <t>792746459</t>
  </si>
  <si>
    <t>P99 S3887 2000</t>
  </si>
  <si>
    <t>0                      P  0099000S  3887        2000</t>
  </si>
  <si>
    <t>Semiotics as a bridge between the humanities and the sciences / edited by Paul Perron ... [et al.].</t>
  </si>
  <si>
    <t>New York ; Ottawa : Legas, c2000.</t>
  </si>
  <si>
    <t>Language, media &amp; education studies ; 16</t>
  </si>
  <si>
    <t>34352509:eng</t>
  </si>
  <si>
    <t>44905874</t>
  </si>
  <si>
    <t>ocm44905874</t>
  </si>
  <si>
    <t>3102751866I</t>
  </si>
  <si>
    <t>9781894508117</t>
  </si>
  <si>
    <t>793660234</t>
  </si>
  <si>
    <t>P99 S389</t>
  </si>
  <si>
    <t>0                      P  0099000S  389</t>
  </si>
  <si>
    <t>Semiotics of culture / edited by Irene Portis Winner, Jean Umiker-Sebeok.</t>
  </si>
  <si>
    <t>The Hague ; New York : Mouton, ©1979.</t>
  </si>
  <si>
    <t>Approaches to semiotics ; 53</t>
  </si>
  <si>
    <t>2019-09-01</t>
  </si>
  <si>
    <t>365110693:eng</t>
  </si>
  <si>
    <t>13966229</t>
  </si>
  <si>
    <t>ocm13966229</t>
  </si>
  <si>
    <t>3102751865I</t>
  </si>
  <si>
    <t>9789027979889</t>
  </si>
  <si>
    <t>792873221</t>
  </si>
  <si>
    <t>P99 S393 2010</t>
  </si>
  <si>
    <t>0                      P  0099000S  393         2010</t>
  </si>
  <si>
    <t>Semiotics 2009 : the semiotics of time : proceedings of the 34th Annual Meeting of the Semiotic Society of America, 15-19 October 2009 / edited by Karen Haworth, Jason Hogue, Leonard G. Sbrocchi.</t>
  </si>
  <si>
    <t>Ottawa : Legas, ©2010.</t>
  </si>
  <si>
    <t>2014-03-13</t>
  </si>
  <si>
    <t>1784218069:eng</t>
  </si>
  <si>
    <t>664424255</t>
  </si>
  <si>
    <t>ocn664424255</t>
  </si>
  <si>
    <t>3103267410Y</t>
  </si>
  <si>
    <t>9781897493199</t>
  </si>
  <si>
    <t>794843492</t>
  </si>
  <si>
    <t>P99 S394 1989</t>
  </si>
  <si>
    <t>0                      P  0099000S  394         1989</t>
  </si>
  <si>
    <t>Semiotics, self, and society / edited by Benjamin Lee, Greg Urban.</t>
  </si>
  <si>
    <t>Approaches to semiotics ; 84</t>
  </si>
  <si>
    <t>346092847:eng</t>
  </si>
  <si>
    <t>19723663</t>
  </si>
  <si>
    <t>ocm19723663</t>
  </si>
  <si>
    <t>3102751862I</t>
  </si>
  <si>
    <t>9780899255606</t>
  </si>
  <si>
    <t>793067000</t>
  </si>
  <si>
    <t>P99 S39425 2011</t>
  </si>
  <si>
    <t>0                      P  0099000S  39425       2011</t>
  </si>
  <si>
    <t>Semiotics continues to astonish : Thomas A. Sebeok and the doctrine of signs / edited by Paul Cobley [and others].</t>
  </si>
  <si>
    <t>Semiotics, communication and cognition ; 7</t>
  </si>
  <si>
    <t>865585204:eng</t>
  </si>
  <si>
    <t>712127496</t>
  </si>
  <si>
    <t>ocn712127496</t>
  </si>
  <si>
    <t>3103384062W</t>
  </si>
  <si>
    <t>9783110253191</t>
  </si>
  <si>
    <t>794871839</t>
  </si>
  <si>
    <t>P99 S462 2006</t>
  </si>
  <si>
    <t>0                      P  0099000S  462         2006</t>
  </si>
  <si>
    <t>Signs, mind, and reality : a theory of language as the folk model of the world / Sebastian Shaumyan.</t>
  </si>
  <si>
    <t>Shaumyan, Sebastian.</t>
  </si>
  <si>
    <t>Amsterdam ; Philadelphia, PA : J. Benjamins, ©2006.</t>
  </si>
  <si>
    <t>Advances in consciousness research, 1381-589X ; v. 65</t>
  </si>
  <si>
    <t>807331012:eng</t>
  </si>
  <si>
    <t>64453556</t>
  </si>
  <si>
    <t>ocm64453556</t>
  </si>
  <si>
    <t>31025785229</t>
  </si>
  <si>
    <t>9789027252012</t>
  </si>
  <si>
    <t>794129534</t>
  </si>
  <si>
    <t>P99 S47</t>
  </si>
  <si>
    <t>0                      P  0099000S  47</t>
  </si>
  <si>
    <t>Sight, sound, and sense / edited by Thomas A. Sebeok.</t>
  </si>
  <si>
    <t>Bloomington : Indiana University Press, ©1978.</t>
  </si>
  <si>
    <t>3857799431:eng</t>
  </si>
  <si>
    <t>3168432</t>
  </si>
  <si>
    <t>ocm03168432</t>
  </si>
  <si>
    <t>3102751857K</t>
  </si>
  <si>
    <t>DISPATCHED</t>
  </si>
  <si>
    <t>9780253352309</t>
  </si>
  <si>
    <t>792225096</t>
  </si>
  <si>
    <t>P99 S484 1984</t>
  </si>
  <si>
    <t>0                      P  0099000S  484         1984</t>
  </si>
  <si>
    <t>Sign, system, and function : papers of the first and second Polish-American semiotics colloquia / edited by Jerzy Pelc [and others].</t>
  </si>
  <si>
    <t>Approaches to semiotics ; 67</t>
  </si>
  <si>
    <t>437093733:eng</t>
  </si>
  <si>
    <t>10484080</t>
  </si>
  <si>
    <t>ocm10484080</t>
  </si>
  <si>
    <t>3102751856K</t>
  </si>
  <si>
    <t>9789027932709</t>
  </si>
  <si>
    <t>792728544</t>
  </si>
  <si>
    <t>P99 S494</t>
  </si>
  <si>
    <t>0                      P  0099000S  494</t>
  </si>
  <si>
    <t>The Signifying animal : the grammar of language and experience / edited by Irmengard Rauch and Gerald F. Carr.</t>
  </si>
  <si>
    <t>Bloomington : Indiana University Press, ©1980.</t>
  </si>
  <si>
    <t>909676706:eng</t>
  </si>
  <si>
    <t>6278163</t>
  </si>
  <si>
    <t>ocm06278163</t>
  </si>
  <si>
    <t>3102751855K</t>
  </si>
  <si>
    <t>9780253184962</t>
  </si>
  <si>
    <t>792487578</t>
  </si>
  <si>
    <t>P99 S52 1983</t>
  </si>
  <si>
    <t>0                      P  0099000S  52          1983</t>
  </si>
  <si>
    <t>The subject of semiotics / Kaja Silverman.</t>
  </si>
  <si>
    <t>Silverman, Kaja.</t>
  </si>
  <si>
    <t>New York : Oxford University Press, 1983.</t>
  </si>
  <si>
    <t>2012-09-12</t>
  </si>
  <si>
    <t>2019-08-30</t>
  </si>
  <si>
    <t>87431:eng</t>
  </si>
  <si>
    <t>8345645</t>
  </si>
  <si>
    <t>ocm08345645</t>
  </si>
  <si>
    <t>3102751853K</t>
  </si>
  <si>
    <t>9780195031775</t>
  </si>
  <si>
    <t>792614200</t>
  </si>
  <si>
    <t>2012-10-01</t>
  </si>
  <si>
    <t>3102751854K</t>
  </si>
  <si>
    <t>792614198</t>
  </si>
  <si>
    <t>31034399478</t>
  </si>
  <si>
    <t>792614199</t>
  </si>
  <si>
    <t>P99 S59 2010</t>
  </si>
  <si>
    <t>0                      P  0099000S  59          2010</t>
  </si>
  <si>
    <t>Signals : evolution, learning, &amp; information / Brian Skyrms.</t>
  </si>
  <si>
    <t>Skyrms, Brian.</t>
  </si>
  <si>
    <t>2017-10-14</t>
  </si>
  <si>
    <t>793953985:eng</t>
  </si>
  <si>
    <t>477256653</t>
  </si>
  <si>
    <t>ocn477256653</t>
  </si>
  <si>
    <t>3103243133S</t>
  </si>
  <si>
    <t>9780199580828</t>
  </si>
  <si>
    <t>794798908</t>
  </si>
  <si>
    <t>P99 S6</t>
  </si>
  <si>
    <t>0                      P  0099000S  6</t>
  </si>
  <si>
    <t>Soviet semiotics : an anthology / edited, translated, with an introd. by Daniel P. Lucid.</t>
  </si>
  <si>
    <t>Baltimore : Johns Hopkins University Press, [1977]</t>
  </si>
  <si>
    <t>865726365:eng</t>
  </si>
  <si>
    <t>3034701</t>
  </si>
  <si>
    <t>ocm03034701</t>
  </si>
  <si>
    <t>3102751848M</t>
  </si>
  <si>
    <t>9780801819803</t>
  </si>
  <si>
    <t>792209086</t>
  </si>
  <si>
    <t>P99 S65 2015</t>
  </si>
  <si>
    <t>0                      P  0099000S  65          2015</t>
  </si>
  <si>
    <t>A theory of general semiotics : the science of signs, sign-systems, and semiotic reality / Abraham Solomonick ; English editor: Libby Schwartz.</t>
  </si>
  <si>
    <t>Solomoniḳ, Avraham, author.</t>
  </si>
  <si>
    <t>Newcastle upon Tyne : Cambridge Scholars Publishing, 2015.</t>
  </si>
  <si>
    <t>2621500168:eng</t>
  </si>
  <si>
    <t>914463654</t>
  </si>
  <si>
    <t>ocn914463654</t>
  </si>
  <si>
    <t>31036076118</t>
  </si>
  <si>
    <t>9781443877183</t>
  </si>
  <si>
    <t>795000230</t>
  </si>
  <si>
    <t>P99 S655 2011</t>
  </si>
  <si>
    <t>0                      P  0099000S  655         2011</t>
  </si>
  <si>
    <t>Re-covered rose : a case study in book cover design as intersemiotic translation / Marco Sonzogni.</t>
  </si>
  <si>
    <t>Sonzogni, Marco, 1971- author.</t>
  </si>
  <si>
    <t>Amsterdam ; Philadelphia : John Benjamins Publishing Company, [2011]</t>
  </si>
  <si>
    <t>1008677155:eng</t>
  </si>
  <si>
    <t>751250569</t>
  </si>
  <si>
    <t>ocn751250569</t>
  </si>
  <si>
    <t>31033947538</t>
  </si>
  <si>
    <t>9789027211903</t>
  </si>
  <si>
    <t>794890357</t>
  </si>
  <si>
    <t>P99 S6638 2012</t>
  </si>
  <si>
    <t>0                      P  0099000S  6638        2012</t>
  </si>
  <si>
    <t>Meaning in communication, cognition and reality : outline of a theory from semiotics, philosophy and sociology / Martin Staude.</t>
  </si>
  <si>
    <t>Staude, Martin.</t>
  </si>
  <si>
    <t>Exeter, UK ; Charlottesville, VA : Imprint Academic, ©2012.</t>
  </si>
  <si>
    <t>1060355933:eng</t>
  </si>
  <si>
    <t>768072714</t>
  </si>
  <si>
    <t>ocn768072714</t>
  </si>
  <si>
    <t>31034576847</t>
  </si>
  <si>
    <t>9781845402297</t>
  </si>
  <si>
    <t>794901897</t>
  </si>
  <si>
    <t>P99 S937 1988</t>
  </si>
  <si>
    <t>0                      P  0099000S  937         1988</t>
  </si>
  <si>
    <t>The pragmatics and semiotics of standard languages / Albert M. Sweet.</t>
  </si>
  <si>
    <t>Sweet, Albert M.</t>
  </si>
  <si>
    <t>University Park : Pennsylvania State University Press, ©1988.</t>
  </si>
  <si>
    <t>13214604:eng</t>
  </si>
  <si>
    <t>17107126</t>
  </si>
  <si>
    <t>ocm17107126</t>
  </si>
  <si>
    <t>3102751839O</t>
  </si>
  <si>
    <t>9780271006307</t>
  </si>
  <si>
    <t>792982545</t>
  </si>
  <si>
    <t>P99 T22 1998</t>
  </si>
  <si>
    <t>0                      P  0099000T  22          1998</t>
  </si>
  <si>
    <t>Architectonics of semiosis / Edwina Taborsky.</t>
  </si>
  <si>
    <t>Taborsky, Edwina, 1940-</t>
  </si>
  <si>
    <t>New York : St. Martin's Press, 1998.</t>
  </si>
  <si>
    <t>Semaphores and signs</t>
  </si>
  <si>
    <t>25349431:eng</t>
  </si>
  <si>
    <t>39215878</t>
  </si>
  <si>
    <t>ocm39215878</t>
  </si>
  <si>
    <t>3102751843M</t>
  </si>
  <si>
    <t>9780312216573</t>
  </si>
  <si>
    <t>793540860</t>
  </si>
  <si>
    <t>P99 T29 2000</t>
  </si>
  <si>
    <t>0                      P  0099000T  29          2000</t>
  </si>
  <si>
    <t>Existential semiotics / Eero Tarasti.</t>
  </si>
  <si>
    <t>Tarasti, Eero.</t>
  </si>
  <si>
    <t>44577136:eng</t>
  </si>
  <si>
    <t>43567594</t>
  </si>
  <si>
    <t>ocm43567594</t>
  </si>
  <si>
    <t>3102751841M</t>
  </si>
  <si>
    <t>9780253337221</t>
  </si>
  <si>
    <t>793629784</t>
  </si>
  <si>
    <t>P99 T39 1988</t>
  </si>
  <si>
    <t>0                      P  0099000T  39          1988</t>
  </si>
  <si>
    <t>Semiotics from Peirce to Barthes : a conceptual introduction to the study of communication, interpretation, and expression / by V. Tejera.</t>
  </si>
  <si>
    <t>Tejera, V. (Victorino)</t>
  </si>
  <si>
    <t>Leiden ; New York : E.J. Brill, 1988.</t>
  </si>
  <si>
    <t>918454596:eng</t>
  </si>
  <si>
    <t>16754918</t>
  </si>
  <si>
    <t>ocm16754918</t>
  </si>
  <si>
    <t>3102751840M</t>
  </si>
  <si>
    <t>9789004085978</t>
  </si>
  <si>
    <t>792971371</t>
  </si>
  <si>
    <t>P99 T6</t>
  </si>
  <si>
    <t>0                      P  0099000T  6</t>
  </si>
  <si>
    <t>Théories du symbole / Tzvetan Todorov.</t>
  </si>
  <si>
    <t>Todorov, Tzvetan, 1939-2017.</t>
  </si>
  <si>
    <t>Paris : Éditions du Seuil, ©1977.</t>
  </si>
  <si>
    <t>450426:fre</t>
  </si>
  <si>
    <t>3481823</t>
  </si>
  <si>
    <t>ocm03481823</t>
  </si>
  <si>
    <t>3102751922N</t>
  </si>
  <si>
    <t>9782020046060</t>
  </si>
  <si>
    <t>792259877</t>
  </si>
  <si>
    <t>P99 W427 2012</t>
  </si>
  <si>
    <t>0                      P  0099000W  427         2012</t>
  </si>
  <si>
    <t>Kong fu hao lun / Wei Shilin zhu = The theory of blank-sign / [by] Wei Shi-lin.</t>
  </si>
  <si>
    <t>Wei, Shilin, 1948-</t>
  </si>
  <si>
    <t>Beijing : Ren min chu ban she, 2012.</t>
  </si>
  <si>
    <t>Yunnan shi fan da xue xue shu wen ku.</t>
  </si>
  <si>
    <t>1203614711:chi</t>
  </si>
  <si>
    <t>824821988</t>
  </si>
  <si>
    <t>ocn824821988</t>
  </si>
  <si>
    <t>31034868026</t>
  </si>
  <si>
    <t>9787010104577</t>
  </si>
  <si>
    <t>794938296</t>
  </si>
  <si>
    <t>P99 Y45 2013</t>
  </si>
  <si>
    <t>0                      P  0099000Y  45          2013</t>
  </si>
  <si>
    <t>Semiotics of religion : signs of the sacred in history / Robert A. Yelle.</t>
  </si>
  <si>
    <t>Yelle, Robert A.</t>
  </si>
  <si>
    <t>London : Continuum International Pub. Group, 2012.</t>
  </si>
  <si>
    <t>1177009114:eng</t>
  </si>
  <si>
    <t>777652908</t>
  </si>
  <si>
    <t>ocn777652908</t>
  </si>
  <si>
    <t>3103457893$</t>
  </si>
  <si>
    <t>9781441142825</t>
  </si>
  <si>
    <t>794908997</t>
  </si>
  <si>
    <t>P99.37 F8 R67 2001</t>
  </si>
  <si>
    <t>0                      P  0099370F  8                  R  67          2001</t>
  </si>
  <si>
    <t>A revolution in language : the problem of signs in late eighteenth-century France / Sophia Rosenfeld.</t>
  </si>
  <si>
    <t>Rosenfeld, Sophia A.</t>
  </si>
  <si>
    <t>793904515:eng</t>
  </si>
  <si>
    <t>46421996</t>
  </si>
  <si>
    <t>ocm46421996</t>
  </si>
  <si>
    <t>3102751902R</t>
  </si>
  <si>
    <t>9780804733144</t>
  </si>
  <si>
    <t>793684379</t>
  </si>
  <si>
    <t>P99.37 G3 G35 2006</t>
  </si>
  <si>
    <t>0                      P  0099370G  3                  G  35          2006</t>
  </si>
  <si>
    <t>Passions of the sign : revolution and language in Kant, Goethe, and Kleist / Andreas Gailus.</t>
  </si>
  <si>
    <t>Gailus, Andreas.</t>
  </si>
  <si>
    <t>Baltimore : The Johns Hopkins University Press, ©2006.</t>
  </si>
  <si>
    <t>2016-02-14</t>
  </si>
  <si>
    <t>794169812:eng</t>
  </si>
  <si>
    <t>60402021</t>
  </si>
  <si>
    <t>ocm60402021</t>
  </si>
  <si>
    <t>3102642658X</t>
  </si>
  <si>
    <t>9780801882777</t>
  </si>
  <si>
    <t>793937127</t>
  </si>
  <si>
    <t>P99.37 J3 R36 2013</t>
  </si>
  <si>
    <t>0                      P  0099370J  3                  R  36          2013</t>
  </si>
  <si>
    <t>A Buddhist theory of semiotics : signs, ontology, and salvation in Japanese esoteric Buddhism / Fabio Rambelli.</t>
  </si>
  <si>
    <t>Rambelli, Fabio, author.</t>
  </si>
  <si>
    <t>London ; New York : Bloomsbury Academic, An imprint of Bloomsbury Pub. Plc, 2013.</t>
  </si>
  <si>
    <t>Bloomsbury advances in semiotics</t>
  </si>
  <si>
    <t>1182319720:eng</t>
  </si>
  <si>
    <t>820942364</t>
  </si>
  <si>
    <t>ocn820942364</t>
  </si>
  <si>
    <t>3103456738I</t>
  </si>
  <si>
    <t>9781441177773</t>
  </si>
  <si>
    <t>794935889</t>
  </si>
  <si>
    <t>P99.37 R8 U83 2012</t>
  </si>
  <si>
    <t>0                      P  0099370R  8                  U  83          2012</t>
  </si>
  <si>
    <t>"Tsar and God" and other essays in Russian cultural semiotics / Boris Uspenskij and Victor Zhivov ; translated from Russian by Marcus C. Levitt, David Budgen, and Liv Bliss ; edited by Marcus C. Levitt.</t>
  </si>
  <si>
    <t>Uspenskiĭ, Boris Andreevich.</t>
  </si>
  <si>
    <t>Boston : Academic Studies Press, 2012.</t>
  </si>
  <si>
    <t>Ars Rossika</t>
  </si>
  <si>
    <t>2014-03-21</t>
  </si>
  <si>
    <t>1203059970:eng</t>
  </si>
  <si>
    <t>824603250</t>
  </si>
  <si>
    <t>ocn824603250</t>
  </si>
  <si>
    <t>3103486953U</t>
  </si>
  <si>
    <t>9781936235490</t>
  </si>
  <si>
    <t>794937964</t>
  </si>
  <si>
    <t>2013-07-29</t>
  </si>
  <si>
    <t>31034552114</t>
  </si>
  <si>
    <t>794937963</t>
  </si>
  <si>
    <t>P99.4 E66 E93 2017</t>
  </si>
  <si>
    <t>0                      P  0099400E  66                 E  93          2017</t>
  </si>
  <si>
    <t>The Emoji code : the linguistics behind smiley faces and scaredy cats / Professor Vyvyan Evans.</t>
  </si>
  <si>
    <t>Evans, Vyvyan, author.</t>
  </si>
  <si>
    <t>New York : Picador, 2017.</t>
  </si>
  <si>
    <t>First U.S. edition.</t>
  </si>
  <si>
    <t>4480724964:eng</t>
  </si>
  <si>
    <t>967865772</t>
  </si>
  <si>
    <t>ocn967865772</t>
  </si>
  <si>
    <t>31037027528</t>
  </si>
  <si>
    <t>9781250129062</t>
  </si>
  <si>
    <t>795026799</t>
  </si>
  <si>
    <t>P99.4 E66 H35 2018</t>
  </si>
  <si>
    <t>0                      P  0099400E  66                 H  35          2018</t>
  </si>
  <si>
    <t>Les émoticônes et des interjections dans le tchat / Pierre Halté.</t>
  </si>
  <si>
    <t>Halté, Pierre, author.</t>
  </si>
  <si>
    <t>Limoges : Éditions Lambert-Lucas, [2018]</t>
  </si>
  <si>
    <t>5160337060:fre</t>
  </si>
  <si>
    <t>1044752328</t>
  </si>
  <si>
    <t>on1044752328</t>
  </si>
  <si>
    <t>3103785662K</t>
  </si>
  <si>
    <t>9782359352399</t>
  </si>
  <si>
    <t>795060076</t>
  </si>
  <si>
    <t>P99.4 I26 D43 2008</t>
  </si>
  <si>
    <t>0                      P  0099400I  26                 D  43          2008</t>
  </si>
  <si>
    <t>Limiting the iconic : from the metatheoretical foundations to the creative possibilities of iconicity in language / by Ludovic De Cuypere.</t>
  </si>
  <si>
    <t>De Cuypere, Ludovic.</t>
  </si>
  <si>
    <t>Amrsterdam ; Philadelphia : John Benjamins, ©2008.</t>
  </si>
  <si>
    <t>Iconicity in language and literature, 1873-5037 ; v. 6</t>
  </si>
  <si>
    <t>796519481:eng</t>
  </si>
  <si>
    <t>212628057</t>
  </si>
  <si>
    <t>ocn212628057</t>
  </si>
  <si>
    <t>3103061516U</t>
  </si>
  <si>
    <t>9789027243423</t>
  </si>
  <si>
    <t>794306089</t>
  </si>
  <si>
    <t>P99.4 I26 S96 2009</t>
  </si>
  <si>
    <t>0                      P  0099400I  26                 S  96          2009</t>
  </si>
  <si>
    <t>Semblance and signification / edited by Pascal Michelucci, Olga Fischer, Christina Ljungberg.</t>
  </si>
  <si>
    <t>Symposium on Iconicity in Language and Literature (7th : 2009 : Victoria College)</t>
  </si>
  <si>
    <t>Iconicity in language and literature ; v. 10</t>
  </si>
  <si>
    <t>2017-01-10</t>
  </si>
  <si>
    <t>918815396:eng</t>
  </si>
  <si>
    <t>733755710</t>
  </si>
  <si>
    <t>ocn733755710</t>
  </si>
  <si>
    <t>3103406312M</t>
  </si>
  <si>
    <t>9789027243461</t>
  </si>
  <si>
    <t>794882214</t>
  </si>
  <si>
    <t>P99.4 I58 N27 2015</t>
  </si>
  <si>
    <t>0                      P  0099400I  58                 N  27          2015</t>
  </si>
  <si>
    <t>Narraciones sin fronteras : transmedia storytelling en la ficción, la información, el documental y el activismo social y político / Raúl Rodríguez-Ferrándiz y Victoria Tur-Viñes (coords.) ; prólogo de Román Gubern.</t>
  </si>
  <si>
    <t>La Laguna, Tenerife : Sociedad Latina de Comunicación Social, [2015]</t>
  </si>
  <si>
    <t>Cuadernos artesanos de comunicación ; 81</t>
  </si>
  <si>
    <t>2789061217:spa</t>
  </si>
  <si>
    <t>961098026</t>
  </si>
  <si>
    <t>ocn961098026</t>
  </si>
  <si>
    <t>3103715694C</t>
  </si>
  <si>
    <t>9788415698968</t>
  </si>
  <si>
    <t>795023577</t>
  </si>
  <si>
    <t>P99.4 M6 B27 2014</t>
  </si>
  <si>
    <t>0                      P  0099400M  6                  B  27          2014</t>
  </si>
  <si>
    <t>Text and image : a critical introduction to the visual-verbal divide / John A. Bateman.</t>
  </si>
  <si>
    <t>Bateman, John A., author.</t>
  </si>
  <si>
    <t>1415380746:eng</t>
  </si>
  <si>
    <t>862589609</t>
  </si>
  <si>
    <t>ocn862589609</t>
  </si>
  <si>
    <t>3103565418O</t>
  </si>
  <si>
    <t>9780415841979</t>
  </si>
  <si>
    <t>794960457</t>
  </si>
  <si>
    <t>P99.4 M6 K55 2011</t>
  </si>
  <si>
    <t>0                      P  0099400M  6                  K  55          2011</t>
  </si>
  <si>
    <t>Multimodality and active listenership : a corpus approach / Dawn Knight.</t>
  </si>
  <si>
    <t>Knight, Dawn, 1982-</t>
  </si>
  <si>
    <t>London ; New York : Continuum International Pub. Group, ©2011.</t>
  </si>
  <si>
    <t>Corpus and discourse</t>
  </si>
  <si>
    <t>903433550:eng</t>
  </si>
  <si>
    <t>727047919</t>
  </si>
  <si>
    <t>ocn727047919</t>
  </si>
  <si>
    <t>31033814203</t>
  </si>
  <si>
    <t>9781441167231</t>
  </si>
  <si>
    <t>794877651</t>
  </si>
  <si>
    <t>P99.4 M6 M68 2014</t>
  </si>
  <si>
    <t>0                      P  0099400M  6                  M  68          2014</t>
  </si>
  <si>
    <t>A multimodal analysis of picture books for children : a systemic functional approach / Arsenio Jesús Moya Guijarro.</t>
  </si>
  <si>
    <t>Moya Guijarro, Arsenio Jesús.</t>
  </si>
  <si>
    <t>Sheffield, UK ; Bristol, CT : Equinox, 2014.</t>
  </si>
  <si>
    <t>Discussions in functional approaches to language</t>
  </si>
  <si>
    <t>1791237255:eng</t>
  </si>
  <si>
    <t>870847751</t>
  </si>
  <si>
    <t>ocn870847751</t>
  </si>
  <si>
    <t>3103580193R</t>
  </si>
  <si>
    <t>9781908049773</t>
  </si>
  <si>
    <t>794966920</t>
  </si>
  <si>
    <t>P99.4 M6 M85 2011</t>
  </si>
  <si>
    <t>0                      P  0099400M  6                  M  85          2011</t>
  </si>
  <si>
    <t>Multimodal studies : exploring issues and domains / edited by Kay L. O'Halloran and Bradley A. Smith.</t>
  </si>
  <si>
    <t>Routledge studies in multimodality ; 2</t>
  </si>
  <si>
    <t>863939084:eng</t>
  </si>
  <si>
    <t>667871883</t>
  </si>
  <si>
    <t>ocn667871883</t>
  </si>
  <si>
    <t>3103365093W</t>
  </si>
  <si>
    <t>9780415888226</t>
  </si>
  <si>
    <t>794845709</t>
  </si>
  <si>
    <t>P99.4 M6 M86 2013</t>
  </si>
  <si>
    <t>0                      P  0099400M  6                  M  86          2013</t>
  </si>
  <si>
    <t>Multimodality and Social Semiosis : Communication, Meaning-Making and Learning in the Work of Gunther Kress / edited by Margit Böck and Norbert Pachler.</t>
  </si>
  <si>
    <t>Routledge Studies in Multimodality ; 6</t>
  </si>
  <si>
    <t>1780170730:eng</t>
  </si>
  <si>
    <t>752072370</t>
  </si>
  <si>
    <t>ocn752072370</t>
  </si>
  <si>
    <t>3103499276U</t>
  </si>
  <si>
    <t>9780415508148</t>
  </si>
  <si>
    <t>794891532</t>
  </si>
  <si>
    <t>P99.4 M6 M87 2012</t>
  </si>
  <si>
    <t>0                      P  0099400M  6                  M  87          2012</t>
  </si>
  <si>
    <t>Multimodality in practice : investigating theory-in-practice-through-methodology / edited by Sigrid Norris.</t>
  </si>
  <si>
    <t>Routledge studies in multimodality ; 4</t>
  </si>
  <si>
    <t>398249028:eng</t>
  </si>
  <si>
    <t>526106558</t>
  </si>
  <si>
    <t>ocn526106558</t>
  </si>
  <si>
    <t>31033855927</t>
  </si>
  <si>
    <t>9780415880374</t>
  </si>
  <si>
    <t>794809119</t>
  </si>
  <si>
    <t>P99.4 M6 R68 2009</t>
  </si>
  <si>
    <t>0                      P  0099400M  6                  R  68          2009</t>
  </si>
  <si>
    <t>The Routledge handbook of multimodal analysis / edited by Carey Jewitt.</t>
  </si>
  <si>
    <t>141921309:eng</t>
  </si>
  <si>
    <t>244063585</t>
  </si>
  <si>
    <t>ocn244063585</t>
  </si>
  <si>
    <t>3102859806T</t>
  </si>
  <si>
    <t>9780415434379</t>
  </si>
  <si>
    <t>794380752</t>
  </si>
  <si>
    <t>P99.4 M6 R68 2014</t>
  </si>
  <si>
    <t>0                      P  0099400M  6                  R  68          2014</t>
  </si>
  <si>
    <t>844073906</t>
  </si>
  <si>
    <t>ocn844073906</t>
  </si>
  <si>
    <t>3103503727E</t>
  </si>
  <si>
    <t>9780415519748</t>
  </si>
  <si>
    <t>794948402</t>
  </si>
  <si>
    <t>P99.4 M6 R69 2013</t>
  </si>
  <si>
    <t>0                      P  0099400M  6                  R  69          2013</t>
  </si>
  <si>
    <t>Working with multimodality : rethinking literacy in a digital age / Jennifer Rowsell.</t>
  </si>
  <si>
    <t>Rowsell, Jennifer, 1969-</t>
  </si>
  <si>
    <t>1171475966:eng</t>
  </si>
  <si>
    <t>778425246</t>
  </si>
  <si>
    <t>ocn778425246</t>
  </si>
  <si>
    <t>3103457429P</t>
  </si>
  <si>
    <t>9780415676236</t>
  </si>
  <si>
    <t>794909963</t>
  </si>
  <si>
    <t>P99.4 P72 A35 2013</t>
  </si>
  <si>
    <t>0                      P  0099400P  72                 A  35          2013</t>
  </si>
  <si>
    <t>Understanding pragmatic markers : a variational pragmatic approach / Karin Aijmer.</t>
  </si>
  <si>
    <t>Aijmer, Karin, author.</t>
  </si>
  <si>
    <t>1020559132:eng</t>
  </si>
  <si>
    <t>761380436</t>
  </si>
  <si>
    <t>ocn761380436</t>
  </si>
  <si>
    <t>3103500285T</t>
  </si>
  <si>
    <t>9780748635498</t>
  </si>
  <si>
    <t>794899304</t>
  </si>
  <si>
    <t>P99.4 P72 A747 2010</t>
  </si>
  <si>
    <t>0                      P  0099400P  72                 A  747         2010</t>
  </si>
  <si>
    <t>Defining pragmatics / Mira Ariel.</t>
  </si>
  <si>
    <t>Ariel, Mira.</t>
  </si>
  <si>
    <t>Research surveys in linguistics</t>
  </si>
  <si>
    <t>2011-11-20</t>
  </si>
  <si>
    <t>411998398:eng</t>
  </si>
  <si>
    <t>606235181</t>
  </si>
  <si>
    <t>ocn606235181</t>
  </si>
  <si>
    <t>3103134395H</t>
  </si>
  <si>
    <t>9780521517836</t>
  </si>
  <si>
    <t>794816811</t>
  </si>
  <si>
    <t>P99.4 P72 A75 2008</t>
  </si>
  <si>
    <t>0                      P  0099400P  72                 A  75          2008</t>
  </si>
  <si>
    <t>Pragmatics and grammar / Mira Ariel.</t>
  </si>
  <si>
    <t>Cambridge, UK ; New York : Cambridge University Press, 2008.</t>
  </si>
  <si>
    <t>Cambridge textbooks in linguistics</t>
  </si>
  <si>
    <t>119840572:eng</t>
  </si>
  <si>
    <t>191927139</t>
  </si>
  <si>
    <t>ocn191927139</t>
  </si>
  <si>
    <t>3102853509P</t>
  </si>
  <si>
    <t>9780521550185</t>
  </si>
  <si>
    <t>794302318</t>
  </si>
  <si>
    <t>P99.4 P72 B3713 2010</t>
  </si>
  <si>
    <t>0                      P  0099400P  72                 B  3713        2010</t>
  </si>
  <si>
    <t>Cognitive pragmatics : the mental processes of communication / Bruno G. Bara ; translated by John Douthwaite.</t>
  </si>
  <si>
    <t>Bara, Bruno G., 1949-</t>
  </si>
  <si>
    <t>796332768:eng</t>
  </si>
  <si>
    <t>452277108</t>
  </si>
  <si>
    <t>ocn452277108</t>
  </si>
  <si>
    <t>3103240010A</t>
  </si>
  <si>
    <t>9780262014113</t>
  </si>
  <si>
    <t>794787850</t>
  </si>
  <si>
    <t>P99.4 P72 B5 1992</t>
  </si>
  <si>
    <t>0                      P  0099400P  72                 B  5           1992</t>
  </si>
  <si>
    <t>Understanding utterances / Diane Blakemore.</t>
  </si>
  <si>
    <t>Blakemore, Diane, author.</t>
  </si>
  <si>
    <t>Oxford, UK ; Cambridge, Mass., USA : Blackwell, [1992]</t>
  </si>
  <si>
    <t>Blackwell textbooks in linguistics ; 6</t>
  </si>
  <si>
    <t>913679:eng</t>
  </si>
  <si>
    <t>25026522</t>
  </si>
  <si>
    <t>ocm25026522</t>
  </si>
  <si>
    <t>3102751887E</t>
  </si>
  <si>
    <t>9780631158660</t>
  </si>
  <si>
    <t>793210375</t>
  </si>
  <si>
    <t>P99.4 P72 C365 2012</t>
  </si>
  <si>
    <t>0                      P  0099400P  72                 C  365         2012</t>
  </si>
  <si>
    <t>The Cambridge handbook of pragmatics / edited by Keith Allan and Kasia M. Jaszczolt.</t>
  </si>
  <si>
    <t>Cambridge ; New York : Cambridge University Press, ©2012.</t>
  </si>
  <si>
    <t>1028216229:eng</t>
  </si>
  <si>
    <t>757664638</t>
  </si>
  <si>
    <t>ocn757664638</t>
  </si>
  <si>
    <t>3103409555X</t>
  </si>
  <si>
    <t>9780521192071</t>
  </si>
  <si>
    <t>794895616</t>
  </si>
  <si>
    <t>P99.4 P72 C37 2002</t>
  </si>
  <si>
    <t>0                      P  0099400P  72                 C  37          2002</t>
  </si>
  <si>
    <t>Thoughts and utterances : the pragmatics of explicit communication / Robyn Carston.</t>
  </si>
  <si>
    <t>Carston, Robyn.</t>
  </si>
  <si>
    <t>Oxford, U.K. ; Malden, Mass. : Blackwell Pub., 2002.</t>
  </si>
  <si>
    <t>802750117:eng</t>
  </si>
  <si>
    <t>49525903</t>
  </si>
  <si>
    <t>ocm49525903</t>
  </si>
  <si>
    <t>3102751882E</t>
  </si>
  <si>
    <t>9780631178910</t>
  </si>
  <si>
    <t>793742015</t>
  </si>
  <si>
    <t>P99.4 P72 C47 2011</t>
  </si>
  <si>
    <t>0                      P  0099400P  72                 C  47          2011</t>
  </si>
  <si>
    <t>Pragmatics / Siobhan Chapman.</t>
  </si>
  <si>
    <t>Chapman, Siobhan, 1968-</t>
  </si>
  <si>
    <t>Modern linguistics series</t>
  </si>
  <si>
    <t>761559010:eng</t>
  </si>
  <si>
    <t>687699136</t>
  </si>
  <si>
    <t>ocn687699136</t>
  </si>
  <si>
    <t>3103363716Z</t>
  </si>
  <si>
    <t>9780230221833</t>
  </si>
  <si>
    <t>794854118</t>
  </si>
  <si>
    <t>P99.4 P72 D47</t>
  </si>
  <si>
    <t>0                      P  0099400P  72                 D  47</t>
  </si>
  <si>
    <t>Developmental pragmatics / edited by Elinor Ochs, Bambi B. Schieffelin.</t>
  </si>
  <si>
    <t>New York : Academic Press, ©1979.</t>
  </si>
  <si>
    <t>350369869:eng</t>
  </si>
  <si>
    <t>4907850</t>
  </si>
  <si>
    <t>ocm04907850</t>
  </si>
  <si>
    <t>3102751971D</t>
  </si>
  <si>
    <t>9780125245500</t>
  </si>
  <si>
    <t>792392864</t>
  </si>
  <si>
    <t>3103453055A</t>
  </si>
  <si>
    <t>792392865</t>
  </si>
  <si>
    <t>P99.4 P72 D65 2017</t>
  </si>
  <si>
    <t>0                      P  0099400P  72                 D  65          2017</t>
  </si>
  <si>
    <t>Doing pragmatics interculturally : cognitive, philosophical, and sociopragmatic perspectives / edited by Rachel Giora, Michael Haugh.</t>
  </si>
  <si>
    <t>Boston ; Berlin : Walter de Gruyter Inc., 2017.</t>
  </si>
  <si>
    <t>Trends in linguistics. Studies and monographs, 1861-4302 ; volume 312</t>
  </si>
  <si>
    <t>4549277588:eng</t>
  </si>
  <si>
    <t>982091059</t>
  </si>
  <si>
    <t>ocn982091059</t>
  </si>
  <si>
    <t>3103739766I</t>
  </si>
  <si>
    <t>9783110543841</t>
  </si>
  <si>
    <t>795034257</t>
  </si>
  <si>
    <t>P99.4 P72 E87 2006</t>
  </si>
  <si>
    <t>0                      P  0099400P  72                 E  87          2006</t>
  </si>
  <si>
    <t>Ethnopragmatics : understanding discourse in cultural context / edited by Cliff Goddard.</t>
  </si>
  <si>
    <t>Berlin ; New York : Mouton de Gruyter, ©2006.</t>
  </si>
  <si>
    <t>Applications of cognitive linguistics, 1861-4078 ; 3</t>
  </si>
  <si>
    <t>864225038:eng</t>
  </si>
  <si>
    <t>65425930</t>
  </si>
  <si>
    <t>ocm65425930</t>
  </si>
  <si>
    <t>31025881894</t>
  </si>
  <si>
    <t>9783110188745</t>
  </si>
  <si>
    <t>794134447</t>
  </si>
  <si>
    <t>P99.4 P72 E95 2011</t>
  </si>
  <si>
    <t>0                      P  0099400P  72                 E  95          2011</t>
  </si>
  <si>
    <t>Experimental pragmatics/semantics / edited by Jörg Meibauer, Markus Steinbach.</t>
  </si>
  <si>
    <t>Linguistik aktuell/linguistics today, 0166-0829 ; v. 175</t>
  </si>
  <si>
    <t>2011-12-07</t>
  </si>
  <si>
    <t>768819116:eng</t>
  </si>
  <si>
    <t>695860285</t>
  </si>
  <si>
    <t>ocn695860285</t>
  </si>
  <si>
    <t>3103361975P</t>
  </si>
  <si>
    <t>9789027255587</t>
  </si>
  <si>
    <t>794858743</t>
  </si>
  <si>
    <t>P99.4 P72 E97 2010</t>
  </si>
  <si>
    <t>0                      P  0099400P  72                 E  97          2010</t>
  </si>
  <si>
    <t>Explicit communication : Robyn Carston's pragmatics / edited by Belén Soria and Esther Romero.</t>
  </si>
  <si>
    <t>Houndsmille, Basingstoke ; New York : Palgrave Macmillan, 2010.</t>
  </si>
  <si>
    <t>792123298:eng</t>
  </si>
  <si>
    <t>226357036</t>
  </si>
  <si>
    <t>ocn226357036</t>
  </si>
  <si>
    <t>31032337993</t>
  </si>
  <si>
    <t>9780230545472</t>
  </si>
  <si>
    <t>794345164</t>
  </si>
  <si>
    <t>P99.4 P72 F68 2011</t>
  </si>
  <si>
    <t>0                      P  0099400P  72                 F  68          2011</t>
  </si>
  <si>
    <t>Foundations of pragmatics / edited by Wolfram Bublitz, Neal R. Norrick.</t>
  </si>
  <si>
    <t>Handbook of pragmatics ; v. 1</t>
  </si>
  <si>
    <t>865136006:eng</t>
  </si>
  <si>
    <t>712780889</t>
  </si>
  <si>
    <t>ocn712780889</t>
  </si>
  <si>
    <t>31033831058</t>
  </si>
  <si>
    <t>9783110214253</t>
  </si>
  <si>
    <t>794872230</t>
  </si>
  <si>
    <t>P99.4 P72 G72 2009</t>
  </si>
  <si>
    <t>0                      P  0099400P  72                 G  72          2009</t>
  </si>
  <si>
    <t>Grammar, meaning and pragmatics / edited by Frank Brisard, Jan-Ola Östman, Jef Verschueren.</t>
  </si>
  <si>
    <t>Amsterdam ; Philadelphia : John Benjamins Pub. Co., 2009.</t>
  </si>
  <si>
    <t>Handbook of pragmatics highlights, 1877-654X ; v. 5</t>
  </si>
  <si>
    <t>1044435560:eng</t>
  </si>
  <si>
    <t>367421154</t>
  </si>
  <si>
    <t>ocn367421154</t>
  </si>
  <si>
    <t>31031358772</t>
  </si>
  <si>
    <t>9789027207821</t>
  </si>
  <si>
    <t>794493616</t>
  </si>
  <si>
    <t>P99.4 P72 G78 2008</t>
  </si>
  <si>
    <t>0                      P  0099400P  72                 G  78          2008</t>
  </si>
  <si>
    <t>Doing pragmatics / Peter Grundy.</t>
  </si>
  <si>
    <t>Grundy, Peter.</t>
  </si>
  <si>
    <t>London : Hodder Education, 2008.</t>
  </si>
  <si>
    <t>34702190:eng</t>
  </si>
  <si>
    <t>232984602</t>
  </si>
  <si>
    <t>ocn232984602</t>
  </si>
  <si>
    <t>3102855242I</t>
  </si>
  <si>
    <t>9780340971604</t>
  </si>
  <si>
    <t>794364805</t>
  </si>
  <si>
    <t>P99.4 P72 G783 1995</t>
  </si>
  <si>
    <t>0                      P  0099400P  72                 G  783         1995</t>
  </si>
  <si>
    <t>London ; New York : E. Arnold ; New York : Distributed exclusively in the USA by St. Martin's, 1995.</t>
  </si>
  <si>
    <t>32139269</t>
  </si>
  <si>
    <t>ocm32139269</t>
  </si>
  <si>
    <t>3102751961F</t>
  </si>
  <si>
    <t>9780340625149</t>
  </si>
  <si>
    <t>793376737</t>
  </si>
  <si>
    <t>P99.4 P72 H35 2004</t>
  </si>
  <si>
    <t>0                      P  0099400P  72                 H  35          2004</t>
  </si>
  <si>
    <t>The handbook of pragmatics / edited by Laurence R. Horn and Gregory Ward.</t>
  </si>
  <si>
    <t>Malden, MA : Blackwell Pub, ©2004.</t>
  </si>
  <si>
    <t>766873635:eng</t>
  </si>
  <si>
    <t>52714483</t>
  </si>
  <si>
    <t>ocm52714483</t>
  </si>
  <si>
    <t>3102751960F</t>
  </si>
  <si>
    <t>9780631225478</t>
  </si>
  <si>
    <t>793812402</t>
  </si>
  <si>
    <t>P99.4 P72 H83 2007</t>
  </si>
  <si>
    <t>0                      P  0099400P  72                 H  83          2007</t>
  </si>
  <si>
    <t>Pragmatics / Yan Huang.</t>
  </si>
  <si>
    <t>Huang, Yan, 1955-</t>
  </si>
  <si>
    <t>Oxford ; New York : Oxford University Press, ©2007.</t>
  </si>
  <si>
    <t>Oxford textbooks in linguistics</t>
  </si>
  <si>
    <t>17789045:eng</t>
  </si>
  <si>
    <t>67945409</t>
  </si>
  <si>
    <t>ocm67945409</t>
  </si>
  <si>
    <t>3102566478F</t>
  </si>
  <si>
    <t>9780199298372</t>
  </si>
  <si>
    <t>794142039</t>
  </si>
  <si>
    <t>P99.4 P72 H83 2012</t>
  </si>
  <si>
    <t>0                      P  0099400P  72                 H  83          2012</t>
  </si>
  <si>
    <t>The Oxford dictionary of pragmatics / Yan Huang.</t>
  </si>
  <si>
    <t>1088338742:eng</t>
  </si>
  <si>
    <t>812423994</t>
  </si>
  <si>
    <t>ocn812423994</t>
  </si>
  <si>
    <t>3103432613E</t>
  </si>
  <si>
    <t>9780199539802</t>
  </si>
  <si>
    <t>794930959</t>
  </si>
  <si>
    <t>P99.4 P72 I575 2008</t>
  </si>
  <si>
    <t>0                      P  0099400P  72                 I  575         2008</t>
  </si>
  <si>
    <t>Intention, common ground and the egocentric speaker-hearer / edited by Istvan Kecskes and Jacob Mey.</t>
  </si>
  <si>
    <t>Mouton series in pragmatics ; 4</t>
  </si>
  <si>
    <t>1080612617:eng</t>
  </si>
  <si>
    <t>232536690</t>
  </si>
  <si>
    <t>ocn232536690</t>
  </si>
  <si>
    <t>3102974904U</t>
  </si>
  <si>
    <t>9783110206067</t>
  </si>
  <si>
    <t>794363760</t>
  </si>
  <si>
    <t>P99.4 P72 I584 2011</t>
  </si>
  <si>
    <t>0                      P  0099400P  72                 I  584         2011</t>
  </si>
  <si>
    <t>IVth International Conference on Pragmalinguistics and Speech Practices / edited by Galina G. Matveena and Irina A. Zyubina.</t>
  </si>
  <si>
    <t>International Conference on Pragmalinguistics and Speech Practices (4th : 2011? : Rostov-on-Don, Russia)</t>
  </si>
  <si>
    <t>1042138703:eng</t>
  </si>
  <si>
    <t>730403539</t>
  </si>
  <si>
    <t>ocn730403539</t>
  </si>
  <si>
    <t>31033813580</t>
  </si>
  <si>
    <t>9781443830096</t>
  </si>
  <si>
    <t>794880022</t>
  </si>
  <si>
    <t>P99.4 P72 K47 1998</t>
  </si>
  <si>
    <t>0                      P  0099400P  72                 K  47          1998</t>
  </si>
  <si>
    <t>L'implicite / Catherine Kerbrat-Orecchioni.</t>
  </si>
  <si>
    <t>Kerbrat-Orecchioni, Catherine.</t>
  </si>
  <si>
    <t>Paris, France : Armand Colin, 1998.</t>
  </si>
  <si>
    <t>Deuxième édition.</t>
  </si>
  <si>
    <t>351117037:fre</t>
  </si>
  <si>
    <t>1007151142</t>
  </si>
  <si>
    <t>on1007151142</t>
  </si>
  <si>
    <t>3103760147$</t>
  </si>
  <si>
    <t>9782200218942</t>
  </si>
  <si>
    <t>795043788</t>
  </si>
  <si>
    <t>P99.4 P72 K49 2009</t>
  </si>
  <si>
    <t>0                      P  0099400P  72                 K  49          2009</t>
  </si>
  <si>
    <t>Key notions for pragmatics / edited by Jef Verschueren, Jan-Ola Östman.</t>
  </si>
  <si>
    <t>Handbook of pragmatics highlights, 1877-654X ; v. 1</t>
  </si>
  <si>
    <t>2016-07-28</t>
  </si>
  <si>
    <t>1077182375:eng</t>
  </si>
  <si>
    <t>316514801</t>
  </si>
  <si>
    <t>ocn316514801</t>
  </si>
  <si>
    <t>31030807894</t>
  </si>
  <si>
    <t>9789027207784</t>
  </si>
  <si>
    <t>794449052</t>
  </si>
  <si>
    <t>P99.4 P72 L4 1990</t>
  </si>
  <si>
    <t>0                      P  0099400P  72                 L  4           1990</t>
  </si>
  <si>
    <t>The violence of language / Jean-Jacques Lecercle.</t>
  </si>
  <si>
    <t>Lecercle, Jean-Jacques.</t>
  </si>
  <si>
    <t>2019-10-23</t>
  </si>
  <si>
    <t>23814242:eng</t>
  </si>
  <si>
    <t>21297341</t>
  </si>
  <si>
    <t>ocm21297341</t>
  </si>
  <si>
    <t>3102751959H</t>
  </si>
  <si>
    <t>9780415034302</t>
  </si>
  <si>
    <t>793114601</t>
  </si>
  <si>
    <t>P99.4 P72 L43 1983</t>
  </si>
  <si>
    <t>0                      P  0099400P  72                 L  43          1983</t>
  </si>
  <si>
    <t>Principles of pragmatics / Geoffrey N. Leech.</t>
  </si>
  <si>
    <t>Leech, Geoffrey N.</t>
  </si>
  <si>
    <t>Longman linguistics library ; title no. 30</t>
  </si>
  <si>
    <t>36258405:eng</t>
  </si>
  <si>
    <t>9043896</t>
  </si>
  <si>
    <t>ocm09043896</t>
  </si>
  <si>
    <t>3000970698D</t>
  </si>
  <si>
    <t>9780582551107</t>
  </si>
  <si>
    <t>792654204</t>
  </si>
  <si>
    <t>P99.4 P72 L48 1983</t>
  </si>
  <si>
    <t>0                      P  0099400P  72                 L  48          1983</t>
  </si>
  <si>
    <t>Pragmatics / Stephen C. Levinson.</t>
  </si>
  <si>
    <t>Levinson, Stephen C., author.</t>
  </si>
  <si>
    <t>Cambridge [England] ; New York : Cambridge University Press, [1983]</t>
  </si>
  <si>
    <t>Cambridge textbooks in linguistics.</t>
  </si>
  <si>
    <t>181105:eng</t>
  </si>
  <si>
    <t>8728324</t>
  </si>
  <si>
    <t>ocm08728324</t>
  </si>
  <si>
    <t>3102751957H</t>
  </si>
  <si>
    <t>9780521222358</t>
  </si>
  <si>
    <t>792637879</t>
  </si>
  <si>
    <t>3102751958H</t>
  </si>
  <si>
    <t>792637880</t>
  </si>
  <si>
    <t>P99.4 P72 L6 2003</t>
  </si>
  <si>
    <t>0                      P  0099400P  72                 L  6           2003</t>
  </si>
  <si>
    <t>An introduction to pragmatics : social action for language teachers / Virginia LoCastro.</t>
  </si>
  <si>
    <t>LoCastro, Virginia, 1945-</t>
  </si>
  <si>
    <t>Ann Arbor : University of Michigan Press, ©2003.</t>
  </si>
  <si>
    <t>476160648:eng</t>
  </si>
  <si>
    <t>50868251</t>
  </si>
  <si>
    <t>ocm50868251</t>
  </si>
  <si>
    <t>3103285518T</t>
  </si>
  <si>
    <t>9780472088225</t>
  </si>
  <si>
    <t>793774437</t>
  </si>
  <si>
    <t>P99.4.P72 L6 2003</t>
  </si>
  <si>
    <t>2006-07-03</t>
  </si>
  <si>
    <t>3102272509I</t>
  </si>
  <si>
    <t>793774438</t>
  </si>
  <si>
    <t>P99.4 P72 L67 2012</t>
  </si>
  <si>
    <t>0                      P  0099400P  72                 L  67          2012</t>
  </si>
  <si>
    <t>Pragmatics for language educators : a sociolinguistic perspective / Virginia LoCastro.</t>
  </si>
  <si>
    <t>349144207:eng</t>
  </si>
  <si>
    <t>466361088</t>
  </si>
  <si>
    <t>ocn466361088</t>
  </si>
  <si>
    <t>3103382730P</t>
  </si>
  <si>
    <t>9780415801157</t>
  </si>
  <si>
    <t>794794556</t>
  </si>
  <si>
    <t>P99.4 P72 M487 1993</t>
  </si>
  <si>
    <t>0                      P  0099400P  72                 M  487         1993</t>
  </si>
  <si>
    <t>Pragmatics : an introduction / Jacob L. Mey.</t>
  </si>
  <si>
    <t>Mey, Jacob.</t>
  </si>
  <si>
    <t>Oxford, UK ; Cambridge, Mass., USA : Blackwell, 1993.</t>
  </si>
  <si>
    <t>345141:eng</t>
  </si>
  <si>
    <t>27266375</t>
  </si>
  <si>
    <t>ocm27266375</t>
  </si>
  <si>
    <t>3102751953H</t>
  </si>
  <si>
    <t>9780631186892</t>
  </si>
  <si>
    <t>793263265</t>
  </si>
  <si>
    <t>P99.4 P72 O44 2011</t>
  </si>
  <si>
    <t>0                      P  0099400P  72                 O  44          2011</t>
  </si>
  <si>
    <t>Introducing pragmatics in use / Anne O'Keeffe, Brian Clancy, Svenja Adolphs.</t>
  </si>
  <si>
    <t>London [i.e. Abington, Oxon] ; New York : Routledge, 2011.</t>
  </si>
  <si>
    <t>112886600:eng</t>
  </si>
  <si>
    <t>166361793</t>
  </si>
  <si>
    <t>ocn166361793</t>
  </si>
  <si>
    <t>31033645052</t>
  </si>
  <si>
    <t>9780415450928</t>
  </si>
  <si>
    <t>794260686</t>
  </si>
  <si>
    <t>P99.4 P72 P365 2010</t>
  </si>
  <si>
    <t>0                      P  0099400P  72                 P  365         2010</t>
  </si>
  <si>
    <t>Language and equilibrium / Prashant Parikh.</t>
  </si>
  <si>
    <t>Parikh, Prashant.</t>
  </si>
  <si>
    <t>195732907:eng</t>
  </si>
  <si>
    <t>318645912</t>
  </si>
  <si>
    <t>ocn318645912</t>
  </si>
  <si>
    <t>3103155263C</t>
  </si>
  <si>
    <t>9780262013451</t>
  </si>
  <si>
    <t>794482248</t>
  </si>
  <si>
    <t>P99.4 P72 P55 2011</t>
  </si>
  <si>
    <t>0                      P  0099400P  72                 P  55          2011</t>
  </si>
  <si>
    <t>Philosophical perspectives for pragmatics / edited by Marina Sbisà, Jan-Ola Östman, Jef Verschueren.</t>
  </si>
  <si>
    <t>Handbook of pragmatics highlights ; v. 10</t>
  </si>
  <si>
    <t>476056969:eng</t>
  </si>
  <si>
    <t>606787698</t>
  </si>
  <si>
    <t>ocn606787698</t>
  </si>
  <si>
    <t>3103361953T</t>
  </si>
  <si>
    <t>9789027207876</t>
  </si>
  <si>
    <t>794817332</t>
  </si>
  <si>
    <t>P99.4 P72 P73 2010</t>
  </si>
  <si>
    <t>0                      P  0099400P  72                 P  73          2010</t>
  </si>
  <si>
    <t>Pragmatic perspectives on language and linguistics / edited by Iwona Witczak-Plisiecka.</t>
  </si>
  <si>
    <t>2866189964:eng</t>
  </si>
  <si>
    <t>641893566</t>
  </si>
  <si>
    <t>ocn641893566</t>
  </si>
  <si>
    <t>3103274757O</t>
  </si>
  <si>
    <t>9781443817110</t>
  </si>
  <si>
    <t>794827752</t>
  </si>
  <si>
    <t>3103133099U</t>
  </si>
  <si>
    <t>794827753</t>
  </si>
  <si>
    <t>P99.4 P72 P734 2010</t>
  </si>
  <si>
    <t>0                      P  0099400P  72                 P  734         2010</t>
  </si>
  <si>
    <t>Pragmatics : teaching speech acts / Donna H. Tatsuki and Noël R. Houck [editors].</t>
  </si>
  <si>
    <t>Alexandria, VA : Teachers of English to Speakers of Other Languages, ©2010.</t>
  </si>
  <si>
    <t>TESOL classroom practice series</t>
  </si>
  <si>
    <t>570748142:eng</t>
  </si>
  <si>
    <t>656160508</t>
  </si>
  <si>
    <t>ocn656160508</t>
  </si>
  <si>
    <t>3103314425Q</t>
  </si>
  <si>
    <t>9781931185677</t>
  </si>
  <si>
    <t>794834559</t>
  </si>
  <si>
    <t>P99.4 P72 P7354 2012</t>
  </si>
  <si>
    <t>0                      P  0099400P  72                 P  7354        2012</t>
  </si>
  <si>
    <t>Pragmaticizing understanding : studies for Jef Verschueren / edited by Michael Meeuwis, Jan-Ola Östman.</t>
  </si>
  <si>
    <t>Amsterdam ; Philadelphia : John Benjamins Pub. Co., ©2012.</t>
  </si>
  <si>
    <t>1068803563:eng</t>
  </si>
  <si>
    <t>769871224</t>
  </si>
  <si>
    <t>ocn769871224</t>
  </si>
  <si>
    <t>3103412154V</t>
  </si>
  <si>
    <t>9789027211910</t>
  </si>
  <si>
    <t>794903710</t>
  </si>
  <si>
    <t>P99.4 P72 P736 1991</t>
  </si>
  <si>
    <t>0                      P  0099400P  72                 P  736         1991</t>
  </si>
  <si>
    <t>Pragmatics : a reader / edited by Steven Davis.</t>
  </si>
  <si>
    <t>New York : Oxford University Press, 1991.</t>
  </si>
  <si>
    <t>143819933:eng</t>
  </si>
  <si>
    <t>21302679</t>
  </si>
  <si>
    <t>ocm21302679</t>
  </si>
  <si>
    <t>3102751946J</t>
  </si>
  <si>
    <t>9780195058987</t>
  </si>
  <si>
    <t>793114893</t>
  </si>
  <si>
    <t>P99.4 P72 P7383 2011</t>
  </si>
  <si>
    <t>0                      P  0099400P  72                 P  7383        2011</t>
  </si>
  <si>
    <t>Pragmatics and autolexical grammar : in honor of Jerry Sadock / edited by Etsuyo Yuasa, Tista Bagchi, Katharine Beals.</t>
  </si>
  <si>
    <t>Linguistik aktuell/linguistics today (LA) ; v. 176</t>
  </si>
  <si>
    <t>949591489:eng</t>
  </si>
  <si>
    <t>695390205</t>
  </si>
  <si>
    <t>ocn695390205</t>
  </si>
  <si>
    <t>3103364540V</t>
  </si>
  <si>
    <t>9789027255594</t>
  </si>
  <si>
    <t>794858349</t>
  </si>
  <si>
    <t>P99.4 P72 P7386 1998</t>
  </si>
  <si>
    <t>0                      P  0099400P  72                 P  7386        1998</t>
  </si>
  <si>
    <t>Pragmatics : critical concepts / edited by Asa Kasher.</t>
  </si>
  <si>
    <t>Routledge critical concepts</t>
  </si>
  <si>
    <t>2012-06-18</t>
  </si>
  <si>
    <t>2016-07-08</t>
  </si>
  <si>
    <t>3855400601:eng</t>
  </si>
  <si>
    <t>37935087</t>
  </si>
  <si>
    <t>ocm37935087</t>
  </si>
  <si>
    <t>31026604520</t>
  </si>
  <si>
    <t>9780415117340</t>
  </si>
  <si>
    <t>793510709</t>
  </si>
  <si>
    <t>31026604422</t>
  </si>
  <si>
    <t>793510707</t>
  </si>
  <si>
    <t>2010-11-11</t>
  </si>
  <si>
    <t>31026604118</t>
  </si>
  <si>
    <t>793510711</t>
  </si>
  <si>
    <t>31026604472</t>
  </si>
  <si>
    <t>793510708</t>
  </si>
  <si>
    <t>31026604216</t>
  </si>
  <si>
    <t>793510710</t>
  </si>
  <si>
    <t>31026604168</t>
  </si>
  <si>
    <t>793510712</t>
  </si>
  <si>
    <t>P99.4 P72 P7389 2001</t>
  </si>
  <si>
    <t>0                      P  0099400P  72                 P  7389        2001</t>
  </si>
  <si>
    <t>Pragmatics in language teaching / edited by Kenneth R. Rose and Gabriele Kasper.</t>
  </si>
  <si>
    <t>355436047:eng</t>
  </si>
  <si>
    <t>45583428</t>
  </si>
  <si>
    <t>ocm45583428</t>
  </si>
  <si>
    <t>3103453051A</t>
  </si>
  <si>
    <t>9780521803793</t>
  </si>
  <si>
    <t>793674252</t>
  </si>
  <si>
    <t>3102751945J</t>
  </si>
  <si>
    <t>793674251</t>
  </si>
  <si>
    <t>P99.4 P72 P7423 2011</t>
  </si>
  <si>
    <t>0                      P  0099400P  72                 P  7423        2011</t>
  </si>
  <si>
    <t>Pragmatics in practice / edited by Jan-Ola Östman, Jef Verschueren.</t>
  </si>
  <si>
    <t>Handbook of pragmatics highlights ; v. 9</t>
  </si>
  <si>
    <t>774064837:eng</t>
  </si>
  <si>
    <t>606787692</t>
  </si>
  <si>
    <t>ocn606787692</t>
  </si>
  <si>
    <t>31034065940</t>
  </si>
  <si>
    <t>9789027207869</t>
  </si>
  <si>
    <t>794817331</t>
  </si>
  <si>
    <t>P99.4 P72 P743 2009</t>
  </si>
  <si>
    <t>0                      P  0099400P  72                 P  743         2009</t>
  </si>
  <si>
    <t>The pragmatics of interaction / edited by Sigurd D'hondt, Jan-Ola Östman, Jef Verschueren.</t>
  </si>
  <si>
    <t>Handbook of pragmatics highlights, 1877-654X ; v. 4</t>
  </si>
  <si>
    <t>1044435573:eng</t>
  </si>
  <si>
    <t>383826616</t>
  </si>
  <si>
    <t>ocn383826616</t>
  </si>
  <si>
    <t>3103154237M</t>
  </si>
  <si>
    <t>9789027207814</t>
  </si>
  <si>
    <t>794495470</t>
  </si>
  <si>
    <t>P99.4 P72 R3 1981</t>
  </si>
  <si>
    <t>0                      P  0099400P  72                 R  3           1981</t>
  </si>
  <si>
    <t>Radical pragmatics / edited by Peter Cole.</t>
  </si>
  <si>
    <t>New York : Academic Press, ©1981.</t>
  </si>
  <si>
    <t>146685661:eng</t>
  </si>
  <si>
    <t>7196596</t>
  </si>
  <si>
    <t>ocm07196596</t>
  </si>
  <si>
    <t>3102751940J</t>
  </si>
  <si>
    <t>9780121796600</t>
  </si>
  <si>
    <t>792545356</t>
  </si>
  <si>
    <t>P99.4 P72 R42 2010</t>
  </si>
  <si>
    <t>0                      P  0099400P  72                 R  42          2010</t>
  </si>
  <si>
    <t>Truth-conditional pragmatics / by Franco̧is Récanati.</t>
  </si>
  <si>
    <t>Récanati, François, 1952-</t>
  </si>
  <si>
    <t>Oxford ; New York : Clarendon Press, ©2010.</t>
  </si>
  <si>
    <t>352421243:eng</t>
  </si>
  <si>
    <t>471822360</t>
  </si>
  <si>
    <t>ocn471822360</t>
  </si>
  <si>
    <t>31032339595</t>
  </si>
  <si>
    <t>9780199226993</t>
  </si>
  <si>
    <t>794797089</t>
  </si>
  <si>
    <t>P99.4 P72 R625 2005</t>
  </si>
  <si>
    <t>0                      P  0099400P  72                 R  625         2005</t>
  </si>
  <si>
    <t>Introducing performative pragmatics / Douglas Robinson.</t>
  </si>
  <si>
    <t>Robinson, Douglas, 1954-</t>
  </si>
  <si>
    <t>New York ; Abingdon [England] : Routledge, 2006.</t>
  </si>
  <si>
    <t>2017-05-17</t>
  </si>
  <si>
    <t>353795720:eng</t>
  </si>
  <si>
    <t>58478318</t>
  </si>
  <si>
    <t>ocm58478318</t>
  </si>
  <si>
    <t>3102498581U</t>
  </si>
  <si>
    <t>9780415371872</t>
  </si>
  <si>
    <t>793921726</t>
  </si>
  <si>
    <t>P99.4 P72 R65 2010</t>
  </si>
  <si>
    <t>0                      P  0099400P  72                 R  65          2010</t>
  </si>
  <si>
    <t>The role of data at the semantics-pragmatics interface / edited by Enikő Németh T., Károly Bibok.</t>
  </si>
  <si>
    <t>Mouton series in pragmatics ; 9</t>
  </si>
  <si>
    <t>1005334929:eng</t>
  </si>
  <si>
    <t>656850305</t>
  </si>
  <si>
    <t>ocn656850305</t>
  </si>
  <si>
    <t>31033437500</t>
  </si>
  <si>
    <t>9783110240269</t>
  </si>
  <si>
    <t>794835167</t>
  </si>
  <si>
    <t>P99.4 P72 S277 2013</t>
  </si>
  <si>
    <t>0                      P  0099400P  72                 S  277         2013</t>
  </si>
  <si>
    <t>Vagueness, gradability and typicality : the interpretation of adjectives and nouns / by Galit W. Sassoon.</t>
  </si>
  <si>
    <t>Sassoon, Galit W.</t>
  </si>
  <si>
    <t>Leiden : Brill, 2013.</t>
  </si>
  <si>
    <t>Current research in the semantics/pragmatics interface ; v. 27</t>
  </si>
  <si>
    <t>1208840840:eng</t>
  </si>
  <si>
    <t>828143268</t>
  </si>
  <si>
    <t>ocn828143268</t>
  </si>
  <si>
    <t>3103498358Z</t>
  </si>
  <si>
    <t>9781781902639</t>
  </si>
  <si>
    <t>794940761</t>
  </si>
  <si>
    <t>P99.4 P72 S66 2010</t>
  </si>
  <si>
    <t>0                      P  0099400P  72                 S  66          2010</t>
  </si>
  <si>
    <t>Society and language use / edited by Jürgen Jaspers, Jan-Ola Östman and Jef Verschueren.</t>
  </si>
  <si>
    <t>Amsterdam ; Philadelphia : John Benjamins Pub. Co., 2010.</t>
  </si>
  <si>
    <t>Handbook of pragmatics highlights (HoPH) ; v. 7</t>
  </si>
  <si>
    <t>888283793:eng</t>
  </si>
  <si>
    <t>606787686</t>
  </si>
  <si>
    <t>ocn606787686</t>
  </si>
  <si>
    <t>3103236230I</t>
  </si>
  <si>
    <t>9789027207845</t>
  </si>
  <si>
    <t>794817329</t>
  </si>
  <si>
    <t>P99.4 P72 T45 1995</t>
  </si>
  <si>
    <t>0                      P  0099400P  72                 T  45          1995</t>
  </si>
  <si>
    <t>Meaning in interaction : an introduction to pragmatics / Jenny Thomas.</t>
  </si>
  <si>
    <t>Thomas, Jenny, 1948-</t>
  </si>
  <si>
    <t>London ; New York : Longman, 1995</t>
  </si>
  <si>
    <t>325755437:eng</t>
  </si>
  <si>
    <t>32429794</t>
  </si>
  <si>
    <t>ocm32429794</t>
  </si>
  <si>
    <t>3102751932L</t>
  </si>
  <si>
    <t>9780582291515</t>
  </si>
  <si>
    <t>793383903</t>
  </si>
  <si>
    <t>P99.4 P72 V364 2010</t>
  </si>
  <si>
    <t>0                      P  0099400P  72                 V  364         2010</t>
  </si>
  <si>
    <t>Variation and change : pragmatic perspectives / edited by Mirjam Fried, Jan-Ola Östman, Jef Verschueren.</t>
  </si>
  <si>
    <t>Amsterdam, The Netherlands ; Philadelphia, PA : John Benjamins Pub. Company, ©2010.</t>
  </si>
  <si>
    <t>Handbook of pragmatics highlights ; v. 6</t>
  </si>
  <si>
    <t>3770156206:eng</t>
  </si>
  <si>
    <t>606787682</t>
  </si>
  <si>
    <t>ocn606787682</t>
  </si>
  <si>
    <t>3103312691E</t>
  </si>
  <si>
    <t>9789027207838</t>
  </si>
  <si>
    <t>794817328</t>
  </si>
  <si>
    <t>P99.4 P72 W44 2009</t>
  </si>
  <si>
    <t>0                      P  0099400P  72                 W  44          2009</t>
  </si>
  <si>
    <t>Where prosody meets pragmatics / edited by Dagmar Barth-Weingarten, Nicole Dehé, Anne Wichmann.</t>
  </si>
  <si>
    <t>Bingley : Emerald, 2009.</t>
  </si>
  <si>
    <t>Studies in pragmatics, 1750-368X ; 8</t>
  </si>
  <si>
    <t>373114306:eng</t>
  </si>
  <si>
    <t>499491204</t>
  </si>
  <si>
    <t>ocn499491204</t>
  </si>
  <si>
    <t>3103158109F</t>
  </si>
  <si>
    <t>9781849506311</t>
  </si>
  <si>
    <t>794803795</t>
  </si>
  <si>
    <t>P99.4 P72 W53 1991</t>
  </si>
  <si>
    <t>0                      P  0099400P  72                 W  53          1991</t>
  </si>
  <si>
    <t>Cross-cultural pragmatics : the semantics of human interaction / by Anna Wierzbicka.</t>
  </si>
  <si>
    <t>Wierzbicka, Anna.</t>
  </si>
  <si>
    <t>Trends in linguistics. Studies and monographs ; 53</t>
  </si>
  <si>
    <t>831686:eng</t>
  </si>
  <si>
    <t>22710865</t>
  </si>
  <si>
    <t>ocm22710865</t>
  </si>
  <si>
    <t>3102751930L</t>
  </si>
  <si>
    <t>9780899256993</t>
  </si>
  <si>
    <t>793151797</t>
  </si>
  <si>
    <t>P99.4 P72 Y85 1996</t>
  </si>
  <si>
    <t>0                      P  0099400P  72                 Y  85          1996</t>
  </si>
  <si>
    <t>Pragmatics / George Yule.</t>
  </si>
  <si>
    <t>Yule, George, 1947-</t>
  </si>
  <si>
    <t>Oxford ; New York : Oxford University Press, 1996.</t>
  </si>
  <si>
    <t>144339438:eng</t>
  </si>
  <si>
    <t>35135119</t>
  </si>
  <si>
    <t>ocm35135119</t>
  </si>
  <si>
    <t>3103453056A</t>
  </si>
  <si>
    <t>9780194372077</t>
  </si>
  <si>
    <t>793445017</t>
  </si>
  <si>
    <t>P99.4 P78 C64 2013</t>
  </si>
  <si>
    <t>0                      P  0099400P  78                 C  64          2013</t>
  </si>
  <si>
    <t>The visual language of comics : introduction to the structure and cognition of sequential images / Neil Cohn.</t>
  </si>
  <si>
    <t>Cohn, Neil, author.</t>
  </si>
  <si>
    <t>London ; New York : Bloomsbury Academic, An imprint of Bloomsbury Publishing Plc., 2013.</t>
  </si>
  <si>
    <t>2019-11-02</t>
  </si>
  <si>
    <t>1376898500:eng</t>
  </si>
  <si>
    <t>845085499</t>
  </si>
  <si>
    <t>ocn845085499</t>
  </si>
  <si>
    <t>31035297913</t>
  </si>
  <si>
    <t>9781441170545</t>
  </si>
  <si>
    <t>794948908</t>
  </si>
  <si>
    <t>P99.4 P78 S6 2001</t>
  </si>
  <si>
    <t>0                      P  0099400P  78                 S  6           2001</t>
  </si>
  <si>
    <t>Psychosemiotics / Howard A. Smith.</t>
  </si>
  <si>
    <t>Smith, Howard A., 1943-</t>
  </si>
  <si>
    <t>New York : P. Lang, ©2001.</t>
  </si>
  <si>
    <t>Semiotics and the human sciences ; vol. 20</t>
  </si>
  <si>
    <t>8909073694:eng</t>
  </si>
  <si>
    <t>44883639</t>
  </si>
  <si>
    <t>ocm44883639</t>
  </si>
  <si>
    <t>3103453046C</t>
  </si>
  <si>
    <t>9780820452364</t>
  </si>
  <si>
    <t>793659805</t>
  </si>
  <si>
    <t>2005-05-30</t>
  </si>
  <si>
    <t>3102752013B</t>
  </si>
  <si>
    <t>793659804</t>
  </si>
  <si>
    <t>P99.4 P78 S96 2010</t>
  </si>
  <si>
    <t>0                      P  0099400P  78                 S  96          2010</t>
  </si>
  <si>
    <t>Symbolic transformation : the mind in movement through culture and society / edited by Brady Wagoner.</t>
  </si>
  <si>
    <t>Cultural dynamics of social representation</t>
  </si>
  <si>
    <t>803819492:eng</t>
  </si>
  <si>
    <t>377863488</t>
  </si>
  <si>
    <t>ocn377863488</t>
  </si>
  <si>
    <t>3103130941P</t>
  </si>
  <si>
    <t>9780415488488</t>
  </si>
  <si>
    <t>794495124</t>
  </si>
  <si>
    <t>P99.4 R44 C57 2013</t>
  </si>
  <si>
    <t>0                      P  0099400R  44                 C  57          2013</t>
  </si>
  <si>
    <t>Relevance theory / Billy Clark.</t>
  </si>
  <si>
    <t>Clark, Billy.</t>
  </si>
  <si>
    <t>1169921772:eng</t>
  </si>
  <si>
    <t>811426910</t>
  </si>
  <si>
    <t>ocn811426910</t>
  </si>
  <si>
    <t>31035012112</t>
  </si>
  <si>
    <t>9780521878203</t>
  </si>
  <si>
    <t>794930105</t>
  </si>
  <si>
    <t>P99.4 R44 S25 2011</t>
  </si>
  <si>
    <t>0                      P  0099400R  44                 S  25          2011</t>
  </si>
  <si>
    <t>The Japanese sentence-final particles in talk-in-interaction / Hideki Saigo.</t>
  </si>
  <si>
    <t>Saigo, Hideki.</t>
  </si>
  <si>
    <t>Pragmatics &amp; beyond new series ; v. 205</t>
  </si>
  <si>
    <t>771084553:eng</t>
  </si>
  <si>
    <t>697612868</t>
  </si>
  <si>
    <t>ocn697612868</t>
  </si>
  <si>
    <t>3103363977H</t>
  </si>
  <si>
    <t>9789027256096</t>
  </si>
  <si>
    <t>794860150</t>
  </si>
  <si>
    <t>P99.4 S62 A54 1991</t>
  </si>
  <si>
    <t>0                      P  0099400S  62                 A  54          1991</t>
  </si>
  <si>
    <t>Les idées reçues : sémiologie du stéréotype / Ruth Amossy.</t>
  </si>
  <si>
    <t>Amossy, Ruth.</t>
  </si>
  <si>
    <t>[Paris] : Nathan, ©1991.</t>
  </si>
  <si>
    <t>Le Texte à lœ̀uvre</t>
  </si>
  <si>
    <t>806516903:fre</t>
  </si>
  <si>
    <t>25144584</t>
  </si>
  <si>
    <t>ocm25144584</t>
  </si>
  <si>
    <t>31034797062</t>
  </si>
  <si>
    <t>793213162</t>
  </si>
  <si>
    <t>P99.4 S62 B37 2017</t>
  </si>
  <si>
    <t>0                      P  0099400S  62                 B  37          2017</t>
  </si>
  <si>
    <t>Vers une écologie sémiotique de la culture : perception, gestion et réappropriation du sens / Pierluigi Basso Fossali.</t>
  </si>
  <si>
    <t>Basso Fossali, Pierluigi, 1969- author.</t>
  </si>
  <si>
    <t>Limoges [France] : Lambert-Lucas, [2017]</t>
  </si>
  <si>
    <t>4798080491:fre</t>
  </si>
  <si>
    <t>1027035088</t>
  </si>
  <si>
    <t>on1027035088</t>
  </si>
  <si>
    <t>3103721387Z</t>
  </si>
  <si>
    <t>9782359352290</t>
  </si>
  <si>
    <t>795052512</t>
  </si>
  <si>
    <t>P99.4 S62 B47 2010</t>
  </si>
  <si>
    <t>0                      P  0099400S  62                 B  47          2010</t>
  </si>
  <si>
    <t>The objects of affection : semiotics and consumer culture / Arthur Asa Berger.</t>
  </si>
  <si>
    <t>793297600:eng</t>
  </si>
  <si>
    <t>468976314</t>
  </si>
  <si>
    <t>ocn468976314</t>
  </si>
  <si>
    <t>3103240802P</t>
  </si>
  <si>
    <t>9780230103726</t>
  </si>
  <si>
    <t>794795667</t>
  </si>
  <si>
    <t>P99.4 S62 H6 1988</t>
  </si>
  <si>
    <t>0                      P  0099400S  62                 H  6           1988</t>
  </si>
  <si>
    <t>Social semiotics / Robert Hodge and Gunther Kress.</t>
  </si>
  <si>
    <t>Cambridge, UK : Polity Press in association with Basil Blackwell, Oxford, UK, 1988.</t>
  </si>
  <si>
    <t>328892692:eng</t>
  </si>
  <si>
    <t>20091934</t>
  </si>
  <si>
    <t>ocm20091934</t>
  </si>
  <si>
    <t>3102784841W</t>
  </si>
  <si>
    <t>9780745602530</t>
  </si>
  <si>
    <t>793077179</t>
  </si>
  <si>
    <t>P99.4 S62 N48 2010</t>
  </si>
  <si>
    <t>0                      P  0099400S  62                 N  48          2010</t>
  </si>
  <si>
    <t>New discourse on language : functional perspectives on multimodality, identity, and affiliation / edited by Monika Bednarek and J.R. Martin.</t>
  </si>
  <si>
    <t>1044600739:eng</t>
  </si>
  <si>
    <t>310401910</t>
  </si>
  <si>
    <t>ocn310401910</t>
  </si>
  <si>
    <t>3103131309A</t>
  </si>
  <si>
    <t>9781847064837</t>
  </si>
  <si>
    <t>794435500</t>
  </si>
  <si>
    <t>P99.4 T73 G67 1994</t>
  </si>
  <si>
    <t>0                      P  0099400T  73                 G  67          1994</t>
  </si>
  <si>
    <t>Semiotics and the problem of translation : with special reference to the semiotics of Charles S. Peirce / Dinda L. Gorlée.</t>
  </si>
  <si>
    <t>Gorlée, Dinda L.</t>
  </si>
  <si>
    <t>Amsterdam ; Atlanta, GA : Rodopi, 1994.</t>
  </si>
  <si>
    <t>Approaches to translation studies ; v. 12</t>
  </si>
  <si>
    <t>918384603:eng</t>
  </si>
  <si>
    <t>30854808</t>
  </si>
  <si>
    <t>ocm30854808</t>
  </si>
  <si>
    <t>3102752009D</t>
  </si>
  <si>
    <t>9789051836424</t>
  </si>
  <si>
    <t>793346906</t>
  </si>
  <si>
    <t>P99.5 A58 2001</t>
  </si>
  <si>
    <t>0                      P  0099500A  58          2001</t>
  </si>
  <si>
    <t>An anthropology of indirect communication / edited by Joy Hendry and C.W. Watson.</t>
  </si>
  <si>
    <t>A.S.A. monographs ; 37</t>
  </si>
  <si>
    <t>865018448:eng</t>
  </si>
  <si>
    <t>45172844</t>
  </si>
  <si>
    <t>ocm45172844</t>
  </si>
  <si>
    <t>3102752010B</t>
  </si>
  <si>
    <t>9780415247443</t>
  </si>
  <si>
    <t>793666151</t>
  </si>
  <si>
    <t>P99.5 A7</t>
  </si>
  <si>
    <t>0                      P  0099500A  7</t>
  </si>
  <si>
    <t>Bodily communication / Michael Argyle.</t>
  </si>
  <si>
    <t>Argyle, Michael.</t>
  </si>
  <si>
    <t>London : Methuen, 1975.</t>
  </si>
  <si>
    <t>2001-12-18</t>
  </si>
  <si>
    <t>180933:eng</t>
  </si>
  <si>
    <t>1704197</t>
  </si>
  <si>
    <t>ocm01704197</t>
  </si>
  <si>
    <t>30009854663</t>
  </si>
  <si>
    <t>9780416674507</t>
  </si>
  <si>
    <t>791840884</t>
  </si>
  <si>
    <t>2002-02-03</t>
  </si>
  <si>
    <t>3102752006D</t>
  </si>
  <si>
    <t>791840885</t>
  </si>
  <si>
    <t>3103592362I</t>
  </si>
  <si>
    <t>791840886</t>
  </si>
  <si>
    <t>P99.5 B56 2008</t>
  </si>
  <si>
    <t>0                      P  0099500B  56          2008</t>
  </si>
  <si>
    <t>The biology of human communication / Kory Floyd, Alan C. Mikkelson, Colin Hesse.</t>
  </si>
  <si>
    <t>Floyd, Kory.</t>
  </si>
  <si>
    <t>Mason, OH : Thomson, [2007]</t>
  </si>
  <si>
    <t>115263700:eng</t>
  </si>
  <si>
    <t>175315185</t>
  </si>
  <si>
    <t>ocn175315185</t>
  </si>
  <si>
    <t>3103083750Z</t>
  </si>
  <si>
    <t>9781426626760</t>
  </si>
  <si>
    <t>794276404</t>
  </si>
  <si>
    <t>P99.5 C58 2003</t>
  </si>
  <si>
    <t>0                      P  0099500C  58          2003</t>
  </si>
  <si>
    <t>Applications of nonverbal communication / edited by Ronald E. Riggio, Robert S. Feldman.</t>
  </si>
  <si>
    <t>Claremont Symposium on Applied Social Psychology (2003)</t>
  </si>
  <si>
    <t>Mahwah, N.J. : L. Erlbaum Associates, 2005.</t>
  </si>
  <si>
    <t>18409:eng</t>
  </si>
  <si>
    <t>55220204</t>
  </si>
  <si>
    <t>ocm55220204</t>
  </si>
  <si>
    <t>3102577190B</t>
  </si>
  <si>
    <t>9780805843347</t>
  </si>
  <si>
    <t>793876124</t>
  </si>
  <si>
    <t>P99.5 C7 1988</t>
  </si>
  <si>
    <t>0                      P  0099500C  7           1988</t>
  </si>
  <si>
    <t>Cross-cultural perspectives in nonverbal communication / edited by Fernando Poyatos.</t>
  </si>
  <si>
    <t>Toronto ; Lewiston, N.Y. : Hogrefe, ©1988.</t>
  </si>
  <si>
    <t>10507405:eng</t>
  </si>
  <si>
    <t>15428573</t>
  </si>
  <si>
    <t>ocm15428573</t>
  </si>
  <si>
    <t>3102752004D</t>
  </si>
  <si>
    <t>9780889370180</t>
  </si>
  <si>
    <t>792931298</t>
  </si>
  <si>
    <t>P99.5 M34 1983</t>
  </si>
  <si>
    <t>0                      P  0099500M  34          1983</t>
  </si>
  <si>
    <t>Nonverbal communication / Loretta A. Malandro and Larry L. Barker.</t>
  </si>
  <si>
    <t>Malandro, Loretta A.</t>
  </si>
  <si>
    <t>Reading, MA : Addison-Wesley Pub. Co., ©1983.</t>
  </si>
  <si>
    <t>407061:eng</t>
  </si>
  <si>
    <t>8220871</t>
  </si>
  <si>
    <t>ocm08220871</t>
  </si>
  <si>
    <t>31034749800</t>
  </si>
  <si>
    <t>9780201053364</t>
  </si>
  <si>
    <t>792606206</t>
  </si>
  <si>
    <t>P99.5 R88 2000</t>
  </si>
  <si>
    <t>0                      P  0099500R  88          2000</t>
  </si>
  <si>
    <t>The body in language / Horst Ruthrof.</t>
  </si>
  <si>
    <t>Ruthrof, Horst.</t>
  </si>
  <si>
    <t>London ; New York : Cassell, 2000.</t>
  </si>
  <si>
    <t>2016-02-12</t>
  </si>
  <si>
    <t>23449593:eng</t>
  </si>
  <si>
    <t>40752943</t>
  </si>
  <si>
    <t>ocm40752943</t>
  </si>
  <si>
    <t>31027519919</t>
  </si>
  <si>
    <t>9780304338054</t>
  </si>
  <si>
    <t>793574882</t>
  </si>
  <si>
    <t>P99.5 S54</t>
  </si>
  <si>
    <t>0                      P  0099500S  54</t>
  </si>
  <si>
    <t>Skill in nonverbal communication : individual differences / edited by Robert Rosenthal.</t>
  </si>
  <si>
    <t>Cambridge, Mass. : Oelgeschlager, Gunn &amp; Hain, ©1979.</t>
  </si>
  <si>
    <t>16797972:eng</t>
  </si>
  <si>
    <t>5286145</t>
  </si>
  <si>
    <t>ocm05286145</t>
  </si>
  <si>
    <t>31027519909</t>
  </si>
  <si>
    <t>9780899460000</t>
  </si>
  <si>
    <t>792422167</t>
  </si>
  <si>
    <t>2009-12-02</t>
  </si>
  <si>
    <t>3102751989B</t>
  </si>
  <si>
    <t>792422168</t>
  </si>
  <si>
    <t>P99.5 W53 2009</t>
  </si>
  <si>
    <t>0                      P  0099500W  53          2009</t>
  </si>
  <si>
    <t>Pragmatics and non-verbal communication / Tim Wharton.</t>
  </si>
  <si>
    <t>Wharton, Tim.</t>
  </si>
  <si>
    <t>195931373:eng</t>
  </si>
  <si>
    <t>318872002</t>
  </si>
  <si>
    <t>ocn318872002</t>
  </si>
  <si>
    <t>3102860230Z</t>
  </si>
  <si>
    <t>9780521870979</t>
  </si>
  <si>
    <t>794482672</t>
  </si>
  <si>
    <t>P101 D45 1992</t>
  </si>
  <si>
    <t>0                      P  0101000D  45          1992</t>
  </si>
  <si>
    <t>Les voix du signe : nature et origine du langage à la Renaissance, 1480-1580 / Marie-Luce Demonet.</t>
  </si>
  <si>
    <t>Demonet, Marie-Luce.</t>
  </si>
  <si>
    <t>Paris : H. Champion, 1992.</t>
  </si>
  <si>
    <t>Bibliothèque littéraire de la Renaissance. Série 3 ; t. 29</t>
  </si>
  <si>
    <t>2019-10-26</t>
  </si>
  <si>
    <t>365142203:fre</t>
  </si>
  <si>
    <t>32704678</t>
  </si>
  <si>
    <t>ocm32704678</t>
  </si>
  <si>
    <t>3101547773I</t>
  </si>
  <si>
    <t>9782852032552</t>
  </si>
  <si>
    <t>793392292</t>
  </si>
  <si>
    <t>P101 F76 2011</t>
  </si>
  <si>
    <t>0                      P  0101000F  76          2011</t>
  </si>
  <si>
    <t>From Beowulf to Caxton : studies in medieval languages and literature, texts and manuscripts / Tomonori Matsushita, A.V.C. Schmidt and David Wallace (eds).</t>
  </si>
  <si>
    <t>Oxford ; New York : Peter Lang, ©2011.</t>
  </si>
  <si>
    <t>Studies in historical linguistics ; v. 7</t>
  </si>
  <si>
    <t>836579488:eng</t>
  </si>
  <si>
    <t>708243840</t>
  </si>
  <si>
    <t>ocn708243840</t>
  </si>
  <si>
    <t>31033428403</t>
  </si>
  <si>
    <t>9783034301046</t>
  </si>
  <si>
    <t>794868701</t>
  </si>
  <si>
    <t>P101 G313</t>
  </si>
  <si>
    <t>0                      P  0101000G  313</t>
  </si>
  <si>
    <t>Galen on language and ambiguity : an English translation of Galen's "De captionibus (On fallacies)" with introduction, text, and commentary / by Robert Blair Edlow.</t>
  </si>
  <si>
    <t>Galen.</t>
  </si>
  <si>
    <t>Leiden : Brill, 1977.</t>
  </si>
  <si>
    <t>Philosophia antiqua ; v. 31</t>
  </si>
  <si>
    <t>633330:eng</t>
  </si>
  <si>
    <t>3293329</t>
  </si>
  <si>
    <t>ocm03293329</t>
  </si>
  <si>
    <t>3102751977D</t>
  </si>
  <si>
    <t>9789004048690</t>
  </si>
  <si>
    <t>792239583</t>
  </si>
  <si>
    <t>P101 R513 1994</t>
  </si>
  <si>
    <t>0                      P  0101000R  513         1994</t>
  </si>
  <si>
    <t>Linguistics, anthropology, and philosophy in the French enlightenment : language theory and ideology / Ulrich Ricken ; translated from the German by Robert E. Norton.</t>
  </si>
  <si>
    <t>Ricken, Ulrich.</t>
  </si>
  <si>
    <t>London ; New York : Routledge, 1994.</t>
  </si>
  <si>
    <t>337474:eng</t>
  </si>
  <si>
    <t>27681736</t>
  </si>
  <si>
    <t>ocm27681736</t>
  </si>
  <si>
    <t>31027520573</t>
  </si>
  <si>
    <t>9780415076791</t>
  </si>
  <si>
    <t>793269178</t>
  </si>
  <si>
    <t>P101 T4513x 1972</t>
  </si>
  <si>
    <t>0                      P  0101000T  4513x       1972</t>
  </si>
  <si>
    <t>Grammatica speculativa / Thomas of Erfurt ; an edition with translation [from the Latin] and commentary by G.L. Bursill-Hall.</t>
  </si>
  <si>
    <t>Thomas, von Erfurt, active 14th century.</t>
  </si>
  <si>
    <t>[London] : Longman, 1972.</t>
  </si>
  <si>
    <t>The Classics of linguistics</t>
  </si>
  <si>
    <t>2018-06-18</t>
  </si>
  <si>
    <t>612255628:eng</t>
  </si>
  <si>
    <t>3187605</t>
  </si>
  <si>
    <t>ocm03187605</t>
  </si>
  <si>
    <t>31027520611</t>
  </si>
  <si>
    <t>9780582524958</t>
  </si>
  <si>
    <t>792227284</t>
  </si>
  <si>
    <t>P103 H78 1969</t>
  </si>
  <si>
    <t>0                      P  0103000H  78          1969</t>
  </si>
  <si>
    <t>De l'origine des formes grammaticales : suivi de Lettre à M. Abel Rémusat / G. de Humboldt.</t>
  </si>
  <si>
    <t>Humboldt, Wilhelm von, 1767-1835.</t>
  </si>
  <si>
    <t>[Bordeaux] : Éditions Ducros, 1969.</t>
  </si>
  <si>
    <t>Collection Ducros ; 4</t>
  </si>
  <si>
    <t>501484293:fre</t>
  </si>
  <si>
    <t>2729882</t>
  </si>
  <si>
    <t>ocm02729882</t>
  </si>
  <si>
    <t>31027520495</t>
  </si>
  <si>
    <t>792169112</t>
  </si>
  <si>
    <t>P103 H813 1972</t>
  </si>
  <si>
    <t>0                      P  0103000H  813         1972</t>
  </si>
  <si>
    <t>Linguistic variability &amp; intellectual development / by Wilhelm von Humboldt ; translated by George C. Buck and Frithjof A. Raven.</t>
  </si>
  <si>
    <t>Philadelphia : University of Pennsylvania Press, 1972, ©1971.</t>
  </si>
  <si>
    <t>1st Pennsylvania pbk. ed.</t>
  </si>
  <si>
    <t>Pennsylvania paperbacks ; 28.</t>
  </si>
  <si>
    <t>2019-07-29</t>
  </si>
  <si>
    <t>4494933378:eng</t>
  </si>
  <si>
    <t>15091392</t>
  </si>
  <si>
    <t>ocm15091392</t>
  </si>
  <si>
    <t>3102712517G</t>
  </si>
  <si>
    <t>9780812210286</t>
  </si>
  <si>
    <t>792919742</t>
  </si>
  <si>
    <t>P103 H813 1999</t>
  </si>
  <si>
    <t>0                      P  0103000H  813         1999</t>
  </si>
  <si>
    <t>On language : on the diversity of human language construction and its influence on the mental development of the human species / edited by Michael Losonsky ; translated by Peter Heath.</t>
  </si>
  <si>
    <t>New York : Cambridge University Press, 1999.</t>
  </si>
  <si>
    <t>Cambridge texts in the history of philosophy</t>
  </si>
  <si>
    <t>4460768387:eng</t>
  </si>
  <si>
    <t>40595363</t>
  </si>
  <si>
    <t>ocm40595363</t>
  </si>
  <si>
    <t>31027520455</t>
  </si>
  <si>
    <t>9780521660891</t>
  </si>
  <si>
    <t>793570782</t>
  </si>
  <si>
    <t>P103 H8135 1988</t>
  </si>
  <si>
    <t>0                      P  0103000H  8135        1988</t>
  </si>
  <si>
    <t>On language : the diversity of human language-structure and its influence on the mental development of mankind / Wilhelm von Humboldt ; translated by Peter Heath ; with an introduction by Hans Aarsleff.</t>
  </si>
  <si>
    <t>Texts in German philosophy</t>
  </si>
  <si>
    <t>2019-01-18</t>
  </si>
  <si>
    <t>3901119776:eng</t>
  </si>
  <si>
    <t>11550116</t>
  </si>
  <si>
    <t>ocm11550116</t>
  </si>
  <si>
    <t>31027520445</t>
  </si>
  <si>
    <t>9780521257473</t>
  </si>
  <si>
    <t>792778093</t>
  </si>
  <si>
    <t>P105 B32 1990</t>
  </si>
  <si>
    <t>0                      P  0105000B  32          1990</t>
  </si>
  <si>
    <t>Language, the learner, and the school / Douglas Barnes, James Britton, and Mike Torbe.</t>
  </si>
  <si>
    <t>Barnes, Douglas R.</t>
  </si>
  <si>
    <t>Portsmouth, NH : Boynton/Cook, 1990.</t>
  </si>
  <si>
    <t>2019-08-11</t>
  </si>
  <si>
    <t>1089968122:eng</t>
  </si>
  <si>
    <t>20263354</t>
  </si>
  <si>
    <t>ocm20263354</t>
  </si>
  <si>
    <t>31011870775</t>
  </si>
  <si>
    <t>9780867092516</t>
  </si>
  <si>
    <t>793082292</t>
  </si>
  <si>
    <t>P105 B8513 2011</t>
  </si>
  <si>
    <t>0                      P  0105000B  8513        2011</t>
  </si>
  <si>
    <t>Theory of language : the representational function of language / Karl Bühler ; translated by Donald Fraser Goodwin, in collaboration with Achim Eschbach.</t>
  </si>
  <si>
    <t>Bühler, Karl, 1879-1963.</t>
  </si>
  <si>
    <t>2015-02-09</t>
  </si>
  <si>
    <t>8907630066:eng</t>
  </si>
  <si>
    <t>704121334</t>
  </si>
  <si>
    <t>ocn704121334</t>
  </si>
  <si>
    <t>3103364766L</t>
  </si>
  <si>
    <t>9789027211828</t>
  </si>
  <si>
    <t>794865297</t>
  </si>
  <si>
    <t>P105 C27 1964</t>
  </si>
  <si>
    <t>0                      P  0105000C  27          1964</t>
  </si>
  <si>
    <t>Language and thought [by] John B. Carroll.</t>
  </si>
  <si>
    <t>Carroll, John B. (John Bissell), 1916-2003.</t>
  </si>
  <si>
    <t>Englewood Cliffs, N.J., Prentice-Hall [1964]</t>
  </si>
  <si>
    <t>Foundations of modern psychology series</t>
  </si>
  <si>
    <t>181946703:eng</t>
  </si>
  <si>
    <t>306931</t>
  </si>
  <si>
    <t>ocm00306931</t>
  </si>
  <si>
    <t>31027520259</t>
  </si>
  <si>
    <t>791331033</t>
  </si>
  <si>
    <t>P105 C32</t>
  </si>
  <si>
    <t>0                      P  0105000C  32</t>
  </si>
  <si>
    <t>Language and myth, by Ernst Cassirer ... Translated by Susanne K. Langer.</t>
  </si>
  <si>
    <t>Cassirer, Ernst, 1874-1945.</t>
  </si>
  <si>
    <t>New York and London, Harper &amp; Bros. [1946]</t>
  </si>
  <si>
    <t>1946</t>
  </si>
  <si>
    <t>866082304:eng</t>
  </si>
  <si>
    <t>991645</t>
  </si>
  <si>
    <t>ocm00991645</t>
  </si>
  <si>
    <t>31027520229</t>
  </si>
  <si>
    <t>791520042</t>
  </si>
  <si>
    <t>3000241904O</t>
  </si>
  <si>
    <t>791520044</t>
  </si>
  <si>
    <t>2011-01-28</t>
  </si>
  <si>
    <t>31027520249</t>
  </si>
  <si>
    <t>791520045</t>
  </si>
  <si>
    <t>31027520239</t>
  </si>
  <si>
    <t>791520043</t>
  </si>
  <si>
    <t>P105 C65x</t>
  </si>
  <si>
    <t>0                      P  0105000C  65x</t>
  </si>
  <si>
    <t>Psychology and language : an introduction to psycholinguistics / Herbert H. Clark, Eve V. Clark.</t>
  </si>
  <si>
    <t>Clark, Herbert H.</t>
  </si>
  <si>
    <t>New York : Harcourt Brace Jovanovich, ©1977.</t>
  </si>
  <si>
    <t>2009-06-11</t>
  </si>
  <si>
    <t>2016-09-23</t>
  </si>
  <si>
    <t>889359254:eng</t>
  </si>
  <si>
    <t>2935333</t>
  </si>
  <si>
    <t>ocm02935333</t>
  </si>
  <si>
    <t>3000987103T</t>
  </si>
  <si>
    <t>9780155728158</t>
  </si>
  <si>
    <t>792195827</t>
  </si>
  <si>
    <t>3102752102A</t>
  </si>
  <si>
    <t>792195828</t>
  </si>
  <si>
    <t>P105 D27</t>
  </si>
  <si>
    <t>0                      P  0105000D  27</t>
  </si>
  <si>
    <t>La philosophie du langage.</t>
  </si>
  <si>
    <t>Dauzat, Albert, 1877-1955.</t>
  </si>
  <si>
    <t>Paris, E. Flammarion, 1912.</t>
  </si>
  <si>
    <t>1912</t>
  </si>
  <si>
    <t>Bibliothèque de philosophie scientifique</t>
  </si>
  <si>
    <t>2015-03-07</t>
  </si>
  <si>
    <t>348126978:fre</t>
  </si>
  <si>
    <t>306940</t>
  </si>
  <si>
    <t>ocm00306940</t>
  </si>
  <si>
    <t>3102752101A</t>
  </si>
  <si>
    <t>791331038</t>
  </si>
  <si>
    <t>P105 D5313 1976</t>
  </si>
  <si>
    <t>0                      P  0105000D  5313        1976</t>
  </si>
  <si>
    <t>Of grammatology / by Jacques Derrida ; translated by Gayatri Chakravorty Spivak.</t>
  </si>
  <si>
    <t>Derrida, Jacques, author.</t>
  </si>
  <si>
    <t>Baltimore : Johns Hopkins University Press, [1976]</t>
  </si>
  <si>
    <t>First American edition</t>
  </si>
  <si>
    <t>4020353045:eng</t>
  </si>
  <si>
    <t>2331293</t>
  </si>
  <si>
    <t>ocm02331293</t>
  </si>
  <si>
    <t>3103593775P</t>
  </si>
  <si>
    <t>9780801818790</t>
  </si>
  <si>
    <t>792104865</t>
  </si>
  <si>
    <t>3103639728X</t>
  </si>
  <si>
    <t>792104866</t>
  </si>
  <si>
    <t>3102683216T</t>
  </si>
  <si>
    <t>792104868</t>
  </si>
  <si>
    <t>3103626364T</t>
  </si>
  <si>
    <t>792104867</t>
  </si>
  <si>
    <t>P105 D5313 1998</t>
  </si>
  <si>
    <t>0                      P  0105000D  5313        1998</t>
  </si>
  <si>
    <t>Derrida, Jacques.</t>
  </si>
  <si>
    <t>Baltimore : Johns Hopkins University Press, 1998.</t>
  </si>
  <si>
    <t>Corrected ed.</t>
  </si>
  <si>
    <t>39348029</t>
  </si>
  <si>
    <t>ocm39348029</t>
  </si>
  <si>
    <t>3102734571N</t>
  </si>
  <si>
    <t>9780801858307</t>
  </si>
  <si>
    <t>793544257</t>
  </si>
  <si>
    <t>3102752096W</t>
  </si>
  <si>
    <t>793544256</t>
  </si>
  <si>
    <t>P105 D5313 2016</t>
  </si>
  <si>
    <t>0                      P  0105000D  5313        2016</t>
  </si>
  <si>
    <t>Of Grammatology / Jacques Derrida ; translated by Gayatri Chakravorty Spivak ; introduction by Judith Butler.</t>
  </si>
  <si>
    <t>Baltimore : Johns Hopkins University Press, 2016.</t>
  </si>
  <si>
    <t>Fortieth-Anniversary edition.</t>
  </si>
  <si>
    <t>2019-12-03</t>
  </si>
  <si>
    <t>921240434</t>
  </si>
  <si>
    <t>ocn921240434</t>
  </si>
  <si>
    <t>3103794471Q</t>
  </si>
  <si>
    <t>9781421419954</t>
  </si>
  <si>
    <t>795003078</t>
  </si>
  <si>
    <t>3103794824J</t>
  </si>
  <si>
    <t>795003076</t>
  </si>
  <si>
    <t>3103688605O</t>
  </si>
  <si>
    <t>795003075</t>
  </si>
  <si>
    <t>3103688606M</t>
  </si>
  <si>
    <t>795003077</t>
  </si>
  <si>
    <t>3103794466J</t>
  </si>
  <si>
    <t>795003079</t>
  </si>
  <si>
    <t>P105 D533 B73 2008</t>
  </si>
  <si>
    <t>0                      P  0105000D  533                B  73          2008</t>
  </si>
  <si>
    <t>Derrida's Of grammatology / Arthur Bradley.</t>
  </si>
  <si>
    <t>Bradley, Arthur.</t>
  </si>
  <si>
    <t>Bloomington : Indiana University Press, ©2008.</t>
  </si>
  <si>
    <t>Indiana philosophical guides</t>
  </si>
  <si>
    <t>2017-02-15</t>
  </si>
  <si>
    <t>803290750:eng</t>
  </si>
  <si>
    <t>237287978</t>
  </si>
  <si>
    <t>ocn237287978</t>
  </si>
  <si>
    <t>31029744186</t>
  </si>
  <si>
    <t>9780253220349</t>
  </si>
  <si>
    <t>794372914</t>
  </si>
  <si>
    <t>P105 D533 R43 2011</t>
  </si>
  <si>
    <t>0                      P  0105000D  533                R  43          2011</t>
  </si>
  <si>
    <t>Reading Derrida's Of grammatology / edited by Sean Gaston and Ian Maclachlan.</t>
  </si>
  <si>
    <t>1004803537:eng</t>
  </si>
  <si>
    <t>657602900</t>
  </si>
  <si>
    <t>ocn657602900</t>
  </si>
  <si>
    <t>3103527927J</t>
  </si>
  <si>
    <t>9781441152756</t>
  </si>
  <si>
    <t>794835635</t>
  </si>
  <si>
    <t>P105 H513 1963</t>
  </si>
  <si>
    <t>0                      P  0105000H  513         1963</t>
  </si>
  <si>
    <t>Prolegomena to a theory of language / by Louis Hjelmslev ; translated by Francis J. Whitfield.</t>
  </si>
  <si>
    <t>Madison : University of Wisconsin Press, [©1961] 1963.</t>
  </si>
  <si>
    <t>[Rev. English ed.].</t>
  </si>
  <si>
    <t>2017-07-12</t>
  </si>
  <si>
    <t>1150992227:eng</t>
  </si>
  <si>
    <t>19248625</t>
  </si>
  <si>
    <t>ocm19248625</t>
  </si>
  <si>
    <t>31027521510</t>
  </si>
  <si>
    <t>9780299024703</t>
  </si>
  <si>
    <t>793050946</t>
  </si>
  <si>
    <t>P105 H515</t>
  </si>
  <si>
    <t>0                      P  0105000H  515</t>
  </si>
  <si>
    <t>Prolégomènes à une théorie du langage. Traduit du danois par une équipe de linguistes. Traduction revue par Anne-Marie Léonard. Suivi de: la Structure fondamentale du langage. Traduit de l'anglais par Anne-Marie Léonard ...</t>
  </si>
  <si>
    <t>Paris, Éditions de Minuit, 1968.</t>
  </si>
  <si>
    <t>Arguments, 35</t>
  </si>
  <si>
    <t>4494910288:fre</t>
  </si>
  <si>
    <t>3287810</t>
  </si>
  <si>
    <t>ocm03287810</t>
  </si>
  <si>
    <t>3001011740F</t>
  </si>
  <si>
    <t>792239052</t>
  </si>
  <si>
    <t>P105 H516</t>
  </si>
  <si>
    <t>0                      P  0105000H  516</t>
  </si>
  <si>
    <t>I fondamenti della teoria del linguaggio. Introd. e traduzione de Giulio C. Lepschy.</t>
  </si>
  <si>
    <t>[Torino] G. Einaudi [©1968]</t>
  </si>
  <si>
    <t>Nuova biblioteca scientifica Einaudi, 21</t>
  </si>
  <si>
    <t>2875200531:ita</t>
  </si>
  <si>
    <t>10543470</t>
  </si>
  <si>
    <t>ocm10543470</t>
  </si>
  <si>
    <t>31027521452</t>
  </si>
  <si>
    <t>792731262</t>
  </si>
  <si>
    <t>P105 K33</t>
  </si>
  <si>
    <t>0                      P  0105000K  33</t>
  </si>
  <si>
    <t>The philosophy of language / Jerrold J. Katz.</t>
  </si>
  <si>
    <t>Katz, Jerrold J., author.</t>
  </si>
  <si>
    <t>New York : Harper &amp; Row, [1966]</t>
  </si>
  <si>
    <t>Studies in language</t>
  </si>
  <si>
    <t>10177379485:eng</t>
  </si>
  <si>
    <t>306869</t>
  </si>
  <si>
    <t>ocm00306869</t>
  </si>
  <si>
    <t>31027521344</t>
  </si>
  <si>
    <t>791330987</t>
  </si>
  <si>
    <t>31027521324</t>
  </si>
  <si>
    <t>791330989</t>
  </si>
  <si>
    <t>3000993858R</t>
  </si>
  <si>
    <t>791330988</t>
  </si>
  <si>
    <t>3000241912P</t>
  </si>
  <si>
    <t>791330990</t>
  </si>
  <si>
    <t>P105 O7x</t>
  </si>
  <si>
    <t>0                      P  0105000O  7x</t>
  </si>
  <si>
    <t>Le discours et le symbole.</t>
  </si>
  <si>
    <t>Ortigues, Edmond.</t>
  </si>
  <si>
    <t>Aubier : Editions Montaigne, [1962]</t>
  </si>
  <si>
    <t>Philosophie de l'esprit</t>
  </si>
  <si>
    <t>350747072:eng</t>
  </si>
  <si>
    <t>221197465</t>
  </si>
  <si>
    <t>ocn221197465</t>
  </si>
  <si>
    <t>31027521198</t>
  </si>
  <si>
    <t>794324983</t>
  </si>
  <si>
    <t>P105 S2 1949</t>
  </si>
  <si>
    <t>0                      P  0105000S  2           1949</t>
  </si>
  <si>
    <t>Language : an introduction to the study of speech / by Edward Sapir.</t>
  </si>
  <si>
    <t>New York : Harcourt, Brace &amp; Co., ©1949.</t>
  </si>
  <si>
    <t>Harvest books ; HB7</t>
  </si>
  <si>
    <t>4007451828:eng</t>
  </si>
  <si>
    <t>271337</t>
  </si>
  <si>
    <t>ocm00271337</t>
  </si>
  <si>
    <t>3102752182V</t>
  </si>
  <si>
    <t>9780156482332</t>
  </si>
  <si>
    <t>791318687</t>
  </si>
  <si>
    <t>2009-09-26</t>
  </si>
  <si>
    <t>3102752181V</t>
  </si>
  <si>
    <t>791318688</t>
  </si>
  <si>
    <t>3102752180V</t>
  </si>
  <si>
    <t>791318692</t>
  </si>
  <si>
    <t>2006-04-01</t>
  </si>
  <si>
    <t>3102752183V</t>
  </si>
  <si>
    <t>791318693</t>
  </si>
  <si>
    <t>2001-10-19</t>
  </si>
  <si>
    <t>30009700103</t>
  </si>
  <si>
    <t>791318689</t>
  </si>
  <si>
    <t>2005-11-26</t>
  </si>
  <si>
    <t>3102752185V</t>
  </si>
  <si>
    <t>791318691</t>
  </si>
  <si>
    <t>P105 V913</t>
  </si>
  <si>
    <t>0                      P  0105000V  913</t>
  </si>
  <si>
    <t>Thought and language / edited and translated by Eugenia Hanfmann and Gertrude Vakar.</t>
  </si>
  <si>
    <t>Cambridge : M.I.T. Press, Massachusetts Institute of Technology, [1962]</t>
  </si>
  <si>
    <t>Studies in communication</t>
  </si>
  <si>
    <t>2018-09-07</t>
  </si>
  <si>
    <t>603860:eng</t>
  </si>
  <si>
    <t>316164</t>
  </si>
  <si>
    <t>ocm00316164</t>
  </si>
  <si>
    <t>3100662729Z</t>
  </si>
  <si>
    <t>9780262720014</t>
  </si>
  <si>
    <t>791334432</t>
  </si>
  <si>
    <t>3100635138O</t>
  </si>
  <si>
    <t>791334428</t>
  </si>
  <si>
    <t>2010-10-31</t>
  </si>
  <si>
    <t>31027521530</t>
  </si>
  <si>
    <t>791334437</t>
  </si>
  <si>
    <t>2012-01-27</t>
  </si>
  <si>
    <t>3103400573S</t>
  </si>
  <si>
    <t>791334434</t>
  </si>
  <si>
    <t>31027521540</t>
  </si>
  <si>
    <t>791334431</t>
  </si>
  <si>
    <t>31034530912</t>
  </si>
  <si>
    <t>791334436</t>
  </si>
  <si>
    <t>31027521560</t>
  </si>
  <si>
    <t>791334430</t>
  </si>
  <si>
    <t>2006-01-03</t>
  </si>
  <si>
    <t>31027521520</t>
  </si>
  <si>
    <t>791334427</t>
  </si>
  <si>
    <t>31027521550</t>
  </si>
  <si>
    <t>791334435</t>
  </si>
  <si>
    <t>2011-05-09</t>
  </si>
  <si>
    <t>31027521570</t>
  </si>
  <si>
    <t>791334433</t>
  </si>
  <si>
    <t>2000-12-11</t>
  </si>
  <si>
    <t>3101430795J</t>
  </si>
  <si>
    <t>791334426</t>
  </si>
  <si>
    <t>3102754667C</t>
  </si>
  <si>
    <t>791334429</t>
  </si>
  <si>
    <t>P106 A2 1982</t>
  </si>
  <si>
    <t>0                      P  0106000A  2           1982</t>
  </si>
  <si>
    <t>From Locke to Saussure : essays on the study of language and intellectual history / Hans Aarsleff.</t>
  </si>
  <si>
    <t>Aarsleff, Hans.</t>
  </si>
  <si>
    <t>Minneapolis : University of Minnesota Press, ©1982.</t>
  </si>
  <si>
    <t>2010-03-07</t>
  </si>
  <si>
    <t>2015-04-29</t>
  </si>
  <si>
    <t>9463546987:eng</t>
  </si>
  <si>
    <t>7572619</t>
  </si>
  <si>
    <t>ocm07572619</t>
  </si>
  <si>
    <t>3102754660C</t>
  </si>
  <si>
    <t>9780816609642</t>
  </si>
  <si>
    <t>792566707</t>
  </si>
  <si>
    <t>3102754661C</t>
  </si>
  <si>
    <t>792566708</t>
  </si>
  <si>
    <t>P106 .A9 1962</t>
  </si>
  <si>
    <t>0                      P  0106000A  9           1962</t>
  </si>
  <si>
    <t>How to do things with words / J.L. Austin.</t>
  </si>
  <si>
    <t>Austin, J. L. (John Langshaw), 1911-1960, author.</t>
  </si>
  <si>
    <t>Cambridge : Harvard University Press, 1962.</t>
  </si>
  <si>
    <t>The William James lectures ; 1955</t>
  </si>
  <si>
    <t>2002-01-16</t>
  </si>
  <si>
    <t>1451149:eng</t>
  </si>
  <si>
    <t>372113</t>
  </si>
  <si>
    <t>ocm00372113</t>
  </si>
  <si>
    <t>3000994308K</t>
  </si>
  <si>
    <t>791355292</t>
  </si>
  <si>
    <t>P106 A97 1998</t>
  </si>
  <si>
    <t>0                      P  0106000A  97          1998</t>
  </si>
  <si>
    <t>La raison, le langage et les normes / Sylvain Auroux.</t>
  </si>
  <si>
    <t>Paris : Presses universitaires de France, 1998.</t>
  </si>
  <si>
    <t>Collection Sciences, modernités, philosophies</t>
  </si>
  <si>
    <t>349684825:fre</t>
  </si>
  <si>
    <t>53331532</t>
  </si>
  <si>
    <t>ocm53331532</t>
  </si>
  <si>
    <t>3102754647G</t>
  </si>
  <si>
    <t>9782130496342</t>
  </si>
  <si>
    <t>793826505</t>
  </si>
  <si>
    <t>P106 B467 1995</t>
  </si>
  <si>
    <t>0                      P  0106000B  467         1995</t>
  </si>
  <si>
    <t>Language and human behavior / Derek Bickerton.</t>
  </si>
  <si>
    <t>Bickerton, Derek.</t>
  </si>
  <si>
    <t>Seattle : University of Washington Press, ©1995.</t>
  </si>
  <si>
    <t>The Jessie and John Danz lectures</t>
  </si>
  <si>
    <t>2015-05-22</t>
  </si>
  <si>
    <t>23793629:eng</t>
  </si>
  <si>
    <t>32468951</t>
  </si>
  <si>
    <t>ocm32468951</t>
  </si>
  <si>
    <t>3102754637I</t>
  </si>
  <si>
    <t>9780295974576</t>
  </si>
  <si>
    <t>793385191</t>
  </si>
  <si>
    <t>P106 B469 2011</t>
  </si>
  <si>
    <t>0                      P  0106000B  469         2011</t>
  </si>
  <si>
    <t>The biolinguistic enterprise : new perspectives on the evolution and nature of the human language faculty / edited by Anna Maria Di Sciullo and Cedric Boeckx.</t>
  </si>
  <si>
    <t>Oxford ; New York, NY : Oxford University Press, ©2011.</t>
  </si>
  <si>
    <t>2012-01-20</t>
  </si>
  <si>
    <t>810906226:eng</t>
  </si>
  <si>
    <t>718707880</t>
  </si>
  <si>
    <t>ocn718707880</t>
  </si>
  <si>
    <t>31032349257</t>
  </si>
  <si>
    <t>9780199553280</t>
  </si>
  <si>
    <t>794874359</t>
  </si>
  <si>
    <t>P106 B47 1984</t>
  </si>
  <si>
    <t>0                      P  0106000B  47          1984</t>
  </si>
  <si>
    <t>Spreading the word : groundings in the philosophy of language / by Simon Blackburn.</t>
  </si>
  <si>
    <t>Blackburn, Simon, 1944-</t>
  </si>
  <si>
    <t>Oxford [Oxfordshire] : Clarendon Press ; New York : Oxford University Press, ©1984.</t>
  </si>
  <si>
    <t>796477997:eng</t>
  </si>
  <si>
    <t>9828613</t>
  </si>
  <si>
    <t>ocm09828613</t>
  </si>
  <si>
    <t>3102824290R</t>
  </si>
  <si>
    <t>9780198246503</t>
  </si>
  <si>
    <t>792695635</t>
  </si>
  <si>
    <t>3000358947W</t>
  </si>
  <si>
    <t>792695634</t>
  </si>
  <si>
    <t>P106 B58 1969</t>
  </si>
  <si>
    <t>0                      P  0106000B  58          1969</t>
  </si>
  <si>
    <t>Hegels Deutung der Sprache; Interpretationen zu Hegels Äusserungen über die Sprache.</t>
  </si>
  <si>
    <t>Bodammer, Theodor.</t>
  </si>
  <si>
    <t>Hamburg, F. Meiner [1969]</t>
  </si>
  <si>
    <t>233153584:ger</t>
  </si>
  <si>
    <t>1911093</t>
  </si>
  <si>
    <t>ocm01911093</t>
  </si>
  <si>
    <t>3102754635I</t>
  </si>
  <si>
    <t>792010001</t>
  </si>
  <si>
    <t>P106 B59 1981</t>
  </si>
  <si>
    <t>0                      P  0106000B  59          1981</t>
  </si>
  <si>
    <t>Aspects of language / Dwight Bolinger, Donald A. Sears.</t>
  </si>
  <si>
    <t>Bolinger, Dwight, 1907-1992.</t>
  </si>
  <si>
    <t>New York : Harcourt Brace Jovanovich, ©1981.</t>
  </si>
  <si>
    <t>3d ed.</t>
  </si>
  <si>
    <t>413701:eng</t>
  </si>
  <si>
    <t>7279353</t>
  </si>
  <si>
    <t>ocm07279353</t>
  </si>
  <si>
    <t>3102325534J</t>
  </si>
  <si>
    <t>9780155038721</t>
  </si>
  <si>
    <t>792550970</t>
  </si>
  <si>
    <t>P106 B67 2001</t>
  </si>
  <si>
    <t>0                      P  0106000B  67          2001</t>
  </si>
  <si>
    <t>Langage et pouvoir symbolique / Pierre Bourdieu ; préface de John B. Thompson.</t>
  </si>
  <si>
    <t>Bourdieu, Pierre, 1930-2002.</t>
  </si>
  <si>
    <t>Paris : Éditions Fayard : Édition du Seuil, ©2001.</t>
  </si>
  <si>
    <t>Points. Essais ; 461</t>
  </si>
  <si>
    <t>2019-09-21</t>
  </si>
  <si>
    <t>4991371848:fre</t>
  </si>
  <si>
    <t>48012309</t>
  </si>
  <si>
    <t>ocm48012309</t>
  </si>
  <si>
    <t>3103346372X</t>
  </si>
  <si>
    <t>9782020509220</t>
  </si>
  <si>
    <t>793713761</t>
  </si>
  <si>
    <t>P106 B6713 1991</t>
  </si>
  <si>
    <t>0                      P  0106000B  6713        1991</t>
  </si>
  <si>
    <t>Language and symbolic power / Pierre Bourdieu ; edited and introduced by John B. Thompson ; translated by Gino Raymond and Matthew Adamson.</t>
  </si>
  <si>
    <t>Cambridge : Polity, 1991.</t>
  </si>
  <si>
    <t>57740565:eng</t>
  </si>
  <si>
    <t>22627466</t>
  </si>
  <si>
    <t>ocm22627466</t>
  </si>
  <si>
    <t>3102784855U</t>
  </si>
  <si>
    <t>9780745600970</t>
  </si>
  <si>
    <t>793149612</t>
  </si>
  <si>
    <t>P106 B68 1982</t>
  </si>
  <si>
    <t>0                      P  0106000B  68          1982</t>
  </si>
  <si>
    <t>Ce que parler veut dire : l'économie des échanges linguistiques / Pierre Bourdieu.</t>
  </si>
  <si>
    <t>Bourdieu, Pierre, 1930-2002, author.</t>
  </si>
  <si>
    <t>Paris [France] : La librairie Arthème Fayard, [1982]</t>
  </si>
  <si>
    <t>2944357146:fre</t>
  </si>
  <si>
    <t>9253110</t>
  </si>
  <si>
    <t>ocm09253110</t>
  </si>
  <si>
    <t>3103533496V</t>
  </si>
  <si>
    <t>9782213012162</t>
  </si>
  <si>
    <t>792666186</t>
  </si>
  <si>
    <t>P106 B694 1994</t>
  </si>
  <si>
    <t>0                      P  0106000B  694         1994</t>
  </si>
  <si>
    <t>Making it explicit : reasoning, representing, and discursive commitment / Robert B. Brandom.</t>
  </si>
  <si>
    <t>Brandom, Robert.</t>
  </si>
  <si>
    <t>Cambridge, Mass. : Harvard University Press, 1994.</t>
  </si>
  <si>
    <t>2019-10-25</t>
  </si>
  <si>
    <t>480059618:eng</t>
  </si>
  <si>
    <t>29667963</t>
  </si>
  <si>
    <t>ocm29667963</t>
  </si>
  <si>
    <t>3102754715J</t>
  </si>
  <si>
    <t>9780674543195</t>
  </si>
  <si>
    <t>793317559</t>
  </si>
  <si>
    <t>P106 B733 2012</t>
  </si>
  <si>
    <t>0                      P  0106000B  733         2012</t>
  </si>
  <si>
    <t>Transient truths : an essay in the metaphysics of propositions / Berit Brogaard.</t>
  </si>
  <si>
    <t>Brogaard, Berit, author.</t>
  </si>
  <si>
    <t>New York : Oxford University Press, [2012]</t>
  </si>
  <si>
    <t>2013-08-08</t>
  </si>
  <si>
    <t>961706423:eng</t>
  </si>
  <si>
    <t>743432380</t>
  </si>
  <si>
    <t>ocn743432380</t>
  </si>
  <si>
    <t>31034126928</t>
  </si>
  <si>
    <t>9780199796908</t>
  </si>
  <si>
    <t>794885798</t>
  </si>
  <si>
    <t>P106 C27813 1998</t>
  </si>
  <si>
    <t>0                      P  0106000C  27813       1998</t>
  </si>
  <si>
    <t>Language wars and linguistic politics / Louis-Jean Calvet ; translated by Michel Petheram.</t>
  </si>
  <si>
    <t>Oxford [England] ; New York : Oxford University Press, 1998.</t>
  </si>
  <si>
    <t>598634:eng</t>
  </si>
  <si>
    <t>37890389</t>
  </si>
  <si>
    <t>ocm37890389</t>
  </si>
  <si>
    <t>3102754705L</t>
  </si>
  <si>
    <t>9780198235989</t>
  </si>
  <si>
    <t>793509453</t>
  </si>
  <si>
    <t>P106 C28413 2006</t>
  </si>
  <si>
    <t>0                      P  0106000C  28413       2006</t>
  </si>
  <si>
    <t>Towards an ecology of world languages / Louis-Jean Calvet ; translated by Andrew Brown.</t>
  </si>
  <si>
    <t>Cambridge : Polity, ©2006.</t>
  </si>
  <si>
    <t>2017-02-22</t>
  </si>
  <si>
    <t>27936152:eng</t>
  </si>
  <si>
    <t>69481092</t>
  </si>
  <si>
    <t>ocm69481092</t>
  </si>
  <si>
    <t>3102587032L</t>
  </si>
  <si>
    <t>9780745629551</t>
  </si>
  <si>
    <t>794146048</t>
  </si>
  <si>
    <t>P106 C46 2016</t>
  </si>
  <si>
    <t>0                      P  0106000C  46          2016</t>
  </si>
  <si>
    <t>What kind of creatures are we? / Noam Chomsky.</t>
  </si>
  <si>
    <t>New York : Columbia University Press, [2016]</t>
  </si>
  <si>
    <t>2597452596:eng</t>
  </si>
  <si>
    <t>918616298</t>
  </si>
  <si>
    <t>ocn918616298</t>
  </si>
  <si>
    <t>31036091257</t>
  </si>
  <si>
    <t>9780231175968</t>
  </si>
  <si>
    <t>795001122</t>
  </si>
  <si>
    <t>P106 C514</t>
  </si>
  <si>
    <t>0                      P  0106000C  514</t>
  </si>
  <si>
    <t>Du langage: A. Martinet et M. Merleau-Ponty.</t>
  </si>
  <si>
    <t>Charron, Ghyslain.</t>
  </si>
  <si>
    <t>Ottawa, Éditions de l'Université d'Ottawa, 1972.</t>
  </si>
  <si>
    <t>Collection Philosophica ; no. 1</t>
  </si>
  <si>
    <t>1906796:fre</t>
  </si>
  <si>
    <t>945886</t>
  </si>
  <si>
    <t>ocm00945886</t>
  </si>
  <si>
    <t>3102754707L</t>
  </si>
  <si>
    <t>791508971</t>
  </si>
  <si>
    <t>P106 C518 1986</t>
  </si>
  <si>
    <t>0                      P  0106000C  518         1986</t>
  </si>
  <si>
    <t>Knowledge of language : its nature, origin, and use / Noam Chomsky.</t>
  </si>
  <si>
    <t>New York : Praeger, 1986.</t>
  </si>
  <si>
    <t>Convergence</t>
  </si>
  <si>
    <t>2017-04-01</t>
  </si>
  <si>
    <t>866284457:eng</t>
  </si>
  <si>
    <t>12235328</t>
  </si>
  <si>
    <t>ocm12235328</t>
  </si>
  <si>
    <t>31031440042</t>
  </si>
  <si>
    <t>9780275900250</t>
  </si>
  <si>
    <t>792807044</t>
  </si>
  <si>
    <t>3102754702L</t>
  </si>
  <si>
    <t>792807045</t>
  </si>
  <si>
    <t>P106 C524 2000</t>
  </si>
  <si>
    <t>0                      P  0106000C  524         2000</t>
  </si>
  <si>
    <t>New horizons in the study of language and mind / Noam Chomsky.</t>
  </si>
  <si>
    <t>2279158:eng</t>
  </si>
  <si>
    <t>41621281</t>
  </si>
  <si>
    <t>ocm41621281</t>
  </si>
  <si>
    <t>3102735399L</t>
  </si>
  <si>
    <t>9780521651479</t>
  </si>
  <si>
    <t>793595437</t>
  </si>
  <si>
    <t>P106 C527 1996</t>
  </si>
  <si>
    <t>0                      P  0106000C  527         1996</t>
  </si>
  <si>
    <t>Powers and prospects : reflections on human nature and the social order / Noam Chomsky.</t>
  </si>
  <si>
    <t>Boston, MA : South End Press, ©1996.</t>
  </si>
  <si>
    <t>803521690:eng</t>
  </si>
  <si>
    <t>34354923</t>
  </si>
  <si>
    <t>ocm34354923</t>
  </si>
  <si>
    <t>3102655173R</t>
  </si>
  <si>
    <t>9780896085367</t>
  </si>
  <si>
    <t>793424939</t>
  </si>
  <si>
    <t>P106 C54 1976</t>
  </si>
  <si>
    <t>0                      P  0106000C  54          1976</t>
  </si>
  <si>
    <t>Reflections on language / Noam Chomsky.</t>
  </si>
  <si>
    <t>New York : Pantheon Books, [1976], ©1975.</t>
  </si>
  <si>
    <t>2005-01-26</t>
  </si>
  <si>
    <t>2017-04-19</t>
  </si>
  <si>
    <t>464475:eng</t>
  </si>
  <si>
    <t>226067659</t>
  </si>
  <si>
    <t>ocn226067659</t>
  </si>
  <si>
    <t>3000980583O</t>
  </si>
  <si>
    <t>9780394499567</t>
  </si>
  <si>
    <t>794343983</t>
  </si>
  <si>
    <t>31027546966</t>
  </si>
  <si>
    <t>794343984</t>
  </si>
  <si>
    <t>31027546956</t>
  </si>
  <si>
    <t>794343982</t>
  </si>
  <si>
    <t>P106 C548 1977</t>
  </si>
  <si>
    <t>0                      P  0106000C  548         1977</t>
  </si>
  <si>
    <t>Réflexions sur le language / Noam Chomsky ; traduit de l'anglais par Judith Milner, Béatrice Vautherin, et Pierre Fiala.</t>
  </si>
  <si>
    <t>Paris : François Maspero, 1977.</t>
  </si>
  <si>
    <t>Les textes à l'appui.</t>
  </si>
  <si>
    <t>5612483807:fre</t>
  </si>
  <si>
    <t>3461292</t>
  </si>
  <si>
    <t>ocm03461292</t>
  </si>
  <si>
    <t>30009859320</t>
  </si>
  <si>
    <t>9782707108906</t>
  </si>
  <si>
    <t>792257988</t>
  </si>
  <si>
    <t>P106 C56</t>
  </si>
  <si>
    <t>0                      P  0106000C  56</t>
  </si>
  <si>
    <t>Language and mind / Noam Chomsky.</t>
  </si>
  <si>
    <t>New York : Harcourt, Brace &amp; World, ©1968.</t>
  </si>
  <si>
    <t>2017-05-04</t>
  </si>
  <si>
    <t>2865130753:eng</t>
  </si>
  <si>
    <t>265760</t>
  </si>
  <si>
    <t>ocm00265760</t>
  </si>
  <si>
    <t>3102754675A</t>
  </si>
  <si>
    <t>9780155492561</t>
  </si>
  <si>
    <t>791316119</t>
  </si>
  <si>
    <t>31027546848</t>
  </si>
  <si>
    <t>791316128</t>
  </si>
  <si>
    <t>31027546818</t>
  </si>
  <si>
    <t>791316121</t>
  </si>
  <si>
    <t>2005-09-27</t>
  </si>
  <si>
    <t>3102754679A</t>
  </si>
  <si>
    <t>791316125</t>
  </si>
  <si>
    <t>31027546808</t>
  </si>
  <si>
    <t>791316122</t>
  </si>
  <si>
    <t>31027546888</t>
  </si>
  <si>
    <t>791316127</t>
  </si>
  <si>
    <t>2005-11-02</t>
  </si>
  <si>
    <t>3000967560D</t>
  </si>
  <si>
    <t>791316124</t>
  </si>
  <si>
    <t>2009-10-07</t>
  </si>
  <si>
    <t>31027522301</t>
  </si>
  <si>
    <t>791316120</t>
  </si>
  <si>
    <t>2002-09-26</t>
  </si>
  <si>
    <t>3102754674A</t>
  </si>
  <si>
    <t>791316126</t>
  </si>
  <si>
    <t>P106 C56 1972</t>
  </si>
  <si>
    <t>0                      P  0106000C  56          1972</t>
  </si>
  <si>
    <t>New York : Harcourt Brace Jovanovich, [1972]</t>
  </si>
  <si>
    <t>Enlarged edition.</t>
  </si>
  <si>
    <t>303573</t>
  </si>
  <si>
    <t>ocm00303573</t>
  </si>
  <si>
    <t>3000984234T</t>
  </si>
  <si>
    <t>9780151478101</t>
  </si>
  <si>
    <t>791329911</t>
  </si>
  <si>
    <t>2011-12-03</t>
  </si>
  <si>
    <t>3102754676A</t>
  </si>
  <si>
    <t>791329909</t>
  </si>
  <si>
    <t>2005-02-15</t>
  </si>
  <si>
    <t>3102711457F</t>
  </si>
  <si>
    <t>791329908</t>
  </si>
  <si>
    <t>2006-12-10</t>
  </si>
  <si>
    <t>31027546858</t>
  </si>
  <si>
    <t>791329910</t>
  </si>
  <si>
    <t>2004-12-05</t>
  </si>
  <si>
    <t>3000984233V</t>
  </si>
  <si>
    <t>791329912</t>
  </si>
  <si>
    <t>31027546868</t>
  </si>
  <si>
    <t>791329907</t>
  </si>
  <si>
    <t>31027546898</t>
  </si>
  <si>
    <t>791329913</t>
  </si>
  <si>
    <t>P106 C56 2006</t>
  </si>
  <si>
    <t>0                      P  0106000C  56          2006</t>
  </si>
  <si>
    <t>62132939</t>
  </si>
  <si>
    <t>ocm62132939</t>
  </si>
  <si>
    <t>31025755917</t>
  </si>
  <si>
    <t>9780521858199</t>
  </si>
  <si>
    <t>794100855</t>
  </si>
  <si>
    <t>P106 C5824 1996</t>
  </si>
  <si>
    <t>0                      P  0106000C  5824        1996</t>
  </si>
  <si>
    <t>Using language / Herbert H. Clark.</t>
  </si>
  <si>
    <t>Clark, Herbert H., author.</t>
  </si>
  <si>
    <t>2017-08-21</t>
  </si>
  <si>
    <t>10377577:eng</t>
  </si>
  <si>
    <t>33078546</t>
  </si>
  <si>
    <t>ocm33078546</t>
  </si>
  <si>
    <t>31017075446</t>
  </si>
  <si>
    <t>9780521561587</t>
  </si>
  <si>
    <t>793401188</t>
  </si>
  <si>
    <t>P106 C598 1995</t>
  </si>
  <si>
    <t>0                      P  0106000C  598         1995</t>
  </si>
  <si>
    <t>The metaphoric process : connections between language and life / Gemma Corradi Fiumara.</t>
  </si>
  <si>
    <t>Corradi Fiumara, Gemma.</t>
  </si>
  <si>
    <t>London ; New York : Routledge, 1995.</t>
  </si>
  <si>
    <t>508874175:eng</t>
  </si>
  <si>
    <t>32131924</t>
  </si>
  <si>
    <t>ocm32131924</t>
  </si>
  <si>
    <t>31027546926</t>
  </si>
  <si>
    <t>9780415126243</t>
  </si>
  <si>
    <t>793376450</t>
  </si>
  <si>
    <t>P106 C62</t>
  </si>
  <si>
    <t>0                      P  0106000C  62</t>
  </si>
  <si>
    <t>La communication : actes du XVe Congrès de l'association des sociétés de philosophie de langue française.</t>
  </si>
  <si>
    <t>T. 1</t>
  </si>
  <si>
    <t>Congrès de l'association des sociétés de philosophie de langue française (15th : 1971 : Université de Montréal)</t>
  </si>
  <si>
    <t>Montréal : Éditions Montmorency, 1971-1973.</t>
  </si>
  <si>
    <t>2015-08-07</t>
  </si>
  <si>
    <t>5612405296:fre</t>
  </si>
  <si>
    <t>4023962</t>
  </si>
  <si>
    <t>ocm04023962</t>
  </si>
  <si>
    <t>31027522391</t>
  </si>
  <si>
    <t>792314700</t>
  </si>
  <si>
    <t>T. 2</t>
  </si>
  <si>
    <t>31027522381</t>
  </si>
  <si>
    <t>792314699</t>
  </si>
  <si>
    <t>P106 C75 1985</t>
  </si>
  <si>
    <t>0                      P  0106000C  75          1985</t>
  </si>
  <si>
    <t>Critique de la théorie critique : langage et histoire : séminaire de poétique / sous la direction de Henri Meschonnic ; textes de Yves Charnet [and others].</t>
  </si>
  <si>
    <t>Saint-Denis [France] : Presses universitaires de Vincennes, [1985]</t>
  </si>
  <si>
    <t>909819879:fre</t>
  </si>
  <si>
    <t>14954586</t>
  </si>
  <si>
    <t>ocm14954586</t>
  </si>
  <si>
    <t>31027522331</t>
  </si>
  <si>
    <t>9782903981273</t>
  </si>
  <si>
    <t>792914798</t>
  </si>
  <si>
    <t>P106 C757 2000</t>
  </si>
  <si>
    <t>0                      P  0106000C  757         2000</t>
  </si>
  <si>
    <t>Across the lines : travel, language, translation / Michael Cronin.</t>
  </si>
  <si>
    <t>Cronin, Michael, 1960-</t>
  </si>
  <si>
    <t>Cork, Ireland : Cork University Press, 2000.</t>
  </si>
  <si>
    <t>2017-04-08</t>
  </si>
  <si>
    <t>837030708:eng</t>
  </si>
  <si>
    <t>44508937</t>
  </si>
  <si>
    <t>ocm44508937</t>
  </si>
  <si>
    <t>31027522321</t>
  </si>
  <si>
    <t>9781859181829</t>
  </si>
  <si>
    <t>793651873</t>
  </si>
  <si>
    <t>P106 D248 2013</t>
  </si>
  <si>
    <t>0                      P  0106000D  248         2013</t>
  </si>
  <si>
    <t>Philosophy of language : an introduction / Chris Daly.</t>
  </si>
  <si>
    <t>Daly, Chris.</t>
  </si>
  <si>
    <t>New York : Bloomsbury, 2013.</t>
  </si>
  <si>
    <t>2017-01-29</t>
  </si>
  <si>
    <t>1167706357:eng</t>
  </si>
  <si>
    <t>657603360</t>
  </si>
  <si>
    <t>ocn657603360</t>
  </si>
  <si>
    <t>31034577658</t>
  </si>
  <si>
    <t>9781441173508</t>
  </si>
  <si>
    <t>794835685</t>
  </si>
  <si>
    <t>P106 D27 1984</t>
  </si>
  <si>
    <t>0                      P  0106000D  27          1984</t>
  </si>
  <si>
    <t>Inquiries into truth and interpretation / Donald Davidson.</t>
  </si>
  <si>
    <t>Davidson, Donald, 1917-2003.</t>
  </si>
  <si>
    <t>Oxford [Oxfordshire] : Clarendon Press ; New York : Oxford University Press, 1984.</t>
  </si>
  <si>
    <t>4820417928:eng</t>
  </si>
  <si>
    <t>9827656</t>
  </si>
  <si>
    <t>ocm09827656</t>
  </si>
  <si>
    <t>3102689731N</t>
  </si>
  <si>
    <t>9780198246176</t>
  </si>
  <si>
    <t>792695455</t>
  </si>
  <si>
    <t>P106 D27 2001</t>
  </si>
  <si>
    <t>0                      P  0106000D  27          2001</t>
  </si>
  <si>
    <t>Oxford : Clarendon Press ; New York : Oxford University Press, 2001.</t>
  </si>
  <si>
    <t>49672348</t>
  </si>
  <si>
    <t>ocm49672348</t>
  </si>
  <si>
    <t>3102752100A</t>
  </si>
  <si>
    <t>9780199246281</t>
  </si>
  <si>
    <t>793745242</t>
  </si>
  <si>
    <t>P106 D4</t>
  </si>
  <si>
    <t>0                      P  0106000D  4</t>
  </si>
  <si>
    <t>Positions; entretiens avec Henri Ronse, Julia Kristeva, Jean-Louis Houdebine, Guy Scarpetta.</t>
  </si>
  <si>
    <t>[Paris] Éditions de Minuit ©1972.</t>
  </si>
  <si>
    <t>Collection "Critique"</t>
  </si>
  <si>
    <t>3980122706:fre</t>
  </si>
  <si>
    <t>717179</t>
  </si>
  <si>
    <t>ocm00717179</t>
  </si>
  <si>
    <t>31027522243</t>
  </si>
  <si>
    <t>9782707302519</t>
  </si>
  <si>
    <t>791454134</t>
  </si>
  <si>
    <t>P106 D44</t>
  </si>
  <si>
    <t>0                      P  0106000D  44</t>
  </si>
  <si>
    <t>Limited inc. : abc ... / Jacques Derrida.</t>
  </si>
  <si>
    <t>Baltimore : Johns Hopkins University Press, ©1977.</t>
  </si>
  <si>
    <t>Glyph ; 2 Supplement</t>
  </si>
  <si>
    <t>4161135990:fre</t>
  </si>
  <si>
    <t>3274292</t>
  </si>
  <si>
    <t>ocm03274292</t>
  </si>
  <si>
    <t>31027522203</t>
  </si>
  <si>
    <t>9780801820441</t>
  </si>
  <si>
    <t>792237752</t>
  </si>
  <si>
    <t>P106 D443 1996</t>
  </si>
  <si>
    <t>0                      P  0106000D  443         1996</t>
  </si>
  <si>
    <t>Le monolinguisme de l'autre, ou, La prothèse d'origine / Jacques Derrida.</t>
  </si>
  <si>
    <t>Paris : Galilée, ©1996.</t>
  </si>
  <si>
    <t>Incises, 1242-8434</t>
  </si>
  <si>
    <t>2018-02-16</t>
  </si>
  <si>
    <t>2908718678:fre</t>
  </si>
  <si>
    <t>35890249</t>
  </si>
  <si>
    <t>ocm35890249</t>
  </si>
  <si>
    <t>31027522233</t>
  </si>
  <si>
    <t>9782718604749</t>
  </si>
  <si>
    <t>793460219</t>
  </si>
  <si>
    <t>P106 D456613 1998</t>
  </si>
  <si>
    <t>0                      P  0106000D  456613      1998</t>
  </si>
  <si>
    <t>Monolingualism of the other, or, The prosthesis of origin / Jacques Derrida ; translated by Patrick Mensah.</t>
  </si>
  <si>
    <t>Stanford, Calif. : Stanford University Press, ©1998.</t>
  </si>
  <si>
    <t>2019-02-23</t>
  </si>
  <si>
    <t>2908718678:eng</t>
  </si>
  <si>
    <t>38566099</t>
  </si>
  <si>
    <t>ocm38566099</t>
  </si>
  <si>
    <t>3101912145P</t>
  </si>
  <si>
    <t>9780804732888</t>
  </si>
  <si>
    <t>793527068</t>
  </si>
  <si>
    <t>P106 D458 1999</t>
  </si>
  <si>
    <t>0                      P  0106000D  458         1999</t>
  </si>
  <si>
    <t>Language and reality : an introduction to the philosophy of language / Michael Devitt and Kim Sterelny.</t>
  </si>
  <si>
    <t>Devitt, Michael, 1938-</t>
  </si>
  <si>
    <t>2015-02-15</t>
  </si>
  <si>
    <t>11005474:eng</t>
  </si>
  <si>
    <t>40076700</t>
  </si>
  <si>
    <t>ocm40076700</t>
  </si>
  <si>
    <t>31027522195</t>
  </si>
  <si>
    <t>9780262041737</t>
  </si>
  <si>
    <t>793559453</t>
  </si>
  <si>
    <t>P106 D8 1968</t>
  </si>
  <si>
    <t>0                      P  0106000D  8           1968</t>
  </si>
  <si>
    <t>Language &amp; philosophy / Mikel Dufrenne ; translated by Henry B. Veatch ; with a foreword by Paul Henle.</t>
  </si>
  <si>
    <t>Dufrenne, Mikel, author.</t>
  </si>
  <si>
    <t>New York : Greenwood Press, 1968.</t>
  </si>
  <si>
    <t>2018-09-26</t>
  </si>
  <si>
    <t>1134024:eng</t>
  </si>
  <si>
    <t>10936</t>
  </si>
  <si>
    <t>ocm00010936</t>
  </si>
  <si>
    <t>31027522115</t>
  </si>
  <si>
    <t>9780837103969</t>
  </si>
  <si>
    <t>791227470</t>
  </si>
  <si>
    <t>P106 D84</t>
  </si>
  <si>
    <t>0                      P  0106000D  84</t>
  </si>
  <si>
    <t>Frege. Philosophy of language [by] Michael Dummett.</t>
  </si>
  <si>
    <t>Dummett, Michael, 1925-2011.</t>
  </si>
  <si>
    <t>[London] Duckworth [1973]</t>
  </si>
  <si>
    <t>684380</t>
  </si>
  <si>
    <t>ocm00684380</t>
  </si>
  <si>
    <t>31027522105</t>
  </si>
  <si>
    <t>9780715606599</t>
  </si>
  <si>
    <t>791445545</t>
  </si>
  <si>
    <t>P106 D86 1993</t>
  </si>
  <si>
    <t>0                      P  0106000D  86          1993</t>
  </si>
  <si>
    <t>The seas of language / Michael Dummett.</t>
  </si>
  <si>
    <t>Dummett, Michael, 1925-2011, author.</t>
  </si>
  <si>
    <t>Oxford : Clarendon Press ; New York : Oxford University Press, 1993.</t>
  </si>
  <si>
    <t>328309:eng</t>
  </si>
  <si>
    <t>27813047</t>
  </si>
  <si>
    <t>ocm27813047</t>
  </si>
  <si>
    <t>31027522097</t>
  </si>
  <si>
    <t>9780198240112</t>
  </si>
  <si>
    <t>793272816</t>
  </si>
  <si>
    <t>P106 E2713 1995</t>
  </si>
  <si>
    <t>0                      P  0106000E  2713        1995</t>
  </si>
  <si>
    <t>The search for the perfect language / Umberto Eco ; translated by James Fentress.</t>
  </si>
  <si>
    <t>Oxford, UK ; Cambridge, Mass., USA : Blackwell, 1995.</t>
  </si>
  <si>
    <t>Making of Europe</t>
  </si>
  <si>
    <t>566368:eng</t>
  </si>
  <si>
    <t>30814610</t>
  </si>
  <si>
    <t>ocm30814610</t>
  </si>
  <si>
    <t>3101491785I</t>
  </si>
  <si>
    <t>9780631174653</t>
  </si>
  <si>
    <t>793345767</t>
  </si>
  <si>
    <t>P106 E2714 1994</t>
  </si>
  <si>
    <t>0                      P  0106000E  2714        1994</t>
  </si>
  <si>
    <t>La recherche de la langue parfaite dans la culture européenne / Umberto Eco ; traduit de l'italien par Jean-Paul Manganaro ; préface de Jacques Le Goff.</t>
  </si>
  <si>
    <t>Paris : Seuil, 1994.</t>
  </si>
  <si>
    <t>Faire l'Europe</t>
  </si>
  <si>
    <t>2019-04-05</t>
  </si>
  <si>
    <t>566368:fre</t>
  </si>
  <si>
    <t>31177522</t>
  </si>
  <si>
    <t>ocm31177522</t>
  </si>
  <si>
    <t>31027522067</t>
  </si>
  <si>
    <t>9782020125963</t>
  </si>
  <si>
    <t>793355245</t>
  </si>
  <si>
    <t>P106 E29 1998</t>
  </si>
  <si>
    <t>0                      P  0106000E  29          1998</t>
  </si>
  <si>
    <t>Serendipities : language &amp; lunacy / Umberto Eco ; translated by William Weaver.</t>
  </si>
  <si>
    <t>New York : Columbia University Press, ©1998.</t>
  </si>
  <si>
    <t>Italian Academy lectures</t>
  </si>
  <si>
    <t>1059267193:eng</t>
  </si>
  <si>
    <t>39116569</t>
  </si>
  <si>
    <t>ocm39116569</t>
  </si>
  <si>
    <t>31027522057</t>
  </si>
  <si>
    <t>9780231111348</t>
  </si>
  <si>
    <t>793538392</t>
  </si>
  <si>
    <t>2001-11-29</t>
  </si>
  <si>
    <t>31027522047</t>
  </si>
  <si>
    <t>793538393</t>
  </si>
  <si>
    <t>2017-05-09</t>
  </si>
  <si>
    <t>31027522037</t>
  </si>
  <si>
    <t>793538391</t>
  </si>
  <si>
    <t>P106 E3 1906</t>
  </si>
  <si>
    <t>0                      P  0106000E  3           1906</t>
  </si>
  <si>
    <t>Speaking and meaning : the phenomenology of language / James M. Edie.</t>
  </si>
  <si>
    <t>Edie, James M.</t>
  </si>
  <si>
    <t>2016-08-14</t>
  </si>
  <si>
    <t>198201073:eng</t>
  </si>
  <si>
    <t>1993103</t>
  </si>
  <si>
    <t>ocm01993103</t>
  </si>
  <si>
    <t>31027522017</t>
  </si>
  <si>
    <t>9780253354259</t>
  </si>
  <si>
    <t>792024981</t>
  </si>
  <si>
    <t>P106 E445 1993</t>
  </si>
  <si>
    <t>0                      P  0106000E  445         1993</t>
  </si>
  <si>
    <t>Language, thought, and logic / John M. Ellis.</t>
  </si>
  <si>
    <t>Ellis, John M. (John Martin), 1936-</t>
  </si>
  <si>
    <t>Evanston, Ill. : Northwestern University Press, ©1993.</t>
  </si>
  <si>
    <t>Rethinking theory</t>
  </si>
  <si>
    <t>353241:eng</t>
  </si>
  <si>
    <t>28147595</t>
  </si>
  <si>
    <t>ocm28147595</t>
  </si>
  <si>
    <t>3102752198T</t>
  </si>
  <si>
    <t>9780810110953</t>
  </si>
  <si>
    <t>793280958</t>
  </si>
  <si>
    <t>2003-05-29</t>
  </si>
  <si>
    <t>3102752199T</t>
  </si>
  <si>
    <t>793280959</t>
  </si>
  <si>
    <t>P106 E45 1991</t>
  </si>
  <si>
    <t>0                      P  0106000E  45          1991</t>
  </si>
  <si>
    <t>The emergence of language : development and evolution : readings from Scientific American magazine / edited by William S.-Y. Wang.</t>
  </si>
  <si>
    <t>New York : W.H. Freeman, [1991].</t>
  </si>
  <si>
    <t>2004-11-22</t>
  </si>
  <si>
    <t>836721339:eng</t>
  </si>
  <si>
    <t>22110429</t>
  </si>
  <si>
    <t>ocm22110429</t>
  </si>
  <si>
    <t>3102752197T</t>
  </si>
  <si>
    <t>9780716721468</t>
  </si>
  <si>
    <t>793134093</t>
  </si>
  <si>
    <t>31027522027</t>
  </si>
  <si>
    <t>793134094</t>
  </si>
  <si>
    <t>P106 E8425 1985</t>
  </si>
  <si>
    <t>0                      P  0106000E  8425        1985</t>
  </si>
  <si>
    <t>Collected papers / Gareth Evans.</t>
  </si>
  <si>
    <t>Evans, Gareth, 1946-1980, author.</t>
  </si>
  <si>
    <t>Oxford : Clarendon Press ; New York : Oxford University Press, 1985.</t>
  </si>
  <si>
    <t>4721699:eng</t>
  </si>
  <si>
    <t>12082268</t>
  </si>
  <si>
    <t>ocm12082268</t>
  </si>
  <si>
    <t>31034100339</t>
  </si>
  <si>
    <t>9780198247371</t>
  </si>
  <si>
    <t>792800470</t>
  </si>
  <si>
    <t>P106 F6</t>
  </si>
  <si>
    <t>0                      P  0106000F  6</t>
  </si>
  <si>
    <t>The psychology of language: an introduction to psycholinguistics and generative grammar [by] J.A. Fodor, T.G. Bever, [and] M.F. Garrett.</t>
  </si>
  <si>
    <t>Fodor, Jerry A.</t>
  </si>
  <si>
    <t>New York, McGraw-Hill [1974]</t>
  </si>
  <si>
    <t>McGraw-Hill series in psychology</t>
  </si>
  <si>
    <t>2006-04-06</t>
  </si>
  <si>
    <t>2015-01-06</t>
  </si>
  <si>
    <t>807142102:eng</t>
  </si>
  <si>
    <t>796972</t>
  </si>
  <si>
    <t>ocm00796972</t>
  </si>
  <si>
    <t>3102712444D</t>
  </si>
  <si>
    <t>9780070214125</t>
  </si>
  <si>
    <t>791472033</t>
  </si>
  <si>
    <t>3000986246C</t>
  </si>
  <si>
    <t>791472031</t>
  </si>
  <si>
    <t>3102712448D</t>
  </si>
  <si>
    <t>791472034</t>
  </si>
  <si>
    <t>2008-01-04</t>
  </si>
  <si>
    <t>3102712445D</t>
  </si>
  <si>
    <t>791472032</t>
  </si>
  <si>
    <t>P106 F67</t>
  </si>
  <si>
    <t>0                      P  0106000F  67</t>
  </si>
  <si>
    <t>Language, counter-memory, practice : selected essays and interviews / Michel Foucault ; edited, with an introd., by Donald F. Bouchard ; translated from the French by Donald F. Bouchard and Sherry Simon.</t>
  </si>
  <si>
    <t>Foucault, Michel, 1926-1984.</t>
  </si>
  <si>
    <t>Ithaca, N.Y. : Cornell University Press, 1977.</t>
  </si>
  <si>
    <t>339939807:eng</t>
  </si>
  <si>
    <t>3001007</t>
  </si>
  <si>
    <t>ocm03001007</t>
  </si>
  <si>
    <t>3102712441D</t>
  </si>
  <si>
    <t>9780801409790</t>
  </si>
  <si>
    <t>792204773</t>
  </si>
  <si>
    <t>3102786931N</t>
  </si>
  <si>
    <t>792204772</t>
  </si>
  <si>
    <t>P106 F67 1980</t>
  </si>
  <si>
    <t>0                      P  0106000F  67          1980</t>
  </si>
  <si>
    <t>Ithaca, N.Y. : Cornell University Press, 1980.</t>
  </si>
  <si>
    <t>Cornell paperbacks</t>
  </si>
  <si>
    <t>2018-10-15</t>
  </si>
  <si>
    <t>2019-02-18</t>
  </si>
  <si>
    <t>8479974</t>
  </si>
  <si>
    <t>ocm08479974</t>
  </si>
  <si>
    <t>3103699330Q</t>
  </si>
  <si>
    <t>9780801492044</t>
  </si>
  <si>
    <t>792622115</t>
  </si>
  <si>
    <t>3103699338A</t>
  </si>
  <si>
    <t>792622116</t>
  </si>
  <si>
    <t>31036993398</t>
  </si>
  <si>
    <t>792622117</t>
  </si>
  <si>
    <t>P106 F75 1983</t>
  </si>
  <si>
    <t>0                      P  0106000F  75          1983</t>
  </si>
  <si>
    <t>An introduction to language / Victoria Fromkin, Robert Rodman.</t>
  </si>
  <si>
    <t>Fromkin, Victoria.</t>
  </si>
  <si>
    <t>New York : Holt, Rinehart and Winston, ©1983.</t>
  </si>
  <si>
    <t>4820361940:eng</t>
  </si>
  <si>
    <t>9016970</t>
  </si>
  <si>
    <t>ocm09016970</t>
  </si>
  <si>
    <t>3100014306E</t>
  </si>
  <si>
    <t>9780030597794</t>
  </si>
  <si>
    <t>792653161</t>
  </si>
  <si>
    <t>3102712438F</t>
  </si>
  <si>
    <t>792653162</t>
  </si>
  <si>
    <t>P106 F75 1993</t>
  </si>
  <si>
    <t>0                      P  0106000F  75          1993</t>
  </si>
  <si>
    <t>Fort Worth : Harcourt Brace Jovanovich College Publishers, ©1993.</t>
  </si>
  <si>
    <t>26845297</t>
  </si>
  <si>
    <t>ocm26845297</t>
  </si>
  <si>
    <t>3102712431F</t>
  </si>
  <si>
    <t>9780030549830</t>
  </si>
  <si>
    <t>793253140</t>
  </si>
  <si>
    <t>3102712430F</t>
  </si>
  <si>
    <t>793253143</t>
  </si>
  <si>
    <t>3102712439F</t>
  </si>
  <si>
    <t>793253142</t>
  </si>
  <si>
    <t>3101454182K</t>
  </si>
  <si>
    <t>793253141</t>
  </si>
  <si>
    <t>P106 F75 1997</t>
  </si>
  <si>
    <t>0                      P  0106000F  75          1997</t>
  </si>
  <si>
    <t>An introduction to language / Victoria Fromkin ... [et al.].</t>
  </si>
  <si>
    <t>Toronto : Harcourt Brace &amp; Co. Canada, c1997.</t>
  </si>
  <si>
    <t>1st Canadian ed.</t>
  </si>
  <si>
    <t>2011-09-18</t>
  </si>
  <si>
    <t>2018-09-23</t>
  </si>
  <si>
    <t>35930559</t>
  </si>
  <si>
    <t>ocm35930559</t>
  </si>
  <si>
    <t>3102712435F</t>
  </si>
  <si>
    <t>9780774735094</t>
  </si>
  <si>
    <t>793461308</t>
  </si>
  <si>
    <t>3102767972L</t>
  </si>
  <si>
    <t>793461311</t>
  </si>
  <si>
    <t>31034811158</t>
  </si>
  <si>
    <t>793461309</t>
  </si>
  <si>
    <t>2014-11-22</t>
  </si>
  <si>
    <t>3102712434F</t>
  </si>
  <si>
    <t>793461310</t>
  </si>
  <si>
    <t>P106 G4 2005</t>
  </si>
  <si>
    <t>0                      P  0106000G  4           2005</t>
  </si>
  <si>
    <t>Words and things : an examination of, and an attack on, linguistic philosophy / Ernest Gellner ; foreword by Bertrand Russell ; with a new preface by Ian Jarvie.</t>
  </si>
  <si>
    <t>Gellner, Ernest.</t>
  </si>
  <si>
    <t>London : Routledge, 2005.</t>
  </si>
  <si>
    <t>Routledge classics</t>
  </si>
  <si>
    <t>865278876:eng</t>
  </si>
  <si>
    <t>57166719</t>
  </si>
  <si>
    <t>ocm57166719</t>
  </si>
  <si>
    <t>3102490628Y</t>
  </si>
  <si>
    <t>9780415345484</t>
  </si>
  <si>
    <t>793907668</t>
  </si>
  <si>
    <t>P106 G42x</t>
  </si>
  <si>
    <t>0                      P  0106000G  42x</t>
  </si>
  <si>
    <t>Mimologiques : voyage en Cratylie / Gérard Genette.</t>
  </si>
  <si>
    <t>Genette, Gérard, 1930-2018.</t>
  </si>
  <si>
    <t>Paris : Éditions du Seuil, ©1976.</t>
  </si>
  <si>
    <t>2019-10-31</t>
  </si>
  <si>
    <t>33014233:fre</t>
  </si>
  <si>
    <t>2840238</t>
  </si>
  <si>
    <t>ocm02840238</t>
  </si>
  <si>
    <t>3102712423H</t>
  </si>
  <si>
    <t>9782020044059</t>
  </si>
  <si>
    <t>792183760</t>
  </si>
  <si>
    <t>P106 G55x</t>
  </si>
  <si>
    <t>0                      P  0106000G  55x</t>
  </si>
  <si>
    <t>L'aliénation linguistique : analyse tétraglossique / Henri Gobard ; préf. de Gilles Deleuze.</t>
  </si>
  <si>
    <t>Gobard, Henri.</t>
  </si>
  <si>
    <t>[Paris] : Flammarion, ©1976.</t>
  </si>
  <si>
    <t>865028078:fre</t>
  </si>
  <si>
    <t>2601660</t>
  </si>
  <si>
    <t>ocm02601660</t>
  </si>
  <si>
    <t>31027125518</t>
  </si>
  <si>
    <t>9782082100199</t>
  </si>
  <si>
    <t>792150366</t>
  </si>
  <si>
    <t>P106 G6</t>
  </si>
  <si>
    <t>0                      P  0106000G  6</t>
  </si>
  <si>
    <t>Speaking and language : defence of poetry / by Paul Goodman.</t>
  </si>
  <si>
    <t>Goodman, Paul, 1911-1972, author.</t>
  </si>
  <si>
    <t>New York : Random House, [1971]</t>
  </si>
  <si>
    <t>1324109:eng</t>
  </si>
  <si>
    <t>221223</t>
  </si>
  <si>
    <t>ocm00221223</t>
  </si>
  <si>
    <t>3102712548A</t>
  </si>
  <si>
    <t>9780394470894</t>
  </si>
  <si>
    <t>791297973</t>
  </si>
  <si>
    <t>P106 H2513 2001</t>
  </si>
  <si>
    <t>0                      P  0106000H  2513        2001</t>
  </si>
  <si>
    <t>On the pragmatics of social interaction : preliminary studies in the theory of communicative action / Jürgen Habermas ; translated by Barbara Fultner.</t>
  </si>
  <si>
    <t>Habermas, Jürgen.</t>
  </si>
  <si>
    <t>2017-03-27</t>
  </si>
  <si>
    <t>3901009843:eng</t>
  </si>
  <si>
    <t>44493284</t>
  </si>
  <si>
    <t>ocm44493284</t>
  </si>
  <si>
    <t>3102712544A</t>
  </si>
  <si>
    <t>9780262082884</t>
  </si>
  <si>
    <t>793651555</t>
  </si>
  <si>
    <t>P106 H284 1975</t>
  </si>
  <si>
    <t>0                      P  0106000H  284         1975</t>
  </si>
  <si>
    <t>Why does language matter to philosophy? / Ian Hacking.</t>
  </si>
  <si>
    <t>Hacking, Ian.</t>
  </si>
  <si>
    <t>Cambridge ; New York : Cambridge University Press, 1975.</t>
  </si>
  <si>
    <t>503309:eng</t>
  </si>
  <si>
    <t>1800530</t>
  </si>
  <si>
    <t>ocm01800530</t>
  </si>
  <si>
    <t>3103090350H</t>
  </si>
  <si>
    <t>9780521209236</t>
  </si>
  <si>
    <t>791991306</t>
  </si>
  <si>
    <t>P106 H29 2016</t>
  </si>
  <si>
    <t>0                      P  0106000H  29          2016</t>
  </si>
  <si>
    <t>The Norwegian Nominal System : A neo-Saussurean perspective / Madeleine Halmøy̜.</t>
  </si>
  <si>
    <t>Halmøy, Madeleine, author.</t>
  </si>
  <si>
    <t>Berlin : Mouton De Gruyter, [2016]</t>
  </si>
  <si>
    <t>Trends in Linguistics. Studies and Monographs ; volume 294</t>
  </si>
  <si>
    <t>2583801918:eng</t>
  </si>
  <si>
    <t>931648693</t>
  </si>
  <si>
    <t>ocn931648693</t>
  </si>
  <si>
    <t>31036967931</t>
  </si>
  <si>
    <t>9783110339635</t>
  </si>
  <si>
    <t>795007656</t>
  </si>
  <si>
    <t>P106 H295 1996</t>
  </si>
  <si>
    <t>0                      P  0106000H  295         1996</t>
  </si>
  <si>
    <t>Language &amp; communicative practices / William F. Hanks.</t>
  </si>
  <si>
    <t>Boulder : Westview Press, 1996.</t>
  </si>
  <si>
    <t>Critical essays in anthropology</t>
  </si>
  <si>
    <t>37170078:eng</t>
  </si>
  <si>
    <t>32548279</t>
  </si>
  <si>
    <t>ocm32548279</t>
  </si>
  <si>
    <t>3102712540A</t>
  </si>
  <si>
    <t>9780813312163</t>
  </si>
  <si>
    <t>793387201</t>
  </si>
  <si>
    <t>P106 H3613</t>
  </si>
  <si>
    <t>0                      P  0106000H  3613</t>
  </si>
  <si>
    <t>On the way to language / Martin Heidegger ; translated by Peter D. Hertz.</t>
  </si>
  <si>
    <t>Heidegger, Martin, 1889-1976.</t>
  </si>
  <si>
    <t>New York : Harper &amp; Row, 1971.</t>
  </si>
  <si>
    <t>Martin Heidegger. Works.</t>
  </si>
  <si>
    <t>2019-03-24</t>
  </si>
  <si>
    <t>403745:eng</t>
  </si>
  <si>
    <t>135854</t>
  </si>
  <si>
    <t>ocm00135854</t>
  </si>
  <si>
    <t>3102846080H</t>
  </si>
  <si>
    <t>9780060638542</t>
  </si>
  <si>
    <t>791268053</t>
  </si>
  <si>
    <t>3102712532C</t>
  </si>
  <si>
    <t>791268052</t>
  </si>
  <si>
    <t>P106 H55 2011</t>
  </si>
  <si>
    <t>0                      P  0106000H  55          2011</t>
  </si>
  <si>
    <t>Historical sociopragmatics / edited by Jonathan Culpeper.</t>
  </si>
  <si>
    <t>Benjamins current topics ; v. 31</t>
  </si>
  <si>
    <t>1004985252:eng</t>
  </si>
  <si>
    <t>711989041</t>
  </si>
  <si>
    <t>ocn711989041</t>
  </si>
  <si>
    <t>3103382908P</t>
  </si>
  <si>
    <t>9789027202505</t>
  </si>
  <si>
    <t>794871516</t>
  </si>
  <si>
    <t>P106 I573 2009</t>
  </si>
  <si>
    <t>0                      P  0106000I  573         2009</t>
  </si>
  <si>
    <t>Philosophy of language and linguistics / Piotr Stalmaszczyk (ed.).</t>
  </si>
  <si>
    <t>Frankfurt : Ontos Verlag ; Piscataway, NJ : [Distributed in] North and South America by Transaction Books, Rutgers University, 2010.</t>
  </si>
  <si>
    <t>2866190096:eng</t>
  </si>
  <si>
    <t>642847888</t>
  </si>
  <si>
    <t>ocn642847888</t>
  </si>
  <si>
    <t>3103226308Q</t>
  </si>
  <si>
    <t>9783868380705</t>
  </si>
  <si>
    <t>794828537</t>
  </si>
  <si>
    <t>3103226303Q</t>
  </si>
  <si>
    <t>794828538</t>
  </si>
  <si>
    <t>P106 J67 2000</t>
  </si>
  <si>
    <t>0                      P  0106000J  67          2000</t>
  </si>
  <si>
    <t>Limiting the arbitrary : linguistic naturalism and its opposites in Plato's Cratylus and the modern theories of language / John E. Joseph.</t>
  </si>
  <si>
    <t>Joseph, John Earl.</t>
  </si>
  <si>
    <t>Philadelphia, PA : John Benjamins Pub. Co., ©2000.</t>
  </si>
  <si>
    <t>Amsterdam studies in the theory and history of linguistic science. Series III, Studies in the history of the language sciences, 0304-0720 ; v. 96</t>
  </si>
  <si>
    <t>892434431:eng</t>
  </si>
  <si>
    <t>123300594</t>
  </si>
  <si>
    <t>ocn123300594</t>
  </si>
  <si>
    <t>3102712509I</t>
  </si>
  <si>
    <t>9781556197499</t>
  </si>
  <si>
    <t>794226169</t>
  </si>
  <si>
    <t>P106 K29 1983</t>
  </si>
  <si>
    <t>0                      P  0106000K  29          1983</t>
  </si>
  <si>
    <t>What is the Sapir-Whorf hypothesis? / by Paul Kay and Willett Kempton.</t>
  </si>
  <si>
    <t>Kay, Paul, 1934-</t>
  </si>
  <si>
    <t>Berkeley : Cognitive Science Program, Institute of Cognitive Studies, University of California at Berkeley, 1983.</t>
  </si>
  <si>
    <t>Berkeley cognitive science report ; no. 8</t>
  </si>
  <si>
    <t>4960535:eng</t>
  </si>
  <si>
    <t>12559594</t>
  </si>
  <si>
    <t>ocm12559594</t>
  </si>
  <si>
    <t>3102690272O</t>
  </si>
  <si>
    <t>792819304</t>
  </si>
  <si>
    <t>P106 K84 1989</t>
  </si>
  <si>
    <t>0                      P  0106000K  84          1989</t>
  </si>
  <si>
    <t>Language as calculus vs. language as universal medium : a study in Husserl, Heidegger, and Gadamer / Martin Kusch.</t>
  </si>
  <si>
    <t>Kusch, Martin.</t>
  </si>
  <si>
    <t>Dordrecht ; Boston : Kluwer Academic Publishers, ©1989.</t>
  </si>
  <si>
    <t>Synthese library ; v. 207</t>
  </si>
  <si>
    <t>889346250:eng</t>
  </si>
  <si>
    <t>19848269</t>
  </si>
  <si>
    <t>ocm19848269</t>
  </si>
  <si>
    <t>3102712501I</t>
  </si>
  <si>
    <t>9780792303336</t>
  </si>
  <si>
    <t>793070485</t>
  </si>
  <si>
    <t>P106 L235</t>
  </si>
  <si>
    <t>0                      P  0106000L  235</t>
  </si>
  <si>
    <t>Metaphors we live by / George Lakoff and Mark Johnson.</t>
  </si>
  <si>
    <t>Chicago : University of Chicago Press, ©1980.</t>
  </si>
  <si>
    <t>666738:eng</t>
  </si>
  <si>
    <t>6042798</t>
  </si>
  <si>
    <t>ocm06042798</t>
  </si>
  <si>
    <t>3103101217Q</t>
  </si>
  <si>
    <t>9780226468013</t>
  </si>
  <si>
    <t>792471670</t>
  </si>
  <si>
    <t>2016-06-13</t>
  </si>
  <si>
    <t>3000149911V</t>
  </si>
  <si>
    <t>792471669</t>
  </si>
  <si>
    <t>3102800629I</t>
  </si>
  <si>
    <t>792471668</t>
  </si>
  <si>
    <t>P106 L235 2003</t>
  </si>
  <si>
    <t>0                      P  0106000L  235         2003</t>
  </si>
  <si>
    <t>Chicago : University of Chicago Press, 2003.</t>
  </si>
  <si>
    <t>51817207</t>
  </si>
  <si>
    <t>ocm51817207</t>
  </si>
  <si>
    <t>31035244229</t>
  </si>
  <si>
    <t>793791763</t>
  </si>
  <si>
    <t>3103248756N</t>
  </si>
  <si>
    <t>793791765</t>
  </si>
  <si>
    <t>3103213000F</t>
  </si>
  <si>
    <t>793791764</t>
  </si>
  <si>
    <t>2018-11-17</t>
  </si>
  <si>
    <t>31035345133</t>
  </si>
  <si>
    <t>793791761</t>
  </si>
  <si>
    <t>3103534498R</t>
  </si>
  <si>
    <t>793791762</t>
  </si>
  <si>
    <t>P106 L31634 1998</t>
  </si>
  <si>
    <t>0                      P  0106000L  31634       1998</t>
  </si>
  <si>
    <t>Language and thought : interdisciplinary themes / edited by Peter Carruthers and Jill Boucher.</t>
  </si>
  <si>
    <t>2017-07-18</t>
  </si>
  <si>
    <t>837007839:eng</t>
  </si>
  <si>
    <t>37712916</t>
  </si>
  <si>
    <t>ocm37712916</t>
  </si>
  <si>
    <t>31027124845</t>
  </si>
  <si>
    <t>9780521631082</t>
  </si>
  <si>
    <t>793505303</t>
  </si>
  <si>
    <t>P106 L317 1987</t>
  </si>
  <si>
    <t>0                      P  0106000L  317         1987</t>
  </si>
  <si>
    <t>Language, communication, &amp; education : a reader / edited by Barbara M. Mayor and A.K. Pugh at the Open University.</t>
  </si>
  <si>
    <t>Open University set book</t>
  </si>
  <si>
    <t>1051864504:eng</t>
  </si>
  <si>
    <t>14165551</t>
  </si>
  <si>
    <t>ocm14165551</t>
  </si>
  <si>
    <t>3001000245$</t>
  </si>
  <si>
    <t>9780709935902</t>
  </si>
  <si>
    <t>792880263</t>
  </si>
  <si>
    <t>P106 L335 1985</t>
  </si>
  <si>
    <t>0                      P  0106000L  335         1985</t>
  </si>
  <si>
    <t>Philosophy through the looking-glass : language, nonsense, desire / Jean-Jacques Lecercle.</t>
  </si>
  <si>
    <t>La Salle, Ill. : Open Court, 1985.</t>
  </si>
  <si>
    <t>866936422:eng</t>
  </si>
  <si>
    <t>12262766</t>
  </si>
  <si>
    <t>ocm12262766</t>
  </si>
  <si>
    <t>31027521256</t>
  </si>
  <si>
    <t>9780812690040</t>
  </si>
  <si>
    <t>792808137</t>
  </si>
  <si>
    <t>P106 L36 2012</t>
  </si>
  <si>
    <t>0                      P  0106000L  36          2012</t>
  </si>
  <si>
    <t>Language, ideology, and the human : new interventions / by Sanja Bahun and Dušan Radunović́.</t>
  </si>
  <si>
    <t>Bahun, Sanja.</t>
  </si>
  <si>
    <t>England ; Burlington, VT : Ashgate Pub. Co., ©2012.</t>
  </si>
  <si>
    <t>2014-12-22</t>
  </si>
  <si>
    <t>1171775248:eng</t>
  </si>
  <si>
    <t>793187654</t>
  </si>
  <si>
    <t>ocn793187654</t>
  </si>
  <si>
    <t>31034328412</t>
  </si>
  <si>
    <t>9781409428343</t>
  </si>
  <si>
    <t>794917662</t>
  </si>
  <si>
    <t>P106 L53</t>
  </si>
  <si>
    <t>0                      P  0106000L  53</t>
  </si>
  <si>
    <t>An introduction to linguistics / Bruce L. Liles.</t>
  </si>
  <si>
    <t>Liles, Bruce L.</t>
  </si>
  <si>
    <t>Englewood Cliffs, N.J. : Prentice-Hall, [1975]</t>
  </si>
  <si>
    <t>2067611:eng</t>
  </si>
  <si>
    <t>1093548</t>
  </si>
  <si>
    <t>ocm01093548</t>
  </si>
  <si>
    <t>3100632248W</t>
  </si>
  <si>
    <t>9780134861340</t>
  </si>
  <si>
    <t>791545054</t>
  </si>
  <si>
    <t>P106 M27 1997</t>
  </si>
  <si>
    <t>0                      P  0106000M  27          1997</t>
  </si>
  <si>
    <t>Introduction to linguistic philosophy / I.E. Mackenzie.</t>
  </si>
  <si>
    <t>Mackenzie, I. E.</t>
  </si>
  <si>
    <t>590020:eng</t>
  </si>
  <si>
    <t>36301513</t>
  </si>
  <si>
    <t>ocm36301513</t>
  </si>
  <si>
    <t>31027124679</t>
  </si>
  <si>
    <t>9780761901747</t>
  </si>
  <si>
    <t>793472028</t>
  </si>
  <si>
    <t>P106 M36 2014</t>
  </si>
  <si>
    <t>0                      P  0106000M  36          2014</t>
  </si>
  <si>
    <t>Labyrinths of language : philosophical and cultural investigations / Franson Manjali.</t>
  </si>
  <si>
    <t>Manjali, Franson D., author.</t>
  </si>
  <si>
    <t>Delhi : Aakar Books, 2014.</t>
  </si>
  <si>
    <t>2749186423:eng</t>
  </si>
  <si>
    <t>879958736</t>
  </si>
  <si>
    <t>ocn879958736</t>
  </si>
  <si>
    <t>3103659232D</t>
  </si>
  <si>
    <t>9789350022764</t>
  </si>
  <si>
    <t>794972652</t>
  </si>
  <si>
    <t>P106 M3813 1973</t>
  </si>
  <si>
    <t>0                      P  0106000M  3813        1973</t>
  </si>
  <si>
    <t>The prose of the world / edited by Claude Lefort ; translated by John O'Neill.</t>
  </si>
  <si>
    <t>Merleau-Ponty, Maurice, 1908-1961.</t>
  </si>
  <si>
    <t>Evanston : Northwestern University Press, 1973.</t>
  </si>
  <si>
    <t>467821:eng</t>
  </si>
  <si>
    <t>648471</t>
  </si>
  <si>
    <t>ocm00648471</t>
  </si>
  <si>
    <t>31027323486</t>
  </si>
  <si>
    <t>9780810104129</t>
  </si>
  <si>
    <t>791437168</t>
  </si>
  <si>
    <t>P106 M39</t>
  </si>
  <si>
    <t>0                      P  0106000M  39</t>
  </si>
  <si>
    <t>Le signe et le poème : [essai] / Henri Meschonnic.</t>
  </si>
  <si>
    <t>[Paris] : Gallimard, ©1975.</t>
  </si>
  <si>
    <t>Le Chemin</t>
  </si>
  <si>
    <t>687446626:fre</t>
  </si>
  <si>
    <t>1961558</t>
  </si>
  <si>
    <t>ocm01961558</t>
  </si>
  <si>
    <t>31027323476</t>
  </si>
  <si>
    <t>792019106</t>
  </si>
  <si>
    <t>P106 M48 1998</t>
  </si>
  <si>
    <t>0                      P  0106000M  48          1998</t>
  </si>
  <si>
    <t>Philosophy of language / Alexander Miller.</t>
  </si>
  <si>
    <t>Miller, Alexander, 1965-</t>
  </si>
  <si>
    <t>Montreal : McGill-Queen's University Press, c1998.</t>
  </si>
  <si>
    <t>Fundamentals of philosophy</t>
  </si>
  <si>
    <t>5613292859:eng</t>
  </si>
  <si>
    <t>37371287</t>
  </si>
  <si>
    <t>ocm37371287</t>
  </si>
  <si>
    <t>3102683215T</t>
  </si>
  <si>
    <t>9780773517080</t>
  </si>
  <si>
    <t>793497100</t>
  </si>
  <si>
    <t>P106 M52 1984</t>
  </si>
  <si>
    <t>0                      P  0106000M  52          1984</t>
  </si>
  <si>
    <t>Language, thought, and other biological categories : new foundations for realism / Ruth Garrett Millikan.</t>
  </si>
  <si>
    <t>Millikan, Ruth Garrett.</t>
  </si>
  <si>
    <t>Cambridge, Mass. : MIT Press, ©1984.</t>
  </si>
  <si>
    <t>792932488:eng</t>
  </si>
  <si>
    <t>10100958</t>
  </si>
  <si>
    <t>ocm10100958</t>
  </si>
  <si>
    <t>31027323436</t>
  </si>
  <si>
    <t>9780262131957</t>
  </si>
  <si>
    <t>792709216</t>
  </si>
  <si>
    <t>P106 M58 1988</t>
  </si>
  <si>
    <t>0                      P  0106000M  58          1988</t>
  </si>
  <si>
    <t>The limitations of language / Terence Moore and Chris Carling.</t>
  </si>
  <si>
    <t>Moore, Terence, 1928-</t>
  </si>
  <si>
    <t>Basingstoke : Macmillan, 1988.</t>
  </si>
  <si>
    <t>141535088:eng</t>
  </si>
  <si>
    <t>59093862</t>
  </si>
  <si>
    <t>ocm59093862</t>
  </si>
  <si>
    <t>31027323388</t>
  </si>
  <si>
    <t>9780333371534</t>
  </si>
  <si>
    <t>793927265</t>
  </si>
  <si>
    <t>P106 M588 1990</t>
  </si>
  <si>
    <t>0                      P  0106000M  588         1990</t>
  </si>
  <si>
    <t>Thought and language / J.M. Moravcsik.</t>
  </si>
  <si>
    <t>Moravcsik, J. M. E.</t>
  </si>
  <si>
    <t>The Problems of philosophy : their past and present</t>
  </si>
  <si>
    <t>3943614447:eng</t>
  </si>
  <si>
    <t>19589405</t>
  </si>
  <si>
    <t>ocm19589405</t>
  </si>
  <si>
    <t>3100750519I</t>
  </si>
  <si>
    <t>9780415043229</t>
  </si>
  <si>
    <t>793063035</t>
  </si>
  <si>
    <t>P106 M66513 2016</t>
  </si>
  <si>
    <t>0                      P  0106000M  66513       2016</t>
  </si>
  <si>
    <t>I speak, therefore I am : seventeen thoughts about language / Andrea Moro ; Translated from the Italian by Ian Roberts.</t>
  </si>
  <si>
    <t>Moro, Andrea, author.</t>
  </si>
  <si>
    <t>3882294246:eng</t>
  </si>
  <si>
    <t>927438880</t>
  </si>
  <si>
    <t>ocn927438880</t>
  </si>
  <si>
    <t>31036546665</t>
  </si>
  <si>
    <t>9780231177405</t>
  </si>
  <si>
    <t>795005941</t>
  </si>
  <si>
    <t>P106 N54</t>
  </si>
  <si>
    <t>0                      P  0106000N  54</t>
  </si>
  <si>
    <t>Language play : an introduction to linguistics / Don L.F. Nilsen, Alleen Pace Nilsen.</t>
  </si>
  <si>
    <t>Nilsen, Don Lee Fred.</t>
  </si>
  <si>
    <t>Rowley, Ma. : Newbury House Publishers, ©1978.</t>
  </si>
  <si>
    <t>2019-12-11</t>
  </si>
  <si>
    <t>365789610:eng</t>
  </si>
  <si>
    <t>3481653</t>
  </si>
  <si>
    <t>ocm03481653</t>
  </si>
  <si>
    <t>30009828638</t>
  </si>
  <si>
    <t>9780883771020</t>
  </si>
  <si>
    <t>792259847</t>
  </si>
  <si>
    <t>P106 O22 1972a</t>
  </si>
  <si>
    <t>0                      P  0106000O  22          1972a</t>
  </si>
  <si>
    <t>Issues in the philosophy of language : proceedings of the 1972 Oberlin Colloquium in Philosophy / edited by Alfred F. MacKay and Daniel D. Merrill.</t>
  </si>
  <si>
    <t>Oberlin Colloquium in Philosophy (13th : 1972 :cOberlin College)</t>
  </si>
  <si>
    <t>New Haven : Yale University Press, 1976.</t>
  </si>
  <si>
    <t>905444356:eng</t>
  </si>
  <si>
    <t>427160654</t>
  </si>
  <si>
    <t>ocn427160654</t>
  </si>
  <si>
    <t>3102732321A</t>
  </si>
  <si>
    <t>9780300018288</t>
  </si>
  <si>
    <t>794523325</t>
  </si>
  <si>
    <t>P106 O45 1989</t>
  </si>
  <si>
    <t>0                      P  0106000O  45          1989</t>
  </si>
  <si>
    <t>Les langues du paradis : aryens et sémites, un couple providentiel / Maurice Olender ; préface de Jean-Pierre Vernant.</t>
  </si>
  <si>
    <t>Olender, Maurice.</t>
  </si>
  <si>
    <t>Paris : Gallimard : Le Seuil, ©1989.</t>
  </si>
  <si>
    <t>Hautes études / Gallimard, Le Seuil</t>
  </si>
  <si>
    <t>1059353:fre</t>
  </si>
  <si>
    <t>26633800</t>
  </si>
  <si>
    <t>ocm26633800</t>
  </si>
  <si>
    <t>3102732320A</t>
  </si>
  <si>
    <t>9782020108836</t>
  </si>
  <si>
    <t>793248360</t>
  </si>
  <si>
    <t>P106 O4513 2008</t>
  </si>
  <si>
    <t>0                      P  0106000O  4513        2008</t>
  </si>
  <si>
    <t>The languages of Paradise : race, religion, and philology in the nineteenth century / Maurice Olender ; translated by Arthur Goldhammer.</t>
  </si>
  <si>
    <t>Cambridge, Mass. : Harvard University Press, 2008.</t>
  </si>
  <si>
    <t>1st Harvard University Press pbk. ed.</t>
  </si>
  <si>
    <t>1059353:eng</t>
  </si>
  <si>
    <t>221175494</t>
  </si>
  <si>
    <t>ocn221175494</t>
  </si>
  <si>
    <t>3102975863H</t>
  </si>
  <si>
    <t>9780674030626</t>
  </si>
  <si>
    <t>794324866</t>
  </si>
  <si>
    <t>P106 O499</t>
  </si>
  <si>
    <t>0                      P  0106000O  499</t>
  </si>
  <si>
    <t>Interfaces of the word : studies in the evolution of consciousness and culture / Walter J. Ong.</t>
  </si>
  <si>
    <t>2009-10-27</t>
  </si>
  <si>
    <t>2017-07-13</t>
  </si>
  <si>
    <t>874952720:eng</t>
  </si>
  <si>
    <t>3017338</t>
  </si>
  <si>
    <t>ocm03017338</t>
  </si>
  <si>
    <t>3102732322A</t>
  </si>
  <si>
    <t>9780801411052</t>
  </si>
  <si>
    <t>792207069</t>
  </si>
  <si>
    <t>2013-01-16</t>
  </si>
  <si>
    <t>3102732318C</t>
  </si>
  <si>
    <t>792207067</t>
  </si>
  <si>
    <t>P106 O5</t>
  </si>
  <si>
    <t>0                      P  0106000O  5</t>
  </si>
  <si>
    <t>The presence of the word : some prolegomena for cultural and religious history / by Walter J. Ong, S.J.</t>
  </si>
  <si>
    <t>Ong, Walter J., author.</t>
  </si>
  <si>
    <t>New Haven : Yale University Press, 1967.</t>
  </si>
  <si>
    <t>The Terry lectures</t>
  </si>
  <si>
    <t>1102461945:eng</t>
  </si>
  <si>
    <t>586274</t>
  </si>
  <si>
    <t>ocm00586274</t>
  </si>
  <si>
    <t>3100232727B</t>
  </si>
  <si>
    <t>9780300099737</t>
  </si>
  <si>
    <t>791421802</t>
  </si>
  <si>
    <t>2006-11-08</t>
  </si>
  <si>
    <t>3102711441H</t>
  </si>
  <si>
    <t>791421801</t>
  </si>
  <si>
    <t>3102732317C</t>
  </si>
  <si>
    <t>791421803</t>
  </si>
  <si>
    <t>P106 O514</t>
  </si>
  <si>
    <t>0                      P  0106000O  514</t>
  </si>
  <si>
    <t>Retrouver la parole; introductions à l'histoire de la culture et de la religion / adaptation française par Barbara O'Connor et Jean-Philippe Fabien.</t>
  </si>
  <si>
    <t>[Montréal] : HMH, [©1971]</t>
  </si>
  <si>
    <t>1102461945:fre</t>
  </si>
  <si>
    <t>427499573</t>
  </si>
  <si>
    <t>ocn427499573</t>
  </si>
  <si>
    <t>3102732316C</t>
  </si>
  <si>
    <t>794668066</t>
  </si>
  <si>
    <t>P106 P455 1996</t>
  </si>
  <si>
    <t>0                      P  0106000P  455         1996</t>
  </si>
  <si>
    <t>The philosophy of language / edited by A.P. Martinich.</t>
  </si>
  <si>
    <t>56646561:eng</t>
  </si>
  <si>
    <t>32166107</t>
  </si>
  <si>
    <t>ocm32166107</t>
  </si>
  <si>
    <t>3102683214T</t>
  </si>
  <si>
    <t>9780195093681</t>
  </si>
  <si>
    <t>793377074</t>
  </si>
  <si>
    <t>P106 P455 2009</t>
  </si>
  <si>
    <t>0                      P  0106000P  455         2009</t>
  </si>
  <si>
    <t>London : Routledge, 2009.</t>
  </si>
  <si>
    <t>Critical concepts in philosophy</t>
  </si>
  <si>
    <t>2018-01-28</t>
  </si>
  <si>
    <t>288983471</t>
  </si>
  <si>
    <t>ocn288983471</t>
  </si>
  <si>
    <t>31030415103</t>
  </si>
  <si>
    <t>9780415434713</t>
  </si>
  <si>
    <t>794421552</t>
  </si>
  <si>
    <t>2012-08-27</t>
  </si>
  <si>
    <t>31030415055</t>
  </si>
  <si>
    <t>794421549</t>
  </si>
  <si>
    <t>31030415095</t>
  </si>
  <si>
    <t>794421550</t>
  </si>
  <si>
    <t>2016-09-26</t>
  </si>
  <si>
    <t>31030415133</t>
  </si>
  <si>
    <t>794421551</t>
  </si>
  <si>
    <t>P106 P456 1998</t>
  </si>
  <si>
    <t>0                      P  0106000P  456         1998</t>
  </si>
  <si>
    <t>Philosophy of language : the big questions / edited by Andrea Nye.</t>
  </si>
  <si>
    <t>Malden, Mass. : Blackwell Publishers, 1998.</t>
  </si>
  <si>
    <t>Philosophy, the big questions</t>
  </si>
  <si>
    <t>2016-07-11</t>
  </si>
  <si>
    <t>837020818:eng</t>
  </si>
  <si>
    <t>37917393</t>
  </si>
  <si>
    <t>ocm37917393</t>
  </si>
  <si>
    <t>3102754438O</t>
  </si>
  <si>
    <t>9780631206019</t>
  </si>
  <si>
    <t>793510089</t>
  </si>
  <si>
    <t>P106 P475 1993</t>
  </si>
  <si>
    <t>0                      P  0106000P  475         1993</t>
  </si>
  <si>
    <t>Talk, thought, and thing : the emic road toward conscious knowledge / Kenneth L. Pike.</t>
  </si>
  <si>
    <t>Pike, Kenneth L. (Kenneth Lee), 1912-2000.</t>
  </si>
  <si>
    <t>Dallas : Summer Institute of Linguistics, ©1993.</t>
  </si>
  <si>
    <t>377666:eng</t>
  </si>
  <si>
    <t>29541977</t>
  </si>
  <si>
    <t>ocm29541977</t>
  </si>
  <si>
    <t>3102754436O</t>
  </si>
  <si>
    <t>9780883126103</t>
  </si>
  <si>
    <t>793313757</t>
  </si>
  <si>
    <t>P106 P477 1999</t>
  </si>
  <si>
    <t>0                      P  0106000P  477         1999</t>
  </si>
  <si>
    <t>Words and rules : the ingredients of language / Steven Pinker.</t>
  </si>
  <si>
    <t>Pinker, Steven, 1954-</t>
  </si>
  <si>
    <t>New York : Basic Books, ©1999.</t>
  </si>
  <si>
    <t>28847948:eng</t>
  </si>
  <si>
    <t>42290964</t>
  </si>
  <si>
    <t>ocm42290964</t>
  </si>
  <si>
    <t>3103392762E</t>
  </si>
  <si>
    <t>9780465072699</t>
  </si>
  <si>
    <t>793604501</t>
  </si>
  <si>
    <t>P106 P478 1994</t>
  </si>
  <si>
    <t>0                      P  0106000P  478         1994</t>
  </si>
  <si>
    <t>The language instinct / Steven Pinker.</t>
  </si>
  <si>
    <t>Pinker, Steven, 1954- author.</t>
  </si>
  <si>
    <t>New York : William Morrow and Company, [1994]</t>
  </si>
  <si>
    <t>4820427889:eng</t>
  </si>
  <si>
    <t>28723210</t>
  </si>
  <si>
    <t>ocm28723210</t>
  </si>
  <si>
    <t>3102683212T</t>
  </si>
  <si>
    <t>9780688121419</t>
  </si>
  <si>
    <t>793294895</t>
  </si>
  <si>
    <t>3102683221R</t>
  </si>
  <si>
    <t>793294894</t>
  </si>
  <si>
    <t>P106 P478 1995</t>
  </si>
  <si>
    <t>0                      P  0106000P  478         1995</t>
  </si>
  <si>
    <t>New York : HarperPerennial, 1995.</t>
  </si>
  <si>
    <t>1st HarperPerennial ed.</t>
  </si>
  <si>
    <t>31374737</t>
  </si>
  <si>
    <t>ocm31374737</t>
  </si>
  <si>
    <t>3103068875I</t>
  </si>
  <si>
    <t>9780060976514</t>
  </si>
  <si>
    <t>793359758</t>
  </si>
  <si>
    <t>3103129147I</t>
  </si>
  <si>
    <t>793359760</t>
  </si>
  <si>
    <t>3103068880G</t>
  </si>
  <si>
    <t>793359759</t>
  </si>
  <si>
    <t>P106 P883 T88 1996</t>
  </si>
  <si>
    <t>0                      P  0106000P  883                T  88          1996</t>
  </si>
  <si>
    <t>The Twin earth chronicles : twenty years of reflection on Hilary Putnam's "The meaning of 'meaning'" / edited by Andrew Pessin and Sanford Goldberg.</t>
  </si>
  <si>
    <t>Armonk, N.Y. : M.E. Sharpe, ©1996.</t>
  </si>
  <si>
    <t>837037430:eng</t>
  </si>
  <si>
    <t>32166597</t>
  </si>
  <si>
    <t>ocm32166597</t>
  </si>
  <si>
    <t>3102754421Q</t>
  </si>
  <si>
    <t>9781563248733</t>
  </si>
  <si>
    <t>793377130</t>
  </si>
  <si>
    <t>P106 R38 1996</t>
  </si>
  <si>
    <t>0                      P  0106000R  38          1996</t>
  </si>
  <si>
    <t>Readings in language and mind / edited by Heimir Geirsson and Michael Losonsky.</t>
  </si>
  <si>
    <t>Cambridge, Mass., USA : Blackwell Publishers, 1996.</t>
  </si>
  <si>
    <t>353536095:eng</t>
  </si>
  <si>
    <t>32552434</t>
  </si>
  <si>
    <t>ocm32552434</t>
  </si>
  <si>
    <t>3102754418S</t>
  </si>
  <si>
    <t>9781557866707</t>
  </si>
  <si>
    <t>793387492</t>
  </si>
  <si>
    <t>P106 R586 1989</t>
  </si>
  <si>
    <t>0                      P  0106000R  586         1989</t>
  </si>
  <si>
    <t>Contingency, irony, and solidarity / Richard Rorty.</t>
  </si>
  <si>
    <t>Rorty, Richard.</t>
  </si>
  <si>
    <t>2018-01-26</t>
  </si>
  <si>
    <t>16743434:eng</t>
  </si>
  <si>
    <t>18290785</t>
  </si>
  <si>
    <t>ocm18290785</t>
  </si>
  <si>
    <t>3102754410S</t>
  </si>
  <si>
    <t>9780521353816</t>
  </si>
  <si>
    <t>793019886</t>
  </si>
  <si>
    <t>3102754402U</t>
  </si>
  <si>
    <t>793019885</t>
  </si>
  <si>
    <t>31027410896</t>
  </si>
  <si>
    <t>793019889</t>
  </si>
  <si>
    <t>3103629029S</t>
  </si>
  <si>
    <t>793019887</t>
  </si>
  <si>
    <t>3102754407U</t>
  </si>
  <si>
    <t>793019888</t>
  </si>
  <si>
    <t>P106 R75 2012</t>
  </si>
  <si>
    <t>0                      P  0106000R  75          2012</t>
  </si>
  <si>
    <t>The Routledge companion to philosophy of language / edited by Delia Graff Fara and Gillian Russell.</t>
  </si>
  <si>
    <t>Routledge philosophy companions</t>
  </si>
  <si>
    <t>505439848:eng</t>
  </si>
  <si>
    <t>644680366</t>
  </si>
  <si>
    <t>ocn644680366</t>
  </si>
  <si>
    <t>3103410641Q</t>
  </si>
  <si>
    <t>9780415993104</t>
  </si>
  <si>
    <t>794829348</t>
  </si>
  <si>
    <t>P106 S315 2011</t>
  </si>
  <si>
    <t>0                      P  0106000S  315         2011</t>
  </si>
  <si>
    <t>Worlds of communication : interdisciplinary transitions / Siegfried J. Schmidt.</t>
  </si>
  <si>
    <t>Schmidt, Siegfried J., 1940-</t>
  </si>
  <si>
    <t>Interdisciplinary communication studies ; v. 5</t>
  </si>
  <si>
    <t>774483098:eng</t>
  </si>
  <si>
    <t>700042306</t>
  </si>
  <si>
    <t>ocn700042306</t>
  </si>
  <si>
    <t>3103342092H</t>
  </si>
  <si>
    <t>9783034301688</t>
  </si>
  <si>
    <t>794861738</t>
  </si>
  <si>
    <t>P106 S5427 1989</t>
  </si>
  <si>
    <t>0                      P  0106000S  5427        1989</t>
  </si>
  <si>
    <t>Sign, sentence, discourse : language in medieval thought and literature / edited by Julian N. Wasserman and Lois Roney.</t>
  </si>
  <si>
    <t>Syracuse, N.Y. : Syracuse University Press, 1989.</t>
  </si>
  <si>
    <t>889928171:eng</t>
  </si>
  <si>
    <t>18321935</t>
  </si>
  <si>
    <t>ocm18321935</t>
  </si>
  <si>
    <t>3102754460I</t>
  </si>
  <si>
    <t>9780815624516</t>
  </si>
  <si>
    <t>793021396</t>
  </si>
  <si>
    <t>P106 S77 1976</t>
  </si>
  <si>
    <t>0                      P  0106000S  77          1976</t>
  </si>
  <si>
    <t>Extraterritorial : papers on literature and the language revolution / George Steiner.</t>
  </si>
  <si>
    <t>New York : Atheneum, 1976.</t>
  </si>
  <si>
    <t>[College ed., 1st Atheneum pbk. ed.].</t>
  </si>
  <si>
    <t>Atheneum ; 223</t>
  </si>
  <si>
    <t>2017-11-09</t>
  </si>
  <si>
    <t>367851735:eng</t>
  </si>
  <si>
    <t>6066278</t>
  </si>
  <si>
    <t>ocm06066278</t>
  </si>
  <si>
    <t>3102754453K</t>
  </si>
  <si>
    <t>9780689705342</t>
  </si>
  <si>
    <t>792472856</t>
  </si>
  <si>
    <t>P106 S7726 1996</t>
  </si>
  <si>
    <t>0                      P  0106000S  7726        1996</t>
  </si>
  <si>
    <t>No passion spent : essays 1978-1995 / George Steiner.</t>
  </si>
  <si>
    <t>New Haven : Yale University Press, ©1996.</t>
  </si>
  <si>
    <t>2009-07-17</t>
  </si>
  <si>
    <t>837012263:eng</t>
  </si>
  <si>
    <t>34978808</t>
  </si>
  <si>
    <t>ocm34978808</t>
  </si>
  <si>
    <t>3102683226R</t>
  </si>
  <si>
    <t>9780300066302</t>
  </si>
  <si>
    <t>793440312</t>
  </si>
  <si>
    <t>3102754448M</t>
  </si>
  <si>
    <t>793440313</t>
  </si>
  <si>
    <t>P106 S773 1989</t>
  </si>
  <si>
    <t>0                      P  0106000S  773         1989</t>
  </si>
  <si>
    <t>Real presences : is there anything in what we say? / George Steiner.</t>
  </si>
  <si>
    <t>London : Faber, 1989.</t>
  </si>
  <si>
    <t>2018-10-18</t>
  </si>
  <si>
    <t>8646622:eng</t>
  </si>
  <si>
    <t>19266940</t>
  </si>
  <si>
    <t>ocm19266940</t>
  </si>
  <si>
    <t>3102754536L</t>
  </si>
  <si>
    <t>9780571140718</t>
  </si>
  <si>
    <t>793051497</t>
  </si>
  <si>
    <t>3102754452K</t>
  </si>
  <si>
    <t>793051496</t>
  </si>
  <si>
    <t>P106 S77314 1991</t>
  </si>
  <si>
    <t>0                      P  0106000S  77314       1991</t>
  </si>
  <si>
    <t>Réelles présences : les arts du sens / George Steiner ; traduit de l'anglais par Michel R. de Pauw.</t>
  </si>
  <si>
    <t>[Paris] : Gallimard, ©1991.</t>
  </si>
  <si>
    <t>2019-10-08</t>
  </si>
  <si>
    <t>4494988922:fre</t>
  </si>
  <si>
    <t>24940332</t>
  </si>
  <si>
    <t>ocm24940332</t>
  </si>
  <si>
    <t>3102754531L</t>
  </si>
  <si>
    <t>9782070721337</t>
  </si>
  <si>
    <t>793208539</t>
  </si>
  <si>
    <t>P106 S776 1990</t>
  </si>
  <si>
    <t>0                      P  0106000S  776         1990</t>
  </si>
  <si>
    <t>Language and philosophical problems / Sören Stenlund.</t>
  </si>
  <si>
    <t>Stenlund, Sören.</t>
  </si>
  <si>
    <t>9714978:eng</t>
  </si>
  <si>
    <t>21335523</t>
  </si>
  <si>
    <t>ocm21335523</t>
  </si>
  <si>
    <t>3102754526N</t>
  </si>
  <si>
    <t>9780415042215</t>
  </si>
  <si>
    <t>793116030</t>
  </si>
  <si>
    <t>P106 T495 1997</t>
  </si>
  <si>
    <t>0                      P  0106000T  495         1997</t>
  </si>
  <si>
    <t>Thought and language / edited by John Preston.</t>
  </si>
  <si>
    <t>Royal Institute of Philosophy. Annual Conference (18th : 1996 : University of Reading), author.</t>
  </si>
  <si>
    <t>Cambridge, United Kingdom : Cambridge University Press, [1997]</t>
  </si>
  <si>
    <t>Royal Institute of Philosophy supplement, 1358-2461 ; 42</t>
  </si>
  <si>
    <t>3873252647:eng</t>
  </si>
  <si>
    <t>37820022</t>
  </si>
  <si>
    <t>ocm37820022</t>
  </si>
  <si>
    <t>3102754511P</t>
  </si>
  <si>
    <t>9780521587419</t>
  </si>
  <si>
    <t>793507791</t>
  </si>
  <si>
    <t>P106 W574 1984</t>
  </si>
  <si>
    <t>0                      P  0106000W  574         1984</t>
  </si>
  <si>
    <t>When words lose their meaning : constitutions and reconstitutions of language, character, and community / James Boyd White.</t>
  </si>
  <si>
    <t>White, James Boyd, 1938-</t>
  </si>
  <si>
    <t>Chicago : University of Chicago Press, 1984.</t>
  </si>
  <si>
    <t>2019-06-08</t>
  </si>
  <si>
    <t>2019-09-17</t>
  </si>
  <si>
    <t>2552839:eng</t>
  </si>
  <si>
    <t>9761538</t>
  </si>
  <si>
    <t>ocm09761538</t>
  </si>
  <si>
    <t>3102754578D</t>
  </si>
  <si>
    <t>9780226895017</t>
  </si>
  <si>
    <t>792692315</t>
  </si>
  <si>
    <t>P106 Y85 2010</t>
  </si>
  <si>
    <t>0                      P  0106000Y  85          2010</t>
  </si>
  <si>
    <t>The study of language / George Yule.</t>
  </si>
  <si>
    <t>36404106:eng</t>
  </si>
  <si>
    <t>489632500</t>
  </si>
  <si>
    <t>ocn489632500</t>
  </si>
  <si>
    <t>3103133283Q</t>
  </si>
  <si>
    <t>9780521749220</t>
  </si>
  <si>
    <t>794800344</t>
  </si>
  <si>
    <t>P107 A15 2012</t>
  </si>
  <si>
    <t>0                      P  0107000A  15          2012</t>
  </si>
  <si>
    <t>The five-minute linguist : bite-sized essays on language and languages / edited by E.M. Rickerson and Barry Hilton.</t>
  </si>
  <si>
    <t>Oakville, Conn. : Equinox Pub., ©2012.</t>
  </si>
  <si>
    <t>2012-12-13</t>
  </si>
  <si>
    <t>940886375:eng</t>
  </si>
  <si>
    <t>746712282</t>
  </si>
  <si>
    <t>ocn746712282</t>
  </si>
  <si>
    <t>3103422500O</t>
  </si>
  <si>
    <t>9781908049940</t>
  </si>
  <si>
    <t>794887365</t>
  </si>
  <si>
    <t>P107 A39 2015</t>
  </si>
  <si>
    <t>0                      P  0107000A  39          2015</t>
  </si>
  <si>
    <t>Advances in experimental philosophy of language / edited by Jussi Haukioja.</t>
  </si>
  <si>
    <t>London ; New York : Bloomsbury Academic, an imprint of Bloomsbury Publishing Plc, 2015.</t>
  </si>
  <si>
    <t>Advances in experimental philosophy</t>
  </si>
  <si>
    <t>2504315624:eng</t>
  </si>
  <si>
    <t>881656157</t>
  </si>
  <si>
    <t>ocn881656157</t>
  </si>
  <si>
    <t>3103583205U</t>
  </si>
  <si>
    <t>9781472570734</t>
  </si>
  <si>
    <t>794974708</t>
  </si>
  <si>
    <t>P107 A53 2012</t>
  </si>
  <si>
    <t>0                      P  0107000A  53          2012</t>
  </si>
  <si>
    <t>Languages : a very short introduction / Stephen R. Anderson.</t>
  </si>
  <si>
    <t>Anderson, Stephen R.</t>
  </si>
  <si>
    <t>Oxford, U.K. : Oxford University Press, 2012.</t>
  </si>
  <si>
    <t>Very short introductions ; 320</t>
  </si>
  <si>
    <t>1058748086:eng</t>
  </si>
  <si>
    <t>767566623</t>
  </si>
  <si>
    <t>ocn767566623</t>
  </si>
  <si>
    <t>3103431981W</t>
  </si>
  <si>
    <t>9780199590599</t>
  </si>
  <si>
    <t>794901124</t>
  </si>
  <si>
    <t>P107 A734 2011</t>
  </si>
  <si>
    <t>0                      P  0107000A  734         2011</t>
  </si>
  <si>
    <t>The architectures of Babel : creation, extinctions and intercessions in the languages of the global world / edited by Tiziana Migliore, Paolo Fabbri.</t>
  </si>
  <si>
    <t>Firenze : L.S. Olschki, 2011.</t>
  </si>
  <si>
    <t>Civiltà veneziana. Studi ; 53</t>
  </si>
  <si>
    <t>1079612583:eng</t>
  </si>
  <si>
    <t>776489462</t>
  </si>
  <si>
    <t>ocn776489462</t>
  </si>
  <si>
    <t>3103506167C</t>
  </si>
  <si>
    <t>9788822260963</t>
  </si>
  <si>
    <t>794908061</t>
  </si>
  <si>
    <t>P107 A76 2010</t>
  </si>
  <si>
    <t>0                      P  0107000A  76          2010</t>
  </si>
  <si>
    <t>Arguing about language / edited by Darragh Byrne and Max Kölbel.</t>
  </si>
  <si>
    <t>Arguing about philosophy</t>
  </si>
  <si>
    <t>355210092:eng</t>
  </si>
  <si>
    <t>181142784</t>
  </si>
  <si>
    <t>ocn181142784</t>
  </si>
  <si>
    <t>3103157643X</t>
  </si>
  <si>
    <t>9780415462433</t>
  </si>
  <si>
    <t>794281928</t>
  </si>
  <si>
    <t>P107 A87 2003</t>
  </si>
  <si>
    <t>0                      P  0107000A  87          2003</t>
  </si>
  <si>
    <t>The atlas of languages : the origin and development of languages throughout the world / consultant editors, Bernard Comrie, Stephen Matthews, and Maria Polinksy [i.e. Polinsky] ; foreword by Jean Aitchison.</t>
  </si>
  <si>
    <t>New York : Facts On File, ©2003.</t>
  </si>
  <si>
    <t>Facts on File library of language and literature</t>
  </si>
  <si>
    <t>836981300:eng</t>
  </si>
  <si>
    <t>51607361</t>
  </si>
  <si>
    <t>ocm51607361</t>
  </si>
  <si>
    <t>31023402115</t>
  </si>
  <si>
    <t>9780816051236</t>
  </si>
  <si>
    <t>793787636</t>
  </si>
  <si>
    <t>P107 A969 2013</t>
  </si>
  <si>
    <t>0                      P  0107000A  969         2013</t>
  </si>
  <si>
    <t>La philosophie du langage / Sylvain Auroux.</t>
  </si>
  <si>
    <t>2e éd. mise à jour.</t>
  </si>
  <si>
    <t>Que sais-je, 0768-0066 ; 1765</t>
  </si>
  <si>
    <t>3943525784:fre</t>
  </si>
  <si>
    <t>874842263</t>
  </si>
  <si>
    <t>ocn874842263</t>
  </si>
  <si>
    <t>3103621119U</t>
  </si>
  <si>
    <t>9782130620266</t>
  </si>
  <si>
    <t>794969052</t>
  </si>
  <si>
    <t>P107 B35 2001</t>
  </si>
  <si>
    <t>0                      P  0107000B  35          2001</t>
  </si>
  <si>
    <t>The atoms of language / Mark C. Baker.</t>
  </si>
  <si>
    <t>Baker, Mark C.</t>
  </si>
  <si>
    <t>New York : Basic Books, ©2001.</t>
  </si>
  <si>
    <t>5972563:eng</t>
  </si>
  <si>
    <t>47023551</t>
  </si>
  <si>
    <t>ocm47023551</t>
  </si>
  <si>
    <t>3103026622P</t>
  </si>
  <si>
    <t>9780465005215</t>
  </si>
  <si>
    <t>793696762</t>
  </si>
  <si>
    <t>2018-01-12</t>
  </si>
  <si>
    <t>3103026617R</t>
  </si>
  <si>
    <t>793696763</t>
  </si>
  <si>
    <t>3102866048F</t>
  </si>
  <si>
    <t>793696761</t>
  </si>
  <si>
    <t>P107 B37 2008</t>
  </si>
  <si>
    <t>0                      P  0107000B  37          2008</t>
  </si>
  <si>
    <t>Always on : language in an online and mobile world / Naomi S. Baron.</t>
  </si>
  <si>
    <t>Baron, Naomi S.</t>
  </si>
  <si>
    <t>148304709:eng</t>
  </si>
  <si>
    <t>173502670</t>
  </si>
  <si>
    <t>ocn173502670</t>
  </si>
  <si>
    <t>31026526071</t>
  </si>
  <si>
    <t>9780195313055</t>
  </si>
  <si>
    <t>794268630</t>
  </si>
  <si>
    <t>P107 B43 2011</t>
  </si>
  <si>
    <t>0                      P  0107000B  43          2011</t>
  </si>
  <si>
    <t>Pratique du langage et idéal d'authenticité : essai sur la visée éthique de l'acte langagier / Simon Beaudoin.</t>
  </si>
  <si>
    <t>Beaudoin, Simon.</t>
  </si>
  <si>
    <t>Montréal : Liber : Distribution, Diffusion Dimedia, ©2011.</t>
  </si>
  <si>
    <t>787871977:fre</t>
  </si>
  <si>
    <t>702844821</t>
  </si>
  <si>
    <t>ocn702844821</t>
  </si>
  <si>
    <t>31032681094</t>
  </si>
  <si>
    <t>9782895782476</t>
  </si>
  <si>
    <t>794864310</t>
  </si>
  <si>
    <t>P107 B47 2011</t>
  </si>
  <si>
    <t>0                      P  0107000B  47          2011</t>
  </si>
  <si>
    <t>Language and the ineffable : a developmental perspective and its applications / Louis S. Berger.</t>
  </si>
  <si>
    <t>Berger, Louis S.</t>
  </si>
  <si>
    <t>2011-10-13</t>
  </si>
  <si>
    <t>570182703:eng</t>
  </si>
  <si>
    <t>655303952</t>
  </si>
  <si>
    <t>ocn655303952</t>
  </si>
  <si>
    <t>3103323758A</t>
  </si>
  <si>
    <t>9780739147139</t>
  </si>
  <si>
    <t>794834283</t>
  </si>
  <si>
    <t>P107 B58 2006</t>
  </si>
  <si>
    <t>0                      P  0107000B  58          2006</t>
  </si>
  <si>
    <t>The Blackwell guide to the philosophy of language / edited by Michael Devitt and Richard Hanley.</t>
  </si>
  <si>
    <t>Malden, Mass. : Blackwell Pub., 2006.</t>
  </si>
  <si>
    <t>Blackwell philosophy guides ; 19</t>
  </si>
  <si>
    <t>766055285:eng</t>
  </si>
  <si>
    <t>62084244</t>
  </si>
  <si>
    <t>ocm62084244</t>
  </si>
  <si>
    <t>3102556568J</t>
  </si>
  <si>
    <t>9780631231417</t>
  </si>
  <si>
    <t>794099652</t>
  </si>
  <si>
    <t>P107 B595 2009</t>
  </si>
  <si>
    <t>0                      P  0107000B  595         2009</t>
  </si>
  <si>
    <t>Making sense of language : readings in culture and communication / Susan D. Blum.</t>
  </si>
  <si>
    <t>Blum, Susan Debra.</t>
  </si>
  <si>
    <t>140618688:eng</t>
  </si>
  <si>
    <t>236334384</t>
  </si>
  <si>
    <t>ocn236334384</t>
  </si>
  <si>
    <t>3103054234S</t>
  </si>
  <si>
    <t>9780195336382</t>
  </si>
  <si>
    <t>794371587</t>
  </si>
  <si>
    <t>P107 B65 2011</t>
  </si>
  <si>
    <t>0                      P  0107000B  65          2011</t>
  </si>
  <si>
    <t>Babel's dawn : a natural history of the origins of speech / Edmund Blair Bolles.</t>
  </si>
  <si>
    <t>Bolles, Edmund Blair, 1942-</t>
  </si>
  <si>
    <t>Berkeley, CA : Counterpoint, ©2011.</t>
  </si>
  <si>
    <t>786809195:eng</t>
  </si>
  <si>
    <t>701810687</t>
  </si>
  <si>
    <t>ocn701810687</t>
  </si>
  <si>
    <t>3103365414$</t>
  </si>
  <si>
    <t>9781582436418</t>
  </si>
  <si>
    <t>794863543</t>
  </si>
  <si>
    <t>P107 C545 2005</t>
  </si>
  <si>
    <t>0                      P  0107000C  545         2005</t>
  </si>
  <si>
    <t>Rules and representations / Noam Chomsky ; foreword by Norbert Hornstein.</t>
  </si>
  <si>
    <t>New York : Columbia University Press, ©2005.</t>
  </si>
  <si>
    <t>Columbia classics in philosophy</t>
  </si>
  <si>
    <t>2017-11-28</t>
  </si>
  <si>
    <t>893233:eng</t>
  </si>
  <si>
    <t>56793622</t>
  </si>
  <si>
    <t>ocm56793622</t>
  </si>
  <si>
    <t>3103083419F</t>
  </si>
  <si>
    <t>9780231132701</t>
  </si>
  <si>
    <t>793901880</t>
  </si>
  <si>
    <t>3103304707Q</t>
  </si>
  <si>
    <t>793901879</t>
  </si>
  <si>
    <t>P107 C76 2009</t>
  </si>
  <si>
    <t>0                      P  0107000C  76          2009</t>
  </si>
  <si>
    <t>The future of language : the Routledge David Crystal lectures.</t>
  </si>
  <si>
    <t>includes 1 video disc</t>
  </si>
  <si>
    <t>Milton Park, Abingdon, Oxon ; New York : Routledge, 2009.</t>
  </si>
  <si>
    <t>3374548865:eng</t>
  </si>
  <si>
    <t>261177511</t>
  </si>
  <si>
    <t>ocn261177511</t>
  </si>
  <si>
    <t>31031171110</t>
  </si>
  <si>
    <t>Video_DVD</t>
  </si>
  <si>
    <t>9780415484909</t>
  </si>
  <si>
    <t>794400927</t>
  </si>
  <si>
    <t>P107 C78 2001</t>
  </si>
  <si>
    <t>0                      P  0107000C  78          2001</t>
  </si>
  <si>
    <t>Language and the Internet / David Crystal.</t>
  </si>
  <si>
    <t>46565154</t>
  </si>
  <si>
    <t>ocm46565154</t>
  </si>
  <si>
    <t>31033995142</t>
  </si>
  <si>
    <t>9780521802123</t>
  </si>
  <si>
    <t>793686775</t>
  </si>
  <si>
    <t>2013-12-19</t>
  </si>
  <si>
    <t>3102754564F</t>
  </si>
  <si>
    <t>793686776</t>
  </si>
  <si>
    <t>P107 C79 2004</t>
  </si>
  <si>
    <t>0                      P  0107000C  79          2004</t>
  </si>
  <si>
    <t>The language revolution / David Crystal.</t>
  </si>
  <si>
    <t>Cambridge ; Malden, MA : Polity Press, 2004.</t>
  </si>
  <si>
    <t>Themes for the 21st century</t>
  </si>
  <si>
    <t>745211:eng</t>
  </si>
  <si>
    <t>52845709</t>
  </si>
  <si>
    <t>ocm52845709</t>
  </si>
  <si>
    <t>3102754563F</t>
  </si>
  <si>
    <t>9780745633121</t>
  </si>
  <si>
    <t>793815507</t>
  </si>
  <si>
    <t>P107 C85 2019</t>
  </si>
  <si>
    <t>0                      P  0107000C  85          2019</t>
  </si>
  <si>
    <t>Words underway : continental philosophy of language / Carolyn Culbertson.</t>
  </si>
  <si>
    <t>Culbertson, Carolyn, 1982- author.</t>
  </si>
  <si>
    <t>London ; New York : Rowman &amp; Littlefield International, [2019]</t>
  </si>
  <si>
    <t>2020-01-10</t>
  </si>
  <si>
    <t>8900569270:eng</t>
  </si>
  <si>
    <t>1084687557</t>
  </si>
  <si>
    <t>on1084687557</t>
  </si>
  <si>
    <t>3103907894N</t>
  </si>
  <si>
    <t>9781786608048</t>
  </si>
  <si>
    <t>795078599</t>
  </si>
  <si>
    <t>P107 D46 2016</t>
  </si>
  <si>
    <t>0                      P  0107000D  46          2016</t>
  </si>
  <si>
    <t>Deontic modality / edited by Nate Charlow and Matthew Chrisman.</t>
  </si>
  <si>
    <t>Oxford, United Kingdom ; New York, NY : Oxford University Press, 2016.</t>
  </si>
  <si>
    <t>2946362211:eng</t>
  </si>
  <si>
    <t>926819872</t>
  </si>
  <si>
    <t>ocn926819872</t>
  </si>
  <si>
    <t>3103656987C</t>
  </si>
  <si>
    <t>9780198717928</t>
  </si>
  <si>
    <t>795005521</t>
  </si>
  <si>
    <t>P107 D49 2006</t>
  </si>
  <si>
    <t>0                      P  0107000D  49          2006</t>
  </si>
  <si>
    <t>Émile Benveniste, l'invention du discours / Gérard Dessons.</t>
  </si>
  <si>
    <t>Dessons, Gérard.</t>
  </si>
  <si>
    <t>[Paris] : In Press, ©2006.</t>
  </si>
  <si>
    <t>60243684:fre</t>
  </si>
  <si>
    <t>73801236</t>
  </si>
  <si>
    <t>ocm73801236</t>
  </si>
  <si>
    <t>31033551555</t>
  </si>
  <si>
    <t>9782848351094</t>
  </si>
  <si>
    <t>794171508</t>
  </si>
  <si>
    <t>P107 D54 2011</t>
  </si>
  <si>
    <t>0                      P  0107000D  54          2011</t>
  </si>
  <si>
    <t>Digital discourse : language in the new media / edited by Crispin Thurlow, Kristine Mroczek.</t>
  </si>
  <si>
    <t>Oxford ; New York : Oxford University Press, ©2011.</t>
  </si>
  <si>
    <t>2019-02-08</t>
  </si>
  <si>
    <t>1043211793:eng</t>
  </si>
  <si>
    <t>683596544</t>
  </si>
  <si>
    <t>ocn683596544</t>
  </si>
  <si>
    <t>3103382607Y</t>
  </si>
  <si>
    <t>9780199795437</t>
  </si>
  <si>
    <t>794853516</t>
  </si>
  <si>
    <t>P107 E657 2003</t>
  </si>
  <si>
    <t>0                      P  0107000E  657         2003</t>
  </si>
  <si>
    <t>Epistemology of language / edited by Alex Barber.</t>
  </si>
  <si>
    <t>56943838:eng</t>
  </si>
  <si>
    <t>54352039</t>
  </si>
  <si>
    <t>ocm54352039</t>
  </si>
  <si>
    <t>3102754560F</t>
  </si>
  <si>
    <t>9780199250578</t>
  </si>
  <si>
    <t>793859818</t>
  </si>
  <si>
    <t>P107 E94 2016</t>
  </si>
  <si>
    <t>0                      P  0107000E  94          2016</t>
  </si>
  <si>
    <t>Evidence, experiment, and argument in linguistics and the philosophy of language / Martin Hinton (ed.).</t>
  </si>
  <si>
    <t>Frankfurt am Main ; New York : Peter Lang Edition, [2016]</t>
  </si>
  <si>
    <t>Studies in philosophy of language and linguistics, 2363-7242 ; VOLUME 3</t>
  </si>
  <si>
    <t>3229271733:eng</t>
  </si>
  <si>
    <t>951094341</t>
  </si>
  <si>
    <t>ocn951094341</t>
  </si>
  <si>
    <t>3103656857P</t>
  </si>
  <si>
    <t>9783631661895</t>
  </si>
  <si>
    <t>795017110</t>
  </si>
  <si>
    <t>P107 F35 2006</t>
  </si>
  <si>
    <t>0                      P  0107000F  35          2006</t>
  </si>
  <si>
    <t>Language and globalization / Norman Fairclough.</t>
  </si>
  <si>
    <t>50751057:eng</t>
  </si>
  <si>
    <t>67239898</t>
  </si>
  <si>
    <t>ocm67239898</t>
  </si>
  <si>
    <t>3102567453F</t>
  </si>
  <si>
    <t>9780415317658</t>
  </si>
  <si>
    <t>794139980</t>
  </si>
  <si>
    <t>P107 F445 2006</t>
  </si>
  <si>
    <t>0                      P  0107000F  445         2006</t>
  </si>
  <si>
    <t>From molecule to metaphor : a neural theory of language / Jerome A. Feldman.</t>
  </si>
  <si>
    <t>Feldman, Jerome A.</t>
  </si>
  <si>
    <t>355226807:eng</t>
  </si>
  <si>
    <t>62331115</t>
  </si>
  <si>
    <t>ocm62331115</t>
  </si>
  <si>
    <t>3102584374G</t>
  </si>
  <si>
    <t>9780262062534</t>
  </si>
  <si>
    <t>794105243</t>
  </si>
  <si>
    <t>P107 F63 2002</t>
  </si>
  <si>
    <t>0                      P  0107000F  63          2002</t>
  </si>
  <si>
    <t>The compositionality papers / Jerry Fodor and Ernest Lepore.</t>
  </si>
  <si>
    <t>Oxford ; New York : Clarendon Press, ©2002.</t>
  </si>
  <si>
    <t>989763:eng</t>
  </si>
  <si>
    <t>51172424</t>
  </si>
  <si>
    <t>ocm51172424</t>
  </si>
  <si>
    <t>3102754556H</t>
  </si>
  <si>
    <t>9780199252152</t>
  </si>
  <si>
    <t>793779789</t>
  </si>
  <si>
    <t>P107 F67 2010</t>
  </si>
  <si>
    <t>0                      P  0107000F  67          2010</t>
  </si>
  <si>
    <t>After Herder : philosophy of language in the German tradition / Michael N. Forster.</t>
  </si>
  <si>
    <t>Forster, Michael N.</t>
  </si>
  <si>
    <t>2013-07-25</t>
  </si>
  <si>
    <t>793233756:eng</t>
  </si>
  <si>
    <t>471822370</t>
  </si>
  <si>
    <t>ocn471822370</t>
  </si>
  <si>
    <t>3103134580D</t>
  </si>
  <si>
    <t>9780199228119</t>
  </si>
  <si>
    <t>794797090</t>
  </si>
  <si>
    <t>P107 F68 2011</t>
  </si>
  <si>
    <t>0                      P  0107000F  68          2011</t>
  </si>
  <si>
    <t>German philosophy of language : from Schlegel to Hegel and beyond / Michael N. Forster.</t>
  </si>
  <si>
    <t>2018-03-29</t>
  </si>
  <si>
    <t>908615278:eng</t>
  </si>
  <si>
    <t>671709718</t>
  </si>
  <si>
    <t>ocn671709718</t>
  </si>
  <si>
    <t>31032355539</t>
  </si>
  <si>
    <t>9780199604814</t>
  </si>
  <si>
    <t>794849089</t>
  </si>
  <si>
    <t>P107 F76 2014</t>
  </si>
  <si>
    <t>0                      P  0107000F  76          2014</t>
  </si>
  <si>
    <t>An introduction to language / Victoria Fromkin, late, University of California, Los Angeles ; Robert Rodman, North Carolina State University, Raleigh ; Nina Hyams, University of California, Los Angeles.</t>
  </si>
  <si>
    <t>Fromkin, Victoria, author.</t>
  </si>
  <si>
    <t>Boston, MA : Wadsworth/Cengage Learning, [2014]</t>
  </si>
  <si>
    <t>10e.</t>
  </si>
  <si>
    <t>2014-11-25</t>
  </si>
  <si>
    <t>800032029</t>
  </si>
  <si>
    <t>ocn800032029</t>
  </si>
  <si>
    <t>3103584364B</t>
  </si>
  <si>
    <t>9781133310686</t>
  </si>
  <si>
    <t>794924417</t>
  </si>
  <si>
    <t>31035843729</t>
  </si>
  <si>
    <t>794924418</t>
  </si>
  <si>
    <t>3103584368B</t>
  </si>
  <si>
    <t>794924419</t>
  </si>
  <si>
    <t>P107 G45 2013</t>
  </si>
  <si>
    <t>0                      P  0107000G  45          2013</t>
  </si>
  <si>
    <t>Philosophy of language and webs of information / by Heimir Geirsson.</t>
  </si>
  <si>
    <t>Geirsson, Heimir.</t>
  </si>
  <si>
    <t>Routledge studies in contemporary philosophy ; 45</t>
  </si>
  <si>
    <t>2013-05-09</t>
  </si>
  <si>
    <t>1170837460:eng</t>
  </si>
  <si>
    <t>793224472</t>
  </si>
  <si>
    <t>ocn793224472</t>
  </si>
  <si>
    <t>3103472337$</t>
  </si>
  <si>
    <t>9780415640657</t>
  </si>
  <si>
    <t>794917899</t>
  </si>
  <si>
    <t>P107 G57 2003</t>
  </si>
  <si>
    <t>0                      P  0107000G  57          2003</t>
  </si>
  <si>
    <t>Quine and Davidson on language, thought, and reality / Hans-Johann Glock.</t>
  </si>
  <si>
    <t>Glock, Hans-Johann, 1960-</t>
  </si>
  <si>
    <t>Cambridge, UK ; New York, NY, USA : Cambridge University Press, 2003.</t>
  </si>
  <si>
    <t>909857:eng</t>
  </si>
  <si>
    <t>50315097</t>
  </si>
  <si>
    <t>ocm50315097</t>
  </si>
  <si>
    <t>3102754554H</t>
  </si>
  <si>
    <t>9780521821803</t>
  </si>
  <si>
    <t>793760610</t>
  </si>
  <si>
    <t>P107 H347 2008</t>
  </si>
  <si>
    <t>0                      P  0107000H  347         2008</t>
  </si>
  <si>
    <t>Linguistic philosophy : the central story / Garth L. Hallett.</t>
  </si>
  <si>
    <t>Hallett, Garth L., 1927-</t>
  </si>
  <si>
    <t>Albany : State University of New York Press, ©2008.</t>
  </si>
  <si>
    <t>SUNY series in philosophy</t>
  </si>
  <si>
    <t>2016-10-26</t>
  </si>
  <si>
    <t>368666526:eng</t>
  </si>
  <si>
    <t>144769366</t>
  </si>
  <si>
    <t>ocn144769366</t>
  </si>
  <si>
    <t>3102881180E</t>
  </si>
  <si>
    <t>9780791473610</t>
  </si>
  <si>
    <t>794236982</t>
  </si>
  <si>
    <t>P107 H37 2002</t>
  </si>
  <si>
    <t>0                      P  0107000H  37          2002</t>
  </si>
  <si>
    <t>Language alone : the critical fetish of modernity / Geoffrey Galt Harpham.</t>
  </si>
  <si>
    <t>Harpham, Geoffrey Galt, 1946-</t>
  </si>
  <si>
    <t>New York : Routledge, 2002.</t>
  </si>
  <si>
    <t>839370578:eng</t>
  </si>
  <si>
    <t>49495148</t>
  </si>
  <si>
    <t>ocm49495148</t>
  </si>
  <si>
    <t>3102754550H</t>
  </si>
  <si>
    <t>9780415942188</t>
  </si>
  <si>
    <t>793741221</t>
  </si>
  <si>
    <t>P107 H387 2014</t>
  </si>
  <si>
    <t>0                      P  0107000H  387         2014</t>
  </si>
  <si>
    <t>Linguethica materialistica : der schritt vom sein zum sollen = from fact to virtue / Ralph A. Hartmann.</t>
  </si>
  <si>
    <t>Hartmann, Ralph A., 1966- author.</t>
  </si>
  <si>
    <t>Edinburgh : Haralex Publishing House, 2014.</t>
  </si>
  <si>
    <t>1839317364:eng</t>
  </si>
  <si>
    <t>872731048</t>
  </si>
  <si>
    <t>ocn872731048</t>
  </si>
  <si>
    <t>31035802221</t>
  </si>
  <si>
    <t>9781905194773</t>
  </si>
  <si>
    <t>794968293</t>
  </si>
  <si>
    <t>P107 H55 2009</t>
  </si>
  <si>
    <t>0                      P  0107000H  55          2009</t>
  </si>
  <si>
    <t>Tense, aspect, and indexicality / James Higginbotham.</t>
  </si>
  <si>
    <t>Higginbotham, James.</t>
  </si>
  <si>
    <t>Oxford studies in theoretical linguistics ; 26</t>
  </si>
  <si>
    <t>176179963:eng</t>
  </si>
  <si>
    <t>294885644</t>
  </si>
  <si>
    <t>ocn294885644</t>
  </si>
  <si>
    <t>31028602192</t>
  </si>
  <si>
    <t>9780199239313</t>
  </si>
  <si>
    <t>794425093</t>
  </si>
  <si>
    <t>P107 I67 2009</t>
  </si>
  <si>
    <t>0                      P  0107000I  67          2009</t>
  </si>
  <si>
    <t>Linguistic patterns in spontaneous speech / edited by Shu-Chuan Tseng.</t>
  </si>
  <si>
    <t>International Symposium on Linguistic Patterns in Spontaneous Speech (2006 : Academia Sinica, Taipei, Taiwan)</t>
  </si>
  <si>
    <t>Taipei : Institute of Linguistics, Academia Sinica, 2009.</t>
  </si>
  <si>
    <t>Language and linguistics. Monograph series ; A25 = Yu yan ji yu yan xue zhuan kan ; jia zhong zhi 25</t>
  </si>
  <si>
    <t>2015-09-22</t>
  </si>
  <si>
    <t>506085663:eng</t>
  </si>
  <si>
    <t>440632150</t>
  </si>
  <si>
    <t>ocn440632150</t>
  </si>
  <si>
    <t>3103304839H</t>
  </si>
  <si>
    <t>9789860176353</t>
  </si>
  <si>
    <t>794786505</t>
  </si>
  <si>
    <t>P107 J67 2004</t>
  </si>
  <si>
    <t>0                      P  0107000J  67          2004</t>
  </si>
  <si>
    <t>Language and identity : national, ethnic, religious / John E. Joseph.</t>
  </si>
  <si>
    <t>682178:eng</t>
  </si>
  <si>
    <t>54415794</t>
  </si>
  <si>
    <t>ocm54415794</t>
  </si>
  <si>
    <t>3102754546J</t>
  </si>
  <si>
    <t>9780333997529</t>
  </si>
  <si>
    <t>793861348</t>
  </si>
  <si>
    <t>P107 K38 2004</t>
  </si>
  <si>
    <t>0                      P  0107000K  38          2004</t>
  </si>
  <si>
    <t>Sense, reference, and philosophy / Jerrold J. Katz.</t>
  </si>
  <si>
    <t>Katz, Jerrold J.</t>
  </si>
  <si>
    <t>Oxford ; New York : Oxford University Press, 2004.</t>
  </si>
  <si>
    <t>661954:eng</t>
  </si>
  <si>
    <t>50034929</t>
  </si>
  <si>
    <t>ocm50034929</t>
  </si>
  <si>
    <t>3102754545J</t>
  </si>
  <si>
    <t>9780195158137</t>
  </si>
  <si>
    <t>793754082</t>
  </si>
  <si>
    <t>P107 K723 2011</t>
  </si>
  <si>
    <t>0                      P  0107000K  723         2011</t>
  </si>
  <si>
    <t>Critical pragmatics : an inquiry into reference and communication / Kepa Korta and John Perry.</t>
  </si>
  <si>
    <t>Korta, Kepa.</t>
  </si>
  <si>
    <t>835898739:eng</t>
  </si>
  <si>
    <t>707886955</t>
  </si>
  <si>
    <t>ocn707886955</t>
  </si>
  <si>
    <t>31033424975</t>
  </si>
  <si>
    <t>9780521764971</t>
  </si>
  <si>
    <t>794868197</t>
  </si>
  <si>
    <t>P107 L25 2010</t>
  </si>
  <si>
    <t>0                      P  0107000L  25          2010</t>
  </si>
  <si>
    <t>Language as a complex system : interdisciplinary approaches / edited by Gemma Bel-Enguix and M. Dolores Jiménez-López.</t>
  </si>
  <si>
    <t>858842265:eng</t>
  </si>
  <si>
    <t>498931500</t>
  </si>
  <si>
    <t>ocn498931500</t>
  </si>
  <si>
    <t>31031330483</t>
  </si>
  <si>
    <t>9781443817622</t>
  </si>
  <si>
    <t>794803230</t>
  </si>
  <si>
    <t>P107 L43 2003</t>
  </si>
  <si>
    <t>0                      P  0107000L  43          2003</t>
  </si>
  <si>
    <t>The force of language / Jean-Jacques Lecercle and Denise Riley.</t>
  </si>
  <si>
    <t>Houndmills, Basingstoke, Hampshire ; New York, N.Y. : Palgrave Macmillan, 2004.</t>
  </si>
  <si>
    <t>970172:eng</t>
  </si>
  <si>
    <t>55502636</t>
  </si>
  <si>
    <t>ocm55502636</t>
  </si>
  <si>
    <t>3102754544J</t>
  </si>
  <si>
    <t>9781403942487</t>
  </si>
  <si>
    <t>793877304</t>
  </si>
  <si>
    <t>P107 L43313 2006</t>
  </si>
  <si>
    <t>0                      P  0107000L  43313       2006</t>
  </si>
  <si>
    <t>A Marxist philosophy of language / by Jean-Jacques Lecercle ; translated by Gregory Elliott.</t>
  </si>
  <si>
    <t>Leiden ; Boston : Brill, 2006.</t>
  </si>
  <si>
    <t>Historical materialism book series, 1570-1522 ; v. 12</t>
  </si>
  <si>
    <t>2018-11-14</t>
  </si>
  <si>
    <t>53788469:eng</t>
  </si>
  <si>
    <t>70054370</t>
  </si>
  <si>
    <t>ocm70054370</t>
  </si>
  <si>
    <t>31025910049</t>
  </si>
  <si>
    <t>9789004147515</t>
  </si>
  <si>
    <t>794147884</t>
  </si>
  <si>
    <t>P107 L63 2007</t>
  </si>
  <si>
    <t>0                      P  0107000L  63          2007</t>
  </si>
  <si>
    <t>The extended mind : the emergence of language, the human mind, and culture / Robert K. Logan.</t>
  </si>
  <si>
    <t>Toronto ; Buffalo : University of Toronto Press, ©2007.</t>
  </si>
  <si>
    <t>2016-02-11</t>
  </si>
  <si>
    <t>837086479:eng</t>
  </si>
  <si>
    <t>123892194</t>
  </si>
  <si>
    <t>ocn123892194</t>
  </si>
  <si>
    <t>31027051925</t>
  </si>
  <si>
    <t>9780802093035</t>
  </si>
  <si>
    <t>794228386</t>
  </si>
  <si>
    <t>P107 L66 2010</t>
  </si>
  <si>
    <t>0                      P  0107000L  66          2010</t>
  </si>
  <si>
    <t>Passionate being : language, singularity and perseverance / Yve Lomax.</t>
  </si>
  <si>
    <t>Lomax, Yve.</t>
  </si>
  <si>
    <t>London ; New York : I.B. Tauris ; New York : Distributed in the U.S. by Palgrave Macmillan, ©2010.</t>
  </si>
  <si>
    <t>797319845:eng</t>
  </si>
  <si>
    <t>432408545</t>
  </si>
  <si>
    <t>ocn432408545</t>
  </si>
  <si>
    <t>31031312239</t>
  </si>
  <si>
    <t>9781848850972</t>
  </si>
  <si>
    <t>794781818</t>
  </si>
  <si>
    <t>P107 M55 2005</t>
  </si>
  <si>
    <t>0                      P  0107000M  55          2005</t>
  </si>
  <si>
    <t>Language : a biological model / Ruth Garrett Millikan.</t>
  </si>
  <si>
    <t>Oxford : Clarendon Press ; Oxford ; New York : Oxford University Press, 2005.</t>
  </si>
  <si>
    <t>50083432:eng</t>
  </si>
  <si>
    <t>61115508</t>
  </si>
  <si>
    <t>ocm61115508</t>
  </si>
  <si>
    <t>3102509020I</t>
  </si>
  <si>
    <t>9780199284764</t>
  </si>
  <si>
    <t>793946489</t>
  </si>
  <si>
    <t>P107 N37 2003</t>
  </si>
  <si>
    <t>0                      P  0107000N  37          2003</t>
  </si>
  <si>
    <t>Language matters : a guide to everyday questions about language / Donna Jo Napoli.</t>
  </si>
  <si>
    <t>Napoli, Donna Jo, 1948-</t>
  </si>
  <si>
    <t>New York : Oxford University Press, 2003.</t>
  </si>
  <si>
    <t>793952463:eng</t>
  </si>
  <si>
    <t>50143491</t>
  </si>
  <si>
    <t>ocm50143491</t>
  </si>
  <si>
    <t>3102754538L</t>
  </si>
  <si>
    <t>9780195155280</t>
  </si>
  <si>
    <t>793756629</t>
  </si>
  <si>
    <t>P107 N37 2010</t>
  </si>
  <si>
    <t>0                      P  0107000N  37          2010</t>
  </si>
  <si>
    <t>Language matters : a guide to everyday questions about language / Donna Jo Napoli &amp; Vera Lee-Schoenfeld.</t>
  </si>
  <si>
    <t>424454978</t>
  </si>
  <si>
    <t>ocn424454978</t>
  </si>
  <si>
    <t>31032391525</t>
  </si>
  <si>
    <t>9780199735716</t>
  </si>
  <si>
    <t>794506727</t>
  </si>
  <si>
    <t>P107 N47 2010</t>
  </si>
  <si>
    <t>0                      P  0107000N  47          2010</t>
  </si>
  <si>
    <t>New waves in philosophy of language / edited by Sarah Sawyer.</t>
  </si>
  <si>
    <t>Basingstoke ; New York : Palgrave Macmillan, 2010.</t>
  </si>
  <si>
    <t>New waves in philosophy</t>
  </si>
  <si>
    <t>654064560:eng</t>
  </si>
  <si>
    <t>460935117</t>
  </si>
  <si>
    <t>ocn460935117</t>
  </si>
  <si>
    <t>3103130959N</t>
  </si>
  <si>
    <t>9780230224377</t>
  </si>
  <si>
    <t>794791292</t>
  </si>
  <si>
    <t>P107 P545 2008</t>
  </si>
  <si>
    <t>0                      P  0107000P  545         2008</t>
  </si>
  <si>
    <t>70176959</t>
  </si>
  <si>
    <t>ocm70176959</t>
  </si>
  <si>
    <t>3102634132C</t>
  </si>
  <si>
    <t>9780195188301</t>
  </si>
  <si>
    <t>794150366</t>
  </si>
  <si>
    <t>P107 P5474 2011</t>
  </si>
  <si>
    <t>0                      P  0107000P  5474        2011</t>
  </si>
  <si>
    <t>Philosophy of language : the key thinkers / edited by Barry Lee.</t>
  </si>
  <si>
    <t>Continuum key thinkers</t>
  </si>
  <si>
    <t>2018-02-28</t>
  </si>
  <si>
    <t>581736123:eng</t>
  </si>
  <si>
    <t>657602827</t>
  </si>
  <si>
    <t>ocn657602827</t>
  </si>
  <si>
    <t>3103363678Q</t>
  </si>
  <si>
    <t>9781441178862</t>
  </si>
  <si>
    <t>794835624</t>
  </si>
  <si>
    <t>P107 P5475 2012</t>
  </si>
  <si>
    <t>0                      P  0107000P  5475        2012</t>
  </si>
  <si>
    <t>The Continuum companion to the philosophy of language / edited by Manuel García-Carpintero and Max Kölbel.</t>
  </si>
  <si>
    <t>London ; New York : Continuum International Pub., 2012.</t>
  </si>
  <si>
    <t>Continuum companions</t>
  </si>
  <si>
    <t>2012-06-26</t>
  </si>
  <si>
    <t>1046082453:eng</t>
  </si>
  <si>
    <t>606767037</t>
  </si>
  <si>
    <t>ocn606767037</t>
  </si>
  <si>
    <t>3103408074B</t>
  </si>
  <si>
    <t>9780826444066</t>
  </si>
  <si>
    <t>794817157</t>
  </si>
  <si>
    <t>P107 P548 2007</t>
  </si>
  <si>
    <t>0                      P  0107000P  548         2007</t>
  </si>
  <si>
    <t>The stuff of thought : language as a window into human nature / Steven Pinker.</t>
  </si>
  <si>
    <t>New York : Viking, ©2007.</t>
  </si>
  <si>
    <t>2018-08-15</t>
  </si>
  <si>
    <t>796087929:eng</t>
  </si>
  <si>
    <t>154308853</t>
  </si>
  <si>
    <t>ocn154308853</t>
  </si>
  <si>
    <t>3102642819Z</t>
  </si>
  <si>
    <t>9780670063277</t>
  </si>
  <si>
    <t>794251597</t>
  </si>
  <si>
    <t>P107 R39 2010</t>
  </si>
  <si>
    <t>0                      P  0107000R  39          2010</t>
  </si>
  <si>
    <t>Reading Brandom : on making it explicit / edited by Bernhard Weiss &amp; Jeremy Wanderer.</t>
  </si>
  <si>
    <t>Abingdon, Oxon ; New York : Routledge, 2010.</t>
  </si>
  <si>
    <t>2017-04-09</t>
  </si>
  <si>
    <t>888409482:eng</t>
  </si>
  <si>
    <t>463454502</t>
  </si>
  <si>
    <t>ocn463454502</t>
  </si>
  <si>
    <t>3103133071Y</t>
  </si>
  <si>
    <t>9780415380362</t>
  </si>
  <si>
    <t>794792679</t>
  </si>
  <si>
    <t>P107 R54 2010</t>
  </si>
  <si>
    <t>0                      P  0107000R  54          2010</t>
  </si>
  <si>
    <t>The rei(g)n of 'rule' / Dana Riesenfeld.</t>
  </si>
  <si>
    <t>Riesenfeld, Dana.</t>
  </si>
  <si>
    <t>Frankfurt : Ontos ; Piscataway, NJ : [Distributed in North and South America by Transaction Books], 2010.</t>
  </si>
  <si>
    <t>Aporia ; Bd. 2</t>
  </si>
  <si>
    <t>663735971:eng</t>
  </si>
  <si>
    <t>666218601</t>
  </si>
  <si>
    <t>ocn666218601</t>
  </si>
  <si>
    <t>3103344496Y</t>
  </si>
  <si>
    <t>9783868380859</t>
  </si>
  <si>
    <t>794844839</t>
  </si>
  <si>
    <t>P107 S46 2013</t>
  </si>
  <si>
    <t>0                      P  0107000S  46          2013</t>
  </si>
  <si>
    <t>The semantics-pragmatics boundary in philosophy / edited by Maite Ezcurdia and Robert J. Stainton.</t>
  </si>
  <si>
    <t>Peterborough, Ontario, Canada : Broadview Press, [2013]</t>
  </si>
  <si>
    <t>1117285762:eng</t>
  </si>
  <si>
    <t>794365789</t>
  </si>
  <si>
    <t>ocn794365789</t>
  </si>
  <si>
    <t>3103492701K</t>
  </si>
  <si>
    <t>9781554810697</t>
  </si>
  <si>
    <t>794919776</t>
  </si>
  <si>
    <t>P107 S53 2007</t>
  </si>
  <si>
    <t>0                      P  0107000S  53          2007</t>
  </si>
  <si>
    <t>Language, feeling, and the brain : the evocative vector / Dan Shanahan.</t>
  </si>
  <si>
    <t>Shanahan, Daniel.</t>
  </si>
  <si>
    <t>New Brunswick, N.J. : Transaction Publishers, ©2007.</t>
  </si>
  <si>
    <t>905964448:eng</t>
  </si>
  <si>
    <t>64771137</t>
  </si>
  <si>
    <t>ocm64771137</t>
  </si>
  <si>
    <t>31025966214</t>
  </si>
  <si>
    <t>9780765803542</t>
  </si>
  <si>
    <t>794131799</t>
  </si>
  <si>
    <t>P107 S535 2008</t>
  </si>
  <si>
    <t>0                      P  0107000S  535         2008</t>
  </si>
  <si>
    <t>The shared mind : perspectives on intersubjectivity / edited by Jordan Zlatev [and others].</t>
  </si>
  <si>
    <t>Amsterdam ; Philadelphia : John Benjamins Pub. Co., ©2008.</t>
  </si>
  <si>
    <t>Converging evidence in language and communication research, 1566-7774 ; v. 12</t>
  </si>
  <si>
    <t>2016-04-08</t>
  </si>
  <si>
    <t>796520720:eng</t>
  </si>
  <si>
    <t>221150624</t>
  </si>
  <si>
    <t>ocn221150624</t>
  </si>
  <si>
    <t>3102971201Q</t>
  </si>
  <si>
    <t>9789027239006</t>
  </si>
  <si>
    <t>794324422</t>
  </si>
  <si>
    <t>P107 S63 2010</t>
  </si>
  <si>
    <t>0                      P  0107000S  63          2010</t>
  </si>
  <si>
    <t>Philosophy of language / Scott Soames.</t>
  </si>
  <si>
    <t>Soames, Scott.</t>
  </si>
  <si>
    <t>Princeton, N.J. : Princeton University Press, ©2010.</t>
  </si>
  <si>
    <t>Princeton foundations of contemporary philosophy</t>
  </si>
  <si>
    <t>458033871:eng</t>
  </si>
  <si>
    <t>587248990</t>
  </si>
  <si>
    <t>ocn587248990</t>
  </si>
  <si>
    <t>31032294483</t>
  </si>
  <si>
    <t>9780691138664</t>
  </si>
  <si>
    <t>794814528</t>
  </si>
  <si>
    <t>P107 S635 2014</t>
  </si>
  <si>
    <t>0                      P  0107000S  635         2014</t>
  </si>
  <si>
    <t>Lingue in contatto/contact linguistics : atti del XLVIII Congresso internazionale di studi della Società di linguistica italiana (SLI) : Udine, 25-27 settembre 2014 / a cura di Raffaella Bombi e Vincenzo Orioles.</t>
  </si>
  <si>
    <t>Società di linguistica italiana. Congresso internazionale di studi (48th : 2014 : Udine, Italy)</t>
  </si>
  <si>
    <t>Pubblicazioni della Società di linguistica italiana ; 61</t>
  </si>
  <si>
    <t>4928155405:ita</t>
  </si>
  <si>
    <t>960818898</t>
  </si>
  <si>
    <t>ocn960818898</t>
  </si>
  <si>
    <t>3103699363B</t>
  </si>
  <si>
    <t>9788868970291</t>
  </si>
  <si>
    <t>795023296</t>
  </si>
  <si>
    <t>P107 S643 2011</t>
  </si>
  <si>
    <t>0                      P  0107000S  643         2011</t>
  </si>
  <si>
    <t>Specialised languages in the global village : a multi-perspective approach / edited by Carmen Pérez-Llantada and Maida Watson.</t>
  </si>
  <si>
    <t>Newcastle upon Tyne : Cambridge Scholars Publishing, 2011.</t>
  </si>
  <si>
    <t>984975453:eng</t>
  </si>
  <si>
    <t>711046115</t>
  </si>
  <si>
    <t>ocn711046115</t>
  </si>
  <si>
    <t>3103342412L</t>
  </si>
  <si>
    <t>9781443829090</t>
  </si>
  <si>
    <t>794870662</t>
  </si>
  <si>
    <t>P107 S73 2006</t>
  </si>
  <si>
    <t>0                      P  0107000S  73          2006</t>
  </si>
  <si>
    <t>Words and thoughts : subsentences, ellipsis, and the philosophy of language / Robert J. Stainton.</t>
  </si>
  <si>
    <t>Stainton, Robert.</t>
  </si>
  <si>
    <t>Oxford : Clarendon Press ; New York : Published in the United States by Oxford University Press, 2006.</t>
  </si>
  <si>
    <t>2016-09-28</t>
  </si>
  <si>
    <t>793885893:eng</t>
  </si>
  <si>
    <t>69593907</t>
  </si>
  <si>
    <t>ocm69593907</t>
  </si>
  <si>
    <t>31025648947</t>
  </si>
  <si>
    <t>9780199250387</t>
  </si>
  <si>
    <t>794146222</t>
  </si>
  <si>
    <t>P107 S96 2005</t>
  </si>
  <si>
    <t>0                      P  0107000S  96          2005</t>
  </si>
  <si>
    <t>Language and learning : philosophy of language in the Hellenistic Age / edited by Dorothea Frede and Brad Inwood.</t>
  </si>
  <si>
    <t>Symposium Hellenisticum (9th : 2001 : Hamburg, Germany)</t>
  </si>
  <si>
    <t>Cambridge, England ; New York : Cambridge University Press, 2005.</t>
  </si>
  <si>
    <t>1406585694:eng</t>
  </si>
  <si>
    <t>56198555</t>
  </si>
  <si>
    <t>ocm56198555</t>
  </si>
  <si>
    <t>3102495634C</t>
  </si>
  <si>
    <t>9780521841818</t>
  </si>
  <si>
    <t>793889078</t>
  </si>
  <si>
    <t>P107 T36 2017</t>
  </si>
  <si>
    <t>0                      P  0107000T  36          2017</t>
  </si>
  <si>
    <t>Every word is a bird we teach to sing : encounters with the mysteries and meanings of language / Daniel Tammet.</t>
  </si>
  <si>
    <t>Tammet, Daniel, 1979- author.</t>
  </si>
  <si>
    <t>New York, NY : Little, Brown and Company, 2017.</t>
  </si>
  <si>
    <t>2017-12-01</t>
  </si>
  <si>
    <t>4248457803:eng</t>
  </si>
  <si>
    <t>967854605</t>
  </si>
  <si>
    <t>ocn967854605</t>
  </si>
  <si>
    <t>3103738772S</t>
  </si>
  <si>
    <t>9780316353052</t>
  </si>
  <si>
    <t>795026785</t>
  </si>
  <si>
    <t>P107 T39 2016</t>
  </si>
  <si>
    <t>0                      P  0107000T  39          2016</t>
  </si>
  <si>
    <t>The language animal : the full shape of the human linguistic capacity / Charles Taylor.</t>
  </si>
  <si>
    <t>Taylor, Charles, 1931- author.</t>
  </si>
  <si>
    <t>Cambridge, Massachusetts : The Belknap Press of Harvard University Press, 2016.</t>
  </si>
  <si>
    <t>2621536487:eng</t>
  </si>
  <si>
    <t>921240438</t>
  </si>
  <si>
    <t>ocn921240438</t>
  </si>
  <si>
    <t>31036587977</t>
  </si>
  <si>
    <t>9780674660205</t>
  </si>
  <si>
    <t>795003080</t>
  </si>
  <si>
    <t>31036588023</t>
  </si>
  <si>
    <t>795003081</t>
  </si>
  <si>
    <t>P107 T484 2011</t>
  </si>
  <si>
    <t>0                      P  0107000T  484         2011</t>
  </si>
  <si>
    <t>Effective communication : a guide for the people professions / Neil Thompson.</t>
  </si>
  <si>
    <t>Thompson, Neil, 1955-</t>
  </si>
  <si>
    <t>549300141:eng</t>
  </si>
  <si>
    <t>650213925</t>
  </si>
  <si>
    <t>ocn650213925</t>
  </si>
  <si>
    <t>3103363802Y</t>
  </si>
  <si>
    <t>9780230243507</t>
  </si>
  <si>
    <t>794832328</t>
  </si>
  <si>
    <t>P107 T66 2003</t>
  </si>
  <si>
    <t>0                      P  0107000T  66          2003</t>
  </si>
  <si>
    <t>Language in the twenty-first century : selected papers of the millenial conferences of the Center for Research and Documentation on World Language Problems, held at ... / edited by Humphrey Tonkin, Timothy Reagan.</t>
  </si>
  <si>
    <t>Amsterdam ; Philadelphia : J. Benjamins Pub. Co., ©2003.</t>
  </si>
  <si>
    <t>Studies in world language problems ; v. 1</t>
  </si>
  <si>
    <t>1862632166:eng</t>
  </si>
  <si>
    <t>51931255</t>
  </si>
  <si>
    <t>ocm51931255</t>
  </si>
  <si>
    <t>3102754547J</t>
  </si>
  <si>
    <t>9789027228314</t>
  </si>
  <si>
    <t>793794529</t>
  </si>
  <si>
    <t>P107 T87 2011</t>
  </si>
  <si>
    <t>0                      P  0107000T  87          2011</t>
  </si>
  <si>
    <t>Turning points in the philosophy of language and linguistics / Piotr Stalmaszczyk (ed.).</t>
  </si>
  <si>
    <t>Frankfurt am Main : Peter Lang, 2011.</t>
  </si>
  <si>
    <t>Łódź studies in language ; v. 21</t>
  </si>
  <si>
    <t>820115894:eng</t>
  </si>
  <si>
    <t>707608163</t>
  </si>
  <si>
    <t>ocn707608163</t>
  </si>
  <si>
    <t>3103235060M</t>
  </si>
  <si>
    <t>9783631606483</t>
  </si>
  <si>
    <t>794867882</t>
  </si>
  <si>
    <t>P107 U53 2009</t>
  </si>
  <si>
    <t>0                      P  0107000U  53          2009</t>
  </si>
  <si>
    <t>Humboldt, worldview and language / James W. Underhill.</t>
  </si>
  <si>
    <t>317930211:eng</t>
  </si>
  <si>
    <t>280543915</t>
  </si>
  <si>
    <t>ocn280543915</t>
  </si>
  <si>
    <t>3102858690L</t>
  </si>
  <si>
    <t>9780748638420</t>
  </si>
  <si>
    <t>794420431</t>
  </si>
  <si>
    <t>P107 V38 2015</t>
  </si>
  <si>
    <t>0                      P  0107000V  38          2015</t>
  </si>
  <si>
    <t>The gift in the heart of language : the maternal source of meaning / Genevieve Vaughan.</t>
  </si>
  <si>
    <t>Vaughan, Genevieve, 1939- author.</t>
  </si>
  <si>
    <t>[United Kingdom] ; [Italy] ; [France] ; [Africa] : Mimesis International, [2015]</t>
  </si>
  <si>
    <t>Philosophy ; n. 11</t>
  </si>
  <si>
    <t>2814213129:eng</t>
  </si>
  <si>
    <t>930534018</t>
  </si>
  <si>
    <t>ocn930534018</t>
  </si>
  <si>
    <t>31036081812</t>
  </si>
  <si>
    <t>9788869770128</t>
  </si>
  <si>
    <t>795007121</t>
  </si>
  <si>
    <t>P107 V57 2008</t>
  </si>
  <si>
    <t>0                      P  0107000V  57          2008</t>
  </si>
  <si>
    <t>Multitude between innovation and negation / Paolo Virno ; translated by Isabella Bertoletti, James Cascaito, and Andrea Casson.</t>
  </si>
  <si>
    <t>Virno, Paolo, 1952-</t>
  </si>
  <si>
    <t>Los Angeles, CA : Semiotext(e) ; Cambridge, Mass. : Distributed by the MIT Press, ©2008.</t>
  </si>
  <si>
    <t>3901109019:eng</t>
  </si>
  <si>
    <t>153578143</t>
  </si>
  <si>
    <t>ocn153578143</t>
  </si>
  <si>
    <t>31029703959</t>
  </si>
  <si>
    <t>9781584350507</t>
  </si>
  <si>
    <t>794249942</t>
  </si>
  <si>
    <t>P107 V585 2015</t>
  </si>
  <si>
    <t>0                      P  0107000V  585         2015</t>
  </si>
  <si>
    <t>When the word becomes flesh : language and human nature / Paolo Virno ; translated by Giuseppina Mecchia.</t>
  </si>
  <si>
    <t>Virno, Paolo, 1952- author.</t>
  </si>
  <si>
    <t>South Pasadena, CA : Semiotext(e), [2015]</t>
  </si>
  <si>
    <t>2790676921:eng</t>
  </si>
  <si>
    <t>897016115</t>
  </si>
  <si>
    <t>ocn897016115</t>
  </si>
  <si>
    <t>31036100821</t>
  </si>
  <si>
    <t>9781584350941</t>
  </si>
  <si>
    <t>794984758</t>
  </si>
  <si>
    <t>P107 W458 2010</t>
  </si>
  <si>
    <t>0                      P  0107000W  458         2010</t>
  </si>
  <si>
    <t>How to understand language : a philosophical inquiry / Bernhard Weiss.</t>
  </si>
  <si>
    <t>Weiss, Bernhard.</t>
  </si>
  <si>
    <t>Durham : Acumen, 2010.</t>
  </si>
  <si>
    <t>2010-11-06</t>
  </si>
  <si>
    <t>793231533:eng</t>
  </si>
  <si>
    <t>422876552</t>
  </si>
  <si>
    <t>ocn422876552</t>
  </si>
  <si>
    <t>3103131670O</t>
  </si>
  <si>
    <t>9781844651979</t>
  </si>
  <si>
    <t>794505934</t>
  </si>
  <si>
    <t>P107 Y85 2006</t>
  </si>
  <si>
    <t>0                      P  0107000Y  85          2006</t>
  </si>
  <si>
    <t>60323138</t>
  </si>
  <si>
    <t>ocm60323138</t>
  </si>
  <si>
    <t>31025759435</t>
  </si>
  <si>
    <t>9780521543200</t>
  </si>
  <si>
    <t>793935210</t>
  </si>
  <si>
    <t>P107 Z36 2012</t>
  </si>
  <si>
    <t>0                      P  0107000Z  36          2012</t>
  </si>
  <si>
    <t>The discourse of Twitter and social media / Michele Zappavigna.</t>
  </si>
  <si>
    <t>Zappavigna, Michele.</t>
  </si>
  <si>
    <t>London ; New York : Continuum International Pub. Group, ©2012.</t>
  </si>
  <si>
    <t>1088936907:eng</t>
  </si>
  <si>
    <t>657603480</t>
  </si>
  <si>
    <t>ocn657603480</t>
  </si>
  <si>
    <t>31034087172</t>
  </si>
  <si>
    <t>9781441141866</t>
  </si>
  <si>
    <t>794835695</t>
  </si>
  <si>
    <t>P112 B725 2007</t>
  </si>
  <si>
    <t>0                      P  0112000B  725         2007</t>
  </si>
  <si>
    <t>Everywhere being is dancing : twenty pieces of thinking / Robert Bringhurst.</t>
  </si>
  <si>
    <t>Bringhurst, Robert.</t>
  </si>
  <si>
    <t>Kentville, N.S. : Gaspereau Press, ©2007.</t>
  </si>
  <si>
    <t>2019-03-10</t>
  </si>
  <si>
    <t>9657229475:eng</t>
  </si>
  <si>
    <t>156889921</t>
  </si>
  <si>
    <t>ocn156889921</t>
  </si>
  <si>
    <t>3102706387Y</t>
  </si>
  <si>
    <t>9781554470471</t>
  </si>
  <si>
    <t>794255500</t>
  </si>
  <si>
    <t>P112 E74 1978</t>
  </si>
  <si>
    <t>0                      P  0112000E  74          1978</t>
  </si>
  <si>
    <t>Language awareness / editors, Paul Eschholz, Alfred Rosa, Virginia Clark.</t>
  </si>
  <si>
    <t>New York : St. Martin's Press, ©1978.</t>
  </si>
  <si>
    <t>4918276128:eng</t>
  </si>
  <si>
    <t>3682358</t>
  </si>
  <si>
    <t>ocm03682358</t>
  </si>
  <si>
    <t>3102754626K</t>
  </si>
  <si>
    <t>9780312466916</t>
  </si>
  <si>
    <t>792280529</t>
  </si>
  <si>
    <t>P112 P54 2005</t>
  </si>
  <si>
    <t>0                      P  0112000P  54          2005</t>
  </si>
  <si>
    <t>Events and semantic architecture / Paul M. Pietroski.</t>
  </si>
  <si>
    <t>Pietroski, Paul M.</t>
  </si>
  <si>
    <t>966721:eng</t>
  </si>
  <si>
    <t>56964536</t>
  </si>
  <si>
    <t>ocm56964536</t>
  </si>
  <si>
    <t>3102754616M</t>
  </si>
  <si>
    <t>9780199244300</t>
  </si>
  <si>
    <t>793904909</t>
  </si>
  <si>
    <t>P115 A46 2008</t>
  </si>
  <si>
    <t>0                      P  0115000A  46          2008</t>
  </si>
  <si>
    <t>An introduction to bilingualism : principles and practies / edited by Jeanette Altarriba, Roberto R. Heredia.</t>
  </si>
  <si>
    <t>3901005758:eng</t>
  </si>
  <si>
    <t>124074943</t>
  </si>
  <si>
    <t>ocn124074943</t>
  </si>
  <si>
    <t>31026543170</t>
  </si>
  <si>
    <t>9780805851359</t>
  </si>
  <si>
    <t>794230492</t>
  </si>
  <si>
    <t>P115 A74 2012</t>
  </si>
  <si>
    <t>0                      P  0115000A  74          2012</t>
  </si>
  <si>
    <t>Multilingualism / Larissa Aronin, David Singleton.</t>
  </si>
  <si>
    <t>Aronin, Larissa.</t>
  </si>
  <si>
    <t>Amsterdam ; Philadelphia : John Benjamins Pub. Co., 2012.</t>
  </si>
  <si>
    <t>Impact: studies in language and society ; 30</t>
  </si>
  <si>
    <t>1043475012:eng</t>
  </si>
  <si>
    <t>760293991</t>
  </si>
  <si>
    <t>ocn760293991</t>
  </si>
  <si>
    <t>31034109987</t>
  </si>
  <si>
    <t>9789027218704</t>
  </si>
  <si>
    <t>794898602</t>
  </si>
  <si>
    <t>P115 B32 2007</t>
  </si>
  <si>
    <t>0                      P  0115000B  32          2007</t>
  </si>
  <si>
    <t>Linguistic landscapes : a comparative study of urban multilingualism in Tokyo / Peter Backhaus.</t>
  </si>
  <si>
    <t>Backhaus, Peter, 1975-</t>
  </si>
  <si>
    <t>140779690:eng</t>
  </si>
  <si>
    <t>71810045</t>
  </si>
  <si>
    <t>ocm71810045</t>
  </si>
  <si>
    <t>31025696315</t>
  </si>
  <si>
    <t>9781853599477</t>
  </si>
  <si>
    <t>794168582</t>
  </si>
  <si>
    <t>P115 B5426 1994</t>
  </si>
  <si>
    <t>0                      P  0115000B  5426        1994</t>
  </si>
  <si>
    <t>Bilingual women : anthropological approaches to second language use / edited by Pauline Burton, Ketaki Kushari Dyson, and Shirley Ardener.</t>
  </si>
  <si>
    <t>Oxford ; Providence : Berg, 1994.</t>
  </si>
  <si>
    <t>Cross-cultural perspectives on women ; v. 9</t>
  </si>
  <si>
    <t>807498856:eng</t>
  </si>
  <si>
    <t>28376806</t>
  </si>
  <si>
    <t>ocm28376806</t>
  </si>
  <si>
    <t>3102754611M</t>
  </si>
  <si>
    <t>9780854967377</t>
  </si>
  <si>
    <t>793286603</t>
  </si>
  <si>
    <t>P115 B5427 2011</t>
  </si>
  <si>
    <t>0                      P  0115000B  5427        2011</t>
  </si>
  <si>
    <t>Bilingual youth : Spanish in English-speaking societies / edited by Kim Potowski, Jason Rothman.</t>
  </si>
  <si>
    <t>Amsterdam ; Philadelphia : John Benjamins Pub. Company, 2011.</t>
  </si>
  <si>
    <t>Studies in bilingualism (SiBil) ; 42</t>
  </si>
  <si>
    <t>2011-06-15</t>
  </si>
  <si>
    <t>902469993:eng</t>
  </si>
  <si>
    <t>672300123</t>
  </si>
  <si>
    <t>ocn672300123</t>
  </si>
  <si>
    <t>3103344422B</t>
  </si>
  <si>
    <t>9789027241818</t>
  </si>
  <si>
    <t>794849447</t>
  </si>
  <si>
    <t>P115 B5428 1989</t>
  </si>
  <si>
    <t>0                      P  0115000B  5428        1989</t>
  </si>
  <si>
    <t>Bilingualism across the lifespan : aspects of acquisition, maturity, and loss / edited by Kenneth Hyltenstam and Loraine K. Obler.</t>
  </si>
  <si>
    <t>2017-10-17</t>
  </si>
  <si>
    <t>836734031:eng</t>
  </si>
  <si>
    <t>18629410</t>
  </si>
  <si>
    <t>ocm18629410</t>
  </si>
  <si>
    <t>3102754610M</t>
  </si>
  <si>
    <t>9780521352253</t>
  </si>
  <si>
    <t>793031412</t>
  </si>
  <si>
    <t>P115 B5456 2010</t>
  </si>
  <si>
    <t>0                      P  0115000B  5456        2010</t>
  </si>
  <si>
    <t>Bilingualism and multilingualism : critical concepts in linguistics / edited by Li Wei.</t>
  </si>
  <si>
    <t>Critical concepts in linguistics</t>
  </si>
  <si>
    <t>2841349143:eng</t>
  </si>
  <si>
    <t>223814388</t>
  </si>
  <si>
    <t>ocn223814388</t>
  </si>
  <si>
    <t>3103218306N</t>
  </si>
  <si>
    <t>9780415462679</t>
  </si>
  <si>
    <t>794336580</t>
  </si>
  <si>
    <t>31032182958</t>
  </si>
  <si>
    <t>794336581</t>
  </si>
  <si>
    <t>2011-11-01</t>
  </si>
  <si>
    <t>3103218289A</t>
  </si>
  <si>
    <t>794336578</t>
  </si>
  <si>
    <t>2012-11-23</t>
  </si>
  <si>
    <t>3103218301N</t>
  </si>
  <si>
    <t>794336579</t>
  </si>
  <si>
    <t>P115 B5474 2003</t>
  </si>
  <si>
    <t>0                      P  0115000B  5474        2003</t>
  </si>
  <si>
    <t>Bilingualism : beyond basic principles / edited by Jean-Marc Dewaele, Alex Housen, and Li Wei.</t>
  </si>
  <si>
    <t>Multilingual Matters ; 123</t>
  </si>
  <si>
    <t>2017-10-16</t>
  </si>
  <si>
    <t>3901275952:eng</t>
  </si>
  <si>
    <t>50604839</t>
  </si>
  <si>
    <t>ocm50604839</t>
  </si>
  <si>
    <t>3103452992G</t>
  </si>
  <si>
    <t>9781853596261</t>
  </si>
  <si>
    <t>793768602</t>
  </si>
  <si>
    <t>P115 B553 2000</t>
  </si>
  <si>
    <t>0                      P  0115000B  553         2000</t>
  </si>
  <si>
    <t>The bilingualism reader / edited by Li Wei.</t>
  </si>
  <si>
    <t>2010-01-05</t>
  </si>
  <si>
    <t>1046102384:eng</t>
  </si>
  <si>
    <t>42733607</t>
  </si>
  <si>
    <t>ocm42733607</t>
  </si>
  <si>
    <t>3102268644P</t>
  </si>
  <si>
    <t>9780415213356</t>
  </si>
  <si>
    <t>793612974</t>
  </si>
  <si>
    <t>3102754612M</t>
  </si>
  <si>
    <t>793612973</t>
  </si>
  <si>
    <t>P115 B553 2007</t>
  </si>
  <si>
    <t>0                      P  0115000B  553         2007</t>
  </si>
  <si>
    <t>Abingdon, Oxon ; New York, NY : Routledge, 2007.</t>
  </si>
  <si>
    <t>2015-01-26</t>
  </si>
  <si>
    <t>243560152</t>
  </si>
  <si>
    <t>ocn243560152</t>
  </si>
  <si>
    <t>3102595614A</t>
  </si>
  <si>
    <t>9780415355551</t>
  </si>
  <si>
    <t>794378756</t>
  </si>
  <si>
    <t>P115 B555 2010</t>
  </si>
  <si>
    <t>0                      P  0115000B  555         2010</t>
  </si>
  <si>
    <t>Bilinguals : cognition, education and language processing / Earl F. Caldwell, editor.</t>
  </si>
  <si>
    <t>New York : Nova Science Publishers, ©2010.</t>
  </si>
  <si>
    <t>Languages and linguistics series</t>
  </si>
  <si>
    <t>1004766642:eng</t>
  </si>
  <si>
    <t>368044916</t>
  </si>
  <si>
    <t>ocn368044916</t>
  </si>
  <si>
    <t>31033239554</t>
  </si>
  <si>
    <t>9781607417101</t>
  </si>
  <si>
    <t>794494071</t>
  </si>
  <si>
    <t>P115 B575 2008</t>
  </si>
  <si>
    <t>0                      P  0115000B  575         2008</t>
  </si>
  <si>
    <t>The Blackwell guide to research methods in bilingualism and multilingualism / edited by Li Wei and Melissa G. Moyer.</t>
  </si>
  <si>
    <t>891099241:eng</t>
  </si>
  <si>
    <t>173299087</t>
  </si>
  <si>
    <t>ocn173299087</t>
  </si>
  <si>
    <t>3102940688H</t>
  </si>
  <si>
    <t>9781405126076</t>
  </si>
  <si>
    <t>794266236</t>
  </si>
  <si>
    <t>3102884390V</t>
  </si>
  <si>
    <t>794266237</t>
  </si>
  <si>
    <t>P115 B75 2009</t>
  </si>
  <si>
    <t>0                      P  0115000B  75          2009</t>
  </si>
  <si>
    <t>Language development : monolingual and bilingual acquisition / Alejandro E. Brice, Roanne G. Brice.</t>
  </si>
  <si>
    <t>Brice, Alejandro E.</t>
  </si>
  <si>
    <t>Boston : Allyn &amp; Bacon, An imprint of Pearson, ©2009.</t>
  </si>
  <si>
    <t>204333892:eng</t>
  </si>
  <si>
    <t>199452739</t>
  </si>
  <si>
    <t>ocn199452739</t>
  </si>
  <si>
    <t>3102885525Z</t>
  </si>
  <si>
    <t>9780131700512</t>
  </si>
  <si>
    <t>794304855</t>
  </si>
  <si>
    <t>P115 C78 2010</t>
  </si>
  <si>
    <t>0                      P  0115000C  78          2010</t>
  </si>
  <si>
    <t>Multilinguals are--? / Madalena Cruz-Ferreira.</t>
  </si>
  <si>
    <t>Cruz-Ferreira, Madalena, 1952-</t>
  </si>
  <si>
    <t>London : Battlebridge Publications, 2010.</t>
  </si>
  <si>
    <t>2019-05-14</t>
  </si>
  <si>
    <t>426848920:eng</t>
  </si>
  <si>
    <t>555342993</t>
  </si>
  <si>
    <t>ocn555342993</t>
  </si>
  <si>
    <t>3103255587U</t>
  </si>
  <si>
    <t>9781903292204</t>
  </si>
  <si>
    <t>794811949</t>
  </si>
  <si>
    <t>P115 E282 2012</t>
  </si>
  <si>
    <t>0                      P  0115000E  282         2012</t>
  </si>
  <si>
    <t>Multilingualism : understanding linguistic diversity / John Edwards.</t>
  </si>
  <si>
    <t>882237755:eng</t>
  </si>
  <si>
    <t>757480875</t>
  </si>
  <si>
    <t>ocn757480875</t>
  </si>
  <si>
    <t>3103408817$</t>
  </si>
  <si>
    <t>9781441126955</t>
  </si>
  <si>
    <t>794895505</t>
  </si>
  <si>
    <t>P115 E4 1981</t>
  </si>
  <si>
    <t>0                      P  0115000E  4           1981</t>
  </si>
  <si>
    <t>Elements of bilingual theory / Hugo Baetens Beardsmore, ed.</t>
  </si>
  <si>
    <t>Brussel : Vrije Universiteit Brussel, ©1981.</t>
  </si>
  <si>
    <t>Study series of the Vrije Universiteit Brussel ; n. s. nr. 6</t>
  </si>
  <si>
    <t>5040072:eng</t>
  </si>
  <si>
    <t>12528767</t>
  </si>
  <si>
    <t>ocm12528767</t>
  </si>
  <si>
    <t>31027545959</t>
  </si>
  <si>
    <t>9789070289065</t>
  </si>
  <si>
    <t>792817544</t>
  </si>
  <si>
    <t>P115 F44 2011</t>
  </si>
  <si>
    <t>0                      P  0115000F  44          2011</t>
  </si>
  <si>
    <t>Key concepts in bilingualism / Frederic W. Field.</t>
  </si>
  <si>
    <t>Field, Frederic W., 1946-</t>
  </si>
  <si>
    <t>Palgrave key concepts</t>
  </si>
  <si>
    <t>2012-11-19</t>
  </si>
  <si>
    <t>990309853:eng</t>
  </si>
  <si>
    <t>698330406</t>
  </si>
  <si>
    <t>ocn698330406</t>
  </si>
  <si>
    <t>31033423988</t>
  </si>
  <si>
    <t>9780230232334</t>
  </si>
  <si>
    <t>794860869</t>
  </si>
  <si>
    <t>P115 G38 2012</t>
  </si>
  <si>
    <t>0                      P  0115000G  38          2012</t>
  </si>
  <si>
    <t>Multilingualism, discourse, and ethnography / Sheena Gardner and Marilyn Martin-Jones.</t>
  </si>
  <si>
    <t>Gardner, Sheena.</t>
  </si>
  <si>
    <t>Routledge critical studies in multilingualism ; 3</t>
  </si>
  <si>
    <t>2014-07-30</t>
  </si>
  <si>
    <t>319709014:eng</t>
  </si>
  <si>
    <t>752471333</t>
  </si>
  <si>
    <t>ocn752471333</t>
  </si>
  <si>
    <t>3103429363R</t>
  </si>
  <si>
    <t>9780415874946</t>
  </si>
  <si>
    <t>794891700</t>
  </si>
  <si>
    <t>P115 G56 2011</t>
  </si>
  <si>
    <t>0                      P  0115000G  56          2011</t>
  </si>
  <si>
    <t>Plurilinguisme et monde du travail : professions, opérateurs et acteurs de la diversité linguistique : actes des cinquièmes Journées des droits linguistiques (Teramo-Giulianova-Civitanova Marche, 19-21 mai 2011) / sous la direction de Giovanni Agresti, Cristina Schiavone.</t>
  </si>
  <si>
    <t>Giornate dei diritti linguistici (5th : 2011 : Teramo, Italy; Giulianova, Italy; Civitanova Alta, Italy)</t>
  </si>
  <si>
    <t>Roma : Aracne editrice S.r.l., ottobre 2013.</t>
  </si>
  <si>
    <t>I edizione.</t>
  </si>
  <si>
    <t>Lingue d'Europa e del Mediterraneo ; 9. Sezione I, Diritti linguistici</t>
  </si>
  <si>
    <t>5092304789:fre</t>
  </si>
  <si>
    <t>878061356</t>
  </si>
  <si>
    <t>ocn878061356</t>
  </si>
  <si>
    <t>3103585040K</t>
  </si>
  <si>
    <t>9788854862715</t>
  </si>
  <si>
    <t>794971229</t>
  </si>
  <si>
    <t>P115 G745 2010</t>
  </si>
  <si>
    <t>0                      P  0115000G  745         2010</t>
  </si>
  <si>
    <t>The economics of the multilingual workplace / François Grin, Claudio Sfreddo and François Vaillancourt.</t>
  </si>
  <si>
    <t>Grin, François.</t>
  </si>
  <si>
    <t>Routledge studies in sociolinguistics ; 2</t>
  </si>
  <si>
    <t>2010-08-31</t>
  </si>
  <si>
    <t>190768169:eng</t>
  </si>
  <si>
    <t>457771655</t>
  </si>
  <si>
    <t>ocn457771655</t>
  </si>
  <si>
    <t>3103239654R</t>
  </si>
  <si>
    <t>9780415800181</t>
  </si>
  <si>
    <t>794790139</t>
  </si>
  <si>
    <t>P115 G75 2010</t>
  </si>
  <si>
    <t>0                      P  0115000G  75          2010</t>
  </si>
  <si>
    <t>Bilingual : life and reality / François Grosjean.</t>
  </si>
  <si>
    <t>Grosjean, François, author.</t>
  </si>
  <si>
    <t>Cambridge, Mass. : Harvard University Press, 2010.</t>
  </si>
  <si>
    <t>796153775:eng</t>
  </si>
  <si>
    <t>456170000</t>
  </si>
  <si>
    <t>ocn456170000</t>
  </si>
  <si>
    <t>31031286477</t>
  </si>
  <si>
    <t>9780674048874</t>
  </si>
  <si>
    <t>794788373</t>
  </si>
  <si>
    <t>P115 G763 2008</t>
  </si>
  <si>
    <t>0                      P  0115000G  763         2008</t>
  </si>
  <si>
    <t>Studying bilinguals / François Grosjean.</t>
  </si>
  <si>
    <t>Grosjean, François.</t>
  </si>
  <si>
    <t>114407141:eng</t>
  </si>
  <si>
    <t>173659534</t>
  </si>
  <si>
    <t>ocn173659534</t>
  </si>
  <si>
    <t>3102852256S</t>
  </si>
  <si>
    <t>9780199281299</t>
  </si>
  <si>
    <t>794269269</t>
  </si>
  <si>
    <t>P115 H34 1986</t>
  </si>
  <si>
    <t>0                      P  0115000H  34          1986</t>
  </si>
  <si>
    <t>Mirror of language : the debate on bilingualism / Kenji Hakuta.</t>
  </si>
  <si>
    <t>Hakuta, Kenji.</t>
  </si>
  <si>
    <t>New York : Basic Books, ©1986.</t>
  </si>
  <si>
    <t>2012-12-05</t>
  </si>
  <si>
    <t>5553193:eng</t>
  </si>
  <si>
    <t>12724762</t>
  </si>
  <si>
    <t>ocm12724762</t>
  </si>
  <si>
    <t>31027545929</t>
  </si>
  <si>
    <t>9780465046362</t>
  </si>
  <si>
    <t>792825910</t>
  </si>
  <si>
    <t>31027545979</t>
  </si>
  <si>
    <t>792825911</t>
  </si>
  <si>
    <t>P115 H365 2004</t>
  </si>
  <si>
    <t>0                      P  0115000H  365         2004</t>
  </si>
  <si>
    <t>The handbook of bilingualism / edited by Tej K. Bhatia and William C. Ritchie.</t>
  </si>
  <si>
    <t>Blackwell handbooks in linguistics ; 15</t>
  </si>
  <si>
    <t>4920095666:eng</t>
  </si>
  <si>
    <t>53289949</t>
  </si>
  <si>
    <t>ocm53289949</t>
  </si>
  <si>
    <t>3102657720B</t>
  </si>
  <si>
    <t>9780631227342</t>
  </si>
  <si>
    <t>793825694</t>
  </si>
  <si>
    <t>2013-03-26</t>
  </si>
  <si>
    <t>3102754582B</t>
  </si>
  <si>
    <t>793825693</t>
  </si>
  <si>
    <t>P115 H366 2007</t>
  </si>
  <si>
    <t>0                      P  0115000H  366         2007</t>
  </si>
  <si>
    <t>Handbook of multilingualism and multilingual communication / edited by Peter Auer, Li Wei.</t>
  </si>
  <si>
    <t>Handbooks of applied linguistics ; v. 5</t>
  </si>
  <si>
    <t>353798468:eng</t>
  </si>
  <si>
    <t>78789733</t>
  </si>
  <si>
    <t>ocm78789733</t>
  </si>
  <si>
    <t>3102638173P</t>
  </si>
  <si>
    <t>9783110182163</t>
  </si>
  <si>
    <t>794196039</t>
  </si>
  <si>
    <t>P115 H46 2012</t>
  </si>
  <si>
    <t>0                      P  0115000H  46          2012</t>
  </si>
  <si>
    <t>Considering trilingual education / Kathryn Henn-Reinke.</t>
  </si>
  <si>
    <t>Henn-Reinke, Kathryn.</t>
  </si>
  <si>
    <t>Routledge research in education ; 72</t>
  </si>
  <si>
    <t>1077486476:eng</t>
  </si>
  <si>
    <t>746838264</t>
  </si>
  <si>
    <t>ocn746838264</t>
  </si>
  <si>
    <t>3103411389N</t>
  </si>
  <si>
    <t>9780415502634</t>
  </si>
  <si>
    <t>794887501</t>
  </si>
  <si>
    <t>P115 K43 2000</t>
  </si>
  <si>
    <t>0                      P  0115000K  43          2000</t>
  </si>
  <si>
    <t>Foreign language and mother tongue / Istvan Kecskes, Tünde Papp.</t>
  </si>
  <si>
    <t>1001732:eng</t>
  </si>
  <si>
    <t>43615812</t>
  </si>
  <si>
    <t>ocm43615812</t>
  </si>
  <si>
    <t>3102754367L</t>
  </si>
  <si>
    <t>9780805827590</t>
  </si>
  <si>
    <t>793630981</t>
  </si>
  <si>
    <t>3102754372J</t>
  </si>
  <si>
    <t>793630980</t>
  </si>
  <si>
    <t>P115 L565 2010</t>
  </si>
  <si>
    <t>0                      P  0115000L  565         2010</t>
  </si>
  <si>
    <t>Linguistic landscape in the city / edited by Elana Shohamy, Eliezer Ben-Rafael and Monica Barni.</t>
  </si>
  <si>
    <t>Bristol, UK ; Buffalo, NY : Multilingual Matters, ©2010.</t>
  </si>
  <si>
    <t>2014-04-22</t>
  </si>
  <si>
    <t>480337146:eng</t>
  </si>
  <si>
    <t>627701227</t>
  </si>
  <si>
    <t>ocn627701227</t>
  </si>
  <si>
    <t>3103230861I</t>
  </si>
  <si>
    <t>9781847692986</t>
  </si>
  <si>
    <t>794824183</t>
  </si>
  <si>
    <t>P115 M35 2017</t>
  </si>
  <si>
    <t>0                      P  0115000M  35          2017</t>
  </si>
  <si>
    <t>Multilingualism. A very short introduction. John C. Maher.</t>
  </si>
  <si>
    <t>Maher, John C.</t>
  </si>
  <si>
    <t>Oxford : Oxford University Press (GBP) 2017.</t>
  </si>
  <si>
    <t>Very Short Introductions</t>
  </si>
  <si>
    <t>4019077280:eng</t>
  </si>
  <si>
    <t>967844754</t>
  </si>
  <si>
    <t>ocn967844754</t>
  </si>
  <si>
    <t>3103704924W</t>
  </si>
  <si>
    <t>9780198724995</t>
  </si>
  <si>
    <t>795026779</t>
  </si>
  <si>
    <t>P115 M37 1983</t>
  </si>
  <si>
    <t>0                      P  0115000M  37          1983</t>
  </si>
  <si>
    <t>Conflict and compromise in multilingual societies / Kenneth D. McRae.</t>
  </si>
  <si>
    <t>McRae, Kenneth D. (Kenneth Douglas)</t>
  </si>
  <si>
    <t>Waterloo, Ont., Canada : Wilfrid Laurier University Press, ©1983-&lt;c1997&gt;</t>
  </si>
  <si>
    <t>Politics of cultural diversity ; 1-2</t>
  </si>
  <si>
    <t>20890248:eng</t>
  </si>
  <si>
    <t>12104875</t>
  </si>
  <si>
    <t>ocm12104875</t>
  </si>
  <si>
    <t>31027556608</t>
  </si>
  <si>
    <t>9780889201330</t>
  </si>
  <si>
    <t>792801505</t>
  </si>
  <si>
    <t>2012-10-11</t>
  </si>
  <si>
    <t>31027556618</t>
  </si>
  <si>
    <t>792801510</t>
  </si>
  <si>
    <t>3102755658A</t>
  </si>
  <si>
    <t>792801506</t>
  </si>
  <si>
    <t>3101333146B</t>
  </si>
  <si>
    <t>792801507</t>
  </si>
  <si>
    <t>3102755656A</t>
  </si>
  <si>
    <t>792801508</t>
  </si>
  <si>
    <t>3102755659A</t>
  </si>
  <si>
    <t>792801509</t>
  </si>
  <si>
    <t>3102755655A</t>
  </si>
  <si>
    <t>792801504</t>
  </si>
  <si>
    <t>P115 M59 2011</t>
  </si>
  <si>
    <t>0                      P  0115000M  59          2011</t>
  </si>
  <si>
    <t>Modeling bilingualism : from structure to chaos : in honor of Kees de Bot / edited by Monika S. Schmid, Wander Lowie.</t>
  </si>
  <si>
    <t>Studies in bilingualism ; 43</t>
  </si>
  <si>
    <t>2015-09-21</t>
  </si>
  <si>
    <t>902468571:eng</t>
  </si>
  <si>
    <t>700735410</t>
  </si>
  <si>
    <t>ocn700735410</t>
  </si>
  <si>
    <t>3103344778T</t>
  </si>
  <si>
    <t>9789027241825</t>
  </si>
  <si>
    <t>794862253</t>
  </si>
  <si>
    <t>P115 M78 2010</t>
  </si>
  <si>
    <t>0                      P  0115000M  78          2010</t>
  </si>
  <si>
    <t>Multilingualism at work : from policies to practices in public, medical and business settings / edited by Bernd Meyer, Birgit Apfelbaum.</t>
  </si>
  <si>
    <t>Amsterdam ; Philadelphia : J. Benjamins Pub. Co., ©2010.</t>
  </si>
  <si>
    <t>Hamburg Studies on multilingualism ; v. 9</t>
  </si>
  <si>
    <t>796441923:eng</t>
  </si>
  <si>
    <t>607084948</t>
  </si>
  <si>
    <t>ocn607084948</t>
  </si>
  <si>
    <t>31032265804</t>
  </si>
  <si>
    <t>9789027219299</t>
  </si>
  <si>
    <t>794817580</t>
  </si>
  <si>
    <t>P115 M83 2001</t>
  </si>
  <si>
    <t>0                      P  0115000M  83          2001</t>
  </si>
  <si>
    <t>Multilingualism, second language learning, and gender / edited by Aneta Pavlenko [and others].</t>
  </si>
  <si>
    <t>Berlin ; New York : Mouton de Gruyter, 2001.</t>
  </si>
  <si>
    <t>Language, power, and social process ; 6</t>
  </si>
  <si>
    <t>2018-07-10</t>
  </si>
  <si>
    <t>37252743:eng</t>
  </si>
  <si>
    <t>47738968</t>
  </si>
  <si>
    <t>ocm47738968</t>
  </si>
  <si>
    <t>3102755651A</t>
  </si>
  <si>
    <t>9783110170269</t>
  </si>
  <si>
    <t>793706770</t>
  </si>
  <si>
    <t>P115 M84 2011</t>
  </si>
  <si>
    <t>0                      P  0115000M  84          2011</t>
  </si>
  <si>
    <t>Multilingual discourse production : diachronic and synchronic perspectives / edited by Svenja Kranich [and others].</t>
  </si>
  <si>
    <t>Hamburg studies on multilingualism ; v. 12</t>
  </si>
  <si>
    <t>1044439061:eng</t>
  </si>
  <si>
    <t>723142833</t>
  </si>
  <si>
    <t>ocn723142833</t>
  </si>
  <si>
    <t>3103396134M</t>
  </si>
  <si>
    <t>9789027219329</t>
  </si>
  <si>
    <t>794875917</t>
  </si>
  <si>
    <t>P115 M85 2003</t>
  </si>
  <si>
    <t>0                      P  0115000M  85          2003</t>
  </si>
  <si>
    <t>The multilingual mind : issues discussed by for and about people living with many languages / edited by Tracey Tokuhama-Espinosa.</t>
  </si>
  <si>
    <t>Westport, Conn. : Praeger, 2003.</t>
  </si>
  <si>
    <t>985647:eng</t>
  </si>
  <si>
    <t>49773788</t>
  </si>
  <si>
    <t>ocm49773788</t>
  </si>
  <si>
    <t>31034528010</t>
  </si>
  <si>
    <t>9780897899185</t>
  </si>
  <si>
    <t>793747529</t>
  </si>
  <si>
    <t>P115 M855 1995</t>
  </si>
  <si>
    <t>0                      P  0115000M  855         1995</t>
  </si>
  <si>
    <t>Multilingualism for all / Tove Skutnabb-Kangas (editor).</t>
  </si>
  <si>
    <t>Lisse, the Netherands : Swets &amp; Zeitlinger, ©1995.</t>
  </si>
  <si>
    <t>European studies on multilingualism ; 4</t>
  </si>
  <si>
    <t>365519106:eng</t>
  </si>
  <si>
    <t>32625203</t>
  </si>
  <si>
    <t>ocm32625203</t>
  </si>
  <si>
    <t>3102755649C</t>
  </si>
  <si>
    <t>9789026514234</t>
  </si>
  <si>
    <t>793390229</t>
  </si>
  <si>
    <t>P115 N44 2004</t>
  </si>
  <si>
    <t>0                      P  0115000N  44          2004</t>
  </si>
  <si>
    <t>Negotiation of identities in multilingual contexts / edited by Aneta Pavlenko and Adrian Blackledge.</t>
  </si>
  <si>
    <t>Clevedon ; Buffalo : Multilingual Matters, ©2004.</t>
  </si>
  <si>
    <t>Bilingual education and bilingualism ; 45</t>
  </si>
  <si>
    <t>1044771503:eng</t>
  </si>
  <si>
    <t>51993064</t>
  </si>
  <si>
    <t>ocm51993064</t>
  </si>
  <si>
    <t>31034006052</t>
  </si>
  <si>
    <t>9781853596469</t>
  </si>
  <si>
    <t>793796228</t>
  </si>
  <si>
    <t>P115 N46 2011</t>
  </si>
  <si>
    <t>0                      P  0115000N  46          2011</t>
  </si>
  <si>
    <t>New trends in crosslinguistic influence and multilingualism research / edited by Gessica De Angelis and Jean-Marc Dewaele.</t>
  </si>
  <si>
    <t>Bristol ; Toronto : Multilingual Matters, ©2011.</t>
  </si>
  <si>
    <t>906549192:eng</t>
  </si>
  <si>
    <t>728840653</t>
  </si>
  <si>
    <t>ocn728840653</t>
  </si>
  <si>
    <t>3103380694O</t>
  </si>
  <si>
    <t>9781847694423</t>
  </si>
  <si>
    <t>794879035</t>
  </si>
  <si>
    <t>P115 N48 2011</t>
  </si>
  <si>
    <t>0                      P  0115000N  48          2011</t>
  </si>
  <si>
    <t>New theoretical perspectives in multilingualism research / Werner Wiater, Gerda Videsott (eds.).</t>
  </si>
  <si>
    <t>2011-11-25</t>
  </si>
  <si>
    <t>865064649:eng</t>
  </si>
  <si>
    <t>700145304</t>
  </si>
  <si>
    <t>ocn700145304</t>
  </si>
  <si>
    <t>3103372634X</t>
  </si>
  <si>
    <t>9783631609927</t>
  </si>
  <si>
    <t>794861879</t>
  </si>
  <si>
    <t>3103234216U</t>
  </si>
  <si>
    <t>794861880</t>
  </si>
  <si>
    <t>P115 N49 2007</t>
  </si>
  <si>
    <t>0                      P  0115000N  49          2007</t>
  </si>
  <si>
    <t>Bilingualism : an advanced resource book / Ng Bee Chin and Gillian Wigglesworth.</t>
  </si>
  <si>
    <t>Ng, Bee Chin.</t>
  </si>
  <si>
    <t>Abingdon, Oxon ; New York : Routledge, 2007.</t>
  </si>
  <si>
    <t>314995165:eng</t>
  </si>
  <si>
    <t>76967205</t>
  </si>
  <si>
    <t>ocm76967205</t>
  </si>
  <si>
    <t>31025711488</t>
  </si>
  <si>
    <t>9780415343862</t>
  </si>
  <si>
    <t>794180027</t>
  </si>
  <si>
    <t>P115 O27</t>
  </si>
  <si>
    <t>0                      P  0115000O  27</t>
  </si>
  <si>
    <t>Non-official languages : a study in Canadian multiculturalism / K.G. O'Bryan ..., J.G. Reitz ..., O.M. Kuplowska ...</t>
  </si>
  <si>
    <t>O'Bryan, K. G.</t>
  </si>
  <si>
    <t>Ottawa : Minister Responsible for Multiculturalism, ©1976.</t>
  </si>
  <si>
    <t>5572889887:eng</t>
  </si>
  <si>
    <t>3137616</t>
  </si>
  <si>
    <t>ocm03137616</t>
  </si>
  <si>
    <t>3102755652A</t>
  </si>
  <si>
    <t>9780660004129</t>
  </si>
  <si>
    <t>792221956</t>
  </si>
  <si>
    <t>P115 O67 2002</t>
  </si>
  <si>
    <t>0                      P  0115000O  67          2002</t>
  </si>
  <si>
    <t>Opportunities and challenges of bilingualism / edited by Li Wei, Jean-Marc Dewaele, Alex Housen.</t>
  </si>
  <si>
    <t>Berlin ; New York : Mouton de Gruyter, 2002.</t>
  </si>
  <si>
    <t>Contributions to the sociology of language ; 87</t>
  </si>
  <si>
    <t>350182996:eng</t>
  </si>
  <si>
    <t>49952015</t>
  </si>
  <si>
    <t>ocm49952015</t>
  </si>
  <si>
    <t>3102755647C</t>
  </si>
  <si>
    <t>9783110173055</t>
  </si>
  <si>
    <t>793751321</t>
  </si>
  <si>
    <t>P115 P385 2005</t>
  </si>
  <si>
    <t>0                      P  0115000P  385         2005</t>
  </si>
  <si>
    <t>Emotions and multilingualism / Aneta Pavlenko.</t>
  </si>
  <si>
    <t>Pavlenko, Aneta, 1963-</t>
  </si>
  <si>
    <t>Cambridge ; New York : Cambridge University Press, 2005.</t>
  </si>
  <si>
    <t>1008994:eng</t>
  </si>
  <si>
    <t>59402017</t>
  </si>
  <si>
    <t>ocm59402017</t>
  </si>
  <si>
    <t>3102489007P</t>
  </si>
  <si>
    <t>9780521843614</t>
  </si>
  <si>
    <t>793929810</t>
  </si>
  <si>
    <t>P115 P74 2008</t>
  </si>
  <si>
    <t>0                      P  0115000P  74          2008</t>
  </si>
  <si>
    <t>Précis du plurilinguisme et du pluriculturalisme / sous la direction de Geneviève Zarate, Danielle Lévy, Claire Kramsch.</t>
  </si>
  <si>
    <t>Paris : Éditions des archives contemporaines, ©2008.</t>
  </si>
  <si>
    <t>351953842:fre</t>
  </si>
  <si>
    <t>243612862</t>
  </si>
  <si>
    <t>ocn243612862</t>
  </si>
  <si>
    <t>3103042871F</t>
  </si>
  <si>
    <t>9782914610605</t>
  </si>
  <si>
    <t>794379116</t>
  </si>
  <si>
    <t>P115 R47 2014</t>
  </si>
  <si>
    <t>0                      P  0115000R  47          2014</t>
  </si>
  <si>
    <t>Repenser le rôle des pratiques langagières dans la constitution des espaces sociaux contemporains / sous la direction d'Anne-Claude Berthoud et Marcel Burger.</t>
  </si>
  <si>
    <t>Louvain-la-Neuve : De Boeck : Duculot, [2014]</t>
  </si>
  <si>
    <t>Champs linguistiques. Recueils</t>
  </si>
  <si>
    <t>2233544374:fre</t>
  </si>
  <si>
    <t>896840319</t>
  </si>
  <si>
    <t>ocn896840319</t>
  </si>
  <si>
    <t>31032002918</t>
  </si>
  <si>
    <t>9782801117347</t>
  </si>
  <si>
    <t>794984312</t>
  </si>
  <si>
    <t>P115 R48 2018</t>
  </si>
  <si>
    <t>0                      P  0115000R  48          2018</t>
  </si>
  <si>
    <t>Multilinguals' verbalisation and perception of emotions / Pia Resnik.</t>
  </si>
  <si>
    <t>Resnik, Pia, author.</t>
  </si>
  <si>
    <t>Bristol, UK ; Blue Ridge Summit, PA : Multilingual Matters, [2018]</t>
  </si>
  <si>
    <t>Second language acquisition ; 124</t>
  </si>
  <si>
    <t>4733842862:eng</t>
  </si>
  <si>
    <t>1020310236</t>
  </si>
  <si>
    <t>on1020310236</t>
  </si>
  <si>
    <t>3103704038K</t>
  </si>
  <si>
    <t>9781788920025</t>
  </si>
  <si>
    <t>795050299</t>
  </si>
  <si>
    <t>P115 R58 1995</t>
  </si>
  <si>
    <t>0                      P  0115000R  58          1995</t>
  </si>
  <si>
    <t>Bilingualism / Suzanne Romaine.</t>
  </si>
  <si>
    <t>Oxford, UK ; Cambridge, Mass., USA : Blackwell, ©1995.</t>
  </si>
  <si>
    <t>Language in society ; 13</t>
  </si>
  <si>
    <t>914302:eng</t>
  </si>
  <si>
    <t>30069631</t>
  </si>
  <si>
    <t>ocm30069631</t>
  </si>
  <si>
    <t>3102755639E</t>
  </si>
  <si>
    <t>9780631195399</t>
  </si>
  <si>
    <t>793328450</t>
  </si>
  <si>
    <t>2011-07-21</t>
  </si>
  <si>
    <t>3102755634E</t>
  </si>
  <si>
    <t>793328451</t>
  </si>
  <si>
    <t>P115 T55 2011</t>
  </si>
  <si>
    <t>0                      P  0115000T  55          2011</t>
  </si>
  <si>
    <t>Thinking and speaking in two languages / edited by Aneta Pavlenko.</t>
  </si>
  <si>
    <t>Bristol, UK ; Tonawanda, NY : Multilingual Matters, ©2011.</t>
  </si>
  <si>
    <t>Bilingual education &amp; bilingualism</t>
  </si>
  <si>
    <t>2012-04-04</t>
  </si>
  <si>
    <t>628807064:eng</t>
  </si>
  <si>
    <t>663446137</t>
  </si>
  <si>
    <t>ocn663446137</t>
  </si>
  <si>
    <t>3103231927J</t>
  </si>
  <si>
    <t>9781847693372</t>
  </si>
  <si>
    <t>794838038</t>
  </si>
  <si>
    <t>P115 T65 2008</t>
  </si>
  <si>
    <t>0                      P  0115000T  65          2008</t>
  </si>
  <si>
    <t>Living languages : multilingualism across the lifespan / Tracey Tokuhama-Espinosa.</t>
  </si>
  <si>
    <t>Tokuhama-Espinosa, Tracey, 1963-</t>
  </si>
  <si>
    <t>Westport, Conn. : Praeger Publishers, 2008.</t>
  </si>
  <si>
    <t>801817541:eng</t>
  </si>
  <si>
    <t>171287616</t>
  </si>
  <si>
    <t>ocn171287616</t>
  </si>
  <si>
    <t>3102648353I</t>
  </si>
  <si>
    <t>9780275999124</t>
  </si>
  <si>
    <t>794264358</t>
  </si>
  <si>
    <t>P115 T73 2011</t>
  </si>
  <si>
    <t>0                      P  0115000T  73          2011</t>
  </si>
  <si>
    <t>La traduction dans les cultures plurilingues / études réunies par Francis Mus et Karen Vandemeulebroucke ; avec la collaboration de Lieven D'hulst et Reine Meylaerts.</t>
  </si>
  <si>
    <t>Arras : Artois Presses Université, ©2011.</t>
  </si>
  <si>
    <t>Traductologie</t>
  </si>
  <si>
    <t>1070859608:fre</t>
  </si>
  <si>
    <t>771282072</t>
  </si>
  <si>
    <t>ocn771282072</t>
  </si>
  <si>
    <t>3103445911P</t>
  </si>
  <si>
    <t>9782848321295</t>
  </si>
  <si>
    <t>794904145</t>
  </si>
  <si>
    <t>P115 T75 2004</t>
  </si>
  <si>
    <t>0                      P  0115000T  75          2004</t>
  </si>
  <si>
    <t>Trilingualism in family, school, and community / edited by Charlotte Hoffmann and Jehannes Ytsma.</t>
  </si>
  <si>
    <t>Clevedon [England] ; Buffalo : Multilingual Matters, ©2004.</t>
  </si>
  <si>
    <t>Bilingual education and bilingualism ; 43</t>
  </si>
  <si>
    <t>1117694810:eng</t>
  </si>
  <si>
    <t>52079575</t>
  </si>
  <si>
    <t>ocm52079575</t>
  </si>
  <si>
    <t>3102755635E</t>
  </si>
  <si>
    <t>9781853596926</t>
  </si>
  <si>
    <t>793797990</t>
  </si>
  <si>
    <t>P115 T88 1997</t>
  </si>
  <si>
    <t>0                      P  0115000T  88          1997</t>
  </si>
  <si>
    <t>Tutorials in bilingualism : psycholinguistic perspectives / edited by Annette M.B. de Groot, Judith F. Kroll.</t>
  </si>
  <si>
    <t>Mahwah, N.J. : Lawrence Erlbaum Associates, 1997.</t>
  </si>
  <si>
    <t>351198778:eng</t>
  </si>
  <si>
    <t>35758273</t>
  </si>
  <si>
    <t>ocm35758273</t>
  </si>
  <si>
    <t>3102755631E</t>
  </si>
  <si>
    <t>9780805819502</t>
  </si>
  <si>
    <t>793456786</t>
  </si>
  <si>
    <t>P115 V47 2013</t>
  </si>
  <si>
    <t>0                      P  0115000V  47          2013</t>
  </si>
  <si>
    <t>Vers le plurilinguisme : vingt ans après / sous la direction de Violaine Bigot, Aude Bretegnier et Marité Vasseur.</t>
  </si>
  <si>
    <t>Paris : Archives contemporaines, ©2013.</t>
  </si>
  <si>
    <t>1852548292:fre</t>
  </si>
  <si>
    <t>876349701</t>
  </si>
  <si>
    <t>ocn876349701</t>
  </si>
  <si>
    <t>3103585155F</t>
  </si>
  <si>
    <t>9782813001337</t>
  </si>
  <si>
    <t>794970009</t>
  </si>
  <si>
    <t>P115.2 A84 2015</t>
  </si>
  <si>
    <t>0                      P  0115200A  84          2015</t>
  </si>
  <si>
    <t>Language, identity, and choice : raising bilingual children in a global society / Kami J. Anderson.</t>
  </si>
  <si>
    <t>Anderson, Kami, 1975- author.</t>
  </si>
  <si>
    <t>Lanham ; Boulder ; New York ; London : Lexington Books, [2015]</t>
  </si>
  <si>
    <t>2568102483:eng</t>
  </si>
  <si>
    <t>903248161</t>
  </si>
  <si>
    <t>ocn903248161</t>
  </si>
  <si>
    <t>3103607357X</t>
  </si>
  <si>
    <t>9780739193617</t>
  </si>
  <si>
    <t>794988951</t>
  </si>
  <si>
    <t>P115.2 B5 2001</t>
  </si>
  <si>
    <t>0                      P  0115200B  5           2001</t>
  </si>
  <si>
    <t>Bilingualism in development : language, literacy, and cognition / Ellen Bialystok.</t>
  </si>
  <si>
    <t>Bialystok, Ellen.</t>
  </si>
  <si>
    <t>792241669:eng</t>
  </si>
  <si>
    <t>44969649</t>
  </si>
  <si>
    <t>ocm44969649</t>
  </si>
  <si>
    <t>31033990823</t>
  </si>
  <si>
    <t>9780521632317</t>
  </si>
  <si>
    <t>793661384</t>
  </si>
  <si>
    <t>3102755626G</t>
  </si>
  <si>
    <t>793661383</t>
  </si>
  <si>
    <t>P115.2 B555 2012</t>
  </si>
  <si>
    <t>0                      P  0115200B  555         2012</t>
  </si>
  <si>
    <t>Bilingual language development &amp; disorders in Spanish-English speakers / edited by Brian A. Goldstein.</t>
  </si>
  <si>
    <t>Baltimore, Md. : Paul H. Brookes Pub. Co., ©2012.</t>
  </si>
  <si>
    <t>57078394:eng</t>
  </si>
  <si>
    <t>746489213</t>
  </si>
  <si>
    <t>ocn746489213</t>
  </si>
  <si>
    <t>31034066535</t>
  </si>
  <si>
    <t>9781598571714</t>
  </si>
  <si>
    <t>794887236</t>
  </si>
  <si>
    <t>P115.2 B73 2014</t>
  </si>
  <si>
    <t>0                      P  0115200B  73          2014</t>
  </si>
  <si>
    <t>Language strategies for trilingual families : parents' perspectives / Andreas Braun and Tony Cline.</t>
  </si>
  <si>
    <t>Braun, Andreas (Linguist), author.</t>
  </si>
  <si>
    <t>Bristol, United Kingdom ; Buffalo, New York : Multilingual Matters, [2014]</t>
  </si>
  <si>
    <t>Parents' and Teachers' Guides ; 17</t>
  </si>
  <si>
    <t>1393277130:eng</t>
  </si>
  <si>
    <t>858601721</t>
  </si>
  <si>
    <t>ocn858601721</t>
  </si>
  <si>
    <t>3103530358H</t>
  </si>
  <si>
    <t>9781783091157</t>
  </si>
  <si>
    <t>794956301</t>
  </si>
  <si>
    <t>P115.2 C36 2015</t>
  </si>
  <si>
    <t>0                      P  0115200C  36          2015</t>
  </si>
  <si>
    <t>The Cambridge handbook of bilingual processing / edited by John W. Schwieter.</t>
  </si>
  <si>
    <t>Cambridge, United Kingdom : Cambridge University Press, 2015.</t>
  </si>
  <si>
    <t>2277602533:eng</t>
  </si>
  <si>
    <t>900913211</t>
  </si>
  <si>
    <t>ocn900913211</t>
  </si>
  <si>
    <t>3103657728V</t>
  </si>
  <si>
    <t>9781107060586</t>
  </si>
  <si>
    <t>794988027</t>
  </si>
  <si>
    <t>P115.2 C49 2006</t>
  </si>
  <si>
    <t>0                      P  0115200C  49          2006</t>
  </si>
  <si>
    <t>Childhood bilingualism : research on infancy through school age / edited by Peggy McCardle and Erika Hoff.</t>
  </si>
  <si>
    <t>Clevedon [England] ; Buffalo [NY] : Multilingual Matters, ©2006.</t>
  </si>
  <si>
    <t>Child language and child development</t>
  </si>
  <si>
    <t>2013-05-27</t>
  </si>
  <si>
    <t>793975840:eng</t>
  </si>
  <si>
    <t>61169743</t>
  </si>
  <si>
    <t>ocm61169743</t>
  </si>
  <si>
    <t>31026056476</t>
  </si>
  <si>
    <t>9781853598708</t>
  </si>
  <si>
    <t>793947814</t>
  </si>
  <si>
    <t>3102556380L</t>
  </si>
  <si>
    <t>793947813</t>
  </si>
  <si>
    <t>P115.2 C77 2015</t>
  </si>
  <si>
    <t>0                      P  0115200C  77          2015</t>
  </si>
  <si>
    <t>Crosslinguistic influence and crosslinguistic interaction in multilingual language learning / edited by Gessica De Angelis, Ulrike Jessner and Marijana Kresić.</t>
  </si>
  <si>
    <t>2016-04-26</t>
  </si>
  <si>
    <t>2495327728:eng</t>
  </si>
  <si>
    <t>907117625</t>
  </si>
  <si>
    <t>ocn907117625</t>
  </si>
  <si>
    <t>31036128266</t>
  </si>
  <si>
    <t>9781474235853</t>
  </si>
  <si>
    <t>794992851</t>
  </si>
  <si>
    <t>P115.2 C86 2011</t>
  </si>
  <si>
    <t>0                      P  0115200C  86          2011</t>
  </si>
  <si>
    <t>Growing up with two languages : a practical guide for the bilingual family / Una Cunningham.</t>
  </si>
  <si>
    <t>Cunningham, Una, 1960-</t>
  </si>
  <si>
    <t>2014-02-13</t>
  </si>
  <si>
    <t>793913526:eng</t>
  </si>
  <si>
    <t>663952435</t>
  </si>
  <si>
    <t>ocn663952435</t>
  </si>
  <si>
    <t>3103235369D</t>
  </si>
  <si>
    <t>9780415598514</t>
  </si>
  <si>
    <t>794843017</t>
  </si>
  <si>
    <t>P115.2 C89 2004</t>
  </si>
  <si>
    <t>0                      P  0115200C  89          2004</t>
  </si>
  <si>
    <t>Growing up with two languages : a practical guide / Una Cunningham-Andersson and Staffan Andersson.</t>
  </si>
  <si>
    <t>53013087</t>
  </si>
  <si>
    <t>ocm53013087</t>
  </si>
  <si>
    <t>3102755706H</t>
  </si>
  <si>
    <t>9780415333313</t>
  </si>
  <si>
    <t>793819181</t>
  </si>
  <si>
    <t>P115.2 D44 2009</t>
  </si>
  <si>
    <t>0                      P  0115200D  44          2009</t>
  </si>
  <si>
    <t>An introduction to bilingual development / Annick De Houwer.</t>
  </si>
  <si>
    <t>De Houwer, Annick.</t>
  </si>
  <si>
    <t>193948490:eng</t>
  </si>
  <si>
    <t>316098645</t>
  </si>
  <si>
    <t>ocn316098645</t>
  </si>
  <si>
    <t>3103321725O</t>
  </si>
  <si>
    <t>9781847691699</t>
  </si>
  <si>
    <t>794444256</t>
  </si>
  <si>
    <t>P115.2 F73 2012</t>
  </si>
  <si>
    <t>0                      P  0115200F  73          2012</t>
  </si>
  <si>
    <t>Bilingual competence and bilingual proficiency in child development / Norbert Francis.</t>
  </si>
  <si>
    <t>Francis, Norbert.</t>
  </si>
  <si>
    <t>Cambridge, Mass. : The MIT Press, ©2012.</t>
  </si>
  <si>
    <t>826232325:eng</t>
  </si>
  <si>
    <t>707726480</t>
  </si>
  <si>
    <t>ocn707726480</t>
  </si>
  <si>
    <t>3103406422H</t>
  </si>
  <si>
    <t>9780262016391</t>
  </si>
  <si>
    <t>794868048</t>
  </si>
  <si>
    <t>P115.2 F85 2012</t>
  </si>
  <si>
    <t>0                      P  0115200F  85          2012</t>
  </si>
  <si>
    <t>Bilingual pre-teens : competing ideologies and multiple identities in the U.S. and Germany / Janet M. Fuller.</t>
  </si>
  <si>
    <t>Fuller, Janet M., 1962-</t>
  </si>
  <si>
    <t>Routledge studies in sociolinguistics ; 6</t>
  </si>
  <si>
    <t>1090718997:eng</t>
  </si>
  <si>
    <t>731925242</t>
  </si>
  <si>
    <t>ocn731925242</t>
  </si>
  <si>
    <t>3103429262U</t>
  </si>
  <si>
    <t>9780415807289</t>
  </si>
  <si>
    <t>794881113</t>
  </si>
  <si>
    <t>P115.2 G458 2004</t>
  </si>
  <si>
    <t>0                      P  0115200G  458         2004</t>
  </si>
  <si>
    <t>Dual language development and disorders : a handbook on bilingualism and second language learning / by Fred Genesee, Johanne Paradis, Martha B. Crago.</t>
  </si>
  <si>
    <t>Genesee, Fred.</t>
  </si>
  <si>
    <t>Baltimore : Paul H. Brookes Pub., ©2004.</t>
  </si>
  <si>
    <t>Communication and language intervention series ; v. 11</t>
  </si>
  <si>
    <t>891258891:eng</t>
  </si>
  <si>
    <t>54372974</t>
  </si>
  <si>
    <t>ocm54372974</t>
  </si>
  <si>
    <t>3102678210E</t>
  </si>
  <si>
    <t>9781557666864</t>
  </si>
  <si>
    <t>793860380</t>
  </si>
  <si>
    <t>31033990873</t>
  </si>
  <si>
    <t>793860381</t>
  </si>
  <si>
    <t>P115.2 H36 1986</t>
  </si>
  <si>
    <t>0                      P  0115200H  36          1986</t>
  </si>
  <si>
    <t>The bilingual family : a handbook for parents / Edith Harding and Philip Riley.</t>
  </si>
  <si>
    <t>Esch, Edith, 1945-</t>
  </si>
  <si>
    <t>2017-10-24</t>
  </si>
  <si>
    <t>197768158:eng</t>
  </si>
  <si>
    <t>13759967</t>
  </si>
  <si>
    <t>ocm13759967</t>
  </si>
  <si>
    <t>3103308199A</t>
  </si>
  <si>
    <t>9780521324182</t>
  </si>
  <si>
    <t>792865409</t>
  </si>
  <si>
    <t>P115.2 H68 2011</t>
  </si>
  <si>
    <t>0                      P  0115200H  68          2011</t>
  </si>
  <si>
    <t>Dual language learners in the early childhood classroom / edited by Carollee Howes, Jason T. Downer, and Robert C. Pianta.</t>
  </si>
  <si>
    <t>Baltimore, Md. : Paul H. Brookes Pub. Co., ©2011.</t>
  </si>
  <si>
    <t>National Center for Research on Early Childhood Education series</t>
  </si>
  <si>
    <t>2014-06-12</t>
  </si>
  <si>
    <t>770307807:eng</t>
  </si>
  <si>
    <t>697036492</t>
  </si>
  <si>
    <t>ocn697036492</t>
  </si>
  <si>
    <t>3103364526Z</t>
  </si>
  <si>
    <t>9781598571820</t>
  </si>
  <si>
    <t>794859630</t>
  </si>
  <si>
    <t>P115.2 K33 2011</t>
  </si>
  <si>
    <t>0                      P  0115200K  33          2011</t>
  </si>
  <si>
    <t>Becoming biliterate : identity, ideology, and learning to read and write in two languages / Bobbie Kabuto.</t>
  </si>
  <si>
    <t>Kabuto, Bobbie.</t>
  </si>
  <si>
    <t>2011-11-02</t>
  </si>
  <si>
    <t>792612708:eng</t>
  </si>
  <si>
    <t>368025527</t>
  </si>
  <si>
    <t>ocn368025527</t>
  </si>
  <si>
    <t>31032265952</t>
  </si>
  <si>
    <t>9780415871792</t>
  </si>
  <si>
    <t>794494010</t>
  </si>
  <si>
    <t>P115.2 L36 1991</t>
  </si>
  <si>
    <t>0                      P  0115200L  36          1991</t>
  </si>
  <si>
    <t>Language processing in bilingual children / edited by Ellen Bialystok.</t>
  </si>
  <si>
    <t>2010-11-25</t>
  </si>
  <si>
    <t>55334254:eng</t>
  </si>
  <si>
    <t>21592077</t>
  </si>
  <si>
    <t>ocm21592077</t>
  </si>
  <si>
    <t>31027499060</t>
  </si>
  <si>
    <t>9780521370219</t>
  </si>
  <si>
    <t>793123465</t>
  </si>
  <si>
    <t>31027794030</t>
  </si>
  <si>
    <t>793123466</t>
  </si>
  <si>
    <t>P115.2 L364 1997</t>
  </si>
  <si>
    <t>0                      P  0115200L  364         1997</t>
  </si>
  <si>
    <t>Language mixing in infant bilingualism : a sociolinguistic perspective / Elizabeth Lanza.</t>
  </si>
  <si>
    <t>Lanza, Elizabeth.</t>
  </si>
  <si>
    <t>Oxford [England] : Clarendon Press ; New York : Oxford University Press, 1997.</t>
  </si>
  <si>
    <t>665418:eng</t>
  </si>
  <si>
    <t>35280679</t>
  </si>
  <si>
    <t>ocm35280679</t>
  </si>
  <si>
    <t>3102755619I</t>
  </si>
  <si>
    <t>9780198235750</t>
  </si>
  <si>
    <t>793448547</t>
  </si>
  <si>
    <t>P115.2 P67 2008</t>
  </si>
  <si>
    <t>0                      P  0115200P  67          2008</t>
  </si>
  <si>
    <t>A portrait of the young in the new multilingual Spain / edited by Carmen Pérez-Vidal, Maria Juan-Garau and Aurora Bel.</t>
  </si>
  <si>
    <t>Child language and child development ; 9</t>
  </si>
  <si>
    <t>872220379:eng</t>
  </si>
  <si>
    <t>162126779</t>
  </si>
  <si>
    <t>ocn162126779</t>
  </si>
  <si>
    <t>3102573719P</t>
  </si>
  <si>
    <t>9781847690234</t>
  </si>
  <si>
    <t>794257178</t>
  </si>
  <si>
    <t>P115.2 Q5 2011</t>
  </si>
  <si>
    <t>0                      P  0115200Q  5           2011</t>
  </si>
  <si>
    <t>The bilingual acquisition of English and Mandarin : Chinese children in Australia / Ruying Qi.</t>
  </si>
  <si>
    <t>Qi, Ruying.</t>
  </si>
  <si>
    <t>Amherst, NY : Cambria Press, ©2011.</t>
  </si>
  <si>
    <t>2013-02-18</t>
  </si>
  <si>
    <t>999405921:eng</t>
  </si>
  <si>
    <t>747331791</t>
  </si>
  <si>
    <t>ocn747331791</t>
  </si>
  <si>
    <t>3103385215W</t>
  </si>
  <si>
    <t>9781604977745</t>
  </si>
  <si>
    <t>794888047</t>
  </si>
  <si>
    <t>P115.2 R64 2014</t>
  </si>
  <si>
    <t>0                      P  0115200R  64          2014</t>
  </si>
  <si>
    <t>The bilingual advantage : promoting academic development, biliteracy, and native language in the classroom / Diane Rodriguez, Angela Carrasquillo, Kyung Soon Lee ; Foreword by Margarita Calderon ; Afterword by Chun Zhang.</t>
  </si>
  <si>
    <t>Rodriguez, Diane (Educator)</t>
  </si>
  <si>
    <t>New York : Teachers College Press, Columbia University, [2014]</t>
  </si>
  <si>
    <t>2213700158:eng</t>
  </si>
  <si>
    <t>865574951</t>
  </si>
  <si>
    <t>ocn865574951</t>
  </si>
  <si>
    <t>31035308512</t>
  </si>
  <si>
    <t>9780807755105</t>
  </si>
  <si>
    <t>794963234</t>
  </si>
  <si>
    <t>P115.2 S5 2005</t>
  </si>
  <si>
    <t>0                      P  0115200S  5           2005</t>
  </si>
  <si>
    <t>Developing in two languages : Korean children in America / Sarah J. Shin.</t>
  </si>
  <si>
    <t>Shin, Sarah J., 1970-</t>
  </si>
  <si>
    <t>Clevedon, England ; Buffalo : Multilingual Matters, ©2005.</t>
  </si>
  <si>
    <t>Child language and child development ; 5</t>
  </si>
  <si>
    <t>793968931:eng</t>
  </si>
  <si>
    <t>54391996</t>
  </si>
  <si>
    <t>ocm54391996</t>
  </si>
  <si>
    <t>3102831894G</t>
  </si>
  <si>
    <t>9781853597473</t>
  </si>
  <si>
    <t>793860795</t>
  </si>
  <si>
    <t>3103398941P</t>
  </si>
  <si>
    <t>793860794</t>
  </si>
  <si>
    <t>P115.2 T65 2001</t>
  </si>
  <si>
    <t>0                      P  0115200T  65          2001</t>
  </si>
  <si>
    <t>Raising multilingual children : foreign language acquisition and children / Tracey Tokuhama-Espinosa.</t>
  </si>
  <si>
    <t>Westport, Conn. : Bergin &amp; Garvey, 2001.</t>
  </si>
  <si>
    <t>793879627:eng</t>
  </si>
  <si>
    <t>43615860</t>
  </si>
  <si>
    <t>ocm43615860</t>
  </si>
  <si>
    <t>31020590968</t>
  </si>
  <si>
    <t>9780897897501</t>
  </si>
  <si>
    <t>793631001</t>
  </si>
  <si>
    <t>P115.2 W43 2014</t>
  </si>
  <si>
    <t>0                      P  0115200W  43          2014</t>
  </si>
  <si>
    <t>Flexible multilingual education : putting children's needs first / Jean-Jacques Weber.</t>
  </si>
  <si>
    <t>Weber, Jean Jacques.</t>
  </si>
  <si>
    <t>New perspectives on language and education ; 38</t>
  </si>
  <si>
    <t>1893130116:eng</t>
  </si>
  <si>
    <t>870199343</t>
  </si>
  <si>
    <t>ocn870199343</t>
  </si>
  <si>
    <t>3103532086C</t>
  </si>
  <si>
    <t>9781783091997</t>
  </si>
  <si>
    <t>794966195</t>
  </si>
  <si>
    <t>P115.25 L42 2010</t>
  </si>
  <si>
    <t>0                      P  0115250L  42          2010</t>
  </si>
  <si>
    <t>Des langues en partage? : cohabitation du français et de l'anglais en littérature contemporaine / Catherine Leclerc.</t>
  </si>
  <si>
    <t>Leclerc, Catherine, 1971-</t>
  </si>
  <si>
    <t>[Montréal] : XYZ éditeur, 2010.</t>
  </si>
  <si>
    <t>Collection Théorie et littérature</t>
  </si>
  <si>
    <t>659852945:fre</t>
  </si>
  <si>
    <t>665192779</t>
  </si>
  <si>
    <t>ocn665192779</t>
  </si>
  <si>
    <t>3103267442S</t>
  </si>
  <si>
    <t>9782892615975</t>
  </si>
  <si>
    <t>794844751</t>
  </si>
  <si>
    <t>P115.25 L58 2003</t>
  </si>
  <si>
    <t>0                      P  0115250L  58          2003</t>
  </si>
  <si>
    <t>Lives in translation : bilingual writers on identity and creativity / edited by Isabelle de Courtivron.</t>
  </si>
  <si>
    <t>New York : Palgrave Macmillan, 2003.</t>
  </si>
  <si>
    <t>2018-11-08</t>
  </si>
  <si>
    <t>838348310:eng</t>
  </si>
  <si>
    <t>51983216</t>
  </si>
  <si>
    <t>ocm51983216</t>
  </si>
  <si>
    <t>3102595334F</t>
  </si>
  <si>
    <t>9781403960665</t>
  </si>
  <si>
    <t>793795775</t>
  </si>
  <si>
    <t>31031565365</t>
  </si>
  <si>
    <t>793795776</t>
  </si>
  <si>
    <t>P115.25 P67 2017</t>
  </si>
  <si>
    <t>0                      P  0115250P  67          2017</t>
  </si>
  <si>
    <t>New perspectives on intercultural language research and teaching : exploring learners' understandings of texts from other cultures / by Melina Porto and Michael Byram.</t>
  </si>
  <si>
    <t>Porto, Melina, author.</t>
  </si>
  <si>
    <t>New York : Routledge, Taylor &amp; Francis Group, 2017.</t>
  </si>
  <si>
    <t>Routledge research in education ; 175</t>
  </si>
  <si>
    <t>3169904616:eng</t>
  </si>
  <si>
    <t>959538741</t>
  </si>
  <si>
    <t>ocn959538741</t>
  </si>
  <si>
    <t>31036563772</t>
  </si>
  <si>
    <t>9781138672406</t>
  </si>
  <si>
    <t>795022441</t>
  </si>
  <si>
    <t>P115.3 B46 2013</t>
  </si>
  <si>
    <t>0                      P  0115300B  46          2013</t>
  </si>
  <si>
    <t>Le code switching en Kabylie : analyse du phénomène de mélange de langues / Farid Benmokhtar.</t>
  </si>
  <si>
    <t>Benmokhtar, Farid.</t>
  </si>
  <si>
    <t>Paris : L'Harmattan, [2013]</t>
  </si>
  <si>
    <t>1362268372:fre</t>
  </si>
  <si>
    <t>849888313</t>
  </si>
  <si>
    <t>ocn849888313</t>
  </si>
  <si>
    <t>3103709570G</t>
  </si>
  <si>
    <t>9782336293585</t>
  </si>
  <si>
    <t>794950419</t>
  </si>
  <si>
    <t>P115.3 C36 2007</t>
  </si>
  <si>
    <t>0                      P  0115300C  36          2007</t>
  </si>
  <si>
    <t>Code-switching in bilingual children / by Katja F. Cantone.</t>
  </si>
  <si>
    <t>Cantone, Katja Francesca.</t>
  </si>
  <si>
    <t>Dordrecht : Springer, ©2007.</t>
  </si>
  <si>
    <t>Studies in theoretical psycholinguistics ; v. 37</t>
  </si>
  <si>
    <t>2015-10-21</t>
  </si>
  <si>
    <t>113709056:eng</t>
  </si>
  <si>
    <t>77257387</t>
  </si>
  <si>
    <t>ocm77257387</t>
  </si>
  <si>
    <t>3102647386G</t>
  </si>
  <si>
    <t>9781402057830</t>
  </si>
  <si>
    <t>794185366</t>
  </si>
  <si>
    <t>P115.3 C36 2009</t>
  </si>
  <si>
    <t>0                      P  0115300C  36          2009</t>
  </si>
  <si>
    <t>The Cambridge handbook of linguistic code-switching / edited by Barbara E. Bullock and Almeida Jacqueline Toribio.</t>
  </si>
  <si>
    <t>Cambridge ; New York : Cambridge University Press, 2009.</t>
  </si>
  <si>
    <t>866515982:eng</t>
  </si>
  <si>
    <t>213400634</t>
  </si>
  <si>
    <t>ocn213400634</t>
  </si>
  <si>
    <t>3102856878R</t>
  </si>
  <si>
    <t>9780521875912</t>
  </si>
  <si>
    <t>794307944</t>
  </si>
  <si>
    <t>P115.3 C49 2003</t>
  </si>
  <si>
    <t>0                      P  0115300C  49          2003</t>
  </si>
  <si>
    <t>Aspects of the syntax, the pragmatics, and the production of code-switching : Cantonese and English / Brian Hok-Shing Chan.</t>
  </si>
  <si>
    <t>Chan, Brian Hok-Shing, 1968-</t>
  </si>
  <si>
    <t>New York : Peter Lang, ©2003.</t>
  </si>
  <si>
    <t>Berkeley insights in linguistics and semiotics ; v. 51</t>
  </si>
  <si>
    <t>3769095460:eng</t>
  </si>
  <si>
    <t>45460911</t>
  </si>
  <si>
    <t>ocm45460911</t>
  </si>
  <si>
    <t>3102755617I</t>
  </si>
  <si>
    <t>9780820455112</t>
  </si>
  <si>
    <t>793671973</t>
  </si>
  <si>
    <t>P115.3 C63 2011</t>
  </si>
  <si>
    <t>0                      P  0115300C  63          2011</t>
  </si>
  <si>
    <t>Code-switching in early English / edited by Herbert Schendl, Laura Wright.</t>
  </si>
  <si>
    <t>Topics in English linguistics ; 76</t>
  </si>
  <si>
    <t>1066432087:eng</t>
  </si>
  <si>
    <t>747099294</t>
  </si>
  <si>
    <t>ocn747099294</t>
  </si>
  <si>
    <t>3103406172G</t>
  </si>
  <si>
    <t>9783110253351</t>
  </si>
  <si>
    <t>794887798</t>
  </si>
  <si>
    <t>P115.3 C64 2011</t>
  </si>
  <si>
    <t>0                      P  0115300C  64          2011</t>
  </si>
  <si>
    <t>Code-switching, languages in contact and electronic writings / Foued Laroussi (ed.).</t>
  </si>
  <si>
    <t>Sprache, Mehrsprachigkeit und sozialer Wandel ; Bd. 14</t>
  </si>
  <si>
    <t>9593127715:eng</t>
  </si>
  <si>
    <t>713189003</t>
  </si>
  <si>
    <t>ocn713189003</t>
  </si>
  <si>
    <t>3103341894Y</t>
  </si>
  <si>
    <t>9783631609101</t>
  </si>
  <si>
    <t>794872767</t>
  </si>
  <si>
    <t>P115.3 C644 2014</t>
  </si>
  <si>
    <t>0                      P  0115300C  644         2014</t>
  </si>
  <si>
    <t>Codeswitching in university English-medium classes : Asian perspectives / edited by Roger Barnard and James McLellan.</t>
  </si>
  <si>
    <t>New perspectives on language and education ; 36</t>
  </si>
  <si>
    <t>1783376981:eng</t>
  </si>
  <si>
    <t>859560101</t>
  </si>
  <si>
    <t>ocn859560101</t>
  </si>
  <si>
    <t>3103530131R</t>
  </si>
  <si>
    <t>9781783090907</t>
  </si>
  <si>
    <t>794957936</t>
  </si>
  <si>
    <t>P115.3 C65 1998</t>
  </si>
  <si>
    <t>0                      P  0115300C  65          1998</t>
  </si>
  <si>
    <t>Code-switching in conversation : language, interaction and identity / edited by Peter Auer.</t>
  </si>
  <si>
    <t>1073224311:eng</t>
  </si>
  <si>
    <t>37211136</t>
  </si>
  <si>
    <t>ocm37211136</t>
  </si>
  <si>
    <t>3102755700H</t>
  </si>
  <si>
    <t>9780415158312</t>
  </si>
  <si>
    <t>793493285</t>
  </si>
  <si>
    <t>P115.3 C66 2001</t>
  </si>
  <si>
    <t>0                      P  0115300C  66          2001</t>
  </si>
  <si>
    <t>Comment les langues se mélangent : codeswitching en francophonie / textes présentés et édités par Cécile Canut et Dominique Caubet.</t>
  </si>
  <si>
    <t>Paris : Harmattan, ©2001.</t>
  </si>
  <si>
    <t>906424939:fre</t>
  </si>
  <si>
    <t>50478034</t>
  </si>
  <si>
    <t>ocm50478034</t>
  </si>
  <si>
    <t>3102755701H</t>
  </si>
  <si>
    <t>9782747526784</t>
  </si>
  <si>
    <t>793765695</t>
  </si>
  <si>
    <t>P115.3 D8 2010</t>
  </si>
  <si>
    <t>0                      P  0115300D  8           2010</t>
  </si>
  <si>
    <t>Discursive constructions of immigrant identity : a sociolinguistic trend study on long-term American immigrants / Inke Du Bois.</t>
  </si>
  <si>
    <t>Du Bois, Inke.</t>
  </si>
  <si>
    <t>Frankfurt am Main : Peter Lang, ©2010.</t>
  </si>
  <si>
    <t>771084584:eng</t>
  </si>
  <si>
    <t>697612940</t>
  </si>
  <si>
    <t>ocn697612940</t>
  </si>
  <si>
    <t>3103363993D</t>
  </si>
  <si>
    <t>9783631612750</t>
  </si>
  <si>
    <t>794860158</t>
  </si>
  <si>
    <t>P115.3 F5 1991</t>
  </si>
  <si>
    <t>0                      P  0115300F  5           1991</t>
  </si>
  <si>
    <t>Reversing language shift : theoretical and empirical foundations of assistance to threatened languages / Joshua A. Fishman.</t>
  </si>
  <si>
    <t>Clevedon ; Philadelphia : Multilingual Matters, 1991.</t>
  </si>
  <si>
    <t>Multilingual matters ; 76</t>
  </si>
  <si>
    <t>1064317:eng</t>
  </si>
  <si>
    <t>23869867</t>
  </si>
  <si>
    <t>ocm23869867</t>
  </si>
  <si>
    <t>3103309240D</t>
  </si>
  <si>
    <t>9781853591228</t>
  </si>
  <si>
    <t>793183933</t>
  </si>
  <si>
    <t>31027556942</t>
  </si>
  <si>
    <t>793183934</t>
  </si>
  <si>
    <t>P115.3 G36 2009</t>
  </si>
  <si>
    <t>0                      P  0115300G  36          2009</t>
  </si>
  <si>
    <t>Code-switching : an introduction / Penelope Gardner-Chloros.</t>
  </si>
  <si>
    <t>Gardner-Chloros, Penelope.</t>
  </si>
  <si>
    <t>Cambridge : Cambridge University Press, 2008.</t>
  </si>
  <si>
    <t>991648:eng</t>
  </si>
  <si>
    <t>233263385</t>
  </si>
  <si>
    <t>ocn233263385</t>
  </si>
  <si>
    <t>31028590586</t>
  </si>
  <si>
    <t>9780521862646</t>
  </si>
  <si>
    <t>794365945</t>
  </si>
  <si>
    <t>P115.3 G53 1987</t>
  </si>
  <si>
    <t>0                      P  0115300G  53          1987</t>
  </si>
  <si>
    <t>Code-mixing and code choice : a Hong Kong case study / John Gibbons.</t>
  </si>
  <si>
    <t>Multilingual matters ; 27</t>
  </si>
  <si>
    <t>799411649:eng</t>
  </si>
  <si>
    <t>15109007</t>
  </si>
  <si>
    <t>ocm15109007</t>
  </si>
  <si>
    <t>31027556952</t>
  </si>
  <si>
    <t>9780905028668</t>
  </si>
  <si>
    <t>792920533</t>
  </si>
  <si>
    <t>P115.3 H35 1997</t>
  </si>
  <si>
    <t>0                      P  0115300H  35          1997</t>
  </si>
  <si>
    <t>Government and codeswitching : explaining American Finnish / Helena Halmari.</t>
  </si>
  <si>
    <t>Halmari, Helena.</t>
  </si>
  <si>
    <t>Amsterdam ; Philadelphia : J. Benjamins, 1997.</t>
  </si>
  <si>
    <t>Studies in bilingualism, 0928-1533 ; v. 12</t>
  </si>
  <si>
    <t>666499:eng</t>
  </si>
  <si>
    <t>36663077</t>
  </si>
  <si>
    <t>ocm36663077</t>
  </si>
  <si>
    <t>31027556962</t>
  </si>
  <si>
    <t>9781556195464</t>
  </si>
  <si>
    <t>793480853</t>
  </si>
  <si>
    <t>P115.3 L36 2012</t>
  </si>
  <si>
    <t>0                      P  0115300L  36          2012</t>
  </si>
  <si>
    <t>Language mixing and code-switching in writing : approaches to mixed-language written discourse / edited by Mark Sebba, Shahrzad Mahootian and Carla Jonsson.</t>
  </si>
  <si>
    <t>Routledge critical studies in multilingualism ; 2</t>
  </si>
  <si>
    <t>366794284:eng</t>
  </si>
  <si>
    <t>491891035</t>
  </si>
  <si>
    <t>ocn491891035</t>
  </si>
  <si>
    <t>3103405374E</t>
  </si>
  <si>
    <t>9780415879460</t>
  </si>
  <si>
    <t>794800701</t>
  </si>
  <si>
    <t>P115.3 L48 2011</t>
  </si>
  <si>
    <t>0                      P  0115300L  48          2011</t>
  </si>
  <si>
    <t>Code choice in the language classroom / Glenn S. Levine.</t>
  </si>
  <si>
    <t>Levine, Glenn S. (Glenn Scott), 1964-</t>
  </si>
  <si>
    <t>651738149:eng</t>
  </si>
  <si>
    <t>667874091</t>
  </si>
  <si>
    <t>ocn667874091</t>
  </si>
  <si>
    <t>3103233086Q</t>
  </si>
  <si>
    <t>9781847693334</t>
  </si>
  <si>
    <t>794845738</t>
  </si>
  <si>
    <t>P115.3 L57 1985</t>
  </si>
  <si>
    <t>0                      P  0115300L  57          1985</t>
  </si>
  <si>
    <t>Linguistic aspects of Spanish-English language switching / by John M. Lipski.</t>
  </si>
  <si>
    <t>Lipski, John M.</t>
  </si>
  <si>
    <t>Tempe, Ariz. : Center for Latin American Studies, Arizona State University, 1985.</t>
  </si>
  <si>
    <t>Special studies ; no. 25</t>
  </si>
  <si>
    <t>4491743:eng</t>
  </si>
  <si>
    <t>11969996</t>
  </si>
  <si>
    <t>ocm11969996</t>
  </si>
  <si>
    <t>31027556912</t>
  </si>
  <si>
    <t>9780879180591</t>
  </si>
  <si>
    <t>792795184</t>
  </si>
  <si>
    <t>P115.3 M85 2009</t>
  </si>
  <si>
    <t>0                      P  0115300M  85          2009</t>
  </si>
  <si>
    <t>Multidisciplinary approaches to code switching / edited by Ludmila Isurin, Donald Winford, Kees de Bot.</t>
  </si>
  <si>
    <t>Philadelphia, Pa. : John Benjamins Pub. Company, ©2009.</t>
  </si>
  <si>
    <t>Studies in bilingualism, 0928-1533 ; v. 41</t>
  </si>
  <si>
    <t>1044437072:eng</t>
  </si>
  <si>
    <t>317824681</t>
  </si>
  <si>
    <t>ocn317824681</t>
  </si>
  <si>
    <t>3103085912T</t>
  </si>
  <si>
    <t>9789027241788</t>
  </si>
  <si>
    <t>794468316</t>
  </si>
  <si>
    <t>P115.3 N56 1997</t>
  </si>
  <si>
    <t>0                      P  0115300N  56          1997</t>
  </si>
  <si>
    <t>Japanese/English code-switching : syntax and pragmatics / Miwa Nishimura.</t>
  </si>
  <si>
    <t>Nishimura, Miwa, 1951-</t>
  </si>
  <si>
    <t>New York : P. Lang, ©1997.</t>
  </si>
  <si>
    <t>Berkeley insights in linguistics and semiotics, 0893-6935 ; vol. 24</t>
  </si>
  <si>
    <t>227430508:eng</t>
  </si>
  <si>
    <t>33334044</t>
  </si>
  <si>
    <t>ocm33334044</t>
  </si>
  <si>
    <t>31027556894</t>
  </si>
  <si>
    <t>9780820430768</t>
  </si>
  <si>
    <t>793407068</t>
  </si>
  <si>
    <t>P115.3 O54 1995</t>
  </si>
  <si>
    <t>0                      P  0115300O  54          1995</t>
  </si>
  <si>
    <t>One speaker, two languages : cross-disciplinary perspectives on code-switching / edited by Lesley Milroy and Pieter Muysken.</t>
  </si>
  <si>
    <t>808202354:eng</t>
  </si>
  <si>
    <t>30979012</t>
  </si>
  <si>
    <t>ocm30979012</t>
  </si>
  <si>
    <t>31027556834</t>
  </si>
  <si>
    <t>9780521473507</t>
  </si>
  <si>
    <t>793350640</t>
  </si>
  <si>
    <t>P115.3 R36 2005</t>
  </si>
  <si>
    <t>0                      P  0115300R  36          2005</t>
  </si>
  <si>
    <t>Crossing : language &amp; ethnicity among adolescents / Ben Rampton.</t>
  </si>
  <si>
    <t>Manchester, UK : Northampton, MA : St. Jerome Pub., 2005.</t>
  </si>
  <si>
    <t>Encounters, 1471-0277</t>
  </si>
  <si>
    <t>2018-02-07</t>
  </si>
  <si>
    <t>197348534:eng</t>
  </si>
  <si>
    <t>54931591</t>
  </si>
  <si>
    <t>ocm54931591</t>
  </si>
  <si>
    <t>3102489759V</t>
  </si>
  <si>
    <t>9781900650779</t>
  </si>
  <si>
    <t>793870705</t>
  </si>
  <si>
    <t>P115.3 S34 1993</t>
  </si>
  <si>
    <t>0                      P  0115300S  34          1993</t>
  </si>
  <si>
    <t>Duelling languages : grammatical structure in codeswitching / Carol Myers-Scotton.</t>
  </si>
  <si>
    <t>Myers-Scotton, Carol.</t>
  </si>
  <si>
    <t>Oxford, Eng. : Clarendon Press ; New York : Oxford University Press, 1993.</t>
  </si>
  <si>
    <t>836890056:eng</t>
  </si>
  <si>
    <t>27108924</t>
  </si>
  <si>
    <t>ocm27108924</t>
  </si>
  <si>
    <t>31027556844</t>
  </si>
  <si>
    <t>9780198240594</t>
  </si>
  <si>
    <t>793259271</t>
  </si>
  <si>
    <t>P115.3 Y68 2014</t>
  </si>
  <si>
    <t>0                      P  0115300Y  68          2014</t>
  </si>
  <si>
    <t>Other people's English : code-meshing, code-switching, and African American literacy / Vershawn Ashanti Young, Rusty Barrett, Y'Shanda Young-Rivera, Kim Brian Lovejoy.</t>
  </si>
  <si>
    <t>Young, Vershawn Ashanti.</t>
  </si>
  <si>
    <t>New York : Teachers College Press/Teachers College/Columbia University, [2014]</t>
  </si>
  <si>
    <t>Language and literacy series</t>
  </si>
  <si>
    <t>2017-11-20</t>
  </si>
  <si>
    <t>1401163270:eng</t>
  </si>
  <si>
    <t>858975363</t>
  </si>
  <si>
    <t>ocn858975363</t>
  </si>
  <si>
    <t>3103505509G</t>
  </si>
  <si>
    <t>9780807755556</t>
  </si>
  <si>
    <t>794957264</t>
  </si>
  <si>
    <t>P115.4 B53 2009</t>
  </si>
  <si>
    <t>0                      P  0115400B  53          2009</t>
  </si>
  <si>
    <t>The bilingual mental lexicon : interdisciplinary approaches / edited by Aneta Pavlenko.</t>
  </si>
  <si>
    <t>Bristol, UK ; Buffalo, NY : Multilingual Matters, 2009.</t>
  </si>
  <si>
    <t>799915074:eng</t>
  </si>
  <si>
    <t>244354513</t>
  </si>
  <si>
    <t>ocn244354513</t>
  </si>
  <si>
    <t>3102856757Y</t>
  </si>
  <si>
    <t>9781847691255</t>
  </si>
  <si>
    <t>794381386</t>
  </si>
  <si>
    <t>P115.4 B55 2006</t>
  </si>
  <si>
    <t>0                      P  0115400B  55          2006</t>
  </si>
  <si>
    <t>Bilingual minds : Emotional experience, expression, and representation / edited by Aneta Pavlenko.</t>
  </si>
  <si>
    <t>Clevedon [England] ; Buffalo, NY : Multilingual Matters, ©2006.</t>
  </si>
  <si>
    <t>Bilingual education and bilingualism ; 56</t>
  </si>
  <si>
    <t>792600397:eng</t>
  </si>
  <si>
    <t>61169747</t>
  </si>
  <si>
    <t>ocm61169747</t>
  </si>
  <si>
    <t>3102556607S</t>
  </si>
  <si>
    <t>9781853598739</t>
  </si>
  <si>
    <t>793947818</t>
  </si>
  <si>
    <t>2014-09-23</t>
  </si>
  <si>
    <t>3102619496I</t>
  </si>
  <si>
    <t>793947817</t>
  </si>
  <si>
    <t>P115.4 C64 2007</t>
  </si>
  <si>
    <t>0                      P  0115400C  64          2007</t>
  </si>
  <si>
    <t>Cognitive aspects of bilingualism / edited by Istvan Kecskes and Liliana Albertazzi.</t>
  </si>
  <si>
    <t>Dordrecht, the Netherlands : Springer, ©2007.</t>
  </si>
  <si>
    <t>1088206937:eng</t>
  </si>
  <si>
    <t>144228484</t>
  </si>
  <si>
    <t>ocn144228484</t>
  </si>
  <si>
    <t>3102637468M</t>
  </si>
  <si>
    <t>9781402059346</t>
  </si>
  <si>
    <t>794235649</t>
  </si>
  <si>
    <t>P115.4 C65 2016</t>
  </si>
  <si>
    <t>0                      P  0115400C  65          2016</t>
  </si>
  <si>
    <t>Cognitive control and consequences of multilingualism / edited by John W. Schwieter.</t>
  </si>
  <si>
    <t>Bilingual processing and acquisition, 2352-0531 ; volume 2</t>
  </si>
  <si>
    <t>9438859303:eng</t>
  </si>
  <si>
    <t>953867217</t>
  </si>
  <si>
    <t>ocn953867217</t>
  </si>
  <si>
    <t>3103858993U</t>
  </si>
  <si>
    <t>9789027243720</t>
  </si>
  <si>
    <t>795019321</t>
  </si>
  <si>
    <t>P115.4 F47 2003</t>
  </si>
  <si>
    <t>0                      P  0115400F  47          2003</t>
  </si>
  <si>
    <t>Bilingual sentence processing : relative clause attachment in English and Spanish / Eva M. Fernández.</t>
  </si>
  <si>
    <t>Fernández, Eva M.</t>
  </si>
  <si>
    <t>Amsterdam ; Philadelphia : J. Benjamins Pub., 2003.</t>
  </si>
  <si>
    <t>Language acquisition &amp; language disorders, 0925-0123 ; v. 29</t>
  </si>
  <si>
    <t>793898337:eng</t>
  </si>
  <si>
    <t>50761388</t>
  </si>
  <si>
    <t>ocm50761388</t>
  </si>
  <si>
    <t>31027556746</t>
  </si>
  <si>
    <t>9781588113450</t>
  </si>
  <si>
    <t>793772504</t>
  </si>
  <si>
    <t>P115.4 G76 2011</t>
  </si>
  <si>
    <t>0                      P  0115400G  76          2011</t>
  </si>
  <si>
    <t>Language and cognition in bilinguals and multilinguals : an introduction / Annette M.B. de Groot.</t>
  </si>
  <si>
    <t>C. 1</t>
  </si>
  <si>
    <t>Groot, A. M. B. de, author.</t>
  </si>
  <si>
    <t>New York, NY ; Hove : Psychology Press, [2011]</t>
  </si>
  <si>
    <t>791986772:eng</t>
  </si>
  <si>
    <t>664325487</t>
  </si>
  <si>
    <t>ocn664325487</t>
  </si>
  <si>
    <t>3103312817O</t>
  </si>
  <si>
    <t>9781848729018</t>
  </si>
  <si>
    <t>794843397</t>
  </si>
  <si>
    <t>C. 2</t>
  </si>
  <si>
    <t>3103524000P</t>
  </si>
  <si>
    <t>794843398</t>
  </si>
  <si>
    <t>P115.4 G77 2013</t>
  </si>
  <si>
    <t>0                      P  0115400G  77          2013</t>
  </si>
  <si>
    <t>The psycholinguistics of bilingualism / Francois Grosjean and Ping Li, primary authors ; with contributions from Ellen Bialystok [and others].</t>
  </si>
  <si>
    <t>Chichester, West Sussex ; Malden, MA : Wiley-Blackwell, 2013.</t>
  </si>
  <si>
    <t>1118756926:eng</t>
  </si>
  <si>
    <t>812072890</t>
  </si>
  <si>
    <t>ocn812072890</t>
  </si>
  <si>
    <t>3103641136I</t>
  </si>
  <si>
    <t>9781444332780</t>
  </si>
  <si>
    <t>794930683</t>
  </si>
  <si>
    <t>3103641141P</t>
  </si>
  <si>
    <t>794930682</t>
  </si>
  <si>
    <t>P115.4 H36 2005</t>
  </si>
  <si>
    <t>0                      P  0115400H  36          2005</t>
  </si>
  <si>
    <t>Handbook of bilingualism : psycholinguistic approaches / edited by Judith F. Kroll, Annette M.B. De Groot.</t>
  </si>
  <si>
    <t>1039063913:eng</t>
  </si>
  <si>
    <t>54988961</t>
  </si>
  <si>
    <t>ocm54988961</t>
  </si>
  <si>
    <t>31024904145</t>
  </si>
  <si>
    <t>9780195151770</t>
  </si>
  <si>
    <t>793872017</t>
  </si>
  <si>
    <t>P115.4 H47 2002</t>
  </si>
  <si>
    <t>0                      P  0115400H  47          2002</t>
  </si>
  <si>
    <t>A dynamic model of multilingualism : perspectives of change in psycholinguistics / Philip Herdina and Ulrike Jessner.</t>
  </si>
  <si>
    <t>Herdina, Philip.</t>
  </si>
  <si>
    <t>Clevedon, England ; Buffalo, N.Y. : Multilingual Matters, ©2002.</t>
  </si>
  <si>
    <t>Multilingual matters series ; 121</t>
  </si>
  <si>
    <t>2018-12-15</t>
  </si>
  <si>
    <t>793897145:eng</t>
  </si>
  <si>
    <t>47018424</t>
  </si>
  <si>
    <t>ocm47018424</t>
  </si>
  <si>
    <t>3102756007Y</t>
  </si>
  <si>
    <t>9781853594687</t>
  </si>
  <si>
    <t>793696655</t>
  </si>
  <si>
    <t>P115.4 J38 2007</t>
  </si>
  <si>
    <t>0                      P  0115400J  38          2007</t>
  </si>
  <si>
    <t>The bilingual mind : thinking, feeling, and speaking in two languages / Rafael Art. Javier.</t>
  </si>
  <si>
    <t>Javier, Rafael Art.</t>
  </si>
  <si>
    <t>New York ; London : Springer, 2007.</t>
  </si>
  <si>
    <t>792907732:eng</t>
  </si>
  <si>
    <t>77540731</t>
  </si>
  <si>
    <t>ocm77540731</t>
  </si>
  <si>
    <t>31026411829</t>
  </si>
  <si>
    <t>9780387309132</t>
  </si>
  <si>
    <t>794192029</t>
  </si>
  <si>
    <t>P115.4 K43 2012</t>
  </si>
  <si>
    <t>0                      P  0115400K  43          2012</t>
  </si>
  <si>
    <t>Multilingualism and creativity / Anatoliy V. Kharkhurin.</t>
  </si>
  <si>
    <t>Kharkhurin, Anatoliy V., author.</t>
  </si>
  <si>
    <t>Bristol ; Buffalo : Multilingual Matters, [2012]</t>
  </si>
  <si>
    <t>Bilingual education and bilingualism</t>
  </si>
  <si>
    <t>5619289738:eng</t>
  </si>
  <si>
    <t>795182342</t>
  </si>
  <si>
    <t>ocn795182342</t>
  </si>
  <si>
    <t>3103428874E</t>
  </si>
  <si>
    <t>9781847697943</t>
  </si>
  <si>
    <t>794921110</t>
  </si>
  <si>
    <t>P115.4 L36 2011</t>
  </si>
  <si>
    <t>0                      P  0115400L  36          2011</t>
  </si>
  <si>
    <t>Language and bilingual cognition / edited by Vivian Cook and Benedetta Bassetti.</t>
  </si>
  <si>
    <t>New York, NY ; Hove : Psychology Press, ©2011.</t>
  </si>
  <si>
    <t>509895969:eng</t>
  </si>
  <si>
    <t>646400589</t>
  </si>
  <si>
    <t>ocn646400589</t>
  </si>
  <si>
    <t>3103312580J</t>
  </si>
  <si>
    <t>9781848729247</t>
  </si>
  <si>
    <t>794830420</t>
  </si>
  <si>
    <t>P115.4 M46 2013</t>
  </si>
  <si>
    <t>0                      P  0115400M  46          2013</t>
  </si>
  <si>
    <t>Memory, language, and bilingualism : theoretical and applied approaches / edited by Jeanette Altarriba and Ludmila Isurin.</t>
  </si>
  <si>
    <t>1117968573:eng</t>
  </si>
  <si>
    <t>794603936</t>
  </si>
  <si>
    <t>ocn794603936</t>
  </si>
  <si>
    <t>3103457981Z</t>
  </si>
  <si>
    <t>9781107008908</t>
  </si>
  <si>
    <t>794920150</t>
  </si>
  <si>
    <t>P115.4 P38 2009</t>
  </si>
  <si>
    <t>0                      P  0115400P  38          2009</t>
  </si>
  <si>
    <t>Declarative and procedural determinants of second languages / Michel Paradis.</t>
  </si>
  <si>
    <t>Paradis, Michel.</t>
  </si>
  <si>
    <t>Amsterdam ; Philadelphia : John Benjamins Pub., ©2009.</t>
  </si>
  <si>
    <t>Studies in bilingualism, 0928-1533 ; v. 40</t>
  </si>
  <si>
    <t>155357026:eng</t>
  </si>
  <si>
    <t>264046810</t>
  </si>
  <si>
    <t>ocn264046810</t>
  </si>
  <si>
    <t>3103041805X</t>
  </si>
  <si>
    <t>9789027241764</t>
  </si>
  <si>
    <t>794404428</t>
  </si>
  <si>
    <t>3103139640Z</t>
  </si>
  <si>
    <t>794404427</t>
  </si>
  <si>
    <t>P115.4 R65 2017</t>
  </si>
  <si>
    <t>0                      P  0115400R  65          2017</t>
  </si>
  <si>
    <t>Romance-Germanic bilingual phonology / edited by Mehmet Yavaş, Margaret Kehoe and Walcir Cardoso.</t>
  </si>
  <si>
    <t>Sheffield, UK ; Bristol, CT : Equinox Publishing Ltd, 2017.</t>
  </si>
  <si>
    <t>Studies in Phonetics and Phonology</t>
  </si>
  <si>
    <t>2017-09-28</t>
  </si>
  <si>
    <t>3294627449:eng</t>
  </si>
  <si>
    <t>952567157</t>
  </si>
  <si>
    <t>ocn952567157</t>
  </si>
  <si>
    <t>31036706948</t>
  </si>
  <si>
    <t>9781781792827</t>
  </si>
  <si>
    <t>795018366</t>
  </si>
  <si>
    <t>P115.45 B43 2011</t>
  </si>
  <si>
    <t>0                      P  0115450B  43          2011</t>
  </si>
  <si>
    <t>Becoming multilingual : language learning and language policy between attitudes and identities / Cecilia Varcasia (ed.).</t>
  </si>
  <si>
    <t>New York : Peter Lang, 2011.</t>
  </si>
  <si>
    <t>Linguistic insights : studies in language and communication ; v. 136</t>
  </si>
  <si>
    <t>908438160:eng</t>
  </si>
  <si>
    <t>729863280</t>
  </si>
  <si>
    <t>ocn729863280</t>
  </si>
  <si>
    <t>3103343036P</t>
  </si>
  <si>
    <t>9783034306874</t>
  </si>
  <si>
    <t>794879717</t>
  </si>
  <si>
    <t>P115.45 C36 2013</t>
  </si>
  <si>
    <t>0                      P  0115450C  36          2013</t>
  </si>
  <si>
    <t>Translingual practice : global Englishes and cosmopolitan relations / Suresh Canagarajah.</t>
  </si>
  <si>
    <t>Canagarajah, A. Suresh.</t>
  </si>
  <si>
    <t>Milton Park, Abingdon, Oxon ; New York : Routledge, ©2013.</t>
  </si>
  <si>
    <t>2018-04-18</t>
  </si>
  <si>
    <t>1181416633:eng</t>
  </si>
  <si>
    <t>758394467</t>
  </si>
  <si>
    <t>ocn758394467</t>
  </si>
  <si>
    <t>3103457711I</t>
  </si>
  <si>
    <t>9780415683982</t>
  </si>
  <si>
    <t>794896267</t>
  </si>
  <si>
    <t>P115.45 C87 2013</t>
  </si>
  <si>
    <t>0                      P  0115450C  87          2013</t>
  </si>
  <si>
    <t>Current Multilingualism : a New Linguistic Dispensation / edited by David Singleton, Joshua A. Fishman, Larissa Aronin, Muiris Ó Laoire.</t>
  </si>
  <si>
    <t>Berlin ; Boston : De Gruyter Mouton, Walter De Gruyter, Inc., [2013]</t>
  </si>
  <si>
    <t>Contributions to the Sociology of Language ; 102, 1861-0676</t>
  </si>
  <si>
    <t>1357245968:eng</t>
  </si>
  <si>
    <t>819641555</t>
  </si>
  <si>
    <t>ocn819641555</t>
  </si>
  <si>
    <t>3103445738R</t>
  </si>
  <si>
    <t>9781614513896</t>
  </si>
  <si>
    <t>794934785</t>
  </si>
  <si>
    <t>P115.45 D533 2014</t>
  </si>
  <si>
    <t>0                      P  0115450D  533         2014</t>
  </si>
  <si>
    <t>Didactique du plurilinguisme : approches plurielles des langues et des cultures : autour de Michel Candelier / sous la direction de Christel Troncy ; avec le concours de Jean-François De Pietro, Livia Goletto et Martine Kervran.</t>
  </si>
  <si>
    <t>Rennes : Presses universitaires de Rennes, ©2014.</t>
  </si>
  <si>
    <t>Des sociétés, 1242-8523</t>
  </si>
  <si>
    <t>1845007407:fre</t>
  </si>
  <si>
    <t>873478472</t>
  </si>
  <si>
    <t>ocn873478472</t>
  </si>
  <si>
    <t>3103199001V</t>
  </si>
  <si>
    <t>9782753529137</t>
  </si>
  <si>
    <t>794968441</t>
  </si>
  <si>
    <t>P115.45 K54 2013</t>
  </si>
  <si>
    <t>0                      P  0115450K  54          2013</t>
  </si>
  <si>
    <t>Communicative practices at work : multimodality and learning in a high-tech firm / Jo Anne Kleifgen.</t>
  </si>
  <si>
    <t>Kleifgen, Jo Anne, author.</t>
  </si>
  <si>
    <t>Bristol ; Buffalo : Multilingual Matters, 2013.</t>
  </si>
  <si>
    <t>Language, mobility, and Institutions</t>
  </si>
  <si>
    <t>1744777316:eng</t>
  </si>
  <si>
    <t>847602585</t>
  </si>
  <si>
    <t>ocn847602585</t>
  </si>
  <si>
    <t>3103503605L</t>
  </si>
  <si>
    <t>9781783090457</t>
  </si>
  <si>
    <t>794949623</t>
  </si>
  <si>
    <t>P115.45 L36 2016</t>
  </si>
  <si>
    <t>0                      P  0115450L  36          2016</t>
  </si>
  <si>
    <t>Language and superdiversity / edited by Karel Arnaut, Jan Blommaert, Ben Rampton, Massimiliano Spotti.</t>
  </si>
  <si>
    <t>New York ; London : Routledge, 2016.</t>
  </si>
  <si>
    <t>2894795184:eng</t>
  </si>
  <si>
    <t>914156916</t>
  </si>
  <si>
    <t>ocn914156916</t>
  </si>
  <si>
    <t>3103653444S</t>
  </si>
  <si>
    <t>9781138844575</t>
  </si>
  <si>
    <t>794999812</t>
  </si>
  <si>
    <t>P115.45 S66 2004</t>
  </si>
  <si>
    <t>0                      P  0115450S  66          2004</t>
  </si>
  <si>
    <t>Bilingual aesthetics : a new sentimental education / Doris Sommer.</t>
  </si>
  <si>
    <t>Sommer, Doris, 1947-</t>
  </si>
  <si>
    <t>Public planet books</t>
  </si>
  <si>
    <t>862848676:eng</t>
  </si>
  <si>
    <t>53289888</t>
  </si>
  <si>
    <t>ocm53289888</t>
  </si>
  <si>
    <t>31027556716</t>
  </si>
  <si>
    <t>9780822333326</t>
  </si>
  <si>
    <t>793825674</t>
  </si>
  <si>
    <t>P115.45 S83 2015</t>
  </si>
  <si>
    <t>0                      P  0115450S  83          2015</t>
  </si>
  <si>
    <t>Multilingualism / Anat Stavans and Charlotte Hoffmann.</t>
  </si>
  <si>
    <t>Sṭavans, ʻAnat, author.</t>
  </si>
  <si>
    <t>Cambridge, United Kingdom : Cambridge University Press, [2015]</t>
  </si>
  <si>
    <t>2055644701:eng</t>
  </si>
  <si>
    <t>888165540</t>
  </si>
  <si>
    <t>ocn888165540</t>
  </si>
  <si>
    <t>31036074069</t>
  </si>
  <si>
    <t>9781107092990</t>
  </si>
  <si>
    <t>794977982</t>
  </si>
  <si>
    <t>P115.45 W43 2012</t>
  </si>
  <si>
    <t>0                      P  0115450W  43          2012</t>
  </si>
  <si>
    <t>Introducing multilingualism : a social approach / Jean-Jacques Weber, Kristine Horner.</t>
  </si>
  <si>
    <t>796719680:eng</t>
  </si>
  <si>
    <t>706022675</t>
  </si>
  <si>
    <t>ocn706022675</t>
  </si>
  <si>
    <t>31034110287</t>
  </si>
  <si>
    <t>9780415609982</t>
  </si>
  <si>
    <t>794866553</t>
  </si>
  <si>
    <t>P115.5 A35 G46 2014</t>
  </si>
  <si>
    <t>0                      P  0115500A  35                 G  46          2014</t>
  </si>
  <si>
    <t>Languages in Africa : multilingualism, language policy, and education / edited by Elizabeth C. Zsiga, One Tlale Boyer, and Ruth Kramer.</t>
  </si>
  <si>
    <t>Georgetown University Round Table on Languages and Linguistics (2013 : Washington, D.C.)</t>
  </si>
  <si>
    <t>Washington, DC : Georgetown University Press, [2014]</t>
  </si>
  <si>
    <t>1874895490:eng</t>
  </si>
  <si>
    <t>878224776</t>
  </si>
  <si>
    <t>ocn878224776</t>
  </si>
  <si>
    <t>31036216645</t>
  </si>
  <si>
    <t>9781626161528</t>
  </si>
  <si>
    <t>794971360</t>
  </si>
  <si>
    <t>31036216467</t>
  </si>
  <si>
    <t>794971361</t>
  </si>
  <si>
    <t>P115.5 B4 I58 1987</t>
  </si>
  <si>
    <t>0                      P  0115500B  4                  I  58          1987</t>
  </si>
  <si>
    <t>The Interdisciplinary study of urban bilingualism in Brussels / edited by Els Witte and Hugo Baetens Beardsmore.</t>
  </si>
  <si>
    <t>Multilingual matters ; 28</t>
  </si>
  <si>
    <t>353450064:eng</t>
  </si>
  <si>
    <t>15109008</t>
  </si>
  <si>
    <t>ocm15109008</t>
  </si>
  <si>
    <t>31027556688</t>
  </si>
  <si>
    <t>9780905028682</t>
  </si>
  <si>
    <t>792920534</t>
  </si>
  <si>
    <t>P115.5 E39 M85 2010</t>
  </si>
  <si>
    <t>0                      P  0115500E  39                 M  85          2010</t>
  </si>
  <si>
    <t>The multilingual experience in Egypt, from the Ptolemies to the Abbasids / edited by Arietta Papaconstantinou.</t>
  </si>
  <si>
    <t>Burlington, VT : Ashgate, 2010.</t>
  </si>
  <si>
    <t>2017-07-31</t>
  </si>
  <si>
    <t>370208699:eng</t>
  </si>
  <si>
    <t>496282263</t>
  </si>
  <si>
    <t>ocn496282263</t>
  </si>
  <si>
    <t>3103231014B</t>
  </si>
  <si>
    <t>9780754665366</t>
  </si>
  <si>
    <t>794802428</t>
  </si>
  <si>
    <t>P115.5 E44 C65 2011</t>
  </si>
  <si>
    <t>0                      P  0115500E  44                 C  65          2011</t>
  </si>
  <si>
    <t>Conceptualizing multilingualism in England, c.800-c.1250 / edited by Elizabeth M. Tyler.</t>
  </si>
  <si>
    <t>Turnhout : Brepols, ©2011.</t>
  </si>
  <si>
    <t>Studies in the early Middle Ages ; v. 27</t>
  </si>
  <si>
    <t>4095768281:eng</t>
  </si>
  <si>
    <t>751835553</t>
  </si>
  <si>
    <t>ocn751835553</t>
  </si>
  <si>
    <t>31034048507</t>
  </si>
  <si>
    <t>9782503528564</t>
  </si>
  <si>
    <t>794891296</t>
  </si>
  <si>
    <t>P115.5 E85 E973 2012</t>
  </si>
  <si>
    <t>0                      P  0115500E  85                 E  973         2012</t>
  </si>
  <si>
    <t>L'Europe des 27 et ses langues / sous la direction de José Carlos Herreras.</t>
  </si>
  <si>
    <t>Valenciennes : Presses universitaires de Valenciennes, ©2012.</t>
  </si>
  <si>
    <t>Europe(s) ; 3</t>
  </si>
  <si>
    <t>1123405470:fre</t>
  </si>
  <si>
    <t>798214523</t>
  </si>
  <si>
    <t>ocn798214523</t>
  </si>
  <si>
    <t>3103463631S</t>
  </si>
  <si>
    <t>9782364240087</t>
  </si>
  <si>
    <t>794923285</t>
  </si>
  <si>
    <t>P115.5 E85 I58 2011</t>
  </si>
  <si>
    <t>0                      P  0115500E  85                 I  58          2011</t>
  </si>
  <si>
    <t>Intonational phrasing in Romance and Germanic : cross-linguistic and bilingual studies / edited by Christoph Gabriel, Conxita Lleó.</t>
  </si>
  <si>
    <t>Hamburg studies on multilingualism ; v. 10</t>
  </si>
  <si>
    <t>792555749:eng</t>
  </si>
  <si>
    <t>670238298</t>
  </si>
  <si>
    <t>ocn670238298</t>
  </si>
  <si>
    <t>31033222032</t>
  </si>
  <si>
    <t>9789027219305</t>
  </si>
  <si>
    <t>794847501</t>
  </si>
  <si>
    <t>P115.5 E85 L564 2012</t>
  </si>
  <si>
    <t>0                      P  0115500E  85                 L  564         2012</t>
  </si>
  <si>
    <t>Linguistic diversity in Europe : current trends and discourses / edited by Patrick Studer and Iwar Welen.</t>
  </si>
  <si>
    <t>Berlin : De Gruyter Mouton, ©2012.</t>
  </si>
  <si>
    <t>Contributions to the sociology of language, 1861-0676 ; 97</t>
  </si>
  <si>
    <t>1118885332:eng</t>
  </si>
  <si>
    <t>767858384</t>
  </si>
  <si>
    <t>ocn767858384</t>
  </si>
  <si>
    <t>3103446810O</t>
  </si>
  <si>
    <t>9783110270839</t>
  </si>
  <si>
    <t>794901614</t>
  </si>
  <si>
    <t>P115.5 E85 M43 2010</t>
  </si>
  <si>
    <t>0                      P  0115500E  85                 M  43          2010</t>
  </si>
  <si>
    <t>Medieval multilingualism : the francophone world and its neighbours / edited by Christopher Kleinhenz and Keith Busby.</t>
  </si>
  <si>
    <t>Turnhout, Belgium : Brepols ; Abingdon : Marston [distributor], 2010.</t>
  </si>
  <si>
    <t>Medieval texts and cultures of Northern Europe ; v. 20</t>
  </si>
  <si>
    <t>793954099:eng</t>
  </si>
  <si>
    <t>655675911</t>
  </si>
  <si>
    <t>ocn655675911</t>
  </si>
  <si>
    <t>3103231906N</t>
  </si>
  <si>
    <t>9782503528373</t>
  </si>
  <si>
    <t>794834396</t>
  </si>
  <si>
    <t>P115.5 E85 M826 2014</t>
  </si>
  <si>
    <t>0                      P  0115500E  85                 M  826         2014</t>
  </si>
  <si>
    <t>Multilingual encounters in Europe's institutional spaces / edited by Johann W. Unger, Michał Krzyżanowski and Ruth Wodak.</t>
  </si>
  <si>
    <t>Advances in sociolinguistics series</t>
  </si>
  <si>
    <t>1654726511:eng</t>
  </si>
  <si>
    <t>857981458</t>
  </si>
  <si>
    <t>ocn857981458</t>
  </si>
  <si>
    <t>3103530328N</t>
  </si>
  <si>
    <t>9781441107817</t>
  </si>
  <si>
    <t>794955670</t>
  </si>
  <si>
    <t>P115.5 E85 M85 2016</t>
  </si>
  <si>
    <t>0                      P  0115500E  85                 M  85          2016</t>
  </si>
  <si>
    <t>Multilingualism and English in twenty-first-century Europe : recent developments and challenges / [edited by] Clive W. Earls.</t>
  </si>
  <si>
    <t>New York, NY : Peter Lang, 2016.</t>
  </si>
  <si>
    <t>1st edition.</t>
  </si>
  <si>
    <t>Intercultural studies and foreign language learning ; 17</t>
  </si>
  <si>
    <t>3873249643:eng</t>
  </si>
  <si>
    <t>965391773</t>
  </si>
  <si>
    <t>ocn965391773</t>
  </si>
  <si>
    <t>31037388311</t>
  </si>
  <si>
    <t>9783034322218</t>
  </si>
  <si>
    <t>795025670</t>
  </si>
  <si>
    <t>P115.5 E85 P57 2009</t>
  </si>
  <si>
    <t>0                      P  0115500E  85                 P  57          2009</t>
  </si>
  <si>
    <t>Le plurilinguisme au Moyen Âge : de Babel à la langue une : Orient-Occident / textes édités par Claire Kappler et Suzanne Thiolier-Méjean.</t>
  </si>
  <si>
    <t>Paris : L'Harmattan, ©2009.</t>
  </si>
  <si>
    <t>Méditerranée médiévale, orient-occident</t>
  </si>
  <si>
    <t>2018-09-14</t>
  </si>
  <si>
    <t>472957439:fre</t>
  </si>
  <si>
    <t>320879021</t>
  </si>
  <si>
    <t>ocn320879021</t>
  </si>
  <si>
    <t>3103127128U</t>
  </si>
  <si>
    <t>9782296081963</t>
  </si>
  <si>
    <t>794487359</t>
  </si>
  <si>
    <t>P115.5 E85 R56 2012</t>
  </si>
  <si>
    <t>0                      P  0115500E  85                 R  56          2012</t>
  </si>
  <si>
    <t>European multilingualism : current perspectives and challenges / Rosita Rindler Schjerve and Eva Vetter.</t>
  </si>
  <si>
    <t>Rindler Schjerve, Rosita.</t>
  </si>
  <si>
    <t>Multilingual matters ; [147]</t>
  </si>
  <si>
    <t>1079990933:eng</t>
  </si>
  <si>
    <t>776777207</t>
  </si>
  <si>
    <t>ocn776777207</t>
  </si>
  <si>
    <t>3103395096H</t>
  </si>
  <si>
    <t>9781847697356</t>
  </si>
  <si>
    <t>794908312</t>
  </si>
  <si>
    <t>P115.5 E85 S66 2013</t>
  </si>
  <si>
    <t>0                      P  0115500E  85                 S  66          2013</t>
  </si>
  <si>
    <t>Spoken and written language : relations between Latin and the vernacular languages in the earlier Middles Ages / edited by Mary Garrison, Arpad P. Orbán and Marco Mostert ; with the assistance of Wolfert S. van Egmond.</t>
  </si>
  <si>
    <t>Turnhout : Brepols, [2013]</t>
  </si>
  <si>
    <t>Utrecht studies in medieval literacy ; 24</t>
  </si>
  <si>
    <t>1184779752:eng</t>
  </si>
  <si>
    <t>820111140</t>
  </si>
  <si>
    <t>ocn820111140</t>
  </si>
  <si>
    <t>31035288886</t>
  </si>
  <si>
    <t>9782503507705</t>
  </si>
  <si>
    <t>794935032</t>
  </si>
  <si>
    <t>P115.5 E85 U73 2004</t>
  </si>
  <si>
    <t>0                      P  0115500E  85                 U  73          2004</t>
  </si>
  <si>
    <t>Urban multilingualism in Europe : immigrant minority languages at home and school / edited by Guus Extra and Kutlay Yaǧmur.</t>
  </si>
  <si>
    <t>Multilingual matters ; 130</t>
  </si>
  <si>
    <t>793968916:eng</t>
  </si>
  <si>
    <t>55595560</t>
  </si>
  <si>
    <t>ocm55595560</t>
  </si>
  <si>
    <t>3102583673B</t>
  </si>
  <si>
    <t>9781853597794</t>
  </si>
  <si>
    <t>793878964</t>
  </si>
  <si>
    <t>2014-07-28</t>
  </si>
  <si>
    <t>3102655530N</t>
  </si>
  <si>
    <t>793878963</t>
  </si>
  <si>
    <t>P115.5 G3 M85 2012</t>
  </si>
  <si>
    <t>0                      P  0115500G  3                  M  85          2012</t>
  </si>
  <si>
    <t>Multilingual corpora and multilingual corpus analysis / edited by Thomas Schmidt, Kai Wörner.</t>
  </si>
  <si>
    <t>Hamburg studies on multilingualism ; v. 14</t>
  </si>
  <si>
    <t>1184720991:eng</t>
  </si>
  <si>
    <t>795009278</t>
  </si>
  <si>
    <t>ocn795009278</t>
  </si>
  <si>
    <t>31034705273</t>
  </si>
  <si>
    <t>9789027219343</t>
  </si>
  <si>
    <t>794920777</t>
  </si>
  <si>
    <t>P115.5 G7 A38 2014</t>
  </si>
  <si>
    <t>0                      P  0115500G  7                  A  38          2014</t>
  </si>
  <si>
    <t>Advances in the study of bilingualism / edited by Enlli Môn Thomas and Ineke Mennen.</t>
  </si>
  <si>
    <t>Bristol : Multilingual Matters, [2014]</t>
  </si>
  <si>
    <t>1747573116:eng</t>
  </si>
  <si>
    <t>866931043</t>
  </si>
  <si>
    <t>ocn866931043</t>
  </si>
  <si>
    <t>3103565315R</t>
  </si>
  <si>
    <t>9781783091706</t>
  </si>
  <si>
    <t>794963714</t>
  </si>
  <si>
    <t>P115.5 G7 H79 2013</t>
  </si>
  <si>
    <t>0                      P  0115500G  7                  H  79          2013</t>
  </si>
  <si>
    <t>Trading tongues : merchants, multilingualism, and medieval literature / Jonathan Hsy.</t>
  </si>
  <si>
    <t>Hsy, Jonathan Horng.</t>
  </si>
  <si>
    <t>Columbus : Ohio State University Press, ©2013.</t>
  </si>
  <si>
    <t>Interventions : new studies in medieval culture</t>
  </si>
  <si>
    <t>1194518690:eng</t>
  </si>
  <si>
    <t>823927730</t>
  </si>
  <si>
    <t>ocn823927730</t>
  </si>
  <si>
    <t>3103505861W</t>
  </si>
  <si>
    <t>9780814212295</t>
  </si>
  <si>
    <t>794937505</t>
  </si>
  <si>
    <t>P115.5 G7 M85 2013</t>
  </si>
  <si>
    <t>0                      P  0115500G  7                  M  85          2013</t>
  </si>
  <si>
    <t>Multilingualism in medieval Britain (c. 1066-1520) : sources and analysis / edited by Judith A. Jefferson and Ad Putter ; with the assistance of Amanda Hopkins.</t>
  </si>
  <si>
    <t>Medieval texts and cultures of Northern Europe ; 15</t>
  </si>
  <si>
    <t>1359190226:eng</t>
  </si>
  <si>
    <t>827952091</t>
  </si>
  <si>
    <t>ocn827952091</t>
  </si>
  <si>
    <t>31035325327</t>
  </si>
  <si>
    <t>9782503542508</t>
  </si>
  <si>
    <t>794940475</t>
  </si>
  <si>
    <t>P115.5 H85 L5 1996</t>
  </si>
  <si>
    <t>0                      P  0115500H  85                 L  5           1996</t>
  </si>
  <si>
    <t>Issues in bilingualism and biculturalism : a Hong Kong case study / David C.S. Li.</t>
  </si>
  <si>
    <t>Li, David C. S.</t>
  </si>
  <si>
    <t>Berkeley insights in linguistics and semiotics, 0893-6870 ; vol. 21</t>
  </si>
  <si>
    <t>897948235:eng</t>
  </si>
  <si>
    <t>33820211</t>
  </si>
  <si>
    <t>ocm33820211</t>
  </si>
  <si>
    <t>31027556776</t>
  </si>
  <si>
    <t>9780820430362</t>
  </si>
  <si>
    <t>793411925</t>
  </si>
  <si>
    <t>P115.5 I4 A73 2001</t>
  </si>
  <si>
    <t>0                      P  0115500I  4                  A  73          2001</t>
  </si>
  <si>
    <t>Managing multilingualism in India : political and linguistic manifestations / E. Annamalai.</t>
  </si>
  <si>
    <t>Annamalai, E.</t>
  </si>
  <si>
    <t>Language and development ; v. 8</t>
  </si>
  <si>
    <t>34988072:eng</t>
  </si>
  <si>
    <t>45493145</t>
  </si>
  <si>
    <t>ocm45493145</t>
  </si>
  <si>
    <t>31027556726</t>
  </si>
  <si>
    <t>9780761995210</t>
  </si>
  <si>
    <t>793672712</t>
  </si>
  <si>
    <t>P115.5 I8 L36 2012</t>
  </si>
  <si>
    <t>0                      P  0115500I  8                  L  36          2012</t>
  </si>
  <si>
    <t>Language and linguistic contact in ancient Sicily / edited by Olga Tribulato.</t>
  </si>
  <si>
    <t>Cambridge classical studies</t>
  </si>
  <si>
    <t>1118139766:eng</t>
  </si>
  <si>
    <t>794729271</t>
  </si>
  <si>
    <t>ocn794729271</t>
  </si>
  <si>
    <t>3103457736E</t>
  </si>
  <si>
    <t>9781107029316</t>
  </si>
  <si>
    <t>794920457</t>
  </si>
  <si>
    <t>P115.5 I8 S67 2012</t>
  </si>
  <si>
    <t>0                      P  0115500I  8                  S  67          2012</t>
  </si>
  <si>
    <t>Bilinguismo e diglossia dei territori bizantini e longobardi del Mezzogiorno : le testimonianze dei documenti del IX e X secolo / Rosanna Sornicola.</t>
  </si>
  <si>
    <t>Sornicola, Rosanna, 1953-</t>
  </si>
  <si>
    <t>[Napoli] : Accademia Pontaniana, 2012.</t>
  </si>
  <si>
    <t>Quaderni dell'Accademia Pontaniana ; 59</t>
  </si>
  <si>
    <t>1752624331:ita</t>
  </si>
  <si>
    <t>859151396</t>
  </si>
  <si>
    <t>ocn859151396</t>
  </si>
  <si>
    <t>3103535988A</t>
  </si>
  <si>
    <t>9788874316533</t>
  </si>
  <si>
    <t>794957410</t>
  </si>
  <si>
    <t>P115.5 J3 Y36 2001</t>
  </si>
  <si>
    <t>0                      P  0115500J  3                  Y  36          2001</t>
  </si>
  <si>
    <t>Language use in interlingual families : a Japanese-English sociolinguistic study / Masayo Yamamoto.</t>
  </si>
  <si>
    <t>Yamamoto, Masayo, 1952-</t>
  </si>
  <si>
    <t>Bilingual education and bilingualism ; 30</t>
  </si>
  <si>
    <t>800523832:eng</t>
  </si>
  <si>
    <t>46240393</t>
  </si>
  <si>
    <t>ocm46240393</t>
  </si>
  <si>
    <t>31027557517</t>
  </si>
  <si>
    <t>9781853595400</t>
  </si>
  <si>
    <t>793682092</t>
  </si>
  <si>
    <t>P115.5 M8 M37 2018</t>
  </si>
  <si>
    <t>0                      P  0115500M  8                  M  37          2018</t>
  </si>
  <si>
    <t>Maroc : la guerre des langues? / Yassin Adnan / Mohammed Bennis / Jalal El Hakmaoui / Abdou Filali Ansary [and twelve others] ; introduction par Kenza Sefrioui.</t>
  </si>
  <si>
    <t>Casablanca : En toutes lettres, 2018.</t>
  </si>
  <si>
    <t>Les questions qui fâchent</t>
  </si>
  <si>
    <t>5398496557:fre</t>
  </si>
  <si>
    <t>1029625724</t>
  </si>
  <si>
    <t>on1029625724</t>
  </si>
  <si>
    <t>3103720813C</t>
  </si>
  <si>
    <t>9789954987926</t>
  </si>
  <si>
    <t>795054221</t>
  </si>
  <si>
    <t>P115.5 R8 L36 2010</t>
  </si>
  <si>
    <t>0                      P  0115500R  8                  L  36          2010</t>
  </si>
  <si>
    <t>Language ideologies in transition : multilingualism in Russia and Finland / Mika Lähteenmäki, Marjatta Vanhala-Aniszewski, (eds.).</t>
  </si>
  <si>
    <t>793287823:eng</t>
  </si>
  <si>
    <t>655249946</t>
  </si>
  <si>
    <t>ocn655249946</t>
  </si>
  <si>
    <t>3103230724T</t>
  </si>
  <si>
    <t>9783631608678</t>
  </si>
  <si>
    <t>794834231</t>
  </si>
  <si>
    <t>P115.5 S6 V36 2013</t>
  </si>
  <si>
    <t>0                      P  0115500S  6                  V  36          2013</t>
  </si>
  <si>
    <t>Multilingual Higher Education : Beyond English Medium Orientations / Christa van der Walt.</t>
  </si>
  <si>
    <t>Van der Walt, C. (Christa)</t>
  </si>
  <si>
    <t>Bilingual Education and Bilingualism ; 91</t>
  </si>
  <si>
    <t>1184787247:eng</t>
  </si>
  <si>
    <t>820122956</t>
  </si>
  <si>
    <t>ocn820122956</t>
  </si>
  <si>
    <t>31035002332</t>
  </si>
  <si>
    <t>9781847699190</t>
  </si>
  <si>
    <t>794935121</t>
  </si>
  <si>
    <t>P115.5 S65 A35</t>
  </si>
  <si>
    <t>0                      P  0115500S  65                 A  35</t>
  </si>
  <si>
    <t>An experimental sociolinguistic study of Chicano bilingualism / Adalberto Aguirre, Jr.</t>
  </si>
  <si>
    <t>Aguirre, Adalberto.</t>
  </si>
  <si>
    <t>San Francisco : R &amp; E Research Associates, 1978.</t>
  </si>
  <si>
    <t>16884388:eng</t>
  </si>
  <si>
    <t>5193552</t>
  </si>
  <si>
    <t>ocm05193552</t>
  </si>
  <si>
    <t>31027557489</t>
  </si>
  <si>
    <t>9780882475400</t>
  </si>
  <si>
    <t>792414928</t>
  </si>
  <si>
    <t>P115.5 S65 S2 1983</t>
  </si>
  <si>
    <t>0                      P  0115500S  65                 S  2           1983</t>
  </si>
  <si>
    <t>Chicano discourse : socio-historic perspectives / Rosaura Sánchez.</t>
  </si>
  <si>
    <t>Sánchez, Rosaura.</t>
  </si>
  <si>
    <t>Rowley, MA : Newbury House Publishers, 1983.</t>
  </si>
  <si>
    <t>31328500:eng</t>
  </si>
  <si>
    <t>8195923</t>
  </si>
  <si>
    <t>ocm08195923</t>
  </si>
  <si>
    <t>31027557439</t>
  </si>
  <si>
    <t>9780883772157</t>
  </si>
  <si>
    <t>792604927</t>
  </si>
  <si>
    <t>P115.5 U5 G39 2011</t>
  </si>
  <si>
    <t>0                      P  0115500U  5                  G  39          2011</t>
  </si>
  <si>
    <t>Bilingualism and cognition : informing research, pedagogy, and policy / by : Eugene E. García and José E. Náñez Sr.</t>
  </si>
  <si>
    <t>García, Eugene E., 1946-</t>
  </si>
  <si>
    <t>Washington, DC : American Psychological Association, ©2011.</t>
  </si>
  <si>
    <t>761227517:eng</t>
  </si>
  <si>
    <t>683595519</t>
  </si>
  <si>
    <t>ocn683595519</t>
  </si>
  <si>
    <t>3103364265$</t>
  </si>
  <si>
    <t>9781433808791</t>
  </si>
  <si>
    <t>794853510</t>
  </si>
  <si>
    <t>P115.5 U5 R347 2015</t>
  </si>
  <si>
    <t>0                      P  0115500U  5                  R  347         2015</t>
  </si>
  <si>
    <t>Raising children bilingually in the United States / edited by Iulia Pittman.</t>
  </si>
  <si>
    <t>Newcastle upon Tyne, UK : Cambridge Scholars Publishing, 2015.</t>
  </si>
  <si>
    <t>2564759728:eng</t>
  </si>
  <si>
    <t>900828123</t>
  </si>
  <si>
    <t>ocn900828123</t>
  </si>
  <si>
    <t>31036077991</t>
  </si>
  <si>
    <t>9781443872546</t>
  </si>
  <si>
    <t>794987934</t>
  </si>
  <si>
    <t>P116 B37 2011</t>
  </si>
  <si>
    <t>0                      P  0116000B  37          2011</t>
  </si>
  <si>
    <t>The making of language / Mike Beaken.</t>
  </si>
  <si>
    <t>Beaken, Mike, author.</t>
  </si>
  <si>
    <t>Edinburgh, Scotland : Dunedin, 2011.</t>
  </si>
  <si>
    <t>2011-03-15</t>
  </si>
  <si>
    <t>44111091:eng</t>
  </si>
  <si>
    <t>559854675</t>
  </si>
  <si>
    <t>ocn559854675</t>
  </si>
  <si>
    <t>3103233755B</t>
  </si>
  <si>
    <t>9781906716141</t>
  </si>
  <si>
    <t>794812748</t>
  </si>
  <si>
    <t>P116 D36 1993</t>
  </si>
  <si>
    <t>0                      P  0116000D  36          1993</t>
  </si>
  <si>
    <t>Vico, metaphor, and the origin of language / Marcel Danesi.</t>
  </si>
  <si>
    <t>Bloomington : Indiana University Press, ©1993.</t>
  </si>
  <si>
    <t>992981:eng</t>
  </si>
  <si>
    <t>26673740</t>
  </si>
  <si>
    <t>ocm26673740</t>
  </si>
  <si>
    <t>3102755709H</t>
  </si>
  <si>
    <t>9780253316073</t>
  </si>
  <si>
    <t>793249226</t>
  </si>
  <si>
    <t>P116 D48 2005</t>
  </si>
  <si>
    <t>0                      P  0116000D  48          2005</t>
  </si>
  <si>
    <t>The unfolding of language : an evolutionary tour of mankind's greatest invention.</t>
  </si>
  <si>
    <t>New York : Metropolitan Books, 2005.</t>
  </si>
  <si>
    <t>1160679:eng</t>
  </si>
  <si>
    <t>57311730</t>
  </si>
  <si>
    <t>ocm57311730</t>
  </si>
  <si>
    <t>3102755708H</t>
  </si>
  <si>
    <t>9780805079074</t>
  </si>
  <si>
    <t>793910403</t>
  </si>
  <si>
    <t>P116 E39 2010</t>
  </si>
  <si>
    <t>0                      P  0116000E  39          2010</t>
  </si>
  <si>
    <t>The origins of grammar : an anthropological perspective / Martin Edwardes.</t>
  </si>
  <si>
    <t>Edwardes, Martin.</t>
  </si>
  <si>
    <t>London : Continuum, ©2010.</t>
  </si>
  <si>
    <t>2013-07-24</t>
  </si>
  <si>
    <t>792494549:eng</t>
  </si>
  <si>
    <t>653079915</t>
  </si>
  <si>
    <t>ocn653079915</t>
  </si>
  <si>
    <t>3103312910L</t>
  </si>
  <si>
    <t>9781441114389</t>
  </si>
  <si>
    <t>794833580</t>
  </si>
  <si>
    <t>P116 E44 2007</t>
  </si>
  <si>
    <t>0                      P  0116000E  44          2007</t>
  </si>
  <si>
    <t>Emergence of communication and language / Caroline Lyon, Chrystopher L. Nehaniv and Angelo Cangelosi (eds).</t>
  </si>
  <si>
    <t>London : Springer, ©2007.</t>
  </si>
  <si>
    <t>2015-09-17</t>
  </si>
  <si>
    <t>766925210:eng</t>
  </si>
  <si>
    <t>71285563</t>
  </si>
  <si>
    <t>ocm71285563</t>
  </si>
  <si>
    <t>3102595062I</t>
  </si>
  <si>
    <t>9781846284915</t>
  </si>
  <si>
    <t>794164870</t>
  </si>
  <si>
    <t>P116 E54</t>
  </si>
  <si>
    <t>0                      P  0116000E  54</t>
  </si>
  <si>
    <t>Language : its origin and its relation to thought / by F.R.H. Englefield ; edited by G.A. Wells and D.R. Oppenheimer.</t>
  </si>
  <si>
    <t>Englefield, F. R. H.</t>
  </si>
  <si>
    <t>London : Elek for Pemberton Pub., 1977.</t>
  </si>
  <si>
    <t>6678154:eng</t>
  </si>
  <si>
    <t>3001139</t>
  </si>
  <si>
    <t>ocm03001139</t>
  </si>
  <si>
    <t>3102755712F</t>
  </si>
  <si>
    <t>9780301761015</t>
  </si>
  <si>
    <t>792204791</t>
  </si>
  <si>
    <t>3102755717F</t>
  </si>
  <si>
    <t>792204792</t>
  </si>
  <si>
    <t>P116 E85 2017</t>
  </si>
  <si>
    <t>0                      P  0116000E  85          2017</t>
  </si>
  <si>
    <t>How language began : the story of humanity's greatest invention / Daniel Everett.</t>
  </si>
  <si>
    <t>Everett, Daniel Leonard, author.</t>
  </si>
  <si>
    <t>London : Profile Books, 2017.</t>
  </si>
  <si>
    <t>3893741447:eng</t>
  </si>
  <si>
    <t>987337201</t>
  </si>
  <si>
    <t>ocn987337201</t>
  </si>
  <si>
    <t>3103669253$</t>
  </si>
  <si>
    <t>9781781253922</t>
  </si>
  <si>
    <t>795036038</t>
  </si>
  <si>
    <t>P116 E92 2002</t>
  </si>
  <si>
    <t>0                      P  0116000E  92          2002</t>
  </si>
  <si>
    <t>The evolution of language out of pre-language / edited by T. Givón, Bertram F. Malle.</t>
  </si>
  <si>
    <t>Amsterdam ; Philadelphia : J. Benjamins Pub., ©2002.</t>
  </si>
  <si>
    <t>Typological studies in language, 0167-7373 ; v. 53</t>
  </si>
  <si>
    <t>2015-08-28</t>
  </si>
  <si>
    <t>5218666133:eng</t>
  </si>
  <si>
    <t>50251978</t>
  </si>
  <si>
    <t>ocm50251978</t>
  </si>
  <si>
    <t>3102755727D</t>
  </si>
  <si>
    <t>9781588112378</t>
  </si>
  <si>
    <t>793758949</t>
  </si>
  <si>
    <t>P116 E96 2010</t>
  </si>
  <si>
    <t>0                      P  0116000E  96          2010</t>
  </si>
  <si>
    <t>The evolution of human language : biolinguistic perspectives / [edited by] Richard K. Larson, Viviane Déprez, Hiroko Yamakido.</t>
  </si>
  <si>
    <t>Cambridge ; New York : Cambridge University Press, ©2010.</t>
  </si>
  <si>
    <t>Approaches to the evolution of language</t>
  </si>
  <si>
    <t>796663732:eng</t>
  </si>
  <si>
    <t>437083041</t>
  </si>
  <si>
    <t>ocn437083041</t>
  </si>
  <si>
    <t>31031314293</t>
  </si>
  <si>
    <t>9780521516457</t>
  </si>
  <si>
    <t>794785431</t>
  </si>
  <si>
    <t>P116 F58 2010</t>
  </si>
  <si>
    <t>0                      P  0116000F  58          2010</t>
  </si>
  <si>
    <t>The evolution of language / W. Tecumseh Fitch.</t>
  </si>
  <si>
    <t>Fitch, W. Tecumseh.</t>
  </si>
  <si>
    <t>2014-05-29</t>
  </si>
  <si>
    <t>315427119:eng</t>
  </si>
  <si>
    <t>428024376</t>
  </si>
  <si>
    <t>ocn428024376</t>
  </si>
  <si>
    <t>3103133005B</t>
  </si>
  <si>
    <t>9780521859936</t>
  </si>
  <si>
    <t>794754529</t>
  </si>
  <si>
    <t>P116 H87 2012</t>
  </si>
  <si>
    <t>0                      P  0116000H  87          2012</t>
  </si>
  <si>
    <t>The origins of grammar / James R. Hurford.</t>
  </si>
  <si>
    <t>Hurford, James R.</t>
  </si>
  <si>
    <t>Language in the light of evolution ; 2</t>
  </si>
  <si>
    <t>1017130934:eng</t>
  </si>
  <si>
    <t>755065943</t>
  </si>
  <si>
    <t>ocn755065943</t>
  </si>
  <si>
    <t>31033807092</t>
  </si>
  <si>
    <t>9780199207879</t>
  </si>
  <si>
    <t>794893524</t>
  </si>
  <si>
    <t>P116 I64 2010</t>
  </si>
  <si>
    <t>0                      P  0116000I  64          2010</t>
  </si>
  <si>
    <t>The evolution of language : proceedings of the 8th International Conference (EVOLANG8), Utrecht, Netherlands, 14-17 April 2010 / editors, Andrew D.M. Smith [and others].</t>
  </si>
  <si>
    <t>International Conference on the Evolution of Language (8th : 2010 : Utrecht, Netherlands)</t>
  </si>
  <si>
    <t>Singapore ; Hackensack, NJ : World Scientific, ©2010.</t>
  </si>
  <si>
    <t>2011-01-24</t>
  </si>
  <si>
    <t>5218547806:eng</t>
  </si>
  <si>
    <t>496951691</t>
  </si>
  <si>
    <t>ocn496951691</t>
  </si>
  <si>
    <t>3103240859F</t>
  </si>
  <si>
    <t>9789814295215</t>
  </si>
  <si>
    <t>794802742</t>
  </si>
  <si>
    <t>P116 K54413 2016</t>
  </si>
  <si>
    <t>0                      P  0116000K  54413       2016</t>
  </si>
  <si>
    <t>The tongue of Adam / Abdelfattah Kilito ; translated form the French by Robyn Creswell ; foreword by Marina Warner.</t>
  </si>
  <si>
    <t>Kilito, Abdelfattah, 1945- author.</t>
  </si>
  <si>
    <t>New York : New Directions Publishing Corporation, 2016.</t>
  </si>
  <si>
    <t>NDP (New Directions Paperback) ; 1339</t>
  </si>
  <si>
    <t>2019-04-06</t>
  </si>
  <si>
    <t>17843280:eng</t>
  </si>
  <si>
    <t>940362000</t>
  </si>
  <si>
    <t>ocn940362000</t>
  </si>
  <si>
    <t>31036977449</t>
  </si>
  <si>
    <t>9780811224932</t>
  </si>
  <si>
    <t>795011918</t>
  </si>
  <si>
    <t>P116 L43 2011</t>
  </si>
  <si>
    <t>0                      P  0116000L  43          2011</t>
  </si>
  <si>
    <t>Linguistic relativities : language diversity and modern thought / John Leavitt.</t>
  </si>
  <si>
    <t>Leavitt, John Harold, 1952-</t>
  </si>
  <si>
    <t>792475075:eng</t>
  </si>
  <si>
    <t>656771874</t>
  </si>
  <si>
    <t>ocn656771874</t>
  </si>
  <si>
    <t>3103232544N</t>
  </si>
  <si>
    <t>9780521767828</t>
  </si>
  <si>
    <t>794835042</t>
  </si>
  <si>
    <t>P116 L53 1998</t>
  </si>
  <si>
    <t>0                      P  0116000L  53          1998</t>
  </si>
  <si>
    <t>Eve spoke : human language and human evolution / Philip Lieberman.</t>
  </si>
  <si>
    <t>Lieberman, Philip.</t>
  </si>
  <si>
    <t>New York : W.W. Norton, [1998]</t>
  </si>
  <si>
    <t>536946:eng</t>
  </si>
  <si>
    <t>36877398</t>
  </si>
  <si>
    <t>ocm36877398</t>
  </si>
  <si>
    <t>31027557801</t>
  </si>
  <si>
    <t>9780393040890</t>
  </si>
  <si>
    <t>793486392</t>
  </si>
  <si>
    <t>P116 M45 2013</t>
  </si>
  <si>
    <t>0                      P  0116000M  45          2013</t>
  </si>
  <si>
    <t>Evolutionary linguistics / April McMahon and Robert McMahon.</t>
  </si>
  <si>
    <t>McMahon, April M. S.</t>
  </si>
  <si>
    <t>Cambridge [England] : Cambridge University Press, 2012.</t>
  </si>
  <si>
    <t>1100803411:eng</t>
  </si>
  <si>
    <t>785558879</t>
  </si>
  <si>
    <t>ocn785558879</t>
  </si>
  <si>
    <t>3103432617E</t>
  </si>
  <si>
    <t>9780521814508</t>
  </si>
  <si>
    <t>794914977</t>
  </si>
  <si>
    <t>P116 M455 2012</t>
  </si>
  <si>
    <t>0                      P  0116000M  455         2012</t>
  </si>
  <si>
    <t>How language began : gesture and speech in human evolution / David McNeill.</t>
  </si>
  <si>
    <t>McNeill, David, 1933- author.</t>
  </si>
  <si>
    <t>1118582098:eng</t>
  </si>
  <si>
    <t>811601299</t>
  </si>
  <si>
    <t>ocn811601299</t>
  </si>
  <si>
    <t>3103432332J</t>
  </si>
  <si>
    <t>9781107021211</t>
  </si>
  <si>
    <t>794930266</t>
  </si>
  <si>
    <t>P116 O5 1966</t>
  </si>
  <si>
    <t>0                      P  0116000O  5           1966</t>
  </si>
  <si>
    <t>On the origin of language: Jean-Jacques Rousseau, Essay on the origin of languages Johann Gottfried Herder, Essay on the origin of language. / translated, with afterwords, by John H. Moran and Alexander Gode. Introd. by Alexander Gode.</t>
  </si>
  <si>
    <t>Moran, John H.</t>
  </si>
  <si>
    <t>New York F. Ungar Pub. Co. [©1966]</t>
  </si>
  <si>
    <t>Milestones of thought</t>
  </si>
  <si>
    <t>5534252036:eng</t>
  </si>
  <si>
    <t>226993797</t>
  </si>
  <si>
    <t>ocn226993797</t>
  </si>
  <si>
    <t>31027557665</t>
  </si>
  <si>
    <t>794346386</t>
  </si>
  <si>
    <t>P116 O74 2008</t>
  </si>
  <si>
    <t>0                      P  0116000O  74          2008</t>
  </si>
  <si>
    <t>Origin and evolution of languages : approaches, models, paradigms / edited by Bernard Laks [and others].</t>
  </si>
  <si>
    <t>London ; Oakville, CT : Equinox, 2008.</t>
  </si>
  <si>
    <t>2019-06-06</t>
  </si>
  <si>
    <t>1076843049:eng</t>
  </si>
  <si>
    <t>131064661</t>
  </si>
  <si>
    <t>ocn131064661</t>
  </si>
  <si>
    <t>31030583309</t>
  </si>
  <si>
    <t>9781845532048</t>
  </si>
  <si>
    <t>794231683</t>
  </si>
  <si>
    <t>P116 R687 1997</t>
  </si>
  <si>
    <t>0                      P  0116000R  687         1997</t>
  </si>
  <si>
    <t>Essai sur l'origine des langues : fac-similé du manuscrit de Neuchâtel / Jean-Jacques Rousseau ; introduction de Jean Starobinski et notice historique de Frédéric S. Eigeldinger.</t>
  </si>
  <si>
    <t>Rousseau, Jean-Jacques, 1712-1778.</t>
  </si>
  <si>
    <t>Paris : H. Champion, 1997.</t>
  </si>
  <si>
    <t>L'Age des lumières ; 2</t>
  </si>
  <si>
    <t>4916350788:fre</t>
  </si>
  <si>
    <t>38992374</t>
  </si>
  <si>
    <t>ocm38992374</t>
  </si>
  <si>
    <t>31027557703</t>
  </si>
  <si>
    <t>9782852038370</t>
  </si>
  <si>
    <t>793535134</t>
  </si>
  <si>
    <t>P116 S68</t>
  </si>
  <si>
    <t>0                      P  0116000S  68</t>
  </si>
  <si>
    <t>Inquiries into the origin of language : the fate of a question / James H. Stam.</t>
  </si>
  <si>
    <t>Stam, James H., 1937-</t>
  </si>
  <si>
    <t>New York : Harper &amp; Row, ©1976.</t>
  </si>
  <si>
    <t>2007-03-26</t>
  </si>
  <si>
    <t>2016-02-22</t>
  </si>
  <si>
    <t>227076786:eng</t>
  </si>
  <si>
    <t>1994147</t>
  </si>
  <si>
    <t>ocm01994147</t>
  </si>
  <si>
    <t>3102727942A</t>
  </si>
  <si>
    <t>9780060464035</t>
  </si>
  <si>
    <t>792025221</t>
  </si>
  <si>
    <t>31027557733</t>
  </si>
  <si>
    <t>792025222</t>
  </si>
  <si>
    <t>P116 T47 1995</t>
  </si>
  <si>
    <t>0                      P  0116000T  47          1995</t>
  </si>
  <si>
    <t>Music and the origins of language : theories from the French Enlightenment / Downing A. Thomas.</t>
  </si>
  <si>
    <t>Thomas, Downing A.</t>
  </si>
  <si>
    <t>Cambridge ; New York : Cambridge University Press, 1995.</t>
  </si>
  <si>
    <t>New perspectives in music history and criticism</t>
  </si>
  <si>
    <t>800025623:eng</t>
  </si>
  <si>
    <t>30892963</t>
  </si>
  <si>
    <t>ocm30892963</t>
  </si>
  <si>
    <t>31027557615</t>
  </si>
  <si>
    <t>9780521473071</t>
  </si>
  <si>
    <t>793347561</t>
  </si>
  <si>
    <t>P116 T66 2008</t>
  </si>
  <si>
    <t>0                      P  0116000T  66          2008</t>
  </si>
  <si>
    <t>Origins of human communication / Michael Tomasello.</t>
  </si>
  <si>
    <t>Tomasello, Michael.</t>
  </si>
  <si>
    <t>The Jean Nicod lectures ; 2008</t>
  </si>
  <si>
    <t>117148869:eng</t>
  </si>
  <si>
    <t>182779723</t>
  </si>
  <si>
    <t>ocn182779723</t>
  </si>
  <si>
    <t>3102973765S</t>
  </si>
  <si>
    <t>9780262201773</t>
  </si>
  <si>
    <t>794285567</t>
  </si>
  <si>
    <t>P116 Z95 2018</t>
  </si>
  <si>
    <t>0                      P  0116000Z  95          2018</t>
  </si>
  <si>
    <t>Language origins : from mythology to science / Przemysław Żywiczyński.</t>
  </si>
  <si>
    <t>Żywiczyński, Przemysław, author.</t>
  </si>
  <si>
    <t>Berlin : Peter Lang GmbH, [2018]</t>
  </si>
  <si>
    <t>Dis/continuities, 2193-4207 ; v. 18</t>
  </si>
  <si>
    <t>4988989900:eng</t>
  </si>
  <si>
    <t>1032649622</t>
  </si>
  <si>
    <t>on1032649622</t>
  </si>
  <si>
    <t>31038098139</t>
  </si>
  <si>
    <t>9783631756034</t>
  </si>
  <si>
    <t>795056602</t>
  </si>
  <si>
    <t>P117 C2713 2018</t>
  </si>
  <si>
    <t>0                      P  0117000C  2713        2018</t>
  </si>
  <si>
    <t>Dictionary of gestures : expressive comportments and movements in use around the world / François Caradec ; illustrated by Philippe Cousin ; translated by Chris Clarke.</t>
  </si>
  <si>
    <t>Caradec, François, author.</t>
  </si>
  <si>
    <t>Cambridge, Massachusetts : The MIT Press, [2018]</t>
  </si>
  <si>
    <t>4881006085:eng</t>
  </si>
  <si>
    <t>1048032737</t>
  </si>
  <si>
    <t>on1048032737</t>
  </si>
  <si>
    <t>3103808441P</t>
  </si>
  <si>
    <t>9780262038492</t>
  </si>
  <si>
    <t>795060804</t>
  </si>
  <si>
    <t>P117 C85 1992</t>
  </si>
  <si>
    <t>0                      P  0117000C  85          1992</t>
  </si>
  <si>
    <t>A cultural history of gesture / with an introduction by Sir Keith Thomas ; edited by Jan Bremmer and Herman Roodenburg.</t>
  </si>
  <si>
    <t>Ithaca, N.Y. : Cornell University Press, 1992.</t>
  </si>
  <si>
    <t>836892771:eng</t>
  </si>
  <si>
    <t>24374099</t>
  </si>
  <si>
    <t>ocm24374099</t>
  </si>
  <si>
    <t>31027557557</t>
  </si>
  <si>
    <t>9780801427442</t>
  </si>
  <si>
    <t>793196446</t>
  </si>
  <si>
    <t>P117 E46 2002</t>
  </si>
  <si>
    <t>0                      P  0117000E  46          2002</t>
  </si>
  <si>
    <t>Language, cognition, and the brain : insights from sign language research / Karen Emmorey.</t>
  </si>
  <si>
    <t>Emmorey, Karen.</t>
  </si>
  <si>
    <t>Mahwah, N.J. : Lawrence Erlbaum Associates, ©2002.</t>
  </si>
  <si>
    <t>797145250:eng</t>
  </si>
  <si>
    <t>46777544</t>
  </si>
  <si>
    <t>ocm46777544</t>
  </si>
  <si>
    <t>31027557547</t>
  </si>
  <si>
    <t>9780805833997</t>
  </si>
  <si>
    <t>793691140</t>
  </si>
  <si>
    <t>P117 F68 2011</t>
  </si>
  <si>
    <t>0                      P  0117000F  68          2011</t>
  </si>
  <si>
    <t>Formational units in sign languages / edited by Rachel Channon, Harry van der Hulst.</t>
  </si>
  <si>
    <t>Berlin ; Boston : De Gruyter Mouton ; Nijmegen, The Netherlands : Ishara Press, ©2011.</t>
  </si>
  <si>
    <t>Sign language typology ; 3</t>
  </si>
  <si>
    <t>2012-09-20</t>
  </si>
  <si>
    <t>998178267:eng</t>
  </si>
  <si>
    <t>747232715</t>
  </si>
  <si>
    <t>ocn747232715</t>
  </si>
  <si>
    <t>3103396087F</t>
  </si>
  <si>
    <t>9781614510673</t>
  </si>
  <si>
    <t>794887905</t>
  </si>
  <si>
    <t>P117 G4684 2007</t>
  </si>
  <si>
    <t>0                      P  0117000G  4684        2007</t>
  </si>
  <si>
    <t>Gestural communication in nonhuman and human primates / edited by Katja Liebal, Cornelia Müller, Simone Pika.</t>
  </si>
  <si>
    <t>Benjamins current topics, 1874-0081 ; v. 10</t>
  </si>
  <si>
    <t>766881498:eng</t>
  </si>
  <si>
    <t>136780021</t>
  </si>
  <si>
    <t>ocn136780021</t>
  </si>
  <si>
    <t>3102647513O</t>
  </si>
  <si>
    <t>9789027222404</t>
  </si>
  <si>
    <t>794232690</t>
  </si>
  <si>
    <t>P117 G4685 2007</t>
  </si>
  <si>
    <t>0                      P  0117000G  4685        2007</t>
  </si>
  <si>
    <t>Gesture and the dynamic dimension of language : essays in honor of David McNeill / edited by Susan D. Duncan, Justine Cassell, Elena T. Levy.</t>
  </si>
  <si>
    <t>Gesture studies ; v. 1</t>
  </si>
  <si>
    <t>796519044:eng</t>
  </si>
  <si>
    <t>122309070</t>
  </si>
  <si>
    <t>ocn122309070</t>
  </si>
  <si>
    <t>3102571533Z</t>
  </si>
  <si>
    <t>9789027228413</t>
  </si>
  <si>
    <t>794220067</t>
  </si>
  <si>
    <t>P117 G65 2003</t>
  </si>
  <si>
    <t>0                      P  0117000G  65          2003</t>
  </si>
  <si>
    <t>Hearing gesture : how our hands help us think / Susan Goldin-Meadow.</t>
  </si>
  <si>
    <t>Goldin-Meadow, Susan.</t>
  </si>
  <si>
    <t>Cambridge, Mass. : Belknap Press of Harvard University Press, ©2003.</t>
  </si>
  <si>
    <t>838757973:eng</t>
  </si>
  <si>
    <t>52134892</t>
  </si>
  <si>
    <t>ocm52134892</t>
  </si>
  <si>
    <t>3102755792$</t>
  </si>
  <si>
    <t>9780674010727</t>
  </si>
  <si>
    <t>793799314</t>
  </si>
  <si>
    <t>P117 K46 2004</t>
  </si>
  <si>
    <t>0                      P  0117000K  46          2004</t>
  </si>
  <si>
    <t>Gesture : visible action as utterance / Adam Kendon.</t>
  </si>
  <si>
    <t>Kendon, Adam.</t>
  </si>
  <si>
    <t>155086005:eng</t>
  </si>
  <si>
    <t>54988987</t>
  </si>
  <si>
    <t>ocm54988987</t>
  </si>
  <si>
    <t>3102711145Q</t>
  </si>
  <si>
    <t>9780521835251</t>
  </si>
  <si>
    <t>793872021</t>
  </si>
  <si>
    <t>P117 L363 2000</t>
  </si>
  <si>
    <t>0                      P  0117000L  363         2000</t>
  </si>
  <si>
    <t>Language and gesture / edited by David McNeill.</t>
  </si>
  <si>
    <t>Language, culture, and cognition ; 2</t>
  </si>
  <si>
    <t>896276393:eng</t>
  </si>
  <si>
    <t>41621675</t>
  </si>
  <si>
    <t>ocm41621675</t>
  </si>
  <si>
    <t>3102930641U</t>
  </si>
  <si>
    <t>9780521777612</t>
  </si>
  <si>
    <t>793595467</t>
  </si>
  <si>
    <t>P117 L364 1995</t>
  </si>
  <si>
    <t>0                      P  0117000L  364         1995</t>
  </si>
  <si>
    <t>Language, gesture, and space / edited by Karen Emmorey, Judy S. Reilly.</t>
  </si>
  <si>
    <t>Hillsdale, N.J. : Lawrence Erlbaum Associates, 1995.</t>
  </si>
  <si>
    <t>350135240:eng</t>
  </si>
  <si>
    <t>31434174</t>
  </si>
  <si>
    <t>ocm31434174</t>
  </si>
  <si>
    <t>31027557861</t>
  </si>
  <si>
    <t>9780805813784</t>
  </si>
  <si>
    <t>793361119</t>
  </si>
  <si>
    <t>P117 M356 2000</t>
  </si>
  <si>
    <t>0                      P  0117000M  356         2000</t>
  </si>
  <si>
    <t>Verb agreement as alignment in signed languages / Gaurav Mathur.</t>
  </si>
  <si>
    <t>Mathur, Gaurav, 1972-</t>
  </si>
  <si>
    <t>Cambridge, MA : MIT, Dept. of Linguistics, 2000.</t>
  </si>
  <si>
    <t>145209683:eng</t>
  </si>
  <si>
    <t>641917883</t>
  </si>
  <si>
    <t>ocn641917883</t>
  </si>
  <si>
    <t>3103485247K</t>
  </si>
  <si>
    <t>794827771</t>
  </si>
  <si>
    <t>P117 M359 2005</t>
  </si>
  <si>
    <t>0                      P  0117000M  359         2005</t>
  </si>
  <si>
    <t>Gesture and thought / David McNeill.</t>
  </si>
  <si>
    <t>Chicago : University of Chicago Press, ©2005.</t>
  </si>
  <si>
    <t>1308988:eng</t>
  </si>
  <si>
    <t>61217446</t>
  </si>
  <si>
    <t>ocm61217446</t>
  </si>
  <si>
    <t>31024923052</t>
  </si>
  <si>
    <t>9780226514628</t>
  </si>
  <si>
    <t>793948915</t>
  </si>
  <si>
    <t>P117 M36 1992</t>
  </si>
  <si>
    <t>0                      P  0117000M  36          1992</t>
  </si>
  <si>
    <t>Hand and mind : what gestures reveal about thought / David McNeill.</t>
  </si>
  <si>
    <t>Chicago : University of Chicago Press, 1992.</t>
  </si>
  <si>
    <t>26851066:eng</t>
  </si>
  <si>
    <t>24379126</t>
  </si>
  <si>
    <t>ocm24379126</t>
  </si>
  <si>
    <t>3101187826R</t>
  </si>
  <si>
    <t>9780226561325</t>
  </si>
  <si>
    <t>793197003</t>
  </si>
  <si>
    <t>P117 M54 2000</t>
  </si>
  <si>
    <t>0                      P  0117000M  54          2000</t>
  </si>
  <si>
    <t>La phonologie dynamique du mouvement en langue des signes québécoise / Christopher Ray Miller.</t>
  </si>
  <si>
    <t>Miller, Christopher Ray, 1958-</t>
  </si>
  <si>
    <t>[Saint-Laurent, Québec] : Fides, ©2000.</t>
  </si>
  <si>
    <t>Champs linguistiques</t>
  </si>
  <si>
    <t>144543425:fre</t>
  </si>
  <si>
    <t>43278954</t>
  </si>
  <si>
    <t>ocm43278954</t>
  </si>
  <si>
    <t>31027557871</t>
  </si>
  <si>
    <t>9782762121698</t>
  </si>
  <si>
    <t>793622898</t>
  </si>
  <si>
    <t>P117 M85 2014</t>
  </si>
  <si>
    <t>0                      P  0117000M  85          2014</t>
  </si>
  <si>
    <t>Multilingual aspects of signed language communication and disorder / edited by David Quinto-Pozos.</t>
  </si>
  <si>
    <t>Communication disorders across languages</t>
  </si>
  <si>
    <t>2016-09-03</t>
  </si>
  <si>
    <t>1380100080:eng</t>
  </si>
  <si>
    <t>862092449</t>
  </si>
  <si>
    <t>ocn862092449</t>
  </si>
  <si>
    <t>3103530195F</t>
  </si>
  <si>
    <t>9781783091300</t>
  </si>
  <si>
    <t>794959998</t>
  </si>
  <si>
    <t>P117 S538 2008</t>
  </si>
  <si>
    <t>0                      P  0117000S  538         2008</t>
  </si>
  <si>
    <t>Sign bilingualism : language development, interaction, and maintenance in sign language contact situations / edited by Carolina Plaza-Pust and Esperanza Morales-López.</t>
  </si>
  <si>
    <t>Philadelphia : John Benjamins, 2008.</t>
  </si>
  <si>
    <t>Studies in bilingualism, 0928-1533 ; v. 38</t>
  </si>
  <si>
    <t>796520725:eng</t>
  </si>
  <si>
    <t>231031832</t>
  </si>
  <si>
    <t>ocn231031832</t>
  </si>
  <si>
    <t>3102978292H</t>
  </si>
  <si>
    <t>9789027241498</t>
  </si>
  <si>
    <t>794357223</t>
  </si>
  <si>
    <t>P117 S539 2010</t>
  </si>
  <si>
    <t>0                      P  0117000S  539         2010</t>
  </si>
  <si>
    <t>Sign languages / edited by Diane Brentari.</t>
  </si>
  <si>
    <t>Cambridge : Cambridge University Press, ©2010.</t>
  </si>
  <si>
    <t>Cambridge language surveys</t>
  </si>
  <si>
    <t>864049353:eng</t>
  </si>
  <si>
    <t>428024472</t>
  </si>
  <si>
    <t>ocn428024472</t>
  </si>
  <si>
    <t>3103227796T</t>
  </si>
  <si>
    <t>9780521883702</t>
  </si>
  <si>
    <t>794754581</t>
  </si>
  <si>
    <t>P117.5 C2 S25 2015</t>
  </si>
  <si>
    <t>0                      P  0117500C  2                  S  25          2015</t>
  </si>
  <si>
    <t>Looking beyond words : gestures in the pedagogy of second languages in multilingual Canada / by Giuliana Salvato.</t>
  </si>
  <si>
    <t>Salvato, Giuliana, author.</t>
  </si>
  <si>
    <t>2748383984:eng</t>
  </si>
  <si>
    <t>922462423</t>
  </si>
  <si>
    <t>ocn922462423</t>
  </si>
  <si>
    <t>3103608398E</t>
  </si>
  <si>
    <t>9781443880121</t>
  </si>
  <si>
    <t>795003881</t>
  </si>
  <si>
    <t>P117.5 I8 M86 2005</t>
  </si>
  <si>
    <t>0                      P  0117500I  8                  M  86          2005</t>
  </si>
  <si>
    <t>Speak Italian : the fine art of the gesture : a supplement to the Italian dictionary / by Bruno Munari.</t>
  </si>
  <si>
    <t>Munari, Bruno.</t>
  </si>
  <si>
    <t>San Francisco : Chronicle Books, 2005.</t>
  </si>
  <si>
    <t>2016-02-28</t>
  </si>
  <si>
    <t>1864035440:eng</t>
  </si>
  <si>
    <t>60035510</t>
  </si>
  <si>
    <t>ocm60035510</t>
  </si>
  <si>
    <t>3103567279A</t>
  </si>
  <si>
    <t>9780811847742</t>
  </si>
  <si>
    <t>793933324</t>
  </si>
  <si>
    <t>P117.7 T355 2010</t>
  </si>
  <si>
    <t>0                      P  0117700T  355         2010</t>
  </si>
  <si>
    <t>Michelangelo's finger : an exploration of everyday transcendence / Raymond Tallis.</t>
  </si>
  <si>
    <t>Tallis, Raymond.</t>
  </si>
  <si>
    <t>New Haven [Conn.] : Yale University Press, 2010.</t>
  </si>
  <si>
    <t>2015-07-21</t>
  </si>
  <si>
    <t>794289782:eng</t>
  </si>
  <si>
    <t>601346502</t>
  </si>
  <si>
    <t>ocn601346502</t>
  </si>
  <si>
    <t>3103226386A</t>
  </si>
  <si>
    <t>9780300166484</t>
  </si>
  <si>
    <t>794815461</t>
  </si>
  <si>
    <t>P118 A1424 2000</t>
  </si>
  <si>
    <t>0                      P  0118000A  1424        2000</t>
  </si>
  <si>
    <t>The acquisition of lexical and grammatical aspect / Ping Li and Yasuhiro Shirai.</t>
  </si>
  <si>
    <t>Li, Ping, 1962-</t>
  </si>
  <si>
    <t>Berlin ; New York : Mouton de Gruyter, 2000.</t>
  </si>
  <si>
    <t>Studies on language acquisition ; 16</t>
  </si>
  <si>
    <t>20562364:eng</t>
  </si>
  <si>
    <t>44883537</t>
  </si>
  <si>
    <t>ocm44883537</t>
  </si>
  <si>
    <t>31027558406</t>
  </si>
  <si>
    <t>9783110166156</t>
  </si>
  <si>
    <t>793659790</t>
  </si>
  <si>
    <t>31027558368</t>
  </si>
  <si>
    <t>793659789</t>
  </si>
  <si>
    <t>P118 A144 1992</t>
  </si>
  <si>
    <t>0                      P  0118000A  144         1992</t>
  </si>
  <si>
    <t>The Acquisition of verb placement : functional categories and V2 phenomena in language acquisition / edited by Jürgen M. Meisel.</t>
  </si>
  <si>
    <t>Dordrecht ; Boston : Kluwer Academic Publishers, ©1992.</t>
  </si>
  <si>
    <t>Studies in theoretical psycholinguistics ; v. 16</t>
  </si>
  <si>
    <t>2017-08-01</t>
  </si>
  <si>
    <t>836919109:eng</t>
  </si>
  <si>
    <t>26160295</t>
  </si>
  <si>
    <t>ocm26160295</t>
  </si>
  <si>
    <t>31027558308</t>
  </si>
  <si>
    <t>9780792319061</t>
  </si>
  <si>
    <t>793238912</t>
  </si>
  <si>
    <t>P118 A45 2011</t>
  </si>
  <si>
    <t>0                      P  0118000A  45          2011</t>
  </si>
  <si>
    <t>Computational modeling of human language acquisition / Afra Alishahi.</t>
  </si>
  <si>
    <t>Alishahi, Afra.</t>
  </si>
  <si>
    <t>[San Rafael, Calif.] : Morgan &amp; Claypool, 2011.</t>
  </si>
  <si>
    <t>Synthesis lectures on human language technologies ; #11</t>
  </si>
  <si>
    <t>2016-05-15</t>
  </si>
  <si>
    <t>473188666:eng</t>
  </si>
  <si>
    <t>603068913</t>
  </si>
  <si>
    <t>ocn603068913</t>
  </si>
  <si>
    <t>31033236877</t>
  </si>
  <si>
    <t>9781608453399</t>
  </si>
  <si>
    <t>794815638</t>
  </si>
  <si>
    <t>P118 A47 2011</t>
  </si>
  <si>
    <t>0                      P  0118000A  47          2011</t>
  </si>
  <si>
    <t>Child language acquisition : contrasting theoretical approaches / Ben Ambridge, Elena V.M. Lieven.</t>
  </si>
  <si>
    <t>Ambridge, Ben, 1977-</t>
  </si>
  <si>
    <t>815040745:eng</t>
  </si>
  <si>
    <t>685120571</t>
  </si>
  <si>
    <t>ocn685120571</t>
  </si>
  <si>
    <t>3103234557D</t>
  </si>
  <si>
    <t>9780521768047</t>
  </si>
  <si>
    <t>794853602</t>
  </si>
  <si>
    <t>P118 A74 2011</t>
  </si>
  <si>
    <t>0                      P  0118000A  74          2011</t>
  </si>
  <si>
    <t>Language function : an introduction to pragmatic assessment and intervention for higher order thinking and better literacy / Ellyn Lucas Arwood.</t>
  </si>
  <si>
    <t>Arwood, Ellyn Lucas.</t>
  </si>
  <si>
    <t>London ; Philadelphia : Jessica Kingsley Publishers, 2011.</t>
  </si>
  <si>
    <t>865314211:eng</t>
  </si>
  <si>
    <t>635494794</t>
  </si>
  <si>
    <t>ocn635494794</t>
  </si>
  <si>
    <t>3103236203O</t>
  </si>
  <si>
    <t>9781849058001</t>
  </si>
  <si>
    <t>794825726</t>
  </si>
  <si>
    <t>P118 A95 2003</t>
  </si>
  <si>
    <t>0                      P  0118000A  95          2003</t>
  </si>
  <si>
    <t>Parameter setting in language acquisition / Dalila Ayoun.</t>
  </si>
  <si>
    <t>Ayoun, Dalila, 1963-</t>
  </si>
  <si>
    <t>London ; New York : Continuum, 2003.</t>
  </si>
  <si>
    <t>2821747:eng</t>
  </si>
  <si>
    <t>49775414</t>
  </si>
  <si>
    <t>ocm49775414</t>
  </si>
  <si>
    <t>3102755816C</t>
  </si>
  <si>
    <t>9780826461889</t>
  </si>
  <si>
    <t>793747596</t>
  </si>
  <si>
    <t>P118 B424 2000</t>
  </si>
  <si>
    <t>0                      P  0118000B  424         2000</t>
  </si>
  <si>
    <t>Becoming a word learner : a debate on lexical acquisition / Roberta Michnick Golinkoff [and others].</t>
  </si>
  <si>
    <t>Oxford ; New York : Oxford University Press, 2000.</t>
  </si>
  <si>
    <t>Counterpoints</t>
  </si>
  <si>
    <t>1046123159:eng</t>
  </si>
  <si>
    <t>42397447</t>
  </si>
  <si>
    <t>ocm42397447</t>
  </si>
  <si>
    <t>3102799637F</t>
  </si>
  <si>
    <t>9780195130317</t>
  </si>
  <si>
    <t>793606586</t>
  </si>
  <si>
    <t>P118 B44 2011</t>
  </si>
  <si>
    <t>0                      P  0118000B  44          2011</t>
  </si>
  <si>
    <t>Becoming human : from pointing gestures to syntax / Teresa Bejarano.</t>
  </si>
  <si>
    <t>Bejarano, Teresa.</t>
  </si>
  <si>
    <t>Amsterdam ; Philadelphia : John Benjamins, ©2011.</t>
  </si>
  <si>
    <t>Advances in consciousness research ; v. 81</t>
  </si>
  <si>
    <t>809327746:eng</t>
  </si>
  <si>
    <t>706804055</t>
  </si>
  <si>
    <t>ocn706804055</t>
  </si>
  <si>
    <t>3103363115G</t>
  </si>
  <si>
    <t>9789027252173</t>
  </si>
  <si>
    <t>794867208</t>
  </si>
  <si>
    <t>P118 B54 1991</t>
  </si>
  <si>
    <t>0                      P  0118000B  54          1991</t>
  </si>
  <si>
    <t>Biological and behavioral determinants of language development / edited by Norman A. Krasnegor [and others].</t>
  </si>
  <si>
    <t>Hillsdale, N.J. : L. Erlbaum, 1991.</t>
  </si>
  <si>
    <t>25782058:eng</t>
  </si>
  <si>
    <t>23649891</t>
  </si>
  <si>
    <t>ocm23649891</t>
  </si>
  <si>
    <t>31027558338</t>
  </si>
  <si>
    <t>9780805806359</t>
  </si>
  <si>
    <t>793178538</t>
  </si>
  <si>
    <t>P118 B56 2013</t>
  </si>
  <si>
    <t>0                      P  0118000B  56          2013</t>
  </si>
  <si>
    <t>Birdsong, speech, and language : exploring the evolution of mind and brain / edited by Johan J. Bolhuis and Martin Everaert ; foreword by Robert C. Berwick and Noam Chomsky.</t>
  </si>
  <si>
    <t>Cambridge, Mass. : MIT Press, 2013.</t>
  </si>
  <si>
    <t>1356957909:eng</t>
  </si>
  <si>
    <t>800447819</t>
  </si>
  <si>
    <t>ocn800447819</t>
  </si>
  <si>
    <t>3103454468T</t>
  </si>
  <si>
    <t>9780262018609</t>
  </si>
  <si>
    <t>794924573</t>
  </si>
  <si>
    <t>P118 B583 2007</t>
  </si>
  <si>
    <t>0                      P  0118000B  583         2007</t>
  </si>
  <si>
    <t>Blackwell handbook of language development / edited by Erika Hoff and Marilyn Shatz.</t>
  </si>
  <si>
    <t>Malden, MA ; Oxford : Blackwell Pub., 2007.</t>
  </si>
  <si>
    <t>Blackwell handbooks of developmental psychology</t>
  </si>
  <si>
    <t>968540192:eng</t>
  </si>
  <si>
    <t>71275427</t>
  </si>
  <si>
    <t>ocm71275427</t>
  </si>
  <si>
    <t>3102568289B</t>
  </si>
  <si>
    <t>9781405132534</t>
  </si>
  <si>
    <t>794164663</t>
  </si>
  <si>
    <t>P118 B59 1991</t>
  </si>
  <si>
    <t>0                      P  0118000B  59          1991</t>
  </si>
  <si>
    <t>Language development from two to three / Lois Bloom with Joanne Bitetti Capatides [and others].</t>
  </si>
  <si>
    <t>Bloom, Lois.</t>
  </si>
  <si>
    <t>Cambridge ; New York : Cambridge University Press, 1991.</t>
  </si>
  <si>
    <t>343108:eng</t>
  </si>
  <si>
    <t>22275184</t>
  </si>
  <si>
    <t>ocm22275184</t>
  </si>
  <si>
    <t>3102755823A</t>
  </si>
  <si>
    <t>9780521401784</t>
  </si>
  <si>
    <t>793139095</t>
  </si>
  <si>
    <t>P118 B623 2000</t>
  </si>
  <si>
    <t>0                      P  0118000B  623         2000</t>
  </si>
  <si>
    <t>How children learn the meanings of words / Paul Bloom.</t>
  </si>
  <si>
    <t>Bloom, Paul, 1963-</t>
  </si>
  <si>
    <t>Cambridge, MA : MIT Press, ©2000.</t>
  </si>
  <si>
    <t>Learning, development, and conceptual change</t>
  </si>
  <si>
    <t>993460:eng</t>
  </si>
  <si>
    <t>41272996</t>
  </si>
  <si>
    <t>ocm41272996</t>
  </si>
  <si>
    <t>3102799632F</t>
  </si>
  <si>
    <t>9780262024693</t>
  </si>
  <si>
    <t>793587917</t>
  </si>
  <si>
    <t>P118 B65413 1999</t>
  </si>
  <si>
    <t>0                      P  0118000B  65413       1999</t>
  </si>
  <si>
    <t>How language comes to children : from birth to two years / Bénédicte de Boysson-Bardies ; translated by M.B. DeBevoise.</t>
  </si>
  <si>
    <t>Boysson-Bardies, Bénédicte de.</t>
  </si>
  <si>
    <t>2019-01-05</t>
  </si>
  <si>
    <t>2495853:eng</t>
  </si>
  <si>
    <t>38853989</t>
  </si>
  <si>
    <t>ocm38853989</t>
  </si>
  <si>
    <t>3102796589K</t>
  </si>
  <si>
    <t>9780262024532</t>
  </si>
  <si>
    <t>793531398</t>
  </si>
  <si>
    <t>P118 B687 2012</t>
  </si>
  <si>
    <t>0                      P  0118000B  687         2012</t>
  </si>
  <si>
    <t>Language development / Patricia Brooks, Vera Kempe ; developmental psychology series editor Martyn Barrett.</t>
  </si>
  <si>
    <t>Brooks, Patricia (Patricia J.)</t>
  </si>
  <si>
    <t>Chichester, West Sussex : Wiley-Blackwell, 2012.</t>
  </si>
  <si>
    <t>BPS textbooks in psychology</t>
  </si>
  <si>
    <t>2012-10-18</t>
  </si>
  <si>
    <t>3861036054:eng</t>
  </si>
  <si>
    <t>726822472</t>
  </si>
  <si>
    <t>ocn726822472</t>
  </si>
  <si>
    <t>3103432130P</t>
  </si>
  <si>
    <t>9781444331462</t>
  </si>
  <si>
    <t>794877493</t>
  </si>
  <si>
    <t>P118 C36 2009</t>
  </si>
  <si>
    <t>0                      P  0118000C  36          2009</t>
  </si>
  <si>
    <t>The Cambridge handbook of child language / edited by Edith L. Bavin.</t>
  </si>
  <si>
    <t>155054304:eng</t>
  </si>
  <si>
    <t>262894406</t>
  </si>
  <si>
    <t>ocn262894406</t>
  </si>
  <si>
    <t>31028571797</t>
  </si>
  <si>
    <t>9780521883375</t>
  </si>
  <si>
    <t>794402631</t>
  </si>
  <si>
    <t>P118 C384 2000</t>
  </si>
  <si>
    <t>0                      P  0118000C  384         2000</t>
  </si>
  <si>
    <t>Children's language : consensus and controversy / Ray Cattell.</t>
  </si>
  <si>
    <t>Cattell, N. R.</t>
  </si>
  <si>
    <t>2012-03-13</t>
  </si>
  <si>
    <t>2015-04-17</t>
  </si>
  <si>
    <t>16786974:eng</t>
  </si>
  <si>
    <t>41674433</t>
  </si>
  <si>
    <t>ocm41674433</t>
  </si>
  <si>
    <t>31027558378</t>
  </si>
  <si>
    <t>9780304701285</t>
  </si>
  <si>
    <t>793596787</t>
  </si>
  <si>
    <t>3102253065R</t>
  </si>
  <si>
    <t>793596788</t>
  </si>
  <si>
    <t>P118 C46</t>
  </si>
  <si>
    <t>0                      P  0118000C  46</t>
  </si>
  <si>
    <t>Child phonology / edited by Grace H. Yeni-Komshian, James F. Kavanagh, Charles A. Ferguson.</t>
  </si>
  <si>
    <t>New York : Academic Press, 1980.</t>
  </si>
  <si>
    <t>Perspectives in neurolinguistics, neuropsychology, and psycholinguistics</t>
  </si>
  <si>
    <t>9622319782:eng</t>
  </si>
  <si>
    <t>6708325</t>
  </si>
  <si>
    <t>ocm06708325</t>
  </si>
  <si>
    <t>31027558328</t>
  </si>
  <si>
    <t>9780127706504</t>
  </si>
  <si>
    <t>792517993</t>
  </si>
  <si>
    <t>3102796573M</t>
  </si>
  <si>
    <t>792517994</t>
  </si>
  <si>
    <t>P118 C523 2014</t>
  </si>
  <si>
    <t>0                      P  0118000C  523         2014</t>
  </si>
  <si>
    <t>Not like a native speaker : on languaging as a postcolonial experience / Rey Chow.</t>
  </si>
  <si>
    <t>Chow, Rey.</t>
  </si>
  <si>
    <t>New York : Columbia University Press, [2014]</t>
  </si>
  <si>
    <t>2019-04-18</t>
  </si>
  <si>
    <t>1842515189:eng</t>
  </si>
  <si>
    <t>873237750</t>
  </si>
  <si>
    <t>ocn873237750</t>
  </si>
  <si>
    <t>31035816938</t>
  </si>
  <si>
    <t>9780231151443</t>
  </si>
  <si>
    <t>794968418</t>
  </si>
  <si>
    <t>P118 C544 2011</t>
  </si>
  <si>
    <t>0                      P  0118000C  544         2011</t>
  </si>
  <si>
    <t>Linguistic nativism and the poverty of the stimulus / Alexander Clark and Shalom Lappin.</t>
  </si>
  <si>
    <t>Clark, Alexander (Alexander Simon)</t>
  </si>
  <si>
    <t>504878216:eng</t>
  </si>
  <si>
    <t>643763545</t>
  </si>
  <si>
    <t>ocn643763545</t>
  </si>
  <si>
    <t>31033631598</t>
  </si>
  <si>
    <t>9781405187848</t>
  </si>
  <si>
    <t>794829048</t>
  </si>
  <si>
    <t>P118 C547 2003</t>
  </si>
  <si>
    <t>0                      P  0118000C  547         2003</t>
  </si>
  <si>
    <t>First language acquisition / Eve V. Clark.</t>
  </si>
  <si>
    <t>Clark, Eve V.</t>
  </si>
  <si>
    <t>3740840870:eng</t>
  </si>
  <si>
    <t>49875157</t>
  </si>
  <si>
    <t>ocm49875157</t>
  </si>
  <si>
    <t>3102755812C</t>
  </si>
  <si>
    <t>9780521620031</t>
  </si>
  <si>
    <t>793749736</t>
  </si>
  <si>
    <t>P118 C547 2009</t>
  </si>
  <si>
    <t>0                      P  0118000C  547         2009</t>
  </si>
  <si>
    <t>Cambridge ; New York : Cambridge University Press, ©2009.</t>
  </si>
  <si>
    <t>2017-08-02</t>
  </si>
  <si>
    <t>263294823</t>
  </si>
  <si>
    <t>ocn263294823</t>
  </si>
  <si>
    <t>3102856230G</t>
  </si>
  <si>
    <t>9780521514132</t>
  </si>
  <si>
    <t>794403488</t>
  </si>
  <si>
    <t>P118 C548 1993</t>
  </si>
  <si>
    <t>0                      P  0118000C  548         1993</t>
  </si>
  <si>
    <t>The lexicon in acquisition / Eve V. Clark.</t>
  </si>
  <si>
    <t>Cambridge [England] ; New York, NY, USA : Cambridge University Press, 1993.</t>
  </si>
  <si>
    <t>Cambridge studies in linguistics ; 65</t>
  </si>
  <si>
    <t>343161:eng</t>
  </si>
  <si>
    <t>27034314</t>
  </si>
  <si>
    <t>ocm27034314</t>
  </si>
  <si>
    <t>3101447815Z</t>
  </si>
  <si>
    <t>9780521440509</t>
  </si>
  <si>
    <t>793257352</t>
  </si>
  <si>
    <t>2012-09-24</t>
  </si>
  <si>
    <t>3102755807E</t>
  </si>
  <si>
    <t>793257351</t>
  </si>
  <si>
    <t>P118 C63 2012</t>
  </si>
  <si>
    <t>0                      P  0118000C  63          2012</t>
  </si>
  <si>
    <t>Comparative perspectives on language acquisition : a tribute to Clive Perdue / edited by Marzena Watorek, Sandra Benazzo and Maya Hickmann.</t>
  </si>
  <si>
    <t>Second language acquisition ; 61</t>
  </si>
  <si>
    <t>1072451738:eng</t>
  </si>
  <si>
    <t>748674653</t>
  </si>
  <si>
    <t>ocn748674653</t>
  </si>
  <si>
    <t>3103409689O</t>
  </si>
  <si>
    <t>9781847696038</t>
  </si>
  <si>
    <t>794889454</t>
  </si>
  <si>
    <t>P118 C6727 2004</t>
  </si>
  <si>
    <t>0                      P  0118000C  6727        2004</t>
  </si>
  <si>
    <t>Constraints in phonological acquisition / edited by René Kager, Joe Pater, and Wim Zonneveld.</t>
  </si>
  <si>
    <t>1053974520:eng</t>
  </si>
  <si>
    <t>51566503</t>
  </si>
  <si>
    <t>ocm51566503</t>
  </si>
  <si>
    <t>31027672637</t>
  </si>
  <si>
    <t>9780521829632</t>
  </si>
  <si>
    <t>793786997</t>
  </si>
  <si>
    <t>P118 C6738 2008</t>
  </si>
  <si>
    <t>0                      P  0118000C  6738        2008</t>
  </si>
  <si>
    <t>Corpora in language acquisition research : history, methods, perspectives / edited by Heike Behrens.</t>
  </si>
  <si>
    <t>Amsterdam ; Philadelphia : John Benjamins Pub. Co, ©2008.</t>
  </si>
  <si>
    <t>Trends in language acquisition research, 1569-0644 ; v. 6</t>
  </si>
  <si>
    <t>2017-01-09</t>
  </si>
  <si>
    <t>871835937:eng</t>
  </si>
  <si>
    <t>191207574</t>
  </si>
  <si>
    <t>ocn191207574</t>
  </si>
  <si>
    <t>3102883930T</t>
  </si>
  <si>
    <t>9789027234766</t>
  </si>
  <si>
    <t>794297289</t>
  </si>
  <si>
    <t>P118 C685 1991</t>
  </si>
  <si>
    <t>0                      P  0118000C  685         1991</t>
  </si>
  <si>
    <t>Language and thought in normal and handicapped children / Richard F. Cromer.</t>
  </si>
  <si>
    <t>Cromer, Richard F.</t>
  </si>
  <si>
    <t>Oxford, UK ; Cambridge, Mass., USA : B. Blackwell, 1991.</t>
  </si>
  <si>
    <t>Cognitive development</t>
  </si>
  <si>
    <t>23951774:eng</t>
  </si>
  <si>
    <t>22306807</t>
  </si>
  <si>
    <t>ocm22306807</t>
  </si>
  <si>
    <t>31027558710</t>
  </si>
  <si>
    <t>9780631145264</t>
  </si>
  <si>
    <t>793140167</t>
  </si>
  <si>
    <t>P118 C6894 2001</t>
  </si>
  <si>
    <t>0                      P  0118000C  6894        2001</t>
  </si>
  <si>
    <t>Cross-linguistic influence in third language aquisition : psycholinguistic perspectives / [edited by] Jasone Cenoz, Britta Hufeisen and Ulrike Jessner.</t>
  </si>
  <si>
    <t>Clevedon, UK ; Buffalo : Multilingual Matters, ©2001.</t>
  </si>
  <si>
    <t>Bilingual education and bilingualism ; 31</t>
  </si>
  <si>
    <t>2019-09-20</t>
  </si>
  <si>
    <t>793890464:eng</t>
  </si>
  <si>
    <t>46777550</t>
  </si>
  <si>
    <t>ocm46777550</t>
  </si>
  <si>
    <t>31027558662</t>
  </si>
  <si>
    <t>9781853595493</t>
  </si>
  <si>
    <t>793691142</t>
  </si>
  <si>
    <t>P118 C69 1985</t>
  </si>
  <si>
    <t>0                      P  0118000C  69          1985</t>
  </si>
  <si>
    <t>The Crosslinguistic study of language acquisition / edited by Dan Isaac Slobin.</t>
  </si>
  <si>
    <t>Hillsdale, N.J. : L. Erlbaum Associates, ©1985-&lt;1997&gt;</t>
  </si>
  <si>
    <t>2837434055:eng</t>
  </si>
  <si>
    <t>12809986</t>
  </si>
  <si>
    <t>ocm12809986</t>
  </si>
  <si>
    <t>3101872210B</t>
  </si>
  <si>
    <t>9780898593679</t>
  </si>
  <si>
    <t>792829207</t>
  </si>
  <si>
    <t>2003-10-03</t>
  </si>
  <si>
    <t>3101204461N</t>
  </si>
  <si>
    <t>792829209</t>
  </si>
  <si>
    <t>v. 2</t>
  </si>
  <si>
    <t>31023050681</t>
  </si>
  <si>
    <t>792829210</t>
  </si>
  <si>
    <t>3103006842P</t>
  </si>
  <si>
    <t>792829211</t>
  </si>
  <si>
    <t>3101872235W</t>
  </si>
  <si>
    <t>792829208</t>
  </si>
  <si>
    <t>P118 C74 2010</t>
  </si>
  <si>
    <t>0                      P  0118000C  74          2010</t>
  </si>
  <si>
    <t>A little book of language / David Crystal.</t>
  </si>
  <si>
    <t>Crystal, David, 1941- author.</t>
  </si>
  <si>
    <t>New Haven : Yale University Press, [2010]</t>
  </si>
  <si>
    <t>2014-10-15</t>
  </si>
  <si>
    <t>324058220:eng</t>
  </si>
  <si>
    <t>438054382</t>
  </si>
  <si>
    <t>ocn438054382</t>
  </si>
  <si>
    <t>3103132656O</t>
  </si>
  <si>
    <t>9780300155334</t>
  </si>
  <si>
    <t>794785988</t>
  </si>
  <si>
    <t>P118 C8 1976</t>
  </si>
  <si>
    <t>0                      P  0118000C  8           1976</t>
  </si>
  <si>
    <t>Genie : a psycholinguistic study of a modern-day "wild child" / Susan Curtiss.</t>
  </si>
  <si>
    <t>Curtiss, Susan.</t>
  </si>
  <si>
    <t>New York : Academic Press, 1977.</t>
  </si>
  <si>
    <t>Perspectives in neurolinguistics and psycholinguistics</t>
  </si>
  <si>
    <t>889386991:eng</t>
  </si>
  <si>
    <t>3073433</t>
  </si>
  <si>
    <t>ocm03073433</t>
  </si>
  <si>
    <t>31027558564</t>
  </si>
  <si>
    <t>9780121963507</t>
  </si>
  <si>
    <t>792213934</t>
  </si>
  <si>
    <t>3000982495B</t>
  </si>
  <si>
    <t>792213933</t>
  </si>
  <si>
    <t>P118 D373 2009</t>
  </si>
  <si>
    <t>0                      P  0118000D  373         2009</t>
  </si>
  <si>
    <t>Bilingual first language acquisition / Annick De Houwer.</t>
  </si>
  <si>
    <t>Bristol, UK ; Buffalo, NY : Multilingual Matters, ©2009.</t>
  </si>
  <si>
    <t>158395427:eng</t>
  </si>
  <si>
    <t>271774538</t>
  </si>
  <si>
    <t>ocn271774538</t>
  </si>
  <si>
    <t>3103447537P</t>
  </si>
  <si>
    <t>9781847691491</t>
  </si>
  <si>
    <t>794414928</t>
  </si>
  <si>
    <t>P118 D4</t>
  </si>
  <si>
    <t>0                      P  0118000D  4</t>
  </si>
  <si>
    <t>Language acquisition / Jill G. de Villiers, Peter A. de Villiers.</t>
  </si>
  <si>
    <t>De Villiers, Jill G., 1948-</t>
  </si>
  <si>
    <t>Cambridge, Mass. : Harvard University Press, [1978]</t>
  </si>
  <si>
    <t>521593:eng</t>
  </si>
  <si>
    <t>3168351</t>
  </si>
  <si>
    <t>ocm03168351</t>
  </si>
  <si>
    <t>31027558554</t>
  </si>
  <si>
    <t>9780674509313</t>
  </si>
  <si>
    <t>792225068</t>
  </si>
  <si>
    <t>30009826775</t>
  </si>
  <si>
    <t>792225065</t>
  </si>
  <si>
    <t>31027558602</t>
  </si>
  <si>
    <t>792225066</t>
  </si>
  <si>
    <t>3101730735G</t>
  </si>
  <si>
    <t>792225067</t>
  </si>
  <si>
    <t>2007-07-31</t>
  </si>
  <si>
    <t>31027558504</t>
  </si>
  <si>
    <t>792225069</t>
  </si>
  <si>
    <t>P118 D439 2000</t>
  </si>
  <si>
    <t>0                      P  0118000D  439         2000</t>
  </si>
  <si>
    <t>Bilingual acquisition : theoretical implications of a case study / Margaret Deuchar and Suzanne Quay.</t>
  </si>
  <si>
    <t>Deuchar, M. (Margaret)</t>
  </si>
  <si>
    <t>New York : Oxford University Press, 2000.</t>
  </si>
  <si>
    <t>988731:eng</t>
  </si>
  <si>
    <t>42911990</t>
  </si>
  <si>
    <t>ocm42911990</t>
  </si>
  <si>
    <t>31027558496</t>
  </si>
  <si>
    <t>9780198236856</t>
  </si>
  <si>
    <t>793617101</t>
  </si>
  <si>
    <t>P118 D44 2013</t>
  </si>
  <si>
    <t>0                      P  0118000D  44          2013</t>
  </si>
  <si>
    <t>The development of language / [edited by] Jean Berko Gleason, Nan Bernstein Ratner.</t>
  </si>
  <si>
    <t>Boston : Pearson Education, ©2012.</t>
  </si>
  <si>
    <t>8th ed.</t>
  </si>
  <si>
    <t>The Allyn &amp; Bacon communication sciences and disorders series</t>
  </si>
  <si>
    <t>4918036251:eng</t>
  </si>
  <si>
    <t>776498038</t>
  </si>
  <si>
    <t>ocn776498038</t>
  </si>
  <si>
    <t>31034425514</t>
  </si>
  <si>
    <t>9780132612388</t>
  </si>
  <si>
    <t>794908102</t>
  </si>
  <si>
    <t>P118 D443 1993</t>
  </si>
  <si>
    <t>0                      P  0118000D  443         1993</t>
  </si>
  <si>
    <t>The Development of language / edited by Jean Berko Gleason.</t>
  </si>
  <si>
    <t>New York : Macmillan ; Toronto : Maxwell Macmillan Canada ; New York : Maxwell Macmillan International, ©1993.</t>
  </si>
  <si>
    <t>2017-09-22</t>
  </si>
  <si>
    <t>26398241</t>
  </si>
  <si>
    <t>ocm26398241</t>
  </si>
  <si>
    <t>31027558642</t>
  </si>
  <si>
    <t>9780023442513</t>
  </si>
  <si>
    <t>793243886</t>
  </si>
  <si>
    <t>P118 D46 1994</t>
  </si>
  <si>
    <t>0                      P  0118000D  46          1994</t>
  </si>
  <si>
    <t>The Development of speech perception : the transition from speech sounds to spoken words / edited by Judith C. Goodman and Howard C. Nusbaum.</t>
  </si>
  <si>
    <t>Cambridge, MA. : MIT Press, [1994]</t>
  </si>
  <si>
    <t>Language, speech and communication</t>
  </si>
  <si>
    <t>799330308:eng</t>
  </si>
  <si>
    <t>28333292</t>
  </si>
  <si>
    <t>ocm28333292</t>
  </si>
  <si>
    <t>31027558740</t>
  </si>
  <si>
    <t>9780262071543</t>
  </si>
  <si>
    <t>793285636</t>
  </si>
  <si>
    <t>P118 D465 2003</t>
  </si>
  <si>
    <t>0                      P  0118000D  465         2003</t>
  </si>
  <si>
    <t>Development of verb inflection in first language acquisition : a cross-linguistic perspective / edited by Dagmar Bittner, Wolfgang U. Dressler, Marianne Kilani-Schoch.</t>
  </si>
  <si>
    <t>Studies on language acquisition ; 21</t>
  </si>
  <si>
    <t>2016-03-10</t>
  </si>
  <si>
    <t>891201328:eng</t>
  </si>
  <si>
    <t>51977955</t>
  </si>
  <si>
    <t>ocm51977955</t>
  </si>
  <si>
    <t>31027558692</t>
  </si>
  <si>
    <t>9783110178234</t>
  </si>
  <si>
    <t>793795670</t>
  </si>
  <si>
    <t>P118 E22 2008</t>
  </si>
  <si>
    <t>0                      P  0118000E  22          2008</t>
  </si>
  <si>
    <t>Early language development : bridging brain and behaviour / edited by Angela D. Friederici, Guillaume Thierry.</t>
  </si>
  <si>
    <t>Trends in language acquisition research, 1569-0644 ; v. 5</t>
  </si>
  <si>
    <t>796518793:eng</t>
  </si>
  <si>
    <t>173182708</t>
  </si>
  <si>
    <t>ocn173182708</t>
  </si>
  <si>
    <t>3102652456Y</t>
  </si>
  <si>
    <t>9789027234759</t>
  </si>
  <si>
    <t>794265397</t>
  </si>
  <si>
    <t>P118 E43 1999</t>
  </si>
  <si>
    <t>0                      P  0118000E  43          1999</t>
  </si>
  <si>
    <t>The emergence of language / edited by Brian MacWhinney.</t>
  </si>
  <si>
    <t>Mahwah, NJ : Lawrence Erlbaum Associates, 1999.</t>
  </si>
  <si>
    <t>Carnegie Mellon symposia on cognition</t>
  </si>
  <si>
    <t>766915538:eng</t>
  </si>
  <si>
    <t>40305584</t>
  </si>
  <si>
    <t>ocm40305584</t>
  </si>
  <si>
    <t>31019521516</t>
  </si>
  <si>
    <t>9780805830101</t>
  </si>
  <si>
    <t>793563774</t>
  </si>
  <si>
    <t>P118 E438 2008</t>
  </si>
  <si>
    <t>0                      P  0118000E  438         2008</t>
  </si>
  <si>
    <t>Emergence of linguistic abilities / edited by Sophie Kern, Frédérique Gayraud and Egidio Marsico.</t>
  </si>
  <si>
    <t>Newcastle : Cambridge Scholars Pub., 2008.</t>
  </si>
  <si>
    <t>441266019:eng</t>
  </si>
  <si>
    <t>225819719</t>
  </si>
  <si>
    <t>ocn225819719</t>
  </si>
  <si>
    <t>31028557403</t>
  </si>
  <si>
    <t>9781847185327</t>
  </si>
  <si>
    <t>794342446</t>
  </si>
  <si>
    <t>P118 E84 2011</t>
  </si>
  <si>
    <t>0                      P  0118000E  84          2011</t>
  </si>
  <si>
    <t>Experience, variation and generalization : learning a first language / edited by Inbal Arnon, Eve V. Clark.</t>
  </si>
  <si>
    <t>Trends in language acquisition research, 1569-0644 ; v. 7</t>
  </si>
  <si>
    <t>898989655:eng</t>
  </si>
  <si>
    <t>723142829</t>
  </si>
  <si>
    <t>ocn723142829</t>
  </si>
  <si>
    <t>3103382931J</t>
  </si>
  <si>
    <t>9789027234773</t>
  </si>
  <si>
    <t>794875916</t>
  </si>
  <si>
    <t>P118 E87 2010</t>
  </si>
  <si>
    <t>0                      P  0118000E  87          2010</t>
  </si>
  <si>
    <t>Experimental methods in language acquisition research / edited by Elma Blom, Sharon Unsworth.</t>
  </si>
  <si>
    <t>Philadelphia : John Benjamins Pub. Company, 2010.</t>
  </si>
  <si>
    <t>Language learning &amp; language teaching ; 27</t>
  </si>
  <si>
    <t>866887955:eng</t>
  </si>
  <si>
    <t>624556287</t>
  </si>
  <si>
    <t>ocn624556287</t>
  </si>
  <si>
    <t>3103322650H</t>
  </si>
  <si>
    <t>9789027219961</t>
  </si>
  <si>
    <t>794824112</t>
  </si>
  <si>
    <t>P118 E89</t>
  </si>
  <si>
    <t>0                      P  0118000E  89</t>
  </si>
  <si>
    <t>Explanation in linguistics : the logical problem of language acquisition / edited by Norbert Hornstein and David Lightfoot.</t>
  </si>
  <si>
    <t>London ; New York : Longman, 1981.</t>
  </si>
  <si>
    <t>Longman linguistics library ; 25</t>
  </si>
  <si>
    <t>2018-02-18</t>
  </si>
  <si>
    <t>3769074638:eng</t>
  </si>
  <si>
    <t>6487812</t>
  </si>
  <si>
    <t>ocm06487812</t>
  </si>
  <si>
    <t>31027558770</t>
  </si>
  <si>
    <t>9780582291140</t>
  </si>
  <si>
    <t>792502873</t>
  </si>
  <si>
    <t>3102755882Z</t>
  </si>
  <si>
    <t>792502872</t>
  </si>
  <si>
    <t>P118 F545 1994</t>
  </si>
  <si>
    <t>0                      P  0118000F  545         1994</t>
  </si>
  <si>
    <t>First and second language phonology / edited by Mehmet Yavas.</t>
  </si>
  <si>
    <t>San Diego, Calif. : Singular Pub. Group Inc., ©1994.</t>
  </si>
  <si>
    <t>30398782:eng</t>
  </si>
  <si>
    <t>28506601</t>
  </si>
  <si>
    <t>ocm28506601</t>
  </si>
  <si>
    <t>31027558622</t>
  </si>
  <si>
    <t>9781565931671</t>
  </si>
  <si>
    <t>793289684</t>
  </si>
  <si>
    <t>P118 F547 1994</t>
  </si>
  <si>
    <t>0                      P  0118000F  547         1994</t>
  </si>
  <si>
    <t>On the acquisition of prosodic structure / door Johanna Paula Monique Fikkert.</t>
  </si>
  <si>
    <t>Fikkert, Johanna Paula Monique, 1965-</t>
  </si>
  <si>
    <t>[Leiden?] : J.P.M. Fikkert, ©1994.</t>
  </si>
  <si>
    <t>8909061061:eng</t>
  </si>
  <si>
    <t>36915941</t>
  </si>
  <si>
    <t>ocm36915941</t>
  </si>
  <si>
    <t>31027558574</t>
  </si>
  <si>
    <t>9789074537056</t>
  </si>
  <si>
    <t>793487546</t>
  </si>
  <si>
    <t>P118 F58 1997</t>
  </si>
  <si>
    <t>0                      P  0118000F  58          1997</t>
  </si>
  <si>
    <t>Focus on phonological acquisition / edited by S.J. Hannahs, Martha Young-Scholten.</t>
  </si>
  <si>
    <t>Amsterdam ; Philadelphia : J. Benjamins, ©1997.</t>
  </si>
  <si>
    <t>Language acquisition &amp; language disorders, 0925-0123 ; v. 16</t>
  </si>
  <si>
    <t>353446367:eng</t>
  </si>
  <si>
    <t>37011372</t>
  </si>
  <si>
    <t>ocm37011372</t>
  </si>
  <si>
    <t>3102997199E</t>
  </si>
  <si>
    <t>9781556197796</t>
  </si>
  <si>
    <t>793489877</t>
  </si>
  <si>
    <t>P118 F65 1990</t>
  </si>
  <si>
    <t>0                      P  0118000F  65          1990</t>
  </si>
  <si>
    <t>Talking from infancy : how to nurture &amp; cultivate early language development / by William Fowler.</t>
  </si>
  <si>
    <t>Fowler, William, 1921-</t>
  </si>
  <si>
    <t>Cambridge, MA : Brookline Books, ©1990.</t>
  </si>
  <si>
    <t>22791699:eng</t>
  </si>
  <si>
    <t>21194745</t>
  </si>
  <si>
    <t>ocm21194745</t>
  </si>
  <si>
    <t>3101147112G</t>
  </si>
  <si>
    <t>9780914797715</t>
  </si>
  <si>
    <t>793111843</t>
  </si>
  <si>
    <t>P118 G25 2009</t>
  </si>
  <si>
    <t>0                      P  0118000G  25          2009</t>
  </si>
  <si>
    <t>Language acquisition and development : proceedings of GALA 2009 / edited by João Costa [and others].</t>
  </si>
  <si>
    <t>GALA (Conference : Language acquisition) (2009 : Lisbon, Portugal)</t>
  </si>
  <si>
    <t>573694960:eng</t>
  </si>
  <si>
    <t>656784478</t>
  </si>
  <si>
    <t>ocn656784478</t>
  </si>
  <si>
    <t>3103233068U</t>
  </si>
  <si>
    <t>9781443823944</t>
  </si>
  <si>
    <t>794835103</t>
  </si>
  <si>
    <t>P118 G557 2009</t>
  </si>
  <si>
    <t>0                      P  0118000G  557         2009</t>
  </si>
  <si>
    <t>Boston : Pearson, ©2009.</t>
  </si>
  <si>
    <t>173509407</t>
  </si>
  <si>
    <t>ocn173509407</t>
  </si>
  <si>
    <t>3102881860Y</t>
  </si>
  <si>
    <t>9780205593033</t>
  </si>
  <si>
    <t>794268840</t>
  </si>
  <si>
    <t>3102860691B</t>
  </si>
  <si>
    <t>794268839</t>
  </si>
  <si>
    <t>P118 G83 2002</t>
  </si>
  <si>
    <t>0                      P  0118000G  83          2002</t>
  </si>
  <si>
    <t>Language acquisition : the growth of grammar / Maria Teresa Guasti.</t>
  </si>
  <si>
    <t>Guasti, Maria Teresa.</t>
  </si>
  <si>
    <t>Cambridge, Mass. : MIT Press, ©2002.</t>
  </si>
  <si>
    <t>2020-01-14</t>
  </si>
  <si>
    <t>797187002:eng</t>
  </si>
  <si>
    <t>47650657</t>
  </si>
  <si>
    <t>ocm47650657</t>
  </si>
  <si>
    <t>3102683224R</t>
  </si>
  <si>
    <t>9780262072229</t>
  </si>
  <si>
    <t>793704503</t>
  </si>
  <si>
    <t>P118 G83 2016</t>
  </si>
  <si>
    <t>0                      P  0118000G  83          2016</t>
  </si>
  <si>
    <t>Guasti, Maria Teresa, author.</t>
  </si>
  <si>
    <t>Cambridge, Massachussets : The MIT Press, [2016]</t>
  </si>
  <si>
    <t>2020-01-07</t>
  </si>
  <si>
    <t>950004270</t>
  </si>
  <si>
    <t>ocn950004270</t>
  </si>
  <si>
    <t>3103737135Q</t>
  </si>
  <si>
    <t>9780262529389</t>
  </si>
  <si>
    <t>795016499</t>
  </si>
  <si>
    <t>3103737140X</t>
  </si>
  <si>
    <t>795016498</t>
  </si>
  <si>
    <t>P118 H3 1977</t>
  </si>
  <si>
    <t>0                      P  0118000H  3           1977</t>
  </si>
  <si>
    <t>Learning how to mean : explorations in the development of language / M.A.K. Halliday.</t>
  </si>
  <si>
    <t>New York : Elsevier, 1977, ©1975.</t>
  </si>
  <si>
    <t>809411143:eng</t>
  </si>
  <si>
    <t>2983534</t>
  </si>
  <si>
    <t>ocm02983534</t>
  </si>
  <si>
    <t>3000185003P</t>
  </si>
  <si>
    <t>9780444002006</t>
  </si>
  <si>
    <t>792202569</t>
  </si>
  <si>
    <t>30009833050</t>
  </si>
  <si>
    <t>792202571</t>
  </si>
  <si>
    <t>2007-04-20</t>
  </si>
  <si>
    <t>3102755900B</t>
  </si>
  <si>
    <t>792202570</t>
  </si>
  <si>
    <t>P118 H347 1995</t>
  </si>
  <si>
    <t>0                      P  0118000H  347         1995</t>
  </si>
  <si>
    <t>The Handbook of child language / edited by Paul Fletcher and Brian MacWhinney.</t>
  </si>
  <si>
    <t>Blackwell reference</t>
  </si>
  <si>
    <t>2017-01-07</t>
  </si>
  <si>
    <t>476646524:eng</t>
  </si>
  <si>
    <t>30319385</t>
  </si>
  <si>
    <t>ocm30319385</t>
  </si>
  <si>
    <t>3102224448U</t>
  </si>
  <si>
    <t>9780631184058</t>
  </si>
  <si>
    <t>793332346</t>
  </si>
  <si>
    <t>P118 H3485 2012</t>
  </si>
  <si>
    <t>0                      P  0118000H  3485        2012</t>
  </si>
  <si>
    <t>The handbook of language socialization / edited by Alessandro Duranti, Elinor Ochs, and Bambi B. Schieffelin.</t>
  </si>
  <si>
    <t>1060542549:eng</t>
  </si>
  <si>
    <t>704557538</t>
  </si>
  <si>
    <t>ocn704557538</t>
  </si>
  <si>
    <t>3103382789F</t>
  </si>
  <si>
    <t>9781405191869</t>
  </si>
  <si>
    <t>794865803</t>
  </si>
  <si>
    <t>P118 H35 1994</t>
  </si>
  <si>
    <t>0                      P  0118000H  35          1994</t>
  </si>
  <si>
    <t>Handbook of research in language development using CHILDES / edited by Jeffrey L. Sokolov and Catherine E. Snow.</t>
  </si>
  <si>
    <t>353634316:eng</t>
  </si>
  <si>
    <t>29668812</t>
  </si>
  <si>
    <t>ocm29668812</t>
  </si>
  <si>
    <t>3103400586Q</t>
  </si>
  <si>
    <t>9780805811858</t>
  </si>
  <si>
    <t>793317662</t>
  </si>
  <si>
    <t>P118 H36 1999</t>
  </si>
  <si>
    <t>0                      P  0118000H  36          1999</t>
  </si>
  <si>
    <t>The social world of children learning to talk / by Betty Hart and Todd R. Risley.</t>
  </si>
  <si>
    <t>Hart, Betty, 1927-2012.</t>
  </si>
  <si>
    <t>Baltimore, Md. : P.H. Brookes Pub., ©1999.</t>
  </si>
  <si>
    <t>20636881:eng</t>
  </si>
  <si>
    <t>40890916</t>
  </si>
  <si>
    <t>ocm40890916</t>
  </si>
  <si>
    <t>3102520240Y</t>
  </si>
  <si>
    <t>9781557664204</t>
  </si>
  <si>
    <t>793578344</t>
  </si>
  <si>
    <t>P118 H64 2001</t>
  </si>
  <si>
    <t>0                      P  0118000H  64          2001</t>
  </si>
  <si>
    <t>Language development / Erika Hoff.</t>
  </si>
  <si>
    <t>Hoff, Erika, 1951-</t>
  </si>
  <si>
    <t>Belmont, CA : Wadsworth/Thomson Learning, ©2001.</t>
  </si>
  <si>
    <t>3565478:eng</t>
  </si>
  <si>
    <t>44811963</t>
  </si>
  <si>
    <t>ocm44811963</t>
  </si>
  <si>
    <t>3102799642D</t>
  </si>
  <si>
    <t>9780534577896</t>
  </si>
  <si>
    <t>793658713</t>
  </si>
  <si>
    <t>3102110827K</t>
  </si>
  <si>
    <t>793658712</t>
  </si>
  <si>
    <t>P118 H64 2009</t>
  </si>
  <si>
    <t>0                      P  0118000H  64          2009</t>
  </si>
  <si>
    <t>Australia ; Belmont, CA, USA : Wadsworth/Cengage Learning, ©2009.</t>
  </si>
  <si>
    <t>172983834</t>
  </si>
  <si>
    <t>ocn172983834</t>
  </si>
  <si>
    <t>3102970534F</t>
  </si>
  <si>
    <t>9780495501718</t>
  </si>
  <si>
    <t>794265029</t>
  </si>
  <si>
    <t>P118 H85 2011</t>
  </si>
  <si>
    <t>0                      P  0118000H  85          2011</t>
  </si>
  <si>
    <t>Born to talk : an introduction to speech and language development / Lloyd M. Hulit, Merle R. Howard, Kathleen R. Fahey.</t>
  </si>
  <si>
    <t>Hulit, Lloyd M.</t>
  </si>
  <si>
    <t>Upper Saddle River, N.J. : Pearson, ©2011.</t>
  </si>
  <si>
    <t>2015-09-04</t>
  </si>
  <si>
    <t>966513:eng</t>
  </si>
  <si>
    <t>369143526</t>
  </si>
  <si>
    <t>ocn369143526</t>
  </si>
  <si>
    <t>3103128544A</t>
  </si>
  <si>
    <t>9780205627523</t>
  </si>
  <si>
    <t>794494316</t>
  </si>
  <si>
    <t>P118 I42 1994</t>
  </si>
  <si>
    <t>0                      P  0118000I  42          1994</t>
  </si>
  <si>
    <t>Implicit and explicit learning of languages / edited by Nick C. Ellis.</t>
  </si>
  <si>
    <t>London ; San Diego : Academic Press, ©1994.</t>
  </si>
  <si>
    <t>33648608:eng</t>
  </si>
  <si>
    <t>31903832</t>
  </si>
  <si>
    <t>ocm31903832</t>
  </si>
  <si>
    <t>31027559149</t>
  </si>
  <si>
    <t>9780122374753</t>
  </si>
  <si>
    <t>793370916</t>
  </si>
  <si>
    <t>P118 I4325 2009</t>
  </si>
  <si>
    <t>0                      P  0118000I  4325        2009</t>
  </si>
  <si>
    <t>Infant pathways to language : methods, models, and research directions / edited by John Colombo, Peggy McCardle, Lisa Freund.</t>
  </si>
  <si>
    <t>New York : Psychology Press, ©2009.</t>
  </si>
  <si>
    <t>888499670:eng</t>
  </si>
  <si>
    <t>156810452</t>
  </si>
  <si>
    <t>ocn156810452</t>
  </si>
  <si>
    <t>3102977857B</t>
  </si>
  <si>
    <t>9780805860634</t>
  </si>
  <si>
    <t>794254663</t>
  </si>
  <si>
    <t>P118 I47 1981</t>
  </si>
  <si>
    <t>0                      P  0118000I  47          1981</t>
  </si>
  <si>
    <t>Language development at the crossroads : papers from the Interdisciplinary Conference on Language Acquisition at Passau / Sascha W. Felix, Henning Wode, eds.</t>
  </si>
  <si>
    <t>Interdisciplinary Conference on Language Acquisition (1981 : Passau, Germany)</t>
  </si>
  <si>
    <t>Tübingen : G. Narr, ©1983.</t>
  </si>
  <si>
    <t>Tübinger Beiträge zur Linguistik. Series A, Language development ; 5</t>
  </si>
  <si>
    <t>365246130:eng</t>
  </si>
  <si>
    <t>10823346</t>
  </si>
  <si>
    <t>ocm10823346</t>
  </si>
  <si>
    <t>31027559237</t>
  </si>
  <si>
    <t>9783878085713</t>
  </si>
  <si>
    <t>792745203</t>
  </si>
  <si>
    <t>P118 I58 2007</t>
  </si>
  <si>
    <t>0                      P  0118000I  58          2007</t>
  </si>
  <si>
    <t>The international guide to speech acquisition / edited by Sharynne McLeod.</t>
  </si>
  <si>
    <t>Clifton Park, NY : Thomson Delmar Learning, ©2007.</t>
  </si>
  <si>
    <t>2016-09-07</t>
  </si>
  <si>
    <t>62534864:eng</t>
  </si>
  <si>
    <t>76750977</t>
  </si>
  <si>
    <t>ocm76750977</t>
  </si>
  <si>
    <t>31025982494</t>
  </si>
  <si>
    <t>9781418053604</t>
  </si>
  <si>
    <t>794176531</t>
  </si>
  <si>
    <t>P118 J63 2013</t>
  </si>
  <si>
    <t>0                      P  0118000J  63          2013</t>
  </si>
  <si>
    <t>Enculturation processes in primary language acquisition / Anna Dina L. Joaquin.</t>
  </si>
  <si>
    <t>Joaquin, Anna Dina L., 1975-</t>
  </si>
  <si>
    <t>Sheffield, UK : Bristol, CT : Equinox, 2013.</t>
  </si>
  <si>
    <t>1403270849:eng</t>
  </si>
  <si>
    <t>813526268</t>
  </si>
  <si>
    <t>ocn813526268</t>
  </si>
  <si>
    <t>3103504334K</t>
  </si>
  <si>
    <t>9781908049995</t>
  </si>
  <si>
    <t>794931700</t>
  </si>
  <si>
    <t>P118 K35 2015</t>
  </si>
  <si>
    <t>0                      P  0118000K  35          2015</t>
  </si>
  <si>
    <t>L'acquisition du langage / Michèle Kail.</t>
  </si>
  <si>
    <t>Kail, Michèle, author.</t>
  </si>
  <si>
    <t>Paris : Presses universitaires de France, 2015.</t>
  </si>
  <si>
    <t>Deuxième édition mise à jour.</t>
  </si>
  <si>
    <t>Que sais-je? ; no 3939</t>
  </si>
  <si>
    <t>5619955695:fre</t>
  </si>
  <si>
    <t>974378913</t>
  </si>
  <si>
    <t>ocn974378913</t>
  </si>
  <si>
    <t>31037092044</t>
  </si>
  <si>
    <t>9782130635338</t>
  </si>
  <si>
    <t>795029557</t>
  </si>
  <si>
    <t>P118 L24115 2010</t>
  </si>
  <si>
    <t>0                      P  0118000L  24115       2010</t>
  </si>
  <si>
    <t>Language acquisition / edited by Charles Yang.</t>
  </si>
  <si>
    <t>London : New York, NY : Routledge, 2010.</t>
  </si>
  <si>
    <t>2011-06-30</t>
  </si>
  <si>
    <t>151093511:eng</t>
  </si>
  <si>
    <t>319321279</t>
  </si>
  <si>
    <t>ocn319321279</t>
  </si>
  <si>
    <t>3103213731P</t>
  </si>
  <si>
    <t>9780415437097</t>
  </si>
  <si>
    <t>794483720</t>
  </si>
  <si>
    <t>3103213792D</t>
  </si>
  <si>
    <t>794483717</t>
  </si>
  <si>
    <t>3103213718T</t>
  </si>
  <si>
    <t>794483719</t>
  </si>
  <si>
    <t>3103213806S</t>
  </si>
  <si>
    <t>794483718</t>
  </si>
  <si>
    <t>P118 L24155 2009</t>
  </si>
  <si>
    <t>0                      P  0118000L  24155       2009</t>
  </si>
  <si>
    <t>Language acquisition / edited by Susan Foster-Cohen.</t>
  </si>
  <si>
    <t>1011714268:eng</t>
  </si>
  <si>
    <t>319209551</t>
  </si>
  <si>
    <t>ocn319209551</t>
  </si>
  <si>
    <t>3102859752M</t>
  </si>
  <si>
    <t>9780230500297</t>
  </si>
  <si>
    <t>794483548</t>
  </si>
  <si>
    <t>P118 L2493 2010</t>
  </si>
  <si>
    <t>0                      P  0118000L  2493        2010</t>
  </si>
  <si>
    <t>Language acquisition across linguistic and cognitive systems / edited by Michèle Kail, Maya Hickmann.</t>
  </si>
  <si>
    <t>Language acquisition and language disorders ; v. 52</t>
  </si>
  <si>
    <t>2011-11-09</t>
  </si>
  <si>
    <t>575838184:eng</t>
  </si>
  <si>
    <t>657080700</t>
  </si>
  <si>
    <t>ocn657080700</t>
  </si>
  <si>
    <t>31033229636</t>
  </si>
  <si>
    <t>9789027253149</t>
  </si>
  <si>
    <t>794835267</t>
  </si>
  <si>
    <t>P118 L2497 2001</t>
  </si>
  <si>
    <t>0                      P  0118000L  2497        2001</t>
  </si>
  <si>
    <t>Language acquisition and conceptual development / edited by Melissa Bowerman and Stephen C. Levinson.</t>
  </si>
  <si>
    <t>Language, culture and cognition ; 3</t>
  </si>
  <si>
    <t>895837732:eng</t>
  </si>
  <si>
    <t>42080185</t>
  </si>
  <si>
    <t>ocm42080185</t>
  </si>
  <si>
    <t>31027559227</t>
  </si>
  <si>
    <t>9780521593588</t>
  </si>
  <si>
    <t>793602699</t>
  </si>
  <si>
    <t>P118 L2498 2007</t>
  </si>
  <si>
    <t>0                      P  0118000L  2498        2007</t>
  </si>
  <si>
    <t>Language acquisition and development : studies of learners of first and other languages / edited by Brian Tomlinson.</t>
  </si>
  <si>
    <t>London ; New York, NY : Continuum, ©2007.</t>
  </si>
  <si>
    <t>59556232:eng</t>
  </si>
  <si>
    <t>214306373</t>
  </si>
  <si>
    <t>ocn214306373</t>
  </si>
  <si>
    <t>31025694655</t>
  </si>
  <si>
    <t>9780826486127</t>
  </si>
  <si>
    <t>794313719</t>
  </si>
  <si>
    <t>P118 L2527 2001</t>
  </si>
  <si>
    <t>0                      P  0118000L  2527        2001</t>
  </si>
  <si>
    <t>Language acquisition and learnability / edited by Stefano Bertolo.</t>
  </si>
  <si>
    <t>917503170:eng</t>
  </si>
  <si>
    <t>44794914</t>
  </si>
  <si>
    <t>ocm44794914</t>
  </si>
  <si>
    <t>31027559179</t>
  </si>
  <si>
    <t>9780521641494</t>
  </si>
  <si>
    <t>793658323</t>
  </si>
  <si>
    <t>P118 L253</t>
  </si>
  <si>
    <t>0                      P  0118000L  253</t>
  </si>
  <si>
    <t>Language acquisition and linguistic theory / edited by Susan L. Tavakolian.</t>
  </si>
  <si>
    <t>Cambridge, Mass. : MIT Press, ©1981.</t>
  </si>
  <si>
    <t>26041201:eng</t>
  </si>
  <si>
    <t>7173755</t>
  </si>
  <si>
    <t>ocm07173755</t>
  </si>
  <si>
    <t>3000967075K</t>
  </si>
  <si>
    <t>9780262200394</t>
  </si>
  <si>
    <t>792543924</t>
  </si>
  <si>
    <t>3102755887Z</t>
  </si>
  <si>
    <t>792543923</t>
  </si>
  <si>
    <t>P118 L254 1986</t>
  </si>
  <si>
    <t>0                      P  0118000L  254         1986</t>
  </si>
  <si>
    <t>Language acquisition : studies in first language development / edited by Paul Fletcher and Michael Garman.</t>
  </si>
  <si>
    <t>Cambridge ; New York : Cambridge University Press, 1986.</t>
  </si>
  <si>
    <t>2017-10-07</t>
  </si>
  <si>
    <t>4916925468:eng</t>
  </si>
  <si>
    <t>12237197</t>
  </si>
  <si>
    <t>ocm12237197</t>
  </si>
  <si>
    <t>3102769385T</t>
  </si>
  <si>
    <t>9780521259743</t>
  </si>
  <si>
    <t>792807236</t>
  </si>
  <si>
    <t>31000268447</t>
  </si>
  <si>
    <t>792807233</t>
  </si>
  <si>
    <t>31000268471</t>
  </si>
  <si>
    <t>792807234</t>
  </si>
  <si>
    <t>2000-09-16</t>
  </si>
  <si>
    <t>31000268463</t>
  </si>
  <si>
    <t>792807235</t>
  </si>
  <si>
    <t>P118 L2576 2009</t>
  </si>
  <si>
    <t>0                      P  0118000L  2576        2009</t>
  </si>
  <si>
    <t>Language as a complex adaptive system / Nick C. Ellis and Diane Larsen-Freeman, editors.</t>
  </si>
  <si>
    <t>Chichester, West Sussex, U.K. ; Malden, MA : Wiley-Blackwell, 2009.</t>
  </si>
  <si>
    <t>Language learning, 0023-8333 ; v. 59, suppl. 1</t>
  </si>
  <si>
    <t>2018-12-16</t>
  </si>
  <si>
    <t>776661483:eng</t>
  </si>
  <si>
    <t>463307587</t>
  </si>
  <si>
    <t>ocn463307587</t>
  </si>
  <si>
    <t>3103241224Z</t>
  </si>
  <si>
    <t>9781444334005</t>
  </si>
  <si>
    <t>794792355</t>
  </si>
  <si>
    <t>P118 L264 2010</t>
  </si>
  <si>
    <t>0                      P  0118000L  264         2010</t>
  </si>
  <si>
    <t>Language development : foundations, processes, and clinical applications / [edited by] Brian B. Shulman, Nina C. Capone.</t>
  </si>
  <si>
    <t>Sudbury, Mass. : Jones and Bartlett Publishers, 2010.</t>
  </si>
  <si>
    <t>802963226:eng</t>
  </si>
  <si>
    <t>244068221</t>
  </si>
  <si>
    <t>ocn244068221</t>
  </si>
  <si>
    <t>31030846301</t>
  </si>
  <si>
    <t>9780763747237</t>
  </si>
  <si>
    <t>794380811</t>
  </si>
  <si>
    <t>P118 L36 1982</t>
  </si>
  <si>
    <t>0                      P  0118000L  36          1982</t>
  </si>
  <si>
    <t>Language development / edited by Stan A. Kuczaj II.</t>
  </si>
  <si>
    <t>Hillsdale, N.J. : L. Erlbaum Associates, 1982-</t>
  </si>
  <si>
    <t>Child psychology</t>
  </si>
  <si>
    <t>2003-06-19</t>
  </si>
  <si>
    <t>5617130817:eng</t>
  </si>
  <si>
    <t>7174478</t>
  </si>
  <si>
    <t>ocm07174478</t>
  </si>
  <si>
    <t>3100147923O</t>
  </si>
  <si>
    <t>9780898591002</t>
  </si>
  <si>
    <t>792544040</t>
  </si>
  <si>
    <t>30001548620</t>
  </si>
  <si>
    <t>792544041</t>
  </si>
  <si>
    <t>2013-06-04</t>
  </si>
  <si>
    <t>3000329986Z</t>
  </si>
  <si>
    <t>792544039</t>
  </si>
  <si>
    <t>2007-04-14</t>
  </si>
  <si>
    <t>3100460277V</t>
  </si>
  <si>
    <t>792544038</t>
  </si>
  <si>
    <t>P118 L3634 2009</t>
  </si>
  <si>
    <t>0                      P  0118000L  3634        2009</t>
  </si>
  <si>
    <t>Language development over the lifespan / edited by Kees de Bot and Robert W. Schrauf.</t>
  </si>
  <si>
    <t>889043967:eng</t>
  </si>
  <si>
    <t>236142642</t>
  </si>
  <si>
    <t>ocn236142642</t>
  </si>
  <si>
    <t>3103062361M</t>
  </si>
  <si>
    <t>9780415998536</t>
  </si>
  <si>
    <t>794371303</t>
  </si>
  <si>
    <t>P118 L368 2006</t>
  </si>
  <si>
    <t>0                      P  0118000L  368         2006</t>
  </si>
  <si>
    <t>Sociocultural theory and the genesis of second language development / J.P. Lantolf, S.L. Thorne.</t>
  </si>
  <si>
    <t>Lantolf, James P.</t>
  </si>
  <si>
    <t>Oxford ; New York : Oxford University Press, ©2006.</t>
  </si>
  <si>
    <t>49056477:eng</t>
  </si>
  <si>
    <t>65206304</t>
  </si>
  <si>
    <t>ocm65206304</t>
  </si>
  <si>
    <t>3102583829F</t>
  </si>
  <si>
    <t>9780194421812</t>
  </si>
  <si>
    <t>794133444</t>
  </si>
  <si>
    <t>P118 L373 2002</t>
  </si>
  <si>
    <t>0                      P  0118000L  373         2002</t>
  </si>
  <si>
    <t>Language, literacy, and cognitive development : the development and consequences of symbolic communication / edited by Eric Amsel, James P. Byrnes.</t>
  </si>
  <si>
    <t>Mahwah, N.J. : Lawrence Erlbaum Associates, 2002.</t>
  </si>
  <si>
    <t>The Jean Piaget Symposium series</t>
  </si>
  <si>
    <t>2019-05-11</t>
  </si>
  <si>
    <t>906247218:eng</t>
  </si>
  <si>
    <t>48074112</t>
  </si>
  <si>
    <t>ocm48074112</t>
  </si>
  <si>
    <t>3102755968$</t>
  </si>
  <si>
    <t>9780805834949</t>
  </si>
  <si>
    <t>793715158</t>
  </si>
  <si>
    <t>P118 L385 1986</t>
  </si>
  <si>
    <t>0                      P  0118000L  385         1986</t>
  </si>
  <si>
    <t>Language socialization across cultures / edited by Bambi B. Schieffelin and Elinor Ochs.</t>
  </si>
  <si>
    <t>Cambridge [England] ; New York : Cambridge University Press, 1986.</t>
  </si>
  <si>
    <t>Studies in the social and cultural foundations of language ; no. 3</t>
  </si>
  <si>
    <t>351932309:eng</t>
  </si>
  <si>
    <t>13823512</t>
  </si>
  <si>
    <t>ocm13823512</t>
  </si>
  <si>
    <t>3102755965$</t>
  </si>
  <si>
    <t>9780521326216</t>
  </si>
  <si>
    <t>792868224</t>
  </si>
  <si>
    <t>P118 L387 1983</t>
  </si>
  <si>
    <t>0                      P  0118000L  387         1983</t>
  </si>
  <si>
    <t>Language transfer in language learning / editors, Susan M. Gass, Larry Selinker.</t>
  </si>
  <si>
    <t>Rowley, Mass. : Newbury House Publishers, 1983.</t>
  </si>
  <si>
    <t>180160646:eng</t>
  </si>
  <si>
    <t>9853898</t>
  </si>
  <si>
    <t>ocm09853898</t>
  </si>
  <si>
    <t>3102755963$</t>
  </si>
  <si>
    <t>9780883773055</t>
  </si>
  <si>
    <t>792696901</t>
  </si>
  <si>
    <t>2013-11-30</t>
  </si>
  <si>
    <t>31019515311</t>
  </si>
  <si>
    <t>792696902</t>
  </si>
  <si>
    <t>P118 L45 2006</t>
  </si>
  <si>
    <t>0                      P  0118000L  45          2006</t>
  </si>
  <si>
    <t>How languages are learned / Patsy M. Lightbown and Nina Spada.</t>
  </si>
  <si>
    <t>Lightbown, Patsy.</t>
  </si>
  <si>
    <t>Oxford [england] ; New York : Oxford University Press, 2006.</t>
  </si>
  <si>
    <t>2019-09-08</t>
  </si>
  <si>
    <t>103285558:eng</t>
  </si>
  <si>
    <t>62796030</t>
  </si>
  <si>
    <t>ocm62796030</t>
  </si>
  <si>
    <t>3102671928J</t>
  </si>
  <si>
    <t>9780194422246</t>
  </si>
  <si>
    <t>794112886</t>
  </si>
  <si>
    <t>3102556587F</t>
  </si>
  <si>
    <t>794112887</t>
  </si>
  <si>
    <t>P118 L48 2014</t>
  </si>
  <si>
    <t>0                      P  0118000L  48          2014</t>
  </si>
  <si>
    <t>Introduction to language development / Sandra Levey.</t>
  </si>
  <si>
    <t>Levey, Sandra.</t>
  </si>
  <si>
    <t>San Diego, CA : Plural Pub., ©2014.</t>
  </si>
  <si>
    <t>1361463607:eng</t>
  </si>
  <si>
    <t>798060121</t>
  </si>
  <si>
    <t>ocn798060121</t>
  </si>
  <si>
    <t>3103454624V</t>
  </si>
  <si>
    <t>9781597564892</t>
  </si>
  <si>
    <t>794923111</t>
  </si>
  <si>
    <t>P118 L56 2002</t>
  </si>
  <si>
    <t>0                      P  0118000L  56          2002</t>
  </si>
  <si>
    <t>Linguistic evolution through language acquisition / edited by Ted Briscoe.</t>
  </si>
  <si>
    <t>864889057:eng</t>
  </si>
  <si>
    <t>48753792</t>
  </si>
  <si>
    <t>ocm48753792</t>
  </si>
  <si>
    <t>31027559551</t>
  </si>
  <si>
    <t>9780521662994</t>
  </si>
  <si>
    <t>793727096</t>
  </si>
  <si>
    <t>P118 L5738 2006</t>
  </si>
  <si>
    <t>0                      P  0118000L  5738        2006</t>
  </si>
  <si>
    <t>Language and social advantage : theory into practice / edited by Judy Clegg, Jane Ginsborg.</t>
  </si>
  <si>
    <t>Chichester, England ; Hoboken, NJ : John Wiley &amp; Sons, Ltd, ©2006.</t>
  </si>
  <si>
    <t>889167507:eng</t>
  </si>
  <si>
    <t>65187287</t>
  </si>
  <si>
    <t>ocm65187287</t>
  </si>
  <si>
    <t>3102565065X</t>
  </si>
  <si>
    <t>9780470019757</t>
  </si>
  <si>
    <t>794132698</t>
  </si>
  <si>
    <t>P118 L64</t>
  </si>
  <si>
    <t>0                      P  0118000L  64</t>
  </si>
  <si>
    <t>The logical problem of language acquisition / edited by C.L. Baker and John J. McCarthy.</t>
  </si>
  <si>
    <t>MIT Press series on cognitive theory and mental representation</t>
  </si>
  <si>
    <t>2007-02-09</t>
  </si>
  <si>
    <t>480216446:eng</t>
  </si>
  <si>
    <t>7671404</t>
  </si>
  <si>
    <t>ocm07671404</t>
  </si>
  <si>
    <t>31027559521</t>
  </si>
  <si>
    <t>9780262021593</t>
  </si>
  <si>
    <t>792573592</t>
  </si>
  <si>
    <t>31027559501</t>
  </si>
  <si>
    <t>792573593</t>
  </si>
  <si>
    <t>- Wendy Patrick Collection - McLennan 2nd Floor - Regular Loan</t>
  </si>
  <si>
    <t>P118 M33 T35 2016</t>
  </si>
  <si>
    <t>0                      P  0118000M  33                 T  35          2016</t>
  </si>
  <si>
    <t>Talking baby : helping your child discover language / Margaret Maclagan and Anne Buckley.</t>
  </si>
  <si>
    <t>Maclagan, Margaret, author.</t>
  </si>
  <si>
    <t>Warriewood, N.S.W. : Finch Publishing, 2016.</t>
  </si>
  <si>
    <t>2832134892:eng</t>
  </si>
  <si>
    <t>931996210</t>
  </si>
  <si>
    <t>ocn931996210</t>
  </si>
  <si>
    <t>3103741113N</t>
  </si>
  <si>
    <t>9781925048605</t>
  </si>
  <si>
    <t>795007794</t>
  </si>
  <si>
    <t>P118 M354 1989</t>
  </si>
  <si>
    <t>0                      P  0118000M  354         1989</t>
  </si>
  <si>
    <t>The Many faces of imitation in language learning / Gisela E. Speidel, Keith E. Nelson, editors.</t>
  </si>
  <si>
    <t>New York : Springer-Verlag, ©1989.</t>
  </si>
  <si>
    <t>Springer series in language and communication ; 24</t>
  </si>
  <si>
    <t>356265760:eng</t>
  </si>
  <si>
    <t>18780645</t>
  </si>
  <si>
    <t>ocm18780645</t>
  </si>
  <si>
    <t>31027559483</t>
  </si>
  <si>
    <t>9780387968858</t>
  </si>
  <si>
    <t>793037036</t>
  </si>
  <si>
    <t>P118 M396 2014</t>
  </si>
  <si>
    <t>0                      P  0118000M  396         2014</t>
  </si>
  <si>
    <t>Measuring L2 proficiency : perspectives from SLA / edited by Pascale Leclercq, Amanda Edmonds and Heather Hilton.</t>
  </si>
  <si>
    <t>Second language acquisition ; 78</t>
  </si>
  <si>
    <t>1924687896:eng</t>
  </si>
  <si>
    <t>870699275</t>
  </si>
  <si>
    <t>ocn870699275</t>
  </si>
  <si>
    <t>31035674802</t>
  </si>
  <si>
    <t>9781783092284</t>
  </si>
  <si>
    <t>794966847</t>
  </si>
  <si>
    <t>P118 M55 2002</t>
  </si>
  <si>
    <t>0                      P  0118000M  55          2002</t>
  </si>
  <si>
    <t>Culture-specific language styles : the development of oral narrative and literacy / Masahiko Minami.</t>
  </si>
  <si>
    <t>Minami, Masahiko.</t>
  </si>
  <si>
    <t>Clevedon ; Buffalo : Multilingual Matters, 2002.</t>
  </si>
  <si>
    <t>Child language and child development ; 1</t>
  </si>
  <si>
    <t>793897129:eng</t>
  </si>
  <si>
    <t>47755970</t>
  </si>
  <si>
    <t>ocm47755970</t>
  </si>
  <si>
    <t>31027559375</t>
  </si>
  <si>
    <t>9781853595745</t>
  </si>
  <si>
    <t>793707170</t>
  </si>
  <si>
    <t>3102617978F</t>
  </si>
  <si>
    <t>793707169</t>
  </si>
  <si>
    <t>P118 N5623 2011</t>
  </si>
  <si>
    <t>0                      P  0118000N  5623        2011</t>
  </si>
  <si>
    <t>Syntactic development, its input and output / Anat Ninio.</t>
  </si>
  <si>
    <t>Ninio, Anat.</t>
  </si>
  <si>
    <t>2013-09-05</t>
  </si>
  <si>
    <t>691961852:eng</t>
  </si>
  <si>
    <t>676923159</t>
  </si>
  <si>
    <t>ocn676923159</t>
  </si>
  <si>
    <t>3103234960$</t>
  </si>
  <si>
    <t>9780199565962</t>
  </si>
  <si>
    <t>794850188</t>
  </si>
  <si>
    <t>P118 N57 2006</t>
  </si>
  <si>
    <t>0                      P  0118000N  57          2006</t>
  </si>
  <si>
    <t>The computational nature of language learning and evolution / Partha Niyogi.</t>
  </si>
  <si>
    <t>Niyogi, Partha.</t>
  </si>
  <si>
    <t>Current studies in linguistics ; 43</t>
  </si>
  <si>
    <t>46706274:eng</t>
  </si>
  <si>
    <t>62331114</t>
  </si>
  <si>
    <t>ocm62331114</t>
  </si>
  <si>
    <t>3102579001O</t>
  </si>
  <si>
    <t>9780262140942</t>
  </si>
  <si>
    <t>794105242</t>
  </si>
  <si>
    <t>P118 O27 1997</t>
  </si>
  <si>
    <t>0                      P  0118000O  27          1997</t>
  </si>
  <si>
    <t>Syntactic development / William O'Grady.</t>
  </si>
  <si>
    <t>O'Grady, William.</t>
  </si>
  <si>
    <t>Chicago : University of Chicago, 1997.</t>
  </si>
  <si>
    <t>40500005:eng</t>
  </si>
  <si>
    <t>35714664</t>
  </si>
  <si>
    <t>ocm35714664</t>
  </si>
  <si>
    <t>3102756010W</t>
  </si>
  <si>
    <t>9780226620756</t>
  </si>
  <si>
    <t>793455593</t>
  </si>
  <si>
    <t>3103399115E</t>
  </si>
  <si>
    <t>793455595</t>
  </si>
  <si>
    <t>3102756009Y</t>
  </si>
  <si>
    <t>793455594</t>
  </si>
  <si>
    <t>P118 O43 2000</t>
  </si>
  <si>
    <t>0                      P  0118000O  43          2000</t>
  </si>
  <si>
    <t>The emergence of the speech capacity / D. Kimbrough Oller.</t>
  </si>
  <si>
    <t>Oller, D. Kimbrough.</t>
  </si>
  <si>
    <t>Mahwah, N.J. : Lawrence Erlbaum Associates, 2000.</t>
  </si>
  <si>
    <t>1001668:eng</t>
  </si>
  <si>
    <t>42641791</t>
  </si>
  <si>
    <t>ocm42641791</t>
  </si>
  <si>
    <t>3102796597I</t>
  </si>
  <si>
    <t>9780805826289</t>
  </si>
  <si>
    <t>793610442</t>
  </si>
  <si>
    <t>P118 O88 1994</t>
  </si>
  <si>
    <t>0                      P  0118000O  88          1994</t>
  </si>
  <si>
    <t>Other children, other languages : issues in the theory of language acquisition / edited by Yonata Levy.</t>
  </si>
  <si>
    <t>890881268:eng</t>
  </si>
  <si>
    <t>28063181</t>
  </si>
  <si>
    <t>ocm28063181</t>
  </si>
  <si>
    <t>3102756012W</t>
  </si>
  <si>
    <t>9780805813302</t>
  </si>
  <si>
    <t>793278850</t>
  </si>
  <si>
    <t>P118 O93 2008</t>
  </si>
  <si>
    <t>0                      P  0118000O  93          2008</t>
  </si>
  <si>
    <t>Language development : an introduction / Robert E. Owens, Jr.</t>
  </si>
  <si>
    <t>Owens, Robert E., Jr., 1944-</t>
  </si>
  <si>
    <t>2016-06-07</t>
  </si>
  <si>
    <t>892887:eng</t>
  </si>
  <si>
    <t>123777575</t>
  </si>
  <si>
    <t>ocn123777575</t>
  </si>
  <si>
    <t>3102650821$</t>
  </si>
  <si>
    <t>9780205525560</t>
  </si>
  <si>
    <t>794228163</t>
  </si>
  <si>
    <t>P118 O93 2012</t>
  </si>
  <si>
    <t>0                      P  0118000O  93          2012</t>
  </si>
  <si>
    <t>Owens, Robert E., Jr., 1944- author.</t>
  </si>
  <si>
    <t>Boston : Pearson, ©2012.</t>
  </si>
  <si>
    <t>682896734</t>
  </si>
  <si>
    <t>ocn682896734</t>
  </si>
  <si>
    <t>3103321730M</t>
  </si>
  <si>
    <t>9780132582520</t>
  </si>
  <si>
    <t>794853135</t>
  </si>
  <si>
    <t>P118 O94 2014</t>
  </si>
  <si>
    <t>0                      P  0118000O  94          2014</t>
  </si>
  <si>
    <t>The Oxford handbook of language production / edited by Matthew Goldrick, Victor Ferreira, Michele Miozzo.</t>
  </si>
  <si>
    <t>Oxford ; New York : Oxford University Press, [2014]</t>
  </si>
  <si>
    <t>Oxford library of psychology</t>
  </si>
  <si>
    <t>2018-02-10</t>
  </si>
  <si>
    <t>1761659678:eng</t>
  </si>
  <si>
    <t>858080503</t>
  </si>
  <si>
    <t>ocn858080503</t>
  </si>
  <si>
    <t>3103565903B</t>
  </si>
  <si>
    <t>9780199735471</t>
  </si>
  <si>
    <t>794955795</t>
  </si>
  <si>
    <t>P118 P35 2006</t>
  </si>
  <si>
    <t>0                      P  0118000P  35          2006</t>
  </si>
  <si>
    <t>Paths of development in L1 and L2 acquisition : in honor of Bonnie D. Schwartz / edited by Sharon Unsworth [and others].</t>
  </si>
  <si>
    <t>Language acquisition &amp; language disorders, 0925-0123 ; v. 39</t>
  </si>
  <si>
    <t>900779748:eng</t>
  </si>
  <si>
    <t>61879795</t>
  </si>
  <si>
    <t>ocm61879795</t>
  </si>
  <si>
    <t>31025766578</t>
  </si>
  <si>
    <t>9789027252999</t>
  </si>
  <si>
    <t>794099136</t>
  </si>
  <si>
    <t>P118 P396 2012</t>
  </si>
  <si>
    <t>0                      P  0118000P  396         2012</t>
  </si>
  <si>
    <t>Language development from theory to practice / Khara L. Pence Turnbull, Laura M. Justice.</t>
  </si>
  <si>
    <t>(Text + CD-ROM)</t>
  </si>
  <si>
    <t>Pence, Khara L.</t>
  </si>
  <si>
    <t>Upper Saddle River, N.J. : Pearson, ©2012.</t>
  </si>
  <si>
    <t>58235761:eng</t>
  </si>
  <si>
    <t>681739008</t>
  </si>
  <si>
    <t>ocn681739008</t>
  </si>
  <si>
    <t>3103324457F</t>
  </si>
  <si>
    <t>9780137073474</t>
  </si>
  <si>
    <t>794852356</t>
  </si>
  <si>
    <t>P118 P55 1984</t>
  </si>
  <si>
    <t>0                      P  0118000P  55          1984</t>
  </si>
  <si>
    <t>Language learnability and language development / Steven Pinker.</t>
  </si>
  <si>
    <t>Cambridge, Mass. : Harvard University Press, 1984.</t>
  </si>
  <si>
    <t>Cognitive science series ; 7</t>
  </si>
  <si>
    <t>2801192:eng</t>
  </si>
  <si>
    <t>10402699</t>
  </si>
  <si>
    <t>ocm10402699</t>
  </si>
  <si>
    <t>3102755990U</t>
  </si>
  <si>
    <t>9780674510548</t>
  </si>
  <si>
    <t>792724490</t>
  </si>
  <si>
    <t>3102755999U</t>
  </si>
  <si>
    <t>792724492</t>
  </si>
  <si>
    <t>2013-05-03</t>
  </si>
  <si>
    <t>3102755995U</t>
  </si>
  <si>
    <t>792724491</t>
  </si>
  <si>
    <t>P118 P555 2013</t>
  </si>
  <si>
    <t>0                      P  0118000P  555         2013</t>
  </si>
  <si>
    <t>Learnability and cognition : the acquisition of argument structure / Steven Pinker.</t>
  </si>
  <si>
    <t>Cambridge, MA : The MIT Press, 2013.</t>
  </si>
  <si>
    <t>New ed.</t>
  </si>
  <si>
    <t>799393950:eng</t>
  </si>
  <si>
    <t>811778672</t>
  </si>
  <si>
    <t>ocn811778672</t>
  </si>
  <si>
    <t>3103498495O</t>
  </si>
  <si>
    <t>9780262518406</t>
  </si>
  <si>
    <t>794930423</t>
  </si>
  <si>
    <t>P118 P663 2009</t>
  </si>
  <si>
    <t>0                      P  0118000P  663         2009</t>
  </si>
  <si>
    <t>The acquisition of French : the development of inflectional morphology and syntax in L1 acquisition, bilingualism, and L2 acquisition / Philippe Prévost.</t>
  </si>
  <si>
    <t>Prévost, Philippe, 1966-</t>
  </si>
  <si>
    <t>Language acquisition and language disorders, 0925-0123 ; v. 51. Monographs on the acquisition of specific languages ; 2</t>
  </si>
  <si>
    <t>793204246:eng</t>
  </si>
  <si>
    <t>430345321</t>
  </si>
  <si>
    <t>ocn430345321</t>
  </si>
  <si>
    <t>3103158464V</t>
  </si>
  <si>
    <t>9789027253125</t>
  </si>
  <si>
    <t>794780827</t>
  </si>
  <si>
    <t>P118 R593 2011</t>
  </si>
  <si>
    <t>0                      P  0118000R  593         2011</t>
  </si>
  <si>
    <t>The role of metalinguistic awareness in the effective teaching of foreign languages / Anthony David Roberts.</t>
  </si>
  <si>
    <t>Roberts, Anthony David, 1943-</t>
  </si>
  <si>
    <t>Rethinking education ; v. 10</t>
  </si>
  <si>
    <t>890158007:eng</t>
  </si>
  <si>
    <t>716070927</t>
  </si>
  <si>
    <t>ocn716070927</t>
  </si>
  <si>
    <t>31033804227</t>
  </si>
  <si>
    <t>9783034302807</t>
  </si>
  <si>
    <t>794874002</t>
  </si>
  <si>
    <t>P118 S175 1992</t>
  </si>
  <si>
    <t>0                      P  0118000S  175         1992</t>
  </si>
  <si>
    <t>Universal Grammar and language learnability / Anjum P. Saleemi.</t>
  </si>
  <si>
    <t>Saleemi, Anjum P.</t>
  </si>
  <si>
    <t>Cambridge studies in linguistics ; 61</t>
  </si>
  <si>
    <t>181134:eng</t>
  </si>
  <si>
    <t>23869123</t>
  </si>
  <si>
    <t>ocm23869123</t>
  </si>
  <si>
    <t>3102755993U</t>
  </si>
  <si>
    <t>9780521400756</t>
  </si>
  <si>
    <t>793183826</t>
  </si>
  <si>
    <t>P118 S33 1988</t>
  </si>
  <si>
    <t>0                      P  0118000S  33          1988</t>
  </si>
  <si>
    <t>A time to speak : a psycholinguistic inquiry into the critical period for human speech / Thomas Scovel.</t>
  </si>
  <si>
    <t>Cambridge [England] ; New York : Newbury House, ©1988.</t>
  </si>
  <si>
    <t>836840699:eng</t>
  </si>
  <si>
    <t>17676834</t>
  </si>
  <si>
    <t>ocm17676834</t>
  </si>
  <si>
    <t>3001000627M</t>
  </si>
  <si>
    <t>9780066325323</t>
  </si>
  <si>
    <t>792999732</t>
  </si>
  <si>
    <t>P118 S35 1984</t>
  </si>
  <si>
    <t>0                      P  0118000S  35          1984</t>
  </si>
  <si>
    <t>Second language acquisition by adult immigrants : a field manual / Clive Perdue, editor.</t>
  </si>
  <si>
    <t>Rowley, Mass. : Newbury House Publishers, 1984.</t>
  </si>
  <si>
    <t>889519235:eng</t>
  </si>
  <si>
    <t>10913985</t>
  </si>
  <si>
    <t>ocm10913985</t>
  </si>
  <si>
    <t>3000974080$</t>
  </si>
  <si>
    <t>9780883772812</t>
  </si>
  <si>
    <t>792749332</t>
  </si>
  <si>
    <t>P118 S38 2010</t>
  </si>
  <si>
    <t>0                      P  0118000S  38          2010</t>
  </si>
  <si>
    <t>Child language : acquisition and development / Matthew Saxton.</t>
  </si>
  <si>
    <t>Saxton, Matthew.</t>
  </si>
  <si>
    <t>London ; Los Angeles : SAGE Publications, 2010.</t>
  </si>
  <si>
    <t>892362707:eng</t>
  </si>
  <si>
    <t>441152900</t>
  </si>
  <si>
    <t>ocn441152900</t>
  </si>
  <si>
    <t>3103241829H</t>
  </si>
  <si>
    <t>9781412902311</t>
  </si>
  <si>
    <t>794786645</t>
  </si>
  <si>
    <t>P118 S46 2015</t>
  </si>
  <si>
    <t>0                      P  0118000S  46          2015</t>
  </si>
  <si>
    <t>Semantics and morphology of early adjectives in first language acquisition / edited by Elena Tribushinina, Maria D. Voeikova and Sabrina Noccetti.</t>
  </si>
  <si>
    <t>2623469026:eng</t>
  </si>
  <si>
    <t>915331716</t>
  </si>
  <si>
    <t>ocn915331716</t>
  </si>
  <si>
    <t>3103653130E</t>
  </si>
  <si>
    <t>9781443883269</t>
  </si>
  <si>
    <t>795000516</t>
  </si>
  <si>
    <t>2015-03-25</t>
  </si>
  <si>
    <t>P118 T28 1983</t>
  </si>
  <si>
    <t>0                      P  0118000T  28          1983</t>
  </si>
  <si>
    <t>The sun is feminine : a study on language acquisition in bilingual children / Traute Taeschner.</t>
  </si>
  <si>
    <t>Taeschner, Traute, 1950-</t>
  </si>
  <si>
    <t>Berlin ; New York : Springer-Verlag, 1983.</t>
  </si>
  <si>
    <t>Springer series in language and communication ; 13</t>
  </si>
  <si>
    <t>795298656:eng</t>
  </si>
  <si>
    <t>9283398</t>
  </si>
  <si>
    <t>ocm09283398</t>
  </si>
  <si>
    <t>3102756045Q</t>
  </si>
  <si>
    <t>9780387122380</t>
  </si>
  <si>
    <t>792668251</t>
  </si>
  <si>
    <t>P118 T39 2012</t>
  </si>
  <si>
    <t>0                      P  0118000T  39          2012</t>
  </si>
  <si>
    <t>Tense, aspect, and mood in first and second language acquisition / edited by Emmanuelle Labeau and Inès Saddour.</t>
  </si>
  <si>
    <t>Amsterdam ; New York : Rodopi, 2012.</t>
  </si>
  <si>
    <t>Cahiers chronos, 1384-5357 ; 24</t>
  </si>
  <si>
    <t>2019-07-26</t>
  </si>
  <si>
    <t>1064235140:eng</t>
  </si>
  <si>
    <t>774635864</t>
  </si>
  <si>
    <t>ocn774635864</t>
  </si>
  <si>
    <t>31034122031</t>
  </si>
  <si>
    <t>9789042034303</t>
  </si>
  <si>
    <t>794906698</t>
  </si>
  <si>
    <t>P118 U76 2016</t>
  </si>
  <si>
    <t>0                      P  0118000U  76          2016</t>
  </si>
  <si>
    <t>The usage-based study of language learning and multilingualism / Lourdes Ortega, Andrea E. Tyler, Hae In Park, and Mariko Uno, editors.</t>
  </si>
  <si>
    <t>Washington, D.C. : Georgetown University Press, [2016]</t>
  </si>
  <si>
    <t>The Georgetown University Round Table of Languages and Linguistics series</t>
  </si>
  <si>
    <t>2617770556:eng</t>
  </si>
  <si>
    <t>920676933</t>
  </si>
  <si>
    <t>ocn920676933</t>
  </si>
  <si>
    <t>3103687194O</t>
  </si>
  <si>
    <t>9781626163249</t>
  </si>
  <si>
    <t>795002414</t>
  </si>
  <si>
    <t>3103687191U</t>
  </si>
  <si>
    <t>795002415</t>
  </si>
  <si>
    <t>P118 V37 2010</t>
  </si>
  <si>
    <t>0                      P  0118000V  37          2010</t>
  </si>
  <si>
    <t>Variation in the input : studies in the acquisition of word order / edited by Merete Anderssen, Kristine Bentzen, Marit Westergaard.</t>
  </si>
  <si>
    <t>Dordrecht ; New York : Springer, ©2010.</t>
  </si>
  <si>
    <t>Studies in theoretical psycholinguistics ; v. 39</t>
  </si>
  <si>
    <t>906099623:eng</t>
  </si>
  <si>
    <t>639461819</t>
  </si>
  <si>
    <t>ocn639461819</t>
  </si>
  <si>
    <t>3103321724O</t>
  </si>
  <si>
    <t>9789048192069</t>
  </si>
  <si>
    <t>794826853</t>
  </si>
  <si>
    <t>P118 V54 1996</t>
  </si>
  <si>
    <t>0                      P  0118000V  54          1996</t>
  </si>
  <si>
    <t>Phonological development : the origins of language in the child / Marilyn May Vihman.</t>
  </si>
  <si>
    <t>Vihman, Marilyn May.</t>
  </si>
  <si>
    <t>Cambridge, Mass. : Blackwell, ©1996.</t>
  </si>
  <si>
    <t>Applied language studies</t>
  </si>
  <si>
    <t>2012-04-02</t>
  </si>
  <si>
    <t>2017-08-08</t>
  </si>
  <si>
    <t>806491401:eng</t>
  </si>
  <si>
    <t>32432017</t>
  </si>
  <si>
    <t>ocm32432017</t>
  </si>
  <si>
    <t>3102756024U</t>
  </si>
  <si>
    <t>9780631163534</t>
  </si>
  <si>
    <t>793384160</t>
  </si>
  <si>
    <t>3102756048Q</t>
  </si>
  <si>
    <t>793384159</t>
  </si>
  <si>
    <t>P118 V63 2009</t>
  </si>
  <si>
    <t>0                      P  0118000V  63          2009</t>
  </si>
  <si>
    <t>Vocabulary studies in first and second language acquisition : the interface between theory and application / edited by Brian Richards [and others].</t>
  </si>
  <si>
    <t>1047853770:eng</t>
  </si>
  <si>
    <t>318670652</t>
  </si>
  <si>
    <t>ocn318670652</t>
  </si>
  <si>
    <t>3102858776M</t>
  </si>
  <si>
    <t>9780230206687</t>
  </si>
  <si>
    <t>794482347</t>
  </si>
  <si>
    <t>P118 W47</t>
  </si>
  <si>
    <t>0                      P  0118000W  47</t>
  </si>
  <si>
    <t>Formal principles of language acquisition / Kenneth Wexler and Peter W. Culicover.</t>
  </si>
  <si>
    <t>Wexler, Kenneth.</t>
  </si>
  <si>
    <t>Cambridge, Mass. : MIT Press, ©1980.</t>
  </si>
  <si>
    <t>3350171:eng</t>
  </si>
  <si>
    <t>5830590</t>
  </si>
  <si>
    <t>ocm05830590</t>
  </si>
  <si>
    <t>3102756038S</t>
  </si>
  <si>
    <t>9780262230995</t>
  </si>
  <si>
    <t>792457267</t>
  </si>
  <si>
    <t>P118 Y359 2006</t>
  </si>
  <si>
    <t>0                      P  0118000Y  359         2006</t>
  </si>
  <si>
    <t>The infinite gift : how children learn and unlearn the languages of the world / Charles Yang.</t>
  </si>
  <si>
    <t>Yang, Charles D.</t>
  </si>
  <si>
    <t>New York : Scribner, ©2006.</t>
  </si>
  <si>
    <t>49393486:eng</t>
  </si>
  <si>
    <t>65644726</t>
  </si>
  <si>
    <t>ocm65644726</t>
  </si>
  <si>
    <t>31025877056</t>
  </si>
  <si>
    <t>9780743237567</t>
  </si>
  <si>
    <t>794136157</t>
  </si>
  <si>
    <t>P118 Y36 2002</t>
  </si>
  <si>
    <t>0                      P  0118000Y  36          2002</t>
  </si>
  <si>
    <t>Knowledge and learning in natural language / Charles Yang.</t>
  </si>
  <si>
    <t>Yang, Charles.</t>
  </si>
  <si>
    <t>131836510:eng</t>
  </si>
  <si>
    <t>53211402</t>
  </si>
  <si>
    <t>ocm53211402</t>
  </si>
  <si>
    <t>3102519561R</t>
  </si>
  <si>
    <t>9780199254149</t>
  </si>
  <si>
    <t>793823753</t>
  </si>
  <si>
    <t>P118.15 C73 1998</t>
  </si>
  <si>
    <t>0                      P  0118150C  73          1998</t>
  </si>
  <si>
    <t>Investigations in universal grammar : a guide to experiments on the acquisition of syntax and semantics / Stephen Crain and Rosalind Thornton.</t>
  </si>
  <si>
    <t>Crain, Stephen, 1947-</t>
  </si>
  <si>
    <t>Cambridge, Mass. : MIT Press, ©1998.</t>
  </si>
  <si>
    <t>Language, speech, and communication</t>
  </si>
  <si>
    <t>603483:eng</t>
  </si>
  <si>
    <t>37890508</t>
  </si>
  <si>
    <t>ocm37890508</t>
  </si>
  <si>
    <t>3102683230P</t>
  </si>
  <si>
    <t>9780262032506</t>
  </si>
  <si>
    <t>793509491</t>
  </si>
  <si>
    <t>P118.15 J64 2008</t>
  </si>
  <si>
    <t>0                      P  0118150J  64          2008</t>
  </si>
  <si>
    <t>How myths about language affect education : what every teacher should know / David Johnson.</t>
  </si>
  <si>
    <t>Johnson, David, 1967-</t>
  </si>
  <si>
    <t>Ann Arbor : University of Michigan Press, ©2008.</t>
  </si>
  <si>
    <t>1104587754:eng</t>
  </si>
  <si>
    <t>226357770</t>
  </si>
  <si>
    <t>ocn226357770</t>
  </si>
  <si>
    <t>31029721839</t>
  </si>
  <si>
    <t>9780472032877</t>
  </si>
  <si>
    <t>794345337</t>
  </si>
  <si>
    <t>P118.15 L87 2006</t>
  </si>
  <si>
    <t>0                      P  0118150L  87          2006</t>
  </si>
  <si>
    <t>Child language : acquisition and growth / Barbara C. Lust.</t>
  </si>
  <si>
    <t>Lust, Barbara, 1941-</t>
  </si>
  <si>
    <t>797253624:eng</t>
  </si>
  <si>
    <t>60794222</t>
  </si>
  <si>
    <t>ocm60794222</t>
  </si>
  <si>
    <t>3102565708O</t>
  </si>
  <si>
    <t>9780521444781</t>
  </si>
  <si>
    <t>793943813</t>
  </si>
  <si>
    <t>P118.15 P79 2012</t>
  </si>
  <si>
    <t>0                      P  0118150P  79          2012</t>
  </si>
  <si>
    <t>Psychology for language learning : insights from research, theory and practice / edited by Sarah Mercer, Stephen Ryan and Marion Williams.</t>
  </si>
  <si>
    <t>Houndmills, Basingstoke, Hampshire ; New York : Palgrave Macmillian, 2012.</t>
  </si>
  <si>
    <t>1087997428:eng</t>
  </si>
  <si>
    <t>779863525</t>
  </si>
  <si>
    <t>ocn779863525</t>
  </si>
  <si>
    <t>3103432022U</t>
  </si>
  <si>
    <t>9780230301153</t>
  </si>
  <si>
    <t>794911412</t>
  </si>
  <si>
    <t>P118.2 A323 2011</t>
  </si>
  <si>
    <t>0                      P  0118200A  323         2011</t>
  </si>
  <si>
    <t>The acquisition of L2 phonology / edited by Janusz Arabski and Adam Wojtaszek.</t>
  </si>
  <si>
    <t>1004803849:eng</t>
  </si>
  <si>
    <t>704895985</t>
  </si>
  <si>
    <t>ocn704895985</t>
  </si>
  <si>
    <t>3103341419P</t>
  </si>
  <si>
    <t>9781847693754</t>
  </si>
  <si>
    <t>794865913</t>
  </si>
  <si>
    <t>P118.2 A35 1995</t>
  </si>
  <si>
    <t>0                      P  0118200A  35          1995</t>
  </si>
  <si>
    <t>The age factor in second language acquisition : a critical look at the critical period hypothesis / edited by David Singleton and Zsolt Lengyel.</t>
  </si>
  <si>
    <t>2018-05-13</t>
  </si>
  <si>
    <t>799777145:eng</t>
  </si>
  <si>
    <t>32745444</t>
  </si>
  <si>
    <t>ocm32745444</t>
  </si>
  <si>
    <t>3103475485B</t>
  </si>
  <si>
    <t>9781853593024</t>
  </si>
  <si>
    <t>793393226</t>
  </si>
  <si>
    <t>2012-04-11</t>
  </si>
  <si>
    <t>3102756105V</t>
  </si>
  <si>
    <t>793393225</t>
  </si>
  <si>
    <t>P118.2 A354 2011</t>
  </si>
  <si>
    <t>0                      P  0118200A  354         2011</t>
  </si>
  <si>
    <t>Achievements and perspectives in SLA of speech : new sounds 2010 / Magdalena Wrembel, Malgorzata Kul, Katarzyna Dziubalska-Kolaczyk (eds.).</t>
  </si>
  <si>
    <t>Polish studies in English language and literature, 1436-7513 ; v. 31-32</t>
  </si>
  <si>
    <t>983945097:eng</t>
  </si>
  <si>
    <t>740616942</t>
  </si>
  <si>
    <t>ocn740616942</t>
  </si>
  <si>
    <t>3103342090H</t>
  </si>
  <si>
    <t>9783631607220</t>
  </si>
  <si>
    <t>794883275</t>
  </si>
  <si>
    <t>3103342421J</t>
  </si>
  <si>
    <t>794883274</t>
  </si>
  <si>
    <t>P118.2 A48 2011</t>
  </si>
  <si>
    <t>0                      P  0118200A  48          2011</t>
  </si>
  <si>
    <t>Alternative approaches to second language acquisition / edited by Dwight Atkinson.</t>
  </si>
  <si>
    <t>2018-09-24</t>
  </si>
  <si>
    <t>366792006:eng</t>
  </si>
  <si>
    <t>491887598</t>
  </si>
  <si>
    <t>ocn491887598</t>
  </si>
  <si>
    <t>31032346834</t>
  </si>
  <si>
    <t>9780415549240</t>
  </si>
  <si>
    <t>794800671</t>
  </si>
  <si>
    <t>3103447266S</t>
  </si>
  <si>
    <t>794800672</t>
  </si>
  <si>
    <t>P118.2 A55 2012</t>
  </si>
  <si>
    <t>0                      P  0118200A  55          2012</t>
  </si>
  <si>
    <t>The social construction of age : adult foreign language learners / Patricia Andrew.</t>
  </si>
  <si>
    <t>Andrew, Patricia.</t>
  </si>
  <si>
    <t>Second language acquisition ; [63]</t>
  </si>
  <si>
    <t>1020505354:eng</t>
  </si>
  <si>
    <t>756282570</t>
  </si>
  <si>
    <t>ocn756282570</t>
  </si>
  <si>
    <t>31034094461</t>
  </si>
  <si>
    <t>9781847696144</t>
  </si>
  <si>
    <t>794894441</t>
  </si>
  <si>
    <t>P118.2 A665 2011</t>
  </si>
  <si>
    <t>0                      P  0118200A  665         2011</t>
  </si>
  <si>
    <t>Applying priming methods to L2 learning, teaching and research : insights from psycholinguistics / edited by Pavel Trofimovich, Kim McDonough.</t>
  </si>
  <si>
    <t>Language learning &amp; language teaching ; v. 30</t>
  </si>
  <si>
    <t>786630442:eng</t>
  </si>
  <si>
    <t>701622890</t>
  </si>
  <si>
    <t>ocn701622890</t>
  </si>
  <si>
    <t>3103341254N</t>
  </si>
  <si>
    <t>9789027213013</t>
  </si>
  <si>
    <t>794863292</t>
  </si>
  <si>
    <t>P118.2 A734 1998</t>
  </si>
  <si>
    <t>0                      P  0118200A  734         1998</t>
  </si>
  <si>
    <t>Second language phonology / John Archibald.</t>
  </si>
  <si>
    <t>Archibald, John.</t>
  </si>
  <si>
    <t>Amsterdam ; Philadelphia, Pa. : J. Benjamins Pub. Co., ©1998.</t>
  </si>
  <si>
    <t>Language acquisition &amp; language disorders, 0925-0123 ; v. 17</t>
  </si>
  <si>
    <t>2015-02-21</t>
  </si>
  <si>
    <t>41664645:eng</t>
  </si>
  <si>
    <t>39162299</t>
  </si>
  <si>
    <t>ocm39162299</t>
  </si>
  <si>
    <t>3102756104V</t>
  </si>
  <si>
    <t>9781556197819</t>
  </si>
  <si>
    <t>793539397</t>
  </si>
  <si>
    <t>P118.2 B24 2000</t>
  </si>
  <si>
    <t>0                      P  0118200B  24          2000</t>
  </si>
  <si>
    <t>Tense and aspect in second language acquisition : form, meaning and use / Kathleen Bardovi-Harlig.</t>
  </si>
  <si>
    <t>Bardovi-Harlig, Kathleen, 1955-</t>
  </si>
  <si>
    <t>Oxford, U.K. ; Malden, MA : Blackwell, ©2000.</t>
  </si>
  <si>
    <t>836961245:eng</t>
  </si>
  <si>
    <t>45315744</t>
  </si>
  <si>
    <t>ocm45315744</t>
  </si>
  <si>
    <t>3102756103V</t>
  </si>
  <si>
    <t>9780631221494</t>
  </si>
  <si>
    <t>793669209</t>
  </si>
  <si>
    <t>P118.2 B485 2010</t>
  </si>
  <si>
    <t>0                      P  0118200B  485         2010</t>
  </si>
  <si>
    <t>Beyond the grammar wars : a resource for teachers and students on developing language knowledge in the English/literacy classroom / edited by Terry Locke.</t>
  </si>
  <si>
    <t>2014-11-27</t>
  </si>
  <si>
    <t>888409618:eng</t>
  </si>
  <si>
    <t>368025573</t>
  </si>
  <si>
    <t>ocn368025573</t>
  </si>
  <si>
    <t>31033229970</t>
  </si>
  <si>
    <t>9780415802642</t>
  </si>
  <si>
    <t>794494011</t>
  </si>
  <si>
    <t>P118.2 B56 2007</t>
  </si>
  <si>
    <t>0                      P  0118200B  56          2007</t>
  </si>
  <si>
    <t>Second language identities / David Block.</t>
  </si>
  <si>
    <t>Block, David, 1956-</t>
  </si>
  <si>
    <t>58969577:eng</t>
  </si>
  <si>
    <t>72150044</t>
  </si>
  <si>
    <t>ocm72150044</t>
  </si>
  <si>
    <t>3102569027P</t>
  </si>
  <si>
    <t>9780826474063</t>
  </si>
  <si>
    <t>794169663</t>
  </si>
  <si>
    <t>P118.2 B58 2003</t>
  </si>
  <si>
    <t>0                      P  0118200B  58          2003</t>
  </si>
  <si>
    <t>The social turn in second language acquisition / David Block.</t>
  </si>
  <si>
    <t>Edinburgh : Edinburgh University Press, ©2003.</t>
  </si>
  <si>
    <t>732458:eng</t>
  </si>
  <si>
    <t>51528098</t>
  </si>
  <si>
    <t>ocm51528098</t>
  </si>
  <si>
    <t>31034527171</t>
  </si>
  <si>
    <t>9780748615520</t>
  </si>
  <si>
    <t>793786229</t>
  </si>
  <si>
    <t>P118.2 B63 2009</t>
  </si>
  <si>
    <t>0                      P  0118200B  63          2009</t>
  </si>
  <si>
    <t>Optimizing a lexical approach to instructed second language acquisition / Frank Boers and Seth Lindstromberg.</t>
  </si>
  <si>
    <t>Boers, Frank.</t>
  </si>
  <si>
    <t>Houndmills, Basingstoke, Hampshire ; New York : Palgrave Macmillan, 2009.</t>
  </si>
  <si>
    <t>187691704:eng</t>
  </si>
  <si>
    <t>308173569</t>
  </si>
  <si>
    <t>ocn308173569</t>
  </si>
  <si>
    <t>3103130225D</t>
  </si>
  <si>
    <t>9780230222342</t>
  </si>
  <si>
    <t>794434479</t>
  </si>
  <si>
    <t>P118.2 B69 2010</t>
  </si>
  <si>
    <t>0                      P  0118200B  69          2010</t>
  </si>
  <si>
    <t>The think-aloud controversy in second language research / Melissa A. Bowles.</t>
  </si>
  <si>
    <t>Bowles, Melissa A.</t>
  </si>
  <si>
    <t>180345167:eng</t>
  </si>
  <si>
    <t>299711327</t>
  </si>
  <si>
    <t>ocn299711327</t>
  </si>
  <si>
    <t>3103241610P</t>
  </si>
  <si>
    <t>9780415994835</t>
  </si>
  <si>
    <t>794430541</t>
  </si>
  <si>
    <t>P118.2 B75 2002</t>
  </si>
  <si>
    <t>0                      P  0118200B  75          2002</t>
  </si>
  <si>
    <t>Doing second language research / James Dean Brown and Theodore S. Rodgers.</t>
  </si>
  <si>
    <t>Brown, James Dean.</t>
  </si>
  <si>
    <t>Oxford : Oxford University Press, 2002.</t>
  </si>
  <si>
    <t>2016-06-04</t>
  </si>
  <si>
    <t>986231:eng</t>
  </si>
  <si>
    <t>50852218</t>
  </si>
  <si>
    <t>ocm50852218</t>
  </si>
  <si>
    <t>3102671809Q</t>
  </si>
  <si>
    <t>9780194371742</t>
  </si>
  <si>
    <t>793774083</t>
  </si>
  <si>
    <t>P118.2 B76 1988</t>
  </si>
  <si>
    <t>0                      P  0118200B  76          1988</t>
  </si>
  <si>
    <t>Understanding research in second language learning : a teacher's guide to statistics and research design / James Dean Brown.</t>
  </si>
  <si>
    <t>Cambridge [England] ; New York : Cambridge University Press, 1988.</t>
  </si>
  <si>
    <t>138065472:eng</t>
  </si>
  <si>
    <t>17299633</t>
  </si>
  <si>
    <t>ocm17299633</t>
  </si>
  <si>
    <t>3103399201D</t>
  </si>
  <si>
    <t>9780521305242</t>
  </si>
  <si>
    <t>792987052</t>
  </si>
  <si>
    <t>P118.2 B77 2012</t>
  </si>
  <si>
    <t>0                      P  0118200B  77          2012</t>
  </si>
  <si>
    <t>Second language acquisition myths : applying second language research to classroom teaching / Steven Brown, Jenifer Larson-Hall.</t>
  </si>
  <si>
    <t>Brown, Steven, 1952-</t>
  </si>
  <si>
    <t>Ann Arbor, MI : University of Michigan Press, [2012]</t>
  </si>
  <si>
    <t>2017-08-17</t>
  </si>
  <si>
    <t>1081420954:eng</t>
  </si>
  <si>
    <t>777629892</t>
  </si>
  <si>
    <t>ocn777629892</t>
  </si>
  <si>
    <t>3103455624R</t>
  </si>
  <si>
    <t>9780472034987</t>
  </si>
  <si>
    <t>794908955</t>
  </si>
  <si>
    <t>P118.2 C35 2006</t>
  </si>
  <si>
    <t>0                      P  0118200C  35          2006</t>
  </si>
  <si>
    <t>Raising bilingual-biliterate children in monolingual cultures / Stephen J. Caldas.</t>
  </si>
  <si>
    <t>Caldas, Stephen J., 1957-</t>
  </si>
  <si>
    <t>Bilingual education and bilingualism ; 57</t>
  </si>
  <si>
    <t>2006-11-02</t>
  </si>
  <si>
    <t>46237797:eng</t>
  </si>
  <si>
    <t>61694796</t>
  </si>
  <si>
    <t>ocm61694796</t>
  </si>
  <si>
    <t>3102549421N</t>
  </si>
  <si>
    <t>9781853598760</t>
  </si>
  <si>
    <t>794091111</t>
  </si>
  <si>
    <t>3103224550I</t>
  </si>
  <si>
    <t>794091112</t>
  </si>
  <si>
    <t>P118.2 C356 2013</t>
  </si>
  <si>
    <t>0                      P  0118200C  356         2013</t>
  </si>
  <si>
    <t>The Cambridge handbook of second language acquisition / edited by Julia Herschensohn Martha Young-Scholten.</t>
  </si>
  <si>
    <t>Cambridge ; New York : Cambridge University Press, [2013]</t>
  </si>
  <si>
    <t>1118582021:eng</t>
  </si>
  <si>
    <t>828413231</t>
  </si>
  <si>
    <t>ocn828413231</t>
  </si>
  <si>
    <t>31034561143</t>
  </si>
  <si>
    <t>9781107007710</t>
  </si>
  <si>
    <t>794941113</t>
  </si>
  <si>
    <t>P118.2 C48 2016</t>
  </si>
  <si>
    <t>0                      P  0118200C  48          2016</t>
  </si>
  <si>
    <t>Accessing the workings of the mind : from input to intake / by Li-ling Chuang.</t>
  </si>
  <si>
    <t>Chuang, Li-ling, author.</t>
  </si>
  <si>
    <t>Oxford : Chartridge Books Oxford, 2016.</t>
  </si>
  <si>
    <t>2963588744:eng</t>
  </si>
  <si>
    <t>962402875</t>
  </si>
  <si>
    <t>ocn962402875</t>
  </si>
  <si>
    <t>3103655135V</t>
  </si>
  <si>
    <t>9781911033073</t>
  </si>
  <si>
    <t>795024449</t>
  </si>
  <si>
    <t>P118.2 C635 2010</t>
  </si>
  <si>
    <t>0                      P  0118200C  635         2010</t>
  </si>
  <si>
    <t>Cognitive processing in second language acquisition : inside the learner's mind / edited by Martin Pütz, Laura Sicola.</t>
  </si>
  <si>
    <t>Amsterdam ; Philadelphia : John Benjamins Pub., ©2010.</t>
  </si>
  <si>
    <t>Converging evidence in language and communication research (CELCR), 1566-7774 ; v. 13</t>
  </si>
  <si>
    <t>2015-06-26</t>
  </si>
  <si>
    <t>888380450:eng</t>
  </si>
  <si>
    <t>496610113</t>
  </si>
  <si>
    <t>ocn496610113</t>
  </si>
  <si>
    <t>3103241250T</t>
  </si>
  <si>
    <t>9789027239020</t>
  </si>
  <si>
    <t>794802627</t>
  </si>
  <si>
    <t>P118.2 C64 1998</t>
  </si>
  <si>
    <t>0                      P  0118200C  64          1998</t>
  </si>
  <si>
    <t>Strategies in learning and using a second language / Andrew D. Cohen.</t>
  </si>
  <si>
    <t>Cohen, Andrew D.</t>
  </si>
  <si>
    <t>London ; New York : Longman, 1998.</t>
  </si>
  <si>
    <t>563787:eng</t>
  </si>
  <si>
    <t>37432807</t>
  </si>
  <si>
    <t>ocm37432807</t>
  </si>
  <si>
    <t>3101912693V</t>
  </si>
  <si>
    <t>9780582305885</t>
  </si>
  <si>
    <t>793498545</t>
  </si>
  <si>
    <t>P118.2 C64 2011</t>
  </si>
  <si>
    <t>0                      P  0118200C  64          2011</t>
  </si>
  <si>
    <t>Harlow, England ; New York : Pearson/Longman, ©2011.</t>
  </si>
  <si>
    <t>Longman applied linguistics</t>
  </si>
  <si>
    <t>695032998</t>
  </si>
  <si>
    <t>ocn695032998</t>
  </si>
  <si>
    <t>31033814223</t>
  </si>
  <si>
    <t>9781408253991</t>
  </si>
  <si>
    <t>794858156</t>
  </si>
  <si>
    <t>P118.2 C645 2015</t>
  </si>
  <si>
    <t>0                      P  0118200C  645         2015</t>
  </si>
  <si>
    <t>Second language speech : theory and practice / Laura Colantoni, Jeffrey Steele, and Paola Escudero.</t>
  </si>
  <si>
    <t>Colantoni, Laura, author.</t>
  </si>
  <si>
    <t>2475241207:eng</t>
  </si>
  <si>
    <t>907494527</t>
  </si>
  <si>
    <t>ocn907494527</t>
  </si>
  <si>
    <t>3103759348O</t>
  </si>
  <si>
    <t>9781107018341</t>
  </si>
  <si>
    <t>794993494</t>
  </si>
  <si>
    <t>P118.2 C655 2013</t>
  </si>
  <si>
    <t>0                      P  0118200C  655         2013</t>
  </si>
  <si>
    <t>Contemporary approaches to second language acquisition / edited by María del Pilar García Mayo, María Junkal Gutierrez Mangado, María Martínez Adrián, University of the Basque Country (UPV/EHU).</t>
  </si>
  <si>
    <t>Amsterdam ; Philadelphia : John Benjamins Publishing Company, [2013]</t>
  </si>
  <si>
    <t>AILA Applied linguistics series, 1875-1113 ; v. 9</t>
  </si>
  <si>
    <t>1208576315:eng</t>
  </si>
  <si>
    <t>822532902</t>
  </si>
  <si>
    <t>ocn822532902</t>
  </si>
  <si>
    <t>3103528452O</t>
  </si>
  <si>
    <t>9789027205254</t>
  </si>
  <si>
    <t>794936497</t>
  </si>
  <si>
    <t>P118.2 C659 2010</t>
  </si>
  <si>
    <t>0                      P  0118200C  659         2010</t>
  </si>
  <si>
    <t>Continuum companion to second language acquisition / edited by Ernesto Macaro.</t>
  </si>
  <si>
    <t>Continuum Companions</t>
  </si>
  <si>
    <t>1044644311:eng</t>
  </si>
  <si>
    <t>502158644</t>
  </si>
  <si>
    <t>ocn502158644</t>
  </si>
  <si>
    <t>3103132550R</t>
  </si>
  <si>
    <t>9780826495068</t>
  </si>
  <si>
    <t>794805503</t>
  </si>
  <si>
    <t>P118.2 C66 1998</t>
  </si>
  <si>
    <t>0                      P  0118200C  66          1998</t>
  </si>
  <si>
    <t>Contemporary approaches to second language acquisition in social context : crosslinguistic perspectives / edited by Vera Regan.</t>
  </si>
  <si>
    <t>Dublin : University College Dublin Press, 1998.</t>
  </si>
  <si>
    <t>836954490:eng</t>
  </si>
  <si>
    <t>39339441</t>
  </si>
  <si>
    <t>ocm39339441</t>
  </si>
  <si>
    <t>3101917552O</t>
  </si>
  <si>
    <t>9781900621144</t>
  </si>
  <si>
    <t>793544032</t>
  </si>
  <si>
    <t>P118.2 C664 2007</t>
  </si>
  <si>
    <t>0                      P  0118200C  664         2007</t>
  </si>
  <si>
    <t>Conversational interaction in second language acquisition : a collection of empirical studies / edited by Alison Mackey.</t>
  </si>
  <si>
    <t>866951173:eng</t>
  </si>
  <si>
    <t>123374252</t>
  </si>
  <si>
    <t>ocn123374252</t>
  </si>
  <si>
    <t>3102572541T</t>
  </si>
  <si>
    <t>9780194422499</t>
  </si>
  <si>
    <t>794226778</t>
  </si>
  <si>
    <t>3102805283Z</t>
  </si>
  <si>
    <t>794226777</t>
  </si>
  <si>
    <t>3103101107V</t>
  </si>
  <si>
    <t>794226776</t>
  </si>
  <si>
    <t>P118.2 C668 1993</t>
  </si>
  <si>
    <t>0                      P  0118200C  668         1993</t>
  </si>
  <si>
    <t>Linguistics and second language acquisition / Vivian Cook.</t>
  </si>
  <si>
    <t>New York : St. Martin's Press, 1993.</t>
  </si>
  <si>
    <t>684708189:eng</t>
  </si>
  <si>
    <t>28063573</t>
  </si>
  <si>
    <t>ocm28063573</t>
  </si>
  <si>
    <t>3102739895R</t>
  </si>
  <si>
    <t>9780312101008</t>
  </si>
  <si>
    <t>793278872</t>
  </si>
  <si>
    <t>P118.2 C669 2014</t>
  </si>
  <si>
    <t>0                      P  0118200C  669         2014</t>
  </si>
  <si>
    <t>Key topics in second language acquisition / Vivian Cook and David Singleton.</t>
  </si>
  <si>
    <t>MM Textbooks</t>
  </si>
  <si>
    <t>1857384849:eng</t>
  </si>
  <si>
    <t>865574961</t>
  </si>
  <si>
    <t>ocn865574961</t>
  </si>
  <si>
    <t>31035317267</t>
  </si>
  <si>
    <t>9781783091805</t>
  </si>
  <si>
    <t>794963235</t>
  </si>
  <si>
    <t>P118.2 C67 2008</t>
  </si>
  <si>
    <t>0                      P  0118200C  67          2008</t>
  </si>
  <si>
    <t>Second language learning and language teaching / Vivian Cook.</t>
  </si>
  <si>
    <t>39656777:eng</t>
  </si>
  <si>
    <t>213479108</t>
  </si>
  <si>
    <t>ocn213479108</t>
  </si>
  <si>
    <t>31029743287</t>
  </si>
  <si>
    <t>9780340958766</t>
  </si>
  <si>
    <t>794308546</t>
  </si>
  <si>
    <t>P118.2 C75 2011</t>
  </si>
  <si>
    <t>0                      P  0118200C  75          2011</t>
  </si>
  <si>
    <t>Critical qualitative research in second language studies : agency and advocacy / Kathryn A. Davis.</t>
  </si>
  <si>
    <t>Charlotte, NC : Information Age Pub., ©2011.</t>
  </si>
  <si>
    <t>Contemporary language education</t>
  </si>
  <si>
    <t>2014-05-15</t>
  </si>
  <si>
    <t>774483036:eng</t>
  </si>
  <si>
    <t>700042244</t>
  </si>
  <si>
    <t>ocn700042244</t>
  </si>
  <si>
    <t>3103364847M</t>
  </si>
  <si>
    <t>9781617353840</t>
  </si>
  <si>
    <t>794861733</t>
  </si>
  <si>
    <t>P118.2 D395 2005</t>
  </si>
  <si>
    <t>0                      P  0118200D  395         2005</t>
  </si>
  <si>
    <t>Second language acquisition : an advanced resource book / Kees de Bot, Wander Lowie and Marjolijn Verspoor.</t>
  </si>
  <si>
    <t>De Bot, Kees.</t>
  </si>
  <si>
    <t>802080986:eng</t>
  </si>
  <si>
    <t>56491051</t>
  </si>
  <si>
    <t>ocm56491051</t>
  </si>
  <si>
    <t>3102549186K</t>
  </si>
  <si>
    <t>9780415338707</t>
  </si>
  <si>
    <t>793894292</t>
  </si>
  <si>
    <t>P118.2 D636 2019</t>
  </si>
  <si>
    <t>0                      P  0118200D  636         2019</t>
  </si>
  <si>
    <t>Doing SLA research with implications for the classroom : reconciling methodological demands and pedagogical applicability / edited by Robert M. DeKeyser, Goretti Prieto Botana.</t>
  </si>
  <si>
    <t>Amsterdam ; Philadelphia : John Benjamins Publishing Company, [2019]</t>
  </si>
  <si>
    <t>Language learning &amp; language teaching (LL&amp;LT), 1569-9471 ; volume 52</t>
  </si>
  <si>
    <t>8982592439:eng</t>
  </si>
  <si>
    <t>1090282465</t>
  </si>
  <si>
    <t>on1090282465</t>
  </si>
  <si>
    <t>31039103469</t>
  </si>
  <si>
    <t>9789027203069</t>
  </si>
  <si>
    <t>795079830</t>
  </si>
  <si>
    <t>P118.2 D65 2009</t>
  </si>
  <si>
    <t>0                      P  0118200D  65          2009</t>
  </si>
  <si>
    <t>The psychology of second language acquisition / Zoltán Dörnyei.</t>
  </si>
  <si>
    <t>1863488927:eng</t>
  </si>
  <si>
    <t>319424991</t>
  </si>
  <si>
    <t>ocn319424991</t>
  </si>
  <si>
    <t>31028578040</t>
  </si>
  <si>
    <t>9780194421973</t>
  </si>
  <si>
    <t>794483749</t>
  </si>
  <si>
    <t>P118.2 D66 2005</t>
  </si>
  <si>
    <t>0                      P  0118200D  66          2005</t>
  </si>
  <si>
    <t>The psychology of the language learner : individual differences in second language acquisition / Zoltán Dörnyei.</t>
  </si>
  <si>
    <t>Dörnyei, Zoltan.</t>
  </si>
  <si>
    <t>800362348:eng</t>
  </si>
  <si>
    <t>61144323</t>
  </si>
  <si>
    <t>ocm61144323</t>
  </si>
  <si>
    <t>3102490543X</t>
  </si>
  <si>
    <t>9780805847291</t>
  </si>
  <si>
    <t>793947256</t>
  </si>
  <si>
    <t>P118.2 D67 2010</t>
  </si>
  <si>
    <t>0                      P  0118200D  67          2010</t>
  </si>
  <si>
    <t>Questionnaires in second language research : construction, administration, and processing / Zoltán Dörnyei with contributions from Tatsuya Taguchi.</t>
  </si>
  <si>
    <t>Second language acquisition research series. Monographs on research methodology</t>
  </si>
  <si>
    <t>2019-09-19</t>
  </si>
  <si>
    <t>797188853:eng</t>
  </si>
  <si>
    <t>277195958</t>
  </si>
  <si>
    <t>ocn277195958</t>
  </si>
  <si>
    <t>3103156671V</t>
  </si>
  <si>
    <t>9780415998192</t>
  </si>
  <si>
    <t>794418600</t>
  </si>
  <si>
    <t>P118.2 D96 2011</t>
  </si>
  <si>
    <t>0                      P  0118200D  96          2011</t>
  </si>
  <si>
    <t>A dynamic approach to second language development : methods and techniques / edited by Marjolijn H. Verspoor, Kees de Bot, Wander Lowie.</t>
  </si>
  <si>
    <t>Language learning &amp; language teaching (LL &amp; LT) ; 29</t>
  </si>
  <si>
    <t>902470543:eng</t>
  </si>
  <si>
    <t>671541681</t>
  </si>
  <si>
    <t>ocn671541681</t>
  </si>
  <si>
    <t>31033444457</t>
  </si>
  <si>
    <t>9789027219985</t>
  </si>
  <si>
    <t>794848831</t>
  </si>
  <si>
    <t>P118.2 E375 2005</t>
  </si>
  <si>
    <t>0                      P  0118200E  375         2005</t>
  </si>
  <si>
    <t>Analysing learner language / Rod Ellis, Gary Barkhuizen.</t>
  </si>
  <si>
    <t>19990125:eng</t>
  </si>
  <si>
    <t>58970182</t>
  </si>
  <si>
    <t>ocm58970182</t>
  </si>
  <si>
    <t>3102555172X</t>
  </si>
  <si>
    <t>9780194316347</t>
  </si>
  <si>
    <t>793926048</t>
  </si>
  <si>
    <t>P118.2 E375 2009</t>
  </si>
  <si>
    <t>0                      P  0118200E  375         2009</t>
  </si>
  <si>
    <t>Implicit and explicit knowledge in second language learning, testing and teaching / Rod Ellis [and others].</t>
  </si>
  <si>
    <t>1011665853:eng</t>
  </si>
  <si>
    <t>317454665</t>
  </si>
  <si>
    <t>ocn317454665</t>
  </si>
  <si>
    <t>31028592314</t>
  </si>
  <si>
    <t>9781847691750</t>
  </si>
  <si>
    <t>794453636</t>
  </si>
  <si>
    <t>P118.2 E38 1999</t>
  </si>
  <si>
    <t>0                      P  0118200E  38          1999</t>
  </si>
  <si>
    <t>Learning a second language through interaction / Rod Ellis ; with contributions from Sandra Fotos [and others].</t>
  </si>
  <si>
    <t>Amsterdam ; Philadelphia : J. Benjamins, 1999.</t>
  </si>
  <si>
    <t>Studies in bilingualism, 0928-1533 ; v. 17</t>
  </si>
  <si>
    <t>8909070376:eng</t>
  </si>
  <si>
    <t>41932611</t>
  </si>
  <si>
    <t>ocm41932611</t>
  </si>
  <si>
    <t>31023267565</t>
  </si>
  <si>
    <t>9781556197369</t>
  </si>
  <si>
    <t>793599111</t>
  </si>
  <si>
    <t>2011-04-29</t>
  </si>
  <si>
    <t>3102756094G</t>
  </si>
  <si>
    <t>793599112</t>
  </si>
  <si>
    <t>P118.2 E39 1992</t>
  </si>
  <si>
    <t>0                      P  0118200E  39          1992</t>
  </si>
  <si>
    <t>Second language acquisition &amp; language pedagogy / Rod Ellis.</t>
  </si>
  <si>
    <t>Clevedon ; Philadelphia : Multilingual Matters, ©1992.</t>
  </si>
  <si>
    <t>3901376167:eng</t>
  </si>
  <si>
    <t>24550230</t>
  </si>
  <si>
    <t>ocm24550230</t>
  </si>
  <si>
    <t>3101115617E</t>
  </si>
  <si>
    <t>9781853591365</t>
  </si>
  <si>
    <t>793201107</t>
  </si>
  <si>
    <t>P118.2 E393 1997</t>
  </si>
  <si>
    <t>0                      P  0118200E  393         1997</t>
  </si>
  <si>
    <t>SLA research and language teaching / Rod Ellis.</t>
  </si>
  <si>
    <t>42351746:eng</t>
  </si>
  <si>
    <t>38237405</t>
  </si>
  <si>
    <t>ocm38237405</t>
  </si>
  <si>
    <t>31018754472</t>
  </si>
  <si>
    <t>9780194372152</t>
  </si>
  <si>
    <t>793519582</t>
  </si>
  <si>
    <t>P118.2 E394 1994</t>
  </si>
  <si>
    <t>0                      P  0118200E  394         1994</t>
  </si>
  <si>
    <t>The study of second language acquisition / Rod Ellis.</t>
  </si>
  <si>
    <t>Oxford ; New York : Oxford University Press, 1994.</t>
  </si>
  <si>
    <t>2288094508:eng</t>
  </si>
  <si>
    <t>59817570</t>
  </si>
  <si>
    <t>ocm59817570</t>
  </si>
  <si>
    <t>3103398997F</t>
  </si>
  <si>
    <t>9780194371896</t>
  </si>
  <si>
    <t>793931945</t>
  </si>
  <si>
    <t>P118.2 E394 2008</t>
  </si>
  <si>
    <t>0                      P  0118200E  394         2008</t>
  </si>
  <si>
    <t>261266233</t>
  </si>
  <si>
    <t>ocn261266233</t>
  </si>
  <si>
    <t>31030746532</t>
  </si>
  <si>
    <t>9780194422574</t>
  </si>
  <si>
    <t>794401148</t>
  </si>
  <si>
    <t>3102855107T</t>
  </si>
  <si>
    <t>794401147</t>
  </si>
  <si>
    <t>P118.2 E395 1997</t>
  </si>
  <si>
    <t>0                      P  0118200E  395         1997</t>
  </si>
  <si>
    <t>Second language acquisition / Rod Ellis.</t>
  </si>
  <si>
    <t>37303510</t>
  </si>
  <si>
    <t>ocm37303510</t>
  </si>
  <si>
    <t>3101896455N</t>
  </si>
  <si>
    <t>9780194372121</t>
  </si>
  <si>
    <t>793495448</t>
  </si>
  <si>
    <t>P118.2 E4 1986</t>
  </si>
  <si>
    <t>0                      P  0118200E  4           1986</t>
  </si>
  <si>
    <t>Understanding second language acquisition / Rod Ellis.</t>
  </si>
  <si>
    <t>Oxford ; New York : Oxford University Press, 1986.</t>
  </si>
  <si>
    <t>10510328:eng</t>
  </si>
  <si>
    <t>16626551</t>
  </si>
  <si>
    <t>ocm16626551</t>
  </si>
  <si>
    <t>3102756093G</t>
  </si>
  <si>
    <t>9780194370813</t>
  </si>
  <si>
    <t>792966812</t>
  </si>
  <si>
    <t>2008-03-19</t>
  </si>
  <si>
    <t>3102756091G</t>
  </si>
  <si>
    <t>792966813</t>
  </si>
  <si>
    <t>3101952459F</t>
  </si>
  <si>
    <t>792966811</t>
  </si>
  <si>
    <t>- Redpath Basement - Historical Curriculum Resources Collection - Regular Loan</t>
  </si>
  <si>
    <t>P118.2 E4 2015</t>
  </si>
  <si>
    <t>0                      P  0118200E  4           2015</t>
  </si>
  <si>
    <t>Ellis, Rod, author.</t>
  </si>
  <si>
    <t>Oxford : Oxford University Press, 2015.</t>
  </si>
  <si>
    <t>908630230</t>
  </si>
  <si>
    <t>ocn908630230</t>
  </si>
  <si>
    <t>3103621608F</t>
  </si>
  <si>
    <t>9780194422048</t>
  </si>
  <si>
    <t>794994864</t>
  </si>
  <si>
    <t>P118.2 E835 2013</t>
  </si>
  <si>
    <t>0                      P  0118200E  835         2013</t>
  </si>
  <si>
    <t>Évaluer en didactique des langues/cultures : continuités, tensions, ruptures / coordonné par Emmanuelle Huver et Aleksandra Ljalikova.</t>
  </si>
  <si>
    <t>Paris : Clé international ; [Sèvres] : FIPF, 2013.</t>
  </si>
  <si>
    <t>Le français dans le monde. Recherches et applications, 0015-9395 ; no 53, janvier 2013</t>
  </si>
  <si>
    <t>2014-02-11</t>
  </si>
  <si>
    <t>1201886912:fre</t>
  </si>
  <si>
    <t>824486549</t>
  </si>
  <si>
    <t>ocn824486549</t>
  </si>
  <si>
    <t>3103481246$</t>
  </si>
  <si>
    <t>9782090371260</t>
  </si>
  <si>
    <t>794937787</t>
  </si>
  <si>
    <t>31035350526</t>
  </si>
  <si>
    <t>794937786</t>
  </si>
  <si>
    <t>31035137249</t>
  </si>
  <si>
    <t>794937785</t>
  </si>
  <si>
    <t>P118.2 E967 2014</t>
  </si>
  <si>
    <t>0                      P  0118200E  967         2014</t>
  </si>
  <si>
    <t>Exploring language pedagogy through second language acquisition research / Rod Ellis and Natsuko Shintani.</t>
  </si>
  <si>
    <t>London ; New York : Routledge/Taylor &amp; Francis Group, 2014.</t>
  </si>
  <si>
    <t>2016-04-18</t>
  </si>
  <si>
    <t>1376225920:eng</t>
  </si>
  <si>
    <t>758394585</t>
  </si>
  <si>
    <t>ocn758394585</t>
  </si>
  <si>
    <t>3103504374C</t>
  </si>
  <si>
    <t>9780415519700</t>
  </si>
  <si>
    <t>794896297</t>
  </si>
  <si>
    <t>P118.2 F273 2010</t>
  </si>
  <si>
    <t>0                      P  0118200F  273         2010</t>
  </si>
  <si>
    <t>Facilitare l'apprendimento dell'italiano L2 e delle lingue straniere / a cura di Fabio Caon.</t>
  </si>
  <si>
    <t>[Torino] : UTET università, 2010.</t>
  </si>
  <si>
    <t>1a ed.</t>
  </si>
  <si>
    <t>Le lingue di Babele</t>
  </si>
  <si>
    <t>761996182:ita</t>
  </si>
  <si>
    <t>688494568</t>
  </si>
  <si>
    <t>ocn688494568</t>
  </si>
  <si>
    <t>3103125251T</t>
  </si>
  <si>
    <t>9788860083302</t>
  </si>
  <si>
    <t>794854316</t>
  </si>
  <si>
    <t>P118.2 F64 2012</t>
  </si>
  <si>
    <t>0                      P  0118200F  64          2012</t>
  </si>
  <si>
    <t>Second language socialization and learner agency : adoptive family talk / Lyn Wright Fogle.</t>
  </si>
  <si>
    <t>Fogle, Lyn Wright.</t>
  </si>
  <si>
    <t>Bilingual education&amp;bilingualism ; [87]</t>
  </si>
  <si>
    <t>1098207741:eng</t>
  </si>
  <si>
    <t>783142338</t>
  </si>
  <si>
    <t>ocn783142338</t>
  </si>
  <si>
    <t>31034319531</t>
  </si>
  <si>
    <t>9781847697851</t>
  </si>
  <si>
    <t>794913870</t>
  </si>
  <si>
    <t>P118.2 F67 2001</t>
  </si>
  <si>
    <t>0                      P  0118200F  67          2001</t>
  </si>
  <si>
    <t>Form-focused instruction and second language learning / Rod Ellis, editor.</t>
  </si>
  <si>
    <t>Malden, MA : Published at the University of Michigan by Blackwell Publishers, ©2001.</t>
  </si>
  <si>
    <t>Language learning ; v. 51, Supp. 1</t>
  </si>
  <si>
    <t>637067765:eng</t>
  </si>
  <si>
    <t>47110002</t>
  </si>
  <si>
    <t>ocm47110002</t>
  </si>
  <si>
    <t>3103401694H</t>
  </si>
  <si>
    <t>9780631228585</t>
  </si>
  <si>
    <t>793698458</t>
  </si>
  <si>
    <t>P118.2 F67 2007</t>
  </si>
  <si>
    <t>0                      P  0118200F  67          2007</t>
  </si>
  <si>
    <t>Form-focused instruction and teacher education : studies in honour of Rod Ellis / editors Sandra Fotos, Hossein Nassaji.</t>
  </si>
  <si>
    <t>2018-03-03</t>
  </si>
  <si>
    <t>364040176:eng</t>
  </si>
  <si>
    <t>144229267</t>
  </si>
  <si>
    <t>ocn144229267</t>
  </si>
  <si>
    <t>31025710755</t>
  </si>
  <si>
    <t>9780194422505</t>
  </si>
  <si>
    <t>794235686</t>
  </si>
  <si>
    <t>P118.2 F74 2011</t>
  </si>
  <si>
    <t>0                      P  0118200F  74          2011</t>
  </si>
  <si>
    <t>Between worlds : access to second language acquisition / David E. Freeman &amp; Yvonne S. Freeman.</t>
  </si>
  <si>
    <t>Portsmouth, NH : Heinemann, ©2011.</t>
  </si>
  <si>
    <t>2014-10-09</t>
  </si>
  <si>
    <t>826232157:eng</t>
  </si>
  <si>
    <t>707725994</t>
  </si>
  <si>
    <t>ocn707725994</t>
  </si>
  <si>
    <t>3103382691G</t>
  </si>
  <si>
    <t>9780325030883</t>
  </si>
  <si>
    <t>794868046</t>
  </si>
  <si>
    <t>P118.2 F746 2006</t>
  </si>
  <si>
    <t>0                      P  0118200F  746         2006</t>
  </si>
  <si>
    <t>Phonological working memory and second language acquisition : a developmental study of francophone children learning English in Quebec / by Leif M. French.</t>
  </si>
  <si>
    <t>French, Leif Michael, 1967-</t>
  </si>
  <si>
    <t>Lewiston, N.Y. : Edwin Mellen Press, ©2006.</t>
  </si>
  <si>
    <t>2015-01-09</t>
  </si>
  <si>
    <t>48184015:eng</t>
  </si>
  <si>
    <t>63125993</t>
  </si>
  <si>
    <t>ocm63125993</t>
  </si>
  <si>
    <t>3102577882T</t>
  </si>
  <si>
    <t>9780773458208</t>
  </si>
  <si>
    <t>794118771</t>
  </si>
  <si>
    <t>P118.2 G368 1997</t>
  </si>
  <si>
    <t>0                      P  0118200G  368         1997</t>
  </si>
  <si>
    <t>Input, interaction, and the second language learner / Susan M. Gass.</t>
  </si>
  <si>
    <t>Gass, Susan M.</t>
  </si>
  <si>
    <t>2018-10-05</t>
  </si>
  <si>
    <t>9657847577:eng</t>
  </si>
  <si>
    <t>35770980</t>
  </si>
  <si>
    <t>ocm35770980</t>
  </si>
  <si>
    <t>3101942838D</t>
  </si>
  <si>
    <t>9780805822083</t>
  </si>
  <si>
    <t>793457074</t>
  </si>
  <si>
    <t>P118.2 G37 2001</t>
  </si>
  <si>
    <t>0                      P  0118200G  37          2001</t>
  </si>
  <si>
    <t>Second language acquisition : an introductory course / Susan Gass, Larry Selinker.</t>
  </si>
  <si>
    <t>Mahwah, N.J. : L. Erlbaum Associates, 2001.</t>
  </si>
  <si>
    <t>4924859836:eng</t>
  </si>
  <si>
    <t>45136597</t>
  </si>
  <si>
    <t>ocm45136597</t>
  </si>
  <si>
    <t>3102756087I</t>
  </si>
  <si>
    <t>9780805835274</t>
  </si>
  <si>
    <t>793665329</t>
  </si>
  <si>
    <t>2011-02-14</t>
  </si>
  <si>
    <t>3102236035V</t>
  </si>
  <si>
    <t>793665328</t>
  </si>
  <si>
    <t>P118.2 G37 2013</t>
  </si>
  <si>
    <t>0                      P  0118200G  37          2013</t>
  </si>
  <si>
    <t>Second language acquisition : an introductory course / Susan M. Gass with Jennifer Behney and Luke Plonsky.</t>
  </si>
  <si>
    <t>764304864</t>
  </si>
  <si>
    <t>ocn764304864</t>
  </si>
  <si>
    <t>3103567066I</t>
  </si>
  <si>
    <t>9780415894784</t>
  </si>
  <si>
    <t>794900263</t>
  </si>
  <si>
    <t>P118.2 G376 2000</t>
  </si>
  <si>
    <t>0                      P  0118200G  376         2000</t>
  </si>
  <si>
    <t>Stimulated recall methodology in second language research / Susan M. Gass, Alison Mackey.</t>
  </si>
  <si>
    <t>Mahwah, NJ : L. Erlbaum Associates, ©2000.</t>
  </si>
  <si>
    <t>1002271:eng</t>
  </si>
  <si>
    <t>41580630</t>
  </si>
  <si>
    <t>ocm41580630</t>
  </si>
  <si>
    <t>3102756086I</t>
  </si>
  <si>
    <t>9780805832235</t>
  </si>
  <si>
    <t>793594592</t>
  </si>
  <si>
    <t>P118.2 G43 2010</t>
  </si>
  <si>
    <t>0                      P  0118200G  43          2010</t>
  </si>
  <si>
    <t>Gender perspectives on vocabulary in foreign and second languages / edited by Rosa María Jiménez Catalán.</t>
  </si>
  <si>
    <t>2013-10-08</t>
  </si>
  <si>
    <t>891835428:eng</t>
  </si>
  <si>
    <t>473445542</t>
  </si>
  <si>
    <t>ocn473445542</t>
  </si>
  <si>
    <t>3103134655G</t>
  </si>
  <si>
    <t>9780230232624</t>
  </si>
  <si>
    <t>794797800</t>
  </si>
  <si>
    <t>P118.2 G46 1998</t>
  </si>
  <si>
    <t>0                      P  0118200G  46          1998</t>
  </si>
  <si>
    <t>The generative study of second language acquisition / edited by Suzanne Flynn, Gita Martohardjono, Wayne O'Neil.</t>
  </si>
  <si>
    <t>Mahwah, N.J. : L. Erlbaum, 1998.</t>
  </si>
  <si>
    <t>355985444:eng</t>
  </si>
  <si>
    <t>36458071</t>
  </si>
  <si>
    <t>ocm36458071</t>
  </si>
  <si>
    <t>3102756085I</t>
  </si>
  <si>
    <t>9780805815535</t>
  </si>
  <si>
    <t>793475746</t>
  </si>
  <si>
    <t>3101939411K</t>
  </si>
  <si>
    <t>793475745</t>
  </si>
  <si>
    <t>P118.2 H347 2011</t>
  </si>
  <si>
    <t>0                      P  0118200H  347         2011</t>
  </si>
  <si>
    <t>Culture, psychology, and language learning / Michael Hager.</t>
  </si>
  <si>
    <t>Hager, Michael, 1954-</t>
  </si>
  <si>
    <t>Intercultural studies and foreign language learning ; v. 7</t>
  </si>
  <si>
    <t>761282173:eng</t>
  </si>
  <si>
    <t>685120659</t>
  </si>
  <si>
    <t>ocn685120659</t>
  </si>
  <si>
    <t>3103381921P</t>
  </si>
  <si>
    <t>9783034301978</t>
  </si>
  <si>
    <t>794853609</t>
  </si>
  <si>
    <t>P118.2 H357 2004</t>
  </si>
  <si>
    <t>0                      P  0118200H  357         2004</t>
  </si>
  <si>
    <t>Fossilization in adult second language acquisition / ZhaoHong Han.</t>
  </si>
  <si>
    <t>Han, Zhaohong, 1962-</t>
  </si>
  <si>
    <t>Clevedon ; Buffalo : Multilingual Matters, 2004.</t>
  </si>
  <si>
    <t>Second language acquisition ; 5</t>
  </si>
  <si>
    <t>794257:eng</t>
  </si>
  <si>
    <t>52109149</t>
  </si>
  <si>
    <t>ocm52109149</t>
  </si>
  <si>
    <t>3102430901M</t>
  </si>
  <si>
    <t>9781853596872</t>
  </si>
  <si>
    <t>793798609</t>
  </si>
  <si>
    <t>P118.2 H359 2005</t>
  </si>
  <si>
    <t>0                      P  0118200H  359         2005</t>
  </si>
  <si>
    <t>Handbook of research in second language teaching and learning / edited by Eli Hinkel.</t>
  </si>
  <si>
    <t>Mahwah, N.J. : L. Erlbaum Associates ; New York, N.Y. : Routledge, 2005-</t>
  </si>
  <si>
    <t>2016-07-12</t>
  </si>
  <si>
    <t>1060152861:eng</t>
  </si>
  <si>
    <t>56753376</t>
  </si>
  <si>
    <t>ocm56753376</t>
  </si>
  <si>
    <t>31033230064</t>
  </si>
  <si>
    <t>9780805841800</t>
  </si>
  <si>
    <t>793901285</t>
  </si>
  <si>
    <t>31035498224</t>
  </si>
  <si>
    <t>793901286</t>
  </si>
  <si>
    <t>P118.2 H36 1996</t>
  </si>
  <si>
    <t>0                      P  0118200H  36          1996</t>
  </si>
  <si>
    <t>Handbook of second language acquisition / edited by William C. Ritchie and Tej K. Bhatia.</t>
  </si>
  <si>
    <t>San Diego : Academic Press, ©1996.</t>
  </si>
  <si>
    <t>352230114:eng</t>
  </si>
  <si>
    <t>31606463</t>
  </si>
  <si>
    <t>ocm31606463</t>
  </si>
  <si>
    <t>3102756084I</t>
  </si>
  <si>
    <t>9780125890427</t>
  </si>
  <si>
    <t>793364098</t>
  </si>
  <si>
    <t>31035515301</t>
  </si>
  <si>
    <t>793364099</t>
  </si>
  <si>
    <t>P118.2 H363 2003</t>
  </si>
  <si>
    <t>0                      P  0118200H  363         2003</t>
  </si>
  <si>
    <t>The handbook of second language acquisition / edited by Catherine J. Doughty and Michael H. Long.</t>
  </si>
  <si>
    <t>Malden, MA : Blackwell Pub., ©2003.</t>
  </si>
  <si>
    <t>1007553646:eng</t>
  </si>
  <si>
    <t>51099144</t>
  </si>
  <si>
    <t>ocm51099144</t>
  </si>
  <si>
    <t>3102756083I</t>
  </si>
  <si>
    <t>9780631217541</t>
  </si>
  <si>
    <t>793778933</t>
  </si>
  <si>
    <t>2013-01-17</t>
  </si>
  <si>
    <t>31034749536</t>
  </si>
  <si>
    <t>793778932</t>
  </si>
  <si>
    <t>P118.2 H3635 2016</t>
  </si>
  <si>
    <t>0                      P  0118200H  3635        2016</t>
  </si>
  <si>
    <t>Handbook of second and foreign language writing / edited by Rosa M. Manchón and Paul Kei Matsuda.</t>
  </si>
  <si>
    <t>Boston : Walter de Gruyter Inc., [2016]</t>
  </si>
  <si>
    <t>Handbooks of applied linguistics ; volume 11</t>
  </si>
  <si>
    <t>10178032970:eng</t>
  </si>
  <si>
    <t>931648122</t>
  </si>
  <si>
    <t>ocn931648122</t>
  </si>
  <si>
    <t>31036985379</t>
  </si>
  <si>
    <t>9781614511809</t>
  </si>
  <si>
    <t>795007647</t>
  </si>
  <si>
    <t>P118.2 H366 2001</t>
  </si>
  <si>
    <t>0                      P  0118200H  366         2001</t>
  </si>
  <si>
    <t>Second language syntax : a generative introduction / Roger Hawkins.</t>
  </si>
  <si>
    <t>Hawkins, Roger (Roger D.)</t>
  </si>
  <si>
    <t>Oxford ; Malden, Mass. : Blackwell Publishers, 2001.</t>
  </si>
  <si>
    <t>424955889:eng</t>
  </si>
  <si>
    <t>46372941</t>
  </si>
  <si>
    <t>ocm46372941</t>
  </si>
  <si>
    <t>3102683229R</t>
  </si>
  <si>
    <t>9780631191834</t>
  </si>
  <si>
    <t>793683536</t>
  </si>
  <si>
    <t>2013-02-05</t>
  </si>
  <si>
    <t>31026551210</t>
  </si>
  <si>
    <t>793683535</t>
  </si>
  <si>
    <t>P118.2 H45 2010</t>
  </si>
  <si>
    <t>0                      P  0118200H  45          2010</t>
  </si>
  <si>
    <t>Problem solving in a foreign language / by Lena Heine.</t>
  </si>
  <si>
    <t>Heine, Lena.</t>
  </si>
  <si>
    <t>Studies on language acquisition ; 41</t>
  </si>
  <si>
    <t>376075208:eng</t>
  </si>
  <si>
    <t>503307987</t>
  </si>
  <si>
    <t>ocn503307987</t>
  </si>
  <si>
    <t>3103241291L</t>
  </si>
  <si>
    <t>9783110224450</t>
  </si>
  <si>
    <t>794806431</t>
  </si>
  <si>
    <t>P118.2 H48 2011</t>
  </si>
  <si>
    <t>0                      P  0118200H  48          2011</t>
  </si>
  <si>
    <t>The use of psychomotor activities in teaching children English as a foreign language : empirical research into the PEPA method of language instruction / Elaine Hewitt ; with a foreword by Angel Felices Lago.</t>
  </si>
  <si>
    <t>Hewitt, Elaine.</t>
  </si>
  <si>
    <t>Lewiston, N.Y. : Edwin Mellen Press, ©2011.</t>
  </si>
  <si>
    <t>763159906:eng</t>
  </si>
  <si>
    <t>690584819</t>
  </si>
  <si>
    <t>ocn690584819</t>
  </si>
  <si>
    <t>3103361313I</t>
  </si>
  <si>
    <t>9780773414686</t>
  </si>
  <si>
    <t>794855504</t>
  </si>
  <si>
    <t>P118.2 I34 2011</t>
  </si>
  <si>
    <t>0                      P  0118200I  34          2011</t>
  </si>
  <si>
    <t>Identity, motivation and autonomy in language learning / edited by Garold Murray, Xuesong (Andy) Gao and Terry Lamb.</t>
  </si>
  <si>
    <t>Second language acquisition ; 54</t>
  </si>
  <si>
    <t>1010180491:eng</t>
  </si>
  <si>
    <t>693810282</t>
  </si>
  <si>
    <t>ocn693810282</t>
  </si>
  <si>
    <t>3103235422I</t>
  </si>
  <si>
    <t>9781847693730</t>
  </si>
  <si>
    <t>794856841</t>
  </si>
  <si>
    <t>P118.2 I48 2011</t>
  </si>
  <si>
    <t>0                      P  0118200I  48          2011</t>
  </si>
  <si>
    <t>Implicit and explicit language learning : conditions, processes, and knowledge in SLA and bilingualism / Cristina Sanz and Ronald P. Leow, editors.</t>
  </si>
  <si>
    <t>Washington, DC : Georgetown University Press, ©2011.</t>
  </si>
  <si>
    <t>2018-07-13</t>
  </si>
  <si>
    <t>520100241:eng</t>
  </si>
  <si>
    <t>648934561</t>
  </si>
  <si>
    <t>ocn648934561</t>
  </si>
  <si>
    <t>3103358405V</t>
  </si>
  <si>
    <t>9781589017290</t>
  </si>
  <si>
    <t>794831511</t>
  </si>
  <si>
    <t>3103355822R</t>
  </si>
  <si>
    <t>794831510</t>
  </si>
  <si>
    <t>P118.2 I53 2011</t>
  </si>
  <si>
    <t>0                      P  0118200I  53          2011</t>
  </si>
  <si>
    <t>Individual learner differences in SLA / edited by Janusz Arabski and Adam Wojtaszek.</t>
  </si>
  <si>
    <t>906549191:eng</t>
  </si>
  <si>
    <t>728840652</t>
  </si>
  <si>
    <t>ocn728840652</t>
  </si>
  <si>
    <t>3103382651O</t>
  </si>
  <si>
    <t>9781847694348</t>
  </si>
  <si>
    <t>794879034</t>
  </si>
  <si>
    <t>P118.2 I55 2009</t>
  </si>
  <si>
    <t>0                      P  0118200I  55          2009</t>
  </si>
  <si>
    <t>Input matters in SLA / edited by Thorsten Piske and Martha Young-Scholten.</t>
  </si>
  <si>
    <t>Bristol ; Buffalo : Multilingual Matters, 2009.</t>
  </si>
  <si>
    <t>872764641:eng</t>
  </si>
  <si>
    <t>232921706</t>
  </si>
  <si>
    <t>ocn232921706</t>
  </si>
  <si>
    <t>3102856259C</t>
  </si>
  <si>
    <t>9781847691101</t>
  </si>
  <si>
    <t>794364452</t>
  </si>
  <si>
    <t>P118.2 I583 2005</t>
  </si>
  <si>
    <t>0                      P  0118200I  583         2005</t>
  </si>
  <si>
    <t>Investigations in instructed second language acquisition / edited by Alex Housen, Michel Pierrard.</t>
  </si>
  <si>
    <t>Studies on language acquisition ; 25</t>
  </si>
  <si>
    <t>898414977:eng</t>
  </si>
  <si>
    <t>57641434</t>
  </si>
  <si>
    <t>ocm57641434</t>
  </si>
  <si>
    <t>31025631367</t>
  </si>
  <si>
    <t>9783110179705</t>
  </si>
  <si>
    <t>793916951</t>
  </si>
  <si>
    <t>P118.2 I878 2009</t>
  </si>
  <si>
    <t>0                      P  0118200I  878         2009</t>
  </si>
  <si>
    <t>Issues in second language proficiency / edited by Alessandro G. Benati.</t>
  </si>
  <si>
    <t>766708291:eng</t>
  </si>
  <si>
    <t>427613781</t>
  </si>
  <si>
    <t>ocn427613781</t>
  </si>
  <si>
    <t>3102858848P</t>
  </si>
  <si>
    <t>9780826435156</t>
  </si>
  <si>
    <t>794693406</t>
  </si>
  <si>
    <t>P118.2 J53 2011</t>
  </si>
  <si>
    <t>0                      P  0118200J  53          2011</t>
  </si>
  <si>
    <t>Conducting reaction time research in second language studies / Nan Jiang.</t>
  </si>
  <si>
    <t>Jiang, Nan, 1959-</t>
  </si>
  <si>
    <t>Second language acquisition research series : theoretical and methodological issues</t>
  </si>
  <si>
    <t>905313345:eng</t>
  </si>
  <si>
    <t>727702679</t>
  </si>
  <si>
    <t>ocn727702679</t>
  </si>
  <si>
    <t>3103396015T</t>
  </si>
  <si>
    <t>9780415879330</t>
  </si>
  <si>
    <t>794878418</t>
  </si>
  <si>
    <t>P118.2 J67 2004</t>
  </si>
  <si>
    <t>0                      P  0118200J  67          2004</t>
  </si>
  <si>
    <t>Theory construction in second language acquisition / Geoff Jordan.</t>
  </si>
  <si>
    <t>Jordan, Geoff.</t>
  </si>
  <si>
    <t>Amsterdam ; Philadelphia : J. Benjamins Pub., ©2004.</t>
  </si>
  <si>
    <t>Language learning and language teaching, 1569-9471 ; v. 8</t>
  </si>
  <si>
    <t>947003:eng</t>
  </si>
  <si>
    <t>53992904</t>
  </si>
  <si>
    <t>ocm53992904</t>
  </si>
  <si>
    <t>3102388356G</t>
  </si>
  <si>
    <t>9789027217059</t>
  </si>
  <si>
    <t>793854869</t>
  </si>
  <si>
    <t>P118.2 K35 2015</t>
  </si>
  <si>
    <t>0                      P  0118200K  35          2015</t>
  </si>
  <si>
    <t>L'acquisition de plusieurs langues / Michèle Kail.</t>
  </si>
  <si>
    <t>Kail, Michèle.</t>
  </si>
  <si>
    <t>Paris : Presses universitaires de France, c2015.</t>
  </si>
  <si>
    <t>Que sais-je? ; no 4005</t>
  </si>
  <si>
    <t>2468133325:fre</t>
  </si>
  <si>
    <t>904237361</t>
  </si>
  <si>
    <t>ocn904237361</t>
  </si>
  <si>
    <t>3103709228R</t>
  </si>
  <si>
    <t>9782130630470</t>
  </si>
  <si>
    <t>794990157</t>
  </si>
  <si>
    <t>P118.2 K65 2006</t>
  </si>
  <si>
    <t>0                      P  0118200K  65          2006</t>
  </si>
  <si>
    <t>Speech production and second language acquisition / Judit Kormos.</t>
  </si>
  <si>
    <t>Cognitive sciences and second language acquisition</t>
  </si>
  <si>
    <t>2019-08-06</t>
  </si>
  <si>
    <t>24932391:eng</t>
  </si>
  <si>
    <t>61362208</t>
  </si>
  <si>
    <t>ocm61362208</t>
  </si>
  <si>
    <t>3102586017T</t>
  </si>
  <si>
    <t>9780805856576</t>
  </si>
  <si>
    <t>793951801</t>
  </si>
  <si>
    <t>P118.2 L17 2002</t>
  </si>
  <si>
    <t>0                      P  0118200L  17          2002</t>
  </si>
  <si>
    <t>The L2 acquisition of tense-aspect morphology / edited by Rafael Salaberry, Yasuhiro Shirai.</t>
  </si>
  <si>
    <t>Amsterdam ; Philadelphia, PA : J. Benjamins Pub., ©2002.</t>
  </si>
  <si>
    <t>Language acquisition &amp; language disorders, 0925-0123 ; v. 27</t>
  </si>
  <si>
    <t>8909848071:eng</t>
  </si>
  <si>
    <t>49566620</t>
  </si>
  <si>
    <t>ocm49566620</t>
  </si>
  <si>
    <t>3102756073K</t>
  </si>
  <si>
    <t>9781588112170</t>
  </si>
  <si>
    <t>793743139</t>
  </si>
  <si>
    <t>P118.2 L18 2011</t>
  </si>
  <si>
    <t>0                      P  0118200L  18          2011</t>
  </si>
  <si>
    <t>L2 interactional competence and development / edited by Joan Kelly Hall, John Hellermann and Simona Pekarek Doehler.</t>
  </si>
  <si>
    <t>Second language acquistion ; 56</t>
  </si>
  <si>
    <t>794361006:eng</t>
  </si>
  <si>
    <t>704895982</t>
  </si>
  <si>
    <t>ocn704895982</t>
  </si>
  <si>
    <t>31033426733</t>
  </si>
  <si>
    <t>9781847694065</t>
  </si>
  <si>
    <t>794865912</t>
  </si>
  <si>
    <t>P118.2 L35 1994</t>
  </si>
  <si>
    <t>0                      P  0118200L  35          1994</t>
  </si>
  <si>
    <t>Universal grammar in child second language acquisition : null subjects and morphological uniformity / Usha Lakshmanan.</t>
  </si>
  <si>
    <t>Lakshmanan, Usha.</t>
  </si>
  <si>
    <t>Amsterdam ; Philadelphia : J. Benjamins, ©1994.</t>
  </si>
  <si>
    <t>Language acquisition &amp; language disorders ; v. 10</t>
  </si>
  <si>
    <t>793279789:eng</t>
  </si>
  <si>
    <t>30701671</t>
  </si>
  <si>
    <t>ocm30701671</t>
  </si>
  <si>
    <t>3101951283V</t>
  </si>
  <si>
    <t>9789027224750</t>
  </si>
  <si>
    <t>793342743</t>
  </si>
  <si>
    <t>2014-05-17</t>
  </si>
  <si>
    <t>3102756071K</t>
  </si>
  <si>
    <t>793342744</t>
  </si>
  <si>
    <t>P118.2 L3644 2010</t>
  </si>
  <si>
    <t>0                      P  0118200L  3644        2010</t>
  </si>
  <si>
    <t>Language learner autonomy : policy, curriculum, classroom : a festschrift in honour of David Little / Breffni O'Rourke and Lorna Carson, eds.</t>
  </si>
  <si>
    <t>Oxford ; New York : Peter Lang, 2010.</t>
  </si>
  <si>
    <t>Contemporary studies in descriptive linguistics, 1660-9301 ; vol. 3</t>
  </si>
  <si>
    <t>792290562:eng</t>
  </si>
  <si>
    <t>460712264</t>
  </si>
  <si>
    <t>ocn460712264</t>
  </si>
  <si>
    <t>3103134631K</t>
  </si>
  <si>
    <t>9783039119806</t>
  </si>
  <si>
    <t>794791199</t>
  </si>
  <si>
    <t>P118.2 L3648 2009</t>
  </si>
  <si>
    <t>0                      P  0118200L  3648        2009</t>
  </si>
  <si>
    <t>Language talent and brain activity / edited by Grzegorz Dogil, Susanne Maria Reiterer.</t>
  </si>
  <si>
    <t>Berlin ; New York : Mouton de Gruyter, ©2009.</t>
  </si>
  <si>
    <t>Trends in applied linguistics, 1868-6362 ; 1</t>
  </si>
  <si>
    <t>345475709:eng</t>
  </si>
  <si>
    <t>361969433</t>
  </si>
  <si>
    <t>ocn361969433</t>
  </si>
  <si>
    <t>3103086704X</t>
  </si>
  <si>
    <t>9783110205183</t>
  </si>
  <si>
    <t>794492410</t>
  </si>
  <si>
    <t>P118.2 L37 1991</t>
  </si>
  <si>
    <t>0                      P  0118200L  37          1991</t>
  </si>
  <si>
    <t>An introduction to second language acquisition research / Diane Larsen-Freeman and Michael H. Long.</t>
  </si>
  <si>
    <t>London ; New York : Longman, 1991.</t>
  </si>
  <si>
    <t>20536087:eng</t>
  </si>
  <si>
    <t>21524540</t>
  </si>
  <si>
    <t>ocm21524540</t>
  </si>
  <si>
    <t>3101008322V</t>
  </si>
  <si>
    <t>9780582553774</t>
  </si>
  <si>
    <t>793121614</t>
  </si>
  <si>
    <t>2010-11-29</t>
  </si>
  <si>
    <t>3102756070K</t>
  </si>
  <si>
    <t>793121615</t>
  </si>
  <si>
    <t>P118.2 L373 2010</t>
  </si>
  <si>
    <t>0                      P  0118200L  373         2010</t>
  </si>
  <si>
    <t>A guide to doing statistics in second language research using SPSS / Jenifer Larson-Hall.</t>
  </si>
  <si>
    <t>Larson-Hall, Jenifer.</t>
  </si>
  <si>
    <t>119961012:eng</t>
  </si>
  <si>
    <t>192080476</t>
  </si>
  <si>
    <t>ocn192080476</t>
  </si>
  <si>
    <t>3103136463C</t>
  </si>
  <si>
    <t>9780805861853</t>
  </si>
  <si>
    <t>794303247</t>
  </si>
  <si>
    <t>P118.2 L38 2011</t>
  </si>
  <si>
    <t>0                      P  0118200L  38          2011</t>
  </si>
  <si>
    <t>Learning-to-write and writing-to-learn in an additional language / edited by Rosa M. Manchón.</t>
  </si>
  <si>
    <t>Language learning &amp; language teaching, 1569-9471 ; vol. 31</t>
  </si>
  <si>
    <t>2016-08-10</t>
  </si>
  <si>
    <t>1023311055:eng</t>
  </si>
  <si>
    <t>729345025</t>
  </si>
  <si>
    <t>ocn729345025</t>
  </si>
  <si>
    <t>3103382561P</t>
  </si>
  <si>
    <t>9789027213037</t>
  </si>
  <si>
    <t>794879314</t>
  </si>
  <si>
    <t>P118.2 L4 2001</t>
  </si>
  <si>
    <t>0                      P  0118200L  4           2001</t>
  </si>
  <si>
    <t>Learner contributions to language learning : new directions in research / edited by Michael P. Breen.</t>
  </si>
  <si>
    <t>837063513:eng</t>
  </si>
  <si>
    <t>44750712</t>
  </si>
  <si>
    <t>ocm44750712</t>
  </si>
  <si>
    <t>3102756068M</t>
  </si>
  <si>
    <t>9780582404755</t>
  </si>
  <si>
    <t>793657195</t>
  </si>
  <si>
    <t>P118.2 L45 2007</t>
  </si>
  <si>
    <t>0                      P  0118200L  45          2007</t>
  </si>
  <si>
    <t>Second language processing : an analysis of theory, problems, and possible solutions / James F. Lee and Alessandro G. Benati.</t>
  </si>
  <si>
    <t>891478428:eng</t>
  </si>
  <si>
    <t>79861375</t>
  </si>
  <si>
    <t>ocm79861375</t>
  </si>
  <si>
    <t>3102572457U</t>
  </si>
  <si>
    <t>9780826495181</t>
  </si>
  <si>
    <t>794199199</t>
  </si>
  <si>
    <t>P118.2 L46 2010</t>
  </si>
  <si>
    <t>0                      P  0118200L  46          2010</t>
  </si>
  <si>
    <t>The role of pedagogical translation in second language acquisition from theory to practice / Vanessa Leonardi.</t>
  </si>
  <si>
    <t>Leonardi, Vanessa.</t>
  </si>
  <si>
    <t>659502669:eng</t>
  </si>
  <si>
    <t>665064422</t>
  </si>
  <si>
    <t>ocn665064422</t>
  </si>
  <si>
    <t>3103323380G</t>
  </si>
  <si>
    <t>9783034300872</t>
  </si>
  <si>
    <t>794844515</t>
  </si>
  <si>
    <t>P118.2 L485 2009</t>
  </si>
  <si>
    <t>0                      P  0118200L  485         2009</t>
  </si>
  <si>
    <t>Lexical processing in second language learners : papers and perspectives in honour of Paul Meara / edited by Tess Fitzpatrick and Andy Barfield.</t>
  </si>
  <si>
    <t>Bristol, UK ; Buffalo : Multilingual Matters, 2009.</t>
  </si>
  <si>
    <t>Second language acquisition ; v. 39</t>
  </si>
  <si>
    <t>2018-10-11</t>
  </si>
  <si>
    <t>1011841129:eng</t>
  </si>
  <si>
    <t>299240440</t>
  </si>
  <si>
    <t>ocn299240440</t>
  </si>
  <si>
    <t>3102858624Z</t>
  </si>
  <si>
    <t>9781847691514</t>
  </si>
  <si>
    <t>794428964</t>
  </si>
  <si>
    <t>P118.2 L49 2003</t>
  </si>
  <si>
    <t>0                      P  0118200L  49          2003</t>
  </si>
  <si>
    <t>The lexicon-syntax interface in second language aquisition / edited by Roeland van Hout [and others].</t>
  </si>
  <si>
    <t>Language acquisition &amp; language disorders, 0925-0123 ; v. 30</t>
  </si>
  <si>
    <t>355337978:eng</t>
  </si>
  <si>
    <t>52377592</t>
  </si>
  <si>
    <t>ocm52377592</t>
  </si>
  <si>
    <t>3102756072K</t>
  </si>
  <si>
    <t>9789027224996</t>
  </si>
  <si>
    <t>793804896</t>
  </si>
  <si>
    <t>P118.2 L54 2013</t>
  </si>
  <si>
    <t>0                      P  0118200L  54          2013</t>
  </si>
  <si>
    <t>Lightbown, Patsy, author.</t>
  </si>
  <si>
    <t>2019-09-28</t>
  </si>
  <si>
    <t>828884141</t>
  </si>
  <si>
    <t>ocn828884141</t>
  </si>
  <si>
    <t>3103584369B</t>
  </si>
  <si>
    <t>9780194541268</t>
  </si>
  <si>
    <t>794941857</t>
  </si>
  <si>
    <t>P118.2 L557 2010</t>
  </si>
  <si>
    <t>0                      P  0118200L  557         2010</t>
  </si>
  <si>
    <t>Linguistic relativity in SLA : thinking for speaking / edited by ZhaoHong Han and Teresa Cadierno.</t>
  </si>
  <si>
    <t>888385885:eng</t>
  </si>
  <si>
    <t>505423753</t>
  </si>
  <si>
    <t>ocn505423753</t>
  </si>
  <si>
    <t>3103134297K</t>
  </si>
  <si>
    <t>9781847692771</t>
  </si>
  <si>
    <t>794807177</t>
  </si>
  <si>
    <t>P118.2 L64 2011</t>
  </si>
  <si>
    <t>0                      P  0118200L  64          2011</t>
  </si>
  <si>
    <t>Key concepts in second language acquisition / Shawn Loewen and Hayo Reinders.</t>
  </si>
  <si>
    <t>Loewen, Shawn.</t>
  </si>
  <si>
    <t>Houndmills, Basingstoke, Hampshire : Palgrave Macmillan, 2011.</t>
  </si>
  <si>
    <t>1012484973:eng</t>
  </si>
  <si>
    <t>698330409</t>
  </si>
  <si>
    <t>ocn698330409</t>
  </si>
  <si>
    <t>3103342619F</t>
  </si>
  <si>
    <t>9780230230187</t>
  </si>
  <si>
    <t>794860870</t>
  </si>
  <si>
    <t>P118.2 L65 2015</t>
  </si>
  <si>
    <t>0                      P  0118200L  65          2015</t>
  </si>
  <si>
    <t>Introduction to instructed second language acquisition / Shawn Loewen, Michigan State University.</t>
  </si>
  <si>
    <t>2 copies</t>
  </si>
  <si>
    <t>Loewen, Shawn, author.</t>
  </si>
  <si>
    <t>New York ; London : Routledge, Taylor &amp; Francis Group, 2015.</t>
  </si>
  <si>
    <t>2030495075:eng</t>
  </si>
  <si>
    <t>871192009</t>
  </si>
  <si>
    <t>ocn871192009</t>
  </si>
  <si>
    <t>3103759753F</t>
  </si>
  <si>
    <t>9780415529532</t>
  </si>
  <si>
    <t>794967333</t>
  </si>
  <si>
    <t>31037597593</t>
  </si>
  <si>
    <t>794967334</t>
  </si>
  <si>
    <t>P118.2 L667 2007</t>
  </si>
  <si>
    <t>0                      P  0118200L  667         2007</t>
  </si>
  <si>
    <t>Problems in SLA / Michael H. Long.</t>
  </si>
  <si>
    <t>Long, Michael H.</t>
  </si>
  <si>
    <t>Mahwah, N.J. : L. Erlbaum Associates, ©2007.</t>
  </si>
  <si>
    <t>47114560:eng</t>
  </si>
  <si>
    <t>62857831</t>
  </si>
  <si>
    <t>ocm62857831</t>
  </si>
  <si>
    <t>3103056093E</t>
  </si>
  <si>
    <t>9780805835809</t>
  </si>
  <si>
    <t>794113036</t>
  </si>
  <si>
    <t>P118.2 M23 2005</t>
  </si>
  <si>
    <t>0                      P  0118200M  23          2005</t>
  </si>
  <si>
    <t>Second language research : methodology and design / Alison Mackey, Susan M. Gass.</t>
  </si>
  <si>
    <t>Mackey, Alison.</t>
  </si>
  <si>
    <t>Mahwah, NJ : Lawrence Erlbaum, 2005.</t>
  </si>
  <si>
    <t>792365148:eng</t>
  </si>
  <si>
    <t>55671802</t>
  </si>
  <si>
    <t>ocm55671802</t>
  </si>
  <si>
    <t>3102481978G</t>
  </si>
  <si>
    <t>9780805842494</t>
  </si>
  <si>
    <t>793880614</t>
  </si>
  <si>
    <t>P118.2 M33 2012</t>
  </si>
  <si>
    <t>0                      P  0118200M  33          2012</t>
  </si>
  <si>
    <t>Input, interaction, and corrective feedback in L2 learning / Alison Mackey.</t>
  </si>
  <si>
    <t>Mackey, Alison, author.</t>
  </si>
  <si>
    <t>1122182179:eng</t>
  </si>
  <si>
    <t>796999164</t>
  </si>
  <si>
    <t>ocn796999164</t>
  </si>
  <si>
    <t>3103431207W</t>
  </si>
  <si>
    <t>9780194422468</t>
  </si>
  <si>
    <t>794922574</t>
  </si>
  <si>
    <t>P118.2 M45 2011</t>
  </si>
  <si>
    <t>0                      P  0118200M  45          2011</t>
  </si>
  <si>
    <t>First and Second Language Acquisition : Parallels and Differences / Jürgen M. Meisel, Universität Hamburg and University of Calgary.</t>
  </si>
  <si>
    <t>Meisel, Jürgen M., author.</t>
  </si>
  <si>
    <t>Cambridge : Cambridge University Press, 2011.</t>
  </si>
  <si>
    <t>Cambridge Textbooks in Linguistics</t>
  </si>
  <si>
    <t>812941350:eng</t>
  </si>
  <si>
    <t>693684124</t>
  </si>
  <si>
    <t>ocn693684124</t>
  </si>
  <si>
    <t>3103342121S</t>
  </si>
  <si>
    <t>9780521552943</t>
  </si>
  <si>
    <t>794856631</t>
  </si>
  <si>
    <t>P118.2 M56 2005</t>
  </si>
  <si>
    <t>0                      P  0118200M  56          2005</t>
  </si>
  <si>
    <t>Mind and context in adult second language acquisition : methods, theory, and practice / Cristina Sanz, editor.</t>
  </si>
  <si>
    <t>Washington, DC : Georgetown University Press, ©2005.</t>
  </si>
  <si>
    <t>794229166:eng</t>
  </si>
  <si>
    <t>58789143</t>
  </si>
  <si>
    <t>ocm58789143</t>
  </si>
  <si>
    <t>31025802248</t>
  </si>
  <si>
    <t>9781589010703</t>
  </si>
  <si>
    <t>793924170</t>
  </si>
  <si>
    <t>P118.2 M58 2004</t>
  </si>
  <si>
    <t>0                      P  0118200M  58          2004</t>
  </si>
  <si>
    <t>Second language learning theories / Rosamond Mitchell, Florence Myles.</t>
  </si>
  <si>
    <t>Mitchell, Rosamond.</t>
  </si>
  <si>
    <t>London : Hodder Arnold, 2004.</t>
  </si>
  <si>
    <t>2016-11-02</t>
  </si>
  <si>
    <t>172652:eng</t>
  </si>
  <si>
    <t>53391538</t>
  </si>
  <si>
    <t>ocm53391538</t>
  </si>
  <si>
    <t>3103056447C</t>
  </si>
  <si>
    <t>9780340807668</t>
  </si>
  <si>
    <t>793827770</t>
  </si>
  <si>
    <t>P118.2 M676 2009</t>
  </si>
  <si>
    <t>0                      P  0118200M  676         2009</t>
  </si>
  <si>
    <t>Motivation, language identity and the L2 self / edited by Zoltán Dörnyei and Ema Ushioda.</t>
  </si>
  <si>
    <t>1044581172:eng</t>
  </si>
  <si>
    <t>243960498</t>
  </si>
  <si>
    <t>ocn243960498</t>
  </si>
  <si>
    <t>3102856662Z</t>
  </si>
  <si>
    <t>9781847691286</t>
  </si>
  <si>
    <t>794380495</t>
  </si>
  <si>
    <t>P118.2 M678 2010</t>
  </si>
  <si>
    <t>0                      P  0118200M  678         2010</t>
  </si>
  <si>
    <t>The sociolinguistic competence of immersion students / Raymond Mougeon, Terry Nadasdi, and Katherine Rehner.</t>
  </si>
  <si>
    <t>Mougeon, Raymond.</t>
  </si>
  <si>
    <t>2011-07-28</t>
  </si>
  <si>
    <t>317827281:eng</t>
  </si>
  <si>
    <t>430736644</t>
  </si>
  <si>
    <t>ocn430736644</t>
  </si>
  <si>
    <t>31031322019</t>
  </si>
  <si>
    <t>9781847692399</t>
  </si>
  <si>
    <t>794781135</t>
  </si>
  <si>
    <t>3103268912F</t>
  </si>
  <si>
    <t>794781134</t>
  </si>
  <si>
    <t>P118.2 M68 2004</t>
  </si>
  <si>
    <t>0                      P  0118200M  68          2004</t>
  </si>
  <si>
    <t>Age, accent, and experience in second language acquisition : an integrated approach to critical period inquiry / Alene Moyer.</t>
  </si>
  <si>
    <t>Moyer, Alene, 1961-</t>
  </si>
  <si>
    <t>Second language acquisition ; 7</t>
  </si>
  <si>
    <t>793968928:eng</t>
  </si>
  <si>
    <t>52845564</t>
  </si>
  <si>
    <t>ocm52845564</t>
  </si>
  <si>
    <t>3103399197Z</t>
  </si>
  <si>
    <t>9781853597183</t>
  </si>
  <si>
    <t>793815499</t>
  </si>
  <si>
    <t>P118.2 M685 2001</t>
  </si>
  <si>
    <t>0                      P  0118200M  685         2001</t>
  </si>
  <si>
    <t>Motivation and second language acquisition / edited by Zoltan Dörnyei &amp; Richard Schmidt.</t>
  </si>
  <si>
    <t>Honolulu, HI : Second Language Teaching &amp; Curriculum Center, University of Hawaii̕ at Mānoa, ©2001.</t>
  </si>
  <si>
    <t>Technical report ; #23</t>
  </si>
  <si>
    <t>478172899:eng</t>
  </si>
  <si>
    <t>48047379</t>
  </si>
  <si>
    <t>ocm48047379</t>
  </si>
  <si>
    <t>3102831673Q</t>
  </si>
  <si>
    <t>9780824824587</t>
  </si>
  <si>
    <t>793714603</t>
  </si>
  <si>
    <t>P118.2 M88 2009</t>
  </si>
  <si>
    <t>0                      P  0118200M  88          2009</t>
  </si>
  <si>
    <t>Multiple perspectives on interaction : second language research in honor of Susan M. Gass / edited by Alison Mackey and Charlene Polio.</t>
  </si>
  <si>
    <t>796673584:eng</t>
  </si>
  <si>
    <t>192080465</t>
  </si>
  <si>
    <t>ocn192080465</t>
  </si>
  <si>
    <t>3103057431A</t>
  </si>
  <si>
    <t>9780805864588</t>
  </si>
  <si>
    <t>794303244</t>
  </si>
  <si>
    <t>P118.2 M89 2011</t>
  </si>
  <si>
    <t>0                      P  0118200M  89          2011</t>
  </si>
  <si>
    <t>What English language teachers need to know / Denise E. Murray and MaryAnn Christison.</t>
  </si>
  <si>
    <t>Murray, Denise E., author.</t>
  </si>
  <si>
    <t>New York : Routledge, 2011-2014.</t>
  </si>
  <si>
    <t>1865335609:eng</t>
  </si>
  <si>
    <t>419793513</t>
  </si>
  <si>
    <t>ocn419793513</t>
  </si>
  <si>
    <t>3103373286V</t>
  </si>
  <si>
    <t>9780415806381</t>
  </si>
  <si>
    <t>794503320</t>
  </si>
  <si>
    <t>3103373281V</t>
  </si>
  <si>
    <t>794503319</t>
  </si>
  <si>
    <t>P118.2 N48 2009</t>
  </si>
  <si>
    <t>0                      P  0118200N  48          2009</t>
  </si>
  <si>
    <t>The new handbook of second language acquisition / edited by William C. Ritchie and Tej K. Bhatia.</t>
  </si>
  <si>
    <t>3858060167:eng</t>
  </si>
  <si>
    <t>390842603</t>
  </si>
  <si>
    <t>ocn390842603</t>
  </si>
  <si>
    <t>31031554538</t>
  </si>
  <si>
    <t>9781848552401</t>
  </si>
  <si>
    <t>794495753</t>
  </si>
  <si>
    <t>P118.2 N48 2010</t>
  </si>
  <si>
    <t>0                      P  0118200N  48          2010</t>
  </si>
  <si>
    <t>Neurolinguistic and psycholinguistic perspectives on SLA / edited by Janusz Arabski and Adam Wojtaszek.</t>
  </si>
  <si>
    <t>Second language acquisition ; [48]</t>
  </si>
  <si>
    <t>2012-08-10</t>
  </si>
  <si>
    <t>9906812586:eng</t>
  </si>
  <si>
    <t>468233488</t>
  </si>
  <si>
    <t>ocn468233488</t>
  </si>
  <si>
    <t>31031553767</t>
  </si>
  <si>
    <t>9781847692412</t>
  </si>
  <si>
    <t>794795392</t>
  </si>
  <si>
    <t>P118.2 N67 2000</t>
  </si>
  <si>
    <t>0                      P  0118200N  67          2000</t>
  </si>
  <si>
    <t>Identity and language learning : gender, ethnicity and educational change / Bonny Norton.</t>
  </si>
  <si>
    <t>Norton, Bonny, 1956-</t>
  </si>
  <si>
    <t>Harlow, England ; New York : Longman, 2000.</t>
  </si>
  <si>
    <t>3856555639:eng</t>
  </si>
  <si>
    <t>43095770</t>
  </si>
  <si>
    <t>ocm43095770</t>
  </si>
  <si>
    <t>3102564710Q</t>
  </si>
  <si>
    <t>9780582382251</t>
  </si>
  <si>
    <t>793620083</t>
  </si>
  <si>
    <t>P118.2 O43 1990</t>
  </si>
  <si>
    <t>0                      P  0118200O  43          1990</t>
  </si>
  <si>
    <t>Learning strategies in second language acquisition / J. Michael O'Malley, Anna Uhl Chamot.</t>
  </si>
  <si>
    <t>O'Malley, J. Michael.</t>
  </si>
  <si>
    <t>21440219:eng</t>
  </si>
  <si>
    <t>19670860</t>
  </si>
  <si>
    <t>ocm19670860</t>
  </si>
  <si>
    <t>3101881735B</t>
  </si>
  <si>
    <t>9780521352864</t>
  </si>
  <si>
    <t>793065563</t>
  </si>
  <si>
    <t>P118.2 O78 2009</t>
  </si>
  <si>
    <t>0                      P  0118200O  78          2009</t>
  </si>
  <si>
    <t>Understanding second language acquisition / Lourdes Ortega.</t>
  </si>
  <si>
    <t>Ortega, Lourdes.</t>
  </si>
  <si>
    <t>London : Hodder Education, 2009.</t>
  </si>
  <si>
    <t>Understanding language series</t>
  </si>
  <si>
    <t>3857103663:eng</t>
  </si>
  <si>
    <t>77540694</t>
  </si>
  <si>
    <t>ocm77540694</t>
  </si>
  <si>
    <t>31027223785</t>
  </si>
  <si>
    <t>9780340905593</t>
  </si>
  <si>
    <t>794192027</t>
  </si>
  <si>
    <t>P118.2 P52 2008</t>
  </si>
  <si>
    <t>0                      P  0118200P  52          2008</t>
  </si>
  <si>
    <t>Phonology and second language acquisition / edited by Jette G. Hansen Edwards, Mary L. Zampini.</t>
  </si>
  <si>
    <t>Amsterdam ; Philadelphia : J. Benjamins Pub., ©2008.</t>
  </si>
  <si>
    <t>Studies in bilingualism ; v. 36</t>
  </si>
  <si>
    <t>1044578770:eng</t>
  </si>
  <si>
    <t>181517037</t>
  </si>
  <si>
    <t>ocn181517037</t>
  </si>
  <si>
    <t>3102653366V</t>
  </si>
  <si>
    <t>9789027241474</t>
  </si>
  <si>
    <t>794282554</t>
  </si>
  <si>
    <t>P118.2 P54 1998</t>
  </si>
  <si>
    <t>0                      P  0118200P  54          1998</t>
  </si>
  <si>
    <t>Language processing and second language development : processability theory / Manfred Pienemann.</t>
  </si>
  <si>
    <t>Pienemann, Manfred, 1951-</t>
  </si>
  <si>
    <t>Amsterdam ; Philadelphia : J. Benjamins, ©1998.</t>
  </si>
  <si>
    <t>Studies in bilingualism, 0928-1533 ; v. 15</t>
  </si>
  <si>
    <t>866876870:eng</t>
  </si>
  <si>
    <t>39042963</t>
  </si>
  <si>
    <t>ocm39042963</t>
  </si>
  <si>
    <t>3102756146N</t>
  </si>
  <si>
    <t>9781556195495</t>
  </si>
  <si>
    <t>793536466</t>
  </si>
  <si>
    <t>P118.2 P56 2011</t>
  </si>
  <si>
    <t>0                      P  0118200P  56          2011</t>
  </si>
  <si>
    <t>Children learning second languages / Annamaria Pinter.</t>
  </si>
  <si>
    <t>Pinter, Annamaria.</t>
  </si>
  <si>
    <t>2014-09-02</t>
  </si>
  <si>
    <t>634460921:eng</t>
  </si>
  <si>
    <t>663772852</t>
  </si>
  <si>
    <t>ocn663772852</t>
  </si>
  <si>
    <t>3103343250F</t>
  </si>
  <si>
    <t>9780230203426</t>
  </si>
  <si>
    <t>794842678</t>
  </si>
  <si>
    <t>P118.2 P725 1987</t>
  </si>
  <si>
    <t>0                      P  0118200P  725         1987</t>
  </si>
  <si>
    <t>Second language pedagogy / N.S. Prabhu.</t>
  </si>
  <si>
    <t>Prabhu, N. S.</t>
  </si>
  <si>
    <t>Oxford [Oxfordshire] ; New York : Oxford University Press, 1987.</t>
  </si>
  <si>
    <t>13562374:eng</t>
  </si>
  <si>
    <t>16773107</t>
  </si>
  <si>
    <t>ocm16773107</t>
  </si>
  <si>
    <t>3000998942D</t>
  </si>
  <si>
    <t>9780194370844</t>
  </si>
  <si>
    <t>792972239</t>
  </si>
  <si>
    <t>P118.2 R42 2009</t>
  </si>
  <si>
    <t>0                      P  0118200R  42          2009</t>
  </si>
  <si>
    <t>Recent research in second language phonetics/phonology : perception and production / edited by Michael A. Watkins, Andreia S. Rauber and Barbara O. Baptista.</t>
  </si>
  <si>
    <t>865536367:eng</t>
  </si>
  <si>
    <t>390401011</t>
  </si>
  <si>
    <t>ocn390401011</t>
  </si>
  <si>
    <t>3102859782G</t>
  </si>
  <si>
    <t>9781443811255</t>
  </si>
  <si>
    <t>794495659</t>
  </si>
  <si>
    <t>P118.2 R424 2010</t>
  </si>
  <si>
    <t>0                      P  0118200R  424         2010</t>
  </si>
  <si>
    <t>The effects of task type and instructions on second language acquisition / by Hayo Reinders.</t>
  </si>
  <si>
    <t>Reinders, Hayo.</t>
  </si>
  <si>
    <t>372648880:eng</t>
  </si>
  <si>
    <t>498931482</t>
  </si>
  <si>
    <t>ocn498931482</t>
  </si>
  <si>
    <t>3103133807O</t>
  </si>
  <si>
    <t>9781443817783</t>
  </si>
  <si>
    <t>794803228</t>
  </si>
  <si>
    <t>P118.2 R47 1994</t>
  </si>
  <si>
    <t>0                      P  0118200R  47          1994</t>
  </si>
  <si>
    <t>Research methodology in second-language acquisition / edited by Elaine E. Tarone, Susan M. Gass, Andrew D. Cohen.</t>
  </si>
  <si>
    <t>347113280:eng</t>
  </si>
  <si>
    <t>28966844</t>
  </si>
  <si>
    <t>ocm28966844</t>
  </si>
  <si>
    <t>31034004038</t>
  </si>
  <si>
    <t>9780805814231</t>
  </si>
  <si>
    <t>793300709</t>
  </si>
  <si>
    <t>P118.2 R473 2012</t>
  </si>
  <si>
    <t>0                      P  0118200R  473         2012</t>
  </si>
  <si>
    <t>Research methods in second language acquisition : a practical guide / edited by Alison Mackey and Susan M. Gass.</t>
  </si>
  <si>
    <t>Chichester, West Sussex ; Malden, Mass. : Wiley-Blackwell, ©2012.</t>
  </si>
  <si>
    <t>Guides to research methods in language and linguistics</t>
  </si>
  <si>
    <t>2014-08-18</t>
  </si>
  <si>
    <t>902884140:eng</t>
  </si>
  <si>
    <t>726621705</t>
  </si>
  <si>
    <t>ocn726621705</t>
  </si>
  <si>
    <t>3103382253$</t>
  </si>
  <si>
    <t>9781444334265</t>
  </si>
  <si>
    <t>794877282</t>
  </si>
  <si>
    <t>P118.2 R56 2003</t>
  </si>
  <si>
    <t>0                      P  0118200R  56          2003</t>
  </si>
  <si>
    <t>Vygotsky's and A.A. Leontiev's semiotics and psycholinguistics : applications for education, second language acquisition, and theories of language / Dorothy Robbins.</t>
  </si>
  <si>
    <t>Robbins, Dorothy, 1947-</t>
  </si>
  <si>
    <t>Westport, Conn. : Praeger Publishers, ©2003.</t>
  </si>
  <si>
    <t>Contributions in psychology, 0736-2714 ; no. 44</t>
  </si>
  <si>
    <t>837860298:eng</t>
  </si>
  <si>
    <t>50422920</t>
  </si>
  <si>
    <t>ocm50422920</t>
  </si>
  <si>
    <t>3102756143N</t>
  </si>
  <si>
    <t>9780313322242</t>
  </si>
  <si>
    <t>793764795</t>
  </si>
  <si>
    <t>P118.2 R663 2008</t>
  </si>
  <si>
    <t>0                      P  0118200R  663         2008</t>
  </si>
  <si>
    <t>The role of formal features in second language acquisition / edited by Juana M. Liceras, Helmut Zobl, Helen Goodluck.</t>
  </si>
  <si>
    <t>New York : Lawrence Erlbaum, ©2008.</t>
  </si>
  <si>
    <t>Second language acquisition research : theoretical and methodological issues</t>
  </si>
  <si>
    <t>368725207:eng</t>
  </si>
  <si>
    <t>175204882</t>
  </si>
  <si>
    <t>ocn175204882</t>
  </si>
  <si>
    <t>31026441367</t>
  </si>
  <si>
    <t>9780805853544</t>
  </si>
  <si>
    <t>794274717</t>
  </si>
  <si>
    <t>P118.2 R67 2013</t>
  </si>
  <si>
    <t>0                      P  0118200R  67          2013</t>
  </si>
  <si>
    <t>The Routledge encyclopedia of second language acquisition / edited by Peter Robinson.</t>
  </si>
  <si>
    <t>1090719001:eng</t>
  </si>
  <si>
    <t>746837994</t>
  </si>
  <si>
    <t>ocn746837994</t>
  </si>
  <si>
    <t>3103413162P</t>
  </si>
  <si>
    <t>9780415877510</t>
  </si>
  <si>
    <t>794887482</t>
  </si>
  <si>
    <t>P118.2 R68 2012</t>
  </si>
  <si>
    <t>0                      P  0118200R  68          2012</t>
  </si>
  <si>
    <t>The Routledge handbook of second language acquisition / edited by Susan M. Gass and Alison Mackey.</t>
  </si>
  <si>
    <t>678878459:eng</t>
  </si>
  <si>
    <t>668197111</t>
  </si>
  <si>
    <t>ocn668197111</t>
  </si>
  <si>
    <t>31033822303</t>
  </si>
  <si>
    <t>9780415479936</t>
  </si>
  <si>
    <t>794846145</t>
  </si>
  <si>
    <t>P118.2 S24 2008</t>
  </si>
  <si>
    <t>0                      P  0118200S  24          2008</t>
  </si>
  <si>
    <t>Tasks in second language learning / Virginia Samuda and Martin Bygate.</t>
  </si>
  <si>
    <t>Samuda, Virginia.</t>
  </si>
  <si>
    <t>Basingstoke : Palgrave Macmillan, 2008.</t>
  </si>
  <si>
    <t>101340162:eng</t>
  </si>
  <si>
    <t>122283886</t>
  </si>
  <si>
    <t>ocn122283886</t>
  </si>
  <si>
    <t>31026495676</t>
  </si>
  <si>
    <t>9781403911865</t>
  </si>
  <si>
    <t>794219926</t>
  </si>
  <si>
    <t>P118.2 S28 2012</t>
  </si>
  <si>
    <t>0                      P  0118200S  28          2012</t>
  </si>
  <si>
    <t>Introducing second language acquisition / Muriel Saville-Troike.</t>
  </si>
  <si>
    <t>Saville-Troike, Muriel, 1936-</t>
  </si>
  <si>
    <t>46288001:eng</t>
  </si>
  <si>
    <t>774021239</t>
  </si>
  <si>
    <t>ocn774021239</t>
  </si>
  <si>
    <t>31033968067</t>
  </si>
  <si>
    <t>9781107010895</t>
  </si>
  <si>
    <t>794906216</t>
  </si>
  <si>
    <t>P118.2 S38 1997</t>
  </si>
  <si>
    <t>0                      P  0118200S  38          1997</t>
  </si>
  <si>
    <t>Ambiguity resolution in language learning : computational and cognitive models / Hinrich Schütze.</t>
  </si>
  <si>
    <t>Schütze, Hinrich.</t>
  </si>
  <si>
    <t>Stanford, Calif. : CSLI Publications, ©1997.</t>
  </si>
  <si>
    <t>CSLI lecture notes ; no. 71</t>
  </si>
  <si>
    <t>837041475:eng</t>
  </si>
  <si>
    <t>36029619</t>
  </si>
  <si>
    <t>ocm36029619</t>
  </si>
  <si>
    <t>3102756142N</t>
  </si>
  <si>
    <t>9781575860756</t>
  </si>
  <si>
    <t>793464402</t>
  </si>
  <si>
    <t>P118.2 S426 1996</t>
  </si>
  <si>
    <t>0                      P  0118200S  426         1996</t>
  </si>
  <si>
    <t>Second language acquisition and linguistic variation / edited by Robert Bayley, Dennis R. Preston.</t>
  </si>
  <si>
    <t>Amsterdam ; Philadelphia : J. Benjamins, ©1996.</t>
  </si>
  <si>
    <t>Studies in bilingualism (SiBil), 0928-1533 ; v. 10</t>
  </si>
  <si>
    <t>353590558:eng</t>
  </si>
  <si>
    <t>34474913</t>
  </si>
  <si>
    <t>ocm34474913</t>
  </si>
  <si>
    <t>31034532642</t>
  </si>
  <si>
    <t>9781556195440</t>
  </si>
  <si>
    <t>793427412</t>
  </si>
  <si>
    <t>P118.2 S428 1999</t>
  </si>
  <si>
    <t>0                      P  0118200S  428         1999</t>
  </si>
  <si>
    <t>Second language acquisition and the critical period hypothesis / edited by David Birdsong.</t>
  </si>
  <si>
    <t>Mahwah, N.J. : Erlbaum, 1999.</t>
  </si>
  <si>
    <t>766686121:eng</t>
  </si>
  <si>
    <t>39763535</t>
  </si>
  <si>
    <t>ocm39763535</t>
  </si>
  <si>
    <t>31021642038</t>
  </si>
  <si>
    <t>9780805830842</t>
  </si>
  <si>
    <t>793552745</t>
  </si>
  <si>
    <t>P118.2 S4283 2008</t>
  </si>
  <si>
    <t>0                      P  0118200S  4283        2008</t>
  </si>
  <si>
    <t>Second language acquisition and the younger learner : child's play? / edited by Jenefer Philp, Rhonda Oliver, and Alison Mackey.</t>
  </si>
  <si>
    <t>Amsterdam ; Philadelphia : John Benjamins, ©2008.</t>
  </si>
  <si>
    <t>Language learning &amp; language teaching ; v. 23</t>
  </si>
  <si>
    <t>2015-09-03</t>
  </si>
  <si>
    <t>872220336:eng</t>
  </si>
  <si>
    <t>233813780</t>
  </si>
  <si>
    <t>ocn233813780</t>
  </si>
  <si>
    <t>3103054712H</t>
  </si>
  <si>
    <t>9789027219848</t>
  </si>
  <si>
    <t>794367221</t>
  </si>
  <si>
    <t>P118.2 S43 2009</t>
  </si>
  <si>
    <t>0                      P  0118200S  43          2009</t>
  </si>
  <si>
    <t>Second language reading research and instruction : crossing the boundaries / ZhaoHong Han and Neil J. Anderson, editors.</t>
  </si>
  <si>
    <t>Ann Arbor : University of Michigan Press, ©2009.</t>
  </si>
  <si>
    <t>1008671295:eng</t>
  </si>
  <si>
    <t>303021114</t>
  </si>
  <si>
    <t>ocn303021114</t>
  </si>
  <si>
    <t>3103082100U</t>
  </si>
  <si>
    <t>9780472033508</t>
  </si>
  <si>
    <t>794433779</t>
  </si>
  <si>
    <t>P118.2 S4325 2009</t>
  </si>
  <si>
    <t>0                      P  0118200S  4325        2009</t>
  </si>
  <si>
    <t>Second language acquisition of articles : empirical findings and theoretical implications / edited by María del Pilar García Mayo, Roger Hawkins.</t>
  </si>
  <si>
    <t>Amsterdam ; Philadelphia : John Benjamins Pub. Company, 2009.</t>
  </si>
  <si>
    <t>Language acquisition and language disorders, 0925-0123 ; v. 49</t>
  </si>
  <si>
    <t>1044437056:eng</t>
  </si>
  <si>
    <t>320697116</t>
  </si>
  <si>
    <t>ocn320697116</t>
  </si>
  <si>
    <t>3103086709X</t>
  </si>
  <si>
    <t>9789027253101</t>
  </si>
  <si>
    <t>794486774</t>
  </si>
  <si>
    <t>P118.2 S435 1995</t>
  </si>
  <si>
    <t>0                      P  0118200S  435         1995</t>
  </si>
  <si>
    <t>Second language acquisition : theory and pedagogy / edited by Fred R. Eckman [and others].</t>
  </si>
  <si>
    <t>Mahwah, N.J. : L. Erlbaum Associates, 1995.</t>
  </si>
  <si>
    <t>353628945:eng</t>
  </si>
  <si>
    <t>32237582</t>
  </si>
  <si>
    <t>ocm32237582</t>
  </si>
  <si>
    <t>3101561346I</t>
  </si>
  <si>
    <t>9780805816877</t>
  </si>
  <si>
    <t>793378809</t>
  </si>
  <si>
    <t>P118.2 S4356 2007</t>
  </si>
  <si>
    <t>0                      P  0118200S  4356        2007</t>
  </si>
  <si>
    <t>Second language lexical processes : applied linguistic and psycholinguistic perspectives / edited by Zsolt Lengyel and Judit Navracsics.</t>
  </si>
  <si>
    <t>Second language acquisition ; 23</t>
  </si>
  <si>
    <t>1044415819:eng</t>
  </si>
  <si>
    <t>77574062</t>
  </si>
  <si>
    <t>ocm77574062</t>
  </si>
  <si>
    <t>31026371104</t>
  </si>
  <si>
    <t>9781853599675</t>
  </si>
  <si>
    <t>794192475</t>
  </si>
  <si>
    <t>P118.2 S438 2005</t>
  </si>
  <si>
    <t>0                      P  0118200S  438         2005</t>
  </si>
  <si>
    <t>Second language writing systems / edited by Vivian Cook and Benedetta Bassetti.</t>
  </si>
  <si>
    <t>Second language acquisition ; 11</t>
  </si>
  <si>
    <t>684708843:eng</t>
  </si>
  <si>
    <t>56599788</t>
  </si>
  <si>
    <t>ocm56599788</t>
  </si>
  <si>
    <t>31025803353</t>
  </si>
  <si>
    <t>9781853597930</t>
  </si>
  <si>
    <t>793896803</t>
  </si>
  <si>
    <t>2013-11-15</t>
  </si>
  <si>
    <t>31026056524</t>
  </si>
  <si>
    <t>793896802</t>
  </si>
  <si>
    <t>P118.2 S44 2011</t>
  </si>
  <si>
    <t>0                      P  0118200S  44          2011</t>
  </si>
  <si>
    <t>Second language task complexity : researching the cognition hypothesis of language learning and performance / edited by Peter Robinson.</t>
  </si>
  <si>
    <t>Task-based language teaching : issues, research and practice ; v. 2</t>
  </si>
  <si>
    <t>906396287:eng</t>
  </si>
  <si>
    <t>728656836</t>
  </si>
  <si>
    <t>ocn728656836</t>
  </si>
  <si>
    <t>31033848678</t>
  </si>
  <si>
    <t>9789027207197</t>
  </si>
  <si>
    <t>794878948</t>
  </si>
  <si>
    <t>P118.2 S455 2010</t>
  </si>
  <si>
    <t>0                      P  0118200S  455         2010</t>
  </si>
  <si>
    <t>Cognitive bases of second language fluency / Norman Segalowitz.</t>
  </si>
  <si>
    <t>Segalowitz, Norman.</t>
  </si>
  <si>
    <t>Cognitive science and second language acquisition series</t>
  </si>
  <si>
    <t>154440443:eng</t>
  </si>
  <si>
    <t>262430508</t>
  </si>
  <si>
    <t>ocn262430508</t>
  </si>
  <si>
    <t>3103240175W</t>
  </si>
  <si>
    <t>9780805856613</t>
  </si>
  <si>
    <t>794401750</t>
  </si>
  <si>
    <t>P118.2 S544 2011</t>
  </si>
  <si>
    <t>0                      P  0118200S  544         2011</t>
  </si>
  <si>
    <t>Corrective feedback, individual differences and second language learning / Younghee Sheen.</t>
  </si>
  <si>
    <t>Sheen, Younghee.</t>
  </si>
  <si>
    <t>Dordrecht ; New York : Springer, ©2011.</t>
  </si>
  <si>
    <t>Educational linguistics, 1572-0292 ; v. 13</t>
  </si>
  <si>
    <t>762673426:eng</t>
  </si>
  <si>
    <t>690089123</t>
  </si>
  <si>
    <t>ocn690089123</t>
  </si>
  <si>
    <t>3103637783Z</t>
  </si>
  <si>
    <t>9789400705470</t>
  </si>
  <si>
    <t>794855223</t>
  </si>
  <si>
    <t>P118.2 S55 1994</t>
  </si>
  <si>
    <t>0                      P  0118200S  55          1994</t>
  </si>
  <si>
    <t>Second language learning : theoretical foundations / Michael Sharwood Smith.</t>
  </si>
  <si>
    <t>Sharwood Smith, Michael, 1942-</t>
  </si>
  <si>
    <t>London ; New York : Longman, 1994</t>
  </si>
  <si>
    <t>494544608:eng</t>
  </si>
  <si>
    <t>29184655</t>
  </si>
  <si>
    <t>ocm29184655</t>
  </si>
  <si>
    <t>3101802249Q</t>
  </si>
  <si>
    <t>9780582218864</t>
  </si>
  <si>
    <t>793304939</t>
  </si>
  <si>
    <t>P118.2 S56 2010</t>
  </si>
  <si>
    <t>0                      P  0118200S  56          2010</t>
  </si>
  <si>
    <t>Voicing in contrast : acquiring a second language laryngeal system / Ellen Simon.</t>
  </si>
  <si>
    <t>(text + CD)</t>
  </si>
  <si>
    <t>Simon, Ellen, 1980-</t>
  </si>
  <si>
    <t>Ghent : Academia Press, 2010.</t>
  </si>
  <si>
    <t>796947531:eng</t>
  </si>
  <si>
    <t>607986451</t>
  </si>
  <si>
    <t>ocn607986451</t>
  </si>
  <si>
    <t>3103227872U</t>
  </si>
  <si>
    <t>9789038215624</t>
  </si>
  <si>
    <t>794818876</t>
  </si>
  <si>
    <t>P118.2 S567 1998</t>
  </si>
  <si>
    <t>0                      P  0118200S  567         1998</t>
  </si>
  <si>
    <t>A cognitive approach to language learning / Peter Skehan.</t>
  </si>
  <si>
    <t>Skehan, Peter, author.</t>
  </si>
  <si>
    <t>Oxford ; New York : Oxford University Press, ©1998.</t>
  </si>
  <si>
    <t>2013-11-14</t>
  </si>
  <si>
    <t>41371960:eng</t>
  </si>
  <si>
    <t>39301860</t>
  </si>
  <si>
    <t>ocm39301860</t>
  </si>
  <si>
    <t>3101911921C</t>
  </si>
  <si>
    <t>9780194372176</t>
  </si>
  <si>
    <t>793543224</t>
  </si>
  <si>
    <t>31036221894</t>
  </si>
  <si>
    <t>793543223</t>
  </si>
  <si>
    <t>P118.2 S57 1989</t>
  </si>
  <si>
    <t>0                      P  0118200S  57          1989</t>
  </si>
  <si>
    <t>Individual differences in second-language learning / Peter Skehan.</t>
  </si>
  <si>
    <t>Skehan, Peter.</t>
  </si>
  <si>
    <t>London ; New York : Edward Arnold ; New York, NY : Distributed in the USA by Routledge, Chapman and Hall, 1989.</t>
  </si>
  <si>
    <t>17728587:eng</t>
  </si>
  <si>
    <t>18816846</t>
  </si>
  <si>
    <t>ocm18816846</t>
  </si>
  <si>
    <t>3102756138P</t>
  </si>
  <si>
    <t>9780713166026</t>
  </si>
  <si>
    <t>793037993</t>
  </si>
  <si>
    <t>P118.2 S57 1999</t>
  </si>
  <si>
    <t>0                      P  0118200S  57          1999</t>
  </si>
  <si>
    <t>Social and cognitive factors in second language acquisition : selected proceedings of the 1999 Second Language Research Forum / edited by Bonnie Swierzbin [and others].</t>
  </si>
  <si>
    <t>Second Language Research Forum (1999 : University of Minnesota)</t>
  </si>
  <si>
    <t>Somerville, MA : Cascadilla Press, 2000.</t>
  </si>
  <si>
    <t>35605500:eng</t>
  </si>
  <si>
    <t>46327834</t>
  </si>
  <si>
    <t>ocm46327834</t>
  </si>
  <si>
    <t>3102756139P</t>
  </si>
  <si>
    <t>9781574730401</t>
  </si>
  <si>
    <t>793682533</t>
  </si>
  <si>
    <t>P118.2 S578 2008</t>
  </si>
  <si>
    <t>0                      P  0118200S  578         2008</t>
  </si>
  <si>
    <t>Meaning in the second language / by Roumyana Slabakova.</t>
  </si>
  <si>
    <t>Slabakova, Roumyana.</t>
  </si>
  <si>
    <t>Studies on language acquisition, 1861-4248 ; 34</t>
  </si>
  <si>
    <t>142470946:eng</t>
  </si>
  <si>
    <t>244661182</t>
  </si>
  <si>
    <t>ocn244661182</t>
  </si>
  <si>
    <t>3102977828H</t>
  </si>
  <si>
    <t>9783110203226</t>
  </si>
  <si>
    <t>794382182</t>
  </si>
  <si>
    <t>P118.2 S578 2016</t>
  </si>
  <si>
    <t>0                      P  0118200S  578         2016</t>
  </si>
  <si>
    <t>Second language acquisition / Roumyana Slabakova.</t>
  </si>
  <si>
    <t>Slabakova, Roumyana, author.</t>
  </si>
  <si>
    <t>Oxford : Oxford University Press, 2016.</t>
  </si>
  <si>
    <t>Oxford core linguistics</t>
  </si>
  <si>
    <t>2618249282:eng</t>
  </si>
  <si>
    <t>920725146</t>
  </si>
  <si>
    <t>ocn920725146</t>
  </si>
  <si>
    <t>3103759453R</t>
  </si>
  <si>
    <t>9780199687275</t>
  </si>
  <si>
    <t>795002498</t>
  </si>
  <si>
    <t>P118.2 S58 2001</t>
  </si>
  <si>
    <t>0                      P  0118200S  58          2001</t>
  </si>
  <si>
    <t>Telicity in the second language / Roumyana Slabakova.</t>
  </si>
  <si>
    <t>Amsterdam ; Philadelphia, PA : John Benjamins Pub. Co., ©2001.</t>
  </si>
  <si>
    <t>Language acquisition &amp; language disorders ; v. 26</t>
  </si>
  <si>
    <t>6825243:eng</t>
  </si>
  <si>
    <t>45661646</t>
  </si>
  <si>
    <t>ocm45661646</t>
  </si>
  <si>
    <t>3102756136P</t>
  </si>
  <si>
    <t>9789027224941</t>
  </si>
  <si>
    <t>793675818</t>
  </si>
  <si>
    <t>P118.2 S62 2000</t>
  </si>
  <si>
    <t>0                      P  0118200S  62          2000</t>
  </si>
  <si>
    <t>Sociocultural theory and second language learning / edited by James P. Lantolf.</t>
  </si>
  <si>
    <t>2017-01-18</t>
  </si>
  <si>
    <t>33274663:eng</t>
  </si>
  <si>
    <t>43869482</t>
  </si>
  <si>
    <t>ocm43869482</t>
  </si>
  <si>
    <t>3102756135P</t>
  </si>
  <si>
    <t>9780194421607</t>
  </si>
  <si>
    <t>793637378</t>
  </si>
  <si>
    <t>31034749498</t>
  </si>
  <si>
    <t>793637377</t>
  </si>
  <si>
    <t>P118.2 S63 2010</t>
  </si>
  <si>
    <t>0                      P  0118200S  63          2010</t>
  </si>
  <si>
    <t>Sociocognitive perspectives on language use and language learning / edited by Rob Batstone.</t>
  </si>
  <si>
    <t>2018-06-05</t>
  </si>
  <si>
    <t>591143151:eng</t>
  </si>
  <si>
    <t>658653800</t>
  </si>
  <si>
    <t>ocn658653800</t>
  </si>
  <si>
    <t>3103226798X</t>
  </si>
  <si>
    <t>9780194424776</t>
  </si>
  <si>
    <t>794836001</t>
  </si>
  <si>
    <t>P118.2 S66 2012</t>
  </si>
  <si>
    <t>0                      P  0118200S  66          2012</t>
  </si>
  <si>
    <t>Politeness and culture in second language acquisition / Sooho Song.</t>
  </si>
  <si>
    <t>Song, Sooho.</t>
  </si>
  <si>
    <t>1171630417:eng</t>
  </si>
  <si>
    <t>794708875</t>
  </si>
  <si>
    <t>ocn794708875</t>
  </si>
  <si>
    <t>3103457892$</t>
  </si>
  <si>
    <t>9781137030627</t>
  </si>
  <si>
    <t>794920391</t>
  </si>
  <si>
    <t>P118.2 S88 2006</t>
  </si>
  <si>
    <t>0                      P  0118200S  88          2006</t>
  </si>
  <si>
    <t>Studies of fossilization in second language acquisition / edited by ZhaoHong Han and Terence Odlin.</t>
  </si>
  <si>
    <t>Clevedon, U.K. ; Buffalo : Multilingual Matters, ©2006.</t>
  </si>
  <si>
    <t>Second language acquisition ; 14</t>
  </si>
  <si>
    <t>3856990091:eng</t>
  </si>
  <si>
    <t>60491837</t>
  </si>
  <si>
    <t>ocm60491837</t>
  </si>
  <si>
    <t>3102548308Y</t>
  </si>
  <si>
    <t>9781853598364</t>
  </si>
  <si>
    <t>793938152</t>
  </si>
  <si>
    <t>P118.2 S96 2006</t>
  </si>
  <si>
    <t>0                      P  0118200S  96          2006</t>
  </si>
  <si>
    <t>Synthesizing research on language learning and teaching / edited by John M. Norris, Lourdes Ortega.</t>
  </si>
  <si>
    <t>Amsterdam ; Philadelphia, Pa. : John Benjamins Pub., ©2006.</t>
  </si>
  <si>
    <t>Language learning and language teaching, 1569-9471 ; v. 13</t>
  </si>
  <si>
    <t>48412311:eng</t>
  </si>
  <si>
    <t>64453554</t>
  </si>
  <si>
    <t>ocm64453554</t>
  </si>
  <si>
    <t>31025847892</t>
  </si>
  <si>
    <t>9789027219657</t>
  </si>
  <si>
    <t>794129533</t>
  </si>
  <si>
    <t>P118.2 T365 2009</t>
  </si>
  <si>
    <t>0                      P  0118200T  365         2009</t>
  </si>
  <si>
    <t>Exploring learner language / Elaine Tarone and Bonnie Swierzbin.</t>
  </si>
  <si>
    <t>(Text+DVD)</t>
  </si>
  <si>
    <t>Tarone, Elaine, 1945-</t>
  </si>
  <si>
    <t>Oxford : Oxford University Press, 2009.</t>
  </si>
  <si>
    <t>341374887:eng</t>
  </si>
  <si>
    <t>456369975</t>
  </si>
  <si>
    <t>ocn456369975</t>
  </si>
  <si>
    <t>3103300840V</t>
  </si>
  <si>
    <t>9780194422918</t>
  </si>
  <si>
    <t>794788787</t>
  </si>
  <si>
    <t>2015-02-19</t>
  </si>
  <si>
    <t>3103113384X</t>
  </si>
  <si>
    <t>794788786</t>
  </si>
  <si>
    <t>P118.2 T37 2009</t>
  </si>
  <si>
    <t>0                      P  0118200T  37          2009</t>
  </si>
  <si>
    <t>Literacy and second language oracy / Elaine Tarone, Martha Bigelow and Kit Hansen.</t>
  </si>
  <si>
    <t>176845614:eng</t>
  </si>
  <si>
    <t>295561808</t>
  </si>
  <si>
    <t>ocn295561808</t>
  </si>
  <si>
    <t>3103240938G</t>
  </si>
  <si>
    <t>9780194423007</t>
  </si>
  <si>
    <t>794425481</t>
  </si>
  <si>
    <t>P118.2 T37 2014</t>
  </si>
  <si>
    <t>0                      P  0118200T  37          2014</t>
  </si>
  <si>
    <t>Task sequencing and instructed second language learning / edited by Melissa Baralt, Roger Gilabert, and Peter Robinson.</t>
  </si>
  <si>
    <t>Advances in instructed second language acquisition research series</t>
  </si>
  <si>
    <t>9658195493:eng</t>
  </si>
  <si>
    <t>857967267</t>
  </si>
  <si>
    <t>ocn857967267</t>
  </si>
  <si>
    <t>31035676346</t>
  </si>
  <si>
    <t>9781623562762</t>
  </si>
  <si>
    <t>794955621</t>
  </si>
  <si>
    <t>P118.2 T45 2007</t>
  </si>
  <si>
    <t>0                      P  0118200T  45          2007</t>
  </si>
  <si>
    <t>Theories in second language acquisition : an introduction / edited by Bill VanPatten and Jessica Williams.</t>
  </si>
  <si>
    <t>Mahwah, N.J. : Lawrence Erlbaum Associates, 2007.</t>
  </si>
  <si>
    <t>890638813:eng</t>
  </si>
  <si>
    <t>76809922</t>
  </si>
  <si>
    <t>ocm76809922</t>
  </si>
  <si>
    <t>3102643214C</t>
  </si>
  <si>
    <t>9780805857375</t>
  </si>
  <si>
    <t>794177213</t>
  </si>
  <si>
    <t>P118.2 T68 1994</t>
  </si>
  <si>
    <t>0                      P  0118200T  68          1994</t>
  </si>
  <si>
    <t>Approaches to second language acquisition / Richard Towell and Roger Hawkins.</t>
  </si>
  <si>
    <t>Towell, Richard.</t>
  </si>
  <si>
    <t>Clevedon, Avon, England ; Philadelphia : Multilingual Matters, ©1994.</t>
  </si>
  <si>
    <t>1064385:eng</t>
  </si>
  <si>
    <t>29667894</t>
  </si>
  <si>
    <t>ocm29667894</t>
  </si>
  <si>
    <t>3102739944Y</t>
  </si>
  <si>
    <t>9781853592355</t>
  </si>
  <si>
    <t>793317549</t>
  </si>
  <si>
    <t>P118.2 T78 2015</t>
  </si>
  <si>
    <t>0                      P  0118200T  78          2015</t>
  </si>
  <si>
    <t>Consciousness and second language learning / John Truscott.</t>
  </si>
  <si>
    <t>Truscott, John (College teacher)</t>
  </si>
  <si>
    <t>Second language acquisition ; 83</t>
  </si>
  <si>
    <t>1919668698:eng</t>
  </si>
  <si>
    <t>881869163</t>
  </si>
  <si>
    <t>ocn881869163</t>
  </si>
  <si>
    <t>3103580362R</t>
  </si>
  <si>
    <t>9781783092659</t>
  </si>
  <si>
    <t>794974941</t>
  </si>
  <si>
    <t>P118.2 T83 2010</t>
  </si>
  <si>
    <t>0                      P  0118200T  83          2010</t>
  </si>
  <si>
    <t>Online second language acquisition : conversation analysis of online chat / Vincenza Tudini.</t>
  </si>
  <si>
    <t>Tudini, Vincenza A. C., 1960-</t>
  </si>
  <si>
    <t>687471779:eng</t>
  </si>
  <si>
    <t>466343684</t>
  </si>
  <si>
    <t>ocn466343684</t>
  </si>
  <si>
    <t>31032378022</t>
  </si>
  <si>
    <t>9780826442406</t>
  </si>
  <si>
    <t>794794358</t>
  </si>
  <si>
    <t>P118.2 T95 2012</t>
  </si>
  <si>
    <t>0                      P  0118200T  95          2012</t>
  </si>
  <si>
    <t>Cognitive linguistics and second language learning : theoretical basics and experimental evidence / Andrea Tyler.</t>
  </si>
  <si>
    <t>Tyler, Andrea.</t>
  </si>
  <si>
    <t>1076470302:eng</t>
  </si>
  <si>
    <t>613423709</t>
  </si>
  <si>
    <t>ocn613423709</t>
  </si>
  <si>
    <t>3103433046M</t>
  </si>
  <si>
    <t>9780415802499</t>
  </si>
  <si>
    <t>794821993</t>
  </si>
  <si>
    <t>P118.2 T96 2002</t>
  </si>
  <si>
    <t>0                      P  0118200T  96          2002</t>
  </si>
  <si>
    <t>Typology and second language acquisition / edited by Anna Giacalone Ramat.</t>
  </si>
  <si>
    <t>Empirical approaches to language typology ; 26</t>
  </si>
  <si>
    <t>6077937:eng</t>
  </si>
  <si>
    <t>50606424</t>
  </si>
  <si>
    <t>ocm50606424</t>
  </si>
  <si>
    <t>31025373076</t>
  </si>
  <si>
    <t>9783110173598</t>
  </si>
  <si>
    <t>793768714</t>
  </si>
  <si>
    <t>P118.2 U49 2000</t>
  </si>
  <si>
    <t>0                      P  0118200U  49          2000</t>
  </si>
  <si>
    <t>Fundamentos lingüísticos en la enseñanza de lenguas extranjeras / José Manuel Vez.</t>
  </si>
  <si>
    <t>Vez, José Manuel.</t>
  </si>
  <si>
    <t>Barcelona : Ariel, 2000.</t>
  </si>
  <si>
    <t>Ariel Lenguas Modernas</t>
  </si>
  <si>
    <t>2017-01-16</t>
  </si>
  <si>
    <t>34398235:spa</t>
  </si>
  <si>
    <t>44532185</t>
  </si>
  <si>
    <t>ocm44532185</t>
  </si>
  <si>
    <t>3103439665D</t>
  </si>
  <si>
    <t>9788434481169</t>
  </si>
  <si>
    <t>793652574</t>
  </si>
  <si>
    <t>P118.2 U53 2008</t>
  </si>
  <si>
    <t>0                      P  0118200U  53          2008</t>
  </si>
  <si>
    <t>Understanding second language process / edited by ZhaoHong Han ; in collaboration with Eun Sung Park [and others].</t>
  </si>
  <si>
    <t>Clevedon [England] ; Buffalo [N.Y.] : Multilingual Matters, ©2008.</t>
  </si>
  <si>
    <t>Second language acquisition ; 25</t>
  </si>
  <si>
    <t>899660135:eng</t>
  </si>
  <si>
    <t>129956194</t>
  </si>
  <si>
    <t>ocn129956194</t>
  </si>
  <si>
    <t>3102573630O</t>
  </si>
  <si>
    <t>9781847690142</t>
  </si>
  <si>
    <t>794231593</t>
  </si>
  <si>
    <t>P118.2 V94 1994</t>
  </si>
  <si>
    <t>0                      P  0118200V  94          1994</t>
  </si>
  <si>
    <t>Vygotskian approaches to second language research / edited by James P. Lantolf, Gabriela Appel.</t>
  </si>
  <si>
    <t>Norwood, N.J. : Ablex Pub. Corp., ©1994.</t>
  </si>
  <si>
    <t>350057095:eng</t>
  </si>
  <si>
    <t>29670382</t>
  </si>
  <si>
    <t>ocm29670382</t>
  </si>
  <si>
    <t>3102756137P</t>
  </si>
  <si>
    <t>9781567500240</t>
  </si>
  <si>
    <t>793317807</t>
  </si>
  <si>
    <t>P118.2 W39 2003</t>
  </si>
  <si>
    <t>0                      P  0118200W  39          2003</t>
  </si>
  <si>
    <t>Second language acquisition and universal grammar / Lydia White.</t>
  </si>
  <si>
    <t>White, Lydia, 1946-</t>
  </si>
  <si>
    <t>Cambridge, U.K. ; New York : Cambridge University Press, 2003.</t>
  </si>
  <si>
    <t>22705397:eng</t>
  </si>
  <si>
    <t>50280153</t>
  </si>
  <si>
    <t>ocm50280153</t>
  </si>
  <si>
    <t>3102756132P</t>
  </si>
  <si>
    <t>9780521792059</t>
  </si>
  <si>
    <t>793759790</t>
  </si>
  <si>
    <t>P118.2 W4 1989</t>
  </si>
  <si>
    <t>0                      P  0118200W  4           1989</t>
  </si>
  <si>
    <t>Universal Grammar and second language acquisition / by Lydia White.</t>
  </si>
  <si>
    <t>Amsterdam ; Philadelphia : J. Benjamins Pub. Co., 1989.</t>
  </si>
  <si>
    <t>Language acquisition &amp; language disorders ; v. 1</t>
  </si>
  <si>
    <t>2018-01-15</t>
  </si>
  <si>
    <t>3129277697:eng</t>
  </si>
  <si>
    <t>20692724</t>
  </si>
  <si>
    <t>ocm20692724</t>
  </si>
  <si>
    <t>31034100369</t>
  </si>
  <si>
    <t>9781556190926</t>
  </si>
  <si>
    <t>793095992</t>
  </si>
  <si>
    <t>31027403881</t>
  </si>
  <si>
    <t>793095993</t>
  </si>
  <si>
    <t>P118.2 W665 2010</t>
  </si>
  <si>
    <t>0                      P  0118200W  665         2010</t>
  </si>
  <si>
    <t>Formulaic language and second language speech fluency : background, evidence and classroom applications / David Wood.</t>
  </si>
  <si>
    <t>Wood, David (David Claude), 1957-</t>
  </si>
  <si>
    <t>2011-10-05</t>
  </si>
  <si>
    <t>349134952:eng</t>
  </si>
  <si>
    <t>466343682</t>
  </si>
  <si>
    <t>ocn466343682</t>
  </si>
  <si>
    <t>3103230839O</t>
  </si>
  <si>
    <t>9781441158192</t>
  </si>
  <si>
    <t>794794357</t>
  </si>
  <si>
    <t>P118.2 W667 2015</t>
  </si>
  <si>
    <t>0                      P  0118200W  667         2015</t>
  </si>
  <si>
    <t>Working memory in second language acquisition and processing / edited By Zhisheng (Edward) Wen, Mailce Borges Mota and Arthur Mcneill.</t>
  </si>
  <si>
    <t>2018-08-02</t>
  </si>
  <si>
    <t>5219136508:eng</t>
  </si>
  <si>
    <t>898113462</t>
  </si>
  <si>
    <t>ocn898113462</t>
  </si>
  <si>
    <t>31036220312</t>
  </si>
  <si>
    <t>9781783093588</t>
  </si>
  <si>
    <t>794985813</t>
  </si>
  <si>
    <t>P118.23 C76 2005</t>
  </si>
  <si>
    <t>0                      P  0118230C  76          2005</t>
  </si>
  <si>
    <t>Cross-linguistic aspects of processability theory / edited by Manfred Pienemann.</t>
  </si>
  <si>
    <t>Amsterdam ; Philadelphia : J. Benjamins Pub. Co., ©2005.</t>
  </si>
  <si>
    <t>Studies in bilingualism, 0928-1533 ; v. 30</t>
  </si>
  <si>
    <t>46267548:eng</t>
  </si>
  <si>
    <t>61731517</t>
  </si>
  <si>
    <t>ocm61731517</t>
  </si>
  <si>
    <t>3102548432P</t>
  </si>
  <si>
    <t>9789027241412</t>
  </si>
  <si>
    <t>794092028</t>
  </si>
  <si>
    <t>P118.23 S35 2009</t>
  </si>
  <si>
    <t>0                      P  0118230S  35          2009</t>
  </si>
  <si>
    <t>Interlanguage pragmatic development : the study abroad context / Gila A. Schauer.</t>
  </si>
  <si>
    <t>Schauer, Gila A.</t>
  </si>
  <si>
    <t>London : Continuum Intl, 2009.</t>
  </si>
  <si>
    <t>801998579:eng</t>
  </si>
  <si>
    <t>277203898</t>
  </si>
  <si>
    <t>ocn277203898</t>
  </si>
  <si>
    <t>3102858961I</t>
  </si>
  <si>
    <t>9781441150615</t>
  </si>
  <si>
    <t>794418789</t>
  </si>
  <si>
    <t>P118.25 C76 2006</t>
  </si>
  <si>
    <t>0                      P  0118250C  76          2006</t>
  </si>
  <si>
    <t>Cross-linguistic influences in the second language lexicon / edited by Janusz Arabski.</t>
  </si>
  <si>
    <t>Clevedon, England ; Buffalo : Multilingual Matters, ©2006.</t>
  </si>
  <si>
    <t>Second language acquisition ; 17</t>
  </si>
  <si>
    <t>2009-05-22</t>
  </si>
  <si>
    <t>1060759964:eng</t>
  </si>
  <si>
    <t>60491840</t>
  </si>
  <si>
    <t>ocm60491840</t>
  </si>
  <si>
    <t>3102601441S</t>
  </si>
  <si>
    <t>9781853598562</t>
  </si>
  <si>
    <t>793938155</t>
  </si>
  <si>
    <t>31025811189</t>
  </si>
  <si>
    <t>793938154</t>
  </si>
  <si>
    <t>P118.25 N49 2016</t>
  </si>
  <si>
    <t>0                      P  0118250N  49          2016</t>
  </si>
  <si>
    <t>New perspectives on transfer in second language learning / edited by Liming Yu and Terence Odlin.</t>
  </si>
  <si>
    <t>Bristol ; Buffalo : Multilingual Matters, [2016]</t>
  </si>
  <si>
    <t>Second language acquisition ; 92</t>
  </si>
  <si>
    <t>2747649044:eng</t>
  </si>
  <si>
    <t>914417555</t>
  </si>
  <si>
    <t>ocn914417555</t>
  </si>
  <si>
    <t>3103613204Z</t>
  </si>
  <si>
    <t>9781783094332</t>
  </si>
  <si>
    <t>795000185</t>
  </si>
  <si>
    <t>P118.25 O35 1989</t>
  </si>
  <si>
    <t>0                      P  0118250O  35          1989</t>
  </si>
  <si>
    <t>Language transfer : cross-linguistic influence in language learning / Terence Odlin.</t>
  </si>
  <si>
    <t>Odlin, Terence, author.</t>
  </si>
  <si>
    <t>Cambridge ; New York : Cambridge University Press, ©1989.</t>
  </si>
  <si>
    <t>808078889:eng</t>
  </si>
  <si>
    <t>18558047</t>
  </si>
  <si>
    <t>ocm18558047</t>
  </si>
  <si>
    <t>3102756127R</t>
  </si>
  <si>
    <t>9780521371681</t>
  </si>
  <si>
    <t>793028893</t>
  </si>
  <si>
    <t>P118.25 T7 1989</t>
  </si>
  <si>
    <t>0                      P  0118250T  7           1989</t>
  </si>
  <si>
    <t>Transfer in language production / edited by Hans W. Dechert and Manfred Raupach.</t>
  </si>
  <si>
    <t>Norwood, N.J. : Ablex Pub. Corp., ©1989.</t>
  </si>
  <si>
    <t>351762223:eng</t>
  </si>
  <si>
    <t>17508374</t>
  </si>
  <si>
    <t>ocm17508374</t>
  </si>
  <si>
    <t>3102756126R</t>
  </si>
  <si>
    <t>9780893913991</t>
  </si>
  <si>
    <t>792993620</t>
  </si>
  <si>
    <t>P118.3 G6 1992</t>
  </si>
  <si>
    <t>0                      P  0118300G  6           1992</t>
  </si>
  <si>
    <t>Metalinguistic development / Jean Émile Gombert.</t>
  </si>
  <si>
    <t>Gombert, Jean Emile.</t>
  </si>
  <si>
    <t>Chicago : University of Chicago Press, ©1992.</t>
  </si>
  <si>
    <t>28560958:eng</t>
  </si>
  <si>
    <t>24792108</t>
  </si>
  <si>
    <t>ocm24792108</t>
  </si>
  <si>
    <t>3102756125R</t>
  </si>
  <si>
    <t>9780226302089</t>
  </si>
  <si>
    <t>793205186</t>
  </si>
  <si>
    <t>P118.3 R47 2012</t>
  </si>
  <si>
    <t>0                      P  0118300R  47          2012</t>
  </si>
  <si>
    <t>Research methods in child language : a practical guide / edited by Erika Hoff.</t>
  </si>
  <si>
    <t>Guides to research methods in language and linguistics ; 2</t>
  </si>
  <si>
    <t>2017-06-05</t>
  </si>
  <si>
    <t>809325406:eng</t>
  </si>
  <si>
    <t>706804043</t>
  </si>
  <si>
    <t>ocn706804043</t>
  </si>
  <si>
    <t>3103380381Z</t>
  </si>
  <si>
    <t>9781444331240</t>
  </si>
  <si>
    <t>794867203</t>
  </si>
  <si>
    <t>P118.4 F595 1990</t>
  </si>
  <si>
    <t>0                      P  0118400F  595         1990</t>
  </si>
  <si>
    <t>The communicative competence of young children : a modular approach / Susan H. Foster.</t>
  </si>
  <si>
    <t>Foster-Cohen, Susan H., 1954- author.</t>
  </si>
  <si>
    <t>London ; New York : Longman, ©1990.</t>
  </si>
  <si>
    <t>Studies in language and linguistics</t>
  </si>
  <si>
    <t>840361876:eng</t>
  </si>
  <si>
    <t>20294269</t>
  </si>
  <si>
    <t>ocm20294269</t>
  </si>
  <si>
    <t>3102756121R</t>
  </si>
  <si>
    <t>9780582061842</t>
  </si>
  <si>
    <t>793083164</t>
  </si>
  <si>
    <t>P118.4 G47 2010</t>
  </si>
  <si>
    <t>0                      P  0118400G  47          2010</t>
  </si>
  <si>
    <t>Gestures in language development / edited by Marianne Gullberg, Kees de Bot.</t>
  </si>
  <si>
    <t>Benjamins current topics ; v. 28</t>
  </si>
  <si>
    <t>373746801:eng</t>
  </si>
  <si>
    <t>670238296</t>
  </si>
  <si>
    <t>ocn670238296</t>
  </si>
  <si>
    <t>3103313532P</t>
  </si>
  <si>
    <t>9789027222589</t>
  </si>
  <si>
    <t>794847500</t>
  </si>
  <si>
    <t>P118.5 B47 2014</t>
  </si>
  <si>
    <t>0                      P  0118500B  47          2014</t>
  </si>
  <si>
    <t>J'apprends à parler : le développement du langage de 0 à 5 ans / Marie-Ève Bergeron Gaudin.</t>
  </si>
  <si>
    <t>Bergeron Gaudin, Marie-Ève, 1980-</t>
  </si>
  <si>
    <t>Montréal, QC : Éditions du CHU Sainte-Justine, [2014]</t>
  </si>
  <si>
    <t>Collection du CHU Sainte-Justine pour les parents</t>
  </si>
  <si>
    <t>2167516009:fre</t>
  </si>
  <si>
    <t>892702830</t>
  </si>
  <si>
    <t>ocn892702830</t>
  </si>
  <si>
    <t>31034957098</t>
  </si>
  <si>
    <t>9782896196432</t>
  </si>
  <si>
    <t>794981018</t>
  </si>
  <si>
    <t>P118.5 B47 2018</t>
  </si>
  <si>
    <t>0                      P  0118500B  47          2018</t>
  </si>
  <si>
    <t>J'apprends à parler : le développement du langage de 0 à 5 ans / Marie-Ève Bergeron-Gaudin.</t>
  </si>
  <si>
    <t>Bergeron-Gaudin, Marie-Ève, author.</t>
  </si>
  <si>
    <t>Montréal (Québec) : Éditions du CHU Sainte-Justine, le centre hospitalier universitaire mère-enfant, [2018]</t>
  </si>
  <si>
    <t>[2e édition].</t>
  </si>
  <si>
    <t>Parlons parents</t>
  </si>
  <si>
    <t>1082267791</t>
  </si>
  <si>
    <t>on1082267791</t>
  </si>
  <si>
    <t>3103730768M</t>
  </si>
  <si>
    <t>9782896198542</t>
  </si>
  <si>
    <t>795077644</t>
  </si>
  <si>
    <t>P118.5 I45 1994</t>
  </si>
  <si>
    <t>0                      P  0118500I  45          1994</t>
  </si>
  <si>
    <t>Input and interaction in language acquisition / edited by Clare Gallaway and Brian J. Richards.</t>
  </si>
  <si>
    <t>350084292:eng</t>
  </si>
  <si>
    <t>28494702</t>
  </si>
  <si>
    <t>ocm28494702</t>
  </si>
  <si>
    <t>3102756123R</t>
  </si>
  <si>
    <t>9780521431095</t>
  </si>
  <si>
    <t>793289128</t>
  </si>
  <si>
    <t>P118.6 E97 2017</t>
  </si>
  <si>
    <t>0                      P  0118600E  97          2017</t>
  </si>
  <si>
    <t>Expanding individual difference research in the interaction approach investigating learners, instructors, and other interlocutors / edited by Laura Gurzynski-Weiss, Indiana University.</t>
  </si>
  <si>
    <t>Amsterdam ; Philadelphia : John Benjamins Publishing Company, [2017]</t>
  </si>
  <si>
    <t>AILA applied linguistics series ; volume 16</t>
  </si>
  <si>
    <t>4741513454:eng</t>
  </si>
  <si>
    <t>1021059987</t>
  </si>
  <si>
    <t>on1021059987</t>
  </si>
  <si>
    <t>31037659874</t>
  </si>
  <si>
    <t>9789027205346</t>
  </si>
  <si>
    <t>795050604</t>
  </si>
  <si>
    <t>P118.65 A37 2003</t>
  </si>
  <si>
    <t>0                      P  0118650A  37          2003</t>
  </si>
  <si>
    <t>Age and the acquisition of English as a foreign language / edited by María del Pilar García Mayo and María Luisa García Lecumberri.</t>
  </si>
  <si>
    <t>Second language acquisition ; 4</t>
  </si>
  <si>
    <t>413045673:eng</t>
  </si>
  <si>
    <t>50737501</t>
  </si>
  <si>
    <t>ocm50737501</t>
  </si>
  <si>
    <t>3103474533M</t>
  </si>
  <si>
    <t>9781853596391</t>
  </si>
  <si>
    <t>793771945</t>
  </si>
  <si>
    <t>P118.65 A373 2006</t>
  </si>
  <si>
    <t>0                      P  0118650A  373         2006</t>
  </si>
  <si>
    <t>Age and the rate of foreign language learning / edited by Carmen Muñoz.</t>
  </si>
  <si>
    <t>Second language acquisition ; 19</t>
  </si>
  <si>
    <t>364075374:eng</t>
  </si>
  <si>
    <t>63705799</t>
  </si>
  <si>
    <t>ocm63705799</t>
  </si>
  <si>
    <t>3102564947E</t>
  </si>
  <si>
    <t>9781853598920</t>
  </si>
  <si>
    <t>794122893</t>
  </si>
  <si>
    <t>P118.65 B5 2016</t>
  </si>
  <si>
    <t>0                      P  0118650B  5           2016</t>
  </si>
  <si>
    <t>Bilingualism across the lifespan : factors moderating language proficiency / edited by Elena Nicoladis and Simona Montanari.</t>
  </si>
  <si>
    <t>Washington, DC : American Psychological Association ; Berlin : De Gruyter Mouton, [2016]</t>
  </si>
  <si>
    <t>Language and the human lifespan series</t>
  </si>
  <si>
    <t>3012465289:eng</t>
  </si>
  <si>
    <t>940794940</t>
  </si>
  <si>
    <t>ocn940794940</t>
  </si>
  <si>
    <t>3103867110H</t>
  </si>
  <si>
    <t>9781433822834</t>
  </si>
  <si>
    <t>795012023</t>
  </si>
  <si>
    <t>P118.65 H47 2007</t>
  </si>
  <si>
    <t>0                      P  0118650H  47          2007</t>
  </si>
  <si>
    <t>Language development and age / Julia Herschensohn.</t>
  </si>
  <si>
    <t>Herschensohn, Julia Rogers, 1945-</t>
  </si>
  <si>
    <t>102828222:eng</t>
  </si>
  <si>
    <t>124961309</t>
  </si>
  <si>
    <t>ocn124961309</t>
  </si>
  <si>
    <t>3102573168X</t>
  </si>
  <si>
    <t>9780521872973</t>
  </si>
  <si>
    <t>794230921</t>
  </si>
  <si>
    <t>P118.65 S56 2004</t>
  </si>
  <si>
    <t>0                      P  0118650S  56          2004</t>
  </si>
  <si>
    <t>Language acquisition : the age factor / David Singleton and Lisa Ryan.</t>
  </si>
  <si>
    <t>Singleton, D. M. (David Michael)</t>
  </si>
  <si>
    <t>Second language acquisition ; 9</t>
  </si>
  <si>
    <t>793968924:eng</t>
  </si>
  <si>
    <t>54374742</t>
  </si>
  <si>
    <t>ocm54374742</t>
  </si>
  <si>
    <t>3102756120R</t>
  </si>
  <si>
    <t>9781853597589</t>
  </si>
  <si>
    <t>793860485</t>
  </si>
  <si>
    <t>P118.7 P74 2002</t>
  </si>
  <si>
    <t>0                      P  0118700P  74          2002</t>
  </si>
  <si>
    <t>Precursors of functional literacy / edited by Ludo Verhoeven ; Carsten Elbro, Pieter Reitsma.</t>
  </si>
  <si>
    <t>Studies in written language and literacy ; v. 11</t>
  </si>
  <si>
    <t>766808468:eng</t>
  </si>
  <si>
    <t>50072630</t>
  </si>
  <si>
    <t>ocm50072630</t>
  </si>
  <si>
    <t>3102756118T</t>
  </si>
  <si>
    <t>9781588112286</t>
  </si>
  <si>
    <t>793754981</t>
  </si>
  <si>
    <t>P118.75 A48 2008</t>
  </si>
  <si>
    <t>0                      P  0118750A  48          2008</t>
  </si>
  <si>
    <t>Language testing matters : investigating the wider social and educational impact of assessment : proceedings of the ALTE Cambridge Conference, April 2008 / edited by Lynda Taylor and Cyril J Weir.</t>
  </si>
  <si>
    <t>ALTE Conference (3rd : 2008 : Cambridge, England)</t>
  </si>
  <si>
    <t>Studies in language testing ; 31</t>
  </si>
  <si>
    <t>2019-08-10</t>
  </si>
  <si>
    <t>836189102:eng</t>
  </si>
  <si>
    <t>427857575</t>
  </si>
  <si>
    <t>ocn427857575</t>
  </si>
  <si>
    <t>3103229872M</t>
  </si>
  <si>
    <t>9780521163910</t>
  </si>
  <si>
    <t>794703779</t>
  </si>
  <si>
    <t>P118.75 A48 2010</t>
  </si>
  <si>
    <t>0                      P  0118750A  48          2010</t>
  </si>
  <si>
    <t>Aligning tests with the CEFR : reflections on using the Council of Europe's draft manual / edited by Waldemar Martyniuk.</t>
  </si>
  <si>
    <t>Studies in language testing ; 33</t>
  </si>
  <si>
    <t>836191510:eng</t>
  </si>
  <si>
    <t>640918016</t>
  </si>
  <si>
    <t>ocn640918016</t>
  </si>
  <si>
    <t>3103233533L</t>
  </si>
  <si>
    <t>9780521176842</t>
  </si>
  <si>
    <t>794827463</t>
  </si>
  <si>
    <t>P118.75 A482 2011</t>
  </si>
  <si>
    <t>0                      P  0118750A  482         2011</t>
  </si>
  <si>
    <t>Exploring language frameworks : proceedings of the ALTE Kraków Conference, July 2011 / edited by Evelina D. Galaczi and Cyril J. Weir.</t>
  </si>
  <si>
    <t>ALTE Conference (4th : 2011 : Kraków, Poland)</t>
  </si>
  <si>
    <t>Cambridge : Cambridge University Press, ]2013]</t>
  </si>
  <si>
    <t>mul</t>
  </si>
  <si>
    <t>Studies in language testing</t>
  </si>
  <si>
    <t>1182895515:mul</t>
  </si>
  <si>
    <t>818865791</t>
  </si>
  <si>
    <t>ocn818865791</t>
  </si>
  <si>
    <t>3103456419V</t>
  </si>
  <si>
    <t>9781107677029</t>
  </si>
  <si>
    <t>794934228</t>
  </si>
  <si>
    <t>P118.75 A77 2018</t>
  </si>
  <si>
    <t>0                      P  0118750A  77          2018</t>
  </si>
  <si>
    <t>Assessment in second language pronunciation / edited by Okim Kang and April Ginther.</t>
  </si>
  <si>
    <t>Milton Park, Abingdon, Oxon ; New York, NY : Routledge, 2018.</t>
  </si>
  <si>
    <t>4029009389:eng</t>
  </si>
  <si>
    <t>968557515</t>
  </si>
  <si>
    <t>ocn968557515</t>
  </si>
  <si>
    <t>3103738495S</t>
  </si>
  <si>
    <t>9781138856868</t>
  </si>
  <si>
    <t>795027152</t>
  </si>
  <si>
    <t>P118.75 F85 2003</t>
  </si>
  <si>
    <t>0                      P  0118750F  85          2003</t>
  </si>
  <si>
    <t>Testing second language speaking / Glenn Fulcher.</t>
  </si>
  <si>
    <t>Fulcher, Glenn.</t>
  </si>
  <si>
    <t>London : Pearson/Longman, 2003.</t>
  </si>
  <si>
    <t>716173:eng</t>
  </si>
  <si>
    <t>56656499</t>
  </si>
  <si>
    <t>ocm56656499</t>
  </si>
  <si>
    <t>3102352970X</t>
  </si>
  <si>
    <t>9780582472709</t>
  </si>
  <si>
    <t>793898444</t>
  </si>
  <si>
    <t>P119 M378 2011</t>
  </si>
  <si>
    <t>0                      P  0119000M  378         2011</t>
  </si>
  <si>
    <t>A cross-linguistic study of lexical iconicity and its manifestation in bird names / Annu Marttila.</t>
  </si>
  <si>
    <t>Marttila, Annu.</t>
  </si>
  <si>
    <t>Muenchen : LINCOM Europa, 2011.</t>
  </si>
  <si>
    <t>LINCOM studies in language typology ; 18</t>
  </si>
  <si>
    <t>901163918:eng</t>
  </si>
  <si>
    <t>748373272</t>
  </si>
  <si>
    <t>ocn748373272</t>
  </si>
  <si>
    <t>3103445754N</t>
  </si>
  <si>
    <t>9783862880584</t>
  </si>
  <si>
    <t>794889326</t>
  </si>
  <si>
    <t>P119.3 A86 2003</t>
  </si>
  <si>
    <t>0                      P  0119300A  86          2003</t>
  </si>
  <si>
    <t>At war with words / edited by Mirjana N. Dedaić, Daniel N. Nelson.</t>
  </si>
  <si>
    <t>Language, power, and social process ; 10</t>
  </si>
  <si>
    <t>350144356:eng</t>
  </si>
  <si>
    <t>52540202</t>
  </si>
  <si>
    <t>ocm52540202</t>
  </si>
  <si>
    <t>3102756112T</t>
  </si>
  <si>
    <t>9783110176490</t>
  </si>
  <si>
    <t>793809110</t>
  </si>
  <si>
    <t>P119.3 A87 2016</t>
  </si>
  <si>
    <t>0                      P  0119300A  87          2016</t>
  </si>
  <si>
    <t>Authority of images/images of authority : shaping political and cultural identities in the pre-modern world / edited by Karen L. Fresco.</t>
  </si>
  <si>
    <t>Kalamazoo : Medieval Institute Publications, Western Michigan University, [2016]</t>
  </si>
  <si>
    <t>Studies in medieval culture ; LIII</t>
  </si>
  <si>
    <t>3029667944:eng</t>
  </si>
  <si>
    <t>950004092</t>
  </si>
  <si>
    <t>ocn950004092</t>
  </si>
  <si>
    <t>3103654610W</t>
  </si>
  <si>
    <t>9781580442206</t>
  </si>
  <si>
    <t>795016495</t>
  </si>
  <si>
    <t>P119.3 B43 2008</t>
  </si>
  <si>
    <t>0                      P  0119300B  43          2008</t>
  </si>
  <si>
    <t>The beloved mothertongue : ethnolinguistic nationalism in small nations : inventories and reflections / edited by Petra Broomans [and others].</t>
  </si>
  <si>
    <t>Leuven : Peeters, 2008.</t>
  </si>
  <si>
    <t>Groningen studies in cultural change ; v. 33</t>
  </si>
  <si>
    <t>842926460:eng</t>
  </si>
  <si>
    <t>313657771</t>
  </si>
  <si>
    <t>ocn313657771</t>
  </si>
  <si>
    <t>3103134815I</t>
  </si>
  <si>
    <t>9789042921504</t>
  </si>
  <si>
    <t>794437954</t>
  </si>
  <si>
    <t>P119.3 B47 2004</t>
  </si>
  <si>
    <t>0                      P  0119300B  47          2004</t>
  </si>
  <si>
    <t>Nations, language, and citizenship / Norman Berdichevsky.</t>
  </si>
  <si>
    <t>Berdichevsky, Norman, 1943-</t>
  </si>
  <si>
    <t>Jefferson, N.C. : McFarland, ©2004.</t>
  </si>
  <si>
    <t>771036:eng</t>
  </si>
  <si>
    <t>53485173</t>
  </si>
  <si>
    <t>ocm53485173</t>
  </si>
  <si>
    <t>3102759801Z</t>
  </si>
  <si>
    <t>9780786417100</t>
  </si>
  <si>
    <t>793829508</t>
  </si>
  <si>
    <t>P119.3 C32 2017</t>
  </si>
  <si>
    <t>0                      P  0119300C  32          2017</t>
  </si>
  <si>
    <t>Les langues, quel avenir ? : les effets linguistiques de la mondialisation / Louis-Jean Calvet.</t>
  </si>
  <si>
    <t>Paris : CNRS éditions, [2017]</t>
  </si>
  <si>
    <t>Biblis ; 172</t>
  </si>
  <si>
    <t>4227116330:fre</t>
  </si>
  <si>
    <t>1090068864</t>
  </si>
  <si>
    <t>on1090068864</t>
  </si>
  <si>
    <t>31039076465</t>
  </si>
  <si>
    <t>9782271092533</t>
  </si>
  <si>
    <t>795079755</t>
  </si>
  <si>
    <t>P119.3 C36 2012</t>
  </si>
  <si>
    <t>0                      P  0119300C  36          2012</t>
  </si>
  <si>
    <t>The Cambridge handbook of language policy / edited by Bernard Spolsky.</t>
  </si>
  <si>
    <t>2019-07-31</t>
  </si>
  <si>
    <t>1013042972:eng</t>
  </si>
  <si>
    <t>754168278</t>
  </si>
  <si>
    <t>ocn754168278</t>
  </si>
  <si>
    <t>31034086301</t>
  </si>
  <si>
    <t>9780521195652</t>
  </si>
  <si>
    <t>794892611</t>
  </si>
  <si>
    <t>P119.3 C46 1989</t>
  </si>
  <si>
    <t>0                      P  0119300C  46          1989</t>
  </si>
  <si>
    <t>Language and politics / Noam Chomsky ; edited by C.P. Otero.</t>
  </si>
  <si>
    <t>Montréal : Black Rose Books, [1989], c1988.</t>
  </si>
  <si>
    <t>2002-10-09</t>
  </si>
  <si>
    <t>44384:eng</t>
  </si>
  <si>
    <t>19510601</t>
  </si>
  <si>
    <t>ocm19510601</t>
  </si>
  <si>
    <t>3102759798K</t>
  </si>
  <si>
    <t>9780921689348</t>
  </si>
  <si>
    <t>793060071</t>
  </si>
  <si>
    <t>2004-10-26</t>
  </si>
  <si>
    <t>3102759799K</t>
  </si>
  <si>
    <t>793060070</t>
  </si>
  <si>
    <t>3102759794K</t>
  </si>
  <si>
    <t>793060072</t>
  </si>
  <si>
    <t>P119.3 C46 2004</t>
  </si>
  <si>
    <t>0                      P  0119300C  46          2004</t>
  </si>
  <si>
    <t>Oakland, CA : AK Press, ©2004.</t>
  </si>
  <si>
    <t>Expanded 2nd ed.</t>
  </si>
  <si>
    <t>2017-03-12</t>
  </si>
  <si>
    <t>55620674</t>
  </si>
  <si>
    <t>ocm55620674</t>
  </si>
  <si>
    <t>3102759793K</t>
  </si>
  <si>
    <t>9781902593821</t>
  </si>
  <si>
    <t>793879581</t>
  </si>
  <si>
    <t>P119.3 C48 2004</t>
  </si>
  <si>
    <t>0                      P  0119300C  48          2004</t>
  </si>
  <si>
    <t>Analysing political discourse : theory and practice / Paul Chilton.</t>
  </si>
  <si>
    <t>Chilton, Paul A. (Paul Anthony)</t>
  </si>
  <si>
    <t>793201593:eng</t>
  </si>
  <si>
    <t>52334789</t>
  </si>
  <si>
    <t>ocm52334789</t>
  </si>
  <si>
    <t>3102782243L</t>
  </si>
  <si>
    <t>9780415314718</t>
  </si>
  <si>
    <t>793803769</t>
  </si>
  <si>
    <t>P119.3 C67 1979</t>
  </si>
  <si>
    <t>0                      P  0119300C  67          1979</t>
  </si>
  <si>
    <t>Political language and rhetoric / Paul E. Corcoran.</t>
  </si>
  <si>
    <t>Corcoran, Paul E., 1944-</t>
  </si>
  <si>
    <t>Austin : University of Texas Press, ©1979.</t>
  </si>
  <si>
    <t>2003-06-03</t>
  </si>
  <si>
    <t>433373:eng</t>
  </si>
  <si>
    <t>5952392</t>
  </si>
  <si>
    <t>ocm05952392</t>
  </si>
  <si>
    <t>3102759790K</t>
  </si>
  <si>
    <t>9780292764583</t>
  </si>
  <si>
    <t>792466104</t>
  </si>
  <si>
    <t>3102759791K</t>
  </si>
  <si>
    <t>792466103</t>
  </si>
  <si>
    <t>P119.3 D43 2012</t>
  </si>
  <si>
    <t>0                      P  0119300D  43          2012</t>
  </si>
  <si>
    <t>Decolonizing native histories : collaboration, knowledge, and language in the Americas / edited by Florencia E. Mallon ; selected essays translated by Gladys McCormick.</t>
  </si>
  <si>
    <t>934895115:eng</t>
  </si>
  <si>
    <t>741273590</t>
  </si>
  <si>
    <t>ocn741273590</t>
  </si>
  <si>
    <t>31034057684</t>
  </si>
  <si>
    <t>9780822351375</t>
  </si>
  <si>
    <t>794883742</t>
  </si>
  <si>
    <t>P119.3 D49 2007</t>
  </si>
  <si>
    <t>0                      P  0119300D  49          2007</t>
  </si>
  <si>
    <t>Le pouvoir de la langue et la liberté de l'esprit : essai sur la résistance au langage totalitaire / Jacques Dewitte.</t>
  </si>
  <si>
    <t>Dewitte, Jacques.</t>
  </si>
  <si>
    <t>Paris : Michalon, ©2007.</t>
  </si>
  <si>
    <t>2016-11-04</t>
  </si>
  <si>
    <t>892577614:fre</t>
  </si>
  <si>
    <t>85336268</t>
  </si>
  <si>
    <t>ocm85336268</t>
  </si>
  <si>
    <t>3102851363R</t>
  </si>
  <si>
    <t>9782841863709</t>
  </si>
  <si>
    <t>794213397</t>
  </si>
  <si>
    <t>P119.3 E87 2011</t>
  </si>
  <si>
    <t>0                      P  0119300E  87          2011</t>
  </si>
  <si>
    <t>Ethnography and language policy / edited by Teresa L. McCarty.</t>
  </si>
  <si>
    <t>410420889:eng</t>
  </si>
  <si>
    <t>640919133</t>
  </si>
  <si>
    <t>ocn640919133</t>
  </si>
  <si>
    <t>3103322681B</t>
  </si>
  <si>
    <t>9780415801393</t>
  </si>
  <si>
    <t>794827471</t>
  </si>
  <si>
    <t>P119.3 I577 2006</t>
  </si>
  <si>
    <t>0                      P  0119300I  577         2006</t>
  </si>
  <si>
    <t>An introduction to language policy : theory and method / edited by Thomas Ricento.</t>
  </si>
  <si>
    <t>Malden, MA : Blackwell Pub., 2006.</t>
  </si>
  <si>
    <t>Language and social change ; 1</t>
  </si>
  <si>
    <t>1044434693:eng</t>
  </si>
  <si>
    <t>58789214</t>
  </si>
  <si>
    <t>ocm58789214</t>
  </si>
  <si>
    <t>3102557756B</t>
  </si>
  <si>
    <t>9781405114974</t>
  </si>
  <si>
    <t>793924181</t>
  </si>
  <si>
    <t>P119.3 J67 2006</t>
  </si>
  <si>
    <t>0                      P  0119300J  67          2006</t>
  </si>
  <si>
    <t>Language and politics / John E. Joseph.</t>
  </si>
  <si>
    <t>48502513:eng</t>
  </si>
  <si>
    <t>64555280</t>
  </si>
  <si>
    <t>ocm64555280</t>
  </si>
  <si>
    <t>3102595329H</t>
  </si>
  <si>
    <t>9780748624522</t>
  </si>
  <si>
    <t>794130045</t>
  </si>
  <si>
    <t>P119.3 K548 2015</t>
  </si>
  <si>
    <t>0                      P  0119300K  548         2015</t>
  </si>
  <si>
    <t>La langue dans la cité : vivre et penser l'équité culturelle / Jean-Marie Klinkenberg.</t>
  </si>
  <si>
    <t>Klinkenberg, Jean-Marie, 1944-</t>
  </si>
  <si>
    <t>[Bruxelles] : Les Impressions Nouvelles, [2015]</t>
  </si>
  <si>
    <t>Reflexions faites</t>
  </si>
  <si>
    <t>2467354348:fre</t>
  </si>
  <si>
    <t>904950044</t>
  </si>
  <si>
    <t>ocn904950044</t>
  </si>
  <si>
    <t>3103658915R</t>
  </si>
  <si>
    <t>9782874492433</t>
  </si>
  <si>
    <t>794990910</t>
  </si>
  <si>
    <t>P119.3 L25 1990</t>
  </si>
  <si>
    <t>0                      P  0119300L  25          1990</t>
  </si>
  <si>
    <t>Talking power : the politics of language in our lives / Robin Tolmach Lakoff.</t>
  </si>
  <si>
    <t>[New York] : Basic Books, ©1990.</t>
  </si>
  <si>
    <t>198846309:eng</t>
  </si>
  <si>
    <t>21443460</t>
  </si>
  <si>
    <t>ocm21443460</t>
  </si>
  <si>
    <t>3102759780M</t>
  </si>
  <si>
    <t>9780465083589</t>
  </si>
  <si>
    <t>793119032</t>
  </si>
  <si>
    <t>P119.3 L26 2010</t>
  </si>
  <si>
    <t>0                      P  0119300L  26          2010</t>
  </si>
  <si>
    <t>Language and politics : major themes in English studies / edited by John Joseph.</t>
  </si>
  <si>
    <t>Major themes in English studies</t>
  </si>
  <si>
    <t>2017-03-08</t>
  </si>
  <si>
    <t>3001468768:eng</t>
  </si>
  <si>
    <t>498365188</t>
  </si>
  <si>
    <t>ocn498365188</t>
  </si>
  <si>
    <t>31032998031</t>
  </si>
  <si>
    <t>9780415452434</t>
  </si>
  <si>
    <t>794803134</t>
  </si>
  <si>
    <t>31032998041</t>
  </si>
  <si>
    <t>794803133</t>
  </si>
  <si>
    <t>31032998021</t>
  </si>
  <si>
    <t>794803135</t>
  </si>
  <si>
    <t>31032998011</t>
  </si>
  <si>
    <t>794803136</t>
  </si>
  <si>
    <t>P119.3 L277 1999</t>
  </si>
  <si>
    <t>0                      P  0119300L  277         1999</t>
  </si>
  <si>
    <t>Language, a right and a resource : approaches to linguistics human rights / edited by Miklós Kontra [and others].</t>
  </si>
  <si>
    <t>Budapest ; New York : Central European University Press, ©1999.</t>
  </si>
  <si>
    <t>799585072:eng</t>
  </si>
  <si>
    <t>42603429</t>
  </si>
  <si>
    <t>ocm42603429</t>
  </si>
  <si>
    <t>31028701092</t>
  </si>
  <si>
    <t>9789639116634</t>
  </si>
  <si>
    <t>793609653</t>
  </si>
  <si>
    <t>P119.3 L314 2002</t>
  </si>
  <si>
    <t>0                      P  0119300L  314         2002</t>
  </si>
  <si>
    <t>Language and revolution : making of modern political identities / edited by Igal Halfin.</t>
  </si>
  <si>
    <t>London ; Portland, OR : F. Cass, 2002.</t>
  </si>
  <si>
    <t>The Cummings Center series, 1365-3733 ; 16</t>
  </si>
  <si>
    <t>1088309136:eng</t>
  </si>
  <si>
    <t>49395494</t>
  </si>
  <si>
    <t>ocm49395494</t>
  </si>
  <si>
    <t>3102759787M</t>
  </si>
  <si>
    <t>9780714653044</t>
  </si>
  <si>
    <t>793739552</t>
  </si>
  <si>
    <t>P119.3 L35 1996</t>
  </si>
  <si>
    <t>0                      P  0119300L  35          1996</t>
  </si>
  <si>
    <t>Language legislation and linguistic rights : selected proceedings of the Language Legislation and Linguistic Rights Conference, the University of Illinois at Urbana-Champaign, March 1996 / edited by Douglas A. Kibbee.</t>
  </si>
  <si>
    <t>Language Legislation and Linguistic Rights Conference (1996 : University of Illinois at Urbana-Champaign)</t>
  </si>
  <si>
    <t>Amsterdam ; Philadelphia : J. Benjamin Pub., ©1998.</t>
  </si>
  <si>
    <t>Impact, studies in language and society, 1385-7908 ; v. 2</t>
  </si>
  <si>
    <t>871041359:eng</t>
  </si>
  <si>
    <t>39261929</t>
  </si>
  <si>
    <t>ocm39261929</t>
  </si>
  <si>
    <t>3102759779O</t>
  </si>
  <si>
    <t>9781556198519</t>
  </si>
  <si>
    <t>793541998</t>
  </si>
  <si>
    <t>P119.3 L357 2002</t>
  </si>
  <si>
    <t>0                      P  0119300L  357         2002</t>
  </si>
  <si>
    <t>Language policy : lessons from global models / edited by Steven J. Baker.</t>
  </si>
  <si>
    <t>Monterey, Calif. : Monterey Institute of International Studies, 2002.</t>
  </si>
  <si>
    <t>50493481:eng</t>
  </si>
  <si>
    <t>224732200</t>
  </si>
  <si>
    <t>ocn224732200</t>
  </si>
  <si>
    <t>31026712017</t>
  </si>
  <si>
    <t>794340458</t>
  </si>
  <si>
    <t>P119.3 L3585 2015</t>
  </si>
  <si>
    <t>0                      P  0119300L  3585        2015</t>
  </si>
  <si>
    <t>Language policies in Finland and Sweden : interdisciplinary and multi-sited comparisons / edited by Mia Halonen, Pasi Ihalainen and Taina Saarinen.</t>
  </si>
  <si>
    <t>Multilingual matters ; 157</t>
  </si>
  <si>
    <t>2231245104:eng</t>
  </si>
  <si>
    <t>881869224</t>
  </si>
  <si>
    <t>ocn881869224</t>
  </si>
  <si>
    <t>3103580405$</t>
  </si>
  <si>
    <t>9781783092703</t>
  </si>
  <si>
    <t>794974943</t>
  </si>
  <si>
    <t>P119.3 L36 1985</t>
  </si>
  <si>
    <t>0                      P  0119300L  36          1985</t>
  </si>
  <si>
    <t>Language policy and national unity / edited by William R. Beer, James E. Jacob.</t>
  </si>
  <si>
    <t>Totowa, N.J. : Rowman &amp; Allanheld, 1985.</t>
  </si>
  <si>
    <t>355722382:eng</t>
  </si>
  <si>
    <t>10602784</t>
  </si>
  <si>
    <t>ocm10602784</t>
  </si>
  <si>
    <t>3102759778O</t>
  </si>
  <si>
    <t>9780865980587</t>
  </si>
  <si>
    <t>792733791</t>
  </si>
  <si>
    <t>P119.3 L36 2014</t>
  </si>
  <si>
    <t>0                      P  0119300L  36          2014</t>
  </si>
  <si>
    <t>Language policy and the promotion of peace : African and European case studies / edited by Neville Alexander and Arnulf von Scheliha.</t>
  </si>
  <si>
    <t>Pretoria : Unisa Press, ©2014.</t>
  </si>
  <si>
    <t>2451345864:eng</t>
  </si>
  <si>
    <t>904436509</t>
  </si>
  <si>
    <t>ocn904436509</t>
  </si>
  <si>
    <t>31036096783</t>
  </si>
  <si>
    <t>9781868887491</t>
  </si>
  <si>
    <t>794990434</t>
  </si>
  <si>
    <t>P119.3 L364 2010</t>
  </si>
  <si>
    <t>0                      P  0119300L  364         2010</t>
  </si>
  <si>
    <t>Language policy and planning for sign languages / Timothy G. Reagan.</t>
  </si>
  <si>
    <t>Reagan, Timothy G.</t>
  </si>
  <si>
    <t>Washington, DC : Gallaudet University Prress, ©2010.</t>
  </si>
  <si>
    <t>Sociolinguistics in deaf communities series ; v. 16</t>
  </si>
  <si>
    <t>495527178:eng</t>
  </si>
  <si>
    <t>630480040</t>
  </si>
  <si>
    <t>ocn630480040</t>
  </si>
  <si>
    <t>3103312175X</t>
  </si>
  <si>
    <t>9781563684623</t>
  </si>
  <si>
    <t>794824581</t>
  </si>
  <si>
    <t>P119.3 L365 1990</t>
  </si>
  <si>
    <t>0                      P  0119300L  365         1990</t>
  </si>
  <si>
    <t>Language policy and political development / edited by Brian Weinstein.</t>
  </si>
  <si>
    <t>Norwood, N.J. : Ablex Pub. Corp., ©1990.</t>
  </si>
  <si>
    <t>Communication, the human context</t>
  </si>
  <si>
    <t>2869633:eng</t>
  </si>
  <si>
    <t>21197506</t>
  </si>
  <si>
    <t>ocm21197506</t>
  </si>
  <si>
    <t>3102759777O</t>
  </si>
  <si>
    <t>9780893916114</t>
  </si>
  <si>
    <t>793112207</t>
  </si>
  <si>
    <t>P119.3 L366 2003</t>
  </si>
  <si>
    <t>0                      P  0119300L  366         2003</t>
  </si>
  <si>
    <t>Language rights and political theory / edited by Will Kymlicka and Alan Patten.</t>
  </si>
  <si>
    <t>694059720:eng</t>
  </si>
  <si>
    <t>51315423</t>
  </si>
  <si>
    <t>ocm51315423</t>
  </si>
  <si>
    <t>3102759775O</t>
  </si>
  <si>
    <t>9780199262908</t>
  </si>
  <si>
    <t>793782948</t>
  </si>
  <si>
    <t>P119.3 L382 2012</t>
  </si>
  <si>
    <t>0                      P  0119300L  382         2012</t>
  </si>
  <si>
    <t>Languages at war : policies and practices of language contacts in conflict / edited by Hilary Footitt and Michael Kelly.</t>
  </si>
  <si>
    <t>Palgrave studies in languages at war</t>
  </si>
  <si>
    <t>1118881742:eng</t>
  </si>
  <si>
    <t>797975722</t>
  </si>
  <si>
    <t>ocn797975722</t>
  </si>
  <si>
    <t>3103422341M</t>
  </si>
  <si>
    <t>9780230368774</t>
  </si>
  <si>
    <t>794922942</t>
  </si>
  <si>
    <t>P119.3 L56 2010</t>
  </si>
  <si>
    <t>0                      P  0119300L  56          2010</t>
  </si>
  <si>
    <t>Linguistics, ideology and the discourse of linguistic nationalism / Claudia Lange, Ursula Schaefer, Göran Wolf (eds.).</t>
  </si>
  <si>
    <t>2013-05-24</t>
  </si>
  <si>
    <t>393725105:eng</t>
  </si>
  <si>
    <t>629991068</t>
  </si>
  <si>
    <t>ocn629991068</t>
  </si>
  <si>
    <t>31032319995</t>
  </si>
  <si>
    <t>9783631586044</t>
  </si>
  <si>
    <t>794824352</t>
  </si>
  <si>
    <t>P119.3 L63 2013</t>
  </si>
  <si>
    <t>0                      P  0119300L  63          2013</t>
  </si>
  <si>
    <t>Language-in-Education Policies : the Discursive Construction of Intercultural Relations / Anthony J. Liddicoat.</t>
  </si>
  <si>
    <t>Bristol : MULTILINGUAL MATTERS, [2013]</t>
  </si>
  <si>
    <t>Multilingual matters ; [153]</t>
  </si>
  <si>
    <t>1372588895:eng</t>
  </si>
  <si>
    <t>818462791</t>
  </si>
  <si>
    <t>ocn818462791</t>
  </si>
  <si>
    <t>3103500965C</t>
  </si>
  <si>
    <t>9781847699145</t>
  </si>
  <si>
    <t>794934032</t>
  </si>
  <si>
    <t>P119.3 M39 2011</t>
  </si>
  <si>
    <t>0                      P  0119300M  39          2011</t>
  </si>
  <si>
    <t>Language and minority rights : ethnicity, nationalism and the politics of language / Stephen May.</t>
  </si>
  <si>
    <t>May, Stephen, 1962-</t>
  </si>
  <si>
    <t>793124070:eng</t>
  </si>
  <si>
    <t>607983032</t>
  </si>
  <si>
    <t>ocn607983032</t>
  </si>
  <si>
    <t>31034075524</t>
  </si>
  <si>
    <t>9780805863079</t>
  </si>
  <si>
    <t>794818778</t>
  </si>
  <si>
    <t>P119.3 P37 2014</t>
  </si>
  <si>
    <t>0                      P  0119300P  37          2014</t>
  </si>
  <si>
    <t>Des paroles, des langues et des pouvoirs / Romain Colonna (éd.) ; ont contribué à la rédaction de cet ouvrage: Romain Colonna [and nineteen others].</t>
  </si>
  <si>
    <t>2270866529:fre</t>
  </si>
  <si>
    <t>900465091</t>
  </si>
  <si>
    <t>ocn900465091</t>
  </si>
  <si>
    <t>3103200338H</t>
  </si>
  <si>
    <t>9782343049519</t>
  </si>
  <si>
    <t>794987538</t>
  </si>
  <si>
    <t>P119.3 R44 2000</t>
  </si>
  <si>
    <t>0                      P  0119300R  44          2000</t>
  </si>
  <si>
    <t>Regimes of language : ideologies, polities, and identities / edited by Paul V. Kroskrity.</t>
  </si>
  <si>
    <t>Santa Fe, NM : School of American Research Press ; Oxford : J. Currey, ©2000.</t>
  </si>
  <si>
    <t>School of American Research advanced seminar series</t>
  </si>
  <si>
    <t>2019-10-07</t>
  </si>
  <si>
    <t>837005160:eng</t>
  </si>
  <si>
    <t>41452588</t>
  </si>
  <si>
    <t>ocm41452588</t>
  </si>
  <si>
    <t>3102032188D</t>
  </si>
  <si>
    <t>9780933452619</t>
  </si>
  <si>
    <t>793591868</t>
  </si>
  <si>
    <t>P119.3 R54 2000</t>
  </si>
  <si>
    <t>0                      P  0119300R  54          2000</t>
  </si>
  <si>
    <t>Rights to language : equity, power, and education : celebrating the 60th birthday of Tove Skutnabb-Kangas / edited by Robert Phillipson.</t>
  </si>
  <si>
    <t>2015-03-19</t>
  </si>
  <si>
    <t>799538537:eng</t>
  </si>
  <si>
    <t>43333552</t>
  </si>
  <si>
    <t>ocm43333552</t>
  </si>
  <si>
    <t>31033995034</t>
  </si>
  <si>
    <t>9780805833461</t>
  </si>
  <si>
    <t>793624765</t>
  </si>
  <si>
    <t>P119.3 S5 2006</t>
  </si>
  <si>
    <t>0                      P  0119300S  5           2006</t>
  </si>
  <si>
    <t>Language policy : hidden agendas and new approaches / Elana Shohamy.</t>
  </si>
  <si>
    <t>800215115:eng</t>
  </si>
  <si>
    <t>58546521</t>
  </si>
  <si>
    <t>ocm58546521</t>
  </si>
  <si>
    <t>3102574671C</t>
  </si>
  <si>
    <t>9780415328647</t>
  </si>
  <si>
    <t>793922397</t>
  </si>
  <si>
    <t>P119.3 S666 2004</t>
  </si>
  <si>
    <t>0                      P  0119300S  666         2004</t>
  </si>
  <si>
    <t>Language policy / Bernard Spolsky.</t>
  </si>
  <si>
    <t>Spolsky, Bernard.</t>
  </si>
  <si>
    <t>2019-06-18</t>
  </si>
  <si>
    <t>707760:eng</t>
  </si>
  <si>
    <t>52377617</t>
  </si>
  <si>
    <t>ocm52377617</t>
  </si>
  <si>
    <t>3102759765Q</t>
  </si>
  <si>
    <t>9780521804615</t>
  </si>
  <si>
    <t>793804901</t>
  </si>
  <si>
    <t>P119.3 T56 2016</t>
  </si>
  <si>
    <t>0                      P  0119300T  56          2016</t>
  </si>
  <si>
    <t>Enough said : what's gone wrong with the language of politics? / Mark Thompson.</t>
  </si>
  <si>
    <t>Thompson, Mark John, 1957- author.</t>
  </si>
  <si>
    <t>London : The Bodley Head, 2016.</t>
  </si>
  <si>
    <t>3885462202:eng</t>
  </si>
  <si>
    <t>959268097</t>
  </si>
  <si>
    <t>ocn959268097</t>
  </si>
  <si>
    <t>3103609592D</t>
  </si>
  <si>
    <t>9781847923127</t>
  </si>
  <si>
    <t>795022319</t>
  </si>
  <si>
    <t>P119.3 T65 1991</t>
  </si>
  <si>
    <t>0                      P  0119300T  65          1991</t>
  </si>
  <si>
    <t>Planning language, planning inequality : language policy in the community / James W. Tollefson.</t>
  </si>
  <si>
    <t>Tollefson, James W.</t>
  </si>
  <si>
    <t>836701548:eng</t>
  </si>
  <si>
    <t>21524535</t>
  </si>
  <si>
    <t>ocm21524535</t>
  </si>
  <si>
    <t>3102634663S</t>
  </si>
  <si>
    <t>9780582074545</t>
  </si>
  <si>
    <t>793121613</t>
  </si>
  <si>
    <t>P119.3 U55 2011</t>
  </si>
  <si>
    <t>0                      P  0119300U  55          2011</t>
  </si>
  <si>
    <t>Uniformity and diversity in language policy : global perspectives / edited by Catrin Norrby and John Hajek.</t>
  </si>
  <si>
    <t>909605139:eng</t>
  </si>
  <si>
    <t>730914447</t>
  </si>
  <si>
    <t>ocn730914447</t>
  </si>
  <si>
    <t>3103406222N</t>
  </si>
  <si>
    <t>9781847694461</t>
  </si>
  <si>
    <t>794880357</t>
  </si>
  <si>
    <t>P119.3 W44 2011</t>
  </si>
  <si>
    <t>0                      P  0119300W  44          2011</t>
  </si>
  <si>
    <t>Language without rights / Lionel Wee.</t>
  </si>
  <si>
    <t>Wee, Lionel, 1963-</t>
  </si>
  <si>
    <t>349542058:eng</t>
  </si>
  <si>
    <t>467360635</t>
  </si>
  <si>
    <t>ocn467360635</t>
  </si>
  <si>
    <t>3103237694R</t>
  </si>
  <si>
    <t>9780199737437</t>
  </si>
  <si>
    <t>794795063</t>
  </si>
  <si>
    <t>P119.3 W55 1994</t>
  </si>
  <si>
    <t>0                      P  0119300W  55          1994</t>
  </si>
  <si>
    <t>Called unto liberty! : on language and nationalism / Colin H. Williams.</t>
  </si>
  <si>
    <t>Williams, Colin H., 1950-</t>
  </si>
  <si>
    <t>Multilingual matters ; 97</t>
  </si>
  <si>
    <t>1064369:eng</t>
  </si>
  <si>
    <t>28585752</t>
  </si>
  <si>
    <t>ocm28585752</t>
  </si>
  <si>
    <t>3101339009S</t>
  </si>
  <si>
    <t>9781853591983</t>
  </si>
  <si>
    <t>793291477</t>
  </si>
  <si>
    <t>P119.3 W58 2009</t>
  </si>
  <si>
    <t>0                      P  0119300W  58          2009</t>
  </si>
  <si>
    <t>Words in motion : toward a global lexicon / edited by Carol Gluck and Anna Lowenhaupt Tsing.</t>
  </si>
  <si>
    <t>Durham : Duke University Press, ©2009.</t>
  </si>
  <si>
    <t>865032867:eng</t>
  </si>
  <si>
    <t>318534272</t>
  </si>
  <si>
    <t>ocn318534272</t>
  </si>
  <si>
    <t>3103156965O</t>
  </si>
  <si>
    <t>9780822345190</t>
  </si>
  <si>
    <t>794481958</t>
  </si>
  <si>
    <t>P119.315 C85 2015</t>
  </si>
  <si>
    <t>0                      P  0119315C  85          2015</t>
  </si>
  <si>
    <t>Cultural migrants and optimal language acquisition / edited by Fanny Forsberg Lundell and Inge Bartning.</t>
  </si>
  <si>
    <t>Second language acquisition ; 91</t>
  </si>
  <si>
    <t>2481126690:eng</t>
  </si>
  <si>
    <t>905735867</t>
  </si>
  <si>
    <t>ocn905735867</t>
  </si>
  <si>
    <t>3103611547F</t>
  </si>
  <si>
    <t>9781783094028</t>
  </si>
  <si>
    <t>794991836</t>
  </si>
  <si>
    <t>P119.315 H45 1999</t>
  </si>
  <si>
    <t>0                      P  0119315H  45          1999</t>
  </si>
  <si>
    <t>Linguistic minorities and modernity : a sociolinguistic ethnography / Monica Heller, with the collaboration of Mark Campbell, Phyllis Dalley, and Donna Patrick.</t>
  </si>
  <si>
    <t>Heller, Monica.</t>
  </si>
  <si>
    <t>London ; New York : Longman, 1999.</t>
  </si>
  <si>
    <t>Real language series</t>
  </si>
  <si>
    <t>797251702:eng</t>
  </si>
  <si>
    <t>39508163</t>
  </si>
  <si>
    <t>ocm39508163</t>
  </si>
  <si>
    <t>3102759761Q</t>
  </si>
  <si>
    <t>9780582279476</t>
  </si>
  <si>
    <t>793547332</t>
  </si>
  <si>
    <t>P119.315 H45 2006</t>
  </si>
  <si>
    <t>0                      P  0119315H  45          2006</t>
  </si>
  <si>
    <t>Linguistic minorities and modernity : a sociolinguistic ethnography / by Monica Heller.</t>
  </si>
  <si>
    <t>London ; New York : Continuum, ©2006.</t>
  </si>
  <si>
    <t>70672226</t>
  </si>
  <si>
    <t>ocm70672226</t>
  </si>
  <si>
    <t>31025687670</t>
  </si>
  <si>
    <t>9780826486905</t>
  </si>
  <si>
    <t>794157354</t>
  </si>
  <si>
    <t>P119.315 I5 1980</t>
  </si>
  <si>
    <t>0                      P  0119315I  5           1980</t>
  </si>
  <si>
    <t>Minority languages today : a selection from the papers read at the first International Conference on Minority Languages held at Glasgow University from 8 to 13 September 1980 / edited by Einar Haugen, J. Derrick McClure, Derick Thomson.</t>
  </si>
  <si>
    <t>International Conference on Minority Languages (1st : 1980 : University of Glasgow)</t>
  </si>
  <si>
    <t>Edinburgh : University Press, ©1981.</t>
  </si>
  <si>
    <t>473721724:eng</t>
  </si>
  <si>
    <t>8930906</t>
  </si>
  <si>
    <t>ocm08930906</t>
  </si>
  <si>
    <t>3102759758S</t>
  </si>
  <si>
    <t>9780852244210</t>
  </si>
  <si>
    <t>792648774</t>
  </si>
  <si>
    <t>P119.315 I88 2011</t>
  </si>
  <si>
    <t>0                      P  0119315I  88          2011</t>
  </si>
  <si>
    <t>Russian diaspora : culture, identity, and language change / by Ludmila Isurin.</t>
  </si>
  <si>
    <t>Isurin, Ludmila.</t>
  </si>
  <si>
    <t>Contributions to the sociology of language, 1861-0676 ; 99</t>
  </si>
  <si>
    <t>774483211:eng</t>
  </si>
  <si>
    <t>700042443</t>
  </si>
  <si>
    <t>ocn700042443</t>
  </si>
  <si>
    <t>3103355791G</t>
  </si>
  <si>
    <t>9781934078440</t>
  </si>
  <si>
    <t>794861754</t>
  </si>
  <si>
    <t>P119.315 J43 2000</t>
  </si>
  <si>
    <t>0                      P  0119315J  43          2000</t>
  </si>
  <si>
    <t>Ethnic identification and heritage languages in Canada / by Jack Jedwab.</t>
  </si>
  <si>
    <t>Jedwab, Jack, 1958-</t>
  </si>
  <si>
    <t>Montréal : Editions Images, ©2000.</t>
  </si>
  <si>
    <t>Les publications du Centre de langues patrimoniales</t>
  </si>
  <si>
    <t>34681024:eng</t>
  </si>
  <si>
    <t>45020713</t>
  </si>
  <si>
    <t>ocm45020713</t>
  </si>
  <si>
    <t>3102759762Q</t>
  </si>
  <si>
    <t>9782921757133</t>
  </si>
  <si>
    <t>793662391</t>
  </si>
  <si>
    <t>P119.315 K35 1989</t>
  </si>
  <si>
    <t>0                      P  0119315K  35          1989</t>
  </si>
  <si>
    <t>Minority languages and dominant culture : issues of education, assessment, and social equity / Mary Kalantzis, Bill Cope, Diana Slade.</t>
  </si>
  <si>
    <t>Kalantzis, Mary.</t>
  </si>
  <si>
    <t>London ; New York : Falmer Press, 1989.</t>
  </si>
  <si>
    <t>836714290:eng</t>
  </si>
  <si>
    <t>20017311</t>
  </si>
  <si>
    <t>ocm20017311</t>
  </si>
  <si>
    <t>3101238432T</t>
  </si>
  <si>
    <t>9781850006282</t>
  </si>
  <si>
    <t>793075448</t>
  </si>
  <si>
    <t>P119.315 L36 1985</t>
  </si>
  <si>
    <t>0                      P  0119315L  36          1985</t>
  </si>
  <si>
    <t>Language of inequality / edited by Nessa Wolfson and Joan Manes.</t>
  </si>
  <si>
    <t>Berlin ; New York : Mouton Publishers, ©1985.</t>
  </si>
  <si>
    <t>Contributions to the sociology of language ; 36</t>
  </si>
  <si>
    <t>351710796:eng</t>
  </si>
  <si>
    <t>11676353</t>
  </si>
  <si>
    <t>ocm11676353</t>
  </si>
  <si>
    <t>3102734435Y</t>
  </si>
  <si>
    <t>9783110099461</t>
  </si>
  <si>
    <t>792783111</t>
  </si>
  <si>
    <t>P119.315 L364 2012</t>
  </si>
  <si>
    <t>0                      P  0119315L  364         2012</t>
  </si>
  <si>
    <t>The languages of nation : attitudes and norms / edited by Carol Percy and Mary Catherine Davidson.</t>
  </si>
  <si>
    <t>Buffalo : Multilingual Matters, 2012.</t>
  </si>
  <si>
    <t>Multilingual matters ; 148</t>
  </si>
  <si>
    <t>2014-04-14</t>
  </si>
  <si>
    <t>1106195095:eng</t>
  </si>
  <si>
    <t>788266848</t>
  </si>
  <si>
    <t>ocn788266848</t>
  </si>
  <si>
    <t>3103412058Y</t>
  </si>
  <si>
    <t>9781847697806</t>
  </si>
  <si>
    <t>794916272</t>
  </si>
  <si>
    <t>P119.315 L55 1995</t>
  </si>
  <si>
    <t>0                      P  0119315L  55          1995</t>
  </si>
  <si>
    <t>Linguistic human rights : overcoming linguistic discrimination / edited by Tove Skutnabb-Kangas, Robert Phillipson, in collaboration with Mart Rannut.</t>
  </si>
  <si>
    <t>Berlin ; New York : De Gruyter, 1995.</t>
  </si>
  <si>
    <t>795800294:eng</t>
  </si>
  <si>
    <t>32589168</t>
  </si>
  <si>
    <t>ocm32589168</t>
  </si>
  <si>
    <t>3102759841R</t>
  </si>
  <si>
    <t>9783110148787</t>
  </si>
  <si>
    <t>793389375</t>
  </si>
  <si>
    <t>P119.315 M39 2001</t>
  </si>
  <si>
    <t>0                      P  0119315M  39          2001</t>
  </si>
  <si>
    <t>Language and minority rights : ethnicity, nationalism, and the politics of language / Stephen May.</t>
  </si>
  <si>
    <t>Harlow, Essex, England ; New York : Longman, 2001.</t>
  </si>
  <si>
    <t>45263926</t>
  </si>
  <si>
    <t>ocm45263926</t>
  </si>
  <si>
    <t>3102617765N</t>
  </si>
  <si>
    <t>9780582404564</t>
  </si>
  <si>
    <t>793668064</t>
  </si>
  <si>
    <t>P119.315 M44 2010</t>
  </si>
  <si>
    <t>0                      P  0119315M  44          2010</t>
  </si>
  <si>
    <t>Mikroglottika yearbook 2009 / Raúl Sánchez Prieto, Daniel Veith, Mikel Martínez Areta (eds.).</t>
  </si>
  <si>
    <t>Frankfurt am Main : Peter Lang, 2010.</t>
  </si>
  <si>
    <t>Mikroglottika = Minority language studies, 1867-190X ; vol. 2</t>
  </si>
  <si>
    <t>476779403:eng</t>
  </si>
  <si>
    <t>607973778</t>
  </si>
  <si>
    <t>ocn607973778</t>
  </si>
  <si>
    <t>3103134620M</t>
  </si>
  <si>
    <t>9783631596647</t>
  </si>
  <si>
    <t>794818502</t>
  </si>
  <si>
    <t>P119.315 M563 2012</t>
  </si>
  <si>
    <t>0                      P  0119315M  563         2012</t>
  </si>
  <si>
    <t>Minority languages in the linguistic landscape / edited by Durk Gorter, Heiko F. Marten and Luk Van Mensel.</t>
  </si>
  <si>
    <t>Houndmills, Basingstoke, Hampshire ; New York : Palgrave MacMillan, 2012.</t>
  </si>
  <si>
    <t>Palgrave studies in minority languages and communities</t>
  </si>
  <si>
    <t>1099294446:eng</t>
  </si>
  <si>
    <t>748328720</t>
  </si>
  <si>
    <t>ocn748328720</t>
  </si>
  <si>
    <t>31033947686</t>
  </si>
  <si>
    <t>9780230272446</t>
  </si>
  <si>
    <t>794888988</t>
  </si>
  <si>
    <t>P119.315 N38 2011</t>
  </si>
  <si>
    <t>0                      P  0119315N  38          2011</t>
  </si>
  <si>
    <t>National, regional and minority languages in Europe : contributions to the annual conference 2009 of EFNIL in Dublin / Gerhard Stickel (ed.).</t>
  </si>
  <si>
    <t>European Federation of National Institutions for Language. Annual Conference (2009 : Dublin, Ireland)</t>
  </si>
  <si>
    <t>Duisburger Arbeiten zur Sprach- und Kulturwissenschaft, 0934-3709 ; Bd. 81 = Duisburg papers on research in language and culture ; Bd. 81</t>
  </si>
  <si>
    <t>761320247:eng</t>
  </si>
  <si>
    <t>715099100</t>
  </si>
  <si>
    <t>ocn715099100</t>
  </si>
  <si>
    <t>3103231925J</t>
  </si>
  <si>
    <t>9783631603659</t>
  </si>
  <si>
    <t>794873797</t>
  </si>
  <si>
    <t>P119.315 O768 2011</t>
  </si>
  <si>
    <t>0                      P  0119315O  768         2011</t>
  </si>
  <si>
    <t>Galician and Irish in the European context : attitudes towards weak and strong minority languages / Bernadette O'Rourke.</t>
  </si>
  <si>
    <t>O'Rourke, Bernadette.</t>
  </si>
  <si>
    <t>773106185:eng</t>
  </si>
  <si>
    <t>635463551</t>
  </si>
  <si>
    <t>ocn635463551</t>
  </si>
  <si>
    <t>3103234654A</t>
  </si>
  <si>
    <t>9780230574038</t>
  </si>
  <si>
    <t>794825512</t>
  </si>
  <si>
    <t>P119.315 O87 2001</t>
  </si>
  <si>
    <t>0                      P  0119315O  87          2001</t>
  </si>
  <si>
    <t>The other languages of Europe : demographic, sociolinguistic, and educational perspectives / edited by Guus Extra and Durk Gorter.</t>
  </si>
  <si>
    <t>Clevedon, U.K. ; Buffalo, N.Y. : Multilingual Matters, 2001.</t>
  </si>
  <si>
    <t>836957656:eng</t>
  </si>
  <si>
    <t>44802827</t>
  </si>
  <si>
    <t>ocm44802827</t>
  </si>
  <si>
    <t>3102759831T</t>
  </si>
  <si>
    <t>9781853595097</t>
  </si>
  <si>
    <t>793658494</t>
  </si>
  <si>
    <t>P119.315 S64 2009</t>
  </si>
  <si>
    <t>0                      P  0119315S  64          2009</t>
  </si>
  <si>
    <t>Speaking of endangered languages : issues in revitalization / edited by Anne Marie Goodfellow.</t>
  </si>
  <si>
    <t>2019-03-01</t>
  </si>
  <si>
    <t>1060363564:eng</t>
  </si>
  <si>
    <t>428370886</t>
  </si>
  <si>
    <t>ocn428370886</t>
  </si>
  <si>
    <t>3102860534Q</t>
  </si>
  <si>
    <t>9781443812382</t>
  </si>
  <si>
    <t>794778557</t>
  </si>
  <si>
    <t>P119.315 T78 2009</t>
  </si>
  <si>
    <t>0                      P  0119315T  78          2009</t>
  </si>
  <si>
    <t>Minority languages, education and communities in China / Linda Tsung.</t>
  </si>
  <si>
    <t>Tsung, Linda T. H., 1953-</t>
  </si>
  <si>
    <t>141069242:eng</t>
  </si>
  <si>
    <t>237885882</t>
  </si>
  <si>
    <t>ocn237885882</t>
  </si>
  <si>
    <t>31030857020</t>
  </si>
  <si>
    <t>9780230551480</t>
  </si>
  <si>
    <t>794373843</t>
  </si>
  <si>
    <t>P119.315 W53 2008</t>
  </si>
  <si>
    <t>0                      P  0119315W  53          2008</t>
  </si>
  <si>
    <t>Linguistic minorities in democratic context / Colin H. Williams.</t>
  </si>
  <si>
    <t>Williams, Colin H.</t>
  </si>
  <si>
    <t>101340178:eng</t>
  </si>
  <si>
    <t>122283904</t>
  </si>
  <si>
    <t>ocn122283904</t>
  </si>
  <si>
    <t>3102648554C</t>
  </si>
  <si>
    <t>9781403987211</t>
  </si>
  <si>
    <t>794219931</t>
  </si>
  <si>
    <t>P119.315 W55 1991</t>
  </si>
  <si>
    <t>0                      P  0119315W  55          1991</t>
  </si>
  <si>
    <t>Minority languages and bilingualism : case studies in maintenance and shift / Robert C. Williamson.</t>
  </si>
  <si>
    <t>Williamson, Robert Clifford, 1916-</t>
  </si>
  <si>
    <t>143914252:eng</t>
  </si>
  <si>
    <t>22911555</t>
  </si>
  <si>
    <t>ocm22911555</t>
  </si>
  <si>
    <t>3102759830T</t>
  </si>
  <si>
    <t>9780893917661</t>
  </si>
  <si>
    <t>793157048</t>
  </si>
  <si>
    <t>P119.32 A3 L364 2008</t>
  </si>
  <si>
    <t>0                      P  0119320A  3                  L  364         2008</t>
  </si>
  <si>
    <t>Language and national identity in Africa / edited by Andrew Simpson.</t>
  </si>
  <si>
    <t>861669145:eng</t>
  </si>
  <si>
    <t>173659535</t>
  </si>
  <si>
    <t>ocn173659535</t>
  </si>
  <si>
    <t>31030586350</t>
  </si>
  <si>
    <t>9780199286751</t>
  </si>
  <si>
    <t>794269270</t>
  </si>
  <si>
    <t>P119.32 A3 L366 2010</t>
  </si>
  <si>
    <t>0                      P  0119320A  3                  L  366         2010</t>
  </si>
  <si>
    <t>Language and politics in Africa : contemporary issues and critical perspectives / edited by Daniel Ochieng Orwenjo and John Obiero Ogone.</t>
  </si>
  <si>
    <t>573694981:eng</t>
  </si>
  <si>
    <t>656784534</t>
  </si>
  <si>
    <t>ocn656784534</t>
  </si>
  <si>
    <t>3103232740H</t>
  </si>
  <si>
    <t>9781443823838</t>
  </si>
  <si>
    <t>794835110</t>
  </si>
  <si>
    <t>P119.32 A355 A44 2004</t>
  </si>
  <si>
    <t>0                      P  0119320A  355                A  44          2004</t>
  </si>
  <si>
    <t>Aménagement linguistique au Maghreb / numéro préparé sous la direction de Foued Laroussi.</t>
  </si>
  <si>
    <t>Montréal : Office québécois de la langue française : Publications du Québec, [2004]</t>
  </si>
  <si>
    <t>Revue d'aménagement linguistique : auparavant Terminogramme, 1706-3515 ; no 107</t>
  </si>
  <si>
    <t>2017-04-21</t>
  </si>
  <si>
    <t>16797097:fre</t>
  </si>
  <si>
    <t>56361662</t>
  </si>
  <si>
    <t>ocm56361662</t>
  </si>
  <si>
    <t>31028313502</t>
  </si>
  <si>
    <t>793891654</t>
  </si>
  <si>
    <t>P119.32 A78 L37 2007</t>
  </si>
  <si>
    <t>0                      P  0119320A  78                 L  37          2007</t>
  </si>
  <si>
    <t>Language policy, culture, and identity in Asian contexts / edited by Amy B.M. Tsui, James W. Tollefson.</t>
  </si>
  <si>
    <t>354760169:eng</t>
  </si>
  <si>
    <t>63390633</t>
  </si>
  <si>
    <t>ocm63390633</t>
  </si>
  <si>
    <t>3102592646G</t>
  </si>
  <si>
    <t>9780805856934</t>
  </si>
  <si>
    <t>794121190</t>
  </si>
  <si>
    <t>P119.32 A783 K45 2012</t>
  </si>
  <si>
    <t>0                      P  0119320A  783                K  45          2012</t>
  </si>
  <si>
    <t>Language politics in contemporary Central Asia : national and ethnic identity and the Soviet legacy / Barbara Kellner-Heinkele and Jacob M. Landau.</t>
  </si>
  <si>
    <t>Kellner-Heinkele, Barbara.</t>
  </si>
  <si>
    <t>London ; New York, NY : I.B. Tauris, 2012.</t>
  </si>
  <si>
    <t>International library of Central Asian studies ; 5</t>
  </si>
  <si>
    <t>2014-04-12</t>
  </si>
  <si>
    <t>1009098994:eng</t>
  </si>
  <si>
    <t>751735908</t>
  </si>
  <si>
    <t>ocn751735908</t>
  </si>
  <si>
    <t>31034090707</t>
  </si>
  <si>
    <t>9781848858206</t>
  </si>
  <si>
    <t>794890747</t>
  </si>
  <si>
    <t>P119.32 A783 L36 2012</t>
  </si>
  <si>
    <t>0                      P  0119320A  783                L  36          2012</t>
  </si>
  <si>
    <t>Language policy and language conflict in Afghanistan and its neighbors : the changing politics of language choice / edited by Harold F. Schiffman.</t>
  </si>
  <si>
    <t>Leiden ; Boston : Brill, ©2012.</t>
  </si>
  <si>
    <t>Brill's studies in south and southwest Asian languages, 1877-4083 ; v. 2</t>
  </si>
  <si>
    <t>1010527233:eng</t>
  </si>
  <si>
    <t>752471924</t>
  </si>
  <si>
    <t>ocn752471924</t>
  </si>
  <si>
    <t>3103421746E</t>
  </si>
  <si>
    <t>9789004201453</t>
  </si>
  <si>
    <t>794891713</t>
  </si>
  <si>
    <t>P119.32 B4 V34 2011</t>
  </si>
  <si>
    <t>0                      P  0119320B  4                  V  34          2011</t>
  </si>
  <si>
    <t>Vous avez dit la Belgique? : les enjeux linguistiques : essai / Louis Valcke.</t>
  </si>
  <si>
    <t>Valcke, Louis.</t>
  </si>
  <si>
    <t>Montréal : Triptyque, ©2011.</t>
  </si>
  <si>
    <t>1058021629:fre</t>
  </si>
  <si>
    <t>767261768</t>
  </si>
  <si>
    <t>ocn767261768</t>
  </si>
  <si>
    <t>3103326040L</t>
  </si>
  <si>
    <t>9782890317161</t>
  </si>
  <si>
    <t>794901001</t>
  </si>
  <si>
    <t>P119.32 B4 W58 1999</t>
  </si>
  <si>
    <t>0                      P  0119320B  4                  W  58          1999</t>
  </si>
  <si>
    <t>Language and politics : the Belgian case study in a historical perspective / Els Witte and Harry Van Velthoven.</t>
  </si>
  <si>
    <t>Witte, Els.</t>
  </si>
  <si>
    <t>Brussels : VUB University Press, ©1999.</t>
  </si>
  <si>
    <t>Balans ; 12</t>
  </si>
  <si>
    <t>4495041663:eng</t>
  </si>
  <si>
    <t>50251806</t>
  </si>
  <si>
    <t>ocm50251806</t>
  </si>
  <si>
    <t>3102759825V</t>
  </si>
  <si>
    <t>9789054872528</t>
  </si>
  <si>
    <t>793758896</t>
  </si>
  <si>
    <t>P119.32 C2 F74 2006</t>
  </si>
  <si>
    <t>0                      P  0119320C  2                  F  74          2006</t>
  </si>
  <si>
    <t>Le français, langue de la diversité québécoise : une réflexion pluridisciplinaire / sous la direction de Michel Pagé et Pierre Georgeault.</t>
  </si>
  <si>
    <t>Montréal, Québec, Canada : Québec Amérique, ©2006.</t>
  </si>
  <si>
    <t>Débats</t>
  </si>
  <si>
    <t>801446247:fre</t>
  </si>
  <si>
    <t>70175226</t>
  </si>
  <si>
    <t>ocm70175226</t>
  </si>
  <si>
    <t>31025333728</t>
  </si>
  <si>
    <t>9782764404751</t>
  </si>
  <si>
    <t>794150201</t>
  </si>
  <si>
    <t>P119.32 C2 P655 2003</t>
  </si>
  <si>
    <t>0                      P  0119320C  2                  P  655         2003</t>
  </si>
  <si>
    <t>Les politiques linguistiques canadiennes : approches comparées / sous la direction de Michael A. Morris ; avec la collaboration de Jacques Maurais [and others].</t>
  </si>
  <si>
    <t>Paris : Harmattan, 2004.</t>
  </si>
  <si>
    <t>2016-06-30</t>
  </si>
  <si>
    <t>351289472:fre</t>
  </si>
  <si>
    <t>54773442</t>
  </si>
  <si>
    <t>ocm54773442</t>
  </si>
  <si>
    <t>3102559024U</t>
  </si>
  <si>
    <t>9782747554183</t>
  </si>
  <si>
    <t>793867471</t>
  </si>
  <si>
    <t>P119.32.C3 B38 2014</t>
  </si>
  <si>
    <t>0                      P  0119320C  3                  B  38          2014</t>
  </si>
  <si>
    <t>Les Canadiens francophones / Lysiane Baudu.</t>
  </si>
  <si>
    <t>Baudu, Lysiane J., author.</t>
  </si>
  <si>
    <t>Boulogne-Billancourt : HD ateliers Henry Dougier, [2014]</t>
  </si>
  <si>
    <t>Lignes de vie d'un peuple</t>
  </si>
  <si>
    <t>5465195211:fre</t>
  </si>
  <si>
    <t>897805746</t>
  </si>
  <si>
    <t>ocn897805746</t>
  </si>
  <si>
    <t>B001595394</t>
  </si>
  <si>
    <t>9791093594149</t>
  </si>
  <si>
    <t>794985408</t>
  </si>
  <si>
    <t>P119.32 C3 C32 2003</t>
  </si>
  <si>
    <t>0                      P  0119320C  3                  C  32          2003</t>
  </si>
  <si>
    <t>The next act : new momentum for Canada's linguistic duality : the action plan for official languages.</t>
  </si>
  <si>
    <t>Canada.</t>
  </si>
  <si>
    <t>[Ottawa] : Privy Council Office, 2003.</t>
  </si>
  <si>
    <t>2017-11-26</t>
  </si>
  <si>
    <t>9640205:eng</t>
  </si>
  <si>
    <t>52031679</t>
  </si>
  <si>
    <t>ocm52031679</t>
  </si>
  <si>
    <t>3103269175N</t>
  </si>
  <si>
    <t>9780662337256</t>
  </si>
  <si>
    <t>793796796</t>
  </si>
  <si>
    <t>P119.32 C3 C355 2010</t>
  </si>
  <si>
    <t>0                      P  0119320C  3                  C  355         2010</t>
  </si>
  <si>
    <t>Canadian language policies in comparative perspective / edited by Michael A. Morris.</t>
  </si>
  <si>
    <t>Montreal : McGill-Queen's University Press, ©2010.</t>
  </si>
  <si>
    <t>369782058:eng</t>
  </si>
  <si>
    <t>495781327</t>
  </si>
  <si>
    <t>ocn495781327</t>
  </si>
  <si>
    <t>3103266521X</t>
  </si>
  <si>
    <t>9780773537057</t>
  </si>
  <si>
    <t>794802021</t>
  </si>
  <si>
    <t>P119.32 C3 C42 2016</t>
  </si>
  <si>
    <t>0                      P  0119320C  3                  C  42          2016</t>
  </si>
  <si>
    <t>Mauvaise langue / Marc Cassivi.</t>
  </si>
  <si>
    <t>Cassivi, Marc, author.</t>
  </si>
  <si>
    <t>[Montréal, Québec] : Éditions Somme toute, [2016]</t>
  </si>
  <si>
    <t>2981896393:fre</t>
  </si>
  <si>
    <t>944466083</t>
  </si>
  <si>
    <t>ocn944466083</t>
  </si>
  <si>
    <t>31036450087</t>
  </si>
  <si>
    <t>9782924606148</t>
  </si>
  <si>
    <t>795013056</t>
  </si>
  <si>
    <t>P119.32 C3 C67 2007</t>
  </si>
  <si>
    <t>0                      P  0119320C  3                  C  67          2007</t>
  </si>
  <si>
    <t>L'embarras des langues : origine, conception et évolution de la politique linguistique québécoise / Jean-Claude Corbeil.</t>
  </si>
  <si>
    <t>Corbeil, Jean-Claude, 1932-</t>
  </si>
  <si>
    <t>Montréal : Québec Amérique, c2007.</t>
  </si>
  <si>
    <t>Dossiers et documents</t>
  </si>
  <si>
    <t>368149280:fre</t>
  </si>
  <si>
    <t>122707229</t>
  </si>
  <si>
    <t>ocn122707229</t>
  </si>
  <si>
    <t>3102704751$</t>
  </si>
  <si>
    <t>9782764405628</t>
  </si>
  <si>
    <t>794220826</t>
  </si>
  <si>
    <t>P119.32 C3 C68 1995</t>
  </si>
  <si>
    <t>0                      P  0119320C  3                  C  68          1995</t>
  </si>
  <si>
    <t>Language rights in French Canada / Pierre A. Coulombe.</t>
  </si>
  <si>
    <t>Coulombe, Pierre A., 1963-</t>
  </si>
  <si>
    <t>Francophone cultures and literatures ; v. 2</t>
  </si>
  <si>
    <t>5218440722:eng</t>
  </si>
  <si>
    <t>30353812</t>
  </si>
  <si>
    <t>ocm30353812</t>
  </si>
  <si>
    <t>3103475542G</t>
  </si>
  <si>
    <t>9780820425047</t>
  </si>
  <si>
    <t>793333110</t>
  </si>
  <si>
    <t>3102759821V</t>
  </si>
  <si>
    <t>793333109</t>
  </si>
  <si>
    <t>3102759824V</t>
  </si>
  <si>
    <t>793333108</t>
  </si>
  <si>
    <t>P119.32 C3 D83 2008</t>
  </si>
  <si>
    <t>0                      P  0119320C  3                  D  83          2008</t>
  </si>
  <si>
    <t>Les Québécois et l'anglais : le retour du mouton / Christian Dufour.</t>
  </si>
  <si>
    <t>Dufour, Christian, 1949-</t>
  </si>
  <si>
    <t>[Sainte-Angèle-de-Monnoir, Québec] : LER, ©2008.</t>
  </si>
  <si>
    <t>145385140:fre</t>
  </si>
  <si>
    <t>314157373</t>
  </si>
  <si>
    <t>ocn314157373</t>
  </si>
  <si>
    <t>3103449038W</t>
  </si>
  <si>
    <t>9782895850335</t>
  </si>
  <si>
    <t>794438321</t>
  </si>
  <si>
    <t>P119.32 C3 F826 2014</t>
  </si>
  <si>
    <t>0                      P  0119320C  3                  F  826         2014</t>
  </si>
  <si>
    <t>Francophones et citoyens du monde : éducation, identités et engagement / sous la direction de Annie Pilote.</t>
  </si>
  <si>
    <t>[Québec, Québec] : Presses de l'Université Laval, [2014]</t>
  </si>
  <si>
    <t>Culture française d'Amérique</t>
  </si>
  <si>
    <t>1876945610:fre</t>
  </si>
  <si>
    <t>880676295</t>
  </si>
  <si>
    <t>ocn880676295</t>
  </si>
  <si>
    <t>3103494438F</t>
  </si>
  <si>
    <t>9782763799117</t>
  </si>
  <si>
    <t>794973342</t>
  </si>
  <si>
    <t>P119.32 C3 G4 1983</t>
  </si>
  <si>
    <t>0                      P  0119320C  3                  G  4           1983</t>
  </si>
  <si>
    <t>Les trois états de la politique linguistique du Québec : d'une société traduite à une société d'expression : étude présentée au Conseil de la langue française / par Jean-Claude Gémar.</t>
  </si>
  <si>
    <t>Gémar, Jean Claude, 1942-</t>
  </si>
  <si>
    <t>Québec : Le Conseil, ©1983.</t>
  </si>
  <si>
    <t>Dossiers du Conseil de la langue française ; 17. Etudes juridiques</t>
  </si>
  <si>
    <t>8907097967:fre</t>
  </si>
  <si>
    <t>11159181</t>
  </si>
  <si>
    <t>ocm11159181</t>
  </si>
  <si>
    <t>3102759823V</t>
  </si>
  <si>
    <t>9782551059478</t>
  </si>
  <si>
    <t>792761021</t>
  </si>
  <si>
    <t>P119.32 C3 G68 2005</t>
  </si>
  <si>
    <t>0                      P  0119320C  3                  G  68          2005</t>
  </si>
  <si>
    <t>La gouvernance linguistique : le Canada en perspective / sous la direction de Jean-Pierre Wallot.</t>
  </si>
  <si>
    <t>Ottawa : Presses de l'Université d'Ottawa, c2005.</t>
  </si>
  <si>
    <t>Collection Amérique française, 1480-4735 ; no 11</t>
  </si>
  <si>
    <t>1074114037:fre</t>
  </si>
  <si>
    <t>57431576</t>
  </si>
  <si>
    <t>ocm57431576</t>
  </si>
  <si>
    <t>3102507226K</t>
  </si>
  <si>
    <t>9782760305892</t>
  </si>
  <si>
    <t>793912868</t>
  </si>
  <si>
    <t>P119.32 C3 L47 2002</t>
  </si>
  <si>
    <t>0                      P  0119320C  3                  L  47          2002</t>
  </si>
  <si>
    <t>Ottawa et la reconnaissance d'un statut officiel pour les langues française et anglaise / J.L. Gilles LeVasseur.</t>
  </si>
  <si>
    <t>LeVasseur, J. L. Gilles, 1961-</t>
  </si>
  <si>
    <t>[Ottawa] : Le Nordir, 2002.</t>
  </si>
  <si>
    <t>Collection Débats actuels</t>
  </si>
  <si>
    <t>6448367:fre</t>
  </si>
  <si>
    <t>48804006</t>
  </si>
  <si>
    <t>ocm48804006</t>
  </si>
  <si>
    <t>3102759820V</t>
  </si>
  <si>
    <t>9782895310242</t>
  </si>
  <si>
    <t>793728079</t>
  </si>
  <si>
    <t>P119.32 C3 L48 1990</t>
  </si>
  <si>
    <t>0                      P  0119320C  3                  L  48          1990</t>
  </si>
  <si>
    <t>The reconquest of Montreal : language policy and social change in a bilingual city / Marc V. Levine.</t>
  </si>
  <si>
    <t>Levine, Marc V., 1951-</t>
  </si>
  <si>
    <t>Philadelphia : Temple University Press, 1990.</t>
  </si>
  <si>
    <t>Conflicts in urban and regional development</t>
  </si>
  <si>
    <t>795540567:eng</t>
  </si>
  <si>
    <t>20417813</t>
  </si>
  <si>
    <t>ocm20417813</t>
  </si>
  <si>
    <t>3102759819X</t>
  </si>
  <si>
    <t>9780877227038</t>
  </si>
  <si>
    <t>793087236</t>
  </si>
  <si>
    <t>31035920136</t>
  </si>
  <si>
    <t>793087238</t>
  </si>
  <si>
    <t>31030043509</t>
  </si>
  <si>
    <t>793087237</t>
  </si>
  <si>
    <t>P119.32 C3 L4814 1997</t>
  </si>
  <si>
    <t>0                      P  0119320C  3                  L  4814        1997</t>
  </si>
  <si>
    <t>La reconquête de Montréal / Marc V. Levine ; traduction de Marie Poirier.</t>
  </si>
  <si>
    <t>Montréal : VLB, 1997.</t>
  </si>
  <si>
    <t>Études québécoises ; 42e</t>
  </si>
  <si>
    <t>350479216:fre</t>
  </si>
  <si>
    <t>36693628</t>
  </si>
  <si>
    <t>ocm36693628</t>
  </si>
  <si>
    <t>3102759816X</t>
  </si>
  <si>
    <t>9782890056442</t>
  </si>
  <si>
    <t>793481801</t>
  </si>
  <si>
    <t>P119.32 C3 L57 2003</t>
  </si>
  <si>
    <t>0                      P  0119320C  3                  L  57          2003</t>
  </si>
  <si>
    <t>Linguistic conflict and language laws : understanding the Quebec question / edited by Pierre Larrivée.</t>
  </si>
  <si>
    <t>840245912:eng</t>
  </si>
  <si>
    <t>50090249</t>
  </si>
  <si>
    <t>ocm50090249</t>
  </si>
  <si>
    <t>3102759845R</t>
  </si>
  <si>
    <t>9780333968994</t>
  </si>
  <si>
    <t>793755362</t>
  </si>
  <si>
    <t>3102759800Z</t>
  </si>
  <si>
    <t>793755363</t>
  </si>
  <si>
    <t>P119.32 C3 M32 1998</t>
  </si>
  <si>
    <t>0                      P  0119320C  3                  M  32          1998</t>
  </si>
  <si>
    <t>The practice of language rights in Canada / C. Michael MacMillan.</t>
  </si>
  <si>
    <t>MacMillan, C. Michael.</t>
  </si>
  <si>
    <t>41392266:eng</t>
  </si>
  <si>
    <t>39052130</t>
  </si>
  <si>
    <t>ocm39052130</t>
  </si>
  <si>
    <t>3102759814X</t>
  </si>
  <si>
    <t>9780802042798</t>
  </si>
  <si>
    <t>793536783</t>
  </si>
  <si>
    <t>3102759818X</t>
  </si>
  <si>
    <t>793536782</t>
  </si>
  <si>
    <t>3102759815X</t>
  </si>
  <si>
    <t>793536781</t>
  </si>
  <si>
    <t>P119.32 C3 M38 2010</t>
  </si>
  <si>
    <t>0                      P  0119320C  3                  M  38          2010</t>
  </si>
  <si>
    <t>Langue et politique au Canada et au Québec : une synthèse historique / Marcel Martel, Martin Pâquet.</t>
  </si>
  <si>
    <t>Martel, Marcel, 1965-</t>
  </si>
  <si>
    <t>2019-01-22</t>
  </si>
  <si>
    <t>479888882:fre</t>
  </si>
  <si>
    <t>612724011</t>
  </si>
  <si>
    <t>ocn612724011</t>
  </si>
  <si>
    <t>3103266706V</t>
  </si>
  <si>
    <t>9782764620403</t>
  </si>
  <si>
    <t>794821514</t>
  </si>
  <si>
    <t>P119.32 C3 M3813 2012</t>
  </si>
  <si>
    <t>0                      P  0119320C  3                  M  3813        2012</t>
  </si>
  <si>
    <t>Speaking up : a history of language and politics in Canada and Quebec / Marcel Martel and Martin Pâquet ; translated by Patricia Dumas.</t>
  </si>
  <si>
    <t>Toronto : Between the Lines, 2012.</t>
  </si>
  <si>
    <t>2018-12-17</t>
  </si>
  <si>
    <t>1185194699:eng</t>
  </si>
  <si>
    <t>820424616</t>
  </si>
  <si>
    <t>ocn820424616</t>
  </si>
  <si>
    <t>3103494527E</t>
  </si>
  <si>
    <t>9781926662930</t>
  </si>
  <si>
    <t>794935290</t>
  </si>
  <si>
    <t>P119.32 C3 M45 2010</t>
  </si>
  <si>
    <t>0                      P  0119320C  3                  M  45          2010</t>
  </si>
  <si>
    <t>Main basse sur la langue : idéologie et interventionnisme linguistique au Québec / Lionel Meney.</t>
  </si>
  <si>
    <t>Meney, Lionel, 1943-</t>
  </si>
  <si>
    <t>Montréal : Liber, ©2010.</t>
  </si>
  <si>
    <t>793229430:fre</t>
  </si>
  <si>
    <t>562568689</t>
  </si>
  <si>
    <t>ocn562568689</t>
  </si>
  <si>
    <t>31030725847</t>
  </si>
  <si>
    <t>9782895781981</t>
  </si>
  <si>
    <t>794812928</t>
  </si>
  <si>
    <t>P119.32 C3 N64 1987</t>
  </si>
  <si>
    <t>0                      P  0119320C  3                  N  64          1987</t>
  </si>
  <si>
    <t>Les enjeux juridiques et sociopolitiques des conflits linguistiques au Québec / Lucie Noël ; sous la direction de Alain Prujiner [and others].</t>
  </si>
  <si>
    <t>Noël, Lucie.</t>
  </si>
  <si>
    <t>Quebec : Centre international de recherche sur le bilinguisme, 1987.</t>
  </si>
  <si>
    <t>Publication ; G-8</t>
  </si>
  <si>
    <t>432892891:fre</t>
  </si>
  <si>
    <t>20669804</t>
  </si>
  <si>
    <t>ocm20669804</t>
  </si>
  <si>
    <t>3102759810X</t>
  </si>
  <si>
    <t>9782892191769</t>
  </si>
  <si>
    <t>793094705</t>
  </si>
  <si>
    <t>P119.32 C3 P34 1989</t>
  </si>
  <si>
    <t>0                      P  0119320C  3                  P  34          1989</t>
  </si>
  <si>
    <t>Nouvelles tendances démolinguistiques dans l'île de Montréal, 1981-1996 / par Michel Paillé.</t>
  </si>
  <si>
    <t>Paillé, Michel.</t>
  </si>
  <si>
    <t>[Québec] : Service des communications, Conseil de la langue française, 1989.</t>
  </si>
  <si>
    <t>Notes et documents ; 71</t>
  </si>
  <si>
    <t>22171332:fre</t>
  </si>
  <si>
    <t>20266224</t>
  </si>
  <si>
    <t>ocm20266224</t>
  </si>
  <si>
    <t>3102759813X</t>
  </si>
  <si>
    <t>9782550197317</t>
  </si>
  <si>
    <t>793082655</t>
  </si>
  <si>
    <t>P119.32 C3 V54 2014</t>
  </si>
  <si>
    <t>0                      P  0119320C  3                  V  54          2014</t>
  </si>
  <si>
    <t>La vie dans une langue officielle minoritaire au Canada / sous la direction de Rodrigue Landry.</t>
  </si>
  <si>
    <t>[Québec] : Presses de l'Université Laval, [2014]</t>
  </si>
  <si>
    <t>Collection Langues officielles et sociétés</t>
  </si>
  <si>
    <t>1901021235:fre</t>
  </si>
  <si>
    <t>946565880</t>
  </si>
  <si>
    <t>ocn946565880</t>
  </si>
  <si>
    <t>3103494797V</t>
  </si>
  <si>
    <t>9782763718965</t>
  </si>
  <si>
    <t>795014574</t>
  </si>
  <si>
    <t>P119.32 C6 C55 2012</t>
  </si>
  <si>
    <t>0                      P  0119320C  6                  C  55          2012</t>
  </si>
  <si>
    <t>China's assimilationist language policy : the impact on indigenous/minority literacy and social harmony / edited by Gulbahar H. Beckett and Gerard A. Postiglione.</t>
  </si>
  <si>
    <t>Comparative development and policy in Asia series ; 9</t>
  </si>
  <si>
    <t>826235069:eng</t>
  </si>
  <si>
    <t>707726490</t>
  </si>
  <si>
    <t>ocn707726490</t>
  </si>
  <si>
    <t>3103396194A</t>
  </si>
  <si>
    <t>9780415596053</t>
  </si>
  <si>
    <t>794868053</t>
  </si>
  <si>
    <t>P119.32 C6 L37 2013</t>
  </si>
  <si>
    <t>0                      P  0119320C  6                  L  37          2013</t>
  </si>
  <si>
    <t>The Language Situation in China / [edited by Li Yuming and Li Wei].</t>
  </si>
  <si>
    <t>v.1: 2006-2007</t>
  </si>
  <si>
    <t>Berlin ; Boston : De Gruyter Mouton, [2013-2015]</t>
  </si>
  <si>
    <t>Language policies and practices in China, 2195-9838 ; volume 1-volume 3</t>
  </si>
  <si>
    <t>1174821356:eng</t>
  </si>
  <si>
    <t>814529432</t>
  </si>
  <si>
    <t>ocn814529432</t>
  </si>
  <si>
    <t>3103526804U</t>
  </si>
  <si>
    <t>9781614513117</t>
  </si>
  <si>
    <t>794932263</t>
  </si>
  <si>
    <t>P119.32 E18 C66 2011</t>
  </si>
  <si>
    <t>0                      P  0119320E  18                 C  66          2011</t>
  </si>
  <si>
    <t>Contextualisations du CECR : le cas de l'Asie du Sud-Est / coordonné par Véronique Castelotti, Jean Noriyuki Nishiyama.</t>
  </si>
  <si>
    <t>Paris : CLE International : FIPF, 2011.</t>
  </si>
  <si>
    <t>Le français dans le monde : Recherches et applications ; 50, juillet 2011</t>
  </si>
  <si>
    <t>944566612:fre</t>
  </si>
  <si>
    <t>761033661</t>
  </si>
  <si>
    <t>ocn761033661</t>
  </si>
  <si>
    <t>31034828876</t>
  </si>
  <si>
    <t>9782090371239</t>
  </si>
  <si>
    <t>794899012</t>
  </si>
  <si>
    <t>P119.32 E18 L358 2001</t>
  </si>
  <si>
    <t>0                      P  0119320E  18                 L  358         2001</t>
  </si>
  <si>
    <t>Language planning and language policy : East Asian perspectives / edited by Nanette Gottlieb and Ping Chen.</t>
  </si>
  <si>
    <t>Richmond : Curzon, 2001.</t>
  </si>
  <si>
    <t>836983825:eng</t>
  </si>
  <si>
    <t>46908657</t>
  </si>
  <si>
    <t>ocm46908657</t>
  </si>
  <si>
    <t>3102759804Z</t>
  </si>
  <si>
    <t>9780700714681</t>
  </si>
  <si>
    <t>793694161</t>
  </si>
  <si>
    <t>P119.32 E54 J46 2014</t>
  </si>
  <si>
    <t>0                      P  0119320E  54                 J  46          2014</t>
  </si>
  <si>
    <t>English as a Lingua Franca in the International University : the politics of academic English language policy / Jennifer Jenkins.</t>
  </si>
  <si>
    <t>Jenkins, Jennifer, 1950-</t>
  </si>
  <si>
    <t>2016-08-02</t>
  </si>
  <si>
    <t>1440949852:eng</t>
  </si>
  <si>
    <t>811606409</t>
  </si>
  <si>
    <t>ocn811606409</t>
  </si>
  <si>
    <t>3103504536E</t>
  </si>
  <si>
    <t>9780415684637</t>
  </si>
  <si>
    <t>794930285</t>
  </si>
  <si>
    <t>P119.32 E54 L36 1996</t>
  </si>
  <si>
    <t>0                      P  0119320E  54                 L  36          1996</t>
  </si>
  <si>
    <t>Language policies in English-dominant countries : six case studies / edited by Michael Herriman and Barbara Burnaby.</t>
  </si>
  <si>
    <t>The language and education library ; 10</t>
  </si>
  <si>
    <t>799428459:eng</t>
  </si>
  <si>
    <t>33334514</t>
  </si>
  <si>
    <t>ocm33334514</t>
  </si>
  <si>
    <t>3101848067F</t>
  </si>
  <si>
    <t>9781853593468</t>
  </si>
  <si>
    <t>793407144</t>
  </si>
  <si>
    <t>P119.32 E848 K36 2009</t>
  </si>
  <si>
    <t>0                      P  0119320E  848                K  36          2009</t>
  </si>
  <si>
    <t>The politics of language and nationalism in modern Central Europe / Tomasz Kamusella.</t>
  </si>
  <si>
    <t>Kamusella, Tomasz.</t>
  </si>
  <si>
    <t>2017-09-30</t>
  </si>
  <si>
    <t>119354871:eng</t>
  </si>
  <si>
    <t>190620094</t>
  </si>
  <si>
    <t>ocn190620094</t>
  </si>
  <si>
    <t>31030627876</t>
  </si>
  <si>
    <t>9780230550704</t>
  </si>
  <si>
    <t>794295354</t>
  </si>
  <si>
    <t>P119.32 E85 C66 2012</t>
  </si>
  <si>
    <t>0                      P  0119320E  85                 C  66          2012</t>
  </si>
  <si>
    <t>The Common European Framework of Reference : the globalisation of language education policy / edited by Michael Byram and Lynne Parmenter.</t>
  </si>
  <si>
    <t>Bristol ; Buffalo : Multilingual Matters, 2012.</t>
  </si>
  <si>
    <t>Languages for intercultural communication and education</t>
  </si>
  <si>
    <t>2012-10-04</t>
  </si>
  <si>
    <t>1079990932:eng</t>
  </si>
  <si>
    <t>776777205</t>
  </si>
  <si>
    <t>ocn776777205</t>
  </si>
  <si>
    <t>3103414898V</t>
  </si>
  <si>
    <t>9781847697301</t>
  </si>
  <si>
    <t>794908311</t>
  </si>
  <si>
    <t>P119.32 E85 L284 2006</t>
  </si>
  <si>
    <t>0                      P  0119320E  85                 L  284         2006</t>
  </si>
  <si>
    <t>Language ideologies, policies and practices : language and the future of Europe / edited by Clare Mar-Molinero and Patrick Stevenson.</t>
  </si>
  <si>
    <t>1039668189:eng</t>
  </si>
  <si>
    <t>60798546</t>
  </si>
  <si>
    <t>ocm60798546</t>
  </si>
  <si>
    <t>3102547331W</t>
  </si>
  <si>
    <t>9781403998996</t>
  </si>
  <si>
    <t>793944146</t>
  </si>
  <si>
    <t>P119.32 E85 L56 2009</t>
  </si>
  <si>
    <t>0                      P  0119320E  85                 L  56          2009</t>
  </si>
  <si>
    <t>Linguistic identities, language shift and language policy in Europe / edited by Bert Cornillie, José Lambert and Pierre Swiggers.</t>
  </si>
  <si>
    <t>Leuven : Peeters, 2009.</t>
  </si>
  <si>
    <t>Orbis. Supplementa ; t. 33</t>
  </si>
  <si>
    <t>344433223:eng</t>
  </si>
  <si>
    <t>437369671</t>
  </si>
  <si>
    <t>ocn437369671</t>
  </si>
  <si>
    <t>31031558232</t>
  </si>
  <si>
    <t>9789042922099</t>
  </si>
  <si>
    <t>794785875</t>
  </si>
  <si>
    <t>P119.32 E85 M34 2007</t>
  </si>
  <si>
    <t>0                      P  0119320E  85                 M  34          2007</t>
  </si>
  <si>
    <t>Maintaining minority languages in transnational contexts / edited by Anne Pauwels, Joanne Winter and Joseph Lo Bianco.</t>
  </si>
  <si>
    <t>351869039:eng</t>
  </si>
  <si>
    <t>73743526</t>
  </si>
  <si>
    <t>ocm73743526</t>
  </si>
  <si>
    <t>3102638985$</t>
  </si>
  <si>
    <t>9780230019195</t>
  </si>
  <si>
    <t>794171431</t>
  </si>
  <si>
    <t>P119.32 E85 N37 2003</t>
  </si>
  <si>
    <t>0                      P  0119320E  85                 N  37          2003</t>
  </si>
  <si>
    <t>Nation-building, ethnicity and language politics in transition countries / edited by Farimah Daftary and Francois Grin.</t>
  </si>
  <si>
    <t>Budapest : Local Government and Public Service Reform Initiative of the Open Society Institute, 2003.</t>
  </si>
  <si>
    <t>341648298:eng</t>
  </si>
  <si>
    <t>52912321</t>
  </si>
  <si>
    <t>ocm52912321</t>
  </si>
  <si>
    <t>3102759827V</t>
  </si>
  <si>
    <t>9789639419582</t>
  </si>
  <si>
    <t>793817135</t>
  </si>
  <si>
    <t>P119.32 F7 B69 2008</t>
  </si>
  <si>
    <t>0                      P  0119320F  7                  B  69          2008</t>
  </si>
  <si>
    <t>Langue et identité : sur le nationalisme linguistique / Henri Boyer.</t>
  </si>
  <si>
    <t>Boyer, Henri, 1946-</t>
  </si>
  <si>
    <t>Limoges : Lambert-Lucas, ©2008.</t>
  </si>
  <si>
    <t>1008556930:fre</t>
  </si>
  <si>
    <t>272561577</t>
  </si>
  <si>
    <t>ocn272561577</t>
  </si>
  <si>
    <t>31030422266</t>
  </si>
  <si>
    <t>9782915806878</t>
  </si>
  <si>
    <t>794415512</t>
  </si>
  <si>
    <t>P119.32 F7 J83 2007</t>
  </si>
  <si>
    <t>0                      P  0119320F  7                  J  83          2007</t>
  </si>
  <si>
    <t>Linguistic policies and the survival of regional languages in France and Britain / Anne Judge.</t>
  </si>
  <si>
    <t>Judge, Anne.</t>
  </si>
  <si>
    <t>57477282:eng</t>
  </si>
  <si>
    <t>70265644</t>
  </si>
  <si>
    <t>ocm70265644</t>
  </si>
  <si>
    <t>3102569409H</t>
  </si>
  <si>
    <t>9781403949837</t>
  </si>
  <si>
    <t>794152069</t>
  </si>
  <si>
    <t>P119.32 F8 P769 2011</t>
  </si>
  <si>
    <t>0                      P  0119320F  8                  P  769         2011</t>
  </si>
  <si>
    <t>Vies et mort de la francophonie : une politique française de la langue et de la littérature / François Provenzano.</t>
  </si>
  <si>
    <t>Provenzano, François.</t>
  </si>
  <si>
    <t>Bruxelles : Les Impressions nouvelles, [2011]</t>
  </si>
  <si>
    <t>Réflexions faites</t>
  </si>
  <si>
    <t>802034536:fre</t>
  </si>
  <si>
    <t>706625215</t>
  </si>
  <si>
    <t>ocn706625215</t>
  </si>
  <si>
    <t>3103353794O</t>
  </si>
  <si>
    <t>9782874491085</t>
  </si>
  <si>
    <t>794866961</t>
  </si>
  <si>
    <t>P119.32 G3 H88 1999</t>
  </si>
  <si>
    <t>0                      P  0119320G  3                  H  88          1999</t>
  </si>
  <si>
    <t>Linguistics and the Third Reich : mother-tongue fascism, race, and the science of language / Christopher M. Hutton.</t>
  </si>
  <si>
    <t>Hutton, Christopher.</t>
  </si>
  <si>
    <t>Routledge studies in the history of linguistics ; 1</t>
  </si>
  <si>
    <t>793845440:eng</t>
  </si>
  <si>
    <t>38520156</t>
  </si>
  <si>
    <t>ocm38520156</t>
  </si>
  <si>
    <t>3102759842R</t>
  </si>
  <si>
    <t>9780415189545</t>
  </si>
  <si>
    <t>793525859</t>
  </si>
  <si>
    <t>P119.32 G7 L35 2007</t>
  </si>
  <si>
    <t>0                      P  0119320G  7                  L  35          2007</t>
  </si>
  <si>
    <t>Language and governance / edited by Colin Williams.</t>
  </si>
  <si>
    <t>Cardiff : University of Wales Press, 2007.</t>
  </si>
  <si>
    <t>Politics and society in Wales.</t>
  </si>
  <si>
    <t>119767671:eng</t>
  </si>
  <si>
    <t>191820664</t>
  </si>
  <si>
    <t>ocn191820664</t>
  </si>
  <si>
    <t>3102650774T</t>
  </si>
  <si>
    <t>9780708321126</t>
  </si>
  <si>
    <t>794301284</t>
  </si>
  <si>
    <t>P119.32 I4 B37 1992</t>
  </si>
  <si>
    <t>0                      P  0119320I  4                  B  37          1992</t>
  </si>
  <si>
    <t>Regional movements : politics of language, ethnicity-identity / Sajal Basu.</t>
  </si>
  <si>
    <t>Basu, Sajal.</t>
  </si>
  <si>
    <t>Shimla : Indian Institute of Advanced Study ; New Delhi : Manohar Publications, 1992.</t>
  </si>
  <si>
    <t>Monograph ; 76</t>
  </si>
  <si>
    <t>30284229:eng</t>
  </si>
  <si>
    <t>27815669</t>
  </si>
  <si>
    <t>ocm27815669</t>
  </si>
  <si>
    <t>3102759886J</t>
  </si>
  <si>
    <t>9788185425870</t>
  </si>
  <si>
    <t>793273148</t>
  </si>
  <si>
    <t>P119.32 I4 L28 2009</t>
  </si>
  <si>
    <t>0                      P  0119320I  4                  L  28          2009</t>
  </si>
  <si>
    <t>Language and politics in India / edited by Asha Sarangi.</t>
  </si>
  <si>
    <t>New Delhi : Oxford University Press, 2009.</t>
  </si>
  <si>
    <t>Themes in politics series</t>
  </si>
  <si>
    <t>142245385:eng</t>
  </si>
  <si>
    <t>244417276</t>
  </si>
  <si>
    <t>ocn244417276</t>
  </si>
  <si>
    <t>3103084920V</t>
  </si>
  <si>
    <t>9780195697865</t>
  </si>
  <si>
    <t>794381487</t>
  </si>
  <si>
    <t>P119.32 I4 M57 2009</t>
  </si>
  <si>
    <t>0                      P  0119320I  4                  M  57          2009</t>
  </si>
  <si>
    <t>Language, emotion, and politics in south India : the making of a mother tongue / Lisa Mitchell.</t>
  </si>
  <si>
    <t>Mitchell, Lisa, 1966-</t>
  </si>
  <si>
    <t>Bloomington, IN : Indiana University Press, ©2009.</t>
  </si>
  <si>
    <t>Contemporary Indian studies</t>
  </si>
  <si>
    <t>687649702:eng</t>
  </si>
  <si>
    <t>245536705</t>
  </si>
  <si>
    <t>ocn245536705</t>
  </si>
  <si>
    <t>31030842519</t>
  </si>
  <si>
    <t>9780253353016</t>
  </si>
  <si>
    <t>794383381</t>
  </si>
  <si>
    <t>P119.32 I75 S76 1999</t>
  </si>
  <si>
    <t>0                      P  0119320I  75                 S  76          1999</t>
  </si>
  <si>
    <t>The languages of Israel : policy, ideology, and practice / Bernard Spolsky and Elana Shohamy.</t>
  </si>
  <si>
    <t>Clevedon [UK] ; Buffalo : Multilingual Matters, ©1999.</t>
  </si>
  <si>
    <t>Bilingual education and bilingualism ; 17</t>
  </si>
  <si>
    <t>347471346:eng</t>
  </si>
  <si>
    <t>41338132</t>
  </si>
  <si>
    <t>ocm41338132</t>
  </si>
  <si>
    <t>3102759885J</t>
  </si>
  <si>
    <t>9781853594526</t>
  </si>
  <si>
    <t>793589366</t>
  </si>
  <si>
    <t>P119.32 I8 A54 2015</t>
  </si>
  <si>
    <t>0                      P  0119320I  8                  A  54          2015</t>
  </si>
  <si>
    <t>Roman social imaginaries : language and thought in contexts of empire / Clifford Ando.</t>
  </si>
  <si>
    <t>Ando, Clifford, 1969- author.</t>
  </si>
  <si>
    <t>Toronto ; Buffalo ; London : University of Toronto Press, [2015]</t>
  </si>
  <si>
    <t>Robson classical lectures</t>
  </si>
  <si>
    <t>2273512002:eng</t>
  </si>
  <si>
    <t>900656330</t>
  </si>
  <si>
    <t>ocn900656330</t>
  </si>
  <si>
    <t>31034960937</t>
  </si>
  <si>
    <t>9781442650176</t>
  </si>
  <si>
    <t>794987804</t>
  </si>
  <si>
    <t>P119.32 P4 C67 2015</t>
  </si>
  <si>
    <t>0                      P  0119320P  4                  C  67          2015</t>
  </si>
  <si>
    <t>Language ideology, policy and planning in Peru / Serafín M. Coronel-Molina.</t>
  </si>
  <si>
    <t>Coronel-Molina, Serafín M., author.</t>
  </si>
  <si>
    <t>Multilingual matters; 161</t>
  </si>
  <si>
    <t>2788176066:eng</t>
  </si>
  <si>
    <t>908700998</t>
  </si>
  <si>
    <t>ocn908700998</t>
  </si>
  <si>
    <t>3103612993O</t>
  </si>
  <si>
    <t>9781783094240</t>
  </si>
  <si>
    <t>794995023</t>
  </si>
  <si>
    <t>P119.32 P6 S47 2013</t>
  </si>
  <si>
    <t>0                      P  0119320P  6                  S  47          2013</t>
  </si>
  <si>
    <t>Germans to Poles : communism, nationalism and ethnic cleansing after the Second World War / Hugo Service.</t>
  </si>
  <si>
    <t>Service, Hugo, 1981-</t>
  </si>
  <si>
    <t>New studies in European history</t>
  </si>
  <si>
    <t>2014-12-11</t>
  </si>
  <si>
    <t>1207093629:eng</t>
  </si>
  <si>
    <t>829055876</t>
  </si>
  <si>
    <t>ocn829055876</t>
  </si>
  <si>
    <t>3103501675F</t>
  </si>
  <si>
    <t>9781107671485</t>
  </si>
  <si>
    <t>794942017</t>
  </si>
  <si>
    <t>P119.32 P84 S36 2014</t>
  </si>
  <si>
    <t>0                      P  0119320P  84                 S  36          2014</t>
  </si>
  <si>
    <t>The politics of English in Puerto Rico's public schools / Jorge R. Schmidt.</t>
  </si>
  <si>
    <t>Schmidt, Jorge R., 1964-</t>
  </si>
  <si>
    <t>Boulder : First Forum Press, a division of Lynne Rienner Publishers, Inc., 2014.</t>
  </si>
  <si>
    <t>1904819846:eng</t>
  </si>
  <si>
    <t>867916033</t>
  </si>
  <si>
    <t>ocn867916033</t>
  </si>
  <si>
    <t>31035327233</t>
  </si>
  <si>
    <t>9781935049944</t>
  </si>
  <si>
    <t>794964262</t>
  </si>
  <si>
    <t>P119.32 S44 D53 2010</t>
  </si>
  <si>
    <t>0                      P  0119320S  44                 D  53          2010</t>
  </si>
  <si>
    <t>The politics of national languages in postcolonial Senegal / Ibrahima Diallo.</t>
  </si>
  <si>
    <t>Diallo, Ibrahima.</t>
  </si>
  <si>
    <t>Amherst, NY : Cambria Press, ©2010.</t>
  </si>
  <si>
    <t>551437725:eng</t>
  </si>
  <si>
    <t>650827406</t>
  </si>
  <si>
    <t>ocn650827406</t>
  </si>
  <si>
    <t>3103324278H</t>
  </si>
  <si>
    <t>9781604977240</t>
  </si>
  <si>
    <t>794832615</t>
  </si>
  <si>
    <t>P119.32 S64 L345 2004</t>
  </si>
  <si>
    <t>0                      P  0119320S  64                 L  345         2004</t>
  </si>
  <si>
    <t>Language policy, planning, &amp; practice : a South Asian perspective / edited by Sabiha Mansoor, Shaheen Meraj, Aliya Tahir.</t>
  </si>
  <si>
    <t>Karachi : Aga Khan University : Oxford University Press, 2004.</t>
  </si>
  <si>
    <t>476210129:eng</t>
  </si>
  <si>
    <t>54077935</t>
  </si>
  <si>
    <t>ocm54077935</t>
  </si>
  <si>
    <t>31025776388</t>
  </si>
  <si>
    <t>9780195799651</t>
  </si>
  <si>
    <t>793856906</t>
  </si>
  <si>
    <t>P119.32 S64 R37 2006</t>
  </si>
  <si>
    <t>0                      P  0119320S  64                 R  37          2006</t>
  </si>
  <si>
    <t>Language policy and modernity in southeast Asia : Malaysia, the Philippines, Singapore, and Thailand / Antonio L. Rappa, Lionel Wee.</t>
  </si>
  <si>
    <t>Rappa, Antonio L.</t>
  </si>
  <si>
    <t>New York : Springer, 2006.</t>
  </si>
  <si>
    <t>Language policy ; 6</t>
  </si>
  <si>
    <t>797225459:eng</t>
  </si>
  <si>
    <t>69647557</t>
  </si>
  <si>
    <t>ocm69647557</t>
  </si>
  <si>
    <t>3102578412E</t>
  </si>
  <si>
    <t>9781402045103</t>
  </si>
  <si>
    <t>794146425</t>
  </si>
  <si>
    <t>P119.32 S65 G74 2003</t>
  </si>
  <si>
    <t>0                      P  0119320S  65                 G  74          2003</t>
  </si>
  <si>
    <t>Language policy in the Soviet Union / by Lenore A. Grenoble.</t>
  </si>
  <si>
    <t>Dordrecht ; Boston : Kluwer Academic Publishers, ©2003.</t>
  </si>
  <si>
    <t>Language policy ; v. 3</t>
  </si>
  <si>
    <t>756569:eng</t>
  </si>
  <si>
    <t>52895058</t>
  </si>
  <si>
    <t>ocm52895058</t>
  </si>
  <si>
    <t>3102759875L</t>
  </si>
  <si>
    <t>9781402012983</t>
  </si>
  <si>
    <t>793816700</t>
  </si>
  <si>
    <t>P119.32 T28 C43 2015</t>
  </si>
  <si>
    <t>0                      P  0119320T  28                 C  43          2015</t>
  </si>
  <si>
    <t>Language, politics and identity in Taiwan : naming China / Hui-Ching Chang and Richard Holt.</t>
  </si>
  <si>
    <t>Chang, Hui-ching, author.</t>
  </si>
  <si>
    <t>Routledge research on Taiwan series</t>
  </si>
  <si>
    <t>5091914590:eng</t>
  </si>
  <si>
    <t>853244963</t>
  </si>
  <si>
    <t>ocn853244963</t>
  </si>
  <si>
    <t>3103580462O</t>
  </si>
  <si>
    <t>9780415836012</t>
  </si>
  <si>
    <t>794951958</t>
  </si>
  <si>
    <t>P119.32 T34 B84 2010</t>
  </si>
  <si>
    <t>0                      P  0119320T  34                 B  84          2010</t>
  </si>
  <si>
    <t>The tongue between : Swahili and English in Tanzanian parliamentary discourse / Charles Bwenge.</t>
  </si>
  <si>
    <t>Bwenge, Charles.</t>
  </si>
  <si>
    <t>München : Lincom Europa, ©2010.</t>
  </si>
  <si>
    <t>LINCOM studies in pragmatics ; 19</t>
  </si>
  <si>
    <t>792609741:eng</t>
  </si>
  <si>
    <t>759395760</t>
  </si>
  <si>
    <t>ocn759395760</t>
  </si>
  <si>
    <t>3103512260K</t>
  </si>
  <si>
    <t>9783895862366</t>
  </si>
  <si>
    <t>794897316</t>
  </si>
  <si>
    <t>P119.32 U38 S695 2007</t>
  </si>
  <si>
    <t>0                      P  0119320U  38                 S  695         2007</t>
  </si>
  <si>
    <t>Support, resistance and pragmatism : an examination of motivation in language policy in Kharkiv, Ukraine / Margrethe B. Søvik.</t>
  </si>
  <si>
    <t>Søvik, Margrethe B.</t>
  </si>
  <si>
    <t>Stockholm : Stockholm University, 2007.</t>
  </si>
  <si>
    <t>Acta Universitatis Stockholmiensis. Stockholm Slavic studies ; 34</t>
  </si>
  <si>
    <t>117820273:eng</t>
  </si>
  <si>
    <t>156914917</t>
  </si>
  <si>
    <t>ocn156914917</t>
  </si>
  <si>
    <t>3102750120E</t>
  </si>
  <si>
    <t>9789185445660</t>
  </si>
  <si>
    <t>794255956</t>
  </si>
  <si>
    <t>P119.32 U6 B38 1990</t>
  </si>
  <si>
    <t>0                      P  0119320U  6                  B  38          1990</t>
  </si>
  <si>
    <t>The English-only question : an official language for Americans? / Dennis Baron.</t>
  </si>
  <si>
    <t>Baron, Dennis E.</t>
  </si>
  <si>
    <t>New Haven : Yale University Press, ©1990.</t>
  </si>
  <si>
    <t>22314821:eng</t>
  </si>
  <si>
    <t>21117795</t>
  </si>
  <si>
    <t>ocm21117795</t>
  </si>
  <si>
    <t>3102759870L</t>
  </si>
  <si>
    <t>9780300048520</t>
  </si>
  <si>
    <t>793109664</t>
  </si>
  <si>
    <t>P119.32 U6 C728 2000</t>
  </si>
  <si>
    <t>0                      P  0119320U  6                  C  728         2000</t>
  </si>
  <si>
    <t>At war with diversity : US language policy in an age of anxiety / James Crawford.</t>
  </si>
  <si>
    <t>Crawford, James, 1949-</t>
  </si>
  <si>
    <t>Clevedon [England] ; Buffalo [N.Y.] : Multilingual Matters, ©2000.</t>
  </si>
  <si>
    <t>Bilingual education and bilingualism ; 25</t>
  </si>
  <si>
    <t>795309289:eng</t>
  </si>
  <si>
    <t>44860908</t>
  </si>
  <si>
    <t>ocm44860908</t>
  </si>
  <si>
    <t>3103308341E</t>
  </si>
  <si>
    <t>9781853595066</t>
  </si>
  <si>
    <t>793659384</t>
  </si>
  <si>
    <t>P119.32 U6 C73 1992</t>
  </si>
  <si>
    <t>0                      P  0119320U  6                  C  73          1992</t>
  </si>
  <si>
    <t>Hold your tongue : bilingualism and the politics of English only / James Crawford.</t>
  </si>
  <si>
    <t>Reading, Mass. : Addison-Wesley, ©1992.</t>
  </si>
  <si>
    <t>2019-03-17</t>
  </si>
  <si>
    <t>827482262:eng</t>
  </si>
  <si>
    <t>25094006</t>
  </si>
  <si>
    <t>ocm25094006</t>
  </si>
  <si>
    <t>3102759869N</t>
  </si>
  <si>
    <t>9780201550443</t>
  </si>
  <si>
    <t>793212110</t>
  </si>
  <si>
    <t>P119.32 U6 L356 1998</t>
  </si>
  <si>
    <t>0                      P  0119320U  6                  L  356         1998</t>
  </si>
  <si>
    <t>Language and politics in the United States and Canada : myths and realities / edited by Thomas Ricento, Barbara Burnaby.</t>
  </si>
  <si>
    <t>799758968:eng</t>
  </si>
  <si>
    <t>37742265</t>
  </si>
  <si>
    <t>ocm37742265</t>
  </si>
  <si>
    <t>3102759865N</t>
  </si>
  <si>
    <t>9780805828382</t>
  </si>
  <si>
    <t>793505975</t>
  </si>
  <si>
    <t>3102759864N</t>
  </si>
  <si>
    <t>793505976</t>
  </si>
  <si>
    <t>P119.32 U6 P47 1990</t>
  </si>
  <si>
    <t>0                      P  0119320U  6                  P  47          1990</t>
  </si>
  <si>
    <t>Perspectives on official English : the campaign for English as the official language of the USA / edited by Karen L. Adams, Daniel T. Brink.</t>
  </si>
  <si>
    <t>Berlin ; New York : Mouton de Gruyter, 1990.</t>
  </si>
  <si>
    <t>Contributions to the sociology of language ; 57</t>
  </si>
  <si>
    <t>897415542:eng</t>
  </si>
  <si>
    <t>21410541</t>
  </si>
  <si>
    <t>ocm21410541</t>
  </si>
  <si>
    <t>3102759859P</t>
  </si>
  <si>
    <t>9783110123258</t>
  </si>
  <si>
    <t>793118187</t>
  </si>
  <si>
    <t>P119.32 U6 S35 2001</t>
  </si>
  <si>
    <t>0                      P  0119320U  6                  S  35          2001</t>
  </si>
  <si>
    <t>The politics of language : conflict, identity and cultural pluralism in comparative perspective / Carol L. Schmid.</t>
  </si>
  <si>
    <t>Schmid, Carol L.</t>
  </si>
  <si>
    <t>Oxford ; New York : Oxford University Press, 2001.</t>
  </si>
  <si>
    <t>793951780:eng</t>
  </si>
  <si>
    <t>43311724</t>
  </si>
  <si>
    <t>ocm43311724</t>
  </si>
  <si>
    <t>3102759855P</t>
  </si>
  <si>
    <t>9780195137750</t>
  </si>
  <si>
    <t>793624086</t>
  </si>
  <si>
    <t>P119.32 U6 S36 2000</t>
  </si>
  <si>
    <t>0                      P  0119320U  6                  S  36          2000</t>
  </si>
  <si>
    <t>Language policy and identity politics in the United States / Ronald Schmidt.</t>
  </si>
  <si>
    <t>Schmidt, Ronald, 1943-</t>
  </si>
  <si>
    <t>Philadelphia : Temple University Press, 2000.</t>
  </si>
  <si>
    <t>Mapping racisms</t>
  </si>
  <si>
    <t>1050699:eng</t>
  </si>
  <si>
    <t>43095827</t>
  </si>
  <si>
    <t>ocm43095827</t>
  </si>
  <si>
    <t>3102759854P</t>
  </si>
  <si>
    <t>9781566397544</t>
  </si>
  <si>
    <t>793620112</t>
  </si>
  <si>
    <t>P119.32 U6 S63 1999</t>
  </si>
  <si>
    <t>0                      P  0119320U  6                  S  63          1999</t>
  </si>
  <si>
    <t>Sociopolitical perspectives on language policy and planning in the USA / edited by Thom Huebner, Kathryn A. Davis ; with assistance from Joseph Lo Bianco.</t>
  </si>
  <si>
    <t>Amsterdam ; Philadelphia, PA : J. Benjamins Pub. Co., ©1999.</t>
  </si>
  <si>
    <t>Studies in bilingualism, 0928-1533 ; v. 16</t>
  </si>
  <si>
    <t>766796782:eng</t>
  </si>
  <si>
    <t>41035511</t>
  </si>
  <si>
    <t>ocm41035511</t>
  </si>
  <si>
    <t>3102759851P</t>
  </si>
  <si>
    <t>9781556197352</t>
  </si>
  <si>
    <t>793582441</t>
  </si>
  <si>
    <t>P120 C6 1974</t>
  </si>
  <si>
    <t>0                      P  0120000C  6           1974</t>
  </si>
  <si>
    <t>Studies in language variation : semantics, syntax, phonology, pragmatics, social situations, ethnographic approaches / Ralph W. Fasold, Roger W. Shuy, editors.</t>
  </si>
  <si>
    <t>Colloquium on New Ways of Analyzing Variation (3rd : 1974 : Georgetown University)</t>
  </si>
  <si>
    <t>Washington : Georgetown University School of Languages and Linguistics, ©1977.</t>
  </si>
  <si>
    <t>1008271819:eng</t>
  </si>
  <si>
    <t>3380010</t>
  </si>
  <si>
    <t>ocm03380010</t>
  </si>
  <si>
    <t>3102759848R</t>
  </si>
  <si>
    <t>9780878402090</t>
  </si>
  <si>
    <t>792248381</t>
  </si>
  <si>
    <t>P120 C65 S68 2007</t>
  </si>
  <si>
    <t>0                      P  0120000C  65                 S  68          2007</t>
  </si>
  <si>
    <t>Speaking of colors and odors / edited by Martina Plümacher, Peter Holz.</t>
  </si>
  <si>
    <t>Converging evidence in language and communication research, 1566-7774 ; v. 8</t>
  </si>
  <si>
    <t>194896820:eng</t>
  </si>
  <si>
    <t>77333637</t>
  </si>
  <si>
    <t>ocm77333637</t>
  </si>
  <si>
    <t>3102646455N</t>
  </si>
  <si>
    <t>9789027238955</t>
  </si>
  <si>
    <t>794185743</t>
  </si>
  <si>
    <t>P120 D83 2011</t>
  </si>
  <si>
    <t>0                      P  0120000D  83          2011</t>
  </si>
  <si>
    <t>Understanding language through humor / Stanley Dubinsky and Chris Holcomb.</t>
  </si>
  <si>
    <t>Dubinsky, Stanley, 1952-</t>
  </si>
  <si>
    <t>2013-11-29</t>
  </si>
  <si>
    <t>866186493:eng</t>
  </si>
  <si>
    <t>707967679</t>
  </si>
  <si>
    <t>ocn707967679</t>
  </si>
  <si>
    <t>3103380845S</t>
  </si>
  <si>
    <t>9780521886277</t>
  </si>
  <si>
    <t>794868499</t>
  </si>
  <si>
    <t>P120 E27 C6 1992</t>
  </si>
  <si>
    <t>0                      P  0120000E  27                 C  6           1992</t>
  </si>
  <si>
    <t>Language and economy / Florian Coulmas.</t>
  </si>
  <si>
    <t>Oxford, UK ; Cambridge, USA : Blackwell, 1992.</t>
  </si>
  <si>
    <t>28915554:eng</t>
  </si>
  <si>
    <t>25789139</t>
  </si>
  <si>
    <t>ocm25789139</t>
  </si>
  <si>
    <t>3102759853P</t>
  </si>
  <si>
    <t>9780631185246</t>
  </si>
  <si>
    <t>793230064</t>
  </si>
  <si>
    <t>P120 E27 L33 2010</t>
  </si>
  <si>
    <t>0                      P  0120000E  27                 L  33          2010</t>
  </si>
  <si>
    <t>Language and the market / edited by Helen Kelly-Holmes and Gerlinde Mautner.</t>
  </si>
  <si>
    <t>1863986464:eng</t>
  </si>
  <si>
    <t>468976191</t>
  </si>
  <si>
    <t>ocn468976191</t>
  </si>
  <si>
    <t>3103241426T</t>
  </si>
  <si>
    <t>9780230210608</t>
  </si>
  <si>
    <t>794795659</t>
  </si>
  <si>
    <t>P120 E27 L34 2008</t>
  </si>
  <si>
    <t>0                      P  0120000E  27                 L  34          2008</t>
  </si>
  <si>
    <t>Language as commodity : global structures, local marketplaces / edited by Peter K.W. Tan and Rani Rubdy.</t>
  </si>
  <si>
    <t>803415083:eng</t>
  </si>
  <si>
    <t>212847586</t>
  </si>
  <si>
    <t>ocn212847586</t>
  </si>
  <si>
    <t>3102976183U</t>
  </si>
  <si>
    <t>9781847064226</t>
  </si>
  <si>
    <t>794306288</t>
  </si>
  <si>
    <t>P120 E27 L35 2012</t>
  </si>
  <si>
    <t>0                      P  0120000E  27                 L  35          2012</t>
  </si>
  <si>
    <t>Language in late capitalism : pride and profit / edited by Alexandre Duchene and Monica Heller.</t>
  </si>
  <si>
    <t>Routledge critical studies in multilingualism ; 1</t>
  </si>
  <si>
    <t>663907446:eng</t>
  </si>
  <si>
    <t>666242889</t>
  </si>
  <si>
    <t>ocn666242889</t>
  </si>
  <si>
    <t>3103406303O</t>
  </si>
  <si>
    <t>9780415888592</t>
  </si>
  <si>
    <t>794845055</t>
  </si>
  <si>
    <t>P120 F46 1998</t>
  </si>
  <si>
    <t>0                      P  0120000F  46          1998</t>
  </si>
  <si>
    <t>Les femmes et la langue : l'insécurité linguistique en question / sous la direction de Pascal Singy ; C. Bauvois [and others].</t>
  </si>
  <si>
    <t>Lausanne (Switzerland) : Delachaux et Niestlé, ©1998.</t>
  </si>
  <si>
    <t>Sciences des discours</t>
  </si>
  <si>
    <t>2017-10-30</t>
  </si>
  <si>
    <t>807566875:fre</t>
  </si>
  <si>
    <t>44128820</t>
  </si>
  <si>
    <t>ocm44128820</t>
  </si>
  <si>
    <t>3102759863N</t>
  </si>
  <si>
    <t>9782603011294</t>
  </si>
  <si>
    <t>793643074</t>
  </si>
  <si>
    <t>P120 G39 Q44 2018</t>
  </si>
  <si>
    <t>0                      P  0120000G  39                 Q  44          2018</t>
  </si>
  <si>
    <t>Queering language, gender and sexuality / edited by Tommaso M. Milani.</t>
  </si>
  <si>
    <t>Sheffield, South Yorkshire, UK ; Bristol, CT : Equinox Publishing Ltd., 2018.</t>
  </si>
  <si>
    <t>4518963641:eng</t>
  </si>
  <si>
    <t>1028532917</t>
  </si>
  <si>
    <t>on1028532917</t>
  </si>
  <si>
    <t>3103669742L</t>
  </si>
  <si>
    <t>9781781794937</t>
  </si>
  <si>
    <t>795053159</t>
  </si>
  <si>
    <t>P120 I6 E68 2010</t>
  </si>
  <si>
    <t>0                      P  0120000I  6                  E  68          2010</t>
  </si>
  <si>
    <t>Virtual English : queer internets and digital Creolization / Jillana B. Enteen.</t>
  </si>
  <si>
    <t>Enteen, Jillana B.</t>
  </si>
  <si>
    <t>Routledge studies in new media and cyberculture ; 6</t>
  </si>
  <si>
    <t>792918615:eng</t>
  </si>
  <si>
    <t>308215746</t>
  </si>
  <si>
    <t>ocn308215746</t>
  </si>
  <si>
    <t>31031558242</t>
  </si>
  <si>
    <t>9780415994293</t>
  </si>
  <si>
    <t>794434571</t>
  </si>
  <si>
    <t>P120 I6 G38 2014</t>
  </si>
  <si>
    <t>0                      P  0120000I  6                  G  38          2014</t>
  </si>
  <si>
    <t>The web as corpus : theory and practice / Maristella Gatto.</t>
  </si>
  <si>
    <t>Gatto, Maristella, author.</t>
  </si>
  <si>
    <t>Corpus and Discourse</t>
  </si>
  <si>
    <t>1783153472:eng</t>
  </si>
  <si>
    <t>827261175</t>
  </si>
  <si>
    <t>ocn827261175</t>
  </si>
  <si>
    <t>3103530067O</t>
  </si>
  <si>
    <t>9781441150981</t>
  </si>
  <si>
    <t>794939967</t>
  </si>
  <si>
    <t>P120 I6 M28 2019</t>
  </si>
  <si>
    <t>0                      P  0120000I  6                  M  28          2019</t>
  </si>
  <si>
    <t>Because internet : understanding the new rules of language / Gretchen McCulloch.</t>
  </si>
  <si>
    <t>McCulloch, Gretchen, author.</t>
  </si>
  <si>
    <t>New York, NY : Riverhead Books, 2019.</t>
  </si>
  <si>
    <t>8949735840:eng</t>
  </si>
  <si>
    <t>1088599449</t>
  </si>
  <si>
    <t>on1088599449</t>
  </si>
  <si>
    <t>3103812685L</t>
  </si>
  <si>
    <t>9780735210936</t>
  </si>
  <si>
    <t>795079270</t>
  </si>
  <si>
    <t>P120 L34 B35 1992</t>
  </si>
  <si>
    <t>0                      P  0120000L  34                 B  35          1992</t>
  </si>
  <si>
    <t>Attitudes and language / Colin Baker.</t>
  </si>
  <si>
    <t>Baker, Colin, 1949-</t>
  </si>
  <si>
    <t>Clevedon [England] ; Philadelphia : Multilingual Matters, ©1992.</t>
  </si>
  <si>
    <t>Multilingual matters ; 83</t>
  </si>
  <si>
    <t>25003407:eng</t>
  </si>
  <si>
    <t>24010966</t>
  </si>
  <si>
    <t>ocm24010966</t>
  </si>
  <si>
    <t>3102759883J</t>
  </si>
  <si>
    <t>9781853591433</t>
  </si>
  <si>
    <t>793187427</t>
  </si>
  <si>
    <t>P120 L34 C75 1992</t>
  </si>
  <si>
    <t>0                      P  0120000L  34                 C  75          1992</t>
  </si>
  <si>
    <t>Critical language awareness / editor, Norman Fairclough.</t>
  </si>
  <si>
    <t>London ; New York : Longman, 1992.</t>
  </si>
  <si>
    <t>55488914:eng</t>
  </si>
  <si>
    <t>24215621</t>
  </si>
  <si>
    <t>ocm24215621</t>
  </si>
  <si>
    <t>3102759887J</t>
  </si>
  <si>
    <t>9780582064676</t>
  </si>
  <si>
    <t>793192575</t>
  </si>
  <si>
    <t>P120 L34 L26 2016</t>
  </si>
  <si>
    <t>0                      P  0120000L  34                 L  26          2016</t>
  </si>
  <si>
    <t>Language awareness : readings for college writers / Paul Eschholz, Alfred Rosa, Virginia Clark.</t>
  </si>
  <si>
    <t>Boston, MA : Bedford/St. Martin's, [2016]</t>
  </si>
  <si>
    <t>Twelfth edition.</t>
  </si>
  <si>
    <t>2019-09-03</t>
  </si>
  <si>
    <t>4916478140:eng</t>
  </si>
  <si>
    <t>948521816</t>
  </si>
  <si>
    <t>ocn948521816</t>
  </si>
  <si>
    <t>3103737318I</t>
  </si>
  <si>
    <t>9781319044107</t>
  </si>
  <si>
    <t>795015541</t>
  </si>
  <si>
    <t>3103737309J</t>
  </si>
  <si>
    <t>795015540</t>
  </si>
  <si>
    <t>P120 L34 L36 2018</t>
  </si>
  <si>
    <t>0                      P  0120000L  34                 L  36          2018</t>
  </si>
  <si>
    <t>Language awareness in multilingual classrooms in Europe : from theory to practice / edited by Christine Hélot , Carolien Frijns, Koen Van Gorp, Sven Sierens.</t>
  </si>
  <si>
    <t>Contributions to the sociology of language, 1861-0676 ; volume 109</t>
  </si>
  <si>
    <t>2828033251:eng</t>
  </si>
  <si>
    <t>1035562111</t>
  </si>
  <si>
    <t>on1035562111</t>
  </si>
  <si>
    <t>31037940480</t>
  </si>
  <si>
    <t>9781501510434</t>
  </si>
  <si>
    <t>795057735</t>
  </si>
  <si>
    <t>P120 M45 C6 2003</t>
  </si>
  <si>
    <t>0                      P  0120000M  45                 C  6           2003</t>
  </si>
  <si>
    <t>Men talk : stories in the making of masculinities / Jennifer Coates.</t>
  </si>
  <si>
    <t>Coates, Jennifer.</t>
  </si>
  <si>
    <t>798432339:eng</t>
  </si>
  <si>
    <t>49383813</t>
  </si>
  <si>
    <t>ocm49383813</t>
  </si>
  <si>
    <t>3102759867N</t>
  </si>
  <si>
    <t>9780631220459</t>
  </si>
  <si>
    <t>793739050</t>
  </si>
  <si>
    <t>P120 M45 L36 1997</t>
  </si>
  <si>
    <t>0                      P  0120000M  45                 L  36          1997</t>
  </si>
  <si>
    <t>Language and masculinity / edited by Sally Johnson and Ulrike Hanna Meinhof.</t>
  </si>
  <si>
    <t>Oxford, UK ; Cambridge, Mass. : Blackwell Publishers, 1997.</t>
  </si>
  <si>
    <t>1101922442:eng</t>
  </si>
  <si>
    <t>34513696</t>
  </si>
  <si>
    <t>ocm34513696</t>
  </si>
  <si>
    <t>3103201002S</t>
  </si>
  <si>
    <t>9780631197676</t>
  </si>
  <si>
    <t>793428370</t>
  </si>
  <si>
    <t>P120 M65 M36 2012</t>
  </si>
  <si>
    <t>0                      P  0120000M  65                 M  36          2012</t>
  </si>
  <si>
    <t>Interpreting motion : grounded representations for spatial language / Inderjeet Mani and James Pustejovsky.</t>
  </si>
  <si>
    <t>Mani, Inderjeet.</t>
  </si>
  <si>
    <t>[Oxford lingusitics]</t>
  </si>
  <si>
    <t>2013-01-07</t>
  </si>
  <si>
    <t>1041468823:eng</t>
  </si>
  <si>
    <t>759583738</t>
  </si>
  <si>
    <t>ocn759583738</t>
  </si>
  <si>
    <t>3103408751V</t>
  </si>
  <si>
    <t>9780199601240</t>
  </si>
  <si>
    <t>794897523</t>
  </si>
  <si>
    <t>P120 N37 B66 2010</t>
  </si>
  <si>
    <t>0                      P  0120000N  37                 B  66          2010</t>
  </si>
  <si>
    <t>Mother tongues and nations : the invention of the native speaker / by Thomas Bonfiglio.</t>
  </si>
  <si>
    <t>Bonfiglio, Thomas Paul, 1948-</t>
  </si>
  <si>
    <t>New York : De Gruyter Mouton, ©2010.</t>
  </si>
  <si>
    <t>Trends in linguistics. Studies and monographs, 1861-4302 ; 226</t>
  </si>
  <si>
    <t>792747214:eng</t>
  </si>
  <si>
    <t>608491951</t>
  </si>
  <si>
    <t>ocn608491951</t>
  </si>
  <si>
    <t>3103227050L</t>
  </si>
  <si>
    <t>9781934078259</t>
  </si>
  <si>
    <t>794819458</t>
  </si>
  <si>
    <t>P120 N37 H47 2006</t>
  </si>
  <si>
    <t>0                      P  0120000N  37                 H  47          2006</t>
  </si>
  <si>
    <t>Heritage language development : focus on East Asian immigrants / edited by Kimi Kondo-Brown.</t>
  </si>
  <si>
    <t>Studies in bilingualism, 0928-1533 ; v. 32</t>
  </si>
  <si>
    <t>794068281:eng</t>
  </si>
  <si>
    <t>71427472</t>
  </si>
  <si>
    <t>ocm71427472</t>
  </si>
  <si>
    <t>3102594136P</t>
  </si>
  <si>
    <t>9789027241436</t>
  </si>
  <si>
    <t>794166751</t>
  </si>
  <si>
    <t>P120 R32 D57 1988</t>
  </si>
  <si>
    <t>0                      P  0120000R  32                 D  57          1988</t>
  </si>
  <si>
    <t>Discourse and discrimination / edited by Geneva Smitherman-Donaldson and Teun A. van Dijk.</t>
  </si>
  <si>
    <t>Detroit : Wayne State University Press, 1988.</t>
  </si>
  <si>
    <t>15450725:eng</t>
  </si>
  <si>
    <t>17353926</t>
  </si>
  <si>
    <t>ocm17353926</t>
  </si>
  <si>
    <t>3102759935Q</t>
  </si>
  <si>
    <t>9780814319574</t>
  </si>
  <si>
    <t>792988856</t>
  </si>
  <si>
    <t>P120 R32 H55 2008</t>
  </si>
  <si>
    <t>0                      P  0120000R  32                 H  55          2008</t>
  </si>
  <si>
    <t>The everyday language of white racism / Jane H. Hill.</t>
  </si>
  <si>
    <t>Hill, Jane H.</t>
  </si>
  <si>
    <t>Chichester, U.K. ; Malden, MA : Wiley-Blackwell, 2008.</t>
  </si>
  <si>
    <t>Blackwell studies in discourse and culture ; 3</t>
  </si>
  <si>
    <t>2017-05-01</t>
  </si>
  <si>
    <t>131632421:eng</t>
  </si>
  <si>
    <t>214322845</t>
  </si>
  <si>
    <t>ocn214322845</t>
  </si>
  <si>
    <t>3102978080P</t>
  </si>
  <si>
    <t>9781405184533</t>
  </si>
  <si>
    <t>794313980</t>
  </si>
  <si>
    <t>P120 S48 B35 2008</t>
  </si>
  <si>
    <t>0                      P  0120000S  48                 B  35          2008</t>
  </si>
  <si>
    <t>Sexed texts : language, gender and sexuality / Paul Baker.</t>
  </si>
  <si>
    <t>Baker, Paul, 1972-</t>
  </si>
  <si>
    <t>2017-01-28</t>
  </si>
  <si>
    <t>792919309:eng</t>
  </si>
  <si>
    <t>129951642</t>
  </si>
  <si>
    <t>ocn129951642</t>
  </si>
  <si>
    <t>3102975849L</t>
  </si>
  <si>
    <t>9781845530747</t>
  </si>
  <si>
    <t>794231561</t>
  </si>
  <si>
    <t>P120 S48 B37 2014</t>
  </si>
  <si>
    <t>0                      P  0120000S  48                 B  37          2014</t>
  </si>
  <si>
    <t>Using corpora to analyze gender / Paul Baker.</t>
  </si>
  <si>
    <t>1415392926:eng</t>
  </si>
  <si>
    <t>849210022</t>
  </si>
  <si>
    <t>ocn849210022</t>
  </si>
  <si>
    <t>3103530039U</t>
  </si>
  <si>
    <t>9781441110589</t>
  </si>
  <si>
    <t>794950077</t>
  </si>
  <si>
    <t>P120 S48 C3525 2007</t>
  </si>
  <si>
    <t>0                      P  0120000S  48                 C  3525        2007</t>
  </si>
  <si>
    <t>The myth of Mars and Venus : do men and women really speak different languages? / Deborah Cameron.</t>
  </si>
  <si>
    <t>Oxford ; New York : Oxford University Press, [2007]</t>
  </si>
  <si>
    <t>104778976:eng</t>
  </si>
  <si>
    <t>174501182</t>
  </si>
  <si>
    <t>ocn174501182</t>
  </si>
  <si>
    <t>3102572749N</t>
  </si>
  <si>
    <t>9780199214471</t>
  </si>
  <si>
    <t>794274406</t>
  </si>
  <si>
    <t>P120 S48 C353 2006</t>
  </si>
  <si>
    <t>0                      P  0120000S  48                 C  353         2006</t>
  </si>
  <si>
    <t>On language and sexual politics / Deborah Cameron.</t>
  </si>
  <si>
    <t>43890149:eng</t>
  </si>
  <si>
    <t>60791634</t>
  </si>
  <si>
    <t>ocm60791634</t>
  </si>
  <si>
    <t>31025783785</t>
  </si>
  <si>
    <t>9780415373449</t>
  </si>
  <si>
    <t>793943678</t>
  </si>
  <si>
    <t>P120 S48 C36 2012</t>
  </si>
  <si>
    <t>0                      P  0120000S  48                 C  36          2012</t>
  </si>
  <si>
    <t>More heat than light? : sex-difference science &amp; the study of language / Deborah Cameron.</t>
  </si>
  <si>
    <t>Vancouver : Ronsdale Press, c2012.</t>
  </si>
  <si>
    <t>The 2012 Garnett Sedgewick memorial lecture</t>
  </si>
  <si>
    <t>1148651474:eng</t>
  </si>
  <si>
    <t>804030539</t>
  </si>
  <si>
    <t>ocn804030539</t>
  </si>
  <si>
    <t>31034236469</t>
  </si>
  <si>
    <t>9781553802211</t>
  </si>
  <si>
    <t>794925958</t>
  </si>
  <si>
    <t>P120 S48 C360 2003</t>
  </si>
  <si>
    <t>0                      P  0120000S  48                 C  360         2003</t>
  </si>
  <si>
    <t>Language and sexuality / Deborah Cameron and Don Kulick.</t>
  </si>
  <si>
    <t>Cambridge : Cambridge University Press, 2003.</t>
  </si>
  <si>
    <t>707738:eng</t>
  </si>
  <si>
    <t>51271730</t>
  </si>
  <si>
    <t>ocm51271730</t>
  </si>
  <si>
    <t>3102683236P</t>
  </si>
  <si>
    <t>9780521804332</t>
  </si>
  <si>
    <t>793781961</t>
  </si>
  <si>
    <t>3102657429K</t>
  </si>
  <si>
    <t>793781962</t>
  </si>
  <si>
    <t>P120 S48 C62 1993</t>
  </si>
  <si>
    <t>0                      P  0120000S  48                 C  62          1993</t>
  </si>
  <si>
    <t>Women, men, and language : a sociolinguistic account of gender differences in language / Jennifer Coates.</t>
  </si>
  <si>
    <t>Coates, Jennifer, 1942-</t>
  </si>
  <si>
    <t>Studies in language and linguistics.</t>
  </si>
  <si>
    <t>93432:eng</t>
  </si>
  <si>
    <t>26673406</t>
  </si>
  <si>
    <t>ocm26673406</t>
  </si>
  <si>
    <t>3102759929S</t>
  </si>
  <si>
    <t>9780582074927</t>
  </si>
  <si>
    <t>793249186</t>
  </si>
  <si>
    <t>P120 S48 C62 2004</t>
  </si>
  <si>
    <t>0                      P  0120000S  48                 C  62          2004</t>
  </si>
  <si>
    <t>Harlow, England ; New York : Pearson Longman, 2004.</t>
  </si>
  <si>
    <t>54024099</t>
  </si>
  <si>
    <t>ocm54024099</t>
  </si>
  <si>
    <t>3102759928S</t>
  </si>
  <si>
    <t>9780582771864</t>
  </si>
  <si>
    <t>793855636</t>
  </si>
  <si>
    <t>P120 S48 C66 2011</t>
  </si>
  <si>
    <t>0                      P  0120000S  48                 C  66          2011</t>
  </si>
  <si>
    <t>Conversation and gender / edited by Susan A. Speer and Elizabeth Stokoe.</t>
  </si>
  <si>
    <t>375888364:eng</t>
  </si>
  <si>
    <t>503072958</t>
  </si>
  <si>
    <t>ocn503072958</t>
  </si>
  <si>
    <t>3103231844I</t>
  </si>
  <si>
    <t>9780521873826</t>
  </si>
  <si>
    <t>794806154</t>
  </si>
  <si>
    <t>P120 S48 C73 1995</t>
  </si>
  <si>
    <t>0                      P  0120000S  48                 C  73          1995</t>
  </si>
  <si>
    <t>Talking difference : on gender and language / Mary Crawford.</t>
  </si>
  <si>
    <t>Crawford, Mary (Mary E.), author.</t>
  </si>
  <si>
    <t>London ; Thousand Oaks, Calif. : SAGE, 1995.</t>
  </si>
  <si>
    <t>Gender and psychology</t>
  </si>
  <si>
    <t>2000-10-04</t>
  </si>
  <si>
    <t>4927670488:eng</t>
  </si>
  <si>
    <t>33003117</t>
  </si>
  <si>
    <t>ocm33003117</t>
  </si>
  <si>
    <t>3101574070C</t>
  </si>
  <si>
    <t>9780803988279</t>
  </si>
  <si>
    <t>793399381</t>
  </si>
  <si>
    <t>3102759926S</t>
  </si>
  <si>
    <t>793399383</t>
  </si>
  <si>
    <t>31017259982</t>
  </si>
  <si>
    <t>793399382</t>
  </si>
  <si>
    <t>P120 S48 D57 2008</t>
  </si>
  <si>
    <t>0                      P  0120000S  48                 D  57          2008</t>
  </si>
  <si>
    <t>Language and gender in the military : honorifics, narrative and ideology in Air Force talk / by Edith A. Disler.</t>
  </si>
  <si>
    <t>Disler, Edith A.</t>
  </si>
  <si>
    <t>Amherst, NY : Cambria Press, ©2008.</t>
  </si>
  <si>
    <t>321874882:eng</t>
  </si>
  <si>
    <t>228631643</t>
  </si>
  <si>
    <t>ocn228631643</t>
  </si>
  <si>
    <t>31030583369</t>
  </si>
  <si>
    <t>9781604975383</t>
  </si>
  <si>
    <t>794350016</t>
  </si>
  <si>
    <t>P120.S48 F45 2019</t>
  </si>
  <si>
    <t>0                      P  0120000S  48                 F  45          2019</t>
  </si>
  <si>
    <t>Le féminin et le masculin dans la langue : l'écriture inclusive en questions / sous la direction de Danièle Manesse et Gilles Siouffi.</t>
  </si>
  <si>
    <t>Paris : Esf sciences humaines, [2019]</t>
  </si>
  <si>
    <t>9144843368:fre</t>
  </si>
  <si>
    <t>1102596855</t>
  </si>
  <si>
    <t>on1102596855</t>
  </si>
  <si>
    <t>3103875484H</t>
  </si>
  <si>
    <t>9782710138945</t>
  </si>
  <si>
    <t>795082445</t>
  </si>
  <si>
    <t>P120 S48 F456 2010</t>
  </si>
  <si>
    <t>0                      P  0120000S  48                 F  456         2010</t>
  </si>
  <si>
    <t>Femininity, feminism and gendered discourse : a selected and edited collection of papers from the fifth International Language and Gender Association Conference, IGALA5 / edited by Janet Holmes and Meredith Marra.</t>
  </si>
  <si>
    <t>2013-01-14</t>
  </si>
  <si>
    <t>594207153:eng</t>
  </si>
  <si>
    <t>659240396</t>
  </si>
  <si>
    <t>ocn659240396</t>
  </si>
  <si>
    <t>3103233652E</t>
  </si>
  <si>
    <t>9781443823647</t>
  </si>
  <si>
    <t>794836183</t>
  </si>
  <si>
    <t>P120 S48 F46 1990</t>
  </si>
  <si>
    <t>0                      P  0120000S  48                 F  46          1990</t>
  </si>
  <si>
    <t>The Feminist critique of language : a reader / edited by Deborah Cameron.</t>
  </si>
  <si>
    <t>World and word series</t>
  </si>
  <si>
    <t>795523705:eng</t>
  </si>
  <si>
    <t>19555616</t>
  </si>
  <si>
    <t>ocm19555616</t>
  </si>
  <si>
    <t>3102759922S</t>
  </si>
  <si>
    <t>9780415042598</t>
  </si>
  <si>
    <t>793062134</t>
  </si>
  <si>
    <t>3102759923S</t>
  </si>
  <si>
    <t>793062135</t>
  </si>
  <si>
    <t>P120 S48 F46 1998</t>
  </si>
  <si>
    <t>0                      P  0120000S  48                 F  46          1998</t>
  </si>
  <si>
    <t>The feminist critique of language : a reader / edited, with an introduction, by Deborah Cameron.</t>
  </si>
  <si>
    <t>37011370</t>
  </si>
  <si>
    <t>ocm37011370</t>
  </si>
  <si>
    <t>3102759927S</t>
  </si>
  <si>
    <t>9780415163996</t>
  </si>
  <si>
    <t>793489875</t>
  </si>
  <si>
    <t>P120 S48 G464 1997</t>
  </si>
  <si>
    <t>0                      P  0120000S  48                 G  464         1997</t>
  </si>
  <si>
    <t>Gender and discourse / edited by Ruth Wodak.</t>
  </si>
  <si>
    <t>London ; Thousand Oaks, Calif. : Sage Publications, 1997.</t>
  </si>
  <si>
    <t>Sage studies in discourse</t>
  </si>
  <si>
    <t>2017-03-26</t>
  </si>
  <si>
    <t>3769607545:eng</t>
  </si>
  <si>
    <t>37880575</t>
  </si>
  <si>
    <t>ocm37880575</t>
  </si>
  <si>
    <t>3102558981W</t>
  </si>
  <si>
    <t>9780761950981</t>
  </si>
  <si>
    <t>793509133</t>
  </si>
  <si>
    <t>P120 S48 G466 2008</t>
  </si>
  <si>
    <t>0                      P  0120000S  48                 G  466         2008</t>
  </si>
  <si>
    <t>Gender and language research methodologies / edited by Kate Harrington [and others].</t>
  </si>
  <si>
    <t>134265660:eng</t>
  </si>
  <si>
    <t>223106106</t>
  </si>
  <si>
    <t>ocn223106106</t>
  </si>
  <si>
    <t>3102974395U</t>
  </si>
  <si>
    <t>9780230550681</t>
  </si>
  <si>
    <t>794334014</t>
  </si>
  <si>
    <t>P120 S48 G468 2008</t>
  </si>
  <si>
    <t>0                      P  0120000S  48                 G  468         2008</t>
  </si>
  <si>
    <t>Gender and sexual identities in transition : international perspectives / edited by José Santaemilia and Patricia Bou.</t>
  </si>
  <si>
    <t>Newcastle, England : Cambridge Scholars Publishing, ©2008.</t>
  </si>
  <si>
    <t>984566252:eng</t>
  </si>
  <si>
    <t>239844292</t>
  </si>
  <si>
    <t>ocn239844292</t>
  </si>
  <si>
    <t>3102855111R</t>
  </si>
  <si>
    <t>9781847186683</t>
  </si>
  <si>
    <t>794375054</t>
  </si>
  <si>
    <t>P120 S48 G47 1995</t>
  </si>
  <si>
    <t>0                      P  0120000S  48                 G  47          1995</t>
  </si>
  <si>
    <t>Gender articulated : language and the socially constructed self / Kira Hall and Mary Bucholtz, editors.</t>
  </si>
  <si>
    <t>836923314:eng</t>
  </si>
  <si>
    <t>32468785</t>
  </si>
  <si>
    <t>ocm32468785</t>
  </si>
  <si>
    <t>3102759919U</t>
  </si>
  <si>
    <t>9780415913980</t>
  </si>
  <si>
    <t>793385156</t>
  </si>
  <si>
    <t>P120 S48 G475 2002</t>
  </si>
  <si>
    <t>0                      P  0120000S  48                 G  475         2002</t>
  </si>
  <si>
    <t>Gendered practices in language / edited by Sarah Benor [and others].</t>
  </si>
  <si>
    <t>Stanford, Calif. : CSLI, ©2002.</t>
  </si>
  <si>
    <t>353039554:eng</t>
  </si>
  <si>
    <t>47894903</t>
  </si>
  <si>
    <t>ocm47894903</t>
  </si>
  <si>
    <t>3102759916U</t>
  </si>
  <si>
    <t>9781575863177</t>
  </si>
  <si>
    <t>793710499</t>
  </si>
  <si>
    <t>P120 S48 G53 1999</t>
  </si>
  <si>
    <t>0                      P  0120000S  48                 G  53          1999</t>
  </si>
  <si>
    <t>Feminist perspectives on language / Margaret Gibbon.</t>
  </si>
  <si>
    <t>Gibbon, Margaret.</t>
  </si>
  <si>
    <t>Feminist perspectives series</t>
  </si>
  <si>
    <t>9973477:eng</t>
  </si>
  <si>
    <t>40119693</t>
  </si>
  <si>
    <t>ocm40119693</t>
  </si>
  <si>
    <t>3102759915U</t>
  </si>
  <si>
    <t>9780582356368</t>
  </si>
  <si>
    <t>793559997</t>
  </si>
  <si>
    <t>P120 S48 G64 2011</t>
  </si>
  <si>
    <t>0                      P  0120000S  48                 G  64          2011</t>
  </si>
  <si>
    <t>Breaking the patriarchal code / Louise Gouëffic.</t>
  </si>
  <si>
    <t>Gouëffic, Louise, 1933-</t>
  </si>
  <si>
    <t>Lakefield, Ont. : Sapien Books, c2011.</t>
  </si>
  <si>
    <t>10177503033:eng</t>
  </si>
  <si>
    <t>712851619</t>
  </si>
  <si>
    <t>ocn712851619</t>
  </si>
  <si>
    <t>3103325533C</t>
  </si>
  <si>
    <t>9780986772306</t>
  </si>
  <si>
    <t>794872348</t>
  </si>
  <si>
    <t>P120 S48 H36 2003</t>
  </si>
  <si>
    <t>0                      P  0120000S  48                 H  36          2003</t>
  </si>
  <si>
    <t>The handbook of language and gender / edited by Janet Holmes and Miriam Meyerhoff.</t>
  </si>
  <si>
    <t>Blackwell handbooks in linguistics ; 13</t>
  </si>
  <si>
    <t>4919483214:eng</t>
  </si>
  <si>
    <t>49681248</t>
  </si>
  <si>
    <t>ocm49681248</t>
  </si>
  <si>
    <t>3102759911U</t>
  </si>
  <si>
    <t>9780631225027</t>
  </si>
  <si>
    <t>793745523</t>
  </si>
  <si>
    <t>P120 S48 H54 1986</t>
  </si>
  <si>
    <t>0                      P  0120000S  48                 H  54          1986</t>
  </si>
  <si>
    <t>Mother tongue, father time : a decade of linguistic revolt / Alette Olin Hill.</t>
  </si>
  <si>
    <t>Hill, Alette Olin, 1933-</t>
  </si>
  <si>
    <t>Bloomington, IN : Indiana University Press, ©1986.</t>
  </si>
  <si>
    <t>992468:eng</t>
  </si>
  <si>
    <t>13186509</t>
  </si>
  <si>
    <t>ocm13186509</t>
  </si>
  <si>
    <t>31028284935</t>
  </si>
  <si>
    <t>9780253338792</t>
  </si>
  <si>
    <t>792844200</t>
  </si>
  <si>
    <t>P120 S48 J85 2008</t>
  </si>
  <si>
    <t>0                      P  0120000S  48                 J  85          2008</t>
  </si>
  <si>
    <t>A beginner's guide to language and gender / Allyson Jule.</t>
  </si>
  <si>
    <t>Clevedon, Eng. ; Buffalo, NY : Multilingual Matters, ©2008.</t>
  </si>
  <si>
    <t>155131320:eng</t>
  </si>
  <si>
    <t>183879768</t>
  </si>
  <si>
    <t>ocn183879768</t>
  </si>
  <si>
    <t>31028851388</t>
  </si>
  <si>
    <t>9781847690562</t>
  </si>
  <si>
    <t>794288539</t>
  </si>
  <si>
    <t>P120 S48 K7</t>
  </si>
  <si>
    <t>0                      P  0120000S  48                 K  7</t>
  </si>
  <si>
    <t>Women and men speaking : frameworks for analysis / Cheris Kramarae.</t>
  </si>
  <si>
    <t>Kramarae, Cheris.</t>
  </si>
  <si>
    <t>Rowley, MA : Newbury House Publishers, 1981.</t>
  </si>
  <si>
    <t>286931152:eng</t>
  </si>
  <si>
    <t>6421047</t>
  </si>
  <si>
    <t>ocm06421047</t>
  </si>
  <si>
    <t>3102759910U</t>
  </si>
  <si>
    <t>9780883771792</t>
  </si>
  <si>
    <t>792497826</t>
  </si>
  <si>
    <t>2012-03-18</t>
  </si>
  <si>
    <t>3102759909W</t>
  </si>
  <si>
    <t>792497825</t>
  </si>
  <si>
    <t>P120 S48 L27 1995</t>
  </si>
  <si>
    <t>0                      P  0120000S  48                 L  27          1995</t>
  </si>
  <si>
    <t>Language and gender : interdisciplinary perspectives / edited by Sara Mills.</t>
  </si>
  <si>
    <t>London ; New York : Longman, 1995.</t>
  </si>
  <si>
    <t>836906792:eng</t>
  </si>
  <si>
    <t>32349287</t>
  </si>
  <si>
    <t>ocm32349287</t>
  </si>
  <si>
    <t>3102759905W</t>
  </si>
  <si>
    <t>9780582226319</t>
  </si>
  <si>
    <t>793381660</t>
  </si>
  <si>
    <t>P120 S48 L3</t>
  </si>
  <si>
    <t>0                      P  0120000S  48                 L  3</t>
  </si>
  <si>
    <t>Language, sex, and gender : does La différence make a difference? / edited by Judith Orasanu, Mariam K. Slater, and Leonore Loeb Adler.</t>
  </si>
  <si>
    <t>New York : New York Academy of Sciences, 1979.</t>
  </si>
  <si>
    <t>Annals of the New York Academy of Sciences, 0077-8923 ; v. 327</t>
  </si>
  <si>
    <t>361456892:eng</t>
  </si>
  <si>
    <t>5027398</t>
  </si>
  <si>
    <t>ocm05027398</t>
  </si>
  <si>
    <t>3102759908W</t>
  </si>
  <si>
    <t>9780897660228</t>
  </si>
  <si>
    <t>792402425</t>
  </si>
  <si>
    <t>3102759904W</t>
  </si>
  <si>
    <t>792402426</t>
  </si>
  <si>
    <t>P120 S48 L337 2008</t>
  </si>
  <si>
    <t>0                      P  0120000S  48                 L  337         2008</t>
  </si>
  <si>
    <t>Language and gender / edited by Susan Ehrlich.</t>
  </si>
  <si>
    <t>5609619002:eng</t>
  </si>
  <si>
    <t>170203696</t>
  </si>
  <si>
    <t>ocn170203696</t>
  </si>
  <si>
    <t>31028626717</t>
  </si>
  <si>
    <t>9780415374392</t>
  </si>
  <si>
    <t>794263408</t>
  </si>
  <si>
    <t>2014-04-29</t>
  </si>
  <si>
    <t>31028626707</t>
  </si>
  <si>
    <t>794263409</t>
  </si>
  <si>
    <t>2013-03-14</t>
  </si>
  <si>
    <t>31028626659</t>
  </si>
  <si>
    <t>794263410</t>
  </si>
  <si>
    <t>31028626609</t>
  </si>
  <si>
    <t>794263411</t>
  </si>
  <si>
    <t>P120 S48 L338 1997</t>
  </si>
  <si>
    <t>0                      P  0120000S  48                 L  338         1997</t>
  </si>
  <si>
    <t>Language and gender : a reader / edited by Jennifer Coates.</t>
  </si>
  <si>
    <t>Oxford, UK ; Malden, Mass. : Blackwell, 1998.</t>
  </si>
  <si>
    <t>793029521:eng</t>
  </si>
  <si>
    <t>36824839</t>
  </si>
  <si>
    <t>ocm36824839</t>
  </si>
  <si>
    <t>31018661865</t>
  </si>
  <si>
    <t>9780631195948</t>
  </si>
  <si>
    <t>793485154</t>
  </si>
  <si>
    <t>P120 S48 L338 2011</t>
  </si>
  <si>
    <t>0                      P  0120000S  48                 L  338         2011</t>
  </si>
  <si>
    <t>Language and gender : a reader / edited by Jennifer Coates and Pia Pichler.</t>
  </si>
  <si>
    <t>659305823</t>
  </si>
  <si>
    <t>ocn659305823</t>
  </si>
  <si>
    <t>3103235267G</t>
  </si>
  <si>
    <t>9781405191449</t>
  </si>
  <si>
    <t>794836258</t>
  </si>
  <si>
    <t>P120 S48 L344 1999</t>
  </si>
  <si>
    <t>0                      P  0120000S  48                 L  344         1999</t>
  </si>
  <si>
    <t>Language and liberation : feminism, philosophy, and language / edited by Christina Hendricks and Kelly Oliver.</t>
  </si>
  <si>
    <t>Albany : State University of New York Press, ©1999.</t>
  </si>
  <si>
    <t>SUNY series in contemporary continental philosophy</t>
  </si>
  <si>
    <t>797052202:eng</t>
  </si>
  <si>
    <t>39256598</t>
  </si>
  <si>
    <t>ocm39256598</t>
  </si>
  <si>
    <t>3102759901W</t>
  </si>
  <si>
    <t>9780791440513</t>
  </si>
  <si>
    <t>793541862</t>
  </si>
  <si>
    <t>P120 S48 L346 2002</t>
  </si>
  <si>
    <t>0                      P  0120000S  48                 L  346         2002</t>
  </si>
  <si>
    <t>Language and sexuality : contesting meaning in theory and practice / Kathryn Campbell-Kibler [and others].</t>
  </si>
  <si>
    <t>Stanford, Calif. : Center for the Study of Language and Information, ©2002.</t>
  </si>
  <si>
    <t>5481623946:eng</t>
  </si>
  <si>
    <t>48003205</t>
  </si>
  <si>
    <t>ocm48003205</t>
  </si>
  <si>
    <t>3102759900W</t>
  </si>
  <si>
    <t>9781575863191</t>
  </si>
  <si>
    <t>793713257</t>
  </si>
  <si>
    <t>P120 S48 L348 2006</t>
  </si>
  <si>
    <t>0                      P  0120000S  48                 L  348         2006</t>
  </si>
  <si>
    <t>The language and sexuality reader / edited by Deborah Cameron and Don Kulick.</t>
  </si>
  <si>
    <t>766938012:eng</t>
  </si>
  <si>
    <t>61879693</t>
  </si>
  <si>
    <t>ocm61879693</t>
  </si>
  <si>
    <t>31025902165</t>
  </si>
  <si>
    <t>9780415363075</t>
  </si>
  <si>
    <t>794099099</t>
  </si>
  <si>
    <t>P120 S48 L349 2010</t>
  </si>
  <si>
    <t>0                      P  0120000S  48                 L  349         2010</t>
  </si>
  <si>
    <t>Language and sexuality (through and) beyond gender / edited by Costas Canakis, Venetia Kantsa and Kostas Yannakopoulos.</t>
  </si>
  <si>
    <t>901548163:eng</t>
  </si>
  <si>
    <t>636921476</t>
  </si>
  <si>
    <t>ocn636921476</t>
  </si>
  <si>
    <t>3103234051S</t>
  </si>
  <si>
    <t>9781443821469</t>
  </si>
  <si>
    <t>794826162</t>
  </si>
  <si>
    <t>P120 S48 L35 1987</t>
  </si>
  <si>
    <t>0                      P  0120000S  48                 L  35          1987</t>
  </si>
  <si>
    <t>Language, gender, and sex in comparative perspective / edited by Susan U. Philips, Susan Steele, and Christine Tanz.</t>
  </si>
  <si>
    <t>Cambridge ; New York : Cambridge University Press, 1987.</t>
  </si>
  <si>
    <t>Studies in the social and cultural foundations of language ; no. 4</t>
  </si>
  <si>
    <t>351932373:eng</t>
  </si>
  <si>
    <t>13823346</t>
  </si>
  <si>
    <t>ocm13823346</t>
  </si>
  <si>
    <t>3102759896H</t>
  </si>
  <si>
    <t>9780521328494</t>
  </si>
  <si>
    <t>792868194</t>
  </si>
  <si>
    <t>P120 S48 L36 1983</t>
  </si>
  <si>
    <t>0                      P  0120000S  48                 L  36          1983</t>
  </si>
  <si>
    <t>Language, gender, and society / edited by Barrie Thorne, Cheris Kramarae, Nancy Henley.</t>
  </si>
  <si>
    <t>350160757:eng</t>
  </si>
  <si>
    <t>9082933</t>
  </si>
  <si>
    <t>ocm09082933</t>
  </si>
  <si>
    <t>3102759917U</t>
  </si>
  <si>
    <t>9780883772683</t>
  </si>
  <si>
    <t>792656069</t>
  </si>
  <si>
    <t>P120 S48 L364 2010</t>
  </si>
  <si>
    <t>0                      P  0120000S  48                 L  364         2010</t>
  </si>
  <si>
    <t>Language in its socio-cultural context : new explorations in gendered, global and media uses / Markus Bieswanger, Heiko Motschenbacher, Susanne Mühleisen, editors.</t>
  </si>
  <si>
    <t>Frankfurt am Main, Germany ; New York : Peter Lang, ©2010.</t>
  </si>
  <si>
    <t>792778297:eng</t>
  </si>
  <si>
    <t>669984264</t>
  </si>
  <si>
    <t>ocn669984264</t>
  </si>
  <si>
    <t>3103231095W</t>
  </si>
  <si>
    <t>9783631592335</t>
  </si>
  <si>
    <t>794847242</t>
  </si>
  <si>
    <t>P120 S48 L37 2000</t>
  </si>
  <si>
    <t>0                      P  0120000S  48                 L  37          2000</t>
  </si>
  <si>
    <t>Pourquoi en finir avec la féminisation linguistique, ou, À la recherche des mots perdus / Louise-L. Larivière.</t>
  </si>
  <si>
    <t>Larivière, Louise-L.</t>
  </si>
  <si>
    <t>Montréal : Boréal, 2000.</t>
  </si>
  <si>
    <t>366547079:fre</t>
  </si>
  <si>
    <t>45191101</t>
  </si>
  <si>
    <t>ocm45191101</t>
  </si>
  <si>
    <t>3102759895H</t>
  </si>
  <si>
    <t>9782764600733</t>
  </si>
  <si>
    <t>793666501</t>
  </si>
  <si>
    <t>P120 S48 L48 2003</t>
  </si>
  <si>
    <t>0                      P  0120000S  48                 L  48          2003</t>
  </si>
  <si>
    <t>Language and gender in the fairy tale tradition : a linguistic analysis of old and new story telling / Alessandra Levorato.</t>
  </si>
  <si>
    <t>Levorato, Alessandra, 1960-</t>
  </si>
  <si>
    <t>801719126:eng</t>
  </si>
  <si>
    <t>51942734</t>
  </si>
  <si>
    <t>ocm51942734</t>
  </si>
  <si>
    <t>3102555576L</t>
  </si>
  <si>
    <t>9781403907882</t>
  </si>
  <si>
    <t>793794959</t>
  </si>
  <si>
    <t>P120 S48 L58 2006</t>
  </si>
  <si>
    <t>0                      P  0120000S  48                 L  58          2006</t>
  </si>
  <si>
    <t>Gender and language : theory and practice / Lia Litosseliti.</t>
  </si>
  <si>
    <t>Litosseliti, Lia.</t>
  </si>
  <si>
    <t>London : Hodder Arnold ; New York : Distributed in the United States of America by Oxford University Press, 2006.</t>
  </si>
  <si>
    <t>46619079:eng</t>
  </si>
  <si>
    <t>62225214</t>
  </si>
  <si>
    <t>ocm62225214</t>
  </si>
  <si>
    <t>31026385969</t>
  </si>
  <si>
    <t>9780340809594</t>
  </si>
  <si>
    <t>794102422</t>
  </si>
  <si>
    <t>P120 S48 M33 2011</t>
  </si>
  <si>
    <t>0                      P  0120000S  48                 M  33          2011</t>
  </si>
  <si>
    <t>Gender, sexuality, and meaning : linguistic practice and politics / Sally McConnell-Ginet.</t>
  </si>
  <si>
    <t>McConnell-Ginet, Sally.</t>
  </si>
  <si>
    <t>Studies in language and gender</t>
  </si>
  <si>
    <t>793974133:eng</t>
  </si>
  <si>
    <t>150363777</t>
  </si>
  <si>
    <t>ocn150363777</t>
  </si>
  <si>
    <t>3103323584A</t>
  </si>
  <si>
    <t>9780195187809</t>
  </si>
  <si>
    <t>794241694</t>
  </si>
  <si>
    <t>P120 S48 M55 1995</t>
  </si>
  <si>
    <t>0                      P  0120000S  48                 M  55          1995</t>
  </si>
  <si>
    <t>Feminist stylistics / Sara Mills.</t>
  </si>
  <si>
    <t>Mills, Sara, 1954-</t>
  </si>
  <si>
    <t>The interface series</t>
  </si>
  <si>
    <t>11361779:eng</t>
  </si>
  <si>
    <t>30892691</t>
  </si>
  <si>
    <t>ocm30892691</t>
  </si>
  <si>
    <t>3102786586P</t>
  </si>
  <si>
    <t>9780415050272</t>
  </si>
  <si>
    <t>793347510</t>
  </si>
  <si>
    <t>P120 S48 M553 2003</t>
  </si>
  <si>
    <t>0                      P  0120000S  48                 M  553         2003</t>
  </si>
  <si>
    <t>Gender and politeness / Sara Mills.</t>
  </si>
  <si>
    <t>Studies in interactional sociolinguistics ; 17</t>
  </si>
  <si>
    <t>707727:eng</t>
  </si>
  <si>
    <t>51223525</t>
  </si>
  <si>
    <t>ocm51223525</t>
  </si>
  <si>
    <t>3102759894H</t>
  </si>
  <si>
    <t>9780521810845</t>
  </si>
  <si>
    <t>793780811</t>
  </si>
  <si>
    <t>P120 S48 M555 2008</t>
  </si>
  <si>
    <t>0                      P  0120000S  48                 M  555         2008</t>
  </si>
  <si>
    <t>Language and sexism / Sara Mills.</t>
  </si>
  <si>
    <t>136803114:eng</t>
  </si>
  <si>
    <t>227031748</t>
  </si>
  <si>
    <t>ocn227031748</t>
  </si>
  <si>
    <t>31029788783</t>
  </si>
  <si>
    <t>9780521807111</t>
  </si>
  <si>
    <t>794346982</t>
  </si>
  <si>
    <t>P120 S48 M556 2011</t>
  </si>
  <si>
    <t>0                      P  0120000S  48                 M  556         2011</t>
  </si>
  <si>
    <t>Language, gender and feminism : theory, methodology and practice / Sara Mills and Louise Mullany.</t>
  </si>
  <si>
    <t>903466664:eng</t>
  </si>
  <si>
    <t>500783823</t>
  </si>
  <si>
    <t>ocn500783823</t>
  </si>
  <si>
    <t>3103380382Z</t>
  </si>
  <si>
    <t>9780415485951</t>
  </si>
  <si>
    <t>794804122</t>
  </si>
  <si>
    <t>P120 S48 M57 2018</t>
  </si>
  <si>
    <t>0                      P  0120000S  48                 M  57          2018</t>
  </si>
  <si>
    <t>Miss man? : languaging gendered bodies / edited by Giuseppe Balirano and Oriana Palusci.</t>
  </si>
  <si>
    <t>Newcastle upon Tyne, UK ; Cambridge Scholars Publishing, 2018.</t>
  </si>
  <si>
    <t>5584405497:eng</t>
  </si>
  <si>
    <t>1035513121</t>
  </si>
  <si>
    <t>on1035513121</t>
  </si>
  <si>
    <t>3103810132Z</t>
  </si>
  <si>
    <t>9781527510968</t>
  </si>
  <si>
    <t>795057677</t>
  </si>
  <si>
    <t>P120 S48 M677 2007</t>
  </si>
  <si>
    <t>0                      P  0120000S  48                 M  677         2007</t>
  </si>
  <si>
    <t>Language and sexual identity / Liz Morrish and Helen Sauntson.</t>
  </si>
  <si>
    <t>Morrish, Liz, 1959-</t>
  </si>
  <si>
    <t>Basingstoke ; New York : Palgrave Macmillan, 2007.</t>
  </si>
  <si>
    <t>3901021112:eng</t>
  </si>
  <si>
    <t>122283887</t>
  </si>
  <si>
    <t>ocn122283887</t>
  </si>
  <si>
    <t>3102573414Y</t>
  </si>
  <si>
    <t>9781403937964</t>
  </si>
  <si>
    <t>794219927</t>
  </si>
  <si>
    <t>P120 S48 M68 2010</t>
  </si>
  <si>
    <t>0                      P  0120000S  48                 M  68          2010</t>
  </si>
  <si>
    <t>Language, gender and sexual identity : poststructuralist perspectives / Heiko Motschenbacher.</t>
  </si>
  <si>
    <t>Motschenbacher, Heiko.</t>
  </si>
  <si>
    <t>Amsterdam, The Netherlands ; Philadelphia, PA : John Benjamins Pub. Co., ©2010.</t>
  </si>
  <si>
    <t>IMPACT: studies in language and society ; v. 29</t>
  </si>
  <si>
    <t>796521008:eng</t>
  </si>
  <si>
    <t>660161974</t>
  </si>
  <si>
    <t>ocn660161974</t>
  </si>
  <si>
    <t>3103312889A</t>
  </si>
  <si>
    <t>9789027218681</t>
  </si>
  <si>
    <t>794836790</t>
  </si>
  <si>
    <t>P120 S48 P45 2016</t>
  </si>
  <si>
    <t>0                      P  0120000S  48                 P  45          2016</t>
  </si>
  <si>
    <t>Masculinities and third gender : the origins and nature of an institutionalized gender otherness in the ancient Near East / Ilan Peled.</t>
  </si>
  <si>
    <t>Peled, Ilan.</t>
  </si>
  <si>
    <t>Münster : Ugarit-Verlag, 2016.</t>
  </si>
  <si>
    <t>Alter Orient und Altes Testament ; Band 435</t>
  </si>
  <si>
    <t>3119311305:eng</t>
  </si>
  <si>
    <t>951210441</t>
  </si>
  <si>
    <t>ocn951210441</t>
  </si>
  <si>
    <t>31037116369</t>
  </si>
  <si>
    <t>9783868351958</t>
  </si>
  <si>
    <t>795017220</t>
  </si>
  <si>
    <t>P120 S48 P8 1984</t>
  </si>
  <si>
    <t>0                      P  0120000S  48                 P  8           1984</t>
  </si>
  <si>
    <t>Das Deutsche als Männersprache : Aufsätze und Glossen zur feministischen Linguistik / Luise F. Pusch.</t>
  </si>
  <si>
    <t>Pusch, Luise F.</t>
  </si>
  <si>
    <t>Frankfurt am Main : Suhrkamp, 1984.</t>
  </si>
  <si>
    <t>Edition Suhrkamp ; 1217 = n.F., Bd. 217</t>
  </si>
  <si>
    <t>365733884:ger</t>
  </si>
  <si>
    <t>11005180</t>
  </si>
  <si>
    <t>ocm11005180</t>
  </si>
  <si>
    <t>3102759898H</t>
  </si>
  <si>
    <t>9783518112175</t>
  </si>
  <si>
    <t>792753857</t>
  </si>
  <si>
    <t>P120 S48 R48 1996</t>
  </si>
  <si>
    <t>0                      P  0120000S  48                 R  48          1996</t>
  </si>
  <si>
    <t>Rethinking language and gender research : theory and practice / edited by Victoria L. Bergvall, Janet M. Bing, Alice F. Freed.</t>
  </si>
  <si>
    <t>836968870:eng</t>
  </si>
  <si>
    <t>34772088</t>
  </si>
  <si>
    <t>ocm34772088</t>
  </si>
  <si>
    <t>3102759907W</t>
  </si>
  <si>
    <t>9780582265745</t>
  </si>
  <si>
    <t>793435578</t>
  </si>
  <si>
    <t>P120 S48 R66 1999</t>
  </si>
  <si>
    <t>0                      P  0120000S  48                 R  66          1999</t>
  </si>
  <si>
    <t>Communicating gender / Suzanne Romaine.</t>
  </si>
  <si>
    <t>34591601:eng</t>
  </si>
  <si>
    <t>38910051</t>
  </si>
  <si>
    <t>ocm38910051</t>
  </si>
  <si>
    <t>3102759902W</t>
  </si>
  <si>
    <t>9780805829259</t>
  </si>
  <si>
    <t>793532927</t>
  </si>
  <si>
    <t>P120 S48 S565 2006</t>
  </si>
  <si>
    <t>0                      P  0120000S  48                 S  565         2006</t>
  </si>
  <si>
    <t>Speaking out : the female voice in public contexts / edited by Judith Baxter.</t>
  </si>
  <si>
    <t>Houndmills, Basingstoke, Hampshire, U.K. ; New York : Palgrave Macmillan, 2006.</t>
  </si>
  <si>
    <t>872764314:eng</t>
  </si>
  <si>
    <t>61217899</t>
  </si>
  <si>
    <t>ocm61217899</t>
  </si>
  <si>
    <t>3102556076W</t>
  </si>
  <si>
    <t>9781403994073</t>
  </si>
  <si>
    <t>793948959</t>
  </si>
  <si>
    <t>P120 S48 S64</t>
  </si>
  <si>
    <t>0                      P  0120000S  48                 S  64</t>
  </si>
  <si>
    <t>Man made language / Dale Spender.</t>
  </si>
  <si>
    <t>Spender, Dale.</t>
  </si>
  <si>
    <t>London ; Boston : Routledge &amp; Kegan Paul, [1980]</t>
  </si>
  <si>
    <t>63569:eng</t>
  </si>
  <si>
    <t>7012176</t>
  </si>
  <si>
    <t>ocm07012176</t>
  </si>
  <si>
    <t>3000968225M</t>
  </si>
  <si>
    <t>9780710006752</t>
  </si>
  <si>
    <t>792535485</t>
  </si>
  <si>
    <t>P120 S48 S64 1985</t>
  </si>
  <si>
    <t>0                      P  0120000S  48                 S  64          1985</t>
  </si>
  <si>
    <t>London ; Boston : Routledge &amp; Kegan Paul, 1985.</t>
  </si>
  <si>
    <t>2018-09-25</t>
  </si>
  <si>
    <t>12072141</t>
  </si>
  <si>
    <t>ocm12072141</t>
  </si>
  <si>
    <t>3103634855E</t>
  </si>
  <si>
    <t>9780710203151</t>
  </si>
  <si>
    <t>792799740</t>
  </si>
  <si>
    <t>3102759981G</t>
  </si>
  <si>
    <t>792799742</t>
  </si>
  <si>
    <t>P120 S48 T35 2010</t>
  </si>
  <si>
    <t>0                      P  0120000S  48                 T  35          2010</t>
  </si>
  <si>
    <t>Language and gender / Mary M. Talbot.</t>
  </si>
  <si>
    <t>Talbot, Mary M., 1954-</t>
  </si>
  <si>
    <t>5402044360:eng</t>
  </si>
  <si>
    <t>503640940</t>
  </si>
  <si>
    <t>ocn503640940</t>
  </si>
  <si>
    <t>3103133656K</t>
  </si>
  <si>
    <t>9780745646046</t>
  </si>
  <si>
    <t>794806617</t>
  </si>
  <si>
    <t>P120 S48 T36 1994</t>
  </si>
  <si>
    <t>0                      P  0120000S  48                 T  36          1994</t>
  </si>
  <si>
    <t>Gender and discourse / Deborah Tannen.</t>
  </si>
  <si>
    <t>New York : Oxford University Press, 1994.</t>
  </si>
  <si>
    <t>31220376:eng</t>
  </si>
  <si>
    <t>29259376</t>
  </si>
  <si>
    <t>ocm29259376</t>
  </si>
  <si>
    <t>31029123396</t>
  </si>
  <si>
    <t>9780195089752</t>
  </si>
  <si>
    <t>793306673</t>
  </si>
  <si>
    <t>P120 S48 W4 2002</t>
  </si>
  <si>
    <t>0                      P  0120000S  48                 W  4           2002</t>
  </si>
  <si>
    <t>Gender, language and discourse / Ann Weatherall.</t>
  </si>
  <si>
    <t>Weatherall, Ann, 1964-</t>
  </si>
  <si>
    <t>Hove [England] : Routledge, 2002.</t>
  </si>
  <si>
    <t>Women and psychology</t>
  </si>
  <si>
    <t>15660:eng</t>
  </si>
  <si>
    <t>50228717</t>
  </si>
  <si>
    <t>ocm50228717</t>
  </si>
  <si>
    <t>3102759966K</t>
  </si>
  <si>
    <t>9780415169059</t>
  </si>
  <si>
    <t>793758401</t>
  </si>
  <si>
    <t>P120 S53 A75 2010</t>
  </si>
  <si>
    <t>0                      P  0120000S  53                 A  75          2010</t>
  </si>
  <si>
    <t>A crosslinguistic study of the language of space : sign and spoken languages / by Engin Arik.</t>
  </si>
  <si>
    <t>Arik, Engin.</t>
  </si>
  <si>
    <t>804674644:eng</t>
  </si>
  <si>
    <t>666223946</t>
  </si>
  <si>
    <t>ocn666223946</t>
  </si>
  <si>
    <t>3103233654E</t>
  </si>
  <si>
    <t>9781443824910</t>
  </si>
  <si>
    <t>794844867</t>
  </si>
  <si>
    <t>P120 S9 L36 2016</t>
  </si>
  <si>
    <t>0                      P  0120000S  9                  L  36          2016</t>
  </si>
  <si>
    <t>Language for specific purposes : research and translation across cultures and media / edited by Giuliana Elena Garzone, Dermot Heaney and Giorgia Riboni.</t>
  </si>
  <si>
    <t>Newcastle upon Tyne : Cambridge Scholars Publishing, 2016.</t>
  </si>
  <si>
    <t>4021320348:eng</t>
  </si>
  <si>
    <t>978718715</t>
  </si>
  <si>
    <t>ocn978718715</t>
  </si>
  <si>
    <t>3103698967L</t>
  </si>
  <si>
    <t>9781443899321</t>
  </si>
  <si>
    <t>795033407</t>
  </si>
  <si>
    <t>P120 V37 A823 2010</t>
  </si>
  <si>
    <t>0                      P  0120000V  37                 A  823         2010</t>
  </si>
  <si>
    <t>Aspect in grammatical variation / edited by James A. Walker.</t>
  </si>
  <si>
    <t>Studies in language variation ; v. 6</t>
  </si>
  <si>
    <t>2011-12-21</t>
  </si>
  <si>
    <t>610645774:eng</t>
  </si>
  <si>
    <t>660804611</t>
  </si>
  <si>
    <t>ocn660804611</t>
  </si>
  <si>
    <t>31033226989</t>
  </si>
  <si>
    <t>9789027234865</t>
  </si>
  <si>
    <t>794837013</t>
  </si>
  <si>
    <t>P120 V37 B46 2018</t>
  </si>
  <si>
    <t>0                      P  0120000V  37                 B  46          2018</t>
  </si>
  <si>
    <t>Adaptive languages : an information-theoretic account of linguistic diversity / Christian Bentz.</t>
  </si>
  <si>
    <t>Bentz, Christian, author.</t>
  </si>
  <si>
    <t>Berlin ; Boston : De Gruyter Mouton, [2018]</t>
  </si>
  <si>
    <t>Trends in linguistics. Studies and monographs, 1861-4302 ; volume 316</t>
  </si>
  <si>
    <t>4764654098:eng</t>
  </si>
  <si>
    <t>1023390439</t>
  </si>
  <si>
    <t>on1023390439</t>
  </si>
  <si>
    <t>3103704450E</t>
  </si>
  <si>
    <t>9783110557589</t>
  </si>
  <si>
    <t>795051683</t>
  </si>
  <si>
    <t>P120 V37 B97 2015</t>
  </si>
  <si>
    <t>0                      P  0120000V  37                 B  97          2015</t>
  </si>
  <si>
    <t>Language and material culture / Allison Paige Burkette, University of Mississippi.</t>
  </si>
  <si>
    <t>Burkette, Allison Paige.</t>
  </si>
  <si>
    <t>IMPACT : Studies in language and society, 1385-7908 ; volume 38</t>
  </si>
  <si>
    <t>2561961276:eng</t>
  </si>
  <si>
    <t>912706048</t>
  </si>
  <si>
    <t>ocn912706048</t>
  </si>
  <si>
    <t>3103653397B</t>
  </si>
  <si>
    <t>9789027218803</t>
  </si>
  <si>
    <t>794999012</t>
  </si>
  <si>
    <t>P120 V37 C43 2015</t>
  </si>
  <si>
    <t>0                      P  0120000V  37                 C  43          2015</t>
  </si>
  <si>
    <t>Challenging the monolingual mindset / edited by John Hajek and Yvette Slaughter.</t>
  </si>
  <si>
    <t>Multilingual matters ; 156</t>
  </si>
  <si>
    <t>2206862443:eng</t>
  </si>
  <si>
    <t>881206882</t>
  </si>
  <si>
    <t>ocn881206882</t>
  </si>
  <si>
    <t>3103580508X</t>
  </si>
  <si>
    <t>9781783092512</t>
  </si>
  <si>
    <t>794973925</t>
  </si>
  <si>
    <t>P120 V37 C665 1986</t>
  </si>
  <si>
    <t>0                      P  0120000V  37                 C  665         1986</t>
  </si>
  <si>
    <t>Variation in language : NWAV-XV at Stanford / proceedings of the Fifteenth Annual Conference on New Ways of Analyzing Variation ; editors, Keith M. Denning [and others].</t>
  </si>
  <si>
    <t>Conference on New Ways of Analyzing Variation (15th : 1986 : Stanford University, Stanford, Calif.)</t>
  </si>
  <si>
    <t>Stanford, Calif. : Dept. of Linguistics, Stanford University, 1987.</t>
  </si>
  <si>
    <t>889409186:eng</t>
  </si>
  <si>
    <t>17884913</t>
  </si>
  <si>
    <t>ocm17884913</t>
  </si>
  <si>
    <t>3102759970I</t>
  </si>
  <si>
    <t>793006852</t>
  </si>
  <si>
    <t>P120 V37 C667 2010</t>
  </si>
  <si>
    <t>0                      P  0120000V  37                 C  667         2010</t>
  </si>
  <si>
    <t>Continuity and change in grammar / edited by Anne Breitbarth [and others].</t>
  </si>
  <si>
    <t>Linguistik aktuell = Linguistics today, 0166-0829 ; v. 159</t>
  </si>
  <si>
    <t>1044436368:eng</t>
  </si>
  <si>
    <t>606054263</t>
  </si>
  <si>
    <t>ocn606054263</t>
  </si>
  <si>
    <t>3103226247L</t>
  </si>
  <si>
    <t>9789027255426</t>
  </si>
  <si>
    <t>794816634</t>
  </si>
  <si>
    <t>P120 V37 C67 2001</t>
  </si>
  <si>
    <t>0                      P  0120000V  37                 C  67          2001</t>
  </si>
  <si>
    <t>Language diversity and education / David Corson.</t>
  </si>
  <si>
    <t>1002501:eng</t>
  </si>
  <si>
    <t>43245512</t>
  </si>
  <si>
    <t>ocm43245512</t>
  </si>
  <si>
    <t>3102759969K</t>
  </si>
  <si>
    <t>9780805834482</t>
  </si>
  <si>
    <t>793622121</t>
  </si>
  <si>
    <t>P120 V37 C68 2007</t>
  </si>
  <si>
    <t>0                      P  0120000V  37                 C  68          2007</t>
  </si>
  <si>
    <t>Style : language variation and identity / Nikolas Coupland.</t>
  </si>
  <si>
    <t>793857048:eng</t>
  </si>
  <si>
    <t>76836110</t>
  </si>
  <si>
    <t>ocm76836110</t>
  </si>
  <si>
    <t>31025715112</t>
  </si>
  <si>
    <t>9780521853033</t>
  </si>
  <si>
    <t>794177686</t>
  </si>
  <si>
    <t>P120 V37 D38 2011</t>
  </si>
  <si>
    <t>0                      P  0120000V  37                 D  38          2011</t>
  </si>
  <si>
    <t>The present perfect in non-native Englishes : a corpus-based study of variation / by Julia Davydova.</t>
  </si>
  <si>
    <t>Davydova, Julia, 1977-</t>
  </si>
  <si>
    <t>Topics in English linguistics ; 77</t>
  </si>
  <si>
    <t>919239164:eng</t>
  </si>
  <si>
    <t>731009776</t>
  </si>
  <si>
    <t>ocn731009776</t>
  </si>
  <si>
    <t>3103382848K</t>
  </si>
  <si>
    <t>9783110255010</t>
  </si>
  <si>
    <t>794880507</t>
  </si>
  <si>
    <t>P120 V37 D55 2007</t>
  </si>
  <si>
    <t>0                      P  0120000V  37                 D  55          2007</t>
  </si>
  <si>
    <t>Diversity in language : perspectives and implications / edited by Yoshiko Matsumoto [and others].</t>
  </si>
  <si>
    <t>Stanford, Calif. : CSLI Publications, ©2007.</t>
  </si>
  <si>
    <t>CSLI lecture notes ; no. 176</t>
  </si>
  <si>
    <t>69732750:eng</t>
  </si>
  <si>
    <t>85829942</t>
  </si>
  <si>
    <t>ocm85829942</t>
  </si>
  <si>
    <t>3102598490P</t>
  </si>
  <si>
    <t>9781575865362</t>
  </si>
  <si>
    <t>794216708</t>
  </si>
  <si>
    <t>P120 V37 E73 2012</t>
  </si>
  <si>
    <t>0                      P  0120000V  37                 E  73          2012</t>
  </si>
  <si>
    <t>A harmony of the spirits : translation and the language of community in early Pennsylvania / Patrick M. Erben.</t>
  </si>
  <si>
    <t>Erben, Patrick M. (Patrick Michael)</t>
  </si>
  <si>
    <t>Chapel Hill : Published for the Omohundro Institute of Early American History and Culture, Williamsburg, Virginia, by the University of North Carolina Press, ©2012.</t>
  </si>
  <si>
    <t>1020855350:eng</t>
  </si>
  <si>
    <t>756594337</t>
  </si>
  <si>
    <t>ocn756594337</t>
  </si>
  <si>
    <t>3103429184T</t>
  </si>
  <si>
    <t>9780807835579</t>
  </si>
  <si>
    <t>794894743</t>
  </si>
  <si>
    <t>P120 V37 E87 2011</t>
  </si>
  <si>
    <t>0                      P  0120000V  37                 E  87          2011</t>
  </si>
  <si>
    <t>Ethnic styles of speaking in European metropolitan areas / edited by Friederike Kern, Margret Selting.</t>
  </si>
  <si>
    <t>Studies in language variation ; 8</t>
  </si>
  <si>
    <t>1006847176:eng</t>
  </si>
  <si>
    <t>748941795</t>
  </si>
  <si>
    <t>ocn748941795</t>
  </si>
  <si>
    <t>31034219772</t>
  </si>
  <si>
    <t>9789027234889</t>
  </si>
  <si>
    <t>794889664</t>
  </si>
  <si>
    <t>P120 V37 F66 2006</t>
  </si>
  <si>
    <t>0                      P  0120000V  37                 F  66          2006</t>
  </si>
  <si>
    <t>Dynamique et changement / M. Fónagy.</t>
  </si>
  <si>
    <t>Fónagy, M.</t>
  </si>
  <si>
    <t>Louvain ; Dudley, MA : Peeters, 2006.</t>
  </si>
  <si>
    <t>Bibliothèque de l'information grammaticale ; 58</t>
  </si>
  <si>
    <t>16939334:fre</t>
  </si>
  <si>
    <t>56755696</t>
  </si>
  <si>
    <t>ocm56755696</t>
  </si>
  <si>
    <t>3102645926I</t>
  </si>
  <si>
    <t>9789042915725</t>
  </si>
  <si>
    <t>793901370</t>
  </si>
  <si>
    <t>P120 V37 F73 2011</t>
  </si>
  <si>
    <t>0                      P  0120000V  37                 F  73          2011</t>
  </si>
  <si>
    <t>Le français en contact : hommages à Raymond Mougeon / sous la direction de France Martineau et Terry Nadasdi.</t>
  </si>
  <si>
    <t>[Québec] : Presses de l'Université Laval, 2011.</t>
  </si>
  <si>
    <t>Les voies du français</t>
  </si>
  <si>
    <t>1080552721:fre</t>
  </si>
  <si>
    <t>777303859</t>
  </si>
  <si>
    <t>ocn777303859</t>
  </si>
  <si>
    <t>31033264783</t>
  </si>
  <si>
    <t>9782763793177</t>
  </si>
  <si>
    <t>794908651</t>
  </si>
  <si>
    <t>P120 V37 G46 2017</t>
  </si>
  <si>
    <t>0                      P  0120000V  37                 G  46          2017</t>
  </si>
  <si>
    <t>Variable properties in language : their nature and acquisition / David W. Lightfoot and Jonathan Havenhill, editors.</t>
  </si>
  <si>
    <t>Georgetown University Round Table on Languages and Linguistics (2017 : Washington, D.C.), author.</t>
  </si>
  <si>
    <t>Washington, DC : Georgetown University Press, [2019]</t>
  </si>
  <si>
    <t>5345808661:eng</t>
  </si>
  <si>
    <t>1044778006</t>
  </si>
  <si>
    <t>on1044778006</t>
  </si>
  <si>
    <t>3103892115E</t>
  </si>
  <si>
    <t>9781626166646</t>
  </si>
  <si>
    <t>795060133</t>
  </si>
  <si>
    <t>3103892120L</t>
  </si>
  <si>
    <t>795060132</t>
  </si>
  <si>
    <t>P120 V37 G557 2011</t>
  </si>
  <si>
    <t>0                      P  0120000V  37                 G  557         2011</t>
  </si>
  <si>
    <t>How many languages do we need? : the economics of linguistic diversity / Victor Ginsburgh, Shlomo Weber.</t>
  </si>
  <si>
    <t>Ginsburgh, Victor.</t>
  </si>
  <si>
    <t>Princeton : Princeton University Press, ©2011.</t>
  </si>
  <si>
    <t>2019-08-29</t>
  </si>
  <si>
    <t>869069952:eng</t>
  </si>
  <si>
    <t>679940598</t>
  </si>
  <si>
    <t>ocn679940598</t>
  </si>
  <si>
    <t>3103345043F</t>
  </si>
  <si>
    <t>9780691136899</t>
  </si>
  <si>
    <t>794850927</t>
  </si>
  <si>
    <t>P120 V37 G73 2010</t>
  </si>
  <si>
    <t>0                      P  0120000V  37                 G  73          2010</t>
  </si>
  <si>
    <t>Grammar between norm and variation / Alexandra N. Lenz ; Albrecht Plewnia (eds.).</t>
  </si>
  <si>
    <t>VarioLingua, 1430-6778 ; Band 40</t>
  </si>
  <si>
    <t>2014-02-20</t>
  </si>
  <si>
    <t>925965659:eng</t>
  </si>
  <si>
    <t>664669030</t>
  </si>
  <si>
    <t>ocn664669030</t>
  </si>
  <si>
    <t>31032336848</t>
  </si>
  <si>
    <t>9783631610046</t>
  </si>
  <si>
    <t>794844212</t>
  </si>
  <si>
    <t>P120 V37 I57 2010</t>
  </si>
  <si>
    <t>0                      P  0120000V  37                 I  57          2010</t>
  </si>
  <si>
    <t>Variation in language and language use : linguistic, socio-cultural and cognitive perspectives / Monika Reif, Justyna A. Robinson, Martin Pütz, editors.</t>
  </si>
  <si>
    <t>International L.A.U.D.-Symposium (34th : 2010 : Universität Koblenz-Landau)</t>
  </si>
  <si>
    <t>Frankfurt am Main ; New York : Peter Lang, 2013.</t>
  </si>
  <si>
    <t>Duisburg Papers on Research in Language and Culture ; volume 96</t>
  </si>
  <si>
    <t>1218310488:eng</t>
  </si>
  <si>
    <t>835101391</t>
  </si>
  <si>
    <t>ocn835101391</t>
  </si>
  <si>
    <t>3103505033P</t>
  </si>
  <si>
    <t>9783631640203</t>
  </si>
  <si>
    <t>794944524</t>
  </si>
  <si>
    <t>P120 V37 I58 2009</t>
  </si>
  <si>
    <t>0                      P  0120000V  37                 I  58          2009</t>
  </si>
  <si>
    <t>Language variation - European perspectives III : selected papers from the 5th International Conference on Language Variation in Europe (ICLaVE 5), Copenhagen, June 2009 / edited by Frans Gregersen, Jeffrey K. Parrott, Pia Quist.</t>
  </si>
  <si>
    <t>International Conference on Language Variation in Europe (5th : 2009 : Copenhagen, Denmark)</t>
  </si>
  <si>
    <t>Studies in language variation ; v. 7</t>
  </si>
  <si>
    <t>895207354:eng</t>
  </si>
  <si>
    <t>670238299</t>
  </si>
  <si>
    <t>ocn670238299</t>
  </si>
  <si>
    <t>3103344963P</t>
  </si>
  <si>
    <t>9789027234872</t>
  </si>
  <si>
    <t>794847502</t>
  </si>
  <si>
    <t>P120 V37 K54 2011</t>
  </si>
  <si>
    <t>0                      P  0120000V  37                 K  54          2011</t>
  </si>
  <si>
    <t>Sociolinguistic variation and change / Scott F. Kiesling.</t>
  </si>
  <si>
    <t>Kiesling, Scott F.</t>
  </si>
  <si>
    <t>Edinburgh : Edinburgh University Press, 2011.</t>
  </si>
  <si>
    <t>Edinburgh sociolinguistics</t>
  </si>
  <si>
    <t>2019-11-26</t>
  </si>
  <si>
    <t>3860093822:eng</t>
  </si>
  <si>
    <t>750408943</t>
  </si>
  <si>
    <t>ocn750408943</t>
  </si>
  <si>
    <t>3103341347M</t>
  </si>
  <si>
    <t>9780748637621</t>
  </si>
  <si>
    <t>794890192</t>
  </si>
  <si>
    <t>P120 V37 L25 2011</t>
  </si>
  <si>
    <t>0                      P  0120000V  37                 L  25          2011</t>
  </si>
  <si>
    <t>Landscape in language : transdisciplinary perspectives / edited by David M. Mark [and others].</t>
  </si>
  <si>
    <t>Culture and language use ; v. 4</t>
  </si>
  <si>
    <t>949613481:eng</t>
  </si>
  <si>
    <t>698626504</t>
  </si>
  <si>
    <t>ocn698626504</t>
  </si>
  <si>
    <t>3103372650T</t>
  </si>
  <si>
    <t>9789027202864</t>
  </si>
  <si>
    <t>794861250</t>
  </si>
  <si>
    <t>2018-02-12</t>
  </si>
  <si>
    <t>P120 V37 L33 2010</t>
  </si>
  <si>
    <t>0                      P  0120000V  37                 L  33          2010</t>
  </si>
  <si>
    <t>Language and space : an international handbook of linguistic variation / ed. by Jürgen Erich Schmidt.</t>
  </si>
  <si>
    <t>v.2:pt.1</t>
  </si>
  <si>
    <t>Berlin : De Gruyter Mouton.</t>
  </si>
  <si>
    <t>Handbücher zur Sprach- und Kommunikationswissenschaft ; 30</t>
  </si>
  <si>
    <t>2012-08-30</t>
  </si>
  <si>
    <t>944135108:eng</t>
  </si>
  <si>
    <t>608658976</t>
  </si>
  <si>
    <t>ocn608658976</t>
  </si>
  <si>
    <t>31033236789</t>
  </si>
  <si>
    <t>794819649</t>
  </si>
  <si>
    <t>2012-11-12</t>
  </si>
  <si>
    <t>3103240828L</t>
  </si>
  <si>
    <t>794819650</t>
  </si>
  <si>
    <t>31035309451</t>
  </si>
  <si>
    <t>794819647</t>
  </si>
  <si>
    <t>v.2:pt.2</t>
  </si>
  <si>
    <t>31033236935</t>
  </si>
  <si>
    <t>794819648</t>
  </si>
  <si>
    <t>P120 V37 L34 1989</t>
  </si>
  <si>
    <t>0                      P  0120000V  37                 L  34          1989</t>
  </si>
  <si>
    <t>Language change and variation / edited by Ralph W. Fasold and Deborah Schiffrin.</t>
  </si>
  <si>
    <t>Amsterdam studies in the theory and history of linguistic science. Series IV, Current issues in linguistic theory ; v. 52</t>
  </si>
  <si>
    <t>351652706:eng</t>
  </si>
  <si>
    <t>18986144</t>
  </si>
  <si>
    <t>ocm18986144</t>
  </si>
  <si>
    <t>3102759954M</t>
  </si>
  <si>
    <t>9789027235466</t>
  </si>
  <si>
    <t>793043546</t>
  </si>
  <si>
    <t>P120 V37 L5194 2011</t>
  </si>
  <si>
    <t>0                      P  0120000V  37                 L  5194        2011</t>
  </si>
  <si>
    <t>Linguistic universals and language variation / edited by Peter Siemund.</t>
  </si>
  <si>
    <t>Trends in linguistics : studies and monographs ; 231</t>
  </si>
  <si>
    <t>809327604:eng</t>
  </si>
  <si>
    <t>706804051</t>
  </si>
  <si>
    <t>ocn706804051</t>
  </si>
  <si>
    <t>31033625344</t>
  </si>
  <si>
    <t>9783110238051</t>
  </si>
  <si>
    <t>794867205</t>
  </si>
  <si>
    <t>P120 V37 L58 2017</t>
  </si>
  <si>
    <t>0                      P  0120000V  37                 L  58          2017</t>
  </si>
  <si>
    <t>Listening to the past : audio records of accents of English / edited by Raymond Hickey (University of Duisburg and Essen).</t>
  </si>
  <si>
    <t>3690073290:eng</t>
  </si>
  <si>
    <t>953981332</t>
  </si>
  <si>
    <t>ocn953981332</t>
  </si>
  <si>
    <t>31037483357</t>
  </si>
  <si>
    <t>9781107051577</t>
  </si>
  <si>
    <t>795019471</t>
  </si>
  <si>
    <t>P120 V37 L6</t>
  </si>
  <si>
    <t>0                      P  0120000V  37                 L  6</t>
  </si>
  <si>
    <t>Locating language in time and space / edited by William Labov.</t>
  </si>
  <si>
    <t>Quantitative analyses of linguistic structure ; 1</t>
  </si>
  <si>
    <t>409316:eng</t>
  </si>
  <si>
    <t>6861774</t>
  </si>
  <si>
    <t>ocm06861774</t>
  </si>
  <si>
    <t>3102759953M</t>
  </si>
  <si>
    <t>9780124321014</t>
  </si>
  <si>
    <t>792527129</t>
  </si>
  <si>
    <t>3102759948O</t>
  </si>
  <si>
    <t>792527128</t>
  </si>
  <si>
    <t>P120 V37 P74 1989</t>
  </si>
  <si>
    <t>0                      P  0120000V  37                 P  74          1989</t>
  </si>
  <si>
    <t>Sociolinguistics and second language acquisition / Dennis R. Preston.</t>
  </si>
  <si>
    <t>Preston, Dennis Richard.</t>
  </si>
  <si>
    <t>Oxford, UK ; New York, NY, USA : B. Blackwell, 1989</t>
  </si>
  <si>
    <t>Language in society ; 14</t>
  </si>
  <si>
    <t>116241882:eng</t>
  </si>
  <si>
    <t>18948840</t>
  </si>
  <si>
    <t>ocm18948840</t>
  </si>
  <si>
    <t>3102759943O</t>
  </si>
  <si>
    <t>9780631152453</t>
  </si>
  <si>
    <t>793042143</t>
  </si>
  <si>
    <t>P120 V37 S273 2015</t>
  </si>
  <si>
    <t>0                      P  0120000V  37                 S  273         2015</t>
  </si>
  <si>
    <t>World Englishes : a critical analysis / Mario Saraceni.</t>
  </si>
  <si>
    <t>Saraceni, Mario, 1969- author.</t>
  </si>
  <si>
    <t>London ; New York : Bloomsbury Academic, [2015]</t>
  </si>
  <si>
    <t>1868269894:eng</t>
  </si>
  <si>
    <t>876882916</t>
  </si>
  <si>
    <t>ocn876882916</t>
  </si>
  <si>
    <t>31035828830</t>
  </si>
  <si>
    <t>9781623563806</t>
  </si>
  <si>
    <t>794970411</t>
  </si>
  <si>
    <t>P120 V37 S55 2014</t>
  </si>
  <si>
    <t>0                      P  0120000V  37                 S  55          2014</t>
  </si>
  <si>
    <t>Pluricentricity : language variation and sociocognitive dimensions / edited by Augusto Soares da Silva.</t>
  </si>
  <si>
    <t>Silva, Augusto Soares da, 1961- editor.</t>
  </si>
  <si>
    <t>Applications of cognitive linguistics ; 24</t>
  </si>
  <si>
    <t>1433402263:eng</t>
  </si>
  <si>
    <t>852658290</t>
  </si>
  <si>
    <t>ocn852658290</t>
  </si>
  <si>
    <t>3103505428F</t>
  </si>
  <si>
    <t>9783110303476</t>
  </si>
  <si>
    <t>794951454</t>
  </si>
  <si>
    <t>P120 V37 T34 2006</t>
  </si>
  <si>
    <t>0                      P  0120000V  37                 T  34          2006</t>
  </si>
  <si>
    <t>Analysing sociolinguistic variation / Sali A. Tagliamonte.</t>
  </si>
  <si>
    <t>Tagliamonte, Sali.</t>
  </si>
  <si>
    <t>46888064:eng</t>
  </si>
  <si>
    <t>62532855</t>
  </si>
  <si>
    <t>ocm62532855</t>
  </si>
  <si>
    <t>3102556823I</t>
  </si>
  <si>
    <t>9780521771153</t>
  </si>
  <si>
    <t>794109274</t>
  </si>
  <si>
    <t>P120 V37 T348 2012</t>
  </si>
  <si>
    <t>0                      P  0120000V  37                 T  348         2012</t>
  </si>
  <si>
    <t>Variationist sociolinguistics : change, observation, interpretation / Sali A. Tagliamonte.</t>
  </si>
  <si>
    <t>Language in society ; 40</t>
  </si>
  <si>
    <t>826235176:eng</t>
  </si>
  <si>
    <t>707726493</t>
  </si>
  <si>
    <t>ocn707726493</t>
  </si>
  <si>
    <t>3103406149M</t>
  </si>
  <si>
    <t>9781405135900</t>
  </si>
  <si>
    <t>794868054</t>
  </si>
  <si>
    <t>P120 V37 V3599 2015</t>
  </si>
  <si>
    <t>0                      P  0120000V  37                 V  3599        2015</t>
  </si>
  <si>
    <t>Variation in language : system- and usage-based approaches / edited by Aria Adli, Marco García García and Göz Kaufmann.</t>
  </si>
  <si>
    <t>Berlin ; Boston : De Gruyter, [2015]</t>
  </si>
  <si>
    <t>Linguae &amp; litterae ; volume 50</t>
  </si>
  <si>
    <t>2536697805:eng</t>
  </si>
  <si>
    <t>910595743</t>
  </si>
  <si>
    <t>ocn910595743</t>
  </si>
  <si>
    <t>3103653805M</t>
  </si>
  <si>
    <t>9783110343557</t>
  </si>
  <si>
    <t>794996325</t>
  </si>
  <si>
    <t>P120 V37 W35 2010</t>
  </si>
  <si>
    <t>0                      P  0120000V  37                 W  35          2010</t>
  </si>
  <si>
    <t>Variation in linguistic systems / James A. Walker.</t>
  </si>
  <si>
    <t>Walker, James A. (James Anthony)</t>
  </si>
  <si>
    <t>New York, NY : Routledge, 2010.</t>
  </si>
  <si>
    <t>149531703:eng</t>
  </si>
  <si>
    <t>454384494</t>
  </si>
  <si>
    <t>ocn454384494</t>
  </si>
  <si>
    <t>31032295470</t>
  </si>
  <si>
    <t>9780415990677</t>
  </si>
  <si>
    <t>794787950</t>
  </si>
  <si>
    <t>P120 W66 F39 1994</t>
  </si>
  <si>
    <t>0                      P  0120000W  66                 F  39          1994</t>
  </si>
  <si>
    <t>Eminent rhetoric : language, gender, and cultural tropes / Elizabeth A. Fay.</t>
  </si>
  <si>
    <t>Fay, Elizabeth A., 1957-</t>
  </si>
  <si>
    <t>Westport, Conn. : Bergin &amp; Garvey, 1994.</t>
  </si>
  <si>
    <t>Series in language and ideology, 1069-6806</t>
  </si>
  <si>
    <t>2016-01-30</t>
  </si>
  <si>
    <t>2891759:eng</t>
  </si>
  <si>
    <t>29637729</t>
  </si>
  <si>
    <t>ocm29637729</t>
  </si>
  <si>
    <t>3102759937Q</t>
  </si>
  <si>
    <t>9780897893091</t>
  </si>
  <si>
    <t>793316949</t>
  </si>
  <si>
    <t>P120 W66 H43 2000</t>
  </si>
  <si>
    <t>0                      P  0120000W  66                 H  43          2000</t>
  </si>
  <si>
    <t>Hearing many voices / edited by M.J. Hardman, Anita Taylor.</t>
  </si>
  <si>
    <t>355035844:eng</t>
  </si>
  <si>
    <t>42022370</t>
  </si>
  <si>
    <t>ocm42022370</t>
  </si>
  <si>
    <t>3102760022C</t>
  </si>
  <si>
    <t>9781572732377</t>
  </si>
  <si>
    <t>793601457</t>
  </si>
  <si>
    <t>P120 W66 M87 2010</t>
  </si>
  <si>
    <t>0                      P  0120000W  66                 M  87          2010</t>
  </si>
  <si>
    <t>Corpus and sociolinguistics : investigating age and gender in female talk / Bróna Murphy.</t>
  </si>
  <si>
    <t>Murphy, Bróna.</t>
  </si>
  <si>
    <t>Philadelphia, Pa. : John Benjamins Pub. Company, ©2010.</t>
  </si>
  <si>
    <t>Studies in corpus linguistics, 1388-0373 ; v. 38</t>
  </si>
  <si>
    <t>793216152:eng</t>
  </si>
  <si>
    <t>461895833</t>
  </si>
  <si>
    <t>ocn461895833</t>
  </si>
  <si>
    <t>3103241436R</t>
  </si>
  <si>
    <t>9789027223128</t>
  </si>
  <si>
    <t>794791749</t>
  </si>
  <si>
    <t>P120 W66 P38 1998</t>
  </si>
  <si>
    <t>0                      P  0120000W  66                 P  38          1998</t>
  </si>
  <si>
    <t>Women changing language / Anne Pauwels.</t>
  </si>
  <si>
    <t>Pauwels, Anne.</t>
  </si>
  <si>
    <t>2019-03-23</t>
  </si>
  <si>
    <t>3858072953:eng</t>
  </si>
  <si>
    <t>37820006</t>
  </si>
  <si>
    <t>ocm37820006</t>
  </si>
  <si>
    <t>3102760023C</t>
  </si>
  <si>
    <t>9780582099616</t>
  </si>
  <si>
    <t>793507788</t>
  </si>
  <si>
    <t>P120 W66 W63 1994</t>
  </si>
  <si>
    <t>0                      P  0120000W  66                 W  63          1994</t>
  </si>
  <si>
    <t>The Women and language debate : a sourcebook / edited by Camille Roman, Suzanne Juhasz, Cristanne Miller.</t>
  </si>
  <si>
    <t>New Brunswick, N.J. : Rutgers University Press, 1993, ©1994.</t>
  </si>
  <si>
    <t>799357262:eng</t>
  </si>
  <si>
    <t>27897665</t>
  </si>
  <si>
    <t>ocm27897665</t>
  </si>
  <si>
    <t>3102760026C</t>
  </si>
  <si>
    <t>9780813520117</t>
  </si>
  <si>
    <t>793274920</t>
  </si>
  <si>
    <t>P120 Y68 B83 2011</t>
  </si>
  <si>
    <t>0                      P  0120000Y  68                 B  83          2011</t>
  </si>
  <si>
    <t>White kids : language, race and styles of youth identity / Mary Bucholtz.</t>
  </si>
  <si>
    <t>Bucholtz, Mary, 1966-</t>
  </si>
  <si>
    <t>794362446:eng</t>
  </si>
  <si>
    <t>700394237</t>
  </si>
  <si>
    <t>ocn700394237</t>
  </si>
  <si>
    <t>3103320664N</t>
  </si>
  <si>
    <t>9780521692045</t>
  </si>
  <si>
    <t>794862013</t>
  </si>
  <si>
    <t>P120 Y68 L68 2010</t>
  </si>
  <si>
    <t>0                      P  0120000Y  68                 L  68          2010</t>
  </si>
  <si>
    <t>Love ya hate ya : the sociolinguistic study of youth language and youth identities / edited by J. Norman Jørgensen.</t>
  </si>
  <si>
    <t>473187583:eng</t>
  </si>
  <si>
    <t>603067100</t>
  </si>
  <si>
    <t>ocn603067100</t>
  </si>
  <si>
    <t>31032313240</t>
  </si>
  <si>
    <t>9781443820615</t>
  </si>
  <si>
    <t>794815631</t>
  </si>
  <si>
    <t>P120 Y68 N37 2015</t>
  </si>
  <si>
    <t>0                      P  0120000Y  68                 N  37          2015</t>
  </si>
  <si>
    <t>Youth language practices in Africa and beyond / edited by Nico Nassenstein, Andrea Hollington.</t>
  </si>
  <si>
    <t>Nassenstein, Nico, contributor, editor.</t>
  </si>
  <si>
    <t>Berlin ; Boston : De Gruyter Mouton, [2015]</t>
  </si>
  <si>
    <t>Contributions to the sociology of language, 1861-0676 ; volume 105</t>
  </si>
  <si>
    <t>2279560132:eng</t>
  </si>
  <si>
    <t>913514486</t>
  </si>
  <si>
    <t>ocn913514486</t>
  </si>
  <si>
    <t>31036427992</t>
  </si>
  <si>
    <t>9781614518624</t>
  </si>
  <si>
    <t>794999441</t>
  </si>
  <si>
    <t>P120 Y68 T34 2013</t>
  </si>
  <si>
    <t>0                      P  0120000Y  68                 T  34          2013</t>
  </si>
  <si>
    <t>Self and identity in adolescent foreign language learning / Florentina Taylor.</t>
  </si>
  <si>
    <t>Taylor, Florentina.</t>
  </si>
  <si>
    <t>Bristol : Multilingual Matters, 2013.</t>
  </si>
  <si>
    <t>Second Language Acquisition ; 70</t>
  </si>
  <si>
    <t>1380795556:eng</t>
  </si>
  <si>
    <t>830627964</t>
  </si>
  <si>
    <t>ocn830627964</t>
  </si>
  <si>
    <t>3103499523V</t>
  </si>
  <si>
    <t>9781847699992</t>
  </si>
  <si>
    <t>794943533</t>
  </si>
  <si>
    <t>P120 Y68 V35 2010</t>
  </si>
  <si>
    <t>0                      P  0120000Y  68                 V  35          2010</t>
  </si>
  <si>
    <t>Vallah, Gurkensalat 4U &amp; Me! : current perspectives in the study of youth language / J. Normann Jørgensen (ed.).</t>
  </si>
  <si>
    <t>Sprache, Kommunikation, Kultur, 1618-159X ; Bd. 8</t>
  </si>
  <si>
    <t>792778285:eng</t>
  </si>
  <si>
    <t>680228565</t>
  </si>
  <si>
    <t>ocn680228565</t>
  </si>
  <si>
    <t>3103230580N</t>
  </si>
  <si>
    <t>9783631601433</t>
  </si>
  <si>
    <t>794851085</t>
  </si>
  <si>
    <t>P121 A23 2010</t>
  </si>
  <si>
    <t>0                      P  0121000A  23          2010</t>
  </si>
  <si>
    <t>Reference / Barbara Abbott.</t>
  </si>
  <si>
    <t>Abbott, Barbara Kenyon, 1943-</t>
  </si>
  <si>
    <t>Oxford : Oxford University Press, 2010.</t>
  </si>
  <si>
    <t>Oxford surveys in semantics and pragmatics ; 2</t>
  </si>
  <si>
    <t>478026764:eng</t>
  </si>
  <si>
    <t>610567555</t>
  </si>
  <si>
    <t>ocn610567555</t>
  </si>
  <si>
    <t>3103132925L</t>
  </si>
  <si>
    <t>9780199202577</t>
  </si>
  <si>
    <t>794820705</t>
  </si>
  <si>
    <t>P121 A394 2003</t>
  </si>
  <si>
    <t>0                      P  0121000A  394         2003</t>
  </si>
  <si>
    <t>Linguistics / Jean Aitchison.</t>
  </si>
  <si>
    <t>Aitchison, Jean, 1938-</t>
  </si>
  <si>
    <t>Chicago, IL : Contemporary Books, ©2003.</t>
  </si>
  <si>
    <t>Teach yourself</t>
  </si>
  <si>
    <t>2017-01-17</t>
  </si>
  <si>
    <t>12237997:eng</t>
  </si>
  <si>
    <t>54542690</t>
  </si>
  <si>
    <t>ocm54542690</t>
  </si>
  <si>
    <t>3102465667L</t>
  </si>
  <si>
    <t>9780071429825</t>
  </si>
  <si>
    <t>793864277</t>
  </si>
  <si>
    <t>P121 A4384 1995</t>
  </si>
  <si>
    <t>0                      P  0121000A  4384        1995</t>
  </si>
  <si>
    <t>Linguistics : an introduction to language and communication / Adrian Akmajian [and others].</t>
  </si>
  <si>
    <t>Cambridge, Mass. : MIT Press, ©1995.</t>
  </si>
  <si>
    <t>1044437140:eng</t>
  </si>
  <si>
    <t>32203191</t>
  </si>
  <si>
    <t>ocm32203191</t>
  </si>
  <si>
    <t>31014947829</t>
  </si>
  <si>
    <t>9780262011501</t>
  </si>
  <si>
    <t>793378039</t>
  </si>
  <si>
    <t>2011-08-22</t>
  </si>
  <si>
    <t>3102760010E</t>
  </si>
  <si>
    <t>793378038</t>
  </si>
  <si>
    <t>P121 A4384 2010</t>
  </si>
  <si>
    <t>0                      P  0121000A  4384        2010</t>
  </si>
  <si>
    <t>424454992</t>
  </si>
  <si>
    <t>ocn424454992</t>
  </si>
  <si>
    <t>3103578742T</t>
  </si>
  <si>
    <t>9780262013758</t>
  </si>
  <si>
    <t>794506732</t>
  </si>
  <si>
    <t>3103578747T</t>
  </si>
  <si>
    <t>794506731</t>
  </si>
  <si>
    <t>2018-02-15</t>
  </si>
  <si>
    <t>3103578753R</t>
  </si>
  <si>
    <t>794506730</t>
  </si>
  <si>
    <t>P121 A4384 2017</t>
  </si>
  <si>
    <t>0                      P  0121000A  4384        2017</t>
  </si>
  <si>
    <t>Linguistics : an introduction to language and communication / Adrian Akmajian, Ann K. Farmer, Lee Bickmore, Richard A. Demers, Robert M. Harnish.</t>
  </si>
  <si>
    <t>Akmajian, Adrian, author.</t>
  </si>
  <si>
    <t>Seventh edition.</t>
  </si>
  <si>
    <t>957057073</t>
  </si>
  <si>
    <t>ocn957057073</t>
  </si>
  <si>
    <t>31037033773</t>
  </si>
  <si>
    <t>9780262533263</t>
  </si>
  <si>
    <t>795020667</t>
  </si>
  <si>
    <t>P121 A529 2011</t>
  </si>
  <si>
    <t>0                      P  0121000A  529         2011</t>
  </si>
  <si>
    <t>The substance of language / John M. Anderson.</t>
  </si>
  <si>
    <t>Anderson, John M. (John Mathieson), 1941-</t>
  </si>
  <si>
    <t>2867852331:eng</t>
  </si>
  <si>
    <t>778891013</t>
  </si>
  <si>
    <t>ocn778891013</t>
  </si>
  <si>
    <t>3103405978X</t>
  </si>
  <si>
    <t>9780199608317</t>
  </si>
  <si>
    <t>794910355</t>
  </si>
  <si>
    <t>3103405973X</t>
  </si>
  <si>
    <t>794910354</t>
  </si>
  <si>
    <t>3103405968Z</t>
  </si>
  <si>
    <t>794910353</t>
  </si>
  <si>
    <t>P121 A53 2010</t>
  </si>
  <si>
    <t>0                      P  0121000A  53          2010</t>
  </si>
  <si>
    <t>El discurso social : los límites históricos de lo pensable y lo decible / Marc Angenot ; selección y presentación a cargo de María Teresa Dalmasso y Norma Fatala ; [traducción de Hilda H. García].</t>
  </si>
  <si>
    <t>Angenot, Marc.</t>
  </si>
  <si>
    <t>Buenos Aires : Siglo Veintiuno Editores Argentina, [2010]</t>
  </si>
  <si>
    <t>Metamorfosis</t>
  </si>
  <si>
    <t>903601514:spa</t>
  </si>
  <si>
    <t>727147485</t>
  </si>
  <si>
    <t>ocn727147485</t>
  </si>
  <si>
    <t>3103338738Q</t>
  </si>
  <si>
    <t>9789876291347</t>
  </si>
  <si>
    <t>794877834</t>
  </si>
  <si>
    <t>P121 A66 2013</t>
  </si>
  <si>
    <t>0                      P  0121000A  66          2013</t>
  </si>
  <si>
    <t>Approaches to measuring linguistic differences / edited by Lars Borin, Anju Saxena.</t>
  </si>
  <si>
    <t>Berlin : De Gruyter Mouton, ©2013.</t>
  </si>
  <si>
    <t>Trends in linguistics. Studies and monographs, 1861-4302 ; 265</t>
  </si>
  <si>
    <t>1791459386:eng</t>
  </si>
  <si>
    <t>861177190</t>
  </si>
  <si>
    <t>ocn861177190</t>
  </si>
  <si>
    <t>3103532205M</t>
  </si>
  <si>
    <t>9783110303759</t>
  </si>
  <si>
    <t>794958827</t>
  </si>
  <si>
    <t>P121 B3 1965</t>
  </si>
  <si>
    <t>0                      P  0121000B  3           1965</t>
  </si>
  <si>
    <t>Linguistique générale et linguistique française / Charles Bally.</t>
  </si>
  <si>
    <t>Bally, Charles, 1865-1947.</t>
  </si>
  <si>
    <t>Berne : Franke, 1965.</t>
  </si>
  <si>
    <t>Quartième édition revue et corrigèe</t>
  </si>
  <si>
    <t>1891142:fre</t>
  </si>
  <si>
    <t>950415</t>
  </si>
  <si>
    <t>ocm00950415</t>
  </si>
  <si>
    <t>3102760005G</t>
  </si>
  <si>
    <t>9783772000805</t>
  </si>
  <si>
    <t>791510088</t>
  </si>
  <si>
    <t>P121 B345 2007</t>
  </si>
  <si>
    <t>0                      P  0121000B  345         2007</t>
  </si>
  <si>
    <t>The linguistics student's handbook / Laurie Bauer.</t>
  </si>
  <si>
    <t>Bauer, Laurie, 1949- author.</t>
  </si>
  <si>
    <t>Oxford ; New York : Oxford University Press, [2007].</t>
  </si>
  <si>
    <t>104778268:eng</t>
  </si>
  <si>
    <t>190872469</t>
  </si>
  <si>
    <t>ocn190872469</t>
  </si>
  <si>
    <t>3102852401W</t>
  </si>
  <si>
    <t>9780195332841</t>
  </si>
  <si>
    <t>794296392</t>
  </si>
  <si>
    <t>P121 B44</t>
  </si>
  <si>
    <t>0                      P  0121000B  44</t>
  </si>
  <si>
    <t>Problèmes de linguistíque générale.</t>
  </si>
  <si>
    <t>Benveniste, Émile, 1902-1976.</t>
  </si>
  <si>
    <t>[Paris] Gallimard, 1966-74.</t>
  </si>
  <si>
    <t>Bibliothèque des sciences humaines</t>
  </si>
  <si>
    <t>2018-12-04</t>
  </si>
  <si>
    <t>4918149009:fre</t>
  </si>
  <si>
    <t>871621</t>
  </si>
  <si>
    <t>ocm00871621</t>
  </si>
  <si>
    <t>3102760001G</t>
  </si>
  <si>
    <t>9782070204205</t>
  </si>
  <si>
    <t>791491618</t>
  </si>
  <si>
    <t>30009854582</t>
  </si>
  <si>
    <t>791491619</t>
  </si>
  <si>
    <t>3102760002G</t>
  </si>
  <si>
    <t>791491617</t>
  </si>
  <si>
    <t>P121 B4413 1971</t>
  </si>
  <si>
    <t>0                      P  0121000B  4413        1971</t>
  </si>
  <si>
    <t>Problems in general linguistics. Translated by Mary Elizabeth Meek.</t>
  </si>
  <si>
    <t>Coral Gables, Fla., University of Miami Press [1971]</t>
  </si>
  <si>
    <t>Miami linguistics series ; no. 8</t>
  </si>
  <si>
    <t>3980105043:eng</t>
  </si>
  <si>
    <t>191462</t>
  </si>
  <si>
    <t>ocm00191462</t>
  </si>
  <si>
    <t>3102760000G</t>
  </si>
  <si>
    <t>9780870241321</t>
  </si>
  <si>
    <t>791288869</t>
  </si>
  <si>
    <t>P121 B5 1933</t>
  </si>
  <si>
    <t>0                      P  0121000B  5           1933</t>
  </si>
  <si>
    <t>Language / by Leonard Bloomfield.</t>
  </si>
  <si>
    <t>Bloomfield, Leonard, 1887-1949.</t>
  </si>
  <si>
    <t>New York : H. Holt and Company, [©1933]</t>
  </si>
  <si>
    <t>1933</t>
  </si>
  <si>
    <t>1359033:eng</t>
  </si>
  <si>
    <t>306607</t>
  </si>
  <si>
    <t>ocm00306607</t>
  </si>
  <si>
    <t>3102759984G</t>
  </si>
  <si>
    <t>791330845</t>
  </si>
  <si>
    <t>P121 B6 1944</t>
  </si>
  <si>
    <t>0                      P  0121000B  6           1944</t>
  </si>
  <si>
    <t>The loom of language / by Frederick Bodmer.</t>
  </si>
  <si>
    <t>Bodmer, Frederick.</t>
  </si>
  <si>
    <t>New York : Farrar &amp; Rinehart, Inc., distributed by W.W. Norton &amp; Co., 1944.</t>
  </si>
  <si>
    <t>1944</t>
  </si>
  <si>
    <t>161990:eng</t>
  </si>
  <si>
    <t>20114957</t>
  </si>
  <si>
    <t>ocm20114957</t>
  </si>
  <si>
    <t>3102759996E</t>
  </si>
  <si>
    <t>793078051</t>
  </si>
  <si>
    <t>P121 B76</t>
  </si>
  <si>
    <t>0                      P  0121000B  76</t>
  </si>
  <si>
    <t>Théories du langage : une introduction critique / J.P. Bronckart.</t>
  </si>
  <si>
    <t>Bronckart, Jean-Paul, 1946-</t>
  </si>
  <si>
    <t>Bruxelles : P. Mardaga, ©1977.</t>
  </si>
  <si>
    <t>Psychologie et sciences humaines ; 70</t>
  </si>
  <si>
    <t>808796230:fre</t>
  </si>
  <si>
    <t>6305153</t>
  </si>
  <si>
    <t>ocm06305153</t>
  </si>
  <si>
    <t>3102759991E</t>
  </si>
  <si>
    <t>9782870090855</t>
  </si>
  <si>
    <t>792490033</t>
  </si>
  <si>
    <t>P121 C47 1966</t>
  </si>
  <si>
    <t>0                      P  0121000C  47          1966</t>
  </si>
  <si>
    <t>Current issues in linguistic theory / Noam Chomsky.</t>
  </si>
  <si>
    <t>The Hague : Mouton, 1966.</t>
  </si>
  <si>
    <t>Janua linguarum. Series minor ; nr. 38</t>
  </si>
  <si>
    <t>250362:eng</t>
  </si>
  <si>
    <t>7405090</t>
  </si>
  <si>
    <t>ocm07405090</t>
  </si>
  <si>
    <t>3102760036A</t>
  </si>
  <si>
    <t>792557195</t>
  </si>
  <si>
    <t>2007-04-13</t>
  </si>
  <si>
    <t>31027600408</t>
  </si>
  <si>
    <t>792557196</t>
  </si>
  <si>
    <t>2011-02-17</t>
  </si>
  <si>
    <t>31027600418</t>
  </si>
  <si>
    <t>792557197</t>
  </si>
  <si>
    <t>P121 C58714 2018</t>
  </si>
  <si>
    <t>0                      P  0121000C  58714       2018</t>
  </si>
  <si>
    <t>Introduction à la linguistique : classiques des sciences du langage, linguistique et sociolinguistique / Eugenio Coseriu ; traduit de l'Espagnol par Xavier Perret.</t>
  </si>
  <si>
    <t>Coseriu, Eugenio, author.</t>
  </si>
  <si>
    <t>3476868:fre</t>
  </si>
  <si>
    <t>1044752126</t>
  </si>
  <si>
    <t>on1044752126</t>
  </si>
  <si>
    <t>3103785667A</t>
  </si>
  <si>
    <t>9782359352320</t>
  </si>
  <si>
    <t>795060075</t>
  </si>
  <si>
    <t>P121 C675 2011</t>
  </si>
  <si>
    <t>0                      P  0121000C  675         2011</t>
  </si>
  <si>
    <t>The language of language : a linguistics course for starters / Madalena Cruz-Ferreira, Sunita Anne Abraham.</t>
  </si>
  <si>
    <t>[Lexington] : [publisher not identified], 2011.</t>
  </si>
  <si>
    <t>897155311:eng</t>
  </si>
  <si>
    <t>721541538</t>
  </si>
  <si>
    <t>ocn721541538</t>
  </si>
  <si>
    <t>3103568046I</t>
  </si>
  <si>
    <t>9781456458638</t>
  </si>
  <si>
    <t>794875317</t>
  </si>
  <si>
    <t>P121 C87 2004</t>
  </si>
  <si>
    <t>0                      P  0121000C  87          2004</t>
  </si>
  <si>
    <t>Difference / Mark Currie.</t>
  </si>
  <si>
    <t>Currie, Mark, 1962-</t>
  </si>
  <si>
    <t>New critical idiom</t>
  </si>
  <si>
    <t>11043037:eng</t>
  </si>
  <si>
    <t>53075819</t>
  </si>
  <si>
    <t>ocm53075819</t>
  </si>
  <si>
    <t>31025047767</t>
  </si>
  <si>
    <t>9780415222211</t>
  </si>
  <si>
    <t>793820804</t>
  </si>
  <si>
    <t>P121 D384 2010</t>
  </si>
  <si>
    <t>0                      P  0121000D  384         2010</t>
  </si>
  <si>
    <t>The English language : from sound to sense / Gerald P. Delahunty, James J. Garvey.</t>
  </si>
  <si>
    <t>Delahunty, Gerald Patrick.</t>
  </si>
  <si>
    <t>Fort Collins, Colo. : WAC Clearinghouse ; West Lafayette, Ind. : Parlor Press, ©2010.</t>
  </si>
  <si>
    <t>Perspectives on writing</t>
  </si>
  <si>
    <t>843036389:eng</t>
  </si>
  <si>
    <t>560559742</t>
  </si>
  <si>
    <t>ocn560559742</t>
  </si>
  <si>
    <t>3103321705S</t>
  </si>
  <si>
    <t>9781602351806</t>
  </si>
  <si>
    <t>794812841</t>
  </si>
  <si>
    <t>P121 D73 1989</t>
  </si>
  <si>
    <t>0                      P  0121000D  73          1989</t>
  </si>
  <si>
    <t>Logique, structure, énonciation : lectures sur le langage / Oswald Ducrot.</t>
  </si>
  <si>
    <t>Paris : Editions de Minuit, ©1989.</t>
  </si>
  <si>
    <t>808695142:fre</t>
  </si>
  <si>
    <t>22245728</t>
  </si>
  <si>
    <t>ocm22245728</t>
  </si>
  <si>
    <t>3102760032A</t>
  </si>
  <si>
    <t>9782707313102</t>
  </si>
  <si>
    <t>793138479</t>
  </si>
  <si>
    <t>P121 E46 2017</t>
  </si>
  <si>
    <t>0                      P  0121000E  46          2017</t>
  </si>
  <si>
    <t>Empirical translation studies : new methodological and theoretical traditions / edited by Gert De Sutter, Marie-Aude Lefer, Isabelle Delaere.</t>
  </si>
  <si>
    <t>Societas Linguistica Europaea. Meeting (46th : 2013 : Split, Croatia)</t>
  </si>
  <si>
    <t>Trends in linguistics. Studies and monographs, 1861-4302 ; volume 300</t>
  </si>
  <si>
    <t>3229262571:eng</t>
  </si>
  <si>
    <t>1001563959</t>
  </si>
  <si>
    <t>on1001563959</t>
  </si>
  <si>
    <t>3103701932B</t>
  </si>
  <si>
    <t>9783110456844</t>
  </si>
  <si>
    <t>795040667</t>
  </si>
  <si>
    <t>P121 F25 1997</t>
  </si>
  <si>
    <t>0                      P  0121000F  25          1997</t>
  </si>
  <si>
    <t>Linguistics and literature : language in the verbal arts of the world / Nigel Fabb.</t>
  </si>
  <si>
    <t>Fabb, Nigel, author.</t>
  </si>
  <si>
    <t>Oxford, UK ; Malden, Mass. : Blackwell, 1997.</t>
  </si>
  <si>
    <t>Blackwell textbooks in linguistics ; 12</t>
  </si>
  <si>
    <t>807142085:eng</t>
  </si>
  <si>
    <t>36458240</t>
  </si>
  <si>
    <t>ocm36458240</t>
  </si>
  <si>
    <t>3102760113B</t>
  </si>
  <si>
    <t>9780631192428</t>
  </si>
  <si>
    <t>793475782</t>
  </si>
  <si>
    <t>P121 F6</t>
  </si>
  <si>
    <t>0                      P  0121000F  6</t>
  </si>
  <si>
    <t>The structure of language : readings in the philosophy of language / [edited by] Jerry A. Fodor, Jerrold J. Katz.</t>
  </si>
  <si>
    <t>Englewood Cliffs, N.J. : Prentice-Hall, 1964.</t>
  </si>
  <si>
    <t>794944370:eng</t>
  </si>
  <si>
    <t>710863</t>
  </si>
  <si>
    <t>ocm00710863</t>
  </si>
  <si>
    <t>3102760110B</t>
  </si>
  <si>
    <t>791452104</t>
  </si>
  <si>
    <t>2013-06-21</t>
  </si>
  <si>
    <t>3102760109D</t>
  </si>
  <si>
    <t>791452105</t>
  </si>
  <si>
    <t>3000991284N</t>
  </si>
  <si>
    <t>791452106</t>
  </si>
  <si>
    <t>P121 G372 2007</t>
  </si>
  <si>
    <t>0                      P  0121000G  372         2007</t>
  </si>
  <si>
    <t>Introduction à la linguistique / Nathalie Garric.</t>
  </si>
  <si>
    <t>Garric, Nathalie.</t>
  </si>
  <si>
    <t>Paris : Hachette supérieur, ©2007.</t>
  </si>
  <si>
    <t>HU linguistique</t>
  </si>
  <si>
    <t>38112987:fre</t>
  </si>
  <si>
    <t>159955918</t>
  </si>
  <si>
    <t>ocn159955918</t>
  </si>
  <si>
    <t>31030512431</t>
  </si>
  <si>
    <t>9782011457158</t>
  </si>
  <si>
    <t>794256923</t>
  </si>
  <si>
    <t>P121 G419 1982</t>
  </si>
  <si>
    <t>0                      P  0121000G  419         1982</t>
  </si>
  <si>
    <t>Introduction à la linguistique générale : données de base, exercices et corrigé / Claude Germain, Raymond LeBlanc.</t>
  </si>
  <si>
    <t>V. 6</t>
  </si>
  <si>
    <t>Germain, Claude.</t>
  </si>
  <si>
    <t>Montréal, Qué. : Presses de l'Université de Montréal, 1981-&lt;1983&gt;</t>
  </si>
  <si>
    <t>2005-03-03</t>
  </si>
  <si>
    <t>4915435152:fre</t>
  </si>
  <si>
    <t>9577077</t>
  </si>
  <si>
    <t>ocm09577077</t>
  </si>
  <si>
    <t>31027600810</t>
  </si>
  <si>
    <t>9782760605480</t>
  </si>
  <si>
    <t>792683052</t>
  </si>
  <si>
    <t>2009-04-09</t>
  </si>
  <si>
    <t>3000972362$</t>
  </si>
  <si>
    <t>792683056</t>
  </si>
  <si>
    <t>3102330585O</t>
  </si>
  <si>
    <t>792683054</t>
  </si>
  <si>
    <t>2009-04-02</t>
  </si>
  <si>
    <t>3100628877E</t>
  </si>
  <si>
    <t>792683053</t>
  </si>
  <si>
    <t>2009-02-02</t>
  </si>
  <si>
    <t>31027600820</t>
  </si>
  <si>
    <t>792683055</t>
  </si>
  <si>
    <t>P121 G67 2008</t>
  </si>
  <si>
    <t>0                      P  0121000G  67          2008</t>
  </si>
  <si>
    <t>Linguistics for beginners / by W. Terrance Gordon ; illustrated by Susan Willmarth.</t>
  </si>
  <si>
    <t>Danbury, CT : For Beginners, ©2008.</t>
  </si>
  <si>
    <t>For beginners documentary comic book</t>
  </si>
  <si>
    <t>116746620:eng</t>
  </si>
  <si>
    <t>181600001</t>
  </si>
  <si>
    <t>ocn181600001</t>
  </si>
  <si>
    <t>3102974879J</t>
  </si>
  <si>
    <t>9781934389287</t>
  </si>
  <si>
    <t>794282739</t>
  </si>
  <si>
    <t>P121 G747 1990</t>
  </si>
  <si>
    <t>0                      P  0121000G  747         1990</t>
  </si>
  <si>
    <t>On language : selected writings of Joseph H. Greenberg / edited by Keith Denning and Suzanne Kemmer.</t>
  </si>
  <si>
    <t>Greenberg, Joseph H. (Joseph Harold), 1915-2001.</t>
  </si>
  <si>
    <t>Stanford, Calif. : Stanford University Press, 1990.</t>
  </si>
  <si>
    <t>353297521:eng</t>
  </si>
  <si>
    <t>20755361</t>
  </si>
  <si>
    <t>ocm20755361</t>
  </si>
  <si>
    <t>31027601573</t>
  </si>
  <si>
    <t>9780804716130</t>
  </si>
  <si>
    <t>793097573</t>
  </si>
  <si>
    <t>P121 G7474 2018</t>
  </si>
  <si>
    <t>0                      P  0121000G  7474        2018</t>
  </si>
  <si>
    <t>Talk on the wild side : the untameable nature of language / Lane Greene.</t>
  </si>
  <si>
    <t>Greene, Robert Lane, author.</t>
  </si>
  <si>
    <t>London : Economist, [2018]</t>
  </si>
  <si>
    <t>5455474274:eng</t>
  </si>
  <si>
    <t>1053859543</t>
  </si>
  <si>
    <t>on1053859543</t>
  </si>
  <si>
    <t>31037364919</t>
  </si>
  <si>
    <t>9781781258064</t>
  </si>
  <si>
    <t>795062657</t>
  </si>
  <si>
    <t>P121 G86 2003</t>
  </si>
  <si>
    <t>0                      P  0121000G  86          2003</t>
  </si>
  <si>
    <t>The powers of philology : dynamics of textual scholarship / Hans Ulrich Gumbrecht.</t>
  </si>
  <si>
    <t>Gumbrecht, Hans Ulrich.</t>
  </si>
  <si>
    <t>Urbana, Ill. : University of Illinois Press, ©2003.</t>
  </si>
  <si>
    <t>992306:eng</t>
  </si>
  <si>
    <t>50323020</t>
  </si>
  <si>
    <t>ocm50323020</t>
  </si>
  <si>
    <t>3102582682D</t>
  </si>
  <si>
    <t>9780252028304</t>
  </si>
  <si>
    <t>793760852</t>
  </si>
  <si>
    <t>P121 H141 2013</t>
  </si>
  <si>
    <t>0                      P  0121000H  141         2013</t>
  </si>
  <si>
    <t>La structure des langues / Claude Hagège.</t>
  </si>
  <si>
    <t>Hagège, Claude, 1936- author.</t>
  </si>
  <si>
    <t>Septième édition.</t>
  </si>
  <si>
    <t>Que sais-je? ; no 2006. Lettres</t>
  </si>
  <si>
    <t>15455361:fre</t>
  </si>
  <si>
    <t>905123218</t>
  </si>
  <si>
    <t>ocn905123218</t>
  </si>
  <si>
    <t>3103621158K</t>
  </si>
  <si>
    <t>9782130608974</t>
  </si>
  <si>
    <t>794991145</t>
  </si>
  <si>
    <t>P121 H24 1985</t>
  </si>
  <si>
    <t>0                      P  0121000H  24          1985</t>
  </si>
  <si>
    <t>L'homme de paroles : contribution linguistique aux sciences humaines / Claude Hagège.</t>
  </si>
  <si>
    <t>Paris : Fayard, ©1985.</t>
  </si>
  <si>
    <t>Le Temps des sciences</t>
  </si>
  <si>
    <t>22509174:fre</t>
  </si>
  <si>
    <t>14355772</t>
  </si>
  <si>
    <t>ocm14355772</t>
  </si>
  <si>
    <t>31027601593</t>
  </si>
  <si>
    <t>9782213016535</t>
  </si>
  <si>
    <t>792886964</t>
  </si>
  <si>
    <t>P121 H2413 1990</t>
  </si>
  <si>
    <t>0                      P  0121000H  2413        1990</t>
  </si>
  <si>
    <t>The dialogic species : a linguistic contribution to the social sciences / Claude Hagège ; translated by Sharon L. Shelly.</t>
  </si>
  <si>
    <t>New York : Columbia University Press, ©1990.</t>
  </si>
  <si>
    <t>2016-01-21</t>
  </si>
  <si>
    <t>22509174:eng</t>
  </si>
  <si>
    <t>20930768</t>
  </si>
  <si>
    <t>ocm20930768</t>
  </si>
  <si>
    <t>31027601601</t>
  </si>
  <si>
    <t>9780231067607</t>
  </si>
  <si>
    <t>793103251</t>
  </si>
  <si>
    <t>P121 H6154</t>
  </si>
  <si>
    <t>0                      P  0121000H  6154</t>
  </si>
  <si>
    <t>Le langage, une introduction. : Traduit du danois par Michel Olsen. Préface de Algirdas Julien Greimas.</t>
  </si>
  <si>
    <t>Paris : Éditions de Minuit, 1966.</t>
  </si>
  <si>
    <t>Arguments, 28</t>
  </si>
  <si>
    <t>4417452352:fre</t>
  </si>
  <si>
    <t>61621138</t>
  </si>
  <si>
    <t>ocm61621138</t>
  </si>
  <si>
    <t>3001012267A</t>
  </si>
  <si>
    <t>794059811</t>
  </si>
  <si>
    <t>P121 H7</t>
  </si>
  <si>
    <t>0                      P  0121000H  7</t>
  </si>
  <si>
    <t>The science of language; linguistics, philology, etymology. By Abel Hovelacque. Translated by A.H. Keane ...</t>
  </si>
  <si>
    <t>Hovelacque, Abel, 1843-1896.</t>
  </si>
  <si>
    <t>London, Chapman and Hall; Philadelphia, J.B. Lippincott and Co., 1877.</t>
  </si>
  <si>
    <t>1877</t>
  </si>
  <si>
    <t>The library of contemporary science</t>
  </si>
  <si>
    <t>21791965:eng</t>
  </si>
  <si>
    <t>3530673</t>
  </si>
  <si>
    <t>ocm03530673</t>
  </si>
  <si>
    <t>31027601377</t>
  </si>
  <si>
    <t>792265482</t>
  </si>
  <si>
    <t>P121 H747 1984b</t>
  </si>
  <si>
    <t>0                      P  0121000H  747         1984b</t>
  </si>
  <si>
    <t>Invitation to linguistics / Richard Hudson.</t>
  </si>
  <si>
    <t>Hudson, Richard A.</t>
  </si>
  <si>
    <t>Oxford, OX : M. Robertson, 1984.</t>
  </si>
  <si>
    <t>Invitation series</t>
  </si>
  <si>
    <t>2015-07-04</t>
  </si>
  <si>
    <t>4142537:eng</t>
  </si>
  <si>
    <t>11532581</t>
  </si>
  <si>
    <t>ocm11532581</t>
  </si>
  <si>
    <t>3102760119B</t>
  </si>
  <si>
    <t>9780855206659</t>
  </si>
  <si>
    <t>792777148</t>
  </si>
  <si>
    <t>P121 I434 2011</t>
  </si>
  <si>
    <t>0                      P  0121000I  434         2011</t>
  </si>
  <si>
    <t>Image_identity_reality / edited by Biljana Đorić-Francuski.</t>
  </si>
  <si>
    <t>Newcastle upon Tyne, UK : Cambridge Scholars, 2011.</t>
  </si>
  <si>
    <t>1072437332:eng</t>
  </si>
  <si>
    <t>730403509</t>
  </si>
  <si>
    <t>ocn730403509</t>
  </si>
  <si>
    <t>3103343027R</t>
  </si>
  <si>
    <t>9781443829779</t>
  </si>
  <si>
    <t>794880016</t>
  </si>
  <si>
    <t>P121 I534 2010</t>
  </si>
  <si>
    <t>0                      P  0121000I  534         2010</t>
  </si>
  <si>
    <t>Interfaces in language / edited by John Partridge.</t>
  </si>
  <si>
    <t>573694966:eng</t>
  </si>
  <si>
    <t>656784499</t>
  </si>
  <si>
    <t>ocn656784499</t>
  </si>
  <si>
    <t>3103232618Q</t>
  </si>
  <si>
    <t>9781443823999</t>
  </si>
  <si>
    <t>794835105</t>
  </si>
  <si>
    <t>P121 I58 2018</t>
  </si>
  <si>
    <t>0                      P  0121000I  58          2018</t>
  </si>
  <si>
    <t>Insights from practices in community-based research : from theory to practice around the globe / edited by Shannon T. Bischoff, Carmen Jany.</t>
  </si>
  <si>
    <t>Berlin : De Gruyter Mouton, [2018]</t>
  </si>
  <si>
    <t>Trends in linguistics. Studies and monographs, 1861-4302 ; volume 319</t>
  </si>
  <si>
    <t>2018-06-15</t>
  </si>
  <si>
    <t>4881013720:eng</t>
  </si>
  <si>
    <t>1023394118</t>
  </si>
  <si>
    <t>on1023394118</t>
  </si>
  <si>
    <t>31037381945</t>
  </si>
  <si>
    <t>9783110524741</t>
  </si>
  <si>
    <t>795051687</t>
  </si>
  <si>
    <t>P121 I72 2008</t>
  </si>
  <si>
    <t>0                      P  0121000I  72          2008</t>
  </si>
  <si>
    <t>I-language : an introduction to linguistics as cognitive science / Daniela Isac and Charles Reiss.</t>
  </si>
  <si>
    <t>Isac, Daniela.</t>
  </si>
  <si>
    <t>792898429:eng</t>
  </si>
  <si>
    <t>183609885</t>
  </si>
  <si>
    <t>ocn183609885</t>
  </si>
  <si>
    <t>3102865769V</t>
  </si>
  <si>
    <t>9780199534203</t>
  </si>
  <si>
    <t>794288261</t>
  </si>
  <si>
    <t>3102852835E</t>
  </si>
  <si>
    <t>794288262</t>
  </si>
  <si>
    <t>3102865774T</t>
  </si>
  <si>
    <t>794288260</t>
  </si>
  <si>
    <t>2017-01-21</t>
  </si>
  <si>
    <t>31030324089</t>
  </si>
  <si>
    <t>794288259</t>
  </si>
  <si>
    <t>P121 I72 2013</t>
  </si>
  <si>
    <t>0                      P  0121000I  72          2013</t>
  </si>
  <si>
    <t>812686111</t>
  </si>
  <si>
    <t>ocn812686111</t>
  </si>
  <si>
    <t>3103487150D</t>
  </si>
  <si>
    <t>9780199660179</t>
  </si>
  <si>
    <t>794931156</t>
  </si>
  <si>
    <t>3103424686Y</t>
  </si>
  <si>
    <t>794931158</t>
  </si>
  <si>
    <t>3103424677$</t>
  </si>
  <si>
    <t>794931157</t>
  </si>
  <si>
    <t>P121 J27 1990</t>
  </si>
  <si>
    <t>0                      P  0121000J  27          1990</t>
  </si>
  <si>
    <t>On language / Roman Jakobson ; edited by Linda R. Waugh and Monique Monville-Burston.</t>
  </si>
  <si>
    <t>Cambridge, Mass. : Harvard University Press, 1990.</t>
  </si>
  <si>
    <t>20337828:eng</t>
  </si>
  <si>
    <t>20932787</t>
  </si>
  <si>
    <t>ocm20932787</t>
  </si>
  <si>
    <t>3102734936J</t>
  </si>
  <si>
    <t>9780674635357</t>
  </si>
  <si>
    <t>793103454</t>
  </si>
  <si>
    <t>P121 J277 2006</t>
  </si>
  <si>
    <t>0                      P  0121000J  277         2006</t>
  </si>
  <si>
    <t>Language misconceived : arguing for applied cognitive sociolinguistics / Karol Janicki.</t>
  </si>
  <si>
    <t>Janicki, Karol.</t>
  </si>
  <si>
    <t>802405811:eng</t>
  </si>
  <si>
    <t>61229822</t>
  </si>
  <si>
    <t>ocm61229822</t>
  </si>
  <si>
    <t>3102686881M</t>
  </si>
  <si>
    <t>9780805856804</t>
  </si>
  <si>
    <t>793949328</t>
  </si>
  <si>
    <t>2007-10-15</t>
  </si>
  <si>
    <t>3102630816B</t>
  </si>
  <si>
    <t>793949327</t>
  </si>
  <si>
    <t>P121 K64 2018</t>
  </si>
  <si>
    <t>0                      P  0121000K  64          2018</t>
  </si>
  <si>
    <t>Looking at language / Wolfgang Klein.</t>
  </si>
  <si>
    <t>Klein, Wolfgang, 1946 February 3- author.</t>
  </si>
  <si>
    <t>Trends in linguistics. Studies and monographs, 1861-4302 ; volume 317</t>
  </si>
  <si>
    <t>4463967357:eng</t>
  </si>
  <si>
    <t>996941319</t>
  </si>
  <si>
    <t>ocn996941319</t>
  </si>
  <si>
    <t>31037017735</t>
  </si>
  <si>
    <t>9783110547238</t>
  </si>
  <si>
    <t>795039801</t>
  </si>
  <si>
    <t>P121 L3855 2007</t>
  </si>
  <si>
    <t>0                      P  0121000L  3855        2007</t>
  </si>
  <si>
    <t>Language files : materials for an introduction to language and linguistics / editors, Anouschka Bergmann, Kathleen Currie Hall, Sharon Miriam Ross.</t>
  </si>
  <si>
    <t>Columbus : Ohio State University Press, [2007].</t>
  </si>
  <si>
    <t>Tenth edition.</t>
  </si>
  <si>
    <t>857969179:eng</t>
  </si>
  <si>
    <t>81944316</t>
  </si>
  <si>
    <t>ocm81944316</t>
  </si>
  <si>
    <t>3102644694H</t>
  </si>
  <si>
    <t>9780814251638</t>
  </si>
  <si>
    <t>794204584</t>
  </si>
  <si>
    <t>P121 L3855 2011</t>
  </si>
  <si>
    <t>0                      P  0121000L  3855        2011</t>
  </si>
  <si>
    <t>Language files : materials for an introduction to language and linguistics / editors, Vedrana Mihalic̆ek, Christin Wilson.</t>
  </si>
  <si>
    <t>Columbus : Ohio State University Press, ©2011.</t>
  </si>
  <si>
    <t>11th ed.</t>
  </si>
  <si>
    <t>761557436:eng</t>
  </si>
  <si>
    <t>687677601</t>
  </si>
  <si>
    <t>ocn687677601</t>
  </si>
  <si>
    <t>3103362672U</t>
  </si>
  <si>
    <t>9780814251799</t>
  </si>
  <si>
    <t>794854018</t>
  </si>
  <si>
    <t>3103524139G</t>
  </si>
  <si>
    <t>794854019</t>
  </si>
  <si>
    <t>P121 L45 1992</t>
  </si>
  <si>
    <t>0                      P  0121000L  45          1992</t>
  </si>
  <si>
    <t>Historical linguistics : an introduction / Winfred P. Lehmann.</t>
  </si>
  <si>
    <t>Lehmann, Winfred P. (Winfred Philipp), 1916-2007.</t>
  </si>
  <si>
    <t>449608783:eng</t>
  </si>
  <si>
    <t>25163373</t>
  </si>
  <si>
    <t>ocm25163373</t>
  </si>
  <si>
    <t>3102760203A</t>
  </si>
  <si>
    <t>9780415072427</t>
  </si>
  <si>
    <t>793213395</t>
  </si>
  <si>
    <t>P121 L469 1993</t>
  </si>
  <si>
    <t>0                      P  0121000L  469         1993</t>
  </si>
  <si>
    <t>Précis de linguistique générale / Jacques Lerot.</t>
  </si>
  <si>
    <t>Lerot, Jacques.</t>
  </si>
  <si>
    <t>Paris : Les Éd. de Minuit, 1993</t>
  </si>
  <si>
    <t>38202978:fre</t>
  </si>
  <si>
    <t>414615231</t>
  </si>
  <si>
    <t>ocn414615231</t>
  </si>
  <si>
    <t>3102760178$</t>
  </si>
  <si>
    <t>9782707314581</t>
  </si>
  <si>
    <t>794500380</t>
  </si>
  <si>
    <t>P121 L528 2009</t>
  </si>
  <si>
    <t>0                      P  0121000L  528         2009</t>
  </si>
  <si>
    <t>Linguistics : an introduction / Andrew Radford, Martin Atkinson, David Britain, Harald Clahsen and Andrew Spencer.</t>
  </si>
  <si>
    <t>Cambridge ; New York : Cambridge University Press, [2009].</t>
  </si>
  <si>
    <t>179202773:eng</t>
  </si>
  <si>
    <t>237884125</t>
  </si>
  <si>
    <t>ocn237884125</t>
  </si>
  <si>
    <t>3102856216K</t>
  </si>
  <si>
    <t>9780521849487</t>
  </si>
  <si>
    <t>794373773</t>
  </si>
  <si>
    <t>P121 L5774 2012</t>
  </si>
  <si>
    <t>0                      P  0121000L  5774        2012</t>
  </si>
  <si>
    <t>Lingüística aplicada a la traducción / Ángel López García, Montserrat Veyrat Rigat.</t>
  </si>
  <si>
    <t>López García, Ángel, 1949-</t>
  </si>
  <si>
    <t>Valencia : Tirant Humanidades, 2012.</t>
  </si>
  <si>
    <t>Prosopopeya</t>
  </si>
  <si>
    <t>1100398747:spa</t>
  </si>
  <si>
    <t>785336295</t>
  </si>
  <si>
    <t>ocn785336295</t>
  </si>
  <si>
    <t>31031985678</t>
  </si>
  <si>
    <t>9788415442363</t>
  </si>
  <si>
    <t>794914808</t>
  </si>
  <si>
    <t>P121 M246 2009</t>
  </si>
  <si>
    <t>0                      P  0121000M  246         2009</t>
  </si>
  <si>
    <t>Aborder la linguistique / Dominique Maingueneau.</t>
  </si>
  <si>
    <t>Maingueneau, Dominique.</t>
  </si>
  <si>
    <t>Paris : Points, 2009.</t>
  </si>
  <si>
    <t>Nouv. édition revue et augmentée.</t>
  </si>
  <si>
    <t>Points . Essais ; 617</t>
  </si>
  <si>
    <t>45549986:fre</t>
  </si>
  <si>
    <t>503242772</t>
  </si>
  <si>
    <t>ocn503242772</t>
  </si>
  <si>
    <t>31033688564</t>
  </si>
  <si>
    <t>9782757813218</t>
  </si>
  <si>
    <t>794806272</t>
  </si>
  <si>
    <t>P121 M4856 2008</t>
  </si>
  <si>
    <t>0                      P  0121000M  4856        2008</t>
  </si>
  <si>
    <t>Dans le bois de la langue / Henri Meschonnic.</t>
  </si>
  <si>
    <t>Paris : Éditions Laurence Teper, 2008.</t>
  </si>
  <si>
    <t>777194576:fre</t>
  </si>
  <si>
    <t>265644785</t>
  </si>
  <si>
    <t>ocn265644785</t>
  </si>
  <si>
    <t>3103303454T</t>
  </si>
  <si>
    <t>9782916010151</t>
  </si>
  <si>
    <t>794407300</t>
  </si>
  <si>
    <t>P121 M929 2012</t>
  </si>
  <si>
    <t>0                      P  0121000M  929         2012</t>
  </si>
  <si>
    <t>Writing essays in English language and linguistics : principles, tips and strategies for undergraduates / Neil Murray.</t>
  </si>
  <si>
    <t>Murray, Neil, 1960-</t>
  </si>
  <si>
    <t>998179391:eng</t>
  </si>
  <si>
    <t>747232733</t>
  </si>
  <si>
    <t>ocn747232733</t>
  </si>
  <si>
    <t>31034290247</t>
  </si>
  <si>
    <t>9780521111195</t>
  </si>
  <si>
    <t>794887909</t>
  </si>
  <si>
    <t>P121 O75 2010</t>
  </si>
  <si>
    <t>0                      P  0121000O  75          2010</t>
  </si>
  <si>
    <t>Singular reference : a descriptivist perspective / Francesco Orilia.</t>
  </si>
  <si>
    <t>Orilia, Francesco, 1956-</t>
  </si>
  <si>
    <t>Philosophical studies series ; v. 113</t>
  </si>
  <si>
    <t>423426026:eng</t>
  </si>
  <si>
    <t>428029227</t>
  </si>
  <si>
    <t>ocn428029227</t>
  </si>
  <si>
    <t>31032492263</t>
  </si>
  <si>
    <t>9789048133116</t>
  </si>
  <si>
    <t>794755864</t>
  </si>
  <si>
    <t>P121 P3</t>
  </si>
  <si>
    <t>0                      P  0121000P  3</t>
  </si>
  <si>
    <t>An introduction to modern linguistics, by L.R. Palmer.</t>
  </si>
  <si>
    <t>Palmer, Leonard R. (Leonard Robert), 1906-1984.</t>
  </si>
  <si>
    <t>London, Macmillan, 1936.</t>
  </si>
  <si>
    <t>1936</t>
  </si>
  <si>
    <t>2703746:eng</t>
  </si>
  <si>
    <t>1923021</t>
  </si>
  <si>
    <t>ocm01923021</t>
  </si>
  <si>
    <t>3102760275X</t>
  </si>
  <si>
    <t>792012041</t>
  </si>
  <si>
    <t>P121 P334 2010</t>
  </si>
  <si>
    <t>0                      P  0121000P  334         2010</t>
  </si>
  <si>
    <t>Linguistics for non-linguists : a primer with exercises / Frank Parker, Kathryn Riley.</t>
  </si>
  <si>
    <t>Parker, Frank, 1946-</t>
  </si>
  <si>
    <t>Boston : Allyn &amp; Bacon, ©2010.</t>
  </si>
  <si>
    <t>2013-10-25</t>
  </si>
  <si>
    <t>2863440630:eng</t>
  </si>
  <si>
    <t>268788478</t>
  </si>
  <si>
    <t>ocn268788478</t>
  </si>
  <si>
    <t>3103396024R</t>
  </si>
  <si>
    <t>9780137152049</t>
  </si>
  <si>
    <t>794408385</t>
  </si>
  <si>
    <t>P121 P37 1965</t>
  </si>
  <si>
    <t>0                      P  0121000P  37          1965</t>
  </si>
  <si>
    <t>The story of language / by Mario Pei.</t>
  </si>
  <si>
    <t>Pei, Mario, 1901-1978.</t>
  </si>
  <si>
    <t>Philadelphia, PA : Lippincott, ©1965.</t>
  </si>
  <si>
    <t>64634613:eng</t>
  </si>
  <si>
    <t>306668</t>
  </si>
  <si>
    <t>ocm00306668</t>
  </si>
  <si>
    <t>3102760260Z</t>
  </si>
  <si>
    <t>791330887</t>
  </si>
  <si>
    <t>2010-07-12</t>
  </si>
  <si>
    <t>3001012320W</t>
  </si>
  <si>
    <t>791330886</t>
  </si>
  <si>
    <t>P121 P437 1985</t>
  </si>
  <si>
    <t>0                      P  0121000P  437         1985</t>
  </si>
  <si>
    <t>The Philosophy of linguistics / edited by Jerrold J. Katz.</t>
  </si>
  <si>
    <t>Oxford [England] ; New York : Oxford University Press, 1985.</t>
  </si>
  <si>
    <t>Oxford readings in philosophy</t>
  </si>
  <si>
    <t>4086730:eng</t>
  </si>
  <si>
    <t>11134462</t>
  </si>
  <si>
    <t>ocm11134462</t>
  </si>
  <si>
    <t>3102760294T</t>
  </si>
  <si>
    <t>9780198750659</t>
  </si>
  <si>
    <t>792759749</t>
  </si>
  <si>
    <t>3102760289V</t>
  </si>
  <si>
    <t>792759748</t>
  </si>
  <si>
    <t>P121 P47 2010</t>
  </si>
  <si>
    <t>0                      P  0121000P  47          2010</t>
  </si>
  <si>
    <t>La linguistique / Jean Perrot.</t>
  </si>
  <si>
    <t>Perrot, Jean, 1925-</t>
  </si>
  <si>
    <t>Paris : Presses universitaires de France, 2010.</t>
  </si>
  <si>
    <t>18e éd.</t>
  </si>
  <si>
    <t>Que sais-je? ; no 570. Lettres</t>
  </si>
  <si>
    <t>22501046:fre</t>
  </si>
  <si>
    <t>707822213</t>
  </si>
  <si>
    <t>ocn707822213</t>
  </si>
  <si>
    <t>3103621128T</t>
  </si>
  <si>
    <t>9782130584575</t>
  </si>
  <si>
    <t>794868123</t>
  </si>
  <si>
    <t>P121 S27</t>
  </si>
  <si>
    <t>0                      P  0121000S  27</t>
  </si>
  <si>
    <t>Field linguistics : a guide to linguistic field work / William J. Samarin.</t>
  </si>
  <si>
    <t>Samarin, William J.</t>
  </si>
  <si>
    <t>New York : Holt, Rinehart and Winston, [1967]</t>
  </si>
  <si>
    <t>2000-01-12</t>
  </si>
  <si>
    <t>2017-12-04</t>
  </si>
  <si>
    <t>2006219:eng</t>
  </si>
  <si>
    <t>1063431</t>
  </si>
  <si>
    <t>ocm01063431</t>
  </si>
  <si>
    <t>31027603243</t>
  </si>
  <si>
    <t>791536614</t>
  </si>
  <si>
    <t>3000993875R</t>
  </si>
  <si>
    <t>791536613</t>
  </si>
  <si>
    <t>31027603253</t>
  </si>
  <si>
    <t>791536612</t>
  </si>
  <si>
    <t>P121 S277</t>
  </si>
  <si>
    <t>0                      P  0121000S  277</t>
  </si>
  <si>
    <t>Making sense / Geoffrey Sampson.</t>
  </si>
  <si>
    <t>Sampson, Geoffrey.</t>
  </si>
  <si>
    <t>Oxford ; New York : Oxford University Press, 1980.</t>
  </si>
  <si>
    <t>414258:eng</t>
  </si>
  <si>
    <t>5831926</t>
  </si>
  <si>
    <t>ocm05831926</t>
  </si>
  <si>
    <t>31027603223</t>
  </si>
  <si>
    <t>9780192159502</t>
  </si>
  <si>
    <t>792457496</t>
  </si>
  <si>
    <t>P121 S34 1967</t>
  </si>
  <si>
    <t>0                      P  0121000S  34          1967</t>
  </si>
  <si>
    <t>Cours de linguistique générale. Éd. critique par Rudolf Engler.</t>
  </si>
  <si>
    <t>Saussure, Ferdinand de, 1857-1913.</t>
  </si>
  <si>
    <t>Wiesbaden, Harrassowitz, 1967-</t>
  </si>
  <si>
    <t>405129:fre</t>
  </si>
  <si>
    <t>1728395</t>
  </si>
  <si>
    <t>ocm01728395</t>
  </si>
  <si>
    <t>31027603185</t>
  </si>
  <si>
    <t>791855673</t>
  </si>
  <si>
    <t>P121 S35 1922</t>
  </si>
  <si>
    <t>0                      P  0121000S  35          1922</t>
  </si>
  <si>
    <t>Cours de linguistique générale / Ferdinand de Saussure ; publíe par Charles Bally ; et Albert Sechehaye ; avec la collaboration de Albert Reidlinger.</t>
  </si>
  <si>
    <t>Paris : Payot, 1922.</t>
  </si>
  <si>
    <t>1922</t>
  </si>
  <si>
    <t>2015-12-13</t>
  </si>
  <si>
    <t>2640864</t>
  </si>
  <si>
    <t>ocm02640864</t>
  </si>
  <si>
    <t>31027603175</t>
  </si>
  <si>
    <t>792156611</t>
  </si>
  <si>
    <t>P121 S36 1931</t>
  </si>
  <si>
    <t>0                      P  0121000S  36          1931</t>
  </si>
  <si>
    <t>Cours de linguistique générale, publié / par Charles Bally et Albert Sechehaye avec la collaboration de Albert Rieldinger.</t>
  </si>
  <si>
    <t>Paris Payot, 1931.</t>
  </si>
  <si>
    <t>1931</t>
  </si>
  <si>
    <t>3e ed.</t>
  </si>
  <si>
    <t>3769906285:fre</t>
  </si>
  <si>
    <t>427975674</t>
  </si>
  <si>
    <t>ocn427975674</t>
  </si>
  <si>
    <t>31027603125</t>
  </si>
  <si>
    <t>794731165</t>
  </si>
  <si>
    <t>P121 S36 1971</t>
  </si>
  <si>
    <t>0                      P  0121000S  36          1971</t>
  </si>
  <si>
    <t>Cours de linguistique générale, publié par Charles Bally ... et Albert Sechehaye ... avec la collaboration de Albert Riedlinger.</t>
  </si>
  <si>
    <t>Paris, Payot, 1971.</t>
  </si>
  <si>
    <t>[3. ed.].</t>
  </si>
  <si>
    <t>Etudes et documents Payot</t>
  </si>
  <si>
    <t>405129:eng</t>
  </si>
  <si>
    <t>1513041</t>
  </si>
  <si>
    <t>ocm01513041</t>
  </si>
  <si>
    <t>31027603135</t>
  </si>
  <si>
    <t>791677767</t>
  </si>
  <si>
    <t>P121 S36 1982</t>
  </si>
  <si>
    <t>0                      P  0121000S  36          1982</t>
  </si>
  <si>
    <t>Cours de linguistique générale / publié par Charles Bally et Albert Sechehaye avec la collaboration de Albert Riedlinger.</t>
  </si>
  <si>
    <t>Paris : Payot, 1982, ©1972.</t>
  </si>
  <si>
    <t>Ed. critique / préparée par Tullio de Mauro.</t>
  </si>
  <si>
    <t>Payothèque</t>
  </si>
  <si>
    <t>10244049</t>
  </si>
  <si>
    <t>ocm10244049</t>
  </si>
  <si>
    <t>31027603165</t>
  </si>
  <si>
    <t>9782228500708</t>
  </si>
  <si>
    <t>792716160</t>
  </si>
  <si>
    <t>P121 S3613 1983</t>
  </si>
  <si>
    <t>0                      P  0121000S  3613        1983</t>
  </si>
  <si>
    <t>Course in general linguistics / F. de Saussure ; edited by Charles Bally and Albert Sechehaye ; with the collaboration of Albert Riedlinger ; translated and annotated by Roy Harris.</t>
  </si>
  <si>
    <t>Saussure, Ferdinand de, 1857-1913, author.</t>
  </si>
  <si>
    <t>London : Duckworth, 1983.</t>
  </si>
  <si>
    <t>Paperduck</t>
  </si>
  <si>
    <t>10200339</t>
  </si>
  <si>
    <t>ocm10200339</t>
  </si>
  <si>
    <t>31028828065</t>
  </si>
  <si>
    <t>9780715616703</t>
  </si>
  <si>
    <t>792714045</t>
  </si>
  <si>
    <t>P121 S363 1966</t>
  </si>
  <si>
    <t>0                      P  0121000S  363         1966</t>
  </si>
  <si>
    <t>Course in general linguistics, edited by Charles Bally and Albert Sechehaye in collaboration with Albert Reidlinger. Translated from the French by Wade Baskin.</t>
  </si>
  <si>
    <t>New York, McGraw-Hill [1966, ©1959]</t>
  </si>
  <si>
    <t>McGraw-Hill paperbacks</t>
  </si>
  <si>
    <t>2014-02-24</t>
  </si>
  <si>
    <t>553329</t>
  </si>
  <si>
    <t>ocm00553329</t>
  </si>
  <si>
    <t>31029005647</t>
  </si>
  <si>
    <t>9780006336068</t>
  </si>
  <si>
    <t>791412480</t>
  </si>
  <si>
    <t>3103006895F</t>
  </si>
  <si>
    <t>791412479</t>
  </si>
  <si>
    <t>3103626359M</t>
  </si>
  <si>
    <t>791412478</t>
  </si>
  <si>
    <t>P121 S363 1986</t>
  </si>
  <si>
    <t>0                      P  0121000S  363         1986</t>
  </si>
  <si>
    <t>Course in general linguistics / Ferdinand de Saussure ; edited by Charles Bally and Albert Sechehaye with the collaboration of Albert Riedlinger ; translated and annotated by Roy Harris.</t>
  </si>
  <si>
    <t>LaSalle, Ill. : Open Court, 1986.</t>
  </si>
  <si>
    <t>13332004</t>
  </si>
  <si>
    <t>ocm13332004</t>
  </si>
  <si>
    <t>3102754468I</t>
  </si>
  <si>
    <t>9780812690088</t>
  </si>
  <si>
    <t>792848851</t>
  </si>
  <si>
    <t>3103512723D</t>
  </si>
  <si>
    <t>792848850</t>
  </si>
  <si>
    <t>P121 S363 1993</t>
  </si>
  <si>
    <t>0                      P  0121000S  363         1993</t>
  </si>
  <si>
    <t>Troisième cours de linguistique générale (1910-1911) : d'après les cahiers d'Emile Constantin = Saussure's third course of lectures on general linguistics (1910-1911) : from the notebooks of Emile Constantin / F. de Saussure ; French text edited by Eisuke Komatsu ; English translation by Roy Harris.</t>
  </si>
  <si>
    <t>Oxford ; New York : Pergamon Press, 1993.</t>
  </si>
  <si>
    <t>Language &amp; communication library ; v. 12</t>
  </si>
  <si>
    <t>890786704:eng</t>
  </si>
  <si>
    <t>28113400</t>
  </si>
  <si>
    <t>ocm28113400</t>
  </si>
  <si>
    <t>31014884916</t>
  </si>
  <si>
    <t>9780080419220</t>
  </si>
  <si>
    <t>793280060</t>
  </si>
  <si>
    <t>P121 S3713 2006</t>
  </si>
  <si>
    <t>0                      P  0121000S  3713        2006</t>
  </si>
  <si>
    <t>Writings in general linguistics / Ferdinand de Saussure.</t>
  </si>
  <si>
    <t>Oxford ; New York : Oxford University Press, 2006.</t>
  </si>
  <si>
    <t>2908496637:eng</t>
  </si>
  <si>
    <t>67240389</t>
  </si>
  <si>
    <t>ocm67240389</t>
  </si>
  <si>
    <t>3102564869D</t>
  </si>
  <si>
    <t>9780199261444</t>
  </si>
  <si>
    <t>794140019</t>
  </si>
  <si>
    <t>P121 S96 1961</t>
  </si>
  <si>
    <t>0                      P  0121000S  96          1961</t>
  </si>
  <si>
    <t>Structure of language and its mathematical aspects : Proceedings of the symposia in applied mathematics / [sponsored by American Mathematical Society, Association for Symbolic Logic, and Linguistic Society of America].</t>
  </si>
  <si>
    <t>Symposium in Applied Mathematics (12th : 1960 : New York)</t>
  </si>
  <si>
    <t>Providence : American Mathematical Society, 1961.</t>
  </si>
  <si>
    <t>Proceedings of symposia in applied mathematics ; v. 12</t>
  </si>
  <si>
    <t>498920866:eng</t>
  </si>
  <si>
    <t>322466</t>
  </si>
  <si>
    <t>ocm00322466</t>
  </si>
  <si>
    <t>3102760372U</t>
  </si>
  <si>
    <t>791336564</t>
  </si>
  <si>
    <t>P121 T77 2011</t>
  </si>
  <si>
    <t>0                      P  0121000T  77          2011</t>
  </si>
  <si>
    <t>Events, phrases, and questions / Robert Truswell.</t>
  </si>
  <si>
    <t>Truswell, Robert.</t>
  </si>
  <si>
    <t>Oxford studies in theoretical linguistics ; 33</t>
  </si>
  <si>
    <t>549302404:eng</t>
  </si>
  <si>
    <t>650215693</t>
  </si>
  <si>
    <t>ocn650215693</t>
  </si>
  <si>
    <t>31033249266</t>
  </si>
  <si>
    <t>9780199577774</t>
  </si>
  <si>
    <t>794832358</t>
  </si>
  <si>
    <t>P121 W22</t>
  </si>
  <si>
    <t>0                      P  0121000W  22</t>
  </si>
  <si>
    <t>Introduction to linguistics.</t>
  </si>
  <si>
    <t>New York, McGraw-Hill [1971, ©1972]</t>
  </si>
  <si>
    <t>2999382154:eng</t>
  </si>
  <si>
    <t>218890</t>
  </si>
  <si>
    <t>ocm00218890</t>
  </si>
  <si>
    <t>3102760358Y</t>
  </si>
  <si>
    <t>9780070681507</t>
  </si>
  <si>
    <t>791297185</t>
  </si>
  <si>
    <t>3102332192Q</t>
  </si>
  <si>
    <t>791297184</t>
  </si>
  <si>
    <t>P121 W58 2015</t>
  </si>
  <si>
    <t>0                      P  0121000W  58          2015</t>
  </si>
  <si>
    <t>Within language, beyond theories / edited by Anna Bondaruk and Anna Prażmowska.</t>
  </si>
  <si>
    <t>2869139629:eng</t>
  </si>
  <si>
    <t>908175765</t>
  </si>
  <si>
    <t>ocn908175765</t>
  </si>
  <si>
    <t>3103607331E</t>
  </si>
  <si>
    <t>9781443872041</t>
  </si>
  <si>
    <t>794994332</t>
  </si>
  <si>
    <t>P121 W64 1996</t>
  </si>
  <si>
    <t>0                      P  0121000W  64          1996</t>
  </si>
  <si>
    <t>Linguistics / H.G. Widdowson.</t>
  </si>
  <si>
    <t>2017-07-27</t>
  </si>
  <si>
    <t>16389833:eng</t>
  </si>
  <si>
    <t>36386677</t>
  </si>
  <si>
    <t>ocm36386677</t>
  </si>
  <si>
    <t>3101594406U</t>
  </si>
  <si>
    <t>9780194372060</t>
  </si>
  <si>
    <t>793474055</t>
  </si>
  <si>
    <t>P121 Z53 2004</t>
  </si>
  <si>
    <t>0                      P  0121000Z  53          2004</t>
  </si>
  <si>
    <t>Initiation à la linguistique / David Zemmour.</t>
  </si>
  <si>
    <t>Zemmour, David.</t>
  </si>
  <si>
    <t>Paris : Ellipses, ©2004.</t>
  </si>
  <si>
    <t>Thèmes &amp; études</t>
  </si>
  <si>
    <t>3901400614:fre</t>
  </si>
  <si>
    <t>55104543</t>
  </si>
  <si>
    <t>ocm55104543</t>
  </si>
  <si>
    <t>3102656625I</t>
  </si>
  <si>
    <t>9782729814120</t>
  </si>
  <si>
    <t>793874417</t>
  </si>
  <si>
    <t>P121 Z53 2008</t>
  </si>
  <si>
    <t>0                      P  0121000Z  53          2008</t>
  </si>
  <si>
    <t>Initiation à la linguistique / Dabid Zemmour.</t>
  </si>
  <si>
    <t>Paris : Ellipses, 2008.</t>
  </si>
  <si>
    <t>Nouv. éd.</t>
  </si>
  <si>
    <t>Thèmes &amp; études . Initiation à</t>
  </si>
  <si>
    <t>277194970</t>
  </si>
  <si>
    <t>ocn277194970</t>
  </si>
  <si>
    <t>3103301029I</t>
  </si>
  <si>
    <t>9782729837679</t>
  </si>
  <si>
    <t>794418530</t>
  </si>
  <si>
    <t>P123 A38 2013</t>
  </si>
  <si>
    <t>0                      P  0123000A  38          2013</t>
  </si>
  <si>
    <t>Proceedings of IATL 2013 / edited by Nurit Melnik.</t>
  </si>
  <si>
    <t>Agudah ha-Yiśreʼelit le-valshanut teʼoretit. Conference (29th : 2013 : Israel?)</t>
  </si>
  <si>
    <t>[Cambridge, Mass.] : MITWPL, [2014?]</t>
  </si>
  <si>
    <t>MIT working papers in linguistics ; 72</t>
  </si>
  <si>
    <t>2506893371:eng</t>
  </si>
  <si>
    <t>915848481</t>
  </si>
  <si>
    <t>ocn915848481</t>
  </si>
  <si>
    <t>31036076207</t>
  </si>
  <si>
    <t>795000658</t>
  </si>
  <si>
    <t>P123 A383 2015</t>
  </si>
  <si>
    <t>0                      P  0123000A  383         2015</t>
  </si>
  <si>
    <t>Proceedings of IATL 2015 / edited by Elitzur A. Bar-Asher Siegal ; [Israel Association for Theoretical Linguistics].</t>
  </si>
  <si>
    <t>Agudah ha-Yiśreʼelit le-valshanut teʼoretit. Conference (31st : 2015 : Jerusalem)</t>
  </si>
  <si>
    <t>[Cambridge, Massachusetts?] : Massachusetts Institute of Technology : MIT Working Papers in Linguistics, [2017?]</t>
  </si>
  <si>
    <t>MIT working papers in linguistics ; 82</t>
  </si>
  <si>
    <t>4519138237:eng</t>
  </si>
  <si>
    <t>1004772018</t>
  </si>
  <si>
    <t>on1004772018</t>
  </si>
  <si>
    <t>31037387048</t>
  </si>
  <si>
    <t>795042158</t>
  </si>
  <si>
    <t>P123 A494 2012</t>
  </si>
  <si>
    <t>0                      P  0123000A  494         2012</t>
  </si>
  <si>
    <t>Proceedings of IATL 2012 / edited by Evan Cohen.</t>
  </si>
  <si>
    <t>Agudah ha-Yiśreʼelit le-valshanut teʼoretit. Conference (28th? : 2012 : Israel?)</t>
  </si>
  <si>
    <t>[Cambridge, Massachusetts?] : MITWPL, [2014]</t>
  </si>
  <si>
    <t>MIT working papers in linguistics ; v. 68</t>
  </si>
  <si>
    <t>2470559063:eng</t>
  </si>
  <si>
    <t>908694632</t>
  </si>
  <si>
    <t>ocn908694632</t>
  </si>
  <si>
    <t>3103610384M</t>
  </si>
  <si>
    <t>794994998</t>
  </si>
  <si>
    <t>P123 A496 2016</t>
  </si>
  <si>
    <t>0                      P  0123000A  496         2016</t>
  </si>
  <si>
    <t>Proceedings of IATL 2016 / edited by Noa Brandel.</t>
  </si>
  <si>
    <t>Agudah ha-Yiśreʼelit le-valshanut teʼoretit. Conference (32nd : 2016 : Jerusalem)</t>
  </si>
  <si>
    <t>MIT Working Papers in Linguistics ; 86</t>
  </si>
  <si>
    <t>4960616506:eng</t>
  </si>
  <si>
    <t>1035017193</t>
  </si>
  <si>
    <t>on1035017193</t>
  </si>
  <si>
    <t>31037382666</t>
  </si>
  <si>
    <t>795057308</t>
  </si>
  <si>
    <t>P123 A496 2017</t>
  </si>
  <si>
    <t>0                      P  0123000A  496         2017</t>
  </si>
  <si>
    <t>Proceedings of IATL 2017 / edited by Noa Brandel.</t>
  </si>
  <si>
    <t>Agudah ha-Yiśreʼelit le-valshanut teʼoretit. Conference (33rd : 2017 : Tel Aviv, Israel)</t>
  </si>
  <si>
    <t>[Cambridge, MA] : MITWPL, [2018?]</t>
  </si>
  <si>
    <t>MIT Working Papers in Linguistics ; 89.</t>
  </si>
  <si>
    <t>8863077877:eng</t>
  </si>
  <si>
    <t>1082264202</t>
  </si>
  <si>
    <t>on1082264202</t>
  </si>
  <si>
    <t>3103812503G</t>
  </si>
  <si>
    <t>795077634</t>
  </si>
  <si>
    <t>P123 A7 1978</t>
  </si>
  <si>
    <t>0                      P  0123000A  7           1978</t>
  </si>
  <si>
    <t>Aspects of bilingualism / edited by Michel Paradis.</t>
  </si>
  <si>
    <t>Columbia, S.C. : Hornbeam Press, ©1978.</t>
  </si>
  <si>
    <t>Congress series</t>
  </si>
  <si>
    <t>14638136:eng</t>
  </si>
  <si>
    <t>4303985</t>
  </si>
  <si>
    <t>ocm04303985</t>
  </si>
  <si>
    <t>31027604182</t>
  </si>
  <si>
    <t>792339522</t>
  </si>
  <si>
    <t>31027604142</t>
  </si>
  <si>
    <t>792339521</t>
  </si>
  <si>
    <t>3000982164Y</t>
  </si>
  <si>
    <t>792339520</t>
  </si>
  <si>
    <t>2004-03-22</t>
  </si>
  <si>
    <t>31027604152</t>
  </si>
  <si>
    <t>792339523</t>
  </si>
  <si>
    <t>P123 B3813</t>
  </si>
  <si>
    <t>0                      P  0123000B  3813</t>
  </si>
  <si>
    <t>Elements of semiology; translated from the French by Annette Lavers and Colin Smith.</t>
  </si>
  <si>
    <t>London, Cape, 1967.</t>
  </si>
  <si>
    <t>Cape editions, 4</t>
  </si>
  <si>
    <t>2019-02-16</t>
  </si>
  <si>
    <t>14019238:eng</t>
  </si>
  <si>
    <t>457481</t>
  </si>
  <si>
    <t>ocm00457481</t>
  </si>
  <si>
    <t>3103590123$</t>
  </si>
  <si>
    <t>791383444</t>
  </si>
  <si>
    <t>2013-03-11</t>
  </si>
  <si>
    <t>31027604084</t>
  </si>
  <si>
    <t>791383446</t>
  </si>
  <si>
    <t>31027604074</t>
  </si>
  <si>
    <t>791383445</t>
  </si>
  <si>
    <t>P123 C28 2013</t>
  </si>
  <si>
    <t>0                      P  0123000C  28          2013</t>
  </si>
  <si>
    <t>Statistical methods in language and linguistic research / Pascual Cantos Gómez.</t>
  </si>
  <si>
    <t>Cantos Gómez, Pascual.</t>
  </si>
  <si>
    <t>Oakville, CT : Equinox Pub. Ltd, 2012.</t>
  </si>
  <si>
    <t>181694051:eng</t>
  </si>
  <si>
    <t>302099959</t>
  </si>
  <si>
    <t>ocn302099959</t>
  </si>
  <si>
    <t>3103496997H</t>
  </si>
  <si>
    <t>9781845534318</t>
  </si>
  <si>
    <t>794433368</t>
  </si>
  <si>
    <t>P123 C53</t>
  </si>
  <si>
    <t>0                      P  0123000C  53</t>
  </si>
  <si>
    <t>New York, Harper &amp; Row [1966]</t>
  </si>
  <si>
    <t>2009-09-03</t>
  </si>
  <si>
    <t>711934</t>
  </si>
  <si>
    <t>ocm00711934</t>
  </si>
  <si>
    <t>3102683228R</t>
  </si>
  <si>
    <t>791452789</t>
  </si>
  <si>
    <t>2007-09-30</t>
  </si>
  <si>
    <t>3102683235P</t>
  </si>
  <si>
    <t>791452787</t>
  </si>
  <si>
    <t>3102683227R</t>
  </si>
  <si>
    <t>791452788</t>
  </si>
  <si>
    <t>P123 D437 1980</t>
  </si>
  <si>
    <t>0                      P  0123000D  437         1980</t>
  </si>
  <si>
    <t>L'emprunt linguistique / Louis Deroy.</t>
  </si>
  <si>
    <t>Deroy, Louis.</t>
  </si>
  <si>
    <t>Paris : Belles lettres, 1980.</t>
  </si>
  <si>
    <t>Nouv. éd., avec corrections et additions.</t>
  </si>
  <si>
    <t>Bibliothèque de la Faculté de philosophie et lettres de l'Université de Liège ; fasc. 141</t>
  </si>
  <si>
    <t>351381175:fre</t>
  </si>
  <si>
    <t>12160823</t>
  </si>
  <si>
    <t>ocm12160823</t>
  </si>
  <si>
    <t>3102760474R</t>
  </si>
  <si>
    <t>792804143</t>
  </si>
  <si>
    <t>P123 G65</t>
  </si>
  <si>
    <t>0                      P  0123000G  65</t>
  </si>
  <si>
    <t>Struttura, forma e sostanza in Hjelmslev / Giorgio Graffi.</t>
  </si>
  <si>
    <t>Graffi, Giorgio.</t>
  </si>
  <si>
    <t>Bologna : Il mulino, [1974]</t>
  </si>
  <si>
    <t>Studi linguistici e semiologici ; 3</t>
  </si>
  <si>
    <t>2703532:ita</t>
  </si>
  <si>
    <t>1970896</t>
  </si>
  <si>
    <t>ocm01970896</t>
  </si>
  <si>
    <t>3102760448X</t>
  </si>
  <si>
    <t>792020551</t>
  </si>
  <si>
    <t>P123 H315</t>
  </si>
  <si>
    <t>0                      P  0123000H  315</t>
  </si>
  <si>
    <t>Introduction to computational linguistics [by] David G. Hays.</t>
  </si>
  <si>
    <t>Hays, David G.</t>
  </si>
  <si>
    <t>New York, American Elsevier Pub. Co. [1967]</t>
  </si>
  <si>
    <t>Mathematical linguistics and automatic language processing ; 2</t>
  </si>
  <si>
    <t>3372508679:eng</t>
  </si>
  <si>
    <t>221047</t>
  </si>
  <si>
    <t>ocm00221047</t>
  </si>
  <si>
    <t>3102760436Z</t>
  </si>
  <si>
    <t>791297892</t>
  </si>
  <si>
    <t>3000063225$</t>
  </si>
  <si>
    <t>791297891</t>
  </si>
  <si>
    <t>P123 H47 1989</t>
  </si>
  <si>
    <t>0                      P  0123000H  47          1989</t>
  </si>
  <si>
    <t>Histoire des idées linguistiques / sous la direction de Sylvain Auroux.</t>
  </si>
  <si>
    <t>Liége ; Bruxelles : Madarga, 1989-</t>
  </si>
  <si>
    <t>5218307121:fre</t>
  </si>
  <si>
    <t>27688114</t>
  </si>
  <si>
    <t>ocm27688114</t>
  </si>
  <si>
    <t>3101399613E</t>
  </si>
  <si>
    <t>9782870093894</t>
  </si>
  <si>
    <t>793269527</t>
  </si>
  <si>
    <t>31037431086</t>
  </si>
  <si>
    <t>793269528</t>
  </si>
  <si>
    <t>P123 H53</t>
  </si>
  <si>
    <t>0                      P  0123000H  53</t>
  </si>
  <si>
    <t>Language, mathematics, and linguistics / by Charles F. Hockett.</t>
  </si>
  <si>
    <t>Hockett, Charles Francis.</t>
  </si>
  <si>
    <t>The Hague : Mouton, 1967.</t>
  </si>
  <si>
    <t>Janua linguarum. Series minor ; nr. 60</t>
  </si>
  <si>
    <t>434107:eng</t>
  </si>
  <si>
    <t>279477</t>
  </si>
  <si>
    <t>ocm00279477</t>
  </si>
  <si>
    <t>3102760519$</t>
  </si>
  <si>
    <t>791321678</t>
  </si>
  <si>
    <t>P123 J34</t>
  </si>
  <si>
    <t>0                      P  0123000J  34</t>
  </si>
  <si>
    <t>The prison-house of language; a critical account of structuralism and Russian formalism.</t>
  </si>
  <si>
    <t>Jameson, Fredric.</t>
  </si>
  <si>
    <t>Princeton, N.J., Princeton University Press [1972]</t>
  </si>
  <si>
    <t>Princeton essays in literature</t>
  </si>
  <si>
    <t>2014-06-16</t>
  </si>
  <si>
    <t>2019-11-01</t>
  </si>
  <si>
    <t>797870646:eng</t>
  </si>
  <si>
    <t>2780382</t>
  </si>
  <si>
    <t>ocm02780382</t>
  </si>
  <si>
    <t>31027605071</t>
  </si>
  <si>
    <t>9780691062204</t>
  </si>
  <si>
    <t>792175307</t>
  </si>
  <si>
    <t>2013-10-11</t>
  </si>
  <si>
    <t>31027605091</t>
  </si>
  <si>
    <t>792175305</t>
  </si>
  <si>
    <t>31027605081</t>
  </si>
  <si>
    <t>792175304</t>
  </si>
  <si>
    <t>2003-11-26</t>
  </si>
  <si>
    <t>31027605061</t>
  </si>
  <si>
    <t>792175306</t>
  </si>
  <si>
    <t>P123 J63 1996</t>
  </si>
  <si>
    <t>0                      P  0123000J  63          1996</t>
  </si>
  <si>
    <t>The linguistic individual : self-expression in language and linguistics / Barbara Johnstone.</t>
  </si>
  <si>
    <t>Johnstone, Barbara.</t>
  </si>
  <si>
    <t>797224152:eng</t>
  </si>
  <si>
    <t>32665495</t>
  </si>
  <si>
    <t>ocm32665495</t>
  </si>
  <si>
    <t>31027605051</t>
  </si>
  <si>
    <t>9780195101843</t>
  </si>
  <si>
    <t>793391247</t>
  </si>
  <si>
    <t>P123 K27</t>
  </si>
  <si>
    <t>0                      P  0123000K  27</t>
  </si>
  <si>
    <t>An integrated theory of linguistic descriptions / by Jerrold J. Katz, Paul M. Postal.</t>
  </si>
  <si>
    <t>Cambridge : M.I.T. Press, [1964]</t>
  </si>
  <si>
    <t>Special technical report ; no. 9</t>
  </si>
  <si>
    <t>4915256004:eng</t>
  </si>
  <si>
    <t>308346</t>
  </si>
  <si>
    <t>ocm00308346</t>
  </si>
  <si>
    <t>31027605041</t>
  </si>
  <si>
    <t>9780262110112</t>
  </si>
  <si>
    <t>791331661</t>
  </si>
  <si>
    <t>31027605031</t>
  </si>
  <si>
    <t>791331660</t>
  </si>
  <si>
    <t>P123 K47 1980</t>
  </si>
  <si>
    <t>0                      P  0123000K  47          1980</t>
  </si>
  <si>
    <t>L'énonciation de la subjectivité dans le langage / Catherine Kerbrat-Orecchioni.</t>
  </si>
  <si>
    <t>Paris : A. Colin, ©1980.</t>
  </si>
  <si>
    <t>353355959:fre</t>
  </si>
  <si>
    <t>9852518</t>
  </si>
  <si>
    <t>ocm09852518</t>
  </si>
  <si>
    <t>3103551492T</t>
  </si>
  <si>
    <t>9782200311759</t>
  </si>
  <si>
    <t>792696677</t>
  </si>
  <si>
    <t>P123 L36 1998</t>
  </si>
  <si>
    <t>0                      P  0123000L  36          1998</t>
  </si>
  <si>
    <t>Language myths / edited by Laurie Bauer and Peter Trudgill.</t>
  </si>
  <si>
    <t>London ; New York : Penguin Books, 1998.</t>
  </si>
  <si>
    <t>351877896:eng</t>
  </si>
  <si>
    <t>40539606</t>
  </si>
  <si>
    <t>ocm40539606</t>
  </si>
  <si>
    <t>31027605011</t>
  </si>
  <si>
    <t>9780140260236</t>
  </si>
  <si>
    <t>793569447</t>
  </si>
  <si>
    <t>P123 L379</t>
  </si>
  <si>
    <t>0                      P  0123000L  379</t>
  </si>
  <si>
    <t>Language, ethnicity, and intergroup relations / [compiled by] Howard Giles.</t>
  </si>
  <si>
    <t>London ; New York : Academic Press, 1977.</t>
  </si>
  <si>
    <t>European monographs in social psychology ; no. 13</t>
  </si>
  <si>
    <t>2013-09-12</t>
  </si>
  <si>
    <t>146917521:eng</t>
  </si>
  <si>
    <t>3956637</t>
  </si>
  <si>
    <t>ocm03956637</t>
  </si>
  <si>
    <t>3102760496N</t>
  </si>
  <si>
    <t>9780122837401</t>
  </si>
  <si>
    <t>792308467</t>
  </si>
  <si>
    <t>31034749516</t>
  </si>
  <si>
    <t>792308468</t>
  </si>
  <si>
    <t>P123 M22</t>
  </si>
  <si>
    <t>0                      P  0123000M  22</t>
  </si>
  <si>
    <t>Algebraic linguistics; analytical models.</t>
  </si>
  <si>
    <t>Marcus, Solomon.</t>
  </si>
  <si>
    <t>New York, Academic Press, 1967.</t>
  </si>
  <si>
    <t>Mathematics in science and engineering v. 29</t>
  </si>
  <si>
    <t>1896352:eng</t>
  </si>
  <si>
    <t>952809</t>
  </si>
  <si>
    <t>ocm00952809</t>
  </si>
  <si>
    <t>3000063226Y</t>
  </si>
  <si>
    <t>9780124708501</t>
  </si>
  <si>
    <t>791510492</t>
  </si>
  <si>
    <t>3102760486P</t>
  </si>
  <si>
    <t>791510491</t>
  </si>
  <si>
    <t>P123 M49</t>
  </si>
  <si>
    <t>0                      P  0123000M  49</t>
  </si>
  <si>
    <t>Principles of Firthian linguistics / T.F. Mitchell.</t>
  </si>
  <si>
    <t>Mitchell, T. F., author.</t>
  </si>
  <si>
    <t>Longman linguistics library ; no. 19</t>
  </si>
  <si>
    <t>3233196:eng</t>
  </si>
  <si>
    <t>1849305</t>
  </si>
  <si>
    <t>ocm01849305</t>
  </si>
  <si>
    <t>3102760560Q</t>
  </si>
  <si>
    <t>9780582524552</t>
  </si>
  <si>
    <t>791998832</t>
  </si>
  <si>
    <t>3000976116V</t>
  </si>
  <si>
    <t>791998831</t>
  </si>
  <si>
    <t>P123 N48 2000</t>
  </si>
  <si>
    <t>0                      P  0123000N  48          2000</t>
  </si>
  <si>
    <t>Folk linguistics / by Nancy A. Niedzielski, Dennis R. Preston.</t>
  </si>
  <si>
    <t>Niedzielski, Nancy A., 1964-</t>
  </si>
  <si>
    <t>Berlin : Mouton de Gruyter, 2000.</t>
  </si>
  <si>
    <t>9593469178:eng</t>
  </si>
  <si>
    <t>59423576</t>
  </si>
  <si>
    <t>ocm59423576</t>
  </si>
  <si>
    <t>3102760554S</t>
  </si>
  <si>
    <t>9783110162516</t>
  </si>
  <si>
    <t>793929935</t>
  </si>
  <si>
    <t>P123 P85 2018</t>
  </si>
  <si>
    <t>0                      P  0123000P  85          2018</t>
  </si>
  <si>
    <t>Linguistics : why it matters / Geoffrey K. Pullum.</t>
  </si>
  <si>
    <t>Pullum, Geoffrey K., author.</t>
  </si>
  <si>
    <t>Cambridge, UK ; Medford, MA, USA : Polity Press, 2018.</t>
  </si>
  <si>
    <t>Polity's Why it matters series</t>
  </si>
  <si>
    <t>5404657647:eng</t>
  </si>
  <si>
    <t>1050141407</t>
  </si>
  <si>
    <t>on1050141407</t>
  </si>
  <si>
    <t>3103704836T</t>
  </si>
  <si>
    <t>9781509530762</t>
  </si>
  <si>
    <t>795061346</t>
  </si>
  <si>
    <t>P123 S47</t>
  </si>
  <si>
    <t>0                      P  0123000S  47</t>
  </si>
  <si>
    <t>Sound change, by D.N. Shankara Bhat.</t>
  </si>
  <si>
    <t>Shankara Bhat, D. N., 1935-</t>
  </si>
  <si>
    <t>Poona, Bhasha Prakashan, 1972.</t>
  </si>
  <si>
    <t>1807049:eng</t>
  </si>
  <si>
    <t>694979</t>
  </si>
  <si>
    <t>ocm00694979</t>
  </si>
  <si>
    <t>3102760590K</t>
  </si>
  <si>
    <t>791448103</t>
  </si>
  <si>
    <t>P123 T67</t>
  </si>
  <si>
    <t>0                      P  0123000T  67</t>
  </si>
  <si>
    <t>Linguistics for students of literature / Elizabeth Closs Traugott, Mary Louise Pratt.</t>
  </si>
  <si>
    <t>Traugott, Elizabeth Closs.</t>
  </si>
  <si>
    <t>New York : Harcourt Brace Jovanovich, ©1980.</t>
  </si>
  <si>
    <t>413824:eng</t>
  </si>
  <si>
    <t>6304268</t>
  </si>
  <si>
    <t>ocm06304268</t>
  </si>
  <si>
    <t>3102760581M</t>
  </si>
  <si>
    <t>9780155510302</t>
  </si>
  <si>
    <t>792489880</t>
  </si>
  <si>
    <t>P123 W3</t>
  </si>
  <si>
    <t>0                      P  0123000W  3</t>
  </si>
  <si>
    <t>Introduction to mathematical linguistics.</t>
  </si>
  <si>
    <t>Wall, Robert Eugene.</t>
  </si>
  <si>
    <t>Englewood Cliffs, N.J. : Prentice-Hall, [1972]</t>
  </si>
  <si>
    <t>2017-01-23</t>
  </si>
  <si>
    <t>3372496416:eng</t>
  </si>
  <si>
    <t>403022</t>
  </si>
  <si>
    <t>ocm00403022</t>
  </si>
  <si>
    <t>3102760569Q</t>
  </si>
  <si>
    <t>9780134874968</t>
  </si>
  <si>
    <t>791367163</t>
  </si>
  <si>
    <t>P125 C468 2008</t>
  </si>
  <si>
    <t>0                      P  0125000C  468         2008</t>
  </si>
  <si>
    <t>The essential Chomsky / Noam Chomsky ; edited by Anthony Arnove.</t>
  </si>
  <si>
    <t>New York : New Press, 2008.</t>
  </si>
  <si>
    <t>47804517:eng</t>
  </si>
  <si>
    <t>154706789</t>
  </si>
  <si>
    <t>ocn154706789</t>
  </si>
  <si>
    <t>31026495578</t>
  </si>
  <si>
    <t>9781595583222</t>
  </si>
  <si>
    <t>794252530</t>
  </si>
  <si>
    <t>P125 H87 2010</t>
  </si>
  <si>
    <t>0                      P  0125000H  87          2010</t>
  </si>
  <si>
    <t>Hypothesis A-Hypothesis B : linguistic explorations in honor of David M. Perlmutter / Donna B. Gerdts, John C. Moore, and Maria Polinsky, editors.</t>
  </si>
  <si>
    <t>Current studies in linguistics ; 49</t>
  </si>
  <si>
    <t>1076481898:eng</t>
  </si>
  <si>
    <t>317574198</t>
  </si>
  <si>
    <t>ocn317574198</t>
  </si>
  <si>
    <t>31031133258</t>
  </si>
  <si>
    <t>9780262134873</t>
  </si>
  <si>
    <t>794454633</t>
  </si>
  <si>
    <t>P125 I58 2000</t>
  </si>
  <si>
    <t>0                      P  0125000I  58          2000</t>
  </si>
  <si>
    <t>Corpus linguistics and linguistic theory / edited by Christian Mair and Marianne Hundt.</t>
  </si>
  <si>
    <t>International Conference on English Language Research on Computerized Corpora (20th : 1999 : Freiburg im Breisgau)</t>
  </si>
  <si>
    <t>Amsterdam : Rodolpi, ©2000.</t>
  </si>
  <si>
    <t>Language and computers ; no. 33</t>
  </si>
  <si>
    <t>2015-07-17</t>
  </si>
  <si>
    <t>890678642:eng</t>
  </si>
  <si>
    <t>46340647</t>
  </si>
  <si>
    <t>ocm46340647</t>
  </si>
  <si>
    <t>3102760633T</t>
  </si>
  <si>
    <t>9789042014930</t>
  </si>
  <si>
    <t>793682734</t>
  </si>
  <si>
    <t>P125 L55 1985</t>
  </si>
  <si>
    <t>0                      P  0125000L  55          1985</t>
  </si>
  <si>
    <t>La Linguistique fantastique / sous la direction de Sylvain Auroux [and others].</t>
  </si>
  <si>
    <t>Paris : Joseph Clims : Denoël, ©1985.</t>
  </si>
  <si>
    <t>351119245:fre</t>
  </si>
  <si>
    <t>12574243</t>
  </si>
  <si>
    <t>ocm12574243</t>
  </si>
  <si>
    <t>3102760627V</t>
  </si>
  <si>
    <t>9782207230930</t>
  </si>
  <si>
    <t>792819744</t>
  </si>
  <si>
    <t>P125 P46 2012</t>
  </si>
  <si>
    <t>0                      P  0125000P  46          2012</t>
  </si>
  <si>
    <t>Per Tullio De Mauro : studi offerti dalle allieve in occasione del suo 80o compleanno / a cura di Anna M. Thornton, Miriam Voghera.</t>
  </si>
  <si>
    <t>Roma : Aracne, 2012.</t>
  </si>
  <si>
    <t>1. ed.</t>
  </si>
  <si>
    <t>1103123127:ita</t>
  </si>
  <si>
    <t>788215038</t>
  </si>
  <si>
    <t>ocn788215038</t>
  </si>
  <si>
    <t>3103125777A</t>
  </si>
  <si>
    <t>9788854846746</t>
  </si>
  <si>
    <t>794916189</t>
  </si>
  <si>
    <t>P125 S37 2003</t>
  </si>
  <si>
    <t>0                      P  0125000S  37          2003</t>
  </si>
  <si>
    <t>The second Glot international state-of-the-article book : the latest in linguistics / edited by Lisa Cheng, Rint Sybesma.</t>
  </si>
  <si>
    <t>Studies in generative grammar ; 61</t>
  </si>
  <si>
    <t>2018-09-08</t>
  </si>
  <si>
    <t>865004815:eng</t>
  </si>
  <si>
    <t>50478438</t>
  </si>
  <si>
    <t>ocm50478438</t>
  </si>
  <si>
    <t>3102760613X</t>
  </si>
  <si>
    <t>9783110171396</t>
  </si>
  <si>
    <t>793765730</t>
  </si>
  <si>
    <t>P126 C66 1992</t>
  </si>
  <si>
    <t>0                      P  0126000C  66          1992</t>
  </si>
  <si>
    <t>Contemporary linguistic analysis : an introduction / edited by William O'Grady and Michael Dobrovolsky.</t>
  </si>
  <si>
    <t>Toronto : Copp Clark Pitman, c1992.</t>
  </si>
  <si>
    <t>2006-09-30</t>
  </si>
  <si>
    <t>3810827320:eng</t>
  </si>
  <si>
    <t>25096032</t>
  </si>
  <si>
    <t>ocm25096032</t>
  </si>
  <si>
    <t>3102756186F</t>
  </si>
  <si>
    <t>9780773051973</t>
  </si>
  <si>
    <t>793212320</t>
  </si>
  <si>
    <t>3101945987I</t>
  </si>
  <si>
    <t>793212319</t>
  </si>
  <si>
    <t>P126 C66 2000</t>
  </si>
  <si>
    <t>0                      P  0126000C  66          2000</t>
  </si>
  <si>
    <t>Contemporary linguistic analysis : an introduction / edited by William O'Grady and John Archibald.</t>
  </si>
  <si>
    <t>Toronto : Addison Wesley Longman, 2000.</t>
  </si>
  <si>
    <t>2008-04-03</t>
  </si>
  <si>
    <t>43277214</t>
  </si>
  <si>
    <t>ocm43277214</t>
  </si>
  <si>
    <t>31027844643</t>
  </si>
  <si>
    <t>9780201478129</t>
  </si>
  <si>
    <t>793622779</t>
  </si>
  <si>
    <t>3102810057P</t>
  </si>
  <si>
    <t>793622778</t>
  </si>
  <si>
    <t>2014-09-16</t>
  </si>
  <si>
    <t>3102368701O</t>
  </si>
  <si>
    <t>793622777</t>
  </si>
  <si>
    <t>P126 C66 2004</t>
  </si>
  <si>
    <t>0                      P  0126000C  66          2004</t>
  </si>
  <si>
    <t>Toronto : Pearson/Longman, c2004.</t>
  </si>
  <si>
    <t>53793404</t>
  </si>
  <si>
    <t>ocm53793404</t>
  </si>
  <si>
    <t>3102798366M</t>
  </si>
  <si>
    <t>9780321153944</t>
  </si>
  <si>
    <t>793850372</t>
  </si>
  <si>
    <t>2013-02-12</t>
  </si>
  <si>
    <t>3102798848B</t>
  </si>
  <si>
    <t>793850370</t>
  </si>
  <si>
    <t>3102798843B</t>
  </si>
  <si>
    <t>793850371</t>
  </si>
  <si>
    <t>3102798361M</t>
  </si>
  <si>
    <t>793850369</t>
  </si>
  <si>
    <t>3102798356O</t>
  </si>
  <si>
    <t>793850368</t>
  </si>
  <si>
    <t>P126 C66 2009</t>
  </si>
  <si>
    <t>0                      P  0126000C  66          2009</t>
  </si>
  <si>
    <t>Toronto : Pearson Longman, ©2009 [i.e. 2008]</t>
  </si>
  <si>
    <t>2016-05-10</t>
  </si>
  <si>
    <t>190965410</t>
  </si>
  <si>
    <t>ocn190965410</t>
  </si>
  <si>
    <t>3103068885G</t>
  </si>
  <si>
    <t>9780321476661</t>
  </si>
  <si>
    <t>794296479</t>
  </si>
  <si>
    <t>3103104318B</t>
  </si>
  <si>
    <t>794296480</t>
  </si>
  <si>
    <t>3103068900T</t>
  </si>
  <si>
    <t>794296481</t>
  </si>
  <si>
    <t>P126 C66 2012</t>
  </si>
  <si>
    <t>0                      P  0126000C  66          2012</t>
  </si>
  <si>
    <t>Toronto : Pearson Canada, 2012.</t>
  </si>
  <si>
    <t>2019-09-07</t>
  </si>
  <si>
    <t>2019-09-13</t>
  </si>
  <si>
    <t>747768141</t>
  </si>
  <si>
    <t>ocn747768141</t>
  </si>
  <si>
    <t>3103743268L</t>
  </si>
  <si>
    <t>9780321714510</t>
  </si>
  <si>
    <t>794888475</t>
  </si>
  <si>
    <t>31038596582</t>
  </si>
  <si>
    <t>794888472</t>
  </si>
  <si>
    <t>3103348921H</t>
  </si>
  <si>
    <t>794888473</t>
  </si>
  <si>
    <t>31034103076</t>
  </si>
  <si>
    <t>794888474</t>
  </si>
  <si>
    <t>P126 C66 2015</t>
  </si>
  <si>
    <t>0                      P  0126000C  66          2015</t>
  </si>
  <si>
    <t>Toronto : Pearson Canada, ©2016.</t>
  </si>
  <si>
    <t>Eighth edition.</t>
  </si>
  <si>
    <t>976501171</t>
  </si>
  <si>
    <t>ocn976501171</t>
  </si>
  <si>
    <t>3103903355$</t>
  </si>
  <si>
    <t>9780321836151</t>
  </si>
  <si>
    <t>795030459</t>
  </si>
  <si>
    <t>3103903377Q</t>
  </si>
  <si>
    <t>795030458</t>
  </si>
  <si>
    <t>3103903429X</t>
  </si>
  <si>
    <t>795030461</t>
  </si>
  <si>
    <t>4</t>
  </si>
  <si>
    <t>3103903382X</t>
  </si>
  <si>
    <t>795030460</t>
  </si>
  <si>
    <t>P126 C676 2011</t>
  </si>
  <si>
    <t>0                      P  0126000C  676         2011</t>
  </si>
  <si>
    <t>Converging evidence : methodological and theoretical issues for linguistic research / edited by Doris Schönefeld.</t>
  </si>
  <si>
    <t>Human cognitive processing (HCP), 1387-6724 ; vol. 33</t>
  </si>
  <si>
    <t>958674021:eng</t>
  </si>
  <si>
    <t>743277989</t>
  </si>
  <si>
    <t>ocn743277989</t>
  </si>
  <si>
    <t>3103406272D</t>
  </si>
  <si>
    <t>9789027223876</t>
  </si>
  <si>
    <t>794885632</t>
  </si>
  <si>
    <t>P126 C68 C54 2012</t>
  </si>
  <si>
    <t>0                      P  0126000C  68                 C  54          2012</t>
  </si>
  <si>
    <t>Exploring corpus linguistics : language in action / Winnie Cheng.</t>
  </si>
  <si>
    <t>Cheng, Winnie.</t>
  </si>
  <si>
    <t>London ; New York, NY : Routledge, 2012.</t>
  </si>
  <si>
    <t>687608730:eng</t>
  </si>
  <si>
    <t>671700616</t>
  </si>
  <si>
    <t>ocn671700616</t>
  </si>
  <si>
    <t>3103382558R</t>
  </si>
  <si>
    <t>9780415585460</t>
  </si>
  <si>
    <t>794849002</t>
  </si>
  <si>
    <t>P126 D59 2010</t>
  </si>
  <si>
    <t>0                      P  0126000D  59          2010</t>
  </si>
  <si>
    <t>Basic linguistic theory / R.M.W. Dixon.</t>
  </si>
  <si>
    <t>Oxford ; New York : Oxford University Press, [2010]-[2012].</t>
  </si>
  <si>
    <t>2010-06-07</t>
  </si>
  <si>
    <t>3373848084:eng</t>
  </si>
  <si>
    <t>461245121</t>
  </si>
  <si>
    <t>ocn461245121</t>
  </si>
  <si>
    <t>3102860431T</t>
  </si>
  <si>
    <t>9780199571055</t>
  </si>
  <si>
    <t>794791349</t>
  </si>
  <si>
    <t>31031305058</t>
  </si>
  <si>
    <t>794791348</t>
  </si>
  <si>
    <t>3103431108Z</t>
  </si>
  <si>
    <t>794791347</t>
  </si>
  <si>
    <t>P126 E44 2012</t>
  </si>
  <si>
    <t>0                      P  0126000E  44          2012</t>
  </si>
  <si>
    <t>Empirical approaches to linguistic theory : studies in meaning and structure / edited by Britta Stolterfoht, Sam Featherston.</t>
  </si>
  <si>
    <t>Berlin ; Boston : De Gruyter Mouton, ©2012.</t>
  </si>
  <si>
    <t>Studies in generative grammar, 0167-4331 ; 111</t>
  </si>
  <si>
    <t>2013-03-22</t>
  </si>
  <si>
    <t>1171948093:eng</t>
  </si>
  <si>
    <t>783142391</t>
  </si>
  <si>
    <t>ocn783142391</t>
  </si>
  <si>
    <t>31034699071</t>
  </si>
  <si>
    <t>9781614510895</t>
  </si>
  <si>
    <t>794913872</t>
  </si>
  <si>
    <t>P126 F67 2009</t>
  </si>
  <si>
    <t>0                      P  0126000F  67          2009</t>
  </si>
  <si>
    <t>Formulaic language / edited by Roberta L. Corrigan [and others].</t>
  </si>
  <si>
    <t>Philadelphia : John Benjamins, ©2009.</t>
  </si>
  <si>
    <t>Typological studies in language, 0167-7373 ; 82-83</t>
  </si>
  <si>
    <t>10033174754:eng</t>
  </si>
  <si>
    <t>258770310</t>
  </si>
  <si>
    <t>ocn258770310</t>
  </si>
  <si>
    <t>3103086729T</t>
  </si>
  <si>
    <t>9789027229977</t>
  </si>
  <si>
    <t>794399543</t>
  </si>
  <si>
    <t>3103086728T</t>
  </si>
  <si>
    <t>794399544</t>
  </si>
  <si>
    <t>P126 G73 2010</t>
  </si>
  <si>
    <t>0                      P  0126000G  73          2010</t>
  </si>
  <si>
    <t>Grammatical change : theory and description / edited by Rachel Hendery and Jennifer Hendriks.</t>
  </si>
  <si>
    <t>Canberra, ACT : Pacific Linguistics : Centre for Research on Language Change, 2010.</t>
  </si>
  <si>
    <t>Pacific linguistics ; 609</t>
  </si>
  <si>
    <t>398463011:eng</t>
  </si>
  <si>
    <t>526271601</t>
  </si>
  <si>
    <t>ocn526271601</t>
  </si>
  <si>
    <t>31032858876</t>
  </si>
  <si>
    <t>9780858836082</t>
  </si>
  <si>
    <t>794809173</t>
  </si>
  <si>
    <t>P126 H5 1991</t>
  </si>
  <si>
    <t>0                      P  0126000H  5           1991</t>
  </si>
  <si>
    <t>On the methodology of linguistics : a case study / Jaakko Hintikka and Gabriel Sandu.</t>
  </si>
  <si>
    <t>Hintikka, Jaakko, 1929-2015.</t>
  </si>
  <si>
    <t>836885928:eng</t>
  </si>
  <si>
    <t>21333523</t>
  </si>
  <si>
    <t>ocm21333523</t>
  </si>
  <si>
    <t>3102756187F</t>
  </si>
  <si>
    <t>9780631177173</t>
  </si>
  <si>
    <t>793115852</t>
  </si>
  <si>
    <t>P126 I34 1990</t>
  </si>
  <si>
    <t>0                      P  0126000I  34          1990</t>
  </si>
  <si>
    <t>Ideologies of language / edited by John E. Joseph and Talbot J. Taylor.</t>
  </si>
  <si>
    <t>Routledge politics of language series</t>
  </si>
  <si>
    <t>349906242:eng</t>
  </si>
  <si>
    <t>21297329</t>
  </si>
  <si>
    <t>ocm21297329</t>
  </si>
  <si>
    <t>3102756181F</t>
  </si>
  <si>
    <t>9780415046800</t>
  </si>
  <si>
    <t>793114600</t>
  </si>
  <si>
    <t>P126 I585 2009</t>
  </si>
  <si>
    <t>0                      P  0126000I  585         2009</t>
  </si>
  <si>
    <t>InterPhases : phase-theoretic investigations of linguistic interfaces / edited by Kleanthes K. Grohmann.</t>
  </si>
  <si>
    <t>1051909624:eng</t>
  </si>
  <si>
    <t>253213362</t>
  </si>
  <si>
    <t>ocn253213362</t>
  </si>
  <si>
    <t>3102857679T</t>
  </si>
  <si>
    <t>9780199541133</t>
  </si>
  <si>
    <t>794389845</t>
  </si>
  <si>
    <t>P126 K43 2012</t>
  </si>
  <si>
    <t>0                      P  0126000K  43          2012</t>
  </si>
  <si>
    <t>Data and evidence in linguistics : a plausible argumentation model / András Kertész, Csilla Rákosi.</t>
  </si>
  <si>
    <t>Kertész, András.</t>
  </si>
  <si>
    <t>1088026645:eng</t>
  </si>
  <si>
    <t>756578569</t>
  </si>
  <si>
    <t>ocn756578569</t>
  </si>
  <si>
    <t>31034086145</t>
  </si>
  <si>
    <t>9781107009240</t>
  </si>
  <si>
    <t>794894575</t>
  </si>
  <si>
    <t>P126 L53 2011</t>
  </si>
  <si>
    <t>0                      P  0126000L  53          2011</t>
  </si>
  <si>
    <t>Linguistic theory and empirical evidence / edited by Bob de Jonge, Yishai Tobin.</t>
  </si>
  <si>
    <t>Studies in functional and structural linguistics ; v. 64</t>
  </si>
  <si>
    <t>2015-10-16</t>
  </si>
  <si>
    <t>1075477925:eng</t>
  </si>
  <si>
    <t>704557398</t>
  </si>
  <si>
    <t>ocn704557398</t>
  </si>
  <si>
    <t>3103406219P</t>
  </si>
  <si>
    <t>9789027215741</t>
  </si>
  <si>
    <t>794865793</t>
  </si>
  <si>
    <t>P126 M39 2014</t>
  </si>
  <si>
    <t>0                      P  0126000M  39          2014</t>
  </si>
  <si>
    <t>Measured language : quantitative approaches to acquisition, assessment, and variation / Jeffrey Connor-Linton and Luke Wander Amoroso, Editors.</t>
  </si>
  <si>
    <t>1873718685:eng</t>
  </si>
  <si>
    <t>854760715</t>
  </si>
  <si>
    <t>ocn854760715</t>
  </si>
  <si>
    <t>3103198341I</t>
  </si>
  <si>
    <t>9781626160378</t>
  </si>
  <si>
    <t>794952707</t>
  </si>
  <si>
    <t>3103198342I</t>
  </si>
  <si>
    <t>794952706</t>
  </si>
  <si>
    <t>P126 M427 2012</t>
  </si>
  <si>
    <t>0                      P  0126000M  427         2012</t>
  </si>
  <si>
    <t>Methods in contemporary linguistics / edited by Andrea Ender, Adrian Leemann, Bernhard Wälchli.</t>
  </si>
  <si>
    <t>Trends in linguistics: studies and monographs ; 247</t>
  </si>
  <si>
    <t>1167222213:eng</t>
  </si>
  <si>
    <t>798612785</t>
  </si>
  <si>
    <t>ocn798612785</t>
  </si>
  <si>
    <t>3103412740F</t>
  </si>
  <si>
    <t>9783110284669</t>
  </si>
  <si>
    <t>794923839</t>
  </si>
  <si>
    <t>P126 M65 2011</t>
  </si>
  <si>
    <t>0                      P  0126000M  65          2011</t>
  </si>
  <si>
    <t>Motivation in grammar and the lexicon / edited by Klaus-Uwe Panther, Günter Radden.</t>
  </si>
  <si>
    <t>Human cognitive processing (HCP) ; vol. 27</t>
  </si>
  <si>
    <t>2012-11-30</t>
  </si>
  <si>
    <t>1004985236:eng</t>
  </si>
  <si>
    <t>697980013</t>
  </si>
  <si>
    <t>ocn697980013</t>
  </si>
  <si>
    <t>3103363114G</t>
  </si>
  <si>
    <t>9789027223814</t>
  </si>
  <si>
    <t>794860517</t>
  </si>
  <si>
    <t>P126 O94 2010</t>
  </si>
  <si>
    <t>0                      P  0126000O  94          2010</t>
  </si>
  <si>
    <t>The Oxford handbook of linguistic analysis / edited by Bernd Heine and Heiko Narrog.</t>
  </si>
  <si>
    <t>259914050:eng</t>
  </si>
  <si>
    <t>373478787</t>
  </si>
  <si>
    <t>ocn373478787</t>
  </si>
  <si>
    <t>31031310549</t>
  </si>
  <si>
    <t>9780199544004</t>
  </si>
  <si>
    <t>794494878</t>
  </si>
  <si>
    <t>P126 O985 2007</t>
  </si>
  <si>
    <t>0                      P  0126000O  985         2007</t>
  </si>
  <si>
    <t>The Oxford handbook of linguistic interfaces / edited by Gillian Ramchand and Charles Reiss.</t>
  </si>
  <si>
    <t>766941373:eng</t>
  </si>
  <si>
    <t>71350503</t>
  </si>
  <si>
    <t>ocm71350503</t>
  </si>
  <si>
    <t>3102569229J</t>
  </si>
  <si>
    <t>9780199247455</t>
  </si>
  <si>
    <t>794166101</t>
  </si>
  <si>
    <t>P126 P48 1982</t>
  </si>
  <si>
    <t>0                      P  0126000P  48          1982</t>
  </si>
  <si>
    <t>Grammatical analysis / Kenneth L. Pike and Evelyn G. Pike.</t>
  </si>
  <si>
    <t>text</t>
  </si>
  <si>
    <t>Dallas, TX : Summer Institute of Linguistics : University of Texas at Arlington, 1982.</t>
  </si>
  <si>
    <t>Summer Institute of Linguistics publications in linguistics ; no. 53</t>
  </si>
  <si>
    <t>69954908:eng</t>
  </si>
  <si>
    <t>9079488</t>
  </si>
  <si>
    <t>ocm09079488</t>
  </si>
  <si>
    <t>3102756169J</t>
  </si>
  <si>
    <t>9780883120859</t>
  </si>
  <si>
    <t>792655612</t>
  </si>
  <si>
    <t>suppl. 1984</t>
  </si>
  <si>
    <t>3102756166J</t>
  </si>
  <si>
    <t>792655613</t>
  </si>
  <si>
    <t>P126 P84 2011</t>
  </si>
  <si>
    <t>0                      P  0126000P  84          2011</t>
  </si>
  <si>
    <t>Linguistic analysis : from data to theory / by Annarita Puglielli, Mara Frascarelli ; editor responsible for this volume, Walter Bisang.</t>
  </si>
  <si>
    <t>Puglielli, Annarita.</t>
  </si>
  <si>
    <t>Trends in linguistics. Studies and monographs ; 220</t>
  </si>
  <si>
    <t>762048206:eng</t>
  </si>
  <si>
    <t>688559519</t>
  </si>
  <si>
    <t>ocn688559519</t>
  </si>
  <si>
    <t>31033454169</t>
  </si>
  <si>
    <t>9783110222500</t>
  </si>
  <si>
    <t>794854468</t>
  </si>
  <si>
    <t>P126 R29 2008</t>
  </si>
  <si>
    <t>0                      P  0126000R  29          2008</t>
  </si>
  <si>
    <t>Quantitative research in linguistics : an introduction / Sebastian M. Rasinger.</t>
  </si>
  <si>
    <t>Rasinger, Sebastian M. (Sebastian Marc), 1977-</t>
  </si>
  <si>
    <t>Research methods in linguistics</t>
  </si>
  <si>
    <t>803920318:eng</t>
  </si>
  <si>
    <t>182732253</t>
  </si>
  <si>
    <t>ocn182732253</t>
  </si>
  <si>
    <t>31029719065</t>
  </si>
  <si>
    <t>9780826496027</t>
  </si>
  <si>
    <t>794285281</t>
  </si>
  <si>
    <t>P126 R465 2010</t>
  </si>
  <si>
    <t>0                      P  0126000R  465         2010</t>
  </si>
  <si>
    <t>Research methods in linguistics / edited by Lia Litosseliti.</t>
  </si>
  <si>
    <t>2011-02-12</t>
  </si>
  <si>
    <t>195193902:eng</t>
  </si>
  <si>
    <t>317928339</t>
  </si>
  <si>
    <t>ocn317928339</t>
  </si>
  <si>
    <t>3103132717T</t>
  </si>
  <si>
    <t>9780826489920</t>
  </si>
  <si>
    <t>794477223</t>
  </si>
  <si>
    <t>P126 R465 2018</t>
  </si>
  <si>
    <t>0                      P  0126000R  465         2018</t>
  </si>
  <si>
    <t>Research methods in linguistics / by Lia Litosseliti.</t>
  </si>
  <si>
    <t>Litosseliti, Lia, author.</t>
  </si>
  <si>
    <t>London, UK ; New York, NY, USA : Bloomsbury Academic, Bloomsbury Publishing Plc, 2018.</t>
  </si>
  <si>
    <t>1023815950</t>
  </si>
  <si>
    <t>on1023815950</t>
  </si>
  <si>
    <t>31037049114</t>
  </si>
  <si>
    <t>9781350043435</t>
  </si>
  <si>
    <t>795051958</t>
  </si>
  <si>
    <t>P126 R466 2013</t>
  </si>
  <si>
    <t>0                      P  0126000R  466         2013</t>
  </si>
  <si>
    <t>Research methods in linguistics / edited by Robert J. Podesva, Stanford University, and Devyani Sharma, Queen Mary University of London.</t>
  </si>
  <si>
    <t>1409649947:eng</t>
  </si>
  <si>
    <t>861211769</t>
  </si>
  <si>
    <t>ocn861211769</t>
  </si>
  <si>
    <t>3103739707Y</t>
  </si>
  <si>
    <t>9781107014336</t>
  </si>
  <si>
    <t>794958929</t>
  </si>
  <si>
    <t>P126 R47 1992</t>
  </si>
  <si>
    <t>0                      P  0126000R  47          1992</t>
  </si>
  <si>
    <t>Researching language : issues of power and method / Deborah Cameron [and others].</t>
  </si>
  <si>
    <t>836903448:eng</t>
  </si>
  <si>
    <t>24374591</t>
  </si>
  <si>
    <t>ocm24374591</t>
  </si>
  <si>
    <t>3102756163J</t>
  </si>
  <si>
    <t>9780415057219</t>
  </si>
  <si>
    <t>793196475</t>
  </si>
  <si>
    <t>P126 S57 1989</t>
  </si>
  <si>
    <t>0                      P  0126000S  57          1989</t>
  </si>
  <si>
    <t>Analogical modeling of language / Royal Skousen.</t>
  </si>
  <si>
    <t>Skousen, Royal.</t>
  </si>
  <si>
    <t>19262394:eng</t>
  </si>
  <si>
    <t>20454201</t>
  </si>
  <si>
    <t>ocm20454201</t>
  </si>
  <si>
    <t>3102756162J</t>
  </si>
  <si>
    <t>9780792305170</t>
  </si>
  <si>
    <t>793088456</t>
  </si>
  <si>
    <t>P126 T9</t>
  </si>
  <si>
    <t>0                      P  0126000T  9</t>
  </si>
  <si>
    <t>The said and the unsaid : mind, meaning, and culture / Stephen A. Tyler.</t>
  </si>
  <si>
    <t>Tyler, Stephen A., 1932-</t>
  </si>
  <si>
    <t>New York : Academic Press, ©1978.</t>
  </si>
  <si>
    <t>Language, thought and culture</t>
  </si>
  <si>
    <t>211611262:eng</t>
  </si>
  <si>
    <t>4194554</t>
  </si>
  <si>
    <t>ocm04194554</t>
  </si>
  <si>
    <t>3102756157L</t>
  </si>
  <si>
    <t>9780127055503</t>
  </si>
  <si>
    <t>792329942</t>
  </si>
  <si>
    <t>P126 W493 2007</t>
  </si>
  <si>
    <t>0                      P  0126000W  493         2007</t>
  </si>
  <si>
    <t>What counts as evidence in linguistics : the case of innateness / edited by Martina Penke, Anette Rosenbach.</t>
  </si>
  <si>
    <t>Benjamins current topics, 1874-0081 ; v. 7</t>
  </si>
  <si>
    <t>796520904:eng</t>
  </si>
  <si>
    <t>85162219</t>
  </si>
  <si>
    <t>ocm85162219</t>
  </si>
  <si>
    <t>3102599366U</t>
  </si>
  <si>
    <t>9789027222374</t>
  </si>
  <si>
    <t>794213114</t>
  </si>
  <si>
    <t>P126 W73 2006</t>
  </si>
  <si>
    <t>0                      P  0126000W  73          2006</t>
  </si>
  <si>
    <t>Projects in linguistics : a practical guide to researching language / Alison Wray, Aileen Bloomer.</t>
  </si>
  <si>
    <t>London : Hodder Arnold ; New York : Distributed in the United States of America by Oxford University Press, ©2006.</t>
  </si>
  <si>
    <t>4917947669:eng</t>
  </si>
  <si>
    <t>70252138</t>
  </si>
  <si>
    <t>ocm70252138</t>
  </si>
  <si>
    <t>3102589907T</t>
  </si>
  <si>
    <t>9780340905784</t>
  </si>
  <si>
    <t>794151638</t>
  </si>
  <si>
    <t>P128 B5 T69 2010</t>
  </si>
  <si>
    <t>0                      P  0128000B  5                  T  69          2010</t>
  </si>
  <si>
    <t>Kaleidoscopic grammar : investigation into the nature of binarism / by Junichi Toyota.</t>
  </si>
  <si>
    <t>Toyota, Junichi, 1973-</t>
  </si>
  <si>
    <t>Newcastle : Cambridge Scholars, ©2009.</t>
  </si>
  <si>
    <t>2013-07-17</t>
  </si>
  <si>
    <t>1052803342:eng</t>
  </si>
  <si>
    <t>499059725</t>
  </si>
  <si>
    <t>ocn499059725</t>
  </si>
  <si>
    <t>3103131452Y</t>
  </si>
  <si>
    <t>9781443814461</t>
  </si>
  <si>
    <t>794803341</t>
  </si>
  <si>
    <t>P128 C37 A545 2000</t>
  </si>
  <si>
    <t>0                      P  0128000C  37                 A  545         2000</t>
  </si>
  <si>
    <t>Classifiers : a typology of noun categorization devices / Alexandra Y. Aikhenvald.</t>
  </si>
  <si>
    <t>Aĭkhenvalʹd, A. I︠U︡. (Aleksandra I︠U︡rʹevna)</t>
  </si>
  <si>
    <t>Oxford studies in typology and linguistic theory</t>
  </si>
  <si>
    <t>2015-10-30</t>
  </si>
  <si>
    <t>195463271:eng</t>
  </si>
  <si>
    <t>42911944</t>
  </si>
  <si>
    <t>ocm42911944</t>
  </si>
  <si>
    <t>3102756241K</t>
  </si>
  <si>
    <t>9780198238867</t>
  </si>
  <si>
    <t>793617098</t>
  </si>
  <si>
    <t>P128 C37 E267 1997</t>
  </si>
  <si>
    <t>0                      P  0128000C  37                 E  267         1997</t>
  </si>
  <si>
    <t>Kant e l'ornitorinco / Umberto Eco.</t>
  </si>
  <si>
    <t>Milano : Bompiani, 1997.</t>
  </si>
  <si>
    <t>Studi Bompiani. Il campo semiotico</t>
  </si>
  <si>
    <t>1151962440:ita</t>
  </si>
  <si>
    <t>37935858</t>
  </si>
  <si>
    <t>ocm37935858</t>
  </si>
  <si>
    <t>3102756236M</t>
  </si>
  <si>
    <t>9788845228681</t>
  </si>
  <si>
    <t>793510813</t>
  </si>
  <si>
    <t>P128 C37 M4 1990</t>
  </si>
  <si>
    <t>0                      P  0128000C  37                 M  4           1990</t>
  </si>
  <si>
    <t>Meanings and prototypes : studies in linguistic categorization / edited by S.L. Tsohatzidis.</t>
  </si>
  <si>
    <t>836726917:eng</t>
  </si>
  <si>
    <t>20296412</t>
  </si>
  <si>
    <t>ocm20296412</t>
  </si>
  <si>
    <t>3102756244K</t>
  </si>
  <si>
    <t>9780415036122</t>
  </si>
  <si>
    <t>793083489</t>
  </si>
  <si>
    <t>P128 C37 S97 2000</t>
  </si>
  <si>
    <t>0                      P  0128000C  37                 S  97          2000</t>
  </si>
  <si>
    <t>Systems of nominal classification / edited by Gunter Senft.</t>
  </si>
  <si>
    <t>Cambridge ; New York : Cambridge University Press, ©2000.</t>
  </si>
  <si>
    <t>Language, culture, and cognition ; 4</t>
  </si>
  <si>
    <t>27942976:eng</t>
  </si>
  <si>
    <t>42619766</t>
  </si>
  <si>
    <t>ocm42619766</t>
  </si>
  <si>
    <t>3102756235M</t>
  </si>
  <si>
    <t>9780521770750</t>
  </si>
  <si>
    <t>793609849</t>
  </si>
  <si>
    <t>P128 C37 T38 2003</t>
  </si>
  <si>
    <t>0                      P  0128000C  37                 T  38          2003</t>
  </si>
  <si>
    <t>Linguistic categorization / John R. Taylor.</t>
  </si>
  <si>
    <t>Taylor, John R., 1944-</t>
  </si>
  <si>
    <t>21356646:eng</t>
  </si>
  <si>
    <t>53231766</t>
  </si>
  <si>
    <t>ocm53231766</t>
  </si>
  <si>
    <t>3102756230M</t>
  </si>
  <si>
    <t>9780199266647</t>
  </si>
  <si>
    <t>793824300</t>
  </si>
  <si>
    <t>P128 C37 T73 2015</t>
  </si>
  <si>
    <t>0                      P  0128000C  37                 T  73          2015</t>
  </si>
  <si>
    <t>Interactional categorization and gatekeeping : institutional encounters with otherness / Louise Tranekjaer.</t>
  </si>
  <si>
    <t>Tranekjær, Louise, author.</t>
  </si>
  <si>
    <t>Bristol, UK ; Buffalo : Multilingual Matters, [2015]</t>
  </si>
  <si>
    <t>Language, mobility and institutions ; 4</t>
  </si>
  <si>
    <t>2015-08-16</t>
  </si>
  <si>
    <t>2252087310:eng</t>
  </si>
  <si>
    <t>898533683</t>
  </si>
  <si>
    <t>ocn898533683</t>
  </si>
  <si>
    <t>3103583227Q</t>
  </si>
  <si>
    <t>9781783093670</t>
  </si>
  <si>
    <t>794986477</t>
  </si>
  <si>
    <t>P128 C664 L36 2009</t>
  </si>
  <si>
    <t>0                      P  0128000C  664                L  36          2009</t>
  </si>
  <si>
    <t>Language complexity as an evolving variable / edited by Geoffrey Sampson, David Gil, and Peter Trudgill.</t>
  </si>
  <si>
    <t>2016-09-15</t>
  </si>
  <si>
    <t>866916102:eng</t>
  </si>
  <si>
    <t>227962299</t>
  </si>
  <si>
    <t>ocn227962299</t>
  </si>
  <si>
    <t>3102857125H</t>
  </si>
  <si>
    <t>9780199545216</t>
  </si>
  <si>
    <t>794348616</t>
  </si>
  <si>
    <t>P128 C664 M39 2011</t>
  </si>
  <si>
    <t>0                      P  0128000C  664                M  39          2011</t>
  </si>
  <si>
    <t>Linguistic simplicity and complexity : why do languages undress? / by John H. McWhorter.</t>
  </si>
  <si>
    <t>McWhorter, John H.</t>
  </si>
  <si>
    <t>Language contact and bilingualism ; 1</t>
  </si>
  <si>
    <t>865585202:eng</t>
  </si>
  <si>
    <t>712127492</t>
  </si>
  <si>
    <t>ocn712127492</t>
  </si>
  <si>
    <t>31033652185</t>
  </si>
  <si>
    <t>9781934078372</t>
  </si>
  <si>
    <t>794871838</t>
  </si>
  <si>
    <t>P128 C664 T78 2011</t>
  </si>
  <si>
    <t>0                      P  0128000C  664                T  78          2011</t>
  </si>
  <si>
    <t>Sociolinguistic typology : social determinants of linguistic complexity / Peter Trudgill.</t>
  </si>
  <si>
    <t>2013-01-18</t>
  </si>
  <si>
    <t>1016345116:eng</t>
  </si>
  <si>
    <t>713186795</t>
  </si>
  <si>
    <t>ocn713186795</t>
  </si>
  <si>
    <t>3103381657S</t>
  </si>
  <si>
    <t>9780199604340</t>
  </si>
  <si>
    <t>794872721</t>
  </si>
  <si>
    <t>P128 C68 A36 2013</t>
  </si>
  <si>
    <t>0                      P  0128000C  68                 A  36          2013</t>
  </si>
  <si>
    <t>Spoken Corpus Linguistics : From Monomodal to Multimodal / Svenja Adolphs and Ronald Carter.</t>
  </si>
  <si>
    <t>Adolphs, Svenja, author.</t>
  </si>
  <si>
    <t>Routledge advances in corpus linguistics ; 15</t>
  </si>
  <si>
    <t>1176363170:eng</t>
  </si>
  <si>
    <t>815757881</t>
  </si>
  <si>
    <t>ocn815757881</t>
  </si>
  <si>
    <t>3103498103E</t>
  </si>
  <si>
    <t>9780415888295</t>
  </si>
  <si>
    <t>794932707</t>
  </si>
  <si>
    <t>P128 C68 B35 2010</t>
  </si>
  <si>
    <t>0                      P  0128000C  68                 B  35          2010</t>
  </si>
  <si>
    <t>Sociolinguistics and corpus linguistics / Paul Baker.</t>
  </si>
  <si>
    <t>315947484:eng</t>
  </si>
  <si>
    <t>428852536</t>
  </si>
  <si>
    <t>ocn428852536</t>
  </si>
  <si>
    <t>3103132644Q</t>
  </si>
  <si>
    <t>9780748627356</t>
  </si>
  <si>
    <t>794778879</t>
  </si>
  <si>
    <t>P128 C68 B46 2010</t>
  </si>
  <si>
    <t>0                      P  0128000C  68                 B  46          2010</t>
  </si>
  <si>
    <t>Using Corpora in the Language Learning Classroom : Corpus linguistics for teachers / Gena R. Bennett.</t>
  </si>
  <si>
    <t>Bennett, Gena R.</t>
  </si>
  <si>
    <t>Ann Arbor, MI : University of Michigan Press, 2010.</t>
  </si>
  <si>
    <t>375867650:eng</t>
  </si>
  <si>
    <t>503049706</t>
  </si>
  <si>
    <t>ocn503049706</t>
  </si>
  <si>
    <t>3103239008I</t>
  </si>
  <si>
    <t>9780472033850</t>
  </si>
  <si>
    <t>794806125</t>
  </si>
  <si>
    <t>P128 C68 B53 1998</t>
  </si>
  <si>
    <t>0                      P  0128000C  68                 B  53          1998</t>
  </si>
  <si>
    <t>Corpus linguistics : investigating language structure and use / Douglas Biber, Susan Conrad, Randi Reppen.</t>
  </si>
  <si>
    <t>Biber, Douglas.</t>
  </si>
  <si>
    <t>Cambridge approaches to linguistics</t>
  </si>
  <si>
    <t>224152498:eng</t>
  </si>
  <si>
    <t>36806763</t>
  </si>
  <si>
    <t>ocm36806763</t>
  </si>
  <si>
    <t>3102756224O</t>
  </si>
  <si>
    <t>9780521496223</t>
  </si>
  <si>
    <t>793484684</t>
  </si>
  <si>
    <t>P128 C68 B74 2011</t>
  </si>
  <si>
    <t>0                      P  0128000C  68                 B  74          2011</t>
  </si>
  <si>
    <t>Corpora in language teaching and learning : potential, evaluation, challenges / Yvonne Alexandra Breyer.</t>
  </si>
  <si>
    <t>Breyer, Yvonne Alexandra.</t>
  </si>
  <si>
    <t>English corpus linguistics ; v. 13</t>
  </si>
  <si>
    <t>1011478403:eng</t>
  </si>
  <si>
    <t>753625545</t>
  </si>
  <si>
    <t>ocn753625545</t>
  </si>
  <si>
    <t>3103382254$</t>
  </si>
  <si>
    <t>9783631630419</t>
  </si>
  <si>
    <t>794892225</t>
  </si>
  <si>
    <t>P128 C68 C46 2015</t>
  </si>
  <si>
    <t>0                      P  0128000C  68                 C  46          2015</t>
  </si>
  <si>
    <t>The Cambridge handbook of English corpus linguistics / edited by Douglas Biber and Randi Reppen, Northern Arizona University.</t>
  </si>
  <si>
    <t>Cambridge : Cambridge University Press, 2015.</t>
  </si>
  <si>
    <t>2016-09-30</t>
  </si>
  <si>
    <t>3376958625:eng</t>
  </si>
  <si>
    <t>891135691</t>
  </si>
  <si>
    <t>ocn891135691</t>
  </si>
  <si>
    <t>3103607528W</t>
  </si>
  <si>
    <t>9781107037380</t>
  </si>
  <si>
    <t>794979921</t>
  </si>
  <si>
    <t>P128 C68 C65 2009</t>
  </si>
  <si>
    <t>0                      P  0128000C  68                 C  65          2009</t>
  </si>
  <si>
    <t>Contemporary corpus linguistics / edited by Paul Baker.</t>
  </si>
  <si>
    <t>1044649083:eng</t>
  </si>
  <si>
    <t>233635049</t>
  </si>
  <si>
    <t>ocn233635049</t>
  </si>
  <si>
    <t>3102858014I</t>
  </si>
  <si>
    <t>9780826496102</t>
  </si>
  <si>
    <t>794366623</t>
  </si>
  <si>
    <t>P128 C68 C669 2010</t>
  </si>
  <si>
    <t>0                      P  0128000C  68                 C  669         2010</t>
  </si>
  <si>
    <t>Corpus-linguistic applications : current studies, new directions / ed. by Stefan Th. Gries, Stefanie Wulff, Mark Davies.</t>
  </si>
  <si>
    <t>Amsterdam ; New York : Rodopi, ©2010.</t>
  </si>
  <si>
    <t>Language and computers ; no. 71</t>
  </si>
  <si>
    <t>793216372:eng</t>
  </si>
  <si>
    <t>497573705</t>
  </si>
  <si>
    <t>ocn497573705</t>
  </si>
  <si>
    <t>3103240344W</t>
  </si>
  <si>
    <t>9789042028005</t>
  </si>
  <si>
    <t>794802997</t>
  </si>
  <si>
    <t>P128 C68 D48 2012</t>
  </si>
  <si>
    <t>0                      P  0128000C  68                 D  48          2012</t>
  </si>
  <si>
    <t>Developmental and crosslinguistic perspectives in learner corpus research / edited by Yukio Tono, Yuji Kawaguchi, Makoto Minegishi.</t>
  </si>
  <si>
    <t>Tokyo University of Foreign Studies (TUFS). Studies in linguistics ; v. 4</t>
  </si>
  <si>
    <t>1078105396:eng</t>
  </si>
  <si>
    <t>775420102</t>
  </si>
  <si>
    <t>ocn775420102</t>
  </si>
  <si>
    <t>31034290305</t>
  </si>
  <si>
    <t>9789027207715</t>
  </si>
  <si>
    <t>794907585</t>
  </si>
  <si>
    <t>P128 C68 E53 2012</t>
  </si>
  <si>
    <t>0                      P  0128000C  68                 E  53          2012</t>
  </si>
  <si>
    <t>Encoding the past, decoding the future : corpora in the 21st century / edited by Isabel Moskowich and Begoña Crespo.</t>
  </si>
  <si>
    <t>1087965154:eng</t>
  </si>
  <si>
    <t>774499272</t>
  </si>
  <si>
    <t>ocn774499272</t>
  </si>
  <si>
    <t>31034091794</t>
  </si>
  <si>
    <t>9781443835817</t>
  </si>
  <si>
    <t>794906632</t>
  </si>
  <si>
    <t>P128 C68 E97 2009</t>
  </si>
  <si>
    <t>0                      P  0128000C  68                 E  97          2009</t>
  </si>
  <si>
    <t>Exploring the lexis-grammar interface / edited by Ute Römer, Rainer Schulze.</t>
  </si>
  <si>
    <t>Studies in corpus linguistics, 1388-0373 ; v. 35</t>
  </si>
  <si>
    <t>1044597094:eng</t>
  </si>
  <si>
    <t>276229003</t>
  </si>
  <si>
    <t>ocn276229003</t>
  </si>
  <si>
    <t>31030841748</t>
  </si>
  <si>
    <t>9789027223098</t>
  </si>
  <si>
    <t>794416204</t>
  </si>
  <si>
    <t>P128 C68 F45 2007</t>
  </si>
  <si>
    <t>0                      P  0128000C  68                 F  45          2007</t>
  </si>
  <si>
    <t>Idioms and collocations : corpus-based linguistic and lexicographic studies / edited by Christiane Fellbaum.</t>
  </si>
  <si>
    <t>London ; New York : Continuum, 2007.</t>
  </si>
  <si>
    <t>891026236:eng</t>
  </si>
  <si>
    <t>76936654</t>
  </si>
  <si>
    <t>ocm76936654</t>
  </si>
  <si>
    <t>31025966410</t>
  </si>
  <si>
    <t>9780826489944</t>
  </si>
  <si>
    <t>794179325</t>
  </si>
  <si>
    <t>P128 C68 F56 2008</t>
  </si>
  <si>
    <t>0                      P  0128000C  68                 F  56          2008</t>
  </si>
  <si>
    <t>Corpus-based analyses of the problem-solution pattern : a phraseological approach / Lynne Flowerdew.</t>
  </si>
  <si>
    <t>Flowerdew, Lynne.</t>
  </si>
  <si>
    <t>Studies in corpus linguistics, 1388-0373 ; v. 29</t>
  </si>
  <si>
    <t>320942957:eng</t>
  </si>
  <si>
    <t>164802296</t>
  </si>
  <si>
    <t>ocn164802296</t>
  </si>
  <si>
    <t>3102653492M</t>
  </si>
  <si>
    <t>9789027223036</t>
  </si>
  <si>
    <t>794258934</t>
  </si>
  <si>
    <t>P128 C68 F56 2012</t>
  </si>
  <si>
    <t>0                      P  0128000C  68                 F  56          2012</t>
  </si>
  <si>
    <t>Corpora and language education / Lynne Flowerdew.</t>
  </si>
  <si>
    <t>1009111175:eng</t>
  </si>
  <si>
    <t>154789340</t>
  </si>
  <si>
    <t>ocn154789340</t>
  </si>
  <si>
    <t>3103421715K</t>
  </si>
  <si>
    <t>9781403998927</t>
  </si>
  <si>
    <t>794252941</t>
  </si>
  <si>
    <t>P128 C68 G55 2010</t>
  </si>
  <si>
    <t>0                      P  0128000C  68                 G  55          2010</t>
  </si>
  <si>
    <t>Corpus, cognition and causative constructions / Gaëtanelle Gilquin.</t>
  </si>
  <si>
    <t>Gilquin, Gaëtanelle.</t>
  </si>
  <si>
    <t>Studies in corpus linguistics ; v. 39</t>
  </si>
  <si>
    <t>8909331454:eng</t>
  </si>
  <si>
    <t>463675478</t>
  </si>
  <si>
    <t>ocn463675478</t>
  </si>
  <si>
    <t>3103230984B</t>
  </si>
  <si>
    <t>9789027223135</t>
  </si>
  <si>
    <t>794792920</t>
  </si>
  <si>
    <t>P128 C68 G75 2009</t>
  </si>
  <si>
    <t>0                      P  0128000C  68                 G  75          2009</t>
  </si>
  <si>
    <t>Quantitative corpus linguistics with R : a practical introduction / Stefan Th. Gries.</t>
  </si>
  <si>
    <t>Gries, Stefan Thomas, 1970-</t>
  </si>
  <si>
    <t>New York, NY : Routledge, ©2009.</t>
  </si>
  <si>
    <t>2016-04-20</t>
  </si>
  <si>
    <t>800573236:eng</t>
  </si>
  <si>
    <t>236163602</t>
  </si>
  <si>
    <t>ocn236163602</t>
  </si>
  <si>
    <t>3103051807S</t>
  </si>
  <si>
    <t>9780415962711</t>
  </si>
  <si>
    <t>794371337</t>
  </si>
  <si>
    <t>P128 C68 G75 2017</t>
  </si>
  <si>
    <t>0                      P  0128000C  68                 G  75          2017</t>
  </si>
  <si>
    <t>Gries, Stefan Thomas, 1970- author.</t>
  </si>
  <si>
    <t>962054679</t>
  </si>
  <si>
    <t>ocn962054679</t>
  </si>
  <si>
    <t>3103698080S</t>
  </si>
  <si>
    <t>9781138816275</t>
  </si>
  <si>
    <t>795024133</t>
  </si>
  <si>
    <t>P128 C68 H5 2011</t>
  </si>
  <si>
    <t>0                      P  0128000C  68                 H  5           2011</t>
  </si>
  <si>
    <t>Corpus stylistics in principles and practice : a stylistic exploration of John Fowles' The Magus / Yufang Ho.</t>
  </si>
  <si>
    <t>Ho, Yufang.</t>
  </si>
  <si>
    <t>866463613:eng</t>
  </si>
  <si>
    <t>657602590</t>
  </si>
  <si>
    <t>ocn657602590</t>
  </si>
  <si>
    <t>3103361899O</t>
  </si>
  <si>
    <t>9780826426178</t>
  </si>
  <si>
    <t>794835588</t>
  </si>
  <si>
    <t>P128 C68 H6 2010</t>
  </si>
  <si>
    <t>0                      P  0128000C  68                 H  6           2010</t>
  </si>
  <si>
    <t>Variety and variability : a corpus-based cognitive lexical-semantics analysis of prepositional usage in British, New Zealand and Malaysian English / Imran Ho-Abdullah.</t>
  </si>
  <si>
    <t>Ho-Abdullah, Imran, 1963-</t>
  </si>
  <si>
    <t>Europäische Hochschulschriften. Reihe XXI, Linguistik ; Bd. 370 = Publications universitaire Européennes. Serie 21, Linguistique ; v. 370 = European university studies. Series 21, Linguistics ; v. 370</t>
  </si>
  <si>
    <t>813997510:eng</t>
  </si>
  <si>
    <t>683596250</t>
  </si>
  <si>
    <t>ocn683596250</t>
  </si>
  <si>
    <t>3103321165Y</t>
  </si>
  <si>
    <t>9783034305822</t>
  </si>
  <si>
    <t>794853513</t>
  </si>
  <si>
    <t>P128 C68 H86 2011</t>
  </si>
  <si>
    <t>0                      P  0128000C  68                 H  86          2011</t>
  </si>
  <si>
    <t>Corpus approaches to evaluation : phraseology and evaluative language / Susan Hunston.</t>
  </si>
  <si>
    <t>Hunston, Susan, 1953-</t>
  </si>
  <si>
    <t>Routledge advances in corpus linguistics ; 13</t>
  </si>
  <si>
    <t>803554769:eng</t>
  </si>
  <si>
    <t>377865910</t>
  </si>
  <si>
    <t>ocn377865910</t>
  </si>
  <si>
    <t>3103226048R</t>
  </si>
  <si>
    <t>9780415962025</t>
  </si>
  <si>
    <t>794495128</t>
  </si>
  <si>
    <t>P128 C68 L36 2010</t>
  </si>
  <si>
    <t>0                      P  0128000C  68                 L  36          2010</t>
  </si>
  <si>
    <t>Language documentation : practice and values / edited by Lenore A. Grenoble, N. Louanna Furbee.</t>
  </si>
  <si>
    <t>792239453:eng</t>
  </si>
  <si>
    <t>637713016</t>
  </si>
  <si>
    <t>ocn637713016</t>
  </si>
  <si>
    <t>3103313625O</t>
  </si>
  <si>
    <t>9789027211750</t>
  </si>
  <si>
    <t>794826386</t>
  </si>
  <si>
    <t>P128 C68 M34 2013</t>
  </si>
  <si>
    <t>0                      P  0128000C  68                 M  34          2013</t>
  </si>
  <si>
    <t>Corpus stylistics and Dickens's fiction / Michaela Mahlberg.</t>
  </si>
  <si>
    <t>Mahlberg, Michaela.</t>
  </si>
  <si>
    <t>Routledge advances in corpus linguistics ; 14</t>
  </si>
  <si>
    <t>485807465:eng</t>
  </si>
  <si>
    <t>800447599</t>
  </si>
  <si>
    <t>ocn800447599</t>
  </si>
  <si>
    <t>31034328442</t>
  </si>
  <si>
    <t>9780415800143</t>
  </si>
  <si>
    <t>794924567</t>
  </si>
  <si>
    <t>P128 C68 M38 2012</t>
  </si>
  <si>
    <t>0                      P  0128000C  68                 M  38          2012</t>
  </si>
  <si>
    <t>Corpus linguistics : method, theory and practice / Tony McEnery, Andrew Hardie.</t>
  </si>
  <si>
    <t>McEnery, Tony, 1964-</t>
  </si>
  <si>
    <t>3770287696:eng</t>
  </si>
  <si>
    <t>732967848</t>
  </si>
  <si>
    <t>ocn732967848</t>
  </si>
  <si>
    <t>3103381744R</t>
  </si>
  <si>
    <t>9780521838511</t>
  </si>
  <si>
    <t>794881562</t>
  </si>
  <si>
    <t>P128 C68 M67 2010</t>
  </si>
  <si>
    <t>0                      P  0128000C  68                 M  67          2010</t>
  </si>
  <si>
    <t>A mosaic of corpus linguistics : selected approaches / Aquilino Sánchez, Moisés Almela (eds.).</t>
  </si>
  <si>
    <t>Studien zur romanischen Sprachwissenschaft und interkulturellen Kommunikation, 1436-1914 ; Bd. 66</t>
  </si>
  <si>
    <t>792747088:eng</t>
  </si>
  <si>
    <t>646404458</t>
  </si>
  <si>
    <t>ocn646404458</t>
  </si>
  <si>
    <t>3103230709X</t>
  </si>
  <si>
    <t>9783631587898</t>
  </si>
  <si>
    <t>794830443</t>
  </si>
  <si>
    <t>P128 C68 N49 2011</t>
  </si>
  <si>
    <t>0                      P  0128000C  68                 N  49          2011</t>
  </si>
  <si>
    <t>New trends in corpora and language learning / edited by Ana Frankenburg-Garcia, Lynne Flowerdew and Guy Aston.</t>
  </si>
  <si>
    <t>New York, N.Y. : Continuum International Pub. Group, 2011.</t>
  </si>
  <si>
    <t>370223884:eng</t>
  </si>
  <si>
    <t>496293471</t>
  </si>
  <si>
    <t>ocn496293471</t>
  </si>
  <si>
    <t>3103344509C</t>
  </si>
  <si>
    <t>9781441159960</t>
  </si>
  <si>
    <t>794802444</t>
  </si>
  <si>
    <t>P128 C68 O94 2014</t>
  </si>
  <si>
    <t>0                      P  0128000C  68                 O  94          2014</t>
  </si>
  <si>
    <t>The Oxford handbook of corpus phonology / edited by Jacques Durand, Ulrike Gut, and Gjert Kristoffersen.</t>
  </si>
  <si>
    <t>Oxford : Oxford University Press, 2014.</t>
  </si>
  <si>
    <t>1823488001:eng</t>
  </si>
  <si>
    <t>869791699</t>
  </si>
  <si>
    <t>ocn869791699</t>
  </si>
  <si>
    <t>3103607379N</t>
  </si>
  <si>
    <t>9780199571932</t>
  </si>
  <si>
    <t>794965842</t>
  </si>
  <si>
    <t>P128 C68 P36 2009</t>
  </si>
  <si>
    <t>0                      P  0128000C  68                 P  36          2009</t>
  </si>
  <si>
    <t>Explorations across languages and corpora : PALC 2009 / Stanislaw Goźdź-Roszkowski (ed.).</t>
  </si>
  <si>
    <t>PALC 2009 (2009 : University of Łódź)</t>
  </si>
  <si>
    <t>Łódź studies in language ; 24</t>
  </si>
  <si>
    <t>2012-06-22</t>
  </si>
  <si>
    <t>1028334875:eng</t>
  </si>
  <si>
    <t>767753549</t>
  </si>
  <si>
    <t>ocn767753549</t>
  </si>
  <si>
    <t>31033823310</t>
  </si>
  <si>
    <t>9783631616772</t>
  </si>
  <si>
    <t>794901458</t>
  </si>
  <si>
    <t>P128 C68 R47 2010</t>
  </si>
  <si>
    <t>0                      P  0128000C  68                 R  47          2010</t>
  </si>
  <si>
    <t>Using corpora in the language classroom / Randi Reppen.</t>
  </si>
  <si>
    <t>Reppen, Randi.</t>
  </si>
  <si>
    <t>350716795:eng</t>
  </si>
  <si>
    <t>468978425</t>
  </si>
  <si>
    <t>ocn468978425</t>
  </si>
  <si>
    <t>3103243336M</t>
  </si>
  <si>
    <t>9780521769877</t>
  </si>
  <si>
    <t>794795689</t>
  </si>
  <si>
    <t>P128 C68 R68 2010</t>
  </si>
  <si>
    <t>0                      P  0128000C  68                 R  68          2010</t>
  </si>
  <si>
    <t>The Routledge handbook of corpus linguistics / edited by Anne O'Keeffe and Michael McCarthy.</t>
  </si>
  <si>
    <t>766929427:eng</t>
  </si>
  <si>
    <t>277196089</t>
  </si>
  <si>
    <t>ocn277196089</t>
  </si>
  <si>
    <t>3103239699J</t>
  </si>
  <si>
    <t>9780415464895</t>
  </si>
  <si>
    <t>794418639</t>
  </si>
  <si>
    <t>P128 C68 U854 2010</t>
  </si>
  <si>
    <t>0                      P  0128000C  68                 U  854         2010</t>
  </si>
  <si>
    <t>Using corpora in contrastive and translation studies / edited by Richard Xiao.</t>
  </si>
  <si>
    <t>371908547:eng</t>
  </si>
  <si>
    <t>498134812</t>
  </si>
  <si>
    <t>ocn498134812</t>
  </si>
  <si>
    <t>3103132792D</t>
  </si>
  <si>
    <t>9781443817554</t>
  </si>
  <si>
    <t>794803116</t>
  </si>
  <si>
    <t>P128 C68 U856 2009</t>
  </si>
  <si>
    <t>0                      P  0128000C  68                 U  856         2009</t>
  </si>
  <si>
    <t>Using corpora to learn about language and discourse / Linda Lombardo, ed.</t>
  </si>
  <si>
    <t>Bern [Switzerland] ; New York : Peter Lang, ©2009.</t>
  </si>
  <si>
    <t>Linguistic insights ; v. 66</t>
  </si>
  <si>
    <t>5615127945:eng</t>
  </si>
  <si>
    <t>321047937</t>
  </si>
  <si>
    <t>ocn321047937</t>
  </si>
  <si>
    <t>3102860690B</t>
  </si>
  <si>
    <t>9783039115228</t>
  </si>
  <si>
    <t>794490003</t>
  </si>
  <si>
    <t>P128 E26 F69 2000</t>
  </si>
  <si>
    <t>0                      P  0128000E  26                 F  69          2000</t>
  </si>
  <si>
    <t>Economy and semantic interpretation / Danny Fox.</t>
  </si>
  <si>
    <t>Fox, Danny.</t>
  </si>
  <si>
    <t>Cambridge, Mass. : MIT Press, 2000.</t>
  </si>
  <si>
    <t>Linguistic inquiry monographs ; 35</t>
  </si>
  <si>
    <t>303455195:eng</t>
  </si>
  <si>
    <t>41468681</t>
  </si>
  <si>
    <t>ocm41468681</t>
  </si>
  <si>
    <t>3102756216Q</t>
  </si>
  <si>
    <t>9780262062060</t>
  </si>
  <si>
    <t>793592294</t>
  </si>
  <si>
    <t>P128 F53 B69 2008</t>
  </si>
  <si>
    <t>0                      P  0128000F  53                 B  69          2008</t>
  </si>
  <si>
    <t>Linguistic fieldwork : a practical guide / Claire Bowern.</t>
  </si>
  <si>
    <t>Bowern, Claire, 1977-</t>
  </si>
  <si>
    <t>Houndmills, Basingstoke, Hampshire [England] ; New York : Palgrave Macmillan, 2008.</t>
  </si>
  <si>
    <t>799585167:eng</t>
  </si>
  <si>
    <t>184906205</t>
  </si>
  <si>
    <t>ocn184906205</t>
  </si>
  <si>
    <t>3102574248U</t>
  </si>
  <si>
    <t>9780230545373</t>
  </si>
  <si>
    <t>794291437</t>
  </si>
  <si>
    <t>P128 F53 C76 2007</t>
  </si>
  <si>
    <t>0                      P  0128000F  53                 C  76          2007</t>
  </si>
  <si>
    <t>Field linguistics : a beginner's guide / Terry Crowley ; edited and prepared for publication by Nick Thieberger.</t>
  </si>
  <si>
    <t>Crowley, Terry.</t>
  </si>
  <si>
    <t>800813534:eng</t>
  </si>
  <si>
    <t>71352686</t>
  </si>
  <si>
    <t>ocm71352686</t>
  </si>
  <si>
    <t>31025687366</t>
  </si>
  <si>
    <t>9780199213702</t>
  </si>
  <si>
    <t>794166177</t>
  </si>
  <si>
    <t>P128 F53 K513</t>
  </si>
  <si>
    <t>0                      P  0128000F  53                 K  513</t>
  </si>
  <si>
    <t>The methodology of field investigations in linguistics : setting up the problem / by A.E. Kibrik.</t>
  </si>
  <si>
    <t>Kibrik, A. E.</t>
  </si>
  <si>
    <t>The Hague : Mouton, 1977.</t>
  </si>
  <si>
    <t>Janua linguarum. Series minor ; 142</t>
  </si>
  <si>
    <t>195499938:eng</t>
  </si>
  <si>
    <t>2887391</t>
  </si>
  <si>
    <t>ocm02887391</t>
  </si>
  <si>
    <t>3102756210Q</t>
  </si>
  <si>
    <t>9789027930767</t>
  </si>
  <si>
    <t>792189533</t>
  </si>
  <si>
    <t>P128 F53 L56 2001</t>
  </si>
  <si>
    <t>0                      P  0128000F  53                 L  56          2001</t>
  </si>
  <si>
    <t>Linguistic fieldwork / edited by Paul Newman and Martha Ratliff.</t>
  </si>
  <si>
    <t>Cambridge, UK ; New York, NY : Cambridge University Press, 2001.</t>
  </si>
  <si>
    <t>347677741:eng</t>
  </si>
  <si>
    <t>44811940</t>
  </si>
  <si>
    <t>ocm44811940</t>
  </si>
  <si>
    <t>3102756209S</t>
  </si>
  <si>
    <t>9780521660495</t>
  </si>
  <si>
    <t>793658704</t>
  </si>
  <si>
    <t>P128 F53 O94 2012</t>
  </si>
  <si>
    <t>0                      P  0128000F  53                 O  94          2012</t>
  </si>
  <si>
    <t>The Oxford handbook of linguistic fieldwork / edited by Nicholas Thieberger.</t>
  </si>
  <si>
    <t>1059998529:eng</t>
  </si>
  <si>
    <t>730413856</t>
  </si>
  <si>
    <t>ocn730413856</t>
  </si>
  <si>
    <t>3103382278W</t>
  </si>
  <si>
    <t>9780199571888</t>
  </si>
  <si>
    <t>794880196</t>
  </si>
  <si>
    <t>P128 F53 S24 2012</t>
  </si>
  <si>
    <t>0                      P  0128000F  53                 S  24          2012</t>
  </si>
  <si>
    <t>Linguistic fieldwork : a student guide / Jeanette Sakel, Daniel L. Everett.</t>
  </si>
  <si>
    <t>Sakel, Jeanette, 1973-</t>
  </si>
  <si>
    <t>2014-09-11</t>
  </si>
  <si>
    <t>1009110787:eng</t>
  </si>
  <si>
    <t>757718008</t>
  </si>
  <si>
    <t>ocn757718008</t>
  </si>
  <si>
    <t>3103408982J</t>
  </si>
  <si>
    <t>9780521837279</t>
  </si>
  <si>
    <t>794895643</t>
  </si>
  <si>
    <t>P128 F53 V38 2006</t>
  </si>
  <si>
    <t>0                      P  0128000F  53                 V  38          2006</t>
  </si>
  <si>
    <t>Linguistic field methods / Bert Vaux, Justin Cooper, Emily Tucker.</t>
  </si>
  <si>
    <t>Vaux, Bert.</t>
  </si>
  <si>
    <t>Eugene, Or. : Wipf &amp; Stock, 2006, ©2007.</t>
  </si>
  <si>
    <t>3372164423:eng</t>
  </si>
  <si>
    <t>225411715</t>
  </si>
  <si>
    <t>ocn225411715</t>
  </si>
  <si>
    <t>3102651876M</t>
  </si>
  <si>
    <t>9781597527644</t>
  </si>
  <si>
    <t>794341472</t>
  </si>
  <si>
    <t>P128 F73 F76 2012</t>
  </si>
  <si>
    <t>0                      P  0128000F  73                 F  76          2012</t>
  </si>
  <si>
    <t>Frequency effects in language learning and processing / edited by Stefan Th. Gries, Dagmar Divjak.</t>
  </si>
  <si>
    <t>Trends in linguistics. Studies and monographs, 1861-4302 ; 244.1</t>
  </si>
  <si>
    <t>2013-03-28</t>
  </si>
  <si>
    <t>2242764654:eng</t>
  </si>
  <si>
    <t>798612682</t>
  </si>
  <si>
    <t>ocn798612682</t>
  </si>
  <si>
    <t>3103455938G</t>
  </si>
  <si>
    <t>9783110273762</t>
  </si>
  <si>
    <t>794923832</t>
  </si>
  <si>
    <t>P128 F73 F78 2012</t>
  </si>
  <si>
    <t>0                      P  0128000F  73                 F  78          2012</t>
  </si>
  <si>
    <t>Frequency effects in language representation / edited by Dagmar Divjak, Stefan Th. Gries.</t>
  </si>
  <si>
    <t>Trends in linguistics. Studies and monographs, 1861-4302 ; 244.2</t>
  </si>
  <si>
    <t>2909437176:eng</t>
  </si>
  <si>
    <t>798612684</t>
  </si>
  <si>
    <t>ocn798612684</t>
  </si>
  <si>
    <t>3103455943E</t>
  </si>
  <si>
    <t>9783110273786</t>
  </si>
  <si>
    <t>794923833</t>
  </si>
  <si>
    <t>P128 H53 S33 2015</t>
  </si>
  <si>
    <t>0                      P  0128000H  53                 S  33          2015</t>
  </si>
  <si>
    <t>Scales and hierarchies : a cross-disciplinary perspective / edited by Ina Bornkessel-Schlesewsky, Andrej L. Malchukov, Marc D. Richards.</t>
  </si>
  <si>
    <t>Trends in linguistics. Studies and monographs ; volume 277</t>
  </si>
  <si>
    <t>2054541795:eng</t>
  </si>
  <si>
    <t>894491756</t>
  </si>
  <si>
    <t>ocn894491756</t>
  </si>
  <si>
    <t>3103582667A</t>
  </si>
  <si>
    <t>9783110344004</t>
  </si>
  <si>
    <t>794982676</t>
  </si>
  <si>
    <t>P128 I53 D38 1991</t>
  </si>
  <si>
    <t>0                      P  0128000I  53                 D  38          1991</t>
  </si>
  <si>
    <t>The native speaker in applied linguistics / Alan Davies.</t>
  </si>
  <si>
    <t>Davies, Alan, 1931 February 17- author.</t>
  </si>
  <si>
    <t>Edinburgh : Edinburgh University Press, 1991.</t>
  </si>
  <si>
    <t>26147235:eng</t>
  </si>
  <si>
    <t>26248866</t>
  </si>
  <si>
    <t>ocm26248866</t>
  </si>
  <si>
    <t>3102756223O</t>
  </si>
  <si>
    <t>9780748602964</t>
  </si>
  <si>
    <t>793240644</t>
  </si>
  <si>
    <t>P128 I53 N38 2013</t>
  </si>
  <si>
    <t>0                      P  0128000I  53                 N  38          2013</t>
  </si>
  <si>
    <t>Native-speakerism in Japan : intergroup dynamics in foreign language education / edited by Stephanie Ann Houghton and Damian J. Rivers.</t>
  </si>
  <si>
    <t>Bristol ; Buffalo [N.Y.] : Multilingual Matters, ©2013.</t>
  </si>
  <si>
    <t>1338803823:eng</t>
  </si>
  <si>
    <t>810773162</t>
  </si>
  <si>
    <t>ocn810773162</t>
  </si>
  <si>
    <t>3103497548Z</t>
  </si>
  <si>
    <t>9781847698698</t>
  </si>
  <si>
    <t>794929514</t>
  </si>
  <si>
    <t>P128 L35 B76 2001</t>
  </si>
  <si>
    <t>0                      P  0128000L  35                 B  76          2001</t>
  </si>
  <si>
    <t>Using surveys in language programs / James Dean Brown.</t>
  </si>
  <si>
    <t>Cambridge, U.K. ; New York : Cambridge University Press, 2001.</t>
  </si>
  <si>
    <t>5218485028:eng</t>
  </si>
  <si>
    <t>44076100</t>
  </si>
  <si>
    <t>ocm44076100</t>
  </si>
  <si>
    <t>31030135218</t>
  </si>
  <si>
    <t>9780521792165</t>
  </si>
  <si>
    <t>793641853</t>
  </si>
  <si>
    <t>P128 O63 J44 2010</t>
  </si>
  <si>
    <t>0                      P  0128000O  63                 J  44          2010</t>
  </si>
  <si>
    <t>Opposition in discourse : the construction of oppositional meaning / Lesley Jeffries.</t>
  </si>
  <si>
    <t>Jeffries, Lesley, 1956-</t>
  </si>
  <si>
    <t>792552157:eng</t>
  </si>
  <si>
    <t>440123108</t>
  </si>
  <si>
    <t>ocn440123108</t>
  </si>
  <si>
    <t>3103241134$</t>
  </si>
  <si>
    <t>9781847065124</t>
  </si>
  <si>
    <t>794786381</t>
  </si>
  <si>
    <t>P128 P73 P76 2003</t>
  </si>
  <si>
    <t>0                      P  0128000P  73                 P  76          2003</t>
  </si>
  <si>
    <t>Probabilistic linguistics / edited by Rens Bod, Jennifer Hay, and Stefanie Jannedy.</t>
  </si>
  <si>
    <t>Cambridge, MA : MIT Press, ©2003.</t>
  </si>
  <si>
    <t>350007999:eng</t>
  </si>
  <si>
    <t>50424204</t>
  </si>
  <si>
    <t>ocm50424204</t>
  </si>
  <si>
    <t>3102756227O</t>
  </si>
  <si>
    <t>9780262025362</t>
  </si>
  <si>
    <t>793764865</t>
  </si>
  <si>
    <t>P128.R43 B69 2019</t>
  </si>
  <si>
    <t>0                      P  0128000R  43                 B  69          2019</t>
  </si>
  <si>
    <t>De l'autre côté du discours : recherches sur le fonctionnement des représentations communautaires / Henri Boyer.</t>
  </si>
  <si>
    <t>Boyer, Henri, 1946- author.</t>
  </si>
  <si>
    <t>Paris : L'Harmattan, [2019]</t>
  </si>
  <si>
    <t>Langue &amp; parole</t>
  </si>
  <si>
    <t>891298750:fre</t>
  </si>
  <si>
    <t>1134610852</t>
  </si>
  <si>
    <t>on1134610852</t>
  </si>
  <si>
    <t>3103875760J</t>
  </si>
  <si>
    <t>9782747541923</t>
  </si>
  <si>
    <t>795086902</t>
  </si>
  <si>
    <t>P128 W67 P69 2015</t>
  </si>
  <si>
    <t>0                      P  0128000W  67                 P  69          2015</t>
  </si>
  <si>
    <t>The power of the word : the sacred and the profane / edited by Patsy J. Daniels.</t>
  </si>
  <si>
    <t>2564665425:eng</t>
  </si>
  <si>
    <t>905381684</t>
  </si>
  <si>
    <t>ocn905381684</t>
  </si>
  <si>
    <t>31036074085</t>
  </si>
  <si>
    <t>9781443875288</t>
  </si>
  <si>
    <t>794991298</t>
  </si>
  <si>
    <t>P128 W67 W674 2014</t>
  </si>
  <si>
    <t>0                      P  0128000W  67                 W  674         2014</t>
  </si>
  <si>
    <t>Word classes : nature, typology and representations / edited by Raffaele Simone, Roma Tre University ; Francesca Masini, Alma Mater Studiorum - University Of Bologna.</t>
  </si>
  <si>
    <t>Current issues in linguistic theory, 0304-0763 ; volume 332</t>
  </si>
  <si>
    <t>2076038309:eng</t>
  </si>
  <si>
    <t>879583613</t>
  </si>
  <si>
    <t>ocn879583613</t>
  </si>
  <si>
    <t>31031989332</t>
  </si>
  <si>
    <t>9789027248510</t>
  </si>
  <si>
    <t>794972373</t>
  </si>
  <si>
    <t>P129 A63 2010</t>
  </si>
  <si>
    <t>0                      P  0129000A  63          2010</t>
  </si>
  <si>
    <t>Appliable linguistics / edited by Ahmar Mahboob and Naomi K. Knight.</t>
  </si>
  <si>
    <t>London ; New York : Continuum International Pub. Group, ©2010.</t>
  </si>
  <si>
    <t>2012-10-17</t>
  </si>
  <si>
    <t>349134946:eng</t>
  </si>
  <si>
    <t>466343670</t>
  </si>
  <si>
    <t>ocn466343670</t>
  </si>
  <si>
    <t>3103231078$</t>
  </si>
  <si>
    <t>9781441164155</t>
  </si>
  <si>
    <t>794794356</t>
  </si>
  <si>
    <t>P129 A65 2013</t>
  </si>
  <si>
    <t>0                      P  0129000A  65          2013</t>
  </si>
  <si>
    <t>The applied linguistic individual : sociocultural approaches to identity, agency and autonomy / edited by Phil Benson and Lucy Cooker.</t>
  </si>
  <si>
    <t>Sheffield, UK ; Bristol, CT : Equinox, 2013.</t>
  </si>
  <si>
    <t>1749714867:eng</t>
  </si>
  <si>
    <t>781848516</t>
  </si>
  <si>
    <t>ocn781848516</t>
  </si>
  <si>
    <t>3103500826N</t>
  </si>
  <si>
    <t>9781908049384</t>
  </si>
  <si>
    <t>794913353</t>
  </si>
  <si>
    <t>2009-09-15</t>
  </si>
  <si>
    <t>P129 A67 2012</t>
  </si>
  <si>
    <t>0                      P  0129000A  67          2012</t>
  </si>
  <si>
    <t>Applied linguists needed : cross-disciplinary teamwork in endangered language contexts / edited by Lida Cope.</t>
  </si>
  <si>
    <t>1097448123:eng</t>
  </si>
  <si>
    <t>753301057</t>
  </si>
  <si>
    <t>ocn753301057</t>
  </si>
  <si>
    <t>3103421803J</t>
  </si>
  <si>
    <t>9780415695435</t>
  </si>
  <si>
    <t>794892029</t>
  </si>
  <si>
    <t>P129 A76 2013</t>
  </si>
  <si>
    <t>0                      P  0129000A  76          2013</t>
  </si>
  <si>
    <t>Around the tree : semantic and metaphysical issues concerning branching and the open future / Fabrice Correia, Andrea Iacona, editors.</t>
  </si>
  <si>
    <t>Dordrecht ; New York : Springer, ©2013.</t>
  </si>
  <si>
    <t>Synthese Library ; 361</t>
  </si>
  <si>
    <t>2015-10-13</t>
  </si>
  <si>
    <t>1191652711:eng</t>
  </si>
  <si>
    <t>824129598</t>
  </si>
  <si>
    <t>ocn824129598</t>
  </si>
  <si>
    <t>3103506160C</t>
  </si>
  <si>
    <t>794937607</t>
  </si>
  <si>
    <t>P129 B46 2012</t>
  </si>
  <si>
    <t>0                      P  0129000B  46          2012</t>
  </si>
  <si>
    <t>Neoliberalism and applied linguistics / David Block, John Gray, Marnie Holborow.</t>
  </si>
  <si>
    <t>1101309482:eng</t>
  </si>
  <si>
    <t>707966529</t>
  </si>
  <si>
    <t>ocn707966529</t>
  </si>
  <si>
    <t>3103408969N</t>
  </si>
  <si>
    <t>9780415592048</t>
  </si>
  <si>
    <t>794868441</t>
  </si>
  <si>
    <t>P129 C53 2013</t>
  </si>
  <si>
    <t>0                      P  0129000C  53          2013</t>
  </si>
  <si>
    <t>Choice in language : applications in text analysis / edited by Gerard O'Grady, Tom Bartlett and Lise Fontaine.</t>
  </si>
  <si>
    <t>Functional Linguistics</t>
  </si>
  <si>
    <t>2014-11-10</t>
  </si>
  <si>
    <t>1465539283:eng</t>
  </si>
  <si>
    <t>828143263</t>
  </si>
  <si>
    <t>ocn828143263</t>
  </si>
  <si>
    <t>3103502745E</t>
  </si>
  <si>
    <t>9781908049544</t>
  </si>
  <si>
    <t>794940759</t>
  </si>
  <si>
    <t>P129 C63 2010</t>
  </si>
  <si>
    <t>0                      P  0129000C  63          2010</t>
  </si>
  <si>
    <t>Continuum companion to research methods in applied linguistics / edited by Brian Paltridge and Aek Phakiti.</t>
  </si>
  <si>
    <t>London ; New York : Continuum, 2010.</t>
  </si>
  <si>
    <t>361057812:eng</t>
  </si>
  <si>
    <t>482628879</t>
  </si>
  <si>
    <t>ocn482628879</t>
  </si>
  <si>
    <t>3103132287U</t>
  </si>
  <si>
    <t>9780826499240</t>
  </si>
  <si>
    <t>794799303</t>
  </si>
  <si>
    <t>P129 C65 2012</t>
  </si>
  <si>
    <t>0                      P  0129000C  65          2012</t>
  </si>
  <si>
    <t>Corpus applications in applied linguistics / edited by Ken Hyland, Chau Meng Huat and Michael Handford.</t>
  </si>
  <si>
    <t>London ; New York : Continuum, 2012.</t>
  </si>
  <si>
    <t>1003639976:eng</t>
  </si>
  <si>
    <t>747713123</t>
  </si>
  <si>
    <t>ocn747713123</t>
  </si>
  <si>
    <t>31034228497</t>
  </si>
  <si>
    <t>9781441107800</t>
  </si>
  <si>
    <t>794888398</t>
  </si>
  <si>
    <t>P129 D67 2007</t>
  </si>
  <si>
    <t>0                      P  0129000D  67          2007</t>
  </si>
  <si>
    <t>Research methods in applied linguistics : quantitative, qualitative, and mixed methodologies / Zoltán Dörnyei.</t>
  </si>
  <si>
    <t>Oxford ; New York, N.Y. : Oxford University Press, 2007.</t>
  </si>
  <si>
    <t>114130494:eng</t>
  </si>
  <si>
    <t>123374254</t>
  </si>
  <si>
    <t>ocn123374254</t>
  </si>
  <si>
    <t>31025720643</t>
  </si>
  <si>
    <t>9780194422581</t>
  </si>
  <si>
    <t>794226779</t>
  </si>
  <si>
    <t>P129 D84 2008</t>
  </si>
  <si>
    <t>0                      P  0129000D  84          2008</t>
  </si>
  <si>
    <t>Case study research in applied linguistics / Patricia A. Duff.</t>
  </si>
  <si>
    <t>Duff, Patricia, 1959- author.</t>
  </si>
  <si>
    <t>New York : Lawrence Erlbaum Associates, [2008]</t>
  </si>
  <si>
    <t>69735867:eng</t>
  </si>
  <si>
    <t>85833340</t>
  </si>
  <si>
    <t>ocm85833340</t>
  </si>
  <si>
    <t>3103054821C</t>
  </si>
  <si>
    <t>9780805823592</t>
  </si>
  <si>
    <t>794216908</t>
  </si>
  <si>
    <t>P129 E93 2013</t>
  </si>
  <si>
    <t>0                      P  0129000E  93          2013</t>
  </si>
  <si>
    <t>Applied linguistics : towards a new integration? / Lars Sigfred Evensen.</t>
  </si>
  <si>
    <t>Evensen, Lars Sigfred, 1950-</t>
  </si>
  <si>
    <t>Sheffield ; Bristol, CT : Equinox Pub., 2012.</t>
  </si>
  <si>
    <t>1090431901:eng</t>
  </si>
  <si>
    <t>781279056</t>
  </si>
  <si>
    <t>ocn781279056</t>
  </si>
  <si>
    <t>3103500971A</t>
  </si>
  <si>
    <t>9781845536237</t>
  </si>
  <si>
    <t>794912555</t>
  </si>
  <si>
    <t>P129 F67 2018</t>
  </si>
  <si>
    <t>0                      P  0129000F  67          2018</t>
  </si>
  <si>
    <t>Forensic linguistics : asylum-seekers, refugees and immigrants / edited by I.M. Nick (Germanic Society for Forensic Linguistics (GSFL)) ; with a foreword by Tina Cambier-Langeveld (International Association for Forensic Phonetics and Acoustics (IAFPA)).</t>
  </si>
  <si>
    <t>Wilmington, Delaware, United States : Vernon Press, [2018]</t>
  </si>
  <si>
    <t>Series in language and linguistics</t>
  </si>
  <si>
    <t>8882828440:eng</t>
  </si>
  <si>
    <t>1041957002</t>
  </si>
  <si>
    <t>on1041957002</t>
  </si>
  <si>
    <t>3103704084D</t>
  </si>
  <si>
    <t>9781622731282</t>
  </si>
  <si>
    <t>795059361</t>
  </si>
  <si>
    <t>P129 F74 2007</t>
  </si>
  <si>
    <t>0                      P  0129000F  74          2007</t>
  </si>
  <si>
    <t>French applied linguistics / edited by Dalila Ayoun.</t>
  </si>
  <si>
    <t>Amsterdam ; Philadelphia, PA : John Benjamins Publishing, 2007.</t>
  </si>
  <si>
    <t>Language learning and language teaching, 1569-9471 ; v. 16</t>
  </si>
  <si>
    <t>8847844732:eng</t>
  </si>
  <si>
    <t>71810166</t>
  </si>
  <si>
    <t>ocm71810166</t>
  </si>
  <si>
    <t>31026344393</t>
  </si>
  <si>
    <t>9789027219725</t>
  </si>
  <si>
    <t>794168617</t>
  </si>
  <si>
    <t>P129 F88 2012</t>
  </si>
  <si>
    <t>0                      P  0129000F  88          2012</t>
  </si>
  <si>
    <t>Future directions in applied linguistics : local and global perspectives / edited by Christina Gitsaki and Richard B. Baldauf, Jr.</t>
  </si>
  <si>
    <t>Newcastle upon Tyne, UK : Cambridge Scholars, 2012.</t>
  </si>
  <si>
    <t>1076471848:eng</t>
  </si>
  <si>
    <t>774639687</t>
  </si>
  <si>
    <t>ocn774639687</t>
  </si>
  <si>
    <t>3103408734Z</t>
  </si>
  <si>
    <t>9781443835732</t>
  </si>
  <si>
    <t>794906730</t>
  </si>
  <si>
    <t>P129 G76 2011</t>
  </si>
  <si>
    <t>0                      P  0129000G  76          2011</t>
  </si>
  <si>
    <t>Doing applied linguistics : a guide for students / Nicholas Groom and Jeannette Littlemore.</t>
  </si>
  <si>
    <t>Groom, Nicholas.</t>
  </si>
  <si>
    <t>Milton Park, Abingdon, Oxon ; New York, NY : Routledge, 2011.</t>
  </si>
  <si>
    <t>974957326:eng</t>
  </si>
  <si>
    <t>548660336</t>
  </si>
  <si>
    <t>ocn548660336</t>
  </si>
  <si>
    <t>3103342260H</t>
  </si>
  <si>
    <t>9780415566414</t>
  </si>
  <si>
    <t>794811178</t>
  </si>
  <si>
    <t>P129 H27 2011</t>
  </si>
  <si>
    <t>0                      P  0129000H  27          2011</t>
  </si>
  <si>
    <t>Mapping applied linguistics : a guide for students and practitioners / Christopher J Hall, Patrick H Smith, Rachel Wicaksono.</t>
  </si>
  <si>
    <t>Hall, Christopher J., 1961-</t>
  </si>
  <si>
    <t>2014-01-07</t>
  </si>
  <si>
    <t>420327860:eng</t>
  </si>
  <si>
    <t>548660335</t>
  </si>
  <si>
    <t>ocn548660335</t>
  </si>
  <si>
    <t>31032345985</t>
  </si>
  <si>
    <t>9780415559126</t>
  </si>
  <si>
    <t>794811177</t>
  </si>
  <si>
    <t>P129 H33 2004</t>
  </si>
  <si>
    <t>0                      P  0129000H  33          2004</t>
  </si>
  <si>
    <t>The handbook of applied linguistics / edited by Alan Davies and Catherine Elder.</t>
  </si>
  <si>
    <t>Blackwell handbooks in linguistics ; 17</t>
  </si>
  <si>
    <t>864917682:eng</t>
  </si>
  <si>
    <t>53138794</t>
  </si>
  <si>
    <t>ocm53138794</t>
  </si>
  <si>
    <t>3102756276E</t>
  </si>
  <si>
    <t>9780631228998</t>
  </si>
  <si>
    <t>793822155</t>
  </si>
  <si>
    <t>P129 H86 2010</t>
  </si>
  <si>
    <t>0                      P  0129000H  86          2010</t>
  </si>
  <si>
    <t>Introducing applied linguistics : concepts and skills / Susan Hunston and David Oakey.</t>
  </si>
  <si>
    <t>New York, NY : Routledge, ©2010.</t>
  </si>
  <si>
    <t>2013-12-04</t>
  </si>
  <si>
    <t>797245465:eng</t>
  </si>
  <si>
    <t>166361790</t>
  </si>
  <si>
    <t>ocn166361790</t>
  </si>
  <si>
    <t>3103157476X</t>
  </si>
  <si>
    <t>9780415447683</t>
  </si>
  <si>
    <t>794260685</t>
  </si>
  <si>
    <t>P129 L365 2010</t>
  </si>
  <si>
    <t>0                      P  0129000L  365         2010</t>
  </si>
  <si>
    <t>Language in the real world : an introduction to linguistics / [edited by] Susan J. Behrens and Judith A. Parker.</t>
  </si>
  <si>
    <t>866859217:eng</t>
  </si>
  <si>
    <t>428926510</t>
  </si>
  <si>
    <t>ocn428926510</t>
  </si>
  <si>
    <t>31032314061</t>
  </si>
  <si>
    <t>9780415774673</t>
  </si>
  <si>
    <t>794779005</t>
  </si>
  <si>
    <t>P129 L37 2008</t>
  </si>
  <si>
    <t>0                      P  0129000L  37          2008</t>
  </si>
  <si>
    <t>Complex systems and applied linguistics / Diane Larsen-Freeman, Lynne Cameron.</t>
  </si>
  <si>
    <t>119939305:eng</t>
  </si>
  <si>
    <t>228720553</t>
  </si>
  <si>
    <t>ocn228720553</t>
  </si>
  <si>
    <t>3102973902Y</t>
  </si>
  <si>
    <t>9780194422444</t>
  </si>
  <si>
    <t>794351069</t>
  </si>
  <si>
    <t>P129 L43 2009</t>
  </si>
  <si>
    <t>0                      P  0129000L  43          2009</t>
  </si>
  <si>
    <t>Linguistic landscape : expanding the scenery / edited by Elana Shohamy and Durk Gorter.</t>
  </si>
  <si>
    <t>792935453:eng</t>
  </si>
  <si>
    <t>212410156</t>
  </si>
  <si>
    <t>ocn212410156</t>
  </si>
  <si>
    <t>3102976842H</t>
  </si>
  <si>
    <t>9780415988728</t>
  </si>
  <si>
    <t>794305807</t>
  </si>
  <si>
    <t>P129 O95 2010</t>
  </si>
  <si>
    <t>0                      P  0129000O  95          2010</t>
  </si>
  <si>
    <t>The Oxford handbook of applied linguistics / edited by Robert B. Kaplan.</t>
  </si>
  <si>
    <t>Oxford handbooks</t>
  </si>
  <si>
    <t>4924219528:eng</t>
  </si>
  <si>
    <t>429227209</t>
  </si>
  <si>
    <t>ocn429227209</t>
  </si>
  <si>
    <t>3103228899M</t>
  </si>
  <si>
    <t>9780195384253</t>
  </si>
  <si>
    <t>794779820</t>
  </si>
  <si>
    <t>P129 P46 2001</t>
  </si>
  <si>
    <t>0                      P  0129000P  46          2001</t>
  </si>
  <si>
    <t>Critical applied linguistics : a critical introduction / Alastair Pennycock.</t>
  </si>
  <si>
    <t>Mahwah, N.J. : L. Erlbaum, 2001.</t>
  </si>
  <si>
    <t>800034084:eng</t>
  </si>
  <si>
    <t>44468949</t>
  </si>
  <si>
    <t>ocm44468949</t>
  </si>
  <si>
    <t>3102734434Y</t>
  </si>
  <si>
    <t>9780805837919</t>
  </si>
  <si>
    <t>793646906</t>
  </si>
  <si>
    <t>P129 P47 2011</t>
  </si>
  <si>
    <t>0                      P  0129000P  47          2011</t>
  </si>
  <si>
    <t>Research in applied linguistics : becoming a discerning consumer / Fred L. Perry, Jr.</t>
  </si>
  <si>
    <t>Perry, Fred L. (Fred Lehman), 1943-</t>
  </si>
  <si>
    <t>800362339:eng</t>
  </si>
  <si>
    <t>666491750</t>
  </si>
  <si>
    <t>ocn666491750</t>
  </si>
  <si>
    <t>31033446157</t>
  </si>
  <si>
    <t>9780415885706</t>
  </si>
  <si>
    <t>794845224</t>
  </si>
  <si>
    <t>P129 P75 1995</t>
  </si>
  <si>
    <t>0                      P  0129000P  75          1995</t>
  </si>
  <si>
    <t>Principle &amp; practice in applied linguistics : studies in honour of H.G. Widdowson / editors, Guy Cook, Barbara Seidlhofer.</t>
  </si>
  <si>
    <t>Oxford ; New York : Oxford University Press, 1995.</t>
  </si>
  <si>
    <t>2017-08-12</t>
  </si>
  <si>
    <t>837047647:eng</t>
  </si>
  <si>
    <t>33101428</t>
  </si>
  <si>
    <t>ocm33101428</t>
  </si>
  <si>
    <t>3103398971J</t>
  </si>
  <si>
    <t>9780194421485</t>
  </si>
  <si>
    <t>793401785</t>
  </si>
  <si>
    <t>P129 Q35 2009</t>
  </si>
  <si>
    <t>0                      P  0129000Q  35          2009</t>
  </si>
  <si>
    <t>Qualitative research in applied linguistics : a practical introduction / edited by Juanita Heigham and Robert A. Croker.</t>
  </si>
  <si>
    <t>Houndmills, Basingstoke, Hampshire [England] ; New York : Palgrave Macmillan, ©2009.</t>
  </si>
  <si>
    <t>2015-10-09</t>
  </si>
  <si>
    <t>894849676:eng</t>
  </si>
  <si>
    <t>317114506</t>
  </si>
  <si>
    <t>ocn317114506</t>
  </si>
  <si>
    <t>3103086180Z</t>
  </si>
  <si>
    <t>9780230219526</t>
  </si>
  <si>
    <t>794450750</t>
  </si>
  <si>
    <t>P129 R47 2012</t>
  </si>
  <si>
    <t>0                      P  0129000R  47          2012</t>
  </si>
  <si>
    <t>Replication research in applied linguistics / edited by Graeme Porte.</t>
  </si>
  <si>
    <t>5618778800:eng</t>
  </si>
  <si>
    <t>762135194</t>
  </si>
  <si>
    <t>ocn762135194</t>
  </si>
  <si>
    <t>3103423187G</t>
  </si>
  <si>
    <t>9781107671522</t>
  </si>
  <si>
    <t>794899851</t>
  </si>
  <si>
    <t>P129 R475 2015</t>
  </si>
  <si>
    <t>0                      P  0129000R  475         2015</t>
  </si>
  <si>
    <t>Research Methods in Applied Linguistics : a Practical Resource / edited by Brian Paltridge and Aek Phakiti.</t>
  </si>
  <si>
    <t>Research methods in linguistics series</t>
  </si>
  <si>
    <t>2463728289:eng</t>
  </si>
  <si>
    <t>904713474</t>
  </si>
  <si>
    <t>ocn904713474</t>
  </si>
  <si>
    <t>3103611561L</t>
  </si>
  <si>
    <t>9781472524560</t>
  </si>
  <si>
    <t>794990683</t>
  </si>
  <si>
    <t>P129 R55 2012</t>
  </si>
  <si>
    <t>0                      P  0129000R  55          2012</t>
  </si>
  <si>
    <t>Research methods for applied language studies / Keith Richards, Steven Ross, Paul Seedhouse.</t>
  </si>
  <si>
    <t>Richards, Keith, 1952-</t>
  </si>
  <si>
    <t>483371301:eng</t>
  </si>
  <si>
    <t>617637718</t>
  </si>
  <si>
    <t>ocn617637718</t>
  </si>
  <si>
    <t>3103342972V</t>
  </si>
  <si>
    <t>9780415551403</t>
  </si>
  <si>
    <t>794823153</t>
  </si>
  <si>
    <t>P129 R68 2011</t>
  </si>
  <si>
    <t>0                      P  0129000R  68          2011</t>
  </si>
  <si>
    <t>The Routledge handbook of applied linguistics / edited by James Simpson.</t>
  </si>
  <si>
    <t>Milton Park, Abingdon [UK] ; New York : Routledge, 2011.</t>
  </si>
  <si>
    <t>420327856:eng</t>
  </si>
  <si>
    <t>548660329</t>
  </si>
  <si>
    <t>ocn548660329</t>
  </si>
  <si>
    <t>3103343237J</t>
  </si>
  <si>
    <t>9780415490672</t>
  </si>
  <si>
    <t>794811176</t>
  </si>
  <si>
    <t>P129 S43 2004</t>
  </si>
  <si>
    <t>0                      P  0129000S  43          2004</t>
  </si>
  <si>
    <t>Applied linguistics as social science / Alison Sealey and Bob Carter.</t>
  </si>
  <si>
    <t>Sealey, Alison.</t>
  </si>
  <si>
    <t>New York ; London : Continuum, 2004.</t>
  </si>
  <si>
    <t>Advances in applied linguistics</t>
  </si>
  <si>
    <t>2016-10-09</t>
  </si>
  <si>
    <t>1024329:eng</t>
  </si>
  <si>
    <t>57579490</t>
  </si>
  <si>
    <t>ocm57579490</t>
  </si>
  <si>
    <t>3102756268G</t>
  </si>
  <si>
    <t>9780826455192</t>
  </si>
  <si>
    <t>793916022</t>
  </si>
  <si>
    <t>P129 S835 2008</t>
  </si>
  <si>
    <t>0                      P  0129000S  835         2008</t>
  </si>
  <si>
    <t>Studies in French applied linguistics / edited by Dalila Ayoun.</t>
  </si>
  <si>
    <t>Language learning &amp; language teaching ; v. 21</t>
  </si>
  <si>
    <t>3769107572:eng</t>
  </si>
  <si>
    <t>225820541</t>
  </si>
  <si>
    <t>ocn225820541</t>
  </si>
  <si>
    <t>3103083997L</t>
  </si>
  <si>
    <t>9789027219824</t>
  </si>
  <si>
    <t>794342486</t>
  </si>
  <si>
    <t>P130.5 A66 2012</t>
  </si>
  <si>
    <t>0                      P  0130500A  66          2012</t>
  </si>
  <si>
    <t>Approaching language transfer through text classification : explorations in the detection-based approach / edited by Scott Jarvis and Scott A. Crossley.</t>
  </si>
  <si>
    <t>Second language acquisition ; 64</t>
  </si>
  <si>
    <t>1105202180:eng</t>
  </si>
  <si>
    <t>761843275</t>
  </si>
  <si>
    <t>ocn761843275</t>
  </si>
  <si>
    <t>3103407249F</t>
  </si>
  <si>
    <t>9781847696984</t>
  </si>
  <si>
    <t>794899538</t>
  </si>
  <si>
    <t>P130.5 A867 2007</t>
  </si>
  <si>
    <t>0                      P  0130500A  867         2007</t>
  </si>
  <si>
    <t>Forms of migration, migrations of forms : proceedings of the 23rd AIA Conference, Bari, 20-22 September 2007.</t>
  </si>
  <si>
    <t>Associazione italiana di anglistica. Congresso (23rd : 2007 : Bari, Italy)</t>
  </si>
  <si>
    <t>Bari : Progedit, 2009.</t>
  </si>
  <si>
    <t>Università</t>
  </si>
  <si>
    <t>2015-03-14</t>
  </si>
  <si>
    <t>1355346623:eng</t>
  </si>
  <si>
    <t>513718361</t>
  </si>
  <si>
    <t>ocn513718361</t>
  </si>
  <si>
    <t>3103127720C</t>
  </si>
  <si>
    <t>9788861940574</t>
  </si>
  <si>
    <t>794807979</t>
  </si>
  <si>
    <t>v. 3</t>
  </si>
  <si>
    <t>2014-04-24</t>
  </si>
  <si>
    <t>31031276911</t>
  </si>
  <si>
    <t>794807977</t>
  </si>
  <si>
    <t>3103127711E</t>
  </si>
  <si>
    <t>794807978</t>
  </si>
  <si>
    <t>P130.5 B58 2010</t>
  </si>
  <si>
    <t>0                      P  0130500B  58          2010</t>
  </si>
  <si>
    <t>The sociolinguistics of globalization / Jan Blommaert.</t>
  </si>
  <si>
    <t>Cambridge approaches to language contact</t>
  </si>
  <si>
    <t>349134316:eng</t>
  </si>
  <si>
    <t>466341316</t>
  </si>
  <si>
    <t>ocn466341316</t>
  </si>
  <si>
    <t>3103133282Q</t>
  </si>
  <si>
    <t>9780521884068</t>
  </si>
  <si>
    <t>794794300</t>
  </si>
  <si>
    <t>P130.5 C685 2009</t>
  </si>
  <si>
    <t>0                      P  0130500C  685         2009</t>
  </si>
  <si>
    <t>Convergence and divergence in language contact situations / edited by Kurt Braunmüller, Juliane House.</t>
  </si>
  <si>
    <t>Hamburg studies on multilingualism, 1571-4934 ; v. 8</t>
  </si>
  <si>
    <t>873200288:eng</t>
  </si>
  <si>
    <t>433550635</t>
  </si>
  <si>
    <t>ocn433550635</t>
  </si>
  <si>
    <t>3103155079G</t>
  </si>
  <si>
    <t>9789027219282</t>
  </si>
  <si>
    <t>794782395</t>
  </si>
  <si>
    <t>P130.5 F76 2017</t>
  </si>
  <si>
    <t>0                      P  0130500F  76          2017</t>
  </si>
  <si>
    <t>Frontières linguistiques en contextes migratoires : citoyennetés en construction / sous la direction deSabine Gorovitz ; avec les contributions de Angela Erazo [and fourteen others].</t>
  </si>
  <si>
    <t>4436717018:fre</t>
  </si>
  <si>
    <t>995779032</t>
  </si>
  <si>
    <t>ocn995779032</t>
  </si>
  <si>
    <t>31037660682</t>
  </si>
  <si>
    <t>9782343124537</t>
  </si>
  <si>
    <t>795039700</t>
  </si>
  <si>
    <t>P130.5 H358 2010</t>
  </si>
  <si>
    <t>0                      P  0130500H  358         2010</t>
  </si>
  <si>
    <t>The handbook of language and globalization / edited by Nikolas Coupland.</t>
  </si>
  <si>
    <t>Malden, MA : Wiley-Blackwell, 2010.</t>
  </si>
  <si>
    <t>763501076:eng</t>
  </si>
  <si>
    <t>500823424</t>
  </si>
  <si>
    <t>ocn500823424</t>
  </si>
  <si>
    <t>3103230768L</t>
  </si>
  <si>
    <t>9781405175814</t>
  </si>
  <si>
    <t>794804294</t>
  </si>
  <si>
    <t>P130.5 H36 2010</t>
  </si>
  <si>
    <t>0                      P  0130500H  36          2010</t>
  </si>
  <si>
    <t>The handbook of language contact / edited by Raymond Hickey.</t>
  </si>
  <si>
    <t>2015-05-14</t>
  </si>
  <si>
    <t>344446612:eng</t>
  </si>
  <si>
    <t>460062264</t>
  </si>
  <si>
    <t>ocn460062264</t>
  </si>
  <si>
    <t>31032412170</t>
  </si>
  <si>
    <t>9781405175807</t>
  </si>
  <si>
    <t>794791030</t>
  </si>
  <si>
    <t>P130.5 H45 2005</t>
  </si>
  <si>
    <t>0                      P  0130500H  45          2005</t>
  </si>
  <si>
    <t>Language contact and grammatical change / Bernd Heine, Tania Kuteva.</t>
  </si>
  <si>
    <t>Heine, Bernd, 1939-</t>
  </si>
  <si>
    <t>887998:eng</t>
  </si>
  <si>
    <t>56068959</t>
  </si>
  <si>
    <t>ocm56068959</t>
  </si>
  <si>
    <t>3102756270E</t>
  </si>
  <si>
    <t>9780521845748</t>
  </si>
  <si>
    <t>793887162</t>
  </si>
  <si>
    <t>P130.5 H63 2011</t>
  </si>
  <si>
    <t>0                      P  0130500H  63          2011</t>
  </si>
  <si>
    <t>Ways of the world's words : language contact in the age of globalization / Zsuzsa Hoffmann.</t>
  </si>
  <si>
    <t>Hoffmann, Zsuzsa.</t>
  </si>
  <si>
    <t>Bern ; New York : Peter Lang, 2011.</t>
  </si>
  <si>
    <t>Linguistic insights : sudies in language and communication ; v. 135</t>
  </si>
  <si>
    <t>996932644:eng</t>
  </si>
  <si>
    <t>747099305</t>
  </si>
  <si>
    <t>ocn747099305</t>
  </si>
  <si>
    <t>31034081728</t>
  </si>
  <si>
    <t>9783034306737</t>
  </si>
  <si>
    <t>794887801</t>
  </si>
  <si>
    <t>P130.5 I65 2014</t>
  </si>
  <si>
    <t>0                      P  0130500I  65          2014</t>
  </si>
  <si>
    <t>Intercultural Contact, Language Learning and Migration / edited by Barbara Geraghty and Jean E. Conacher.</t>
  </si>
  <si>
    <t>London ; New York : Bloomsbury Academic, An imprint of Bloomsbury Publishing, 2014.</t>
  </si>
  <si>
    <t>1890403009:eng</t>
  </si>
  <si>
    <t>858660145</t>
  </si>
  <si>
    <t>ocn858660145</t>
  </si>
  <si>
    <t>31035675487</t>
  </si>
  <si>
    <t>9781441189929</t>
  </si>
  <si>
    <t>794956423</t>
  </si>
  <si>
    <t>P130.5 J37 2008</t>
  </si>
  <si>
    <t>0                      P  0130500J  37          2008</t>
  </si>
  <si>
    <t>Crosslinguistic influence in language and cognition / Scott Jarvis, Aneta Pavlenko.</t>
  </si>
  <si>
    <t>Jarvis, Scott, 1966-</t>
  </si>
  <si>
    <t>102731168:eng</t>
  </si>
  <si>
    <t>124165244</t>
  </si>
  <si>
    <t>ocn124165244</t>
  </si>
  <si>
    <t>3102647081P</t>
  </si>
  <si>
    <t>9780805838855</t>
  </si>
  <si>
    <t>794230676</t>
  </si>
  <si>
    <t>P130.5 L335 2011</t>
  </si>
  <si>
    <t>0                      P  0130500L  335         2011</t>
  </si>
  <si>
    <t>Language contact in times of globalization / edited by Cornelius Hasselblatt, Peter Houtzagers, Remco van Pareren.</t>
  </si>
  <si>
    <t>Amsterdam ; New York : Rodopi, 2011.</t>
  </si>
  <si>
    <t>Studies in Slavic and general linguistics ; v. 38</t>
  </si>
  <si>
    <t>2013-04-01</t>
  </si>
  <si>
    <t>970526309:eng</t>
  </si>
  <si>
    <t>742513861</t>
  </si>
  <si>
    <t>ocn742513861</t>
  </si>
  <si>
    <t>3103384926D</t>
  </si>
  <si>
    <t>9789042033436</t>
  </si>
  <si>
    <t>794885163</t>
  </si>
  <si>
    <t>P130.5 L336 2010</t>
  </si>
  <si>
    <t>0                      P  0130500L  336         2010</t>
  </si>
  <si>
    <t>Language contact : new perspectives / edited by Muriel Norde, Bob de Jonge, Cornelius Hasselblatt.</t>
  </si>
  <si>
    <t>IMPACT: studies in language and society ; v. 28</t>
  </si>
  <si>
    <t>888338387:eng</t>
  </si>
  <si>
    <t>466773791</t>
  </si>
  <si>
    <t>ocn466773791</t>
  </si>
  <si>
    <t>3103241424T</t>
  </si>
  <si>
    <t>9789027218674</t>
  </si>
  <si>
    <t>794794943</t>
  </si>
  <si>
    <t>P130.5 L53 2016</t>
  </si>
  <si>
    <t>0                      P  0130500L  53          2016</t>
  </si>
  <si>
    <t>Languages in contact / Lisa Lim and Umberto Ansaldo.</t>
  </si>
  <si>
    <t>Lim, Lisa, author.</t>
  </si>
  <si>
    <t>Cambridge : Cambridge University Press, 2016.</t>
  </si>
  <si>
    <t>Key Topics in Sociolinguistics</t>
  </si>
  <si>
    <t>3945343802:eng</t>
  </si>
  <si>
    <t>907810885</t>
  </si>
  <si>
    <t>ocn907810885</t>
  </si>
  <si>
    <t>31036969365</t>
  </si>
  <si>
    <t>9780521149259</t>
  </si>
  <si>
    <t>794993868</t>
  </si>
  <si>
    <t>P130.5 T46 1988</t>
  </si>
  <si>
    <t>0                      P  0130500T  46          1988</t>
  </si>
  <si>
    <t>Language contact, creolization, and genetic linguistics / Sarah Grey Thomason and Terrence Kaufman.</t>
  </si>
  <si>
    <t>Thomason, Sarah Grey.</t>
  </si>
  <si>
    <t>Berkeley : University of California Press, [1988]</t>
  </si>
  <si>
    <t>1847354287:eng</t>
  </si>
  <si>
    <t>16525266</t>
  </si>
  <si>
    <t>ocm16525266</t>
  </si>
  <si>
    <t>30005359753</t>
  </si>
  <si>
    <t>9780520078932</t>
  </si>
  <si>
    <t>792964761</t>
  </si>
  <si>
    <t>P130.5 W56 2003</t>
  </si>
  <si>
    <t>0                      P  0130500W  56          2003</t>
  </si>
  <si>
    <t>An introduction to contact linguistics / Donald Winford.</t>
  </si>
  <si>
    <t>Winford, Donald, author.</t>
  </si>
  <si>
    <t>Malden, Mass. : Blackwell Pub., 2003.</t>
  </si>
  <si>
    <t>Language in society ; 33</t>
  </si>
  <si>
    <t>915640:eng</t>
  </si>
  <si>
    <t>50143864</t>
  </si>
  <si>
    <t>ocm50143864</t>
  </si>
  <si>
    <t>3103061528S</t>
  </si>
  <si>
    <t>9780631212508</t>
  </si>
  <si>
    <t>793756690</t>
  </si>
  <si>
    <t>P130.52 A357 H35 1997</t>
  </si>
  <si>
    <t>0                      P  0130520A  357                H  35          1997</t>
  </si>
  <si>
    <t>Africa encountered : European contacts and evidence, 1450-1700 / P.E.H. Hair.</t>
  </si>
  <si>
    <t>Hair, P. E. H. (Paul Edward Hedley)</t>
  </si>
  <si>
    <t>Hampshire ; Brookfield, Vt., USA : Variorum, 1997.</t>
  </si>
  <si>
    <t>Collected studies series ; CS564</t>
  </si>
  <si>
    <t>837037012:eng</t>
  </si>
  <si>
    <t>35919336</t>
  </si>
  <si>
    <t>ocm35919336</t>
  </si>
  <si>
    <t>3102756334J</t>
  </si>
  <si>
    <t>9780860786269</t>
  </si>
  <si>
    <t>793460826</t>
  </si>
  <si>
    <t>P130.52 A358 S87 2015</t>
  </si>
  <si>
    <t>0                      P  0130520A  358                S  87          2015</t>
  </si>
  <si>
    <t>Surviving the Middle Passage : the West Africa-Surinam Sprachbund / edited by Pieter Muysken, Norval Smith ; with assistance of Robert Borges.</t>
  </si>
  <si>
    <t>Trends in linguistics. Studies and monographs ; 275</t>
  </si>
  <si>
    <t>2054543097:eng</t>
  </si>
  <si>
    <t>894557599</t>
  </si>
  <si>
    <t>ocn894557599</t>
  </si>
  <si>
    <t>3103582344N</t>
  </si>
  <si>
    <t>9783110343854</t>
  </si>
  <si>
    <t>794982806</t>
  </si>
  <si>
    <t>P130.52 A4 B46 2013</t>
  </si>
  <si>
    <t>0                      P  0130520A  4                  B  46          2013</t>
  </si>
  <si>
    <t>Language conflict in Algeria : from colonialism to post-independence / Mohamed Benrabah.</t>
  </si>
  <si>
    <t>Benrabah, Mohamed.</t>
  </si>
  <si>
    <t>Bristol : MULTILINGUAL MATTERS, 2013.</t>
  </si>
  <si>
    <t>Multilingual matters ; 154</t>
  </si>
  <si>
    <t>2017-02-16</t>
  </si>
  <si>
    <t>1205394997:eng</t>
  </si>
  <si>
    <t>826293754</t>
  </si>
  <si>
    <t>ocn826293754</t>
  </si>
  <si>
    <t>3103500934I</t>
  </si>
  <si>
    <t>9781847699640</t>
  </si>
  <si>
    <t>794939050</t>
  </si>
  <si>
    <t>P130.52 A45 L36 2000</t>
  </si>
  <si>
    <t>0                      P  0130520A  45                 L  36          2000</t>
  </si>
  <si>
    <t>The language encounter in the Americas, 1492-1800 : a collection of essays / edited by Edward G. Gray and Norman Fiering.</t>
  </si>
  <si>
    <t>New York : Berghahn Books, [2000]</t>
  </si>
  <si>
    <t>European expansion and global interaction ; v. 1</t>
  </si>
  <si>
    <t>2019-02-17</t>
  </si>
  <si>
    <t>795232379:eng</t>
  </si>
  <si>
    <t>42060936</t>
  </si>
  <si>
    <t>ocm42060936</t>
  </si>
  <si>
    <t>3102756335J</t>
  </si>
  <si>
    <t>9781571811608</t>
  </si>
  <si>
    <t>793602105</t>
  </si>
  <si>
    <t>P130.52 A45 N49 2015</t>
  </si>
  <si>
    <t>0                      P  0130520A  45                 N  49          2015</t>
  </si>
  <si>
    <t>New perspectives on Hispanic contact : linguistics in the Americas / Sandro Sessarego, Melvin González-Rivera (eds.).</t>
  </si>
  <si>
    <t>Madrid : Iberoamericana ; Frankfurt am Main : Vervuert, 2015.</t>
  </si>
  <si>
    <t>Lengua y sociedad en el mundo hispánico ; 35</t>
  </si>
  <si>
    <t>2899505125:eng</t>
  </si>
  <si>
    <t>935918928</t>
  </si>
  <si>
    <t>ocn935918928</t>
  </si>
  <si>
    <t>3103624312L</t>
  </si>
  <si>
    <t>9788484898771</t>
  </si>
  <si>
    <t>795010235</t>
  </si>
  <si>
    <t>P130.52 A785 S54 2020</t>
  </si>
  <si>
    <t>0                      P  0130520A  785                S  54          2020</t>
  </si>
  <si>
    <t>Conceptual transfer as an areal factor : spatial conceptualizations in Mainland Southeast Asia / Stefanie Siebenhütter.</t>
  </si>
  <si>
    <t>Siebenhütter, Stefanie, author.</t>
  </si>
  <si>
    <t>Bosten ; Berlin : De Gruyter Mouton, [2020]</t>
  </si>
  <si>
    <t>2020</t>
  </si>
  <si>
    <t>Pacific linguistics, 1448-8310 ; 656</t>
  </si>
  <si>
    <t>9674249862:eng</t>
  </si>
  <si>
    <t>1129482494</t>
  </si>
  <si>
    <t>on1129482494</t>
  </si>
  <si>
    <t>3103907863Y</t>
  </si>
  <si>
    <t>9781501515286</t>
  </si>
  <si>
    <t>795086675</t>
  </si>
  <si>
    <t>P130.52 A8 C59 2003</t>
  </si>
  <si>
    <t>0                      P  0130520A  8                  C  59          2003</t>
  </si>
  <si>
    <t>Dynamics of language contact : English and immigrant languages / Michael Clyne.</t>
  </si>
  <si>
    <t>Clyne, Michael G., 1939-2010.</t>
  </si>
  <si>
    <t>[Cambridge] ; [New York] : Cambridge University Press, [2003]</t>
  </si>
  <si>
    <t>792667053:eng</t>
  </si>
  <si>
    <t>51271737</t>
  </si>
  <si>
    <t>ocm51271737</t>
  </si>
  <si>
    <t>3102756330J</t>
  </si>
  <si>
    <t>9780521781367</t>
  </si>
  <si>
    <t>793781964</t>
  </si>
  <si>
    <t>P130.52 A8 W53 2010</t>
  </si>
  <si>
    <t>0                      P  0130520A  8                  W  53          2010</t>
  </si>
  <si>
    <t>Illegitimate practices : global English language education / Jacqueline Widin.</t>
  </si>
  <si>
    <t>Widin, Jacqueline.</t>
  </si>
  <si>
    <t>Linguistic diversity and language rights</t>
  </si>
  <si>
    <t>2013-03-20</t>
  </si>
  <si>
    <t>796423722:eng</t>
  </si>
  <si>
    <t>643324315</t>
  </si>
  <si>
    <t>ocn643324315</t>
  </si>
  <si>
    <t>3103230598L</t>
  </si>
  <si>
    <t>9781847693075</t>
  </si>
  <si>
    <t>794828757</t>
  </si>
  <si>
    <t>P130.52 E85 C68 2016</t>
  </si>
  <si>
    <t>0                      P  0130520E  85                 C  68          2016</t>
  </si>
  <si>
    <t>Les cours comme lieux de rencontre et d'élaboration des langues vernaculaires à la Renaissance (1480-1620) = Höfe als Laboratorien der Volkssprachigkeit zur Zeit der Renaissance (1480-1620) / coordination éditoriale / herausgegeben von: Jean Balsamo, Anna Kathrin Bleuler.</t>
  </si>
  <si>
    <t>Genève : Librairie Droz, [2016]</t>
  </si>
  <si>
    <t>Travaux d'humanisme et Renaissance, 0082-6081 ; no 565</t>
  </si>
  <si>
    <t>3782404022:fre</t>
  </si>
  <si>
    <t>956519561</t>
  </si>
  <si>
    <t>ocn956519561</t>
  </si>
  <si>
    <t>3103709048T</t>
  </si>
  <si>
    <t>9782600019019</t>
  </si>
  <si>
    <t>795020204</t>
  </si>
  <si>
    <t>P130.52 E853 S25 1992</t>
  </si>
  <si>
    <t>0                      P  0130520E  853                S  25          1992</t>
  </si>
  <si>
    <t>Accentual change and language contact : comparative survey and a case study of early northern Europe / Joe Salmons.</t>
  </si>
  <si>
    <t>Salmons, Joe, 1956-</t>
  </si>
  <si>
    <t>Stanford, Calif. : Stanford University Press, ©1992.</t>
  </si>
  <si>
    <t>11595828:eng</t>
  </si>
  <si>
    <t>23767565</t>
  </si>
  <si>
    <t>ocm23767565</t>
  </si>
  <si>
    <t>3102756327L</t>
  </si>
  <si>
    <t>9780804716598</t>
  </si>
  <si>
    <t>793182170</t>
  </si>
  <si>
    <t>P130.52 M38 L39 2014</t>
  </si>
  <si>
    <t>0                      P  0130520M  38                 L  39          2014</t>
  </si>
  <si>
    <t>Language contact, inherited similarity and social difference : the story of linguistic interaction in the Maya Lowlands / Danny Law, University of Texas at Austin.</t>
  </si>
  <si>
    <t>Law, Danny, 1980- author.</t>
  </si>
  <si>
    <t>Amsterdam studies in the theory and history of linguistic science. Series IV, Current issues in linguistic theory, 0304-0763 ; volume 328</t>
  </si>
  <si>
    <t>1894290481:eng</t>
  </si>
  <si>
    <t>870287499</t>
  </si>
  <si>
    <t>ocn870287499</t>
  </si>
  <si>
    <t>3103554328Y</t>
  </si>
  <si>
    <t>9789027248473</t>
  </si>
  <si>
    <t>794966333</t>
  </si>
  <si>
    <t>P130.52 P16 E54 2012</t>
  </si>
  <si>
    <t>0                      P  0130520P  16                 E  54          2012</t>
  </si>
  <si>
    <t>English language as hydra : its impacts on non-English language cultures / edited by Vaughan Rapatahana and Pauline Bunce.</t>
  </si>
  <si>
    <t>Linguistic diversity and language rights ; 9</t>
  </si>
  <si>
    <t>1083643219:eng</t>
  </si>
  <si>
    <t>779245785</t>
  </si>
  <si>
    <t>ocn779245785</t>
  </si>
  <si>
    <t>3103423101W</t>
  </si>
  <si>
    <t>9781847697509</t>
  </si>
  <si>
    <t>794910647</t>
  </si>
  <si>
    <t>P131 G84</t>
  </si>
  <si>
    <t>0                      P  0131000G  84</t>
  </si>
  <si>
    <t>Maupertuis, Turgot et Maine de Biran sur l'origine du langage. Étude de Ronald Grimsley (Trad. de l'anglais par Marie-Henriette Day), suivie de 3 textes: (Réflexions philosophiques sur l'origine des langues et la signification des mots. [Par Pierre-Louis] de Maupertuis. Remarques critiques sur Les réflexions philosophiques de Maupertuis ... [Par Anne-Robert Jacques] Turgot. Note sur les réflexions de Maupertuis et de Turgot ... [Par Pierre] Maine de Biran.).</t>
  </si>
  <si>
    <t>Grimsley, Ronald.</t>
  </si>
  <si>
    <t>Genève, (Paris), Droz, 1971.</t>
  </si>
  <si>
    <t>Langue et cultures.</t>
  </si>
  <si>
    <t>3900994616:fre</t>
  </si>
  <si>
    <t>1114690</t>
  </si>
  <si>
    <t>ocm01114690</t>
  </si>
  <si>
    <t>3102756313N</t>
  </si>
  <si>
    <t>791549605</t>
  </si>
  <si>
    <t>P131 H53 P7</t>
  </si>
  <si>
    <t>0                      P  0131000H  53                 P  7</t>
  </si>
  <si>
    <t>Johann Gottfried Herder : Abhandlung über den Ursprung der Sprache : Text, Materialien, Kommentar / [herausgeben von] Wolfgang Pross.</t>
  </si>
  <si>
    <t>München : Carl Hanser Verlag, [1978]</t>
  </si>
  <si>
    <t>Reihe Hanser ; 269 : Literatur-Kommentare ; Bd. 12</t>
  </si>
  <si>
    <t>3856492250:ger</t>
  </si>
  <si>
    <t>5335135</t>
  </si>
  <si>
    <t>ocm05335135</t>
  </si>
  <si>
    <t>3102756311N</t>
  </si>
  <si>
    <t>9783446126343</t>
  </si>
  <si>
    <t>792426095</t>
  </si>
  <si>
    <t>P131 R6 1968</t>
  </si>
  <si>
    <t>0                      P  0131000R  6           1968</t>
  </si>
  <si>
    <t>Essai sur l'origine des langues : où il est parlé de la mélodie et de l'imitation musicale / Jean-Jacques Rousseau ; texte établi et annoté par Charles Porset.</t>
  </si>
  <si>
    <t>Bourdeaux : Ducros, 1968.</t>
  </si>
  <si>
    <t>2018-10-22</t>
  </si>
  <si>
    <t>609985376:fre</t>
  </si>
  <si>
    <t>6301911</t>
  </si>
  <si>
    <t>ocm06301911</t>
  </si>
  <si>
    <t>3102756299A</t>
  </si>
  <si>
    <t>792489698</t>
  </si>
  <si>
    <t>P132 C36 2013</t>
  </si>
  <si>
    <t>0                      P  0132000C  36          2013</t>
  </si>
  <si>
    <t>The Cambridge handbook of biolinguistics / edited by Cedric Boeckx and Kleanthes K. Grohmann.</t>
  </si>
  <si>
    <t>2014-12-23</t>
  </si>
  <si>
    <t>1108681818:eng</t>
  </si>
  <si>
    <t>793726719</t>
  </si>
  <si>
    <t>ocn793726719</t>
  </si>
  <si>
    <t>3103456403X</t>
  </si>
  <si>
    <t>9780521761536</t>
  </si>
  <si>
    <t>794918675</t>
  </si>
  <si>
    <t>P132 C38 2006</t>
  </si>
  <si>
    <t>0                      P  0132000C  38          2006</t>
  </si>
  <si>
    <t>An introduction to mind, consciousness and language / Ray Cattell.</t>
  </si>
  <si>
    <t>London ; New York : Continuum, 2006.</t>
  </si>
  <si>
    <t>10835740:eng</t>
  </si>
  <si>
    <t>52532466</t>
  </si>
  <si>
    <t>ocm52532466</t>
  </si>
  <si>
    <t>3102589930N</t>
  </si>
  <si>
    <t>9780826455154</t>
  </si>
  <si>
    <t>793809031</t>
  </si>
  <si>
    <t>P132 C49 2002</t>
  </si>
  <si>
    <t>0                      P  0132000C  49          2002</t>
  </si>
  <si>
    <t>On nature and language / Noam Chomsky ; edited by Adriana Belletti and Luigi Rizzi.</t>
  </si>
  <si>
    <t>1024732:eng</t>
  </si>
  <si>
    <t>49859977</t>
  </si>
  <si>
    <t>ocm49859977</t>
  </si>
  <si>
    <t>3102735394L</t>
  </si>
  <si>
    <t>9780521815482</t>
  </si>
  <si>
    <t>793749271</t>
  </si>
  <si>
    <t>P132 J46 2000</t>
  </si>
  <si>
    <t>0                      P  0132000J  46          2000</t>
  </si>
  <si>
    <t>Biolinguistics : exploring the biology of language / Lyle Jenkins.</t>
  </si>
  <si>
    <t>Jenkins, Lyle.</t>
  </si>
  <si>
    <t>Cambridge [England] ; New York, NY : Cambridge University Press, 2000.</t>
  </si>
  <si>
    <t>793826324:eng</t>
  </si>
  <si>
    <t>39981405</t>
  </si>
  <si>
    <t>ocm39981405</t>
  </si>
  <si>
    <t>3102756297A</t>
  </si>
  <si>
    <t>9780521652339</t>
  </si>
  <si>
    <t>793558227</t>
  </si>
  <si>
    <t>P132 L36 1999</t>
  </si>
  <si>
    <t>0                      P  0132000L  36          1999</t>
  </si>
  <si>
    <t>Pathways of the brain : the neurocognitive basis of language / Sydney M. Lamb.</t>
  </si>
  <si>
    <t>Lamb, Sydney M.</t>
  </si>
  <si>
    <t>Amsterdam ; Philadelphia : J. Benjamins, ©1999.</t>
  </si>
  <si>
    <t>Amsterdam studies in the theory and history of linguistic science. Series IV, Current issues in linguistic theory, 0304-0763 ; v. 170</t>
  </si>
  <si>
    <t>287800530:eng</t>
  </si>
  <si>
    <t>40163438</t>
  </si>
  <si>
    <t>ocm40163438</t>
  </si>
  <si>
    <t>3102756296A</t>
  </si>
  <si>
    <t>9781556198861</t>
  </si>
  <si>
    <t>793560961</t>
  </si>
  <si>
    <t>P132 L533 2006</t>
  </si>
  <si>
    <t>0                      P  0132000L  533         2006</t>
  </si>
  <si>
    <t>Toward an evolutionary biology of language / Philip Lieberman.</t>
  </si>
  <si>
    <t>Cambridge, Mass. : Belknap Press of Harvard University Press, 2006.</t>
  </si>
  <si>
    <t>2019-07-05</t>
  </si>
  <si>
    <t>47081662:eng</t>
  </si>
  <si>
    <t>62766735</t>
  </si>
  <si>
    <t>ocm62766735</t>
  </si>
  <si>
    <t>3102578676X</t>
  </si>
  <si>
    <t>9780674021846</t>
  </si>
  <si>
    <t>794112421</t>
  </si>
  <si>
    <t>P132 M56 1998</t>
  </si>
  <si>
    <t>0                      P  0132000M  56          1998</t>
  </si>
  <si>
    <t>Image, language, brain : papers from the First Mind Articulation Project Symposium / edited by Alec Marantz, Yasushi Miyashita, and Wayne O'Neil.</t>
  </si>
  <si>
    <t>Mind Articulation Project Symposium (1st : 1998 : Tokyo, Japan)</t>
  </si>
  <si>
    <t>Cambridge, Mass. : MIT Press, ©2000.</t>
  </si>
  <si>
    <t>712511450:eng</t>
  </si>
  <si>
    <t>43978146</t>
  </si>
  <si>
    <t>ocm43978146</t>
  </si>
  <si>
    <t>3102756294A</t>
  </si>
  <si>
    <t>9780262133715</t>
  </si>
  <si>
    <t>793640007</t>
  </si>
  <si>
    <t>P132 M563 2003</t>
  </si>
  <si>
    <t>0                      P  0132000M  563         2003</t>
  </si>
  <si>
    <t>Mind, brain, and language : multidisciplinary perspectives / edited by Marie T. Banich, Molly Mack.</t>
  </si>
  <si>
    <t>Mahwah, N.J. : L. Erlbaum Associates, 2003.</t>
  </si>
  <si>
    <t>2011-01-07</t>
  </si>
  <si>
    <t>796728268:eng</t>
  </si>
  <si>
    <t>49663545</t>
  </si>
  <si>
    <t>ocm49663545</t>
  </si>
  <si>
    <t>31023322260</t>
  </si>
  <si>
    <t>9780805833270</t>
  </si>
  <si>
    <t>793745106</t>
  </si>
  <si>
    <t>3102756293A</t>
  </si>
  <si>
    <t>793745104</t>
  </si>
  <si>
    <t>P 132 M663 2003</t>
  </si>
  <si>
    <t>0                      P  0132000M  663         2003</t>
  </si>
  <si>
    <t>2012-11-26</t>
  </si>
  <si>
    <t>3102283111J</t>
  </si>
  <si>
    <t>793745105</t>
  </si>
  <si>
    <t>P132 M85 2010</t>
  </si>
  <si>
    <t>0                      P  0132000M  85          2010</t>
  </si>
  <si>
    <t>The primacy of grammar / Nirmalangshu Mukherji.</t>
  </si>
  <si>
    <t>Mukherji, Nirmalangshu.</t>
  </si>
  <si>
    <t>317777155:eng</t>
  </si>
  <si>
    <t>430678951</t>
  </si>
  <si>
    <t>ocn430678951</t>
  </si>
  <si>
    <t>3103232181R</t>
  </si>
  <si>
    <t>9780262014052</t>
  </si>
  <si>
    <t>794781061</t>
  </si>
  <si>
    <t>P132 S26 2011</t>
  </si>
  <si>
    <t>0                      P  0132000S  26          2011</t>
  </si>
  <si>
    <t>Phonological architecture : a biolinguistic perspective / Bridget D. Samuels.</t>
  </si>
  <si>
    <t>Samuels, Bridget D.</t>
  </si>
  <si>
    <t>Oxford studies in biolinguistics</t>
  </si>
  <si>
    <t>1041248865:eng</t>
  </si>
  <si>
    <t>759570204</t>
  </si>
  <si>
    <t>ocn759570204</t>
  </si>
  <si>
    <t>31033821592</t>
  </si>
  <si>
    <t>9780199694358</t>
  </si>
  <si>
    <t>794897497</t>
  </si>
  <si>
    <t>P132 S6 2008</t>
  </si>
  <si>
    <t>0                      P  0132000S  6           2008</t>
  </si>
  <si>
    <t>Linguaggio e cervello : semantica = Language and the brain : semantics : atti del XLII congresso internazionale di studi della Società di Linguistica Italiana (SLI), Pisa, 25-27 settembre 2008 / a cura di Valentina Bambini, Irene Ricci, Pier Marco Bertinetto ; e con la collaborazione di Cristina Bertoncin [and nine others].</t>
  </si>
  <si>
    <t>(text + 1 CD-ROM)</t>
  </si>
  <si>
    <t>Società di linguistica italiana. Congresso internazionale di studi (42nd : 2008 : Pisa, Italy)</t>
  </si>
  <si>
    <t>Pubblicazioni della Società di Linguistica Italiana ; 53</t>
  </si>
  <si>
    <t>3902445417:ita</t>
  </si>
  <si>
    <t>812506527</t>
  </si>
  <si>
    <t>ocn812506527</t>
  </si>
  <si>
    <t>3103452071A</t>
  </si>
  <si>
    <t>9788878706521</t>
  </si>
  <si>
    <t>794930983</t>
  </si>
  <si>
    <t>P134 J35</t>
  </si>
  <si>
    <t>0                      P  0134000J  35</t>
  </si>
  <si>
    <t>Contrastive analysis / Carl James.</t>
  </si>
  <si>
    <t>James, Carl, 1939-</t>
  </si>
  <si>
    <t>Harlow, Essex : Longman, 1980.</t>
  </si>
  <si>
    <t>32748214:eng</t>
  </si>
  <si>
    <t>9324645</t>
  </si>
  <si>
    <t>ocm09324645</t>
  </si>
  <si>
    <t>3102757000U</t>
  </si>
  <si>
    <t>9780582553705</t>
  </si>
  <si>
    <t>792670231</t>
  </si>
  <si>
    <t>2009-03-10</t>
  </si>
  <si>
    <t>3102223433$</t>
  </si>
  <si>
    <t>792670232</t>
  </si>
  <si>
    <t>P134 K749 2011</t>
  </si>
  <si>
    <t>0                      P  0134000K  749         2011</t>
  </si>
  <si>
    <t>English contrastive stuides : from the fifteenth to the eighteenth century / Tomasz Paweł Krzeszowski.</t>
  </si>
  <si>
    <t>Krezeszowski, Tomasz Paweł.</t>
  </si>
  <si>
    <t>Warsaw studies in English language and literature ; v. 2</t>
  </si>
  <si>
    <t>1042428979:eng</t>
  </si>
  <si>
    <t>759909902</t>
  </si>
  <si>
    <t>ocn759909902</t>
  </si>
  <si>
    <t>31034096161</t>
  </si>
  <si>
    <t>9783631620038</t>
  </si>
  <si>
    <t>794897872</t>
  </si>
  <si>
    <t>P134 X53 2010</t>
  </si>
  <si>
    <t>0                      P  0134000X  53          2010</t>
  </si>
  <si>
    <t>Corpus-based contrastive studies of English and Chinese / Richard Xiao and Tony McEnery.</t>
  </si>
  <si>
    <t>Xiao, Richard.</t>
  </si>
  <si>
    <t>Routledge advances in corpus linguistics ; 11</t>
  </si>
  <si>
    <t>2013-12-20</t>
  </si>
  <si>
    <t>141065077:eng</t>
  </si>
  <si>
    <t>237880902</t>
  </si>
  <si>
    <t>ocn237880902</t>
  </si>
  <si>
    <t>3103238991E</t>
  </si>
  <si>
    <t>9780415992459</t>
  </si>
  <si>
    <t>794373683</t>
  </si>
  <si>
    <t>P136 B7</t>
  </si>
  <si>
    <t>0                      P  0136000B  7</t>
  </si>
  <si>
    <t>A first language : the early stages / Roger Brown.</t>
  </si>
  <si>
    <t>Brown, Roger, 1925-1997.</t>
  </si>
  <si>
    <t>Cambridge, Mass. : Harvard University Press, [1973]</t>
  </si>
  <si>
    <t>A Harvard paperback ; HP 99</t>
  </si>
  <si>
    <t>2007-11-20</t>
  </si>
  <si>
    <t>361197163:eng</t>
  </si>
  <si>
    <t>661742</t>
  </si>
  <si>
    <t>ocm00661742</t>
  </si>
  <si>
    <t>3102756994Q</t>
  </si>
  <si>
    <t>9780674303256</t>
  </si>
  <si>
    <t>791440383</t>
  </si>
  <si>
    <t>2008-05-29</t>
  </si>
  <si>
    <t>3102757009U</t>
  </si>
  <si>
    <t>791440384</t>
  </si>
  <si>
    <t>3100632223B</t>
  </si>
  <si>
    <t>791440386</t>
  </si>
  <si>
    <t>3102757004U</t>
  </si>
  <si>
    <t>791440387</t>
  </si>
  <si>
    <t>2008-04-05</t>
  </si>
  <si>
    <t>3102756999Q</t>
  </si>
  <si>
    <t>791440385</t>
  </si>
  <si>
    <t>P136 S65 2010</t>
  </si>
  <si>
    <t>0                      P  0136000S  65          2010</t>
  </si>
  <si>
    <t>Acquiring phonology : a cross-generational case-study / Neil Smith.</t>
  </si>
  <si>
    <t>Smith, N. V. (Neilson Voyne)</t>
  </si>
  <si>
    <t>Cambridge : Cambridge University Press, 2010.</t>
  </si>
  <si>
    <t>Cambridge studies in linguistics ; 124</t>
  </si>
  <si>
    <t>866864503:eng</t>
  </si>
  <si>
    <t>456838628</t>
  </si>
  <si>
    <t>ocn456838628</t>
  </si>
  <si>
    <t>3103131395T</t>
  </si>
  <si>
    <t>9780521515870</t>
  </si>
  <si>
    <t>794789410</t>
  </si>
  <si>
    <t>P138 C43 2012</t>
  </si>
  <si>
    <t>0                      P  0138000C  43          2012</t>
  </si>
  <si>
    <t>Meaningful games : exploring language with game theory / Robin Clark.</t>
  </si>
  <si>
    <t>Clark, Robin Lee, 1957-</t>
  </si>
  <si>
    <t>792173131:eng</t>
  </si>
  <si>
    <t>703621334</t>
  </si>
  <si>
    <t>ocn703621334</t>
  </si>
  <si>
    <t>3103382387R</t>
  </si>
  <si>
    <t>9780262016179</t>
  </si>
  <si>
    <t>794865027</t>
  </si>
  <si>
    <t>P138 K44 2016</t>
  </si>
  <si>
    <t>0                      P  0138000K  44          2016</t>
  </si>
  <si>
    <t>Mathematical structures in language / Edward L. Keenan &amp; Lawrence S. Moss.</t>
  </si>
  <si>
    <t>Keenan, Edward L. (Edward Louis), 1937- author.</t>
  </si>
  <si>
    <t>Stanford, California : CSLI Publications, [2016]</t>
  </si>
  <si>
    <t>CSLI lecture notes ; no. 218</t>
  </si>
  <si>
    <t>2477463095:eng</t>
  </si>
  <si>
    <t>907186483</t>
  </si>
  <si>
    <t>ocn907186483</t>
  </si>
  <si>
    <t>3103710727B</t>
  </si>
  <si>
    <t>9781575868721</t>
  </si>
  <si>
    <t>794993002</t>
  </si>
  <si>
    <t>P138 P37 1990</t>
  </si>
  <si>
    <t>0                      P  0138000P  37          1990</t>
  </si>
  <si>
    <t>Mathematical methods in linguistics / by Barbara H. Partee, Alice ter Meulen, and Robert E. Wall.</t>
  </si>
  <si>
    <t>Partee, Barbara Hall.</t>
  </si>
  <si>
    <t>Dordrecht ; Boston : Kluwer Academic, ©1990.</t>
  </si>
  <si>
    <t>Studies in linguistics and philosophy ; v. 30</t>
  </si>
  <si>
    <t>887349:eng</t>
  </si>
  <si>
    <t>15653947</t>
  </si>
  <si>
    <t>ocm15653947</t>
  </si>
  <si>
    <t>3102757048M</t>
  </si>
  <si>
    <t>9789027722447</t>
  </si>
  <si>
    <t>792938356</t>
  </si>
  <si>
    <t>P138.5 B33 2008</t>
  </si>
  <si>
    <t>0                      P  0138500B  33          2008</t>
  </si>
  <si>
    <t>Analyzing linguistic data : a practical introduction to statistics using R / R.H. Baayen.</t>
  </si>
  <si>
    <t>Baayen, R. Harald.</t>
  </si>
  <si>
    <t>855939965:eng</t>
  </si>
  <si>
    <t>166626226</t>
  </si>
  <si>
    <t>ocn166626226</t>
  </si>
  <si>
    <t>31028519619</t>
  </si>
  <si>
    <t>9780521882590</t>
  </si>
  <si>
    <t>794261926</t>
  </si>
  <si>
    <t>P138.5 B87 1985</t>
  </si>
  <si>
    <t>0                      P  0138500B  87          1985</t>
  </si>
  <si>
    <t>Statistics in linguistics / Christopher Butler.</t>
  </si>
  <si>
    <t>Butler, Christopher, 1945-</t>
  </si>
  <si>
    <t>Oxford [Oxfordshire] ; New York : B. Blackwell, 1985.</t>
  </si>
  <si>
    <t>3768359199:eng</t>
  </si>
  <si>
    <t>11755777</t>
  </si>
  <si>
    <t>ocm11755777</t>
  </si>
  <si>
    <t>3102757045M</t>
  </si>
  <si>
    <t>9780631142645</t>
  </si>
  <si>
    <t>792786455</t>
  </si>
  <si>
    <t>P138.5 G75 2009</t>
  </si>
  <si>
    <t>0                      P  0138500G  75          2009</t>
  </si>
  <si>
    <t>Statistics for linguistics with R : a practical introduction / by Stefan Th. Gries.</t>
  </si>
  <si>
    <t>Trends in linguistics. Studies and monographs ; 208</t>
  </si>
  <si>
    <t>792680504:eng</t>
  </si>
  <si>
    <t>247274966</t>
  </si>
  <si>
    <t>ocn247274966</t>
  </si>
  <si>
    <t>31031564710</t>
  </si>
  <si>
    <t>9783110205640</t>
  </si>
  <si>
    <t>794383973</t>
  </si>
  <si>
    <t>P138.5 J64 2008</t>
  </si>
  <si>
    <t>0                      P  0138500J  64          2008</t>
  </si>
  <si>
    <t>Quantitative methods in linguistics / Keith Johnson.</t>
  </si>
  <si>
    <t>Johnson, Keith, 1958-</t>
  </si>
  <si>
    <t>102497665:eng</t>
  </si>
  <si>
    <t>181335758</t>
  </si>
  <si>
    <t>ocn181335758</t>
  </si>
  <si>
    <t>3102653465S</t>
  </si>
  <si>
    <t>9781405144247</t>
  </si>
  <si>
    <t>794282140</t>
  </si>
  <si>
    <t>P138.5 W66 1986</t>
  </si>
  <si>
    <t>0                      P  0138500W  66          1986</t>
  </si>
  <si>
    <t>Statistics in language studies / Anthony Woods, Paul Fletcher, Arthur Hughes.</t>
  </si>
  <si>
    <t>Woods, Anthony.</t>
  </si>
  <si>
    <t>5567220:eng</t>
  </si>
  <si>
    <t>12969954</t>
  </si>
  <si>
    <t>ocm12969954</t>
  </si>
  <si>
    <t>31005734377</t>
  </si>
  <si>
    <t>9780521253260</t>
  </si>
  <si>
    <t>792835015</t>
  </si>
  <si>
    <t>P138.6 P67 2009</t>
  </si>
  <si>
    <t>0                      P  0138600P  67          2009</t>
  </si>
  <si>
    <t>Word frequency studies / by Ioan-Iovitz Popescu ; in co-operation with Gabriel Altmann [and others].</t>
  </si>
  <si>
    <t>Popescu, Ioan-Ioviț.</t>
  </si>
  <si>
    <t>Quantitative linguistics. 0179-3616 ; 64</t>
  </si>
  <si>
    <t>195124095:eng</t>
  </si>
  <si>
    <t>317824676</t>
  </si>
  <si>
    <t>ocn317824676</t>
  </si>
  <si>
    <t>31033213191</t>
  </si>
  <si>
    <t>9783110218527</t>
  </si>
  <si>
    <t>794468315</t>
  </si>
  <si>
    <t>P140 C359 2007</t>
  </si>
  <si>
    <t>0                      P  0140000C  359         2007</t>
  </si>
  <si>
    <t>A glossary of historical linguistics / Lyle Campbell and Mauricio J. Mixco.</t>
  </si>
  <si>
    <t>Campbell, Lyle.</t>
  </si>
  <si>
    <t>Salt Lake City : University of Utah Press, ©2007.</t>
  </si>
  <si>
    <t>3863675451:eng</t>
  </si>
  <si>
    <t>71810028</t>
  </si>
  <si>
    <t>ocm71810028</t>
  </si>
  <si>
    <t>3102648290D</t>
  </si>
  <si>
    <t>9780874808926</t>
  </si>
  <si>
    <t>794168580</t>
  </si>
  <si>
    <t>P140 C36 1999</t>
  </si>
  <si>
    <t>0                      P  0140000C  36          1999</t>
  </si>
  <si>
    <t>Historical linguistics : an introduction / Lyle Campbell.</t>
  </si>
  <si>
    <t>1st MIT Press ed., third printing.</t>
  </si>
  <si>
    <t>4921166687:eng</t>
  </si>
  <si>
    <t>39633954</t>
  </si>
  <si>
    <t>ocm39633954</t>
  </si>
  <si>
    <t>3102757031O</t>
  </si>
  <si>
    <t>9780262531597</t>
  </si>
  <si>
    <t>793549721</t>
  </si>
  <si>
    <t>P140 C36 2004</t>
  </si>
  <si>
    <t>0                      P  0140000C  36          2004</t>
  </si>
  <si>
    <t>Cambridge, Mass. : MIT Press, Â©2004.</t>
  </si>
  <si>
    <t>54692867</t>
  </si>
  <si>
    <t>ocm54692867</t>
  </si>
  <si>
    <t>3103336852R</t>
  </si>
  <si>
    <t>9780262532679</t>
  </si>
  <si>
    <t>793865766</t>
  </si>
  <si>
    <t>P140 C36 2013</t>
  </si>
  <si>
    <t>0                      P  0140000C  36          2013</t>
  </si>
  <si>
    <t>Cambridge, Massachusetts : The MIT Press, 2013.</t>
  </si>
  <si>
    <t>812018038</t>
  </si>
  <si>
    <t>ocn812018038</t>
  </si>
  <si>
    <t>3103455182U</t>
  </si>
  <si>
    <t>9780262518499</t>
  </si>
  <si>
    <t>794930531</t>
  </si>
  <si>
    <t>Edinburgh : Edinburgh University Press, 2013.</t>
  </si>
  <si>
    <t>800095453</t>
  </si>
  <si>
    <t>ocn800095453</t>
  </si>
  <si>
    <t>3103456162U</t>
  </si>
  <si>
    <t>9780748645947</t>
  </si>
  <si>
    <t>794924494</t>
  </si>
  <si>
    <t>P140 C655 2010</t>
  </si>
  <si>
    <t>0                      P  0140000C  655         2010</t>
  </si>
  <si>
    <t>Continuum companion to historical linguistics / edited by Silvia Luraghi and Vit Bubenik.</t>
  </si>
  <si>
    <t>1044437192:eng</t>
  </si>
  <si>
    <t>496962147</t>
  </si>
  <si>
    <t>ocn496962147</t>
  </si>
  <si>
    <t>3103134344R</t>
  </si>
  <si>
    <t>9781441144652</t>
  </si>
  <si>
    <t>794802855</t>
  </si>
  <si>
    <t>P140 C76 2010</t>
  </si>
  <si>
    <t>0                      P  0140000C  76          2010</t>
  </si>
  <si>
    <t>An introduction to historical linguistics / Terry Crowley and Claire Bowern.</t>
  </si>
  <si>
    <t>Crowley, Terry, author.</t>
  </si>
  <si>
    <t>2016-11-11</t>
  </si>
  <si>
    <t>19250263:eng</t>
  </si>
  <si>
    <t>273822411</t>
  </si>
  <si>
    <t>ocn273822411</t>
  </si>
  <si>
    <t>31031561749</t>
  </si>
  <si>
    <t>9780195365542</t>
  </si>
  <si>
    <t>794415794</t>
  </si>
  <si>
    <t>P140 D28 2011x</t>
  </si>
  <si>
    <t>0                      P  0140000D  28          2011x</t>
  </si>
  <si>
    <t>Planet word / J.P. Davidson with a foreword by Stephen Fry.</t>
  </si>
  <si>
    <t>Davidson, John-Paul.</t>
  </si>
  <si>
    <t>London : Michael Joseph, 2011.</t>
  </si>
  <si>
    <t>2012-03-06</t>
  </si>
  <si>
    <t>1075083323:eng</t>
  </si>
  <si>
    <t>730914322</t>
  </si>
  <si>
    <t>ocn730914322</t>
  </si>
  <si>
    <t>31033806231</t>
  </si>
  <si>
    <t>9780718157746</t>
  </si>
  <si>
    <t>794880355</t>
  </si>
  <si>
    <t>P140 D48 2004</t>
  </si>
  <si>
    <t>0                      P  0140000D  48          2004</t>
  </si>
  <si>
    <t>The development of language : functional perspectives on species and individuals / edited by Geoff Williams and Annabelle Lukin.</t>
  </si>
  <si>
    <t>London ; New York : Continuum, ©2004.</t>
  </si>
  <si>
    <t>1044428186:eng</t>
  </si>
  <si>
    <t>55910617</t>
  </si>
  <si>
    <t>ocm55910617</t>
  </si>
  <si>
    <t>3102757028Q</t>
  </si>
  <si>
    <t>9780826457585</t>
  </si>
  <si>
    <t>793883946</t>
  </si>
  <si>
    <t>P140 D59 1997</t>
  </si>
  <si>
    <t>0                      P  0140000D  59          1997</t>
  </si>
  <si>
    <t>The rise and fall of languages / R.M.W. Dixon.</t>
  </si>
  <si>
    <t>Cambridge, U.K. ; New York : Cambridge University Press, 1997.</t>
  </si>
  <si>
    <t>558628:eng</t>
  </si>
  <si>
    <t>37011374</t>
  </si>
  <si>
    <t>ocm37011374</t>
  </si>
  <si>
    <t>3101954091P</t>
  </si>
  <si>
    <t>9780521623100</t>
  </si>
  <si>
    <t>793489878</t>
  </si>
  <si>
    <t>P140 D67 2018</t>
  </si>
  <si>
    <t>0                      P  0140000D  67          2018</t>
  </si>
  <si>
    <t>Babel : around the world in twenty languages / Gaston Dorren.</t>
  </si>
  <si>
    <t>Dorren, Gaston, author.</t>
  </si>
  <si>
    <t>London : Profile Books, 2018.</t>
  </si>
  <si>
    <t>4813804677:eng</t>
  </si>
  <si>
    <t>1077693370</t>
  </si>
  <si>
    <t>on1077693370</t>
  </si>
  <si>
    <t>3103736382e</t>
  </si>
  <si>
    <t>9781781256404</t>
  </si>
  <si>
    <t>795067662</t>
  </si>
  <si>
    <t>P140 E73 2012</t>
  </si>
  <si>
    <t>0                      P  0140000E  73          2012</t>
  </si>
  <si>
    <t>Babel no more : the search for the world's most extraordinary language learners / Michael Erard.</t>
  </si>
  <si>
    <t>New York : Free Press, 2012.</t>
  </si>
  <si>
    <t>1st Free Press hardcover ed.</t>
  </si>
  <si>
    <t>766992808:eng</t>
  </si>
  <si>
    <t>694395290</t>
  </si>
  <si>
    <t>ocn694395290</t>
  </si>
  <si>
    <t>31034079062</t>
  </si>
  <si>
    <t>9781451628258</t>
  </si>
  <si>
    <t>794857588</t>
  </si>
  <si>
    <t>P140 E96 2002</t>
  </si>
  <si>
    <t>0                      P  0140000E  96          2002</t>
  </si>
  <si>
    <t>Examining the farming/language dispersal hypothesis / edited by Peter Bellwood &amp; Colin Renfrew.</t>
  </si>
  <si>
    <t>Cambridge, UK : McDonald Institute for Archaeological Research, University of Cambridge ; Oxford : Distributed by Oxbow Books, ©2002.</t>
  </si>
  <si>
    <t>McDonald Institute monographs, 1363-1349</t>
  </si>
  <si>
    <t>825532:eng</t>
  </si>
  <si>
    <t>53151630</t>
  </si>
  <si>
    <t>ocm53151630</t>
  </si>
  <si>
    <t>3102757026Q</t>
  </si>
  <si>
    <t>9781902937205</t>
  </si>
  <si>
    <t>793822545</t>
  </si>
  <si>
    <t>P140 F57 1999</t>
  </si>
  <si>
    <t>0                      P  0140000F  57          1999</t>
  </si>
  <si>
    <t>A history of language / Steven Roger Fischer.</t>
  </si>
  <si>
    <t>Fischer, Steven R.</t>
  </si>
  <si>
    <t>London : Reaktion, 1999.</t>
  </si>
  <si>
    <t>Globalities</t>
  </si>
  <si>
    <t>4920776397:eng</t>
  </si>
  <si>
    <t>41580949</t>
  </si>
  <si>
    <t>ocm41580949</t>
  </si>
  <si>
    <t>3102757021Q</t>
  </si>
  <si>
    <t>9781861890511</t>
  </si>
  <si>
    <t>793594614</t>
  </si>
  <si>
    <t>P140 G74 2011</t>
  </si>
  <si>
    <t>0                      P  0140000G  74          2011</t>
  </si>
  <si>
    <t>You are what you speak : grammar grouches, language laws, and the politics of identity / Robert Lane Greene.</t>
  </si>
  <si>
    <t>Greene, Robert Lane.</t>
  </si>
  <si>
    <t>New York : Delacorte Press, ©2011.</t>
  </si>
  <si>
    <t>793277229:eng</t>
  </si>
  <si>
    <t>489003133</t>
  </si>
  <si>
    <t>ocn489003133</t>
  </si>
  <si>
    <t>3103321477N</t>
  </si>
  <si>
    <t>9780553807875</t>
  </si>
  <si>
    <t>794799449</t>
  </si>
  <si>
    <t>P140 H348 2007</t>
  </si>
  <si>
    <t>0                      P  0140000H  348         2007</t>
  </si>
  <si>
    <t>Historical linguistics : theory and method / Mark Hale.</t>
  </si>
  <si>
    <t>Hale, Mark, 1956-</t>
  </si>
  <si>
    <t>Blackwell textbooks in linguistics ; 21</t>
  </si>
  <si>
    <t>364103952:eng</t>
  </si>
  <si>
    <t>71004089</t>
  </si>
  <si>
    <t>ocm71004089</t>
  </si>
  <si>
    <t>3102595011S</t>
  </si>
  <si>
    <t>9780631196617</t>
  </si>
  <si>
    <t>794162080</t>
  </si>
  <si>
    <t>P140 H555 2018</t>
  </si>
  <si>
    <t>0                      P  0140000H  555         2018</t>
  </si>
  <si>
    <t>Histoire des langues et histoire des représentations linguistiques / sous la direction de Bernard Colombat, Bernard Combettes, Valerie Raby et Gilles Siouffi.</t>
  </si>
  <si>
    <t>Paris : Honoré Champion éditeur, 2018.</t>
  </si>
  <si>
    <t>Bibliothèque de grammaire et de linguistique, 1278-3889 ; 61</t>
  </si>
  <si>
    <t>5560257670:fre</t>
  </si>
  <si>
    <t>1066123389</t>
  </si>
  <si>
    <t>on1066123389</t>
  </si>
  <si>
    <t>3103867234$</t>
  </si>
  <si>
    <t>9782745351050</t>
  </si>
  <si>
    <t>795066698</t>
  </si>
  <si>
    <t>P140 H588 2009</t>
  </si>
  <si>
    <t>0                      P  0140000H  588         2009</t>
  </si>
  <si>
    <t>Language history, language change, and language relationship : an introduction to historical and comparative linguistics / by Hans Henrich Hock, Brian D. Joseph.</t>
  </si>
  <si>
    <t>Hock, Hans Henrich, 1938-</t>
  </si>
  <si>
    <t>2nd rev. ed.</t>
  </si>
  <si>
    <t>Trends in linguistics. Studies and monographs, 1861-4302 ; 218</t>
  </si>
  <si>
    <t>197934761:eng</t>
  </si>
  <si>
    <t>369309327</t>
  </si>
  <si>
    <t>ocn369309327</t>
  </si>
  <si>
    <t>3103136154N</t>
  </si>
  <si>
    <t>9783110218428</t>
  </si>
  <si>
    <t>794494400</t>
  </si>
  <si>
    <t>P140 I5 1987</t>
  </si>
  <si>
    <t>0                      P  0140000I  5           1987</t>
  </si>
  <si>
    <t>Historical linguistics, 1987 : papers from the 8th International Conference on Historical Linguistics (8. ICHL) : Lille, 31 August-4 September 1987 / edited by Henning Andersen and Konrad Koerner.</t>
  </si>
  <si>
    <t>International Conference on Historical Linguistics (8th : 1987 : Lille, France)</t>
  </si>
  <si>
    <t>Amsterdam ; Philadelphia : John Benjamins Pub. Co., 1989.</t>
  </si>
  <si>
    <t>Amsterdam studies in the theory and history of linguistic science. Series IV, Current issues in linguistic theory, 0304-0763 ; v. 66</t>
  </si>
  <si>
    <t>3768935864:eng</t>
  </si>
  <si>
    <t>229422339</t>
  </si>
  <si>
    <t>ocn229422339</t>
  </si>
  <si>
    <t>3100748827A</t>
  </si>
  <si>
    <t>9789027235633</t>
  </si>
  <si>
    <t>794353733</t>
  </si>
  <si>
    <t>P140 I5 2013</t>
  </si>
  <si>
    <t>0                      P  0140000I  5           2013</t>
  </si>
  <si>
    <t>Historical linguistics 2013 : selected papers from the 21st International Conference on Historical Linguistics, Oslo, 5-9 August 2013 / edited by Dag T.T. Haug, University Of Oslo ; With the assistance Of Eiríkur Kristjánsson.</t>
  </si>
  <si>
    <t>International Conference on Historical Linguistics (21st : 2013 : Oslo, Norway)</t>
  </si>
  <si>
    <t>Amsterdam Studies in the Theory and History of Linguistic Science. Series IV, Current Issues in Linguistic Theory, 0304-0763 ; volume 334</t>
  </si>
  <si>
    <t>2549207639:eng</t>
  </si>
  <si>
    <t>911068287</t>
  </si>
  <si>
    <t>ocn911068287</t>
  </si>
  <si>
    <t>31036389989</t>
  </si>
  <si>
    <t>9789027248534</t>
  </si>
  <si>
    <t>794997986</t>
  </si>
  <si>
    <t>P140 I5 2015</t>
  </si>
  <si>
    <t>0                      P  0140000I  5           2015</t>
  </si>
  <si>
    <t>Historical linguistics 2015 : selected papers from the 22nd International Conference on Historical Linguistics, Naples, 27-31 July 2015 / edited by Michela Cennamo, Claudia Fabrizio.</t>
  </si>
  <si>
    <t>International Conference on Historical Linguistics (22nd : 2015 : Naples, Italy)</t>
  </si>
  <si>
    <t>Current Issues in Linguistic Theory ; 348</t>
  </si>
  <si>
    <t>9008893441:eng</t>
  </si>
  <si>
    <t>1091236980</t>
  </si>
  <si>
    <t>on1091236980</t>
  </si>
  <si>
    <t>3103903695C</t>
  </si>
  <si>
    <t>9789027203250</t>
  </si>
  <si>
    <t>795080207</t>
  </si>
  <si>
    <t>P140 I89 1996</t>
  </si>
  <si>
    <t>0                      P  0140000I  89          1996</t>
  </si>
  <si>
    <t>Italia ed Europa nella linguistica del Rinascimento : confronti e relazioni : atti del Convegno internazionale : Ferrara, Palazzo Paradiso, 20-24 marzo 1991 / a cura di Mirko Tavoni [and others] = Italy and Europe in Renaissance linguistics : comparisons and relations : proceedings of the international conference, Ferrara, Palazzo Paradiso, 20-24 March 1991 / edited by Mirko Tavoni [and others].</t>
  </si>
  <si>
    <t>Modena : F.C. Panini, ©1996.</t>
  </si>
  <si>
    <t>Saggi / Istituto di studi rinascimentali, Ferrara</t>
  </si>
  <si>
    <t>2019-03-06</t>
  </si>
  <si>
    <t>4161305935:ita</t>
  </si>
  <si>
    <t>35734885</t>
  </si>
  <si>
    <t>ocm35734885</t>
  </si>
  <si>
    <t>3102757027Q</t>
  </si>
  <si>
    <t>793456091</t>
  </si>
  <si>
    <t>3102757022Q</t>
  </si>
  <si>
    <t>793456090</t>
  </si>
  <si>
    <t>P140 J35 2012</t>
  </si>
  <si>
    <t>0                      P  0140000J  35          2012</t>
  </si>
  <si>
    <t>The history of languages : an introduction / Tore Janson.</t>
  </si>
  <si>
    <t>Janson, Tore, 1936-</t>
  </si>
  <si>
    <t>1005805627:eng</t>
  </si>
  <si>
    <t>761366528</t>
  </si>
  <si>
    <t>ocn761366528</t>
  </si>
  <si>
    <t>3103381749R</t>
  </si>
  <si>
    <t>9780199604289</t>
  </si>
  <si>
    <t>794899200</t>
  </si>
  <si>
    <t>P140 L24 2012</t>
  </si>
  <si>
    <t>0                      P  0140000L  24          2012</t>
  </si>
  <si>
    <t>Language and history, linguistics and historiography : interdisciplinary approaches / Nils Langer, Steffan Davies and Wim Vandenbussche (eds).</t>
  </si>
  <si>
    <t>Studies in Historical Linguistics ; 9</t>
  </si>
  <si>
    <t>1010530699:eng</t>
  </si>
  <si>
    <t>752472625</t>
  </si>
  <si>
    <t>ocn752472625</t>
  </si>
  <si>
    <t>3103409676Q</t>
  </si>
  <si>
    <t>9783034307611</t>
  </si>
  <si>
    <t>794891732</t>
  </si>
  <si>
    <t>P140 L257 2003</t>
  </si>
  <si>
    <t>0                      P  0140000L  257         2003</t>
  </si>
  <si>
    <t>Language evolution / edited by Morten H. Christiansen, Simon Kirby.</t>
  </si>
  <si>
    <t>Studies in the evolution of language ; 3</t>
  </si>
  <si>
    <t>2017-01-11</t>
  </si>
  <si>
    <t>1053753043:eng</t>
  </si>
  <si>
    <t>51235137</t>
  </si>
  <si>
    <t>ocm51235137</t>
  </si>
  <si>
    <t>3102404247Y</t>
  </si>
  <si>
    <t>9780199244836</t>
  </si>
  <si>
    <t>793781076</t>
  </si>
  <si>
    <t>P140 M34 2001</t>
  </si>
  <si>
    <t>0                      P  0140000M  34          2001</t>
  </si>
  <si>
    <t>The power of Babel : a natural history of language / John H. McWhorter.</t>
  </si>
  <si>
    <t>New York : Times Books, 2001.</t>
  </si>
  <si>
    <t>6114358:eng</t>
  </si>
  <si>
    <t>46564796</t>
  </si>
  <si>
    <t>ocm46564796</t>
  </si>
  <si>
    <t>31027539863</t>
  </si>
  <si>
    <t>9780716744733</t>
  </si>
  <si>
    <t>793686727</t>
  </si>
  <si>
    <t>P140 M67 2014</t>
  </si>
  <si>
    <t>0                      P  0140000M  67          2014</t>
  </si>
  <si>
    <t>On biology, history and culture in human language : a critical overview / Juan-Carlos Moreno and Jose-Luis Mendivil-Giro.</t>
  </si>
  <si>
    <t>Moreno, Juan-Carlos (Linguist), author.</t>
  </si>
  <si>
    <t>1887712921:eng</t>
  </si>
  <si>
    <t>860753497</t>
  </si>
  <si>
    <t>ocn860753497</t>
  </si>
  <si>
    <t>31035318382</t>
  </si>
  <si>
    <t>9781781790526</t>
  </si>
  <si>
    <t>794958474</t>
  </si>
  <si>
    <t>P140 R68 2015</t>
  </si>
  <si>
    <t>0                      P  0140000R  68          2015</t>
  </si>
  <si>
    <t>The Routledge handbook of historical linguistics / edited by Claire Bowern and Bethwyn Evans.</t>
  </si>
  <si>
    <t>New York : Routledge, 2015</t>
  </si>
  <si>
    <t>2015-08-27</t>
  </si>
  <si>
    <t>1366437498:eng</t>
  </si>
  <si>
    <t>852219080</t>
  </si>
  <si>
    <t>ocn852219080</t>
  </si>
  <si>
    <t>3103567519D</t>
  </si>
  <si>
    <t>9780415527897</t>
  </si>
  <si>
    <t>794951191</t>
  </si>
  <si>
    <t>P140 T74 1996</t>
  </si>
  <si>
    <t>0                      P  0140000T  74          1996</t>
  </si>
  <si>
    <t>Historical linguistics / R.L. Trask.</t>
  </si>
  <si>
    <t>London ; New York : Arnold ; New York : Distributed in the USA by St. Martin's Press, 1996.</t>
  </si>
  <si>
    <t>3943451053:eng</t>
  </si>
  <si>
    <t>34618128</t>
  </si>
  <si>
    <t>ocm34618128</t>
  </si>
  <si>
    <t>3102104552J</t>
  </si>
  <si>
    <t>9780340662953</t>
  </si>
  <si>
    <t>793431452</t>
  </si>
  <si>
    <t>P140 Z677 2015</t>
  </si>
  <si>
    <t>0                      P  0140000Z  677         2015</t>
  </si>
  <si>
    <t>Normativa lingüística española y corrección de textos / Alícia María Zorrilla.</t>
  </si>
  <si>
    <t>Zorrilla, Alicia María.</t>
  </si>
  <si>
    <t>Buenos Aires : Fundación Instituto Superior de Estudios Lingüísticos y Literarios LITTERAE, ©2015.</t>
  </si>
  <si>
    <t>5a ed.</t>
  </si>
  <si>
    <t>Biblioteca del traductor y del corrector de textos.</t>
  </si>
  <si>
    <t>438515908:spa</t>
  </si>
  <si>
    <t>1047961075</t>
  </si>
  <si>
    <t>on1047961075</t>
  </si>
  <si>
    <t>3103794441Z</t>
  </si>
  <si>
    <t>9789872110475</t>
  </si>
  <si>
    <t>795060767</t>
  </si>
  <si>
    <t>P142 A37 1991</t>
  </si>
  <si>
    <t>0                      P  0142000A  37          1991</t>
  </si>
  <si>
    <t>Language change : progress or decay? / Jean Aitchison.</t>
  </si>
  <si>
    <t>292126351:eng</t>
  </si>
  <si>
    <t>22907102</t>
  </si>
  <si>
    <t>ocm22907102</t>
  </si>
  <si>
    <t>31027539559</t>
  </si>
  <si>
    <t>9780521411011</t>
  </si>
  <si>
    <t>793156590</t>
  </si>
  <si>
    <t>P142 A37 2013</t>
  </si>
  <si>
    <t>0                      P  0142000A  37          2013</t>
  </si>
  <si>
    <t>Oxford ; New York : Cambridge University Press, 2013.</t>
  </si>
  <si>
    <t>799025044</t>
  </si>
  <si>
    <t>ocn799025044</t>
  </si>
  <si>
    <t>3103457261N</t>
  </si>
  <si>
    <t>9781107023628</t>
  </si>
  <si>
    <t>794924217</t>
  </si>
  <si>
    <t>P142 B738 2005</t>
  </si>
  <si>
    <t>0                      P  0142000B  738         2005</t>
  </si>
  <si>
    <t>Lexicalization and language change / Laurel J. Brinton, Elizabeth Closs Traugott.</t>
  </si>
  <si>
    <t>Brinton, Laurel J.</t>
  </si>
  <si>
    <t>909987:eng</t>
  </si>
  <si>
    <t>58720667</t>
  </si>
  <si>
    <t>ocm58720667</t>
  </si>
  <si>
    <t>3102558822A</t>
  </si>
  <si>
    <t>9780521833103</t>
  </si>
  <si>
    <t>793923482</t>
  </si>
  <si>
    <t>P142 F66 2001</t>
  </si>
  <si>
    <t>0                      P  0142000F  66          2001</t>
  </si>
  <si>
    <t>Languages within language : an evolutive approach / Ivan Fónagy.</t>
  </si>
  <si>
    <t>Fonagy, Ivan.</t>
  </si>
  <si>
    <t>Amsterdam ; Philadelphia, PA : J. Benjamins Pub., ©2001.</t>
  </si>
  <si>
    <t>Foundations of semiotics, 0168-2555 ; v. 13</t>
  </si>
  <si>
    <t>44136557:eng</t>
  </si>
  <si>
    <t>44592635</t>
  </si>
  <si>
    <t>ocm44592635</t>
  </si>
  <si>
    <t>31027539697</t>
  </si>
  <si>
    <t>9781556190384</t>
  </si>
  <si>
    <t>793653876</t>
  </si>
  <si>
    <t>P142 G45 2011</t>
  </si>
  <si>
    <t>0                      P  0142000G  45          2011</t>
  </si>
  <si>
    <t>The linguistic cycle : language change and the language faculty / Elly van Gelderen.</t>
  </si>
  <si>
    <t>Gelderen, Elly van.</t>
  </si>
  <si>
    <t>424860741:eng</t>
  </si>
  <si>
    <t>553371054</t>
  </si>
  <si>
    <t>ocn553371054</t>
  </si>
  <si>
    <t>3103341164O</t>
  </si>
  <si>
    <t>9780199756056</t>
  </si>
  <si>
    <t>794811920</t>
  </si>
  <si>
    <t>P142 H47 2010</t>
  </si>
  <si>
    <t>0                      P  0142000H  47          2010</t>
  </si>
  <si>
    <t>Historical cognitive linguistics / edited by Margaret E. Winters, Heli Tissari, Kathryn Allan.</t>
  </si>
  <si>
    <t>Cognitive linguistics research, 1861-4132 ; 47</t>
  </si>
  <si>
    <t>1005334923:eng</t>
  </si>
  <si>
    <t>661048136</t>
  </si>
  <si>
    <t>ocn661048136</t>
  </si>
  <si>
    <t>3103322666F</t>
  </si>
  <si>
    <t>9783110226430</t>
  </si>
  <si>
    <t>794837049</t>
  </si>
  <si>
    <t>P142 H514 2016</t>
  </si>
  <si>
    <t>0                      P  0142000H  514         2016</t>
  </si>
  <si>
    <t>Système linguistique et changement linguistique / Louis Hjelmslev ; traduction d'Anne-Gaëlle Toutain, avec la collaboration de François Émion ; édition critique par Anne-Gaëlle Toutain.</t>
  </si>
  <si>
    <t>Hjelmslev, Louis, 1899-1965, author.</t>
  </si>
  <si>
    <t>Paris : Classiques Garnier, 2016.</t>
  </si>
  <si>
    <t>Domaines linguistiques, 2271-6297 ; 8. Série Grammaires et représentations de la langue ; 6</t>
  </si>
  <si>
    <t>6382840:fre</t>
  </si>
  <si>
    <t>964650791</t>
  </si>
  <si>
    <t>ocn964650791</t>
  </si>
  <si>
    <t>3103708719D</t>
  </si>
  <si>
    <t>9782406064688</t>
  </si>
  <si>
    <t>795025362</t>
  </si>
  <si>
    <t>P142 L23 1994</t>
  </si>
  <si>
    <t>0                      P  0142000L  23          1994</t>
  </si>
  <si>
    <t>Principles of linguistic change / William Labov.</t>
  </si>
  <si>
    <t>Labov, William, author.</t>
  </si>
  <si>
    <t>Oxford, UK ; Cambridge [Mass.] : Blackwell, 1994-</t>
  </si>
  <si>
    <t>Language in society ; 20, 29</t>
  </si>
  <si>
    <t>2014-04-04</t>
  </si>
  <si>
    <t>4820878308:eng</t>
  </si>
  <si>
    <t>31783866</t>
  </si>
  <si>
    <t>ocm31783866</t>
  </si>
  <si>
    <t>31027539833</t>
  </si>
  <si>
    <t>9780631179139</t>
  </si>
  <si>
    <t>793368247</t>
  </si>
  <si>
    <t>3102561684R</t>
  </si>
  <si>
    <t>793368249</t>
  </si>
  <si>
    <t>3102670093$</t>
  </si>
  <si>
    <t>793368248</t>
  </si>
  <si>
    <t>P142 L2626 2002</t>
  </si>
  <si>
    <t>0                      P  0142000L  2626        2002</t>
  </si>
  <si>
    <t>Language change : the interplay of internal, external, and extra-linguistic factors / edited by Mari C. Jones, Edith Esch.</t>
  </si>
  <si>
    <t>Contributions to the sociology of language ; 86</t>
  </si>
  <si>
    <t>898551566:eng</t>
  </si>
  <si>
    <t>49225440</t>
  </si>
  <si>
    <t>ocm49225440</t>
  </si>
  <si>
    <t>31027539637</t>
  </si>
  <si>
    <t>9783110172027</t>
  </si>
  <si>
    <t>793735101</t>
  </si>
  <si>
    <t>P142 L263 2015</t>
  </si>
  <si>
    <t>0                      P  0142000L  263         2015</t>
  </si>
  <si>
    <t>Language change at the syntax-semantics interface / edited by Chiara Gianollo, Agnes Jäger, Doris Penka.</t>
  </si>
  <si>
    <t>Trends in Linguistics. Studies and Monographs ; volume 278</t>
  </si>
  <si>
    <t>2054543659:eng</t>
  </si>
  <si>
    <t>894670645</t>
  </si>
  <si>
    <t>ocn894670645</t>
  </si>
  <si>
    <t>3103582238S</t>
  </si>
  <si>
    <t>9783110352177</t>
  </si>
  <si>
    <t>794982943</t>
  </si>
  <si>
    <t>P142 L543 2006</t>
  </si>
  <si>
    <t>0                      P  0142000L  543         2006</t>
  </si>
  <si>
    <t>How new languages emerge / David W. Lightfoot.</t>
  </si>
  <si>
    <t>Lightfoot, David, 1945-</t>
  </si>
  <si>
    <t>Cambridge, U.K. ; New York : Cambridge University Press, 2006.</t>
  </si>
  <si>
    <t>888071:eng</t>
  </si>
  <si>
    <t>60743103</t>
  </si>
  <si>
    <t>ocm60743103</t>
  </si>
  <si>
    <t>31025755869</t>
  </si>
  <si>
    <t>9780521859134</t>
  </si>
  <si>
    <t>793943043</t>
  </si>
  <si>
    <t>P142 M38 1994</t>
  </si>
  <si>
    <t>0                      P  0142000M  38          1994</t>
  </si>
  <si>
    <t>Understanding language change / April M.S. McMahon.</t>
  </si>
  <si>
    <t>Cambridge ; New York, NY, USA : Cambridge University Press, 1994.</t>
  </si>
  <si>
    <t>343183:eng</t>
  </si>
  <si>
    <t>28064885</t>
  </si>
  <si>
    <t>ocm28064885</t>
  </si>
  <si>
    <t>31027539921</t>
  </si>
  <si>
    <t>9780521441193</t>
  </si>
  <si>
    <t>793278964</t>
  </si>
  <si>
    <t>P142 M55 2010</t>
  </si>
  <si>
    <t>0                      P  0142000M  55          2010</t>
  </si>
  <si>
    <t>Language change and linguistic theory / D. Gary Miller.</t>
  </si>
  <si>
    <t>Miller, D. Gary.</t>
  </si>
  <si>
    <t>Oxford Linguistics</t>
  </si>
  <si>
    <t>3771433092:eng</t>
  </si>
  <si>
    <t>559788156</t>
  </si>
  <si>
    <t>ocn559788156</t>
  </si>
  <si>
    <t>3103328384X</t>
  </si>
  <si>
    <t>9780199590216</t>
  </si>
  <si>
    <t>794812707</t>
  </si>
  <si>
    <t>3103328379Z</t>
  </si>
  <si>
    <t>794812708</t>
  </si>
  <si>
    <t>P142 M84 2008</t>
  </si>
  <si>
    <t>0                      P  0142000M  84          2008</t>
  </si>
  <si>
    <t>Language evolution : contact, competition and change / Salikoko S. Mufwene.</t>
  </si>
  <si>
    <t>Mufwene, Salikoko S.</t>
  </si>
  <si>
    <t>797251820:eng</t>
  </si>
  <si>
    <t>156830970</t>
  </si>
  <si>
    <t>ocn156830970</t>
  </si>
  <si>
    <t>3102884942N</t>
  </si>
  <si>
    <t>9780826493699</t>
  </si>
  <si>
    <t>794254982</t>
  </si>
  <si>
    <t>P142 O946 2012</t>
  </si>
  <si>
    <t>0                      P  0142000O  946         2012</t>
  </si>
  <si>
    <t>The Oxford handbook of language evolution / edited by Maggie Tallerman and Kathleen R. Gibson.</t>
  </si>
  <si>
    <t>908525058:eng</t>
  </si>
  <si>
    <t>724665645</t>
  </si>
  <si>
    <t>ocn724665645</t>
  </si>
  <si>
    <t>3103382280U</t>
  </si>
  <si>
    <t>9780199541119</t>
  </si>
  <si>
    <t>794876621</t>
  </si>
  <si>
    <t>P142 P476 2019</t>
  </si>
  <si>
    <t>0                      P  0142000P  476         2019</t>
  </si>
  <si>
    <t>Perspectives on language structure and language change : studies in honor of Henning Andersen / edited by Lars Heltoft, Iván Igartua, Brian D. Joseph, Kirsten Jeppesen Kragh, Lene Schøsler.</t>
  </si>
  <si>
    <t>Current issues in linguistic theory, 0304-0763 ; volume 345</t>
  </si>
  <si>
    <t>8958792844:eng</t>
  </si>
  <si>
    <t>1089215410</t>
  </si>
  <si>
    <t>on1089215410</t>
  </si>
  <si>
    <t>31038919829</t>
  </si>
  <si>
    <t>9789027203090</t>
  </si>
  <si>
    <t>795079432</t>
  </si>
  <si>
    <t>P142 R56 2013</t>
  </si>
  <si>
    <t>0                      P  0142000R  56          2013</t>
  </si>
  <si>
    <t>Historical linguistics : toward a twenty-first century reintegration / Don Ringe and Joseph F. Eska.</t>
  </si>
  <si>
    <t>Ringe, Donald A., 1954-</t>
  </si>
  <si>
    <t>Cambridge [England] ; New York : Cambridge University Press, 2013.</t>
  </si>
  <si>
    <t>1119720697:eng</t>
  </si>
  <si>
    <t>795504377</t>
  </si>
  <si>
    <t>ocn795504377</t>
  </si>
  <si>
    <t>31034561201</t>
  </si>
  <si>
    <t>9780521583329</t>
  </si>
  <si>
    <t>794921245</t>
  </si>
  <si>
    <t>P142 S76 2011</t>
  </si>
  <si>
    <t>0                      P  0142000S  76          2011</t>
  </si>
  <si>
    <t>Secret manipulations : language and context in Africa / Anne Storch.</t>
  </si>
  <si>
    <t>Storch, Anne.</t>
  </si>
  <si>
    <t>570744459:eng</t>
  </si>
  <si>
    <t>656158827</t>
  </si>
  <si>
    <t>ocn656158827</t>
  </si>
  <si>
    <t>3103363378Z</t>
  </si>
  <si>
    <t>9780199768974</t>
  </si>
  <si>
    <t>794834533</t>
  </si>
  <si>
    <t>P143 B38 2017</t>
  </si>
  <si>
    <t>0                      P  0143000B  38          2017</t>
  </si>
  <si>
    <t>Nominal apposition in Indo-European : its forms and functions, and its evolution in Latin-Romance / Brigitte L. M. Bauer.</t>
  </si>
  <si>
    <t>Bauer, Brigitte L. M., 1961- author.</t>
  </si>
  <si>
    <t>Trends in linguistics. Studies and monographs, 1861-4302 ; volume 303</t>
  </si>
  <si>
    <t>4218849502:eng</t>
  </si>
  <si>
    <t>1001413902</t>
  </si>
  <si>
    <t>on1001413902</t>
  </si>
  <si>
    <t>3103701879Q</t>
  </si>
  <si>
    <t>9783110460162</t>
  </si>
  <si>
    <t>795040570</t>
  </si>
  <si>
    <t>P143 C36 2008</t>
  </si>
  <si>
    <t>0                      P  0143000C  36          2008</t>
  </si>
  <si>
    <t>Language classification : history and method / Lyle Campbell and William J. Poser.</t>
  </si>
  <si>
    <t>792902153:eng</t>
  </si>
  <si>
    <t>182963187</t>
  </si>
  <si>
    <t>ocn182963187</t>
  </si>
  <si>
    <t>3102853575B</t>
  </si>
  <si>
    <t>9780521880053</t>
  </si>
  <si>
    <t>794286384</t>
  </si>
  <si>
    <t>P143 C66 2012</t>
  </si>
  <si>
    <t>0                      P  0143000C  66          2012</t>
  </si>
  <si>
    <t>Language and the creative mind / edited by Michael Borkent, Barbara Dancygier, and Jennifer Hinnell.</t>
  </si>
  <si>
    <t>Stanford, California : CSLI Publications, [2013]</t>
  </si>
  <si>
    <t>1405368212:eng</t>
  </si>
  <si>
    <t>874030279</t>
  </si>
  <si>
    <t>ocn874030279</t>
  </si>
  <si>
    <t>31035323795</t>
  </si>
  <si>
    <t>9781575866710</t>
  </si>
  <si>
    <t>794968692</t>
  </si>
  <si>
    <t>P143 N53 1992</t>
  </si>
  <si>
    <t>0                      P  0143000N  53          1992</t>
  </si>
  <si>
    <t>Linguistic diversity in space and time / Johanna Nichols.</t>
  </si>
  <si>
    <t>Nichols, Johanna, author.</t>
  </si>
  <si>
    <t>Chicago : University of Chicago Press, [1992].</t>
  </si>
  <si>
    <t>2552699:eng</t>
  </si>
  <si>
    <t>24907586</t>
  </si>
  <si>
    <t>ocm24907586</t>
  </si>
  <si>
    <t>3102754035$</t>
  </si>
  <si>
    <t>9780226580562</t>
  </si>
  <si>
    <t>793207936</t>
  </si>
  <si>
    <t>P143 N667 1999</t>
  </si>
  <si>
    <t>0                      P  0143000N  667         1999</t>
  </si>
  <si>
    <t>Nostratic : examining a linguistic macrofamily / edited by Colin Renfrew &amp; Daniel Nettle.</t>
  </si>
  <si>
    <t>Cambridge : McDonald Institute for Archaeological Research, University of Cambridge ; Oakville, CT : David Brown Book Co. [distributor], ©1999.</t>
  </si>
  <si>
    <t>Papers in the prehistory of languages, 1461-331X</t>
  </si>
  <si>
    <t>2019-02-13</t>
  </si>
  <si>
    <t>905474820:eng</t>
  </si>
  <si>
    <t>42316235</t>
  </si>
  <si>
    <t>ocm42316235</t>
  </si>
  <si>
    <t>3102754034$</t>
  </si>
  <si>
    <t>9781902937007</t>
  </si>
  <si>
    <t>793605425</t>
  </si>
  <si>
    <t>P143 R84 1994</t>
  </si>
  <si>
    <t>0                      P  0143000R  84          1994</t>
  </si>
  <si>
    <t>On the origin of languages : studies in linguistic taxonomy / Merritt Ruhlen.</t>
  </si>
  <si>
    <t>Ruhlen, Merritt, 1944-</t>
  </si>
  <si>
    <t>795763756:eng</t>
  </si>
  <si>
    <t>29224870</t>
  </si>
  <si>
    <t>ocm29224870</t>
  </si>
  <si>
    <t>31027540281</t>
  </si>
  <si>
    <t>9780804723213</t>
  </si>
  <si>
    <t>793305839</t>
  </si>
  <si>
    <t>P146 G34 1987</t>
  </si>
  <si>
    <t>0                      P  0146000G  34          1987</t>
  </si>
  <si>
    <t>Saussure, une science de la langue / par Françoise Gadet.</t>
  </si>
  <si>
    <t>Gadet, Françoise.</t>
  </si>
  <si>
    <t>Paris : Presses universitaires de France, ©1987.</t>
  </si>
  <si>
    <t>Philosophies ; 11</t>
  </si>
  <si>
    <t>2018-06-11</t>
  </si>
  <si>
    <t>13081167:fre</t>
  </si>
  <si>
    <t>22661415</t>
  </si>
  <si>
    <t>ocm22661415</t>
  </si>
  <si>
    <t>31027540075</t>
  </si>
  <si>
    <t>9782130399070</t>
  </si>
  <si>
    <t>793150407</t>
  </si>
  <si>
    <t>P146 H3 2003</t>
  </si>
  <si>
    <t>0                      P  0146000H  3           2003</t>
  </si>
  <si>
    <t>Structuralism and semiotics / Terence Hawkes.</t>
  </si>
  <si>
    <t>Hawkes, Terence.</t>
  </si>
  <si>
    <t>London : London : Routledge, 2003.</t>
  </si>
  <si>
    <t>New accents (Routledge (Firm))</t>
  </si>
  <si>
    <t>2018-08-16</t>
  </si>
  <si>
    <t>695763:eng</t>
  </si>
  <si>
    <t>52196789</t>
  </si>
  <si>
    <t>ocm52196789</t>
  </si>
  <si>
    <t>3102764161M</t>
  </si>
  <si>
    <t>9780415291163</t>
  </si>
  <si>
    <t>793800681</t>
  </si>
  <si>
    <t>P146 H9</t>
  </si>
  <si>
    <t>0                      P  0146000H  9</t>
  </si>
  <si>
    <t>American structuralism / Dell Hymes and John Fought.</t>
  </si>
  <si>
    <t>Hymes, Dell H.</t>
  </si>
  <si>
    <t>The Hague ; New York : Mouton, ©1981.</t>
  </si>
  <si>
    <t>Janua linguarum. Series maior ; 102</t>
  </si>
  <si>
    <t>28574769:eng</t>
  </si>
  <si>
    <t>7655441</t>
  </si>
  <si>
    <t>ocm07655441</t>
  </si>
  <si>
    <t>3102764141Q</t>
  </si>
  <si>
    <t>9789027932280</t>
  </si>
  <si>
    <t>792572787</t>
  </si>
  <si>
    <t>P146 L368 2010</t>
  </si>
  <si>
    <t>0                      P  0146000L  368         2010</t>
  </si>
  <si>
    <t>Language usage and language structure / edited by Kasper Boye, Elisabeth Engberg-Pedersen.</t>
  </si>
  <si>
    <t>Trends in linguistics. Studies and monographs ; 213</t>
  </si>
  <si>
    <t>1044601154:eng</t>
  </si>
  <si>
    <t>476841613</t>
  </si>
  <si>
    <t>ocn476841613</t>
  </si>
  <si>
    <t>3103128198C</t>
  </si>
  <si>
    <t>9783110219173</t>
  </si>
  <si>
    <t>794798762</t>
  </si>
  <si>
    <t>P146 W39 2012</t>
  </si>
  <si>
    <t>0                      P  0146000W  39          2012</t>
  </si>
  <si>
    <t>Ways of structure building / edited by Myriam Uribe-Etxebarria and Vidal Valmala.</t>
  </si>
  <si>
    <t>Oxford studies in theoretical linguistics</t>
  </si>
  <si>
    <t>1122020332:eng</t>
  </si>
  <si>
    <t>769989512</t>
  </si>
  <si>
    <t>ocn769989512</t>
  </si>
  <si>
    <t>31034229512</t>
  </si>
  <si>
    <t>9780199644933</t>
  </si>
  <si>
    <t>794903800</t>
  </si>
  <si>
    <t>P147 A384 2006</t>
  </si>
  <si>
    <t>0                      P  0147000A  384         2006</t>
  </si>
  <si>
    <t>Advances in functional linguistics : Columbia School beyond its origins / edited by Joseph Davis, Radmila J. Gorup, Nancy Stern.</t>
  </si>
  <si>
    <t>Studies in functional and structural linguistics, 0165-7712 ; v. 57</t>
  </si>
  <si>
    <t>794068388:eng</t>
  </si>
  <si>
    <t>71582136</t>
  </si>
  <si>
    <t>ocm71582136</t>
  </si>
  <si>
    <t>3102594115T</t>
  </si>
  <si>
    <t>9789027215666</t>
  </si>
  <si>
    <t>794167393</t>
  </si>
  <si>
    <t>P147 C664 2009</t>
  </si>
  <si>
    <t>0                      P  0147000C  664         2009</t>
  </si>
  <si>
    <t>Continuum companion to systemic functional linguistics / edited by M.A.K. Halliday and Jonathan J. Webster.</t>
  </si>
  <si>
    <t>1044437356:eng</t>
  </si>
  <si>
    <t>276648367</t>
  </si>
  <si>
    <t>ocn276648367</t>
  </si>
  <si>
    <t>3103085726X</t>
  </si>
  <si>
    <t>9780826494474</t>
  </si>
  <si>
    <t>794417014</t>
  </si>
  <si>
    <t>P147 D48 2014</t>
  </si>
  <si>
    <t>0                      P  0147000D  48          2014</t>
  </si>
  <si>
    <t>Developing systemic functional linguistics : theory and application / edited by Fang Yan and Jonathan J. Webster.</t>
  </si>
  <si>
    <t>1886306689:eng</t>
  </si>
  <si>
    <t>823014062</t>
  </si>
  <si>
    <t>ocn823014062</t>
  </si>
  <si>
    <t>31035318146</t>
  </si>
  <si>
    <t>9781845539955</t>
  </si>
  <si>
    <t>794936872</t>
  </si>
  <si>
    <t>P147 F86 1989</t>
  </si>
  <si>
    <t>0                      P  0147000F  86          1989</t>
  </si>
  <si>
    <t>Functionalism and Chinese grammar = Kung neng hsüeh shuo yü Chung wen wen fa / edited by James H-Y. Tai, Frank F.S. Hsueh.</t>
  </si>
  <si>
    <t>[South Orange, NJ] : Chinese Language Teachers Association, 1989.</t>
  </si>
  <si>
    <t>Monograph series / Chinese Language Teachers Association ; no. 1</t>
  </si>
  <si>
    <t>112088448:eng</t>
  </si>
  <si>
    <t>22437354</t>
  </si>
  <si>
    <t>ocm22437354</t>
  </si>
  <si>
    <t>3102764134S</t>
  </si>
  <si>
    <t>793143945</t>
  </si>
  <si>
    <t>P147 H35 1985</t>
  </si>
  <si>
    <t>0                      P  0147000H  35          1985</t>
  </si>
  <si>
    <t>An introduction to functional grammar / M.A.K. Halliday.</t>
  </si>
  <si>
    <t>London ; Baltimore, Md., USA : E. Arnold, 1985.</t>
  </si>
  <si>
    <t>682552:eng</t>
  </si>
  <si>
    <t>15488401</t>
  </si>
  <si>
    <t>ocm15488401</t>
  </si>
  <si>
    <t>3103453470V</t>
  </si>
  <si>
    <t>9780713163650</t>
  </si>
  <si>
    <t>792932856</t>
  </si>
  <si>
    <t>P147 H35 2004</t>
  </si>
  <si>
    <t>0                      P  0147000H  35          2004</t>
  </si>
  <si>
    <t>An introduction to functional grammar.</t>
  </si>
  <si>
    <t>London : Arnold ; New York : Distributed in the United States of America by Oxford University Press, 2004.</t>
  </si>
  <si>
    <t>3rd ed. / M.A.K. Halliday ; rev. by Christian M.I.M. Matthiessen.</t>
  </si>
  <si>
    <t>47150799</t>
  </si>
  <si>
    <t>ocm47150799</t>
  </si>
  <si>
    <t>3102764143Q</t>
  </si>
  <si>
    <t>9780340761670</t>
  </si>
  <si>
    <t>793699632</t>
  </si>
  <si>
    <t>P147 L883 1977</t>
  </si>
  <si>
    <t>0                      P  0147000L  883         1977</t>
  </si>
  <si>
    <t>The structure of the artistic text / Jurij Lotman ; translated from the Russian by Ronald Vroon.</t>
  </si>
  <si>
    <t>Lotman, I︠U︡. M. (I︠U︡riĭ Mikhaĭlovich), 1922-1993.</t>
  </si>
  <si>
    <t>Ann Arbor : [Dept. of Slavic Languages and Literature], University of Michigan, ©1977.</t>
  </si>
  <si>
    <t>Michigan Slavic contributions ; no. 7</t>
  </si>
  <si>
    <t>1122786181:eng</t>
  </si>
  <si>
    <t>3003079</t>
  </si>
  <si>
    <t>ocm03003079</t>
  </si>
  <si>
    <t>3102764128U</t>
  </si>
  <si>
    <t>9780930042158</t>
  </si>
  <si>
    <t>792205174</t>
  </si>
  <si>
    <t>P147 O94 2016</t>
  </si>
  <si>
    <t>0                      P  0147000O  94          2016</t>
  </si>
  <si>
    <t>The Oxford handbook of information structure / edited by Caroline Féry and Shinichiro Ishihara.</t>
  </si>
  <si>
    <t>Oxford, United Kingdom : Oxford University Press, 2016.</t>
  </si>
  <si>
    <t>2618249274:eng</t>
  </si>
  <si>
    <t>920725131</t>
  </si>
  <si>
    <t>ocn920725131</t>
  </si>
  <si>
    <t>3103710071$</t>
  </si>
  <si>
    <t>9780199642670</t>
  </si>
  <si>
    <t>795002495</t>
  </si>
  <si>
    <t>P147 S989 2016</t>
  </si>
  <si>
    <t>0                      P  0147000S  989         2016</t>
  </si>
  <si>
    <t>Systemic functional linguistics in the digital age / edited by Sheena Gardner and Siân Alsop.</t>
  </si>
  <si>
    <t>Sheffield, South Yorkshire ; Bristol, CT : Equinox Publishing Ltd., 2016.</t>
  </si>
  <si>
    <t>Functional linguistics</t>
  </si>
  <si>
    <t>3029652387:eng</t>
  </si>
  <si>
    <t>945032343</t>
  </si>
  <si>
    <t>ocn945032343</t>
  </si>
  <si>
    <t>3103670825J</t>
  </si>
  <si>
    <t>9781781792384</t>
  </si>
  <si>
    <t>795013232</t>
  </si>
  <si>
    <t>P147 U84 2001</t>
  </si>
  <si>
    <t>0                      P  0147000U  84          2001</t>
  </si>
  <si>
    <t>Using functional grammar : an explorer's guide / David Butt [and others].</t>
  </si>
  <si>
    <t>Sydney, N.S.W. : National Centre for English Language Teaching and Research, Macquarie University, 2001.</t>
  </si>
  <si>
    <t>2nd ed., repr. with corrections.</t>
  </si>
  <si>
    <t>796519891:eng</t>
  </si>
  <si>
    <t>155703722</t>
  </si>
  <si>
    <t>ocn155703722</t>
  </si>
  <si>
    <t>3103255056E</t>
  </si>
  <si>
    <t>9781864085501</t>
  </si>
  <si>
    <t>794253500</t>
  </si>
  <si>
    <t>P148 H513 1975</t>
  </si>
  <si>
    <t>0                      P  0148000H  513         1975</t>
  </si>
  <si>
    <t>Résumé of a theory of language / Louis Hjelmslev ; edited and translated with an introd. by Francis J. Whitfield.</t>
  </si>
  <si>
    <t>Madison : University of Wisconsin Press, ©1975.</t>
  </si>
  <si>
    <t>Travaux du Cercle linguistique de Copenhague ; v. 16</t>
  </si>
  <si>
    <t>3743051:eng</t>
  </si>
  <si>
    <t>2201934</t>
  </si>
  <si>
    <t>ocm02201934</t>
  </si>
  <si>
    <t>3102764205V</t>
  </si>
  <si>
    <t>9780299070403</t>
  </si>
  <si>
    <t>792066127</t>
  </si>
  <si>
    <t>P149 B36 2017</t>
  </si>
  <si>
    <t>0                      P  0149000B  36          2017</t>
  </si>
  <si>
    <t>The Birth of the academic article : Le Journal des Sçavans and the Philosophical Transactions, 1665-1700 / David Banks.</t>
  </si>
  <si>
    <t>Banks, David, 1943- author.</t>
  </si>
  <si>
    <t>Sheffield, UK ; Bristol, CT : Equinox, 2017.</t>
  </si>
  <si>
    <t>Philosophical transactions of the Royal Society of London. Series A, Mathematical and physical sciences</t>
  </si>
  <si>
    <t>4164389654:eng</t>
  </si>
  <si>
    <t>982005192</t>
  </si>
  <si>
    <t>ocn982005192</t>
  </si>
  <si>
    <t>3103701823G</t>
  </si>
  <si>
    <t>9781781792322</t>
  </si>
  <si>
    <t>795034186</t>
  </si>
  <si>
    <t>P149 E35 2004</t>
  </si>
  <si>
    <t>0                      P  0149000E  35          2004</t>
  </si>
  <si>
    <t>An introduction to systemic functional linguistics / Suzanne Eggins.</t>
  </si>
  <si>
    <t>Eggins, Suzanne.</t>
  </si>
  <si>
    <t>New York : Continuum, ©2004.</t>
  </si>
  <si>
    <t>969361:eng</t>
  </si>
  <si>
    <t>59112259</t>
  </si>
  <si>
    <t>ocm59112259</t>
  </si>
  <si>
    <t>3102764209V</t>
  </si>
  <si>
    <t>9780826457875</t>
  </si>
  <si>
    <t>793927538</t>
  </si>
  <si>
    <t>P149 H33 2009</t>
  </si>
  <si>
    <t>0                      P  0149000H  33          2009</t>
  </si>
  <si>
    <t>The essential Halliday / M.A.K. Halliday ; edited by Jonathan J. Webster.</t>
  </si>
  <si>
    <t>138731094:eng</t>
  </si>
  <si>
    <t>231585824</t>
  </si>
  <si>
    <t>ocn231585824</t>
  </si>
  <si>
    <t>3103322623N</t>
  </si>
  <si>
    <t>9780826495341</t>
  </si>
  <si>
    <t>794357756</t>
  </si>
  <si>
    <t>P151 C28 2010</t>
  </si>
  <si>
    <t>0                      P  0151000C  28          2010</t>
  </si>
  <si>
    <t>Constituent structure / Andrew Carnie.</t>
  </si>
  <si>
    <t>Carnie, Andrew, 1969-</t>
  </si>
  <si>
    <t>Oxford surveys in syntax and morphology ; 5</t>
  </si>
  <si>
    <t>113419684:eng</t>
  </si>
  <si>
    <t>444384599</t>
  </si>
  <si>
    <t>ocn444384599</t>
  </si>
  <si>
    <t>31031322275</t>
  </si>
  <si>
    <t>9780199583461</t>
  </si>
  <si>
    <t>794787085</t>
  </si>
  <si>
    <t>P151 C43 2013</t>
  </si>
  <si>
    <t>0                      P  0151000C  43          2013</t>
  </si>
  <si>
    <t>Challenges to Linearization / edited by Theresa Biberauer and Ian Roberts.</t>
  </si>
  <si>
    <t>Berlin : De Gruyter Mouton, 2013.</t>
  </si>
  <si>
    <t>Studies in Generative Grammar ; 114</t>
  </si>
  <si>
    <t>1181262375:eng</t>
  </si>
  <si>
    <t>817721755</t>
  </si>
  <si>
    <t>ocn817721755</t>
  </si>
  <si>
    <t>31034971960</t>
  </si>
  <si>
    <t>9781614513100</t>
  </si>
  <si>
    <t>794933602</t>
  </si>
  <si>
    <t>P151 C48</t>
  </si>
  <si>
    <t>0                      P  0151000C  48</t>
  </si>
  <si>
    <t>Studies on semantics in generative grammar.</t>
  </si>
  <si>
    <t>The Hague, Mouton, 1972.</t>
  </si>
  <si>
    <t>Janua linguarum. Series minor ; 107</t>
  </si>
  <si>
    <t>2003-11-18</t>
  </si>
  <si>
    <t>568425:eng</t>
  </si>
  <si>
    <t>416377</t>
  </si>
  <si>
    <t>ocm00416377</t>
  </si>
  <si>
    <t>3102764202V</t>
  </si>
  <si>
    <t>9789027979643</t>
  </si>
  <si>
    <t>791372265</t>
  </si>
  <si>
    <t>3102764187I</t>
  </si>
  <si>
    <t>791372266</t>
  </si>
  <si>
    <t>30009799925</t>
  </si>
  <si>
    <t>791372264</t>
  </si>
  <si>
    <t>2013-10-23</t>
  </si>
  <si>
    <t>3102764197G</t>
  </si>
  <si>
    <t>791372267</t>
  </si>
  <si>
    <t>P151 C647 2012</t>
  </si>
  <si>
    <t>0                      P  0151000C  647         2012</t>
  </si>
  <si>
    <t>Features / Greville G. Corbett.</t>
  </si>
  <si>
    <t>Corbett, Greville G.</t>
  </si>
  <si>
    <t>9352461181:eng</t>
  </si>
  <si>
    <t>789148317</t>
  </si>
  <si>
    <t>ocn789148317</t>
  </si>
  <si>
    <t>31034328168</t>
  </si>
  <si>
    <t>9781107026230</t>
  </si>
  <si>
    <t>794916534</t>
  </si>
  <si>
    <t>P151 E57 2010</t>
  </si>
  <si>
    <t>0                      P  0151000E  57          2010</t>
  </si>
  <si>
    <t>Empirical and experimental methods in cognitive/functional research / edited by Sally Rice and John Newman.</t>
  </si>
  <si>
    <t>Stanford, Calif. : CSLI Publications / Center for the Study of Language and Information, ©2010.</t>
  </si>
  <si>
    <t>457979358:eng</t>
  </si>
  <si>
    <t>587198749</t>
  </si>
  <si>
    <t>ocn587198749</t>
  </si>
  <si>
    <t>3103324728C</t>
  </si>
  <si>
    <t>9781575866130</t>
  </si>
  <si>
    <t>794814365</t>
  </si>
  <si>
    <t>P151 F3813 1985</t>
  </si>
  <si>
    <t>0                      P  0151000F  3813        1985</t>
  </si>
  <si>
    <t>Mental spaces : aspects of meaning construction in natural language / Gilles Fauconnier.</t>
  </si>
  <si>
    <t>Fauconnier, Gilles.</t>
  </si>
  <si>
    <t>Cambridge, Mass. : MIT Press, ©1985.</t>
  </si>
  <si>
    <t>2015-01-21</t>
  </si>
  <si>
    <t>4917692106:eng</t>
  </si>
  <si>
    <t>11676076</t>
  </si>
  <si>
    <t>ocm11676076</t>
  </si>
  <si>
    <t>3102764250L</t>
  </si>
  <si>
    <t>9780262060943</t>
  </si>
  <si>
    <t>792783062</t>
  </si>
  <si>
    <t>P151 F43 2010</t>
  </si>
  <si>
    <t>0                      P  0151000F  43          2010</t>
  </si>
  <si>
    <t>Features : perspectives on a key notion in linguistics / edited by Anna Kibort and Greville G. Corbett.</t>
  </si>
  <si>
    <t>Oxford linquistics</t>
  </si>
  <si>
    <t>10141753933:eng</t>
  </si>
  <si>
    <t>477256517</t>
  </si>
  <si>
    <t>ocn477256517</t>
  </si>
  <si>
    <t>31032311550</t>
  </si>
  <si>
    <t>9780199577743</t>
  </si>
  <si>
    <t>794798904</t>
  </si>
  <si>
    <t>P151 F6775 2012</t>
  </si>
  <si>
    <t>0                      P  0151000F  6775        2012</t>
  </si>
  <si>
    <t>Unification grammars / Nissim Francez, Shuly Wintner.</t>
  </si>
  <si>
    <t>Francez, Nissim.</t>
  </si>
  <si>
    <t>919329740:eng</t>
  </si>
  <si>
    <t>738337452</t>
  </si>
  <si>
    <t>ocn738337452</t>
  </si>
  <si>
    <t>31033833052</t>
  </si>
  <si>
    <t>9781107014176</t>
  </si>
  <si>
    <t>794882434</t>
  </si>
  <si>
    <t>P151 G73 2017</t>
  </si>
  <si>
    <t>0                      P  0151000G  73          2017</t>
  </si>
  <si>
    <t>The grammaticalization of tense, aspect, modality and evidentiality : a functional perspective / edited by Kees Hengeveld, Heiko Narrog, Hella Olbertz.</t>
  </si>
  <si>
    <t>Trends in linguistics. Studies and monographs, 1861-4302 ; volume 311</t>
  </si>
  <si>
    <t>4512427147:eng</t>
  </si>
  <si>
    <t>1022084498</t>
  </si>
  <si>
    <t>on1022084498</t>
  </si>
  <si>
    <t>3103739104R</t>
  </si>
  <si>
    <t>9783110517293</t>
  </si>
  <si>
    <t>795051330</t>
  </si>
  <si>
    <t>P151 I73 2011</t>
  </si>
  <si>
    <t>0                      P  0151000I  73          2011</t>
  </si>
  <si>
    <t>Interfaces in linguistics : new research perspectives / edited by Raffaella Folli and Christiane Ulbrich.</t>
  </si>
  <si>
    <t>Oxford ; New York, NY : Oxford University Press, 2011.</t>
  </si>
  <si>
    <t>Oxford studies in theoretical linguistics ; no. 31</t>
  </si>
  <si>
    <t>791992827:eng</t>
  </si>
  <si>
    <t>694600590</t>
  </si>
  <si>
    <t>ocn694600590</t>
  </si>
  <si>
    <t>3103232559L</t>
  </si>
  <si>
    <t>9780199567232</t>
  </si>
  <si>
    <t>794857789</t>
  </si>
  <si>
    <t>P151 L315 2000</t>
  </si>
  <si>
    <t>0                      P  0151000L  315         2000</t>
  </si>
  <si>
    <t>Events and plurality : the Jerusalem lectures / by Fred Landman.</t>
  </si>
  <si>
    <t>Landman, Fred.</t>
  </si>
  <si>
    <t>Dordrecht ; Boston, Mass. : Kluwer Academic Publishers, ©2000.</t>
  </si>
  <si>
    <t>Studies in linguistics and philosophy ; v. 76</t>
  </si>
  <si>
    <t>329212138:eng</t>
  </si>
  <si>
    <t>44681888</t>
  </si>
  <si>
    <t>ocm44681888</t>
  </si>
  <si>
    <t>3102764237P</t>
  </si>
  <si>
    <t>9780792365686</t>
  </si>
  <si>
    <t>793655799</t>
  </si>
  <si>
    <t>P151 N86 2004</t>
  </si>
  <si>
    <t>0                      P  0151000N  86          2004</t>
  </si>
  <si>
    <t>Linearization of chains and sideward movement / Jairo Nunes.</t>
  </si>
  <si>
    <t>Nunes, Jairo.</t>
  </si>
  <si>
    <t>Cambridge, Mass. : MIT Press, ©2004.</t>
  </si>
  <si>
    <t>Linguistic inquiry monographs ; 43</t>
  </si>
  <si>
    <t>893562:eng</t>
  </si>
  <si>
    <t>53325096</t>
  </si>
  <si>
    <t>ocm53325096</t>
  </si>
  <si>
    <t>3102764295D</t>
  </si>
  <si>
    <t>9780262140850</t>
  </si>
  <si>
    <t>793826285</t>
  </si>
  <si>
    <t>P151 O94 1991</t>
  </si>
  <si>
    <t>0                      P  0151000O  94          1991</t>
  </si>
  <si>
    <t>Functional categories and parametric variation / Jamal Ouhalla.</t>
  </si>
  <si>
    <t>Ouhalla, Jamal, 1961-</t>
  </si>
  <si>
    <t>Theoretical linguistics</t>
  </si>
  <si>
    <t>13767530:eng</t>
  </si>
  <si>
    <t>22907070</t>
  </si>
  <si>
    <t>ocm22907070</t>
  </si>
  <si>
    <t>3102764285F</t>
  </si>
  <si>
    <t>9780415056410</t>
  </si>
  <si>
    <t>793156587</t>
  </si>
  <si>
    <t>P151 P3</t>
  </si>
  <si>
    <t>0                      P  0151000P  3</t>
  </si>
  <si>
    <t>Grammatical theory in Western Europe, 1500-1700 : the Latin tradition / G.A. Padley.</t>
  </si>
  <si>
    <t>Cambridge [England] ; New York : Cambridge University Press, 1976.</t>
  </si>
  <si>
    <t>4451923453:eng</t>
  </si>
  <si>
    <t>2074020</t>
  </si>
  <si>
    <t>ocm02074020</t>
  </si>
  <si>
    <t>3102764280F</t>
  </si>
  <si>
    <t>9780521210799</t>
  </si>
  <si>
    <t>792040358</t>
  </si>
  <si>
    <t>P151 P47 2017</t>
  </si>
  <si>
    <t>0                      P  0151000P  47          2017</t>
  </si>
  <si>
    <t>Psychosyntax : the nature of grammar and its place in the mind / David Pereplyotchik.</t>
  </si>
  <si>
    <t>Pereplyotchik, David, author.</t>
  </si>
  <si>
    <t>Cham, Switzerland : Springer, [2017]</t>
  </si>
  <si>
    <t>Philosophical studies series ; volume 129</t>
  </si>
  <si>
    <t>4211875963:eng</t>
  </si>
  <si>
    <t>987282635</t>
  </si>
  <si>
    <t>ocn987282635</t>
  </si>
  <si>
    <t>3103759279H</t>
  </si>
  <si>
    <t>9783319600642</t>
  </si>
  <si>
    <t>795035973</t>
  </si>
  <si>
    <t>P151 P49 2008</t>
  </si>
  <si>
    <t>0                      P  0151000P  49          2008</t>
  </si>
  <si>
    <t>Phi theory : phi-features across modules and interfaces / edited by Daniel Harbour, David Adger, and Susan Béjar.</t>
  </si>
  <si>
    <t>799428684:eng</t>
  </si>
  <si>
    <t>162126786</t>
  </si>
  <si>
    <t>ocn162126786</t>
  </si>
  <si>
    <t>3102854131R</t>
  </si>
  <si>
    <t>9780199213764</t>
  </si>
  <si>
    <t>794257180</t>
  </si>
  <si>
    <t>P151 R23 2011</t>
  </si>
  <si>
    <t>0                      P  0151000R  23          2011</t>
  </si>
  <si>
    <t>Grammatical framework : programming with multilingual grammars / Aarne Ranta.</t>
  </si>
  <si>
    <t>Ranta, Aarne.</t>
  </si>
  <si>
    <t>Stanford, Calif. : CSLI Publications, Center for the Study of Language and Information, 2011.</t>
  </si>
  <si>
    <t>CSLI studies in computational linguistics</t>
  </si>
  <si>
    <t>793085527:eng</t>
  </si>
  <si>
    <t>704121302</t>
  </si>
  <si>
    <t>ocn704121302</t>
  </si>
  <si>
    <t>31033632369</t>
  </si>
  <si>
    <t>9781575866277</t>
  </si>
  <si>
    <t>794865294</t>
  </si>
  <si>
    <t>P151 R25 1994</t>
  </si>
  <si>
    <t>0                      P  0151000R  25          1994</t>
  </si>
  <si>
    <t>Type-theoretical grammar / Aarne Ranta.</t>
  </si>
  <si>
    <t>Oxford ; New York : Clarendon Press, 1994.</t>
  </si>
  <si>
    <t>Indices ; 1</t>
  </si>
  <si>
    <t>2017-07-29</t>
  </si>
  <si>
    <t>19472921:eng</t>
  </si>
  <si>
    <t>31291468</t>
  </si>
  <si>
    <t>ocm31291468</t>
  </si>
  <si>
    <t>3102764259L</t>
  </si>
  <si>
    <t>9780198538578</t>
  </si>
  <si>
    <t>793357870</t>
  </si>
  <si>
    <t>P151 R45 2006</t>
  </si>
  <si>
    <t>0                      P  0151000R  45          2006</t>
  </si>
  <si>
    <t>Interface strategies : optimal and costly computations / Tanya Reinhart.</t>
  </si>
  <si>
    <t>Reinhart, Tanya.</t>
  </si>
  <si>
    <t>Linguistic inquiry monographs ; 45</t>
  </si>
  <si>
    <t>794133638:eng</t>
  </si>
  <si>
    <t>61362258</t>
  </si>
  <si>
    <t>ocm61362258</t>
  </si>
  <si>
    <t>3102585965X</t>
  </si>
  <si>
    <t>9780262182508</t>
  </si>
  <si>
    <t>793951816</t>
  </si>
  <si>
    <t>P151 S13 2012</t>
  </si>
  <si>
    <t>0                      P  0151000S  13          2012</t>
  </si>
  <si>
    <t>The modular architecture of grammar / Jerrold M. Sadock.</t>
  </si>
  <si>
    <t>Sadock, Jerrold M.</t>
  </si>
  <si>
    <t>Cambridge studies in linguistics ; v. 132</t>
  </si>
  <si>
    <t>9021545921:eng</t>
  </si>
  <si>
    <t>757133664</t>
  </si>
  <si>
    <t>ocn757133664</t>
  </si>
  <si>
    <t>31034095340</t>
  </si>
  <si>
    <t>9781107011946</t>
  </si>
  <si>
    <t>794895203</t>
  </si>
  <si>
    <t>P151 S15</t>
  </si>
  <si>
    <t>0                      P  0151000S  15</t>
  </si>
  <si>
    <t>Toward a linguistic theory of speech acts [by] Jerrold M. Sadock.</t>
  </si>
  <si>
    <t>New York, Academic Press [1974]</t>
  </si>
  <si>
    <t>2019-04-02</t>
  </si>
  <si>
    <t>2020960:eng</t>
  </si>
  <si>
    <t>1046121</t>
  </si>
  <si>
    <t>ocm01046121</t>
  </si>
  <si>
    <t>3102764278H</t>
  </si>
  <si>
    <t>9780126143508</t>
  </si>
  <si>
    <t>791532982</t>
  </si>
  <si>
    <t>P151 T75 2000</t>
  </si>
  <si>
    <t>0                      P  0151000T  75          2000</t>
  </si>
  <si>
    <t>Tree adjoining grammars : formalisms, linguistic analysis, and processing / edited by Anne Abeillé &amp; Owen Rambow.</t>
  </si>
  <si>
    <t>Stanford, Calif. : CSLI Publications, ©2000.</t>
  </si>
  <si>
    <t>CSLI lecture notes ; no. 107</t>
  </si>
  <si>
    <t>2015-07-08</t>
  </si>
  <si>
    <t>192151524:eng</t>
  </si>
  <si>
    <t>43953958</t>
  </si>
  <si>
    <t>ocm43953958</t>
  </si>
  <si>
    <t>3102764342K</t>
  </si>
  <si>
    <t>9781575862521</t>
  </si>
  <si>
    <t>793639594</t>
  </si>
  <si>
    <t>P151 U55 2005</t>
  </si>
  <si>
    <t>0                      P  0151000U  55          2005</t>
  </si>
  <si>
    <t>Universal grammar in the reconstruction of ancient languages / edited by Katalin É. Kiss.</t>
  </si>
  <si>
    <t>Studies in generative grammar ; 83</t>
  </si>
  <si>
    <t>2019-05-29</t>
  </si>
  <si>
    <t>45656152:eng</t>
  </si>
  <si>
    <t>61478751</t>
  </si>
  <si>
    <t>ocm61478751</t>
  </si>
  <si>
    <t>3102522726F</t>
  </si>
  <si>
    <t>9783110185508</t>
  </si>
  <si>
    <t>793953803</t>
  </si>
  <si>
    <t>P153 P5 1967</t>
  </si>
  <si>
    <t>0                      P  0153000P  5           1967</t>
  </si>
  <si>
    <t>Language in relation to a unified theory of the structure of human behavior, by Kenneth L. Pike.</t>
  </si>
  <si>
    <t>The Hague, Mouton, 1967.</t>
  </si>
  <si>
    <t>2d, rev. ed.</t>
  </si>
  <si>
    <t>Janua linguarum. Series maior ; 24</t>
  </si>
  <si>
    <t>103510620:eng</t>
  </si>
  <si>
    <t>308042</t>
  </si>
  <si>
    <t>ocm00308042</t>
  </si>
  <si>
    <t>3102764330M</t>
  </si>
  <si>
    <t>791331543</t>
  </si>
  <si>
    <t>P156 K45 2002</t>
  </si>
  <si>
    <t>0                      P  0156000K  45          2002</t>
  </si>
  <si>
    <t>The mirror of grammar : theology, philosophy, and the Modistae / L.G. Kelly.</t>
  </si>
  <si>
    <t>Kelly, L. G. (Louis G.)</t>
  </si>
  <si>
    <t>Amsterdam studies in the theory and history of linguistic science. Series III, Studies in the history of the language sciences ; v. 101</t>
  </si>
  <si>
    <t>793897038:eng</t>
  </si>
  <si>
    <t>49942693</t>
  </si>
  <si>
    <t>ocm49942693</t>
  </si>
  <si>
    <t>3102764309S</t>
  </si>
  <si>
    <t>9789027245908</t>
  </si>
  <si>
    <t>793751169</t>
  </si>
  <si>
    <t>P156 M37 1994</t>
  </si>
  <si>
    <t>0                      P  0156000M  37          1994</t>
  </si>
  <si>
    <t>Semiotica e linguaggio nella scolastica : Parigi, Bologna, Erfurt, 1270-1330 : la semiotica dei modisti / Costantino Marmo.</t>
  </si>
  <si>
    <t>Marmo, Costantino.</t>
  </si>
  <si>
    <t>Roma : Istituto storico italiano per il Medio evo, 1994.</t>
  </si>
  <si>
    <t>Nuovi studi storici, 0391-8475 ; 26</t>
  </si>
  <si>
    <t>2017-09-07</t>
  </si>
  <si>
    <t>889435847:ita</t>
  </si>
  <si>
    <t>31928976</t>
  </si>
  <si>
    <t>ocm31928976</t>
  </si>
  <si>
    <t>3102764308S</t>
  </si>
  <si>
    <t>793371451</t>
  </si>
  <si>
    <t>P157 G73 2001</t>
  </si>
  <si>
    <t>0                      P  0157000G  73          2001</t>
  </si>
  <si>
    <t>Grammar in early twentieth-century philosophy / edited by Richard Gaskin.</t>
  </si>
  <si>
    <t>Routledge studies in twentieth century philosophy ; 7</t>
  </si>
  <si>
    <t>1073274403:eng</t>
  </si>
  <si>
    <t>45209133</t>
  </si>
  <si>
    <t>ocm45209133</t>
  </si>
  <si>
    <t>3102764305S</t>
  </si>
  <si>
    <t>9780415224468</t>
  </si>
  <si>
    <t>793666927</t>
  </si>
  <si>
    <t>P157 L413</t>
  </si>
  <si>
    <t>0                      P  0157000L  413</t>
  </si>
  <si>
    <t>Formal grammars in linguistics and psycholinguistics, by W.J.M. Levelt. [Translation: Andrew Barnas].</t>
  </si>
  <si>
    <t>The Hague, Mouton, 1974.</t>
  </si>
  <si>
    <t>Janua linguarum. Series minor ; 192</t>
  </si>
  <si>
    <t>2003-04-28</t>
  </si>
  <si>
    <t>4758017803:eng</t>
  </si>
  <si>
    <t>1166296</t>
  </si>
  <si>
    <t>ocm01166296</t>
  </si>
  <si>
    <t>3102764307S</t>
  </si>
  <si>
    <t>791562298</t>
  </si>
  <si>
    <t>3102764302S</t>
  </si>
  <si>
    <t>791562296</t>
  </si>
  <si>
    <t>3000978245A</t>
  </si>
  <si>
    <t>791562295</t>
  </si>
  <si>
    <t>3102764303S</t>
  </si>
  <si>
    <t>791562297</t>
  </si>
  <si>
    <t>P158 C48 1982</t>
  </si>
  <si>
    <t>0                      P  0158000C  48          1982</t>
  </si>
  <si>
    <t>Lectures on government and binding : the Pisa lectures / Noam Chomsky.</t>
  </si>
  <si>
    <t>Dordrecht, the Netherlands : Foris Publications, 1982.</t>
  </si>
  <si>
    <t>Studies in generative grammar ; 9</t>
  </si>
  <si>
    <t>7424845:eng</t>
  </si>
  <si>
    <t>8247085</t>
  </si>
  <si>
    <t>ocm08247085</t>
  </si>
  <si>
    <t>3102740059G</t>
  </si>
  <si>
    <t>9789070176280</t>
  </si>
  <si>
    <t>792607816</t>
  </si>
  <si>
    <t>3102764370E</t>
  </si>
  <si>
    <t>792607814</t>
  </si>
  <si>
    <t>2013-03-15</t>
  </si>
  <si>
    <t>3102764371E</t>
  </si>
  <si>
    <t>792607815</t>
  </si>
  <si>
    <t>P158 C483 2000</t>
  </si>
  <si>
    <t>0                      P  0158000C  483         2000</t>
  </si>
  <si>
    <t>The architecture of language / Noam Chomsky ; edited by Nirmalangshu Mukherji, Bibudhendra Narayan Patnaik, Rama Kant Agnihotri.</t>
  </si>
  <si>
    <t>New Delhi ; New York : Oxford University Press, 2000.</t>
  </si>
  <si>
    <t>43198:eng</t>
  </si>
  <si>
    <t>43070141</t>
  </si>
  <si>
    <t>ocm43070141</t>
  </si>
  <si>
    <t>3102764366G</t>
  </si>
  <si>
    <t>9780195648348</t>
  </si>
  <si>
    <t>793619687</t>
  </si>
  <si>
    <t>3102941392K</t>
  </si>
  <si>
    <t>793619686</t>
  </si>
  <si>
    <t>P158 C485 1986</t>
  </si>
  <si>
    <t>0                      P  0158000C  485         1986</t>
  </si>
  <si>
    <t>Barriers / Noam Chomsky.</t>
  </si>
  <si>
    <t>Linguistic inquiry monographs ; 13</t>
  </si>
  <si>
    <t>874782:eng</t>
  </si>
  <si>
    <t>12969567</t>
  </si>
  <si>
    <t>ocm12969567</t>
  </si>
  <si>
    <t>3102764365G</t>
  </si>
  <si>
    <t>9780262530675</t>
  </si>
  <si>
    <t>792834972</t>
  </si>
  <si>
    <t>P158 C49 2004</t>
  </si>
  <si>
    <t>0                      P  0158000C  49          2004</t>
  </si>
  <si>
    <t>The generative enterprise revisited : discussions with Riny Huybregts, Henk van Riemsdijk, Naoki Fukui, and Mihoko Zushi, with a new foreword by Noam Chomsky / Noam Chomsky.</t>
  </si>
  <si>
    <t>Berlin ; New York : Mouton de Gruyter, ©2004.</t>
  </si>
  <si>
    <t>3858301793:eng</t>
  </si>
  <si>
    <t>54686138</t>
  </si>
  <si>
    <t>ocm54686138</t>
  </si>
  <si>
    <t>3102764361G</t>
  </si>
  <si>
    <t>9783110180015</t>
  </si>
  <si>
    <t>793865523</t>
  </si>
  <si>
    <t>P158 C5</t>
  </si>
  <si>
    <t>0                      P  0158000C  5</t>
  </si>
  <si>
    <t>The logical structure of linguistic theory / Noam Chomsky.</t>
  </si>
  <si>
    <t>New York : Plenum Press, ©1975.</t>
  </si>
  <si>
    <t>436231:eng</t>
  </si>
  <si>
    <t>1602298</t>
  </si>
  <si>
    <t>ocm01602298</t>
  </si>
  <si>
    <t>3000983094O</t>
  </si>
  <si>
    <t>9780306307607</t>
  </si>
  <si>
    <t>791775664</t>
  </si>
  <si>
    <t>P158 G56 2017</t>
  </si>
  <si>
    <t>0                      P  0158000G  56          2017</t>
  </si>
  <si>
    <t>Proceedings of GLOW in Asia XI : National University of Singpore, February 20-22, 2017 / edited by MIchael Yoshitaka Erlewine.</t>
  </si>
  <si>
    <t>GLOW in Asia (Organization). Conference (11th : 2017 : Singapore), issuing body.</t>
  </si>
  <si>
    <t>[Cambridge, Mass.] : MITWPL, 2017.</t>
  </si>
  <si>
    <t>MIT working papers in linguistics ; volume 84-85</t>
  </si>
  <si>
    <t>5090260410:eng</t>
  </si>
  <si>
    <t>1035017023</t>
  </si>
  <si>
    <t>on1035017023</t>
  </si>
  <si>
    <t>31036701624</t>
  </si>
  <si>
    <t>795057307</t>
  </si>
  <si>
    <t>3103670167V</t>
  </si>
  <si>
    <t>795057306</t>
  </si>
  <si>
    <t>P158 H83 1995</t>
  </si>
  <si>
    <t>0                      P  0158000H  83          1995</t>
  </si>
  <si>
    <t>Ideology and linguistic theory : Noam Chomsky and the deep structure debates / Geoffrey J. Huck and John A. Goldsmith.</t>
  </si>
  <si>
    <t>Huck, Geoffrey J., 1944-</t>
  </si>
  <si>
    <t>History of linguistic thought</t>
  </si>
  <si>
    <t>2015-06-28</t>
  </si>
  <si>
    <t>808167385:eng</t>
  </si>
  <si>
    <t>30734077</t>
  </si>
  <si>
    <t>ocm30734077</t>
  </si>
  <si>
    <t>3102764383C</t>
  </si>
  <si>
    <t>9780415117357</t>
  </si>
  <si>
    <t>793343448</t>
  </si>
  <si>
    <t>P158 L37 1990</t>
  </si>
  <si>
    <t>0                      P  0158000L  37          1990</t>
  </si>
  <si>
    <t>Essays on restrictiveness and learnability / Howard Lasnik.</t>
  </si>
  <si>
    <t>Lasnik, Howard, author.</t>
  </si>
  <si>
    <t>Dordrecht ; Boston : Kluwer Academic Publishers, [1990]</t>
  </si>
  <si>
    <t>Studies in natural language &amp; linguistic theory ; v. 20</t>
  </si>
  <si>
    <t>22044183:eng</t>
  </si>
  <si>
    <t>20754071</t>
  </si>
  <si>
    <t>ocm20754071</t>
  </si>
  <si>
    <t>3102764353I</t>
  </si>
  <si>
    <t>9780792306283</t>
  </si>
  <si>
    <t>793097494</t>
  </si>
  <si>
    <t>P158 L377 2000</t>
  </si>
  <si>
    <t>0                      P  0158000L  377         2000</t>
  </si>
  <si>
    <t>Syntactic structures revisited : contemporary lectures on classic transformational theory / Howard Lasnik with Marcela Depiante and Arthur Stepanov.</t>
  </si>
  <si>
    <t>Lasnik, Howard.</t>
  </si>
  <si>
    <t>Current studies in linguistics ; 33</t>
  </si>
  <si>
    <t>799538677:eng</t>
  </si>
  <si>
    <t>42009351</t>
  </si>
  <si>
    <t>ocm42009351</t>
  </si>
  <si>
    <t>3102764387C</t>
  </si>
  <si>
    <t>9780262122221</t>
  </si>
  <si>
    <t>793601090</t>
  </si>
  <si>
    <t>2009-06-18</t>
  </si>
  <si>
    <t>3102531432L</t>
  </si>
  <si>
    <t>793601089</t>
  </si>
  <si>
    <t>P158 L83 2011</t>
  </si>
  <si>
    <t>0                      P  0158000L  83          2011</t>
  </si>
  <si>
    <t>The philosophy of generative linguistics / Peter Ludlow.</t>
  </si>
  <si>
    <t>Ludlow, Peter, 1957-</t>
  </si>
  <si>
    <t>503316710:eng</t>
  </si>
  <si>
    <t>794553571</t>
  </si>
  <si>
    <t>ocn794553571</t>
  </si>
  <si>
    <t>3103234630E</t>
  </si>
  <si>
    <t>9780199258536</t>
  </si>
  <si>
    <t>794920000</t>
  </si>
  <si>
    <t>P158 M44 2010</t>
  </si>
  <si>
    <t>0                      P  0158000M  44          2010</t>
  </si>
  <si>
    <t>Scattered context grammars and their applications / A. Meduna &amp; J. Techet.</t>
  </si>
  <si>
    <t>Meduna, Alexander, 1957-</t>
  </si>
  <si>
    <t>Southampton, UK ; Boston : WIT, ©2010.</t>
  </si>
  <si>
    <t>2013-04-15</t>
  </si>
  <si>
    <t>306901294:eng</t>
  </si>
  <si>
    <t>419804466</t>
  </si>
  <si>
    <t>ocn419804466</t>
  </si>
  <si>
    <t>31031285920</t>
  </si>
  <si>
    <t>9781845644260</t>
  </si>
  <si>
    <t>794503378</t>
  </si>
  <si>
    <t>P158 P4537 2012</t>
  </si>
  <si>
    <t>0                      P  0158000P  4537        2012</t>
  </si>
  <si>
    <t>Phases : developing the framework / edited by Ángel J. Gallego ; foreword by Noam Chomsky.</t>
  </si>
  <si>
    <t>Studies in generative grammar, 0167-4331 ; 109</t>
  </si>
  <si>
    <t>1101332621:eng</t>
  </si>
  <si>
    <t>781673329</t>
  </si>
  <si>
    <t>ocn781673329</t>
  </si>
  <si>
    <t>3103413042W</t>
  </si>
  <si>
    <t>9783110264098</t>
  </si>
  <si>
    <t>794912989</t>
  </si>
  <si>
    <t>P158 R36 2008</t>
  </si>
  <si>
    <t>0                      P  0158000R  36          2008</t>
  </si>
  <si>
    <t>Verb meaning and the lexicon : a first-phase syntax / Gillian Catriona Ramchand.</t>
  </si>
  <si>
    <t>Ramchand, Gillian, 1965-</t>
  </si>
  <si>
    <t>Cambridge studies in linguistics ; 116</t>
  </si>
  <si>
    <t>796329877:eng</t>
  </si>
  <si>
    <t>183610385</t>
  </si>
  <si>
    <t>ocn183610385</t>
  </si>
  <si>
    <t>31028528618</t>
  </si>
  <si>
    <t>9780521842402</t>
  </si>
  <si>
    <t>794288279</t>
  </si>
  <si>
    <t>P158 R58 1998</t>
  </si>
  <si>
    <t>0                      P  0158000R  58          1998</t>
  </si>
  <si>
    <t>A descriptive approach to language-theoretic complexity / James Rogers.</t>
  </si>
  <si>
    <t>Rogers, James, 1953-</t>
  </si>
  <si>
    <t>Stanford, Calif. : CSLI Publications ; [Dordrecht?] : FoLLI, ©1998.</t>
  </si>
  <si>
    <t>Studies in logic, language and information</t>
  </si>
  <si>
    <t>644678:eng</t>
  </si>
  <si>
    <t>40199952</t>
  </si>
  <si>
    <t>ocm40199952</t>
  </si>
  <si>
    <t>3102764405P</t>
  </si>
  <si>
    <t>9781575861371</t>
  </si>
  <si>
    <t>793561772</t>
  </si>
  <si>
    <t>P158 T43 2012</t>
  </si>
  <si>
    <t>0                      P  0158000T  43          2012</t>
  </si>
  <si>
    <t>The Theta system : argument structure at the interface / edited by Martin Everaert, Marijana Marelj, Tal Siloni.</t>
  </si>
  <si>
    <t>Oxford studies in theoretical linguistics ; 37</t>
  </si>
  <si>
    <t>1107175299:eng</t>
  </si>
  <si>
    <t>759177635</t>
  </si>
  <si>
    <t>ocn759177635</t>
  </si>
  <si>
    <t>3103396795T</t>
  </si>
  <si>
    <t>9780199602513</t>
  </si>
  <si>
    <t>794897217</t>
  </si>
  <si>
    <t>P158.2 C6 1992</t>
  </si>
  <si>
    <t>0                      P  0158200C  6           1992</t>
  </si>
  <si>
    <t>A concise introduction to syntactic theory : the government-binding approach / Elizabeth A. Cowper.</t>
  </si>
  <si>
    <t>Cowper, Elizabeth A.</t>
  </si>
  <si>
    <t>2018-09-20</t>
  </si>
  <si>
    <t>25823498:eng</t>
  </si>
  <si>
    <t>23941952</t>
  </si>
  <si>
    <t>ocm23941952</t>
  </si>
  <si>
    <t>3102764428L</t>
  </si>
  <si>
    <t>9780226116440</t>
  </si>
  <si>
    <t>793185641</t>
  </si>
  <si>
    <t>P158.2 M59 2010</t>
  </si>
  <si>
    <t>0                      P  0158200M  59          2010</t>
  </si>
  <si>
    <t>Why agree? Why move? : unifying agreement-based and discourse-configurational languages / Shigeru Miyagawa.</t>
  </si>
  <si>
    <t>Miyagawa, Shigeru.</t>
  </si>
  <si>
    <t>Linguistic inquiry monograph ; 54</t>
  </si>
  <si>
    <t>2012-07-13</t>
  </si>
  <si>
    <t>803354027:eng</t>
  </si>
  <si>
    <t>318645825</t>
  </si>
  <si>
    <t>ocn318645825</t>
  </si>
  <si>
    <t>3103154872X</t>
  </si>
  <si>
    <t>9780262013611</t>
  </si>
  <si>
    <t>794482232</t>
  </si>
  <si>
    <t>P158.28 C47 1998</t>
  </si>
  <si>
    <t>0                      P  0158280C  47          1998</t>
  </si>
  <si>
    <t>Minimalist inquiries : the framework / by Noam Chomsky.</t>
  </si>
  <si>
    <t>Cambridge, MA : Distributed by MIT Working Papers in Linguistics, MIT, Dept. of Linguistics, 1998.</t>
  </si>
  <si>
    <t>MIT occasional papers in linguistics ; no. 15</t>
  </si>
  <si>
    <t>20894634:eng</t>
  </si>
  <si>
    <t>42833654</t>
  </si>
  <si>
    <t>ocm42833654</t>
  </si>
  <si>
    <t>3103523086D</t>
  </si>
  <si>
    <t>793615582</t>
  </si>
  <si>
    <t>P158.28 C52 1995</t>
  </si>
  <si>
    <t>0                      P  0158280C  52          1995</t>
  </si>
  <si>
    <t>The Minimalist program / Noam Chomsky.</t>
  </si>
  <si>
    <t>Cambridge, Mass. : The MIT Press, ©1995.</t>
  </si>
  <si>
    <t>Current studies in linguistics ; 28</t>
  </si>
  <si>
    <t>36773055:eng</t>
  </si>
  <si>
    <t>32627360</t>
  </si>
  <si>
    <t>ocm32627360</t>
  </si>
  <si>
    <t>3102764422L</t>
  </si>
  <si>
    <t>9780262032292</t>
  </si>
  <si>
    <t>793390470</t>
  </si>
  <si>
    <t>3102764417N</t>
  </si>
  <si>
    <t>793390469</t>
  </si>
  <si>
    <t>P158.28 D47 2002</t>
  </si>
  <si>
    <t>0                      P  0158280D  47          2002</t>
  </si>
  <si>
    <t>Derivation and explanation in the Minimalist Program / edited by Samuel David Epstein and T. Daniel Seely.</t>
  </si>
  <si>
    <t>Generative syntax ; 6</t>
  </si>
  <si>
    <t>766020018:eng</t>
  </si>
  <si>
    <t>49495011</t>
  </si>
  <si>
    <t>ocm49495011</t>
  </si>
  <si>
    <t>3102764412N</t>
  </si>
  <si>
    <t>9780631227328</t>
  </si>
  <si>
    <t>793741183</t>
  </si>
  <si>
    <t>P158.28 G35 2010</t>
  </si>
  <si>
    <t>0                      P  0158280G  35          2010</t>
  </si>
  <si>
    <t>Phase theory / Ángel J. Gallego.</t>
  </si>
  <si>
    <t>Gallego, Ángel J.</t>
  </si>
  <si>
    <t>Linguistik aktuell = Linguistics today, 0166-0829 ; v. 152</t>
  </si>
  <si>
    <t>361059330:eng</t>
  </si>
  <si>
    <t>482630802</t>
  </si>
  <si>
    <t>ocn482630802</t>
  </si>
  <si>
    <t>3103241834F</t>
  </si>
  <si>
    <t>9789027255358</t>
  </si>
  <si>
    <t>794799306</t>
  </si>
  <si>
    <t>P158.28 L38 2003</t>
  </si>
  <si>
    <t>0                      P  0158280L  38          2003</t>
  </si>
  <si>
    <t>Minimalist investigations in linguistic theory / Howard Lasnik.</t>
  </si>
  <si>
    <t>Routledge leading linguists ; 8</t>
  </si>
  <si>
    <t>1013186:eng</t>
  </si>
  <si>
    <t>50410446</t>
  </si>
  <si>
    <t>ocm50410446</t>
  </si>
  <si>
    <t>3102711075N</t>
  </si>
  <si>
    <t>9780415181945</t>
  </si>
  <si>
    <t>793764482</t>
  </si>
  <si>
    <t>P158.28 O94 2011</t>
  </si>
  <si>
    <t>0                      P  0158280O  94          2011</t>
  </si>
  <si>
    <t>The Oxford handbook of linguistic minimalism / edited by Cedric Boeckx.</t>
  </si>
  <si>
    <t>2017-12-08</t>
  </si>
  <si>
    <t>628630937:eng</t>
  </si>
  <si>
    <t>663438391</t>
  </si>
  <si>
    <t>ocn663438391</t>
  </si>
  <si>
    <t>3103234199H</t>
  </si>
  <si>
    <t>9780199549368</t>
  </si>
  <si>
    <t>794837883</t>
  </si>
  <si>
    <t>P158.28 S38 2010</t>
  </si>
  <si>
    <t>0                      P  0158280S  38          2010</t>
  </si>
  <si>
    <t>Minimalist interfaces : evidence from Indonesian and Javanese / Yosuke Sato.</t>
  </si>
  <si>
    <t>Sato, Yosuke, 1978-</t>
  </si>
  <si>
    <t>Linguistik aktuell = Linguistics today, 0166-0829 ; v. 155</t>
  </si>
  <si>
    <t>796339284:eng</t>
  </si>
  <si>
    <t>502676492</t>
  </si>
  <si>
    <t>ocn502676492</t>
  </si>
  <si>
    <t>3103313561J</t>
  </si>
  <si>
    <t>9789027255389</t>
  </si>
  <si>
    <t>794805950</t>
  </si>
  <si>
    <t>P158.28 S74 2000</t>
  </si>
  <si>
    <t>0                      P  0158280S  74          2000</t>
  </si>
  <si>
    <t>Step by step : essays on minimalist syntax in honor of Howard Lasnik / edited by Roger Martin, David Michaels, and Juan Uriagereka.</t>
  </si>
  <si>
    <t>799882383:eng</t>
  </si>
  <si>
    <t>42780781</t>
  </si>
  <si>
    <t>ocm42780781</t>
  </si>
  <si>
    <t>3102764478B</t>
  </si>
  <si>
    <t>9780262133616</t>
  </si>
  <si>
    <t>793614234</t>
  </si>
  <si>
    <t>P158.28 U75 2012</t>
  </si>
  <si>
    <t>0                      P  0158280U  75          2012</t>
  </si>
  <si>
    <t>Spell-out and the minimalist program / Juan Uriagereka.</t>
  </si>
  <si>
    <t>Uriagereka, Juan.</t>
  </si>
  <si>
    <t>1009091119:eng</t>
  </si>
  <si>
    <t>751726103</t>
  </si>
  <si>
    <t>ocn751726103</t>
  </si>
  <si>
    <t>3103409723X</t>
  </si>
  <si>
    <t>9780199593521</t>
  </si>
  <si>
    <t>794890661</t>
  </si>
  <si>
    <t>P158.3 A34 2013</t>
  </si>
  <si>
    <t>0                      P  0158300A  34          2013</t>
  </si>
  <si>
    <t>A syntax of substance / David Adger.</t>
  </si>
  <si>
    <t>Adger, David.</t>
  </si>
  <si>
    <t>Cambridge, Mass. : The MIT Press, ©2013.</t>
  </si>
  <si>
    <t>Linguistic inquiry monographs ; 64</t>
  </si>
  <si>
    <t>1117969091:eng</t>
  </si>
  <si>
    <t>794603954</t>
  </si>
  <si>
    <t>ocn794603954</t>
  </si>
  <si>
    <t>3103469107P</t>
  </si>
  <si>
    <t>9780262018616</t>
  </si>
  <si>
    <t>794920154</t>
  </si>
  <si>
    <t>P158.3 C46 1994</t>
  </si>
  <si>
    <t>0                      P  0158300C  46          1994</t>
  </si>
  <si>
    <t>Bare phrase structure / by Noam Chomsky.</t>
  </si>
  <si>
    <t>Cambridge, MA : Distributed by MIT Working Papers in Linguistics, 1994.</t>
  </si>
  <si>
    <t>MIT occasional papers in linguistics ; no. 5</t>
  </si>
  <si>
    <t>33795546:eng</t>
  </si>
  <si>
    <t>31712986</t>
  </si>
  <si>
    <t>ocm31712986</t>
  </si>
  <si>
    <t>3102764479B</t>
  </si>
  <si>
    <t>793366426</t>
  </si>
  <si>
    <t>P158.3 C46 1999</t>
  </si>
  <si>
    <t>0                      P  0158300C  46          1999</t>
  </si>
  <si>
    <t>Derivation by phase.</t>
  </si>
  <si>
    <t>Cambridge, MA : MIT Working Papers in Linguistics, 1999.</t>
  </si>
  <si>
    <t>MIT occasional papers in linguistics ; no. 18</t>
  </si>
  <si>
    <t>35786905:eng</t>
  </si>
  <si>
    <t>45884722</t>
  </si>
  <si>
    <t>ocm45884722</t>
  </si>
  <si>
    <t>3103507790L</t>
  </si>
  <si>
    <t>793680490</t>
  </si>
  <si>
    <t>P158.3 U72 1994</t>
  </si>
  <si>
    <t>0                      P  0158300U  72          1994</t>
  </si>
  <si>
    <t>Varieties of raising and the feature-based bare phrase structure theory / by Hiroyuki Ura.</t>
  </si>
  <si>
    <t>Ura, Hiroyuki.</t>
  </si>
  <si>
    <t>MIT occasional papers in linguistics ; no. 7</t>
  </si>
  <si>
    <t>39329142:eng</t>
  </si>
  <si>
    <t>33880115</t>
  </si>
  <si>
    <t>ocm33880115</t>
  </si>
  <si>
    <t>31034848672</t>
  </si>
  <si>
    <t>793413040</t>
  </si>
  <si>
    <t>P158.4 G73 2000</t>
  </si>
  <si>
    <t>0                      P  0158400G  73          2000</t>
  </si>
  <si>
    <t>Grammatical interfaces in HPSG / edited by Ronnie Cann, Claire Grover &amp; Philip Miller.</t>
  </si>
  <si>
    <t>Studies in constraint-based lexicalism</t>
  </si>
  <si>
    <t>475892505:eng</t>
  </si>
  <si>
    <t>45505883</t>
  </si>
  <si>
    <t>ocm45505883</t>
  </si>
  <si>
    <t>3102764470B</t>
  </si>
  <si>
    <t>9781575863139</t>
  </si>
  <si>
    <t>793673029</t>
  </si>
  <si>
    <t>P158.4 P65 1994</t>
  </si>
  <si>
    <t>0                      P  0158400P  65          1994</t>
  </si>
  <si>
    <t>Head-driven phrase structure grammar / Carl Pollard and Ivan A. Sag.</t>
  </si>
  <si>
    <t>Pollard, Carl Jesse.</t>
  </si>
  <si>
    <t>Stanford : Center for the Study of Language and Information ; Chicago : University of Chicago Press, 1994.</t>
  </si>
  <si>
    <t>Studies in contemporary linguistics</t>
  </si>
  <si>
    <t>143807205:eng</t>
  </si>
  <si>
    <t>27974152</t>
  </si>
  <si>
    <t>ocm27974152</t>
  </si>
  <si>
    <t>3102764461D</t>
  </si>
  <si>
    <t>9780226674469</t>
  </si>
  <si>
    <t>793276542</t>
  </si>
  <si>
    <t>P158.4 R63 2010</t>
  </si>
  <si>
    <t>0                      P  0158400R  63          2010</t>
  </si>
  <si>
    <t>Agreement and head movement : clitics, incorporation, and defective goals / Ian Roberts.</t>
  </si>
  <si>
    <t>Roberts, Ian G.</t>
  </si>
  <si>
    <t>Linguistic inquiry monographs ; 59</t>
  </si>
  <si>
    <t>2018-01-24</t>
  </si>
  <si>
    <t>793505277:eng</t>
  </si>
  <si>
    <t>477272494</t>
  </si>
  <si>
    <t>ocn477272494</t>
  </si>
  <si>
    <t>31032294551</t>
  </si>
  <si>
    <t>9780262014304</t>
  </si>
  <si>
    <t>794798949</t>
  </si>
  <si>
    <t>P158.42 K35 1999</t>
  </si>
  <si>
    <t>0                      P  0158420K  35          1999</t>
  </si>
  <si>
    <t>Optimality theory / René Kager.</t>
  </si>
  <si>
    <t>mm</t>
  </si>
  <si>
    <t>Kager, René.</t>
  </si>
  <si>
    <t>15832178:eng</t>
  </si>
  <si>
    <t>39700537</t>
  </si>
  <si>
    <t>ocm39700537</t>
  </si>
  <si>
    <t>B001628226</t>
  </si>
  <si>
    <t>9780521580199</t>
  </si>
  <si>
    <t>793551321</t>
  </si>
  <si>
    <t>3103699883M</t>
  </si>
  <si>
    <t>793551322</t>
  </si>
  <si>
    <t>P158.42 L56 2013</t>
  </si>
  <si>
    <t>0                      P  0158420L  56          2013</t>
  </si>
  <si>
    <t>Linguistic derivations and filtering : minimalism and optimality theory / edited by Hans Broekhuis and Ralf Vogel.</t>
  </si>
  <si>
    <t>Sheffield ; Oakville : Equinox, 2013.</t>
  </si>
  <si>
    <t>Advances in Optimality Theory</t>
  </si>
  <si>
    <t>908663239:eng</t>
  </si>
  <si>
    <t>730054568</t>
  </si>
  <si>
    <t>ocn730054568</t>
  </si>
  <si>
    <t>3103500092X</t>
  </si>
  <si>
    <t>9781845539641</t>
  </si>
  <si>
    <t>794879857</t>
  </si>
  <si>
    <t>P158.42 M429 2008</t>
  </si>
  <si>
    <t>0                      P  0158420M  429         2008</t>
  </si>
  <si>
    <t>Doing optimality theory : applying theory to data / John J. McCarthy.</t>
  </si>
  <si>
    <t>McCarthy, John J., 1953-</t>
  </si>
  <si>
    <t>Malden, MA ; Oxford : Blackwell Pub., 2008.</t>
  </si>
  <si>
    <t>800414028:eng</t>
  </si>
  <si>
    <t>184925158</t>
  </si>
  <si>
    <t>ocn184925158</t>
  </si>
  <si>
    <t>31028853008</t>
  </si>
  <si>
    <t>9781405151351</t>
  </si>
  <si>
    <t>794291532</t>
  </si>
  <si>
    <t>P158.42 T47 2000</t>
  </si>
  <si>
    <t>0                      P  0158420T  47          2000</t>
  </si>
  <si>
    <t>Learnability in optimality theory / Bruce Tesar and Paul Smolensky.</t>
  </si>
  <si>
    <t>Tesar, Bruce.</t>
  </si>
  <si>
    <t>994366:eng</t>
  </si>
  <si>
    <t>42812965</t>
  </si>
  <si>
    <t>ocm42812965</t>
  </si>
  <si>
    <t>3102764441H</t>
  </si>
  <si>
    <t>9780262201261</t>
  </si>
  <si>
    <t>793615088</t>
  </si>
  <si>
    <t>P158.5 E95 2015</t>
  </si>
  <si>
    <t>0                      P  0158500E  95          2015</t>
  </si>
  <si>
    <t>Predicative constructions : from the Fregean to a Montagovian treatment / Frank Van Eynde.</t>
  </si>
  <si>
    <t>Eynde, F. van, author.</t>
  </si>
  <si>
    <t>Stanford, California : Center for the Study of Language and Information, [2015]</t>
  </si>
  <si>
    <t>Studies in Constraint-based Lexicalism</t>
  </si>
  <si>
    <t>2570468979:eng</t>
  </si>
  <si>
    <t>891615759</t>
  </si>
  <si>
    <t>ocn891615759</t>
  </si>
  <si>
    <t>3103610779$</t>
  </si>
  <si>
    <t>9781575868370</t>
  </si>
  <si>
    <t>794980328</t>
  </si>
  <si>
    <t>P158.6 G37 2017</t>
  </si>
  <si>
    <t>0                      P  0158600G  37          2017</t>
  </si>
  <si>
    <t>An introduction to relational network theory : history, principles, and descriptive applications / Adolfo M. Garcia, William J. Sullivan, and Sarah Tsiang ; foreword by M.A.K. Halliday.</t>
  </si>
  <si>
    <t>Garcia, Adolfo Martín, author.</t>
  </si>
  <si>
    <t>4096571327:eng</t>
  </si>
  <si>
    <t>974910855</t>
  </si>
  <si>
    <t>ocn974910855</t>
  </si>
  <si>
    <t>3103704975F</t>
  </si>
  <si>
    <t>9781781792605</t>
  </si>
  <si>
    <t>795029892</t>
  </si>
  <si>
    <t>P160 P48 1982</t>
  </si>
  <si>
    <t>0                      P  0160000P  48          1982</t>
  </si>
  <si>
    <t>Linguistic concepts : an introduction to tagmemics / Kenneth L. Pike.</t>
  </si>
  <si>
    <t>Lincoln : University of Nebraska Press, ©1982.</t>
  </si>
  <si>
    <t>2018-11-01</t>
  </si>
  <si>
    <t>196513630:eng</t>
  </si>
  <si>
    <t>7998341</t>
  </si>
  <si>
    <t>ocm07998341</t>
  </si>
  <si>
    <t>3102764439J</t>
  </si>
  <si>
    <t>9780803236646</t>
  </si>
  <si>
    <t>792592201</t>
  </si>
  <si>
    <t>P160 P54 1983</t>
  </si>
  <si>
    <t>0                      P  0160000P  54          1983</t>
  </si>
  <si>
    <t>Text and tagmeme / Kenneth L. Pike and Evelyn G. Pike.</t>
  </si>
  <si>
    <t>Norwood, N.J. : Ablex Pub. Corp., 1983.</t>
  </si>
  <si>
    <t>103515354:eng</t>
  </si>
  <si>
    <t>9783959</t>
  </si>
  <si>
    <t>ocm09783959</t>
  </si>
  <si>
    <t>3102764473B</t>
  </si>
  <si>
    <t>9780893912109</t>
  </si>
  <si>
    <t>792693330</t>
  </si>
  <si>
    <t>P161 C38 1988</t>
  </si>
  <si>
    <t>0                      P  0161000C  38          1988</t>
  </si>
  <si>
    <t>Categorial grammar / edited by Wojciech Buszkowski, Witold Marciszewski, Johan van Benthem.</t>
  </si>
  <si>
    <t>Amsterdam ; Philadelphia : Benjamins, 1988.</t>
  </si>
  <si>
    <t>Linguistic &amp; literary studies in Eastern Europe ; v. 25</t>
  </si>
  <si>
    <t>352255697:eng</t>
  </si>
  <si>
    <t>17441586</t>
  </si>
  <si>
    <t>ocm17441586</t>
  </si>
  <si>
    <t>3102764438J</t>
  </si>
  <si>
    <t>9789027215307</t>
  </si>
  <si>
    <t>792991411</t>
  </si>
  <si>
    <t>P161 M66 1988</t>
  </si>
  <si>
    <t>0                      P  0161000M  66          1988</t>
  </si>
  <si>
    <t>Categorial investigations : logical and linguistic aspects of the Lambek calculus / Michael Moortgat.</t>
  </si>
  <si>
    <t>Moortgat, Michael.</t>
  </si>
  <si>
    <t>Dordrecht, Holland ; Providence, RI, U.S.A. : Foris Publications, 1988.</t>
  </si>
  <si>
    <t>Groningen-Amsterdam studies in semantics ; 9</t>
  </si>
  <si>
    <t>232853971:eng</t>
  </si>
  <si>
    <t>20608436</t>
  </si>
  <si>
    <t>ocm20608436</t>
  </si>
  <si>
    <t>3102764442H</t>
  </si>
  <si>
    <t>9789067653879</t>
  </si>
  <si>
    <t>793092746</t>
  </si>
  <si>
    <t>P161 M665 2011</t>
  </si>
  <si>
    <t>0                      P  0161000M  665         2011</t>
  </si>
  <si>
    <t>Categorial grammar : logical syntax, semantics, and processing / Glyn V. Morrill.</t>
  </si>
  <si>
    <t>Morrill, Glyn V.</t>
  </si>
  <si>
    <t>792489747:eng</t>
  </si>
  <si>
    <t>693751134</t>
  </si>
  <si>
    <t>ocn693751134</t>
  </si>
  <si>
    <t>3103230115C</t>
  </si>
  <si>
    <t>9780199589869</t>
  </si>
  <si>
    <t>794856707</t>
  </si>
  <si>
    <t>P161 S74 1996</t>
  </si>
  <si>
    <t>0                      P  0161000S  74          1996</t>
  </si>
  <si>
    <t>Surface structure and interpretation / Mark Steedman.</t>
  </si>
  <si>
    <t>Steedman, Mark.</t>
  </si>
  <si>
    <t>Linguistic inquiry monographs ; 30</t>
  </si>
  <si>
    <t>20825489:eng</t>
  </si>
  <si>
    <t>35029761</t>
  </si>
  <si>
    <t>ocm35029761</t>
  </si>
  <si>
    <t>3102764437J</t>
  </si>
  <si>
    <t>9780262193795</t>
  </si>
  <si>
    <t>793442166</t>
  </si>
  <si>
    <t>P163 S26 2010</t>
  </si>
  <si>
    <t>0                      P  0163000S  26          2010</t>
  </si>
  <si>
    <t>Framing : from grammar to application / Paul Sambre and Cornelia Wermuth.</t>
  </si>
  <si>
    <t>Sambre, Paul.</t>
  </si>
  <si>
    <t>Amsterdam : Benjamins, 2010.</t>
  </si>
  <si>
    <t>Belgian journal of linguistics ; 24</t>
  </si>
  <si>
    <t>687609378:eng</t>
  </si>
  <si>
    <t>671701863</t>
  </si>
  <si>
    <t>ocn671701863</t>
  </si>
  <si>
    <t>3103313604S</t>
  </si>
  <si>
    <t>9789027226846</t>
  </si>
  <si>
    <t>794849041</t>
  </si>
  <si>
    <t>P163.5 C665 2010</t>
  </si>
  <si>
    <t>0                      P  0163500C  665         2010</t>
  </si>
  <si>
    <t>Contrastive studies in construction grammar / edited by Hans C. Boas.</t>
  </si>
  <si>
    <t>Constructional approaches to language ; v. 10</t>
  </si>
  <si>
    <t>574177416:eng</t>
  </si>
  <si>
    <t>656850270</t>
  </si>
  <si>
    <t>ocn656850270</t>
  </si>
  <si>
    <t>31033129867</t>
  </si>
  <si>
    <t>9789027204325</t>
  </si>
  <si>
    <t>794835166</t>
  </si>
  <si>
    <t>P163.5 D47 2011</t>
  </si>
  <si>
    <t>0                      P  0163500D  47          2011</t>
  </si>
  <si>
    <t>Design patterns in fluid construction grammar / edited by Luc Steels.</t>
  </si>
  <si>
    <t>Constructional approaches to language ; v. 11</t>
  </si>
  <si>
    <t>1022036290:eng</t>
  </si>
  <si>
    <t>756837072</t>
  </si>
  <si>
    <t>ocn756837072</t>
  </si>
  <si>
    <t>3103405029X</t>
  </si>
  <si>
    <t>9789027204332</t>
  </si>
  <si>
    <t>794894996</t>
  </si>
  <si>
    <t>P163.5 S54 2012</t>
  </si>
  <si>
    <t>0                      P  0163500S  54          2012</t>
  </si>
  <si>
    <t>Sign-based construction grammar / edited by Hans C. Boas, Ivan A. Sag.</t>
  </si>
  <si>
    <t>Stanford, Calif. : CSLI Publications/Center for the Study of Language and Information, ©2012.</t>
  </si>
  <si>
    <t>CSLI lecture notes ; number 193</t>
  </si>
  <si>
    <t>894532652:eng</t>
  </si>
  <si>
    <t>719427874</t>
  </si>
  <si>
    <t>ocn719427874</t>
  </si>
  <si>
    <t>3103454290T</t>
  </si>
  <si>
    <t>9781575866291</t>
  </si>
  <si>
    <t>794874519</t>
  </si>
  <si>
    <t>P165 A37 2010</t>
  </si>
  <si>
    <t>0                      P  0165000A  37          2010</t>
  </si>
  <si>
    <t>Advances in cognitive sociolinguistics / edited by Dirk Geeraerts, Gitte Kristiansen, Yves Peirsman.</t>
  </si>
  <si>
    <t>New York, N.Y. : Mouton de Gruyter, ©2010.</t>
  </si>
  <si>
    <t>Cognitive linguistics research ; 45</t>
  </si>
  <si>
    <t>3859120743:eng</t>
  </si>
  <si>
    <t>502304727</t>
  </si>
  <si>
    <t>ocn502304727</t>
  </si>
  <si>
    <t>3103231609W</t>
  </si>
  <si>
    <t>9783110226454</t>
  </si>
  <si>
    <t>794805620</t>
  </si>
  <si>
    <t>P165 C639 2018</t>
  </si>
  <si>
    <t>0                      P  0165000C  639         2018</t>
  </si>
  <si>
    <t>Cognitive grammar in stylistics : a practical guide / Marcello Giovanelli and Chloe Harrison.</t>
  </si>
  <si>
    <t>Giovanelli, Marcello, author.</t>
  </si>
  <si>
    <t>London : Bloomsbury Academic, 2018.</t>
  </si>
  <si>
    <t>4762634648:eng</t>
  </si>
  <si>
    <t>1006301926</t>
  </si>
  <si>
    <t>on1006301926</t>
  </si>
  <si>
    <t>3103809820C</t>
  </si>
  <si>
    <t>9781474298919</t>
  </si>
  <si>
    <t>795042939</t>
  </si>
  <si>
    <t>P165 C6424 2006</t>
  </si>
  <si>
    <t>0                      P  0165000C  6424        2006</t>
  </si>
  <si>
    <t>Cognitive linguistics : basic readings / edited by Dirk Geeraerts.</t>
  </si>
  <si>
    <t>Cognitive linguistics research ; 34</t>
  </si>
  <si>
    <t>116369360:eng</t>
  </si>
  <si>
    <t>70687429</t>
  </si>
  <si>
    <t>ocm70687429</t>
  </si>
  <si>
    <t>3102636920J</t>
  </si>
  <si>
    <t>9783110190847</t>
  </si>
  <si>
    <t>794157746</t>
  </si>
  <si>
    <t>P165 C644 2010</t>
  </si>
  <si>
    <t>0                      P  0165000C  644         2010</t>
  </si>
  <si>
    <t>Cognitive linguistics in action : from theory to application and back / edited by Elżbieta Tabakowska, Michał Choiński, Łukasz Wiraszka.</t>
  </si>
  <si>
    <t>Berlin ; New York : Mouton de Gruyter, ©2010.</t>
  </si>
  <si>
    <t>Applications of cognitive linguistics ; 14</t>
  </si>
  <si>
    <t>1044437243:eng</t>
  </si>
  <si>
    <t>653483728</t>
  </si>
  <si>
    <t>ocn653483728</t>
  </si>
  <si>
    <t>3103236179D</t>
  </si>
  <si>
    <t>9783110205817</t>
  </si>
  <si>
    <t>794833826</t>
  </si>
  <si>
    <t>P165 D58 2010</t>
  </si>
  <si>
    <t>0                      P  0165000D  58          2010</t>
  </si>
  <si>
    <t>Structuring the lexicon : a clustered model for near-synonymy / by Dagmar Divjak.</t>
  </si>
  <si>
    <t>Divjak, Dagmar.</t>
  </si>
  <si>
    <t>Cognitive linguistics research ; 43</t>
  </si>
  <si>
    <t>796000388:eng</t>
  </si>
  <si>
    <t>613994849</t>
  </si>
  <si>
    <t>ocn613994849</t>
  </si>
  <si>
    <t>3103323249R</t>
  </si>
  <si>
    <t>9783110220582</t>
  </si>
  <si>
    <t>794822423</t>
  </si>
  <si>
    <t>P165 E93 2006</t>
  </si>
  <si>
    <t>0                      P  0165000E  93          2006</t>
  </si>
  <si>
    <t>Cognitive linguistics : an introduction / Vyvyan Evans and Melanie Green.</t>
  </si>
  <si>
    <t>Mahwah, N.J. : L. Erlbaum, 2006.</t>
  </si>
  <si>
    <t>801792913:eng</t>
  </si>
  <si>
    <t>69171708</t>
  </si>
  <si>
    <t>ocm69171708</t>
  </si>
  <si>
    <t>3102589984D</t>
  </si>
  <si>
    <t>9780805860146</t>
  </si>
  <si>
    <t>794145480</t>
  </si>
  <si>
    <t>P165 F73 1996</t>
  </si>
  <si>
    <t>0                      P  0165000F  73          1996</t>
  </si>
  <si>
    <t>Construal / Lyn Frazier and Charles Clifton, Jr.</t>
  </si>
  <si>
    <t>Frazier, Lyn, 1952-</t>
  </si>
  <si>
    <t>Cambridge, Mass. : MIT Press, 1996.</t>
  </si>
  <si>
    <t>1082158:eng</t>
  </si>
  <si>
    <t>32625134</t>
  </si>
  <si>
    <t>ocm32625134</t>
  </si>
  <si>
    <t>3102764518K</t>
  </si>
  <si>
    <t>9780262061797</t>
  </si>
  <si>
    <t>793390216</t>
  </si>
  <si>
    <t>P165 F76 2005</t>
  </si>
  <si>
    <t>0                      P  0165000F  76          2005</t>
  </si>
  <si>
    <t>From perception to meaning : image schemas in cognitive linguistics / edited by Beate Hampe in cooperation with Joseph E. Grady.</t>
  </si>
  <si>
    <t>Cognitive linguistics research ; 29</t>
  </si>
  <si>
    <t>794179056:eng</t>
  </si>
  <si>
    <t>62281391</t>
  </si>
  <si>
    <t>ocm62281391</t>
  </si>
  <si>
    <t>31025839428</t>
  </si>
  <si>
    <t>9783110183115</t>
  </si>
  <si>
    <t>794103289</t>
  </si>
  <si>
    <t>P165 G73 2010</t>
  </si>
  <si>
    <t>0                      P  0165000G  73          2010</t>
  </si>
  <si>
    <t>Grandes voies et chemins de traverse de la sémantique cognitive.</t>
  </si>
  <si>
    <t>Leuven [Belgium] : Peeters, 2010.</t>
  </si>
  <si>
    <t>Mémoires de la Société de Linguistique de Paris ; nouv. sér., t. 18</t>
  </si>
  <si>
    <t>503787013:fre</t>
  </si>
  <si>
    <t>642844673</t>
  </si>
  <si>
    <t>ocn642844673</t>
  </si>
  <si>
    <t>3103355938M</t>
  </si>
  <si>
    <t>9789042923553</t>
  </si>
  <si>
    <t>794828463</t>
  </si>
  <si>
    <t>P165 H36 2008</t>
  </si>
  <si>
    <t>0                      P  0165000H  36          2008</t>
  </si>
  <si>
    <t>Handbook of cognitive linguistics and second language acquisition / edited by Peter Robinson and Nick C. Ellis.</t>
  </si>
  <si>
    <t>899825138:eng</t>
  </si>
  <si>
    <t>154308889</t>
  </si>
  <si>
    <t>ocn154308889</t>
  </si>
  <si>
    <t>31028845310</t>
  </si>
  <si>
    <t>9780805853513</t>
  </si>
  <si>
    <t>794251602</t>
  </si>
  <si>
    <t>P165 H37 2010</t>
  </si>
  <si>
    <t>0                      P  0165000H  37          2010</t>
  </si>
  <si>
    <t>Meaning in mind and society : a functional contribution to the social turn in cognitive linguistics / by Peter Harder.</t>
  </si>
  <si>
    <t>Harder, Peter, 1954-</t>
  </si>
  <si>
    <t>Cognitive linguistics research, 1861-4132 ; 41</t>
  </si>
  <si>
    <t>892117696:eng</t>
  </si>
  <si>
    <t>614990433</t>
  </si>
  <si>
    <t>ocn614990433</t>
  </si>
  <si>
    <t>3103236127N</t>
  </si>
  <si>
    <t>9783110205107</t>
  </si>
  <si>
    <t>794822685</t>
  </si>
  <si>
    <t>P165 I59 2006</t>
  </si>
  <si>
    <t>0                      P  0165000I  59          2006</t>
  </si>
  <si>
    <t>An introduction to cognitive linguistics / Friedrich Ungerer, Hans-Jörg Schmid.</t>
  </si>
  <si>
    <t>New York : Longman, 2006.</t>
  </si>
  <si>
    <t>2016-09-11</t>
  </si>
  <si>
    <t>26685573:eng</t>
  </si>
  <si>
    <t>64771033</t>
  </si>
  <si>
    <t>ocm64771033</t>
  </si>
  <si>
    <t>3102594090G</t>
  </si>
  <si>
    <t>9780582784963</t>
  </si>
  <si>
    <t>794131785</t>
  </si>
  <si>
    <t>P165 L345 2008</t>
  </si>
  <si>
    <t>0                      P  0165000L  345         2008</t>
  </si>
  <si>
    <t>Cognitive grammar : a basic introduction / Ronald W. Langacker.</t>
  </si>
  <si>
    <t>Langacker, Ronald W., author.</t>
  </si>
  <si>
    <t>316032411:eng</t>
  </si>
  <si>
    <t>85830762</t>
  </si>
  <si>
    <t>ocm85830762</t>
  </si>
  <si>
    <t>31026502923</t>
  </si>
  <si>
    <t>9780195331967</t>
  </si>
  <si>
    <t>794216791</t>
  </si>
  <si>
    <t>P165 L36 1987</t>
  </si>
  <si>
    <t>0                      P  0165000L  36          1987</t>
  </si>
  <si>
    <t>Foundations of cognitive grammar / Ronald W. Langacker.</t>
  </si>
  <si>
    <t>Langacker, Ronald W.</t>
  </si>
  <si>
    <t>Stanford, Calif. : Stanford University Press, 1987-1991.</t>
  </si>
  <si>
    <t>3373178965:eng</t>
  </si>
  <si>
    <t>13859017</t>
  </si>
  <si>
    <t>ocm13859017</t>
  </si>
  <si>
    <t>31027644987</t>
  </si>
  <si>
    <t>9780804712613</t>
  </si>
  <si>
    <t>792869461</t>
  </si>
  <si>
    <t>31027644937</t>
  </si>
  <si>
    <t>792869460</t>
  </si>
  <si>
    <t>P165 L365 2009</t>
  </si>
  <si>
    <t>0                      P  0165000L  365         2009</t>
  </si>
  <si>
    <t>Investigations in cognitive grammar / by Ronald W. Langacker.</t>
  </si>
  <si>
    <t>Cognitive linguistics research ; 42</t>
  </si>
  <si>
    <t>180855410:eng</t>
  </si>
  <si>
    <t>300463315</t>
  </si>
  <si>
    <t>ocn300463315</t>
  </si>
  <si>
    <t>3103135150R</t>
  </si>
  <si>
    <t>9783110214345</t>
  </si>
  <si>
    <t>794431689</t>
  </si>
  <si>
    <t>P165 L38 2010</t>
  </si>
  <si>
    <t>0                      P  0165000L  38          2010</t>
  </si>
  <si>
    <t>Language, cognition and space : the state of the art and new directions / edited by Vyvyan Evans and Paul Chilton.</t>
  </si>
  <si>
    <t>London ; Oakville : Equinox Pub., ©2010.</t>
  </si>
  <si>
    <t>Advances in cognitive linguistics</t>
  </si>
  <si>
    <t>792586284:eng</t>
  </si>
  <si>
    <t>144226941</t>
  </si>
  <si>
    <t>ocn144226941</t>
  </si>
  <si>
    <t>31033123290</t>
  </si>
  <si>
    <t>9781845532529</t>
  </si>
  <si>
    <t>794235568</t>
  </si>
  <si>
    <t>P165 L383 2011</t>
  </si>
  <si>
    <t>0                      P  0165000L  383         2011</t>
  </si>
  <si>
    <t>Language from a cognitive perspective : grammar, usage, and processing : studies in honor of Thomas Wasow / edited by Emily M. Bender &amp; Jennifer E. Arnold.</t>
  </si>
  <si>
    <t>Stanford : CSLI Publications, ©2011.</t>
  </si>
  <si>
    <t>CSLI lecture notes ; no. 201</t>
  </si>
  <si>
    <t>1008431428:eng</t>
  </si>
  <si>
    <t>697980078</t>
  </si>
  <si>
    <t>ocn697980078</t>
  </si>
  <si>
    <t>3103362770R</t>
  </si>
  <si>
    <t>9781575866116</t>
  </si>
  <si>
    <t>794860519</t>
  </si>
  <si>
    <t>P165 L54 2010</t>
  </si>
  <si>
    <t>0                      P  0165000L  54          2010</t>
  </si>
  <si>
    <t>The linguistics enterprise : from knowledge of language to knowledge in linguistics / edited by Martin Everaert [and others].</t>
  </si>
  <si>
    <t>Linguistik aktuell = Linguistics today, 0166-0829 ; v. 150</t>
  </si>
  <si>
    <t>888283917:eng</t>
  </si>
  <si>
    <t>464586159</t>
  </si>
  <si>
    <t>ocn464586159</t>
  </si>
  <si>
    <t>3103243800D</t>
  </si>
  <si>
    <t>9789027255334</t>
  </si>
  <si>
    <t>794793297</t>
  </si>
  <si>
    <t>P165 O974 2007</t>
  </si>
  <si>
    <t>0                      P  0165000O  974         2007</t>
  </si>
  <si>
    <t>The Oxford handbook of cognitive linguistics / edited by Dirk Geeraerts and Hubert Cuyckens.</t>
  </si>
  <si>
    <t>2016-11-18</t>
  </si>
  <si>
    <t>866312393:eng</t>
  </si>
  <si>
    <t>73744094</t>
  </si>
  <si>
    <t>ocm73744094</t>
  </si>
  <si>
    <t>3102645769G</t>
  </si>
  <si>
    <t>9780195143782</t>
  </si>
  <si>
    <t>794171451</t>
  </si>
  <si>
    <t>P201 B4 1974</t>
  </si>
  <si>
    <t>0                      P  0201000B  4           1974</t>
  </si>
  <si>
    <t>Grammaire générale; ou, Exposition raisonnée des éléments nécessaires du langage, pour servir de fondement à l'étude de toutes les langues.</t>
  </si>
  <si>
    <t>V. 2 (1974)</t>
  </si>
  <si>
    <t>Beauzée, Nicolas, 1717-1789.</t>
  </si>
  <si>
    <t>Stuttgart-Bad Cannstatt, F. Frommann, 1974.</t>
  </si>
  <si>
    <t>Grammatica universalis, 8</t>
  </si>
  <si>
    <t>10178111564:fre</t>
  </si>
  <si>
    <t>3241539</t>
  </si>
  <si>
    <t>ocm03241539</t>
  </si>
  <si>
    <t>3102764546E</t>
  </si>
  <si>
    <t>9783772800535</t>
  </si>
  <si>
    <t>792233818</t>
  </si>
  <si>
    <t>V. 1 (1974)</t>
  </si>
  <si>
    <t>3102764551C</t>
  </si>
  <si>
    <t>792233819</t>
  </si>
  <si>
    <t>P201 B64</t>
  </si>
  <si>
    <t>0                      P  0201000B  64</t>
  </si>
  <si>
    <t>Aspects of language [by] Dwight Bolinger.</t>
  </si>
  <si>
    <t>New York, Harcourt, Brace &amp; World [1968]</t>
  </si>
  <si>
    <t>2011-09-21</t>
  </si>
  <si>
    <t>234219</t>
  </si>
  <si>
    <t>ocm00234219</t>
  </si>
  <si>
    <t>3102764536G</t>
  </si>
  <si>
    <t>9780155038653</t>
  </si>
  <si>
    <t>791303462</t>
  </si>
  <si>
    <t>3000999660I</t>
  </si>
  <si>
    <t>791303463</t>
  </si>
  <si>
    <t>P201 P36 1994</t>
  </si>
  <si>
    <t>0                      P  0201000P  36          1994</t>
  </si>
  <si>
    <t>Paths towards universal grammar : studies in honor of Richard S. Kayne / edited by Guglielmo Cinque [and others].</t>
  </si>
  <si>
    <t>Washington, D.C. : Georgetown University Press, ©1994.</t>
  </si>
  <si>
    <t>Georgetown studies in Romance linguistics</t>
  </si>
  <si>
    <t>890047902:eng</t>
  </si>
  <si>
    <t>31045095</t>
  </si>
  <si>
    <t>ocm31045095</t>
  </si>
  <si>
    <t>3102764547E</t>
  </si>
  <si>
    <t>9780878402878</t>
  </si>
  <si>
    <t>793352134</t>
  </si>
  <si>
    <t>P201 P38 2010</t>
  </si>
  <si>
    <t>0                      P  0201000P  38          2010</t>
  </si>
  <si>
    <t>The structure of language : an introduction to grammatical analysis / Emma L. Pavey.</t>
  </si>
  <si>
    <t>Pavey, Emma.</t>
  </si>
  <si>
    <t>802963464:eng</t>
  </si>
  <si>
    <t>567162695</t>
  </si>
  <si>
    <t>ocn567162695</t>
  </si>
  <si>
    <t>3103230980B</t>
  </si>
  <si>
    <t>9780521517867</t>
  </si>
  <si>
    <t>794813232</t>
  </si>
  <si>
    <t>P203 C6 1971</t>
  </si>
  <si>
    <t>0                      P  0203000C  6           1971</t>
  </si>
  <si>
    <t>Lexicostatistics in genetic linguistics. Proceedings of the Yale Conference, Yale University, April 3-4, 1971. Edited by Isidore Dyen.</t>
  </si>
  <si>
    <t>Conference on Genetic Lexicostatistics (1st : 1971 : Yale University)</t>
  </si>
  <si>
    <t>Janua linguarum. Series maior ; 69</t>
  </si>
  <si>
    <t>314112210:eng</t>
  </si>
  <si>
    <t>810143</t>
  </si>
  <si>
    <t>ocm00810143</t>
  </si>
  <si>
    <t>3102764600J</t>
  </si>
  <si>
    <t>791475685</t>
  </si>
  <si>
    <t>P203 D53 2009</t>
  </si>
  <si>
    <t>0                      P  0203000D  53          2009</t>
  </si>
  <si>
    <t>The diachrony of classification systems / edited by William B. McGregor, Aarhus University, Søren Wichmann, Leiden University and Kazan Federal University.</t>
  </si>
  <si>
    <t>Amsterdam ; Philadelphia : John Benjamins Publishing Company, [2018]</t>
  </si>
  <si>
    <t>Amsterdam studies in the theory and history of linguistic science. Series IV, Current issues in linguistic theory, 0304-0763 ; volume 342</t>
  </si>
  <si>
    <t>4897351459:eng</t>
  </si>
  <si>
    <t>1019883628</t>
  </si>
  <si>
    <t>on1019883628</t>
  </si>
  <si>
    <t>3103767400F</t>
  </si>
  <si>
    <t>9789027200679</t>
  </si>
  <si>
    <t>795050019</t>
  </si>
  <si>
    <t>P203 G74 2005</t>
  </si>
  <si>
    <t>0                      P  0203000G  74          2005</t>
  </si>
  <si>
    <t>Genetic linguistics : essays on theory and method / Joseph H. Greenberg ; edited with an introduction and bibliography by William Croft.</t>
  </si>
  <si>
    <t>794208647:eng</t>
  </si>
  <si>
    <t>59811210</t>
  </si>
  <si>
    <t>ocm59811210</t>
  </si>
  <si>
    <t>3102519107E</t>
  </si>
  <si>
    <t>9780199257713</t>
  </si>
  <si>
    <t>793931872</t>
  </si>
  <si>
    <t>P203 K55 2013</t>
  </si>
  <si>
    <t>0                      P  0203000K  55          2013</t>
  </si>
  <si>
    <t>Nominal classification : a history of its study from the classical period to the present / Marcin Kilarski.</t>
  </si>
  <si>
    <t>Kilarski, Marcin.</t>
  </si>
  <si>
    <t>Amsterdam : John Benjamins Publishing Company, 2013.</t>
  </si>
  <si>
    <t>Amsterdam studies in the theory and history of linguistic science. Series III, Studies in the history of the language sciences, 0304-0720 ; volume 121</t>
  </si>
  <si>
    <t>1393646291:eng</t>
  </si>
  <si>
    <t>858672673</t>
  </si>
  <si>
    <t>ocn858672673</t>
  </si>
  <si>
    <t>3103554816L</t>
  </si>
  <si>
    <t>9789027246127</t>
  </si>
  <si>
    <t>794956459</t>
  </si>
  <si>
    <t>P203 M37 2005</t>
  </si>
  <si>
    <t>0                      P  0203000M  37          2005</t>
  </si>
  <si>
    <t>Language classification by numbers / April McMahon and Robert McMahon.</t>
  </si>
  <si>
    <t>2015-03-04</t>
  </si>
  <si>
    <t>619082:eng</t>
  </si>
  <si>
    <t>60791663</t>
  </si>
  <si>
    <t>ocm60791663</t>
  </si>
  <si>
    <t>3102575555F</t>
  </si>
  <si>
    <t>9780199279012</t>
  </si>
  <si>
    <t>793943688</t>
  </si>
  <si>
    <t>P203 R8 1987</t>
  </si>
  <si>
    <t>0                      P  0203000R  8           1987</t>
  </si>
  <si>
    <t>A guide to the world's languages / Merritt Ruhlen.</t>
  </si>
  <si>
    <t>Stanford, Calif. : Stanford University Press, 1987-</t>
  </si>
  <si>
    <t>7331749:eng</t>
  </si>
  <si>
    <t>13525000</t>
  </si>
  <si>
    <t>ocm13525000</t>
  </si>
  <si>
    <t>3000958205Y</t>
  </si>
  <si>
    <t>9780804712507</t>
  </si>
  <si>
    <t>792856342</t>
  </si>
  <si>
    <t>P204 C6</t>
  </si>
  <si>
    <t>0                      P  0204000C  6</t>
  </si>
  <si>
    <t>Language universals and linguistic typology : syntax and morphology / Bernard Comrie.</t>
  </si>
  <si>
    <t>Comrie, Bernard, 1947-</t>
  </si>
  <si>
    <t>Chicago : University of Chicago Press, 1981.</t>
  </si>
  <si>
    <t>418052:eng</t>
  </si>
  <si>
    <t>8042404</t>
  </si>
  <si>
    <t>ocm08042404</t>
  </si>
  <si>
    <t>3103286047Y</t>
  </si>
  <si>
    <t>9780226114347</t>
  </si>
  <si>
    <t>792595002</t>
  </si>
  <si>
    <t>2008-11-07</t>
  </si>
  <si>
    <t>31027645768</t>
  </si>
  <si>
    <t>792595003</t>
  </si>
  <si>
    <t>P204 C7 2002</t>
  </si>
  <si>
    <t>0                      P  0204000C  7           2002</t>
  </si>
  <si>
    <t>Typology and universals / William Croft.</t>
  </si>
  <si>
    <t>Croft, William.</t>
  </si>
  <si>
    <t>1024585:eng</t>
  </si>
  <si>
    <t>50285366</t>
  </si>
  <si>
    <t>ocm50285366</t>
  </si>
  <si>
    <t>3102764614H</t>
  </si>
  <si>
    <t>9780521808842</t>
  </si>
  <si>
    <t>793759924</t>
  </si>
  <si>
    <t>P204 D44 2010</t>
  </si>
  <si>
    <t>0                      P  0204000D  44          2010</t>
  </si>
  <si>
    <t>Defective paradigms : missing forms and what they tell us / edited by Matthew Baerman, Greville G. Corbett, Dunstan Brown.</t>
  </si>
  <si>
    <t>Oxford ; New York : Published for the British Academy by Oxford University Press, ©2010.</t>
  </si>
  <si>
    <t>Proceedings of the British Academy ; 163</t>
  </si>
  <si>
    <t>796128864:eng</t>
  </si>
  <si>
    <t>444381504</t>
  </si>
  <si>
    <t>ocn444381504</t>
  </si>
  <si>
    <t>3102784106O</t>
  </si>
  <si>
    <t>9780197264607</t>
  </si>
  <si>
    <t>794787055</t>
  </si>
  <si>
    <t>P204 I57 1976</t>
  </si>
  <si>
    <t>0                      P  0204000I  57          1976</t>
  </si>
  <si>
    <t>Language universals : papers from the conference held at Gummersbach/Cologne, Germany, October 3-8, 1976 / Hansjakob Seiler (ed.).</t>
  </si>
  <si>
    <t>Tübingen : Narr, 1978.</t>
  </si>
  <si>
    <t>Tübinger Beiträge zur Linguistik ; 111, 0564-7959</t>
  </si>
  <si>
    <t>889407442:eng</t>
  </si>
  <si>
    <t>7205959</t>
  </si>
  <si>
    <t>ocm07205959</t>
  </si>
  <si>
    <t>31027645798</t>
  </si>
  <si>
    <t>9783878081111</t>
  </si>
  <si>
    <t>792546278</t>
  </si>
  <si>
    <t>P204 L33 2007</t>
  </si>
  <si>
    <t>0                      P  0204000L  33          2007</t>
  </si>
  <si>
    <t>Language typology and syntactic description / edited by Timothy Shopen.</t>
  </si>
  <si>
    <t>2017-03-02</t>
  </si>
  <si>
    <t>3943547856:eng</t>
  </si>
  <si>
    <t>174141314</t>
  </si>
  <si>
    <t>ocn174141314</t>
  </si>
  <si>
    <t>3102648814B</t>
  </si>
  <si>
    <t>9780521858564</t>
  </si>
  <si>
    <t>794273720</t>
  </si>
  <si>
    <t>2008-12-20</t>
  </si>
  <si>
    <t>3102648804D</t>
  </si>
  <si>
    <t>794273721</t>
  </si>
  <si>
    <t>2011-02-28</t>
  </si>
  <si>
    <t>3102572434Y</t>
  </si>
  <si>
    <t>794273722</t>
  </si>
  <si>
    <t>3102572428$</t>
  </si>
  <si>
    <t>794273718</t>
  </si>
  <si>
    <t>3102648809D</t>
  </si>
  <si>
    <t>794273719</t>
  </si>
  <si>
    <t>3102572429$</t>
  </si>
  <si>
    <t>794273723</t>
  </si>
  <si>
    <t>P204 L358 2009</t>
  </si>
  <si>
    <t>0                      P  0204000L  358         2009</t>
  </si>
  <si>
    <t>Language universals / edited by Morten H. Christiansen, Chris Collins, and Shimon Edelman.</t>
  </si>
  <si>
    <t>3943566307:eng</t>
  </si>
  <si>
    <t>232327396</t>
  </si>
  <si>
    <t>ocn232327396</t>
  </si>
  <si>
    <t>3103081736A</t>
  </si>
  <si>
    <t>9780195305432</t>
  </si>
  <si>
    <t>794363435</t>
  </si>
  <si>
    <t>P204 L56 2006</t>
  </si>
  <si>
    <t>0                      P  0204000L  56          2006</t>
  </si>
  <si>
    <t>Linguistic universals / edited by Ricardo Mairal and Juana Gil.</t>
  </si>
  <si>
    <t>Cambridge : Cambridge University Press, 2006.</t>
  </si>
  <si>
    <t>1051755612:eng</t>
  </si>
  <si>
    <t>70059792</t>
  </si>
  <si>
    <t>ocm70059792</t>
  </si>
  <si>
    <t>3102567067P</t>
  </si>
  <si>
    <t>9780521837095</t>
  </si>
  <si>
    <t>794147977</t>
  </si>
  <si>
    <t>P204 N49 2005</t>
  </si>
  <si>
    <t>0                      P  0204000N  49          2005</t>
  </si>
  <si>
    <t>Possible and probable languages : a generative perspective on linguistic typology / Frederick J. Newmeyer.</t>
  </si>
  <si>
    <t>New York : Oxford University Press, 2005.</t>
  </si>
  <si>
    <t>2015-06-17</t>
  </si>
  <si>
    <t>802750053:eng</t>
  </si>
  <si>
    <t>60776787</t>
  </si>
  <si>
    <t>ocm60776787</t>
  </si>
  <si>
    <t>31025587429</t>
  </si>
  <si>
    <t>9780199274338</t>
  </si>
  <si>
    <t>793943518</t>
  </si>
  <si>
    <t>P204 O94 2011</t>
  </si>
  <si>
    <t>0                      P  0204000O  94          2011</t>
  </si>
  <si>
    <t>The Oxford handbook of linguistic typology / edited by Jae Jung Song.</t>
  </si>
  <si>
    <t>509889299:eng</t>
  </si>
  <si>
    <t>646393860</t>
  </si>
  <si>
    <t>ocn646393860</t>
  </si>
  <si>
    <t>31032302521</t>
  </si>
  <si>
    <t>9780199281251</t>
  </si>
  <si>
    <t>794830359</t>
  </si>
  <si>
    <t>P204 R38 2010</t>
  </si>
  <si>
    <t>0                      P  0204000R  38          2010</t>
  </si>
  <si>
    <t>Rara &amp; rarissima : documenting the fringes of linguistic diversity / edited by Jan Wohlgemuth and Michael Cysouw.</t>
  </si>
  <si>
    <t>Berlin ; New York : De Gruyter Mouton, 2010.</t>
  </si>
  <si>
    <t>Empirical approaches to language typology ; 46</t>
  </si>
  <si>
    <t>792036050:eng</t>
  </si>
  <si>
    <t>618326309</t>
  </si>
  <si>
    <t>ocn618326309</t>
  </si>
  <si>
    <t>3103344086B</t>
  </si>
  <si>
    <t>9783110228540</t>
  </si>
  <si>
    <t>794823197</t>
  </si>
  <si>
    <t>P204 R48 2010</t>
  </si>
  <si>
    <t>0                      P  0204000R  48          2010</t>
  </si>
  <si>
    <t>Rethinking universals : how rarities affect linguistic theory / edited by Jan Wohlgemuth, Michael Cysouw.</t>
  </si>
  <si>
    <t>Empirical approaches to language typology ; 45</t>
  </si>
  <si>
    <t>2011-06-01</t>
  </si>
  <si>
    <t>1044601477:eng</t>
  </si>
  <si>
    <t>519836332</t>
  </si>
  <si>
    <t>ocn519836332</t>
  </si>
  <si>
    <t>3103240874B</t>
  </si>
  <si>
    <t>9783110220926</t>
  </si>
  <si>
    <t>794808574</t>
  </si>
  <si>
    <t>P204 S62 2015</t>
  </si>
  <si>
    <t>0                      P  0204000S  62          2015</t>
  </si>
  <si>
    <t>Tipologia e "dintorni," il metodo tipologico alla intersezione di piani d'analisi : atti del XLIX Congresso internazionale di studi della Società di linguistica italiana (SLI), Malta, 24-26 settembre 2015 / a cura di Giuseppe Brincat e Sandro Caruana.</t>
  </si>
  <si>
    <t>Società di linguistica italiana. Congresso internazionale di studi (49th : 2015 : Malta)</t>
  </si>
  <si>
    <t>Pubblicazioni della Società di linguistica italiana ; 62</t>
  </si>
  <si>
    <t>5548086675:ita</t>
  </si>
  <si>
    <t>1033578182</t>
  </si>
  <si>
    <t>on1033578182</t>
  </si>
  <si>
    <t>31037665153</t>
  </si>
  <si>
    <t>9788868971083</t>
  </si>
  <si>
    <t>795056995</t>
  </si>
  <si>
    <t>P204 S9</t>
  </si>
  <si>
    <t>0                      P  0204000S  9</t>
  </si>
  <si>
    <t>Syntactic typology : studies in the phenomenology of language / edited by Winfred P. Lehmann.</t>
  </si>
  <si>
    <t>Austin : University of Texas Press, [1978]</t>
  </si>
  <si>
    <t>180112419:eng</t>
  </si>
  <si>
    <t>4204075</t>
  </si>
  <si>
    <t>ocm04204075</t>
  </si>
  <si>
    <t>31027645974</t>
  </si>
  <si>
    <t>9780292775459</t>
  </si>
  <si>
    <t>792330654</t>
  </si>
  <si>
    <t>P204 U53</t>
  </si>
  <si>
    <t>0                      P  0204000U  53</t>
  </si>
  <si>
    <t>Universals of human language / edited by Joseph H. Greenberg, associate editors, Charles A. Ferguson &amp; Edith A. Moravcsik.</t>
  </si>
  <si>
    <t>Stanford, Calif. : Stanford University Press, 1978.</t>
  </si>
  <si>
    <t>2002-03-20</t>
  </si>
  <si>
    <t>5218754937:eng</t>
  </si>
  <si>
    <t>4180065</t>
  </si>
  <si>
    <t>ocm04180065</t>
  </si>
  <si>
    <t>31027645876</t>
  </si>
  <si>
    <t>9780804709651</t>
  </si>
  <si>
    <t>792328553</t>
  </si>
  <si>
    <t>3100456415L</t>
  </si>
  <si>
    <t>792328552</t>
  </si>
  <si>
    <t>2009-10-26</t>
  </si>
  <si>
    <t>31027645826</t>
  </si>
  <si>
    <t>792328551</t>
  </si>
  <si>
    <t>2010-01-29</t>
  </si>
  <si>
    <t>31027645778</t>
  </si>
  <si>
    <t>792328550</t>
  </si>
  <si>
    <t>P211 B385 2015</t>
  </si>
  <si>
    <t>0                      P  0211000B  385         2015</t>
  </si>
  <si>
    <t>Palimpsest : a history of the written word / Matthew Battles.</t>
  </si>
  <si>
    <t>Battles, Matthew, author.</t>
  </si>
  <si>
    <t>New York : W.W. Norton &amp; Company, [2015]</t>
  </si>
  <si>
    <t>2529857325:eng</t>
  </si>
  <si>
    <t>783163653</t>
  </si>
  <si>
    <t>ocn783163653</t>
  </si>
  <si>
    <t>31035838650</t>
  </si>
  <si>
    <t>9780393058857</t>
  </si>
  <si>
    <t>794914065</t>
  </si>
  <si>
    <t>P211 C25 2012</t>
  </si>
  <si>
    <t>0                      P  0211000C  25          2012</t>
  </si>
  <si>
    <t>The Routledge handbook of scripts and alphabets / George L. Campbell and Christopher Moseley.</t>
  </si>
  <si>
    <t>Campbell, George L.</t>
  </si>
  <si>
    <t>Milton Park, Abingdon, Oxon ; New York : Routledge, 2012.</t>
  </si>
  <si>
    <t>2017-06-25</t>
  </si>
  <si>
    <t>3755305295:eng</t>
  </si>
  <si>
    <t>475449943</t>
  </si>
  <si>
    <t>ocn475449943</t>
  </si>
  <si>
    <t>31034081758</t>
  </si>
  <si>
    <t>9780415560986</t>
  </si>
  <si>
    <t>794798245</t>
  </si>
  <si>
    <t>P211 C48 1995</t>
  </si>
  <si>
    <t>0                      P  0211000C  48          1995</t>
  </si>
  <si>
    <t>Forms and meanings : texts, performances, and audiences from codex to computer / by Roger Chartier.</t>
  </si>
  <si>
    <t>Chartier, Roger, 1945-</t>
  </si>
  <si>
    <t>New cultural studies</t>
  </si>
  <si>
    <t>866892103:eng</t>
  </si>
  <si>
    <t>32468216</t>
  </si>
  <si>
    <t>ocm32468216</t>
  </si>
  <si>
    <t>3102764645B</t>
  </si>
  <si>
    <t>9780812233025</t>
  </si>
  <si>
    <t>793385047</t>
  </si>
  <si>
    <t>P211 C483 2007</t>
  </si>
  <si>
    <t>0                      P  0211000C  483         2007</t>
  </si>
  <si>
    <t>Inscription and erasure : literature and written culture from the eleventh to the eighteenth century / Roger Chartier ; translated by Arthur Goldhammer.</t>
  </si>
  <si>
    <t>Philadelphia : University of Pennsylvania Press, ©2007.</t>
  </si>
  <si>
    <t>Material texts</t>
  </si>
  <si>
    <t>362105:eng</t>
  </si>
  <si>
    <t>71582301</t>
  </si>
  <si>
    <t>ocm71582301</t>
  </si>
  <si>
    <t>31025958036</t>
  </si>
  <si>
    <t>9780812239959</t>
  </si>
  <si>
    <t>794167401</t>
  </si>
  <si>
    <t>P211 C53 2013</t>
  </si>
  <si>
    <t>0                      P  0211000C  53          2013</t>
  </si>
  <si>
    <t>The golden thread : the story of writing / Ewan Clayton.</t>
  </si>
  <si>
    <t>Clayton, Ewan, author.</t>
  </si>
  <si>
    <t>London : Atlantic Books, 2013.</t>
  </si>
  <si>
    <t>1436951067:eng</t>
  </si>
  <si>
    <t>851827390</t>
  </si>
  <si>
    <t>ocn851827390</t>
  </si>
  <si>
    <t>3103503457H</t>
  </si>
  <si>
    <t>9781848873629</t>
  </si>
  <si>
    <t>794951055</t>
  </si>
  <si>
    <t>P211 C59</t>
  </si>
  <si>
    <t>0                      P  0211000C  59</t>
  </si>
  <si>
    <t>The birth of writing / by Robert Claiborne and the editors of Time-Life Books.</t>
  </si>
  <si>
    <t>Claiborne, Robert.</t>
  </si>
  <si>
    <t>New York : Time-Life Books, [1974]</t>
  </si>
  <si>
    <t>The Emergence of man</t>
  </si>
  <si>
    <t>467365:eng</t>
  </si>
  <si>
    <t>1138035</t>
  </si>
  <si>
    <t>ocm01138035</t>
  </si>
  <si>
    <t>31021865999</t>
  </si>
  <si>
    <t>791554865</t>
  </si>
  <si>
    <t>3103008800P</t>
  </si>
  <si>
    <t>791554866</t>
  </si>
  <si>
    <t>P211 C594 1997</t>
  </si>
  <si>
    <t>0                      P  0211000C  594         1997</t>
  </si>
  <si>
    <t>The politics of writing / Romy Clark and Roz Ivanič.</t>
  </si>
  <si>
    <t>Clark, Romy.</t>
  </si>
  <si>
    <t>45169655:eng</t>
  </si>
  <si>
    <t>37398654</t>
  </si>
  <si>
    <t>ocm37398654</t>
  </si>
  <si>
    <t>3103156583W</t>
  </si>
  <si>
    <t>9780415134828</t>
  </si>
  <si>
    <t>793497852</t>
  </si>
  <si>
    <t>P211 C6 1921</t>
  </si>
  <si>
    <t>0                      P  0211000C  6           1921</t>
  </si>
  <si>
    <t>The story of the alphabet / by Edward Clodd.</t>
  </si>
  <si>
    <t>Clodd, Edward, 1840-1930.</t>
  </si>
  <si>
    <t>New York : [publisher not identified], 1921.</t>
  </si>
  <si>
    <t>1921</t>
  </si>
  <si>
    <t>1291788:eng</t>
  </si>
  <si>
    <t>427197261</t>
  </si>
  <si>
    <t>ocn427197261</t>
  </si>
  <si>
    <t>3102764635D</t>
  </si>
  <si>
    <t>794538687</t>
  </si>
  <si>
    <t>P211 C67 1989</t>
  </si>
  <si>
    <t>0                      P  0211000C  67          1989</t>
  </si>
  <si>
    <t>The writing systems of the world / Florian Coulmas.</t>
  </si>
  <si>
    <t>Oxford, UK ; New York, NY, USA : B. Blackwell, 1989.</t>
  </si>
  <si>
    <t>17797068:eng</t>
  </si>
  <si>
    <t>18381739</t>
  </si>
  <si>
    <t>ocm18381739</t>
  </si>
  <si>
    <t>31026409291</t>
  </si>
  <si>
    <t>9780631165132</t>
  </si>
  <si>
    <t>793023665</t>
  </si>
  <si>
    <t>P211 D35 1948a</t>
  </si>
  <si>
    <t>0                      P  0211000D  35          1948a</t>
  </si>
  <si>
    <t>The alphabet : a key to the history of mankind / by David Diringer ; foreword by Sir Ellis Minns.</t>
  </si>
  <si>
    <t>Diringer, David, 1900-1975.</t>
  </si>
  <si>
    <t>London : Hutchinson's Scientific and Technical Publications, 1948.</t>
  </si>
  <si>
    <t>Hutchinson's scientific and technical publications</t>
  </si>
  <si>
    <t>221836698:eng</t>
  </si>
  <si>
    <t>4968901</t>
  </si>
  <si>
    <t>ocm04968901</t>
  </si>
  <si>
    <t>3102764644B</t>
  </si>
  <si>
    <t>792398137</t>
  </si>
  <si>
    <t>P211 D44 2016</t>
  </si>
  <si>
    <t>0                      P  0211000D  44          2016</t>
  </si>
  <si>
    <t>The letter and the cosmos : how the alphabet has shaped the Western view of the world / Laurence de Looze.</t>
  </si>
  <si>
    <t>De Looze, Laurence, author.</t>
  </si>
  <si>
    <t>Toronto ; Buffalo ; London : University of Toronto Press, [2016]</t>
  </si>
  <si>
    <t>2909568221:eng</t>
  </si>
  <si>
    <t>921863905</t>
  </si>
  <si>
    <t>ocn921863905</t>
  </si>
  <si>
    <t>3103645637D</t>
  </si>
  <si>
    <t>9781442650602</t>
  </si>
  <si>
    <t>795003350</t>
  </si>
  <si>
    <t>P211 D6312</t>
  </si>
  <si>
    <t>0                      P  0211000D  6312</t>
  </si>
  <si>
    <t>Le Déchiffrement des édritures / Préf. de Jean Bottéro. [Traduction de Monique Bittebierre.</t>
  </si>
  <si>
    <t>Doblhofer, Ernst.</t>
  </si>
  <si>
    <t>Paris] : Arthaud, [©1959]</t>
  </si>
  <si>
    <t>1959</t>
  </si>
  <si>
    <t>Collection Signes des temps ; 5</t>
  </si>
  <si>
    <t>5585966515:fre</t>
  </si>
  <si>
    <t>84065200</t>
  </si>
  <si>
    <t>ocm84065200</t>
  </si>
  <si>
    <t>3102764633D</t>
  </si>
  <si>
    <t>794210154</t>
  </si>
  <si>
    <t>P211 F431 1948</t>
  </si>
  <si>
    <t>0                      P  0211000F  431         1948</t>
  </si>
  <si>
    <t>Histoire de l'écriture / James G. Février.</t>
  </si>
  <si>
    <t>Février, James Germain, 1895-</t>
  </si>
  <si>
    <t>Paris : [publisher not identified], 1948.</t>
  </si>
  <si>
    <t>Bibliothèque historique</t>
  </si>
  <si>
    <t>250846098:fre</t>
  </si>
  <si>
    <t>61612743</t>
  </si>
  <si>
    <t>ocm61612743</t>
  </si>
  <si>
    <t>3102764618H</t>
  </si>
  <si>
    <t>794051010</t>
  </si>
  <si>
    <t>P211 F62 2004</t>
  </si>
  <si>
    <t>0                      P  0211000F  62          2004</t>
  </si>
  <si>
    <t>The first writing : script invention as history and process / [edited by] Stephen D. Houston.</t>
  </si>
  <si>
    <t>Cambridge, UK ; New York, NY : Cambridge University Press, 2004.</t>
  </si>
  <si>
    <t>865020190:eng</t>
  </si>
  <si>
    <t>56442696</t>
  </si>
  <si>
    <t>ocm56442696</t>
  </si>
  <si>
    <t>3102577321J</t>
  </si>
  <si>
    <t>9780521838610</t>
  </si>
  <si>
    <t>793893389</t>
  </si>
  <si>
    <t>P211 F68 2011</t>
  </si>
  <si>
    <t>0                      P  0211000F  68          2011</t>
  </si>
  <si>
    <t>Does writing have a future? / Vilém Flusser ; introduction by Mark Poster ; translated by Nancy Ann Roth.</t>
  </si>
  <si>
    <t>Minneapolis : University of Minnesota Press, ©2011.</t>
  </si>
  <si>
    <t>Electronic mediations ; v. 33</t>
  </si>
  <si>
    <t>4061434981:eng</t>
  </si>
  <si>
    <t>653122627</t>
  </si>
  <si>
    <t>ocn653122627</t>
  </si>
  <si>
    <t>3103321668J</t>
  </si>
  <si>
    <t>9780816670222</t>
  </si>
  <si>
    <t>794833709</t>
  </si>
  <si>
    <t>P211 G37 1963</t>
  </si>
  <si>
    <t>0                      P  0211000G  37          1963</t>
  </si>
  <si>
    <t>A study of writing / I.J. Gelb.</t>
  </si>
  <si>
    <t>Gelb, Ignace J. (Ignace Jay), 1907-1985.</t>
  </si>
  <si>
    <t>Chicago : University of Chicago Press, [1963]</t>
  </si>
  <si>
    <t>Rev. [i.e. 2d] ed.</t>
  </si>
  <si>
    <t>2006-04-28</t>
  </si>
  <si>
    <t>5578019946:eng</t>
  </si>
  <si>
    <t>308098</t>
  </si>
  <si>
    <t>ocm00308098</t>
  </si>
  <si>
    <t>3102764637D</t>
  </si>
  <si>
    <t>9780226286068</t>
  </si>
  <si>
    <t>791331554</t>
  </si>
  <si>
    <t>3102640939$</t>
  </si>
  <si>
    <t>791331555</t>
  </si>
  <si>
    <t>3000997813T</t>
  </si>
  <si>
    <t>791331556</t>
  </si>
  <si>
    <t>P211 G413</t>
  </si>
  <si>
    <t>0                      P  0211000G  413</t>
  </si>
  <si>
    <t>Compendium for literates : a system of writing / by Karl Gerstner ; translated by Dennis Q. Stephenson.</t>
  </si>
  <si>
    <t>Gerstner, Karl.</t>
  </si>
  <si>
    <t>[Cambridge] : [MIT Press], [1974]</t>
  </si>
  <si>
    <t>10177380423:eng</t>
  </si>
  <si>
    <t>1747110</t>
  </si>
  <si>
    <t>ocm01747110</t>
  </si>
  <si>
    <t>3103592885N</t>
  </si>
  <si>
    <t>9780262070614</t>
  </si>
  <si>
    <t>791858559</t>
  </si>
  <si>
    <t>P211 G58 2009</t>
  </si>
  <si>
    <t>0                      P  0211000G  58          2009</t>
  </si>
  <si>
    <t>The writing revolution : from cuneiform to the Internet / Amalia E. Gnanadesikan.</t>
  </si>
  <si>
    <t>Gnanadesikan, Amalia E.</t>
  </si>
  <si>
    <t>Oxford : Blackwell, 2008.</t>
  </si>
  <si>
    <t>836470681:eng</t>
  </si>
  <si>
    <t>241037775</t>
  </si>
  <si>
    <t>ocn241037775</t>
  </si>
  <si>
    <t>3103053761B</t>
  </si>
  <si>
    <t>9781405154062</t>
  </si>
  <si>
    <t>794375611</t>
  </si>
  <si>
    <t>P211 G66 1987</t>
  </si>
  <si>
    <t>0                      P  0211000G  66          1987</t>
  </si>
  <si>
    <t>The interface between the written and the oral / Jack Goody.</t>
  </si>
  <si>
    <t>Goody, Jack.</t>
  </si>
  <si>
    <t>Studies in literacy, family, culture, and the state</t>
  </si>
  <si>
    <t>9091119:eng</t>
  </si>
  <si>
    <t>14242868</t>
  </si>
  <si>
    <t>ocm14242868</t>
  </si>
  <si>
    <t>3102764617H</t>
  </si>
  <si>
    <t>9780521332682</t>
  </si>
  <si>
    <t>792883378</t>
  </si>
  <si>
    <t>P211 G664 2000</t>
  </si>
  <si>
    <t>0                      P  0211000G  664         2000</t>
  </si>
  <si>
    <t>The power of the written tradition / Jack Goody.</t>
  </si>
  <si>
    <t>Washington : Smithsonian Institution Press, ©2000.</t>
  </si>
  <si>
    <t>Smithsonian series in ethnographic inquiry</t>
  </si>
  <si>
    <t>1048634:eng</t>
  </si>
  <si>
    <t>41960159</t>
  </si>
  <si>
    <t>ocm41960159</t>
  </si>
  <si>
    <t>31020434563</t>
  </si>
  <si>
    <t>9781560989875</t>
  </si>
  <si>
    <t>793599978</t>
  </si>
  <si>
    <t>3103069758L</t>
  </si>
  <si>
    <t>793599977</t>
  </si>
  <si>
    <t>P211 H35 2008</t>
  </si>
  <si>
    <t>0                      P  0211000H  35          2008</t>
  </si>
  <si>
    <t>Handbook of research on writing : history, society, school, individual, text / edited by Charles Bazerman.</t>
  </si>
  <si>
    <t>New York : L. Erlbaum Associates, ©2008.</t>
  </si>
  <si>
    <t>792752370:eng</t>
  </si>
  <si>
    <t>124074929</t>
  </si>
  <si>
    <t>ocn124074929</t>
  </si>
  <si>
    <t>31026421629</t>
  </si>
  <si>
    <t>9780805848700</t>
  </si>
  <si>
    <t>794230488</t>
  </si>
  <si>
    <t>P211 H55 1969</t>
  </si>
  <si>
    <t>0                      P  0211000H  55          1969</t>
  </si>
  <si>
    <t>L'écriture / par Charles Higounet.</t>
  </si>
  <si>
    <t>Higounet, Charles.</t>
  </si>
  <si>
    <t>Paris [France] : Presses Universitaires de France, 1969, ©1955.</t>
  </si>
  <si>
    <t>4e éd.</t>
  </si>
  <si>
    <t>Que sais-je? ; No 653</t>
  </si>
  <si>
    <t>348095245:fre</t>
  </si>
  <si>
    <t>11361151</t>
  </si>
  <si>
    <t>ocm11361151</t>
  </si>
  <si>
    <t>3102764706G</t>
  </si>
  <si>
    <t>792770113</t>
  </si>
  <si>
    <t>P211 H58513 2002</t>
  </si>
  <si>
    <t>0                      P  0211000H  58513       2002</t>
  </si>
  <si>
    <t>A history of writing : from hieroglyph to multimedia / edited by Anne-Marie Christin ; [translated from the french by Josephine Bacon, Deke Dusinbere, and Ian McMorran].</t>
  </si>
  <si>
    <t>Histoire de l'écriture. English.</t>
  </si>
  <si>
    <t>Paris : Flammarion, ©2002.</t>
  </si>
  <si>
    <t>867257025:eng</t>
  </si>
  <si>
    <t>50525399</t>
  </si>
  <si>
    <t>ocm50525399</t>
  </si>
  <si>
    <t>3103150548R</t>
  </si>
  <si>
    <t>9782080108876</t>
  </si>
  <si>
    <t>793766933</t>
  </si>
  <si>
    <t>P211 I34 2012</t>
  </si>
  <si>
    <t>0                      P  0211000I  34          2012</t>
  </si>
  <si>
    <t>The idea of writing : writing across borders / edited by Alex de Voogt and Joachim Friedrich Quack.</t>
  </si>
  <si>
    <t>3859716991:eng</t>
  </si>
  <si>
    <t>752911894</t>
  </si>
  <si>
    <t>ocn752911894</t>
  </si>
  <si>
    <t>31034220092</t>
  </si>
  <si>
    <t>9789004215450</t>
  </si>
  <si>
    <t>794891922</t>
  </si>
  <si>
    <t>P211 J413 1969</t>
  </si>
  <si>
    <t>0                      P  0211000J  413         1969</t>
  </si>
  <si>
    <t>Sign, symbol, and script : an account of man's efforts to write / by Hans Jensen, professor at the University of Rostock.</t>
  </si>
  <si>
    <t>Jensen, Hans, 1884-1973.</t>
  </si>
  <si>
    <t>New York : G.P. Putnam's Sons, 1969.</t>
  </si>
  <si>
    <t>Third revised and enlarged edition / translated from the German by George Unwin. First American edition.</t>
  </si>
  <si>
    <t>1150990190:eng</t>
  </si>
  <si>
    <t>59317</t>
  </si>
  <si>
    <t>ocm00059317</t>
  </si>
  <si>
    <t>3000014534B</t>
  </si>
  <si>
    <t>791242323</t>
  </si>
  <si>
    <t>P211 L725 1990</t>
  </si>
  <si>
    <t>0                      P  0211000L  725         1990</t>
  </si>
  <si>
    <t>Literacy and orality / edited by David R. Olson and Nancy Torrance.</t>
  </si>
  <si>
    <t>350388520:eng</t>
  </si>
  <si>
    <t>21333660</t>
  </si>
  <si>
    <t>ocm21333660</t>
  </si>
  <si>
    <t>3102814650S</t>
  </si>
  <si>
    <t>9780521392174</t>
  </si>
  <si>
    <t>793115862</t>
  </si>
  <si>
    <t>P211 L7298 2004</t>
  </si>
  <si>
    <t>0                      P  0211000L  7298        2004</t>
  </si>
  <si>
    <t>The alphabet effect : a media ecology understanding of the making of Western civilization / Robert K. Logan.</t>
  </si>
  <si>
    <t>Cresskill, N.J. : Hampton Press, ©2004.</t>
  </si>
  <si>
    <t>905502010:eng</t>
  </si>
  <si>
    <t>55645069</t>
  </si>
  <si>
    <t>ocm55645069</t>
  </si>
  <si>
    <t>31027646863</t>
  </si>
  <si>
    <t>9781572735224</t>
  </si>
  <si>
    <t>793880117</t>
  </si>
  <si>
    <t>P211 M237 2000</t>
  </si>
  <si>
    <t>0                      P  0211000M  237         2000</t>
  </si>
  <si>
    <t>Alpha beta : how 26 letters shaped the Western world / John Man.</t>
  </si>
  <si>
    <t>Man, John, 1941-</t>
  </si>
  <si>
    <t>New York : Wiley, 2000.</t>
  </si>
  <si>
    <t>800083052:eng</t>
  </si>
  <si>
    <t>46422092</t>
  </si>
  <si>
    <t>ocm46422092</t>
  </si>
  <si>
    <t>3103363810W</t>
  </si>
  <si>
    <t>9780471415749</t>
  </si>
  <si>
    <t>793684400</t>
  </si>
  <si>
    <t>P211 M355 2016</t>
  </si>
  <si>
    <t>0                      P  0211000M  355         2016</t>
  </si>
  <si>
    <t>Spellbound : rethinking the alphabet / Craig McDaniel + Jean Robertson.</t>
  </si>
  <si>
    <t>McDaniel, Craig, author.</t>
  </si>
  <si>
    <t>Bristol, UK ; Chicago, IL : Intellect, [2016]</t>
  </si>
  <si>
    <t>3802410480:eng</t>
  </si>
  <si>
    <t>946010730</t>
  </si>
  <si>
    <t>ocn946010730</t>
  </si>
  <si>
    <t>3103609568A</t>
  </si>
  <si>
    <t>9781783205493</t>
  </si>
  <si>
    <t>795014163</t>
  </si>
  <si>
    <t>P211 N97 1986</t>
  </si>
  <si>
    <t>0                      P  0211000N  97          1986</t>
  </si>
  <si>
    <t>The structure of written communication : studies in reciprocity between writers and readers / Martin Nystrand ; with contributions by Margaret Himley, Anne Doyle.</t>
  </si>
  <si>
    <t>Nystrand, Martin.</t>
  </si>
  <si>
    <t>Orlando, Fla. : Academic Press, 1986.</t>
  </si>
  <si>
    <t>836652250:eng</t>
  </si>
  <si>
    <t>13700109</t>
  </si>
  <si>
    <t>ocm13700109</t>
  </si>
  <si>
    <t>31027646853</t>
  </si>
  <si>
    <t>9780125234825</t>
  </si>
  <si>
    <t>792863583</t>
  </si>
  <si>
    <t>P211 O53 1994</t>
  </si>
  <si>
    <t>0                      P  0211000O  53          1994</t>
  </si>
  <si>
    <t>The world on paper : the conceptual and cognitive implications of writing and reading / David R. Olson.</t>
  </si>
  <si>
    <t>Olson, David R., 1935-</t>
  </si>
  <si>
    <t>Cambridge ; New York : Cambridge University Press, 1994.</t>
  </si>
  <si>
    <t>45152160:eng</t>
  </si>
  <si>
    <t>28634087</t>
  </si>
  <si>
    <t>ocm28634087</t>
  </si>
  <si>
    <t>3101428043W</t>
  </si>
  <si>
    <t>9780521443111</t>
  </si>
  <si>
    <t>793292533</t>
  </si>
  <si>
    <t>P211 O75 1989</t>
  </si>
  <si>
    <t>0                      P  0211000O  75          1989</t>
  </si>
  <si>
    <t>The Origins of writing / edited by Wayne M. Senner.</t>
  </si>
  <si>
    <t>Lincoln : University of Nebraska Press, 1991.</t>
  </si>
  <si>
    <t>1st paperback ed.</t>
  </si>
  <si>
    <t>55178502:eng</t>
  </si>
  <si>
    <t>19222287</t>
  </si>
  <si>
    <t>ocm19222287</t>
  </si>
  <si>
    <t>3102607824X</t>
  </si>
  <si>
    <t>9780803242029</t>
  </si>
  <si>
    <t>793050345</t>
  </si>
  <si>
    <t>P211 P5513 2007</t>
  </si>
  <si>
    <t>0                      P  0211000P  5513        2007</t>
  </si>
  <si>
    <t>Letter by letter : an alphabetical miscellany / Laurent Pflughaupt.</t>
  </si>
  <si>
    <t>Pflughaupt, Laurent, 1964-</t>
  </si>
  <si>
    <t>New York : Princeton Architectural Press, ©2007.</t>
  </si>
  <si>
    <t>English ed., 1st ed.</t>
  </si>
  <si>
    <t>10070560:eng</t>
  </si>
  <si>
    <t>171151909</t>
  </si>
  <si>
    <t>ocn171151909</t>
  </si>
  <si>
    <t>3102884457$</t>
  </si>
  <si>
    <t>9781568987378</t>
  </si>
  <si>
    <t>794264234</t>
  </si>
  <si>
    <t>P211 P67 2010</t>
  </si>
  <si>
    <t>0                      P  0211000P  67          2010</t>
  </si>
  <si>
    <t>Portable Media : Schreibszenen in Bewegung zwischen Peripatetik und Mobiltelefon / herausgegeben von Martin Stingelin und Matthias Thiele ; in Zusammenarbeit mit Claas Morgenroth.</t>
  </si>
  <si>
    <t>München : Wilhelm Fink, 2010.</t>
  </si>
  <si>
    <t>Zur Genealogie des Schreibens ; Bd. 12</t>
  </si>
  <si>
    <t>2014-05-20</t>
  </si>
  <si>
    <t>794170110:ger</t>
  </si>
  <si>
    <t>496959362</t>
  </si>
  <si>
    <t>ocn496959362</t>
  </si>
  <si>
    <t>3103285943B</t>
  </si>
  <si>
    <t>9783770547944</t>
  </si>
  <si>
    <t>794802815</t>
  </si>
  <si>
    <t>P211 R584 2005</t>
  </si>
  <si>
    <t>0                      P  0211000R  584         2005</t>
  </si>
  <si>
    <t>Guide to scripts used in English writings up to 1500 / Jane Roberts.</t>
  </si>
  <si>
    <t>Roberts, Jane, 1936-</t>
  </si>
  <si>
    <t>London : British Library, 2005.</t>
  </si>
  <si>
    <t>2016-09-02</t>
  </si>
  <si>
    <t>47846786:eng</t>
  </si>
  <si>
    <t>63765659</t>
  </si>
  <si>
    <t>ocm63765659</t>
  </si>
  <si>
    <t>3102556474K</t>
  </si>
  <si>
    <t>9780712348843</t>
  </si>
  <si>
    <t>794123068</t>
  </si>
  <si>
    <t>P211 R6 2007</t>
  </si>
  <si>
    <t>0                      P  0211000R  6           2007</t>
  </si>
  <si>
    <t>The story of writing / Andrew Robinson.</t>
  </si>
  <si>
    <t>Robinson, Andrew, 1957-</t>
  </si>
  <si>
    <t>London : Thames &amp; Hudson, 2007.</t>
  </si>
  <si>
    <t>20783258:eng</t>
  </si>
  <si>
    <t>74523117</t>
  </si>
  <si>
    <t>ocm74523117</t>
  </si>
  <si>
    <t>31025693618</t>
  </si>
  <si>
    <t>9780500286609</t>
  </si>
  <si>
    <t>794173119</t>
  </si>
  <si>
    <t>P211 R638 2005</t>
  </si>
  <si>
    <t>0                      P  0211000R  638         2005</t>
  </si>
  <si>
    <t>Writing systems : a linguistic approach / Henry Rogers.</t>
  </si>
  <si>
    <t>Rogers, Henry, 1940-2010.</t>
  </si>
  <si>
    <t>Blackwell textbooks in linguistics ; 18</t>
  </si>
  <si>
    <t>787365:eng</t>
  </si>
  <si>
    <t>53831495</t>
  </si>
  <si>
    <t>ocm53831495</t>
  </si>
  <si>
    <t>3102640944Y</t>
  </si>
  <si>
    <t>9780631234630</t>
  </si>
  <si>
    <t>793851310</t>
  </si>
  <si>
    <t>P211 S37 2014</t>
  </si>
  <si>
    <t>0                      P  0211000S  37          2014</t>
  </si>
  <si>
    <t>Scripts beyond borders : a survey of allographic traditions in the Euro-Mediterranean world / edited by Johannes den Heijer, Andrea Schmidt and Tamara Pataridze.</t>
  </si>
  <si>
    <t>Louvain-la-Neuve : Université catholique de Louvain, Institut orientaliste ; Leuven : Peeters, 2014.</t>
  </si>
  <si>
    <t>Publications de l'Institut orientaliste de Louvain ; 62</t>
  </si>
  <si>
    <t>2019-08-07</t>
  </si>
  <si>
    <t>1916423748:eng</t>
  </si>
  <si>
    <t>881180366</t>
  </si>
  <si>
    <t>ocn881180366</t>
  </si>
  <si>
    <t>3103697057S</t>
  </si>
  <si>
    <t>9789042926462</t>
  </si>
  <si>
    <t>794973872</t>
  </si>
  <si>
    <t>P211 S42 1995</t>
  </si>
  <si>
    <t>0                      P  0211000S  42          1995</t>
  </si>
  <si>
    <t>Scripts and literacy : reading and learning to read alphabets, syllabaries, and characters / edited by Insup Taylor and David R. Olson.</t>
  </si>
  <si>
    <t>Dordrecht ; Boston : Kluwer Academic Publishers, ©1995.</t>
  </si>
  <si>
    <t>Neuropsychology and cognition ; v. 7</t>
  </si>
  <si>
    <t>836892046:eng</t>
  </si>
  <si>
    <t>30511327</t>
  </si>
  <si>
    <t>ocm30511327</t>
  </si>
  <si>
    <t>31027646697</t>
  </si>
  <si>
    <t>9780792329121</t>
  </si>
  <si>
    <t>793337358</t>
  </si>
  <si>
    <t>P211 S48 2011</t>
  </si>
  <si>
    <t>0                      P  0211000S  48          2011</t>
  </si>
  <si>
    <t>Scrivere e leggere nell'alto Medioevo : Spoleto, 28 aprile-4 maggio 2011.</t>
  </si>
  <si>
    <t>t.1</t>
  </si>
  <si>
    <t>Settimana di studio Scrivere e leggere nell'alto Medioevo (2011 : Spoleto, Italy)</t>
  </si>
  <si>
    <t>Spoleto (Perugia) : Fondazione Centro italiano di studi sull'alto Medioevo, 2012.</t>
  </si>
  <si>
    <t>Settimane di studio della Fondazione Centro italiano di studi sull'alto Medioevo ; 59</t>
  </si>
  <si>
    <t>5619789200:ita</t>
  </si>
  <si>
    <t>794685163</t>
  </si>
  <si>
    <t>ocn794685163</t>
  </si>
  <si>
    <t>3103445924N</t>
  </si>
  <si>
    <t>9788879885720</t>
  </si>
  <si>
    <t>794920284</t>
  </si>
  <si>
    <t>t.2</t>
  </si>
  <si>
    <t>3103445928N</t>
  </si>
  <si>
    <t>794920283</t>
  </si>
  <si>
    <t>P211 S66 2010</t>
  </si>
  <si>
    <t>0                      P  0211000S  66          2010</t>
  </si>
  <si>
    <t>Language, technology, and society / Richard Sproat.</t>
  </si>
  <si>
    <t>Sproat, Richard William.</t>
  </si>
  <si>
    <t>2010-06-13</t>
  </si>
  <si>
    <t>356350113:eng</t>
  </si>
  <si>
    <t>477256340</t>
  </si>
  <si>
    <t>ocn477256340</t>
  </si>
  <si>
    <t>3103132970B</t>
  </si>
  <si>
    <t>9780199549382</t>
  </si>
  <si>
    <t>794798899</t>
  </si>
  <si>
    <t>P211 S69 1983</t>
  </si>
  <si>
    <t>0                      P  0211000S  69          1983</t>
  </si>
  <si>
    <t>The implications of literacy : written language and models of interpretation in the eleventh and twelfth centuries / Brian Stock.</t>
  </si>
  <si>
    <t>Stock, Brian.</t>
  </si>
  <si>
    <t>Princeton, N.J. : Princeton University Press, ©1983.</t>
  </si>
  <si>
    <t>2019-01-13</t>
  </si>
  <si>
    <t>441589:eng</t>
  </si>
  <si>
    <t>8554299</t>
  </si>
  <si>
    <t>ocm08554299</t>
  </si>
  <si>
    <t>31027646981</t>
  </si>
  <si>
    <t>9780691053684</t>
  </si>
  <si>
    <t>792627042</t>
  </si>
  <si>
    <t>P211 W45 1982</t>
  </si>
  <si>
    <t>0                      P  0211000W  45          1982</t>
  </si>
  <si>
    <t>What writers know : the language, process, and structure of written discourse / edited by Martin Nystrand.</t>
  </si>
  <si>
    <t>New York : Academic Press, 1982.</t>
  </si>
  <si>
    <t>890321241:eng</t>
  </si>
  <si>
    <t>7977124</t>
  </si>
  <si>
    <t>ocm07977124</t>
  </si>
  <si>
    <t>3000972458N</t>
  </si>
  <si>
    <t>9780125234801</t>
  </si>
  <si>
    <t>792590846</t>
  </si>
  <si>
    <t>P211 W714 1996</t>
  </si>
  <si>
    <t>0                      P  0211000W  714         1996</t>
  </si>
  <si>
    <t>The world's writing systems / edited by Peter T. Daniels and William Bright.</t>
  </si>
  <si>
    <t>344446129:eng</t>
  </si>
  <si>
    <t>31969720</t>
  </si>
  <si>
    <t>ocm31969720</t>
  </si>
  <si>
    <t>31019452131</t>
  </si>
  <si>
    <t>9780195079937</t>
  </si>
  <si>
    <t>793372325</t>
  </si>
  <si>
    <t>P211.3 A65 P65 2017</t>
  </si>
  <si>
    <t>0                      P  0211300A  65                 P  65          2017</t>
  </si>
  <si>
    <t>The politics of written language in the Arab world : writing change / edited by Jacob Hoigilt, Gunvor Mejdell.</t>
  </si>
  <si>
    <t>Leiden ; Boston : Brill, 2017.</t>
  </si>
  <si>
    <t>Studies in semitic languages and linguistics, 0081-8461 ; volume 90</t>
  </si>
  <si>
    <t>4407460985:eng</t>
  </si>
  <si>
    <t>978286810</t>
  </si>
  <si>
    <t>ocn978286810</t>
  </si>
  <si>
    <t>3103739498H</t>
  </si>
  <si>
    <t>9789004346161</t>
  </si>
  <si>
    <t>795033106</t>
  </si>
  <si>
    <t>P211.3 B425 S65 2015</t>
  </si>
  <si>
    <t>0                      P  0211300B  425                S  65          2015</t>
  </si>
  <si>
    <t>Manuscript communication : visual and textual mechanics of communication in hagiographical texts from the Southern Low Countries, 900-1200 / Tjamke Snijders.</t>
  </si>
  <si>
    <t>Snijders, Tjamke, 1981- author.</t>
  </si>
  <si>
    <t>Turnhout, Belgium : Brepols, [2015]</t>
  </si>
  <si>
    <t>Utrecht studies in medieval literacy ; 32</t>
  </si>
  <si>
    <t>2226551930:eng</t>
  </si>
  <si>
    <t>895714166</t>
  </si>
  <si>
    <t>ocn895714166</t>
  </si>
  <si>
    <t>3103496837W</t>
  </si>
  <si>
    <t>9782503552941</t>
  </si>
  <si>
    <t>794983730</t>
  </si>
  <si>
    <t>31036089574</t>
  </si>
  <si>
    <t>794983729</t>
  </si>
  <si>
    <t>P211.3 B99 L57 2002</t>
  </si>
  <si>
    <t>0                      P  0211300B  99                 L  57          2002</t>
  </si>
  <si>
    <t>Literacy, education and manuscript transmission in Byzantium and beyond / edited by Catherine Holmes and Judith Waring.</t>
  </si>
  <si>
    <t>Leiden ; Boston, MA : Brill, 2002.</t>
  </si>
  <si>
    <t>The Medieval Mediterranean ; v. 42</t>
  </si>
  <si>
    <t>353292594:eng</t>
  </si>
  <si>
    <t>49871605</t>
  </si>
  <si>
    <t>ocm49871605</t>
  </si>
  <si>
    <t>31027646873</t>
  </si>
  <si>
    <t>9789004120969</t>
  </si>
  <si>
    <t>793749510</t>
  </si>
  <si>
    <t>2018-03-07</t>
  </si>
  <si>
    <t>P211.3 C9 S95 2013</t>
  </si>
  <si>
    <t>0                      P  0211300C  9                  S  95          2013</t>
  </si>
  <si>
    <t>Syllabic writing on Cyprus and its context / edited by Philippa M. Steele.</t>
  </si>
  <si>
    <t>1218429824:eng</t>
  </si>
  <si>
    <t>794624713</t>
  </si>
  <si>
    <t>ocn794624713</t>
  </si>
  <si>
    <t>31035000662</t>
  </si>
  <si>
    <t>9781107026711</t>
  </si>
  <si>
    <t>794920216</t>
  </si>
  <si>
    <t>P211.3 E3 B34 2011</t>
  </si>
  <si>
    <t>0                      P  0211300E  3                  B  34          2011</t>
  </si>
  <si>
    <t>Everyday writing in the Graeco-Roman East / Roger S. Bagnall.</t>
  </si>
  <si>
    <t>Bagnall, Roger S.</t>
  </si>
  <si>
    <t>Berkeley : University of California Press, ©2011.</t>
  </si>
  <si>
    <t>The Joan Palevsky imprint in classical literature</t>
  </si>
  <si>
    <t>2014-09-18</t>
  </si>
  <si>
    <t>503365017:eng</t>
  </si>
  <si>
    <t>642351602</t>
  </si>
  <si>
    <t>ocn642351602</t>
  </si>
  <si>
    <t>3103323602N</t>
  </si>
  <si>
    <t>9780520267022</t>
  </si>
  <si>
    <t>794828155</t>
  </si>
  <si>
    <t>P211.3 E3 C75 1996</t>
  </si>
  <si>
    <t>0                      P  0211300E  3                  C  75          1996</t>
  </si>
  <si>
    <t>Writing, teachers, and students in Graeco-Roman Egypt / by Raffaella Cribiore.</t>
  </si>
  <si>
    <t>Cribiore, Raffaella, author.</t>
  </si>
  <si>
    <t>Atlanta : Scholars Press, ©1996.</t>
  </si>
  <si>
    <t>American studies in papyrology ; no. 36</t>
  </si>
  <si>
    <t>15767810:eng</t>
  </si>
  <si>
    <t>34547252</t>
  </si>
  <si>
    <t>ocm34547252</t>
  </si>
  <si>
    <t>31033652331</t>
  </si>
  <si>
    <t>9780788502774</t>
  </si>
  <si>
    <t>793429456</t>
  </si>
  <si>
    <t>P211.3 E85 C65 2010</t>
  </si>
  <si>
    <t>0                      P  0211300E  85                 C  65          2010</t>
  </si>
  <si>
    <t>Collaboration and interdisciplinarity in the Republic of letters : essays in honour of Richard G. Maber / edited by Paul Scott.</t>
  </si>
  <si>
    <t>Manchester ; New York : Manchester University Press ; New York : Distributed in the United States exclusively by Palgrave Macmillan, 2010.</t>
  </si>
  <si>
    <t>Durham modern languages series. FM ; 32</t>
  </si>
  <si>
    <t>398227324:eng</t>
  </si>
  <si>
    <t>526077019</t>
  </si>
  <si>
    <t>ocn526077019</t>
  </si>
  <si>
    <t>3103134578F</t>
  </si>
  <si>
    <t>9780719082825</t>
  </si>
  <si>
    <t>794809022</t>
  </si>
  <si>
    <t>P211.3 E85 L96 2013</t>
  </si>
  <si>
    <t>0                      P  0211300E  85                 L  96          2013</t>
  </si>
  <si>
    <t>The writing culture of ordinary people in Europe, c. 1860-1920 / Martyn Lyons.</t>
  </si>
  <si>
    <t>Lyons, Martyn.</t>
  </si>
  <si>
    <t>1177802747:eng</t>
  </si>
  <si>
    <t>794556007</t>
  </si>
  <si>
    <t>ocn794556007</t>
  </si>
  <si>
    <t>3103432630A</t>
  </si>
  <si>
    <t>9781107018891</t>
  </si>
  <si>
    <t>794920018</t>
  </si>
  <si>
    <t>P211.3 E85 M35 1989</t>
  </si>
  <si>
    <t>0                      P  0211300E  85                 M  35          1989</t>
  </si>
  <si>
    <t>The Carolingians and the written word / Rosamond McKitterick.</t>
  </si>
  <si>
    <t>McKitterick, Rosamond.</t>
  </si>
  <si>
    <t>2016-06-27</t>
  </si>
  <si>
    <t>15808317:eng</t>
  </si>
  <si>
    <t>18520955</t>
  </si>
  <si>
    <t>ocm18520955</t>
  </si>
  <si>
    <t>31027646677</t>
  </si>
  <si>
    <t>9780521305396</t>
  </si>
  <si>
    <t>793027913</t>
  </si>
  <si>
    <t>P211.3 E85 R85 2016</t>
  </si>
  <si>
    <t>0                      P  0211300E  85                 R  85          2016</t>
  </si>
  <si>
    <t>Ruling the script in the Middle Ages : formal aspects of written communication (books, charters, and inscriptions) / edited by Sébastien Barret, Dominique Stutzmann, and Georg Vogeler.</t>
  </si>
  <si>
    <t>Turnhout, Belgium : Brepols, [2016]</t>
  </si>
  <si>
    <t>Utrecht studies in medieval literacy ; 35</t>
  </si>
  <si>
    <t>3981550402:eng</t>
  </si>
  <si>
    <t>981460533</t>
  </si>
  <si>
    <t>ocn981460533</t>
  </si>
  <si>
    <t>3103738907V</t>
  </si>
  <si>
    <t>9782503567433</t>
  </si>
  <si>
    <t>795033978</t>
  </si>
  <si>
    <t>P211.3 E85 T73 2006</t>
  </si>
  <si>
    <t>0                      P  0211300E  85                 T  73          2006</t>
  </si>
  <si>
    <t>Transforming the medieval world : uses of pragmatic literacy in the Middle Ages ; a CD-ROM and book / edited by Franz-Josef Arlinghaus [and others].</t>
  </si>
  <si>
    <t>Turnhout : Brepols ; [Abingdon] : [Marston, distributor], 2006.</t>
  </si>
  <si>
    <t>Utrecht studies in medieval literacy ; 6</t>
  </si>
  <si>
    <t>865013406:eng</t>
  </si>
  <si>
    <t>77540307</t>
  </si>
  <si>
    <t>ocm77540307</t>
  </si>
  <si>
    <t>3102642732Y</t>
  </si>
  <si>
    <t>9782503511665</t>
  </si>
  <si>
    <t>794192007</t>
  </si>
  <si>
    <t>P211.3 G7 C53 2018</t>
  </si>
  <si>
    <t>0                      P  0211300G  7                  C  53          2018</t>
  </si>
  <si>
    <t>Looking back from the invention of printing : mothers and the teaching of reading in the Middle Ages / Michael Clanchy.</t>
  </si>
  <si>
    <t>Clanchy, M. T., author.</t>
  </si>
  <si>
    <t>Turnhout, Belgium : Brepols, [2018]</t>
  </si>
  <si>
    <t>Utrecht studies in medieval literacy ; 40</t>
  </si>
  <si>
    <t>5601783088:eng</t>
  </si>
  <si>
    <t>1049910312</t>
  </si>
  <si>
    <t>on1049910312</t>
  </si>
  <si>
    <t>3103867293K</t>
  </si>
  <si>
    <t>9782503580838</t>
  </si>
  <si>
    <t>795061265</t>
  </si>
  <si>
    <t>P211.3 I8 E93 2003</t>
  </si>
  <si>
    <t>0                      P  0211300I  8                  E  93          2003</t>
  </si>
  <si>
    <t>Literacy in Lombard Italy, c. 568-774 / Nicholas Everett.</t>
  </si>
  <si>
    <t>Everett, Nicholas.</t>
  </si>
  <si>
    <t>Cambridge studies in medieval life and thought ; 4th ser., 53</t>
  </si>
  <si>
    <t>909774:eng</t>
  </si>
  <si>
    <t>50291193</t>
  </si>
  <si>
    <t>ocm50291193</t>
  </si>
  <si>
    <t>3102560788S</t>
  </si>
  <si>
    <t>9780521819053</t>
  </si>
  <si>
    <t>793760087</t>
  </si>
  <si>
    <t>P211.3 I8 P4813 1993</t>
  </si>
  <si>
    <t>0                      P  0211300I  8                  P  4813        1993</t>
  </si>
  <si>
    <t>Public lettering : script, power, and culture / Armando Petrucci ; translated by Linda Lappin.</t>
  </si>
  <si>
    <t>Petrucci, Armando.</t>
  </si>
  <si>
    <t>Chicago : University of Chicago Press, 1993.</t>
  </si>
  <si>
    <t>2016-06-15</t>
  </si>
  <si>
    <t>328895:eng</t>
  </si>
  <si>
    <t>27642898</t>
  </si>
  <si>
    <t>ocm27642898</t>
  </si>
  <si>
    <t>3102836822A</t>
  </si>
  <si>
    <t>9780226663869</t>
  </si>
  <si>
    <t>793268218</t>
  </si>
  <si>
    <t>P211.3 M628 V57 2010</t>
  </si>
  <si>
    <t>0                      P  0211300M  628                V  57          2010</t>
  </si>
  <si>
    <t>Visible language : inventions of writing in the ancient Middle East and beyond / edited by Christopher Woods with the assistance of Geoff Emberling &amp; Emily Teeter.</t>
  </si>
  <si>
    <t>Chicago, Ill. : Oriental Institute of the University of Chicago, 2010.</t>
  </si>
  <si>
    <t>Oriental Institute Museum publications ; no. 32</t>
  </si>
  <si>
    <t>2012-03-27</t>
  </si>
  <si>
    <t>796557578:eng</t>
  </si>
  <si>
    <t>664327312</t>
  </si>
  <si>
    <t>ocn664327312</t>
  </si>
  <si>
    <t>3103228424B</t>
  </si>
  <si>
    <t>9781885923769</t>
  </si>
  <si>
    <t>794843417</t>
  </si>
  <si>
    <t>P211.3 P4 S25 2011</t>
  </si>
  <si>
    <t>0                      P  0211300P  4                  S  25          2011</t>
  </si>
  <si>
    <t>The lettered mountain : a Peruvian village's way with writing / Frank Salomon and Mercedes Niño-Murcia.</t>
  </si>
  <si>
    <t>Salomon, Frank.</t>
  </si>
  <si>
    <t>Durham : Duke University Press, 2011.</t>
  </si>
  <si>
    <t>2013-10-16</t>
  </si>
  <si>
    <t>775902287:eng</t>
  </si>
  <si>
    <t>700406674</t>
  </si>
  <si>
    <t>ocn700406674</t>
  </si>
  <si>
    <t>3103385319T</t>
  </si>
  <si>
    <t>9780822350279</t>
  </si>
  <si>
    <t>794862050</t>
  </si>
  <si>
    <t>P211.3 S7 B6813 2004</t>
  </si>
  <si>
    <t>0                      P  0211300S  7                  B  6813        2004</t>
  </si>
  <si>
    <t>Communication, knowledge, and memory in early modern Spain / Fernando Bouza ; translated by Sonia López and Michael Agnew ; foreword by Roger Chartier.</t>
  </si>
  <si>
    <t>Bouza Alvarez, Fernando J.</t>
  </si>
  <si>
    <t>Philadelphia : University of Pennsylvania Press, [2004]</t>
  </si>
  <si>
    <t>12259462:eng</t>
  </si>
  <si>
    <t>54400158</t>
  </si>
  <si>
    <t>ocm54400158</t>
  </si>
  <si>
    <t>31027646627</t>
  </si>
  <si>
    <t>9780812238051</t>
  </si>
  <si>
    <t>793860960</t>
  </si>
  <si>
    <t>P211.3 T88 B47 1995</t>
  </si>
  <si>
    <t>0                      P  0211300T  88                 B  47          1995</t>
  </si>
  <si>
    <t>Literacy, emotion, and authority : reading and writing on a Polynesian atoll / Niko Besnier.</t>
  </si>
  <si>
    <t>Besnier, Niko.</t>
  </si>
  <si>
    <t>Studies in the social and cultural foundations of language ; no. 16</t>
  </si>
  <si>
    <t>2016-01-05</t>
  </si>
  <si>
    <t>836953593:eng</t>
  </si>
  <si>
    <t>31133729</t>
  </si>
  <si>
    <t>ocm31133729</t>
  </si>
  <si>
    <t>31027647516</t>
  </si>
  <si>
    <t>9780521480871</t>
  </si>
  <si>
    <t>793354157</t>
  </si>
  <si>
    <t>P211.4 E93 2016</t>
  </si>
  <si>
    <t>0                      P  0211400E  93          2016</t>
  </si>
  <si>
    <t>The inbox : understanding and maximizing student-instructor email / Jennifer D. Ewald.</t>
  </si>
  <si>
    <t>Ewald, Jennifer, 1970- author.</t>
  </si>
  <si>
    <t>2936106099:eng</t>
  </si>
  <si>
    <t>910802200</t>
  </si>
  <si>
    <t>ocn910802200</t>
  </si>
  <si>
    <t>3103656702H</t>
  </si>
  <si>
    <t>9781781791134</t>
  </si>
  <si>
    <t>794996476</t>
  </si>
  <si>
    <t>P211.4 S67 2000</t>
  </si>
  <si>
    <t>0                      P  0211400S  67          2000</t>
  </si>
  <si>
    <t>A computational theory of writing systems / Richard Sproat.</t>
  </si>
  <si>
    <t>14455671:eng</t>
  </si>
  <si>
    <t>42882857</t>
  </si>
  <si>
    <t>ocm42882857</t>
  </si>
  <si>
    <t>31027647468</t>
  </si>
  <si>
    <t>9780521663403</t>
  </si>
  <si>
    <t>793616564</t>
  </si>
  <si>
    <t>P211.6 T73 2012</t>
  </si>
  <si>
    <t>0                      P  0211600T  73          2012</t>
  </si>
  <si>
    <t>Translation of thought to written text while composing : advancing theory, knowledge, research methods, tools, and applications / edited by Michel Fayol, Denis Alamargot, and Virginia W. Berninger.</t>
  </si>
  <si>
    <t>New York : Psychology Press/Taylor &amp; Francis Group, 2012.</t>
  </si>
  <si>
    <t>2014-07-31</t>
  </si>
  <si>
    <t>1057261251:eng</t>
  </si>
  <si>
    <t>741542137</t>
  </si>
  <si>
    <t>ocn741542137</t>
  </si>
  <si>
    <t>31034110443</t>
  </si>
  <si>
    <t>9781848729209</t>
  </si>
  <si>
    <t>794884196</t>
  </si>
  <si>
    <t>P211.7 A58 2010</t>
  </si>
  <si>
    <t>0                      P  0211700A  58          2010</t>
  </si>
  <si>
    <t>The anthropology of writing : understanding textually mediated worlds / edited by David Barton and Uta Papen.</t>
  </si>
  <si>
    <t>2014-07-22</t>
  </si>
  <si>
    <t>1044435597:eng</t>
  </si>
  <si>
    <t>466343958</t>
  </si>
  <si>
    <t>ocn466343958</t>
  </si>
  <si>
    <t>31032408917</t>
  </si>
  <si>
    <t>9781441108852</t>
  </si>
  <si>
    <t>794794393</t>
  </si>
  <si>
    <t>P211.7 C69 2013</t>
  </si>
  <si>
    <t>0                      P  0211700C  69          2013</t>
  </si>
  <si>
    <t>Writing and society : an introduction / Florian Coulmas.</t>
  </si>
  <si>
    <t>Coulmas, Florian, author.</t>
  </si>
  <si>
    <t>1118906384:eng</t>
  </si>
  <si>
    <t>795020540</t>
  </si>
  <si>
    <t>ocn795020540</t>
  </si>
  <si>
    <t>3103456317Y</t>
  </si>
  <si>
    <t>9781107016422</t>
  </si>
  <si>
    <t>794920824</t>
  </si>
  <si>
    <t>P211.7 S57 1998</t>
  </si>
  <si>
    <t>0                      P  0211700S  57          1998</t>
  </si>
  <si>
    <t>The alphabet versus the goddess : the conflict between word and image / Leonard Shlain.</t>
  </si>
  <si>
    <t>Shlain, Leonard.</t>
  </si>
  <si>
    <t>New York : Viking/ Penguin, 1998.</t>
  </si>
  <si>
    <t>2019-04-30</t>
  </si>
  <si>
    <t>26567127:eng</t>
  </si>
  <si>
    <t>39093593</t>
  </si>
  <si>
    <t>ocm39093593</t>
  </si>
  <si>
    <t>3102764736A</t>
  </si>
  <si>
    <t>9780670878833</t>
  </si>
  <si>
    <t>793537910</t>
  </si>
  <si>
    <t>P214 L48 2016</t>
  </si>
  <si>
    <t>0                      P  0214000L  48          2016</t>
  </si>
  <si>
    <t>Scrolling forward : making sense of documents in the digital age / by David M. Levy ; with a new preface by the author ; foreword by Ruth Ozeki.</t>
  </si>
  <si>
    <t>Levy, David M.</t>
  </si>
  <si>
    <t>New York : Arcade Publishing, [2016]</t>
  </si>
  <si>
    <t>198224329:eng</t>
  </si>
  <si>
    <t>858358958</t>
  </si>
  <si>
    <t>ocn858358958</t>
  </si>
  <si>
    <t>3103654812K</t>
  </si>
  <si>
    <t>9781628723274</t>
  </si>
  <si>
    <t>794956125</t>
  </si>
  <si>
    <t>P215 F3</t>
  </si>
  <si>
    <t>0                      P  0215000F  3</t>
  </si>
  <si>
    <t>Speech sounds and features / Gunnar Fant.</t>
  </si>
  <si>
    <t>Fant, Gunnar.</t>
  </si>
  <si>
    <t>Cambridge : MIT Press, 1973.</t>
  </si>
  <si>
    <t>Current studies in linguistics series ; 4</t>
  </si>
  <si>
    <t>1784710:eng</t>
  </si>
  <si>
    <t>591610</t>
  </si>
  <si>
    <t>ocm00591610</t>
  </si>
  <si>
    <t>3102764724C</t>
  </si>
  <si>
    <t>9780262060516</t>
  </si>
  <si>
    <t>791423283</t>
  </si>
  <si>
    <t>P215 S78 no.17etc</t>
  </si>
  <si>
    <t>0                      P  0215000S  78                                                      no.17etc</t>
  </si>
  <si>
    <t>Problèmes de prosodie / édité par Pierre Léon et Mario Rossi.</t>
  </si>
  <si>
    <t>no.17etc*</t>
  </si>
  <si>
    <t>Ottawa : Didier, 1979.</t>
  </si>
  <si>
    <t>Studia phonetica ; 17-18</t>
  </si>
  <si>
    <t>10141729892:fre</t>
  </si>
  <si>
    <t>426957090</t>
  </si>
  <si>
    <t>ocn426957090</t>
  </si>
  <si>
    <t>31027647702</t>
  </si>
  <si>
    <t>9782891440479</t>
  </si>
  <si>
    <t>794517148</t>
  </si>
  <si>
    <t>no. 18</t>
  </si>
  <si>
    <t>31027647664</t>
  </si>
  <si>
    <t>794517147</t>
  </si>
  <si>
    <t>P216 T73 1996</t>
  </si>
  <si>
    <t>0                      P  0216000T  73          1996</t>
  </si>
  <si>
    <t>A dictionary of phonetics and phonology / R.L. Trask.</t>
  </si>
  <si>
    <t>20507664:eng</t>
  </si>
  <si>
    <t>32508753</t>
  </si>
  <si>
    <t>ocm32508753</t>
  </si>
  <si>
    <t>3101546739N</t>
  </si>
  <si>
    <t>9780415112604</t>
  </si>
  <si>
    <t>793385926</t>
  </si>
  <si>
    <t>P217 A6</t>
  </si>
  <si>
    <t>0                      P  0217000A  6</t>
  </si>
  <si>
    <t>The organization of phonology [by] Stephen R. Anderson.</t>
  </si>
  <si>
    <t>1865632:eng</t>
  </si>
  <si>
    <t>886165</t>
  </si>
  <si>
    <t>ocm00886165</t>
  </si>
  <si>
    <t>31027647890</t>
  </si>
  <si>
    <t>9780127850313</t>
  </si>
  <si>
    <t>791494915</t>
  </si>
  <si>
    <t>P217 A78 1994</t>
  </si>
  <si>
    <t>0                      P  0217000A  78          1994</t>
  </si>
  <si>
    <t>Grounded phonology / Diana Archangeli and Douglas Pulleyblank.</t>
  </si>
  <si>
    <t>Archangeli, Diana B.</t>
  </si>
  <si>
    <t>Cambridge, Mass. : MIT Press, ©1994.</t>
  </si>
  <si>
    <t>Current studies in linguistics ; 25</t>
  </si>
  <si>
    <t>30928995:eng</t>
  </si>
  <si>
    <t>28291204</t>
  </si>
  <si>
    <t>ocm28291204</t>
  </si>
  <si>
    <t>31027647840</t>
  </si>
  <si>
    <t>9780262011372</t>
  </si>
  <si>
    <t>793284417</t>
  </si>
  <si>
    <t>P217 B25 2018</t>
  </si>
  <si>
    <t>0                      P  0217000B  25          2018</t>
  </si>
  <si>
    <t>Phonology : a formal introduction / Alan Bale, Charles Reiss.</t>
  </si>
  <si>
    <t>Bale, Alan, author.</t>
  </si>
  <si>
    <t>4668979047:eng</t>
  </si>
  <si>
    <t>1015275226</t>
  </si>
  <si>
    <t>on1015275226</t>
  </si>
  <si>
    <t>3103714312K</t>
  </si>
  <si>
    <t>9780262038386</t>
  </si>
  <si>
    <t>795047878</t>
  </si>
  <si>
    <t>P217 B47 1990</t>
  </si>
  <si>
    <t>0                      P  0217000B  47          1990</t>
  </si>
  <si>
    <t>Between the grammar and physics of speech / edited by John Kingston and Mary E. Beckman.</t>
  </si>
  <si>
    <t>Papers in laboratory phonology ; 1</t>
  </si>
  <si>
    <t>917503922:eng</t>
  </si>
  <si>
    <t>20012410</t>
  </si>
  <si>
    <t>ocm20012410</t>
  </si>
  <si>
    <t>3102607154B</t>
  </si>
  <si>
    <t>9780521362382</t>
  </si>
  <si>
    <t>793074751</t>
  </si>
  <si>
    <t>P217 B53 2011</t>
  </si>
  <si>
    <t>0                      P  0217000B  53          2011</t>
  </si>
  <si>
    <t>The Blackwell companion to phonology / edited by Marc van Oostendorp [and others].</t>
  </si>
  <si>
    <t>Malden, MA : Wiley-Blackwell, ©2011.</t>
  </si>
  <si>
    <t>Blackwell companions to linguistics series</t>
  </si>
  <si>
    <t>2866173260:eng</t>
  </si>
  <si>
    <t>669269889</t>
  </si>
  <si>
    <t>ocn669269889</t>
  </si>
  <si>
    <t>3103030100Q</t>
  </si>
  <si>
    <t>9781405184236</t>
  </si>
  <si>
    <t>794846925</t>
  </si>
  <si>
    <t>3103030101Q</t>
  </si>
  <si>
    <t>794846926</t>
  </si>
  <si>
    <t>3103030095B</t>
  </si>
  <si>
    <t>794846922</t>
  </si>
  <si>
    <t>3103030094B</t>
  </si>
  <si>
    <t>794846923</t>
  </si>
  <si>
    <t>3103030099B</t>
  </si>
  <si>
    <t>794846924</t>
  </si>
  <si>
    <t>P217 C35 1993</t>
  </si>
  <si>
    <t>0                      P  0217000C  35          1993</t>
  </si>
  <si>
    <t>Phonology / Philip Carr.</t>
  </si>
  <si>
    <t>Carr, Philip, 1953-</t>
  </si>
  <si>
    <t>2016-11-10</t>
  </si>
  <si>
    <t>145036573:eng</t>
  </si>
  <si>
    <t>28016115</t>
  </si>
  <si>
    <t>ocm28016115</t>
  </si>
  <si>
    <t>31027647644</t>
  </si>
  <si>
    <t>9780312101022</t>
  </si>
  <si>
    <t>793277530</t>
  </si>
  <si>
    <t>P217 C575 2012</t>
  </si>
  <si>
    <t>0                      P  0217000C  575         2012</t>
  </si>
  <si>
    <t>The initiation of sound change perception, production, and social factors / edited by Maria-Josep Solé ; Daniel Recasens.</t>
  </si>
  <si>
    <t>Amserdam ; Philadelphia : John Benjamins Pub. Co., 2012.</t>
  </si>
  <si>
    <t>Amsterdam studies in the theory and history of linguistic science. Series IV, Current issues in linguistic theory ; v. 323</t>
  </si>
  <si>
    <t>1124003236:eng</t>
  </si>
  <si>
    <t>788294897</t>
  </si>
  <si>
    <t>ocn788294897</t>
  </si>
  <si>
    <t>3103467212S</t>
  </si>
  <si>
    <t>9789027248411</t>
  </si>
  <si>
    <t>794916441</t>
  </si>
  <si>
    <t>P217 C65 2007</t>
  </si>
  <si>
    <t>0                      P  0217000C  65          2007</t>
  </si>
  <si>
    <t>An introduction to phonetics and phonology / John Clark, Colin Yallop and Janet Fletcher.</t>
  </si>
  <si>
    <t>Clark, John (John Ellery)</t>
  </si>
  <si>
    <t>Malden, MA ; Oxford : Blackwell Pub., ©2007.</t>
  </si>
  <si>
    <t>Blackwell textbooks in linguistics ; 9</t>
  </si>
  <si>
    <t>2016-02-27</t>
  </si>
  <si>
    <t>143629477:eng</t>
  </si>
  <si>
    <t>65301748</t>
  </si>
  <si>
    <t>ocm65301748</t>
  </si>
  <si>
    <t>3103471025E</t>
  </si>
  <si>
    <t>9781405130837</t>
  </si>
  <si>
    <t>794133833</t>
  </si>
  <si>
    <t>P217 C668 2011</t>
  </si>
  <si>
    <t>0                      P  0217000C  668         2011</t>
  </si>
  <si>
    <t>Continuum companion to phonology / edited by Nancy C. Kula, Bert Botma and Kuniya Nasukawa.</t>
  </si>
  <si>
    <t>2018-05-06</t>
  </si>
  <si>
    <t>475820010:eng</t>
  </si>
  <si>
    <t>606405843</t>
  </si>
  <si>
    <t>ocn606405843</t>
  </si>
  <si>
    <t>3103321716Q</t>
  </si>
  <si>
    <t>9780826434234</t>
  </si>
  <si>
    <t>794816935</t>
  </si>
  <si>
    <t>P217 D384 2005</t>
  </si>
  <si>
    <t>0                      P  0217000D  384         2005</t>
  </si>
  <si>
    <t>Introducing phonetics &amp; phonology / Mike Davenport and S.J. Hannahs.</t>
  </si>
  <si>
    <t>Davenport, Michael, 1954-</t>
  </si>
  <si>
    <t>London : Hodder Arnold ; New York, NY : Distributed in the United States of America by Oxford University Press, 2005.</t>
  </si>
  <si>
    <t>2018-05-09</t>
  </si>
  <si>
    <t>4417423306:eng</t>
  </si>
  <si>
    <t>57166055</t>
  </si>
  <si>
    <t>ocm57166055</t>
  </si>
  <si>
    <t>3102519862I</t>
  </si>
  <si>
    <t>9780340810453</t>
  </si>
  <si>
    <t>793907637</t>
  </si>
  <si>
    <t>P217 D47 1997</t>
  </si>
  <si>
    <t>0                      P  0217000D  47          1997</t>
  </si>
  <si>
    <t>Derivations and constraints in phonology / edited by Iggy Roca.</t>
  </si>
  <si>
    <t>Oxford : Clarendon Press ; New York : Oxford University Press, 1997.</t>
  </si>
  <si>
    <t>598670:eng</t>
  </si>
  <si>
    <t>36112228</t>
  </si>
  <si>
    <t>ocm36112228</t>
  </si>
  <si>
    <t>31027647830</t>
  </si>
  <si>
    <t>9780198236900</t>
  </si>
  <si>
    <t>793466693</t>
  </si>
  <si>
    <t>P217 G867 2005</t>
  </si>
  <si>
    <t>0                      P  0217000G  867         2005</t>
  </si>
  <si>
    <t>Understanding phonology / Carlos Gussenhoven and Haike Jacobs.</t>
  </si>
  <si>
    <t>Gussenhoven, Carlos, 1946-</t>
  </si>
  <si>
    <t>London : Hoddor Arnold ; New York : Distributed in the United States of America by Oxford University Press, 2005.</t>
  </si>
  <si>
    <t>613774:eng</t>
  </si>
  <si>
    <t>62790096</t>
  </si>
  <si>
    <t>ocm62790096</t>
  </si>
  <si>
    <t>3102820248G</t>
  </si>
  <si>
    <t>9780340807354</t>
  </si>
  <si>
    <t>794112765</t>
  </si>
  <si>
    <t>P217 G867 2011</t>
  </si>
  <si>
    <t>0                      P  0217000G  867         2011</t>
  </si>
  <si>
    <t>Gussenhoven, C. (Carolus Henricus Maria), 1946-</t>
  </si>
  <si>
    <t>London : Hodder Education, 2011.</t>
  </si>
  <si>
    <t>2017-10-25</t>
  </si>
  <si>
    <t>703811700</t>
  </si>
  <si>
    <t>ocn703811700</t>
  </si>
  <si>
    <t>3103373342$</t>
  </si>
  <si>
    <t>9781444112047</t>
  </si>
  <si>
    <t>794865093</t>
  </si>
  <si>
    <t>3103384056Y</t>
  </si>
  <si>
    <t>794865092</t>
  </si>
  <si>
    <t>3103466160P</t>
  </si>
  <si>
    <t>794865094</t>
  </si>
  <si>
    <t>P217 G867 2017</t>
  </si>
  <si>
    <t>0                      P  0217000G  867         2017</t>
  </si>
  <si>
    <t>Gussenhoven, Carlos, 1946- author.</t>
  </si>
  <si>
    <t>London ; New York : Routledge, Taylor &amp; Francis Group, 2017.</t>
  </si>
  <si>
    <t>958066102</t>
  </si>
  <si>
    <t>ocn958066102</t>
  </si>
  <si>
    <t>31037370978</t>
  </si>
  <si>
    <t>9781138961418</t>
  </si>
  <si>
    <t>795021374</t>
  </si>
  <si>
    <t>P217 H23 2008</t>
  </si>
  <si>
    <t>0                      P  0217000H  23          2008</t>
  </si>
  <si>
    <t>The phonological enterprise / Mark Hale and Charles Reiss.</t>
  </si>
  <si>
    <t>115913484:eng</t>
  </si>
  <si>
    <t>180204925</t>
  </si>
  <si>
    <t>ocn180204925</t>
  </si>
  <si>
    <t>3102852253S</t>
  </si>
  <si>
    <t>9780199533978</t>
  </si>
  <si>
    <t>794279772</t>
  </si>
  <si>
    <t>P217 H27 2011</t>
  </si>
  <si>
    <t>0                      P  0217000H  27          2011</t>
  </si>
  <si>
    <t>The handbook of phonological theory / edited by John Goldsmith, Jason Riggle, and Alan Yu.</t>
  </si>
  <si>
    <t>4925336458:eng</t>
  </si>
  <si>
    <t>704557546</t>
  </si>
  <si>
    <t>ocn704557546</t>
  </si>
  <si>
    <t>3103408209J</t>
  </si>
  <si>
    <t>9781405157681</t>
  </si>
  <si>
    <t>794865804</t>
  </si>
  <si>
    <t>P217 H346 2009</t>
  </si>
  <si>
    <t>0                      P  0217000H  346         2009</t>
  </si>
  <si>
    <t>Introductory phonology / Bruce Hayes.</t>
  </si>
  <si>
    <t>Hayes, Bruce, 1955-</t>
  </si>
  <si>
    <t>Malden, MA ; Oxford : Wiley-Blackwell, 2009.</t>
  </si>
  <si>
    <t>Blackwell textbooks in linguistics ; 23</t>
  </si>
  <si>
    <t>131239595:eng</t>
  </si>
  <si>
    <t>212893710</t>
  </si>
  <si>
    <t>ocn212893710</t>
  </si>
  <si>
    <t>31029771153</t>
  </si>
  <si>
    <t>9781405184113</t>
  </si>
  <si>
    <t>794306475</t>
  </si>
  <si>
    <t>P217 H36 2010</t>
  </si>
  <si>
    <t>0                      P  0217000H  36          2010</t>
  </si>
  <si>
    <t>Consonant harmony : long-distance interaction in phonology / Gunnar Ólafur Hansson.</t>
  </si>
  <si>
    <t>Hansson, Gunnar Ólafur.</t>
  </si>
  <si>
    <t>University of California publications in linguistics ; v. 145</t>
  </si>
  <si>
    <t>350715259:eng</t>
  </si>
  <si>
    <t>468975882</t>
  </si>
  <si>
    <t>ocn468975882</t>
  </si>
  <si>
    <t>31033137849</t>
  </si>
  <si>
    <t>9780520098787</t>
  </si>
  <si>
    <t>794795648</t>
  </si>
  <si>
    <t>P217 J32 1976</t>
  </si>
  <si>
    <t>0                      P  0217000J  32          1976</t>
  </si>
  <si>
    <t>Six leçons sur le son et le sens / Roman Jakóbson ; préf. de Claude Lévi-Strauss.</t>
  </si>
  <si>
    <t>Paris : Éditions de Minuit, ©1976.</t>
  </si>
  <si>
    <t>Arguments</t>
  </si>
  <si>
    <t>148991041:fre</t>
  </si>
  <si>
    <t>2697981</t>
  </si>
  <si>
    <t>ocm02697981</t>
  </si>
  <si>
    <t>3102764801D</t>
  </si>
  <si>
    <t>9782707301185</t>
  </si>
  <si>
    <t>792164560</t>
  </si>
  <si>
    <t>P217 J3213 1978</t>
  </si>
  <si>
    <t>0                      P  0217000J  3213        1978</t>
  </si>
  <si>
    <t>Six lectures on sound and meaning / Roman Jakobson ; with a pref. by Claude Lévi-Strauss ; translated from the French by John Mepham.</t>
  </si>
  <si>
    <t>Cambridge, Mass. : MIT Press, 1978.</t>
  </si>
  <si>
    <t>2018-04-11</t>
  </si>
  <si>
    <t>148991041:eng</t>
  </si>
  <si>
    <t>3913421</t>
  </si>
  <si>
    <t>ocm03913421</t>
  </si>
  <si>
    <t>3000968761Z</t>
  </si>
  <si>
    <t>9780262100199</t>
  </si>
  <si>
    <t>792304517</t>
  </si>
  <si>
    <t>P217 J33 2002</t>
  </si>
  <si>
    <t>0                      P  0217000J  33          2002</t>
  </si>
  <si>
    <t>The sound shape of language / Roman Jakobson, Linda R. Waugh ; assisted by Martha Taylor.</t>
  </si>
  <si>
    <t>3rd ed., with a new preface by Linda R. Waugh.</t>
  </si>
  <si>
    <t>4919808509:eng</t>
  </si>
  <si>
    <t>49363107</t>
  </si>
  <si>
    <t>ocm49363107</t>
  </si>
  <si>
    <t>31027852655</t>
  </si>
  <si>
    <t>9783110172850</t>
  </si>
  <si>
    <t>793738497</t>
  </si>
  <si>
    <t>P217 K35 1985</t>
  </si>
  <si>
    <t>0                      P  0217000K  35          1985</t>
  </si>
  <si>
    <t>Connected speech : the interaction of syntax and phonology / Ellen M. Kaisse.</t>
  </si>
  <si>
    <t>Kaisse, Ellen M., author.</t>
  </si>
  <si>
    <t>Orlando : Academic Press, 1985.</t>
  </si>
  <si>
    <t>889469894:eng</t>
  </si>
  <si>
    <t>10948842</t>
  </si>
  <si>
    <t>ocm10948842</t>
  </si>
  <si>
    <t>3102764815B</t>
  </si>
  <si>
    <t>9780123947208</t>
  </si>
  <si>
    <t>792750818</t>
  </si>
  <si>
    <t>P217 K52</t>
  </si>
  <si>
    <t>0                      P  0217000K  52</t>
  </si>
  <si>
    <t>Explanation in phonology / Paul Kiparsky.</t>
  </si>
  <si>
    <t>Kiparsky, Paul.</t>
  </si>
  <si>
    <t>Dordrecht ; Cinnaminson, N.J. : Foris Publications, 1982.</t>
  </si>
  <si>
    <t>Publications in language sciences ; 4</t>
  </si>
  <si>
    <t>2017-08-29</t>
  </si>
  <si>
    <t>20297545:eng</t>
  </si>
  <si>
    <t>8717305</t>
  </si>
  <si>
    <t>ocm08717305</t>
  </si>
  <si>
    <t>31027648397</t>
  </si>
  <si>
    <t>9789070176372</t>
  </si>
  <si>
    <t>792637199</t>
  </si>
  <si>
    <t>P217 L37</t>
  </si>
  <si>
    <t>0                      P  0217000L  37</t>
  </si>
  <si>
    <t>Suprasegmentals.</t>
  </si>
  <si>
    <t>Lehiste, Ilse.</t>
  </si>
  <si>
    <t>Cambridge, Mass., M.I.T. Press [1970]</t>
  </si>
  <si>
    <t>1238491:eng</t>
  </si>
  <si>
    <t>69956</t>
  </si>
  <si>
    <t>ocm00069956</t>
  </si>
  <si>
    <t>3102764809D</t>
  </si>
  <si>
    <t>9780262120234</t>
  </si>
  <si>
    <t>791245728</t>
  </si>
  <si>
    <t>P217 M2 1984</t>
  </si>
  <si>
    <t>0                      P  0217000M  2           1984</t>
  </si>
  <si>
    <t>Patterns of sounds / Ian Maddieson ; with a chapter contributed by Sandra Ferrari Disner.</t>
  </si>
  <si>
    <t>Maddieson, Ian.</t>
  </si>
  <si>
    <t>Cambridge [Cambridgeshire] ; New York : Cambridge University Press, 1984.</t>
  </si>
  <si>
    <t>Cambridge studies in speech science and communication</t>
  </si>
  <si>
    <t>3396430:eng</t>
  </si>
  <si>
    <t>10724704</t>
  </si>
  <si>
    <t>ocm10724704</t>
  </si>
  <si>
    <t>3102739930$</t>
  </si>
  <si>
    <t>9780521265362</t>
  </si>
  <si>
    <t>792739655</t>
  </si>
  <si>
    <t>P217 M8816</t>
  </si>
  <si>
    <t>0                      P  0217000M  8816</t>
  </si>
  <si>
    <t>Fonologia generale e fonologia della lingua italiana.</t>
  </si>
  <si>
    <t>Muljačić, Žarko, 1922-</t>
  </si>
  <si>
    <t>Bologna, Il mulino, 1969.</t>
  </si>
  <si>
    <t>Collezione di testi e di studi. Linguistica e critica letteraria. ^A298439 ^A298439</t>
  </si>
  <si>
    <t>159722420:ita</t>
  </si>
  <si>
    <t>1137198</t>
  </si>
  <si>
    <t>ocm01137198</t>
  </si>
  <si>
    <t>3102764813B</t>
  </si>
  <si>
    <t>791554708</t>
  </si>
  <si>
    <t>P217 P43 2013</t>
  </si>
  <si>
    <t>0                      P  0217000P  43          2013</t>
  </si>
  <si>
    <t>Analyzing Sound Patterns : an introduction to phonology / Long Peng, State University of New York at Oswego.</t>
  </si>
  <si>
    <t>Peng, Bruce Long, author.</t>
  </si>
  <si>
    <t>New York : Cambridge University Press, [2013]</t>
  </si>
  <si>
    <t>Cambridge Textbooks In Linguistics</t>
  </si>
  <si>
    <t>1211333044:eng</t>
  </si>
  <si>
    <t>829087696</t>
  </si>
  <si>
    <t>ocn829087696</t>
  </si>
  <si>
    <t>3103501684D</t>
  </si>
  <si>
    <t>9780521195799</t>
  </si>
  <si>
    <t>794942067</t>
  </si>
  <si>
    <t>P217 P44 1994</t>
  </si>
  <si>
    <t>0                      P  0217000P  44          1994</t>
  </si>
  <si>
    <t>Perspectives in phonology / edited by Jennifer Cole and Charles Kisseberth.</t>
  </si>
  <si>
    <t>Stanford, Calif. : Center for the Study of Language and Information, ©1994.</t>
  </si>
  <si>
    <t>CSLI lecture notes ; no. 51</t>
  </si>
  <si>
    <t>2018-07-05</t>
  </si>
  <si>
    <t>33324980:eng</t>
  </si>
  <si>
    <t>30894548</t>
  </si>
  <si>
    <t>ocm30894548</t>
  </si>
  <si>
    <t>31027648327</t>
  </si>
  <si>
    <t>9781881526551</t>
  </si>
  <si>
    <t>793347806</t>
  </si>
  <si>
    <t>P217 P4453 1997</t>
  </si>
  <si>
    <t>0                      P  0217000P  4453        1997</t>
  </si>
  <si>
    <t>PF : papers at the interface / edited by Benjamin Bruening, Yoonjung Kang, and Martha McGinnis.</t>
  </si>
  <si>
    <t>Cambridge, MA : MITWPL, Dept. of Linguistics, MIT, 1997.</t>
  </si>
  <si>
    <t>MIT working papers in linguistics ; v. 30</t>
  </si>
  <si>
    <t>152203785:eng</t>
  </si>
  <si>
    <t>37692671</t>
  </si>
  <si>
    <t>ocm37692671</t>
  </si>
  <si>
    <t>3103485015W</t>
  </si>
  <si>
    <t>793504788</t>
  </si>
  <si>
    <t>P217 P477 2009</t>
  </si>
  <si>
    <t>0                      P  0217000P  477         2009</t>
  </si>
  <si>
    <t>Phonological argumentation : essays on evidence and motivation / edited by S. Parker.</t>
  </si>
  <si>
    <t>London ; Oakville, CT : Equinox, 2009.</t>
  </si>
  <si>
    <t>Advances in optimality theory</t>
  </si>
  <si>
    <t>894298903:eng</t>
  </si>
  <si>
    <t>131064765</t>
  </si>
  <si>
    <t>ocn131064765</t>
  </si>
  <si>
    <t>3103128257H</t>
  </si>
  <si>
    <t>9781845532208</t>
  </si>
  <si>
    <t>794231684</t>
  </si>
  <si>
    <t>P217 P478 2002</t>
  </si>
  <si>
    <t>0                      P  0217000P  478         2002</t>
  </si>
  <si>
    <t>Phonological answers : (and their corresponding questions) / edited by Aniko Csirmaz [and others].</t>
  </si>
  <si>
    <t>Cambridge, MA : Dept. of Linguistics and Philosophy, Massachusetts Institute of Technology, ©2002.</t>
  </si>
  <si>
    <t>The MIT working papers in linguistics ; v. 42</t>
  </si>
  <si>
    <t>50605905:eng</t>
  </si>
  <si>
    <t>50179457</t>
  </si>
  <si>
    <t>ocm50179457</t>
  </si>
  <si>
    <t>31027648229</t>
  </si>
  <si>
    <t>793757347</t>
  </si>
  <si>
    <t>P217 P482 2000</t>
  </si>
  <si>
    <t>0                      P  0217000P  482         2000</t>
  </si>
  <si>
    <t>Phonological knowledge : conceptual and empirical issues / edited by Noel Burton-Roberts, Philip Carr, and Gerard Docherty.</t>
  </si>
  <si>
    <t>1046124221:eng</t>
  </si>
  <si>
    <t>45093917</t>
  </si>
  <si>
    <t>ocm45093917</t>
  </si>
  <si>
    <t>3102764812B</t>
  </si>
  <si>
    <t>9780198241270</t>
  </si>
  <si>
    <t>793664433</t>
  </si>
  <si>
    <t>P217 P556 1995</t>
  </si>
  <si>
    <t>0                      P  0217000P  556         1995</t>
  </si>
  <si>
    <t>Phonology and phonetic evidence / edited by Bruce Connell and Amalia Arvaniti.</t>
  </si>
  <si>
    <t>Papers in laboratory phonology ; 4</t>
  </si>
  <si>
    <t>2015-04-20</t>
  </si>
  <si>
    <t>350993571:eng</t>
  </si>
  <si>
    <t>31737489</t>
  </si>
  <si>
    <t>ocm31737489</t>
  </si>
  <si>
    <t>31027648661</t>
  </si>
  <si>
    <t>9780521482592</t>
  </si>
  <si>
    <t>793366742</t>
  </si>
  <si>
    <t>P217 P558 2007</t>
  </si>
  <si>
    <t>0                      P  0217000P  558         2007</t>
  </si>
  <si>
    <t>Phonology in context / edited by Martha C. Pennington.</t>
  </si>
  <si>
    <t>Houndmills, Basingstoke, Hampshire [England] ; New York : Palgrave Macmillan, 2007.</t>
  </si>
  <si>
    <t>888283802:eng</t>
  </si>
  <si>
    <t>76937357</t>
  </si>
  <si>
    <t>ocm76937357</t>
  </si>
  <si>
    <t>3102633835W</t>
  </si>
  <si>
    <t>9781403935366</t>
  </si>
  <si>
    <t>794179384</t>
  </si>
  <si>
    <t>P217 R44 2015</t>
  </si>
  <si>
    <t>0                      P  0217000R  44          2015</t>
  </si>
  <si>
    <t>Representing structure in phonology and syntax / edited by Marc van Oostendorp, Henk van Riemsdijk.</t>
  </si>
  <si>
    <t>Belin ; Boston : De Gruyter, [2015]</t>
  </si>
  <si>
    <t>Studies in generative grammar, 0167-4331 ; volume 124</t>
  </si>
  <si>
    <t>4095907729:eng</t>
  </si>
  <si>
    <t>907621805</t>
  </si>
  <si>
    <t>ocn907621805</t>
  </si>
  <si>
    <t>3103584053M</t>
  </si>
  <si>
    <t>9781501510663</t>
  </si>
  <si>
    <t>794993589</t>
  </si>
  <si>
    <t>P217 R58 1999</t>
  </si>
  <si>
    <t>0                      P  0217000R  58          1999</t>
  </si>
  <si>
    <t>A course in phonology / Iggy Roca and Wyn Johnson.</t>
  </si>
  <si>
    <t>Roca, Iggy.</t>
  </si>
  <si>
    <t>Oxford, UK ; Malden, Mass. : Blackwell Publishers, 1999.</t>
  </si>
  <si>
    <t>915738:eng</t>
  </si>
  <si>
    <t>40395551</t>
  </si>
  <si>
    <t>ocm40395551</t>
  </si>
  <si>
    <t>3102796584K</t>
  </si>
  <si>
    <t>9780631213451</t>
  </si>
  <si>
    <t>793565591</t>
  </si>
  <si>
    <t>3102764885Y</t>
  </si>
  <si>
    <t>793565590</t>
  </si>
  <si>
    <t>P217 S284 2004</t>
  </si>
  <si>
    <t>0                      P  0217000S  284         2004</t>
  </si>
  <si>
    <t>A lateral theory of phonology / by Tobias Scheer.</t>
  </si>
  <si>
    <t>Scheer, Tobias, 1968-</t>
  </si>
  <si>
    <t>Berlin ; New York : Mouton de Gruyter, ©2004-©2012.</t>
  </si>
  <si>
    <t>Studies in generative grammar ; 68.1-68.2</t>
  </si>
  <si>
    <t>3373257851:eng</t>
  </si>
  <si>
    <t>56793590</t>
  </si>
  <si>
    <t>ocm56793590</t>
  </si>
  <si>
    <t>31034128706</t>
  </si>
  <si>
    <t>9783110178715</t>
  </si>
  <si>
    <t>793901876</t>
  </si>
  <si>
    <t>3102764870$</t>
  </si>
  <si>
    <t>793901877</t>
  </si>
  <si>
    <t>P217 S528 2017</t>
  </si>
  <si>
    <t>0                      P  0217000S  528         2017</t>
  </si>
  <si>
    <t>A critical introduction to phonology : functional and usage-based perspectives / Daniel Silverman.</t>
  </si>
  <si>
    <t>Silverman, Daniel Doron, 1963- author.</t>
  </si>
  <si>
    <t>London ; New York, NY : Bloomsbury Academic, an imprint of Bloomsbury Publishing Plc, 2017.</t>
  </si>
  <si>
    <t>Bloomsbury critical introductions to linguistics</t>
  </si>
  <si>
    <t>4537152818:eng</t>
  </si>
  <si>
    <t>974213301</t>
  </si>
  <si>
    <t>ocn974213301</t>
  </si>
  <si>
    <t>3103809963R</t>
  </si>
  <si>
    <t>9781474238892</t>
  </si>
  <si>
    <t>795029509</t>
  </si>
  <si>
    <t>P217 S64 1996</t>
  </si>
  <si>
    <t>0                      P  0217000S  64          1996</t>
  </si>
  <si>
    <t>Phonology : theory and description / Andrew Spencer.</t>
  </si>
  <si>
    <t>Spencer, Andrew, 1953 December 15-</t>
  </si>
  <si>
    <t>Oxford, U.K. ; Malden, Mass., U.S. : Blackwell Publishers, 1996.</t>
  </si>
  <si>
    <t>Introducing linguistics ; 1</t>
  </si>
  <si>
    <t>914170:eng</t>
  </si>
  <si>
    <t>32430902</t>
  </si>
  <si>
    <t>ocm32430902</t>
  </si>
  <si>
    <t>31027648691</t>
  </si>
  <si>
    <t>9780631192329</t>
  </si>
  <si>
    <t>793384068</t>
  </si>
  <si>
    <t>P217 T72</t>
  </si>
  <si>
    <t>0                      P  0217000T  72</t>
  </si>
  <si>
    <t>Principles of phonology [by] N.S. Trubetzkoy. Translated by Christiane A.M. Baltaxe.</t>
  </si>
  <si>
    <t>Trubet︠s︡koĭ, Nikolaĭ Sergeevich, kni︠a︡zʹ, 1890-1938.</t>
  </si>
  <si>
    <t>Berkeley, University of California Press, 1969.</t>
  </si>
  <si>
    <t>1143698:eng</t>
  </si>
  <si>
    <t>21360</t>
  </si>
  <si>
    <t>ocm00021360</t>
  </si>
  <si>
    <t>31027648445</t>
  </si>
  <si>
    <t>9780520015357</t>
  </si>
  <si>
    <t>791230839</t>
  </si>
  <si>
    <t>P217.3 B47 2013</t>
  </si>
  <si>
    <t>0                      P  0217300B  47          2013</t>
  </si>
  <si>
    <t>The phonological mind / Iris Berent.</t>
  </si>
  <si>
    <t>Berent, Iris, 1960-</t>
  </si>
  <si>
    <t>1108060794:eng</t>
  </si>
  <si>
    <t>793497190</t>
  </si>
  <si>
    <t>ocn793497190</t>
  </si>
  <si>
    <t>31034561085</t>
  </si>
  <si>
    <t>9780521769402</t>
  </si>
  <si>
    <t>794918290</t>
  </si>
  <si>
    <t>P217.3 B93 2001</t>
  </si>
  <si>
    <t>0                      P  0217300B  93          2001</t>
  </si>
  <si>
    <t>Phonology and language use / Joan Bybee.</t>
  </si>
  <si>
    <t>Bybee, Joan L.</t>
  </si>
  <si>
    <t>Cambridge [England] ; New York : Cambridge University Press, 2001.</t>
  </si>
  <si>
    <t>Cambridge studies in linguistics</t>
  </si>
  <si>
    <t>708560:eng</t>
  </si>
  <si>
    <t>44969653</t>
  </si>
  <si>
    <t>ocm44969653</t>
  </si>
  <si>
    <t>3102153560W</t>
  </si>
  <si>
    <t>9780521583749</t>
  </si>
  <si>
    <t>793661386</t>
  </si>
  <si>
    <t>P217.3 C958 2010</t>
  </si>
  <si>
    <t>0                      P  0217300C  958         2010</t>
  </si>
  <si>
    <t>Complexity scales and licensing in phonology / by Eugeniusz Cyran.</t>
  </si>
  <si>
    <t>Cyran, Eugeniusz.</t>
  </si>
  <si>
    <t>[Berlin] ; [New York] : De Gruyter Mouton, ©2010.</t>
  </si>
  <si>
    <t>Studies in generative grammar ; 105</t>
  </si>
  <si>
    <t>375471953:eng</t>
  </si>
  <si>
    <t>502304845</t>
  </si>
  <si>
    <t>ocn502304845</t>
  </si>
  <si>
    <t>3103243892W</t>
  </si>
  <si>
    <t>9783110221497</t>
  </si>
  <si>
    <t>794805632</t>
  </si>
  <si>
    <t>P217.3 K66 2011</t>
  </si>
  <si>
    <t>0                      P  0217300K  66          2011</t>
  </si>
  <si>
    <t>Foundations of voice studies : an interdisciplinary approach to voice production and perception / Jody Kreiman, Diana Sidtis.</t>
  </si>
  <si>
    <t>Kreiman, Jody.</t>
  </si>
  <si>
    <t>2014-08-01</t>
  </si>
  <si>
    <t>863939256:eng</t>
  </si>
  <si>
    <t>676726353</t>
  </si>
  <si>
    <t>ocn676726353</t>
  </si>
  <si>
    <t>3103361215L</t>
  </si>
  <si>
    <t>9780631222972</t>
  </si>
  <si>
    <t>794849875</t>
  </si>
  <si>
    <t>P217.3 M55 1994</t>
  </si>
  <si>
    <t>0                      P  0217300M  55          1994</t>
  </si>
  <si>
    <t>Ancient scripts and phonological knowledge / D. Gary Miller.</t>
  </si>
  <si>
    <t>Amsterdam studies in the theory and history of linguistic science. Series IV, Current issues in linguistic theory, 0304-0763 ; v. 116</t>
  </si>
  <si>
    <t>33128302:eng</t>
  </si>
  <si>
    <t>30736406</t>
  </si>
  <si>
    <t>ocm30736406</t>
  </si>
  <si>
    <t>3102764906A</t>
  </si>
  <si>
    <t>9789027236197</t>
  </si>
  <si>
    <t>793343580</t>
  </si>
  <si>
    <t>P217.3 N34 1994</t>
  </si>
  <si>
    <t>0                      P  0217300N  34          1994</t>
  </si>
  <si>
    <t>A theory of post-syntactic phonology / Hemalatha Nagarajan.</t>
  </si>
  <si>
    <t>Nagarajan, Hemalatha.</t>
  </si>
  <si>
    <t>Madras : T.R. Publications, 1994.</t>
  </si>
  <si>
    <t>32754297:eng</t>
  </si>
  <si>
    <t>31011849</t>
  </si>
  <si>
    <t>ocm31011849</t>
  </si>
  <si>
    <t>3102764891W</t>
  </si>
  <si>
    <t>9788185427430</t>
  </si>
  <si>
    <t>793351339</t>
  </si>
  <si>
    <t>P217.3 N47 2007</t>
  </si>
  <si>
    <t>0                      P  0217300N  47          2007</t>
  </si>
  <si>
    <t>Prosodic phonology / by Marina Nespor and Irene Vogel.</t>
  </si>
  <si>
    <t>Nespor, Marina.</t>
  </si>
  <si>
    <t>Studies in generative grammar ; 28</t>
  </si>
  <si>
    <t>1152743810:eng</t>
  </si>
  <si>
    <t>173659530</t>
  </si>
  <si>
    <t>ocn173659530</t>
  </si>
  <si>
    <t>31034785228</t>
  </si>
  <si>
    <t>9783110197891</t>
  </si>
  <si>
    <t>794269265</t>
  </si>
  <si>
    <t>P217.3 N49 1991</t>
  </si>
  <si>
    <t>0                      P  0217300N  49          1991</t>
  </si>
  <si>
    <t>New ways of analyzing sound change / edited by Penelope Eckert.</t>
  </si>
  <si>
    <t>San Diego : Academic Press, ©1991.</t>
  </si>
  <si>
    <t>Quantitative analyses of linguistic structure ; 5</t>
  </si>
  <si>
    <t>55439951:eng</t>
  </si>
  <si>
    <t>23286425</t>
  </si>
  <si>
    <t>ocm23286425</t>
  </si>
  <si>
    <t>31027649304</t>
  </si>
  <si>
    <t>9780122297908</t>
  </si>
  <si>
    <t>793166791</t>
  </si>
  <si>
    <t>P217.3 O67 2004</t>
  </si>
  <si>
    <t>0                      P  0217300O  67          2004</t>
  </si>
  <si>
    <t>Optimality theory in phonology : a reader / edited by John J. McCarthy.</t>
  </si>
  <si>
    <t>Malden, MA, USA : Blackwell Pub., 2004.</t>
  </si>
  <si>
    <t>802420889:eng</t>
  </si>
  <si>
    <t>51810658</t>
  </si>
  <si>
    <t>ocm51810658</t>
  </si>
  <si>
    <t>31028519609</t>
  </si>
  <si>
    <t>9780631226888</t>
  </si>
  <si>
    <t>793791561</t>
  </si>
  <si>
    <t>P217.3 P52 2006</t>
  </si>
  <si>
    <t>0                      P  0217300P  52          2006</t>
  </si>
  <si>
    <t>Word frequency and lexical diffusion / Betty S. Phillips.</t>
  </si>
  <si>
    <t>Phillips, Betty S., 1949-</t>
  </si>
  <si>
    <t>Palgrave studies in language history and language change</t>
  </si>
  <si>
    <t>47145636:eng</t>
  </si>
  <si>
    <t>62896536</t>
  </si>
  <si>
    <t>ocm62896536</t>
  </si>
  <si>
    <t>3102631377A</t>
  </si>
  <si>
    <t>9781403932327</t>
  </si>
  <si>
    <t>794113960</t>
  </si>
  <si>
    <t>P217.3 P53 2015</t>
  </si>
  <si>
    <t>0                      P  0217300P  53          2015</t>
  </si>
  <si>
    <t>The phonetics-phonology interface / edited by Joaquín Romero, María Riera, Universitat Rovira I Virgili, Tarragona.</t>
  </si>
  <si>
    <t>Current issues in linguistic theory. Amsterdam studies in the theory and history of linguistic science, Series IV, 0304-0763 ; 335</t>
  </si>
  <si>
    <t>5219062501:eng</t>
  </si>
  <si>
    <t>914221944</t>
  </si>
  <si>
    <t>ocn914221944</t>
  </si>
  <si>
    <t>3103658297R</t>
  </si>
  <si>
    <t>9789027248541</t>
  </si>
  <si>
    <t>794999952</t>
  </si>
  <si>
    <t>P217.3 P54 1990</t>
  </si>
  <si>
    <t>0                      P  0217300P  54          1990</t>
  </si>
  <si>
    <t>The Phonology-syntax connection / edited by Sharon Inkelas and Draga Zec.</t>
  </si>
  <si>
    <t>Chicago : University of Chicago Press, [1990]</t>
  </si>
  <si>
    <t>351333201:eng</t>
  </si>
  <si>
    <t>20753938</t>
  </si>
  <si>
    <t>ocm20753938</t>
  </si>
  <si>
    <t>31027648249</t>
  </si>
  <si>
    <t>9780226381008</t>
  </si>
  <si>
    <t>793097484</t>
  </si>
  <si>
    <t>P217.3 R43 2010</t>
  </si>
  <si>
    <t>0                      P  0217300R  43          2010</t>
  </si>
  <si>
    <t>A reader in sociophonetics / edited by Dennis R. Preston, Nancy Niedzielski.</t>
  </si>
  <si>
    <t>Trends in linguistics. Studies and monographs, 1861-4302 ; 219</t>
  </si>
  <si>
    <t>2013-02-09</t>
  </si>
  <si>
    <t>865740275:eng</t>
  </si>
  <si>
    <t>589017879</t>
  </si>
  <si>
    <t>ocn589017879</t>
  </si>
  <si>
    <t>3103240958C</t>
  </si>
  <si>
    <t>9781934078044</t>
  </si>
  <si>
    <t>794814687</t>
  </si>
  <si>
    <t>P217.3 S44 1984</t>
  </si>
  <si>
    <t>0                      P  0217300S  44          1984</t>
  </si>
  <si>
    <t>Phonology and syntax : the relation between sound and structure / Elisabeth O. Selkirk.</t>
  </si>
  <si>
    <t>Selkirk, Elisabeth O., 1945-</t>
  </si>
  <si>
    <t>Current studies in linguistics series ; 10</t>
  </si>
  <si>
    <t>3539266:eng</t>
  </si>
  <si>
    <t>10779996</t>
  </si>
  <si>
    <t>ocm10779996</t>
  </si>
  <si>
    <t>31027649206</t>
  </si>
  <si>
    <t>9780262192262</t>
  </si>
  <si>
    <t>792743278</t>
  </si>
  <si>
    <t>P217.3 S64 2011</t>
  </si>
  <si>
    <t>0                      P  0217300S  64          2011</t>
  </si>
  <si>
    <t>Sociophonetics : a student's guide / edited by Marianna Di Paolo and Malcah Yaeger-Dror.</t>
  </si>
  <si>
    <t>2019-04-03</t>
  </si>
  <si>
    <t>807921686:eng</t>
  </si>
  <si>
    <t>608492020</t>
  </si>
  <si>
    <t>ocn608492020</t>
  </si>
  <si>
    <t>3103312333Z</t>
  </si>
  <si>
    <t>9780415498784</t>
  </si>
  <si>
    <t>794819460</t>
  </si>
  <si>
    <t>P217.3 S7 1979b</t>
  </si>
  <si>
    <t>0                      P  0217300S  7           1979b</t>
  </si>
  <si>
    <t>A dissertation on natural phonology / David Stampe.</t>
  </si>
  <si>
    <t>Stampe, David, 1938-</t>
  </si>
  <si>
    <t>New York : Garland Pub., 1979.</t>
  </si>
  <si>
    <t>Outstanding dissertations in linguistics ; 22</t>
  </si>
  <si>
    <t>490459:eng</t>
  </si>
  <si>
    <t>5451534</t>
  </si>
  <si>
    <t>ocm05451534</t>
  </si>
  <si>
    <t>3102764905A</t>
  </si>
  <si>
    <t>9780824096748</t>
  </si>
  <si>
    <t>792433916</t>
  </si>
  <si>
    <t>P217.3 T38 2016</t>
  </si>
  <si>
    <t>0                      P  0217300T  38          2016</t>
  </si>
  <si>
    <t>Phonological acquisition : child language and constraint-based grammar / Anne-Michelle Tessier, Department of Linguistics, University of Alberta.</t>
  </si>
  <si>
    <t>Tessier, Anne-Michelle, 1979- author.</t>
  </si>
  <si>
    <t>London ; New York, NY : Macmillan Education, Palgrave, 2016.</t>
  </si>
  <si>
    <t>2525568334:eng</t>
  </si>
  <si>
    <t>928837898</t>
  </si>
  <si>
    <t>ocn928837898</t>
  </si>
  <si>
    <t>31037658789</t>
  </si>
  <si>
    <t>9780230293762</t>
  </si>
  <si>
    <t>795006398</t>
  </si>
  <si>
    <t>P217.3 T47 2011</t>
  </si>
  <si>
    <t>0                      P  0217300T  47          2011</t>
  </si>
  <si>
    <t>Sociophonetics : an introduction / Erik R. Thomas.</t>
  </si>
  <si>
    <t>Thomas, Erik R.</t>
  </si>
  <si>
    <t>793033452:eng</t>
  </si>
  <si>
    <t>701622810</t>
  </si>
  <si>
    <t>ocn701622810</t>
  </si>
  <si>
    <t>3103344921X</t>
  </si>
  <si>
    <t>9780230224568</t>
  </si>
  <si>
    <t>794863266</t>
  </si>
  <si>
    <t>P217.52 F76 2018</t>
  </si>
  <si>
    <t>0                      P  0217520F  76          2018</t>
  </si>
  <si>
    <t>From sounds to structures : beyond the veil of Maya / edited by Roberto Petrosino, Pietro Cerrone, Harry van der Hulst.</t>
  </si>
  <si>
    <t>Berlin ; Boston : Walter de Gruyter, Inc., [2018]</t>
  </si>
  <si>
    <t>Studies in generative grammar ; Volume 135</t>
  </si>
  <si>
    <t>4427888098:eng</t>
  </si>
  <si>
    <t>1050142505</t>
  </si>
  <si>
    <t>on1050142505</t>
  </si>
  <si>
    <t>3103704819T</t>
  </si>
  <si>
    <t>9781501515347</t>
  </si>
  <si>
    <t>795061352</t>
  </si>
  <si>
    <t>P217.52 O87 1996</t>
  </si>
  <si>
    <t>0                      P  0217520O  87          1996</t>
  </si>
  <si>
    <t>Introduction à la phonétique comparée / Luc Ostiguy, Robert Sarrasin, Glenwood Irons avec la collaboration de Claude Tousignant.</t>
  </si>
  <si>
    <t>Ostiguy, Luc, 1954-</t>
  </si>
  <si>
    <t>Sainte-Foy [Québec] : Presses de l'Université Laval, 1996-</t>
  </si>
  <si>
    <t>8938482095:fre</t>
  </si>
  <si>
    <t>35932052</t>
  </si>
  <si>
    <t>ocm35932052</t>
  </si>
  <si>
    <t>31027674425</t>
  </si>
  <si>
    <t>9782763774626</t>
  </si>
  <si>
    <t>793461370</t>
  </si>
  <si>
    <t>P217.52 P46 2009</t>
  </si>
  <si>
    <t>0                      P  0217520P  46          2009</t>
  </si>
  <si>
    <t>Phonology in perception / edited by Paul Boersma, Silke Hamann.</t>
  </si>
  <si>
    <t>Phonology and phonetics ; 15</t>
  </si>
  <si>
    <t>766918599:eng</t>
  </si>
  <si>
    <t>426391149</t>
  </si>
  <si>
    <t>ocn426391149</t>
  </si>
  <si>
    <t>31031554940</t>
  </si>
  <si>
    <t>9783110219227</t>
  </si>
  <si>
    <t>794515705</t>
  </si>
  <si>
    <t>P217.6 K46 1994</t>
  </si>
  <si>
    <t>0                      P  0217600K  46          1994</t>
  </si>
  <si>
    <t>Phonology in generative grammar / Michael Kenstowicz.</t>
  </si>
  <si>
    <t>Kenstowicz, Michael J.</t>
  </si>
  <si>
    <t>Cambridge, MA : Blackwell, 1994.</t>
  </si>
  <si>
    <t>Blackwell textbooks in linguistics</t>
  </si>
  <si>
    <t>397432:eng</t>
  </si>
  <si>
    <t>27034691</t>
  </si>
  <si>
    <t>ocm27034691</t>
  </si>
  <si>
    <t>3102764889Y</t>
  </si>
  <si>
    <t>9781557864253</t>
  </si>
  <si>
    <t>793257406</t>
  </si>
  <si>
    <t>3102789651G</t>
  </si>
  <si>
    <t>793257407</t>
  </si>
  <si>
    <t>P217.6 K73 2012</t>
  </si>
  <si>
    <t>0                      P  0217600K  73          2012</t>
  </si>
  <si>
    <t>Underlying representations / Martin Krämer.</t>
  </si>
  <si>
    <t>Krämer, Martin, 1969-</t>
  </si>
  <si>
    <t>Key topics in phonology</t>
  </si>
  <si>
    <t>1088686352:eng</t>
  </si>
  <si>
    <t>780288840</t>
  </si>
  <si>
    <t>ocn780288840</t>
  </si>
  <si>
    <t>3103431092K</t>
  </si>
  <si>
    <t>9780521192774</t>
  </si>
  <si>
    <t>794911913</t>
  </si>
  <si>
    <t>P217.68 J64 2010</t>
  </si>
  <si>
    <t>0                      P  0217680J  64          2010</t>
  </si>
  <si>
    <t>Patterns in child phonology / Wyn Johnson and Paula Reimers.</t>
  </si>
  <si>
    <t>Johnson, Wyn.</t>
  </si>
  <si>
    <t>2014-09-22</t>
  </si>
  <si>
    <t>374124212:eng</t>
  </si>
  <si>
    <t>500818366</t>
  </si>
  <si>
    <t>ocn500818366</t>
  </si>
  <si>
    <t>3103134558J</t>
  </si>
  <si>
    <t>9780748638208</t>
  </si>
  <si>
    <t>794804221</t>
  </si>
  <si>
    <t>P217.7 G65 1990</t>
  </si>
  <si>
    <t>0                      P  0217700G  65          1990</t>
  </si>
  <si>
    <t>Autosegmental and metrical phonology / John A. Goldsmith.</t>
  </si>
  <si>
    <t>Goldsmith, John A., 1951-</t>
  </si>
  <si>
    <t>6115546:eng</t>
  </si>
  <si>
    <t>19514054</t>
  </si>
  <si>
    <t>ocm19514054</t>
  </si>
  <si>
    <t>31027674327</t>
  </si>
  <si>
    <t>9780631136750</t>
  </si>
  <si>
    <t>793060380</t>
  </si>
  <si>
    <t>P219 T85 1977b</t>
  </si>
  <si>
    <t>0                      P  0219000T  85          1977b</t>
  </si>
  <si>
    <t>On defining the phoneme / by W. Freeman Twaddell.</t>
  </si>
  <si>
    <t>Twaddell, W. F. (William Freeman)</t>
  </si>
  <si>
    <t>Folcroft, Pa. : Folcroft Library Editions, 1977.</t>
  </si>
  <si>
    <t>2461305:eng</t>
  </si>
  <si>
    <t>3088729</t>
  </si>
  <si>
    <t>ocm03088729</t>
  </si>
  <si>
    <t>3102764887Y</t>
  </si>
  <si>
    <t>9780841485846</t>
  </si>
  <si>
    <t>792215864</t>
  </si>
  <si>
    <t>P221 A23</t>
  </si>
  <si>
    <t>0                      P  0221000A  23</t>
  </si>
  <si>
    <t>Elements of general phonetics.</t>
  </si>
  <si>
    <t>Abercrombie, David.</t>
  </si>
  <si>
    <t>Edinburgh, Edinburgh U.P. [1967]</t>
  </si>
  <si>
    <t>2017-06-27</t>
  </si>
  <si>
    <t>2034421:eng</t>
  </si>
  <si>
    <t>3038195</t>
  </si>
  <si>
    <t>ocm03038195</t>
  </si>
  <si>
    <t>3102764971X</t>
  </si>
  <si>
    <t>9780852240281</t>
  </si>
  <si>
    <t>792209521</t>
  </si>
  <si>
    <t>2005-04-07</t>
  </si>
  <si>
    <t>3101896275P</t>
  </si>
  <si>
    <t>792209520</t>
  </si>
  <si>
    <t>P221 B33 2011</t>
  </si>
  <si>
    <t>0                      P  0221000B  33          2011</t>
  </si>
  <si>
    <t>An introduction to element theory / Phillip Backley.</t>
  </si>
  <si>
    <t>Backley, Phillip.</t>
  </si>
  <si>
    <t>908597719:eng</t>
  </si>
  <si>
    <t>730413611</t>
  </si>
  <si>
    <t>ocn730413611</t>
  </si>
  <si>
    <t>3103342188G</t>
  </si>
  <si>
    <t>9780748637423</t>
  </si>
  <si>
    <t>794880154</t>
  </si>
  <si>
    <t>P221 C45 1993</t>
  </si>
  <si>
    <t>0                      P  0221000C  45          1993</t>
  </si>
  <si>
    <t>Le point sur la phonétique en didactique des langues / Cécile Champagne-Muzar, Johanne S. Bourdages.</t>
  </si>
  <si>
    <t>Champagne, Cécile, 1955-</t>
  </si>
  <si>
    <t>Anjou, Québec : Centre Educatif et Culturel, ©1993.</t>
  </si>
  <si>
    <t>Le Point sur</t>
  </si>
  <si>
    <t>3373072607:fre</t>
  </si>
  <si>
    <t>28622697</t>
  </si>
  <si>
    <t>ocm28622697</t>
  </si>
  <si>
    <t>3101488418G</t>
  </si>
  <si>
    <t>9782761710541</t>
  </si>
  <si>
    <t>793292093</t>
  </si>
  <si>
    <t>P221 F57 1983</t>
  </si>
  <si>
    <t>0                      P  0221000F  57          1983</t>
  </si>
  <si>
    <t>La vive voix : essais de psycho-phonétique / Ivan Fónagy ; préface de Roman Jakobson.</t>
  </si>
  <si>
    <t>Paris : Payot, 1983.</t>
  </si>
  <si>
    <t>Collection Langages et sociétés</t>
  </si>
  <si>
    <t>864538250:fre</t>
  </si>
  <si>
    <t>10561208</t>
  </si>
  <si>
    <t>ocm10561208</t>
  </si>
  <si>
    <t>3102764964Z</t>
  </si>
  <si>
    <t>9782228131308</t>
  </si>
  <si>
    <t>792732227</t>
  </si>
  <si>
    <t>P221 H28 2010</t>
  </si>
  <si>
    <t>0                      P  0221000H  28          2010</t>
  </si>
  <si>
    <t>The handbook of phonetic sciences / edited by William J. Hardcastle, John Laver, and Fiona E. Gibbon.</t>
  </si>
  <si>
    <t>2016-01-12</t>
  </si>
  <si>
    <t>4926130747:eng</t>
  </si>
  <si>
    <t>430736646</t>
  </si>
  <si>
    <t>ocn430736646</t>
  </si>
  <si>
    <t>31031284757</t>
  </si>
  <si>
    <t>9781405145909</t>
  </si>
  <si>
    <t>794781136</t>
  </si>
  <si>
    <t>P221 H48 2006</t>
  </si>
  <si>
    <t>0                      P  0221000H  48          2006</t>
  </si>
  <si>
    <t>An introduction to the science of phonetics / Nigel Hewlett, Janet Beck.</t>
  </si>
  <si>
    <t>Hewlett, Nigel.</t>
  </si>
  <si>
    <t>Mahwah, N.J. : Lawrence Erlbaum, 2006.</t>
  </si>
  <si>
    <t>1311743:eng</t>
  </si>
  <si>
    <t>813514368</t>
  </si>
  <si>
    <t>ocn813514368</t>
  </si>
  <si>
    <t>3102577898R</t>
  </si>
  <si>
    <t>9780805838688</t>
  </si>
  <si>
    <t>794931679</t>
  </si>
  <si>
    <t>P221 J3 1971</t>
  </si>
  <si>
    <t>0                      P  0221000J  3           1971</t>
  </si>
  <si>
    <t>Fundamentals of language. [By] Roman Jakobson and Morris Halle.</t>
  </si>
  <si>
    <t>The Hague, Mouton, 1971.</t>
  </si>
  <si>
    <t>2d rev. ed.</t>
  </si>
  <si>
    <t>Janua linguarum. Series minor ; 1</t>
  </si>
  <si>
    <t>118066424:eng</t>
  </si>
  <si>
    <t>694381</t>
  </si>
  <si>
    <t>ocm00694381</t>
  </si>
  <si>
    <t>31027649482</t>
  </si>
  <si>
    <t>9789027930743</t>
  </si>
  <si>
    <t>791448009</t>
  </si>
  <si>
    <t>31027649530</t>
  </si>
  <si>
    <t>791448010</t>
  </si>
  <si>
    <t>P221 L2</t>
  </si>
  <si>
    <t>0                      P  0221000L  2</t>
  </si>
  <si>
    <t>A course in phonetics / Peter Ladefoged.</t>
  </si>
  <si>
    <t>Ladefoged, Peter.</t>
  </si>
  <si>
    <t>New York : Harcourt Brace Jovanovich, [1975]</t>
  </si>
  <si>
    <t>2467215:eng</t>
  </si>
  <si>
    <t>1583693</t>
  </si>
  <si>
    <t>ocm01583693</t>
  </si>
  <si>
    <t>3100632287M</t>
  </si>
  <si>
    <t>9780155151802</t>
  </si>
  <si>
    <t>791756671</t>
  </si>
  <si>
    <t>2008-01-22</t>
  </si>
  <si>
    <t>31027649472</t>
  </si>
  <si>
    <t>791756670</t>
  </si>
  <si>
    <t>P221 L2 1982</t>
  </si>
  <si>
    <t>0                      P  0221000L  2           1982</t>
  </si>
  <si>
    <t>New York : Harcourt Brace Jovanovich, ©1982.</t>
  </si>
  <si>
    <t>8247885</t>
  </si>
  <si>
    <t>ocm08247885</t>
  </si>
  <si>
    <t>31027649422</t>
  </si>
  <si>
    <t>9780155151789</t>
  </si>
  <si>
    <t>792607847</t>
  </si>
  <si>
    <t>31027649374</t>
  </si>
  <si>
    <t>792607848</t>
  </si>
  <si>
    <t>P221 L2 1993</t>
  </si>
  <si>
    <t>0                      P  0221000L  2           1993</t>
  </si>
  <si>
    <t>26828883</t>
  </si>
  <si>
    <t>ocm26828883</t>
  </si>
  <si>
    <t>3101806940X</t>
  </si>
  <si>
    <t>9780155001732</t>
  </si>
  <si>
    <t>793252664</t>
  </si>
  <si>
    <t>3102640954W</t>
  </si>
  <si>
    <t>793252665</t>
  </si>
  <si>
    <t>P221 L2 2001</t>
  </si>
  <si>
    <t>0                      P  0221000L  2           2001</t>
  </si>
  <si>
    <t>Ladefoged, Peter, author.</t>
  </si>
  <si>
    <t>Fort Worth : Harcourt College Publishers, ©2001.</t>
  </si>
  <si>
    <t>44914377</t>
  </si>
  <si>
    <t>ocm44914377</t>
  </si>
  <si>
    <t>31027649520</t>
  </si>
  <si>
    <t>9780155073197</t>
  </si>
  <si>
    <t>793660443</t>
  </si>
  <si>
    <t>3102640949Y</t>
  </si>
  <si>
    <t>793660442</t>
  </si>
  <si>
    <t>P221 L2 2006</t>
  </si>
  <si>
    <t>0                      P  0221000L  2           2006</t>
  </si>
  <si>
    <t>text.</t>
  </si>
  <si>
    <t>Boston : Thomson Wadsworth, ©2006.</t>
  </si>
  <si>
    <t>61323035</t>
  </si>
  <si>
    <t>ocm61323035</t>
  </si>
  <si>
    <t>3102511789C</t>
  </si>
  <si>
    <t>9781413006889</t>
  </si>
  <si>
    <t>793951231</t>
  </si>
  <si>
    <t>3103214873A</t>
  </si>
  <si>
    <t>793951232</t>
  </si>
  <si>
    <t>P221 L2 2011</t>
  </si>
  <si>
    <t>0                      P  0221000L  2           2011</t>
  </si>
  <si>
    <t>A course in phonetics / Peter Ladefoged, Keith Johnson.</t>
  </si>
  <si>
    <t>(text + CD ROM )</t>
  </si>
  <si>
    <t>Boston, MA : Wadsworth/Cengage Learning, [2011].</t>
  </si>
  <si>
    <t>Sixth edition.</t>
  </si>
  <si>
    <t>613523782</t>
  </si>
  <si>
    <t>ocn613523782</t>
  </si>
  <si>
    <t>3103128234L</t>
  </si>
  <si>
    <t>9781428231269</t>
  </si>
  <si>
    <t>794822187</t>
  </si>
  <si>
    <t>P221 L2 2015</t>
  </si>
  <si>
    <t>0                      P  0221000L  2           2015</t>
  </si>
  <si>
    <t>Stamford, CT : Cengage Learning, [2015]</t>
  </si>
  <si>
    <t>881219548</t>
  </si>
  <si>
    <t>ocn881219548</t>
  </si>
  <si>
    <t>3103710405X</t>
  </si>
  <si>
    <t>9781285463407</t>
  </si>
  <si>
    <t>794973966</t>
  </si>
  <si>
    <t>31037103220</t>
  </si>
  <si>
    <t>794973965</t>
  </si>
  <si>
    <t>P221 L228 2003</t>
  </si>
  <si>
    <t>0                      P  0221000L  228         2003</t>
  </si>
  <si>
    <t>Phonetic data analysis : an introduction to fieldwork and instrumental techniques / Peter Ladefoged.</t>
  </si>
  <si>
    <t>810989884:eng</t>
  </si>
  <si>
    <t>51818554</t>
  </si>
  <si>
    <t>ocm51818554</t>
  </si>
  <si>
    <t>3102796679J</t>
  </si>
  <si>
    <t>9780631232698</t>
  </si>
  <si>
    <t>793791905</t>
  </si>
  <si>
    <t>P221 L24 1996</t>
  </si>
  <si>
    <t>0                      P  0221000L  24          1996</t>
  </si>
  <si>
    <t>The sounds of the world's languages / Peter Ladefoged and Ian Maddieson.</t>
  </si>
  <si>
    <t>Phonological theory</t>
  </si>
  <si>
    <t>914458:eng</t>
  </si>
  <si>
    <t>31867443</t>
  </si>
  <si>
    <t>ocm31867443</t>
  </si>
  <si>
    <t>3102796664L</t>
  </si>
  <si>
    <t>9780631198147</t>
  </si>
  <si>
    <t>793369952</t>
  </si>
  <si>
    <t>P221 L244 2001</t>
  </si>
  <si>
    <t>0                      P  0221000L  244         2001</t>
  </si>
  <si>
    <t>Vowels and consonants : an introduction to the sounds of languages / Peter Ladefoged.</t>
  </si>
  <si>
    <t>4925540120:eng</t>
  </si>
  <si>
    <t>43434745</t>
  </si>
  <si>
    <t>ocm43434745</t>
  </si>
  <si>
    <t>3102711321O</t>
  </si>
  <si>
    <t>9780631214113</t>
  </si>
  <si>
    <t>793626649</t>
  </si>
  <si>
    <t>P221 L244 2005</t>
  </si>
  <si>
    <t>0                      P  0221000L  244         2005</t>
  </si>
  <si>
    <t>Malden, MA : Blackwell Pub., ©2005.</t>
  </si>
  <si>
    <t>55887423</t>
  </si>
  <si>
    <t>ocm55887423</t>
  </si>
  <si>
    <t>31027649324</t>
  </si>
  <si>
    <t>9781405124591</t>
  </si>
  <si>
    <t>793883721</t>
  </si>
  <si>
    <t>P221 L244 2012</t>
  </si>
  <si>
    <t>0                      P  0221000L  244         2012</t>
  </si>
  <si>
    <t>Vowels and consonants / by Peter Ladefoged.</t>
  </si>
  <si>
    <t>Malden, MA : Wiley-Blackwell, [2012].</t>
  </si>
  <si>
    <t>Third edition / revised by Sandra Ferrari Disner.</t>
  </si>
  <si>
    <t>8909953797:eng</t>
  </si>
  <si>
    <t>740281727</t>
  </si>
  <si>
    <t>ocn740281727</t>
  </si>
  <si>
    <t>3103710159M</t>
  </si>
  <si>
    <t>9781444334296</t>
  </si>
  <si>
    <t>794883208</t>
  </si>
  <si>
    <t>P221 L29 2009</t>
  </si>
  <si>
    <t>0                      P  0221000L  29          2009</t>
  </si>
  <si>
    <t>The phonetic description of voice quality / John Laver.</t>
  </si>
  <si>
    <t>Laver, John.</t>
  </si>
  <si>
    <t>Cambridge ; New York : Cambridge University Press, 2009, c 1980.</t>
  </si>
  <si>
    <t>Cambridge studies in linguistics ; 31</t>
  </si>
  <si>
    <t>181096:eng</t>
  </si>
  <si>
    <t>321032619</t>
  </si>
  <si>
    <t>ocn321032619</t>
  </si>
  <si>
    <t>31030864005</t>
  </si>
  <si>
    <t>9780521108898</t>
  </si>
  <si>
    <t>794489881</t>
  </si>
  <si>
    <t>- Reserves and A/V Room - A/V Collection - A/V Loan</t>
  </si>
  <si>
    <t>P221 L35</t>
  </si>
  <si>
    <t>0                      P  0221000L  35</t>
  </si>
  <si>
    <t>A-cass</t>
  </si>
  <si>
    <t>Cambridge [England] ; New York : Cambridge University Press, 1980.</t>
  </si>
  <si>
    <t>Cambridge studies in linguistics ; 31, 0068-676X</t>
  </si>
  <si>
    <t>2003-06-10</t>
  </si>
  <si>
    <t>6015859</t>
  </si>
  <si>
    <t>ocm06015859</t>
  </si>
  <si>
    <t>3100137072G</t>
  </si>
  <si>
    <t>9780521231763</t>
  </si>
  <si>
    <t>792470065</t>
  </si>
  <si>
    <t>3102765011V</t>
  </si>
  <si>
    <t>792470064</t>
  </si>
  <si>
    <t>P221 L64 2009</t>
  </si>
  <si>
    <t>0                      P  0221000L  64          2009</t>
  </si>
  <si>
    <t>A critical introduction to phonetics / Ken Lodge.</t>
  </si>
  <si>
    <t>Lodge, K. R. (Ken R.)</t>
  </si>
  <si>
    <t>Continuum critical introductions to linguistics</t>
  </si>
  <si>
    <t>113701385:eng</t>
  </si>
  <si>
    <t>260207746</t>
  </si>
  <si>
    <t>ocn260207746</t>
  </si>
  <si>
    <t>3103085808Y</t>
  </si>
  <si>
    <t>9780826488749</t>
  </si>
  <si>
    <t>794400458</t>
  </si>
  <si>
    <t>P221 P5 1943</t>
  </si>
  <si>
    <t>0                      P  0221000P  5           1943</t>
  </si>
  <si>
    <t>Phonetics, a critical analysis of phonetic theory and a technic for the practical description of sounds, by Kenneth L. Pike.</t>
  </si>
  <si>
    <t>Ann Arbor, University of Michigan Press; London, H. Milford, Oxford University Press, 1943.</t>
  </si>
  <si>
    <t>1943</t>
  </si>
  <si>
    <t>University of Michigan publications. Language and literature ; no. 21</t>
  </si>
  <si>
    <t>1081654988:eng</t>
  </si>
  <si>
    <t>316210</t>
  </si>
  <si>
    <t>ocm00316210</t>
  </si>
  <si>
    <t>3000993127T</t>
  </si>
  <si>
    <t>9780472087334</t>
  </si>
  <si>
    <t>791334453</t>
  </si>
  <si>
    <t>3102765013V</t>
  </si>
  <si>
    <t>791334452</t>
  </si>
  <si>
    <t>P221 P52x</t>
  </si>
  <si>
    <t>0                      P  0221000P  52x</t>
  </si>
  <si>
    <t>Phonemics, a technique for reducing languages to writing / by Kenneth L. Pike.</t>
  </si>
  <si>
    <t>Ann Arbor : Univversity of Michigan Press, [1947]</t>
  </si>
  <si>
    <t>University of Michigan publications. Linguistics, v. 3</t>
  </si>
  <si>
    <t>1090469668:eng</t>
  </si>
  <si>
    <t>312691</t>
  </si>
  <si>
    <t>ocm00312691</t>
  </si>
  <si>
    <t>3102765018V</t>
  </si>
  <si>
    <t>791333340</t>
  </si>
  <si>
    <t>P221 P75</t>
  </si>
  <si>
    <t>0                      P  0221000P  75</t>
  </si>
  <si>
    <t>Proposte di descrizione fonetica : con applicazione all'italiano / U. Bortolini Ricceri [and others] ; [con il contributo del] Centro Studi della Barbariga, S. Pietro di Stra, Venezia.</t>
  </si>
  <si>
    <t>Padova : Pàtron, ©1976.</t>
  </si>
  <si>
    <t>907157915:ita</t>
  </si>
  <si>
    <t>3748840</t>
  </si>
  <si>
    <t>ocm03748840</t>
  </si>
  <si>
    <t>3102764998T</t>
  </si>
  <si>
    <t>792287536</t>
  </si>
  <si>
    <t>P221 R49 2011</t>
  </si>
  <si>
    <t>0                      P  0221000R  49          2011</t>
  </si>
  <si>
    <t>Nicolas Beauzée précurseur de la phonétique : dans l'Encylopédie de Diderot et d'Alembert, la Grammaire générale et l'Encyclopédie méthodique de Panckoucke / Christophe Rey.</t>
  </si>
  <si>
    <t>Rey, Christophe.</t>
  </si>
  <si>
    <t>Paris : H. Champion, 2011.</t>
  </si>
  <si>
    <t>Lexica : mots et dictionnaires, 1279-8207 ; 19</t>
  </si>
  <si>
    <t>906536054:fre</t>
  </si>
  <si>
    <t>728831154</t>
  </si>
  <si>
    <t>ocn728831154</t>
  </si>
  <si>
    <t>3103426994F</t>
  </si>
  <si>
    <t>9782745321954</t>
  </si>
  <si>
    <t>794879010</t>
  </si>
  <si>
    <t>P221 S644 1995</t>
  </si>
  <si>
    <t>0                      P  0221000S  644         1995</t>
  </si>
  <si>
    <t>Speech and reading : a comparative approach / edited by Beatrice de Gelder, José Morais.</t>
  </si>
  <si>
    <t>Hove : Erlbaum, ©1995.</t>
  </si>
  <si>
    <t>864037864:eng</t>
  </si>
  <si>
    <t>34016365</t>
  </si>
  <si>
    <t>ocm34016365</t>
  </si>
  <si>
    <t>3102765007X</t>
  </si>
  <si>
    <t>9780863773556</t>
  </si>
  <si>
    <t>793416479</t>
  </si>
  <si>
    <t>P221 T3x 1964</t>
  </si>
  <si>
    <t>0                      P  0221000T  3x          1964</t>
  </si>
  <si>
    <t>Elementi di fonetica generale / Carlo Tagliavini.</t>
  </si>
  <si>
    <t>Tagliavini, Carlo, 1903-</t>
  </si>
  <si>
    <t>Bologna : R. Pàtron, [1964]</t>
  </si>
  <si>
    <t>Ristampa riveduta.</t>
  </si>
  <si>
    <t>4777837:ita</t>
  </si>
  <si>
    <t>213821697</t>
  </si>
  <si>
    <t>ocn213821697</t>
  </si>
  <si>
    <t>3102764982V</t>
  </si>
  <si>
    <t>794312303</t>
  </si>
  <si>
    <t>P221 V35 2011</t>
  </si>
  <si>
    <t>0                      P  0221000V  35          2011</t>
  </si>
  <si>
    <t>La phonétique / Jacqueline Vaissière.</t>
  </si>
  <si>
    <t>Vaissière, Jacqueline, author.</t>
  </si>
  <si>
    <t>Paris : Presses universitaires de France, 2011.</t>
  </si>
  <si>
    <t>Que sais-je? : lettres ; no 637</t>
  </si>
  <si>
    <t>351675378:fre</t>
  </si>
  <si>
    <t>905372289</t>
  </si>
  <si>
    <t>ocn905372289</t>
  </si>
  <si>
    <t>31032006446</t>
  </si>
  <si>
    <t>9782130586500</t>
  </si>
  <si>
    <t>794991277</t>
  </si>
  <si>
    <t>P221 V35 2015</t>
  </si>
  <si>
    <t>0                      P  0221000V  35          2015</t>
  </si>
  <si>
    <t>Troisième édition mise à jour.</t>
  </si>
  <si>
    <t>Que sais-je? ; no 637</t>
  </si>
  <si>
    <t>974375312</t>
  </si>
  <si>
    <t>ocn974375312</t>
  </si>
  <si>
    <t>3103709209V</t>
  </si>
  <si>
    <t>9782130653356</t>
  </si>
  <si>
    <t>795029541</t>
  </si>
  <si>
    <t>P221 V84</t>
  </si>
  <si>
    <t>0                      P  0221000V  84</t>
  </si>
  <si>
    <t>Enseignement de la prononciation : le système verbo-tonal (S.G.A.V.), suivi d'un Précis de correction phonétique des francophones apprenant l'anglais / Branko Vuletic, Jean Cureau.</t>
  </si>
  <si>
    <t>Vuletić, Branko, 1937-</t>
  </si>
  <si>
    <t>Paris : Didier, 1976.</t>
  </si>
  <si>
    <t>2015-04-27</t>
  </si>
  <si>
    <t>28338277:fre</t>
  </si>
  <si>
    <t>25437727</t>
  </si>
  <si>
    <t>ocm25437727</t>
  </si>
  <si>
    <t>31035996199</t>
  </si>
  <si>
    <t>793221332</t>
  </si>
  <si>
    <t>P221.5 J64 2003</t>
  </si>
  <si>
    <t>0                      P  0221500J  64          2003</t>
  </si>
  <si>
    <t>Acoustic and auditory phonetics / Keith Johnson.</t>
  </si>
  <si>
    <t>2018-04-08</t>
  </si>
  <si>
    <t>144337128:eng</t>
  </si>
  <si>
    <t>50198698</t>
  </si>
  <si>
    <t>ocm50198698</t>
  </si>
  <si>
    <t>31033472197</t>
  </si>
  <si>
    <t>9781405101226</t>
  </si>
  <si>
    <t>793757733</t>
  </si>
  <si>
    <t>P221.5 J64 2012</t>
  </si>
  <si>
    <t>0                      P  0221500J  64          2012</t>
  </si>
  <si>
    <t>Malden, MA : Wiley-Blackwell, ©2012.</t>
  </si>
  <si>
    <t>706804040</t>
  </si>
  <si>
    <t>ocn706804040</t>
  </si>
  <si>
    <t>3103445647S</t>
  </si>
  <si>
    <t>9781405194662</t>
  </si>
  <si>
    <t>794867200</t>
  </si>
  <si>
    <t>31033704566</t>
  </si>
  <si>
    <t>794867201</t>
  </si>
  <si>
    <t>3103348929H</t>
  </si>
  <si>
    <t>794867202</t>
  </si>
  <si>
    <t>P221.5 K46 2002</t>
  </si>
  <si>
    <t>0                      P  0221500K  46          2002</t>
  </si>
  <si>
    <t>The acoustic analysis of speech / Ray D. Kent and Charles Read.</t>
  </si>
  <si>
    <t>Kent, Raymond D.</t>
  </si>
  <si>
    <t>Australia ; United States : Singular/Thomson Learning, ©2002.</t>
  </si>
  <si>
    <t>17237291:eng</t>
  </si>
  <si>
    <t>48024997</t>
  </si>
  <si>
    <t>ocm48024997</t>
  </si>
  <si>
    <t>3103051269Y</t>
  </si>
  <si>
    <t>9780769301129</t>
  </si>
  <si>
    <t>793714062</t>
  </si>
  <si>
    <t>P221.5 L33 1996</t>
  </si>
  <si>
    <t>0                      P  0221500L  33          1996</t>
  </si>
  <si>
    <t>Elements of acoustic phonetics / Peter Ladefoged.</t>
  </si>
  <si>
    <t>2017-06-15</t>
  </si>
  <si>
    <t>1371464:eng</t>
  </si>
  <si>
    <t>32468547</t>
  </si>
  <si>
    <t>ocm32468547</t>
  </si>
  <si>
    <t>31027399201</t>
  </si>
  <si>
    <t>9780226467634</t>
  </si>
  <si>
    <t>793385087</t>
  </si>
  <si>
    <t>P221.5 S74 1998</t>
  </si>
  <si>
    <t>0                      P  0221500S  74          1998</t>
  </si>
  <si>
    <t>Acoustic phonetics / Kenneth N. Stevens.</t>
  </si>
  <si>
    <t>Stevens, Kenneth N., 1924- author.</t>
  </si>
  <si>
    <t>Cambridge, Mass. : MIT Press, [1998]</t>
  </si>
  <si>
    <t>Current studies in linguistics ; 30</t>
  </si>
  <si>
    <t>370116:eng</t>
  </si>
  <si>
    <t>37935283</t>
  </si>
  <si>
    <t>ocm37935283</t>
  </si>
  <si>
    <t>3102796602X</t>
  </si>
  <si>
    <t>9780262194044</t>
  </si>
  <si>
    <t>793510782</t>
  </si>
  <si>
    <t>P221.7 C53 2016</t>
  </si>
  <si>
    <t>0                      P  0221700C  53          2016</t>
  </si>
  <si>
    <t>Challenging sonority : cross-linguistic evidence / edited by Martin J. Ball and Nicole Müller.</t>
  </si>
  <si>
    <t>Sheffield, UK ; Bristol, CT : Equinox Publishing Ltd, 2016.</t>
  </si>
  <si>
    <t>Studies in phonetics and phonology</t>
  </si>
  <si>
    <t>2959723121:eng</t>
  </si>
  <si>
    <t>945359099</t>
  </si>
  <si>
    <t>ocn945359099</t>
  </si>
  <si>
    <t>3103670644N</t>
  </si>
  <si>
    <t>9781781792278</t>
  </si>
  <si>
    <t>795013459</t>
  </si>
  <si>
    <t>P222 B76</t>
  </si>
  <si>
    <t>0                      P  0222000B  76</t>
  </si>
  <si>
    <t>Questions of intonation / Gillian Brown, Karen L. Currie, and Joanne Kenworthy.</t>
  </si>
  <si>
    <t>Baltimore : University Park Press, ©1980.</t>
  </si>
  <si>
    <t>16430582:eng</t>
  </si>
  <si>
    <t>5171947</t>
  </si>
  <si>
    <t>ocm05171947</t>
  </si>
  <si>
    <t>3102756346H</t>
  </si>
  <si>
    <t>9780839114673</t>
  </si>
  <si>
    <t>792413435</t>
  </si>
  <si>
    <t>P222 B87 2016</t>
  </si>
  <si>
    <t>0                      P  0222000B  87          2016</t>
  </si>
  <si>
    <t>Intonation and meaning / Daniel Büring.</t>
  </si>
  <si>
    <t>Büring, Daniel, author.</t>
  </si>
  <si>
    <t>Oxford : Oxford University Press, [2016]</t>
  </si>
  <si>
    <t>Oxford surveys in semantics and pragmatics ; 3</t>
  </si>
  <si>
    <t>2837042274:eng</t>
  </si>
  <si>
    <t>957144631</t>
  </si>
  <si>
    <t>ocn957144631</t>
  </si>
  <si>
    <t>31037053383</t>
  </si>
  <si>
    <t>9780199226276</t>
  </si>
  <si>
    <t>795020760</t>
  </si>
  <si>
    <t>P222 C78 1997</t>
  </si>
  <si>
    <t>0                      P  0222000C  78          1997</t>
  </si>
  <si>
    <t>Intonation / Alan Cruttenden.</t>
  </si>
  <si>
    <t>Cruttenden, Alan, 1936-</t>
  </si>
  <si>
    <t>Cambridge [U.K.] ; New York, NY, USA : Cambridge University Press, 1997.</t>
  </si>
  <si>
    <t>3857080750:eng</t>
  </si>
  <si>
    <t>35990249</t>
  </si>
  <si>
    <t>ocm35990249</t>
  </si>
  <si>
    <t>3102756341H</t>
  </si>
  <si>
    <t>9780521591829</t>
  </si>
  <si>
    <t>793463428</t>
  </si>
  <si>
    <t>P222 H37 1990</t>
  </si>
  <si>
    <t>0                      P  0222000H  37          1990</t>
  </si>
  <si>
    <t>A perceptual study of intonation : an experimental-phonetic approach to speech melody / Johan 't Hart, René Collier, and Antonie Cohen.</t>
  </si>
  <si>
    <t>Hart, Johan 't.</t>
  </si>
  <si>
    <t>836898793:eng</t>
  </si>
  <si>
    <t>19669955</t>
  </si>
  <si>
    <t>ocm19669955</t>
  </si>
  <si>
    <t>3102756370B</t>
  </si>
  <si>
    <t>9780521366434</t>
  </si>
  <si>
    <t>793065494</t>
  </si>
  <si>
    <t>P222 I466 1998</t>
  </si>
  <si>
    <t>0                      P  0222000I  466         1998</t>
  </si>
  <si>
    <t>Intonation systems : a survey of twenty languages / edited by Daniel Hirst and Albert Di Cristo.</t>
  </si>
  <si>
    <t>Cambridge, U.K. ; New York, NY : Cambridge University Press, 1998.</t>
  </si>
  <si>
    <t>836926937:eng</t>
  </si>
  <si>
    <t>39116631</t>
  </si>
  <si>
    <t>ocm39116631</t>
  </si>
  <si>
    <t>3101952706O</t>
  </si>
  <si>
    <t>9780521395137</t>
  </si>
  <si>
    <t>793538403</t>
  </si>
  <si>
    <t>P222 L33 2008</t>
  </si>
  <si>
    <t>0                      P  0222000L  33          2008</t>
  </si>
  <si>
    <t>Intonational phonology / D. Robert Ladd.</t>
  </si>
  <si>
    <t>Ladd, D. Robert, 1947-</t>
  </si>
  <si>
    <t>Cambridge studies in linguistics ; 119</t>
  </si>
  <si>
    <t>5090385239:eng</t>
  </si>
  <si>
    <t>227031749</t>
  </si>
  <si>
    <t>ocn227031749</t>
  </si>
  <si>
    <t>31028554942</t>
  </si>
  <si>
    <t>9780521861175</t>
  </si>
  <si>
    <t>794346983</t>
  </si>
  <si>
    <t>P222 L5</t>
  </si>
  <si>
    <t>0                      P  0222000L  5</t>
  </si>
  <si>
    <t>Intonation, perception, and language / Philip Lieberman.</t>
  </si>
  <si>
    <t>Cambridge : M.I.T. Press, 1967.</t>
  </si>
  <si>
    <t>M.I.T. research monograph ; 38</t>
  </si>
  <si>
    <t>294360:eng</t>
  </si>
  <si>
    <t>308128</t>
  </si>
  <si>
    <t>ocm00308128</t>
  </si>
  <si>
    <t>3000242308Z</t>
  </si>
  <si>
    <t>791331583</t>
  </si>
  <si>
    <t>3000972379J</t>
  </si>
  <si>
    <t>791331582</t>
  </si>
  <si>
    <t>3102756350F</t>
  </si>
  <si>
    <t>791331581</t>
  </si>
  <si>
    <t>P222 M4</t>
  </si>
  <si>
    <t>0                      P  0222000M  4</t>
  </si>
  <si>
    <t>Les techniques de la phonétique instrumentale et l'intonation / Odette Mettas, préf. de Maurice Leroy.</t>
  </si>
  <si>
    <t>Mettas, Odette.</t>
  </si>
  <si>
    <t>Bruxelles : Presses universitaires de Bruxelles, [©1971]</t>
  </si>
  <si>
    <t>Université libre de Bruxelles. Institut de phonétique. Conférences et travaux ; v. 2</t>
  </si>
  <si>
    <t>5614044961:fre</t>
  </si>
  <si>
    <t>1312448</t>
  </si>
  <si>
    <t>ocm01312448</t>
  </si>
  <si>
    <t>3102756345H</t>
  </si>
  <si>
    <t>791597449</t>
  </si>
  <si>
    <t>P222 P5x</t>
  </si>
  <si>
    <t>0                      P  0222000P  5x</t>
  </si>
  <si>
    <t>Tone languages; a technique for determining the number and type of pitch contrasts in a language, with studies in tonemic substitution and fusion.</t>
  </si>
  <si>
    <t>Ann Arbor, University of Michigan Press, 1948.</t>
  </si>
  <si>
    <t>University of Michigan publications. Linguistics, v. 4</t>
  </si>
  <si>
    <t>230669129:eng</t>
  </si>
  <si>
    <t>312371</t>
  </si>
  <si>
    <t>ocm00312371</t>
  </si>
  <si>
    <t>3102756364D</t>
  </si>
  <si>
    <t>791333211</t>
  </si>
  <si>
    <t>P223 B361 1990</t>
  </si>
  <si>
    <t>0                      P  0223000B  361         1990</t>
  </si>
  <si>
    <t>On the nature of tone / Zhiming Bao.</t>
  </si>
  <si>
    <t>Bao, Zhiming.</t>
  </si>
  <si>
    <t>24862040:eng</t>
  </si>
  <si>
    <t>26736220</t>
  </si>
  <si>
    <t>ocm26736220</t>
  </si>
  <si>
    <t>3103485248K</t>
  </si>
  <si>
    <t>793250611</t>
  </si>
  <si>
    <t>P223 G87 2004</t>
  </si>
  <si>
    <t>0                      P  0223000G  87          2004</t>
  </si>
  <si>
    <t>The phonology of tone and intonation / Carlos Gussenhoven.</t>
  </si>
  <si>
    <t>707763:eng</t>
  </si>
  <si>
    <t>53038543</t>
  </si>
  <si>
    <t>ocm53038543</t>
  </si>
  <si>
    <t>3102756354F</t>
  </si>
  <si>
    <t>9780521812658</t>
  </si>
  <si>
    <t>793819844</t>
  </si>
  <si>
    <t>P223 H842 1990</t>
  </si>
  <si>
    <t>0                      P  0223000H  842         1990</t>
  </si>
  <si>
    <t>Tonal perception in speech / David House.</t>
  </si>
  <si>
    <t>House, David.</t>
  </si>
  <si>
    <t>Lund, Sweden : Lund University Press, 1990.</t>
  </si>
  <si>
    <t>Travaux de l'Institut de linguistique de Lund, 0347-2558 ; 24</t>
  </si>
  <si>
    <t>25566585:eng</t>
  </si>
  <si>
    <t>23239852</t>
  </si>
  <si>
    <t>ocm23239852</t>
  </si>
  <si>
    <t>3102749504C</t>
  </si>
  <si>
    <t>9789179661434</t>
  </si>
  <si>
    <t>793165538</t>
  </si>
  <si>
    <t>P223 P47 1992</t>
  </si>
  <si>
    <t>0                      P  0223000P  47          1992</t>
  </si>
  <si>
    <t>The phonology of tone : the representation of tonal register / edited by Harry van der Hulst, Keith Snider.</t>
  </si>
  <si>
    <t>Linguistic models ; 17</t>
  </si>
  <si>
    <t>890350387:eng</t>
  </si>
  <si>
    <t>60096776</t>
  </si>
  <si>
    <t>ocm60096776</t>
  </si>
  <si>
    <t>3102756349H</t>
  </si>
  <si>
    <t>9783110136050</t>
  </si>
  <si>
    <t>793933693</t>
  </si>
  <si>
    <t>P223 T6</t>
  </si>
  <si>
    <t>0                      P  0223000T  6</t>
  </si>
  <si>
    <t>Tone : a linguistic survey / edited by Victoria A. Fromkin.</t>
  </si>
  <si>
    <t>864110390:eng</t>
  </si>
  <si>
    <t>3914019</t>
  </si>
  <si>
    <t>ocm03914019</t>
  </si>
  <si>
    <t>3102756344H</t>
  </si>
  <si>
    <t>9780122673504</t>
  </si>
  <si>
    <t>792304578</t>
  </si>
  <si>
    <t>P223 T66 2007</t>
  </si>
  <si>
    <t>0                      P  0223000T  66          2007</t>
  </si>
  <si>
    <t>Tones and tunes / edited by Tomas Riad, Carlos Gussenhoven.</t>
  </si>
  <si>
    <t>Berlin ; New York : Mouton de Gruyter, ©2007-</t>
  </si>
  <si>
    <t>Phonology and phonetics, 1861-4191 ; 12</t>
  </si>
  <si>
    <t>5609480467:eng</t>
  </si>
  <si>
    <t>166255066</t>
  </si>
  <si>
    <t>ocn166255066</t>
  </si>
  <si>
    <t>3103027045Z</t>
  </si>
  <si>
    <t>9783110190571</t>
  </si>
  <si>
    <t>794259682</t>
  </si>
  <si>
    <t>3103027040Z</t>
  </si>
  <si>
    <t>794259681</t>
  </si>
  <si>
    <t>P223 Y56 2002</t>
  </si>
  <si>
    <t>0                      P  0223000Y  56          2002</t>
  </si>
  <si>
    <t>Tone / Moira Yip.</t>
  </si>
  <si>
    <t>Yip, Moira Jean Winsland.</t>
  </si>
  <si>
    <t>1027742:eng</t>
  </si>
  <si>
    <t>50090057</t>
  </si>
  <si>
    <t>ocm50090057</t>
  </si>
  <si>
    <t>3102756339J</t>
  </si>
  <si>
    <t>9780521773140</t>
  </si>
  <si>
    <t>793755321</t>
  </si>
  <si>
    <t>P224 C33 1981</t>
  </si>
  <si>
    <t>0                      P  0224000C  33          1981</t>
  </si>
  <si>
    <t>Structures prosodiques de la phrase énonciative simple et étendue / Geneviève Caelen.</t>
  </si>
  <si>
    <t>Caelen, Geneviève.</t>
  </si>
  <si>
    <t>Hamburg : H. Buske, ©1981.</t>
  </si>
  <si>
    <t>Hamburger phonetische Beiträge, 0341-3187 ; Bd. 34</t>
  </si>
  <si>
    <t>31225144:fre</t>
  </si>
  <si>
    <t>8139236</t>
  </si>
  <si>
    <t>ocm08139236</t>
  </si>
  <si>
    <t>3102756378B</t>
  </si>
  <si>
    <t>9783871184635</t>
  </si>
  <si>
    <t>792601601</t>
  </si>
  <si>
    <t>P224 C87 2011</t>
  </si>
  <si>
    <t>0                      P  0224000C  87          2011</t>
  </si>
  <si>
    <t>Current trends in metrical analysis / [edited by] Christoph Küper, [Wilfried Kürschner, Volker Schulz].</t>
  </si>
  <si>
    <t>Littera: studies in language and literature = Littera : Studien zur Sprache und Literatur ; vol./Bd. 2</t>
  </si>
  <si>
    <t>2012-06-27</t>
  </si>
  <si>
    <t>1011155200:eng</t>
  </si>
  <si>
    <t>729544717</t>
  </si>
  <si>
    <t>ocn729544717</t>
  </si>
  <si>
    <t>3103342693$</t>
  </si>
  <si>
    <t>9783631608814</t>
  </si>
  <si>
    <t>794879475</t>
  </si>
  <si>
    <t>P224 F76 2011</t>
  </si>
  <si>
    <t>0                      P  0224000F  76          2011</t>
  </si>
  <si>
    <t>Frontiers in comparative prosody : in memoriam Mikhail Gasparov / Mihhail Lotman &amp; Maria-Kristiina Lotman (eds).</t>
  </si>
  <si>
    <t>Bern ; New York : Peter Lang, ©2011.</t>
  </si>
  <si>
    <t>Linguistic insights : studies in language and communication ; v. 113</t>
  </si>
  <si>
    <t>2013-09-20</t>
  </si>
  <si>
    <t>896500188:eng</t>
  </si>
  <si>
    <t>720900048</t>
  </si>
  <si>
    <t>ocn720900048</t>
  </si>
  <si>
    <t>31033805176</t>
  </si>
  <si>
    <t>9783034303736</t>
  </si>
  <si>
    <t>794875230</t>
  </si>
  <si>
    <t>P224 L35 1997</t>
  </si>
  <si>
    <t>0                      P  0224000L  35          1997</t>
  </si>
  <si>
    <t>Phonologie accentuelle : métrique, autosegmentalité et constituance / Bernard Laks.</t>
  </si>
  <si>
    <t>Laks, Bernard.</t>
  </si>
  <si>
    <t>Paris : CNRS, 1997.</t>
  </si>
  <si>
    <t>Sciences du langage, 0991-5877</t>
  </si>
  <si>
    <t>365212798:fre</t>
  </si>
  <si>
    <t>38837191</t>
  </si>
  <si>
    <t>ocm38837191</t>
  </si>
  <si>
    <t>3102756353F</t>
  </si>
  <si>
    <t>9782271054814</t>
  </si>
  <si>
    <t>793530936</t>
  </si>
  <si>
    <t>P224 P757 1996</t>
  </si>
  <si>
    <t>0                      P  0224000P  757         1996</t>
  </si>
  <si>
    <t>Prosody in conversation : interactional studies / edited by Elizabeth Couper-Kuhlen and Margret Selting.</t>
  </si>
  <si>
    <t>Studies in interactional sociolinguistics ; 12</t>
  </si>
  <si>
    <t>896285222:eng</t>
  </si>
  <si>
    <t>31815098</t>
  </si>
  <si>
    <t>ocm31815098</t>
  </si>
  <si>
    <t>3102756348H</t>
  </si>
  <si>
    <t>9780521460750</t>
  </si>
  <si>
    <t>793368884</t>
  </si>
  <si>
    <t>P224 P76 1989</t>
  </si>
  <si>
    <t>0                      P  0224000P  76          1989</t>
  </si>
  <si>
    <t>Prosodic analysis and Asian languages : to honour R.K. Sprigg / David Bradley, Eugénie J.A. Henderson and Martine Mazaudon, eds.</t>
  </si>
  <si>
    <t>Canberra, A.C.T., Australia : Department of Linguistics, Research School of Pacific Studies, Australian National University, 1989.</t>
  </si>
  <si>
    <t>Pacific linguistics. Series C. ; no. 104</t>
  </si>
  <si>
    <t>5612870031:eng</t>
  </si>
  <si>
    <t>427502001</t>
  </si>
  <si>
    <t>ocn427502001</t>
  </si>
  <si>
    <t>3102756343H</t>
  </si>
  <si>
    <t>794668681</t>
  </si>
  <si>
    <t>P224 P76 2010</t>
  </si>
  <si>
    <t>0                      P  0224000P  76          2010</t>
  </si>
  <si>
    <t>Prosodie, traduction, fonctions : actes du XXXIIe Colloque international de linguistique fonctionnelle / Liliya Morozova et Erich Weider, éds.</t>
  </si>
  <si>
    <t>International Colloquium of Functional Linguistics (32nd : 2007 : Minsk)</t>
  </si>
  <si>
    <t>Fernelmont : E.M.E. &amp; InterCommunications, ©2010.</t>
  </si>
  <si>
    <t>867064346:rus</t>
  </si>
  <si>
    <t>713182269</t>
  </si>
  <si>
    <t>ocn713182269</t>
  </si>
  <si>
    <t>3103340529O</t>
  </si>
  <si>
    <t>9782875250797</t>
  </si>
  <si>
    <t>794872608</t>
  </si>
  <si>
    <t>P224 P767 1999</t>
  </si>
  <si>
    <t>0                      P  0224000P  767         1999</t>
  </si>
  <si>
    <t>The prosody-morphology interface / edited by René Kager, Harry van der Hulst, Wim Zonneveld.</t>
  </si>
  <si>
    <t>Cambridge, UK ; New York, NY : Cambridge University Press, 1999.</t>
  </si>
  <si>
    <t>917504056:eng</t>
  </si>
  <si>
    <t>39464750</t>
  </si>
  <si>
    <t>ocm39464750</t>
  </si>
  <si>
    <t>3102756338J</t>
  </si>
  <si>
    <t>9780521621083</t>
  </si>
  <si>
    <t>793546237</t>
  </si>
  <si>
    <t>P224 R43 2016</t>
  </si>
  <si>
    <t>0                      P  0224000R  43          2016</t>
  </si>
  <si>
    <t>Contiguity theory / Norvin Richards.</t>
  </si>
  <si>
    <t>Richards, Norvin, author.</t>
  </si>
  <si>
    <t>Cambridge, Massachusetts : The MIT Press, [2016]</t>
  </si>
  <si>
    <t>Linguistic inquiry monographs ; 73</t>
  </si>
  <si>
    <t>3402128098:eng</t>
  </si>
  <si>
    <t>926821129</t>
  </si>
  <si>
    <t>ocn926821129</t>
  </si>
  <si>
    <t>31037934308</t>
  </si>
  <si>
    <t>9780262034425</t>
  </si>
  <si>
    <t>795005540</t>
  </si>
  <si>
    <t>P224 R53 2010</t>
  </si>
  <si>
    <t>0                      P  0224000R  53          2010</t>
  </si>
  <si>
    <t>Uttering trees / Norvin Richards.</t>
  </si>
  <si>
    <t>Richards, Norvin.</t>
  </si>
  <si>
    <t>Linguistic inquiry monographs ; 56</t>
  </si>
  <si>
    <t>287963750:eng</t>
  </si>
  <si>
    <t>401715764</t>
  </si>
  <si>
    <t>ocn401715764</t>
  </si>
  <si>
    <t>3103127993T</t>
  </si>
  <si>
    <t>9780262013765</t>
  </si>
  <si>
    <t>794498814</t>
  </si>
  <si>
    <t>P224 T67 2010</t>
  </si>
  <si>
    <t>0                      P  0224000T  67          2010</t>
  </si>
  <si>
    <t>Onsets : suprasegmental and prosodic behaviour / Nina Topintzi.</t>
  </si>
  <si>
    <t>Topintzi, Nina.</t>
  </si>
  <si>
    <t>Cambridge studies in linguistics ; 125</t>
  </si>
  <si>
    <t>793279711:eng</t>
  </si>
  <si>
    <t>500243211</t>
  </si>
  <si>
    <t>ocn500243211</t>
  </si>
  <si>
    <t>3103133273S</t>
  </si>
  <si>
    <t>9780521493352</t>
  </si>
  <si>
    <t>794804027</t>
  </si>
  <si>
    <t>P224 Z83 1998</t>
  </si>
  <si>
    <t>0                      P  0224000Z  83          1998</t>
  </si>
  <si>
    <t>Prosody, focus, and word order / Maria Luisa Zubizarreta.</t>
  </si>
  <si>
    <t>Zubizarreta, Maria Luisa.</t>
  </si>
  <si>
    <t>Linguistic inquiry monographs ; 33</t>
  </si>
  <si>
    <t>2019-12-02</t>
  </si>
  <si>
    <t>603692:eng</t>
  </si>
  <si>
    <t>38566186</t>
  </si>
  <si>
    <t>ocm38566186</t>
  </si>
  <si>
    <t>3102756362D</t>
  </si>
  <si>
    <t>9780262240413</t>
  </si>
  <si>
    <t>793527083</t>
  </si>
  <si>
    <t>P226 H47 2017</t>
  </si>
  <si>
    <t>0                      P  0226000H  47          2017</t>
  </si>
  <si>
    <t>Transcribing for social research.</t>
  </si>
  <si>
    <t>Hepburn, Alexa.</t>
  </si>
  <si>
    <t>[Place of publication not identified] : Sage Publications Ltd, 2014.</t>
  </si>
  <si>
    <t>1250709003:eng</t>
  </si>
  <si>
    <t>840476771</t>
  </si>
  <si>
    <t>ocn840476771</t>
  </si>
  <si>
    <t>31037027455</t>
  </si>
  <si>
    <t>9781446247037</t>
  </si>
  <si>
    <t>794946106</t>
  </si>
  <si>
    <t>P226 P85 1996</t>
  </si>
  <si>
    <t>0                      P  0226000P  85          1996</t>
  </si>
  <si>
    <t>Phonetic symbol guide / Geoffrey K. Pullum and William A. Ladusaw.</t>
  </si>
  <si>
    <t>7274765:eng</t>
  </si>
  <si>
    <t>33243357</t>
  </si>
  <si>
    <t>ocm33243357</t>
  </si>
  <si>
    <t>3102756426I</t>
  </si>
  <si>
    <t>9780226685359</t>
  </si>
  <si>
    <t>793404996</t>
  </si>
  <si>
    <t>P227 I5 1963</t>
  </si>
  <si>
    <t>0                      P  0227000I  5           1963</t>
  </si>
  <si>
    <t>The principles of the International Phonetic Association : being a description of the International phonetic alphabet and the manner of using it, illustrated by texts in 51 languages / International Phonetic Association.</t>
  </si>
  <si>
    <t>International Phonetic Association.</t>
  </si>
  <si>
    <t>London : The Association, 1963.</t>
  </si>
  <si>
    <t>4675470:eng</t>
  </si>
  <si>
    <t>427502944</t>
  </si>
  <si>
    <t>ocn427502944</t>
  </si>
  <si>
    <t>31027563967</t>
  </si>
  <si>
    <t>794668948</t>
  </si>
  <si>
    <t>P227 I52 1999</t>
  </si>
  <si>
    <t>0                      P  0227000I  52          1999</t>
  </si>
  <si>
    <t>Handbook of the International Phonetic Association : a guide to the use of the International Phonetic Alphabet.</t>
  </si>
  <si>
    <t>Cambridge, U.K. ; New York, NY : Cambridge University Press, 1999.</t>
  </si>
  <si>
    <t>2016-12-04</t>
  </si>
  <si>
    <t>810989989:eng</t>
  </si>
  <si>
    <t>40305532</t>
  </si>
  <si>
    <t>ocm40305532</t>
  </si>
  <si>
    <t>3102796689H</t>
  </si>
  <si>
    <t>9780521652360</t>
  </si>
  <si>
    <t>793563762</t>
  </si>
  <si>
    <t>P231 H35 1987</t>
  </si>
  <si>
    <t>0                      P  0231000H  35          1987</t>
  </si>
  <si>
    <t>An essay on stress / Morris Halle and Jean-Roger Vergnaud.</t>
  </si>
  <si>
    <t>Halle, Morris.</t>
  </si>
  <si>
    <t>Cambrdige, Mass. : MIT Press, ©1987.</t>
  </si>
  <si>
    <t>Current studies in linguistics series ; 15</t>
  </si>
  <si>
    <t>994737:eng</t>
  </si>
  <si>
    <t>15790869</t>
  </si>
  <si>
    <t>ocm15790869</t>
  </si>
  <si>
    <t>3102756410K</t>
  </si>
  <si>
    <t>9780262081689</t>
  </si>
  <si>
    <t>792942735</t>
  </si>
  <si>
    <t>P231 H38 1995</t>
  </si>
  <si>
    <t>0                      P  0231000H  38          1995</t>
  </si>
  <si>
    <t>Metrical stress theory : principles and case studies / Bruce Hayes.</t>
  </si>
  <si>
    <t>Chicago : University of Chicago Press, ©1995.</t>
  </si>
  <si>
    <t>836898313:eng</t>
  </si>
  <si>
    <t>28799248</t>
  </si>
  <si>
    <t>ocm28799248</t>
  </si>
  <si>
    <t>31027563957</t>
  </si>
  <si>
    <t>9780226321035</t>
  </si>
  <si>
    <t>793296545</t>
  </si>
  <si>
    <t>P231 H39 1985</t>
  </si>
  <si>
    <t>0                      P  0231000H  39          1985</t>
  </si>
  <si>
    <t>A metrical theory of stress rules / Bruce Hayes.</t>
  </si>
  <si>
    <t>New York : Garland Pub., 1985.</t>
  </si>
  <si>
    <t>Outstanding dissertations in linguistics</t>
  </si>
  <si>
    <t>910481:eng</t>
  </si>
  <si>
    <t>12263185</t>
  </si>
  <si>
    <t>ocm12263185</t>
  </si>
  <si>
    <t>31034811198</t>
  </si>
  <si>
    <t>9780824054304</t>
  </si>
  <si>
    <t>792808211</t>
  </si>
  <si>
    <t>P231 S93 1977</t>
  </si>
  <si>
    <t>0                      P  0231000S  93          1977</t>
  </si>
  <si>
    <t>Studies in stress and accent / edited by Larry M. Hyman.</t>
  </si>
  <si>
    <t>Symposium on Stress and Accent (1976 : University of Southern California)</t>
  </si>
  <si>
    <t>Los Angeles : Dept. of Linguistics, University of Southern California, [1977]</t>
  </si>
  <si>
    <t>Southern California occasional papers in linguistics ; no. 4</t>
  </si>
  <si>
    <t>148797496:eng</t>
  </si>
  <si>
    <t>3795144</t>
  </si>
  <si>
    <t>ocm03795144</t>
  </si>
  <si>
    <t>3102756424I</t>
  </si>
  <si>
    <t>792292301</t>
  </si>
  <si>
    <t>P233 W35 2011</t>
  </si>
  <si>
    <t>0                      P  0233000W  35          2011</t>
  </si>
  <si>
    <t>Vowel patterns in language / Rachel Walker.</t>
  </si>
  <si>
    <t>Walker, Rachel, 1967-</t>
  </si>
  <si>
    <t>Cambridge studies in linguistics ; 130</t>
  </si>
  <si>
    <t>2014-03-14</t>
  </si>
  <si>
    <t>922666333:eng</t>
  </si>
  <si>
    <t>699759451</t>
  </si>
  <si>
    <t>ocn699759451</t>
  </si>
  <si>
    <t>3103341308U</t>
  </si>
  <si>
    <t>9780521513975</t>
  </si>
  <si>
    <t>794861511</t>
  </si>
  <si>
    <t>P234 N48 2010</t>
  </si>
  <si>
    <t>0                      P  0234000N  48          2010</t>
  </si>
  <si>
    <t>Locality in vowel harmony / Andrew Nevins.</t>
  </si>
  <si>
    <t>Nevins, Andrew.</t>
  </si>
  <si>
    <t>Linguistic inquiry monographs ; 55</t>
  </si>
  <si>
    <t>327421923:eng</t>
  </si>
  <si>
    <t>441948083</t>
  </si>
  <si>
    <t>ocn441948083</t>
  </si>
  <si>
    <t>3103241541M</t>
  </si>
  <si>
    <t>9780262140973</t>
  </si>
  <si>
    <t>794786891</t>
  </si>
  <si>
    <t>P235 L38 2001</t>
  </si>
  <si>
    <t>0                      P  0235000L  38          2001</t>
  </si>
  <si>
    <t>Consonant strength : phonological patterns and phonetic manifestations / Lisa M. Lavoie.</t>
  </si>
  <si>
    <t>New York : Garland Pub., 2001.</t>
  </si>
  <si>
    <t>34890204:eng</t>
  </si>
  <si>
    <t>44952033</t>
  </si>
  <si>
    <t>ocm44952033</t>
  </si>
  <si>
    <t>3102756412K</t>
  </si>
  <si>
    <t>9780815340447</t>
  </si>
  <si>
    <t>793661212</t>
  </si>
  <si>
    <t>P235 L46 2008</t>
  </si>
  <si>
    <t>0                      P  0235000L  46          2008</t>
  </si>
  <si>
    <t>Lenition and fortition / edited by Joaquim Brandão de Carvalho, Tobias Scheer, Philippe Ségéral.</t>
  </si>
  <si>
    <t>Berlin ; New York : Mouton de Gruyter, 2008.</t>
  </si>
  <si>
    <t>Studies in generative grammar ; 99</t>
  </si>
  <si>
    <t>2016-05-01</t>
  </si>
  <si>
    <t>351887272:eng</t>
  </si>
  <si>
    <t>244659840</t>
  </si>
  <si>
    <t>ocn244659840</t>
  </si>
  <si>
    <t>3103078255Z</t>
  </si>
  <si>
    <t>9783110206081</t>
  </si>
  <si>
    <t>794382147</t>
  </si>
  <si>
    <t>P235 O64 2010</t>
  </si>
  <si>
    <t>0                      P  0235000O  64          2010</t>
  </si>
  <si>
    <t>Consonant structure and prevocalization / Natalie Operstein.</t>
  </si>
  <si>
    <t>Operstein, Natalie.</t>
  </si>
  <si>
    <t>Amsterdam studies in the theory and history of linguistic science. Series IV, Current issues in linguistic theory ; v. 312</t>
  </si>
  <si>
    <t>370486080:eng</t>
  </si>
  <si>
    <t>496610101</t>
  </si>
  <si>
    <t>ocn496610101</t>
  </si>
  <si>
    <t>3103252517J</t>
  </si>
  <si>
    <t>9789027248282</t>
  </si>
  <si>
    <t>794802624</t>
  </si>
  <si>
    <t>P235.5 I58 2010</t>
  </si>
  <si>
    <t>0                      P  0235500I  58          2010</t>
  </si>
  <si>
    <t>Turbulent sounds : an interdisciplinary guide / edited by Susanne Fuchs, Martine Toda, Marzena Żygis.</t>
  </si>
  <si>
    <t>Interface explorations ; 21</t>
  </si>
  <si>
    <t>1044601493:eng</t>
  </si>
  <si>
    <t>551961492</t>
  </si>
  <si>
    <t>ocn551961492</t>
  </si>
  <si>
    <t>3103231626S</t>
  </si>
  <si>
    <t>9783110226577</t>
  </si>
  <si>
    <t>794811857</t>
  </si>
  <si>
    <t>P235.5 Y83 2008</t>
  </si>
  <si>
    <t>0                      P  0235500Y  83          2008</t>
  </si>
  <si>
    <t>Culture and gender of voice pitch : a sociophonetic comparison of the Japanese and Americans / Ikuko Patricia Yuasa.</t>
  </si>
  <si>
    <t>Yuasa, Ikuko Patricia.</t>
  </si>
  <si>
    <t>864917698:eng</t>
  </si>
  <si>
    <t>181335777</t>
  </si>
  <si>
    <t>ocn181335777</t>
  </si>
  <si>
    <t>3103052694C</t>
  </si>
  <si>
    <t>9781845533502</t>
  </si>
  <si>
    <t>794282143</t>
  </si>
  <si>
    <t>P236 H36 2011</t>
  </si>
  <si>
    <t>0                      P  0236000H  36          2011</t>
  </si>
  <si>
    <t>Handbook of the syllable / edited by Charles E. Cairns and Eric Raimy.</t>
  </si>
  <si>
    <t>Brill's handbooks in linguistics, 1879-629X ; v. 1</t>
  </si>
  <si>
    <t>552433815:eng</t>
  </si>
  <si>
    <t>666573588</t>
  </si>
  <si>
    <t>ocn666573588</t>
  </si>
  <si>
    <t>3103364452W</t>
  </si>
  <si>
    <t>9789004187405</t>
  </si>
  <si>
    <t>794845303</t>
  </si>
  <si>
    <t>P236 S94 1999</t>
  </si>
  <si>
    <t>0                      P  0236000S  94          1999</t>
  </si>
  <si>
    <t>The Syllable : views and facts / edited by Harry van der Hulst, Nancy A. Ritter.</t>
  </si>
  <si>
    <t>Berlin ; New York : M. de Gruyter, 1999.</t>
  </si>
  <si>
    <t>Studies in generative grammar ; 45</t>
  </si>
  <si>
    <t>2016-11-14</t>
  </si>
  <si>
    <t>807142297:eng</t>
  </si>
  <si>
    <t>41108540</t>
  </si>
  <si>
    <t>ocm41108540</t>
  </si>
  <si>
    <t>3102773366F</t>
  </si>
  <si>
    <t>9783110162745</t>
  </si>
  <si>
    <t>793584682</t>
  </si>
  <si>
    <t>P236 S95</t>
  </si>
  <si>
    <t>0                      P  0236000S  95</t>
  </si>
  <si>
    <t>Syllables and segments / editors, Alan Bell and Joan Bybee Hooper.</t>
  </si>
  <si>
    <t>Amsterdam ; New York : North-Holland Pub. Co. : Sole distributors for the U.S.A. and Canada, Elsevier North-Holland, 1978.</t>
  </si>
  <si>
    <t>North-Holland linguistic series ; 40</t>
  </si>
  <si>
    <t>350416019:eng</t>
  </si>
  <si>
    <t>4504529</t>
  </si>
  <si>
    <t>ocm04504529</t>
  </si>
  <si>
    <t>3102773361F</t>
  </si>
  <si>
    <t>9780444852410</t>
  </si>
  <si>
    <t>792357034</t>
  </si>
  <si>
    <t>P236 S95 2016</t>
  </si>
  <si>
    <t>0                      P  0236000S  95          2016</t>
  </si>
  <si>
    <t>The syllable and stress : studies in honor of James W. Harris / edited by Rafael A. Núñez Cedeño.</t>
  </si>
  <si>
    <t>Núñez, Rafael, author.</t>
  </si>
  <si>
    <t>Studies in generative grammar, 0167-4331 ; volume 126</t>
  </si>
  <si>
    <t>2979945497:eng</t>
  </si>
  <si>
    <t>931648622</t>
  </si>
  <si>
    <t>ocn931648622</t>
  </si>
  <si>
    <t>31036541066</t>
  </si>
  <si>
    <t>9781614517368</t>
  </si>
  <si>
    <t>795007654</t>
  </si>
  <si>
    <t>P236 S96 2008</t>
  </si>
  <si>
    <t>0                      P  0236000S  96          2008</t>
  </si>
  <si>
    <t>The syllable in speech production / [edited by] Barbara L. Davis, Krisztina Zajdó.</t>
  </si>
  <si>
    <t>New York : Erlbaum, ©2008.</t>
  </si>
  <si>
    <t>141191541:eng</t>
  </si>
  <si>
    <t>156811717</t>
  </si>
  <si>
    <t>ocn156811717</t>
  </si>
  <si>
    <t>31028835452</t>
  </si>
  <si>
    <t>9780805854794</t>
  </si>
  <si>
    <t>794254691</t>
  </si>
  <si>
    <t>P237 N374 2005</t>
  </si>
  <si>
    <t>0                      P  0237000N  374         2005</t>
  </si>
  <si>
    <t>A unified approach to nasality and voicing / by Kuniya Nasukawa.</t>
  </si>
  <si>
    <t>Nasukawa, Kuniya, 1967-</t>
  </si>
  <si>
    <t>Studies in generative grammar ; 65</t>
  </si>
  <si>
    <t>366511288:eng</t>
  </si>
  <si>
    <t>58789264</t>
  </si>
  <si>
    <t>ocm58789264</t>
  </si>
  <si>
    <t>3102511165Y</t>
  </si>
  <si>
    <t>9783110184815</t>
  </si>
  <si>
    <t>793924187</t>
  </si>
  <si>
    <t>P237 W35 2000</t>
  </si>
  <si>
    <t>0                      P  0237000W  35          2000</t>
  </si>
  <si>
    <t>Nasalization, neutral segments, and opacity effects / Rachel Walker.</t>
  </si>
  <si>
    <t>New York : Garland, 2000.</t>
  </si>
  <si>
    <t>23395600:eng</t>
  </si>
  <si>
    <t>43569394</t>
  </si>
  <si>
    <t>ocm43569394</t>
  </si>
  <si>
    <t>3102773375D</t>
  </si>
  <si>
    <t>9780815338369</t>
  </si>
  <si>
    <t>793629891</t>
  </si>
  <si>
    <t>P240.5 B48 2000</t>
  </si>
  <si>
    <t>0                      P  0240500B  48          2000</t>
  </si>
  <si>
    <t>Between grammar and lexicon / edited by Ellen Contini-Morava, Yishai Tobin.</t>
  </si>
  <si>
    <t>Amsterdam ; Philadelphia, PA : J. Benjamins Pub., 2000.</t>
  </si>
  <si>
    <t>Amsterdam studies in the theory and history of linguistic science. Series IV, Current issues in linguistic theory, 0304-0763 ; v. 183</t>
  </si>
  <si>
    <t>2015-01-22</t>
  </si>
  <si>
    <t>766796776:eng</t>
  </si>
  <si>
    <t>42080279</t>
  </si>
  <si>
    <t>ocm42080279</t>
  </si>
  <si>
    <t>3102773379D</t>
  </si>
  <si>
    <t>9781556199608</t>
  </si>
  <si>
    <t>793602730</t>
  </si>
  <si>
    <t>P240.5 F37 2005</t>
  </si>
  <si>
    <t>0                      P  0240500F  37          2005</t>
  </si>
  <si>
    <t>Grammatical relations / Patrick Farrell.</t>
  </si>
  <si>
    <t>Farrell, Patrick, 1953-</t>
  </si>
  <si>
    <t>Oxford surveys in syntax and morphology ; 1</t>
  </si>
  <si>
    <t>3857057670:eng</t>
  </si>
  <si>
    <t>56964659</t>
  </si>
  <si>
    <t>ocm56964659</t>
  </si>
  <si>
    <t>3102491971B</t>
  </si>
  <si>
    <t>9780199264018</t>
  </si>
  <si>
    <t>793904916</t>
  </si>
  <si>
    <t>P240.5 I43 2014</t>
  </si>
  <si>
    <t>0                      P  0240500I  43          2014</t>
  </si>
  <si>
    <t>Identity relations in grammar / edited by Kuniya Nasukawa, Henk van Riemsdijk.</t>
  </si>
  <si>
    <t>Boston ; Berlin : De Gruyter Mouton, [2014]</t>
  </si>
  <si>
    <t>Studies in generative grammar ; 119</t>
  </si>
  <si>
    <t>2032543155:eng</t>
  </si>
  <si>
    <t>880929744</t>
  </si>
  <si>
    <t>ocn880929744</t>
  </si>
  <si>
    <t>31035668452</t>
  </si>
  <si>
    <t>9781614518181</t>
  </si>
  <si>
    <t>794973582</t>
  </si>
  <si>
    <t>P240.5 M36 2011</t>
  </si>
  <si>
    <t>0                      P  0240500M  36          2011</t>
  </si>
  <si>
    <t>Grammatical categories : variation in romance languages / M. Rita Manzini, Leonardo Maria Savoia.</t>
  </si>
  <si>
    <t>Manzini, Maria Rita.</t>
  </si>
  <si>
    <t>Cambridge studies in linguistics ; 128</t>
  </si>
  <si>
    <t>2015-03-06</t>
  </si>
  <si>
    <t>796636655:eng</t>
  </si>
  <si>
    <t>671710106</t>
  </si>
  <si>
    <t>ocn671710106</t>
  </si>
  <si>
    <t>3103234411O</t>
  </si>
  <si>
    <t>9780521765190</t>
  </si>
  <si>
    <t>794849119</t>
  </si>
  <si>
    <t>P240.6 B57 2001</t>
  </si>
  <si>
    <t>0                      P  0240600B  57          2001</t>
  </si>
  <si>
    <t>Case / Barry J. Blake.</t>
  </si>
  <si>
    <t>Blake, Barry J.</t>
  </si>
  <si>
    <t>3858659767:eng</t>
  </si>
  <si>
    <t>46472211</t>
  </si>
  <si>
    <t>ocm46472211</t>
  </si>
  <si>
    <t>3102773358H</t>
  </si>
  <si>
    <t>9780521807616</t>
  </si>
  <si>
    <t>793685570</t>
  </si>
  <si>
    <t>P240.6 C365 2008</t>
  </si>
  <si>
    <t>0                      P  0240600C  365         2008</t>
  </si>
  <si>
    <t>Case and grammatical relations : studies in honor of Bernard Comrie / edited by Greville G. Corbett, Michael Noonan.</t>
  </si>
  <si>
    <t>Typological studies in language, 0167-7373 ; v. 81</t>
  </si>
  <si>
    <t>1076779705:eng</t>
  </si>
  <si>
    <t>243548041</t>
  </si>
  <si>
    <t>ocn243548041</t>
  </si>
  <si>
    <t>3103062627L</t>
  </si>
  <si>
    <t>9789027229946</t>
  </si>
  <si>
    <t>794378568</t>
  </si>
  <si>
    <t>P240.6 C367 2011</t>
  </si>
  <si>
    <t>0                      P  0240600C  367         2011</t>
  </si>
  <si>
    <t>Case, animacy and semantic roles / edited by Seppo Kittilä, Katja Västi, Jussi Ylikoski.</t>
  </si>
  <si>
    <t>Typological studies in language ; 99</t>
  </si>
  <si>
    <t>911749826:eng</t>
  </si>
  <si>
    <t>731192661</t>
  </si>
  <si>
    <t>ocn731192661</t>
  </si>
  <si>
    <t>3103406201R</t>
  </si>
  <si>
    <t>9789027206800</t>
  </si>
  <si>
    <t>794880651</t>
  </si>
  <si>
    <t>P240.6 C37 2006</t>
  </si>
  <si>
    <t>0                      P  0240600C  37          2006</t>
  </si>
  <si>
    <t>Case, valency and transitivity / edited by Leonid Kulikov, Andrej Malchukov, Peter de Swart.</t>
  </si>
  <si>
    <t>Studies in language companion series, 0165-7763 ; v. 77</t>
  </si>
  <si>
    <t>766869669:eng</t>
  </si>
  <si>
    <t>67728337</t>
  </si>
  <si>
    <t>ocm67728337</t>
  </si>
  <si>
    <t>3102650410D</t>
  </si>
  <si>
    <t>9789027230874</t>
  </si>
  <si>
    <t>794141232</t>
  </si>
  <si>
    <t>P240.6 M59 2012</t>
  </si>
  <si>
    <t>0                      P  0240600M  59          2012</t>
  </si>
  <si>
    <t>Case, argument structure, and word order / Shigeru Miyagawa.</t>
  </si>
  <si>
    <t>Routledge leading linguists ; 17</t>
  </si>
  <si>
    <t>1029360926:eng</t>
  </si>
  <si>
    <t>694393718</t>
  </si>
  <si>
    <t>ocn694393718</t>
  </si>
  <si>
    <t>3103429077Y</t>
  </si>
  <si>
    <t>9780415878593</t>
  </si>
  <si>
    <t>794857506</t>
  </si>
  <si>
    <t>P240.6 N49 2003</t>
  </si>
  <si>
    <t>0                      P  0240600N  49          2003</t>
  </si>
  <si>
    <t>New perspectives on case theory / edited Ellen Brandner, Heike Zinsmeister.</t>
  </si>
  <si>
    <t>Sanford, California : CSLI Publications, ©2003.</t>
  </si>
  <si>
    <t>CSLI lecture notes ; no. 156</t>
  </si>
  <si>
    <t>355484318:eng</t>
  </si>
  <si>
    <t>52806102</t>
  </si>
  <si>
    <t>ocm52806102</t>
  </si>
  <si>
    <t>3102773367F</t>
  </si>
  <si>
    <t>9781575863634</t>
  </si>
  <si>
    <t>793814489</t>
  </si>
  <si>
    <t>P240.6 O59 2009</t>
  </si>
  <si>
    <t>0                      P  0240600O  59          2009</t>
  </si>
  <si>
    <t>The Oxford handbook of case / edited by Andrej Malchukov and Andrew Spencer.</t>
  </si>
  <si>
    <t>925840577:eng</t>
  </si>
  <si>
    <t>216938535</t>
  </si>
  <si>
    <t>ocn216938535</t>
  </si>
  <si>
    <t>31028556446</t>
  </si>
  <si>
    <t>9780199206476</t>
  </si>
  <si>
    <t>794316002</t>
  </si>
  <si>
    <t>P240.6 W38 1996</t>
  </si>
  <si>
    <t>0                      P  0240600W  38          1996</t>
  </si>
  <si>
    <t>Case absorption and WH-agreement / Akira Watanabe.</t>
  </si>
  <si>
    <t>Watanabe, Akira.</t>
  </si>
  <si>
    <t>Dordrecht ; Boston : Kluwer Academic Publishers, ©1996.</t>
  </si>
  <si>
    <t>Studies in natural language and linguistic theory ; v. 37</t>
  </si>
  <si>
    <t>39668921:eng</t>
  </si>
  <si>
    <t>35159176</t>
  </si>
  <si>
    <t>ocm35159176</t>
  </si>
  <si>
    <t>3102773352H</t>
  </si>
  <si>
    <t>9780792342038</t>
  </si>
  <si>
    <t>793445668</t>
  </si>
  <si>
    <t>P240.65 Y36 1999</t>
  </si>
  <si>
    <t>0                      P  0240650Y  36          1999</t>
  </si>
  <si>
    <t>Animacy and reference : a cognitive approach to corpus linguistics / Mutsumi Yamamoto.</t>
  </si>
  <si>
    <t>Yamamoto, Mutsumi, 1942-</t>
  </si>
  <si>
    <t>Amsterdam ; Philadelphia : J. Benjamins Pub., ©1999.</t>
  </si>
  <si>
    <t>Studies in language companion series, 0165-7763 ; v. 46</t>
  </si>
  <si>
    <t>793841733:eng</t>
  </si>
  <si>
    <t>40682149</t>
  </si>
  <si>
    <t>ocm40682149</t>
  </si>
  <si>
    <t>3102773347J</t>
  </si>
  <si>
    <t>9781556199325</t>
  </si>
  <si>
    <t>793572829</t>
  </si>
  <si>
    <t>P240.7 C67 1991</t>
  </si>
  <si>
    <t>0                      P  0240700C  67          1991</t>
  </si>
  <si>
    <t>Gender / Greville G. Corbett.</t>
  </si>
  <si>
    <t>23162234:eng</t>
  </si>
  <si>
    <t>21227561</t>
  </si>
  <si>
    <t>ocm21227561</t>
  </si>
  <si>
    <t>3102773436I</t>
  </si>
  <si>
    <t>9780521329392</t>
  </si>
  <si>
    <t>793112939</t>
  </si>
  <si>
    <t>P240.7 G45 2001</t>
  </si>
  <si>
    <t>0                      P  0240700G  45          2001</t>
  </si>
  <si>
    <t>Gender across languages : the linguistic representation of women and men / edited by Marlis Hellinger, Hadumod Bussmann.</t>
  </si>
  <si>
    <t>Amsterdam ; Philadelphia : J. Benjamins, 2001-&lt;c2003, 2015&gt;</t>
  </si>
  <si>
    <t>Impact, studies in language and society, 1385-7908 ; v. 9-11, 36</t>
  </si>
  <si>
    <t>2011-03-03</t>
  </si>
  <si>
    <t>2019-10-10</t>
  </si>
  <si>
    <t>4131820587:eng</t>
  </si>
  <si>
    <t>47270450</t>
  </si>
  <si>
    <t>ocm47270450</t>
  </si>
  <si>
    <t>3102773426K</t>
  </si>
  <si>
    <t>9781588110824</t>
  </si>
  <si>
    <t>793702278</t>
  </si>
  <si>
    <t>3102773431I</t>
  </si>
  <si>
    <t>793702279</t>
  </si>
  <si>
    <t>3102773421K</t>
  </si>
  <si>
    <t>793702277</t>
  </si>
  <si>
    <t>P240.7 G46 2000</t>
  </si>
  <si>
    <t>0                      P  0240700G  46          2000</t>
  </si>
  <si>
    <t>Gender in grammar and cognition / edited by Barbara Unterbeck [and others].</t>
  </si>
  <si>
    <t>Trends in linguistics. Studies and monographs ; 124</t>
  </si>
  <si>
    <t>56483629:eng</t>
  </si>
  <si>
    <t>42716572</t>
  </si>
  <si>
    <t>ocm42716572</t>
  </si>
  <si>
    <t>3102773416M</t>
  </si>
  <si>
    <t>9783110162417</t>
  </si>
  <si>
    <t>793612474</t>
  </si>
  <si>
    <t>P240.8 C67 2000</t>
  </si>
  <si>
    <t>0                      P  0240800C  67          2000</t>
  </si>
  <si>
    <t>Number / Greville G. Corbett.</t>
  </si>
  <si>
    <t>16749524:eng</t>
  </si>
  <si>
    <t>44915408</t>
  </si>
  <si>
    <t>ocm44915408</t>
  </si>
  <si>
    <t>3102773406O</t>
  </si>
  <si>
    <t>9780521640169</t>
  </si>
  <si>
    <t>793660490</t>
  </si>
  <si>
    <t>P240.8 L37 1995</t>
  </si>
  <si>
    <t>0                      P  0240800L  37          1995</t>
  </si>
  <si>
    <t>Plurality, conjunction, and events / by Peter Lasersohn.</t>
  </si>
  <si>
    <t>Lasersohn, Peter.</t>
  </si>
  <si>
    <t>Studies in linguistics and philosophy ; v. 55</t>
  </si>
  <si>
    <t>2017-02-19</t>
  </si>
  <si>
    <t>32983156:eng</t>
  </si>
  <si>
    <t>31408492</t>
  </si>
  <si>
    <t>ocm31408492</t>
  </si>
  <si>
    <t>3102799450H</t>
  </si>
  <si>
    <t>9780792332381</t>
  </si>
  <si>
    <t>793360436</t>
  </si>
  <si>
    <t>P240.85 C95 2003</t>
  </si>
  <si>
    <t>0                      P  0240850C  95          2003</t>
  </si>
  <si>
    <t>The paradigmatic structure of person marking / Michael Cysouw.</t>
  </si>
  <si>
    <t>Cysouw, Michael.</t>
  </si>
  <si>
    <t>664771:eng</t>
  </si>
  <si>
    <t>50782977</t>
  </si>
  <si>
    <t>ocm50782977</t>
  </si>
  <si>
    <t>3102773430I</t>
  </si>
  <si>
    <t>9780199254125</t>
  </si>
  <si>
    <t>793773013</t>
  </si>
  <si>
    <t>P241 A25 2004</t>
  </si>
  <si>
    <t>0                      P  0241000A  25          2004</t>
  </si>
  <si>
    <t>Beyond morphology : interface conditions on word formation / Peter Ackema and Ad Neeleman.</t>
  </si>
  <si>
    <t>Ackema, Peter, 1965-</t>
  </si>
  <si>
    <t>Oxford studies in theoretical linguistics ; 6</t>
  </si>
  <si>
    <t>892472:eng</t>
  </si>
  <si>
    <t>56655564</t>
  </si>
  <si>
    <t>ocm56655564</t>
  </si>
  <si>
    <t>3102463966K</t>
  </si>
  <si>
    <t>9780199267286</t>
  </si>
  <si>
    <t>793898386</t>
  </si>
  <si>
    <t>P241 A699 2005</t>
  </si>
  <si>
    <t>0                      P  0241000A  699         2005</t>
  </si>
  <si>
    <t>What is morphology? / Mark Aronoff and Kirsten Fudeman.</t>
  </si>
  <si>
    <t>Aronoff, Mark.</t>
  </si>
  <si>
    <t>Fundamentals of linguistics ; 1</t>
  </si>
  <si>
    <t>2016-02-04</t>
  </si>
  <si>
    <t>889152:eng</t>
  </si>
  <si>
    <t>55124326</t>
  </si>
  <si>
    <t>ocm55124326</t>
  </si>
  <si>
    <t>3102773424K</t>
  </si>
  <si>
    <t>9780631203186</t>
  </si>
  <si>
    <t>793874821</t>
  </si>
  <si>
    <t>P241 B63 2012</t>
  </si>
  <si>
    <t>0                      P  0241000B  63          2012</t>
  </si>
  <si>
    <t>Universals in comparative morphology : suppletion, superlatives, and the structure of words / Jonathan David Bobaljik.</t>
  </si>
  <si>
    <t>Bobaljik, Jonathan David.</t>
  </si>
  <si>
    <t>Cambridge, MA : The MIT Press, 2012.</t>
  </si>
  <si>
    <t>Current studies in linguistics ; 50</t>
  </si>
  <si>
    <t>1056760299:eng</t>
  </si>
  <si>
    <t>765881860</t>
  </si>
  <si>
    <t>ocn765881860</t>
  </si>
  <si>
    <t>3103411687E</t>
  </si>
  <si>
    <t>9780262017596</t>
  </si>
  <si>
    <t>794900747</t>
  </si>
  <si>
    <t>P241 B65 2010</t>
  </si>
  <si>
    <t>0                      P  0241000B  65          2010</t>
  </si>
  <si>
    <t>Construction morphology / Geert Booij.</t>
  </si>
  <si>
    <t>Booij, G. E.</t>
  </si>
  <si>
    <t>489930569:eng</t>
  </si>
  <si>
    <t>624411953</t>
  </si>
  <si>
    <t>ocn624411953</t>
  </si>
  <si>
    <t>3103229800$</t>
  </si>
  <si>
    <t>9780199571918</t>
  </si>
  <si>
    <t>794823881</t>
  </si>
  <si>
    <t>P241 B66 2012</t>
  </si>
  <si>
    <t>0                      P  0241000B  66          2012</t>
  </si>
  <si>
    <t>The grammar of words : an introduction to linguistic morphology / Geert Booij.</t>
  </si>
  <si>
    <t>797234200:eng</t>
  </si>
  <si>
    <t>794136215</t>
  </si>
  <si>
    <t>ocn794136215</t>
  </si>
  <si>
    <t>3103413410Q</t>
  </si>
  <si>
    <t>9780199691838</t>
  </si>
  <si>
    <t>794919231</t>
  </si>
  <si>
    <t>P241 B76 2012</t>
  </si>
  <si>
    <t>0                      P  0241000B  76          2012</t>
  </si>
  <si>
    <t>Network morphology : a defaults-based theory of word structure / Dunstan Brown, Andrew Hippisley.</t>
  </si>
  <si>
    <t>Brown, Dunstan.</t>
  </si>
  <si>
    <t>Cambridge studies in linguistics ; 133</t>
  </si>
  <si>
    <t>1009111284:eng</t>
  </si>
  <si>
    <t>741549074</t>
  </si>
  <si>
    <t>ocn741549074</t>
  </si>
  <si>
    <t>31034090639</t>
  </si>
  <si>
    <t>9781107005747</t>
  </si>
  <si>
    <t>794884239</t>
  </si>
  <si>
    <t>P241 B9 1985</t>
  </si>
  <si>
    <t>0                      P  0241000B  9           1985</t>
  </si>
  <si>
    <t>Morphology : a study of the relation between meaning and form / Joan L. Bybee.</t>
  </si>
  <si>
    <t>Typological studies in language, 0167-7373 ; v. 9</t>
  </si>
  <si>
    <t>354994667:eng</t>
  </si>
  <si>
    <t>12051705</t>
  </si>
  <si>
    <t>ocm12051705</t>
  </si>
  <si>
    <t>3102773414M</t>
  </si>
  <si>
    <t>9780915027378</t>
  </si>
  <si>
    <t>792798720</t>
  </si>
  <si>
    <t>P241 C3 1991</t>
  </si>
  <si>
    <t>0                      P  0241000C  3           1991</t>
  </si>
  <si>
    <t>Current morphology / Andrew Carstairs-McCarthy.</t>
  </si>
  <si>
    <t>Carstairs-McCarthy, Andrew, 1945-</t>
  </si>
  <si>
    <t>London : Routledge, 1992.</t>
  </si>
  <si>
    <t>Linguistic theory guides</t>
  </si>
  <si>
    <t>6520543:eng</t>
  </si>
  <si>
    <t>23650061</t>
  </si>
  <si>
    <t>ocm23650061</t>
  </si>
  <si>
    <t>3102773409O</t>
  </si>
  <si>
    <t>9780415009980</t>
  </si>
  <si>
    <t>793178555</t>
  </si>
  <si>
    <t>P241 C37 2010</t>
  </si>
  <si>
    <t>0                      P  0241000C  37          2010</t>
  </si>
  <si>
    <t>The evolution of morphology / Andrew Carstairs-McCarthy.</t>
  </si>
  <si>
    <t>323415443:eng</t>
  </si>
  <si>
    <t>437305846</t>
  </si>
  <si>
    <t>ocn437305846</t>
  </si>
  <si>
    <t>31031311654</t>
  </si>
  <si>
    <t>9780199299782</t>
  </si>
  <si>
    <t>794785802</t>
  </si>
  <si>
    <t>P241 E43 2010</t>
  </si>
  <si>
    <t>0                      P  0241000E  43          2010</t>
  </si>
  <si>
    <t>Localism versus globalism in morphology and phonology / David Embick.</t>
  </si>
  <si>
    <t>Embick, David, 1970-</t>
  </si>
  <si>
    <t>Linguistic inquiry monographs ; 60</t>
  </si>
  <si>
    <t>2014-06-06</t>
  </si>
  <si>
    <t>369960627:eng</t>
  </si>
  <si>
    <t>495996852</t>
  </si>
  <si>
    <t>ocn495996852</t>
  </si>
  <si>
    <t>3103226432H</t>
  </si>
  <si>
    <t>9780262014229</t>
  </si>
  <si>
    <t>794802219</t>
  </si>
  <si>
    <t>P241 F34 2012</t>
  </si>
  <si>
    <t>0                      P  0241000F  34          2012</t>
  </si>
  <si>
    <t>Morphology : from data to theories / Antonio Fábregas and Sergio Scalise.</t>
  </si>
  <si>
    <t>Fábregas, Antonio.</t>
  </si>
  <si>
    <t>Edinburgh : Edinburgh University Press, ©2012.</t>
  </si>
  <si>
    <t>Edinburgh advanced textbooks in linguistics</t>
  </si>
  <si>
    <t>1076470553:eng</t>
  </si>
  <si>
    <t>774638422</t>
  </si>
  <si>
    <t>ocn774638422</t>
  </si>
  <si>
    <t>3103394994V</t>
  </si>
  <si>
    <t>9780748643141</t>
  </si>
  <si>
    <t>794906707</t>
  </si>
  <si>
    <t>P241 G73 2012</t>
  </si>
  <si>
    <t>0                      P  0241000G  73          2012</t>
  </si>
  <si>
    <t>Grammatical change : origins, nature, outcomes / edited by Dianne Jonas, John Whitman, Andrew Garrett.</t>
  </si>
  <si>
    <t>1028443222:eng</t>
  </si>
  <si>
    <t>701811414</t>
  </si>
  <si>
    <t>ocn701811414</t>
  </si>
  <si>
    <t>31033821610</t>
  </si>
  <si>
    <t>9780199582624</t>
  </si>
  <si>
    <t>794863590</t>
  </si>
  <si>
    <t>P241 H37 2010</t>
  </si>
  <si>
    <t>0                      P  0241000H  37          2010</t>
  </si>
  <si>
    <t>Understanding morphology / by Martin Haspelmath, Andrea D. Sims.</t>
  </si>
  <si>
    <t>Haspelmath, Martin, 1963-</t>
  </si>
  <si>
    <t>London : Hodder Education, 2010.</t>
  </si>
  <si>
    <t>1007137:eng</t>
  </si>
  <si>
    <t>671004133</t>
  </si>
  <si>
    <t>ocn671004133</t>
  </si>
  <si>
    <t>3103312915L</t>
  </si>
  <si>
    <t>9780340950012</t>
  </si>
  <si>
    <t>794848300</t>
  </si>
  <si>
    <t>P241 H67 1980</t>
  </si>
  <si>
    <t>0                      P  0241000H  67          1980</t>
  </si>
  <si>
    <t>Historical morphology / edited by Jacek Fisiak.</t>
  </si>
  <si>
    <t>Trends in linguistics. Studies and monographs ; 17</t>
  </si>
  <si>
    <t>353855469:eng</t>
  </si>
  <si>
    <t>7134574</t>
  </si>
  <si>
    <t>ocm07134574</t>
  </si>
  <si>
    <t>3102773432I</t>
  </si>
  <si>
    <t>9789027930385</t>
  </si>
  <si>
    <t>792541660</t>
  </si>
  <si>
    <t>P241 I54 2010</t>
  </si>
  <si>
    <t>0                      P  0241000I  54          2010</t>
  </si>
  <si>
    <t>Information structure : theoretical, typological, and experimental perspectives / edited by Malte Zimmermann and Caroline Féry.</t>
  </si>
  <si>
    <t>2012-09-28</t>
  </si>
  <si>
    <t>1080204634:eng</t>
  </si>
  <si>
    <t>313664599</t>
  </si>
  <si>
    <t>ocn313664599</t>
  </si>
  <si>
    <t>3102860772C</t>
  </si>
  <si>
    <t>9780199570959</t>
  </si>
  <si>
    <t>794438036</t>
  </si>
  <si>
    <t>P241 I58 2004</t>
  </si>
  <si>
    <t>0                      P  0241000I  58          2004</t>
  </si>
  <si>
    <t>Morphology and its demarcations : selected papers from the 11th Morphology Meeting, Vienna, February 2004 / edited by Wolfgang U. Dressler [and others] ; with the assistance of Franceso Gardani, Markus A. Pochtrager.</t>
  </si>
  <si>
    <t>International Morphology Meeting (11th : 2004 : Vienna, Austria)</t>
  </si>
  <si>
    <t>Amsterdam ; Philadelphia : John Benjamins Pub. Co., ©2005.</t>
  </si>
  <si>
    <t>Amsterdam studies in the theory and history of linguistic science. Series IV, Current issues in linguistic theory, 0304-0763 ; v. 264</t>
  </si>
  <si>
    <t>3901362854:eng</t>
  </si>
  <si>
    <t>58720992</t>
  </si>
  <si>
    <t>ocm58720992</t>
  </si>
  <si>
    <t>3102512180Q</t>
  </si>
  <si>
    <t>9789027247780</t>
  </si>
  <si>
    <t>793923516</t>
  </si>
  <si>
    <t>P241 I58 2008</t>
  </si>
  <si>
    <t>0                      P  0241000I  58          2008</t>
  </si>
  <si>
    <t>Variation and change in morphology : selected papers from the 13th International Morphology Meeting, Vienna, February 2008 / edited by Franz Rainer [and others] ; with the assistance of Elisabeth Peters.</t>
  </si>
  <si>
    <t>International Morphology Meeting (13th : 2008 : Vienna, Austria)</t>
  </si>
  <si>
    <t>Amsterdam, the Netherlands ; Philadelphia, Pa. : John Benjamins Pub. Co., ©2010.</t>
  </si>
  <si>
    <t>Amsterdam studies in the theory and history of linguistic science. Series IV, Current issues in linguistic theory, 0304-0763 ; v. 310</t>
  </si>
  <si>
    <t>908800530:eng</t>
  </si>
  <si>
    <t>466773826</t>
  </si>
  <si>
    <t>ocn466773826</t>
  </si>
  <si>
    <t>31032231381</t>
  </si>
  <si>
    <t>9789027248268</t>
  </si>
  <si>
    <t>794794944</t>
  </si>
  <si>
    <t>P241 I58 2012</t>
  </si>
  <si>
    <t>0                      P  0241000I  58          2012</t>
  </si>
  <si>
    <t>Morphology and meaning : selected papers from the 15th International Morphology Meeting, Vienna, February 2012 / Franz Rainer, W U Vienna, Francesco Gardani, W U Vienna, Hans Christian Luschützky, University of Vienna, Wolfgang U. Dressler, University of Vienna, (eds.).</t>
  </si>
  <si>
    <t>International Morphology Meeting (15th : 2012 : Vienna, Austria)</t>
  </si>
  <si>
    <t>Amsterdam studies in the theory and history of linguistic science. Series IV, Current issues in linguistic theory, 0304-0763 ; v. 327</t>
  </si>
  <si>
    <t>1781974337:eng</t>
  </si>
  <si>
    <t>861119942</t>
  </si>
  <si>
    <t>ocn861119942</t>
  </si>
  <si>
    <t>3103556737C</t>
  </si>
  <si>
    <t>9789027248466</t>
  </si>
  <si>
    <t>794958771</t>
  </si>
  <si>
    <t>P241 L53 1992</t>
  </si>
  <si>
    <t>0                      P  0241000L  53          1992</t>
  </si>
  <si>
    <t>Deconstructing morphology : word formation in syntactic theory / Rochelle Lieber.</t>
  </si>
  <si>
    <t>Lieber, Rochelle, 1954- author.</t>
  </si>
  <si>
    <t>141666560:eng</t>
  </si>
  <si>
    <t>24009909</t>
  </si>
  <si>
    <t>ocm24009909</t>
  </si>
  <si>
    <t>3102773477A</t>
  </si>
  <si>
    <t>9780226480626</t>
  </si>
  <si>
    <t>793187247</t>
  </si>
  <si>
    <t>P241 L54 2010</t>
  </si>
  <si>
    <t>0                      P  0241000L  54          2010</t>
  </si>
  <si>
    <t>Introducing morphology / Rochelle Lieber.</t>
  </si>
  <si>
    <t>Lieber, Rochelle, 1954-</t>
  </si>
  <si>
    <t>308013075:eng</t>
  </si>
  <si>
    <t>420940305</t>
  </si>
  <si>
    <t>ocn420940305</t>
  </si>
  <si>
    <t>3103132096Y</t>
  </si>
  <si>
    <t>9780521895491</t>
  </si>
  <si>
    <t>794503698</t>
  </si>
  <si>
    <t>P241 M3 1991</t>
  </si>
  <si>
    <t>0                      P  0241000M  3           1991</t>
  </si>
  <si>
    <t>Morphology / P.H. Matthews.</t>
  </si>
  <si>
    <t>2018-09-02</t>
  </si>
  <si>
    <t>2557765454:eng</t>
  </si>
  <si>
    <t>22811709</t>
  </si>
  <si>
    <t>ocm22811709</t>
  </si>
  <si>
    <t>3102773479A</t>
  </si>
  <si>
    <t>9780521410434</t>
  </si>
  <si>
    <t>793154228</t>
  </si>
  <si>
    <t>P241 M45 1993</t>
  </si>
  <si>
    <t>0                      P  0241000M  45          1993</t>
  </si>
  <si>
    <t>Cours de morphologie générale : théorique et descriptive / Igor Mel'čuk ; texte français revu par Yves Gentilhomme.</t>
  </si>
  <si>
    <t>Melʹčuk, I. A. (Igorʹ Aleksandrovič), 1932-</t>
  </si>
  <si>
    <t>Montréal : Presses de l'Université de Montréal, 1993-2000.</t>
  </si>
  <si>
    <t>2008-04-02</t>
  </si>
  <si>
    <t>3983558378:fre</t>
  </si>
  <si>
    <t>27225504</t>
  </si>
  <si>
    <t>ocm27225504</t>
  </si>
  <si>
    <t>3102773474A</t>
  </si>
  <si>
    <t>9782760615489</t>
  </si>
  <si>
    <t>793262352</t>
  </si>
  <si>
    <t>3102773476A</t>
  </si>
  <si>
    <t>793262354</t>
  </si>
  <si>
    <t>3102773475A</t>
  </si>
  <si>
    <t>793262353</t>
  </si>
  <si>
    <t>31027734818</t>
  </si>
  <si>
    <t>793262355</t>
  </si>
  <si>
    <t>3102773473A</t>
  </si>
  <si>
    <t>793262351</t>
  </si>
  <si>
    <t>P241 M598 1995</t>
  </si>
  <si>
    <t>0                      P  0241000M  598         1995</t>
  </si>
  <si>
    <t>Morphological aspects of language processing / edited by Laurie Beth Feldman.</t>
  </si>
  <si>
    <t>Hillsdale, N.J. : L. Erlbaum Associates, 1995.</t>
  </si>
  <si>
    <t>33366996:eng</t>
  </si>
  <si>
    <t>30896052</t>
  </si>
  <si>
    <t>ocm30896052</t>
  </si>
  <si>
    <t>3102773471A</t>
  </si>
  <si>
    <t>9780805813586</t>
  </si>
  <si>
    <t>793348012</t>
  </si>
  <si>
    <t>P241 M65 1998</t>
  </si>
  <si>
    <t>0                      P  0241000M  65          1998</t>
  </si>
  <si>
    <t>Morphology and its relation to phonology and syntax / edited by Steven G. Lapointe, Diane K. Brentari, Patrick M. Farrell.</t>
  </si>
  <si>
    <t>Stanford, Calif. : CSLI Publications, ©1998.</t>
  </si>
  <si>
    <t>180853197:eng</t>
  </si>
  <si>
    <t>37917302</t>
  </si>
  <si>
    <t>ocm37917302</t>
  </si>
  <si>
    <t>3102773468C</t>
  </si>
  <si>
    <t>9781575861135</t>
  </si>
  <si>
    <t>793510058</t>
  </si>
  <si>
    <t>P241 M66 2004</t>
  </si>
  <si>
    <t>0                      P  0241000M  66          2004</t>
  </si>
  <si>
    <t>Morphology : critical concepts in linguistics / edited by Francis Katamba.</t>
  </si>
  <si>
    <t>3769549743:eng</t>
  </si>
  <si>
    <t>52540872</t>
  </si>
  <si>
    <t>ocm52540872</t>
  </si>
  <si>
    <t>3102564378Q</t>
  </si>
  <si>
    <t>9780415270786</t>
  </si>
  <si>
    <t>793809146</t>
  </si>
  <si>
    <t>2019-02-24</t>
  </si>
  <si>
    <t>3102564393M</t>
  </si>
  <si>
    <t>793809143</t>
  </si>
  <si>
    <t>2019-01-20</t>
  </si>
  <si>
    <t>3102564383O</t>
  </si>
  <si>
    <t>793809147</t>
  </si>
  <si>
    <t>3102564388O</t>
  </si>
  <si>
    <t>793809144</t>
  </si>
  <si>
    <t>3102564368S</t>
  </si>
  <si>
    <t>793809142</t>
  </si>
  <si>
    <t>3102564373Q</t>
  </si>
  <si>
    <t>793809145</t>
  </si>
  <si>
    <t>P241 P37 1983</t>
  </si>
  <si>
    <t>0                      P  0241000P  37          1983</t>
  </si>
  <si>
    <t>Papers from the Parasession on the Interplay of Phonology, Morphology, and Syntax / edited by John F. Richardson, Mitchell Marks, Amy Chukerman.</t>
  </si>
  <si>
    <t>Parasession on the Interplay of Phonology, Morphology, and Syntax (1983 : Chicago, Ill.)</t>
  </si>
  <si>
    <t>Chicago : Chicago Linguistic Society, 1983.</t>
  </si>
  <si>
    <t>2017-12-05</t>
  </si>
  <si>
    <t>3075961:eng</t>
  </si>
  <si>
    <t>10219575</t>
  </si>
  <si>
    <t>ocm10219575</t>
  </si>
  <si>
    <t>3102773466C</t>
  </si>
  <si>
    <t>792714940</t>
  </si>
  <si>
    <t>P241 P37 2017</t>
  </si>
  <si>
    <t>0                      P  0241000P  37          2017</t>
  </si>
  <si>
    <t>Papers on morphology / [edited by] Snejana Iovtcheva and Benjamin Storme.</t>
  </si>
  <si>
    <t>[Cambridge, MA] : Massachusetts Institute of Technology, [2017?]</t>
  </si>
  <si>
    <t>MIT working papers in linguistics 81</t>
  </si>
  <si>
    <t>4435289596:eng</t>
  </si>
  <si>
    <t>995451618</t>
  </si>
  <si>
    <t>ocn995451618</t>
  </si>
  <si>
    <t>3103702801L</t>
  </si>
  <si>
    <t>795039499</t>
  </si>
  <si>
    <t>P241 P374 1999</t>
  </si>
  <si>
    <t>0                      P  0241000P  374         1999</t>
  </si>
  <si>
    <t>Papers on morphology and syntax / edited by Karlos Arregi [and others].</t>
  </si>
  <si>
    <t>Cambridge, MA : MITWPL, 1999.</t>
  </si>
  <si>
    <t>MIT working papers in linguistics ; v. 33-34</t>
  </si>
  <si>
    <t>192114052:eng</t>
  </si>
  <si>
    <t>43744895</t>
  </si>
  <si>
    <t>ocm43744895</t>
  </si>
  <si>
    <t>3103491949A</t>
  </si>
  <si>
    <t>793633894</t>
  </si>
  <si>
    <t>3103491939C</t>
  </si>
  <si>
    <t>793633895</t>
  </si>
  <si>
    <t>P241 P39 1997</t>
  </si>
  <si>
    <t>0                      P  0241000P  39          1997</t>
  </si>
  <si>
    <t>Describing morphosyntax : a guide for field linguists / Thomas E. Payne.</t>
  </si>
  <si>
    <t>Payne, Thomas Edward, 1951-</t>
  </si>
  <si>
    <t>Cambridge, U.K. ; New York, NY : Cambridge University Press, 1997.</t>
  </si>
  <si>
    <t>325451192:eng</t>
  </si>
  <si>
    <t>38044501</t>
  </si>
  <si>
    <t>ocm38044501</t>
  </si>
  <si>
    <t>3102773465C</t>
  </si>
  <si>
    <t>9780521582247</t>
  </si>
  <si>
    <t>793513645</t>
  </si>
  <si>
    <t>3102773464C</t>
  </si>
  <si>
    <t>793513646</t>
  </si>
  <si>
    <t>P241 P47 2013</t>
  </si>
  <si>
    <t>0                      P  0241000P  47          2013</t>
  </si>
  <si>
    <t>Periphrasis : the role of syntax and morphology in paradigms / edited by Marina Chumakina and Greville Corbett.</t>
  </si>
  <si>
    <t>Oxford : Published for the British Academy by Oxford University Press, 2013.</t>
  </si>
  <si>
    <t>Proceedings of the British Academy ; 180</t>
  </si>
  <si>
    <t>3770486117:eng</t>
  </si>
  <si>
    <t>825099519</t>
  </si>
  <si>
    <t>ocn825099519</t>
  </si>
  <si>
    <t>31034560038</t>
  </si>
  <si>
    <t>9780197265253</t>
  </si>
  <si>
    <t>794938468</t>
  </si>
  <si>
    <t>P241 S4 1984</t>
  </si>
  <si>
    <t>0                      P  0241000S  4           1984</t>
  </si>
  <si>
    <t>Generative morphology / Sergio Scalise.</t>
  </si>
  <si>
    <t>Scalise, Sergio.</t>
  </si>
  <si>
    <t>Dordrecht, Holland ; Cinnaminson, U.S.A. : Foris Publications, 1984.</t>
  </si>
  <si>
    <t>Studies in generative grammar ; 18</t>
  </si>
  <si>
    <t>2017-03-09</t>
  </si>
  <si>
    <t>6880557:eng</t>
  </si>
  <si>
    <t>13903740</t>
  </si>
  <si>
    <t>ocm13903740</t>
  </si>
  <si>
    <t>3102773461C</t>
  </si>
  <si>
    <t>9789067650892</t>
  </si>
  <si>
    <t>792871406</t>
  </si>
  <si>
    <t>P241 S515 2006</t>
  </si>
  <si>
    <t>0                      P  0241000S  515         2006</t>
  </si>
  <si>
    <t>A critical introduction to phonology : of sound, mind and body / Daniel Silverman.</t>
  </si>
  <si>
    <t>Silverman, Daniel Doron, 1963-</t>
  </si>
  <si>
    <t>2019-06-23</t>
  </si>
  <si>
    <t>366734465:eng</t>
  </si>
  <si>
    <t>60590193</t>
  </si>
  <si>
    <t>ocm60590193</t>
  </si>
  <si>
    <t>3102559031S</t>
  </si>
  <si>
    <t>9780826486608</t>
  </si>
  <si>
    <t>793940408</t>
  </si>
  <si>
    <t>P241 S67 1992</t>
  </si>
  <si>
    <t>0                      P  0241000S  67          1992</t>
  </si>
  <si>
    <t>Morphology and computation / Richard Sproat.</t>
  </si>
  <si>
    <t>ACL-MIT Press series in natural language processing</t>
  </si>
  <si>
    <t>4160275256:eng</t>
  </si>
  <si>
    <t>24550262</t>
  </si>
  <si>
    <t>ocm24550262</t>
  </si>
  <si>
    <t>3102773460C</t>
  </si>
  <si>
    <t>9780262193146</t>
  </si>
  <si>
    <t>793201111</t>
  </si>
  <si>
    <t>P241 S78 2013</t>
  </si>
  <si>
    <t>0                      P  0241000S  78          2013</t>
  </si>
  <si>
    <t>Morphological typology : from word to paradigm / Gregory Stump and Raphael A. Finkel, University of Kentucky.</t>
  </si>
  <si>
    <t>Stump, Gregory T. (Gregory Thomas), 1954- author.</t>
  </si>
  <si>
    <t>Cambridge studies in linguistics ; 138</t>
  </si>
  <si>
    <t>2013-10-05</t>
  </si>
  <si>
    <t>1372255087:eng</t>
  </si>
  <si>
    <t>823387340</t>
  </si>
  <si>
    <t>ocn823387340</t>
  </si>
  <si>
    <t>3103501281P</t>
  </si>
  <si>
    <t>9781107029248</t>
  </si>
  <si>
    <t>794937134</t>
  </si>
  <si>
    <t>P243 B63 1993</t>
  </si>
  <si>
    <t>0                      P  0243000B  63          1993</t>
  </si>
  <si>
    <t>Simplicity in generative morphology / by Harry Bochner.</t>
  </si>
  <si>
    <t>Bochner, Harry, 1954-</t>
  </si>
  <si>
    <t>Publications in language sciences ; 37</t>
  </si>
  <si>
    <t>28711521:eng</t>
  </si>
  <si>
    <t>26310668</t>
  </si>
  <si>
    <t>ocm26310668</t>
  </si>
  <si>
    <t>3102773441G</t>
  </si>
  <si>
    <t>9783110135947</t>
  </si>
  <si>
    <t>793242291</t>
  </si>
  <si>
    <t>P245 B33 2001</t>
  </si>
  <si>
    <t>0                      P  0245000B  33          2001</t>
  </si>
  <si>
    <t>Morphological productivity / Laurie Bauer.</t>
  </si>
  <si>
    <t>Bauer, Laurie, 1949-</t>
  </si>
  <si>
    <t>Cambridge studies in linguistics ; 95</t>
  </si>
  <si>
    <t>1028086:eng</t>
  </si>
  <si>
    <t>45394057</t>
  </si>
  <si>
    <t>ocm45394057</t>
  </si>
  <si>
    <t>3102773438I</t>
  </si>
  <si>
    <t>9780521792387</t>
  </si>
  <si>
    <t>793670621</t>
  </si>
  <si>
    <t>P245 C635 2010</t>
  </si>
  <si>
    <t>0                      P  0245000C  635         2010</t>
  </si>
  <si>
    <t>Cognitive perspectives on word formation / edited by Alexander Onysko, Sascha Michel.</t>
  </si>
  <si>
    <t>Trends in linguistics. Studies and monographs ; 221</t>
  </si>
  <si>
    <t>2013-03-03</t>
  </si>
  <si>
    <t>1044601476:eng</t>
  </si>
  <si>
    <t>501321073</t>
  </si>
  <si>
    <t>ocn501321073</t>
  </si>
  <si>
    <t>3103241157W</t>
  </si>
  <si>
    <t>9783110223590</t>
  </si>
  <si>
    <t>794804581</t>
  </si>
  <si>
    <t>P245 C76 2010</t>
  </si>
  <si>
    <t>0                      P  0245000C  76          2010</t>
  </si>
  <si>
    <t>Cross-disciplinary issues in compounding / edited by Sergio Scalise, Irene Vogel.</t>
  </si>
  <si>
    <t>Amsterdam studies in the theory and history of linguistic science. Series IV, Current issues in linguistic theory, 0304-0763 ; v. 311</t>
  </si>
  <si>
    <t>888361138:eng</t>
  </si>
  <si>
    <t>482630574</t>
  </si>
  <si>
    <t>ocn482630574</t>
  </si>
  <si>
    <t>31032517715</t>
  </si>
  <si>
    <t>9789027248275</t>
  </si>
  <si>
    <t>794799305</t>
  </si>
  <si>
    <t>P245 E92 2018</t>
  </si>
  <si>
    <t>0                      P  0245000E  92          2018</t>
  </si>
  <si>
    <t>Exact repetition in grammar and discourse / edited by Rita Finkbeiner, Ulrike Freywald.</t>
  </si>
  <si>
    <t>Berlin ; Boston : Walter De Gruyter, Inc., [2018]</t>
  </si>
  <si>
    <t>Trends in linguistics, studies and monographs ; Volume 323.</t>
  </si>
  <si>
    <t>5040583529:eng</t>
  </si>
  <si>
    <t>1056137189</t>
  </si>
  <si>
    <t>on1056137189</t>
  </si>
  <si>
    <t>3103809800I</t>
  </si>
  <si>
    <t>9783110589986</t>
  </si>
  <si>
    <t>795063534</t>
  </si>
  <si>
    <t>P245 F55 2010</t>
  </si>
  <si>
    <t>0                      P  0245000F  55          2010</t>
  </si>
  <si>
    <t>Fillers, pauses and placeholders / edited by Nino Amiridze, Boyd H. Davis, Margaret Maclagan.</t>
  </si>
  <si>
    <t>Typological studies in language ; v. 93</t>
  </si>
  <si>
    <t>506717768:eng</t>
  </si>
  <si>
    <t>645790939</t>
  </si>
  <si>
    <t>ocn645790939</t>
  </si>
  <si>
    <t>3103312873C</t>
  </si>
  <si>
    <t>9789027206749</t>
  </si>
  <si>
    <t>794829865</t>
  </si>
  <si>
    <t>P245 I55 2005</t>
  </si>
  <si>
    <t>0                      P  0245000I  55          2005</t>
  </si>
  <si>
    <t>Reduplication : doubling in morphology / Sharon Inkelas and Cheryl Zoll.</t>
  </si>
  <si>
    <t>Inkelas, Sharon.</t>
  </si>
  <si>
    <t>Cambridge studies in linguistics ; v. 106</t>
  </si>
  <si>
    <t>837069732:eng</t>
  </si>
  <si>
    <t>56010970</t>
  </si>
  <si>
    <t>ocm56010970</t>
  </si>
  <si>
    <t>3102555371R</t>
  </si>
  <si>
    <t>9780521806497</t>
  </si>
  <si>
    <t>793885707</t>
  </si>
  <si>
    <t>P245 .L54 2004</t>
  </si>
  <si>
    <t>0                      P  0245000L  54          2004</t>
  </si>
  <si>
    <t>Morphology and lexical semantics / Rochelle Lieber.</t>
  </si>
  <si>
    <t>Cambridge studies in linguistics ; 104</t>
  </si>
  <si>
    <t>2017-05-05</t>
  </si>
  <si>
    <t>711493:eng</t>
  </si>
  <si>
    <t>53144571</t>
  </si>
  <si>
    <t>ocm53144571</t>
  </si>
  <si>
    <t>3102773511J</t>
  </si>
  <si>
    <t>9780521831710</t>
  </si>
  <si>
    <t>793822307</t>
  </si>
  <si>
    <t>P245 L54 2004</t>
  </si>
  <si>
    <t>3103436548W</t>
  </si>
  <si>
    <t>793822308</t>
  </si>
  <si>
    <t>P245 N54x 1949</t>
  </si>
  <si>
    <t>0                      P  0245000N  54x         1949</t>
  </si>
  <si>
    <t>Morphology, the descriptive analysis of words.</t>
  </si>
  <si>
    <t>Nida, Eugene A. (Eugene Albert), 1914-2011.</t>
  </si>
  <si>
    <t>Ann Arbor, University of Michigan Press, 1949.</t>
  </si>
  <si>
    <t>2d and completely new ed., based on actual-language materials.</t>
  </si>
  <si>
    <t>University of Michigan publications. Linguistics, v. 2</t>
  </si>
  <si>
    <t>574851:eng</t>
  </si>
  <si>
    <t>312689</t>
  </si>
  <si>
    <t>ocm00312689</t>
  </si>
  <si>
    <t>31027734916</t>
  </si>
  <si>
    <t>9780472086849</t>
  </si>
  <si>
    <t>791333338</t>
  </si>
  <si>
    <t>2002-04-05</t>
  </si>
  <si>
    <t>3102773501L</t>
  </si>
  <si>
    <t>791333337</t>
  </si>
  <si>
    <t>31027734966</t>
  </si>
  <si>
    <t>791333339</t>
  </si>
  <si>
    <t>P245 O94 2009</t>
  </si>
  <si>
    <t>0                      P  0245000O  94          2009</t>
  </si>
  <si>
    <t>The Oxford handbook of compounding / edited by Rochelle Lieber and Pavol Štekauer.</t>
  </si>
  <si>
    <t>351871544:eng</t>
  </si>
  <si>
    <t>236333960</t>
  </si>
  <si>
    <t>ocn236333960</t>
  </si>
  <si>
    <t>31028568014</t>
  </si>
  <si>
    <t>9780199219872</t>
  </si>
  <si>
    <t>794371581</t>
  </si>
  <si>
    <t>P245 O94 2014</t>
  </si>
  <si>
    <t>0                      P  0245000O  94          2014</t>
  </si>
  <si>
    <t>The Oxford handbook of derivational morphology / edited by Rochelle Lieber and Pavol Štekauer.</t>
  </si>
  <si>
    <t>Oxford Handbooks in linguistics</t>
  </si>
  <si>
    <t>1752314988:eng</t>
  </si>
  <si>
    <t>867752995</t>
  </si>
  <si>
    <t>ocn867752995</t>
  </si>
  <si>
    <t>3103607497H</t>
  </si>
  <si>
    <t>9780199641642</t>
  </si>
  <si>
    <t>794964100</t>
  </si>
  <si>
    <t>P245 R47 2006</t>
  </si>
  <si>
    <t>0                      P  0245000R  47          2006</t>
  </si>
  <si>
    <t>The representation and processing of compound words / edited by Gary Libben and Gonia Jarema.</t>
  </si>
  <si>
    <t>1076451392:eng</t>
  </si>
  <si>
    <t>60796201</t>
  </si>
  <si>
    <t>ocm60796201</t>
  </si>
  <si>
    <t>31024884685</t>
  </si>
  <si>
    <t>9780199285068</t>
  </si>
  <si>
    <t>793943938</t>
  </si>
  <si>
    <t>P245 S74 2012</t>
  </si>
  <si>
    <t>0                      P  0245000S  74          2012</t>
  </si>
  <si>
    <t>Word-formation in the world's languages : a typological survey / Pavol Štekauer, Salvador Valera, Lívia Körtvélyessy.</t>
  </si>
  <si>
    <t>Štekauer, Pavol.</t>
  </si>
  <si>
    <t>2016-08-06</t>
  </si>
  <si>
    <t>891131846:eng</t>
  </si>
  <si>
    <t>793896068</t>
  </si>
  <si>
    <t>ocn793896068</t>
  </si>
  <si>
    <t>31034149167</t>
  </si>
  <si>
    <t>9780521765343</t>
  </si>
  <si>
    <t>794918793</t>
  </si>
  <si>
    <t>P245 S855 2005</t>
  </si>
  <si>
    <t>0                      P  0245000S  855         2005</t>
  </si>
  <si>
    <t>Studies on reduplication / edited by Bernhard Hurch ; with editorial assistance of Veronika MAttes.</t>
  </si>
  <si>
    <t>Berlin ; New York : Mouton de Gruyter, 2005.</t>
  </si>
  <si>
    <t>Empirical approaches to language typology ; 28</t>
  </si>
  <si>
    <t>13135:eng</t>
  </si>
  <si>
    <t>57557535</t>
  </si>
  <si>
    <t>ocm57557535</t>
  </si>
  <si>
    <t>3102773515J</t>
  </si>
  <si>
    <t>9783110181197</t>
  </si>
  <si>
    <t>793915448</t>
  </si>
  <si>
    <t>P245 Z45 2012</t>
  </si>
  <si>
    <t>0                      P  0245000Z  45          2012</t>
  </si>
  <si>
    <t>Productivity in argument selection : from morphology to syntax / by Amir Zeldes.</t>
  </si>
  <si>
    <t>Zeldes, Amir, author.</t>
  </si>
  <si>
    <t>Berlin ; Boston : De Gruyter Mouton, [2012]</t>
  </si>
  <si>
    <t>Trends in linguistics. Studies and monographs, 1861-4302 ; 260</t>
  </si>
  <si>
    <t>1185863760:eng</t>
  </si>
  <si>
    <t>820786221</t>
  </si>
  <si>
    <t>ocn820786221</t>
  </si>
  <si>
    <t>3103468056M</t>
  </si>
  <si>
    <t>9783110300796</t>
  </si>
  <si>
    <t>794935798</t>
  </si>
  <si>
    <t>P251 T66 2016</t>
  </si>
  <si>
    <t>0                      P  0251000T  66          2016</t>
  </si>
  <si>
    <t>Tone and inflection : new facts and new perspectives / edited by Enrique L. Palancar and Jean Leó Leónard.</t>
  </si>
  <si>
    <t>Berlin : Mouton De Gruyter, 2016.</t>
  </si>
  <si>
    <t>Trends in linguistics. Studies and monographs ; 296</t>
  </si>
  <si>
    <t>2828032787:eng</t>
  </si>
  <si>
    <t>931648692</t>
  </si>
  <si>
    <t>ocn931648692</t>
  </si>
  <si>
    <t>3103653976W</t>
  </si>
  <si>
    <t>9783110450026</t>
  </si>
  <si>
    <t>795007655</t>
  </si>
  <si>
    <t>P253 K455 2010</t>
  </si>
  <si>
    <t>0                      P  0253000K  455         2010</t>
  </si>
  <si>
    <t>Case and agreement from fringe to core : a minimalist approach / Stefan Keine.</t>
  </si>
  <si>
    <t>Keine, Stefan.</t>
  </si>
  <si>
    <t>Berlin : De Gruyter, 2010.</t>
  </si>
  <si>
    <t>Linguistische Arbeiten, 0344-6727 ; 536</t>
  </si>
  <si>
    <t>792291921:eng</t>
  </si>
  <si>
    <t>659711742</t>
  </si>
  <si>
    <t>ocn659711742</t>
  </si>
  <si>
    <t>3103344022N</t>
  </si>
  <si>
    <t>9783110234398</t>
  </si>
  <si>
    <t>794836375</t>
  </si>
  <si>
    <t>P255 M57 2010</t>
  </si>
  <si>
    <t>0                      P  0255000M  57          2010</t>
  </si>
  <si>
    <t>Proceedings of the MIT Workshop on Comparatives / edited by Michael Yoshitaka Erlewine and Yasutada Sudo.</t>
  </si>
  <si>
    <t>MIT Workshop on Comparatives (2010 : Massachusetts Institute of Technology)</t>
  </si>
  <si>
    <t>[Cambridge, Massachusetts] : MIT Working Papers in Linguistics, [2014]</t>
  </si>
  <si>
    <t>MIT working papers in linguistics ; 69</t>
  </si>
  <si>
    <t>2588278901:eng</t>
  </si>
  <si>
    <t>915839445</t>
  </si>
  <si>
    <t>ocn915839445</t>
  </si>
  <si>
    <t>31035837751</t>
  </si>
  <si>
    <t>795000657</t>
  </si>
  <si>
    <t>P270 P37 2010</t>
  </si>
  <si>
    <t>0                      P  0270000P  37          2010</t>
  </si>
  <si>
    <t>Parts of speech : empirical and theoretical advances / edited by Umberto Ansaldo, Jan Don, Roland Pfau.</t>
  </si>
  <si>
    <t>Benjamins current topics ; v. 25</t>
  </si>
  <si>
    <t>2011-08-20</t>
  </si>
  <si>
    <t>796439162:eng</t>
  </si>
  <si>
    <t>648480950</t>
  </si>
  <si>
    <t>ocn648480950</t>
  </si>
  <si>
    <t>3103238301D</t>
  </si>
  <si>
    <t>9789027222558</t>
  </si>
  <si>
    <t>794831306</t>
  </si>
  <si>
    <t>P271 A76 2017</t>
  </si>
  <si>
    <t>0                      P  0271000A  76          2017</t>
  </si>
  <si>
    <t>Aspect and valency in nominals / edited by Maria Bloch-Trojnar, Anna Malicka-Kleparska.</t>
  </si>
  <si>
    <t>Studies in generative grammar ; volume 134</t>
  </si>
  <si>
    <t>4200539705:eng</t>
  </si>
  <si>
    <t>1001807213</t>
  </si>
  <si>
    <t>on1001807213</t>
  </si>
  <si>
    <t>3103740214M</t>
  </si>
  <si>
    <t>9781501514586</t>
  </si>
  <si>
    <t>795040729</t>
  </si>
  <si>
    <t>P271 C68 2012</t>
  </si>
  <si>
    <t>0                      P  0271000C  68          2012</t>
  </si>
  <si>
    <t>Count and mass across languages / edited by Diane Massam.</t>
  </si>
  <si>
    <t>Oxford studies in theoretical linguistics ; 42</t>
  </si>
  <si>
    <t>1088338774:eng</t>
  </si>
  <si>
    <t>815928956</t>
  </si>
  <si>
    <t>ocn815928956</t>
  </si>
  <si>
    <t>3103411807O</t>
  </si>
  <si>
    <t>9780199654277</t>
  </si>
  <si>
    <t>794932832</t>
  </si>
  <si>
    <t>P271 G35 2019</t>
  </si>
  <si>
    <t>0                      P  0271000G  35          2019</t>
  </si>
  <si>
    <t>Semantic plurality : English collective nouns and other ways of denoting pluralities of entities / Laure Gardelle, Université Grenoble Alpes-LIDILEM.</t>
  </si>
  <si>
    <t>Gardelle, Laure, author.</t>
  </si>
  <si>
    <t>Amsterdam ; Philadelphia : John Benjamins Publishing Company, 2019.</t>
  </si>
  <si>
    <t>Current issues in linguistic theory. Series IV, Amsterdam studies in the theory and history of linguistic science, 0304-0763 ; volume 349</t>
  </si>
  <si>
    <t>2019-12-10</t>
  </si>
  <si>
    <t>9467998600:eng</t>
  </si>
  <si>
    <t>1112887762</t>
  </si>
  <si>
    <t>on1112887762</t>
  </si>
  <si>
    <t>3103880361F</t>
  </si>
  <si>
    <t>9789027204738</t>
  </si>
  <si>
    <t>795084336</t>
  </si>
  <si>
    <t>P271 H35 1993</t>
  </si>
  <si>
    <t>0                      P  0271000H  35          1993</t>
  </si>
  <si>
    <t>Heads in grammatical theory / edited by Greville G. Corbett, Norman M. Fraser, and Scott McGlashan.</t>
  </si>
  <si>
    <t>2018-10-03</t>
  </si>
  <si>
    <t>895809146:eng</t>
  </si>
  <si>
    <t>26052036</t>
  </si>
  <si>
    <t>ocm26052036</t>
  </si>
  <si>
    <t>31027734926</t>
  </si>
  <si>
    <t>9780521420709</t>
  </si>
  <si>
    <t>793236120</t>
  </si>
  <si>
    <t>P271 I2</t>
  </si>
  <si>
    <t>0                      P  0271000I  2</t>
  </si>
  <si>
    <t>Grammatical gender. Its origin and development.</t>
  </si>
  <si>
    <t>Ibrahim, Muhammad Hasan.</t>
  </si>
  <si>
    <t>Janua linguarum. Series minor ; 166</t>
  </si>
  <si>
    <t>291038970:eng</t>
  </si>
  <si>
    <t>746712</t>
  </si>
  <si>
    <t>ocm00746712</t>
  </si>
  <si>
    <t>30009976797</t>
  </si>
  <si>
    <t>9789027924490</t>
  </si>
  <si>
    <t>791460399</t>
  </si>
  <si>
    <t>31027734828</t>
  </si>
  <si>
    <t>791460398</t>
  </si>
  <si>
    <t>P271 N656 2014</t>
  </si>
  <si>
    <t>0                      P  0271000N  656         2014</t>
  </si>
  <si>
    <t>The nominal structure in Slavic and beyond / edited by Lilia Schürcks, Anastasia Giannakidou, Urtzi Etxeberria.</t>
  </si>
  <si>
    <t>Berlin ; Boston : De Gruyter Mouton, [2014]</t>
  </si>
  <si>
    <t>Studies in generative grammar, 0167-4331 ; v. 116</t>
  </si>
  <si>
    <t>10141635875:eng</t>
  </si>
  <si>
    <t>855209431</t>
  </si>
  <si>
    <t>ocn855209431</t>
  </si>
  <si>
    <t>3103528554L</t>
  </si>
  <si>
    <t>9781614513889</t>
  </si>
  <si>
    <t>794953152</t>
  </si>
  <si>
    <t>P271 N6794 2011</t>
  </si>
  <si>
    <t>0                      P  0271000N  6794        2011</t>
  </si>
  <si>
    <t>The noun phrase in romance and germanic structure, variation, and change / edited by Petra Sleeman, Harry Perridon.</t>
  </si>
  <si>
    <t>Linguistik aktuell/Linguistics today ; v. 171</t>
  </si>
  <si>
    <t>688184122:eng</t>
  </si>
  <si>
    <t>672300124</t>
  </si>
  <si>
    <t>ocn672300124</t>
  </si>
  <si>
    <t>3103344067F</t>
  </si>
  <si>
    <t>9789027255549</t>
  </si>
  <si>
    <t>794849448</t>
  </si>
  <si>
    <t>P271 P37 2011</t>
  </si>
  <si>
    <t>0                      P  0271000P  37          2011</t>
  </si>
  <si>
    <t>The status and development of N+N sequences in contemporary English noun phrases / Iria Pastor-Gómez.</t>
  </si>
  <si>
    <t>Pastor-Gómez, Iria, 1978-</t>
  </si>
  <si>
    <t>Linguistic insights: studies in language and communication ; v. 126</t>
  </si>
  <si>
    <t>809327543:eng</t>
  </si>
  <si>
    <t>706804049</t>
  </si>
  <si>
    <t>ocn706804049</t>
  </si>
  <si>
    <t>3103341506O</t>
  </si>
  <si>
    <t>9783034305341</t>
  </si>
  <si>
    <t>794867204</t>
  </si>
  <si>
    <t>P271 S46 2010</t>
  </si>
  <si>
    <t>0                      P  0271000S  46          2010</t>
  </si>
  <si>
    <t>The semantics of nominalizations across languages and frameworks / edited by Monika Rathert, Artemis Alexiadou.</t>
  </si>
  <si>
    <t>Interface explorations ; 22</t>
  </si>
  <si>
    <t>2010-12-22</t>
  </si>
  <si>
    <t>3859842344:eng</t>
  </si>
  <si>
    <t>646309433</t>
  </si>
  <si>
    <t>ocn646309433</t>
  </si>
  <si>
    <t>31032278165</t>
  </si>
  <si>
    <t>9783110226539</t>
  </si>
  <si>
    <t>794830299</t>
  </si>
  <si>
    <t>P271 S52</t>
  </si>
  <si>
    <t>0                      P  0271000S  52</t>
  </si>
  <si>
    <t>The referents of noun phrases / D.N.S. Bhat.</t>
  </si>
  <si>
    <t>Pune : Deccan College Postgraduate and Research Institute, 1979.</t>
  </si>
  <si>
    <t>25316697:eng</t>
  </si>
  <si>
    <t>7250021</t>
  </si>
  <si>
    <t>ocm07250021</t>
  </si>
  <si>
    <t>31027735609</t>
  </si>
  <si>
    <t>792548941</t>
  </si>
  <si>
    <t>P271 Y36 2006</t>
  </si>
  <si>
    <t>0                      P  0271000Y  36          2006</t>
  </si>
  <si>
    <t>Agency and impersonality : their linguistic and cultural manifestations / Mutsumi Yamamoto.</t>
  </si>
  <si>
    <t>Studies in language companion series, 0165-7763 ; v. 78</t>
  </si>
  <si>
    <t>793984461:eng</t>
  </si>
  <si>
    <t>69680199</t>
  </si>
  <si>
    <t>ocm69680199</t>
  </si>
  <si>
    <t>3102591539P</t>
  </si>
  <si>
    <t>9789027230881</t>
  </si>
  <si>
    <t>794146857</t>
  </si>
  <si>
    <t>P273 B68 2002</t>
  </si>
  <si>
    <t>0                      P  0273000B  68          2002</t>
  </si>
  <si>
    <t>Adjectives, number, and interfaces : why languages vary / Denis Bouchard.</t>
  </si>
  <si>
    <t>Bouchard, Denis.</t>
  </si>
  <si>
    <t>Boston, Mass. : North Holland, 2002.</t>
  </si>
  <si>
    <t>North-Holland linguistic series, 0078-1592</t>
  </si>
  <si>
    <t>2006-08-05</t>
  </si>
  <si>
    <t>983012:eng</t>
  </si>
  <si>
    <t>155837837</t>
  </si>
  <si>
    <t>ocn155837837</t>
  </si>
  <si>
    <t>3102773554B</t>
  </si>
  <si>
    <t>9780080440552</t>
  </si>
  <si>
    <t>794253744</t>
  </si>
  <si>
    <t>3102773553B</t>
  </si>
  <si>
    <t>794253745</t>
  </si>
  <si>
    <t>P273 C56 2010</t>
  </si>
  <si>
    <t>0                      P  0273000C  56          2010</t>
  </si>
  <si>
    <t>The syntax of adjectives : a comparative study / Guglielmo Cinque.</t>
  </si>
  <si>
    <t>Cinque, Guglielmo.</t>
  </si>
  <si>
    <t>Linguistic inquiry monographs ; 57</t>
  </si>
  <si>
    <t>2014-01-17</t>
  </si>
  <si>
    <t>796326314:eng</t>
  </si>
  <si>
    <t>457772850</t>
  </si>
  <si>
    <t>ocn457772850</t>
  </si>
  <si>
    <t>3103226466B</t>
  </si>
  <si>
    <t>9780262014168</t>
  </si>
  <si>
    <t>794790147</t>
  </si>
  <si>
    <t>P273 K46 1999</t>
  </si>
  <si>
    <t>0                      P  0273000K  46          1999</t>
  </si>
  <si>
    <t>Projecting the adjective : the syntax and semantics of gradability and comparison / Christopher Kennedy.</t>
  </si>
  <si>
    <t>Kennedy, Christopher, 1967-</t>
  </si>
  <si>
    <t>New York : Garland, 1999.</t>
  </si>
  <si>
    <t>198196788:eng</t>
  </si>
  <si>
    <t>40542913</t>
  </si>
  <si>
    <t>ocm40542913</t>
  </si>
  <si>
    <t>31034668880</t>
  </si>
  <si>
    <t>9780815333494</t>
  </si>
  <si>
    <t>793569483</t>
  </si>
  <si>
    <t>P273 K67 2011</t>
  </si>
  <si>
    <t>0                      P  0273000K  67          2011</t>
  </si>
  <si>
    <t>Collateral adjectives and related issues / Tetsuya Koshiishi.</t>
  </si>
  <si>
    <t>Koshiishi, Tetsuya, 1961-</t>
  </si>
  <si>
    <t>European University Studies 21 ; v. 359</t>
  </si>
  <si>
    <t>770308053:eng</t>
  </si>
  <si>
    <t>697036798</t>
  </si>
  <si>
    <t>ocn697036798</t>
  </si>
  <si>
    <t>3103341508O</t>
  </si>
  <si>
    <t>9783034304245</t>
  </si>
  <si>
    <t>794859646</t>
  </si>
  <si>
    <t>P273 M56 2011</t>
  </si>
  <si>
    <t>0                      P  0273000M  56          2011</t>
  </si>
  <si>
    <t>Adjective complementation : an empirical analysis of adjectives followed by that-clauses / Ilka Mindt.</t>
  </si>
  <si>
    <t>Mindt, Ilka.</t>
  </si>
  <si>
    <t>Studies in corpus linguistics ; v. 42</t>
  </si>
  <si>
    <t>865043824:eng</t>
  </si>
  <si>
    <t>685120609</t>
  </si>
  <si>
    <t>ocn685120609</t>
  </si>
  <si>
    <t>3103364565R</t>
  </si>
  <si>
    <t>9789027223180</t>
  </si>
  <si>
    <t>794853604</t>
  </si>
  <si>
    <t>P275 H8</t>
  </si>
  <si>
    <t>0                      P  0275000H  8</t>
  </si>
  <si>
    <t>The linguistic theory of numerals / James R. Hurford.</t>
  </si>
  <si>
    <t>Cambridge [England] ; New York : Cambridge University Press, 1975.</t>
  </si>
  <si>
    <t>Cambridge studies in linguistics ; 16</t>
  </si>
  <si>
    <t>3105869:eng</t>
  </si>
  <si>
    <t>1847339</t>
  </si>
  <si>
    <t>ocm01847339</t>
  </si>
  <si>
    <t>3102773545D</t>
  </si>
  <si>
    <t>9780521207355</t>
  </si>
  <si>
    <t>791998401</t>
  </si>
  <si>
    <t>P275 W54 2003</t>
  </si>
  <si>
    <t>0                      P  0275000W  54          2003</t>
  </si>
  <si>
    <t>Numbers, language, and the human mind / Heike Wiese.</t>
  </si>
  <si>
    <t>Wiese, Heike.</t>
  </si>
  <si>
    <t>786984:eng</t>
  </si>
  <si>
    <t>51942390</t>
  </si>
  <si>
    <t>ocm51942390</t>
  </si>
  <si>
    <t>3102773543D</t>
  </si>
  <si>
    <t>9780521831826</t>
  </si>
  <si>
    <t>793794893</t>
  </si>
  <si>
    <t>P279 A88 2012</t>
  </si>
  <si>
    <t>0                      P  0279000A  88          2012</t>
  </si>
  <si>
    <t>The logic of pronominal resumption / Ash Asudeh.</t>
  </si>
  <si>
    <t>Asudeh, Ash.</t>
  </si>
  <si>
    <t>New York : Oxford University Press, 2012.</t>
  </si>
  <si>
    <t>Oxford studies in theoretical linguistics ; 35</t>
  </si>
  <si>
    <t>774352023:eng</t>
  </si>
  <si>
    <t>751748683</t>
  </si>
  <si>
    <t>ocn751748683</t>
  </si>
  <si>
    <t>3103409205F</t>
  </si>
  <si>
    <t>9780199206421</t>
  </si>
  <si>
    <t>794890836</t>
  </si>
  <si>
    <t>P279 F3</t>
  </si>
  <si>
    <t>0                      P  0279000F  3</t>
  </si>
  <si>
    <t>La coréférence : syntaxe ou sémantique? / Gilles Fauconnier.</t>
  </si>
  <si>
    <t>Paris : Éditions du Seuil, ©1974.</t>
  </si>
  <si>
    <t>Travaux linguistiques</t>
  </si>
  <si>
    <t>348391513:fre</t>
  </si>
  <si>
    <t>3206739</t>
  </si>
  <si>
    <t>ocm03206739</t>
  </si>
  <si>
    <t>3102773538F</t>
  </si>
  <si>
    <t>792229649</t>
  </si>
  <si>
    <t>P279 G76 2016</t>
  </si>
  <si>
    <t>0                      P  0279000G  76          2016</t>
  </si>
  <si>
    <t>The impact of pronominal form on interpretation / by Patrick Georg Grosz and Pritty Patel-Grosz.</t>
  </si>
  <si>
    <t>Studies in generative grammar, 0167-4331 ; 125</t>
  </si>
  <si>
    <t>2805410508:eng</t>
  </si>
  <si>
    <t>936548692</t>
  </si>
  <si>
    <t>ocn936548692</t>
  </si>
  <si>
    <t>3103654621R</t>
  </si>
  <si>
    <t>9781614517801</t>
  </si>
  <si>
    <t>795010878</t>
  </si>
  <si>
    <t>P279 N85 2011</t>
  </si>
  <si>
    <t>0                      P  0279000N  85          2011</t>
  </si>
  <si>
    <t>Null pronouns / edited by Melani Wratil, Peter Gallmann.</t>
  </si>
  <si>
    <t>Studies in generative grammar ; 106</t>
  </si>
  <si>
    <t>1008056752:eng</t>
  </si>
  <si>
    <t>750401502</t>
  </si>
  <si>
    <t>ocn750401502</t>
  </si>
  <si>
    <t>3103408016N</t>
  </si>
  <si>
    <t>9783110238709</t>
  </si>
  <si>
    <t>794890178</t>
  </si>
  <si>
    <t>P279 P36 2002</t>
  </si>
  <si>
    <t>0                      P  0279000P  36          2002</t>
  </si>
  <si>
    <t>Pronouns, clitics and empty nouns : 'pronominality' and licensing in syntax / Phoevos Panagiotidis.</t>
  </si>
  <si>
    <t>Panagiotidis, Phoevos.</t>
  </si>
  <si>
    <t>Amsterdam ; Philadelphia : John Benjamins Pub. Co., ©2002.</t>
  </si>
  <si>
    <t>Linguistik aktuell = Linguistics today, 0166-0829 ; v. 46</t>
  </si>
  <si>
    <t>793897027:eng</t>
  </si>
  <si>
    <t>48449495</t>
  </si>
  <si>
    <t>ocm48449495</t>
  </si>
  <si>
    <t>31028249976</t>
  </si>
  <si>
    <t>9781588111036</t>
  </si>
  <si>
    <t>793721289</t>
  </si>
  <si>
    <t>P279 P67 2013</t>
  </si>
  <si>
    <t>0                      P  0279000P  67          2013</t>
  </si>
  <si>
    <t>Possession and ownership : a cross-linguistic typology / edited by Alexandra Y. Aikhenvald and R.M.W. Dixon.</t>
  </si>
  <si>
    <t>Explorations in linguistic typology ; 6</t>
  </si>
  <si>
    <t>1164847635:eng</t>
  </si>
  <si>
    <t>808492337</t>
  </si>
  <si>
    <t>ocn808492337</t>
  </si>
  <si>
    <t>3103505023R</t>
  </si>
  <si>
    <t>9780199660223</t>
  </si>
  <si>
    <t>794927673</t>
  </si>
  <si>
    <t>P279 P76 2012</t>
  </si>
  <si>
    <t>0                      P  0279000P  76          2012</t>
  </si>
  <si>
    <t>Pronouns and clitics in early language / edited by María Pilar Larrañaga, Pedro Guijarro-Fuentes.</t>
  </si>
  <si>
    <t>Studies in generative grammar, 0167-4331 ; 108</t>
  </si>
  <si>
    <t>1167154666:eng</t>
  </si>
  <si>
    <t>809548682</t>
  </si>
  <si>
    <t>ocn809548682</t>
  </si>
  <si>
    <t>3103412746F</t>
  </si>
  <si>
    <t>9783110238808</t>
  </si>
  <si>
    <t>794928504</t>
  </si>
  <si>
    <t>P279 P76 2018</t>
  </si>
  <si>
    <t>0                      P  0279000P  76          2018</t>
  </si>
  <si>
    <t>Pronouns in embedded contexts at the syntax-semantics interface / Pritty Patel-Grosz, Patrick Georg Grosz, Sarah Zobel, editors.</t>
  </si>
  <si>
    <t>Cham, Switzerland : Springer, [2018]</t>
  </si>
  <si>
    <t>Studies in linguistics and philosophy ; volume 99</t>
  </si>
  <si>
    <t>9995821040:eng</t>
  </si>
  <si>
    <t>978289985</t>
  </si>
  <si>
    <t>ocn978289985</t>
  </si>
  <si>
    <t>3103759245Y</t>
  </si>
  <si>
    <t>9783319567044</t>
  </si>
  <si>
    <t>795033112</t>
  </si>
  <si>
    <t>P281 A35 2010</t>
  </si>
  <si>
    <t>0                      P  0281000A  35          2010</t>
  </si>
  <si>
    <t>Imperatives and commands / Alexandra Y. Aikhenvald.</t>
  </si>
  <si>
    <t>481551088:eng</t>
  </si>
  <si>
    <t>615830907</t>
  </si>
  <si>
    <t>ocn615830907</t>
  </si>
  <si>
    <t>3103230876G</t>
  </si>
  <si>
    <t>9780199207909</t>
  </si>
  <si>
    <t>794822770</t>
  </si>
  <si>
    <t>P281 A675 2006</t>
  </si>
  <si>
    <t>0                      P  0281000A  675         2006</t>
  </si>
  <si>
    <t>Individuals in time : tense, aspect and the individual/stage distinction / María J. Arche.</t>
  </si>
  <si>
    <t>Arche, María J.</t>
  </si>
  <si>
    <t>Linguistik aktuell = Linguistics today, 0166-0829 ; v. 94</t>
  </si>
  <si>
    <t>793984471:eng</t>
  </si>
  <si>
    <t>70407929</t>
  </si>
  <si>
    <t>ocm70407929</t>
  </si>
  <si>
    <t>31025936648</t>
  </si>
  <si>
    <t>9789027233585</t>
  </si>
  <si>
    <t>794154972</t>
  </si>
  <si>
    <t>P281 B56 1991</t>
  </si>
  <si>
    <t>0                      P  0281000B  56          1991</t>
  </si>
  <si>
    <t>Time and the verb : a guide to tense and aspect / Robert I. Binnick.</t>
  </si>
  <si>
    <t>Binnick, Robert I.</t>
  </si>
  <si>
    <t>798920241:eng</t>
  </si>
  <si>
    <t>20826169</t>
  </si>
  <si>
    <t>ocm20826169</t>
  </si>
  <si>
    <t>31027736508</t>
  </si>
  <si>
    <t>9780195062069</t>
  </si>
  <si>
    <t>793100408</t>
  </si>
  <si>
    <t>P281 B68 2010</t>
  </si>
  <si>
    <t>0                      P  0281000B  68          2010</t>
  </si>
  <si>
    <t>The processing of events / Oliver Bott.</t>
  </si>
  <si>
    <t>Bott, Oliver, 1973-</t>
  </si>
  <si>
    <t>Linguistik aktuell/Linguistics today, 0166-0829 ; v. 162</t>
  </si>
  <si>
    <t>500105395:eng</t>
  </si>
  <si>
    <t>637036689</t>
  </si>
  <si>
    <t>ocn637036689</t>
  </si>
  <si>
    <t>3103237863R</t>
  </si>
  <si>
    <t>9789027255457</t>
  </si>
  <si>
    <t>794826221</t>
  </si>
  <si>
    <t>P281 B69 2010</t>
  </si>
  <si>
    <t>0                      P  0281000B  69          2010</t>
  </si>
  <si>
    <t>Arguments as relations / John Bowers.</t>
  </si>
  <si>
    <t>Bowers, John S.</t>
  </si>
  <si>
    <t>Linguistic inquiry monographs</t>
  </si>
  <si>
    <t>2018-04-16</t>
  </si>
  <si>
    <t>327421917:eng</t>
  </si>
  <si>
    <t>441948072</t>
  </si>
  <si>
    <t>ocn441948072</t>
  </si>
  <si>
    <t>31032294297</t>
  </si>
  <si>
    <t>9780262014311</t>
  </si>
  <si>
    <t>794786890</t>
  </si>
  <si>
    <t>31034811432</t>
  </si>
  <si>
    <t>794786889</t>
  </si>
  <si>
    <t>P281 C593 2010</t>
  </si>
  <si>
    <t>0                      P  0281000C  593         2010</t>
  </si>
  <si>
    <t>Complex predicates : cross-linguistic perspectives on event structure / edited by Mengistu Amberber, Brett Baker, and Mark Harvey.</t>
  </si>
  <si>
    <t>793232428:eng</t>
  </si>
  <si>
    <t>449827506</t>
  </si>
  <si>
    <t>ocn449827506</t>
  </si>
  <si>
    <t>3103133414Y</t>
  </si>
  <si>
    <t>9780521886673</t>
  </si>
  <si>
    <t>794787428</t>
  </si>
  <si>
    <t>P281 C6</t>
  </si>
  <si>
    <t>0                      P  0281000C  6</t>
  </si>
  <si>
    <t>Aspect : an introduction to the study of verbal aspect and related problems / Bernard Comrie.</t>
  </si>
  <si>
    <t>Cambridge ; New York : Cambridge University Press, 1976.</t>
  </si>
  <si>
    <t>792889584:eng</t>
  </si>
  <si>
    <t>2118637</t>
  </si>
  <si>
    <t>ocm02118637</t>
  </si>
  <si>
    <t>3000181291E</t>
  </si>
  <si>
    <t>9780521211093</t>
  </si>
  <si>
    <t>792050498</t>
  </si>
  <si>
    <t>P281 C74 2012</t>
  </si>
  <si>
    <t>0                      P  0281000C  74          2012</t>
  </si>
  <si>
    <t>Verbs : aspect and causal structure / William Croft.</t>
  </si>
  <si>
    <t>Croft, William, 1956-</t>
  </si>
  <si>
    <t>Oxford [England] ; New York : Oxford University Press, 2012.</t>
  </si>
  <si>
    <t>1029357803:eng</t>
  </si>
  <si>
    <t>757930806</t>
  </si>
  <si>
    <t>ocn757930806</t>
  </si>
  <si>
    <t>3103406031R</t>
  </si>
  <si>
    <t>9780199248582</t>
  </si>
  <si>
    <t>794895837</t>
  </si>
  <si>
    <t>P281 C76 2005</t>
  </si>
  <si>
    <t>0                      P  0281000C  76          2005</t>
  </si>
  <si>
    <t>Crosslinguistic views on tense, aspect and modality / edited by Bart Hollebrandse, Angeliek van Hout, Co Vet.</t>
  </si>
  <si>
    <t>Amsterdam ; New York : Rodopi, 2005.</t>
  </si>
  <si>
    <t>Cahiers Chronos ; 13</t>
  </si>
  <si>
    <t>476687513:eng</t>
  </si>
  <si>
    <t>58422079</t>
  </si>
  <si>
    <t>ocm58422079</t>
  </si>
  <si>
    <t>31025821203</t>
  </si>
  <si>
    <t>9789042017542</t>
  </si>
  <si>
    <t>793920622</t>
  </si>
  <si>
    <t>P281 D527 2001</t>
  </si>
  <si>
    <t>0                      P  0281000D  527         2001</t>
  </si>
  <si>
    <t>The processing of tense : psycholinguistic studies on the interpretation of tense and temporal relations / by Michael Walsh Dickey.</t>
  </si>
  <si>
    <t>Dickey, Michael Walsh.</t>
  </si>
  <si>
    <t>Dordrecht ; Boston : Kluwer Academic Publishers, ©2001.</t>
  </si>
  <si>
    <t>Studies in theoretical psycholinguistics ; v. 28</t>
  </si>
  <si>
    <t>1084720:eng</t>
  </si>
  <si>
    <t>48265581</t>
  </si>
  <si>
    <t>ocm48265581</t>
  </si>
  <si>
    <t>3102773615G</t>
  </si>
  <si>
    <t>9781402001840</t>
  </si>
  <si>
    <t>793719091</t>
  </si>
  <si>
    <t>P281 D55 2006</t>
  </si>
  <si>
    <t>0                      P  0281000D  55          2006</t>
  </si>
  <si>
    <t>Relators and linkers : the syntax of predication, predicate inversion, and copulas / Marcel den Dikken.</t>
  </si>
  <si>
    <t>Dikken, Marcel den, 1965-</t>
  </si>
  <si>
    <t>Linguistic inquiry monographs ; 47</t>
  </si>
  <si>
    <t>794129588:eng</t>
  </si>
  <si>
    <t>60671900</t>
  </si>
  <si>
    <t>ocm60671900</t>
  </si>
  <si>
    <t>3102549199I</t>
  </si>
  <si>
    <t>9780262042314</t>
  </si>
  <si>
    <t>793942030</t>
  </si>
  <si>
    <t>P281 F38 2011</t>
  </si>
  <si>
    <t>0                      P  0281000F  38          2011</t>
  </si>
  <si>
    <t>Verb valency patterns : a challenge for semantics-based accounts / by Susen Faulhaber.</t>
  </si>
  <si>
    <t>Faulhaber, Susen, 1978-</t>
  </si>
  <si>
    <t>Topics in English linguistics ; 71</t>
  </si>
  <si>
    <t>796206924:eng</t>
  </si>
  <si>
    <t>705568518</t>
  </si>
  <si>
    <t>ocn705568518</t>
  </si>
  <si>
    <t>3103364774J</t>
  </si>
  <si>
    <t>9783110240719</t>
  </si>
  <si>
    <t>794866307</t>
  </si>
  <si>
    <t>P281 F45 1999</t>
  </si>
  <si>
    <t>0                      P  0281000F  45          1999</t>
  </si>
  <si>
    <t>Verbal complement clauses : a minimalist study of direct perception constructions / Claudia Felser.</t>
  </si>
  <si>
    <t>Felser, Claudia.</t>
  </si>
  <si>
    <t>Linguistik aktuell = Linguistics today, 0166-0829 ; v. 25</t>
  </si>
  <si>
    <t>793841452:eng</t>
  </si>
  <si>
    <t>40881662</t>
  </si>
  <si>
    <t>ocm40881662</t>
  </si>
  <si>
    <t>3102773605I</t>
  </si>
  <si>
    <t>9781556199097</t>
  </si>
  <si>
    <t>793578104</t>
  </si>
  <si>
    <t>P281 F47 2000</t>
  </si>
  <si>
    <t>0                      P  0281000F  47          2000</t>
  </si>
  <si>
    <t>Predicates and temporal arguments / Theodore B. Fernald.</t>
  </si>
  <si>
    <t>Fernald, Theodore B.</t>
  </si>
  <si>
    <t>41754697:eng</t>
  </si>
  <si>
    <t>39913907</t>
  </si>
  <si>
    <t>ocm39913907</t>
  </si>
  <si>
    <t>3102773600I</t>
  </si>
  <si>
    <t>9780195114355</t>
  </si>
  <si>
    <t>793556770</t>
  </si>
  <si>
    <t>P281 F55 1999</t>
  </si>
  <si>
    <t>0                      P  0281000F  55          1999</t>
  </si>
  <si>
    <t>Aspect, eventuality types, and nominal reference / Hana Filip.</t>
  </si>
  <si>
    <t>Filip, Hana.</t>
  </si>
  <si>
    <t>New York : Garland Pub., 1999.</t>
  </si>
  <si>
    <t>2780608:eng</t>
  </si>
  <si>
    <t>40838789</t>
  </si>
  <si>
    <t>ocm40838789</t>
  </si>
  <si>
    <t>3102773614G</t>
  </si>
  <si>
    <t>9780815332718</t>
  </si>
  <si>
    <t>793576967</t>
  </si>
  <si>
    <t>P281 G54 1997</t>
  </si>
  <si>
    <t>0                      P  0281000G  54          1997</t>
  </si>
  <si>
    <t>Tense and aspect : from semantics to morphosyntax / Alessandra Giorgi and Fabio Pianesi.</t>
  </si>
  <si>
    <t>Giorgi, Alessandra.</t>
  </si>
  <si>
    <t>Oxford studies in comparative syntax</t>
  </si>
  <si>
    <t>795042069:eng</t>
  </si>
  <si>
    <t>35068196</t>
  </si>
  <si>
    <t>ocm35068196</t>
  </si>
  <si>
    <t>3102773604I</t>
  </si>
  <si>
    <t>9780195091922</t>
  </si>
  <si>
    <t>793443071</t>
  </si>
  <si>
    <t>P281 G57 2010</t>
  </si>
  <si>
    <t>0                      P  0281000G  57          2010</t>
  </si>
  <si>
    <t>The event structure of perception verbs / Nikolas Gisborne.</t>
  </si>
  <si>
    <t>Gisborne, Nikolas, 1966-</t>
  </si>
  <si>
    <t>345512024:eng</t>
  </si>
  <si>
    <t>461268448</t>
  </si>
  <si>
    <t>ocn461268448</t>
  </si>
  <si>
    <t>3103132941H</t>
  </si>
  <si>
    <t>9780199577798</t>
  </si>
  <si>
    <t>794791387</t>
  </si>
  <si>
    <t>P281 G68 1974</t>
  </si>
  <si>
    <t>0                      P  0281000G  68          1974</t>
  </si>
  <si>
    <t>Semantics and syntactic regularity [by] Georgia M. Green.</t>
  </si>
  <si>
    <t>Green, Georgia M.</t>
  </si>
  <si>
    <t>Bloomington, Indiana University Press [1974]</t>
  </si>
  <si>
    <t>Studies in the history of linguistics: traditions and paradigms</t>
  </si>
  <si>
    <t>2018-09-16</t>
  </si>
  <si>
    <t>1825392:eng</t>
  </si>
  <si>
    <t>934645</t>
  </si>
  <si>
    <t>ocm00934645</t>
  </si>
  <si>
    <t>31027735993</t>
  </si>
  <si>
    <t>9780253351609</t>
  </si>
  <si>
    <t>791506080</t>
  </si>
  <si>
    <t>3100632280$</t>
  </si>
  <si>
    <t>791506081</t>
  </si>
  <si>
    <t>P281 H35 2002</t>
  </si>
  <si>
    <t>0                      P  0281000H  35          2002</t>
  </si>
  <si>
    <t>Prolegomenon to a theory of argument structure / Ken Hale and Samuel Jay Keyser.</t>
  </si>
  <si>
    <t>Hale, Kenneth L. (Kenneth Locke), 1934-2001.</t>
  </si>
  <si>
    <t>Linguistic inquiry monographs ; 39</t>
  </si>
  <si>
    <t>2018-07-06</t>
  </si>
  <si>
    <t>145066527:eng</t>
  </si>
  <si>
    <t>49351952</t>
  </si>
  <si>
    <t>ocm49351952</t>
  </si>
  <si>
    <t>3102773608I</t>
  </si>
  <si>
    <t>9780262083089</t>
  </si>
  <si>
    <t>793738265</t>
  </si>
  <si>
    <t>P281 H45 1993</t>
  </si>
  <si>
    <t>0                      P  0281000H  45          1993</t>
  </si>
  <si>
    <t>Auxiliaries : cognitive forces and grammaticalization / Bernd Heine.</t>
  </si>
  <si>
    <t>793989757:eng</t>
  </si>
  <si>
    <t>28026339</t>
  </si>
  <si>
    <t>ocm28026339</t>
  </si>
  <si>
    <t>31027735983</t>
  </si>
  <si>
    <t>9780195083873</t>
  </si>
  <si>
    <t>793278185</t>
  </si>
  <si>
    <t>P281 I48 2007</t>
  </si>
  <si>
    <t>0                      P  0281000I  48          2007</t>
  </si>
  <si>
    <t>Imperative clauses in generative grammar : studies in honour of Frits Beukema / edited by Wim van der Wurff.</t>
  </si>
  <si>
    <t>Amsterdam ; Philadelphia : J. Benjamins Pub., ©2007.</t>
  </si>
  <si>
    <t>Linguistik aktuell = Linguistics today, 0166-0829 ; v. 103</t>
  </si>
  <si>
    <t>796519186:eng</t>
  </si>
  <si>
    <t>82172719</t>
  </si>
  <si>
    <t>ocm82172719</t>
  </si>
  <si>
    <t>3102639133T</t>
  </si>
  <si>
    <t>9789027233677</t>
  </si>
  <si>
    <t>794205233</t>
  </si>
  <si>
    <t>P281 J37 2010</t>
  </si>
  <si>
    <t>0                      P  0281000J  37          2010</t>
  </si>
  <si>
    <t>Assertion / Mark Jary.</t>
  </si>
  <si>
    <t>Jary, Mark, 1964-</t>
  </si>
  <si>
    <t>2018-11-04</t>
  </si>
  <si>
    <t>356351120:eng</t>
  </si>
  <si>
    <t>477257365</t>
  </si>
  <si>
    <t>ocn477257365</t>
  </si>
  <si>
    <t>3103230913P</t>
  </si>
  <si>
    <t>9780230573994</t>
  </si>
  <si>
    <t>794798918</t>
  </si>
  <si>
    <t>P281 J38 2014</t>
  </si>
  <si>
    <t>0                      P  0281000J  38          2014</t>
  </si>
  <si>
    <t>Imperatives / Mark Jary and Mikhail Kissine.</t>
  </si>
  <si>
    <t>Jary, Mark, 1964- author.</t>
  </si>
  <si>
    <t>Cambridge : Cambridge University Press, 2014.</t>
  </si>
  <si>
    <t>Key topics in semantics and pragmatics</t>
  </si>
  <si>
    <t>2018-12-02</t>
  </si>
  <si>
    <t>2038016538:eng</t>
  </si>
  <si>
    <t>871343440</t>
  </si>
  <si>
    <t>ocn871343440</t>
  </si>
  <si>
    <t>3103656864S</t>
  </si>
  <si>
    <t>9781107012349</t>
  </si>
  <si>
    <t>794967619</t>
  </si>
  <si>
    <t>P281 K46 1993</t>
  </si>
  <si>
    <t>0                      P  0281000K  46          1993</t>
  </si>
  <si>
    <t>The middle voice / Suzanne Kemmer.</t>
  </si>
  <si>
    <t>Kemmer, Suzanne.</t>
  </si>
  <si>
    <t>Amsterdam ; Philadelphia : J. Benjamins Pub. Co., 1993.</t>
  </si>
  <si>
    <t>Typological studies in language, 0167-7373 ; v. 23</t>
  </si>
  <si>
    <t>142707:eng</t>
  </si>
  <si>
    <t>28549702</t>
  </si>
  <si>
    <t>ocm28549702</t>
  </si>
  <si>
    <t>31027735963</t>
  </si>
  <si>
    <t>9781556194108</t>
  </si>
  <si>
    <t>793290741</t>
  </si>
  <si>
    <t>P281 L35 2005</t>
  </si>
  <si>
    <t>0                      P  0281000L  35          2005</t>
  </si>
  <si>
    <t>The proper treatment of events / Michiel van Lambalgen and Fritz Hamm.</t>
  </si>
  <si>
    <t>Lambalgen, Michiel van, 1954-</t>
  </si>
  <si>
    <t>Explorations in semantics</t>
  </si>
  <si>
    <t>1044704:eng</t>
  </si>
  <si>
    <t>56010933</t>
  </si>
  <si>
    <t>ocm56010933</t>
  </si>
  <si>
    <t>31027735913</t>
  </si>
  <si>
    <t>9781405112130</t>
  </si>
  <si>
    <t>793885697</t>
  </si>
  <si>
    <t>P281 L375 2010</t>
  </si>
  <si>
    <t>0                      P  0281000L  375         2010</t>
  </si>
  <si>
    <t>Layers of aspect / edited by Patricia Cabredo Hoffher &amp; Brenda Laca.</t>
  </si>
  <si>
    <t>Stanford, Calif. : CSLI Publications, Center for the Study of Language and Information, ©2010.</t>
  </si>
  <si>
    <t>345208839:eng</t>
  </si>
  <si>
    <t>460936051</t>
  </si>
  <si>
    <t>ocn460936051</t>
  </si>
  <si>
    <t>3103226327M</t>
  </si>
  <si>
    <t>9781575865973</t>
  </si>
  <si>
    <t>794791304</t>
  </si>
  <si>
    <t>P281 L45 1998</t>
  </si>
  <si>
    <t>0                      P  0281000L  45          1998</t>
  </si>
  <si>
    <t>Lexical perspectives on transitivity and ergativity : causative constructions in English / Maarten Lemmens.</t>
  </si>
  <si>
    <t>Lemmens, Maarten.</t>
  </si>
  <si>
    <t>Amsterdam studies in the theory and history of linguistic science. Series IV, Current issues in linguistic theory, 0304-0763 ; v. 166</t>
  </si>
  <si>
    <t>807331018:eng</t>
  </si>
  <si>
    <t>39508275</t>
  </si>
  <si>
    <t>ocm39508275</t>
  </si>
  <si>
    <t>31027735895</t>
  </si>
  <si>
    <t>9781556198823</t>
  </si>
  <si>
    <t>793547369</t>
  </si>
  <si>
    <t>P281 L478 2005</t>
  </si>
  <si>
    <t>0                      P  0281000L  478         2005</t>
  </si>
  <si>
    <t>Argument realization / Beth Levin, Malka Rappaport Hovav.</t>
  </si>
  <si>
    <t>Levin, Beth, 1955-</t>
  </si>
  <si>
    <t>2018-07-19</t>
  </si>
  <si>
    <t>113711596:eng</t>
  </si>
  <si>
    <t>58555808</t>
  </si>
  <si>
    <t>ocm58555808</t>
  </si>
  <si>
    <t>31025634034</t>
  </si>
  <si>
    <t>9780521663311</t>
  </si>
  <si>
    <t>793922622</t>
  </si>
  <si>
    <t>P281 L48 1995</t>
  </si>
  <si>
    <t>0                      P  0281000L  48          1995</t>
  </si>
  <si>
    <t>Unaccusativity : at the syntax-lexical semantics interface / Beth Levin and Malka Rappaport Hovav.</t>
  </si>
  <si>
    <t>Linguistic inquiry monographs ; 26</t>
  </si>
  <si>
    <t>808888469:eng</t>
  </si>
  <si>
    <t>30436368</t>
  </si>
  <si>
    <t>ocm30436368</t>
  </si>
  <si>
    <t>31027735845</t>
  </si>
  <si>
    <t>9780262121859</t>
  </si>
  <si>
    <t>793335273</t>
  </si>
  <si>
    <t>P281 L54 2009</t>
  </si>
  <si>
    <t>0                      P  0281000L  54          2009</t>
  </si>
  <si>
    <t>The linguistics of eating and drinking / edited by John Newman.</t>
  </si>
  <si>
    <t>Typological studies in language, 0167-7373 ; v. 84</t>
  </si>
  <si>
    <t>1044597095:eng</t>
  </si>
  <si>
    <t>262883761</t>
  </si>
  <si>
    <t>ocn262883761</t>
  </si>
  <si>
    <t>31030841994</t>
  </si>
  <si>
    <t>9789027229984</t>
  </si>
  <si>
    <t>794402473</t>
  </si>
  <si>
    <t>P281 L63 2011</t>
  </si>
  <si>
    <t>0                      P  0281000L  63          2011</t>
  </si>
  <si>
    <t>Complex predicates : the syntax-morphology interface / Leila Lomashvili.</t>
  </si>
  <si>
    <t>Lomashvili, Leila.</t>
  </si>
  <si>
    <t>Linguistik aktuell/linguistics today ; v. 174</t>
  </si>
  <si>
    <t>764124425:eng</t>
  </si>
  <si>
    <t>691928380</t>
  </si>
  <si>
    <t>ocn691928380</t>
  </si>
  <si>
    <t>31033451922</t>
  </si>
  <si>
    <t>9789027255570</t>
  </si>
  <si>
    <t>794855902</t>
  </si>
  <si>
    <t>P281 M53 1998</t>
  </si>
  <si>
    <t>0                      P  0281000M  53          1998</t>
  </si>
  <si>
    <t>Aspectual grammar and past-time reference / Laura A. Michaelis.</t>
  </si>
  <si>
    <t>Michaelis, Laura A., 1964-</t>
  </si>
  <si>
    <t>Routledge studies in Germanic linguistics ; 4</t>
  </si>
  <si>
    <t>541891:eng</t>
  </si>
  <si>
    <t>36739522</t>
  </si>
  <si>
    <t>ocm36739522</t>
  </si>
  <si>
    <t>31027735805</t>
  </si>
  <si>
    <t>9780415156783</t>
  </si>
  <si>
    <t>793483173</t>
  </si>
  <si>
    <t>P281 N37 1989</t>
  </si>
  <si>
    <t>0                      P  0281000N  37          1989</t>
  </si>
  <si>
    <t>Predication theory : a case study for indexing theory / Donna Jo Napoli.</t>
  </si>
  <si>
    <t>Cambridge studies in linguistics ; 50</t>
  </si>
  <si>
    <t>836868883:eng</t>
  </si>
  <si>
    <t>17840979</t>
  </si>
  <si>
    <t>ocm17840979</t>
  </si>
  <si>
    <t>31027735767</t>
  </si>
  <si>
    <t>9780521352987</t>
  </si>
  <si>
    <t>793004787</t>
  </si>
  <si>
    <t>P281 O94 2012</t>
  </si>
  <si>
    <t>0                      P  0281000O  94          2012</t>
  </si>
  <si>
    <t>The Oxford handbook of tense and aspect / edited by Robert I. Binnick.</t>
  </si>
  <si>
    <t>New York : Oxford University Press, ©2012.</t>
  </si>
  <si>
    <t>864833489:eng</t>
  </si>
  <si>
    <t>711643394</t>
  </si>
  <si>
    <t>ocn711643394</t>
  </si>
  <si>
    <t>31036876010</t>
  </si>
  <si>
    <t>9780195381979</t>
  </si>
  <si>
    <t>794871073</t>
  </si>
  <si>
    <t>P281 P73 2011</t>
  </si>
  <si>
    <t>0                      P  0281000P  73          2011</t>
  </si>
  <si>
    <t>Full-verb inversion in written and spoken English / Carlos Prado-Alonso.</t>
  </si>
  <si>
    <t>Prado-Alonso, Carlos.</t>
  </si>
  <si>
    <t>Linguistic insights : studies in language and communication ; v. 127</t>
  </si>
  <si>
    <t>889553002:eng</t>
  </si>
  <si>
    <t>715287024</t>
  </si>
  <si>
    <t>ocn715287024</t>
  </si>
  <si>
    <t>3103342430H</t>
  </si>
  <si>
    <t>9783034305358</t>
  </si>
  <si>
    <t>794873863</t>
  </si>
  <si>
    <t>P281 R673 2009</t>
  </si>
  <si>
    <t>0                      P  0281000R  673         2009</t>
  </si>
  <si>
    <t>The structure of stative verbs / Antonia Rothmayr.</t>
  </si>
  <si>
    <t>Rothmayr, Antonia.</t>
  </si>
  <si>
    <t>Linguistik aktuell = Linguistics today, 0166-0829 ; v. 143</t>
  </si>
  <si>
    <t>189792177:eng</t>
  </si>
  <si>
    <t>310401868</t>
  </si>
  <si>
    <t>ocn310401868</t>
  </si>
  <si>
    <t>3103134843C</t>
  </si>
  <si>
    <t>9789027255266</t>
  </si>
  <si>
    <t>794435489</t>
  </si>
  <si>
    <t>P281 S497 2009</t>
  </si>
  <si>
    <t>0                      P  0281000S  497         2009</t>
  </si>
  <si>
    <t>Syntax within the word : economy, allomorphy, and argument selection in distributed morphology / Daniel Siddiqi.</t>
  </si>
  <si>
    <t>Siddiqi, Daniel.</t>
  </si>
  <si>
    <t>Linguistik aktuell = Linguistics today, 0166-0829 ; v. 138</t>
  </si>
  <si>
    <t>796520811:eng</t>
  </si>
  <si>
    <t>264046817</t>
  </si>
  <si>
    <t>ocn264046817</t>
  </si>
  <si>
    <t>3103084577X</t>
  </si>
  <si>
    <t>9789027255211</t>
  </si>
  <si>
    <t>794404429</t>
  </si>
  <si>
    <t>P281 S57 1991</t>
  </si>
  <si>
    <t>0                      P  0281000S  57          1991</t>
  </si>
  <si>
    <t>The parameter of aspect / Carlota S. Smith.</t>
  </si>
  <si>
    <t>Smith, Carlota S.</t>
  </si>
  <si>
    <t>Dordrecht ; Boston : Kluwer Academic Publishers, ©1991.</t>
  </si>
  <si>
    <t>Studies in linguistics and philosophy ; v. 43</t>
  </si>
  <si>
    <t>607709:eng</t>
  </si>
  <si>
    <t>23016072</t>
  </si>
  <si>
    <t>ocm23016072</t>
  </si>
  <si>
    <t>3102773645A</t>
  </si>
  <si>
    <t>9780792311362</t>
  </si>
  <si>
    <t>793159476</t>
  </si>
  <si>
    <t>P281 S57 1997</t>
  </si>
  <si>
    <t>0                      P  0281000S  57          1997</t>
  </si>
  <si>
    <t>The parameter of aspect / by Carlota S. Smith.</t>
  </si>
  <si>
    <t>37107079</t>
  </si>
  <si>
    <t>ocm37107079</t>
  </si>
  <si>
    <t>3102773640A</t>
  </si>
  <si>
    <t>9780792346579</t>
  </si>
  <si>
    <t>793490877</t>
  </si>
  <si>
    <t>P281 T34 2012</t>
  </si>
  <si>
    <t>0                      P  0281000T  34          2012</t>
  </si>
  <si>
    <t>Telicity, change, and state : a cross-categorial view of event structure / edited by Violeta Demonte and Louise McNally.</t>
  </si>
  <si>
    <t>1101309520:eng</t>
  </si>
  <si>
    <t>769989447</t>
  </si>
  <si>
    <t>ocn769989447</t>
  </si>
  <si>
    <t>31034229640</t>
  </si>
  <si>
    <t>9780199693498</t>
  </si>
  <si>
    <t>794903791</t>
  </si>
  <si>
    <t>P281 T374 1994</t>
  </si>
  <si>
    <t>0                      P  0281000T  374         1994</t>
  </si>
  <si>
    <t>Aspectual roles and the syntax-semantics interface / by Carol L. Tenny.</t>
  </si>
  <si>
    <t>Tenny, Carol.</t>
  </si>
  <si>
    <t>Dordrecht ; Boston : Kluwer Academic, ©1994.</t>
  </si>
  <si>
    <t>Studies in linguistics and philosophy ; v. 52</t>
  </si>
  <si>
    <t>32275984:eng</t>
  </si>
  <si>
    <t>30319341</t>
  </si>
  <si>
    <t>ocm30319341</t>
  </si>
  <si>
    <t>31013385556</t>
  </si>
  <si>
    <t>9780792328636</t>
  </si>
  <si>
    <t>793332340</t>
  </si>
  <si>
    <t>P281 T375 1994</t>
  </si>
  <si>
    <t>0                      P  0281000T  375         1994</t>
  </si>
  <si>
    <t>Tense and aspect in discourse / edited by Co Vet, Carl Vetters.</t>
  </si>
  <si>
    <t>Berlin ; New York : M. de Gruyter, 1994.</t>
  </si>
  <si>
    <t>Trends in linguistics. Studies and monographs ; 75</t>
  </si>
  <si>
    <t>350024865:eng</t>
  </si>
  <si>
    <t>30399307</t>
  </si>
  <si>
    <t>ocm30399307</t>
  </si>
  <si>
    <t>3102773644A</t>
  </si>
  <si>
    <t>9783110138139</t>
  </si>
  <si>
    <t>793334633</t>
  </si>
  <si>
    <t>P281 T45 2008</t>
  </si>
  <si>
    <t>0                      P  0281000T  45          2008</t>
  </si>
  <si>
    <t>Time and modality / edited by Jacqueline Guéron and Jacqueline Lecarme.</t>
  </si>
  <si>
    <t>[Dordrecht] ; [London?] : Springer, 2008.</t>
  </si>
  <si>
    <t>Studies in natural language and linguistic theory ; 75</t>
  </si>
  <si>
    <t>1042308416:eng</t>
  </si>
  <si>
    <t>227276722</t>
  </si>
  <si>
    <t>ocn227276722</t>
  </si>
  <si>
    <t>3103057230G</t>
  </si>
  <si>
    <t>9781402083532</t>
  </si>
  <si>
    <t>794347565</t>
  </si>
  <si>
    <t>P281 T66 2010</t>
  </si>
  <si>
    <t>0                      P  0281000T  66          2010</t>
  </si>
  <si>
    <t>Inner aspect : the articulation of VP / by Lisa deMena Travis.</t>
  </si>
  <si>
    <t>Travis, Lisa deMena.</t>
  </si>
  <si>
    <t>Studies in natural language and linguistic theory ; v. 80</t>
  </si>
  <si>
    <t>793857347:eng</t>
  </si>
  <si>
    <t>495781259</t>
  </si>
  <si>
    <t>ocn495781259</t>
  </si>
  <si>
    <t>31037934316</t>
  </si>
  <si>
    <t>9789048185498</t>
  </si>
  <si>
    <t>794802019</t>
  </si>
  <si>
    <t>P281 Z4 2001</t>
  </si>
  <si>
    <t>0                      P  0281000Z  4           2001</t>
  </si>
  <si>
    <t>Particle verbs and local domains / Jochen Zeller.</t>
  </si>
  <si>
    <t>Zeller, Jochen.</t>
  </si>
  <si>
    <t>Amsterdam ; Philadelphia, PA : J. Benjamins, ©2001.</t>
  </si>
  <si>
    <t>Linguistik aktuell = Linguistics today, 0166-0829 ; v. 41</t>
  </si>
  <si>
    <t>5613404628:eng</t>
  </si>
  <si>
    <t>45654966</t>
  </si>
  <si>
    <t>ocm45654966</t>
  </si>
  <si>
    <t>3102773637C</t>
  </si>
  <si>
    <t>9781588110367</t>
  </si>
  <si>
    <t>793675696</t>
  </si>
  <si>
    <t>P283 D55 1995</t>
  </si>
  <si>
    <t>0                      P  0283000D  55          1995</t>
  </si>
  <si>
    <t>Particles : on the syntax of verb-particle, triadic, and causative constructions / Marcel den Dikken.</t>
  </si>
  <si>
    <t>New York : Oxford University Press, 1995.</t>
  </si>
  <si>
    <t>801945471:eng</t>
  </si>
  <si>
    <t>31411193</t>
  </si>
  <si>
    <t>ocm31411193</t>
  </si>
  <si>
    <t>3102773632C</t>
  </si>
  <si>
    <t>9780195091342</t>
  </si>
  <si>
    <t>793360603</t>
  </si>
  <si>
    <t>P283 E97 2011</t>
  </si>
  <si>
    <t>0                      P  0283000E  97          2011</t>
  </si>
  <si>
    <t>Expecting the unexpected : exceptions in grammar / edited by Horst J. Simon, Heike Wiese.</t>
  </si>
  <si>
    <t>Trends in linguistics. Studies and monographs, 1861-4302 ; 216</t>
  </si>
  <si>
    <t>319704471:eng</t>
  </si>
  <si>
    <t>432990846</t>
  </si>
  <si>
    <t>ocn432990846</t>
  </si>
  <si>
    <t>3103343339G</t>
  </si>
  <si>
    <t>9783110219081</t>
  </si>
  <si>
    <t>794782146</t>
  </si>
  <si>
    <t>P283 F56 2015</t>
  </si>
  <si>
    <t>0                      P  0283000F  56          2015</t>
  </si>
  <si>
    <t>Final particles / edited by Sylvie Hancil, Alexander Haselow, Margje Post.</t>
  </si>
  <si>
    <t>Berlin : De Gruyter Mouton, [2015]</t>
  </si>
  <si>
    <t>Trends in Linguistics. Studies and monographs, 1861-4302 ; volume 284</t>
  </si>
  <si>
    <t>2016-01-29</t>
  </si>
  <si>
    <t>5219100839:eng</t>
  </si>
  <si>
    <t>907526529</t>
  </si>
  <si>
    <t>ocn907526529</t>
  </si>
  <si>
    <t>3103609701Y</t>
  </si>
  <si>
    <t>9783110353808</t>
  </si>
  <si>
    <t>794993522</t>
  </si>
  <si>
    <t>P283 K66 1991</t>
  </si>
  <si>
    <t>0                      P  0283000K  66          1991</t>
  </si>
  <si>
    <t>The meaning of focus particles : a comparative perspective / Ekkehard König.</t>
  </si>
  <si>
    <t>König, Ekkehard.</t>
  </si>
  <si>
    <t>795612754:eng</t>
  </si>
  <si>
    <t>23213440</t>
  </si>
  <si>
    <t>ocm23213440</t>
  </si>
  <si>
    <t>3102773627E</t>
  </si>
  <si>
    <t>9780415060448</t>
  </si>
  <si>
    <t>793164570</t>
  </si>
  <si>
    <t>P283 M67 1998</t>
  </si>
  <si>
    <t>0                      P  0283000M  67          1998</t>
  </si>
  <si>
    <t>The function of discourse particles : a study with special reference to spoken standard French / Maj-Britt Mosegaard Hansen.</t>
  </si>
  <si>
    <t>Mosegaard Hansen, Maj-Britt.</t>
  </si>
  <si>
    <t>Pragmatics &amp; beyond, 0922-842X ; new ser. 53</t>
  </si>
  <si>
    <t>2015-06-04</t>
  </si>
  <si>
    <t>806781616:eng</t>
  </si>
  <si>
    <t>38024060</t>
  </si>
  <si>
    <t>ocm38024060</t>
  </si>
  <si>
    <t>3102773622E</t>
  </si>
  <si>
    <t>9789027250667</t>
  </si>
  <si>
    <t>793513150</t>
  </si>
  <si>
    <t>P283 V47 2002</t>
  </si>
  <si>
    <t>0                      P  0283000V  47          2002</t>
  </si>
  <si>
    <t>Verb-particle explorations / edited by Nicole Dehé [and others].</t>
  </si>
  <si>
    <t>Interface explorations ; 1</t>
  </si>
  <si>
    <t>960271:eng</t>
  </si>
  <si>
    <t>50554258</t>
  </si>
  <si>
    <t>ocm50554258</t>
  </si>
  <si>
    <t>3102773617G</t>
  </si>
  <si>
    <t>9783110172287</t>
  </si>
  <si>
    <t>793767368</t>
  </si>
  <si>
    <t>P284 A34 2004</t>
  </si>
  <si>
    <t>0                      P  0284000A  34          2004</t>
  </si>
  <si>
    <t>Adverbials : the interplay between meaning, context, and syntactic structure / edited by Jennifer R. Austin, Stefan Engelberg, Gisa Rauh.</t>
  </si>
  <si>
    <t>Linguistik aktuell = Linguistics today, 0166-0829 ; v. 70</t>
  </si>
  <si>
    <t>793926292:eng</t>
  </si>
  <si>
    <t>55286760</t>
  </si>
  <si>
    <t>ocm55286760</t>
  </si>
  <si>
    <t>3102773706F</t>
  </si>
  <si>
    <t>9789027227942</t>
  </si>
  <si>
    <t>793876636</t>
  </si>
  <si>
    <t>P284 A38 2013</t>
  </si>
  <si>
    <t>0                      P  0284000A  38          2013</t>
  </si>
  <si>
    <t>Los adverbios con función discursiva : procesos de formación y evolución / María Pilar Garcés Gómez (ed.).</t>
  </si>
  <si>
    <t>Madrid : Iberoamericana ; Frankfurt am Main : Vervuert, 2013.</t>
  </si>
  <si>
    <t>Lingüística iberoamericana ; v. 57</t>
  </si>
  <si>
    <t>1783364670:spa</t>
  </si>
  <si>
    <t>873936178</t>
  </si>
  <si>
    <t>ocn873936178</t>
  </si>
  <si>
    <t>3103552524$</t>
  </si>
  <si>
    <t>9788484897781</t>
  </si>
  <si>
    <t>794968599</t>
  </si>
  <si>
    <t>P284 A44 1997</t>
  </si>
  <si>
    <t>0                      P  0284000A  44          1997</t>
  </si>
  <si>
    <t>Adverb placement : a case study in antisymmetric syntax / Artemis Alexiadou.</t>
  </si>
  <si>
    <t>Alexiadou, Artemis.</t>
  </si>
  <si>
    <t>Linguistik aktuell = Linguistics today, 0166-0829 ; 18</t>
  </si>
  <si>
    <t>837012340:eng</t>
  </si>
  <si>
    <t>37792483</t>
  </si>
  <si>
    <t>ocm37792483</t>
  </si>
  <si>
    <t>3102773701F</t>
  </si>
  <si>
    <t>9781556199028</t>
  </si>
  <si>
    <t>793507141</t>
  </si>
  <si>
    <t>P284 B57 2011</t>
  </si>
  <si>
    <t>0                      P  0284000B  57          2011</t>
  </si>
  <si>
    <t>Adverbials and the phase model / Petr Biskup.</t>
  </si>
  <si>
    <t>Biskup, Petr.</t>
  </si>
  <si>
    <t>Linguistik aktuell/linguistics today ; vol. 177</t>
  </si>
  <si>
    <t>773553017:eng</t>
  </si>
  <si>
    <t>699010229</t>
  </si>
  <si>
    <t>ocn699010229</t>
  </si>
  <si>
    <t>3103365094W</t>
  </si>
  <si>
    <t>9789027255600</t>
  </si>
  <si>
    <t>794861333</t>
  </si>
  <si>
    <t>P284 C56 1999</t>
  </si>
  <si>
    <t>0                      P  0284000C  56          1999</t>
  </si>
  <si>
    <t>Adverbs and functional heads : a cross-linguistic perspective / Guglielmo Cinque.</t>
  </si>
  <si>
    <t>793991044:eng</t>
  </si>
  <si>
    <t>38989868</t>
  </si>
  <si>
    <t>ocm38989868</t>
  </si>
  <si>
    <t>31027736862</t>
  </si>
  <si>
    <t>9780195115260</t>
  </si>
  <si>
    <t>793535029</t>
  </si>
  <si>
    <t>P284 H48 2015</t>
  </si>
  <si>
    <t>0                      P  0284000H  48          2015</t>
  </si>
  <si>
    <t>Adverbial clauses in cross-linguistic perspective / Katja Hetterle.</t>
  </si>
  <si>
    <t>Hetterle, Katja, 1982- author.</t>
  </si>
  <si>
    <t>Trends in Linguistics Studies and Monographs, 1861-4302 ; volume 289</t>
  </si>
  <si>
    <t>2224581571:eng</t>
  </si>
  <si>
    <t>910596115</t>
  </si>
  <si>
    <t>ocn910596115</t>
  </si>
  <si>
    <t>3103609168Q</t>
  </si>
  <si>
    <t>9783110342604</t>
  </si>
  <si>
    <t>794996330</t>
  </si>
  <si>
    <t>P284 S78 2013</t>
  </si>
  <si>
    <t>0                      P  0284000S  78          2013</t>
  </si>
  <si>
    <t>Studies in the composition and decompostion of event predicates / Boban Arsenijević, Berit Gehrke, Rafael Marín, editors.</t>
  </si>
  <si>
    <t>Dordrecht ; New York : Springer, 2013.</t>
  </si>
  <si>
    <t>Studies in Linguistics and Philosophy ; v. 93</t>
  </si>
  <si>
    <t>1433517836:eng</t>
  </si>
  <si>
    <t>816512636</t>
  </si>
  <si>
    <t>ocn816512636</t>
  </si>
  <si>
    <t>3103442348C</t>
  </si>
  <si>
    <t>9789400759824</t>
  </si>
  <si>
    <t>794933167</t>
  </si>
  <si>
    <t>P285 H34 2010</t>
  </si>
  <si>
    <t>0                      P  0285000H  34          2010</t>
  </si>
  <si>
    <t>Adpositions / Claude Hagège.</t>
  </si>
  <si>
    <t>321974469:eng</t>
  </si>
  <si>
    <t>641996445</t>
  </si>
  <si>
    <t>ocn641996445</t>
  </si>
  <si>
    <t>3103133512V</t>
  </si>
  <si>
    <t>9780199575008</t>
  </si>
  <si>
    <t>794827816</t>
  </si>
  <si>
    <t>P285 J6 1991</t>
  </si>
  <si>
    <t>0                      P  0285000J  6           1991</t>
  </si>
  <si>
    <t>Prepositional analysis within the framework of role and reference grammar / Julia Jolly.</t>
  </si>
  <si>
    <t>Jolly, Julia, 1947-</t>
  </si>
  <si>
    <t>New York : P. Lang, ©1991.</t>
  </si>
  <si>
    <t>American University studies. Series XIII, Linguistics, 0740-4557 ; vol. 14</t>
  </si>
  <si>
    <t>21766073:eng</t>
  </si>
  <si>
    <t>19888445</t>
  </si>
  <si>
    <t>ocm19888445</t>
  </si>
  <si>
    <t>3102773704F</t>
  </si>
  <si>
    <t>9780820409986</t>
  </si>
  <si>
    <t>793071555</t>
  </si>
  <si>
    <t>P285 M37 2010</t>
  </si>
  <si>
    <t>0                      P  0285000M  37          2010</t>
  </si>
  <si>
    <t>Mapping spatial PPs / edited by Guglielmo Cinque and Luigi Rizzi.</t>
  </si>
  <si>
    <t>The cartography of syntactic structures ; v. 6</t>
  </si>
  <si>
    <t>2011-03-26</t>
  </si>
  <si>
    <t>364195543:eng</t>
  </si>
  <si>
    <t>429750192</t>
  </si>
  <si>
    <t>ocn429750192</t>
  </si>
  <si>
    <t>31032410078</t>
  </si>
  <si>
    <t>9780195393675</t>
  </si>
  <si>
    <t>794780337</t>
  </si>
  <si>
    <t>P285 S97 2008</t>
  </si>
  <si>
    <t>0                      P  0285000S  97          2008</t>
  </si>
  <si>
    <t>Syntax and semantics of spatial P / edited by Anna Asbury [and others].</t>
  </si>
  <si>
    <t>Amsterdam ; Philadelphia : J. Benjamins Pub. Co., ©2008.</t>
  </si>
  <si>
    <t>Linguistik aktuell/Linguistics today, 0166-0829 ; v. 120</t>
  </si>
  <si>
    <t>1011505395:eng</t>
  </si>
  <si>
    <t>187300237</t>
  </si>
  <si>
    <t>ocn187300237</t>
  </si>
  <si>
    <t>3102884480U</t>
  </si>
  <si>
    <t>9789027255037</t>
  </si>
  <si>
    <t>794293066</t>
  </si>
  <si>
    <t>P287 F74 2014</t>
  </si>
  <si>
    <t>0                      P  0287000F  74          2014</t>
  </si>
  <si>
    <t>Frequency, forms and functions of cleft constructions in Romance and Germanic : contrastive, corpus-based studies / edited by Anna-Maria De Cesare.</t>
  </si>
  <si>
    <t>Trends in Linguistics. Studies and monographs ; 281</t>
  </si>
  <si>
    <t>2206636898:eng</t>
  </si>
  <si>
    <t>894670646</t>
  </si>
  <si>
    <t>ocn894670646</t>
  </si>
  <si>
    <t>3103582668A</t>
  </si>
  <si>
    <t>9783110361070</t>
  </si>
  <si>
    <t>794982944</t>
  </si>
  <si>
    <t>P288 M68 2010</t>
  </si>
  <si>
    <t>0                      P  0288000M  68          2010</t>
  </si>
  <si>
    <t>Movement and clitics : adult and child grammar / edited by Vicenç Torrens [and others].</t>
  </si>
  <si>
    <t>565380261:eng</t>
  </si>
  <si>
    <t>551122670</t>
  </si>
  <si>
    <t>ocn551122670</t>
  </si>
  <si>
    <t>3103134217$</t>
  </si>
  <si>
    <t>9781443818476</t>
  </si>
  <si>
    <t>794811554</t>
  </si>
  <si>
    <t>P288 S64 2012</t>
  </si>
  <si>
    <t>0                      P  0288000S  64          2012</t>
  </si>
  <si>
    <t>Clitics : an introduction / Andrew Spencer, Ana R. Luis.</t>
  </si>
  <si>
    <t>1098080001:eng</t>
  </si>
  <si>
    <t>782992263</t>
  </si>
  <si>
    <t>ocn782992263</t>
  </si>
  <si>
    <t>3103432273E</t>
  </si>
  <si>
    <t>9780521864282</t>
  </si>
  <si>
    <t>794913756</t>
  </si>
  <si>
    <t>P290 F45 2010</t>
  </si>
  <si>
    <t>0                      P  0290000F  45          2010</t>
  </si>
  <si>
    <t>A resource-light approach to morpho-syntactic tagging / Anna Feldman and Jirka Hana.</t>
  </si>
  <si>
    <t>Feldman, Anna.</t>
  </si>
  <si>
    <t>Language and computers ; no. 70</t>
  </si>
  <si>
    <t>371362217:eng</t>
  </si>
  <si>
    <t>497573700</t>
  </si>
  <si>
    <t>ocn497573700</t>
  </si>
  <si>
    <t>3103226604H</t>
  </si>
  <si>
    <t>9789042027688</t>
  </si>
  <si>
    <t>794802996</t>
  </si>
  <si>
    <t>P290 L67 2012</t>
  </si>
  <si>
    <t>0                      P  0290000L  67          2012</t>
  </si>
  <si>
    <t>Morphosyntactic change : a comparative study of particles and prefixes / Bettelou, Los [and others].</t>
  </si>
  <si>
    <t>Los, Bettelou.</t>
  </si>
  <si>
    <t>Cambridge studies in linguistics ; 134</t>
  </si>
  <si>
    <t>1086712417:eng</t>
  </si>
  <si>
    <t>779607209</t>
  </si>
  <si>
    <t>ocn779607209</t>
  </si>
  <si>
    <t>3103422468F</t>
  </si>
  <si>
    <t>9781107012639</t>
  </si>
  <si>
    <t>794911119</t>
  </si>
  <si>
    <t>P291 A48 2003</t>
  </si>
  <si>
    <t>0                      P  0291000A  48          2003</t>
  </si>
  <si>
    <t>The syntax of ditransitives : evidence from clitics / by Elena Anagnostopoulou.</t>
  </si>
  <si>
    <t>Anagnostopoulou, Elena, author</t>
  </si>
  <si>
    <t>Berlin ; New York : M. de Gruyter, 2003.</t>
  </si>
  <si>
    <t>Studies in generative grammar ; 54</t>
  </si>
  <si>
    <t>1072525:eng</t>
  </si>
  <si>
    <t>50638712</t>
  </si>
  <si>
    <t>ocm50638712</t>
  </si>
  <si>
    <t>31027736970</t>
  </si>
  <si>
    <t>9783110170283</t>
  </si>
  <si>
    <t>793769326</t>
  </si>
  <si>
    <t>P291 A5</t>
  </si>
  <si>
    <t>0                      P  0291000A  5</t>
  </si>
  <si>
    <t>The grammar of case : towards a localistic theory / [by] John M. Anderson.</t>
  </si>
  <si>
    <t>Cambridge [England] ; New York, NY, USA : Cambridge University Press, ©1971.</t>
  </si>
  <si>
    <t>Cambridge studies in linguistics ; 4</t>
  </si>
  <si>
    <t>1097455634:eng</t>
  </si>
  <si>
    <t>159250</t>
  </si>
  <si>
    <t>ocm00159250</t>
  </si>
  <si>
    <t>31027736920</t>
  </si>
  <si>
    <t>9780521080354</t>
  </si>
  <si>
    <t>791275845</t>
  </si>
  <si>
    <t>P291 A74 2010</t>
  </si>
  <si>
    <t>0                      P  0291000A  74          2010</t>
  </si>
  <si>
    <t>Argument structure and syntactic relations : a cross-linguistic perspective / edited by Maia Duguine, Susana Huidobro, Nerea Madariaga.</t>
  </si>
  <si>
    <t>Amsterdam ; Philadelphia, Pa. : John Benjamins Pub. Company, ©2010.</t>
  </si>
  <si>
    <t>Linguistik aktuell/Linguistics today, 0166-0829 ; v. 158</t>
  </si>
  <si>
    <t>2011-01-27</t>
  </si>
  <si>
    <t>888317918:eng</t>
  </si>
  <si>
    <t>553371016</t>
  </si>
  <si>
    <t>ocn553371016</t>
  </si>
  <si>
    <t>31032297032</t>
  </si>
  <si>
    <t>9789027255419</t>
  </si>
  <si>
    <t>794811917</t>
  </si>
  <si>
    <t>P291 B293 1996</t>
  </si>
  <si>
    <t>0                      P  0291000B  293         1996</t>
  </si>
  <si>
    <t>The polysynthesis parameter / Mark C. Baker.</t>
  </si>
  <si>
    <t>33451304:eng</t>
  </si>
  <si>
    <t>31045692</t>
  </si>
  <si>
    <t>ocm31045692</t>
  </si>
  <si>
    <t>31027737467</t>
  </si>
  <si>
    <t>9780195093070</t>
  </si>
  <si>
    <t>793352262</t>
  </si>
  <si>
    <t>P291 B59 2006</t>
  </si>
  <si>
    <t>0                      P  0291000B  59          2006</t>
  </si>
  <si>
    <t>The Blackwell companion to syntax / edited by Martin Everaert and Henk van Riemsdijk ; with editorial assistance from Rob Goedemans and Bart Hollebrandse.</t>
  </si>
  <si>
    <t>Malden, MA, USA : Blackwell Pub., 2006.</t>
  </si>
  <si>
    <t>Blackwell handbooks in linguistics ; 19</t>
  </si>
  <si>
    <t>2008-10-07</t>
  </si>
  <si>
    <t>3373632225:eng</t>
  </si>
  <si>
    <t>61529829</t>
  </si>
  <si>
    <t>ocm61529829</t>
  </si>
  <si>
    <t>3102605780W</t>
  </si>
  <si>
    <t>9781405114851</t>
  </si>
  <si>
    <t>793961339</t>
  </si>
  <si>
    <t>2009-06-30</t>
  </si>
  <si>
    <t>3102605775Y</t>
  </si>
  <si>
    <t>793961340</t>
  </si>
  <si>
    <t>3102605790U</t>
  </si>
  <si>
    <t>793961337</t>
  </si>
  <si>
    <t>(v.4 + CD-ROM)</t>
  </si>
  <si>
    <t>2007-12-12</t>
  </si>
  <si>
    <t>3102605795U</t>
  </si>
  <si>
    <t>793961338</t>
  </si>
  <si>
    <t>3102605770Y</t>
  </si>
  <si>
    <t>793961341</t>
  </si>
  <si>
    <t>P291 B59 2013</t>
  </si>
  <si>
    <t>0                      P  0291000B  59          2013</t>
  </si>
  <si>
    <t>The Bloomsbury companion to syntax / edited by Silvia Luraghi and Claudia Parodi.</t>
  </si>
  <si>
    <t>London ; New York, NY : Bloomsbury Academic, an imprint of Bloomsbury Publishing Plc, 2013.</t>
  </si>
  <si>
    <t>Bloomsbury companions</t>
  </si>
  <si>
    <t>1169156132:eng</t>
  </si>
  <si>
    <t>606767042</t>
  </si>
  <si>
    <t>ocn606767042</t>
  </si>
  <si>
    <t>3103456193O</t>
  </si>
  <si>
    <t>9781441124609</t>
  </si>
  <si>
    <t>794817158</t>
  </si>
  <si>
    <t>P291 B612 1981</t>
  </si>
  <si>
    <t>0                      P  0291000B  612         1981</t>
  </si>
  <si>
    <t>Binding and filtering / edited by Frank Heny.</t>
  </si>
  <si>
    <t>London : Croom Helm, ©1981.</t>
  </si>
  <si>
    <t>Croom Helm linguistics series</t>
  </si>
  <si>
    <t>54478832:eng</t>
  </si>
  <si>
    <t>8119646</t>
  </si>
  <si>
    <t>ocm08119646</t>
  </si>
  <si>
    <t>31027737319</t>
  </si>
  <si>
    <t>9780709903864</t>
  </si>
  <si>
    <t>792600136</t>
  </si>
  <si>
    <t>P291 B628 2009</t>
  </si>
  <si>
    <t>0                      P  0291000B  628         2009</t>
  </si>
  <si>
    <t>Fundamentos de sintaxis formal / Ignacio Bosque, Javier Gutiérrez- Rexach.</t>
  </si>
  <si>
    <t>Bosque, Ignacio, author.</t>
  </si>
  <si>
    <t>Madrid : Akal, 2016.</t>
  </si>
  <si>
    <t>Lingüística</t>
  </si>
  <si>
    <t>189913416:spa</t>
  </si>
  <si>
    <t>310617590</t>
  </si>
  <si>
    <t>ocn310617590</t>
  </si>
  <si>
    <t>3103423405N</t>
  </si>
  <si>
    <t>9788446022275</t>
  </si>
  <si>
    <t>794435635</t>
  </si>
  <si>
    <t>P291 B647 2012</t>
  </si>
  <si>
    <t>0                      P  0291000B  647         2012</t>
  </si>
  <si>
    <t>Syntactic islands / Cedric Boeckx.</t>
  </si>
  <si>
    <t>Key topics in syntax</t>
  </si>
  <si>
    <t>2018-10-07</t>
  </si>
  <si>
    <t>1075000238:eng</t>
  </si>
  <si>
    <t>773495314</t>
  </si>
  <si>
    <t>ocn773495314</t>
  </si>
  <si>
    <t>3103432056O</t>
  </si>
  <si>
    <t>9780521191463</t>
  </si>
  <si>
    <t>794905737</t>
  </si>
  <si>
    <t>P291 B673 2009</t>
  </si>
  <si>
    <t>0                      P  0291000B  673         2009</t>
  </si>
  <si>
    <t>Processing syntax and morphology : a neurocognitive perspective / Ina Bornkessel-Schlesewsky and Matthias Schlesewsky.</t>
  </si>
  <si>
    <t>Bornkessel-Schlesewsky, Ina, 1979-</t>
  </si>
  <si>
    <t>796717562:eng</t>
  </si>
  <si>
    <t>317473146</t>
  </si>
  <si>
    <t>ocn317473146</t>
  </si>
  <si>
    <t>3102859455V</t>
  </si>
  <si>
    <t>9780199207817</t>
  </si>
  <si>
    <t>794453889</t>
  </si>
  <si>
    <t>P291 B69 2011</t>
  </si>
  <si>
    <t>0                      P  0291000B  69          2011</t>
  </si>
  <si>
    <t>Provocative syntax / Phil Branigan.</t>
  </si>
  <si>
    <t>Branigan, Phil.</t>
  </si>
  <si>
    <t>Cambridge, Mass. : MIT Press, ©2011.</t>
  </si>
  <si>
    <t>Linguistic inquiry monographs ; 61</t>
  </si>
  <si>
    <t>476604235:eng</t>
  </si>
  <si>
    <t>607656824</t>
  </si>
  <si>
    <t>ocn607656824</t>
  </si>
  <si>
    <t>3103313853C</t>
  </si>
  <si>
    <t>9780262014991</t>
  </si>
  <si>
    <t>794818391</t>
  </si>
  <si>
    <t>P291 B73 1995</t>
  </si>
  <si>
    <t>0                      P  0291000B  73          1995</t>
  </si>
  <si>
    <t>Lexico-logical form : a radically minimalist theory / Michael Brody.</t>
  </si>
  <si>
    <t>Brody, Michael, 1954-</t>
  </si>
  <si>
    <t>Linguistic inquiry monographs ; 27</t>
  </si>
  <si>
    <t>836895934:eng</t>
  </si>
  <si>
    <t>32240053</t>
  </si>
  <si>
    <t>ocm32240053</t>
  </si>
  <si>
    <t>31027737407</t>
  </si>
  <si>
    <t>9780262023900</t>
  </si>
  <si>
    <t>793378967</t>
  </si>
  <si>
    <t>P291 B754 2003</t>
  </si>
  <si>
    <t>0                      P  0291000B  754         2003</t>
  </si>
  <si>
    <t>Towards an elegant syntax / Michael Brody.</t>
  </si>
  <si>
    <t>Routledge leading linguists ; 10</t>
  </si>
  <si>
    <t>693956:eng</t>
  </si>
  <si>
    <t>51022956</t>
  </si>
  <si>
    <t>ocm51022956</t>
  </si>
  <si>
    <t>31027737309</t>
  </si>
  <si>
    <t>9780415299596</t>
  </si>
  <si>
    <t>793777120</t>
  </si>
  <si>
    <t>P291 C326 2013</t>
  </si>
  <si>
    <t>0                      P  0291000C  326         2013</t>
  </si>
  <si>
    <t>The Cambridge handbook of generative syntax / edited by Marcel den Dikken.</t>
  </si>
  <si>
    <t>1167164127:eng</t>
  </si>
  <si>
    <t>809558703</t>
  </si>
  <si>
    <t>ocn809558703</t>
  </si>
  <si>
    <t>3103501540O</t>
  </si>
  <si>
    <t>9780521769860</t>
  </si>
  <si>
    <t>794928518</t>
  </si>
  <si>
    <t>P291 C4</t>
  </si>
  <si>
    <t>0                      P  0291000C  4</t>
  </si>
  <si>
    <t>Aspects of the theory of syntax / Noam Chomsky.</t>
  </si>
  <si>
    <t>Cambridge : M.I.T. Press, ©1965.</t>
  </si>
  <si>
    <t>Massachusetts Institute of Technology. Research Laboratory of Electronics. Special technical report ; no. 11</t>
  </si>
  <si>
    <t>422382:eng</t>
  </si>
  <si>
    <t>309976</t>
  </si>
  <si>
    <t>ocm00309976</t>
  </si>
  <si>
    <t>3103143174Q</t>
  </si>
  <si>
    <t>9780262530071</t>
  </si>
  <si>
    <t>791332184</t>
  </si>
  <si>
    <t>30009730197</t>
  </si>
  <si>
    <t>791332188</t>
  </si>
  <si>
    <t>3000993132$</t>
  </si>
  <si>
    <t>791332189</t>
  </si>
  <si>
    <t>31027737339</t>
  </si>
  <si>
    <t>791332186</t>
  </si>
  <si>
    <t>3000168545N</t>
  </si>
  <si>
    <t>791332185</t>
  </si>
  <si>
    <t>P291 C43 A14 2015</t>
  </si>
  <si>
    <t>0                      P  0291000C  43                 A  14          2015</t>
  </si>
  <si>
    <t>50 years later : reflections on Chomsky's Aspects / edited by Ángel J. Gallego and Dennis Ott.</t>
  </si>
  <si>
    <t>[Cambridge, Massachusetts] : MIT Working Papers in Linguistics, [2015]</t>
  </si>
  <si>
    <t>MIT working papers in linguistics ; 77</t>
  </si>
  <si>
    <t>2747962188:eng</t>
  </si>
  <si>
    <t>922383276</t>
  </si>
  <si>
    <t>ocn922383276</t>
  </si>
  <si>
    <t>31036084998</t>
  </si>
  <si>
    <t>795003842</t>
  </si>
  <si>
    <t>P291 C455 2001</t>
  </si>
  <si>
    <t>0                      P  0291000C  455         2001</t>
  </si>
  <si>
    <t>Beyond explanatory adequacy / by Noam Chomsky. &amp; Eliminating labels / by Chris Collins.</t>
  </si>
  <si>
    <t>Cambridge, MA : MITWPL, 2001.</t>
  </si>
  <si>
    <t>MIT occasional papers in linguistics ; no. 20</t>
  </si>
  <si>
    <t>37110955:eng</t>
  </si>
  <si>
    <t>48506475</t>
  </si>
  <si>
    <t>ocm48506475</t>
  </si>
  <si>
    <t>3103507785N</t>
  </si>
  <si>
    <t>793722754</t>
  </si>
  <si>
    <t>P291 C48</t>
  </si>
  <si>
    <t>0                      P  0291000C  48</t>
  </si>
  <si>
    <t>Syntactic structures / by Noam Chomsky.</t>
  </si>
  <si>
    <t>The Hague : Mouton, ©1957.</t>
  </si>
  <si>
    <t>Janua linguarum : Series minor ; nr. 4</t>
  </si>
  <si>
    <t>960275:eng</t>
  </si>
  <si>
    <t>308125</t>
  </si>
  <si>
    <t>ocm00308125</t>
  </si>
  <si>
    <t>31027737349</t>
  </si>
  <si>
    <t>9789027933850</t>
  </si>
  <si>
    <t>791331578</t>
  </si>
  <si>
    <t>3102773714D</t>
  </si>
  <si>
    <t>791331579</t>
  </si>
  <si>
    <t>3102773709F</t>
  </si>
  <si>
    <t>791331577</t>
  </si>
  <si>
    <t>2003-11-24</t>
  </si>
  <si>
    <t>3100632294P</t>
  </si>
  <si>
    <t>791331576</t>
  </si>
  <si>
    <t>3000991317Y</t>
  </si>
  <si>
    <t>791331575</t>
  </si>
  <si>
    <t>P291 C48 1966</t>
  </si>
  <si>
    <t>0                      P  0291000C  48          1966</t>
  </si>
  <si>
    <t>Syntactic structures.</t>
  </si>
  <si>
    <t>The Hague, Mouton, 1966.</t>
  </si>
  <si>
    <t>Janua linguarum, nr. 4</t>
  </si>
  <si>
    <t>2008-04-14</t>
  </si>
  <si>
    <t>1513171</t>
  </si>
  <si>
    <t>ocm01513171</t>
  </si>
  <si>
    <t>3102773729B</t>
  </si>
  <si>
    <t>791677786</t>
  </si>
  <si>
    <t>3102773719D</t>
  </si>
  <si>
    <t>791677787</t>
  </si>
  <si>
    <t>2002-03-07</t>
  </si>
  <si>
    <t>3000242319U</t>
  </si>
  <si>
    <t>791677788</t>
  </si>
  <si>
    <t>P291 C5 1975</t>
  </si>
  <si>
    <t>0                      P  0291000C  5           1975</t>
  </si>
  <si>
    <t>The Hague : Mouton, 1975.</t>
  </si>
  <si>
    <t>Janua linguarum : Series minor ; 4</t>
  </si>
  <si>
    <t>3784295</t>
  </si>
  <si>
    <t>ocm03784295</t>
  </si>
  <si>
    <t>3102665557E</t>
  </si>
  <si>
    <t>792291218</t>
  </si>
  <si>
    <t>P291 C5 2002</t>
  </si>
  <si>
    <t>0                      P  0291000C  5           2002</t>
  </si>
  <si>
    <t>2nd ed. / with an introduction by David W. Lightfoot.</t>
  </si>
  <si>
    <t>50982282</t>
  </si>
  <si>
    <t>ocm50982282</t>
  </si>
  <si>
    <t>31027737399</t>
  </si>
  <si>
    <t>9783110172799</t>
  </si>
  <si>
    <t>793776257</t>
  </si>
  <si>
    <t>3103199703A</t>
  </si>
  <si>
    <t>793776258</t>
  </si>
  <si>
    <t>P291 C538 2012</t>
  </si>
  <si>
    <t>0                      P  0291000C  538         2012</t>
  </si>
  <si>
    <t>Clause linkage in cross-linguistic perspective : data-driven approaches to cross-clausal syntax / edited by Volker Gast, Holger Diessel.</t>
  </si>
  <si>
    <t>Berlin ; Boston : Mouton De Gruyter, 2012.</t>
  </si>
  <si>
    <t>Trends in linguistics. Studies and monographs ; 249</t>
  </si>
  <si>
    <t>1170842736:eng</t>
  </si>
  <si>
    <t>798612693</t>
  </si>
  <si>
    <t>ocn798612693</t>
  </si>
  <si>
    <t>31034139533</t>
  </si>
  <si>
    <t>9783110276466</t>
  </si>
  <si>
    <t>794923834</t>
  </si>
  <si>
    <t>P291 C564 2011</t>
  </si>
  <si>
    <t>0                      P  0291000C  564         2011</t>
  </si>
  <si>
    <t>Symmetry in syntax : merge, move, and labels / Barbara Citko.</t>
  </si>
  <si>
    <t>Citko, Barbara, 1970-</t>
  </si>
  <si>
    <t>Cambridge studies in linguistics ; 129</t>
  </si>
  <si>
    <t>2013-11-08</t>
  </si>
  <si>
    <t>813687761:eng</t>
  </si>
  <si>
    <t>681488504</t>
  </si>
  <si>
    <t>ocn681488504</t>
  </si>
  <si>
    <t>31032354816</t>
  </si>
  <si>
    <t>9781107005556</t>
  </si>
  <si>
    <t>794851491</t>
  </si>
  <si>
    <t>P291 C573 2010</t>
  </si>
  <si>
    <t>0                      P  0291000C  573         2010</t>
  </si>
  <si>
    <t>Comparative and contrastive studies of information structure / edited by Carsten Breul, Edward Göbbel.</t>
  </si>
  <si>
    <t>Linguistik aktuell = Linguistics today, 0166-0829 ; v. 165</t>
  </si>
  <si>
    <t>888309209:eng</t>
  </si>
  <si>
    <t>639163035</t>
  </si>
  <si>
    <t>ocn639163035</t>
  </si>
  <si>
    <t>3103228415D</t>
  </si>
  <si>
    <t>9789027255488</t>
  </si>
  <si>
    <t>794826610</t>
  </si>
  <si>
    <t>P291 C634 2013</t>
  </si>
  <si>
    <t>0                      P  0291000C  634         2013</t>
  </si>
  <si>
    <t>The core and the periphery : data-driven perspectives on syntax inspired by Ivan A. Sag / edited by Philip Hofmeister and Elisabeth Norcliffe.</t>
  </si>
  <si>
    <t>Stanford : CSLI Publications, [2013]</t>
  </si>
  <si>
    <t>CSLI Lecture Notes ; 210</t>
  </si>
  <si>
    <t>1405458037:eng</t>
  </si>
  <si>
    <t>846846865</t>
  </si>
  <si>
    <t>ocn846846865</t>
  </si>
  <si>
    <t>31035325611</t>
  </si>
  <si>
    <t>9781575867212</t>
  </si>
  <si>
    <t>794949308</t>
  </si>
  <si>
    <t>P291 C66 2012</t>
  </si>
  <si>
    <t>0                      P  0291000C  66          2012</t>
  </si>
  <si>
    <t>Contrasts and positions in information structure / edited by Ivona Kučerová and Ad Neeleman.</t>
  </si>
  <si>
    <t>2015-06-03</t>
  </si>
  <si>
    <t>1099724001:eng</t>
  </si>
  <si>
    <t>784577081</t>
  </si>
  <si>
    <t>ocn784577081</t>
  </si>
  <si>
    <t>3103432189F</t>
  </si>
  <si>
    <t>9781107001985</t>
  </si>
  <si>
    <t>794914566</t>
  </si>
  <si>
    <t>P291 C787 2011</t>
  </si>
  <si>
    <t>0                      P  0291000C  787         2011</t>
  </si>
  <si>
    <t>Discourse-related features and functional projections / Silvio Cruschina.</t>
  </si>
  <si>
    <t>Cruschina, Silvio.</t>
  </si>
  <si>
    <t>866742063:eng</t>
  </si>
  <si>
    <t>712931206</t>
  </si>
  <si>
    <t>ocn712931206</t>
  </si>
  <si>
    <t>3103396617B</t>
  </si>
  <si>
    <t>9780199759613</t>
  </si>
  <si>
    <t>794872417</t>
  </si>
  <si>
    <t>P291 C798 2005</t>
  </si>
  <si>
    <t>0                      P  0291000C  798         2005</t>
  </si>
  <si>
    <t>Simpler syntax / Peter W. Culicover, Ray Jackendoff.</t>
  </si>
  <si>
    <t>2017-02-08</t>
  </si>
  <si>
    <t>9658006263:eng</t>
  </si>
  <si>
    <t>60559911</t>
  </si>
  <si>
    <t>ocm60559911</t>
  </si>
  <si>
    <t>3102491682I</t>
  </si>
  <si>
    <t>9780199271085</t>
  </si>
  <si>
    <t>793939844</t>
  </si>
  <si>
    <t>P291 D35 2011</t>
  </si>
  <si>
    <t>0                      P  0291000D  35          2011</t>
  </si>
  <si>
    <t>Objects and information structure / Mary Dalrymple, Irina Nikolaeva.</t>
  </si>
  <si>
    <t>Dalrymple, Mary.</t>
  </si>
  <si>
    <t>Cambridge studies in linguistics ; 131</t>
  </si>
  <si>
    <t>782804779:eng</t>
  </si>
  <si>
    <t>711047863</t>
  </si>
  <si>
    <t>ocn711047863</t>
  </si>
  <si>
    <t>3103341312S</t>
  </si>
  <si>
    <t>9780521199858</t>
  </si>
  <si>
    <t>794870676</t>
  </si>
  <si>
    <t>P291 D43 1993b</t>
  </si>
  <si>
    <t>0                      P  0291000D  43          1993b</t>
  </si>
  <si>
    <t>Predicates across categories : towards a category-neutral syntax / by Rose-Marie A. Déchaine.</t>
  </si>
  <si>
    <t>Déchaine, Rose-Marie A.</t>
  </si>
  <si>
    <t>Amherst, MA : Reproduced and distributed by Graduate Linguistic Student Association, [1993?]</t>
  </si>
  <si>
    <t>3943298660:eng</t>
  </si>
  <si>
    <t>32148949</t>
  </si>
  <si>
    <t>ocm32148949</t>
  </si>
  <si>
    <t>3102618360V</t>
  </si>
  <si>
    <t>793376857</t>
  </si>
  <si>
    <t>P291 D96 2011</t>
  </si>
  <si>
    <t>0                      P  0291000D  96          2011</t>
  </si>
  <si>
    <t>The dynamics of lexical interfaces / edited by Ruth Kempson, Eleni Gregoromichelaki, Christine Howes.</t>
  </si>
  <si>
    <t>Stanford, Calif. : CSLI Publications/Center for the Study of Language and Information, 2011.</t>
  </si>
  <si>
    <t>686283136:eng</t>
  </si>
  <si>
    <t>670480255</t>
  </si>
  <si>
    <t>ocn670480255</t>
  </si>
  <si>
    <t>31033452409</t>
  </si>
  <si>
    <t>9781575866154</t>
  </si>
  <si>
    <t>794847988</t>
  </si>
  <si>
    <t>P291 E33 2010</t>
  </si>
  <si>
    <t>0                      P  0291000E  33          2010</t>
  </si>
  <si>
    <t>Edges, heads, and projections : interface properties / edited by Anna Maria Di Sciullo, Virginia Hill.</t>
  </si>
  <si>
    <t>Linguistik aktuell = Linguistics today, 0166-0829 ; v. 156</t>
  </si>
  <si>
    <t>2011-02-22</t>
  </si>
  <si>
    <t>792046397:eng</t>
  </si>
  <si>
    <t>502676497</t>
  </si>
  <si>
    <t>ocn502676497</t>
  </si>
  <si>
    <t>31032297100</t>
  </si>
  <si>
    <t>9789027255396</t>
  </si>
  <si>
    <t>794805951</t>
  </si>
  <si>
    <t>P291 E44 2017</t>
  </si>
  <si>
    <t>0                      P  0291000E  44          2017</t>
  </si>
  <si>
    <t>Elements of comparative syntax : theory and description / edited by Enoch O. Aboh, Eric Haeberli, Genoveva Puskás, Manuela Schönenberger.</t>
  </si>
  <si>
    <t>Boston : De Gruyter Mouton, [2017]</t>
  </si>
  <si>
    <t>Studies in generative grammar ; volume 127</t>
  </si>
  <si>
    <t>2958370282:eng</t>
  </si>
  <si>
    <t>1004849046</t>
  </si>
  <si>
    <t>on1004849046</t>
  </si>
  <si>
    <t>3103739052K</t>
  </si>
  <si>
    <t>9781501511943</t>
  </si>
  <si>
    <t>795042199</t>
  </si>
  <si>
    <t>P291 E945 2000</t>
  </si>
  <si>
    <t>0                      P  0291000E  945         2000</t>
  </si>
  <si>
    <t>Events as grammatical objects : the converging perspectives of lexical semantics and syntax / edited by Carol L. Tenny &amp; James Pustejovsky.</t>
  </si>
  <si>
    <t>Stanford, Calif. : CSLI Publications, Center for the Study of Language and Information, ©2000.</t>
  </si>
  <si>
    <t>CSLI lecture notes ; no. 100</t>
  </si>
  <si>
    <t>837045046:eng</t>
  </si>
  <si>
    <t>41967288</t>
  </si>
  <si>
    <t>ocm41967288</t>
  </si>
  <si>
    <t>3102773785$</t>
  </si>
  <si>
    <t>9781575862057</t>
  </si>
  <si>
    <t>793600224</t>
  </si>
  <si>
    <t>P291 E98 2010</t>
  </si>
  <si>
    <t>0                      P  0291000E  98          2010</t>
  </si>
  <si>
    <t>Exploring crash-proof grammars / edited by Michael T. Putnam.</t>
  </si>
  <si>
    <t>Amsterdam ; Philadelphia : John Benjamins Pub. Company, 2010.</t>
  </si>
  <si>
    <t>Language faculty and beyond ; v. 3</t>
  </si>
  <si>
    <t>888318082:eng</t>
  </si>
  <si>
    <t>611966633</t>
  </si>
  <si>
    <t>ocn611966633</t>
  </si>
  <si>
    <t>3103227936Z</t>
  </si>
  <si>
    <t>9789027208200</t>
  </si>
  <si>
    <t>794821226</t>
  </si>
  <si>
    <t>P291 F27 1984</t>
  </si>
  <si>
    <t>0                      P  0291000F  27          1984</t>
  </si>
  <si>
    <t>Modularity in syntax : a study of Japanese and English / Ann Kathleen Farmer.</t>
  </si>
  <si>
    <t>Farmer, Ann Kathleen.</t>
  </si>
  <si>
    <t>Current studies in linguistics ; 9</t>
  </si>
  <si>
    <t>37511669:eng</t>
  </si>
  <si>
    <t>9826074</t>
  </si>
  <si>
    <t>ocm09826074</t>
  </si>
  <si>
    <t>31027737751</t>
  </si>
  <si>
    <t>9780262060875</t>
  </si>
  <si>
    <t>792695163</t>
  </si>
  <si>
    <t>P291 F746 2012</t>
  </si>
  <si>
    <t>0                      P  0291000F  746         2012</t>
  </si>
  <si>
    <t>Syntax : basic concepts and applications / Robert Freidin.</t>
  </si>
  <si>
    <t>Freidin, Robert.</t>
  </si>
  <si>
    <t>1101289446:eng</t>
  </si>
  <si>
    <t>765812575</t>
  </si>
  <si>
    <t>ocn765812575</t>
  </si>
  <si>
    <t>3103431216U</t>
  </si>
  <si>
    <t>9780521844277</t>
  </si>
  <si>
    <t>794900714</t>
  </si>
  <si>
    <t>P291 F79 2012</t>
  </si>
  <si>
    <t>0                      P  0291000F  79          2012</t>
  </si>
  <si>
    <t>Functional heads / edited by Laura Brugè [and others].</t>
  </si>
  <si>
    <t>919146135:eng</t>
  </si>
  <si>
    <t>734002445</t>
  </si>
  <si>
    <t>ocn734002445</t>
  </si>
  <si>
    <t>3103430045Y</t>
  </si>
  <si>
    <t>9780199746729</t>
  </si>
  <si>
    <t>794882364</t>
  </si>
  <si>
    <t>P291 F814 2002</t>
  </si>
  <si>
    <t>0                      P  0291000F  814         2002</t>
  </si>
  <si>
    <t>Functional structure in DP and IP / edited by Guglielmo Cinque.</t>
  </si>
  <si>
    <t>New York : Oxford University Press, 2002.</t>
  </si>
  <si>
    <t>The cartography of syntactic structures ; v. 1</t>
  </si>
  <si>
    <t>5218557125:eng</t>
  </si>
  <si>
    <t>243541561</t>
  </si>
  <si>
    <t>ocn243541561</t>
  </si>
  <si>
    <t>31027737693</t>
  </si>
  <si>
    <t>9780195148794</t>
  </si>
  <si>
    <t>794378373</t>
  </si>
  <si>
    <t>P291 G48 1998</t>
  </si>
  <si>
    <t>0                      P  0291000G  48          1998</t>
  </si>
  <si>
    <t>Polarity sensitivity as (non) veridical dependency / Anastasia Giannakidou.</t>
  </si>
  <si>
    <t>Giannakidou, Anastasia.</t>
  </si>
  <si>
    <t>Linguistik Aktuell, 0166-0829 ; v. 23</t>
  </si>
  <si>
    <t>42606638:eng</t>
  </si>
  <si>
    <t>39692300</t>
  </si>
  <si>
    <t>ocm39692300</t>
  </si>
  <si>
    <t>31027737545</t>
  </si>
  <si>
    <t>9781556199073</t>
  </si>
  <si>
    <t>793551090</t>
  </si>
  <si>
    <t>P291 G5 1984</t>
  </si>
  <si>
    <t>0                      P  0291000G  5           1984</t>
  </si>
  <si>
    <t>Syntax : a functional-typological introduction / T. Givón.</t>
  </si>
  <si>
    <t>Givón, Talmy, 1936-</t>
  </si>
  <si>
    <t>Amsterdam ; Philadelphia : J. Benjamins Pub. Co., ©1984-1990.</t>
  </si>
  <si>
    <t>3855307769:eng</t>
  </si>
  <si>
    <t>10711109</t>
  </si>
  <si>
    <t>ocm10711109</t>
  </si>
  <si>
    <t>3102773793Y</t>
  </si>
  <si>
    <t>9780915027071</t>
  </si>
  <si>
    <t>792738697</t>
  </si>
  <si>
    <t>3000972078X</t>
  </si>
  <si>
    <t>792738696</t>
  </si>
  <si>
    <t>2008-10-23</t>
  </si>
  <si>
    <t>3102773788$</t>
  </si>
  <si>
    <t>792738695</t>
  </si>
  <si>
    <t>P291 G64 2011</t>
  </si>
  <si>
    <t>0                      P  0291000G  64          2011</t>
  </si>
  <si>
    <t>Constructive adpositional grammars : foundations of constructive linguistics / Federico Gobbo and Marco Benini.</t>
  </si>
  <si>
    <t>Gobbo, Federico.</t>
  </si>
  <si>
    <t>Newcastle : Cambridge Scholars Publishing, 2011.</t>
  </si>
  <si>
    <t>1009148186:eng</t>
  </si>
  <si>
    <t>751800398</t>
  </si>
  <si>
    <t>ocn751800398</t>
  </si>
  <si>
    <t>3103380580T</t>
  </si>
  <si>
    <t>9781443830072</t>
  </si>
  <si>
    <t>794891102</t>
  </si>
  <si>
    <t>P291 G65 1995</t>
  </si>
  <si>
    <t>0                      P  0291000G  65          1995</t>
  </si>
  <si>
    <t>Constructions : a construction grammar approach to argument structure / Adele E. Goldberg.</t>
  </si>
  <si>
    <t>Goldberg, Adele E.</t>
  </si>
  <si>
    <t>Chicago : University of Chicago Press, 1995.</t>
  </si>
  <si>
    <t>Cognitive theory of language and culture</t>
  </si>
  <si>
    <t>32779474:eng</t>
  </si>
  <si>
    <t>30594418</t>
  </si>
  <si>
    <t>ocm30594418</t>
  </si>
  <si>
    <t>3103550575Y</t>
  </si>
  <si>
    <t>9780226300856</t>
  </si>
  <si>
    <t>793339797</t>
  </si>
  <si>
    <t>P291 G698 2003</t>
  </si>
  <si>
    <t>0                      P  0291000G  698         2003</t>
  </si>
  <si>
    <t>Prolific domains : on the anti-locality of movement dependencies / Kleanthes K. Grohmann.</t>
  </si>
  <si>
    <t>Grohmann, Kleanthes K.</t>
  </si>
  <si>
    <t>Linguistik aktuell = Linguistics today, 0166-0829 ; v. 66</t>
  </si>
  <si>
    <t>793912106:eng</t>
  </si>
  <si>
    <t>52942934</t>
  </si>
  <si>
    <t>ocm52942934</t>
  </si>
  <si>
    <t>3102773782$</t>
  </si>
  <si>
    <t>9781588114419</t>
  </si>
  <si>
    <t>793817753</t>
  </si>
  <si>
    <t>P291 H246 2001</t>
  </si>
  <si>
    <t>0                      P  0291000H  246         2001</t>
  </si>
  <si>
    <t>The handbook of contemporary syntactic theory / edited by Mark Baltin and Chris Collins.</t>
  </si>
  <si>
    <t>766044450:eng</t>
  </si>
  <si>
    <t>43115111</t>
  </si>
  <si>
    <t>ocm43115111</t>
  </si>
  <si>
    <t>31027737673</t>
  </si>
  <si>
    <t>9780631205074</t>
  </si>
  <si>
    <t>793620511</t>
  </si>
  <si>
    <t>P291 H66 1995</t>
  </si>
  <si>
    <t>0                      P  0291000H  66          1995</t>
  </si>
  <si>
    <t>Logical form : from GB to minimalism / Norbert Hornstein.</t>
  </si>
  <si>
    <t>Hornstein, Norbert.</t>
  </si>
  <si>
    <t>Oxford, UK ; Cambridge, USA. : Blackwell, ©1995.</t>
  </si>
  <si>
    <t>Generative syntax</t>
  </si>
  <si>
    <t>837013376:eng</t>
  </si>
  <si>
    <t>31867441</t>
  </si>
  <si>
    <t>ocm31867441</t>
  </si>
  <si>
    <t>31027738268</t>
  </si>
  <si>
    <t>9780631189428</t>
  </si>
  <si>
    <t>793369951</t>
  </si>
  <si>
    <t>P291 H77 2010</t>
  </si>
  <si>
    <t>0                      P  0291000H  77          2010</t>
  </si>
  <si>
    <t>Between syntax and semantics / C.- T. James Huang.</t>
  </si>
  <si>
    <t>Huang, Cheng-Teh James.</t>
  </si>
  <si>
    <t>Routledge leading linguists ; 15</t>
  </si>
  <si>
    <t>2013-02-08</t>
  </si>
  <si>
    <t>156673929:eng</t>
  </si>
  <si>
    <t>300722584</t>
  </si>
  <si>
    <t>ocn300722584</t>
  </si>
  <si>
    <t>3103154415K</t>
  </si>
  <si>
    <t>9780415990912</t>
  </si>
  <si>
    <t>794431932</t>
  </si>
  <si>
    <t>P291 I8 1998</t>
  </si>
  <si>
    <t>0                      P  0291000I  8           1998</t>
  </si>
  <si>
    <t>Is the best good enough? : optimality and competition in syntax / edited by Pilar Barbosa [and others].</t>
  </si>
  <si>
    <t>837016591:eng</t>
  </si>
  <si>
    <t>37862749</t>
  </si>
  <si>
    <t>ocm37862749</t>
  </si>
  <si>
    <t>3102773801C</t>
  </si>
  <si>
    <t>9780262024488</t>
  </si>
  <si>
    <t>793508652</t>
  </si>
  <si>
    <t>P291 J3 1977</t>
  </si>
  <si>
    <t>0                      P  0291000J  3           1977</t>
  </si>
  <si>
    <t>X̄ syntax : a study of phrase structure / Ray Jackendoff.</t>
  </si>
  <si>
    <t>Jackendoff, Ray, 1945- author.</t>
  </si>
  <si>
    <t>Cambridge, Mass. : MIT Press, [1977?]</t>
  </si>
  <si>
    <t>Linguistic inquiry monographs ; 2</t>
  </si>
  <si>
    <t>2016-07-27</t>
  </si>
  <si>
    <t>197693004:eng</t>
  </si>
  <si>
    <t>3688950</t>
  </si>
  <si>
    <t>ocm03688950</t>
  </si>
  <si>
    <t>31028048080</t>
  </si>
  <si>
    <t>9780262100182</t>
  </si>
  <si>
    <t>792281740</t>
  </si>
  <si>
    <t>P291 J86 2011</t>
  </si>
  <si>
    <t>0                      P  0291000J  86          2011</t>
  </si>
  <si>
    <t>The syntax of the Be-possessive : parametric variation and surface diversities / Hakyung Jung.</t>
  </si>
  <si>
    <t>Jung, Hakyung.</t>
  </si>
  <si>
    <t>Linguistik aktuell/Linguistics today ; v. 172</t>
  </si>
  <si>
    <t>902992391:eng</t>
  </si>
  <si>
    <t>685120610</t>
  </si>
  <si>
    <t>ocn685120610</t>
  </si>
  <si>
    <t>3103363453$</t>
  </si>
  <si>
    <t>9789027255556</t>
  </si>
  <si>
    <t>794853605</t>
  </si>
  <si>
    <t>P291 K34 1994</t>
  </si>
  <si>
    <t>0                      P  0291000K  34          1994</t>
  </si>
  <si>
    <t>The antisymmetry of syntax / Richard S. Kayne.</t>
  </si>
  <si>
    <t>Kayne, Richard S.</t>
  </si>
  <si>
    <t>Linguistic inquiry monographs ; 25</t>
  </si>
  <si>
    <t>993860:eng</t>
  </si>
  <si>
    <t>30738957</t>
  </si>
  <si>
    <t>ocm30738957</t>
  </si>
  <si>
    <t>31027738258</t>
  </si>
  <si>
    <t>9780262111942</t>
  </si>
  <si>
    <t>793343751</t>
  </si>
  <si>
    <t>P291 K345 2010</t>
  </si>
  <si>
    <t>0                      P  0291000K  345         2010</t>
  </si>
  <si>
    <t>Comparisons and contrasts / Richard S. Kayne.</t>
  </si>
  <si>
    <t>323294708:eng</t>
  </si>
  <si>
    <t>437186908</t>
  </si>
  <si>
    <t>ocn437186908</t>
  </si>
  <si>
    <t>31032294453</t>
  </si>
  <si>
    <t>9780199732524</t>
  </si>
  <si>
    <t>794785554</t>
  </si>
  <si>
    <t>P291 K64 2012</t>
  </si>
  <si>
    <t>0                      P  0291000K  64          2012</t>
  </si>
  <si>
    <t>Quantitative syntax analysis / by Reinhard Köhler.</t>
  </si>
  <si>
    <t>Köhler, Reinhard.</t>
  </si>
  <si>
    <t>Quantitative linguistics ; 65</t>
  </si>
  <si>
    <t>936845547:eng</t>
  </si>
  <si>
    <t>741355717</t>
  </si>
  <si>
    <t>ocn741355717</t>
  </si>
  <si>
    <t>3103421745E</t>
  </si>
  <si>
    <t>9783110272192</t>
  </si>
  <si>
    <t>794883887</t>
  </si>
  <si>
    <t>P291 L25 2017</t>
  </si>
  <si>
    <t>0                      P  0291000L  25          2017</t>
  </si>
  <si>
    <t>Labels and roots / edited by Leah Bauke, Andreas Blümel.</t>
  </si>
  <si>
    <t>Boston ; Berlin : De Gruyter Mouton, 2017.</t>
  </si>
  <si>
    <t>Studies in generative grammar ; volume 128</t>
  </si>
  <si>
    <t>4551923853:eng</t>
  </si>
  <si>
    <t>951936468</t>
  </si>
  <si>
    <t>ocn951936468</t>
  </si>
  <si>
    <t>3103740397P</t>
  </si>
  <si>
    <t>9781501510588</t>
  </si>
  <si>
    <t>795017842</t>
  </si>
  <si>
    <t>P291 L33 2010</t>
  </si>
  <si>
    <t>0                      P  0291000L  33          2010</t>
  </si>
  <si>
    <t>Grammar as science / text by Richard K. Larson ; graphic design by Kimiko Ryokai.</t>
  </si>
  <si>
    <t>Larson, Richard K.</t>
  </si>
  <si>
    <t>170833390:eng</t>
  </si>
  <si>
    <t>289070781</t>
  </si>
  <si>
    <t>ocn289070781</t>
  </si>
  <si>
    <t>31031134059</t>
  </si>
  <si>
    <t>9780262513036</t>
  </si>
  <si>
    <t>794421808</t>
  </si>
  <si>
    <t>P291 L35 2005</t>
  </si>
  <si>
    <t>0                      P  0291000L  35          2005</t>
  </si>
  <si>
    <t>A course in minimalist syntax : foundations and prospects / Howard Lasnik and Juan Uriagereka with Cedric Boeckx.</t>
  </si>
  <si>
    <t>892549735:eng</t>
  </si>
  <si>
    <t>55887427</t>
  </si>
  <si>
    <t>ocm55887427</t>
  </si>
  <si>
    <t>3102711297D</t>
  </si>
  <si>
    <t>9780631199878</t>
  </si>
  <si>
    <t>793883722</t>
  </si>
  <si>
    <t>P291 L48</t>
  </si>
  <si>
    <t>0                      P  0291000L  48</t>
  </si>
  <si>
    <t>Principles of diachronic syntax / David W. Lightfoot.</t>
  </si>
  <si>
    <t>Cambridge ; New York : Cambridge University Press, 1979.</t>
  </si>
  <si>
    <t>Cambridge studies in linguistics ; 23</t>
  </si>
  <si>
    <t>2017-01-22</t>
  </si>
  <si>
    <t>503930:eng</t>
  </si>
  <si>
    <t>3915414</t>
  </si>
  <si>
    <t>ocm03915414</t>
  </si>
  <si>
    <t>3000424341P</t>
  </si>
  <si>
    <t>9780521220828</t>
  </si>
  <si>
    <t>792304726</t>
  </si>
  <si>
    <t>P291 L49 2010</t>
  </si>
  <si>
    <t>0                      P  0291000L  49          2010</t>
  </si>
  <si>
    <t>Lexical semantics, syntax, and event structure / edited by Malka Rappaport Hovav, Edit Doron, and Ivy Sichel.</t>
  </si>
  <si>
    <t>329735924:eng</t>
  </si>
  <si>
    <t>444383355</t>
  </si>
  <si>
    <t>ocn444383355</t>
  </si>
  <si>
    <t>3103132592J</t>
  </si>
  <si>
    <t>9780199544325</t>
  </si>
  <si>
    <t>794787065</t>
  </si>
  <si>
    <t>P291 L67 2009</t>
  </si>
  <si>
    <t>0                      P  0291000L  67          2009</t>
  </si>
  <si>
    <t>A derivational syntax for information structure / Luis López.</t>
  </si>
  <si>
    <t>López, Luis.</t>
  </si>
  <si>
    <t>Oxford studies in theoretical linguistics ; 23</t>
  </si>
  <si>
    <t>356490653:eng</t>
  </si>
  <si>
    <t>319601728</t>
  </si>
  <si>
    <t>ocn319601728</t>
  </si>
  <si>
    <t>31028572714</t>
  </si>
  <si>
    <t>9780199557417</t>
  </si>
  <si>
    <t>794484164</t>
  </si>
  <si>
    <t>P291 M354 1999</t>
  </si>
  <si>
    <t>0                      P  0291000M  354         1999</t>
  </si>
  <si>
    <t>The mathematics of syntactic structure : trees and their logics / edited by Hans-Peter Kolb, Uwe Mönnich.</t>
  </si>
  <si>
    <t>Studies in generative grammar ; 44</t>
  </si>
  <si>
    <t>890529931:eng</t>
  </si>
  <si>
    <t>40964970</t>
  </si>
  <si>
    <t>ocm40964970</t>
  </si>
  <si>
    <t>31027496303</t>
  </si>
  <si>
    <t>9783110162738</t>
  </si>
  <si>
    <t>793580197</t>
  </si>
  <si>
    <t>P291 M356 2007</t>
  </si>
  <si>
    <t>0                      P  0291000M  356         2007</t>
  </si>
  <si>
    <t>Syntactic relations : a critical survey / P.H. Matthews.</t>
  </si>
  <si>
    <t>Cambridge studies in linguistics ; 114</t>
  </si>
  <si>
    <t>890491749:eng</t>
  </si>
  <si>
    <t>71347527</t>
  </si>
  <si>
    <t>ocm71347527</t>
  </si>
  <si>
    <t>3102568314M</t>
  </si>
  <si>
    <t>9780521845762</t>
  </si>
  <si>
    <t>794165919</t>
  </si>
  <si>
    <t>P291 M498 2011</t>
  </si>
  <si>
    <t>0                      P  0291000M  498         2011</t>
  </si>
  <si>
    <t>A critical introduction to syntax / Jim Miller.</t>
  </si>
  <si>
    <t>Miller, J. E. (James Edward), 1942-</t>
  </si>
  <si>
    <t>London ; New York : Continuum, 2011.</t>
  </si>
  <si>
    <t>361059996:eng</t>
  </si>
  <si>
    <t>482631680</t>
  </si>
  <si>
    <t>ocn482631680</t>
  </si>
  <si>
    <t>31033451668</t>
  </si>
  <si>
    <t>9780826497031</t>
  </si>
  <si>
    <t>794799307</t>
  </si>
  <si>
    <t>P291 M59 2004</t>
  </si>
  <si>
    <t>0                      P  0291000M  59          2004</t>
  </si>
  <si>
    <t>Explorations in functional syntax : a new framework for lexicogrammatical analysis / G. David Morley.</t>
  </si>
  <si>
    <t>Morley, G. David (George David), 1943-</t>
  </si>
  <si>
    <t>London ; Oakville, CT : Equinox Pub., 2004.</t>
  </si>
  <si>
    <t>891687919:eng</t>
  </si>
  <si>
    <t>54073770</t>
  </si>
  <si>
    <t>ocm54073770</t>
  </si>
  <si>
    <t>3102773812A</t>
  </si>
  <si>
    <t>9781904768005</t>
  </si>
  <si>
    <t>793856794</t>
  </si>
  <si>
    <t>P291 M595 2013</t>
  </si>
  <si>
    <t>0                      P  0291000M  595         2013</t>
  </si>
  <si>
    <t>The equilibrium of human syntax : symmetries in the brain / Andrea Moro.</t>
  </si>
  <si>
    <t>Moro, Andrea.</t>
  </si>
  <si>
    <t>New York ; London : Routledge, 2013.</t>
  </si>
  <si>
    <t>Routledge leading linguists ; 18</t>
  </si>
  <si>
    <t>2014-11-07</t>
  </si>
  <si>
    <t>1167160910:eng</t>
  </si>
  <si>
    <t>793224449</t>
  </si>
  <si>
    <t>ocn793224449</t>
  </si>
  <si>
    <t>3103470581S</t>
  </si>
  <si>
    <t>9780415639675</t>
  </si>
  <si>
    <t>794917895</t>
  </si>
  <si>
    <t>P291 M67 2011</t>
  </si>
  <si>
    <t>0                      P  0291000M  67          2011</t>
  </si>
  <si>
    <t>Proceedings of MOSS 2 : Moscow Syntax and Semantics 2, 2011 / edited by Vadim Kimmelman, Natalia Korotkova, Igor Yanovich.</t>
  </si>
  <si>
    <t>Moscow Syntax and Semantics (Conference) (2nd : 2011 : (Moscow, Russia)</t>
  </si>
  <si>
    <t>[Cambridge, Mass.] : MIT Working Papers in Linguistics, [2014?]</t>
  </si>
  <si>
    <t>MIT working papers in linguistics ; 75</t>
  </si>
  <si>
    <t>2801631145:eng</t>
  </si>
  <si>
    <t>919112686</t>
  </si>
  <si>
    <t>ocn919112686</t>
  </si>
  <si>
    <t>31036076215</t>
  </si>
  <si>
    <t>795001569</t>
  </si>
  <si>
    <t>P291 N66 2011</t>
  </si>
  <si>
    <t>0                      P  0291000N  66          2011</t>
  </si>
  <si>
    <t>Non-transformational syntax : formal and explicit models of grammar / edited by Robert D. Borsley and Kersti Börjars.</t>
  </si>
  <si>
    <t>Chichester, West Sussex, UK ; Malden, MA : Wiley-Blackwell, 2011.</t>
  </si>
  <si>
    <t>787144497:eng</t>
  </si>
  <si>
    <t>702357923</t>
  </si>
  <si>
    <t>ocn702357923</t>
  </si>
  <si>
    <t>3103363799J</t>
  </si>
  <si>
    <t>9780631209652</t>
  </si>
  <si>
    <t>794864002</t>
  </si>
  <si>
    <t>P291 P374 2001</t>
  </si>
  <si>
    <t>0                      P  0291000P  374         2001</t>
  </si>
  <si>
    <t>Parasitic gaps / edited by Peter W. Culicover and Paul M. Postal.</t>
  </si>
  <si>
    <t>Current studies in linguistics ; 35</t>
  </si>
  <si>
    <t>367577011:eng</t>
  </si>
  <si>
    <t>44425521</t>
  </si>
  <si>
    <t>ocm44425521</t>
  </si>
  <si>
    <t>31027738650</t>
  </si>
  <si>
    <t>9780262032841</t>
  </si>
  <si>
    <t>793645893</t>
  </si>
  <si>
    <t>P291 P49 2007</t>
  </si>
  <si>
    <t>0                      P  0291000P  49          2007</t>
  </si>
  <si>
    <t>Phrasal and clausal architecture : syntactic derivation and interpretation : in honor of Joseph E. Emonds / edited by Simin Karimi, Vida Samiian, Wendy K. Wilkins.</t>
  </si>
  <si>
    <t>Linguistik aktuell = Linguistics today, 0166-0829 ; v. 101</t>
  </si>
  <si>
    <t>899289490:eng</t>
  </si>
  <si>
    <t>74492265</t>
  </si>
  <si>
    <t>ocm74492265</t>
  </si>
  <si>
    <t>31025957117</t>
  </si>
  <si>
    <t>9789027233653</t>
  </si>
  <si>
    <t>794173036</t>
  </si>
  <si>
    <t>P291 P63 1987</t>
  </si>
  <si>
    <t>0                      P  0291000P  63          1987</t>
  </si>
  <si>
    <t>Information-based syntax and semantics / Carl Pollard and Ivan A. Sag.</t>
  </si>
  <si>
    <t>Stanford, CA : Center for the Study of Language and Information, ©1987-</t>
  </si>
  <si>
    <t>CSLI lecture notes ; no. 13</t>
  </si>
  <si>
    <t>12264409:eng</t>
  </si>
  <si>
    <t>16469380</t>
  </si>
  <si>
    <t>ocm16469380</t>
  </si>
  <si>
    <t>3100997341Y</t>
  </si>
  <si>
    <t>9780937073230</t>
  </si>
  <si>
    <t>792963586</t>
  </si>
  <si>
    <t>3102512379M</t>
  </si>
  <si>
    <t>792963587</t>
  </si>
  <si>
    <t>P291 P64 2011</t>
  </si>
  <si>
    <t>0                      P  0291000P  64          2011</t>
  </si>
  <si>
    <t>Syntactic theory / Geoffrey Poole.</t>
  </si>
  <si>
    <t>Poole, Geoffrey, 1969-</t>
  </si>
  <si>
    <t>2638232:eng</t>
  </si>
  <si>
    <t>723142545</t>
  </si>
  <si>
    <t>ocn723142545</t>
  </si>
  <si>
    <t>3103362836W</t>
  </si>
  <si>
    <t>9780230243941</t>
  </si>
  <si>
    <t>794875908</t>
  </si>
  <si>
    <t>P291 P67 2010</t>
  </si>
  <si>
    <t>0                      P  0291000P  67          2010</t>
  </si>
  <si>
    <t>Edge-based clausal syntax : a study of (mostly) English object structure / Paul M. Postal.</t>
  </si>
  <si>
    <t>Postal, Paul Martin, 1936-</t>
  </si>
  <si>
    <t>476604233:eng</t>
  </si>
  <si>
    <t>607656814</t>
  </si>
  <si>
    <t>ocn607656814</t>
  </si>
  <si>
    <t>3103313763D</t>
  </si>
  <si>
    <t>9780262014816</t>
  </si>
  <si>
    <t>794818390</t>
  </si>
  <si>
    <t>P291 P776 1994</t>
  </si>
  <si>
    <t>0                      P  0291000P  776         1994</t>
  </si>
  <si>
    <t>Negative and positive polarity : a binding approach / Ljiljana Progovac.</t>
  </si>
  <si>
    <t>Progovac, Ljiljana.</t>
  </si>
  <si>
    <t>Cambridge [England] ; New York : Cambridge University Press, 1994.</t>
  </si>
  <si>
    <t>Cambridge studies in linguistics ; 68</t>
  </si>
  <si>
    <t>2016-07-04</t>
  </si>
  <si>
    <t>343283:eng</t>
  </si>
  <si>
    <t>27936850</t>
  </si>
  <si>
    <t>ocm27936850</t>
  </si>
  <si>
    <t>31027738690</t>
  </si>
  <si>
    <t>9780521444804</t>
  </si>
  <si>
    <t>793275815</t>
  </si>
  <si>
    <t>P291 R35 1997</t>
  </si>
  <si>
    <t>0                      P  0291000R  35          1997</t>
  </si>
  <si>
    <t>Syntactic theory and the structure of English : a minimalist approach / Andrew Radford.</t>
  </si>
  <si>
    <t>Radford, Andrew.</t>
  </si>
  <si>
    <t>Cambridge, U.K. ; New York, NY, USA : Cambridge University Press, 1997.</t>
  </si>
  <si>
    <t>197298124:eng</t>
  </si>
  <si>
    <t>34990034</t>
  </si>
  <si>
    <t>ocm34990034</t>
  </si>
  <si>
    <t>31027738592</t>
  </si>
  <si>
    <t>9780521471251</t>
  </si>
  <si>
    <t>793440651</t>
  </si>
  <si>
    <t>P291 R37 2010</t>
  </si>
  <si>
    <t>0                      P  0291000R  37          2010</t>
  </si>
  <si>
    <t>Syntactic categories : their identification and description in linguistic theories / Gisa Rauh.</t>
  </si>
  <si>
    <t>Rauh, Gisa.</t>
  </si>
  <si>
    <t>Oxford ; New York, NY : Oxford University Press, ©2010.</t>
  </si>
  <si>
    <t>Oxford Surveys in Syntax &amp; Morphology</t>
  </si>
  <si>
    <t>2012-09-16</t>
  </si>
  <si>
    <t>796193283:eng</t>
  </si>
  <si>
    <t>472424492</t>
  </si>
  <si>
    <t>ocn472424492</t>
  </si>
  <si>
    <t>31032320265</t>
  </si>
  <si>
    <t>9780199281428</t>
  </si>
  <si>
    <t>794797365</t>
  </si>
  <si>
    <t>P291 R38 2010</t>
  </si>
  <si>
    <t>0                      P  0291000R  38          2010</t>
  </si>
  <si>
    <t>Recursion and human language / edited by Harry van der Hulst.</t>
  </si>
  <si>
    <t>Studies in generative grammar ; 104</t>
  </si>
  <si>
    <t>479696250:eng</t>
  </si>
  <si>
    <t>502676342</t>
  </si>
  <si>
    <t>ocn502676342</t>
  </si>
  <si>
    <t>3103243897W</t>
  </si>
  <si>
    <t>9783110219241</t>
  </si>
  <si>
    <t>794805945</t>
  </si>
  <si>
    <t>P291 R46 2015</t>
  </si>
  <si>
    <t>0                      P  0291000R  46          2015</t>
  </si>
  <si>
    <t>Remnant movement / edited by Günther Grewendorf.</t>
  </si>
  <si>
    <t>Studies in generative grammar, 0167-4331 ; volume 123</t>
  </si>
  <si>
    <t>2224580569:eng</t>
  </si>
  <si>
    <t>907669571</t>
  </si>
  <si>
    <t>ocn907669571</t>
  </si>
  <si>
    <t>31036106688</t>
  </si>
  <si>
    <t>9781614517467</t>
  </si>
  <si>
    <t>794993805</t>
  </si>
  <si>
    <t>P291 R534 1997</t>
  </si>
  <si>
    <t>0                      P  0291000R  534         1997</t>
  </si>
  <si>
    <t>What moves where when in which language / by Norvin W. Richards III.</t>
  </si>
  <si>
    <t>Richards, Norvin W.</t>
  </si>
  <si>
    <t>[Massachusetts] : Institute of Technology, 1997.</t>
  </si>
  <si>
    <t>49562661:eng</t>
  </si>
  <si>
    <t>59445754</t>
  </si>
  <si>
    <t>ocm59445754</t>
  </si>
  <si>
    <t>3103485469A</t>
  </si>
  <si>
    <t>793930016</t>
  </si>
  <si>
    <t>P291 R5795 2007</t>
  </si>
  <si>
    <t>0                      P  0291000R  5795        2007</t>
  </si>
  <si>
    <t>Diachronic syntax / Ian Roberts.</t>
  </si>
  <si>
    <t>19241486:eng</t>
  </si>
  <si>
    <t>71350542</t>
  </si>
  <si>
    <t>ocm71350542</t>
  </si>
  <si>
    <t>3102568243J</t>
  </si>
  <si>
    <t>9780199283668</t>
  </si>
  <si>
    <t>794166119</t>
  </si>
  <si>
    <t>P291 S24 1985</t>
  </si>
  <si>
    <t>0                      P  0291000S  24          1985</t>
  </si>
  <si>
    <t>Syntactic chains / Kenneth J. Safir.</t>
  </si>
  <si>
    <t>Safir, Kenneth J.</t>
  </si>
  <si>
    <t>Cambridge studies in linguistics ; 40</t>
  </si>
  <si>
    <t>3917112:eng</t>
  </si>
  <si>
    <t>11468119</t>
  </si>
  <si>
    <t>ocm11468119</t>
  </si>
  <si>
    <t>31027738484</t>
  </si>
  <si>
    <t>9780521259804</t>
  </si>
  <si>
    <t>792774550</t>
  </si>
  <si>
    <t>P291 S25 1999</t>
  </si>
  <si>
    <t>0                      P  0291000S  25          1999</t>
  </si>
  <si>
    <t>Syntactic theory : a formal introduction / Ivan A. Sag &amp; Thomas Wasow.</t>
  </si>
  <si>
    <t>Sag, Ivan A., 1949-2013.</t>
  </si>
  <si>
    <t>Stanford, Calif. : Center for the Study of Language and Information, ©1999.</t>
  </si>
  <si>
    <t>CSLI lecture notes ; no. 92</t>
  </si>
  <si>
    <t>785915:eng</t>
  </si>
  <si>
    <t>40489158</t>
  </si>
  <si>
    <t>ocm40489158</t>
  </si>
  <si>
    <t>3102773882X</t>
  </si>
  <si>
    <t>9781575861616</t>
  </si>
  <si>
    <t>793568299</t>
  </si>
  <si>
    <t>P291 S54 2008</t>
  </si>
  <si>
    <t>0                      P  0291000S  54          2008</t>
  </si>
  <si>
    <t>Sounds of silence : empty elements in syntax and phonology / editors, Jutta Hartmann, Veronika Hegedüs, Henk van Riemsdijk.</t>
  </si>
  <si>
    <t>Amsterdam, Netherlands ; Boston ; London [i.e. Oxford, UK] : Elsevier, 2008.</t>
  </si>
  <si>
    <t>North-Holland linguistic series: linguistic variations, 0078-1592 ; v. 63</t>
  </si>
  <si>
    <t>368701600:eng</t>
  </si>
  <si>
    <t>222149504</t>
  </si>
  <si>
    <t>ocn222149504</t>
  </si>
  <si>
    <t>3102887569J</t>
  </si>
  <si>
    <t>9780080466149</t>
  </si>
  <si>
    <t>794329476</t>
  </si>
  <si>
    <t>P291 S546 2011</t>
  </si>
  <si>
    <t>0                      P  0291000S  546         2011</t>
  </si>
  <si>
    <t>Syntactic analysis : the basics / Nicholas Sobin.</t>
  </si>
  <si>
    <t>Sobin, Nicholas.</t>
  </si>
  <si>
    <t>791992875:eng</t>
  </si>
  <si>
    <t>649701960</t>
  </si>
  <si>
    <t>ocn649701960</t>
  </si>
  <si>
    <t>31033221173</t>
  </si>
  <si>
    <t>9781444338959</t>
  </si>
  <si>
    <t>794831811</t>
  </si>
  <si>
    <t>P291 S57 2014</t>
  </si>
  <si>
    <t>0                      P  0291000S  57          2014</t>
  </si>
  <si>
    <t>An introduction to syntactic analysis and theory / Dominique Sportiche, Hilda Koopman, Edward Stabler.</t>
  </si>
  <si>
    <t>Sportiche, Dominique, author.</t>
  </si>
  <si>
    <t>Malden, MA : Wiley/Blackwell, 2014.</t>
  </si>
  <si>
    <t>8912970025:eng</t>
  </si>
  <si>
    <t>842337461</t>
  </si>
  <si>
    <t>ocn842337461</t>
  </si>
  <si>
    <t>3103710726D</t>
  </si>
  <si>
    <t>9781405100168</t>
  </si>
  <si>
    <t>794947449</t>
  </si>
  <si>
    <t>P291 S68 2010</t>
  </si>
  <si>
    <t>0                      P  0291000S  68          2010</t>
  </si>
  <si>
    <t>The sound patterns of syntax / edited by Nomi Erteschik-Shir and Lisa Rochman.</t>
  </si>
  <si>
    <t>323415453:eng</t>
  </si>
  <si>
    <t>437305859</t>
  </si>
  <si>
    <t>ocn437305859</t>
  </si>
  <si>
    <t>31031314195</t>
  </si>
  <si>
    <t>9780199556861</t>
  </si>
  <si>
    <t>794785806</t>
  </si>
  <si>
    <t>P291 S693 2013</t>
  </si>
  <si>
    <t>0                      P  0291000S  693         2013</t>
  </si>
  <si>
    <t>The structural design of language / Thomas S. Stroik, Michael T. Putnam.</t>
  </si>
  <si>
    <t>Stroik, Thomas S.</t>
  </si>
  <si>
    <t>2013-12-06</t>
  </si>
  <si>
    <t>1169441756:eng</t>
  </si>
  <si>
    <t>811137248</t>
  </si>
  <si>
    <t>ocn811137248</t>
  </si>
  <si>
    <t>3103500469R</t>
  </si>
  <si>
    <t>9781107034839</t>
  </si>
  <si>
    <t>794929816</t>
  </si>
  <si>
    <t>P291 S694 2000</t>
  </si>
  <si>
    <t>0                      P  0291000S  694         2000</t>
  </si>
  <si>
    <t>Syntactic controversies / Thomas S. Stroik.</t>
  </si>
  <si>
    <t>Muenchen : Lincom Europa, 2000.</t>
  </si>
  <si>
    <t>LINCOM studies in theoretical linguistics ; 24</t>
  </si>
  <si>
    <t>34169251:eng</t>
  </si>
  <si>
    <t>49376007</t>
  </si>
  <si>
    <t>ocm49376007</t>
  </si>
  <si>
    <t>31027739117</t>
  </si>
  <si>
    <t>9783895869631</t>
  </si>
  <si>
    <t>793738847</t>
  </si>
  <si>
    <t>P291 S8 v.10</t>
  </si>
  <si>
    <t>0                      P  0291000S  8                                                       v.10</t>
  </si>
  <si>
    <t>Selections from the third Groningen Round Table / edited by Frank Heny, Helmut S. Schnelle.</t>
  </si>
  <si>
    <t>v.10*</t>
  </si>
  <si>
    <t>Groningen Round Table (3rd : 1976.)</t>
  </si>
  <si>
    <t>Syntax and semantics ; v. 10</t>
  </si>
  <si>
    <t>351297198:eng</t>
  </si>
  <si>
    <t>5709298</t>
  </si>
  <si>
    <t>ocm05709298</t>
  </si>
  <si>
    <t>31027739107</t>
  </si>
  <si>
    <t>9780126135107</t>
  </si>
  <si>
    <t>792448312</t>
  </si>
  <si>
    <t>P291 S8 v.11</t>
  </si>
  <si>
    <t>0                      P  0291000S  8                                                       v.11</t>
  </si>
  <si>
    <t>Presupposition / edited by Choon-Kyu Oh, David A. Dinneen.</t>
  </si>
  <si>
    <t>v.11*</t>
  </si>
  <si>
    <t>Syntax and semantics ; v. 11</t>
  </si>
  <si>
    <t>3856781591:eng</t>
  </si>
  <si>
    <t>5317422</t>
  </si>
  <si>
    <t>ocm05317422</t>
  </si>
  <si>
    <t>31027739059</t>
  </si>
  <si>
    <t>9780126135114</t>
  </si>
  <si>
    <t>792424931</t>
  </si>
  <si>
    <t>P291 S8 v.12</t>
  </si>
  <si>
    <t>0                      P  0291000S  8                                                       v.12</t>
  </si>
  <si>
    <t>Discourse and syntax / edited by Talmy Givón.</t>
  </si>
  <si>
    <t>v.12*</t>
  </si>
  <si>
    <t>Syntax and semantics ; v. 12</t>
  </si>
  <si>
    <t>2017-07-25</t>
  </si>
  <si>
    <t>54322547:eng</t>
  </si>
  <si>
    <t>5433891</t>
  </si>
  <si>
    <t>ocm05433891</t>
  </si>
  <si>
    <t>31027739009</t>
  </si>
  <si>
    <t>9780126135121</t>
  </si>
  <si>
    <t>792432902</t>
  </si>
  <si>
    <t>P291 S8 v.13</t>
  </si>
  <si>
    <t>0                      P  0291000S  8                                                       v.13</t>
  </si>
  <si>
    <t>Current approaches to syntax / edited by Edith A. Moravcsik, Jessica R. Wirth.</t>
  </si>
  <si>
    <t>New York : Academic Press, ©1980.</t>
  </si>
  <si>
    <t>Syntax and semantics ; v. 13</t>
  </si>
  <si>
    <t>354717161:eng</t>
  </si>
  <si>
    <t>7078835</t>
  </si>
  <si>
    <t>ocm07078835</t>
  </si>
  <si>
    <t>3102773895V</t>
  </si>
  <si>
    <t>9780126135138</t>
  </si>
  <si>
    <t>792539111</t>
  </si>
  <si>
    <t>P291 S8 v.14</t>
  </si>
  <si>
    <t>0                      P  0291000S  8                                                       v.14</t>
  </si>
  <si>
    <t>Tense and aspect / edited by Philip J. Tedeschi, Annie Zaenen.</t>
  </si>
  <si>
    <t>v.14*</t>
  </si>
  <si>
    <t>New York : Academic Press, 1981.</t>
  </si>
  <si>
    <t>Syntax and semantics ; v. 14</t>
  </si>
  <si>
    <t>365064162:eng</t>
  </si>
  <si>
    <t>7709091</t>
  </si>
  <si>
    <t>ocm07709091</t>
  </si>
  <si>
    <t>3102773890V</t>
  </si>
  <si>
    <t>9780126135145</t>
  </si>
  <si>
    <t>792575330</t>
  </si>
  <si>
    <t>P291 S8 v.17</t>
  </si>
  <si>
    <t>0                      P  0291000S  8                                                       v.17</t>
  </si>
  <si>
    <t>Composite predicates in English / by Ray Cattell.</t>
  </si>
  <si>
    <t>v.17*</t>
  </si>
  <si>
    <t>Sydney ; Orlando : Academic Press, ©1984.</t>
  </si>
  <si>
    <t>Syntax and semantics ; v. 17</t>
  </si>
  <si>
    <t>4741040:eng</t>
  </si>
  <si>
    <t>11648259</t>
  </si>
  <si>
    <t>ocm11648259</t>
  </si>
  <si>
    <t>31027739197</t>
  </si>
  <si>
    <t>9780126135176</t>
  </si>
  <si>
    <t>792782100</t>
  </si>
  <si>
    <t>P291 S8 v.20</t>
  </si>
  <si>
    <t>0                      P  0291000S  8                                                       v.20</t>
  </si>
  <si>
    <t>Discontinuous constituency / edited by Geoffrey J. Huck, Almerindo E. Ojeda.</t>
  </si>
  <si>
    <t>Syntax and semantics ; v. 20</t>
  </si>
  <si>
    <t>353540745:eng</t>
  </si>
  <si>
    <t>14167609</t>
  </si>
  <si>
    <t>ocm14167609</t>
  </si>
  <si>
    <t>31027739099</t>
  </si>
  <si>
    <t>9780126135206</t>
  </si>
  <si>
    <t>792880473</t>
  </si>
  <si>
    <t>P291 S8 v.23</t>
  </si>
  <si>
    <t>0                      P  0291000S  8                                                       v.23</t>
  </si>
  <si>
    <t>The Syntax of the modern Celtic languages / edited by Randall Hendrick.</t>
  </si>
  <si>
    <t>v.23*</t>
  </si>
  <si>
    <t>San Diego : Academic Press, ©1990.</t>
  </si>
  <si>
    <t>Syntax and semantics ; v. 23</t>
  </si>
  <si>
    <t>22728618:eng</t>
  </si>
  <si>
    <t>20992983</t>
  </si>
  <si>
    <t>ocm20992983</t>
  </si>
  <si>
    <t>31027739049</t>
  </si>
  <si>
    <t>9780126135237</t>
  </si>
  <si>
    <t>793105415</t>
  </si>
  <si>
    <t>P291 S8 v.24</t>
  </si>
  <si>
    <t>0                      P  0291000S  8                                                       v.24</t>
  </si>
  <si>
    <t>Modern Icelandic syntax / edited by Joan Maling and Annie Zaenen.</t>
  </si>
  <si>
    <t>v.24*</t>
  </si>
  <si>
    <t>Syntax and semantics ; v. 24</t>
  </si>
  <si>
    <t>347029150:eng</t>
  </si>
  <si>
    <t>20993054</t>
  </si>
  <si>
    <t>ocm20993054</t>
  </si>
  <si>
    <t>3102773899V</t>
  </si>
  <si>
    <t>9780126135244</t>
  </si>
  <si>
    <t>793105419</t>
  </si>
  <si>
    <t>P291 S8 v.25</t>
  </si>
  <si>
    <t>0                      P  0291000S  8                                                       v.25</t>
  </si>
  <si>
    <t>Perspectives on phrase structure : heads and licensing / edited by Susan D. Rothstein.</t>
  </si>
  <si>
    <t>v.25*</t>
  </si>
  <si>
    <t>Bingley, UK : Emerald, ©1991.</t>
  </si>
  <si>
    <t>Syntax and semantics ; v. 25</t>
  </si>
  <si>
    <t>151128262:eng</t>
  </si>
  <si>
    <t>793921078</t>
  </si>
  <si>
    <t>ocn793921078</t>
  </si>
  <si>
    <t>3103090388B</t>
  </si>
  <si>
    <t>9780126061062</t>
  </si>
  <si>
    <t>794918834</t>
  </si>
  <si>
    <t>P291 S8 v.28</t>
  </si>
  <si>
    <t>0                      P  0291000S  8                                                       v.28</t>
  </si>
  <si>
    <t>Small clauses / edited by Anna Cardinaletti, Maria Teresa Guasti.</t>
  </si>
  <si>
    <t>v.28*</t>
  </si>
  <si>
    <t>San Diego : Academic Press, ©1995.</t>
  </si>
  <si>
    <t>Syntax and semantics ; v. 28</t>
  </si>
  <si>
    <t>194522567:eng</t>
  </si>
  <si>
    <t>33087681</t>
  </si>
  <si>
    <t>ocm33087681</t>
  </si>
  <si>
    <t>31014510288</t>
  </si>
  <si>
    <t>9780126135282</t>
  </si>
  <si>
    <t>793401558</t>
  </si>
  <si>
    <t>P291 S8 v.29</t>
  </si>
  <si>
    <t>0                      P  0291000S  8                                                       v.29</t>
  </si>
  <si>
    <t>The limits of syntax / edited by Peter W. Culicover, Louise McNally.</t>
  </si>
  <si>
    <t>v.29*</t>
  </si>
  <si>
    <t>San Diego : Academic Press, [1997], ©1998.</t>
  </si>
  <si>
    <t>Syntax and semantics ; v. 29</t>
  </si>
  <si>
    <t>2017-09-18</t>
  </si>
  <si>
    <t>365097776:eng</t>
  </si>
  <si>
    <t>37852982</t>
  </si>
  <si>
    <t>ocm37852982</t>
  </si>
  <si>
    <t>31027739235</t>
  </si>
  <si>
    <t>9780126135299</t>
  </si>
  <si>
    <t>793508435</t>
  </si>
  <si>
    <t>P291 S8 v.33</t>
  </si>
  <si>
    <t>0                      P  0291000S  8                                                       v.33</t>
  </si>
  <si>
    <t>Long-distance reflexives / edited by Peter Cole, Gabriella Hermon, C.-T. James Huang.</t>
  </si>
  <si>
    <t>v.33*</t>
  </si>
  <si>
    <t>San Diego, CA : Academic Press, ©2001.</t>
  </si>
  <si>
    <t>Syntax and semantics ; v. 33</t>
  </si>
  <si>
    <t>356321860:eng</t>
  </si>
  <si>
    <t>45295105</t>
  </si>
  <si>
    <t>ocm45295105</t>
  </si>
  <si>
    <t>31027739089</t>
  </si>
  <si>
    <t>9780126135336</t>
  </si>
  <si>
    <t>793668723</t>
  </si>
  <si>
    <t>P291 S8 v.35</t>
  </si>
  <si>
    <t>0                      P  0291000S  8                                                       v.35</t>
  </si>
  <si>
    <t>The dynamics of language : an introduction / Ronnie Cann, Ruth Kempson, Lutz Marten.</t>
  </si>
  <si>
    <t>v.35*</t>
  </si>
  <si>
    <t>Cann, Ronnie.</t>
  </si>
  <si>
    <t>Amsterdam ; Oxford : Elsevier, 2005.</t>
  </si>
  <si>
    <t>Syntax and semantics, 0092-4563 ; v. 35</t>
  </si>
  <si>
    <t>865254593:eng</t>
  </si>
  <si>
    <t>57749519</t>
  </si>
  <si>
    <t>ocm57749519</t>
  </si>
  <si>
    <t>3102494232S</t>
  </si>
  <si>
    <t>9780126135350</t>
  </si>
  <si>
    <t>793918771</t>
  </si>
  <si>
    <t>3102502370R</t>
  </si>
  <si>
    <t>793918772</t>
  </si>
  <si>
    <t>P291 S8 v.6</t>
  </si>
  <si>
    <t>0                      P  0291000S  8                                                       v.6</t>
  </si>
  <si>
    <t>The grammar of causative constructions / edited by Masayoshi Shibatani.</t>
  </si>
  <si>
    <t>New York : Academic Press, [1976].</t>
  </si>
  <si>
    <t>Syntax and semantics ; v. 6</t>
  </si>
  <si>
    <t>2000-09-28</t>
  </si>
  <si>
    <t>3901477505:eng</t>
  </si>
  <si>
    <t>2595964</t>
  </si>
  <si>
    <t>ocm02595964</t>
  </si>
  <si>
    <t>3000990044B</t>
  </si>
  <si>
    <t>9780127854267</t>
  </si>
  <si>
    <t>792149484</t>
  </si>
  <si>
    <t>v.6*</t>
  </si>
  <si>
    <t>3103741224E</t>
  </si>
  <si>
    <t>792149483</t>
  </si>
  <si>
    <t>P291 S8 v.9</t>
  </si>
  <si>
    <t>0                      P  0291000S  8                                                       v.9</t>
  </si>
  <si>
    <t>Pragmatics / edited by Peter Cole.</t>
  </si>
  <si>
    <t>v.9*</t>
  </si>
  <si>
    <t>Syntax and semantics ; 9</t>
  </si>
  <si>
    <t>143535049:eng</t>
  </si>
  <si>
    <t>4035704</t>
  </si>
  <si>
    <t>ocm04035704</t>
  </si>
  <si>
    <t>3102799474D</t>
  </si>
  <si>
    <t>9780126135091</t>
  </si>
  <si>
    <t>792315698</t>
  </si>
  <si>
    <t>P291 S9 1975</t>
  </si>
  <si>
    <t>0                      P  0291000S  9           1975</t>
  </si>
  <si>
    <t>Subject and topic : [papers] / edited by Charles N. Li.</t>
  </si>
  <si>
    <t>Symposium on Subject and Topic (1975 : University of California, Santa Barbara)</t>
  </si>
  <si>
    <t>New York : Academic Press, ©1976.</t>
  </si>
  <si>
    <t>2017-06-13</t>
  </si>
  <si>
    <t>352416846:eng</t>
  </si>
  <si>
    <t>1976023</t>
  </si>
  <si>
    <t>ocm01976023</t>
  </si>
  <si>
    <t>3102773893V</t>
  </si>
  <si>
    <t>9780124473508</t>
  </si>
  <si>
    <t>792021618</t>
  </si>
  <si>
    <t>3103772853Y</t>
  </si>
  <si>
    <t>792021617</t>
  </si>
  <si>
    <t>P291 S95</t>
  </si>
  <si>
    <t>0                      P  0291000S  95</t>
  </si>
  <si>
    <t>Syntactic argumentation / [edited by] Donna Jo Napoli and Emily Norwood Rando.</t>
  </si>
  <si>
    <t>Washington : Georgetown University Press, ©1979.</t>
  </si>
  <si>
    <t>350965457:eng</t>
  </si>
  <si>
    <t>5219365</t>
  </si>
  <si>
    <t>ocm05219365</t>
  </si>
  <si>
    <t>31027739275</t>
  </si>
  <si>
    <t>9780878401802</t>
  </si>
  <si>
    <t>792416815</t>
  </si>
  <si>
    <t>P291 S9535 2018</t>
  </si>
  <si>
    <t>0                      P  0291000S  9535        2018</t>
  </si>
  <si>
    <t>Syntactic structures after 60 years / edited by Norbert Hornstein, Howard Lasnik, Pritty Patel-Grosz, Charles Yang.</t>
  </si>
  <si>
    <t>Studies in generative grammar, 0167-4331 ; volume 129</t>
  </si>
  <si>
    <t>4779630162:eng</t>
  </si>
  <si>
    <t>1019853993</t>
  </si>
  <si>
    <t>on1019853993</t>
  </si>
  <si>
    <t>3103703699I</t>
  </si>
  <si>
    <t>9781501514654</t>
  </si>
  <si>
    <t>795049965</t>
  </si>
  <si>
    <t>P291 S9545 2010</t>
  </si>
  <si>
    <t>0                      P  0291000S  9545        2010</t>
  </si>
  <si>
    <t>Syntactic variation and genre / edited by Heidrun Dorgeloh, Anja Wanner.</t>
  </si>
  <si>
    <t>Topics in English linguistics ; 70</t>
  </si>
  <si>
    <t>1005334927:eng</t>
  </si>
  <si>
    <t>660537008</t>
  </si>
  <si>
    <t>ocn660537008</t>
  </si>
  <si>
    <t>3103344236F</t>
  </si>
  <si>
    <t>9783110226478</t>
  </si>
  <si>
    <t>794836964</t>
  </si>
  <si>
    <t>P291 S95624 2011</t>
  </si>
  <si>
    <t>0                      P  0291000S  95624       2011</t>
  </si>
  <si>
    <t>Syntax and morphology multidimensional / edited by Andreas Nolda, Oliver Teuber.</t>
  </si>
  <si>
    <t>Berlin ; Boston : Mouton de Gruyter, ©2011.</t>
  </si>
  <si>
    <t>Interface explorations ; 24</t>
  </si>
  <si>
    <t>1080613715:eng</t>
  </si>
  <si>
    <t>712127497</t>
  </si>
  <si>
    <t>ocn712127497</t>
  </si>
  <si>
    <t>3103384169T</t>
  </si>
  <si>
    <t>9783110238747</t>
  </si>
  <si>
    <t>794871840</t>
  </si>
  <si>
    <t>P291 S95767 2010</t>
  </si>
  <si>
    <t>0                      P  0291000S  95767       2010</t>
  </si>
  <si>
    <t>The syntax of nominalizations across languages and frameworks / edited by Artemis Alexiadou, Monika Rathert.</t>
  </si>
  <si>
    <t>Interface explorations ; 23</t>
  </si>
  <si>
    <t>2011-02-08</t>
  </si>
  <si>
    <t>1044436540:eng</t>
  </si>
  <si>
    <t>645790915</t>
  </si>
  <si>
    <t>ocn645790915</t>
  </si>
  <si>
    <t>3103227316K</t>
  </si>
  <si>
    <t>9783110245868</t>
  </si>
  <si>
    <t>794829863</t>
  </si>
  <si>
    <t>P291 T47</t>
  </si>
  <si>
    <t>0                      P  0291000T  47</t>
  </si>
  <si>
    <t>Élements de syntaxe structurale. Préf. de Jean Fourquet.</t>
  </si>
  <si>
    <t>Tesnière, Lucien, 1893-1954.</t>
  </si>
  <si>
    <t>Paris, C. Klincksieck, 1959.</t>
  </si>
  <si>
    <t>1361778:fre</t>
  </si>
  <si>
    <t>2673928</t>
  </si>
  <si>
    <t>ocm02673928</t>
  </si>
  <si>
    <t>3102773892V</t>
  </si>
  <si>
    <t>792161083</t>
  </si>
  <si>
    <t>P291 T485 2000</t>
  </si>
  <si>
    <t>0                      P  0291000T  485         2000</t>
  </si>
  <si>
    <t>La thématisation dans les langues : actes du colloque de Caen, 9-11 octobre 1997 / textes réunis par Claude Guimier.</t>
  </si>
  <si>
    <t>Bern : Peter Lang, ©2000.</t>
  </si>
  <si>
    <t>2e éd.</t>
  </si>
  <si>
    <t>Sciences pour la communication ; 53</t>
  </si>
  <si>
    <t>807398291:fre</t>
  </si>
  <si>
    <t>61569095</t>
  </si>
  <si>
    <t>ocm61569095</t>
  </si>
  <si>
    <t>3102773887X</t>
  </si>
  <si>
    <t>9783906758459</t>
  </si>
  <si>
    <t>794003457</t>
  </si>
  <si>
    <t>P291 T66 1998</t>
  </si>
  <si>
    <t>0                      P  0291000T  66          1998</t>
  </si>
  <si>
    <t>The fine structure of polarity sensitivity / Lucia M. Tovena.</t>
  </si>
  <si>
    <t>Tovena, Lucia M.</t>
  </si>
  <si>
    <t>New York : Garland Pub., 1998.</t>
  </si>
  <si>
    <t>2779121:eng</t>
  </si>
  <si>
    <t>39116562</t>
  </si>
  <si>
    <t>ocm39116562</t>
  </si>
  <si>
    <t>3102773966Y</t>
  </si>
  <si>
    <t>9780815331339</t>
  </si>
  <si>
    <t>793538389</t>
  </si>
  <si>
    <t>P291 T73 2010</t>
  </si>
  <si>
    <t>0                      P  0291000T  73          2010</t>
  </si>
  <si>
    <t>Transitivity : form, meaning, acquisition, and processing / edited by Patrick Brandt, Marco Garcia García.</t>
  </si>
  <si>
    <t>Linguistik aktuell/Linguistics today ; v. 166</t>
  </si>
  <si>
    <t>796521053:eng</t>
  </si>
  <si>
    <t>643322232</t>
  </si>
  <si>
    <t>ocn643322232</t>
  </si>
  <si>
    <t>3103344076D</t>
  </si>
  <si>
    <t>9789027255495</t>
  </si>
  <si>
    <t>794828726</t>
  </si>
  <si>
    <t>P291 V358 1997</t>
  </si>
  <si>
    <t>0                      P  0291000V  358         1997</t>
  </si>
  <si>
    <t>Syntax : structure, meaning, and function / Robert D. Van Valin Jr., Randy J. LaPolla.</t>
  </si>
  <si>
    <t>Van Valin, Robert D.</t>
  </si>
  <si>
    <t>2017-11-18</t>
  </si>
  <si>
    <t>807633835:eng</t>
  </si>
  <si>
    <t>35758099</t>
  </si>
  <si>
    <t>ocm35758099</t>
  </si>
  <si>
    <t>31027739363</t>
  </si>
  <si>
    <t>9780521495653</t>
  </si>
  <si>
    <t>793456730</t>
  </si>
  <si>
    <t>P291 V65 2009</t>
  </si>
  <si>
    <t>0                      P  0291000V  65          2009</t>
  </si>
  <si>
    <t>The art of syntax : rhythm of thought, rhythm of song / Ellen Bryant Voigt.</t>
  </si>
  <si>
    <t>Voigt, Ellen Bryant, 1943-</t>
  </si>
  <si>
    <t>Saint Paul, MN : Graywolf Press, ©2009.</t>
  </si>
  <si>
    <t>The art of series</t>
  </si>
  <si>
    <t>308208390:eng</t>
  </si>
  <si>
    <t>263984951</t>
  </si>
  <si>
    <t>ocn263984951</t>
  </si>
  <si>
    <t>3103080606N</t>
  </si>
  <si>
    <t>9781555975319</t>
  </si>
  <si>
    <t>794404270</t>
  </si>
  <si>
    <t>P291 W55 2011</t>
  </si>
  <si>
    <t>0                      P  0291000W  55          2011</t>
  </si>
  <si>
    <t>Regimes of derivation in syntax and morphology / Edwin Williams.</t>
  </si>
  <si>
    <t>Williams, Edwin.</t>
  </si>
  <si>
    <t>2016-01-18</t>
  </si>
  <si>
    <t>567016396:eng</t>
  </si>
  <si>
    <t>654316873</t>
  </si>
  <si>
    <t>ocn654316873</t>
  </si>
  <si>
    <t>3103320973C</t>
  </si>
  <si>
    <t>9780415887236</t>
  </si>
  <si>
    <t>794833996</t>
  </si>
  <si>
    <t>P291 Z48 2010</t>
  </si>
  <si>
    <t>0                      P  0291000Z  48          2010</t>
  </si>
  <si>
    <t>Coordination in syntax / Niina Ning Zhang.</t>
  </si>
  <si>
    <t>Zhang, Niina Ning.</t>
  </si>
  <si>
    <t>Cambridge studies in linguistics ; 123</t>
  </si>
  <si>
    <t>370435060:eng</t>
  </si>
  <si>
    <t>422753514</t>
  </si>
  <si>
    <t>ocn422753514</t>
  </si>
  <si>
    <t>3103157875L</t>
  </si>
  <si>
    <t>9780521767552</t>
  </si>
  <si>
    <t>794505714</t>
  </si>
  <si>
    <t>P291.27 B46 2010</t>
  </si>
  <si>
    <t>0                      P  0291270B  46          2010</t>
  </si>
  <si>
    <t>Benefactives and malefactives : typological perspectives and case studies / edited by Fernando Zúñiga, Seppo Kittilä.</t>
  </si>
  <si>
    <t>Typological studies in language, 0167-7373 ; v. 92</t>
  </si>
  <si>
    <t>888359153:eng</t>
  </si>
  <si>
    <t>499178584</t>
  </si>
  <si>
    <t>ocn499178584</t>
  </si>
  <si>
    <t>3103237872P</t>
  </si>
  <si>
    <t>9789027206732</t>
  </si>
  <si>
    <t>794803480</t>
  </si>
  <si>
    <t>P291.3 A45 2010</t>
  </si>
  <si>
    <t>0                      P  0291300A  45          2010</t>
  </si>
  <si>
    <t>The syntactic licensing of ellipsis / Lobke Aelbrecht.</t>
  </si>
  <si>
    <t>Aelbrecht, Lobke.</t>
  </si>
  <si>
    <t>Linguistik aktuell = Linguistics today ; v. 149</t>
  </si>
  <si>
    <t>2014-11-24</t>
  </si>
  <si>
    <t>342576793:eng</t>
  </si>
  <si>
    <t>457772281</t>
  </si>
  <si>
    <t>ocn457772281</t>
  </si>
  <si>
    <t>3103097758E</t>
  </si>
  <si>
    <t>9789027255327</t>
  </si>
  <si>
    <t>794790144</t>
  </si>
  <si>
    <t>P291.3 C48 1988</t>
  </si>
  <si>
    <t>0                      P  0291300C  48          1988</t>
  </si>
  <si>
    <t>On ellipsis / Wynn Chao.</t>
  </si>
  <si>
    <t>Chao, Wynn.</t>
  </si>
  <si>
    <t>New York : Garland Pub., 1988.</t>
  </si>
  <si>
    <t>2018-06-14</t>
  </si>
  <si>
    <t>910368:eng</t>
  </si>
  <si>
    <t>18105484</t>
  </si>
  <si>
    <t>ocm18105484</t>
  </si>
  <si>
    <t>31027739401</t>
  </si>
  <si>
    <t>9780824051785</t>
  </si>
  <si>
    <t>793013854</t>
  </si>
  <si>
    <t>P291.3 I58 2003</t>
  </si>
  <si>
    <t>0                      P  0291300I  58          2003</t>
  </si>
  <si>
    <t>The interfaces : deriving and interpreting omitted structures / edited by Kerstin Schwabe, Susanne Winkler.</t>
  </si>
  <si>
    <t>Linguistik aktuell = Linguistics today, 0166-0829 ; v. 61</t>
  </si>
  <si>
    <t>793897655:eng</t>
  </si>
  <si>
    <t>50516532</t>
  </si>
  <si>
    <t>ocm50516532</t>
  </si>
  <si>
    <t>31022862086</t>
  </si>
  <si>
    <t>9781588113306</t>
  </si>
  <si>
    <t>793766724</t>
  </si>
  <si>
    <t>P291.3 M47 2001</t>
  </si>
  <si>
    <t>0                      P  0291300M  47          2001</t>
  </si>
  <si>
    <t>The syntax of silence : sluicing, islands, and the theory of ellipsis / Jason Merchant.</t>
  </si>
  <si>
    <t>Merchant, Jason.</t>
  </si>
  <si>
    <t>Oxford studies in theoretical linguistics ; 1</t>
  </si>
  <si>
    <t>34619394:eng</t>
  </si>
  <si>
    <t>45853197</t>
  </si>
  <si>
    <t>ocm45853197</t>
  </si>
  <si>
    <t>3102773959$</t>
  </si>
  <si>
    <t>9780199243730</t>
  </si>
  <si>
    <t>793679729</t>
  </si>
  <si>
    <t>P291.3 S59 2012</t>
  </si>
  <si>
    <t>0                      P  0291300S  59          2012</t>
  </si>
  <si>
    <t>Sluicing : cross-linguistic perspective / edited by Jason Merchant and Andrew Simpson.</t>
  </si>
  <si>
    <t>Oxford studies in theoretical linguistics ; 38</t>
  </si>
  <si>
    <t>1118105433:eng</t>
  </si>
  <si>
    <t>773428594</t>
  </si>
  <si>
    <t>ocn773428594</t>
  </si>
  <si>
    <t>3103422467F</t>
  </si>
  <si>
    <t>9780199645763</t>
  </si>
  <si>
    <t>794905602</t>
  </si>
  <si>
    <t>P291.3 T67 2008</t>
  </si>
  <si>
    <t>0                      P  0291300T  67          2008</t>
  </si>
  <si>
    <t>Topics in ellipsis / edited by Kyle Johnson.</t>
  </si>
  <si>
    <t>866513502:eng</t>
  </si>
  <si>
    <t>141380337</t>
  </si>
  <si>
    <t>ocn141380337</t>
  </si>
  <si>
    <t>3102574388J</t>
  </si>
  <si>
    <t>9780521815086</t>
  </si>
  <si>
    <t>794234726</t>
  </si>
  <si>
    <t>P291.3 W55 2005</t>
  </si>
  <si>
    <t>0                      P  0291300W  55          2005</t>
  </si>
  <si>
    <t>Ellipsis and focus in generative grammar / by Susanne Winkler.</t>
  </si>
  <si>
    <t>Winkler, Susanne, 1960-</t>
  </si>
  <si>
    <t>Studies in generative grammar ; 81</t>
  </si>
  <si>
    <t>46665526:eng</t>
  </si>
  <si>
    <t>62281664</t>
  </si>
  <si>
    <t>ocm62281664</t>
  </si>
  <si>
    <t>3102558609K</t>
  </si>
  <si>
    <t>9783110186017</t>
  </si>
  <si>
    <t>794103393</t>
  </si>
  <si>
    <t>P291.5 D59 1994</t>
  </si>
  <si>
    <t>0                      P  0291500D  59          1994</t>
  </si>
  <si>
    <t>Ergativity / R.M.W. Dixon.</t>
  </si>
  <si>
    <t>Cambridge studies in linguistics ; 69</t>
  </si>
  <si>
    <t>343270:eng</t>
  </si>
  <si>
    <t>28063871</t>
  </si>
  <si>
    <t>ocm28063871</t>
  </si>
  <si>
    <t>3102773954$</t>
  </si>
  <si>
    <t>9780521444460</t>
  </si>
  <si>
    <t>793278895</t>
  </si>
  <si>
    <t>P291.5 E69 2005</t>
  </si>
  <si>
    <t>0                      P  0291500E  69          2005</t>
  </si>
  <si>
    <t>Ergativity : emerging issues / edited by Alana Johns, Diane Massam and Juvenal Ndayiragije.</t>
  </si>
  <si>
    <t>Dordrecht, Netherlands : Springer, ©2006.</t>
  </si>
  <si>
    <t>Studies in natural language and linguistic theory ; v. 65</t>
  </si>
  <si>
    <t>905896134:eng</t>
  </si>
  <si>
    <t>65166801</t>
  </si>
  <si>
    <t>ocm65166801</t>
  </si>
  <si>
    <t>3102581699F</t>
  </si>
  <si>
    <t>9781402041860</t>
  </si>
  <si>
    <t>794132416</t>
  </si>
  <si>
    <t>P291.5 E74 2012</t>
  </si>
  <si>
    <t>0                      P  0291500E  74          2012</t>
  </si>
  <si>
    <t>Ergativity, valency and voice / edited by Gilles Authier, Katharina Haude.</t>
  </si>
  <si>
    <t>[Berlin] ; [Boston] : De Gruyter Mouton, ©2012.</t>
  </si>
  <si>
    <t>Empirical approaches to language typology ; 48</t>
  </si>
  <si>
    <t>773944170:eng</t>
  </si>
  <si>
    <t>775664178</t>
  </si>
  <si>
    <t>ocn775664178</t>
  </si>
  <si>
    <t>3103413509P</t>
  </si>
  <si>
    <t>9783110227727</t>
  </si>
  <si>
    <t>794907761</t>
  </si>
  <si>
    <t>P292.5 D36 2005</t>
  </si>
  <si>
    <t>0                      P  0292500D  36          2005</t>
  </si>
  <si>
    <t>Mental spaces in grammar : conditional constructions / Barbara Dancygier and Eve Sweetser.</t>
  </si>
  <si>
    <t>Dancygier, Barbara.</t>
  </si>
  <si>
    <t>New York : Cambridge University Press, 2005.</t>
  </si>
  <si>
    <t>Cambridge studies in linguistics ; [108]</t>
  </si>
  <si>
    <t>800596738:eng</t>
  </si>
  <si>
    <t>56011029</t>
  </si>
  <si>
    <t>ocm56011029</t>
  </si>
  <si>
    <t>31024920493</t>
  </si>
  <si>
    <t>9780521844680</t>
  </si>
  <si>
    <t>793885720</t>
  </si>
  <si>
    <t>P293 J64 1998</t>
  </si>
  <si>
    <t>0                      P  0293000J  64          1998</t>
  </si>
  <si>
    <t>Coordination / Janne Bondi Johannessen.</t>
  </si>
  <si>
    <t>Johannessen, Janne Bondi.</t>
  </si>
  <si>
    <t>598677:eng</t>
  </si>
  <si>
    <t>37226937</t>
  </si>
  <si>
    <t>ocm37226937</t>
  </si>
  <si>
    <t>3102773972W</t>
  </si>
  <si>
    <t>9780198237099</t>
  </si>
  <si>
    <t>793493749</t>
  </si>
  <si>
    <t>P293 L3613 1984</t>
  </si>
  <si>
    <t>0                      P  0293000L  3613        1984</t>
  </si>
  <si>
    <t>The semantics of coordination / Ewald Lang ; translation, John Pheby.</t>
  </si>
  <si>
    <t>Lang, Ewald, 1942-</t>
  </si>
  <si>
    <t>Amsterdam : J. Benjamins, 1984.</t>
  </si>
  <si>
    <t>Studies in language companion series, 0165-7763 ; v. 9</t>
  </si>
  <si>
    <t>60750394:eng</t>
  </si>
  <si>
    <t>10948815</t>
  </si>
  <si>
    <t>ocm10948815</t>
  </si>
  <si>
    <t>3102773967Y</t>
  </si>
  <si>
    <t>9789027230089</t>
  </si>
  <si>
    <t>792750812</t>
  </si>
  <si>
    <t>P293 W56 2001</t>
  </si>
  <si>
    <t>0                      P  0293000W  56          2001</t>
  </si>
  <si>
    <t>Flexibility principles in boolean semantics : the interpretation of coordination, plurality, and scope in natural language / Yoad Winter.</t>
  </si>
  <si>
    <t>Winter, Yoad.</t>
  </si>
  <si>
    <t>Current studies in linguistics ; 37</t>
  </si>
  <si>
    <t>800301928:eng</t>
  </si>
  <si>
    <t>47650670</t>
  </si>
  <si>
    <t>ocm47650670</t>
  </si>
  <si>
    <t>3102773962Y</t>
  </si>
  <si>
    <t>9780262232180</t>
  </si>
  <si>
    <t>793704507</t>
  </si>
  <si>
    <t>P293.3 L36 2010</t>
  </si>
  <si>
    <t>0                      P  0293300L  36          2010</t>
  </si>
  <si>
    <t>The locative syntax of experiencers / Idan Landau.</t>
  </si>
  <si>
    <t>Landau, Idan.</t>
  </si>
  <si>
    <t>Linguistic inquiry monographs ; 53</t>
  </si>
  <si>
    <t>189981508:eng</t>
  </si>
  <si>
    <t>310716280</t>
  </si>
  <si>
    <t>ocn310716280</t>
  </si>
  <si>
    <t>31031114537</t>
  </si>
  <si>
    <t>9780262013307</t>
  </si>
  <si>
    <t>794435717</t>
  </si>
  <si>
    <t>P293.35 P364 2015</t>
  </si>
  <si>
    <t>0                      P  0293350P  364         2015</t>
  </si>
  <si>
    <t>Parenthesis and ellipsis : cross-linguistic and theoretical perspectives / edited by Marlies Kluck, Dennis Ott, Mark de Vries.</t>
  </si>
  <si>
    <t>Studies in generative grammar, 0167-4331 ; volume 121</t>
  </si>
  <si>
    <t>2255561770:eng</t>
  </si>
  <si>
    <t>898121834</t>
  </si>
  <si>
    <t>ocn898121834</t>
  </si>
  <si>
    <t>3103582425O</t>
  </si>
  <si>
    <t>9781614516743</t>
  </si>
  <si>
    <t>794985858</t>
  </si>
  <si>
    <t>P293.4 S65 1989</t>
  </si>
  <si>
    <t>0                      P  0293400S  65          1989</t>
  </si>
  <si>
    <t>Eurogrammar : the relative and cleft construction s of the germanic and romance languages.</t>
  </si>
  <si>
    <t>Smits, R. J. C.</t>
  </si>
  <si>
    <t>[Place of publication not identified] : Mouton, 1989.</t>
  </si>
  <si>
    <t>286749942:eng</t>
  </si>
  <si>
    <t>232538568</t>
  </si>
  <si>
    <t>ocn232538568</t>
  </si>
  <si>
    <t>31027739421</t>
  </si>
  <si>
    <t>9789067654340</t>
  </si>
  <si>
    <t>794363800</t>
  </si>
  <si>
    <t>P294 C67 2010</t>
  </si>
  <si>
    <t>0                      P  0294000C  67          2010</t>
  </si>
  <si>
    <t>The complementizer phase : subjects and operators / edited by E. Phoevos Panagiotidis.</t>
  </si>
  <si>
    <t>Oxford studies in theoretical linguistics ; 30</t>
  </si>
  <si>
    <t>796541983:eng</t>
  </si>
  <si>
    <t>548626380</t>
  </si>
  <si>
    <t>ocn548626380</t>
  </si>
  <si>
    <t>3103134586D</t>
  </si>
  <si>
    <t>9780199584352</t>
  </si>
  <si>
    <t>794811109</t>
  </si>
  <si>
    <t>P294.5 A53 2002</t>
  </si>
  <si>
    <t>0                      P  0294500A  53          2002</t>
  </si>
  <si>
    <t>Exploring time, tense, and aspect in natural language database interfaces / Ion Androutsopoulos.</t>
  </si>
  <si>
    <t>Androutsopoulos, Ion.</t>
  </si>
  <si>
    <t>Natural language processing ; v. 6</t>
  </si>
  <si>
    <t>5614577399:eng</t>
  </si>
  <si>
    <t>50072627</t>
  </si>
  <si>
    <t>ocm50072627</t>
  </si>
  <si>
    <t>3102774019U</t>
  </si>
  <si>
    <t>9781588112699</t>
  </si>
  <si>
    <t>793754980</t>
  </si>
  <si>
    <t>P294.5 E97 2009</t>
  </si>
  <si>
    <t>0                      P  0294500E  97          2009</t>
  </si>
  <si>
    <t>The expression of time / edited by Wolfgang Klein, Ping Li.</t>
  </si>
  <si>
    <t>The expression of cognitive categories ; 3</t>
  </si>
  <si>
    <t>1044756061:eng</t>
  </si>
  <si>
    <t>301948642</t>
  </si>
  <si>
    <t>ocn301948642</t>
  </si>
  <si>
    <t>3103082361C</t>
  </si>
  <si>
    <t>9783110195811</t>
  </si>
  <si>
    <t>794433129</t>
  </si>
  <si>
    <t>P294.5 J37 2009</t>
  </si>
  <si>
    <t>0                      P  0294500J  37          2009</t>
  </si>
  <si>
    <t>Representing time : an essay on temporality as modality / K.M. Jaszczolt.</t>
  </si>
  <si>
    <t>Jaszczolt, Katarzyna.</t>
  </si>
  <si>
    <t>801559599:eng</t>
  </si>
  <si>
    <t>236333799</t>
  </si>
  <si>
    <t>ocn236333799</t>
  </si>
  <si>
    <t>31030816677</t>
  </si>
  <si>
    <t>9780199214433</t>
  </si>
  <si>
    <t>794371577</t>
  </si>
  <si>
    <t>P294.5 K57 1994</t>
  </si>
  <si>
    <t>0                      P  0294500K  57          1994</t>
  </si>
  <si>
    <t>Time in language / Wolfgang Klein.</t>
  </si>
  <si>
    <t>Klein, Wolfgang, 1946 February 3-</t>
  </si>
  <si>
    <t>Germanic linguistics</t>
  </si>
  <si>
    <t>143344620:eng</t>
  </si>
  <si>
    <t>28965541</t>
  </si>
  <si>
    <t>ocm28965541</t>
  </si>
  <si>
    <t>3102774018U</t>
  </si>
  <si>
    <t>9780415104128</t>
  </si>
  <si>
    <t>793300606</t>
  </si>
  <si>
    <t>P294.5 S94 2004</t>
  </si>
  <si>
    <t>0                      P  0294500S  94          2004</t>
  </si>
  <si>
    <t>The syntax of time / edited by Jacqueline Guéron and Jacqueline Lecarme.</t>
  </si>
  <si>
    <t>400774162:eng</t>
  </si>
  <si>
    <t>53285194</t>
  </si>
  <si>
    <t>ocm53285194</t>
  </si>
  <si>
    <t>3102774017U</t>
  </si>
  <si>
    <t>9780262072496</t>
  </si>
  <si>
    <t>793825484</t>
  </si>
  <si>
    <t>P294.5 T48 1998</t>
  </si>
  <si>
    <t>0                      P  0294500T  48          1998</t>
  </si>
  <si>
    <t>Le temps des événements : pragmatique de la référence temporelle / sous la direction de Jacques Moeschler ; Jacques Jayez [and others].</t>
  </si>
  <si>
    <t>Paris : Editions Kimé, ©1998.</t>
  </si>
  <si>
    <t>2015-12-11</t>
  </si>
  <si>
    <t>866255858:fre</t>
  </si>
  <si>
    <t>40960023</t>
  </si>
  <si>
    <t>ocm40960023</t>
  </si>
  <si>
    <t>3102774014U</t>
  </si>
  <si>
    <t>9782841741373</t>
  </si>
  <si>
    <t>793580057</t>
  </si>
  <si>
    <t>P295 A44 2009</t>
  </si>
  <si>
    <t>0                      P  0295000A  44          2009</t>
  </si>
  <si>
    <t>Alternatives to cartography / edited by Jeroen van Craenenbroeck.</t>
  </si>
  <si>
    <t>Studies in generative grammar ; 100</t>
  </si>
  <si>
    <t>1044601150:eng</t>
  </si>
  <si>
    <t>247274977</t>
  </si>
  <si>
    <t>ocn247274977</t>
  </si>
  <si>
    <t>3103157919U</t>
  </si>
  <si>
    <t>9783110206036</t>
  </si>
  <si>
    <t>794383974</t>
  </si>
  <si>
    <t>P295 B639 2008</t>
  </si>
  <si>
    <t>0                      P  0295000B  639         2008</t>
  </si>
  <si>
    <t>Bare syntax / Cedric Boeckx.</t>
  </si>
  <si>
    <t>117449918:eng</t>
  </si>
  <si>
    <t>183610019</t>
  </si>
  <si>
    <t>ocn183610019</t>
  </si>
  <si>
    <t>3102853191J</t>
  </si>
  <si>
    <t>9780199534241</t>
  </si>
  <si>
    <t>794288270</t>
  </si>
  <si>
    <t>2010-11-19</t>
  </si>
  <si>
    <t>3103038690Z</t>
  </si>
  <si>
    <t>794288269</t>
  </si>
  <si>
    <t>P295 C37 2007</t>
  </si>
  <si>
    <t>0                      P  0295000C  37          2007</t>
  </si>
  <si>
    <t>Syntax : a generative introduction / Andrew Carnie.</t>
  </si>
  <si>
    <t>Malden, MA : Blackwell Pub., 2007.</t>
  </si>
  <si>
    <t>Introducing linguistics ; 4</t>
  </si>
  <si>
    <t>339753836:eng</t>
  </si>
  <si>
    <t>64897498</t>
  </si>
  <si>
    <t>ocm64897498</t>
  </si>
  <si>
    <t>3102694143H</t>
  </si>
  <si>
    <t>9781405133845</t>
  </si>
  <si>
    <t>794131890</t>
  </si>
  <si>
    <t>3103050568T</t>
  </si>
  <si>
    <t>794131891</t>
  </si>
  <si>
    <t>3102694109P</t>
  </si>
  <si>
    <t>794131889</t>
  </si>
  <si>
    <t>P295 C37 2013</t>
  </si>
  <si>
    <t>0                      P  0295000C  37          2013</t>
  </si>
  <si>
    <t>[Hoboken, New Jersey] : Wiley-Blackwell, 2013.</t>
  </si>
  <si>
    <t>779740455</t>
  </si>
  <si>
    <t>ocn779740455</t>
  </si>
  <si>
    <t>3103413667A</t>
  </si>
  <si>
    <t>9780470655313</t>
  </si>
  <si>
    <t>794911294</t>
  </si>
  <si>
    <t>P295 C53 2012</t>
  </si>
  <si>
    <t>0                      P  0295000C  53          2012</t>
  </si>
  <si>
    <t>Constructions en changement : hommage à Paul Hirschbühler / sous la direction de Monique Dufresne.</t>
  </si>
  <si>
    <t>[Québec] : Presses de l'Université Laval, 2012.</t>
  </si>
  <si>
    <t>Collection Les voies du français</t>
  </si>
  <si>
    <t>1107200601:fre</t>
  </si>
  <si>
    <t>793218084</t>
  </si>
  <si>
    <t>ocn793218084</t>
  </si>
  <si>
    <t>3103402808P</t>
  </si>
  <si>
    <t>9782763789361</t>
  </si>
  <si>
    <t>794917774</t>
  </si>
  <si>
    <t>P295 C59 1999</t>
  </si>
  <si>
    <t>0                      P  0295000C  59          1999</t>
  </si>
  <si>
    <t>Think generic! : the meaning and use of generic sentences / Ariel Cohen.</t>
  </si>
  <si>
    <t>Cohen, Ariel, 1964-</t>
  </si>
  <si>
    <t>Stanford, Calif. : CSLI, ©1999.</t>
  </si>
  <si>
    <t>Dissertations in linguistics</t>
  </si>
  <si>
    <t>2019-10-02</t>
  </si>
  <si>
    <t>890427324:eng</t>
  </si>
  <si>
    <t>40752418</t>
  </si>
  <si>
    <t>ocm40752418</t>
  </si>
  <si>
    <t>3102774001W</t>
  </si>
  <si>
    <t>9781575862071</t>
  </si>
  <si>
    <t>793574856</t>
  </si>
  <si>
    <t>P295 C76 1989</t>
  </si>
  <si>
    <t>0                      P  0295000C  76          1989</t>
  </si>
  <si>
    <t>The Crosslinguistic study of sentence processing / edited by Brian MacWhinney and Elizabeth Bates.</t>
  </si>
  <si>
    <t>2017-05-16</t>
  </si>
  <si>
    <t>475917523:eng</t>
  </si>
  <si>
    <t>19325888</t>
  </si>
  <si>
    <t>ocm19325888</t>
  </si>
  <si>
    <t>3102773996S</t>
  </si>
  <si>
    <t>9780521261968</t>
  </si>
  <si>
    <t>793054446</t>
  </si>
  <si>
    <t>P295 F57 2010</t>
  </si>
  <si>
    <t>0                      P  0295000F  57          2010</t>
  </si>
  <si>
    <t>Word-order change as a source of grammaticalisation / Susann Fischer.</t>
  </si>
  <si>
    <t>Fischer, Susann, 1964-</t>
  </si>
  <si>
    <t>Linguistik aktuell = Linguistics today, 0166-0829 ; v. 157</t>
  </si>
  <si>
    <t>399818349:eng</t>
  </si>
  <si>
    <t>527702841</t>
  </si>
  <si>
    <t>ocn527702841</t>
  </si>
  <si>
    <t>3103227528C</t>
  </si>
  <si>
    <t>9789027255402</t>
  </si>
  <si>
    <t>794809398</t>
  </si>
  <si>
    <t>P295 F75 2018</t>
  </si>
  <si>
    <t>0                      P  0295000F  75          2018</t>
  </si>
  <si>
    <t>Freezing : theoretical approaches and empirical domains / edited by Jutta M. Hartmann [and four others].</t>
  </si>
  <si>
    <t>Studies in generative grammar ; volume 130</t>
  </si>
  <si>
    <t>2944852101:eng</t>
  </si>
  <si>
    <t>943591098</t>
  </si>
  <si>
    <t>ocn943591098</t>
  </si>
  <si>
    <t>3103809790W</t>
  </si>
  <si>
    <t>9781501512148</t>
  </si>
  <si>
    <t>795012539</t>
  </si>
  <si>
    <t>P295 G68 1990</t>
  </si>
  <si>
    <t>0                      P  0295000G  68          1990</t>
  </si>
  <si>
    <t>Argument structure / Jane Grimshaw.</t>
  </si>
  <si>
    <t>Grimshaw, Jane B. (Jane Barbara), 1951-</t>
  </si>
  <si>
    <t>Linguistic inquiry monographs ; 18</t>
  </si>
  <si>
    <t>141487374:eng</t>
  </si>
  <si>
    <t>20797757</t>
  </si>
  <si>
    <t>ocm20797757</t>
  </si>
  <si>
    <t>3102773973W</t>
  </si>
  <si>
    <t>9780262071253</t>
  </si>
  <si>
    <t>793098905</t>
  </si>
  <si>
    <t>P295 L36 1994</t>
  </si>
  <si>
    <t>0                      P  0295000L  36          1994</t>
  </si>
  <si>
    <t>Information structure and sentence form : topic, focus, and the mental representations of discourse referents / Knud Lambrecht.</t>
  </si>
  <si>
    <t>Lambrecht, Knud.</t>
  </si>
  <si>
    <t>2019-09-14</t>
  </si>
  <si>
    <t>796004057:eng</t>
  </si>
  <si>
    <t>28721893</t>
  </si>
  <si>
    <t>ocm28721893</t>
  </si>
  <si>
    <t>3102773982U</t>
  </si>
  <si>
    <t>9780521380560</t>
  </si>
  <si>
    <t>793294731</t>
  </si>
  <si>
    <t>P295 M56 2007</t>
  </si>
  <si>
    <t>0                      P  0295000M  56          2007</t>
  </si>
  <si>
    <t>Minimalist syntax : the essential readings / edited by Željko Bošković and Howard Lasnik.</t>
  </si>
  <si>
    <t>Linguistics ; 6</t>
  </si>
  <si>
    <t>803923767:eng</t>
  </si>
  <si>
    <t>70122578</t>
  </si>
  <si>
    <t>ocm70122578</t>
  </si>
  <si>
    <t>3102631850$</t>
  </si>
  <si>
    <t>9780631233039</t>
  </si>
  <si>
    <t>794149000</t>
  </si>
  <si>
    <t>P295 P88 2007</t>
  </si>
  <si>
    <t>0                      P  0295000P  88          2007</t>
  </si>
  <si>
    <t>Scrambling and the survive principle / Michael T. Putnam.</t>
  </si>
  <si>
    <t>Putnam, Michael T.</t>
  </si>
  <si>
    <t>Linguistik aktuell = Linguistics today ; v. 115</t>
  </si>
  <si>
    <t>113183801:eng</t>
  </si>
  <si>
    <t>167508622</t>
  </si>
  <si>
    <t>ocn167508622</t>
  </si>
  <si>
    <t>31026468953</t>
  </si>
  <si>
    <t>9789027233790</t>
  </si>
  <si>
    <t>794262542</t>
  </si>
  <si>
    <t>P295 S4</t>
  </si>
  <si>
    <t>0                      P  0295000S  4</t>
  </si>
  <si>
    <t>Essai sur la structure logique de la phrase / par Albert Sechehaye.</t>
  </si>
  <si>
    <t>Sechehaye, Albert, 1870-1946.</t>
  </si>
  <si>
    <t>Paris : E. Champion, 1950.</t>
  </si>
  <si>
    <t>Collection Linguistique ; 20</t>
  </si>
  <si>
    <t>1697807:fre</t>
  </si>
  <si>
    <t>1006508</t>
  </si>
  <si>
    <t>ocm01006508</t>
  </si>
  <si>
    <t>3102774058M</t>
  </si>
  <si>
    <t>791523326</t>
  </si>
  <si>
    <t>P295 S66 2012</t>
  </si>
  <si>
    <t>0                      P  0295000S  66          2012</t>
  </si>
  <si>
    <t>Word order / Jae Jung Song.</t>
  </si>
  <si>
    <t>Song, Jae Jung, 1958-</t>
  </si>
  <si>
    <t>New York : Cambridge University Press, 2012.</t>
  </si>
  <si>
    <t>2015-03-28</t>
  </si>
  <si>
    <t>4921781064:eng</t>
  </si>
  <si>
    <t>769010909</t>
  </si>
  <si>
    <t>ocn769010909</t>
  </si>
  <si>
    <t>3103407121M</t>
  </si>
  <si>
    <t>9780521872140</t>
  </si>
  <si>
    <t>794902992</t>
  </si>
  <si>
    <t>P295 S748 1994</t>
  </si>
  <si>
    <t>0                      P  0295000S  748         1994</t>
  </si>
  <si>
    <t>Studies on scrambling : movement and non-movement approaches to free word-order phenomena / edity by Norbert Corver, Henk van Riemdsdijk.</t>
  </si>
  <si>
    <t>Berlin ; New York : Mouton de Gruyter, 1994.</t>
  </si>
  <si>
    <t>Studies in generative grammar ; 41</t>
  </si>
  <si>
    <t>889988428:eng</t>
  </si>
  <si>
    <t>30076916</t>
  </si>
  <si>
    <t>ocm30076916</t>
  </si>
  <si>
    <t>3102774053M</t>
  </si>
  <si>
    <t>9783110135725</t>
  </si>
  <si>
    <t>793329012</t>
  </si>
  <si>
    <t>P295 T68 2001</t>
  </si>
  <si>
    <t>0                      P  0295000T  68          2001</t>
  </si>
  <si>
    <t>Sentence comprehension : the integration of rules and habits / David J. Townsend and Thomas G. Bever.</t>
  </si>
  <si>
    <t>Townsend, David J.</t>
  </si>
  <si>
    <t>35545488:eng</t>
  </si>
  <si>
    <t>45487549</t>
  </si>
  <si>
    <t>ocm45487549</t>
  </si>
  <si>
    <t>3102774049O</t>
  </si>
  <si>
    <t>9780262201322</t>
  </si>
  <si>
    <t>793672571</t>
  </si>
  <si>
    <t>P295 T73 1984a</t>
  </si>
  <si>
    <t>0                      P  0295000T  73          1984a</t>
  </si>
  <si>
    <t>Parameters and effects of word order variation / by Lisa deMena Travis.</t>
  </si>
  <si>
    <t>5788562:eng</t>
  </si>
  <si>
    <t>13694744</t>
  </si>
  <si>
    <t>ocm13694744</t>
  </si>
  <si>
    <t>3102666290B</t>
  </si>
  <si>
    <t>792863387</t>
  </si>
  <si>
    <t>P295 V47 2005</t>
  </si>
  <si>
    <t>0                      P  0295000V  47          2005</t>
  </si>
  <si>
    <t>Verb first : on the syntax of verb-initial languages / edited by Andrew Carnie, Heidi Harley, Shiela Ann Dooley.</t>
  </si>
  <si>
    <t>Linguistik aktuell, 0166-0829 ; v. 73</t>
  </si>
  <si>
    <t>793936524:eng</t>
  </si>
  <si>
    <t>57002309</t>
  </si>
  <si>
    <t>ocm57002309</t>
  </si>
  <si>
    <t>3102774048O</t>
  </si>
  <si>
    <t>9789027227973</t>
  </si>
  <si>
    <t>793905671</t>
  </si>
  <si>
    <t>P295 W65 2003</t>
  </si>
  <si>
    <t>0                      P  0295000W  65          2003</t>
  </si>
  <si>
    <t>Word order and scrambling / edited by Simin Karimi.</t>
  </si>
  <si>
    <t>Explaining linguistics ; 4</t>
  </si>
  <si>
    <t>766044435:eng</t>
  </si>
  <si>
    <t>50314694</t>
  </si>
  <si>
    <t>ocm50314694</t>
  </si>
  <si>
    <t>3102774044O</t>
  </si>
  <si>
    <t>9780631233275</t>
  </si>
  <si>
    <t>793760555</t>
  </si>
  <si>
    <t>P296 G37 1985</t>
  </si>
  <si>
    <t>0                      P  0296000G  37          1985</t>
  </si>
  <si>
    <t>De la grammaire à la linguistique : l'étude de la phrase / Marie-Noëlle Gary-Prieur.</t>
  </si>
  <si>
    <t>Gary-Prieur, Marie Noëlle, 1946-</t>
  </si>
  <si>
    <t>Paris : A. Colin, ©1985.</t>
  </si>
  <si>
    <t>2015-07-25</t>
  </si>
  <si>
    <t>792291265:fre</t>
  </si>
  <si>
    <t>13493111</t>
  </si>
  <si>
    <t>ocm13493111</t>
  </si>
  <si>
    <t>3102774042O</t>
  </si>
  <si>
    <t>9782200312138</t>
  </si>
  <si>
    <t>792855226</t>
  </si>
  <si>
    <t>P297 C546 2010</t>
  </si>
  <si>
    <t>0                      P  0297000C  546         2010</t>
  </si>
  <si>
    <t>Clause linking and clause hierarchy : syntax and pragmatics / edited by Isabelle Bril.</t>
  </si>
  <si>
    <t>Studies in language companion series ; v. 121</t>
  </si>
  <si>
    <t>792255664:eng</t>
  </si>
  <si>
    <t>657223880</t>
  </si>
  <si>
    <t>ocn657223880</t>
  </si>
  <si>
    <t>3103323246R</t>
  </si>
  <si>
    <t>9789027205889</t>
  </si>
  <si>
    <t>794835381</t>
  </si>
  <si>
    <t>P297 G44 2013</t>
  </si>
  <si>
    <t>0                      P  0297000G  44          2013</t>
  </si>
  <si>
    <t>Clause structure / Elly van Gelderen.</t>
  </si>
  <si>
    <t>2013-11-13</t>
  </si>
  <si>
    <t>1367298679:eng</t>
  </si>
  <si>
    <t>828884431</t>
  </si>
  <si>
    <t>ocn828884431</t>
  </si>
  <si>
    <t>3103501373O</t>
  </si>
  <si>
    <t>9781107017740</t>
  </si>
  <si>
    <t>794941858</t>
  </si>
  <si>
    <t>P297 H37 1997</t>
  </si>
  <si>
    <t>0                      P  0297000H  37          1997</t>
  </si>
  <si>
    <t>Indefinite pronouns / Martin Haspelmath.</t>
  </si>
  <si>
    <t>34277219:eng</t>
  </si>
  <si>
    <t>34875702</t>
  </si>
  <si>
    <t>ocm34875702</t>
  </si>
  <si>
    <t>31027400938</t>
  </si>
  <si>
    <t>9780198235606</t>
  </si>
  <si>
    <t>793437614</t>
  </si>
  <si>
    <t>P297 M43 2005</t>
  </si>
  <si>
    <t>0                      P  0297000M  43          2005</t>
  </si>
  <si>
    <t>Minimalist approaches to clause structure / edited by Ken Hiraiwa and Joseph Sabbagh.</t>
  </si>
  <si>
    <t>Cambridge, MA : Dept. of Linguistics and Philosophy, Massachusetts Institute of Technology, 2005.</t>
  </si>
  <si>
    <t>MIT working papers in linguistics ; 50 (2005)</t>
  </si>
  <si>
    <t>473005478:eng</t>
  </si>
  <si>
    <t>62535904</t>
  </si>
  <si>
    <t>ocm62535904</t>
  </si>
  <si>
    <t>3102610264T</t>
  </si>
  <si>
    <t>794109542</t>
  </si>
  <si>
    <t>P297 S96 2000</t>
  </si>
  <si>
    <t>0                      P  0297000S  96          2000</t>
  </si>
  <si>
    <t>The syntax of relative clauses / Artemis Alexiadou [and others].</t>
  </si>
  <si>
    <t>Amsterdam ; [Great Britain] : John Benjamins, ©2000.</t>
  </si>
  <si>
    <t>Linguistik aktuell = Linguistics today, 0166-0829 ; v. 32</t>
  </si>
  <si>
    <t>2019-08-27</t>
  </si>
  <si>
    <t>765972191:eng</t>
  </si>
  <si>
    <t>59499313</t>
  </si>
  <si>
    <t>ocm59499313</t>
  </si>
  <si>
    <t>3102049884Q</t>
  </si>
  <si>
    <t>9781556199165</t>
  </si>
  <si>
    <t>793930277</t>
  </si>
  <si>
    <t>P297 W54 2015</t>
  </si>
  <si>
    <t>0                      P  0297000W  54          2015</t>
  </si>
  <si>
    <t>Understanding relative clauses : a usage-based view on the processing of complex constructions / Daniel Wiechmann.</t>
  </si>
  <si>
    <t>Wiechmann, Daniel.</t>
  </si>
  <si>
    <t>Berlin ; Boston : De Gruyter Mouton, 2015.</t>
  </si>
  <si>
    <t>Trends in linguistics. Studies and monographs, 1861-4302 ; v. 268</t>
  </si>
  <si>
    <t>2054541201:eng</t>
  </si>
  <si>
    <t>898121872</t>
  </si>
  <si>
    <t>ocn898121872</t>
  </si>
  <si>
    <t>3103582435M</t>
  </si>
  <si>
    <t>9783110339383</t>
  </si>
  <si>
    <t>794985859</t>
  </si>
  <si>
    <t>P298 D525 2011</t>
  </si>
  <si>
    <t>0                      P  0298000D  525         2011</t>
  </si>
  <si>
    <t>The development of grammar : language acquisition and diachronic change : in honour of Jürgen M. Meisel / edited by E. Rinke, Tanja Kupisch.</t>
  </si>
  <si>
    <t>Hamburg studies on multilingualism ; v. 11</t>
  </si>
  <si>
    <t>1005380749:eng</t>
  </si>
  <si>
    <t>695860287</t>
  </si>
  <si>
    <t>ocn695860287</t>
  </si>
  <si>
    <t>31033634343</t>
  </si>
  <si>
    <t>9789027219312</t>
  </si>
  <si>
    <t>794858744</t>
  </si>
  <si>
    <t>P298 D53 2010</t>
  </si>
  <si>
    <t>0                      P  0298000D  53          2010</t>
  </si>
  <si>
    <t>Diachronic studies on information structure : language acquisition and change / edited by Gisella Ferraresi and Rosemarie Lühr.</t>
  </si>
  <si>
    <t>Language, context, and cognition ; v. 10</t>
  </si>
  <si>
    <t>1044436532:eng</t>
  </si>
  <si>
    <t>650442653</t>
  </si>
  <si>
    <t>ocn650442653</t>
  </si>
  <si>
    <t>3103226133Q</t>
  </si>
  <si>
    <t>9783110227468</t>
  </si>
  <si>
    <t>794832502</t>
  </si>
  <si>
    <t>P298 E97 2012</t>
  </si>
  <si>
    <t>0                      P  0298000E  97          2012</t>
  </si>
  <si>
    <t>The expression of information structure / edited by Manfred Krifka and Renate Musan.</t>
  </si>
  <si>
    <t>Berlin ; Boston : Mouton de Gruyter, ©2012.</t>
  </si>
  <si>
    <t>The expression of cognitive categories ; 5</t>
  </si>
  <si>
    <t>1167702207:eng</t>
  </si>
  <si>
    <t>747534631</t>
  </si>
  <si>
    <t>ocn747534631</t>
  </si>
  <si>
    <t>3103455704S</t>
  </si>
  <si>
    <t>9783110260083</t>
  </si>
  <si>
    <t>794888257</t>
  </si>
  <si>
    <t>P298 I57 2016</t>
  </si>
  <si>
    <t>0                      P  0298000I  57          2016</t>
  </si>
  <si>
    <t>Information structuring of spoken language from a cross-linguistic perspective / edited by M.M. Jocelyne Fernandez-Vest ; Robert D. Van Valin, Jr.</t>
  </si>
  <si>
    <t>Trends in linguistics studies and monographs, 1861-4302 ; 283</t>
  </si>
  <si>
    <t>2850593186:eng</t>
  </si>
  <si>
    <t>932003498</t>
  </si>
  <si>
    <t>ocn932003498</t>
  </si>
  <si>
    <t>3103653267O</t>
  </si>
  <si>
    <t>9783110352061</t>
  </si>
  <si>
    <t>795008154</t>
  </si>
  <si>
    <t>P298 L67 2012</t>
  </si>
  <si>
    <t>0                      P  0298000L  67          2012</t>
  </si>
  <si>
    <t>Indefinite objects : scrambling, choice functions, and differential marking / Luis López.</t>
  </si>
  <si>
    <t>López, Luis, 1965-</t>
  </si>
  <si>
    <t>Linguistic inquiry monographs ; 63</t>
  </si>
  <si>
    <t>1083165481:eng</t>
  </si>
  <si>
    <t>778857640</t>
  </si>
  <si>
    <t>ocn778857640</t>
  </si>
  <si>
    <t>3103414436I</t>
  </si>
  <si>
    <t>9780262018036</t>
  </si>
  <si>
    <t>794910310</t>
  </si>
  <si>
    <t>P298 S96 2012</t>
  </si>
  <si>
    <t>0                      P  0298000S  96          2012</t>
  </si>
  <si>
    <t>The syntax of topic, focus, and contrast : an interface-based approach / edited by Ad Neeleman, Reiko Vermeulen.</t>
  </si>
  <si>
    <t>Studies in generative grammar, 0167-4331 ; 113</t>
  </si>
  <si>
    <t>1218398279:eng</t>
  </si>
  <si>
    <t>816818699</t>
  </si>
  <si>
    <t>ocn816818699</t>
  </si>
  <si>
    <t>31034704324</t>
  </si>
  <si>
    <t>9781614511564</t>
  </si>
  <si>
    <t>794933348</t>
  </si>
  <si>
    <t>P298 T36 1992a</t>
  </si>
  <si>
    <t>0                      P  0298000T  36          1992a</t>
  </si>
  <si>
    <t>Deletion, deaccenting, and presupposition / by Christopher Damian Tancredi.</t>
  </si>
  <si>
    <t>Tancredi, Christopher Damian.</t>
  </si>
  <si>
    <t>30549150:eng</t>
  </si>
  <si>
    <t>28756827</t>
  </si>
  <si>
    <t>ocm28756827</t>
  </si>
  <si>
    <t>3103217798Y</t>
  </si>
  <si>
    <t>793295805</t>
  </si>
  <si>
    <t>P299 A35 A35 1988</t>
  </si>
  <si>
    <t>0                      P  0299000A  35                 A  35          1988</t>
  </si>
  <si>
    <t>Agreement in natural language : approaches, theories, descriptions / edited by Michael Barlow &amp; Charles A. Ferguson.</t>
  </si>
  <si>
    <t>Stanford, CA : Center for the Study of Language and Information, ©1988.</t>
  </si>
  <si>
    <t>890048460:eng</t>
  </si>
  <si>
    <t>16983862</t>
  </si>
  <si>
    <t>ocm16983862</t>
  </si>
  <si>
    <t>3102774105T</t>
  </si>
  <si>
    <t>9780937073025</t>
  </si>
  <si>
    <t>792979599</t>
  </si>
  <si>
    <t>P299 A35 A36 2006</t>
  </si>
  <si>
    <t>0                      P  0299000A  35                 A  36          2006</t>
  </si>
  <si>
    <t>Agreement systems / edited by Cedric Boeckx.</t>
  </si>
  <si>
    <t>Amsterdam ; Philadelphia : J. Benjamins Pub., ©2006.</t>
  </si>
  <si>
    <t>Linguistik aktuell = Linguistics today, 0166-0829 ; v. 92</t>
  </si>
  <si>
    <t>5218741021:eng</t>
  </si>
  <si>
    <t>67840249</t>
  </si>
  <si>
    <t>ocm67840249</t>
  </si>
  <si>
    <t>3102589576R</t>
  </si>
  <si>
    <t>9789027233561</t>
  </si>
  <si>
    <t>794141546</t>
  </si>
  <si>
    <t>P299 A35 A47 2015</t>
  </si>
  <si>
    <t>0                      P  0299000A  35                 A  47          2015</t>
  </si>
  <si>
    <t>Agreement from a diachronic perspective / edited by Jürg Fleischer, Elisabeth Rieken, Paul Widmer.</t>
  </si>
  <si>
    <t>Trends in linguistics: studies and monographs, 1861-4302 ; volume 287</t>
  </si>
  <si>
    <t>2536697020:eng</t>
  </si>
  <si>
    <t>910596122</t>
  </si>
  <si>
    <t>ocn910596122</t>
  </si>
  <si>
    <t>3103607490V</t>
  </si>
  <si>
    <t>9783110373349</t>
  </si>
  <si>
    <t>794996331</t>
  </si>
  <si>
    <t>P299 A35 C43 2011</t>
  </si>
  <si>
    <t>0                      P  0299000A  35                 C  43          2011</t>
  </si>
  <si>
    <t>(Dis)Agree : exploring agreement mechanisms / by Pritha Chandra.</t>
  </si>
  <si>
    <t>Chandra, Pritha.</t>
  </si>
  <si>
    <t>944537300:eng</t>
  </si>
  <si>
    <t>741733778</t>
  </si>
  <si>
    <t>ocn741733778</t>
  </si>
  <si>
    <t>31033428531</t>
  </si>
  <si>
    <t>9781443831468</t>
  </si>
  <si>
    <t>794884417</t>
  </si>
  <si>
    <t>P299 A35 C49 1998</t>
  </si>
  <si>
    <t>0                      P  0299000A  35                 C  49          1998</t>
  </si>
  <si>
    <t>The design of agreement : evidence from Chamorro / Sandra Chung.</t>
  </si>
  <si>
    <t>Chung, Sandra.</t>
  </si>
  <si>
    <t>Chicago ; London : University of Chicago Press, 1998.</t>
  </si>
  <si>
    <t>41523543:eng</t>
  </si>
  <si>
    <t>38908567</t>
  </si>
  <si>
    <t>ocm38908567</t>
  </si>
  <si>
    <t>3102774104T</t>
  </si>
  <si>
    <t>9780226106076</t>
  </si>
  <si>
    <t>793532859</t>
  </si>
  <si>
    <t>P299 A35 C67 2006</t>
  </si>
  <si>
    <t>0                      P  0299000A  35                 C  67          2006</t>
  </si>
  <si>
    <t>Agreement / Greville G. Corbett.</t>
  </si>
  <si>
    <t>Corbett, Greville G., author.</t>
  </si>
  <si>
    <t>48290227:eng</t>
  </si>
  <si>
    <t>64312942</t>
  </si>
  <si>
    <t>ocm64312942</t>
  </si>
  <si>
    <t>3102592089Q</t>
  </si>
  <si>
    <t>9780521807081</t>
  </si>
  <si>
    <t>794128397</t>
  </si>
  <si>
    <t>P299 A35 H65 2016</t>
  </si>
  <si>
    <t>0                      P  0299000A  35                 H  65          2016</t>
  </si>
  <si>
    <t>The syntax of yes and no / Anders Holmberg.</t>
  </si>
  <si>
    <t>Holmberg, Anders, author.</t>
  </si>
  <si>
    <t>2562761275:eng</t>
  </si>
  <si>
    <t>936615026</t>
  </si>
  <si>
    <t>ocn936615026</t>
  </si>
  <si>
    <t>3103658841U</t>
  </si>
  <si>
    <t>9780198701859</t>
  </si>
  <si>
    <t>795010917</t>
  </si>
  <si>
    <t>P299 A46 O25 2010</t>
  </si>
  <si>
    <t>0                      P  0299000A  46                 O  25          2010</t>
  </si>
  <si>
    <t>Structural ambiguity in English : an applied grammatical inventory / Dallin D. Oaks.</t>
  </si>
  <si>
    <t>Oaks, Dallin D.</t>
  </si>
  <si>
    <t>London : Continuum, 2010.</t>
  </si>
  <si>
    <t>2011-10-02</t>
  </si>
  <si>
    <t>3769746438:eng</t>
  </si>
  <si>
    <t>437083459</t>
  </si>
  <si>
    <t>ocn437083459</t>
  </si>
  <si>
    <t>3103238788M</t>
  </si>
  <si>
    <t>9781847064158</t>
  </si>
  <si>
    <t>794785450</t>
  </si>
  <si>
    <t>3103238809Z</t>
  </si>
  <si>
    <t>794785449</t>
  </si>
  <si>
    <t>P299 A46 V34 2007</t>
  </si>
  <si>
    <t>0                      P  0299000A  46                 V  34          2007</t>
  </si>
  <si>
    <t>Vague language explored / edited by Joan Cutting.</t>
  </si>
  <si>
    <t>1099281224:eng</t>
  </si>
  <si>
    <t>70107158</t>
  </si>
  <si>
    <t>ocm70107158</t>
  </si>
  <si>
    <t>31025688285</t>
  </si>
  <si>
    <t>9781403988171</t>
  </si>
  <si>
    <t>794148642</t>
  </si>
  <si>
    <t>P299 A48 A538 2009</t>
  </si>
  <si>
    <t>0                      P  0299000A  48                 A  538         2009</t>
  </si>
  <si>
    <t>Analogy in grammar : form and acquisition / edited by James P. Blevins and Juliette Blevins.</t>
  </si>
  <si>
    <t>Oxford ; New York : Oxford University Press, [2009]</t>
  </si>
  <si>
    <t>793114303:eng</t>
  </si>
  <si>
    <t>277205269</t>
  </si>
  <si>
    <t>ocn277205269</t>
  </si>
  <si>
    <t>31030860685</t>
  </si>
  <si>
    <t>9780199547548</t>
  </si>
  <si>
    <t>794418875</t>
  </si>
  <si>
    <t>P299 A48 F47 2013</t>
  </si>
  <si>
    <t>0                      P  0299000A  48                 F  47          2013</t>
  </si>
  <si>
    <t>Analogy and morphological change / David L. Fertig.</t>
  </si>
  <si>
    <t>Fertig, David, author.</t>
  </si>
  <si>
    <t>Edinburgh : Edinburgh University Press, [2013]</t>
  </si>
  <si>
    <t>Edinburgh historical linguistics</t>
  </si>
  <si>
    <t>1378892161:eng</t>
  </si>
  <si>
    <t>841672195</t>
  </si>
  <si>
    <t>ocn841672195</t>
  </si>
  <si>
    <t>3103501688D</t>
  </si>
  <si>
    <t>9780748646227</t>
  </si>
  <si>
    <t>794947046</t>
  </si>
  <si>
    <t>P299 A5 A24 2014</t>
  </si>
  <si>
    <t>0                      P  0299000A  5                  A  24          2014</t>
  </si>
  <si>
    <t>A movement theory of anaphora / Jun Abe.</t>
  </si>
  <si>
    <t>Abe, Jun, 1946- author.</t>
  </si>
  <si>
    <t>Boston : De Gruyter Mouton, [2014]</t>
  </si>
  <si>
    <t>Studies in generative grammar ; volume 120</t>
  </si>
  <si>
    <t>2062084971:eng</t>
  </si>
  <si>
    <t>889577292</t>
  </si>
  <si>
    <t>ocn889577292</t>
  </si>
  <si>
    <t>3103581054Y</t>
  </si>
  <si>
    <t>9781614517795</t>
  </si>
  <si>
    <t>794978450</t>
  </si>
  <si>
    <t>P299 A5 A65 2007</t>
  </si>
  <si>
    <t>0                      P  0299000A  5                  A  65          2007</t>
  </si>
  <si>
    <t>Anaphors in text : cognitive, formal and applied approaches to anaphoric reference / edited by Monika Schwarz-Friesel, Manfred Consten, Mareile Knees.</t>
  </si>
  <si>
    <t>Studies in language companion series, 0165-7763 ; v. 86</t>
  </si>
  <si>
    <t>795572249:eng</t>
  </si>
  <si>
    <t>81860991</t>
  </si>
  <si>
    <t>ocm81860991</t>
  </si>
  <si>
    <t>3102599333$</t>
  </si>
  <si>
    <t>9789027230966</t>
  </si>
  <si>
    <t>794204303</t>
  </si>
  <si>
    <t>P299 A5 C66 1999</t>
  </si>
  <si>
    <t>0                      P  0299000A  5                  C  66          1999</t>
  </si>
  <si>
    <t>Anaphora, discourse, and understanding : evidence from English and French / Francis Cornish.</t>
  </si>
  <si>
    <t>Cornish, Francis.</t>
  </si>
  <si>
    <t>Oxford ; New York : Clarendon Press, 1999.</t>
  </si>
  <si>
    <t>807292145:eng</t>
  </si>
  <si>
    <t>39890358</t>
  </si>
  <si>
    <t>ocm39890358</t>
  </si>
  <si>
    <t>3102774095E</t>
  </si>
  <si>
    <t>9780198236481</t>
  </si>
  <si>
    <t>793556075</t>
  </si>
  <si>
    <t>P299 A5 D3 2002</t>
  </si>
  <si>
    <t>0                      P  0299000A  5                  D  3           2002</t>
  </si>
  <si>
    <t>Anaphora processing : linguistic, cognitive, and computational modelling / edited by António Branco, Tony McEnery, Ruslan Mitkov.</t>
  </si>
  <si>
    <t>DAARC 2002 (2002 : Lisbon, Portugal)</t>
  </si>
  <si>
    <t>Amsterdam ; Philadelphia : J. Benjamins, ©2005.</t>
  </si>
  <si>
    <t>Amsterdam studies in the theory and history of linguistic science. Series IV, Current issues in linguistic theory, 0304-0763 ; v. 263</t>
  </si>
  <si>
    <t>867425537:eng</t>
  </si>
  <si>
    <t>56905718</t>
  </si>
  <si>
    <t>ocm56905718</t>
  </si>
  <si>
    <t>3102774093E</t>
  </si>
  <si>
    <t>9781588116215</t>
  </si>
  <si>
    <t>793903758</t>
  </si>
  <si>
    <t>P299 A5 E87 1989</t>
  </si>
  <si>
    <t>0                      P  0299000A  5                  E  87          1989</t>
  </si>
  <si>
    <t>Essays on anaphora / Howard Lasnik.</t>
  </si>
  <si>
    <t>Studies in natural language and linguistic theory</t>
  </si>
  <si>
    <t>17075609:eng</t>
  </si>
  <si>
    <t>18191067</t>
  </si>
  <si>
    <t>ocm18191067</t>
  </si>
  <si>
    <t>3102774092E</t>
  </si>
  <si>
    <t>9781556080906</t>
  </si>
  <si>
    <t>793017105</t>
  </si>
  <si>
    <t>P299 A5 L66 1991</t>
  </si>
  <si>
    <t>0                      P  0299000A  5                  L  66          1991</t>
  </si>
  <si>
    <t>Long-distance anaphora / edited by Jan Koster and Eric Reuland.</t>
  </si>
  <si>
    <t>347466871:eng</t>
  </si>
  <si>
    <t>21876810</t>
  </si>
  <si>
    <t>ocm21876810</t>
  </si>
  <si>
    <t>3102774087G</t>
  </si>
  <si>
    <t>9780521391115</t>
  </si>
  <si>
    <t>793129041</t>
  </si>
  <si>
    <t>P299 A5 P3 1968</t>
  </si>
  <si>
    <t>0                      P  0299000A  5                  P  3           1968</t>
  </si>
  <si>
    <t>Cross-reference : a study from hyper-syntax / Bohumil Palek.</t>
  </si>
  <si>
    <t>Palek, Bohumil.</t>
  </si>
  <si>
    <t>Praha : Universita Karlova, ©1968.</t>
  </si>
  <si>
    <t>Acta Universitatis Carolinae : Philologica : Monographia ; 21/1968</t>
  </si>
  <si>
    <t>2304790:eng</t>
  </si>
  <si>
    <t>4894547</t>
  </si>
  <si>
    <t>ocm04894547</t>
  </si>
  <si>
    <t>3102774084G</t>
  </si>
  <si>
    <t>792391738</t>
  </si>
  <si>
    <t>P299 A5 R45 1976a</t>
  </si>
  <si>
    <t>0                      P  0299000A  5                  R  45          1976a</t>
  </si>
  <si>
    <t>The syntactic domain of anaphora / by Tanya Reinhart.</t>
  </si>
  <si>
    <t>Reinhart, Tanya Miriam.</t>
  </si>
  <si>
    <t>Massachusetts Institute of Technology. Dept. of Foreign Literatures and Linguistics. Thesis. 1976. Ph. D.</t>
  </si>
  <si>
    <t>10230304:eng</t>
  </si>
  <si>
    <t>3491311</t>
  </si>
  <si>
    <t>ocm03491311</t>
  </si>
  <si>
    <t>3103217796Y</t>
  </si>
  <si>
    <t>792260843</t>
  </si>
  <si>
    <t>P299 A5 R48 2011</t>
  </si>
  <si>
    <t>0                      P  0299000A  5                  R  48          2011</t>
  </si>
  <si>
    <t>Anaphora and language design / Eric Reuland.</t>
  </si>
  <si>
    <t>Reuland, Eric J.</t>
  </si>
  <si>
    <t>Cambridge, Mass : The MIT Press, ©2011.</t>
  </si>
  <si>
    <t>Linguistic inquiry monographs ; 62</t>
  </si>
  <si>
    <t>493085157:eng</t>
  </si>
  <si>
    <t>627701058</t>
  </si>
  <si>
    <t>ocn627701058</t>
  </si>
  <si>
    <t>31033235938</t>
  </si>
  <si>
    <t>9780262015059</t>
  </si>
  <si>
    <t>794824179</t>
  </si>
  <si>
    <t>P299 A5 R66 2011</t>
  </si>
  <si>
    <t>0                      P  0299000A  5                  R  66          2011</t>
  </si>
  <si>
    <t>Dissolving binding theory / Johan Rooryck &amp; Guido Vanden Wyngaerd.</t>
  </si>
  <si>
    <t>Rooryck, Johan.</t>
  </si>
  <si>
    <t>Oxford studies in theoretical linguistics ; 34</t>
  </si>
  <si>
    <t>1008509132:eng</t>
  </si>
  <si>
    <t>699767180</t>
  </si>
  <si>
    <t>ocn699767180</t>
  </si>
  <si>
    <t>3103342600H</t>
  </si>
  <si>
    <t>9780199691326</t>
  </si>
  <si>
    <t>794861604</t>
  </si>
  <si>
    <t>P299 A5 S24 2004</t>
  </si>
  <si>
    <t>0                      P  0299000A  5                  S  24          2004</t>
  </si>
  <si>
    <t>The syntax of anaphora / Ken Safir.</t>
  </si>
  <si>
    <t>New York : Oxford University Press, 2004.</t>
  </si>
  <si>
    <t>662411:eng</t>
  </si>
  <si>
    <t>51477926</t>
  </si>
  <si>
    <t>ocm51477926</t>
  </si>
  <si>
    <t>3102774082G</t>
  </si>
  <si>
    <t>9780195166132</t>
  </si>
  <si>
    <t>793785133</t>
  </si>
  <si>
    <t>P299 C58 P87 2003</t>
  </si>
  <si>
    <t>0                      P  0299000C  58                 P  87          2003</t>
  </si>
  <si>
    <t>Copulas : universals in the categorization of the lexicon / Regina Pustet.</t>
  </si>
  <si>
    <t>Pustet, Regina, 1963-</t>
  </si>
  <si>
    <t>838825048:eng</t>
  </si>
  <si>
    <t>52144783</t>
  </si>
  <si>
    <t>ocm52144783</t>
  </si>
  <si>
    <t>3102774071I</t>
  </si>
  <si>
    <t>9780199258505</t>
  </si>
  <si>
    <t>793799525</t>
  </si>
  <si>
    <t>P299 C59 M37 2010</t>
  </si>
  <si>
    <t>0                      P  0299000C  59                 M  37          2010</t>
  </si>
  <si>
    <t>Mapping the left periphery / edited by Paola Benincà and Nicola Munaro.</t>
  </si>
  <si>
    <t>The cartography of syntactic structures ; v. 5</t>
  </si>
  <si>
    <t>2012-05-16</t>
  </si>
  <si>
    <t>342576637:eng</t>
  </si>
  <si>
    <t>457772082</t>
  </si>
  <si>
    <t>ocn457772082</t>
  </si>
  <si>
    <t>3103323522M</t>
  </si>
  <si>
    <t>9780199740376</t>
  </si>
  <si>
    <t>794790141</t>
  </si>
  <si>
    <t>P299 C59 R54 2013</t>
  </si>
  <si>
    <t>0                      P  0299000C  59                 R  54          2013</t>
  </si>
  <si>
    <t>Rightward movement in a comparative perspective / edited by Gert Webelhuth, [Goethe University Frankfurt am Main] ; Manfred Sailer, [University of Göttingen] ; Heike Walker, Goethe University Frankfurt am Main.</t>
  </si>
  <si>
    <t>Linguistik Aktuell = Linguistics Today, 0166-0829 ; volume 200</t>
  </si>
  <si>
    <t>1182634550:eng</t>
  </si>
  <si>
    <t>818739533</t>
  </si>
  <si>
    <t>ocn818739533</t>
  </si>
  <si>
    <t>3103502063V</t>
  </si>
  <si>
    <t>9789027255839</t>
  </si>
  <si>
    <t>794934176</t>
  </si>
  <si>
    <t>P299 C596 B63 2010</t>
  </si>
  <si>
    <t>0                      P  0299000C  596                B  63          2010</t>
  </si>
  <si>
    <t>Control as movement / Cedric Boeckx, Norbert Hornstein, Jairo Nunes.</t>
  </si>
  <si>
    <t>Cambridge studies in linguistics ; 126</t>
  </si>
  <si>
    <t>438084921:eng</t>
  </si>
  <si>
    <t>624049001</t>
  </si>
  <si>
    <t>ocn624049001</t>
  </si>
  <si>
    <t>31032310239</t>
  </si>
  <si>
    <t>9780521195454</t>
  </si>
  <si>
    <t>794823786</t>
  </si>
  <si>
    <t>P299 C596 L36 2013</t>
  </si>
  <si>
    <t>0                      P  0299000C  596                L  36          2013</t>
  </si>
  <si>
    <t>Control in generative grammar : a research companion / Idan Landau.</t>
  </si>
  <si>
    <t>2016-05-07</t>
  </si>
  <si>
    <t>1117861380:eng</t>
  </si>
  <si>
    <t>794556401</t>
  </si>
  <si>
    <t>ocn794556401</t>
  </si>
  <si>
    <t>3103456549M</t>
  </si>
  <si>
    <t>9781107016972</t>
  </si>
  <si>
    <t>794920025</t>
  </si>
  <si>
    <t>P299 C596 M68 2010</t>
  </si>
  <si>
    <t>0                      P  0299000C  596                M  68          2010</t>
  </si>
  <si>
    <t>Movement theory of control / edited by Norbert Hornstein, Maria Polinsky.</t>
  </si>
  <si>
    <t>Linguistik aktuell = Linguistics today, 0166-0829 ; v. 154</t>
  </si>
  <si>
    <t>888373744:eng</t>
  </si>
  <si>
    <t>496610104</t>
  </si>
  <si>
    <t>ocn496610104</t>
  </si>
  <si>
    <t>31032408957</t>
  </si>
  <si>
    <t>9789027255372</t>
  </si>
  <si>
    <t>794802625</t>
  </si>
  <si>
    <t>P299 C596 R44 2014</t>
  </si>
  <si>
    <t>0                      P  0299000C  596                R  44          2014</t>
  </si>
  <si>
    <t>Strengthening the PRO hypothesis / Lisa A. Reed.</t>
  </si>
  <si>
    <t>Reed, Lisa A., 1963-</t>
  </si>
  <si>
    <t>Boston : De Gruyter Mouton, ©2014.</t>
  </si>
  <si>
    <t>Studies in generative grammar, 0167-4331 ; v. 110</t>
  </si>
  <si>
    <t>1748746196:eng</t>
  </si>
  <si>
    <t>863954976</t>
  </si>
  <si>
    <t>ocn863954976</t>
  </si>
  <si>
    <t>3103530899V</t>
  </si>
  <si>
    <t>9781614510420</t>
  </si>
  <si>
    <t>794961599</t>
  </si>
  <si>
    <t>P299 D43 D54 2013</t>
  </si>
  <si>
    <t>0                      P  0299000D  43                 D  54          2013</t>
  </si>
  <si>
    <t>Different kinds of specificity across languages / Cornelia Ebert, Stefan Hinterwimmer, editors.</t>
  </si>
  <si>
    <t>Dordrecht : Springer, ©2013.</t>
  </si>
  <si>
    <t>Studies in linguistics and philosophy, 0924-4662 ; 92</t>
  </si>
  <si>
    <t>1190758982:eng</t>
  </si>
  <si>
    <t>824706806</t>
  </si>
  <si>
    <t>ocn824706806</t>
  </si>
  <si>
    <t>3103482669G</t>
  </si>
  <si>
    <t>9789400753099</t>
  </si>
  <si>
    <t>794938157</t>
  </si>
  <si>
    <t>P299 D43 L97 1999</t>
  </si>
  <si>
    <t>0                      P  0299000D  43                 L  97          1999</t>
  </si>
  <si>
    <t>Definiteness / Christopher Lyons.</t>
  </si>
  <si>
    <t>Lyons, Christopher, 1949-</t>
  </si>
  <si>
    <t>Cambridge [England] ; New York : Cambridge University Press, 1999.</t>
  </si>
  <si>
    <t>10208662:eng</t>
  </si>
  <si>
    <t>39147879</t>
  </si>
  <si>
    <t>ocm39147879</t>
  </si>
  <si>
    <t>3103592613J</t>
  </si>
  <si>
    <t>9780521362825</t>
  </si>
  <si>
    <t>793539144</t>
  </si>
  <si>
    <t>P299 D43 P46 2011</t>
  </si>
  <si>
    <t>0                      P  0299000D  43                 P  46          2011</t>
  </si>
  <si>
    <t>Negative indefinites / Doris Penka.</t>
  </si>
  <si>
    <t>Penka, Doris.</t>
  </si>
  <si>
    <t>Oxford studies in theoretical linguistics ; 32</t>
  </si>
  <si>
    <t>553510265:eng</t>
  </si>
  <si>
    <t>682130391</t>
  </si>
  <si>
    <t>ocn682130391</t>
  </si>
  <si>
    <t>3103233724H</t>
  </si>
  <si>
    <t>9780199567263</t>
  </si>
  <si>
    <t>794852561</t>
  </si>
  <si>
    <t>P299 D43 R47 1987</t>
  </si>
  <si>
    <t>0                      P  0299000D  43                 R  47          1987</t>
  </si>
  <si>
    <t>The Representation of (in)definiteness / edited by Eric J. Reuland and Alice G.B. ter Meulen.</t>
  </si>
  <si>
    <t>Current studies in linguistics series ; 14</t>
  </si>
  <si>
    <t>346590083:eng</t>
  </si>
  <si>
    <t>15017230</t>
  </si>
  <si>
    <t>ocm15017230</t>
  </si>
  <si>
    <t>3102608197$</t>
  </si>
  <si>
    <t>9780262181266</t>
  </si>
  <si>
    <t>792916943</t>
  </si>
  <si>
    <t>P299 D44 F49 1997</t>
  </si>
  <si>
    <t>0                      P  0299000D  44                 F  49          1997</t>
  </si>
  <si>
    <t>Lectures on Deixis / Charles J. Fillmore.</t>
  </si>
  <si>
    <t>Fillmore, Charles J.</t>
  </si>
  <si>
    <t>CSLI lecture notes ; no. 65</t>
  </si>
  <si>
    <t>10033132420:eng</t>
  </si>
  <si>
    <t>35558930</t>
  </si>
  <si>
    <t>ocm35558930</t>
  </si>
  <si>
    <t>3102774151J</t>
  </si>
  <si>
    <t>9781575860060</t>
  </si>
  <si>
    <t>793452060</t>
  </si>
  <si>
    <t>P299 D44 Z86 2006</t>
  </si>
  <si>
    <t>0                      P  0299000D  44                 Z  86          2006</t>
  </si>
  <si>
    <t>Deixis and alignment : inverse systems in indigenous languages of the Americas / Fernando Zúñiga.</t>
  </si>
  <si>
    <t>Zúñiga, Fernando.</t>
  </si>
  <si>
    <t>Typological studies in language, 0167-7373 ; v. 70</t>
  </si>
  <si>
    <t>794005278:eng</t>
  </si>
  <si>
    <t>77077928</t>
  </si>
  <si>
    <t>ocm77077928</t>
  </si>
  <si>
    <t>3102594369D</t>
  </si>
  <si>
    <t>9789027229823</t>
  </si>
  <si>
    <t>794180801</t>
  </si>
  <si>
    <t>P299 E45 T768 2017</t>
  </si>
  <si>
    <t>0                      P  0299000E  45                 T  768         2017</t>
  </si>
  <si>
    <t>The grammar of emphasis : from information structure to the expressive dimension / Andreas Trotzke.</t>
  </si>
  <si>
    <t>Trotzke, Andreas, author.</t>
  </si>
  <si>
    <t>Berlin : De Gruyter Mouton, [2017]</t>
  </si>
  <si>
    <t>Studies in generative grammar ; volume 131</t>
  </si>
  <si>
    <t>4006406442:eng</t>
  </si>
  <si>
    <t>967187171</t>
  </si>
  <si>
    <t>ocn967187171</t>
  </si>
  <si>
    <t>3103702821F</t>
  </si>
  <si>
    <t>9781501515033</t>
  </si>
  <si>
    <t>795026463</t>
  </si>
  <si>
    <t>P299 F63 A73 2006</t>
  </si>
  <si>
    <t>0                      P  0299000F  63                 A  73          2006</t>
  </si>
  <si>
    <t>The architecture of focus / edited by Valéria Molnár, Susanne Winkler.</t>
  </si>
  <si>
    <t>Studies in generative grammar, 0167-4331 ; 82</t>
  </si>
  <si>
    <t>351879907:eng</t>
  </si>
  <si>
    <t>62408602</t>
  </si>
  <si>
    <t>ocm62408602</t>
  </si>
  <si>
    <t>31026669352</t>
  </si>
  <si>
    <t>9783110185782</t>
  </si>
  <si>
    <t>794106638</t>
  </si>
  <si>
    <t>P299 F63 F63 1999</t>
  </si>
  <si>
    <t>0                      P  0299000F  63                 F  63          1999</t>
  </si>
  <si>
    <t>Focus : linguistic, cognitive, and computational perspectives / edited by Peter Bosch and Rob van der Sandt.</t>
  </si>
  <si>
    <t>Cambridge ; New York : Cambridge University Press, 1999.</t>
  </si>
  <si>
    <t>1070847610:eng</t>
  </si>
  <si>
    <t>38930551</t>
  </si>
  <si>
    <t>ocm38930551</t>
  </si>
  <si>
    <t>3103341140S</t>
  </si>
  <si>
    <t>9780521583053</t>
  </si>
  <si>
    <t>793533532</t>
  </si>
  <si>
    <t>P299 F63 W66 2005</t>
  </si>
  <si>
    <t>0                      P  0299000F  63                 W  66          2005</t>
  </si>
  <si>
    <t>Shifting the focus : from static structures to the dynamics of interpretation / Daniel Wedgwood.</t>
  </si>
  <si>
    <t>Wedgwood, Daniel.</t>
  </si>
  <si>
    <t>Amsterdam ; Boston : Elsevier, 2005.</t>
  </si>
  <si>
    <t>Current research in the semantics/pragmatics interface ; v. 14</t>
  </si>
  <si>
    <t>797225328:eng</t>
  </si>
  <si>
    <t>60370946</t>
  </si>
  <si>
    <t>ocm60370946</t>
  </si>
  <si>
    <t>3102490135A</t>
  </si>
  <si>
    <t>9780080445779</t>
  </si>
  <si>
    <t>793936248</t>
  </si>
  <si>
    <t>P299 G44 G46 1995</t>
  </si>
  <si>
    <t>0                      P  0299000G  44                 G  46          1995</t>
  </si>
  <si>
    <t>The generic book / edited by Gregory N. Carlson and Francis Jeffry Pelletier.</t>
  </si>
  <si>
    <t>349937906:eng</t>
  </si>
  <si>
    <t>31045869</t>
  </si>
  <si>
    <t>ocm31045869</t>
  </si>
  <si>
    <t>3103000583D</t>
  </si>
  <si>
    <t>9780226092911</t>
  </si>
  <si>
    <t>793352283</t>
  </si>
  <si>
    <t>P299 G44 K56 2010</t>
  </si>
  <si>
    <t>0                      P  0299000G  44                 K  56          2010</t>
  </si>
  <si>
    <t>Kinds, things, and stuff : mass terms and generics / edited by Francis Jeffry Pelletier.</t>
  </si>
  <si>
    <t>New directions in cognitive science</t>
  </si>
  <si>
    <t>2010-10-19</t>
  </si>
  <si>
    <t>793952486:eng</t>
  </si>
  <si>
    <t>368048360</t>
  </si>
  <si>
    <t>ocn368048360</t>
  </si>
  <si>
    <t>3103113586R</t>
  </si>
  <si>
    <t>9780195382891</t>
  </si>
  <si>
    <t>794494123</t>
  </si>
  <si>
    <t>P299 G7 S26 2014</t>
  </si>
  <si>
    <t>0                      P  0299000G  7                  S  26          2014</t>
  </si>
  <si>
    <t>Grammar without grammaticality : growth and limits of grammatical precision / Geoffrey Sampson, Anna Babarczy.</t>
  </si>
  <si>
    <t>Sampson, Geoffrey, author.</t>
  </si>
  <si>
    <t>Trends in linguistics. Studies and monographs ; Volume 254</t>
  </si>
  <si>
    <t>1748706535:eng</t>
  </si>
  <si>
    <t>859745261</t>
  </si>
  <si>
    <t>ocn859745261</t>
  </si>
  <si>
    <t>3103528539P</t>
  </si>
  <si>
    <t>9783110289770</t>
  </si>
  <si>
    <t>794958143</t>
  </si>
  <si>
    <t>P299 G7 S38 1996</t>
  </si>
  <si>
    <t>0                      P  0299000G  7                  S  38          1996</t>
  </si>
  <si>
    <t>The empirical base of linguistics : grammaticality judgments and linguistic methodology / Carson T. Schütze.</t>
  </si>
  <si>
    <t>Schütze, Carson T.</t>
  </si>
  <si>
    <t>Chicago, Il. : University of Chicago Press, ©1996.</t>
  </si>
  <si>
    <t>1008502399:eng</t>
  </si>
  <si>
    <t>32240667</t>
  </si>
  <si>
    <t>ocm32240667</t>
  </si>
  <si>
    <t>3102774130N</t>
  </si>
  <si>
    <t>9780226741543</t>
  </si>
  <si>
    <t>793379038</t>
  </si>
  <si>
    <t>2007-05-09</t>
  </si>
  <si>
    <t>3102774129P</t>
  </si>
  <si>
    <t>793379037</t>
  </si>
  <si>
    <t>P299 G73 A6 1991</t>
  </si>
  <si>
    <t>0                      P  0299000G  73                 A  6           1991</t>
  </si>
  <si>
    <t>Approaches to grammaticalization / edited by Elizabeth Closs Traugott and Bernd Heine.</t>
  </si>
  <si>
    <t>Amsterdam ; Philadelphia : J. Benjamins, 1991.</t>
  </si>
  <si>
    <t>Typological studies in language. 0167-7373 ; v. 19</t>
  </si>
  <si>
    <t>2002-03-01</t>
  </si>
  <si>
    <t>5513642465:eng</t>
  </si>
  <si>
    <t>65826732</t>
  </si>
  <si>
    <t>ocm65826732</t>
  </si>
  <si>
    <t>3102774127P</t>
  </si>
  <si>
    <t>9781556194047</t>
  </si>
  <si>
    <t>794136957</t>
  </si>
  <si>
    <t>3102774128P</t>
  </si>
  <si>
    <t>794136958</t>
  </si>
  <si>
    <t>P299 G73 A87 2017</t>
  </si>
  <si>
    <t>0                      P  0299000G  73                 A  87          2017</t>
  </si>
  <si>
    <t>Aspects of grammaticalization : (inter)subjectification and directionality / edited by Daniel Van Olmen, Hubert Cuyckens, Lobke Ghesquière.</t>
  </si>
  <si>
    <t>Trends in Linguistics Studies and Monographs ; volume 305</t>
  </si>
  <si>
    <t>3805338291:eng</t>
  </si>
  <si>
    <t>967831842</t>
  </si>
  <si>
    <t>ocn967831842</t>
  </si>
  <si>
    <t>31036706022</t>
  </si>
  <si>
    <t>9783110489699</t>
  </si>
  <si>
    <t>795026770</t>
  </si>
  <si>
    <t>P299 G73 B83 1994</t>
  </si>
  <si>
    <t>0                      P  0299000G  73                 B  83          1994</t>
  </si>
  <si>
    <t>The evolution of grammar : tense, aspect, and modality in the languages of the world / Joan Bybee, Revere Perkins, and William Pagliuca.</t>
  </si>
  <si>
    <t>Chicago : University of Chicago Press, 1994.</t>
  </si>
  <si>
    <t>795763994:eng</t>
  </si>
  <si>
    <t>29387125</t>
  </si>
  <si>
    <t>ocm29387125</t>
  </si>
  <si>
    <t>3102774126P</t>
  </si>
  <si>
    <t>9780226086637</t>
  </si>
  <si>
    <t>793309511</t>
  </si>
  <si>
    <t>P299 G73 C64 2014</t>
  </si>
  <si>
    <t>0                      P  0299000G  73                 C  64          2014</t>
  </si>
  <si>
    <t>COME and GO off the beaten grammaticalization path / edited by Maud Devos and Jenneke van der Wal.</t>
  </si>
  <si>
    <t>Trends in linguistics. Studies and monographs ; 272</t>
  </si>
  <si>
    <t>1781680654:ger</t>
  </si>
  <si>
    <t>876466813</t>
  </si>
  <si>
    <t>ocn876466813</t>
  </si>
  <si>
    <t>3103579716V</t>
  </si>
  <si>
    <t>9783110335910</t>
  </si>
  <si>
    <t>794970117</t>
  </si>
  <si>
    <t>P299 G73 D54 2010</t>
  </si>
  <si>
    <t>0                      P  0299000G  73                 D  54          2010</t>
  </si>
  <si>
    <t>Evidentiality in German : linguistic realization and regularities in grammaticalization / by Gabriele Diewald, Elena Smirnova.</t>
  </si>
  <si>
    <t>Diewald, Gabriele.</t>
  </si>
  <si>
    <t>Trends in linguistics : studies and monographs ; 228</t>
  </si>
  <si>
    <t>3770471266:eng</t>
  </si>
  <si>
    <t>637714516</t>
  </si>
  <si>
    <t>ocn637714516</t>
  </si>
  <si>
    <t>3103227055L</t>
  </si>
  <si>
    <t>9783110240696</t>
  </si>
  <si>
    <t>794826390</t>
  </si>
  <si>
    <t>P299 G73 F676 2010</t>
  </si>
  <si>
    <t>0                      P  0299000G  73                 F  676         2010</t>
  </si>
  <si>
    <t>Formal evidence in grammaticalization research / edited by An Van linden, Jean-Christophe Verstraete, Kristin Davidse ; in collaboration with Hubert Cuyckens.</t>
  </si>
  <si>
    <t>Typological studies in language ; v. 94</t>
  </si>
  <si>
    <t>905209110:eng</t>
  </si>
  <si>
    <t>647977613</t>
  </si>
  <si>
    <t>ocn647977613</t>
  </si>
  <si>
    <t>3103322622N</t>
  </si>
  <si>
    <t>9789027206756</t>
  </si>
  <si>
    <t>794831005</t>
  </si>
  <si>
    <t>P299 G73 G43 2012</t>
  </si>
  <si>
    <t>0                      P  0299000G  73                 G  43          2012</t>
  </si>
  <si>
    <t>Grammatical replication and borrowability in language contact / edited by Björn Wiemer, Bernhard Wälchli, Björn Hansen.</t>
  </si>
  <si>
    <t>Trends in linguistics. Studies and monographs, 1861-4302 ; 242</t>
  </si>
  <si>
    <t>1170667106:eng</t>
  </si>
  <si>
    <t>798053956</t>
  </si>
  <si>
    <t>ocn798053956</t>
  </si>
  <si>
    <t>31034128698</t>
  </si>
  <si>
    <t>9783110270099</t>
  </si>
  <si>
    <t>794923030</t>
  </si>
  <si>
    <t>P299 G73 G7225 2010</t>
  </si>
  <si>
    <t>0                      P  0299000G  73                 G  7225        2010</t>
  </si>
  <si>
    <t>Grammaticalization : current views and issues / edited by Katerina Stathi, Elke Gehweiler, Ekkehard König.</t>
  </si>
  <si>
    <t>Studies in language companion series (SLCS) ; v. 119</t>
  </si>
  <si>
    <t>2014-09-24</t>
  </si>
  <si>
    <t>888324497:eng</t>
  </si>
  <si>
    <t>610019199</t>
  </si>
  <si>
    <t>ocn610019199</t>
  </si>
  <si>
    <t>3103236131L</t>
  </si>
  <si>
    <t>9789027205865</t>
  </si>
  <si>
    <t>794820429</t>
  </si>
  <si>
    <t>P299 G73 H66 2003</t>
  </si>
  <si>
    <t>0                      P  0299000G  73                 H  66          2003</t>
  </si>
  <si>
    <t>Grammaticalization / Paul J. Hopper, Elizabeth Closs Traugott.</t>
  </si>
  <si>
    <t>Hopper, Paul J.</t>
  </si>
  <si>
    <t>Cambridge, UK ; New York, NY : Cambridge University Press, 2003.</t>
  </si>
  <si>
    <t>707732:eng</t>
  </si>
  <si>
    <t>52359242</t>
  </si>
  <si>
    <t>ocm52359242</t>
  </si>
  <si>
    <t>3102774121P</t>
  </si>
  <si>
    <t>9780521009485</t>
  </si>
  <si>
    <t>793804558</t>
  </si>
  <si>
    <t>P299 G73 H69 2015</t>
  </si>
  <si>
    <t>0                      P  0299000G  73                 H  69          2015</t>
  </si>
  <si>
    <t>How categorical are categories? : new approaches to the old questions of noun, verb, and adjective / edited by Joanna Blaszczak, Dorota Klimek-Jankowska, Krzysztof Migdalski.</t>
  </si>
  <si>
    <t>Boston : De Gruyter Mouton, [2015]</t>
  </si>
  <si>
    <t>Studies in Generative Grammar ; volume 122</t>
  </si>
  <si>
    <t>1440907243:eng</t>
  </si>
  <si>
    <t>910310104</t>
  </si>
  <si>
    <t>ocn910310104</t>
  </si>
  <si>
    <t>3103608175Y</t>
  </si>
  <si>
    <t>9781614516187</t>
  </si>
  <si>
    <t>794996068</t>
  </si>
  <si>
    <t>P299 G73 L36 2011</t>
  </si>
  <si>
    <t>0                      P  0299000G  73                 L  36          2011</t>
  </si>
  <si>
    <t>Language change in contact languages : grammatical and prosodic considerations / edited by J. Clancy Clements, Shelome Gooden.</t>
  </si>
  <si>
    <t>Benjamins current topics ; v. 36</t>
  </si>
  <si>
    <t>1011181092:eng</t>
  </si>
  <si>
    <t>753351203</t>
  </si>
  <si>
    <t>ocn753351203</t>
  </si>
  <si>
    <t>3103396137M</t>
  </si>
  <si>
    <t>9789027202550</t>
  </si>
  <si>
    <t>794892112</t>
  </si>
  <si>
    <t>P299 G73 N67 2009</t>
  </si>
  <si>
    <t>0                      P  0299000G  73                 N  67          2009</t>
  </si>
  <si>
    <t>Degrammaticalization / Muriel Norde.</t>
  </si>
  <si>
    <t>Norde, Muriel, 1968-</t>
  </si>
  <si>
    <t>Oxford linguistics.</t>
  </si>
  <si>
    <t>192159414:eng</t>
  </si>
  <si>
    <t>313664783</t>
  </si>
  <si>
    <t>ocn313664783</t>
  </si>
  <si>
    <t>3102860337W</t>
  </si>
  <si>
    <t>9780199207923</t>
  </si>
  <si>
    <t>794438041</t>
  </si>
  <si>
    <t>P299 G73 O94 2011</t>
  </si>
  <si>
    <t>0                      P  0299000G  73                 O  94          2011</t>
  </si>
  <si>
    <t>The Oxford handbook of grammaticalization / edited by Heiko Narrog and Bernd Heine.</t>
  </si>
  <si>
    <t>908524942:eng</t>
  </si>
  <si>
    <t>698332338</t>
  </si>
  <si>
    <t>ocn698332338</t>
  </si>
  <si>
    <t>31034086087</t>
  </si>
  <si>
    <t>9780199586783</t>
  </si>
  <si>
    <t>794860914</t>
  </si>
  <si>
    <t>P299 G73 R6 2003</t>
  </si>
  <si>
    <t>0                      P  0299000G  73                 R  6           2003</t>
  </si>
  <si>
    <t>Syntactic change : a minimalist approach to grammaticalization / Ian Roberts and Anna Roussou.</t>
  </si>
  <si>
    <t>Cambridge, U.K. ; New York, N.Y. : Cambridge University Press, 2003.</t>
  </si>
  <si>
    <t>Cambridge studies in linguistics ; 100</t>
  </si>
  <si>
    <t>793952050:eng</t>
  </si>
  <si>
    <t>50315091</t>
  </si>
  <si>
    <t>ocm50315091</t>
  </si>
  <si>
    <t>3102774116R</t>
  </si>
  <si>
    <t>9780521790567</t>
  </si>
  <si>
    <t>793760607</t>
  </si>
  <si>
    <t>P299 H66 C85 2011</t>
  </si>
  <si>
    <t>0                      P  0299000H  66                 C  85          2011</t>
  </si>
  <si>
    <t>Impoliteness : using language to cause offence / Jonathan Culpeper.</t>
  </si>
  <si>
    <t>Culpeper, Jonathan, 1966-</t>
  </si>
  <si>
    <t>Studies in interactional sociolinguistics ; v. 28</t>
  </si>
  <si>
    <t>2013-08-02</t>
  </si>
  <si>
    <t>796391610:eng</t>
  </si>
  <si>
    <t>656771945</t>
  </si>
  <si>
    <t>ocn656771945</t>
  </si>
  <si>
    <t>3103232383L</t>
  </si>
  <si>
    <t>9780521869676</t>
  </si>
  <si>
    <t>794835050</t>
  </si>
  <si>
    <t>P299 H66 D255 2011</t>
  </si>
  <si>
    <t>0                      P  0299000H  66                 D  255         2011</t>
  </si>
  <si>
    <t>Situated politeness / [edited by] Bethan L. Davies, Michael Haugh, and Andrew John Merrison.</t>
  </si>
  <si>
    <t>961220556:eng</t>
  </si>
  <si>
    <t>697599809</t>
  </si>
  <si>
    <t>ocn697599809</t>
  </si>
  <si>
    <t>31033625354</t>
  </si>
  <si>
    <t>9781441159496</t>
  </si>
  <si>
    <t>794860098</t>
  </si>
  <si>
    <t>P299 H66 K33 2013</t>
  </si>
  <si>
    <t>0                      P  0299000H  66                 K  33          2013</t>
  </si>
  <si>
    <t>Understanding politeness / Dániel Z. Kádár, Univeristy of Huddersfield, Michael Haugh, Griffith Univeristy, Brisbane.</t>
  </si>
  <si>
    <t>Kádár, Dániel Z., 1979-</t>
  </si>
  <si>
    <t>1758606927:eng</t>
  </si>
  <si>
    <t>837923055</t>
  </si>
  <si>
    <t>ocn837923055</t>
  </si>
  <si>
    <t>3103504225P</t>
  </si>
  <si>
    <t>9781107031685</t>
  </si>
  <si>
    <t>794945213</t>
  </si>
  <si>
    <t>P299 H66 P36 2011</t>
  </si>
  <si>
    <t>0                      P  0299000H  66                 P  36          2011</t>
  </si>
  <si>
    <t>Politeness in historical and contemporary Chinese / Yuling Pan and Dániel Z. Kádár.</t>
  </si>
  <si>
    <t>Pan, Yuling.</t>
  </si>
  <si>
    <t>London : Continuum, ©2011.</t>
  </si>
  <si>
    <t>867448645:eng</t>
  </si>
  <si>
    <t>657602699</t>
  </si>
  <si>
    <t>ocn657602699</t>
  </si>
  <si>
    <t>3103361221J</t>
  </si>
  <si>
    <t>9781847062758</t>
  </si>
  <si>
    <t>794835603</t>
  </si>
  <si>
    <t>P299 H66 P55 2011</t>
  </si>
  <si>
    <t>0                      P  0299000H  66                 P  55          2011</t>
  </si>
  <si>
    <t>Politeness in East Asia / edited by Dániel Z. Kádár, Sara Mills.</t>
  </si>
  <si>
    <t>9352448392:eng</t>
  </si>
  <si>
    <t>698331474</t>
  </si>
  <si>
    <t>ocn698331474</t>
  </si>
  <si>
    <t>3103380767R</t>
  </si>
  <si>
    <t>9781107007062</t>
  </si>
  <si>
    <t>794860897</t>
  </si>
  <si>
    <t>P299 I57 C33 2010</t>
  </si>
  <si>
    <t>0                      P  0299000I  57                 C  33          2010</t>
  </si>
  <si>
    <t>The grammar of Q : Q-particles, Wh-movement, and pied-piping / Seth Cable.</t>
  </si>
  <si>
    <t>Cable, Seth.</t>
  </si>
  <si>
    <t>2010-12-17</t>
  </si>
  <si>
    <t>793935761:eng</t>
  </si>
  <si>
    <t>438053666</t>
  </si>
  <si>
    <t>ocn438053666</t>
  </si>
  <si>
    <t>3103226417L</t>
  </si>
  <si>
    <t>9780195392265</t>
  </si>
  <si>
    <t>794785986</t>
  </si>
  <si>
    <t>P299 I57 Q4</t>
  </si>
  <si>
    <t>0                      P  0299000I  57                 Q  4</t>
  </si>
  <si>
    <t>Questions and politeness : strategies in social interaction / edited by Esther N. Goody.</t>
  </si>
  <si>
    <t>Cambridge ; New York : Cambridge University Press, 1978.</t>
  </si>
  <si>
    <t>Cambridge papers in social anthropology ; no. 8</t>
  </si>
  <si>
    <t>807035773:eng</t>
  </si>
  <si>
    <t>3205031</t>
  </si>
  <si>
    <t>ocm03205031</t>
  </si>
  <si>
    <t>3102774200Q</t>
  </si>
  <si>
    <t>9780521217491</t>
  </si>
  <si>
    <t>792229281</t>
  </si>
  <si>
    <t>P299 I57 Q47 2012</t>
  </si>
  <si>
    <t>0                      P  0299000I  57                 Q  47          2012</t>
  </si>
  <si>
    <t>Questions : formal, functional and interactional perspectives / edited by Jan P. de Ruiter, Bielefeld University.</t>
  </si>
  <si>
    <t>Language culture and cognition ; 12</t>
  </si>
  <si>
    <t>1167119914:eng</t>
  </si>
  <si>
    <t>793221765</t>
  </si>
  <si>
    <t>ocn793221765</t>
  </si>
  <si>
    <t>3103431084M</t>
  </si>
  <si>
    <t>9780521762670</t>
  </si>
  <si>
    <t>794917825</t>
  </si>
  <si>
    <t>P299 I57 R53 2001</t>
  </si>
  <si>
    <t>0                      P  0299000I  57                 R  53          2001</t>
  </si>
  <si>
    <t>Movement in language : interactions and architectures / Norvin Richards.</t>
  </si>
  <si>
    <t>New York : Oxford University Press, 2001.</t>
  </si>
  <si>
    <t>837074343:eng</t>
  </si>
  <si>
    <t>428073922</t>
  </si>
  <si>
    <t>ocn428073922</t>
  </si>
  <si>
    <t>3102802355D</t>
  </si>
  <si>
    <t>9780198241171</t>
  </si>
  <si>
    <t>794764691</t>
  </si>
  <si>
    <t>P299 M35 B38 1990</t>
  </si>
  <si>
    <t>0                      P  0299000M  35                 B  38          1990</t>
  </si>
  <si>
    <t>Markedness : the evaluative superstructure of language / Edwin L. Battistella.</t>
  </si>
  <si>
    <t>Battistella, Edwin L.</t>
  </si>
  <si>
    <t>Albany : State University of New York Press, ©1990.</t>
  </si>
  <si>
    <t>SUNY series in linguistics</t>
  </si>
  <si>
    <t>347349322:eng</t>
  </si>
  <si>
    <t>20628305</t>
  </si>
  <si>
    <t>ocm20628305</t>
  </si>
  <si>
    <t>3102774185D</t>
  </si>
  <si>
    <t>9780791403693</t>
  </si>
  <si>
    <t>793093209</t>
  </si>
  <si>
    <t>P299 M6 K44 2017</t>
  </si>
  <si>
    <t>0                      P  0299000M  6                  K  44          2017</t>
  </si>
  <si>
    <t>The fate of mood and modality in language death : evidence from minor Finnic / Petar Kehayov.</t>
  </si>
  <si>
    <t>Kehayov, Petar, 1972- author.</t>
  </si>
  <si>
    <t>Trends in linguistics. Studies and monographs, 1861-4302 ; volume 307</t>
  </si>
  <si>
    <t>3868795578:eng</t>
  </si>
  <si>
    <t>958782166</t>
  </si>
  <si>
    <t>ocn958782166</t>
  </si>
  <si>
    <t>3103702938V</t>
  </si>
  <si>
    <t>9783110521856</t>
  </si>
  <si>
    <t>795021968</t>
  </si>
  <si>
    <t>P299 M6 K73 2012</t>
  </si>
  <si>
    <t>0                      P  0299000M  6                  K  73          2012</t>
  </si>
  <si>
    <t>Modals and conditionals / Angelika Kratzer.</t>
  </si>
  <si>
    <t>Kratzer, Angelika.</t>
  </si>
  <si>
    <t>1080678805:eng</t>
  </si>
  <si>
    <t>778267193</t>
  </si>
  <si>
    <t>ocn778267193</t>
  </si>
  <si>
    <t>3103409281$</t>
  </si>
  <si>
    <t>9780199234684</t>
  </si>
  <si>
    <t>794909495</t>
  </si>
  <si>
    <t>P299 M6 M637 2002</t>
  </si>
  <si>
    <t>0                      P  0299000M  6                  M  637         2002</t>
  </si>
  <si>
    <t>Modality and its interaction with the verbal system / edited by Sjef Barbiers, Frits Beukema, Wim van der Wurff.</t>
  </si>
  <si>
    <t>Amsterdam ; Philadelphia : John Benjamins, ©2002.</t>
  </si>
  <si>
    <t>Linguistik aktuell = Linguistics today ; v. 47</t>
  </si>
  <si>
    <t>716019133:eng</t>
  </si>
  <si>
    <t>50560568</t>
  </si>
  <si>
    <t>ocm50560568</t>
  </si>
  <si>
    <t>3102768032F</t>
  </si>
  <si>
    <t>9781588111678</t>
  </si>
  <si>
    <t>793767539</t>
  </si>
  <si>
    <t>P299 M6 M6375 2012</t>
  </si>
  <si>
    <t>0                      P  0299000M  6                  M  6375        2012</t>
  </si>
  <si>
    <t>Modality and theory of mind elements across languages / edited by Werner Abraham, Elisabeth Leiss.</t>
  </si>
  <si>
    <t>Trends in linguistics : studies and monographs ; 243</t>
  </si>
  <si>
    <t>1110773472:eng</t>
  </si>
  <si>
    <t>794177128</t>
  </si>
  <si>
    <t>ocn794177128</t>
  </si>
  <si>
    <t>31034299717</t>
  </si>
  <si>
    <t>9783110270198</t>
  </si>
  <si>
    <t>794919334</t>
  </si>
  <si>
    <t>P299 M6 N37 2012</t>
  </si>
  <si>
    <t>0                      P  0299000M  6                  N  37          2012</t>
  </si>
  <si>
    <t>Modality, subjectivity, and semantic change : a cross-linguistic perspective / Heiko Narrog.</t>
  </si>
  <si>
    <t>Narrog, Heiko.</t>
  </si>
  <si>
    <t>1090718098:eng</t>
  </si>
  <si>
    <t>781497201</t>
  </si>
  <si>
    <t>ocn781497201</t>
  </si>
  <si>
    <t>3103431732B</t>
  </si>
  <si>
    <t>9780199694372</t>
  </si>
  <si>
    <t>794912778</t>
  </si>
  <si>
    <t>P299 M6 N675 2010</t>
  </si>
  <si>
    <t>0                      P  0299000M  6                  N  675         2010</t>
  </si>
  <si>
    <t>Modality and subordinators / Jackie Nordström.</t>
  </si>
  <si>
    <t>Nordstrom, Jackie.</t>
  </si>
  <si>
    <t>Studies in language companion series, 0165-7763 ; v. 116</t>
  </si>
  <si>
    <t>346015599:eng</t>
  </si>
  <si>
    <t>461896708</t>
  </si>
  <si>
    <t>ocn461896708</t>
  </si>
  <si>
    <t>3103242817F</t>
  </si>
  <si>
    <t>9789027205834</t>
  </si>
  <si>
    <t>794791771</t>
  </si>
  <si>
    <t>P299 N4 C55 2013</t>
  </si>
  <si>
    <t>0                      P  0299000N  4                  C  55          2013</t>
  </si>
  <si>
    <t>Logic in grammar : polarity, free choice, and intervention / Gennaro Chierchia.</t>
  </si>
  <si>
    <t>Chierchia, Gennaro, author.</t>
  </si>
  <si>
    <t>Oxford studies in semantics and pragmatics ; 2</t>
  </si>
  <si>
    <t>2017-08-14</t>
  </si>
  <si>
    <t>1404154963:eng</t>
  </si>
  <si>
    <t>827841360</t>
  </si>
  <si>
    <t>ocn827841360</t>
  </si>
  <si>
    <t>3103501637N</t>
  </si>
  <si>
    <t>9780199697977</t>
  </si>
  <si>
    <t>794940314</t>
  </si>
  <si>
    <t>P299 N4 E96 2011</t>
  </si>
  <si>
    <t>0                      P  0299000N  4                  E  96          2011</t>
  </si>
  <si>
    <t>The evolution of negation : beyond the Jespersen cycle / edited by Pierre Larrivée, Richard P. Ingham.</t>
  </si>
  <si>
    <t>Berlin ; Boston : Walter de Gruyter, ©2011.</t>
  </si>
  <si>
    <t>Trends in linguistics: studies and monographs ; 235</t>
  </si>
  <si>
    <t>930641361:eng</t>
  </si>
  <si>
    <t>747534629</t>
  </si>
  <si>
    <t>ocn747534629</t>
  </si>
  <si>
    <t>3103395431H</t>
  </si>
  <si>
    <t>9783110238600</t>
  </si>
  <si>
    <t>794888256</t>
  </si>
  <si>
    <t>P299 N4 H67 1989</t>
  </si>
  <si>
    <t>0                      P  0299000N  4                  H  67          1989</t>
  </si>
  <si>
    <t>A natural history of negation / Laurence R. Horn.</t>
  </si>
  <si>
    <t>Horn, Laurence R.</t>
  </si>
  <si>
    <t>Chicago : University of Chicago Press, ©1989.</t>
  </si>
  <si>
    <t>16464159:eng</t>
  </si>
  <si>
    <t>17764225</t>
  </si>
  <si>
    <t>ocm17764225</t>
  </si>
  <si>
    <t>31027399193</t>
  </si>
  <si>
    <t>9780226353371</t>
  </si>
  <si>
    <t>793002456</t>
  </si>
  <si>
    <t>P299 N4 I87 2011</t>
  </si>
  <si>
    <t>0                      P  0299000N  4                  I  87          2011</t>
  </si>
  <si>
    <t>The grammar of polarity : pragmatics, sensitivity, and the logic of scales / Michael Israel.</t>
  </si>
  <si>
    <t>Israel, Michael, 1965-</t>
  </si>
  <si>
    <t>Cambridge, U.K. ; New York : Cambridge University Press, 2011.</t>
  </si>
  <si>
    <t>Cambridge studies in linguistics ; 127</t>
  </si>
  <si>
    <t>2014-03-03</t>
  </si>
  <si>
    <t>813687942:eng</t>
  </si>
  <si>
    <t>668195757</t>
  </si>
  <si>
    <t>ocn668195757</t>
  </si>
  <si>
    <t>31032354748</t>
  </si>
  <si>
    <t>9780521792400</t>
  </si>
  <si>
    <t>794846096</t>
  </si>
  <si>
    <t>P299 N48 S53 2012</t>
  </si>
  <si>
    <t>0                      P  0299000N  48                 S  53          2012</t>
  </si>
  <si>
    <t>Neutralization / Daniel Silverman.</t>
  </si>
  <si>
    <t>1078713876:eng</t>
  </si>
  <si>
    <t>775664103</t>
  </si>
  <si>
    <t>ocn775664103</t>
  </si>
  <si>
    <t>3103431105Z</t>
  </si>
  <si>
    <t>9780521196710</t>
  </si>
  <si>
    <t>794907748</t>
  </si>
  <si>
    <t>P299 N85 C36 2013</t>
  </si>
  <si>
    <t>0                      P  0299000N  85                 C  36          2013</t>
  </si>
  <si>
    <t>Null subjects / José A. Camacho, Rutgers University, New Jersey.</t>
  </si>
  <si>
    <t>Camacho, José.</t>
  </si>
  <si>
    <t>Cambridge studies in linguistics ; 137</t>
  </si>
  <si>
    <t>1193187042:eng</t>
  </si>
  <si>
    <t>823552479</t>
  </si>
  <si>
    <t>ocn823552479</t>
  </si>
  <si>
    <t>3103500296R</t>
  </si>
  <si>
    <t>9781107034105</t>
  </si>
  <si>
    <t>794937229</t>
  </si>
  <si>
    <t>P299 N85 P37 2010</t>
  </si>
  <si>
    <t>0                      P  0299000N  85                 P  37          2010</t>
  </si>
  <si>
    <t>Parametric variation : null subjects in minimalist theory / by Theresa Biberauer [and others].</t>
  </si>
  <si>
    <t>864082970:eng</t>
  </si>
  <si>
    <t>351329792</t>
  </si>
  <si>
    <t>ocn351329792</t>
  </si>
  <si>
    <t>3103130861O</t>
  </si>
  <si>
    <t>9780521886956</t>
  </si>
  <si>
    <t>794491550</t>
  </si>
  <si>
    <t>P299 O73 R54 1997</t>
  </si>
  <si>
    <t>0                      P  0299000O  73                 R  54          1997</t>
  </si>
  <si>
    <t>Rightward movement / Dorothee Beerman, David LeBlanc, Henk Van Riemsdijk.</t>
  </si>
  <si>
    <t>Linguistik aktuell = Linguistics today, 0166-0829 ; 17</t>
  </si>
  <si>
    <t>5218439595:eng</t>
  </si>
  <si>
    <t>37792488</t>
  </si>
  <si>
    <t>ocm37792488</t>
  </si>
  <si>
    <t>3102774173F</t>
  </si>
  <si>
    <t>9781556199011</t>
  </si>
  <si>
    <t>793507145</t>
  </si>
  <si>
    <t>P299 P39 P37 1996</t>
  </si>
  <si>
    <t>0                      P  0299000P  39                 P  37          1996</t>
  </si>
  <si>
    <t>Partitives : studies on the syntax and semantics of partitive and related constructions / Jacob Hoeksema, ed.</t>
  </si>
  <si>
    <t>Groningen-Amsterdam studies in semantics (GRASS) ; 14</t>
  </si>
  <si>
    <t>891686121:eng</t>
  </si>
  <si>
    <t>34246026</t>
  </si>
  <si>
    <t>ocm34246026</t>
  </si>
  <si>
    <t>3102774163H</t>
  </si>
  <si>
    <t>9783110147940</t>
  </si>
  <si>
    <t>793422343</t>
  </si>
  <si>
    <t>P299 Q3 H36 2012</t>
  </si>
  <si>
    <t>0                      P  0299000Q  3                  H  36          2012</t>
  </si>
  <si>
    <t>Handbook of quantifiers in natural language / edited by Edward L. Keenan and Denis Paperno.</t>
  </si>
  <si>
    <t>Dordrecht ; New York : Springer, 2012-&lt;[2017]&gt;</t>
  </si>
  <si>
    <t>Studies in linguistics and philosophy, 0924-4662 ; v. 90, 97</t>
  </si>
  <si>
    <t>1106191203:eng</t>
  </si>
  <si>
    <t>755698295</t>
  </si>
  <si>
    <t>ocn755698295</t>
  </si>
  <si>
    <t>3103728380E</t>
  </si>
  <si>
    <t>9789400726802</t>
  </si>
  <si>
    <t>794893833</t>
  </si>
  <si>
    <t>3103472534U</t>
  </si>
  <si>
    <t>794893834</t>
  </si>
  <si>
    <t>P299 Q3 N5 1990</t>
  </si>
  <si>
    <t>0                      P  0299000Q  3                  N  5           1990</t>
  </si>
  <si>
    <t>Quantification in the theory of grammar / Taisuke Nishigauchi.</t>
  </si>
  <si>
    <t>Nishigauchi, Taisuke, author.</t>
  </si>
  <si>
    <t>Dordrecht [Netherland] ; Boston : Kluwer Academic Publisher, [1990]</t>
  </si>
  <si>
    <t>Studies in linguistics and philosophy ; v. 37</t>
  </si>
  <si>
    <t>22379233:eng</t>
  </si>
  <si>
    <t>20823285</t>
  </si>
  <si>
    <t>ocm20823285</t>
  </si>
  <si>
    <t>3102774162H</t>
  </si>
  <si>
    <t>9780792306436</t>
  </si>
  <si>
    <t>793100019</t>
  </si>
  <si>
    <t>P299 Q3 P46 2006</t>
  </si>
  <si>
    <t>0                      P  0299000Q  3                  P  46          2006</t>
  </si>
  <si>
    <t>Quantifiers in language and logic / Stanley Peters, Dag Westerståhl.</t>
  </si>
  <si>
    <t>Peters, Stanley, 1941-</t>
  </si>
  <si>
    <t>Oxford : Clarendon Press ; New York : Oxford University Press, 2006.</t>
  </si>
  <si>
    <t>53315662:eng</t>
  </si>
  <si>
    <t>69733694</t>
  </si>
  <si>
    <t>ocm69733694</t>
  </si>
  <si>
    <t>3102565809L</t>
  </si>
  <si>
    <t>9780199291250</t>
  </si>
  <si>
    <t>794146988</t>
  </si>
  <si>
    <t>P299 Q3 Q36 1995</t>
  </si>
  <si>
    <t>0                      P  0299000Q  3                  Q  36          1995</t>
  </si>
  <si>
    <t>Quantification in natural languages / edited by Emmon Bach [and others].</t>
  </si>
  <si>
    <t>Dordrecht, The Netherlands ; Boston : Kluwer Academic Publishers, ©1995.</t>
  </si>
  <si>
    <t>Studies in linguistics and philosophy ; v. 54</t>
  </si>
  <si>
    <t>350374552:eng</t>
  </si>
  <si>
    <t>32581346</t>
  </si>
  <si>
    <t>ocm32581346</t>
  </si>
  <si>
    <t>3102774231K</t>
  </si>
  <si>
    <t>9780792331285</t>
  </si>
  <si>
    <t>793389127</t>
  </si>
  <si>
    <t>3102774236K</t>
  </si>
  <si>
    <t>793389128</t>
  </si>
  <si>
    <t>P299 Q3 S74 2012</t>
  </si>
  <si>
    <t>0                      P  0299000Q  3                  S  74          2012</t>
  </si>
  <si>
    <t>Taking scope : the natural semantics of quantifiers / Mark Steedman.</t>
  </si>
  <si>
    <t>917683347:eng</t>
  </si>
  <si>
    <t>732847958</t>
  </si>
  <si>
    <t>ocn732847958</t>
  </si>
  <si>
    <t>3103395897U</t>
  </si>
  <si>
    <t>9780262017077</t>
  </si>
  <si>
    <t>794881452</t>
  </si>
  <si>
    <t>P299 Q3 S99 2016</t>
  </si>
  <si>
    <t>0                      P  0299000Q  3                  S  99          2016</t>
  </si>
  <si>
    <t>Quantifiers and cognition : logical and computational perspectives / Jakub Szymanik.</t>
  </si>
  <si>
    <t>Szymanik, Jakub, author.</t>
  </si>
  <si>
    <t>Switzerland : Springer, [2016]</t>
  </si>
  <si>
    <t>Studies in linguistics and philosophy ; volume 96</t>
  </si>
  <si>
    <t>2833857628:eng</t>
  </si>
  <si>
    <t>932095869</t>
  </si>
  <si>
    <t>ocn932095869</t>
  </si>
  <si>
    <t>31036657343</t>
  </si>
  <si>
    <t>9783319287478</t>
  </si>
  <si>
    <t>795008327</t>
  </si>
  <si>
    <t>P299 S53 S65 2011</t>
  </si>
  <si>
    <t>0                      P  0299000S  53                 S  65          2011</t>
  </si>
  <si>
    <t>Space and time in language / Mario Brdar [and others].</t>
  </si>
  <si>
    <t>2012-11-17</t>
  </si>
  <si>
    <t>865140063:eng</t>
  </si>
  <si>
    <t>713189015</t>
  </si>
  <si>
    <t>ocn713189015</t>
  </si>
  <si>
    <t>3103341893Y</t>
  </si>
  <si>
    <t>9783631613122</t>
  </si>
  <si>
    <t>794872769</t>
  </si>
  <si>
    <t>P299 S85 S83 2012</t>
  </si>
  <si>
    <t>0                      P  0299000S  85                 S  83          2012</t>
  </si>
  <si>
    <t>Subjectivity in language and in discourse / editors, Nicole Baumgarten, Inke Du Bois, Juliane House.</t>
  </si>
  <si>
    <t>Bingley, U.K. : Emerald, 2012.</t>
  </si>
  <si>
    <t>Studies in pragmatics ; v. 10</t>
  </si>
  <si>
    <t>1167167069:eng</t>
  </si>
  <si>
    <t>809564284</t>
  </si>
  <si>
    <t>ocn809564284</t>
  </si>
  <si>
    <t>3103472332$</t>
  </si>
  <si>
    <t>9781781902691</t>
  </si>
  <si>
    <t>794928553</t>
  </si>
  <si>
    <t>P299 S89 S828 2010</t>
  </si>
  <si>
    <t>0                      P  0299000S  89                 S  828         2010</t>
  </si>
  <si>
    <t>Subjectification, intersubjectification and grammaticalization / edited by Kristin Davidse, Lieven Vandelanotte, Hubert Cuyckens.</t>
  </si>
  <si>
    <t>Topics in English linguistics ; 66</t>
  </si>
  <si>
    <t>766931807:eng</t>
  </si>
  <si>
    <t>542321850</t>
  </si>
  <si>
    <t>ocn542321850</t>
  </si>
  <si>
    <t>31032296015</t>
  </si>
  <si>
    <t>9783110205886</t>
  </si>
  <si>
    <t>794810841</t>
  </si>
  <si>
    <t>P301 A325 2019</t>
  </si>
  <si>
    <t>0                      P  0301000A  325         2019</t>
  </si>
  <si>
    <t>Linguistics and English literature : an introduction / H. D. Adamson, University of Arizona.</t>
  </si>
  <si>
    <t>Adamson, H.D., author.</t>
  </si>
  <si>
    <t>Cambridge, United Kingdom ; New York, NY, USA : Cambridge University Press, 2019.</t>
  </si>
  <si>
    <t>Cambridge Introductions to the English Language</t>
  </si>
  <si>
    <t>9037590215:eng</t>
  </si>
  <si>
    <t>1028168058</t>
  </si>
  <si>
    <t>on1028168058</t>
  </si>
  <si>
    <t>3103808612O</t>
  </si>
  <si>
    <t>9781107045408</t>
  </si>
  <si>
    <t>795053096</t>
  </si>
  <si>
    <t>P301 A33 1993</t>
  </si>
  <si>
    <t>0                      P  0301000A  33          1993</t>
  </si>
  <si>
    <t>La Description / Jean-Michel Adam.</t>
  </si>
  <si>
    <t>Adam, Jean-Michel.</t>
  </si>
  <si>
    <t>Paris : Presses universitaires de france, 1993.</t>
  </si>
  <si>
    <t>Que sais je? ; 2783</t>
  </si>
  <si>
    <t>365104886:fre</t>
  </si>
  <si>
    <t>28869684</t>
  </si>
  <si>
    <t>ocm28869684</t>
  </si>
  <si>
    <t>3102774245I</t>
  </si>
  <si>
    <t>9782130455806</t>
  </si>
  <si>
    <t>793298234</t>
  </si>
  <si>
    <t>P301 A38 1976</t>
  </si>
  <si>
    <t>0                      P  0301000A  38          1976</t>
  </si>
  <si>
    <t>Linguostylistics : theory and method / by Olga Akhmanova.</t>
  </si>
  <si>
    <t>Akhmanova, O. S. (Olʹga Sergeevna)</t>
  </si>
  <si>
    <t>The Hague : Mouton, 1976.</t>
  </si>
  <si>
    <t>Janua linguarum. Series minor ; 181</t>
  </si>
  <si>
    <t>2016-01-09</t>
  </si>
  <si>
    <t>5355127:eng</t>
  </si>
  <si>
    <t>2521396</t>
  </si>
  <si>
    <t>ocm02521396</t>
  </si>
  <si>
    <t>30009866165</t>
  </si>
  <si>
    <t>9789027931757</t>
  </si>
  <si>
    <t>792138641</t>
  </si>
  <si>
    <t>3102774240I</t>
  </si>
  <si>
    <t>792138642</t>
  </si>
  <si>
    <t>P301 A74 2004</t>
  </si>
  <si>
    <t>0                      P  0301000A  74          2004</t>
  </si>
  <si>
    <t>Argumentation et prise de position : pratiques discursives / Ruth Amossy [and others].</t>
  </si>
  <si>
    <t>Paris : Presses universitaires Franc-comtoises, diffusé par les Belles lettres, ©2004.</t>
  </si>
  <si>
    <t>Semen, 0768-4479 ; 17</t>
  </si>
  <si>
    <t>18243760:fre</t>
  </si>
  <si>
    <t>56795143</t>
  </si>
  <si>
    <t>ocm56795143</t>
  </si>
  <si>
    <t>31033580154</t>
  </si>
  <si>
    <t>9782848670454</t>
  </si>
  <si>
    <t>793901940</t>
  </si>
  <si>
    <t>P301 A77 2016</t>
  </si>
  <si>
    <t>0                      P  0301000A  77          2016</t>
  </si>
  <si>
    <t>De la lettre à la littérature : Jarry, Saussure, Roussel et quelques autres / Michel Arrivé.</t>
  </si>
  <si>
    <t>Arrivé, Michel, author.</t>
  </si>
  <si>
    <t>Théorie de la littérature, 2112-8790 ; 10</t>
  </si>
  <si>
    <t>3222894709:fre</t>
  </si>
  <si>
    <t>949196592</t>
  </si>
  <si>
    <t>ocn949196592</t>
  </si>
  <si>
    <t>3103708185O</t>
  </si>
  <si>
    <t>9782812450662</t>
  </si>
  <si>
    <t>795015911</t>
  </si>
  <si>
    <t>P301 B47 1995</t>
  </si>
  <si>
    <t>0                      P  0301000B  47          1995</t>
  </si>
  <si>
    <t>Genre knowledge in disciplinary communication : cognition, culture, power / Carol Berkenkotter, Thomas N. Huckin.</t>
  </si>
  <si>
    <t>Berkenkotter, Carol.</t>
  </si>
  <si>
    <t>32649059:eng</t>
  </si>
  <si>
    <t>30438625</t>
  </si>
  <si>
    <t>ocm30438625</t>
  </si>
  <si>
    <t>3101570848U</t>
  </si>
  <si>
    <t>9780805816112</t>
  </si>
  <si>
    <t>793335487</t>
  </si>
  <si>
    <t>3102774225M</t>
  </si>
  <si>
    <t>793335488</t>
  </si>
  <si>
    <t>P301 B535 2010</t>
  </si>
  <si>
    <t>0                      P  0301000B  535         2010</t>
  </si>
  <si>
    <t>Semantic dialogues or ethics versus rhetoric / John T. Blackmore, Setsuko Tanaka.</t>
  </si>
  <si>
    <t>Blackmore, John T.</t>
  </si>
  <si>
    <t>[Bethesda, Md.] : Sentinel Open Press ; Enfield, NH : Distributed by Enfield, ©2010.</t>
  </si>
  <si>
    <t>681870762:eng</t>
  </si>
  <si>
    <t>668371887</t>
  </si>
  <si>
    <t>ocn668371887</t>
  </si>
  <si>
    <t>3103320563Q</t>
  </si>
  <si>
    <t>9780578057194</t>
  </si>
  <si>
    <t>794846479</t>
  </si>
  <si>
    <t>P301 B67 2015</t>
  </si>
  <si>
    <t>0                      P  0301000B  67          2015</t>
  </si>
  <si>
    <t>Rhetoric in popular culture / Barry Brummett, the University of Texas at Austin.</t>
  </si>
  <si>
    <t>Brummett, Barry, 1951-</t>
  </si>
  <si>
    <t>2017-01-19</t>
  </si>
  <si>
    <t>33069099:eng</t>
  </si>
  <si>
    <t>856971351</t>
  </si>
  <si>
    <t>ocn856971351</t>
  </si>
  <si>
    <t>31035657479</t>
  </si>
  <si>
    <t>9781452203461</t>
  </si>
  <si>
    <t>794954673</t>
  </si>
  <si>
    <t>P301 B79 2008</t>
  </si>
  <si>
    <t>0                      P  0301000B  79          2008</t>
  </si>
  <si>
    <t>Out of style : reanimating stylistic study in composition and rhetoric / Paul Butler.</t>
  </si>
  <si>
    <t>Butler, Paul, 1956-</t>
  </si>
  <si>
    <t>Logan, Utah : Utah State University Press, 2008.</t>
  </si>
  <si>
    <t>2016-05-16</t>
  </si>
  <si>
    <t>864077876:eng</t>
  </si>
  <si>
    <t>174501187</t>
  </si>
  <si>
    <t>ocn174501187</t>
  </si>
  <si>
    <t>3103082271D</t>
  </si>
  <si>
    <t>9780874216790</t>
  </si>
  <si>
    <t>794274407</t>
  </si>
  <si>
    <t>P301 B84 2010</t>
  </si>
  <si>
    <t>0                      P  0301000B  84          2010</t>
  </si>
  <si>
    <t>Language, usage and cognition / Joan Bybee.</t>
  </si>
  <si>
    <t>2011-05-25</t>
  </si>
  <si>
    <t>349134242:eng</t>
  </si>
  <si>
    <t>466341167</t>
  </si>
  <si>
    <t>ocn466341167</t>
  </si>
  <si>
    <t>3103133002B</t>
  </si>
  <si>
    <t>9780521851404</t>
  </si>
  <si>
    <t>794794281</t>
  </si>
  <si>
    <t>P301 C545 2010</t>
  </si>
  <si>
    <t>0                      P  0301000C  545         2010</t>
  </si>
  <si>
    <t>Cognitive foundations of linguistic usage patterns / edited by Hans-Jörg Schmid, Susanne Handl.</t>
  </si>
  <si>
    <t>Applications of cognitive linguistics ; 13</t>
  </si>
  <si>
    <t>1044601478:eng</t>
  </si>
  <si>
    <t>503005665</t>
  </si>
  <si>
    <t>ocn503005665</t>
  </si>
  <si>
    <t>31032408859</t>
  </si>
  <si>
    <t>9783110205176</t>
  </si>
  <si>
    <t>794806043</t>
  </si>
  <si>
    <t>P301 C6</t>
  </si>
  <si>
    <t>0                      P  0301000C  6</t>
  </si>
  <si>
    <t>Sémiotique littéraire : contribution à l'analyse sémantique du discours / Jean-Claude Coquet.</t>
  </si>
  <si>
    <t>Coquet, Jean-Claude, 1928-</t>
  </si>
  <si>
    <t>[Tours] : Mame, [1973]</t>
  </si>
  <si>
    <t>Univers sémiotiques</t>
  </si>
  <si>
    <t>1627861:fre</t>
  </si>
  <si>
    <t>705399</t>
  </si>
  <si>
    <t>ocm00705399</t>
  </si>
  <si>
    <t>3102774239K</t>
  </si>
  <si>
    <t>9782250005028</t>
  </si>
  <si>
    <t>791450804</t>
  </si>
  <si>
    <t>P301 C85 1997</t>
  </si>
  <si>
    <t>0                      P  0301000C  85          1997</t>
  </si>
  <si>
    <t>Culture and styles of academic discourse / edited by Anna Duszak.</t>
  </si>
  <si>
    <t>Berlin ; New York : Mouton de Gruyter, 1997.</t>
  </si>
  <si>
    <t>Trends in linguistics. Studies and monographs ; 104</t>
  </si>
  <si>
    <t>627518:eng</t>
  </si>
  <si>
    <t>36746491</t>
  </si>
  <si>
    <t>ocm36746491</t>
  </si>
  <si>
    <t>3102774224M</t>
  </si>
  <si>
    <t>9783110152494</t>
  </si>
  <si>
    <t>793483366</t>
  </si>
  <si>
    <t>P301 D66 2012</t>
  </si>
  <si>
    <t>0                      P  0301000D  66          2012</t>
  </si>
  <si>
    <t>Conversational rhetoric : the rise and fall of a women's tradition, 1600-1900 / Jane Donawerth.</t>
  </si>
  <si>
    <t>Donawerth, Jane, 1947-</t>
  </si>
  <si>
    <t>Carbondale : Southern Illinois University Press, ©2012.</t>
  </si>
  <si>
    <t>Studies in rhetorics and feminisms</t>
  </si>
  <si>
    <t>2012-05-04</t>
  </si>
  <si>
    <t>787977871:eng</t>
  </si>
  <si>
    <t>702941813</t>
  </si>
  <si>
    <t>ocn702941813</t>
  </si>
  <si>
    <t>3103405436J</t>
  </si>
  <si>
    <t>9780809330270</t>
  </si>
  <si>
    <t>794864375</t>
  </si>
  <si>
    <t>P301 E48 2011</t>
  </si>
  <si>
    <t>0                      P  0301000E  48          2011</t>
  </si>
  <si>
    <t>Vernacular eloquence : what speech can bring to writing / Peter Elbow.</t>
  </si>
  <si>
    <t>Elbow, Peter.</t>
  </si>
  <si>
    <t>826238584:eng</t>
  </si>
  <si>
    <t>707726512</t>
  </si>
  <si>
    <t>ocn707726512</t>
  </si>
  <si>
    <t>3103405700G</t>
  </si>
  <si>
    <t>9780199782505</t>
  </si>
  <si>
    <t>794868063</t>
  </si>
  <si>
    <t>P301 E84 2004</t>
  </si>
  <si>
    <t>0                      P  0301000E  84          2004</t>
  </si>
  <si>
    <t>The ethos of rhetoric / edited by Michael J. Hyde ; foreword by Calvin O. Schrag.</t>
  </si>
  <si>
    <t>Columbia, S.C. : University of South Carolina Press, ©2004.</t>
  </si>
  <si>
    <t>351378848:eng</t>
  </si>
  <si>
    <t>53953479</t>
  </si>
  <si>
    <t>ocm53953479</t>
  </si>
  <si>
    <t>3102774228M</t>
  </si>
  <si>
    <t>9781570035388</t>
  </si>
  <si>
    <t>793853895</t>
  </si>
  <si>
    <t>P301 F67 1999</t>
  </si>
  <si>
    <t>0                      P  0301000F  67          1999</t>
  </si>
  <si>
    <t>Feminist rhetorical theories / Karen A. Foss, Sonja K. Foss, Cindy L. Griffin.</t>
  </si>
  <si>
    <t>Foss, Karen A.</t>
  </si>
  <si>
    <t>Thousand Oaks, Calif. : Sage Pub., ©1999.</t>
  </si>
  <si>
    <t>42476802:eng</t>
  </si>
  <si>
    <t>39739604</t>
  </si>
  <si>
    <t>ocm39739604</t>
  </si>
  <si>
    <t>3102774208Q</t>
  </si>
  <si>
    <t>9780761903468</t>
  </si>
  <si>
    <t>793552211</t>
  </si>
  <si>
    <t>P301 G73 2018</t>
  </si>
  <si>
    <t>0                      P  0301000G  73          2018</t>
  </si>
  <si>
    <t>The Grammar of genres and styles : from discrete to non-discrete units / edited by Dominique Legallois, Thierry Charnois and Meri Larjavaara.</t>
  </si>
  <si>
    <t>Berlin : De Gruyter Mouton, 2018.</t>
  </si>
  <si>
    <t>Trends in Linguistics. Studies and Monographs, ; 320</t>
  </si>
  <si>
    <t>4998353972:eng</t>
  </si>
  <si>
    <t>1019652828</t>
  </si>
  <si>
    <t>on1019652828</t>
  </si>
  <si>
    <t>31037045720</t>
  </si>
  <si>
    <t>9783110589689</t>
  </si>
  <si>
    <t>795049276</t>
  </si>
  <si>
    <t>P301 G75</t>
  </si>
  <si>
    <t>0                      P  0301000G  75</t>
  </si>
  <si>
    <t>Production de l'intérêt romanesque. Un état du texte (1870-1880), un essai de constitution de sa théorie.</t>
  </si>
  <si>
    <t>Grivel, Charles.</t>
  </si>
  <si>
    <t>Approaches to semiotics, 34</t>
  </si>
  <si>
    <t>5090936890:fre</t>
  </si>
  <si>
    <t>745749</t>
  </si>
  <si>
    <t>ocm00745749</t>
  </si>
  <si>
    <t>3102774232K</t>
  </si>
  <si>
    <t>791460089</t>
  </si>
  <si>
    <t>P301 H4</t>
  </si>
  <si>
    <t>0                      P  0301000H  4</t>
  </si>
  <si>
    <t>Gattungstheorie : Information u. Synthese / Klaus W. Hempfer.</t>
  </si>
  <si>
    <t>Hempfer, Klaus W.</t>
  </si>
  <si>
    <t>München : W. Fink, 1973.</t>
  </si>
  <si>
    <t>Information und Synthese ; Bd. 1</t>
  </si>
  <si>
    <t>1790726:ger</t>
  </si>
  <si>
    <t>851799</t>
  </si>
  <si>
    <t>ocm00851799</t>
  </si>
  <si>
    <t>3102774227M</t>
  </si>
  <si>
    <t>9783770506446</t>
  </si>
  <si>
    <t>791486817</t>
  </si>
  <si>
    <t>P301 H56 1999</t>
  </si>
  <si>
    <t>0                      P  0301000H  56          1999</t>
  </si>
  <si>
    <t>Histoire de la rhétorique dans l'Europe moderne 1450-1950 / publié sous la direction de Marc Fumaroli.</t>
  </si>
  <si>
    <t>PARIS : PUF, 1999.</t>
  </si>
  <si>
    <t>350002251:fre</t>
  </si>
  <si>
    <t>406515221</t>
  </si>
  <si>
    <t>ocn406515221</t>
  </si>
  <si>
    <t>3102774212O</t>
  </si>
  <si>
    <t>9782130495260</t>
  </si>
  <si>
    <t>794499816</t>
  </si>
  <si>
    <t>P301 K45 1998</t>
  </si>
  <si>
    <t>0                      P  0301000K  45          1998</t>
  </si>
  <si>
    <t>Comparative rhetoric : an historical and cross-cultural introduction / George A. Kennedy.</t>
  </si>
  <si>
    <t>Kennedy, George A. (George Alexander), 1928- author.</t>
  </si>
  <si>
    <t>807217447:eng</t>
  </si>
  <si>
    <t>35121784</t>
  </si>
  <si>
    <t>ocm35121784</t>
  </si>
  <si>
    <t>3102591834G</t>
  </si>
  <si>
    <t>9780195109320</t>
  </si>
  <si>
    <t>793444586</t>
  </si>
  <si>
    <t>P301 M35 1984</t>
  </si>
  <si>
    <t>0                      P  0301000M  35          1984</t>
  </si>
  <si>
    <t>Genèses du discours / Dominique Maingueneau.</t>
  </si>
  <si>
    <t>Bruxelles : P. Mardaga, [1984]</t>
  </si>
  <si>
    <t>11698657:fre</t>
  </si>
  <si>
    <t>16088375</t>
  </si>
  <si>
    <t>ocm16088375</t>
  </si>
  <si>
    <t>31027742908</t>
  </si>
  <si>
    <t>9782870091975</t>
  </si>
  <si>
    <t>792954326</t>
  </si>
  <si>
    <t>P301 M35 2003</t>
  </si>
  <si>
    <t>0                      P  0301000M  35          2003</t>
  </si>
  <si>
    <t>Linguistique pour le texte littéraire / Dominique Maingueneau.</t>
  </si>
  <si>
    <t>Paris : Armand Colin, c 2005.</t>
  </si>
  <si>
    <t>Quatrième éd. entièrement révisée et augmentée avec exercices et corrigés.</t>
  </si>
  <si>
    <t>Collection Lettres supérieures</t>
  </si>
  <si>
    <t>3901007683:fre</t>
  </si>
  <si>
    <t>124085832</t>
  </si>
  <si>
    <t>ocn124085832</t>
  </si>
  <si>
    <t>31033579922</t>
  </si>
  <si>
    <t>9782200343231</t>
  </si>
  <si>
    <t>794230552</t>
  </si>
  <si>
    <t>P301 M427 2010</t>
  </si>
  <si>
    <t>0                      P  0301000M  427         2010</t>
  </si>
  <si>
    <t>Principia rhetorica : une théorie générale de l'argumentation / Michel Meyer.</t>
  </si>
  <si>
    <t>Meyer, Michel.</t>
  </si>
  <si>
    <t>Quadrige . Grands textes, 0291-0489</t>
  </si>
  <si>
    <t>891195217:fre</t>
  </si>
  <si>
    <t>688494917</t>
  </si>
  <si>
    <t>ocn688494917</t>
  </si>
  <si>
    <t>3103334334H</t>
  </si>
  <si>
    <t>9782130586920</t>
  </si>
  <si>
    <t>794854332</t>
  </si>
  <si>
    <t>P301 M429 2011</t>
  </si>
  <si>
    <t>0                      P  0301000M  429         2011</t>
  </si>
  <si>
    <t>La rhétorique / Michel Meyer.</t>
  </si>
  <si>
    <t>Meyer, Michel, 1950-</t>
  </si>
  <si>
    <t>3e éd.</t>
  </si>
  <si>
    <t>Que sais-je? ; no 2133</t>
  </si>
  <si>
    <t>2019-11-27</t>
  </si>
  <si>
    <t>4061390432:fre</t>
  </si>
  <si>
    <t>758492188</t>
  </si>
  <si>
    <t>ocn758492188</t>
  </si>
  <si>
    <t>31036211127</t>
  </si>
  <si>
    <t>9782130589198</t>
  </si>
  <si>
    <t>794896488</t>
  </si>
  <si>
    <t>P301 P66 2011</t>
  </si>
  <si>
    <t>0                      P  0301000P  66          2011</t>
  </si>
  <si>
    <t>For arguments' sake : speaker evaluation in modern political discourse / by Douglas Mark Ponton.</t>
  </si>
  <si>
    <t>Ponton, Douglas Mark.</t>
  </si>
  <si>
    <t>903503045:eng</t>
  </si>
  <si>
    <t>727106340</t>
  </si>
  <si>
    <t>ocn727106340</t>
  </si>
  <si>
    <t>31033426881</t>
  </si>
  <si>
    <t>9781443829373</t>
  </si>
  <si>
    <t>794877754</t>
  </si>
  <si>
    <t>P301 R345 1994</t>
  </si>
  <si>
    <t>0                      P  0301000R  345         1994</t>
  </si>
  <si>
    <t>Recherches rhétoriques / [Jean Cohen and others].</t>
  </si>
  <si>
    <t>Points communications ; 16</t>
  </si>
  <si>
    <t>5612663599:fre</t>
  </si>
  <si>
    <t>427997607</t>
  </si>
  <si>
    <t>ocn427997607</t>
  </si>
  <si>
    <t>3102774258G</t>
  </si>
  <si>
    <t>9782020222716</t>
  </si>
  <si>
    <t>794740749</t>
  </si>
  <si>
    <t>P301 R345 2011</t>
  </si>
  <si>
    <t>0                      P  0301000R  345         2011</t>
  </si>
  <si>
    <t>Introduction à la rhétorique : théorie et pratique / Olivier Reboul.</t>
  </si>
  <si>
    <t>Reboul, Olivier.</t>
  </si>
  <si>
    <t>Rééd.</t>
  </si>
  <si>
    <t>Quadrige . Manuels, 0291-0489</t>
  </si>
  <si>
    <t>808380615:fre</t>
  </si>
  <si>
    <t>754323891</t>
  </si>
  <si>
    <t>ocn754323891</t>
  </si>
  <si>
    <t>3103586403C</t>
  </si>
  <si>
    <t>9782130591610</t>
  </si>
  <si>
    <t>794892735</t>
  </si>
  <si>
    <t>3103586390Y</t>
  </si>
  <si>
    <t>794892736</t>
  </si>
  <si>
    <t>P301 R44 1982</t>
  </si>
  <si>
    <t>0                      P  0301000R  44          1982</t>
  </si>
  <si>
    <t>Rhetoric and change / William E. Tanner, J. Dean Bishop, editors ; contributors, Jacques Barzun [and others].</t>
  </si>
  <si>
    <t>Mesquite, Tex. : Ide House, 1982.</t>
  </si>
  <si>
    <t>429992776:eng</t>
  </si>
  <si>
    <t>8409698</t>
  </si>
  <si>
    <t>ocm08409698</t>
  </si>
  <si>
    <t>3103705912Y</t>
  </si>
  <si>
    <t>9780866639002</t>
  </si>
  <si>
    <t>792617767</t>
  </si>
  <si>
    <t>P301 R4714 2012</t>
  </si>
  <si>
    <t>0                      P  0301000R  4714        2012</t>
  </si>
  <si>
    <t>Re/Framing identifications / Michelle Ballif, [editor].</t>
  </si>
  <si>
    <t>Rhetoric Society of America. Conference (15th : 2012 : Philadelphia, Pa.)</t>
  </si>
  <si>
    <t>Long Grove, Ill. : Waveland Press, Inc., ©2014.</t>
  </si>
  <si>
    <t>1366438206:eng</t>
  </si>
  <si>
    <t>852219797</t>
  </si>
  <si>
    <t>ocn852219797</t>
  </si>
  <si>
    <t>31035327311</t>
  </si>
  <si>
    <t>9781478606710</t>
  </si>
  <si>
    <t>794951214</t>
  </si>
  <si>
    <t>P301 R4716 2010</t>
  </si>
  <si>
    <t>0                      P  0301000R  4716        2010</t>
  </si>
  <si>
    <t>Rhetorica in motion : feminist rhetorical methods &amp; methodologies / edited by Eileen E. Schell and K.J. Rawson ; with a foreword by Kate Ronald.</t>
  </si>
  <si>
    <t>Pittsburgh, Pa. : University of Pittsburgh Press, ©2010.</t>
  </si>
  <si>
    <t>Pittsburgh series in composition, literacy, and culture</t>
  </si>
  <si>
    <t>792056577:eng</t>
  </si>
  <si>
    <t>458890161</t>
  </si>
  <si>
    <t>ocn458890161</t>
  </si>
  <si>
    <t>31031288089</t>
  </si>
  <si>
    <t>9780822960560</t>
  </si>
  <si>
    <t>794790655</t>
  </si>
  <si>
    <t>P301 R49 1991</t>
  </si>
  <si>
    <t>0                      P  0301000R  49          1991</t>
  </si>
  <si>
    <t>Richards on rhetoric : I.A. Richards, selected essays (1929-1974) / edited by Ann E. Berthoff.</t>
  </si>
  <si>
    <t>Richards, I. A. (Ivor Armstrong), 1893-1979.</t>
  </si>
  <si>
    <t>219885866:eng</t>
  </si>
  <si>
    <t>20893101</t>
  </si>
  <si>
    <t>ocm20893101</t>
  </si>
  <si>
    <t>3102774282A</t>
  </si>
  <si>
    <t>9780195069501</t>
  </si>
  <si>
    <t>793102443</t>
  </si>
  <si>
    <t>P301 S59 1994</t>
  </si>
  <si>
    <t>0                      P  0301000S  59          1994</t>
  </si>
  <si>
    <t>Speaking about writing : reflections on research methodology / edited by Peter Smagorinsky.</t>
  </si>
  <si>
    <t>Sage series in written communication ; v. 8</t>
  </si>
  <si>
    <t>793435984:eng</t>
  </si>
  <si>
    <t>29843702</t>
  </si>
  <si>
    <t>ocm29843702</t>
  </si>
  <si>
    <t>31019913914</t>
  </si>
  <si>
    <t>9780803952317</t>
  </si>
  <si>
    <t>793321772</t>
  </si>
  <si>
    <t>P301 S89 2010</t>
  </si>
  <si>
    <t>0                      P  0301000S  89          2010</t>
  </si>
  <si>
    <t>Stylistiques / sous la direction de Laurence Bougault et Judith Wulf.</t>
  </si>
  <si>
    <t>Rennes : Presses universitaires de Rennes, 2010.</t>
  </si>
  <si>
    <t>Interférences, 0154-5604</t>
  </si>
  <si>
    <t>761317156:fre</t>
  </si>
  <si>
    <t>611404809</t>
  </si>
  <si>
    <t>ocn611404809</t>
  </si>
  <si>
    <t>3103556285H</t>
  </si>
  <si>
    <t>9782753510548</t>
  </si>
  <si>
    <t>794821075</t>
  </si>
  <si>
    <t>P301 T639</t>
  </si>
  <si>
    <t>0                      P  0301000T  639</t>
  </si>
  <si>
    <t>Mikhaïl Bakhtine : le principe dialogique / Tzvetan Todorov. Suivi de Écrits du cercle de Bakhtine.</t>
  </si>
  <si>
    <t>2019-12-04</t>
  </si>
  <si>
    <t>478439660:fre</t>
  </si>
  <si>
    <t>8927707</t>
  </si>
  <si>
    <t>ocm08927707</t>
  </si>
  <si>
    <t>3102765941Z</t>
  </si>
  <si>
    <t>9782020058308</t>
  </si>
  <si>
    <t>792648342</t>
  </si>
  <si>
    <t>P301 T64 2003</t>
  </si>
  <si>
    <t>0                      P  0301000T  64          2003</t>
  </si>
  <si>
    <t>Towards a rhetoric of everyday life : new directions in research on writing, text, and discourse / edited by Martin Nystrand and John Duffy.</t>
  </si>
  <si>
    <t>Madison, Wis. : University of Wisconsin Press, ©2003.</t>
  </si>
  <si>
    <t>840745826:eng</t>
  </si>
  <si>
    <t>50123451</t>
  </si>
  <si>
    <t>ocm50123451</t>
  </si>
  <si>
    <t>31027659360</t>
  </si>
  <si>
    <t>9780299181703</t>
  </si>
  <si>
    <t>793756027</t>
  </si>
  <si>
    <t>P301 T69 2013</t>
  </si>
  <si>
    <t>0                      P  0301000T  69          2013</t>
  </si>
  <si>
    <t>Rhetoric : a very short introduction / Richard Toye.</t>
  </si>
  <si>
    <t>Toye, Richard, 1973-</t>
  </si>
  <si>
    <t>Very short introductions ; 346</t>
  </si>
  <si>
    <t>1313656348:eng</t>
  </si>
  <si>
    <t>813540513</t>
  </si>
  <si>
    <t>ocn813540513</t>
  </si>
  <si>
    <t>3103505603D</t>
  </si>
  <si>
    <t>9780199651368</t>
  </si>
  <si>
    <t>794931732</t>
  </si>
  <si>
    <t>P301.3 C3 R39 2012</t>
  </si>
  <si>
    <t>0                      P  0301300C  3                  R  39          2012</t>
  </si>
  <si>
    <t>Entretiens sur l'éloquence et la littérature de Joseph-Sabin Raymond / Marc André Bernier, Marie Lise Laquerre.</t>
  </si>
  <si>
    <t>Bernier, Marc André, 1964-</t>
  </si>
  <si>
    <t>[Sainte-Foy] : Presses de l'Université Laval, ©2012.</t>
  </si>
  <si>
    <t>Éd. critique.</t>
  </si>
  <si>
    <t>L'archive littéraire au Québec. Série monuments</t>
  </si>
  <si>
    <t>5479288811:fre</t>
  </si>
  <si>
    <t>814357550</t>
  </si>
  <si>
    <t>ocn814357550</t>
  </si>
  <si>
    <t>3103403291L</t>
  </si>
  <si>
    <t>9782763799926</t>
  </si>
  <si>
    <t>794932139</t>
  </si>
  <si>
    <t>P301.5 A27 B78 2011</t>
  </si>
  <si>
    <t>0                      P  0301500A  27                 B  78          2011</t>
  </si>
  <si>
    <t>Theory and concepts of English for academic purposes / Ian Bruce.</t>
  </si>
  <si>
    <t>Bruce, Ian, 1953-</t>
  </si>
  <si>
    <t>760624797:eng</t>
  </si>
  <si>
    <t>682891241</t>
  </si>
  <si>
    <t>ocn682891241</t>
  </si>
  <si>
    <t>31033645072</t>
  </si>
  <si>
    <t>9780230249745</t>
  </si>
  <si>
    <t>794852982</t>
  </si>
  <si>
    <t>P301.5 A27 G56 2018</t>
  </si>
  <si>
    <t>0                      P  0301500A  27                 G  56          2018</t>
  </si>
  <si>
    <t>Global academic publishing : policies, perspectives and pedagogies / edited by Mary Jane Curry and Theresa Lillis.</t>
  </si>
  <si>
    <t>Bristol, UK ; Blue Ridge Summit, PA, USA : Multilingual Matters, [2018]</t>
  </si>
  <si>
    <t>Studies in knowledge production and participation ; 1</t>
  </si>
  <si>
    <t>4601744405:eng</t>
  </si>
  <si>
    <t>992452648</t>
  </si>
  <si>
    <t>ocn992452648</t>
  </si>
  <si>
    <t>3103704030$</t>
  </si>
  <si>
    <t>9781783099238</t>
  </si>
  <si>
    <t>795038245</t>
  </si>
  <si>
    <t>P301.5 A27 H95 2009</t>
  </si>
  <si>
    <t>0                      P  0301500A  27                 H  95          2009</t>
  </si>
  <si>
    <t>Academic discourse : English in a global context / Ken Hyland.</t>
  </si>
  <si>
    <t>793104497:eng</t>
  </si>
  <si>
    <t>330508617</t>
  </si>
  <si>
    <t>ocn330508617</t>
  </si>
  <si>
    <t>31028573683</t>
  </si>
  <si>
    <t>9780826498038</t>
  </si>
  <si>
    <t>794490785</t>
  </si>
  <si>
    <t>P301.5 A27 M45 2017</t>
  </si>
  <si>
    <t>0                      P  0301500A  27                 M  45          2017</t>
  </si>
  <si>
    <t>Metadiscourse in written genres : uncovering textual and interactional aspects of texts / Ciler Hatipoglu, Erdem Akbas, Yasemin Bayyurt (eds.).</t>
  </si>
  <si>
    <t>Frankfurt am Main ; New York, NY : Peter Lang Edition, [2017]</t>
  </si>
  <si>
    <t>4194436856:eng</t>
  </si>
  <si>
    <t>985359624</t>
  </si>
  <si>
    <t>ocn985359624</t>
  </si>
  <si>
    <t>3103738431H</t>
  </si>
  <si>
    <t>9783631720622</t>
  </si>
  <si>
    <t>795035309</t>
  </si>
  <si>
    <t>P301.5 A27 N94 2008</t>
  </si>
  <si>
    <t>0                      P  0301500A  27                 N  94          2008</t>
  </si>
  <si>
    <t>Writing for scholars : a practical guide to making sense and being heard / Lynn P. Nygaard.</t>
  </si>
  <si>
    <t>Nygaard, Lynn P.</t>
  </si>
  <si>
    <t>[Oslo, Norway] : Universitetsforlaget ; Portland, OR : Distribution, International Specialized Book Services, ©2008.</t>
  </si>
  <si>
    <t>2016-06-08</t>
  </si>
  <si>
    <t>314998100:eng</t>
  </si>
  <si>
    <t>286441535</t>
  </si>
  <si>
    <t>ocn286441535</t>
  </si>
  <si>
    <t>3103086664O</t>
  </si>
  <si>
    <t>9788215013916</t>
  </si>
  <si>
    <t>794421001</t>
  </si>
  <si>
    <t>P301.5.A27 S27 2019</t>
  </si>
  <si>
    <t>0                      P  0301500A  27                 S  27          2019</t>
  </si>
  <si>
    <t>The writing workshop : write more, write better, be happier in academia / Barbara W. Sarnecka.</t>
  </si>
  <si>
    <t>Sarnecka, Barbara W., author.</t>
  </si>
  <si>
    <t>[United States] : [Barbara W. Sarnecka], 2019.</t>
  </si>
  <si>
    <t>2019-11-29</t>
  </si>
  <si>
    <t>9607313199:eng</t>
  </si>
  <si>
    <t>1125265846</t>
  </si>
  <si>
    <t>on1125265846</t>
  </si>
  <si>
    <t>3103976338G</t>
  </si>
  <si>
    <t>9781733484602</t>
  </si>
  <si>
    <t>795085762</t>
  </si>
  <si>
    <t>P301.5 A27 S56 2018</t>
  </si>
  <si>
    <t>0                      P  0301500A  27                 S  56          2018</t>
  </si>
  <si>
    <t>The quick fix guide to academic writing : how to avoid big mistakes and small errors / Phillip C. Shon.</t>
  </si>
  <si>
    <t>Shon, Phillip C., author.</t>
  </si>
  <si>
    <t>Los Angeles : SAGE, 2018.</t>
  </si>
  <si>
    <t>SAGE study skills</t>
  </si>
  <si>
    <t>4652677000:eng</t>
  </si>
  <si>
    <t>1038029884</t>
  </si>
  <si>
    <t>on1038029884</t>
  </si>
  <si>
    <t>31037406502</t>
  </si>
  <si>
    <t>9781526405890</t>
  </si>
  <si>
    <t>795058506</t>
  </si>
  <si>
    <t>P301.5 A27 S94 2017</t>
  </si>
  <si>
    <t>0                      P  0301500A  27                 S  94          2017</t>
  </si>
  <si>
    <t>Air &amp; light &amp; time &amp; space : how successful academics write / Helen Sword.</t>
  </si>
  <si>
    <t>Sword, Helen, author.</t>
  </si>
  <si>
    <t>Cambridge, Massachusetts : Harvard University Press, 2017.</t>
  </si>
  <si>
    <t>4151669324:eng</t>
  </si>
  <si>
    <t>959552314</t>
  </si>
  <si>
    <t>ocn959552314</t>
  </si>
  <si>
    <t>3103671201F</t>
  </si>
  <si>
    <t>9780674737709</t>
  </si>
  <si>
    <t>795022453</t>
  </si>
  <si>
    <t>P301.5 A27 T87 2018</t>
  </si>
  <si>
    <t>0                      P  0301500A  27                 T  87          2018</t>
  </si>
  <si>
    <t>On writtenness : the cultural politics of academic writing / Joan Turner.</t>
  </si>
  <si>
    <t>Turner, Joan, 1951- author.</t>
  </si>
  <si>
    <t>London ; New York, NY : Bloomsbury Academic, an imprint of Bloomsbury Publishing Plc, 2018.</t>
  </si>
  <si>
    <t>4668955247:eng</t>
  </si>
  <si>
    <t>1015258909</t>
  </si>
  <si>
    <t>on1015258909</t>
  </si>
  <si>
    <t>3103810134V</t>
  </si>
  <si>
    <t>9781472505071</t>
  </si>
  <si>
    <t>795047867</t>
  </si>
  <si>
    <t>P301.5 D37 M33 2012</t>
  </si>
  <si>
    <t>0                      P  0301500D  37                 M  33          2012</t>
  </si>
  <si>
    <t>Rhetorical delivery as technological discourse : a cross-historical study / Ben McCorkle.</t>
  </si>
  <si>
    <t>McCorkle, Ben, 1974-</t>
  </si>
  <si>
    <t>793744329:eng</t>
  </si>
  <si>
    <t>704372251</t>
  </si>
  <si>
    <t>ocn704372251</t>
  </si>
  <si>
    <t>3103410906P</t>
  </si>
  <si>
    <t>9780809330676</t>
  </si>
  <si>
    <t>794865497</t>
  </si>
  <si>
    <t>P301.5 F53 F54 2013</t>
  </si>
  <si>
    <t>0                      P  0301500F  53                 F  54          2013</t>
  </si>
  <si>
    <t>Figurative language, genre and register / Alice Deignan, University of Leeds, Jeannette Littlemore, University of Birmingham and Elena Semino, University of Lancaster.</t>
  </si>
  <si>
    <t>Deignan, Alice, author.</t>
  </si>
  <si>
    <t>2013-08-21</t>
  </si>
  <si>
    <t>1176795620:eng</t>
  </si>
  <si>
    <t>815873399</t>
  </si>
  <si>
    <t>ocn815873399</t>
  </si>
  <si>
    <t>3103499930H</t>
  </si>
  <si>
    <t>9781107402034</t>
  </si>
  <si>
    <t>794932814</t>
  </si>
  <si>
    <t>P301.5 F53 L56 2014</t>
  </si>
  <si>
    <t>0                      P  0301500F  53                 L  56          2014</t>
  </si>
  <si>
    <t>Linguistique et stylistique des figures / Cécile Barbet (dir.).</t>
  </si>
  <si>
    <t>Bruxelles : P.I.E. Peter Lang, [2014]</t>
  </si>
  <si>
    <t>Gramm-R Études de linguistique française ; no 27</t>
  </si>
  <si>
    <t>2017-06-26</t>
  </si>
  <si>
    <t>5091963197:fre</t>
  </si>
  <si>
    <t>898114271</t>
  </si>
  <si>
    <t>ocn898114271</t>
  </si>
  <si>
    <t>3103200695X</t>
  </si>
  <si>
    <t>9782875742230</t>
  </si>
  <si>
    <t>794985819</t>
  </si>
  <si>
    <t>P301.5 I34 I3 1993</t>
  </si>
  <si>
    <t>0                      P  0301500I  34                 I  3           1993</t>
  </si>
  <si>
    <t>Idioms : processing, structure, and interpretaion / edited by Cristina Cacciari, Patrizia Tabossi.</t>
  </si>
  <si>
    <t>Hillsdale, N.J. : L. Erlbaum Associates, 1993.</t>
  </si>
  <si>
    <t>806919650:eng</t>
  </si>
  <si>
    <t>26353920</t>
  </si>
  <si>
    <t>ocm26353920</t>
  </si>
  <si>
    <t>31028240486</t>
  </si>
  <si>
    <t>9780805810387</t>
  </si>
  <si>
    <t>793243085</t>
  </si>
  <si>
    <t>P301.5 I34 W85 2008</t>
  </si>
  <si>
    <t>0                      P  0301500I  34                 W  85          2008</t>
  </si>
  <si>
    <t>Rethinking idiomaticity : a usage-based approach / Stefanie Wulff.</t>
  </si>
  <si>
    <t>Wulff, Stefanie.</t>
  </si>
  <si>
    <t>855353149:eng</t>
  </si>
  <si>
    <t>231585292</t>
  </si>
  <si>
    <t>ocn231585292</t>
  </si>
  <si>
    <t>3102857383$</t>
  </si>
  <si>
    <t>9781847064202</t>
  </si>
  <si>
    <t>794357729</t>
  </si>
  <si>
    <t>P301.5 I73 I76 2007</t>
  </si>
  <si>
    <t>0                      P  0301500I  73                 I  76          2007</t>
  </si>
  <si>
    <t>Irony in language and thought : a cognitive science reader / edited by Raymond W. Gibbs, Jr. and Herbert L. Colston.</t>
  </si>
  <si>
    <t>New York : Lawrence Erlbaum Associates, ©2007.</t>
  </si>
  <si>
    <t>888283907:eng</t>
  </si>
  <si>
    <t>76183656</t>
  </si>
  <si>
    <t>ocm76183656</t>
  </si>
  <si>
    <t>3102650936V</t>
  </si>
  <si>
    <t>9780805860627</t>
  </si>
  <si>
    <t>794175902</t>
  </si>
  <si>
    <t>P301.5 I75 P47 1996</t>
  </si>
  <si>
    <t>0                      P  0301500I  75                 P  47          1996</t>
  </si>
  <si>
    <t>L'ironie mise en trope : du sens des énoncés hyperboliques et ironiques / Laurent Perrin.</t>
  </si>
  <si>
    <t>Perrin, Laurent.</t>
  </si>
  <si>
    <t>Paris : Kimé, ©1996.</t>
  </si>
  <si>
    <t>Collection "Argumentation, sciences du langage"</t>
  </si>
  <si>
    <t>365124344:fre</t>
  </si>
  <si>
    <t>35049745</t>
  </si>
  <si>
    <t>ocm35049745</t>
  </si>
  <si>
    <t>3102765959X</t>
  </si>
  <si>
    <t>9782841740390</t>
  </si>
  <si>
    <t>793442771</t>
  </si>
  <si>
    <t>P301.5 M48 C35 2008</t>
  </si>
  <si>
    <t>0                      P  0301500M  48                 C  35          2008</t>
  </si>
  <si>
    <t>The Cambridge handbook of metaphor and thought / edited by Raymond W. Gibbs, Jr.</t>
  </si>
  <si>
    <t>2018-03-27</t>
  </si>
  <si>
    <t>860993008:eng</t>
  </si>
  <si>
    <t>174500919</t>
  </si>
  <si>
    <t>ocn174500919</t>
  </si>
  <si>
    <t>31029768907</t>
  </si>
  <si>
    <t>9780521841061</t>
  </si>
  <si>
    <t>794274398</t>
  </si>
  <si>
    <t>P301.5 M48 D45 2005</t>
  </si>
  <si>
    <t>0                      P  0301500M  48                 D  45          2005</t>
  </si>
  <si>
    <t>Metaphor and corpus linguistics / Alice Deignan.</t>
  </si>
  <si>
    <t>Deignan, Alice.</t>
  </si>
  <si>
    <t>Converging evidence in language and communication research, 1566-7774 ; v. 6</t>
  </si>
  <si>
    <t>947099:eng</t>
  </si>
  <si>
    <t>60188610</t>
  </si>
  <si>
    <t>ocm60188610</t>
  </si>
  <si>
    <t>31028211769</t>
  </si>
  <si>
    <t>9789027238924</t>
  </si>
  <si>
    <t>793934240</t>
  </si>
  <si>
    <t>P301.5 M48 D66 2014</t>
  </si>
  <si>
    <t>0                      P  0301500M  48                 D  66          2014</t>
  </si>
  <si>
    <t>Metaphor / Denis Donoghue.</t>
  </si>
  <si>
    <t>Donoghue, Denis.</t>
  </si>
  <si>
    <t>1393406957:eng</t>
  </si>
  <si>
    <t>858610726</t>
  </si>
  <si>
    <t>ocn858610726</t>
  </si>
  <si>
    <t>3103566985S</t>
  </si>
  <si>
    <t>9780674430662</t>
  </si>
  <si>
    <t>794956355</t>
  </si>
  <si>
    <t>P301.5 M48 H57 2005</t>
  </si>
  <si>
    <t>0                      P  0301500M  48                 H  57          2005</t>
  </si>
  <si>
    <t>Metaphor and iconicity : a cognitive approach to analysing texts / Masako K. Hiraga.</t>
  </si>
  <si>
    <t>Hiraga, Masako.</t>
  </si>
  <si>
    <t>890408999:eng</t>
  </si>
  <si>
    <t>55220275</t>
  </si>
  <si>
    <t>ocm55220275</t>
  </si>
  <si>
    <t>3102547315$</t>
  </si>
  <si>
    <t>9781403933454</t>
  </si>
  <si>
    <t>793876146</t>
  </si>
  <si>
    <t>P301.5 M48 I58 1997</t>
  </si>
  <si>
    <t>0                      P  0301500M  48                 I  58          1997</t>
  </si>
  <si>
    <t>Metaphor in cognitive linguistics : selected papers from the fifth International Cognitive Linguistics Conference, Amsterdam, July 1997 / edited by Raymond W. Gibbs Jr., Gerard J. Steen.</t>
  </si>
  <si>
    <t>International Cognitive Linguistics Conference (5th : 1997 : Amsterdam, Netherlands)</t>
  </si>
  <si>
    <t>Amsterdam studies in the theory and history of linguistic science. Series IV, Current issues in linguistic theory, 0304-0763 ; v. 175</t>
  </si>
  <si>
    <t>906429332:eng</t>
  </si>
  <si>
    <t>41223922</t>
  </si>
  <si>
    <t>ocm41223922</t>
  </si>
  <si>
    <t>31027897779</t>
  </si>
  <si>
    <t>9781556198922</t>
  </si>
  <si>
    <t>793586970</t>
  </si>
  <si>
    <t>P301.5 M48 M463 2002</t>
  </si>
  <si>
    <t>0                      P  0301500M  48                 M  463         2002</t>
  </si>
  <si>
    <t>Metaphor and metonymy in comparison and contrast / edited by René Dirven, Ralf Pörings.</t>
  </si>
  <si>
    <t>Cognitive linguistics research ; 20</t>
  </si>
  <si>
    <t>1044434834:eng</t>
  </si>
  <si>
    <t>49225667</t>
  </si>
  <si>
    <t>ocm49225667</t>
  </si>
  <si>
    <t>3102711195G</t>
  </si>
  <si>
    <t>9783110173734</t>
  </si>
  <si>
    <t>793735183</t>
  </si>
  <si>
    <t>P301.5 M48 M474 2007</t>
  </si>
  <si>
    <t>0                      P  0301500M  48                 M  474         2007</t>
  </si>
  <si>
    <t>Metaphors / edited by Stefano Arduini.</t>
  </si>
  <si>
    <t>Roma : Edizioni di storia e letteratura, 2007.</t>
  </si>
  <si>
    <t>Polus. Rethorica ; 1</t>
  </si>
  <si>
    <t>131293123:eng</t>
  </si>
  <si>
    <t>213303672</t>
  </si>
  <si>
    <t>ocn213303672</t>
  </si>
  <si>
    <t>3102865412D</t>
  </si>
  <si>
    <t>9788884983770</t>
  </si>
  <si>
    <t>794307202</t>
  </si>
  <si>
    <t>P301.5 M48 M49 2010</t>
  </si>
  <si>
    <t>0                      P  0301500M  48                 M  49          2010</t>
  </si>
  <si>
    <t>A method for linguistic metaphor identification : from MIP to MIPVU / Gerard J. Steen [and others].</t>
  </si>
  <si>
    <t>Converging evidence in language and communication research, 1566-7774 ; v. 14</t>
  </si>
  <si>
    <t>864078855:eng</t>
  </si>
  <si>
    <t>557407891</t>
  </si>
  <si>
    <t>ocn557407891</t>
  </si>
  <si>
    <t>3103313589F</t>
  </si>
  <si>
    <t>9789027239037</t>
  </si>
  <si>
    <t>794812428</t>
  </si>
  <si>
    <t>P301.5 M48 R48 2010</t>
  </si>
  <si>
    <t>0                      P  0301500M  48                 R  48          2010</t>
  </si>
  <si>
    <t>Researching and applying metaphor in the real world / edited by Graham Low [and others].</t>
  </si>
  <si>
    <t>Human cognitive processing ; v. 26</t>
  </si>
  <si>
    <t>2014-04-08</t>
  </si>
  <si>
    <t>1148760450:eng</t>
  </si>
  <si>
    <t>643569782</t>
  </si>
  <si>
    <t>ocn643569782</t>
  </si>
  <si>
    <t>31032361929</t>
  </si>
  <si>
    <t>9789027223807</t>
  </si>
  <si>
    <t>794828891</t>
  </si>
  <si>
    <t>P301.5 M48 S6 1985</t>
  </si>
  <si>
    <t>0                      P  0301500M  48                 S  6           1985</t>
  </si>
  <si>
    <t>Metaphor and religious language / Janet Martin Soskice.</t>
  </si>
  <si>
    <t>Soskice, Janet Martin.</t>
  </si>
  <si>
    <t>Oxford : Clarendon Press ; London ; New York : Oxford University Press, 1985.</t>
  </si>
  <si>
    <t>2015-10-08</t>
  </si>
  <si>
    <t>5685763:eng</t>
  </si>
  <si>
    <t>13124520</t>
  </si>
  <si>
    <t>ocm13124520</t>
  </si>
  <si>
    <t>3102727556K</t>
  </si>
  <si>
    <t>9780198247272</t>
  </si>
  <si>
    <t>792841736</t>
  </si>
  <si>
    <t>P301.5 M48 T75 2007</t>
  </si>
  <si>
    <t>0                      P  0301500M  48                 T  75          2007</t>
  </si>
  <si>
    <t>Metaphor networks : the comparative evolution of figurative language / Richard Trim.</t>
  </si>
  <si>
    <t>Trim, Richard, 1950-</t>
  </si>
  <si>
    <t>447379518:eng</t>
  </si>
  <si>
    <t>76786899</t>
  </si>
  <si>
    <t>ocm76786899</t>
  </si>
  <si>
    <t>31028567125</t>
  </si>
  <si>
    <t>9780230507517</t>
  </si>
  <si>
    <t>794176661</t>
  </si>
  <si>
    <t>P301.5 M49 B54 2013</t>
  </si>
  <si>
    <t>0                      P  0301500M  49                 B  54          2013</t>
  </si>
  <si>
    <t>Metonymy in language, thought and brain / Boguslaw Bierwiaczonek.</t>
  </si>
  <si>
    <t>Bierwiaczonek, Boguslaw.</t>
  </si>
  <si>
    <t>Sheffield (UK) : Equinox Pub., 2013.</t>
  </si>
  <si>
    <t>954524894:eng</t>
  </si>
  <si>
    <t>743040425</t>
  </si>
  <si>
    <t>ocn743040425</t>
  </si>
  <si>
    <t>3103582055U</t>
  </si>
  <si>
    <t>9781908049346</t>
  </si>
  <si>
    <t>794885342</t>
  </si>
  <si>
    <t>P301.5 P47 A46 2010</t>
  </si>
  <si>
    <t>0                      P  0301500P  47                 A  46          2010</t>
  </si>
  <si>
    <t>L'argumentation dans le discours / Ruth Amossy.</t>
  </si>
  <si>
    <t>3e édition.</t>
  </si>
  <si>
    <t>Cursus . Lettres</t>
  </si>
  <si>
    <t>351266421:fre</t>
  </si>
  <si>
    <t>658573735</t>
  </si>
  <si>
    <t>ocn658573735</t>
  </si>
  <si>
    <t>31033580144</t>
  </si>
  <si>
    <t>9782200250010</t>
  </si>
  <si>
    <t>794835980</t>
  </si>
  <si>
    <t>P301.5 P47 F34 2011</t>
  </si>
  <si>
    <t>0                      P  0301500P  47                 F  34          2011</t>
  </si>
  <si>
    <t>Rhetorical style : the uses of language in persuasion / Jeanne Fahnestock.</t>
  </si>
  <si>
    <t>Fahnestock, Jeanne, 1945-</t>
  </si>
  <si>
    <t>1020790627:eng</t>
  </si>
  <si>
    <t>694172197</t>
  </si>
  <si>
    <t>ocn694172197</t>
  </si>
  <si>
    <t>3103406443D</t>
  </si>
  <si>
    <t>9780199764129</t>
  </si>
  <si>
    <t>794857242</t>
  </si>
  <si>
    <t>P301.5 P47 F86 1996</t>
  </si>
  <si>
    <t>0                      P  0301500P  47                 F  86          1996</t>
  </si>
  <si>
    <t>Fundamentals of argumentation theory : a handbook of historical backgrounds and contemporary developments / Frans H. van Eemeren, Rob Grootendorst, Francisca Snoeck Henkemans ; J. Anthony Blair [and others].</t>
  </si>
  <si>
    <t>Eemeren, F. H. van (Frans Hendrik), 1946-</t>
  </si>
  <si>
    <t>Mahwah, N.J. : L. Erlbaum, 1996.</t>
  </si>
  <si>
    <t>351744237:eng</t>
  </si>
  <si>
    <t>33970847</t>
  </si>
  <si>
    <t>ocm33970847</t>
  </si>
  <si>
    <t>3102766011R</t>
  </si>
  <si>
    <t>9780805818611</t>
  </si>
  <si>
    <t>793415426</t>
  </si>
  <si>
    <t>P301.5 P47 G74 2011</t>
  </si>
  <si>
    <t>0                      P  0301500P  47                 G  74          2011</t>
  </si>
  <si>
    <t>Argumentation in dispute mediation : a reasonable way to handle conflict / Sara Greco Morasso.</t>
  </si>
  <si>
    <t>Greco Morasso, Sara.</t>
  </si>
  <si>
    <t>Argumentation in context (AIC) ; v. 3</t>
  </si>
  <si>
    <t>688184124:eng</t>
  </si>
  <si>
    <t>672300126</t>
  </si>
  <si>
    <t>ocn672300126</t>
  </si>
  <si>
    <t>3103344930V</t>
  </si>
  <si>
    <t>9789027211200</t>
  </si>
  <si>
    <t>794849449</t>
  </si>
  <si>
    <t>P301.5 P47 G76 2004</t>
  </si>
  <si>
    <t>0                      P  0301500P  47                 G  76          2004</t>
  </si>
  <si>
    <t>A systematic theory of argumentation : the pragma-dialectical approach / Frans H. van Eemeren, Rob Grootendorst.</t>
  </si>
  <si>
    <t>New York : Cambridge University Press, 2004.</t>
  </si>
  <si>
    <t>801718898:eng</t>
  </si>
  <si>
    <t>51931118</t>
  </si>
  <si>
    <t>ocm51931118</t>
  </si>
  <si>
    <t>31027673468</t>
  </si>
  <si>
    <t>9780521830751</t>
  </si>
  <si>
    <t>793794505</t>
  </si>
  <si>
    <t>P301.5 P47 H377 2011</t>
  </si>
  <si>
    <t>0                      P  0301500P  47                 H  377         2011</t>
  </si>
  <si>
    <t>The rhetoric of expertise / E. Johanna Hartelius.</t>
  </si>
  <si>
    <t>Hartelius, E. Johanna, 1979- author.</t>
  </si>
  <si>
    <t>Lanham : Lexington Books, 2010.</t>
  </si>
  <si>
    <t>556749043:eng</t>
  </si>
  <si>
    <t>653483737</t>
  </si>
  <si>
    <t>ocn653483737</t>
  </si>
  <si>
    <t>3103343997N</t>
  </si>
  <si>
    <t>9780739147030</t>
  </si>
  <si>
    <t>794833829</t>
  </si>
  <si>
    <t>P301.5 P47 H45 2007</t>
  </si>
  <si>
    <t>0                      P  0301500P  47                 H  45          2007</t>
  </si>
  <si>
    <t>Thank you for arguing : what Aristotle, Lincoln, and Homer Simpson can teach us about the art of persuasion / Jay Heinrichs.</t>
  </si>
  <si>
    <t>Heinrichs, Jay.</t>
  </si>
  <si>
    <t>New York : Three Rivers Press, ©2007.</t>
  </si>
  <si>
    <t>1203826659:eng</t>
  </si>
  <si>
    <t>70676534</t>
  </si>
  <si>
    <t>ocm70676534</t>
  </si>
  <si>
    <t>3103364391R</t>
  </si>
  <si>
    <t>9780307341440</t>
  </si>
  <si>
    <t>794157576</t>
  </si>
  <si>
    <t>P301.5 P47 H45166 2008</t>
  </si>
  <si>
    <t>0                      P  0301500P  47                 H  45166       2008</t>
  </si>
  <si>
    <t>Yuk'waehan sŏltŭkhak : silchŏn esŏ paeunŭn chŏnsŏl ŭi sŏltŭk kisul = Thank you for arguing / Jei Hainrihi chiŭm ; Ha Yun-suk omgim.</t>
  </si>
  <si>
    <t>Kyŏnggi-do P'aju-si : Segyesa, 2008.</t>
  </si>
  <si>
    <t>2017-08-31</t>
  </si>
  <si>
    <t>10075949598:kor</t>
  </si>
  <si>
    <t>281797432</t>
  </si>
  <si>
    <t>ocn281797432</t>
  </si>
  <si>
    <t>3103294365O</t>
  </si>
  <si>
    <t>9788933870099</t>
  </si>
  <si>
    <t>794420530</t>
  </si>
  <si>
    <t>P301.5 P47 I54 2000</t>
  </si>
  <si>
    <t>0                      P  0301500P  47                 I  54          2000</t>
  </si>
  <si>
    <t>Invisible writing and the Victorian novel : readings in language and ideology / Patricia Ingham.</t>
  </si>
  <si>
    <t>Ingham, Patricia.</t>
  </si>
  <si>
    <t>Manchester ; New York : Manchester University Press ; New York, NY, USA : Distributed exclusively in the USA by St. Martin's Press, 2000.</t>
  </si>
  <si>
    <t>321867817:eng</t>
  </si>
  <si>
    <t>45590708</t>
  </si>
  <si>
    <t>ocm45590708</t>
  </si>
  <si>
    <t>3102765957X</t>
  </si>
  <si>
    <t>9780719052019</t>
  </si>
  <si>
    <t>793674369</t>
  </si>
  <si>
    <t>P301.5 P47 K44 2011</t>
  </si>
  <si>
    <t>0                      P  0301500P  47                 K  44          2011</t>
  </si>
  <si>
    <t>Keeping in touch with pragma-dialectics : in honor of Frans H. van Eemeren / edited by Eveline Feteris, Bart Garssen, Francisca Snoeck Henkemans.</t>
  </si>
  <si>
    <t>919023828:eng</t>
  </si>
  <si>
    <t>697036800</t>
  </si>
  <si>
    <t>ocn697036800</t>
  </si>
  <si>
    <t>3103396338G</t>
  </si>
  <si>
    <t>9789027211811</t>
  </si>
  <si>
    <t>794859648</t>
  </si>
  <si>
    <t>P301.5 P47 M5313 2004</t>
  </si>
  <si>
    <t>0                      P  0301500P  47                 M  5313        2004</t>
  </si>
  <si>
    <t>Persuasion &amp; rhetoric / Carlo Michelstaedter ; translated with an introduction and commentary by Russell Scott Valentino, Cinzia Sartini Blum, and David J. Depew.</t>
  </si>
  <si>
    <t>Michelstaedter, Carlo, 1887-1910, author.</t>
  </si>
  <si>
    <t>New Haven : Yale University Press, [2004]</t>
  </si>
  <si>
    <t>Italian literature and thought series</t>
  </si>
  <si>
    <t>875321:eng</t>
  </si>
  <si>
    <t>54685895</t>
  </si>
  <si>
    <t>ocm54685895</t>
  </si>
  <si>
    <t>31027794070</t>
  </si>
  <si>
    <t>9780300104349</t>
  </si>
  <si>
    <t>793865497</t>
  </si>
  <si>
    <t>P301.5 P47 R48 2012</t>
  </si>
  <si>
    <t>0                      P  0301500P  47                 R  48          2012</t>
  </si>
  <si>
    <t>Rhétorique des controverses savantes et des polémiques publiques / Marc Angenot [and others].</t>
  </si>
  <si>
    <t>Montréal : Chaire James McGill d'étude du discours social de l'Université McGill, 2012.</t>
  </si>
  <si>
    <t>Discours social ; [nouv. sér.], v. 43</t>
  </si>
  <si>
    <t>1173681160:fre</t>
  </si>
  <si>
    <t>878432776</t>
  </si>
  <si>
    <t>ocn878432776</t>
  </si>
  <si>
    <t>3103567898P</t>
  </si>
  <si>
    <t>794971432</t>
  </si>
  <si>
    <t>P301.5 P67 A44 2010</t>
  </si>
  <si>
    <t>0                      P  0301500P  67                 A  44          2010</t>
  </si>
  <si>
    <t>Agency in the margins : stories of outsider rhetoric / edited by Anne Meade Stockdell-Giesler.</t>
  </si>
  <si>
    <t>Madison [N.J.] : Fairleigh Dickinson University Press, ©2010.</t>
  </si>
  <si>
    <t>792391743:eng</t>
  </si>
  <si>
    <t>314113475</t>
  </si>
  <si>
    <t>ocn314113475</t>
  </si>
  <si>
    <t>3103158184$</t>
  </si>
  <si>
    <t>9780838642146</t>
  </si>
  <si>
    <t>794438249</t>
  </si>
  <si>
    <t>P301.5 P67 B49 2000</t>
  </si>
  <si>
    <t>0                      P  0301500P  67                 B  49          2000</t>
  </si>
  <si>
    <t>Beyond public speech and symbols : explorations in the rhetoric of politicians and the media / edited by Christ'l De Landtsheer and Ofer Feldman.</t>
  </si>
  <si>
    <t>837020494:eng</t>
  </si>
  <si>
    <t>41612490</t>
  </si>
  <si>
    <t>ocm41612490</t>
  </si>
  <si>
    <t>3102765991P</t>
  </si>
  <si>
    <t>9780275967321</t>
  </si>
  <si>
    <t>793595258</t>
  </si>
  <si>
    <t>P301.5 P67 N53 2015</t>
  </si>
  <si>
    <t>0                      P  0301500P  67                 N  53          2015</t>
  </si>
  <si>
    <t>Discours et liberté : contribution à l'histoire politique de la rhétorique / Loïc Nicolas.</t>
  </si>
  <si>
    <t>Nicolas, Loïc, 1982- author.</t>
  </si>
  <si>
    <t>L'Univers rhétorique ; 3</t>
  </si>
  <si>
    <t>2963676276:fre</t>
  </si>
  <si>
    <t>946288244</t>
  </si>
  <si>
    <t>ocn946288244</t>
  </si>
  <si>
    <t>31036242646</t>
  </si>
  <si>
    <t>9782812460807</t>
  </si>
  <si>
    <t>795014413</t>
  </si>
  <si>
    <t>P301.5 P67 P83 2010</t>
  </si>
  <si>
    <t>0                      P  0301500P  67                 P  83          2010</t>
  </si>
  <si>
    <t>The public work of rhetoric : citizen-scholars and civic engagement / edited by John M. Ackerman and David J. Coogan ; foreword by Gerard A. Hauser.</t>
  </si>
  <si>
    <t>Columbia : University of South Carolina Press, ©2010.</t>
  </si>
  <si>
    <t>475704654:eng</t>
  </si>
  <si>
    <t>606235146</t>
  </si>
  <si>
    <t>ocn606235146</t>
  </si>
  <si>
    <t>31032372796</t>
  </si>
  <si>
    <t>9781570039317</t>
  </si>
  <si>
    <t>794816809</t>
  </si>
  <si>
    <t>P301.5 P67 R49 2002</t>
  </si>
  <si>
    <t>0                      P  0301500P  67                 R  49          2002</t>
  </si>
  <si>
    <t>Rhetorical democracy : discursive practices of civic engagement : selected papers from the 2002 conference of the Rhetoric Society of America / edited by Gerard A. Hauser, Amy Grim.</t>
  </si>
  <si>
    <t>Rhetoric Society of America. Conference (10th : 2002 : Las Vegas, Nev.)</t>
  </si>
  <si>
    <t>Mahwah, N.J. : Lawrence Erlbaum, 2004.</t>
  </si>
  <si>
    <t>354973796:eng</t>
  </si>
  <si>
    <t>53922259</t>
  </si>
  <si>
    <t>ocm53922259</t>
  </si>
  <si>
    <t>3103476002Z</t>
  </si>
  <si>
    <t>9780805842647</t>
  </si>
  <si>
    <t>793853232</t>
  </si>
  <si>
    <t>P301.5 P67 R53 2012</t>
  </si>
  <si>
    <t>0                      P  0301500P  67                 R  53          2012</t>
  </si>
  <si>
    <t>Distant publics : development rhetoric and the subject of crisis / Jenny Rice.</t>
  </si>
  <si>
    <t>Rice, Jenny.</t>
  </si>
  <si>
    <t>Pittsburgh, Pa. : University of Pittsburgh Press, ©2012.</t>
  </si>
  <si>
    <t>1119594535:eng</t>
  </si>
  <si>
    <t>778857633</t>
  </si>
  <si>
    <t>ocn778857633</t>
  </si>
  <si>
    <t>3103411594F</t>
  </si>
  <si>
    <t>9780822962045</t>
  </si>
  <si>
    <t>794910308</t>
  </si>
  <si>
    <t>P301.5 P75 B36 2014</t>
  </si>
  <si>
    <t>0                      P  0301500P  75                 B  36          2014</t>
  </si>
  <si>
    <t>A corpus linguistic approach to literary language and characterization : Virginia Woolf's the waves / Giuseppina Balossi.</t>
  </si>
  <si>
    <t>Balossi, Giuseppina.</t>
  </si>
  <si>
    <t>Linguistic approaches to literature ; volume 18</t>
  </si>
  <si>
    <t>1783425595:eng</t>
  </si>
  <si>
    <t>869904635</t>
  </si>
  <si>
    <t>ocn869904635</t>
  </si>
  <si>
    <t>3103198063N</t>
  </si>
  <si>
    <t>9789027234070</t>
  </si>
  <si>
    <t>794966052</t>
  </si>
  <si>
    <t>P301.5 P75 D36 2012</t>
  </si>
  <si>
    <t>0                      P  0301500P  75                 D  36          2012</t>
  </si>
  <si>
    <t>The language of stories : a cognitive approach / Barbara Dancygier.</t>
  </si>
  <si>
    <t>889552548:eng</t>
  </si>
  <si>
    <t>715286132</t>
  </si>
  <si>
    <t>ocn715286132</t>
  </si>
  <si>
    <t>3103381722V</t>
  </si>
  <si>
    <t>9781107005822</t>
  </si>
  <si>
    <t>794873848</t>
  </si>
  <si>
    <t>P301.5 P75 V53 2012</t>
  </si>
  <si>
    <t>0                      P  0301500P  75                 V  53          2012</t>
  </si>
  <si>
    <t>Viewpoint in language : a multimodal perspective / edited by Barbara Dancygier and Eve Sweetser.</t>
  </si>
  <si>
    <t>1074867189:eng</t>
  </si>
  <si>
    <t>773429655</t>
  </si>
  <si>
    <t>ocn773429655</t>
  </si>
  <si>
    <t>3103422522K</t>
  </si>
  <si>
    <t>9781107017832</t>
  </si>
  <si>
    <t>794905629</t>
  </si>
  <si>
    <t>P301.5 P86 H68 2013</t>
  </si>
  <si>
    <t>0                      P  0301500P  86                 H  68          2013</t>
  </si>
  <si>
    <t>Shady characters : the secret life of punctuation, symbols, &amp; other typographical marks / Keith Houston.</t>
  </si>
  <si>
    <t>Houston, Keith, 1977-</t>
  </si>
  <si>
    <t>New York ; London : W.W. Norton &amp; Company, [2013]</t>
  </si>
  <si>
    <t>1394013329:eng</t>
  </si>
  <si>
    <t>829738463</t>
  </si>
  <si>
    <t>ocn829738463</t>
  </si>
  <si>
    <t>31035027994</t>
  </si>
  <si>
    <t>9780393064421</t>
  </si>
  <si>
    <t>794942695</t>
  </si>
  <si>
    <t>P301.5 P86 P37 1992</t>
  </si>
  <si>
    <t>0                      P  0301500P  86                 P  37          1992</t>
  </si>
  <si>
    <t>Pause and effect : an introduction to the history of punctuation in the West / M.B. Parkes.</t>
  </si>
  <si>
    <t>Parkes, M. B. (Malcolm Beckwith)</t>
  </si>
  <si>
    <t>Aldershot : Scolar, 1992.</t>
  </si>
  <si>
    <t>784455364:eng</t>
  </si>
  <si>
    <t>24694887</t>
  </si>
  <si>
    <t>ocm24694887</t>
  </si>
  <si>
    <t>31034462057</t>
  </si>
  <si>
    <t>9780859677424</t>
  </si>
  <si>
    <t>793203778</t>
  </si>
  <si>
    <t>P301.5 P86 P66 2011</t>
  </si>
  <si>
    <t>0                      P  0301500P  86                 P  66          2011</t>
  </si>
  <si>
    <t>La ponctuation à la Renaissance / études réunies et présentées par Nathalie Dauvois et Jacques Dürrenmatt.</t>
  </si>
  <si>
    <t>Paris : Classiques Garnier, 2011.</t>
  </si>
  <si>
    <t>Colloques, congrès et conférences sur la Renaissance européenne ; 69</t>
  </si>
  <si>
    <t>1028019053:fre</t>
  </si>
  <si>
    <t>757356379</t>
  </si>
  <si>
    <t>ocn757356379</t>
  </si>
  <si>
    <t>3103426592R</t>
  </si>
  <si>
    <t>9782812402944</t>
  </si>
  <si>
    <t>794895338</t>
  </si>
  <si>
    <t>P301.5 R45 A53 2011</t>
  </si>
  <si>
    <t>0                      P  0301500R  45                 A  53          2011</t>
  </si>
  <si>
    <t>Anaphora : forme della ripetizione : atti del XXXIV Convegno interuniversitario, Bressanone/ Brixen 6-9 luglio, 2006 / a cura di Gianfelice Peron e Alvise Andreose.</t>
  </si>
  <si>
    <t>Padova : Esedra, 2011.</t>
  </si>
  <si>
    <t>Quaderni del Circolo filologico linguistico padovano ; 22</t>
  </si>
  <si>
    <t>1058803030:ita</t>
  </si>
  <si>
    <t>767577997</t>
  </si>
  <si>
    <t>ocn767577997</t>
  </si>
  <si>
    <t>3103447269S</t>
  </si>
  <si>
    <t>9788860580757</t>
  </si>
  <si>
    <t>794901226</t>
  </si>
  <si>
    <t>P301.5 S63 A64 2015</t>
  </si>
  <si>
    <t>0                      P  0301500S  63                 A  64          2015</t>
  </si>
  <si>
    <t>O discurso social e as retóricas da incompreensão : consensos e conflitos na arte de (não) persuadir / Marc Angenot ; organização e apresentação de Carlos Piovezani.</t>
  </si>
  <si>
    <t>Angenot, Marc, author.</t>
  </si>
  <si>
    <t>São Carlos : EdUFSCar, Editora da Universidade Federal de São Carlos, 2015.</t>
  </si>
  <si>
    <t>por</t>
  </si>
  <si>
    <t>2905182104:por</t>
  </si>
  <si>
    <t>936584815</t>
  </si>
  <si>
    <t>ocn936584815</t>
  </si>
  <si>
    <t>31036237162</t>
  </si>
  <si>
    <t>9788576004097</t>
  </si>
  <si>
    <t>795010912</t>
  </si>
  <si>
    <t>P301.5 S63 A85 1999</t>
  </si>
  <si>
    <t>0                      P  0301500S  63                 A  85          1999</t>
  </si>
  <si>
    <t>At the intersection : cultural studies and rhetorical studies / edited by Thomas Rosteck.</t>
  </si>
  <si>
    <t>New York ; London : Guilford Press, ©1999.</t>
  </si>
  <si>
    <t>Revisioning rhetoric</t>
  </si>
  <si>
    <t>2015-07-10</t>
  </si>
  <si>
    <t>837011467:eng</t>
  </si>
  <si>
    <t>316353651</t>
  </si>
  <si>
    <t>ocn316353651</t>
  </si>
  <si>
    <t>3102765995P</t>
  </si>
  <si>
    <t>9781572303980</t>
  </si>
  <si>
    <t>794448669</t>
  </si>
  <si>
    <t>P301.5 S63 B69 2018</t>
  </si>
  <si>
    <t>0                      P  0301500S  63                 B  69          2018</t>
  </si>
  <si>
    <t>Rhetoric as a posthuman practice / Casey Boyle.</t>
  </si>
  <si>
    <t>Boyle, Casey Andrew, author.</t>
  </si>
  <si>
    <t>Columbus : The Ohio State University Press, [2018]</t>
  </si>
  <si>
    <t>5460891037:eng</t>
  </si>
  <si>
    <t>1028881834</t>
  </si>
  <si>
    <t>on1028881834</t>
  </si>
  <si>
    <t>3103809925Z</t>
  </si>
  <si>
    <t>9780814213803</t>
  </si>
  <si>
    <t>795053563</t>
  </si>
  <si>
    <t>P301.5 S63 C64 2011</t>
  </si>
  <si>
    <t>0                      P  0301500S  63                 C  64          2011</t>
  </si>
  <si>
    <t>Intercultural rhetoric in the writing classroom / Ulla Connor.</t>
  </si>
  <si>
    <t>Ann Arbor : University of Michigan Press, 2011.</t>
  </si>
  <si>
    <t>770308041:eng</t>
  </si>
  <si>
    <t>697036786</t>
  </si>
  <si>
    <t>ocn697036786</t>
  </si>
  <si>
    <t>31033635154</t>
  </si>
  <si>
    <t>9780472034581</t>
  </si>
  <si>
    <t>794859640</t>
  </si>
  <si>
    <t>P301.5 S63 C66 2008</t>
  </si>
  <si>
    <t>0                      P  0301500S  63                 C  66          2008</t>
  </si>
  <si>
    <t>Contrastive rhetoric : reaching to intercultural rhetoric / edited by Ulla Connor, Ed Nagelhout, William V. Rozycki.</t>
  </si>
  <si>
    <t>Pragmatics &amp; beyond, 0922-842X ; new ser., v. 169</t>
  </si>
  <si>
    <t>1069468034:eng</t>
  </si>
  <si>
    <t>173182445</t>
  </si>
  <si>
    <t>ocn173182445</t>
  </si>
  <si>
    <t>31028852591</t>
  </si>
  <si>
    <t>9789027254139</t>
  </si>
  <si>
    <t>794265338</t>
  </si>
  <si>
    <t>P301.5 S63 R485 2010</t>
  </si>
  <si>
    <t>0                      P  0301500S  63                 R  485         2010</t>
  </si>
  <si>
    <t>Revisiting the past through rhetorics of memory and amnesia : selected papers from the 50th meeting of the Linguistic Circle of Moaitoba and North Dakota / edited by Dale Sullivan, Bruce Maylath and Russel Hirst.</t>
  </si>
  <si>
    <t>Newcastle upon Tyne : Cambridge Scholars Pub., 2010.</t>
  </si>
  <si>
    <t>880020995:eng</t>
  </si>
  <si>
    <t>678476374</t>
  </si>
  <si>
    <t>ocn678476374</t>
  </si>
  <si>
    <t>31032346638</t>
  </si>
  <si>
    <t>9781443825559</t>
  </si>
  <si>
    <t>794850410</t>
  </si>
  <si>
    <t>P301.5 S63 R93 2011</t>
  </si>
  <si>
    <t>0                      P  0301500S  63                 R  93          2011</t>
  </si>
  <si>
    <t>Rhetorics for community action : public writing and writing publics / Phyllis Mentzell Ryder.</t>
  </si>
  <si>
    <t>Ryder, Phyllis Mentzell, 1963-</t>
  </si>
  <si>
    <t>686141796:eng</t>
  </si>
  <si>
    <t>670324892</t>
  </si>
  <si>
    <t>ocn670324892</t>
  </si>
  <si>
    <t>3103324445H</t>
  </si>
  <si>
    <t>9780739137666</t>
  </si>
  <si>
    <t>794847638</t>
  </si>
  <si>
    <t>P301.5 S63 U96 2008</t>
  </si>
  <si>
    <t>0                      P  0301500S  63                 U  96          2008</t>
  </si>
  <si>
    <t>Uncovering hidden rhetorics : social issues in disguise / [edited by] Barry Brummett.</t>
  </si>
  <si>
    <t>Los Angeles : Sage Publications, ©2008.</t>
  </si>
  <si>
    <t>2018-04-15</t>
  </si>
  <si>
    <t>866949222:eng</t>
  </si>
  <si>
    <t>141854529</t>
  </si>
  <si>
    <t>ocn141854529</t>
  </si>
  <si>
    <t>3102647528M</t>
  </si>
  <si>
    <t>9781412956918</t>
  </si>
  <si>
    <t>794235190</t>
  </si>
  <si>
    <t>P301.5 S63 V47 2013</t>
  </si>
  <si>
    <t>0                      P  0301500S  63                 V  47          2013</t>
  </si>
  <si>
    <t>Verbal and visual rhetoric in a media world / edited by Hilde van Belle, Paul Gillaerts, Baldwin van Gorp, Dorien van de Mieroop &amp; Kris Rutten.</t>
  </si>
  <si>
    <t>Amsterdam : Leiden University Press, [2013]</t>
  </si>
  <si>
    <t>Rhetoric in society</t>
  </si>
  <si>
    <t>1240542319:eng</t>
  </si>
  <si>
    <t>855913120</t>
  </si>
  <si>
    <t>ocn855913120</t>
  </si>
  <si>
    <t>3103532082C</t>
  </si>
  <si>
    <t>9789087281908</t>
  </si>
  <si>
    <t>794953932</t>
  </si>
  <si>
    <t>P302 A257 2002</t>
  </si>
  <si>
    <t>0                      P  0302000A  257         2002</t>
  </si>
  <si>
    <t>Academic discourse / edited by John Flowerdew.</t>
  </si>
  <si>
    <t>Harlow, England ; New York : Longman, 2002.</t>
  </si>
  <si>
    <t>36054257:eng</t>
  </si>
  <si>
    <t>47356190</t>
  </si>
  <si>
    <t>ocm47356190</t>
  </si>
  <si>
    <t>3102367910K</t>
  </si>
  <si>
    <t>9780582418875</t>
  </si>
  <si>
    <t>793703137</t>
  </si>
  <si>
    <t>P302 A324 2008</t>
  </si>
  <si>
    <t>0                      P  0302000A  324         2008</t>
  </si>
  <si>
    <t>Advances in discourse studies / edited by Vijay K. Bhatia, John Flowerdew and Rodney H. Jones.</t>
  </si>
  <si>
    <t>888607683:eng</t>
  </si>
  <si>
    <t>166255058</t>
  </si>
  <si>
    <t>ocn166255058</t>
  </si>
  <si>
    <t>3102649153K</t>
  </si>
  <si>
    <t>9780415398091</t>
  </si>
  <si>
    <t>794259678</t>
  </si>
  <si>
    <t>P302 A49 2002</t>
  </si>
  <si>
    <t>0                      P  0302000A  49          2002</t>
  </si>
  <si>
    <t>L'analyse du discours dans les études littéraires / sous la direction de Ruth Amossy et Dominique Maingueneau.</t>
  </si>
  <si>
    <t>Toulouse : Presses universitaires du Mirail, ©2003.</t>
  </si>
  <si>
    <t>Cribles, 1242-6652</t>
  </si>
  <si>
    <t>476283794:fre</t>
  </si>
  <si>
    <t>55734724</t>
  </si>
  <si>
    <t>ocm55734724</t>
  </si>
  <si>
    <t>31025074578</t>
  </si>
  <si>
    <t>9782858167104</t>
  </si>
  <si>
    <t>793881671</t>
  </si>
  <si>
    <t>P302 A5425 2009</t>
  </si>
  <si>
    <t>0                      P  0302000A  5425        2009</t>
  </si>
  <si>
    <t>Rhétorique, théorie du discours social, histoire des idées, dix-neuvième siècle / dialogue entre Laurence Guellec et Marc Angenot.</t>
  </si>
  <si>
    <t>Montréal : Chaire James McGill d'étude du discours social de l'Université McGill, 2009.</t>
  </si>
  <si>
    <t>Discours social, nouv. sér. ; 2009, v. 32</t>
  </si>
  <si>
    <t>474448743:fre</t>
  </si>
  <si>
    <t>604706828</t>
  </si>
  <si>
    <t>ocn604706828</t>
  </si>
  <si>
    <t>3103254107P</t>
  </si>
  <si>
    <t>794815783</t>
  </si>
  <si>
    <t>2013-09-23</t>
  </si>
  <si>
    <t>31034334980</t>
  </si>
  <si>
    <t>794815784</t>
  </si>
  <si>
    <t>P302 A543 2006</t>
  </si>
  <si>
    <t>0                      P  0302000A  543         2006</t>
  </si>
  <si>
    <t>Théorie du discours social : notions de topographie des discours et de coupures cognitives / Marc Angenot.</t>
  </si>
  <si>
    <t>Montréal : Chaire James McGill de langue et littérature françaises de l'Université McGill, ©2006.</t>
  </si>
  <si>
    <t>Discours social ; 2006, v.27</t>
  </si>
  <si>
    <t>1125015353:fre</t>
  </si>
  <si>
    <t>316179115</t>
  </si>
  <si>
    <t>ocn316179115</t>
  </si>
  <si>
    <t>31030387425</t>
  </si>
  <si>
    <t>794446272</t>
  </si>
  <si>
    <t>P302 A74 2012</t>
  </si>
  <si>
    <t>0                      P  0302000A  74          2012</t>
  </si>
  <si>
    <t>Argumentation et polyphonie, de Saint-Augustin à Robbe-Grillet / Anouch Bourmayan, Magdalena Campora, Dario Compagno, Alfredo Lescano, Margot Salsmann ; sous la direction de Marion Carel.</t>
  </si>
  <si>
    <t>1359499889:fre</t>
  </si>
  <si>
    <t>825745447</t>
  </si>
  <si>
    <t>ocn825745447</t>
  </si>
  <si>
    <t>3103506258B</t>
  </si>
  <si>
    <t>9782336001876</t>
  </si>
  <si>
    <t>794938755</t>
  </si>
  <si>
    <t>P302 A76 2005</t>
  </si>
  <si>
    <t>0                      P  0302000A  76          2005</t>
  </si>
  <si>
    <t>Logics of conversation / Nicholas Asher, Alex Lascarides.</t>
  </si>
  <si>
    <t>Asher, Nicholas.</t>
  </si>
  <si>
    <t>Cambridge ; New York : Cambridge University Press, [2005]</t>
  </si>
  <si>
    <t>709416:eng</t>
  </si>
  <si>
    <t>64638055</t>
  </si>
  <si>
    <t>ocm64638055</t>
  </si>
  <si>
    <t>3102556055$</t>
  </si>
  <si>
    <t>9780521659512</t>
  </si>
  <si>
    <t>794131106</t>
  </si>
  <si>
    <t>P302 B35 1982</t>
  </si>
  <si>
    <t>0                      P  0302000B  35          1982</t>
  </si>
  <si>
    <t>Unspeakable sentences : narration and representation in the language of fiction / Ann Banfield.</t>
  </si>
  <si>
    <t>Banfield, Ann.</t>
  </si>
  <si>
    <t>Boston : Routledge &amp; Kegan Paul, 1982.</t>
  </si>
  <si>
    <t>836676461:eng</t>
  </si>
  <si>
    <t>7731513</t>
  </si>
  <si>
    <t>ocm07731513</t>
  </si>
  <si>
    <t>3102765984R</t>
  </si>
  <si>
    <t>9780710009050</t>
  </si>
  <si>
    <t>792576160</t>
  </si>
  <si>
    <t>P302 B35 2006</t>
  </si>
  <si>
    <t>0                      P  0302000B  35          2006</t>
  </si>
  <si>
    <t>Using corpora in discourse analysis / Paul Baker.</t>
  </si>
  <si>
    <t>5616324032:eng</t>
  </si>
  <si>
    <t>63400006</t>
  </si>
  <si>
    <t>ocm63400006</t>
  </si>
  <si>
    <t>31025887130</t>
  </si>
  <si>
    <t>9780826477248</t>
  </si>
  <si>
    <t>794121287</t>
  </si>
  <si>
    <t>P302 B39 2011</t>
  </si>
  <si>
    <t>0                      P  0302000B  39          2011</t>
  </si>
  <si>
    <t>Discourse and genre : analysing language in context / Stephen Bax.</t>
  </si>
  <si>
    <t>Bax, Stephen.</t>
  </si>
  <si>
    <t>Basingstoke : Palgrave Macmillan, 2011.</t>
  </si>
  <si>
    <t>Perspectives on the English language</t>
  </si>
  <si>
    <t>791993649:eng</t>
  </si>
  <si>
    <t>697776752</t>
  </si>
  <si>
    <t>ocn697776752</t>
  </si>
  <si>
    <t>31033212300</t>
  </si>
  <si>
    <t>9780230217966</t>
  </si>
  <si>
    <t>794860305</t>
  </si>
  <si>
    <t>P302 B458 2006</t>
  </si>
  <si>
    <t>0                      P  0302000B  458         2006</t>
  </si>
  <si>
    <t>Discourse and identity / Bethan Benwell and Elizabeth Stokoe.</t>
  </si>
  <si>
    <t>Benwell, Bethan.</t>
  </si>
  <si>
    <t>47560182:eng</t>
  </si>
  <si>
    <t>63399155</t>
  </si>
  <si>
    <t>ocm63399155</t>
  </si>
  <si>
    <t>3102556558L</t>
  </si>
  <si>
    <t>9780748617494</t>
  </si>
  <si>
    <t>794121273</t>
  </si>
  <si>
    <t>P302 B48 1993</t>
  </si>
  <si>
    <t>0                      P  0302000B  48          1993</t>
  </si>
  <si>
    <t>Analysing genre : language use in professional settings / Vijay K. Bhatia.</t>
  </si>
  <si>
    <t>Bhatia, V. K. (Vijay Kumar), 1942-</t>
  </si>
  <si>
    <t>226977957:eng</t>
  </si>
  <si>
    <t>26401230</t>
  </si>
  <si>
    <t>ocm26401230</t>
  </si>
  <si>
    <t>3103399198Z</t>
  </si>
  <si>
    <t>9780582085244</t>
  </si>
  <si>
    <t>793244212</t>
  </si>
  <si>
    <t>P302 B56 2007</t>
  </si>
  <si>
    <t>0                      P  0302000B  56          2007</t>
  </si>
  <si>
    <t>The practice of critical discourse analysis : an introduction / Meriel Bloor &amp; Thomas Bloor.</t>
  </si>
  <si>
    <t>Bloor, Meriel, 1934-</t>
  </si>
  <si>
    <t>London : Hodder Arnold, 2007.</t>
  </si>
  <si>
    <t>61126571:eng</t>
  </si>
  <si>
    <t>74966837</t>
  </si>
  <si>
    <t>ocm74966837</t>
  </si>
  <si>
    <t>31026424620</t>
  </si>
  <si>
    <t>9780340912379</t>
  </si>
  <si>
    <t>794174108</t>
  </si>
  <si>
    <t>P302 B57 1997</t>
  </si>
  <si>
    <t>0                      P  0302000B  57          1997</t>
  </si>
  <si>
    <t>Dinner talk : cultural patterns of sociability and socialization in family discourse / Shoshana Blum-Kulka.</t>
  </si>
  <si>
    <t>Blum-Kulka, Shoshana.</t>
  </si>
  <si>
    <t>Mahwah, NJ : L. Erlbaum Assoc. Publishers, 1997.</t>
  </si>
  <si>
    <t>304797324:eng</t>
  </si>
  <si>
    <t>35723671</t>
  </si>
  <si>
    <t>ocm35723671</t>
  </si>
  <si>
    <t>3102766003T</t>
  </si>
  <si>
    <t>9780805817751</t>
  </si>
  <si>
    <t>793455867</t>
  </si>
  <si>
    <t>P302 B76 1983</t>
  </si>
  <si>
    <t>0                      P  0302000B  76          1983</t>
  </si>
  <si>
    <t>Discourse analysis / Gillian Brown, George Yule.</t>
  </si>
  <si>
    <t>Cambridge ; New York : Cambridge University Press, 1983.</t>
  </si>
  <si>
    <t>22186464:eng</t>
  </si>
  <si>
    <t>9131532</t>
  </si>
  <si>
    <t>ocm09131532</t>
  </si>
  <si>
    <t>3102765993P</t>
  </si>
  <si>
    <t>9780521241441</t>
  </si>
  <si>
    <t>792658741</t>
  </si>
  <si>
    <t>P302 C328 2001</t>
  </si>
  <si>
    <t>0                      P  0302000C  328         2001</t>
  </si>
  <si>
    <t>Working with spoken discourse / Deborah Cameron.</t>
  </si>
  <si>
    <t>London ; Thousand Oaks : SAGE, 2001.</t>
  </si>
  <si>
    <t>35679861:eng</t>
  </si>
  <si>
    <t>45827743</t>
  </si>
  <si>
    <t>ocm45827743</t>
  </si>
  <si>
    <t>3102765973T</t>
  </si>
  <si>
    <t>9780761957720</t>
  </si>
  <si>
    <t>793679018</t>
  </si>
  <si>
    <t>P302 C336 2011</t>
  </si>
  <si>
    <t>0                      P  0302000C  336         2011</t>
  </si>
  <si>
    <t>An introduction to discourse analysis and translation studies / Michela Canepari.</t>
  </si>
  <si>
    <t>Canepari, Michela.</t>
  </si>
  <si>
    <t>Milano : EDUCatt, 2011.</t>
  </si>
  <si>
    <t>967654850:eng</t>
  </si>
  <si>
    <t>744283490</t>
  </si>
  <si>
    <t>ocn744283490</t>
  </si>
  <si>
    <t>3103125509U</t>
  </si>
  <si>
    <t>9788883117688</t>
  </si>
  <si>
    <t>794885885</t>
  </si>
  <si>
    <t>P302 C436 2002</t>
  </si>
  <si>
    <t>0                      P  0302000C  436         2002</t>
  </si>
  <si>
    <t>Dictionnaire d'analyse du discours / Patrick Charaudeau, Dominique Maingueneau ; avec la collaboration de Jean-Michel Adam [and others].</t>
  </si>
  <si>
    <t>Charaudeau, Patrick.</t>
  </si>
  <si>
    <t>Paris : Seuil, ©2002.</t>
  </si>
  <si>
    <t>39665679:fre</t>
  </si>
  <si>
    <t>49646998</t>
  </si>
  <si>
    <t>ocm49646998</t>
  </si>
  <si>
    <t>3102208542L</t>
  </si>
  <si>
    <t>9782020378451</t>
  </si>
  <si>
    <t>793744764</t>
  </si>
  <si>
    <t>P302 C439 2010</t>
  </si>
  <si>
    <t>0                      P  0302000C  439         2010</t>
  </si>
  <si>
    <t>The metaphysics of text / Sukanta Chaudhuri.</t>
  </si>
  <si>
    <t>Chaudhuri, Sukanta, 1950-</t>
  </si>
  <si>
    <t>350716880:eng</t>
  </si>
  <si>
    <t>468978562</t>
  </si>
  <si>
    <t>ocn468978562</t>
  </si>
  <si>
    <t>3103230747P</t>
  </si>
  <si>
    <t>9781107412569</t>
  </si>
  <si>
    <t>794795692</t>
  </si>
  <si>
    <t>P302 C6217 1997</t>
  </si>
  <si>
    <t>0                      P  0302000C  6217        1997</t>
  </si>
  <si>
    <t>The construction of professional discourse / edited by Britt-Louise Gunnarsson, Per Linell, and Bengt Nordberg.</t>
  </si>
  <si>
    <t>New York : Longman, 1997.</t>
  </si>
  <si>
    <t>5609097157:eng</t>
  </si>
  <si>
    <t>152407572</t>
  </si>
  <si>
    <t>ocn152407572</t>
  </si>
  <si>
    <t>3102766054J</t>
  </si>
  <si>
    <t>9780582259416</t>
  </si>
  <si>
    <t>794249078</t>
  </si>
  <si>
    <t>P302 C6227 2011</t>
  </si>
  <si>
    <t>0                      P  0302000C  6227        2011</t>
  </si>
  <si>
    <t>Continuum companion to discourse analysis / edited by Ken Hyland and Brian Paltridge.</t>
  </si>
  <si>
    <t>813763439:eng</t>
  </si>
  <si>
    <t>657602654</t>
  </si>
  <si>
    <t>ocn657602654</t>
  </si>
  <si>
    <t>3103406174G</t>
  </si>
  <si>
    <t>9781441165640</t>
  </si>
  <si>
    <t>794835595</t>
  </si>
  <si>
    <t>P302 C65 2004</t>
  </si>
  <si>
    <t>0                      P  0302000C  65          2004</t>
  </si>
  <si>
    <t>The dynamic consultation : a discourse analytical study of doctor-patient communication / Marisa Cordella.</t>
  </si>
  <si>
    <t>Cordella, Marisa.</t>
  </si>
  <si>
    <t>Pragmatics &amp; beyond ; new ser. v. 128</t>
  </si>
  <si>
    <t>2015-08-03</t>
  </si>
  <si>
    <t>793926798:eng</t>
  </si>
  <si>
    <t>55730008</t>
  </si>
  <si>
    <t>ocm55730008</t>
  </si>
  <si>
    <t>3102766048L</t>
  </si>
  <si>
    <t>9789027253712</t>
  </si>
  <si>
    <t>793881610</t>
  </si>
  <si>
    <t>P302 C68</t>
  </si>
  <si>
    <t>0                      P  0302000C  68</t>
  </si>
  <si>
    <t>An introduction to discourse analysis / Malcolm Coulthard.</t>
  </si>
  <si>
    <t>Coulthard, Malcolm.</t>
  </si>
  <si>
    <t>London : Longman Group Limited, 1977.</t>
  </si>
  <si>
    <t>221712:eng</t>
  </si>
  <si>
    <t>3675859</t>
  </si>
  <si>
    <t>ocm03675859</t>
  </si>
  <si>
    <t>3102766047L</t>
  </si>
  <si>
    <t>9780582550872</t>
  </si>
  <si>
    <t>792279859</t>
  </si>
  <si>
    <t>2004-06-16</t>
  </si>
  <si>
    <t>3103475023Z</t>
  </si>
  <si>
    <t>792279858</t>
  </si>
  <si>
    <t>P302 C683 2010</t>
  </si>
  <si>
    <t>0                      P  0302000C  683         2010</t>
  </si>
  <si>
    <t>The discourse of commercialization : a multi-perspectived analysis / Jonathan Crichton.</t>
  </si>
  <si>
    <t>Crichton, Jonathan.</t>
  </si>
  <si>
    <t>Houndmills, Basingstoke, Hampshire ; New York, NY : Palgrave Macmillan, 2010.</t>
  </si>
  <si>
    <t>837072855:eng</t>
  </si>
  <si>
    <t>656158846</t>
  </si>
  <si>
    <t>ocn656158846</t>
  </si>
  <si>
    <t>31033229862</t>
  </si>
  <si>
    <t>9780230579118</t>
  </si>
  <si>
    <t>794834542</t>
  </si>
  <si>
    <t>P302 C6858 2013</t>
  </si>
  <si>
    <t>0                      P  0302000C  6858        2013</t>
  </si>
  <si>
    <t>Critical discourse analysis / edited by Ruth Wodak.</t>
  </si>
  <si>
    <t>London : SAGE, 2013.</t>
  </si>
  <si>
    <t>SAGE benchmarks in language and linguistics</t>
  </si>
  <si>
    <t>1882156520:eng</t>
  </si>
  <si>
    <t>808496021</t>
  </si>
  <si>
    <t>ocn808496021</t>
  </si>
  <si>
    <t>3103483831C</t>
  </si>
  <si>
    <t>9781446210581</t>
  </si>
  <si>
    <t>794927695</t>
  </si>
  <si>
    <t>3103483835C</t>
  </si>
  <si>
    <t>794927693</t>
  </si>
  <si>
    <t>3103483844A</t>
  </si>
  <si>
    <t>794927696</t>
  </si>
  <si>
    <t>3103483826E</t>
  </si>
  <si>
    <t>794927694</t>
  </si>
  <si>
    <t>P302 C68583 2011</t>
  </si>
  <si>
    <t>0                      P  0302000C  68583       2011</t>
  </si>
  <si>
    <t>Critical discourse studies in context and cognition / edited by Christopher Hart.</t>
  </si>
  <si>
    <t>Discourse approaches to politics, society and culture (DAPSAC) ; v. 43</t>
  </si>
  <si>
    <t>900743759:eng</t>
  </si>
  <si>
    <t>724644135</t>
  </si>
  <si>
    <t>ocn724644135</t>
  </si>
  <si>
    <t>31033841200</t>
  </si>
  <si>
    <t>9789027206343</t>
  </si>
  <si>
    <t>794876488</t>
  </si>
  <si>
    <t>P302 C686 1999</t>
  </si>
  <si>
    <t>0                      P  0302000C  686         1999</t>
  </si>
  <si>
    <t>Critical textwork : an introduction to varieties of discourse and analysis / [edited by] Ian Parker and the Bolton Discourse Network.</t>
  </si>
  <si>
    <t>Buckingham [U.K.] ; Philadelphia : Open University Press, 1999.</t>
  </si>
  <si>
    <t>836984316:eng</t>
  </si>
  <si>
    <t>39714418</t>
  </si>
  <si>
    <t>ocm39714418</t>
  </si>
  <si>
    <t>3102766046L</t>
  </si>
  <si>
    <t>9780335202058</t>
  </si>
  <si>
    <t>793551654</t>
  </si>
  <si>
    <t>P302 D454 1997</t>
  </si>
  <si>
    <t>0                      P  0302000D  454         1997</t>
  </si>
  <si>
    <t>Discourse studies : a multidisciplinary introduction / edited by Teun A. van Dijk.</t>
  </si>
  <si>
    <t>766703521:eng</t>
  </si>
  <si>
    <t>36574208</t>
  </si>
  <si>
    <t>ocm36574208</t>
  </si>
  <si>
    <t>3102766033N</t>
  </si>
  <si>
    <t>9780803978447</t>
  </si>
  <si>
    <t>793478914</t>
  </si>
  <si>
    <t>2014-11-03</t>
  </si>
  <si>
    <t>3102766034N</t>
  </si>
  <si>
    <t>793478915</t>
  </si>
  <si>
    <t>P302 D454 2011</t>
  </si>
  <si>
    <t>0                      P  0302000D  454         2011</t>
  </si>
  <si>
    <t>Discourse studies : a multidisciplinary introduction / edited by Teun A Van Dijk.</t>
  </si>
  <si>
    <t>London : Sage Publications, ©2011.</t>
  </si>
  <si>
    <t>711806025</t>
  </si>
  <si>
    <t>ocn711806025</t>
  </si>
  <si>
    <t>3103370056I</t>
  </si>
  <si>
    <t>9781848606494</t>
  </si>
  <si>
    <t>794871240</t>
  </si>
  <si>
    <t>P302 D465 1984</t>
  </si>
  <si>
    <t>0                      P  0302000D  465         1984</t>
  </si>
  <si>
    <t>Prejudice in discourse : an analysis of ethnic prejudice in cognition and conversation / Teun A. van Dijk.</t>
  </si>
  <si>
    <t>Dijk, Teun A. van, 1943-</t>
  </si>
  <si>
    <t>Amsterdam ; Philadelphia : J. Benjamins Pub. Co., 1984.</t>
  </si>
  <si>
    <t>Pragmatics &amp; beyond, 0166-6258 ; V:3</t>
  </si>
  <si>
    <t>889837131:eng</t>
  </si>
  <si>
    <t>11346310</t>
  </si>
  <si>
    <t>ocm11346310</t>
  </si>
  <si>
    <t>3102766031N</t>
  </si>
  <si>
    <t>9780915027439</t>
  </si>
  <si>
    <t>792769603</t>
  </si>
  <si>
    <t>P302 D472 1983</t>
  </si>
  <si>
    <t>0                      P  0302000D  472         1983</t>
  </si>
  <si>
    <t>Strategies of discourse comprehension / Teun A. van Dijk, Walter Kintsch.</t>
  </si>
  <si>
    <t>New York : Academic Press, 1983.</t>
  </si>
  <si>
    <t>2009-04-26</t>
  </si>
  <si>
    <t>42842214:eng</t>
  </si>
  <si>
    <t>9043751</t>
  </si>
  <si>
    <t>ocm09043751</t>
  </si>
  <si>
    <t>3100520711L</t>
  </si>
  <si>
    <t>9780127120508</t>
  </si>
  <si>
    <t>792654186</t>
  </si>
  <si>
    <t>3102766036N</t>
  </si>
  <si>
    <t>792654187</t>
  </si>
  <si>
    <t>2007-01-10</t>
  </si>
  <si>
    <t>3102766030N</t>
  </si>
  <si>
    <t>792654188</t>
  </si>
  <si>
    <t>P302 D48 2017</t>
  </si>
  <si>
    <t>0                      P  0302000D  48          2017</t>
  </si>
  <si>
    <t>Termes et concepts pour l'analyse du discours : une approche praxématique / dictionnaire edité par Catherine Détrie, Paul Siblot, Bertrand Verine et Agnès Steuckardt.</t>
  </si>
  <si>
    <t>Ferney-Voltaire : Honoré Champion éditeur, 2017.</t>
  </si>
  <si>
    <t>Nouvelle édition augmentée.</t>
  </si>
  <si>
    <t>Lexica, Mots et dictionnaires ; 32</t>
  </si>
  <si>
    <t>478259637:fre</t>
  </si>
  <si>
    <t>978681216</t>
  </si>
  <si>
    <t>ocn978681216</t>
  </si>
  <si>
    <t>3103717687$</t>
  </si>
  <si>
    <t>9782745331571</t>
  </si>
  <si>
    <t>795033368</t>
  </si>
  <si>
    <t>P302 D5256 2005</t>
  </si>
  <si>
    <t>0                      P  0302000D  5256        2005</t>
  </si>
  <si>
    <t>Dialogisme et polyphonie : approches linguistiques : actes du colloque de Cerisy / sous la direction de Jacques Bres [and others].</t>
  </si>
  <si>
    <t>Bruxelles : De Boeck. Duculot, ©2005.</t>
  </si>
  <si>
    <t>Champs linguistiques . Recueils, 1374-089X</t>
  </si>
  <si>
    <t>366717869:fre</t>
  </si>
  <si>
    <t>144324483</t>
  </si>
  <si>
    <t>ocn144324483</t>
  </si>
  <si>
    <t>3102655524P</t>
  </si>
  <si>
    <t>9782801113646</t>
  </si>
  <si>
    <t>794235694</t>
  </si>
  <si>
    <t>P302 D5474 2007</t>
  </si>
  <si>
    <t>0                      P  0302000D  5474        2007</t>
  </si>
  <si>
    <t>Discourse and contemporary social change / Norman Fairclough, Giuseppina Cortese &amp; Patrizia Ardizzone (eds).</t>
  </si>
  <si>
    <t>Bern ; Oxford : Peter Lang, ©2007.</t>
  </si>
  <si>
    <t>Linguistic insights ; v. 54</t>
  </si>
  <si>
    <t>3901062132:eng</t>
  </si>
  <si>
    <t>124026742</t>
  </si>
  <si>
    <t>ocn124026742</t>
  </si>
  <si>
    <t>31026451411</t>
  </si>
  <si>
    <t>9783039112760</t>
  </si>
  <si>
    <t>794229378</t>
  </si>
  <si>
    <t>P302 D54864 2001</t>
  </si>
  <si>
    <t>0                      P  0302000D  54864       2001</t>
  </si>
  <si>
    <t>Discourse as data : a guide for analysis / [edited by] Margaret Wetherell, Stephanie Taylor and Simeon Yates.</t>
  </si>
  <si>
    <t>London ; Thousand Oaks, Calif. : SAGE, 2001.</t>
  </si>
  <si>
    <t>2019-02-19</t>
  </si>
  <si>
    <t>837016351:eng</t>
  </si>
  <si>
    <t>45766212</t>
  </si>
  <si>
    <t>ocm45766212</t>
  </si>
  <si>
    <t>3103471189$</t>
  </si>
  <si>
    <t>9780761971573</t>
  </si>
  <si>
    <t>793677834</t>
  </si>
  <si>
    <t>P302 D5488 1995</t>
  </si>
  <si>
    <t>0                      P  0302000D  5488        1995</t>
  </si>
  <si>
    <t>Discourse in society : systemic functional perspectives / edited by Peter H. Fries, Michael Gregory.</t>
  </si>
  <si>
    <t>Norwood, N.J. : Ablex, 1995.</t>
  </si>
  <si>
    <t>Advances in discourse processes ; v. 50</t>
  </si>
  <si>
    <t>366013830:eng</t>
  </si>
  <si>
    <t>31435480</t>
  </si>
  <si>
    <t>ocm31435480</t>
  </si>
  <si>
    <t>3102766025P</t>
  </si>
  <si>
    <t>9781567500431</t>
  </si>
  <si>
    <t>793361302</t>
  </si>
  <si>
    <t>P302 D54883 2010</t>
  </si>
  <si>
    <t>0                      P  0302000D  54883       2010</t>
  </si>
  <si>
    <t>Discourse, identities and roles in specialized communication / Giuliana Garzone &amp; James Archibald (eds).</t>
  </si>
  <si>
    <t>Linguistic insights : studies in language and communication ; v. 125</t>
  </si>
  <si>
    <t>2011-01-03</t>
  </si>
  <si>
    <t>498696042:eng</t>
  </si>
  <si>
    <t>634742901</t>
  </si>
  <si>
    <t>ocn634742901</t>
  </si>
  <si>
    <t>3103285194P</t>
  </si>
  <si>
    <t>9783034304948</t>
  </si>
  <si>
    <t>794825407</t>
  </si>
  <si>
    <t>P302 D5675 2010</t>
  </si>
  <si>
    <t>0                      P  0302000D  5675        2010</t>
  </si>
  <si>
    <t>Discourses in interaction / edited by Sanna-Kaisa Tanskanen, Marja-Liisa Helasvuo, Marjut Johansson and Mia Raitaniemi.</t>
  </si>
  <si>
    <t>Pragmatics &amp; beyond new series ; v. 203</t>
  </si>
  <si>
    <t>2013-01-08</t>
  </si>
  <si>
    <t>617331945:eng</t>
  </si>
  <si>
    <t>662408213</t>
  </si>
  <si>
    <t>ocn662408213</t>
  </si>
  <si>
    <t>31033230162</t>
  </si>
  <si>
    <t>9789027256072</t>
  </si>
  <si>
    <t>794837304</t>
  </si>
  <si>
    <t>P302 D5685 2013</t>
  </si>
  <si>
    <t>0                      P  0302000D  5685        2013</t>
  </si>
  <si>
    <t>Discourses of trust / edited by Christopher N. Candlin, Macquarie University, Australia and Jonathan Crichton, University of South Australia, Australia.</t>
  </si>
  <si>
    <t>Houndmills, Basingstoke, Hampshire ; New York, NY : Palgrave Macmillan, 2013.</t>
  </si>
  <si>
    <t>2013-12-12</t>
  </si>
  <si>
    <t>1207735264:eng</t>
  </si>
  <si>
    <t>802320981</t>
  </si>
  <si>
    <t>ocn802320981</t>
  </si>
  <si>
    <t>3103469310H</t>
  </si>
  <si>
    <t>9780230308497</t>
  </si>
  <si>
    <t>794925559</t>
  </si>
  <si>
    <t>P302 D569 2011</t>
  </si>
  <si>
    <t>0                      P  0302000D  569         2011</t>
  </si>
  <si>
    <t>Discursive pragmatics / edited by Jan Zienkowski, Jan-Ola Östman, Jef Verschueren.</t>
  </si>
  <si>
    <t>Handbook of pragmatics highlights ; v. 8</t>
  </si>
  <si>
    <t>3859598528:eng</t>
  </si>
  <si>
    <t>606787688</t>
  </si>
  <si>
    <t>ocn606787688</t>
  </si>
  <si>
    <t>31033637090</t>
  </si>
  <si>
    <t>9789027207852</t>
  </si>
  <si>
    <t>794817330</t>
  </si>
  <si>
    <t>P302 D583 2012</t>
  </si>
  <si>
    <t>0                      P  0302000D  583         2012</t>
  </si>
  <si>
    <t>Discourse and grammar : from sentence types to lexical categories / edited by Günther Grewendorf, Thomas Ede Zimmermann.</t>
  </si>
  <si>
    <t>Boston : De Gruyter Mouton, [2012]</t>
  </si>
  <si>
    <t>Studies in generative grammar, 0167-4331 ; 112</t>
  </si>
  <si>
    <t>1204469965:eng</t>
  </si>
  <si>
    <t>825556373</t>
  </si>
  <si>
    <t>ocn825556373</t>
  </si>
  <si>
    <t>31034971764</t>
  </si>
  <si>
    <t>9781614512158</t>
  </si>
  <si>
    <t>794938613</t>
  </si>
  <si>
    <t>P302 D636 2014</t>
  </si>
  <si>
    <t>0                      P  0302000D  636         2014</t>
  </si>
  <si>
    <t>Documents, textes, oeuvres : perspectives sémiotiques / sous la direction de Driss Ablali, Sémir Badir et Dominique Ducard.</t>
  </si>
  <si>
    <t>Rennes : Presses universitaires de Rennes, [2014]</t>
  </si>
  <si>
    <t>Rivages linguistiques</t>
  </si>
  <si>
    <t>2231247920:fre</t>
  </si>
  <si>
    <t>894848017</t>
  </si>
  <si>
    <t>ocn894848017</t>
  </si>
  <si>
    <t>3103624930W</t>
  </si>
  <si>
    <t>9782753534926</t>
  </si>
  <si>
    <t>794983038</t>
  </si>
  <si>
    <t>P302 E27</t>
  </si>
  <si>
    <t>0                      P  0302000E  27</t>
  </si>
  <si>
    <t>Lector in fabula : la cooperazione interpretativa nei testi narrativi / Umberto Eco.</t>
  </si>
  <si>
    <t>Milano : Bompiani, 1979.</t>
  </si>
  <si>
    <t>Il Campo semiotico</t>
  </si>
  <si>
    <t>6836193:ita</t>
  </si>
  <si>
    <t>5833302</t>
  </si>
  <si>
    <t>ocm05833302</t>
  </si>
  <si>
    <t>3102766021P</t>
  </si>
  <si>
    <t>792457652</t>
  </si>
  <si>
    <t>P302 E2714 1985</t>
  </si>
  <si>
    <t>0                      P  0302000E  2714        1985</t>
  </si>
  <si>
    <t>Lector in fabula, ou la coopération interprétative dans les textes narratifs / Umberto Eco ; traduit de l'italien par Myriem Bouzaher.</t>
  </si>
  <si>
    <t>Paris : B. Grasset, ©1985.</t>
  </si>
  <si>
    <t>Figures</t>
  </si>
  <si>
    <t>6836193:fre</t>
  </si>
  <si>
    <t>13803346</t>
  </si>
  <si>
    <t>ocm13803346</t>
  </si>
  <si>
    <t>3102766020P</t>
  </si>
  <si>
    <t>9782246342618</t>
  </si>
  <si>
    <t>792867349</t>
  </si>
  <si>
    <t>P302 .E2714 2018</t>
  </si>
  <si>
    <t>0                      P  0302000E  2714        2018</t>
  </si>
  <si>
    <t>Lector in fabula = Le rôle du lecteur, ou la Coopération interprétive dans les textes narratifs / Umberto Eco ; traduit de l'italien par Myriem Bouzaher.</t>
  </si>
  <si>
    <t>Paris : Grasset, [2018]</t>
  </si>
  <si>
    <t>Édition 14.</t>
  </si>
  <si>
    <t>Le livre de poche. Biblio essais ; 4098</t>
  </si>
  <si>
    <t>1134610545</t>
  </si>
  <si>
    <t>on1134610545</t>
  </si>
  <si>
    <t>3103875750M</t>
  </si>
  <si>
    <t>9782253048794</t>
  </si>
  <si>
    <t>795086900</t>
  </si>
  <si>
    <t>P302 E83 1998</t>
  </si>
  <si>
    <t>0                      P  0302000E  83          1998</t>
  </si>
  <si>
    <t>Etats du polémique / sous la direction de Dominique Garand et Annette Hayward ; [les auteurs, Thierry Belleguic and others].</t>
  </si>
  <si>
    <t>[Québec] : Editions Nota bene, ©1998.</t>
  </si>
  <si>
    <t>Les cahiers du Centre de recherche en litterature quebecoise ; no 22</t>
  </si>
  <si>
    <t>365931080:fre</t>
  </si>
  <si>
    <t>45845331</t>
  </si>
  <si>
    <t>ocm45845331</t>
  </si>
  <si>
    <t>3102766017R</t>
  </si>
  <si>
    <t>9782921053945</t>
  </si>
  <si>
    <t>793679441</t>
  </si>
  <si>
    <t>P302 F34 1995</t>
  </si>
  <si>
    <t>0                      P  0302000F  34          1995</t>
  </si>
  <si>
    <t>Critical discourse analysis : the critical study of language / Norman Fairclough.</t>
  </si>
  <si>
    <t>836943288:eng</t>
  </si>
  <si>
    <t>31045099</t>
  </si>
  <si>
    <t>ocm31045099</t>
  </si>
  <si>
    <t>3102766016R</t>
  </si>
  <si>
    <t>9780582219809</t>
  </si>
  <si>
    <t>793352135</t>
  </si>
  <si>
    <t>P302 F35 1992</t>
  </si>
  <si>
    <t>0                      P  0302000F  35          1992</t>
  </si>
  <si>
    <t>Discourse and social change / Norman Fairclough.</t>
  </si>
  <si>
    <t>Cambridge, UK ; Cambridge, MA : Polity Press, 1992.</t>
  </si>
  <si>
    <t>17511797:eng</t>
  </si>
  <si>
    <t>25371774</t>
  </si>
  <si>
    <t>ocm25371774</t>
  </si>
  <si>
    <t>31030636679</t>
  </si>
  <si>
    <t>9780745606743</t>
  </si>
  <si>
    <t>793218988</t>
  </si>
  <si>
    <t>3102766015R</t>
  </si>
  <si>
    <t>793218989</t>
  </si>
  <si>
    <t>3103070386L</t>
  </si>
  <si>
    <t>793218987</t>
  </si>
  <si>
    <t>P302 F519 2010</t>
  </si>
  <si>
    <t>0                      P  0302000F  519         2010</t>
  </si>
  <si>
    <t>The language impact : evolution - system - discourse / Alwin Frank Fill.</t>
  </si>
  <si>
    <t>Fill, Alwin.</t>
  </si>
  <si>
    <t>London ; Oakville, Conn. : Equinox, 2010.</t>
  </si>
  <si>
    <t>407475782:eng</t>
  </si>
  <si>
    <t>535489663</t>
  </si>
  <si>
    <t>ocn535489663</t>
  </si>
  <si>
    <t>3103233736F</t>
  </si>
  <si>
    <t>9781845537777</t>
  </si>
  <si>
    <t>794810009</t>
  </si>
  <si>
    <t>P302 F53 2010</t>
  </si>
  <si>
    <t>0                      P  0302000F  53          2010</t>
  </si>
  <si>
    <t>Fictions du champ littéraire : sous la direction du GREMLIN.</t>
  </si>
  <si>
    <t>Montreal : la Chaire James McGill d'étude du discours social, 2010.</t>
  </si>
  <si>
    <t>Discours social ; v.34</t>
  </si>
  <si>
    <t>763288385:fre</t>
  </si>
  <si>
    <t>651709023</t>
  </si>
  <si>
    <t>ocn651709023</t>
  </si>
  <si>
    <t>3103286520N</t>
  </si>
  <si>
    <t>794833034</t>
  </si>
  <si>
    <t>P302 F57 1999</t>
  </si>
  <si>
    <t>0                      P  0302000F  57          1999</t>
  </si>
  <si>
    <t>Enonciation, manières et territoires / Sophie Fisher.</t>
  </si>
  <si>
    <t>Fisher, Sophie.</t>
  </si>
  <si>
    <t>Gap : Ophrys, 1999.</t>
  </si>
  <si>
    <t>Collection L'homme dans la langue</t>
  </si>
  <si>
    <t>38918813:fre</t>
  </si>
  <si>
    <t>49284262</t>
  </si>
  <si>
    <t>ocm49284262</t>
  </si>
  <si>
    <t>3102766091B</t>
  </si>
  <si>
    <t>9782708008922</t>
  </si>
  <si>
    <t>793736704</t>
  </si>
  <si>
    <t>P302 F578 2012</t>
  </si>
  <si>
    <t>0                      P  0302000F  578         2012</t>
  </si>
  <si>
    <t>Focalisation(s) : saillance dans les langues : lexique, syntaxe, prosodie / sous la direction de Paul Cappeau et Sylvie Hanote.</t>
  </si>
  <si>
    <t>Rennes : Presses universitaires de Rennes, [2012]</t>
  </si>
  <si>
    <t>1218529844:fre</t>
  </si>
  <si>
    <t>827450591</t>
  </si>
  <si>
    <t>ocn827450591</t>
  </si>
  <si>
    <t>31035061906</t>
  </si>
  <si>
    <t>9782753520998</t>
  </si>
  <si>
    <t>794940066</t>
  </si>
  <si>
    <t>P302 F72 1993</t>
  </si>
  <si>
    <t>0                      P  0302000F  72          1993</t>
  </si>
  <si>
    <t>Framing in discourse / edited by Deborah Tannen.</t>
  </si>
  <si>
    <t>28917152:eng</t>
  </si>
  <si>
    <t>26218952</t>
  </si>
  <si>
    <t>ocm26218952</t>
  </si>
  <si>
    <t>3102766066H</t>
  </si>
  <si>
    <t>9780195079951</t>
  </si>
  <si>
    <t>793240064</t>
  </si>
  <si>
    <t>P302 F725 2011</t>
  </si>
  <si>
    <t>0                      P  0302000F  725         2011</t>
  </si>
  <si>
    <t>Framing matters : perspectives on negotiation research and practice in communication / edited by William A. Donohue, Randall G. Rogan, and Sanda Kaufman.</t>
  </si>
  <si>
    <t>691961879:eng</t>
  </si>
  <si>
    <t>676923187</t>
  </si>
  <si>
    <t>ocn676923187</t>
  </si>
  <si>
    <t>3103361256D</t>
  </si>
  <si>
    <t>9781433111488</t>
  </si>
  <si>
    <t>794850190</t>
  </si>
  <si>
    <t>P302 G398 2011</t>
  </si>
  <si>
    <t>0                      P  0302000G  398         2011</t>
  </si>
  <si>
    <t>How to do discourse analysis : a toolkit / James Paul Gee.</t>
  </si>
  <si>
    <t>2019-09-29</t>
  </si>
  <si>
    <t>793476115:eng</t>
  </si>
  <si>
    <t>472792615</t>
  </si>
  <si>
    <t>ocn472792615</t>
  </si>
  <si>
    <t>3103409029H</t>
  </si>
  <si>
    <t>9780415572071</t>
  </si>
  <si>
    <t>794797627</t>
  </si>
  <si>
    <t>P302 G4 2011</t>
  </si>
  <si>
    <t>0                      P  0302000G  4           2011</t>
  </si>
  <si>
    <t>An introduction to discourse analysis : theory and method / James Paul Gee.</t>
  </si>
  <si>
    <t>Milton Park, Abingdon ; New York : Routledge, 2011.</t>
  </si>
  <si>
    <t>372177768:eng</t>
  </si>
  <si>
    <t>498419379</t>
  </si>
  <si>
    <t>ocn498419379</t>
  </si>
  <si>
    <t>31032285424</t>
  </si>
  <si>
    <t>9780415585699</t>
  </si>
  <si>
    <t>794803200</t>
  </si>
  <si>
    <t>P302 H343 1985</t>
  </si>
  <si>
    <t>0                      P  0302000H  343         1985</t>
  </si>
  <si>
    <t>Handbook of discourse analysis / edited by Teun A. van Dijk.</t>
  </si>
  <si>
    <t>London ; Orlando : Academic Press, 1985-</t>
  </si>
  <si>
    <t>54640994:eng</t>
  </si>
  <si>
    <t>10727035</t>
  </si>
  <si>
    <t>ocm10727035</t>
  </si>
  <si>
    <t>3102766069H</t>
  </si>
  <si>
    <t>9780127120010</t>
  </si>
  <si>
    <t>792739995</t>
  </si>
  <si>
    <t>3102766074F</t>
  </si>
  <si>
    <t>792739997</t>
  </si>
  <si>
    <t>v. 4</t>
  </si>
  <si>
    <t>3102766064H</t>
  </si>
  <si>
    <t>792739994</t>
  </si>
  <si>
    <t>3102766059J</t>
  </si>
  <si>
    <t>792739996</t>
  </si>
  <si>
    <t>P302 H345 2003</t>
  </si>
  <si>
    <t>0                      P  0302000H  345         2003</t>
  </si>
  <si>
    <t>Handbook of discourse processes / edited by Arthur C. Graesser, Morton Ann Gernsbacher, Susan R. Goldman.</t>
  </si>
  <si>
    <t>2018-06-04</t>
  </si>
  <si>
    <t>1117988181:eng</t>
  </si>
  <si>
    <t>49681589</t>
  </si>
  <si>
    <t>ocm49681589</t>
  </si>
  <si>
    <t>3102766098B</t>
  </si>
  <si>
    <t>9780805835557</t>
  </si>
  <si>
    <t>793745567</t>
  </si>
  <si>
    <t>P302 H37 2010</t>
  </si>
  <si>
    <t>0                      P  0302000H  37          2010</t>
  </si>
  <si>
    <t>Critical discourse analysis and cognitive science : new perspectives on immigration discourse / Christopher Hart.</t>
  </si>
  <si>
    <t>Hart, Christopher.</t>
  </si>
  <si>
    <t>Basingstoke : Palgrave Macmillan, 2010.</t>
  </si>
  <si>
    <t>814036091:eng</t>
  </si>
  <si>
    <t>635463598</t>
  </si>
  <si>
    <t>ocn635463598</t>
  </si>
  <si>
    <t>3103233655E</t>
  </si>
  <si>
    <t>9780230279506</t>
  </si>
  <si>
    <t>794825523</t>
  </si>
  <si>
    <t>P302 H38 2010</t>
  </si>
  <si>
    <t>0                      P  0302000H  38          2010</t>
  </si>
  <si>
    <t>Soliloquy in Japanese and English / Yoko Hasegawa.</t>
  </si>
  <si>
    <t>Hasegawa, Yoko, 1950-</t>
  </si>
  <si>
    <t>Pragmatics &amp; beyond new series ; v. 202</t>
  </si>
  <si>
    <t>760615934:eng</t>
  </si>
  <si>
    <t>657223852</t>
  </si>
  <si>
    <t>ocn657223852</t>
  </si>
  <si>
    <t>3103314172P</t>
  </si>
  <si>
    <t>9789027256065</t>
  </si>
  <si>
    <t>794835369</t>
  </si>
  <si>
    <t>P302 H43 2014</t>
  </si>
  <si>
    <t>0                      P  0302000H  43          2014</t>
  </si>
  <si>
    <t>L'analyse des textes littéraires : une méthodologie complète / Louis Hébert.</t>
  </si>
  <si>
    <t>Hébert, Louis, 1961-</t>
  </si>
  <si>
    <t>Paris : Classiques Garnier, 2014.</t>
  </si>
  <si>
    <t>Dictionnaires et synthèses, 2115-2926 ; 5</t>
  </si>
  <si>
    <t>2468123437:fre</t>
  </si>
  <si>
    <t>908261566</t>
  </si>
  <si>
    <t>ocn908261566</t>
  </si>
  <si>
    <t>3103621978J</t>
  </si>
  <si>
    <t>9782812433276</t>
  </si>
  <si>
    <t>794994451</t>
  </si>
  <si>
    <t>P302 H475 2012</t>
  </si>
  <si>
    <t>0                      P  0302000H  475         2012</t>
  </si>
  <si>
    <t>L'hétérogène à l'œuvre, dans la langue et les discours : hommage à Jacqueline Authier-Revuz / textes réunis et présentés par Sonia Branca-Rosoff [and five others].</t>
  </si>
  <si>
    <t>Limoges : Éditions Lambert-Lucas, [2012]</t>
  </si>
  <si>
    <t>1209544895:fre</t>
  </si>
  <si>
    <t>828408048</t>
  </si>
  <si>
    <t>ocn828408048</t>
  </si>
  <si>
    <t>3103449145R</t>
  </si>
  <si>
    <t>9782359350494</t>
  </si>
  <si>
    <t>794941050</t>
  </si>
  <si>
    <t>P302 H67 2000</t>
  </si>
  <si>
    <t>0                      P  0302000H  67          2000</t>
  </si>
  <si>
    <t>Discourse / David Howarth.</t>
  </si>
  <si>
    <t>Howarth, David R.</t>
  </si>
  <si>
    <t>Buckingham [England] ; Philadelphia, PA : Open University Press, 2000.</t>
  </si>
  <si>
    <t>Concepts in the social sciences</t>
  </si>
  <si>
    <t>44613:eng</t>
  </si>
  <si>
    <t>44045704</t>
  </si>
  <si>
    <t>ocm44045704</t>
  </si>
  <si>
    <t>3102368348S</t>
  </si>
  <si>
    <t>9780335200719</t>
  </si>
  <si>
    <t>793641211</t>
  </si>
  <si>
    <t>3103373479R</t>
  </si>
  <si>
    <t>793641210</t>
  </si>
  <si>
    <t>P302 I43 1999</t>
  </si>
  <si>
    <t>0                      P  0302000I  43          1999</t>
  </si>
  <si>
    <t>Images de soi dans le discours : la construction de l'ethos / sous la direction de Ruth Amossy ; [contributions] J.-M. Adam [and others].</t>
  </si>
  <si>
    <t>Lausanne : Delachaux et Niestlé, 1999.</t>
  </si>
  <si>
    <t>Textes de base en sciences des discours</t>
  </si>
  <si>
    <t>890389468:fre</t>
  </si>
  <si>
    <t>41648260</t>
  </si>
  <si>
    <t>ocm41648260</t>
  </si>
  <si>
    <t>3102766063H</t>
  </si>
  <si>
    <t>9782603011614</t>
  </si>
  <si>
    <t>793596002</t>
  </si>
  <si>
    <t>P302 J323 2010</t>
  </si>
  <si>
    <t>0                      P  0302000J  323         2010</t>
  </si>
  <si>
    <t>Language, names, and information / Frank Jackson.</t>
  </si>
  <si>
    <t>Jackson, Frank, 1943-</t>
  </si>
  <si>
    <t>The Blackwell/Brown lectures in philosophy ; 3</t>
  </si>
  <si>
    <t>2014-01-12</t>
  </si>
  <si>
    <t>414105620:eng</t>
  </si>
  <si>
    <t>542263614</t>
  </si>
  <si>
    <t>ocn542263614</t>
  </si>
  <si>
    <t>3103230760L</t>
  </si>
  <si>
    <t>9781405161589</t>
  </si>
  <si>
    <t>794810799</t>
  </si>
  <si>
    <t>P302 J355 2010</t>
  </si>
  <si>
    <t>0                      P  0302000J  355         2010</t>
  </si>
  <si>
    <t>Confusing discourse / Karol Janicki ; with illustrations by Siri Fuglseth and Tine Erika Fuglseth.</t>
  </si>
  <si>
    <t>Basingstoke, England ; New York : Palgrave Macmillan, 2010.</t>
  </si>
  <si>
    <t>322466705:eng</t>
  </si>
  <si>
    <t>428030584</t>
  </si>
  <si>
    <t>ocn428030584</t>
  </si>
  <si>
    <t>3103128224N</t>
  </si>
  <si>
    <t>9780230232600</t>
  </si>
  <si>
    <t>794756304</t>
  </si>
  <si>
    <t>P302 J66 2012</t>
  </si>
  <si>
    <t>0                      P  0302000J  66          2012</t>
  </si>
  <si>
    <t>Discourse analysis : a resource book for students / Rodney Jones.</t>
  </si>
  <si>
    <t>796719682:eng</t>
  </si>
  <si>
    <t>706022677</t>
  </si>
  <si>
    <t>ocn706022677</t>
  </si>
  <si>
    <t>3103408777R</t>
  </si>
  <si>
    <t>9780415610001</t>
  </si>
  <si>
    <t>794866554</t>
  </si>
  <si>
    <t>P302 J673 2002</t>
  </si>
  <si>
    <t>0                      P  0302000J  673         2002</t>
  </si>
  <si>
    <t>Discourse analysis as theory and method / Marianne Jørgenson and Louise Phillips.</t>
  </si>
  <si>
    <t>Jørgensen, Marianne.</t>
  </si>
  <si>
    <t>1045104:eng</t>
  </si>
  <si>
    <t>51061925</t>
  </si>
  <si>
    <t>ocm51061925</t>
  </si>
  <si>
    <t>3102766097B</t>
  </si>
  <si>
    <t>9780761971115</t>
  </si>
  <si>
    <t>793778085</t>
  </si>
  <si>
    <t>P302 J673 2011</t>
  </si>
  <si>
    <t>0                      P  0302000J  673         2011</t>
  </si>
  <si>
    <t>Discourse analysis as theory and method / Marianne Jørgensen and Louise Phillips.</t>
  </si>
  <si>
    <t>671958278</t>
  </si>
  <si>
    <t>ocn671958278</t>
  </si>
  <si>
    <t>31034783704</t>
  </si>
  <si>
    <t>9780761971122</t>
  </si>
  <si>
    <t>794849313</t>
  </si>
  <si>
    <t>P302 K48 2010</t>
  </si>
  <si>
    <t>0                      P  0302000K  48          2010</t>
  </si>
  <si>
    <t>Keyness in texts / edited by Marina Bondi, Mike Scott.</t>
  </si>
  <si>
    <t>Studies in corpus linguistics ; v. 41</t>
  </si>
  <si>
    <t>510879297:eng</t>
  </si>
  <si>
    <t>647977619</t>
  </si>
  <si>
    <t>ocn647977619</t>
  </si>
  <si>
    <t>3103322675D</t>
  </si>
  <si>
    <t>9789027223173</t>
  </si>
  <si>
    <t>794831006</t>
  </si>
  <si>
    <t>P302 K53 2011</t>
  </si>
  <si>
    <t>0                      P  0302000K  53          2011</t>
  </si>
  <si>
    <t>Reference in discourse / Andrej Kibrik.</t>
  </si>
  <si>
    <t>Kibrik, A. A.</t>
  </si>
  <si>
    <t>1075627275:eng</t>
  </si>
  <si>
    <t>694395520</t>
  </si>
  <si>
    <t>ocn694395520</t>
  </si>
  <si>
    <t>3103380733X</t>
  </si>
  <si>
    <t>9780199215805</t>
  </si>
  <si>
    <t>794857612</t>
  </si>
  <si>
    <t>P302 K67 2009</t>
  </si>
  <si>
    <t>0                      P  0302000K  67          2009</t>
  </si>
  <si>
    <t>Pour comprendre et analyser les textes et les discours : théories et applications / Ece Korkut, Irem Onursal.</t>
  </si>
  <si>
    <t>Korkut, Ece.</t>
  </si>
  <si>
    <t>Paris : Harmattan, 2009.</t>
  </si>
  <si>
    <t>315770929:fre</t>
  </si>
  <si>
    <t>428648541</t>
  </si>
  <si>
    <t>ocn428648541</t>
  </si>
  <si>
    <t>3103284764H</t>
  </si>
  <si>
    <t>9782296091191</t>
  </si>
  <si>
    <t>794778702</t>
  </si>
  <si>
    <t>P302 L31415 2008</t>
  </si>
  <si>
    <t>0                      P  0302000L  31415       2008</t>
  </si>
  <si>
    <t>Language in the context of use : discourse and cognitive approaches to language / edited by Andrea Tyler, Yiyoung Kim, Mari Takada.</t>
  </si>
  <si>
    <t>Cognitive linguistics research, 1861-4132 ; 37</t>
  </si>
  <si>
    <t>1058047250:eng</t>
  </si>
  <si>
    <t>191207154</t>
  </si>
  <si>
    <t>ocn191207154</t>
  </si>
  <si>
    <t>3103061533Q</t>
  </si>
  <si>
    <t>9783110196191</t>
  </si>
  <si>
    <t>794297271</t>
  </si>
  <si>
    <t>P302 L3142 2002</t>
  </si>
  <si>
    <t>0                      P  0302000L  3142        2002</t>
  </si>
  <si>
    <t>The language of conferencing / Eija Ventola, Celia Shalom, Susan Thompson, eds.</t>
  </si>
  <si>
    <t>Frankfurt am Main ; New York : Peter Lang, 2002.</t>
  </si>
  <si>
    <t>353387460:eng</t>
  </si>
  <si>
    <t>50322868</t>
  </si>
  <si>
    <t>ocm50322868</t>
  </si>
  <si>
    <t>3102766077F</t>
  </si>
  <si>
    <t>9780820447292</t>
  </si>
  <si>
    <t>793760817</t>
  </si>
  <si>
    <t>P302 L43 1995</t>
  </si>
  <si>
    <t>0                      P  0302000L  43          1995</t>
  </si>
  <si>
    <t>Language and context : a functional linguistic theory of register / Helen Leckie-Tarry ; edited by David Birch.</t>
  </si>
  <si>
    <t>Leckie-Tarry, Helen, -1991.</t>
  </si>
  <si>
    <t>London ; New York : Pinter Publishers ; New York : Distributed exclusively in the United States by St. Martin's Press, 1995.</t>
  </si>
  <si>
    <t>799330222:eng</t>
  </si>
  <si>
    <t>31969716</t>
  </si>
  <si>
    <t>ocm31969716</t>
  </si>
  <si>
    <t>3102766057J</t>
  </si>
  <si>
    <t>9781855672710</t>
  </si>
  <si>
    <t>793372324</t>
  </si>
  <si>
    <t>P302 L534 1995b</t>
  </si>
  <si>
    <t>0                      P  0302000L  534         1995b</t>
  </si>
  <si>
    <t>Life history and narrative / edited by J. Amos Hatch and Richard Wisniewski.</t>
  </si>
  <si>
    <t>London ; Washington, D.C. : Falmer Press, 1995.</t>
  </si>
  <si>
    <t>Qualitative studies series ; 1</t>
  </si>
  <si>
    <t>1047465390:eng</t>
  </si>
  <si>
    <t>32673201</t>
  </si>
  <si>
    <t>ocm32673201</t>
  </si>
  <si>
    <t>31028258915</t>
  </si>
  <si>
    <t>9780750704045</t>
  </si>
  <si>
    <t>793391510</t>
  </si>
  <si>
    <t>P302 L577 2004</t>
  </si>
  <si>
    <t>0                      P  0302000L  577         2004</t>
  </si>
  <si>
    <t>Critical discourse analysis / Terry Locke.</t>
  </si>
  <si>
    <t>Locke, Terry, 1946-</t>
  </si>
  <si>
    <t>Continuum research methods series</t>
  </si>
  <si>
    <t>3206225:eng</t>
  </si>
  <si>
    <t>56657714</t>
  </si>
  <si>
    <t>ocm56657714</t>
  </si>
  <si>
    <t>3103088661G</t>
  </si>
  <si>
    <t>9780826464866</t>
  </si>
  <si>
    <t>793898504</t>
  </si>
  <si>
    <t>P302 M296 2012</t>
  </si>
  <si>
    <t>0                      P  0302000M  296         2012</t>
  </si>
  <si>
    <t>How to do critical discourse analysis : a multimodal introduction / David Machin and Andrea Mayr.</t>
  </si>
  <si>
    <t>Machin, David, 1966-</t>
  </si>
  <si>
    <t>1050078875:eng</t>
  </si>
  <si>
    <t>762990236</t>
  </si>
  <si>
    <t>ocn762990236</t>
  </si>
  <si>
    <t>31034219566</t>
  </si>
  <si>
    <t>9780857028914</t>
  </si>
  <si>
    <t>794900131</t>
  </si>
  <si>
    <t>P302 M3</t>
  </si>
  <si>
    <t>0                      P  0302000M  3</t>
  </si>
  <si>
    <t>Initiation aux méthodes de l'analyse du discours : problèmes et perspectives / par Dominique Maingueneau ...</t>
  </si>
  <si>
    <t>Paris : Hachette, 1976.</t>
  </si>
  <si>
    <t>2017-03-11</t>
  </si>
  <si>
    <t>807498973:fre</t>
  </si>
  <si>
    <t>2838744</t>
  </si>
  <si>
    <t>ocm02838744</t>
  </si>
  <si>
    <t>31000144272</t>
  </si>
  <si>
    <t>9782010024078</t>
  </si>
  <si>
    <t>792183657</t>
  </si>
  <si>
    <t>P302 M33 1987</t>
  </si>
  <si>
    <t>0                      P  0302000M  33          1987</t>
  </si>
  <si>
    <t>Nouvelles tendances en analyse du discours / par Dominique Maingueneau.</t>
  </si>
  <si>
    <t>Paris : Hachette, ©1987.</t>
  </si>
  <si>
    <t>16172533:fre</t>
  </si>
  <si>
    <t>17646255</t>
  </si>
  <si>
    <t>ocm17646255</t>
  </si>
  <si>
    <t>31027763663</t>
  </si>
  <si>
    <t>9782010121166</t>
  </si>
  <si>
    <t>792998413</t>
  </si>
  <si>
    <t>P302 M35 2009</t>
  </si>
  <si>
    <t>0                      P  0302000M  35          2009</t>
  </si>
  <si>
    <t>Les termes clés de l'analyse du discours / Dominique Maingueneau.</t>
  </si>
  <si>
    <t>Paris : Seuil, ©2009.</t>
  </si>
  <si>
    <t>Nouv. éd. rev. et augm.</t>
  </si>
  <si>
    <t>Points. Essais ; 618</t>
  </si>
  <si>
    <t>36397900:fre</t>
  </si>
  <si>
    <t>727067616</t>
  </si>
  <si>
    <t>ocn727067616</t>
  </si>
  <si>
    <t>3103339258X</t>
  </si>
  <si>
    <t>9782757813225</t>
  </si>
  <si>
    <t>794877691</t>
  </si>
  <si>
    <t>P302 M356 2005</t>
  </si>
  <si>
    <t>0                      P  0302000M  356         2005</t>
  </si>
  <si>
    <t>Exercices de linguistique pour le texte littéraire / Dominique Maingueneau, Gilles Philippe.</t>
  </si>
  <si>
    <t>Paris : A. Colin, 2005.</t>
  </si>
  <si>
    <t>Lettres sup</t>
  </si>
  <si>
    <t>3901291853:fre</t>
  </si>
  <si>
    <t>80145905</t>
  </si>
  <si>
    <t>ocm80145905</t>
  </si>
  <si>
    <t>31033580252</t>
  </si>
  <si>
    <t>9782200342746</t>
  </si>
  <si>
    <t>794199962</t>
  </si>
  <si>
    <t>P302 M36 2007</t>
  </si>
  <si>
    <t>0                      P  0302000M  36          2007</t>
  </si>
  <si>
    <t>Analyser les textes de communication / Dominique Maingueneau.</t>
  </si>
  <si>
    <t>Paris : Armand Colin, 2007.</t>
  </si>
  <si>
    <t>2e éd. entièrement rev. et augm.</t>
  </si>
  <si>
    <t>34654566:fre</t>
  </si>
  <si>
    <t>85336155</t>
  </si>
  <si>
    <t>ocm85336155</t>
  </si>
  <si>
    <t>31033580104</t>
  </si>
  <si>
    <t>9782200347062</t>
  </si>
  <si>
    <t>794213396</t>
  </si>
  <si>
    <t>P302 M3728 2008</t>
  </si>
  <si>
    <t>0                      P  0302000M  3728        2008</t>
  </si>
  <si>
    <t>Genre relations : mapping culture / J.R. Martin and David Rose.</t>
  </si>
  <si>
    <t>Martin, J. R., 1950-</t>
  </si>
  <si>
    <t>905863706:eng</t>
  </si>
  <si>
    <t>58431616</t>
  </si>
  <si>
    <t>ocm58431616</t>
  </si>
  <si>
    <t>3103055792Y</t>
  </si>
  <si>
    <t>9781845530471</t>
  </si>
  <si>
    <t>793920798</t>
  </si>
  <si>
    <t>P302 M373 2003</t>
  </si>
  <si>
    <t>0                      P  0302000M  373         2003</t>
  </si>
  <si>
    <t>Working with discourse : meaning beyond the clause / J.R. Martin &amp; David Rose.</t>
  </si>
  <si>
    <t>4929289234:eng</t>
  </si>
  <si>
    <t>49531383</t>
  </si>
  <si>
    <t>ocm49531383</t>
  </si>
  <si>
    <t>3102776395Y</t>
  </si>
  <si>
    <t>9780826455079</t>
  </si>
  <si>
    <t>793742311</t>
  </si>
  <si>
    <t>P302 M39 2015</t>
  </si>
  <si>
    <t>0                      P  0302000M  39          2015</t>
  </si>
  <si>
    <t>L'analyse du discours : histoire et pratiques / Francine Mazière.</t>
  </si>
  <si>
    <t>Mazière, Francine, author.</t>
  </si>
  <si>
    <t>Que sais-je? ; no 3735</t>
  </si>
  <si>
    <t>796592181:fre</t>
  </si>
  <si>
    <t>940637482</t>
  </si>
  <si>
    <t>ocn940637482</t>
  </si>
  <si>
    <t>3103709232$</t>
  </si>
  <si>
    <t>9782130652250</t>
  </si>
  <si>
    <t>795012004</t>
  </si>
  <si>
    <t>P302 M3948 2009</t>
  </si>
  <si>
    <t>0                      P  0302000M  3948        2009</t>
  </si>
  <si>
    <t>Methods of critical discourse analysis / edited by Ruth Wodak and Michael Meyer.</t>
  </si>
  <si>
    <t>Los Angeles ; London : SAGE, 2009.</t>
  </si>
  <si>
    <t>4915159482:eng</t>
  </si>
  <si>
    <t>271774647</t>
  </si>
  <si>
    <t>ocn271774647</t>
  </si>
  <si>
    <t>3102858125D</t>
  </si>
  <si>
    <t>9781847874542</t>
  </si>
  <si>
    <t>794414935</t>
  </si>
  <si>
    <t>P302 M395 2000</t>
  </si>
  <si>
    <t>0                      P  0302000M  395         2000</t>
  </si>
  <si>
    <t>Methods of text and discourse analysis / Stefan Titscher [and others] ; translated by Bryan Jenner.</t>
  </si>
  <si>
    <t>London ; Thousand Oaks CA : Sage, 2000.</t>
  </si>
  <si>
    <t>4917862584:eng</t>
  </si>
  <si>
    <t>43540188</t>
  </si>
  <si>
    <t>ocm43540188</t>
  </si>
  <si>
    <t>3102777050A</t>
  </si>
  <si>
    <t>9780761964827</t>
  </si>
  <si>
    <t>793628966</t>
  </si>
  <si>
    <t>P302 M465 2017</t>
  </si>
  <si>
    <t>0                      P  0302000M  465         2017</t>
  </si>
  <si>
    <t>Le retour de Socrate : introduction à la brachylogie / Mansour M'Henni.</t>
  </si>
  <si>
    <t>M'Henni, Mansour.</t>
  </si>
  <si>
    <t>Paris : Harmattan, c2017.</t>
  </si>
  <si>
    <t>4612788346:fre</t>
  </si>
  <si>
    <t>1011556386</t>
  </si>
  <si>
    <t>on1011556386</t>
  </si>
  <si>
    <t>31037198172</t>
  </si>
  <si>
    <t>9782343127477</t>
  </si>
  <si>
    <t>795045610</t>
  </si>
  <si>
    <t>P302 M55 1997</t>
  </si>
  <si>
    <t>0                      P  0302000M  55          1997</t>
  </si>
  <si>
    <t>Discourse / Sara Mills.</t>
  </si>
  <si>
    <t>2012-10-03</t>
  </si>
  <si>
    <t>882664:eng</t>
  </si>
  <si>
    <t>36485999</t>
  </si>
  <si>
    <t>ocm36485999</t>
  </si>
  <si>
    <t>3102776384$</t>
  </si>
  <si>
    <t>9780415138543</t>
  </si>
  <si>
    <t>793476494</t>
  </si>
  <si>
    <t>3102776394Y</t>
  </si>
  <si>
    <t>793476493</t>
  </si>
  <si>
    <t>P302 M55 2004</t>
  </si>
  <si>
    <t>0                      P  0302000M  55          2004</t>
  </si>
  <si>
    <t>53970834</t>
  </si>
  <si>
    <t>ocm53970834</t>
  </si>
  <si>
    <t>3102776389$</t>
  </si>
  <si>
    <t>9780415290142</t>
  </si>
  <si>
    <t>793854375</t>
  </si>
  <si>
    <t>P302 N315 2003</t>
  </si>
  <si>
    <t>0                      P  0302000N  315         2003</t>
  </si>
  <si>
    <t>Narrative theory and the cognitive sciences / edited by David Herman.</t>
  </si>
  <si>
    <t>CSLI lecture notes ; no. 158</t>
  </si>
  <si>
    <t>9907353266:eng</t>
  </si>
  <si>
    <t>52806071</t>
  </si>
  <si>
    <t>ocm52806071</t>
  </si>
  <si>
    <t>31027763791</t>
  </si>
  <si>
    <t>9781575864679</t>
  </si>
  <si>
    <t>793814480</t>
  </si>
  <si>
    <t>P302 N66 1997</t>
  </si>
  <si>
    <t>0                      P  0302000N  66          1997</t>
  </si>
  <si>
    <t>Nominalism and literary discourse : new perspectives / edited by Hugo Keiper, Christoph Bode, Richard J. Utz.</t>
  </si>
  <si>
    <t>Amsterdam ; Atlanta, Ga. : Rodopi, 1997.</t>
  </si>
  <si>
    <t>Critical studies (Amsterdam, Netherlands) ; vol. 10</t>
  </si>
  <si>
    <t>2017-05-10</t>
  </si>
  <si>
    <t>364946060:eng</t>
  </si>
  <si>
    <t>38471194</t>
  </si>
  <si>
    <t>ocm38471194</t>
  </si>
  <si>
    <t>3102776403C</t>
  </si>
  <si>
    <t>9789042002883</t>
  </si>
  <si>
    <t>793524400</t>
  </si>
  <si>
    <t>P302 N67 2019</t>
  </si>
  <si>
    <t>0                      P  0302000N  67          2019</t>
  </si>
  <si>
    <t>Normativity and variety of speech actions / edited by Maciej Witek and Iwona Witczak-Plisiecka.</t>
  </si>
  <si>
    <t>Leiden : Brill, [2019]</t>
  </si>
  <si>
    <t>Poznań studies in the philosophy of the sciences and the humanities, 0303-8157 ; volume 112</t>
  </si>
  <si>
    <t>8854722550:eng</t>
  </si>
  <si>
    <t>1054393318</t>
  </si>
  <si>
    <t>on1054393318</t>
  </si>
  <si>
    <t>31038122672</t>
  </si>
  <si>
    <t>9789004366503</t>
  </si>
  <si>
    <t>795063192</t>
  </si>
  <si>
    <t>P302 N86 1993</t>
  </si>
  <si>
    <t>0                      P  0302000N  86          1993</t>
  </si>
  <si>
    <t>Introducing discourse analysis / David Nunan.</t>
  </si>
  <si>
    <t>London : Penguin English, 1993.</t>
  </si>
  <si>
    <t>Penguin English applied linguisitics</t>
  </si>
  <si>
    <t>33073582:eng</t>
  </si>
  <si>
    <t>31078944</t>
  </si>
  <si>
    <t>ocm31078944</t>
  </si>
  <si>
    <t>31027763643</t>
  </si>
  <si>
    <t>9780140813654</t>
  </si>
  <si>
    <t>793353042</t>
  </si>
  <si>
    <t>P302 O6 1981</t>
  </si>
  <si>
    <t>0                      P  0302000O  6           1981</t>
  </si>
  <si>
    <t>On narrative / edited by W.J.T. Mitchell.</t>
  </si>
  <si>
    <t>194993487:eng</t>
  </si>
  <si>
    <t>6790570</t>
  </si>
  <si>
    <t>ocm06790570</t>
  </si>
  <si>
    <t>3102776393Y</t>
  </si>
  <si>
    <t>9780226532172</t>
  </si>
  <si>
    <t>792523208</t>
  </si>
  <si>
    <t>P302 P23 2006</t>
  </si>
  <si>
    <t>0                      P  0302000P  23          2006</t>
  </si>
  <si>
    <t>Discourse analysis : an introduction / Brian Paltridge.</t>
  </si>
  <si>
    <t>Paltridge, Brian.</t>
  </si>
  <si>
    <t>London : Continuum, 2006.</t>
  </si>
  <si>
    <t>Continuum discourse</t>
  </si>
  <si>
    <t>815145898:eng</t>
  </si>
  <si>
    <t>70986754</t>
  </si>
  <si>
    <t>ocm70986754</t>
  </si>
  <si>
    <t>3102634625$</t>
  </si>
  <si>
    <t>9780826485564</t>
  </si>
  <si>
    <t>794161910</t>
  </si>
  <si>
    <t>P302 P355 2010</t>
  </si>
  <si>
    <t>0                      P  0302000P  355         2010</t>
  </si>
  <si>
    <t>Patterns, meaningful units and specialized discourses / edited by Ute Römer, Rainer Schulze.</t>
  </si>
  <si>
    <t>Benjamins current topics, 1874-0081 ; v. 22</t>
  </si>
  <si>
    <t>572753297:eng</t>
  </si>
  <si>
    <t>605019948</t>
  </si>
  <si>
    <t>ocn605019948</t>
  </si>
  <si>
    <t>3103237921W</t>
  </si>
  <si>
    <t>9789027222527</t>
  </si>
  <si>
    <t>794816219</t>
  </si>
  <si>
    <t>P302 P39</t>
  </si>
  <si>
    <t>0                      P  0302000P  39</t>
  </si>
  <si>
    <t>The Pear stories : cognitive, cultural, and linguistic aspects of narrative production / Wallace L. Chafe, editor.</t>
  </si>
  <si>
    <t>Norwood, N.J. : Ablex Pub. Corp., [1980]</t>
  </si>
  <si>
    <t>Advances in discourse processes ; v. 3, 0164-0224</t>
  </si>
  <si>
    <t>806718834:eng</t>
  </si>
  <si>
    <t>6626803</t>
  </si>
  <si>
    <t>ocm06626803</t>
  </si>
  <si>
    <t>3102776383$</t>
  </si>
  <si>
    <t>9780893910327</t>
  </si>
  <si>
    <t>792512649</t>
  </si>
  <si>
    <t>P302 P445 2011</t>
  </si>
  <si>
    <t>0                      P  0302000P  445         2011</t>
  </si>
  <si>
    <t>Discursive acts : language, signs, and selves / Robert S. Perinbanayagam.</t>
  </si>
  <si>
    <t>Perinbanayagam, R. S., 1934-</t>
  </si>
  <si>
    <t>New Brunswick [N.J.] : Transaction Publishers, ©2011.</t>
  </si>
  <si>
    <t>4132077958:eng</t>
  </si>
  <si>
    <t>527702735</t>
  </si>
  <si>
    <t>ocn527702735</t>
  </si>
  <si>
    <t>3103228147G</t>
  </si>
  <si>
    <t>9780202363530</t>
  </si>
  <si>
    <t>794809378</t>
  </si>
  <si>
    <t>P302 P47 2010</t>
  </si>
  <si>
    <t>0                      P  0302000P  47          2010</t>
  </si>
  <si>
    <t>Perspectives on formulaic language : acquisition and communication / edited by David Wood.</t>
  </si>
  <si>
    <t>1016810135:eng</t>
  </si>
  <si>
    <t>432983086</t>
  </si>
  <si>
    <t>ocn432983086</t>
  </si>
  <si>
    <t>3103132294S</t>
  </si>
  <si>
    <t>9781441148414</t>
  </si>
  <si>
    <t>794782040</t>
  </si>
  <si>
    <t>P302 P634 1995</t>
  </si>
  <si>
    <t>0                      P  0302000P  634         1995</t>
  </si>
  <si>
    <t>Textual intervention : critical and creative strategies for literary studies / Rob Pope.</t>
  </si>
  <si>
    <t>Pope, Rob.</t>
  </si>
  <si>
    <t>836743271:eng</t>
  </si>
  <si>
    <t>29844254</t>
  </si>
  <si>
    <t>ocm29844254</t>
  </si>
  <si>
    <t>3102776397Y</t>
  </si>
  <si>
    <t>9780415054362</t>
  </si>
  <si>
    <t>793321820</t>
  </si>
  <si>
    <t>P302 P74</t>
  </si>
  <si>
    <t>0                      P  0302000P  74</t>
  </si>
  <si>
    <t>Toward a speech act theory of literary discourse / Mary Louise Pratt.</t>
  </si>
  <si>
    <t>Pratt, Mary Louise, 1948- author.</t>
  </si>
  <si>
    <t>Bloomington : Indiana University Press, [1977]</t>
  </si>
  <si>
    <t>Midland book</t>
  </si>
  <si>
    <t>421798:eng</t>
  </si>
  <si>
    <t>2644192</t>
  </si>
  <si>
    <t>ocm02644192</t>
  </si>
  <si>
    <t>31027763623</t>
  </si>
  <si>
    <t>9780253370068</t>
  </si>
  <si>
    <t>792156996</t>
  </si>
  <si>
    <t>P302 P75</t>
  </si>
  <si>
    <t>0                      P  0302000P  75</t>
  </si>
  <si>
    <t>Narratology : the form and functioning of narrative / Gerald Prince.</t>
  </si>
  <si>
    <t>Prince, Gerald.</t>
  </si>
  <si>
    <t>Berlin ; New York : Mouton, ©1982.</t>
  </si>
  <si>
    <t>Janua linguarum. Series maior ; 108</t>
  </si>
  <si>
    <t>2018-10-31</t>
  </si>
  <si>
    <t>807312373:eng</t>
  </si>
  <si>
    <t>8388782</t>
  </si>
  <si>
    <t>ocm08388782</t>
  </si>
  <si>
    <t>31027763771</t>
  </si>
  <si>
    <t>9789027930903</t>
  </si>
  <si>
    <t>792616556</t>
  </si>
  <si>
    <t>P302 R32 2007</t>
  </si>
  <si>
    <t>0                      P  0302000R  32          2007</t>
  </si>
  <si>
    <t>Doing conversation, discourse and document analysis / Tim Rapley.</t>
  </si>
  <si>
    <t>Rapley, Tim.</t>
  </si>
  <si>
    <t>Sage qualitative research kit</t>
  </si>
  <si>
    <t>2017-10-13</t>
  </si>
  <si>
    <t>114414614:eng</t>
  </si>
  <si>
    <t>173671004</t>
  </si>
  <si>
    <t>ocn173671004</t>
  </si>
  <si>
    <t>3103048118O</t>
  </si>
  <si>
    <t>9780761949817</t>
  </si>
  <si>
    <t>794269477</t>
  </si>
  <si>
    <t>3102883483Y</t>
  </si>
  <si>
    <t>794269478</t>
  </si>
  <si>
    <t>P302 R49 2011</t>
  </si>
  <si>
    <t>0                      P  0302000R  49          2011</t>
  </si>
  <si>
    <t>Voice in political discourse : Castro, Chávez, Bush and their strategic use of language / Antonio Reyes.</t>
  </si>
  <si>
    <t>Reyes, Antonio.</t>
  </si>
  <si>
    <t>1081947468:eng</t>
  </si>
  <si>
    <t>714723028</t>
  </si>
  <si>
    <t>ocn714723028</t>
  </si>
  <si>
    <t>3103405967Z</t>
  </si>
  <si>
    <t>9781441177827</t>
  </si>
  <si>
    <t>794873524</t>
  </si>
  <si>
    <t>P302 R69 2012</t>
  </si>
  <si>
    <t>0                      P  0302000R  69          2012</t>
  </si>
  <si>
    <t>The Routledge handbook of discourse analysis / edited by James Paul Gee and Michael Handford.</t>
  </si>
  <si>
    <t>502938803:eng</t>
  </si>
  <si>
    <t>641536199</t>
  </si>
  <si>
    <t>ocn641536199</t>
  </si>
  <si>
    <t>3103421677B</t>
  </si>
  <si>
    <t>9780415551076</t>
  </si>
  <si>
    <t>794827695</t>
  </si>
  <si>
    <t>P302 S334 1994</t>
  </si>
  <si>
    <t>0                      P  0302000S  334         1994</t>
  </si>
  <si>
    <t>Approaches to discourse / Deborah Schiffrin.</t>
  </si>
  <si>
    <t>Schiffrin, Deborah.</t>
  </si>
  <si>
    <t>Oxford, UK ; Cambridge, Mass., USA : B. Blackwell, 1994.</t>
  </si>
  <si>
    <t>Blackwell textbooks in linguistics ; 8</t>
  </si>
  <si>
    <t>345060:eng</t>
  </si>
  <si>
    <t>27976057</t>
  </si>
  <si>
    <t>ocm27976057</t>
  </si>
  <si>
    <t>31027764414</t>
  </si>
  <si>
    <t>9780631166221</t>
  </si>
  <si>
    <t>793276734</t>
  </si>
  <si>
    <t>P302 S335 1987</t>
  </si>
  <si>
    <t>0                      P  0302000S  335         1987</t>
  </si>
  <si>
    <t>Discourse markers / Deborah Schiffrin.</t>
  </si>
  <si>
    <t>Studies in interactional sociolinguistics ; 5</t>
  </si>
  <si>
    <t>2662386:eng</t>
  </si>
  <si>
    <t>14002027</t>
  </si>
  <si>
    <t>ocm14002027</t>
  </si>
  <si>
    <t>31027764268</t>
  </si>
  <si>
    <t>9780521303859</t>
  </si>
  <si>
    <t>792874464</t>
  </si>
  <si>
    <t>P302 S6 1982</t>
  </si>
  <si>
    <t>0                      P  0302000S  6           1982</t>
  </si>
  <si>
    <t>Spoken and written language : exploring orality and literacy / Deborah Tannen, editor.</t>
  </si>
  <si>
    <t>Norwood, N.J. : ABLEX Pub. Corp., ©1982.</t>
  </si>
  <si>
    <t>Advances in discourse processes ; v. 9</t>
  </si>
  <si>
    <t>2004-04-30</t>
  </si>
  <si>
    <t>792325788:eng</t>
  </si>
  <si>
    <t>7738570</t>
  </si>
  <si>
    <t>ocm07738570</t>
  </si>
  <si>
    <t>31027764208</t>
  </si>
  <si>
    <t>9780893910945</t>
  </si>
  <si>
    <t>792577001</t>
  </si>
  <si>
    <t>3102776415A</t>
  </si>
  <si>
    <t>792577002</t>
  </si>
  <si>
    <t>P302 S68</t>
  </si>
  <si>
    <t>0                      P  0302000S  68</t>
  </si>
  <si>
    <t>On difficulty, and other essays / George Steiner.</t>
  </si>
  <si>
    <t>New York : Oxford University Press, 1978.</t>
  </si>
  <si>
    <t>2018-01-21</t>
  </si>
  <si>
    <t>414208:eng</t>
  </si>
  <si>
    <t>4056015</t>
  </si>
  <si>
    <t>ocm04056015</t>
  </si>
  <si>
    <t>3102776410A</t>
  </si>
  <si>
    <t>9780192122087</t>
  </si>
  <si>
    <t>792317814</t>
  </si>
  <si>
    <t>P302 S69</t>
  </si>
  <si>
    <t>0                      P  0302000S  69</t>
  </si>
  <si>
    <t>Nonsense : aspects of intertextuality in folklore and literature / Susan Stewart.</t>
  </si>
  <si>
    <t>Stewart, Susan, 1952-</t>
  </si>
  <si>
    <t>Baltimore : Johns Hopkins University Press, ©1979.</t>
  </si>
  <si>
    <t>28844605:eng</t>
  </si>
  <si>
    <t>5007604</t>
  </si>
  <si>
    <t>ocm05007604</t>
  </si>
  <si>
    <t>31027764494</t>
  </si>
  <si>
    <t>9780801822582</t>
  </si>
  <si>
    <t>792400827</t>
  </si>
  <si>
    <t>P302 S692 1984</t>
  </si>
  <si>
    <t>0                      P  0302000S  692         1984</t>
  </si>
  <si>
    <t>On longing : narratives of the miniature, the gigantic, the souvenir, the collection / Susan Stewart.</t>
  </si>
  <si>
    <t>Baltimore : Johns Hopkins University Press, ©1984.</t>
  </si>
  <si>
    <t>366452670:eng</t>
  </si>
  <si>
    <t>10163324</t>
  </si>
  <si>
    <t>ocm10163324</t>
  </si>
  <si>
    <t>3102912302C</t>
  </si>
  <si>
    <t>9780801831164</t>
  </si>
  <si>
    <t>792712451</t>
  </si>
  <si>
    <t>P302 S7 1982</t>
  </si>
  <si>
    <t>0                      P  0302000S  7           1982</t>
  </si>
  <si>
    <t>Discourse analysis : the sociolinguistic analysis of natural language / Michael Stubbs.</t>
  </si>
  <si>
    <t>Stubbs, Michael, 1947-</t>
  </si>
  <si>
    <t>Oxford : Basil Blackwell, 1982.</t>
  </si>
  <si>
    <t>Language in society ; 4</t>
  </si>
  <si>
    <t>43091596:eng</t>
  </si>
  <si>
    <t>240877748</t>
  </si>
  <si>
    <t>ocn240877748</t>
  </si>
  <si>
    <t>3000970658P</t>
  </si>
  <si>
    <t>9780631103813</t>
  </si>
  <si>
    <t>794375512</t>
  </si>
  <si>
    <t>P302 S795 1992</t>
  </si>
  <si>
    <t>0                      P  0302000S  795         1992</t>
  </si>
  <si>
    <t>Studies of functional text quality / edited by Henk Pander Maat and Michaël Steehouder.</t>
  </si>
  <si>
    <t>Amsterdam ; Atlanta, GA : Rodopi, 1992.</t>
  </si>
  <si>
    <t>Utrecht studies in language and communication ; 1</t>
  </si>
  <si>
    <t>30558854:eng</t>
  </si>
  <si>
    <t>28467266</t>
  </si>
  <si>
    <t>ocm28467266</t>
  </si>
  <si>
    <t>31027764298</t>
  </si>
  <si>
    <t>9789051834123</t>
  </si>
  <si>
    <t>793288788</t>
  </si>
  <si>
    <t>P302 S94 1998</t>
  </si>
  <si>
    <t>0                      P  0302000S  94          1998</t>
  </si>
  <si>
    <t>Les sujets et leurs discours : énonciation et interaction / Robert Vion (éd.).</t>
  </si>
  <si>
    <t>Aix-en-Provence : Publications de l'Université de Provence, 1998.</t>
  </si>
  <si>
    <t>349896655:fre</t>
  </si>
  <si>
    <t>43315752</t>
  </si>
  <si>
    <t>ocm43315752</t>
  </si>
  <si>
    <t>3102776419A</t>
  </si>
  <si>
    <t>9782853994309</t>
  </si>
  <si>
    <t>793624201</t>
  </si>
  <si>
    <t>P302 T33 2007</t>
  </si>
  <si>
    <t>0                      P  0302000T  33          2007</t>
  </si>
  <si>
    <t>Media discourse : representation and interaction / Mary Talbot.</t>
  </si>
  <si>
    <t>Talbot, Mary, author.</t>
  </si>
  <si>
    <t>864707166:eng</t>
  </si>
  <si>
    <t>154711288</t>
  </si>
  <si>
    <t>ocn154711288</t>
  </si>
  <si>
    <t>3102571773L</t>
  </si>
  <si>
    <t>9780748623471</t>
  </si>
  <si>
    <t>794252615</t>
  </si>
  <si>
    <t>P302 T49334 2003</t>
  </si>
  <si>
    <t>0                      P  0302000T  49334       2003</t>
  </si>
  <si>
    <t>Discourse and silencing : representation and the language of displacement / edited by Lynn Thiesmeyer.</t>
  </si>
  <si>
    <t>Amsterdam ; Philadelphia : J. Benjamins, ©2003.</t>
  </si>
  <si>
    <t>Discourse approaches to politics, society, and culture, 1569-9463 ; v. 5</t>
  </si>
  <si>
    <t>793903126:eng</t>
  </si>
  <si>
    <t>51898854</t>
  </si>
  <si>
    <t>ocm51898854</t>
  </si>
  <si>
    <t>31027764238</t>
  </si>
  <si>
    <t>9789027226952</t>
  </si>
  <si>
    <t>793793755</t>
  </si>
  <si>
    <t>P302 V36 2008</t>
  </si>
  <si>
    <t>0                      P  0302000V  36          2008</t>
  </si>
  <si>
    <t>Discourse and practice : new tools for critical discourse analysis / Theo van Leeuwen.</t>
  </si>
  <si>
    <t>Van Leeuwen, Theo, 1947-</t>
  </si>
  <si>
    <t>793951396:eng</t>
  </si>
  <si>
    <t>141187979</t>
  </si>
  <si>
    <t>ocn141187979</t>
  </si>
  <si>
    <t>31028824851</t>
  </si>
  <si>
    <t>9780195323313</t>
  </si>
  <si>
    <t>794234597</t>
  </si>
  <si>
    <t>P302 W35 2011</t>
  </si>
  <si>
    <t>0                      P  0302000W  35          2011</t>
  </si>
  <si>
    <t>Compelled to write : alternative rhetoric in theory and practice / David L. Wallace.</t>
  </si>
  <si>
    <t>Wallace, David L., 1960-</t>
  </si>
  <si>
    <t>Logan : Utah State University Press, 2011.</t>
  </si>
  <si>
    <t>764603986:eng</t>
  </si>
  <si>
    <t>692288530</t>
  </si>
  <si>
    <t>ocn692288530</t>
  </si>
  <si>
    <t>3103361422D</t>
  </si>
  <si>
    <t>9780874218121</t>
  </si>
  <si>
    <t>794856100</t>
  </si>
  <si>
    <t>P302 W53 2000</t>
  </si>
  <si>
    <t>0                      P  0302000W  53          2000</t>
  </si>
  <si>
    <t>Intonation in text and discourse : beginnings, middles, and ends / Anne Wichmann.</t>
  </si>
  <si>
    <t>Wichmann, Anne, 1946-</t>
  </si>
  <si>
    <t>837024204:eng</t>
  </si>
  <si>
    <t>41628247</t>
  </si>
  <si>
    <t>ocm41628247</t>
  </si>
  <si>
    <t>31027764424</t>
  </si>
  <si>
    <t>9780582234741</t>
  </si>
  <si>
    <t>793595645</t>
  </si>
  <si>
    <t>P302 W53 2007</t>
  </si>
  <si>
    <t>0                      P  0302000W  53          2007</t>
  </si>
  <si>
    <t>Discourse analysis / H.G. Widdowson.</t>
  </si>
  <si>
    <t>103054241:eng</t>
  </si>
  <si>
    <t>137313942</t>
  </si>
  <si>
    <t>ocn137313942</t>
  </si>
  <si>
    <t>3102883838W</t>
  </si>
  <si>
    <t>9780194389211</t>
  </si>
  <si>
    <t>794233709</t>
  </si>
  <si>
    <t>P302 W66 2000</t>
  </si>
  <si>
    <t>0                      P  0302000W  66          2000</t>
  </si>
  <si>
    <t>Doing discourse analysis : methods for studying action in talk and text / by Linda A. Wood, Rolf O. Kroger.</t>
  </si>
  <si>
    <t>Wood, Linda A.</t>
  </si>
  <si>
    <t>Thousand Oaks, Calif. : Sage Publications, ©2000.</t>
  </si>
  <si>
    <t>45068512:eng</t>
  </si>
  <si>
    <t>43311659</t>
  </si>
  <si>
    <t>ocm43311659</t>
  </si>
  <si>
    <t>3103074923$</t>
  </si>
  <si>
    <t>9780803973503</t>
  </si>
  <si>
    <t>793624069</t>
  </si>
  <si>
    <t>P302 W74 1987</t>
  </si>
  <si>
    <t>0                      P  0302000W  74          1987</t>
  </si>
  <si>
    <t>Writing across languages : analysis of L₂ text / Ulla Connor, Robert B. Kaplan, editors.</t>
  </si>
  <si>
    <t>Reading, Mass. : Addison-Wesley, ©1987.</t>
  </si>
  <si>
    <t>143613664:eng</t>
  </si>
  <si>
    <t>12972918</t>
  </si>
  <si>
    <t>ocm12972918</t>
  </si>
  <si>
    <t>3103452842T</t>
  </si>
  <si>
    <t>9780201111842</t>
  </si>
  <si>
    <t>792835254</t>
  </si>
  <si>
    <t>P302.15 C27 A53 2013</t>
  </si>
  <si>
    <t>0                      P  0302150C  27                 A  53          2013</t>
  </si>
  <si>
    <t>Pour une anthropologie logique du discours postcolonial : du point de vue de la littérature antillaise / Alexandre Alaric.</t>
  </si>
  <si>
    <t>Alaric, Alexandre.</t>
  </si>
  <si>
    <t>Paris : Harmattan, ©2013.</t>
  </si>
  <si>
    <t>Ouverture philosophique, 1269-8970</t>
  </si>
  <si>
    <t>1218785314:fre</t>
  </si>
  <si>
    <t>829062677</t>
  </si>
  <si>
    <t>ocn829062677</t>
  </si>
  <si>
    <t>3103484905B</t>
  </si>
  <si>
    <t>9782336007069</t>
  </si>
  <si>
    <t>794942059</t>
  </si>
  <si>
    <t>P302.15 C4 C55 2013</t>
  </si>
  <si>
    <t>0                      P  0302150C  4                  C  55          2013</t>
  </si>
  <si>
    <t>Chinese discourse and interaction : theory and practice / edited by Yuling Pan and Dániel Z. Kádár.</t>
  </si>
  <si>
    <t>London ; Bristol, CT : Equinox, 2013.</t>
  </si>
  <si>
    <t>907848212:eng</t>
  </si>
  <si>
    <t>729574264</t>
  </si>
  <si>
    <t>ocn729574264</t>
  </si>
  <si>
    <t>3103500964C</t>
  </si>
  <si>
    <t>9781845536329</t>
  </si>
  <si>
    <t>794879507</t>
  </si>
  <si>
    <t>P302.15 C4 D57 2011</t>
  </si>
  <si>
    <t>0                      P  0302150C  4                  D  57          2011</t>
  </si>
  <si>
    <t>Discourse, identity, and China's internal migration : the long march to the city / Dong Jie.</t>
  </si>
  <si>
    <t>Bristol ; Buffalo : Multilingual Matters, 2011.</t>
  </si>
  <si>
    <t>Encounters ; [1]</t>
  </si>
  <si>
    <t>1012215414:eng</t>
  </si>
  <si>
    <t>715286208</t>
  </si>
  <si>
    <t>ocn715286208</t>
  </si>
  <si>
    <t>3103384172R</t>
  </si>
  <si>
    <t>9781847694201</t>
  </si>
  <si>
    <t>794873849</t>
  </si>
  <si>
    <t>P302.15 E85 D56 2009</t>
  </si>
  <si>
    <t>0                      P  0302150E  85                 D  56          2009</t>
  </si>
  <si>
    <t>The discursive construction of national identity / Ruth Wodak, Rudolf de Cillia, Martin Reisigl and Karin Liebhart ; translated by Angelika Hirsch, Richard Mitten and J.W. Unger.</t>
  </si>
  <si>
    <t>Critical discourse analysis</t>
  </si>
  <si>
    <t>766651520:eng</t>
  </si>
  <si>
    <t>244314616</t>
  </si>
  <si>
    <t>ocn244314616</t>
  </si>
  <si>
    <t>3102856769W</t>
  </si>
  <si>
    <t>9780748637263</t>
  </si>
  <si>
    <t>794381287</t>
  </si>
  <si>
    <t>P302.15 G3 B74 2012</t>
  </si>
  <si>
    <t>0                      P  0302150G  3                  B  74          2012</t>
  </si>
  <si>
    <t>An aesthetics of narrative performance : transnational theater, literature, and film in contemporary Germany / Claudia Breger.</t>
  </si>
  <si>
    <t>Breger, Claudia.</t>
  </si>
  <si>
    <t>Columbus : Ohio State University Press, ©2012.</t>
  </si>
  <si>
    <t>Theory and interpretation of narrative</t>
  </si>
  <si>
    <t>1770953671:eng</t>
  </si>
  <si>
    <t>785873660</t>
  </si>
  <si>
    <t>ocn785873660</t>
  </si>
  <si>
    <t>3103469951S</t>
  </si>
  <si>
    <t>9780814211977</t>
  </si>
  <si>
    <t>794915646</t>
  </si>
  <si>
    <t>P302.15 P7 P67 2010</t>
  </si>
  <si>
    <t>0                      P  0302150P  7                  P  67          2010</t>
  </si>
  <si>
    <t>The post-communist condition : public and private discourses of transformation / edited by Aleksandra Galasińska, Dariusz Galasiński.</t>
  </si>
  <si>
    <t>Amsterdam ; Philadelphia, Pa. : John Benjamins Pub. Co., 2010.</t>
  </si>
  <si>
    <t>Discourse approaches to politics, society and culture, 1569-9463 ; v. 37</t>
  </si>
  <si>
    <t>2012-04-24</t>
  </si>
  <si>
    <t>888399196:eng</t>
  </si>
  <si>
    <t>548569645</t>
  </si>
  <si>
    <t>ocn548569645</t>
  </si>
  <si>
    <t>3103237861R</t>
  </si>
  <si>
    <t>9789027206282</t>
  </si>
  <si>
    <t>794811023</t>
  </si>
  <si>
    <t>P302.18 F695 2016</t>
  </si>
  <si>
    <t>0                      P  0302180F  695         2016</t>
  </si>
  <si>
    <t>The Little, Brown handbook / H. Ramsey Fowler, Jane E. Aaron.</t>
  </si>
  <si>
    <t>Fowler, H. Ramsey (Henry Ramsey)</t>
  </si>
  <si>
    <t>Boston : Pearson, [2016]</t>
  </si>
  <si>
    <t>Thirteenth edition.</t>
  </si>
  <si>
    <t>Always learning</t>
  </si>
  <si>
    <t>678629:eng</t>
  </si>
  <si>
    <t>893557952</t>
  </si>
  <si>
    <t>ocn893557952</t>
  </si>
  <si>
    <t>3103794066Z</t>
  </si>
  <si>
    <t>9780321988270</t>
  </si>
  <si>
    <t>794981731</t>
  </si>
  <si>
    <t>3103794023G</t>
  </si>
  <si>
    <t>794981730</t>
  </si>
  <si>
    <t>31037940618</t>
  </si>
  <si>
    <t>794981732</t>
  </si>
  <si>
    <t>P302.2 K44 2002</t>
  </si>
  <si>
    <t>0                      P  0302200K  44          2002</t>
  </si>
  <si>
    <t>Coherence, reference, and the theory of grammar / Andrew Kehler.</t>
  </si>
  <si>
    <t>Kehler, Andrew, 1966-</t>
  </si>
  <si>
    <t>Stanford, Calif. : CSLI Publications, ©2002.</t>
  </si>
  <si>
    <t>CSLI lecture notes ; no. 104</t>
  </si>
  <si>
    <t>5613089917:eng</t>
  </si>
  <si>
    <t>41580612</t>
  </si>
  <si>
    <t>ocm41580612</t>
  </si>
  <si>
    <t>3102776491V</t>
  </si>
  <si>
    <t>9781575862156</t>
  </si>
  <si>
    <t>793594584</t>
  </si>
  <si>
    <t>P302.27 Z84 2010</t>
  </si>
  <si>
    <t>0                      P  0302270Z  84          2010</t>
  </si>
  <si>
    <t>Lexical pragmatics and theory of mind : the acquisition of connectives / Sandrine Zufferey.</t>
  </si>
  <si>
    <t>Zufferey, Sandrine.</t>
  </si>
  <si>
    <t>Amsterdam, The Netherlands ; Philadelphia : John Benjamins Pub. Co., ©2010.</t>
  </si>
  <si>
    <t>Pragmatics &amp; beyond new series ; v. 201</t>
  </si>
  <si>
    <t>796122544:eng</t>
  </si>
  <si>
    <t>653842849</t>
  </si>
  <si>
    <t>ocn653842849</t>
  </si>
  <si>
    <t>3103235866Z</t>
  </si>
  <si>
    <t>9789027256058</t>
  </si>
  <si>
    <t>794833864</t>
  </si>
  <si>
    <t>P302.3 P66 2000</t>
  </si>
  <si>
    <t>0                      P  0302300P  66          2000</t>
  </si>
  <si>
    <t>Computer-assisted text analysis / Roel Popping.</t>
  </si>
  <si>
    <t>Popping, R. (Roel)</t>
  </si>
  <si>
    <t>London ; Thousand Oaks, Calif. : Sage Publications, 2000.</t>
  </si>
  <si>
    <t>New technologies for social research</t>
  </si>
  <si>
    <t>37573451:eng</t>
  </si>
  <si>
    <t>47849317</t>
  </si>
  <si>
    <t>ocm47849317</t>
  </si>
  <si>
    <t>3102776495V</t>
  </si>
  <si>
    <t>9780761953784</t>
  </si>
  <si>
    <t>793709319</t>
  </si>
  <si>
    <t>P302.35 D48 2009</t>
  </si>
  <si>
    <t>0                      P  0302350D  48          2009</t>
  </si>
  <si>
    <t>Marcadores del discurso : de la descripción a la definición / Heidi Aschenberg, Óscar Loureda Lamas (eds.).</t>
  </si>
  <si>
    <t>Deutscher Hispanistentag (17th : 2009 : Tübingen, Germany)</t>
  </si>
  <si>
    <t>Madrid : Iberoamericana ; Frankfurt am Main : Vervuert, 2011.</t>
  </si>
  <si>
    <t>Lingüística iberoamericana ; v. 45</t>
  </si>
  <si>
    <t>1008449454:spa</t>
  </si>
  <si>
    <t>772155092</t>
  </si>
  <si>
    <t>ocn772155092</t>
  </si>
  <si>
    <t>3103446360T</t>
  </si>
  <si>
    <t>9788484895961</t>
  </si>
  <si>
    <t>794904473</t>
  </si>
  <si>
    <t>P302.35 U75 2010</t>
  </si>
  <si>
    <t>0                      P  0302350U  75          2010</t>
  </si>
  <si>
    <t>The syntax and semantics of discourse markers : continuum studies in theoretical linguistics / Miriam Urgelles-Coll.</t>
  </si>
  <si>
    <t>Urgelles-Coll, Miriam.</t>
  </si>
  <si>
    <t>Continuum studies in theoretical linguistics</t>
  </si>
  <si>
    <t>349134951:eng</t>
  </si>
  <si>
    <t>640073663</t>
  </si>
  <si>
    <t>ocn640073663</t>
  </si>
  <si>
    <t>3103229723Z</t>
  </si>
  <si>
    <t>9781441195500</t>
  </si>
  <si>
    <t>794827211</t>
  </si>
  <si>
    <t>P302.45 D37 2005</t>
  </si>
  <si>
    <t>0                      P  0302450D  37          2005</t>
  </si>
  <si>
    <t>Interdisciplinarité et transdisciplinarité en analyse des discours : complexité des textes, intertextualité et transtextualité / Frédéric Darbellay.</t>
  </si>
  <si>
    <t>Darbellay, Frédéric.</t>
  </si>
  <si>
    <t>Genève : Éditions Slatkine, 2005.</t>
  </si>
  <si>
    <t>304146067:fre</t>
  </si>
  <si>
    <t>75482490</t>
  </si>
  <si>
    <t>ocm75482490</t>
  </si>
  <si>
    <t>3102804978K</t>
  </si>
  <si>
    <t>9782051019750</t>
  </si>
  <si>
    <t>794174965</t>
  </si>
  <si>
    <t>P302.5 A16 2012</t>
  </si>
  <si>
    <t>0                      P  0302500A  16          2012</t>
  </si>
  <si>
    <t>Jokes and the linguistic mind / Debra Aarons.</t>
  </si>
  <si>
    <t>Aarons, Debra, 1956-</t>
  </si>
  <si>
    <t>2013-05-28</t>
  </si>
  <si>
    <t>641919756:eng</t>
  </si>
  <si>
    <t>663951865</t>
  </si>
  <si>
    <t>ocn663951865</t>
  </si>
  <si>
    <t>31033831126</t>
  </si>
  <si>
    <t>9780415890489</t>
  </si>
  <si>
    <t>794842982</t>
  </si>
  <si>
    <t>P302.5 A18 1997</t>
  </si>
  <si>
    <t>0                      P  0302500A  18          1997</t>
  </si>
  <si>
    <t>Cybertext : perspectives on ergodic literature / Espen J. Aarseth.</t>
  </si>
  <si>
    <t>Aarseth, Espen J., 1965-</t>
  </si>
  <si>
    <t>Baltimore, Md. : Johns Hopkins University Press, ©1997.</t>
  </si>
  <si>
    <t>610274:eng</t>
  </si>
  <si>
    <t>36246052</t>
  </si>
  <si>
    <t>ocm36246052</t>
  </si>
  <si>
    <t>3102801788$</t>
  </si>
  <si>
    <t>9780801855788</t>
  </si>
  <si>
    <t>793470382</t>
  </si>
  <si>
    <t>P302.5 A53 2011</t>
  </si>
  <si>
    <t>0                      P  0302500A  53          2011</t>
  </si>
  <si>
    <t>L'analyse littéraire : notions et repères / Éric Bordas [and others].</t>
  </si>
  <si>
    <t>[Paris] : A. Colin, ©2011.</t>
  </si>
  <si>
    <t>Cursus lettres</t>
  </si>
  <si>
    <t>891073490:fre</t>
  </si>
  <si>
    <t>780573147</t>
  </si>
  <si>
    <t>ocn780573147</t>
  </si>
  <si>
    <t>3103433501F</t>
  </si>
  <si>
    <t>9782200270261</t>
  </si>
  <si>
    <t>794912356</t>
  </si>
  <si>
    <t>P302.5 A92 2010</t>
  </si>
  <si>
    <t>0                      P  0302500A  92          2010</t>
  </si>
  <si>
    <t>Au-delà des œuvres : les voies de l'analyse du discours littéraire / sous la direction de Dominique Maingueneau et Inger Østenstad.</t>
  </si>
  <si>
    <t>Paris : Harmattan, ©2010.</t>
  </si>
  <si>
    <t>796690410:fre</t>
  </si>
  <si>
    <t>643009053</t>
  </si>
  <si>
    <t>ocn643009053</t>
  </si>
  <si>
    <t>3103371078A</t>
  </si>
  <si>
    <t>9782296119949</t>
  </si>
  <si>
    <t>794828622</t>
  </si>
  <si>
    <t>P302.5 B49 2011</t>
  </si>
  <si>
    <t>0                      P  0302500B  49          2011</t>
  </si>
  <si>
    <t>Beyond cognitive metaphor theory : perspectives on literary metaphor / edited by Monika Fludernik.</t>
  </si>
  <si>
    <t>Routledge studies in rhetoric and stylistics ; 3</t>
  </si>
  <si>
    <t>2014-04-16</t>
  </si>
  <si>
    <t>814050701:eng</t>
  </si>
  <si>
    <t>651914471</t>
  </si>
  <si>
    <t>ocn651914471</t>
  </si>
  <si>
    <t>3103362130G</t>
  </si>
  <si>
    <t>9780415888288</t>
  </si>
  <si>
    <t>794833170</t>
  </si>
  <si>
    <t>P302.5 C43 1991</t>
  </si>
  <si>
    <t>0                      P  0302500C  43          1991</t>
  </si>
  <si>
    <t>Les aventures de la metaphore / Nanine Charbonnel.</t>
  </si>
  <si>
    <t>Charbonnel, Nanine.</t>
  </si>
  <si>
    <t>Strasbourg : Presses universitaires de Strasbourg, 1991.</t>
  </si>
  <si>
    <t>Tâche aveugle ; 1</t>
  </si>
  <si>
    <t>5613068341:fre</t>
  </si>
  <si>
    <t>428004898</t>
  </si>
  <si>
    <t>ocn428004898</t>
  </si>
  <si>
    <t>3102776494V</t>
  </si>
  <si>
    <t>9782868204332</t>
  </si>
  <si>
    <t>794744514</t>
  </si>
  <si>
    <t>P302.5 C44 1991</t>
  </si>
  <si>
    <t>0                      P  0302500C  44          1991</t>
  </si>
  <si>
    <t>L'Important, c'est d'être propre / Nanine Charbonnel.</t>
  </si>
  <si>
    <t>La Tâche aveugle ; 2</t>
  </si>
  <si>
    <t>365058901:fre</t>
  </si>
  <si>
    <t>25634929</t>
  </si>
  <si>
    <t>ocm25634929</t>
  </si>
  <si>
    <t>3102776489X</t>
  </si>
  <si>
    <t>9782868204349</t>
  </si>
  <si>
    <t>793226829</t>
  </si>
  <si>
    <t>P302.5 C64 2001</t>
  </si>
  <si>
    <t>0                      P  0302500C  64          2001</t>
  </si>
  <si>
    <t>Ecriture hors-foyer : actes du Ve colloques des jeunes chercheurs en sociocritique et en analyse du discours et du colloque "Ecriture hors-foyer: coment penser la litterature actuelle?", 25 et 26 octobre 2001, Universite de Montréal / textes réunis et présentés par P. Brissette [and others].</t>
  </si>
  <si>
    <t>Colloque "Jeunes chercheurs en sociocritique et en analyse du discours" (2001 : Montréal, Québec)</t>
  </si>
  <si>
    <t>Montréal : Chaire James McGill de langue et littérature françaises de l'Université McGill, ©2002.</t>
  </si>
  <si>
    <t>Discours social ; nouv. sér., v.7 = Social discourse ; new ser., v.7</t>
  </si>
  <si>
    <t>1781917440:fre</t>
  </si>
  <si>
    <t>61566109</t>
  </si>
  <si>
    <t>ocm61566109</t>
  </si>
  <si>
    <t>3102776484X</t>
  </si>
  <si>
    <t>794000260</t>
  </si>
  <si>
    <t>P302.5 C83 2010</t>
  </si>
  <si>
    <t>0                      P  0302500C  83          2010</t>
  </si>
  <si>
    <t>Early modern English dialogues : spoken interaction as writing / Jonathan Culpeper, Merja Kytö.</t>
  </si>
  <si>
    <t>793229314:eng</t>
  </si>
  <si>
    <t>422765297</t>
  </si>
  <si>
    <t>ocn422765297</t>
  </si>
  <si>
    <t>3103132373T</t>
  </si>
  <si>
    <t>9780521835411</t>
  </si>
  <si>
    <t>794505886</t>
  </si>
  <si>
    <t>P302.5 D57 1995</t>
  </si>
  <si>
    <t>0                      P  0302500D  57          1995</t>
  </si>
  <si>
    <t>La discursivité / sous la direction de Lucie Bourassa.</t>
  </si>
  <si>
    <t>Montreal : Nuit Blanche Éditeur, 1995.</t>
  </si>
  <si>
    <t>Série "Séminaires" des Cahiers du Centre de recherche en littérature québécoise.</t>
  </si>
  <si>
    <t>363838314:fre</t>
  </si>
  <si>
    <t>243493022</t>
  </si>
  <si>
    <t>ocn243493022</t>
  </si>
  <si>
    <t>3102776474Z</t>
  </si>
  <si>
    <t>9782921053402</t>
  </si>
  <si>
    <t>794377372</t>
  </si>
  <si>
    <t>P302.5 H49 2011</t>
  </si>
  <si>
    <t>0                      P  0302500H  49          2011</t>
  </si>
  <si>
    <t>An approach to translation criticism : Emma and Madame Bovary in translation / Lance Hewson.</t>
  </si>
  <si>
    <t>Hewson, Lance, 1953-</t>
  </si>
  <si>
    <t>Amsterdam ; Philadelphia : John Benjamins Pub. Company, ©2011.</t>
  </si>
  <si>
    <t>Benjamins translation library. EST subseries ; v. 95</t>
  </si>
  <si>
    <t>911749828:eng</t>
  </si>
  <si>
    <t>731192664</t>
  </si>
  <si>
    <t>ocn731192664</t>
  </si>
  <si>
    <t>31034065666</t>
  </si>
  <si>
    <t>9789027224439</t>
  </si>
  <si>
    <t>794880652</t>
  </si>
  <si>
    <t>P302.5 H95 2005</t>
  </si>
  <si>
    <t>0                      P  0302500H  95          2005</t>
  </si>
  <si>
    <t>Metadiscourse : exploring interaction in writing / Ken Hyland.</t>
  </si>
  <si>
    <t>London ; New York : Continuum, 2005.</t>
  </si>
  <si>
    <t>797244172:eng</t>
  </si>
  <si>
    <t>60838120</t>
  </si>
  <si>
    <t>ocm60838120</t>
  </si>
  <si>
    <t>3102578873R</t>
  </si>
  <si>
    <t>9780826476104</t>
  </si>
  <si>
    <t>793944958</t>
  </si>
  <si>
    <t>P302.5 M34 2010</t>
  </si>
  <si>
    <t>0                      P  0302500M  34          2010</t>
  </si>
  <si>
    <t>Manuel de linguistique pour le texte littéraire / Dominique Maingueneau.</t>
  </si>
  <si>
    <t>Paris : A. Colin, ©2010.</t>
  </si>
  <si>
    <t>Collection U</t>
  </si>
  <si>
    <t>3902161704:fre</t>
  </si>
  <si>
    <t>648101647</t>
  </si>
  <si>
    <t>ocn648101647</t>
  </si>
  <si>
    <t>31033499499</t>
  </si>
  <si>
    <t>9782200249281</t>
  </si>
  <si>
    <t>794831131</t>
  </si>
  <si>
    <t>P302.5 M35 2004</t>
  </si>
  <si>
    <t>0                      P  0302500M  35          2004</t>
  </si>
  <si>
    <t>Le discours littéraire : paratopie et scène d'énonciation / Dominique Maingueneau.</t>
  </si>
  <si>
    <t>Paris : A. Colin, ©2004.</t>
  </si>
  <si>
    <t>Collection U. Lettres</t>
  </si>
  <si>
    <t>864896400:fre</t>
  </si>
  <si>
    <t>56963190</t>
  </si>
  <si>
    <t>ocm56963190</t>
  </si>
  <si>
    <t>3102660585S</t>
  </si>
  <si>
    <t>9782200265960</t>
  </si>
  <si>
    <t>793904859</t>
  </si>
  <si>
    <t>P302.5 M49 1999</t>
  </si>
  <si>
    <t>0                      P  0302500M  49          1999</t>
  </si>
  <si>
    <t>When voices clash : a study in literary pragmatics / by Jacob L. Mey.</t>
  </si>
  <si>
    <t>Trends in linguistics. Studies and monographs ; 115</t>
  </si>
  <si>
    <t>257185689:eng</t>
  </si>
  <si>
    <t>39849455</t>
  </si>
  <si>
    <t>ocm39849455</t>
  </si>
  <si>
    <t>31027764630</t>
  </si>
  <si>
    <t>9783110158205</t>
  </si>
  <si>
    <t>793555095</t>
  </si>
  <si>
    <t>P302.5 R58 2004</t>
  </si>
  <si>
    <t>0                      P  0302500R  58          2004</t>
  </si>
  <si>
    <t>The linguistic analysis of jokes / Graeme Ritchie.</t>
  </si>
  <si>
    <t>Ritchie, Graeme D.</t>
  </si>
  <si>
    <t>Routledge studies in linguistics ; 2</t>
  </si>
  <si>
    <t>46720257:eng</t>
  </si>
  <si>
    <t>52312631</t>
  </si>
  <si>
    <t>ocm52312631</t>
  </si>
  <si>
    <t>3102796270V</t>
  </si>
  <si>
    <t>9780415309837</t>
  </si>
  <si>
    <t>793803329</t>
  </si>
  <si>
    <t>P302.5 S56 2003</t>
  </si>
  <si>
    <t>0                      P  0302500S  56          2003</t>
  </si>
  <si>
    <t>On the discourse of satire : towards a stylistic model of satirical humour / Paul Simpson.</t>
  </si>
  <si>
    <t>Amsterdam ; Philadelphia : John Benjamins, ©2003.</t>
  </si>
  <si>
    <t>Linguistic approaches to literature ; 2</t>
  </si>
  <si>
    <t>793906695:eng</t>
  </si>
  <si>
    <t>52937617</t>
  </si>
  <si>
    <t>ocm52937617</t>
  </si>
  <si>
    <t>3102796265X</t>
  </si>
  <si>
    <t>9781588114402</t>
  </si>
  <si>
    <t>793817601</t>
  </si>
  <si>
    <t>P302.5 W75 2005</t>
  </si>
  <si>
    <t>0                      P  0302500W  75          2005</t>
  </si>
  <si>
    <t>The writer's craft, the culture's technology : PALA 2002 / edited by Carmen Rosa Caldas-Coulthard and Michael Toolan.</t>
  </si>
  <si>
    <t>PALA papers ; 1</t>
  </si>
  <si>
    <t>800414031:eng</t>
  </si>
  <si>
    <t>66418084</t>
  </si>
  <si>
    <t>ocm66418084</t>
  </si>
  <si>
    <t>31025838843</t>
  </si>
  <si>
    <t>9789042019362</t>
  </si>
  <si>
    <t>794139047</t>
  </si>
  <si>
    <t>P302.7 A28 2018</t>
  </si>
  <si>
    <t>0                      P  0302700A  28          2018</t>
  </si>
  <si>
    <t>Activating the heart : storytelling, knowledge sharing, and relationship / Julia Christensen, Christopher Cox, and Lisa Szabo-Jones, editors.</t>
  </si>
  <si>
    <t>Waterloo, Ontario, Canada : Wilfrid Laurier University Press, [2018]</t>
  </si>
  <si>
    <t>Indigenous studies series</t>
  </si>
  <si>
    <t>4225361546:eng</t>
  </si>
  <si>
    <t>988155117</t>
  </si>
  <si>
    <t>ocn988155117</t>
  </si>
  <si>
    <t>3103730072M</t>
  </si>
  <si>
    <t>9781771122191</t>
  </si>
  <si>
    <t>795036587</t>
  </si>
  <si>
    <t>P302.7 A43 2012</t>
  </si>
  <si>
    <t>0                      P  0302700A  43          2012</t>
  </si>
  <si>
    <t>Empty revelations : an essay on talk about, and attitudes toward, fiction / Peter Alward.</t>
  </si>
  <si>
    <t>Alward, Peter Wallace, 1964-</t>
  </si>
  <si>
    <t>Montreal &amp; Kingston ; Ithaca : McGill-Queen's University Press, ©2012.</t>
  </si>
  <si>
    <t>1086892813:eng</t>
  </si>
  <si>
    <t>779683168</t>
  </si>
  <si>
    <t>ocn779683168</t>
  </si>
  <si>
    <t>31034022310</t>
  </si>
  <si>
    <t>9780773540385</t>
  </si>
  <si>
    <t>794911191</t>
  </si>
  <si>
    <t>P302.7 B43 1997</t>
  </si>
  <si>
    <t>0                      P  0302700B  43          1997</t>
  </si>
  <si>
    <t>Narratives in popular culture, media, and everyday life / Arthur Asa Berger.</t>
  </si>
  <si>
    <t>Thousand Oaks : Sage Publications, ©1997.</t>
  </si>
  <si>
    <t>34923530:eng</t>
  </si>
  <si>
    <t>34782797</t>
  </si>
  <si>
    <t>ocm34782797</t>
  </si>
  <si>
    <t>31027764670</t>
  </si>
  <si>
    <t>9780761903444</t>
  </si>
  <si>
    <t>793435962</t>
  </si>
  <si>
    <t>P302.7 B44 1994</t>
  </si>
  <si>
    <t>0                      P  0302700B  44          1994</t>
  </si>
  <si>
    <t>Relating events in narrative.</t>
  </si>
  <si>
    <t>Hillsdale, N.J. : L. Erlbaum Associates, 1994-2004.</t>
  </si>
  <si>
    <t>4927170712:eng</t>
  </si>
  <si>
    <t>29224873</t>
  </si>
  <si>
    <t>ocm29224873</t>
  </si>
  <si>
    <t>31027764620</t>
  </si>
  <si>
    <t>9780805814354</t>
  </si>
  <si>
    <t>793305840</t>
  </si>
  <si>
    <t>P302.7 B54 2012</t>
  </si>
  <si>
    <t>0                      P  0302700B  54          2012</t>
  </si>
  <si>
    <t>Blending and the study of narrative : approaches and applications / edited by Ralf Schneider, Marcus Hartner.</t>
  </si>
  <si>
    <t>Berlin ; Boston : De Gruyter, ©2012.</t>
  </si>
  <si>
    <t>Narratologia. Contributions to narrative theory ; 34</t>
  </si>
  <si>
    <t>1175297367:eng</t>
  </si>
  <si>
    <t>814951921</t>
  </si>
  <si>
    <t>ocn814951921</t>
  </si>
  <si>
    <t>3103497863M</t>
  </si>
  <si>
    <t>9783110291124</t>
  </si>
  <si>
    <t>794932325</t>
  </si>
  <si>
    <t>P302.7 C67 1993</t>
  </si>
  <si>
    <t>0                      P  0302700C  67          1993</t>
  </si>
  <si>
    <t>Narrative analysis / Martin Cortazzi.</t>
  </si>
  <si>
    <t>Cortazzi, Martin.</t>
  </si>
  <si>
    <t>London ; Washington, D.C. : Falmer Press, 1993.</t>
  </si>
  <si>
    <t>Social research and educational studies series ; 12</t>
  </si>
  <si>
    <t>390635:eng</t>
  </si>
  <si>
    <t>28183035</t>
  </si>
  <si>
    <t>ocm28183035</t>
  </si>
  <si>
    <t>3101242026R</t>
  </si>
  <si>
    <t>9781850009627</t>
  </si>
  <si>
    <t>793281956</t>
  </si>
  <si>
    <t>P302.7 C86 2011</t>
  </si>
  <si>
    <t>0                      P  0302700C  86          2011</t>
  </si>
  <si>
    <t>Current trends in narratology / edited by Greta Olson.</t>
  </si>
  <si>
    <t>Berlin ; New York : De Gruyter, ©2011.</t>
  </si>
  <si>
    <t>Narratologia ; 27</t>
  </si>
  <si>
    <t>771818270:eng</t>
  </si>
  <si>
    <t>697979754</t>
  </si>
  <si>
    <t>ocn697979754</t>
  </si>
  <si>
    <t>3103382808S</t>
  </si>
  <si>
    <t>9783110254990</t>
  </si>
  <si>
    <t>794860509</t>
  </si>
  <si>
    <t>P302.7 C87 2010</t>
  </si>
  <si>
    <t>0                      P  0302700C  87          2010</t>
  </si>
  <si>
    <t>Narratives and narrators : a philosophy of stories / Gregory Currie.</t>
  </si>
  <si>
    <t>Currie, Gregory.</t>
  </si>
  <si>
    <t>793215785:eng</t>
  </si>
  <si>
    <t>441191680</t>
  </si>
  <si>
    <t>ocn441191680</t>
  </si>
  <si>
    <t>31031314185</t>
  </si>
  <si>
    <t>9780199282609</t>
  </si>
  <si>
    <t>794786695</t>
  </si>
  <si>
    <t>P302.7 D45 1995</t>
  </si>
  <si>
    <t>0                      P  0302700D  45          1995</t>
  </si>
  <si>
    <t>Deixis in narrative : a cognitive science perspective / edited by Judith F. Duchan, Gail A. Bruder, Lynne E. Hewitt .</t>
  </si>
  <si>
    <t>796616183:eng</t>
  </si>
  <si>
    <t>908269296</t>
  </si>
  <si>
    <t>ocn908269296</t>
  </si>
  <si>
    <t>3103667595I</t>
  </si>
  <si>
    <t>9780805814620</t>
  </si>
  <si>
    <t>794994476</t>
  </si>
  <si>
    <t>P302.7 D57 1996</t>
  </si>
  <si>
    <t>0                      P  0302700D  57          1996</t>
  </si>
  <si>
    <t>Disorderly discourse : narrative, conflict, &amp; inequality / edited by Charles L. Briggs.</t>
  </si>
  <si>
    <t>Oxford studies in anthropological linguistics ; 7</t>
  </si>
  <si>
    <t>865013628:eng</t>
  </si>
  <si>
    <t>33359302</t>
  </si>
  <si>
    <t>ocm33359302</t>
  </si>
  <si>
    <t>31027765411</t>
  </si>
  <si>
    <t>9780195087765</t>
  </si>
  <si>
    <t>793407743</t>
  </si>
  <si>
    <t>P302.7 F533 2005</t>
  </si>
  <si>
    <t>0                      P  0302700F  533         2005</t>
  </si>
  <si>
    <t>Finding culture in talk : a collection of methods / edited by Naomi Quinn.</t>
  </si>
  <si>
    <t>Culture, mind, and society</t>
  </si>
  <si>
    <t>864904627:eng</t>
  </si>
  <si>
    <t>60491989</t>
  </si>
  <si>
    <t>ocm60491989</t>
  </si>
  <si>
    <t>3102491742N</t>
  </si>
  <si>
    <t>9781403969149</t>
  </si>
  <si>
    <t>793938181</t>
  </si>
  <si>
    <t>P302.7 F56 1993</t>
  </si>
  <si>
    <t>0                      P  0302700F  56          1993</t>
  </si>
  <si>
    <t>The fictions of language and the languages of fiction : the linguistic representation of speech and consciousness / Monika Fludernik.</t>
  </si>
  <si>
    <t>Fludernik, Monika.</t>
  </si>
  <si>
    <t>London ; New York : Routledge, 1993.</t>
  </si>
  <si>
    <t>880767:eng</t>
  </si>
  <si>
    <t>26352196</t>
  </si>
  <si>
    <t>ocm26352196</t>
  </si>
  <si>
    <t>31027765265</t>
  </si>
  <si>
    <t>9780415092265</t>
  </si>
  <si>
    <t>793243026</t>
  </si>
  <si>
    <t>P302.7 F73 2010</t>
  </si>
  <si>
    <t>0                      P  0302700F  73          2010</t>
  </si>
  <si>
    <t>Letting stories breathe : a socio-narratology / Arthur W. Frank.</t>
  </si>
  <si>
    <t>Frank, Arthur W.</t>
  </si>
  <si>
    <t>Chicago ; London : University of Chicago Press, 2010.</t>
  </si>
  <si>
    <t>796665389:eng</t>
  </si>
  <si>
    <t>495547093</t>
  </si>
  <si>
    <t>ocn495547093</t>
  </si>
  <si>
    <t>31032374672</t>
  </si>
  <si>
    <t>9780226260136</t>
  </si>
  <si>
    <t>794801770</t>
  </si>
  <si>
    <t>P302.7 G4613 1988</t>
  </si>
  <si>
    <t>0                      P  0302700G  4613        1988</t>
  </si>
  <si>
    <t>Narrative discourse revisited / Gérard Genette ; translated by Jane E. Lewin.</t>
  </si>
  <si>
    <t>Ithaca, N.Y. : Cornell University Press, 1988.</t>
  </si>
  <si>
    <t>3855368042:eng</t>
  </si>
  <si>
    <t>18225256</t>
  </si>
  <si>
    <t>ocm18225256</t>
  </si>
  <si>
    <t>31027765313</t>
  </si>
  <si>
    <t>9780801417580</t>
  </si>
  <si>
    <t>793017948</t>
  </si>
  <si>
    <t>P302.7 G464 2008</t>
  </si>
  <si>
    <t>0                      P  0302700G  464         2008</t>
  </si>
  <si>
    <t>Telling stories : language, narrative, and social life / Deborah Schiffrin, Anna De Fina, and Anastasia Nylund, editors.</t>
  </si>
  <si>
    <t>Georgetown University Round Table on Languages and Linguistics (2008)</t>
  </si>
  <si>
    <t>Washington, DC : Georgetown University Press, ©2010.</t>
  </si>
  <si>
    <t>796211807:eng</t>
  </si>
  <si>
    <t>403861002</t>
  </si>
  <si>
    <t>ocn403861002</t>
  </si>
  <si>
    <t>3103252349J</t>
  </si>
  <si>
    <t>9781589016293</t>
  </si>
  <si>
    <t>794499085</t>
  </si>
  <si>
    <t>3103252347J</t>
  </si>
  <si>
    <t>794499084</t>
  </si>
  <si>
    <t>P302.7 G63 2012</t>
  </si>
  <si>
    <t>0                      P  0302700G  63          2012</t>
  </si>
  <si>
    <t>Meaning and humour / Andrew Goatly.</t>
  </si>
  <si>
    <t>Goatly, Andrew, 1950-</t>
  </si>
  <si>
    <t>1008677720:eng</t>
  </si>
  <si>
    <t>751250793</t>
  </si>
  <si>
    <t>ocn751250793</t>
  </si>
  <si>
    <t>3103394987X</t>
  </si>
  <si>
    <t>9781107004634</t>
  </si>
  <si>
    <t>794890365</t>
  </si>
  <si>
    <t>P302.7 G68 1993</t>
  </si>
  <si>
    <t>0                      P  0302700G  68          1993</t>
  </si>
  <si>
    <t>Analyse du discours narratif / Gabrielle Gourdeau.</t>
  </si>
  <si>
    <t>Gourdeau, Gabrielle.</t>
  </si>
  <si>
    <t>Boucherville, Québec : G. Morin, 1993.</t>
  </si>
  <si>
    <t>30328682:fre</t>
  </si>
  <si>
    <t>28502680</t>
  </si>
  <si>
    <t>ocm28502680</t>
  </si>
  <si>
    <t>31027765167</t>
  </si>
  <si>
    <t>9782210422926</t>
  </si>
  <si>
    <t>793289472</t>
  </si>
  <si>
    <t>31027765215</t>
  </si>
  <si>
    <t>793289473</t>
  </si>
  <si>
    <t>P302.7 H64 2011</t>
  </si>
  <si>
    <t>0                      P  0302700H  64          2011</t>
  </si>
  <si>
    <t>Affective narratology : the emotional structure of stories / Patrick Colm Hogan.</t>
  </si>
  <si>
    <t>Hogan, Patrick Colm.</t>
  </si>
  <si>
    <t>865550730:eng</t>
  </si>
  <si>
    <t>712115542</t>
  </si>
  <si>
    <t>ocn712115542</t>
  </si>
  <si>
    <t>3103385302V</t>
  </si>
  <si>
    <t>9780803230026</t>
  </si>
  <si>
    <t>794871658</t>
  </si>
  <si>
    <t>P302.7 H643 2013</t>
  </si>
  <si>
    <t>0                      P  0302700H  643         2013</t>
  </si>
  <si>
    <t>Narrative discourse : authors and narrators in literature, film, and art / Patrick Colm Hogan.</t>
  </si>
  <si>
    <t>Columbus : Ohio State University Press, 2013.</t>
  </si>
  <si>
    <t>1233150705:eng</t>
  </si>
  <si>
    <t>813300950</t>
  </si>
  <si>
    <t>ocn813300950</t>
  </si>
  <si>
    <t>3103497999D</t>
  </si>
  <si>
    <t>9780814212097</t>
  </si>
  <si>
    <t>794931506</t>
  </si>
  <si>
    <t>P302.7 H67 2012</t>
  </si>
  <si>
    <t>0                      P  0302700H  67          2012</t>
  </si>
  <si>
    <t>Telling lives : exploring dimensions of narratives / by Marianne Horsdal.</t>
  </si>
  <si>
    <t>Horsdal, Marianne, 1946-</t>
  </si>
  <si>
    <t>1097992886:eng</t>
  </si>
  <si>
    <t>706022550</t>
  </si>
  <si>
    <t>ocn706022550</t>
  </si>
  <si>
    <t>3103382698G</t>
  </si>
  <si>
    <t>9780415680233</t>
  </si>
  <si>
    <t>794866532</t>
  </si>
  <si>
    <t>P302.7 J66 1990</t>
  </si>
  <si>
    <t>0                      P  0302700J  66          1990</t>
  </si>
  <si>
    <t>The matrix of narrative : family systems and the semiotics of story / by Denis Jonnes.</t>
  </si>
  <si>
    <t>Jonnes, Denis, 1949-</t>
  </si>
  <si>
    <t>Approaches to semiotics ; 91</t>
  </si>
  <si>
    <t>23173470:eng</t>
  </si>
  <si>
    <t>21228206</t>
  </si>
  <si>
    <t>ocm21228206</t>
  </si>
  <si>
    <t>31027765117</t>
  </si>
  <si>
    <t>9780899256245</t>
  </si>
  <si>
    <t>793112996</t>
  </si>
  <si>
    <t>P302.7 K47 1991</t>
  </si>
  <si>
    <t>0                      P  0302700K  47          1991</t>
  </si>
  <si>
    <t>Narrative and the self / Anthony Paul Kerby.</t>
  </si>
  <si>
    <t>Kerby, Anthony Paul, 1953-</t>
  </si>
  <si>
    <t>Bloomington : Indiana University Press, ©1991.</t>
  </si>
  <si>
    <t>Studies in continental thought</t>
  </si>
  <si>
    <t>993085:eng</t>
  </si>
  <si>
    <t>22953989</t>
  </si>
  <si>
    <t>ocm22953989</t>
  </si>
  <si>
    <t>31029439494</t>
  </si>
  <si>
    <t>9780253331434</t>
  </si>
  <si>
    <t>793157902</t>
  </si>
  <si>
    <t>P302.7 K67 2012</t>
  </si>
  <si>
    <t>0                      P  0302700K  67          2012</t>
  </si>
  <si>
    <t>Wahrheit und Erfindung : Grundzüge einer allgemeinen Erzähltheorie / Albrecht Koschorke.</t>
  </si>
  <si>
    <t>Koschorke, Albrecht, 1958-</t>
  </si>
  <si>
    <t>Frankfurt am Main : S. Fischer, 2012.</t>
  </si>
  <si>
    <t>1129601955:ger</t>
  </si>
  <si>
    <t>813004821</t>
  </si>
  <si>
    <t>ocn813004821</t>
  </si>
  <si>
    <t>3103451740$</t>
  </si>
  <si>
    <t>9783100389114</t>
  </si>
  <si>
    <t>794931355</t>
  </si>
  <si>
    <t>P302.7 L335 2000</t>
  </si>
  <si>
    <t>0                      P  0302700L  335         2000</t>
  </si>
  <si>
    <t>Narrative and genre : key concepts in media studies / Nick Lacey.</t>
  </si>
  <si>
    <t>Lacey, Nick, 1961-</t>
  </si>
  <si>
    <t>12220360:eng</t>
  </si>
  <si>
    <t>42603269</t>
  </si>
  <si>
    <t>ocm42603269</t>
  </si>
  <si>
    <t>31027765069</t>
  </si>
  <si>
    <t>9780312230128</t>
  </si>
  <si>
    <t>793609624</t>
  </si>
  <si>
    <t>P302.7 L538 1998</t>
  </si>
  <si>
    <t>0                      P  0302700L  538         1998</t>
  </si>
  <si>
    <t>Narrative research : reading, analysis and interpretation / Amia Lieblich, Rivka Tuval-Mashiach, Tamar Zilber.</t>
  </si>
  <si>
    <t>Lieblich, Amia, 1939-</t>
  </si>
  <si>
    <t>Thousand Oaks, Calif : Sage Publications, ©1998.</t>
  </si>
  <si>
    <t>Applied social research methods series ; v. 47</t>
  </si>
  <si>
    <t>890943202:eng</t>
  </si>
  <si>
    <t>38908738</t>
  </si>
  <si>
    <t>ocm38908738</t>
  </si>
  <si>
    <t>3101914664S</t>
  </si>
  <si>
    <t>9780761910428</t>
  </si>
  <si>
    <t>793532884</t>
  </si>
  <si>
    <t>P302.7 .L54 1995</t>
  </si>
  <si>
    <t>0                      P  0302700L  54          1995</t>
  </si>
  <si>
    <t>2005-08-08</t>
  </si>
  <si>
    <t>3101441934K</t>
  </si>
  <si>
    <t>793391509</t>
  </si>
  <si>
    <t>P302.7 M45 1987</t>
  </si>
  <si>
    <t>0                      P  0302700M  45          1987</t>
  </si>
  <si>
    <t>Doing tropology : analysis of narrative discourse / James M. Mellard.</t>
  </si>
  <si>
    <t>Mellard, James M.</t>
  </si>
  <si>
    <t>Urbana : University of Illinois Press, ©1987.</t>
  </si>
  <si>
    <t>2019-10-13</t>
  </si>
  <si>
    <t>371909217:eng</t>
  </si>
  <si>
    <t>13703268</t>
  </si>
  <si>
    <t>ocm13703268</t>
  </si>
  <si>
    <t>31027765205</t>
  </si>
  <si>
    <t>9780252013560</t>
  </si>
  <si>
    <t>792863849</t>
  </si>
  <si>
    <t>P302.7 N364 2004</t>
  </si>
  <si>
    <t>0                      P  0302700N  364         2004</t>
  </si>
  <si>
    <t>Narrative analysis : studying the development of individuals in society / editors, Collette Daiute and Cynthia Lightfoot.</t>
  </si>
  <si>
    <t>Thousand Oaks, Calif. : Sage, ©2004.</t>
  </si>
  <si>
    <t>838320214:eng</t>
  </si>
  <si>
    <t>52559098</t>
  </si>
  <si>
    <t>ocm52559098</t>
  </si>
  <si>
    <t>3103144190I</t>
  </si>
  <si>
    <t>9780761927976</t>
  </si>
  <si>
    <t>793809682</t>
  </si>
  <si>
    <t>P302.7 N366 1993</t>
  </si>
  <si>
    <t>0                      P  0302700N  366         1993</t>
  </si>
  <si>
    <t>Narrative and social control : critical perspectives / editor, Dennis K. Mumby.</t>
  </si>
  <si>
    <t>Newbury Park [Calif.] : Sage Publications, ©1993.</t>
  </si>
  <si>
    <t>Sage annual reviews of communication research ; v. 21</t>
  </si>
  <si>
    <t>6548111:eng</t>
  </si>
  <si>
    <t>28374752</t>
  </si>
  <si>
    <t>ocm28374752</t>
  </si>
  <si>
    <t>31027765059</t>
  </si>
  <si>
    <t>9780803949317</t>
  </si>
  <si>
    <t>793286459</t>
  </si>
  <si>
    <t>P302.7 N3666 2011</t>
  </si>
  <si>
    <t>0                      P  0302700N  3666        2011</t>
  </si>
  <si>
    <t>Narrative, emotion, and insight / edited by Noël Carroll and John Gibson.</t>
  </si>
  <si>
    <t>University Park : Pennsylvania State University Press, ©2011.</t>
  </si>
  <si>
    <t>Studies of the Greater Philadelphia Philosophy Consortium</t>
  </si>
  <si>
    <t>765538363:eng</t>
  </si>
  <si>
    <t>693207638</t>
  </si>
  <si>
    <t>ocn693207638</t>
  </si>
  <si>
    <t>31033623850</t>
  </si>
  <si>
    <t>9780271048574</t>
  </si>
  <si>
    <t>794856430</t>
  </si>
  <si>
    <t>P302.7 N37 1986</t>
  </si>
  <si>
    <t>0                      P  0302700N  37          1986</t>
  </si>
  <si>
    <t>Narrative psychology : the storied nature of human conduct / edited by Theodore R. Sarbin.</t>
  </si>
  <si>
    <t>Praeger special studies</t>
  </si>
  <si>
    <t>2018-06-23</t>
  </si>
  <si>
    <t>797235239:eng</t>
  </si>
  <si>
    <t>13395362</t>
  </si>
  <si>
    <t>ocm13395362</t>
  </si>
  <si>
    <t>3101915678C</t>
  </si>
  <si>
    <t>9780275921033</t>
  </si>
  <si>
    <t>792851792</t>
  </si>
  <si>
    <t>31027765009</t>
  </si>
  <si>
    <t>792851793</t>
  </si>
  <si>
    <t>P302.7 N375 2007</t>
  </si>
  <si>
    <t>0                      P  0302700N  375         2007</t>
  </si>
  <si>
    <t>Narrative - state of the art / edited by Michael Bamberg.</t>
  </si>
  <si>
    <t>Benjamins current topics, 1874-0081 ; v. 6</t>
  </si>
  <si>
    <t>766933751:eng</t>
  </si>
  <si>
    <t>81861035</t>
  </si>
  <si>
    <t>ocm81861035</t>
  </si>
  <si>
    <t>31026479602</t>
  </si>
  <si>
    <t>9789027222367</t>
  </si>
  <si>
    <t>794204306</t>
  </si>
  <si>
    <t>P302.7 N38 1996</t>
  </si>
  <si>
    <t>0                      P  0302700N  38          1996</t>
  </si>
  <si>
    <t>Narratology : an introduction / edited and introduced by Susana Onega and José Angel García Landa.</t>
  </si>
  <si>
    <t>Longman critical readers</t>
  </si>
  <si>
    <t>3856733346:eng</t>
  </si>
  <si>
    <t>35920632</t>
  </si>
  <si>
    <t>ocm35920632</t>
  </si>
  <si>
    <t>31027765393</t>
  </si>
  <si>
    <t>9780582255425</t>
  </si>
  <si>
    <t>793460884</t>
  </si>
  <si>
    <t>P302.7 N38 2004</t>
  </si>
  <si>
    <t>0                      P  0302700N  38          2004</t>
  </si>
  <si>
    <t>Narrative theory / edited by Mieke Bal.</t>
  </si>
  <si>
    <t>Critical concepts in literary and cultural studies</t>
  </si>
  <si>
    <t>864923572:eng</t>
  </si>
  <si>
    <t>54079783</t>
  </si>
  <si>
    <t>ocm54079783</t>
  </si>
  <si>
    <t>3102671381P</t>
  </si>
  <si>
    <t>9780415316576</t>
  </si>
  <si>
    <t>793857000</t>
  </si>
  <si>
    <t>3102671415$</t>
  </si>
  <si>
    <t>793856998</t>
  </si>
  <si>
    <t>3102671410$</t>
  </si>
  <si>
    <t>793856997</t>
  </si>
  <si>
    <t>3102671420Y</t>
  </si>
  <si>
    <t>793856999</t>
  </si>
  <si>
    <t>P302.7 N67 2000</t>
  </si>
  <si>
    <t>0                      P  0302700N  67          2000</t>
  </si>
  <si>
    <t>Conversational narrative : storytelling in everyday talk / Neal R. Norrick.</t>
  </si>
  <si>
    <t>Norrick, Neal R.</t>
  </si>
  <si>
    <t>Amsterdam studies in the theory and history of linguistic science. Series IV, Current issues in linguistic theory, 0304-0763 ; v. 203</t>
  </si>
  <si>
    <t>4927121888:eng</t>
  </si>
  <si>
    <t>44076095</t>
  </si>
  <si>
    <t>ocm44076095</t>
  </si>
  <si>
    <t>31027765245</t>
  </si>
  <si>
    <t>9781556199813</t>
  </si>
  <si>
    <t>793641852</t>
  </si>
  <si>
    <t>P302.7 N67 2010</t>
  </si>
  <si>
    <t>0                      P  0302700N  67          2010</t>
  </si>
  <si>
    <t>Amsterdam ; Philadelphia : J. Benjamins Pub., ©2010.</t>
  </si>
  <si>
    <t>Amsterdam studies in the theory and history of linguistic science, Series IV, Current issues in linguistic theory ; v. 203</t>
  </si>
  <si>
    <t>606740333</t>
  </si>
  <si>
    <t>ocn606740333</t>
  </si>
  <si>
    <t>3103283616Y</t>
  </si>
  <si>
    <t>9789027248299</t>
  </si>
  <si>
    <t>794817123</t>
  </si>
  <si>
    <t>P302.7 P37 2013</t>
  </si>
  <si>
    <t>0                      P  0302700P  37          2013</t>
  </si>
  <si>
    <t>Patrimoines urbains et récits / sous la direction de Marie-Blanche Fourcade, Marie-Noëlle Aubertin.</t>
  </si>
  <si>
    <t>Collection Nouveaux patrimoines</t>
  </si>
  <si>
    <t>2013-12-05</t>
  </si>
  <si>
    <t>1749408136:fre</t>
  </si>
  <si>
    <t>864753459</t>
  </si>
  <si>
    <t>ocn864753459</t>
  </si>
  <si>
    <t>3103493182I</t>
  </si>
  <si>
    <t>9782760538870</t>
  </si>
  <si>
    <t>794962363</t>
  </si>
  <si>
    <t>P302.7 P49 2008</t>
  </si>
  <si>
    <t>0                      P  0302700P  49          2008</t>
  </si>
  <si>
    <t>Phantom sentences : essays in linguistics and literature presented to Ann Banfield / Robert S. Kawashima, Gilles Philippe and Thelma Sowley, eds.</t>
  </si>
  <si>
    <t>Bern ; New York : Peter Lang, ©2008.</t>
  </si>
  <si>
    <t>867224788:eng</t>
  </si>
  <si>
    <t>192134410</t>
  </si>
  <si>
    <t>ocn192134410</t>
  </si>
  <si>
    <t>3103405046T</t>
  </si>
  <si>
    <t>9783039112227</t>
  </si>
  <si>
    <t>794303656</t>
  </si>
  <si>
    <t>P302.7 P64 1985</t>
  </si>
  <si>
    <t>0                      P  0302700P  64          1985</t>
  </si>
  <si>
    <t>Telling the American story : a structural and cultural analysis of conversational storytelling / Livia Polanyi.</t>
  </si>
  <si>
    <t>Polanyi, Livia.</t>
  </si>
  <si>
    <t>Norwood, N.J. : Ablex Publishers, ©1985.</t>
  </si>
  <si>
    <t>Language and being</t>
  </si>
  <si>
    <t>836729776:eng</t>
  </si>
  <si>
    <t>11346311</t>
  </si>
  <si>
    <t>ocm11346311</t>
  </si>
  <si>
    <t>31027765343</t>
  </si>
  <si>
    <t>9780893910419</t>
  </si>
  <si>
    <t>792769604</t>
  </si>
  <si>
    <t>P302.7 P66 1988</t>
  </si>
  <si>
    <t>0                      P  0302700P  66          1988</t>
  </si>
  <si>
    <t>Narrative knowing and the human sciences / Donald E. Polkinghorne.</t>
  </si>
  <si>
    <t>Polkinghorne, Donald, 1936-</t>
  </si>
  <si>
    <t>Albany : State University of New York Press, ©1988.</t>
  </si>
  <si>
    <t>SUNY series in philosophy of the social sciences</t>
  </si>
  <si>
    <t>349099799:eng</t>
  </si>
  <si>
    <t>16472231</t>
  </si>
  <si>
    <t>ocm16472231</t>
  </si>
  <si>
    <t>3103474514Q</t>
  </si>
  <si>
    <t>9780887066221</t>
  </si>
  <si>
    <t>792963736</t>
  </si>
  <si>
    <t>31027765295</t>
  </si>
  <si>
    <t>792963735</t>
  </si>
  <si>
    <t>P302.7 P75 1987</t>
  </si>
  <si>
    <t>0                      P  0302700P  75          1987</t>
  </si>
  <si>
    <t>A dictionary of narratology / Gerald Prince.</t>
  </si>
  <si>
    <t>Lincoln : University of Nebraska Press, ©1987.</t>
  </si>
  <si>
    <t>10698:eng</t>
  </si>
  <si>
    <t>15109449</t>
  </si>
  <si>
    <t>ocm15109449</t>
  </si>
  <si>
    <t>31027765147</t>
  </si>
  <si>
    <t>9780803236783</t>
  </si>
  <si>
    <t>792920627</t>
  </si>
  <si>
    <t>31027765197</t>
  </si>
  <si>
    <t>792920628</t>
  </si>
  <si>
    <t>P302.7 P75 2003</t>
  </si>
  <si>
    <t>0                      P  0302700P  75          2003</t>
  </si>
  <si>
    <t>Lincoln : University of Nebraska Press, ©2003.</t>
  </si>
  <si>
    <t>53030493</t>
  </si>
  <si>
    <t>ocm53030493</t>
  </si>
  <si>
    <t>3102333664D</t>
  </si>
  <si>
    <t>9780803287761</t>
  </si>
  <si>
    <t>793819644</t>
  </si>
  <si>
    <t>P302.7 R435 2012</t>
  </si>
  <si>
    <t>0                      P  0302700R  435         2012</t>
  </si>
  <si>
    <t>Récits collectifs et nouvelles écritures visuelles / sous la direction de Francine Saillant et Michaël La Chance.</t>
  </si>
  <si>
    <t>1168745388:fre</t>
  </si>
  <si>
    <t>798797386</t>
  </si>
  <si>
    <t>ocn798797386</t>
  </si>
  <si>
    <t>3103402927I</t>
  </si>
  <si>
    <t>9782763798998</t>
  </si>
  <si>
    <t>794924006</t>
  </si>
  <si>
    <t>P302.7 R54 1993</t>
  </si>
  <si>
    <t>0                      P  0302700R  54          1993</t>
  </si>
  <si>
    <t>Narrative analysis / Catherine Kohler Riessman.</t>
  </si>
  <si>
    <t>Riessman, Catherine Kohler, 1939-</t>
  </si>
  <si>
    <t>Newbury Park, CA : Sage Publications, ©1993.</t>
  </si>
  <si>
    <t>Qualitative research methods ; v. 30</t>
  </si>
  <si>
    <t>904317:eng</t>
  </si>
  <si>
    <t>28416544</t>
  </si>
  <si>
    <t>ocm28416544</t>
  </si>
  <si>
    <t>3101409428J</t>
  </si>
  <si>
    <t>9780803947535</t>
  </si>
  <si>
    <t>793287673</t>
  </si>
  <si>
    <t>31027765099</t>
  </si>
  <si>
    <t>793287672</t>
  </si>
  <si>
    <t>P302.7 S45 2007</t>
  </si>
  <si>
    <t>0                      P  0302700S  45          2007</t>
  </si>
  <si>
    <t>Selves and identities in narrative and discourse / edited by Michael Bamberg, Anna De Fina, Deborah Schiffrin.</t>
  </si>
  <si>
    <t>Studies in narrative, 1568-2706 ; v. 9</t>
  </si>
  <si>
    <t>354371484:eng</t>
  </si>
  <si>
    <t>141852934</t>
  </si>
  <si>
    <t>ocn141852934</t>
  </si>
  <si>
    <t>3102652649U</t>
  </si>
  <si>
    <t>9789027226495</t>
  </si>
  <si>
    <t>794235162</t>
  </si>
  <si>
    <t>P302.7 S65 2005</t>
  </si>
  <si>
    <t>0                      P  0302700S  65          2005</t>
  </si>
  <si>
    <t>The sociolinguistics of narrative / edited by Joanna Thornborrow, Jennifer Coates.</t>
  </si>
  <si>
    <t>Studies in narrative, 1568-2706 ; v. 6</t>
  </si>
  <si>
    <t>1074660497:eng</t>
  </si>
  <si>
    <t>57695032</t>
  </si>
  <si>
    <t>ocm57695032</t>
  </si>
  <si>
    <t>3102495430I</t>
  </si>
  <si>
    <t>9789027226464</t>
  </si>
  <si>
    <t>793917982</t>
  </si>
  <si>
    <t>P302.7 T49 2008</t>
  </si>
  <si>
    <t>0                      P  0302700T  49          2008</t>
  </si>
  <si>
    <t>Theorizing narrativity / edited by John Pier and José Ángel García Landa.</t>
  </si>
  <si>
    <t>Berlin ; New York : Walter de Gruyter, [2008]</t>
  </si>
  <si>
    <t>Narratologia, 1612-8427 ; 12</t>
  </si>
  <si>
    <t>353389685:eng</t>
  </si>
  <si>
    <t>182963641</t>
  </si>
  <si>
    <t>ocn182963641</t>
  </si>
  <si>
    <t>3103425417D</t>
  </si>
  <si>
    <t>9783110202441</t>
  </si>
  <si>
    <t>794286393</t>
  </si>
  <si>
    <t>P302.7 T66 1988</t>
  </si>
  <si>
    <t>0                      P  0302700T  66          1988</t>
  </si>
  <si>
    <t>Narrative : a critical linguistic introduction / Michael J. Toolan.</t>
  </si>
  <si>
    <t>Toolan, Michael J.</t>
  </si>
  <si>
    <t>London ; New York : Routledge, 1988.</t>
  </si>
  <si>
    <t>Interface</t>
  </si>
  <si>
    <t>836809296:eng</t>
  </si>
  <si>
    <t>17548791</t>
  </si>
  <si>
    <t>ocm17548791</t>
  </si>
  <si>
    <t>31027765333</t>
  </si>
  <si>
    <t>9780415008686</t>
  </si>
  <si>
    <t>792995089</t>
  </si>
  <si>
    <t>P302.7 V56 2003</t>
  </si>
  <si>
    <t>0                      P  0302700V  56          2003</t>
  </si>
  <si>
    <t>Le sens de l'intrigue, ou, La narrativité, le jeu et l'invention du diable / Johanne Villeneuve.</t>
  </si>
  <si>
    <t>Villeneuve, Johanne, 1960-</t>
  </si>
  <si>
    <t>Québec : CELAT : Les Presses de l'Université Laval, 2003.</t>
  </si>
  <si>
    <t>Collection InterCultures</t>
  </si>
  <si>
    <t>57063122:fre</t>
  </si>
  <si>
    <t>55765260</t>
  </si>
  <si>
    <t>ocm55765260</t>
  </si>
  <si>
    <t>31027765285</t>
  </si>
  <si>
    <t>9782763780139</t>
  </si>
  <si>
    <t>793882436</t>
  </si>
  <si>
    <t>P302.7 Y68 1987</t>
  </si>
  <si>
    <t>0                      P  0302700Y  68          1987</t>
  </si>
  <si>
    <t>Taleworlds and storyrealms : the phenomenology of narrative / by Katharine Galloway Young.</t>
  </si>
  <si>
    <t>Young, Katharine Galloway.</t>
  </si>
  <si>
    <t>Dordrecht ; Boston : Nijhoff ; Hingham, MA : Distributors for the U.S. and Canada, Kluwer Academic Publishers, 1987.</t>
  </si>
  <si>
    <t>Martinus Nijhoff philosophy library ; v. 16</t>
  </si>
  <si>
    <t>119213085:eng</t>
  </si>
  <si>
    <t>14241511</t>
  </si>
  <si>
    <t>ocm14241511</t>
  </si>
  <si>
    <t>31027765235</t>
  </si>
  <si>
    <t>9789024734153</t>
  </si>
  <si>
    <t>792883225</t>
  </si>
  <si>
    <t>P302.77 B53 2005</t>
  </si>
  <si>
    <t>0                      P  0302770B  53          2005</t>
  </si>
  <si>
    <t>Discourse and power in a multilingual world / Adrian Blackledge.</t>
  </si>
  <si>
    <t>Blackledge, Adrian.</t>
  </si>
  <si>
    <t>Discourse approaches to politics, society, and culture ; v. 15</t>
  </si>
  <si>
    <t>5616378467:eng</t>
  </si>
  <si>
    <t>61109552</t>
  </si>
  <si>
    <t>ocm61109552</t>
  </si>
  <si>
    <t>3102639352J</t>
  </si>
  <si>
    <t>9789027227058</t>
  </si>
  <si>
    <t>793946398</t>
  </si>
  <si>
    <t>P302.77 C67 2010</t>
  </si>
  <si>
    <t>0                      P  0302770C  67          2010</t>
  </si>
  <si>
    <t>Contesting Europe's eastern rim : cultural identities in public discourse / edited by Ljiljana Šarić [and others].</t>
  </si>
  <si>
    <t>Bristol ; Buffalo : Multilingual Matters, 2010.</t>
  </si>
  <si>
    <t>794195210:eng</t>
  </si>
  <si>
    <t>651076568</t>
  </si>
  <si>
    <t>ocn651076568</t>
  </si>
  <si>
    <t>31033226999</t>
  </si>
  <si>
    <t>9781847693242</t>
  </si>
  <si>
    <t>794832792</t>
  </si>
  <si>
    <t>P302.77 D55 2008</t>
  </si>
  <si>
    <t>0                      P  0302770D  55          2008</t>
  </si>
  <si>
    <t>Discourse and power / Teun A. van Dijk.</t>
  </si>
  <si>
    <t>131624175:eng</t>
  </si>
  <si>
    <t>244660683</t>
  </si>
  <si>
    <t>ocn244660683</t>
  </si>
  <si>
    <t>3102975846L</t>
  </si>
  <si>
    <t>9780230574083</t>
  </si>
  <si>
    <t>794382160</t>
  </si>
  <si>
    <t>P302.77 D567 2000</t>
  </si>
  <si>
    <t>0                      P  0302770D  567         2000</t>
  </si>
  <si>
    <t>Discourse theory and political analysis : identities, hegemonies, and social change / edited by David Howarth, Aletta J. Norval, and Yannis Stavrakakis.</t>
  </si>
  <si>
    <t>Manchester ; New York : Manchester University Press ; New York : Distributed exclusively in the U.S.A. by St. Martin's Press, 2000.</t>
  </si>
  <si>
    <t>837051117:eng</t>
  </si>
  <si>
    <t>43323753</t>
  </si>
  <si>
    <t>ocm43323753</t>
  </si>
  <si>
    <t>3103422822B</t>
  </si>
  <si>
    <t>9780719056635</t>
  </si>
  <si>
    <t>793624515</t>
  </si>
  <si>
    <t>P302.77 D86 2011</t>
  </si>
  <si>
    <t>0                      P  0302770D  86          2011</t>
  </si>
  <si>
    <t>Projecting the future through political discourse : the case of the Bush doctrine / Patricia L. Dunmire.</t>
  </si>
  <si>
    <t>Dunmire, Patricia L.</t>
  </si>
  <si>
    <t>Discourse approaches to politics, society and culture ; v. 41</t>
  </si>
  <si>
    <t>784466872:eng</t>
  </si>
  <si>
    <t>701330664</t>
  </si>
  <si>
    <t>ocn701330664</t>
  </si>
  <si>
    <t>31033650661</t>
  </si>
  <si>
    <t>9789027206329</t>
  </si>
  <si>
    <t>794862862</t>
  </si>
  <si>
    <t>P302.77 L44 2011</t>
  </si>
  <si>
    <t>0                      P  0302770L  44          2011</t>
  </si>
  <si>
    <t>Legacies of totalitarian language in the discourse culture of the post-totalitarian era / [edited by] Ernest Andrews.</t>
  </si>
  <si>
    <t>772779209:eng</t>
  </si>
  <si>
    <t>698327991</t>
  </si>
  <si>
    <t>ocn698327991</t>
  </si>
  <si>
    <t>3103365096W</t>
  </si>
  <si>
    <t>9780739164655</t>
  </si>
  <si>
    <t>794860820</t>
  </si>
  <si>
    <t>P302.77 M87 2004</t>
  </si>
  <si>
    <t>0                      P  0302770M  87          2004</t>
  </si>
  <si>
    <t>Metaphor and political discourse : analogical reasoning in debates about Europe / Andreas Musolff.</t>
  </si>
  <si>
    <t>Musolff, Andreas.</t>
  </si>
  <si>
    <t>3856764202:eng</t>
  </si>
  <si>
    <t>54685510</t>
  </si>
  <si>
    <t>ocm54685510</t>
  </si>
  <si>
    <t>31027765089</t>
  </si>
  <si>
    <t>9781403933898</t>
  </si>
  <si>
    <t>793865456</t>
  </si>
  <si>
    <t>P302.77 M874 2010</t>
  </si>
  <si>
    <t>0                      P  0302770M  874         2010</t>
  </si>
  <si>
    <t>Metaphor, nation and the holocaust : the concept of the body politic / Andreas Musolff.</t>
  </si>
  <si>
    <t>Routledge critical studies in discourse ; 3</t>
  </si>
  <si>
    <t>2010-11-09</t>
  </si>
  <si>
    <t>796391583:eng</t>
  </si>
  <si>
    <t>277196114</t>
  </si>
  <si>
    <t>ocn277196114</t>
  </si>
  <si>
    <t>3103240944E</t>
  </si>
  <si>
    <t>9780415801195</t>
  </si>
  <si>
    <t>794418649</t>
  </si>
  <si>
    <t>P302.77 P67 2013</t>
  </si>
  <si>
    <t>0                      P  0302770P  67          2013</t>
  </si>
  <si>
    <t>The Pragmatics of Political Discourse : explorations across cultures / edited by Anita Fetzer, University of Augsburg.</t>
  </si>
  <si>
    <t>Amsterdam : John Benjamins Publishing Company, [2013]</t>
  </si>
  <si>
    <t>Pragmatics &amp; beyond new series, 0922-842X ; v. 228</t>
  </si>
  <si>
    <t>1175297375:eng</t>
  </si>
  <si>
    <t>814982175</t>
  </si>
  <si>
    <t>ocn814982175</t>
  </si>
  <si>
    <t>3103528828I</t>
  </si>
  <si>
    <t>9789027256331</t>
  </si>
  <si>
    <t>794932329</t>
  </si>
  <si>
    <t>P302.77 S36 2008</t>
  </si>
  <si>
    <t>0                      P  0302770S  36          2008</t>
  </si>
  <si>
    <t>Analyzing public discourse : discourse analysis in the making of public policy / Ron Scollon.</t>
  </si>
  <si>
    <t>1025044692:eng</t>
  </si>
  <si>
    <t>123029392</t>
  </si>
  <si>
    <t>ocn123029392</t>
  </si>
  <si>
    <t>3102650875Q</t>
  </si>
  <si>
    <t>9780415770941</t>
  </si>
  <si>
    <t>794222296</t>
  </si>
  <si>
    <t>P302.8 B49 2010</t>
  </si>
  <si>
    <t>0                      P  0302800B  49          2010</t>
  </si>
  <si>
    <t>Beyond narrative coherence / edited by Matti Hyvärinen [and others].</t>
  </si>
  <si>
    <t>Studies in narrative ; v. 11</t>
  </si>
  <si>
    <t>888283913:eng</t>
  </si>
  <si>
    <t>463855931</t>
  </si>
  <si>
    <t>ocn463855931</t>
  </si>
  <si>
    <t>3103240075Z</t>
  </si>
  <si>
    <t>9789027226518</t>
  </si>
  <si>
    <t>794793058</t>
  </si>
  <si>
    <t>P302.8 D57 1993</t>
  </si>
  <si>
    <t>0                      P  0302800D  57          1993</t>
  </si>
  <si>
    <t>Discourse analytic research : repertoires and readings of texts in action / edited by Erica Burman and Ian Parker.</t>
  </si>
  <si>
    <t>836910331:eng</t>
  </si>
  <si>
    <t>27377515</t>
  </si>
  <si>
    <t>ocm27377515</t>
  </si>
  <si>
    <t>3101240329J</t>
  </si>
  <si>
    <t>9780415097208</t>
  </si>
  <si>
    <t>793265064</t>
  </si>
  <si>
    <t>P302.8 G65 2015</t>
  </si>
  <si>
    <t>0                      P  0302800G  65          2015</t>
  </si>
  <si>
    <t>La linguistique prédictive : de la cognition à l'action / Mathieu Guidère.</t>
  </si>
  <si>
    <t>Guidère, Mathieu.</t>
  </si>
  <si>
    <t>Paris : L'Harmattan, ©2015.</t>
  </si>
  <si>
    <t>Collection Études arabes</t>
  </si>
  <si>
    <t>2467353820:fre</t>
  </si>
  <si>
    <t>904951736</t>
  </si>
  <si>
    <t>ocn904951736</t>
  </si>
  <si>
    <t>31037095489</t>
  </si>
  <si>
    <t>9782343055121</t>
  </si>
  <si>
    <t>794990936</t>
  </si>
  <si>
    <t>P302.8 H47 2013</t>
  </si>
  <si>
    <t>0                      P  0302800H  47          2013</t>
  </si>
  <si>
    <t>Storytelling and the sciences of mind / David Herman.</t>
  </si>
  <si>
    <t>Herman, David, 1962- author.</t>
  </si>
  <si>
    <t>Cambridge, Massachusetts : The MIT Press, [2013]</t>
  </si>
  <si>
    <t>2019-09-10</t>
  </si>
  <si>
    <t>1191734391:eng</t>
  </si>
  <si>
    <t>822995154</t>
  </si>
  <si>
    <t>ocn822995154</t>
  </si>
  <si>
    <t>3103502217Z</t>
  </si>
  <si>
    <t>9780262019187</t>
  </si>
  <si>
    <t>794936830</t>
  </si>
  <si>
    <t>P302.8 S26 2012</t>
  </si>
  <si>
    <t>0                      P  0302800S  26          2012</t>
  </si>
  <si>
    <t>Mind, brain and narrative / Anthony J. Sanford, Catherine Emmott.</t>
  </si>
  <si>
    <t>Sanford, A. J. (Anthony J.)</t>
  </si>
  <si>
    <t>1119125837:eng</t>
  </si>
  <si>
    <t>794556027</t>
  </si>
  <si>
    <t>ocn794556027</t>
  </si>
  <si>
    <t>3103456408X</t>
  </si>
  <si>
    <t>9781107017566</t>
  </si>
  <si>
    <t>794920019</t>
  </si>
  <si>
    <t>P302.814 M66 2011</t>
  </si>
  <si>
    <t>0                      P  0302814M  66          2011</t>
  </si>
  <si>
    <t>Quoting Speech in Early English / Colette Moore.</t>
  </si>
  <si>
    <t>Moore, Colette.</t>
  </si>
  <si>
    <t>659665672:eng</t>
  </si>
  <si>
    <t>665137576</t>
  </si>
  <si>
    <t>ocn665137576</t>
  </si>
  <si>
    <t>3103233311V</t>
  </si>
  <si>
    <t>9780521199087</t>
  </si>
  <si>
    <t>794844625</t>
  </si>
  <si>
    <t>P302.815 B536 2009</t>
  </si>
  <si>
    <t>0                      P  0302815B  536         2009</t>
  </si>
  <si>
    <t>Register, genre, and style / Douglas Biber, Susan Conrad.</t>
  </si>
  <si>
    <t>195932874:eng</t>
  </si>
  <si>
    <t>318871987</t>
  </si>
  <si>
    <t>ocn318871987</t>
  </si>
  <si>
    <t>31031305372</t>
  </si>
  <si>
    <t>9780521860604</t>
  </si>
  <si>
    <t>794482669</t>
  </si>
  <si>
    <t>P302.82 R47 1994</t>
  </si>
  <si>
    <t>0                      P  0302820R  47          1994</t>
  </si>
  <si>
    <t>Repetition in discourse / edited by Barbara Johnstone.</t>
  </si>
  <si>
    <t>Norwood, N.J. : Ablex Pub. Co., ©1994.</t>
  </si>
  <si>
    <t>Advances in discourse processes ; v. 47-48</t>
  </si>
  <si>
    <t>2003-11-19</t>
  </si>
  <si>
    <t>134614951:eng</t>
  </si>
  <si>
    <t>27066308</t>
  </si>
  <si>
    <t>ocm27066308</t>
  </si>
  <si>
    <t>3102776571W</t>
  </si>
  <si>
    <t>9780893918309</t>
  </si>
  <si>
    <t>793258141</t>
  </si>
  <si>
    <t>3102776576W</t>
  </si>
  <si>
    <t>793258142</t>
  </si>
  <si>
    <t>P302.84 A54 2015</t>
  </si>
  <si>
    <t>0                      P  0302840A  54          2015</t>
  </si>
  <si>
    <t>Interventions critiques / v.6, Articles parus entre 2010 et 2014/ Marc Angenot.</t>
  </si>
  <si>
    <t>[Montréal] : Presses de l'Université McGill, ©2015.</t>
  </si>
  <si>
    <t>Discours social ; nouv. série., v. 47 (2015)</t>
  </si>
  <si>
    <t>2016-08-09</t>
  </si>
  <si>
    <t>3376791406:fre</t>
  </si>
  <si>
    <t>919501178</t>
  </si>
  <si>
    <t>ocn919501178</t>
  </si>
  <si>
    <t>3103634080A</t>
  </si>
  <si>
    <t>795001911</t>
  </si>
  <si>
    <t>P302.84 A5425 2006</t>
  </si>
  <si>
    <t>0                      P  0302840A  5425        2006</t>
  </si>
  <si>
    <t>Dialogues de sourds : doxa, idéologies, coupures argumentatives / Marc Angenot.</t>
  </si>
  <si>
    <t>Discours social ; nouv. sér., v.23 = Social discourse ; new ser., v.23</t>
  </si>
  <si>
    <t>137874709:fre</t>
  </si>
  <si>
    <t>316030640</t>
  </si>
  <si>
    <t>ocn316030640</t>
  </si>
  <si>
    <t>3102851588H</t>
  </si>
  <si>
    <t>794440993</t>
  </si>
  <si>
    <t>2014-11-14</t>
  </si>
  <si>
    <t>3102851583H</t>
  </si>
  <si>
    <t>794440992</t>
  </si>
  <si>
    <t>P302.84 A543</t>
  </si>
  <si>
    <t>0                      P  0302840A  543</t>
  </si>
  <si>
    <t>Interventions critiques. v.1, Questions d'analyse du discours, de rhetorique et de theorie du discours social / Marc Angenot.</t>
  </si>
  <si>
    <t>Discours social ; nouv. sér., v. 8 = Social discourse ; new ser., v.8</t>
  </si>
  <si>
    <t>3770531907:fre</t>
  </si>
  <si>
    <t>61566101</t>
  </si>
  <si>
    <t>ocm61566101</t>
  </si>
  <si>
    <t>3102776556$</t>
  </si>
  <si>
    <t>794000253</t>
  </si>
  <si>
    <t>P302.84 B58 1998</t>
  </si>
  <si>
    <t>0                      P  0302840B  58          1998</t>
  </si>
  <si>
    <t>Debating diversity : analysing the discourse of tolerance / Jan Blommaert and Jef Verschueren.</t>
  </si>
  <si>
    <t>2019-05-12</t>
  </si>
  <si>
    <t>793087947:eng</t>
  </si>
  <si>
    <t>38738902</t>
  </si>
  <si>
    <t>ocm38738902</t>
  </si>
  <si>
    <t>3102776551$</t>
  </si>
  <si>
    <t>9780415191371</t>
  </si>
  <si>
    <t>793529567</t>
  </si>
  <si>
    <t>P302.84 B585 2005</t>
  </si>
  <si>
    <t>0                      P  0302840B  585         2005</t>
  </si>
  <si>
    <t>Discourse : a critical introduction / Jan Blommaert.</t>
  </si>
  <si>
    <t>801616229:eng</t>
  </si>
  <si>
    <t>54852921</t>
  </si>
  <si>
    <t>ocm54852921</t>
  </si>
  <si>
    <t>3102490668Q</t>
  </si>
  <si>
    <t>9780521828178</t>
  </si>
  <si>
    <t>793869265</t>
  </si>
  <si>
    <t>P302.84 C66 2006</t>
  </si>
  <si>
    <t>0                      P  0302840C  66          2006</t>
  </si>
  <si>
    <t>Constructing crime : perspectives on making news and social problems / Gary W. Potter, Victor E. Kappeler, [editors].</t>
  </si>
  <si>
    <t>Long Grove, Ill. : Waveland Press, ©2006.</t>
  </si>
  <si>
    <t>41524955:eng</t>
  </si>
  <si>
    <t>69628912</t>
  </si>
  <si>
    <t>ocm69628912</t>
  </si>
  <si>
    <t>3102598447Z</t>
  </si>
  <si>
    <t>9781577664468</t>
  </si>
  <si>
    <t>794146344</t>
  </si>
  <si>
    <t>P302.84 C85 1997</t>
  </si>
  <si>
    <t>0                      P  0302840C  85          1997</t>
  </si>
  <si>
    <t>Culture, power, and difference : discourse analysis in South Africa / edited by Ann Levett [and others].</t>
  </si>
  <si>
    <t>London ; Atlantic Highlands, N.J. : Zed Books ; Cape Town : University of Cape Town Press, 1997.</t>
  </si>
  <si>
    <t>836984791:eng</t>
  </si>
  <si>
    <t>34984296</t>
  </si>
  <si>
    <t>ocm34984296</t>
  </si>
  <si>
    <t>3102776570W</t>
  </si>
  <si>
    <t>9781856494717</t>
  </si>
  <si>
    <t>793440451</t>
  </si>
  <si>
    <t>P302.84 D54 2013</t>
  </si>
  <si>
    <t>0                      P  0302840D  54          2013</t>
  </si>
  <si>
    <t>Discourse 2.0 : language and new media / Deborah Tannen and Anna Marie Trester, editors.</t>
  </si>
  <si>
    <t>Washington, DC : Georgetown University Press, ©2013.</t>
  </si>
  <si>
    <t>Georgetown University Round Table on Languages and Linguistics Series</t>
  </si>
  <si>
    <t>2018-11-07</t>
  </si>
  <si>
    <t>1107587787:eng</t>
  </si>
  <si>
    <t>793340030</t>
  </si>
  <si>
    <t>ocn793340030</t>
  </si>
  <si>
    <t>31034856782</t>
  </si>
  <si>
    <t>9781589019546</t>
  </si>
  <si>
    <t>794918021</t>
  </si>
  <si>
    <t>31034856792</t>
  </si>
  <si>
    <t>794918022</t>
  </si>
  <si>
    <t>P302.84 D543 2009</t>
  </si>
  <si>
    <t>0                      P  0302840D  543         2009</t>
  </si>
  <si>
    <t>Society and discourse : how social contexts influence text and talk / Teun A. van Dijk.</t>
  </si>
  <si>
    <t>801154409:eng</t>
  </si>
  <si>
    <t>233543886</t>
  </si>
  <si>
    <t>ocn233543886</t>
  </si>
  <si>
    <t>3102856041K</t>
  </si>
  <si>
    <t>9780521516907</t>
  </si>
  <si>
    <t>794366175</t>
  </si>
  <si>
    <t>P302.84 D574 2005</t>
  </si>
  <si>
    <t>0                      P  0302840D  574         2005</t>
  </si>
  <si>
    <t>Discourse in action : introducing mediated discourse analysis / edited by Sigrid Norris and Rodney H. Jones.</t>
  </si>
  <si>
    <t>Abingdon, Oxon ; New York, NY : Routledge, 2005.</t>
  </si>
  <si>
    <t>2017-02-05</t>
  </si>
  <si>
    <t>1054056436:eng</t>
  </si>
  <si>
    <t>56657384</t>
  </si>
  <si>
    <t>ocm56657384</t>
  </si>
  <si>
    <t>3102495630C</t>
  </si>
  <si>
    <t>9780415366175</t>
  </si>
  <si>
    <t>793898487</t>
  </si>
  <si>
    <t>P302.84 D5743 2008</t>
  </si>
  <si>
    <t>0                      P  0302840D  5743        2008</t>
  </si>
  <si>
    <t>Discourse theory and cultural analysis : media, arts and literature / edited by Nico Carpentier, Erik Spinoy.</t>
  </si>
  <si>
    <t>The Hampton Press communication series. Popular culture</t>
  </si>
  <si>
    <t>907350850:eng</t>
  </si>
  <si>
    <t>226308096</t>
  </si>
  <si>
    <t>ocn226308096</t>
  </si>
  <si>
    <t>3103062428R</t>
  </si>
  <si>
    <t>9781572738096</t>
  </si>
  <si>
    <t>794344861</t>
  </si>
  <si>
    <t>P302.84 L36 1997</t>
  </si>
  <si>
    <t>0                      P  0302840L  36          1997</t>
  </si>
  <si>
    <t>The language and politics of exclusion : others in discourse / edited by Stephen Harold Riggins.</t>
  </si>
  <si>
    <t>807781881:eng</t>
  </si>
  <si>
    <t>36246081</t>
  </si>
  <si>
    <t>ocm36246081</t>
  </si>
  <si>
    <t>31027765441</t>
  </si>
  <si>
    <t>9780761907282</t>
  </si>
  <si>
    <t>793470395</t>
  </si>
  <si>
    <t>P302.84 O34 2014</t>
  </si>
  <si>
    <t>0                      P  0302840O  34          2014</t>
  </si>
  <si>
    <t>Discours d'autorité, discours autorisés : faire référence et dire l'institution / dossier présenté par Claire Oger ; sous la direction d'Yves Jeanneret, professeur à l'Université Paris-Sorbonne (CELSA).</t>
  </si>
  <si>
    <t>Oger, Claire, author.</t>
  </si>
  <si>
    <t>Paris : Université Paris-Sorbonne, CELSA, École doctorale Concepts en langages, [2014?]</t>
  </si>
  <si>
    <t>2235260675:fre</t>
  </si>
  <si>
    <t>896967284</t>
  </si>
  <si>
    <t>ocn896967284</t>
  </si>
  <si>
    <t>3103561710V</t>
  </si>
  <si>
    <t>794984709</t>
  </si>
  <si>
    <t>P302.84 P48 2002</t>
  </si>
  <si>
    <t>0                      P  0302840P  48          2002</t>
  </si>
  <si>
    <t>Discourse analysis : investigating processes of social construction / Nelson Phillips, Cynthia Hardy.</t>
  </si>
  <si>
    <t>Phillips, Nelson, author.</t>
  </si>
  <si>
    <t>Thousand Oaks, CA : Sage Publications, ©2002.</t>
  </si>
  <si>
    <t>Qualitative research methods ; v. 50</t>
  </si>
  <si>
    <t>838757687:eng</t>
  </si>
  <si>
    <t>49225323</t>
  </si>
  <si>
    <t>ocm49225323</t>
  </si>
  <si>
    <t>3103505143K</t>
  </si>
  <si>
    <t>9780761923619</t>
  </si>
  <si>
    <t>793735051</t>
  </si>
  <si>
    <t>P302.84 R63 2011</t>
  </si>
  <si>
    <t>0                      P  0302840R  63          2011</t>
  </si>
  <si>
    <t>The life of voices : bodies, subjects and dialogue / B. Hannah Rockwell.</t>
  </si>
  <si>
    <t>Rockwell, B. Hannah.</t>
  </si>
  <si>
    <t>686141806:eng</t>
  </si>
  <si>
    <t>670324906</t>
  </si>
  <si>
    <t>ocn670324906</t>
  </si>
  <si>
    <t>3103364096$</t>
  </si>
  <si>
    <t>9780805821918</t>
  </si>
  <si>
    <t>794847652</t>
  </si>
  <si>
    <t>P302.84 S24 2011</t>
  </si>
  <si>
    <t>0                      P  0302840S  24          2011</t>
  </si>
  <si>
    <t>Salience : multidisciplinary perspectives on its function in discourse / edited by Christian Chiarcos, Berry Claus, Michael Grabski.</t>
  </si>
  <si>
    <t>Trends in linguistics. Studies and monographs ; 227</t>
  </si>
  <si>
    <t>796525685:eng</t>
  </si>
  <si>
    <t>661048245</t>
  </si>
  <si>
    <t>ocn661048245</t>
  </si>
  <si>
    <t>3103364957H</t>
  </si>
  <si>
    <t>9783110240726</t>
  </si>
  <si>
    <t>794837051</t>
  </si>
  <si>
    <t>P302.84 S244 2011</t>
  </si>
  <si>
    <t>0                      P  0302840S  244         2011</t>
  </si>
  <si>
    <t>Salience and defaults in utterance processing / edited by Kasia M. Jaszczolt, Keith Allan.</t>
  </si>
  <si>
    <t>Mouton series in pragmatics ; 12</t>
  </si>
  <si>
    <t>1004162225:eng</t>
  </si>
  <si>
    <t>747947335</t>
  </si>
  <si>
    <t>ocn747947335</t>
  </si>
  <si>
    <t>3103421741E</t>
  </si>
  <si>
    <t>9783110270587</t>
  </si>
  <si>
    <t>794888697</t>
  </si>
  <si>
    <t>P302.84 S275 2013</t>
  </si>
  <si>
    <t>0                      P  0302840S  275         2013</t>
  </si>
  <si>
    <t>Sports discourse / Tony Schirato.</t>
  </si>
  <si>
    <t>Schirato, Tony, author.</t>
  </si>
  <si>
    <t>Bloomsbury discourse</t>
  </si>
  <si>
    <t>1360834409:eng</t>
  </si>
  <si>
    <t>849209695</t>
  </si>
  <si>
    <t>ocn849209695</t>
  </si>
  <si>
    <t>3103504535E</t>
  </si>
  <si>
    <t>9781441119193</t>
  </si>
  <si>
    <t>794950074</t>
  </si>
  <si>
    <t>P302.84 S46 2011</t>
  </si>
  <si>
    <t>0                      P  0302840S  46          2011</t>
  </si>
  <si>
    <t>Semiotic margins : meaning in multimodalities / edited by Shoshana Dreyfus, Susan Hood and Maree Stenglin.</t>
  </si>
  <si>
    <t>794589871:eng</t>
  </si>
  <si>
    <t>703391617</t>
  </si>
  <si>
    <t>ocn703391617</t>
  </si>
  <si>
    <t>3103324476B</t>
  </si>
  <si>
    <t>9781441173225</t>
  </si>
  <si>
    <t>794864860</t>
  </si>
  <si>
    <t>P302.84 T48 1996</t>
  </si>
  <si>
    <t>0                      P  0302840T  48          1996</t>
  </si>
  <si>
    <t>Texts and practices : readings in critical discourse analysis / edited by Carmen Rosa Caldas-Coulthard and Malcolm Couthard.</t>
  </si>
  <si>
    <t>800742978:eng</t>
  </si>
  <si>
    <t>32396733</t>
  </si>
  <si>
    <t>ocm32396733</t>
  </si>
  <si>
    <t>3102776574W</t>
  </si>
  <si>
    <t>9780415121422</t>
  </si>
  <si>
    <t>793383080</t>
  </si>
  <si>
    <t>P302.84 Y68 2006</t>
  </si>
  <si>
    <t>0                      P  0302840Y  68          2006</t>
  </si>
  <si>
    <t>The power of language : how discourse influences society / Lynne Young and Brigid Fitzgerald.</t>
  </si>
  <si>
    <t>Young, Lynne.</t>
  </si>
  <si>
    <t>London ; Oakville, CT : Equinox Pub., 2006.</t>
  </si>
  <si>
    <t>367878962:eng</t>
  </si>
  <si>
    <t>61178165</t>
  </si>
  <si>
    <t>ocm61178165</t>
  </si>
  <si>
    <t>3102567871$</t>
  </si>
  <si>
    <t>9781845530143</t>
  </si>
  <si>
    <t>793948142</t>
  </si>
  <si>
    <t>P302.865 D47 2012</t>
  </si>
  <si>
    <t>0                      P  0302865D  47          2012</t>
  </si>
  <si>
    <t>Discourse and creativity / edited by Rodney H. Jones.</t>
  </si>
  <si>
    <t>Harlow, England ; New York : Pearson Longman, 2012.</t>
  </si>
  <si>
    <t>1011181087:eng</t>
  </si>
  <si>
    <t>753351194</t>
  </si>
  <si>
    <t>ocn753351194</t>
  </si>
  <si>
    <t>3103413244Q</t>
  </si>
  <si>
    <t>9781408251881</t>
  </si>
  <si>
    <t>794892111</t>
  </si>
  <si>
    <t>P302.87 B46 1995</t>
  </si>
  <si>
    <t>0                      P  0302870B  46          1995</t>
  </si>
  <si>
    <t>Accounts, excuses, and apologies : a theory of image restoration strategies / William L. Benoit.</t>
  </si>
  <si>
    <t>Benoit, William L.</t>
  </si>
  <si>
    <t>Albany : State University of New York Press, ©1995.</t>
  </si>
  <si>
    <t>SUNY series in speech communication</t>
  </si>
  <si>
    <t>836938993:eng</t>
  </si>
  <si>
    <t>31012260</t>
  </si>
  <si>
    <t>ocm31012260</t>
  </si>
  <si>
    <t>3102776554$</t>
  </si>
  <si>
    <t>9780791421857</t>
  </si>
  <si>
    <t>793351387</t>
  </si>
  <si>
    <t>P304 C66 2000</t>
  </si>
  <si>
    <t>0                      P  0304000C  66          2000</t>
  </si>
  <si>
    <t>Language play, language learning / Guy Cook.</t>
  </si>
  <si>
    <t>144336827:eng</t>
  </si>
  <si>
    <t>43528819</t>
  </si>
  <si>
    <t>ocm43528819</t>
  </si>
  <si>
    <t>3102399676V</t>
  </si>
  <si>
    <t>9780194421539</t>
  </si>
  <si>
    <t>793628731</t>
  </si>
  <si>
    <t>P304 C79 2001</t>
  </si>
  <si>
    <t>0                      P  0304000C  79          2001</t>
  </si>
  <si>
    <t>Language play / David Crystal ; illustrations by Ed McLachlan.</t>
  </si>
  <si>
    <t>University of Chicago Press ed.</t>
  </si>
  <si>
    <t>11186613:eng</t>
  </si>
  <si>
    <t>45620578</t>
  </si>
  <si>
    <t>ocm45620578</t>
  </si>
  <si>
    <t>3102776559$</t>
  </si>
  <si>
    <t>9780226122052</t>
  </si>
  <si>
    <t>793674923</t>
  </si>
  <si>
    <t>P305 D36 2013</t>
  </si>
  <si>
    <t>0                      P  0305000D  36          2013</t>
  </si>
  <si>
    <t>Dans tous les sens du terme / sous la direction de Jean Quiron, Loïc Depecker et Louis-Jean Rousseau.</t>
  </si>
  <si>
    <t>[Ottawa] : Presses de l'Université d'Ottawa : Office québecois de la langue française, 2013.</t>
  </si>
  <si>
    <t>Collection Regards sur la traduction, 1480-7734</t>
  </si>
  <si>
    <t>1208365652:fre</t>
  </si>
  <si>
    <t>841484224</t>
  </si>
  <si>
    <t>ocn841484224</t>
  </si>
  <si>
    <t>31035147049</t>
  </si>
  <si>
    <t>9782760307902</t>
  </si>
  <si>
    <t>794946872</t>
  </si>
  <si>
    <t>P305 D82 1997</t>
  </si>
  <si>
    <t>0                      P  0305000D  82          1997</t>
  </si>
  <si>
    <t>Terminology : a practical approach / Robert Dubuc ; adapted by Elaine Kennedy ; with contributions by Catherine A. Bowman, Andy Lauriston, Shirley Ledrew.</t>
  </si>
  <si>
    <t>Dubuc, Robert, 1930-</t>
  </si>
  <si>
    <t>Brossard, Qué. : Linguatech, 1997.</t>
  </si>
  <si>
    <t>3149214:eng</t>
  </si>
  <si>
    <t>37491934</t>
  </si>
  <si>
    <t>ocm37491934</t>
  </si>
  <si>
    <t>3103328568V</t>
  </si>
  <si>
    <t>9782920342309</t>
  </si>
  <si>
    <t>793499984</t>
  </si>
  <si>
    <t>P305 L46 2004</t>
  </si>
  <si>
    <t>0                      P  0305000L  46          2004</t>
  </si>
  <si>
    <t>La terminologie : principes et techniques / Marie-Claude L'Homme.</t>
  </si>
  <si>
    <t>L'Homme, Marie-Claude.</t>
  </si>
  <si>
    <t>Montréal : Presses de l'Université de Montréal, 2004.</t>
  </si>
  <si>
    <t>835997786:fre</t>
  </si>
  <si>
    <t>55511118</t>
  </si>
  <si>
    <t>ocm55511118</t>
  </si>
  <si>
    <t>3102553565V</t>
  </si>
  <si>
    <t>9782760619494</t>
  </si>
  <si>
    <t>793877549</t>
  </si>
  <si>
    <t>P305 M675 2017</t>
  </si>
  <si>
    <t>0                      P  0305000M  675         2017</t>
  </si>
  <si>
    <t>Ces mots qui pensent à notre place : petits échantillons de cette novlangue qui nous aliène / Patrick Moreau.</t>
  </si>
  <si>
    <t>Moreau, Patrick, 1967- author.</t>
  </si>
  <si>
    <t>Montréal : Liber, [2017]</t>
  </si>
  <si>
    <t>4845372988:fre</t>
  </si>
  <si>
    <t>1012852218</t>
  </si>
  <si>
    <t>on1012852218</t>
  </si>
  <si>
    <t>3103728942Z</t>
  </si>
  <si>
    <t>9782895786269</t>
  </si>
  <si>
    <t>795046654</t>
  </si>
  <si>
    <t>P305 R387 2000</t>
  </si>
  <si>
    <t>0                      P  0305000R  387         2000</t>
  </si>
  <si>
    <t>Assessing vocabulary / John Read.</t>
  </si>
  <si>
    <t>Read, John A. S.</t>
  </si>
  <si>
    <t>Cambridge ; New York : Cambridge University Press, 2000</t>
  </si>
  <si>
    <t>148215751:eng</t>
  </si>
  <si>
    <t>42791431</t>
  </si>
  <si>
    <t>ocm42791431</t>
  </si>
  <si>
    <t>3103400581Q</t>
  </si>
  <si>
    <t>9780521627412</t>
  </si>
  <si>
    <t>793614478</t>
  </si>
  <si>
    <t>P305 R65 1984</t>
  </si>
  <si>
    <t>0                      P  0305000R  65          1984</t>
  </si>
  <si>
    <t>Introduction à la terminologie / Guy Rondeau.</t>
  </si>
  <si>
    <t>Rondeau, Guy, 1930-</t>
  </si>
  <si>
    <t>Chicoutimi, Québec : G. Morin, 1984.</t>
  </si>
  <si>
    <t>4420079:fre</t>
  </si>
  <si>
    <t>15975955</t>
  </si>
  <si>
    <t>ocm15975955</t>
  </si>
  <si>
    <t>31026829584</t>
  </si>
  <si>
    <t>9782891051378</t>
  </si>
  <si>
    <t>792949746</t>
  </si>
  <si>
    <t>P305 T4437 2010</t>
  </si>
  <si>
    <t>0                      P  0305000T  4437        2010</t>
  </si>
  <si>
    <t>Terminology in everyday life / edited by Marcel Thelen, Frieda Steurs.</t>
  </si>
  <si>
    <t>Terminology and lexicography research and practice, 1388-8455 ; v. 13</t>
  </si>
  <si>
    <t>888314518:eng</t>
  </si>
  <si>
    <t>460712681</t>
  </si>
  <si>
    <t>ocn460712681</t>
  </si>
  <si>
    <t>3103241431R</t>
  </si>
  <si>
    <t>9789027223371</t>
  </si>
  <si>
    <t>794791206</t>
  </si>
  <si>
    <t>P305 T475 2018</t>
  </si>
  <si>
    <t>0                      P  0305000T  475         2018</t>
  </si>
  <si>
    <t>Terminoloxía : a necesidade da colaboración / Manuel González González, María-Dolores Sánchez-Palomino, Inés Veiga Mateos (eds.).</t>
  </si>
  <si>
    <t>glg</t>
  </si>
  <si>
    <t>4936761795:glg</t>
  </si>
  <si>
    <t>1030919008</t>
  </si>
  <si>
    <t>on1030919008</t>
  </si>
  <si>
    <t>3103794094U</t>
  </si>
  <si>
    <t>9788416922871</t>
  </si>
  <si>
    <t>795054950</t>
  </si>
  <si>
    <t>P305 V564 1997</t>
  </si>
  <si>
    <t>0                      P  0305000V  564         1997</t>
  </si>
  <si>
    <t>Vocabulary : description, acquisition and pedagogy / edited by Norbert Schmitt and Michael McCarthy.</t>
  </si>
  <si>
    <t>3856023095:eng</t>
  </si>
  <si>
    <t>37748597</t>
  </si>
  <si>
    <t>ocm37748597</t>
  </si>
  <si>
    <t>3101970180Y</t>
  </si>
  <si>
    <t>9780521584845</t>
  </si>
  <si>
    <t>793506194</t>
  </si>
  <si>
    <t>P305.15 C3 D44 2008</t>
  </si>
  <si>
    <t>0                      P  0305150C  3                  D  44          2008</t>
  </si>
  <si>
    <t>La terminologie au Canada : histoire d'une profession / Jean Delisle.</t>
  </si>
  <si>
    <t>Delisle, Jean.</t>
  </si>
  <si>
    <t>Montréal : Linguatech, ©2008.</t>
  </si>
  <si>
    <t>502180549:fre</t>
  </si>
  <si>
    <t>271188446</t>
  </si>
  <si>
    <t>ocn271188446</t>
  </si>
  <si>
    <t>3102707547W</t>
  </si>
  <si>
    <t>9782920342569</t>
  </si>
  <si>
    <t>794413758</t>
  </si>
  <si>
    <t>P305.18 T33 A43 2006</t>
  </si>
  <si>
    <t>0                      P  0305180T  33                 A  43          2006</t>
  </si>
  <si>
    <t>Forbidden words : taboo and the censoring of language / Keith Allan and Kate Burridge.</t>
  </si>
  <si>
    <t>2017-03-14</t>
  </si>
  <si>
    <t>793204368:eng</t>
  </si>
  <si>
    <t>64065804</t>
  </si>
  <si>
    <t>ocm64065804</t>
  </si>
  <si>
    <t>3102566445L</t>
  </si>
  <si>
    <t>9780521819602</t>
  </si>
  <si>
    <t>794123747</t>
  </si>
  <si>
    <t>P305.19 C64 B54 2012</t>
  </si>
  <si>
    <t>0                      P  0305190C  64                 B  54          2012</t>
  </si>
  <si>
    <t>The semantics of colour : a historical approach / C.P. Biggam.</t>
  </si>
  <si>
    <t>Biggam, C. P. (Carole Patricia), 1946-</t>
  </si>
  <si>
    <t>1106148196:eng</t>
  </si>
  <si>
    <t>759914928</t>
  </si>
  <si>
    <t>ocn759914928</t>
  </si>
  <si>
    <t>3103423283D</t>
  </si>
  <si>
    <t>9780521899925</t>
  </si>
  <si>
    <t>794897964</t>
  </si>
  <si>
    <t>P305.19 C64 B73 2009</t>
  </si>
  <si>
    <t>0                      P  0305190C  64                 B  73          2009</t>
  </si>
  <si>
    <t>Colour and meaning in ancient Rome / by Mark Bradley.</t>
  </si>
  <si>
    <t>Bradley, Mark, 1977-</t>
  </si>
  <si>
    <t>763006319:eng</t>
  </si>
  <si>
    <t>422765004</t>
  </si>
  <si>
    <t>ocn422765004</t>
  </si>
  <si>
    <t>3103156821Z</t>
  </si>
  <si>
    <t>9780521110426</t>
  </si>
  <si>
    <t>794505849</t>
  </si>
  <si>
    <t>P305.19 F66 D43 2017</t>
  </si>
  <si>
    <t>0                      P  0305190F  66                 D  43          2017</t>
  </si>
  <si>
    <t>De América a Europa : denominaciones de alimentos americanos en lenguas europeas / Erla Erlendsdóttir, Emma Martinell, Ingmar Söhrman (eds.).</t>
  </si>
  <si>
    <t>Madrid : Iberoamericana ; Frankfurt am Main : Vervuert, 2017.</t>
  </si>
  <si>
    <t>4652689437:spa</t>
  </si>
  <si>
    <t>1018284310</t>
  </si>
  <si>
    <t>on1018284310</t>
  </si>
  <si>
    <t>3103719839T</t>
  </si>
  <si>
    <t>9788416922536</t>
  </si>
  <si>
    <t>795048956</t>
  </si>
  <si>
    <t>P305.19 W37 D43 2017</t>
  </si>
  <si>
    <t>0                      P  0305190W  37                 D  43          2017</t>
  </si>
  <si>
    <t>Les déchets mis en mots / sous la direction de Cécile Desoutter et Enrica Galazzi.</t>
  </si>
  <si>
    <t>Langue et parole</t>
  </si>
  <si>
    <t>4167423810:fre</t>
  </si>
  <si>
    <t>978554193</t>
  </si>
  <si>
    <t>ocn978554193</t>
  </si>
  <si>
    <t>3103793002T</t>
  </si>
  <si>
    <t>9782343111810</t>
  </si>
  <si>
    <t>795033334</t>
  </si>
  <si>
    <t>P306 A1 T7</t>
  </si>
  <si>
    <t>0                      P  0306000A  1                  T  7</t>
  </si>
  <si>
    <t>La Traduzione. Saggi e studi ...</t>
  </si>
  <si>
    <t>Trieste, LINT, 1973.</t>
  </si>
  <si>
    <t>8913030964:fre</t>
  </si>
  <si>
    <t>896794</t>
  </si>
  <si>
    <t>ocm00896794</t>
  </si>
  <si>
    <t>3102776591S</t>
  </si>
  <si>
    <t>791496942</t>
  </si>
  <si>
    <t>P306 A35 2007</t>
  </si>
  <si>
    <t>0                      P  0306000A  35          2007</t>
  </si>
  <si>
    <t>Across boundaries : international perspectives on translation studies / edited by Dorothy Kenny and Kyongjoo Ryou.</t>
  </si>
  <si>
    <t>International Association for Translation &amp; Intercultural Studies. International Conference (1st : 2004 : Seoul, Korea)</t>
  </si>
  <si>
    <t>Newcastle, UK : Cambridge Scholars Publishing, 2007.</t>
  </si>
  <si>
    <t>763739290:eng</t>
  </si>
  <si>
    <t>170954650</t>
  </si>
  <si>
    <t>ocn170954650</t>
  </si>
  <si>
    <t>31025725020</t>
  </si>
  <si>
    <t>9781847182425</t>
  </si>
  <si>
    <t>794263694</t>
  </si>
  <si>
    <t>P306 A58 2006</t>
  </si>
  <si>
    <t>0                      P  0306000A  58          2006</t>
  </si>
  <si>
    <t>The translation zone : a new comparative literature / Emily Apter.</t>
  </si>
  <si>
    <t>Apter, Emily S.</t>
  </si>
  <si>
    <t>Princeton : Princeton University Press, ©2006.</t>
  </si>
  <si>
    <t>Translation/transnation</t>
  </si>
  <si>
    <t>257347348:eng</t>
  </si>
  <si>
    <t>58457418</t>
  </si>
  <si>
    <t>ocm58457418</t>
  </si>
  <si>
    <t>3103293968A</t>
  </si>
  <si>
    <t>9780691049960</t>
  </si>
  <si>
    <t>793921424</t>
  </si>
  <si>
    <t>P306 B25 1992</t>
  </si>
  <si>
    <t>0                      P  0306000B  25          1992</t>
  </si>
  <si>
    <t>In other words : a coursebook on translation / Mona Baker.</t>
  </si>
  <si>
    <t>Baker, Mona.</t>
  </si>
  <si>
    <t>London ; New York : Routledge, ©1992.</t>
  </si>
  <si>
    <t>2018-01-19</t>
  </si>
  <si>
    <t>4982660735:eng</t>
  </si>
  <si>
    <t>24373525</t>
  </si>
  <si>
    <t>ocm24373525</t>
  </si>
  <si>
    <t>3102531886$</t>
  </si>
  <si>
    <t>9780415030854</t>
  </si>
  <si>
    <t>793196377</t>
  </si>
  <si>
    <t>P306 B26 2007</t>
  </si>
  <si>
    <t>0                      P  0306000B  26          2007</t>
  </si>
  <si>
    <t>De Cicéron a Benjamin : traducteurs, traductions, réflexions / Michel Ballard.</t>
  </si>
  <si>
    <t>Ballard, Michel.</t>
  </si>
  <si>
    <t>Villeneuve d'Ascq : Presses universitaires du Septentrion, ©2007.</t>
  </si>
  <si>
    <t>Etude de la traduction, 1242-4625</t>
  </si>
  <si>
    <t>365085687:fre</t>
  </si>
  <si>
    <t>182851133</t>
  </si>
  <si>
    <t>ocn182851133</t>
  </si>
  <si>
    <t>31028701032</t>
  </si>
  <si>
    <t>9782859399856</t>
  </si>
  <si>
    <t>794285629</t>
  </si>
  <si>
    <t>P306 B265 2013</t>
  </si>
  <si>
    <t>0                      P  0306000B  265         2013</t>
  </si>
  <si>
    <t>Histoire de la traduction : repères historiques et culturels / Michel Ballard.</t>
  </si>
  <si>
    <t>Ballard, Michel, author.</t>
  </si>
  <si>
    <t>Bruxelles : De Boeck, [2013]</t>
  </si>
  <si>
    <t>Traducto</t>
  </si>
  <si>
    <t>1413676875:fre</t>
  </si>
  <si>
    <t>882466481</t>
  </si>
  <si>
    <t>ocn882466481</t>
  </si>
  <si>
    <t>31034966195</t>
  </si>
  <si>
    <t>9782804170745</t>
  </si>
  <si>
    <t>794975091</t>
  </si>
  <si>
    <t>P306 B28</t>
  </si>
  <si>
    <t>0                      P  0306000B  28</t>
  </si>
  <si>
    <t>I︠A︡zyk i perevod : voprosy obshcheĭ i chastnoĭ teorii perevoda / L.S. Barkhudarov.</t>
  </si>
  <si>
    <t>Barchudarow, L. (Leonid)</t>
  </si>
  <si>
    <t>Moskva : Mezhdunarodnye otnoshenii︠a︡, 1975.</t>
  </si>
  <si>
    <t>10177341970:rus</t>
  </si>
  <si>
    <t>2149703</t>
  </si>
  <si>
    <t>ocm02149703</t>
  </si>
  <si>
    <t>31027766154</t>
  </si>
  <si>
    <t>792056862</t>
  </si>
  <si>
    <t>P306 B287 1993</t>
  </si>
  <si>
    <t>0                      P  0306000B  287         1993</t>
  </si>
  <si>
    <t>The poetics of translation : history, theory, practice / Willis Barnstone.</t>
  </si>
  <si>
    <t>Barnstone, Willis, 1927-</t>
  </si>
  <si>
    <t>New Haven : Yale University Press, ©1993.</t>
  </si>
  <si>
    <t>784457778:eng</t>
  </si>
  <si>
    <t>26503722</t>
  </si>
  <si>
    <t>ocm26503722</t>
  </si>
  <si>
    <t>31026409133</t>
  </si>
  <si>
    <t>9780300051896</t>
  </si>
  <si>
    <t>793246001</t>
  </si>
  <si>
    <t>2012-12-02</t>
  </si>
  <si>
    <t>31027766104</t>
  </si>
  <si>
    <t>793246002</t>
  </si>
  <si>
    <t>P306 B38 1991</t>
  </si>
  <si>
    <t>0                      P  0306000B  38          1991</t>
  </si>
  <si>
    <t>Translation studies / Susan Bassnett-McGuire.</t>
  </si>
  <si>
    <t>Bassnett, Susan.</t>
  </si>
  <si>
    <t>902842:eng</t>
  </si>
  <si>
    <t>28632616</t>
  </si>
  <si>
    <t>ocm28632616</t>
  </si>
  <si>
    <t>3102776595S</t>
  </si>
  <si>
    <t>9780415065283</t>
  </si>
  <si>
    <t>793292439</t>
  </si>
  <si>
    <t>P306 B38 2002</t>
  </si>
  <si>
    <t>0                      P  0306000B  38          2002</t>
  </si>
  <si>
    <t>Translation studies / Susan Bassnett.</t>
  </si>
  <si>
    <t>50227305</t>
  </si>
  <si>
    <t>ocm50227305</t>
  </si>
  <si>
    <t>31027766006</t>
  </si>
  <si>
    <t>9780415280136</t>
  </si>
  <si>
    <t>793758292</t>
  </si>
  <si>
    <t>P306 B39 1991</t>
  </si>
  <si>
    <t>0                      P  0306000B  39          1991</t>
  </si>
  <si>
    <t>Translation and translating : theory and practice / Roger T. Bell ; [general editor, C.N. Candlin].</t>
  </si>
  <si>
    <t>Bell, Roger T.</t>
  </si>
  <si>
    <t>London ; New York : Longman, 1991</t>
  </si>
  <si>
    <t>177242:eng</t>
  </si>
  <si>
    <t>22592954</t>
  </si>
  <si>
    <t>ocm22592954</t>
  </si>
  <si>
    <t>31026409183</t>
  </si>
  <si>
    <t>9780582016484</t>
  </si>
  <si>
    <t>793148610</t>
  </si>
  <si>
    <t>P306 B394 2011</t>
  </si>
  <si>
    <t>0                      P  0306000B  394         2011</t>
  </si>
  <si>
    <t>Is that a fish in your ear? : translation and the meaning of everything / David Bellos.</t>
  </si>
  <si>
    <t>Bellos, David.</t>
  </si>
  <si>
    <t>New York : Faber and Faber, 2011.</t>
  </si>
  <si>
    <t>936446780:eng</t>
  </si>
  <si>
    <t>706020960</t>
  </si>
  <si>
    <t>ocn706020960</t>
  </si>
  <si>
    <t>3103382907P</t>
  </si>
  <si>
    <t>9780865478572</t>
  </si>
  <si>
    <t>794866496</t>
  </si>
  <si>
    <t>P306 B436 2008</t>
  </si>
  <si>
    <t>0                      P  0306000B  436         2008</t>
  </si>
  <si>
    <t>L'âge de la traduction : la tâche du traducteur de Walter Benjamin, un commentaire / Antoine Berman ; texte établi par Isabelle Berman ; avec la collaboration de Valentina Sommella.</t>
  </si>
  <si>
    <t>Berman, Antoine.</t>
  </si>
  <si>
    <t>Saint-Denis : Presses universitaires de Vincennes, 2008.</t>
  </si>
  <si>
    <t>Intempestives</t>
  </si>
  <si>
    <t>195269833:fre</t>
  </si>
  <si>
    <t>436026315</t>
  </si>
  <si>
    <t>ocn436026315</t>
  </si>
  <si>
    <t>3103212696K</t>
  </si>
  <si>
    <t>9782842922221</t>
  </si>
  <si>
    <t>794784047</t>
  </si>
  <si>
    <t>P306 B447 2011</t>
  </si>
  <si>
    <t>0                      P  0306000B  447         2011</t>
  </si>
  <si>
    <t>Beyond borders : translations moving languages, literatures and cultures / Pekka Kujamäki [and others], eds.</t>
  </si>
  <si>
    <t>Berlin : Frank &amp; Timme, 2011.</t>
  </si>
  <si>
    <t>TransÜD ; 39</t>
  </si>
  <si>
    <t>2012-10-16</t>
  </si>
  <si>
    <t>865996738:eng</t>
  </si>
  <si>
    <t>712359881</t>
  </si>
  <si>
    <t>ocn712359881</t>
  </si>
  <si>
    <t>3103346307A</t>
  </si>
  <si>
    <t>9783865963567</t>
  </si>
  <si>
    <t>794871933</t>
  </si>
  <si>
    <t>P306 B49 2008</t>
  </si>
  <si>
    <t>0                      P  0306000B  49          2008</t>
  </si>
  <si>
    <t>Beyond descriptive translation studies : investigations in homage to Gideon Toury / edited by Anthony Pym, Miriam Shlesinger, Daniel Simeoni.</t>
  </si>
  <si>
    <t>Benjamins translation library, 0929-7316 ; v. 75. EST subseries</t>
  </si>
  <si>
    <t>3901247048:eng</t>
  </si>
  <si>
    <t>181335840</t>
  </si>
  <si>
    <t>ocn181335840</t>
  </si>
  <si>
    <t>3102884392V</t>
  </si>
  <si>
    <t>9789027216847</t>
  </si>
  <si>
    <t>794282155</t>
  </si>
  <si>
    <t>P306 B63 2011</t>
  </si>
  <si>
    <t>0                      P  0306000B  63          2011</t>
  </si>
  <si>
    <t>A critical introduction to translation studies / Jean Boase-Beier.</t>
  </si>
  <si>
    <t>Boase-Beier, Jean.</t>
  </si>
  <si>
    <t>770700372:eng</t>
  </si>
  <si>
    <t>694396596</t>
  </si>
  <si>
    <t>ocn694396596</t>
  </si>
  <si>
    <t>3103363737V</t>
  </si>
  <si>
    <t>9781441189127</t>
  </si>
  <si>
    <t>794857630</t>
  </si>
  <si>
    <t>P306 B66 2013</t>
  </si>
  <si>
    <t>0                      P  0306000B  66          2013</t>
  </si>
  <si>
    <t>Booldly bot meekly : essays on the theory and practice of translation in the Middle Ages in honour of Roger Ellis / edited by Catherine Batt, René Tixier.</t>
  </si>
  <si>
    <t>The medieval translator = Traduire au Moyen Âge ; volume 14</t>
  </si>
  <si>
    <t>4166809480:eng</t>
  </si>
  <si>
    <t>1038232562</t>
  </si>
  <si>
    <t>on1038232562</t>
  </si>
  <si>
    <t>31037675108</t>
  </si>
  <si>
    <t>9782503553801</t>
  </si>
  <si>
    <t>795058576</t>
  </si>
  <si>
    <t>P306 B74 1990</t>
  </si>
  <si>
    <t>0                      P  0306000B  74          1990</t>
  </si>
  <si>
    <t>Sociocritique de la traduction : théâtre et altérité au Québec (1968-1988) / Annie Brisset ; préface d'Antoine Berman.</t>
  </si>
  <si>
    <t>Brisset, Annie.</t>
  </si>
  <si>
    <t>Longueuil, Québec : Le Préambule, 1990.</t>
  </si>
  <si>
    <t>Collection L'Univers des discours, 1189-394X</t>
  </si>
  <si>
    <t>15671352:fre</t>
  </si>
  <si>
    <t>21449264</t>
  </si>
  <si>
    <t>ocm21449264</t>
  </si>
  <si>
    <t>31027766194</t>
  </si>
  <si>
    <t>9782891331142</t>
  </si>
  <si>
    <t>793119387</t>
  </si>
  <si>
    <t>P306 B7413 1996</t>
  </si>
  <si>
    <t>0                      P  0306000B  7413        1996</t>
  </si>
  <si>
    <t>A sociocritique of translation : theatre and alterity in Quebec, 1968-1988 / Annie Brisset ; translated by Rosalind Gill and Roger Gannon.</t>
  </si>
  <si>
    <t>Toronto : Buffalo : University of Toronto Press, ©1996.</t>
  </si>
  <si>
    <t>Theory/culture</t>
  </si>
  <si>
    <t>15671352:eng</t>
  </si>
  <si>
    <t>36330723</t>
  </si>
  <si>
    <t>ocm36330723</t>
  </si>
  <si>
    <t>3102987047W</t>
  </si>
  <si>
    <t>9780802005335</t>
  </si>
  <si>
    <t>793472716</t>
  </si>
  <si>
    <t>P306 C296 1998</t>
  </si>
  <si>
    <t>0                      P  0306000C  296         1998</t>
  </si>
  <si>
    <t>Translation into the second language / Stuart Campbell.</t>
  </si>
  <si>
    <t>Campbell, Stuart, 1950-</t>
  </si>
  <si>
    <t>563744:eng</t>
  </si>
  <si>
    <t>37432793</t>
  </si>
  <si>
    <t>ocm37432793</t>
  </si>
  <si>
    <t>31027766144</t>
  </si>
  <si>
    <t>9780582301887</t>
  </si>
  <si>
    <t>793498542</t>
  </si>
  <si>
    <t>2004-06-17</t>
  </si>
  <si>
    <t>3101917467F</t>
  </si>
  <si>
    <t>793498541</t>
  </si>
  <si>
    <t>P306 C32 1993</t>
  </si>
  <si>
    <t>0                      P  0306000C  32          1993</t>
  </si>
  <si>
    <t>The Medieval translator 5 = traduire au Moyen Age : [proceedings of the International Conference of Conques, 26-29 July 1993] / editors, Roger Ellis and René Tixier.</t>
  </si>
  <si>
    <t>Turnhout : Brepols, 1996.</t>
  </si>
  <si>
    <t>9592739330:eng</t>
  </si>
  <si>
    <t>54308540</t>
  </si>
  <si>
    <t>ocm54308540</t>
  </si>
  <si>
    <t>3103103768U</t>
  </si>
  <si>
    <t>9782503504483</t>
  </si>
  <si>
    <t>793859444</t>
  </si>
  <si>
    <t>P306 C36 2012</t>
  </si>
  <si>
    <t>0                      P  0306000C  36          2012</t>
  </si>
  <si>
    <t>Canada in eight tongues : translating Canada in Central Europe = Le Canada en huit langues : traduire le Canada en Europe centrale / Central European Association for Canadian Studies = Association d'Etudes Canadiennes en Europe Centrale ; [editor, Katalin Kürtösi ; assistant editor, Don Sparling].</t>
  </si>
  <si>
    <t>Brno : Masaryk University, 2012.</t>
  </si>
  <si>
    <t>1201891985:eng</t>
  </si>
  <si>
    <t>824353453</t>
  </si>
  <si>
    <t>ocn824353453</t>
  </si>
  <si>
    <t>3103480859K</t>
  </si>
  <si>
    <t>9788021059542</t>
  </si>
  <si>
    <t>794937740</t>
  </si>
  <si>
    <t>P306 C49 2006</t>
  </si>
  <si>
    <t>0                      P  0306000C  49          2006</t>
  </si>
  <si>
    <t>Charting the future of translation history / edited by Georges L. Bastin and Paul F. Bandia.</t>
  </si>
  <si>
    <t>Ottawa : University of Ottawa Press, 2006.</t>
  </si>
  <si>
    <t>Perspectives on translation, 1487-6396</t>
  </si>
  <si>
    <t>766888775:eng</t>
  </si>
  <si>
    <t>69186620</t>
  </si>
  <si>
    <t>ocm69186620</t>
  </si>
  <si>
    <t>3102552242B</t>
  </si>
  <si>
    <t>9780776606248</t>
  </si>
  <si>
    <t>794145555</t>
  </si>
  <si>
    <t>P306 C518 2012</t>
  </si>
  <si>
    <t>0                      P  0306000C  518         2012</t>
  </si>
  <si>
    <t>Traduction : histoire, théories, pratiques / Delphine Chartier.</t>
  </si>
  <si>
    <t>Chartier, Delphine.</t>
  </si>
  <si>
    <t>Toulouse : Presses universitaires du Mirail, ©2012.</t>
  </si>
  <si>
    <t>Amphi 7. Anglais</t>
  </si>
  <si>
    <t>1149511736:fre</t>
  </si>
  <si>
    <t>811421822</t>
  </si>
  <si>
    <t>ocn811421822</t>
  </si>
  <si>
    <t>3103482574H</t>
  </si>
  <si>
    <t>9782810701872</t>
  </si>
  <si>
    <t>794930093</t>
  </si>
  <si>
    <t>P306 C532 2012</t>
  </si>
  <si>
    <t>0                      P  0306000C  532         2012</t>
  </si>
  <si>
    <t>Interpretazione dialogica : le competenze per la mediazione linguistica / Francesca Chessa.</t>
  </si>
  <si>
    <t>Chessa, Francesca, 1967-</t>
  </si>
  <si>
    <t>Roma : Carocci, 2012.</t>
  </si>
  <si>
    <t>Lingue e letterature Carocci ; 153</t>
  </si>
  <si>
    <t>1789499356:ita</t>
  </si>
  <si>
    <t>828409985</t>
  </si>
  <si>
    <t>ocn828409985</t>
  </si>
  <si>
    <t>3103126155S</t>
  </si>
  <si>
    <t>9788843067763</t>
  </si>
  <si>
    <t>794941097</t>
  </si>
  <si>
    <t>P306 C534 2002</t>
  </si>
  <si>
    <t>0                      P  0306000C  534         2002</t>
  </si>
  <si>
    <t>Can theory help translators? : a dialogue between the ivory tower and the wordface / Andrew Chesterman and Emma Wagner.</t>
  </si>
  <si>
    <t>Chesterman, Andrew.</t>
  </si>
  <si>
    <t>Manchester, UK ; Northampton, MA : St. Jerome Pub., ©2002.</t>
  </si>
  <si>
    <t>Translation theories explained, 1365-0513 ; 9</t>
  </si>
  <si>
    <t>311664872:eng</t>
  </si>
  <si>
    <t>46642185</t>
  </si>
  <si>
    <t>ocm46642185</t>
  </si>
  <si>
    <t>31024883726</t>
  </si>
  <si>
    <t>9781900650496</t>
  </si>
  <si>
    <t>793688568</t>
  </si>
  <si>
    <t>P306 C56 2009</t>
  </si>
  <si>
    <t>0                      P  0306000C  56          2009</t>
  </si>
  <si>
    <t>CIUTI-Forum 2009 : translating the future: beyond today's academic &amp; professional challenges / Martin Forstner, Hannelore Lee-Jahnke &amp; Lidi Wang (eds).</t>
  </si>
  <si>
    <t>CIUTI-Forum (2009)</t>
  </si>
  <si>
    <t>866628556:eng</t>
  </si>
  <si>
    <t>712781009</t>
  </si>
  <si>
    <t>ocn712781009</t>
  </si>
  <si>
    <t>3103408169A</t>
  </si>
  <si>
    <t>9783034303125</t>
  </si>
  <si>
    <t>794872250</t>
  </si>
  <si>
    <t>P306 C56 2011</t>
  </si>
  <si>
    <t>0                      P  0306000C  56          2011</t>
  </si>
  <si>
    <t>CIUTI-Forum new needs, translators &amp; programs : on the translational tasks of the United Nations / Martin Forstner &amp; Hannelore Lee-Jahnke (eds).</t>
  </si>
  <si>
    <t>CIUTI-Forum (2011)</t>
  </si>
  <si>
    <t>900934334:eng</t>
  </si>
  <si>
    <t>699010255</t>
  </si>
  <si>
    <t>ocn699010255</t>
  </si>
  <si>
    <t>31033856984</t>
  </si>
  <si>
    <t>9783039116232</t>
  </si>
  <si>
    <t>794861335</t>
  </si>
  <si>
    <t>P306 C6566 2011</t>
  </si>
  <si>
    <t>0                      P  0306000C  6566        2011</t>
  </si>
  <si>
    <t>Complicating the history of western translation : the ancient Mediterrannean in perspective / edited by Siobhán McElduff and Enrica Sciarrino.</t>
  </si>
  <si>
    <t>Manchester, UK ; Kinderhook, NY : St. Jerome Pub., ©2011.</t>
  </si>
  <si>
    <t>865299389:eng</t>
  </si>
  <si>
    <t>711989045</t>
  </si>
  <si>
    <t>ocn711989045</t>
  </si>
  <si>
    <t>31026694345</t>
  </si>
  <si>
    <t>9781905763306</t>
  </si>
  <si>
    <t>794871518</t>
  </si>
  <si>
    <t>P306 C73 1989</t>
  </si>
  <si>
    <t>0                      P  0306000C  73          1989</t>
  </si>
  <si>
    <t>The craft of translation / edited by John Biguenet and Rainer Schulte.</t>
  </si>
  <si>
    <t>Chicago : University of Chicago Press, 1989.</t>
  </si>
  <si>
    <t>Chicago guides to writing, editing, and publishing</t>
  </si>
  <si>
    <t>2018-07-15</t>
  </si>
  <si>
    <t>368952262:eng</t>
  </si>
  <si>
    <t>19129859</t>
  </si>
  <si>
    <t>ocm19129859</t>
  </si>
  <si>
    <t>31002141440</t>
  </si>
  <si>
    <t>9780226048680</t>
  </si>
  <si>
    <t>793048200</t>
  </si>
  <si>
    <t>P306 C958 2008</t>
  </si>
  <si>
    <t>0                      P  0306000C  958         2008</t>
  </si>
  <si>
    <t>Cultures of translation / edited by Klaus Stierstorfer and Monika Gomille.</t>
  </si>
  <si>
    <t>Newcastle : Cambridge Scholars, 2008.</t>
  </si>
  <si>
    <t>355100394:eng</t>
  </si>
  <si>
    <t>239844255</t>
  </si>
  <si>
    <t>ocn239844255</t>
  </si>
  <si>
    <t>3102855429G</t>
  </si>
  <si>
    <t>9781847186959</t>
  </si>
  <si>
    <t>794375049</t>
  </si>
  <si>
    <t>Culture-bound translation and language in the global era / edited by Aleksandra Nikčević-Batrićević and Marija Knežević.</t>
  </si>
  <si>
    <t>327184906:eng</t>
  </si>
  <si>
    <t>191245070</t>
  </si>
  <si>
    <t>ocn191245070</t>
  </si>
  <si>
    <t>3102852627M</t>
  </si>
  <si>
    <t>9781847184627</t>
  </si>
  <si>
    <t>794297607</t>
  </si>
  <si>
    <t>P306 D34 2011</t>
  </si>
  <si>
    <t>0                      P  0306000D  34          2011</t>
  </si>
  <si>
    <t>Dallo stilo allo schermo : sintesi di teoria della traduzione / a cura di Charles Barone [and others].</t>
  </si>
  <si>
    <t>Pisa : Plus, 2012.</t>
  </si>
  <si>
    <t>Manuali</t>
  </si>
  <si>
    <t>2014-02-08</t>
  </si>
  <si>
    <t>1101311822:ita</t>
  </si>
  <si>
    <t>773669105</t>
  </si>
  <si>
    <t>ocn773669105</t>
  </si>
  <si>
    <t>3103125720K</t>
  </si>
  <si>
    <t>9788884928252</t>
  </si>
  <si>
    <t>794905863</t>
  </si>
  <si>
    <t>P306 D37 2011</t>
  </si>
  <si>
    <t>0                      P  0306000D  37          2011</t>
  </si>
  <si>
    <t>De la linguistique à la traductologie : interpréter-traduire / Tatiana Milliaressi, éd. ; [contributeurs François Rastier [and others]].</t>
  </si>
  <si>
    <t>Villeneuve-d'Ascq : Presses universitaires du Septentrion, 2011.</t>
  </si>
  <si>
    <t>Collection Philosophie &amp; linguistic</t>
  </si>
  <si>
    <t>985922264:fre</t>
  </si>
  <si>
    <t>746316389</t>
  </si>
  <si>
    <t>ocn746316389</t>
  </si>
  <si>
    <t>3103378002X</t>
  </si>
  <si>
    <t>9782757402191</t>
  </si>
  <si>
    <t>794887101</t>
  </si>
  <si>
    <t>P306 .D373 2013</t>
  </si>
  <si>
    <t>0                      P  0306000D  373         2013</t>
  </si>
  <si>
    <t>De la pensée aux langages : mélanges offerts à Jean-René Ladmiral / Gius Gargiulo et Florence Lautel-Ribstein, dir. ; en collaboration avec Didier Bottineau.</t>
  </si>
  <si>
    <t>Paris : Houdiard, 2013.</t>
  </si>
  <si>
    <t>1392015341:fre</t>
  </si>
  <si>
    <t>858320005</t>
  </si>
  <si>
    <t>ocn858320005</t>
  </si>
  <si>
    <t>3103556279J</t>
  </si>
  <si>
    <t>9782356920973</t>
  </si>
  <si>
    <t>794955997</t>
  </si>
  <si>
    <t>P306 D45 1985</t>
  </si>
  <si>
    <t>0                      P  0306000D  45          1985</t>
  </si>
  <si>
    <t>Difference in translation / edited with an introduction by Joseph F. Graham.</t>
  </si>
  <si>
    <t>Ithaca : Cornell University Press, 1985.</t>
  </si>
  <si>
    <t>2019-08-04</t>
  </si>
  <si>
    <t>141261482:eng</t>
  </si>
  <si>
    <t>10996116</t>
  </si>
  <si>
    <t>ocm10996116</t>
  </si>
  <si>
    <t>31034884364</t>
  </si>
  <si>
    <t>9780801417047</t>
  </si>
  <si>
    <t>792753067</t>
  </si>
  <si>
    <t>P306 E26 2004</t>
  </si>
  <si>
    <t>0                      P  0306000E  26          2004</t>
  </si>
  <si>
    <t>Mouse or rat? : translation as negotiation / Umberto Eco.</t>
  </si>
  <si>
    <t>London : Phoenix, 2004.</t>
  </si>
  <si>
    <t>838711895:eng</t>
  </si>
  <si>
    <t>62223907</t>
  </si>
  <si>
    <t>ocm62223907</t>
  </si>
  <si>
    <t>31024885358</t>
  </si>
  <si>
    <t>9780753817988</t>
  </si>
  <si>
    <t>794102392</t>
  </si>
  <si>
    <t>P306 E895 2011</t>
  </si>
  <si>
    <t>0                      P  0306000E  895         2011</t>
  </si>
  <si>
    <t>Etymologie et traduction / sous la direction de Annie Birks.</t>
  </si>
  <si>
    <t>Paris : L'Harmattan, [2011], ©2011.</t>
  </si>
  <si>
    <t>Cahiers du CIRHiLL ; no 34</t>
  </si>
  <si>
    <t>863773764:fre</t>
  </si>
  <si>
    <t>710790955</t>
  </si>
  <si>
    <t>ocn710790955</t>
  </si>
  <si>
    <t>31032969128</t>
  </si>
  <si>
    <t>9782296543706</t>
  </si>
  <si>
    <t>794870155</t>
  </si>
  <si>
    <t>P306 E923 2010</t>
  </si>
  <si>
    <t>0                      P  0306000E  923         2010</t>
  </si>
  <si>
    <t>Event or incident : on the role of translation in the dynamics of cultural exchange = Evénement ou incident : du rôle des traductions dans les processus d'échanges culturels / Ton Naaijkens (ed./éd.).</t>
  </si>
  <si>
    <t>Genèses de textes ; 3 = Textgenesen, 1662-7539 ; 3</t>
  </si>
  <si>
    <t>891172874:eng</t>
  </si>
  <si>
    <t>666406558</t>
  </si>
  <si>
    <t>ocn666406558</t>
  </si>
  <si>
    <t>31032339603</t>
  </si>
  <si>
    <t>9783034304870</t>
  </si>
  <si>
    <t>794845188</t>
  </si>
  <si>
    <t>P306 F66 1991</t>
  </si>
  <si>
    <t>0                      P  0306000F  66          1991</t>
  </si>
  <si>
    <t>Le conflit des énonciations : traduction et discours rapporté / Barbara Folkart.</t>
  </si>
  <si>
    <t>Folkart, Barbara.</t>
  </si>
  <si>
    <t>Candiac, Québec : Éditions Balzac, ©1991.</t>
  </si>
  <si>
    <t>2017-09-17</t>
  </si>
  <si>
    <t>365066280:fre</t>
  </si>
  <si>
    <t>220975613</t>
  </si>
  <si>
    <t>ocn220975613</t>
  </si>
  <si>
    <t>31027766232</t>
  </si>
  <si>
    <t>9782921425001</t>
  </si>
  <si>
    <t>794323589</t>
  </si>
  <si>
    <t>P306 G28 1989</t>
  </si>
  <si>
    <t>0                      P  0306000G  28          1989</t>
  </si>
  <si>
    <t>En torno a la traducción : teoría, crítica, historia / Valentín García Yebra.</t>
  </si>
  <si>
    <t>García Yebra, Valentín.</t>
  </si>
  <si>
    <t>Madrid : Gredos, ©1989.</t>
  </si>
  <si>
    <t>2nd ed. corregida y aumentada.</t>
  </si>
  <si>
    <t>Biblioteca románica hispánica. II, Estudios y ensayos ; 328</t>
  </si>
  <si>
    <t>2016-05-31</t>
  </si>
  <si>
    <t>26939475:spa</t>
  </si>
  <si>
    <t>24479098</t>
  </si>
  <si>
    <t>ocm24479098</t>
  </si>
  <si>
    <t>3102776696P</t>
  </si>
  <si>
    <t>9788424908959</t>
  </si>
  <si>
    <t>793199144</t>
  </si>
  <si>
    <t>P306 G29 1982</t>
  </si>
  <si>
    <t>0                      P  0306000G  29          1982</t>
  </si>
  <si>
    <t>Teoría y práctica de la traducción / Valentín García Yebra ; prólogo de Dámaso Alonso.</t>
  </si>
  <si>
    <t>Madrid : Editorial Gredos, ©1982-</t>
  </si>
  <si>
    <t>Biblioteca románica hispánica. III, Manuales ; 53-</t>
  </si>
  <si>
    <t>10142143845:spa</t>
  </si>
  <si>
    <t>9280755</t>
  </si>
  <si>
    <t>ocm09280755</t>
  </si>
  <si>
    <t>31027766134</t>
  </si>
  <si>
    <t>9788424902810</t>
  </si>
  <si>
    <t>792667764</t>
  </si>
  <si>
    <t>31027766086</t>
  </si>
  <si>
    <t>792667763</t>
  </si>
  <si>
    <t>P306 G44 2001</t>
  </si>
  <si>
    <t>0                      P  0306000G  44          2001</t>
  </si>
  <si>
    <t>Contemporary translation theories / Edwin Gentzler.</t>
  </si>
  <si>
    <t>Gentzler, Edwin, 1951-</t>
  </si>
  <si>
    <t>Topics in translation ; 21</t>
  </si>
  <si>
    <t>16292054:eng</t>
  </si>
  <si>
    <t>46785336</t>
  </si>
  <si>
    <t>ocm46785336</t>
  </si>
  <si>
    <t>3102559053O</t>
  </si>
  <si>
    <t>9781853595141</t>
  </si>
  <si>
    <t>793691296</t>
  </si>
  <si>
    <t>P306 G45 1995</t>
  </si>
  <si>
    <t>0                      P  0306000G  45          1995</t>
  </si>
  <si>
    <t>Génétique &amp; traduction : actes du colloque de Arles / textes réunis et présentés pour le Centre d'études valéryennes de l'Université de Montpellier III et le Collège international des traducteurs littéraires de Arles, par Serge Bourjea.</t>
  </si>
  <si>
    <t>Paris : L'Harmattan, ©1995.</t>
  </si>
  <si>
    <t>Cahiers de critique génétique</t>
  </si>
  <si>
    <t>474549660:fre</t>
  </si>
  <si>
    <t>33937808</t>
  </si>
  <si>
    <t>ocm33937808</t>
  </si>
  <si>
    <t>3102776598S</t>
  </si>
  <si>
    <t>9782738434166</t>
  </si>
  <si>
    <t>793414233</t>
  </si>
  <si>
    <t>P306 G55 2005</t>
  </si>
  <si>
    <t>0                      P  0306000G  55          2005</t>
  </si>
  <si>
    <t>La traduction : la comprendre, l'apprendre / Daniel Gile.</t>
  </si>
  <si>
    <t>Gile, Daniel.</t>
  </si>
  <si>
    <t>Paris : Presses universitaires de France, 2005.</t>
  </si>
  <si>
    <t>1re ed.</t>
  </si>
  <si>
    <t>2016-01-14</t>
  </si>
  <si>
    <t>366396988:fre</t>
  </si>
  <si>
    <t>57464866</t>
  </si>
  <si>
    <t>ocm57464866</t>
  </si>
  <si>
    <t>3102871210U</t>
  </si>
  <si>
    <t>9782130525004</t>
  </si>
  <si>
    <t>793913455</t>
  </si>
  <si>
    <t>P306 G556 2009</t>
  </si>
  <si>
    <t>0                      P  0306000G  556         2009</t>
  </si>
  <si>
    <t>Le Giornate della traduzione letteraria : nuovi contributi / a cura di Stefano Arduini e Ilide Carmignani.</t>
  </si>
  <si>
    <t>Giornate della traduzione letteraria (6th : 2008 : Urbino, Italy)</t>
  </si>
  <si>
    <t>[Pavona, Italy] : Iacobelli, [2010]</t>
  </si>
  <si>
    <t>Quaderni di libri e riviste d'Italia ; 63</t>
  </si>
  <si>
    <t>918588877:ita</t>
  </si>
  <si>
    <t>704509919</t>
  </si>
  <si>
    <t>ocn704509919</t>
  </si>
  <si>
    <t>3103125301$</t>
  </si>
  <si>
    <t>794865739</t>
  </si>
  <si>
    <t>P306 G685 2007</t>
  </si>
  <si>
    <t>0                      P  0306000G  685         2007</t>
  </si>
  <si>
    <t>Translation as a profession / Daniel Gouadec.</t>
  </si>
  <si>
    <t>Gouadec, Daniel.</t>
  </si>
  <si>
    <t>Benjamins translation library. EST subseries, 0929-7316 ; v. 73</t>
  </si>
  <si>
    <t>34581783:eng</t>
  </si>
  <si>
    <t>45157483</t>
  </si>
  <si>
    <t>ocm45157483</t>
  </si>
  <si>
    <t>3102642655X</t>
  </si>
  <si>
    <t>9789027216816</t>
  </si>
  <si>
    <t>793665763</t>
  </si>
  <si>
    <t>P306 G69 2006</t>
  </si>
  <si>
    <t>0                      P  0306000G  69          2006</t>
  </si>
  <si>
    <t>Gramática y traducción / Pilar Elena y Josse de Kock (eds.) ; J.M. Bustos Gisbert [and others].</t>
  </si>
  <si>
    <t>Salamanca : Ediciones Universidad de Salamanca, 2006.</t>
  </si>
  <si>
    <t>1a. ed.</t>
  </si>
  <si>
    <t>Gramática Española, enseñanza e investigación. I. Apuntes metodológicos ; 9</t>
  </si>
  <si>
    <t>355504913:spa</t>
  </si>
  <si>
    <t>70767250</t>
  </si>
  <si>
    <t>ocm70767250</t>
  </si>
  <si>
    <t>3102871317R</t>
  </si>
  <si>
    <t>9788478005017</t>
  </si>
  <si>
    <t>794158789</t>
  </si>
  <si>
    <t>P306 G834 2008</t>
  </si>
  <si>
    <t>0                      P  0306000G  834         2008</t>
  </si>
  <si>
    <t>Introduction à la traductologie : penser la traduction : hier, aujourd'hui, demain / Mathieu Guidère.</t>
  </si>
  <si>
    <t>Bruxelles : De Boeck, ©2008.</t>
  </si>
  <si>
    <t>890644458:fre</t>
  </si>
  <si>
    <t>272560958</t>
  </si>
  <si>
    <t>ocn272560958</t>
  </si>
  <si>
    <t>3103063652B</t>
  </si>
  <si>
    <t>9782804159337</t>
  </si>
  <si>
    <t>794415474</t>
  </si>
  <si>
    <t>P306 G835 2008</t>
  </si>
  <si>
    <t>0                      P  0306000G  835         2008</t>
  </si>
  <si>
    <t>La communication multilingue : traduction commerciale et institutionnelle / Mathieu Guidère.</t>
  </si>
  <si>
    <t>352006189:fre</t>
  </si>
  <si>
    <t>272560954</t>
  </si>
  <si>
    <t>ocn272560954</t>
  </si>
  <si>
    <t>3103063647D</t>
  </si>
  <si>
    <t>9782804159344</t>
  </si>
  <si>
    <t>794415473</t>
  </si>
  <si>
    <t>P306 G857 2008</t>
  </si>
  <si>
    <t>0                      P  0306000G  857         2008</t>
  </si>
  <si>
    <t>Traduction et veille stratégique multilingue : actes / Mathieu Guidère.</t>
  </si>
  <si>
    <t>[Paris] : Manuscrit, 2008.</t>
  </si>
  <si>
    <t>Le manuscrit recherche-université</t>
  </si>
  <si>
    <t>891762188:fre</t>
  </si>
  <si>
    <t>457290735</t>
  </si>
  <si>
    <t>ocn457290735</t>
  </si>
  <si>
    <t>3103248819S</t>
  </si>
  <si>
    <t>9782304022124</t>
  </si>
  <si>
    <t>794790078</t>
  </si>
  <si>
    <t>P306 H35 2007</t>
  </si>
  <si>
    <t>0                      P  0306000H  35          2007</t>
  </si>
  <si>
    <t>Community interpreting / Sandra Beatriz Hale.</t>
  </si>
  <si>
    <t>Hale, Sandra Beatriz.</t>
  </si>
  <si>
    <t>Basingstoke, Hampshire ; New York : Palgrave Macmillan, 2007.</t>
  </si>
  <si>
    <t>103619873:eng</t>
  </si>
  <si>
    <t>148905194</t>
  </si>
  <si>
    <t>ocn148905194</t>
  </si>
  <si>
    <t>3102648566A</t>
  </si>
  <si>
    <t>9781403940681</t>
  </si>
  <si>
    <t>794241181</t>
  </si>
  <si>
    <t>P306 H36 1999</t>
  </si>
  <si>
    <t>0                      P  0306000H  36          1999</t>
  </si>
  <si>
    <t>Handbuch translation / Mary Snell-Hornby [and others] (Hrsg.).</t>
  </si>
  <si>
    <t>Tübingen : Stauffenburg Verlag, 1999.</t>
  </si>
  <si>
    <t>2. verb. Aufl.</t>
  </si>
  <si>
    <t>Stauffenburg Handbücher</t>
  </si>
  <si>
    <t>366019838:eng</t>
  </si>
  <si>
    <t>46821285</t>
  </si>
  <si>
    <t>ocm46821285</t>
  </si>
  <si>
    <t>31032147999</t>
  </si>
  <si>
    <t>Book_Braille</t>
  </si>
  <si>
    <t>9783860579923</t>
  </si>
  <si>
    <t>793692142</t>
  </si>
  <si>
    <t>P306 H63 1997</t>
  </si>
  <si>
    <t>0                      P  0306000H  63          1997</t>
  </si>
  <si>
    <t>Le ton beau de Marot : in praise of the music of language / Douglas R. Hofstadter.</t>
  </si>
  <si>
    <t>Hofstadter, Douglas R., 1945-</t>
  </si>
  <si>
    <t>New York : Basic Books, ©1997.</t>
  </si>
  <si>
    <t>807782253:eng</t>
  </si>
  <si>
    <t>36225295</t>
  </si>
  <si>
    <t>ocm36225295</t>
  </si>
  <si>
    <t>3102593333N</t>
  </si>
  <si>
    <t>9780465086436</t>
  </si>
  <si>
    <t>793469644</t>
  </si>
  <si>
    <t>P306 H68 2009</t>
  </si>
  <si>
    <t>0                      P  0306000H  68          2009</t>
  </si>
  <si>
    <t>Translation / Juliane House.</t>
  </si>
  <si>
    <t>House, Juliane.</t>
  </si>
  <si>
    <t>194745971:eng</t>
  </si>
  <si>
    <t>317252729</t>
  </si>
  <si>
    <t>ocn317252729</t>
  </si>
  <si>
    <t>31031013927</t>
  </si>
  <si>
    <t>9780194389228</t>
  </si>
  <si>
    <t>794451836</t>
  </si>
  <si>
    <t>P306 H85 2014</t>
  </si>
  <si>
    <t>0                      P  0306000H  85          2014</t>
  </si>
  <si>
    <t>Essais d'histoire de la traduction : avatars de Janus / Lieven D'Hulst.</t>
  </si>
  <si>
    <t>Hulst, Lieven d', author.</t>
  </si>
  <si>
    <t>Perspectives comparatistes ; 24</t>
  </si>
  <si>
    <t>1858903519:fre</t>
  </si>
  <si>
    <t>877916316</t>
  </si>
  <si>
    <t>ocn877916316</t>
  </si>
  <si>
    <t>31031986419</t>
  </si>
  <si>
    <t>9782812421006</t>
  </si>
  <si>
    <t>794971144</t>
  </si>
  <si>
    <t>P306 H87 1990</t>
  </si>
  <si>
    <t>0                      P  0306000H  87          1990</t>
  </si>
  <si>
    <t>La notion de fidélité en traduction / Amparo Hurtado Albir.</t>
  </si>
  <si>
    <t>Hurtado Albir, Amparo.</t>
  </si>
  <si>
    <t>Paris : Didier érudition, [1990]</t>
  </si>
  <si>
    <t>Collection "Traductologie" ; no 5</t>
  </si>
  <si>
    <t>348409793:fre</t>
  </si>
  <si>
    <t>22294389</t>
  </si>
  <si>
    <t>ocm22294389</t>
  </si>
  <si>
    <t>31027766222</t>
  </si>
  <si>
    <t>9782864601517</t>
  </si>
  <si>
    <t>793139719</t>
  </si>
  <si>
    <t>P306 H875 2001</t>
  </si>
  <si>
    <t>0                      P  0306000H  875         2001</t>
  </si>
  <si>
    <t>Traducción y traductología : introducción a la traductología / Amparo Hurtado Albir.</t>
  </si>
  <si>
    <t>Madrid : Cátedra, ©2001.</t>
  </si>
  <si>
    <t>793987256:spa</t>
  </si>
  <si>
    <t>49318991</t>
  </si>
  <si>
    <t>ocm49318991</t>
  </si>
  <si>
    <t>3102532175I</t>
  </si>
  <si>
    <t>9788437619415</t>
  </si>
  <si>
    <t>793737430</t>
  </si>
  <si>
    <t>P306 I265 2011</t>
  </si>
  <si>
    <t>0                      P  0306000I  265         2011</t>
  </si>
  <si>
    <t>Disarming words : empire and the seductions of translation in Egypt / Shaden M. Tageldin.</t>
  </si>
  <si>
    <t>Tageldin, Shaden M.</t>
  </si>
  <si>
    <t>FlashPoints ; 5</t>
  </si>
  <si>
    <t>787144463:eng</t>
  </si>
  <si>
    <t>702357875</t>
  </si>
  <si>
    <t>ocn702357875</t>
  </si>
  <si>
    <t>31033633680</t>
  </si>
  <si>
    <t>9780520265523</t>
  </si>
  <si>
    <t>794863998</t>
  </si>
  <si>
    <t>P306 I38 2007</t>
  </si>
  <si>
    <t>0                      P  0306000I  38          2007</t>
  </si>
  <si>
    <t>In translation : reflections, refractions, transformations / edited by Paul St-Pierre and Prafulla C. Kar.</t>
  </si>
  <si>
    <t>Benjamins translation library. EST subseries, 0929-7316 ; v. 71</t>
  </si>
  <si>
    <t>149249013:eng</t>
  </si>
  <si>
    <t>85830869</t>
  </si>
  <si>
    <t>ocm85830869</t>
  </si>
  <si>
    <t>31026502699</t>
  </si>
  <si>
    <t>9789027216793</t>
  </si>
  <si>
    <t>794216826</t>
  </si>
  <si>
    <t>P306 I46 2013</t>
  </si>
  <si>
    <t>0                      P  0306000I  46          2013</t>
  </si>
  <si>
    <t>In principio fuit interpres / edited by Alessandra Petrina ; with the assistance of Monica Santini.</t>
  </si>
  <si>
    <t>Turnhout, Belgium : Brepols, [2013]</t>
  </si>
  <si>
    <t>The medieval translator = Traduire au Moyen Age ; volume 15</t>
  </si>
  <si>
    <t>1367665717:eng</t>
  </si>
  <si>
    <t>852787711</t>
  </si>
  <si>
    <t>ocn852787711</t>
  </si>
  <si>
    <t>3103525559X</t>
  </si>
  <si>
    <t>9782503549095</t>
  </si>
  <si>
    <t>794951588</t>
  </si>
  <si>
    <t>P306 I51 2010</t>
  </si>
  <si>
    <t>0                      P  0306000I  51          2010</t>
  </si>
  <si>
    <t>In the mind and across minds : a relevance-theoretic perspective on communication and translation / edited by Ewa Wałaszewska, Marta Kisielewska-Krysiuk and Agnieszka Piskorska.</t>
  </si>
  <si>
    <t>900935668:eng</t>
  </si>
  <si>
    <t>636921434</t>
  </si>
  <si>
    <t>ocn636921434</t>
  </si>
  <si>
    <t>3103230902R</t>
  </si>
  <si>
    <t>9781443821292</t>
  </si>
  <si>
    <t>794826157</t>
  </si>
  <si>
    <t>P306 I57 2002</t>
  </si>
  <si>
    <t>0                      P  0306000I  57          2002</t>
  </si>
  <si>
    <t>The interpreting studies reader / edited by Franz Pöchhacker and Miriam Shlesinger.</t>
  </si>
  <si>
    <t>Routledge language readers.</t>
  </si>
  <si>
    <t>864857182:eng</t>
  </si>
  <si>
    <t>47971833</t>
  </si>
  <si>
    <t>ocm47971833</t>
  </si>
  <si>
    <t>3102577791U</t>
  </si>
  <si>
    <t>9780415224772</t>
  </si>
  <si>
    <t>793712548</t>
  </si>
  <si>
    <t>P306 I58 2010</t>
  </si>
  <si>
    <t>0                      P  0306000I  58          2010</t>
  </si>
  <si>
    <t>Role of translation in nation building / edited by Ravi Kumar.</t>
  </si>
  <si>
    <t>International Conference on Role of Translation in Nation Building and Supra-nationalism (2010 : New Delhi, India), author.</t>
  </si>
  <si>
    <t>New Delhi : Published by Modlingua on behalf of Indian Translators Association, [2013]</t>
  </si>
  <si>
    <t>Translation studies series</t>
  </si>
  <si>
    <t>1326188016:eng</t>
  </si>
  <si>
    <t>843539931</t>
  </si>
  <si>
    <t>ocn843539931</t>
  </si>
  <si>
    <t>3103526896C</t>
  </si>
  <si>
    <t>9788192679808</t>
  </si>
  <si>
    <t>794948118</t>
  </si>
  <si>
    <t>P306 K5</t>
  </si>
  <si>
    <t>0                      P  0306000K  5</t>
  </si>
  <si>
    <t>Khudozhestvennyĭ perevod : vzaimodeĭstvie i vzaimoobogashchenie literatur [Sbornik stateĭ / Red. V. Kh. Ganiev i dr.].</t>
  </si>
  <si>
    <t>Erevan : Izd-o Erevan, un-ta, 1973.</t>
  </si>
  <si>
    <t>23508072:rus</t>
  </si>
  <si>
    <t>6750098</t>
  </si>
  <si>
    <t>ocm06750098</t>
  </si>
  <si>
    <t>31027766076</t>
  </si>
  <si>
    <t>792521163</t>
  </si>
  <si>
    <t>P306 K58</t>
  </si>
  <si>
    <t>0                      P  0306000K  58</t>
  </si>
  <si>
    <t>Lingvistika perevoda / V.N. Komissarov.</t>
  </si>
  <si>
    <t>Komissarov, Vilen Naumovich.</t>
  </si>
  <si>
    <t>Moskva : "Mezhdunar. otnoshenii︠a︡, ", 1980.</t>
  </si>
  <si>
    <t>29885173:rus</t>
  </si>
  <si>
    <t>7796256</t>
  </si>
  <si>
    <t>ocm07796256</t>
  </si>
  <si>
    <t>3102776597S</t>
  </si>
  <si>
    <t>792580177</t>
  </si>
  <si>
    <t>P306 L3 1994</t>
  </si>
  <si>
    <t>0                      P  0306000L  3           1994</t>
  </si>
  <si>
    <t>Traduire : théorèmes pour la traduction / Jean-René Ladmiral.</t>
  </si>
  <si>
    <t>Ladmiral, Jean-René.</t>
  </si>
  <si>
    <t>[Paris] : Gallimard, ©1994.</t>
  </si>
  <si>
    <t>Collection Tel</t>
  </si>
  <si>
    <t>500069896:fre</t>
  </si>
  <si>
    <t>37024059</t>
  </si>
  <si>
    <t>ocm37024059</t>
  </si>
  <si>
    <t>3103150174X</t>
  </si>
  <si>
    <t>9782070737437</t>
  </si>
  <si>
    <t>793490084</t>
  </si>
  <si>
    <t>P306 L32</t>
  </si>
  <si>
    <t>0                      P  0306000L  32</t>
  </si>
  <si>
    <t>Paris : Payot, ©1979.</t>
  </si>
  <si>
    <t>Petite bibliothèque Payot ; 366</t>
  </si>
  <si>
    <t>6280835</t>
  </si>
  <si>
    <t>ocm06280835</t>
  </si>
  <si>
    <t>3102776671T</t>
  </si>
  <si>
    <t>9782228336604</t>
  </si>
  <si>
    <t>792487877</t>
  </si>
  <si>
    <t>P306 L34 1984</t>
  </si>
  <si>
    <t>0                      P  0306000L  34          1984</t>
  </si>
  <si>
    <t>Meaning-based translation : a guide to cross-language equivalence / Mildred L. Larson.</t>
  </si>
  <si>
    <t>Larson, Mildred L.</t>
  </si>
  <si>
    <t>Lanham, MD : University Press of America, ©1984.</t>
  </si>
  <si>
    <t>589841:eng</t>
  </si>
  <si>
    <t>11091449</t>
  </si>
  <si>
    <t>ocm11091449</t>
  </si>
  <si>
    <t>3102776666V</t>
  </si>
  <si>
    <t>9780819143006</t>
  </si>
  <si>
    <t>792757715</t>
  </si>
  <si>
    <t>P306 L3913 2003</t>
  </si>
  <si>
    <t>0                      P  0306000L  3913        2003</t>
  </si>
  <si>
    <t>Translation : the interpretive model / Marianne Lederer ; translated by Ninon Larché.</t>
  </si>
  <si>
    <t>Lederer, Marianne.</t>
  </si>
  <si>
    <t>Manchester ; Northampton, MA : St. Jerome Pub., ©2003.</t>
  </si>
  <si>
    <t>824673:eng</t>
  </si>
  <si>
    <t>51389060</t>
  </si>
  <si>
    <t>ocm51389060</t>
  </si>
  <si>
    <t>3102571896E</t>
  </si>
  <si>
    <t>9781900650618</t>
  </si>
  <si>
    <t>793783892</t>
  </si>
  <si>
    <t>P306 L53 1991</t>
  </si>
  <si>
    <t>0                      P  0306000L  53          1991</t>
  </si>
  <si>
    <t>La Liberté en traduction : actes du colloque international tenu à l'E.S.I.T les 7, 8, et 9 juin 1990 / réunis par Marianne Lederer et Fortunato Israël.</t>
  </si>
  <si>
    <t>Paris : Didier érudition, 1991.</t>
  </si>
  <si>
    <t>Collection "Traductologie" ; no 7</t>
  </si>
  <si>
    <t>9989126838:fre</t>
  </si>
  <si>
    <t>26724204</t>
  </si>
  <si>
    <t>ocm26724204</t>
  </si>
  <si>
    <t>3102776651X</t>
  </si>
  <si>
    <t>9782864601753</t>
  </si>
  <si>
    <t>793250502</t>
  </si>
  <si>
    <t>P306 L5517 1985</t>
  </si>
  <si>
    <t>0                      P  0306000L  5517        1985</t>
  </si>
  <si>
    <t>Vvedenie v obshchui︠u︡ teorii︠u︡ perevoda / Anna Lilova ; pod obshcheĭ redakt︠s︡ieĭ P.M. Topera.</t>
  </si>
  <si>
    <t>Lilova, Anna.</t>
  </si>
  <si>
    <t>Moskva : Vysshai︠a︡ shkola, 1985.</t>
  </si>
  <si>
    <t>3901012951:rus</t>
  </si>
  <si>
    <t>14120178</t>
  </si>
  <si>
    <t>ocm14120178</t>
  </si>
  <si>
    <t>3102776641Z</t>
  </si>
  <si>
    <t>792878647</t>
  </si>
  <si>
    <t>P306 L56 2014</t>
  </si>
  <si>
    <t>0                      P  0306000L  56          2014</t>
  </si>
  <si>
    <t>Le lingue, le culture e la traduzione per la mediazione : prospettive didattiche e di ricerca / a cura Marie-Christine Jullion, Paola Cattani = Les langues, les cultures et la traduction pour la médiation : perspectives d'enseignement et de recherche / sous la direction de Marie-Christine Jullion, Paola Cattani.</t>
  </si>
  <si>
    <t>Torino : L'Harmattan Italia, [2014]</t>
  </si>
  <si>
    <t>Métissage ; 53</t>
  </si>
  <si>
    <t>2075590951:ita</t>
  </si>
  <si>
    <t>900007156</t>
  </si>
  <si>
    <t>ocn900007156</t>
  </si>
  <si>
    <t>3103199781V</t>
  </si>
  <si>
    <t>9788878922525</t>
  </si>
  <si>
    <t>794987048</t>
  </si>
  <si>
    <t>P306 M34 2010</t>
  </si>
  <si>
    <t>0                      P  0306000M  34          2010</t>
  </si>
  <si>
    <t>Corpora in translation : a practical guide / Tengku Sepora Tengku Mahadi, Helia Vaezian &amp; Mahmoud Akbari.</t>
  </si>
  <si>
    <t>Sepora Tengku Mahadi, Tengku, 1961-</t>
  </si>
  <si>
    <t>Bern [Switzerland] ; New York : Peter Lang, ©2010.</t>
  </si>
  <si>
    <t>Linguistic insights : studies in language and communication ; v. 120</t>
  </si>
  <si>
    <t>866642915:eng</t>
  </si>
  <si>
    <t>656158837</t>
  </si>
  <si>
    <t>ocn656158837</t>
  </si>
  <si>
    <t>3103363483U</t>
  </si>
  <si>
    <t>9783034304344</t>
  </si>
  <si>
    <t>794834538</t>
  </si>
  <si>
    <t>P306 M38 2001</t>
  </si>
  <si>
    <t>0                      P  0306000M  38          2001</t>
  </si>
  <si>
    <t>The theory and practice of translation in the Middle Ages / editors Rosalynn Voaden [and others].</t>
  </si>
  <si>
    <t>Turnhout : Brepols, ©2003.</t>
  </si>
  <si>
    <t>Medieval translator = Traduire au Moyen Age ; v. 8</t>
  </si>
  <si>
    <t>12972750:eng</t>
  </si>
  <si>
    <t>54376088</t>
  </si>
  <si>
    <t>ocm54376088</t>
  </si>
  <si>
    <t>3102837003Y</t>
  </si>
  <si>
    <t>9782503510163</t>
  </si>
  <si>
    <t>793860576</t>
  </si>
  <si>
    <t>P306 M38 2007</t>
  </si>
  <si>
    <t>0                      P  0306000M  38          2007</t>
  </si>
  <si>
    <t>Lost in Translation? / edited by Denis Renevey and Christiania Whitehead.</t>
  </si>
  <si>
    <t>Turnhout : Brepols, 2009.</t>
  </si>
  <si>
    <t>The Medieval translator ; 12</t>
  </si>
  <si>
    <t>3373593302:eng</t>
  </si>
  <si>
    <t>559757430</t>
  </si>
  <si>
    <t>ocn559757430</t>
  </si>
  <si>
    <t>3103253994O</t>
  </si>
  <si>
    <t>9782503531397</t>
  </si>
  <si>
    <t>794812672</t>
  </si>
  <si>
    <t>P306 M382 1994</t>
  </si>
  <si>
    <t>0                      P  0306000M  382         1994</t>
  </si>
  <si>
    <t>The medieval translator 4 / edited by Roger Ellis and Ruth Evans.</t>
  </si>
  <si>
    <t>Binghamton, N.Y. : Medieval &amp; Renaissance Texts &amp; Studies, State University of New York, 1994.</t>
  </si>
  <si>
    <t>Medieval &amp; Renaissance texts &amp; studies ; v. 123</t>
  </si>
  <si>
    <t>2016-05-30</t>
  </si>
  <si>
    <t>4918380071:eng</t>
  </si>
  <si>
    <t>31117139</t>
  </si>
  <si>
    <t>ocm31117139</t>
  </si>
  <si>
    <t>3101310932H</t>
  </si>
  <si>
    <t>9780859894128</t>
  </si>
  <si>
    <t>793353698</t>
  </si>
  <si>
    <t>P306 M43 1989</t>
  </si>
  <si>
    <t>0                      P  0306000M  43          1989</t>
  </si>
  <si>
    <t>Medieval translators and their craft / edited by Jeanette Beer.</t>
  </si>
  <si>
    <t>Kalamazoo, Mich. : Medieval Institute Publications, Western Michigan University, 1989.</t>
  </si>
  <si>
    <t>Studies in medieval culture ; 25</t>
  </si>
  <si>
    <t>21388453:eng</t>
  </si>
  <si>
    <t>19267029</t>
  </si>
  <si>
    <t>ocm19267029</t>
  </si>
  <si>
    <t>3102776660V</t>
  </si>
  <si>
    <t>9780918720955</t>
  </si>
  <si>
    <t>793051509</t>
  </si>
  <si>
    <t>P306 M453 2009</t>
  </si>
  <si>
    <t>0                      P  0306000M  453         2009</t>
  </si>
  <si>
    <t>The metalanguage of translation / edited by Yves Gambier, Luc van Doorslaer.</t>
  </si>
  <si>
    <t>Benjamins current topics, 1874-0081 ; v. 20</t>
  </si>
  <si>
    <t>1011697986:eng</t>
  </si>
  <si>
    <t>427645038</t>
  </si>
  <si>
    <t>ocn427645038</t>
  </si>
  <si>
    <t>3103238044E</t>
  </si>
  <si>
    <t>9789027222503</t>
  </si>
  <si>
    <t>794695524</t>
  </si>
  <si>
    <t>P306 M47</t>
  </si>
  <si>
    <t>0                      P  0306000M  47</t>
  </si>
  <si>
    <t>Obshchai︠a︡ teorii︠a︡ perevoda i ustnyĭ perevod / R.K. Min'i︠a︡r-Beloruchev.</t>
  </si>
  <si>
    <t>Min'i︠a︡r-Beloruchev, Ri︠u︡rik Konstantinovich.</t>
  </si>
  <si>
    <t>Moskva : Voenizdat, 1980.</t>
  </si>
  <si>
    <t>8876143750:rus</t>
  </si>
  <si>
    <t>8353855</t>
  </si>
  <si>
    <t>ocm08353855</t>
  </si>
  <si>
    <t>3102776655X</t>
  </si>
  <si>
    <t>792614831</t>
  </si>
  <si>
    <t>P306 M48 1969</t>
  </si>
  <si>
    <t>0                      P  0306000M  48          1969</t>
  </si>
  <si>
    <t>Posledovatelʹnyĭ perevod : teorii︠a︡ i metody obuchenii︠a︡ / R.K. Minʹi︠a︡r-Beloruchev.</t>
  </si>
  <si>
    <t>Minʹi︠a︡r-Beloruchev, R. K. (Ri︠u︡rik Konstantinovich)</t>
  </si>
  <si>
    <t>Moskva : Voenizdat, 1969.</t>
  </si>
  <si>
    <t>3856446068:rus</t>
  </si>
  <si>
    <t>13630930</t>
  </si>
  <si>
    <t>ocm13630930</t>
  </si>
  <si>
    <t>3102776650X</t>
  </si>
  <si>
    <t>792860567</t>
  </si>
  <si>
    <t>P306 M65</t>
  </si>
  <si>
    <t>0                      P  0306000M  65</t>
  </si>
  <si>
    <t>Linguistique et traduction / Georges Mounin.</t>
  </si>
  <si>
    <t>Mounin, Georges, 1910-1993.</t>
  </si>
  <si>
    <t>Bruxelles : Dessart et Mardaga, [1976]</t>
  </si>
  <si>
    <t>Psychologie et sciences humaines ; 60</t>
  </si>
  <si>
    <t>5921828:fre</t>
  </si>
  <si>
    <t>2647976</t>
  </si>
  <si>
    <t>ocm02647976</t>
  </si>
  <si>
    <t>31027766350</t>
  </si>
  <si>
    <t>9782870090640</t>
  </si>
  <si>
    <t>792157812</t>
  </si>
  <si>
    <t>3000981803V</t>
  </si>
  <si>
    <t>792157813</t>
  </si>
  <si>
    <t>P306 M66 1963</t>
  </si>
  <si>
    <t>0                      P  0306000M  66          1963</t>
  </si>
  <si>
    <t>Les problèmes théoriques de la traduction. Préf. de Dominique Aury.</t>
  </si>
  <si>
    <t>[Paris] Gallimard [1963]</t>
  </si>
  <si>
    <t>Bibliothèque des ideas</t>
  </si>
  <si>
    <t>2012-09-07</t>
  </si>
  <si>
    <t>2937936:fre</t>
  </si>
  <si>
    <t>849975</t>
  </si>
  <si>
    <t>ocm00849975</t>
  </si>
  <si>
    <t>3102776664V</t>
  </si>
  <si>
    <t>791486230</t>
  </si>
  <si>
    <t>3102711089L</t>
  </si>
  <si>
    <t>791486229</t>
  </si>
  <si>
    <t>31034460465</t>
  </si>
  <si>
    <t>791486231</t>
  </si>
  <si>
    <t>2012-01-13</t>
  </si>
  <si>
    <t>3102776669V</t>
  </si>
  <si>
    <t>791486232</t>
  </si>
  <si>
    <t>P306 M864 2012</t>
  </si>
  <si>
    <t>0                      P  0306000M  864         2012</t>
  </si>
  <si>
    <t>Evaluation in translation : critical points of translator decision-making / Jeremy Munday.</t>
  </si>
  <si>
    <t>Munday, Jeremy.</t>
  </si>
  <si>
    <t>1119161035:eng</t>
  </si>
  <si>
    <t>730403876</t>
  </si>
  <si>
    <t>ocn730403876</t>
  </si>
  <si>
    <t>3103528635M</t>
  </si>
  <si>
    <t>9780415577694</t>
  </si>
  <si>
    <t>794880044</t>
  </si>
  <si>
    <t>P306 M865 2001</t>
  </si>
  <si>
    <t>0                      P  0306000M  865         2001</t>
  </si>
  <si>
    <t>Introducing translation studies : theories and applications / Jeremy Munday.</t>
  </si>
  <si>
    <t>797260444:eng</t>
  </si>
  <si>
    <t>45137466</t>
  </si>
  <si>
    <t>ocm45137466</t>
  </si>
  <si>
    <t>31025092712</t>
  </si>
  <si>
    <t>9780415229265</t>
  </si>
  <si>
    <t>793665402</t>
  </si>
  <si>
    <t>P306 M865 2008</t>
  </si>
  <si>
    <t>0                      P  0306000M  865         2008</t>
  </si>
  <si>
    <t>229467413</t>
  </si>
  <si>
    <t>ocn229467413</t>
  </si>
  <si>
    <t>3102856241E</t>
  </si>
  <si>
    <t>9780415396936</t>
  </si>
  <si>
    <t>794354085</t>
  </si>
  <si>
    <t>P306 M865 2012</t>
  </si>
  <si>
    <t>0                      P  0306000M  865         2012</t>
  </si>
  <si>
    <t>2018-08-07</t>
  </si>
  <si>
    <t>757147295</t>
  </si>
  <si>
    <t>ocn757147295</t>
  </si>
  <si>
    <t>3103447080U</t>
  </si>
  <si>
    <t>9780415584869</t>
  </si>
  <si>
    <t>794895263</t>
  </si>
  <si>
    <t>P306 M916 1955</t>
  </si>
  <si>
    <t>0                      P  0306000M  916         1955</t>
  </si>
  <si>
    <t>Les Belles infidèles.</t>
  </si>
  <si>
    <t>Paris, Cahiers du Sud [1955]</t>
  </si>
  <si>
    <t>1955</t>
  </si>
  <si>
    <t>350624029:fre</t>
  </si>
  <si>
    <t>413478</t>
  </si>
  <si>
    <t>ocm00413478</t>
  </si>
  <si>
    <t>3102711084L</t>
  </si>
  <si>
    <t>9782859394592</t>
  </si>
  <si>
    <t>791371242</t>
  </si>
  <si>
    <t>P306 N367 2005</t>
  </si>
  <si>
    <t>0                      P  0306000N  367         2005</t>
  </si>
  <si>
    <t>Nation, language, and the ethics of translation / edited by Sandra Bermann and Michael Wood.</t>
  </si>
  <si>
    <t>Princeton, N.J. : Princeton University Press, ©2005.</t>
  </si>
  <si>
    <t>766918848:eng</t>
  </si>
  <si>
    <t>56793546</t>
  </si>
  <si>
    <t>ocm56793546</t>
  </si>
  <si>
    <t>3102495322N</t>
  </si>
  <si>
    <t>9780691116082</t>
  </si>
  <si>
    <t>793901870</t>
  </si>
  <si>
    <t>P306 N45 1992</t>
  </si>
  <si>
    <t>0                      P  0306000N  45          1992</t>
  </si>
  <si>
    <t>Translation as text / Albrecht Neubert &amp; Gregory M. Shreve.</t>
  </si>
  <si>
    <t>Neubert, Albrecht.</t>
  </si>
  <si>
    <t>Kent, Ohio : Kent State University Press, ©1992.</t>
  </si>
  <si>
    <t>Translation studies ; 1</t>
  </si>
  <si>
    <t>27897404:eng</t>
  </si>
  <si>
    <t>25411724</t>
  </si>
  <si>
    <t>ocm25411724</t>
  </si>
  <si>
    <t>3103136456E</t>
  </si>
  <si>
    <t>9780873384698</t>
  </si>
  <si>
    <t>793220132</t>
  </si>
  <si>
    <t>P306 N474 2008</t>
  </si>
  <si>
    <t>0                      P  0306000N  474         2008</t>
  </si>
  <si>
    <t>A textbook of translation / Peter Newmark.</t>
  </si>
  <si>
    <t>Newmark, Peter, 1916-</t>
  </si>
  <si>
    <t>New York : Prentice-Hall International, 1988.</t>
  </si>
  <si>
    <t>Prentice Hall International English language teaching</t>
  </si>
  <si>
    <t>8177458:eng</t>
  </si>
  <si>
    <t>15052999</t>
  </si>
  <si>
    <t>ocm15052999</t>
  </si>
  <si>
    <t>3103119243K</t>
  </si>
  <si>
    <t>9780139125935</t>
  </si>
  <si>
    <t>792918173</t>
  </si>
  <si>
    <t>P306 N5</t>
  </si>
  <si>
    <t>0                      P  0306000N  5</t>
  </si>
  <si>
    <t>Toward a science of translating : with special reference to principles and procedures involved in Bible translating / by Eugene A. Nida.</t>
  </si>
  <si>
    <t>Leiden : E.J. Brill, 1964.</t>
  </si>
  <si>
    <t>837835:eng</t>
  </si>
  <si>
    <t>778941</t>
  </si>
  <si>
    <t>ocm00778941</t>
  </si>
  <si>
    <t>31027766340</t>
  </si>
  <si>
    <t>791468107</t>
  </si>
  <si>
    <t>P306 N5913 2005</t>
  </si>
  <si>
    <t>0                      P  0306000N  5913        2005</t>
  </si>
  <si>
    <t>Text analysis in translation : theory, methodology, and didactic application of a model for translation-oriented text analysis / Christiane Nord ; [translated from the German by Christiane Nord and Penelope Sparrow].</t>
  </si>
  <si>
    <t>Nord, Christiane.</t>
  </si>
  <si>
    <t>Amsterdamer Publikationen zur Sprache und Literatur ; 94</t>
  </si>
  <si>
    <t>3901393242:eng</t>
  </si>
  <si>
    <t>63198105</t>
  </si>
  <si>
    <t>ocm63198105</t>
  </si>
  <si>
    <t>3102592320T</t>
  </si>
  <si>
    <t>9789042018082</t>
  </si>
  <si>
    <t>794120127</t>
  </si>
  <si>
    <t>P306 O27 2011</t>
  </si>
  <si>
    <t>0                      P  0306000O  27          2011</t>
  </si>
  <si>
    <t>Reversing Babel : translation among the English during an age of conquests, c. 800 to c. 1200 / Bruce R. O'Brien.</t>
  </si>
  <si>
    <t>O'Brien, Bruce R.</t>
  </si>
  <si>
    <t>Newark : University of Delaware Press ; Lanham, Md. : Rowman &amp; Littlefield, ©2011.</t>
  </si>
  <si>
    <t>2012-03-21</t>
  </si>
  <si>
    <t>772780656:eng</t>
  </si>
  <si>
    <t>698328003</t>
  </si>
  <si>
    <t>ocn698328003</t>
  </si>
  <si>
    <t>3103362957P</t>
  </si>
  <si>
    <t>9781611490527</t>
  </si>
  <si>
    <t>794860822</t>
  </si>
  <si>
    <t>P306 O85 2011</t>
  </si>
  <si>
    <t>0                      P  0306000O  85          2011</t>
  </si>
  <si>
    <t>Manuale del traduttore : guida pratica con glossario / Bruno Osimo.</t>
  </si>
  <si>
    <t>Osimo, Bruno, author.</t>
  </si>
  <si>
    <t>Milano : Editore Ulrico Hoepli, [2011]</t>
  </si>
  <si>
    <t>Terza edizione.</t>
  </si>
  <si>
    <t>890697961:ita</t>
  </si>
  <si>
    <t>768397138</t>
  </si>
  <si>
    <t>ocn768397138</t>
  </si>
  <si>
    <t>3103125620N</t>
  </si>
  <si>
    <t>9788820348441</t>
  </si>
  <si>
    <t>794902282</t>
  </si>
  <si>
    <t>P306 O94 2011</t>
  </si>
  <si>
    <t>0                      P  0306000O  94          2011</t>
  </si>
  <si>
    <t>The Oxford handbook of translation studies / edited by Kirsten Malmkjaer, Kevin Windle.</t>
  </si>
  <si>
    <t>520044222:eng</t>
  </si>
  <si>
    <t>648932733</t>
  </si>
  <si>
    <t>ocn648932733</t>
  </si>
  <si>
    <t>3103234195H</t>
  </si>
  <si>
    <t>9780199239306</t>
  </si>
  <si>
    <t>794831446</t>
  </si>
  <si>
    <t>P306 O97 2012</t>
  </si>
  <si>
    <t>0                      P  0306000O  97          2012</t>
  </si>
  <si>
    <t>La traduction / Michaël Oustinoff.</t>
  </si>
  <si>
    <t>Oustinoff, Michaël.</t>
  </si>
  <si>
    <t>Paris : Presses universitaires de France, 2012.</t>
  </si>
  <si>
    <t>4e éd. mise à jour.</t>
  </si>
  <si>
    <t>Que sais-je? ; 3688</t>
  </si>
  <si>
    <t>350983091:fre</t>
  </si>
  <si>
    <t>894346947</t>
  </si>
  <si>
    <t>ocn894346947</t>
  </si>
  <si>
    <t>3103621136U</t>
  </si>
  <si>
    <t>9782130594802</t>
  </si>
  <si>
    <t>794982603</t>
  </si>
  <si>
    <t>P306 O97 2015</t>
  </si>
  <si>
    <t>0                      P  0306000O  97          2015</t>
  </si>
  <si>
    <t>Oustinoff, Michaël, author.</t>
  </si>
  <si>
    <t>Cinquième édition mise à jour.</t>
  </si>
  <si>
    <t>Que sais-je? ; no 3688</t>
  </si>
  <si>
    <t>950056297</t>
  </si>
  <si>
    <t>ocn950056297</t>
  </si>
  <si>
    <t>3103709237Q</t>
  </si>
  <si>
    <t>9782130652175</t>
  </si>
  <si>
    <t>795016529</t>
  </si>
  <si>
    <t>P306 P37 2011</t>
  </si>
  <si>
    <t>0                      P  0306000P  37          2011</t>
  </si>
  <si>
    <t>Passeurs de mots, passeurs d'espoir : lexicologie, terminologie et traduction face au défi de la diversité : actes des huitièmes Journées scientifiques du Réseau de chercheurs Lexicologie, terminologie, traduction, Lisbonne, 15-17 octobre 2009 / sous la direction de Marc Van Campenhoudt, Teresa Lino, Rute Costa ; textes préédités par Nathalie Lemaire.</t>
  </si>
  <si>
    <t>Réseau de chercheurs Lexicologie, terminologie, traduction. Journées scientifiques (8th : 2009 : Lisbon, Portugal)</t>
  </si>
  <si>
    <t>Paris : Éditions des Archives contemporaines, ©2011.</t>
  </si>
  <si>
    <t>Actualité scientifique</t>
  </si>
  <si>
    <t>917101550:fre</t>
  </si>
  <si>
    <t>732330310</t>
  </si>
  <si>
    <t>ocn732330310</t>
  </si>
  <si>
    <t>31032967566</t>
  </si>
  <si>
    <t>9782813000521</t>
  </si>
  <si>
    <t>794881265</t>
  </si>
  <si>
    <t>P306 P47</t>
  </si>
  <si>
    <t>0                      P  0306000P  47</t>
  </si>
  <si>
    <t>Les fondements sociolinguistiques de la traduction / Maurice Pergnier.</t>
  </si>
  <si>
    <t>Pergnier, M. (Maurice)</t>
  </si>
  <si>
    <t>Paris : Diffusion Librairie H. Champion, ©1978.</t>
  </si>
  <si>
    <t>350595044:fre</t>
  </si>
  <si>
    <t>13606032</t>
  </si>
  <si>
    <t>ocm13606032</t>
  </si>
  <si>
    <t>3102776673T</t>
  </si>
  <si>
    <t>9782729500467</t>
  </si>
  <si>
    <t>792859661</t>
  </si>
  <si>
    <t>P306 P64 2001</t>
  </si>
  <si>
    <t>0                      P  0306000P  64          2001</t>
  </si>
  <si>
    <t>The politics of translation in the Middle Ages and the Renaissance / edited by Renate Blumenfeld-Kosinski, Luise von Flotow, Daniel Russell.</t>
  </si>
  <si>
    <t>Ottawa, Ont. : University of Ottawa Press ; Tempe, Ariz. : Arizona Center for Medieval and Renaissance Studies, 2001.</t>
  </si>
  <si>
    <t>Perspectives on translation</t>
  </si>
  <si>
    <t>351428922:eng</t>
  </si>
  <si>
    <t>47634910</t>
  </si>
  <si>
    <t>ocm47634910</t>
  </si>
  <si>
    <t>3102776668V</t>
  </si>
  <si>
    <t>9780866982757</t>
  </si>
  <si>
    <t>793704133</t>
  </si>
  <si>
    <t>P306 P95 2014</t>
  </si>
  <si>
    <t>0                      P  0306000P  95          2014</t>
  </si>
  <si>
    <t>Exploring translation theories / Anthony Pym.</t>
  </si>
  <si>
    <t>Pym, Anthony, 1956- author.</t>
  </si>
  <si>
    <t>195397952:eng</t>
  </si>
  <si>
    <t>848267946</t>
  </si>
  <si>
    <t>ocn848267946</t>
  </si>
  <si>
    <t>3103530009$</t>
  </si>
  <si>
    <t>9780415837897</t>
  </si>
  <si>
    <t>794949941</t>
  </si>
  <si>
    <t>P306 P96 2004</t>
  </si>
  <si>
    <t>0                      P  0306000P  96          2004</t>
  </si>
  <si>
    <t>The moving text : localization, translation, and distribution / Anthony Pym.</t>
  </si>
  <si>
    <t>Pym, Anthony, 1956-</t>
  </si>
  <si>
    <t>Amsterdam ; Philadelphia : John Benjamins Pub. Co., 2004.</t>
  </si>
  <si>
    <t>Benjamins translation library, 0929-7316 ; v. 49</t>
  </si>
  <si>
    <t>793912125:eng</t>
  </si>
  <si>
    <t>54350155</t>
  </si>
  <si>
    <t>ocm54350155</t>
  </si>
  <si>
    <t>3102635968F</t>
  </si>
  <si>
    <t>9789027216557</t>
  </si>
  <si>
    <t>793859790</t>
  </si>
  <si>
    <t>P306 Q47 2006</t>
  </si>
  <si>
    <t>0                      P  0306000Q  47          2006</t>
  </si>
  <si>
    <t>Qu'est-ce que la traductologie? / études réunies par Michel Ballard.</t>
  </si>
  <si>
    <t>Arras : Artois presses université, ©2006.</t>
  </si>
  <si>
    <t>"Traductologie", 1285-9273</t>
  </si>
  <si>
    <t>351843340:fre</t>
  </si>
  <si>
    <t>122328452</t>
  </si>
  <si>
    <t>ocn122328452</t>
  </si>
  <si>
    <t>3102870903F</t>
  </si>
  <si>
    <t>9782848320465</t>
  </si>
  <si>
    <t>794220187</t>
  </si>
  <si>
    <t>P306 R33 2005</t>
  </si>
  <si>
    <t>0                      P  0306000R  33          2005</t>
  </si>
  <si>
    <t>If this be treason : translation and its dyscontents : a memoir / Gregory Rabassa.</t>
  </si>
  <si>
    <t>Rabassa, Gregory.</t>
  </si>
  <si>
    <t>New York : New Directions Book, 2005.</t>
  </si>
  <si>
    <t>2019-10-18</t>
  </si>
  <si>
    <t>373718832:eng</t>
  </si>
  <si>
    <t>57201935</t>
  </si>
  <si>
    <t>ocm57201935</t>
  </si>
  <si>
    <t>31033859593</t>
  </si>
  <si>
    <t>9780811216197</t>
  </si>
  <si>
    <t>793908771</t>
  </si>
  <si>
    <t>P306 R468 1992</t>
  </si>
  <si>
    <t>0                      P  0306000R  468         1992</t>
  </si>
  <si>
    <t>Rethinking translation : discourse, subjectivity, ideology / edited by Lawrence Venuti.</t>
  </si>
  <si>
    <t>836907404:eng</t>
  </si>
  <si>
    <t>24430299</t>
  </si>
  <si>
    <t>ocm24430299</t>
  </si>
  <si>
    <t>3102944453D</t>
  </si>
  <si>
    <t>9780415060509</t>
  </si>
  <si>
    <t>793198140</t>
  </si>
  <si>
    <t>P306 R47</t>
  </si>
  <si>
    <t>0                      P  0306000R  47</t>
  </si>
  <si>
    <t>Teorii︠a︡ perevoda i perevodcheskai︠a︡ praktika : ocherki lingvist. teorii perevoda / I︠A︡. I. Ret︠s︡ker.</t>
  </si>
  <si>
    <t>Ret︠s︡ker, I︠A︡. I.</t>
  </si>
  <si>
    <t>Moskva : Mezhdunar. otnoshenii︠a︡, 1974.</t>
  </si>
  <si>
    <t>10033147103:rus</t>
  </si>
  <si>
    <t>4024658</t>
  </si>
  <si>
    <t>ocm04024658</t>
  </si>
  <si>
    <t>3102776663V</t>
  </si>
  <si>
    <t>792314750</t>
  </si>
  <si>
    <t>P306 R53713 2006</t>
  </si>
  <si>
    <t>0                      P  0306000R  53713       2006</t>
  </si>
  <si>
    <t>On translation / Paul Ricoeur ; translated by Eileen Brennan ; with an introduction by Richard Kearney.</t>
  </si>
  <si>
    <t>Ricœur, Paul, author.</t>
  </si>
  <si>
    <t>Thinking in action</t>
  </si>
  <si>
    <t>2019-07-14</t>
  </si>
  <si>
    <t>1152127995:eng</t>
  </si>
  <si>
    <t>67945106</t>
  </si>
  <si>
    <t>ocm67945106</t>
  </si>
  <si>
    <t>3102826426R</t>
  </si>
  <si>
    <t>9780415357777</t>
  </si>
  <si>
    <t>794142014</t>
  </si>
  <si>
    <t>3102826431P</t>
  </si>
  <si>
    <t>794142015</t>
  </si>
  <si>
    <t>P306 R6 2003</t>
  </si>
  <si>
    <t>0                      P  0306000R  6           2003</t>
  </si>
  <si>
    <t>Becoming a translator : an introduction to the theory and practice of translation / Douglas Robinson.</t>
  </si>
  <si>
    <t>792342381:eng</t>
  </si>
  <si>
    <t>51871264</t>
  </si>
  <si>
    <t>ocm51871264</t>
  </si>
  <si>
    <t>3102493325V</t>
  </si>
  <si>
    <t>9780415300322</t>
  </si>
  <si>
    <t>793793146</t>
  </si>
  <si>
    <t>P306 R628 1997</t>
  </si>
  <si>
    <t>0                      P  0306000R  628         1997</t>
  </si>
  <si>
    <t>Translation and empire : postcolonial theories explained / Douglas Robinson.</t>
  </si>
  <si>
    <t>Manchester, U.K. : St. Jerome, 1997.</t>
  </si>
  <si>
    <t>Translation theories explained, 1365-0513 ; 4</t>
  </si>
  <si>
    <t>837045253:eng</t>
  </si>
  <si>
    <t>38314767</t>
  </si>
  <si>
    <t>ocm38314767</t>
  </si>
  <si>
    <t>3103342885W</t>
  </si>
  <si>
    <t>9781900650083</t>
  </si>
  <si>
    <t>793521994</t>
  </si>
  <si>
    <t>P306 R645 2009</t>
  </si>
  <si>
    <t>0                      P  0306000R  645         2009</t>
  </si>
  <si>
    <t>Études sur la traduction de l'anglais, or, Lessons on the French translation / par Mme G.M*** de Rochmondet ; introduction, notes et bibliographie de Benoit Léger.</t>
  </si>
  <si>
    <t>Rochmondet, G. M. de.</t>
  </si>
  <si>
    <t>[Ottawa] : Presses de l'Université d'Ottawa, 2009.</t>
  </si>
  <si>
    <t>3857708750:eng</t>
  </si>
  <si>
    <t>319932160</t>
  </si>
  <si>
    <t>ocn319932160</t>
  </si>
  <si>
    <t>3103071295I</t>
  </si>
  <si>
    <t>9782760306974</t>
  </si>
  <si>
    <t>794485035</t>
  </si>
  <si>
    <t>P306 R65 2005</t>
  </si>
  <si>
    <t>0                      P  0306000R  65          2005</t>
  </si>
  <si>
    <t>Consuelo de lenguaje : problemáticas de traducción / Susana Romano Sued.</t>
  </si>
  <si>
    <t>Romano-Sued, Susana Nelly.</t>
  </si>
  <si>
    <t>Córdoba : Ferreyra Editor, ©2005.</t>
  </si>
  <si>
    <t>897872166:spa</t>
  </si>
  <si>
    <t>64552857</t>
  </si>
  <si>
    <t>ocm64552857</t>
  </si>
  <si>
    <t>3102872255I</t>
  </si>
  <si>
    <t>9789871110216</t>
  </si>
  <si>
    <t>794129935</t>
  </si>
  <si>
    <t>P306 R67 2001 Suppl.</t>
  </si>
  <si>
    <t>0                      P  0306000R  67          2001                                        Suppl.</t>
  </si>
  <si>
    <t>Pratique de la traduction : l'approche par questionnement : complément du manuel Initiation à la traduction générale / Maurice Rouleau.</t>
  </si>
  <si>
    <t>Suppl.*</t>
  </si>
  <si>
    <t>Rouleau, Maurice, 1942-</t>
  </si>
  <si>
    <t>Montréal : Linguatech, 2007.</t>
  </si>
  <si>
    <t>1030566278:fre</t>
  </si>
  <si>
    <t>253846605</t>
  </si>
  <si>
    <t>ocn253846605</t>
  </si>
  <si>
    <t>3102704230I</t>
  </si>
  <si>
    <t>9782920342514</t>
  </si>
  <si>
    <t>794394329</t>
  </si>
  <si>
    <t>P306 R68 1998</t>
  </si>
  <si>
    <t>0                      P  0306000R  68          1998</t>
  </si>
  <si>
    <t>Routledge encyclopedia of translation studies / edited by Mona Baker ; assisted by Kirsten Malmkjaer.</t>
  </si>
  <si>
    <t>1046108070:eng</t>
  </si>
  <si>
    <t>35758187</t>
  </si>
  <si>
    <t>ocm35758187</t>
  </si>
  <si>
    <t>3101867415B</t>
  </si>
  <si>
    <t>9780415093804</t>
  </si>
  <si>
    <t>793456760</t>
  </si>
  <si>
    <t>P306 R68 2009</t>
  </si>
  <si>
    <t>0                      P  0306000R  68          2009</t>
  </si>
  <si>
    <t>The Routledge companion to translation studies / edited by Jeremy Munday.</t>
  </si>
  <si>
    <t>888472418:eng</t>
  </si>
  <si>
    <t>263409112</t>
  </si>
  <si>
    <t>ocn263409112</t>
  </si>
  <si>
    <t>3103079809N</t>
  </si>
  <si>
    <t>9780415396400</t>
  </si>
  <si>
    <t>794403653</t>
  </si>
  <si>
    <t>P306 R83 2011</t>
  </si>
  <si>
    <t>0                      P  0306000R  83          2011</t>
  </si>
  <si>
    <t>Interpreting in the community and workplace : a practical teaching guide / Mette Rudvin, Elena Tomassini.</t>
  </si>
  <si>
    <t>Rudvin, Mette.</t>
  </si>
  <si>
    <t>685225732:eng</t>
  </si>
  <si>
    <t>669751251</t>
  </si>
  <si>
    <t>ocn669751251</t>
  </si>
  <si>
    <t>3103407510C</t>
  </si>
  <si>
    <t>9780230285149</t>
  </si>
  <si>
    <t>794847035</t>
  </si>
  <si>
    <t>P306 S244 2013</t>
  </si>
  <si>
    <t>0                      P  0306000S  244         2013</t>
  </si>
  <si>
    <t>Research methodologies in translation studies / Gabriela Saldanha and Sharon O'Brien.</t>
  </si>
  <si>
    <t>Saldanha, Gabriela, author.</t>
  </si>
  <si>
    <t>Manchester, UK : St. Jerome Publishing, [2013]</t>
  </si>
  <si>
    <t>2018-02-20</t>
  </si>
  <si>
    <t>1770847758:eng</t>
  </si>
  <si>
    <t>861335139</t>
  </si>
  <si>
    <t>ocn861335139</t>
  </si>
  <si>
    <t>31037058210</t>
  </si>
  <si>
    <t>9781909485006</t>
  </si>
  <si>
    <t>794959102</t>
  </si>
  <si>
    <t>P306 S46 2001</t>
  </si>
  <si>
    <t>0                      P  0306000S  46          2001</t>
  </si>
  <si>
    <t>Interpréter pour traduire / Danica Seleskovitch, Marianne Lederer.</t>
  </si>
  <si>
    <t>Seleskovitch, Danica.</t>
  </si>
  <si>
    <t>Paris : Didier Erudition Didier Erudition, 2001.</t>
  </si>
  <si>
    <t>4e éd. rev. et corr.</t>
  </si>
  <si>
    <t>Collection Traductologie ; 1</t>
  </si>
  <si>
    <t>4018046:fre</t>
  </si>
  <si>
    <t>50235853</t>
  </si>
  <si>
    <t>ocm50235853</t>
  </si>
  <si>
    <t>31031501256</t>
  </si>
  <si>
    <t>9782864606413</t>
  </si>
  <si>
    <t>793758632</t>
  </si>
  <si>
    <t>P306 S58 1988</t>
  </si>
  <si>
    <t>0                      P  0306000S  58          1988</t>
  </si>
  <si>
    <t>Translation studies : an integrated approach / Mary Snell-Hornby.</t>
  </si>
  <si>
    <t>Snell-Hornby, Mary.</t>
  </si>
  <si>
    <t>Amsterdam ; Philadelphia : J. Benjamins Pub. Co., 1988.</t>
  </si>
  <si>
    <t>17367491:eng</t>
  </si>
  <si>
    <t>18557448</t>
  </si>
  <si>
    <t>ocm18557448</t>
  </si>
  <si>
    <t>3102735445S</t>
  </si>
  <si>
    <t>9781556190513</t>
  </si>
  <si>
    <t>793028807</t>
  </si>
  <si>
    <t>P306 S585 2009</t>
  </si>
  <si>
    <t>0                      P  0306000S  585         2009</t>
  </si>
  <si>
    <t>I luoghi della traduzione : le interfacce : atti del XLIII Congresso internazionale di studi della Società di linguistica Italiana (SLI), Verona, 24-26 settembre 2009 / a cura di Giovanna Massariello Merzagora e Serena Dal Maso.</t>
  </si>
  <si>
    <t>Società di linguistica italiana. Congresso internazionale di studi (43th : 2009 : Verona, Italy)</t>
  </si>
  <si>
    <t>Roma : Bulzoni, 2011.</t>
  </si>
  <si>
    <t>Pubblicazioni della Società di linguistica italiana ; 54</t>
  </si>
  <si>
    <t>1070243547:ita</t>
  </si>
  <si>
    <t>770602104</t>
  </si>
  <si>
    <t>ocn770602104</t>
  </si>
  <si>
    <t>3103440224R</t>
  </si>
  <si>
    <t>9788878705951</t>
  </si>
  <si>
    <t>794903946</t>
  </si>
  <si>
    <t>3103440223R</t>
  </si>
  <si>
    <t>794903947</t>
  </si>
  <si>
    <t>P306 S66 1975b</t>
  </si>
  <si>
    <t>0                      P  0306000S  66          1975b</t>
  </si>
  <si>
    <t>After Babel : aspects of language and translation / George Steiner.</t>
  </si>
  <si>
    <t>New York : Oxford University Press, 1975.</t>
  </si>
  <si>
    <t>7047534:eng</t>
  </si>
  <si>
    <t>1531585</t>
  </si>
  <si>
    <t>ocm01531585</t>
  </si>
  <si>
    <t>3102776667V</t>
  </si>
  <si>
    <t>9780192121967</t>
  </si>
  <si>
    <t>791691766</t>
  </si>
  <si>
    <t>31027824925</t>
  </si>
  <si>
    <t>791691765</t>
  </si>
  <si>
    <t>3102776672T</t>
  </si>
  <si>
    <t>791691767</t>
  </si>
  <si>
    <t>P306 S66 1992</t>
  </si>
  <si>
    <t>0                      P  0306000S  66          1992</t>
  </si>
  <si>
    <t>Oxford ; New York : Oxford University Press, 1992.</t>
  </si>
  <si>
    <t>2018-11-24</t>
  </si>
  <si>
    <t>25748291</t>
  </si>
  <si>
    <t>ocm25748291</t>
  </si>
  <si>
    <t>3103644484H</t>
  </si>
  <si>
    <t>9780192123008</t>
  </si>
  <si>
    <t>793229345</t>
  </si>
  <si>
    <t>P306 S66 1998</t>
  </si>
  <si>
    <t>0                      P  0306000S  66          1998</t>
  </si>
  <si>
    <t>37862620</t>
  </si>
  <si>
    <t>ocm37862620</t>
  </si>
  <si>
    <t>3102815345Z</t>
  </si>
  <si>
    <t>9780192880932</t>
  </si>
  <si>
    <t>793508618</t>
  </si>
  <si>
    <t>P306 S6614 1978</t>
  </si>
  <si>
    <t>0                      P  0306000S  6614        1978</t>
  </si>
  <si>
    <t>Après Babel : une poétique du dire et de la traduction / George Steiner ; traduit de l'anglais par Lucienne Lotringer.</t>
  </si>
  <si>
    <t>Paris : Albin Michel, 1978.</t>
  </si>
  <si>
    <t>7047534:fre</t>
  </si>
  <si>
    <t>5322049</t>
  </si>
  <si>
    <t>ocm05322049</t>
  </si>
  <si>
    <t>3102776662V</t>
  </si>
  <si>
    <t>792425115</t>
  </si>
  <si>
    <t>P306 S6614 1998</t>
  </si>
  <si>
    <t>0                      P  0306000S  6614        1998</t>
  </si>
  <si>
    <t>Après Babel : une poétique du dire et de la traduction / George Steiner ; traduit de l'anglais par Lucienne Lotringer et Pierre-Emmanuel Dauzat.</t>
  </si>
  <si>
    <t>Paris : Albin Michel, 1998.</t>
  </si>
  <si>
    <t>51567467</t>
  </si>
  <si>
    <t>ocm51567467</t>
  </si>
  <si>
    <t>3103001408S</t>
  </si>
  <si>
    <t>9782226105875</t>
  </si>
  <si>
    <t>793787045</t>
  </si>
  <si>
    <t>P306 S663 2001</t>
  </si>
  <si>
    <t>0                      P  0306000S  663         2001</t>
  </si>
  <si>
    <t>Specters of the West and the politics of translation / Naoki Sakai and Yukiko Hanawa, editors.</t>
  </si>
  <si>
    <t>Ithaca, NY : Cornell University ; Hong Kong : Distributed by Hong Kong University Press, ©2001.</t>
  </si>
  <si>
    <t>Traces: a multilingual journal of cultural theory and translation ; 1</t>
  </si>
  <si>
    <t>368491604:eng</t>
  </si>
  <si>
    <t>49758347</t>
  </si>
  <si>
    <t>ocm49758347</t>
  </si>
  <si>
    <t>3102501879G</t>
  </si>
  <si>
    <t>9789622095601</t>
  </si>
  <si>
    <t>793747267</t>
  </si>
  <si>
    <t>P306 T38 1986</t>
  </si>
  <si>
    <t>0                      P  0306000T  38          1986</t>
  </si>
  <si>
    <t>Traduire : pour une pédagogie de la traduction / Claude Tatilon ; préface de Georges Mounin ; frontispice de Peter Kolisnyk.</t>
  </si>
  <si>
    <t>Tatilon, Claude.</t>
  </si>
  <si>
    <t>Toronto : Editions du GREF, 1986.</t>
  </si>
  <si>
    <t>Collection Traduire, écrire, lire ; 1</t>
  </si>
  <si>
    <t>808857597:fre</t>
  </si>
  <si>
    <t>19745980</t>
  </si>
  <si>
    <t>ocm19745980</t>
  </si>
  <si>
    <t>3102776657X</t>
  </si>
  <si>
    <t>9781550140095</t>
  </si>
  <si>
    <t>793067737</t>
  </si>
  <si>
    <t>P306 T4365 2006</t>
  </si>
  <si>
    <t>0                      P  0306000T  4365        2006</t>
  </si>
  <si>
    <t>Translation : theory and practice : a historical reader / edited by Daniel Weissbort and Astradur Eysteinsson.</t>
  </si>
  <si>
    <t>1059975141:eng</t>
  </si>
  <si>
    <t>68770237</t>
  </si>
  <si>
    <t>ocm68770237</t>
  </si>
  <si>
    <t>3102564858F</t>
  </si>
  <si>
    <t>9780198711995</t>
  </si>
  <si>
    <t>794144135</t>
  </si>
  <si>
    <t>P306 T448 2005</t>
  </si>
  <si>
    <t>0                      P  0306000T  448         2005</t>
  </si>
  <si>
    <t>La théorie interprétative de la traduction / Fortunato Israël et Marianne Lederer, eds.</t>
  </si>
  <si>
    <t>t.3</t>
  </si>
  <si>
    <t>Paris : Lettres modernes Minard, 2005.</t>
  </si>
  <si>
    <t>Cahiers Champollion ; 6-8</t>
  </si>
  <si>
    <t>3374690641:fre</t>
  </si>
  <si>
    <t>62864426</t>
  </si>
  <si>
    <t>ocm62864426</t>
  </si>
  <si>
    <t>31026063627</t>
  </si>
  <si>
    <t>9782256910821</t>
  </si>
  <si>
    <t>794113120</t>
  </si>
  <si>
    <t>31034461296</t>
  </si>
  <si>
    <t>794113121</t>
  </si>
  <si>
    <t>2010-10-28</t>
  </si>
  <si>
    <t>31026063725</t>
  </si>
  <si>
    <t>794113122</t>
  </si>
  <si>
    <t>P306 T453 1992</t>
  </si>
  <si>
    <t>0                      P  0306000T  453         1992</t>
  </si>
  <si>
    <t>Theories of translation : an anthology of essays from Dryden to Derrida / edited by Rainer Schulte and John Biguenet.</t>
  </si>
  <si>
    <t>836881749:eng</t>
  </si>
  <si>
    <t>24009413</t>
  </si>
  <si>
    <t>ocm24009413</t>
  </si>
  <si>
    <t>3102379781$</t>
  </si>
  <si>
    <t>9780226048703</t>
  </si>
  <si>
    <t>793187138</t>
  </si>
  <si>
    <t>P306 T643 1998</t>
  </si>
  <si>
    <t>0                      P  0306000T  643         1998</t>
  </si>
  <si>
    <t>Traduire et adapter à la Renaissance : actes de la journée d'étude organisée par l'Ecole nationale des chartes et le Centre de recherche sur l'Espagne des XVIe et XVIIe siècles (Paris, 11 avril 1996) / réunis par Dominique de Courcelles.</t>
  </si>
  <si>
    <t>Paris : Ecole des chartes, 1998.</t>
  </si>
  <si>
    <t>Etudes et rencontres de l'Ecole des chartes ; 2</t>
  </si>
  <si>
    <t>890226022:fre</t>
  </si>
  <si>
    <t>40069291</t>
  </si>
  <si>
    <t>ocm40069291</t>
  </si>
  <si>
    <t>31027767111</t>
  </si>
  <si>
    <t>9782900791264</t>
  </si>
  <si>
    <t>793559241</t>
  </si>
  <si>
    <t>P306 T6696 2011</t>
  </si>
  <si>
    <t>0                      P  0306000T  6696        2011</t>
  </si>
  <si>
    <t>La traduction : philosophie et traduction : interpréter/traduire / (éds.) Christian Berner, Tatiana Millaressi.</t>
  </si>
  <si>
    <t>Villeneuve d'Ascq : Presses Universitaires du Septentrion, 2011.</t>
  </si>
  <si>
    <t>2014-02-07</t>
  </si>
  <si>
    <t>3902401638:fre</t>
  </si>
  <si>
    <t>774857225</t>
  </si>
  <si>
    <t>ocn774857225</t>
  </si>
  <si>
    <t>31034678208</t>
  </si>
  <si>
    <t>9782757403570</t>
  </si>
  <si>
    <t>794906854</t>
  </si>
  <si>
    <t>P306 T673 1991</t>
  </si>
  <si>
    <t>0                      P  0306000T  673         1991</t>
  </si>
  <si>
    <t>La Traduction littéraire scientifique et technique : actes du colloque international / organisé par l'Association européenne des linguistes et des professeurs de langues (AELPL), les 21 et 22 mars 1991 à l'Ecole nationale supérieure des arts et métiers, Paris.</t>
  </si>
  <si>
    <t>[Paris] : La Tilv, [1991]</t>
  </si>
  <si>
    <t>Collection Paroles &amp; actes</t>
  </si>
  <si>
    <t>807098983:fre</t>
  </si>
  <si>
    <t>26858007</t>
  </si>
  <si>
    <t>ocm26858007</t>
  </si>
  <si>
    <t>3102776681R</t>
  </si>
  <si>
    <t>9782909159010</t>
  </si>
  <si>
    <t>793253905</t>
  </si>
  <si>
    <t>P306 T67437 2010</t>
  </si>
  <si>
    <t>0                      P  0306000T  67437       2010</t>
  </si>
  <si>
    <t>Traduire : un art de la contrainte / sous la direction de Noël Dutrait et Charles Zaremba.</t>
  </si>
  <si>
    <t>Aix-en-Provence : Publications de l'université de Provence, 2010.</t>
  </si>
  <si>
    <t>Langues et écritures, 1633-3780</t>
  </si>
  <si>
    <t>2014-11-06</t>
  </si>
  <si>
    <t>836768019:fre</t>
  </si>
  <si>
    <t>663385043</t>
  </si>
  <si>
    <t>ocn663385043</t>
  </si>
  <si>
    <t>31031275964</t>
  </si>
  <si>
    <t>9782853997508</t>
  </si>
  <si>
    <t>794837812</t>
  </si>
  <si>
    <t>P306 T67535 2014</t>
  </si>
  <si>
    <t>0                      P  0306000T  67535       2014</t>
  </si>
  <si>
    <t>La traduzione : opere e autori del Novecento / a cura di Laura Dolfi.</t>
  </si>
  <si>
    <t>Parma : MUP, [2014]</t>
  </si>
  <si>
    <t>L'eredità di Babele ; 13</t>
  </si>
  <si>
    <t>2411723948:ita</t>
  </si>
  <si>
    <t>904251430</t>
  </si>
  <si>
    <t>ocn904251430</t>
  </si>
  <si>
    <t>B001591432</t>
  </si>
  <si>
    <t>9788878474680</t>
  </si>
  <si>
    <t>794990233</t>
  </si>
  <si>
    <t>P306 T678 2009</t>
  </si>
  <si>
    <t>0                      P  0306000T  678         2009</t>
  </si>
  <si>
    <t>Translation and censorship : patterns of communication and interference / Eiléan Ní Chuilleanáin, Cormac Ó Cuilleanáin &amp; David Parris editors.</t>
  </si>
  <si>
    <t>Dublin : Four Courts Press, ©2009.</t>
  </si>
  <si>
    <t>902305753:eng</t>
  </si>
  <si>
    <t>299241616</t>
  </si>
  <si>
    <t>ocn299241616</t>
  </si>
  <si>
    <t>3103079447R</t>
  </si>
  <si>
    <t>9781846821431</t>
  </si>
  <si>
    <t>794428979</t>
  </si>
  <si>
    <t>P306 T6787 2011</t>
  </si>
  <si>
    <t>0                      P  0306000T  6787        2011</t>
  </si>
  <si>
    <t>Translating gender / Eleonora Federici (ed.) ; in collaboration with Manuela Coppola, Michael Cronin and Renata Oggero.</t>
  </si>
  <si>
    <t>Bern : Peter Lang, ©2011.</t>
  </si>
  <si>
    <t>IRIS: Ricerche di cultura Europea/Forschungen zur Europäischen kultur ; Bd. 25</t>
  </si>
  <si>
    <t>768000360:eng</t>
  </si>
  <si>
    <t>695032990</t>
  </si>
  <si>
    <t>ocn695032990</t>
  </si>
  <si>
    <t>3103407502E</t>
  </si>
  <si>
    <t>9783034304054</t>
  </si>
  <si>
    <t>794858154</t>
  </si>
  <si>
    <t>P306 T6795 2006</t>
  </si>
  <si>
    <t>0                      P  0306000T  6795        2006</t>
  </si>
  <si>
    <t>Translating others / edited by Theo Hermans.</t>
  </si>
  <si>
    <t>Manchester, UK ; Kinderhook, NY : St. Jerome Pub., ©2006-</t>
  </si>
  <si>
    <t>2013-04-29</t>
  </si>
  <si>
    <t>5091040226:eng</t>
  </si>
  <si>
    <t>67346101</t>
  </si>
  <si>
    <t>ocm67346101</t>
  </si>
  <si>
    <t>3102667440B</t>
  </si>
  <si>
    <t>9781900650847</t>
  </si>
  <si>
    <t>794140246</t>
  </si>
  <si>
    <t>3102667445B</t>
  </si>
  <si>
    <t>794140247</t>
  </si>
  <si>
    <t>P306 T7214 2009</t>
  </si>
  <si>
    <t>0                      P  0306000T  7214        2009</t>
  </si>
  <si>
    <t>Traductologie et enseignement de traduction à l'université / études réunies par Michel Ballard.</t>
  </si>
  <si>
    <t>Arras : Artois presses université, 2009.</t>
  </si>
  <si>
    <t>473849473:fre</t>
  </si>
  <si>
    <t>517265035</t>
  </si>
  <si>
    <t>ocn517265035</t>
  </si>
  <si>
    <t>3103255120H</t>
  </si>
  <si>
    <t>9782848321004</t>
  </si>
  <si>
    <t>794808232</t>
  </si>
  <si>
    <t>P306 T73 2011</t>
  </si>
  <si>
    <t>0                      P  0306000T  73          2011</t>
  </si>
  <si>
    <t>Traduire / [comité de rédaction, Sophie Bobbé and others].</t>
  </si>
  <si>
    <t>Paris : Le Félin, ©2011.</t>
  </si>
  <si>
    <t>Esquisse(s) ; no. 1, printemps 2011</t>
  </si>
  <si>
    <t>5619099859:fre</t>
  </si>
  <si>
    <t>726820246</t>
  </si>
  <si>
    <t>ocn726820246</t>
  </si>
  <si>
    <t>31032967458</t>
  </si>
  <si>
    <t>9782866457525</t>
  </si>
  <si>
    <t>794877447</t>
  </si>
  <si>
    <t>P306 T73 2017</t>
  </si>
  <si>
    <t>0                      P  0306000T  73          2017</t>
  </si>
  <si>
    <t>Traductions et contextes, contextes de la traduction / sous la direction de Michaël Grégoire et Bénédicte Mathios.</t>
  </si>
  <si>
    <t>Collection Traductologie</t>
  </si>
  <si>
    <t>4727892473:fre</t>
  </si>
  <si>
    <t>1026414542</t>
  </si>
  <si>
    <t>on1026414542</t>
  </si>
  <si>
    <t>3103721469X</t>
  </si>
  <si>
    <t>9782343138381</t>
  </si>
  <si>
    <t>795052417</t>
  </si>
  <si>
    <t>P306 T73148 2012</t>
  </si>
  <si>
    <t>0                      P  0306000T  73148       2012</t>
  </si>
  <si>
    <t>Traduire la littérature et les sciences humaines : conditions et obstacles / sous la direction de Gisèle Sapiro.</t>
  </si>
  <si>
    <t>Paris : Ministère de la culture et de la communication, Secrétariat général, Département des études, de la prospective et des statistiques (DEPS), ©2012.</t>
  </si>
  <si>
    <t>Questions de culture</t>
  </si>
  <si>
    <t>1782929839:fre</t>
  </si>
  <si>
    <t>820122423</t>
  </si>
  <si>
    <t>ocn820122423</t>
  </si>
  <si>
    <t>3103483837C</t>
  </si>
  <si>
    <t>9782111281486</t>
  </si>
  <si>
    <t>794935116</t>
  </si>
  <si>
    <t>P306 T734 1992</t>
  </si>
  <si>
    <t>0                      P  0306000T  734         1992</t>
  </si>
  <si>
    <t>Translation--history, culture : a sourcebook / edited by André Lefevere.</t>
  </si>
  <si>
    <t>Translation studies</t>
  </si>
  <si>
    <t>863087349:eng</t>
  </si>
  <si>
    <t>25371779</t>
  </si>
  <si>
    <t>ocm25371779</t>
  </si>
  <si>
    <t>3101198098N</t>
  </si>
  <si>
    <t>9780415076975</t>
  </si>
  <si>
    <t>793218990</t>
  </si>
  <si>
    <t>P306 T737 2001</t>
  </si>
  <si>
    <t>0                      P  0306000T  737         2001</t>
  </si>
  <si>
    <t>Translation in a global market / Emily Apter, guest editor.</t>
  </si>
  <si>
    <t>Durham, NC : Duke University Press, ©2001.</t>
  </si>
  <si>
    <t>36928647:eng</t>
  </si>
  <si>
    <t>47913891</t>
  </si>
  <si>
    <t>ocm47913891</t>
  </si>
  <si>
    <t>3103382665M</t>
  </si>
  <si>
    <t>793710993</t>
  </si>
  <si>
    <t>P306 T737 2010</t>
  </si>
  <si>
    <t>0                      P  0306000T  737         2010</t>
  </si>
  <si>
    <t>Translation, humour and literature / edited by Delia Chiaro.</t>
  </si>
  <si>
    <t>Translation and humour ; v. 1</t>
  </si>
  <si>
    <t>370806677:eng</t>
  </si>
  <si>
    <t>496962172</t>
  </si>
  <si>
    <t>ocn496962172</t>
  </si>
  <si>
    <t>3103401958G</t>
  </si>
  <si>
    <t>9781441158239</t>
  </si>
  <si>
    <t>794802859</t>
  </si>
  <si>
    <t>P306 T7375 2010</t>
  </si>
  <si>
    <t>0                      P  0306000T  7375        2010</t>
  </si>
  <si>
    <t>Translation, humour and the media / edited by Delia Chiaro.</t>
  </si>
  <si>
    <t>Translation and humour ; v. 2</t>
  </si>
  <si>
    <t>2015-03-17</t>
  </si>
  <si>
    <t>773042048:eng</t>
  </si>
  <si>
    <t>698477027</t>
  </si>
  <si>
    <t>ocn698477027</t>
  </si>
  <si>
    <t>3103582231S</t>
  </si>
  <si>
    <t>9781441137883</t>
  </si>
  <si>
    <t>794861158</t>
  </si>
  <si>
    <t>P306 T74 2008</t>
  </si>
  <si>
    <t>0                      P  0306000T  74          2008</t>
  </si>
  <si>
    <t>Traduction(s) : confrontations, négociations, création.</t>
  </si>
  <si>
    <t>Saint-Denis : PUV. Presses universitaires de Vincennes, 2008.</t>
  </si>
  <si>
    <t>Théorie littérature epistémologie ; no 25-2008</t>
  </si>
  <si>
    <t>763040787:fre</t>
  </si>
  <si>
    <t>236331875</t>
  </si>
  <si>
    <t>ocn236331875</t>
  </si>
  <si>
    <t>3103050637W</t>
  </si>
  <si>
    <t>9782842922153</t>
  </si>
  <si>
    <t>794371545</t>
  </si>
  <si>
    <t>P306 T7433 2009</t>
  </si>
  <si>
    <t>0                      P  0306000T  7433        2009</t>
  </si>
  <si>
    <t>Translation studies / edited by Mona Baker.</t>
  </si>
  <si>
    <t>Abingdon [U.K.] ; New York : Routledge, 2009.</t>
  </si>
  <si>
    <t>2017-11-24</t>
  </si>
  <si>
    <t>8907522937:eng</t>
  </si>
  <si>
    <t>176920763</t>
  </si>
  <si>
    <t>ocn176920763</t>
  </si>
  <si>
    <t>3103254082C</t>
  </si>
  <si>
    <t>9780415344227</t>
  </si>
  <si>
    <t>794277821</t>
  </si>
  <si>
    <t>3103254087C</t>
  </si>
  <si>
    <t>794277822</t>
  </si>
  <si>
    <t>3103254176B</t>
  </si>
  <si>
    <t>794277820</t>
  </si>
  <si>
    <t>3103254092A</t>
  </si>
  <si>
    <t>794277823</t>
  </si>
  <si>
    <t>P306 T7435 1994</t>
  </si>
  <si>
    <t>0                      P  0306000T  7435        1994</t>
  </si>
  <si>
    <t>Translation studies : an interdiscipline / edited by Mary Snell-Hornby, Franz Pöchhacker, Klaus Kaindl.</t>
  </si>
  <si>
    <t>Benjamins translation library ; v. 2</t>
  </si>
  <si>
    <t>956431498:eng</t>
  </si>
  <si>
    <t>29359529</t>
  </si>
  <si>
    <t>ocm29359529</t>
  </si>
  <si>
    <t>31027767003</t>
  </si>
  <si>
    <t>9789027221414</t>
  </si>
  <si>
    <t>793308951</t>
  </si>
  <si>
    <t>P306 T7436 2000</t>
  </si>
  <si>
    <t>0                      P  0306000T  7436        2000</t>
  </si>
  <si>
    <t>The Translation studies reader / edited by Lawrence Venuti.</t>
  </si>
  <si>
    <t>864905477:eng</t>
  </si>
  <si>
    <t>41580609</t>
  </si>
  <si>
    <t>ocm41580609</t>
  </si>
  <si>
    <t>3103214804O</t>
  </si>
  <si>
    <t>9780415187473</t>
  </si>
  <si>
    <t>793594582</t>
  </si>
  <si>
    <t>31027851716</t>
  </si>
  <si>
    <t>793594583</t>
  </si>
  <si>
    <t>P306 T7436 2004</t>
  </si>
  <si>
    <t>0                      P  0306000T  7436        2004</t>
  </si>
  <si>
    <t>The translation studies reader / edited by Lawrence Venuti.</t>
  </si>
  <si>
    <t>53215780</t>
  </si>
  <si>
    <t>ocm53215780</t>
  </si>
  <si>
    <t>31030298581</t>
  </si>
  <si>
    <t>9780415319195</t>
  </si>
  <si>
    <t>793823843</t>
  </si>
  <si>
    <t>P306 T74365 2010</t>
  </si>
  <si>
    <t>0                      P  0306000T  74365       2010</t>
  </si>
  <si>
    <t>Translation : theory and practice in dialogue / edited by Antoinette Fawcett, Karla L. Guadarrama García and Rebecca Hyde Parker.</t>
  </si>
  <si>
    <t>Continuum studies in translation</t>
  </si>
  <si>
    <t>796298773:eng</t>
  </si>
  <si>
    <t>466343687</t>
  </si>
  <si>
    <t>ocn466343687</t>
  </si>
  <si>
    <t>3103284885A</t>
  </si>
  <si>
    <t>9780826444677</t>
  </si>
  <si>
    <t>794794359</t>
  </si>
  <si>
    <t>P306 T7437 1997</t>
  </si>
  <si>
    <t>0                      P  0306000T  7437        1997</t>
  </si>
  <si>
    <t>Translation theory and practice in the Middle Ages / edited by Jeanette Beer.</t>
  </si>
  <si>
    <t>Kalamazoo, Mich. : Medieval Institute Publications, Western Michigan University, 1997.</t>
  </si>
  <si>
    <t>Studies in medieval culture ; 38</t>
  </si>
  <si>
    <t>480758899:eng</t>
  </si>
  <si>
    <t>36630103</t>
  </si>
  <si>
    <t>ocm36630103</t>
  </si>
  <si>
    <t>3102776695P</t>
  </si>
  <si>
    <t>9781879288812</t>
  </si>
  <si>
    <t>793479984</t>
  </si>
  <si>
    <t>P306 T74485 2006</t>
  </si>
  <si>
    <t>0                      P  0306000T  74485       2006</t>
  </si>
  <si>
    <t>The translator as writer / edited by Susan Bassnett and Peter Bush.</t>
  </si>
  <si>
    <t>351706809:eng</t>
  </si>
  <si>
    <t>61757480</t>
  </si>
  <si>
    <t>ocm61757480</t>
  </si>
  <si>
    <t>3102589903T</t>
  </si>
  <si>
    <t>9780826485755</t>
  </si>
  <si>
    <t>794097997</t>
  </si>
  <si>
    <t>P306 T96 2007</t>
  </si>
  <si>
    <t>0                      P  0306000T  96          2007</t>
  </si>
  <si>
    <t>Enlarging translation, empowering translators / Maria Tymoczko.</t>
  </si>
  <si>
    <t>Tymoczko, Maria.</t>
  </si>
  <si>
    <t>Manchester, UK ; Kinderhook, NY : St. Jerome Pub., 2007.</t>
  </si>
  <si>
    <t>102607414:eng</t>
  </si>
  <si>
    <t>123955065</t>
  </si>
  <si>
    <t>ocn123955065</t>
  </si>
  <si>
    <t>3102574358P</t>
  </si>
  <si>
    <t>9781900650663</t>
  </si>
  <si>
    <t>794228766</t>
  </si>
  <si>
    <t>P306 U48 2011</t>
  </si>
  <si>
    <t>0                      P  0306000U  48          2011</t>
  </si>
  <si>
    <t>Últimas tendencias en traducción e interpretación / eds., Daniel M. Sáez Rivera, Jorge Braga Riera, Marta Abuín González, Marta Guirao Ochoa, Beatriz Soto Aranda, Nava Maroto García (eds.).</t>
  </si>
  <si>
    <t>Lingüística iberoamericana ; 46</t>
  </si>
  <si>
    <t>2013-06-19</t>
  </si>
  <si>
    <t>1044432430:spa</t>
  </si>
  <si>
    <t>756578942</t>
  </si>
  <si>
    <t>ocn756578942</t>
  </si>
  <si>
    <t>31034464011</t>
  </si>
  <si>
    <t>9788484896067</t>
  </si>
  <si>
    <t>794894582</t>
  </si>
  <si>
    <t>P306 V3</t>
  </si>
  <si>
    <t>0                      P  0306000V  3</t>
  </si>
  <si>
    <t>Introducción a la traductología : curso básico de traducción / Gerardo Vázquez-Ayora.</t>
  </si>
  <si>
    <t>Vázquez-Ayora, Gerardo.</t>
  </si>
  <si>
    <t>Washington : Georgetown University Press, ©1977.</t>
  </si>
  <si>
    <t>889456725:spa</t>
  </si>
  <si>
    <t>3168295</t>
  </si>
  <si>
    <t>ocm03168295</t>
  </si>
  <si>
    <t>3102776685R</t>
  </si>
  <si>
    <t>9780878401673</t>
  </si>
  <si>
    <t>792225046</t>
  </si>
  <si>
    <t>P306 V58</t>
  </si>
  <si>
    <t>0                      P  0306000V  58</t>
  </si>
  <si>
    <t>Neperevodimoe v perevode / Sergeĭ Vlakhov, Sider Florin.</t>
  </si>
  <si>
    <t>Vlakhov, Sergeĭ Ivanov.</t>
  </si>
  <si>
    <t>Moskva : Mezhdunar. otnoshenii︠a︡, 1980.</t>
  </si>
  <si>
    <t>22383860:rus</t>
  </si>
  <si>
    <t>7203779</t>
  </si>
  <si>
    <t>ocm07203779</t>
  </si>
  <si>
    <t>31027767043</t>
  </si>
  <si>
    <t>792546106</t>
  </si>
  <si>
    <t>P306 W46 2002</t>
  </si>
  <si>
    <t>0                      P  0306000W  46          2002</t>
  </si>
  <si>
    <t>Western translation theory : from Herodotus to Nietzsche / [edited by] Douglas Robinson.</t>
  </si>
  <si>
    <t>Manchester, UK ; Northampton, MA : St. Jerome Pub., 2002.</t>
  </si>
  <si>
    <t>837028633:eng</t>
  </si>
  <si>
    <t>46320988</t>
  </si>
  <si>
    <t>ocm46320988</t>
  </si>
  <si>
    <t>3102571891E</t>
  </si>
  <si>
    <t>9781900650373</t>
  </si>
  <si>
    <t>793682368</t>
  </si>
  <si>
    <t>P306 W513 1982</t>
  </si>
  <si>
    <t>0                      P  0306000W  513         1982</t>
  </si>
  <si>
    <t>The science of translation : problems and methods / Wolfram Wilss.</t>
  </si>
  <si>
    <t>Wilss, Wolfram.</t>
  </si>
  <si>
    <t>Tübingen : G. Narr, ©1982.</t>
  </si>
  <si>
    <t>Tübinger Beiträge zur Linguistik ; 180</t>
  </si>
  <si>
    <t>8913506998:eng</t>
  </si>
  <si>
    <t>8891520</t>
  </si>
  <si>
    <t>ocm08891520</t>
  </si>
  <si>
    <t>3102776689R</t>
  </si>
  <si>
    <t>9783878089759</t>
  </si>
  <si>
    <t>792646636</t>
  </si>
  <si>
    <t>P306.2 A77 2013</t>
  </si>
  <si>
    <t>0                      P  0306200A  77          2013</t>
  </si>
  <si>
    <t>Un funámbulo entre metáforas : mantener el equilibio en traducción literaria / Natalia Arregui Barragán, Louis Jolicœur.</t>
  </si>
  <si>
    <t>Arregui Barragán, Natalia, author.</t>
  </si>
  <si>
    <t>Granada : Universidad de Granada, 2013.</t>
  </si>
  <si>
    <t>1434989290:spa</t>
  </si>
  <si>
    <t>893105006</t>
  </si>
  <si>
    <t>ocn893105006</t>
  </si>
  <si>
    <t>31035612453</t>
  </si>
  <si>
    <t>9788433855138</t>
  </si>
  <si>
    <t>794981343</t>
  </si>
  <si>
    <t>P306.2 A933 2012</t>
  </si>
  <si>
    <t>0                      P  0306200A  933         2012</t>
  </si>
  <si>
    <t>Audiovisual translation across Europe : an ever-changing landscape / Silvia Bruti and Elena Di Giovanni (eds).</t>
  </si>
  <si>
    <t>Oxford : Peter Lang, [2012]</t>
  </si>
  <si>
    <t>New Trends in Translation Studies, 1664-249X ; v. 7</t>
  </si>
  <si>
    <t>1194176924:eng</t>
  </si>
  <si>
    <t>823742186</t>
  </si>
  <si>
    <t>ocn823742186</t>
  </si>
  <si>
    <t>3103505214N</t>
  </si>
  <si>
    <t>9783034309530</t>
  </si>
  <si>
    <t>794937310</t>
  </si>
  <si>
    <t>P306.2 A94 2011</t>
  </si>
  <si>
    <t>0                      P  0306200A  94          2011</t>
  </si>
  <si>
    <t>Audiovisual translation in close-up : practical and theoretical approaches / Adriana Şerban, Anna Matamala &amp; Jean-Marc Lavaur (eds).</t>
  </si>
  <si>
    <t>770308048:eng</t>
  </si>
  <si>
    <t>697036792</t>
  </si>
  <si>
    <t>ocn697036792</t>
  </si>
  <si>
    <t>3103395994R</t>
  </si>
  <si>
    <t>9783034305570</t>
  </si>
  <si>
    <t>794859642</t>
  </si>
  <si>
    <t>P306.2. A95 2012</t>
  </si>
  <si>
    <t>0                      P  0306200A  95          2012</t>
  </si>
  <si>
    <t>Autour d'Olive Senior : hétérolinguisme et traduction / [sous la direction de Marie-Annick Montout].</t>
  </si>
  <si>
    <t>Angers : Presses de l'Université d'Angers, ©2012.</t>
  </si>
  <si>
    <t>Collection lettres &amp; Langues</t>
  </si>
  <si>
    <t>1206280505:fre</t>
  </si>
  <si>
    <t>823280653</t>
  </si>
  <si>
    <t>ocn823280653</t>
  </si>
  <si>
    <t>3103445806U</t>
  </si>
  <si>
    <t>9782915751499</t>
  </si>
  <si>
    <t>794937068</t>
  </si>
  <si>
    <t>P306.2 B356 2006</t>
  </si>
  <si>
    <t>0                      P  0306200B  356         2006</t>
  </si>
  <si>
    <t>Translation and conflict : a narrative account / Mona Baker.</t>
  </si>
  <si>
    <t>17569098:eng</t>
  </si>
  <si>
    <t>61309350</t>
  </si>
  <si>
    <t>ocm61309350</t>
  </si>
  <si>
    <t>3102590249$</t>
  </si>
  <si>
    <t>9780415383967</t>
  </si>
  <si>
    <t>793951049</t>
  </si>
  <si>
    <t>P306.2 B37 2012</t>
  </si>
  <si>
    <t>0                      P  0306200B  37          2012</t>
  </si>
  <si>
    <t>Profession traducteur / Georges L. Bastin, Monique C. Cormier.</t>
  </si>
  <si>
    <t>Bastin, Georges L., 1952-</t>
  </si>
  <si>
    <t>[Montréal] : Presses de l'Université de Montréal, 2012.</t>
  </si>
  <si>
    <t>Éd. rev. et mise à jour.</t>
  </si>
  <si>
    <t>Profession</t>
  </si>
  <si>
    <t>113534410:fre</t>
  </si>
  <si>
    <t>766389930</t>
  </si>
  <si>
    <t>ocn766389930</t>
  </si>
  <si>
    <t>3103326783T</t>
  </si>
  <si>
    <t>9782760622982</t>
  </si>
  <si>
    <t>794900912</t>
  </si>
  <si>
    <t>P306.2 B4 1995</t>
  </si>
  <si>
    <t>0                      P  0306200B  4           1995</t>
  </si>
  <si>
    <t>Beyond translation : essays toward a modern philology / A.L. Becker.</t>
  </si>
  <si>
    <t>Becker, Alton L.</t>
  </si>
  <si>
    <t>Ann Arbor : University of Michigan Press, ©1995.</t>
  </si>
  <si>
    <t>33921062:eng</t>
  </si>
  <si>
    <t>31866854</t>
  </si>
  <si>
    <t>ocm31866854</t>
  </si>
  <si>
    <t>31027767181</t>
  </si>
  <si>
    <t>9780472105731</t>
  </si>
  <si>
    <t>793369855</t>
  </si>
  <si>
    <t>P306.2 B47 1999</t>
  </si>
  <si>
    <t>0                      P  0306200B  47          1999</t>
  </si>
  <si>
    <t>La traduction et la lettre, ou, L'auberge du lointain / Antoine Berman.</t>
  </si>
  <si>
    <t>Paris : Seuil, 1999.</t>
  </si>
  <si>
    <t>Réédition.</t>
  </si>
  <si>
    <t>Ordre philosophique</t>
  </si>
  <si>
    <t>27805941:fre</t>
  </si>
  <si>
    <t>43165120</t>
  </si>
  <si>
    <t>ocm43165120</t>
  </si>
  <si>
    <t>3103216498A</t>
  </si>
  <si>
    <t>9782020380560</t>
  </si>
  <si>
    <t>793621002</t>
  </si>
  <si>
    <t>P306.2 B48 1995</t>
  </si>
  <si>
    <t>0                      P  0306200B  48          1995</t>
  </si>
  <si>
    <t>Between languages and cultures : translation and cross-cultural texts / Anuradha Dingwaney and Carol Maier, editors.</t>
  </si>
  <si>
    <t>Pittsburgh : University of Pittsburgh Press, ©1995.</t>
  </si>
  <si>
    <t>2014-07-29</t>
  </si>
  <si>
    <t>889932601:eng</t>
  </si>
  <si>
    <t>31436589</t>
  </si>
  <si>
    <t>ocm31436589</t>
  </si>
  <si>
    <t>31027767131</t>
  </si>
  <si>
    <t>9780822938583</t>
  </si>
  <si>
    <t>793361422</t>
  </si>
  <si>
    <t>31027767083</t>
  </si>
  <si>
    <t>793361423</t>
  </si>
  <si>
    <t>P306.2 B63 2006</t>
  </si>
  <si>
    <t>0                      P  0306200B  63          2006</t>
  </si>
  <si>
    <t>Stylistic approaches to translation / Jean Boase-Beier.</t>
  </si>
  <si>
    <t>Manchester, UK ; Kinderhook [New York], USA : St. Jerome Pub., ©2006.</t>
  </si>
  <si>
    <t>Translation theories explored, 1365-0513</t>
  </si>
  <si>
    <t>57749723:eng</t>
  </si>
  <si>
    <t>70687430</t>
  </si>
  <si>
    <t>ocm70687430</t>
  </si>
  <si>
    <t>3102572344Z</t>
  </si>
  <si>
    <t>9781900650984</t>
  </si>
  <si>
    <t>794157747</t>
  </si>
  <si>
    <t>P306.2 B87 2013</t>
  </si>
  <si>
    <t>0                      P  0306200B  87          2013</t>
  </si>
  <si>
    <t>"The other" in translation : a case for comparative translation studies / Alexander Burak.</t>
  </si>
  <si>
    <t>Burak, A. L. (Aleksandr Lʹvovich), author.</t>
  </si>
  <si>
    <t>Bloomington, Indiana : Slavica, 2013.</t>
  </si>
  <si>
    <t>2019-01-27</t>
  </si>
  <si>
    <t>1770862259:eng</t>
  </si>
  <si>
    <t>868199489</t>
  </si>
  <si>
    <t>ocn868199489</t>
  </si>
  <si>
    <t>3103653082$</t>
  </si>
  <si>
    <t>9780893574154</t>
  </si>
  <si>
    <t>794964494</t>
  </si>
  <si>
    <t>P306.2 C37 2016</t>
  </si>
  <si>
    <t>0                      P  0306200C  37          2016</t>
  </si>
  <si>
    <t>Éloge de la traduction : compliquer l'universel / Barbara Cassin.</t>
  </si>
  <si>
    <t>Cassin, Barbara, author.</t>
  </si>
  <si>
    <t>[Paris] : Fayard, [2016]</t>
  </si>
  <si>
    <t>Ouvertures</t>
  </si>
  <si>
    <t>3951440298:fre</t>
  </si>
  <si>
    <t>962818390</t>
  </si>
  <si>
    <t>ocn962818390</t>
  </si>
  <si>
    <t>3103709073U</t>
  </si>
  <si>
    <t>9782213700779</t>
  </si>
  <si>
    <t>795024726</t>
  </si>
  <si>
    <t>P306.2 C48 2004</t>
  </si>
  <si>
    <t>0                      P  0306200C  48          2004</t>
  </si>
  <si>
    <t>A dictionary of translation technology / Chan Sin-wai.</t>
  </si>
  <si>
    <t>Chan, Sin-wai.</t>
  </si>
  <si>
    <t>Hong Kong : Chinese University Press, ©2004.</t>
  </si>
  <si>
    <t>17838855:eng</t>
  </si>
  <si>
    <t>56494448</t>
  </si>
  <si>
    <t>ocm56494448</t>
  </si>
  <si>
    <t>3102599515Y</t>
  </si>
  <si>
    <t>9789629962036</t>
  </si>
  <si>
    <t>793894445</t>
  </si>
  <si>
    <t>P306.2 C555 2011</t>
  </si>
  <si>
    <t>0                      P  0306200C  555         2011</t>
  </si>
  <si>
    <t>Cognitive explorations of translation / edited by Sharon O'Brien.</t>
  </si>
  <si>
    <t>820636311:eng</t>
  </si>
  <si>
    <t>589017832</t>
  </si>
  <si>
    <t>ocn589017832</t>
  </si>
  <si>
    <t>31032331012</t>
  </si>
  <si>
    <t>9781441189493</t>
  </si>
  <si>
    <t>794814679</t>
  </si>
  <si>
    <t>P306.2 D68 2011</t>
  </si>
  <si>
    <t>0                      P  0306200D  68          2011</t>
  </si>
  <si>
    <t>Le double en traduction, ou, L'(impossible?) entre-deux / études réunies par Michaël Mariaule et Corinne Wecksteen.</t>
  </si>
  <si>
    <t>Arras : Artois presses université, 2011-</t>
  </si>
  <si>
    <t>Traductologie, 1285-9273</t>
  </si>
  <si>
    <t>2013-05-02</t>
  </si>
  <si>
    <t>1779800360:fre</t>
  </si>
  <si>
    <t>775418683</t>
  </si>
  <si>
    <t>ocn775418683</t>
  </si>
  <si>
    <t>3103482776B</t>
  </si>
  <si>
    <t>9782848321271</t>
  </si>
  <si>
    <t>794907540</t>
  </si>
  <si>
    <t>31034263406</t>
  </si>
  <si>
    <t>794907541</t>
  </si>
  <si>
    <t>P306.2 E84 2011</t>
  </si>
  <si>
    <t>0                      P  0306200E  84          2011</t>
  </si>
  <si>
    <t>Ethics and the curriculum : critical perspectives / guest editors Mona Baker &amp; Carol Maier.</t>
  </si>
  <si>
    <t>Manchester : St Jerome Pub., 2011.</t>
  </si>
  <si>
    <t>916529385:eng</t>
  </si>
  <si>
    <t>710888729</t>
  </si>
  <si>
    <t>ocn710888729</t>
  </si>
  <si>
    <t>3103513872X</t>
  </si>
  <si>
    <t>9781905763269</t>
  </si>
  <si>
    <t>794870278</t>
  </si>
  <si>
    <t>P306.2 F35 2007</t>
  </si>
  <si>
    <t>0                      P  0306200F  35          2007</t>
  </si>
  <si>
    <t>Trans-lated : translation and cultural manipulation / Said Faiq.</t>
  </si>
  <si>
    <t>Faiq, Said, 1962-</t>
  </si>
  <si>
    <t>Lanham, Md. : University Press of America, ©2007.</t>
  </si>
  <si>
    <t>329532418:eng</t>
  </si>
  <si>
    <t>153578992</t>
  </si>
  <si>
    <t>ocn153578992</t>
  </si>
  <si>
    <t>3102649325K</t>
  </si>
  <si>
    <t>9780761837480</t>
  </si>
  <si>
    <t>794249972</t>
  </si>
  <si>
    <t>P306.2 F44 2013</t>
  </si>
  <si>
    <t>0                      P  0306200F  44          2013</t>
  </si>
  <si>
    <t>Des femmes traductrices : entre altérité et affirmation de soi / sous la direction de Andrée Lerousseau.</t>
  </si>
  <si>
    <t>Des idées et des femmes</t>
  </si>
  <si>
    <t>2019-06-14</t>
  </si>
  <si>
    <t>1749403072:fre</t>
  </si>
  <si>
    <t>864819289</t>
  </si>
  <si>
    <t>ocn864819289</t>
  </si>
  <si>
    <t>3103624504C</t>
  </si>
  <si>
    <t>9782343018485</t>
  </si>
  <si>
    <t>794962531</t>
  </si>
  <si>
    <t>P306.2 F58 1983</t>
  </si>
  <si>
    <t>0                      P  0306200F  58          1983</t>
  </si>
  <si>
    <t>Ecrire et traduire : sur la voie de la création / Jacques Flamand ; [préface de Jean Darbelnet].</t>
  </si>
  <si>
    <t>Flamand, Jacques.</t>
  </si>
  <si>
    <t>Ottawa, Ont., Canada : Editions du Vermillon, ©1983.</t>
  </si>
  <si>
    <t>Collection "Langue et communication" ; 1</t>
  </si>
  <si>
    <t>866314030:fre</t>
  </si>
  <si>
    <t>11259985</t>
  </si>
  <si>
    <t>ocm11259985</t>
  </si>
  <si>
    <t>31025612852</t>
  </si>
  <si>
    <t>9780919925014</t>
  </si>
  <si>
    <t>792765570</t>
  </si>
  <si>
    <t>P306.2 F73 2007</t>
  </si>
  <si>
    <t>0                      P  0306200F  73          2007</t>
  </si>
  <si>
    <t>De la traduction et des transferts culturels / textes réunis par C. Lombez et R. von Kulessa.</t>
  </si>
  <si>
    <t>Frankoromanistenverband. Kongress (4th : 2004 : Breisgau, Germany)</t>
  </si>
  <si>
    <t>Paris : L'Harmattan, ©2007.</t>
  </si>
  <si>
    <t>138410147:fre</t>
  </si>
  <si>
    <t>159955714</t>
  </si>
  <si>
    <t>ocn159955714</t>
  </si>
  <si>
    <t>31029107440</t>
  </si>
  <si>
    <t>9782296037427</t>
  </si>
  <si>
    <t>794256897</t>
  </si>
  <si>
    <t>P306.2 G293 2004</t>
  </si>
  <si>
    <t>0                      P  0306200G  293         2004</t>
  </si>
  <si>
    <t>Traducción y enriquecimiento de la lengua del traductor / Valentín García Yebra.</t>
  </si>
  <si>
    <t>Madrid : Gredos, ©2004.</t>
  </si>
  <si>
    <t>Biblioteca románica hispánica. II, Estudios y ensayos ; 436</t>
  </si>
  <si>
    <t>15530784:spa</t>
  </si>
  <si>
    <t>55509649</t>
  </si>
  <si>
    <t>ocm55509649</t>
  </si>
  <si>
    <t>3102524078I</t>
  </si>
  <si>
    <t>9788424927127</t>
  </si>
  <si>
    <t>793877474</t>
  </si>
  <si>
    <t>P306.2 G36 2012</t>
  </si>
  <si>
    <t>0                      P  0306200G  36          2012</t>
  </si>
  <si>
    <t>Traduire comme transhumer / Mireille Gansel ; préface de Jean-Claude Duclos.</t>
  </si>
  <si>
    <t>Gansel, Mireille, author.</t>
  </si>
  <si>
    <t>Rennes : Calligrammes, [2012]</t>
  </si>
  <si>
    <t>Sillages</t>
  </si>
  <si>
    <t>1209547835:fre</t>
  </si>
  <si>
    <t>828410833</t>
  </si>
  <si>
    <t>ocn828410833</t>
  </si>
  <si>
    <t>3103630285C</t>
  </si>
  <si>
    <t>9782869651951</t>
  </si>
  <si>
    <t>794941106</t>
  </si>
  <si>
    <t>P306.2 G63 2007</t>
  </si>
  <si>
    <t>0                      P  0306200G  63          2007</t>
  </si>
  <si>
    <t>El giro cultural de la traducción : reflexiones teóricas y aplicaciones didácticas / Emilio Ortega Arjonilla (ed.).</t>
  </si>
  <si>
    <t>Frankfurt am Main ; New York : Peter Lang, ©2007.</t>
  </si>
  <si>
    <t>Studien zur romanischen Sprachwissenschaft und interkulturellen Kommunikation, 1436-1914 ; 40</t>
  </si>
  <si>
    <t>891618102:spa</t>
  </si>
  <si>
    <t>265984022</t>
  </si>
  <si>
    <t>ocn265984022</t>
  </si>
  <si>
    <t>3103058972K</t>
  </si>
  <si>
    <t>9783631571552</t>
  </si>
  <si>
    <t>794407717</t>
  </si>
  <si>
    <t>P306.2 G87 1991</t>
  </si>
  <si>
    <t>0                      P  0306200G  87          1991</t>
  </si>
  <si>
    <t>Traduire la presse : entraînement au thème d'anglais / Florent Gusdorf, Charlotte Levrard.</t>
  </si>
  <si>
    <t>Gusdorf, Florent.</t>
  </si>
  <si>
    <t>Paris : Ellipses, ©1991.</t>
  </si>
  <si>
    <t>2015-02-22</t>
  </si>
  <si>
    <t>890001382:fre</t>
  </si>
  <si>
    <t>427974369</t>
  </si>
  <si>
    <t>ocn427974369</t>
  </si>
  <si>
    <t>31027767171</t>
  </si>
  <si>
    <t>9782729891992</t>
  </si>
  <si>
    <t>794730737</t>
  </si>
  <si>
    <t>P306.2 H37 2000</t>
  </si>
  <si>
    <t>0                      P  0306200H  37          2000</t>
  </si>
  <si>
    <t>Translating words, translating cultures / Lorna Hardwick.</t>
  </si>
  <si>
    <t>Hardwick, Lorna.</t>
  </si>
  <si>
    <t>London : Duckworth, 2000.</t>
  </si>
  <si>
    <t>Classical inter/faces</t>
  </si>
  <si>
    <t>2018-06-06</t>
  </si>
  <si>
    <t>34808745:eng</t>
  </si>
  <si>
    <t>45237513</t>
  </si>
  <si>
    <t>ocm45237513</t>
  </si>
  <si>
    <t>31027767121</t>
  </si>
  <si>
    <t>9780715629123</t>
  </si>
  <si>
    <t>793667557</t>
  </si>
  <si>
    <t>P306.2 H38 1990</t>
  </si>
  <si>
    <t>0                      P  0306200H  38          1990</t>
  </si>
  <si>
    <t>Discourse and the translator / B. Hatim, I. Mason.</t>
  </si>
  <si>
    <t>Hatim, B. (Basil), 1947-</t>
  </si>
  <si>
    <t>London ; New York : Longman, 1990.</t>
  </si>
  <si>
    <t>1980487:eng</t>
  </si>
  <si>
    <t>19519309</t>
  </si>
  <si>
    <t>ocm19519309</t>
  </si>
  <si>
    <t>3102590923J</t>
  </si>
  <si>
    <t>9780582059252</t>
  </si>
  <si>
    <t>793060911</t>
  </si>
  <si>
    <t>P306.2 H47 1999</t>
  </si>
  <si>
    <t>0                      P  0306200H  47          1999</t>
  </si>
  <si>
    <t>Translation in systems : descriptive and systemic approaches explained / Theo Hermans.</t>
  </si>
  <si>
    <t>Hermans, Theo.</t>
  </si>
  <si>
    <t>Manchester : St. Jerome, 1999.</t>
  </si>
  <si>
    <t>Translation theories explained, 1365-0513 ; v. 7</t>
  </si>
  <si>
    <t>837067247:eng</t>
  </si>
  <si>
    <t>40753416</t>
  </si>
  <si>
    <t>ocm40753416</t>
  </si>
  <si>
    <t>3102591259U</t>
  </si>
  <si>
    <t>9781900650113</t>
  </si>
  <si>
    <t>793574914</t>
  </si>
  <si>
    <t>P306.2 H55 2013</t>
  </si>
  <si>
    <t>0                      P  0306200H  55          2013</t>
  </si>
  <si>
    <t>Hijos de Babel : reflexiones sobre el oficio de traductor en el siglo XXI / [de] Juan Arnau [and others].</t>
  </si>
  <si>
    <t>Madrid : Fórcola, 2013.</t>
  </si>
  <si>
    <t>Señales ; 11</t>
  </si>
  <si>
    <t>1213988103:spa</t>
  </si>
  <si>
    <t>841763609</t>
  </si>
  <si>
    <t>ocn841763609</t>
  </si>
  <si>
    <t>3103442321G</t>
  </si>
  <si>
    <t>9788415174738</t>
  </si>
  <si>
    <t>794947142</t>
  </si>
  <si>
    <t>P306.2 H57 2011</t>
  </si>
  <si>
    <t>0                      P  0306200H  57          2011</t>
  </si>
  <si>
    <t>Histoire et pratiques de la traduction / sous la direction de Sylvie Crogiez-Pétrequin et Paul Pasteur.</t>
  </si>
  <si>
    <t>Mont-Saint-Aignan : Publications des Universités de Rouen et du Havre, ©2011.</t>
  </si>
  <si>
    <t>Changer d'époque (Cahiers du GRHIS) ; no. 21</t>
  </si>
  <si>
    <t>903689650:fre</t>
  </si>
  <si>
    <t>703209647</t>
  </si>
  <si>
    <t>ocn703209647</t>
  </si>
  <si>
    <t>31033392320</t>
  </si>
  <si>
    <t>9782877754897</t>
  </si>
  <si>
    <t>794864666</t>
  </si>
  <si>
    <t>P306.2 H67 1998</t>
  </si>
  <si>
    <t>0                      P  0306200H  67          1998</t>
  </si>
  <si>
    <t>Pratique de la révision / Paul Horguelin, Louise Brunette.</t>
  </si>
  <si>
    <t>Horguelin, Paul A., 1930-</t>
  </si>
  <si>
    <t>Brossard, Québec : Linguatech, 1998.</t>
  </si>
  <si>
    <t>2016-05-05</t>
  </si>
  <si>
    <t>397770:fre</t>
  </si>
  <si>
    <t>39905831</t>
  </si>
  <si>
    <t>ocm39905831</t>
  </si>
  <si>
    <t>3102870164R</t>
  </si>
  <si>
    <t>9782920342323</t>
  </si>
  <si>
    <t>793556526</t>
  </si>
  <si>
    <t>3102870159T</t>
  </si>
  <si>
    <t>793556524</t>
  </si>
  <si>
    <t>2016-05-03</t>
  </si>
  <si>
    <t>3102530652F</t>
  </si>
  <si>
    <t>793556525</t>
  </si>
  <si>
    <t>P306.2 H67 2009</t>
  </si>
  <si>
    <t>0                      P  0306200H  67          2009</t>
  </si>
  <si>
    <t>Pratique de la révision / Paul A. Horguelin, Michelle Pharand.</t>
  </si>
  <si>
    <t>Montréal : Linguatech, c2009.</t>
  </si>
  <si>
    <t>4e éd. rev. et augm.</t>
  </si>
  <si>
    <t>289058500</t>
  </si>
  <si>
    <t>ocn289058500</t>
  </si>
  <si>
    <t>3103216484C</t>
  </si>
  <si>
    <t>9782920342576</t>
  </si>
  <si>
    <t>794421717</t>
  </si>
  <si>
    <t>P306.2 I528 2006</t>
  </si>
  <si>
    <t>0                      P  0306200I  528         2006</t>
  </si>
  <si>
    <t>Insights into specialized translation / Maurizio Gotti &amp; Susan Šarčević (eds.).</t>
  </si>
  <si>
    <t>Bern ; New York : P. Lang, ©2006.</t>
  </si>
  <si>
    <t>Linguistic insights, 1424-8689 ; v. 46</t>
  </si>
  <si>
    <t>367989888:eng</t>
  </si>
  <si>
    <t>75927937</t>
  </si>
  <si>
    <t>ocm75927937</t>
  </si>
  <si>
    <t>3103382764J</t>
  </si>
  <si>
    <t>9780820483832</t>
  </si>
  <si>
    <t>794175329</t>
  </si>
  <si>
    <t>P306.2 I53 2017</t>
  </si>
  <si>
    <t>0                      P  0306200I  53          2017</t>
  </si>
  <si>
    <t>Indiscipliner la traduction / sous la direction de Lucia Quaquarelli et Myriam Suchet.</t>
  </si>
  <si>
    <t>Nanterre : CRIX, Centre de recherches italiennes/Presses universitaires de Paris, 2017.</t>
  </si>
  <si>
    <t>Écritures ; no 9</t>
  </si>
  <si>
    <t>5207482222:fre</t>
  </si>
  <si>
    <t>1009083226</t>
  </si>
  <si>
    <t>on1009083226</t>
  </si>
  <si>
    <t>31037599812</t>
  </si>
  <si>
    <t>9782840162650</t>
  </si>
  <si>
    <t>795045081</t>
  </si>
  <si>
    <t>P306.2 K49 2004</t>
  </si>
  <si>
    <t>0                      P  0306200K  49          2004</t>
  </si>
  <si>
    <t>Key debates in the translation of advertising material : special issue / guest editors, Beverly Adab &amp; Cristina Valdés.</t>
  </si>
  <si>
    <t>Manchester : St. Jerome, 2004.</t>
  </si>
  <si>
    <t>The translator, 1355-6509 ; v. 10, no. 2</t>
  </si>
  <si>
    <t>858611709:eng</t>
  </si>
  <si>
    <t>62730294</t>
  </si>
  <si>
    <t>ocm62730294</t>
  </si>
  <si>
    <t>3102571915R</t>
  </si>
  <si>
    <t>9781900650809</t>
  </si>
  <si>
    <t>794111362</t>
  </si>
  <si>
    <t>P306.2 L35 2013</t>
  </si>
  <si>
    <t>0                      P  0306200L  35          2013</t>
  </si>
  <si>
    <t>The anatomy of translation problems : the application of minimal deviation and the proportionality principle in the translation of economic editorials / Ping-yen Lai.</t>
  </si>
  <si>
    <t>Lai, Ping-yen, author.</t>
  </si>
  <si>
    <t>Oxford : Chartridge Books Oxford, 2013.</t>
  </si>
  <si>
    <t>1411939078:eng</t>
  </si>
  <si>
    <t>859560548</t>
  </si>
  <si>
    <t>ocn859560548</t>
  </si>
  <si>
    <t>3103503086N</t>
  </si>
  <si>
    <t>9781909287846</t>
  </si>
  <si>
    <t>794957949</t>
  </si>
  <si>
    <t>P306.2 L45 2007</t>
  </si>
  <si>
    <t>0                      P  0306200L  45          2007</t>
  </si>
  <si>
    <t>Gender and ideology in translation : do women and men translate differently? : a contrastive analysis from Italian into English / Vanessa Leonardi.</t>
  </si>
  <si>
    <t>Bern ; New York : Lang, ©2007.</t>
  </si>
  <si>
    <t>European university studies. Series XXI, Linguistics, 0721-3352 ; v. 301</t>
  </si>
  <si>
    <t>891292324:eng</t>
  </si>
  <si>
    <t>124026642</t>
  </si>
  <si>
    <t>ocn124026642</t>
  </si>
  <si>
    <t>3103323404T</t>
  </si>
  <si>
    <t>9783039111527</t>
  </si>
  <si>
    <t>794229374</t>
  </si>
  <si>
    <t>P306.2 L59 2010</t>
  </si>
  <si>
    <t>0                      P  0306200L  59          2010</t>
  </si>
  <si>
    <t>Literature in translation : teaching issues and reading practices / edited by Carol Maier and Françoise Massardier-Kenney.</t>
  </si>
  <si>
    <t>Kent, Ohio : Kent State University Press, ©2010.</t>
  </si>
  <si>
    <t>Translation studies ; 8</t>
  </si>
  <si>
    <t>502635404:eng</t>
  </si>
  <si>
    <t>640917962</t>
  </si>
  <si>
    <t>ocn640917962</t>
  </si>
  <si>
    <t>31033235928</t>
  </si>
  <si>
    <t>9781606350492</t>
  </si>
  <si>
    <t>794827459</t>
  </si>
  <si>
    <t>P306.2 L62 2004</t>
  </si>
  <si>
    <t>0                      P  0306200L  62          2004</t>
  </si>
  <si>
    <t>La localisation : problématique de la formation / sous la direction de James Archibald.</t>
  </si>
  <si>
    <t>Brossard, Québec : Linguatech, 2004.</t>
  </si>
  <si>
    <t>892264302:fre</t>
  </si>
  <si>
    <t>55886223</t>
  </si>
  <si>
    <t>ocm55886223</t>
  </si>
  <si>
    <t>3102864419H</t>
  </si>
  <si>
    <t>9782920342453</t>
  </si>
  <si>
    <t>793883654</t>
  </si>
  <si>
    <t>P306.2 N37 2016</t>
  </si>
  <si>
    <t>0                      P  0306200N  37          2016</t>
  </si>
  <si>
    <t>Translator's blues / Franco Nasi ; translated from the Italian by Dan Gunn.</t>
  </si>
  <si>
    <t>Nasi, F. (Franco), 1956- author.</t>
  </si>
  <si>
    <t>London : Sylph Editions, 2015.</t>
  </si>
  <si>
    <t>The Cahiers series ; 26</t>
  </si>
  <si>
    <t>2979940053:eng</t>
  </si>
  <si>
    <t>951161257</t>
  </si>
  <si>
    <t>ocn951161257</t>
  </si>
  <si>
    <t>3103609287I</t>
  </si>
  <si>
    <t>9781909631113</t>
  </si>
  <si>
    <t>795017194</t>
  </si>
  <si>
    <t>P306.2 N5 2001</t>
  </si>
  <si>
    <t>0                      P  0306200N  5           2001</t>
  </si>
  <si>
    <t>Contexts in translating / Eugene A. Nida.</t>
  </si>
  <si>
    <t>Amsterdam ; Philadelphia : J. Benjamins Pub. Co., ©2001.</t>
  </si>
  <si>
    <t>Benjamins translation library, 0929-7316 ; v. 41</t>
  </si>
  <si>
    <t>37312361:eng</t>
  </si>
  <si>
    <t>47838632</t>
  </si>
  <si>
    <t>ocm47838632</t>
  </si>
  <si>
    <t>3102494411Q</t>
  </si>
  <si>
    <t>9781588111135</t>
  </si>
  <si>
    <t>793709090</t>
  </si>
  <si>
    <t>P306.2 O35 2011</t>
  </si>
  <si>
    <t>0                      P  0306200O  35          2011</t>
  </si>
  <si>
    <t>Retranslation through the centuries : Jules Verne in English / Kieran O'Driscoll.</t>
  </si>
  <si>
    <t>O'Driscoll, Kieran, 1963-</t>
  </si>
  <si>
    <t>New trends in translation studies ; v. 5</t>
  </si>
  <si>
    <t>862578168:eng</t>
  </si>
  <si>
    <t>709890505</t>
  </si>
  <si>
    <t>ocn709890505</t>
  </si>
  <si>
    <t>3103396038P</t>
  </si>
  <si>
    <t>9783034302364</t>
  </si>
  <si>
    <t>794869936</t>
  </si>
  <si>
    <t>P306.2 O84 1999</t>
  </si>
  <si>
    <t>0                      P  0306200O  84          1999</t>
  </si>
  <si>
    <t>Théories et pratiques de la traduction littéraire / Inés Oseki - Dépré.</t>
  </si>
  <si>
    <t>Oseki - Dépré, Inés.</t>
  </si>
  <si>
    <t>Paris : Armand Colin, 1999.</t>
  </si>
  <si>
    <t>Collection U; Lettres.</t>
  </si>
  <si>
    <t>19871710:fre</t>
  </si>
  <si>
    <t>58469336</t>
  </si>
  <si>
    <t>ocm58469336</t>
  </si>
  <si>
    <t>31033326738</t>
  </si>
  <si>
    <t>9782200015688</t>
  </si>
  <si>
    <t>793921649</t>
  </si>
  <si>
    <t>P306.2 P35 2009</t>
  </si>
  <si>
    <t>0                      P  0306200P  35          2009</t>
  </si>
  <si>
    <t>Key terms in translation studies / Giuseppe Palumbo.</t>
  </si>
  <si>
    <t>Palumbo, Giuseppe, 1972-</t>
  </si>
  <si>
    <t>159919276:eng</t>
  </si>
  <si>
    <t>277203918</t>
  </si>
  <si>
    <t>ocn277203918</t>
  </si>
  <si>
    <t>31031322471</t>
  </si>
  <si>
    <t>9780826498243</t>
  </si>
  <si>
    <t>794418794</t>
  </si>
  <si>
    <t>P306.2 P67 1998</t>
  </si>
  <si>
    <t>0                      P  0306200P  67          1998</t>
  </si>
  <si>
    <t>Post-colonial translation : theory and practice / edited by Susan Bassnett and Harish Trivedi.</t>
  </si>
  <si>
    <t>1060424107:eng</t>
  </si>
  <si>
    <t>38519922</t>
  </si>
  <si>
    <t>ocm38519922</t>
  </si>
  <si>
    <t>3102776746W</t>
  </si>
  <si>
    <t>9780415147446</t>
  </si>
  <si>
    <t>793525845</t>
  </si>
  <si>
    <t>P306.2 S53 2012</t>
  </si>
  <si>
    <t>0                      P  0306200S  53          2012</t>
  </si>
  <si>
    <t>Translating identities on stage and screen : pragmatic perspectives and discoursal tendencies / by Maria Sidiropoulou.</t>
  </si>
  <si>
    <t>Sidiropoulou, Maria.</t>
  </si>
  <si>
    <t>1087998443:eng</t>
  </si>
  <si>
    <t>779864415</t>
  </si>
  <si>
    <t>ocn779864415</t>
  </si>
  <si>
    <t>3103407244F</t>
  </si>
  <si>
    <t>9781443837170</t>
  </si>
  <si>
    <t>794911437</t>
  </si>
  <si>
    <t>P306.2 S663 2012</t>
  </si>
  <si>
    <t>0                      P  0306200S  663         2012</t>
  </si>
  <si>
    <t>Cities in translation : intersections of language and memory / Sherry Simon.</t>
  </si>
  <si>
    <t>Simon, Sherry.</t>
  </si>
  <si>
    <t>New perspectives in translation studies</t>
  </si>
  <si>
    <t>687608833:eng</t>
  </si>
  <si>
    <t>671700743</t>
  </si>
  <si>
    <t>ocn671700743</t>
  </si>
  <si>
    <t>3103385705J</t>
  </si>
  <si>
    <t>9780415471510</t>
  </si>
  <si>
    <t>794849021</t>
  </si>
  <si>
    <t>P306.2 S66314 2013</t>
  </si>
  <si>
    <t>0                      P  0306200S  66314       2013</t>
  </si>
  <si>
    <t>Villes en traduction : Calcutta, Trieste, Barcelone et Montréal / Sherry Simon ; traduit par Pierrot Lambert.</t>
  </si>
  <si>
    <t>Simon, Sherry, 1948-</t>
  </si>
  <si>
    <t>Montréal : Presses de l'Université de Montréal, 2013.</t>
  </si>
  <si>
    <t>Espace littéraire</t>
  </si>
  <si>
    <t>687608833:fre</t>
  </si>
  <si>
    <t>867817404</t>
  </si>
  <si>
    <t>ocn867817404</t>
  </si>
  <si>
    <t>31034937614</t>
  </si>
  <si>
    <t>9782760632233</t>
  </si>
  <si>
    <t>794964156</t>
  </si>
  <si>
    <t>P306.2 S78 2007</t>
  </si>
  <si>
    <t>0                      P  0306200S  78          2007</t>
  </si>
  <si>
    <t>Representing others : translation, ethnography and the museum / Kate Sturge.</t>
  </si>
  <si>
    <t>Sturge, Kate.</t>
  </si>
  <si>
    <t>Manchester, UK : St. Jerome Pub. ; Kinderhood, NY : InTrans Publications, ©2007.</t>
  </si>
  <si>
    <t>Translation theories explored ; 11</t>
  </si>
  <si>
    <t>864691814:eng</t>
  </si>
  <si>
    <t>81860622</t>
  </si>
  <si>
    <t>ocm81860622</t>
  </si>
  <si>
    <t>3102573954B</t>
  </si>
  <si>
    <t>9781905763016</t>
  </si>
  <si>
    <t>794204283</t>
  </si>
  <si>
    <t>P306.2 S87 2006</t>
  </si>
  <si>
    <t>0                      P  0306200S  87          2006</t>
  </si>
  <si>
    <t>Theories on the move : translation's role in the travels of literary theories / Şebnem Susam-Sarajeva.</t>
  </si>
  <si>
    <t>Susam-Sarajeva, Şebnem.</t>
  </si>
  <si>
    <t>Amsterdam ; New York, NY : Rodopi, 2006.</t>
  </si>
  <si>
    <t>Approaches to translation studies ; v. 27</t>
  </si>
  <si>
    <t>802327833:eng</t>
  </si>
  <si>
    <t>76686274</t>
  </si>
  <si>
    <t>ocm76686274</t>
  </si>
  <si>
    <t>31026435025</t>
  </si>
  <si>
    <t>9789042020597</t>
  </si>
  <si>
    <t>794176401</t>
  </si>
  <si>
    <t>P306.2 T48 1999</t>
  </si>
  <si>
    <t>0                      P  0306200T  48          1999</t>
  </si>
  <si>
    <t>Terminologie de la traduction / sous la direction de Jean Delisle, Hannelore Lee-Jahnke, Monique C. Cormier ; collaborateurs, Jörn Albrecht [and others] = Translation terminology / edited by Jean Delisle, Hannelore Lee-Jahnke, Monique C. Cormier ; collaborators, Jörn Albrecht [and others].</t>
  </si>
  <si>
    <t>FIT monograph series, 1566-0575 ; v. 1</t>
  </si>
  <si>
    <t>10141580810:eng</t>
  </si>
  <si>
    <t>41431762</t>
  </si>
  <si>
    <t>ocm41431762</t>
  </si>
  <si>
    <t>3102511019A</t>
  </si>
  <si>
    <t>9781556192128</t>
  </si>
  <si>
    <t>793591306</t>
  </si>
  <si>
    <t>P306.2 T49 1997</t>
  </si>
  <si>
    <t>0                      P  0306200T  49          1997</t>
  </si>
  <si>
    <t>Text typology and translation / edited by Anna Trosborg.</t>
  </si>
  <si>
    <t>Benjamins translation library, 0929-7316 ; v. 26</t>
  </si>
  <si>
    <t>666550:eng</t>
  </si>
  <si>
    <t>37792485</t>
  </si>
  <si>
    <t>ocm37792485</t>
  </si>
  <si>
    <t>3102776758U</t>
  </si>
  <si>
    <t>9789027216298</t>
  </si>
  <si>
    <t>793507144</t>
  </si>
  <si>
    <t>P306.2 T53 2010</t>
  </si>
  <si>
    <t>0                      P  0306200T  53          2010</t>
  </si>
  <si>
    <t>Text and context : essays on translation &amp; interpreting in honour of Ian Mason / edited by Mona Baker, Maeve Olohan and María Calzada Pérez.</t>
  </si>
  <si>
    <t>Manchester, UK ; Kinderhook, NY : St. Jerome Pub., 2010.</t>
  </si>
  <si>
    <t>792148371:eng</t>
  </si>
  <si>
    <t>521754210</t>
  </si>
  <si>
    <t>ocn521754210</t>
  </si>
  <si>
    <t>3103342883W</t>
  </si>
  <si>
    <t>9781905763252</t>
  </si>
  <si>
    <t>794808847</t>
  </si>
  <si>
    <t>P306.2 T65 1999</t>
  </si>
  <si>
    <t>0                      P  0306200T  65          1999</t>
  </si>
  <si>
    <t>Tokens of exchange : the problem of translation in global circulations / edited by Lydia H. Liu.</t>
  </si>
  <si>
    <t>Durham, NC : Duke University Press, 1999.</t>
  </si>
  <si>
    <t>Post-contemporary interventions</t>
  </si>
  <si>
    <t>866310567:eng</t>
  </si>
  <si>
    <t>41143063</t>
  </si>
  <si>
    <t>ocm41143063</t>
  </si>
  <si>
    <t>3102776745W</t>
  </si>
  <si>
    <t>9780822324010</t>
  </si>
  <si>
    <t>793585368</t>
  </si>
  <si>
    <t>P306.2 T68 1995</t>
  </si>
  <si>
    <t>0                      P  0306200T  68          1995</t>
  </si>
  <si>
    <t>Descriptive translation studies and beyond / Gideon Toury.</t>
  </si>
  <si>
    <t>Toury, Gideon.</t>
  </si>
  <si>
    <t>Amsterdam ; Philadelphia : J. Benjamins Pub., ©1995.</t>
  </si>
  <si>
    <t>Benjamins translation library ; v. 4</t>
  </si>
  <si>
    <t>2018-06-13</t>
  </si>
  <si>
    <t>17159340:eng</t>
  </si>
  <si>
    <t>32166555</t>
  </si>
  <si>
    <t>ocm32166555</t>
  </si>
  <si>
    <t>3102776750U</t>
  </si>
  <si>
    <t>9781556194955</t>
  </si>
  <si>
    <t>793377128</t>
  </si>
  <si>
    <t>P306.2 T729 2011</t>
  </si>
  <si>
    <t>0                      P  0306200T  729         2011</t>
  </si>
  <si>
    <t>Traduire et illustrer le roman au XVIIIe siècle / sous la direction de Nathalie Ferrand.</t>
  </si>
  <si>
    <t>Oxford : Voltaire Foundation, 2011.</t>
  </si>
  <si>
    <t>SVEC, 0435-2866 ; 2011:05</t>
  </si>
  <si>
    <t>901857208:fre</t>
  </si>
  <si>
    <t>725776014</t>
  </si>
  <si>
    <t>ocn725776014</t>
  </si>
  <si>
    <t>31033702798</t>
  </si>
  <si>
    <t>9780729410120</t>
  </si>
  <si>
    <t>794876908</t>
  </si>
  <si>
    <t>P306.2 T7324 2012</t>
  </si>
  <si>
    <t>0                      P  0306200T  7324        2012</t>
  </si>
  <si>
    <t>Traduire l'exil = Das Exil übersetzen : textes, identités et histoire dans l'espace franco-allemand (1933-1945) / sous la direction de Michaela Enderle-Ristori.</t>
  </si>
  <si>
    <t>Tours : Presses universitaires François-Rabelais, 2012.</t>
  </si>
  <si>
    <t>Traductions dans l'histoire, 2261-2149</t>
  </si>
  <si>
    <t>5620469527:fre</t>
  </si>
  <si>
    <t>810121182</t>
  </si>
  <si>
    <t>ocn810121182</t>
  </si>
  <si>
    <t>31034489359</t>
  </si>
  <si>
    <t>9782869062788</t>
  </si>
  <si>
    <t>794929137</t>
  </si>
  <si>
    <t>P306.2 T73449 2016</t>
  </si>
  <si>
    <t>0                      P  0306200T  73449       2016</t>
  </si>
  <si>
    <t>Translation and authority -- authorities in translation / edited by Pieter De Leemans, Michèle Goyens.</t>
  </si>
  <si>
    <t>The medieval translator ; volume 16</t>
  </si>
  <si>
    <t>2017-11-07</t>
  </si>
  <si>
    <t>4090043648:eng</t>
  </si>
  <si>
    <t>973221693</t>
  </si>
  <si>
    <t>ocn973221693</t>
  </si>
  <si>
    <t>31037483519</t>
  </si>
  <si>
    <t>9782503566764</t>
  </si>
  <si>
    <t>795028985</t>
  </si>
  <si>
    <t>P306.2 T7355 2006</t>
  </si>
  <si>
    <t>0                      P  0306200T  7355        2006</t>
  </si>
  <si>
    <t>Translating identity and the identity of translation / edited by Madelena Gonzalez and Francine Tolron.</t>
  </si>
  <si>
    <t>Newcastle, UK : Cambridge Scholars Press, 2006.</t>
  </si>
  <si>
    <t>355059795:eng</t>
  </si>
  <si>
    <t>80968174</t>
  </si>
  <si>
    <t>ocm80968174</t>
  </si>
  <si>
    <t>3102572858I</t>
  </si>
  <si>
    <t>9781847180438</t>
  </si>
  <si>
    <t>794202132</t>
  </si>
  <si>
    <t>P306.2 T73583 2006</t>
  </si>
  <si>
    <t>0                      P  0306200T  73583       2006</t>
  </si>
  <si>
    <t>Translating voices, translating regions / edited by Nigel Armstrong, Federico M. Federici.</t>
  </si>
  <si>
    <t>Roma : Aracne, 2006.</t>
  </si>
  <si>
    <t>1st ed., 1st updated reprint.</t>
  </si>
  <si>
    <t>Scienze dell'antichità, filologico-letterarie e storico-artistiche ; 187</t>
  </si>
  <si>
    <t>374195257:eng</t>
  </si>
  <si>
    <t>70712556</t>
  </si>
  <si>
    <t>ocm70712556</t>
  </si>
  <si>
    <t>3103407501E</t>
  </si>
  <si>
    <t>9788854806191</t>
  </si>
  <si>
    <t>794158141</t>
  </si>
  <si>
    <t>P306.2 T73585 2011</t>
  </si>
  <si>
    <t>0                      P  0306200T  73585       2011</t>
  </si>
  <si>
    <t>Translating women / edited by Luise von Flotow.</t>
  </si>
  <si>
    <t>Ottawa : University of Ottawa Press, c2011.</t>
  </si>
  <si>
    <t>674462671:eng</t>
  </si>
  <si>
    <t>667805485</t>
  </si>
  <si>
    <t>ocn667805485</t>
  </si>
  <si>
    <t>3103268094Q</t>
  </si>
  <si>
    <t>9780776607276</t>
  </si>
  <si>
    <t>794845638</t>
  </si>
  <si>
    <t>P306.2 T735885 2010</t>
  </si>
  <si>
    <t>0                      P  0306200T  735885      2010</t>
  </si>
  <si>
    <t>Translation and cognition / edited by Gregory M. Shreve, Erik Angelone.</t>
  </si>
  <si>
    <t>American Translators Association scholarly monograph series, 0890-4111 ; v. 15</t>
  </si>
  <si>
    <t>564860016:eng</t>
  </si>
  <si>
    <t>553371009</t>
  </si>
  <si>
    <t>ocn553371009</t>
  </si>
  <si>
    <t>3103231608W</t>
  </si>
  <si>
    <t>9789027231918</t>
  </si>
  <si>
    <t>794811916</t>
  </si>
  <si>
    <t>P306.2 T7359 2005</t>
  </si>
  <si>
    <t>0                      P  0306200T  7359        2005</t>
  </si>
  <si>
    <t>Translation and cultural change : studies in history, norms, and image projection / edited by Eva Hung.</t>
  </si>
  <si>
    <t>Benjamins translation library, 0929-7316 ; v. 61</t>
  </si>
  <si>
    <t>793948798:eng</t>
  </si>
  <si>
    <t>57243427</t>
  </si>
  <si>
    <t>ocm57243427</t>
  </si>
  <si>
    <t>3102882835$</t>
  </si>
  <si>
    <t>9789027216670</t>
  </si>
  <si>
    <t>793909670</t>
  </si>
  <si>
    <t>P306.2 T7364 2005</t>
  </si>
  <si>
    <t>0                      P  0306200T  7364        2005</t>
  </si>
  <si>
    <t>Translation and religion : holy untranslatable? / edited by Lynne Long.</t>
  </si>
  <si>
    <t>Topics in translation ; 28</t>
  </si>
  <si>
    <t>890483607:eng</t>
  </si>
  <si>
    <t>56599797</t>
  </si>
  <si>
    <t>ocm56599797</t>
  </si>
  <si>
    <t>31025460770</t>
  </si>
  <si>
    <t>9781853598173</t>
  </si>
  <si>
    <t>793896805</t>
  </si>
  <si>
    <t>P306.2 T737 2006</t>
  </si>
  <si>
    <t>0                      P  0306200T  737         2006</t>
  </si>
  <si>
    <t>Translation, biopolitics, colonial difference / edited by Naoki Sakai and Jon Solomon.</t>
  </si>
  <si>
    <t>Hong Kong : Hong Kong University Press ; London : Eurospan [distributor], 2006.</t>
  </si>
  <si>
    <t>Traces : a multilingual series of cultural theory and translation ; 4</t>
  </si>
  <si>
    <t>366933549:eng</t>
  </si>
  <si>
    <t>63401898</t>
  </si>
  <si>
    <t>ocm63401898</t>
  </si>
  <si>
    <t>3102647572C</t>
  </si>
  <si>
    <t>9789622097735</t>
  </si>
  <si>
    <t>794121315</t>
  </si>
  <si>
    <t>P306.2 T7394 2010</t>
  </si>
  <si>
    <t>0                      P  0306200T  7394        2010</t>
  </si>
  <si>
    <t>Translation, resistance, activism / edited by Maria Tymoczko.</t>
  </si>
  <si>
    <t>Amherst : University of Massachusetts Press, 2010.</t>
  </si>
  <si>
    <t>355156208:eng</t>
  </si>
  <si>
    <t>475454085</t>
  </si>
  <si>
    <t>ocn475454085</t>
  </si>
  <si>
    <t>3103227700A</t>
  </si>
  <si>
    <t>9781558498334</t>
  </si>
  <si>
    <t>794798291</t>
  </si>
  <si>
    <t>P306.2 T7395 2003</t>
  </si>
  <si>
    <t>0                      P  0306200T  7395        2003</t>
  </si>
  <si>
    <t>Translation, translation / edited with an introduction by Susan Petrilli.</t>
  </si>
  <si>
    <t>Amsterdam ; New York : Rodopi, 2003.</t>
  </si>
  <si>
    <t>Approaches to translation studies ; v. 21</t>
  </si>
  <si>
    <t>12064756:eng</t>
  </si>
  <si>
    <t>53805633</t>
  </si>
  <si>
    <t>ocm53805633</t>
  </si>
  <si>
    <t>3102356000L</t>
  </si>
  <si>
    <t>9789042009479</t>
  </si>
  <si>
    <t>793850751</t>
  </si>
  <si>
    <t>P306.2 T745 2009</t>
  </si>
  <si>
    <t>0                      P  0306200T  745         2009</t>
  </si>
  <si>
    <t>Translational action and intercultural communication / edited by Kristin Bührig, Juliane House, and Jan D. ten Thije.</t>
  </si>
  <si>
    <t>Manchester, UK ; Kinderhook, NY : St. Jerome Pub., ©2009.</t>
  </si>
  <si>
    <t>3373085584:eng</t>
  </si>
  <si>
    <t>294998693</t>
  </si>
  <si>
    <t>ocn294998693</t>
  </si>
  <si>
    <t>3102859858J</t>
  </si>
  <si>
    <t>9781905763092</t>
  </si>
  <si>
    <t>794425336</t>
  </si>
  <si>
    <t>P306.2 T784 2006</t>
  </si>
  <si>
    <t>0                      P  0306200T  784         2006</t>
  </si>
  <si>
    <t>Travel and translation in the early modern period / edited by Carmine G. Di Biase.</t>
  </si>
  <si>
    <t>Amsterdam ; New York : Rodopi, 2006.</t>
  </si>
  <si>
    <t>Approaches to translation studies ; v. 26</t>
  </si>
  <si>
    <t>47659496:eng</t>
  </si>
  <si>
    <t>63514433</t>
  </si>
  <si>
    <t>ocm63514433</t>
  </si>
  <si>
    <t>31025750141</t>
  </si>
  <si>
    <t>9789042017689</t>
  </si>
  <si>
    <t>794121554</t>
  </si>
  <si>
    <t>P306.2 V45 1998</t>
  </si>
  <si>
    <t>0                      P  0306200V  45          1998</t>
  </si>
  <si>
    <t>The scandals of translation : towards an ethics of difference / Lawrence Venuti.</t>
  </si>
  <si>
    <t>Venuti, Lawrence.</t>
  </si>
  <si>
    <t>793914100:eng</t>
  </si>
  <si>
    <t>38295174</t>
  </si>
  <si>
    <t>ocm38295174</t>
  </si>
  <si>
    <t>31027342401</t>
  </si>
  <si>
    <t>9780415169295</t>
  </si>
  <si>
    <t>793521460</t>
  </si>
  <si>
    <t>P306.2 V46 1995</t>
  </si>
  <si>
    <t>0                      P  0306200V  46          1995</t>
  </si>
  <si>
    <t>The translator's invisibility : a history of translation / Lawrence Venuti.</t>
  </si>
  <si>
    <t>793969203:eng</t>
  </si>
  <si>
    <t>30028589</t>
  </si>
  <si>
    <t>ocm30028589</t>
  </si>
  <si>
    <t>3102802045O</t>
  </si>
  <si>
    <t>9780415115377</t>
  </si>
  <si>
    <t>793327016</t>
  </si>
  <si>
    <t>P306.2 V46 2008</t>
  </si>
  <si>
    <t>0                      P  0306200V  46          2008</t>
  </si>
  <si>
    <t>169874932</t>
  </si>
  <si>
    <t>ocn169874932</t>
  </si>
  <si>
    <t>3102853430M</t>
  </si>
  <si>
    <t>9780415394536</t>
  </si>
  <si>
    <t>794263078</t>
  </si>
  <si>
    <t>P306.2 V54 2007</t>
  </si>
  <si>
    <t>0                      P  0306200V  54          2007</t>
  </si>
  <si>
    <t>Traducir entre culturas : diferencias, poderes, identidades / Maria del Carmen Africa Vidal Claramonte.</t>
  </si>
  <si>
    <t>Vidal, M. Carmen Africa.</t>
  </si>
  <si>
    <t>Frankfurt am Main : Peter Lang, 2007.</t>
  </si>
  <si>
    <t>Studien zur romanischen Sprachwissenschaft und interkulturellen Kommunikation, 1436-1914 ; Bd. 37</t>
  </si>
  <si>
    <t>114501198:spa</t>
  </si>
  <si>
    <t>173842749</t>
  </si>
  <si>
    <t>ocn173842749</t>
  </si>
  <si>
    <t>3103058977K</t>
  </si>
  <si>
    <t>9783631568859</t>
  </si>
  <si>
    <t>794270730</t>
  </si>
  <si>
    <t>P306.2 V65 1997</t>
  </si>
  <si>
    <t>0                      P  0306200V  65          1997</t>
  </si>
  <si>
    <t>Translation and gender : translating in the "era of feminism" / Luise von Flotow.</t>
  </si>
  <si>
    <t>Von Flotow-Evans, Luise.</t>
  </si>
  <si>
    <t>Manchester [England] : St. Jerome Pub. ; Ottawa : University of Ottawa Press, 1997.</t>
  </si>
  <si>
    <t>Translation theories explained ; 2</t>
  </si>
  <si>
    <t>836976212:eng</t>
  </si>
  <si>
    <t>37197535</t>
  </si>
  <si>
    <t>ocm37197535</t>
  </si>
  <si>
    <t>3102776764S</t>
  </si>
  <si>
    <t>9780776604480</t>
  </si>
  <si>
    <t>793492857</t>
  </si>
  <si>
    <t>P306.5 C56 2012</t>
  </si>
  <si>
    <t>0                      P  0306500C  56          2012</t>
  </si>
  <si>
    <t>CIUTI-Forum 2012 : translators and interpreters as key actors in global networking / Martin Forstner &amp; Hannelore Lee-Jahnke (eds).</t>
  </si>
  <si>
    <t>CIUTI-Forum (2012)</t>
  </si>
  <si>
    <t>Bern ; New York : Peter Lang, 2013.</t>
  </si>
  <si>
    <t>1436850053:eng</t>
  </si>
  <si>
    <t>854980353</t>
  </si>
  <si>
    <t>ocn854980353</t>
  </si>
  <si>
    <t>3103505210N</t>
  </si>
  <si>
    <t>9783034312639</t>
  </si>
  <si>
    <t>794952953</t>
  </si>
  <si>
    <t>P306.5 D44 1984</t>
  </si>
  <si>
    <t>0                      P  0306500D  44          1984</t>
  </si>
  <si>
    <t>L'analyse du discours comme méthode de traduction : initiation à la traduction française de textes pragmatiques anglais : théorie et pratique / Jean Delisle ; préface de Danica Seleskovitch.</t>
  </si>
  <si>
    <t>[Ottawa] : Éditions de l'Université d'Ottawa, 1984.</t>
  </si>
  <si>
    <t>Cahiers de traductologie ; t. 2</t>
  </si>
  <si>
    <t>3901230824:fre</t>
  </si>
  <si>
    <t>20352894</t>
  </si>
  <si>
    <t>ocm20352894</t>
  </si>
  <si>
    <t>3102776744W</t>
  </si>
  <si>
    <t>793085278</t>
  </si>
  <si>
    <t>P306.5 D442</t>
  </si>
  <si>
    <t>0                      P  0306500D  442</t>
  </si>
  <si>
    <t>L'analyse du discours comme méthode de traduction : initiation à la traduction française de textes pragmatiques anglais. Livre du maître / Jean Delisle.</t>
  </si>
  <si>
    <t>Ottawa : Editions de l'Université d'Ottawa, 1980.</t>
  </si>
  <si>
    <t>Cahiers de traductologie ; no 2</t>
  </si>
  <si>
    <t>15906861</t>
  </si>
  <si>
    <t>ocm15906861</t>
  </si>
  <si>
    <t>3102776754U</t>
  </si>
  <si>
    <t>9782760346710</t>
  </si>
  <si>
    <t>792947070</t>
  </si>
  <si>
    <t>P306.5 D443 2005</t>
  </si>
  <si>
    <t>0                      P  0306500D  443         2005</t>
  </si>
  <si>
    <t>L'enseignement pratique de la traduction / Jean Delisle.</t>
  </si>
  <si>
    <t>Beyrouth, Liban : École de traducteurs et d'interprètes de Beyrouth ; Ottawa : Presses de l'Université d'Ottawa, c2005.</t>
  </si>
  <si>
    <t>Collection Sources-cibles, 1561-8005</t>
  </si>
  <si>
    <t>368000486:fre</t>
  </si>
  <si>
    <t>56964190</t>
  </si>
  <si>
    <t>ocm56964190</t>
  </si>
  <si>
    <t>3102871257M</t>
  </si>
  <si>
    <t>9782760306011</t>
  </si>
  <si>
    <t>793904903</t>
  </si>
  <si>
    <t>P306.5 D56 2018</t>
  </si>
  <si>
    <t>0                      P  0306500D  56          2018</t>
  </si>
  <si>
    <t>The role of theory in translator training / Daniela Di Mango.</t>
  </si>
  <si>
    <t>Di Mango, Daniela, author.</t>
  </si>
  <si>
    <t>Tübingen : Narr Francke Attempto 2018.</t>
  </si>
  <si>
    <t>Translationswissenschaft ; Band 11</t>
  </si>
  <si>
    <t>4798054291:eng</t>
  </si>
  <si>
    <t>1039951140</t>
  </si>
  <si>
    <t>on1039951140</t>
  </si>
  <si>
    <t>3103859536G</t>
  </si>
  <si>
    <t>9783823381617</t>
  </si>
  <si>
    <t>795058967</t>
  </si>
  <si>
    <t>P306.5 E48 1998</t>
  </si>
  <si>
    <t>0                      P  0306500E  48          1998</t>
  </si>
  <si>
    <t>Enseignement de la traduction et traduction dans l'enseignement / sous la direction de Jean Delisle et Hannelore Lee-Jahnke ; préface de Maurice Pergnier.</t>
  </si>
  <si>
    <t>Ottawa : Presses de l'Université d'Ottawa, 1998.</t>
  </si>
  <si>
    <t>Collection Regards sur la traduction</t>
  </si>
  <si>
    <t>917503971:fre</t>
  </si>
  <si>
    <t>39679076</t>
  </si>
  <si>
    <t>ocm39679076</t>
  </si>
  <si>
    <t>3102776734Y</t>
  </si>
  <si>
    <t>9782760304802</t>
  </si>
  <si>
    <t>793550865</t>
  </si>
  <si>
    <t>P306.5 G56 2013</t>
  </si>
  <si>
    <t>0                      P  0306500G  56          2013</t>
  </si>
  <si>
    <t>Conference Interpreting : a student's practice book / Andrew Gillies.</t>
  </si>
  <si>
    <t>Gillies, Andrew, 1971-</t>
  </si>
  <si>
    <t>1372594270:eng</t>
  </si>
  <si>
    <t>820349417</t>
  </si>
  <si>
    <t>ocn820349417</t>
  </si>
  <si>
    <t>3103503104$</t>
  </si>
  <si>
    <t>9780415532365</t>
  </si>
  <si>
    <t>794935254</t>
  </si>
  <si>
    <t>P306.5 G57 2012</t>
  </si>
  <si>
    <t>0                      P  0306500G  57          2012</t>
  </si>
  <si>
    <t>Global trends in translator and interpreter training : mediation and culture / edited by Séverine Hubscher-Davidson and Michał Borodo.</t>
  </si>
  <si>
    <t>London ; New York : Continuum, ©2012.</t>
  </si>
  <si>
    <t>Continuum advances in translation</t>
  </si>
  <si>
    <t>1120924417:eng</t>
  </si>
  <si>
    <t>757480983</t>
  </si>
  <si>
    <t>ocn757480983</t>
  </si>
  <si>
    <t>3103505219N</t>
  </si>
  <si>
    <t>9781441193407</t>
  </si>
  <si>
    <t>794895509</t>
  </si>
  <si>
    <t>P306.5 H38 2013</t>
  </si>
  <si>
    <t>0                      P  0306500H  38          2013</t>
  </si>
  <si>
    <t>Teaching and researching translation / Basil Hatim.</t>
  </si>
  <si>
    <t>New York : Pearson Longman, 2012.</t>
  </si>
  <si>
    <t>Applied Linguistics in action</t>
  </si>
  <si>
    <t>5619536223:eng</t>
  </si>
  <si>
    <t>801681549</t>
  </si>
  <si>
    <t>ocn801681549</t>
  </si>
  <si>
    <t>31035295999</t>
  </si>
  <si>
    <t>9781408297636</t>
  </si>
  <si>
    <t>794925207</t>
  </si>
  <si>
    <t>P306.5 L46 2012</t>
  </si>
  <si>
    <t>0                      P  0306500L  46          2012</t>
  </si>
  <si>
    <t>Traductologie pour LEA : anglais, allemand, français / Thomas Lenzen.</t>
  </si>
  <si>
    <t>Lenzen, Thomas.</t>
  </si>
  <si>
    <t>Collection "Didact langues étrangères appliquées"</t>
  </si>
  <si>
    <t>1185777597:fre</t>
  </si>
  <si>
    <t>831310759</t>
  </si>
  <si>
    <t>ocn831310759</t>
  </si>
  <si>
    <t>3103491750E</t>
  </si>
  <si>
    <t>9782753520899</t>
  </si>
  <si>
    <t>794943812</t>
  </si>
  <si>
    <t>P306.5 S44 2009</t>
  </si>
  <si>
    <t>0                      P  0306500S  44          2009</t>
  </si>
  <si>
    <t>Traduzione e scrittura letteraria : atti del seminario, Lecce, 24 aprile-8 maggio 2009 / a cura di Domenica Elicio, Gloria Politi ; [testi di Carlo Alberto Augieri et al.].</t>
  </si>
  <si>
    <t>Lecce : Pensa multimedia, 2009.</t>
  </si>
  <si>
    <t>836163925:ita</t>
  </si>
  <si>
    <t>707960008</t>
  </si>
  <si>
    <t>ocn707960008</t>
  </si>
  <si>
    <t>3103125472J</t>
  </si>
  <si>
    <t>9788882327217</t>
  </si>
  <si>
    <t>794868320</t>
  </si>
  <si>
    <t>P306.5 T38 2010</t>
  </si>
  <si>
    <t>0                      P  0306500T  38          2010</t>
  </si>
  <si>
    <t>Teaching and testing interpreting and translating / edited by Valerie Pellatt, Kate Griffiths, Shao-Chuan Wu.</t>
  </si>
  <si>
    <t>Intercultural studies and foreign language learning ; . v. 2</t>
  </si>
  <si>
    <t>2013-05-25</t>
  </si>
  <si>
    <t>375721119:eng</t>
  </si>
  <si>
    <t>502675077</t>
  </si>
  <si>
    <t>ocn502675077</t>
  </si>
  <si>
    <t>3103227135M</t>
  </si>
  <si>
    <t>9783039118922</t>
  </si>
  <si>
    <t>794805930</t>
  </si>
  <si>
    <t>P306.5 T717 2005</t>
  </si>
  <si>
    <t>0                      P  0306500T  717         2005</t>
  </si>
  <si>
    <t>Training for the new millennium : pedagogies for translation and interpreting / edited by Martha Tennent.</t>
  </si>
  <si>
    <t>Benjamins translation library, 0929-7316 ; v. 60. EST subseries</t>
  </si>
  <si>
    <t>793938761:eng</t>
  </si>
  <si>
    <t>60373740</t>
  </si>
  <si>
    <t>ocm60373740</t>
  </si>
  <si>
    <t>3102494392D</t>
  </si>
  <si>
    <t>9789027216663</t>
  </si>
  <si>
    <t>793936487</t>
  </si>
  <si>
    <t>P306.5 T728 2013</t>
  </si>
  <si>
    <t>0                      P  0306500T  728         2013</t>
  </si>
  <si>
    <t>Translation / edited by Laurence Raw.</t>
  </si>
  <si>
    <t>London : Bloomsbury Academic, 2013.</t>
  </si>
  <si>
    <t>Bloomsbury advances in translation</t>
  </si>
  <si>
    <t>5092362444:eng</t>
  </si>
  <si>
    <t>865169574</t>
  </si>
  <si>
    <t>ocn865169574</t>
  </si>
  <si>
    <t>3103530299C</t>
  </si>
  <si>
    <t>9781472531292</t>
  </si>
  <si>
    <t>794962757</t>
  </si>
  <si>
    <t>P306.5 W547 2002</t>
  </si>
  <si>
    <t>0                      P  0306500W  547         2002</t>
  </si>
  <si>
    <t>The map : a beginner's guide to doing research in translation studies / by Jenny Williams and Andrew Chesterman.</t>
  </si>
  <si>
    <t>Williams, Jenny.</t>
  </si>
  <si>
    <t>Manchester, U.K. ; Northampton, Mass. : St. Jerome Pub., ©2002.</t>
  </si>
  <si>
    <t>857960422:eng</t>
  </si>
  <si>
    <t>48773905</t>
  </si>
  <si>
    <t>ocm48773905</t>
  </si>
  <si>
    <t>3102592272M</t>
  </si>
  <si>
    <t>9781900650540</t>
  </si>
  <si>
    <t>793727541</t>
  </si>
  <si>
    <t>P306.5 Z36 2012</t>
  </si>
  <si>
    <t>0                      P  0306500Z  36          2012</t>
  </si>
  <si>
    <t>Translation-driven corpora corpus resources for descriptive and applied translation studies / Federico Zanettin.</t>
  </si>
  <si>
    <t>Zanettin, Federico.</t>
  </si>
  <si>
    <t>Manchester, UK ; Kinderhook, NY : St. Jerome Pub., 2012.</t>
  </si>
  <si>
    <t>Translation practices explained</t>
  </si>
  <si>
    <t>2014-03-27</t>
  </si>
  <si>
    <t>1012055066:eng</t>
  </si>
  <si>
    <t>753915102</t>
  </si>
  <si>
    <t>ocn753915102</t>
  </si>
  <si>
    <t>3103409039F</t>
  </si>
  <si>
    <t>9781905763290</t>
  </si>
  <si>
    <t>794892402</t>
  </si>
  <si>
    <t>P306.8 A35 B36 2008</t>
  </si>
  <si>
    <t>0                      P  0306800A  35                 B  36          2008</t>
  </si>
  <si>
    <t>Translation as reparation : writing and translation in postcolonial Africa / Paul F. Bandia.</t>
  </si>
  <si>
    <t>Bandia, Paul F. (Paul Fadio), 1961-</t>
  </si>
  <si>
    <t>Manchester, England ; Kinderhook, NY : St. Jerome Pub., ©2008.</t>
  </si>
  <si>
    <t>866267884:eng</t>
  </si>
  <si>
    <t>173367820</t>
  </si>
  <si>
    <t>ocn173367820</t>
  </si>
  <si>
    <t>3102853325R</t>
  </si>
  <si>
    <t>9781905763061</t>
  </si>
  <si>
    <t>794267756</t>
  </si>
  <si>
    <t>P306.8 A35 P84 2012</t>
  </si>
  <si>
    <t>0                      P  0306800A  35                 P  84          2012</t>
  </si>
  <si>
    <t>Africa in translation : a history of colonial linguistics in Germany and beyond, 1814-1945 / Sara Pugach.</t>
  </si>
  <si>
    <t>Pugach, Sara Elizabeth Berg.</t>
  </si>
  <si>
    <t>Ann Arbor : University of Michigan Press, 2012.</t>
  </si>
  <si>
    <t>Social history, popular culture, and politics in Germany</t>
  </si>
  <si>
    <t>866628539:eng</t>
  </si>
  <si>
    <t>712780969</t>
  </si>
  <si>
    <t>ocn712780969</t>
  </si>
  <si>
    <t>31033958501</t>
  </si>
  <si>
    <t>9780472117826</t>
  </si>
  <si>
    <t>794872243</t>
  </si>
  <si>
    <t>P306.8 C2 L33 2005</t>
  </si>
  <si>
    <t>0                      P  0306800C  2                  L  33          2005</t>
  </si>
  <si>
    <t>Making the scene : la traduction du théâtre d'une langue officielle à l'autre au Canada / Louise Ladouceur.</t>
  </si>
  <si>
    <t>Ladouceur, Louise.</t>
  </si>
  <si>
    <t>[Québec] : Éditions Nota bene, ©2005.</t>
  </si>
  <si>
    <t>Sciences humaines/Théâtre</t>
  </si>
  <si>
    <t>117498694:fre</t>
  </si>
  <si>
    <t>68418847</t>
  </si>
  <si>
    <t>ocm68418847</t>
  </si>
  <si>
    <t>3102660630Z</t>
  </si>
  <si>
    <t>9782895181965</t>
  </si>
  <si>
    <t>794143293</t>
  </si>
  <si>
    <t>P306.8 C2 N65 2015</t>
  </si>
  <si>
    <t>0                      P  0306800C  2                  N  65          2015</t>
  </si>
  <si>
    <t>Jouer la traduction : théâtre et hétérolinguisme au Canada francophone / Nicole Nolette.</t>
  </si>
  <si>
    <t>Nolette, Nicole, author.</t>
  </si>
  <si>
    <t>Ottawa : Les Presses de l'Université d'Ottawa, [2015]</t>
  </si>
  <si>
    <t>Regards sur la traduction</t>
  </si>
  <si>
    <t>2504960719:fre</t>
  </si>
  <si>
    <t>911834245</t>
  </si>
  <si>
    <t>ocn911834245</t>
  </si>
  <si>
    <t>3103646552G</t>
  </si>
  <si>
    <t>9782760322738</t>
  </si>
  <si>
    <t>794998635</t>
  </si>
  <si>
    <t>P306.8 C2 T73 2008</t>
  </si>
  <si>
    <t>0                      P  0306800C  2                  T  73          2008</t>
  </si>
  <si>
    <t>Traduire depuis les marges / sous la direction de Denise Merkle ... [et al.] ; introduction de Sherry Simon = Translating from the margins / edited by Denise Merkle ... [et al.] ; introduction by Sherry Simon.</t>
  </si>
  <si>
    <t>Québec : Éditions Nota Bene, ©2008.</t>
  </si>
  <si>
    <t>Collection "Terre américaine"</t>
  </si>
  <si>
    <t>142064639:fre</t>
  </si>
  <si>
    <t>259599182</t>
  </si>
  <si>
    <t>ocn259599182</t>
  </si>
  <si>
    <t>3103103592U</t>
  </si>
  <si>
    <t>9782895182818</t>
  </si>
  <si>
    <t>794399967</t>
  </si>
  <si>
    <t>P306.8 C3 T76 2014</t>
  </si>
  <si>
    <t>0                      P  0306800C  3                  T  76          2014</t>
  </si>
  <si>
    <t>Translation effects : the shaping of modern Canadian culture / edited by Kathy Mezei, Sherry Simon, and Luise von Flotow.</t>
  </si>
  <si>
    <t>Montréal &amp; Kingston : McGill-Queen's University Press, [2014]</t>
  </si>
  <si>
    <t>2018-12-18</t>
  </si>
  <si>
    <t>1436791435:eng</t>
  </si>
  <si>
    <t>864505079</t>
  </si>
  <si>
    <t>ocn864505079</t>
  </si>
  <si>
    <t>31034946407</t>
  </si>
  <si>
    <t>9780773543164</t>
  </si>
  <si>
    <t>794962120</t>
  </si>
  <si>
    <t>P306.8 C6 B45 2010</t>
  </si>
  <si>
    <t>0                      P  0306800C  6                  B  45          2010</t>
  </si>
  <si>
    <t>Les belles infidèles dans l'empire du milieu : problématiques et pratiques de la traduction dans le monde chinois moderne / sous la direction d'Isabelle Rabut ; avec la collaboration de Georges Bê Duc [and others].</t>
  </si>
  <si>
    <t>Paris : Librairie You Feng, ©2010.</t>
  </si>
  <si>
    <t>2016-02-13</t>
  </si>
  <si>
    <t>903074262:fre</t>
  </si>
  <si>
    <t>726820343</t>
  </si>
  <si>
    <t>ocn726820343</t>
  </si>
  <si>
    <t>3103297994P</t>
  </si>
  <si>
    <t>9782842794972</t>
  </si>
  <si>
    <t>794877453</t>
  </si>
  <si>
    <t>P306.8 C6 P64 2016</t>
  </si>
  <si>
    <t>0                      P  0306800C  6                  P  64          2016</t>
  </si>
  <si>
    <t>A poetics of translation : between Chinese and English literature / David Jasper, Geng Youzhuang, Wang Hai, editors.</t>
  </si>
  <si>
    <t>Waco, Texas : Baylor University Press, [2016]</t>
  </si>
  <si>
    <t>2597269805:eng</t>
  </si>
  <si>
    <t>918590883</t>
  </si>
  <si>
    <t>ocn918590883</t>
  </si>
  <si>
    <t>3103697947W</t>
  </si>
  <si>
    <t>9781481304184</t>
  </si>
  <si>
    <t>795001081</t>
  </si>
  <si>
    <t>P306.8 C6 T73 2014</t>
  </si>
  <si>
    <t>0                      P  0306800C  6                  T  73          2014</t>
  </si>
  <si>
    <t>Translating China for western readers : reflective, critical, and practical essays / edited by Ming Dong Gu with Rainer Schulte.</t>
  </si>
  <si>
    <t>Albany : State University of New York Press, [2014]</t>
  </si>
  <si>
    <t>SUNY series in Chinese philosophy and culture.</t>
  </si>
  <si>
    <t>1917775707:eng</t>
  </si>
  <si>
    <t>881720325</t>
  </si>
  <si>
    <t>ocn881720325</t>
  </si>
  <si>
    <t>3103582734D</t>
  </si>
  <si>
    <t>9781438455112</t>
  </si>
  <si>
    <t>794974776</t>
  </si>
  <si>
    <t>P306.8 E85 C85 2007</t>
  </si>
  <si>
    <t>0                      P  0306800E  85                 C  85          2007</t>
  </si>
  <si>
    <t>Cultural translation in early modern Europe / edited by Peter Burke and R. Po-chia Hsia.</t>
  </si>
  <si>
    <t>866515458:eng</t>
  </si>
  <si>
    <t>76935903</t>
  </si>
  <si>
    <t>ocm76935903</t>
  </si>
  <si>
    <t>3102569493$</t>
  </si>
  <si>
    <t>9780521862080</t>
  </si>
  <si>
    <t>794179243</t>
  </si>
  <si>
    <t>P306.8 E85 C858 2010</t>
  </si>
  <si>
    <t>0                      P  0306800E  85                 C  858         2010</t>
  </si>
  <si>
    <t>Cultural transfer through translation : the circulation of enlightened thought in Europe by means of translation / edited by Stefanie Stockhorst.</t>
  </si>
  <si>
    <t>Amsterdam ; New York : Rodopi, 2010.</t>
  </si>
  <si>
    <t>Internationale Forschungen zur allgemeinen und vergleichenden Literaturwissenschaft, 0929-6999 ; 131</t>
  </si>
  <si>
    <t>793257430:eng</t>
  </si>
  <si>
    <t>608105682</t>
  </si>
  <si>
    <t>ocn608105682</t>
  </si>
  <si>
    <t>31032850167</t>
  </si>
  <si>
    <t>9789042029507</t>
  </si>
  <si>
    <t>794819007</t>
  </si>
  <si>
    <t>P306.8 E85 P68 2012</t>
  </si>
  <si>
    <t>0                      P  0306800E  85                 P  68          2012</t>
  </si>
  <si>
    <t>Pour une histoire comparée des traductions : traductions des classiques, traductions du latin, traductions des langues romanes du Moyen Âge et de la première modernité / études réunies par Dominique de Courcelles et Vicent Martines Peres.</t>
  </si>
  <si>
    <t>Paris : École des Chartes, 2012.</t>
  </si>
  <si>
    <t>Études et rencontres de l'École des Chartes, 1760-5687 ; 36</t>
  </si>
  <si>
    <t>1434075390:fre</t>
  </si>
  <si>
    <t>795007786</t>
  </si>
  <si>
    <t>ocn795007786</t>
  </si>
  <si>
    <t>3103483300X</t>
  </si>
  <si>
    <t>9782357230248</t>
  </si>
  <si>
    <t>794920763</t>
  </si>
  <si>
    <t>P306.8 E85 P73 2004</t>
  </si>
  <si>
    <t>0                      P  0306800E  85                 P  73          2004</t>
  </si>
  <si>
    <t>Pratiques de traduction au moyen age : actes du colloque de l'Université de Copenhague 25 et 26 octobre 2002 = Medieval translation practices : papers from the symposium at the University of Copenhagen 25th and 26th October 2002 / edited by Peter Andersen.</t>
  </si>
  <si>
    <t>Copenhagen : Museum Tusculanum Press, University of Copenhagen, 2004.</t>
  </si>
  <si>
    <t>320036903:fre</t>
  </si>
  <si>
    <t>54007982</t>
  </si>
  <si>
    <t>ocm54007982</t>
  </si>
  <si>
    <t>3102727664F</t>
  </si>
  <si>
    <t>9788772899053</t>
  </si>
  <si>
    <t>793855394</t>
  </si>
  <si>
    <t>P306.8 E85 T74 2010</t>
  </si>
  <si>
    <t>0                      P  0306800E  85                 T  74          2010</t>
  </si>
  <si>
    <t>Translation under fascism / edited by Christopher Rundle and Kate Sturge.</t>
  </si>
  <si>
    <t>411970243:eng</t>
  </si>
  <si>
    <t>540108968</t>
  </si>
  <si>
    <t>ocn540108968</t>
  </si>
  <si>
    <t>3103302386U</t>
  </si>
  <si>
    <t>9780230203549</t>
  </si>
  <si>
    <t>794810570</t>
  </si>
  <si>
    <t>P306.8 F7 D86 2004</t>
  </si>
  <si>
    <t>0                      P  0306800F  7                  D  86          2004</t>
  </si>
  <si>
    <t>D'une écriture à l'autre : les femmes et la traduction sous l'Ancien Régime / sous la direction de Jean-Philippe Beaulieu.</t>
  </si>
  <si>
    <t>Ottawa : Presses de l'Université d'Ottawa, ©2004.</t>
  </si>
  <si>
    <t>1075626962:fre</t>
  </si>
  <si>
    <t>56065798</t>
  </si>
  <si>
    <t>ocm56065798</t>
  </si>
  <si>
    <t>3102524248I</t>
  </si>
  <si>
    <t>9782760305823</t>
  </si>
  <si>
    <t>793886976</t>
  </si>
  <si>
    <t>P306.8 F7 G68 2007</t>
  </si>
  <si>
    <t>0                      P  0306800F  7                  G  68          2007</t>
  </si>
  <si>
    <t>Pratique sociale de la traduction : le roman réaliste américain dans le champ littéraire français, 1920-1960 / Jean-Marc Gouanvic.</t>
  </si>
  <si>
    <t>Gouanvic, Jean-Marc.</t>
  </si>
  <si>
    <t>Arras : Artois presses université, 2007.</t>
  </si>
  <si>
    <t>501418791:fre</t>
  </si>
  <si>
    <t>123176122</t>
  </si>
  <si>
    <t>ocn123176122</t>
  </si>
  <si>
    <t>31028708940</t>
  </si>
  <si>
    <t>9782848320540</t>
  </si>
  <si>
    <t>794224399</t>
  </si>
  <si>
    <t>P306.8 F8 D44 2012</t>
  </si>
  <si>
    <t>0                      P  0306800F  8                  D  44          2012</t>
  </si>
  <si>
    <t>Traduire et commenter un texte littéraire anglais / Mathias Degoute, Charles Brasart.</t>
  </si>
  <si>
    <t>Degoute, Mathias.</t>
  </si>
  <si>
    <t>[Paris] : Sedes, ©2012.</t>
  </si>
  <si>
    <t>Pour les concours . Anglais</t>
  </si>
  <si>
    <t>1119671600:fre</t>
  </si>
  <si>
    <t>779875254</t>
  </si>
  <si>
    <t>ocn779875254</t>
  </si>
  <si>
    <t>3103440280F</t>
  </si>
  <si>
    <t>9782301001429</t>
  </si>
  <si>
    <t>794911506</t>
  </si>
  <si>
    <t>P306.8 F8 H57 2012</t>
  </si>
  <si>
    <t>0                      P  0306800F  8                  H  57          2012</t>
  </si>
  <si>
    <t>Histoire des traductions en langue française.</t>
  </si>
  <si>
    <t>Lagrasse : Verdier, 2012- &lt;2019&gt;</t>
  </si>
  <si>
    <t>9350200517:fre</t>
  </si>
  <si>
    <t>814302895</t>
  </si>
  <si>
    <t>ocn814302895</t>
  </si>
  <si>
    <t>31034487993</t>
  </si>
  <si>
    <t>9782864326908</t>
  </si>
  <si>
    <t>794932111</t>
  </si>
  <si>
    <t>P306.8 F8 J43 2012</t>
  </si>
  <si>
    <t>0                      P  0306800F  8                  J  43          2012</t>
  </si>
  <si>
    <t>La traduction là où tout est pareil et rien n'est semblable / Magda Jeanrenaud ; préface de Claude Hagège.</t>
  </si>
  <si>
    <t>Jeanrenaud, Magda.</t>
  </si>
  <si>
    <t>[Bucharest] : Est-Samuel Tastet, ©2012.</t>
  </si>
  <si>
    <t>1192448195:fre</t>
  </si>
  <si>
    <t>827472900</t>
  </si>
  <si>
    <t>ocn827472900</t>
  </si>
  <si>
    <t>31035061936</t>
  </si>
  <si>
    <t>9782868180438</t>
  </si>
  <si>
    <t>794940079</t>
  </si>
  <si>
    <t>P306.8 F8 T73 2008</t>
  </si>
  <si>
    <t>0                      P  0306800F  8                  T  73          2008</t>
  </si>
  <si>
    <t>Translatio : le marché de la traduction en France à l'heure de la mondialisation / sous la direction de Gisèle Sapiro.</t>
  </si>
  <si>
    <t>Paris : CNRS Éditions, ©2008.</t>
  </si>
  <si>
    <t>Collection "Culture &amp; société"</t>
  </si>
  <si>
    <t>891693434:fre</t>
  </si>
  <si>
    <t>259255645</t>
  </si>
  <si>
    <t>ocn259255645</t>
  </si>
  <si>
    <t>3103100153P</t>
  </si>
  <si>
    <t>9782271067296</t>
  </si>
  <si>
    <t>794399741</t>
  </si>
  <si>
    <t>P306.8 G3 B47 1984</t>
  </si>
  <si>
    <t>0                      P  0306800G  3                  B  47          1984</t>
  </si>
  <si>
    <t>L'épreuve de l'étranger : culture et traduction dans l'Allemagne romantique : Herder, Goethe, Schlegel, Novalis, Humboldt, Schleiermacher, Hölderlin / par Antoine Berman.</t>
  </si>
  <si>
    <t>[Paris] : Gallimard, ©1984.</t>
  </si>
  <si>
    <t>Les Essais ; 226</t>
  </si>
  <si>
    <t>9592755372:fre</t>
  </si>
  <si>
    <t>11037743</t>
  </si>
  <si>
    <t>ocm11037743</t>
  </si>
  <si>
    <t>3102524202Q</t>
  </si>
  <si>
    <t>9782070700769</t>
  </si>
  <si>
    <t>792755015</t>
  </si>
  <si>
    <t>3102776723$</t>
  </si>
  <si>
    <t>792755016</t>
  </si>
  <si>
    <t>P306.8 G3 B47 1995</t>
  </si>
  <si>
    <t>0                      P  0306800G  3                  B  47          1995</t>
  </si>
  <si>
    <t>[Paris] : Gallimard, [1995]</t>
  </si>
  <si>
    <t>Collection Tel ; 252</t>
  </si>
  <si>
    <t>61242816</t>
  </si>
  <si>
    <t>ocm61242816</t>
  </si>
  <si>
    <t>3103553646P</t>
  </si>
  <si>
    <t>9782070740529</t>
  </si>
  <si>
    <t>793949598</t>
  </si>
  <si>
    <t>P306.8 G3 B4713 1992</t>
  </si>
  <si>
    <t>0                      P  0306800G  3                  B  4713        1992</t>
  </si>
  <si>
    <t>The experience of the foreign : culture and translation in romantic Germany / Antoine Berman ; translated by S. Heyvaert.</t>
  </si>
  <si>
    <t>Albany : State University of New York Press, 1992.</t>
  </si>
  <si>
    <t>SUNY series, Intersections</t>
  </si>
  <si>
    <t>2017-02-18</t>
  </si>
  <si>
    <t>9490237451:eng</t>
  </si>
  <si>
    <t>23015842</t>
  </si>
  <si>
    <t>ocm23015842</t>
  </si>
  <si>
    <t>3102776762S</t>
  </si>
  <si>
    <t>9780791408759</t>
  </si>
  <si>
    <t>793159440</t>
  </si>
  <si>
    <t>P306.8 G3 U24 2008</t>
  </si>
  <si>
    <t>0                      P  0306800G  3                  U  24          2008</t>
  </si>
  <si>
    <t>Übersetzungskultur im 18. Jahrhundert : Übersetzerinnen in Deutschland, Frankreich und der Schweiz / herausgegeben von Brunhilde Wehinger und Hilary Brown.</t>
  </si>
  <si>
    <t>[Hannover] : Wehrhahn, 2008.</t>
  </si>
  <si>
    <t>Aufklärung und Moderne, 1864-1601 ; Bd. 12</t>
  </si>
  <si>
    <t>899979942:ger</t>
  </si>
  <si>
    <t>272561078</t>
  </si>
  <si>
    <t>ocn272561078</t>
  </si>
  <si>
    <t>31032140395</t>
  </si>
  <si>
    <t>9783865252128</t>
  </si>
  <si>
    <t>794415483</t>
  </si>
  <si>
    <t>P306.8 G7 C65 2015</t>
  </si>
  <si>
    <t>0                      P  0306800G  7                  C  65          2015</t>
  </si>
  <si>
    <t>Printers without borders : translation and textuality in the Renaissance / A.E.B. Coldiron.</t>
  </si>
  <si>
    <t>Coldiron, A. E. B. (Anne Elizabeth Banks), author.</t>
  </si>
  <si>
    <t>1860575030:eng</t>
  </si>
  <si>
    <t>876370827</t>
  </si>
  <si>
    <t>ocn876370827</t>
  </si>
  <si>
    <t>3103609728E</t>
  </si>
  <si>
    <t>9781107073173</t>
  </si>
  <si>
    <t>794970033</t>
  </si>
  <si>
    <t>P306.8 G7 C85 2015</t>
  </si>
  <si>
    <t>0                      P  0306800G  7                  C  85          2015</t>
  </si>
  <si>
    <t>The culture of translation in early modern England and France, 1500-1660 / edited by Tania Demetriou, Lecturer, University of York, UK and Rowan Tomlinson, Lecturer, University of Bristol, UK.</t>
  </si>
  <si>
    <t>Early modern literature in history</t>
  </si>
  <si>
    <t>2032985435:eng</t>
  </si>
  <si>
    <t>884439979</t>
  </si>
  <si>
    <t>ocn884439979</t>
  </si>
  <si>
    <t>3103608544T</t>
  </si>
  <si>
    <t>9781137401489</t>
  </si>
  <si>
    <t>794976346</t>
  </si>
  <si>
    <t>P306.8 I3 I24 2012</t>
  </si>
  <si>
    <t>0                      P  0306800I  3                  I  24          2012</t>
  </si>
  <si>
    <t>Iberian studies on translation and interpreting / Isabel García-Izquierdo and Esther Monzó (eds.).</t>
  </si>
  <si>
    <t>García Izquierdo, Isabel.</t>
  </si>
  <si>
    <t>Oxford ; New York : Peter Lang, ©2012.</t>
  </si>
  <si>
    <t>New trends in translation studies ; v. 11</t>
  </si>
  <si>
    <t>1174463830:eng</t>
  </si>
  <si>
    <t>795354452</t>
  </si>
  <si>
    <t>ocn795354452</t>
  </si>
  <si>
    <t>3103503106$</t>
  </si>
  <si>
    <t>9783034308151</t>
  </si>
  <si>
    <t>794921184</t>
  </si>
  <si>
    <t>P306.8 I4 T73 1997</t>
  </si>
  <si>
    <t>0                      P  0306800I  4                  T  73          1997</t>
  </si>
  <si>
    <t>Translation and multilingualism : post colonial context / edited by Shantha Ramakrishna.</t>
  </si>
  <si>
    <t>Delhi : Pencraft International, 1997.</t>
  </si>
  <si>
    <t>142145198:eng</t>
  </si>
  <si>
    <t>37770059</t>
  </si>
  <si>
    <t>ocm37770059</t>
  </si>
  <si>
    <t>3102776686R</t>
  </si>
  <si>
    <t>9788185753188</t>
  </si>
  <si>
    <t>793506654</t>
  </si>
  <si>
    <t>P306.8 I8 A78 2015</t>
  </si>
  <si>
    <t>0                      P  0306800I  8                  A  78          2015</t>
  </si>
  <si>
    <t>L'artefice aggiunto : riflessioni sulla traduzione in Italia : 1900-1975 / a cura di Angela Albanese e Franco Nasi.</t>
  </si>
  <si>
    <t>Ravenna : Longo editore, [2015]</t>
  </si>
  <si>
    <t>Portico ; 169. Sezione, Materiali letterari.</t>
  </si>
  <si>
    <t>2497075959:ita</t>
  </si>
  <si>
    <t>906626896</t>
  </si>
  <si>
    <t>ocn906626896</t>
  </si>
  <si>
    <t>31036281137</t>
  </si>
  <si>
    <t>9788880638124</t>
  </si>
  <si>
    <t>794992375</t>
  </si>
  <si>
    <t>P306.8 I8 P47 2010</t>
  </si>
  <si>
    <t>0                      P  0306800I  8                  P  47          2010</t>
  </si>
  <si>
    <t>Un percorso attraverso la traduzione : autori e traduttori della Romagna dal XVI al XIX secolo / a cura di Maria Carreras i Goicoechea, Marcello Soffritti.</t>
  </si>
  <si>
    <t>Bologna : Il mulino, ©2010.</t>
  </si>
  <si>
    <t>Quaderni Piancastelli ; 7</t>
  </si>
  <si>
    <t>786800149:ita</t>
  </si>
  <si>
    <t>701797088</t>
  </si>
  <si>
    <t>ocn701797088</t>
  </si>
  <si>
    <t>3103125283N</t>
  </si>
  <si>
    <t>9788815147011</t>
  </si>
  <si>
    <t>794863452</t>
  </si>
  <si>
    <t>P306.8 I8 T727 2011</t>
  </si>
  <si>
    <t>0                      P  0306800I  8                  T  727         2011</t>
  </si>
  <si>
    <t>Traduttori e traduzioni / a cura di Cristina Vallini, Anna De Meo, Valeria Caruso.</t>
  </si>
  <si>
    <t>Napoli : Liguori, 2011.</t>
  </si>
  <si>
    <t>1. ed. italiana.</t>
  </si>
  <si>
    <t>Domini. Critica e letteratura ; 97</t>
  </si>
  <si>
    <t>916976534:ita</t>
  </si>
  <si>
    <t>732280242</t>
  </si>
  <si>
    <t>ocn732280242</t>
  </si>
  <si>
    <t>3103125434R</t>
  </si>
  <si>
    <t>9788820742751</t>
  </si>
  <si>
    <t>794881224</t>
  </si>
  <si>
    <t>P306.8 L29 T73 1991</t>
  </si>
  <si>
    <t>0                      P  0306800L  29                 T  73          1991</t>
  </si>
  <si>
    <t>Translating Latin America : culture as text / edited by William Luis and Julio Rodríguez-Luis.</t>
  </si>
  <si>
    <t>Binghamton : Center for Research in Translation, State University of New York, 1991.</t>
  </si>
  <si>
    <t>Translation Perspectives ; no. 6</t>
  </si>
  <si>
    <t>28400084:eng</t>
  </si>
  <si>
    <t>25395610</t>
  </si>
  <si>
    <t>ocm25395610</t>
  </si>
  <si>
    <t>3102776737Y</t>
  </si>
  <si>
    <t>793219467</t>
  </si>
  <si>
    <t>P306.8 L29 T73 2008</t>
  </si>
  <si>
    <t>0                      P  0306800L  29                 T  73          2008</t>
  </si>
  <si>
    <t>Traducción y poder : sobre marginados, infieles, hermeneutas y exiliados / Liliana Ruth Feiersten, Vera Elisabeth Gerling (eds.).</t>
  </si>
  <si>
    <t>Madrid : Iberoamericana ; Frankfurt am Main : Vervuert, 2008.</t>
  </si>
  <si>
    <t>MEDIAmericana ; 4</t>
  </si>
  <si>
    <t>801498347:spa</t>
  </si>
  <si>
    <t>230809508</t>
  </si>
  <si>
    <t>ocn230809508</t>
  </si>
  <si>
    <t>3103078514Y</t>
  </si>
  <si>
    <t>9788484893653</t>
  </si>
  <si>
    <t>794355610</t>
  </si>
  <si>
    <t>P306.8 N7 G46 2008</t>
  </si>
  <si>
    <t>0                      P  0306800N  7                  G  46          2008</t>
  </si>
  <si>
    <t>Translation and identity in the Americas : new directions in translation theory / Edwin Gentzler.</t>
  </si>
  <si>
    <t>New York : Routledge, 2007.</t>
  </si>
  <si>
    <t>801446201:eng</t>
  </si>
  <si>
    <t>141187901</t>
  </si>
  <si>
    <t>ocn141187901</t>
  </si>
  <si>
    <t>3102649106U</t>
  </si>
  <si>
    <t>9780415774512</t>
  </si>
  <si>
    <t>794234578</t>
  </si>
  <si>
    <t>P306.8 P16 T7 1994</t>
  </si>
  <si>
    <t>0                      P  0306800P  16                 T  7           1994</t>
  </si>
  <si>
    <t>Translation and interpreting : bridging East and West : selected conference papers / edited by Richard K. Seymour, C.C. Liu.</t>
  </si>
  <si>
    <t>Honolulu, Hawaii : College of Languages, Linguistics and Literature, University of Hawaii : East-West Center : Distributed by University of Hawaii Press, ©1994.</t>
  </si>
  <si>
    <t>Literary studies--East and West ; v. 8</t>
  </si>
  <si>
    <t>31829308:eng</t>
  </si>
  <si>
    <t>29908641</t>
  </si>
  <si>
    <t>ocm29908641</t>
  </si>
  <si>
    <t>3102776722$</t>
  </si>
  <si>
    <t>9780824816032</t>
  </si>
  <si>
    <t>793323428</t>
  </si>
  <si>
    <t>2002-02-14</t>
  </si>
  <si>
    <t>3102776727$</t>
  </si>
  <si>
    <t>793323429</t>
  </si>
  <si>
    <t>P306.8 S7 T7 1999</t>
  </si>
  <si>
    <t>0                      P  0306800S  7                  T  7           1999</t>
  </si>
  <si>
    <t>La traducción en España, 1750-1830 : lengua, literatura, cultura / Francisco Lafarga, ed.</t>
  </si>
  <si>
    <t>[Lleida] : Edicions de la Universitat de Lleida, ©1999.</t>
  </si>
  <si>
    <t>792130882:spa</t>
  </si>
  <si>
    <t>41459104</t>
  </si>
  <si>
    <t>ocm41459104</t>
  </si>
  <si>
    <t>3103550650Z</t>
  </si>
  <si>
    <t>9788484099833</t>
  </si>
  <si>
    <t>793592017</t>
  </si>
  <si>
    <t>P306.9 K37 1994</t>
  </si>
  <si>
    <t>0                      P  0306900K  37          1994</t>
  </si>
  <si>
    <t>Between worlds : interpreters, guides, and survivors / Frances Karttunen.</t>
  </si>
  <si>
    <t>Karttunen, Frances E.</t>
  </si>
  <si>
    <t>New Brunswick, N.J. : Rutgers University Press, ©1994.</t>
  </si>
  <si>
    <t>1013024:eng</t>
  </si>
  <si>
    <t>28150669</t>
  </si>
  <si>
    <t>ocm28150669</t>
  </si>
  <si>
    <t>3102777025G</t>
  </si>
  <si>
    <t>9780813520308</t>
  </si>
  <si>
    <t>793281266</t>
  </si>
  <si>
    <t>P306.9 M47 2005</t>
  </si>
  <si>
    <t>0                      P  0306900M  47          2005</t>
  </si>
  <si>
    <t>Le métier du double : portraits de traductrices et traducteurs littéraires / sous la direction de Agnès Whitfield.</t>
  </si>
  <si>
    <t>[Saint-Laurent, Québec] : Fides, 2005.</t>
  </si>
  <si>
    <t>Nouvelles études québécoises</t>
  </si>
  <si>
    <t>46789213:fre</t>
  </si>
  <si>
    <t>61755594</t>
  </si>
  <si>
    <t>ocm61755594</t>
  </si>
  <si>
    <t>31025599105</t>
  </si>
  <si>
    <t>9782762126655</t>
  </si>
  <si>
    <t>794097856</t>
  </si>
  <si>
    <t>P306.9 P68 2002</t>
  </si>
  <si>
    <t>0                      P  0306900P  68          2002</t>
  </si>
  <si>
    <t>Portraits de traductrices / sous la direction de Jean Delisle.</t>
  </si>
  <si>
    <t>[Arras, France] : Artois Presses Université ; Ottawa : Presses de l'Université d'Ottawa, c2002.</t>
  </si>
  <si>
    <t>1039978908:fre</t>
  </si>
  <si>
    <t>49843891</t>
  </si>
  <si>
    <t>ocm49843891</t>
  </si>
  <si>
    <t>3102776796M</t>
  </si>
  <si>
    <t>9782760305465</t>
  </si>
  <si>
    <t>793748990</t>
  </si>
  <si>
    <t>P306.9 W75 2006</t>
  </si>
  <si>
    <t>0                      P  0306900W  75          2006</t>
  </si>
  <si>
    <t>Writing between the lines : portraits of Canadian anglophone translators / edited with an introduction by Agnes Whitfield.</t>
  </si>
  <si>
    <t>Waterloo, Ont. : Wilfrid Laurier University Press, ©2006.</t>
  </si>
  <si>
    <t>1042639594:eng</t>
  </si>
  <si>
    <t>65943639</t>
  </si>
  <si>
    <t>ocm65943639</t>
  </si>
  <si>
    <t>3103705554Y</t>
  </si>
  <si>
    <t>9780889204928</t>
  </si>
  <si>
    <t>794137138</t>
  </si>
  <si>
    <t>P306.92 B47 A4 2010</t>
  </si>
  <si>
    <t>0                      P  0306920B  47                 A  4           2010</t>
  </si>
  <si>
    <t>Carteggio : 1930-1973 / Juliette Bertrand, Aldo Palazzeschi ; a cura di Enrica Agnesi.</t>
  </si>
  <si>
    <t>Bertrand, Juliette, 1893-</t>
  </si>
  <si>
    <t>Roma : Edizioni di storia e letteratura ; Firenze : Università degli studi di Firenze, 2010.</t>
  </si>
  <si>
    <t>Carte Palazzeschi / Facoltà di lettere e filosofia, Università degli studi di Firenze</t>
  </si>
  <si>
    <t>1059132903:ita</t>
  </si>
  <si>
    <t>666211355</t>
  </si>
  <si>
    <t>ocn666211355</t>
  </si>
  <si>
    <t>31031252012</t>
  </si>
  <si>
    <t>9788863721461</t>
  </si>
  <si>
    <t>794844818</t>
  </si>
  <si>
    <t>P306.92 D38 E93 2016</t>
  </si>
  <si>
    <t>0                      P  0306920D  38                 E  93          2016</t>
  </si>
  <si>
    <t>The many voices of Lydia Davis : translation, rewriting, intertextuality / Jonathan Evans.</t>
  </si>
  <si>
    <t>Evans, Jonathan (Senior lecturer in translation studies), author.</t>
  </si>
  <si>
    <t>Edinburgh : Edinburgh University Press, [2016]</t>
  </si>
  <si>
    <t>Edinburgh critical studies in literary translation</t>
  </si>
  <si>
    <t>3957622802:eng</t>
  </si>
  <si>
    <t>945950340</t>
  </si>
  <si>
    <t>ocn945950340</t>
  </si>
  <si>
    <t>3103670923J</t>
  </si>
  <si>
    <t>9781474400176</t>
  </si>
  <si>
    <t>795014082</t>
  </si>
  <si>
    <t>P306.92 L38 T73 2004</t>
  </si>
  <si>
    <t>0                      P  0306920L  38                 T  73          2004</t>
  </si>
  <si>
    <t>Un traducteur et un humaniste de l'époque de Charles VI, Laurent de Premierfait / études réunies par Carla Bozzolo ; préface d'Ezio Ornato.</t>
  </si>
  <si>
    <t>Paris : Publications de la Sorbonne, 2004.</t>
  </si>
  <si>
    <t>Textes et documents d'histoire médiévale, 1290-7375 ; 4</t>
  </si>
  <si>
    <t>351129251:fre</t>
  </si>
  <si>
    <t>55737402</t>
  </si>
  <si>
    <t>ocm55737402</t>
  </si>
  <si>
    <t>3102776786O</t>
  </si>
  <si>
    <t>9782859445010</t>
  </si>
  <si>
    <t>793881735</t>
  </si>
  <si>
    <t>P306.92 L86 A2 2004</t>
  </si>
  <si>
    <t>0                      P  0306920L  86                 A  2           2004</t>
  </si>
  <si>
    <t>Luo Niansheng quan ji.</t>
  </si>
  <si>
    <t>Luo, Niansheng, 1904-1990.</t>
  </si>
  <si>
    <t>Shanghai : Shi ji chu ban ji tuan : Shanghai ren min chu ban she, 2004.</t>
  </si>
  <si>
    <t>2007-06-14</t>
  </si>
  <si>
    <t>3373632012:chi</t>
  </si>
  <si>
    <t>56337398</t>
  </si>
  <si>
    <t>ocm56337398</t>
  </si>
  <si>
    <t>3102672336V</t>
  </si>
  <si>
    <t>9787208050433</t>
  </si>
  <si>
    <t>793891100</t>
  </si>
  <si>
    <t>3102672346T</t>
  </si>
  <si>
    <t>793891102</t>
  </si>
  <si>
    <t>3102672361P</t>
  </si>
  <si>
    <t>793891105</t>
  </si>
  <si>
    <t>3102672331V</t>
  </si>
  <si>
    <t>793891099</t>
  </si>
  <si>
    <t>2007-04-02</t>
  </si>
  <si>
    <t>3102672326X</t>
  </si>
  <si>
    <t>793891098</t>
  </si>
  <si>
    <t>3102672351R</t>
  </si>
  <si>
    <t>793891103</t>
  </si>
  <si>
    <t>2007-03-08</t>
  </si>
  <si>
    <t>3102672341T</t>
  </si>
  <si>
    <t>793891101</t>
  </si>
  <si>
    <t>3102672367P</t>
  </si>
  <si>
    <t>793891106</t>
  </si>
  <si>
    <t>3102672366P</t>
  </si>
  <si>
    <t>793891097</t>
  </si>
  <si>
    <t>3102672356R</t>
  </si>
  <si>
    <t>793891104</t>
  </si>
  <si>
    <t>P306.92 T88 A3 2013</t>
  </si>
  <si>
    <t>0                      P  0306920T  88                 A  3           2013</t>
  </si>
  <si>
    <t>Diplomat, actor, translator, spy / Bernard Turle.</t>
  </si>
  <si>
    <t>&lt;text + 1 booklet&gt;</t>
  </si>
  <si>
    <t>Turle, Bernard, author.</t>
  </si>
  <si>
    <t>[Paris] : Center for Writers &amp; Translators, the American University of Paris, 2013.</t>
  </si>
  <si>
    <t>Cahiers series ; no. 19</t>
  </si>
  <si>
    <t>1357794084:eng</t>
  </si>
  <si>
    <t>847541735</t>
  </si>
  <si>
    <t>ocn847541735</t>
  </si>
  <si>
    <t>31036093241</t>
  </si>
  <si>
    <t>9780956992055</t>
  </si>
  <si>
    <t>794949547</t>
  </si>
  <si>
    <t>P306.93 G85 2012</t>
  </si>
  <si>
    <t>0                      P  0306930G  85          2012</t>
  </si>
  <si>
    <t>The acting translator : embodying cultures in the dubbing translation of American sitcoms / Maria Grazia Guido.</t>
  </si>
  <si>
    <t>Guido, Maria Grazia, author.</t>
  </si>
  <si>
    <t>New York ; Ottawa ; Toronto : Legas, [2012]</t>
  </si>
  <si>
    <t>Language, media &amp; education studies ; 54</t>
  </si>
  <si>
    <t>2014-10-19</t>
  </si>
  <si>
    <t>1178982910:eng</t>
  </si>
  <si>
    <t>816765112</t>
  </si>
  <si>
    <t>ocn816765112</t>
  </si>
  <si>
    <t>31034925958</t>
  </si>
  <si>
    <t>9781897493380</t>
  </si>
  <si>
    <t>794933332</t>
  </si>
  <si>
    <t>P306.93 L38 2008</t>
  </si>
  <si>
    <t>0                      P  0306930L  38          2008</t>
  </si>
  <si>
    <t>La traduction audiovisuelle : approche interdisciplinaire du sous-titrage / Jean-Marc Lavaur, Adriana Serban.</t>
  </si>
  <si>
    <t>Lavaur, Jean-Marc.</t>
  </si>
  <si>
    <t>890551397:fre</t>
  </si>
  <si>
    <t>272561368</t>
  </si>
  <si>
    <t>ocn272561368</t>
  </si>
  <si>
    <t>3103063657B</t>
  </si>
  <si>
    <t>9782804159290</t>
  </si>
  <si>
    <t>794415498</t>
  </si>
  <si>
    <t>P306.94 A88 2013</t>
  </si>
  <si>
    <t>0                      P  0306940A  88          2013</t>
  </si>
  <si>
    <t>Assessment issues in language translation and interpreting / Dina Tsagari, Roelof van Deemter (eds.).</t>
  </si>
  <si>
    <t>Frankfurt am Main : Peter Lang, 2013.</t>
  </si>
  <si>
    <t>Language testing and evaluation ; Volume 29</t>
  </si>
  <si>
    <t>1211369823:eng</t>
  </si>
  <si>
    <t>829097407</t>
  </si>
  <si>
    <t>ocn829097407</t>
  </si>
  <si>
    <t>3103505220L</t>
  </si>
  <si>
    <t>9783631636039</t>
  </si>
  <si>
    <t>794942082</t>
  </si>
  <si>
    <t>P306.94 D78 2013</t>
  </si>
  <si>
    <t>0                      P  0306940D  78          2013</t>
  </si>
  <si>
    <t>Quality in professional translation : assessment and improvement / Joanna Drugan.</t>
  </si>
  <si>
    <t>Drugan, Joanna, author.</t>
  </si>
  <si>
    <t>1207037280:eng</t>
  </si>
  <si>
    <t>757480992</t>
  </si>
  <si>
    <t>ocn757480992</t>
  </si>
  <si>
    <t>3103505209P</t>
  </si>
  <si>
    <t>9781441176646</t>
  </si>
  <si>
    <t>794895510</t>
  </si>
  <si>
    <t>P306.96 S2914 2010</t>
  </si>
  <si>
    <t>0                      P  0306960S  2914        2010</t>
  </si>
  <si>
    <t>La traduction spécialisée : une approche professionnelle à l'enseignement de la traduction / Federica Scarpa ; traduit et adapté par Marco A. Fiola.</t>
  </si>
  <si>
    <t>Scarpa, Federica.</t>
  </si>
  <si>
    <t>Ottawa : Presses de l'Université d'Ottawa, 2010.</t>
  </si>
  <si>
    <t>825025848:fre</t>
  </si>
  <si>
    <t>309003994</t>
  </si>
  <si>
    <t>ocn309003994</t>
  </si>
  <si>
    <t>3103268163T</t>
  </si>
  <si>
    <t>9782760306981</t>
  </si>
  <si>
    <t>794434704</t>
  </si>
  <si>
    <t>P306.96 S83 2010</t>
  </si>
  <si>
    <t>0                      P  0306960S  83          2010</t>
  </si>
  <si>
    <t>La traducción especializada : en inglés y español en géneros de economía y empresa / Francisca Suau Jiménez.</t>
  </si>
  <si>
    <t>Madrid : Arco/ Libros, 2010.</t>
  </si>
  <si>
    <t>Bibliotheca Philologica</t>
  </si>
  <si>
    <t>906170052:spa</t>
  </si>
  <si>
    <t>587030314</t>
  </si>
  <si>
    <t>ocn587030314</t>
  </si>
  <si>
    <t>31031985766</t>
  </si>
  <si>
    <t>9788476357910</t>
  </si>
  <si>
    <t>794814269</t>
  </si>
  <si>
    <t>P306.97 D62 M39 2003</t>
  </si>
  <si>
    <t>0                      P  0306970D  62                 M  39          2003</t>
  </si>
  <si>
    <t>Translating official documents / Roberto Mayoral Asensio.</t>
  </si>
  <si>
    <t>Mayoral Asensio, Roberto, 1950-</t>
  </si>
  <si>
    <t>Northampton, MA : St. Jerome Pub., ©2003.</t>
  </si>
  <si>
    <t>Translation practices explained, 1470-966X</t>
  </si>
  <si>
    <t>824679:eng</t>
  </si>
  <si>
    <t>51323591</t>
  </si>
  <si>
    <t>ocm51323591</t>
  </si>
  <si>
    <t>3102647524M</t>
  </si>
  <si>
    <t>9781900650656</t>
  </si>
  <si>
    <t>793783134</t>
  </si>
  <si>
    <t>P306.97 G5 C76 2003</t>
  </si>
  <si>
    <t>0                      P  0306970G  5                  C  76          2003</t>
  </si>
  <si>
    <t>Translation and globalization / Michael Cronin.</t>
  </si>
  <si>
    <t>692737:eng</t>
  </si>
  <si>
    <t>51963479</t>
  </si>
  <si>
    <t>ocm51963479</t>
  </si>
  <si>
    <t>3102789607Q</t>
  </si>
  <si>
    <t>9780415270656</t>
  </si>
  <si>
    <t>793795259</t>
  </si>
  <si>
    <t>P306.97 P65 G84 2016</t>
  </si>
  <si>
    <t>0                      P  0306970P  65                 G  84          2016</t>
  </si>
  <si>
    <t>Guerre et traduction : représenter et traduire la guerre / sous la direction Lynne Franjié.</t>
  </si>
  <si>
    <t>Paris : L'Harmattan, [2016]</t>
  </si>
  <si>
    <t>4010309040:fre</t>
  </si>
  <si>
    <t>964293799</t>
  </si>
  <si>
    <t>ocn964293799</t>
  </si>
  <si>
    <t>31037081514</t>
  </si>
  <si>
    <t>9782343104270</t>
  </si>
  <si>
    <t>795025090</t>
  </si>
  <si>
    <t>P306.97 P65 T715 2017</t>
  </si>
  <si>
    <t>0                      P  0306970P  65                 T  715         2017</t>
  </si>
  <si>
    <t>Les traductions comme textes politiques : un voyage entre France et Italie (XVIe-XXe siècle) / sous la direction de Francesca Piselli et Fausto Proietti.</t>
  </si>
  <si>
    <t>Constitution de la modernité, 2493-8947 ; 8</t>
  </si>
  <si>
    <t>4584913784:fre</t>
  </si>
  <si>
    <t>1011163715</t>
  </si>
  <si>
    <t>on1011163715</t>
  </si>
  <si>
    <t>3103719658X</t>
  </si>
  <si>
    <t>9782406070962</t>
  </si>
  <si>
    <t>795045458</t>
  </si>
  <si>
    <t>P306.97 P65 T73 2010</t>
  </si>
  <si>
    <t>0                      P  0306970P  65                 T  73          2010</t>
  </si>
  <si>
    <t>Translation and violent conflict / guest editors: Moira Inghilleri, Sue-Ann Harding.</t>
  </si>
  <si>
    <t>Manchester : St. Jerome, 2010.</t>
  </si>
  <si>
    <t>The translator : studies in intercultural communication ; v. 16, no. 2</t>
  </si>
  <si>
    <t>694565127:eng</t>
  </si>
  <si>
    <t>772500659</t>
  </si>
  <si>
    <t>ocn772500659</t>
  </si>
  <si>
    <t>3103522697Y</t>
  </si>
  <si>
    <t>9781905763238</t>
  </si>
  <si>
    <t>794904639</t>
  </si>
  <si>
    <t>P306.97 S63 B38 2007</t>
  </si>
  <si>
    <t>0                      P  0306970S  63                 B  38          2007</t>
  </si>
  <si>
    <t>Betwixt and between : place and cultural translation / edited by Stephen Kelly and David Johnston.</t>
  </si>
  <si>
    <t>856173911:eng</t>
  </si>
  <si>
    <t>85898396</t>
  </si>
  <si>
    <t>ocm85898396</t>
  </si>
  <si>
    <t>3102572511Z</t>
  </si>
  <si>
    <t>9781847181084</t>
  </si>
  <si>
    <t>794217680</t>
  </si>
  <si>
    <t>P306.97 S63 C66 2007</t>
  </si>
  <si>
    <t>0                      P  0306970S  63                 C  66          2007</t>
  </si>
  <si>
    <t>Constructing a sociology of translation / edited by Michaela Wolf, Alexandra Fukari.</t>
  </si>
  <si>
    <t>Benjamins translation library ; v. 74</t>
  </si>
  <si>
    <t>1076490400:eng</t>
  </si>
  <si>
    <t>166390089</t>
  </si>
  <si>
    <t>ocn166390089</t>
  </si>
  <si>
    <t>3102646076V</t>
  </si>
  <si>
    <t>9789027216823</t>
  </si>
  <si>
    <t>794261348</t>
  </si>
  <si>
    <t>P306.97 S63 C76 2006</t>
  </si>
  <si>
    <t>0                      P  0306970S  63                 C  76          2006</t>
  </si>
  <si>
    <t>Translation and identity / Michael Cronin.</t>
  </si>
  <si>
    <t>46569567:eng</t>
  </si>
  <si>
    <t>62161246</t>
  </si>
  <si>
    <t>ocm62161246</t>
  </si>
  <si>
    <t>3102642157B</t>
  </si>
  <si>
    <t>9780415364652</t>
  </si>
  <si>
    <t>794101560</t>
  </si>
  <si>
    <t>P306.97 S63 J56 2013</t>
  </si>
  <si>
    <t>0                      P  0306970S  63                 J  56          2013</t>
  </si>
  <si>
    <t>Translation and web localization / Miguel A. Jiménez-Crespo.</t>
  </si>
  <si>
    <t>Jiménez-Crespo, Miguel A., author.</t>
  </si>
  <si>
    <t>1367339547:eng</t>
  </si>
  <si>
    <t>796753630</t>
  </si>
  <si>
    <t>ocn796753630</t>
  </si>
  <si>
    <t>31035253218</t>
  </si>
  <si>
    <t>9780415643160</t>
  </si>
  <si>
    <t>794922258</t>
  </si>
  <si>
    <t>P306.97 S63 K45 2012</t>
  </si>
  <si>
    <t>0                      P  0306970S  63                 K  45          2012</t>
  </si>
  <si>
    <t>Found in translation : how language shapes our lives and transforms the world / Nataly Kelly and Jost Zetzsche.</t>
  </si>
  <si>
    <t>Kelly, Nataly, 1975- author.</t>
  </si>
  <si>
    <t>New York : Perigee, 2012.</t>
  </si>
  <si>
    <t>1170051482:eng</t>
  </si>
  <si>
    <t>775418831</t>
  </si>
  <si>
    <t>ocn775418831</t>
  </si>
  <si>
    <t>3103498790F</t>
  </si>
  <si>
    <t>9780399537974</t>
  </si>
  <si>
    <t>794907545</t>
  </si>
  <si>
    <t>P306.97 S63 O87 2011</t>
  </si>
  <si>
    <t>0                      P  0306970S  63                 O  87          2011</t>
  </si>
  <si>
    <t>Traduire et communiquer à l'heure de la mondialisation / Michaël Oustinoff.</t>
  </si>
  <si>
    <t>Paris : CNRS, ©2011.</t>
  </si>
  <si>
    <t>CNRS communication</t>
  </si>
  <si>
    <t>879031315:fre</t>
  </si>
  <si>
    <t>714290925</t>
  </si>
  <si>
    <t>ocn714290925</t>
  </si>
  <si>
    <t>3103296902A</t>
  </si>
  <si>
    <t>9782271071620</t>
  </si>
  <si>
    <t>794873358</t>
  </si>
  <si>
    <t>P306.97 S63 S54 2004</t>
  </si>
  <si>
    <t>0                      P  0306970S  63                 S  54          2004</t>
  </si>
  <si>
    <t>Linguistic identities through translation / Maria Sidiropoulo.</t>
  </si>
  <si>
    <t>Approaches to translation studies ; v. 23</t>
  </si>
  <si>
    <t>1078772:eng</t>
  </si>
  <si>
    <t>55149139</t>
  </si>
  <si>
    <t>ocm55149139</t>
  </si>
  <si>
    <t>3103382861G</t>
  </si>
  <si>
    <t>9789042009905</t>
  </si>
  <si>
    <t>793875477</t>
  </si>
  <si>
    <t>P306.97 S63 T687 2010</t>
  </si>
  <si>
    <t>0                      P  0306970S  63                 T  687         2010</t>
  </si>
  <si>
    <t>Traduction et médiation humanitaire : recherche-université / sous la direction de Mathieu Guidère.</t>
  </si>
  <si>
    <t>Paris : Le Manuscrit ; Genève : Université de Genève, 2010.</t>
  </si>
  <si>
    <t>Parallèles ; [24]</t>
  </si>
  <si>
    <t>2909356222:fre</t>
  </si>
  <si>
    <t>775363848</t>
  </si>
  <si>
    <t>ocn775363848</t>
  </si>
  <si>
    <t>31032795726</t>
  </si>
  <si>
    <t>9782304033045</t>
  </si>
  <si>
    <t>794907388</t>
  </si>
  <si>
    <t>P306.97 S63 T69 2008</t>
  </si>
  <si>
    <t>0                      P  0306970S  63                 T  69          2008</t>
  </si>
  <si>
    <t>Translating selves : experience and identity between languages and literatures / edited by Paschalis Nikolaou and Maria-Venetia Kyritsi ; foreword by Mona Baker.</t>
  </si>
  <si>
    <t>London ; New York, NY : Continuum, ©2008.</t>
  </si>
  <si>
    <t>892393140:eng</t>
  </si>
  <si>
    <t>182732376</t>
  </si>
  <si>
    <t>ocn182732376</t>
  </si>
  <si>
    <t>31028844009</t>
  </si>
  <si>
    <t>9780826499264</t>
  </si>
  <si>
    <t>794285288</t>
  </si>
  <si>
    <t>P306.97 S63 T7 2002</t>
  </si>
  <si>
    <t>0                      P  0306970S  63                 T  7           2002</t>
  </si>
  <si>
    <t>Translation and power / edited by Maria Tymoczko and Edwin Gentzler.</t>
  </si>
  <si>
    <t>Amherst : University of Massachusetts Press, 2002.</t>
  </si>
  <si>
    <t>349990265:eng</t>
  </si>
  <si>
    <t>50006493</t>
  </si>
  <si>
    <t>ocm50006493</t>
  </si>
  <si>
    <t>3102776810Z</t>
  </si>
  <si>
    <t>9781558493582</t>
  </si>
  <si>
    <t>793753455</t>
  </si>
  <si>
    <t>P306.97 S63 T726 2011</t>
  </si>
  <si>
    <t>0                      P  0306970S  63                 T  726         2011</t>
  </si>
  <si>
    <t>Translation and opposition / edited by Dimitris Asimakoulas and Margaret Rogers.</t>
  </si>
  <si>
    <t>Translating Europe</t>
  </si>
  <si>
    <t>897913561:eng</t>
  </si>
  <si>
    <t>722273882</t>
  </si>
  <si>
    <t>ocn722273882</t>
  </si>
  <si>
    <t>3103414504L</t>
  </si>
  <si>
    <t>9781847694317</t>
  </si>
  <si>
    <t>794875577</t>
  </si>
  <si>
    <t>P306.97 S63 T73 2010</t>
  </si>
  <si>
    <t>0                      P  0306970S  63                 T  73          2010</t>
  </si>
  <si>
    <t>The translator as mediator of cultures / edited by Humphrey Tonkin, Maria Esposito Frank.</t>
  </si>
  <si>
    <t>Studies in world language problems, 1572-1183 ; v. 3</t>
  </si>
  <si>
    <t>1044436352:eng</t>
  </si>
  <si>
    <t>587154077</t>
  </si>
  <si>
    <t>ocn587154077</t>
  </si>
  <si>
    <t>31032291962</t>
  </si>
  <si>
    <t>9789027228345</t>
  </si>
  <si>
    <t>794814361</t>
  </si>
  <si>
    <t>P306.97 S63 T73 2011</t>
  </si>
  <si>
    <t>0                      P  0306970S  63                 T  73          2011</t>
  </si>
  <si>
    <t>Translation as a social activity : [community translation 2.0] / edited by Minako O'Hagan.</t>
  </si>
  <si>
    <t>Brussels : University Press Antwerp, [2011]</t>
  </si>
  <si>
    <t>Linguistica Antverpiensia. New series : themes in translation studies, 0304-2294 ; 10/2011</t>
  </si>
  <si>
    <t>1075147178:eng</t>
  </si>
  <si>
    <t>773670346</t>
  </si>
  <si>
    <t>ocn773670346</t>
  </si>
  <si>
    <t>3103581547L</t>
  </si>
  <si>
    <t>9789054879770</t>
  </si>
  <si>
    <t>794905870</t>
  </si>
  <si>
    <t>Traduction et mondialisation / coordonné par Michaël Oustinoff.</t>
  </si>
  <si>
    <t>Paris : CNRS éditions, ©2011.</t>
  </si>
  <si>
    <t>Les essentiels d'Hermès</t>
  </si>
  <si>
    <t>5618184835:fre</t>
  </si>
  <si>
    <t>725593179</t>
  </si>
  <si>
    <t>ocn725593179</t>
  </si>
  <si>
    <t>3103338721S</t>
  </si>
  <si>
    <t>9782271071279</t>
  </si>
  <si>
    <t>794876899</t>
  </si>
  <si>
    <t>P306.97 S63 T73 2018</t>
  </si>
  <si>
    <t>0                      P  0306970S  63                 T  73          2018</t>
  </si>
  <si>
    <t>Translating and interpreting justice in a postmonolingual age / edited by Esther Monzó-Nebot &amp; Juan Jiménez-Salcedo.</t>
  </si>
  <si>
    <t>Wilmington, Delaware : Vernon Press, [2018]</t>
  </si>
  <si>
    <t>5339813130:eng</t>
  </si>
  <si>
    <t>1042352477</t>
  </si>
  <si>
    <t>on1042352477</t>
  </si>
  <si>
    <t>3103859793X</t>
  </si>
  <si>
    <t>9781622733125</t>
  </si>
  <si>
    <t>795059509</t>
  </si>
  <si>
    <t>P306.97 S63 T736 2013</t>
  </si>
  <si>
    <t>0                      P  0306970S  63                 T  736         2013</t>
  </si>
  <si>
    <t>Translation right or wrong / Susana Bayó Belenguer, Eiléan Ní Chuilleanáin &amp; Cormac Ó Cuilleanáin, editors ; assisted by Giulia Zuodar.</t>
  </si>
  <si>
    <t>Dublin, Ireland ; Portland, OR : Four Courts Press, [2013]</t>
  </si>
  <si>
    <t>1378883854:eng</t>
  </si>
  <si>
    <t>855890595</t>
  </si>
  <si>
    <t>ocn855890595</t>
  </si>
  <si>
    <t>3103503076P</t>
  </si>
  <si>
    <t>9781846823725</t>
  </si>
  <si>
    <t>794953897</t>
  </si>
  <si>
    <t>P306.97 S63 T74 2015</t>
  </si>
  <si>
    <t>0                      P  0306970S  63                 T  74          2015</t>
  </si>
  <si>
    <t>La traduction : médiation et médiatisation des cultures / sous la direction de Françoise Morcillo et Catherine Pélage.</t>
  </si>
  <si>
    <t>Orléans [France] : Éditions Paradigme, ©2015.</t>
  </si>
  <si>
    <t>Cultures littéraires</t>
  </si>
  <si>
    <t>2542978773:fre</t>
  </si>
  <si>
    <t>910848022</t>
  </si>
  <si>
    <t>ocn910848022</t>
  </si>
  <si>
    <t>3103627740M</t>
  </si>
  <si>
    <t>9782868783103</t>
  </si>
  <si>
    <t>794996575</t>
  </si>
  <si>
    <t>P306.97 T73 C76 2013</t>
  </si>
  <si>
    <t>0                      P  0306970T  73                 C  76          2013</t>
  </si>
  <si>
    <t>Translation in the digital age / Michael Cronin.</t>
  </si>
  <si>
    <t>1167704636:eng</t>
  </si>
  <si>
    <t>727702677</t>
  </si>
  <si>
    <t>ocn727702677</t>
  </si>
  <si>
    <t>3103503111Y</t>
  </si>
  <si>
    <t>9780415608596</t>
  </si>
  <si>
    <t>794878417</t>
  </si>
  <si>
    <t>P306.97 T73 Q44 2006</t>
  </si>
  <si>
    <t>0                      P  0306970T  73                 Q  44          2006</t>
  </si>
  <si>
    <t>Translation and technology / C.K. Quah.</t>
  </si>
  <si>
    <t>Quah, C. K. (Chiew Kin), 1966-</t>
  </si>
  <si>
    <t>Houndmills [England] ; New York : Palgrave Macmillan, 2006.</t>
  </si>
  <si>
    <t>Palgrave textbooks in translating and interpreting</t>
  </si>
  <si>
    <t>48081901:eng</t>
  </si>
  <si>
    <t>64065974</t>
  </si>
  <si>
    <t>ocm64065974</t>
  </si>
  <si>
    <t>3102642126H</t>
  </si>
  <si>
    <t>9781403918314</t>
  </si>
  <si>
    <t>794123785</t>
  </si>
  <si>
    <t>P307 M8 2018</t>
  </si>
  <si>
    <t>0                      P  0307000M  8           2018</t>
  </si>
  <si>
    <t>Multiword units in machine translation and translation technology / edited by Ruslan Mitkov, Johanna Monti, Gloria Corpas Pastor and Violeta Seretan.</t>
  </si>
  <si>
    <t>Current issues in linguistic theory ; volume 341</t>
  </si>
  <si>
    <t>4724792507:eng</t>
  </si>
  <si>
    <t>1014459964</t>
  </si>
  <si>
    <t>on1014459964</t>
  </si>
  <si>
    <t>3103794393K</t>
  </si>
  <si>
    <t>9789027200600</t>
  </si>
  <si>
    <t>795047765</t>
  </si>
  <si>
    <t>P308 B665 2019</t>
  </si>
  <si>
    <t>0                      P  0308000B  665         2019</t>
  </si>
  <si>
    <t>Machine translation and global research : towards improved machine translation literacy in the scholarly community / by Lynne Bowker, Jairo Buitrago Ciro.</t>
  </si>
  <si>
    <t>Bowker, Lynne, author.</t>
  </si>
  <si>
    <t>Bingley, UK : Emerald Publishing, 2019.</t>
  </si>
  <si>
    <t>2019-06-13</t>
  </si>
  <si>
    <t>9109046448:eng</t>
  </si>
  <si>
    <t>1075580986</t>
  </si>
  <si>
    <t>on1075580986</t>
  </si>
  <si>
    <t>3103641966E</t>
  </si>
  <si>
    <t>9781787567221</t>
  </si>
  <si>
    <t>795067395</t>
  </si>
  <si>
    <t>P308 H85 1986</t>
  </si>
  <si>
    <t>0                      P  0308000H  85          1986</t>
  </si>
  <si>
    <t>Machine translation : past, present, future / W.J. Hutchins.</t>
  </si>
  <si>
    <t>Hutchins, W. John (William John), 1939-</t>
  </si>
  <si>
    <t>Chichester [West Sussex] : Ellis Horwood ; New York : Halsted Press, 1986.</t>
  </si>
  <si>
    <t>Ellis Horwood series in computers and their applications</t>
  </si>
  <si>
    <t>836639018:eng</t>
  </si>
  <si>
    <t>13525570</t>
  </si>
  <si>
    <t>ocm13525570</t>
  </si>
  <si>
    <t>31027851814</t>
  </si>
  <si>
    <t>9780470203132</t>
  </si>
  <si>
    <t>792856471</t>
  </si>
  <si>
    <t>P308 K64 2010</t>
  </si>
  <si>
    <t>0                      P  0308000K  64          2010</t>
  </si>
  <si>
    <t>Statistical machine translation / Philipp Koehn.</t>
  </si>
  <si>
    <t>Koehn, Philipp.</t>
  </si>
  <si>
    <t>193374775:eng</t>
  </si>
  <si>
    <t>316824008</t>
  </si>
  <si>
    <t>ocn316824008</t>
  </si>
  <si>
    <t>31031310607</t>
  </si>
  <si>
    <t>9780521874151</t>
  </si>
  <si>
    <t>794449814</t>
  </si>
  <si>
    <t>P308 L462 2008</t>
  </si>
  <si>
    <t>0                      P  0308000L  462         2008</t>
  </si>
  <si>
    <t>Initiation à la traductique / Marie-Claude L'Homme ; préface de Claude Bédard.</t>
  </si>
  <si>
    <t>Montréal : Linguatech, 2007, c2008.</t>
  </si>
  <si>
    <t>2e éd. rev. et augm.</t>
  </si>
  <si>
    <t>34352205:fre</t>
  </si>
  <si>
    <t>153914331</t>
  </si>
  <si>
    <t>ocn153914331</t>
  </si>
  <si>
    <t>3102705671V</t>
  </si>
  <si>
    <t>9782920342521</t>
  </si>
  <si>
    <t>794250531</t>
  </si>
  <si>
    <t>P308 M29 1997</t>
  </si>
  <si>
    <t>0                      P  0308000M  29          1997</t>
  </si>
  <si>
    <t>Machine translation and translation theory / edited by Christa Hauenschild, Susanne Heizmann.</t>
  </si>
  <si>
    <t>Text, translation, computational processing ; 1</t>
  </si>
  <si>
    <t>351574723:eng</t>
  </si>
  <si>
    <t>37115245</t>
  </si>
  <si>
    <t>ocm37115245</t>
  </si>
  <si>
    <t>3102776769S</t>
  </si>
  <si>
    <t>9783110154863</t>
  </si>
  <si>
    <t>793491108</t>
  </si>
  <si>
    <t>P311 C67 2017</t>
  </si>
  <si>
    <t>0                      P  0311000C  67          2017</t>
  </si>
  <si>
    <t>Reconstructing alliterative verse : the pursuit of a medieval meter / Ian Cornelius.</t>
  </si>
  <si>
    <t>Cornelius, Ian, 1980- author.</t>
  </si>
  <si>
    <t>Cambridge, United Kingdom ; New York, NY, USA : Cambridge University Press, 2017.</t>
  </si>
  <si>
    <t>Cambridge studies in medieval literature ; 99</t>
  </si>
  <si>
    <t>4213342514:eng</t>
  </si>
  <si>
    <t>987357452</t>
  </si>
  <si>
    <t>ocn987357452</t>
  </si>
  <si>
    <t>3103738735Y</t>
  </si>
  <si>
    <t>9781107154100</t>
  </si>
  <si>
    <t>795036052</t>
  </si>
  <si>
    <t>P311 F33 2008</t>
  </si>
  <si>
    <t>0                      P  0311000F  33          2008</t>
  </si>
  <si>
    <t>Meter in poetry : a new theory / Nigel Fabb and Morris Halle ; with a chapter on Southern Romance meters by Carlos Piera.</t>
  </si>
  <si>
    <t>Fabb, Nigel.</t>
  </si>
  <si>
    <t>2016-08-03</t>
  </si>
  <si>
    <t>802992126:eng</t>
  </si>
  <si>
    <t>227031752</t>
  </si>
  <si>
    <t>ocn227031752</t>
  </si>
  <si>
    <t>3102975662N</t>
  </si>
  <si>
    <t>9780521885645</t>
  </si>
  <si>
    <t>794346984</t>
  </si>
  <si>
    <t>P311 M465 1995</t>
  </si>
  <si>
    <t>0                      P  0311000M  465         1995</t>
  </si>
  <si>
    <t>Politique du rythme, politique du sujet / Henri Meschonnic.</t>
  </si>
  <si>
    <t>Lagrasse : Verdier, ©1995.</t>
  </si>
  <si>
    <t>557899391:fre</t>
  </si>
  <si>
    <t>37023968</t>
  </si>
  <si>
    <t>ocm37023968</t>
  </si>
  <si>
    <t>3103355534Y</t>
  </si>
  <si>
    <t>9782864322207</t>
  </si>
  <si>
    <t>793490081</t>
  </si>
  <si>
    <t>P311 M47</t>
  </si>
  <si>
    <t>0                      P  0311000M  47</t>
  </si>
  <si>
    <t>Critique du rythme : anthropologie historique du langage / Henri Meschonnic.</t>
  </si>
  <si>
    <t>Lagrasse : Verdier, 1982.</t>
  </si>
  <si>
    <t>806343112:fre</t>
  </si>
  <si>
    <t>10021400</t>
  </si>
  <si>
    <t>ocm10021400</t>
  </si>
  <si>
    <t>3102776836V</t>
  </si>
  <si>
    <t>9782864320166</t>
  </si>
  <si>
    <t>792705264</t>
  </si>
  <si>
    <t>P311 R49 2015</t>
  </si>
  <si>
    <t>0                      P  0311000R  49          2015</t>
  </si>
  <si>
    <t>Rhythm in cognition and grammar : a Germanic perspective / edited by Ralf Vogel and Ruben van de Vijver.</t>
  </si>
  <si>
    <t>Trends in Linguistics. Studies and Monographs, 1861-4302 ; volume 286</t>
  </si>
  <si>
    <t>2464833784:eng</t>
  </si>
  <si>
    <t>904420553</t>
  </si>
  <si>
    <t>ocn904420553</t>
  </si>
  <si>
    <t>3103612148O</t>
  </si>
  <si>
    <t>9783110377927</t>
  </si>
  <si>
    <t>794990407</t>
  </si>
  <si>
    <t>P311 T73 1992</t>
  </si>
  <si>
    <t>0                      P  0311000T  73          1992</t>
  </si>
  <si>
    <t>Toward a theory of cognitive poetics / Reuven Tsur.</t>
  </si>
  <si>
    <t>Tsur, Reuven.</t>
  </si>
  <si>
    <t>Amsterdam ; New York : North-Holland, 1992.</t>
  </si>
  <si>
    <t>North-Holland linguistic series ; 55</t>
  </si>
  <si>
    <t>28579218:eng</t>
  </si>
  <si>
    <t>26400532</t>
  </si>
  <si>
    <t>ocm26400532</t>
  </si>
  <si>
    <t>3102776821X</t>
  </si>
  <si>
    <t>9780444889966</t>
  </si>
  <si>
    <t>793244155</t>
  </si>
  <si>
    <t>P321 E46 2010</t>
  </si>
  <si>
    <t>0                      P  0321000E  46          2010</t>
  </si>
  <si>
    <t>The emergence of protolanguage : holophrasis vs compositionality / edited by Michael A. Arbib and Derek Bickerton.</t>
  </si>
  <si>
    <t>Benjamins current topics ; v. 24</t>
  </si>
  <si>
    <t>2013-05-21</t>
  </si>
  <si>
    <t>796301435:eng</t>
  </si>
  <si>
    <t>643569706</t>
  </si>
  <si>
    <t>ocn643569706</t>
  </si>
  <si>
    <t>3103237845V</t>
  </si>
  <si>
    <t>9789027222541</t>
  </si>
  <si>
    <t>794828887</t>
  </si>
  <si>
    <t>P321 M39 2011</t>
  </si>
  <si>
    <t>0                      P  0321000M  39          2011</t>
  </si>
  <si>
    <t>What language is : and what it isn't and what it could be / John McWhorter.</t>
  </si>
  <si>
    <t>New York : Gotham Books, ©2011.</t>
  </si>
  <si>
    <t>694994756:eng</t>
  </si>
  <si>
    <t>679930821</t>
  </si>
  <si>
    <t>ocn679930821</t>
  </si>
  <si>
    <t>3103363684O</t>
  </si>
  <si>
    <t>9781592406258</t>
  </si>
  <si>
    <t>794850749</t>
  </si>
  <si>
    <t>P321 M66 2005</t>
  </si>
  <si>
    <t>0                      P  0321000M  66          2005</t>
  </si>
  <si>
    <t>In other words : a language lover's guide to the most useful and intriguing word from around the world / C.J. Moore ; foreword by Simon Winchester.</t>
  </si>
  <si>
    <t>Moore, C. J.</t>
  </si>
  <si>
    <t>Oxford : Oxford University Press, 2005.</t>
  </si>
  <si>
    <t>287546889:eng</t>
  </si>
  <si>
    <t>57282423</t>
  </si>
  <si>
    <t>ocm57282423</t>
  </si>
  <si>
    <t>3102488167E</t>
  </si>
  <si>
    <t>9780192806246</t>
  </si>
  <si>
    <t>793910002</t>
  </si>
  <si>
    <t>P323.4 C3 M37 2013</t>
  </si>
  <si>
    <t>0                      P  0323400C  3                  M  37          2013</t>
  </si>
  <si>
    <t>Dictionnaire des onomastismes québécois : les mots issus de nos noms propres / Gabriel Martin.</t>
  </si>
  <si>
    <t>Martin, Gabriel, 1989- author.</t>
  </si>
  <si>
    <t>Sherbrooke (Québec) : Éditions du Fleurdelysé, [2013]</t>
  </si>
  <si>
    <t>Renardeau arctique ; [1]</t>
  </si>
  <si>
    <t>8912004159:fre</t>
  </si>
  <si>
    <t>862094046</t>
  </si>
  <si>
    <t>ocn862094046</t>
  </si>
  <si>
    <t>3103496695Q</t>
  </si>
  <si>
    <t>9782981402509</t>
  </si>
  <si>
    <t>794960010</t>
  </si>
  <si>
    <t>P323.4 S33 C64 2010</t>
  </si>
  <si>
    <t>0                      P  0323400S  33                 C  64          2010</t>
  </si>
  <si>
    <t>A handbook of Scandinavian names / Nancy L. Coleman and Olav Veka.</t>
  </si>
  <si>
    <t>Coleman, Nancy L. (Nancy Louise), 1945-</t>
  </si>
  <si>
    <t>Madison : University of Wisconsin Press, ©2010.</t>
  </si>
  <si>
    <t>2011-05-20</t>
  </si>
  <si>
    <t>459712635:eng</t>
  </si>
  <si>
    <t>589017743</t>
  </si>
  <si>
    <t>ocn589017743</t>
  </si>
  <si>
    <t>3103229038H</t>
  </si>
  <si>
    <t>9780299248345</t>
  </si>
  <si>
    <t>794814669</t>
  </si>
  <si>
    <t>P323.5 O25 2018</t>
  </si>
  <si>
    <t>0                      P  0323500O  25          2018</t>
  </si>
  <si>
    <t>Objects of inquiry in philosophy of language and linguistics / Piotr Stalmaszczyk (ed.).</t>
  </si>
  <si>
    <t>Berlin ; New York : Peter Lang, [2018]</t>
  </si>
  <si>
    <t>Studies in philosophy of language and linguistics ; volume 12</t>
  </si>
  <si>
    <t>8852777293:eng</t>
  </si>
  <si>
    <t>1033898514</t>
  </si>
  <si>
    <t>on1033898514</t>
  </si>
  <si>
    <t>3103811802B</t>
  </si>
  <si>
    <t>9783631748602</t>
  </si>
  <si>
    <t>795057143</t>
  </si>
  <si>
    <t>P323.5 O66 2019</t>
  </si>
  <si>
    <t>0                      P  0323500O  66          2019</t>
  </si>
  <si>
    <t>Onomastics between sacred and profane / edited by Oliviu Felecan.</t>
  </si>
  <si>
    <t>Wilmington, Delaware, United States : Vernon Press, [2019]</t>
  </si>
  <si>
    <t>Series in Language and Linguistics</t>
  </si>
  <si>
    <t>8891422047:eng</t>
  </si>
  <si>
    <t>1052080490</t>
  </si>
  <si>
    <t>on1052080490</t>
  </si>
  <si>
    <t>3103809788J</t>
  </si>
  <si>
    <t>9781622734016</t>
  </si>
  <si>
    <t>795062253</t>
  </si>
  <si>
    <t>P323.8 C87 2010</t>
  </si>
  <si>
    <t>0                      P  0323800C  87          2010</t>
  </si>
  <si>
    <t>Current projects in historical lexicography / edited by John Considine.</t>
  </si>
  <si>
    <t>Newcastle upon Tyne, UK : Cambridge Scholars, 2010.</t>
  </si>
  <si>
    <t>682403395:eng</t>
  </si>
  <si>
    <t>636921421</t>
  </si>
  <si>
    <t>ocn636921421</t>
  </si>
  <si>
    <t>3103134234W</t>
  </si>
  <si>
    <t>9781443821162</t>
  </si>
  <si>
    <t>794826155</t>
  </si>
  <si>
    <t>P324 S67 1987</t>
  </si>
  <si>
    <t>0                      P  0324000S  67          1987</t>
  </si>
  <si>
    <t>Made in America : science, technology, and American modernist poetry / Lisa M. Steinman.</t>
  </si>
  <si>
    <t>Steinman, Lisa Malinowski, 1950-</t>
  </si>
  <si>
    <t>New Haven : Yale University Press, ©1987.</t>
  </si>
  <si>
    <t>836630372:eng</t>
  </si>
  <si>
    <t>123213361</t>
  </si>
  <si>
    <t>ocn123213361</t>
  </si>
  <si>
    <t>3102796663L</t>
  </si>
  <si>
    <t>9780300038101</t>
  </si>
  <si>
    <t>794225118</t>
  </si>
  <si>
    <t>P325 A67 1983</t>
  </si>
  <si>
    <t>0                      P  0325000A  67          1983</t>
  </si>
  <si>
    <t>L'argumentation dans la langue / Jean-Claude Anscombre et Oswald Ducrot.</t>
  </si>
  <si>
    <t>Anscombre, J. C.</t>
  </si>
  <si>
    <t>Bruxelles : P. Mardaga, [1983]</t>
  </si>
  <si>
    <t>365052022:fre</t>
  </si>
  <si>
    <t>10966039</t>
  </si>
  <si>
    <t>ocm10966039</t>
  </si>
  <si>
    <t>3102776945Q</t>
  </si>
  <si>
    <t>9782870091777</t>
  </si>
  <si>
    <t>792751756</t>
  </si>
  <si>
    <t>P325 A774 2011</t>
  </si>
  <si>
    <t>0                      P  0325000A  774         2011</t>
  </si>
  <si>
    <t>Lexical meaning in context : a web of words / Nicholas Asher.</t>
  </si>
  <si>
    <t>2012-08-31</t>
  </si>
  <si>
    <t>812828041:eng</t>
  </si>
  <si>
    <t>681488510</t>
  </si>
  <si>
    <t>ocn681488510</t>
  </si>
  <si>
    <t>3103234280G</t>
  </si>
  <si>
    <t>9781107005396</t>
  </si>
  <si>
    <t>794851492</t>
  </si>
  <si>
    <t>P325 A78 2014</t>
  </si>
  <si>
    <t>0                      P  0325000A  78          2014</t>
  </si>
  <si>
    <t>The art and craft of semantics : a festschrift for Irene Heim / eds. Luka Crnič and Uli Sauerland.</t>
  </si>
  <si>
    <t>Cambridge, MA : MIT Working Papers in Linguistics, [2014]</t>
  </si>
  <si>
    <t>MIT working papers in linguistics ; 70-71</t>
  </si>
  <si>
    <t>2506950736:eng</t>
  </si>
  <si>
    <t>913768873</t>
  </si>
  <si>
    <t>ocn913768873</t>
  </si>
  <si>
    <t>31036076304</t>
  </si>
  <si>
    <t>9781502857477</t>
  </si>
  <si>
    <t>794999599</t>
  </si>
  <si>
    <t>3103607625Y</t>
  </si>
  <si>
    <t>794999598</t>
  </si>
  <si>
    <t>P325 B365 2012</t>
  </si>
  <si>
    <t>0                      P  0325000B  365         2012</t>
  </si>
  <si>
    <t>Future of post-human semantics : a preface to a new theory of internality and externality / by Peter Baofu.</t>
  </si>
  <si>
    <t>Baofu, Peter.</t>
  </si>
  <si>
    <t>1076210997:eng</t>
  </si>
  <si>
    <t>774499220</t>
  </si>
  <si>
    <t>ocn774499220</t>
  </si>
  <si>
    <t>31034091696</t>
  </si>
  <si>
    <t>9781443836487</t>
  </si>
  <si>
    <t>794906624</t>
  </si>
  <si>
    <t>P325 B67 2004</t>
  </si>
  <si>
    <t>0                      P  0325000B  67          2004</t>
  </si>
  <si>
    <t>Minimal semantics / Emma Borg.</t>
  </si>
  <si>
    <t>2016-10-01</t>
  </si>
  <si>
    <t>892499:eng</t>
  </si>
  <si>
    <t>56436151</t>
  </si>
  <si>
    <t>ocm56436151</t>
  </si>
  <si>
    <t>3102776909Y</t>
  </si>
  <si>
    <t>9780199270255</t>
  </si>
  <si>
    <t>793893269</t>
  </si>
  <si>
    <t>P325 B89 2010</t>
  </si>
  <si>
    <t>0                      P  0325000B  89          2010</t>
  </si>
  <si>
    <t>The semantics of grammatical dependencies / by Alastair Butler.</t>
  </si>
  <si>
    <t>Butler, Alastair, 1975-</t>
  </si>
  <si>
    <t>Bingley : Emerald, 2010.</t>
  </si>
  <si>
    <t>Current research in the semantics/pragmatics interface, 1472-7870 ; v. 23</t>
  </si>
  <si>
    <t>3374184370:eng</t>
  </si>
  <si>
    <t>620150006</t>
  </si>
  <si>
    <t>ocn620150006</t>
  </si>
  <si>
    <t>3103229749V</t>
  </si>
  <si>
    <t>9781849509886</t>
  </si>
  <si>
    <t>794823543</t>
  </si>
  <si>
    <t>P325 C275 2011</t>
  </si>
  <si>
    <t>0                      P  0325000C  275         2011</t>
  </si>
  <si>
    <t>La fundación de la semántica : los espines léxicos como un universal del lenguaje / Julio Calvo Pérez.</t>
  </si>
  <si>
    <t>Calvo-Pérez, J. (Julio)</t>
  </si>
  <si>
    <t>Lingüística iberoamericana ; vol. 44</t>
  </si>
  <si>
    <t>909080543:spa</t>
  </si>
  <si>
    <t>730398293</t>
  </si>
  <si>
    <t>ocn730398293</t>
  </si>
  <si>
    <t>3103423348I</t>
  </si>
  <si>
    <t>9788484895824</t>
  </si>
  <si>
    <t>794880001</t>
  </si>
  <si>
    <t>P325 C28 1993</t>
  </si>
  <si>
    <t>0                      P  0325000C  28          1993</t>
  </si>
  <si>
    <t>Formal semantics : an introduction / Ronnie Cann.</t>
  </si>
  <si>
    <t>Cambridge ; New York, NY, USA : Cambridge University Press, 1993.</t>
  </si>
  <si>
    <t>326730119:eng</t>
  </si>
  <si>
    <t>25628732</t>
  </si>
  <si>
    <t>ocm25628732</t>
  </si>
  <si>
    <t>31027399211</t>
  </si>
  <si>
    <t>9780521374637</t>
  </si>
  <si>
    <t>793226120</t>
  </si>
  <si>
    <t>P325 C284 2009</t>
  </si>
  <si>
    <t>0                      P  0325000C  284         2009</t>
  </si>
  <si>
    <t>Semantics : an introduction to meaning in language / Ronnie Cann, Ruth Kempson, Eleni Gregoromichelaki.</t>
  </si>
  <si>
    <t>2017-05-07</t>
  </si>
  <si>
    <t>867266806:eng</t>
  </si>
  <si>
    <t>305158171</t>
  </si>
  <si>
    <t>ocn305158171</t>
  </si>
  <si>
    <t>3102857961M</t>
  </si>
  <si>
    <t>9780521819626</t>
  </si>
  <si>
    <t>794434236</t>
  </si>
  <si>
    <t>P325 C285 2005</t>
  </si>
  <si>
    <t>0                      P  0325000C  285         2005</t>
  </si>
  <si>
    <t>Insensitive semantics : a defense of semantic minimalism and speech act pluralism / Herman Cappelen and Ernie Lepore.</t>
  </si>
  <si>
    <t>Cappelen, Herman.</t>
  </si>
  <si>
    <t>801692193:eng</t>
  </si>
  <si>
    <t>55887417</t>
  </si>
  <si>
    <t>ocm55887417</t>
  </si>
  <si>
    <t>3102480832V</t>
  </si>
  <si>
    <t>9781405126748</t>
  </si>
  <si>
    <t>793883717</t>
  </si>
  <si>
    <t>P325 C324 1997</t>
  </si>
  <si>
    <t>0                      P  0325000C  324         1997</t>
  </si>
  <si>
    <t>Type-logical semantics / Bob Carpenter.</t>
  </si>
  <si>
    <t>Carpenter, Bob.</t>
  </si>
  <si>
    <t>9658291226:eng</t>
  </si>
  <si>
    <t>36343226</t>
  </si>
  <si>
    <t>ocm36343226</t>
  </si>
  <si>
    <t>3102740973M</t>
  </si>
  <si>
    <t>9780262032483</t>
  </si>
  <si>
    <t>793473123</t>
  </si>
  <si>
    <t>3103453554W</t>
  </si>
  <si>
    <t>793473122</t>
  </si>
  <si>
    <t>P325 C564 2010</t>
  </si>
  <si>
    <t>0                      P  0325000C  564         2010</t>
  </si>
  <si>
    <t>Conflicts in interpretation / Petra Hendriks [and others].</t>
  </si>
  <si>
    <t>176283118:eng</t>
  </si>
  <si>
    <t>294998506</t>
  </si>
  <si>
    <t>ocn294998506</t>
  </si>
  <si>
    <t>31031331196</t>
  </si>
  <si>
    <t>9781845534370</t>
  </si>
  <si>
    <t>794425313</t>
  </si>
  <si>
    <t>P325 C568 2002</t>
  </si>
  <si>
    <t>0                      P  0325000C  568         2002</t>
  </si>
  <si>
    <t>The construction of meaning / edited by David I. Beaver [and others].</t>
  </si>
  <si>
    <t>2017-05-02</t>
  </si>
  <si>
    <t>56794247:eng</t>
  </si>
  <si>
    <t>49249973</t>
  </si>
  <si>
    <t>ocm49249973</t>
  </si>
  <si>
    <t>3102776927U</t>
  </si>
  <si>
    <t>9781575863757</t>
  </si>
  <si>
    <t>793735919</t>
  </si>
  <si>
    <t>P325 C76 2008</t>
  </si>
  <si>
    <t>0                      P  0325000C  76          2008</t>
  </si>
  <si>
    <t>Cross-linguistic semantics / edited by Cliff Goddard.</t>
  </si>
  <si>
    <t>Studies in language companion series, 0165-7763 ; v. 102</t>
  </si>
  <si>
    <t>2015-10-03</t>
  </si>
  <si>
    <t>1044578757:eng</t>
  </si>
  <si>
    <t>192134491</t>
  </si>
  <si>
    <t>ocn192134491</t>
  </si>
  <si>
    <t>3102883144E</t>
  </si>
  <si>
    <t>9789027205698</t>
  </si>
  <si>
    <t>794303671</t>
  </si>
  <si>
    <t>P325 C784 2011</t>
  </si>
  <si>
    <t>0                      P  0325000C  784         2011</t>
  </si>
  <si>
    <t>Meaning in language : an introduction to semantics and pragmatics / Alan Cruse.</t>
  </si>
  <si>
    <t>Cruse, D. A.</t>
  </si>
  <si>
    <t>Oxford : Oxford University Press, 2011.</t>
  </si>
  <si>
    <t>793712279:eng</t>
  </si>
  <si>
    <t>646393900</t>
  </si>
  <si>
    <t>ocn646393900</t>
  </si>
  <si>
    <t>3103324146Q</t>
  </si>
  <si>
    <t>9780199559466</t>
  </si>
  <si>
    <t>794830367</t>
  </si>
  <si>
    <t>P325 D45 2012</t>
  </si>
  <si>
    <t>0                      P  0325000D  45          2012</t>
  </si>
  <si>
    <t>Dynamic semantics / Paul J.E. Dekker.</t>
  </si>
  <si>
    <t>Dekker, Paul Jacques Edgar.</t>
  </si>
  <si>
    <t>Dordrecht ; New York : Springer, ©2012.</t>
  </si>
  <si>
    <t>Studies in linguistics and philosophy, 0924-4662 ; v.91</t>
  </si>
  <si>
    <t>1124605236:eng</t>
  </si>
  <si>
    <t>794709717</t>
  </si>
  <si>
    <t>ocn794709717</t>
  </si>
  <si>
    <t>3103448632I</t>
  </si>
  <si>
    <t>9789400748682</t>
  </si>
  <si>
    <t>794920408</t>
  </si>
  <si>
    <t>P325 E18 2010</t>
  </si>
  <si>
    <t>0                      P  0325000E  18          2010</t>
  </si>
  <si>
    <t>Literary semantics / Trevor Eaton.</t>
  </si>
  <si>
    <t>Eaton, Trevor.</t>
  </si>
  <si>
    <t>Ely : Melrose, ©2010.</t>
  </si>
  <si>
    <t>485260622:eng</t>
  </si>
  <si>
    <t>619552000</t>
  </si>
  <si>
    <t>ocn619552000</t>
  </si>
  <si>
    <t>3103133437U</t>
  </si>
  <si>
    <t>9781907040061</t>
  </si>
  <si>
    <t>794823318</t>
  </si>
  <si>
    <t>P325 E43 2011</t>
  </si>
  <si>
    <t>0                      P  0325000E  43          2011</t>
  </si>
  <si>
    <t>Meaning : a slim guide to semantics / Paul Elbourne.</t>
  </si>
  <si>
    <t>Elbourne, Paul D.</t>
  </si>
  <si>
    <t>Boston, MA ; New York, NY : Oxford University Press, ©2011.</t>
  </si>
  <si>
    <t>1016334957:eng</t>
  </si>
  <si>
    <t>713186713</t>
  </si>
  <si>
    <t>ocn713186713</t>
  </si>
  <si>
    <t>3103381750P</t>
  </si>
  <si>
    <t>9780199585830</t>
  </si>
  <si>
    <t>794872711</t>
  </si>
  <si>
    <t>P325 E8</t>
  </si>
  <si>
    <t>0                      P  0325000E  8</t>
  </si>
  <si>
    <t>Essays in semiotics. Essais de sémiotique. Ed. by, recueil sous la direction de Julia Kristeva, Josette Rey-Debove et Donna Jean Umiker.</t>
  </si>
  <si>
    <t>Approaches to semiotics, v. 4</t>
  </si>
  <si>
    <t>354011585:eng</t>
  </si>
  <si>
    <t>155730</t>
  </si>
  <si>
    <t>ocm00155730</t>
  </si>
  <si>
    <t>3102776950O</t>
  </si>
  <si>
    <t>9789027916020</t>
  </si>
  <si>
    <t>791274753</t>
  </si>
  <si>
    <t>2005-01-22</t>
  </si>
  <si>
    <t>3102782549C</t>
  </si>
  <si>
    <t>791274752</t>
  </si>
  <si>
    <t>P325 E97 2010</t>
  </si>
  <si>
    <t>0                      P  0325000E  97          2010</t>
  </si>
  <si>
    <t>Event representation in language and cognition / edited by Jürgen Bohnemeyer and Eric Pederson.</t>
  </si>
  <si>
    <t>Language, culture, and cognition</t>
  </si>
  <si>
    <t>897746814:eng</t>
  </si>
  <si>
    <t>567162714</t>
  </si>
  <si>
    <t>ocn567162714</t>
  </si>
  <si>
    <t>3103232382L</t>
  </si>
  <si>
    <t>9780521898348</t>
  </si>
  <si>
    <t>794813234</t>
  </si>
  <si>
    <t>P325 F37 1994</t>
  </si>
  <si>
    <t>0                      P  0325000F  37          1994</t>
  </si>
  <si>
    <t>29909824</t>
  </si>
  <si>
    <t>ocm29909824</t>
  </si>
  <si>
    <t>3102711163M</t>
  </si>
  <si>
    <t>9780521444996</t>
  </si>
  <si>
    <t>793323567</t>
  </si>
  <si>
    <t>P325 F38 2010</t>
  </si>
  <si>
    <t>0                      P  0325000F  38          2010</t>
  </si>
  <si>
    <t>Lexical meaning in dialogic language use / Sebastian Feller.</t>
  </si>
  <si>
    <t>Feller, Sebastian.</t>
  </si>
  <si>
    <t>Dialogue studies ; v. 9</t>
  </si>
  <si>
    <t>575838185:eng</t>
  </si>
  <si>
    <t>657080703</t>
  </si>
  <si>
    <t>ocn657080703</t>
  </si>
  <si>
    <t>3103323242R</t>
  </si>
  <si>
    <t>9789027210265</t>
  </si>
  <si>
    <t>794835268</t>
  </si>
  <si>
    <t>P325 F47 2011</t>
  </si>
  <si>
    <t>0                      P  0325000F  47          2011</t>
  </si>
  <si>
    <t>On meaning : individuation and identity--the definition of a world view / Maria Isabel Aldinhas Ferreira.</t>
  </si>
  <si>
    <t>Ferreira, M. I. (Maria Isabel)</t>
  </si>
  <si>
    <t>1046152571:eng</t>
  </si>
  <si>
    <t>727106306</t>
  </si>
  <si>
    <t>ocn727106306</t>
  </si>
  <si>
    <t>3103343025R</t>
  </si>
  <si>
    <t>9781443829250</t>
  </si>
  <si>
    <t>794877746</t>
  </si>
  <si>
    <t>P325 F66 1992</t>
  </si>
  <si>
    <t>0                      P  0325000F  66          1992</t>
  </si>
  <si>
    <t>Frames, fields, and contrasts : new essays in semantic and lexical organization / edited by Adrienne Lehrer, Eva Feder Kittay.</t>
  </si>
  <si>
    <t>Hillsdale, N.J. : L. Erlbaum Associates, 1992.</t>
  </si>
  <si>
    <t>806718972:eng</t>
  </si>
  <si>
    <t>25676563</t>
  </si>
  <si>
    <t>ocm25676563</t>
  </si>
  <si>
    <t>3102776954O</t>
  </si>
  <si>
    <t>9780805810882</t>
  </si>
  <si>
    <t>793227674</t>
  </si>
  <si>
    <t>P325 F676 2014</t>
  </si>
  <si>
    <t>0                      P  0325000F  676         2014</t>
  </si>
  <si>
    <t>Formal approaches to semantics and pragmatics : Japanese and beyond / Eric McCready, Katsuhiko Yabushita, Kei Yoshimoto, editors.</t>
  </si>
  <si>
    <t>Dordrecht, The Netherlands : Springer, [2014]</t>
  </si>
  <si>
    <t>Studies in linguistics and philosophy ; 95</t>
  </si>
  <si>
    <t>2069305744:eng</t>
  </si>
  <si>
    <t>869266949</t>
  </si>
  <si>
    <t>ocn869266949</t>
  </si>
  <si>
    <t>3103584686Z</t>
  </si>
  <si>
    <t>9789401788120</t>
  </si>
  <si>
    <t>794965291</t>
  </si>
  <si>
    <t>P325 F75 2013</t>
  </si>
  <si>
    <t>0                      P  0325000F  75          2013</t>
  </si>
  <si>
    <t>From grammar to meaning : the spontaneous logicality of language / edited by Ivano Caponigro, University of California, San Diego, Carlo Cecchetto, University of Milan-Bicocca.</t>
  </si>
  <si>
    <t>2013-11-04</t>
  </si>
  <si>
    <t>1205173611:eng</t>
  </si>
  <si>
    <t>826123075</t>
  </si>
  <si>
    <t>ocn826123075</t>
  </si>
  <si>
    <t>31035043998</t>
  </si>
  <si>
    <t>9781107033108</t>
  </si>
  <si>
    <t>794938981</t>
  </si>
  <si>
    <t>P325 G55 2019</t>
  </si>
  <si>
    <t>0                      P  0325000G  55          2019</t>
  </si>
  <si>
    <t>Natural language semantics : formation and valuation / Brendan S. Gillon.</t>
  </si>
  <si>
    <t>Gillon, Brendan S., author.</t>
  </si>
  <si>
    <t>Cambridge, Massachusetts : The MIT Press, [2019]</t>
  </si>
  <si>
    <t>2019-12-12</t>
  </si>
  <si>
    <t>9088845540:eng</t>
  </si>
  <si>
    <t>1050457335</t>
  </si>
  <si>
    <t>on1050457335</t>
  </si>
  <si>
    <t>3103903498E</t>
  </si>
  <si>
    <t>9780262039208</t>
  </si>
  <si>
    <t>795061542</t>
  </si>
  <si>
    <t>3103880173G</t>
  </si>
  <si>
    <t>795061543</t>
  </si>
  <si>
    <t>P325 G65 2011</t>
  </si>
  <si>
    <t>0                      P  0325000G  65          2011</t>
  </si>
  <si>
    <t>Semantic analysis : a practical introduction / Cliff Goddard.</t>
  </si>
  <si>
    <t>Goddard, Cliff.</t>
  </si>
  <si>
    <t>808308408:eng</t>
  </si>
  <si>
    <t>755909795</t>
  </si>
  <si>
    <t>ocn755909795</t>
  </si>
  <si>
    <t>31033428207</t>
  </si>
  <si>
    <t>9780199560288</t>
  </si>
  <si>
    <t>794894086</t>
  </si>
  <si>
    <t>P325 G7</t>
  </si>
  <si>
    <t>0                      P  0325000G  7</t>
  </si>
  <si>
    <t>Sémantique structurale : recherche de méthode / par A.-J. Greimas.</t>
  </si>
  <si>
    <t>Paris: Larousse, 1966.</t>
  </si>
  <si>
    <t>2014-04-03</t>
  </si>
  <si>
    <t>4663631258:fre</t>
  </si>
  <si>
    <t>254618</t>
  </si>
  <si>
    <t>ocm00254618</t>
  </si>
  <si>
    <t>3102776967M</t>
  </si>
  <si>
    <t>9782030703144</t>
  </si>
  <si>
    <t>791311136</t>
  </si>
  <si>
    <t>3000993134W</t>
  </si>
  <si>
    <t>791311137</t>
  </si>
  <si>
    <t>2016-03-05</t>
  </si>
  <si>
    <t>3102776972K</t>
  </si>
  <si>
    <t>791311138</t>
  </si>
  <si>
    <t>P325 G88 2015</t>
  </si>
  <si>
    <t>0                      P  0325000G  88          2015</t>
  </si>
  <si>
    <t>Use-conditional meaning : studies in multidimensional semantics / Daniel Gutzmann.</t>
  </si>
  <si>
    <t>Gutzmann, Daniel, author.</t>
  </si>
  <si>
    <t>Oxford studies in semantics and pragmatics ; 6</t>
  </si>
  <si>
    <t>2214709339:eng</t>
  </si>
  <si>
    <t>894201804</t>
  </si>
  <si>
    <t>ocn894201804</t>
  </si>
  <si>
    <t>3103583891V</t>
  </si>
  <si>
    <t>9780198723820</t>
  </si>
  <si>
    <t>794982484</t>
  </si>
  <si>
    <t>P325 H25 2014</t>
  </si>
  <si>
    <t>0                      P  0325000H  25          2014</t>
  </si>
  <si>
    <t>Text linguistics : the how and why of meaning / M.A.K. Halliday and Jonathan J. Webster.</t>
  </si>
  <si>
    <t>3578884299:eng</t>
  </si>
  <si>
    <t>875771226</t>
  </si>
  <si>
    <t>ocn875771226</t>
  </si>
  <si>
    <t>3103580680E</t>
  </si>
  <si>
    <t>9781904768470</t>
  </si>
  <si>
    <t>794969644</t>
  </si>
  <si>
    <t>P325 H28 1996</t>
  </si>
  <si>
    <t>0                      P  0325000H  28          1996</t>
  </si>
  <si>
    <t>The handbook of contemporary semantic theory / edited by Shalom Lappin.</t>
  </si>
  <si>
    <t>Oxford, OX, UK ; Cambridge, Mass., USA : Blackwell Reference, 1996.</t>
  </si>
  <si>
    <t>[Blackwell handbooks in linguistics]</t>
  </si>
  <si>
    <t>4929636297:eng</t>
  </si>
  <si>
    <t>32625784</t>
  </si>
  <si>
    <t>ocm32625784</t>
  </si>
  <si>
    <t>3101511431K</t>
  </si>
  <si>
    <t>9780631187523</t>
  </si>
  <si>
    <t>793390316</t>
  </si>
  <si>
    <t>P325 H79 2007</t>
  </si>
  <si>
    <t>0                      P  0325000H  79          2007</t>
  </si>
  <si>
    <t>The origins of meaning / James R. Hurford.</t>
  </si>
  <si>
    <t>Language in the light of evolution ; 1</t>
  </si>
  <si>
    <t>10141277175:eng</t>
  </si>
  <si>
    <t>123079229</t>
  </si>
  <si>
    <t>ocn123079229</t>
  </si>
  <si>
    <t>3102572728R</t>
  </si>
  <si>
    <t>9780199207855</t>
  </si>
  <si>
    <t>794222452</t>
  </si>
  <si>
    <t>P325 J29 1983</t>
  </si>
  <si>
    <t>0                      P  0325000J  29          1983</t>
  </si>
  <si>
    <t>Semantics and cognition / Ray Jackendoff.</t>
  </si>
  <si>
    <t>Cambridge, Massachusetts : MIT Press, [1983]</t>
  </si>
  <si>
    <t>Current studies in linguistics series ; 8</t>
  </si>
  <si>
    <t>42889405:eng</t>
  </si>
  <si>
    <t>9323017</t>
  </si>
  <si>
    <t>ocm09323017</t>
  </si>
  <si>
    <t>3102777021G</t>
  </si>
  <si>
    <t>9780262100274</t>
  </si>
  <si>
    <t>792669915</t>
  </si>
  <si>
    <t>P325 J3</t>
  </si>
  <si>
    <t>0                      P  0325000J  3</t>
  </si>
  <si>
    <t>Semantic interpretation in generative grammar / Ray S. Jackendoff.</t>
  </si>
  <si>
    <t>Cambridge, Mass. : MIT Press, [1972]</t>
  </si>
  <si>
    <t>Studies in linguistics series ; 2</t>
  </si>
  <si>
    <t>1408465:eng</t>
  </si>
  <si>
    <t>323868</t>
  </si>
  <si>
    <t>ocm00323868</t>
  </si>
  <si>
    <t>3102777011I</t>
  </si>
  <si>
    <t>9780262100137</t>
  </si>
  <si>
    <t>791337056</t>
  </si>
  <si>
    <t>3102777016I</t>
  </si>
  <si>
    <t>791337055</t>
  </si>
  <si>
    <t>P325 J3373 2002</t>
  </si>
  <si>
    <t>0                      P  0325000J  3373        2002</t>
  </si>
  <si>
    <t>Semantics and pragmatics : meaning in language and discourse / K.M. Jaszczolt.</t>
  </si>
  <si>
    <t>Harlow : Longman, 2002.</t>
  </si>
  <si>
    <t>328685839:eng</t>
  </si>
  <si>
    <t>48570419</t>
  </si>
  <si>
    <t>ocm48570419</t>
  </si>
  <si>
    <t>3102711162M</t>
  </si>
  <si>
    <t>9780582418905</t>
  </si>
  <si>
    <t>793724107</t>
  </si>
  <si>
    <t>P325 K37 2011</t>
  </si>
  <si>
    <t>0                      P  0325000K  37          2011</t>
  </si>
  <si>
    <t>Semantics / Kate Kearns.</t>
  </si>
  <si>
    <t>Kearns, Kate, author.</t>
  </si>
  <si>
    <t>2016-06-10</t>
  </si>
  <si>
    <t>4928462915:eng</t>
  </si>
  <si>
    <t>704908411</t>
  </si>
  <si>
    <t>ocn704908411</t>
  </si>
  <si>
    <t>3103235362D</t>
  </si>
  <si>
    <t>9780230232297</t>
  </si>
  <si>
    <t>794865950</t>
  </si>
  <si>
    <t>P325 K37 2015</t>
  </si>
  <si>
    <t>0                      P  0325000K  37          2015</t>
  </si>
  <si>
    <t>Instruction grammar : from perception via grammar to action / Simon Kasper.</t>
  </si>
  <si>
    <t>Kasper, Simon, author.</t>
  </si>
  <si>
    <t>Trends in linguistics. Studies and monographs, 1861-4302 ; volume 293</t>
  </si>
  <si>
    <t>2609035311:eng</t>
  </si>
  <si>
    <t>913722479</t>
  </si>
  <si>
    <t>ocn913722479</t>
  </si>
  <si>
    <t>3103654616K</t>
  </si>
  <si>
    <t>9783110438970</t>
  </si>
  <si>
    <t>794999551</t>
  </si>
  <si>
    <t>P325 K37x</t>
  </si>
  <si>
    <t>0                      P  0325000K  37x</t>
  </si>
  <si>
    <t>Semantic theory / Jerrold J. Katz.</t>
  </si>
  <si>
    <t>New York : Harper &amp; Row, [1972]</t>
  </si>
  <si>
    <t>1488673:eng</t>
  </si>
  <si>
    <t>380538</t>
  </si>
  <si>
    <t>ocm00380538</t>
  </si>
  <si>
    <t>3102777020G</t>
  </si>
  <si>
    <t>9780060435677</t>
  </si>
  <si>
    <t>791358657</t>
  </si>
  <si>
    <t>P325 L294 1991</t>
  </si>
  <si>
    <t>0                      P  0325000L  294         1991</t>
  </si>
  <si>
    <t>Structures for semantics / Fred Landman.</t>
  </si>
  <si>
    <t>Dordrecht, The Netherlands ; Boston : Kluwer Academic Publishers, ©1991.</t>
  </si>
  <si>
    <t>Studies in linguistics and philosophy ; v. 45</t>
  </si>
  <si>
    <t>24926389:eng</t>
  </si>
  <si>
    <t>23462322</t>
  </si>
  <si>
    <t>ocm23462322</t>
  </si>
  <si>
    <t>3102777018I</t>
  </si>
  <si>
    <t>9780792312390</t>
  </si>
  <si>
    <t>793171897</t>
  </si>
  <si>
    <t>P325 L298 1995</t>
  </si>
  <si>
    <t>0                      P  0325000L  298         1995</t>
  </si>
  <si>
    <t>Knowledge of meaning : an introduction to semantic theory / Richard Larson and Gabriel Segal.</t>
  </si>
  <si>
    <t>799376622:eng</t>
  </si>
  <si>
    <t>31970869</t>
  </si>
  <si>
    <t>ocm31970869</t>
  </si>
  <si>
    <t>3101441963D</t>
  </si>
  <si>
    <t>9780262121934</t>
  </si>
  <si>
    <t>793372481</t>
  </si>
  <si>
    <t>2010-01-10</t>
  </si>
  <si>
    <t>3101572043P</t>
  </si>
  <si>
    <t>793372482</t>
  </si>
  <si>
    <t>P325 L368 2009</t>
  </si>
  <si>
    <t>0                      P  0325000L  368         2009</t>
  </si>
  <si>
    <t>Wine &amp; conversation / Adrienne Lehrer.</t>
  </si>
  <si>
    <t>Lehrer, Adrienne.</t>
  </si>
  <si>
    <t>42824899:eng</t>
  </si>
  <si>
    <t>228676633</t>
  </si>
  <si>
    <t>ocn228676633</t>
  </si>
  <si>
    <t>3103083868U</t>
  </si>
  <si>
    <t>9780195307948</t>
  </si>
  <si>
    <t>794350660</t>
  </si>
  <si>
    <t>P325 L482 2010</t>
  </si>
  <si>
    <t>0                      P  0325000L  482         2010</t>
  </si>
  <si>
    <t>Lexical-semantic relations : theoretical and practical perspectives / edited by Petra Storjohann.</t>
  </si>
  <si>
    <t>Linguisticae investigationes. Supplementa, 0165-7569 ; v. 28</t>
  </si>
  <si>
    <t>888400665:eng</t>
  </si>
  <si>
    <t>548569642</t>
  </si>
  <si>
    <t>ocn548569642</t>
  </si>
  <si>
    <t>3103229731X</t>
  </si>
  <si>
    <t>9789027231383</t>
  </si>
  <si>
    <t>794811022</t>
  </si>
  <si>
    <t>P325 L754 1999</t>
  </si>
  <si>
    <t>0                      P  0325000L  754         1999</t>
  </si>
  <si>
    <t>Semantics, tense, and time : an essay in the metaphysics of natural language / Peter Ludlow.</t>
  </si>
  <si>
    <t>797042569:eng</t>
  </si>
  <si>
    <t>40753335</t>
  </si>
  <si>
    <t>ocm40753335</t>
  </si>
  <si>
    <t>3102776992G</t>
  </si>
  <si>
    <t>9780262122191</t>
  </si>
  <si>
    <t>793574909</t>
  </si>
  <si>
    <t>P325 L9595 1995</t>
  </si>
  <si>
    <t>0                      P  0325000L  9595        1995</t>
  </si>
  <si>
    <t>Linguistic semantics : an introduction / John Lyons.</t>
  </si>
  <si>
    <t>Lyons, John, 1932-</t>
  </si>
  <si>
    <t>4924751260:eng</t>
  </si>
  <si>
    <t>31865577</t>
  </si>
  <si>
    <t>ocm31865577</t>
  </si>
  <si>
    <t>31027770766</t>
  </si>
  <si>
    <t>9780521433020</t>
  </si>
  <si>
    <t>793369786</t>
  </si>
  <si>
    <t>P325 M255 2011</t>
  </si>
  <si>
    <t>0                      P  0325000M  255         2011</t>
  </si>
  <si>
    <t>Making semantics pragmatic / edited by Ken Turner.</t>
  </si>
  <si>
    <t>Bingley : Emerald Group Publishing, 2011.</t>
  </si>
  <si>
    <t>Current research in the semantics/pragmatics interface ; v. 24</t>
  </si>
  <si>
    <t>2012-03-07</t>
  </si>
  <si>
    <t>999711219:eng</t>
  </si>
  <si>
    <t>706029526</t>
  </si>
  <si>
    <t>ocn706029526</t>
  </si>
  <si>
    <t>31033626125</t>
  </si>
  <si>
    <t>9780857249098</t>
  </si>
  <si>
    <t>794866672</t>
  </si>
  <si>
    <t>P325 M26 1983</t>
  </si>
  <si>
    <t>0                      P  0325000M  26          1983</t>
  </si>
  <si>
    <t>Sémantique de la polémique : discours religieux et ruptures idéologiques au XVIIe siècle / Dominique Maingueneau.</t>
  </si>
  <si>
    <t>Lausanne, Suisse : L'Age d'homme, ©1983.</t>
  </si>
  <si>
    <t>Collection Cheminements</t>
  </si>
  <si>
    <t>235318937:fre</t>
  </si>
  <si>
    <t>10964643</t>
  </si>
  <si>
    <t>ocm10964643</t>
  </si>
  <si>
    <t>3102777051A</t>
  </si>
  <si>
    <t>792751726</t>
  </si>
  <si>
    <t>P325 M38 1988</t>
  </si>
  <si>
    <t>0                      P  0325000M  38          1988</t>
  </si>
  <si>
    <t>Meaning and mental representations / edited by Umberto Eco, Marco Santambrogio, Patrizia Violi.</t>
  </si>
  <si>
    <t>Bloomington : Indiana University Press, ©1988.</t>
  </si>
  <si>
    <t>350324391:eng</t>
  </si>
  <si>
    <t>17878425</t>
  </si>
  <si>
    <t>ocm17878425</t>
  </si>
  <si>
    <t>31027770658</t>
  </si>
  <si>
    <t>9780253337245</t>
  </si>
  <si>
    <t>793006649</t>
  </si>
  <si>
    <t>P325 M385 2013</t>
  </si>
  <si>
    <t>0                      P  0325000M  385         2013</t>
  </si>
  <si>
    <t>Meaning and the dynamics of interpretation : selected papers of Hans Kamp / edited by Klaus von Heusinger, Alice ter Meulen.</t>
  </si>
  <si>
    <t>Leiden ; Boston : Brill, 2013.</t>
  </si>
  <si>
    <t>Current research in the semantics/pragmatics interface ; volume 29</t>
  </si>
  <si>
    <t>1367711345:eng</t>
  </si>
  <si>
    <t>852826549</t>
  </si>
  <si>
    <t>ocn852826549</t>
  </si>
  <si>
    <t>3103584198B</t>
  </si>
  <si>
    <t>9789004251915</t>
  </si>
  <si>
    <t>794951673</t>
  </si>
  <si>
    <t>P325 M393 2002</t>
  </si>
  <si>
    <t>0                      P  0325000M  393         2002</t>
  </si>
  <si>
    <t>Meaning and universal grammar : theory and empirical findings / edited by Cliff Goddard, Anna Wierzbicka.</t>
  </si>
  <si>
    <t>Amsterdam ; Philadelphia, Pa : J. Benjamins Pub., ©2002.</t>
  </si>
  <si>
    <t>Studies in language companion series, 0165-7763 ; v. 60-61</t>
  </si>
  <si>
    <t>10177462076:eng</t>
  </si>
  <si>
    <t>49576356</t>
  </si>
  <si>
    <t>ocm49576356</t>
  </si>
  <si>
    <t>3102777055A</t>
  </si>
  <si>
    <t>9781588112644</t>
  </si>
  <si>
    <t>793743309</t>
  </si>
  <si>
    <t>31027770608</t>
  </si>
  <si>
    <t>793743310</t>
  </si>
  <si>
    <t>P325 M395 2008</t>
  </si>
  <si>
    <t>0                      P  0325000M  395         2008</t>
  </si>
  <si>
    <t>Meaning in context : implementing intelligent applications of language studies / edited by Jonathan J. Webster.</t>
  </si>
  <si>
    <t>1030223375:eng</t>
  </si>
  <si>
    <t>428630367</t>
  </si>
  <si>
    <t>ocn428630367</t>
  </si>
  <si>
    <t>3102971605E</t>
  </si>
  <si>
    <t>9780826497352</t>
  </si>
  <si>
    <t>794778653</t>
  </si>
  <si>
    <t>P325 M58 2017</t>
  </si>
  <si>
    <t>0                      P  0325000M  58          2017</t>
  </si>
  <si>
    <t>Modern perspectives in type-theoretical semantics / Stergios Chatzikyriakidis, Zhaohui Luo, editors.</t>
  </si>
  <si>
    <t>Studies in Linguistics and Philosophy ; Volume 98</t>
  </si>
  <si>
    <t>4065232319:eng</t>
  </si>
  <si>
    <t>962127424</t>
  </si>
  <si>
    <t>ocn962127424</t>
  </si>
  <si>
    <t>3103705142K</t>
  </si>
  <si>
    <t>9783319504209</t>
  </si>
  <si>
    <t>795024175</t>
  </si>
  <si>
    <t>P325 M59 1997</t>
  </si>
  <si>
    <t>0                      P  0325000M  59          1997</t>
  </si>
  <si>
    <t>Parts and wholes in semantics / Friederike Moltmann.</t>
  </si>
  <si>
    <t>Moltmann, Friederike.</t>
  </si>
  <si>
    <t>987142:eng</t>
  </si>
  <si>
    <t>35068097</t>
  </si>
  <si>
    <t>ocm35068097</t>
  </si>
  <si>
    <t>31027770796</t>
  </si>
  <si>
    <t>9780195095746</t>
  </si>
  <si>
    <t>793443033</t>
  </si>
  <si>
    <t>P325 M824 2010</t>
  </si>
  <si>
    <t>0                      P  0325000M  824         2010</t>
  </si>
  <si>
    <t>Lexical meaning / M. Lynne Murphy.</t>
  </si>
  <si>
    <t>Murphy, M. Lynne, author.</t>
  </si>
  <si>
    <t>1004060814:eng</t>
  </si>
  <si>
    <t>630513490</t>
  </si>
  <si>
    <t>ocn630513490</t>
  </si>
  <si>
    <t>3103233532L</t>
  </si>
  <si>
    <t>9780521860314</t>
  </si>
  <si>
    <t>794824640</t>
  </si>
  <si>
    <t>P325 M826 2003</t>
  </si>
  <si>
    <t>0                      P  0325000M  826         2003</t>
  </si>
  <si>
    <t>Semantic relations and the lexicon : antonymy, synonymy, and other paradigms / M. Lynne Murphy.</t>
  </si>
  <si>
    <t>Murphy, M. Lynne.</t>
  </si>
  <si>
    <t>709751:eng</t>
  </si>
  <si>
    <t>51855664</t>
  </si>
  <si>
    <t>ocm51855664</t>
  </si>
  <si>
    <t>3102777059A</t>
  </si>
  <si>
    <t>9780521780674</t>
  </si>
  <si>
    <t>793792747</t>
  </si>
  <si>
    <t>P325 P35 2010</t>
  </si>
  <si>
    <t>0                      P  0325000P  35          2010</t>
  </si>
  <si>
    <t>Semantic role labeling / Martha Palmer, Daniel Gildea, Nianwen Xue.</t>
  </si>
  <si>
    <t>Palmer, Martha Stone.</t>
  </si>
  <si>
    <t>[San Rafael, Calif.] : Morgan &amp; Claypool Publishers, ©2010.</t>
  </si>
  <si>
    <t>Synthesis lectures on human language technologies, 1947-4040 ; #6</t>
  </si>
  <si>
    <t>2011-04-20</t>
  </si>
  <si>
    <t>378864846:eng</t>
  </si>
  <si>
    <t>317114538</t>
  </si>
  <si>
    <t>ocn317114538</t>
  </si>
  <si>
    <t>3103241638L</t>
  </si>
  <si>
    <t>9781598298314</t>
  </si>
  <si>
    <t>794450752</t>
  </si>
  <si>
    <t>P325 P635 2005</t>
  </si>
  <si>
    <t>0                      P  0325000P  635         2005</t>
  </si>
  <si>
    <t>What is meaning? : fundamentals of formal semantics / Paul H. Portner.</t>
  </si>
  <si>
    <t>Portner, Paul.</t>
  </si>
  <si>
    <t>804015918:eng</t>
  </si>
  <si>
    <t>55960789</t>
  </si>
  <si>
    <t>ocm55960789</t>
  </si>
  <si>
    <t>31027770628</t>
  </si>
  <si>
    <t>9781405109178</t>
  </si>
  <si>
    <t>793884555</t>
  </si>
  <si>
    <t>P325 P636 2012</t>
  </si>
  <si>
    <t>0                      P  0325000P  636         2012</t>
  </si>
  <si>
    <t>Images et modèles en sémantique / Bernard Pottier.</t>
  </si>
  <si>
    <t>Pottier, Bernard.</t>
  </si>
  <si>
    <t>Paris : Champion, 2012.</t>
  </si>
  <si>
    <t>Champion Essais ; 16</t>
  </si>
  <si>
    <t>1142544543:fre</t>
  </si>
  <si>
    <t>815656365</t>
  </si>
  <si>
    <t>ocn815656365</t>
  </si>
  <si>
    <t>3103523260B</t>
  </si>
  <si>
    <t>9782745323507</t>
  </si>
  <si>
    <t>794932642</t>
  </si>
  <si>
    <t>P325 P7223 2010</t>
  </si>
  <si>
    <t>0                      P  0325000P  7223        2010</t>
  </si>
  <si>
    <t>Probing semantic relations : exploration and identification in specialized texts / edited by Alain Auger, Caroline Barrière.</t>
  </si>
  <si>
    <t>Benjamins current topics ; v. 23</t>
  </si>
  <si>
    <t>888338611:eng</t>
  </si>
  <si>
    <t>639163029</t>
  </si>
  <si>
    <t>ocn639163029</t>
  </si>
  <si>
    <t>3103226132Q</t>
  </si>
  <si>
    <t>9789027222534</t>
  </si>
  <si>
    <t>794826609</t>
  </si>
  <si>
    <t>P325 P747 2009</t>
  </si>
  <si>
    <t>0                      P  0325000P  747         2009</t>
  </si>
  <si>
    <t>Presuppositions and implicatures : proceedings of the MIT-Paris workshop / edited by Paul Égré and Giorgio Magri.</t>
  </si>
  <si>
    <t>Cambridge : MITWPL, 2009.</t>
  </si>
  <si>
    <t>MIT working papers in linguistics ; 60</t>
  </si>
  <si>
    <t>909282449:eng</t>
  </si>
  <si>
    <t>370357559</t>
  </si>
  <si>
    <t>ocn370357559</t>
  </si>
  <si>
    <t>3103151834G</t>
  </si>
  <si>
    <t>794494529</t>
  </si>
  <si>
    <t>P325 P75 2010</t>
  </si>
  <si>
    <t>0                      P  0325000P  75          2010</t>
  </si>
  <si>
    <t>Presuppositions and discourse : essays offered to Hans Kamp / edited by Rainer Bäuerle, Uwe Reyle, Thomas Ede Zimmermann.</t>
  </si>
  <si>
    <t>Bingley, UK : Emerald Group Publ, 2010.</t>
  </si>
  <si>
    <t>Current research in the semantics/pragmatics interface ; v. 21</t>
  </si>
  <si>
    <t>910437027:eng</t>
  </si>
  <si>
    <t>465618344</t>
  </si>
  <si>
    <t>ocn465618344</t>
  </si>
  <si>
    <t>3103241164U</t>
  </si>
  <si>
    <t>9781849507820</t>
  </si>
  <si>
    <t>794794048</t>
  </si>
  <si>
    <t>P325 P76 2011</t>
  </si>
  <si>
    <t>0                      P  0325000P  76          2011</t>
  </si>
  <si>
    <t>Procedural meaning : problems and perspectives / edited by Victoria Escandell-Vidal, Manuel Leonetti, Aoife Ahern.</t>
  </si>
  <si>
    <t>Bingley, UK : Emerald, 2011.</t>
  </si>
  <si>
    <t>Current research in the semantics/pragmatics interface ; v. 25</t>
  </si>
  <si>
    <t>1005233279:eng</t>
  </si>
  <si>
    <t>758466478</t>
  </si>
  <si>
    <t>ocn758466478</t>
  </si>
  <si>
    <t>3103384150V</t>
  </si>
  <si>
    <t>9780857240934</t>
  </si>
  <si>
    <t>794896464</t>
  </si>
  <si>
    <t>P325 Q36 2010</t>
  </si>
  <si>
    <t>0                      P  0325000Q  36          2010</t>
  </si>
  <si>
    <t>Quantitative methods in cognitive semantics : corpus-driven approaches / edited by Dylan Glynn, Kerstin Fischer.</t>
  </si>
  <si>
    <t>Cognitive linguistics research ; 46</t>
  </si>
  <si>
    <t>792304331:eng</t>
  </si>
  <si>
    <t>664354356</t>
  </si>
  <si>
    <t>ocn664354356</t>
  </si>
  <si>
    <t>3103312856G</t>
  </si>
  <si>
    <t>9783110226416</t>
  </si>
  <si>
    <t>794843458</t>
  </si>
  <si>
    <t>P325 R344 2004</t>
  </si>
  <si>
    <t>0                      P  0325000R  344         2004</t>
  </si>
  <si>
    <t>Literal meaning / François Recanati.</t>
  </si>
  <si>
    <t>2017-04-11</t>
  </si>
  <si>
    <t>708782:eng</t>
  </si>
  <si>
    <t>52133030</t>
  </si>
  <si>
    <t>ocm52133030</t>
  </si>
  <si>
    <t>3102777116F</t>
  </si>
  <si>
    <t>9780521792462</t>
  </si>
  <si>
    <t>793799126</t>
  </si>
  <si>
    <t>P325 R54 2010</t>
  </si>
  <si>
    <t>0                      P  0325000R  54          2010</t>
  </si>
  <si>
    <t>Introducing semantics / Nick Riemer.</t>
  </si>
  <si>
    <t>Riemer, Nick, 1972-</t>
  </si>
  <si>
    <t>348580771:eng</t>
  </si>
  <si>
    <t>465366305</t>
  </si>
  <si>
    <t>ocn465366305</t>
  </si>
  <si>
    <t>3103132663M</t>
  </si>
  <si>
    <t>9780521851923</t>
  </si>
  <si>
    <t>794793880</t>
  </si>
  <si>
    <t>P325 S2 2003</t>
  </si>
  <si>
    <t>0                      P  0325000S  2           2003</t>
  </si>
  <si>
    <t>Semantics / by John I. Saeed.</t>
  </si>
  <si>
    <t>Saeed, John I.</t>
  </si>
  <si>
    <t>Introducing linguistics ; 2</t>
  </si>
  <si>
    <t>925790:eng</t>
  </si>
  <si>
    <t>49824713</t>
  </si>
  <si>
    <t>ocm49824713</t>
  </si>
  <si>
    <t>3102820244G</t>
  </si>
  <si>
    <t>9780631226925</t>
  </si>
  <si>
    <t>793748644</t>
  </si>
  <si>
    <t>3102820239I</t>
  </si>
  <si>
    <t>793748642</t>
  </si>
  <si>
    <t>3102820249G</t>
  </si>
  <si>
    <t>793748643</t>
  </si>
  <si>
    <t>P325 S2 2009</t>
  </si>
  <si>
    <t>0                      P  0325000S  2           2009</t>
  </si>
  <si>
    <t>Semantics / John I. Saeed.</t>
  </si>
  <si>
    <t>Malden, Mass. : Wiley-Blackwell, 2009.</t>
  </si>
  <si>
    <t>232358133</t>
  </si>
  <si>
    <t>ocn232358133</t>
  </si>
  <si>
    <t>31034658668</t>
  </si>
  <si>
    <t>9781405156394</t>
  </si>
  <si>
    <t>794363566</t>
  </si>
  <si>
    <t>3103056448C</t>
  </si>
  <si>
    <t>794363568</t>
  </si>
  <si>
    <t>31034658618</t>
  </si>
  <si>
    <t>794363567</t>
  </si>
  <si>
    <t>P325 S3737 2006</t>
  </si>
  <si>
    <t>0                      P  0325000S  3737        2006</t>
  </si>
  <si>
    <t>Semantic role universals and argument linking : theoretical, typological, and psycholinguistic perspectives / edited by Ina Bornkessel [and others].</t>
  </si>
  <si>
    <t>Trends in linguistics. Studies and monographs, 1861-4302 ; 165</t>
  </si>
  <si>
    <t>2015-05-23</t>
  </si>
  <si>
    <t>1044434828:eng</t>
  </si>
  <si>
    <t>67405586</t>
  </si>
  <si>
    <t>ocm67405586</t>
  </si>
  <si>
    <t>3102747787Z</t>
  </si>
  <si>
    <t>9783110186024</t>
  </si>
  <si>
    <t>794140771</t>
  </si>
  <si>
    <t>P325 S3798 2004</t>
  </si>
  <si>
    <t>0                      P  0325000S  3798        2004</t>
  </si>
  <si>
    <t>Semantics : a reader / edited by Steven Davis and Brendan S. Gillon.</t>
  </si>
  <si>
    <t>1082065507:eng</t>
  </si>
  <si>
    <t>52410701</t>
  </si>
  <si>
    <t>ocm52410701</t>
  </si>
  <si>
    <t>3102640933$</t>
  </si>
  <si>
    <t>9780195136975</t>
  </si>
  <si>
    <t>793805735</t>
  </si>
  <si>
    <t>P325 S3799 2011</t>
  </si>
  <si>
    <t>0                      P  0325000S  3799        2011</t>
  </si>
  <si>
    <t>Semantics : an international handbook of natural language meaning / edited by Klaus von Heusinger, Claudia Maienborn, Paul Portner.</t>
  </si>
  <si>
    <t>Handbücher zur Sprach- und Kommunikationswissenschaft = Handbooks of linguistics and communication science ; Bd. 33.1-</t>
  </si>
  <si>
    <t>2013-04-11</t>
  </si>
  <si>
    <t>5091085313:eng</t>
  </si>
  <si>
    <t>754186858</t>
  </si>
  <si>
    <t>ocn754186858</t>
  </si>
  <si>
    <t>3103506417D</t>
  </si>
  <si>
    <t>9783110185232</t>
  </si>
  <si>
    <t>794892671</t>
  </si>
  <si>
    <t>2013-01-04</t>
  </si>
  <si>
    <t>3103436180$</t>
  </si>
  <si>
    <t>794892672</t>
  </si>
  <si>
    <t>3103406205R</t>
  </si>
  <si>
    <t>794892673</t>
  </si>
  <si>
    <t>P325 S38126 2003</t>
  </si>
  <si>
    <t>0                      P  0325000S  38126       2003</t>
  </si>
  <si>
    <t>Semantics : critical concepts in linguistics / edited by Javier Gutiérrez-Rexach.</t>
  </si>
  <si>
    <t>2006-07-27</t>
  </si>
  <si>
    <t>2019-06-19</t>
  </si>
  <si>
    <t>837495507:eng</t>
  </si>
  <si>
    <t>51728763</t>
  </si>
  <si>
    <t>ocm51728763</t>
  </si>
  <si>
    <t>3102564332Y</t>
  </si>
  <si>
    <t>9780415266321</t>
  </si>
  <si>
    <t>793789826</t>
  </si>
  <si>
    <t>3102564322$</t>
  </si>
  <si>
    <t>793789828</t>
  </si>
  <si>
    <t>3102564327$</t>
  </si>
  <si>
    <t>793789827</t>
  </si>
  <si>
    <t>2010-04-10</t>
  </si>
  <si>
    <t>3102564342W</t>
  </si>
  <si>
    <t>793789824</t>
  </si>
  <si>
    <t>3102564347W</t>
  </si>
  <si>
    <t>793789823</t>
  </si>
  <si>
    <t>3102564337Y</t>
  </si>
  <si>
    <t>793789825</t>
  </si>
  <si>
    <t>P325 S3813</t>
  </si>
  <si>
    <t>0                      P  0325000S  3813</t>
  </si>
  <si>
    <t>Semantics from different points of view / editors, R. Bäuerle, U. Egli, A. von Stechow.</t>
  </si>
  <si>
    <t>Berlin ; New York : Springer-Verlag, 1979.</t>
  </si>
  <si>
    <t>Springer series in language and communication ; v. 6</t>
  </si>
  <si>
    <t>25688989:eng</t>
  </si>
  <si>
    <t>6169736</t>
  </si>
  <si>
    <t>ocm06169736</t>
  </si>
  <si>
    <t>3102777109H</t>
  </si>
  <si>
    <t>9783540096764</t>
  </si>
  <si>
    <t>792480338</t>
  </si>
  <si>
    <t>P325 S44 1986</t>
  </si>
  <si>
    <t>0                      P  0325000S  44          1986</t>
  </si>
  <si>
    <t>The meaning of the sentence in its semantic and pragmatic aspects / Petr Sgall, Eva Hajičová, and Jarmila Panevová ; edited by Jacob L. Mey.</t>
  </si>
  <si>
    <t>Sgall, Petr, 1926-2019.</t>
  </si>
  <si>
    <t>Dordrecht ; Boston : D. Reidel ; Hingham, MA, U.S.A. : Sold and distributed in the U.S.A. and Canada by Kluwer Academic, ©1986.</t>
  </si>
  <si>
    <t>2015-07-14</t>
  </si>
  <si>
    <t>4746662:eng</t>
  </si>
  <si>
    <t>11599028</t>
  </si>
  <si>
    <t>ocm11599028</t>
  </si>
  <si>
    <t>31027770894</t>
  </si>
  <si>
    <t>9789027718389</t>
  </si>
  <si>
    <t>792779903</t>
  </si>
  <si>
    <t>P325 S957 1998</t>
  </si>
  <si>
    <t>0                      P  0325000S  957         1998</t>
  </si>
  <si>
    <t>Introduction to natural language semantics / Henriëtte de Swart.</t>
  </si>
  <si>
    <t>Swart, Henriëtte de, 1961-</t>
  </si>
  <si>
    <t>CSLI lecture notes ; no. 80</t>
  </si>
  <si>
    <t>688427:eng</t>
  </si>
  <si>
    <t>38566594</t>
  </si>
  <si>
    <t>ocm38566594</t>
  </si>
  <si>
    <t>31027770874</t>
  </si>
  <si>
    <t>9781575861395</t>
  </si>
  <si>
    <t>793527148</t>
  </si>
  <si>
    <t>P325 S968 2010</t>
  </si>
  <si>
    <t>0                      P  0325000S  968         2010</t>
  </si>
  <si>
    <t>Quantification / Anna Szabolcsi.</t>
  </si>
  <si>
    <t>Szabolcsi, Anna, 1953-</t>
  </si>
  <si>
    <t>500031809:eng</t>
  </si>
  <si>
    <t>636911481</t>
  </si>
  <si>
    <t>ocn636911481</t>
  </si>
  <si>
    <t>31032330231</t>
  </si>
  <si>
    <t>9780521887960</t>
  </si>
  <si>
    <t>794826109</t>
  </si>
  <si>
    <t>P325 U53 2011</t>
  </si>
  <si>
    <t>0                      P  0325000U  53          2011</t>
  </si>
  <si>
    <t>Creating worldviews : metaphor, ideology and language / James W. Underhill.</t>
  </si>
  <si>
    <t>Edinburgh, Scotland : Edinburgh University Press, ©2011.</t>
  </si>
  <si>
    <t>2014-07-23</t>
  </si>
  <si>
    <t>814084381:eng</t>
  </si>
  <si>
    <t>697948516</t>
  </si>
  <si>
    <t>ocn697948516</t>
  </si>
  <si>
    <t>3103342102W</t>
  </si>
  <si>
    <t>9780748679096</t>
  </si>
  <si>
    <t>794860480</t>
  </si>
  <si>
    <t>P325 V25 2011</t>
  </si>
  <si>
    <t>0                      P  0325000V  25          2011</t>
  </si>
  <si>
    <t>Vagueness and language use / edited by Paul Égré and Nathan Klinedinst.</t>
  </si>
  <si>
    <t>509767042:eng</t>
  </si>
  <si>
    <t>646309142</t>
  </si>
  <si>
    <t>ocn646309142</t>
  </si>
  <si>
    <t>3103235062M</t>
  </si>
  <si>
    <t>9780230238619</t>
  </si>
  <si>
    <t>794830296</t>
  </si>
  <si>
    <t>P325 V26 2018</t>
  </si>
  <si>
    <t>0                      P  0325000V  26          2018</t>
  </si>
  <si>
    <t>Words and contents / Richard Vallée ; foreword by John Perry.</t>
  </si>
  <si>
    <t>Vallée, Richard, 1957- author.</t>
  </si>
  <si>
    <t>Stanford, California : CSLI Publications, Center for the Study of Language and Information, [2018]</t>
  </si>
  <si>
    <t>CSLI lecture notes ; no. 222</t>
  </si>
  <si>
    <t>5277248082:eng</t>
  </si>
  <si>
    <t>1048015226</t>
  </si>
  <si>
    <t>on1048015226</t>
  </si>
  <si>
    <t>3103810026Y</t>
  </si>
  <si>
    <t>9781684000388</t>
  </si>
  <si>
    <t>795060795</t>
  </si>
  <si>
    <t>P325 W479 2012</t>
  </si>
  <si>
    <t>0                      P  0325000W  479         2012</t>
  </si>
  <si>
    <t>Meaning and relevance / Deirdre Wilson and Dan Sperber.</t>
  </si>
  <si>
    <t>Wilson, Deirdre.</t>
  </si>
  <si>
    <t>991605921:eng</t>
  </si>
  <si>
    <t>746712284</t>
  </si>
  <si>
    <t>ocn746712284</t>
  </si>
  <si>
    <t>3102721082G</t>
  </si>
  <si>
    <t>9780521747486</t>
  </si>
  <si>
    <t>794887366</t>
  </si>
  <si>
    <t>P325 X8 1956</t>
  </si>
  <si>
    <t>0                      P  0325000X  8           1956</t>
  </si>
  <si>
    <t>Yu yi xue gai yao / Xu Daolin zhu.</t>
  </si>
  <si>
    <t>Xu, Daolin, 1906-1973.</t>
  </si>
  <si>
    <t>Xianggang : You lian chu ban she, 1956.</t>
  </si>
  <si>
    <t>Chu ban.</t>
  </si>
  <si>
    <t>3943334665:chi</t>
  </si>
  <si>
    <t>24982146</t>
  </si>
  <si>
    <t>ocm24982146</t>
  </si>
  <si>
    <t>31033698324</t>
  </si>
  <si>
    <t>793209209</t>
  </si>
  <si>
    <t>P325 Z5</t>
  </si>
  <si>
    <t>0                      P  0325000Z  5</t>
  </si>
  <si>
    <t>Semantic analysis / Paul Ziff.</t>
  </si>
  <si>
    <t>Ziff, Paul, 1920-2003.</t>
  </si>
  <si>
    <t>Ithaca, N.Y. : Cornell University Press, 1960.</t>
  </si>
  <si>
    <t>9988679410:eng</t>
  </si>
  <si>
    <t>307174</t>
  </si>
  <si>
    <t>ocm00307174</t>
  </si>
  <si>
    <t>3001012495Y</t>
  </si>
  <si>
    <t>791331155</t>
  </si>
  <si>
    <t>P325.5 A46 D44 2010</t>
  </si>
  <si>
    <t>0                      P  0325500A  46                 D  44          2010</t>
  </si>
  <si>
    <t>Not exactly : in praise of vagueness / Dr Kees van Deemter.</t>
  </si>
  <si>
    <t>Deemter, Kees van.</t>
  </si>
  <si>
    <t>797250898:eng</t>
  </si>
  <si>
    <t>441191662</t>
  </si>
  <si>
    <t>ocn441191662</t>
  </si>
  <si>
    <t>31031323380</t>
  </si>
  <si>
    <t>9780199545902</t>
  </si>
  <si>
    <t>794786693</t>
  </si>
  <si>
    <t>P325.5 C56 T43 2000</t>
  </si>
  <si>
    <t>0                      P  0325500C  56                 T  43          2000</t>
  </si>
  <si>
    <t>Teaching collocation : further developments in the lexical approach / editor, Michael Lewis ; with chapters by Jane Conzett [and others].</t>
  </si>
  <si>
    <t>Boston : Heinle, ©2000.</t>
  </si>
  <si>
    <t>796595336:eng</t>
  </si>
  <si>
    <t>313614117</t>
  </si>
  <si>
    <t>ocn313614117</t>
  </si>
  <si>
    <t>3103230197X</t>
  </si>
  <si>
    <t>9781899396115</t>
  </si>
  <si>
    <t>794437793</t>
  </si>
  <si>
    <t>P325.5 C6 C645 2010</t>
  </si>
  <si>
    <t>0                      P  0325500C  6                  C  645         2010</t>
  </si>
  <si>
    <t>Contrasting meaning in languages of the East and West / Dingfang Shu and Ken Turner, eds.</t>
  </si>
  <si>
    <t>Oxford [England] ; New York : Peter Lang, ©2010.</t>
  </si>
  <si>
    <t>Contemporary studies in descriptive linguistics ; v. 14</t>
  </si>
  <si>
    <t>2012-09-10</t>
  </si>
  <si>
    <t>430799619:eng</t>
  </si>
  <si>
    <t>427704579</t>
  </si>
  <si>
    <t>ocn427704579</t>
  </si>
  <si>
    <t>3103134372L</t>
  </si>
  <si>
    <t>9783039118861</t>
  </si>
  <si>
    <t>794696813</t>
  </si>
  <si>
    <t>P325.5 C62 K73 2011</t>
  </si>
  <si>
    <t>0                      P  0325500C  62                 K  73          2011</t>
  </si>
  <si>
    <t>Interpreted languages and compositionality / by Marcus Kracht.</t>
  </si>
  <si>
    <t>Kracht, Marcus.</t>
  </si>
  <si>
    <t>Dordrecht : Springer, [2011]</t>
  </si>
  <si>
    <t>Studies in linguistics and philosophy, 0924-4662 ; volume 89</t>
  </si>
  <si>
    <t>997105249:eng</t>
  </si>
  <si>
    <t>759395602</t>
  </si>
  <si>
    <t>ocn759395602</t>
  </si>
  <si>
    <t>3103372645V</t>
  </si>
  <si>
    <t>9789400721074</t>
  </si>
  <si>
    <t>794897314</t>
  </si>
  <si>
    <t>P325.5 C626 C66 2005</t>
  </si>
  <si>
    <t>0                      P  0325500C  626                C  66          2005</t>
  </si>
  <si>
    <t>The compositionality of meaning and content / Markus Werning, Edouard Machery, Gerhard Schurz (eds.).</t>
  </si>
  <si>
    <t>Frankfurt [am Main] : Ontos ; Piscataway, NJ : [Distributed in] North and South America by Transaction Books, 2005-</t>
  </si>
  <si>
    <t>Linguistics &amp; philosophy ; Bd. 1</t>
  </si>
  <si>
    <t>3770776465:eng</t>
  </si>
  <si>
    <t>61263653</t>
  </si>
  <si>
    <t>ocm61263653</t>
  </si>
  <si>
    <t>31025811473</t>
  </si>
  <si>
    <t>9783937202532</t>
  </si>
  <si>
    <t>793950234</t>
  </si>
  <si>
    <t>3102548496D</t>
  </si>
  <si>
    <t>793950235</t>
  </si>
  <si>
    <t>P325.5 C626 O94 2012</t>
  </si>
  <si>
    <t>0                      P  0325500C  626                O  94          2012</t>
  </si>
  <si>
    <t>The Oxford handbook of compositionality / edited by Markus Werning, Wolfram Hinzen, and Edouard Machery.</t>
  </si>
  <si>
    <t>Oxford ; New York, NY : Oxford University Press, ©2012.</t>
  </si>
  <si>
    <t>774358376:eng</t>
  </si>
  <si>
    <t>780277456</t>
  </si>
  <si>
    <t>ocn780277456</t>
  </si>
  <si>
    <t>3103409001L</t>
  </si>
  <si>
    <t>9780199541072</t>
  </si>
  <si>
    <t>794911888</t>
  </si>
  <si>
    <t>P325.5 C63 G48 2010</t>
  </si>
  <si>
    <t>0                      P  0325500C  63                 G  48          2010</t>
  </si>
  <si>
    <t>Quantity implicatures / Bart Geurts.</t>
  </si>
  <si>
    <t>Geurts, Bart.</t>
  </si>
  <si>
    <t>506301403:eng</t>
  </si>
  <si>
    <t>645700820</t>
  </si>
  <si>
    <t>ocn645700820</t>
  </si>
  <si>
    <t>3103232935D</t>
  </si>
  <si>
    <t>9780521769136</t>
  </si>
  <si>
    <t>794829717</t>
  </si>
  <si>
    <t>P325.5 C65 C63 2011</t>
  </si>
  <si>
    <t>0                      P  0325500C  65                 C  63          2011</t>
  </si>
  <si>
    <t>Context and contexts : parts meet whole? / edited by Anita Fetzer, Etsuko Oishi.</t>
  </si>
  <si>
    <t>Pragmatics &amp; beyond new series ; v. 209</t>
  </si>
  <si>
    <t>1004982632:eng</t>
  </si>
  <si>
    <t>708648686</t>
  </si>
  <si>
    <t>ocn708648686</t>
  </si>
  <si>
    <t>3103363790J</t>
  </si>
  <si>
    <t>9789027256133</t>
  </si>
  <si>
    <t>794869242</t>
  </si>
  <si>
    <t>P325.5 C65 C649 2010</t>
  </si>
  <si>
    <t>0                      P  0325500C  65                 C  649         2010</t>
  </si>
  <si>
    <t>Context-dependence, perspective and relativity / edited by François Recanati, Isidora Stojanovic, Neftalí Villanueva.</t>
  </si>
  <si>
    <t>Mouton series in pragmatics ; 6</t>
  </si>
  <si>
    <t>1044436530:eng</t>
  </si>
  <si>
    <t>639941257</t>
  </si>
  <si>
    <t>ocn639941257</t>
  </si>
  <si>
    <t>3103227320I</t>
  </si>
  <si>
    <t>9783110227765</t>
  </si>
  <si>
    <t>794827134</t>
  </si>
  <si>
    <t>P325.5 C65 C66 1992</t>
  </si>
  <si>
    <t>0                      P  0325500C  65                 C  66          1992</t>
  </si>
  <si>
    <t>The Contextualization of language / edited by Peter Auer and Aldo Di Luzio.</t>
  </si>
  <si>
    <t>Amsterdam ; Philadelphia : J. Benjamins, 1992.</t>
  </si>
  <si>
    <t>Pragmatics &amp; beyond ; new ser. 22</t>
  </si>
  <si>
    <t>347441512:eng</t>
  </si>
  <si>
    <t>24871382</t>
  </si>
  <si>
    <t>ocm24871382</t>
  </si>
  <si>
    <t>3102777762O</t>
  </si>
  <si>
    <t>9781556192906</t>
  </si>
  <si>
    <t>793207088</t>
  </si>
  <si>
    <t>P325.5 C65 D57 2014</t>
  </si>
  <si>
    <t>0                      P  0325500C  65                 D  57          2014</t>
  </si>
  <si>
    <t>Discourse in context / edited by John Flowerdew.</t>
  </si>
  <si>
    <t>Contemporary applied linguistics ; volume 3</t>
  </si>
  <si>
    <t>2014-02-28</t>
  </si>
  <si>
    <t>1779800829:eng</t>
  </si>
  <si>
    <t>858312475</t>
  </si>
  <si>
    <t>ocn858312475</t>
  </si>
  <si>
    <t>3103503408R</t>
  </si>
  <si>
    <t>9781623563059</t>
  </si>
  <si>
    <t>794955967</t>
  </si>
  <si>
    <t>P325.5 C65 L35 2010</t>
  </si>
  <si>
    <t>0                      P  0325500C  65                 L  35          2010</t>
  </si>
  <si>
    <t>Language and its contexts : transposition and transformation of meaning? = Le langage et ses contexts : transposition et transformation du sens? / Pierre-Alexis Mével &amp; Helen Tattam.(eds).</t>
  </si>
  <si>
    <t>Bern ; New York : Peter Lang, 2010.</t>
  </si>
  <si>
    <t>Modern French identities ; v. 91</t>
  </si>
  <si>
    <t>553529041:eng</t>
  </si>
  <si>
    <t>657223752</t>
  </si>
  <si>
    <t>ocn657223752</t>
  </si>
  <si>
    <t>3103233825E</t>
  </si>
  <si>
    <t>9783034301282</t>
  </si>
  <si>
    <t>794835341</t>
  </si>
  <si>
    <t>P325.5 C65 P73 1987</t>
  </si>
  <si>
    <t>0                      P  0325500C  65                 P  73          1987</t>
  </si>
  <si>
    <t>Sémantique du contresens : essai sur la forme interne du contenu des phrases / Michele Prandi.</t>
  </si>
  <si>
    <t>Prandi, Michele, 1949-</t>
  </si>
  <si>
    <t>Paris : Editions de Minuit, ©1987.</t>
  </si>
  <si>
    <t>808047525:fre</t>
  </si>
  <si>
    <t>22491612</t>
  </si>
  <si>
    <t>ocm22491612</t>
  </si>
  <si>
    <t>3102777831R</t>
  </si>
  <si>
    <t>9782707311191</t>
  </si>
  <si>
    <t>793145751</t>
  </si>
  <si>
    <t>P325.5 D38 L457 2013</t>
  </si>
  <si>
    <t>0                      P  0325500D  38                 L  457         2013</t>
  </si>
  <si>
    <t>The semantic representation of natural language / by Michael Levison [and others].</t>
  </si>
  <si>
    <t>Levison, Michael.</t>
  </si>
  <si>
    <t>London ; New York : Bloomsbury Academic, 2012.</t>
  </si>
  <si>
    <t>Bloomsbury studies in theoretical linguistics</t>
  </si>
  <si>
    <t>1149103981:eng</t>
  </si>
  <si>
    <t>804491333</t>
  </si>
  <si>
    <t>ocn804491333</t>
  </si>
  <si>
    <t>3103457349O</t>
  </si>
  <si>
    <t>9781441162533</t>
  </si>
  <si>
    <t>794926022</t>
  </si>
  <si>
    <t>P325.5 D38 N57 2004</t>
  </si>
  <si>
    <t>0                      P  0325500D  38                 N  57          2004</t>
  </si>
  <si>
    <t>Ontological semantics / Sergei Nirenburg and Victor Raskin.</t>
  </si>
  <si>
    <t>Nirenburg, Sergei.</t>
  </si>
  <si>
    <t>5615207863:eng</t>
  </si>
  <si>
    <t>54081811</t>
  </si>
  <si>
    <t>ocm54081811</t>
  </si>
  <si>
    <t>3102777820T</t>
  </si>
  <si>
    <t>9780262140867</t>
  </si>
  <si>
    <t>793857118</t>
  </si>
  <si>
    <t>P325.5 D38 W67 1998</t>
  </si>
  <si>
    <t>0                      P  0325500D  38                 W  67          1998</t>
  </si>
  <si>
    <t>WordNet : an electronic lexical database / edited by Christiane Fellbaum.</t>
  </si>
  <si>
    <t>Cambridge, Mass : MIT Press, ©1998.</t>
  </si>
  <si>
    <t>800040172:eng</t>
  </si>
  <si>
    <t>38104682</t>
  </si>
  <si>
    <t>ocm38104682</t>
  </si>
  <si>
    <t>3102777844P</t>
  </si>
  <si>
    <t>9780262061971</t>
  </si>
  <si>
    <t>793515581</t>
  </si>
  <si>
    <t>P325.5 E56 D46 2015</t>
  </si>
  <si>
    <t>0                      P  0325500E  56                 D  46          2015</t>
  </si>
  <si>
    <t>Sylvia Plath and the language of affective states : written discourse and the experience of depression / Zsófia Demjén.</t>
  </si>
  <si>
    <t>Demjén, Zsófia, author.</t>
  </si>
  <si>
    <t>London : New York : Bloomsbury Academic, 2015.</t>
  </si>
  <si>
    <t>2560210851:eng</t>
  </si>
  <si>
    <t>904979679</t>
  </si>
  <si>
    <t>ocn904979679</t>
  </si>
  <si>
    <t>31036129432</t>
  </si>
  <si>
    <t>9781474212663</t>
  </si>
  <si>
    <t>794991062</t>
  </si>
  <si>
    <t>P325.5 E56 D49 2010</t>
  </si>
  <si>
    <t>0                      P  0325500E  56                 D  49          2010</t>
  </si>
  <si>
    <t>Emotions in multiple languages / Jean-Marc Dewaele.</t>
  </si>
  <si>
    <t>Dewaele, Jean-Marc, 1962-</t>
  </si>
  <si>
    <t>Basingstoke, Hampshire [England] ; New York : Palgrave Macmillan, 2010.</t>
  </si>
  <si>
    <t>481628342:eng</t>
  </si>
  <si>
    <t>615874049</t>
  </si>
  <si>
    <t>ocn615874049</t>
  </si>
  <si>
    <t>3103230817S</t>
  </si>
  <si>
    <t>9781403943163</t>
  </si>
  <si>
    <t>794822804</t>
  </si>
  <si>
    <t>P325.5 E94 F35 1985</t>
  </si>
  <si>
    <t>0                      P  0325500E  94                 F  35          1985</t>
  </si>
  <si>
    <t>Fair of speech : the uses of euphemism / edited by D.J. Enright.</t>
  </si>
  <si>
    <t>Oxford [Oxfordshire] ; New York : Oxford University Press, 1985.</t>
  </si>
  <si>
    <t>30265116:eng</t>
  </si>
  <si>
    <t>11623285</t>
  </si>
  <si>
    <t>ocm11623285</t>
  </si>
  <si>
    <t>3102777829T</t>
  </si>
  <si>
    <t>9780192122360</t>
  </si>
  <si>
    <t>792781164</t>
  </si>
  <si>
    <t>P325.5 E94 N49 2010</t>
  </si>
  <si>
    <t>0                      P  0325500E  94                 N  49          2010</t>
  </si>
  <si>
    <t>New approaches to hedging / edited by Gunther Kaltenböck, Wiltrud Mihatsch, Stefan Schneider.</t>
  </si>
  <si>
    <t>Bingley, UK : Emerald, 2010.</t>
  </si>
  <si>
    <t>Studies in pragmatics ; 9</t>
  </si>
  <si>
    <t>2013-10-18</t>
  </si>
  <si>
    <t>510952438:eng</t>
  </si>
  <si>
    <t>648102534</t>
  </si>
  <si>
    <t>ocn648102534</t>
  </si>
  <si>
    <t>3103229963L</t>
  </si>
  <si>
    <t>9780857242471</t>
  </si>
  <si>
    <t>794831146</t>
  </si>
  <si>
    <t>P325.5 E96 L56 2010</t>
  </si>
  <si>
    <t>0                      P  0325500E  96                 L  56          2010</t>
  </si>
  <si>
    <t>Linguistic realization of evidentiality in European languages / edited by Gabriele Diewald, Elena Smirnova.</t>
  </si>
  <si>
    <t>Empirical approaches to language typology ; 49</t>
  </si>
  <si>
    <t>612831853:eng</t>
  </si>
  <si>
    <t>661048214</t>
  </si>
  <si>
    <t>ocn661048214</t>
  </si>
  <si>
    <t>3103313553L</t>
  </si>
  <si>
    <t>9783110223965</t>
  </si>
  <si>
    <t>794837050</t>
  </si>
  <si>
    <t>P325.5 F72 F73 2014</t>
  </si>
  <si>
    <t>0                      P  0325500F  72                 F  73          2014</t>
  </si>
  <si>
    <t>Frames and concept types : applications in language and philosophy / Thomas Gamerschlag, Doris Gerland, Rainer Osswald, Wiebke Petersen, editors.</t>
  </si>
  <si>
    <t>Cham : Springer, [2014]</t>
  </si>
  <si>
    <t>Studies in linguistics and philosophy, 0924-4662 ; v. 94</t>
  </si>
  <si>
    <t>1783166622:eng</t>
  </si>
  <si>
    <t>866576269</t>
  </si>
  <si>
    <t>ocn866576269</t>
  </si>
  <si>
    <t>3103554753G</t>
  </si>
  <si>
    <t>9783319015408</t>
  </si>
  <si>
    <t>794963410</t>
  </si>
  <si>
    <t>P325.5 F72 P47 2011</t>
  </si>
  <si>
    <t>0                      P  0325500F  72                 P  47          2011</t>
  </si>
  <si>
    <t>Perspectives on framing / edited by Gideon Keren.</t>
  </si>
  <si>
    <t>New York : Psychology Press, 2011.</t>
  </si>
  <si>
    <t>Society for judgment and decision making series</t>
  </si>
  <si>
    <t>2014-10-12</t>
  </si>
  <si>
    <t>509895968:eng</t>
  </si>
  <si>
    <t>548660410</t>
  </si>
  <si>
    <t>ocn548660410</t>
  </si>
  <si>
    <t>3103237789Q</t>
  </si>
  <si>
    <t>9781848729032</t>
  </si>
  <si>
    <t>794811192</t>
  </si>
  <si>
    <t>P325.5 G45 H45 1998</t>
  </si>
  <si>
    <t>0                      P  0325500G  45                 H  45          1998</t>
  </si>
  <si>
    <t>Semantics in generative grammar / Irene Heim and Angelika Kratzer.</t>
  </si>
  <si>
    <t>Heim, Irene.</t>
  </si>
  <si>
    <t>Malden, MA : Blackwell, 1998.</t>
  </si>
  <si>
    <t>Blackwell textbooks in linguistics ; 13</t>
  </si>
  <si>
    <t>566197:eng</t>
  </si>
  <si>
    <t>36589342</t>
  </si>
  <si>
    <t>ocm36589342</t>
  </si>
  <si>
    <t>3102537019D</t>
  </si>
  <si>
    <t>9780631197126</t>
  </si>
  <si>
    <t>793479172</t>
  </si>
  <si>
    <t>P325.5 G45 J3 1990</t>
  </si>
  <si>
    <t>0                      P  0325500G  45                 J  3           1990</t>
  </si>
  <si>
    <t>Semantic structures / Ray Jackendoff.</t>
  </si>
  <si>
    <t>Current studies in linguistics ; 18</t>
  </si>
  <si>
    <t>2016-03-12</t>
  </si>
  <si>
    <t>993816:eng</t>
  </si>
  <si>
    <t>22437391</t>
  </si>
  <si>
    <t>ocm22437391</t>
  </si>
  <si>
    <t>3102777838R</t>
  </si>
  <si>
    <t>9780262100434</t>
  </si>
  <si>
    <t>793143946</t>
  </si>
  <si>
    <t>P325.5 H57 C87 2012</t>
  </si>
  <si>
    <t>0                      P  0325500H  57                 C  87          2012</t>
  </si>
  <si>
    <t>Current methods in historical semantics / edited by Kathryn Allan, Justyna A. Robinson.</t>
  </si>
  <si>
    <t>Topics in English linguistics, 1434-3452 ; 73</t>
  </si>
  <si>
    <t>1020647448:eng</t>
  </si>
  <si>
    <t>747314108</t>
  </si>
  <si>
    <t>ocn747314108</t>
  </si>
  <si>
    <t>3103405079N</t>
  </si>
  <si>
    <t>9783110252880</t>
  </si>
  <si>
    <t>794888005</t>
  </si>
  <si>
    <t>P325.5 H57 F76 2008</t>
  </si>
  <si>
    <t>0                      P  0325500H  57                 F  76          2008</t>
  </si>
  <si>
    <t>From polysemy to semantic change : towards a typology of lexical semantic associations / edited by Martine Vanhove.</t>
  </si>
  <si>
    <t>Studies in language companion series, 0165-7763 ; v. 106</t>
  </si>
  <si>
    <t>793022524:eng</t>
  </si>
  <si>
    <t>236082559</t>
  </si>
  <si>
    <t>ocn236082559</t>
  </si>
  <si>
    <t>3103055061O</t>
  </si>
  <si>
    <t>9789027205735</t>
  </si>
  <si>
    <t>794371014</t>
  </si>
  <si>
    <t>P325.5 H57 T73 2002</t>
  </si>
  <si>
    <t>0                      P  0325500H  57                 T  73          2002</t>
  </si>
  <si>
    <t>Regularity in semantic change / Elizabeth Closs Traugott, Richard B. Dasher.</t>
  </si>
  <si>
    <t>Cambridge studies in linguistics ; 97</t>
  </si>
  <si>
    <t>1026443:eng</t>
  </si>
  <si>
    <t>46384026</t>
  </si>
  <si>
    <t>ocm46384026</t>
  </si>
  <si>
    <t>3102777813V</t>
  </si>
  <si>
    <t>9780521583787</t>
  </si>
  <si>
    <t>793683689</t>
  </si>
  <si>
    <t>P325.5 I54 C67 2004</t>
  </si>
  <si>
    <t>0                      P  0325500I  54                 C  67          2004</t>
  </si>
  <si>
    <t>Reflecting the mind : indexicality and quasi-indexicality / Eros Corazza.</t>
  </si>
  <si>
    <t>Corazza, Eros.</t>
  </si>
  <si>
    <t>Oxford : Clarendon ; New York : Oxford University Press, 2004.</t>
  </si>
  <si>
    <t>799968193:eng</t>
  </si>
  <si>
    <t>56641524</t>
  </si>
  <si>
    <t>ocm56641524</t>
  </si>
  <si>
    <t>3102777818V</t>
  </si>
  <si>
    <t>9780199270187</t>
  </si>
  <si>
    <t>793897796</t>
  </si>
  <si>
    <t>P325.5 I54 G56 2010</t>
  </si>
  <si>
    <t>0                      P  0325500I  54                 G  56          2010</t>
  </si>
  <si>
    <t>About the speaker : towards a syntax of indexicality / Alessandra Giorgi.</t>
  </si>
  <si>
    <t>Oxford studies in theoretical linguistics ; 28</t>
  </si>
  <si>
    <t>793953239:eng</t>
  </si>
  <si>
    <t>435730856</t>
  </si>
  <si>
    <t>ocn435730856</t>
  </si>
  <si>
    <t>3103130816Y</t>
  </si>
  <si>
    <t>9780199571895</t>
  </si>
  <si>
    <t>794783763</t>
  </si>
  <si>
    <t>P325.5 L48 W43 2013</t>
  </si>
  <si>
    <t>0                      P  0325500L  48                 W  43          2013</t>
  </si>
  <si>
    <t>What is said and what is not : the semantics-pragmatics interface / edited by Carlo Penco and Filippo Domaneschi.</t>
  </si>
  <si>
    <t>Stanford, California : CSLI Publications, Center for the Study of Language and Information, [2013]</t>
  </si>
  <si>
    <t>CSLI lecture notes ; number 207</t>
  </si>
  <si>
    <t>1217592958:eng</t>
  </si>
  <si>
    <t>834405191</t>
  </si>
  <si>
    <t>ocn834405191</t>
  </si>
  <si>
    <t>3103502390G</t>
  </si>
  <si>
    <t>9781575866680</t>
  </si>
  <si>
    <t>794944311</t>
  </si>
  <si>
    <t>P325.5 M36 G3</t>
  </si>
  <si>
    <t>0                      P  0325500M  36                 G  3</t>
  </si>
  <si>
    <t>Game-theoretical semantics : essays on semantics / by Hintikka [and others] ; edited by Esa Saarinen.</t>
  </si>
  <si>
    <t>Dordrecht, Holland ; Boston : D. Reidel Pub. Co., ©1979.</t>
  </si>
  <si>
    <t>Synthese language library ; v. 5</t>
  </si>
  <si>
    <t>863772345:eng</t>
  </si>
  <si>
    <t>4211292</t>
  </si>
  <si>
    <t>ocm04211292</t>
  </si>
  <si>
    <t>3102777832R</t>
  </si>
  <si>
    <t>9789027709189</t>
  </si>
  <si>
    <t>792331211</t>
  </si>
  <si>
    <t>P325.5 M47 P725 2017</t>
  </si>
  <si>
    <t>0                      P  0325500M  47                 P  725         2017</t>
  </si>
  <si>
    <t>Conceptual conflicts in metaphors and figurative language / Michele Prandi.</t>
  </si>
  <si>
    <t>Prandi, Michele, 1949- author.</t>
  </si>
  <si>
    <t>Routledge studies in linguistics 16</t>
  </si>
  <si>
    <t>4403940887:eng</t>
  </si>
  <si>
    <t>975373942</t>
  </si>
  <si>
    <t>ocn975373942</t>
  </si>
  <si>
    <t>3103701948X</t>
  </si>
  <si>
    <t>9781138631335</t>
  </si>
  <si>
    <t>795030167</t>
  </si>
  <si>
    <t>P325.5 M47 S74 2000</t>
  </si>
  <si>
    <t>0                      P  0325500M  47                 S  74          2000</t>
  </si>
  <si>
    <t>Metaphor in context / Josef Stern.</t>
  </si>
  <si>
    <t>Stern, Josef, 1949-</t>
  </si>
  <si>
    <t>351208082:eng</t>
  </si>
  <si>
    <t>44075962</t>
  </si>
  <si>
    <t>ocm44075962</t>
  </si>
  <si>
    <t>31027771713</t>
  </si>
  <si>
    <t>9780262194396</t>
  </si>
  <si>
    <t>793641830</t>
  </si>
  <si>
    <t>P325.5 P65 H57 2013</t>
  </si>
  <si>
    <t>0                      P  0325500P  65                 H  57          2013</t>
  </si>
  <si>
    <t>Making sense out of meaning : an essay in lexical semantics / Walter Hirtle.</t>
  </si>
  <si>
    <t>Hirtle, W. H., author.</t>
  </si>
  <si>
    <t>Montréal &amp; Kingston : McGill-Queen's University Press, [2013]</t>
  </si>
  <si>
    <t>1789544751:eng</t>
  </si>
  <si>
    <t>857325831</t>
  </si>
  <si>
    <t>ocn857325831</t>
  </si>
  <si>
    <t>3103493405P</t>
  </si>
  <si>
    <t>9780773542051</t>
  </si>
  <si>
    <t>794954966</t>
  </si>
  <si>
    <t>P325.5 P65 P62 2005</t>
  </si>
  <si>
    <t>0                      P  0325500P  65                 P  62          2005</t>
  </si>
  <si>
    <t>La polysémie / sous la direction d'Olivier Soutet.</t>
  </si>
  <si>
    <t>Paris : Presses de l'Université Paris-Sorbonne, 2005.</t>
  </si>
  <si>
    <t>Travaux de stylistique et de linguistique françaises. Études linguistiques</t>
  </si>
  <si>
    <t>180888865:fre</t>
  </si>
  <si>
    <t>58467673</t>
  </si>
  <si>
    <t>ocm58467673</t>
  </si>
  <si>
    <t>3102804838V</t>
  </si>
  <si>
    <t>9782840502821</t>
  </si>
  <si>
    <t>793921547</t>
  </si>
  <si>
    <t>P325.5 P78 C68 2001</t>
  </si>
  <si>
    <t>0                      P  0325500P  78                 C  68          2001</t>
  </si>
  <si>
    <t>Semantic leaps : frame-shifting and conceptual blending in meaning construction / Seana Coulson.</t>
  </si>
  <si>
    <t>Coulson, Seana, 1966-</t>
  </si>
  <si>
    <t>836987021:eng</t>
  </si>
  <si>
    <t>43884486</t>
  </si>
  <si>
    <t>ocm43884486</t>
  </si>
  <si>
    <t>3102777131B</t>
  </si>
  <si>
    <t>9780521643610</t>
  </si>
  <si>
    <t>793637582</t>
  </si>
  <si>
    <t>P325.5 P78 G35 2017</t>
  </si>
  <si>
    <t>0                      P  0325500P  78                 G  35          2017</t>
  </si>
  <si>
    <t>GEOMETRY OF MEANING.</t>
  </si>
  <si>
    <t>GARDENFORS, PETER.</t>
  </si>
  <si>
    <t>[Place of publication not identified] : MIT Press, 2017.</t>
  </si>
  <si>
    <t>9593898997:eng</t>
  </si>
  <si>
    <t>959033282</t>
  </si>
  <si>
    <t>ocn959033282</t>
  </si>
  <si>
    <t>3103862317K</t>
  </si>
  <si>
    <t>9780262533751</t>
  </si>
  <si>
    <t>795022149</t>
  </si>
  <si>
    <t>P325.5 P78 T53 2016</t>
  </si>
  <si>
    <t>0                      P  0325500P  78                 T  53          2016</t>
  </si>
  <si>
    <t>Sémantique lexicale et psychomécanique guillaumienne / Stéphanie Thavaud-Piton.</t>
  </si>
  <si>
    <t>Thavaud-Piton, Stéphanie, 1975-</t>
  </si>
  <si>
    <t>[Limoges] : Lambert-Lucas, [2016]</t>
  </si>
  <si>
    <t>4055416509:fre</t>
  </si>
  <si>
    <t>971341279</t>
  </si>
  <si>
    <t>ocn971341279</t>
  </si>
  <si>
    <t>3103709099C</t>
  </si>
  <si>
    <t>9782359351668</t>
  </si>
  <si>
    <t>795028157</t>
  </si>
  <si>
    <t>P325.5 R44 C86 2003</t>
  </si>
  <si>
    <t>0                      P  0325500R  44                 C  86          2003</t>
  </si>
  <si>
    <t>The processing and acquisition of reference / edited by Edward Gibson and Neal J. Pearlmutter.</t>
  </si>
  <si>
    <t>CUNY Conference on Human Sentence Processing (16th : 2003 : Cambridge, Mass.)</t>
  </si>
  <si>
    <t>1110691967:eng</t>
  </si>
  <si>
    <t>639940836</t>
  </si>
  <si>
    <t>ocn639940836</t>
  </si>
  <si>
    <t>3103344156E</t>
  </si>
  <si>
    <t>9780262015127</t>
  </si>
  <si>
    <t>794827121</t>
  </si>
  <si>
    <t>P325.5 R44 P44 2007</t>
  </si>
  <si>
    <t>0                      P  0325500R  44                 P  44          2007</t>
  </si>
  <si>
    <t>Person reference in interaction : linguistic, cultural, and social perspectives / edited by N.J. Enfield and Tanya Stivers.</t>
  </si>
  <si>
    <t>Language, culture, and cognition ; 7</t>
  </si>
  <si>
    <t>1059970454:eng</t>
  </si>
  <si>
    <t>75087971</t>
  </si>
  <si>
    <t>ocm75087971</t>
  </si>
  <si>
    <t>3102570139E</t>
  </si>
  <si>
    <t>9780521872454</t>
  </si>
  <si>
    <t>794174389</t>
  </si>
  <si>
    <t>P325.5 R44 R38 1993</t>
  </si>
  <si>
    <t>0                      P  0325500R  44                 R  38          1993</t>
  </si>
  <si>
    <t>Direct reference : from language to thought / François Récanati.</t>
  </si>
  <si>
    <t>353870421:eng</t>
  </si>
  <si>
    <t>26541858</t>
  </si>
  <si>
    <t>ocm26541858</t>
  </si>
  <si>
    <t>31027771695</t>
  </si>
  <si>
    <t>9780631181545</t>
  </si>
  <si>
    <t>793246512</t>
  </si>
  <si>
    <t>P325.5 R44 2011</t>
  </si>
  <si>
    <t>0                      P  0325500R  44          2011</t>
  </si>
  <si>
    <t>Sorting the world : on the relevance of the kind/object-distinction to referential semantics / Olav Mueller-Reichau.</t>
  </si>
  <si>
    <t>Mueller-Reichau, Olav.</t>
  </si>
  <si>
    <t>Frankfurt ; New Brunswick [NJ] : Ontos-Verlag ; Piscataway, NJ : Transaction Books [distributor], ©2011.</t>
  </si>
  <si>
    <t>Linguistics &amp; philosophy ; v. 4</t>
  </si>
  <si>
    <t>1371177408:eng</t>
  </si>
  <si>
    <t>740635120</t>
  </si>
  <si>
    <t>ocn740635120</t>
  </si>
  <si>
    <t>3103394885$</t>
  </si>
  <si>
    <t>9783868381139</t>
  </si>
  <si>
    <t>794883461</t>
  </si>
  <si>
    <t>P325.5 S55 S84 2010</t>
  </si>
  <si>
    <t>0                      P  0325500S  55                 S  84          2010</t>
  </si>
  <si>
    <t>Semantic prosody : a critical evaluation / Dominic Stewart.</t>
  </si>
  <si>
    <t>Stewart, Dominic.</t>
  </si>
  <si>
    <t>Routledge advances in corpus linguistics ; 9</t>
  </si>
  <si>
    <t>793208130:eng</t>
  </si>
  <si>
    <t>299714659</t>
  </si>
  <si>
    <t>ocn299714659</t>
  </si>
  <si>
    <t>31031365787</t>
  </si>
  <si>
    <t>9780415804400</t>
  </si>
  <si>
    <t>794430560</t>
  </si>
  <si>
    <t>P325.5 S63 D44 2016</t>
  </si>
  <si>
    <t>0                      P  0325500S  63                 D  44          2016</t>
  </si>
  <si>
    <t>Définir les mots dans l'intéraction : un essai de sémantique interactionnelle / Luca Greco &amp; Véronique Traverso ; Bruno Bonu, Elwys De Stefani, Arnulf Deppermann, Marianne Doury, Raphaël Micheli, Elisa Ravazzolo, Paul Sambre, Günter Schmale.</t>
  </si>
  <si>
    <t>Paris : Dunod Éditeur, Armand Colin : Larousse, [2016]</t>
  </si>
  <si>
    <t>Langages, 0458-726X ; 204, décembre 2016</t>
  </si>
  <si>
    <t>4048461009:fre</t>
  </si>
  <si>
    <t>972886205</t>
  </si>
  <si>
    <t>ocn972886205</t>
  </si>
  <si>
    <t>31037091048</t>
  </si>
  <si>
    <t>9782200930424</t>
  </si>
  <si>
    <t>795028866</t>
  </si>
  <si>
    <t>P325.5 U54 W54 1996</t>
  </si>
  <si>
    <t>0                      P  0325500U  54                 W  54          1996</t>
  </si>
  <si>
    <t>Semantics : primes and universals / Anna Wierzbicka.</t>
  </si>
  <si>
    <t>Oxford [England] ; New York : Oxford University Press, 1996.</t>
  </si>
  <si>
    <t>2908718836:eng</t>
  </si>
  <si>
    <t>33012927</t>
  </si>
  <si>
    <t>ocm33012927</t>
  </si>
  <si>
    <t>31027771685</t>
  </si>
  <si>
    <t>9780198700029</t>
  </si>
  <si>
    <t>793399726</t>
  </si>
  <si>
    <t>P326 A4 1987</t>
  </si>
  <si>
    <t>0                      P  0326000A  4           1987</t>
  </si>
  <si>
    <t>Words in the mind : an introduction to the mental lexicon / Jean Aitchison.</t>
  </si>
  <si>
    <t>Oxford, UK ; New York, NY, USA : Blackwell, 1987.</t>
  </si>
  <si>
    <t>8548636:eng</t>
  </si>
  <si>
    <t>14411876</t>
  </si>
  <si>
    <t>ocm14411876</t>
  </si>
  <si>
    <t>31027771537</t>
  </si>
  <si>
    <t>9780631144427</t>
  </si>
  <si>
    <t>792889246</t>
  </si>
  <si>
    <t>P326 C37 2012</t>
  </si>
  <si>
    <t>0                      P  0326000C  37          2012</t>
  </si>
  <si>
    <t>Vocabulary : applied linguistic perspectives / Ronald Carter.</t>
  </si>
  <si>
    <t>Milton Park, Abingdon, Oxon ; New York : By Routledge, ©2012.</t>
  </si>
  <si>
    <t>793918362:eng</t>
  </si>
  <si>
    <t>752912075</t>
  </si>
  <si>
    <t>ocn752912075</t>
  </si>
  <si>
    <t>31034073912</t>
  </si>
  <si>
    <t>9780415699334</t>
  </si>
  <si>
    <t>794891923</t>
  </si>
  <si>
    <t>P326 C76 2012</t>
  </si>
  <si>
    <t>0                      P  0326000C  76          2012</t>
  </si>
  <si>
    <t>Cross-disciplinary perspectives on lexical blending / edited by Vincent Renner, François Maniez, Pierre J.L. Arnaud.</t>
  </si>
  <si>
    <t>Trends in linguistics: studies and monographs ; 252</t>
  </si>
  <si>
    <t>1194176896:eng</t>
  </si>
  <si>
    <t>823742147</t>
  </si>
  <si>
    <t>ocn823742147</t>
  </si>
  <si>
    <t>3103454986A</t>
  </si>
  <si>
    <t>9783110289237</t>
  </si>
  <si>
    <t>794937309</t>
  </si>
  <si>
    <t>P326 C79 2006</t>
  </si>
  <si>
    <t>0                      P  0326000C  79          2006</t>
  </si>
  <si>
    <t>Words, words, words / David Crystal.</t>
  </si>
  <si>
    <t>Oxford, England ; New York : Oxford University Press, 2006.</t>
  </si>
  <si>
    <t>46619037:eng</t>
  </si>
  <si>
    <t>62225116</t>
  </si>
  <si>
    <t>ocm62225116</t>
  </si>
  <si>
    <t>3102578972O</t>
  </si>
  <si>
    <t>9780198614449</t>
  </si>
  <si>
    <t>794102418</t>
  </si>
  <si>
    <t>P326 G68 2005</t>
  </si>
  <si>
    <t>0                      P  0326000G  68          2005</t>
  </si>
  <si>
    <t>Words and structure / Jane Grimshaw.</t>
  </si>
  <si>
    <t>Stanford, Calif. : CSLI Publications, ©2005.</t>
  </si>
  <si>
    <t>CSLI lecture notes ; no. 151</t>
  </si>
  <si>
    <t>8910425810:eng</t>
  </si>
  <si>
    <t>62420997</t>
  </si>
  <si>
    <t>ocm62420997</t>
  </si>
  <si>
    <t>3102509468Z</t>
  </si>
  <si>
    <t>9781575864228</t>
  </si>
  <si>
    <t>794106914</t>
  </si>
  <si>
    <t>P326 H37 2013</t>
  </si>
  <si>
    <t>0                      P  0326000H  37          2013</t>
  </si>
  <si>
    <t>Lexical analysis : norms and exploitations / Patrick Hanks.</t>
  </si>
  <si>
    <t>Hanks, Patrick.</t>
  </si>
  <si>
    <t>1118003468:eng</t>
  </si>
  <si>
    <t>794624722</t>
  </si>
  <si>
    <t>ocn794624722</t>
  </si>
  <si>
    <t>3103455299P</t>
  </si>
  <si>
    <t>9780262018579</t>
  </si>
  <si>
    <t>794920220</t>
  </si>
  <si>
    <t>P326 J33 2005</t>
  </si>
  <si>
    <t>0                      P  0326000J  33          2005</t>
  </si>
  <si>
    <t>The meaning of tingo and other extraordinary words from around the world / Adam Jacot de Boinod.</t>
  </si>
  <si>
    <t>Jacot de Boinod, Adam, author.</t>
  </si>
  <si>
    <t>New York : Penguin Press, 2006.</t>
  </si>
  <si>
    <t>First American edition.</t>
  </si>
  <si>
    <t>46666183:eng</t>
  </si>
  <si>
    <t>62282447</t>
  </si>
  <si>
    <t>ocm62282447</t>
  </si>
  <si>
    <t>3102556234Y</t>
  </si>
  <si>
    <t>9781594200861</t>
  </si>
  <si>
    <t>794103653</t>
  </si>
  <si>
    <t>P326 L386 2011</t>
  </si>
  <si>
    <t>0                      P  0326000L  386         2011</t>
  </si>
  <si>
    <t>Lexical representation : a multidisciplinary approach / edited by Gareth Gaskell, Pienie Zwitserlood.</t>
  </si>
  <si>
    <t>Phonology and phonetics ; 17</t>
  </si>
  <si>
    <t>796239027:eng</t>
  </si>
  <si>
    <t>711959834</t>
  </si>
  <si>
    <t>ocn711959834</t>
  </si>
  <si>
    <t>3103363752R</t>
  </si>
  <si>
    <t>9783110224924</t>
  </si>
  <si>
    <t>794871455</t>
  </si>
  <si>
    <t>P326 L39 1989</t>
  </si>
  <si>
    <t>0                      P  0326000L  39          1989</t>
  </si>
  <si>
    <t>Lexical representation and process / edited by William Marslen-Wilson.</t>
  </si>
  <si>
    <t>510844930:eng</t>
  </si>
  <si>
    <t>18960723</t>
  </si>
  <si>
    <t>ocm18960723</t>
  </si>
  <si>
    <t>31027996953</t>
  </si>
  <si>
    <t>9780262132404</t>
  </si>
  <si>
    <t>793042621</t>
  </si>
  <si>
    <t>P326 P455 2012</t>
  </si>
  <si>
    <t>0                      P  0326000P  455         2012</t>
  </si>
  <si>
    <t>Manifeste pour l'hospitalité des langues / Gilles Pellerin avec la participation de Katérina Stenou [and others].</t>
  </si>
  <si>
    <t>Pellerin, Gilles, 1954-</t>
  </si>
  <si>
    <t>Québec, QC : L'Instant même, 2012.</t>
  </si>
  <si>
    <t>1107898270:fre</t>
  </si>
  <si>
    <t>795756285</t>
  </si>
  <si>
    <t>ocn795756285</t>
  </si>
  <si>
    <t>3103402555O</t>
  </si>
  <si>
    <t>9782895023180</t>
  </si>
  <si>
    <t>794921577</t>
  </si>
  <si>
    <t>P326 R48</t>
  </si>
  <si>
    <t>0                      P  0326000R  48</t>
  </si>
  <si>
    <t>Le lexique : images et modèles du dictionnaire à la lexicologie / Alain Rey.</t>
  </si>
  <si>
    <t>Rey, Alain.</t>
  </si>
  <si>
    <t>Paris : Librairie Armand Colin, [1977]</t>
  </si>
  <si>
    <t>3855680258:fre</t>
  </si>
  <si>
    <t>3841119</t>
  </si>
  <si>
    <t>ocm03841119</t>
  </si>
  <si>
    <t>31027771851</t>
  </si>
  <si>
    <t>792297207</t>
  </si>
  <si>
    <t>30009782549</t>
  </si>
  <si>
    <t>792297205</t>
  </si>
  <si>
    <t>2004-10-22</t>
  </si>
  <si>
    <t>3102777190$</t>
  </si>
  <si>
    <t>792297206</t>
  </si>
  <si>
    <t>P326 S36 1981</t>
  </si>
  <si>
    <t>0                      P  0326000S  36          1981</t>
  </si>
  <si>
    <t>The Scope of lexical rules / edited by M. Moortgat, H. v.d. Hulst, T. Hoekstra.</t>
  </si>
  <si>
    <t>Dordrecht, Holland ; Cinnaminson, U.S.A. : Foris Publications, 1981.</t>
  </si>
  <si>
    <t>Linguistic models ; 1</t>
  </si>
  <si>
    <t>346053595:eng</t>
  </si>
  <si>
    <t>8738414</t>
  </si>
  <si>
    <t>ocm08738414</t>
  </si>
  <si>
    <t>3102777214C</t>
  </si>
  <si>
    <t>9789070176518</t>
  </si>
  <si>
    <t>792638441</t>
  </si>
  <si>
    <t>P326 W42 2010</t>
  </si>
  <si>
    <t>0                      P  0326000W  42          2010</t>
  </si>
  <si>
    <t>Webs of words : new studies in historical lexicology / edited by John Considine.</t>
  </si>
  <si>
    <t>3859715614:eng</t>
  </si>
  <si>
    <t>603066179</t>
  </si>
  <si>
    <t>ocn603066179</t>
  </si>
  <si>
    <t>3103133813M</t>
  </si>
  <si>
    <t>9781443819527</t>
  </si>
  <si>
    <t>794815621</t>
  </si>
  <si>
    <t>P326 W73 2002</t>
  </si>
  <si>
    <t>0                      P  0326000W  73          2002</t>
  </si>
  <si>
    <t>Formulaic language and the lexicon / Alison Wray.</t>
  </si>
  <si>
    <t>14455730:eng</t>
  </si>
  <si>
    <t>46359578</t>
  </si>
  <si>
    <t>ocm46359578</t>
  </si>
  <si>
    <t>31027771743</t>
  </si>
  <si>
    <t>9780521773096</t>
  </si>
  <si>
    <t>793683205</t>
  </si>
  <si>
    <t>P326.5 I35 B43 2009</t>
  </si>
  <si>
    <t>0                      P  0326500I  35                 B  43          2009</t>
  </si>
  <si>
    <t>I'm not hanging noodles on your ears : and other intriguing idioms from around the world / Jag Bhalla ; with drawings by Julia Suits.</t>
  </si>
  <si>
    <t>Bhalla, Jag.</t>
  </si>
  <si>
    <t>Washington, D.C. : National Geographic, ©2009.</t>
  </si>
  <si>
    <t>197777152:eng</t>
  </si>
  <si>
    <t>259266212</t>
  </si>
  <si>
    <t>ocn259266212</t>
  </si>
  <si>
    <t>3103155006U</t>
  </si>
  <si>
    <t>9781426204586</t>
  </si>
  <si>
    <t>794399837</t>
  </si>
  <si>
    <t>P326.5 I35 I35 1995</t>
  </si>
  <si>
    <t>0                      P  0326500I  35                 I  35          1995</t>
  </si>
  <si>
    <t>Idioms : structural and psychological perspectives / edited by Martin Everaert [and others].</t>
  </si>
  <si>
    <t>138772565:eng</t>
  </si>
  <si>
    <t>30735258</t>
  </si>
  <si>
    <t>ocm30735258</t>
  </si>
  <si>
    <t>31027771871</t>
  </si>
  <si>
    <t>9780805815054</t>
  </si>
  <si>
    <t>793343519</t>
  </si>
  <si>
    <t>P326.5 P45 N57 2000</t>
  </si>
  <si>
    <t>0                      P  0326500P  45                 N  57          2000</t>
  </si>
  <si>
    <t>Investigations of covert phrase movement / by Jonathan W. Nisssenbaum.</t>
  </si>
  <si>
    <t>Nissenbaum, Jonathan W., 1964-</t>
  </si>
  <si>
    <t>Cambridge, MA : Massachusetts Institute of Technology, 2000.</t>
  </si>
  <si>
    <t>50424508:eng</t>
  </si>
  <si>
    <t>641934771</t>
  </si>
  <si>
    <t>ocn641934771</t>
  </si>
  <si>
    <t>3103485254I</t>
  </si>
  <si>
    <t>794827772</t>
  </si>
  <si>
    <t>P326.5 P45 P465 2011</t>
  </si>
  <si>
    <t>0                      P  0326500P  45                 P  465         2011</t>
  </si>
  <si>
    <t>Colouring meaning : collocation and connotation in figurative language / Gill Philip.</t>
  </si>
  <si>
    <t>Philip, Gill.</t>
  </si>
  <si>
    <t>Studies in corpus linguistics (SCL) ; v. 43</t>
  </si>
  <si>
    <t>802401911:eng</t>
  </si>
  <si>
    <t>683596231</t>
  </si>
  <si>
    <t>ocn683596231</t>
  </si>
  <si>
    <t>3103364475S</t>
  </si>
  <si>
    <t>9789027223197</t>
  </si>
  <si>
    <t>794853512</t>
  </si>
  <si>
    <t>P326.5 P45 P475 2008</t>
  </si>
  <si>
    <t>0                      P  0326500P  45                 P  475         2008</t>
  </si>
  <si>
    <t>Phraseology : an interdisciplinary perspective / edited by Sylviane Granger, Fanny Meunier.</t>
  </si>
  <si>
    <t>871761934:eng</t>
  </si>
  <si>
    <t>191882088</t>
  </si>
  <si>
    <t>ocn191882088</t>
  </si>
  <si>
    <t>3102969914D</t>
  </si>
  <si>
    <t>9789027232465</t>
  </si>
  <si>
    <t>794301760</t>
  </si>
  <si>
    <t>P326.5 P75 A38 2003</t>
  </si>
  <si>
    <t>0                      P  0326500P  75                 A  38          2003</t>
  </si>
  <si>
    <t>49672086</t>
  </si>
  <si>
    <t>ocm49672086</t>
  </si>
  <si>
    <t>3102556383L</t>
  </si>
  <si>
    <t>9780631232438</t>
  </si>
  <si>
    <t>793745232</t>
  </si>
  <si>
    <t>P326.5 P75 F76 2006</t>
  </si>
  <si>
    <t>0                      P  0326500P  75                 F  76          2006</t>
  </si>
  <si>
    <t>From inkmarks to ideas : current issues in lexical processing / edited by Sally Andrews.</t>
  </si>
  <si>
    <t>Hove [England] ; New York : Psychology Press, 2006.</t>
  </si>
  <si>
    <t>48412164:eng</t>
  </si>
  <si>
    <t>64453368</t>
  </si>
  <si>
    <t>ocm64453368</t>
  </si>
  <si>
    <t>3102567131S</t>
  </si>
  <si>
    <t>9781841696072</t>
  </si>
  <si>
    <t>794129481</t>
  </si>
  <si>
    <t>P326.5 P75 M46 2007</t>
  </si>
  <si>
    <t>0                      P  0326500P  75                 M  46          2007</t>
  </si>
  <si>
    <t>The Mental lexicon : core perspectives / edited by Gonia Jarema, Gary Libben.</t>
  </si>
  <si>
    <t>Oxford : Elservier, 2007.</t>
  </si>
  <si>
    <t>1152742951:eng</t>
  </si>
  <si>
    <t>779663903</t>
  </si>
  <si>
    <t>ocn779663903</t>
  </si>
  <si>
    <t>3102642493V</t>
  </si>
  <si>
    <t>9780080453538</t>
  </si>
  <si>
    <t>794911182</t>
  </si>
  <si>
    <t>P327 A35 2010</t>
  </si>
  <si>
    <t>0                      P  0327000A  35          2010</t>
  </si>
  <si>
    <t>Adventuring in dictionaries : new studies in the history of lexicography / edited by John Considine.</t>
  </si>
  <si>
    <t>896310033:eng</t>
  </si>
  <si>
    <t>683414105</t>
  </si>
  <si>
    <t>ocn683414105</t>
  </si>
  <si>
    <t>3103232748H</t>
  </si>
  <si>
    <t>9781443825764</t>
  </si>
  <si>
    <t>794853446</t>
  </si>
  <si>
    <t>P327 B56 2013</t>
  </si>
  <si>
    <t>0                      P  0327000B  56          2013</t>
  </si>
  <si>
    <t>The Bloomsbury companion to lexicography / edited by Howard Jackson.</t>
  </si>
  <si>
    <t>1774492205:eng</t>
  </si>
  <si>
    <t>841039519</t>
  </si>
  <si>
    <t>ocn841039519</t>
  </si>
  <si>
    <t>3103503329Q</t>
  </si>
  <si>
    <t>9781441145970</t>
  </si>
  <si>
    <t>794946464</t>
  </si>
  <si>
    <t>P327 B68 2003</t>
  </si>
  <si>
    <t>0                      P  0327000B  68          2003</t>
  </si>
  <si>
    <t>Les inventeurs de dictionnaires : de l'eduba des scribes mésopotamiens au scriptorium des moines médiévaux / Jean-Claude Boulanger.</t>
  </si>
  <si>
    <t>Boulanger, Jean-Claude.</t>
  </si>
  <si>
    <t>[Ottawa] : Presses de l'Université d'Ottawa, c2003.</t>
  </si>
  <si>
    <t>864914820:fre</t>
  </si>
  <si>
    <t>52704740</t>
  </si>
  <si>
    <t>ocm52704740</t>
  </si>
  <si>
    <t>3102777212C</t>
  </si>
  <si>
    <t>9782760305489</t>
  </si>
  <si>
    <t>793812175</t>
  </si>
  <si>
    <t>P327 C6 1982</t>
  </si>
  <si>
    <t>0                      P  0327000C  6           1982</t>
  </si>
  <si>
    <t>A history of foreign-language dictionaries / Robert L. Collison.</t>
  </si>
  <si>
    <t>Collison, Robert Lewis.</t>
  </si>
  <si>
    <t>London : Deutsch, 1982.</t>
  </si>
  <si>
    <t>3772419628:eng</t>
  </si>
  <si>
    <t>8785285</t>
  </si>
  <si>
    <t>ocm08785285</t>
  </si>
  <si>
    <t>3102777207E</t>
  </si>
  <si>
    <t>9780233973104</t>
  </si>
  <si>
    <t>792640873</t>
  </si>
  <si>
    <t>P327 D56 1996</t>
  </si>
  <si>
    <t>0                      P  0327000D  56          1996</t>
  </si>
  <si>
    <t>Alphabet et raison : le paradoxe des dictionnaires au XVIIIe siècle / Béatrice Didier.</t>
  </si>
  <si>
    <t>Didier, Béatrice.</t>
  </si>
  <si>
    <t>Paris : Presses universitaires de France, ©1996.</t>
  </si>
  <si>
    <t>Ecriture, 0222-1179</t>
  </si>
  <si>
    <t>201440310:fre</t>
  </si>
  <si>
    <t>36761093</t>
  </si>
  <si>
    <t>ocm36761093</t>
  </si>
  <si>
    <t>3101826031L</t>
  </si>
  <si>
    <t>9782130474630</t>
  </si>
  <si>
    <t>793483707</t>
  </si>
  <si>
    <t>P327 E19 2011</t>
  </si>
  <si>
    <t>0                      P  0327000E  19          2011</t>
  </si>
  <si>
    <t>E-lexicography : the internet, digital initiatives and lexicography / edited by Pedro A. Fuertes-Olivera and Henning Bergenholtz.</t>
  </si>
  <si>
    <t>2012-12-04</t>
  </si>
  <si>
    <t>1020784587:eng</t>
  </si>
  <si>
    <t>698332572</t>
  </si>
  <si>
    <t>ocn698332572</t>
  </si>
  <si>
    <t>3103342987T</t>
  </si>
  <si>
    <t>9781441128065</t>
  </si>
  <si>
    <t>794860927</t>
  </si>
  <si>
    <t>P327 F736 2009</t>
  </si>
  <si>
    <t>0                      P  0327000F  736         2009</t>
  </si>
  <si>
    <t>La Traduction dans les dictionnaires bilingues / Lynne Franjié</t>
  </si>
  <si>
    <t>Franjié, Lynne.</t>
  </si>
  <si>
    <t>Paris : Manuscrit, 2009.</t>
  </si>
  <si>
    <t>Recherche-université ; 13097</t>
  </si>
  <si>
    <t>1080425076:fre</t>
  </si>
  <si>
    <t>783314640</t>
  </si>
  <si>
    <t>ocn783314640</t>
  </si>
  <si>
    <t>31035852788</t>
  </si>
  <si>
    <t>9782304030662</t>
  </si>
  <si>
    <t>794914187</t>
  </si>
  <si>
    <t>P327 H378 2007</t>
  </si>
  <si>
    <t>0                      P  0327000H  378         2007</t>
  </si>
  <si>
    <t>Interlingual lexicography : selected essays on translation equivalence, contrastive linguistics and the bilingual dictionary / Reinhard Rudolf Karl Hartmann.</t>
  </si>
  <si>
    <t>Hartmann, R. R. K.</t>
  </si>
  <si>
    <t>Tübingen : Max Niemeyer Verlag, 2007.</t>
  </si>
  <si>
    <t>Lexicographica. Series maior, 0175-9264 ; 133</t>
  </si>
  <si>
    <t>792199095:eng</t>
  </si>
  <si>
    <t>191763192</t>
  </si>
  <si>
    <t>ocn191763192</t>
  </si>
  <si>
    <t>31028708784</t>
  </si>
  <si>
    <t>9783484391338</t>
  </si>
  <si>
    <t>794301115</t>
  </si>
  <si>
    <t>P327 I48 2003</t>
  </si>
  <si>
    <t>0                      P  0327000I  48          2003</t>
  </si>
  <si>
    <t>L'innovation lexicale / textes réunis et présentés par Jean-François Sablayrolles.</t>
  </si>
  <si>
    <t>Paris : Champion, 2003.</t>
  </si>
  <si>
    <t>Lexica, 1279-8207 ; 11</t>
  </si>
  <si>
    <t>351367894:fre</t>
  </si>
  <si>
    <t>52772019</t>
  </si>
  <si>
    <t>ocm52772019</t>
  </si>
  <si>
    <t>31026601647</t>
  </si>
  <si>
    <t>9782745308009</t>
  </si>
  <si>
    <t>793813612</t>
  </si>
  <si>
    <t>P327 J33 2002</t>
  </si>
  <si>
    <t>0                      P  0327000J  33          2002</t>
  </si>
  <si>
    <t>Lexicography : an introduction / Howard Jackson.</t>
  </si>
  <si>
    <t>Jackson, Howard, 1945-</t>
  </si>
  <si>
    <t>2017-04-23</t>
  </si>
  <si>
    <t>793078124:eng</t>
  </si>
  <si>
    <t>50227291</t>
  </si>
  <si>
    <t>ocm50227291</t>
  </si>
  <si>
    <t>31027772554</t>
  </si>
  <si>
    <t>9780415231725</t>
  </si>
  <si>
    <t>793758291</t>
  </si>
  <si>
    <t>P327 M3 1973</t>
  </si>
  <si>
    <t>0                      P  0327000M  3           1973</t>
  </si>
  <si>
    <t>La méthode en lexicologie; domaine français.</t>
  </si>
  <si>
    <t>Matoré, Georges.</t>
  </si>
  <si>
    <t>Paris, M. Didier [1973]</t>
  </si>
  <si>
    <t>Nouv. éd. refondue.</t>
  </si>
  <si>
    <t>365223514:fre</t>
  </si>
  <si>
    <t>746279</t>
  </si>
  <si>
    <t>ocm00746279</t>
  </si>
  <si>
    <t>3000975391E</t>
  </si>
  <si>
    <t>791460285</t>
  </si>
  <si>
    <t>P327 M84 2011</t>
  </si>
  <si>
    <t>0                      P  0327000M  84          2011</t>
  </si>
  <si>
    <t>Dictionaries : a very short introduction / Lynda Mugglestone.</t>
  </si>
  <si>
    <t>Mugglestone, Lynda.</t>
  </si>
  <si>
    <t>Very short introductions ; 281</t>
  </si>
  <si>
    <t>1011832872:eng</t>
  </si>
  <si>
    <t>709682866</t>
  </si>
  <si>
    <t>ocn709682866</t>
  </si>
  <si>
    <t>31033429362</t>
  </si>
  <si>
    <t>9780199573790</t>
  </si>
  <si>
    <t>794869778</t>
  </si>
  <si>
    <t>P327 N49 2010</t>
  </si>
  <si>
    <t>0                      P  0327000N  49          2010</t>
  </si>
  <si>
    <t>New trends in lexicography : ways of registrating and describing lexis / edited by Olga Karpova and Faina Kartashkova.</t>
  </si>
  <si>
    <t>908620420:eng</t>
  </si>
  <si>
    <t>659418587</t>
  </si>
  <si>
    <t>ocn659418587</t>
  </si>
  <si>
    <t>3103133630O</t>
  </si>
  <si>
    <t>9781443819459</t>
  </si>
  <si>
    <t>794836338</t>
  </si>
  <si>
    <t>P327 R4</t>
  </si>
  <si>
    <t>0                      P  0327000R  4</t>
  </si>
  <si>
    <t>La lexicologie : lectures / Alain Rey.</t>
  </si>
  <si>
    <t>Rey, Alain, author.</t>
  </si>
  <si>
    <t>Paris : Klincksieck, 1970.</t>
  </si>
  <si>
    <t>Initiation à la linguistique. sér. A. no. 2</t>
  </si>
  <si>
    <t>363819840:fre</t>
  </si>
  <si>
    <t>21200251</t>
  </si>
  <si>
    <t>ocm21200251</t>
  </si>
  <si>
    <t>3102777224A</t>
  </si>
  <si>
    <t>793112317</t>
  </si>
  <si>
    <t>3102777219C</t>
  </si>
  <si>
    <t>793112318</t>
  </si>
  <si>
    <t>2009-07-29</t>
  </si>
  <si>
    <t>31006323091</t>
  </si>
  <si>
    <t>793112319</t>
  </si>
  <si>
    <t>P327 S695 2018</t>
  </si>
  <si>
    <t>0                      P  0327000S  695         2018</t>
  </si>
  <si>
    <t>Word by word : the secret life of dictionaries / Kory Stamper.</t>
  </si>
  <si>
    <t>Stamper, Kory, author.</t>
  </si>
  <si>
    <t>New York : Vintage Books, a division of Penguin Random House LLC, 2018.</t>
  </si>
  <si>
    <t>3802581046:eng</t>
  </si>
  <si>
    <t>1028862170</t>
  </si>
  <si>
    <t>on1028862170</t>
  </si>
  <si>
    <t>3103670271$</t>
  </si>
  <si>
    <t>9781101970263</t>
  </si>
  <si>
    <t>795053558</t>
  </si>
  <si>
    <t>P327 S72 2005</t>
  </si>
  <si>
    <t>0                      P  0327000S  72          2005</t>
  </si>
  <si>
    <t>Dictionary days : a defining passion / Ilan Stavans.</t>
  </si>
  <si>
    <t>Stavans, Ilan.</t>
  </si>
  <si>
    <t>Saint Paul, Minn. : Graywolf Press, ©2005.</t>
  </si>
  <si>
    <t>19527582:eng</t>
  </si>
  <si>
    <t>58750112</t>
  </si>
  <si>
    <t>ocm58750112</t>
  </si>
  <si>
    <t>3102562932O</t>
  </si>
  <si>
    <t>9781555974190</t>
  </si>
  <si>
    <t>793923909</t>
  </si>
  <si>
    <t>P327 W39 2010</t>
  </si>
  <si>
    <t>0                      P  0327000W  39          2010</t>
  </si>
  <si>
    <t>A way with words : recent advances in lexical theory and analysis : a festschrift for Patrick Hanks / edited by Gilles-Maurice de Schryver.</t>
  </si>
  <si>
    <t>Kampala : Menha Publishers, 2010.</t>
  </si>
  <si>
    <t>622697176:eng</t>
  </si>
  <si>
    <t>662959249</t>
  </si>
  <si>
    <t>ocn662959249</t>
  </si>
  <si>
    <t>3103286089Q</t>
  </si>
  <si>
    <t>9789970101016</t>
  </si>
  <si>
    <t>794837571</t>
  </si>
  <si>
    <t>P327 W67 2011</t>
  </si>
  <si>
    <t>0                      P  0327000W  67          2011</t>
  </si>
  <si>
    <t>Words in dictionaries and history : essays in honour of R.W. McConchie / edited by Olga Timofeeva, Tanja Säily.</t>
  </si>
  <si>
    <t>Terminology and lexicography research and practice ; v. 14</t>
  </si>
  <si>
    <t>786630440:eng</t>
  </si>
  <si>
    <t>701622888</t>
  </si>
  <si>
    <t>ocn701622888</t>
  </si>
  <si>
    <t>3103364775J</t>
  </si>
  <si>
    <t>9789027223388</t>
  </si>
  <si>
    <t>794863291</t>
  </si>
  <si>
    <t>P327.45 E85 C66 2008</t>
  </si>
  <si>
    <t>0                      P  0327450E  85                 C  66          2008</t>
  </si>
  <si>
    <t>Dictionaries in early modern Europe : lexicography and the making of heritage / John Considine.</t>
  </si>
  <si>
    <t>Considine, John (John P.)</t>
  </si>
  <si>
    <t>856170086:eng</t>
  </si>
  <si>
    <t>174449768</t>
  </si>
  <si>
    <t>ocn174449768</t>
  </si>
  <si>
    <t>3102852841C</t>
  </si>
  <si>
    <t>9780521886741</t>
  </si>
  <si>
    <t>794274365</t>
  </si>
  <si>
    <t>P327.45 E85 C66 2017</t>
  </si>
  <si>
    <t>0                      P  0327450E  85                 C  66          2017</t>
  </si>
  <si>
    <t>Small dictionaries and curiosity : lexicography and fieldwork in post-medieval Europe / John Considine.</t>
  </si>
  <si>
    <t>Considine, John (John P.), author.</t>
  </si>
  <si>
    <t>Oxford, United Kingdom : Oxford University Press, 2017.</t>
  </si>
  <si>
    <t>2019-01-16</t>
  </si>
  <si>
    <t>3755586043:eng</t>
  </si>
  <si>
    <t>955312844</t>
  </si>
  <si>
    <t>ocn955312844</t>
  </si>
  <si>
    <t>3103670477G</t>
  </si>
  <si>
    <t>9780198785019</t>
  </si>
  <si>
    <t>795019939</t>
  </si>
  <si>
    <t>P361 O85 1962</t>
  </si>
  <si>
    <t>0                      P  0361000O  85          1962</t>
  </si>
  <si>
    <t>International dictionary in 21 languages.</t>
  </si>
  <si>
    <t>Ouseg, H. L.</t>
  </si>
  <si>
    <t>New York : Philosophical Library, ©1962.</t>
  </si>
  <si>
    <t>3901026045:eng</t>
  </si>
  <si>
    <t>1250610</t>
  </si>
  <si>
    <t>ocm01250610</t>
  </si>
  <si>
    <t>3100712860N</t>
  </si>
  <si>
    <t>791583758</t>
  </si>
  <si>
    <t>P365 I5</t>
  </si>
  <si>
    <t>0                      P  0365000I  5</t>
  </si>
  <si>
    <t>Symbols for languages, countries and authorities.</t>
  </si>
  <si>
    <t>International Organization for Standardization.</t>
  </si>
  <si>
    <t>ISO recommendation, R639</t>
  </si>
  <si>
    <t>1403277:eng</t>
  </si>
  <si>
    <t>321954</t>
  </si>
  <si>
    <t>ocm00321954</t>
  </si>
  <si>
    <t>3102777284Z</t>
  </si>
  <si>
    <t>791336424</t>
  </si>
  <si>
    <t>P367 C47 1998</t>
  </si>
  <si>
    <t>0                      P  0367000C  47          1998</t>
  </si>
  <si>
    <t>Dialectology / J.K. Chambers and Peter Trudgill.</t>
  </si>
  <si>
    <t>Cambridge ; New York : Cambridge University Press, ©1998.</t>
  </si>
  <si>
    <t>558049:eng</t>
  </si>
  <si>
    <t>37712973</t>
  </si>
  <si>
    <t>ocm37712973</t>
  </si>
  <si>
    <t>31027772692</t>
  </si>
  <si>
    <t>9780521593786</t>
  </si>
  <si>
    <t>793505326</t>
  </si>
  <si>
    <t>P367 D48 1998</t>
  </si>
  <si>
    <t>0                      P  0367000D  48          1998</t>
  </si>
  <si>
    <t>Handbook of dialects and language variation.</t>
  </si>
  <si>
    <t>San Diego : Academic Press, ©1998.</t>
  </si>
  <si>
    <t>2nd ed. / edited by Michael D. Linn.</t>
  </si>
  <si>
    <t>592337:eng</t>
  </si>
  <si>
    <t>40073645</t>
  </si>
  <si>
    <t>ocm40073645</t>
  </si>
  <si>
    <t>31027772642</t>
  </si>
  <si>
    <t>9780124510708</t>
  </si>
  <si>
    <t>793559292</t>
  </si>
  <si>
    <t>P367 D524 2003</t>
  </si>
  <si>
    <t>0                      P  0367000D  524         2003</t>
  </si>
  <si>
    <t>Dialectology meets typology : dialect grammar from a cross-linguistic perspective / edited by Bernd Kortmann.</t>
  </si>
  <si>
    <t>Trends in linguistics. Studies and monographs ; 153</t>
  </si>
  <si>
    <t>1044568473:eng</t>
  </si>
  <si>
    <t>53443234</t>
  </si>
  <si>
    <t>ocm53443234</t>
  </si>
  <si>
    <t>3102777298X</t>
  </si>
  <si>
    <t>9783110179491</t>
  </si>
  <si>
    <t>793828579</t>
  </si>
  <si>
    <t>P367 D655 2015</t>
  </si>
  <si>
    <t>0                      P  0367000D  655         2015</t>
  </si>
  <si>
    <t>The written questionnaire in social dialectology : history, theory, practice / Stefan Dollinger, University of Gothenburg &amp; University of British Columbia.</t>
  </si>
  <si>
    <t>Dollinger, Stefan, author.</t>
  </si>
  <si>
    <t>Impact, studies in language and society, 1385-7908 ; volume 40</t>
  </si>
  <si>
    <t>2754457951:eng</t>
  </si>
  <si>
    <t>920017948</t>
  </si>
  <si>
    <t>ocn920017948</t>
  </si>
  <si>
    <t>3103658718T</t>
  </si>
  <si>
    <t>9789027258311</t>
  </si>
  <si>
    <t>795002158</t>
  </si>
  <si>
    <t>P367 E83 2009</t>
  </si>
  <si>
    <t>0                      P  0367000E  83          2009</t>
  </si>
  <si>
    <t>Exaptation and language change / edited by Muriel Norde, Humboldt-Universität zu Berlin ; Freek Van De Velde, University of Leuven.</t>
  </si>
  <si>
    <t>Current Issues In Linguistic Theory, 0304-0763 ; 336</t>
  </si>
  <si>
    <t>2857194732:eng</t>
  </si>
  <si>
    <t>928610810</t>
  </si>
  <si>
    <t>ocn928610810</t>
  </si>
  <si>
    <t>3103658752T</t>
  </si>
  <si>
    <t>9789027248558</t>
  </si>
  <si>
    <t>795006266</t>
  </si>
  <si>
    <t>P367 H46 2017</t>
  </si>
  <si>
    <t>0                      P  0367000H  46          2017</t>
  </si>
  <si>
    <t>The handbook of dialectology / edited by Charles Boberg, John Nerbonne, and Dominic Watt.</t>
  </si>
  <si>
    <t>Hoboken, NJ : John Wiley &amp; Sons, Inc., 2018.</t>
  </si>
  <si>
    <t>Blackwell Handbooks in linguistics</t>
  </si>
  <si>
    <t>4390630639:eng</t>
  </si>
  <si>
    <t>985805721</t>
  </si>
  <si>
    <t>ocn985805721</t>
  </si>
  <si>
    <t>3103759571L</t>
  </si>
  <si>
    <t>9781118827550</t>
  </si>
  <si>
    <t>795035463</t>
  </si>
  <si>
    <t>P367 I5 2008</t>
  </si>
  <si>
    <t>0                      P  0367000I  5           2008</t>
  </si>
  <si>
    <t>Proceedings of methods XIII : papers from the Thirteenth International Conference on Methods in Dialectology, 2008 / Barry Heselwood, Clive Upton (eds.).</t>
  </si>
  <si>
    <t>International Conference on Methods in Dialectology (13th : 2008 : Leeds)</t>
  </si>
  <si>
    <t>Bamberger Beiträge zur englischen Sprachwissenschaft ; Bd. 54</t>
  </si>
  <si>
    <t>509899689:eng</t>
  </si>
  <si>
    <t>646404454</t>
  </si>
  <si>
    <t>ocn646404454</t>
  </si>
  <si>
    <t>31032798315</t>
  </si>
  <si>
    <t>9783631612408</t>
  </si>
  <si>
    <t>794830441</t>
  </si>
  <si>
    <t>P367 P4 1980b</t>
  </si>
  <si>
    <t>0                      P  0367000P  4           1980b</t>
  </si>
  <si>
    <t>The study of dialect : an introduction to dialectology / K.M. Petyt.</t>
  </si>
  <si>
    <t>Petyt, K. M.</t>
  </si>
  <si>
    <t>Boulder, Colo. : Westview Press, 1980.</t>
  </si>
  <si>
    <t>806718993:eng</t>
  </si>
  <si>
    <t>7090711</t>
  </si>
  <si>
    <t>ocm07090711</t>
  </si>
  <si>
    <t>3102777302B</t>
  </si>
  <si>
    <t>9780865310605</t>
  </si>
  <si>
    <t>792539800</t>
  </si>
  <si>
    <t>P368 B3713 1987</t>
  </si>
  <si>
    <t>0                      P  0368000B  3713        1987</t>
  </si>
  <si>
    <t>Norms of language : theoretical and practical aspects / Renate Bartsch.</t>
  </si>
  <si>
    <t>Bartsch, Renate, 1939-</t>
  </si>
  <si>
    <t>8982472:eng</t>
  </si>
  <si>
    <t>14932639</t>
  </si>
  <si>
    <t>ocm14932639</t>
  </si>
  <si>
    <t>31027772770</t>
  </si>
  <si>
    <t>9780582014756</t>
  </si>
  <si>
    <t>792914139</t>
  </si>
  <si>
    <t>P368 C76 2003</t>
  </si>
  <si>
    <t>0                      P  0368000C  76          2003</t>
  </si>
  <si>
    <t>Standard English and the politics of language / Tony Crowley.</t>
  </si>
  <si>
    <t>Crowley, Tony.</t>
  </si>
  <si>
    <t>682066:eng</t>
  </si>
  <si>
    <t>50960840</t>
  </si>
  <si>
    <t>ocm50960840</t>
  </si>
  <si>
    <t>31027772720</t>
  </si>
  <si>
    <t>9780333990353</t>
  </si>
  <si>
    <t>793776128</t>
  </si>
  <si>
    <t>P368 L3</t>
  </si>
  <si>
    <t>0                      P  0368000L  3</t>
  </si>
  <si>
    <t>Language planning : current issues and research / Joan Rubin [and] Roger Shuy, editors.</t>
  </si>
  <si>
    <t>Washington : Georgetown University Press, [1973]</t>
  </si>
  <si>
    <t>422823023:eng</t>
  </si>
  <si>
    <t>668607</t>
  </si>
  <si>
    <t>ocm00668607</t>
  </si>
  <si>
    <t>3000997861I</t>
  </si>
  <si>
    <t>9780878402014</t>
  </si>
  <si>
    <t>791441901</t>
  </si>
  <si>
    <t>3102777891F</t>
  </si>
  <si>
    <t>791441900</t>
  </si>
  <si>
    <t>P368 M54 2012</t>
  </si>
  <si>
    <t>0                      P  0368000M  54          2012</t>
  </si>
  <si>
    <t>Authority in language : investigating standard English / James Milroy and Lesley Milroy.</t>
  </si>
  <si>
    <t>Milroy, James.</t>
  </si>
  <si>
    <t>4798713681:eng</t>
  </si>
  <si>
    <t>741541994</t>
  </si>
  <si>
    <t>ocn741541994</t>
  </si>
  <si>
    <t>3103406075J</t>
  </si>
  <si>
    <t>9780415696821</t>
  </si>
  <si>
    <t>794884157</t>
  </si>
  <si>
    <t>P368 N66 1983</t>
  </si>
  <si>
    <t>0                      P  0368000N  66          1983</t>
  </si>
  <si>
    <t>La Norme linguistique / textes colligés et présentés par Edith Bédard et Jacques Maurais.</t>
  </si>
  <si>
    <t>[Québec] : Gouvernement du Québec, Conseil de la langue française ; Paris : Le Robert, [1983]</t>
  </si>
  <si>
    <t>Collection L'Ordre des mots</t>
  </si>
  <si>
    <t>350089079:fre</t>
  </si>
  <si>
    <t>10112700</t>
  </si>
  <si>
    <t>ocm10112700</t>
  </si>
  <si>
    <t>3102777881H</t>
  </si>
  <si>
    <t>9782551052431</t>
  </si>
  <si>
    <t>792709601</t>
  </si>
  <si>
    <t>2006-12-03</t>
  </si>
  <si>
    <t>3000987562Y</t>
  </si>
  <si>
    <t>792709602</t>
  </si>
  <si>
    <t>P368 S72</t>
  </si>
  <si>
    <t>0                      P  0368000S  72</t>
  </si>
  <si>
    <t>Standard languages : spoken and written / edited by W. Haas.</t>
  </si>
  <si>
    <t>Manchester : Manchester University Press ; Totowa, N.J. : Barnes and Noble, ©1982.</t>
  </si>
  <si>
    <t>Mont Follick series ; v. 5</t>
  </si>
  <si>
    <t>896236768:eng</t>
  </si>
  <si>
    <t>9577413</t>
  </si>
  <si>
    <t>ocm09577413</t>
  </si>
  <si>
    <t>3102777876J</t>
  </si>
  <si>
    <t>9780389202912</t>
  </si>
  <si>
    <t>792683092</t>
  </si>
  <si>
    <t>3000969566S</t>
  </si>
  <si>
    <t>792683093</t>
  </si>
  <si>
    <t>P368 S73 2011</t>
  </si>
  <si>
    <t>0                      P  0368000S  73          2011</t>
  </si>
  <si>
    <t>Standard languages and language standards in a changing Europe / Tore Kristiansen and Nikolas Coupland (eds.).</t>
  </si>
  <si>
    <t>Olso : Novus Press, 2011.</t>
  </si>
  <si>
    <t>Standard language ideology in contemporary Europe ; 1</t>
  </si>
  <si>
    <t>1069227221:eng</t>
  </si>
  <si>
    <t>800632787</t>
  </si>
  <si>
    <t>ocn800632787</t>
  </si>
  <si>
    <t>31035390050</t>
  </si>
  <si>
    <t>9788270996599</t>
  </si>
  <si>
    <t>794924589</t>
  </si>
  <si>
    <t>P371 C357 2004</t>
  </si>
  <si>
    <t>0                      P  0371000C  357         2004</t>
  </si>
  <si>
    <t>The Cambridge Encyclopedia of the World's Ancient Languages / edited by Roger D. Woodard.</t>
  </si>
  <si>
    <t>56856983:eng</t>
  </si>
  <si>
    <t>59471649</t>
  </si>
  <si>
    <t>ocm59471649</t>
  </si>
  <si>
    <t>3103679787U</t>
  </si>
  <si>
    <t>9780521562560</t>
  </si>
  <si>
    <t>793930166</t>
  </si>
  <si>
    <t>P371 C37 1995</t>
  </si>
  <si>
    <t>0                      P  0371000C  37          1995</t>
  </si>
  <si>
    <t>Concise compendium of the world's languages / by George L. Campbell.</t>
  </si>
  <si>
    <t>4925224570:eng</t>
  </si>
  <si>
    <t>31044817</t>
  </si>
  <si>
    <t>ocm31044817</t>
  </si>
  <si>
    <t>3101408679$</t>
  </si>
  <si>
    <t>9780415113922</t>
  </si>
  <si>
    <t>793352076</t>
  </si>
  <si>
    <t>P371 E84 2018</t>
  </si>
  <si>
    <t>0                      P  0371000E  84          2018</t>
  </si>
  <si>
    <t>Ethnologue : languages of Africa and Europe / Gary F. Simons and Charles D. Fennig, editors.</t>
  </si>
  <si>
    <t>Dallas, [Texas] : SIL International, [2018]</t>
  </si>
  <si>
    <t>Twenty-first edition.</t>
  </si>
  <si>
    <t>3862785452:eng</t>
  </si>
  <si>
    <t>1038469611</t>
  </si>
  <si>
    <t>on1038469611</t>
  </si>
  <si>
    <t>31038622962</t>
  </si>
  <si>
    <t>9781556714337</t>
  </si>
  <si>
    <t>795058652</t>
  </si>
  <si>
    <t>P371 O56 2008</t>
  </si>
  <si>
    <t>0                      P  0371000O  56          2008</t>
  </si>
  <si>
    <t>One thousand languages : living, endangered, and lost / edited by Peter K. Austin.</t>
  </si>
  <si>
    <t>Berkeley : University of California Press, ©2008.</t>
  </si>
  <si>
    <t>793010725:eng</t>
  </si>
  <si>
    <t>192134487</t>
  </si>
  <si>
    <t>ocn192134487</t>
  </si>
  <si>
    <t>31029724742</t>
  </si>
  <si>
    <t>9780520255609</t>
  </si>
  <si>
    <t>794303667</t>
  </si>
  <si>
    <t>P371 P76 2011</t>
  </si>
  <si>
    <t>0                      P  0371000P  76          2011</t>
  </si>
  <si>
    <t>Processing and producing head-final structures / edited by Hiroko Yamashita, Yuki Hirose and Jerome L. Packard.</t>
  </si>
  <si>
    <t>Studies in theoretical psycholinguistics, 1873-0043 ; v. 38</t>
  </si>
  <si>
    <t>5616024152:eng</t>
  </si>
  <si>
    <t>639461820</t>
  </si>
  <si>
    <t>ocn639461820</t>
  </si>
  <si>
    <t>3103322585E</t>
  </si>
  <si>
    <t>9789048192120</t>
  </si>
  <si>
    <t>794826854</t>
  </si>
  <si>
    <t>P375 H28 1999</t>
  </si>
  <si>
    <t>0                      P  0375000H  28          1999</t>
  </si>
  <si>
    <t>Handbook of perceptual dialectology / edited by Dennis R. Preston.</t>
  </si>
  <si>
    <t>Amsterdam ; Philadelphia : J. Benjamins, ©1999-&lt;c2002&gt;</t>
  </si>
  <si>
    <t>3373741440:eng</t>
  </si>
  <si>
    <t>39215790</t>
  </si>
  <si>
    <t>ocm39215790</t>
  </si>
  <si>
    <t>3102777870J</t>
  </si>
  <si>
    <t>9781556195341</t>
  </si>
  <si>
    <t>793540855</t>
  </si>
  <si>
    <t>2013-09-11</t>
  </si>
  <si>
    <t>3102777875J</t>
  </si>
  <si>
    <t>793540856</t>
  </si>
  <si>
    <t>P376 G7 1987</t>
  </si>
  <si>
    <t>0                      P  0376000G  7           1987</t>
  </si>
  <si>
    <t>Language in the Americas / Joseph H. Greenberg.</t>
  </si>
  <si>
    <t>Stanford, Calif. : Stanford University Press, 1987.</t>
  </si>
  <si>
    <t>2015-10-02</t>
  </si>
  <si>
    <t>328746353:eng</t>
  </si>
  <si>
    <t>13794661</t>
  </si>
  <si>
    <t>ocm13794661</t>
  </si>
  <si>
    <t>3102777850N</t>
  </si>
  <si>
    <t>9780804713153</t>
  </si>
  <si>
    <t>792866823</t>
  </si>
  <si>
    <t>P377 L3</t>
  </si>
  <si>
    <t>0                      P  0377000L  3</t>
  </si>
  <si>
    <t>Language in the USA / edited by Charles A. Ferguson, Shirley Brice Heath, with the assistance of David Hwang ; foreword by Dell H. Hymes.</t>
  </si>
  <si>
    <t>Cambridge [England] ; New York : Cambridge University Press, 1981.</t>
  </si>
  <si>
    <t>350233414:eng</t>
  </si>
  <si>
    <t>6649746</t>
  </si>
  <si>
    <t>ocm06649746</t>
  </si>
  <si>
    <t>3102777879J</t>
  </si>
  <si>
    <t>9780521231404</t>
  </si>
  <si>
    <t>792514438</t>
  </si>
  <si>
    <t>P377 L33 2004</t>
  </si>
  <si>
    <t>0                      P  0377000L  33          2004</t>
  </si>
  <si>
    <t>Language in the USA : themes for the twenty-first century / [edited by] Edward Finegan, John R. Rickford.</t>
  </si>
  <si>
    <t>Cambridge : Cambridge University Press, 2004</t>
  </si>
  <si>
    <t>796429628:eng</t>
  </si>
  <si>
    <t>58840554</t>
  </si>
  <si>
    <t>ocm58840554</t>
  </si>
  <si>
    <t>3102640170F</t>
  </si>
  <si>
    <t>9780521771757</t>
  </si>
  <si>
    <t>793925212</t>
  </si>
  <si>
    <t>P379 L35 1998</t>
  </si>
  <si>
    <t>0                      P  0379000L  35          1998</t>
  </si>
  <si>
    <t>Language in Canada / edited by John Edwards.</t>
  </si>
  <si>
    <t>5612354367:eng</t>
  </si>
  <si>
    <t>39781168</t>
  </si>
  <si>
    <t>ocm39781168</t>
  </si>
  <si>
    <t>3102777874J</t>
  </si>
  <si>
    <t>9780521563284</t>
  </si>
  <si>
    <t>793553157</t>
  </si>
  <si>
    <t>31034004342</t>
  </si>
  <si>
    <t>793553156</t>
  </si>
  <si>
    <t>P379 S68</t>
  </si>
  <si>
    <t>0                      P  0379000S  68</t>
  </si>
  <si>
    <t>Sounds Canadian : languages and cultures in multi-ethnic society / edited by Paul M. Migus.</t>
  </si>
  <si>
    <t>Toronto : P. Martin Associates, [1975]</t>
  </si>
  <si>
    <t>Canadian Ethnic Studies Association series ; v. 4</t>
  </si>
  <si>
    <t>2004-01-04</t>
  </si>
  <si>
    <t>894374638:eng</t>
  </si>
  <si>
    <t>1340084</t>
  </si>
  <si>
    <t>ocm01340084</t>
  </si>
  <si>
    <t>3102777883H</t>
  </si>
  <si>
    <t>9780887781087</t>
  </si>
  <si>
    <t>791604331</t>
  </si>
  <si>
    <t>3103592304W</t>
  </si>
  <si>
    <t>791604332</t>
  </si>
  <si>
    <t>P380 D57 2007</t>
  </si>
  <si>
    <t>0                      P  0380000D  57          2007</t>
  </si>
  <si>
    <t>The discourse of Europe : talk and text in everyday life / edited by Sharon Millar, John Wilson.</t>
  </si>
  <si>
    <t>Discourse approaches to politics, society, and culture, 1569-9463 ; v. 26</t>
  </si>
  <si>
    <t>1064380341:eng</t>
  </si>
  <si>
    <t>159821982</t>
  </si>
  <si>
    <t>ocn159821982</t>
  </si>
  <si>
    <t>31026511992</t>
  </si>
  <si>
    <t>9789027227171</t>
  </si>
  <si>
    <t>794256604</t>
  </si>
  <si>
    <t>P380 H38 2006</t>
  </si>
  <si>
    <t>0                      P  0380000H  38          2006</t>
  </si>
  <si>
    <t>The changing languages of Europe / Bernd Heine &amp; Tania Kuteva.</t>
  </si>
  <si>
    <t>47557452:eng</t>
  </si>
  <si>
    <t>63395816</t>
  </si>
  <si>
    <t>ocm63395816</t>
  </si>
  <si>
    <t>3102564683F</t>
  </si>
  <si>
    <t>9780199297337</t>
  </si>
  <si>
    <t>794121241</t>
  </si>
  <si>
    <t>P380 L345 2000</t>
  </si>
  <si>
    <t>0                      P  0380000L  345         2000</t>
  </si>
  <si>
    <t>Language and nationalism in Europe / edited by Stephen Barbour and Cathie Carmichael.</t>
  </si>
  <si>
    <t>1046121736:eng</t>
  </si>
  <si>
    <t>43458174</t>
  </si>
  <si>
    <t>ocm43458174</t>
  </si>
  <si>
    <t>3102777921Q</t>
  </si>
  <si>
    <t>9780198236719</t>
  </si>
  <si>
    <t>793627186</t>
  </si>
  <si>
    <t>P380 T45 2000</t>
  </si>
  <si>
    <t>0                      P  0380000T  45          2000</t>
  </si>
  <si>
    <t>Tense and aspect in the languages of Europe / edited by Östen Dahl.</t>
  </si>
  <si>
    <t>Empirical approaches to language typology. EUROTYP ; 20-6</t>
  </si>
  <si>
    <t>140918937:eng</t>
  </si>
  <si>
    <t>43615853</t>
  </si>
  <si>
    <t>ocm43615853</t>
  </si>
  <si>
    <t>3102777910S</t>
  </si>
  <si>
    <t>9783110157529</t>
  </si>
  <si>
    <t>793630999</t>
  </si>
  <si>
    <t>P380 T46 1994</t>
  </si>
  <si>
    <t>0                      P  0380000T  46          1994</t>
  </si>
  <si>
    <t>Tense systems in European languages / edited by Rolf Thieroff and Joachim Ballweg.</t>
  </si>
  <si>
    <t>Tübingen : Max Niemeyer Verlag, 1994.</t>
  </si>
  <si>
    <t>Linguistische Arbeiten ; 308</t>
  </si>
  <si>
    <t>2001-11-23</t>
  </si>
  <si>
    <t>5611613423:eng</t>
  </si>
  <si>
    <t>30565511</t>
  </si>
  <si>
    <t>ocm30565511</t>
  </si>
  <si>
    <t>3102777915S</t>
  </si>
  <si>
    <t>9783484303089</t>
  </si>
  <si>
    <t>793339019</t>
  </si>
  <si>
    <t>3102777920Q</t>
  </si>
  <si>
    <t>793339020</t>
  </si>
  <si>
    <t>P380 V44 2003</t>
  </si>
  <si>
    <t>0                      P  0380000V  44          2003</t>
  </si>
  <si>
    <t>Europa Vasconica, Europa Semitica / by Theo Vennemann gen. Nierfeld ; edited by Patrizia Noel Aziz Hanna.</t>
  </si>
  <si>
    <t>Vennemann, Theo.</t>
  </si>
  <si>
    <t>Trends in linguistics. Studies and monographs ; 138</t>
  </si>
  <si>
    <t>831523:eng</t>
  </si>
  <si>
    <t>52257716</t>
  </si>
  <si>
    <t>ocm52257716</t>
  </si>
  <si>
    <t>3102777905U</t>
  </si>
  <si>
    <t>9783110170542</t>
  </si>
  <si>
    <t>793802028</t>
  </si>
  <si>
    <t>P381 B3 B35 2019</t>
  </si>
  <si>
    <t>0                      P  0381000B  3                  B  35          2019</t>
  </si>
  <si>
    <t>Balkan syntax and (universal) principles of grammar / edited by Iliyana Krapova, Brian Joseph.</t>
  </si>
  <si>
    <t>Berlin : De Gruyter Mouton. 2019.</t>
  </si>
  <si>
    <t>Trends in Linguistics. Studies and Monographs [TiLSM] 285</t>
  </si>
  <si>
    <t>2828031881:eng</t>
  </si>
  <si>
    <t>973401173</t>
  </si>
  <si>
    <t>ocn973401173</t>
  </si>
  <si>
    <t>31038117059</t>
  </si>
  <si>
    <t>9783110375831</t>
  </si>
  <si>
    <t>795029113</t>
  </si>
  <si>
    <t>P381 C3 D3x</t>
  </si>
  <si>
    <t>0                      P  0381000C  3                  D  3x</t>
  </si>
  <si>
    <t>Linguistic diversity in Canadian society. Edited by Regna Darnell.</t>
  </si>
  <si>
    <t>Darnell, Regna, compiler.</t>
  </si>
  <si>
    <t>Edmonton, Canada; Champaign, USA, Linguistic Research [1971]</t>
  </si>
  <si>
    <t>Sociolinguistics series, 1</t>
  </si>
  <si>
    <t>1567685:eng</t>
  </si>
  <si>
    <t>540626</t>
  </si>
  <si>
    <t>ocm00540626</t>
  </si>
  <si>
    <t>3102777892F</t>
  </si>
  <si>
    <t>791408324</t>
  </si>
  <si>
    <t>3103400386W</t>
  </si>
  <si>
    <t>791408323</t>
  </si>
  <si>
    <t>2013-09-06</t>
  </si>
  <si>
    <t>3102777897F</t>
  </si>
  <si>
    <t>791408325</t>
  </si>
  <si>
    <t>3102777902U</t>
  </si>
  <si>
    <t>791408322</t>
  </si>
  <si>
    <t>P381 E85 G83 2008</t>
  </si>
  <si>
    <t>0                      P  0381000E  85                 G  83          2008</t>
  </si>
  <si>
    <t>Rhétorique du pouvoir médiéval : les lettres de Pierre de la Vigne et la formation du langage politique européen, XIIIe- XVe siècle / par Benoît Grévin.</t>
  </si>
  <si>
    <t>Grévin, Benoît.</t>
  </si>
  <si>
    <t>Rome : École française de Rome, 2008.</t>
  </si>
  <si>
    <t>Bibliothèque des écoles françaises d'Athènes et de Rome ; fasc. 339</t>
  </si>
  <si>
    <t>194514511:fre</t>
  </si>
  <si>
    <t>316827873</t>
  </si>
  <si>
    <t>ocn316827873</t>
  </si>
  <si>
    <t>3103328649W</t>
  </si>
  <si>
    <t>9782728308088</t>
  </si>
  <si>
    <t>794449921</t>
  </si>
  <si>
    <t>P381 G7 L36 2007</t>
  </si>
  <si>
    <t>0                      P  0381000G  7                  L  36          2007</t>
  </si>
  <si>
    <t>Language in the British Isles / edited by David Britain.</t>
  </si>
  <si>
    <t>917514207:eng</t>
  </si>
  <si>
    <t>85690302</t>
  </si>
  <si>
    <t>ocm85690302</t>
  </si>
  <si>
    <t>3103129850W</t>
  </si>
  <si>
    <t>9780521791502</t>
  </si>
  <si>
    <t>794214148</t>
  </si>
  <si>
    <t>3102571867K</t>
  </si>
  <si>
    <t>794214149</t>
  </si>
  <si>
    <t>P381 I73 I75 2012</t>
  </si>
  <si>
    <t>0                      P  0381000I  73                 I  75          2012</t>
  </si>
  <si>
    <t>Irish and English : essays on the Irish linguistic and cultural frontier, 1600-1900 / James Kelly &amp; Ciarán Mac Murchaidh, editors.</t>
  </si>
  <si>
    <t>Dublin, Ireland ; Portland, OR : Four Courts Press, 2012.</t>
  </si>
  <si>
    <t>1200966813:eng</t>
  </si>
  <si>
    <t>779879833</t>
  </si>
  <si>
    <t>ocn779879833</t>
  </si>
  <si>
    <t>3103471941K</t>
  </si>
  <si>
    <t>9781846823404</t>
  </si>
  <si>
    <t>794911561</t>
  </si>
  <si>
    <t>P381 M4 B55 2002</t>
  </si>
  <si>
    <t>0                      P  0381000M  4                  B  55          2002</t>
  </si>
  <si>
    <t>Bilingualism in ancient society : language contact and the written text / edited by J.N. Adams, Mark Janse, and Simon Swain.</t>
  </si>
  <si>
    <t>837144848:eng</t>
  </si>
  <si>
    <t>48532446</t>
  </si>
  <si>
    <t>ocm48532446</t>
  </si>
  <si>
    <t>3102777959K</t>
  </si>
  <si>
    <t>9780199245062</t>
  </si>
  <si>
    <t>793723266</t>
  </si>
  <si>
    <t>P381 N65 G73 1999</t>
  </si>
  <si>
    <t>0                      P  0381000N  65                 G  73          1999</t>
  </si>
  <si>
    <t>New World Babel : languages and nations in early America / Edward G. Gray.</t>
  </si>
  <si>
    <t>Gray, Edward G., 1964-</t>
  </si>
  <si>
    <t>Princeton, N.J. : Princeton University Press, ©1999.</t>
  </si>
  <si>
    <t>2015-10-28</t>
  </si>
  <si>
    <t>372165769:eng</t>
  </si>
  <si>
    <t>39539172</t>
  </si>
  <si>
    <t>ocm39539172</t>
  </si>
  <si>
    <t>3102777949M</t>
  </si>
  <si>
    <t>9780691017051</t>
  </si>
  <si>
    <t>793548223</t>
  </si>
  <si>
    <t>P381 S58 H37 2009</t>
  </si>
  <si>
    <t>0                      P  0381000S  58                 H  37          2009</t>
  </si>
  <si>
    <t>Linguistics, archaeology and human past in South Asia / edited by Toshiki Osada.</t>
  </si>
  <si>
    <t>Harvard Roundtable on Ethnogenesis of South and Central Asia (7th : 2005 : Kyoto, Japan)</t>
  </si>
  <si>
    <t>New Delhi : Manohar Publishers &amp; Distributors, 2009.</t>
  </si>
  <si>
    <t>RHIN library ; no. 8, 2009</t>
  </si>
  <si>
    <t>3858398180:eng</t>
  </si>
  <si>
    <t>449202030</t>
  </si>
  <si>
    <t>ocn449202030</t>
  </si>
  <si>
    <t>3103249457S</t>
  </si>
  <si>
    <t>9788173047992</t>
  </si>
  <si>
    <t>794787295</t>
  </si>
  <si>
    <t>P381 S58 S83 2012</t>
  </si>
  <si>
    <t>0                      P  0381000S  58                 S  83          2012</t>
  </si>
  <si>
    <t>South Asian languages : a syntactic typology / Kārumūri V. Subbārāo.</t>
  </si>
  <si>
    <t>Subbarao, K. V. (Karumuri V.), 1941-</t>
  </si>
  <si>
    <t>2014-10-25</t>
  </si>
  <si>
    <t>1098230629:eng</t>
  </si>
  <si>
    <t>741548914</t>
  </si>
  <si>
    <t>ocn741548914</t>
  </si>
  <si>
    <t>3103430055W</t>
  </si>
  <si>
    <t>9780521861489</t>
  </si>
  <si>
    <t>794884234</t>
  </si>
  <si>
    <t>P381 S65 N66 1994</t>
  </si>
  <si>
    <t>0                      P  0381000S  65                 N  66          1994</t>
  </si>
  <si>
    <t>Non-Slavic languages of the USSR : papers from the Fourth Conference / edited by Howard I. Aronson.</t>
  </si>
  <si>
    <t>Columbus, Ohio : Slavica Publishers, ©1994.</t>
  </si>
  <si>
    <t>3857288377:eng</t>
  </si>
  <si>
    <t>31805880</t>
  </si>
  <si>
    <t>ocm31805880</t>
  </si>
  <si>
    <t>3102778000G</t>
  </si>
  <si>
    <t>9780893572501</t>
  </si>
  <si>
    <t>793368672</t>
  </si>
  <si>
    <t>P408 M55 1998</t>
  </si>
  <si>
    <t>0                      P  0408000M  55          1998</t>
  </si>
  <si>
    <t>Spontaneous spoken language : syntax and discourse / Jim Miller and Regina Weinert.</t>
  </si>
  <si>
    <t>Oxford [England] : Clarendon Press ; New York : Oxford University Press, ©1998.</t>
  </si>
  <si>
    <t>797214121:eng</t>
  </si>
  <si>
    <t>37890388</t>
  </si>
  <si>
    <t>ocm37890388</t>
  </si>
  <si>
    <t>3102778009G</t>
  </si>
  <si>
    <t>9780198236566</t>
  </si>
  <si>
    <t>793509452</t>
  </si>
  <si>
    <t>P408 S58 2006</t>
  </si>
  <si>
    <t>0                      P  0408000S  58          2006</t>
  </si>
  <si>
    <t>Spoken language corpus and linguistic informatics / edited by Yuji Kawaguchi, Susumu Zaima, Toshihiro Takagaki.</t>
  </si>
  <si>
    <t>Usage-based linguistic informatics, 1872-2091 ; v. 5</t>
  </si>
  <si>
    <t>353958033:eng</t>
  </si>
  <si>
    <t>76786858</t>
  </si>
  <si>
    <t>ocm76786858</t>
  </si>
  <si>
    <t>31026342329</t>
  </si>
  <si>
    <t>9789027233172</t>
  </si>
  <si>
    <t>794176657</t>
  </si>
  <si>
    <t>P408 S63 2007</t>
  </si>
  <si>
    <t>0                      P  0408000S  63          2007</t>
  </si>
  <si>
    <t>Spoken language pragmatics : an analysis of form-function relations / edited by Regina Weinert.</t>
  </si>
  <si>
    <t>890669644:eng</t>
  </si>
  <si>
    <t>122309094</t>
  </si>
  <si>
    <t>ocn122309094</t>
  </si>
  <si>
    <t>31026426330</t>
  </si>
  <si>
    <t>9780826493316</t>
  </si>
  <si>
    <t>794220071</t>
  </si>
  <si>
    <t>P409 B38 2005</t>
  </si>
  <si>
    <t>0                      P  0409000B  38          2005</t>
  </si>
  <si>
    <t>Bad language : are some words better than others? / Edwin L. Battistella.</t>
  </si>
  <si>
    <t>793967241:eng</t>
  </si>
  <si>
    <t>58535985</t>
  </si>
  <si>
    <t>ocm58535985</t>
  </si>
  <si>
    <t>3102496872V</t>
  </si>
  <si>
    <t>9780195172485</t>
  </si>
  <si>
    <t>793922112</t>
  </si>
  <si>
    <t>P409 H35 2013</t>
  </si>
  <si>
    <t>0                      P  0409000H  35          2013</t>
  </si>
  <si>
    <t>Dark tongues : the art of Rogues and Riddlers / Daniel Heller-Roazen.</t>
  </si>
  <si>
    <t>New York : Zone Books, [2013]</t>
  </si>
  <si>
    <t>1436833384:eng</t>
  </si>
  <si>
    <t>825399347</t>
  </si>
  <si>
    <t>ocn825399347</t>
  </si>
  <si>
    <t>31035663829</t>
  </si>
  <si>
    <t>9781935408338</t>
  </si>
  <si>
    <t>794938574</t>
  </si>
  <si>
    <t>P410 I58 C66 2010</t>
  </si>
  <si>
    <t>0                      P  0410000I  58                 C  66          2010</t>
  </si>
  <si>
    <t>Toward a rhetoric of insult / Thomas Conley.</t>
  </si>
  <si>
    <t>Conley, Thomas M., 1941-</t>
  </si>
  <si>
    <t>Chicago : The University of Chicago Press, 2010.</t>
  </si>
  <si>
    <t>317827181:eng</t>
  </si>
  <si>
    <t>430736530</t>
  </si>
  <si>
    <t>ocn430736530</t>
  </si>
  <si>
    <t>3103242641F</t>
  </si>
  <si>
    <t>9780226114774</t>
  </si>
  <si>
    <t>794781101</t>
  </si>
  <si>
    <t>P410 L36 2010</t>
  </si>
  <si>
    <t>0                      P  0410000L  36          2010</t>
  </si>
  <si>
    <t>Language and culture : reflective narratives and the emergence of identity / edited by David Nunan, Julie Choi.</t>
  </si>
  <si>
    <t>New York ; Oxon : Routledge, 2010.</t>
  </si>
  <si>
    <t>888472468:eng</t>
  </si>
  <si>
    <t>419792784</t>
  </si>
  <si>
    <t>ocn419792784</t>
  </si>
  <si>
    <t>3103241232X</t>
  </si>
  <si>
    <t>9780415871655</t>
  </si>
  <si>
    <t>794503315</t>
  </si>
  <si>
    <t>P410 O27 L586 2011</t>
  </si>
  <si>
    <t>0                      P  0410000O  27                 L  586         2011</t>
  </si>
  <si>
    <t>Swearing : a cross-cultural linguistic study / Magnus Ljung.</t>
  </si>
  <si>
    <t>Ljung, Magnus.</t>
  </si>
  <si>
    <t>793279738:eng</t>
  </si>
  <si>
    <t>670238266</t>
  </si>
  <si>
    <t>ocn670238266</t>
  </si>
  <si>
    <t>3103322191O</t>
  </si>
  <si>
    <t>9780230576315</t>
  </si>
  <si>
    <t>794847495</t>
  </si>
  <si>
    <t>P511 L4</t>
  </si>
  <si>
    <t>0                      P  0511000L  4</t>
  </si>
  <si>
    <t>A reader in nineteenth century historical Indo-European linguistics. Edited and translated by Winfred P. Lehmann.</t>
  </si>
  <si>
    <t>Lehmann, Winfred P. (Winfred Philipp), 1916-2007, compiler.</t>
  </si>
  <si>
    <t>Bloomington, Indiana University Press [1967]</t>
  </si>
  <si>
    <t>2002-10-28</t>
  </si>
  <si>
    <t>438673828:eng</t>
  </si>
  <si>
    <t>322662</t>
  </si>
  <si>
    <t>ocm00322662</t>
  </si>
  <si>
    <t>3102778007G</t>
  </si>
  <si>
    <t>791336654</t>
  </si>
  <si>
    <t>3102778002G</t>
  </si>
  <si>
    <t>791336655</t>
  </si>
  <si>
    <t>P512 B6 S25</t>
  </si>
  <si>
    <t>0                      P  0512000B  6                  S  25</t>
  </si>
  <si>
    <t>Scritti in onore di Giuliano Bonfante.</t>
  </si>
  <si>
    <t>Brescia : Paideia, ©1976.</t>
  </si>
  <si>
    <t>118119481:eng</t>
  </si>
  <si>
    <t>2878237</t>
  </si>
  <si>
    <t>ocm02878237</t>
  </si>
  <si>
    <t>3102777987E</t>
  </si>
  <si>
    <t>792188462</t>
  </si>
  <si>
    <t>3102777982E</t>
  </si>
  <si>
    <t>792188461</t>
  </si>
  <si>
    <t>P525 M35 1991</t>
  </si>
  <si>
    <t>0                      P  0525000M  35          1991</t>
  </si>
  <si>
    <t>In search of the Indo-Europeans : language, archaeology and myth / J.P. Mallory.</t>
  </si>
  <si>
    <t>Mallory, J. P.</t>
  </si>
  <si>
    <t>London : Thames and Hudson, ©1989</t>
  </si>
  <si>
    <t>20516704:eng</t>
  </si>
  <si>
    <t>24710469</t>
  </si>
  <si>
    <t>ocm24710469</t>
  </si>
  <si>
    <t>31027770706</t>
  </si>
  <si>
    <t>9780500276167</t>
  </si>
  <si>
    <t>793204240</t>
  </si>
  <si>
    <t>P525 P76 1987</t>
  </si>
  <si>
    <t>0                      P  0525000P  76          1987</t>
  </si>
  <si>
    <t>Proto-Indo-European : the archaeology of a linguistic problem : studies in honor of Marija Gimbutas / edited by Susan Nacev Skomal and Edgar C. Polomé.</t>
  </si>
  <si>
    <t>Washington, D.C. : Institute for the Study of Man, ©1987.</t>
  </si>
  <si>
    <t>865285310:eng</t>
  </si>
  <si>
    <t>15109308</t>
  </si>
  <si>
    <t>ocm15109308</t>
  </si>
  <si>
    <t>31027780546</t>
  </si>
  <si>
    <t>9780941694292</t>
  </si>
  <si>
    <t>792920610</t>
  </si>
  <si>
    <t>P525 R46 1988b</t>
  </si>
  <si>
    <t>0                      P  0525000R  46          1988b</t>
  </si>
  <si>
    <t>Archaeology and language : the puzzle of Indo-European origins / Colin Renfrew.</t>
  </si>
  <si>
    <t>Renfrew, Colin, 1937-</t>
  </si>
  <si>
    <t>New York : Cambridge University Press, 1988, ©1987.</t>
  </si>
  <si>
    <t>13643680:eng</t>
  </si>
  <si>
    <t>16873875</t>
  </si>
  <si>
    <t>ocm16873875</t>
  </si>
  <si>
    <t>3000528886U</t>
  </si>
  <si>
    <t>9780521354325</t>
  </si>
  <si>
    <t>792975968</t>
  </si>
  <si>
    <t>P561 C53 2007</t>
  </si>
  <si>
    <t>0                      P  0561000C  53          2007</t>
  </si>
  <si>
    <t>Indo-European linguistics : an introduction / James Clackson.</t>
  </si>
  <si>
    <t>Clackson, James, author.</t>
  </si>
  <si>
    <t>Cambridge, UK ; New York : Cambridge University Press, [2007].</t>
  </si>
  <si>
    <t>855936738:eng</t>
  </si>
  <si>
    <t>123113761</t>
  </si>
  <si>
    <t>ocn123113761</t>
  </si>
  <si>
    <t>31025731078</t>
  </si>
  <si>
    <t>9780521653138</t>
  </si>
  <si>
    <t>794222860</t>
  </si>
  <si>
    <t>P561 F67 2004</t>
  </si>
  <si>
    <t>0                      P  0561000F  67          2004</t>
  </si>
  <si>
    <t>Indo-European language and culture : an introduction / Benjamin W. Fortson IV.</t>
  </si>
  <si>
    <t>Fortson, Benjamin W.</t>
  </si>
  <si>
    <t>Malden, MA : Blackwell Pub., ©2004.</t>
  </si>
  <si>
    <t>Blackwell textbooks in linguistics ; 19</t>
  </si>
  <si>
    <t>793149426:eng</t>
  </si>
  <si>
    <t>54529041</t>
  </si>
  <si>
    <t>ocm54529041</t>
  </si>
  <si>
    <t>3102597059C</t>
  </si>
  <si>
    <t>9781405103152</t>
  </si>
  <si>
    <t>793863782</t>
  </si>
  <si>
    <t>3103030132K</t>
  </si>
  <si>
    <t>793863781</t>
  </si>
  <si>
    <t>P561 L39 2012</t>
  </si>
  <si>
    <t>0                      P  0561000L  39          2012</t>
  </si>
  <si>
    <t>Laws and rules in Indo-European / edited by Philomen Probert and Andreas Willi.</t>
  </si>
  <si>
    <t>Oxford : Clarendon Press, 2012.</t>
  </si>
  <si>
    <t>2014-07-19</t>
  </si>
  <si>
    <t>1118090046:eng</t>
  </si>
  <si>
    <t>755699405</t>
  </si>
  <si>
    <t>ocn755699405</t>
  </si>
  <si>
    <t>3103422329Q</t>
  </si>
  <si>
    <t>9780199609925</t>
  </si>
  <si>
    <t>794893886</t>
  </si>
  <si>
    <t>P561 M35 2006</t>
  </si>
  <si>
    <t>0                      P  0561000M  35          2006</t>
  </si>
  <si>
    <t>The Oxford introduction to Proto Indo European and the Proto Indo European world / J.P. Mallory and D.Q. Adams.</t>
  </si>
  <si>
    <t>New York : Oxford University Press, 2006.</t>
  </si>
  <si>
    <t>52155428:eng</t>
  </si>
  <si>
    <t>68799746</t>
  </si>
  <si>
    <t>ocm68799746</t>
  </si>
  <si>
    <t>3102565478J</t>
  </si>
  <si>
    <t>9780199296682</t>
  </si>
  <si>
    <t>794144292</t>
  </si>
  <si>
    <t>P561 M58 1970</t>
  </si>
  <si>
    <t>0                      P  0561000M  58          1970</t>
  </si>
  <si>
    <t>La méthode comparative en linguistique historique,</t>
  </si>
  <si>
    <t>Meillet, A. (Antoine), 1866-1936.</t>
  </si>
  <si>
    <t>Oslo, H. Aschehoug &amp; Co.; Cambridge, Mass., Harvard University Press 1925.</t>
  </si>
  <si>
    <t>1925</t>
  </si>
  <si>
    <t>[Publikationer] ser. A: Forelesinger ; II</t>
  </si>
  <si>
    <t>1822275:fre</t>
  </si>
  <si>
    <t>427491227</t>
  </si>
  <si>
    <t>ocn427491227</t>
  </si>
  <si>
    <t>3102778116B</t>
  </si>
  <si>
    <t>794664156</t>
  </si>
  <si>
    <t>P569 B3 1989</t>
  </si>
  <si>
    <t>0                      P  0569000B  3           1989</t>
  </si>
  <si>
    <t>La langue des dieux, ou, L'hermétisme des poètes indo-européens / Françoise Bader.</t>
  </si>
  <si>
    <t>Bader, Françoise.</t>
  </si>
  <si>
    <t>Pisa : Giardini, ©1989.</t>
  </si>
  <si>
    <t>Testi linguistici ; 14</t>
  </si>
  <si>
    <t>347765455:fre</t>
  </si>
  <si>
    <t>21143028</t>
  </si>
  <si>
    <t>ocm21143028</t>
  </si>
  <si>
    <t>31028287662</t>
  </si>
  <si>
    <t>793110178</t>
  </si>
  <si>
    <t>P572 A555 2007</t>
  </si>
  <si>
    <t>0                      P  0572000A  555         2007</t>
  </si>
  <si>
    <t>The horse, the wheel, and language : how bronze-age riders from the Eurasian steppes shaped the modern world / David W. Anthony.</t>
  </si>
  <si>
    <t>Anthony, David W.</t>
  </si>
  <si>
    <t>Princeton, N.J. : Princeton University Press, ©2007.</t>
  </si>
  <si>
    <t>2019-05-06</t>
  </si>
  <si>
    <t>803718575:eng</t>
  </si>
  <si>
    <t>174129990</t>
  </si>
  <si>
    <t>ocn174129990</t>
  </si>
  <si>
    <t>3102647148U</t>
  </si>
  <si>
    <t>9780691058870</t>
  </si>
  <si>
    <t>794273393</t>
  </si>
  <si>
    <t>P572 G3613 1995</t>
  </si>
  <si>
    <t>0                      P  0572000G  3613        1995</t>
  </si>
  <si>
    <t>Indo-European and the Indo-Europeans : a reconstruction and historical analysis of a proto-language and a proto-culture / by Thomas V. Gamkrelidze, Vjačeslav V. Ivanov ; with a preface by Roman Jakobson ; English version by Johanna Nichols ; edited by Werner Winter.</t>
  </si>
  <si>
    <t>Gamqreliże, Tʻamaz.</t>
  </si>
  <si>
    <t>Berlin ; New York : M. de Gruyter, 1995.</t>
  </si>
  <si>
    <t>Trends in linguistics. Studies and monographs ; 80</t>
  </si>
  <si>
    <t>2452897673:eng</t>
  </si>
  <si>
    <t>31608214</t>
  </si>
  <si>
    <t>ocm31608214</t>
  </si>
  <si>
    <t>3102778099Z</t>
  </si>
  <si>
    <t>9783110096460</t>
  </si>
  <si>
    <t>793364342</t>
  </si>
  <si>
    <t>3102778094Z</t>
  </si>
  <si>
    <t>793364341</t>
  </si>
  <si>
    <t>P572 V68 2009</t>
  </si>
  <si>
    <t>0                      P  0572000V  68          2009</t>
  </si>
  <si>
    <t>An introduction to proto-Indo-European and the early Indo-European languages / Joseph Voyles &amp; Charles Barrack.</t>
  </si>
  <si>
    <t>Voyles, Joseph B., 1938-</t>
  </si>
  <si>
    <t>Bloomington, IN : Slavica Publishers, 2009.</t>
  </si>
  <si>
    <t>197443496:eng</t>
  </si>
  <si>
    <t>320353360</t>
  </si>
  <si>
    <t>ocn320353360</t>
  </si>
  <si>
    <t>3103241615P</t>
  </si>
  <si>
    <t>9780893573423</t>
  </si>
  <si>
    <t>794486184</t>
  </si>
  <si>
    <t>P575 B4413 1995</t>
  </si>
  <si>
    <t>0                      P  0575000B  4413        1995</t>
  </si>
  <si>
    <t>Comparative Indo-European linguistics : an introduction / Robert S.P. Beekes.</t>
  </si>
  <si>
    <t>Beekes, R. S. P. (Robert Stephen Paul)</t>
  </si>
  <si>
    <t>25173695:eng</t>
  </si>
  <si>
    <t>32543153</t>
  </si>
  <si>
    <t>ocm32543153</t>
  </si>
  <si>
    <t>3102718457O</t>
  </si>
  <si>
    <t>9789027221506</t>
  </si>
  <si>
    <t>793386727</t>
  </si>
  <si>
    <t>P575 K8 1968</t>
  </si>
  <si>
    <t>0                      P  0575000K  8           1968</t>
  </si>
  <si>
    <t>Indogermanische Grammatik / begründet von Jerzy Kuryłowicz ; herausgegeben von Manfred Mayrhofer.</t>
  </si>
  <si>
    <t>Bd.2</t>
  </si>
  <si>
    <t>Kuryłowicz, Jerzy, 1895-1978, author.</t>
  </si>
  <si>
    <t>Heidelberg : Carl Winter Universitätsverlag, 1968-&lt;2018 &gt;</t>
  </si>
  <si>
    <t>Indogermanische Bibliothek. Erste Reihe: Lehr und Handbücher</t>
  </si>
  <si>
    <t>2016-06-05</t>
  </si>
  <si>
    <t>2016-06-12</t>
  </si>
  <si>
    <t>4918208107:ger</t>
  </si>
  <si>
    <t>483843</t>
  </si>
  <si>
    <t>ocm00483843</t>
  </si>
  <si>
    <t>31027781601</t>
  </si>
  <si>
    <t>9783533034889</t>
  </si>
  <si>
    <t>791389872</t>
  </si>
  <si>
    <t>Bd.3;t.1</t>
  </si>
  <si>
    <t>31027781219</t>
  </si>
  <si>
    <t>791389871</t>
  </si>
  <si>
    <t>Bd.1</t>
  </si>
  <si>
    <t>31027781269</t>
  </si>
  <si>
    <t>791389873</t>
  </si>
  <si>
    <t>P575 R6</t>
  </si>
  <si>
    <t>0                      P  0575000R  6</t>
  </si>
  <si>
    <t>Lingüística indoeuropea / Francisco R. Adrados.</t>
  </si>
  <si>
    <t>Adrados, Francisco Rodríguez, 1922-</t>
  </si>
  <si>
    <t>Madrid : Gredos, 1975.</t>
  </si>
  <si>
    <t>Biblioteca románica hispánica. 1, Tratados y monografías ; 15</t>
  </si>
  <si>
    <t>8907550292:spa</t>
  </si>
  <si>
    <t>1976422</t>
  </si>
  <si>
    <t>ocm01976422</t>
  </si>
  <si>
    <t>31027781259</t>
  </si>
  <si>
    <t>9788424900496</t>
  </si>
  <si>
    <t>792021706</t>
  </si>
  <si>
    <t>31027781307</t>
  </si>
  <si>
    <t>792021707</t>
  </si>
  <si>
    <t>P577 G73 2009</t>
  </si>
  <si>
    <t>0                      P  0577000G  73          2009</t>
  </si>
  <si>
    <t>Grammatical change in Indo-European languages : papers presented at the workshop on Indo-European linguistics at the XVIIIth International Conference on Historical Linguistics, Montreal, 2007 / edited by Vit Bubenik, John Hewson, Sarah Rose.</t>
  </si>
  <si>
    <t>Amsterdam studies in the theory and history of linguistic science. Series IV, Current issues in linguistic theory, 0304-0763 ; v. 305</t>
  </si>
  <si>
    <t>1044437062:eng</t>
  </si>
  <si>
    <t>317824647</t>
  </si>
  <si>
    <t>ocn317824647</t>
  </si>
  <si>
    <t>3103132028B</t>
  </si>
  <si>
    <t>9789027248213</t>
  </si>
  <si>
    <t>794468312</t>
  </si>
  <si>
    <t>P583 C5</t>
  </si>
  <si>
    <t>0                      P  0583000C  5</t>
  </si>
  <si>
    <t>Manual of linguistics : a concise account of general and English phonology,</t>
  </si>
  <si>
    <t>Clark, John, 1864-</t>
  </si>
  <si>
    <t>Edinburgh : [publisher not identified], 1893.</t>
  </si>
  <si>
    <t>1893</t>
  </si>
  <si>
    <t>367103646:eng</t>
  </si>
  <si>
    <t>61603582</t>
  </si>
  <si>
    <t>ocm61603582</t>
  </si>
  <si>
    <t>3102778119B</t>
  </si>
  <si>
    <t>794042189</t>
  </si>
  <si>
    <t>P615 A43 2000</t>
  </si>
  <si>
    <t>0                      P  0615000A  43          2000</t>
  </si>
  <si>
    <t>The American heritage dictionary of Indo-European roots / revised and edited by Calvert Watkins.</t>
  </si>
  <si>
    <t>Boston : Houghton Mifflin, ©2000.</t>
  </si>
  <si>
    <t>54682758:eng</t>
  </si>
  <si>
    <t>43836701</t>
  </si>
  <si>
    <t>ocm43836701</t>
  </si>
  <si>
    <t>3102088102Q</t>
  </si>
  <si>
    <t>9780395986103</t>
  </si>
  <si>
    <t>793636509</t>
  </si>
  <si>
    <t>P615 A43 2011</t>
  </si>
  <si>
    <t>0                      P  0615000A  43          2011</t>
  </si>
  <si>
    <t>Boston : Houghton Mifflin Harcourt, ©2011.</t>
  </si>
  <si>
    <t>723529648</t>
  </si>
  <si>
    <t>ocn723529648</t>
  </si>
  <si>
    <t>31033631686</t>
  </si>
  <si>
    <t>9780547549446</t>
  </si>
  <si>
    <t>794876025</t>
  </si>
  <si>
    <t>P615 I54 2004</t>
  </si>
  <si>
    <t>0                      P  0615000I  54          2004</t>
  </si>
  <si>
    <t>Indo-European word formation : proceedings of the conference held at the University of Copenhagen, October 20th - 22nd 2000 / edited by James Clackson and Birgit Anette Olsen.</t>
  </si>
  <si>
    <t>Copenhagen : Museum Tusculanum Press, 2004.</t>
  </si>
  <si>
    <t>Copenhagen studies in Indo-European, 1399-5308 ; vol. 2</t>
  </si>
  <si>
    <t>2016-06-22</t>
  </si>
  <si>
    <t>763723544:eng</t>
  </si>
  <si>
    <t>56222373</t>
  </si>
  <si>
    <t>ocm56222373</t>
  </si>
  <si>
    <t>3102786211B</t>
  </si>
  <si>
    <t>9788772898216</t>
  </si>
  <si>
    <t>793889422</t>
  </si>
  <si>
    <t>P633 L446 2000</t>
  </si>
  <si>
    <t>0                      P  0633000L  446         2000</t>
  </si>
  <si>
    <t>Femininum genus : a study on the origins of the Indo-European feminine grammatical gender / Francisco José Ledo-Lemos.</t>
  </si>
  <si>
    <t>Ledo-Lemos, Francisco José.</t>
  </si>
  <si>
    <t>Muenchen : Lincom Europa, 2000</t>
  </si>
  <si>
    <t>LINCOM studies in Indo-European linguistics ; 27</t>
  </si>
  <si>
    <t>13319506:eng</t>
  </si>
  <si>
    <t>56320029</t>
  </si>
  <si>
    <t>ocm56320029</t>
  </si>
  <si>
    <t>3102786215B</t>
  </si>
  <si>
    <t>9783895864230</t>
  </si>
  <si>
    <t>793890615</t>
  </si>
  <si>
    <t>P649 B3 1983</t>
  </si>
  <si>
    <t>0                      P  0649000B  3           1983</t>
  </si>
  <si>
    <t>Indo-European tense and aspect in Greek and Sanskrit / by Satya Ranjan Banerjee.</t>
  </si>
  <si>
    <t>Banerjee, Satya Ranjan.</t>
  </si>
  <si>
    <t>Calcutta : Sanskrit Book Depot, 1983.</t>
  </si>
  <si>
    <t>4872871:eng</t>
  </si>
  <si>
    <t>12552869</t>
  </si>
  <si>
    <t>ocm12552869</t>
  </si>
  <si>
    <t>31027861850</t>
  </si>
  <si>
    <t>792818523</t>
  </si>
  <si>
    <t>P675 B37 1961</t>
  </si>
  <si>
    <t>0                      P  0675000B  37          1961</t>
  </si>
  <si>
    <t>Recherches sur la fréquence et la valeur des parties du discours en français, en anglais et en espagnol.</t>
  </si>
  <si>
    <t>Barth, Gilbert.</t>
  </si>
  <si>
    <t>Paris, Didier [1961]</t>
  </si>
  <si>
    <t>Bibliothèque de stylistique comparée, 3</t>
  </si>
  <si>
    <t>15218567:fre</t>
  </si>
  <si>
    <t>4985251</t>
  </si>
  <si>
    <t>ocm04985251</t>
  </si>
  <si>
    <t>3102690404W</t>
  </si>
  <si>
    <t>792399415</t>
  </si>
  <si>
    <t>P721 B4</t>
  </si>
  <si>
    <t>0                      P  0721000B  4</t>
  </si>
  <si>
    <t>Le Vocabulaire des institutions indo-européennes ... Sommaires, tableau et index établis par Jean Lallot.</t>
  </si>
  <si>
    <t>Paris, Éditions de Minuit, 1969.</t>
  </si>
  <si>
    <t>Sens commun</t>
  </si>
  <si>
    <t>3000963769:fre</t>
  </si>
  <si>
    <t>709870</t>
  </si>
  <si>
    <t>ocm00709870</t>
  </si>
  <si>
    <t>31027861830</t>
  </si>
  <si>
    <t>9782707300508</t>
  </si>
  <si>
    <t>791451820</t>
  </si>
  <si>
    <t>31027861880</t>
  </si>
  <si>
    <t>791451821</t>
  </si>
  <si>
    <t>P725 P63 1959</t>
  </si>
  <si>
    <t>0                      P  0725000P  63          1959</t>
  </si>
  <si>
    <t>Indogermanisches etymologisches Wörterbuch.</t>
  </si>
  <si>
    <t>Bd. 2</t>
  </si>
  <si>
    <t>Pokorny, Julius, 1887-1970.</t>
  </si>
  <si>
    <t>Bern, Francke [1959, i.e. 1948]-</t>
  </si>
  <si>
    <t>2005-04-25</t>
  </si>
  <si>
    <t>64296607:ger</t>
  </si>
  <si>
    <t>308399</t>
  </si>
  <si>
    <t>ocm00308399</t>
  </si>
  <si>
    <t>3100595153$</t>
  </si>
  <si>
    <t>791331677</t>
  </si>
  <si>
    <t>Bd. 1</t>
  </si>
  <si>
    <t>3000368181L</t>
  </si>
  <si>
    <t>791331678</t>
  </si>
  <si>
    <t>P741 S6 1968</t>
  </si>
  <si>
    <t>0                      P  0741000S  6           1968</t>
  </si>
  <si>
    <t>Essays in historical semantics.</t>
  </si>
  <si>
    <t>Spitzer, Leo, 1887-1960.</t>
  </si>
  <si>
    <t>New York, Russell &amp; Russell [1968, ©1948]</t>
  </si>
  <si>
    <t>2016-08-27</t>
  </si>
  <si>
    <t>1555296:eng</t>
  </si>
  <si>
    <t>436351</t>
  </si>
  <si>
    <t>ocm00436351</t>
  </si>
  <si>
    <t>31027862455</t>
  </si>
  <si>
    <t>791377821</t>
  </si>
  <si>
    <t>P769 B46 no.8</t>
  </si>
  <si>
    <t>0                      P  0769000B  46                                                      no.8</t>
  </si>
  <si>
    <t>The names for the Asia Minor Peninsula and a register of surviving Anatolian pre-Turkish placenames. [By] Demetrius J. Georgacas.</t>
  </si>
  <si>
    <t>no.8*</t>
  </si>
  <si>
    <t>Georgacas, Demetrius J. (Demetrius John), 1908-1990.</t>
  </si>
  <si>
    <t>Heidelberg, C. Winter Univ. Verl., 1971.</t>
  </si>
  <si>
    <t>Beiträge zur Namenforschung. N.F., Beiheft, 8</t>
  </si>
  <si>
    <t>1527769:eng</t>
  </si>
  <si>
    <t>524722</t>
  </si>
  <si>
    <t>ocm00524722</t>
  </si>
  <si>
    <t>31027862209</t>
  </si>
  <si>
    <t>791403270</t>
  </si>
  <si>
    <t>P879 J3 M59 2010</t>
  </si>
  <si>
    <t>0                      P  0879000J  3                  M  59          2010</t>
  </si>
  <si>
    <t>Trespasses : selected writings / Masao Miyoshi ; edited and with an introduction by Eric Cazdyn ; foreword by Fredric Jameson.</t>
  </si>
  <si>
    <t>Miyoshi, Masao.</t>
  </si>
  <si>
    <t>Durham, NC : Duke University Press, ©2010.</t>
  </si>
  <si>
    <t>2012-02-20</t>
  </si>
  <si>
    <t>796240521:eng</t>
  </si>
  <si>
    <t>458583411</t>
  </si>
  <si>
    <t>ocn458583411</t>
  </si>
  <si>
    <t>3103243560A</t>
  </si>
  <si>
    <t>9780822346265</t>
  </si>
  <si>
    <t>794790422</t>
  </si>
  <si>
    <t>P925 E74 2013</t>
  </si>
  <si>
    <t>0                      P  0925000E  74          2013</t>
  </si>
  <si>
    <t>Die Erforschung des Tocharischen und die alttürkische Maitrisimit : Symposium anlässlich des 100. Jahrestages der Entzifferung des Tocharischen, Berlin, 3. und 4. April 2008 / herausgegeben von Y. Kasai, A. Yakup, D. Durkin-Meisterernst.</t>
  </si>
  <si>
    <t>Silk Road studies ; XVII</t>
  </si>
  <si>
    <t>2014-05-06</t>
  </si>
  <si>
    <t>1783924845:ger</t>
  </si>
  <si>
    <t>853444038</t>
  </si>
  <si>
    <t>ocn853444038</t>
  </si>
  <si>
    <t>3103556311S</t>
  </si>
  <si>
    <t>9782503546117</t>
  </si>
  <si>
    <t>794952133</t>
  </si>
  <si>
    <t>P944 G74 2001</t>
  </si>
  <si>
    <t>0                      P  0944000G  74          2001</t>
  </si>
  <si>
    <t>Greater Anatolia and the Indo-Hittite language family : papers presented at a colloquium hosted by the University of Richmond, March 18-19, 2000 / edited by Robert Drews.</t>
  </si>
  <si>
    <t>Washington, D.C. : Journal of Indo-European Studies, 2001.</t>
  </si>
  <si>
    <t>Journal of Indo-European studies. Monograph series ; no. 38</t>
  </si>
  <si>
    <t>890505451:eng</t>
  </si>
  <si>
    <t>47743947</t>
  </si>
  <si>
    <t>ocm47743947</t>
  </si>
  <si>
    <t>3102642113J</t>
  </si>
  <si>
    <t>9780941694773</t>
  </si>
  <si>
    <t>793706867</t>
  </si>
  <si>
    <t>P945 F7 1960</t>
  </si>
  <si>
    <t>0                      P  0945000F  7           1960</t>
  </si>
  <si>
    <t>Hethitisches Elementarbuch / von Johannes Friedrich.</t>
  </si>
  <si>
    <t>Friedrich, Johannes, 1893-1972.</t>
  </si>
  <si>
    <t>Heidelberg : C. Winter, 1960-&lt;1967&gt;</t>
  </si>
  <si>
    <t>2., verb. und erw. Aufl.</t>
  </si>
  <si>
    <t>Indogermanische Bibliothek. Erste Reihe, Lehr- und Handbücher</t>
  </si>
  <si>
    <t>4714534057:ger</t>
  </si>
  <si>
    <t>5465516</t>
  </si>
  <si>
    <t>ocm05465516</t>
  </si>
  <si>
    <t>3102786305A</t>
  </si>
  <si>
    <t>792435049</t>
  </si>
  <si>
    <t>3102786300A</t>
  </si>
  <si>
    <t>792435048</t>
  </si>
  <si>
    <t>P945 F752</t>
  </si>
  <si>
    <t>0                      P  0945000F  752</t>
  </si>
  <si>
    <t>3102786295W</t>
  </si>
  <si>
    <t>792435050</t>
  </si>
  <si>
    <t>P945 J36 2003</t>
  </si>
  <si>
    <t>0                      P  0945000J  36          2003</t>
  </si>
  <si>
    <t>Hittite and the Indo-European verb / Jay H. Jasanoff.</t>
  </si>
  <si>
    <t>Jasanoff, Jay H.</t>
  </si>
  <si>
    <t>989659:eng</t>
  </si>
  <si>
    <t>50333670</t>
  </si>
  <si>
    <t>ocm50333670</t>
  </si>
  <si>
    <t>3102786280Y</t>
  </si>
  <si>
    <t>9780199249053</t>
  </si>
  <si>
    <t>793761046</t>
  </si>
  <si>
    <t>P945 L29</t>
  </si>
  <si>
    <t>0                      P  0945000L  29</t>
  </si>
  <si>
    <t>Les noms des Hittites / Emmanuel Laroche.</t>
  </si>
  <si>
    <t>Laroche, Emmanuel.</t>
  </si>
  <si>
    <t>Paris : C. Klincksieck, 1966.</t>
  </si>
  <si>
    <t>Études linguistiques ; IV</t>
  </si>
  <si>
    <t>351225486:fre</t>
  </si>
  <si>
    <t>499606</t>
  </si>
  <si>
    <t>ocm00499606</t>
  </si>
  <si>
    <t>31027857042</t>
  </si>
  <si>
    <t>791395037</t>
  </si>
  <si>
    <t>P945 S65 Heft 30</t>
  </si>
  <si>
    <t>0                      P  0945000S  65                                                      Heft 30</t>
  </si>
  <si>
    <t>Die keilschrift-luwischen Texte in Umschrift / von Frank Starke.</t>
  </si>
  <si>
    <t>Starke, Frank.</t>
  </si>
  <si>
    <t>Wiesbaden : O. Harrassowitz, 1985.</t>
  </si>
  <si>
    <t>Studien zu den Boğazköy-Texten, 0585-5853 ; Heft 30</t>
  </si>
  <si>
    <t>351770454:ger</t>
  </si>
  <si>
    <t>12170509</t>
  </si>
  <si>
    <t>ocm12170509</t>
  </si>
  <si>
    <t>31027863510</t>
  </si>
  <si>
    <t>9783447023498</t>
  </si>
  <si>
    <t>792804748</t>
  </si>
  <si>
    <t>P945 S65 Heft 31</t>
  </si>
  <si>
    <t>0                      P  0945000S  65                                                      Heft 31</t>
  </si>
  <si>
    <t>Untersuchung zur Stammbildung des keilschrift-luwischen Nomens / von Frank Starke.</t>
  </si>
  <si>
    <t>Wiesbaden : O. Harrassowitz, 1990.</t>
  </si>
  <si>
    <t>Studien zu den Boğazköy-Texten ; Heft 31</t>
  </si>
  <si>
    <t>25156530:ger</t>
  </si>
  <si>
    <t>24113602</t>
  </si>
  <si>
    <t>ocm24113602</t>
  </si>
  <si>
    <t>31027863462</t>
  </si>
  <si>
    <t>9783447028790</t>
  </si>
  <si>
    <t>793190194</t>
  </si>
  <si>
    <t>P945 S72 1951</t>
  </si>
  <si>
    <t>0                      P  0945000S  72          1951</t>
  </si>
  <si>
    <t>A comparative grammar of the Hittite language / by Edgar H. Sturtevant and E. Adelaide Hahn.</t>
  </si>
  <si>
    <t>Sturtevant, Edgar H. (Edgar Howard), 1875-1952, author.</t>
  </si>
  <si>
    <t>New Haven : Yale University Press, 1951-</t>
  </si>
  <si>
    <t>Revised edition. Second edition.</t>
  </si>
  <si>
    <t>William Dwight Whitney linguistic series</t>
  </si>
  <si>
    <t>1374512:eng</t>
  </si>
  <si>
    <t>312111</t>
  </si>
  <si>
    <t>ocm00312111</t>
  </si>
  <si>
    <t>31027863314</t>
  </si>
  <si>
    <t>791333122</t>
  </si>
  <si>
    <t>P945 Z8 1952 suppl.</t>
  </si>
  <si>
    <t>0                      P  0945000Z  8           1952                                        suppl.</t>
  </si>
  <si>
    <t>Hethitisches Wörterbuch; kurzgefasste kritische Sammlung der Deutungen hethitischer Wörter. Ergänzungsheft, 1-</t>
  </si>
  <si>
    <t>Heidelberg : C. Winter, 1957-</t>
  </si>
  <si>
    <t>Indogermanische Bibliothek, 2. Reihe, Wörterbucher.</t>
  </si>
  <si>
    <t>5453892811:ger</t>
  </si>
  <si>
    <t>74378405</t>
  </si>
  <si>
    <t>ocm74378405</t>
  </si>
  <si>
    <t>31027863216</t>
  </si>
  <si>
    <t>794172540</t>
  </si>
  <si>
    <t>31027863118</t>
  </si>
  <si>
    <t>794172538</t>
  </si>
  <si>
    <t>31027863168</t>
  </si>
  <si>
    <t>794172539</t>
  </si>
  <si>
    <t>P945 Z8 1984</t>
  </si>
  <si>
    <t>0                      P  0945000Z  8           1984</t>
  </si>
  <si>
    <t>Hittite etymological dictionary / by Jaan Puhvel.</t>
  </si>
  <si>
    <t>v.1/2</t>
  </si>
  <si>
    <t>Puhvel, Jaan.</t>
  </si>
  <si>
    <t>Berlin ; New York : Mouton, ©1984-&lt;c2017&gt;</t>
  </si>
  <si>
    <t>Trends in linguistics. Documentation, 0179-8251 ; &lt;1, 5, 14, 18, 22, 26, 29, 32-33&gt;</t>
  </si>
  <si>
    <t>5378015338:eng</t>
  </si>
  <si>
    <t>10230776</t>
  </si>
  <si>
    <t>ocm10230776</t>
  </si>
  <si>
    <t>31027863402</t>
  </si>
  <si>
    <t>9789027930491</t>
  </si>
  <si>
    <t>792715646</t>
  </si>
  <si>
    <t>3102799308U</t>
  </si>
  <si>
    <t>792715644</t>
  </si>
  <si>
    <t>2013-02-20</t>
  </si>
  <si>
    <t>3102799303U</t>
  </si>
  <si>
    <t>792715645</t>
  </si>
  <si>
    <t>P1035 B42 1955</t>
  </si>
  <si>
    <t>0                      P  1035000B  42          1955</t>
  </si>
  <si>
    <t>The Pylos tablets; texts of the inscriptions found 1939-1954. With a foreword by Carl W. Blegen.</t>
  </si>
  <si>
    <t>Bennett, Emmett L. (Emmett Leslie), 1918-2011, editor.</t>
  </si>
  <si>
    <t>Princeton, Princeton University Press for University of Cincinnati, 1955.</t>
  </si>
  <si>
    <t>1360482:eng</t>
  </si>
  <si>
    <t>307171</t>
  </si>
  <si>
    <t>ocm00307171</t>
  </si>
  <si>
    <t>3102605760$</t>
  </si>
  <si>
    <t>791331153</t>
  </si>
  <si>
    <t>P1035 B43</t>
  </si>
  <si>
    <t>0                      P  1035000B  43</t>
  </si>
  <si>
    <t>The Pylos tablets transcribed [by] Emmett L. Bennett, Jr. and Jean-Pierre Olivier.</t>
  </si>
  <si>
    <t>pt.1</t>
  </si>
  <si>
    <t>Bennett, Emmett L. (Emmett Leslie), 1918-2011.</t>
  </si>
  <si>
    <t>Roma, Edizioni dell'Ateneo, 1973-</t>
  </si>
  <si>
    <t>Incunabula Graeca, v. 51</t>
  </si>
  <si>
    <t>9925942066:eng</t>
  </si>
  <si>
    <t>806188</t>
  </si>
  <si>
    <t>ocm00806188</t>
  </si>
  <si>
    <t>31027863148</t>
  </si>
  <si>
    <t>791474619</t>
  </si>
  <si>
    <t>pt.2</t>
  </si>
  <si>
    <t>31027863188</t>
  </si>
  <si>
    <t>791474618</t>
  </si>
  <si>
    <t>P1035 C5 1968</t>
  </si>
  <si>
    <t>0                      P  1035000C  5           1968</t>
  </si>
  <si>
    <t>The decipherment of linear B / by John Chadwick.</t>
  </si>
  <si>
    <t>Chadwick, John, 1920-1998.</t>
  </si>
  <si>
    <t>London : Cambridge U.P., 1967 [i.e. 1968]</t>
  </si>
  <si>
    <t>68961278:eng</t>
  </si>
  <si>
    <t>307167</t>
  </si>
  <si>
    <t>ocm00307167</t>
  </si>
  <si>
    <t>31027863422</t>
  </si>
  <si>
    <t>9780521045995</t>
  </si>
  <si>
    <t>791331150</t>
  </si>
  <si>
    <t>P1035 C54 1987</t>
  </si>
  <si>
    <t>0                      P  1035000C  54          1987</t>
  </si>
  <si>
    <t>Linear B and related scripts / John Chadwick.</t>
  </si>
  <si>
    <t>Berkeley, Calif. : University of California Press ; [London] : British Museum, c1987.</t>
  </si>
  <si>
    <t>Reading the past ; v. 1</t>
  </si>
  <si>
    <t>143837521:eng</t>
  </si>
  <si>
    <t>14130420</t>
  </si>
  <si>
    <t>ocm14130420</t>
  </si>
  <si>
    <t>31027863276</t>
  </si>
  <si>
    <t>9780520060197</t>
  </si>
  <si>
    <t>792879105</t>
  </si>
  <si>
    <t>P1035 D4x</t>
  </si>
  <si>
    <t>0                      P  1035000D  4x</t>
  </si>
  <si>
    <t>Initiation à l'épigraphie mycénienne.</t>
  </si>
  <si>
    <t>Rome, Ateneo, 1962.</t>
  </si>
  <si>
    <t>Incunabula graeca, v. 2</t>
  </si>
  <si>
    <t>18467881:ita</t>
  </si>
  <si>
    <t>5514594</t>
  </si>
  <si>
    <t>ocm05514594</t>
  </si>
  <si>
    <t>31027863226</t>
  </si>
  <si>
    <t>792437117</t>
  </si>
  <si>
    <t>P1035 I5</t>
  </si>
  <si>
    <t>0                      P  1035000I  5</t>
  </si>
  <si>
    <t>Index généraux du linéaire B.</t>
  </si>
  <si>
    <t>Roma, Edizioni dell'Ateneo, 1973.</t>
  </si>
  <si>
    <t>Incunabula Graeca, vol. 52</t>
  </si>
  <si>
    <t>1837907:fre</t>
  </si>
  <si>
    <t>903068</t>
  </si>
  <si>
    <t>ocm00903068</t>
  </si>
  <si>
    <t>3102786391T</t>
  </si>
  <si>
    <t>791498621</t>
  </si>
  <si>
    <t>P1035 M6 L4</t>
  </si>
  <si>
    <t>0                      P  1035000M  6                  L  4</t>
  </si>
  <si>
    <t>Index inverse du grec mycénien.</t>
  </si>
  <si>
    <t>Lejeune, Michel, 1907-2000.</t>
  </si>
  <si>
    <t>Paris, Centre national de la recherche scientifique, 1964.</t>
  </si>
  <si>
    <t>42810128:fre</t>
  </si>
  <si>
    <t>8984775</t>
  </si>
  <si>
    <t>ocm08984775</t>
  </si>
  <si>
    <t>3102786389V</t>
  </si>
  <si>
    <t>792651310</t>
  </si>
  <si>
    <t>P1035 M6x</t>
  </si>
  <si>
    <t>0                      P  1035000M  6x</t>
  </si>
  <si>
    <t>Mycenaeae Graecitatis lexicon / Anna Morpurgo.</t>
  </si>
  <si>
    <t>Davies, Anna Morpurgo.</t>
  </si>
  <si>
    <t>Romae : In Aedibus Athenaei, 1963.</t>
  </si>
  <si>
    <t>Incunabula Graeca ; vol. 3</t>
  </si>
  <si>
    <t>104128955:eng</t>
  </si>
  <si>
    <t>994615</t>
  </si>
  <si>
    <t>ocm00994615</t>
  </si>
  <si>
    <t>3103592139L</t>
  </si>
  <si>
    <t>791520741</t>
  </si>
  <si>
    <t>P1035 O38</t>
  </si>
  <si>
    <t>0                      P  1035000O  38</t>
  </si>
  <si>
    <t>The Mycenae tablets IV.</t>
  </si>
  <si>
    <t>Olivier, Jean Pierre.</t>
  </si>
  <si>
    <t>Leiden, E.J. Brill, 1969.</t>
  </si>
  <si>
    <t>A rev. transliteration.</t>
  </si>
  <si>
    <t>Textus minores, v. 39</t>
  </si>
  <si>
    <t>2015-05-20</t>
  </si>
  <si>
    <t>2667073:eng</t>
  </si>
  <si>
    <t>1862849</t>
  </si>
  <si>
    <t>ocm01862849</t>
  </si>
  <si>
    <t>3102786379X</t>
  </si>
  <si>
    <t>792001645</t>
  </si>
  <si>
    <t>P1035 P28</t>
  </si>
  <si>
    <t>0                      P  1035000P  28</t>
  </si>
  <si>
    <t>Minoan Linear A, by David W. Packard.</t>
  </si>
  <si>
    <t>Packard, David W.</t>
  </si>
  <si>
    <t>Berkeley, University of California Press, 1974.</t>
  </si>
  <si>
    <t>2015-09-07</t>
  </si>
  <si>
    <t>1976946:eng</t>
  </si>
  <si>
    <t>1055287</t>
  </si>
  <si>
    <t>ocm01055287</t>
  </si>
  <si>
    <t>3102786374X</t>
  </si>
  <si>
    <t>9780520025806</t>
  </si>
  <si>
    <t>791535126</t>
  </si>
  <si>
    <t>P1036 P6 2004</t>
  </si>
  <si>
    <t>0                      P  1036000P  6           2004</t>
  </si>
  <si>
    <t>The Phaistos disc : a Luwian letter to Nestor / Winfried Achterberg [and others].</t>
  </si>
  <si>
    <t>Amsterdam : Dutch Archaeological and Historical Society, 2004.</t>
  </si>
  <si>
    <t>Publications of the Henri Frankfort Foundation ; v. 13</t>
  </si>
  <si>
    <t>570603123:eng</t>
  </si>
  <si>
    <t>64193136</t>
  </si>
  <si>
    <t>ocm64193136</t>
  </si>
  <si>
    <t>3103214460O</t>
  </si>
  <si>
    <t>9789072067111</t>
  </si>
  <si>
    <t>794125668</t>
  </si>
  <si>
    <t>P1037 L32 2010</t>
  </si>
  <si>
    <t>0                      P  1037000L  32          2010</t>
  </si>
  <si>
    <t>Reading linear A : script, morphology, and glossary of Minoan language / Hubert La Marle.</t>
  </si>
  <si>
    <t>La Marle, Hubert.</t>
  </si>
  <si>
    <t>Paris : Geuthner, ©2010.</t>
  </si>
  <si>
    <t>796378568:eng</t>
  </si>
  <si>
    <t>631652453</t>
  </si>
  <si>
    <t>ocn631652453</t>
  </si>
  <si>
    <t>3103565601K</t>
  </si>
  <si>
    <t>9782705338206</t>
  </si>
  <si>
    <t>794824906</t>
  </si>
  <si>
    <t>P1038 A73 2001</t>
  </si>
  <si>
    <t>0                      P  1038000A  73          2001</t>
  </si>
  <si>
    <t>Thèbes : fouilles de la Cadmèe / Vassilis L. Aravantinos, Louis Godart, Anna Sacconi.</t>
  </si>
  <si>
    <t>Aravantinos, Vassilis L.</t>
  </si>
  <si>
    <t>Pisa : Istituti editoriali e poligrafici internazionali, ©2001-&lt;2006&gt;</t>
  </si>
  <si>
    <t>Biblioteca di "Pasiphae" ; 1, 2, 4</t>
  </si>
  <si>
    <t>6212648:fre</t>
  </si>
  <si>
    <t>50516715</t>
  </si>
  <si>
    <t>ocm50516715</t>
  </si>
  <si>
    <t>31025318427</t>
  </si>
  <si>
    <t>9788881472284</t>
  </si>
  <si>
    <t>793766736</t>
  </si>
  <si>
    <t>31025318477</t>
  </si>
  <si>
    <t>793766739</t>
  </si>
  <si>
    <t>31025318329</t>
  </si>
  <si>
    <t>793766737</t>
  </si>
  <si>
    <t>v.2,pt.2</t>
  </si>
  <si>
    <t>3102656658C</t>
  </si>
  <si>
    <t>793766738</t>
  </si>
  <si>
    <t>P1038 A94 1999</t>
  </si>
  <si>
    <t>0                      P  1038000A  94          1999</t>
  </si>
  <si>
    <t>Diccionario micénico = (DMic.) / redactado por Francisco Aura Jorro ; bajo la dirección de Francisco R. Adrados.</t>
  </si>
  <si>
    <t>Aura Jorro, Francisco.</t>
  </si>
  <si>
    <t>Madrid : Consejo Superior de Investigaciones Cientifícas, 1993-1999 (v.1, 1999)</t>
  </si>
  <si>
    <t>1a reimpressión.</t>
  </si>
  <si>
    <t>Diccionario griego-español. Anejo ; 1-2</t>
  </si>
  <si>
    <t>2014-01-16</t>
  </si>
  <si>
    <t>5481559462:spa</t>
  </si>
  <si>
    <t>51062933</t>
  </si>
  <si>
    <t>ocm51062933</t>
  </si>
  <si>
    <t>3102656618K</t>
  </si>
  <si>
    <t>9788400061296</t>
  </si>
  <si>
    <t>793778095</t>
  </si>
  <si>
    <t>3102656623I</t>
  </si>
  <si>
    <t>793778096</t>
  </si>
  <si>
    <t>P1038 C66 2007</t>
  </si>
  <si>
    <t>0                      P  1038000C  66          2007</t>
  </si>
  <si>
    <t>A companion to linear B : Mycenaean Greek texts and their world / edited by Yves Duhoux and Anna Morpurgo Davies.</t>
  </si>
  <si>
    <t>Louvain-la-Neuve, Belgium ; Dudley, MA : Peeters, 2007-&lt;2014&gt;</t>
  </si>
  <si>
    <t>Bibliothèque des Cahiers de l'Institut de linguistique de Louvain, 0779-1666 ; 120, 127, 133. Antiquité</t>
  </si>
  <si>
    <t>4241712719:eng</t>
  </si>
  <si>
    <t>73503509</t>
  </si>
  <si>
    <t>ocm73503509</t>
  </si>
  <si>
    <t>3103654393E</t>
  </si>
  <si>
    <t>9789042918481</t>
  </si>
  <si>
    <t>794171257</t>
  </si>
  <si>
    <t>3103654482F</t>
  </si>
  <si>
    <t>794171258</t>
  </si>
  <si>
    <t>P1038 F69 2013</t>
  </si>
  <si>
    <t>0                      P  1038000F  69          2013</t>
  </si>
  <si>
    <t>The riddle of the labyrinth : the quest to crack an ancient code / Margalit Fox.</t>
  </si>
  <si>
    <t>Fox, Margalit, author.</t>
  </si>
  <si>
    <t>New York : Ecco, An imprint of HarperCollins Publishers, [2013]</t>
  </si>
  <si>
    <t>1218365161:eng</t>
  </si>
  <si>
    <t>841944772</t>
  </si>
  <si>
    <t>ocn841944772</t>
  </si>
  <si>
    <t>3103505123O</t>
  </si>
  <si>
    <t>9780062228833</t>
  </si>
  <si>
    <t>794947256</t>
  </si>
  <si>
    <t>P1038 H6</t>
  </si>
  <si>
    <t>0                      P  1038000H  6</t>
  </si>
  <si>
    <t>The origin of the Linear B script / J.T. Hooker.</t>
  </si>
  <si>
    <t>Hooker, J. T.</t>
  </si>
  <si>
    <t>[Salamanca] : Ediciones Universidad de Salamanca, 1979.</t>
  </si>
  <si>
    <t>Suplementos a Minos ; no. 8</t>
  </si>
  <si>
    <t>19628673:eng</t>
  </si>
  <si>
    <t>5807362</t>
  </si>
  <si>
    <t>ocm05807362</t>
  </si>
  <si>
    <t>31027863530</t>
  </si>
  <si>
    <t>9788474810288</t>
  </si>
  <si>
    <t>792455570</t>
  </si>
  <si>
    <t>P1038 K55 2015</t>
  </si>
  <si>
    <t>0                      P  1038000K  55          2015</t>
  </si>
  <si>
    <t>Economy and administration in Mycenaean Greece : collected papers on Linear B / John T. Killen ; edited by Maurizio Del Freo.</t>
  </si>
  <si>
    <t>Killen, John T. (John Tyrell)</t>
  </si>
  <si>
    <t>Roma : CNR, Istituto di studi sul Medterraneo antico, 2015.</t>
  </si>
  <si>
    <t>Incunabula Graeca ; vol. CIV</t>
  </si>
  <si>
    <t>4020885349:eng</t>
  </si>
  <si>
    <t>911041041</t>
  </si>
  <si>
    <t>ocn911041041</t>
  </si>
  <si>
    <t>31036245181</t>
  </si>
  <si>
    <t>9788880801511</t>
  </si>
  <si>
    <t>794997024</t>
  </si>
  <si>
    <t>3103624492U</t>
  </si>
  <si>
    <t>794997023</t>
  </si>
  <si>
    <t>3103624487N</t>
  </si>
  <si>
    <t>794997022</t>
  </si>
  <si>
    <t>P1038 M9 1984</t>
  </si>
  <si>
    <t>0                      P  1038000M  9           1984</t>
  </si>
  <si>
    <t>Linear B, a 1984 survey : proceedings of the Mycenaean Colloquium of the VIIIth Congress of the International Federation of the Societies of Classical Studies (Dublin, 27 August-1st September 1984) / edited by Anna Morpurgo Davies and Yves Duhoux.</t>
  </si>
  <si>
    <t>Mycenaean Colloquium (1984 : Dublin, Ireland)</t>
  </si>
  <si>
    <t>Louvain-la-Neuve : Cabay, 1985.</t>
  </si>
  <si>
    <t>Bibliothèque des cahiers de l'Institut de linguistique de Louvain ; 26</t>
  </si>
  <si>
    <t>4776424895:eng</t>
  </si>
  <si>
    <t>17105181</t>
  </si>
  <si>
    <t>ocm17105181</t>
  </si>
  <si>
    <t>3102786392T</t>
  </si>
  <si>
    <t>9782870772898</t>
  </si>
  <si>
    <t>792982294</t>
  </si>
  <si>
    <t>P1039 F47 2012</t>
  </si>
  <si>
    <t>0                      P  1039000F  47          2012</t>
  </si>
  <si>
    <t>Cypro-Minoan inscriptions / Silvia Ferrara.</t>
  </si>
  <si>
    <t>Ferrara, Silvia, author.</t>
  </si>
  <si>
    <t>Oxford ; New York : Oxford University Press, 2012-2013.</t>
  </si>
  <si>
    <t>Oxford studies in ancient culture and representation</t>
  </si>
  <si>
    <t>2013-02-06</t>
  </si>
  <si>
    <t>1106821012:eng</t>
  </si>
  <si>
    <t>780968797</t>
  </si>
  <si>
    <t>ocn780968797</t>
  </si>
  <si>
    <t>3103551750S</t>
  </si>
  <si>
    <t>9780199607570</t>
  </si>
  <si>
    <t>794912432</t>
  </si>
  <si>
    <t>31034090747</t>
  </si>
  <si>
    <t>794912433</t>
  </si>
  <si>
    <t>P1078 B58 2002</t>
  </si>
  <si>
    <t>0                      P  1078000B  58          2002</t>
  </si>
  <si>
    <t>The Etruscan language : an introduction / Giuliano Bonfante and Larissa Bonfante.</t>
  </si>
  <si>
    <t>Bonfante, Giuliano, 1904-2005.</t>
  </si>
  <si>
    <t>Manchester [England] ; New York : Manchester University Press ; New York : Distributed in the USA by Palgrave, 2002.</t>
  </si>
  <si>
    <t>6267751:eng</t>
  </si>
  <si>
    <t>50072597</t>
  </si>
  <si>
    <t>ocm50072597</t>
  </si>
  <si>
    <t>3103608131H</t>
  </si>
  <si>
    <t>9780719055393</t>
  </si>
  <si>
    <t>793754975</t>
  </si>
  <si>
    <t>P1078 F32 2002</t>
  </si>
  <si>
    <t>0                      P  1078000F  32          2002</t>
  </si>
  <si>
    <t>Appunti di morfologia etrusca : con un'appendice sulla questione delle affinità genetiche dell'etrusco / Giulio M. Facchetti.</t>
  </si>
  <si>
    <t>Facchetti, Giulio M.</t>
  </si>
  <si>
    <t>[Firenze] : L.S. Olschki, 2002.</t>
  </si>
  <si>
    <t>Biblioteca dell'"Archivum Romanicum." Serie II, Linguistica ; 54</t>
  </si>
  <si>
    <t>197613375:ita</t>
  </si>
  <si>
    <t>50927931</t>
  </si>
  <si>
    <t>ocm50927931</t>
  </si>
  <si>
    <t>3102407140P</t>
  </si>
  <si>
    <t>9788822251381</t>
  </si>
  <si>
    <t>793775417</t>
  </si>
  <si>
    <t>P1078 Z5 T4733 1988</t>
  </si>
  <si>
    <t>0                      P  1078000Z  5                  T  4733        1988</t>
  </si>
  <si>
    <t>Lessico etrusco cronologico e topografico : dai materiali del Thesaurus linguae Etruscae / Luciano Agostiniani, Ole Hjordt-Vetlesen.</t>
  </si>
  <si>
    <t>Agostiniani, Luciano.</t>
  </si>
  <si>
    <t>Firenze : L.S. Olschki, 1988.</t>
  </si>
  <si>
    <t>Biblioteca dell'"Archivum Romanicum". Serie II, Linguistica ; vol.</t>
  </si>
  <si>
    <t>327930838:ita</t>
  </si>
  <si>
    <t>18725236</t>
  </si>
  <si>
    <t>ocm18725236</t>
  </si>
  <si>
    <t>CVB972023-10</t>
  </si>
  <si>
    <t>9788822235954</t>
  </si>
  <si>
    <t>793035493</t>
  </si>
  <si>
    <t>31027864351</t>
  </si>
  <si>
    <t>793035494</t>
  </si>
  <si>
    <t>P1081 C6 1976</t>
  </si>
  <si>
    <t>0                      P  1081000C  6           1976</t>
  </si>
  <si>
    <t>Actas del II Coloquio sobre Lenguas y Culturas Prerromanas de la Península Ibérica : (Tübingen, 17-19 junio 1976) / editadas por Antonio Tovar [and others].</t>
  </si>
  <si>
    <t>Coloquio sobre Lenguas y Culturas Prerromanas de la Península Ibérica (2nd : 1976 : Tübingen, Germany)</t>
  </si>
  <si>
    <t>Acta Salmanticensia. Filosofía y letras ; 113</t>
  </si>
  <si>
    <t>1030572759:eng</t>
  </si>
  <si>
    <t>5629984</t>
  </si>
  <si>
    <t>ocm05629984</t>
  </si>
  <si>
    <t>31027864301</t>
  </si>
  <si>
    <t>9788474810189</t>
  </si>
  <si>
    <t>792442597</t>
  </si>
  <si>
    <t>P1081 K63 2011</t>
  </si>
  <si>
    <t>0                      P  1081000K  63          2011</t>
  </si>
  <si>
    <t>Tartessian 2 : the inscription of Mesas do Castelinho ro and the verbal complex preliminaries to historical phonology / John T. Koch.</t>
  </si>
  <si>
    <t>Koch, John T.</t>
  </si>
  <si>
    <t>Aberystwyth : University of Wales, Centre for Advanced Welsh and Celtic Studies, 2011.</t>
  </si>
  <si>
    <t>3375443314:eng</t>
  </si>
  <si>
    <t>751058781</t>
  </si>
  <si>
    <t>ocn751058781</t>
  </si>
  <si>
    <t>3103343050L</t>
  </si>
  <si>
    <t>9781907029073</t>
  </si>
  <si>
    <t>794890298</t>
  </si>
  <si>
    <t>folio P26 J17</t>
  </si>
  <si>
    <t>0folio                 P  0026000J  17</t>
  </si>
  <si>
    <t>For Roman Jakobson : essays on the occasion of his sixtieth birthday, 11 October 1956 / compiled by Morris Halle [and others].</t>
  </si>
  <si>
    <t>The Hague : Mouton, 1956.</t>
  </si>
  <si>
    <t>808010373:eng</t>
  </si>
  <si>
    <t>2231828</t>
  </si>
  <si>
    <t>ocm02231828</t>
  </si>
  <si>
    <t>3103599517H</t>
  </si>
  <si>
    <t>792071056</t>
  </si>
  <si>
    <t>folio P101 W4 1968</t>
  </si>
  <si>
    <t>0folio                 P  0101000W  4           1968</t>
  </si>
  <si>
    <t>An essay towards a real character, and a philosophical language : by John Wilkins D.D. Dean of Ripon, and Fellow of the Royal Society / concept Paul Thompson.</t>
  </si>
  <si>
    <t>Thompson, Paul, 1951 August 5- author.</t>
  </si>
  <si>
    <t>Wellington, NZ : Museumphoton Press, [2019]</t>
  </si>
  <si>
    <t>English linguistics, 1500-1800: a collection of facsimile reprints, no. 119</t>
  </si>
  <si>
    <t>9517004093:eng</t>
  </si>
  <si>
    <t>16907</t>
  </si>
  <si>
    <t>ocm00016907</t>
  </si>
  <si>
    <t>3000592976H</t>
  </si>
  <si>
    <t>791229463</t>
  </si>
  <si>
    <t>10780</t>
  </si>
  <si>
    <t>810780</t>
  </si>
  <si>
    <t>Is the man who is tall happy? : an animated conversation with Noam Chomsky / Sundance Selects ; Partizan Films ; directed by Michel Gondry ; producers, Georges Bermann, Michel Gondry, Raffi Adlan, Julie Fong.</t>
  </si>
  <si>
    <t>[New York] : Sundance Selects ; [Orland Park, Illinois] : MPI Media Group, [2014]</t>
  </si>
  <si>
    <t>1900754012:eng</t>
  </si>
  <si>
    <t>876080655</t>
  </si>
  <si>
    <t>ocn876080655</t>
  </si>
  <si>
    <t>3103568392$</t>
  </si>
  <si>
    <t>9780788617652</t>
  </si>
  <si>
    <t>794969846</t>
  </si>
  <si>
    <t>12733</t>
  </si>
  <si>
    <t>812733</t>
  </si>
  <si>
    <t>The human language series / produced, written and directed by Gene Searchinger ; South Carolina ETV.</t>
  </si>
  <si>
    <t>pt.2 - Acquiring Human Language</t>
  </si>
  <si>
    <t>[New York, NY] : Equinox Films/Ways of Knowing Inc., [2005?]</t>
  </si>
  <si>
    <t>3860273208:eng</t>
  </si>
  <si>
    <t>71197798</t>
  </si>
  <si>
    <t>ocm71197798</t>
  </si>
  <si>
    <t>3103893121E</t>
  </si>
  <si>
    <t>794163246</t>
  </si>
  <si>
    <t>pt.1 - Colorless Green Ideas</t>
  </si>
  <si>
    <t>3103893120G</t>
  </si>
  <si>
    <t>794163247</t>
  </si>
  <si>
    <t>pt.3 - With and Without Words</t>
  </si>
  <si>
    <t>31038931264</t>
  </si>
  <si>
    <t>794163245</t>
  </si>
  <si>
    <t>1499</t>
  </si>
  <si>
    <t>81499</t>
  </si>
  <si>
    <t>The codes of gender : identity + performance in popular culture / the Media Education Foundation presents ; produced by the Media Education Foundation ; written &amp; directed by Sut Jhally.</t>
  </si>
  <si>
    <t>Northampton, Mass. : Media Education Foundation, ©2009.</t>
  </si>
  <si>
    <t>3944580629:eng</t>
  </si>
  <si>
    <t>461311477</t>
  </si>
  <si>
    <t>ocn461311477</t>
  </si>
  <si>
    <t>3103150198T</t>
  </si>
  <si>
    <t>9781932869392</t>
  </si>
  <si>
    <t>794791454</t>
  </si>
  <si>
    <t>1550</t>
  </si>
  <si>
    <t>81550</t>
  </si>
  <si>
    <t>McLuhan's wake / directed by Kevin McMahon ; written &amp; co-produced by David Sobelman ; produced by Michael McMahon, Kristina McLaughlin (Primitive), Gerry Flahive (NFB) ; production by Primitive Entertainment ; co-production, National Film Board of Canada in association with TVOntario.</t>
  </si>
  <si>
    <t>Amin extended loan</t>
  </si>
  <si>
    <t>[Montréal] : National Film Board of Canada, ©2003.</t>
  </si>
  <si>
    <t>Collector's ed.</t>
  </si>
  <si>
    <t>454690020:eng</t>
  </si>
  <si>
    <t>60172322</t>
  </si>
  <si>
    <t>ocm60172322</t>
  </si>
  <si>
    <t>3102368707O</t>
  </si>
  <si>
    <t>793934095</t>
  </si>
  <si>
    <t>2332</t>
  </si>
  <si>
    <t>82332</t>
  </si>
  <si>
    <t>Paris Hilton Inc. : the selling of celebrity.</t>
  </si>
  <si>
    <t>[Toronto, Ont.] : CBC Documentary Unit, ©2007 : CBC Learning [distributor]</t>
  </si>
  <si>
    <t>Widescreen.</t>
  </si>
  <si>
    <t>Doc Zone (Television program)</t>
  </si>
  <si>
    <t>796631788:eng</t>
  </si>
  <si>
    <t>230935091</t>
  </si>
  <si>
    <t>ocn230935091</t>
  </si>
  <si>
    <t>3103050595N</t>
  </si>
  <si>
    <t>794355803</t>
  </si>
  <si>
    <t>2334</t>
  </si>
  <si>
    <t>82334</t>
  </si>
  <si>
    <t>Manufacturing consent : Noam Chomsky and the media / a film by Mark Achbar &amp; Peter Wintonick ; National Film Board of Canada.</t>
  </si>
  <si>
    <t>Montreal : National Film Board of Canada ; [Thornhill, ON] : Distributed in Canada by Mongrel Media, ©2007.</t>
  </si>
  <si>
    <t>15th anniversary ed.</t>
  </si>
  <si>
    <t>796313146:eng</t>
  </si>
  <si>
    <t>426457240</t>
  </si>
  <si>
    <t>ocn426457240</t>
  </si>
  <si>
    <t>3102864104S</t>
  </si>
  <si>
    <t>794515732</t>
  </si>
  <si>
    <t>2360</t>
  </si>
  <si>
    <t>82360</t>
  </si>
  <si>
    <t>The linguists / Ironbound Films presents ; a film sponsored by National Science Foundation + Nonprofit Media Group ; produced and directed by Seth Kramer, Daniel A. Miller, Jeremy S. Newberger ; written by Daniel A. Miller.</t>
  </si>
  <si>
    <t>DVD</t>
  </si>
  <si>
    <t>Garrison, N.Y. : Ironbound Films, [2009]</t>
  </si>
  <si>
    <t>424104492:eng</t>
  </si>
  <si>
    <t>301587879</t>
  </si>
  <si>
    <t>ocn301587879</t>
  </si>
  <si>
    <t>3103074303L</t>
  </si>
  <si>
    <t>794432557</t>
  </si>
  <si>
    <t>2360 T-guide</t>
  </si>
  <si>
    <t>82360 T-GUIDE</t>
  </si>
  <si>
    <t>T-guide-see OVERSIZE section</t>
  </si>
  <si>
    <t>31030684115</t>
  </si>
  <si>
    <t>794432556</t>
  </si>
  <si>
    <t>7967</t>
  </si>
  <si>
    <t>87967</t>
  </si>
  <si>
    <t>Made over in America / Waystone Productions presents ; a Wegenstein Rhodes film ; produced and directed by Bernadette Wegenstein and Geoffrey Alan Rhodes.</t>
  </si>
  <si>
    <t>Brooklyn, NY : First Run/Icarus Films, ©2007.</t>
  </si>
  <si>
    <t>Standard format.</t>
  </si>
  <si>
    <t>115901167:eng</t>
  </si>
  <si>
    <t>180188609</t>
  </si>
  <si>
    <t>ocn180188609</t>
  </si>
  <si>
    <t>3102836999U</t>
  </si>
  <si>
    <t>794279567</t>
  </si>
  <si>
    <t>8764</t>
  </si>
  <si>
    <t>88764</t>
  </si>
  <si>
    <t>Valentino's ghost : the politics behind images / written and directed by Michael Singh ; produced by Michael Singh, Catherine Jordan.</t>
  </si>
  <si>
    <t>[Place of publication not identified] : Michael Singh Productions, [2011]</t>
  </si>
  <si>
    <t>2014-06-26</t>
  </si>
  <si>
    <t>1059007205:eng</t>
  </si>
  <si>
    <t>767618490</t>
  </si>
  <si>
    <t>ocn767618490</t>
  </si>
  <si>
    <t>31034417532</t>
  </si>
  <si>
    <t>9781594588983</t>
  </si>
  <si>
    <t>794901330</t>
  </si>
  <si>
    <t>9308</t>
  </si>
  <si>
    <t>89308</t>
  </si>
  <si>
    <t>Effective communication skills / Professor Dalton Kehoe.</t>
  </si>
  <si>
    <t>DVDs</t>
  </si>
  <si>
    <t>Kehoe, Dalton, speaker.</t>
  </si>
  <si>
    <t>Chantilly, VA : The Teaching Company, [2011]</t>
  </si>
  <si>
    <t>The Great courses. Topic: Professional. Subtopic: Communication skills</t>
  </si>
  <si>
    <t>8911103788:eng</t>
  </si>
  <si>
    <t>727944159</t>
  </si>
  <si>
    <t>ocn727944159</t>
  </si>
  <si>
    <t>3103467873Z</t>
  </si>
  <si>
    <t>9781598037319</t>
  </si>
  <si>
    <t>794878696</t>
  </si>
  <si>
    <t>Guide</t>
  </si>
  <si>
    <t>31034678326</t>
  </si>
  <si>
    <t>794878695</t>
  </si>
  <si>
    <t>- Government Document Collection - In Library Use</t>
  </si>
  <si>
    <t>CA1 HT2 N21 1996 S</t>
  </si>
  <si>
    <t>8CA1 HT2 N21 1996 S</t>
  </si>
  <si>
    <t>Status report : minority-language educational rights : the implementation of Section 23 of the Canadian Charter of Rights and Freedoms / Jean-Charles Ducharme.</t>
  </si>
  <si>
    <t>Ducharme, Jean-Charles.</t>
  </si>
  <si>
    <t>[Ottawa?] : Canadian Heritage, [1996]</t>
  </si>
  <si>
    <t>New Canadian perspectives, 1203-8903</t>
  </si>
  <si>
    <t>9021113947:eng</t>
  </si>
  <si>
    <t>36485687</t>
  </si>
  <si>
    <t>ocm36485687</t>
  </si>
  <si>
    <t>3101596289Z</t>
  </si>
  <si>
    <t>9780662624097</t>
  </si>
  <si>
    <t>793476406</t>
  </si>
  <si>
    <t>CA1 XC61 2010 E52</t>
  </si>
  <si>
    <t>8CA1 XC61 2010 E52</t>
  </si>
  <si>
    <t>Emerging and digital media : opportunities and challenges : interim report of the Standing Committee on Canadian Heritage / Gary Schellenberger, chair.</t>
  </si>
  <si>
    <t>Canada. Parliament. House of Commons. Standing Committee on Canadian Heritage.</t>
  </si>
  <si>
    <t>[Ottawa] : [Parliament of Canada], [2010]</t>
  </si>
  <si>
    <t>3375035386:eng</t>
  </si>
  <si>
    <t>666513238</t>
  </si>
  <si>
    <t>ocn666513238</t>
  </si>
  <si>
    <t>3103402018A</t>
  </si>
  <si>
    <t>794845257</t>
  </si>
  <si>
    <t>CA1 YC2 1969 M16</t>
  </si>
  <si>
    <t>8CA1 YC2 1969 M16</t>
  </si>
  <si>
    <t>3101732912A</t>
  </si>
  <si>
    <t>794516712</t>
  </si>
  <si>
    <t>CA1 Z1 1989 E219</t>
  </si>
  <si>
    <t>8CA1 Z1 1989 E219</t>
  </si>
  <si>
    <t>3103602705O</t>
  </si>
  <si>
    <t>793298503</t>
  </si>
  <si>
    <t>CA2 PQ CF1 1983 N54</t>
  </si>
  <si>
    <t>8CA2 PQ CF1 1983 N54</t>
  </si>
  <si>
    <t>3101730810S</t>
  </si>
  <si>
    <t>792709600</t>
  </si>
  <si>
    <t>CA2 PQ CF5 N71</t>
  </si>
  <si>
    <t>8CA2 PQ CF5 N71</t>
  </si>
  <si>
    <t>3100754128D</t>
  </si>
  <si>
    <t>793082656</t>
  </si>
  <si>
    <t>CA2 PQ CF6 D17</t>
  </si>
  <si>
    <t>8CA2 PQ CF6 D17</t>
  </si>
  <si>
    <t>31017314102</t>
  </si>
  <si>
    <t>792761020</t>
  </si>
  <si>
    <t>CA2 PQ Z1 1968 F217</t>
  </si>
  <si>
    <t>8CA2 PQ Z1 1968 F217</t>
  </si>
  <si>
    <t>Les mass media, l'attachement à sa langue et les modèles linguistiques au Québec en 1971.</t>
  </si>
  <si>
    <t>Sorécom Inc.</t>
  </si>
  <si>
    <t>[Québec], [L'Éditeur officiel], [1973]</t>
  </si>
  <si>
    <t>Études réalisées pour le compte de la Commission d'enquête sur la situation de la langue française et sur les droits linguistiques au Québec, E17</t>
  </si>
  <si>
    <t>422821188:fre</t>
  </si>
  <si>
    <t>3241609</t>
  </si>
  <si>
    <t>ocm03241609</t>
  </si>
  <si>
    <t>31017306499</t>
  </si>
  <si>
    <t>792233852</t>
  </si>
  <si>
    <t>for</t>
  </si>
  <si>
    <t>8FOR</t>
  </si>
  <si>
    <t>3102580187$</t>
  </si>
  <si>
    <t>794106915</t>
  </si>
  <si>
    <t>ZZ ES13 C52 1994R</t>
  </si>
  <si>
    <t>8ZZ ES13 C52 1994R</t>
  </si>
  <si>
    <t>3101489300Y</t>
  </si>
  <si>
    <t>793343610</t>
  </si>
  <si>
    <t>1958</t>
  </si>
  <si>
    <t>1932</t>
  </si>
  <si>
    <t>P25 A6 t.9-10</t>
  </si>
  <si>
    <t>0                      P  0025000A  6                                                       t.9-10</t>
  </si>
  <si>
    <t>The Carrier language (Déné family) : a grammar and dictionary combined / by A.G. Morice.</t>
  </si>
  <si>
    <t>Morice, A. G. (Adrien Gabriel), 1859-1938.</t>
  </si>
  <si>
    <t>St. Gabriel-Mödling near Vienna, Austria : "Anthropos", 1932.</t>
  </si>
  <si>
    <t>Anthropos : linguistische bibliothek ; v. 9-10</t>
  </si>
  <si>
    <t>10033251471:eng</t>
  </si>
  <si>
    <t>3385866</t>
  </si>
  <si>
    <t>ocm03385866</t>
  </si>
  <si>
    <t>3102729804D</t>
  </si>
  <si>
    <t>3102729799Z</t>
  </si>
  <si>
    <t>P25 C25 v. 42</t>
  </si>
  <si>
    <t>0                      P  0025000C  25                                                      v. 42</t>
  </si>
  <si>
    <t>The Piro (Arawakan) language.</t>
  </si>
  <si>
    <t>v. 42*</t>
  </si>
  <si>
    <t>Matteson, Esther.</t>
  </si>
  <si>
    <t>Berkeley, University of California Press, 1965.</t>
  </si>
  <si>
    <t>University of California publications in linguistics, v. 42</t>
  </si>
  <si>
    <t>2005-08-25</t>
  </si>
  <si>
    <t>1663615:eng</t>
  </si>
  <si>
    <t>568920</t>
  </si>
  <si>
    <t>ocm00568920</t>
  </si>
  <si>
    <t>3000394693X</t>
  </si>
  <si>
    <t>P25 C25 v. 57</t>
  </si>
  <si>
    <t>0                      P  0025000C  25                                                      v. 57</t>
  </si>
  <si>
    <t>A grammar of Tera; transformational syntax and texts.</t>
  </si>
  <si>
    <t>v. 57*</t>
  </si>
  <si>
    <t>Newman, Paul, 1937-</t>
  </si>
  <si>
    <t>Berkeley, University of California Press, 1970.</t>
  </si>
  <si>
    <t>University of California publications in linguistics, v. 57</t>
  </si>
  <si>
    <t>2003-10-23</t>
  </si>
  <si>
    <t>1284230:eng</t>
  </si>
  <si>
    <t>86952</t>
  </si>
  <si>
    <t>ocm00086952</t>
  </si>
  <si>
    <t>3000390545V</t>
  </si>
  <si>
    <t>P25 C25 v. 62 1973</t>
  </si>
  <si>
    <t>0                      P  0025000C  25                                                      v. 62 1973</t>
  </si>
  <si>
    <t>Nez Perce grammar / by Haruo Aoki.</t>
  </si>
  <si>
    <t>v. 62 1973*</t>
  </si>
  <si>
    <t>Aoki, Haruo.</t>
  </si>
  <si>
    <t>Berkeley : University of California Press, 1973, ©1970.</t>
  </si>
  <si>
    <t>California Library reprint series ed.</t>
  </si>
  <si>
    <t>California library reprint series</t>
  </si>
  <si>
    <t>1316264:eng</t>
  </si>
  <si>
    <t>314174029</t>
  </si>
  <si>
    <t>ocn314174029</t>
  </si>
  <si>
    <t>31004209720</t>
  </si>
  <si>
    <t>9780520025240</t>
  </si>
  <si>
    <t>P25 C25 v. 72</t>
  </si>
  <si>
    <t>0                      P  0025000C  25                                                      v. 72</t>
  </si>
  <si>
    <t>A grammar of Southeastern Pomo / by Julius Moshinsky.</t>
  </si>
  <si>
    <t>v. 72*</t>
  </si>
  <si>
    <t>Moshinsky, Julius.</t>
  </si>
  <si>
    <t>Berkeley : University of California Press, 1974.</t>
  </si>
  <si>
    <t>University of California publications in linguistics ; v. 72</t>
  </si>
  <si>
    <t>2005-08-15</t>
  </si>
  <si>
    <t>2015508:eng</t>
  </si>
  <si>
    <t>1118624</t>
  </si>
  <si>
    <t>ocm01118624</t>
  </si>
  <si>
    <t>30004507623</t>
  </si>
  <si>
    <t>9780520094505</t>
  </si>
  <si>
    <t>791550618</t>
  </si>
  <si>
    <t>3100235048G</t>
  </si>
  <si>
    <t>791550617</t>
  </si>
  <si>
    <t>P25 C25 v. 74</t>
  </si>
  <si>
    <t>0                      P  0025000C  25                                                      v. 74</t>
  </si>
  <si>
    <t>A grammar of Eastern Pomo / by Sally McLendon.</t>
  </si>
  <si>
    <t>v. 74*</t>
  </si>
  <si>
    <t>McLendon, Sally.</t>
  </si>
  <si>
    <t>Berkeley : University of California Press, 1975.</t>
  </si>
  <si>
    <t>University of California publications in linguistics ; v. 74</t>
  </si>
  <si>
    <t>4182247:eng</t>
  </si>
  <si>
    <t>2088893</t>
  </si>
  <si>
    <t>ocm02088893</t>
  </si>
  <si>
    <t>30004224869</t>
  </si>
  <si>
    <t>9780520094437</t>
  </si>
  <si>
    <t>792043100</t>
  </si>
  <si>
    <t>P25 C25 v. 87</t>
  </si>
  <si>
    <t>0                      P  0025000C  25                                                      v. 87</t>
  </si>
  <si>
    <t>A tonal grammar of Etsakọ / by Baruch Elimelech.</t>
  </si>
  <si>
    <t>v. 87*</t>
  </si>
  <si>
    <t>Elimelech, Baruch.</t>
  </si>
  <si>
    <t>Berkeley : University of California Press, 1978.</t>
  </si>
  <si>
    <t>University of California publications in linguistics ; v. 87</t>
  </si>
  <si>
    <t>2005-08-11</t>
  </si>
  <si>
    <t>15252292:eng</t>
  </si>
  <si>
    <t>4947615</t>
  </si>
  <si>
    <t>ocm04947615</t>
  </si>
  <si>
    <t>3000429272U</t>
  </si>
  <si>
    <t>9780520095762</t>
  </si>
  <si>
    <t>P25 C25 v.1 no.8</t>
  </si>
  <si>
    <t>0                      P  0025000C  25                                                      v.1 no.8</t>
  </si>
  <si>
    <t>Manx Gaelic sentence structure in the 1819 Bible and the 1625 Prayer book.</t>
  </si>
  <si>
    <t>v.1 no.8*</t>
  </si>
  <si>
    <t>Carmody, Francis J. (Francis James), 1907-1982.</t>
  </si>
  <si>
    <t>Berkeley, Univ. of California Press, 1947.</t>
  </si>
  <si>
    <t>University of California publications in linguistics, v. 1, no. 8</t>
  </si>
  <si>
    <t>15242906:eng</t>
  </si>
  <si>
    <t>5042002</t>
  </si>
  <si>
    <t>ocm05042002</t>
  </si>
  <si>
    <t>3100911652L</t>
  </si>
  <si>
    <t>P25 C25 v.12</t>
  </si>
  <si>
    <t>0                      P  0025000C  25                                                      v.12</t>
  </si>
  <si>
    <t>Kolami, a Dravidian language.</t>
  </si>
  <si>
    <t>Berkeley, University of California Press, 1955.</t>
  </si>
  <si>
    <t>University of California publications in linguistics, v. 12</t>
  </si>
  <si>
    <t>226625099:eng</t>
  </si>
  <si>
    <t>5210400</t>
  </si>
  <si>
    <t>ocm05210400</t>
  </si>
  <si>
    <t>3100987765A</t>
  </si>
  <si>
    <t>P25 C25 v.15</t>
  </si>
  <si>
    <t>0                      P  0025000C  25                                                      v.15</t>
  </si>
  <si>
    <t>The Yurok language: grammar, texts, lexicon.</t>
  </si>
  <si>
    <t>v.15*</t>
  </si>
  <si>
    <t>Robins, R. H. (Robert Henry)</t>
  </si>
  <si>
    <t>Berkeley, University of California Press, 1958.</t>
  </si>
  <si>
    <t>University of California publications in linguistics, v. 15</t>
  </si>
  <si>
    <t>366266187:eng</t>
  </si>
  <si>
    <t>3767668</t>
  </si>
  <si>
    <t>ocm03767668</t>
  </si>
  <si>
    <t>3000595626T</t>
  </si>
  <si>
    <t>P25 C25 v.16</t>
  </si>
  <si>
    <t>0                      P  0025000C  25                                                      v.16</t>
  </si>
  <si>
    <t>The Sparkman grammar of Luiseno, by A.L. Kroeber and George William Grace.</t>
  </si>
  <si>
    <t>v.16*</t>
  </si>
  <si>
    <t>Kroeber, A. L. (Alfred Louis), 1876-1960.</t>
  </si>
  <si>
    <t>University of California publications in linguistics, v. 16</t>
  </si>
  <si>
    <t>2013-01-10</t>
  </si>
  <si>
    <t>8996021:eng</t>
  </si>
  <si>
    <t>3222534</t>
  </si>
  <si>
    <t>ocm03222534</t>
  </si>
  <si>
    <t>3100987760K</t>
  </si>
  <si>
    <t>P25 C25 v.25</t>
  </si>
  <si>
    <t>0                      P  0025000C  25                                                      v.25</t>
  </si>
  <si>
    <t>Karen linguistic studies: description, comparison, and texts.</t>
  </si>
  <si>
    <t>Jones, Robert B., 1920-</t>
  </si>
  <si>
    <t>Berkeley, University of California Press, 1961.</t>
  </si>
  <si>
    <t>University of California publications in linguistics, v. 25</t>
  </si>
  <si>
    <t>366581115:eng</t>
  </si>
  <si>
    <t>2853567</t>
  </si>
  <si>
    <t>ocm02853567</t>
  </si>
  <si>
    <t>31009877773</t>
  </si>
  <si>
    <t>P25 C25 v.32</t>
  </si>
  <si>
    <t>0                      P  0025000C  25                                                      v.32</t>
  </si>
  <si>
    <t>Klamath grammar.</t>
  </si>
  <si>
    <t>v.32*</t>
  </si>
  <si>
    <t>Barker, Muhammad Abd-al-Rahman.</t>
  </si>
  <si>
    <t>Berkeley, University of California Press, 1964.</t>
  </si>
  <si>
    <t>University of California publications in linguistics, v. 32</t>
  </si>
  <si>
    <t>1663895:eng</t>
  </si>
  <si>
    <t>568997</t>
  </si>
  <si>
    <t>ocm00568997</t>
  </si>
  <si>
    <t>31009877692</t>
  </si>
  <si>
    <t>P25 C25 v.37</t>
  </si>
  <si>
    <t>0                      P  0025000C  25                                                      v.37</t>
  </si>
  <si>
    <t>The Wiyot language, by Karl V. Teeter.</t>
  </si>
  <si>
    <t>v.37*</t>
  </si>
  <si>
    <t>Teeter, Karl V.</t>
  </si>
  <si>
    <t>University of California publications in linguistics, v. 37</t>
  </si>
  <si>
    <t>10141299688:eng</t>
  </si>
  <si>
    <t>567673</t>
  </si>
  <si>
    <t>ocm00567673</t>
  </si>
  <si>
    <t>31009877846</t>
  </si>
  <si>
    <t>791416805</t>
  </si>
  <si>
    <t>P25 C25 v.38</t>
  </si>
  <si>
    <t>0                      P  0025000C  25                                                      v.38</t>
  </si>
  <si>
    <t>The Southern Sierra Miwok language, by Sylvia M. Broadbent.</t>
  </si>
  <si>
    <t>v.38*</t>
  </si>
  <si>
    <t>Broadbent, Sylvia M.</t>
  </si>
  <si>
    <t>University of California publications in linguistics, v. 38</t>
  </si>
  <si>
    <t>1698944:eng</t>
  </si>
  <si>
    <t>574748</t>
  </si>
  <si>
    <t>ocm00574748</t>
  </si>
  <si>
    <t>31009877838</t>
  </si>
  <si>
    <t>791418710</t>
  </si>
  <si>
    <t>P25 C25 v.4 no.1</t>
  </si>
  <si>
    <t>0                      P  0025000C  25                                                      v.4 no.1</t>
  </si>
  <si>
    <t>The Venetic language.</t>
  </si>
  <si>
    <t>v.4 no.1*</t>
  </si>
  <si>
    <t>Beeler, Madison Scott, 1910-</t>
  </si>
  <si>
    <t>Berkeley, Univ. of California Press, 1949.</t>
  </si>
  <si>
    <t>University of California publications in linguistics, v. 4, no. 1</t>
  </si>
  <si>
    <t>9622276808:eng</t>
  </si>
  <si>
    <t>3151744</t>
  </si>
  <si>
    <t>ocm03151744</t>
  </si>
  <si>
    <t>3100911657B</t>
  </si>
  <si>
    <t>792223335</t>
  </si>
  <si>
    <t>P25 C25 v.40</t>
  </si>
  <si>
    <t>0                      P  0025000C  25                                                      v.40</t>
  </si>
  <si>
    <t>Acoma grammar and texts, by Wick R. Miller.</t>
  </si>
  <si>
    <t>v.40*</t>
  </si>
  <si>
    <t>Miller, Wick R.</t>
  </si>
  <si>
    <t>University of California publications in linguistics, v. 40</t>
  </si>
  <si>
    <t>1663724:eng</t>
  </si>
  <si>
    <t>568947</t>
  </si>
  <si>
    <t>ocm00568947</t>
  </si>
  <si>
    <t>3100987781C</t>
  </si>
  <si>
    <t>791417109</t>
  </si>
  <si>
    <t>P25 C25 v.41</t>
  </si>
  <si>
    <t>0                      P  0025000C  25                                                      v.41</t>
  </si>
  <si>
    <t>Maidu grammar.</t>
  </si>
  <si>
    <t>v.41*</t>
  </si>
  <si>
    <t>Shipley, William, 1921-2011.</t>
  </si>
  <si>
    <t>University of California publications in linguistics, v. 41</t>
  </si>
  <si>
    <t>1663844:eng</t>
  </si>
  <si>
    <t>568977</t>
  </si>
  <si>
    <t>ocm00568977</t>
  </si>
  <si>
    <t>3100987782A</t>
  </si>
  <si>
    <t>791417119</t>
  </si>
  <si>
    <t>P25 C25 v.44</t>
  </si>
  <si>
    <t>0                      P  0025000C  25                                                      v.44</t>
  </si>
  <si>
    <t>The Gbeya language; grammar, texts, and vocabularies, by William J. Samarin.</t>
  </si>
  <si>
    <t>v.44*</t>
  </si>
  <si>
    <t>Berkeley, University of California Press, 1966.</t>
  </si>
  <si>
    <t>University of California publications in linguistics, v. 44</t>
  </si>
  <si>
    <t>2003-08-06</t>
  </si>
  <si>
    <t>1883684:eng</t>
  </si>
  <si>
    <t>897343</t>
  </si>
  <si>
    <t>ocm00897343</t>
  </si>
  <si>
    <t>3000599486$</t>
  </si>
  <si>
    <t>791497049</t>
  </si>
  <si>
    <t>P25 C25 v.5 no.1</t>
  </si>
  <si>
    <t>0                      P  0025000C  25                                                      v.5 no.1</t>
  </si>
  <si>
    <t>An analytical dictionary of the Tonkawa language.</t>
  </si>
  <si>
    <t>v.5 no.1*</t>
  </si>
  <si>
    <t>Hoijer, Harry, 1904-1976.</t>
  </si>
  <si>
    <t>University of California publications in linguistics, v. 5, no. 1</t>
  </si>
  <si>
    <t>113111303:eng</t>
  </si>
  <si>
    <t>4754061</t>
  </si>
  <si>
    <t>ocm04754061</t>
  </si>
  <si>
    <t>3100911644K</t>
  </si>
  <si>
    <t>792380566</t>
  </si>
  <si>
    <t>P25 C25 v.54</t>
  </si>
  <si>
    <t>0                      P  0025000C  25                                                      v.54</t>
  </si>
  <si>
    <t>Koya: an outline grammar, Gommu dialect, by Stephen A. Tyler.</t>
  </si>
  <si>
    <t>v.54*</t>
  </si>
  <si>
    <t>University of California publications in linguistics, v. 54</t>
  </si>
  <si>
    <t>5585926618:eng</t>
  </si>
  <si>
    <t>5127732</t>
  </si>
  <si>
    <t>ocm05127732</t>
  </si>
  <si>
    <t>3000595633W</t>
  </si>
  <si>
    <t>792409979</t>
  </si>
  <si>
    <t>3100235043Q</t>
  </si>
  <si>
    <t>792409980</t>
  </si>
  <si>
    <t>P25 C25 v.56</t>
  </si>
  <si>
    <t>0                      P  0025000C  25                                                      v.56</t>
  </si>
  <si>
    <t>The Tarascan language / by Mary LeCron Foster.</t>
  </si>
  <si>
    <t>v.56*</t>
  </si>
  <si>
    <t>Foster, Mary LeCron, 1914-2001.</t>
  </si>
  <si>
    <t>Berkeley and Los Angeles : University of California Press, 1969.</t>
  </si>
  <si>
    <t>University of California publications in linguistics ; v. 56</t>
  </si>
  <si>
    <t>2005-08-22</t>
  </si>
  <si>
    <t>346503612:eng</t>
  </si>
  <si>
    <t>76026</t>
  </si>
  <si>
    <t>ocm00076026</t>
  </si>
  <si>
    <t>3100987796$</t>
  </si>
  <si>
    <t>791247316</t>
  </si>
  <si>
    <t>P25 C25 v.6 no.2</t>
  </si>
  <si>
    <t>0                      P  0025000C  25                                                      v.6 no.2</t>
  </si>
  <si>
    <t>Tunica dictionary.</t>
  </si>
  <si>
    <t>v.6 no.2*</t>
  </si>
  <si>
    <t>Haas, Mary R. (Mary Rosamond), 1910-1996.</t>
  </si>
  <si>
    <t>Berkeley, University of California Press, 1953.</t>
  </si>
  <si>
    <t>1953</t>
  </si>
  <si>
    <t>University of California publications in linguistics, v. 6, no. 2</t>
  </si>
  <si>
    <t>344147773:eng</t>
  </si>
  <si>
    <t>5015501</t>
  </si>
  <si>
    <t>ocm05015501</t>
  </si>
  <si>
    <t>3100911641Q</t>
  </si>
  <si>
    <t>792401327</t>
  </si>
  <si>
    <t>P25 C25 v.62</t>
  </si>
  <si>
    <t>0                      P  0025000C  25                                                      v.62</t>
  </si>
  <si>
    <t>v.62*</t>
  </si>
  <si>
    <t>Berkeley ; Los Angeles ; London : University of California Press, 1970.</t>
  </si>
  <si>
    <t>University of California publications in linguistics ; v. 62</t>
  </si>
  <si>
    <t>94989</t>
  </si>
  <si>
    <t>ocm00094989</t>
  </si>
  <si>
    <t>3000595637O</t>
  </si>
  <si>
    <t>9780520092594</t>
  </si>
  <si>
    <t>791254295</t>
  </si>
  <si>
    <t>P25 C25 v.66</t>
  </si>
  <si>
    <t>0                      P  0025000C  25                                                      v.66</t>
  </si>
  <si>
    <t>A grammar of Diegueño; the Mesa Grande dialect.</t>
  </si>
  <si>
    <t>v.66*</t>
  </si>
  <si>
    <t>Langdon, Margaret, 1926-2005.</t>
  </si>
  <si>
    <t>University of California publications in linguistics, v. 66</t>
  </si>
  <si>
    <t>68027072:eng</t>
  </si>
  <si>
    <t>109625</t>
  </si>
  <si>
    <t>ocm00109625</t>
  </si>
  <si>
    <t>31009877951</t>
  </si>
  <si>
    <t>9780520092631</t>
  </si>
  <si>
    <t>791260006</t>
  </si>
  <si>
    <t>P25 C25 v.75</t>
  </si>
  <si>
    <t>0                      P  0025000C  25                                                      v.75</t>
  </si>
  <si>
    <t>The grammar of Lahu, by James A. Matisoff.</t>
  </si>
  <si>
    <t>v.75*</t>
  </si>
  <si>
    <t>Matisoff, James A.</t>
  </si>
  <si>
    <t>Berkeley, University of California Press, 1973.</t>
  </si>
  <si>
    <t>University of California publications in linguistics, v. 75</t>
  </si>
  <si>
    <t>1840016:eng</t>
  </si>
  <si>
    <t>869615</t>
  </si>
  <si>
    <t>ocm00869615</t>
  </si>
  <si>
    <t>3000595639K</t>
  </si>
  <si>
    <t>9780520094673</t>
  </si>
  <si>
    <t>791491138</t>
  </si>
  <si>
    <t>v.75</t>
  </si>
  <si>
    <t>3101140861A</t>
  </si>
  <si>
    <t>791491137</t>
  </si>
  <si>
    <t>P25 C25 v.76</t>
  </si>
  <si>
    <t>0                      P  0025000C  25                                                      v.76</t>
  </si>
  <si>
    <t>Yaqui syntax.</t>
  </si>
  <si>
    <t>v.76*</t>
  </si>
  <si>
    <t>Lindenfeld, Jacqueline.</t>
  </si>
  <si>
    <t>Berkeley, University of California Press, 1973 [i.e. 1974]</t>
  </si>
  <si>
    <t>University of California publications in linguistics, v. 76</t>
  </si>
  <si>
    <t>1898980:eng</t>
  </si>
  <si>
    <t>940244</t>
  </si>
  <si>
    <t>ocm00940244</t>
  </si>
  <si>
    <t>3000434758N</t>
  </si>
  <si>
    <t>9780520094703</t>
  </si>
  <si>
    <t>791507312</t>
  </si>
  <si>
    <t>P25 C25 v.84</t>
  </si>
  <si>
    <t>0                      P  0025000C  25                                                      v.84</t>
  </si>
  <si>
    <t>A grammar of Vai / by Wm. E. Welmers.</t>
  </si>
  <si>
    <t>v.84*</t>
  </si>
  <si>
    <t>Welmers, William Everett, 1916-1988.</t>
  </si>
  <si>
    <t>Berkeley : University of California Press, 1976.</t>
  </si>
  <si>
    <t>University of California publications in linguistics ; v. 84</t>
  </si>
  <si>
    <t>365596249:eng</t>
  </si>
  <si>
    <t>2792416</t>
  </si>
  <si>
    <t>ocm02792416</t>
  </si>
  <si>
    <t>30004473978</t>
  </si>
  <si>
    <t>9780520095557</t>
  </si>
  <si>
    <t>792176844</t>
  </si>
  <si>
    <t>P25 C25 v.89</t>
  </si>
  <si>
    <t>0                      P  0025000C  25                                                      v.89</t>
  </si>
  <si>
    <t>Wikchamni grammar / by Geoffrey Gamble.</t>
  </si>
  <si>
    <t>v.89*</t>
  </si>
  <si>
    <t>Gamble, Geoffrey.</t>
  </si>
  <si>
    <t>Berkeley : University of California Press, ©1978.</t>
  </si>
  <si>
    <t>University of California publications in linguistics ; v. 89</t>
  </si>
  <si>
    <t>15059741:eng</t>
  </si>
  <si>
    <t>4782259</t>
  </si>
  <si>
    <t>ocm04782259</t>
  </si>
  <si>
    <t>3000418002X</t>
  </si>
  <si>
    <t>9780520095892</t>
  </si>
  <si>
    <t>792382984</t>
  </si>
  <si>
    <t>P25 D6 no. 38</t>
  </si>
  <si>
    <t>0                      P  0025000D  6                                                       no. 38</t>
  </si>
  <si>
    <t>Grammaire de la langue avar : langue du Caucase nord-est / Georges Charachidzé.</t>
  </si>
  <si>
    <t>no. 38*</t>
  </si>
  <si>
    <t>Charachidzé, Georges.</t>
  </si>
  <si>
    <t>Saint-Sulpice de Favières : Jean-Favard, 1981.</t>
  </si>
  <si>
    <t>Document de linguistique quantitative, 0085-4786 ; no 38</t>
  </si>
  <si>
    <t>478794591:fre</t>
  </si>
  <si>
    <t>9731056</t>
  </si>
  <si>
    <t>ocm09731056</t>
  </si>
  <si>
    <t>30003194516</t>
  </si>
  <si>
    <t>9782853440387</t>
  </si>
  <si>
    <t>792690774</t>
  </si>
  <si>
    <t>P25 I3 v.3 no. 2-4</t>
  </si>
  <si>
    <t>0                      P  0025000I  3                                                       v.3 no. 2-4</t>
  </si>
  <si>
    <t>Tagalog texts with grammatical analysis.</t>
  </si>
  <si>
    <t>v.3 no. 2-4*</t>
  </si>
  <si>
    <t>N.Y., Johnson Reprint [1967]</t>
  </si>
  <si>
    <t>University of Illinois studies in language and literature. v. 3, no. 2-4</t>
  </si>
  <si>
    <t>9965156127:eng</t>
  </si>
  <si>
    <t>427509432</t>
  </si>
  <si>
    <t>ocn427509432</t>
  </si>
  <si>
    <t>3000615744R</t>
  </si>
  <si>
    <t>794671463</t>
  </si>
  <si>
    <t>P25 P38 no.3</t>
  </si>
  <si>
    <t>0                      P  0025000P  38                                                      no.3</t>
  </si>
  <si>
    <t>Hidatsa syntax / by G.H. Matthews.</t>
  </si>
  <si>
    <t>no. 3</t>
  </si>
  <si>
    <t>Matthews, G. H.</t>
  </si>
  <si>
    <t>The Hague : Mouton, 1965.</t>
  </si>
  <si>
    <t>Papers on formal linguistics, no. 3</t>
  </si>
  <si>
    <t>2002-03-28</t>
  </si>
  <si>
    <t>1924077:eng</t>
  </si>
  <si>
    <t>217252424</t>
  </si>
  <si>
    <t>ocn217252424</t>
  </si>
  <si>
    <t>3000599552C</t>
  </si>
  <si>
    <t>794316285</t>
  </si>
  <si>
    <t>P945 H59 2008</t>
  </si>
  <si>
    <t>0                      P  0945000H  59          2008</t>
  </si>
  <si>
    <t>A grammar of the Hittite language / by Harry A. Hoffner Jr. and H. Craig Melchert.</t>
  </si>
  <si>
    <t>pt. 1 (+ CD-ROM)</t>
  </si>
  <si>
    <t>Hoffner, Harry A.</t>
  </si>
  <si>
    <t>Winona Lake, Ind. : Eisenbrauns, 2008.</t>
  </si>
  <si>
    <t>Languages of the ancient Near East ; 1</t>
  </si>
  <si>
    <t>2014-09-03</t>
  </si>
  <si>
    <t>113860934:eng</t>
  </si>
  <si>
    <t>226314494</t>
  </si>
  <si>
    <t>ocn226314494</t>
  </si>
  <si>
    <t>3103032126E</t>
  </si>
  <si>
    <t>9781575061191</t>
  </si>
  <si>
    <t>794344936</t>
  </si>
  <si>
    <t>pt. 2</t>
  </si>
  <si>
    <t>3103030586Z</t>
  </si>
  <si>
    <t>794344935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</si>
</sst>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6814"/>
  <sheetViews>
    <sheetView tabSelected="1" workbookViewId="0">
      <pane ySplit="1" topLeftCell="A6788" activePane="bottomLeft" state="frozen"/>
      <selection pane="bottomLeft" activeCell="A6816" activeCellId="2" sqref="A6791:XFD6791 A6792:XFD6792 A6816:XFD6816"/>
    </sheetView>
  </sheetViews>
  <sheetFormatPr defaultRowHeight="14.25" x14ac:dyDescent="0.45"/>
  <cols>
    <col min="1" max="1" width="12.73046875" customWidth="1"/>
    <col min="2" max="3" width="10.73046875" customWidth="1"/>
    <col min="4" max="4" width="12.73046875" hidden="1" customWidth="1"/>
    <col min="5" max="5" width="38.73046875" customWidth="1"/>
    <col min="6" max="6" width="13.73046875" customWidth="1"/>
    <col min="7" max="7" width="10.73046875" hidden="1" customWidth="1"/>
    <col min="8" max="8" width="8.73046875" hidden="1" customWidth="1"/>
    <col min="9" max="9" width="11.73046875" hidden="1" customWidth="1"/>
    <col min="10" max="10" width="9.73046875" hidden="1" customWidth="1"/>
    <col min="11" max="11" width="10.73046875" customWidth="1"/>
    <col min="12" max="13" width="35.73046875" customWidth="1"/>
    <col min="14" max="14" width="13.73046875" customWidth="1"/>
    <col min="15" max="15" width="9.73046875" customWidth="1"/>
    <col min="16" max="16" width="10.73046875" customWidth="1"/>
    <col min="17" max="17" width="35.73046875" customWidth="1"/>
    <col min="18" max="18" width="10.73046875" customWidth="1"/>
    <col min="19" max="29" width="10.73046875" hidden="1" customWidth="1"/>
    <col min="30" max="31" width="12.73046875" hidden="1" customWidth="1"/>
    <col min="32" max="33" width="9.73046875" hidden="1" customWidth="1"/>
    <col min="34" max="35" width="11.73046875" hidden="1" customWidth="1"/>
    <col min="36" max="39" width="9.73046875" hidden="1" customWidth="1"/>
    <col min="40" max="41" width="13.73046875" hidden="1" customWidth="1"/>
    <col min="42" max="43" width="9.73046875" hidden="1" customWidth="1"/>
    <col min="44" max="44" width="11.73046875" hidden="1" customWidth="1"/>
    <col min="45" max="47" width="12.73046875" hidden="1" customWidth="1"/>
    <col min="48" max="48" width="10.73046875" customWidth="1"/>
    <col min="49" max="49" width="10.73046875" hidden="1" customWidth="1"/>
    <col min="50" max="50" width="15.73046875" hidden="1" customWidth="1"/>
    <col min="51" max="54" width="20.73046875" hidden="1" customWidth="1"/>
    <col min="55" max="55" width="15.73046875" customWidth="1"/>
    <col min="56" max="57" width="15.73046875" hidden="1" customWidth="1"/>
    <col min="58" max="58" width="25.73046875" customWidth="1"/>
    <col min="59" max="59" width="10.73046875" hidden="1" customWidth="1"/>
  </cols>
  <sheetData>
    <row r="1" spans="1:59" ht="71.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</row>
    <row r="2" spans="1:59" ht="71.25" x14ac:dyDescent="0.45">
      <c r="A2" s="2" t="s">
        <v>59</v>
      </c>
      <c r="B2" s="2" t="s">
        <v>60</v>
      </c>
      <c r="C2" s="2" t="s">
        <v>91</v>
      </c>
      <c r="D2" s="2" t="s">
        <v>92</v>
      </c>
      <c r="E2" s="2" t="s">
        <v>93</v>
      </c>
      <c r="F2" s="3" t="s">
        <v>94</v>
      </c>
      <c r="G2" s="3" t="s">
        <v>62</v>
      </c>
      <c r="I2" s="3" t="s">
        <v>62</v>
      </c>
      <c r="J2" s="3" t="s">
        <v>62</v>
      </c>
      <c r="K2" s="3" t="s">
        <v>63</v>
      </c>
      <c r="L2" s="2" t="s">
        <v>95</v>
      </c>
      <c r="M2" s="2" t="s">
        <v>96</v>
      </c>
      <c r="N2" s="3" t="s">
        <v>97</v>
      </c>
      <c r="P2" s="3" t="s">
        <v>65</v>
      </c>
      <c r="Q2" s="2" t="s">
        <v>98</v>
      </c>
      <c r="R2" s="3" t="s">
        <v>66</v>
      </c>
      <c r="S2" s="4">
        <v>2</v>
      </c>
      <c r="T2" s="4">
        <v>2</v>
      </c>
      <c r="U2" s="5" t="s">
        <v>99</v>
      </c>
      <c r="V2" s="5" t="s">
        <v>99</v>
      </c>
      <c r="W2" s="5" t="s">
        <v>67</v>
      </c>
      <c r="X2" s="5" t="s">
        <v>67</v>
      </c>
      <c r="Y2" s="4">
        <v>130</v>
      </c>
      <c r="Z2" s="4">
        <v>6</v>
      </c>
      <c r="AA2" s="4">
        <v>11</v>
      </c>
      <c r="AB2" s="4">
        <v>1</v>
      </c>
      <c r="AC2" s="4">
        <v>1</v>
      </c>
      <c r="AD2" s="4">
        <v>61</v>
      </c>
      <c r="AE2" s="4">
        <v>67</v>
      </c>
      <c r="AF2" s="4">
        <v>0</v>
      </c>
      <c r="AG2" s="4">
        <v>0</v>
      </c>
      <c r="AH2" s="4">
        <v>59</v>
      </c>
      <c r="AI2" s="4">
        <v>64</v>
      </c>
      <c r="AJ2" s="4">
        <v>5</v>
      </c>
      <c r="AK2" s="4">
        <v>8</v>
      </c>
      <c r="AL2" s="4">
        <v>35</v>
      </c>
      <c r="AM2" s="4">
        <v>37</v>
      </c>
      <c r="AN2" s="4">
        <v>0</v>
      </c>
      <c r="AO2" s="4">
        <v>0</v>
      </c>
      <c r="AP2" s="4">
        <v>5</v>
      </c>
      <c r="AQ2" s="4">
        <v>7</v>
      </c>
      <c r="AR2" s="3" t="s">
        <v>62</v>
      </c>
      <c r="AS2" s="3" t="s">
        <v>62</v>
      </c>
      <c r="AT2" s="3" t="s">
        <v>62</v>
      </c>
      <c r="AV2" s="6" t="str">
        <f>HYPERLINK("http://mcgill.on.worldcat.org/oclc/1871459","Catalog Record")</f>
        <v>Catalog Record</v>
      </c>
      <c r="AW2" s="6" t="str">
        <f>HYPERLINK("http://www.worldcat.org/oclc/1871459","WorldCat Record")</f>
        <v>WorldCat Record</v>
      </c>
      <c r="AX2" s="3" t="s">
        <v>100</v>
      </c>
      <c r="AY2" s="3" t="s">
        <v>101</v>
      </c>
      <c r="AZ2" s="3" t="s">
        <v>102</v>
      </c>
      <c r="BA2" s="3" t="s">
        <v>102</v>
      </c>
      <c r="BB2" s="3" t="s">
        <v>103</v>
      </c>
      <c r="BC2" s="3" t="s">
        <v>104</v>
      </c>
      <c r="BD2" s="3" t="s">
        <v>68</v>
      </c>
      <c r="BF2" s="3" t="s">
        <v>103</v>
      </c>
      <c r="BG2" s="3" t="s">
        <v>105</v>
      </c>
    </row>
    <row r="3" spans="1:59" ht="57" x14ac:dyDescent="0.45">
      <c r="A3" s="2" t="s">
        <v>59</v>
      </c>
      <c r="B3" s="2" t="s">
        <v>60</v>
      </c>
      <c r="C3" s="2" t="s">
        <v>130</v>
      </c>
      <c r="D3" s="2" t="s">
        <v>131</v>
      </c>
      <c r="E3" s="2" t="s">
        <v>132</v>
      </c>
      <c r="G3" s="3" t="s">
        <v>62</v>
      </c>
      <c r="I3" s="3" t="s">
        <v>62</v>
      </c>
      <c r="J3" s="3" t="s">
        <v>62</v>
      </c>
      <c r="K3" s="3" t="s">
        <v>63</v>
      </c>
      <c r="L3" s="2" t="s">
        <v>133</v>
      </c>
      <c r="M3" s="2" t="s">
        <v>134</v>
      </c>
      <c r="N3" s="3" t="s">
        <v>135</v>
      </c>
      <c r="P3" s="3" t="s">
        <v>65</v>
      </c>
      <c r="Q3" s="2" t="s">
        <v>136</v>
      </c>
      <c r="R3" s="3" t="s">
        <v>66</v>
      </c>
      <c r="S3" s="4">
        <v>6</v>
      </c>
      <c r="T3" s="4">
        <v>6</v>
      </c>
      <c r="U3" s="5" t="s">
        <v>137</v>
      </c>
      <c r="V3" s="5" t="s">
        <v>137</v>
      </c>
      <c r="W3" s="5" t="s">
        <v>67</v>
      </c>
      <c r="X3" s="5" t="s">
        <v>67</v>
      </c>
      <c r="Y3" s="4">
        <v>157</v>
      </c>
      <c r="Z3" s="4">
        <v>4</v>
      </c>
      <c r="AA3" s="4">
        <v>7</v>
      </c>
      <c r="AB3" s="4">
        <v>1</v>
      </c>
      <c r="AC3" s="4">
        <v>2</v>
      </c>
      <c r="AD3" s="4">
        <v>33</v>
      </c>
      <c r="AE3" s="4">
        <v>36</v>
      </c>
      <c r="AF3" s="4">
        <v>0</v>
      </c>
      <c r="AG3" s="4">
        <v>1</v>
      </c>
      <c r="AH3" s="4">
        <v>29</v>
      </c>
      <c r="AI3" s="4">
        <v>30</v>
      </c>
      <c r="AJ3" s="4">
        <v>2</v>
      </c>
      <c r="AK3" s="4">
        <v>4</v>
      </c>
      <c r="AL3" s="4">
        <v>21</v>
      </c>
      <c r="AM3" s="4">
        <v>21</v>
      </c>
      <c r="AN3" s="4">
        <v>0</v>
      </c>
      <c r="AO3" s="4">
        <v>0</v>
      </c>
      <c r="AP3" s="4">
        <v>3</v>
      </c>
      <c r="AQ3" s="4">
        <v>5</v>
      </c>
      <c r="AR3" s="3" t="s">
        <v>62</v>
      </c>
      <c r="AS3" s="3" t="s">
        <v>62</v>
      </c>
      <c r="AT3" s="3" t="s">
        <v>61</v>
      </c>
      <c r="AU3" s="6" t="str">
        <f>HYPERLINK("http://catalog.hathitrust.org/Record/006786222","HathiTrust Record")</f>
        <v>HathiTrust Record</v>
      </c>
      <c r="AV3" s="6" t="str">
        <f>HYPERLINK("http://mcgill.on.worldcat.org/oclc/2727893","Catalog Record")</f>
        <v>Catalog Record</v>
      </c>
      <c r="AW3" s="6" t="str">
        <f>HYPERLINK("http://www.worldcat.org/oclc/2727893","WorldCat Record")</f>
        <v>WorldCat Record</v>
      </c>
      <c r="AX3" s="3" t="s">
        <v>138</v>
      </c>
      <c r="AY3" s="3" t="s">
        <v>139</v>
      </c>
      <c r="AZ3" s="3" t="s">
        <v>140</v>
      </c>
      <c r="BA3" s="3" t="s">
        <v>140</v>
      </c>
      <c r="BB3" s="3" t="s">
        <v>141</v>
      </c>
      <c r="BC3" s="3" t="s">
        <v>142</v>
      </c>
      <c r="BD3" s="3" t="s">
        <v>68</v>
      </c>
      <c r="BF3" s="3" t="s">
        <v>141</v>
      </c>
      <c r="BG3" s="3" t="s">
        <v>143</v>
      </c>
    </row>
    <row r="4" spans="1:59" ht="99.75" x14ac:dyDescent="0.45">
      <c r="A4" s="2" t="s">
        <v>59</v>
      </c>
      <c r="B4" s="2" t="s">
        <v>60</v>
      </c>
      <c r="C4" s="2" t="s">
        <v>144</v>
      </c>
      <c r="D4" s="2" t="s">
        <v>145</v>
      </c>
      <c r="E4" s="2" t="s">
        <v>146</v>
      </c>
      <c r="G4" s="3" t="s">
        <v>62</v>
      </c>
      <c r="I4" s="3" t="s">
        <v>62</v>
      </c>
      <c r="J4" s="3" t="s">
        <v>62</v>
      </c>
      <c r="K4" s="3" t="s">
        <v>63</v>
      </c>
      <c r="L4" s="2" t="s">
        <v>147</v>
      </c>
      <c r="M4" s="2" t="s">
        <v>148</v>
      </c>
      <c r="N4" s="3" t="s">
        <v>149</v>
      </c>
      <c r="P4" s="3" t="s">
        <v>114</v>
      </c>
      <c r="Q4" s="2" t="s">
        <v>150</v>
      </c>
      <c r="R4" s="3" t="s">
        <v>66</v>
      </c>
      <c r="S4" s="4">
        <v>0</v>
      </c>
      <c r="T4" s="4">
        <v>0</v>
      </c>
      <c r="W4" s="5" t="s">
        <v>67</v>
      </c>
      <c r="X4" s="5" t="s">
        <v>67</v>
      </c>
      <c r="Y4" s="4">
        <v>30</v>
      </c>
      <c r="Z4" s="4">
        <v>5</v>
      </c>
      <c r="AA4" s="4">
        <v>5</v>
      </c>
      <c r="AB4" s="4">
        <v>1</v>
      </c>
      <c r="AC4" s="4">
        <v>1</v>
      </c>
      <c r="AD4" s="4">
        <v>14</v>
      </c>
      <c r="AE4" s="4">
        <v>14</v>
      </c>
      <c r="AF4" s="4">
        <v>0</v>
      </c>
      <c r="AG4" s="4">
        <v>0</v>
      </c>
      <c r="AH4" s="4">
        <v>14</v>
      </c>
      <c r="AI4" s="4">
        <v>14</v>
      </c>
      <c r="AJ4" s="4">
        <v>3</v>
      </c>
      <c r="AK4" s="4">
        <v>3</v>
      </c>
      <c r="AL4" s="4">
        <v>8</v>
      </c>
      <c r="AM4" s="4">
        <v>8</v>
      </c>
      <c r="AN4" s="4">
        <v>0</v>
      </c>
      <c r="AO4" s="4">
        <v>0</v>
      </c>
      <c r="AP4" s="4">
        <v>3</v>
      </c>
      <c r="AQ4" s="4">
        <v>3</v>
      </c>
      <c r="AR4" s="3" t="s">
        <v>62</v>
      </c>
      <c r="AS4" s="3" t="s">
        <v>62</v>
      </c>
      <c r="AT4" s="3" t="s">
        <v>62</v>
      </c>
      <c r="AV4" s="6" t="str">
        <f>HYPERLINK("http://mcgill.on.worldcat.org/oclc/607973779","Catalog Record")</f>
        <v>Catalog Record</v>
      </c>
      <c r="AW4" s="6" t="str">
        <f>HYPERLINK("http://www.worldcat.org/oclc/607973779","WorldCat Record")</f>
        <v>WorldCat Record</v>
      </c>
      <c r="AX4" s="3" t="s">
        <v>151</v>
      </c>
      <c r="AY4" s="3" t="s">
        <v>152</v>
      </c>
      <c r="AZ4" s="3" t="s">
        <v>153</v>
      </c>
      <c r="BA4" s="3" t="s">
        <v>153</v>
      </c>
      <c r="BB4" s="3" t="s">
        <v>154</v>
      </c>
      <c r="BC4" s="3" t="s">
        <v>142</v>
      </c>
      <c r="BD4" s="3" t="s">
        <v>68</v>
      </c>
      <c r="BE4" s="3" t="s">
        <v>155</v>
      </c>
      <c r="BF4" s="3" t="s">
        <v>154</v>
      </c>
      <c r="BG4" s="3" t="s">
        <v>156</v>
      </c>
    </row>
    <row r="5" spans="1:59" ht="71.25" x14ac:dyDescent="0.45">
      <c r="A5" s="2" t="s">
        <v>59</v>
      </c>
      <c r="B5" s="2" t="s">
        <v>60</v>
      </c>
      <c r="C5" s="2" t="s">
        <v>162</v>
      </c>
      <c r="D5" s="2" t="s">
        <v>163</v>
      </c>
      <c r="E5" s="2" t="s">
        <v>164</v>
      </c>
      <c r="G5" s="3" t="s">
        <v>62</v>
      </c>
      <c r="I5" s="3" t="s">
        <v>62</v>
      </c>
      <c r="J5" s="3" t="s">
        <v>62</v>
      </c>
      <c r="K5" s="3" t="s">
        <v>63</v>
      </c>
      <c r="L5" s="2" t="s">
        <v>165</v>
      </c>
      <c r="M5" s="2" t="s">
        <v>166</v>
      </c>
      <c r="N5" s="3" t="s">
        <v>167</v>
      </c>
      <c r="O5" s="2" t="s">
        <v>168</v>
      </c>
      <c r="P5" s="3" t="s">
        <v>65</v>
      </c>
      <c r="R5" s="3" t="s">
        <v>66</v>
      </c>
      <c r="S5" s="4">
        <v>3</v>
      </c>
      <c r="T5" s="4">
        <v>3</v>
      </c>
      <c r="U5" s="5" t="s">
        <v>169</v>
      </c>
      <c r="V5" s="5" t="s">
        <v>169</v>
      </c>
      <c r="W5" s="5" t="s">
        <v>67</v>
      </c>
      <c r="X5" s="5" t="s">
        <v>67</v>
      </c>
      <c r="Y5" s="4">
        <v>86</v>
      </c>
      <c r="Z5" s="4">
        <v>8</v>
      </c>
      <c r="AA5" s="4">
        <v>88</v>
      </c>
      <c r="AB5" s="4">
        <v>1</v>
      </c>
      <c r="AC5" s="4">
        <v>17</v>
      </c>
      <c r="AD5" s="4">
        <v>47</v>
      </c>
      <c r="AE5" s="4">
        <v>104</v>
      </c>
      <c r="AF5" s="4">
        <v>0</v>
      </c>
      <c r="AG5" s="4">
        <v>8</v>
      </c>
      <c r="AH5" s="4">
        <v>43</v>
      </c>
      <c r="AI5" s="4">
        <v>69</v>
      </c>
      <c r="AJ5" s="4">
        <v>6</v>
      </c>
      <c r="AK5" s="4">
        <v>20</v>
      </c>
      <c r="AL5" s="4">
        <v>29</v>
      </c>
      <c r="AM5" s="4">
        <v>39</v>
      </c>
      <c r="AN5" s="4">
        <v>0</v>
      </c>
      <c r="AO5" s="4">
        <v>0</v>
      </c>
      <c r="AP5" s="4">
        <v>6</v>
      </c>
      <c r="AQ5" s="4">
        <v>41</v>
      </c>
      <c r="AR5" s="3" t="s">
        <v>62</v>
      </c>
      <c r="AS5" s="3" t="s">
        <v>62</v>
      </c>
      <c r="AT5" s="3" t="s">
        <v>61</v>
      </c>
      <c r="AU5" s="6" t="str">
        <f>HYPERLINK("http://catalog.hathitrust.org/Record/004197957","HathiTrust Record")</f>
        <v>HathiTrust Record</v>
      </c>
      <c r="AV5" s="6" t="str">
        <f>HYPERLINK("http://mcgill.on.worldcat.org/oclc/43529574","Catalog Record")</f>
        <v>Catalog Record</v>
      </c>
      <c r="AW5" s="6" t="str">
        <f>HYPERLINK("http://www.worldcat.org/oclc/43529574","WorldCat Record")</f>
        <v>WorldCat Record</v>
      </c>
      <c r="AX5" s="3" t="s">
        <v>170</v>
      </c>
      <c r="AY5" s="3" t="s">
        <v>171</v>
      </c>
      <c r="AZ5" s="3" t="s">
        <v>172</v>
      </c>
      <c r="BA5" s="3" t="s">
        <v>172</v>
      </c>
      <c r="BB5" s="3" t="s">
        <v>173</v>
      </c>
      <c r="BC5" s="3" t="s">
        <v>142</v>
      </c>
      <c r="BD5" s="3" t="s">
        <v>68</v>
      </c>
      <c r="BE5" s="3" t="s">
        <v>174</v>
      </c>
      <c r="BF5" s="3" t="s">
        <v>173</v>
      </c>
      <c r="BG5" s="3" t="s">
        <v>175</v>
      </c>
    </row>
    <row r="6" spans="1:59" ht="85.5" x14ac:dyDescent="0.45">
      <c r="A6" s="2" t="s">
        <v>59</v>
      </c>
      <c r="B6" s="2" t="s">
        <v>60</v>
      </c>
      <c r="C6" s="2" t="s">
        <v>176</v>
      </c>
      <c r="D6" s="2" t="s">
        <v>177</v>
      </c>
      <c r="E6" s="2" t="s">
        <v>178</v>
      </c>
      <c r="G6" s="3" t="s">
        <v>62</v>
      </c>
      <c r="I6" s="3" t="s">
        <v>62</v>
      </c>
      <c r="J6" s="3" t="s">
        <v>62</v>
      </c>
      <c r="K6" s="3" t="s">
        <v>63</v>
      </c>
      <c r="L6" s="2" t="s">
        <v>179</v>
      </c>
      <c r="M6" s="2" t="s">
        <v>180</v>
      </c>
      <c r="N6" s="3" t="s">
        <v>181</v>
      </c>
      <c r="P6" s="3" t="s">
        <v>182</v>
      </c>
      <c r="Q6" s="2" t="s">
        <v>183</v>
      </c>
      <c r="R6" s="3" t="s">
        <v>66</v>
      </c>
      <c r="S6" s="4">
        <v>0</v>
      </c>
      <c r="T6" s="4">
        <v>0</v>
      </c>
      <c r="W6" s="5" t="s">
        <v>67</v>
      </c>
      <c r="X6" s="5" t="s">
        <v>67</v>
      </c>
      <c r="Y6" s="4">
        <v>22</v>
      </c>
      <c r="Z6" s="4">
        <v>1</v>
      </c>
      <c r="AA6" s="4">
        <v>1</v>
      </c>
      <c r="AB6" s="4">
        <v>1</v>
      </c>
      <c r="AC6" s="4">
        <v>1</v>
      </c>
      <c r="AD6" s="4">
        <v>9</v>
      </c>
      <c r="AE6" s="4">
        <v>9</v>
      </c>
      <c r="AF6" s="4">
        <v>0</v>
      </c>
      <c r="AG6" s="4">
        <v>0</v>
      </c>
      <c r="AH6" s="4">
        <v>9</v>
      </c>
      <c r="AI6" s="4">
        <v>9</v>
      </c>
      <c r="AJ6" s="4">
        <v>0</v>
      </c>
      <c r="AK6" s="4">
        <v>0</v>
      </c>
      <c r="AL6" s="4">
        <v>8</v>
      </c>
      <c r="AM6" s="4">
        <v>8</v>
      </c>
      <c r="AN6" s="4">
        <v>0</v>
      </c>
      <c r="AO6" s="4">
        <v>0</v>
      </c>
      <c r="AP6" s="4">
        <v>0</v>
      </c>
      <c r="AQ6" s="4">
        <v>0</v>
      </c>
      <c r="AR6" s="3" t="s">
        <v>62</v>
      </c>
      <c r="AS6" s="3" t="s">
        <v>62</v>
      </c>
      <c r="AT6" s="3" t="s">
        <v>62</v>
      </c>
      <c r="AV6" s="6" t="str">
        <f>HYPERLINK("http://mcgill.on.worldcat.org/oclc/972088945","Catalog Record")</f>
        <v>Catalog Record</v>
      </c>
      <c r="AW6" s="6" t="str">
        <f>HYPERLINK("http://www.worldcat.org/oclc/972088945","WorldCat Record")</f>
        <v>WorldCat Record</v>
      </c>
      <c r="AX6" s="3" t="s">
        <v>184</v>
      </c>
      <c r="AY6" s="3" t="s">
        <v>185</v>
      </c>
      <c r="AZ6" s="3" t="s">
        <v>186</v>
      </c>
      <c r="BA6" s="3" t="s">
        <v>186</v>
      </c>
      <c r="BB6" s="3" t="s">
        <v>187</v>
      </c>
      <c r="BC6" s="3" t="s">
        <v>142</v>
      </c>
      <c r="BD6" s="3" t="s">
        <v>68</v>
      </c>
      <c r="BE6" s="3" t="s">
        <v>188</v>
      </c>
      <c r="BF6" s="3" t="s">
        <v>187</v>
      </c>
      <c r="BG6" s="3" t="s">
        <v>189</v>
      </c>
    </row>
    <row r="7" spans="1:59" ht="57" x14ac:dyDescent="0.45">
      <c r="A7" s="2" t="s">
        <v>59</v>
      </c>
      <c r="B7" s="2" t="s">
        <v>60</v>
      </c>
      <c r="C7" s="2" t="s">
        <v>190</v>
      </c>
      <c r="D7" s="2" t="s">
        <v>191</v>
      </c>
      <c r="E7" s="2" t="s">
        <v>192</v>
      </c>
      <c r="G7" s="3" t="s">
        <v>62</v>
      </c>
      <c r="I7" s="3" t="s">
        <v>62</v>
      </c>
      <c r="J7" s="3" t="s">
        <v>62</v>
      </c>
      <c r="K7" s="3" t="s">
        <v>63</v>
      </c>
      <c r="L7" s="2" t="s">
        <v>193</v>
      </c>
      <c r="M7" s="2" t="s">
        <v>194</v>
      </c>
      <c r="N7" s="3" t="s">
        <v>195</v>
      </c>
      <c r="P7" s="3" t="s">
        <v>65</v>
      </c>
      <c r="Q7" s="2" t="s">
        <v>196</v>
      </c>
      <c r="R7" s="3" t="s">
        <v>66</v>
      </c>
      <c r="S7" s="4">
        <v>1</v>
      </c>
      <c r="T7" s="4">
        <v>1</v>
      </c>
      <c r="U7" s="5" t="s">
        <v>197</v>
      </c>
      <c r="V7" s="5" t="s">
        <v>197</v>
      </c>
      <c r="W7" s="5" t="s">
        <v>67</v>
      </c>
      <c r="X7" s="5" t="s">
        <v>67</v>
      </c>
      <c r="Y7" s="4">
        <v>33</v>
      </c>
      <c r="Z7" s="4">
        <v>1</v>
      </c>
      <c r="AA7" s="4">
        <v>1</v>
      </c>
      <c r="AB7" s="4">
        <v>1</v>
      </c>
      <c r="AC7" s="4">
        <v>1</v>
      </c>
      <c r="AD7" s="4">
        <v>17</v>
      </c>
      <c r="AE7" s="4">
        <v>17</v>
      </c>
      <c r="AF7" s="4">
        <v>0</v>
      </c>
      <c r="AG7" s="4">
        <v>0</v>
      </c>
      <c r="AH7" s="4">
        <v>17</v>
      </c>
      <c r="AI7" s="4">
        <v>17</v>
      </c>
      <c r="AJ7" s="4">
        <v>0</v>
      </c>
      <c r="AK7" s="4">
        <v>0</v>
      </c>
      <c r="AL7" s="4">
        <v>14</v>
      </c>
      <c r="AM7" s="4">
        <v>14</v>
      </c>
      <c r="AN7" s="4">
        <v>0</v>
      </c>
      <c r="AO7" s="4">
        <v>0</v>
      </c>
      <c r="AP7" s="4">
        <v>0</v>
      </c>
      <c r="AQ7" s="4">
        <v>0</v>
      </c>
      <c r="AR7" s="3" t="s">
        <v>62</v>
      </c>
      <c r="AS7" s="3" t="s">
        <v>62</v>
      </c>
      <c r="AT7" s="3" t="s">
        <v>62</v>
      </c>
      <c r="AV7" s="6" t="str">
        <f>HYPERLINK("http://mcgill.on.worldcat.org/oclc/29210136","Catalog Record")</f>
        <v>Catalog Record</v>
      </c>
      <c r="AW7" s="6" t="str">
        <f>HYPERLINK("http://www.worldcat.org/oclc/29210136","WorldCat Record")</f>
        <v>WorldCat Record</v>
      </c>
      <c r="AX7" s="3" t="s">
        <v>198</v>
      </c>
      <c r="AY7" s="3" t="s">
        <v>199</v>
      </c>
      <c r="AZ7" s="3" t="s">
        <v>200</v>
      </c>
      <c r="BA7" s="3" t="s">
        <v>200</v>
      </c>
      <c r="BB7" s="3" t="s">
        <v>201</v>
      </c>
      <c r="BC7" s="3" t="s">
        <v>142</v>
      </c>
      <c r="BD7" s="3" t="s">
        <v>68</v>
      </c>
      <c r="BF7" s="3" t="s">
        <v>201</v>
      </c>
      <c r="BG7" s="3" t="s">
        <v>202</v>
      </c>
    </row>
    <row r="8" spans="1:59" ht="57" x14ac:dyDescent="0.45">
      <c r="A8" s="2" t="s">
        <v>59</v>
      </c>
      <c r="B8" s="2" t="s">
        <v>60</v>
      </c>
      <c r="C8" s="2" t="s">
        <v>203</v>
      </c>
      <c r="D8" s="2" t="s">
        <v>204</v>
      </c>
      <c r="E8" s="2" t="s">
        <v>205</v>
      </c>
      <c r="G8" s="3" t="s">
        <v>62</v>
      </c>
      <c r="I8" s="3" t="s">
        <v>62</v>
      </c>
      <c r="J8" s="3" t="s">
        <v>62</v>
      </c>
      <c r="K8" s="3" t="s">
        <v>63</v>
      </c>
      <c r="L8" s="2" t="s">
        <v>206</v>
      </c>
      <c r="M8" s="2" t="s">
        <v>207</v>
      </c>
      <c r="N8" s="3" t="s">
        <v>208</v>
      </c>
      <c r="P8" s="3" t="s">
        <v>65</v>
      </c>
      <c r="Q8" s="2" t="s">
        <v>209</v>
      </c>
      <c r="R8" s="3" t="s">
        <v>66</v>
      </c>
      <c r="S8" s="4">
        <v>0</v>
      </c>
      <c r="T8" s="4">
        <v>0</v>
      </c>
      <c r="W8" s="5" t="s">
        <v>67</v>
      </c>
      <c r="X8" s="5" t="s">
        <v>67</v>
      </c>
      <c r="Y8" s="4">
        <v>14</v>
      </c>
      <c r="Z8" s="4">
        <v>3</v>
      </c>
      <c r="AA8" s="4">
        <v>3</v>
      </c>
      <c r="AB8" s="4">
        <v>1</v>
      </c>
      <c r="AC8" s="4">
        <v>1</v>
      </c>
      <c r="AD8" s="4">
        <v>10</v>
      </c>
      <c r="AE8" s="4">
        <v>12</v>
      </c>
      <c r="AF8" s="4">
        <v>0</v>
      </c>
      <c r="AG8" s="4">
        <v>0</v>
      </c>
      <c r="AH8" s="4">
        <v>9</v>
      </c>
      <c r="AI8" s="4">
        <v>11</v>
      </c>
      <c r="AJ8" s="4">
        <v>2</v>
      </c>
      <c r="AK8" s="4">
        <v>2</v>
      </c>
      <c r="AL8" s="4">
        <v>8</v>
      </c>
      <c r="AM8" s="4">
        <v>10</v>
      </c>
      <c r="AN8" s="4">
        <v>0</v>
      </c>
      <c r="AO8" s="4">
        <v>0</v>
      </c>
      <c r="AP8" s="4">
        <v>2</v>
      </c>
      <c r="AQ8" s="4">
        <v>2</v>
      </c>
      <c r="AR8" s="3" t="s">
        <v>62</v>
      </c>
      <c r="AS8" s="3" t="s">
        <v>62</v>
      </c>
      <c r="AT8" s="3" t="s">
        <v>62</v>
      </c>
      <c r="AV8" s="6" t="str">
        <f>HYPERLINK("http://mcgill.on.worldcat.org/oclc/948531162","Catalog Record")</f>
        <v>Catalog Record</v>
      </c>
      <c r="AW8" s="6" t="str">
        <f>HYPERLINK("http://www.worldcat.org/oclc/948531162","WorldCat Record")</f>
        <v>WorldCat Record</v>
      </c>
      <c r="AX8" s="3" t="s">
        <v>210</v>
      </c>
      <c r="AY8" s="3" t="s">
        <v>211</v>
      </c>
      <c r="AZ8" s="3" t="s">
        <v>212</v>
      </c>
      <c r="BA8" s="3" t="s">
        <v>212</v>
      </c>
      <c r="BB8" s="3" t="s">
        <v>213</v>
      </c>
      <c r="BC8" s="3" t="s">
        <v>142</v>
      </c>
      <c r="BD8" s="3" t="s">
        <v>68</v>
      </c>
      <c r="BF8" s="3" t="s">
        <v>213</v>
      </c>
      <c r="BG8" s="3" t="s">
        <v>214</v>
      </c>
    </row>
    <row r="9" spans="1:59" ht="57" x14ac:dyDescent="0.45">
      <c r="A9" s="2" t="s">
        <v>59</v>
      </c>
      <c r="B9" s="2" t="s">
        <v>60</v>
      </c>
      <c r="C9" s="2" t="s">
        <v>215</v>
      </c>
      <c r="D9" s="2" t="s">
        <v>216</v>
      </c>
      <c r="E9" s="2" t="s">
        <v>217</v>
      </c>
      <c r="G9" s="3" t="s">
        <v>62</v>
      </c>
      <c r="I9" s="3" t="s">
        <v>62</v>
      </c>
      <c r="J9" s="3" t="s">
        <v>62</v>
      </c>
      <c r="K9" s="3" t="s">
        <v>63</v>
      </c>
      <c r="L9" s="2" t="s">
        <v>218</v>
      </c>
      <c r="M9" s="2" t="s">
        <v>219</v>
      </c>
      <c r="N9" s="3" t="s">
        <v>220</v>
      </c>
      <c r="P9" s="3" t="s">
        <v>65</v>
      </c>
      <c r="Q9" s="2" t="s">
        <v>221</v>
      </c>
      <c r="R9" s="3" t="s">
        <v>66</v>
      </c>
      <c r="S9" s="4">
        <v>2</v>
      </c>
      <c r="T9" s="4">
        <v>2</v>
      </c>
      <c r="U9" s="5" t="s">
        <v>222</v>
      </c>
      <c r="V9" s="5" t="s">
        <v>222</v>
      </c>
      <c r="W9" s="5" t="s">
        <v>67</v>
      </c>
      <c r="X9" s="5" t="s">
        <v>67</v>
      </c>
      <c r="Y9" s="4">
        <v>153</v>
      </c>
      <c r="Z9" s="4">
        <v>8</v>
      </c>
      <c r="AA9" s="4">
        <v>33</v>
      </c>
      <c r="AB9" s="4">
        <v>1</v>
      </c>
      <c r="AC9" s="4">
        <v>4</v>
      </c>
      <c r="AD9" s="4">
        <v>37</v>
      </c>
      <c r="AE9" s="4">
        <v>120</v>
      </c>
      <c r="AF9" s="4">
        <v>0</v>
      </c>
      <c r="AG9" s="4">
        <v>3</v>
      </c>
      <c r="AH9" s="4">
        <v>31</v>
      </c>
      <c r="AI9" s="4">
        <v>99</v>
      </c>
      <c r="AJ9" s="4">
        <v>5</v>
      </c>
      <c r="AK9" s="4">
        <v>23</v>
      </c>
      <c r="AL9" s="4">
        <v>20</v>
      </c>
      <c r="AM9" s="4">
        <v>56</v>
      </c>
      <c r="AN9" s="4">
        <v>0</v>
      </c>
      <c r="AO9" s="4">
        <v>0</v>
      </c>
      <c r="AP9" s="4">
        <v>4</v>
      </c>
      <c r="AQ9" s="4">
        <v>27</v>
      </c>
      <c r="AR9" s="3" t="s">
        <v>62</v>
      </c>
      <c r="AS9" s="3" t="s">
        <v>62</v>
      </c>
      <c r="AT9" s="3" t="s">
        <v>61</v>
      </c>
      <c r="AU9" s="6" t="str">
        <f>HYPERLINK("http://catalog.hathitrust.org/Record/001434780","HathiTrust Record")</f>
        <v>HathiTrust Record</v>
      </c>
      <c r="AV9" s="6" t="str">
        <f>HYPERLINK("http://mcgill.on.worldcat.org/oclc/310663","Catalog Record")</f>
        <v>Catalog Record</v>
      </c>
      <c r="AW9" s="6" t="str">
        <f>HYPERLINK("http://www.worldcat.org/oclc/310663","WorldCat Record")</f>
        <v>WorldCat Record</v>
      </c>
      <c r="AX9" s="3" t="s">
        <v>223</v>
      </c>
      <c r="AY9" s="3" t="s">
        <v>224</v>
      </c>
      <c r="AZ9" s="3" t="s">
        <v>225</v>
      </c>
      <c r="BA9" s="3" t="s">
        <v>225</v>
      </c>
      <c r="BB9" s="3" t="s">
        <v>226</v>
      </c>
      <c r="BC9" s="3" t="s">
        <v>142</v>
      </c>
      <c r="BD9" s="3" t="s">
        <v>68</v>
      </c>
      <c r="BE9" s="3" t="s">
        <v>227</v>
      </c>
      <c r="BF9" s="3" t="s">
        <v>226</v>
      </c>
      <c r="BG9" s="3" t="s">
        <v>228</v>
      </c>
    </row>
    <row r="10" spans="1:59" ht="71.25" x14ac:dyDescent="0.45">
      <c r="A10" s="2" t="s">
        <v>59</v>
      </c>
      <c r="B10" s="2" t="s">
        <v>60</v>
      </c>
      <c r="C10" s="2" t="s">
        <v>65464</v>
      </c>
      <c r="D10" s="2" t="s">
        <v>65465</v>
      </c>
      <c r="E10" s="2" t="s">
        <v>65466</v>
      </c>
      <c r="F10" s="3" t="s">
        <v>478</v>
      </c>
      <c r="G10" s="3" t="s">
        <v>61</v>
      </c>
      <c r="I10" s="3" t="s">
        <v>62</v>
      </c>
      <c r="J10" s="3" t="s">
        <v>62</v>
      </c>
      <c r="K10" s="3" t="s">
        <v>63</v>
      </c>
      <c r="L10" s="2" t="s">
        <v>65467</v>
      </c>
      <c r="M10" s="2" t="s">
        <v>65468</v>
      </c>
      <c r="N10" s="3" t="s">
        <v>65463</v>
      </c>
      <c r="P10" s="3" t="s">
        <v>65</v>
      </c>
      <c r="Q10" s="2" t="s">
        <v>65469</v>
      </c>
      <c r="R10" s="3" t="s">
        <v>66</v>
      </c>
      <c r="S10" s="4">
        <v>0</v>
      </c>
      <c r="T10" s="4">
        <v>0</v>
      </c>
      <c r="W10" s="5" t="s">
        <v>67</v>
      </c>
      <c r="X10" s="5" t="s">
        <v>67</v>
      </c>
      <c r="Y10" s="4">
        <v>92</v>
      </c>
      <c r="Z10" s="4">
        <v>19</v>
      </c>
      <c r="AA10" s="4">
        <v>19</v>
      </c>
      <c r="AB10" s="4">
        <v>2</v>
      </c>
      <c r="AC10" s="4">
        <v>2</v>
      </c>
      <c r="AD10" s="4">
        <v>51</v>
      </c>
      <c r="AE10" s="4">
        <v>51</v>
      </c>
      <c r="AF10" s="4">
        <v>0</v>
      </c>
      <c r="AG10" s="4">
        <v>0</v>
      </c>
      <c r="AH10" s="4">
        <v>44</v>
      </c>
      <c r="AI10" s="4">
        <v>44</v>
      </c>
      <c r="AJ10" s="4">
        <v>12</v>
      </c>
      <c r="AK10" s="4">
        <v>12</v>
      </c>
      <c r="AL10" s="4">
        <v>27</v>
      </c>
      <c r="AM10" s="4">
        <v>27</v>
      </c>
      <c r="AN10" s="4">
        <v>0</v>
      </c>
      <c r="AO10" s="4">
        <v>0</v>
      </c>
      <c r="AP10" s="4">
        <v>13</v>
      </c>
      <c r="AQ10" s="4">
        <v>13</v>
      </c>
      <c r="AR10" s="3" t="s">
        <v>62</v>
      </c>
      <c r="AS10" s="3" t="s">
        <v>62</v>
      </c>
      <c r="AT10" s="3" t="s">
        <v>61</v>
      </c>
      <c r="AU10" s="6" t="str">
        <f>HYPERLINK("http://catalog.hathitrust.org/Record/001232115","HathiTrust Record")</f>
        <v>HathiTrust Record</v>
      </c>
      <c r="AV10" s="6" t="str">
        <f>HYPERLINK("http://mcgill.on.worldcat.org/oclc/3385866","Catalog Record")</f>
        <v>Catalog Record</v>
      </c>
      <c r="AW10" s="6" t="str">
        <f>HYPERLINK("http://www.worldcat.org/oclc/3385866","WorldCat Record")</f>
        <v>WorldCat Record</v>
      </c>
      <c r="AX10" s="3" t="s">
        <v>65470</v>
      </c>
      <c r="AY10" s="3" t="s">
        <v>65471</v>
      </c>
      <c r="AZ10" s="3" t="s">
        <v>65472</v>
      </c>
      <c r="BA10" s="3" t="s">
        <v>65472</v>
      </c>
      <c r="BB10" s="3" t="s">
        <v>65473</v>
      </c>
      <c r="BC10" s="3" t="s">
        <v>142</v>
      </c>
      <c r="BD10" s="3" t="s">
        <v>68</v>
      </c>
      <c r="BF10" s="3" t="s">
        <v>65473</v>
      </c>
    </row>
    <row r="11" spans="1:59" ht="71.25" x14ac:dyDescent="0.45">
      <c r="A11" s="2" t="s">
        <v>59</v>
      </c>
      <c r="B11" s="2" t="s">
        <v>60</v>
      </c>
      <c r="C11" s="2" t="s">
        <v>65464</v>
      </c>
      <c r="D11" s="2" t="s">
        <v>65465</v>
      </c>
      <c r="E11" s="2" t="s">
        <v>65466</v>
      </c>
      <c r="F11" s="3" t="s">
        <v>488</v>
      </c>
      <c r="G11" s="3" t="s">
        <v>61</v>
      </c>
      <c r="I11" s="3" t="s">
        <v>62</v>
      </c>
      <c r="J11" s="3" t="s">
        <v>62</v>
      </c>
      <c r="K11" s="3" t="s">
        <v>63</v>
      </c>
      <c r="L11" s="2" t="s">
        <v>65467</v>
      </c>
      <c r="M11" s="2" t="s">
        <v>65468</v>
      </c>
      <c r="N11" s="3" t="s">
        <v>65463</v>
      </c>
      <c r="P11" s="3" t="s">
        <v>65</v>
      </c>
      <c r="Q11" s="2" t="s">
        <v>65469</v>
      </c>
      <c r="R11" s="3" t="s">
        <v>66</v>
      </c>
      <c r="S11" s="4">
        <v>0</v>
      </c>
      <c r="T11" s="4">
        <v>0</v>
      </c>
      <c r="W11" s="5" t="s">
        <v>67</v>
      </c>
      <c r="X11" s="5" t="s">
        <v>67</v>
      </c>
      <c r="Y11" s="4">
        <v>92</v>
      </c>
      <c r="Z11" s="4">
        <v>19</v>
      </c>
      <c r="AA11" s="4">
        <v>19</v>
      </c>
      <c r="AB11" s="4">
        <v>2</v>
      </c>
      <c r="AC11" s="4">
        <v>2</v>
      </c>
      <c r="AD11" s="4">
        <v>51</v>
      </c>
      <c r="AE11" s="4">
        <v>51</v>
      </c>
      <c r="AF11" s="4">
        <v>0</v>
      </c>
      <c r="AG11" s="4">
        <v>0</v>
      </c>
      <c r="AH11" s="4">
        <v>44</v>
      </c>
      <c r="AI11" s="4">
        <v>44</v>
      </c>
      <c r="AJ11" s="4">
        <v>12</v>
      </c>
      <c r="AK11" s="4">
        <v>12</v>
      </c>
      <c r="AL11" s="4">
        <v>27</v>
      </c>
      <c r="AM11" s="4">
        <v>27</v>
      </c>
      <c r="AN11" s="4">
        <v>0</v>
      </c>
      <c r="AO11" s="4">
        <v>0</v>
      </c>
      <c r="AP11" s="4">
        <v>13</v>
      </c>
      <c r="AQ11" s="4">
        <v>13</v>
      </c>
      <c r="AR11" s="3" t="s">
        <v>62</v>
      </c>
      <c r="AS11" s="3" t="s">
        <v>62</v>
      </c>
      <c r="AT11" s="3" t="s">
        <v>61</v>
      </c>
      <c r="AU11" s="6" t="str">
        <f>HYPERLINK("http://catalog.hathitrust.org/Record/001232115","HathiTrust Record")</f>
        <v>HathiTrust Record</v>
      </c>
      <c r="AV11" s="6" t="str">
        <f>HYPERLINK("http://mcgill.on.worldcat.org/oclc/3385866","Catalog Record")</f>
        <v>Catalog Record</v>
      </c>
      <c r="AW11" s="6" t="str">
        <f>HYPERLINK("http://www.worldcat.org/oclc/3385866","WorldCat Record")</f>
        <v>WorldCat Record</v>
      </c>
      <c r="AX11" s="3" t="s">
        <v>65470</v>
      </c>
      <c r="AY11" s="3" t="s">
        <v>65471</v>
      </c>
      <c r="AZ11" s="3" t="s">
        <v>65472</v>
      </c>
      <c r="BA11" s="3" t="s">
        <v>65472</v>
      </c>
      <c r="BB11" s="3" t="s">
        <v>65474</v>
      </c>
      <c r="BC11" s="3" t="s">
        <v>142</v>
      </c>
      <c r="BD11" s="3" t="s">
        <v>68</v>
      </c>
      <c r="BF11" s="3" t="s">
        <v>65474</v>
      </c>
    </row>
    <row r="12" spans="1:59" ht="71.25" x14ac:dyDescent="0.45">
      <c r="A12" s="2" t="s">
        <v>59</v>
      </c>
      <c r="B12" s="2" t="s">
        <v>60</v>
      </c>
      <c r="C12" s="2" t="s">
        <v>65475</v>
      </c>
      <c r="D12" s="2" t="s">
        <v>65476</v>
      </c>
      <c r="E12" s="2" t="s">
        <v>65477</v>
      </c>
      <c r="F12" s="3" t="s">
        <v>65478</v>
      </c>
      <c r="G12" s="3" t="s">
        <v>62</v>
      </c>
      <c r="I12" s="3" t="s">
        <v>62</v>
      </c>
      <c r="J12" s="3" t="s">
        <v>62</v>
      </c>
      <c r="K12" s="3" t="s">
        <v>63</v>
      </c>
      <c r="L12" s="2" t="s">
        <v>65479</v>
      </c>
      <c r="M12" s="2" t="s">
        <v>65480</v>
      </c>
      <c r="N12" s="3" t="s">
        <v>109</v>
      </c>
      <c r="P12" s="3" t="s">
        <v>65</v>
      </c>
      <c r="Q12" s="2" t="s">
        <v>65481</v>
      </c>
      <c r="R12" s="3" t="s">
        <v>66</v>
      </c>
      <c r="S12" s="4">
        <v>2</v>
      </c>
      <c r="T12" s="4">
        <v>2</v>
      </c>
      <c r="U12" s="5" t="s">
        <v>65482</v>
      </c>
      <c r="V12" s="5" t="s">
        <v>65482</v>
      </c>
      <c r="W12" s="5" t="s">
        <v>67</v>
      </c>
      <c r="X12" s="5" t="s">
        <v>67</v>
      </c>
      <c r="Y12" s="4">
        <v>179</v>
      </c>
      <c r="Z12" s="4">
        <v>15</v>
      </c>
      <c r="AA12" s="4">
        <v>15</v>
      </c>
      <c r="AB12" s="4">
        <v>2</v>
      </c>
      <c r="AC12" s="4">
        <v>2</v>
      </c>
      <c r="AD12" s="4">
        <v>85</v>
      </c>
      <c r="AE12" s="4">
        <v>85</v>
      </c>
      <c r="AF12" s="4">
        <v>0</v>
      </c>
      <c r="AG12" s="4">
        <v>0</v>
      </c>
      <c r="AH12" s="4">
        <v>78</v>
      </c>
      <c r="AI12" s="4">
        <v>78</v>
      </c>
      <c r="AJ12" s="4">
        <v>12</v>
      </c>
      <c r="AK12" s="4">
        <v>12</v>
      </c>
      <c r="AL12" s="4">
        <v>47</v>
      </c>
      <c r="AM12" s="4">
        <v>47</v>
      </c>
      <c r="AN12" s="4">
        <v>0</v>
      </c>
      <c r="AO12" s="4">
        <v>0</v>
      </c>
      <c r="AP12" s="4">
        <v>11</v>
      </c>
      <c r="AQ12" s="4">
        <v>11</v>
      </c>
      <c r="AR12" s="3" t="s">
        <v>62</v>
      </c>
      <c r="AS12" s="3" t="s">
        <v>62</v>
      </c>
      <c r="AT12" s="3" t="s">
        <v>61</v>
      </c>
      <c r="AU12" s="6" t="str">
        <f>HYPERLINK("http://catalog.hathitrust.org/Record/101002789","HathiTrust Record")</f>
        <v>HathiTrust Record</v>
      </c>
      <c r="AV12" s="6" t="str">
        <f>HYPERLINK("http://mcgill.on.worldcat.org/oclc/568920","Catalog Record")</f>
        <v>Catalog Record</v>
      </c>
      <c r="AW12" s="6" t="str">
        <f>HYPERLINK("http://www.worldcat.org/oclc/568920","WorldCat Record")</f>
        <v>WorldCat Record</v>
      </c>
      <c r="AX12" s="3" t="s">
        <v>65483</v>
      </c>
      <c r="AY12" s="3" t="s">
        <v>65484</v>
      </c>
      <c r="AZ12" s="3" t="s">
        <v>65485</v>
      </c>
      <c r="BA12" s="3" t="s">
        <v>65485</v>
      </c>
      <c r="BB12" s="3" t="s">
        <v>65486</v>
      </c>
      <c r="BC12" s="3" t="s">
        <v>142</v>
      </c>
      <c r="BD12" s="3" t="s">
        <v>68</v>
      </c>
      <c r="BF12" s="3" t="s">
        <v>65486</v>
      </c>
    </row>
    <row r="13" spans="1:59" ht="71.25" x14ac:dyDescent="0.45">
      <c r="A13" s="2" t="s">
        <v>59</v>
      </c>
      <c r="B13" s="2" t="s">
        <v>60</v>
      </c>
      <c r="C13" s="2" t="s">
        <v>65487</v>
      </c>
      <c r="D13" s="2" t="s">
        <v>65488</v>
      </c>
      <c r="E13" s="2" t="s">
        <v>65489</v>
      </c>
      <c r="F13" s="3" t="s">
        <v>65490</v>
      </c>
      <c r="G13" s="3" t="s">
        <v>62</v>
      </c>
      <c r="I13" s="3" t="s">
        <v>62</v>
      </c>
      <c r="J13" s="3" t="s">
        <v>62</v>
      </c>
      <c r="K13" s="3" t="s">
        <v>63</v>
      </c>
      <c r="L13" s="2" t="s">
        <v>65491</v>
      </c>
      <c r="M13" s="2" t="s">
        <v>65492</v>
      </c>
      <c r="N13" s="3" t="s">
        <v>435</v>
      </c>
      <c r="P13" s="3" t="s">
        <v>65</v>
      </c>
      <c r="Q13" s="2" t="s">
        <v>65493</v>
      </c>
      <c r="R13" s="3" t="s">
        <v>66</v>
      </c>
      <c r="S13" s="4">
        <v>1</v>
      </c>
      <c r="T13" s="4">
        <v>1</v>
      </c>
      <c r="U13" s="5" t="s">
        <v>65494</v>
      </c>
      <c r="V13" s="5" t="s">
        <v>65494</v>
      </c>
      <c r="W13" s="5" t="s">
        <v>67</v>
      </c>
      <c r="X13" s="5" t="s">
        <v>67</v>
      </c>
      <c r="Y13" s="4">
        <v>218</v>
      </c>
      <c r="Z13" s="4">
        <v>16</v>
      </c>
      <c r="AA13" s="4">
        <v>18</v>
      </c>
      <c r="AB13" s="4">
        <v>2</v>
      </c>
      <c r="AC13" s="4">
        <v>3</v>
      </c>
      <c r="AD13" s="4">
        <v>97</v>
      </c>
      <c r="AE13" s="4">
        <v>100</v>
      </c>
      <c r="AF13" s="4">
        <v>0</v>
      </c>
      <c r="AG13" s="4">
        <v>1</v>
      </c>
      <c r="AH13" s="4">
        <v>89</v>
      </c>
      <c r="AI13" s="4">
        <v>91</v>
      </c>
      <c r="AJ13" s="4">
        <v>13</v>
      </c>
      <c r="AK13" s="4">
        <v>15</v>
      </c>
      <c r="AL13" s="4">
        <v>48</v>
      </c>
      <c r="AM13" s="4">
        <v>49</v>
      </c>
      <c r="AN13" s="4">
        <v>0</v>
      </c>
      <c r="AO13" s="4">
        <v>0</v>
      </c>
      <c r="AP13" s="4">
        <v>14</v>
      </c>
      <c r="AQ13" s="4">
        <v>15</v>
      </c>
      <c r="AR13" s="3" t="s">
        <v>62</v>
      </c>
      <c r="AS13" s="3" t="s">
        <v>62</v>
      </c>
      <c r="AT13" s="3" t="s">
        <v>62</v>
      </c>
      <c r="AV13" s="6" t="str">
        <f>HYPERLINK("http://mcgill.on.worldcat.org/oclc/86952","Catalog Record")</f>
        <v>Catalog Record</v>
      </c>
      <c r="AW13" s="6" t="str">
        <f>HYPERLINK("http://www.worldcat.org/oclc/86952","WorldCat Record")</f>
        <v>WorldCat Record</v>
      </c>
      <c r="AX13" s="3" t="s">
        <v>65495</v>
      </c>
      <c r="AY13" s="3" t="s">
        <v>65496</v>
      </c>
      <c r="AZ13" s="3" t="s">
        <v>65497</v>
      </c>
      <c r="BA13" s="3" t="s">
        <v>65497</v>
      </c>
      <c r="BB13" s="3" t="s">
        <v>65498</v>
      </c>
      <c r="BC13" s="3" t="s">
        <v>142</v>
      </c>
      <c r="BD13" s="3" t="s">
        <v>68</v>
      </c>
      <c r="BF13" s="3" t="s">
        <v>65498</v>
      </c>
    </row>
    <row r="14" spans="1:59" ht="71.25" x14ac:dyDescent="0.45">
      <c r="A14" s="2" t="s">
        <v>59</v>
      </c>
      <c r="B14" s="2" t="s">
        <v>60</v>
      </c>
      <c r="C14" s="2" t="s">
        <v>65499</v>
      </c>
      <c r="D14" s="2" t="s">
        <v>65500</v>
      </c>
      <c r="E14" s="2" t="s">
        <v>65501</v>
      </c>
      <c r="F14" s="3" t="s">
        <v>65502</v>
      </c>
      <c r="G14" s="3" t="s">
        <v>62</v>
      </c>
      <c r="I14" s="3" t="s">
        <v>62</v>
      </c>
      <c r="J14" s="3" t="s">
        <v>61</v>
      </c>
      <c r="K14" s="3" t="s">
        <v>63</v>
      </c>
      <c r="L14" s="2" t="s">
        <v>65503</v>
      </c>
      <c r="M14" s="2" t="s">
        <v>65504</v>
      </c>
      <c r="N14" s="3" t="s">
        <v>555</v>
      </c>
      <c r="O14" s="2" t="s">
        <v>65505</v>
      </c>
      <c r="P14" s="3" t="s">
        <v>65</v>
      </c>
      <c r="Q14" s="2" t="s">
        <v>65506</v>
      </c>
      <c r="R14" s="3" t="s">
        <v>66</v>
      </c>
      <c r="S14" s="4">
        <v>0</v>
      </c>
      <c r="T14" s="4">
        <v>0</v>
      </c>
      <c r="W14" s="5" t="s">
        <v>67</v>
      </c>
      <c r="X14" s="5" t="s">
        <v>67</v>
      </c>
      <c r="Y14" s="4">
        <v>3</v>
      </c>
      <c r="Z14" s="4">
        <v>2</v>
      </c>
      <c r="AA14" s="4">
        <v>20</v>
      </c>
      <c r="AB14" s="4">
        <v>1</v>
      </c>
      <c r="AC14" s="4">
        <v>3</v>
      </c>
      <c r="AD14" s="4">
        <v>2</v>
      </c>
      <c r="AE14" s="4">
        <v>103</v>
      </c>
      <c r="AF14" s="4">
        <v>0</v>
      </c>
      <c r="AG14" s="4">
        <v>1</v>
      </c>
      <c r="AH14" s="4">
        <v>1</v>
      </c>
      <c r="AI14" s="4">
        <v>90</v>
      </c>
      <c r="AJ14" s="4">
        <v>0</v>
      </c>
      <c r="AK14" s="4">
        <v>15</v>
      </c>
      <c r="AL14" s="4">
        <v>0</v>
      </c>
      <c r="AM14" s="4">
        <v>51</v>
      </c>
      <c r="AN14" s="4">
        <v>0</v>
      </c>
      <c r="AO14" s="4">
        <v>0</v>
      </c>
      <c r="AP14" s="4">
        <v>1</v>
      </c>
      <c r="AQ14" s="4">
        <v>17</v>
      </c>
      <c r="AR14" s="3" t="s">
        <v>62</v>
      </c>
      <c r="AS14" s="3" t="s">
        <v>62</v>
      </c>
      <c r="AT14" s="3" t="s">
        <v>62</v>
      </c>
      <c r="AV14" s="6" t="str">
        <f>HYPERLINK("http://mcgill.on.worldcat.org/oclc/314174029","Catalog Record")</f>
        <v>Catalog Record</v>
      </c>
      <c r="AW14" s="6" t="str">
        <f>HYPERLINK("http://www.worldcat.org/oclc/314174029","WorldCat Record")</f>
        <v>WorldCat Record</v>
      </c>
      <c r="AX14" s="3" t="s">
        <v>65507</v>
      </c>
      <c r="AY14" s="3" t="s">
        <v>65508</v>
      </c>
      <c r="AZ14" s="3" t="s">
        <v>65509</v>
      </c>
      <c r="BA14" s="3" t="s">
        <v>65509</v>
      </c>
      <c r="BB14" s="3" t="s">
        <v>65510</v>
      </c>
      <c r="BC14" s="3" t="s">
        <v>142</v>
      </c>
      <c r="BD14" s="3" t="s">
        <v>68</v>
      </c>
      <c r="BE14" s="3" t="s">
        <v>65511</v>
      </c>
      <c r="BF14" s="3" t="s">
        <v>65510</v>
      </c>
    </row>
    <row r="15" spans="1:59" ht="71.25" x14ac:dyDescent="0.45">
      <c r="A15" s="2" t="s">
        <v>59</v>
      </c>
      <c r="B15" s="2" t="s">
        <v>60</v>
      </c>
      <c r="C15" s="2" t="s">
        <v>65512</v>
      </c>
      <c r="D15" s="2" t="s">
        <v>65513</v>
      </c>
      <c r="E15" s="2" t="s">
        <v>65514</v>
      </c>
      <c r="F15" s="3" t="s">
        <v>65515</v>
      </c>
      <c r="G15" s="3" t="s">
        <v>62</v>
      </c>
      <c r="I15" s="3" t="s">
        <v>61</v>
      </c>
      <c r="J15" s="3" t="s">
        <v>62</v>
      </c>
      <c r="K15" s="3" t="s">
        <v>63</v>
      </c>
      <c r="L15" s="2" t="s">
        <v>65516</v>
      </c>
      <c r="M15" s="2" t="s">
        <v>65517</v>
      </c>
      <c r="N15" s="3" t="s">
        <v>1224</v>
      </c>
      <c r="P15" s="3" t="s">
        <v>65</v>
      </c>
      <c r="Q15" s="2" t="s">
        <v>65518</v>
      </c>
      <c r="R15" s="3" t="s">
        <v>66</v>
      </c>
      <c r="S15" s="4">
        <v>4</v>
      </c>
      <c r="T15" s="4">
        <v>5</v>
      </c>
      <c r="U15" s="5" t="s">
        <v>834</v>
      </c>
      <c r="V15" s="5" t="s">
        <v>65519</v>
      </c>
      <c r="W15" s="5" t="s">
        <v>67</v>
      </c>
      <c r="X15" s="5" t="s">
        <v>67</v>
      </c>
      <c r="Y15" s="4">
        <v>233</v>
      </c>
      <c r="Z15" s="4">
        <v>18</v>
      </c>
      <c r="AA15" s="4">
        <v>18</v>
      </c>
      <c r="AB15" s="4">
        <v>2</v>
      </c>
      <c r="AC15" s="4">
        <v>2</v>
      </c>
      <c r="AD15" s="4">
        <v>96</v>
      </c>
      <c r="AE15" s="4">
        <v>96</v>
      </c>
      <c r="AF15" s="4">
        <v>0</v>
      </c>
      <c r="AG15" s="4">
        <v>0</v>
      </c>
      <c r="AH15" s="4">
        <v>86</v>
      </c>
      <c r="AI15" s="4">
        <v>86</v>
      </c>
      <c r="AJ15" s="4">
        <v>12</v>
      </c>
      <c r="AK15" s="4">
        <v>12</v>
      </c>
      <c r="AL15" s="4">
        <v>50</v>
      </c>
      <c r="AM15" s="4">
        <v>50</v>
      </c>
      <c r="AN15" s="4">
        <v>0</v>
      </c>
      <c r="AO15" s="4">
        <v>0</v>
      </c>
      <c r="AP15" s="4">
        <v>13</v>
      </c>
      <c r="AQ15" s="4">
        <v>13</v>
      </c>
      <c r="AR15" s="3" t="s">
        <v>62</v>
      </c>
      <c r="AS15" s="3" t="s">
        <v>62</v>
      </c>
      <c r="AT15" s="3" t="s">
        <v>62</v>
      </c>
      <c r="AV15" s="6" t="str">
        <f>HYPERLINK("http://mcgill.on.worldcat.org/oclc/1118624","Catalog Record")</f>
        <v>Catalog Record</v>
      </c>
      <c r="AW15" s="6" t="str">
        <f>HYPERLINK("http://www.worldcat.org/oclc/1118624","WorldCat Record")</f>
        <v>WorldCat Record</v>
      </c>
      <c r="AX15" s="3" t="s">
        <v>65520</v>
      </c>
      <c r="AY15" s="3" t="s">
        <v>65521</v>
      </c>
      <c r="AZ15" s="3" t="s">
        <v>65522</v>
      </c>
      <c r="BA15" s="3" t="s">
        <v>65522</v>
      </c>
      <c r="BB15" s="3" t="s">
        <v>65523</v>
      </c>
      <c r="BC15" s="3" t="s">
        <v>142</v>
      </c>
      <c r="BD15" s="3" t="s">
        <v>68</v>
      </c>
      <c r="BE15" s="3" t="s">
        <v>65524</v>
      </c>
      <c r="BF15" s="3" t="s">
        <v>65523</v>
      </c>
      <c r="BG15" s="3" t="s">
        <v>65525</v>
      </c>
    </row>
    <row r="16" spans="1:59" ht="71.25" x14ac:dyDescent="0.45">
      <c r="A16" s="2" t="s">
        <v>59</v>
      </c>
      <c r="B16" s="2" t="s">
        <v>60</v>
      </c>
      <c r="C16" s="2" t="s">
        <v>65512</v>
      </c>
      <c r="D16" s="2" t="s">
        <v>65513</v>
      </c>
      <c r="E16" s="2" t="s">
        <v>65514</v>
      </c>
      <c r="F16" s="3" t="s">
        <v>65515</v>
      </c>
      <c r="G16" s="3" t="s">
        <v>62</v>
      </c>
      <c r="I16" s="3" t="s">
        <v>61</v>
      </c>
      <c r="J16" s="3" t="s">
        <v>62</v>
      </c>
      <c r="K16" s="3" t="s">
        <v>63</v>
      </c>
      <c r="L16" s="2" t="s">
        <v>65516</v>
      </c>
      <c r="M16" s="2" t="s">
        <v>65517</v>
      </c>
      <c r="N16" s="3" t="s">
        <v>1224</v>
      </c>
      <c r="P16" s="3" t="s">
        <v>65</v>
      </c>
      <c r="Q16" s="2" t="s">
        <v>65518</v>
      </c>
      <c r="R16" s="3" t="s">
        <v>66</v>
      </c>
      <c r="S16" s="4">
        <v>1</v>
      </c>
      <c r="T16" s="4">
        <v>5</v>
      </c>
      <c r="U16" s="5" t="s">
        <v>65519</v>
      </c>
      <c r="V16" s="5" t="s">
        <v>65519</v>
      </c>
      <c r="W16" s="5" t="s">
        <v>67</v>
      </c>
      <c r="X16" s="5" t="s">
        <v>67</v>
      </c>
      <c r="Y16" s="4">
        <v>233</v>
      </c>
      <c r="Z16" s="4">
        <v>18</v>
      </c>
      <c r="AA16" s="4">
        <v>18</v>
      </c>
      <c r="AB16" s="4">
        <v>2</v>
      </c>
      <c r="AC16" s="4">
        <v>2</v>
      </c>
      <c r="AD16" s="4">
        <v>96</v>
      </c>
      <c r="AE16" s="4">
        <v>96</v>
      </c>
      <c r="AF16" s="4">
        <v>0</v>
      </c>
      <c r="AG16" s="4">
        <v>0</v>
      </c>
      <c r="AH16" s="4">
        <v>86</v>
      </c>
      <c r="AI16" s="4">
        <v>86</v>
      </c>
      <c r="AJ16" s="4">
        <v>12</v>
      </c>
      <c r="AK16" s="4">
        <v>12</v>
      </c>
      <c r="AL16" s="4">
        <v>50</v>
      </c>
      <c r="AM16" s="4">
        <v>50</v>
      </c>
      <c r="AN16" s="4">
        <v>0</v>
      </c>
      <c r="AO16" s="4">
        <v>0</v>
      </c>
      <c r="AP16" s="4">
        <v>13</v>
      </c>
      <c r="AQ16" s="4">
        <v>13</v>
      </c>
      <c r="AR16" s="3" t="s">
        <v>62</v>
      </c>
      <c r="AS16" s="3" t="s">
        <v>62</v>
      </c>
      <c r="AT16" s="3" t="s">
        <v>62</v>
      </c>
      <c r="AV16" s="6" t="str">
        <f>HYPERLINK("http://mcgill.on.worldcat.org/oclc/1118624","Catalog Record")</f>
        <v>Catalog Record</v>
      </c>
      <c r="AW16" s="6" t="str">
        <f>HYPERLINK("http://www.worldcat.org/oclc/1118624","WorldCat Record")</f>
        <v>WorldCat Record</v>
      </c>
      <c r="AX16" s="3" t="s">
        <v>65520</v>
      </c>
      <c r="AY16" s="3" t="s">
        <v>65521</v>
      </c>
      <c r="AZ16" s="3" t="s">
        <v>65522</v>
      </c>
      <c r="BA16" s="3" t="s">
        <v>65522</v>
      </c>
      <c r="BB16" s="3" t="s">
        <v>65526</v>
      </c>
      <c r="BC16" s="3" t="s">
        <v>142</v>
      </c>
      <c r="BD16" s="3" t="s">
        <v>68</v>
      </c>
      <c r="BE16" s="3" t="s">
        <v>65524</v>
      </c>
      <c r="BF16" s="3" t="s">
        <v>65526</v>
      </c>
      <c r="BG16" s="3" t="s">
        <v>65527</v>
      </c>
    </row>
    <row r="17" spans="1:59" ht="71.25" x14ac:dyDescent="0.45">
      <c r="A17" s="2" t="s">
        <v>59</v>
      </c>
      <c r="B17" s="2" t="s">
        <v>60</v>
      </c>
      <c r="C17" s="2" t="s">
        <v>65528</v>
      </c>
      <c r="D17" s="2" t="s">
        <v>65529</v>
      </c>
      <c r="E17" s="2" t="s">
        <v>65530</v>
      </c>
      <c r="F17" s="3" t="s">
        <v>65531</v>
      </c>
      <c r="G17" s="3" t="s">
        <v>62</v>
      </c>
      <c r="I17" s="3" t="s">
        <v>62</v>
      </c>
      <c r="J17" s="3" t="s">
        <v>62</v>
      </c>
      <c r="K17" s="3" t="s">
        <v>63</v>
      </c>
      <c r="L17" s="2" t="s">
        <v>65532</v>
      </c>
      <c r="M17" s="2" t="s">
        <v>65533</v>
      </c>
      <c r="N17" s="3" t="s">
        <v>495</v>
      </c>
      <c r="P17" s="3" t="s">
        <v>65</v>
      </c>
      <c r="Q17" s="2" t="s">
        <v>65534</v>
      </c>
      <c r="R17" s="3" t="s">
        <v>66</v>
      </c>
      <c r="S17" s="4">
        <v>2</v>
      </c>
      <c r="T17" s="4">
        <v>2</v>
      </c>
      <c r="U17" s="5" t="s">
        <v>834</v>
      </c>
      <c r="V17" s="5" t="s">
        <v>834</v>
      </c>
      <c r="W17" s="5" t="s">
        <v>67</v>
      </c>
      <c r="X17" s="5" t="s">
        <v>67</v>
      </c>
      <c r="Y17" s="4">
        <v>204</v>
      </c>
      <c r="Z17" s="4">
        <v>18</v>
      </c>
      <c r="AA17" s="4">
        <v>20</v>
      </c>
      <c r="AB17" s="4">
        <v>2</v>
      </c>
      <c r="AC17" s="4">
        <v>4</v>
      </c>
      <c r="AD17" s="4">
        <v>98</v>
      </c>
      <c r="AE17" s="4">
        <v>100</v>
      </c>
      <c r="AF17" s="4">
        <v>0</v>
      </c>
      <c r="AG17" s="4">
        <v>2</v>
      </c>
      <c r="AH17" s="4">
        <v>88</v>
      </c>
      <c r="AI17" s="4">
        <v>89</v>
      </c>
      <c r="AJ17" s="4">
        <v>13</v>
      </c>
      <c r="AK17" s="4">
        <v>15</v>
      </c>
      <c r="AL17" s="4">
        <v>49</v>
      </c>
      <c r="AM17" s="4">
        <v>49</v>
      </c>
      <c r="AN17" s="4">
        <v>0</v>
      </c>
      <c r="AO17" s="4">
        <v>0</v>
      </c>
      <c r="AP17" s="4">
        <v>14</v>
      </c>
      <c r="AQ17" s="4">
        <v>16</v>
      </c>
      <c r="AR17" s="3" t="s">
        <v>62</v>
      </c>
      <c r="AS17" s="3" t="s">
        <v>62</v>
      </c>
      <c r="AT17" s="3" t="s">
        <v>61</v>
      </c>
      <c r="AU17" s="6" t="str">
        <f>HYPERLINK("http://catalog.hathitrust.org/Record/000161401","HathiTrust Record")</f>
        <v>HathiTrust Record</v>
      </c>
      <c r="AV17" s="6" t="str">
        <f>HYPERLINK("http://mcgill.on.worldcat.org/oclc/2088893","Catalog Record")</f>
        <v>Catalog Record</v>
      </c>
      <c r="AW17" s="6" t="str">
        <f>HYPERLINK("http://www.worldcat.org/oclc/2088893","WorldCat Record")</f>
        <v>WorldCat Record</v>
      </c>
      <c r="AX17" s="3" t="s">
        <v>65535</v>
      </c>
      <c r="AY17" s="3" t="s">
        <v>65536</v>
      </c>
      <c r="AZ17" s="3" t="s">
        <v>65537</v>
      </c>
      <c r="BA17" s="3" t="s">
        <v>65537</v>
      </c>
      <c r="BB17" s="3" t="s">
        <v>65538</v>
      </c>
      <c r="BC17" s="3" t="s">
        <v>142</v>
      </c>
      <c r="BD17" s="3" t="s">
        <v>68</v>
      </c>
      <c r="BE17" s="3" t="s">
        <v>65539</v>
      </c>
      <c r="BF17" s="3" t="s">
        <v>65538</v>
      </c>
      <c r="BG17" s="3" t="s">
        <v>65540</v>
      </c>
    </row>
    <row r="18" spans="1:59" ht="71.25" x14ac:dyDescent="0.45">
      <c r="A18" s="2" t="s">
        <v>59</v>
      </c>
      <c r="B18" s="2" t="s">
        <v>60</v>
      </c>
      <c r="C18" s="2" t="s">
        <v>65541</v>
      </c>
      <c r="D18" s="2" t="s">
        <v>65542</v>
      </c>
      <c r="E18" s="2" t="s">
        <v>65543</v>
      </c>
      <c r="F18" s="3" t="s">
        <v>65544</v>
      </c>
      <c r="G18" s="3" t="s">
        <v>62</v>
      </c>
      <c r="I18" s="3" t="s">
        <v>62</v>
      </c>
      <c r="J18" s="3" t="s">
        <v>62</v>
      </c>
      <c r="K18" s="3" t="s">
        <v>63</v>
      </c>
      <c r="L18" s="2" t="s">
        <v>65545</v>
      </c>
      <c r="M18" s="2" t="s">
        <v>65546</v>
      </c>
      <c r="N18" s="3" t="s">
        <v>583</v>
      </c>
      <c r="P18" s="3" t="s">
        <v>65</v>
      </c>
      <c r="Q18" s="2" t="s">
        <v>65547</v>
      </c>
      <c r="R18" s="3" t="s">
        <v>66</v>
      </c>
      <c r="S18" s="4">
        <v>5</v>
      </c>
      <c r="T18" s="4">
        <v>5</v>
      </c>
      <c r="U18" s="5" t="s">
        <v>65548</v>
      </c>
      <c r="V18" s="5" t="s">
        <v>65548</v>
      </c>
      <c r="W18" s="5" t="s">
        <v>67</v>
      </c>
      <c r="X18" s="5" t="s">
        <v>67</v>
      </c>
      <c r="Y18" s="4">
        <v>215</v>
      </c>
      <c r="Z18" s="4">
        <v>12</v>
      </c>
      <c r="AA18" s="4">
        <v>13</v>
      </c>
      <c r="AB18" s="4">
        <v>2</v>
      </c>
      <c r="AC18" s="4">
        <v>3</v>
      </c>
      <c r="AD18" s="4">
        <v>97</v>
      </c>
      <c r="AE18" s="4">
        <v>98</v>
      </c>
      <c r="AF18" s="4">
        <v>0</v>
      </c>
      <c r="AG18" s="4">
        <v>1</v>
      </c>
      <c r="AH18" s="4">
        <v>91</v>
      </c>
      <c r="AI18" s="4">
        <v>92</v>
      </c>
      <c r="AJ18" s="4">
        <v>9</v>
      </c>
      <c r="AK18" s="4">
        <v>10</v>
      </c>
      <c r="AL18" s="4">
        <v>52</v>
      </c>
      <c r="AM18" s="4">
        <v>52</v>
      </c>
      <c r="AN18" s="4">
        <v>0</v>
      </c>
      <c r="AO18" s="4">
        <v>0</v>
      </c>
      <c r="AP18" s="4">
        <v>9</v>
      </c>
      <c r="AQ18" s="4">
        <v>10</v>
      </c>
      <c r="AR18" s="3" t="s">
        <v>62</v>
      </c>
      <c r="AS18" s="3" t="s">
        <v>62</v>
      </c>
      <c r="AT18" s="3" t="s">
        <v>62</v>
      </c>
      <c r="AV18" s="6" t="str">
        <f>HYPERLINK("http://mcgill.on.worldcat.org/oclc/4947615","Catalog Record")</f>
        <v>Catalog Record</v>
      </c>
      <c r="AW18" s="6" t="str">
        <f>HYPERLINK("http://www.worldcat.org/oclc/4947615","WorldCat Record")</f>
        <v>WorldCat Record</v>
      </c>
      <c r="AX18" s="3" t="s">
        <v>65549</v>
      </c>
      <c r="AY18" s="3" t="s">
        <v>65550</v>
      </c>
      <c r="AZ18" s="3" t="s">
        <v>65551</v>
      </c>
      <c r="BA18" s="3" t="s">
        <v>65551</v>
      </c>
      <c r="BB18" s="3" t="s">
        <v>65552</v>
      </c>
      <c r="BC18" s="3" t="s">
        <v>142</v>
      </c>
      <c r="BD18" s="3" t="s">
        <v>68</v>
      </c>
      <c r="BE18" s="3" t="s">
        <v>65553</v>
      </c>
      <c r="BF18" s="3" t="s">
        <v>65552</v>
      </c>
    </row>
    <row r="19" spans="1:59" ht="71.25" x14ac:dyDescent="0.45">
      <c r="A19" s="2" t="s">
        <v>59</v>
      </c>
      <c r="B19" s="2" t="s">
        <v>60</v>
      </c>
      <c r="C19" s="2" t="s">
        <v>65554</v>
      </c>
      <c r="D19" s="2" t="s">
        <v>65555</v>
      </c>
      <c r="E19" s="2" t="s">
        <v>65556</v>
      </c>
      <c r="F19" s="3" t="s">
        <v>65557</v>
      </c>
      <c r="G19" s="3" t="s">
        <v>62</v>
      </c>
      <c r="I19" s="3" t="s">
        <v>62</v>
      </c>
      <c r="J19" s="3" t="s">
        <v>62</v>
      </c>
      <c r="K19" s="3" t="s">
        <v>63</v>
      </c>
      <c r="L19" s="2" t="s">
        <v>65558</v>
      </c>
      <c r="M19" s="2" t="s">
        <v>65559</v>
      </c>
      <c r="N19" s="3" t="s">
        <v>471</v>
      </c>
      <c r="P19" s="3" t="s">
        <v>65</v>
      </c>
      <c r="Q19" s="2" t="s">
        <v>65560</v>
      </c>
      <c r="R19" s="3" t="s">
        <v>66</v>
      </c>
      <c r="S19" s="4">
        <v>0</v>
      </c>
      <c r="T19" s="4">
        <v>0</v>
      </c>
      <c r="W19" s="5" t="s">
        <v>67</v>
      </c>
      <c r="X19" s="5" t="s">
        <v>67</v>
      </c>
      <c r="Y19" s="4">
        <v>84</v>
      </c>
      <c r="Z19" s="4">
        <v>3</v>
      </c>
      <c r="AA19" s="4">
        <v>3</v>
      </c>
      <c r="AB19" s="4">
        <v>2</v>
      </c>
      <c r="AC19" s="4">
        <v>2</v>
      </c>
      <c r="AD19" s="4">
        <v>50</v>
      </c>
      <c r="AE19" s="4">
        <v>51</v>
      </c>
      <c r="AF19" s="4">
        <v>0</v>
      </c>
      <c r="AG19" s="4">
        <v>0</v>
      </c>
      <c r="AH19" s="4">
        <v>48</v>
      </c>
      <c r="AI19" s="4">
        <v>49</v>
      </c>
      <c r="AJ19" s="4">
        <v>1</v>
      </c>
      <c r="AK19" s="4">
        <v>1</v>
      </c>
      <c r="AL19" s="4">
        <v>36</v>
      </c>
      <c r="AM19" s="4">
        <v>36</v>
      </c>
      <c r="AN19" s="4">
        <v>5</v>
      </c>
      <c r="AO19" s="4">
        <v>5</v>
      </c>
      <c r="AP19" s="4">
        <v>1</v>
      </c>
      <c r="AQ19" s="4">
        <v>1</v>
      </c>
      <c r="AR19" s="3" t="s">
        <v>62</v>
      </c>
      <c r="AS19" s="3" t="s">
        <v>62</v>
      </c>
      <c r="AT19" s="3" t="s">
        <v>62</v>
      </c>
      <c r="AU19" s="6" t="str">
        <f>HYPERLINK("http://catalog.hathitrust.org/Record/102178237","HathiTrust Record")</f>
        <v>HathiTrust Record</v>
      </c>
      <c r="AV19" s="6" t="str">
        <f>HYPERLINK("http://mcgill.on.worldcat.org/oclc/5042002","Catalog Record")</f>
        <v>Catalog Record</v>
      </c>
      <c r="AW19" s="6" t="str">
        <f>HYPERLINK("http://www.worldcat.org/oclc/5042002","WorldCat Record")</f>
        <v>WorldCat Record</v>
      </c>
      <c r="AX19" s="3" t="s">
        <v>65561</v>
      </c>
      <c r="AY19" s="3" t="s">
        <v>65562</v>
      </c>
      <c r="AZ19" s="3" t="s">
        <v>65563</v>
      </c>
      <c r="BA19" s="3" t="s">
        <v>65563</v>
      </c>
      <c r="BB19" s="3" t="s">
        <v>65564</v>
      </c>
      <c r="BC19" s="3" t="s">
        <v>142</v>
      </c>
      <c r="BD19" s="3" t="s">
        <v>68</v>
      </c>
      <c r="BF19" s="3" t="s">
        <v>65564</v>
      </c>
    </row>
    <row r="20" spans="1:59" ht="71.25" x14ac:dyDescent="0.45">
      <c r="A20" s="2" t="s">
        <v>59</v>
      </c>
      <c r="B20" s="2" t="s">
        <v>60</v>
      </c>
      <c r="C20" s="2" t="s">
        <v>65565</v>
      </c>
      <c r="D20" s="2" t="s">
        <v>65566</v>
      </c>
      <c r="E20" s="2" t="s">
        <v>65567</v>
      </c>
      <c r="F20" s="3" t="s">
        <v>52456</v>
      </c>
      <c r="G20" s="3" t="s">
        <v>62</v>
      </c>
      <c r="I20" s="3" t="s">
        <v>62</v>
      </c>
      <c r="J20" s="3" t="s">
        <v>62</v>
      </c>
      <c r="K20" s="3" t="s">
        <v>63</v>
      </c>
      <c r="L20" s="2" t="s">
        <v>287</v>
      </c>
      <c r="M20" s="2" t="s">
        <v>65568</v>
      </c>
      <c r="N20" s="3" t="s">
        <v>59258</v>
      </c>
      <c r="P20" s="3" t="s">
        <v>65</v>
      </c>
      <c r="Q20" s="2" t="s">
        <v>65569</v>
      </c>
      <c r="R20" s="3" t="s">
        <v>66</v>
      </c>
      <c r="S20" s="4">
        <v>0</v>
      </c>
      <c r="T20" s="4">
        <v>0</v>
      </c>
      <c r="W20" s="5" t="s">
        <v>67</v>
      </c>
      <c r="X20" s="5" t="s">
        <v>67</v>
      </c>
      <c r="Y20" s="4">
        <v>105</v>
      </c>
      <c r="Z20" s="4">
        <v>7</v>
      </c>
      <c r="AA20" s="4">
        <v>14</v>
      </c>
      <c r="AB20" s="4">
        <v>2</v>
      </c>
      <c r="AC20" s="4">
        <v>3</v>
      </c>
      <c r="AD20" s="4">
        <v>58</v>
      </c>
      <c r="AE20" s="4">
        <v>68</v>
      </c>
      <c r="AF20" s="4">
        <v>0</v>
      </c>
      <c r="AG20" s="4">
        <v>1</v>
      </c>
      <c r="AH20" s="4">
        <v>55</v>
      </c>
      <c r="AI20" s="4">
        <v>63</v>
      </c>
      <c r="AJ20" s="4">
        <v>4</v>
      </c>
      <c r="AK20" s="4">
        <v>10</v>
      </c>
      <c r="AL20" s="4">
        <v>39</v>
      </c>
      <c r="AM20" s="4">
        <v>40</v>
      </c>
      <c r="AN20" s="4">
        <v>0</v>
      </c>
      <c r="AO20" s="4">
        <v>0</v>
      </c>
      <c r="AP20" s="4">
        <v>4</v>
      </c>
      <c r="AQ20" s="4">
        <v>10</v>
      </c>
      <c r="AR20" s="3" t="s">
        <v>62</v>
      </c>
      <c r="AS20" s="3" t="s">
        <v>62</v>
      </c>
      <c r="AT20" s="3" t="s">
        <v>61</v>
      </c>
      <c r="AU20" s="6" t="str">
        <f>HYPERLINK("http://catalog.hathitrust.org/Record/001637781","HathiTrust Record")</f>
        <v>HathiTrust Record</v>
      </c>
      <c r="AV20" s="6" t="str">
        <f>HYPERLINK("http://mcgill.on.worldcat.org/oclc/5210400","Catalog Record")</f>
        <v>Catalog Record</v>
      </c>
      <c r="AW20" s="6" t="str">
        <f>HYPERLINK("http://www.worldcat.org/oclc/5210400","WorldCat Record")</f>
        <v>WorldCat Record</v>
      </c>
      <c r="AX20" s="3" t="s">
        <v>65570</v>
      </c>
      <c r="AY20" s="3" t="s">
        <v>65571</v>
      </c>
      <c r="AZ20" s="3" t="s">
        <v>65572</v>
      </c>
      <c r="BA20" s="3" t="s">
        <v>65572</v>
      </c>
      <c r="BB20" s="3" t="s">
        <v>65573</v>
      </c>
      <c r="BC20" s="3" t="s">
        <v>142</v>
      </c>
      <c r="BD20" s="3" t="s">
        <v>68</v>
      </c>
      <c r="BF20" s="3" t="s">
        <v>65573</v>
      </c>
    </row>
    <row r="21" spans="1:59" ht="71.25" x14ac:dyDescent="0.45">
      <c r="A21" s="2" t="s">
        <v>59</v>
      </c>
      <c r="B21" s="2" t="s">
        <v>60</v>
      </c>
      <c r="C21" s="2" t="s">
        <v>229</v>
      </c>
      <c r="D21" s="2" t="s">
        <v>230</v>
      </c>
      <c r="E21" s="2" t="s">
        <v>231</v>
      </c>
      <c r="F21" s="3" t="s">
        <v>232</v>
      </c>
      <c r="G21" s="3" t="s">
        <v>62</v>
      </c>
      <c r="I21" s="3" t="s">
        <v>62</v>
      </c>
      <c r="J21" s="3" t="s">
        <v>62</v>
      </c>
      <c r="K21" s="3" t="s">
        <v>63</v>
      </c>
      <c r="L21" s="2" t="s">
        <v>233</v>
      </c>
      <c r="M21" s="2" t="s">
        <v>234</v>
      </c>
      <c r="N21" s="3" t="s">
        <v>64</v>
      </c>
      <c r="P21" s="3" t="s">
        <v>65</v>
      </c>
      <c r="Q21" s="2" t="s">
        <v>235</v>
      </c>
      <c r="R21" s="3" t="s">
        <v>66</v>
      </c>
      <c r="S21" s="4">
        <v>3</v>
      </c>
      <c r="T21" s="4">
        <v>3</v>
      </c>
      <c r="U21" s="5" t="s">
        <v>236</v>
      </c>
      <c r="V21" s="5" t="s">
        <v>236</v>
      </c>
      <c r="W21" s="5" t="s">
        <v>67</v>
      </c>
      <c r="X21" s="5" t="s">
        <v>67</v>
      </c>
      <c r="Y21" s="4">
        <v>173</v>
      </c>
      <c r="Z21" s="4">
        <v>12</v>
      </c>
      <c r="AA21" s="4">
        <v>15</v>
      </c>
      <c r="AB21" s="4">
        <v>2</v>
      </c>
      <c r="AC21" s="4">
        <v>4</v>
      </c>
      <c r="AD21" s="4">
        <v>82</v>
      </c>
      <c r="AE21" s="4">
        <v>85</v>
      </c>
      <c r="AF21" s="4">
        <v>0</v>
      </c>
      <c r="AG21" s="4">
        <v>2</v>
      </c>
      <c r="AH21" s="4">
        <v>78</v>
      </c>
      <c r="AI21" s="4">
        <v>80</v>
      </c>
      <c r="AJ21" s="4">
        <v>9</v>
      </c>
      <c r="AK21" s="4">
        <v>11</v>
      </c>
      <c r="AL21" s="4">
        <v>46</v>
      </c>
      <c r="AM21" s="4">
        <v>46</v>
      </c>
      <c r="AN21" s="4">
        <v>0</v>
      </c>
      <c r="AO21" s="4">
        <v>0</v>
      </c>
      <c r="AP21" s="4">
        <v>9</v>
      </c>
      <c r="AQ21" s="4">
        <v>12</v>
      </c>
      <c r="AR21" s="3" t="s">
        <v>62</v>
      </c>
      <c r="AS21" s="3" t="s">
        <v>62</v>
      </c>
      <c r="AT21" s="3" t="s">
        <v>61</v>
      </c>
      <c r="AU21" s="6" t="str">
        <f>HYPERLINK("http://catalog.hathitrust.org/Record/102490613","HathiTrust Record")</f>
        <v>HathiTrust Record</v>
      </c>
      <c r="AV21" s="6" t="str">
        <f>HYPERLINK("http://mcgill.on.worldcat.org/oclc/5006303","Catalog Record")</f>
        <v>Catalog Record</v>
      </c>
      <c r="AW21" s="6" t="str">
        <f>HYPERLINK("http://www.worldcat.org/oclc/5006303","WorldCat Record")</f>
        <v>WorldCat Record</v>
      </c>
      <c r="AX21" s="3" t="s">
        <v>237</v>
      </c>
      <c r="AY21" s="3" t="s">
        <v>238</v>
      </c>
      <c r="AZ21" s="3" t="s">
        <v>239</v>
      </c>
      <c r="BA21" s="3" t="s">
        <v>239</v>
      </c>
      <c r="BB21" s="3" t="s">
        <v>240</v>
      </c>
      <c r="BC21" s="3" t="s">
        <v>142</v>
      </c>
      <c r="BD21" s="3" t="s">
        <v>68</v>
      </c>
      <c r="BF21" s="3" t="s">
        <v>240</v>
      </c>
      <c r="BG21" s="3" t="s">
        <v>241</v>
      </c>
    </row>
    <row r="22" spans="1:59" ht="71.25" x14ac:dyDescent="0.45">
      <c r="A22" s="2" t="s">
        <v>59</v>
      </c>
      <c r="B22" s="2" t="s">
        <v>60</v>
      </c>
      <c r="C22" s="2" t="s">
        <v>65574</v>
      </c>
      <c r="D22" s="2" t="s">
        <v>65575</v>
      </c>
      <c r="E22" s="2" t="s">
        <v>65576</v>
      </c>
      <c r="F22" s="3" t="s">
        <v>65577</v>
      </c>
      <c r="G22" s="3" t="s">
        <v>62</v>
      </c>
      <c r="I22" s="3" t="s">
        <v>62</v>
      </c>
      <c r="J22" s="3" t="s">
        <v>62</v>
      </c>
      <c r="K22" s="3" t="s">
        <v>63</v>
      </c>
      <c r="L22" s="2" t="s">
        <v>65578</v>
      </c>
      <c r="M22" s="2" t="s">
        <v>65579</v>
      </c>
      <c r="N22" s="3" t="s">
        <v>65462</v>
      </c>
      <c r="P22" s="3" t="s">
        <v>65</v>
      </c>
      <c r="Q22" s="2" t="s">
        <v>65580</v>
      </c>
      <c r="R22" s="3" t="s">
        <v>66</v>
      </c>
      <c r="S22" s="4">
        <v>5</v>
      </c>
      <c r="T22" s="4">
        <v>5</v>
      </c>
      <c r="U22" s="5" t="s">
        <v>36809</v>
      </c>
      <c r="V22" s="5" t="s">
        <v>36809</v>
      </c>
      <c r="W22" s="5" t="s">
        <v>67</v>
      </c>
      <c r="X22" s="5" t="s">
        <v>67</v>
      </c>
      <c r="Y22" s="4">
        <v>187</v>
      </c>
      <c r="Z22" s="4">
        <v>9</v>
      </c>
      <c r="AA22" s="4">
        <v>11</v>
      </c>
      <c r="AB22" s="4">
        <v>2</v>
      </c>
      <c r="AC22" s="4">
        <v>3</v>
      </c>
      <c r="AD22" s="4">
        <v>80</v>
      </c>
      <c r="AE22" s="4">
        <v>82</v>
      </c>
      <c r="AF22" s="4">
        <v>0</v>
      </c>
      <c r="AG22" s="4">
        <v>1</v>
      </c>
      <c r="AH22" s="4">
        <v>77</v>
      </c>
      <c r="AI22" s="4">
        <v>79</v>
      </c>
      <c r="AJ22" s="4">
        <v>6</v>
      </c>
      <c r="AK22" s="4">
        <v>8</v>
      </c>
      <c r="AL22" s="4">
        <v>45</v>
      </c>
      <c r="AM22" s="4">
        <v>45</v>
      </c>
      <c r="AN22" s="4">
        <v>0</v>
      </c>
      <c r="AO22" s="4">
        <v>0</v>
      </c>
      <c r="AP22" s="4">
        <v>6</v>
      </c>
      <c r="AQ22" s="4">
        <v>8</v>
      </c>
      <c r="AR22" s="3" t="s">
        <v>62</v>
      </c>
      <c r="AS22" s="3" t="s">
        <v>62</v>
      </c>
      <c r="AT22" s="3" t="s">
        <v>61</v>
      </c>
      <c r="AU22" s="6" t="str">
        <f>HYPERLINK("http://catalog.hathitrust.org/Record/007123415","HathiTrust Record")</f>
        <v>HathiTrust Record</v>
      </c>
      <c r="AV22" s="6" t="str">
        <f>HYPERLINK("http://mcgill.on.worldcat.org/oclc/3767668","Catalog Record")</f>
        <v>Catalog Record</v>
      </c>
      <c r="AW22" s="6" t="str">
        <f>HYPERLINK("http://www.worldcat.org/oclc/3767668","WorldCat Record")</f>
        <v>WorldCat Record</v>
      </c>
      <c r="AX22" s="3" t="s">
        <v>65581</v>
      </c>
      <c r="AY22" s="3" t="s">
        <v>65582</v>
      </c>
      <c r="AZ22" s="3" t="s">
        <v>65583</v>
      </c>
      <c r="BA22" s="3" t="s">
        <v>65583</v>
      </c>
      <c r="BB22" s="3" t="s">
        <v>65584</v>
      </c>
      <c r="BC22" s="3" t="s">
        <v>142</v>
      </c>
      <c r="BD22" s="3" t="s">
        <v>68</v>
      </c>
      <c r="BF22" s="3" t="s">
        <v>65584</v>
      </c>
    </row>
    <row r="23" spans="1:59" ht="71.25" x14ac:dyDescent="0.45">
      <c r="A23" s="2" t="s">
        <v>59</v>
      </c>
      <c r="B23" s="2" t="s">
        <v>60</v>
      </c>
      <c r="C23" s="2" t="s">
        <v>65585</v>
      </c>
      <c r="D23" s="2" t="s">
        <v>65586</v>
      </c>
      <c r="E23" s="2" t="s">
        <v>65587</v>
      </c>
      <c r="F23" s="3" t="s">
        <v>65588</v>
      </c>
      <c r="G23" s="3" t="s">
        <v>62</v>
      </c>
      <c r="I23" s="3" t="s">
        <v>62</v>
      </c>
      <c r="J23" s="3" t="s">
        <v>62</v>
      </c>
      <c r="K23" s="3" t="s">
        <v>63</v>
      </c>
      <c r="L23" s="2" t="s">
        <v>65589</v>
      </c>
      <c r="M23" s="2" t="s">
        <v>247</v>
      </c>
      <c r="N23" s="3" t="s">
        <v>248</v>
      </c>
      <c r="P23" s="3" t="s">
        <v>65</v>
      </c>
      <c r="Q23" s="2" t="s">
        <v>65590</v>
      </c>
      <c r="R23" s="3" t="s">
        <v>66</v>
      </c>
      <c r="S23" s="4">
        <v>2</v>
      </c>
      <c r="T23" s="4">
        <v>2</v>
      </c>
      <c r="U23" s="5" t="s">
        <v>65591</v>
      </c>
      <c r="V23" s="5" t="s">
        <v>65591</v>
      </c>
      <c r="W23" s="5" t="s">
        <v>67</v>
      </c>
      <c r="X23" s="5" t="s">
        <v>67</v>
      </c>
      <c r="Y23" s="4">
        <v>159</v>
      </c>
      <c r="Z23" s="4">
        <v>8</v>
      </c>
      <c r="AA23" s="4">
        <v>8</v>
      </c>
      <c r="AB23" s="4">
        <v>1</v>
      </c>
      <c r="AC23" s="4">
        <v>1</v>
      </c>
      <c r="AD23" s="4">
        <v>79</v>
      </c>
      <c r="AE23" s="4">
        <v>79</v>
      </c>
      <c r="AF23" s="4">
        <v>0</v>
      </c>
      <c r="AG23" s="4">
        <v>0</v>
      </c>
      <c r="AH23" s="4">
        <v>74</v>
      </c>
      <c r="AI23" s="4">
        <v>74</v>
      </c>
      <c r="AJ23" s="4">
        <v>7</v>
      </c>
      <c r="AK23" s="4">
        <v>7</v>
      </c>
      <c r="AL23" s="4">
        <v>45</v>
      </c>
      <c r="AM23" s="4">
        <v>45</v>
      </c>
      <c r="AN23" s="4">
        <v>0</v>
      </c>
      <c r="AO23" s="4">
        <v>0</v>
      </c>
      <c r="AP23" s="4">
        <v>7</v>
      </c>
      <c r="AQ23" s="4">
        <v>7</v>
      </c>
      <c r="AR23" s="3" t="s">
        <v>62</v>
      </c>
      <c r="AS23" s="3" t="s">
        <v>62</v>
      </c>
      <c r="AT23" s="3" t="s">
        <v>61</v>
      </c>
      <c r="AU23" s="6" t="str">
        <f>HYPERLINK("http://catalog.hathitrust.org/Record/001637783","HathiTrust Record")</f>
        <v>HathiTrust Record</v>
      </c>
      <c r="AV23" s="6" t="str">
        <f>HYPERLINK("http://mcgill.on.worldcat.org/oclc/3222534","Catalog Record")</f>
        <v>Catalog Record</v>
      </c>
      <c r="AW23" s="6" t="str">
        <f>HYPERLINK("http://www.worldcat.org/oclc/3222534","WorldCat Record")</f>
        <v>WorldCat Record</v>
      </c>
      <c r="AX23" s="3" t="s">
        <v>65592</v>
      </c>
      <c r="AY23" s="3" t="s">
        <v>65593</v>
      </c>
      <c r="AZ23" s="3" t="s">
        <v>65594</v>
      </c>
      <c r="BA23" s="3" t="s">
        <v>65594</v>
      </c>
      <c r="BB23" s="3" t="s">
        <v>65595</v>
      </c>
      <c r="BC23" s="3" t="s">
        <v>142</v>
      </c>
      <c r="BD23" s="3" t="s">
        <v>68</v>
      </c>
      <c r="BF23" s="3" t="s">
        <v>65595</v>
      </c>
    </row>
    <row r="24" spans="1:59" ht="71.25" x14ac:dyDescent="0.45">
      <c r="A24" s="2" t="s">
        <v>59</v>
      </c>
      <c r="B24" s="2" t="s">
        <v>60</v>
      </c>
      <c r="C24" s="2" t="s">
        <v>242</v>
      </c>
      <c r="D24" s="2" t="s">
        <v>243</v>
      </c>
      <c r="E24" s="2" t="s">
        <v>244</v>
      </c>
      <c r="F24" s="3" t="s">
        <v>245</v>
      </c>
      <c r="G24" s="3" t="s">
        <v>62</v>
      </c>
      <c r="I24" s="3" t="s">
        <v>62</v>
      </c>
      <c r="J24" s="3" t="s">
        <v>62</v>
      </c>
      <c r="K24" s="3" t="s">
        <v>63</v>
      </c>
      <c r="L24" s="2" t="s">
        <v>246</v>
      </c>
      <c r="M24" s="2" t="s">
        <v>247</v>
      </c>
      <c r="N24" s="3" t="s">
        <v>248</v>
      </c>
      <c r="P24" s="3" t="s">
        <v>65</v>
      </c>
      <c r="Q24" s="2" t="s">
        <v>249</v>
      </c>
      <c r="R24" s="3" t="s">
        <v>66</v>
      </c>
      <c r="S24" s="4">
        <v>1</v>
      </c>
      <c r="T24" s="4">
        <v>1</v>
      </c>
      <c r="U24" s="5" t="s">
        <v>250</v>
      </c>
      <c r="V24" s="5" t="s">
        <v>250</v>
      </c>
      <c r="W24" s="5" t="s">
        <v>67</v>
      </c>
      <c r="X24" s="5" t="s">
        <v>67</v>
      </c>
      <c r="Y24" s="4">
        <v>169</v>
      </c>
      <c r="Z24" s="4">
        <v>7</v>
      </c>
      <c r="AA24" s="4">
        <v>8</v>
      </c>
      <c r="AB24" s="4">
        <v>1</v>
      </c>
      <c r="AC24" s="4">
        <v>2</v>
      </c>
      <c r="AD24" s="4">
        <v>77</v>
      </c>
      <c r="AE24" s="4">
        <v>78</v>
      </c>
      <c r="AF24" s="4">
        <v>0</v>
      </c>
      <c r="AG24" s="4">
        <v>1</v>
      </c>
      <c r="AH24" s="4">
        <v>72</v>
      </c>
      <c r="AI24" s="4">
        <v>73</v>
      </c>
      <c r="AJ24" s="4">
        <v>6</v>
      </c>
      <c r="AK24" s="4">
        <v>7</v>
      </c>
      <c r="AL24" s="4">
        <v>44</v>
      </c>
      <c r="AM24" s="4">
        <v>44</v>
      </c>
      <c r="AN24" s="4">
        <v>0</v>
      </c>
      <c r="AO24" s="4">
        <v>0</v>
      </c>
      <c r="AP24" s="4">
        <v>6</v>
      </c>
      <c r="AQ24" s="4">
        <v>7</v>
      </c>
      <c r="AR24" s="3" t="s">
        <v>62</v>
      </c>
      <c r="AS24" s="3" t="s">
        <v>62</v>
      </c>
      <c r="AT24" s="3" t="s">
        <v>61</v>
      </c>
      <c r="AU24" s="6" t="str">
        <f>HYPERLINK("http://catalog.hathitrust.org/Record/101395602","HathiTrust Record")</f>
        <v>HathiTrust Record</v>
      </c>
      <c r="AV24" s="6" t="str">
        <f>HYPERLINK("http://mcgill.on.worldcat.org/oclc/2360429","Catalog Record")</f>
        <v>Catalog Record</v>
      </c>
      <c r="AW24" s="6" t="str">
        <f>HYPERLINK("http://www.worldcat.org/oclc/2360429","WorldCat Record")</f>
        <v>WorldCat Record</v>
      </c>
      <c r="AX24" s="3" t="s">
        <v>251</v>
      </c>
      <c r="AY24" s="3" t="s">
        <v>252</v>
      </c>
      <c r="AZ24" s="3" t="s">
        <v>253</v>
      </c>
      <c r="BA24" s="3" t="s">
        <v>253</v>
      </c>
      <c r="BB24" s="3" t="s">
        <v>254</v>
      </c>
      <c r="BC24" s="3" t="s">
        <v>142</v>
      </c>
      <c r="BD24" s="3" t="s">
        <v>68</v>
      </c>
      <c r="BF24" s="3" t="s">
        <v>254</v>
      </c>
      <c r="BG24" s="3" t="s">
        <v>255</v>
      </c>
    </row>
    <row r="25" spans="1:59" ht="71.25" x14ac:dyDescent="0.45">
      <c r="A25" s="2" t="s">
        <v>0</v>
      </c>
      <c r="B25" s="2" t="s">
        <v>60</v>
      </c>
      <c r="C25" s="2" t="s">
        <v>65596</v>
      </c>
      <c r="D25" s="2" t="s">
        <v>65597</v>
      </c>
      <c r="E25" s="2" t="s">
        <v>65598</v>
      </c>
      <c r="F25" s="3" t="s">
        <v>52536</v>
      </c>
      <c r="G25" s="3" t="s">
        <v>62</v>
      </c>
      <c r="I25" s="3" t="s">
        <v>62</v>
      </c>
      <c r="J25" s="3" t="s">
        <v>62</v>
      </c>
      <c r="K25" s="3" t="s">
        <v>63</v>
      </c>
      <c r="L25" s="2" t="s">
        <v>65599</v>
      </c>
      <c r="M25" s="2" t="s">
        <v>65600</v>
      </c>
      <c r="N25" s="3" t="s">
        <v>77</v>
      </c>
      <c r="P25" s="3" t="s">
        <v>65</v>
      </c>
      <c r="Q25" s="2" t="s">
        <v>65601</v>
      </c>
      <c r="R25" s="3" t="s">
        <v>66</v>
      </c>
      <c r="S25" s="4">
        <v>0</v>
      </c>
      <c r="T25" s="4">
        <v>0</v>
      </c>
      <c r="W25" s="5" t="s">
        <v>67</v>
      </c>
      <c r="X25" s="5" t="s">
        <v>67</v>
      </c>
      <c r="Y25" s="4">
        <v>135</v>
      </c>
      <c r="Z25" s="4">
        <v>7</v>
      </c>
      <c r="AA25" s="4">
        <v>9</v>
      </c>
      <c r="AB25" s="4">
        <v>2</v>
      </c>
      <c r="AC25" s="4">
        <v>4</v>
      </c>
      <c r="AD25" s="4">
        <v>69</v>
      </c>
      <c r="AE25" s="4">
        <v>71</v>
      </c>
      <c r="AF25" s="4">
        <v>0</v>
      </c>
      <c r="AG25" s="4">
        <v>2</v>
      </c>
      <c r="AH25" s="4">
        <v>65</v>
      </c>
      <c r="AI25" s="4">
        <v>66</v>
      </c>
      <c r="AJ25" s="4">
        <v>5</v>
      </c>
      <c r="AK25" s="4">
        <v>7</v>
      </c>
      <c r="AL25" s="4">
        <v>43</v>
      </c>
      <c r="AM25" s="4">
        <v>43</v>
      </c>
      <c r="AN25" s="4">
        <v>0</v>
      </c>
      <c r="AO25" s="4">
        <v>0</v>
      </c>
      <c r="AP25" s="4">
        <v>4</v>
      </c>
      <c r="AQ25" s="4">
        <v>6</v>
      </c>
      <c r="AR25" s="3" t="s">
        <v>62</v>
      </c>
      <c r="AS25" s="3" t="s">
        <v>62</v>
      </c>
      <c r="AT25" s="3" t="s">
        <v>62</v>
      </c>
      <c r="AU25" s="6" t="str">
        <f>HYPERLINK("http://catalog.hathitrust.org/Record/001637792","HathiTrust Record")</f>
        <v>HathiTrust Record</v>
      </c>
      <c r="AV25" s="6" t="str">
        <f>HYPERLINK("http://mcgill.on.worldcat.org/oclc/2853567","Catalog Record")</f>
        <v>Catalog Record</v>
      </c>
      <c r="AW25" s="6" t="str">
        <f>HYPERLINK("http://www.worldcat.org/oclc/2853567","WorldCat Record")</f>
        <v>WorldCat Record</v>
      </c>
      <c r="AX25" s="3" t="s">
        <v>65602</v>
      </c>
      <c r="AY25" s="3" t="s">
        <v>65603</v>
      </c>
      <c r="AZ25" s="3" t="s">
        <v>65604</v>
      </c>
      <c r="BA25" s="3" t="s">
        <v>65604</v>
      </c>
      <c r="BB25" s="3" t="s">
        <v>65605</v>
      </c>
      <c r="BC25" s="3" t="s">
        <v>142</v>
      </c>
      <c r="BD25" s="3" t="s">
        <v>68</v>
      </c>
      <c r="BF25" s="3" t="s">
        <v>65605</v>
      </c>
    </row>
    <row r="26" spans="1:59" ht="71.25" x14ac:dyDescent="0.45">
      <c r="A26" s="2" t="s">
        <v>59</v>
      </c>
      <c r="B26" s="2" t="s">
        <v>60</v>
      </c>
      <c r="C26" s="2" t="s">
        <v>65606</v>
      </c>
      <c r="D26" s="2" t="s">
        <v>65607</v>
      </c>
      <c r="E26" s="2" t="s">
        <v>65608</v>
      </c>
      <c r="F26" s="3" t="s">
        <v>65609</v>
      </c>
      <c r="G26" s="3" t="s">
        <v>62</v>
      </c>
      <c r="I26" s="3" t="s">
        <v>62</v>
      </c>
      <c r="J26" s="3" t="s">
        <v>62</v>
      </c>
      <c r="K26" s="3" t="s">
        <v>63</v>
      </c>
      <c r="L26" s="2" t="s">
        <v>65610</v>
      </c>
      <c r="M26" s="2" t="s">
        <v>65611</v>
      </c>
      <c r="N26" s="3" t="s">
        <v>135</v>
      </c>
      <c r="P26" s="3" t="s">
        <v>65</v>
      </c>
      <c r="Q26" s="2" t="s">
        <v>65612</v>
      </c>
      <c r="R26" s="3" t="s">
        <v>66</v>
      </c>
      <c r="S26" s="4">
        <v>0</v>
      </c>
      <c r="T26" s="4">
        <v>0</v>
      </c>
      <c r="W26" s="5" t="s">
        <v>67</v>
      </c>
      <c r="X26" s="5" t="s">
        <v>67</v>
      </c>
      <c r="Y26" s="4">
        <v>198</v>
      </c>
      <c r="Z26" s="4">
        <v>14</v>
      </c>
      <c r="AA26" s="4">
        <v>17</v>
      </c>
      <c r="AB26" s="4">
        <v>2</v>
      </c>
      <c r="AC26" s="4">
        <v>4</v>
      </c>
      <c r="AD26" s="4">
        <v>88</v>
      </c>
      <c r="AE26" s="4">
        <v>94</v>
      </c>
      <c r="AF26" s="4">
        <v>0</v>
      </c>
      <c r="AG26" s="4">
        <v>2</v>
      </c>
      <c r="AH26" s="4">
        <v>81</v>
      </c>
      <c r="AI26" s="4">
        <v>84</v>
      </c>
      <c r="AJ26" s="4">
        <v>11</v>
      </c>
      <c r="AK26" s="4">
        <v>14</v>
      </c>
      <c r="AL26" s="4">
        <v>48</v>
      </c>
      <c r="AM26" s="4">
        <v>51</v>
      </c>
      <c r="AN26" s="4">
        <v>0</v>
      </c>
      <c r="AO26" s="4">
        <v>0</v>
      </c>
      <c r="AP26" s="4">
        <v>10</v>
      </c>
      <c r="AQ26" s="4">
        <v>12</v>
      </c>
      <c r="AR26" s="3" t="s">
        <v>62</v>
      </c>
      <c r="AS26" s="3" t="s">
        <v>62</v>
      </c>
      <c r="AT26" s="3" t="s">
        <v>62</v>
      </c>
      <c r="AV26" s="6" t="str">
        <f>HYPERLINK("http://mcgill.on.worldcat.org/oclc/568997","Catalog Record")</f>
        <v>Catalog Record</v>
      </c>
      <c r="AW26" s="6" t="str">
        <f>HYPERLINK("http://www.worldcat.org/oclc/568997","WorldCat Record")</f>
        <v>WorldCat Record</v>
      </c>
      <c r="AX26" s="3" t="s">
        <v>65613</v>
      </c>
      <c r="AY26" s="3" t="s">
        <v>65614</v>
      </c>
      <c r="AZ26" s="3" t="s">
        <v>65615</v>
      </c>
      <c r="BA26" s="3" t="s">
        <v>65615</v>
      </c>
      <c r="BB26" s="3" t="s">
        <v>65616</v>
      </c>
      <c r="BC26" s="3" t="s">
        <v>142</v>
      </c>
      <c r="BD26" s="3" t="s">
        <v>68</v>
      </c>
      <c r="BF26" s="3" t="s">
        <v>65616</v>
      </c>
    </row>
    <row r="27" spans="1:59" ht="71.25" x14ac:dyDescent="0.45">
      <c r="A27" s="2" t="s">
        <v>59</v>
      </c>
      <c r="B27" s="2" t="s">
        <v>60</v>
      </c>
      <c r="C27" s="2" t="s">
        <v>65617</v>
      </c>
      <c r="D27" s="2" t="s">
        <v>65618</v>
      </c>
      <c r="E27" s="2" t="s">
        <v>65619</v>
      </c>
      <c r="F27" s="3" t="s">
        <v>65620</v>
      </c>
      <c r="G27" s="3" t="s">
        <v>62</v>
      </c>
      <c r="I27" s="3" t="s">
        <v>62</v>
      </c>
      <c r="J27" s="3" t="s">
        <v>62</v>
      </c>
      <c r="K27" s="3" t="s">
        <v>63</v>
      </c>
      <c r="L27" s="2" t="s">
        <v>65621</v>
      </c>
      <c r="M27" s="2" t="s">
        <v>65611</v>
      </c>
      <c r="N27" s="3" t="s">
        <v>135</v>
      </c>
      <c r="P27" s="3" t="s">
        <v>65</v>
      </c>
      <c r="Q27" s="2" t="s">
        <v>65622</v>
      </c>
      <c r="R27" s="3" t="s">
        <v>66</v>
      </c>
      <c r="S27" s="4">
        <v>0</v>
      </c>
      <c r="T27" s="4">
        <v>0</v>
      </c>
      <c r="W27" s="5" t="s">
        <v>67</v>
      </c>
      <c r="X27" s="5" t="s">
        <v>67</v>
      </c>
      <c r="Y27" s="4">
        <v>206</v>
      </c>
      <c r="Z27" s="4">
        <v>18</v>
      </c>
      <c r="AA27" s="4">
        <v>20</v>
      </c>
      <c r="AB27" s="4">
        <v>2</v>
      </c>
      <c r="AC27" s="4">
        <v>4</v>
      </c>
      <c r="AD27" s="4">
        <v>90</v>
      </c>
      <c r="AE27" s="4">
        <v>92</v>
      </c>
      <c r="AF27" s="4">
        <v>0</v>
      </c>
      <c r="AG27" s="4">
        <v>2</v>
      </c>
      <c r="AH27" s="4">
        <v>80</v>
      </c>
      <c r="AI27" s="4">
        <v>81</v>
      </c>
      <c r="AJ27" s="4">
        <v>14</v>
      </c>
      <c r="AK27" s="4">
        <v>16</v>
      </c>
      <c r="AL27" s="4">
        <v>49</v>
      </c>
      <c r="AM27" s="4">
        <v>49</v>
      </c>
      <c r="AN27" s="4">
        <v>0</v>
      </c>
      <c r="AO27" s="4">
        <v>0</v>
      </c>
      <c r="AP27" s="4">
        <v>14</v>
      </c>
      <c r="AQ27" s="4">
        <v>16</v>
      </c>
      <c r="AR27" s="3" t="s">
        <v>62</v>
      </c>
      <c r="AS27" s="3" t="s">
        <v>62</v>
      </c>
      <c r="AT27" s="3" t="s">
        <v>62</v>
      </c>
      <c r="AV27" s="6" t="str">
        <f>HYPERLINK("http://mcgill.on.worldcat.org/oclc/567673","Catalog Record")</f>
        <v>Catalog Record</v>
      </c>
      <c r="AW27" s="6" t="str">
        <f>HYPERLINK("http://www.worldcat.org/oclc/567673","WorldCat Record")</f>
        <v>WorldCat Record</v>
      </c>
      <c r="AX27" s="3" t="s">
        <v>65623</v>
      </c>
      <c r="AY27" s="3" t="s">
        <v>65624</v>
      </c>
      <c r="AZ27" s="3" t="s">
        <v>65625</v>
      </c>
      <c r="BA27" s="3" t="s">
        <v>65625</v>
      </c>
      <c r="BB27" s="3" t="s">
        <v>65626</v>
      </c>
      <c r="BC27" s="3" t="s">
        <v>142</v>
      </c>
      <c r="BD27" s="3" t="s">
        <v>68</v>
      </c>
      <c r="BF27" s="3" t="s">
        <v>65626</v>
      </c>
      <c r="BG27" s="3" t="s">
        <v>65627</v>
      </c>
    </row>
    <row r="28" spans="1:59" ht="71.25" x14ac:dyDescent="0.45">
      <c r="A28" s="2" t="s">
        <v>59</v>
      </c>
      <c r="B28" s="2" t="s">
        <v>60</v>
      </c>
      <c r="C28" s="2" t="s">
        <v>65628</v>
      </c>
      <c r="D28" s="2" t="s">
        <v>65629</v>
      </c>
      <c r="E28" s="2" t="s">
        <v>65630</v>
      </c>
      <c r="F28" s="3" t="s">
        <v>65631</v>
      </c>
      <c r="G28" s="3" t="s">
        <v>62</v>
      </c>
      <c r="I28" s="3" t="s">
        <v>62</v>
      </c>
      <c r="J28" s="3" t="s">
        <v>62</v>
      </c>
      <c r="K28" s="3" t="s">
        <v>63</v>
      </c>
      <c r="L28" s="2" t="s">
        <v>65632</v>
      </c>
      <c r="M28" s="2" t="s">
        <v>65611</v>
      </c>
      <c r="N28" s="3" t="s">
        <v>135</v>
      </c>
      <c r="P28" s="3" t="s">
        <v>65</v>
      </c>
      <c r="Q28" s="2" t="s">
        <v>65633</v>
      </c>
      <c r="R28" s="3" t="s">
        <v>66</v>
      </c>
      <c r="S28" s="4">
        <v>0</v>
      </c>
      <c r="T28" s="4">
        <v>0</v>
      </c>
      <c r="W28" s="5" t="s">
        <v>67</v>
      </c>
      <c r="X28" s="5" t="s">
        <v>67</v>
      </c>
      <c r="Y28" s="4">
        <v>203</v>
      </c>
      <c r="Z28" s="4">
        <v>13</v>
      </c>
      <c r="AA28" s="4">
        <v>16</v>
      </c>
      <c r="AB28" s="4">
        <v>2</v>
      </c>
      <c r="AC28" s="4">
        <v>5</v>
      </c>
      <c r="AD28" s="4">
        <v>87</v>
      </c>
      <c r="AE28" s="4">
        <v>90</v>
      </c>
      <c r="AF28" s="4">
        <v>0</v>
      </c>
      <c r="AG28" s="4">
        <v>3</v>
      </c>
      <c r="AH28" s="4">
        <v>82</v>
      </c>
      <c r="AI28" s="4">
        <v>83</v>
      </c>
      <c r="AJ28" s="4">
        <v>10</v>
      </c>
      <c r="AK28" s="4">
        <v>13</v>
      </c>
      <c r="AL28" s="4">
        <v>48</v>
      </c>
      <c r="AM28" s="4">
        <v>48</v>
      </c>
      <c r="AN28" s="4">
        <v>0</v>
      </c>
      <c r="AO28" s="4">
        <v>0</v>
      </c>
      <c r="AP28" s="4">
        <v>9</v>
      </c>
      <c r="AQ28" s="4">
        <v>11</v>
      </c>
      <c r="AR28" s="3" t="s">
        <v>62</v>
      </c>
      <c r="AS28" s="3" t="s">
        <v>62</v>
      </c>
      <c r="AT28" s="3" t="s">
        <v>61</v>
      </c>
      <c r="AU28" s="6" t="str">
        <f>HYPERLINK("http://catalog.hathitrust.org/Record/001637805","HathiTrust Record")</f>
        <v>HathiTrust Record</v>
      </c>
      <c r="AV28" s="6" t="str">
        <f>HYPERLINK("http://mcgill.on.worldcat.org/oclc/574748","Catalog Record")</f>
        <v>Catalog Record</v>
      </c>
      <c r="AW28" s="6" t="str">
        <f>HYPERLINK("http://www.worldcat.org/oclc/574748","WorldCat Record")</f>
        <v>WorldCat Record</v>
      </c>
      <c r="AX28" s="3" t="s">
        <v>65634</v>
      </c>
      <c r="AY28" s="3" t="s">
        <v>65635</v>
      </c>
      <c r="AZ28" s="3" t="s">
        <v>65636</v>
      </c>
      <c r="BA28" s="3" t="s">
        <v>65636</v>
      </c>
      <c r="BB28" s="3" t="s">
        <v>65637</v>
      </c>
      <c r="BC28" s="3" t="s">
        <v>142</v>
      </c>
      <c r="BD28" s="3" t="s">
        <v>68</v>
      </c>
      <c r="BF28" s="3" t="s">
        <v>65637</v>
      </c>
      <c r="BG28" s="3" t="s">
        <v>65638</v>
      </c>
    </row>
    <row r="29" spans="1:59" ht="71.25" x14ac:dyDescent="0.45">
      <c r="A29" s="2" t="s">
        <v>59</v>
      </c>
      <c r="B29" s="2" t="s">
        <v>60</v>
      </c>
      <c r="C29" s="2" t="s">
        <v>65639</v>
      </c>
      <c r="D29" s="2" t="s">
        <v>65640</v>
      </c>
      <c r="E29" s="2" t="s">
        <v>65641</v>
      </c>
      <c r="F29" s="3" t="s">
        <v>65642</v>
      </c>
      <c r="G29" s="3" t="s">
        <v>62</v>
      </c>
      <c r="I29" s="3" t="s">
        <v>62</v>
      </c>
      <c r="J29" s="3" t="s">
        <v>62</v>
      </c>
      <c r="K29" s="3" t="s">
        <v>63</v>
      </c>
      <c r="L29" s="2" t="s">
        <v>65643</v>
      </c>
      <c r="M29" s="2" t="s">
        <v>65644</v>
      </c>
      <c r="N29" s="3" t="s">
        <v>833</v>
      </c>
      <c r="P29" s="3" t="s">
        <v>65</v>
      </c>
      <c r="Q29" s="2" t="s">
        <v>65645</v>
      </c>
      <c r="R29" s="3" t="s">
        <v>66</v>
      </c>
      <c r="S29" s="4">
        <v>0</v>
      </c>
      <c r="T29" s="4">
        <v>0</v>
      </c>
      <c r="W29" s="5" t="s">
        <v>67</v>
      </c>
      <c r="X29" s="5" t="s">
        <v>67</v>
      </c>
      <c r="Y29" s="4">
        <v>110</v>
      </c>
      <c r="Z29" s="4">
        <v>9</v>
      </c>
      <c r="AA29" s="4">
        <v>9</v>
      </c>
      <c r="AB29" s="4">
        <v>2</v>
      </c>
      <c r="AC29" s="4">
        <v>2</v>
      </c>
      <c r="AD29" s="4">
        <v>60</v>
      </c>
      <c r="AE29" s="4">
        <v>60</v>
      </c>
      <c r="AF29" s="4">
        <v>0</v>
      </c>
      <c r="AG29" s="4">
        <v>0</v>
      </c>
      <c r="AH29" s="4">
        <v>57</v>
      </c>
      <c r="AI29" s="4">
        <v>57</v>
      </c>
      <c r="AJ29" s="4">
        <v>5</v>
      </c>
      <c r="AK29" s="4">
        <v>5</v>
      </c>
      <c r="AL29" s="4">
        <v>39</v>
      </c>
      <c r="AM29" s="4">
        <v>39</v>
      </c>
      <c r="AN29" s="4">
        <v>0</v>
      </c>
      <c r="AO29" s="4">
        <v>0</v>
      </c>
      <c r="AP29" s="4">
        <v>5</v>
      </c>
      <c r="AQ29" s="4">
        <v>5</v>
      </c>
      <c r="AR29" s="3" t="s">
        <v>62</v>
      </c>
      <c r="AS29" s="3" t="s">
        <v>62</v>
      </c>
      <c r="AT29" s="3" t="s">
        <v>62</v>
      </c>
      <c r="AV29" s="6" t="str">
        <f>HYPERLINK("http://mcgill.on.worldcat.org/oclc/3151744","Catalog Record")</f>
        <v>Catalog Record</v>
      </c>
      <c r="AW29" s="6" t="str">
        <f>HYPERLINK("http://www.worldcat.org/oclc/3151744","WorldCat Record")</f>
        <v>WorldCat Record</v>
      </c>
      <c r="AX29" s="3" t="s">
        <v>65646</v>
      </c>
      <c r="AY29" s="3" t="s">
        <v>65647</v>
      </c>
      <c r="AZ29" s="3" t="s">
        <v>65648</v>
      </c>
      <c r="BA29" s="3" t="s">
        <v>65648</v>
      </c>
      <c r="BB29" s="3" t="s">
        <v>65649</v>
      </c>
      <c r="BC29" s="3" t="s">
        <v>142</v>
      </c>
      <c r="BD29" s="3" t="s">
        <v>68</v>
      </c>
      <c r="BF29" s="3" t="s">
        <v>65649</v>
      </c>
      <c r="BG29" s="3" t="s">
        <v>65650</v>
      </c>
    </row>
    <row r="30" spans="1:59" ht="71.25" x14ac:dyDescent="0.45">
      <c r="A30" s="2" t="s">
        <v>59</v>
      </c>
      <c r="B30" s="2" t="s">
        <v>60</v>
      </c>
      <c r="C30" s="2" t="s">
        <v>65651</v>
      </c>
      <c r="D30" s="2" t="s">
        <v>65652</v>
      </c>
      <c r="E30" s="2" t="s">
        <v>65653</v>
      </c>
      <c r="F30" s="3" t="s">
        <v>65654</v>
      </c>
      <c r="G30" s="3" t="s">
        <v>62</v>
      </c>
      <c r="I30" s="3" t="s">
        <v>62</v>
      </c>
      <c r="J30" s="3" t="s">
        <v>62</v>
      </c>
      <c r="K30" s="3" t="s">
        <v>63</v>
      </c>
      <c r="L30" s="2" t="s">
        <v>65655</v>
      </c>
      <c r="M30" s="2" t="s">
        <v>65480</v>
      </c>
      <c r="N30" s="3" t="s">
        <v>109</v>
      </c>
      <c r="P30" s="3" t="s">
        <v>65</v>
      </c>
      <c r="Q30" s="2" t="s">
        <v>65656</v>
      </c>
      <c r="R30" s="3" t="s">
        <v>66</v>
      </c>
      <c r="S30" s="4">
        <v>4</v>
      </c>
      <c r="T30" s="4">
        <v>4</v>
      </c>
      <c r="U30" s="5" t="s">
        <v>14982</v>
      </c>
      <c r="V30" s="5" t="s">
        <v>14982</v>
      </c>
      <c r="W30" s="5" t="s">
        <v>67</v>
      </c>
      <c r="X30" s="5" t="s">
        <v>67</v>
      </c>
      <c r="Y30" s="4">
        <v>206</v>
      </c>
      <c r="Z30" s="4">
        <v>13</v>
      </c>
      <c r="AA30" s="4">
        <v>14</v>
      </c>
      <c r="AB30" s="4">
        <v>2</v>
      </c>
      <c r="AC30" s="4">
        <v>3</v>
      </c>
      <c r="AD30" s="4">
        <v>87</v>
      </c>
      <c r="AE30" s="4">
        <v>88</v>
      </c>
      <c r="AF30" s="4">
        <v>0</v>
      </c>
      <c r="AG30" s="4">
        <v>1</v>
      </c>
      <c r="AH30" s="4">
        <v>80</v>
      </c>
      <c r="AI30" s="4">
        <v>81</v>
      </c>
      <c r="AJ30" s="4">
        <v>11</v>
      </c>
      <c r="AK30" s="4">
        <v>12</v>
      </c>
      <c r="AL30" s="4">
        <v>48</v>
      </c>
      <c r="AM30" s="4">
        <v>48</v>
      </c>
      <c r="AN30" s="4">
        <v>0</v>
      </c>
      <c r="AO30" s="4">
        <v>0</v>
      </c>
      <c r="AP30" s="4">
        <v>10</v>
      </c>
      <c r="AQ30" s="4">
        <v>11</v>
      </c>
      <c r="AR30" s="3" t="s">
        <v>62</v>
      </c>
      <c r="AS30" s="3" t="s">
        <v>62</v>
      </c>
      <c r="AT30" s="3" t="s">
        <v>62</v>
      </c>
      <c r="AV30" s="6" t="str">
        <f>HYPERLINK("http://mcgill.on.worldcat.org/oclc/568947","Catalog Record")</f>
        <v>Catalog Record</v>
      </c>
      <c r="AW30" s="6" t="str">
        <f>HYPERLINK("http://www.worldcat.org/oclc/568947","WorldCat Record")</f>
        <v>WorldCat Record</v>
      </c>
      <c r="AX30" s="3" t="s">
        <v>65657</v>
      </c>
      <c r="AY30" s="3" t="s">
        <v>65658</v>
      </c>
      <c r="AZ30" s="3" t="s">
        <v>65659</v>
      </c>
      <c r="BA30" s="3" t="s">
        <v>65659</v>
      </c>
      <c r="BB30" s="3" t="s">
        <v>65660</v>
      </c>
      <c r="BC30" s="3" t="s">
        <v>142</v>
      </c>
      <c r="BD30" s="3" t="s">
        <v>68</v>
      </c>
      <c r="BF30" s="3" t="s">
        <v>65660</v>
      </c>
      <c r="BG30" s="3" t="s">
        <v>65661</v>
      </c>
    </row>
    <row r="31" spans="1:59" ht="71.25" x14ac:dyDescent="0.45">
      <c r="A31" s="2" t="s">
        <v>59</v>
      </c>
      <c r="B31" s="2" t="s">
        <v>60</v>
      </c>
      <c r="C31" s="2" t="s">
        <v>65662</v>
      </c>
      <c r="D31" s="2" t="s">
        <v>65663</v>
      </c>
      <c r="E31" s="2" t="s">
        <v>65664</v>
      </c>
      <c r="F31" s="3" t="s">
        <v>65665</v>
      </c>
      <c r="G31" s="3" t="s">
        <v>62</v>
      </c>
      <c r="I31" s="3" t="s">
        <v>62</v>
      </c>
      <c r="J31" s="3" t="s">
        <v>62</v>
      </c>
      <c r="K31" s="3" t="s">
        <v>63</v>
      </c>
      <c r="L31" s="2" t="s">
        <v>65666</v>
      </c>
      <c r="M31" s="2" t="s">
        <v>65611</v>
      </c>
      <c r="N31" s="3" t="s">
        <v>135</v>
      </c>
      <c r="P31" s="3" t="s">
        <v>65</v>
      </c>
      <c r="Q31" s="2" t="s">
        <v>65667</v>
      </c>
      <c r="R31" s="3" t="s">
        <v>66</v>
      </c>
      <c r="S31" s="4">
        <v>0</v>
      </c>
      <c r="T31" s="4">
        <v>0</v>
      </c>
      <c r="W31" s="5" t="s">
        <v>67</v>
      </c>
      <c r="X31" s="5" t="s">
        <v>67</v>
      </c>
      <c r="Y31" s="4">
        <v>188</v>
      </c>
      <c r="Z31" s="4">
        <v>11</v>
      </c>
      <c r="AA31" s="4">
        <v>13</v>
      </c>
      <c r="AB31" s="4">
        <v>2</v>
      </c>
      <c r="AC31" s="4">
        <v>4</v>
      </c>
      <c r="AD31" s="4">
        <v>82</v>
      </c>
      <c r="AE31" s="4">
        <v>85</v>
      </c>
      <c r="AF31" s="4">
        <v>0</v>
      </c>
      <c r="AG31" s="4">
        <v>2</v>
      </c>
      <c r="AH31" s="4">
        <v>77</v>
      </c>
      <c r="AI31" s="4">
        <v>79</v>
      </c>
      <c r="AJ31" s="4">
        <v>9</v>
      </c>
      <c r="AK31" s="4">
        <v>11</v>
      </c>
      <c r="AL31" s="4">
        <v>46</v>
      </c>
      <c r="AM31" s="4">
        <v>47</v>
      </c>
      <c r="AN31" s="4">
        <v>0</v>
      </c>
      <c r="AO31" s="4">
        <v>0</v>
      </c>
      <c r="AP31" s="4">
        <v>8</v>
      </c>
      <c r="AQ31" s="4">
        <v>10</v>
      </c>
      <c r="AR31" s="3" t="s">
        <v>62</v>
      </c>
      <c r="AS31" s="3" t="s">
        <v>62</v>
      </c>
      <c r="AT31" s="3" t="s">
        <v>62</v>
      </c>
      <c r="AV31" s="6" t="str">
        <f>HYPERLINK("http://mcgill.on.worldcat.org/oclc/568977","Catalog Record")</f>
        <v>Catalog Record</v>
      </c>
      <c r="AW31" s="6" t="str">
        <f>HYPERLINK("http://www.worldcat.org/oclc/568977","WorldCat Record")</f>
        <v>WorldCat Record</v>
      </c>
      <c r="AX31" s="3" t="s">
        <v>65668</v>
      </c>
      <c r="AY31" s="3" t="s">
        <v>65669</v>
      </c>
      <c r="AZ31" s="3" t="s">
        <v>65670</v>
      </c>
      <c r="BA31" s="3" t="s">
        <v>65670</v>
      </c>
      <c r="BB31" s="3" t="s">
        <v>65671</v>
      </c>
      <c r="BC31" s="3" t="s">
        <v>142</v>
      </c>
      <c r="BD31" s="3" t="s">
        <v>68</v>
      </c>
      <c r="BF31" s="3" t="s">
        <v>65671</v>
      </c>
      <c r="BG31" s="3" t="s">
        <v>65672</v>
      </c>
    </row>
    <row r="32" spans="1:59" ht="71.25" x14ac:dyDescent="0.45">
      <c r="A32" s="2" t="s">
        <v>59</v>
      </c>
      <c r="B32" s="2" t="s">
        <v>60</v>
      </c>
      <c r="C32" s="2" t="s">
        <v>65673</v>
      </c>
      <c r="D32" s="2" t="s">
        <v>65674</v>
      </c>
      <c r="E32" s="2" t="s">
        <v>65675</v>
      </c>
      <c r="F32" s="3" t="s">
        <v>65676</v>
      </c>
      <c r="G32" s="3" t="s">
        <v>62</v>
      </c>
      <c r="I32" s="3" t="s">
        <v>62</v>
      </c>
      <c r="J32" s="3" t="s">
        <v>62</v>
      </c>
      <c r="K32" s="3" t="s">
        <v>63</v>
      </c>
      <c r="L32" s="2" t="s">
        <v>42465</v>
      </c>
      <c r="M32" s="2" t="s">
        <v>65677</v>
      </c>
      <c r="N32" s="3" t="s">
        <v>419</v>
      </c>
      <c r="P32" s="3" t="s">
        <v>65</v>
      </c>
      <c r="Q32" s="2" t="s">
        <v>65678</v>
      </c>
      <c r="R32" s="3" t="s">
        <v>66</v>
      </c>
      <c r="S32" s="4">
        <v>1</v>
      </c>
      <c r="T32" s="4">
        <v>1</v>
      </c>
      <c r="U32" s="5" t="s">
        <v>65679</v>
      </c>
      <c r="V32" s="5" t="s">
        <v>65679</v>
      </c>
      <c r="W32" s="5" t="s">
        <v>67</v>
      </c>
      <c r="X32" s="5" t="s">
        <v>67</v>
      </c>
      <c r="Y32" s="4">
        <v>192</v>
      </c>
      <c r="Z32" s="4">
        <v>17</v>
      </c>
      <c r="AA32" s="4">
        <v>19</v>
      </c>
      <c r="AB32" s="4">
        <v>2</v>
      </c>
      <c r="AC32" s="4">
        <v>3</v>
      </c>
      <c r="AD32" s="4">
        <v>90</v>
      </c>
      <c r="AE32" s="4">
        <v>92</v>
      </c>
      <c r="AF32" s="4">
        <v>0</v>
      </c>
      <c r="AG32" s="4">
        <v>1</v>
      </c>
      <c r="AH32" s="4">
        <v>84</v>
      </c>
      <c r="AI32" s="4">
        <v>85</v>
      </c>
      <c r="AJ32" s="4">
        <v>13</v>
      </c>
      <c r="AK32" s="4">
        <v>15</v>
      </c>
      <c r="AL32" s="4">
        <v>49</v>
      </c>
      <c r="AM32" s="4">
        <v>49</v>
      </c>
      <c r="AN32" s="4">
        <v>0</v>
      </c>
      <c r="AO32" s="4">
        <v>0</v>
      </c>
      <c r="AP32" s="4">
        <v>14</v>
      </c>
      <c r="AQ32" s="4">
        <v>15</v>
      </c>
      <c r="AR32" s="3" t="s">
        <v>62</v>
      </c>
      <c r="AS32" s="3" t="s">
        <v>62</v>
      </c>
      <c r="AT32" s="3" t="s">
        <v>62</v>
      </c>
      <c r="AV32" s="6" t="str">
        <f>HYPERLINK("http://mcgill.on.worldcat.org/oclc/897343","Catalog Record")</f>
        <v>Catalog Record</v>
      </c>
      <c r="AW32" s="6" t="str">
        <f>HYPERLINK("http://www.worldcat.org/oclc/897343","WorldCat Record")</f>
        <v>WorldCat Record</v>
      </c>
      <c r="AX32" s="3" t="s">
        <v>65680</v>
      </c>
      <c r="AY32" s="3" t="s">
        <v>65681</v>
      </c>
      <c r="AZ32" s="3" t="s">
        <v>65682</v>
      </c>
      <c r="BA32" s="3" t="s">
        <v>65682</v>
      </c>
      <c r="BB32" s="3" t="s">
        <v>65683</v>
      </c>
      <c r="BC32" s="3" t="s">
        <v>142</v>
      </c>
      <c r="BD32" s="3" t="s">
        <v>68</v>
      </c>
      <c r="BF32" s="3" t="s">
        <v>65683</v>
      </c>
      <c r="BG32" s="3" t="s">
        <v>65684</v>
      </c>
    </row>
    <row r="33" spans="1:59" ht="71.25" x14ac:dyDescent="0.45">
      <c r="A33" s="2" t="s">
        <v>59</v>
      </c>
      <c r="B33" s="2" t="s">
        <v>60</v>
      </c>
      <c r="C33" s="2" t="s">
        <v>65685</v>
      </c>
      <c r="D33" s="2" t="s">
        <v>65686</v>
      </c>
      <c r="E33" s="2" t="s">
        <v>65687</v>
      </c>
      <c r="F33" s="3" t="s">
        <v>65688</v>
      </c>
      <c r="G33" s="3" t="s">
        <v>62</v>
      </c>
      <c r="I33" s="3" t="s">
        <v>62</v>
      </c>
      <c r="J33" s="3" t="s">
        <v>62</v>
      </c>
      <c r="K33" s="3" t="s">
        <v>63</v>
      </c>
      <c r="L33" s="2" t="s">
        <v>65689</v>
      </c>
      <c r="M33" s="2" t="s">
        <v>65644</v>
      </c>
      <c r="N33" s="3" t="s">
        <v>833</v>
      </c>
      <c r="P33" s="3" t="s">
        <v>65</v>
      </c>
      <c r="Q33" s="2" t="s">
        <v>65690</v>
      </c>
      <c r="R33" s="3" t="s">
        <v>66</v>
      </c>
      <c r="S33" s="4">
        <v>0</v>
      </c>
      <c r="T33" s="4">
        <v>0</v>
      </c>
      <c r="W33" s="5" t="s">
        <v>67</v>
      </c>
      <c r="X33" s="5" t="s">
        <v>67</v>
      </c>
      <c r="Y33" s="4">
        <v>107</v>
      </c>
      <c r="Z33" s="4">
        <v>8</v>
      </c>
      <c r="AA33" s="4">
        <v>8</v>
      </c>
      <c r="AB33" s="4">
        <v>2</v>
      </c>
      <c r="AC33" s="4">
        <v>2</v>
      </c>
      <c r="AD33" s="4">
        <v>68</v>
      </c>
      <c r="AE33" s="4">
        <v>68</v>
      </c>
      <c r="AF33" s="4">
        <v>0</v>
      </c>
      <c r="AG33" s="4">
        <v>0</v>
      </c>
      <c r="AH33" s="4">
        <v>64</v>
      </c>
      <c r="AI33" s="4">
        <v>64</v>
      </c>
      <c r="AJ33" s="4">
        <v>6</v>
      </c>
      <c r="AK33" s="4">
        <v>6</v>
      </c>
      <c r="AL33" s="4">
        <v>42</v>
      </c>
      <c r="AM33" s="4">
        <v>42</v>
      </c>
      <c r="AN33" s="4">
        <v>0</v>
      </c>
      <c r="AO33" s="4">
        <v>0</v>
      </c>
      <c r="AP33" s="4">
        <v>6</v>
      </c>
      <c r="AQ33" s="4">
        <v>6</v>
      </c>
      <c r="AR33" s="3" t="s">
        <v>62</v>
      </c>
      <c r="AS33" s="3" t="s">
        <v>62</v>
      </c>
      <c r="AT33" s="3" t="s">
        <v>62</v>
      </c>
      <c r="AU33" s="6" t="str">
        <f>HYPERLINK("http://catalog.hathitrust.org/Record/001637774","HathiTrust Record")</f>
        <v>HathiTrust Record</v>
      </c>
      <c r="AV33" s="6" t="str">
        <f>HYPERLINK("http://mcgill.on.worldcat.org/oclc/4754061","Catalog Record")</f>
        <v>Catalog Record</v>
      </c>
      <c r="AW33" s="6" t="str">
        <f>HYPERLINK("http://www.worldcat.org/oclc/4754061","WorldCat Record")</f>
        <v>WorldCat Record</v>
      </c>
      <c r="AX33" s="3" t="s">
        <v>65691</v>
      </c>
      <c r="AY33" s="3" t="s">
        <v>65692</v>
      </c>
      <c r="AZ33" s="3" t="s">
        <v>65693</v>
      </c>
      <c r="BA33" s="3" t="s">
        <v>65693</v>
      </c>
      <c r="BB33" s="3" t="s">
        <v>65694</v>
      </c>
      <c r="BC33" s="3" t="s">
        <v>142</v>
      </c>
      <c r="BD33" s="3" t="s">
        <v>68</v>
      </c>
      <c r="BF33" s="3" t="s">
        <v>65694</v>
      </c>
      <c r="BG33" s="3" t="s">
        <v>65695</v>
      </c>
    </row>
    <row r="34" spans="1:59" ht="71.25" x14ac:dyDescent="0.45">
      <c r="A34" s="2" t="s">
        <v>59</v>
      </c>
      <c r="B34" s="2" t="s">
        <v>60</v>
      </c>
      <c r="C34" s="2" t="s">
        <v>256</v>
      </c>
      <c r="D34" s="2" t="s">
        <v>257</v>
      </c>
      <c r="E34" s="2" t="s">
        <v>258</v>
      </c>
      <c r="F34" s="3" t="s">
        <v>259</v>
      </c>
      <c r="G34" s="3" t="s">
        <v>62</v>
      </c>
      <c r="I34" s="3" t="s">
        <v>62</v>
      </c>
      <c r="J34" s="3" t="s">
        <v>62</v>
      </c>
      <c r="K34" s="3" t="s">
        <v>63</v>
      </c>
      <c r="L34" s="2" t="s">
        <v>260</v>
      </c>
      <c r="M34" s="2" t="s">
        <v>261</v>
      </c>
      <c r="N34" s="3" t="s">
        <v>127</v>
      </c>
      <c r="P34" s="3" t="s">
        <v>65</v>
      </c>
      <c r="Q34" s="2" t="s">
        <v>262</v>
      </c>
      <c r="R34" s="3" t="s">
        <v>66</v>
      </c>
      <c r="S34" s="4">
        <v>1</v>
      </c>
      <c r="T34" s="4">
        <v>1</v>
      </c>
      <c r="U34" s="5" t="s">
        <v>263</v>
      </c>
      <c r="V34" s="5" t="s">
        <v>263</v>
      </c>
      <c r="W34" s="5" t="s">
        <v>67</v>
      </c>
      <c r="X34" s="5" t="s">
        <v>67</v>
      </c>
      <c r="Y34" s="4">
        <v>213</v>
      </c>
      <c r="Z34" s="4">
        <v>13</v>
      </c>
      <c r="AA34" s="4">
        <v>14</v>
      </c>
      <c r="AB34" s="4">
        <v>2</v>
      </c>
      <c r="AC34" s="4">
        <v>2</v>
      </c>
      <c r="AD34" s="4">
        <v>86</v>
      </c>
      <c r="AE34" s="4">
        <v>88</v>
      </c>
      <c r="AF34" s="4">
        <v>0</v>
      </c>
      <c r="AG34" s="4">
        <v>0</v>
      </c>
      <c r="AH34" s="4">
        <v>80</v>
      </c>
      <c r="AI34" s="4">
        <v>81</v>
      </c>
      <c r="AJ34" s="4">
        <v>10</v>
      </c>
      <c r="AK34" s="4">
        <v>11</v>
      </c>
      <c r="AL34" s="4">
        <v>46</v>
      </c>
      <c r="AM34" s="4">
        <v>46</v>
      </c>
      <c r="AN34" s="4">
        <v>0</v>
      </c>
      <c r="AO34" s="4">
        <v>0</v>
      </c>
      <c r="AP34" s="4">
        <v>10</v>
      </c>
      <c r="AQ34" s="4">
        <v>11</v>
      </c>
      <c r="AR34" s="3" t="s">
        <v>62</v>
      </c>
      <c r="AS34" s="3" t="s">
        <v>62</v>
      </c>
      <c r="AT34" s="3" t="s">
        <v>62</v>
      </c>
      <c r="AV34" s="6" t="str">
        <f>HYPERLINK("http://mcgill.on.worldcat.org/oclc/9426","Catalog Record")</f>
        <v>Catalog Record</v>
      </c>
      <c r="AW34" s="6" t="str">
        <f>HYPERLINK("http://www.worldcat.org/oclc/9426","WorldCat Record")</f>
        <v>WorldCat Record</v>
      </c>
      <c r="AX34" s="3" t="s">
        <v>264</v>
      </c>
      <c r="AY34" s="3" t="s">
        <v>265</v>
      </c>
      <c r="AZ34" s="3" t="s">
        <v>266</v>
      </c>
      <c r="BA34" s="3" t="s">
        <v>266</v>
      </c>
      <c r="BB34" s="3" t="s">
        <v>267</v>
      </c>
      <c r="BC34" s="3" t="s">
        <v>142</v>
      </c>
      <c r="BD34" s="3" t="s">
        <v>68</v>
      </c>
      <c r="BF34" s="3" t="s">
        <v>267</v>
      </c>
      <c r="BG34" s="3" t="s">
        <v>268</v>
      </c>
    </row>
    <row r="35" spans="1:59" ht="71.25" x14ac:dyDescent="0.45">
      <c r="A35" s="2" t="s">
        <v>59</v>
      </c>
      <c r="B35" s="2" t="s">
        <v>60</v>
      </c>
      <c r="C35" s="2" t="s">
        <v>65696</v>
      </c>
      <c r="D35" s="2" t="s">
        <v>65697</v>
      </c>
      <c r="E35" s="2" t="s">
        <v>65698</v>
      </c>
      <c r="F35" s="3" t="s">
        <v>65699</v>
      </c>
      <c r="G35" s="3" t="s">
        <v>62</v>
      </c>
      <c r="I35" s="3" t="s">
        <v>61</v>
      </c>
      <c r="J35" s="3" t="s">
        <v>62</v>
      </c>
      <c r="K35" s="3" t="s">
        <v>63</v>
      </c>
      <c r="L35" s="2" t="s">
        <v>43423</v>
      </c>
      <c r="M35" s="2" t="s">
        <v>48420</v>
      </c>
      <c r="N35" s="3" t="s">
        <v>16907</v>
      </c>
      <c r="P35" s="3" t="s">
        <v>65</v>
      </c>
      <c r="Q35" s="2" t="s">
        <v>65700</v>
      </c>
      <c r="R35" s="3" t="s">
        <v>66</v>
      </c>
      <c r="S35" s="4">
        <v>0</v>
      </c>
      <c r="T35" s="4">
        <v>0</v>
      </c>
      <c r="W35" s="5" t="s">
        <v>67</v>
      </c>
      <c r="X35" s="5" t="s">
        <v>67</v>
      </c>
      <c r="Y35" s="4">
        <v>203</v>
      </c>
      <c r="Z35" s="4">
        <v>13</v>
      </c>
      <c r="AA35" s="4">
        <v>14</v>
      </c>
      <c r="AB35" s="4">
        <v>3</v>
      </c>
      <c r="AC35" s="4">
        <v>3</v>
      </c>
      <c r="AD35" s="4">
        <v>86</v>
      </c>
      <c r="AE35" s="4">
        <v>87</v>
      </c>
      <c r="AF35" s="4">
        <v>1</v>
      </c>
      <c r="AG35" s="4">
        <v>1</v>
      </c>
      <c r="AH35" s="4">
        <v>79</v>
      </c>
      <c r="AI35" s="4">
        <v>79</v>
      </c>
      <c r="AJ35" s="4">
        <v>9</v>
      </c>
      <c r="AK35" s="4">
        <v>10</v>
      </c>
      <c r="AL35" s="4">
        <v>46</v>
      </c>
      <c r="AM35" s="4">
        <v>46</v>
      </c>
      <c r="AN35" s="4">
        <v>0</v>
      </c>
      <c r="AO35" s="4">
        <v>0</v>
      </c>
      <c r="AP35" s="4">
        <v>11</v>
      </c>
      <c r="AQ35" s="4">
        <v>11</v>
      </c>
      <c r="AR35" s="3" t="s">
        <v>62</v>
      </c>
      <c r="AS35" s="3" t="s">
        <v>62</v>
      </c>
      <c r="AT35" s="3" t="s">
        <v>62</v>
      </c>
      <c r="AV35" s="6" t="str">
        <f>HYPERLINK("http://mcgill.on.worldcat.org/oclc/5127732","Catalog Record")</f>
        <v>Catalog Record</v>
      </c>
      <c r="AW35" s="6" t="str">
        <f>HYPERLINK("http://www.worldcat.org/oclc/5127732","WorldCat Record")</f>
        <v>WorldCat Record</v>
      </c>
      <c r="AX35" s="3" t="s">
        <v>65701</v>
      </c>
      <c r="AY35" s="3" t="s">
        <v>65702</v>
      </c>
      <c r="AZ35" s="3" t="s">
        <v>65703</v>
      </c>
      <c r="BA35" s="3" t="s">
        <v>65703</v>
      </c>
      <c r="BB35" s="3" t="s">
        <v>65704</v>
      </c>
      <c r="BC35" s="3" t="s">
        <v>142</v>
      </c>
      <c r="BD35" s="3" t="s">
        <v>68</v>
      </c>
      <c r="BF35" s="3" t="s">
        <v>65704</v>
      </c>
      <c r="BG35" s="3" t="s">
        <v>65705</v>
      </c>
    </row>
    <row r="36" spans="1:59" ht="71.25" x14ac:dyDescent="0.45">
      <c r="A36" s="2" t="s">
        <v>59</v>
      </c>
      <c r="B36" s="2" t="s">
        <v>60</v>
      </c>
      <c r="C36" s="2" t="s">
        <v>65696</v>
      </c>
      <c r="D36" s="2" t="s">
        <v>65697</v>
      </c>
      <c r="E36" s="2" t="s">
        <v>65698</v>
      </c>
      <c r="F36" s="3" t="s">
        <v>65699</v>
      </c>
      <c r="G36" s="3" t="s">
        <v>62</v>
      </c>
      <c r="I36" s="3" t="s">
        <v>61</v>
      </c>
      <c r="J36" s="3" t="s">
        <v>62</v>
      </c>
      <c r="K36" s="3" t="s">
        <v>63</v>
      </c>
      <c r="L36" s="2" t="s">
        <v>43423</v>
      </c>
      <c r="M36" s="2" t="s">
        <v>48420</v>
      </c>
      <c r="N36" s="3" t="s">
        <v>16907</v>
      </c>
      <c r="P36" s="3" t="s">
        <v>65</v>
      </c>
      <c r="Q36" s="2" t="s">
        <v>65700</v>
      </c>
      <c r="R36" s="3" t="s">
        <v>66</v>
      </c>
      <c r="S36" s="4">
        <v>0</v>
      </c>
      <c r="T36" s="4">
        <v>0</v>
      </c>
      <c r="W36" s="5" t="s">
        <v>67</v>
      </c>
      <c r="X36" s="5" t="s">
        <v>67</v>
      </c>
      <c r="Y36" s="4">
        <v>203</v>
      </c>
      <c r="Z36" s="4">
        <v>13</v>
      </c>
      <c r="AA36" s="4">
        <v>14</v>
      </c>
      <c r="AB36" s="4">
        <v>3</v>
      </c>
      <c r="AC36" s="4">
        <v>3</v>
      </c>
      <c r="AD36" s="4">
        <v>86</v>
      </c>
      <c r="AE36" s="4">
        <v>87</v>
      </c>
      <c r="AF36" s="4">
        <v>1</v>
      </c>
      <c r="AG36" s="4">
        <v>1</v>
      </c>
      <c r="AH36" s="4">
        <v>79</v>
      </c>
      <c r="AI36" s="4">
        <v>79</v>
      </c>
      <c r="AJ36" s="4">
        <v>9</v>
      </c>
      <c r="AK36" s="4">
        <v>10</v>
      </c>
      <c r="AL36" s="4">
        <v>46</v>
      </c>
      <c r="AM36" s="4">
        <v>46</v>
      </c>
      <c r="AN36" s="4">
        <v>0</v>
      </c>
      <c r="AO36" s="4">
        <v>0</v>
      </c>
      <c r="AP36" s="4">
        <v>11</v>
      </c>
      <c r="AQ36" s="4">
        <v>11</v>
      </c>
      <c r="AR36" s="3" t="s">
        <v>62</v>
      </c>
      <c r="AS36" s="3" t="s">
        <v>62</v>
      </c>
      <c r="AT36" s="3" t="s">
        <v>62</v>
      </c>
      <c r="AV36" s="6" t="str">
        <f>HYPERLINK("http://mcgill.on.worldcat.org/oclc/5127732","Catalog Record")</f>
        <v>Catalog Record</v>
      </c>
      <c r="AW36" s="6" t="str">
        <f>HYPERLINK("http://www.worldcat.org/oclc/5127732","WorldCat Record")</f>
        <v>WorldCat Record</v>
      </c>
      <c r="AX36" s="3" t="s">
        <v>65701</v>
      </c>
      <c r="AY36" s="3" t="s">
        <v>65702</v>
      </c>
      <c r="AZ36" s="3" t="s">
        <v>65703</v>
      </c>
      <c r="BA36" s="3" t="s">
        <v>65703</v>
      </c>
      <c r="BB36" s="3" t="s">
        <v>65706</v>
      </c>
      <c r="BC36" s="3" t="s">
        <v>142</v>
      </c>
      <c r="BD36" s="3" t="s">
        <v>68</v>
      </c>
      <c r="BF36" s="3" t="s">
        <v>65706</v>
      </c>
      <c r="BG36" s="3" t="s">
        <v>65707</v>
      </c>
    </row>
    <row r="37" spans="1:59" ht="71.25" x14ac:dyDescent="0.45">
      <c r="A37" s="2" t="s">
        <v>59</v>
      </c>
      <c r="B37" s="2" t="s">
        <v>60</v>
      </c>
      <c r="C37" s="2" t="s">
        <v>65708</v>
      </c>
      <c r="D37" s="2" t="s">
        <v>65709</v>
      </c>
      <c r="E37" s="2" t="s">
        <v>65710</v>
      </c>
      <c r="F37" s="3" t="s">
        <v>65711</v>
      </c>
      <c r="G37" s="3" t="s">
        <v>62</v>
      </c>
      <c r="I37" s="3" t="s">
        <v>62</v>
      </c>
      <c r="J37" s="3" t="s">
        <v>62</v>
      </c>
      <c r="K37" s="3" t="s">
        <v>63</v>
      </c>
      <c r="L37" s="2" t="s">
        <v>65712</v>
      </c>
      <c r="M37" s="2" t="s">
        <v>65713</v>
      </c>
      <c r="N37" s="3" t="s">
        <v>16907</v>
      </c>
      <c r="P37" s="3" t="s">
        <v>65</v>
      </c>
      <c r="Q37" s="2" t="s">
        <v>65714</v>
      </c>
      <c r="R37" s="3" t="s">
        <v>66</v>
      </c>
      <c r="S37" s="4">
        <v>2</v>
      </c>
      <c r="T37" s="4">
        <v>2</v>
      </c>
      <c r="U37" s="5" t="s">
        <v>65715</v>
      </c>
      <c r="V37" s="5" t="s">
        <v>65715</v>
      </c>
      <c r="W37" s="5" t="s">
        <v>67</v>
      </c>
      <c r="X37" s="5" t="s">
        <v>67</v>
      </c>
      <c r="Y37" s="4">
        <v>208</v>
      </c>
      <c r="Z37" s="4">
        <v>13</v>
      </c>
      <c r="AA37" s="4">
        <v>16</v>
      </c>
      <c r="AB37" s="4">
        <v>2</v>
      </c>
      <c r="AC37" s="4">
        <v>4</v>
      </c>
      <c r="AD37" s="4">
        <v>92</v>
      </c>
      <c r="AE37" s="4">
        <v>95</v>
      </c>
      <c r="AF37" s="4">
        <v>0</v>
      </c>
      <c r="AG37" s="4">
        <v>2</v>
      </c>
      <c r="AH37" s="4">
        <v>86</v>
      </c>
      <c r="AI37" s="4">
        <v>87</v>
      </c>
      <c r="AJ37" s="4">
        <v>10</v>
      </c>
      <c r="AK37" s="4">
        <v>13</v>
      </c>
      <c r="AL37" s="4">
        <v>50</v>
      </c>
      <c r="AM37" s="4">
        <v>50</v>
      </c>
      <c r="AN37" s="4">
        <v>0</v>
      </c>
      <c r="AO37" s="4">
        <v>0</v>
      </c>
      <c r="AP37" s="4">
        <v>11</v>
      </c>
      <c r="AQ37" s="4">
        <v>13</v>
      </c>
      <c r="AR37" s="3" t="s">
        <v>62</v>
      </c>
      <c r="AS37" s="3" t="s">
        <v>62</v>
      </c>
      <c r="AT37" s="3" t="s">
        <v>62</v>
      </c>
      <c r="AV37" s="6" t="str">
        <f>HYPERLINK("http://mcgill.on.worldcat.org/oclc/76026","Catalog Record")</f>
        <v>Catalog Record</v>
      </c>
      <c r="AW37" s="6" t="str">
        <f>HYPERLINK("http://www.worldcat.org/oclc/76026","WorldCat Record")</f>
        <v>WorldCat Record</v>
      </c>
      <c r="AX37" s="3" t="s">
        <v>65716</v>
      </c>
      <c r="AY37" s="3" t="s">
        <v>65717</v>
      </c>
      <c r="AZ37" s="3" t="s">
        <v>65718</v>
      </c>
      <c r="BA37" s="3" t="s">
        <v>65718</v>
      </c>
      <c r="BB37" s="3" t="s">
        <v>65719</v>
      </c>
      <c r="BC37" s="3" t="s">
        <v>142</v>
      </c>
      <c r="BD37" s="3" t="s">
        <v>68</v>
      </c>
      <c r="BF37" s="3" t="s">
        <v>65719</v>
      </c>
      <c r="BG37" s="3" t="s">
        <v>65720</v>
      </c>
    </row>
    <row r="38" spans="1:59" ht="71.25" x14ac:dyDescent="0.45">
      <c r="A38" s="2" t="s">
        <v>59</v>
      </c>
      <c r="B38" s="2" t="s">
        <v>60</v>
      </c>
      <c r="C38" s="2" t="s">
        <v>65721</v>
      </c>
      <c r="D38" s="2" t="s">
        <v>65722</v>
      </c>
      <c r="E38" s="2" t="s">
        <v>65723</v>
      </c>
      <c r="F38" s="3" t="s">
        <v>65724</v>
      </c>
      <c r="G38" s="3" t="s">
        <v>62</v>
      </c>
      <c r="I38" s="3" t="s">
        <v>62</v>
      </c>
      <c r="J38" s="3" t="s">
        <v>62</v>
      </c>
      <c r="K38" s="3" t="s">
        <v>63</v>
      </c>
      <c r="L38" s="2" t="s">
        <v>65725</v>
      </c>
      <c r="M38" s="2" t="s">
        <v>65726</v>
      </c>
      <c r="N38" s="3" t="s">
        <v>65727</v>
      </c>
      <c r="P38" s="3" t="s">
        <v>65</v>
      </c>
      <c r="Q38" s="2" t="s">
        <v>65728</v>
      </c>
      <c r="R38" s="3" t="s">
        <v>66</v>
      </c>
      <c r="S38" s="4">
        <v>0</v>
      </c>
      <c r="T38" s="4">
        <v>0</v>
      </c>
      <c r="W38" s="5" t="s">
        <v>67</v>
      </c>
      <c r="X38" s="5" t="s">
        <v>67</v>
      </c>
      <c r="Y38" s="4">
        <v>97</v>
      </c>
      <c r="Z38" s="4">
        <v>6</v>
      </c>
      <c r="AA38" s="4">
        <v>6</v>
      </c>
      <c r="AB38" s="4">
        <v>2</v>
      </c>
      <c r="AC38" s="4">
        <v>2</v>
      </c>
      <c r="AD38" s="4">
        <v>65</v>
      </c>
      <c r="AE38" s="4">
        <v>65</v>
      </c>
      <c r="AF38" s="4">
        <v>0</v>
      </c>
      <c r="AG38" s="4">
        <v>0</v>
      </c>
      <c r="AH38" s="4">
        <v>62</v>
      </c>
      <c r="AI38" s="4">
        <v>62</v>
      </c>
      <c r="AJ38" s="4">
        <v>4</v>
      </c>
      <c r="AK38" s="4">
        <v>4</v>
      </c>
      <c r="AL38" s="4">
        <v>42</v>
      </c>
      <c r="AM38" s="4">
        <v>42</v>
      </c>
      <c r="AN38" s="4">
        <v>5</v>
      </c>
      <c r="AO38" s="4">
        <v>5</v>
      </c>
      <c r="AP38" s="4">
        <v>4</v>
      </c>
      <c r="AQ38" s="4">
        <v>4</v>
      </c>
      <c r="AR38" s="3" t="s">
        <v>62</v>
      </c>
      <c r="AS38" s="3" t="s">
        <v>62</v>
      </c>
      <c r="AT38" s="3" t="s">
        <v>62</v>
      </c>
      <c r="AU38" s="6" t="str">
        <f>HYPERLINK("http://catalog.hathitrust.org/Record/101850262","HathiTrust Record")</f>
        <v>HathiTrust Record</v>
      </c>
      <c r="AV38" s="6" t="str">
        <f>HYPERLINK("http://mcgill.on.worldcat.org/oclc/5015501","Catalog Record")</f>
        <v>Catalog Record</v>
      </c>
      <c r="AW38" s="6" t="str">
        <f>HYPERLINK("http://www.worldcat.org/oclc/5015501","WorldCat Record")</f>
        <v>WorldCat Record</v>
      </c>
      <c r="AX38" s="3" t="s">
        <v>65729</v>
      </c>
      <c r="AY38" s="3" t="s">
        <v>65730</v>
      </c>
      <c r="AZ38" s="3" t="s">
        <v>65731</v>
      </c>
      <c r="BA38" s="3" t="s">
        <v>65731</v>
      </c>
      <c r="BB38" s="3" t="s">
        <v>65732</v>
      </c>
      <c r="BC38" s="3" t="s">
        <v>142</v>
      </c>
      <c r="BD38" s="3" t="s">
        <v>68</v>
      </c>
      <c r="BF38" s="3" t="s">
        <v>65732</v>
      </c>
      <c r="BG38" s="3" t="s">
        <v>65733</v>
      </c>
    </row>
    <row r="39" spans="1:59" ht="71.25" x14ac:dyDescent="0.45">
      <c r="A39" s="2" t="s">
        <v>59</v>
      </c>
      <c r="B39" s="2" t="s">
        <v>60</v>
      </c>
      <c r="C39" s="2" t="s">
        <v>65734</v>
      </c>
      <c r="D39" s="2" t="s">
        <v>65735</v>
      </c>
      <c r="E39" s="2" t="s">
        <v>65501</v>
      </c>
      <c r="F39" s="3" t="s">
        <v>65736</v>
      </c>
      <c r="G39" s="3" t="s">
        <v>62</v>
      </c>
      <c r="I39" s="3" t="s">
        <v>62</v>
      </c>
      <c r="J39" s="3" t="s">
        <v>61</v>
      </c>
      <c r="K39" s="3" t="s">
        <v>63</v>
      </c>
      <c r="L39" s="2" t="s">
        <v>65503</v>
      </c>
      <c r="M39" s="2" t="s">
        <v>65737</v>
      </c>
      <c r="N39" s="3" t="s">
        <v>435</v>
      </c>
      <c r="P39" s="3" t="s">
        <v>65</v>
      </c>
      <c r="Q39" s="2" t="s">
        <v>65738</v>
      </c>
      <c r="R39" s="3" t="s">
        <v>66</v>
      </c>
      <c r="S39" s="4">
        <v>0</v>
      </c>
      <c r="T39" s="4">
        <v>0</v>
      </c>
      <c r="W39" s="5" t="s">
        <v>67</v>
      </c>
      <c r="X39" s="5" t="s">
        <v>67</v>
      </c>
      <c r="Y39" s="4">
        <v>289</v>
      </c>
      <c r="Z39" s="4">
        <v>15</v>
      </c>
      <c r="AA39" s="4">
        <v>20</v>
      </c>
      <c r="AB39" s="4">
        <v>1</v>
      </c>
      <c r="AC39" s="4">
        <v>3</v>
      </c>
      <c r="AD39" s="4">
        <v>98</v>
      </c>
      <c r="AE39" s="4">
        <v>103</v>
      </c>
      <c r="AF39" s="4">
        <v>0</v>
      </c>
      <c r="AG39" s="4">
        <v>1</v>
      </c>
      <c r="AH39" s="4">
        <v>88</v>
      </c>
      <c r="AI39" s="4">
        <v>90</v>
      </c>
      <c r="AJ39" s="4">
        <v>13</v>
      </c>
      <c r="AK39" s="4">
        <v>15</v>
      </c>
      <c r="AL39" s="4">
        <v>50</v>
      </c>
      <c r="AM39" s="4">
        <v>51</v>
      </c>
      <c r="AN39" s="4">
        <v>0</v>
      </c>
      <c r="AO39" s="4">
        <v>0</v>
      </c>
      <c r="AP39" s="4">
        <v>13</v>
      </c>
      <c r="AQ39" s="4">
        <v>17</v>
      </c>
      <c r="AR39" s="3" t="s">
        <v>62</v>
      </c>
      <c r="AS39" s="3" t="s">
        <v>62</v>
      </c>
      <c r="AT39" s="3" t="s">
        <v>62</v>
      </c>
      <c r="AV39" s="6" t="str">
        <f>HYPERLINK("http://mcgill.on.worldcat.org/oclc/94989","Catalog Record")</f>
        <v>Catalog Record</v>
      </c>
      <c r="AW39" s="6" t="str">
        <f>HYPERLINK("http://www.worldcat.org/oclc/94989","WorldCat Record")</f>
        <v>WorldCat Record</v>
      </c>
      <c r="AX39" s="3" t="s">
        <v>65507</v>
      </c>
      <c r="AY39" s="3" t="s">
        <v>65739</v>
      </c>
      <c r="AZ39" s="3" t="s">
        <v>65740</v>
      </c>
      <c r="BA39" s="3" t="s">
        <v>65740</v>
      </c>
      <c r="BB39" s="3" t="s">
        <v>65741</v>
      </c>
      <c r="BC39" s="3" t="s">
        <v>142</v>
      </c>
      <c r="BD39" s="3" t="s">
        <v>68</v>
      </c>
      <c r="BE39" s="3" t="s">
        <v>65742</v>
      </c>
      <c r="BF39" s="3" t="s">
        <v>65741</v>
      </c>
      <c r="BG39" s="3" t="s">
        <v>65743</v>
      </c>
    </row>
    <row r="40" spans="1:59" ht="71.25" x14ac:dyDescent="0.45">
      <c r="A40" s="2" t="s">
        <v>59</v>
      </c>
      <c r="B40" s="2" t="s">
        <v>60</v>
      </c>
      <c r="C40" s="2" t="s">
        <v>65744</v>
      </c>
      <c r="D40" s="2" t="s">
        <v>65745</v>
      </c>
      <c r="E40" s="2" t="s">
        <v>65746</v>
      </c>
      <c r="F40" s="3" t="s">
        <v>65747</v>
      </c>
      <c r="G40" s="3" t="s">
        <v>62</v>
      </c>
      <c r="I40" s="3" t="s">
        <v>62</v>
      </c>
      <c r="J40" s="3" t="s">
        <v>62</v>
      </c>
      <c r="K40" s="3" t="s">
        <v>63</v>
      </c>
      <c r="L40" s="2" t="s">
        <v>65748</v>
      </c>
      <c r="M40" s="2" t="s">
        <v>65492</v>
      </c>
      <c r="N40" s="3" t="s">
        <v>435</v>
      </c>
      <c r="P40" s="3" t="s">
        <v>65</v>
      </c>
      <c r="Q40" s="2" t="s">
        <v>65749</v>
      </c>
      <c r="R40" s="3" t="s">
        <v>66</v>
      </c>
      <c r="S40" s="4">
        <v>2</v>
      </c>
      <c r="T40" s="4">
        <v>2</v>
      </c>
      <c r="U40" s="5" t="s">
        <v>65715</v>
      </c>
      <c r="V40" s="5" t="s">
        <v>65715</v>
      </c>
      <c r="W40" s="5" t="s">
        <v>67</v>
      </c>
      <c r="X40" s="5" t="s">
        <v>67</v>
      </c>
      <c r="Y40" s="4">
        <v>229</v>
      </c>
      <c r="Z40" s="4">
        <v>16</v>
      </c>
      <c r="AA40" s="4">
        <v>16</v>
      </c>
      <c r="AB40" s="4">
        <v>2</v>
      </c>
      <c r="AC40" s="4">
        <v>2</v>
      </c>
      <c r="AD40" s="4">
        <v>100</v>
      </c>
      <c r="AE40" s="4">
        <v>102</v>
      </c>
      <c r="AF40" s="4">
        <v>0</v>
      </c>
      <c r="AG40" s="4">
        <v>0</v>
      </c>
      <c r="AH40" s="4">
        <v>92</v>
      </c>
      <c r="AI40" s="4">
        <v>93</v>
      </c>
      <c r="AJ40" s="4">
        <v>13</v>
      </c>
      <c r="AK40" s="4">
        <v>13</v>
      </c>
      <c r="AL40" s="4">
        <v>48</v>
      </c>
      <c r="AM40" s="4">
        <v>50</v>
      </c>
      <c r="AN40" s="4">
        <v>0</v>
      </c>
      <c r="AO40" s="4">
        <v>0</v>
      </c>
      <c r="AP40" s="4">
        <v>13</v>
      </c>
      <c r="AQ40" s="4">
        <v>13</v>
      </c>
      <c r="AR40" s="3" t="s">
        <v>62</v>
      </c>
      <c r="AS40" s="3" t="s">
        <v>62</v>
      </c>
      <c r="AT40" s="3" t="s">
        <v>61</v>
      </c>
      <c r="AU40" s="6" t="str">
        <f>HYPERLINK("http://catalog.hathitrust.org/Record/007127800","HathiTrust Record")</f>
        <v>HathiTrust Record</v>
      </c>
      <c r="AV40" s="6" t="str">
        <f>HYPERLINK("http://mcgill.on.worldcat.org/oclc/109625","Catalog Record")</f>
        <v>Catalog Record</v>
      </c>
      <c r="AW40" s="6" t="str">
        <f>HYPERLINK("http://www.worldcat.org/oclc/109625","WorldCat Record")</f>
        <v>WorldCat Record</v>
      </c>
      <c r="AX40" s="3" t="s">
        <v>65750</v>
      </c>
      <c r="AY40" s="3" t="s">
        <v>65751</v>
      </c>
      <c r="AZ40" s="3" t="s">
        <v>65752</v>
      </c>
      <c r="BA40" s="3" t="s">
        <v>65752</v>
      </c>
      <c r="BB40" s="3" t="s">
        <v>65753</v>
      </c>
      <c r="BC40" s="3" t="s">
        <v>142</v>
      </c>
      <c r="BD40" s="3" t="s">
        <v>68</v>
      </c>
      <c r="BE40" s="3" t="s">
        <v>65754</v>
      </c>
      <c r="BF40" s="3" t="s">
        <v>65753</v>
      </c>
      <c r="BG40" s="3" t="s">
        <v>65755</v>
      </c>
    </row>
    <row r="41" spans="1:59" ht="71.25" x14ac:dyDescent="0.45">
      <c r="A41" s="2" t="s">
        <v>59</v>
      </c>
      <c r="B41" s="2" t="s">
        <v>60</v>
      </c>
      <c r="C41" s="2" t="s">
        <v>269</v>
      </c>
      <c r="D41" s="2" t="s">
        <v>270</v>
      </c>
      <c r="E41" s="2" t="s">
        <v>271</v>
      </c>
      <c r="F41" s="3" t="s">
        <v>272</v>
      </c>
      <c r="G41" s="3" t="s">
        <v>62</v>
      </c>
      <c r="I41" s="3" t="s">
        <v>62</v>
      </c>
      <c r="J41" s="3" t="s">
        <v>62</v>
      </c>
      <c r="K41" s="3" t="s">
        <v>63</v>
      </c>
      <c r="L41" s="2" t="s">
        <v>273</v>
      </c>
      <c r="M41" s="2" t="s">
        <v>274</v>
      </c>
      <c r="N41" s="3" t="s">
        <v>220</v>
      </c>
      <c r="P41" s="3" t="s">
        <v>65</v>
      </c>
      <c r="Q41" s="2" t="s">
        <v>275</v>
      </c>
      <c r="R41" s="3" t="s">
        <v>66</v>
      </c>
      <c r="S41" s="4">
        <v>3</v>
      </c>
      <c r="T41" s="4">
        <v>3</v>
      </c>
      <c r="U41" s="5" t="s">
        <v>276</v>
      </c>
      <c r="V41" s="5" t="s">
        <v>276</v>
      </c>
      <c r="W41" s="5" t="s">
        <v>67</v>
      </c>
      <c r="X41" s="5" t="s">
        <v>67</v>
      </c>
      <c r="Y41" s="4">
        <v>295</v>
      </c>
      <c r="Z41" s="4">
        <v>18</v>
      </c>
      <c r="AA41" s="4">
        <v>18</v>
      </c>
      <c r="AB41" s="4">
        <v>2</v>
      </c>
      <c r="AC41" s="4">
        <v>2</v>
      </c>
      <c r="AD41" s="4">
        <v>100</v>
      </c>
      <c r="AE41" s="4">
        <v>100</v>
      </c>
      <c r="AF41" s="4">
        <v>0</v>
      </c>
      <c r="AG41" s="4">
        <v>0</v>
      </c>
      <c r="AH41" s="4">
        <v>90</v>
      </c>
      <c r="AI41" s="4">
        <v>90</v>
      </c>
      <c r="AJ41" s="4">
        <v>14</v>
      </c>
      <c r="AK41" s="4">
        <v>14</v>
      </c>
      <c r="AL41" s="4">
        <v>48</v>
      </c>
      <c r="AM41" s="4">
        <v>48</v>
      </c>
      <c r="AN41" s="4">
        <v>0</v>
      </c>
      <c r="AO41" s="4">
        <v>0</v>
      </c>
      <c r="AP41" s="4">
        <v>15</v>
      </c>
      <c r="AQ41" s="4">
        <v>15</v>
      </c>
      <c r="AR41" s="3" t="s">
        <v>62</v>
      </c>
      <c r="AS41" s="3" t="s">
        <v>62</v>
      </c>
      <c r="AT41" s="3" t="s">
        <v>62</v>
      </c>
      <c r="AV41" s="6" t="str">
        <f>HYPERLINK("http://mcgill.on.worldcat.org/oclc/348459","Catalog Record")</f>
        <v>Catalog Record</v>
      </c>
      <c r="AW41" s="6" t="str">
        <f>HYPERLINK("http://www.worldcat.org/oclc/348459","WorldCat Record")</f>
        <v>WorldCat Record</v>
      </c>
      <c r="AX41" s="3" t="s">
        <v>277</v>
      </c>
      <c r="AY41" s="3" t="s">
        <v>278</v>
      </c>
      <c r="AZ41" s="3" t="s">
        <v>279</v>
      </c>
      <c r="BA41" s="3" t="s">
        <v>279</v>
      </c>
      <c r="BB41" s="3" t="s">
        <v>280</v>
      </c>
      <c r="BC41" s="3" t="s">
        <v>142</v>
      </c>
      <c r="BD41" s="3" t="s">
        <v>68</v>
      </c>
      <c r="BE41" s="3" t="s">
        <v>281</v>
      </c>
      <c r="BF41" s="3" t="s">
        <v>280</v>
      </c>
      <c r="BG41" s="3" t="s">
        <v>282</v>
      </c>
    </row>
    <row r="42" spans="1:59" ht="71.25" x14ac:dyDescent="0.45">
      <c r="A42" s="2" t="s">
        <v>59</v>
      </c>
      <c r="B42" s="2" t="s">
        <v>60</v>
      </c>
      <c r="C42" s="2" t="s">
        <v>65756</v>
      </c>
      <c r="D42" s="2" t="s">
        <v>65757</v>
      </c>
      <c r="E42" s="2" t="s">
        <v>65758</v>
      </c>
      <c r="F42" s="3" t="s">
        <v>65759</v>
      </c>
      <c r="G42" s="3" t="s">
        <v>62</v>
      </c>
      <c r="I42" s="3" t="s">
        <v>61</v>
      </c>
      <c r="J42" s="3" t="s">
        <v>62</v>
      </c>
      <c r="K42" s="3" t="s">
        <v>63</v>
      </c>
      <c r="L42" s="2" t="s">
        <v>65760</v>
      </c>
      <c r="M42" s="2" t="s">
        <v>65761</v>
      </c>
      <c r="N42" s="3" t="s">
        <v>555</v>
      </c>
      <c r="P42" s="3" t="s">
        <v>65</v>
      </c>
      <c r="Q42" s="2" t="s">
        <v>65762</v>
      </c>
      <c r="R42" s="3" t="s">
        <v>66</v>
      </c>
      <c r="S42" s="4">
        <v>0</v>
      </c>
      <c r="T42" s="4">
        <v>0</v>
      </c>
      <c r="W42" s="5" t="s">
        <v>67</v>
      </c>
      <c r="X42" s="5" t="s">
        <v>67</v>
      </c>
      <c r="Y42" s="4">
        <v>230</v>
      </c>
      <c r="Z42" s="4">
        <v>19</v>
      </c>
      <c r="AA42" s="4">
        <v>21</v>
      </c>
      <c r="AB42" s="4">
        <v>2</v>
      </c>
      <c r="AC42" s="4">
        <v>4</v>
      </c>
      <c r="AD42" s="4">
        <v>96</v>
      </c>
      <c r="AE42" s="4">
        <v>98</v>
      </c>
      <c r="AF42" s="4">
        <v>0</v>
      </c>
      <c r="AG42" s="4">
        <v>2</v>
      </c>
      <c r="AH42" s="4">
        <v>87</v>
      </c>
      <c r="AI42" s="4">
        <v>88</v>
      </c>
      <c r="AJ42" s="4">
        <v>14</v>
      </c>
      <c r="AK42" s="4">
        <v>16</v>
      </c>
      <c r="AL42" s="4">
        <v>48</v>
      </c>
      <c r="AM42" s="4">
        <v>48</v>
      </c>
      <c r="AN42" s="4">
        <v>0</v>
      </c>
      <c r="AO42" s="4">
        <v>0</v>
      </c>
      <c r="AP42" s="4">
        <v>15</v>
      </c>
      <c r="AQ42" s="4">
        <v>17</v>
      </c>
      <c r="AR42" s="3" t="s">
        <v>62</v>
      </c>
      <c r="AS42" s="3" t="s">
        <v>62</v>
      </c>
      <c r="AT42" s="3" t="s">
        <v>62</v>
      </c>
      <c r="AV42" s="6" t="str">
        <f>HYPERLINK("http://mcgill.on.worldcat.org/oclc/869615","Catalog Record")</f>
        <v>Catalog Record</v>
      </c>
      <c r="AW42" s="6" t="str">
        <f>HYPERLINK("http://www.worldcat.org/oclc/869615","WorldCat Record")</f>
        <v>WorldCat Record</v>
      </c>
      <c r="AX42" s="3" t="s">
        <v>65763</v>
      </c>
      <c r="AY42" s="3" t="s">
        <v>65764</v>
      </c>
      <c r="AZ42" s="3" t="s">
        <v>65765</v>
      </c>
      <c r="BA42" s="3" t="s">
        <v>65765</v>
      </c>
      <c r="BB42" s="3" t="s">
        <v>65766</v>
      </c>
      <c r="BC42" s="3" t="s">
        <v>142</v>
      </c>
      <c r="BD42" s="3" t="s">
        <v>68</v>
      </c>
      <c r="BE42" s="3" t="s">
        <v>65767</v>
      </c>
      <c r="BF42" s="3" t="s">
        <v>65766</v>
      </c>
      <c r="BG42" s="3" t="s">
        <v>65768</v>
      </c>
    </row>
    <row r="43" spans="1:59" ht="71.25" x14ac:dyDescent="0.45">
      <c r="A43" s="2" t="s">
        <v>59</v>
      </c>
      <c r="B43" s="2" t="s">
        <v>60</v>
      </c>
      <c r="C43" s="2" t="s">
        <v>65756</v>
      </c>
      <c r="D43" s="2" t="s">
        <v>65757</v>
      </c>
      <c r="E43" s="2" t="s">
        <v>65758</v>
      </c>
      <c r="F43" s="3" t="s">
        <v>65769</v>
      </c>
      <c r="G43" s="3" t="s">
        <v>62</v>
      </c>
      <c r="I43" s="3" t="s">
        <v>61</v>
      </c>
      <c r="J43" s="3" t="s">
        <v>62</v>
      </c>
      <c r="K43" s="3" t="s">
        <v>63</v>
      </c>
      <c r="L43" s="2" t="s">
        <v>65760</v>
      </c>
      <c r="M43" s="2" t="s">
        <v>65761</v>
      </c>
      <c r="N43" s="3" t="s">
        <v>555</v>
      </c>
      <c r="P43" s="3" t="s">
        <v>65</v>
      </c>
      <c r="Q43" s="2" t="s">
        <v>65762</v>
      </c>
      <c r="R43" s="3" t="s">
        <v>66</v>
      </c>
      <c r="S43" s="4">
        <v>0</v>
      </c>
      <c r="T43" s="4">
        <v>0</v>
      </c>
      <c r="W43" s="5" t="s">
        <v>67</v>
      </c>
      <c r="X43" s="5" t="s">
        <v>67</v>
      </c>
      <c r="Y43" s="4">
        <v>230</v>
      </c>
      <c r="Z43" s="4">
        <v>19</v>
      </c>
      <c r="AA43" s="4">
        <v>21</v>
      </c>
      <c r="AB43" s="4">
        <v>2</v>
      </c>
      <c r="AC43" s="4">
        <v>4</v>
      </c>
      <c r="AD43" s="4">
        <v>96</v>
      </c>
      <c r="AE43" s="4">
        <v>98</v>
      </c>
      <c r="AF43" s="4">
        <v>0</v>
      </c>
      <c r="AG43" s="4">
        <v>2</v>
      </c>
      <c r="AH43" s="4">
        <v>87</v>
      </c>
      <c r="AI43" s="4">
        <v>88</v>
      </c>
      <c r="AJ43" s="4">
        <v>14</v>
      </c>
      <c r="AK43" s="4">
        <v>16</v>
      </c>
      <c r="AL43" s="4">
        <v>48</v>
      </c>
      <c r="AM43" s="4">
        <v>48</v>
      </c>
      <c r="AN43" s="4">
        <v>0</v>
      </c>
      <c r="AO43" s="4">
        <v>0</v>
      </c>
      <c r="AP43" s="4">
        <v>15</v>
      </c>
      <c r="AQ43" s="4">
        <v>17</v>
      </c>
      <c r="AR43" s="3" t="s">
        <v>62</v>
      </c>
      <c r="AS43" s="3" t="s">
        <v>62</v>
      </c>
      <c r="AT43" s="3" t="s">
        <v>62</v>
      </c>
      <c r="AV43" s="6" t="str">
        <f>HYPERLINK("http://mcgill.on.worldcat.org/oclc/869615","Catalog Record")</f>
        <v>Catalog Record</v>
      </c>
      <c r="AW43" s="6" t="str">
        <f>HYPERLINK("http://www.worldcat.org/oclc/869615","WorldCat Record")</f>
        <v>WorldCat Record</v>
      </c>
      <c r="AX43" s="3" t="s">
        <v>65763</v>
      </c>
      <c r="AY43" s="3" t="s">
        <v>65764</v>
      </c>
      <c r="AZ43" s="3" t="s">
        <v>65765</v>
      </c>
      <c r="BA43" s="3" t="s">
        <v>65765</v>
      </c>
      <c r="BB43" s="3" t="s">
        <v>65770</v>
      </c>
      <c r="BC43" s="3" t="s">
        <v>142</v>
      </c>
      <c r="BD43" s="3" t="s">
        <v>68</v>
      </c>
      <c r="BE43" s="3" t="s">
        <v>65767</v>
      </c>
      <c r="BF43" s="3" t="s">
        <v>65770</v>
      </c>
      <c r="BG43" s="3" t="s">
        <v>65771</v>
      </c>
    </row>
    <row r="44" spans="1:59" ht="71.25" x14ac:dyDescent="0.45">
      <c r="A44" s="2" t="s">
        <v>59</v>
      </c>
      <c r="B44" s="2" t="s">
        <v>60</v>
      </c>
      <c r="C44" s="2" t="s">
        <v>65772</v>
      </c>
      <c r="D44" s="2" t="s">
        <v>65773</v>
      </c>
      <c r="E44" s="2" t="s">
        <v>65774</v>
      </c>
      <c r="F44" s="3" t="s">
        <v>65775</v>
      </c>
      <c r="G44" s="3" t="s">
        <v>62</v>
      </c>
      <c r="I44" s="3" t="s">
        <v>62</v>
      </c>
      <c r="J44" s="3" t="s">
        <v>62</v>
      </c>
      <c r="K44" s="3" t="s">
        <v>63</v>
      </c>
      <c r="L44" s="2" t="s">
        <v>65776</v>
      </c>
      <c r="M44" s="2" t="s">
        <v>65777</v>
      </c>
      <c r="N44" s="3" t="s">
        <v>1224</v>
      </c>
      <c r="P44" s="3" t="s">
        <v>65</v>
      </c>
      <c r="Q44" s="2" t="s">
        <v>65778</v>
      </c>
      <c r="R44" s="3" t="s">
        <v>66</v>
      </c>
      <c r="S44" s="4">
        <v>3</v>
      </c>
      <c r="T44" s="4">
        <v>3</v>
      </c>
      <c r="U44" s="5" t="s">
        <v>65715</v>
      </c>
      <c r="V44" s="5" t="s">
        <v>65715</v>
      </c>
      <c r="W44" s="5" t="s">
        <v>67</v>
      </c>
      <c r="X44" s="5" t="s">
        <v>67</v>
      </c>
      <c r="Y44" s="4">
        <v>218</v>
      </c>
      <c r="Z44" s="4">
        <v>16</v>
      </c>
      <c r="AA44" s="4">
        <v>21</v>
      </c>
      <c r="AB44" s="4">
        <v>2</v>
      </c>
      <c r="AC44" s="4">
        <v>3</v>
      </c>
      <c r="AD44" s="4">
        <v>95</v>
      </c>
      <c r="AE44" s="4">
        <v>101</v>
      </c>
      <c r="AF44" s="4">
        <v>0</v>
      </c>
      <c r="AG44" s="4">
        <v>1</v>
      </c>
      <c r="AH44" s="4">
        <v>86</v>
      </c>
      <c r="AI44" s="4">
        <v>90</v>
      </c>
      <c r="AJ44" s="4">
        <v>11</v>
      </c>
      <c r="AK44" s="4">
        <v>16</v>
      </c>
      <c r="AL44" s="4">
        <v>49</v>
      </c>
      <c r="AM44" s="4">
        <v>50</v>
      </c>
      <c r="AN44" s="4">
        <v>0</v>
      </c>
      <c r="AO44" s="4">
        <v>0</v>
      </c>
      <c r="AP44" s="4">
        <v>12</v>
      </c>
      <c r="AQ44" s="4">
        <v>17</v>
      </c>
      <c r="AR44" s="3" t="s">
        <v>62</v>
      </c>
      <c r="AS44" s="3" t="s">
        <v>62</v>
      </c>
      <c r="AT44" s="3" t="s">
        <v>61</v>
      </c>
      <c r="AU44" s="6" t="str">
        <f>HYPERLINK("http://catalog.hathitrust.org/Record/101007880","HathiTrust Record")</f>
        <v>HathiTrust Record</v>
      </c>
      <c r="AV44" s="6" t="str">
        <f>HYPERLINK("http://mcgill.on.worldcat.org/oclc/940244","Catalog Record")</f>
        <v>Catalog Record</v>
      </c>
      <c r="AW44" s="6" t="str">
        <f>HYPERLINK("http://www.worldcat.org/oclc/940244","WorldCat Record")</f>
        <v>WorldCat Record</v>
      </c>
      <c r="AX44" s="3" t="s">
        <v>65779</v>
      </c>
      <c r="AY44" s="3" t="s">
        <v>65780</v>
      </c>
      <c r="AZ44" s="3" t="s">
        <v>65781</v>
      </c>
      <c r="BA44" s="3" t="s">
        <v>65781</v>
      </c>
      <c r="BB44" s="3" t="s">
        <v>65782</v>
      </c>
      <c r="BC44" s="3" t="s">
        <v>142</v>
      </c>
      <c r="BD44" s="3" t="s">
        <v>68</v>
      </c>
      <c r="BE44" s="3" t="s">
        <v>65783</v>
      </c>
      <c r="BF44" s="3" t="s">
        <v>65782</v>
      </c>
      <c r="BG44" s="3" t="s">
        <v>65784</v>
      </c>
    </row>
    <row r="45" spans="1:59" ht="71.25" x14ac:dyDescent="0.45">
      <c r="A45" s="2" t="s">
        <v>59</v>
      </c>
      <c r="B45" s="2" t="s">
        <v>60</v>
      </c>
      <c r="C45" s="2" t="s">
        <v>283</v>
      </c>
      <c r="D45" s="2" t="s">
        <v>284</v>
      </c>
      <c r="E45" s="2" t="s">
        <v>285</v>
      </c>
      <c r="F45" s="3" t="s">
        <v>286</v>
      </c>
      <c r="G45" s="3" t="s">
        <v>62</v>
      </c>
      <c r="I45" s="3" t="s">
        <v>62</v>
      </c>
      <c r="J45" s="3" t="s">
        <v>62</v>
      </c>
      <c r="K45" s="3" t="s">
        <v>63</v>
      </c>
      <c r="L45" s="2" t="s">
        <v>287</v>
      </c>
      <c r="M45" s="2" t="s">
        <v>288</v>
      </c>
      <c r="N45" s="3" t="s">
        <v>289</v>
      </c>
      <c r="P45" s="3" t="s">
        <v>65</v>
      </c>
      <c r="Q45" s="2" t="s">
        <v>290</v>
      </c>
      <c r="R45" s="3" t="s">
        <v>66</v>
      </c>
      <c r="S45" s="4">
        <v>6</v>
      </c>
      <c r="T45" s="4">
        <v>6</v>
      </c>
      <c r="U45" s="5" t="s">
        <v>291</v>
      </c>
      <c r="V45" s="5" t="s">
        <v>291</v>
      </c>
      <c r="W45" s="5" t="s">
        <v>67</v>
      </c>
      <c r="X45" s="5" t="s">
        <v>67</v>
      </c>
      <c r="Y45" s="4">
        <v>100</v>
      </c>
      <c r="Z45" s="4">
        <v>7</v>
      </c>
      <c r="AA45" s="4">
        <v>7</v>
      </c>
      <c r="AB45" s="4">
        <v>2</v>
      </c>
      <c r="AC45" s="4">
        <v>2</v>
      </c>
      <c r="AD45" s="4">
        <v>51</v>
      </c>
      <c r="AE45" s="4">
        <v>52</v>
      </c>
      <c r="AF45" s="4">
        <v>0</v>
      </c>
      <c r="AG45" s="4">
        <v>0</v>
      </c>
      <c r="AH45" s="4">
        <v>48</v>
      </c>
      <c r="AI45" s="4">
        <v>49</v>
      </c>
      <c r="AJ45" s="4">
        <v>4</v>
      </c>
      <c r="AK45" s="4">
        <v>4</v>
      </c>
      <c r="AL45" s="4">
        <v>34</v>
      </c>
      <c r="AM45" s="4">
        <v>34</v>
      </c>
      <c r="AN45" s="4">
        <v>0</v>
      </c>
      <c r="AO45" s="4">
        <v>0</v>
      </c>
      <c r="AP45" s="4">
        <v>4</v>
      </c>
      <c r="AQ45" s="4">
        <v>4</v>
      </c>
      <c r="AR45" s="3" t="s">
        <v>62</v>
      </c>
      <c r="AS45" s="3" t="s">
        <v>61</v>
      </c>
      <c r="AT45" s="3" t="s">
        <v>62</v>
      </c>
      <c r="AU45" s="6" t="str">
        <f>HYPERLINK("http://catalog.hathitrust.org/Record/001637777","HathiTrust Record")</f>
        <v>HathiTrust Record</v>
      </c>
      <c r="AV45" s="6" t="str">
        <f>HYPERLINK("http://mcgill.on.worldcat.org/oclc/5032946","Catalog Record")</f>
        <v>Catalog Record</v>
      </c>
      <c r="AW45" s="6" t="str">
        <f>HYPERLINK("http://www.worldcat.org/oclc/5032946","WorldCat Record")</f>
        <v>WorldCat Record</v>
      </c>
      <c r="AX45" s="3" t="s">
        <v>292</v>
      </c>
      <c r="AY45" s="3" t="s">
        <v>293</v>
      </c>
      <c r="AZ45" s="3" t="s">
        <v>294</v>
      </c>
      <c r="BA45" s="3" t="s">
        <v>294</v>
      </c>
      <c r="BB45" s="3" t="s">
        <v>295</v>
      </c>
      <c r="BC45" s="3" t="s">
        <v>142</v>
      </c>
      <c r="BD45" s="3" t="s">
        <v>68</v>
      </c>
      <c r="BF45" s="3" t="s">
        <v>295</v>
      </c>
      <c r="BG45" s="3" t="s">
        <v>296</v>
      </c>
    </row>
    <row r="46" spans="1:59" ht="71.25" x14ac:dyDescent="0.45">
      <c r="A46" s="2" t="s">
        <v>59</v>
      </c>
      <c r="B46" s="2" t="s">
        <v>60</v>
      </c>
      <c r="C46" s="2" t="s">
        <v>65785</v>
      </c>
      <c r="D46" s="2" t="s">
        <v>65786</v>
      </c>
      <c r="E46" s="2" t="s">
        <v>65787</v>
      </c>
      <c r="F46" s="3" t="s">
        <v>65788</v>
      </c>
      <c r="G46" s="3" t="s">
        <v>62</v>
      </c>
      <c r="I46" s="3" t="s">
        <v>62</v>
      </c>
      <c r="J46" s="3" t="s">
        <v>62</v>
      </c>
      <c r="K46" s="3" t="s">
        <v>63</v>
      </c>
      <c r="L46" s="2" t="s">
        <v>65789</v>
      </c>
      <c r="M46" s="2" t="s">
        <v>65790</v>
      </c>
      <c r="N46" s="3" t="s">
        <v>1073</v>
      </c>
      <c r="P46" s="3" t="s">
        <v>65</v>
      </c>
      <c r="Q46" s="2" t="s">
        <v>65791</v>
      </c>
      <c r="R46" s="3" t="s">
        <v>66</v>
      </c>
      <c r="S46" s="4">
        <v>6</v>
      </c>
      <c r="T46" s="4">
        <v>6</v>
      </c>
      <c r="U46" s="5" t="s">
        <v>53871</v>
      </c>
      <c r="V46" s="5" t="s">
        <v>53871</v>
      </c>
      <c r="W46" s="5" t="s">
        <v>67</v>
      </c>
      <c r="X46" s="5" t="s">
        <v>67</v>
      </c>
      <c r="Y46" s="4">
        <v>228</v>
      </c>
      <c r="Z46" s="4">
        <v>15</v>
      </c>
      <c r="AA46" s="4">
        <v>16</v>
      </c>
      <c r="AB46" s="4">
        <v>2</v>
      </c>
      <c r="AC46" s="4">
        <v>3</v>
      </c>
      <c r="AD46" s="4">
        <v>103</v>
      </c>
      <c r="AE46" s="4">
        <v>104</v>
      </c>
      <c r="AF46" s="4">
        <v>0</v>
      </c>
      <c r="AG46" s="4">
        <v>1</v>
      </c>
      <c r="AH46" s="4">
        <v>94</v>
      </c>
      <c r="AI46" s="4">
        <v>95</v>
      </c>
      <c r="AJ46" s="4">
        <v>12</v>
      </c>
      <c r="AK46" s="4">
        <v>13</v>
      </c>
      <c r="AL46" s="4">
        <v>55</v>
      </c>
      <c r="AM46" s="4">
        <v>55</v>
      </c>
      <c r="AN46" s="4">
        <v>0</v>
      </c>
      <c r="AO46" s="4">
        <v>0</v>
      </c>
      <c r="AP46" s="4">
        <v>12</v>
      </c>
      <c r="AQ46" s="4">
        <v>13</v>
      </c>
      <c r="AR46" s="3" t="s">
        <v>62</v>
      </c>
      <c r="AS46" s="3" t="s">
        <v>62</v>
      </c>
      <c r="AT46" s="3" t="s">
        <v>62</v>
      </c>
      <c r="AV46" s="6" t="str">
        <f>HYPERLINK("http://mcgill.on.worldcat.org/oclc/2792416","Catalog Record")</f>
        <v>Catalog Record</v>
      </c>
      <c r="AW46" s="6" t="str">
        <f>HYPERLINK("http://www.worldcat.org/oclc/2792416","WorldCat Record")</f>
        <v>WorldCat Record</v>
      </c>
      <c r="AX46" s="3" t="s">
        <v>65792</v>
      </c>
      <c r="AY46" s="3" t="s">
        <v>65793</v>
      </c>
      <c r="AZ46" s="3" t="s">
        <v>65794</v>
      </c>
      <c r="BA46" s="3" t="s">
        <v>65794</v>
      </c>
      <c r="BB46" s="3" t="s">
        <v>65795</v>
      </c>
      <c r="BC46" s="3" t="s">
        <v>142</v>
      </c>
      <c r="BD46" s="3" t="s">
        <v>68</v>
      </c>
      <c r="BE46" s="3" t="s">
        <v>65796</v>
      </c>
      <c r="BF46" s="3" t="s">
        <v>65795</v>
      </c>
      <c r="BG46" s="3" t="s">
        <v>65797</v>
      </c>
    </row>
    <row r="47" spans="1:59" ht="71.25" x14ac:dyDescent="0.45">
      <c r="A47" s="2" t="s">
        <v>59</v>
      </c>
      <c r="B47" s="2" t="s">
        <v>60</v>
      </c>
      <c r="C47" s="2" t="s">
        <v>65798</v>
      </c>
      <c r="D47" s="2" t="s">
        <v>65799</v>
      </c>
      <c r="E47" s="2" t="s">
        <v>65800</v>
      </c>
      <c r="F47" s="3" t="s">
        <v>65801</v>
      </c>
      <c r="G47" s="3" t="s">
        <v>62</v>
      </c>
      <c r="I47" s="3" t="s">
        <v>62</v>
      </c>
      <c r="J47" s="3" t="s">
        <v>62</v>
      </c>
      <c r="K47" s="3" t="s">
        <v>63</v>
      </c>
      <c r="L47" s="2" t="s">
        <v>65802</v>
      </c>
      <c r="M47" s="2" t="s">
        <v>65803</v>
      </c>
      <c r="N47" s="3" t="s">
        <v>583</v>
      </c>
      <c r="P47" s="3" t="s">
        <v>65</v>
      </c>
      <c r="Q47" s="2" t="s">
        <v>65804</v>
      </c>
      <c r="R47" s="3" t="s">
        <v>66</v>
      </c>
      <c r="S47" s="4">
        <v>3</v>
      </c>
      <c r="T47" s="4">
        <v>3</v>
      </c>
      <c r="U47" s="5" t="s">
        <v>65715</v>
      </c>
      <c r="V47" s="5" t="s">
        <v>65715</v>
      </c>
      <c r="W47" s="5" t="s">
        <v>67</v>
      </c>
      <c r="X47" s="5" t="s">
        <v>67</v>
      </c>
      <c r="Y47" s="4">
        <v>227</v>
      </c>
      <c r="Z47" s="4">
        <v>16</v>
      </c>
      <c r="AA47" s="4">
        <v>17</v>
      </c>
      <c r="AB47" s="4">
        <v>2</v>
      </c>
      <c r="AC47" s="4">
        <v>3</v>
      </c>
      <c r="AD47" s="4">
        <v>101</v>
      </c>
      <c r="AE47" s="4">
        <v>103</v>
      </c>
      <c r="AF47" s="4">
        <v>0</v>
      </c>
      <c r="AG47" s="4">
        <v>1</v>
      </c>
      <c r="AH47" s="4">
        <v>92</v>
      </c>
      <c r="AI47" s="4">
        <v>94</v>
      </c>
      <c r="AJ47" s="4">
        <v>12</v>
      </c>
      <c r="AK47" s="4">
        <v>13</v>
      </c>
      <c r="AL47" s="4">
        <v>51</v>
      </c>
      <c r="AM47" s="4">
        <v>52</v>
      </c>
      <c r="AN47" s="4">
        <v>0</v>
      </c>
      <c r="AO47" s="4">
        <v>0</v>
      </c>
      <c r="AP47" s="4">
        <v>13</v>
      </c>
      <c r="AQ47" s="4">
        <v>14</v>
      </c>
      <c r="AR47" s="3" t="s">
        <v>62</v>
      </c>
      <c r="AS47" s="3" t="s">
        <v>62</v>
      </c>
      <c r="AT47" s="3" t="s">
        <v>62</v>
      </c>
      <c r="AV47" s="6" t="str">
        <f>HYPERLINK("http://mcgill.on.worldcat.org/oclc/4782259","Catalog Record")</f>
        <v>Catalog Record</v>
      </c>
      <c r="AW47" s="6" t="str">
        <f>HYPERLINK("http://www.worldcat.org/oclc/4782259","WorldCat Record")</f>
        <v>WorldCat Record</v>
      </c>
      <c r="AX47" s="3" t="s">
        <v>65805</v>
      </c>
      <c r="AY47" s="3" t="s">
        <v>65806</v>
      </c>
      <c r="AZ47" s="3" t="s">
        <v>65807</v>
      </c>
      <c r="BA47" s="3" t="s">
        <v>65807</v>
      </c>
      <c r="BB47" s="3" t="s">
        <v>65808</v>
      </c>
      <c r="BC47" s="3" t="s">
        <v>142</v>
      </c>
      <c r="BD47" s="3" t="s">
        <v>68</v>
      </c>
      <c r="BE47" s="3" t="s">
        <v>65809</v>
      </c>
      <c r="BF47" s="3" t="s">
        <v>65808</v>
      </c>
      <c r="BG47" s="3" t="s">
        <v>65810</v>
      </c>
    </row>
    <row r="48" spans="1:59" ht="71.25" x14ac:dyDescent="0.45">
      <c r="A48" s="2" t="s">
        <v>59</v>
      </c>
      <c r="B48" s="2" t="s">
        <v>60</v>
      </c>
      <c r="C48" s="2" t="s">
        <v>65811</v>
      </c>
      <c r="D48" s="2" t="s">
        <v>65812</v>
      </c>
      <c r="E48" s="2" t="s">
        <v>65813</v>
      </c>
      <c r="F48" s="3" t="s">
        <v>65814</v>
      </c>
      <c r="G48" s="3" t="s">
        <v>62</v>
      </c>
      <c r="I48" s="3" t="s">
        <v>62</v>
      </c>
      <c r="J48" s="3" t="s">
        <v>62</v>
      </c>
      <c r="K48" s="3" t="s">
        <v>63</v>
      </c>
      <c r="L48" s="2" t="s">
        <v>65815</v>
      </c>
      <c r="M48" s="2" t="s">
        <v>65816</v>
      </c>
      <c r="N48" s="3" t="s">
        <v>3160</v>
      </c>
      <c r="P48" s="3" t="s">
        <v>110</v>
      </c>
      <c r="Q48" s="2" t="s">
        <v>65817</v>
      </c>
      <c r="R48" s="3" t="s">
        <v>66</v>
      </c>
      <c r="S48" s="4">
        <v>0</v>
      </c>
      <c r="T48" s="4">
        <v>0</v>
      </c>
      <c r="W48" s="5" t="s">
        <v>67</v>
      </c>
      <c r="X48" s="5" t="s">
        <v>67</v>
      </c>
      <c r="Y48" s="4">
        <v>37</v>
      </c>
      <c r="Z48" s="4">
        <v>5</v>
      </c>
      <c r="AA48" s="4">
        <v>6</v>
      </c>
      <c r="AB48" s="4">
        <v>1</v>
      </c>
      <c r="AC48" s="4">
        <v>2</v>
      </c>
      <c r="AD48" s="4">
        <v>22</v>
      </c>
      <c r="AE48" s="4">
        <v>23</v>
      </c>
      <c r="AF48" s="4">
        <v>0</v>
      </c>
      <c r="AG48" s="4">
        <v>1</v>
      </c>
      <c r="AH48" s="4">
        <v>22</v>
      </c>
      <c r="AI48" s="4">
        <v>23</v>
      </c>
      <c r="AJ48" s="4">
        <v>3</v>
      </c>
      <c r="AK48" s="4">
        <v>4</v>
      </c>
      <c r="AL48" s="4">
        <v>15</v>
      </c>
      <c r="AM48" s="4">
        <v>15</v>
      </c>
      <c r="AN48" s="4">
        <v>0</v>
      </c>
      <c r="AO48" s="4">
        <v>0</v>
      </c>
      <c r="AP48" s="4">
        <v>3</v>
      </c>
      <c r="AQ48" s="4">
        <v>4</v>
      </c>
      <c r="AR48" s="3" t="s">
        <v>62</v>
      </c>
      <c r="AS48" s="3" t="s">
        <v>62</v>
      </c>
      <c r="AT48" s="3" t="s">
        <v>62</v>
      </c>
      <c r="AV48" s="6" t="str">
        <f>HYPERLINK("http://mcgill.on.worldcat.org/oclc/9731056","Catalog Record")</f>
        <v>Catalog Record</v>
      </c>
      <c r="AW48" s="6" t="str">
        <f>HYPERLINK("http://www.worldcat.org/oclc/9731056","WorldCat Record")</f>
        <v>WorldCat Record</v>
      </c>
      <c r="AX48" s="3" t="s">
        <v>65818</v>
      </c>
      <c r="AY48" s="3" t="s">
        <v>65819</v>
      </c>
      <c r="AZ48" s="3" t="s">
        <v>65820</v>
      </c>
      <c r="BA48" s="3" t="s">
        <v>65820</v>
      </c>
      <c r="BB48" s="3" t="s">
        <v>65821</v>
      </c>
      <c r="BC48" s="3" t="s">
        <v>142</v>
      </c>
      <c r="BD48" s="3" t="s">
        <v>68</v>
      </c>
      <c r="BE48" s="3" t="s">
        <v>65822</v>
      </c>
      <c r="BF48" s="3" t="s">
        <v>65821</v>
      </c>
      <c r="BG48" s="3" t="s">
        <v>65823</v>
      </c>
    </row>
    <row r="49" spans="1:59" ht="57" x14ac:dyDescent="0.45">
      <c r="A49" s="2" t="s">
        <v>59</v>
      </c>
      <c r="B49" s="2" t="s">
        <v>60</v>
      </c>
      <c r="C49" s="2" t="s">
        <v>297</v>
      </c>
      <c r="D49" s="2" t="s">
        <v>298</v>
      </c>
      <c r="E49" s="2" t="s">
        <v>299</v>
      </c>
      <c r="G49" s="3" t="s">
        <v>62</v>
      </c>
      <c r="I49" s="3" t="s">
        <v>61</v>
      </c>
      <c r="J49" s="3" t="s">
        <v>62</v>
      </c>
      <c r="K49" s="3" t="s">
        <v>63</v>
      </c>
      <c r="L49" s="2" t="s">
        <v>300</v>
      </c>
      <c r="M49" s="2" t="s">
        <v>301</v>
      </c>
      <c r="N49" s="3" t="s">
        <v>135</v>
      </c>
      <c r="P49" s="3" t="s">
        <v>65</v>
      </c>
      <c r="Q49" s="2" t="s">
        <v>302</v>
      </c>
      <c r="R49" s="3" t="s">
        <v>66</v>
      </c>
      <c r="S49" s="4">
        <v>14</v>
      </c>
      <c r="T49" s="4">
        <v>33</v>
      </c>
      <c r="U49" s="5" t="s">
        <v>303</v>
      </c>
      <c r="V49" s="5" t="s">
        <v>303</v>
      </c>
      <c r="W49" s="5" t="s">
        <v>67</v>
      </c>
      <c r="X49" s="5" t="s">
        <v>67</v>
      </c>
      <c r="Y49" s="4">
        <v>1377</v>
      </c>
      <c r="Z49" s="4">
        <v>65</v>
      </c>
      <c r="AA49" s="4">
        <v>76</v>
      </c>
      <c r="AB49" s="4">
        <v>5</v>
      </c>
      <c r="AC49" s="4">
        <v>11</v>
      </c>
      <c r="AD49" s="4">
        <v>146</v>
      </c>
      <c r="AE49" s="4">
        <v>153</v>
      </c>
      <c r="AF49" s="4">
        <v>2</v>
      </c>
      <c r="AG49" s="4">
        <v>6</v>
      </c>
      <c r="AH49" s="4">
        <v>109</v>
      </c>
      <c r="AI49" s="4">
        <v>111</v>
      </c>
      <c r="AJ49" s="4">
        <v>22</v>
      </c>
      <c r="AK49" s="4">
        <v>27</v>
      </c>
      <c r="AL49" s="4">
        <v>60</v>
      </c>
      <c r="AM49" s="4">
        <v>60</v>
      </c>
      <c r="AN49" s="4">
        <v>0</v>
      </c>
      <c r="AO49" s="4">
        <v>0</v>
      </c>
      <c r="AP49" s="4">
        <v>43</v>
      </c>
      <c r="AQ49" s="4">
        <v>49</v>
      </c>
      <c r="AR49" s="3" t="s">
        <v>62</v>
      </c>
      <c r="AS49" s="3" t="s">
        <v>62</v>
      </c>
      <c r="AT49" s="3" t="s">
        <v>61</v>
      </c>
      <c r="AU49" s="6" t="str">
        <f t="shared" ref="AU49:AU54" si="0">HYPERLINK("http://catalog.hathitrust.org/Record/001180645","HathiTrust Record")</f>
        <v>HathiTrust Record</v>
      </c>
      <c r="AV49" s="6" t="str">
        <f t="shared" ref="AV49:AV54" si="1">HYPERLINK("http://mcgill.on.worldcat.org/oclc/306523","Catalog Record")</f>
        <v>Catalog Record</v>
      </c>
      <c r="AW49" s="6" t="str">
        <f t="shared" ref="AW49:AW54" si="2">HYPERLINK("http://www.worldcat.org/oclc/306523","WorldCat Record")</f>
        <v>WorldCat Record</v>
      </c>
      <c r="AX49" s="3" t="s">
        <v>304</v>
      </c>
      <c r="AY49" s="3" t="s">
        <v>305</v>
      </c>
      <c r="AZ49" s="3" t="s">
        <v>306</v>
      </c>
      <c r="BA49" s="3" t="s">
        <v>306</v>
      </c>
      <c r="BB49" s="3" t="s">
        <v>307</v>
      </c>
      <c r="BC49" s="3" t="s">
        <v>142</v>
      </c>
      <c r="BD49" s="3" t="s">
        <v>308</v>
      </c>
      <c r="BE49" s="3" t="s">
        <v>309</v>
      </c>
      <c r="BF49" s="3" t="s">
        <v>307</v>
      </c>
      <c r="BG49" s="3" t="s">
        <v>310</v>
      </c>
    </row>
    <row r="50" spans="1:59" ht="57" x14ac:dyDescent="0.45">
      <c r="A50" s="2" t="s">
        <v>59</v>
      </c>
      <c r="B50" s="2" t="s">
        <v>60</v>
      </c>
      <c r="C50" s="2" t="s">
        <v>297</v>
      </c>
      <c r="D50" s="2" t="s">
        <v>298</v>
      </c>
      <c r="E50" s="2" t="s">
        <v>299</v>
      </c>
      <c r="G50" s="3" t="s">
        <v>62</v>
      </c>
      <c r="I50" s="3" t="s">
        <v>61</v>
      </c>
      <c r="J50" s="3" t="s">
        <v>62</v>
      </c>
      <c r="K50" s="3" t="s">
        <v>63</v>
      </c>
      <c r="L50" s="2" t="s">
        <v>300</v>
      </c>
      <c r="M50" s="2" t="s">
        <v>301</v>
      </c>
      <c r="N50" s="3" t="s">
        <v>135</v>
      </c>
      <c r="P50" s="3" t="s">
        <v>65</v>
      </c>
      <c r="Q50" s="2" t="s">
        <v>302</v>
      </c>
      <c r="R50" s="3" t="s">
        <v>66</v>
      </c>
      <c r="S50" s="4">
        <v>0</v>
      </c>
      <c r="T50" s="4">
        <v>33</v>
      </c>
      <c r="V50" s="5" t="s">
        <v>303</v>
      </c>
      <c r="W50" s="5" t="s">
        <v>67</v>
      </c>
      <c r="X50" s="5" t="s">
        <v>67</v>
      </c>
      <c r="Y50" s="4">
        <v>1377</v>
      </c>
      <c r="Z50" s="4">
        <v>65</v>
      </c>
      <c r="AA50" s="4">
        <v>76</v>
      </c>
      <c r="AB50" s="4">
        <v>5</v>
      </c>
      <c r="AC50" s="4">
        <v>11</v>
      </c>
      <c r="AD50" s="4">
        <v>146</v>
      </c>
      <c r="AE50" s="4">
        <v>153</v>
      </c>
      <c r="AF50" s="4">
        <v>2</v>
      </c>
      <c r="AG50" s="4">
        <v>6</v>
      </c>
      <c r="AH50" s="4">
        <v>109</v>
      </c>
      <c r="AI50" s="4">
        <v>111</v>
      </c>
      <c r="AJ50" s="4">
        <v>22</v>
      </c>
      <c r="AK50" s="4">
        <v>27</v>
      </c>
      <c r="AL50" s="4">
        <v>60</v>
      </c>
      <c r="AM50" s="4">
        <v>60</v>
      </c>
      <c r="AN50" s="4">
        <v>0</v>
      </c>
      <c r="AO50" s="4">
        <v>0</v>
      </c>
      <c r="AP50" s="4">
        <v>43</v>
      </c>
      <c r="AQ50" s="4">
        <v>49</v>
      </c>
      <c r="AR50" s="3" t="s">
        <v>62</v>
      </c>
      <c r="AS50" s="3" t="s">
        <v>62</v>
      </c>
      <c r="AT50" s="3" t="s">
        <v>61</v>
      </c>
      <c r="AU50" s="6" t="str">
        <f t="shared" si="0"/>
        <v>HathiTrust Record</v>
      </c>
      <c r="AV50" s="6" t="str">
        <f t="shared" si="1"/>
        <v>Catalog Record</v>
      </c>
      <c r="AW50" s="6" t="str">
        <f t="shared" si="2"/>
        <v>WorldCat Record</v>
      </c>
      <c r="AX50" s="3" t="s">
        <v>304</v>
      </c>
      <c r="AY50" s="3" t="s">
        <v>305</v>
      </c>
      <c r="AZ50" s="3" t="s">
        <v>306</v>
      </c>
      <c r="BA50" s="3" t="s">
        <v>306</v>
      </c>
      <c r="BB50" s="3" t="s">
        <v>311</v>
      </c>
      <c r="BC50" s="3" t="s">
        <v>142</v>
      </c>
      <c r="BD50" s="3" t="s">
        <v>68</v>
      </c>
      <c r="BE50" s="3" t="s">
        <v>309</v>
      </c>
      <c r="BF50" s="3" t="s">
        <v>311</v>
      </c>
      <c r="BG50" s="3" t="s">
        <v>312</v>
      </c>
    </row>
    <row r="51" spans="1:59" ht="57" x14ac:dyDescent="0.45">
      <c r="A51" s="2" t="s">
        <v>59</v>
      </c>
      <c r="B51" s="2" t="s">
        <v>60</v>
      </c>
      <c r="C51" s="2" t="s">
        <v>297</v>
      </c>
      <c r="D51" s="2" t="s">
        <v>298</v>
      </c>
      <c r="E51" s="2" t="s">
        <v>299</v>
      </c>
      <c r="G51" s="3" t="s">
        <v>62</v>
      </c>
      <c r="I51" s="3" t="s">
        <v>61</v>
      </c>
      <c r="J51" s="3" t="s">
        <v>62</v>
      </c>
      <c r="K51" s="3" t="s">
        <v>63</v>
      </c>
      <c r="L51" s="2" t="s">
        <v>300</v>
      </c>
      <c r="M51" s="2" t="s">
        <v>301</v>
      </c>
      <c r="N51" s="3" t="s">
        <v>135</v>
      </c>
      <c r="P51" s="3" t="s">
        <v>65</v>
      </c>
      <c r="Q51" s="2" t="s">
        <v>302</v>
      </c>
      <c r="R51" s="3" t="s">
        <v>66</v>
      </c>
      <c r="S51" s="4">
        <v>0</v>
      </c>
      <c r="T51" s="4">
        <v>33</v>
      </c>
      <c r="V51" s="5" t="s">
        <v>303</v>
      </c>
      <c r="W51" s="5" t="s">
        <v>67</v>
      </c>
      <c r="X51" s="5" t="s">
        <v>67</v>
      </c>
      <c r="Y51" s="4">
        <v>1377</v>
      </c>
      <c r="Z51" s="4">
        <v>65</v>
      </c>
      <c r="AA51" s="4">
        <v>76</v>
      </c>
      <c r="AB51" s="4">
        <v>5</v>
      </c>
      <c r="AC51" s="4">
        <v>11</v>
      </c>
      <c r="AD51" s="4">
        <v>146</v>
      </c>
      <c r="AE51" s="4">
        <v>153</v>
      </c>
      <c r="AF51" s="4">
        <v>2</v>
      </c>
      <c r="AG51" s="4">
        <v>6</v>
      </c>
      <c r="AH51" s="4">
        <v>109</v>
      </c>
      <c r="AI51" s="4">
        <v>111</v>
      </c>
      <c r="AJ51" s="4">
        <v>22</v>
      </c>
      <c r="AK51" s="4">
        <v>27</v>
      </c>
      <c r="AL51" s="4">
        <v>60</v>
      </c>
      <c r="AM51" s="4">
        <v>60</v>
      </c>
      <c r="AN51" s="4">
        <v>0</v>
      </c>
      <c r="AO51" s="4">
        <v>0</v>
      </c>
      <c r="AP51" s="4">
        <v>43</v>
      </c>
      <c r="AQ51" s="4">
        <v>49</v>
      </c>
      <c r="AR51" s="3" t="s">
        <v>62</v>
      </c>
      <c r="AS51" s="3" t="s">
        <v>62</v>
      </c>
      <c r="AT51" s="3" t="s">
        <v>61</v>
      </c>
      <c r="AU51" s="6" t="str">
        <f t="shared" si="0"/>
        <v>HathiTrust Record</v>
      </c>
      <c r="AV51" s="6" t="str">
        <f t="shared" si="1"/>
        <v>Catalog Record</v>
      </c>
      <c r="AW51" s="6" t="str">
        <f t="shared" si="2"/>
        <v>WorldCat Record</v>
      </c>
      <c r="AX51" s="3" t="s">
        <v>304</v>
      </c>
      <c r="AY51" s="3" t="s">
        <v>305</v>
      </c>
      <c r="AZ51" s="3" t="s">
        <v>306</v>
      </c>
      <c r="BA51" s="3" t="s">
        <v>306</v>
      </c>
      <c r="BB51" s="3" t="s">
        <v>313</v>
      </c>
      <c r="BC51" s="3" t="s">
        <v>142</v>
      </c>
      <c r="BD51" s="3" t="s">
        <v>68</v>
      </c>
      <c r="BE51" s="3" t="s">
        <v>309</v>
      </c>
      <c r="BF51" s="3" t="s">
        <v>313</v>
      </c>
      <c r="BG51" s="3" t="s">
        <v>314</v>
      </c>
    </row>
    <row r="52" spans="1:59" ht="57" x14ac:dyDescent="0.45">
      <c r="A52" s="2" t="s">
        <v>59</v>
      </c>
      <c r="B52" s="2" t="s">
        <v>60</v>
      </c>
      <c r="C52" s="2" t="s">
        <v>297</v>
      </c>
      <c r="D52" s="2" t="s">
        <v>298</v>
      </c>
      <c r="E52" s="2" t="s">
        <v>299</v>
      </c>
      <c r="G52" s="3" t="s">
        <v>62</v>
      </c>
      <c r="I52" s="3" t="s">
        <v>61</v>
      </c>
      <c r="J52" s="3" t="s">
        <v>62</v>
      </c>
      <c r="K52" s="3" t="s">
        <v>63</v>
      </c>
      <c r="L52" s="2" t="s">
        <v>300</v>
      </c>
      <c r="M52" s="2" t="s">
        <v>301</v>
      </c>
      <c r="N52" s="3" t="s">
        <v>135</v>
      </c>
      <c r="P52" s="3" t="s">
        <v>65</v>
      </c>
      <c r="Q52" s="2" t="s">
        <v>302</v>
      </c>
      <c r="R52" s="3" t="s">
        <v>66</v>
      </c>
      <c r="S52" s="4">
        <v>0</v>
      </c>
      <c r="T52" s="4">
        <v>33</v>
      </c>
      <c r="V52" s="5" t="s">
        <v>303</v>
      </c>
      <c r="W52" s="5" t="s">
        <v>67</v>
      </c>
      <c r="X52" s="5" t="s">
        <v>67</v>
      </c>
      <c r="Y52" s="4">
        <v>1377</v>
      </c>
      <c r="Z52" s="4">
        <v>65</v>
      </c>
      <c r="AA52" s="4">
        <v>76</v>
      </c>
      <c r="AB52" s="4">
        <v>5</v>
      </c>
      <c r="AC52" s="4">
        <v>11</v>
      </c>
      <c r="AD52" s="4">
        <v>146</v>
      </c>
      <c r="AE52" s="4">
        <v>153</v>
      </c>
      <c r="AF52" s="4">
        <v>2</v>
      </c>
      <c r="AG52" s="4">
        <v>6</v>
      </c>
      <c r="AH52" s="4">
        <v>109</v>
      </c>
      <c r="AI52" s="4">
        <v>111</v>
      </c>
      <c r="AJ52" s="4">
        <v>22</v>
      </c>
      <c r="AK52" s="4">
        <v>27</v>
      </c>
      <c r="AL52" s="4">
        <v>60</v>
      </c>
      <c r="AM52" s="4">
        <v>60</v>
      </c>
      <c r="AN52" s="4">
        <v>0</v>
      </c>
      <c r="AO52" s="4">
        <v>0</v>
      </c>
      <c r="AP52" s="4">
        <v>43</v>
      </c>
      <c r="AQ52" s="4">
        <v>49</v>
      </c>
      <c r="AR52" s="3" t="s">
        <v>62</v>
      </c>
      <c r="AS52" s="3" t="s">
        <v>62</v>
      </c>
      <c r="AT52" s="3" t="s">
        <v>61</v>
      </c>
      <c r="AU52" s="6" t="str">
        <f t="shared" si="0"/>
        <v>HathiTrust Record</v>
      </c>
      <c r="AV52" s="6" t="str">
        <f t="shared" si="1"/>
        <v>Catalog Record</v>
      </c>
      <c r="AW52" s="6" t="str">
        <f t="shared" si="2"/>
        <v>WorldCat Record</v>
      </c>
      <c r="AX52" s="3" t="s">
        <v>304</v>
      </c>
      <c r="AY52" s="3" t="s">
        <v>305</v>
      </c>
      <c r="AZ52" s="3" t="s">
        <v>306</v>
      </c>
      <c r="BA52" s="3" t="s">
        <v>306</v>
      </c>
      <c r="BB52" s="3" t="s">
        <v>315</v>
      </c>
      <c r="BC52" s="3" t="s">
        <v>142</v>
      </c>
      <c r="BD52" s="3" t="s">
        <v>68</v>
      </c>
      <c r="BE52" s="3" t="s">
        <v>309</v>
      </c>
      <c r="BF52" s="3" t="s">
        <v>315</v>
      </c>
      <c r="BG52" s="3" t="s">
        <v>316</v>
      </c>
    </row>
    <row r="53" spans="1:59" ht="57" x14ac:dyDescent="0.45">
      <c r="A53" s="2" t="s">
        <v>59</v>
      </c>
      <c r="B53" s="2" t="s">
        <v>60</v>
      </c>
      <c r="C53" s="2" t="s">
        <v>297</v>
      </c>
      <c r="D53" s="2" t="s">
        <v>298</v>
      </c>
      <c r="E53" s="2" t="s">
        <v>299</v>
      </c>
      <c r="G53" s="3" t="s">
        <v>62</v>
      </c>
      <c r="I53" s="3" t="s">
        <v>61</v>
      </c>
      <c r="J53" s="3" t="s">
        <v>62</v>
      </c>
      <c r="K53" s="3" t="s">
        <v>63</v>
      </c>
      <c r="L53" s="2" t="s">
        <v>300</v>
      </c>
      <c r="M53" s="2" t="s">
        <v>301</v>
      </c>
      <c r="N53" s="3" t="s">
        <v>135</v>
      </c>
      <c r="P53" s="3" t="s">
        <v>65</v>
      </c>
      <c r="Q53" s="2" t="s">
        <v>302</v>
      </c>
      <c r="R53" s="3" t="s">
        <v>66</v>
      </c>
      <c r="S53" s="4">
        <v>19</v>
      </c>
      <c r="T53" s="4">
        <v>33</v>
      </c>
      <c r="U53" s="5" t="s">
        <v>317</v>
      </c>
      <c r="V53" s="5" t="s">
        <v>303</v>
      </c>
      <c r="W53" s="5" t="s">
        <v>67</v>
      </c>
      <c r="X53" s="5" t="s">
        <v>67</v>
      </c>
      <c r="Y53" s="4">
        <v>1377</v>
      </c>
      <c r="Z53" s="4">
        <v>65</v>
      </c>
      <c r="AA53" s="4">
        <v>76</v>
      </c>
      <c r="AB53" s="4">
        <v>5</v>
      </c>
      <c r="AC53" s="4">
        <v>11</v>
      </c>
      <c r="AD53" s="4">
        <v>146</v>
      </c>
      <c r="AE53" s="4">
        <v>153</v>
      </c>
      <c r="AF53" s="4">
        <v>2</v>
      </c>
      <c r="AG53" s="4">
        <v>6</v>
      </c>
      <c r="AH53" s="4">
        <v>109</v>
      </c>
      <c r="AI53" s="4">
        <v>111</v>
      </c>
      <c r="AJ53" s="4">
        <v>22</v>
      </c>
      <c r="AK53" s="4">
        <v>27</v>
      </c>
      <c r="AL53" s="4">
        <v>60</v>
      </c>
      <c r="AM53" s="4">
        <v>60</v>
      </c>
      <c r="AN53" s="4">
        <v>0</v>
      </c>
      <c r="AO53" s="4">
        <v>0</v>
      </c>
      <c r="AP53" s="4">
        <v>43</v>
      </c>
      <c r="AQ53" s="4">
        <v>49</v>
      </c>
      <c r="AR53" s="3" t="s">
        <v>62</v>
      </c>
      <c r="AS53" s="3" t="s">
        <v>62</v>
      </c>
      <c r="AT53" s="3" t="s">
        <v>61</v>
      </c>
      <c r="AU53" s="6" t="str">
        <f t="shared" si="0"/>
        <v>HathiTrust Record</v>
      </c>
      <c r="AV53" s="6" t="str">
        <f t="shared" si="1"/>
        <v>Catalog Record</v>
      </c>
      <c r="AW53" s="6" t="str">
        <f t="shared" si="2"/>
        <v>WorldCat Record</v>
      </c>
      <c r="AX53" s="3" t="s">
        <v>304</v>
      </c>
      <c r="AY53" s="3" t="s">
        <v>305</v>
      </c>
      <c r="AZ53" s="3" t="s">
        <v>306</v>
      </c>
      <c r="BA53" s="3" t="s">
        <v>306</v>
      </c>
      <c r="BB53" s="3" t="s">
        <v>318</v>
      </c>
      <c r="BC53" s="3" t="s">
        <v>142</v>
      </c>
      <c r="BD53" s="3" t="s">
        <v>68</v>
      </c>
      <c r="BE53" s="3" t="s">
        <v>309</v>
      </c>
      <c r="BF53" s="3" t="s">
        <v>318</v>
      </c>
      <c r="BG53" s="3" t="s">
        <v>319</v>
      </c>
    </row>
    <row r="54" spans="1:59" ht="57" x14ac:dyDescent="0.45">
      <c r="A54" s="2" t="s">
        <v>59</v>
      </c>
      <c r="B54" s="2" t="s">
        <v>60</v>
      </c>
      <c r="C54" s="2" t="s">
        <v>297</v>
      </c>
      <c r="D54" s="2" t="s">
        <v>298</v>
      </c>
      <c r="E54" s="2" t="s">
        <v>299</v>
      </c>
      <c r="G54" s="3" t="s">
        <v>62</v>
      </c>
      <c r="I54" s="3" t="s">
        <v>61</v>
      </c>
      <c r="J54" s="3" t="s">
        <v>62</v>
      </c>
      <c r="K54" s="3" t="s">
        <v>63</v>
      </c>
      <c r="L54" s="2" t="s">
        <v>300</v>
      </c>
      <c r="M54" s="2" t="s">
        <v>301</v>
      </c>
      <c r="N54" s="3" t="s">
        <v>135</v>
      </c>
      <c r="P54" s="3" t="s">
        <v>65</v>
      </c>
      <c r="Q54" s="2" t="s">
        <v>302</v>
      </c>
      <c r="R54" s="3" t="s">
        <v>66</v>
      </c>
      <c r="S54" s="4">
        <v>0</v>
      </c>
      <c r="T54" s="4">
        <v>33</v>
      </c>
      <c r="V54" s="5" t="s">
        <v>303</v>
      </c>
      <c r="W54" s="5" t="s">
        <v>67</v>
      </c>
      <c r="X54" s="5" t="s">
        <v>67</v>
      </c>
      <c r="Y54" s="4">
        <v>1377</v>
      </c>
      <c r="Z54" s="4">
        <v>65</v>
      </c>
      <c r="AA54" s="4">
        <v>76</v>
      </c>
      <c r="AB54" s="4">
        <v>5</v>
      </c>
      <c r="AC54" s="4">
        <v>11</v>
      </c>
      <c r="AD54" s="4">
        <v>146</v>
      </c>
      <c r="AE54" s="4">
        <v>153</v>
      </c>
      <c r="AF54" s="4">
        <v>2</v>
      </c>
      <c r="AG54" s="4">
        <v>6</v>
      </c>
      <c r="AH54" s="4">
        <v>109</v>
      </c>
      <c r="AI54" s="4">
        <v>111</v>
      </c>
      <c r="AJ54" s="4">
        <v>22</v>
      </c>
      <c r="AK54" s="4">
        <v>27</v>
      </c>
      <c r="AL54" s="4">
        <v>60</v>
      </c>
      <c r="AM54" s="4">
        <v>60</v>
      </c>
      <c r="AN54" s="4">
        <v>0</v>
      </c>
      <c r="AO54" s="4">
        <v>0</v>
      </c>
      <c r="AP54" s="4">
        <v>43</v>
      </c>
      <c r="AQ54" s="4">
        <v>49</v>
      </c>
      <c r="AR54" s="3" t="s">
        <v>62</v>
      </c>
      <c r="AS54" s="3" t="s">
        <v>62</v>
      </c>
      <c r="AT54" s="3" t="s">
        <v>61</v>
      </c>
      <c r="AU54" s="6" t="str">
        <f t="shared" si="0"/>
        <v>HathiTrust Record</v>
      </c>
      <c r="AV54" s="6" t="str">
        <f t="shared" si="1"/>
        <v>Catalog Record</v>
      </c>
      <c r="AW54" s="6" t="str">
        <f t="shared" si="2"/>
        <v>WorldCat Record</v>
      </c>
      <c r="AX54" s="3" t="s">
        <v>304</v>
      </c>
      <c r="AY54" s="3" t="s">
        <v>305</v>
      </c>
      <c r="AZ54" s="3" t="s">
        <v>306</v>
      </c>
      <c r="BA54" s="3" t="s">
        <v>306</v>
      </c>
      <c r="BB54" s="3" t="s">
        <v>320</v>
      </c>
      <c r="BC54" s="3" t="s">
        <v>142</v>
      </c>
      <c r="BD54" s="3" t="s">
        <v>68</v>
      </c>
      <c r="BE54" s="3" t="s">
        <v>309</v>
      </c>
      <c r="BF54" s="3" t="s">
        <v>320</v>
      </c>
      <c r="BG54" s="3" t="s">
        <v>321</v>
      </c>
    </row>
    <row r="55" spans="1:59" ht="57" x14ac:dyDescent="0.45">
      <c r="A55" s="2" t="s">
        <v>59</v>
      </c>
      <c r="B55" s="2" t="s">
        <v>60</v>
      </c>
      <c r="C55" s="2" t="s">
        <v>322</v>
      </c>
      <c r="D55" s="2" t="s">
        <v>323</v>
      </c>
      <c r="E55" s="2" t="s">
        <v>324</v>
      </c>
      <c r="G55" s="3" t="s">
        <v>61</v>
      </c>
      <c r="I55" s="3" t="s">
        <v>62</v>
      </c>
      <c r="J55" s="3" t="s">
        <v>62</v>
      </c>
      <c r="K55" s="3" t="s">
        <v>63</v>
      </c>
      <c r="M55" s="2" t="s">
        <v>325</v>
      </c>
      <c r="N55" s="3" t="s">
        <v>127</v>
      </c>
      <c r="P55" s="3" t="s">
        <v>326</v>
      </c>
      <c r="Q55" s="2" t="s">
        <v>327</v>
      </c>
      <c r="R55" s="3" t="s">
        <v>66</v>
      </c>
      <c r="S55" s="4">
        <v>1</v>
      </c>
      <c r="T55" s="4">
        <v>1</v>
      </c>
      <c r="U55" s="5" t="s">
        <v>328</v>
      </c>
      <c r="V55" s="5" t="s">
        <v>328</v>
      </c>
      <c r="W55" s="5" t="s">
        <v>67</v>
      </c>
      <c r="X55" s="5" t="s">
        <v>67</v>
      </c>
      <c r="Y55" s="4">
        <v>21</v>
      </c>
      <c r="Z55" s="4">
        <v>1</v>
      </c>
      <c r="AA55" s="4">
        <v>4</v>
      </c>
      <c r="AB55" s="4">
        <v>1</v>
      </c>
      <c r="AC55" s="4">
        <v>1</v>
      </c>
      <c r="AD55" s="4">
        <v>16</v>
      </c>
      <c r="AE55" s="4">
        <v>30</v>
      </c>
      <c r="AF55" s="4">
        <v>0</v>
      </c>
      <c r="AG55" s="4">
        <v>0</v>
      </c>
      <c r="AH55" s="4">
        <v>15</v>
      </c>
      <c r="AI55" s="4">
        <v>28</v>
      </c>
      <c r="AJ55" s="4">
        <v>0</v>
      </c>
      <c r="AK55" s="4">
        <v>2</v>
      </c>
      <c r="AL55" s="4">
        <v>11</v>
      </c>
      <c r="AM55" s="4">
        <v>22</v>
      </c>
      <c r="AN55" s="4">
        <v>0</v>
      </c>
      <c r="AO55" s="4">
        <v>0</v>
      </c>
      <c r="AP55" s="4">
        <v>0</v>
      </c>
      <c r="AQ55" s="4">
        <v>2</v>
      </c>
      <c r="AR55" s="3" t="s">
        <v>62</v>
      </c>
      <c r="AS55" s="3" t="s">
        <v>62</v>
      </c>
      <c r="AT55" s="3" t="s">
        <v>61</v>
      </c>
      <c r="AU55" s="6" t="str">
        <f>HYPERLINK("http://catalog.hathitrust.org/Record/001193083","HathiTrust Record")</f>
        <v>HathiTrust Record</v>
      </c>
      <c r="AV55" s="6" t="str">
        <f>HYPERLINK("http://mcgill.on.worldcat.org/oclc/2687429","Catalog Record")</f>
        <v>Catalog Record</v>
      </c>
      <c r="AW55" s="6" t="str">
        <f>HYPERLINK("http://www.worldcat.org/oclc/2687429","WorldCat Record")</f>
        <v>WorldCat Record</v>
      </c>
      <c r="AX55" s="3" t="s">
        <v>329</v>
      </c>
      <c r="AY55" s="3" t="s">
        <v>330</v>
      </c>
      <c r="AZ55" s="3" t="s">
        <v>331</v>
      </c>
      <c r="BA55" s="3" t="s">
        <v>331</v>
      </c>
      <c r="BB55" s="3" t="s">
        <v>332</v>
      </c>
      <c r="BC55" s="3" t="s">
        <v>142</v>
      </c>
      <c r="BD55" s="3" t="s">
        <v>68</v>
      </c>
      <c r="BF55" s="3" t="s">
        <v>332</v>
      </c>
      <c r="BG55" s="3" t="s">
        <v>333</v>
      </c>
    </row>
    <row r="56" spans="1:59" ht="71.25" x14ac:dyDescent="0.45">
      <c r="A56" s="2" t="s">
        <v>59</v>
      </c>
      <c r="B56" s="2" t="s">
        <v>60</v>
      </c>
      <c r="C56" s="2" t="s">
        <v>334</v>
      </c>
      <c r="D56" s="2" t="s">
        <v>335</v>
      </c>
      <c r="E56" s="2" t="s">
        <v>336</v>
      </c>
      <c r="F56" s="3" t="s">
        <v>337</v>
      </c>
      <c r="G56" s="3" t="s">
        <v>62</v>
      </c>
      <c r="I56" s="3" t="s">
        <v>61</v>
      </c>
      <c r="J56" s="3" t="s">
        <v>62</v>
      </c>
      <c r="K56" s="3" t="s">
        <v>63</v>
      </c>
      <c r="L56" s="2" t="s">
        <v>338</v>
      </c>
      <c r="M56" s="2" t="s">
        <v>339</v>
      </c>
      <c r="N56" s="3" t="s">
        <v>340</v>
      </c>
      <c r="P56" s="3" t="s">
        <v>65</v>
      </c>
      <c r="Q56" s="2" t="s">
        <v>341</v>
      </c>
      <c r="R56" s="3" t="s">
        <v>66</v>
      </c>
      <c r="S56" s="4">
        <v>10</v>
      </c>
      <c r="T56" s="4">
        <v>17</v>
      </c>
      <c r="U56" s="5" t="s">
        <v>342</v>
      </c>
      <c r="V56" s="5" t="s">
        <v>343</v>
      </c>
      <c r="W56" s="5" t="s">
        <v>67</v>
      </c>
      <c r="X56" s="5" t="s">
        <v>67</v>
      </c>
      <c r="Y56" s="4">
        <v>223</v>
      </c>
      <c r="Z56" s="4">
        <v>19</v>
      </c>
      <c r="AA56" s="4">
        <v>34</v>
      </c>
      <c r="AB56" s="4">
        <v>3</v>
      </c>
      <c r="AC56" s="4">
        <v>5</v>
      </c>
      <c r="AD56" s="4">
        <v>49</v>
      </c>
      <c r="AE56" s="4">
        <v>106</v>
      </c>
      <c r="AF56" s="4">
        <v>2</v>
      </c>
      <c r="AG56" s="4">
        <v>4</v>
      </c>
      <c r="AH56" s="4">
        <v>37</v>
      </c>
      <c r="AI56" s="4">
        <v>90</v>
      </c>
      <c r="AJ56" s="4">
        <v>7</v>
      </c>
      <c r="AK56" s="4">
        <v>21</v>
      </c>
      <c r="AL56" s="4">
        <v>25</v>
      </c>
      <c r="AM56" s="4">
        <v>51</v>
      </c>
      <c r="AN56" s="4">
        <v>5</v>
      </c>
      <c r="AO56" s="4">
        <v>5</v>
      </c>
      <c r="AP56" s="4">
        <v>13</v>
      </c>
      <c r="AQ56" s="4">
        <v>26</v>
      </c>
      <c r="AR56" s="3" t="s">
        <v>62</v>
      </c>
      <c r="AS56" s="3" t="s">
        <v>62</v>
      </c>
      <c r="AT56" s="3" t="s">
        <v>61</v>
      </c>
      <c r="AU56" s="6" t="str">
        <f>HYPERLINK("http://catalog.hathitrust.org/Record/005039451","HathiTrust Record")</f>
        <v>HathiTrust Record</v>
      </c>
      <c r="AV56" s="6" t="str">
        <f>HYPERLINK("http://mcgill.on.worldcat.org/oclc/8487095","Catalog Record")</f>
        <v>Catalog Record</v>
      </c>
      <c r="AW56" s="6" t="str">
        <f>HYPERLINK("http://www.worldcat.org/oclc/8487095","WorldCat Record")</f>
        <v>WorldCat Record</v>
      </c>
      <c r="AX56" s="3" t="s">
        <v>344</v>
      </c>
      <c r="AY56" s="3" t="s">
        <v>345</v>
      </c>
      <c r="AZ56" s="3" t="s">
        <v>346</v>
      </c>
      <c r="BA56" s="3" t="s">
        <v>346</v>
      </c>
      <c r="BB56" s="3" t="s">
        <v>347</v>
      </c>
      <c r="BC56" s="3" t="s">
        <v>142</v>
      </c>
      <c r="BD56" s="3" t="s">
        <v>68</v>
      </c>
      <c r="BF56" s="3" t="s">
        <v>347</v>
      </c>
      <c r="BG56" s="3" t="s">
        <v>348</v>
      </c>
    </row>
    <row r="57" spans="1:59" ht="71.25" x14ac:dyDescent="0.45">
      <c r="A57" s="2" t="s">
        <v>59</v>
      </c>
      <c r="B57" s="2" t="s">
        <v>60</v>
      </c>
      <c r="C57" s="2" t="s">
        <v>334</v>
      </c>
      <c r="D57" s="2" t="s">
        <v>335</v>
      </c>
      <c r="E57" s="2" t="s">
        <v>336</v>
      </c>
      <c r="F57" s="3" t="s">
        <v>337</v>
      </c>
      <c r="G57" s="3" t="s">
        <v>62</v>
      </c>
      <c r="I57" s="3" t="s">
        <v>61</v>
      </c>
      <c r="J57" s="3" t="s">
        <v>62</v>
      </c>
      <c r="K57" s="3" t="s">
        <v>63</v>
      </c>
      <c r="L57" s="2" t="s">
        <v>338</v>
      </c>
      <c r="M57" s="2" t="s">
        <v>339</v>
      </c>
      <c r="N57" s="3" t="s">
        <v>340</v>
      </c>
      <c r="P57" s="3" t="s">
        <v>65</v>
      </c>
      <c r="Q57" s="2" t="s">
        <v>341</v>
      </c>
      <c r="R57" s="3" t="s">
        <v>66</v>
      </c>
      <c r="S57" s="4">
        <v>7</v>
      </c>
      <c r="T57" s="4">
        <v>17</v>
      </c>
      <c r="U57" s="5" t="s">
        <v>343</v>
      </c>
      <c r="V57" s="5" t="s">
        <v>343</v>
      </c>
      <c r="W57" s="5" t="s">
        <v>67</v>
      </c>
      <c r="X57" s="5" t="s">
        <v>67</v>
      </c>
      <c r="Y57" s="4">
        <v>223</v>
      </c>
      <c r="Z57" s="4">
        <v>19</v>
      </c>
      <c r="AA57" s="4">
        <v>34</v>
      </c>
      <c r="AB57" s="4">
        <v>3</v>
      </c>
      <c r="AC57" s="4">
        <v>5</v>
      </c>
      <c r="AD57" s="4">
        <v>49</v>
      </c>
      <c r="AE57" s="4">
        <v>106</v>
      </c>
      <c r="AF57" s="4">
        <v>2</v>
      </c>
      <c r="AG57" s="4">
        <v>4</v>
      </c>
      <c r="AH57" s="4">
        <v>37</v>
      </c>
      <c r="AI57" s="4">
        <v>90</v>
      </c>
      <c r="AJ57" s="4">
        <v>7</v>
      </c>
      <c r="AK57" s="4">
        <v>21</v>
      </c>
      <c r="AL57" s="4">
        <v>25</v>
      </c>
      <c r="AM57" s="4">
        <v>51</v>
      </c>
      <c r="AN57" s="4">
        <v>5</v>
      </c>
      <c r="AO57" s="4">
        <v>5</v>
      </c>
      <c r="AP57" s="4">
        <v>13</v>
      </c>
      <c r="AQ57" s="4">
        <v>26</v>
      </c>
      <c r="AR57" s="3" t="s">
        <v>62</v>
      </c>
      <c r="AS57" s="3" t="s">
        <v>62</v>
      </c>
      <c r="AT57" s="3" t="s">
        <v>61</v>
      </c>
      <c r="AU57" s="6" t="str">
        <f>HYPERLINK("http://catalog.hathitrust.org/Record/005039451","HathiTrust Record")</f>
        <v>HathiTrust Record</v>
      </c>
      <c r="AV57" s="6" t="str">
        <f>HYPERLINK("http://mcgill.on.worldcat.org/oclc/8487095","Catalog Record")</f>
        <v>Catalog Record</v>
      </c>
      <c r="AW57" s="6" t="str">
        <f>HYPERLINK("http://www.worldcat.org/oclc/8487095","WorldCat Record")</f>
        <v>WorldCat Record</v>
      </c>
      <c r="AX57" s="3" t="s">
        <v>344</v>
      </c>
      <c r="AY57" s="3" t="s">
        <v>345</v>
      </c>
      <c r="AZ57" s="3" t="s">
        <v>346</v>
      </c>
      <c r="BA57" s="3" t="s">
        <v>346</v>
      </c>
      <c r="BB57" s="3" t="s">
        <v>349</v>
      </c>
      <c r="BC57" s="3" t="s">
        <v>142</v>
      </c>
      <c r="BD57" s="3" t="s">
        <v>68</v>
      </c>
      <c r="BF57" s="3" t="s">
        <v>349</v>
      </c>
      <c r="BG57" s="3" t="s">
        <v>350</v>
      </c>
    </row>
    <row r="58" spans="1:59" ht="71.25" x14ac:dyDescent="0.45">
      <c r="A58" s="2" t="s">
        <v>59</v>
      </c>
      <c r="B58" s="2" t="s">
        <v>60</v>
      </c>
      <c r="C58" s="2" t="s">
        <v>351</v>
      </c>
      <c r="D58" s="2" t="s">
        <v>352</v>
      </c>
      <c r="E58" s="2" t="s">
        <v>353</v>
      </c>
      <c r="F58" s="3" t="s">
        <v>354</v>
      </c>
      <c r="G58" s="3" t="s">
        <v>62</v>
      </c>
      <c r="I58" s="3" t="s">
        <v>62</v>
      </c>
      <c r="J58" s="3" t="s">
        <v>62</v>
      </c>
      <c r="K58" s="3" t="s">
        <v>63</v>
      </c>
      <c r="L58" s="2" t="s">
        <v>355</v>
      </c>
      <c r="M58" s="2" t="s">
        <v>356</v>
      </c>
      <c r="N58" s="3" t="s">
        <v>248</v>
      </c>
      <c r="P58" s="3" t="s">
        <v>65</v>
      </c>
      <c r="Q58" s="2" t="s">
        <v>357</v>
      </c>
      <c r="R58" s="3" t="s">
        <v>66</v>
      </c>
      <c r="S58" s="4">
        <v>4</v>
      </c>
      <c r="T58" s="4">
        <v>4</v>
      </c>
      <c r="U58" s="5" t="s">
        <v>358</v>
      </c>
      <c r="V58" s="5" t="s">
        <v>358</v>
      </c>
      <c r="W58" s="5" t="s">
        <v>67</v>
      </c>
      <c r="X58" s="5" t="s">
        <v>67</v>
      </c>
      <c r="Y58" s="4">
        <v>592</v>
      </c>
      <c r="Z58" s="4">
        <v>37</v>
      </c>
      <c r="AA58" s="4">
        <v>42</v>
      </c>
      <c r="AB58" s="4">
        <v>2</v>
      </c>
      <c r="AC58" s="4">
        <v>2</v>
      </c>
      <c r="AD58" s="4">
        <v>111</v>
      </c>
      <c r="AE58" s="4">
        <v>119</v>
      </c>
      <c r="AF58" s="4">
        <v>1</v>
      </c>
      <c r="AG58" s="4">
        <v>1</v>
      </c>
      <c r="AH58" s="4">
        <v>93</v>
      </c>
      <c r="AI58" s="4">
        <v>97</v>
      </c>
      <c r="AJ58" s="4">
        <v>18</v>
      </c>
      <c r="AK58" s="4">
        <v>20</v>
      </c>
      <c r="AL58" s="4">
        <v>53</v>
      </c>
      <c r="AM58" s="4">
        <v>55</v>
      </c>
      <c r="AN58" s="4">
        <v>0</v>
      </c>
      <c r="AO58" s="4">
        <v>0</v>
      </c>
      <c r="AP58" s="4">
        <v>23</v>
      </c>
      <c r="AQ58" s="4">
        <v>27</v>
      </c>
      <c r="AR58" s="3" t="s">
        <v>62</v>
      </c>
      <c r="AS58" s="3" t="s">
        <v>62</v>
      </c>
      <c r="AT58" s="3" t="s">
        <v>62</v>
      </c>
      <c r="AV58" s="6" t="str">
        <f>HYPERLINK("http://mcgill.on.worldcat.org/oclc/313489","Catalog Record")</f>
        <v>Catalog Record</v>
      </c>
      <c r="AW58" s="6" t="str">
        <f>HYPERLINK("http://www.worldcat.org/oclc/313489","WorldCat Record")</f>
        <v>WorldCat Record</v>
      </c>
      <c r="AX58" s="3" t="s">
        <v>359</v>
      </c>
      <c r="AY58" s="3" t="s">
        <v>360</v>
      </c>
      <c r="AZ58" s="3" t="s">
        <v>361</v>
      </c>
      <c r="BA58" s="3" t="s">
        <v>361</v>
      </c>
      <c r="BB58" s="3" t="s">
        <v>362</v>
      </c>
      <c r="BC58" s="3" t="s">
        <v>142</v>
      </c>
      <c r="BD58" s="3" t="s">
        <v>68</v>
      </c>
      <c r="BF58" s="3" t="s">
        <v>362</v>
      </c>
      <c r="BG58" s="3" t="s">
        <v>363</v>
      </c>
    </row>
    <row r="59" spans="1:59" ht="71.25" x14ac:dyDescent="0.45">
      <c r="A59" s="2" t="s">
        <v>59</v>
      </c>
      <c r="B59" s="2" t="s">
        <v>60</v>
      </c>
      <c r="C59" s="2" t="s">
        <v>364</v>
      </c>
      <c r="D59" s="2" t="s">
        <v>365</v>
      </c>
      <c r="E59" s="2" t="s">
        <v>366</v>
      </c>
      <c r="F59" s="3" t="s">
        <v>367</v>
      </c>
      <c r="G59" s="3" t="s">
        <v>62</v>
      </c>
      <c r="I59" s="3" t="s">
        <v>62</v>
      </c>
      <c r="J59" s="3" t="s">
        <v>62</v>
      </c>
      <c r="K59" s="3" t="s">
        <v>63</v>
      </c>
      <c r="L59" s="2" t="s">
        <v>368</v>
      </c>
      <c r="M59" s="2" t="s">
        <v>369</v>
      </c>
      <c r="N59" s="3" t="s">
        <v>370</v>
      </c>
      <c r="P59" s="3" t="s">
        <v>65</v>
      </c>
      <c r="Q59" s="2" t="s">
        <v>371</v>
      </c>
      <c r="R59" s="3" t="s">
        <v>66</v>
      </c>
      <c r="S59" s="4">
        <v>2</v>
      </c>
      <c r="T59" s="4">
        <v>2</v>
      </c>
      <c r="U59" s="5" t="s">
        <v>372</v>
      </c>
      <c r="V59" s="5" t="s">
        <v>372</v>
      </c>
      <c r="W59" s="5" t="s">
        <v>67</v>
      </c>
      <c r="X59" s="5" t="s">
        <v>67</v>
      </c>
      <c r="Y59" s="4">
        <v>118</v>
      </c>
      <c r="Z59" s="4">
        <v>7</v>
      </c>
      <c r="AA59" s="4">
        <v>9</v>
      </c>
      <c r="AB59" s="4">
        <v>1</v>
      </c>
      <c r="AC59" s="4">
        <v>1</v>
      </c>
      <c r="AD59" s="4">
        <v>61</v>
      </c>
      <c r="AE59" s="4">
        <v>64</v>
      </c>
      <c r="AF59" s="4">
        <v>0</v>
      </c>
      <c r="AG59" s="4">
        <v>0</v>
      </c>
      <c r="AH59" s="4">
        <v>60</v>
      </c>
      <c r="AI59" s="4">
        <v>62</v>
      </c>
      <c r="AJ59" s="4">
        <v>5</v>
      </c>
      <c r="AK59" s="4">
        <v>7</v>
      </c>
      <c r="AL59" s="4">
        <v>40</v>
      </c>
      <c r="AM59" s="4">
        <v>41</v>
      </c>
      <c r="AN59" s="4">
        <v>0</v>
      </c>
      <c r="AO59" s="4">
        <v>0</v>
      </c>
      <c r="AP59" s="4">
        <v>5</v>
      </c>
      <c r="AQ59" s="4">
        <v>7</v>
      </c>
      <c r="AR59" s="3" t="s">
        <v>62</v>
      </c>
      <c r="AS59" s="3" t="s">
        <v>62</v>
      </c>
      <c r="AT59" s="3" t="s">
        <v>62</v>
      </c>
      <c r="AV59" s="6" t="str">
        <f>HYPERLINK("http://mcgill.on.worldcat.org/oclc/3467346","Catalog Record")</f>
        <v>Catalog Record</v>
      </c>
      <c r="AW59" s="6" t="str">
        <f>HYPERLINK("http://www.worldcat.org/oclc/3467346","WorldCat Record")</f>
        <v>WorldCat Record</v>
      </c>
      <c r="AX59" s="3" t="s">
        <v>373</v>
      </c>
      <c r="AY59" s="3" t="s">
        <v>374</v>
      </c>
      <c r="AZ59" s="3" t="s">
        <v>375</v>
      </c>
      <c r="BA59" s="3" t="s">
        <v>375</v>
      </c>
      <c r="BB59" s="3" t="s">
        <v>376</v>
      </c>
      <c r="BC59" s="3" t="s">
        <v>142</v>
      </c>
      <c r="BD59" s="3" t="s">
        <v>68</v>
      </c>
      <c r="BF59" s="3" t="s">
        <v>376</v>
      </c>
      <c r="BG59" s="3" t="s">
        <v>377</v>
      </c>
    </row>
    <row r="60" spans="1:59" ht="71.25" x14ac:dyDescent="0.45">
      <c r="A60" s="2" t="s">
        <v>59</v>
      </c>
      <c r="B60" s="2" t="s">
        <v>60</v>
      </c>
      <c r="C60" s="2" t="s">
        <v>378</v>
      </c>
      <c r="D60" s="2" t="s">
        <v>379</v>
      </c>
      <c r="E60" s="2" t="s">
        <v>380</v>
      </c>
      <c r="F60" s="3" t="s">
        <v>381</v>
      </c>
      <c r="G60" s="3" t="s">
        <v>62</v>
      </c>
      <c r="I60" s="3" t="s">
        <v>62</v>
      </c>
      <c r="J60" s="3" t="s">
        <v>62</v>
      </c>
      <c r="K60" s="3" t="s">
        <v>63</v>
      </c>
      <c r="L60" s="2" t="s">
        <v>382</v>
      </c>
      <c r="M60" s="2" t="s">
        <v>383</v>
      </c>
      <c r="N60" s="3" t="s">
        <v>384</v>
      </c>
      <c r="P60" s="3" t="s">
        <v>65</v>
      </c>
      <c r="Q60" s="2" t="s">
        <v>385</v>
      </c>
      <c r="R60" s="3" t="s">
        <v>66</v>
      </c>
      <c r="S60" s="4">
        <v>5</v>
      </c>
      <c r="T60" s="4">
        <v>5</v>
      </c>
      <c r="U60" s="5" t="s">
        <v>386</v>
      </c>
      <c r="V60" s="5" t="s">
        <v>386</v>
      </c>
      <c r="W60" s="5" t="s">
        <v>67</v>
      </c>
      <c r="X60" s="5" t="s">
        <v>67</v>
      </c>
      <c r="Y60" s="4">
        <v>157</v>
      </c>
      <c r="Z60" s="4">
        <v>6</v>
      </c>
      <c r="AA60" s="4">
        <v>20</v>
      </c>
      <c r="AB60" s="4">
        <v>1</v>
      </c>
      <c r="AC60" s="4">
        <v>2</v>
      </c>
      <c r="AD60" s="4">
        <v>67</v>
      </c>
      <c r="AE60" s="4">
        <v>97</v>
      </c>
      <c r="AF60" s="4">
        <v>0</v>
      </c>
      <c r="AG60" s="4">
        <v>1</v>
      </c>
      <c r="AH60" s="4">
        <v>66</v>
      </c>
      <c r="AI60" s="4">
        <v>85</v>
      </c>
      <c r="AJ60" s="4">
        <v>5</v>
      </c>
      <c r="AK60" s="4">
        <v>15</v>
      </c>
      <c r="AL60" s="4">
        <v>44</v>
      </c>
      <c r="AM60" s="4">
        <v>48</v>
      </c>
      <c r="AN60" s="4">
        <v>0</v>
      </c>
      <c r="AO60" s="4">
        <v>0</v>
      </c>
      <c r="AP60" s="4">
        <v>5</v>
      </c>
      <c r="AQ60" s="4">
        <v>19</v>
      </c>
      <c r="AR60" s="3" t="s">
        <v>62</v>
      </c>
      <c r="AS60" s="3" t="s">
        <v>61</v>
      </c>
      <c r="AT60" s="3" t="s">
        <v>62</v>
      </c>
      <c r="AU60" s="6" t="str">
        <f>HYPERLINK("http://catalog.hathitrust.org/Record/001654884","HathiTrust Record")</f>
        <v>HathiTrust Record</v>
      </c>
      <c r="AV60" s="6" t="str">
        <f>HYPERLINK("http://mcgill.on.worldcat.org/oclc/4953211","Catalog Record")</f>
        <v>Catalog Record</v>
      </c>
      <c r="AW60" s="6" t="str">
        <f>HYPERLINK("http://www.worldcat.org/oclc/4953211","WorldCat Record")</f>
        <v>WorldCat Record</v>
      </c>
      <c r="AX60" s="3" t="s">
        <v>387</v>
      </c>
      <c r="AY60" s="3" t="s">
        <v>388</v>
      </c>
      <c r="AZ60" s="3" t="s">
        <v>389</v>
      </c>
      <c r="BA60" s="3" t="s">
        <v>389</v>
      </c>
      <c r="BB60" s="3" t="s">
        <v>390</v>
      </c>
      <c r="BC60" s="3" t="s">
        <v>142</v>
      </c>
      <c r="BD60" s="3" t="s">
        <v>68</v>
      </c>
      <c r="BF60" s="3" t="s">
        <v>390</v>
      </c>
      <c r="BG60" s="3" t="s">
        <v>391</v>
      </c>
    </row>
    <row r="61" spans="1:59" ht="71.25" x14ac:dyDescent="0.45">
      <c r="A61" s="2" t="s">
        <v>59</v>
      </c>
      <c r="B61" s="2" t="s">
        <v>60</v>
      </c>
      <c r="C61" s="2" t="s">
        <v>65824</v>
      </c>
      <c r="D61" s="2" t="s">
        <v>65825</v>
      </c>
      <c r="E61" s="2" t="s">
        <v>65826</v>
      </c>
      <c r="F61" s="3" t="s">
        <v>65827</v>
      </c>
      <c r="G61" s="3" t="s">
        <v>61</v>
      </c>
      <c r="I61" s="3" t="s">
        <v>62</v>
      </c>
      <c r="J61" s="3" t="s">
        <v>62</v>
      </c>
      <c r="K61" s="3" t="s">
        <v>63</v>
      </c>
      <c r="L61" s="2" t="s">
        <v>41910</v>
      </c>
      <c r="M61" s="2" t="s">
        <v>65828</v>
      </c>
      <c r="N61" s="3" t="s">
        <v>113</v>
      </c>
      <c r="P61" s="3" t="s">
        <v>65</v>
      </c>
      <c r="Q61" s="2" t="s">
        <v>65829</v>
      </c>
      <c r="R61" s="3" t="s">
        <v>66</v>
      </c>
      <c r="S61" s="4">
        <v>2</v>
      </c>
      <c r="T61" s="4">
        <v>2</v>
      </c>
      <c r="W61" s="5" t="s">
        <v>67</v>
      </c>
      <c r="X61" s="5" t="s">
        <v>67</v>
      </c>
      <c r="Y61" s="4">
        <v>3</v>
      </c>
      <c r="Z61" s="4">
        <v>1</v>
      </c>
      <c r="AA61" s="4">
        <v>6</v>
      </c>
      <c r="AB61" s="4">
        <v>1</v>
      </c>
      <c r="AC61" s="4">
        <v>2</v>
      </c>
      <c r="AD61" s="4">
        <v>1</v>
      </c>
      <c r="AE61" s="4">
        <v>26</v>
      </c>
      <c r="AF61" s="4">
        <v>0</v>
      </c>
      <c r="AG61" s="4">
        <v>1</v>
      </c>
      <c r="AH61" s="4">
        <v>1</v>
      </c>
      <c r="AI61" s="4">
        <v>23</v>
      </c>
      <c r="AJ61" s="4">
        <v>0</v>
      </c>
      <c r="AK61" s="4">
        <v>5</v>
      </c>
      <c r="AL61" s="4">
        <v>1</v>
      </c>
      <c r="AM61" s="4">
        <v>7</v>
      </c>
      <c r="AN61" s="4">
        <v>0</v>
      </c>
      <c r="AO61" s="4">
        <v>0</v>
      </c>
      <c r="AP61" s="4">
        <v>0</v>
      </c>
      <c r="AQ61" s="4">
        <v>4</v>
      </c>
      <c r="AR61" s="3" t="s">
        <v>62</v>
      </c>
      <c r="AS61" s="3" t="s">
        <v>62</v>
      </c>
      <c r="AT61" s="3" t="s">
        <v>62</v>
      </c>
      <c r="AV61" s="6" t="str">
        <f>HYPERLINK("http://mcgill.on.worldcat.org/oclc/427509432","Catalog Record")</f>
        <v>Catalog Record</v>
      </c>
      <c r="AW61" s="6" t="str">
        <f>HYPERLINK("http://www.worldcat.org/oclc/427509432","WorldCat Record")</f>
        <v>WorldCat Record</v>
      </c>
      <c r="AX61" s="3" t="s">
        <v>65830</v>
      </c>
      <c r="AY61" s="3" t="s">
        <v>65831</v>
      </c>
      <c r="AZ61" s="3" t="s">
        <v>65832</v>
      </c>
      <c r="BA61" s="3" t="s">
        <v>65832</v>
      </c>
      <c r="BB61" s="3" t="s">
        <v>65833</v>
      </c>
      <c r="BC61" s="3" t="s">
        <v>142</v>
      </c>
      <c r="BD61" s="3" t="s">
        <v>308</v>
      </c>
      <c r="BF61" s="3" t="s">
        <v>65833</v>
      </c>
      <c r="BG61" s="3" t="s">
        <v>65834</v>
      </c>
    </row>
    <row r="62" spans="1:59" ht="85.5" x14ac:dyDescent="0.45">
      <c r="A62" s="2" t="s">
        <v>59</v>
      </c>
      <c r="B62" s="2" t="s">
        <v>60</v>
      </c>
      <c r="C62" s="2" t="s">
        <v>392</v>
      </c>
      <c r="D62" s="2" t="s">
        <v>393</v>
      </c>
      <c r="E62" s="2" t="s">
        <v>394</v>
      </c>
      <c r="F62" s="3" t="s">
        <v>395</v>
      </c>
      <c r="G62" s="3" t="s">
        <v>62</v>
      </c>
      <c r="I62" s="3" t="s">
        <v>61</v>
      </c>
      <c r="J62" s="3" t="s">
        <v>61</v>
      </c>
      <c r="K62" s="3" t="s">
        <v>63</v>
      </c>
      <c r="L62" s="2" t="s">
        <v>396</v>
      </c>
      <c r="M62" s="2" t="s">
        <v>397</v>
      </c>
      <c r="N62" s="3" t="s">
        <v>72</v>
      </c>
      <c r="P62" s="3" t="s">
        <v>65</v>
      </c>
      <c r="Q62" s="2" t="s">
        <v>398</v>
      </c>
      <c r="R62" s="3" t="s">
        <v>66</v>
      </c>
      <c r="S62" s="4">
        <v>2</v>
      </c>
      <c r="T62" s="4">
        <v>6</v>
      </c>
      <c r="U62" s="5" t="s">
        <v>399</v>
      </c>
      <c r="V62" s="5" t="s">
        <v>400</v>
      </c>
      <c r="W62" s="5" t="s">
        <v>67</v>
      </c>
      <c r="X62" s="5" t="s">
        <v>67</v>
      </c>
      <c r="Y62" s="4">
        <v>535</v>
      </c>
      <c r="Z62" s="4">
        <v>31</v>
      </c>
      <c r="AA62" s="4">
        <v>45</v>
      </c>
      <c r="AB62" s="4">
        <v>2</v>
      </c>
      <c r="AC62" s="4">
        <v>5</v>
      </c>
      <c r="AD62" s="4">
        <v>81</v>
      </c>
      <c r="AE62" s="4">
        <v>126</v>
      </c>
      <c r="AF62" s="4">
        <v>1</v>
      </c>
      <c r="AG62" s="4">
        <v>4</v>
      </c>
      <c r="AH62" s="4">
        <v>65</v>
      </c>
      <c r="AI62" s="4">
        <v>101</v>
      </c>
      <c r="AJ62" s="4">
        <v>14</v>
      </c>
      <c r="AK62" s="4">
        <v>25</v>
      </c>
      <c r="AL62" s="4">
        <v>34</v>
      </c>
      <c r="AM62" s="4">
        <v>54</v>
      </c>
      <c r="AN62" s="4">
        <v>0</v>
      </c>
      <c r="AO62" s="4">
        <v>0</v>
      </c>
      <c r="AP62" s="4">
        <v>23</v>
      </c>
      <c r="AQ62" s="4">
        <v>34</v>
      </c>
      <c r="AR62" s="3" t="s">
        <v>62</v>
      </c>
      <c r="AS62" s="3" t="s">
        <v>61</v>
      </c>
      <c r="AT62" s="3" t="s">
        <v>62</v>
      </c>
      <c r="AU62" s="6" t="str">
        <f>HYPERLINK("http://catalog.hathitrust.org/Record/000485101","HathiTrust Record")</f>
        <v>HathiTrust Record</v>
      </c>
      <c r="AV62" s="6" t="str">
        <f>HYPERLINK("http://mcgill.on.worldcat.org/oclc/774800","Catalog Record")</f>
        <v>Catalog Record</v>
      </c>
      <c r="AW62" s="6" t="str">
        <f>HYPERLINK("http://www.worldcat.org/oclc/774800","WorldCat Record")</f>
        <v>WorldCat Record</v>
      </c>
      <c r="AX62" s="3" t="s">
        <v>401</v>
      </c>
      <c r="AY62" s="3" t="s">
        <v>402</v>
      </c>
      <c r="AZ62" s="3" t="s">
        <v>403</v>
      </c>
      <c r="BA62" s="3" t="s">
        <v>403</v>
      </c>
      <c r="BB62" s="3" t="s">
        <v>404</v>
      </c>
      <c r="BC62" s="3" t="s">
        <v>142</v>
      </c>
      <c r="BD62" s="3" t="s">
        <v>68</v>
      </c>
      <c r="BF62" s="3" t="s">
        <v>404</v>
      </c>
      <c r="BG62" s="3" t="s">
        <v>405</v>
      </c>
    </row>
    <row r="63" spans="1:59" ht="85.5" x14ac:dyDescent="0.45">
      <c r="A63" s="2" t="s">
        <v>59</v>
      </c>
      <c r="B63" s="2" t="s">
        <v>60</v>
      </c>
      <c r="C63" s="2" t="s">
        <v>392</v>
      </c>
      <c r="D63" s="2" t="s">
        <v>393</v>
      </c>
      <c r="E63" s="2" t="s">
        <v>394</v>
      </c>
      <c r="F63" s="3" t="s">
        <v>395</v>
      </c>
      <c r="G63" s="3" t="s">
        <v>62</v>
      </c>
      <c r="I63" s="3" t="s">
        <v>61</v>
      </c>
      <c r="J63" s="3" t="s">
        <v>61</v>
      </c>
      <c r="K63" s="3" t="s">
        <v>63</v>
      </c>
      <c r="L63" s="2" t="s">
        <v>396</v>
      </c>
      <c r="M63" s="2" t="s">
        <v>397</v>
      </c>
      <c r="N63" s="3" t="s">
        <v>72</v>
      </c>
      <c r="P63" s="3" t="s">
        <v>65</v>
      </c>
      <c r="Q63" s="2" t="s">
        <v>398</v>
      </c>
      <c r="R63" s="3" t="s">
        <v>66</v>
      </c>
      <c r="S63" s="4">
        <v>0</v>
      </c>
      <c r="T63" s="4">
        <v>6</v>
      </c>
      <c r="V63" s="5" t="s">
        <v>400</v>
      </c>
      <c r="W63" s="5" t="s">
        <v>67</v>
      </c>
      <c r="X63" s="5" t="s">
        <v>67</v>
      </c>
      <c r="Y63" s="4">
        <v>535</v>
      </c>
      <c r="Z63" s="4">
        <v>31</v>
      </c>
      <c r="AA63" s="4">
        <v>45</v>
      </c>
      <c r="AB63" s="4">
        <v>2</v>
      </c>
      <c r="AC63" s="4">
        <v>5</v>
      </c>
      <c r="AD63" s="4">
        <v>81</v>
      </c>
      <c r="AE63" s="4">
        <v>126</v>
      </c>
      <c r="AF63" s="4">
        <v>1</v>
      </c>
      <c r="AG63" s="4">
        <v>4</v>
      </c>
      <c r="AH63" s="4">
        <v>65</v>
      </c>
      <c r="AI63" s="4">
        <v>101</v>
      </c>
      <c r="AJ63" s="4">
        <v>14</v>
      </c>
      <c r="AK63" s="4">
        <v>25</v>
      </c>
      <c r="AL63" s="4">
        <v>34</v>
      </c>
      <c r="AM63" s="4">
        <v>54</v>
      </c>
      <c r="AN63" s="4">
        <v>0</v>
      </c>
      <c r="AO63" s="4">
        <v>0</v>
      </c>
      <c r="AP63" s="4">
        <v>23</v>
      </c>
      <c r="AQ63" s="4">
        <v>34</v>
      </c>
      <c r="AR63" s="3" t="s">
        <v>62</v>
      </c>
      <c r="AS63" s="3" t="s">
        <v>61</v>
      </c>
      <c r="AT63" s="3" t="s">
        <v>62</v>
      </c>
      <c r="AU63" s="6" t="str">
        <f>HYPERLINK("http://catalog.hathitrust.org/Record/000485101","HathiTrust Record")</f>
        <v>HathiTrust Record</v>
      </c>
      <c r="AV63" s="6" t="str">
        <f>HYPERLINK("http://mcgill.on.worldcat.org/oclc/774800","Catalog Record")</f>
        <v>Catalog Record</v>
      </c>
      <c r="AW63" s="6" t="str">
        <f>HYPERLINK("http://www.worldcat.org/oclc/774800","WorldCat Record")</f>
        <v>WorldCat Record</v>
      </c>
      <c r="AX63" s="3" t="s">
        <v>401</v>
      </c>
      <c r="AY63" s="3" t="s">
        <v>402</v>
      </c>
      <c r="AZ63" s="3" t="s">
        <v>403</v>
      </c>
      <c r="BA63" s="3" t="s">
        <v>403</v>
      </c>
      <c r="BB63" s="3" t="s">
        <v>406</v>
      </c>
      <c r="BC63" s="3" t="s">
        <v>142</v>
      </c>
      <c r="BD63" s="3" t="s">
        <v>68</v>
      </c>
      <c r="BF63" s="3" t="s">
        <v>406</v>
      </c>
      <c r="BG63" s="3" t="s">
        <v>407</v>
      </c>
    </row>
    <row r="64" spans="1:59" ht="85.5" x14ac:dyDescent="0.45">
      <c r="A64" s="2" t="s">
        <v>59</v>
      </c>
      <c r="B64" s="2" t="s">
        <v>60</v>
      </c>
      <c r="C64" s="2" t="s">
        <v>392</v>
      </c>
      <c r="D64" s="2" t="s">
        <v>393</v>
      </c>
      <c r="E64" s="2" t="s">
        <v>394</v>
      </c>
      <c r="F64" s="3" t="s">
        <v>395</v>
      </c>
      <c r="G64" s="3" t="s">
        <v>62</v>
      </c>
      <c r="I64" s="3" t="s">
        <v>61</v>
      </c>
      <c r="J64" s="3" t="s">
        <v>61</v>
      </c>
      <c r="K64" s="3" t="s">
        <v>63</v>
      </c>
      <c r="L64" s="2" t="s">
        <v>396</v>
      </c>
      <c r="M64" s="2" t="s">
        <v>397</v>
      </c>
      <c r="N64" s="3" t="s">
        <v>72</v>
      </c>
      <c r="P64" s="3" t="s">
        <v>65</v>
      </c>
      <c r="Q64" s="2" t="s">
        <v>398</v>
      </c>
      <c r="R64" s="3" t="s">
        <v>66</v>
      </c>
      <c r="S64" s="4">
        <v>0</v>
      </c>
      <c r="T64" s="4">
        <v>6</v>
      </c>
      <c r="V64" s="5" t="s">
        <v>400</v>
      </c>
      <c r="W64" s="5" t="s">
        <v>67</v>
      </c>
      <c r="X64" s="5" t="s">
        <v>67</v>
      </c>
      <c r="Y64" s="4">
        <v>535</v>
      </c>
      <c r="Z64" s="4">
        <v>31</v>
      </c>
      <c r="AA64" s="4">
        <v>45</v>
      </c>
      <c r="AB64" s="4">
        <v>2</v>
      </c>
      <c r="AC64" s="4">
        <v>5</v>
      </c>
      <c r="AD64" s="4">
        <v>81</v>
      </c>
      <c r="AE64" s="4">
        <v>126</v>
      </c>
      <c r="AF64" s="4">
        <v>1</v>
      </c>
      <c r="AG64" s="4">
        <v>4</v>
      </c>
      <c r="AH64" s="4">
        <v>65</v>
      </c>
      <c r="AI64" s="4">
        <v>101</v>
      </c>
      <c r="AJ64" s="4">
        <v>14</v>
      </c>
      <c r="AK64" s="4">
        <v>25</v>
      </c>
      <c r="AL64" s="4">
        <v>34</v>
      </c>
      <c r="AM64" s="4">
        <v>54</v>
      </c>
      <c r="AN64" s="4">
        <v>0</v>
      </c>
      <c r="AO64" s="4">
        <v>0</v>
      </c>
      <c r="AP64" s="4">
        <v>23</v>
      </c>
      <c r="AQ64" s="4">
        <v>34</v>
      </c>
      <c r="AR64" s="3" t="s">
        <v>62</v>
      </c>
      <c r="AS64" s="3" t="s">
        <v>61</v>
      </c>
      <c r="AT64" s="3" t="s">
        <v>62</v>
      </c>
      <c r="AU64" s="6" t="str">
        <f>HYPERLINK("http://catalog.hathitrust.org/Record/000485101","HathiTrust Record")</f>
        <v>HathiTrust Record</v>
      </c>
      <c r="AV64" s="6" t="str">
        <f>HYPERLINK("http://mcgill.on.worldcat.org/oclc/774800","Catalog Record")</f>
        <v>Catalog Record</v>
      </c>
      <c r="AW64" s="6" t="str">
        <f>HYPERLINK("http://www.worldcat.org/oclc/774800","WorldCat Record")</f>
        <v>WorldCat Record</v>
      </c>
      <c r="AX64" s="3" t="s">
        <v>401</v>
      </c>
      <c r="AY64" s="3" t="s">
        <v>402</v>
      </c>
      <c r="AZ64" s="3" t="s">
        <v>403</v>
      </c>
      <c r="BA64" s="3" t="s">
        <v>403</v>
      </c>
      <c r="BB64" s="3" t="s">
        <v>408</v>
      </c>
      <c r="BC64" s="3" t="s">
        <v>142</v>
      </c>
      <c r="BD64" s="3" t="s">
        <v>68</v>
      </c>
      <c r="BF64" s="3" t="s">
        <v>408</v>
      </c>
      <c r="BG64" s="3" t="s">
        <v>409</v>
      </c>
    </row>
    <row r="65" spans="1:59" ht="85.5" x14ac:dyDescent="0.45">
      <c r="A65" s="2" t="s">
        <v>59</v>
      </c>
      <c r="B65" s="2" t="s">
        <v>60</v>
      </c>
      <c r="C65" s="2" t="s">
        <v>392</v>
      </c>
      <c r="D65" s="2" t="s">
        <v>393</v>
      </c>
      <c r="E65" s="2" t="s">
        <v>394</v>
      </c>
      <c r="F65" s="3" t="s">
        <v>395</v>
      </c>
      <c r="G65" s="3" t="s">
        <v>62</v>
      </c>
      <c r="I65" s="3" t="s">
        <v>61</v>
      </c>
      <c r="J65" s="3" t="s">
        <v>61</v>
      </c>
      <c r="K65" s="3" t="s">
        <v>63</v>
      </c>
      <c r="L65" s="2" t="s">
        <v>396</v>
      </c>
      <c r="M65" s="2" t="s">
        <v>397</v>
      </c>
      <c r="N65" s="3" t="s">
        <v>72</v>
      </c>
      <c r="P65" s="3" t="s">
        <v>65</v>
      </c>
      <c r="Q65" s="2" t="s">
        <v>398</v>
      </c>
      <c r="R65" s="3" t="s">
        <v>66</v>
      </c>
      <c r="S65" s="4">
        <v>4</v>
      </c>
      <c r="T65" s="4">
        <v>6</v>
      </c>
      <c r="U65" s="5" t="s">
        <v>400</v>
      </c>
      <c r="V65" s="5" t="s">
        <v>400</v>
      </c>
      <c r="W65" s="5" t="s">
        <v>67</v>
      </c>
      <c r="X65" s="5" t="s">
        <v>67</v>
      </c>
      <c r="Y65" s="4">
        <v>535</v>
      </c>
      <c r="Z65" s="4">
        <v>31</v>
      </c>
      <c r="AA65" s="4">
        <v>45</v>
      </c>
      <c r="AB65" s="4">
        <v>2</v>
      </c>
      <c r="AC65" s="4">
        <v>5</v>
      </c>
      <c r="AD65" s="4">
        <v>81</v>
      </c>
      <c r="AE65" s="4">
        <v>126</v>
      </c>
      <c r="AF65" s="4">
        <v>1</v>
      </c>
      <c r="AG65" s="4">
        <v>4</v>
      </c>
      <c r="AH65" s="4">
        <v>65</v>
      </c>
      <c r="AI65" s="4">
        <v>101</v>
      </c>
      <c r="AJ65" s="4">
        <v>14</v>
      </c>
      <c r="AK65" s="4">
        <v>25</v>
      </c>
      <c r="AL65" s="4">
        <v>34</v>
      </c>
      <c r="AM65" s="4">
        <v>54</v>
      </c>
      <c r="AN65" s="4">
        <v>0</v>
      </c>
      <c r="AO65" s="4">
        <v>0</v>
      </c>
      <c r="AP65" s="4">
        <v>23</v>
      </c>
      <c r="AQ65" s="4">
        <v>34</v>
      </c>
      <c r="AR65" s="3" t="s">
        <v>62</v>
      </c>
      <c r="AS65" s="3" t="s">
        <v>61</v>
      </c>
      <c r="AT65" s="3" t="s">
        <v>62</v>
      </c>
      <c r="AU65" s="6" t="str">
        <f>HYPERLINK("http://catalog.hathitrust.org/Record/000485101","HathiTrust Record")</f>
        <v>HathiTrust Record</v>
      </c>
      <c r="AV65" s="6" t="str">
        <f>HYPERLINK("http://mcgill.on.worldcat.org/oclc/774800","Catalog Record")</f>
        <v>Catalog Record</v>
      </c>
      <c r="AW65" s="6" t="str">
        <f>HYPERLINK("http://www.worldcat.org/oclc/774800","WorldCat Record")</f>
        <v>WorldCat Record</v>
      </c>
      <c r="AX65" s="3" t="s">
        <v>401</v>
      </c>
      <c r="AY65" s="3" t="s">
        <v>402</v>
      </c>
      <c r="AZ65" s="3" t="s">
        <v>403</v>
      </c>
      <c r="BA65" s="3" t="s">
        <v>403</v>
      </c>
      <c r="BB65" s="3" t="s">
        <v>410</v>
      </c>
      <c r="BC65" s="3" t="s">
        <v>142</v>
      </c>
      <c r="BD65" s="3" t="s">
        <v>308</v>
      </c>
      <c r="BF65" s="3" t="s">
        <v>410</v>
      </c>
      <c r="BG65" s="3" t="s">
        <v>411</v>
      </c>
    </row>
    <row r="66" spans="1:59" ht="71.25" x14ac:dyDescent="0.45">
      <c r="A66" s="2" t="s">
        <v>59</v>
      </c>
      <c r="B66" s="2" t="s">
        <v>412</v>
      </c>
      <c r="C66" s="2" t="s">
        <v>413</v>
      </c>
      <c r="D66" s="2" t="s">
        <v>414</v>
      </c>
      <c r="E66" s="2" t="s">
        <v>415</v>
      </c>
      <c r="F66" s="3" t="s">
        <v>416</v>
      </c>
      <c r="G66" s="3" t="s">
        <v>62</v>
      </c>
      <c r="I66" s="3" t="s">
        <v>61</v>
      </c>
      <c r="J66" s="3" t="s">
        <v>62</v>
      </c>
      <c r="K66" s="3" t="s">
        <v>63</v>
      </c>
      <c r="L66" s="2" t="s">
        <v>417</v>
      </c>
      <c r="M66" s="2" t="s">
        <v>418</v>
      </c>
      <c r="N66" s="3" t="s">
        <v>419</v>
      </c>
      <c r="O66" s="2" t="s">
        <v>420</v>
      </c>
      <c r="P66" s="3" t="s">
        <v>65</v>
      </c>
      <c r="R66" s="3" t="s">
        <v>66</v>
      </c>
      <c r="S66" s="4">
        <v>5</v>
      </c>
      <c r="T66" s="4">
        <v>5</v>
      </c>
      <c r="U66" s="5" t="s">
        <v>421</v>
      </c>
      <c r="V66" s="5" t="s">
        <v>421</v>
      </c>
      <c r="W66" s="5" t="s">
        <v>67</v>
      </c>
      <c r="X66" s="5" t="s">
        <v>67</v>
      </c>
      <c r="Y66" s="4">
        <v>4</v>
      </c>
      <c r="Z66" s="4">
        <v>3</v>
      </c>
      <c r="AA66" s="4">
        <v>3</v>
      </c>
      <c r="AB66" s="4">
        <v>1</v>
      </c>
      <c r="AC66" s="4">
        <v>1</v>
      </c>
      <c r="AD66" s="4">
        <v>1</v>
      </c>
      <c r="AE66" s="4">
        <v>1</v>
      </c>
      <c r="AF66" s="4">
        <v>0</v>
      </c>
      <c r="AG66" s="4">
        <v>0</v>
      </c>
      <c r="AH66" s="4">
        <v>1</v>
      </c>
      <c r="AI66" s="4">
        <v>1</v>
      </c>
      <c r="AJ66" s="4">
        <v>1</v>
      </c>
      <c r="AK66" s="4">
        <v>1</v>
      </c>
      <c r="AL66" s="4">
        <v>0</v>
      </c>
      <c r="AM66" s="4">
        <v>0</v>
      </c>
      <c r="AN66" s="4">
        <v>0</v>
      </c>
      <c r="AO66" s="4">
        <v>0</v>
      </c>
      <c r="AP66" s="4">
        <v>1</v>
      </c>
      <c r="AQ66" s="4">
        <v>1</v>
      </c>
      <c r="AR66" s="3" t="s">
        <v>62</v>
      </c>
      <c r="AS66" s="3" t="s">
        <v>62</v>
      </c>
      <c r="AT66" s="3" t="s">
        <v>62</v>
      </c>
      <c r="AV66" s="6" t="str">
        <f>HYPERLINK("http://mcgill.on.worldcat.org/oclc/427286898","Catalog Record")</f>
        <v>Catalog Record</v>
      </c>
      <c r="AW66" s="6" t="str">
        <f>HYPERLINK("http://www.worldcat.org/oclc/427286898","WorldCat Record")</f>
        <v>WorldCat Record</v>
      </c>
      <c r="AX66" s="3" t="s">
        <v>422</v>
      </c>
      <c r="AY66" s="3" t="s">
        <v>423</v>
      </c>
      <c r="AZ66" s="3" t="s">
        <v>424</v>
      </c>
      <c r="BA66" s="3" t="s">
        <v>424</v>
      </c>
      <c r="BB66" s="3" t="s">
        <v>425</v>
      </c>
      <c r="BC66" s="3" t="s">
        <v>142</v>
      </c>
      <c r="BD66" s="3" t="s">
        <v>68</v>
      </c>
      <c r="BF66" s="3" t="s">
        <v>425</v>
      </c>
      <c r="BG66" s="3" t="s">
        <v>426</v>
      </c>
    </row>
    <row r="67" spans="1:59" ht="71.25" x14ac:dyDescent="0.45">
      <c r="A67" s="2" t="s">
        <v>59</v>
      </c>
      <c r="B67" s="2" t="s">
        <v>60</v>
      </c>
      <c r="C67" s="2" t="s">
        <v>413</v>
      </c>
      <c r="D67" s="2" t="s">
        <v>414</v>
      </c>
      <c r="E67" s="2" t="s">
        <v>415</v>
      </c>
      <c r="G67" s="3" t="s">
        <v>62</v>
      </c>
      <c r="I67" s="3" t="s">
        <v>61</v>
      </c>
      <c r="J67" s="3" t="s">
        <v>62</v>
      </c>
      <c r="K67" s="3" t="s">
        <v>63</v>
      </c>
      <c r="L67" s="2" t="s">
        <v>417</v>
      </c>
      <c r="M67" s="2" t="s">
        <v>418</v>
      </c>
      <c r="N67" s="3" t="s">
        <v>419</v>
      </c>
      <c r="O67" s="2" t="s">
        <v>420</v>
      </c>
      <c r="P67" s="3" t="s">
        <v>65</v>
      </c>
      <c r="R67" s="3" t="s">
        <v>66</v>
      </c>
      <c r="S67" s="4">
        <v>0</v>
      </c>
      <c r="T67" s="4">
        <v>5</v>
      </c>
      <c r="V67" s="5" t="s">
        <v>421</v>
      </c>
      <c r="W67" s="5" t="s">
        <v>67</v>
      </c>
      <c r="X67" s="5" t="s">
        <v>67</v>
      </c>
      <c r="Y67" s="4">
        <v>4</v>
      </c>
      <c r="Z67" s="4">
        <v>3</v>
      </c>
      <c r="AA67" s="4">
        <v>3</v>
      </c>
      <c r="AB67" s="4">
        <v>1</v>
      </c>
      <c r="AC67" s="4">
        <v>1</v>
      </c>
      <c r="AD67" s="4">
        <v>1</v>
      </c>
      <c r="AE67" s="4">
        <v>1</v>
      </c>
      <c r="AF67" s="4">
        <v>0</v>
      </c>
      <c r="AG67" s="4">
        <v>0</v>
      </c>
      <c r="AH67" s="4">
        <v>1</v>
      </c>
      <c r="AI67" s="4">
        <v>1</v>
      </c>
      <c r="AJ67" s="4">
        <v>1</v>
      </c>
      <c r="AK67" s="4">
        <v>1</v>
      </c>
      <c r="AL67" s="4">
        <v>0</v>
      </c>
      <c r="AM67" s="4">
        <v>0</v>
      </c>
      <c r="AN67" s="4">
        <v>0</v>
      </c>
      <c r="AO67" s="4">
        <v>0</v>
      </c>
      <c r="AP67" s="4">
        <v>1</v>
      </c>
      <c r="AQ67" s="4">
        <v>1</v>
      </c>
      <c r="AR67" s="3" t="s">
        <v>62</v>
      </c>
      <c r="AS67" s="3" t="s">
        <v>62</v>
      </c>
      <c r="AT67" s="3" t="s">
        <v>62</v>
      </c>
      <c r="AV67" s="6" t="str">
        <f>HYPERLINK("http://mcgill.on.worldcat.org/oclc/427286898","Catalog Record")</f>
        <v>Catalog Record</v>
      </c>
      <c r="AW67" s="6" t="str">
        <f>HYPERLINK("http://www.worldcat.org/oclc/427286898","WorldCat Record")</f>
        <v>WorldCat Record</v>
      </c>
      <c r="AX67" s="3" t="s">
        <v>422</v>
      </c>
      <c r="AY67" s="3" t="s">
        <v>423</v>
      </c>
      <c r="AZ67" s="3" t="s">
        <v>424</v>
      </c>
      <c r="BA67" s="3" t="s">
        <v>424</v>
      </c>
      <c r="BB67" s="3" t="s">
        <v>427</v>
      </c>
      <c r="BC67" s="3" t="s">
        <v>142</v>
      </c>
      <c r="BD67" s="3" t="s">
        <v>68</v>
      </c>
      <c r="BF67" s="3" t="s">
        <v>427</v>
      </c>
      <c r="BG67" s="3" t="s">
        <v>428</v>
      </c>
    </row>
    <row r="68" spans="1:59" ht="71.25" x14ac:dyDescent="0.45">
      <c r="A68" s="2" t="s">
        <v>59</v>
      </c>
      <c r="B68" s="2" t="s">
        <v>60</v>
      </c>
      <c r="C68" s="2" t="s">
        <v>429</v>
      </c>
      <c r="D68" s="2" t="s">
        <v>430</v>
      </c>
      <c r="E68" s="2" t="s">
        <v>431</v>
      </c>
      <c r="F68" s="3" t="s">
        <v>432</v>
      </c>
      <c r="G68" s="3" t="s">
        <v>62</v>
      </c>
      <c r="I68" s="3" t="s">
        <v>62</v>
      </c>
      <c r="J68" s="3" t="s">
        <v>62</v>
      </c>
      <c r="K68" s="3" t="s">
        <v>63</v>
      </c>
      <c r="L68" s="2" t="s">
        <v>433</v>
      </c>
      <c r="M68" s="2" t="s">
        <v>434</v>
      </c>
      <c r="N68" s="3" t="s">
        <v>435</v>
      </c>
      <c r="O68" s="2" t="s">
        <v>436</v>
      </c>
      <c r="P68" s="3" t="s">
        <v>110</v>
      </c>
      <c r="Q68" s="2" t="s">
        <v>437</v>
      </c>
      <c r="R68" s="3" t="s">
        <v>66</v>
      </c>
      <c r="S68" s="4">
        <v>6</v>
      </c>
      <c r="T68" s="4">
        <v>6</v>
      </c>
      <c r="U68" s="5" t="s">
        <v>438</v>
      </c>
      <c r="V68" s="5" t="s">
        <v>438</v>
      </c>
      <c r="W68" s="5" t="s">
        <v>67</v>
      </c>
      <c r="X68" s="5" t="s">
        <v>67</v>
      </c>
      <c r="Y68" s="4">
        <v>18</v>
      </c>
      <c r="Z68" s="4">
        <v>1</v>
      </c>
      <c r="AA68" s="4">
        <v>8</v>
      </c>
      <c r="AB68" s="4">
        <v>1</v>
      </c>
      <c r="AC68" s="4">
        <v>4</v>
      </c>
      <c r="AD68" s="4">
        <v>9</v>
      </c>
      <c r="AE68" s="4">
        <v>44</v>
      </c>
      <c r="AF68" s="4">
        <v>0</v>
      </c>
      <c r="AG68" s="4">
        <v>2</v>
      </c>
      <c r="AH68" s="4">
        <v>9</v>
      </c>
      <c r="AI68" s="4">
        <v>41</v>
      </c>
      <c r="AJ68" s="4">
        <v>0</v>
      </c>
      <c r="AK68" s="4">
        <v>5</v>
      </c>
      <c r="AL68" s="4">
        <v>6</v>
      </c>
      <c r="AM68" s="4">
        <v>28</v>
      </c>
      <c r="AN68" s="4">
        <v>0</v>
      </c>
      <c r="AO68" s="4">
        <v>0</v>
      </c>
      <c r="AP68" s="4">
        <v>0</v>
      </c>
      <c r="AQ68" s="4">
        <v>6</v>
      </c>
      <c r="AR68" s="3" t="s">
        <v>62</v>
      </c>
      <c r="AS68" s="3" t="s">
        <v>62</v>
      </c>
      <c r="AT68" s="3" t="s">
        <v>62</v>
      </c>
      <c r="AV68" s="6" t="str">
        <f>HYPERLINK("http://mcgill.on.worldcat.org/oclc/5593831","Catalog Record")</f>
        <v>Catalog Record</v>
      </c>
      <c r="AW68" s="6" t="str">
        <f>HYPERLINK("http://www.worldcat.org/oclc/5593831","WorldCat Record")</f>
        <v>WorldCat Record</v>
      </c>
      <c r="AX68" s="3" t="s">
        <v>439</v>
      </c>
      <c r="AY68" s="3" t="s">
        <v>440</v>
      </c>
      <c r="AZ68" s="3" t="s">
        <v>441</v>
      </c>
      <c r="BA68" s="3" t="s">
        <v>441</v>
      </c>
      <c r="BB68" s="3" t="s">
        <v>442</v>
      </c>
      <c r="BC68" s="3" t="s">
        <v>142</v>
      </c>
      <c r="BD68" s="3" t="s">
        <v>68</v>
      </c>
      <c r="BF68" s="3" t="s">
        <v>442</v>
      </c>
      <c r="BG68" s="3" t="s">
        <v>443</v>
      </c>
    </row>
    <row r="69" spans="1:59" ht="71.25" x14ac:dyDescent="0.45">
      <c r="A69" s="2" t="s">
        <v>59</v>
      </c>
      <c r="B69" s="2" t="s">
        <v>60</v>
      </c>
      <c r="C69" s="2" t="s">
        <v>65835</v>
      </c>
      <c r="D69" s="2" t="s">
        <v>65836</v>
      </c>
      <c r="E69" s="2" t="s">
        <v>65837</v>
      </c>
      <c r="F69" s="3" t="s">
        <v>65838</v>
      </c>
      <c r="G69" s="3" t="s">
        <v>62</v>
      </c>
      <c r="I69" s="3" t="s">
        <v>62</v>
      </c>
      <c r="J69" s="3" t="s">
        <v>62</v>
      </c>
      <c r="K69" s="3" t="s">
        <v>63</v>
      </c>
      <c r="L69" s="2" t="s">
        <v>65839</v>
      </c>
      <c r="M69" s="2" t="s">
        <v>65840</v>
      </c>
      <c r="N69" s="3" t="s">
        <v>109</v>
      </c>
      <c r="P69" s="3" t="s">
        <v>65</v>
      </c>
      <c r="Q69" s="2" t="s">
        <v>65841</v>
      </c>
      <c r="R69" s="3" t="s">
        <v>66</v>
      </c>
      <c r="S69" s="4">
        <v>2</v>
      </c>
      <c r="T69" s="4">
        <v>2</v>
      </c>
      <c r="U69" s="5" t="s">
        <v>65842</v>
      </c>
      <c r="V69" s="5" t="s">
        <v>65842</v>
      </c>
      <c r="W69" s="5" t="s">
        <v>67</v>
      </c>
      <c r="X69" s="5" t="s">
        <v>67</v>
      </c>
      <c r="Y69" s="4">
        <v>17</v>
      </c>
      <c r="Z69" s="4">
        <v>4</v>
      </c>
      <c r="AA69" s="4">
        <v>17</v>
      </c>
      <c r="AB69" s="4">
        <v>1</v>
      </c>
      <c r="AC69" s="4">
        <v>2</v>
      </c>
      <c r="AD69" s="4">
        <v>1</v>
      </c>
      <c r="AE69" s="4">
        <v>84</v>
      </c>
      <c r="AF69" s="4">
        <v>0</v>
      </c>
      <c r="AG69" s="4">
        <v>1</v>
      </c>
      <c r="AH69" s="4">
        <v>1</v>
      </c>
      <c r="AI69" s="4">
        <v>74</v>
      </c>
      <c r="AJ69" s="4">
        <v>1</v>
      </c>
      <c r="AK69" s="4">
        <v>14</v>
      </c>
      <c r="AL69" s="4">
        <v>1</v>
      </c>
      <c r="AM69" s="4">
        <v>47</v>
      </c>
      <c r="AN69" s="4">
        <v>0</v>
      </c>
      <c r="AO69" s="4">
        <v>0</v>
      </c>
      <c r="AP69" s="4">
        <v>1</v>
      </c>
      <c r="AQ69" s="4">
        <v>14</v>
      </c>
      <c r="AR69" s="3" t="s">
        <v>62</v>
      </c>
      <c r="AS69" s="3" t="s">
        <v>62</v>
      </c>
      <c r="AT69" s="3" t="s">
        <v>62</v>
      </c>
      <c r="AV69" s="6" t="str">
        <f>HYPERLINK("http://mcgill.on.worldcat.org/oclc/217252424","Catalog Record")</f>
        <v>Catalog Record</v>
      </c>
      <c r="AW69" s="6" t="str">
        <f>HYPERLINK("http://www.worldcat.org/oclc/217252424","WorldCat Record")</f>
        <v>WorldCat Record</v>
      </c>
      <c r="AX69" s="3" t="s">
        <v>65843</v>
      </c>
      <c r="AY69" s="3" t="s">
        <v>65844</v>
      </c>
      <c r="AZ69" s="3" t="s">
        <v>65845</v>
      </c>
      <c r="BA69" s="3" t="s">
        <v>65845</v>
      </c>
      <c r="BB69" s="3" t="s">
        <v>65846</v>
      </c>
      <c r="BC69" s="3" t="s">
        <v>142</v>
      </c>
      <c r="BD69" s="3" t="s">
        <v>68</v>
      </c>
      <c r="BF69" s="3" t="s">
        <v>65846</v>
      </c>
      <c r="BG69" s="3" t="s">
        <v>65847</v>
      </c>
    </row>
    <row r="70" spans="1:59" ht="71.25" x14ac:dyDescent="0.45">
      <c r="A70" s="2" t="s">
        <v>59</v>
      </c>
      <c r="B70" s="2" t="s">
        <v>60</v>
      </c>
      <c r="C70" s="2" t="s">
        <v>446</v>
      </c>
      <c r="D70" s="2" t="s">
        <v>447</v>
      </c>
      <c r="E70" s="2" t="s">
        <v>448</v>
      </c>
      <c r="F70" s="3" t="s">
        <v>449</v>
      </c>
      <c r="G70" s="3" t="s">
        <v>62</v>
      </c>
      <c r="I70" s="3" t="s">
        <v>62</v>
      </c>
      <c r="J70" s="3" t="s">
        <v>62</v>
      </c>
      <c r="K70" s="3" t="s">
        <v>63</v>
      </c>
      <c r="L70" s="2" t="s">
        <v>450</v>
      </c>
      <c r="M70" s="2" t="s">
        <v>451</v>
      </c>
      <c r="N70" s="3" t="s">
        <v>127</v>
      </c>
      <c r="P70" s="3" t="s">
        <v>65</v>
      </c>
      <c r="Q70" s="2" t="s">
        <v>452</v>
      </c>
      <c r="R70" s="3" t="s">
        <v>66</v>
      </c>
      <c r="S70" s="4">
        <v>3</v>
      </c>
      <c r="T70" s="4">
        <v>3</v>
      </c>
      <c r="U70" s="5" t="s">
        <v>453</v>
      </c>
      <c r="V70" s="5" t="s">
        <v>453</v>
      </c>
      <c r="W70" s="5" t="s">
        <v>67</v>
      </c>
      <c r="X70" s="5" t="s">
        <v>67</v>
      </c>
      <c r="Y70" s="4">
        <v>308</v>
      </c>
      <c r="Z70" s="4">
        <v>21</v>
      </c>
      <c r="AA70" s="4">
        <v>25</v>
      </c>
      <c r="AB70" s="4">
        <v>2</v>
      </c>
      <c r="AC70" s="4">
        <v>5</v>
      </c>
      <c r="AD70" s="4">
        <v>94</v>
      </c>
      <c r="AE70" s="4">
        <v>97</v>
      </c>
      <c r="AF70" s="4">
        <v>1</v>
      </c>
      <c r="AG70" s="4">
        <v>3</v>
      </c>
      <c r="AH70" s="4">
        <v>86</v>
      </c>
      <c r="AI70" s="4">
        <v>87</v>
      </c>
      <c r="AJ70" s="4">
        <v>16</v>
      </c>
      <c r="AK70" s="4">
        <v>19</v>
      </c>
      <c r="AL70" s="4">
        <v>50</v>
      </c>
      <c r="AM70" s="4">
        <v>50</v>
      </c>
      <c r="AN70" s="4">
        <v>2</v>
      </c>
      <c r="AO70" s="4">
        <v>2</v>
      </c>
      <c r="AP70" s="4">
        <v>17</v>
      </c>
      <c r="AQ70" s="4">
        <v>20</v>
      </c>
      <c r="AR70" s="3" t="s">
        <v>62</v>
      </c>
      <c r="AS70" s="3" t="s">
        <v>62</v>
      </c>
      <c r="AT70" s="3" t="s">
        <v>61</v>
      </c>
      <c r="AU70" s="6" t="str">
        <f>HYPERLINK("http://catalog.hathitrust.org/Record/001441471","HathiTrust Record")</f>
        <v>HathiTrust Record</v>
      </c>
      <c r="AV70" s="6" t="str">
        <f>HYPERLINK("http://mcgill.on.worldcat.org/oclc/1154206","Catalog Record")</f>
        <v>Catalog Record</v>
      </c>
      <c r="AW70" s="6" t="str">
        <f>HYPERLINK("http://www.worldcat.org/oclc/1154206","WorldCat Record")</f>
        <v>WorldCat Record</v>
      </c>
      <c r="AX70" s="3" t="s">
        <v>454</v>
      </c>
      <c r="AY70" s="3" t="s">
        <v>455</v>
      </c>
      <c r="AZ70" s="3" t="s">
        <v>456</v>
      </c>
      <c r="BA70" s="3" t="s">
        <v>456</v>
      </c>
      <c r="BB70" s="3" t="s">
        <v>457</v>
      </c>
      <c r="BC70" s="3" t="s">
        <v>142</v>
      </c>
      <c r="BD70" s="3" t="s">
        <v>68</v>
      </c>
      <c r="BF70" s="3" t="s">
        <v>457</v>
      </c>
      <c r="BG70" s="3" t="s">
        <v>458</v>
      </c>
    </row>
    <row r="71" spans="1:59" ht="57" x14ac:dyDescent="0.45">
      <c r="A71" s="2" t="s">
        <v>59</v>
      </c>
      <c r="B71" s="2" t="s">
        <v>60</v>
      </c>
      <c r="C71" s="2" t="s">
        <v>459</v>
      </c>
      <c r="D71" s="2" t="s">
        <v>460</v>
      </c>
      <c r="E71" s="2" t="s">
        <v>461</v>
      </c>
      <c r="G71" s="3" t="s">
        <v>62</v>
      </c>
      <c r="I71" s="3" t="s">
        <v>62</v>
      </c>
      <c r="J71" s="3" t="s">
        <v>62</v>
      </c>
      <c r="K71" s="3" t="s">
        <v>63</v>
      </c>
      <c r="L71" s="2" t="s">
        <v>462</v>
      </c>
      <c r="M71" s="2" t="s">
        <v>463</v>
      </c>
      <c r="N71" s="3" t="s">
        <v>64</v>
      </c>
      <c r="P71" s="3" t="s">
        <v>65</v>
      </c>
      <c r="R71" s="3" t="s">
        <v>66</v>
      </c>
      <c r="S71" s="4">
        <v>3</v>
      </c>
      <c r="T71" s="4">
        <v>3</v>
      </c>
      <c r="U71" s="5" t="s">
        <v>464</v>
      </c>
      <c r="V71" s="5" t="s">
        <v>464</v>
      </c>
      <c r="W71" s="5" t="s">
        <v>67</v>
      </c>
      <c r="X71" s="5" t="s">
        <v>67</v>
      </c>
      <c r="Y71" s="4">
        <v>186</v>
      </c>
      <c r="Z71" s="4">
        <v>17</v>
      </c>
      <c r="AA71" s="4">
        <v>25</v>
      </c>
      <c r="AB71" s="4">
        <v>1</v>
      </c>
      <c r="AC71" s="4">
        <v>2</v>
      </c>
      <c r="AD71" s="4">
        <v>73</v>
      </c>
      <c r="AE71" s="4">
        <v>88</v>
      </c>
      <c r="AF71" s="4">
        <v>0</v>
      </c>
      <c r="AG71" s="4">
        <v>1</v>
      </c>
      <c r="AH71" s="4">
        <v>65</v>
      </c>
      <c r="AI71" s="4">
        <v>76</v>
      </c>
      <c r="AJ71" s="4">
        <v>11</v>
      </c>
      <c r="AK71" s="4">
        <v>18</v>
      </c>
      <c r="AL71" s="4">
        <v>37</v>
      </c>
      <c r="AM71" s="4">
        <v>44</v>
      </c>
      <c r="AN71" s="4">
        <v>0</v>
      </c>
      <c r="AO71" s="4">
        <v>0</v>
      </c>
      <c r="AP71" s="4">
        <v>14</v>
      </c>
      <c r="AQ71" s="4">
        <v>21</v>
      </c>
      <c r="AR71" s="3" t="s">
        <v>62</v>
      </c>
      <c r="AS71" s="3" t="s">
        <v>62</v>
      </c>
      <c r="AT71" s="3" t="s">
        <v>62</v>
      </c>
      <c r="AU71" s="6" t="str">
        <f>HYPERLINK("http://catalog.hathitrust.org/Record/001898798","HathiTrust Record")</f>
        <v>HathiTrust Record</v>
      </c>
      <c r="AV71" s="6" t="str">
        <f>HYPERLINK("http://mcgill.on.worldcat.org/oclc/1805360","Catalog Record")</f>
        <v>Catalog Record</v>
      </c>
      <c r="AW71" s="6" t="str">
        <f>HYPERLINK("http://www.worldcat.org/oclc/1805360","WorldCat Record")</f>
        <v>WorldCat Record</v>
      </c>
      <c r="AX71" s="3" t="s">
        <v>465</v>
      </c>
      <c r="AY71" s="3" t="s">
        <v>466</v>
      </c>
      <c r="AZ71" s="3" t="s">
        <v>467</v>
      </c>
      <c r="BA71" s="3" t="s">
        <v>467</v>
      </c>
      <c r="BB71" s="3" t="s">
        <v>468</v>
      </c>
      <c r="BC71" s="3" t="s">
        <v>142</v>
      </c>
      <c r="BD71" s="3" t="s">
        <v>68</v>
      </c>
      <c r="BE71" s="3" t="s">
        <v>469</v>
      </c>
      <c r="BF71" s="3" t="s">
        <v>468</v>
      </c>
      <c r="BG71" s="3" t="s">
        <v>470</v>
      </c>
    </row>
    <row r="72" spans="1:59" ht="57" x14ac:dyDescent="0.45">
      <c r="A72" s="2" t="s">
        <v>59</v>
      </c>
      <c r="B72" s="2" t="s">
        <v>60</v>
      </c>
      <c r="C72" s="2" t="s">
        <v>475</v>
      </c>
      <c r="D72" s="2" t="s">
        <v>476</v>
      </c>
      <c r="E72" s="2" t="s">
        <v>477</v>
      </c>
      <c r="F72" s="3" t="s">
        <v>478</v>
      </c>
      <c r="G72" s="3" t="s">
        <v>61</v>
      </c>
      <c r="I72" s="3" t="s">
        <v>62</v>
      </c>
      <c r="J72" s="3" t="s">
        <v>62</v>
      </c>
      <c r="K72" s="3" t="s">
        <v>63</v>
      </c>
      <c r="M72" s="2" t="s">
        <v>479</v>
      </c>
      <c r="N72" s="3" t="s">
        <v>480</v>
      </c>
      <c r="P72" s="3" t="s">
        <v>114</v>
      </c>
      <c r="R72" s="3" t="s">
        <v>66</v>
      </c>
      <c r="S72" s="4">
        <v>2</v>
      </c>
      <c r="T72" s="4">
        <v>5</v>
      </c>
      <c r="U72" s="5" t="s">
        <v>481</v>
      </c>
      <c r="V72" s="5" t="s">
        <v>481</v>
      </c>
      <c r="W72" s="5" t="s">
        <v>67</v>
      </c>
      <c r="X72" s="5" t="s">
        <v>67</v>
      </c>
      <c r="Y72" s="4">
        <v>65</v>
      </c>
      <c r="Z72" s="4">
        <v>5</v>
      </c>
      <c r="AA72" s="4">
        <v>6</v>
      </c>
      <c r="AB72" s="4">
        <v>1</v>
      </c>
      <c r="AC72" s="4">
        <v>2</v>
      </c>
      <c r="AD72" s="4">
        <v>35</v>
      </c>
      <c r="AE72" s="4">
        <v>36</v>
      </c>
      <c r="AF72" s="4">
        <v>0</v>
      </c>
      <c r="AG72" s="4">
        <v>1</v>
      </c>
      <c r="AH72" s="4">
        <v>31</v>
      </c>
      <c r="AI72" s="4">
        <v>32</v>
      </c>
      <c r="AJ72" s="4">
        <v>4</v>
      </c>
      <c r="AK72" s="4">
        <v>5</v>
      </c>
      <c r="AL72" s="4">
        <v>24</v>
      </c>
      <c r="AM72" s="4">
        <v>24</v>
      </c>
      <c r="AN72" s="4">
        <v>0</v>
      </c>
      <c r="AO72" s="4">
        <v>0</v>
      </c>
      <c r="AP72" s="4">
        <v>4</v>
      </c>
      <c r="AQ72" s="4">
        <v>5</v>
      </c>
      <c r="AR72" s="3" t="s">
        <v>62</v>
      </c>
      <c r="AS72" s="3" t="s">
        <v>62</v>
      </c>
      <c r="AT72" s="3" t="s">
        <v>61</v>
      </c>
      <c r="AU72" s="6" t="str">
        <f>HYPERLINK("http://catalog.hathitrust.org/Record/002192325","HathiTrust Record")</f>
        <v>HathiTrust Record</v>
      </c>
      <c r="AV72" s="6" t="str">
        <f>HYPERLINK("http://mcgill.on.worldcat.org/oclc/6212542","Catalog Record")</f>
        <v>Catalog Record</v>
      </c>
      <c r="AW72" s="6" t="str">
        <f>HYPERLINK("http://www.worldcat.org/oclc/6212542","WorldCat Record")</f>
        <v>WorldCat Record</v>
      </c>
      <c r="AX72" s="3" t="s">
        <v>482</v>
      </c>
      <c r="AY72" s="3" t="s">
        <v>483</v>
      </c>
      <c r="AZ72" s="3" t="s">
        <v>484</v>
      </c>
      <c r="BA72" s="3" t="s">
        <v>484</v>
      </c>
      <c r="BB72" s="3" t="s">
        <v>485</v>
      </c>
      <c r="BC72" s="3" t="s">
        <v>142</v>
      </c>
      <c r="BD72" s="3" t="s">
        <v>68</v>
      </c>
      <c r="BE72" s="3" t="s">
        <v>486</v>
      </c>
      <c r="BF72" s="3" t="s">
        <v>485</v>
      </c>
      <c r="BG72" s="3" t="s">
        <v>487</v>
      </c>
    </row>
    <row r="73" spans="1:59" ht="57" x14ac:dyDescent="0.45">
      <c r="A73" s="2" t="s">
        <v>59</v>
      </c>
      <c r="B73" s="2" t="s">
        <v>60</v>
      </c>
      <c r="C73" s="2" t="s">
        <v>475</v>
      </c>
      <c r="D73" s="2" t="s">
        <v>476</v>
      </c>
      <c r="E73" s="2" t="s">
        <v>477</v>
      </c>
      <c r="F73" s="3" t="s">
        <v>488</v>
      </c>
      <c r="G73" s="3" t="s">
        <v>61</v>
      </c>
      <c r="I73" s="3" t="s">
        <v>62</v>
      </c>
      <c r="J73" s="3" t="s">
        <v>62</v>
      </c>
      <c r="K73" s="3" t="s">
        <v>63</v>
      </c>
      <c r="M73" s="2" t="s">
        <v>479</v>
      </c>
      <c r="N73" s="3" t="s">
        <v>480</v>
      </c>
      <c r="P73" s="3" t="s">
        <v>114</v>
      </c>
      <c r="R73" s="3" t="s">
        <v>66</v>
      </c>
      <c r="S73" s="4">
        <v>3</v>
      </c>
      <c r="T73" s="4">
        <v>5</v>
      </c>
      <c r="U73" s="5" t="s">
        <v>481</v>
      </c>
      <c r="V73" s="5" t="s">
        <v>481</v>
      </c>
      <c r="W73" s="5" t="s">
        <v>67</v>
      </c>
      <c r="X73" s="5" t="s">
        <v>67</v>
      </c>
      <c r="Y73" s="4">
        <v>65</v>
      </c>
      <c r="Z73" s="4">
        <v>5</v>
      </c>
      <c r="AA73" s="4">
        <v>6</v>
      </c>
      <c r="AB73" s="4">
        <v>1</v>
      </c>
      <c r="AC73" s="4">
        <v>2</v>
      </c>
      <c r="AD73" s="4">
        <v>35</v>
      </c>
      <c r="AE73" s="4">
        <v>36</v>
      </c>
      <c r="AF73" s="4">
        <v>0</v>
      </c>
      <c r="AG73" s="4">
        <v>1</v>
      </c>
      <c r="AH73" s="4">
        <v>31</v>
      </c>
      <c r="AI73" s="4">
        <v>32</v>
      </c>
      <c r="AJ73" s="4">
        <v>4</v>
      </c>
      <c r="AK73" s="4">
        <v>5</v>
      </c>
      <c r="AL73" s="4">
        <v>24</v>
      </c>
      <c r="AM73" s="4">
        <v>24</v>
      </c>
      <c r="AN73" s="4">
        <v>0</v>
      </c>
      <c r="AO73" s="4">
        <v>0</v>
      </c>
      <c r="AP73" s="4">
        <v>4</v>
      </c>
      <c r="AQ73" s="4">
        <v>5</v>
      </c>
      <c r="AR73" s="3" t="s">
        <v>62</v>
      </c>
      <c r="AS73" s="3" t="s">
        <v>62</v>
      </c>
      <c r="AT73" s="3" t="s">
        <v>61</v>
      </c>
      <c r="AU73" s="6" t="str">
        <f>HYPERLINK("http://catalog.hathitrust.org/Record/002192325","HathiTrust Record")</f>
        <v>HathiTrust Record</v>
      </c>
      <c r="AV73" s="6" t="str">
        <f>HYPERLINK("http://mcgill.on.worldcat.org/oclc/6212542","Catalog Record")</f>
        <v>Catalog Record</v>
      </c>
      <c r="AW73" s="6" t="str">
        <f>HYPERLINK("http://www.worldcat.org/oclc/6212542","WorldCat Record")</f>
        <v>WorldCat Record</v>
      </c>
      <c r="AX73" s="3" t="s">
        <v>482</v>
      </c>
      <c r="AY73" s="3" t="s">
        <v>483</v>
      </c>
      <c r="AZ73" s="3" t="s">
        <v>484</v>
      </c>
      <c r="BA73" s="3" t="s">
        <v>484</v>
      </c>
      <c r="BB73" s="3" t="s">
        <v>489</v>
      </c>
      <c r="BC73" s="3" t="s">
        <v>142</v>
      </c>
      <c r="BD73" s="3" t="s">
        <v>68</v>
      </c>
      <c r="BE73" s="3" t="s">
        <v>486</v>
      </c>
      <c r="BF73" s="3" t="s">
        <v>489</v>
      </c>
      <c r="BG73" s="3" t="s">
        <v>490</v>
      </c>
    </row>
    <row r="74" spans="1:59" ht="57" x14ac:dyDescent="0.45">
      <c r="A74" s="2" t="s">
        <v>59</v>
      </c>
      <c r="B74" s="2" t="s">
        <v>60</v>
      </c>
      <c r="C74" s="2" t="s">
        <v>491</v>
      </c>
      <c r="D74" s="2" t="s">
        <v>492</v>
      </c>
      <c r="E74" s="2" t="s">
        <v>493</v>
      </c>
      <c r="G74" s="3" t="s">
        <v>62</v>
      </c>
      <c r="I74" s="3" t="s">
        <v>62</v>
      </c>
      <c r="J74" s="3" t="s">
        <v>62</v>
      </c>
      <c r="K74" s="3" t="s">
        <v>63</v>
      </c>
      <c r="M74" s="2" t="s">
        <v>494</v>
      </c>
      <c r="N74" s="3" t="s">
        <v>495</v>
      </c>
      <c r="P74" s="3" t="s">
        <v>110</v>
      </c>
      <c r="Q74" s="2" t="s">
        <v>496</v>
      </c>
      <c r="R74" s="3" t="s">
        <v>66</v>
      </c>
      <c r="S74" s="4">
        <v>22</v>
      </c>
      <c r="T74" s="4">
        <v>22</v>
      </c>
      <c r="U74" s="5" t="s">
        <v>497</v>
      </c>
      <c r="V74" s="5" t="s">
        <v>497</v>
      </c>
      <c r="W74" s="5" t="s">
        <v>67</v>
      </c>
      <c r="X74" s="5" t="s">
        <v>67</v>
      </c>
      <c r="Y74" s="4">
        <v>221</v>
      </c>
      <c r="Z74" s="4">
        <v>22</v>
      </c>
      <c r="AA74" s="4">
        <v>33</v>
      </c>
      <c r="AB74" s="4">
        <v>2</v>
      </c>
      <c r="AC74" s="4">
        <v>10</v>
      </c>
      <c r="AD74" s="4">
        <v>96</v>
      </c>
      <c r="AE74" s="4">
        <v>103</v>
      </c>
      <c r="AF74" s="4">
        <v>1</v>
      </c>
      <c r="AG74" s="4">
        <v>5</v>
      </c>
      <c r="AH74" s="4">
        <v>82</v>
      </c>
      <c r="AI74" s="4">
        <v>84</v>
      </c>
      <c r="AJ74" s="4">
        <v>16</v>
      </c>
      <c r="AK74" s="4">
        <v>21</v>
      </c>
      <c r="AL74" s="4">
        <v>53</v>
      </c>
      <c r="AM74" s="4">
        <v>53</v>
      </c>
      <c r="AN74" s="4">
        <v>1</v>
      </c>
      <c r="AO74" s="4">
        <v>1</v>
      </c>
      <c r="AP74" s="4">
        <v>19</v>
      </c>
      <c r="AQ74" s="4">
        <v>25</v>
      </c>
      <c r="AR74" s="3" t="s">
        <v>62</v>
      </c>
      <c r="AS74" s="3" t="s">
        <v>62</v>
      </c>
      <c r="AT74" s="3" t="s">
        <v>61</v>
      </c>
      <c r="AU74" s="6" t="str">
        <f>HYPERLINK("http://catalog.hathitrust.org/Record/000724395","HathiTrust Record")</f>
        <v>HathiTrust Record</v>
      </c>
      <c r="AV74" s="6" t="str">
        <f>HYPERLINK("http://mcgill.on.worldcat.org/oclc/2090229","Catalog Record")</f>
        <v>Catalog Record</v>
      </c>
      <c r="AW74" s="6" t="str">
        <f>HYPERLINK("http://www.worldcat.org/oclc/2090229","WorldCat Record")</f>
        <v>WorldCat Record</v>
      </c>
      <c r="AX74" s="3" t="s">
        <v>498</v>
      </c>
      <c r="AY74" s="3" t="s">
        <v>499</v>
      </c>
      <c r="AZ74" s="3" t="s">
        <v>500</v>
      </c>
      <c r="BA74" s="3" t="s">
        <v>500</v>
      </c>
      <c r="BB74" s="3" t="s">
        <v>501</v>
      </c>
      <c r="BC74" s="3" t="s">
        <v>142</v>
      </c>
      <c r="BD74" s="3" t="s">
        <v>68</v>
      </c>
      <c r="BE74" s="3" t="s">
        <v>502</v>
      </c>
      <c r="BF74" s="3" t="s">
        <v>501</v>
      </c>
      <c r="BG74" s="3" t="s">
        <v>503</v>
      </c>
    </row>
    <row r="75" spans="1:59" ht="85.5" x14ac:dyDescent="0.45">
      <c r="A75" s="2" t="s">
        <v>59</v>
      </c>
      <c r="B75" s="2" t="s">
        <v>60</v>
      </c>
      <c r="C75" s="2" t="s">
        <v>504</v>
      </c>
      <c r="D75" s="2" t="s">
        <v>505</v>
      </c>
      <c r="E75" s="2" t="s">
        <v>506</v>
      </c>
      <c r="G75" s="3" t="s">
        <v>62</v>
      </c>
      <c r="I75" s="3" t="s">
        <v>62</v>
      </c>
      <c r="J75" s="3" t="s">
        <v>62</v>
      </c>
      <c r="K75" s="3" t="s">
        <v>63</v>
      </c>
      <c r="M75" s="2" t="s">
        <v>507</v>
      </c>
      <c r="N75" s="3" t="s">
        <v>508</v>
      </c>
      <c r="P75" s="3" t="s">
        <v>65</v>
      </c>
      <c r="R75" s="3" t="s">
        <v>66</v>
      </c>
      <c r="S75" s="4">
        <v>1</v>
      </c>
      <c r="T75" s="4">
        <v>1</v>
      </c>
      <c r="U75" s="5" t="s">
        <v>509</v>
      </c>
      <c r="V75" s="5" t="s">
        <v>509</v>
      </c>
      <c r="W75" s="5" t="s">
        <v>67</v>
      </c>
      <c r="X75" s="5" t="s">
        <v>67</v>
      </c>
      <c r="Y75" s="4">
        <v>117</v>
      </c>
      <c r="Z75" s="4">
        <v>2</v>
      </c>
      <c r="AA75" s="4">
        <v>4</v>
      </c>
      <c r="AB75" s="4">
        <v>1</v>
      </c>
      <c r="AC75" s="4">
        <v>1</v>
      </c>
      <c r="AD75" s="4">
        <v>58</v>
      </c>
      <c r="AE75" s="4">
        <v>59</v>
      </c>
      <c r="AF75" s="4">
        <v>0</v>
      </c>
      <c r="AG75" s="4">
        <v>0</v>
      </c>
      <c r="AH75" s="4">
        <v>56</v>
      </c>
      <c r="AI75" s="4">
        <v>57</v>
      </c>
      <c r="AJ75" s="4">
        <v>1</v>
      </c>
      <c r="AK75" s="4">
        <v>2</v>
      </c>
      <c r="AL75" s="4">
        <v>38</v>
      </c>
      <c r="AM75" s="4">
        <v>39</v>
      </c>
      <c r="AN75" s="4">
        <v>0</v>
      </c>
      <c r="AO75" s="4">
        <v>0</v>
      </c>
      <c r="AP75" s="4">
        <v>1</v>
      </c>
      <c r="AQ75" s="4">
        <v>2</v>
      </c>
      <c r="AR75" s="3" t="s">
        <v>62</v>
      </c>
      <c r="AS75" s="3" t="s">
        <v>62</v>
      </c>
      <c r="AT75" s="3" t="s">
        <v>62</v>
      </c>
      <c r="AU75" s="6" t="str">
        <f>HYPERLINK("http://catalog.hathitrust.org/Record/001435488","HathiTrust Record")</f>
        <v>HathiTrust Record</v>
      </c>
      <c r="AV75" s="6" t="str">
        <f>HYPERLINK("http://mcgill.on.worldcat.org/oclc/1948955","Catalog Record")</f>
        <v>Catalog Record</v>
      </c>
      <c r="AW75" s="6" t="str">
        <f>HYPERLINK("http://www.worldcat.org/oclc/1948955","WorldCat Record")</f>
        <v>WorldCat Record</v>
      </c>
      <c r="AX75" s="3" t="s">
        <v>510</v>
      </c>
      <c r="AY75" s="3" t="s">
        <v>511</v>
      </c>
      <c r="AZ75" s="3" t="s">
        <v>512</v>
      </c>
      <c r="BA75" s="3" t="s">
        <v>512</v>
      </c>
      <c r="BB75" s="3" t="s">
        <v>513</v>
      </c>
      <c r="BC75" s="3" t="s">
        <v>142</v>
      </c>
      <c r="BD75" s="3" t="s">
        <v>68</v>
      </c>
      <c r="BF75" s="3" t="s">
        <v>513</v>
      </c>
      <c r="BG75" s="3" t="s">
        <v>514</v>
      </c>
    </row>
    <row r="76" spans="1:59" ht="57" x14ac:dyDescent="0.45">
      <c r="A76" s="2" t="s">
        <v>59</v>
      </c>
      <c r="B76" s="2" t="s">
        <v>60</v>
      </c>
      <c r="C76" s="2" t="s">
        <v>515</v>
      </c>
      <c r="D76" s="2" t="s">
        <v>516</v>
      </c>
      <c r="E76" s="2" t="s">
        <v>517</v>
      </c>
      <c r="G76" s="3" t="s">
        <v>62</v>
      </c>
      <c r="I76" s="3" t="s">
        <v>62</v>
      </c>
      <c r="J76" s="3" t="s">
        <v>62</v>
      </c>
      <c r="K76" s="3" t="s">
        <v>63</v>
      </c>
      <c r="M76" s="2" t="s">
        <v>518</v>
      </c>
      <c r="N76" s="3" t="s">
        <v>289</v>
      </c>
      <c r="P76" s="3" t="s">
        <v>110</v>
      </c>
      <c r="R76" s="3" t="s">
        <v>66</v>
      </c>
      <c r="S76" s="4">
        <v>4</v>
      </c>
      <c r="T76" s="4">
        <v>4</v>
      </c>
      <c r="U76" s="5" t="s">
        <v>519</v>
      </c>
      <c r="V76" s="5" t="s">
        <v>519</v>
      </c>
      <c r="W76" s="5" t="s">
        <v>67</v>
      </c>
      <c r="X76" s="5" t="s">
        <v>67</v>
      </c>
      <c r="Y76" s="4">
        <v>66</v>
      </c>
      <c r="Z76" s="4">
        <v>12</v>
      </c>
      <c r="AA76" s="4">
        <v>19</v>
      </c>
      <c r="AB76" s="4">
        <v>1</v>
      </c>
      <c r="AC76" s="4">
        <v>5</v>
      </c>
      <c r="AD76" s="4">
        <v>38</v>
      </c>
      <c r="AE76" s="4">
        <v>59</v>
      </c>
      <c r="AF76" s="4">
        <v>0</v>
      </c>
      <c r="AG76" s="4">
        <v>2</v>
      </c>
      <c r="AH76" s="4">
        <v>35</v>
      </c>
      <c r="AI76" s="4">
        <v>53</v>
      </c>
      <c r="AJ76" s="4">
        <v>8</v>
      </c>
      <c r="AK76" s="4">
        <v>12</v>
      </c>
      <c r="AL76" s="4">
        <v>23</v>
      </c>
      <c r="AM76" s="4">
        <v>32</v>
      </c>
      <c r="AN76" s="4">
        <v>0</v>
      </c>
      <c r="AO76" s="4">
        <v>0</v>
      </c>
      <c r="AP76" s="4">
        <v>9</v>
      </c>
      <c r="AQ76" s="4">
        <v>14</v>
      </c>
      <c r="AR76" s="3" t="s">
        <v>62</v>
      </c>
      <c r="AS76" s="3" t="s">
        <v>62</v>
      </c>
      <c r="AT76" s="3" t="s">
        <v>61</v>
      </c>
      <c r="AU76" s="6" t="str">
        <f>HYPERLINK("http://catalog.hathitrust.org/Record/001435470","HathiTrust Record")</f>
        <v>HathiTrust Record</v>
      </c>
      <c r="AV76" s="6" t="str">
        <f>HYPERLINK("http://mcgill.on.worldcat.org/oclc/23409038","Catalog Record")</f>
        <v>Catalog Record</v>
      </c>
      <c r="AW76" s="6" t="str">
        <f>HYPERLINK("http://www.worldcat.org/oclc/23409038","WorldCat Record")</f>
        <v>WorldCat Record</v>
      </c>
      <c r="AX76" s="3" t="s">
        <v>520</v>
      </c>
      <c r="AY76" s="3" t="s">
        <v>521</v>
      </c>
      <c r="AZ76" s="3" t="s">
        <v>522</v>
      </c>
      <c r="BA76" s="3" t="s">
        <v>522</v>
      </c>
      <c r="BB76" s="3" t="s">
        <v>523</v>
      </c>
      <c r="BC76" s="3" t="s">
        <v>142</v>
      </c>
      <c r="BD76" s="3" t="s">
        <v>68</v>
      </c>
      <c r="BF76" s="3" t="s">
        <v>523</v>
      </c>
      <c r="BG76" s="3" t="s">
        <v>524</v>
      </c>
    </row>
    <row r="77" spans="1:59" ht="57" x14ac:dyDescent="0.45">
      <c r="A77" s="2" t="s">
        <v>59</v>
      </c>
      <c r="B77" s="2" t="s">
        <v>60</v>
      </c>
      <c r="C77" s="2" t="s">
        <v>525</v>
      </c>
      <c r="D77" s="2" t="s">
        <v>526</v>
      </c>
      <c r="E77" s="2" t="s">
        <v>527</v>
      </c>
      <c r="G77" s="3" t="s">
        <v>62</v>
      </c>
      <c r="I77" s="3" t="s">
        <v>62</v>
      </c>
      <c r="J77" s="3" t="s">
        <v>62</v>
      </c>
      <c r="K77" s="3" t="s">
        <v>63</v>
      </c>
      <c r="M77" s="2" t="s">
        <v>528</v>
      </c>
      <c r="N77" s="3" t="s">
        <v>529</v>
      </c>
      <c r="P77" s="3" t="s">
        <v>65</v>
      </c>
      <c r="Q77" s="2" t="s">
        <v>530</v>
      </c>
      <c r="R77" s="3" t="s">
        <v>66</v>
      </c>
      <c r="S77" s="4">
        <v>1</v>
      </c>
      <c r="T77" s="4">
        <v>1</v>
      </c>
      <c r="U77" s="5" t="s">
        <v>531</v>
      </c>
      <c r="V77" s="5" t="s">
        <v>531</v>
      </c>
      <c r="W77" s="5" t="s">
        <v>67</v>
      </c>
      <c r="X77" s="5" t="s">
        <v>67</v>
      </c>
      <c r="Y77" s="4">
        <v>136</v>
      </c>
      <c r="Z77" s="4">
        <v>12</v>
      </c>
      <c r="AA77" s="4">
        <v>12</v>
      </c>
      <c r="AB77" s="4">
        <v>1</v>
      </c>
      <c r="AC77" s="4">
        <v>1</v>
      </c>
      <c r="AD77" s="4">
        <v>74</v>
      </c>
      <c r="AE77" s="4">
        <v>74</v>
      </c>
      <c r="AF77" s="4">
        <v>0</v>
      </c>
      <c r="AG77" s="4">
        <v>0</v>
      </c>
      <c r="AH77" s="4">
        <v>69</v>
      </c>
      <c r="AI77" s="4">
        <v>69</v>
      </c>
      <c r="AJ77" s="4">
        <v>10</v>
      </c>
      <c r="AK77" s="4">
        <v>10</v>
      </c>
      <c r="AL77" s="4">
        <v>39</v>
      </c>
      <c r="AM77" s="4">
        <v>39</v>
      </c>
      <c r="AN77" s="4">
        <v>0</v>
      </c>
      <c r="AO77" s="4">
        <v>0</v>
      </c>
      <c r="AP77" s="4">
        <v>10</v>
      </c>
      <c r="AQ77" s="4">
        <v>10</v>
      </c>
      <c r="AR77" s="3" t="s">
        <v>62</v>
      </c>
      <c r="AS77" s="3" t="s">
        <v>62</v>
      </c>
      <c r="AT77" s="3" t="s">
        <v>61</v>
      </c>
      <c r="AU77" s="6" t="str">
        <f>HYPERLINK("http://catalog.hathitrust.org/Record/000881209","HathiTrust Record")</f>
        <v>HathiTrust Record</v>
      </c>
      <c r="AV77" s="6" t="str">
        <f>HYPERLINK("http://mcgill.on.worldcat.org/oclc/11599134","Catalog Record")</f>
        <v>Catalog Record</v>
      </c>
      <c r="AW77" s="6" t="str">
        <f>HYPERLINK("http://www.worldcat.org/oclc/11599134","WorldCat Record")</f>
        <v>WorldCat Record</v>
      </c>
      <c r="AX77" s="3" t="s">
        <v>532</v>
      </c>
      <c r="AY77" s="3" t="s">
        <v>533</v>
      </c>
      <c r="AZ77" s="3" t="s">
        <v>534</v>
      </c>
      <c r="BA77" s="3" t="s">
        <v>534</v>
      </c>
      <c r="BB77" s="3" t="s">
        <v>535</v>
      </c>
      <c r="BC77" s="3" t="s">
        <v>142</v>
      </c>
      <c r="BD77" s="3" t="s">
        <v>68</v>
      </c>
      <c r="BE77" s="3" t="s">
        <v>536</v>
      </c>
      <c r="BF77" s="3" t="s">
        <v>535</v>
      </c>
      <c r="BG77" s="3" t="s">
        <v>537</v>
      </c>
    </row>
    <row r="78" spans="1:59" ht="57" x14ac:dyDescent="0.45">
      <c r="A78" s="2" t="s">
        <v>59</v>
      </c>
      <c r="B78" s="2" t="s">
        <v>60</v>
      </c>
      <c r="C78" s="2" t="s">
        <v>538</v>
      </c>
      <c r="D78" s="2" t="s">
        <v>539</v>
      </c>
      <c r="E78" s="2" t="s">
        <v>540</v>
      </c>
      <c r="G78" s="3" t="s">
        <v>62</v>
      </c>
      <c r="I78" s="3" t="s">
        <v>62</v>
      </c>
      <c r="J78" s="3" t="s">
        <v>62</v>
      </c>
      <c r="K78" s="3" t="s">
        <v>63</v>
      </c>
      <c r="M78" s="2" t="s">
        <v>541</v>
      </c>
      <c r="N78" s="3" t="s">
        <v>542</v>
      </c>
      <c r="P78" s="3" t="s">
        <v>65</v>
      </c>
      <c r="Q78" s="2" t="s">
        <v>543</v>
      </c>
      <c r="R78" s="3" t="s">
        <v>66</v>
      </c>
      <c r="S78" s="4">
        <v>21</v>
      </c>
      <c r="T78" s="4">
        <v>21</v>
      </c>
      <c r="U78" s="5" t="s">
        <v>544</v>
      </c>
      <c r="V78" s="5" t="s">
        <v>544</v>
      </c>
      <c r="W78" s="5" t="s">
        <v>67</v>
      </c>
      <c r="X78" s="5" t="s">
        <v>67</v>
      </c>
      <c r="Y78" s="4">
        <v>245</v>
      </c>
      <c r="Z78" s="4">
        <v>18</v>
      </c>
      <c r="AA78" s="4">
        <v>27</v>
      </c>
      <c r="AB78" s="4">
        <v>2</v>
      </c>
      <c r="AC78" s="4">
        <v>5</v>
      </c>
      <c r="AD78" s="4">
        <v>100</v>
      </c>
      <c r="AE78" s="4">
        <v>111</v>
      </c>
      <c r="AF78" s="4">
        <v>1</v>
      </c>
      <c r="AG78" s="4">
        <v>3</v>
      </c>
      <c r="AH78" s="4">
        <v>88</v>
      </c>
      <c r="AI78" s="4">
        <v>96</v>
      </c>
      <c r="AJ78" s="4">
        <v>13</v>
      </c>
      <c r="AK78" s="4">
        <v>19</v>
      </c>
      <c r="AL78" s="4">
        <v>53</v>
      </c>
      <c r="AM78" s="4">
        <v>54</v>
      </c>
      <c r="AN78" s="4">
        <v>0</v>
      </c>
      <c r="AO78" s="4">
        <v>0</v>
      </c>
      <c r="AP78" s="4">
        <v>16</v>
      </c>
      <c r="AQ78" s="4">
        <v>23</v>
      </c>
      <c r="AR78" s="3" t="s">
        <v>62</v>
      </c>
      <c r="AS78" s="3" t="s">
        <v>62</v>
      </c>
      <c r="AT78" s="3" t="s">
        <v>61</v>
      </c>
      <c r="AU78" s="6" t="str">
        <f>HYPERLINK("http://catalog.hathitrust.org/Record/004178316","HathiTrust Record")</f>
        <v>HathiTrust Record</v>
      </c>
      <c r="AV78" s="6" t="str">
        <f>HYPERLINK("http://mcgill.on.worldcat.org/oclc/44702224","Catalog Record")</f>
        <v>Catalog Record</v>
      </c>
      <c r="AW78" s="6" t="str">
        <f>HYPERLINK("http://www.worldcat.org/oclc/44702224","WorldCat Record")</f>
        <v>WorldCat Record</v>
      </c>
      <c r="AX78" s="3" t="s">
        <v>545</v>
      </c>
      <c r="AY78" s="3" t="s">
        <v>546</v>
      </c>
      <c r="AZ78" s="3" t="s">
        <v>547</v>
      </c>
      <c r="BA78" s="3" t="s">
        <v>547</v>
      </c>
      <c r="BB78" s="3" t="s">
        <v>548</v>
      </c>
      <c r="BC78" s="3" t="s">
        <v>142</v>
      </c>
      <c r="BD78" s="3" t="s">
        <v>68</v>
      </c>
      <c r="BE78" s="3" t="s">
        <v>549</v>
      </c>
      <c r="BF78" s="3" t="s">
        <v>548</v>
      </c>
      <c r="BG78" s="3" t="s">
        <v>550</v>
      </c>
    </row>
    <row r="79" spans="1:59" ht="57" x14ac:dyDescent="0.45">
      <c r="A79" s="2" t="s">
        <v>59</v>
      </c>
      <c r="B79" s="2" t="s">
        <v>60</v>
      </c>
      <c r="C79" s="2" t="s">
        <v>551</v>
      </c>
      <c r="D79" s="2" t="s">
        <v>552</v>
      </c>
      <c r="E79" s="2" t="s">
        <v>553</v>
      </c>
      <c r="G79" s="3" t="s">
        <v>62</v>
      </c>
      <c r="I79" s="3" t="s">
        <v>61</v>
      </c>
      <c r="J79" s="3" t="s">
        <v>62</v>
      </c>
      <c r="K79" s="3" t="s">
        <v>63</v>
      </c>
      <c r="M79" s="2" t="s">
        <v>554</v>
      </c>
      <c r="N79" s="3" t="s">
        <v>555</v>
      </c>
      <c r="P79" s="3" t="s">
        <v>65</v>
      </c>
      <c r="R79" s="3" t="s">
        <v>66</v>
      </c>
      <c r="S79" s="4">
        <v>3</v>
      </c>
      <c r="T79" s="4">
        <v>3</v>
      </c>
      <c r="U79" s="5" t="s">
        <v>222</v>
      </c>
      <c r="V79" s="5" t="s">
        <v>222</v>
      </c>
      <c r="W79" s="5" t="s">
        <v>67</v>
      </c>
      <c r="X79" s="5" t="s">
        <v>67</v>
      </c>
      <c r="Y79" s="4">
        <v>347</v>
      </c>
      <c r="Z79" s="4">
        <v>26</v>
      </c>
      <c r="AA79" s="4">
        <v>28</v>
      </c>
      <c r="AB79" s="4">
        <v>1</v>
      </c>
      <c r="AC79" s="4">
        <v>3</v>
      </c>
      <c r="AD79" s="4">
        <v>111</v>
      </c>
      <c r="AE79" s="4">
        <v>113</v>
      </c>
      <c r="AF79" s="4">
        <v>0</v>
      </c>
      <c r="AG79" s="4">
        <v>2</v>
      </c>
      <c r="AH79" s="4">
        <v>99</v>
      </c>
      <c r="AI79" s="4">
        <v>100</v>
      </c>
      <c r="AJ79" s="4">
        <v>17</v>
      </c>
      <c r="AK79" s="4">
        <v>19</v>
      </c>
      <c r="AL79" s="4">
        <v>55</v>
      </c>
      <c r="AM79" s="4">
        <v>55</v>
      </c>
      <c r="AN79" s="4">
        <v>0</v>
      </c>
      <c r="AO79" s="4">
        <v>0</v>
      </c>
      <c r="AP79" s="4">
        <v>22</v>
      </c>
      <c r="AQ79" s="4">
        <v>24</v>
      </c>
      <c r="AR79" s="3" t="s">
        <v>62</v>
      </c>
      <c r="AS79" s="3" t="s">
        <v>62</v>
      </c>
      <c r="AT79" s="3" t="s">
        <v>61</v>
      </c>
      <c r="AU79" s="6" t="str">
        <f>HYPERLINK("http://catalog.hathitrust.org/Record/000011045","HathiTrust Record")</f>
        <v>HathiTrust Record</v>
      </c>
      <c r="AV79" s="6" t="str">
        <f>HYPERLINK("http://mcgill.on.worldcat.org/oclc/754342","Catalog Record")</f>
        <v>Catalog Record</v>
      </c>
      <c r="AW79" s="6" t="str">
        <f>HYPERLINK("http://www.worldcat.org/oclc/754342","WorldCat Record")</f>
        <v>WorldCat Record</v>
      </c>
      <c r="AX79" s="3" t="s">
        <v>556</v>
      </c>
      <c r="AY79" s="3" t="s">
        <v>557</v>
      </c>
      <c r="AZ79" s="3" t="s">
        <v>558</v>
      </c>
      <c r="BA79" s="3" t="s">
        <v>558</v>
      </c>
      <c r="BB79" s="3" t="s">
        <v>559</v>
      </c>
      <c r="BC79" s="3" t="s">
        <v>142</v>
      </c>
      <c r="BD79" s="3" t="s">
        <v>68</v>
      </c>
      <c r="BE79" s="3" t="s">
        <v>560</v>
      </c>
      <c r="BF79" s="3" t="s">
        <v>559</v>
      </c>
      <c r="BG79" s="3" t="s">
        <v>561</v>
      </c>
    </row>
    <row r="80" spans="1:59" ht="57" x14ac:dyDescent="0.45">
      <c r="A80" s="2" t="s">
        <v>59</v>
      </c>
      <c r="B80" s="2" t="s">
        <v>60</v>
      </c>
      <c r="C80" s="2" t="s">
        <v>551</v>
      </c>
      <c r="D80" s="2" t="s">
        <v>552</v>
      </c>
      <c r="E80" s="2" t="s">
        <v>553</v>
      </c>
      <c r="G80" s="3" t="s">
        <v>62</v>
      </c>
      <c r="I80" s="3" t="s">
        <v>61</v>
      </c>
      <c r="J80" s="3" t="s">
        <v>62</v>
      </c>
      <c r="K80" s="3" t="s">
        <v>63</v>
      </c>
      <c r="M80" s="2" t="s">
        <v>554</v>
      </c>
      <c r="N80" s="3" t="s">
        <v>555</v>
      </c>
      <c r="P80" s="3" t="s">
        <v>65</v>
      </c>
      <c r="R80" s="3" t="s">
        <v>66</v>
      </c>
      <c r="S80" s="4">
        <v>0</v>
      </c>
      <c r="T80" s="4">
        <v>3</v>
      </c>
      <c r="V80" s="5" t="s">
        <v>222</v>
      </c>
      <c r="W80" s="5" t="s">
        <v>67</v>
      </c>
      <c r="X80" s="5" t="s">
        <v>67</v>
      </c>
      <c r="Y80" s="4">
        <v>347</v>
      </c>
      <c r="Z80" s="4">
        <v>26</v>
      </c>
      <c r="AA80" s="4">
        <v>28</v>
      </c>
      <c r="AB80" s="4">
        <v>1</v>
      </c>
      <c r="AC80" s="4">
        <v>3</v>
      </c>
      <c r="AD80" s="4">
        <v>111</v>
      </c>
      <c r="AE80" s="4">
        <v>113</v>
      </c>
      <c r="AF80" s="4">
        <v>0</v>
      </c>
      <c r="AG80" s="4">
        <v>2</v>
      </c>
      <c r="AH80" s="4">
        <v>99</v>
      </c>
      <c r="AI80" s="4">
        <v>100</v>
      </c>
      <c r="AJ80" s="4">
        <v>17</v>
      </c>
      <c r="AK80" s="4">
        <v>19</v>
      </c>
      <c r="AL80" s="4">
        <v>55</v>
      </c>
      <c r="AM80" s="4">
        <v>55</v>
      </c>
      <c r="AN80" s="4">
        <v>0</v>
      </c>
      <c r="AO80" s="4">
        <v>0</v>
      </c>
      <c r="AP80" s="4">
        <v>22</v>
      </c>
      <c r="AQ80" s="4">
        <v>24</v>
      </c>
      <c r="AR80" s="3" t="s">
        <v>62</v>
      </c>
      <c r="AS80" s="3" t="s">
        <v>62</v>
      </c>
      <c r="AT80" s="3" t="s">
        <v>61</v>
      </c>
      <c r="AU80" s="6" t="str">
        <f>HYPERLINK("http://catalog.hathitrust.org/Record/000011045","HathiTrust Record")</f>
        <v>HathiTrust Record</v>
      </c>
      <c r="AV80" s="6" t="str">
        <f>HYPERLINK("http://mcgill.on.worldcat.org/oclc/754342","Catalog Record")</f>
        <v>Catalog Record</v>
      </c>
      <c r="AW80" s="6" t="str">
        <f>HYPERLINK("http://www.worldcat.org/oclc/754342","WorldCat Record")</f>
        <v>WorldCat Record</v>
      </c>
      <c r="AX80" s="3" t="s">
        <v>556</v>
      </c>
      <c r="AY80" s="3" t="s">
        <v>557</v>
      </c>
      <c r="AZ80" s="3" t="s">
        <v>558</v>
      </c>
      <c r="BA80" s="3" t="s">
        <v>558</v>
      </c>
      <c r="BB80" s="3" t="s">
        <v>562</v>
      </c>
      <c r="BC80" s="3" t="s">
        <v>142</v>
      </c>
      <c r="BD80" s="3" t="s">
        <v>68</v>
      </c>
      <c r="BE80" s="3" t="s">
        <v>560</v>
      </c>
      <c r="BF80" s="3" t="s">
        <v>562</v>
      </c>
      <c r="BG80" s="3" t="s">
        <v>563</v>
      </c>
    </row>
    <row r="81" spans="1:59" ht="57" x14ac:dyDescent="0.45">
      <c r="A81" s="2" t="s">
        <v>59</v>
      </c>
      <c r="B81" s="2" t="s">
        <v>60</v>
      </c>
      <c r="C81" s="2" t="s">
        <v>564</v>
      </c>
      <c r="D81" s="2" t="s">
        <v>565</v>
      </c>
      <c r="E81" s="2" t="s">
        <v>566</v>
      </c>
      <c r="F81" s="3" t="s">
        <v>488</v>
      </c>
      <c r="G81" s="3" t="s">
        <v>61</v>
      </c>
      <c r="I81" s="3" t="s">
        <v>62</v>
      </c>
      <c r="J81" s="3" t="s">
        <v>62</v>
      </c>
      <c r="K81" s="3" t="s">
        <v>63</v>
      </c>
      <c r="M81" s="2" t="s">
        <v>567</v>
      </c>
      <c r="N81" s="3" t="s">
        <v>568</v>
      </c>
      <c r="P81" s="3" t="s">
        <v>65</v>
      </c>
      <c r="R81" s="3" t="s">
        <v>66</v>
      </c>
      <c r="S81" s="4">
        <v>14</v>
      </c>
      <c r="T81" s="4">
        <v>26</v>
      </c>
      <c r="U81" s="5" t="s">
        <v>569</v>
      </c>
      <c r="V81" s="5" t="s">
        <v>569</v>
      </c>
      <c r="W81" s="5" t="s">
        <v>67</v>
      </c>
      <c r="X81" s="5" t="s">
        <v>67</v>
      </c>
      <c r="Y81" s="4">
        <v>186</v>
      </c>
      <c r="Z81" s="4">
        <v>21</v>
      </c>
      <c r="AA81" s="4">
        <v>101</v>
      </c>
      <c r="AB81" s="4">
        <v>2</v>
      </c>
      <c r="AC81" s="4">
        <v>18</v>
      </c>
      <c r="AD81" s="4">
        <v>66</v>
      </c>
      <c r="AE81" s="4">
        <v>120</v>
      </c>
      <c r="AF81" s="4">
        <v>0</v>
      </c>
      <c r="AG81" s="4">
        <v>8</v>
      </c>
      <c r="AH81" s="4">
        <v>59</v>
      </c>
      <c r="AI81" s="4">
        <v>85</v>
      </c>
      <c r="AJ81" s="4">
        <v>15</v>
      </c>
      <c r="AK81" s="4">
        <v>26</v>
      </c>
      <c r="AL81" s="4">
        <v>33</v>
      </c>
      <c r="AM81" s="4">
        <v>42</v>
      </c>
      <c r="AN81" s="4">
        <v>0</v>
      </c>
      <c r="AO81" s="4">
        <v>0</v>
      </c>
      <c r="AP81" s="4">
        <v>16</v>
      </c>
      <c r="AQ81" s="4">
        <v>47</v>
      </c>
      <c r="AR81" s="3" t="s">
        <v>62</v>
      </c>
      <c r="AS81" s="3" t="s">
        <v>62</v>
      </c>
      <c r="AT81" s="3" t="s">
        <v>61</v>
      </c>
      <c r="AU81" s="6" t="str">
        <f>HYPERLINK("http://catalog.hathitrust.org/Record/000924285","HathiTrust Record")</f>
        <v>HathiTrust Record</v>
      </c>
      <c r="AV81" s="6" t="str">
        <f>HYPERLINK("http://mcgill.on.worldcat.org/oclc/16404650","Catalog Record")</f>
        <v>Catalog Record</v>
      </c>
      <c r="AW81" s="6" t="str">
        <f>HYPERLINK("http://www.worldcat.org/oclc/16404650","WorldCat Record")</f>
        <v>WorldCat Record</v>
      </c>
      <c r="AX81" s="3" t="s">
        <v>570</v>
      </c>
      <c r="AY81" s="3" t="s">
        <v>571</v>
      </c>
      <c r="AZ81" s="3" t="s">
        <v>572</v>
      </c>
      <c r="BA81" s="3" t="s">
        <v>572</v>
      </c>
      <c r="BB81" s="3" t="s">
        <v>573</v>
      </c>
      <c r="BC81" s="3" t="s">
        <v>142</v>
      </c>
      <c r="BD81" s="3" t="s">
        <v>68</v>
      </c>
      <c r="BE81" s="3" t="s">
        <v>574</v>
      </c>
      <c r="BF81" s="3" t="s">
        <v>573</v>
      </c>
      <c r="BG81" s="3" t="s">
        <v>575</v>
      </c>
    </row>
    <row r="82" spans="1:59" ht="57" x14ac:dyDescent="0.45">
      <c r="A82" s="2" t="s">
        <v>59</v>
      </c>
      <c r="B82" s="2" t="s">
        <v>60</v>
      </c>
      <c r="C82" s="2" t="s">
        <v>564</v>
      </c>
      <c r="D82" s="2" t="s">
        <v>565</v>
      </c>
      <c r="E82" s="2" t="s">
        <v>566</v>
      </c>
      <c r="F82" s="3" t="s">
        <v>478</v>
      </c>
      <c r="G82" s="3" t="s">
        <v>61</v>
      </c>
      <c r="I82" s="3" t="s">
        <v>62</v>
      </c>
      <c r="J82" s="3" t="s">
        <v>62</v>
      </c>
      <c r="K82" s="3" t="s">
        <v>63</v>
      </c>
      <c r="M82" s="2" t="s">
        <v>567</v>
      </c>
      <c r="N82" s="3" t="s">
        <v>568</v>
      </c>
      <c r="P82" s="3" t="s">
        <v>65</v>
      </c>
      <c r="R82" s="3" t="s">
        <v>66</v>
      </c>
      <c r="S82" s="4">
        <v>12</v>
      </c>
      <c r="T82" s="4">
        <v>26</v>
      </c>
      <c r="U82" s="5" t="s">
        <v>576</v>
      </c>
      <c r="V82" s="5" t="s">
        <v>569</v>
      </c>
      <c r="W82" s="5" t="s">
        <v>67</v>
      </c>
      <c r="X82" s="5" t="s">
        <v>67</v>
      </c>
      <c r="Y82" s="4">
        <v>186</v>
      </c>
      <c r="Z82" s="4">
        <v>21</v>
      </c>
      <c r="AA82" s="4">
        <v>101</v>
      </c>
      <c r="AB82" s="4">
        <v>2</v>
      </c>
      <c r="AC82" s="4">
        <v>18</v>
      </c>
      <c r="AD82" s="4">
        <v>66</v>
      </c>
      <c r="AE82" s="4">
        <v>120</v>
      </c>
      <c r="AF82" s="4">
        <v>0</v>
      </c>
      <c r="AG82" s="4">
        <v>8</v>
      </c>
      <c r="AH82" s="4">
        <v>59</v>
      </c>
      <c r="AI82" s="4">
        <v>85</v>
      </c>
      <c r="AJ82" s="4">
        <v>15</v>
      </c>
      <c r="AK82" s="4">
        <v>26</v>
      </c>
      <c r="AL82" s="4">
        <v>33</v>
      </c>
      <c r="AM82" s="4">
        <v>42</v>
      </c>
      <c r="AN82" s="4">
        <v>0</v>
      </c>
      <c r="AO82" s="4">
        <v>0</v>
      </c>
      <c r="AP82" s="4">
        <v>16</v>
      </c>
      <c r="AQ82" s="4">
        <v>47</v>
      </c>
      <c r="AR82" s="3" t="s">
        <v>62</v>
      </c>
      <c r="AS82" s="3" t="s">
        <v>62</v>
      </c>
      <c r="AT82" s="3" t="s">
        <v>61</v>
      </c>
      <c r="AU82" s="6" t="str">
        <f>HYPERLINK("http://catalog.hathitrust.org/Record/000924285","HathiTrust Record")</f>
        <v>HathiTrust Record</v>
      </c>
      <c r="AV82" s="6" t="str">
        <f>HYPERLINK("http://mcgill.on.worldcat.org/oclc/16404650","Catalog Record")</f>
        <v>Catalog Record</v>
      </c>
      <c r="AW82" s="6" t="str">
        <f>HYPERLINK("http://www.worldcat.org/oclc/16404650","WorldCat Record")</f>
        <v>WorldCat Record</v>
      </c>
      <c r="AX82" s="3" t="s">
        <v>570</v>
      </c>
      <c r="AY82" s="3" t="s">
        <v>571</v>
      </c>
      <c r="AZ82" s="3" t="s">
        <v>572</v>
      </c>
      <c r="BA82" s="3" t="s">
        <v>572</v>
      </c>
      <c r="BB82" s="3" t="s">
        <v>577</v>
      </c>
      <c r="BC82" s="3" t="s">
        <v>142</v>
      </c>
      <c r="BD82" s="3" t="s">
        <v>68</v>
      </c>
      <c r="BE82" s="3" t="s">
        <v>574</v>
      </c>
      <c r="BF82" s="3" t="s">
        <v>577</v>
      </c>
      <c r="BG82" s="3" t="s">
        <v>578</v>
      </c>
    </row>
    <row r="83" spans="1:59" ht="57" x14ac:dyDescent="0.45">
      <c r="A83" s="2" t="s">
        <v>59</v>
      </c>
      <c r="B83" s="2" t="s">
        <v>60</v>
      </c>
      <c r="C83" s="2" t="s">
        <v>579</v>
      </c>
      <c r="D83" s="2" t="s">
        <v>580</v>
      </c>
      <c r="E83" s="2" t="s">
        <v>581</v>
      </c>
      <c r="G83" s="3" t="s">
        <v>62</v>
      </c>
      <c r="I83" s="3" t="s">
        <v>62</v>
      </c>
      <c r="J83" s="3" t="s">
        <v>62</v>
      </c>
      <c r="K83" s="3" t="s">
        <v>63</v>
      </c>
      <c r="M83" s="2" t="s">
        <v>582</v>
      </c>
      <c r="N83" s="3" t="s">
        <v>583</v>
      </c>
      <c r="P83" s="3" t="s">
        <v>110</v>
      </c>
      <c r="Q83" s="2" t="s">
        <v>584</v>
      </c>
      <c r="R83" s="3" t="s">
        <v>66</v>
      </c>
      <c r="S83" s="4">
        <v>1</v>
      </c>
      <c r="T83" s="4">
        <v>1</v>
      </c>
      <c r="U83" s="5" t="s">
        <v>585</v>
      </c>
      <c r="V83" s="5" t="s">
        <v>585</v>
      </c>
      <c r="W83" s="5" t="s">
        <v>67</v>
      </c>
      <c r="X83" s="5" t="s">
        <v>67</v>
      </c>
      <c r="Y83" s="4">
        <v>99</v>
      </c>
      <c r="Z83" s="4">
        <v>11</v>
      </c>
      <c r="AA83" s="4">
        <v>12</v>
      </c>
      <c r="AB83" s="4">
        <v>2</v>
      </c>
      <c r="AC83" s="4">
        <v>2</v>
      </c>
      <c r="AD83" s="4">
        <v>53</v>
      </c>
      <c r="AE83" s="4">
        <v>54</v>
      </c>
      <c r="AF83" s="4">
        <v>0</v>
      </c>
      <c r="AG83" s="4">
        <v>0</v>
      </c>
      <c r="AH83" s="4">
        <v>47</v>
      </c>
      <c r="AI83" s="4">
        <v>47</v>
      </c>
      <c r="AJ83" s="4">
        <v>8</v>
      </c>
      <c r="AK83" s="4">
        <v>9</v>
      </c>
      <c r="AL83" s="4">
        <v>37</v>
      </c>
      <c r="AM83" s="4">
        <v>37</v>
      </c>
      <c r="AN83" s="4">
        <v>0</v>
      </c>
      <c r="AO83" s="4">
        <v>0</v>
      </c>
      <c r="AP83" s="4">
        <v>8</v>
      </c>
      <c r="AQ83" s="4">
        <v>9</v>
      </c>
      <c r="AR83" s="3" t="s">
        <v>62</v>
      </c>
      <c r="AS83" s="3" t="s">
        <v>62</v>
      </c>
      <c r="AT83" s="3" t="s">
        <v>61</v>
      </c>
      <c r="AU83" s="6" t="str">
        <f>HYPERLINK("http://catalog.hathitrust.org/Record/000214923","HathiTrust Record")</f>
        <v>HathiTrust Record</v>
      </c>
      <c r="AV83" s="6" t="str">
        <f>HYPERLINK("http://mcgill.on.worldcat.org/oclc/4148945","Catalog Record")</f>
        <v>Catalog Record</v>
      </c>
      <c r="AW83" s="6" t="str">
        <f>HYPERLINK("http://www.worldcat.org/oclc/4148945","WorldCat Record")</f>
        <v>WorldCat Record</v>
      </c>
      <c r="AX83" s="3" t="s">
        <v>586</v>
      </c>
      <c r="AY83" s="3" t="s">
        <v>587</v>
      </c>
      <c r="AZ83" s="3" t="s">
        <v>588</v>
      </c>
      <c r="BA83" s="3" t="s">
        <v>588</v>
      </c>
      <c r="BB83" s="3" t="s">
        <v>589</v>
      </c>
      <c r="BC83" s="3" t="s">
        <v>142</v>
      </c>
      <c r="BD83" s="3" t="s">
        <v>68</v>
      </c>
      <c r="BE83" s="3" t="s">
        <v>590</v>
      </c>
      <c r="BF83" s="3" t="s">
        <v>589</v>
      </c>
      <c r="BG83" s="3" t="s">
        <v>591</v>
      </c>
    </row>
    <row r="84" spans="1:59" ht="57" x14ac:dyDescent="0.45">
      <c r="A84" s="2" t="s">
        <v>59</v>
      </c>
      <c r="B84" s="2" t="s">
        <v>60</v>
      </c>
      <c r="C84" s="2" t="s">
        <v>592</v>
      </c>
      <c r="D84" s="2" t="s">
        <v>593</v>
      </c>
      <c r="E84" s="2" t="s">
        <v>594</v>
      </c>
      <c r="F84" s="3" t="s">
        <v>595</v>
      </c>
      <c r="G84" s="3" t="s">
        <v>61</v>
      </c>
      <c r="I84" s="3" t="s">
        <v>62</v>
      </c>
      <c r="J84" s="3" t="s">
        <v>62</v>
      </c>
      <c r="K84" s="3" t="s">
        <v>63</v>
      </c>
      <c r="N84" s="3" t="s">
        <v>340</v>
      </c>
      <c r="P84" s="3" t="s">
        <v>182</v>
      </c>
      <c r="Q84" s="2" t="s">
        <v>596</v>
      </c>
      <c r="R84" s="3" t="s">
        <v>66</v>
      </c>
      <c r="S84" s="4">
        <v>1</v>
      </c>
      <c r="T84" s="4">
        <v>5</v>
      </c>
      <c r="U84" s="5" t="s">
        <v>597</v>
      </c>
      <c r="V84" s="5" t="s">
        <v>598</v>
      </c>
      <c r="W84" s="5" t="s">
        <v>67</v>
      </c>
      <c r="X84" s="5" t="s">
        <v>67</v>
      </c>
      <c r="Y84" s="4">
        <v>39</v>
      </c>
      <c r="Z84" s="4">
        <v>5</v>
      </c>
      <c r="AA84" s="4">
        <v>5</v>
      </c>
      <c r="AB84" s="4">
        <v>1</v>
      </c>
      <c r="AC84" s="4">
        <v>1</v>
      </c>
      <c r="AD84" s="4">
        <v>18</v>
      </c>
      <c r="AE84" s="4">
        <v>18</v>
      </c>
      <c r="AF84" s="4">
        <v>0</v>
      </c>
      <c r="AG84" s="4">
        <v>0</v>
      </c>
      <c r="AH84" s="4">
        <v>17</v>
      </c>
      <c r="AI84" s="4">
        <v>17</v>
      </c>
      <c r="AJ84" s="4">
        <v>2</v>
      </c>
      <c r="AK84" s="4">
        <v>2</v>
      </c>
      <c r="AL84" s="4">
        <v>13</v>
      </c>
      <c r="AM84" s="4">
        <v>13</v>
      </c>
      <c r="AN84" s="4">
        <v>0</v>
      </c>
      <c r="AO84" s="4">
        <v>0</v>
      </c>
      <c r="AP84" s="4">
        <v>2</v>
      </c>
      <c r="AQ84" s="4">
        <v>2</v>
      </c>
      <c r="AR84" s="3" t="s">
        <v>62</v>
      </c>
      <c r="AS84" s="3" t="s">
        <v>62</v>
      </c>
      <c r="AT84" s="3" t="s">
        <v>61</v>
      </c>
      <c r="AU84" s="6" t="str">
        <f>HYPERLINK("http://catalog.hathitrust.org/Record/006793616","HathiTrust Record")</f>
        <v>HathiTrust Record</v>
      </c>
      <c r="AV84" s="6" t="str">
        <f>HYPERLINK("http://mcgill.on.worldcat.org/oclc/12054982","Catalog Record")</f>
        <v>Catalog Record</v>
      </c>
      <c r="AW84" s="6" t="str">
        <f>HYPERLINK("http://www.worldcat.org/oclc/12054982","WorldCat Record")</f>
        <v>WorldCat Record</v>
      </c>
      <c r="AX84" s="3" t="s">
        <v>599</v>
      </c>
      <c r="AY84" s="3" t="s">
        <v>600</v>
      </c>
      <c r="AZ84" s="3" t="s">
        <v>601</v>
      </c>
      <c r="BA84" s="3" t="s">
        <v>601</v>
      </c>
      <c r="BB84" s="3" t="s">
        <v>602</v>
      </c>
      <c r="BC84" s="3" t="s">
        <v>142</v>
      </c>
      <c r="BD84" s="3" t="s">
        <v>68</v>
      </c>
      <c r="BF84" s="3" t="s">
        <v>602</v>
      </c>
      <c r="BG84" s="3" t="s">
        <v>603</v>
      </c>
    </row>
    <row r="85" spans="1:59" ht="57" x14ac:dyDescent="0.45">
      <c r="A85" s="2" t="s">
        <v>59</v>
      </c>
      <c r="B85" s="2" t="s">
        <v>60</v>
      </c>
      <c r="C85" s="2" t="s">
        <v>592</v>
      </c>
      <c r="D85" s="2" t="s">
        <v>593</v>
      </c>
      <c r="E85" s="2" t="s">
        <v>594</v>
      </c>
      <c r="F85" s="3" t="s">
        <v>488</v>
      </c>
      <c r="G85" s="3" t="s">
        <v>61</v>
      </c>
      <c r="I85" s="3" t="s">
        <v>62</v>
      </c>
      <c r="J85" s="3" t="s">
        <v>62</v>
      </c>
      <c r="K85" s="3" t="s">
        <v>63</v>
      </c>
      <c r="N85" s="3" t="s">
        <v>340</v>
      </c>
      <c r="P85" s="3" t="s">
        <v>182</v>
      </c>
      <c r="Q85" s="2" t="s">
        <v>596</v>
      </c>
      <c r="R85" s="3" t="s">
        <v>66</v>
      </c>
      <c r="S85" s="4">
        <v>2</v>
      </c>
      <c r="T85" s="4">
        <v>5</v>
      </c>
      <c r="U85" s="5" t="s">
        <v>598</v>
      </c>
      <c r="V85" s="5" t="s">
        <v>598</v>
      </c>
      <c r="W85" s="5" t="s">
        <v>67</v>
      </c>
      <c r="X85" s="5" t="s">
        <v>67</v>
      </c>
      <c r="Y85" s="4">
        <v>39</v>
      </c>
      <c r="Z85" s="4">
        <v>5</v>
      </c>
      <c r="AA85" s="4">
        <v>5</v>
      </c>
      <c r="AB85" s="4">
        <v>1</v>
      </c>
      <c r="AC85" s="4">
        <v>1</v>
      </c>
      <c r="AD85" s="4">
        <v>18</v>
      </c>
      <c r="AE85" s="4">
        <v>18</v>
      </c>
      <c r="AF85" s="4">
        <v>0</v>
      </c>
      <c r="AG85" s="4">
        <v>0</v>
      </c>
      <c r="AH85" s="4">
        <v>17</v>
      </c>
      <c r="AI85" s="4">
        <v>17</v>
      </c>
      <c r="AJ85" s="4">
        <v>2</v>
      </c>
      <c r="AK85" s="4">
        <v>2</v>
      </c>
      <c r="AL85" s="4">
        <v>13</v>
      </c>
      <c r="AM85" s="4">
        <v>13</v>
      </c>
      <c r="AN85" s="4">
        <v>0</v>
      </c>
      <c r="AO85" s="4">
        <v>0</v>
      </c>
      <c r="AP85" s="4">
        <v>2</v>
      </c>
      <c r="AQ85" s="4">
        <v>2</v>
      </c>
      <c r="AR85" s="3" t="s">
        <v>62</v>
      </c>
      <c r="AS85" s="3" t="s">
        <v>62</v>
      </c>
      <c r="AT85" s="3" t="s">
        <v>61</v>
      </c>
      <c r="AU85" s="6" t="str">
        <f>HYPERLINK("http://catalog.hathitrust.org/Record/006793616","HathiTrust Record")</f>
        <v>HathiTrust Record</v>
      </c>
      <c r="AV85" s="6" t="str">
        <f>HYPERLINK("http://mcgill.on.worldcat.org/oclc/12054982","Catalog Record")</f>
        <v>Catalog Record</v>
      </c>
      <c r="AW85" s="6" t="str">
        <f>HYPERLINK("http://www.worldcat.org/oclc/12054982","WorldCat Record")</f>
        <v>WorldCat Record</v>
      </c>
      <c r="AX85" s="3" t="s">
        <v>599</v>
      </c>
      <c r="AY85" s="3" t="s">
        <v>600</v>
      </c>
      <c r="AZ85" s="3" t="s">
        <v>601</v>
      </c>
      <c r="BA85" s="3" t="s">
        <v>601</v>
      </c>
      <c r="BB85" s="3" t="s">
        <v>604</v>
      </c>
      <c r="BC85" s="3" t="s">
        <v>142</v>
      </c>
      <c r="BD85" s="3" t="s">
        <v>68</v>
      </c>
      <c r="BF85" s="3" t="s">
        <v>604</v>
      </c>
      <c r="BG85" s="3" t="s">
        <v>605</v>
      </c>
    </row>
    <row r="86" spans="1:59" ht="57" x14ac:dyDescent="0.45">
      <c r="A86" s="2" t="s">
        <v>59</v>
      </c>
      <c r="B86" s="2" t="s">
        <v>60</v>
      </c>
      <c r="C86" s="2" t="s">
        <v>592</v>
      </c>
      <c r="D86" s="2" t="s">
        <v>593</v>
      </c>
      <c r="E86" s="2" t="s">
        <v>594</v>
      </c>
      <c r="F86" s="3" t="s">
        <v>478</v>
      </c>
      <c r="G86" s="3" t="s">
        <v>61</v>
      </c>
      <c r="I86" s="3" t="s">
        <v>62</v>
      </c>
      <c r="J86" s="3" t="s">
        <v>62</v>
      </c>
      <c r="K86" s="3" t="s">
        <v>63</v>
      </c>
      <c r="N86" s="3" t="s">
        <v>340</v>
      </c>
      <c r="P86" s="3" t="s">
        <v>182</v>
      </c>
      <c r="Q86" s="2" t="s">
        <v>596</v>
      </c>
      <c r="R86" s="3" t="s">
        <v>66</v>
      </c>
      <c r="S86" s="4">
        <v>2</v>
      </c>
      <c r="T86" s="4">
        <v>5</v>
      </c>
      <c r="U86" s="5" t="s">
        <v>606</v>
      </c>
      <c r="V86" s="5" t="s">
        <v>598</v>
      </c>
      <c r="W86" s="5" t="s">
        <v>67</v>
      </c>
      <c r="X86" s="5" t="s">
        <v>67</v>
      </c>
      <c r="Y86" s="4">
        <v>39</v>
      </c>
      <c r="Z86" s="4">
        <v>5</v>
      </c>
      <c r="AA86" s="4">
        <v>5</v>
      </c>
      <c r="AB86" s="4">
        <v>1</v>
      </c>
      <c r="AC86" s="4">
        <v>1</v>
      </c>
      <c r="AD86" s="4">
        <v>18</v>
      </c>
      <c r="AE86" s="4">
        <v>18</v>
      </c>
      <c r="AF86" s="4">
        <v>0</v>
      </c>
      <c r="AG86" s="4">
        <v>0</v>
      </c>
      <c r="AH86" s="4">
        <v>17</v>
      </c>
      <c r="AI86" s="4">
        <v>17</v>
      </c>
      <c r="AJ86" s="4">
        <v>2</v>
      </c>
      <c r="AK86" s="4">
        <v>2</v>
      </c>
      <c r="AL86" s="4">
        <v>13</v>
      </c>
      <c r="AM86" s="4">
        <v>13</v>
      </c>
      <c r="AN86" s="4">
        <v>0</v>
      </c>
      <c r="AO86" s="4">
        <v>0</v>
      </c>
      <c r="AP86" s="4">
        <v>2</v>
      </c>
      <c r="AQ86" s="4">
        <v>2</v>
      </c>
      <c r="AR86" s="3" t="s">
        <v>62</v>
      </c>
      <c r="AS86" s="3" t="s">
        <v>62</v>
      </c>
      <c r="AT86" s="3" t="s">
        <v>61</v>
      </c>
      <c r="AU86" s="6" t="str">
        <f>HYPERLINK("http://catalog.hathitrust.org/Record/006793616","HathiTrust Record")</f>
        <v>HathiTrust Record</v>
      </c>
      <c r="AV86" s="6" t="str">
        <f>HYPERLINK("http://mcgill.on.worldcat.org/oclc/12054982","Catalog Record")</f>
        <v>Catalog Record</v>
      </c>
      <c r="AW86" s="6" t="str">
        <f>HYPERLINK("http://www.worldcat.org/oclc/12054982","WorldCat Record")</f>
        <v>WorldCat Record</v>
      </c>
      <c r="AX86" s="3" t="s">
        <v>599</v>
      </c>
      <c r="AY86" s="3" t="s">
        <v>600</v>
      </c>
      <c r="AZ86" s="3" t="s">
        <v>601</v>
      </c>
      <c r="BA86" s="3" t="s">
        <v>601</v>
      </c>
      <c r="BB86" s="3" t="s">
        <v>607</v>
      </c>
      <c r="BC86" s="3" t="s">
        <v>142</v>
      </c>
      <c r="BD86" s="3" t="s">
        <v>68</v>
      </c>
      <c r="BF86" s="3" t="s">
        <v>607</v>
      </c>
      <c r="BG86" s="3" t="s">
        <v>608</v>
      </c>
    </row>
    <row r="87" spans="1:59" ht="57" x14ac:dyDescent="0.45">
      <c r="A87" s="2" t="s">
        <v>59</v>
      </c>
      <c r="B87" s="2" t="s">
        <v>60</v>
      </c>
      <c r="C87" s="2" t="s">
        <v>609</v>
      </c>
      <c r="D87" s="2" t="s">
        <v>610</v>
      </c>
      <c r="E87" s="2" t="s">
        <v>611</v>
      </c>
      <c r="F87" s="3" t="s">
        <v>478</v>
      </c>
      <c r="G87" s="3" t="s">
        <v>61</v>
      </c>
      <c r="I87" s="3" t="s">
        <v>62</v>
      </c>
      <c r="J87" s="3" t="s">
        <v>62</v>
      </c>
      <c r="K87" s="3" t="s">
        <v>63</v>
      </c>
      <c r="M87" s="2" t="s">
        <v>612</v>
      </c>
      <c r="N87" s="3" t="s">
        <v>106</v>
      </c>
      <c r="P87" s="3" t="s">
        <v>182</v>
      </c>
      <c r="R87" s="3" t="s">
        <v>66</v>
      </c>
      <c r="S87" s="4">
        <v>4</v>
      </c>
      <c r="T87" s="4">
        <v>7</v>
      </c>
      <c r="U87" s="5" t="s">
        <v>613</v>
      </c>
      <c r="V87" s="5" t="s">
        <v>613</v>
      </c>
      <c r="W87" s="5" t="s">
        <v>67</v>
      </c>
      <c r="X87" s="5" t="s">
        <v>67</v>
      </c>
      <c r="Y87" s="4">
        <v>53</v>
      </c>
      <c r="Z87" s="4">
        <v>3</v>
      </c>
      <c r="AA87" s="4">
        <v>3</v>
      </c>
      <c r="AB87" s="4">
        <v>1</v>
      </c>
      <c r="AC87" s="4">
        <v>1</v>
      </c>
      <c r="AD87" s="4">
        <v>34</v>
      </c>
      <c r="AE87" s="4">
        <v>35</v>
      </c>
      <c r="AF87" s="4">
        <v>0</v>
      </c>
      <c r="AG87" s="4">
        <v>0</v>
      </c>
      <c r="AH87" s="4">
        <v>32</v>
      </c>
      <c r="AI87" s="4">
        <v>33</v>
      </c>
      <c r="AJ87" s="4">
        <v>2</v>
      </c>
      <c r="AK87" s="4">
        <v>2</v>
      </c>
      <c r="AL87" s="4">
        <v>23</v>
      </c>
      <c r="AM87" s="4">
        <v>24</v>
      </c>
      <c r="AN87" s="4">
        <v>0</v>
      </c>
      <c r="AO87" s="4">
        <v>0</v>
      </c>
      <c r="AP87" s="4">
        <v>2</v>
      </c>
      <c r="AQ87" s="4">
        <v>2</v>
      </c>
      <c r="AR87" s="3" t="s">
        <v>62</v>
      </c>
      <c r="AS87" s="3" t="s">
        <v>62</v>
      </c>
      <c r="AT87" s="3" t="s">
        <v>62</v>
      </c>
      <c r="AV87" s="6" t="str">
        <f>HYPERLINK("http://mcgill.on.worldcat.org/oclc/10302624","Catalog Record")</f>
        <v>Catalog Record</v>
      </c>
      <c r="AW87" s="6" t="str">
        <f>HYPERLINK("http://www.worldcat.org/oclc/10302624","WorldCat Record")</f>
        <v>WorldCat Record</v>
      </c>
      <c r="AX87" s="3" t="s">
        <v>614</v>
      </c>
      <c r="AY87" s="3" t="s">
        <v>615</v>
      </c>
      <c r="AZ87" s="3" t="s">
        <v>616</v>
      </c>
      <c r="BA87" s="3" t="s">
        <v>616</v>
      </c>
      <c r="BB87" s="3" t="s">
        <v>617</v>
      </c>
      <c r="BC87" s="3" t="s">
        <v>142</v>
      </c>
      <c r="BD87" s="3" t="s">
        <v>68</v>
      </c>
      <c r="BF87" s="3" t="s">
        <v>617</v>
      </c>
      <c r="BG87" s="3" t="s">
        <v>618</v>
      </c>
    </row>
    <row r="88" spans="1:59" ht="57" x14ac:dyDescent="0.45">
      <c r="A88" s="2" t="s">
        <v>59</v>
      </c>
      <c r="B88" s="2" t="s">
        <v>60</v>
      </c>
      <c r="C88" s="2" t="s">
        <v>609</v>
      </c>
      <c r="D88" s="2" t="s">
        <v>610</v>
      </c>
      <c r="E88" s="2" t="s">
        <v>611</v>
      </c>
      <c r="F88" s="3" t="s">
        <v>488</v>
      </c>
      <c r="G88" s="3" t="s">
        <v>61</v>
      </c>
      <c r="I88" s="3" t="s">
        <v>62</v>
      </c>
      <c r="J88" s="3" t="s">
        <v>62</v>
      </c>
      <c r="K88" s="3" t="s">
        <v>63</v>
      </c>
      <c r="M88" s="2" t="s">
        <v>612</v>
      </c>
      <c r="N88" s="3" t="s">
        <v>106</v>
      </c>
      <c r="P88" s="3" t="s">
        <v>182</v>
      </c>
      <c r="R88" s="3" t="s">
        <v>66</v>
      </c>
      <c r="S88" s="4">
        <v>3</v>
      </c>
      <c r="T88" s="4">
        <v>7</v>
      </c>
      <c r="U88" s="5" t="s">
        <v>613</v>
      </c>
      <c r="V88" s="5" t="s">
        <v>613</v>
      </c>
      <c r="W88" s="5" t="s">
        <v>67</v>
      </c>
      <c r="X88" s="5" t="s">
        <v>67</v>
      </c>
      <c r="Y88" s="4">
        <v>53</v>
      </c>
      <c r="Z88" s="4">
        <v>3</v>
      </c>
      <c r="AA88" s="4">
        <v>3</v>
      </c>
      <c r="AB88" s="4">
        <v>1</v>
      </c>
      <c r="AC88" s="4">
        <v>1</v>
      </c>
      <c r="AD88" s="4">
        <v>34</v>
      </c>
      <c r="AE88" s="4">
        <v>35</v>
      </c>
      <c r="AF88" s="4">
        <v>0</v>
      </c>
      <c r="AG88" s="4">
        <v>0</v>
      </c>
      <c r="AH88" s="4">
        <v>32</v>
      </c>
      <c r="AI88" s="4">
        <v>33</v>
      </c>
      <c r="AJ88" s="4">
        <v>2</v>
      </c>
      <c r="AK88" s="4">
        <v>2</v>
      </c>
      <c r="AL88" s="4">
        <v>23</v>
      </c>
      <c r="AM88" s="4">
        <v>24</v>
      </c>
      <c r="AN88" s="4">
        <v>0</v>
      </c>
      <c r="AO88" s="4">
        <v>0</v>
      </c>
      <c r="AP88" s="4">
        <v>2</v>
      </c>
      <c r="AQ88" s="4">
        <v>2</v>
      </c>
      <c r="AR88" s="3" t="s">
        <v>62</v>
      </c>
      <c r="AS88" s="3" t="s">
        <v>62</v>
      </c>
      <c r="AT88" s="3" t="s">
        <v>62</v>
      </c>
      <c r="AV88" s="6" t="str">
        <f>HYPERLINK("http://mcgill.on.worldcat.org/oclc/10302624","Catalog Record")</f>
        <v>Catalog Record</v>
      </c>
      <c r="AW88" s="6" t="str">
        <f>HYPERLINK("http://www.worldcat.org/oclc/10302624","WorldCat Record")</f>
        <v>WorldCat Record</v>
      </c>
      <c r="AX88" s="3" t="s">
        <v>614</v>
      </c>
      <c r="AY88" s="3" t="s">
        <v>615</v>
      </c>
      <c r="AZ88" s="3" t="s">
        <v>616</v>
      </c>
      <c r="BA88" s="3" t="s">
        <v>616</v>
      </c>
      <c r="BB88" s="3" t="s">
        <v>619</v>
      </c>
      <c r="BC88" s="3" t="s">
        <v>142</v>
      </c>
      <c r="BD88" s="3" t="s">
        <v>68</v>
      </c>
      <c r="BF88" s="3" t="s">
        <v>619</v>
      </c>
      <c r="BG88" s="3" t="s">
        <v>620</v>
      </c>
    </row>
    <row r="89" spans="1:59" ht="57" x14ac:dyDescent="0.45">
      <c r="A89" s="2" t="s">
        <v>59</v>
      </c>
      <c r="B89" s="2" t="s">
        <v>60</v>
      </c>
      <c r="C89" s="2" t="s">
        <v>621</v>
      </c>
      <c r="D89" s="2" t="s">
        <v>622</v>
      </c>
      <c r="E89" s="2" t="s">
        <v>623</v>
      </c>
      <c r="G89" s="3" t="s">
        <v>62</v>
      </c>
      <c r="I89" s="3" t="s">
        <v>62</v>
      </c>
      <c r="J89" s="3" t="s">
        <v>62</v>
      </c>
      <c r="K89" s="3" t="s">
        <v>63</v>
      </c>
      <c r="M89" s="2" t="s">
        <v>624</v>
      </c>
      <c r="N89" s="3" t="s">
        <v>625</v>
      </c>
      <c r="P89" s="3" t="s">
        <v>65</v>
      </c>
      <c r="R89" s="3" t="s">
        <v>66</v>
      </c>
      <c r="S89" s="4">
        <v>8</v>
      </c>
      <c r="T89" s="4">
        <v>8</v>
      </c>
      <c r="U89" s="5" t="s">
        <v>626</v>
      </c>
      <c r="V89" s="5" t="s">
        <v>626</v>
      </c>
      <c r="W89" s="5" t="s">
        <v>67</v>
      </c>
      <c r="X89" s="5" t="s">
        <v>67</v>
      </c>
      <c r="Y89" s="4">
        <v>36</v>
      </c>
      <c r="Z89" s="4">
        <v>2</v>
      </c>
      <c r="AA89" s="4">
        <v>2</v>
      </c>
      <c r="AB89" s="4">
        <v>2</v>
      </c>
      <c r="AC89" s="4">
        <v>2</v>
      </c>
      <c r="AD89" s="4">
        <v>17</v>
      </c>
      <c r="AE89" s="4">
        <v>17</v>
      </c>
      <c r="AF89" s="4">
        <v>0</v>
      </c>
      <c r="AG89" s="4">
        <v>0</v>
      </c>
      <c r="AH89" s="4">
        <v>16</v>
      </c>
      <c r="AI89" s="4">
        <v>16</v>
      </c>
      <c r="AJ89" s="4">
        <v>0</v>
      </c>
      <c r="AK89" s="4">
        <v>0</v>
      </c>
      <c r="AL89" s="4">
        <v>13</v>
      </c>
      <c r="AM89" s="4">
        <v>13</v>
      </c>
      <c r="AN89" s="4">
        <v>0</v>
      </c>
      <c r="AO89" s="4">
        <v>0</v>
      </c>
      <c r="AP89" s="4">
        <v>0</v>
      </c>
      <c r="AQ89" s="4">
        <v>0</v>
      </c>
      <c r="AR89" s="3" t="s">
        <v>62</v>
      </c>
      <c r="AS89" s="3" t="s">
        <v>62</v>
      </c>
      <c r="AT89" s="3" t="s">
        <v>62</v>
      </c>
      <c r="AV89" s="6" t="str">
        <f>HYPERLINK("http://mcgill.on.worldcat.org/oclc/13863824","Catalog Record")</f>
        <v>Catalog Record</v>
      </c>
      <c r="AW89" s="6" t="str">
        <f>HYPERLINK("http://www.worldcat.org/oclc/13863824","WorldCat Record")</f>
        <v>WorldCat Record</v>
      </c>
      <c r="AX89" s="3" t="s">
        <v>627</v>
      </c>
      <c r="AY89" s="3" t="s">
        <v>628</v>
      </c>
      <c r="AZ89" s="3" t="s">
        <v>629</v>
      </c>
      <c r="BA89" s="3" t="s">
        <v>629</v>
      </c>
      <c r="BB89" s="3" t="s">
        <v>630</v>
      </c>
      <c r="BC89" s="3" t="s">
        <v>142</v>
      </c>
      <c r="BD89" s="3" t="s">
        <v>68</v>
      </c>
      <c r="BE89" s="3" t="s">
        <v>631</v>
      </c>
      <c r="BF89" s="3" t="s">
        <v>630</v>
      </c>
      <c r="BG89" s="3" t="s">
        <v>632</v>
      </c>
    </row>
    <row r="90" spans="1:59" ht="57" x14ac:dyDescent="0.45">
      <c r="A90" s="2" t="s">
        <v>59</v>
      </c>
      <c r="B90" s="2" t="s">
        <v>60</v>
      </c>
      <c r="C90" s="2" t="s">
        <v>633</v>
      </c>
      <c r="D90" s="2" t="s">
        <v>634</v>
      </c>
      <c r="E90" s="2" t="s">
        <v>635</v>
      </c>
      <c r="F90" s="3" t="s">
        <v>488</v>
      </c>
      <c r="G90" s="3" t="s">
        <v>61</v>
      </c>
      <c r="I90" s="3" t="s">
        <v>62</v>
      </c>
      <c r="J90" s="3" t="s">
        <v>62</v>
      </c>
      <c r="K90" s="3" t="s">
        <v>63</v>
      </c>
      <c r="M90" s="2" t="s">
        <v>636</v>
      </c>
      <c r="N90" s="3" t="s">
        <v>480</v>
      </c>
      <c r="P90" s="3" t="s">
        <v>65</v>
      </c>
      <c r="Q90" s="2" t="s">
        <v>637</v>
      </c>
      <c r="R90" s="3" t="s">
        <v>66</v>
      </c>
      <c r="S90" s="4">
        <v>2</v>
      </c>
      <c r="T90" s="4">
        <v>5</v>
      </c>
      <c r="U90" s="5" t="s">
        <v>638</v>
      </c>
      <c r="V90" s="5" t="s">
        <v>638</v>
      </c>
      <c r="W90" s="5" t="s">
        <v>67</v>
      </c>
      <c r="X90" s="5" t="s">
        <v>67</v>
      </c>
      <c r="Y90" s="4">
        <v>175</v>
      </c>
      <c r="Z90" s="4">
        <v>14</v>
      </c>
      <c r="AA90" s="4">
        <v>96</v>
      </c>
      <c r="AB90" s="4">
        <v>1</v>
      </c>
      <c r="AC90" s="4">
        <v>17</v>
      </c>
      <c r="AD90" s="4">
        <v>83</v>
      </c>
      <c r="AE90" s="4">
        <v>131</v>
      </c>
      <c r="AF90" s="4">
        <v>0</v>
      </c>
      <c r="AG90" s="4">
        <v>8</v>
      </c>
      <c r="AH90" s="4">
        <v>75</v>
      </c>
      <c r="AI90" s="4">
        <v>94</v>
      </c>
      <c r="AJ90" s="4">
        <v>13</v>
      </c>
      <c r="AK90" s="4">
        <v>25</v>
      </c>
      <c r="AL90" s="4">
        <v>47</v>
      </c>
      <c r="AM90" s="4">
        <v>53</v>
      </c>
      <c r="AN90" s="4">
        <v>0</v>
      </c>
      <c r="AO90" s="4">
        <v>0</v>
      </c>
      <c r="AP90" s="4">
        <v>13</v>
      </c>
      <c r="AQ90" s="4">
        <v>46</v>
      </c>
      <c r="AR90" s="3" t="s">
        <v>62</v>
      </c>
      <c r="AS90" s="3" t="s">
        <v>62</v>
      </c>
      <c r="AT90" s="3" t="s">
        <v>61</v>
      </c>
      <c r="AU90" s="6" t="str">
        <f>HYPERLINK("http://catalog.hathitrust.org/Record/000686931","HathiTrust Record")</f>
        <v>HathiTrust Record</v>
      </c>
      <c r="AV90" s="6" t="str">
        <f>HYPERLINK("http://mcgill.on.worldcat.org/oclc/6502933","Catalog Record")</f>
        <v>Catalog Record</v>
      </c>
      <c r="AW90" s="6" t="str">
        <f>HYPERLINK("http://www.worldcat.org/oclc/6502933","WorldCat Record")</f>
        <v>WorldCat Record</v>
      </c>
      <c r="AX90" s="3" t="s">
        <v>639</v>
      </c>
      <c r="AY90" s="3" t="s">
        <v>640</v>
      </c>
      <c r="AZ90" s="3" t="s">
        <v>641</v>
      </c>
      <c r="BA90" s="3" t="s">
        <v>641</v>
      </c>
      <c r="BB90" s="3" t="s">
        <v>642</v>
      </c>
      <c r="BC90" s="3" t="s">
        <v>142</v>
      </c>
      <c r="BD90" s="3" t="s">
        <v>68</v>
      </c>
      <c r="BE90" s="3" t="s">
        <v>643</v>
      </c>
      <c r="BF90" s="3" t="s">
        <v>642</v>
      </c>
      <c r="BG90" s="3" t="s">
        <v>644</v>
      </c>
    </row>
    <row r="91" spans="1:59" ht="57" x14ac:dyDescent="0.45">
      <c r="A91" s="2" t="s">
        <v>59</v>
      </c>
      <c r="B91" s="2" t="s">
        <v>60</v>
      </c>
      <c r="C91" s="2" t="s">
        <v>633</v>
      </c>
      <c r="D91" s="2" t="s">
        <v>634</v>
      </c>
      <c r="E91" s="2" t="s">
        <v>635</v>
      </c>
      <c r="F91" s="3" t="s">
        <v>478</v>
      </c>
      <c r="G91" s="3" t="s">
        <v>61</v>
      </c>
      <c r="I91" s="3" t="s">
        <v>62</v>
      </c>
      <c r="J91" s="3" t="s">
        <v>62</v>
      </c>
      <c r="K91" s="3" t="s">
        <v>63</v>
      </c>
      <c r="M91" s="2" t="s">
        <v>636</v>
      </c>
      <c r="N91" s="3" t="s">
        <v>480</v>
      </c>
      <c r="P91" s="3" t="s">
        <v>65</v>
      </c>
      <c r="Q91" s="2" t="s">
        <v>637</v>
      </c>
      <c r="R91" s="3" t="s">
        <v>66</v>
      </c>
      <c r="S91" s="4">
        <v>3</v>
      </c>
      <c r="T91" s="4">
        <v>5</v>
      </c>
      <c r="U91" s="5" t="s">
        <v>645</v>
      </c>
      <c r="V91" s="5" t="s">
        <v>638</v>
      </c>
      <c r="W91" s="5" t="s">
        <v>67</v>
      </c>
      <c r="X91" s="5" t="s">
        <v>67</v>
      </c>
      <c r="Y91" s="4">
        <v>175</v>
      </c>
      <c r="Z91" s="4">
        <v>14</v>
      </c>
      <c r="AA91" s="4">
        <v>96</v>
      </c>
      <c r="AB91" s="4">
        <v>1</v>
      </c>
      <c r="AC91" s="4">
        <v>17</v>
      </c>
      <c r="AD91" s="4">
        <v>83</v>
      </c>
      <c r="AE91" s="4">
        <v>131</v>
      </c>
      <c r="AF91" s="4">
        <v>0</v>
      </c>
      <c r="AG91" s="4">
        <v>8</v>
      </c>
      <c r="AH91" s="4">
        <v>75</v>
      </c>
      <c r="AI91" s="4">
        <v>94</v>
      </c>
      <c r="AJ91" s="4">
        <v>13</v>
      </c>
      <c r="AK91" s="4">
        <v>25</v>
      </c>
      <c r="AL91" s="4">
        <v>47</v>
      </c>
      <c r="AM91" s="4">
        <v>53</v>
      </c>
      <c r="AN91" s="4">
        <v>0</v>
      </c>
      <c r="AO91" s="4">
        <v>0</v>
      </c>
      <c r="AP91" s="4">
        <v>13</v>
      </c>
      <c r="AQ91" s="4">
        <v>46</v>
      </c>
      <c r="AR91" s="3" t="s">
        <v>62</v>
      </c>
      <c r="AS91" s="3" t="s">
        <v>62</v>
      </c>
      <c r="AT91" s="3" t="s">
        <v>61</v>
      </c>
      <c r="AU91" s="6" t="str">
        <f>HYPERLINK("http://catalog.hathitrust.org/Record/000686931","HathiTrust Record")</f>
        <v>HathiTrust Record</v>
      </c>
      <c r="AV91" s="6" t="str">
        <f>HYPERLINK("http://mcgill.on.worldcat.org/oclc/6502933","Catalog Record")</f>
        <v>Catalog Record</v>
      </c>
      <c r="AW91" s="6" t="str">
        <f>HYPERLINK("http://www.worldcat.org/oclc/6502933","WorldCat Record")</f>
        <v>WorldCat Record</v>
      </c>
      <c r="AX91" s="3" t="s">
        <v>639</v>
      </c>
      <c r="AY91" s="3" t="s">
        <v>640</v>
      </c>
      <c r="AZ91" s="3" t="s">
        <v>641</v>
      </c>
      <c r="BA91" s="3" t="s">
        <v>641</v>
      </c>
      <c r="BB91" s="3" t="s">
        <v>646</v>
      </c>
      <c r="BC91" s="3" t="s">
        <v>142</v>
      </c>
      <c r="BD91" s="3" t="s">
        <v>68</v>
      </c>
      <c r="BE91" s="3" t="s">
        <v>643</v>
      </c>
      <c r="BF91" s="3" t="s">
        <v>646</v>
      </c>
      <c r="BG91" s="3" t="s">
        <v>647</v>
      </c>
    </row>
    <row r="92" spans="1:59" ht="57" x14ac:dyDescent="0.45">
      <c r="A92" s="2" t="s">
        <v>59</v>
      </c>
      <c r="B92" s="2" t="s">
        <v>60</v>
      </c>
      <c r="C92" s="2" t="s">
        <v>648</v>
      </c>
      <c r="D92" s="2" t="s">
        <v>649</v>
      </c>
      <c r="E92" s="2" t="s">
        <v>650</v>
      </c>
      <c r="G92" s="3" t="s">
        <v>62</v>
      </c>
      <c r="I92" s="3" t="s">
        <v>61</v>
      </c>
      <c r="J92" s="3" t="s">
        <v>62</v>
      </c>
      <c r="K92" s="3" t="s">
        <v>63</v>
      </c>
      <c r="L92" s="2" t="s">
        <v>651</v>
      </c>
      <c r="M92" s="2" t="s">
        <v>652</v>
      </c>
      <c r="N92" s="3" t="s">
        <v>220</v>
      </c>
      <c r="P92" s="3" t="s">
        <v>65</v>
      </c>
      <c r="Q92" s="2" t="s">
        <v>653</v>
      </c>
      <c r="R92" s="3" t="s">
        <v>66</v>
      </c>
      <c r="S92" s="4">
        <v>40</v>
      </c>
      <c r="T92" s="4">
        <v>59</v>
      </c>
      <c r="U92" s="5" t="s">
        <v>654</v>
      </c>
      <c r="V92" s="5" t="s">
        <v>654</v>
      </c>
      <c r="W92" s="5" t="s">
        <v>67</v>
      </c>
      <c r="X92" s="5" t="s">
        <v>67</v>
      </c>
      <c r="Y92" s="4">
        <v>918</v>
      </c>
      <c r="Z92" s="4">
        <v>48</v>
      </c>
      <c r="AA92" s="4">
        <v>57</v>
      </c>
      <c r="AB92" s="4">
        <v>4</v>
      </c>
      <c r="AC92" s="4">
        <v>7</v>
      </c>
      <c r="AD92" s="4">
        <v>123</v>
      </c>
      <c r="AE92" s="4">
        <v>133</v>
      </c>
      <c r="AF92" s="4">
        <v>2</v>
      </c>
      <c r="AG92" s="4">
        <v>5</v>
      </c>
      <c r="AH92" s="4">
        <v>97</v>
      </c>
      <c r="AI92" s="4">
        <v>100</v>
      </c>
      <c r="AJ92" s="4">
        <v>21</v>
      </c>
      <c r="AK92" s="4">
        <v>25</v>
      </c>
      <c r="AL92" s="4">
        <v>54</v>
      </c>
      <c r="AM92" s="4">
        <v>56</v>
      </c>
      <c r="AN92" s="4">
        <v>0</v>
      </c>
      <c r="AO92" s="4">
        <v>0</v>
      </c>
      <c r="AP92" s="4">
        <v>35</v>
      </c>
      <c r="AQ92" s="4">
        <v>41</v>
      </c>
      <c r="AR92" s="3" t="s">
        <v>62</v>
      </c>
      <c r="AS92" s="3" t="s">
        <v>62</v>
      </c>
      <c r="AT92" s="3" t="s">
        <v>61</v>
      </c>
      <c r="AU92" s="6" t="str">
        <f>HYPERLINK("http://catalog.hathitrust.org/Record/001434663","HathiTrust Record")</f>
        <v>HathiTrust Record</v>
      </c>
      <c r="AV92" s="6" t="str">
        <f>HYPERLINK("http://mcgill.on.worldcat.org/oclc/129256","Catalog Record")</f>
        <v>Catalog Record</v>
      </c>
      <c r="AW92" s="6" t="str">
        <f>HYPERLINK("http://www.worldcat.org/oclc/129256","WorldCat Record")</f>
        <v>WorldCat Record</v>
      </c>
      <c r="AX92" s="3" t="s">
        <v>655</v>
      </c>
      <c r="AY92" s="3" t="s">
        <v>656</v>
      </c>
      <c r="AZ92" s="3" t="s">
        <v>657</v>
      </c>
      <c r="BA92" s="3" t="s">
        <v>657</v>
      </c>
      <c r="BB92" s="3" t="s">
        <v>658</v>
      </c>
      <c r="BC92" s="3" t="s">
        <v>142</v>
      </c>
      <c r="BD92" s="3" t="s">
        <v>68</v>
      </c>
      <c r="BE92" s="3" t="s">
        <v>659</v>
      </c>
      <c r="BF92" s="3" t="s">
        <v>658</v>
      </c>
      <c r="BG92" s="3" t="s">
        <v>660</v>
      </c>
    </row>
    <row r="93" spans="1:59" ht="57" x14ac:dyDescent="0.45">
      <c r="A93" s="2" t="s">
        <v>59</v>
      </c>
      <c r="B93" s="2" t="s">
        <v>60</v>
      </c>
      <c r="C93" s="2" t="s">
        <v>648</v>
      </c>
      <c r="D93" s="2" t="s">
        <v>649</v>
      </c>
      <c r="E93" s="2" t="s">
        <v>650</v>
      </c>
      <c r="G93" s="3" t="s">
        <v>62</v>
      </c>
      <c r="I93" s="3" t="s">
        <v>61</v>
      </c>
      <c r="J93" s="3" t="s">
        <v>62</v>
      </c>
      <c r="K93" s="3" t="s">
        <v>63</v>
      </c>
      <c r="L93" s="2" t="s">
        <v>651</v>
      </c>
      <c r="M93" s="2" t="s">
        <v>652</v>
      </c>
      <c r="N93" s="3" t="s">
        <v>220</v>
      </c>
      <c r="P93" s="3" t="s">
        <v>65</v>
      </c>
      <c r="Q93" s="2" t="s">
        <v>653</v>
      </c>
      <c r="R93" s="3" t="s">
        <v>66</v>
      </c>
      <c r="S93" s="4">
        <v>11</v>
      </c>
      <c r="T93" s="4">
        <v>59</v>
      </c>
      <c r="U93" s="5" t="s">
        <v>661</v>
      </c>
      <c r="V93" s="5" t="s">
        <v>654</v>
      </c>
      <c r="W93" s="5" t="s">
        <v>67</v>
      </c>
      <c r="X93" s="5" t="s">
        <v>67</v>
      </c>
      <c r="Y93" s="4">
        <v>918</v>
      </c>
      <c r="Z93" s="4">
        <v>48</v>
      </c>
      <c r="AA93" s="4">
        <v>57</v>
      </c>
      <c r="AB93" s="4">
        <v>4</v>
      </c>
      <c r="AC93" s="4">
        <v>7</v>
      </c>
      <c r="AD93" s="4">
        <v>123</v>
      </c>
      <c r="AE93" s="4">
        <v>133</v>
      </c>
      <c r="AF93" s="4">
        <v>2</v>
      </c>
      <c r="AG93" s="4">
        <v>5</v>
      </c>
      <c r="AH93" s="4">
        <v>97</v>
      </c>
      <c r="AI93" s="4">
        <v>100</v>
      </c>
      <c r="AJ93" s="4">
        <v>21</v>
      </c>
      <c r="AK93" s="4">
        <v>25</v>
      </c>
      <c r="AL93" s="4">
        <v>54</v>
      </c>
      <c r="AM93" s="4">
        <v>56</v>
      </c>
      <c r="AN93" s="4">
        <v>0</v>
      </c>
      <c r="AO93" s="4">
        <v>0</v>
      </c>
      <c r="AP93" s="4">
        <v>35</v>
      </c>
      <c r="AQ93" s="4">
        <v>41</v>
      </c>
      <c r="AR93" s="3" t="s">
        <v>62</v>
      </c>
      <c r="AS93" s="3" t="s">
        <v>62</v>
      </c>
      <c r="AT93" s="3" t="s">
        <v>61</v>
      </c>
      <c r="AU93" s="6" t="str">
        <f>HYPERLINK("http://catalog.hathitrust.org/Record/001434663","HathiTrust Record")</f>
        <v>HathiTrust Record</v>
      </c>
      <c r="AV93" s="6" t="str">
        <f>HYPERLINK("http://mcgill.on.worldcat.org/oclc/129256","Catalog Record")</f>
        <v>Catalog Record</v>
      </c>
      <c r="AW93" s="6" t="str">
        <f>HYPERLINK("http://www.worldcat.org/oclc/129256","WorldCat Record")</f>
        <v>WorldCat Record</v>
      </c>
      <c r="AX93" s="3" t="s">
        <v>655</v>
      </c>
      <c r="AY93" s="3" t="s">
        <v>656</v>
      </c>
      <c r="AZ93" s="3" t="s">
        <v>657</v>
      </c>
      <c r="BA93" s="3" t="s">
        <v>657</v>
      </c>
      <c r="BB93" s="3" t="s">
        <v>662</v>
      </c>
      <c r="BC93" s="3" t="s">
        <v>142</v>
      </c>
      <c r="BD93" s="3" t="s">
        <v>68</v>
      </c>
      <c r="BE93" s="3" t="s">
        <v>659</v>
      </c>
      <c r="BF93" s="3" t="s">
        <v>662</v>
      </c>
      <c r="BG93" s="3" t="s">
        <v>663</v>
      </c>
    </row>
    <row r="94" spans="1:59" ht="57" x14ac:dyDescent="0.45">
      <c r="A94" s="2" t="s">
        <v>59</v>
      </c>
      <c r="B94" s="2" t="s">
        <v>60</v>
      </c>
      <c r="C94" s="2" t="s">
        <v>648</v>
      </c>
      <c r="D94" s="2" t="s">
        <v>649</v>
      </c>
      <c r="E94" s="2" t="s">
        <v>650</v>
      </c>
      <c r="G94" s="3" t="s">
        <v>62</v>
      </c>
      <c r="I94" s="3" t="s">
        <v>61</v>
      </c>
      <c r="J94" s="3" t="s">
        <v>62</v>
      </c>
      <c r="K94" s="3" t="s">
        <v>63</v>
      </c>
      <c r="L94" s="2" t="s">
        <v>651</v>
      </c>
      <c r="M94" s="2" t="s">
        <v>652</v>
      </c>
      <c r="N94" s="3" t="s">
        <v>220</v>
      </c>
      <c r="P94" s="3" t="s">
        <v>65</v>
      </c>
      <c r="Q94" s="2" t="s">
        <v>653</v>
      </c>
      <c r="R94" s="3" t="s">
        <v>66</v>
      </c>
      <c r="S94" s="4">
        <v>8</v>
      </c>
      <c r="T94" s="4">
        <v>59</v>
      </c>
      <c r="U94" s="5" t="s">
        <v>664</v>
      </c>
      <c r="V94" s="5" t="s">
        <v>654</v>
      </c>
      <c r="W94" s="5" t="s">
        <v>67</v>
      </c>
      <c r="X94" s="5" t="s">
        <v>67</v>
      </c>
      <c r="Y94" s="4">
        <v>918</v>
      </c>
      <c r="Z94" s="4">
        <v>48</v>
      </c>
      <c r="AA94" s="4">
        <v>57</v>
      </c>
      <c r="AB94" s="4">
        <v>4</v>
      </c>
      <c r="AC94" s="4">
        <v>7</v>
      </c>
      <c r="AD94" s="4">
        <v>123</v>
      </c>
      <c r="AE94" s="4">
        <v>133</v>
      </c>
      <c r="AF94" s="4">
        <v>2</v>
      </c>
      <c r="AG94" s="4">
        <v>5</v>
      </c>
      <c r="AH94" s="4">
        <v>97</v>
      </c>
      <c r="AI94" s="4">
        <v>100</v>
      </c>
      <c r="AJ94" s="4">
        <v>21</v>
      </c>
      <c r="AK94" s="4">
        <v>25</v>
      </c>
      <c r="AL94" s="4">
        <v>54</v>
      </c>
      <c r="AM94" s="4">
        <v>56</v>
      </c>
      <c r="AN94" s="4">
        <v>0</v>
      </c>
      <c r="AO94" s="4">
        <v>0</v>
      </c>
      <c r="AP94" s="4">
        <v>35</v>
      </c>
      <c r="AQ94" s="4">
        <v>41</v>
      </c>
      <c r="AR94" s="3" t="s">
        <v>62</v>
      </c>
      <c r="AS94" s="3" t="s">
        <v>62</v>
      </c>
      <c r="AT94" s="3" t="s">
        <v>61</v>
      </c>
      <c r="AU94" s="6" t="str">
        <f>HYPERLINK("http://catalog.hathitrust.org/Record/001434663","HathiTrust Record")</f>
        <v>HathiTrust Record</v>
      </c>
      <c r="AV94" s="6" t="str">
        <f>HYPERLINK("http://mcgill.on.worldcat.org/oclc/129256","Catalog Record")</f>
        <v>Catalog Record</v>
      </c>
      <c r="AW94" s="6" t="str">
        <f>HYPERLINK("http://www.worldcat.org/oclc/129256","WorldCat Record")</f>
        <v>WorldCat Record</v>
      </c>
      <c r="AX94" s="3" t="s">
        <v>655</v>
      </c>
      <c r="AY94" s="3" t="s">
        <v>656</v>
      </c>
      <c r="AZ94" s="3" t="s">
        <v>657</v>
      </c>
      <c r="BA94" s="3" t="s">
        <v>657</v>
      </c>
      <c r="BB94" s="3" t="s">
        <v>665</v>
      </c>
      <c r="BC94" s="3" t="s">
        <v>142</v>
      </c>
      <c r="BD94" s="3" t="s">
        <v>68</v>
      </c>
      <c r="BE94" s="3" t="s">
        <v>659</v>
      </c>
      <c r="BF94" s="3" t="s">
        <v>665</v>
      </c>
      <c r="BG94" s="3" t="s">
        <v>666</v>
      </c>
    </row>
    <row r="95" spans="1:59" ht="57" x14ac:dyDescent="0.45">
      <c r="A95" s="2" t="s">
        <v>59</v>
      </c>
      <c r="B95" s="2" t="s">
        <v>60</v>
      </c>
      <c r="C95" s="2" t="s">
        <v>667</v>
      </c>
      <c r="D95" s="2" t="s">
        <v>668</v>
      </c>
      <c r="E95" s="2" t="s">
        <v>669</v>
      </c>
      <c r="G95" s="3" t="s">
        <v>62</v>
      </c>
      <c r="I95" s="3" t="s">
        <v>62</v>
      </c>
      <c r="J95" s="3" t="s">
        <v>62</v>
      </c>
      <c r="K95" s="3" t="s">
        <v>63</v>
      </c>
      <c r="L95" s="2" t="s">
        <v>670</v>
      </c>
      <c r="M95" s="2" t="s">
        <v>671</v>
      </c>
      <c r="N95" s="3" t="s">
        <v>64</v>
      </c>
      <c r="P95" s="3" t="s">
        <v>65</v>
      </c>
      <c r="R95" s="3" t="s">
        <v>66</v>
      </c>
      <c r="S95" s="4">
        <v>6</v>
      </c>
      <c r="T95" s="4">
        <v>6</v>
      </c>
      <c r="U95" s="5" t="s">
        <v>672</v>
      </c>
      <c r="V95" s="5" t="s">
        <v>672</v>
      </c>
      <c r="W95" s="5" t="s">
        <v>67</v>
      </c>
      <c r="X95" s="5" t="s">
        <v>67</v>
      </c>
      <c r="Y95" s="4">
        <v>483</v>
      </c>
      <c r="Z95" s="4">
        <v>25</v>
      </c>
      <c r="AA95" s="4">
        <v>42</v>
      </c>
      <c r="AB95" s="4">
        <v>2</v>
      </c>
      <c r="AC95" s="4">
        <v>5</v>
      </c>
      <c r="AD95" s="4">
        <v>106</v>
      </c>
      <c r="AE95" s="4">
        <v>134</v>
      </c>
      <c r="AF95" s="4">
        <v>1</v>
      </c>
      <c r="AG95" s="4">
        <v>4</v>
      </c>
      <c r="AH95" s="4">
        <v>90</v>
      </c>
      <c r="AI95" s="4">
        <v>107</v>
      </c>
      <c r="AJ95" s="4">
        <v>14</v>
      </c>
      <c r="AK95" s="4">
        <v>25</v>
      </c>
      <c r="AL95" s="4">
        <v>45</v>
      </c>
      <c r="AM95" s="4">
        <v>57</v>
      </c>
      <c r="AN95" s="4">
        <v>0</v>
      </c>
      <c r="AO95" s="4">
        <v>1</v>
      </c>
      <c r="AP95" s="4">
        <v>23</v>
      </c>
      <c r="AQ95" s="4">
        <v>36</v>
      </c>
      <c r="AR95" s="3" t="s">
        <v>62</v>
      </c>
      <c r="AS95" s="3" t="s">
        <v>62</v>
      </c>
      <c r="AT95" s="3" t="s">
        <v>61</v>
      </c>
      <c r="AU95" s="6" t="str">
        <f>HYPERLINK("http://catalog.hathitrust.org/Record/001180652","HathiTrust Record")</f>
        <v>HathiTrust Record</v>
      </c>
      <c r="AV95" s="6" t="str">
        <f>HYPERLINK("http://mcgill.on.worldcat.org/oclc/32594232","Catalog Record")</f>
        <v>Catalog Record</v>
      </c>
      <c r="AW95" s="6" t="str">
        <f>HYPERLINK("http://www.worldcat.org/oclc/32594232","WorldCat Record")</f>
        <v>WorldCat Record</v>
      </c>
      <c r="AX95" s="3" t="s">
        <v>673</v>
      </c>
      <c r="AY95" s="3" t="s">
        <v>674</v>
      </c>
      <c r="AZ95" s="3" t="s">
        <v>675</v>
      </c>
      <c r="BA95" s="3" t="s">
        <v>675</v>
      </c>
      <c r="BB95" s="3" t="s">
        <v>676</v>
      </c>
      <c r="BC95" s="3" t="s">
        <v>142</v>
      </c>
      <c r="BD95" s="3" t="s">
        <v>68</v>
      </c>
      <c r="BE95" s="3" t="s">
        <v>677</v>
      </c>
      <c r="BF95" s="3" t="s">
        <v>676</v>
      </c>
      <c r="BG95" s="3" t="s">
        <v>678</v>
      </c>
    </row>
    <row r="96" spans="1:59" ht="57" x14ac:dyDescent="0.45">
      <c r="A96" s="2" t="s">
        <v>59</v>
      </c>
      <c r="B96" s="2" t="s">
        <v>60</v>
      </c>
      <c r="C96" s="2" t="s">
        <v>679</v>
      </c>
      <c r="D96" s="2" t="s">
        <v>680</v>
      </c>
      <c r="E96" s="2" t="s">
        <v>681</v>
      </c>
      <c r="G96" s="3" t="s">
        <v>62</v>
      </c>
      <c r="I96" s="3" t="s">
        <v>62</v>
      </c>
      <c r="J96" s="3" t="s">
        <v>62</v>
      </c>
      <c r="K96" s="3" t="s">
        <v>63</v>
      </c>
      <c r="L96" s="2" t="s">
        <v>670</v>
      </c>
      <c r="M96" s="2" t="s">
        <v>682</v>
      </c>
      <c r="N96" s="3" t="s">
        <v>127</v>
      </c>
      <c r="P96" s="3" t="s">
        <v>65</v>
      </c>
      <c r="Q96" s="2" t="s">
        <v>683</v>
      </c>
      <c r="R96" s="3" t="s">
        <v>66</v>
      </c>
      <c r="S96" s="4">
        <v>2</v>
      </c>
      <c r="T96" s="4">
        <v>2</v>
      </c>
      <c r="U96" s="5" t="s">
        <v>684</v>
      </c>
      <c r="V96" s="5" t="s">
        <v>684</v>
      </c>
      <c r="W96" s="5" t="s">
        <v>67</v>
      </c>
      <c r="X96" s="5" t="s">
        <v>67</v>
      </c>
      <c r="Y96" s="4">
        <v>317</v>
      </c>
      <c r="Z96" s="4">
        <v>12</v>
      </c>
      <c r="AA96" s="4">
        <v>30</v>
      </c>
      <c r="AB96" s="4">
        <v>2</v>
      </c>
      <c r="AC96" s="4">
        <v>3</v>
      </c>
      <c r="AD96" s="4">
        <v>86</v>
      </c>
      <c r="AE96" s="4">
        <v>117</v>
      </c>
      <c r="AF96" s="4">
        <v>1</v>
      </c>
      <c r="AG96" s="4">
        <v>2</v>
      </c>
      <c r="AH96" s="4">
        <v>77</v>
      </c>
      <c r="AI96" s="4">
        <v>99</v>
      </c>
      <c r="AJ96" s="4">
        <v>9</v>
      </c>
      <c r="AK96" s="4">
        <v>20</v>
      </c>
      <c r="AL96" s="4">
        <v>43</v>
      </c>
      <c r="AM96" s="4">
        <v>54</v>
      </c>
      <c r="AN96" s="4">
        <v>0</v>
      </c>
      <c r="AO96" s="4">
        <v>0</v>
      </c>
      <c r="AP96" s="4">
        <v>11</v>
      </c>
      <c r="AQ96" s="4">
        <v>25</v>
      </c>
      <c r="AR96" s="3" t="s">
        <v>62</v>
      </c>
      <c r="AS96" s="3" t="s">
        <v>62</v>
      </c>
      <c r="AT96" s="3" t="s">
        <v>62</v>
      </c>
      <c r="AV96" s="6" t="str">
        <f>HYPERLINK("http://mcgill.on.worldcat.org/oclc/173639","Catalog Record")</f>
        <v>Catalog Record</v>
      </c>
      <c r="AW96" s="6" t="str">
        <f>HYPERLINK("http://www.worldcat.org/oclc/173639","WorldCat Record")</f>
        <v>WorldCat Record</v>
      </c>
      <c r="AX96" s="3" t="s">
        <v>685</v>
      </c>
      <c r="AY96" s="3" t="s">
        <v>686</v>
      </c>
      <c r="AZ96" s="3" t="s">
        <v>687</v>
      </c>
      <c r="BA96" s="3" t="s">
        <v>687</v>
      </c>
      <c r="BB96" s="3" t="s">
        <v>688</v>
      </c>
      <c r="BC96" s="3" t="s">
        <v>142</v>
      </c>
      <c r="BD96" s="3" t="s">
        <v>68</v>
      </c>
      <c r="BF96" s="3" t="s">
        <v>688</v>
      </c>
      <c r="BG96" s="3" t="s">
        <v>689</v>
      </c>
    </row>
    <row r="97" spans="1:59" ht="114" x14ac:dyDescent="0.45">
      <c r="A97" s="2" t="s">
        <v>59</v>
      </c>
      <c r="B97" s="2" t="s">
        <v>690</v>
      </c>
      <c r="C97" s="2" t="s">
        <v>691</v>
      </c>
      <c r="D97" s="2" t="s">
        <v>692</v>
      </c>
      <c r="E97" s="2" t="s">
        <v>693</v>
      </c>
      <c r="G97" s="3" t="s">
        <v>62</v>
      </c>
      <c r="I97" s="3" t="s">
        <v>62</v>
      </c>
      <c r="J97" s="3" t="s">
        <v>62</v>
      </c>
      <c r="K97" s="3" t="s">
        <v>63</v>
      </c>
      <c r="L97" s="2" t="s">
        <v>694</v>
      </c>
      <c r="M97" s="2" t="s">
        <v>695</v>
      </c>
      <c r="N97" s="3" t="s">
        <v>116</v>
      </c>
      <c r="O97" s="2" t="s">
        <v>696</v>
      </c>
      <c r="P97" s="3" t="s">
        <v>697</v>
      </c>
      <c r="R97" s="3" t="s">
        <v>66</v>
      </c>
      <c r="S97" s="4">
        <v>0</v>
      </c>
      <c r="T97" s="4">
        <v>0</v>
      </c>
      <c r="W97" s="5" t="s">
        <v>67</v>
      </c>
      <c r="X97" s="5" t="s">
        <v>67</v>
      </c>
      <c r="Y97" s="4">
        <v>11</v>
      </c>
      <c r="Z97" s="4">
        <v>1</v>
      </c>
      <c r="AA97" s="4">
        <v>1</v>
      </c>
      <c r="AB97" s="4">
        <v>1</v>
      </c>
      <c r="AC97" s="4">
        <v>1</v>
      </c>
      <c r="AD97" s="4">
        <v>8</v>
      </c>
      <c r="AE97" s="4">
        <v>8</v>
      </c>
      <c r="AF97" s="4">
        <v>0</v>
      </c>
      <c r="AG97" s="4">
        <v>0</v>
      </c>
      <c r="AH97" s="4">
        <v>8</v>
      </c>
      <c r="AI97" s="4">
        <v>8</v>
      </c>
      <c r="AJ97" s="4">
        <v>0</v>
      </c>
      <c r="AK97" s="4">
        <v>0</v>
      </c>
      <c r="AL97" s="4">
        <v>5</v>
      </c>
      <c r="AM97" s="4">
        <v>5</v>
      </c>
      <c r="AN97" s="4">
        <v>0</v>
      </c>
      <c r="AO97" s="4">
        <v>0</v>
      </c>
      <c r="AP97" s="4">
        <v>0</v>
      </c>
      <c r="AQ97" s="4">
        <v>0</v>
      </c>
      <c r="AR97" s="3" t="s">
        <v>62</v>
      </c>
      <c r="AS97" s="3" t="s">
        <v>62</v>
      </c>
      <c r="AT97" s="3" t="s">
        <v>62</v>
      </c>
      <c r="AV97" s="6" t="str">
        <f>HYPERLINK("http://mcgill.on.worldcat.org/oclc/854991989","Catalog Record")</f>
        <v>Catalog Record</v>
      </c>
      <c r="AW97" s="6" t="str">
        <f>HYPERLINK("http://www.worldcat.org/oclc/854991989","WorldCat Record")</f>
        <v>WorldCat Record</v>
      </c>
      <c r="AX97" s="3" t="s">
        <v>698</v>
      </c>
      <c r="AY97" s="3" t="s">
        <v>699</v>
      </c>
      <c r="AZ97" s="3" t="s">
        <v>700</v>
      </c>
      <c r="BA97" s="3" t="s">
        <v>700</v>
      </c>
      <c r="BB97" s="3" t="s">
        <v>701</v>
      </c>
      <c r="BC97" s="3" t="s">
        <v>142</v>
      </c>
      <c r="BD97" s="3" t="s">
        <v>68</v>
      </c>
      <c r="BE97" s="3" t="s">
        <v>702</v>
      </c>
      <c r="BF97" s="3" t="s">
        <v>701</v>
      </c>
      <c r="BG97" s="3" t="s">
        <v>703</v>
      </c>
    </row>
    <row r="98" spans="1:59" ht="57" x14ac:dyDescent="0.45">
      <c r="A98" s="2" t="s">
        <v>59</v>
      </c>
      <c r="B98" s="2" t="s">
        <v>60</v>
      </c>
      <c r="C98" s="2" t="s">
        <v>704</v>
      </c>
      <c r="D98" s="2" t="s">
        <v>705</v>
      </c>
      <c r="E98" s="2" t="s">
        <v>706</v>
      </c>
      <c r="G98" s="3" t="s">
        <v>62</v>
      </c>
      <c r="I98" s="3" t="s">
        <v>61</v>
      </c>
      <c r="J98" s="3" t="s">
        <v>61</v>
      </c>
      <c r="K98" s="3" t="s">
        <v>63</v>
      </c>
      <c r="L98" s="2" t="s">
        <v>707</v>
      </c>
      <c r="M98" s="2" t="s">
        <v>708</v>
      </c>
      <c r="N98" s="3" t="s">
        <v>248</v>
      </c>
      <c r="O98" s="2" t="s">
        <v>709</v>
      </c>
      <c r="P98" s="3" t="s">
        <v>114</v>
      </c>
      <c r="R98" s="3" t="s">
        <v>66</v>
      </c>
      <c r="S98" s="4">
        <v>1</v>
      </c>
      <c r="T98" s="4">
        <v>4</v>
      </c>
      <c r="U98" s="5" t="s">
        <v>710</v>
      </c>
      <c r="V98" s="5" t="s">
        <v>710</v>
      </c>
      <c r="W98" s="5" t="s">
        <v>67</v>
      </c>
      <c r="X98" s="5" t="s">
        <v>67</v>
      </c>
      <c r="Y98" s="4">
        <v>218</v>
      </c>
      <c r="Z98" s="4">
        <v>14</v>
      </c>
      <c r="AA98" s="4">
        <v>20</v>
      </c>
      <c r="AB98" s="4">
        <v>2</v>
      </c>
      <c r="AC98" s="4">
        <v>5</v>
      </c>
      <c r="AD98" s="4">
        <v>70</v>
      </c>
      <c r="AE98" s="4">
        <v>79</v>
      </c>
      <c r="AF98" s="4">
        <v>0</v>
      </c>
      <c r="AG98" s="4">
        <v>1</v>
      </c>
      <c r="AH98" s="4">
        <v>64</v>
      </c>
      <c r="AI98" s="4">
        <v>71</v>
      </c>
      <c r="AJ98" s="4">
        <v>8</v>
      </c>
      <c r="AK98" s="4">
        <v>11</v>
      </c>
      <c r="AL98" s="4">
        <v>43</v>
      </c>
      <c r="AM98" s="4">
        <v>45</v>
      </c>
      <c r="AN98" s="4">
        <v>0</v>
      </c>
      <c r="AO98" s="4">
        <v>0</v>
      </c>
      <c r="AP98" s="4">
        <v>9</v>
      </c>
      <c r="AQ98" s="4">
        <v>11</v>
      </c>
      <c r="AR98" s="3" t="s">
        <v>62</v>
      </c>
      <c r="AS98" s="3" t="s">
        <v>62</v>
      </c>
      <c r="AT98" s="3" t="s">
        <v>61</v>
      </c>
      <c r="AU98" s="6" t="str">
        <f>HYPERLINK("http://catalog.hathitrust.org/Record/001227377","HathiTrust Record")</f>
        <v>HathiTrust Record</v>
      </c>
      <c r="AV98" s="6" t="str">
        <f>HYPERLINK("http://mcgill.on.worldcat.org/oclc/7023490","Catalog Record")</f>
        <v>Catalog Record</v>
      </c>
      <c r="AW98" s="6" t="str">
        <f>HYPERLINK("http://www.worldcat.org/oclc/7023490","WorldCat Record")</f>
        <v>WorldCat Record</v>
      </c>
      <c r="AX98" s="3" t="s">
        <v>711</v>
      </c>
      <c r="AY98" s="3" t="s">
        <v>712</v>
      </c>
      <c r="AZ98" s="3" t="s">
        <v>713</v>
      </c>
      <c r="BA98" s="3" t="s">
        <v>713</v>
      </c>
      <c r="BB98" s="3" t="s">
        <v>714</v>
      </c>
      <c r="BC98" s="3" t="s">
        <v>142</v>
      </c>
      <c r="BD98" s="3" t="s">
        <v>68</v>
      </c>
      <c r="BE98" s="3" t="s">
        <v>715</v>
      </c>
      <c r="BF98" s="3" t="s">
        <v>714</v>
      </c>
      <c r="BG98" s="3" t="s">
        <v>716</v>
      </c>
    </row>
    <row r="99" spans="1:59" ht="57" x14ac:dyDescent="0.45">
      <c r="A99" s="2" t="s">
        <v>59</v>
      </c>
      <c r="B99" s="2" t="s">
        <v>60</v>
      </c>
      <c r="C99" s="2" t="s">
        <v>717</v>
      </c>
      <c r="D99" s="2" t="s">
        <v>718</v>
      </c>
      <c r="E99" s="2" t="s">
        <v>719</v>
      </c>
      <c r="F99" s="3" t="s">
        <v>87</v>
      </c>
      <c r="G99" s="3" t="s">
        <v>61</v>
      </c>
      <c r="I99" s="3" t="s">
        <v>61</v>
      </c>
      <c r="J99" s="3" t="s">
        <v>62</v>
      </c>
      <c r="K99" s="3" t="s">
        <v>63</v>
      </c>
      <c r="L99" s="2" t="s">
        <v>720</v>
      </c>
      <c r="M99" s="2" t="s">
        <v>721</v>
      </c>
      <c r="N99" s="3" t="s">
        <v>72</v>
      </c>
      <c r="P99" s="3" t="s">
        <v>110</v>
      </c>
      <c r="Q99" s="2" t="s">
        <v>722</v>
      </c>
      <c r="R99" s="3" t="s">
        <v>66</v>
      </c>
      <c r="S99" s="4">
        <v>45</v>
      </c>
      <c r="T99" s="4">
        <v>71</v>
      </c>
      <c r="U99" s="5" t="s">
        <v>723</v>
      </c>
      <c r="V99" s="5" t="s">
        <v>723</v>
      </c>
      <c r="W99" s="5" t="s">
        <v>67</v>
      </c>
      <c r="X99" s="5" t="s">
        <v>67</v>
      </c>
      <c r="Y99" s="4">
        <v>93</v>
      </c>
      <c r="Z99" s="4">
        <v>11</v>
      </c>
      <c r="AA99" s="4">
        <v>49</v>
      </c>
      <c r="AB99" s="4">
        <v>1</v>
      </c>
      <c r="AC99" s="4">
        <v>13</v>
      </c>
      <c r="AD99" s="4">
        <v>27</v>
      </c>
      <c r="AE99" s="4">
        <v>103</v>
      </c>
      <c r="AF99" s="4">
        <v>0</v>
      </c>
      <c r="AG99" s="4">
        <v>6</v>
      </c>
      <c r="AH99" s="4">
        <v>21</v>
      </c>
      <c r="AI99" s="4">
        <v>79</v>
      </c>
      <c r="AJ99" s="4">
        <v>5</v>
      </c>
      <c r="AK99" s="4">
        <v>21</v>
      </c>
      <c r="AL99" s="4">
        <v>13</v>
      </c>
      <c r="AM99" s="4">
        <v>49</v>
      </c>
      <c r="AN99" s="4">
        <v>0</v>
      </c>
      <c r="AO99" s="4">
        <v>0</v>
      </c>
      <c r="AP99" s="4">
        <v>9</v>
      </c>
      <c r="AQ99" s="4">
        <v>30</v>
      </c>
      <c r="AR99" s="3" t="s">
        <v>62</v>
      </c>
      <c r="AS99" s="3" t="s">
        <v>62</v>
      </c>
      <c r="AT99" s="3" t="s">
        <v>62</v>
      </c>
      <c r="AV99" s="6" t="str">
        <f>HYPERLINK("http://mcgill.on.worldcat.org/oclc/10053319","Catalog Record")</f>
        <v>Catalog Record</v>
      </c>
      <c r="AW99" s="6" t="str">
        <f>HYPERLINK("http://www.worldcat.org/oclc/10053319","WorldCat Record")</f>
        <v>WorldCat Record</v>
      </c>
      <c r="AX99" s="3" t="s">
        <v>724</v>
      </c>
      <c r="AY99" s="3" t="s">
        <v>725</v>
      </c>
      <c r="AZ99" s="3" t="s">
        <v>726</v>
      </c>
      <c r="BA99" s="3" t="s">
        <v>726</v>
      </c>
      <c r="BB99" s="3" t="s">
        <v>727</v>
      </c>
      <c r="BC99" s="3" t="s">
        <v>142</v>
      </c>
      <c r="BD99" s="3" t="s">
        <v>308</v>
      </c>
      <c r="BE99" s="3" t="s">
        <v>728</v>
      </c>
      <c r="BF99" s="3" t="s">
        <v>727</v>
      </c>
      <c r="BG99" s="3" t="s">
        <v>729</v>
      </c>
    </row>
    <row r="100" spans="1:59" ht="57" x14ac:dyDescent="0.45">
      <c r="A100" s="2" t="s">
        <v>59</v>
      </c>
      <c r="B100" s="2" t="s">
        <v>60</v>
      </c>
      <c r="C100" s="2" t="s">
        <v>717</v>
      </c>
      <c r="D100" s="2" t="s">
        <v>718</v>
      </c>
      <c r="E100" s="2" t="s">
        <v>719</v>
      </c>
      <c r="F100" s="3" t="s">
        <v>90</v>
      </c>
      <c r="G100" s="3" t="s">
        <v>61</v>
      </c>
      <c r="I100" s="3" t="s">
        <v>61</v>
      </c>
      <c r="J100" s="3" t="s">
        <v>62</v>
      </c>
      <c r="K100" s="3" t="s">
        <v>63</v>
      </c>
      <c r="L100" s="2" t="s">
        <v>720</v>
      </c>
      <c r="M100" s="2" t="s">
        <v>721</v>
      </c>
      <c r="N100" s="3" t="s">
        <v>72</v>
      </c>
      <c r="P100" s="3" t="s">
        <v>110</v>
      </c>
      <c r="Q100" s="2" t="s">
        <v>722</v>
      </c>
      <c r="R100" s="3" t="s">
        <v>66</v>
      </c>
      <c r="S100" s="4">
        <v>22</v>
      </c>
      <c r="T100" s="4">
        <v>71</v>
      </c>
      <c r="U100" s="5" t="s">
        <v>730</v>
      </c>
      <c r="V100" s="5" t="s">
        <v>723</v>
      </c>
      <c r="W100" s="5" t="s">
        <v>67</v>
      </c>
      <c r="X100" s="5" t="s">
        <v>67</v>
      </c>
      <c r="Y100" s="4">
        <v>93</v>
      </c>
      <c r="Z100" s="4">
        <v>11</v>
      </c>
      <c r="AA100" s="4">
        <v>49</v>
      </c>
      <c r="AB100" s="4">
        <v>1</v>
      </c>
      <c r="AC100" s="4">
        <v>13</v>
      </c>
      <c r="AD100" s="4">
        <v>27</v>
      </c>
      <c r="AE100" s="4">
        <v>103</v>
      </c>
      <c r="AF100" s="4">
        <v>0</v>
      </c>
      <c r="AG100" s="4">
        <v>6</v>
      </c>
      <c r="AH100" s="4">
        <v>21</v>
      </c>
      <c r="AI100" s="4">
        <v>79</v>
      </c>
      <c r="AJ100" s="4">
        <v>5</v>
      </c>
      <c r="AK100" s="4">
        <v>21</v>
      </c>
      <c r="AL100" s="4">
        <v>13</v>
      </c>
      <c r="AM100" s="4">
        <v>49</v>
      </c>
      <c r="AN100" s="4">
        <v>0</v>
      </c>
      <c r="AO100" s="4">
        <v>0</v>
      </c>
      <c r="AP100" s="4">
        <v>9</v>
      </c>
      <c r="AQ100" s="4">
        <v>30</v>
      </c>
      <c r="AR100" s="3" t="s">
        <v>62</v>
      </c>
      <c r="AS100" s="3" t="s">
        <v>62</v>
      </c>
      <c r="AT100" s="3" t="s">
        <v>62</v>
      </c>
      <c r="AV100" s="6" t="str">
        <f>HYPERLINK("http://mcgill.on.worldcat.org/oclc/10053319","Catalog Record")</f>
        <v>Catalog Record</v>
      </c>
      <c r="AW100" s="6" t="str">
        <f>HYPERLINK("http://www.worldcat.org/oclc/10053319","WorldCat Record")</f>
        <v>WorldCat Record</v>
      </c>
      <c r="AX100" s="3" t="s">
        <v>724</v>
      </c>
      <c r="AY100" s="3" t="s">
        <v>725</v>
      </c>
      <c r="AZ100" s="3" t="s">
        <v>726</v>
      </c>
      <c r="BA100" s="3" t="s">
        <v>726</v>
      </c>
      <c r="BB100" s="3" t="s">
        <v>731</v>
      </c>
      <c r="BC100" s="3" t="s">
        <v>142</v>
      </c>
      <c r="BD100" s="3" t="s">
        <v>68</v>
      </c>
      <c r="BE100" s="3" t="s">
        <v>728</v>
      </c>
      <c r="BF100" s="3" t="s">
        <v>731</v>
      </c>
      <c r="BG100" s="3" t="s">
        <v>732</v>
      </c>
    </row>
    <row r="101" spans="1:59" ht="57" x14ac:dyDescent="0.45">
      <c r="A101" s="2" t="s">
        <v>59</v>
      </c>
      <c r="B101" s="2" t="s">
        <v>60</v>
      </c>
      <c r="C101" s="2" t="s">
        <v>717</v>
      </c>
      <c r="D101" s="2" t="s">
        <v>718</v>
      </c>
      <c r="E101" s="2" t="s">
        <v>719</v>
      </c>
      <c r="F101" s="3" t="s">
        <v>87</v>
      </c>
      <c r="G101" s="3" t="s">
        <v>61</v>
      </c>
      <c r="I101" s="3" t="s">
        <v>61</v>
      </c>
      <c r="J101" s="3" t="s">
        <v>62</v>
      </c>
      <c r="K101" s="3" t="s">
        <v>63</v>
      </c>
      <c r="L101" s="2" t="s">
        <v>720</v>
      </c>
      <c r="M101" s="2" t="s">
        <v>721</v>
      </c>
      <c r="N101" s="3" t="s">
        <v>72</v>
      </c>
      <c r="P101" s="3" t="s">
        <v>110</v>
      </c>
      <c r="Q101" s="2" t="s">
        <v>722</v>
      </c>
      <c r="R101" s="3" t="s">
        <v>66</v>
      </c>
      <c r="S101" s="4">
        <v>4</v>
      </c>
      <c r="T101" s="4">
        <v>71</v>
      </c>
      <c r="U101" s="5" t="s">
        <v>733</v>
      </c>
      <c r="V101" s="5" t="s">
        <v>723</v>
      </c>
      <c r="W101" s="5" t="s">
        <v>67</v>
      </c>
      <c r="X101" s="5" t="s">
        <v>67</v>
      </c>
      <c r="Y101" s="4">
        <v>93</v>
      </c>
      <c r="Z101" s="4">
        <v>11</v>
      </c>
      <c r="AA101" s="4">
        <v>49</v>
      </c>
      <c r="AB101" s="4">
        <v>1</v>
      </c>
      <c r="AC101" s="4">
        <v>13</v>
      </c>
      <c r="AD101" s="4">
        <v>27</v>
      </c>
      <c r="AE101" s="4">
        <v>103</v>
      </c>
      <c r="AF101" s="4">
        <v>0</v>
      </c>
      <c r="AG101" s="4">
        <v>6</v>
      </c>
      <c r="AH101" s="4">
        <v>21</v>
      </c>
      <c r="AI101" s="4">
        <v>79</v>
      </c>
      <c r="AJ101" s="4">
        <v>5</v>
      </c>
      <c r="AK101" s="4">
        <v>21</v>
      </c>
      <c r="AL101" s="4">
        <v>13</v>
      </c>
      <c r="AM101" s="4">
        <v>49</v>
      </c>
      <c r="AN101" s="4">
        <v>0</v>
      </c>
      <c r="AO101" s="4">
        <v>0</v>
      </c>
      <c r="AP101" s="4">
        <v>9</v>
      </c>
      <c r="AQ101" s="4">
        <v>30</v>
      </c>
      <c r="AR101" s="3" t="s">
        <v>62</v>
      </c>
      <c r="AS101" s="3" t="s">
        <v>62</v>
      </c>
      <c r="AT101" s="3" t="s">
        <v>62</v>
      </c>
      <c r="AV101" s="6" t="str">
        <f>HYPERLINK("http://mcgill.on.worldcat.org/oclc/10053319","Catalog Record")</f>
        <v>Catalog Record</v>
      </c>
      <c r="AW101" s="6" t="str">
        <f>HYPERLINK("http://www.worldcat.org/oclc/10053319","WorldCat Record")</f>
        <v>WorldCat Record</v>
      </c>
      <c r="AX101" s="3" t="s">
        <v>724</v>
      </c>
      <c r="AY101" s="3" t="s">
        <v>725</v>
      </c>
      <c r="AZ101" s="3" t="s">
        <v>726</v>
      </c>
      <c r="BA101" s="3" t="s">
        <v>726</v>
      </c>
      <c r="BB101" s="3" t="s">
        <v>734</v>
      </c>
      <c r="BC101" s="3" t="s">
        <v>142</v>
      </c>
      <c r="BD101" s="3" t="s">
        <v>68</v>
      </c>
      <c r="BE101" s="3" t="s">
        <v>728</v>
      </c>
      <c r="BF101" s="3" t="s">
        <v>734</v>
      </c>
      <c r="BG101" s="3" t="s">
        <v>735</v>
      </c>
    </row>
    <row r="102" spans="1:59" ht="57" x14ac:dyDescent="0.45">
      <c r="A102" s="2" t="s">
        <v>59</v>
      </c>
      <c r="B102" s="2" t="s">
        <v>60</v>
      </c>
      <c r="C102" s="2" t="s">
        <v>736</v>
      </c>
      <c r="D102" s="2" t="s">
        <v>737</v>
      </c>
      <c r="E102" s="2" t="s">
        <v>738</v>
      </c>
      <c r="F102" s="3" t="s">
        <v>478</v>
      </c>
      <c r="G102" s="3" t="s">
        <v>61</v>
      </c>
      <c r="I102" s="3" t="s">
        <v>61</v>
      </c>
      <c r="J102" s="3" t="s">
        <v>62</v>
      </c>
      <c r="K102" s="3" t="s">
        <v>63</v>
      </c>
      <c r="L102" s="2" t="s">
        <v>720</v>
      </c>
      <c r="M102" s="2" t="s">
        <v>739</v>
      </c>
      <c r="N102" s="3" t="s">
        <v>340</v>
      </c>
      <c r="P102" s="3" t="s">
        <v>65</v>
      </c>
      <c r="R102" s="3" t="s">
        <v>66</v>
      </c>
      <c r="S102" s="4">
        <v>10</v>
      </c>
      <c r="T102" s="4">
        <v>39</v>
      </c>
      <c r="U102" s="5" t="s">
        <v>740</v>
      </c>
      <c r="V102" s="5" t="s">
        <v>741</v>
      </c>
      <c r="W102" s="5" t="s">
        <v>67</v>
      </c>
      <c r="X102" s="5" t="s">
        <v>67</v>
      </c>
      <c r="Y102" s="4">
        <v>384</v>
      </c>
      <c r="Z102" s="4">
        <v>23</v>
      </c>
      <c r="AA102" s="4">
        <v>23</v>
      </c>
      <c r="AB102" s="4">
        <v>3</v>
      </c>
      <c r="AC102" s="4">
        <v>3</v>
      </c>
      <c r="AD102" s="4">
        <v>107</v>
      </c>
      <c r="AE102" s="4">
        <v>107</v>
      </c>
      <c r="AF102" s="4">
        <v>1</v>
      </c>
      <c r="AG102" s="4">
        <v>1</v>
      </c>
      <c r="AH102" s="4">
        <v>95</v>
      </c>
      <c r="AI102" s="4">
        <v>95</v>
      </c>
      <c r="AJ102" s="4">
        <v>14</v>
      </c>
      <c r="AK102" s="4">
        <v>14</v>
      </c>
      <c r="AL102" s="4">
        <v>57</v>
      </c>
      <c r="AM102" s="4">
        <v>57</v>
      </c>
      <c r="AN102" s="4">
        <v>0</v>
      </c>
      <c r="AO102" s="4">
        <v>0</v>
      </c>
      <c r="AP102" s="4">
        <v>16</v>
      </c>
      <c r="AQ102" s="4">
        <v>16</v>
      </c>
      <c r="AR102" s="3" t="s">
        <v>62</v>
      </c>
      <c r="AS102" s="3" t="s">
        <v>62</v>
      </c>
      <c r="AT102" s="3" t="s">
        <v>61</v>
      </c>
      <c r="AU102" s="6" t="str">
        <f t="shared" ref="AU102:AU111" si="3">HYPERLINK("http://catalog.hathitrust.org/Record/000186504","HathiTrust Record")</f>
        <v>HathiTrust Record</v>
      </c>
      <c r="AV102" s="6" t="str">
        <f t="shared" ref="AV102:AV111" si="4">HYPERLINK("http://mcgill.on.worldcat.org/oclc/173067","Catalog Record")</f>
        <v>Catalog Record</v>
      </c>
      <c r="AW102" s="6" t="str">
        <f t="shared" ref="AW102:AW111" si="5">HYPERLINK("http://www.worldcat.org/oclc/173067","WorldCat Record")</f>
        <v>WorldCat Record</v>
      </c>
      <c r="AX102" s="3" t="s">
        <v>742</v>
      </c>
      <c r="AY102" s="3" t="s">
        <v>743</v>
      </c>
      <c r="AZ102" s="3" t="s">
        <v>744</v>
      </c>
      <c r="BA102" s="3" t="s">
        <v>744</v>
      </c>
      <c r="BB102" s="3" t="s">
        <v>745</v>
      </c>
      <c r="BC102" s="3" t="s">
        <v>142</v>
      </c>
      <c r="BD102" s="3" t="s">
        <v>68</v>
      </c>
      <c r="BE102" s="3" t="s">
        <v>746</v>
      </c>
      <c r="BF102" s="3" t="s">
        <v>745</v>
      </c>
      <c r="BG102" s="3" t="s">
        <v>747</v>
      </c>
    </row>
    <row r="103" spans="1:59" ht="57" x14ac:dyDescent="0.45">
      <c r="A103" s="2" t="s">
        <v>59</v>
      </c>
      <c r="B103" s="2" t="s">
        <v>60</v>
      </c>
      <c r="C103" s="2" t="s">
        <v>736</v>
      </c>
      <c r="D103" s="2" t="s">
        <v>737</v>
      </c>
      <c r="E103" s="2" t="s">
        <v>738</v>
      </c>
      <c r="F103" s="3" t="s">
        <v>748</v>
      </c>
      <c r="G103" s="3" t="s">
        <v>61</v>
      </c>
      <c r="I103" s="3" t="s">
        <v>61</v>
      </c>
      <c r="J103" s="3" t="s">
        <v>62</v>
      </c>
      <c r="K103" s="3" t="s">
        <v>63</v>
      </c>
      <c r="L103" s="2" t="s">
        <v>720</v>
      </c>
      <c r="M103" s="2" t="s">
        <v>739</v>
      </c>
      <c r="N103" s="3" t="s">
        <v>340</v>
      </c>
      <c r="P103" s="3" t="s">
        <v>65</v>
      </c>
      <c r="R103" s="3" t="s">
        <v>66</v>
      </c>
      <c r="S103" s="4">
        <v>0</v>
      </c>
      <c r="T103" s="4">
        <v>39</v>
      </c>
      <c r="V103" s="5" t="s">
        <v>741</v>
      </c>
      <c r="W103" s="5" t="s">
        <v>67</v>
      </c>
      <c r="X103" s="5" t="s">
        <v>67</v>
      </c>
      <c r="Y103" s="4">
        <v>384</v>
      </c>
      <c r="Z103" s="4">
        <v>23</v>
      </c>
      <c r="AA103" s="4">
        <v>23</v>
      </c>
      <c r="AB103" s="4">
        <v>3</v>
      </c>
      <c r="AC103" s="4">
        <v>3</v>
      </c>
      <c r="AD103" s="4">
        <v>107</v>
      </c>
      <c r="AE103" s="4">
        <v>107</v>
      </c>
      <c r="AF103" s="4">
        <v>1</v>
      </c>
      <c r="AG103" s="4">
        <v>1</v>
      </c>
      <c r="AH103" s="4">
        <v>95</v>
      </c>
      <c r="AI103" s="4">
        <v>95</v>
      </c>
      <c r="AJ103" s="4">
        <v>14</v>
      </c>
      <c r="AK103" s="4">
        <v>14</v>
      </c>
      <c r="AL103" s="4">
        <v>57</v>
      </c>
      <c r="AM103" s="4">
        <v>57</v>
      </c>
      <c r="AN103" s="4">
        <v>0</v>
      </c>
      <c r="AO103" s="4">
        <v>0</v>
      </c>
      <c r="AP103" s="4">
        <v>16</v>
      </c>
      <c r="AQ103" s="4">
        <v>16</v>
      </c>
      <c r="AR103" s="3" t="s">
        <v>62</v>
      </c>
      <c r="AS103" s="3" t="s">
        <v>62</v>
      </c>
      <c r="AT103" s="3" t="s">
        <v>61</v>
      </c>
      <c r="AU103" s="6" t="str">
        <f t="shared" si="3"/>
        <v>HathiTrust Record</v>
      </c>
      <c r="AV103" s="6" t="str">
        <f t="shared" si="4"/>
        <v>Catalog Record</v>
      </c>
      <c r="AW103" s="6" t="str">
        <f t="shared" si="5"/>
        <v>WorldCat Record</v>
      </c>
      <c r="AX103" s="3" t="s">
        <v>742</v>
      </c>
      <c r="AY103" s="3" t="s">
        <v>743</v>
      </c>
      <c r="AZ103" s="3" t="s">
        <v>744</v>
      </c>
      <c r="BA103" s="3" t="s">
        <v>744</v>
      </c>
      <c r="BB103" s="3" t="s">
        <v>749</v>
      </c>
      <c r="BC103" s="3" t="s">
        <v>142</v>
      </c>
      <c r="BD103" s="3" t="s">
        <v>68</v>
      </c>
      <c r="BE103" s="3" t="s">
        <v>746</v>
      </c>
      <c r="BF103" s="3" t="s">
        <v>749</v>
      </c>
      <c r="BG103" s="3" t="s">
        <v>750</v>
      </c>
    </row>
    <row r="104" spans="1:59" ht="57" x14ac:dyDescent="0.45">
      <c r="A104" s="2" t="s">
        <v>59</v>
      </c>
      <c r="B104" s="2" t="s">
        <v>60</v>
      </c>
      <c r="C104" s="2" t="s">
        <v>736</v>
      </c>
      <c r="D104" s="2" t="s">
        <v>737</v>
      </c>
      <c r="E104" s="2" t="s">
        <v>738</v>
      </c>
      <c r="F104" s="3" t="s">
        <v>595</v>
      </c>
      <c r="G104" s="3" t="s">
        <v>61</v>
      </c>
      <c r="I104" s="3" t="s">
        <v>61</v>
      </c>
      <c r="J104" s="3" t="s">
        <v>62</v>
      </c>
      <c r="K104" s="3" t="s">
        <v>63</v>
      </c>
      <c r="L104" s="2" t="s">
        <v>720</v>
      </c>
      <c r="M104" s="2" t="s">
        <v>739</v>
      </c>
      <c r="N104" s="3" t="s">
        <v>340</v>
      </c>
      <c r="P104" s="3" t="s">
        <v>65</v>
      </c>
      <c r="R104" s="3" t="s">
        <v>66</v>
      </c>
      <c r="S104" s="4">
        <v>10</v>
      </c>
      <c r="T104" s="4">
        <v>39</v>
      </c>
      <c r="U104" s="5" t="s">
        <v>751</v>
      </c>
      <c r="V104" s="5" t="s">
        <v>741</v>
      </c>
      <c r="W104" s="5" t="s">
        <v>67</v>
      </c>
      <c r="X104" s="5" t="s">
        <v>67</v>
      </c>
      <c r="Y104" s="4">
        <v>384</v>
      </c>
      <c r="Z104" s="4">
        <v>23</v>
      </c>
      <c r="AA104" s="4">
        <v>23</v>
      </c>
      <c r="AB104" s="4">
        <v>3</v>
      </c>
      <c r="AC104" s="4">
        <v>3</v>
      </c>
      <c r="AD104" s="4">
        <v>107</v>
      </c>
      <c r="AE104" s="4">
        <v>107</v>
      </c>
      <c r="AF104" s="4">
        <v>1</v>
      </c>
      <c r="AG104" s="4">
        <v>1</v>
      </c>
      <c r="AH104" s="4">
        <v>95</v>
      </c>
      <c r="AI104" s="4">
        <v>95</v>
      </c>
      <c r="AJ104" s="4">
        <v>14</v>
      </c>
      <c r="AK104" s="4">
        <v>14</v>
      </c>
      <c r="AL104" s="4">
        <v>57</v>
      </c>
      <c r="AM104" s="4">
        <v>57</v>
      </c>
      <c r="AN104" s="4">
        <v>0</v>
      </c>
      <c r="AO104" s="4">
        <v>0</v>
      </c>
      <c r="AP104" s="4">
        <v>16</v>
      </c>
      <c r="AQ104" s="4">
        <v>16</v>
      </c>
      <c r="AR104" s="3" t="s">
        <v>62</v>
      </c>
      <c r="AS104" s="3" t="s">
        <v>62</v>
      </c>
      <c r="AT104" s="3" t="s">
        <v>61</v>
      </c>
      <c r="AU104" s="6" t="str">
        <f t="shared" si="3"/>
        <v>HathiTrust Record</v>
      </c>
      <c r="AV104" s="6" t="str">
        <f t="shared" si="4"/>
        <v>Catalog Record</v>
      </c>
      <c r="AW104" s="6" t="str">
        <f t="shared" si="5"/>
        <v>WorldCat Record</v>
      </c>
      <c r="AX104" s="3" t="s">
        <v>742</v>
      </c>
      <c r="AY104" s="3" t="s">
        <v>743</v>
      </c>
      <c r="AZ104" s="3" t="s">
        <v>744</v>
      </c>
      <c r="BA104" s="3" t="s">
        <v>744</v>
      </c>
      <c r="BB104" s="3" t="s">
        <v>752</v>
      </c>
      <c r="BC104" s="3" t="s">
        <v>142</v>
      </c>
      <c r="BD104" s="3" t="s">
        <v>68</v>
      </c>
      <c r="BE104" s="3" t="s">
        <v>746</v>
      </c>
      <c r="BF104" s="3" t="s">
        <v>752</v>
      </c>
      <c r="BG104" s="3" t="s">
        <v>753</v>
      </c>
    </row>
    <row r="105" spans="1:59" ht="57" x14ac:dyDescent="0.45">
      <c r="A105" s="2" t="s">
        <v>59</v>
      </c>
      <c r="B105" s="2" t="s">
        <v>60</v>
      </c>
      <c r="C105" s="2" t="s">
        <v>736</v>
      </c>
      <c r="D105" s="2" t="s">
        <v>737</v>
      </c>
      <c r="E105" s="2" t="s">
        <v>738</v>
      </c>
      <c r="F105" s="3" t="s">
        <v>488</v>
      </c>
      <c r="G105" s="3" t="s">
        <v>61</v>
      </c>
      <c r="I105" s="3" t="s">
        <v>61</v>
      </c>
      <c r="J105" s="3" t="s">
        <v>62</v>
      </c>
      <c r="K105" s="3" t="s">
        <v>63</v>
      </c>
      <c r="L105" s="2" t="s">
        <v>720</v>
      </c>
      <c r="M105" s="2" t="s">
        <v>739</v>
      </c>
      <c r="N105" s="3" t="s">
        <v>340</v>
      </c>
      <c r="P105" s="3" t="s">
        <v>65</v>
      </c>
      <c r="R105" s="3" t="s">
        <v>66</v>
      </c>
      <c r="S105" s="4">
        <v>0</v>
      </c>
      <c r="T105" s="4">
        <v>39</v>
      </c>
      <c r="V105" s="5" t="s">
        <v>741</v>
      </c>
      <c r="W105" s="5" t="s">
        <v>67</v>
      </c>
      <c r="X105" s="5" t="s">
        <v>67</v>
      </c>
      <c r="Y105" s="4">
        <v>384</v>
      </c>
      <c r="Z105" s="4">
        <v>23</v>
      </c>
      <c r="AA105" s="4">
        <v>23</v>
      </c>
      <c r="AB105" s="4">
        <v>3</v>
      </c>
      <c r="AC105" s="4">
        <v>3</v>
      </c>
      <c r="AD105" s="4">
        <v>107</v>
      </c>
      <c r="AE105" s="4">
        <v>107</v>
      </c>
      <c r="AF105" s="4">
        <v>1</v>
      </c>
      <c r="AG105" s="4">
        <v>1</v>
      </c>
      <c r="AH105" s="4">
        <v>95</v>
      </c>
      <c r="AI105" s="4">
        <v>95</v>
      </c>
      <c r="AJ105" s="4">
        <v>14</v>
      </c>
      <c r="AK105" s="4">
        <v>14</v>
      </c>
      <c r="AL105" s="4">
        <v>57</v>
      </c>
      <c r="AM105" s="4">
        <v>57</v>
      </c>
      <c r="AN105" s="4">
        <v>0</v>
      </c>
      <c r="AO105" s="4">
        <v>0</v>
      </c>
      <c r="AP105" s="4">
        <v>16</v>
      </c>
      <c r="AQ105" s="4">
        <v>16</v>
      </c>
      <c r="AR105" s="3" t="s">
        <v>62</v>
      </c>
      <c r="AS105" s="3" t="s">
        <v>62</v>
      </c>
      <c r="AT105" s="3" t="s">
        <v>61</v>
      </c>
      <c r="AU105" s="6" t="str">
        <f t="shared" si="3"/>
        <v>HathiTrust Record</v>
      </c>
      <c r="AV105" s="6" t="str">
        <f t="shared" si="4"/>
        <v>Catalog Record</v>
      </c>
      <c r="AW105" s="6" t="str">
        <f t="shared" si="5"/>
        <v>WorldCat Record</v>
      </c>
      <c r="AX105" s="3" t="s">
        <v>742</v>
      </c>
      <c r="AY105" s="3" t="s">
        <v>743</v>
      </c>
      <c r="AZ105" s="3" t="s">
        <v>744</v>
      </c>
      <c r="BA105" s="3" t="s">
        <v>744</v>
      </c>
      <c r="BB105" s="3" t="s">
        <v>754</v>
      </c>
      <c r="BC105" s="3" t="s">
        <v>142</v>
      </c>
      <c r="BD105" s="3" t="s">
        <v>68</v>
      </c>
      <c r="BE105" s="3" t="s">
        <v>746</v>
      </c>
      <c r="BF105" s="3" t="s">
        <v>754</v>
      </c>
      <c r="BG105" s="3" t="s">
        <v>755</v>
      </c>
    </row>
    <row r="106" spans="1:59" ht="57" x14ac:dyDescent="0.45">
      <c r="A106" s="2" t="s">
        <v>59</v>
      </c>
      <c r="B106" s="2" t="s">
        <v>60</v>
      </c>
      <c r="C106" s="2" t="s">
        <v>736</v>
      </c>
      <c r="D106" s="2" t="s">
        <v>737</v>
      </c>
      <c r="E106" s="2" t="s">
        <v>738</v>
      </c>
      <c r="F106" s="3" t="s">
        <v>756</v>
      </c>
      <c r="G106" s="3" t="s">
        <v>61</v>
      </c>
      <c r="I106" s="3" t="s">
        <v>61</v>
      </c>
      <c r="J106" s="3" t="s">
        <v>62</v>
      </c>
      <c r="K106" s="3" t="s">
        <v>63</v>
      </c>
      <c r="L106" s="2" t="s">
        <v>720</v>
      </c>
      <c r="M106" s="2" t="s">
        <v>739</v>
      </c>
      <c r="N106" s="3" t="s">
        <v>340</v>
      </c>
      <c r="P106" s="3" t="s">
        <v>65</v>
      </c>
      <c r="R106" s="3" t="s">
        <v>66</v>
      </c>
      <c r="S106" s="4">
        <v>0</v>
      </c>
      <c r="T106" s="4">
        <v>39</v>
      </c>
      <c r="V106" s="5" t="s">
        <v>741</v>
      </c>
      <c r="W106" s="5" t="s">
        <v>67</v>
      </c>
      <c r="X106" s="5" t="s">
        <v>67</v>
      </c>
      <c r="Y106" s="4">
        <v>384</v>
      </c>
      <c r="Z106" s="4">
        <v>23</v>
      </c>
      <c r="AA106" s="4">
        <v>23</v>
      </c>
      <c r="AB106" s="4">
        <v>3</v>
      </c>
      <c r="AC106" s="4">
        <v>3</v>
      </c>
      <c r="AD106" s="4">
        <v>107</v>
      </c>
      <c r="AE106" s="4">
        <v>107</v>
      </c>
      <c r="AF106" s="4">
        <v>1</v>
      </c>
      <c r="AG106" s="4">
        <v>1</v>
      </c>
      <c r="AH106" s="4">
        <v>95</v>
      </c>
      <c r="AI106" s="4">
        <v>95</v>
      </c>
      <c r="AJ106" s="4">
        <v>14</v>
      </c>
      <c r="AK106" s="4">
        <v>14</v>
      </c>
      <c r="AL106" s="4">
        <v>57</v>
      </c>
      <c r="AM106" s="4">
        <v>57</v>
      </c>
      <c r="AN106" s="4">
        <v>0</v>
      </c>
      <c r="AO106" s="4">
        <v>0</v>
      </c>
      <c r="AP106" s="4">
        <v>16</v>
      </c>
      <c r="AQ106" s="4">
        <v>16</v>
      </c>
      <c r="AR106" s="3" t="s">
        <v>62</v>
      </c>
      <c r="AS106" s="3" t="s">
        <v>62</v>
      </c>
      <c r="AT106" s="3" t="s">
        <v>61</v>
      </c>
      <c r="AU106" s="6" t="str">
        <f t="shared" si="3"/>
        <v>HathiTrust Record</v>
      </c>
      <c r="AV106" s="6" t="str">
        <f t="shared" si="4"/>
        <v>Catalog Record</v>
      </c>
      <c r="AW106" s="6" t="str">
        <f t="shared" si="5"/>
        <v>WorldCat Record</v>
      </c>
      <c r="AX106" s="3" t="s">
        <v>742</v>
      </c>
      <c r="AY106" s="3" t="s">
        <v>743</v>
      </c>
      <c r="AZ106" s="3" t="s">
        <v>744</v>
      </c>
      <c r="BA106" s="3" t="s">
        <v>744</v>
      </c>
      <c r="BB106" s="3" t="s">
        <v>757</v>
      </c>
      <c r="BC106" s="3" t="s">
        <v>142</v>
      </c>
      <c r="BD106" s="3" t="s">
        <v>68</v>
      </c>
      <c r="BE106" s="3" t="s">
        <v>746</v>
      </c>
      <c r="BF106" s="3" t="s">
        <v>757</v>
      </c>
      <c r="BG106" s="3" t="s">
        <v>758</v>
      </c>
    </row>
    <row r="107" spans="1:59" ht="57" x14ac:dyDescent="0.45">
      <c r="A107" s="2" t="s">
        <v>59</v>
      </c>
      <c r="B107" s="2" t="s">
        <v>60</v>
      </c>
      <c r="C107" s="2" t="s">
        <v>736</v>
      </c>
      <c r="D107" s="2" t="s">
        <v>737</v>
      </c>
      <c r="E107" s="2" t="s">
        <v>738</v>
      </c>
      <c r="F107" s="3" t="s">
        <v>759</v>
      </c>
      <c r="G107" s="3" t="s">
        <v>61</v>
      </c>
      <c r="I107" s="3" t="s">
        <v>61</v>
      </c>
      <c r="J107" s="3" t="s">
        <v>62</v>
      </c>
      <c r="K107" s="3" t="s">
        <v>63</v>
      </c>
      <c r="L107" s="2" t="s">
        <v>720</v>
      </c>
      <c r="M107" s="2" t="s">
        <v>739</v>
      </c>
      <c r="N107" s="3" t="s">
        <v>340</v>
      </c>
      <c r="P107" s="3" t="s">
        <v>65</v>
      </c>
      <c r="R107" s="3" t="s">
        <v>66</v>
      </c>
      <c r="S107" s="4">
        <v>4</v>
      </c>
      <c r="T107" s="4">
        <v>39</v>
      </c>
      <c r="U107" s="5" t="s">
        <v>760</v>
      </c>
      <c r="V107" s="5" t="s">
        <v>741</v>
      </c>
      <c r="W107" s="5" t="s">
        <v>67</v>
      </c>
      <c r="X107" s="5" t="s">
        <v>67</v>
      </c>
      <c r="Y107" s="4">
        <v>384</v>
      </c>
      <c r="Z107" s="4">
        <v>23</v>
      </c>
      <c r="AA107" s="4">
        <v>23</v>
      </c>
      <c r="AB107" s="4">
        <v>3</v>
      </c>
      <c r="AC107" s="4">
        <v>3</v>
      </c>
      <c r="AD107" s="4">
        <v>107</v>
      </c>
      <c r="AE107" s="4">
        <v>107</v>
      </c>
      <c r="AF107" s="4">
        <v>1</v>
      </c>
      <c r="AG107" s="4">
        <v>1</v>
      </c>
      <c r="AH107" s="4">
        <v>95</v>
      </c>
      <c r="AI107" s="4">
        <v>95</v>
      </c>
      <c r="AJ107" s="4">
        <v>14</v>
      </c>
      <c r="AK107" s="4">
        <v>14</v>
      </c>
      <c r="AL107" s="4">
        <v>57</v>
      </c>
      <c r="AM107" s="4">
        <v>57</v>
      </c>
      <c r="AN107" s="4">
        <v>0</v>
      </c>
      <c r="AO107" s="4">
        <v>0</v>
      </c>
      <c r="AP107" s="4">
        <v>16</v>
      </c>
      <c r="AQ107" s="4">
        <v>16</v>
      </c>
      <c r="AR107" s="3" t="s">
        <v>62</v>
      </c>
      <c r="AS107" s="3" t="s">
        <v>62</v>
      </c>
      <c r="AT107" s="3" t="s">
        <v>61</v>
      </c>
      <c r="AU107" s="6" t="str">
        <f t="shared" si="3"/>
        <v>HathiTrust Record</v>
      </c>
      <c r="AV107" s="6" t="str">
        <f t="shared" si="4"/>
        <v>Catalog Record</v>
      </c>
      <c r="AW107" s="6" t="str">
        <f t="shared" si="5"/>
        <v>WorldCat Record</v>
      </c>
      <c r="AX107" s="3" t="s">
        <v>742</v>
      </c>
      <c r="AY107" s="3" t="s">
        <v>743</v>
      </c>
      <c r="AZ107" s="3" t="s">
        <v>744</v>
      </c>
      <c r="BA107" s="3" t="s">
        <v>744</v>
      </c>
      <c r="BB107" s="3" t="s">
        <v>761</v>
      </c>
      <c r="BC107" s="3" t="s">
        <v>142</v>
      </c>
      <c r="BD107" s="3" t="s">
        <v>68</v>
      </c>
      <c r="BE107" s="3" t="s">
        <v>746</v>
      </c>
      <c r="BF107" s="3" t="s">
        <v>761</v>
      </c>
      <c r="BG107" s="3" t="s">
        <v>762</v>
      </c>
    </row>
    <row r="108" spans="1:59" ht="57" x14ac:dyDescent="0.45">
      <c r="A108" s="2" t="s">
        <v>59</v>
      </c>
      <c r="B108" s="2" t="s">
        <v>60</v>
      </c>
      <c r="C108" s="2" t="s">
        <v>736</v>
      </c>
      <c r="D108" s="2" t="s">
        <v>737</v>
      </c>
      <c r="E108" s="2" t="s">
        <v>738</v>
      </c>
      <c r="F108" s="3" t="s">
        <v>90</v>
      </c>
      <c r="G108" s="3" t="s">
        <v>61</v>
      </c>
      <c r="I108" s="3" t="s">
        <v>61</v>
      </c>
      <c r="J108" s="3" t="s">
        <v>62</v>
      </c>
      <c r="K108" s="3" t="s">
        <v>63</v>
      </c>
      <c r="L108" s="2" t="s">
        <v>720</v>
      </c>
      <c r="M108" s="2" t="s">
        <v>739</v>
      </c>
      <c r="N108" s="3" t="s">
        <v>340</v>
      </c>
      <c r="P108" s="3" t="s">
        <v>65</v>
      </c>
      <c r="R108" s="3" t="s">
        <v>66</v>
      </c>
      <c r="S108" s="4">
        <v>9</v>
      </c>
      <c r="T108" s="4">
        <v>39</v>
      </c>
      <c r="U108" s="5" t="s">
        <v>741</v>
      </c>
      <c r="V108" s="5" t="s">
        <v>741</v>
      </c>
      <c r="W108" s="5" t="s">
        <v>67</v>
      </c>
      <c r="X108" s="5" t="s">
        <v>67</v>
      </c>
      <c r="Y108" s="4">
        <v>384</v>
      </c>
      <c r="Z108" s="4">
        <v>23</v>
      </c>
      <c r="AA108" s="4">
        <v>23</v>
      </c>
      <c r="AB108" s="4">
        <v>3</v>
      </c>
      <c r="AC108" s="4">
        <v>3</v>
      </c>
      <c r="AD108" s="4">
        <v>107</v>
      </c>
      <c r="AE108" s="4">
        <v>107</v>
      </c>
      <c r="AF108" s="4">
        <v>1</v>
      </c>
      <c r="AG108" s="4">
        <v>1</v>
      </c>
      <c r="AH108" s="4">
        <v>95</v>
      </c>
      <c r="AI108" s="4">
        <v>95</v>
      </c>
      <c r="AJ108" s="4">
        <v>14</v>
      </c>
      <c r="AK108" s="4">
        <v>14</v>
      </c>
      <c r="AL108" s="4">
        <v>57</v>
      </c>
      <c r="AM108" s="4">
        <v>57</v>
      </c>
      <c r="AN108" s="4">
        <v>0</v>
      </c>
      <c r="AO108" s="4">
        <v>0</v>
      </c>
      <c r="AP108" s="4">
        <v>16</v>
      </c>
      <c r="AQ108" s="4">
        <v>16</v>
      </c>
      <c r="AR108" s="3" t="s">
        <v>62</v>
      </c>
      <c r="AS108" s="3" t="s">
        <v>62</v>
      </c>
      <c r="AT108" s="3" t="s">
        <v>61</v>
      </c>
      <c r="AU108" s="6" t="str">
        <f t="shared" si="3"/>
        <v>HathiTrust Record</v>
      </c>
      <c r="AV108" s="6" t="str">
        <f t="shared" si="4"/>
        <v>Catalog Record</v>
      </c>
      <c r="AW108" s="6" t="str">
        <f t="shared" si="5"/>
        <v>WorldCat Record</v>
      </c>
      <c r="AX108" s="3" t="s">
        <v>742</v>
      </c>
      <c r="AY108" s="3" t="s">
        <v>743</v>
      </c>
      <c r="AZ108" s="3" t="s">
        <v>744</v>
      </c>
      <c r="BA108" s="3" t="s">
        <v>744</v>
      </c>
      <c r="BB108" s="3" t="s">
        <v>763</v>
      </c>
      <c r="BC108" s="3" t="s">
        <v>142</v>
      </c>
      <c r="BD108" s="3" t="s">
        <v>68</v>
      </c>
      <c r="BE108" s="3" t="s">
        <v>746</v>
      </c>
      <c r="BF108" s="3" t="s">
        <v>763</v>
      </c>
      <c r="BG108" s="3" t="s">
        <v>764</v>
      </c>
    </row>
    <row r="109" spans="1:59" ht="57" x14ac:dyDescent="0.45">
      <c r="A109" s="2" t="s">
        <v>59</v>
      </c>
      <c r="B109" s="2" t="s">
        <v>60</v>
      </c>
      <c r="C109" s="2" t="s">
        <v>736</v>
      </c>
      <c r="D109" s="2" t="s">
        <v>737</v>
      </c>
      <c r="E109" s="2" t="s">
        <v>738</v>
      </c>
      <c r="F109" s="3" t="s">
        <v>765</v>
      </c>
      <c r="G109" s="3" t="s">
        <v>61</v>
      </c>
      <c r="I109" s="3" t="s">
        <v>61</v>
      </c>
      <c r="J109" s="3" t="s">
        <v>62</v>
      </c>
      <c r="K109" s="3" t="s">
        <v>63</v>
      </c>
      <c r="L109" s="2" t="s">
        <v>720</v>
      </c>
      <c r="M109" s="2" t="s">
        <v>739</v>
      </c>
      <c r="N109" s="3" t="s">
        <v>340</v>
      </c>
      <c r="P109" s="3" t="s">
        <v>65</v>
      </c>
      <c r="R109" s="3" t="s">
        <v>66</v>
      </c>
      <c r="S109" s="4">
        <v>0</v>
      </c>
      <c r="T109" s="4">
        <v>39</v>
      </c>
      <c r="V109" s="5" t="s">
        <v>741</v>
      </c>
      <c r="W109" s="5" t="s">
        <v>67</v>
      </c>
      <c r="X109" s="5" t="s">
        <v>67</v>
      </c>
      <c r="Y109" s="4">
        <v>384</v>
      </c>
      <c r="Z109" s="4">
        <v>23</v>
      </c>
      <c r="AA109" s="4">
        <v>23</v>
      </c>
      <c r="AB109" s="4">
        <v>3</v>
      </c>
      <c r="AC109" s="4">
        <v>3</v>
      </c>
      <c r="AD109" s="4">
        <v>107</v>
      </c>
      <c r="AE109" s="4">
        <v>107</v>
      </c>
      <c r="AF109" s="4">
        <v>1</v>
      </c>
      <c r="AG109" s="4">
        <v>1</v>
      </c>
      <c r="AH109" s="4">
        <v>95</v>
      </c>
      <c r="AI109" s="4">
        <v>95</v>
      </c>
      <c r="AJ109" s="4">
        <v>14</v>
      </c>
      <c r="AK109" s="4">
        <v>14</v>
      </c>
      <c r="AL109" s="4">
        <v>57</v>
      </c>
      <c r="AM109" s="4">
        <v>57</v>
      </c>
      <c r="AN109" s="4">
        <v>0</v>
      </c>
      <c r="AO109" s="4">
        <v>0</v>
      </c>
      <c r="AP109" s="4">
        <v>16</v>
      </c>
      <c r="AQ109" s="4">
        <v>16</v>
      </c>
      <c r="AR109" s="3" t="s">
        <v>62</v>
      </c>
      <c r="AS109" s="3" t="s">
        <v>62</v>
      </c>
      <c r="AT109" s="3" t="s">
        <v>61</v>
      </c>
      <c r="AU109" s="6" t="str">
        <f t="shared" si="3"/>
        <v>HathiTrust Record</v>
      </c>
      <c r="AV109" s="6" t="str">
        <f t="shared" si="4"/>
        <v>Catalog Record</v>
      </c>
      <c r="AW109" s="6" t="str">
        <f t="shared" si="5"/>
        <v>WorldCat Record</v>
      </c>
      <c r="AX109" s="3" t="s">
        <v>742</v>
      </c>
      <c r="AY109" s="3" t="s">
        <v>743</v>
      </c>
      <c r="AZ109" s="3" t="s">
        <v>744</v>
      </c>
      <c r="BA109" s="3" t="s">
        <v>744</v>
      </c>
      <c r="BB109" s="3" t="s">
        <v>766</v>
      </c>
      <c r="BC109" s="3" t="s">
        <v>142</v>
      </c>
      <c r="BD109" s="3" t="s">
        <v>68</v>
      </c>
      <c r="BE109" s="3" t="s">
        <v>746</v>
      </c>
      <c r="BF109" s="3" t="s">
        <v>766</v>
      </c>
      <c r="BG109" s="3" t="s">
        <v>767</v>
      </c>
    </row>
    <row r="110" spans="1:59" ht="57" x14ac:dyDescent="0.45">
      <c r="A110" s="2" t="s">
        <v>59</v>
      </c>
      <c r="B110" s="2" t="s">
        <v>60</v>
      </c>
      <c r="C110" s="2" t="s">
        <v>736</v>
      </c>
      <c r="D110" s="2" t="s">
        <v>737</v>
      </c>
      <c r="E110" s="2" t="s">
        <v>738</v>
      </c>
      <c r="F110" s="3" t="s">
        <v>768</v>
      </c>
      <c r="G110" s="3" t="s">
        <v>61</v>
      </c>
      <c r="I110" s="3" t="s">
        <v>61</v>
      </c>
      <c r="J110" s="3" t="s">
        <v>62</v>
      </c>
      <c r="K110" s="3" t="s">
        <v>63</v>
      </c>
      <c r="L110" s="2" t="s">
        <v>720</v>
      </c>
      <c r="M110" s="2" t="s">
        <v>739</v>
      </c>
      <c r="N110" s="3" t="s">
        <v>340</v>
      </c>
      <c r="P110" s="3" t="s">
        <v>65</v>
      </c>
      <c r="R110" s="3" t="s">
        <v>66</v>
      </c>
      <c r="S110" s="4">
        <v>1</v>
      </c>
      <c r="T110" s="4">
        <v>39</v>
      </c>
      <c r="U110" s="5" t="s">
        <v>769</v>
      </c>
      <c r="V110" s="5" t="s">
        <v>741</v>
      </c>
      <c r="W110" s="5" t="s">
        <v>67</v>
      </c>
      <c r="X110" s="5" t="s">
        <v>67</v>
      </c>
      <c r="Y110" s="4">
        <v>384</v>
      </c>
      <c r="Z110" s="4">
        <v>23</v>
      </c>
      <c r="AA110" s="4">
        <v>23</v>
      </c>
      <c r="AB110" s="4">
        <v>3</v>
      </c>
      <c r="AC110" s="4">
        <v>3</v>
      </c>
      <c r="AD110" s="4">
        <v>107</v>
      </c>
      <c r="AE110" s="4">
        <v>107</v>
      </c>
      <c r="AF110" s="4">
        <v>1</v>
      </c>
      <c r="AG110" s="4">
        <v>1</v>
      </c>
      <c r="AH110" s="4">
        <v>95</v>
      </c>
      <c r="AI110" s="4">
        <v>95</v>
      </c>
      <c r="AJ110" s="4">
        <v>14</v>
      </c>
      <c r="AK110" s="4">
        <v>14</v>
      </c>
      <c r="AL110" s="4">
        <v>57</v>
      </c>
      <c r="AM110" s="4">
        <v>57</v>
      </c>
      <c r="AN110" s="4">
        <v>0</v>
      </c>
      <c r="AO110" s="4">
        <v>0</v>
      </c>
      <c r="AP110" s="4">
        <v>16</v>
      </c>
      <c r="AQ110" s="4">
        <v>16</v>
      </c>
      <c r="AR110" s="3" t="s">
        <v>62</v>
      </c>
      <c r="AS110" s="3" t="s">
        <v>62</v>
      </c>
      <c r="AT110" s="3" t="s">
        <v>61</v>
      </c>
      <c r="AU110" s="6" t="str">
        <f t="shared" si="3"/>
        <v>HathiTrust Record</v>
      </c>
      <c r="AV110" s="6" t="str">
        <f t="shared" si="4"/>
        <v>Catalog Record</v>
      </c>
      <c r="AW110" s="6" t="str">
        <f t="shared" si="5"/>
        <v>WorldCat Record</v>
      </c>
      <c r="AX110" s="3" t="s">
        <v>742</v>
      </c>
      <c r="AY110" s="3" t="s">
        <v>743</v>
      </c>
      <c r="AZ110" s="3" t="s">
        <v>744</v>
      </c>
      <c r="BA110" s="3" t="s">
        <v>744</v>
      </c>
      <c r="BB110" s="3" t="s">
        <v>770</v>
      </c>
      <c r="BC110" s="3" t="s">
        <v>142</v>
      </c>
      <c r="BD110" s="3" t="s">
        <v>68</v>
      </c>
      <c r="BE110" s="3" t="s">
        <v>746</v>
      </c>
      <c r="BF110" s="3" t="s">
        <v>770</v>
      </c>
      <c r="BG110" s="3" t="s">
        <v>771</v>
      </c>
    </row>
    <row r="111" spans="1:59" ht="57" x14ac:dyDescent="0.45">
      <c r="A111" s="2" t="s">
        <v>59</v>
      </c>
      <c r="B111" s="2" t="s">
        <v>60</v>
      </c>
      <c r="C111" s="2" t="s">
        <v>736</v>
      </c>
      <c r="D111" s="2" t="s">
        <v>737</v>
      </c>
      <c r="E111" s="2" t="s">
        <v>738</v>
      </c>
      <c r="F111" s="3" t="s">
        <v>772</v>
      </c>
      <c r="G111" s="3" t="s">
        <v>61</v>
      </c>
      <c r="I111" s="3" t="s">
        <v>61</v>
      </c>
      <c r="J111" s="3" t="s">
        <v>62</v>
      </c>
      <c r="K111" s="3" t="s">
        <v>63</v>
      </c>
      <c r="L111" s="2" t="s">
        <v>720</v>
      </c>
      <c r="M111" s="2" t="s">
        <v>739</v>
      </c>
      <c r="N111" s="3" t="s">
        <v>340</v>
      </c>
      <c r="P111" s="3" t="s">
        <v>65</v>
      </c>
      <c r="R111" s="3" t="s">
        <v>66</v>
      </c>
      <c r="S111" s="4">
        <v>5</v>
      </c>
      <c r="T111" s="4">
        <v>39</v>
      </c>
      <c r="U111" s="5" t="s">
        <v>773</v>
      </c>
      <c r="V111" s="5" t="s">
        <v>741</v>
      </c>
      <c r="W111" s="5" t="s">
        <v>67</v>
      </c>
      <c r="X111" s="5" t="s">
        <v>67</v>
      </c>
      <c r="Y111" s="4">
        <v>384</v>
      </c>
      <c r="Z111" s="4">
        <v>23</v>
      </c>
      <c r="AA111" s="4">
        <v>23</v>
      </c>
      <c r="AB111" s="4">
        <v>3</v>
      </c>
      <c r="AC111" s="4">
        <v>3</v>
      </c>
      <c r="AD111" s="4">
        <v>107</v>
      </c>
      <c r="AE111" s="4">
        <v>107</v>
      </c>
      <c r="AF111" s="4">
        <v>1</v>
      </c>
      <c r="AG111" s="4">
        <v>1</v>
      </c>
      <c r="AH111" s="4">
        <v>95</v>
      </c>
      <c r="AI111" s="4">
        <v>95</v>
      </c>
      <c r="AJ111" s="4">
        <v>14</v>
      </c>
      <c r="AK111" s="4">
        <v>14</v>
      </c>
      <c r="AL111" s="4">
        <v>57</v>
      </c>
      <c r="AM111" s="4">
        <v>57</v>
      </c>
      <c r="AN111" s="4">
        <v>0</v>
      </c>
      <c r="AO111" s="4">
        <v>0</v>
      </c>
      <c r="AP111" s="4">
        <v>16</v>
      </c>
      <c r="AQ111" s="4">
        <v>16</v>
      </c>
      <c r="AR111" s="3" t="s">
        <v>62</v>
      </c>
      <c r="AS111" s="3" t="s">
        <v>62</v>
      </c>
      <c r="AT111" s="3" t="s">
        <v>61</v>
      </c>
      <c r="AU111" s="6" t="str">
        <f t="shared" si="3"/>
        <v>HathiTrust Record</v>
      </c>
      <c r="AV111" s="6" t="str">
        <f t="shared" si="4"/>
        <v>Catalog Record</v>
      </c>
      <c r="AW111" s="6" t="str">
        <f t="shared" si="5"/>
        <v>WorldCat Record</v>
      </c>
      <c r="AX111" s="3" t="s">
        <v>742</v>
      </c>
      <c r="AY111" s="3" t="s">
        <v>743</v>
      </c>
      <c r="AZ111" s="3" t="s">
        <v>744</v>
      </c>
      <c r="BA111" s="3" t="s">
        <v>744</v>
      </c>
      <c r="BB111" s="3" t="s">
        <v>774</v>
      </c>
      <c r="BC111" s="3" t="s">
        <v>142</v>
      </c>
      <c r="BD111" s="3" t="s">
        <v>68</v>
      </c>
      <c r="BE111" s="3" t="s">
        <v>746</v>
      </c>
      <c r="BF111" s="3" t="s">
        <v>774</v>
      </c>
      <c r="BG111" s="3" t="s">
        <v>775</v>
      </c>
    </row>
    <row r="112" spans="1:59" ht="57" x14ac:dyDescent="0.45">
      <c r="A112" s="2" t="s">
        <v>59</v>
      </c>
      <c r="B112" s="2" t="s">
        <v>60</v>
      </c>
      <c r="C112" s="2" t="s">
        <v>776</v>
      </c>
      <c r="D112" s="2" t="s">
        <v>777</v>
      </c>
      <c r="E112" s="2" t="s">
        <v>778</v>
      </c>
      <c r="G112" s="3" t="s">
        <v>62</v>
      </c>
      <c r="I112" s="3" t="s">
        <v>62</v>
      </c>
      <c r="J112" s="3" t="s">
        <v>61</v>
      </c>
      <c r="K112" s="3" t="s">
        <v>63</v>
      </c>
      <c r="L112" s="2" t="s">
        <v>779</v>
      </c>
      <c r="M112" s="2" t="s">
        <v>780</v>
      </c>
      <c r="N112" s="3" t="s">
        <v>555</v>
      </c>
      <c r="P112" s="3" t="s">
        <v>65</v>
      </c>
      <c r="Q112" s="2" t="s">
        <v>781</v>
      </c>
      <c r="R112" s="3" t="s">
        <v>66</v>
      </c>
      <c r="S112" s="4">
        <v>6</v>
      </c>
      <c r="T112" s="4">
        <v>6</v>
      </c>
      <c r="U112" s="5" t="s">
        <v>782</v>
      </c>
      <c r="V112" s="5" t="s">
        <v>782</v>
      </c>
      <c r="W112" s="5" t="s">
        <v>67</v>
      </c>
      <c r="X112" s="5" t="s">
        <v>67</v>
      </c>
      <c r="Y112" s="4">
        <v>132</v>
      </c>
      <c r="Z112" s="4">
        <v>8</v>
      </c>
      <c r="AA112" s="4">
        <v>28</v>
      </c>
      <c r="AB112" s="4">
        <v>1</v>
      </c>
      <c r="AC112" s="4">
        <v>6</v>
      </c>
      <c r="AD112" s="4">
        <v>39</v>
      </c>
      <c r="AE112" s="4">
        <v>111</v>
      </c>
      <c r="AF112" s="4">
        <v>0</v>
      </c>
      <c r="AG112" s="4">
        <v>4</v>
      </c>
      <c r="AH112" s="4">
        <v>36</v>
      </c>
      <c r="AI112" s="4">
        <v>96</v>
      </c>
      <c r="AJ112" s="4">
        <v>5</v>
      </c>
      <c r="AK112" s="4">
        <v>20</v>
      </c>
      <c r="AL112" s="4">
        <v>23</v>
      </c>
      <c r="AM112" s="4">
        <v>55</v>
      </c>
      <c r="AN112" s="4">
        <v>0</v>
      </c>
      <c r="AO112" s="4">
        <v>0</v>
      </c>
      <c r="AP112" s="4">
        <v>5</v>
      </c>
      <c r="AQ112" s="4">
        <v>23</v>
      </c>
      <c r="AR112" s="3" t="s">
        <v>62</v>
      </c>
      <c r="AS112" s="3" t="s">
        <v>62</v>
      </c>
      <c r="AT112" s="3" t="s">
        <v>62</v>
      </c>
      <c r="AV112" s="6" t="str">
        <f>HYPERLINK("http://mcgill.on.worldcat.org/oclc/979556","Catalog Record")</f>
        <v>Catalog Record</v>
      </c>
      <c r="AW112" s="6" t="str">
        <f>HYPERLINK("http://www.worldcat.org/oclc/979556","WorldCat Record")</f>
        <v>WorldCat Record</v>
      </c>
      <c r="AX112" s="3" t="s">
        <v>783</v>
      </c>
      <c r="AY112" s="3" t="s">
        <v>784</v>
      </c>
      <c r="AZ112" s="3" t="s">
        <v>785</v>
      </c>
      <c r="BA112" s="3" t="s">
        <v>785</v>
      </c>
      <c r="BB112" s="3" t="s">
        <v>786</v>
      </c>
      <c r="BC112" s="3" t="s">
        <v>142</v>
      </c>
      <c r="BD112" s="3" t="s">
        <v>68</v>
      </c>
      <c r="BF112" s="3" t="s">
        <v>786</v>
      </c>
      <c r="BG112" s="3" t="s">
        <v>787</v>
      </c>
    </row>
    <row r="113" spans="1:59" ht="57" x14ac:dyDescent="0.45">
      <c r="A113" s="2" t="s">
        <v>59</v>
      </c>
      <c r="B113" s="2" t="s">
        <v>60</v>
      </c>
      <c r="C113" s="2" t="s">
        <v>788</v>
      </c>
      <c r="D113" s="2" t="s">
        <v>789</v>
      </c>
      <c r="E113" s="2" t="s">
        <v>790</v>
      </c>
      <c r="G113" s="3" t="s">
        <v>62</v>
      </c>
      <c r="I113" s="3" t="s">
        <v>62</v>
      </c>
      <c r="J113" s="3" t="s">
        <v>62</v>
      </c>
      <c r="K113" s="3" t="s">
        <v>63</v>
      </c>
      <c r="L113" s="2" t="s">
        <v>791</v>
      </c>
      <c r="M113" s="2" t="s">
        <v>792</v>
      </c>
      <c r="N113" s="3" t="s">
        <v>793</v>
      </c>
      <c r="P113" s="3" t="s">
        <v>65</v>
      </c>
      <c r="Q113" s="2" t="s">
        <v>794</v>
      </c>
      <c r="R113" s="3" t="s">
        <v>66</v>
      </c>
      <c r="S113" s="4">
        <v>4</v>
      </c>
      <c r="T113" s="4">
        <v>4</v>
      </c>
      <c r="U113" s="5" t="s">
        <v>795</v>
      </c>
      <c r="V113" s="5" t="s">
        <v>795</v>
      </c>
      <c r="W113" s="5" t="s">
        <v>67</v>
      </c>
      <c r="X113" s="5" t="s">
        <v>67</v>
      </c>
      <c r="Y113" s="4">
        <v>286</v>
      </c>
      <c r="Z113" s="4">
        <v>26</v>
      </c>
      <c r="AA113" s="4">
        <v>85</v>
      </c>
      <c r="AB113" s="4">
        <v>2</v>
      </c>
      <c r="AC113" s="4">
        <v>14</v>
      </c>
      <c r="AD113" s="4">
        <v>106</v>
      </c>
      <c r="AE113" s="4">
        <v>136</v>
      </c>
      <c r="AF113" s="4">
        <v>1</v>
      </c>
      <c r="AG113" s="4">
        <v>8</v>
      </c>
      <c r="AH113" s="4">
        <v>91</v>
      </c>
      <c r="AI113" s="4">
        <v>99</v>
      </c>
      <c r="AJ113" s="4">
        <v>18</v>
      </c>
      <c r="AK113" s="4">
        <v>25</v>
      </c>
      <c r="AL113" s="4">
        <v>54</v>
      </c>
      <c r="AM113" s="4">
        <v>54</v>
      </c>
      <c r="AN113" s="4">
        <v>0</v>
      </c>
      <c r="AO113" s="4">
        <v>0</v>
      </c>
      <c r="AP113" s="4">
        <v>23</v>
      </c>
      <c r="AQ113" s="4">
        <v>46</v>
      </c>
      <c r="AR113" s="3" t="s">
        <v>62</v>
      </c>
      <c r="AS113" s="3" t="s">
        <v>62</v>
      </c>
      <c r="AT113" s="3" t="s">
        <v>61</v>
      </c>
      <c r="AU113" s="6" t="str">
        <f>HYPERLINK("http://catalog.hathitrust.org/Record/001657762","HathiTrust Record")</f>
        <v>HathiTrust Record</v>
      </c>
      <c r="AV113" s="6" t="str">
        <f>HYPERLINK("http://mcgill.on.worldcat.org/oclc/532480","Catalog Record")</f>
        <v>Catalog Record</v>
      </c>
      <c r="AW113" s="6" t="str">
        <f>HYPERLINK("http://www.worldcat.org/oclc/532480","WorldCat Record")</f>
        <v>WorldCat Record</v>
      </c>
      <c r="AX113" s="3" t="s">
        <v>796</v>
      </c>
      <c r="AY113" s="3" t="s">
        <v>797</v>
      </c>
      <c r="AZ113" s="3" t="s">
        <v>798</v>
      </c>
      <c r="BA113" s="3" t="s">
        <v>798</v>
      </c>
      <c r="BB113" s="3" t="s">
        <v>799</v>
      </c>
      <c r="BC113" s="3" t="s">
        <v>142</v>
      </c>
      <c r="BD113" s="3" t="s">
        <v>68</v>
      </c>
      <c r="BE113" s="3" t="s">
        <v>800</v>
      </c>
      <c r="BF113" s="3" t="s">
        <v>799</v>
      </c>
      <c r="BG113" s="3" t="s">
        <v>801</v>
      </c>
    </row>
    <row r="114" spans="1:59" ht="57" x14ac:dyDescent="0.45">
      <c r="A114" s="2" t="s">
        <v>59</v>
      </c>
      <c r="B114" s="2" t="s">
        <v>60</v>
      </c>
      <c r="C114" s="2" t="s">
        <v>802</v>
      </c>
      <c r="D114" s="2" t="s">
        <v>803</v>
      </c>
      <c r="E114" s="2" t="s">
        <v>804</v>
      </c>
      <c r="G114" s="3" t="s">
        <v>62</v>
      </c>
      <c r="I114" s="3" t="s">
        <v>62</v>
      </c>
      <c r="J114" s="3" t="s">
        <v>62</v>
      </c>
      <c r="K114" s="3" t="s">
        <v>63</v>
      </c>
      <c r="L114" s="2" t="s">
        <v>805</v>
      </c>
      <c r="M114" s="2" t="s">
        <v>806</v>
      </c>
      <c r="N114" s="3" t="s">
        <v>807</v>
      </c>
      <c r="P114" s="3" t="s">
        <v>65</v>
      </c>
      <c r="R114" s="3" t="s">
        <v>66</v>
      </c>
      <c r="S114" s="4">
        <v>17</v>
      </c>
      <c r="T114" s="4">
        <v>17</v>
      </c>
      <c r="U114" s="5" t="s">
        <v>808</v>
      </c>
      <c r="V114" s="5" t="s">
        <v>808</v>
      </c>
      <c r="W114" s="5" t="s">
        <v>67</v>
      </c>
      <c r="X114" s="5" t="s">
        <v>67</v>
      </c>
      <c r="Y114" s="4">
        <v>542</v>
      </c>
      <c r="Z114" s="4">
        <v>31</v>
      </c>
      <c r="AA114" s="4">
        <v>33</v>
      </c>
      <c r="AB114" s="4">
        <v>2</v>
      </c>
      <c r="AC114" s="4">
        <v>4</v>
      </c>
      <c r="AD114" s="4">
        <v>118</v>
      </c>
      <c r="AE114" s="4">
        <v>120</v>
      </c>
      <c r="AF114" s="4">
        <v>1</v>
      </c>
      <c r="AG114" s="4">
        <v>3</v>
      </c>
      <c r="AH114" s="4">
        <v>101</v>
      </c>
      <c r="AI114" s="4">
        <v>102</v>
      </c>
      <c r="AJ114" s="4">
        <v>18</v>
      </c>
      <c r="AK114" s="4">
        <v>20</v>
      </c>
      <c r="AL114" s="4">
        <v>54</v>
      </c>
      <c r="AM114" s="4">
        <v>54</v>
      </c>
      <c r="AN114" s="4">
        <v>0</v>
      </c>
      <c r="AO114" s="4">
        <v>0</v>
      </c>
      <c r="AP114" s="4">
        <v>26</v>
      </c>
      <c r="AQ114" s="4">
        <v>27</v>
      </c>
      <c r="AR114" s="3" t="s">
        <v>62</v>
      </c>
      <c r="AS114" s="3" t="s">
        <v>62</v>
      </c>
      <c r="AT114" s="3" t="s">
        <v>61</v>
      </c>
      <c r="AU114" s="6" t="str">
        <f>HYPERLINK("http://catalog.hathitrust.org/Record/002515980","HathiTrust Record")</f>
        <v>HathiTrust Record</v>
      </c>
      <c r="AV114" s="6" t="str">
        <f>HYPERLINK("http://mcgill.on.worldcat.org/oclc/22380544","Catalog Record")</f>
        <v>Catalog Record</v>
      </c>
      <c r="AW114" s="6" t="str">
        <f>HYPERLINK("http://www.worldcat.org/oclc/22380544","WorldCat Record")</f>
        <v>WorldCat Record</v>
      </c>
      <c r="AX114" s="3" t="s">
        <v>809</v>
      </c>
      <c r="AY114" s="3" t="s">
        <v>810</v>
      </c>
      <c r="AZ114" s="3" t="s">
        <v>811</v>
      </c>
      <c r="BA114" s="3" t="s">
        <v>811</v>
      </c>
      <c r="BB114" s="3" t="s">
        <v>812</v>
      </c>
      <c r="BC114" s="3" t="s">
        <v>142</v>
      </c>
      <c r="BD114" s="3" t="s">
        <v>68</v>
      </c>
      <c r="BE114" s="3" t="s">
        <v>813</v>
      </c>
      <c r="BF114" s="3" t="s">
        <v>812</v>
      </c>
      <c r="BG114" s="3" t="s">
        <v>814</v>
      </c>
    </row>
    <row r="115" spans="1:59" ht="57" x14ac:dyDescent="0.45">
      <c r="A115" s="2" t="s">
        <v>59</v>
      </c>
      <c r="B115" s="2" t="s">
        <v>60</v>
      </c>
      <c r="C115" s="2" t="s">
        <v>815</v>
      </c>
      <c r="D115" s="2" t="s">
        <v>816</v>
      </c>
      <c r="E115" s="2" t="s">
        <v>817</v>
      </c>
      <c r="F115" s="3" t="s">
        <v>87</v>
      </c>
      <c r="G115" s="3" t="s">
        <v>62</v>
      </c>
      <c r="I115" s="3" t="s">
        <v>62</v>
      </c>
      <c r="J115" s="3" t="s">
        <v>62</v>
      </c>
      <c r="K115" s="3" t="s">
        <v>63</v>
      </c>
      <c r="L115" s="2" t="s">
        <v>818</v>
      </c>
      <c r="M115" s="2" t="s">
        <v>819</v>
      </c>
      <c r="N115" s="3" t="s">
        <v>820</v>
      </c>
      <c r="P115" s="3" t="s">
        <v>65</v>
      </c>
      <c r="Q115" s="2" t="s">
        <v>821</v>
      </c>
      <c r="R115" s="3" t="s">
        <v>66</v>
      </c>
      <c r="S115" s="4">
        <v>5</v>
      </c>
      <c r="T115" s="4">
        <v>5</v>
      </c>
      <c r="U115" s="5" t="s">
        <v>822</v>
      </c>
      <c r="V115" s="5" t="s">
        <v>822</v>
      </c>
      <c r="W115" s="5" t="s">
        <v>67</v>
      </c>
      <c r="X115" s="5" t="s">
        <v>67</v>
      </c>
      <c r="Y115" s="4">
        <v>76</v>
      </c>
      <c r="Z115" s="4">
        <v>3</v>
      </c>
      <c r="AA115" s="4">
        <v>81</v>
      </c>
      <c r="AB115" s="4">
        <v>1</v>
      </c>
      <c r="AC115" s="4">
        <v>17</v>
      </c>
      <c r="AD115" s="4">
        <v>35</v>
      </c>
      <c r="AE115" s="4">
        <v>100</v>
      </c>
      <c r="AF115" s="4">
        <v>0</v>
      </c>
      <c r="AG115" s="4">
        <v>8</v>
      </c>
      <c r="AH115" s="4">
        <v>34</v>
      </c>
      <c r="AI115" s="4">
        <v>68</v>
      </c>
      <c r="AJ115" s="4">
        <v>2</v>
      </c>
      <c r="AK115" s="4">
        <v>16</v>
      </c>
      <c r="AL115" s="4">
        <v>23</v>
      </c>
      <c r="AM115" s="4">
        <v>39</v>
      </c>
      <c r="AN115" s="4">
        <v>0</v>
      </c>
      <c r="AO115" s="4">
        <v>0</v>
      </c>
      <c r="AP115" s="4">
        <v>2</v>
      </c>
      <c r="AQ115" s="4">
        <v>37</v>
      </c>
      <c r="AR115" s="3" t="s">
        <v>62</v>
      </c>
      <c r="AS115" s="3" t="s">
        <v>62</v>
      </c>
      <c r="AT115" s="3" t="s">
        <v>61</v>
      </c>
      <c r="AU115" s="6" t="str">
        <f>HYPERLINK("http://catalog.hathitrust.org/Record/005671435","HathiTrust Record")</f>
        <v>HathiTrust Record</v>
      </c>
      <c r="AV115" s="6" t="str">
        <f>HYPERLINK("http://mcgill.on.worldcat.org/oclc/181910147","Catalog Record")</f>
        <v>Catalog Record</v>
      </c>
      <c r="AW115" s="6" t="str">
        <f>HYPERLINK("http://www.worldcat.org/oclc/181910147","WorldCat Record")</f>
        <v>WorldCat Record</v>
      </c>
      <c r="AX115" s="3" t="s">
        <v>823</v>
      </c>
      <c r="AY115" s="3" t="s">
        <v>824</v>
      </c>
      <c r="AZ115" s="3" t="s">
        <v>825</v>
      </c>
      <c r="BA115" s="3" t="s">
        <v>825</v>
      </c>
      <c r="BB115" s="3" t="s">
        <v>826</v>
      </c>
      <c r="BC115" s="3" t="s">
        <v>142</v>
      </c>
      <c r="BD115" s="3" t="s">
        <v>68</v>
      </c>
      <c r="BE115" s="3" t="s">
        <v>827</v>
      </c>
      <c r="BF115" s="3" t="s">
        <v>826</v>
      </c>
      <c r="BG115" s="3" t="s">
        <v>828</v>
      </c>
    </row>
    <row r="116" spans="1:59" ht="57" x14ac:dyDescent="0.45">
      <c r="A116" s="2" t="s">
        <v>59</v>
      </c>
      <c r="B116" s="2" t="s">
        <v>60</v>
      </c>
      <c r="C116" s="2" t="s">
        <v>829</v>
      </c>
      <c r="D116" s="2" t="s">
        <v>830</v>
      </c>
      <c r="E116" s="2" t="s">
        <v>831</v>
      </c>
      <c r="G116" s="3" t="s">
        <v>62</v>
      </c>
      <c r="I116" s="3" t="s">
        <v>61</v>
      </c>
      <c r="J116" s="3" t="s">
        <v>61</v>
      </c>
      <c r="K116" s="3" t="s">
        <v>63</v>
      </c>
      <c r="L116" s="2" t="s">
        <v>818</v>
      </c>
      <c r="M116" s="2" t="s">
        <v>832</v>
      </c>
      <c r="N116" s="3" t="s">
        <v>833</v>
      </c>
      <c r="P116" s="3" t="s">
        <v>65</v>
      </c>
      <c r="R116" s="3" t="s">
        <v>66</v>
      </c>
      <c r="S116" s="4">
        <v>3</v>
      </c>
      <c r="T116" s="4">
        <v>43</v>
      </c>
      <c r="U116" s="5" t="s">
        <v>834</v>
      </c>
      <c r="V116" s="5" t="s">
        <v>751</v>
      </c>
      <c r="W116" s="5" t="s">
        <v>67</v>
      </c>
      <c r="X116" s="5" t="s">
        <v>67</v>
      </c>
      <c r="Y116" s="4">
        <v>276</v>
      </c>
      <c r="Z116" s="4">
        <v>14</v>
      </c>
      <c r="AA116" s="4">
        <v>33</v>
      </c>
      <c r="AB116" s="4">
        <v>1</v>
      </c>
      <c r="AC116" s="4">
        <v>5</v>
      </c>
      <c r="AD116" s="4">
        <v>42</v>
      </c>
      <c r="AE116" s="4">
        <v>86</v>
      </c>
      <c r="AF116" s="4">
        <v>0</v>
      </c>
      <c r="AG116" s="4">
        <v>3</v>
      </c>
      <c r="AH116" s="4">
        <v>36</v>
      </c>
      <c r="AI116" s="4">
        <v>69</v>
      </c>
      <c r="AJ116" s="4">
        <v>5</v>
      </c>
      <c r="AK116" s="4">
        <v>14</v>
      </c>
      <c r="AL116" s="4">
        <v>21</v>
      </c>
      <c r="AM116" s="4">
        <v>33</v>
      </c>
      <c r="AN116" s="4">
        <v>0</v>
      </c>
      <c r="AO116" s="4">
        <v>0</v>
      </c>
      <c r="AP116" s="4">
        <v>8</v>
      </c>
      <c r="AQ116" s="4">
        <v>21</v>
      </c>
      <c r="AR116" s="3" t="s">
        <v>62</v>
      </c>
      <c r="AS116" s="3" t="s">
        <v>62</v>
      </c>
      <c r="AT116" s="3" t="s">
        <v>61</v>
      </c>
      <c r="AU116" s="6" t="str">
        <f>HYPERLINK("http://catalog.hathitrust.org/Record/001180653","HathiTrust Record")</f>
        <v>HathiTrust Record</v>
      </c>
      <c r="AV116" s="6" t="str">
        <f>HYPERLINK("http://mcgill.on.worldcat.org/oclc/7634052","Catalog Record")</f>
        <v>Catalog Record</v>
      </c>
      <c r="AW116" s="6" t="str">
        <f>HYPERLINK("http://www.worldcat.org/oclc/7634052","WorldCat Record")</f>
        <v>WorldCat Record</v>
      </c>
      <c r="AX116" s="3" t="s">
        <v>835</v>
      </c>
      <c r="AY116" s="3" t="s">
        <v>836</v>
      </c>
      <c r="AZ116" s="3" t="s">
        <v>837</v>
      </c>
      <c r="BA116" s="3" t="s">
        <v>837</v>
      </c>
      <c r="BB116" s="3" t="s">
        <v>838</v>
      </c>
      <c r="BC116" s="3" t="s">
        <v>142</v>
      </c>
      <c r="BD116" s="3" t="s">
        <v>68</v>
      </c>
      <c r="BE116" s="3" t="s">
        <v>839</v>
      </c>
      <c r="BF116" s="3" t="s">
        <v>838</v>
      </c>
      <c r="BG116" s="3" t="s">
        <v>840</v>
      </c>
    </row>
    <row r="117" spans="1:59" ht="57" x14ac:dyDescent="0.45">
      <c r="A117" s="2" t="s">
        <v>59</v>
      </c>
      <c r="B117" s="2" t="s">
        <v>60</v>
      </c>
      <c r="C117" s="2" t="s">
        <v>829</v>
      </c>
      <c r="D117" s="2" t="s">
        <v>830</v>
      </c>
      <c r="E117" s="2" t="s">
        <v>831</v>
      </c>
      <c r="G117" s="3" t="s">
        <v>62</v>
      </c>
      <c r="I117" s="3" t="s">
        <v>61</v>
      </c>
      <c r="J117" s="3" t="s">
        <v>61</v>
      </c>
      <c r="K117" s="3" t="s">
        <v>63</v>
      </c>
      <c r="L117" s="2" t="s">
        <v>818</v>
      </c>
      <c r="M117" s="2" t="s">
        <v>832</v>
      </c>
      <c r="N117" s="3" t="s">
        <v>833</v>
      </c>
      <c r="P117" s="3" t="s">
        <v>65</v>
      </c>
      <c r="R117" s="3" t="s">
        <v>66</v>
      </c>
      <c r="S117" s="4">
        <v>12</v>
      </c>
      <c r="T117" s="4">
        <v>43</v>
      </c>
      <c r="U117" s="5" t="s">
        <v>124</v>
      </c>
      <c r="V117" s="5" t="s">
        <v>751</v>
      </c>
      <c r="W117" s="5" t="s">
        <v>67</v>
      </c>
      <c r="X117" s="5" t="s">
        <v>67</v>
      </c>
      <c r="Y117" s="4">
        <v>276</v>
      </c>
      <c r="Z117" s="4">
        <v>14</v>
      </c>
      <c r="AA117" s="4">
        <v>33</v>
      </c>
      <c r="AB117" s="4">
        <v>1</v>
      </c>
      <c r="AC117" s="4">
        <v>5</v>
      </c>
      <c r="AD117" s="4">
        <v>42</v>
      </c>
      <c r="AE117" s="4">
        <v>86</v>
      </c>
      <c r="AF117" s="4">
        <v>0</v>
      </c>
      <c r="AG117" s="4">
        <v>3</v>
      </c>
      <c r="AH117" s="4">
        <v>36</v>
      </c>
      <c r="AI117" s="4">
        <v>69</v>
      </c>
      <c r="AJ117" s="4">
        <v>5</v>
      </c>
      <c r="AK117" s="4">
        <v>14</v>
      </c>
      <c r="AL117" s="4">
        <v>21</v>
      </c>
      <c r="AM117" s="4">
        <v>33</v>
      </c>
      <c r="AN117" s="4">
        <v>0</v>
      </c>
      <c r="AO117" s="4">
        <v>0</v>
      </c>
      <c r="AP117" s="4">
        <v>8</v>
      </c>
      <c r="AQ117" s="4">
        <v>21</v>
      </c>
      <c r="AR117" s="3" t="s">
        <v>62</v>
      </c>
      <c r="AS117" s="3" t="s">
        <v>62</v>
      </c>
      <c r="AT117" s="3" t="s">
        <v>61</v>
      </c>
      <c r="AU117" s="6" t="str">
        <f>HYPERLINK("http://catalog.hathitrust.org/Record/001180653","HathiTrust Record")</f>
        <v>HathiTrust Record</v>
      </c>
      <c r="AV117" s="6" t="str">
        <f>HYPERLINK("http://mcgill.on.worldcat.org/oclc/7634052","Catalog Record")</f>
        <v>Catalog Record</v>
      </c>
      <c r="AW117" s="6" t="str">
        <f>HYPERLINK("http://www.worldcat.org/oclc/7634052","WorldCat Record")</f>
        <v>WorldCat Record</v>
      </c>
      <c r="AX117" s="3" t="s">
        <v>835</v>
      </c>
      <c r="AY117" s="3" t="s">
        <v>836</v>
      </c>
      <c r="AZ117" s="3" t="s">
        <v>837</v>
      </c>
      <c r="BA117" s="3" t="s">
        <v>837</v>
      </c>
      <c r="BB117" s="3" t="s">
        <v>841</v>
      </c>
      <c r="BC117" s="3" t="s">
        <v>142</v>
      </c>
      <c r="BD117" s="3" t="s">
        <v>68</v>
      </c>
      <c r="BE117" s="3" t="s">
        <v>839</v>
      </c>
      <c r="BF117" s="3" t="s">
        <v>841</v>
      </c>
      <c r="BG117" s="3" t="s">
        <v>842</v>
      </c>
    </row>
    <row r="118" spans="1:59" ht="57" x14ac:dyDescent="0.45">
      <c r="A118" s="2" t="s">
        <v>59</v>
      </c>
      <c r="B118" s="2" t="s">
        <v>60</v>
      </c>
      <c r="C118" s="2" t="s">
        <v>829</v>
      </c>
      <c r="D118" s="2" t="s">
        <v>830</v>
      </c>
      <c r="E118" s="2" t="s">
        <v>831</v>
      </c>
      <c r="G118" s="3" t="s">
        <v>62</v>
      </c>
      <c r="I118" s="3" t="s">
        <v>61</v>
      </c>
      <c r="J118" s="3" t="s">
        <v>61</v>
      </c>
      <c r="K118" s="3" t="s">
        <v>63</v>
      </c>
      <c r="L118" s="2" t="s">
        <v>818</v>
      </c>
      <c r="M118" s="2" t="s">
        <v>832</v>
      </c>
      <c r="N118" s="3" t="s">
        <v>833</v>
      </c>
      <c r="P118" s="3" t="s">
        <v>65</v>
      </c>
      <c r="R118" s="3" t="s">
        <v>66</v>
      </c>
      <c r="S118" s="4">
        <v>6</v>
      </c>
      <c r="T118" s="4">
        <v>43</v>
      </c>
      <c r="U118" s="5" t="s">
        <v>843</v>
      </c>
      <c r="V118" s="5" t="s">
        <v>751</v>
      </c>
      <c r="W118" s="5" t="s">
        <v>67</v>
      </c>
      <c r="X118" s="5" t="s">
        <v>67</v>
      </c>
      <c r="Y118" s="4">
        <v>276</v>
      </c>
      <c r="Z118" s="4">
        <v>14</v>
      </c>
      <c r="AA118" s="4">
        <v>33</v>
      </c>
      <c r="AB118" s="4">
        <v>1</v>
      </c>
      <c r="AC118" s="4">
        <v>5</v>
      </c>
      <c r="AD118" s="4">
        <v>42</v>
      </c>
      <c r="AE118" s="4">
        <v>86</v>
      </c>
      <c r="AF118" s="4">
        <v>0</v>
      </c>
      <c r="AG118" s="4">
        <v>3</v>
      </c>
      <c r="AH118" s="4">
        <v>36</v>
      </c>
      <c r="AI118" s="4">
        <v>69</v>
      </c>
      <c r="AJ118" s="4">
        <v>5</v>
      </c>
      <c r="AK118" s="4">
        <v>14</v>
      </c>
      <c r="AL118" s="4">
        <v>21</v>
      </c>
      <c r="AM118" s="4">
        <v>33</v>
      </c>
      <c r="AN118" s="4">
        <v>0</v>
      </c>
      <c r="AO118" s="4">
        <v>0</v>
      </c>
      <c r="AP118" s="4">
        <v>8</v>
      </c>
      <c r="AQ118" s="4">
        <v>21</v>
      </c>
      <c r="AR118" s="3" t="s">
        <v>62</v>
      </c>
      <c r="AS118" s="3" t="s">
        <v>62</v>
      </c>
      <c r="AT118" s="3" t="s">
        <v>61</v>
      </c>
      <c r="AU118" s="6" t="str">
        <f>HYPERLINK("http://catalog.hathitrust.org/Record/001180653","HathiTrust Record")</f>
        <v>HathiTrust Record</v>
      </c>
      <c r="AV118" s="6" t="str">
        <f>HYPERLINK("http://mcgill.on.worldcat.org/oclc/7634052","Catalog Record")</f>
        <v>Catalog Record</v>
      </c>
      <c r="AW118" s="6" t="str">
        <f>HYPERLINK("http://www.worldcat.org/oclc/7634052","WorldCat Record")</f>
        <v>WorldCat Record</v>
      </c>
      <c r="AX118" s="3" t="s">
        <v>835</v>
      </c>
      <c r="AY118" s="3" t="s">
        <v>836</v>
      </c>
      <c r="AZ118" s="3" t="s">
        <v>837</v>
      </c>
      <c r="BA118" s="3" t="s">
        <v>837</v>
      </c>
      <c r="BB118" s="3" t="s">
        <v>844</v>
      </c>
      <c r="BC118" s="3" t="s">
        <v>142</v>
      </c>
      <c r="BD118" s="3" t="s">
        <v>68</v>
      </c>
      <c r="BE118" s="3" t="s">
        <v>839</v>
      </c>
      <c r="BF118" s="3" t="s">
        <v>844</v>
      </c>
      <c r="BG118" s="3" t="s">
        <v>845</v>
      </c>
    </row>
    <row r="119" spans="1:59" ht="57" x14ac:dyDescent="0.45">
      <c r="A119" s="2" t="s">
        <v>59</v>
      </c>
      <c r="B119" s="2" t="s">
        <v>60</v>
      </c>
      <c r="C119" s="2" t="s">
        <v>829</v>
      </c>
      <c r="D119" s="2" t="s">
        <v>830</v>
      </c>
      <c r="E119" s="2" t="s">
        <v>831</v>
      </c>
      <c r="G119" s="3" t="s">
        <v>62</v>
      </c>
      <c r="I119" s="3" t="s">
        <v>61</v>
      </c>
      <c r="J119" s="3" t="s">
        <v>61</v>
      </c>
      <c r="K119" s="3" t="s">
        <v>63</v>
      </c>
      <c r="L119" s="2" t="s">
        <v>818</v>
      </c>
      <c r="M119" s="2" t="s">
        <v>832</v>
      </c>
      <c r="N119" s="3" t="s">
        <v>833</v>
      </c>
      <c r="P119" s="3" t="s">
        <v>65</v>
      </c>
      <c r="R119" s="3" t="s">
        <v>66</v>
      </c>
      <c r="S119" s="4">
        <v>0</v>
      </c>
      <c r="T119" s="4">
        <v>43</v>
      </c>
      <c r="V119" s="5" t="s">
        <v>751</v>
      </c>
      <c r="W119" s="5" t="s">
        <v>67</v>
      </c>
      <c r="X119" s="5" t="s">
        <v>67</v>
      </c>
      <c r="Y119" s="4">
        <v>276</v>
      </c>
      <c r="Z119" s="4">
        <v>14</v>
      </c>
      <c r="AA119" s="4">
        <v>33</v>
      </c>
      <c r="AB119" s="4">
        <v>1</v>
      </c>
      <c r="AC119" s="4">
        <v>5</v>
      </c>
      <c r="AD119" s="4">
        <v>42</v>
      </c>
      <c r="AE119" s="4">
        <v>86</v>
      </c>
      <c r="AF119" s="4">
        <v>0</v>
      </c>
      <c r="AG119" s="4">
        <v>3</v>
      </c>
      <c r="AH119" s="4">
        <v>36</v>
      </c>
      <c r="AI119" s="4">
        <v>69</v>
      </c>
      <c r="AJ119" s="4">
        <v>5</v>
      </c>
      <c r="AK119" s="4">
        <v>14</v>
      </c>
      <c r="AL119" s="4">
        <v>21</v>
      </c>
      <c r="AM119" s="4">
        <v>33</v>
      </c>
      <c r="AN119" s="4">
        <v>0</v>
      </c>
      <c r="AO119" s="4">
        <v>0</v>
      </c>
      <c r="AP119" s="4">
        <v>8</v>
      </c>
      <c r="AQ119" s="4">
        <v>21</v>
      </c>
      <c r="AR119" s="3" t="s">
        <v>62</v>
      </c>
      <c r="AS119" s="3" t="s">
        <v>62</v>
      </c>
      <c r="AT119" s="3" t="s">
        <v>61</v>
      </c>
      <c r="AU119" s="6" t="str">
        <f>HYPERLINK("http://catalog.hathitrust.org/Record/001180653","HathiTrust Record")</f>
        <v>HathiTrust Record</v>
      </c>
      <c r="AV119" s="6" t="str">
        <f>HYPERLINK("http://mcgill.on.worldcat.org/oclc/7634052","Catalog Record")</f>
        <v>Catalog Record</v>
      </c>
      <c r="AW119" s="6" t="str">
        <f>HYPERLINK("http://www.worldcat.org/oclc/7634052","WorldCat Record")</f>
        <v>WorldCat Record</v>
      </c>
      <c r="AX119" s="3" t="s">
        <v>835</v>
      </c>
      <c r="AY119" s="3" t="s">
        <v>836</v>
      </c>
      <c r="AZ119" s="3" t="s">
        <v>837</v>
      </c>
      <c r="BA119" s="3" t="s">
        <v>837</v>
      </c>
      <c r="BB119" s="3" t="s">
        <v>846</v>
      </c>
      <c r="BC119" s="3" t="s">
        <v>142</v>
      </c>
      <c r="BD119" s="3" t="s">
        <v>68</v>
      </c>
      <c r="BE119" s="3" t="s">
        <v>839</v>
      </c>
      <c r="BF119" s="3" t="s">
        <v>846</v>
      </c>
      <c r="BG119" s="3" t="s">
        <v>847</v>
      </c>
    </row>
    <row r="120" spans="1:59" ht="57" x14ac:dyDescent="0.45">
      <c r="A120" s="2" t="s">
        <v>59</v>
      </c>
      <c r="B120" s="2" t="s">
        <v>60</v>
      </c>
      <c r="C120" s="2" t="s">
        <v>829</v>
      </c>
      <c r="D120" s="2" t="s">
        <v>830</v>
      </c>
      <c r="E120" s="2" t="s">
        <v>831</v>
      </c>
      <c r="G120" s="3" t="s">
        <v>62</v>
      </c>
      <c r="I120" s="3" t="s">
        <v>61</v>
      </c>
      <c r="J120" s="3" t="s">
        <v>61</v>
      </c>
      <c r="K120" s="3" t="s">
        <v>63</v>
      </c>
      <c r="L120" s="2" t="s">
        <v>818</v>
      </c>
      <c r="M120" s="2" t="s">
        <v>832</v>
      </c>
      <c r="N120" s="3" t="s">
        <v>833</v>
      </c>
      <c r="P120" s="3" t="s">
        <v>65</v>
      </c>
      <c r="R120" s="3" t="s">
        <v>66</v>
      </c>
      <c r="S120" s="4">
        <v>22</v>
      </c>
      <c r="T120" s="4">
        <v>43</v>
      </c>
      <c r="U120" s="5" t="s">
        <v>751</v>
      </c>
      <c r="V120" s="5" t="s">
        <v>751</v>
      </c>
      <c r="W120" s="5" t="s">
        <v>67</v>
      </c>
      <c r="X120" s="5" t="s">
        <v>67</v>
      </c>
      <c r="Y120" s="4">
        <v>276</v>
      </c>
      <c r="Z120" s="4">
        <v>14</v>
      </c>
      <c r="AA120" s="4">
        <v>33</v>
      </c>
      <c r="AB120" s="4">
        <v>1</v>
      </c>
      <c r="AC120" s="4">
        <v>5</v>
      </c>
      <c r="AD120" s="4">
        <v>42</v>
      </c>
      <c r="AE120" s="4">
        <v>86</v>
      </c>
      <c r="AF120" s="4">
        <v>0</v>
      </c>
      <c r="AG120" s="4">
        <v>3</v>
      </c>
      <c r="AH120" s="4">
        <v>36</v>
      </c>
      <c r="AI120" s="4">
        <v>69</v>
      </c>
      <c r="AJ120" s="4">
        <v>5</v>
      </c>
      <c r="AK120" s="4">
        <v>14</v>
      </c>
      <c r="AL120" s="4">
        <v>21</v>
      </c>
      <c r="AM120" s="4">
        <v>33</v>
      </c>
      <c r="AN120" s="4">
        <v>0</v>
      </c>
      <c r="AO120" s="4">
        <v>0</v>
      </c>
      <c r="AP120" s="4">
        <v>8</v>
      </c>
      <c r="AQ120" s="4">
        <v>21</v>
      </c>
      <c r="AR120" s="3" t="s">
        <v>62</v>
      </c>
      <c r="AS120" s="3" t="s">
        <v>62</v>
      </c>
      <c r="AT120" s="3" t="s">
        <v>61</v>
      </c>
      <c r="AU120" s="6" t="str">
        <f>HYPERLINK("http://catalog.hathitrust.org/Record/001180653","HathiTrust Record")</f>
        <v>HathiTrust Record</v>
      </c>
      <c r="AV120" s="6" t="str">
        <f>HYPERLINK("http://mcgill.on.worldcat.org/oclc/7634052","Catalog Record")</f>
        <v>Catalog Record</v>
      </c>
      <c r="AW120" s="6" t="str">
        <f>HYPERLINK("http://www.worldcat.org/oclc/7634052","WorldCat Record")</f>
        <v>WorldCat Record</v>
      </c>
      <c r="AX120" s="3" t="s">
        <v>835</v>
      </c>
      <c r="AY120" s="3" t="s">
        <v>836</v>
      </c>
      <c r="AZ120" s="3" t="s">
        <v>837</v>
      </c>
      <c r="BA120" s="3" t="s">
        <v>837</v>
      </c>
      <c r="BB120" s="3" t="s">
        <v>848</v>
      </c>
      <c r="BC120" s="3" t="s">
        <v>142</v>
      </c>
      <c r="BD120" s="3" t="s">
        <v>68</v>
      </c>
      <c r="BE120" s="3" t="s">
        <v>839</v>
      </c>
      <c r="BF120" s="3" t="s">
        <v>848</v>
      </c>
      <c r="BG120" s="3" t="s">
        <v>849</v>
      </c>
    </row>
    <row r="121" spans="1:59" ht="57" x14ac:dyDescent="0.45">
      <c r="A121" s="2" t="s">
        <v>59</v>
      </c>
      <c r="B121" s="2" t="s">
        <v>60</v>
      </c>
      <c r="C121" s="2" t="s">
        <v>850</v>
      </c>
      <c r="D121" s="2" t="s">
        <v>851</v>
      </c>
      <c r="E121" s="2" t="s">
        <v>852</v>
      </c>
      <c r="G121" s="3" t="s">
        <v>62</v>
      </c>
      <c r="I121" s="3" t="s">
        <v>62</v>
      </c>
      <c r="J121" s="3" t="s">
        <v>61</v>
      </c>
      <c r="K121" s="3" t="s">
        <v>63</v>
      </c>
      <c r="L121" s="2" t="s">
        <v>818</v>
      </c>
      <c r="M121" s="2" t="s">
        <v>853</v>
      </c>
      <c r="N121" s="3" t="s">
        <v>135</v>
      </c>
      <c r="O121" s="2" t="s">
        <v>854</v>
      </c>
      <c r="P121" s="3" t="s">
        <v>65</v>
      </c>
      <c r="R121" s="3" t="s">
        <v>66</v>
      </c>
      <c r="S121" s="4">
        <v>24</v>
      </c>
      <c r="T121" s="4">
        <v>24</v>
      </c>
      <c r="U121" s="5" t="s">
        <v>855</v>
      </c>
      <c r="V121" s="5" t="s">
        <v>855</v>
      </c>
      <c r="W121" s="5" t="s">
        <v>67</v>
      </c>
      <c r="X121" s="5" t="s">
        <v>67</v>
      </c>
      <c r="Y121" s="4">
        <v>86</v>
      </c>
      <c r="Z121" s="4">
        <v>8</v>
      </c>
      <c r="AA121" s="4">
        <v>24</v>
      </c>
      <c r="AB121" s="4">
        <v>2</v>
      </c>
      <c r="AC121" s="4">
        <v>6</v>
      </c>
      <c r="AD121" s="4">
        <v>17</v>
      </c>
      <c r="AE121" s="4">
        <v>52</v>
      </c>
      <c r="AF121" s="4">
        <v>1</v>
      </c>
      <c r="AG121" s="4">
        <v>3</v>
      </c>
      <c r="AH121" s="4">
        <v>13</v>
      </c>
      <c r="AI121" s="4">
        <v>42</v>
      </c>
      <c r="AJ121" s="4">
        <v>6</v>
      </c>
      <c r="AK121" s="4">
        <v>12</v>
      </c>
      <c r="AL121" s="4">
        <v>5</v>
      </c>
      <c r="AM121" s="4">
        <v>21</v>
      </c>
      <c r="AN121" s="4">
        <v>0</v>
      </c>
      <c r="AO121" s="4">
        <v>0</v>
      </c>
      <c r="AP121" s="4">
        <v>7</v>
      </c>
      <c r="AQ121" s="4">
        <v>18</v>
      </c>
      <c r="AR121" s="3" t="s">
        <v>62</v>
      </c>
      <c r="AS121" s="3" t="s">
        <v>62</v>
      </c>
      <c r="AT121" s="3" t="s">
        <v>62</v>
      </c>
      <c r="AV121" s="6" t="str">
        <f>HYPERLINK("http://mcgill.on.worldcat.org/oclc/11611734","Catalog Record")</f>
        <v>Catalog Record</v>
      </c>
      <c r="AW121" s="6" t="str">
        <f>HYPERLINK("http://www.worldcat.org/oclc/11611734","WorldCat Record")</f>
        <v>WorldCat Record</v>
      </c>
      <c r="AX121" s="3" t="s">
        <v>856</v>
      </c>
      <c r="AY121" s="3" t="s">
        <v>857</v>
      </c>
      <c r="AZ121" s="3" t="s">
        <v>858</v>
      </c>
      <c r="BA121" s="3" t="s">
        <v>858</v>
      </c>
      <c r="BB121" s="3" t="s">
        <v>859</v>
      </c>
      <c r="BC121" s="3" t="s">
        <v>142</v>
      </c>
      <c r="BD121" s="3" t="s">
        <v>68</v>
      </c>
      <c r="BF121" s="3" t="s">
        <v>859</v>
      </c>
      <c r="BG121" s="3" t="s">
        <v>860</v>
      </c>
    </row>
    <row r="122" spans="1:59" ht="57" x14ac:dyDescent="0.45">
      <c r="A122" s="2" t="s">
        <v>59</v>
      </c>
      <c r="B122" s="2" t="s">
        <v>60</v>
      </c>
      <c r="C122" s="2" t="s">
        <v>861</v>
      </c>
      <c r="D122" s="2" t="s">
        <v>862</v>
      </c>
      <c r="E122" s="2" t="s">
        <v>863</v>
      </c>
      <c r="G122" s="3" t="s">
        <v>62</v>
      </c>
      <c r="I122" s="3" t="s">
        <v>61</v>
      </c>
      <c r="J122" s="3" t="s">
        <v>62</v>
      </c>
      <c r="K122" s="3" t="s">
        <v>63</v>
      </c>
      <c r="L122" s="2" t="s">
        <v>864</v>
      </c>
      <c r="M122" s="2" t="s">
        <v>865</v>
      </c>
      <c r="N122" s="3" t="s">
        <v>866</v>
      </c>
      <c r="P122" s="3" t="s">
        <v>65</v>
      </c>
      <c r="Q122" s="2" t="s">
        <v>867</v>
      </c>
      <c r="R122" s="3" t="s">
        <v>66</v>
      </c>
      <c r="S122" s="4">
        <v>24</v>
      </c>
      <c r="T122" s="4">
        <v>167</v>
      </c>
      <c r="U122" s="5" t="s">
        <v>868</v>
      </c>
      <c r="V122" s="5" t="s">
        <v>869</v>
      </c>
      <c r="W122" s="5" t="s">
        <v>67</v>
      </c>
      <c r="X122" s="5" t="s">
        <v>67</v>
      </c>
      <c r="Y122" s="4">
        <v>94</v>
      </c>
      <c r="Z122" s="4">
        <v>13</v>
      </c>
      <c r="AA122" s="4">
        <v>101</v>
      </c>
      <c r="AB122" s="4">
        <v>1</v>
      </c>
      <c r="AC122" s="4">
        <v>15</v>
      </c>
      <c r="AD122" s="4">
        <v>9</v>
      </c>
      <c r="AE122" s="4">
        <v>136</v>
      </c>
      <c r="AF122" s="4">
        <v>0</v>
      </c>
      <c r="AG122" s="4">
        <v>8</v>
      </c>
      <c r="AH122" s="4">
        <v>6</v>
      </c>
      <c r="AI122" s="4">
        <v>93</v>
      </c>
      <c r="AJ122" s="4">
        <v>3</v>
      </c>
      <c r="AK122" s="4">
        <v>27</v>
      </c>
      <c r="AL122" s="4">
        <v>4</v>
      </c>
      <c r="AM122" s="4">
        <v>53</v>
      </c>
      <c r="AN122" s="4">
        <v>0</v>
      </c>
      <c r="AO122" s="4">
        <v>0</v>
      </c>
      <c r="AP122" s="4">
        <v>5</v>
      </c>
      <c r="AQ122" s="4">
        <v>51</v>
      </c>
      <c r="AR122" s="3" t="s">
        <v>62</v>
      </c>
      <c r="AS122" s="3" t="s">
        <v>62</v>
      </c>
      <c r="AT122" s="3" t="s">
        <v>62</v>
      </c>
      <c r="AV122" s="6" t="str">
        <f t="shared" ref="AV122:AV127" si="6">HYPERLINK("http://mcgill.on.worldcat.org/oclc/299475978","Catalog Record")</f>
        <v>Catalog Record</v>
      </c>
      <c r="AW122" s="6" t="str">
        <f t="shared" ref="AW122:AW127" si="7">HYPERLINK("http://www.worldcat.org/oclc/299475978","WorldCat Record")</f>
        <v>WorldCat Record</v>
      </c>
      <c r="AX122" s="3" t="s">
        <v>870</v>
      </c>
      <c r="AY122" s="3" t="s">
        <v>871</v>
      </c>
      <c r="AZ122" s="3" t="s">
        <v>872</v>
      </c>
      <c r="BA122" s="3" t="s">
        <v>872</v>
      </c>
      <c r="BB122" s="3" t="s">
        <v>873</v>
      </c>
      <c r="BC122" s="3" t="s">
        <v>142</v>
      </c>
      <c r="BD122" s="3" t="s">
        <v>68</v>
      </c>
      <c r="BE122" s="3" t="s">
        <v>874</v>
      </c>
      <c r="BF122" s="3" t="s">
        <v>873</v>
      </c>
      <c r="BG122" s="3" t="s">
        <v>875</v>
      </c>
    </row>
    <row r="123" spans="1:59" ht="57" x14ac:dyDescent="0.45">
      <c r="A123" s="2" t="s">
        <v>59</v>
      </c>
      <c r="B123" s="2" t="s">
        <v>60</v>
      </c>
      <c r="C123" s="2" t="s">
        <v>861</v>
      </c>
      <c r="D123" s="2" t="s">
        <v>862</v>
      </c>
      <c r="E123" s="2" t="s">
        <v>863</v>
      </c>
      <c r="G123" s="3" t="s">
        <v>62</v>
      </c>
      <c r="I123" s="3" t="s">
        <v>61</v>
      </c>
      <c r="J123" s="3" t="s">
        <v>62</v>
      </c>
      <c r="K123" s="3" t="s">
        <v>63</v>
      </c>
      <c r="L123" s="2" t="s">
        <v>864</v>
      </c>
      <c r="M123" s="2" t="s">
        <v>865</v>
      </c>
      <c r="N123" s="3" t="s">
        <v>866</v>
      </c>
      <c r="P123" s="3" t="s">
        <v>65</v>
      </c>
      <c r="Q123" s="2" t="s">
        <v>867</v>
      </c>
      <c r="R123" s="3" t="s">
        <v>66</v>
      </c>
      <c r="S123" s="4">
        <v>27</v>
      </c>
      <c r="T123" s="4">
        <v>167</v>
      </c>
      <c r="U123" s="5" t="s">
        <v>876</v>
      </c>
      <c r="V123" s="5" t="s">
        <v>869</v>
      </c>
      <c r="W123" s="5" t="s">
        <v>67</v>
      </c>
      <c r="X123" s="5" t="s">
        <v>67</v>
      </c>
      <c r="Y123" s="4">
        <v>94</v>
      </c>
      <c r="Z123" s="4">
        <v>13</v>
      </c>
      <c r="AA123" s="4">
        <v>101</v>
      </c>
      <c r="AB123" s="4">
        <v>1</v>
      </c>
      <c r="AC123" s="4">
        <v>15</v>
      </c>
      <c r="AD123" s="4">
        <v>9</v>
      </c>
      <c r="AE123" s="4">
        <v>136</v>
      </c>
      <c r="AF123" s="4">
        <v>0</v>
      </c>
      <c r="AG123" s="4">
        <v>8</v>
      </c>
      <c r="AH123" s="4">
        <v>6</v>
      </c>
      <c r="AI123" s="4">
        <v>93</v>
      </c>
      <c r="AJ123" s="4">
        <v>3</v>
      </c>
      <c r="AK123" s="4">
        <v>27</v>
      </c>
      <c r="AL123" s="4">
        <v>4</v>
      </c>
      <c r="AM123" s="4">
        <v>53</v>
      </c>
      <c r="AN123" s="4">
        <v>0</v>
      </c>
      <c r="AO123" s="4">
        <v>0</v>
      </c>
      <c r="AP123" s="4">
        <v>5</v>
      </c>
      <c r="AQ123" s="4">
        <v>51</v>
      </c>
      <c r="AR123" s="3" t="s">
        <v>62</v>
      </c>
      <c r="AS123" s="3" t="s">
        <v>62</v>
      </c>
      <c r="AT123" s="3" t="s">
        <v>62</v>
      </c>
      <c r="AV123" s="6" t="str">
        <f t="shared" si="6"/>
        <v>Catalog Record</v>
      </c>
      <c r="AW123" s="6" t="str">
        <f t="shared" si="7"/>
        <v>WorldCat Record</v>
      </c>
      <c r="AX123" s="3" t="s">
        <v>870</v>
      </c>
      <c r="AY123" s="3" t="s">
        <v>871</v>
      </c>
      <c r="AZ123" s="3" t="s">
        <v>872</v>
      </c>
      <c r="BA123" s="3" t="s">
        <v>872</v>
      </c>
      <c r="BB123" s="3" t="s">
        <v>877</v>
      </c>
      <c r="BC123" s="3" t="s">
        <v>142</v>
      </c>
      <c r="BD123" s="3" t="s">
        <v>68</v>
      </c>
      <c r="BE123" s="3" t="s">
        <v>874</v>
      </c>
      <c r="BF123" s="3" t="s">
        <v>877</v>
      </c>
      <c r="BG123" s="3" t="s">
        <v>878</v>
      </c>
    </row>
    <row r="124" spans="1:59" ht="57" x14ac:dyDescent="0.45">
      <c r="A124" s="2" t="s">
        <v>59</v>
      </c>
      <c r="B124" s="2" t="s">
        <v>60</v>
      </c>
      <c r="C124" s="2" t="s">
        <v>861</v>
      </c>
      <c r="D124" s="2" t="s">
        <v>862</v>
      </c>
      <c r="E124" s="2" t="s">
        <v>863</v>
      </c>
      <c r="G124" s="3" t="s">
        <v>62</v>
      </c>
      <c r="I124" s="3" t="s">
        <v>61</v>
      </c>
      <c r="J124" s="3" t="s">
        <v>62</v>
      </c>
      <c r="K124" s="3" t="s">
        <v>63</v>
      </c>
      <c r="L124" s="2" t="s">
        <v>864</v>
      </c>
      <c r="M124" s="2" t="s">
        <v>865</v>
      </c>
      <c r="N124" s="3" t="s">
        <v>866</v>
      </c>
      <c r="P124" s="3" t="s">
        <v>65</v>
      </c>
      <c r="Q124" s="2" t="s">
        <v>867</v>
      </c>
      <c r="R124" s="3" t="s">
        <v>66</v>
      </c>
      <c r="S124" s="4">
        <v>25</v>
      </c>
      <c r="T124" s="4">
        <v>167</v>
      </c>
      <c r="U124" s="5" t="s">
        <v>879</v>
      </c>
      <c r="V124" s="5" t="s">
        <v>869</v>
      </c>
      <c r="W124" s="5" t="s">
        <v>67</v>
      </c>
      <c r="X124" s="5" t="s">
        <v>67</v>
      </c>
      <c r="Y124" s="4">
        <v>94</v>
      </c>
      <c r="Z124" s="4">
        <v>13</v>
      </c>
      <c r="AA124" s="4">
        <v>101</v>
      </c>
      <c r="AB124" s="4">
        <v>1</v>
      </c>
      <c r="AC124" s="4">
        <v>15</v>
      </c>
      <c r="AD124" s="4">
        <v>9</v>
      </c>
      <c r="AE124" s="4">
        <v>136</v>
      </c>
      <c r="AF124" s="4">
        <v>0</v>
      </c>
      <c r="AG124" s="4">
        <v>8</v>
      </c>
      <c r="AH124" s="4">
        <v>6</v>
      </c>
      <c r="AI124" s="4">
        <v>93</v>
      </c>
      <c r="AJ124" s="4">
        <v>3</v>
      </c>
      <c r="AK124" s="4">
        <v>27</v>
      </c>
      <c r="AL124" s="4">
        <v>4</v>
      </c>
      <c r="AM124" s="4">
        <v>53</v>
      </c>
      <c r="AN124" s="4">
        <v>0</v>
      </c>
      <c r="AO124" s="4">
        <v>0</v>
      </c>
      <c r="AP124" s="4">
        <v>5</v>
      </c>
      <c r="AQ124" s="4">
        <v>51</v>
      </c>
      <c r="AR124" s="3" t="s">
        <v>62</v>
      </c>
      <c r="AS124" s="3" t="s">
        <v>62</v>
      </c>
      <c r="AT124" s="3" t="s">
        <v>62</v>
      </c>
      <c r="AV124" s="6" t="str">
        <f t="shared" si="6"/>
        <v>Catalog Record</v>
      </c>
      <c r="AW124" s="6" t="str">
        <f t="shared" si="7"/>
        <v>WorldCat Record</v>
      </c>
      <c r="AX124" s="3" t="s">
        <v>870</v>
      </c>
      <c r="AY124" s="3" t="s">
        <v>871</v>
      </c>
      <c r="AZ124" s="3" t="s">
        <v>872</v>
      </c>
      <c r="BA124" s="3" t="s">
        <v>872</v>
      </c>
      <c r="BB124" s="3" t="s">
        <v>880</v>
      </c>
      <c r="BC124" s="3" t="s">
        <v>142</v>
      </c>
      <c r="BD124" s="3" t="s">
        <v>68</v>
      </c>
      <c r="BE124" s="3" t="s">
        <v>874</v>
      </c>
      <c r="BF124" s="3" t="s">
        <v>880</v>
      </c>
      <c r="BG124" s="3" t="s">
        <v>881</v>
      </c>
    </row>
    <row r="125" spans="1:59" ht="57" x14ac:dyDescent="0.45">
      <c r="A125" s="2" t="s">
        <v>59</v>
      </c>
      <c r="B125" s="2" t="s">
        <v>60</v>
      </c>
      <c r="C125" s="2" t="s">
        <v>861</v>
      </c>
      <c r="D125" s="2" t="s">
        <v>862</v>
      </c>
      <c r="E125" s="2" t="s">
        <v>863</v>
      </c>
      <c r="G125" s="3" t="s">
        <v>62</v>
      </c>
      <c r="I125" s="3" t="s">
        <v>61</v>
      </c>
      <c r="J125" s="3" t="s">
        <v>62</v>
      </c>
      <c r="K125" s="3" t="s">
        <v>63</v>
      </c>
      <c r="L125" s="2" t="s">
        <v>864</v>
      </c>
      <c r="M125" s="2" t="s">
        <v>865</v>
      </c>
      <c r="N125" s="3" t="s">
        <v>866</v>
      </c>
      <c r="P125" s="3" t="s">
        <v>65</v>
      </c>
      <c r="Q125" s="2" t="s">
        <v>867</v>
      </c>
      <c r="R125" s="3" t="s">
        <v>66</v>
      </c>
      <c r="S125" s="4">
        <v>25</v>
      </c>
      <c r="T125" s="4">
        <v>167</v>
      </c>
      <c r="U125" s="5" t="s">
        <v>882</v>
      </c>
      <c r="V125" s="5" t="s">
        <v>869</v>
      </c>
      <c r="W125" s="5" t="s">
        <v>67</v>
      </c>
      <c r="X125" s="5" t="s">
        <v>67</v>
      </c>
      <c r="Y125" s="4">
        <v>94</v>
      </c>
      <c r="Z125" s="4">
        <v>13</v>
      </c>
      <c r="AA125" s="4">
        <v>101</v>
      </c>
      <c r="AB125" s="4">
        <v>1</v>
      </c>
      <c r="AC125" s="4">
        <v>15</v>
      </c>
      <c r="AD125" s="4">
        <v>9</v>
      </c>
      <c r="AE125" s="4">
        <v>136</v>
      </c>
      <c r="AF125" s="4">
        <v>0</v>
      </c>
      <c r="AG125" s="4">
        <v>8</v>
      </c>
      <c r="AH125" s="4">
        <v>6</v>
      </c>
      <c r="AI125" s="4">
        <v>93</v>
      </c>
      <c r="AJ125" s="4">
        <v>3</v>
      </c>
      <c r="AK125" s="4">
        <v>27</v>
      </c>
      <c r="AL125" s="4">
        <v>4</v>
      </c>
      <c r="AM125" s="4">
        <v>53</v>
      </c>
      <c r="AN125" s="4">
        <v>0</v>
      </c>
      <c r="AO125" s="4">
        <v>0</v>
      </c>
      <c r="AP125" s="4">
        <v>5</v>
      </c>
      <c r="AQ125" s="4">
        <v>51</v>
      </c>
      <c r="AR125" s="3" t="s">
        <v>62</v>
      </c>
      <c r="AS125" s="3" t="s">
        <v>62</v>
      </c>
      <c r="AT125" s="3" t="s">
        <v>62</v>
      </c>
      <c r="AV125" s="6" t="str">
        <f t="shared" si="6"/>
        <v>Catalog Record</v>
      </c>
      <c r="AW125" s="6" t="str">
        <f t="shared" si="7"/>
        <v>WorldCat Record</v>
      </c>
      <c r="AX125" s="3" t="s">
        <v>870</v>
      </c>
      <c r="AY125" s="3" t="s">
        <v>871</v>
      </c>
      <c r="AZ125" s="3" t="s">
        <v>872</v>
      </c>
      <c r="BA125" s="3" t="s">
        <v>872</v>
      </c>
      <c r="BB125" s="3" t="s">
        <v>883</v>
      </c>
      <c r="BC125" s="3" t="s">
        <v>142</v>
      </c>
      <c r="BD125" s="3" t="s">
        <v>68</v>
      </c>
      <c r="BE125" s="3" t="s">
        <v>874</v>
      </c>
      <c r="BF125" s="3" t="s">
        <v>883</v>
      </c>
      <c r="BG125" s="3" t="s">
        <v>884</v>
      </c>
    </row>
    <row r="126" spans="1:59" ht="57" x14ac:dyDescent="0.45">
      <c r="A126" s="2" t="s">
        <v>59</v>
      </c>
      <c r="B126" s="2" t="s">
        <v>60</v>
      </c>
      <c r="C126" s="2" t="s">
        <v>861</v>
      </c>
      <c r="D126" s="2" t="s">
        <v>862</v>
      </c>
      <c r="E126" s="2" t="s">
        <v>863</v>
      </c>
      <c r="G126" s="3" t="s">
        <v>62</v>
      </c>
      <c r="I126" s="3" t="s">
        <v>61</v>
      </c>
      <c r="J126" s="3" t="s">
        <v>62</v>
      </c>
      <c r="K126" s="3" t="s">
        <v>63</v>
      </c>
      <c r="L126" s="2" t="s">
        <v>864</v>
      </c>
      <c r="M126" s="2" t="s">
        <v>865</v>
      </c>
      <c r="N126" s="3" t="s">
        <v>866</v>
      </c>
      <c r="P126" s="3" t="s">
        <v>65</v>
      </c>
      <c r="Q126" s="2" t="s">
        <v>867</v>
      </c>
      <c r="R126" s="3" t="s">
        <v>66</v>
      </c>
      <c r="S126" s="4">
        <v>43</v>
      </c>
      <c r="T126" s="4">
        <v>167</v>
      </c>
      <c r="U126" s="5" t="s">
        <v>885</v>
      </c>
      <c r="V126" s="5" t="s">
        <v>869</v>
      </c>
      <c r="W126" s="5" t="s">
        <v>67</v>
      </c>
      <c r="X126" s="5" t="s">
        <v>67</v>
      </c>
      <c r="Y126" s="4">
        <v>94</v>
      </c>
      <c r="Z126" s="4">
        <v>13</v>
      </c>
      <c r="AA126" s="4">
        <v>101</v>
      </c>
      <c r="AB126" s="4">
        <v>1</v>
      </c>
      <c r="AC126" s="4">
        <v>15</v>
      </c>
      <c r="AD126" s="4">
        <v>9</v>
      </c>
      <c r="AE126" s="4">
        <v>136</v>
      </c>
      <c r="AF126" s="4">
        <v>0</v>
      </c>
      <c r="AG126" s="4">
        <v>8</v>
      </c>
      <c r="AH126" s="4">
        <v>6</v>
      </c>
      <c r="AI126" s="4">
        <v>93</v>
      </c>
      <c r="AJ126" s="4">
        <v>3</v>
      </c>
      <c r="AK126" s="4">
        <v>27</v>
      </c>
      <c r="AL126" s="4">
        <v>4</v>
      </c>
      <c r="AM126" s="4">
        <v>53</v>
      </c>
      <c r="AN126" s="4">
        <v>0</v>
      </c>
      <c r="AO126" s="4">
        <v>0</v>
      </c>
      <c r="AP126" s="4">
        <v>5</v>
      </c>
      <c r="AQ126" s="4">
        <v>51</v>
      </c>
      <c r="AR126" s="3" t="s">
        <v>62</v>
      </c>
      <c r="AS126" s="3" t="s">
        <v>62</v>
      </c>
      <c r="AT126" s="3" t="s">
        <v>62</v>
      </c>
      <c r="AV126" s="6" t="str">
        <f t="shared" si="6"/>
        <v>Catalog Record</v>
      </c>
      <c r="AW126" s="6" t="str">
        <f t="shared" si="7"/>
        <v>WorldCat Record</v>
      </c>
      <c r="AX126" s="3" t="s">
        <v>870</v>
      </c>
      <c r="AY126" s="3" t="s">
        <v>871</v>
      </c>
      <c r="AZ126" s="3" t="s">
        <v>872</v>
      </c>
      <c r="BA126" s="3" t="s">
        <v>872</v>
      </c>
      <c r="BB126" s="3" t="s">
        <v>886</v>
      </c>
      <c r="BC126" s="3" t="s">
        <v>142</v>
      </c>
      <c r="BD126" s="3" t="s">
        <v>68</v>
      </c>
      <c r="BE126" s="3" t="s">
        <v>874</v>
      </c>
      <c r="BF126" s="3" t="s">
        <v>886</v>
      </c>
      <c r="BG126" s="3" t="s">
        <v>887</v>
      </c>
    </row>
    <row r="127" spans="1:59" ht="57" x14ac:dyDescent="0.45">
      <c r="A127" s="2" t="s">
        <v>59</v>
      </c>
      <c r="B127" s="2" t="s">
        <v>412</v>
      </c>
      <c r="C127" s="2" t="s">
        <v>861</v>
      </c>
      <c r="D127" s="2" t="s">
        <v>862</v>
      </c>
      <c r="E127" s="2" t="s">
        <v>863</v>
      </c>
      <c r="G127" s="3" t="s">
        <v>62</v>
      </c>
      <c r="I127" s="3" t="s">
        <v>61</v>
      </c>
      <c r="J127" s="3" t="s">
        <v>62</v>
      </c>
      <c r="K127" s="3" t="s">
        <v>63</v>
      </c>
      <c r="L127" s="2" t="s">
        <v>864</v>
      </c>
      <c r="M127" s="2" t="s">
        <v>865</v>
      </c>
      <c r="N127" s="3" t="s">
        <v>866</v>
      </c>
      <c r="P127" s="3" t="s">
        <v>65</v>
      </c>
      <c r="Q127" s="2" t="s">
        <v>867</v>
      </c>
      <c r="R127" s="3" t="s">
        <v>66</v>
      </c>
      <c r="S127" s="4">
        <v>23</v>
      </c>
      <c r="T127" s="4">
        <v>167</v>
      </c>
      <c r="U127" s="5" t="s">
        <v>869</v>
      </c>
      <c r="V127" s="5" t="s">
        <v>869</v>
      </c>
      <c r="W127" s="5" t="s">
        <v>67</v>
      </c>
      <c r="X127" s="5" t="s">
        <v>67</v>
      </c>
      <c r="Y127" s="4">
        <v>94</v>
      </c>
      <c r="Z127" s="4">
        <v>13</v>
      </c>
      <c r="AA127" s="4">
        <v>101</v>
      </c>
      <c r="AB127" s="4">
        <v>1</v>
      </c>
      <c r="AC127" s="4">
        <v>15</v>
      </c>
      <c r="AD127" s="4">
        <v>9</v>
      </c>
      <c r="AE127" s="4">
        <v>136</v>
      </c>
      <c r="AF127" s="4">
        <v>0</v>
      </c>
      <c r="AG127" s="4">
        <v>8</v>
      </c>
      <c r="AH127" s="4">
        <v>6</v>
      </c>
      <c r="AI127" s="4">
        <v>93</v>
      </c>
      <c r="AJ127" s="4">
        <v>3</v>
      </c>
      <c r="AK127" s="4">
        <v>27</v>
      </c>
      <c r="AL127" s="4">
        <v>4</v>
      </c>
      <c r="AM127" s="4">
        <v>53</v>
      </c>
      <c r="AN127" s="4">
        <v>0</v>
      </c>
      <c r="AO127" s="4">
        <v>0</v>
      </c>
      <c r="AP127" s="4">
        <v>5</v>
      </c>
      <c r="AQ127" s="4">
        <v>51</v>
      </c>
      <c r="AR127" s="3" t="s">
        <v>62</v>
      </c>
      <c r="AS127" s="3" t="s">
        <v>62</v>
      </c>
      <c r="AT127" s="3" t="s">
        <v>62</v>
      </c>
      <c r="AV127" s="6" t="str">
        <f t="shared" si="6"/>
        <v>Catalog Record</v>
      </c>
      <c r="AW127" s="6" t="str">
        <f t="shared" si="7"/>
        <v>WorldCat Record</v>
      </c>
      <c r="AX127" s="3" t="s">
        <v>870</v>
      </c>
      <c r="AY127" s="3" t="s">
        <v>871</v>
      </c>
      <c r="AZ127" s="3" t="s">
        <v>872</v>
      </c>
      <c r="BA127" s="3" t="s">
        <v>872</v>
      </c>
      <c r="BB127" s="3" t="s">
        <v>888</v>
      </c>
      <c r="BC127" s="3" t="s">
        <v>142</v>
      </c>
      <c r="BD127" s="3" t="s">
        <v>308</v>
      </c>
      <c r="BE127" s="3" t="s">
        <v>874</v>
      </c>
      <c r="BF127" s="3" t="s">
        <v>888</v>
      </c>
      <c r="BG127" s="3" t="s">
        <v>889</v>
      </c>
    </row>
    <row r="128" spans="1:59" ht="57" x14ac:dyDescent="0.45">
      <c r="A128" s="2" t="s">
        <v>59</v>
      </c>
      <c r="B128" s="2" t="s">
        <v>60</v>
      </c>
      <c r="C128" s="2" t="s">
        <v>890</v>
      </c>
      <c r="D128" s="2" t="s">
        <v>891</v>
      </c>
      <c r="E128" s="2" t="s">
        <v>892</v>
      </c>
      <c r="G128" s="3" t="s">
        <v>62</v>
      </c>
      <c r="I128" s="3" t="s">
        <v>62</v>
      </c>
      <c r="J128" s="3" t="s">
        <v>62</v>
      </c>
      <c r="K128" s="3" t="s">
        <v>63</v>
      </c>
      <c r="M128" s="2" t="s">
        <v>893</v>
      </c>
      <c r="N128" s="3" t="s">
        <v>894</v>
      </c>
      <c r="P128" s="3" t="s">
        <v>65</v>
      </c>
      <c r="R128" s="3" t="s">
        <v>66</v>
      </c>
      <c r="S128" s="4">
        <v>0</v>
      </c>
      <c r="T128" s="4">
        <v>0</v>
      </c>
      <c r="W128" s="5" t="s">
        <v>67</v>
      </c>
      <c r="X128" s="5" t="s">
        <v>67</v>
      </c>
      <c r="Y128" s="4">
        <v>209</v>
      </c>
      <c r="Z128" s="4">
        <v>21</v>
      </c>
      <c r="AA128" s="4">
        <v>86</v>
      </c>
      <c r="AB128" s="4">
        <v>2</v>
      </c>
      <c r="AC128" s="4">
        <v>15</v>
      </c>
      <c r="AD128" s="4">
        <v>73</v>
      </c>
      <c r="AE128" s="4">
        <v>123</v>
      </c>
      <c r="AF128" s="4">
        <v>0</v>
      </c>
      <c r="AG128" s="4">
        <v>8</v>
      </c>
      <c r="AH128" s="4">
        <v>64</v>
      </c>
      <c r="AI128" s="4">
        <v>88</v>
      </c>
      <c r="AJ128" s="4">
        <v>14</v>
      </c>
      <c r="AK128" s="4">
        <v>25</v>
      </c>
      <c r="AL128" s="4">
        <v>36</v>
      </c>
      <c r="AM128" s="4">
        <v>47</v>
      </c>
      <c r="AN128" s="4">
        <v>0</v>
      </c>
      <c r="AO128" s="4">
        <v>0</v>
      </c>
      <c r="AP128" s="4">
        <v>16</v>
      </c>
      <c r="AQ128" s="4">
        <v>45</v>
      </c>
      <c r="AR128" s="3" t="s">
        <v>62</v>
      </c>
      <c r="AS128" s="3" t="s">
        <v>62</v>
      </c>
      <c r="AT128" s="3" t="s">
        <v>62</v>
      </c>
      <c r="AV128" s="6" t="str">
        <f>HYPERLINK("http://mcgill.on.worldcat.org/oclc/258332197","Catalog Record")</f>
        <v>Catalog Record</v>
      </c>
      <c r="AW128" s="6" t="str">
        <f>HYPERLINK("http://www.worldcat.org/oclc/258332197","WorldCat Record")</f>
        <v>WorldCat Record</v>
      </c>
      <c r="AX128" s="3" t="s">
        <v>895</v>
      </c>
      <c r="AY128" s="3" t="s">
        <v>896</v>
      </c>
      <c r="AZ128" s="3" t="s">
        <v>897</v>
      </c>
      <c r="BA128" s="3" t="s">
        <v>897</v>
      </c>
      <c r="BB128" s="3" t="s">
        <v>898</v>
      </c>
      <c r="BC128" s="3" t="s">
        <v>142</v>
      </c>
      <c r="BD128" s="3" t="s">
        <v>68</v>
      </c>
      <c r="BE128" s="3" t="s">
        <v>899</v>
      </c>
      <c r="BF128" s="3" t="s">
        <v>898</v>
      </c>
      <c r="BG128" s="3" t="s">
        <v>900</v>
      </c>
    </row>
    <row r="129" spans="1:59" ht="57" x14ac:dyDescent="0.45">
      <c r="A129" s="2" t="s">
        <v>59</v>
      </c>
      <c r="B129" s="2" t="s">
        <v>60</v>
      </c>
      <c r="C129" s="2" t="s">
        <v>901</v>
      </c>
      <c r="D129" s="2" t="s">
        <v>902</v>
      </c>
      <c r="E129" s="2" t="s">
        <v>903</v>
      </c>
      <c r="G129" s="3" t="s">
        <v>62</v>
      </c>
      <c r="I129" s="3" t="s">
        <v>62</v>
      </c>
      <c r="J129" s="3" t="s">
        <v>61</v>
      </c>
      <c r="K129" s="3" t="s">
        <v>63</v>
      </c>
      <c r="L129" s="2" t="s">
        <v>904</v>
      </c>
      <c r="M129" s="2" t="s">
        <v>905</v>
      </c>
      <c r="N129" s="3" t="s">
        <v>149</v>
      </c>
      <c r="O129" s="2" t="s">
        <v>906</v>
      </c>
      <c r="P129" s="3" t="s">
        <v>65</v>
      </c>
      <c r="R129" s="3" t="s">
        <v>66</v>
      </c>
      <c r="S129" s="4">
        <v>2</v>
      </c>
      <c r="T129" s="4">
        <v>2</v>
      </c>
      <c r="U129" s="5" t="s">
        <v>907</v>
      </c>
      <c r="V129" s="5" t="s">
        <v>907</v>
      </c>
      <c r="W129" s="5" t="s">
        <v>67</v>
      </c>
      <c r="X129" s="5" t="s">
        <v>67</v>
      </c>
      <c r="Y129" s="4">
        <v>581</v>
      </c>
      <c r="Z129" s="4">
        <v>32</v>
      </c>
      <c r="AA129" s="4">
        <v>120</v>
      </c>
      <c r="AB129" s="4">
        <v>2</v>
      </c>
      <c r="AC129" s="4">
        <v>13</v>
      </c>
      <c r="AD129" s="4">
        <v>83</v>
      </c>
      <c r="AE129" s="4">
        <v>159</v>
      </c>
      <c r="AF129" s="4">
        <v>0</v>
      </c>
      <c r="AG129" s="4">
        <v>6</v>
      </c>
      <c r="AH129" s="4">
        <v>73</v>
      </c>
      <c r="AI129" s="4">
        <v>115</v>
      </c>
      <c r="AJ129" s="4">
        <v>15</v>
      </c>
      <c r="AK129" s="4">
        <v>28</v>
      </c>
      <c r="AL129" s="4">
        <v>38</v>
      </c>
      <c r="AM129" s="4">
        <v>62</v>
      </c>
      <c r="AN129" s="4">
        <v>0</v>
      </c>
      <c r="AO129" s="4">
        <v>0</v>
      </c>
      <c r="AP129" s="4">
        <v>18</v>
      </c>
      <c r="AQ129" s="4">
        <v>49</v>
      </c>
      <c r="AR129" s="3" t="s">
        <v>62</v>
      </c>
      <c r="AS129" s="3" t="s">
        <v>62</v>
      </c>
      <c r="AT129" s="3" t="s">
        <v>62</v>
      </c>
      <c r="AV129" s="6" t="str">
        <f>HYPERLINK("http://mcgill.on.worldcat.org/oclc/499073732","Catalog Record")</f>
        <v>Catalog Record</v>
      </c>
      <c r="AW129" s="6" t="str">
        <f>HYPERLINK("http://www.worldcat.org/oclc/499073732","WorldCat Record")</f>
        <v>WorldCat Record</v>
      </c>
      <c r="AX129" s="3" t="s">
        <v>908</v>
      </c>
      <c r="AY129" s="3" t="s">
        <v>909</v>
      </c>
      <c r="AZ129" s="3" t="s">
        <v>910</v>
      </c>
      <c r="BA129" s="3" t="s">
        <v>910</v>
      </c>
      <c r="BB129" s="3" t="s">
        <v>911</v>
      </c>
      <c r="BC129" s="3" t="s">
        <v>142</v>
      </c>
      <c r="BD129" s="3" t="s">
        <v>68</v>
      </c>
      <c r="BE129" s="3" t="s">
        <v>912</v>
      </c>
      <c r="BF129" s="3" t="s">
        <v>911</v>
      </c>
      <c r="BG129" s="3" t="s">
        <v>913</v>
      </c>
    </row>
    <row r="130" spans="1:59" ht="57" x14ac:dyDescent="0.45">
      <c r="A130" s="2" t="s">
        <v>59</v>
      </c>
      <c r="B130" s="2" t="s">
        <v>60</v>
      </c>
      <c r="C130" s="2" t="s">
        <v>914</v>
      </c>
      <c r="D130" s="2" t="s">
        <v>915</v>
      </c>
      <c r="E130" s="2" t="s">
        <v>916</v>
      </c>
      <c r="G130" s="3" t="s">
        <v>62</v>
      </c>
      <c r="I130" s="3" t="s">
        <v>62</v>
      </c>
      <c r="J130" s="3" t="s">
        <v>61</v>
      </c>
      <c r="K130" s="3" t="s">
        <v>63</v>
      </c>
      <c r="L130" s="2" t="s">
        <v>904</v>
      </c>
      <c r="M130" s="2" t="s">
        <v>917</v>
      </c>
      <c r="N130" s="3" t="s">
        <v>918</v>
      </c>
      <c r="O130" s="2" t="s">
        <v>919</v>
      </c>
      <c r="P130" s="3" t="s">
        <v>65</v>
      </c>
      <c r="Q130" s="2" t="s">
        <v>920</v>
      </c>
      <c r="R130" s="3" t="s">
        <v>66</v>
      </c>
      <c r="S130" s="4">
        <v>6</v>
      </c>
      <c r="T130" s="4">
        <v>6</v>
      </c>
      <c r="U130" s="5" t="s">
        <v>907</v>
      </c>
      <c r="V130" s="5" t="s">
        <v>907</v>
      </c>
      <c r="W130" s="5" t="s">
        <v>67</v>
      </c>
      <c r="X130" s="5" t="s">
        <v>67</v>
      </c>
      <c r="Y130" s="4">
        <v>557</v>
      </c>
      <c r="Z130" s="4">
        <v>37</v>
      </c>
      <c r="AA130" s="4">
        <v>100</v>
      </c>
      <c r="AB130" s="4">
        <v>4</v>
      </c>
      <c r="AC130" s="4">
        <v>16</v>
      </c>
      <c r="AD130" s="4">
        <v>99</v>
      </c>
      <c r="AE130" s="4">
        <v>158</v>
      </c>
      <c r="AF130" s="4">
        <v>1</v>
      </c>
      <c r="AG130" s="4">
        <v>8</v>
      </c>
      <c r="AH130" s="4">
        <v>84</v>
      </c>
      <c r="AI130" s="4">
        <v>114</v>
      </c>
      <c r="AJ130" s="4">
        <v>16</v>
      </c>
      <c r="AK130" s="4">
        <v>26</v>
      </c>
      <c r="AL130" s="4">
        <v>46</v>
      </c>
      <c r="AM130" s="4">
        <v>60</v>
      </c>
      <c r="AN130" s="4">
        <v>0</v>
      </c>
      <c r="AO130" s="4">
        <v>0</v>
      </c>
      <c r="AP130" s="4">
        <v>25</v>
      </c>
      <c r="AQ130" s="4">
        <v>52</v>
      </c>
      <c r="AR130" s="3" t="s">
        <v>62</v>
      </c>
      <c r="AS130" s="3" t="s">
        <v>62</v>
      </c>
      <c r="AT130" s="3" t="s">
        <v>62</v>
      </c>
      <c r="AV130" s="6" t="str">
        <f>HYPERLINK("http://mcgill.on.worldcat.org/oclc/49824714","Catalog Record")</f>
        <v>Catalog Record</v>
      </c>
      <c r="AW130" s="6" t="str">
        <f>HYPERLINK("http://www.worldcat.org/oclc/49824714","WorldCat Record")</f>
        <v>WorldCat Record</v>
      </c>
      <c r="AX130" s="3" t="s">
        <v>921</v>
      </c>
      <c r="AY130" s="3" t="s">
        <v>922</v>
      </c>
      <c r="AZ130" s="3" t="s">
        <v>923</v>
      </c>
      <c r="BA130" s="3" t="s">
        <v>923</v>
      </c>
      <c r="BB130" s="3" t="s">
        <v>924</v>
      </c>
      <c r="BC130" s="3" t="s">
        <v>142</v>
      </c>
      <c r="BD130" s="3" t="s">
        <v>68</v>
      </c>
      <c r="BE130" s="3" t="s">
        <v>925</v>
      </c>
      <c r="BF130" s="3" t="s">
        <v>924</v>
      </c>
      <c r="BG130" s="3" t="s">
        <v>926</v>
      </c>
    </row>
    <row r="131" spans="1:59" ht="57" x14ac:dyDescent="0.45">
      <c r="A131" s="2" t="s">
        <v>927</v>
      </c>
      <c r="B131" s="2" t="s">
        <v>928</v>
      </c>
      <c r="C131" s="2" t="s">
        <v>929</v>
      </c>
      <c r="D131" s="2" t="s">
        <v>930</v>
      </c>
      <c r="E131" s="2" t="s">
        <v>931</v>
      </c>
      <c r="G131" s="3" t="s">
        <v>62</v>
      </c>
      <c r="I131" s="3" t="s">
        <v>62</v>
      </c>
      <c r="J131" s="3" t="s">
        <v>62</v>
      </c>
      <c r="K131" s="3" t="s">
        <v>63</v>
      </c>
      <c r="L131" s="2" t="s">
        <v>904</v>
      </c>
      <c r="M131" s="2" t="s">
        <v>932</v>
      </c>
      <c r="N131" s="3" t="s">
        <v>542</v>
      </c>
      <c r="O131" s="2" t="s">
        <v>933</v>
      </c>
      <c r="P131" s="3" t="s">
        <v>65</v>
      </c>
      <c r="R131" s="3" t="s">
        <v>66</v>
      </c>
      <c r="S131" s="4">
        <v>1</v>
      </c>
      <c r="T131" s="4">
        <v>1</v>
      </c>
      <c r="U131" s="5" t="s">
        <v>934</v>
      </c>
      <c r="V131" s="5" t="s">
        <v>934</v>
      </c>
      <c r="W131" s="5" t="s">
        <v>67</v>
      </c>
      <c r="X131" s="5" t="s">
        <v>67</v>
      </c>
      <c r="Y131" s="4">
        <v>222</v>
      </c>
      <c r="Z131" s="4">
        <v>17</v>
      </c>
      <c r="AA131" s="4">
        <v>18</v>
      </c>
      <c r="AB131" s="4">
        <v>2</v>
      </c>
      <c r="AC131" s="4">
        <v>3</v>
      </c>
      <c r="AD131" s="4">
        <v>59</v>
      </c>
      <c r="AE131" s="4">
        <v>60</v>
      </c>
      <c r="AF131" s="4">
        <v>0</v>
      </c>
      <c r="AG131" s="4">
        <v>1</v>
      </c>
      <c r="AH131" s="4">
        <v>55</v>
      </c>
      <c r="AI131" s="4">
        <v>56</v>
      </c>
      <c r="AJ131" s="4">
        <v>7</v>
      </c>
      <c r="AK131" s="4">
        <v>8</v>
      </c>
      <c r="AL131" s="4">
        <v>26</v>
      </c>
      <c r="AM131" s="4">
        <v>26</v>
      </c>
      <c r="AN131" s="4">
        <v>0</v>
      </c>
      <c r="AO131" s="4">
        <v>0</v>
      </c>
      <c r="AP131" s="4">
        <v>8</v>
      </c>
      <c r="AQ131" s="4">
        <v>9</v>
      </c>
      <c r="AR131" s="3" t="s">
        <v>62</v>
      </c>
      <c r="AS131" s="3" t="s">
        <v>62</v>
      </c>
      <c r="AT131" s="3" t="s">
        <v>62</v>
      </c>
      <c r="AV131" s="6" t="str">
        <f>HYPERLINK("http://mcgill.on.worldcat.org/oclc/45610177","Catalog Record")</f>
        <v>Catalog Record</v>
      </c>
      <c r="AW131" s="6" t="str">
        <f>HYPERLINK("http://www.worldcat.org/oclc/45610177","WorldCat Record")</f>
        <v>WorldCat Record</v>
      </c>
      <c r="AX131" s="3" t="s">
        <v>935</v>
      </c>
      <c r="AY131" s="3" t="s">
        <v>936</v>
      </c>
      <c r="AZ131" s="3" t="s">
        <v>937</v>
      </c>
      <c r="BA131" s="3" t="s">
        <v>937</v>
      </c>
      <c r="BB131" s="3" t="s">
        <v>938</v>
      </c>
      <c r="BC131" s="3" t="s">
        <v>142</v>
      </c>
      <c r="BD131" s="3" t="s">
        <v>68</v>
      </c>
      <c r="BE131" s="3" t="s">
        <v>939</v>
      </c>
      <c r="BF131" s="3" t="s">
        <v>938</v>
      </c>
      <c r="BG131" s="3" t="s">
        <v>940</v>
      </c>
    </row>
    <row r="132" spans="1:59" ht="57" x14ac:dyDescent="0.45">
      <c r="A132" s="2" t="s">
        <v>59</v>
      </c>
      <c r="B132" s="2" t="s">
        <v>60</v>
      </c>
      <c r="C132" s="2" t="s">
        <v>941</v>
      </c>
      <c r="D132" s="2" t="s">
        <v>942</v>
      </c>
      <c r="E132" s="2" t="s">
        <v>943</v>
      </c>
      <c r="G132" s="3" t="s">
        <v>62</v>
      </c>
      <c r="I132" s="3" t="s">
        <v>62</v>
      </c>
      <c r="J132" s="3" t="s">
        <v>62</v>
      </c>
      <c r="K132" s="3" t="s">
        <v>63</v>
      </c>
      <c r="M132" s="2" t="s">
        <v>944</v>
      </c>
      <c r="N132" s="3" t="s">
        <v>945</v>
      </c>
      <c r="P132" s="3" t="s">
        <v>110</v>
      </c>
      <c r="Q132" s="2" t="s">
        <v>946</v>
      </c>
      <c r="R132" s="3" t="s">
        <v>66</v>
      </c>
      <c r="S132" s="4">
        <v>6</v>
      </c>
      <c r="T132" s="4">
        <v>6</v>
      </c>
      <c r="U132" s="5" t="s">
        <v>118</v>
      </c>
      <c r="V132" s="5" t="s">
        <v>118</v>
      </c>
      <c r="W132" s="5" t="s">
        <v>67</v>
      </c>
      <c r="X132" s="5" t="s">
        <v>67</v>
      </c>
      <c r="Y132" s="4">
        <v>10</v>
      </c>
      <c r="Z132" s="4">
        <v>3</v>
      </c>
      <c r="AA132" s="4">
        <v>12</v>
      </c>
      <c r="AB132" s="4">
        <v>1</v>
      </c>
      <c r="AC132" s="4">
        <v>7</v>
      </c>
      <c r="AD132" s="4">
        <v>6</v>
      </c>
      <c r="AE132" s="4">
        <v>13</v>
      </c>
      <c r="AF132" s="4">
        <v>0</v>
      </c>
      <c r="AG132" s="4">
        <v>4</v>
      </c>
      <c r="AH132" s="4">
        <v>5</v>
      </c>
      <c r="AI132" s="4">
        <v>8</v>
      </c>
      <c r="AJ132" s="4">
        <v>1</v>
      </c>
      <c r="AK132" s="4">
        <v>7</v>
      </c>
      <c r="AL132" s="4">
        <v>4</v>
      </c>
      <c r="AM132" s="4">
        <v>4</v>
      </c>
      <c r="AN132" s="4">
        <v>0</v>
      </c>
      <c r="AO132" s="4">
        <v>0</v>
      </c>
      <c r="AP132" s="4">
        <v>2</v>
      </c>
      <c r="AQ132" s="4">
        <v>8</v>
      </c>
      <c r="AR132" s="3" t="s">
        <v>62</v>
      </c>
      <c r="AS132" s="3" t="s">
        <v>62</v>
      </c>
      <c r="AT132" s="3" t="s">
        <v>62</v>
      </c>
      <c r="AV132" s="6" t="str">
        <f>HYPERLINK("http://mcgill.on.worldcat.org/oclc/236098884","Catalog Record")</f>
        <v>Catalog Record</v>
      </c>
      <c r="AW132" s="6" t="str">
        <f>HYPERLINK("http://www.worldcat.org/oclc/236098884","WorldCat Record")</f>
        <v>WorldCat Record</v>
      </c>
      <c r="AX132" s="3" t="s">
        <v>947</v>
      </c>
      <c r="AY132" s="3" t="s">
        <v>948</v>
      </c>
      <c r="AZ132" s="3" t="s">
        <v>949</v>
      </c>
      <c r="BA132" s="3" t="s">
        <v>949</v>
      </c>
      <c r="BB132" s="3" t="s">
        <v>950</v>
      </c>
      <c r="BC132" s="3" t="s">
        <v>142</v>
      </c>
      <c r="BD132" s="3" t="s">
        <v>68</v>
      </c>
      <c r="BE132" s="3" t="s">
        <v>951</v>
      </c>
      <c r="BF132" s="3" t="s">
        <v>950</v>
      </c>
      <c r="BG132" s="3" t="s">
        <v>952</v>
      </c>
    </row>
    <row r="133" spans="1:59" ht="57" x14ac:dyDescent="0.45">
      <c r="A133" s="2" t="s">
        <v>927</v>
      </c>
      <c r="B133" s="2" t="s">
        <v>928</v>
      </c>
      <c r="C133" s="2" t="s">
        <v>953</v>
      </c>
      <c r="D133" s="2" t="s">
        <v>954</v>
      </c>
      <c r="E133" s="2" t="s">
        <v>955</v>
      </c>
      <c r="G133" s="3" t="s">
        <v>62</v>
      </c>
      <c r="I133" s="3" t="s">
        <v>62</v>
      </c>
      <c r="J133" s="3" t="s">
        <v>62</v>
      </c>
      <c r="K133" s="3" t="s">
        <v>63</v>
      </c>
      <c r="L133" s="2" t="s">
        <v>956</v>
      </c>
      <c r="M133" s="2" t="s">
        <v>957</v>
      </c>
      <c r="N133" s="3" t="s">
        <v>958</v>
      </c>
      <c r="P133" s="3" t="s">
        <v>110</v>
      </c>
      <c r="R133" s="3" t="s">
        <v>66</v>
      </c>
      <c r="S133" s="4">
        <v>1</v>
      </c>
      <c r="T133" s="4">
        <v>1</v>
      </c>
      <c r="U133" s="5" t="s">
        <v>959</v>
      </c>
      <c r="V133" s="5" t="s">
        <v>959</v>
      </c>
      <c r="W133" s="5" t="s">
        <v>67</v>
      </c>
      <c r="X133" s="5" t="s">
        <v>67</v>
      </c>
      <c r="Y133" s="4">
        <v>78</v>
      </c>
      <c r="Z133" s="4">
        <v>8</v>
      </c>
      <c r="AA133" s="4">
        <v>29</v>
      </c>
      <c r="AB133" s="4">
        <v>1</v>
      </c>
      <c r="AC133" s="4">
        <v>11</v>
      </c>
      <c r="AD133" s="4">
        <v>26</v>
      </c>
      <c r="AE133" s="4">
        <v>38</v>
      </c>
      <c r="AF133" s="4">
        <v>0</v>
      </c>
      <c r="AG133" s="4">
        <v>4</v>
      </c>
      <c r="AH133" s="4">
        <v>24</v>
      </c>
      <c r="AI133" s="4">
        <v>31</v>
      </c>
      <c r="AJ133" s="4">
        <v>7</v>
      </c>
      <c r="AK133" s="4">
        <v>17</v>
      </c>
      <c r="AL133" s="4">
        <v>15</v>
      </c>
      <c r="AM133" s="4">
        <v>16</v>
      </c>
      <c r="AN133" s="4">
        <v>5</v>
      </c>
      <c r="AO133" s="4">
        <v>5</v>
      </c>
      <c r="AP133" s="4">
        <v>7</v>
      </c>
      <c r="AQ133" s="4">
        <v>16</v>
      </c>
      <c r="AR133" s="3" t="s">
        <v>62</v>
      </c>
      <c r="AS133" s="3" t="s">
        <v>62</v>
      </c>
      <c r="AT133" s="3" t="s">
        <v>61</v>
      </c>
      <c r="AU133" s="6" t="str">
        <f>HYPERLINK("http://catalog.hathitrust.org/Record/101969869","HathiTrust Record")</f>
        <v>HathiTrust Record</v>
      </c>
      <c r="AV133" s="6" t="str">
        <f>HYPERLINK("http://mcgill.on.worldcat.org/oclc/33430726","Catalog Record")</f>
        <v>Catalog Record</v>
      </c>
      <c r="AW133" s="6" t="str">
        <f>HYPERLINK("http://www.worldcat.org/oclc/33430726","WorldCat Record")</f>
        <v>WorldCat Record</v>
      </c>
      <c r="AX133" s="3" t="s">
        <v>960</v>
      </c>
      <c r="AY133" s="3" t="s">
        <v>961</v>
      </c>
      <c r="AZ133" s="3" t="s">
        <v>962</v>
      </c>
      <c r="BA133" s="3" t="s">
        <v>962</v>
      </c>
      <c r="BB133" s="3" t="s">
        <v>963</v>
      </c>
      <c r="BC133" s="3" t="s">
        <v>142</v>
      </c>
      <c r="BD133" s="3" t="s">
        <v>68</v>
      </c>
      <c r="BE133" s="3" t="s">
        <v>964</v>
      </c>
      <c r="BF133" s="3" t="s">
        <v>963</v>
      </c>
      <c r="BG133" s="3" t="s">
        <v>965</v>
      </c>
    </row>
    <row r="134" spans="1:59" ht="57" x14ac:dyDescent="0.45">
      <c r="A134" s="2" t="s">
        <v>927</v>
      </c>
      <c r="B134" s="2" t="s">
        <v>928</v>
      </c>
      <c r="C134" s="2" t="s">
        <v>966</v>
      </c>
      <c r="D134" s="2" t="s">
        <v>967</v>
      </c>
      <c r="E134" s="2" t="s">
        <v>968</v>
      </c>
      <c r="G134" s="3" t="s">
        <v>62</v>
      </c>
      <c r="I134" s="3" t="s">
        <v>62</v>
      </c>
      <c r="J134" s="3" t="s">
        <v>61</v>
      </c>
      <c r="K134" s="3" t="s">
        <v>63</v>
      </c>
      <c r="M134" s="2" t="s">
        <v>969</v>
      </c>
      <c r="N134" s="3" t="s">
        <v>970</v>
      </c>
      <c r="O134" s="2" t="s">
        <v>933</v>
      </c>
      <c r="P134" s="3" t="s">
        <v>65</v>
      </c>
      <c r="R134" s="3" t="s">
        <v>66</v>
      </c>
      <c r="S134" s="4">
        <v>1</v>
      </c>
      <c r="T134" s="4">
        <v>1</v>
      </c>
      <c r="U134" s="5" t="s">
        <v>971</v>
      </c>
      <c r="V134" s="5" t="s">
        <v>971</v>
      </c>
      <c r="W134" s="5" t="s">
        <v>67</v>
      </c>
      <c r="X134" s="5" t="s">
        <v>67</v>
      </c>
      <c r="Y134" s="4">
        <v>385</v>
      </c>
      <c r="Z134" s="4">
        <v>22</v>
      </c>
      <c r="AA134" s="4">
        <v>80</v>
      </c>
      <c r="AB134" s="4">
        <v>3</v>
      </c>
      <c r="AC134" s="4">
        <v>20</v>
      </c>
      <c r="AD134" s="4">
        <v>99</v>
      </c>
      <c r="AE134" s="4">
        <v>155</v>
      </c>
      <c r="AF134" s="4">
        <v>1</v>
      </c>
      <c r="AG134" s="4">
        <v>9</v>
      </c>
      <c r="AH134" s="4">
        <v>88</v>
      </c>
      <c r="AI134" s="4">
        <v>110</v>
      </c>
      <c r="AJ134" s="4">
        <v>13</v>
      </c>
      <c r="AK134" s="4">
        <v>24</v>
      </c>
      <c r="AL134" s="4">
        <v>51</v>
      </c>
      <c r="AM134" s="4">
        <v>60</v>
      </c>
      <c r="AN134" s="4">
        <v>0</v>
      </c>
      <c r="AO134" s="4">
        <v>0</v>
      </c>
      <c r="AP134" s="4">
        <v>16</v>
      </c>
      <c r="AQ134" s="4">
        <v>51</v>
      </c>
      <c r="AR134" s="3" t="s">
        <v>62</v>
      </c>
      <c r="AS134" s="3" t="s">
        <v>62</v>
      </c>
      <c r="AT134" s="3" t="s">
        <v>62</v>
      </c>
      <c r="AV134" s="6" t="str">
        <f>HYPERLINK("http://mcgill.on.worldcat.org/oclc/45917103","Catalog Record")</f>
        <v>Catalog Record</v>
      </c>
      <c r="AW134" s="6" t="str">
        <f>HYPERLINK("http://www.worldcat.org/oclc/45917103","WorldCat Record")</f>
        <v>WorldCat Record</v>
      </c>
      <c r="AX134" s="3" t="s">
        <v>972</v>
      </c>
      <c r="AY134" s="3" t="s">
        <v>973</v>
      </c>
      <c r="AZ134" s="3" t="s">
        <v>974</v>
      </c>
      <c r="BA134" s="3" t="s">
        <v>974</v>
      </c>
      <c r="BB134" s="3" t="s">
        <v>975</v>
      </c>
      <c r="BC134" s="3" t="s">
        <v>142</v>
      </c>
      <c r="BD134" s="3" t="s">
        <v>976</v>
      </c>
      <c r="BE134" s="3" t="s">
        <v>977</v>
      </c>
      <c r="BF134" s="3" t="s">
        <v>975</v>
      </c>
      <c r="BG134" s="3" t="s">
        <v>978</v>
      </c>
    </row>
    <row r="135" spans="1:59" ht="57" x14ac:dyDescent="0.45">
      <c r="A135" s="2" t="s">
        <v>59</v>
      </c>
      <c r="B135" s="2" t="s">
        <v>60</v>
      </c>
      <c r="C135" s="2" t="s">
        <v>979</v>
      </c>
      <c r="D135" s="2" t="s">
        <v>980</v>
      </c>
      <c r="E135" s="2" t="s">
        <v>981</v>
      </c>
      <c r="G135" s="3" t="s">
        <v>62</v>
      </c>
      <c r="I135" s="3" t="s">
        <v>62</v>
      </c>
      <c r="J135" s="3" t="s">
        <v>62</v>
      </c>
      <c r="K135" s="3" t="s">
        <v>63</v>
      </c>
      <c r="L135" s="2" t="s">
        <v>982</v>
      </c>
      <c r="M135" s="2" t="s">
        <v>983</v>
      </c>
      <c r="N135" s="3" t="s">
        <v>945</v>
      </c>
      <c r="O135" s="2" t="s">
        <v>933</v>
      </c>
      <c r="P135" s="3" t="s">
        <v>65</v>
      </c>
      <c r="Q135" s="2" t="s">
        <v>984</v>
      </c>
      <c r="R135" s="3" t="s">
        <v>66</v>
      </c>
      <c r="S135" s="4">
        <v>7</v>
      </c>
      <c r="T135" s="4">
        <v>7</v>
      </c>
      <c r="U135" s="5" t="s">
        <v>985</v>
      </c>
      <c r="V135" s="5" t="s">
        <v>985</v>
      </c>
      <c r="W135" s="5" t="s">
        <v>67</v>
      </c>
      <c r="X135" s="5" t="s">
        <v>67</v>
      </c>
      <c r="Y135" s="4">
        <v>281</v>
      </c>
      <c r="Z135" s="4">
        <v>22</v>
      </c>
      <c r="AA135" s="4">
        <v>59</v>
      </c>
      <c r="AB135" s="4">
        <v>2</v>
      </c>
      <c r="AC135" s="4">
        <v>10</v>
      </c>
      <c r="AD135" s="4">
        <v>62</v>
      </c>
      <c r="AE135" s="4">
        <v>125</v>
      </c>
      <c r="AF135" s="4">
        <v>0</v>
      </c>
      <c r="AG135" s="4">
        <v>6</v>
      </c>
      <c r="AH135" s="4">
        <v>54</v>
      </c>
      <c r="AI135" s="4">
        <v>97</v>
      </c>
      <c r="AJ135" s="4">
        <v>10</v>
      </c>
      <c r="AK135" s="4">
        <v>25</v>
      </c>
      <c r="AL135" s="4">
        <v>27</v>
      </c>
      <c r="AM135" s="4">
        <v>51</v>
      </c>
      <c r="AN135" s="4">
        <v>1</v>
      </c>
      <c r="AO135" s="4">
        <v>1</v>
      </c>
      <c r="AP135" s="4">
        <v>14</v>
      </c>
      <c r="AQ135" s="4">
        <v>38</v>
      </c>
      <c r="AR135" s="3" t="s">
        <v>62</v>
      </c>
      <c r="AS135" s="3" t="s">
        <v>62</v>
      </c>
      <c r="AT135" s="3" t="s">
        <v>61</v>
      </c>
      <c r="AU135" s="6" t="str">
        <f>HYPERLINK("http://catalog.hathitrust.org/Record/005604897","HathiTrust Record")</f>
        <v>HathiTrust Record</v>
      </c>
      <c r="AV135" s="6" t="str">
        <f>HYPERLINK("http://mcgill.on.worldcat.org/oclc/167505258","Catalog Record")</f>
        <v>Catalog Record</v>
      </c>
      <c r="AW135" s="6" t="str">
        <f>HYPERLINK("http://www.worldcat.org/oclc/167505258","WorldCat Record")</f>
        <v>WorldCat Record</v>
      </c>
      <c r="AX135" s="3" t="s">
        <v>986</v>
      </c>
      <c r="AY135" s="3" t="s">
        <v>987</v>
      </c>
      <c r="AZ135" s="3" t="s">
        <v>988</v>
      </c>
      <c r="BA135" s="3" t="s">
        <v>988</v>
      </c>
      <c r="BB135" s="3" t="s">
        <v>989</v>
      </c>
      <c r="BC135" s="3" t="s">
        <v>142</v>
      </c>
      <c r="BD135" s="3" t="s">
        <v>68</v>
      </c>
      <c r="BE135" s="3" t="s">
        <v>990</v>
      </c>
      <c r="BF135" s="3" t="s">
        <v>989</v>
      </c>
      <c r="BG135" s="3" t="s">
        <v>991</v>
      </c>
    </row>
    <row r="136" spans="1:59" ht="57" x14ac:dyDescent="0.45">
      <c r="A136" s="2" t="s">
        <v>927</v>
      </c>
      <c r="B136" s="2" t="s">
        <v>928</v>
      </c>
      <c r="C136" s="2" t="s">
        <v>992</v>
      </c>
      <c r="D136" s="2" t="s">
        <v>993</v>
      </c>
      <c r="E136" s="2" t="s">
        <v>994</v>
      </c>
      <c r="G136" s="3" t="s">
        <v>62</v>
      </c>
      <c r="I136" s="3" t="s">
        <v>62</v>
      </c>
      <c r="J136" s="3" t="s">
        <v>62</v>
      </c>
      <c r="K136" s="3" t="s">
        <v>63</v>
      </c>
      <c r="L136" s="2" t="s">
        <v>995</v>
      </c>
      <c r="M136" s="2" t="s">
        <v>996</v>
      </c>
      <c r="N136" s="3" t="s">
        <v>167</v>
      </c>
      <c r="P136" s="3" t="s">
        <v>65</v>
      </c>
      <c r="Q136" s="2" t="s">
        <v>997</v>
      </c>
      <c r="R136" s="3" t="s">
        <v>66</v>
      </c>
      <c r="S136" s="4">
        <v>8</v>
      </c>
      <c r="T136" s="4">
        <v>8</v>
      </c>
      <c r="U136" s="5" t="s">
        <v>998</v>
      </c>
      <c r="V136" s="5" t="s">
        <v>998</v>
      </c>
      <c r="W136" s="5" t="s">
        <v>67</v>
      </c>
      <c r="X136" s="5" t="s">
        <v>67</v>
      </c>
      <c r="Y136" s="4">
        <v>624</v>
      </c>
      <c r="Z136" s="4">
        <v>28</v>
      </c>
      <c r="AA136" s="4">
        <v>83</v>
      </c>
      <c r="AB136" s="4">
        <v>2</v>
      </c>
      <c r="AC136" s="4">
        <v>19</v>
      </c>
      <c r="AD136" s="4">
        <v>102</v>
      </c>
      <c r="AE136" s="4">
        <v>127</v>
      </c>
      <c r="AF136" s="4">
        <v>1</v>
      </c>
      <c r="AG136" s="4">
        <v>7</v>
      </c>
      <c r="AH136" s="4">
        <v>86</v>
      </c>
      <c r="AI136" s="4">
        <v>94</v>
      </c>
      <c r="AJ136" s="4">
        <v>9</v>
      </c>
      <c r="AK136" s="4">
        <v>19</v>
      </c>
      <c r="AL136" s="4">
        <v>47</v>
      </c>
      <c r="AM136" s="4">
        <v>50</v>
      </c>
      <c r="AN136" s="4">
        <v>0</v>
      </c>
      <c r="AO136" s="4">
        <v>0</v>
      </c>
      <c r="AP136" s="4">
        <v>20</v>
      </c>
      <c r="AQ136" s="4">
        <v>39</v>
      </c>
      <c r="AR136" s="3" t="s">
        <v>62</v>
      </c>
      <c r="AS136" s="3" t="s">
        <v>62</v>
      </c>
      <c r="AT136" s="3" t="s">
        <v>62</v>
      </c>
      <c r="AV136" s="6" t="str">
        <f>HYPERLINK("http://mcgill.on.worldcat.org/oclc/39060772","Catalog Record")</f>
        <v>Catalog Record</v>
      </c>
      <c r="AW136" s="6" t="str">
        <f>HYPERLINK("http://www.worldcat.org/oclc/39060772","WorldCat Record")</f>
        <v>WorldCat Record</v>
      </c>
      <c r="AX136" s="3" t="s">
        <v>999</v>
      </c>
      <c r="AY136" s="3" t="s">
        <v>1000</v>
      </c>
      <c r="AZ136" s="3" t="s">
        <v>1001</v>
      </c>
      <c r="BA136" s="3" t="s">
        <v>1001</v>
      </c>
      <c r="BB136" s="3" t="s">
        <v>1002</v>
      </c>
      <c r="BC136" s="3" t="s">
        <v>142</v>
      </c>
      <c r="BD136" s="3" t="s">
        <v>1003</v>
      </c>
      <c r="BE136" s="3" t="s">
        <v>1004</v>
      </c>
      <c r="BF136" s="3" t="s">
        <v>1002</v>
      </c>
      <c r="BG136" s="3" t="s">
        <v>1005</v>
      </c>
    </row>
    <row r="137" spans="1:59" ht="57" x14ac:dyDescent="0.45">
      <c r="A137" s="2" t="s">
        <v>59</v>
      </c>
      <c r="B137" s="2" t="s">
        <v>60</v>
      </c>
      <c r="C137" s="2" t="s">
        <v>1006</v>
      </c>
      <c r="D137" s="2" t="s">
        <v>1007</v>
      </c>
      <c r="E137" s="2" t="s">
        <v>1008</v>
      </c>
      <c r="F137" s="3" t="s">
        <v>88</v>
      </c>
      <c r="G137" s="3" t="s">
        <v>61</v>
      </c>
      <c r="I137" s="3" t="s">
        <v>62</v>
      </c>
      <c r="J137" s="3" t="s">
        <v>62</v>
      </c>
      <c r="K137" s="3" t="s">
        <v>63</v>
      </c>
      <c r="M137" s="2" t="s">
        <v>1009</v>
      </c>
      <c r="N137" s="3" t="s">
        <v>894</v>
      </c>
      <c r="P137" s="3" t="s">
        <v>65</v>
      </c>
      <c r="Q137" s="2" t="s">
        <v>1010</v>
      </c>
      <c r="R137" s="3" t="s">
        <v>66</v>
      </c>
      <c r="S137" s="4">
        <v>1</v>
      </c>
      <c r="T137" s="4">
        <v>21</v>
      </c>
      <c r="U137" s="5" t="s">
        <v>1011</v>
      </c>
      <c r="V137" s="5" t="s">
        <v>1012</v>
      </c>
      <c r="W137" s="5" t="s">
        <v>67</v>
      </c>
      <c r="X137" s="5" t="s">
        <v>67</v>
      </c>
      <c r="Y137" s="4">
        <v>47</v>
      </c>
      <c r="Z137" s="4">
        <v>5</v>
      </c>
      <c r="AA137" s="4">
        <v>7</v>
      </c>
      <c r="AB137" s="4">
        <v>1</v>
      </c>
      <c r="AC137" s="4">
        <v>1</v>
      </c>
      <c r="AD137" s="4">
        <v>17</v>
      </c>
      <c r="AE137" s="4">
        <v>18</v>
      </c>
      <c r="AF137" s="4">
        <v>0</v>
      </c>
      <c r="AG137" s="4">
        <v>0</v>
      </c>
      <c r="AH137" s="4">
        <v>14</v>
      </c>
      <c r="AI137" s="4">
        <v>15</v>
      </c>
      <c r="AJ137" s="4">
        <v>4</v>
      </c>
      <c r="AK137" s="4">
        <v>5</v>
      </c>
      <c r="AL137" s="4">
        <v>9</v>
      </c>
      <c r="AM137" s="4">
        <v>10</v>
      </c>
      <c r="AN137" s="4">
        <v>0</v>
      </c>
      <c r="AO137" s="4">
        <v>0</v>
      </c>
      <c r="AP137" s="4">
        <v>4</v>
      </c>
      <c r="AQ137" s="4">
        <v>5</v>
      </c>
      <c r="AR137" s="3" t="s">
        <v>62</v>
      </c>
      <c r="AS137" s="3" t="s">
        <v>62</v>
      </c>
      <c r="AT137" s="3" t="s">
        <v>62</v>
      </c>
      <c r="AV137" s="6" t="str">
        <f>HYPERLINK("http://mcgill.on.worldcat.org/oclc/647976788","Catalog Record")</f>
        <v>Catalog Record</v>
      </c>
      <c r="AW137" s="6" t="str">
        <f>HYPERLINK("http://www.worldcat.org/oclc/647976788","WorldCat Record")</f>
        <v>WorldCat Record</v>
      </c>
      <c r="AX137" s="3" t="s">
        <v>1013</v>
      </c>
      <c r="AY137" s="3" t="s">
        <v>1014</v>
      </c>
      <c r="AZ137" s="3" t="s">
        <v>1015</v>
      </c>
      <c r="BA137" s="3" t="s">
        <v>1015</v>
      </c>
      <c r="BB137" s="3" t="s">
        <v>1016</v>
      </c>
      <c r="BC137" s="3" t="s">
        <v>142</v>
      </c>
      <c r="BD137" s="3" t="s">
        <v>68</v>
      </c>
      <c r="BE137" s="3" t="s">
        <v>1017</v>
      </c>
      <c r="BF137" s="3" t="s">
        <v>1016</v>
      </c>
      <c r="BG137" s="3" t="s">
        <v>1018</v>
      </c>
    </row>
    <row r="138" spans="1:59" ht="57" x14ac:dyDescent="0.45">
      <c r="A138" s="2" t="s">
        <v>59</v>
      </c>
      <c r="B138" s="2" t="s">
        <v>60</v>
      </c>
      <c r="C138" s="2" t="s">
        <v>1006</v>
      </c>
      <c r="D138" s="2" t="s">
        <v>1007</v>
      </c>
      <c r="E138" s="2" t="s">
        <v>1008</v>
      </c>
      <c r="F138" s="3" t="s">
        <v>87</v>
      </c>
      <c r="G138" s="3" t="s">
        <v>61</v>
      </c>
      <c r="I138" s="3" t="s">
        <v>62</v>
      </c>
      <c r="J138" s="3" t="s">
        <v>62</v>
      </c>
      <c r="K138" s="3" t="s">
        <v>63</v>
      </c>
      <c r="M138" s="2" t="s">
        <v>1009</v>
      </c>
      <c r="N138" s="3" t="s">
        <v>894</v>
      </c>
      <c r="P138" s="3" t="s">
        <v>65</v>
      </c>
      <c r="Q138" s="2" t="s">
        <v>1010</v>
      </c>
      <c r="R138" s="3" t="s">
        <v>66</v>
      </c>
      <c r="S138" s="4">
        <v>8</v>
      </c>
      <c r="T138" s="4">
        <v>21</v>
      </c>
      <c r="V138" s="5" t="s">
        <v>1012</v>
      </c>
      <c r="W138" s="5" t="s">
        <v>67</v>
      </c>
      <c r="X138" s="5" t="s">
        <v>67</v>
      </c>
      <c r="Y138" s="4">
        <v>47</v>
      </c>
      <c r="Z138" s="4">
        <v>5</v>
      </c>
      <c r="AA138" s="4">
        <v>7</v>
      </c>
      <c r="AB138" s="4">
        <v>1</v>
      </c>
      <c r="AC138" s="4">
        <v>1</v>
      </c>
      <c r="AD138" s="4">
        <v>17</v>
      </c>
      <c r="AE138" s="4">
        <v>18</v>
      </c>
      <c r="AF138" s="4">
        <v>0</v>
      </c>
      <c r="AG138" s="4">
        <v>0</v>
      </c>
      <c r="AH138" s="4">
        <v>14</v>
      </c>
      <c r="AI138" s="4">
        <v>15</v>
      </c>
      <c r="AJ138" s="4">
        <v>4</v>
      </c>
      <c r="AK138" s="4">
        <v>5</v>
      </c>
      <c r="AL138" s="4">
        <v>9</v>
      </c>
      <c r="AM138" s="4">
        <v>10</v>
      </c>
      <c r="AN138" s="4">
        <v>0</v>
      </c>
      <c r="AO138" s="4">
        <v>0</v>
      </c>
      <c r="AP138" s="4">
        <v>4</v>
      </c>
      <c r="AQ138" s="4">
        <v>5</v>
      </c>
      <c r="AR138" s="3" t="s">
        <v>62</v>
      </c>
      <c r="AS138" s="3" t="s">
        <v>62</v>
      </c>
      <c r="AT138" s="3" t="s">
        <v>62</v>
      </c>
      <c r="AV138" s="6" t="str">
        <f>HYPERLINK("http://mcgill.on.worldcat.org/oclc/647976788","Catalog Record")</f>
        <v>Catalog Record</v>
      </c>
      <c r="AW138" s="6" t="str">
        <f>HYPERLINK("http://www.worldcat.org/oclc/647976788","WorldCat Record")</f>
        <v>WorldCat Record</v>
      </c>
      <c r="AX138" s="3" t="s">
        <v>1013</v>
      </c>
      <c r="AY138" s="3" t="s">
        <v>1014</v>
      </c>
      <c r="AZ138" s="3" t="s">
        <v>1015</v>
      </c>
      <c r="BA138" s="3" t="s">
        <v>1015</v>
      </c>
      <c r="BB138" s="3" t="s">
        <v>1019</v>
      </c>
      <c r="BC138" s="3" t="s">
        <v>142</v>
      </c>
      <c r="BD138" s="3" t="s">
        <v>308</v>
      </c>
      <c r="BE138" s="3" t="s">
        <v>1017</v>
      </c>
      <c r="BF138" s="3" t="s">
        <v>1019</v>
      </c>
      <c r="BG138" s="3" t="s">
        <v>1020</v>
      </c>
    </row>
    <row r="139" spans="1:59" ht="57" x14ac:dyDescent="0.45">
      <c r="A139" s="2" t="s">
        <v>59</v>
      </c>
      <c r="B139" s="2" t="s">
        <v>60</v>
      </c>
      <c r="C139" s="2" t="s">
        <v>1006</v>
      </c>
      <c r="D139" s="2" t="s">
        <v>1007</v>
      </c>
      <c r="E139" s="2" t="s">
        <v>1008</v>
      </c>
      <c r="F139" s="3" t="s">
        <v>90</v>
      </c>
      <c r="G139" s="3" t="s">
        <v>61</v>
      </c>
      <c r="I139" s="3" t="s">
        <v>62</v>
      </c>
      <c r="J139" s="3" t="s">
        <v>62</v>
      </c>
      <c r="K139" s="3" t="s">
        <v>63</v>
      </c>
      <c r="M139" s="2" t="s">
        <v>1009</v>
      </c>
      <c r="N139" s="3" t="s">
        <v>894</v>
      </c>
      <c r="P139" s="3" t="s">
        <v>65</v>
      </c>
      <c r="Q139" s="2" t="s">
        <v>1010</v>
      </c>
      <c r="R139" s="3" t="s">
        <v>66</v>
      </c>
      <c r="S139" s="4">
        <v>10</v>
      </c>
      <c r="T139" s="4">
        <v>21</v>
      </c>
      <c r="U139" s="5" t="s">
        <v>1012</v>
      </c>
      <c r="V139" s="5" t="s">
        <v>1012</v>
      </c>
      <c r="W139" s="5" t="s">
        <v>67</v>
      </c>
      <c r="X139" s="5" t="s">
        <v>67</v>
      </c>
      <c r="Y139" s="4">
        <v>47</v>
      </c>
      <c r="Z139" s="4">
        <v>5</v>
      </c>
      <c r="AA139" s="4">
        <v>7</v>
      </c>
      <c r="AB139" s="4">
        <v>1</v>
      </c>
      <c r="AC139" s="4">
        <v>1</v>
      </c>
      <c r="AD139" s="4">
        <v>17</v>
      </c>
      <c r="AE139" s="4">
        <v>18</v>
      </c>
      <c r="AF139" s="4">
        <v>0</v>
      </c>
      <c r="AG139" s="4">
        <v>0</v>
      </c>
      <c r="AH139" s="4">
        <v>14</v>
      </c>
      <c r="AI139" s="4">
        <v>15</v>
      </c>
      <c r="AJ139" s="4">
        <v>4</v>
      </c>
      <c r="AK139" s="4">
        <v>5</v>
      </c>
      <c r="AL139" s="4">
        <v>9</v>
      </c>
      <c r="AM139" s="4">
        <v>10</v>
      </c>
      <c r="AN139" s="4">
        <v>0</v>
      </c>
      <c r="AO139" s="4">
        <v>0</v>
      </c>
      <c r="AP139" s="4">
        <v>4</v>
      </c>
      <c r="AQ139" s="4">
        <v>5</v>
      </c>
      <c r="AR139" s="3" t="s">
        <v>62</v>
      </c>
      <c r="AS139" s="3" t="s">
        <v>62</v>
      </c>
      <c r="AT139" s="3" t="s">
        <v>62</v>
      </c>
      <c r="AV139" s="6" t="str">
        <f>HYPERLINK("http://mcgill.on.worldcat.org/oclc/647976788","Catalog Record")</f>
        <v>Catalog Record</v>
      </c>
      <c r="AW139" s="6" t="str">
        <f>HYPERLINK("http://www.worldcat.org/oclc/647976788","WorldCat Record")</f>
        <v>WorldCat Record</v>
      </c>
      <c r="AX139" s="3" t="s">
        <v>1013</v>
      </c>
      <c r="AY139" s="3" t="s">
        <v>1014</v>
      </c>
      <c r="AZ139" s="3" t="s">
        <v>1015</v>
      </c>
      <c r="BA139" s="3" t="s">
        <v>1015</v>
      </c>
      <c r="BB139" s="3" t="s">
        <v>1021</v>
      </c>
      <c r="BC139" s="3" t="s">
        <v>142</v>
      </c>
      <c r="BD139" s="3" t="s">
        <v>308</v>
      </c>
      <c r="BE139" s="3" t="s">
        <v>1017</v>
      </c>
      <c r="BF139" s="3" t="s">
        <v>1021</v>
      </c>
      <c r="BG139" s="3" t="s">
        <v>1022</v>
      </c>
    </row>
    <row r="140" spans="1:59" ht="57" x14ac:dyDescent="0.45">
      <c r="A140" s="2" t="s">
        <v>59</v>
      </c>
      <c r="B140" s="2" t="s">
        <v>60</v>
      </c>
      <c r="C140" s="2" t="s">
        <v>1006</v>
      </c>
      <c r="D140" s="2" t="s">
        <v>1007</v>
      </c>
      <c r="E140" s="2" t="s">
        <v>1008</v>
      </c>
      <c r="F140" s="3" t="s">
        <v>86</v>
      </c>
      <c r="G140" s="3" t="s">
        <v>61</v>
      </c>
      <c r="I140" s="3" t="s">
        <v>62</v>
      </c>
      <c r="J140" s="3" t="s">
        <v>62</v>
      </c>
      <c r="K140" s="3" t="s">
        <v>63</v>
      </c>
      <c r="M140" s="2" t="s">
        <v>1009</v>
      </c>
      <c r="N140" s="3" t="s">
        <v>894</v>
      </c>
      <c r="P140" s="3" t="s">
        <v>65</v>
      </c>
      <c r="Q140" s="2" t="s">
        <v>1010</v>
      </c>
      <c r="R140" s="3" t="s">
        <v>66</v>
      </c>
      <c r="S140" s="4">
        <v>0</v>
      </c>
      <c r="T140" s="4">
        <v>21</v>
      </c>
      <c r="V140" s="5" t="s">
        <v>1012</v>
      </c>
      <c r="W140" s="5" t="s">
        <v>67</v>
      </c>
      <c r="X140" s="5" t="s">
        <v>67</v>
      </c>
      <c r="Y140" s="4">
        <v>47</v>
      </c>
      <c r="Z140" s="4">
        <v>5</v>
      </c>
      <c r="AA140" s="4">
        <v>7</v>
      </c>
      <c r="AB140" s="4">
        <v>1</v>
      </c>
      <c r="AC140" s="4">
        <v>1</v>
      </c>
      <c r="AD140" s="4">
        <v>17</v>
      </c>
      <c r="AE140" s="4">
        <v>18</v>
      </c>
      <c r="AF140" s="4">
        <v>0</v>
      </c>
      <c r="AG140" s="4">
        <v>0</v>
      </c>
      <c r="AH140" s="4">
        <v>14</v>
      </c>
      <c r="AI140" s="4">
        <v>15</v>
      </c>
      <c r="AJ140" s="4">
        <v>4</v>
      </c>
      <c r="AK140" s="4">
        <v>5</v>
      </c>
      <c r="AL140" s="4">
        <v>9</v>
      </c>
      <c r="AM140" s="4">
        <v>10</v>
      </c>
      <c r="AN140" s="4">
        <v>0</v>
      </c>
      <c r="AO140" s="4">
        <v>0</v>
      </c>
      <c r="AP140" s="4">
        <v>4</v>
      </c>
      <c r="AQ140" s="4">
        <v>5</v>
      </c>
      <c r="AR140" s="3" t="s">
        <v>62</v>
      </c>
      <c r="AS140" s="3" t="s">
        <v>62</v>
      </c>
      <c r="AT140" s="3" t="s">
        <v>62</v>
      </c>
      <c r="AV140" s="6" t="str">
        <f>HYPERLINK("http://mcgill.on.worldcat.org/oclc/647976788","Catalog Record")</f>
        <v>Catalog Record</v>
      </c>
      <c r="AW140" s="6" t="str">
        <f>HYPERLINK("http://www.worldcat.org/oclc/647976788","WorldCat Record")</f>
        <v>WorldCat Record</v>
      </c>
      <c r="AX140" s="3" t="s">
        <v>1013</v>
      </c>
      <c r="AY140" s="3" t="s">
        <v>1014</v>
      </c>
      <c r="AZ140" s="3" t="s">
        <v>1015</v>
      </c>
      <c r="BA140" s="3" t="s">
        <v>1015</v>
      </c>
      <c r="BB140" s="3" t="s">
        <v>1023</v>
      </c>
      <c r="BC140" s="3" t="s">
        <v>142</v>
      </c>
      <c r="BD140" s="3" t="s">
        <v>68</v>
      </c>
      <c r="BE140" s="3" t="s">
        <v>1017</v>
      </c>
      <c r="BF140" s="3" t="s">
        <v>1023</v>
      </c>
      <c r="BG140" s="3" t="s">
        <v>1024</v>
      </c>
    </row>
    <row r="141" spans="1:59" ht="57" x14ac:dyDescent="0.45">
      <c r="A141" s="2" t="s">
        <v>59</v>
      </c>
      <c r="B141" s="2" t="s">
        <v>60</v>
      </c>
      <c r="C141" s="2" t="s">
        <v>1006</v>
      </c>
      <c r="D141" s="2" t="s">
        <v>1007</v>
      </c>
      <c r="E141" s="2" t="s">
        <v>1008</v>
      </c>
      <c r="F141" s="3" t="s">
        <v>83</v>
      </c>
      <c r="G141" s="3" t="s">
        <v>61</v>
      </c>
      <c r="I141" s="3" t="s">
        <v>62</v>
      </c>
      <c r="J141" s="3" t="s">
        <v>62</v>
      </c>
      <c r="K141" s="3" t="s">
        <v>63</v>
      </c>
      <c r="M141" s="2" t="s">
        <v>1009</v>
      </c>
      <c r="N141" s="3" t="s">
        <v>894</v>
      </c>
      <c r="P141" s="3" t="s">
        <v>65</v>
      </c>
      <c r="Q141" s="2" t="s">
        <v>1010</v>
      </c>
      <c r="R141" s="3" t="s">
        <v>66</v>
      </c>
      <c r="S141" s="4">
        <v>2</v>
      </c>
      <c r="T141" s="4">
        <v>21</v>
      </c>
      <c r="U141" s="5" t="s">
        <v>1025</v>
      </c>
      <c r="V141" s="5" t="s">
        <v>1012</v>
      </c>
      <c r="W141" s="5" t="s">
        <v>67</v>
      </c>
      <c r="X141" s="5" t="s">
        <v>67</v>
      </c>
      <c r="Y141" s="4">
        <v>47</v>
      </c>
      <c r="Z141" s="4">
        <v>5</v>
      </c>
      <c r="AA141" s="4">
        <v>7</v>
      </c>
      <c r="AB141" s="4">
        <v>1</v>
      </c>
      <c r="AC141" s="4">
        <v>1</v>
      </c>
      <c r="AD141" s="4">
        <v>17</v>
      </c>
      <c r="AE141" s="4">
        <v>18</v>
      </c>
      <c r="AF141" s="4">
        <v>0</v>
      </c>
      <c r="AG141" s="4">
        <v>0</v>
      </c>
      <c r="AH141" s="4">
        <v>14</v>
      </c>
      <c r="AI141" s="4">
        <v>15</v>
      </c>
      <c r="AJ141" s="4">
        <v>4</v>
      </c>
      <c r="AK141" s="4">
        <v>5</v>
      </c>
      <c r="AL141" s="4">
        <v>9</v>
      </c>
      <c r="AM141" s="4">
        <v>10</v>
      </c>
      <c r="AN141" s="4">
        <v>0</v>
      </c>
      <c r="AO141" s="4">
        <v>0</v>
      </c>
      <c r="AP141" s="4">
        <v>4</v>
      </c>
      <c r="AQ141" s="4">
        <v>5</v>
      </c>
      <c r="AR141" s="3" t="s">
        <v>62</v>
      </c>
      <c r="AS141" s="3" t="s">
        <v>62</v>
      </c>
      <c r="AT141" s="3" t="s">
        <v>62</v>
      </c>
      <c r="AV141" s="6" t="str">
        <f>HYPERLINK("http://mcgill.on.worldcat.org/oclc/647976788","Catalog Record")</f>
        <v>Catalog Record</v>
      </c>
      <c r="AW141" s="6" t="str">
        <f>HYPERLINK("http://www.worldcat.org/oclc/647976788","WorldCat Record")</f>
        <v>WorldCat Record</v>
      </c>
      <c r="AX141" s="3" t="s">
        <v>1013</v>
      </c>
      <c r="AY141" s="3" t="s">
        <v>1014</v>
      </c>
      <c r="AZ141" s="3" t="s">
        <v>1015</v>
      </c>
      <c r="BA141" s="3" t="s">
        <v>1015</v>
      </c>
      <c r="BB141" s="3" t="s">
        <v>1026</v>
      </c>
      <c r="BC141" s="3" t="s">
        <v>142</v>
      </c>
      <c r="BD141" s="3" t="s">
        <v>68</v>
      </c>
      <c r="BE141" s="3" t="s">
        <v>1017</v>
      </c>
      <c r="BF141" s="3" t="s">
        <v>1026</v>
      </c>
      <c r="BG141" s="3" t="s">
        <v>1027</v>
      </c>
    </row>
    <row r="142" spans="1:59" ht="57" x14ac:dyDescent="0.45">
      <c r="A142" s="2" t="s">
        <v>59</v>
      </c>
      <c r="B142" s="2" t="s">
        <v>60</v>
      </c>
      <c r="C142" s="2" t="s">
        <v>1028</v>
      </c>
      <c r="D142" s="2" t="s">
        <v>1029</v>
      </c>
      <c r="E142" s="2" t="s">
        <v>1030</v>
      </c>
      <c r="G142" s="3" t="s">
        <v>62</v>
      </c>
      <c r="I142" s="3" t="s">
        <v>62</v>
      </c>
      <c r="J142" s="3" t="s">
        <v>62</v>
      </c>
      <c r="K142" s="3" t="s">
        <v>63</v>
      </c>
      <c r="L142" s="2" t="s">
        <v>1031</v>
      </c>
      <c r="M142" s="2" t="s">
        <v>1032</v>
      </c>
      <c r="N142" s="3" t="s">
        <v>122</v>
      </c>
      <c r="P142" s="3" t="s">
        <v>65</v>
      </c>
      <c r="Q142" s="2" t="s">
        <v>1033</v>
      </c>
      <c r="R142" s="3" t="s">
        <v>66</v>
      </c>
      <c r="S142" s="4">
        <v>30</v>
      </c>
      <c r="T142" s="4">
        <v>30</v>
      </c>
      <c r="U142" s="5" t="s">
        <v>1034</v>
      </c>
      <c r="V142" s="5" t="s">
        <v>1034</v>
      </c>
      <c r="W142" s="5" t="s">
        <v>67</v>
      </c>
      <c r="X142" s="5" t="s">
        <v>67</v>
      </c>
      <c r="Y142" s="4">
        <v>22</v>
      </c>
      <c r="Z142" s="4">
        <v>7</v>
      </c>
      <c r="AA142" s="4">
        <v>32</v>
      </c>
      <c r="AB142" s="4">
        <v>1</v>
      </c>
      <c r="AC142" s="4">
        <v>4</v>
      </c>
      <c r="AD142" s="4">
        <v>12</v>
      </c>
      <c r="AE142" s="4">
        <v>113</v>
      </c>
      <c r="AF142" s="4">
        <v>0</v>
      </c>
      <c r="AG142" s="4">
        <v>2</v>
      </c>
      <c r="AH142" s="4">
        <v>7</v>
      </c>
      <c r="AI142" s="4">
        <v>97</v>
      </c>
      <c r="AJ142" s="4">
        <v>5</v>
      </c>
      <c r="AK142" s="4">
        <v>19</v>
      </c>
      <c r="AL142" s="4">
        <v>5</v>
      </c>
      <c r="AM142" s="4">
        <v>52</v>
      </c>
      <c r="AN142" s="4">
        <v>0</v>
      </c>
      <c r="AO142" s="4">
        <v>0</v>
      </c>
      <c r="AP142" s="4">
        <v>6</v>
      </c>
      <c r="AQ142" s="4">
        <v>24</v>
      </c>
      <c r="AR142" s="3" t="s">
        <v>62</v>
      </c>
      <c r="AS142" s="3" t="s">
        <v>62</v>
      </c>
      <c r="AT142" s="3" t="s">
        <v>61</v>
      </c>
      <c r="AU142" s="6" t="str">
        <f>HYPERLINK("http://catalog.hathitrust.org/Record/007114591","HathiTrust Record")</f>
        <v>HathiTrust Record</v>
      </c>
      <c r="AV142" s="6" t="str">
        <f>HYPERLINK("http://mcgill.on.worldcat.org/oclc/123156534","Catalog Record")</f>
        <v>Catalog Record</v>
      </c>
      <c r="AW142" s="6" t="str">
        <f>HYPERLINK("http://www.worldcat.org/oclc/123156534","WorldCat Record")</f>
        <v>WorldCat Record</v>
      </c>
      <c r="AX142" s="3" t="s">
        <v>1035</v>
      </c>
      <c r="AY142" s="3" t="s">
        <v>1036</v>
      </c>
      <c r="AZ142" s="3" t="s">
        <v>1037</v>
      </c>
      <c r="BA142" s="3" t="s">
        <v>1037</v>
      </c>
      <c r="BB142" s="3" t="s">
        <v>1038</v>
      </c>
      <c r="BC142" s="3" t="s">
        <v>142</v>
      </c>
      <c r="BD142" s="3" t="s">
        <v>68</v>
      </c>
      <c r="BE142" s="3" t="s">
        <v>1039</v>
      </c>
      <c r="BF142" s="3" t="s">
        <v>1038</v>
      </c>
      <c r="BG142" s="3" t="s">
        <v>1040</v>
      </c>
    </row>
    <row r="143" spans="1:59" ht="57" x14ac:dyDescent="0.45">
      <c r="A143" s="2" t="s">
        <v>59</v>
      </c>
      <c r="B143" s="2" t="s">
        <v>60</v>
      </c>
      <c r="C143" s="2" t="s">
        <v>1041</v>
      </c>
      <c r="D143" s="2" t="s">
        <v>1042</v>
      </c>
      <c r="E143" s="2" t="s">
        <v>1043</v>
      </c>
      <c r="G143" s="3" t="s">
        <v>62</v>
      </c>
      <c r="I143" s="3" t="s">
        <v>62</v>
      </c>
      <c r="J143" s="3" t="s">
        <v>62</v>
      </c>
      <c r="K143" s="3" t="s">
        <v>63</v>
      </c>
      <c r="L143" s="2" t="s">
        <v>1044</v>
      </c>
      <c r="M143" s="2" t="s">
        <v>1045</v>
      </c>
      <c r="N143" s="3" t="s">
        <v>918</v>
      </c>
      <c r="P143" s="3" t="s">
        <v>65</v>
      </c>
      <c r="Q143" s="2" t="s">
        <v>1046</v>
      </c>
      <c r="R143" s="3" t="s">
        <v>66</v>
      </c>
      <c r="S143" s="4">
        <v>19</v>
      </c>
      <c r="T143" s="4">
        <v>19</v>
      </c>
      <c r="U143" s="5" t="s">
        <v>1047</v>
      </c>
      <c r="V143" s="5" t="s">
        <v>1047</v>
      </c>
      <c r="W143" s="5" t="s">
        <v>67</v>
      </c>
      <c r="X143" s="5" t="s">
        <v>67</v>
      </c>
      <c r="Y143" s="4">
        <v>369</v>
      </c>
      <c r="Z143" s="4">
        <v>26</v>
      </c>
      <c r="AA143" s="4">
        <v>118</v>
      </c>
      <c r="AB143" s="4">
        <v>1</v>
      </c>
      <c r="AC143" s="4">
        <v>21</v>
      </c>
      <c r="AD143" s="4">
        <v>108</v>
      </c>
      <c r="AE143" s="4">
        <v>152</v>
      </c>
      <c r="AF143" s="4">
        <v>0</v>
      </c>
      <c r="AG143" s="4">
        <v>9</v>
      </c>
      <c r="AH143" s="4">
        <v>96</v>
      </c>
      <c r="AI143" s="4">
        <v>103</v>
      </c>
      <c r="AJ143" s="4">
        <v>14</v>
      </c>
      <c r="AK143" s="4">
        <v>26</v>
      </c>
      <c r="AL143" s="4">
        <v>51</v>
      </c>
      <c r="AM143" s="4">
        <v>54</v>
      </c>
      <c r="AN143" s="4">
        <v>0</v>
      </c>
      <c r="AO143" s="4">
        <v>0</v>
      </c>
      <c r="AP143" s="4">
        <v>19</v>
      </c>
      <c r="AQ143" s="4">
        <v>56</v>
      </c>
      <c r="AR143" s="3" t="s">
        <v>62</v>
      </c>
      <c r="AS143" s="3" t="s">
        <v>62</v>
      </c>
      <c r="AT143" s="3" t="s">
        <v>62</v>
      </c>
      <c r="AV143" s="6" t="str">
        <f>HYPERLINK("http://mcgill.on.worldcat.org/oclc/50684325","Catalog Record")</f>
        <v>Catalog Record</v>
      </c>
      <c r="AW143" s="6" t="str">
        <f>HYPERLINK("http://www.worldcat.org/oclc/50684325","WorldCat Record")</f>
        <v>WorldCat Record</v>
      </c>
      <c r="AX143" s="3" t="s">
        <v>1048</v>
      </c>
      <c r="AY143" s="3" t="s">
        <v>1049</v>
      </c>
      <c r="AZ143" s="3" t="s">
        <v>1050</v>
      </c>
      <c r="BA143" s="3" t="s">
        <v>1050</v>
      </c>
      <c r="BB143" s="3" t="s">
        <v>1051</v>
      </c>
      <c r="BC143" s="3" t="s">
        <v>142</v>
      </c>
      <c r="BD143" s="3" t="s">
        <v>68</v>
      </c>
      <c r="BE143" s="3" t="s">
        <v>1052</v>
      </c>
      <c r="BF143" s="3" t="s">
        <v>1051</v>
      </c>
      <c r="BG143" s="3" t="s">
        <v>1053</v>
      </c>
    </row>
    <row r="144" spans="1:59" ht="71.25" x14ac:dyDescent="0.45">
      <c r="A144" s="2" t="s">
        <v>59</v>
      </c>
      <c r="B144" s="2" t="s">
        <v>60</v>
      </c>
      <c r="C144" s="2" t="s">
        <v>1054</v>
      </c>
      <c r="D144" s="2" t="s">
        <v>1055</v>
      </c>
      <c r="E144" s="2" t="s">
        <v>1056</v>
      </c>
      <c r="G144" s="3" t="s">
        <v>62</v>
      </c>
      <c r="I144" s="3" t="s">
        <v>62</v>
      </c>
      <c r="J144" s="3" t="s">
        <v>62</v>
      </c>
      <c r="K144" s="3" t="s">
        <v>63</v>
      </c>
      <c r="L144" s="2" t="s">
        <v>1057</v>
      </c>
      <c r="M144" s="2" t="s">
        <v>1058</v>
      </c>
      <c r="N144" s="3" t="s">
        <v>1059</v>
      </c>
      <c r="P144" s="3" t="s">
        <v>65</v>
      </c>
      <c r="Q144" s="2" t="s">
        <v>1060</v>
      </c>
      <c r="R144" s="3" t="s">
        <v>66</v>
      </c>
      <c r="S144" s="4">
        <v>6</v>
      </c>
      <c r="T144" s="4">
        <v>6</v>
      </c>
      <c r="U144" s="5" t="s">
        <v>1061</v>
      </c>
      <c r="V144" s="5" t="s">
        <v>1061</v>
      </c>
      <c r="W144" s="5" t="s">
        <v>67</v>
      </c>
      <c r="X144" s="5" t="s">
        <v>67</v>
      </c>
      <c r="Y144" s="4">
        <v>137</v>
      </c>
      <c r="Z144" s="4">
        <v>17</v>
      </c>
      <c r="AA144" s="4">
        <v>82</v>
      </c>
      <c r="AB144" s="4">
        <v>2</v>
      </c>
      <c r="AC144" s="4">
        <v>14</v>
      </c>
      <c r="AD144" s="4">
        <v>56</v>
      </c>
      <c r="AE144" s="4">
        <v>109</v>
      </c>
      <c r="AF144" s="4">
        <v>1</v>
      </c>
      <c r="AG144" s="4">
        <v>8</v>
      </c>
      <c r="AH144" s="4">
        <v>49</v>
      </c>
      <c r="AI144" s="4">
        <v>75</v>
      </c>
      <c r="AJ144" s="4">
        <v>13</v>
      </c>
      <c r="AK144" s="4">
        <v>23</v>
      </c>
      <c r="AL144" s="4">
        <v>29</v>
      </c>
      <c r="AM144" s="4">
        <v>38</v>
      </c>
      <c r="AN144" s="4">
        <v>0</v>
      </c>
      <c r="AO144" s="4">
        <v>0</v>
      </c>
      <c r="AP144" s="4">
        <v>15</v>
      </c>
      <c r="AQ144" s="4">
        <v>44</v>
      </c>
      <c r="AR144" s="3" t="s">
        <v>62</v>
      </c>
      <c r="AS144" s="3" t="s">
        <v>62</v>
      </c>
      <c r="AT144" s="3" t="s">
        <v>62</v>
      </c>
      <c r="AV144" s="6" t="str">
        <f>HYPERLINK("http://mcgill.on.worldcat.org/oclc/70174885","Catalog Record")</f>
        <v>Catalog Record</v>
      </c>
      <c r="AW144" s="6" t="str">
        <f>HYPERLINK("http://www.worldcat.org/oclc/70174885","WorldCat Record")</f>
        <v>WorldCat Record</v>
      </c>
      <c r="AX144" s="3" t="s">
        <v>1062</v>
      </c>
      <c r="AY144" s="3" t="s">
        <v>1063</v>
      </c>
      <c r="AZ144" s="3" t="s">
        <v>1064</v>
      </c>
      <c r="BA144" s="3" t="s">
        <v>1064</v>
      </c>
      <c r="BB144" s="3" t="s">
        <v>1065</v>
      </c>
      <c r="BC144" s="3" t="s">
        <v>142</v>
      </c>
      <c r="BD144" s="3" t="s">
        <v>68</v>
      </c>
      <c r="BE144" s="3" t="s">
        <v>1066</v>
      </c>
      <c r="BF144" s="3" t="s">
        <v>1065</v>
      </c>
      <c r="BG144" s="3" t="s">
        <v>1067</v>
      </c>
    </row>
    <row r="145" spans="1:59" ht="57" x14ac:dyDescent="0.45">
      <c r="A145" s="2" t="s">
        <v>59</v>
      </c>
      <c r="B145" s="2" t="s">
        <v>60</v>
      </c>
      <c r="C145" s="2" t="s">
        <v>1068</v>
      </c>
      <c r="D145" s="2" t="s">
        <v>1069</v>
      </c>
      <c r="E145" s="2" t="s">
        <v>1070</v>
      </c>
      <c r="G145" s="3" t="s">
        <v>62</v>
      </c>
      <c r="I145" s="3" t="s">
        <v>62</v>
      </c>
      <c r="J145" s="3" t="s">
        <v>62</v>
      </c>
      <c r="K145" s="3" t="s">
        <v>63</v>
      </c>
      <c r="L145" s="2" t="s">
        <v>1071</v>
      </c>
      <c r="M145" s="2" t="s">
        <v>1072</v>
      </c>
      <c r="N145" s="3" t="s">
        <v>1073</v>
      </c>
      <c r="P145" s="3" t="s">
        <v>182</v>
      </c>
      <c r="Q145" s="2" t="s">
        <v>1074</v>
      </c>
      <c r="R145" s="3" t="s">
        <v>66</v>
      </c>
      <c r="S145" s="4">
        <v>3</v>
      </c>
      <c r="T145" s="4">
        <v>3</v>
      </c>
      <c r="U145" s="5" t="s">
        <v>1075</v>
      </c>
      <c r="V145" s="5" t="s">
        <v>1075</v>
      </c>
      <c r="W145" s="5" t="s">
        <v>67</v>
      </c>
      <c r="X145" s="5" t="s">
        <v>67</v>
      </c>
      <c r="Y145" s="4">
        <v>65</v>
      </c>
      <c r="Z145" s="4">
        <v>6</v>
      </c>
      <c r="AA145" s="4">
        <v>6</v>
      </c>
      <c r="AB145" s="4">
        <v>1</v>
      </c>
      <c r="AC145" s="4">
        <v>1</v>
      </c>
      <c r="AD145" s="4">
        <v>36</v>
      </c>
      <c r="AE145" s="4">
        <v>37</v>
      </c>
      <c r="AF145" s="4">
        <v>0</v>
      </c>
      <c r="AG145" s="4">
        <v>0</v>
      </c>
      <c r="AH145" s="4">
        <v>34</v>
      </c>
      <c r="AI145" s="4">
        <v>35</v>
      </c>
      <c r="AJ145" s="4">
        <v>4</v>
      </c>
      <c r="AK145" s="4">
        <v>4</v>
      </c>
      <c r="AL145" s="4">
        <v>23</v>
      </c>
      <c r="AM145" s="4">
        <v>24</v>
      </c>
      <c r="AN145" s="4">
        <v>0</v>
      </c>
      <c r="AO145" s="4">
        <v>0</v>
      </c>
      <c r="AP145" s="4">
        <v>4</v>
      </c>
      <c r="AQ145" s="4">
        <v>4</v>
      </c>
      <c r="AR145" s="3" t="s">
        <v>62</v>
      </c>
      <c r="AS145" s="3" t="s">
        <v>62</v>
      </c>
      <c r="AT145" s="3" t="s">
        <v>61</v>
      </c>
      <c r="AU145" s="6" t="str">
        <f>HYPERLINK("http://catalog.hathitrust.org/Record/000294799","HathiTrust Record")</f>
        <v>HathiTrust Record</v>
      </c>
      <c r="AV145" s="6" t="str">
        <f>HYPERLINK("http://mcgill.on.worldcat.org/oclc/3203947","Catalog Record")</f>
        <v>Catalog Record</v>
      </c>
      <c r="AW145" s="6" t="str">
        <f>HYPERLINK("http://www.worldcat.org/oclc/3203947","WorldCat Record")</f>
        <v>WorldCat Record</v>
      </c>
      <c r="AX145" s="3" t="s">
        <v>1076</v>
      </c>
      <c r="AY145" s="3" t="s">
        <v>1077</v>
      </c>
      <c r="AZ145" s="3" t="s">
        <v>1078</v>
      </c>
      <c r="BA145" s="3" t="s">
        <v>1078</v>
      </c>
      <c r="BB145" s="3" t="s">
        <v>1079</v>
      </c>
      <c r="BC145" s="3" t="s">
        <v>142</v>
      </c>
      <c r="BD145" s="3" t="s">
        <v>68</v>
      </c>
      <c r="BF145" s="3" t="s">
        <v>1079</v>
      </c>
      <c r="BG145" s="3" t="s">
        <v>1080</v>
      </c>
    </row>
    <row r="146" spans="1:59" ht="57" x14ac:dyDescent="0.45">
      <c r="A146" s="2" t="s">
        <v>59</v>
      </c>
      <c r="B146" s="2" t="s">
        <v>60</v>
      </c>
      <c r="C146" s="2" t="s">
        <v>1081</v>
      </c>
      <c r="D146" s="2" t="s">
        <v>1082</v>
      </c>
      <c r="E146" s="2" t="s">
        <v>1083</v>
      </c>
      <c r="G146" s="3" t="s">
        <v>62</v>
      </c>
      <c r="I146" s="3" t="s">
        <v>62</v>
      </c>
      <c r="J146" s="3" t="s">
        <v>62</v>
      </c>
      <c r="K146" s="3" t="s">
        <v>63</v>
      </c>
      <c r="L146" s="2" t="s">
        <v>1084</v>
      </c>
      <c r="M146" s="2" t="s">
        <v>1085</v>
      </c>
      <c r="N146" s="3" t="s">
        <v>84</v>
      </c>
      <c r="P146" s="3" t="s">
        <v>65</v>
      </c>
      <c r="R146" s="3" t="s">
        <v>66</v>
      </c>
      <c r="S146" s="4">
        <v>9</v>
      </c>
      <c r="T146" s="4">
        <v>9</v>
      </c>
      <c r="U146" s="5" t="s">
        <v>1086</v>
      </c>
      <c r="V146" s="5" t="s">
        <v>1086</v>
      </c>
      <c r="W146" s="5" t="s">
        <v>67</v>
      </c>
      <c r="X146" s="5" t="s">
        <v>67</v>
      </c>
      <c r="Y146" s="4">
        <v>95</v>
      </c>
      <c r="Z146" s="4">
        <v>6</v>
      </c>
      <c r="AA146" s="4">
        <v>6</v>
      </c>
      <c r="AB146" s="4">
        <v>1</v>
      </c>
      <c r="AC146" s="4">
        <v>1</v>
      </c>
      <c r="AD146" s="4">
        <v>22</v>
      </c>
      <c r="AE146" s="4">
        <v>22</v>
      </c>
      <c r="AF146" s="4">
        <v>0</v>
      </c>
      <c r="AG146" s="4">
        <v>0</v>
      </c>
      <c r="AH146" s="4">
        <v>19</v>
      </c>
      <c r="AI146" s="4">
        <v>19</v>
      </c>
      <c r="AJ146" s="4">
        <v>5</v>
      </c>
      <c r="AK146" s="4">
        <v>5</v>
      </c>
      <c r="AL146" s="4">
        <v>12</v>
      </c>
      <c r="AM146" s="4">
        <v>12</v>
      </c>
      <c r="AN146" s="4">
        <v>0</v>
      </c>
      <c r="AO146" s="4">
        <v>0</v>
      </c>
      <c r="AP146" s="4">
        <v>5</v>
      </c>
      <c r="AQ146" s="4">
        <v>5</v>
      </c>
      <c r="AR146" s="3" t="s">
        <v>62</v>
      </c>
      <c r="AS146" s="3" t="s">
        <v>62</v>
      </c>
      <c r="AT146" s="3" t="s">
        <v>62</v>
      </c>
      <c r="AV146" s="6" t="str">
        <f>HYPERLINK("http://mcgill.on.worldcat.org/oclc/27885225","Catalog Record")</f>
        <v>Catalog Record</v>
      </c>
      <c r="AW146" s="6" t="str">
        <f>HYPERLINK("http://www.worldcat.org/oclc/27885225","WorldCat Record")</f>
        <v>WorldCat Record</v>
      </c>
      <c r="AX146" s="3" t="s">
        <v>1087</v>
      </c>
      <c r="AY146" s="3" t="s">
        <v>1088</v>
      </c>
      <c r="AZ146" s="3" t="s">
        <v>1089</v>
      </c>
      <c r="BA146" s="3" t="s">
        <v>1089</v>
      </c>
      <c r="BB146" s="3" t="s">
        <v>1090</v>
      </c>
      <c r="BC146" s="3" t="s">
        <v>142</v>
      </c>
      <c r="BD146" s="3" t="s">
        <v>68</v>
      </c>
      <c r="BE146" s="3" t="s">
        <v>1091</v>
      </c>
      <c r="BF146" s="3" t="s">
        <v>1090</v>
      </c>
      <c r="BG146" s="3" t="s">
        <v>1092</v>
      </c>
    </row>
    <row r="147" spans="1:59" ht="57" x14ac:dyDescent="0.45">
      <c r="A147" s="2" t="s">
        <v>59</v>
      </c>
      <c r="B147" s="2" t="s">
        <v>60</v>
      </c>
      <c r="C147" s="2" t="s">
        <v>1093</v>
      </c>
      <c r="D147" s="2" t="s">
        <v>1094</v>
      </c>
      <c r="E147" s="2" t="s">
        <v>1095</v>
      </c>
      <c r="G147" s="3" t="s">
        <v>62</v>
      </c>
      <c r="I147" s="3" t="s">
        <v>62</v>
      </c>
      <c r="J147" s="3" t="s">
        <v>62</v>
      </c>
      <c r="K147" s="3" t="s">
        <v>63</v>
      </c>
      <c r="M147" s="2" t="s">
        <v>1096</v>
      </c>
      <c r="N147" s="3" t="s">
        <v>1097</v>
      </c>
      <c r="P147" s="3" t="s">
        <v>65</v>
      </c>
      <c r="Q147" s="2" t="s">
        <v>1098</v>
      </c>
      <c r="R147" s="3" t="s">
        <v>66</v>
      </c>
      <c r="S147" s="4">
        <v>12</v>
      </c>
      <c r="T147" s="4">
        <v>12</v>
      </c>
      <c r="U147" s="5" t="s">
        <v>1099</v>
      </c>
      <c r="V147" s="5" t="s">
        <v>1099</v>
      </c>
      <c r="W147" s="5" t="s">
        <v>67</v>
      </c>
      <c r="X147" s="5" t="s">
        <v>67</v>
      </c>
      <c r="Y147" s="4">
        <v>437</v>
      </c>
      <c r="Z147" s="4">
        <v>30</v>
      </c>
      <c r="AA147" s="4">
        <v>57</v>
      </c>
      <c r="AB147" s="4">
        <v>1</v>
      </c>
      <c r="AC147" s="4">
        <v>8</v>
      </c>
      <c r="AD147" s="4">
        <v>111</v>
      </c>
      <c r="AE147" s="4">
        <v>139</v>
      </c>
      <c r="AF147" s="4">
        <v>0</v>
      </c>
      <c r="AG147" s="4">
        <v>5</v>
      </c>
      <c r="AH147" s="4">
        <v>94</v>
      </c>
      <c r="AI147" s="4">
        <v>108</v>
      </c>
      <c r="AJ147" s="4">
        <v>14</v>
      </c>
      <c r="AK147" s="4">
        <v>22</v>
      </c>
      <c r="AL147" s="4">
        <v>49</v>
      </c>
      <c r="AM147" s="4">
        <v>56</v>
      </c>
      <c r="AN147" s="4">
        <v>0</v>
      </c>
      <c r="AO147" s="4">
        <v>0</v>
      </c>
      <c r="AP147" s="4">
        <v>24</v>
      </c>
      <c r="AQ147" s="4">
        <v>40</v>
      </c>
      <c r="AR147" s="3" t="s">
        <v>62</v>
      </c>
      <c r="AS147" s="3" t="s">
        <v>62</v>
      </c>
      <c r="AT147" s="3" t="s">
        <v>62</v>
      </c>
      <c r="AV147" s="6" t="str">
        <f>HYPERLINK("http://mcgill.on.worldcat.org/oclc/52471583","Catalog Record")</f>
        <v>Catalog Record</v>
      </c>
      <c r="AW147" s="6" t="str">
        <f>HYPERLINK("http://www.worldcat.org/oclc/52471583","WorldCat Record")</f>
        <v>WorldCat Record</v>
      </c>
      <c r="AX147" s="3" t="s">
        <v>1100</v>
      </c>
      <c r="AY147" s="3" t="s">
        <v>1101</v>
      </c>
      <c r="AZ147" s="3" t="s">
        <v>1102</v>
      </c>
      <c r="BA147" s="3" t="s">
        <v>1102</v>
      </c>
      <c r="BB147" s="3" t="s">
        <v>1103</v>
      </c>
      <c r="BC147" s="3" t="s">
        <v>142</v>
      </c>
      <c r="BD147" s="3" t="s">
        <v>68</v>
      </c>
      <c r="BE147" s="3" t="s">
        <v>1104</v>
      </c>
      <c r="BF147" s="3" t="s">
        <v>1103</v>
      </c>
      <c r="BG147" s="3" t="s">
        <v>1105</v>
      </c>
    </row>
    <row r="148" spans="1:59" ht="57" x14ac:dyDescent="0.45">
      <c r="A148" s="2" t="s">
        <v>59</v>
      </c>
      <c r="B148" s="2" t="s">
        <v>60</v>
      </c>
      <c r="C148" s="2" t="s">
        <v>1106</v>
      </c>
      <c r="D148" s="2" t="s">
        <v>1107</v>
      </c>
      <c r="E148" s="2" t="s">
        <v>1108</v>
      </c>
      <c r="G148" s="3" t="s">
        <v>62</v>
      </c>
      <c r="I148" s="3" t="s">
        <v>62</v>
      </c>
      <c r="J148" s="3" t="s">
        <v>62</v>
      </c>
      <c r="K148" s="3" t="s">
        <v>63</v>
      </c>
      <c r="M148" s="2" t="s">
        <v>1109</v>
      </c>
      <c r="N148" s="3" t="s">
        <v>568</v>
      </c>
      <c r="P148" s="3" t="s">
        <v>65</v>
      </c>
      <c r="R148" s="3" t="s">
        <v>66</v>
      </c>
      <c r="S148" s="4">
        <v>71</v>
      </c>
      <c r="T148" s="4">
        <v>71</v>
      </c>
      <c r="U148" s="5" t="s">
        <v>1110</v>
      </c>
      <c r="V148" s="5" t="s">
        <v>1110</v>
      </c>
      <c r="W148" s="5" t="s">
        <v>67</v>
      </c>
      <c r="X148" s="5" t="s">
        <v>67</v>
      </c>
      <c r="Y148" s="4">
        <v>761</v>
      </c>
      <c r="Z148" s="4">
        <v>40</v>
      </c>
      <c r="AA148" s="4">
        <v>46</v>
      </c>
      <c r="AB148" s="4">
        <v>3</v>
      </c>
      <c r="AC148" s="4">
        <v>8</v>
      </c>
      <c r="AD148" s="4">
        <v>133</v>
      </c>
      <c r="AE148" s="4">
        <v>138</v>
      </c>
      <c r="AF148" s="4">
        <v>1</v>
      </c>
      <c r="AG148" s="4">
        <v>5</v>
      </c>
      <c r="AH148" s="4">
        <v>110</v>
      </c>
      <c r="AI148" s="4">
        <v>111</v>
      </c>
      <c r="AJ148" s="4">
        <v>19</v>
      </c>
      <c r="AK148" s="4">
        <v>24</v>
      </c>
      <c r="AL148" s="4">
        <v>60</v>
      </c>
      <c r="AM148" s="4">
        <v>60</v>
      </c>
      <c r="AN148" s="4">
        <v>0</v>
      </c>
      <c r="AO148" s="4">
        <v>0</v>
      </c>
      <c r="AP148" s="4">
        <v>31</v>
      </c>
      <c r="AQ148" s="4">
        <v>35</v>
      </c>
      <c r="AR148" s="3" t="s">
        <v>62</v>
      </c>
      <c r="AS148" s="3" t="s">
        <v>62</v>
      </c>
      <c r="AT148" s="3" t="s">
        <v>62</v>
      </c>
      <c r="AV148" s="6" t="str">
        <f>HYPERLINK("http://mcgill.on.worldcat.org/oclc/13860683","Catalog Record")</f>
        <v>Catalog Record</v>
      </c>
      <c r="AW148" s="6" t="str">
        <f>HYPERLINK("http://www.worldcat.org/oclc/13860683","WorldCat Record")</f>
        <v>WorldCat Record</v>
      </c>
      <c r="AX148" s="3" t="s">
        <v>1111</v>
      </c>
      <c r="AY148" s="3" t="s">
        <v>1112</v>
      </c>
      <c r="AZ148" s="3" t="s">
        <v>1113</v>
      </c>
      <c r="BA148" s="3" t="s">
        <v>1113</v>
      </c>
      <c r="BB148" s="3" t="s">
        <v>1114</v>
      </c>
      <c r="BC148" s="3" t="s">
        <v>142</v>
      </c>
      <c r="BD148" s="3" t="s">
        <v>68</v>
      </c>
      <c r="BE148" s="3" t="s">
        <v>1115</v>
      </c>
      <c r="BF148" s="3" t="s">
        <v>1114</v>
      </c>
      <c r="BG148" s="3" t="s">
        <v>1116</v>
      </c>
    </row>
    <row r="149" spans="1:59" ht="57" x14ac:dyDescent="0.45">
      <c r="A149" s="2" t="s">
        <v>59</v>
      </c>
      <c r="B149" s="2" t="s">
        <v>60</v>
      </c>
      <c r="C149" s="2" t="s">
        <v>1117</v>
      </c>
      <c r="D149" s="2" t="s">
        <v>1118</v>
      </c>
      <c r="E149" s="2" t="s">
        <v>1119</v>
      </c>
      <c r="G149" s="3" t="s">
        <v>62</v>
      </c>
      <c r="I149" s="3" t="s">
        <v>62</v>
      </c>
      <c r="J149" s="3" t="s">
        <v>62</v>
      </c>
      <c r="K149" s="3" t="s">
        <v>63</v>
      </c>
      <c r="M149" s="2" t="s">
        <v>1120</v>
      </c>
      <c r="N149" s="3" t="s">
        <v>894</v>
      </c>
      <c r="P149" s="3" t="s">
        <v>65</v>
      </c>
      <c r="Q149" s="2" t="s">
        <v>1121</v>
      </c>
      <c r="R149" s="3" t="s">
        <v>66</v>
      </c>
      <c r="S149" s="4">
        <v>0</v>
      </c>
      <c r="T149" s="4">
        <v>0</v>
      </c>
      <c r="W149" s="5" t="s">
        <v>67</v>
      </c>
      <c r="X149" s="5" t="s">
        <v>67</v>
      </c>
      <c r="Y149" s="4">
        <v>66</v>
      </c>
      <c r="Z149" s="4">
        <v>13</v>
      </c>
      <c r="AA149" s="4">
        <v>45</v>
      </c>
      <c r="AB149" s="4">
        <v>2</v>
      </c>
      <c r="AC149" s="4">
        <v>8</v>
      </c>
      <c r="AD149" s="4">
        <v>30</v>
      </c>
      <c r="AE149" s="4">
        <v>47</v>
      </c>
      <c r="AF149" s="4">
        <v>1</v>
      </c>
      <c r="AG149" s="4">
        <v>2</v>
      </c>
      <c r="AH149" s="4">
        <v>25</v>
      </c>
      <c r="AI149" s="4">
        <v>33</v>
      </c>
      <c r="AJ149" s="4">
        <v>7</v>
      </c>
      <c r="AK149" s="4">
        <v>10</v>
      </c>
      <c r="AL149" s="4">
        <v>17</v>
      </c>
      <c r="AM149" s="4">
        <v>22</v>
      </c>
      <c r="AN149" s="4">
        <v>0</v>
      </c>
      <c r="AO149" s="4">
        <v>0</v>
      </c>
      <c r="AP149" s="4">
        <v>9</v>
      </c>
      <c r="AQ149" s="4">
        <v>18</v>
      </c>
      <c r="AR149" s="3" t="s">
        <v>62</v>
      </c>
      <c r="AS149" s="3" t="s">
        <v>62</v>
      </c>
      <c r="AT149" s="3" t="s">
        <v>62</v>
      </c>
      <c r="AV149" s="6" t="str">
        <f>HYPERLINK("http://mcgill.on.worldcat.org/oclc/713987869","Catalog Record")</f>
        <v>Catalog Record</v>
      </c>
      <c r="AW149" s="6" t="str">
        <f>HYPERLINK("http://www.worldcat.org/oclc/713987869","WorldCat Record")</f>
        <v>WorldCat Record</v>
      </c>
      <c r="AX149" s="3" t="s">
        <v>1122</v>
      </c>
      <c r="AY149" s="3" t="s">
        <v>1123</v>
      </c>
      <c r="AZ149" s="3" t="s">
        <v>1124</v>
      </c>
      <c r="BA149" s="3" t="s">
        <v>1124</v>
      </c>
      <c r="BB149" s="3" t="s">
        <v>1125</v>
      </c>
      <c r="BC149" s="3" t="s">
        <v>142</v>
      </c>
      <c r="BD149" s="3" t="s">
        <v>68</v>
      </c>
      <c r="BE149" s="3" t="s">
        <v>1126</v>
      </c>
      <c r="BF149" s="3" t="s">
        <v>1125</v>
      </c>
      <c r="BG149" s="3" t="s">
        <v>1127</v>
      </c>
    </row>
    <row r="150" spans="1:59" ht="57" x14ac:dyDescent="0.45">
      <c r="A150" s="2" t="s">
        <v>59</v>
      </c>
      <c r="B150" s="2" t="s">
        <v>60</v>
      </c>
      <c r="C150" s="2" t="s">
        <v>1128</v>
      </c>
      <c r="D150" s="2" t="s">
        <v>1129</v>
      </c>
      <c r="E150" s="2" t="s">
        <v>1130</v>
      </c>
      <c r="G150" s="3" t="s">
        <v>62</v>
      </c>
      <c r="I150" s="3" t="s">
        <v>62</v>
      </c>
      <c r="J150" s="3" t="s">
        <v>62</v>
      </c>
      <c r="K150" s="3" t="s">
        <v>63</v>
      </c>
      <c r="L150" s="2" t="s">
        <v>1131</v>
      </c>
      <c r="M150" s="2" t="s">
        <v>1132</v>
      </c>
      <c r="N150" s="3" t="s">
        <v>1097</v>
      </c>
      <c r="P150" s="3" t="s">
        <v>65</v>
      </c>
      <c r="Q150" s="2" t="s">
        <v>1133</v>
      </c>
      <c r="R150" s="3" t="s">
        <v>66</v>
      </c>
      <c r="S150" s="4">
        <v>9</v>
      </c>
      <c r="T150" s="4">
        <v>9</v>
      </c>
      <c r="U150" s="5" t="s">
        <v>1134</v>
      </c>
      <c r="V150" s="5" t="s">
        <v>1134</v>
      </c>
      <c r="W150" s="5" t="s">
        <v>67</v>
      </c>
      <c r="X150" s="5" t="s">
        <v>67</v>
      </c>
      <c r="Y150" s="4">
        <v>68</v>
      </c>
      <c r="Z150" s="4">
        <v>20</v>
      </c>
      <c r="AA150" s="4">
        <v>123</v>
      </c>
      <c r="AB150" s="4">
        <v>1</v>
      </c>
      <c r="AC150" s="4">
        <v>22</v>
      </c>
      <c r="AD150" s="4">
        <v>34</v>
      </c>
      <c r="AE150" s="4">
        <v>113</v>
      </c>
      <c r="AF150" s="4">
        <v>0</v>
      </c>
      <c r="AG150" s="4">
        <v>9</v>
      </c>
      <c r="AH150" s="4">
        <v>27</v>
      </c>
      <c r="AI150" s="4">
        <v>66</v>
      </c>
      <c r="AJ150" s="4">
        <v>11</v>
      </c>
      <c r="AK150" s="4">
        <v>28</v>
      </c>
      <c r="AL150" s="4">
        <v>12</v>
      </c>
      <c r="AM150" s="4">
        <v>30</v>
      </c>
      <c r="AN150" s="4">
        <v>0</v>
      </c>
      <c r="AO150" s="4">
        <v>0</v>
      </c>
      <c r="AP150" s="4">
        <v>13</v>
      </c>
      <c r="AQ150" s="4">
        <v>56</v>
      </c>
      <c r="AR150" s="3" t="s">
        <v>61</v>
      </c>
      <c r="AS150" s="3" t="s">
        <v>62</v>
      </c>
      <c r="AT150" s="3" t="s">
        <v>61</v>
      </c>
      <c r="AU150" s="6" t="str">
        <f>HYPERLINK("http://catalog.hathitrust.org/Record/009801028","HathiTrust Record")</f>
        <v>HathiTrust Record</v>
      </c>
      <c r="AV150" s="6" t="str">
        <f>HYPERLINK("http://mcgill.on.worldcat.org/oclc/53822044","Catalog Record")</f>
        <v>Catalog Record</v>
      </c>
      <c r="AW150" s="6" t="str">
        <f>HYPERLINK("http://www.worldcat.org/oclc/53822044","WorldCat Record")</f>
        <v>WorldCat Record</v>
      </c>
      <c r="AX150" s="3" t="s">
        <v>1135</v>
      </c>
      <c r="AY150" s="3" t="s">
        <v>1136</v>
      </c>
      <c r="AZ150" s="3" t="s">
        <v>1137</v>
      </c>
      <c r="BA150" s="3" t="s">
        <v>1137</v>
      </c>
      <c r="BB150" s="3" t="s">
        <v>1138</v>
      </c>
      <c r="BC150" s="3" t="s">
        <v>142</v>
      </c>
      <c r="BD150" s="3" t="s">
        <v>68</v>
      </c>
      <c r="BE150" s="3" t="s">
        <v>1139</v>
      </c>
      <c r="BF150" s="3" t="s">
        <v>1138</v>
      </c>
      <c r="BG150" s="3" t="s">
        <v>1140</v>
      </c>
    </row>
    <row r="151" spans="1:59" ht="57" x14ac:dyDescent="0.45">
      <c r="A151" s="2" t="s">
        <v>59</v>
      </c>
      <c r="B151" s="2" t="s">
        <v>60</v>
      </c>
      <c r="C151" s="2" t="s">
        <v>1141</v>
      </c>
      <c r="D151" s="2" t="s">
        <v>1142</v>
      </c>
      <c r="E151" s="2" t="s">
        <v>1143</v>
      </c>
      <c r="G151" s="3" t="s">
        <v>62</v>
      </c>
      <c r="I151" s="3" t="s">
        <v>62</v>
      </c>
      <c r="J151" s="3" t="s">
        <v>62</v>
      </c>
      <c r="K151" s="3" t="s">
        <v>63</v>
      </c>
      <c r="L151" s="2" t="s">
        <v>1131</v>
      </c>
      <c r="M151" s="2" t="s">
        <v>1144</v>
      </c>
      <c r="N151" s="3" t="s">
        <v>820</v>
      </c>
      <c r="P151" s="3" t="s">
        <v>65</v>
      </c>
      <c r="R151" s="3" t="s">
        <v>66</v>
      </c>
      <c r="S151" s="4">
        <v>4</v>
      </c>
      <c r="T151" s="4">
        <v>4</v>
      </c>
      <c r="U151" s="5" t="s">
        <v>1134</v>
      </c>
      <c r="V151" s="5" t="s">
        <v>1134</v>
      </c>
      <c r="W151" s="5" t="s">
        <v>67</v>
      </c>
      <c r="X151" s="5" t="s">
        <v>67</v>
      </c>
      <c r="Y151" s="4">
        <v>28</v>
      </c>
      <c r="Z151" s="4">
        <v>20</v>
      </c>
      <c r="AA151" s="4">
        <v>21</v>
      </c>
      <c r="AB151" s="4">
        <v>2</v>
      </c>
      <c r="AC151" s="4">
        <v>3</v>
      </c>
      <c r="AD151" s="4">
        <v>14</v>
      </c>
      <c r="AE151" s="4">
        <v>15</v>
      </c>
      <c r="AF151" s="4">
        <v>1</v>
      </c>
      <c r="AG151" s="4">
        <v>1</v>
      </c>
      <c r="AH151" s="4">
        <v>7</v>
      </c>
      <c r="AI151" s="4">
        <v>8</v>
      </c>
      <c r="AJ151" s="4">
        <v>9</v>
      </c>
      <c r="AK151" s="4">
        <v>9</v>
      </c>
      <c r="AL151" s="4">
        <v>3</v>
      </c>
      <c r="AM151" s="4">
        <v>3</v>
      </c>
      <c r="AN151" s="4">
        <v>0</v>
      </c>
      <c r="AO151" s="4">
        <v>0</v>
      </c>
      <c r="AP151" s="4">
        <v>11</v>
      </c>
      <c r="AQ151" s="4">
        <v>11</v>
      </c>
      <c r="AR151" s="3" t="s">
        <v>61</v>
      </c>
      <c r="AS151" s="3" t="s">
        <v>62</v>
      </c>
      <c r="AT151" s="3" t="s">
        <v>62</v>
      </c>
      <c r="AV151" s="6" t="str">
        <f>HYPERLINK("http://mcgill.on.worldcat.org/oclc/226659679","Catalog Record")</f>
        <v>Catalog Record</v>
      </c>
      <c r="AW151" s="6" t="str">
        <f>HYPERLINK("http://www.worldcat.org/oclc/226659679","WorldCat Record")</f>
        <v>WorldCat Record</v>
      </c>
      <c r="AX151" s="3" t="s">
        <v>1145</v>
      </c>
      <c r="AY151" s="3" t="s">
        <v>1146</v>
      </c>
      <c r="AZ151" s="3" t="s">
        <v>1147</v>
      </c>
      <c r="BA151" s="3" t="s">
        <v>1147</v>
      </c>
      <c r="BB151" s="3" t="s">
        <v>1148</v>
      </c>
      <c r="BC151" s="3" t="s">
        <v>142</v>
      </c>
      <c r="BD151" s="3" t="s">
        <v>68</v>
      </c>
      <c r="BE151" s="3" t="s">
        <v>1149</v>
      </c>
      <c r="BF151" s="3" t="s">
        <v>1148</v>
      </c>
      <c r="BG151" s="3" t="s">
        <v>1150</v>
      </c>
    </row>
    <row r="152" spans="1:59" ht="57" x14ac:dyDescent="0.45">
      <c r="A152" s="2" t="s">
        <v>59</v>
      </c>
      <c r="B152" s="2" t="s">
        <v>60</v>
      </c>
      <c r="C152" s="2" t="s">
        <v>1151</v>
      </c>
      <c r="D152" s="2" t="s">
        <v>1152</v>
      </c>
      <c r="E152" s="2" t="s">
        <v>1153</v>
      </c>
      <c r="G152" s="3" t="s">
        <v>62</v>
      </c>
      <c r="I152" s="3" t="s">
        <v>62</v>
      </c>
      <c r="J152" s="3" t="s">
        <v>62</v>
      </c>
      <c r="K152" s="3" t="s">
        <v>63</v>
      </c>
      <c r="L152" s="2" t="s">
        <v>1131</v>
      </c>
      <c r="M152" s="2" t="s">
        <v>1154</v>
      </c>
      <c r="N152" s="3" t="s">
        <v>1155</v>
      </c>
      <c r="P152" s="3" t="s">
        <v>65</v>
      </c>
      <c r="R152" s="3" t="s">
        <v>66</v>
      </c>
      <c r="S152" s="4">
        <v>4</v>
      </c>
      <c r="T152" s="4">
        <v>4</v>
      </c>
      <c r="U152" s="5" t="s">
        <v>1156</v>
      </c>
      <c r="V152" s="5" t="s">
        <v>1156</v>
      </c>
      <c r="W152" s="5" t="s">
        <v>67</v>
      </c>
      <c r="X152" s="5" t="s">
        <v>67</v>
      </c>
      <c r="Y152" s="4">
        <v>21</v>
      </c>
      <c r="Z152" s="4">
        <v>10</v>
      </c>
      <c r="AA152" s="4">
        <v>11</v>
      </c>
      <c r="AB152" s="4">
        <v>1</v>
      </c>
      <c r="AC152" s="4">
        <v>2</v>
      </c>
      <c r="AD152" s="4">
        <v>9</v>
      </c>
      <c r="AE152" s="4">
        <v>10</v>
      </c>
      <c r="AF152" s="4">
        <v>0</v>
      </c>
      <c r="AG152" s="4">
        <v>1</v>
      </c>
      <c r="AH152" s="4">
        <v>3</v>
      </c>
      <c r="AI152" s="4">
        <v>4</v>
      </c>
      <c r="AJ152" s="4">
        <v>3</v>
      </c>
      <c r="AK152" s="4">
        <v>4</v>
      </c>
      <c r="AL152" s="4">
        <v>3</v>
      </c>
      <c r="AM152" s="4">
        <v>3</v>
      </c>
      <c r="AN152" s="4">
        <v>0</v>
      </c>
      <c r="AO152" s="4">
        <v>0</v>
      </c>
      <c r="AP152" s="4">
        <v>5</v>
      </c>
      <c r="AQ152" s="4">
        <v>6</v>
      </c>
      <c r="AR152" s="3" t="s">
        <v>61</v>
      </c>
      <c r="AS152" s="3" t="s">
        <v>62</v>
      </c>
      <c r="AT152" s="3" t="s">
        <v>62</v>
      </c>
      <c r="AV152" s="6" t="str">
        <f>HYPERLINK("http://mcgill.on.worldcat.org/oclc/801167254","Catalog Record")</f>
        <v>Catalog Record</v>
      </c>
      <c r="AW152" s="6" t="str">
        <f>HYPERLINK("http://www.worldcat.org/oclc/801167254","WorldCat Record")</f>
        <v>WorldCat Record</v>
      </c>
      <c r="AX152" s="3" t="s">
        <v>1157</v>
      </c>
      <c r="AY152" s="3" t="s">
        <v>1158</v>
      </c>
      <c r="AZ152" s="3" t="s">
        <v>1159</v>
      </c>
      <c r="BA152" s="3" t="s">
        <v>1159</v>
      </c>
      <c r="BB152" s="3" t="s">
        <v>1160</v>
      </c>
      <c r="BC152" s="3" t="s">
        <v>142</v>
      </c>
      <c r="BD152" s="3" t="s">
        <v>68</v>
      </c>
      <c r="BE152" s="3" t="s">
        <v>1161</v>
      </c>
      <c r="BF152" s="3" t="s">
        <v>1160</v>
      </c>
      <c r="BG152" s="3" t="s">
        <v>1162</v>
      </c>
    </row>
    <row r="153" spans="1:59" ht="57" x14ac:dyDescent="0.45">
      <c r="A153" s="2" t="s">
        <v>59</v>
      </c>
      <c r="B153" s="2" t="s">
        <v>60</v>
      </c>
      <c r="C153" s="2" t="s">
        <v>1163</v>
      </c>
      <c r="D153" s="2" t="s">
        <v>1164</v>
      </c>
      <c r="E153" s="2" t="s">
        <v>1165</v>
      </c>
      <c r="G153" s="3" t="s">
        <v>62</v>
      </c>
      <c r="I153" s="3" t="s">
        <v>62</v>
      </c>
      <c r="J153" s="3" t="s">
        <v>62</v>
      </c>
      <c r="K153" s="3" t="s">
        <v>63</v>
      </c>
      <c r="L153" s="2" t="s">
        <v>1166</v>
      </c>
      <c r="M153" s="2" t="s">
        <v>1167</v>
      </c>
      <c r="N153" s="3" t="s">
        <v>149</v>
      </c>
      <c r="P153" s="3" t="s">
        <v>65</v>
      </c>
      <c r="R153" s="3" t="s">
        <v>66</v>
      </c>
      <c r="S153" s="4">
        <v>23</v>
      </c>
      <c r="T153" s="4">
        <v>23</v>
      </c>
      <c r="U153" s="5" t="s">
        <v>1168</v>
      </c>
      <c r="V153" s="5" t="s">
        <v>1168</v>
      </c>
      <c r="W153" s="5" t="s">
        <v>67</v>
      </c>
      <c r="X153" s="5" t="s">
        <v>67</v>
      </c>
      <c r="Y153" s="4">
        <v>135</v>
      </c>
      <c r="Z153" s="4">
        <v>12</v>
      </c>
      <c r="AA153" s="4">
        <v>12</v>
      </c>
      <c r="AB153" s="4">
        <v>1</v>
      </c>
      <c r="AC153" s="4">
        <v>1</v>
      </c>
      <c r="AD153" s="4">
        <v>31</v>
      </c>
      <c r="AE153" s="4">
        <v>31</v>
      </c>
      <c r="AF153" s="4">
        <v>0</v>
      </c>
      <c r="AG153" s="4">
        <v>0</v>
      </c>
      <c r="AH153" s="4">
        <v>29</v>
      </c>
      <c r="AI153" s="4">
        <v>29</v>
      </c>
      <c r="AJ153" s="4">
        <v>9</v>
      </c>
      <c r="AK153" s="4">
        <v>9</v>
      </c>
      <c r="AL153" s="4">
        <v>16</v>
      </c>
      <c r="AM153" s="4">
        <v>16</v>
      </c>
      <c r="AN153" s="4">
        <v>0</v>
      </c>
      <c r="AO153" s="4">
        <v>0</v>
      </c>
      <c r="AP153" s="4">
        <v>9</v>
      </c>
      <c r="AQ153" s="4">
        <v>9</v>
      </c>
      <c r="AR153" s="3" t="s">
        <v>62</v>
      </c>
      <c r="AS153" s="3" t="s">
        <v>62</v>
      </c>
      <c r="AT153" s="3" t="s">
        <v>62</v>
      </c>
      <c r="AV153" s="6" t="str">
        <f>HYPERLINK("http://mcgill.on.worldcat.org/oclc/520727800","Catalog Record")</f>
        <v>Catalog Record</v>
      </c>
      <c r="AW153" s="6" t="str">
        <f>HYPERLINK("http://www.worldcat.org/oclc/520727800","WorldCat Record")</f>
        <v>WorldCat Record</v>
      </c>
      <c r="AX153" s="3" t="s">
        <v>1169</v>
      </c>
      <c r="AY153" s="3" t="s">
        <v>1170</v>
      </c>
      <c r="AZ153" s="3" t="s">
        <v>1171</v>
      </c>
      <c r="BA153" s="3" t="s">
        <v>1171</v>
      </c>
      <c r="BB153" s="3" t="s">
        <v>1172</v>
      </c>
      <c r="BC153" s="3" t="s">
        <v>142</v>
      </c>
      <c r="BD153" s="3" t="s">
        <v>308</v>
      </c>
      <c r="BE153" s="3" t="s">
        <v>1173</v>
      </c>
      <c r="BF153" s="3" t="s">
        <v>1172</v>
      </c>
      <c r="BG153" s="3" t="s">
        <v>1174</v>
      </c>
    </row>
    <row r="154" spans="1:59" ht="57" x14ac:dyDescent="0.45">
      <c r="A154" s="2" t="s">
        <v>59</v>
      </c>
      <c r="B154" s="2" t="s">
        <v>60</v>
      </c>
      <c r="C154" s="2" t="s">
        <v>1175</v>
      </c>
      <c r="D154" s="2" t="s">
        <v>1176</v>
      </c>
      <c r="E154" s="2" t="s">
        <v>1177</v>
      </c>
      <c r="G154" s="3" t="s">
        <v>62</v>
      </c>
      <c r="I154" s="3" t="s">
        <v>62</v>
      </c>
      <c r="J154" s="3" t="s">
        <v>62</v>
      </c>
      <c r="K154" s="3" t="s">
        <v>63</v>
      </c>
      <c r="M154" s="2" t="s">
        <v>1178</v>
      </c>
      <c r="N154" s="3" t="s">
        <v>894</v>
      </c>
      <c r="P154" s="3" t="s">
        <v>65</v>
      </c>
      <c r="Q154" s="2" t="s">
        <v>1179</v>
      </c>
      <c r="R154" s="3" t="s">
        <v>66</v>
      </c>
      <c r="S154" s="4">
        <v>0</v>
      </c>
      <c r="T154" s="4">
        <v>0</v>
      </c>
      <c r="W154" s="5" t="s">
        <v>67</v>
      </c>
      <c r="X154" s="5" t="s">
        <v>67</v>
      </c>
      <c r="Y154" s="4">
        <v>82</v>
      </c>
      <c r="Z154" s="4">
        <v>8</v>
      </c>
      <c r="AA154" s="4">
        <v>88</v>
      </c>
      <c r="AB154" s="4">
        <v>1</v>
      </c>
      <c r="AC154" s="4">
        <v>17</v>
      </c>
      <c r="AD154" s="4">
        <v>27</v>
      </c>
      <c r="AE154" s="4">
        <v>106</v>
      </c>
      <c r="AF154" s="4">
        <v>0</v>
      </c>
      <c r="AG154" s="4">
        <v>8</v>
      </c>
      <c r="AH154" s="4">
        <v>25</v>
      </c>
      <c r="AI154" s="4">
        <v>70</v>
      </c>
      <c r="AJ154" s="4">
        <v>5</v>
      </c>
      <c r="AK154" s="4">
        <v>21</v>
      </c>
      <c r="AL154" s="4">
        <v>20</v>
      </c>
      <c r="AM154" s="4">
        <v>39</v>
      </c>
      <c r="AN154" s="4">
        <v>0</v>
      </c>
      <c r="AO154" s="4">
        <v>0</v>
      </c>
      <c r="AP154" s="4">
        <v>5</v>
      </c>
      <c r="AQ154" s="4">
        <v>42</v>
      </c>
      <c r="AR154" s="3" t="s">
        <v>62</v>
      </c>
      <c r="AS154" s="3" t="s">
        <v>62</v>
      </c>
      <c r="AT154" s="3" t="s">
        <v>62</v>
      </c>
      <c r="AV154" s="6" t="str">
        <f>HYPERLINK("http://mcgill.on.worldcat.org/oclc/717303796","Catalog Record")</f>
        <v>Catalog Record</v>
      </c>
      <c r="AW154" s="6" t="str">
        <f>HYPERLINK("http://www.worldcat.org/oclc/717303796","WorldCat Record")</f>
        <v>WorldCat Record</v>
      </c>
      <c r="AX154" s="3" t="s">
        <v>1180</v>
      </c>
      <c r="AY154" s="3" t="s">
        <v>1181</v>
      </c>
      <c r="AZ154" s="3" t="s">
        <v>1182</v>
      </c>
      <c r="BA154" s="3" t="s">
        <v>1182</v>
      </c>
      <c r="BB154" s="3" t="s">
        <v>1183</v>
      </c>
      <c r="BC154" s="3" t="s">
        <v>142</v>
      </c>
      <c r="BD154" s="3" t="s">
        <v>68</v>
      </c>
      <c r="BE154" s="3" t="s">
        <v>1184</v>
      </c>
      <c r="BF154" s="3" t="s">
        <v>1183</v>
      </c>
      <c r="BG154" s="3" t="s">
        <v>1185</v>
      </c>
    </row>
    <row r="155" spans="1:59" ht="57" x14ac:dyDescent="0.45">
      <c r="A155" s="2" t="s">
        <v>59</v>
      </c>
      <c r="B155" s="2" t="s">
        <v>60</v>
      </c>
      <c r="C155" s="2" t="s">
        <v>1186</v>
      </c>
      <c r="D155" s="2" t="s">
        <v>1187</v>
      </c>
      <c r="E155" s="2" t="s">
        <v>1188</v>
      </c>
      <c r="G155" s="3" t="s">
        <v>62</v>
      </c>
      <c r="I155" s="3" t="s">
        <v>62</v>
      </c>
      <c r="J155" s="3" t="s">
        <v>62</v>
      </c>
      <c r="K155" s="3" t="s">
        <v>63</v>
      </c>
      <c r="M155" s="2" t="s">
        <v>1189</v>
      </c>
      <c r="N155" s="3" t="s">
        <v>149</v>
      </c>
      <c r="P155" s="3" t="s">
        <v>65</v>
      </c>
      <c r="R155" s="3" t="s">
        <v>66</v>
      </c>
      <c r="S155" s="4">
        <v>0</v>
      </c>
      <c r="T155" s="4">
        <v>0</v>
      </c>
      <c r="W155" s="5" t="s">
        <v>67</v>
      </c>
      <c r="X155" s="5" t="s">
        <v>67</v>
      </c>
      <c r="Y155" s="4">
        <v>218</v>
      </c>
      <c r="Z155" s="4">
        <v>24</v>
      </c>
      <c r="AA155" s="4">
        <v>31</v>
      </c>
      <c r="AB155" s="4">
        <v>1</v>
      </c>
      <c r="AC155" s="4">
        <v>6</v>
      </c>
      <c r="AD155" s="4">
        <v>87</v>
      </c>
      <c r="AE155" s="4">
        <v>95</v>
      </c>
      <c r="AF155" s="4">
        <v>0</v>
      </c>
      <c r="AG155" s="4">
        <v>2</v>
      </c>
      <c r="AH155" s="4">
        <v>75</v>
      </c>
      <c r="AI155" s="4">
        <v>80</v>
      </c>
      <c r="AJ155" s="4">
        <v>16</v>
      </c>
      <c r="AK155" s="4">
        <v>19</v>
      </c>
      <c r="AL155" s="4">
        <v>41</v>
      </c>
      <c r="AM155" s="4">
        <v>44</v>
      </c>
      <c r="AN155" s="4">
        <v>0</v>
      </c>
      <c r="AO155" s="4">
        <v>0</v>
      </c>
      <c r="AP155" s="4">
        <v>20</v>
      </c>
      <c r="AQ155" s="4">
        <v>22</v>
      </c>
      <c r="AR155" s="3" t="s">
        <v>62</v>
      </c>
      <c r="AS155" s="3" t="s">
        <v>62</v>
      </c>
      <c r="AT155" s="3" t="s">
        <v>62</v>
      </c>
      <c r="AV155" s="6" t="str">
        <f>HYPERLINK("http://mcgill.on.worldcat.org/oclc/298781483","Catalog Record")</f>
        <v>Catalog Record</v>
      </c>
      <c r="AW155" s="6" t="str">
        <f>HYPERLINK("http://www.worldcat.org/oclc/298781483","WorldCat Record")</f>
        <v>WorldCat Record</v>
      </c>
      <c r="AX155" s="3" t="s">
        <v>1190</v>
      </c>
      <c r="AY155" s="3" t="s">
        <v>1191</v>
      </c>
      <c r="AZ155" s="3" t="s">
        <v>1192</v>
      </c>
      <c r="BA155" s="3" t="s">
        <v>1192</v>
      </c>
      <c r="BB155" s="3" t="s">
        <v>1193</v>
      </c>
      <c r="BC155" s="3" t="s">
        <v>142</v>
      </c>
      <c r="BD155" s="3" t="s">
        <v>68</v>
      </c>
      <c r="BE155" s="3" t="s">
        <v>1194</v>
      </c>
      <c r="BF155" s="3" t="s">
        <v>1193</v>
      </c>
      <c r="BG155" s="3" t="s">
        <v>1195</v>
      </c>
    </row>
    <row r="156" spans="1:59" ht="57" x14ac:dyDescent="0.45">
      <c r="A156" s="2" t="s">
        <v>59</v>
      </c>
      <c r="B156" s="2" t="s">
        <v>60</v>
      </c>
      <c r="C156" s="2" t="s">
        <v>1196</v>
      </c>
      <c r="D156" s="2" t="s">
        <v>1197</v>
      </c>
      <c r="E156" s="2" t="s">
        <v>1198</v>
      </c>
      <c r="G156" s="3" t="s">
        <v>62</v>
      </c>
      <c r="I156" s="3" t="s">
        <v>62</v>
      </c>
      <c r="J156" s="3" t="s">
        <v>62</v>
      </c>
      <c r="K156" s="3" t="s">
        <v>63</v>
      </c>
      <c r="L156" s="2" t="s">
        <v>1199</v>
      </c>
      <c r="M156" s="2" t="s">
        <v>1200</v>
      </c>
      <c r="N156" s="3" t="s">
        <v>1155</v>
      </c>
      <c r="O156" s="2" t="s">
        <v>168</v>
      </c>
      <c r="P156" s="3" t="s">
        <v>65</v>
      </c>
      <c r="R156" s="3" t="s">
        <v>66</v>
      </c>
      <c r="S156" s="4">
        <v>8</v>
      </c>
      <c r="T156" s="4">
        <v>8</v>
      </c>
      <c r="U156" s="5" t="s">
        <v>1201</v>
      </c>
      <c r="V156" s="5" t="s">
        <v>1201</v>
      </c>
      <c r="W156" s="5" t="s">
        <v>67</v>
      </c>
      <c r="X156" s="5" t="s">
        <v>67</v>
      </c>
      <c r="Y156" s="4">
        <v>660</v>
      </c>
      <c r="Z156" s="4">
        <v>38</v>
      </c>
      <c r="AA156" s="4">
        <v>52</v>
      </c>
      <c r="AB156" s="4">
        <v>4</v>
      </c>
      <c r="AC156" s="4">
        <v>8</v>
      </c>
      <c r="AD156" s="4">
        <v>90</v>
      </c>
      <c r="AE156" s="4">
        <v>104</v>
      </c>
      <c r="AF156" s="4">
        <v>1</v>
      </c>
      <c r="AG156" s="4">
        <v>2</v>
      </c>
      <c r="AH156" s="4">
        <v>77</v>
      </c>
      <c r="AI156" s="4">
        <v>88</v>
      </c>
      <c r="AJ156" s="4">
        <v>16</v>
      </c>
      <c r="AK156" s="4">
        <v>20</v>
      </c>
      <c r="AL156" s="4">
        <v>44</v>
      </c>
      <c r="AM156" s="4">
        <v>48</v>
      </c>
      <c r="AN156" s="4">
        <v>0</v>
      </c>
      <c r="AO156" s="4">
        <v>0</v>
      </c>
      <c r="AP156" s="4">
        <v>17</v>
      </c>
      <c r="AQ156" s="4">
        <v>22</v>
      </c>
      <c r="AR156" s="3" t="s">
        <v>62</v>
      </c>
      <c r="AS156" s="3" t="s">
        <v>62</v>
      </c>
      <c r="AT156" s="3" t="s">
        <v>62</v>
      </c>
      <c r="AV156" s="6" t="str">
        <f>HYPERLINK("http://mcgill.on.worldcat.org/oclc/719428388","Catalog Record")</f>
        <v>Catalog Record</v>
      </c>
      <c r="AW156" s="6" t="str">
        <f>HYPERLINK("http://www.worldcat.org/oclc/719428388","WorldCat Record")</f>
        <v>WorldCat Record</v>
      </c>
      <c r="AX156" s="3" t="s">
        <v>1202</v>
      </c>
      <c r="AY156" s="3" t="s">
        <v>1203</v>
      </c>
      <c r="AZ156" s="3" t="s">
        <v>1204</v>
      </c>
      <c r="BA156" s="3" t="s">
        <v>1204</v>
      </c>
      <c r="BB156" s="3" t="s">
        <v>1205</v>
      </c>
      <c r="BC156" s="3" t="s">
        <v>142</v>
      </c>
      <c r="BD156" s="3" t="s">
        <v>68</v>
      </c>
      <c r="BE156" s="3" t="s">
        <v>1206</v>
      </c>
      <c r="BF156" s="3" t="s">
        <v>1205</v>
      </c>
      <c r="BG156" s="3" t="s">
        <v>1207</v>
      </c>
    </row>
    <row r="157" spans="1:59" ht="57" x14ac:dyDescent="0.45">
      <c r="A157" s="2" t="s">
        <v>59</v>
      </c>
      <c r="B157" s="2" t="s">
        <v>60</v>
      </c>
      <c r="C157" s="2" t="s">
        <v>1208</v>
      </c>
      <c r="D157" s="2" t="s">
        <v>1209</v>
      </c>
      <c r="E157" s="2" t="s">
        <v>1210</v>
      </c>
      <c r="G157" s="3" t="s">
        <v>62</v>
      </c>
      <c r="I157" s="3" t="s">
        <v>62</v>
      </c>
      <c r="J157" s="3" t="s">
        <v>62</v>
      </c>
      <c r="K157" s="3" t="s">
        <v>63</v>
      </c>
      <c r="M157" s="2" t="s">
        <v>1211</v>
      </c>
      <c r="N157" s="3" t="s">
        <v>1212</v>
      </c>
      <c r="P157" s="3" t="s">
        <v>65</v>
      </c>
      <c r="Q157" s="2" t="s">
        <v>1213</v>
      </c>
      <c r="R157" s="3" t="s">
        <v>66</v>
      </c>
      <c r="S157" s="4">
        <v>29</v>
      </c>
      <c r="T157" s="4">
        <v>29</v>
      </c>
      <c r="U157" s="5" t="s">
        <v>869</v>
      </c>
      <c r="V157" s="5" t="s">
        <v>869</v>
      </c>
      <c r="W157" s="5" t="s">
        <v>67</v>
      </c>
      <c r="X157" s="5" t="s">
        <v>67</v>
      </c>
      <c r="Y157" s="4">
        <v>177</v>
      </c>
      <c r="Z157" s="4">
        <v>12</v>
      </c>
      <c r="AA157" s="4">
        <v>96</v>
      </c>
      <c r="AB157" s="4">
        <v>1</v>
      </c>
      <c r="AC157" s="4">
        <v>17</v>
      </c>
      <c r="AD157" s="4">
        <v>74</v>
      </c>
      <c r="AE157" s="4">
        <v>132</v>
      </c>
      <c r="AF157" s="4">
        <v>0</v>
      </c>
      <c r="AG157" s="4">
        <v>8</v>
      </c>
      <c r="AH157" s="4">
        <v>70</v>
      </c>
      <c r="AI157" s="4">
        <v>96</v>
      </c>
      <c r="AJ157" s="4">
        <v>10</v>
      </c>
      <c r="AK157" s="4">
        <v>24</v>
      </c>
      <c r="AL157" s="4">
        <v>43</v>
      </c>
      <c r="AM157" s="4">
        <v>52</v>
      </c>
      <c r="AN157" s="4">
        <v>0</v>
      </c>
      <c r="AO157" s="4">
        <v>0</v>
      </c>
      <c r="AP157" s="4">
        <v>10</v>
      </c>
      <c r="AQ157" s="4">
        <v>45</v>
      </c>
      <c r="AR157" s="3" t="s">
        <v>62</v>
      </c>
      <c r="AS157" s="3" t="s">
        <v>62</v>
      </c>
      <c r="AT157" s="3" t="s">
        <v>62</v>
      </c>
      <c r="AV157" s="6" t="str">
        <f>HYPERLINK("http://mcgill.on.worldcat.org/oclc/43323688","Catalog Record")</f>
        <v>Catalog Record</v>
      </c>
      <c r="AW157" s="6" t="str">
        <f>HYPERLINK("http://www.worldcat.org/oclc/43323688","WorldCat Record")</f>
        <v>WorldCat Record</v>
      </c>
      <c r="AX157" s="3" t="s">
        <v>1214</v>
      </c>
      <c r="AY157" s="3" t="s">
        <v>1215</v>
      </c>
      <c r="AZ157" s="3" t="s">
        <v>1216</v>
      </c>
      <c r="BA157" s="3" t="s">
        <v>1216</v>
      </c>
      <c r="BB157" s="3" t="s">
        <v>1217</v>
      </c>
      <c r="BC157" s="3" t="s">
        <v>142</v>
      </c>
      <c r="BD157" s="3" t="s">
        <v>308</v>
      </c>
      <c r="BE157" s="3" t="s">
        <v>1218</v>
      </c>
      <c r="BF157" s="3" t="s">
        <v>1217</v>
      </c>
      <c r="BG157" s="3" t="s">
        <v>1219</v>
      </c>
    </row>
    <row r="158" spans="1:59" ht="57" x14ac:dyDescent="0.45">
      <c r="A158" s="2" t="s">
        <v>59</v>
      </c>
      <c r="B158" s="2" t="s">
        <v>60</v>
      </c>
      <c r="C158" s="2" t="s">
        <v>1220</v>
      </c>
      <c r="D158" s="2" t="s">
        <v>1221</v>
      </c>
      <c r="E158" s="2" t="s">
        <v>1222</v>
      </c>
      <c r="G158" s="3" t="s">
        <v>62</v>
      </c>
      <c r="I158" s="3" t="s">
        <v>61</v>
      </c>
      <c r="J158" s="3" t="s">
        <v>62</v>
      </c>
      <c r="K158" s="3" t="s">
        <v>63</v>
      </c>
      <c r="M158" s="2" t="s">
        <v>1223</v>
      </c>
      <c r="N158" s="3" t="s">
        <v>1224</v>
      </c>
      <c r="P158" s="3" t="s">
        <v>65</v>
      </c>
      <c r="R158" s="3" t="s">
        <v>66</v>
      </c>
      <c r="S158" s="4">
        <v>0</v>
      </c>
      <c r="T158" s="4">
        <v>22</v>
      </c>
      <c r="V158" s="5" t="s">
        <v>1225</v>
      </c>
      <c r="W158" s="5" t="s">
        <v>67</v>
      </c>
      <c r="X158" s="5" t="s">
        <v>67</v>
      </c>
      <c r="Y158" s="4">
        <v>565</v>
      </c>
      <c r="Z158" s="4">
        <v>34</v>
      </c>
      <c r="AA158" s="4">
        <v>50</v>
      </c>
      <c r="AB158" s="4">
        <v>5</v>
      </c>
      <c r="AC158" s="4">
        <v>8</v>
      </c>
      <c r="AD158" s="4">
        <v>126</v>
      </c>
      <c r="AE158" s="4">
        <v>142</v>
      </c>
      <c r="AF158" s="4">
        <v>2</v>
      </c>
      <c r="AG158" s="4">
        <v>5</v>
      </c>
      <c r="AH158" s="4">
        <v>106</v>
      </c>
      <c r="AI158" s="4">
        <v>112</v>
      </c>
      <c r="AJ158" s="4">
        <v>19</v>
      </c>
      <c r="AK158" s="4">
        <v>24</v>
      </c>
      <c r="AL158" s="4">
        <v>59</v>
      </c>
      <c r="AM158" s="4">
        <v>60</v>
      </c>
      <c r="AN158" s="4">
        <v>0</v>
      </c>
      <c r="AO158" s="4">
        <v>0</v>
      </c>
      <c r="AP158" s="4">
        <v>28</v>
      </c>
      <c r="AQ158" s="4">
        <v>39</v>
      </c>
      <c r="AR158" s="3" t="s">
        <v>62</v>
      </c>
      <c r="AS158" s="3" t="s">
        <v>62</v>
      </c>
      <c r="AT158" s="3" t="s">
        <v>62</v>
      </c>
      <c r="AV158" s="6" t="str">
        <f>HYPERLINK("http://mcgill.on.worldcat.org/oclc/1311238","Catalog Record")</f>
        <v>Catalog Record</v>
      </c>
      <c r="AW158" s="6" t="str">
        <f>HYPERLINK("http://www.worldcat.org/oclc/1311238","WorldCat Record")</f>
        <v>WorldCat Record</v>
      </c>
      <c r="AX158" s="3" t="s">
        <v>1226</v>
      </c>
      <c r="AY158" s="3" t="s">
        <v>1227</v>
      </c>
      <c r="AZ158" s="3" t="s">
        <v>1228</v>
      </c>
      <c r="BA158" s="3" t="s">
        <v>1228</v>
      </c>
      <c r="BB158" s="3" t="s">
        <v>1229</v>
      </c>
      <c r="BC158" s="3" t="s">
        <v>142</v>
      </c>
      <c r="BD158" s="3" t="s">
        <v>68</v>
      </c>
      <c r="BE158" s="3" t="s">
        <v>1230</v>
      </c>
      <c r="BF158" s="3" t="s">
        <v>1229</v>
      </c>
      <c r="BG158" s="3" t="s">
        <v>1231</v>
      </c>
    </row>
    <row r="159" spans="1:59" ht="57" x14ac:dyDescent="0.45">
      <c r="A159" s="2" t="s">
        <v>59</v>
      </c>
      <c r="B159" s="2" t="s">
        <v>60</v>
      </c>
      <c r="C159" s="2" t="s">
        <v>1220</v>
      </c>
      <c r="D159" s="2" t="s">
        <v>1221</v>
      </c>
      <c r="E159" s="2" t="s">
        <v>1222</v>
      </c>
      <c r="G159" s="3" t="s">
        <v>62</v>
      </c>
      <c r="I159" s="3" t="s">
        <v>61</v>
      </c>
      <c r="J159" s="3" t="s">
        <v>62</v>
      </c>
      <c r="K159" s="3" t="s">
        <v>63</v>
      </c>
      <c r="M159" s="2" t="s">
        <v>1223</v>
      </c>
      <c r="N159" s="3" t="s">
        <v>1224</v>
      </c>
      <c r="P159" s="3" t="s">
        <v>65</v>
      </c>
      <c r="R159" s="3" t="s">
        <v>66</v>
      </c>
      <c r="S159" s="4">
        <v>22</v>
      </c>
      <c r="T159" s="4">
        <v>22</v>
      </c>
      <c r="U159" s="5" t="s">
        <v>1225</v>
      </c>
      <c r="V159" s="5" t="s">
        <v>1225</v>
      </c>
      <c r="W159" s="5" t="s">
        <v>67</v>
      </c>
      <c r="X159" s="5" t="s">
        <v>67</v>
      </c>
      <c r="Y159" s="4">
        <v>565</v>
      </c>
      <c r="Z159" s="4">
        <v>34</v>
      </c>
      <c r="AA159" s="4">
        <v>50</v>
      </c>
      <c r="AB159" s="4">
        <v>5</v>
      </c>
      <c r="AC159" s="4">
        <v>8</v>
      </c>
      <c r="AD159" s="4">
        <v>126</v>
      </c>
      <c r="AE159" s="4">
        <v>142</v>
      </c>
      <c r="AF159" s="4">
        <v>2</v>
      </c>
      <c r="AG159" s="4">
        <v>5</v>
      </c>
      <c r="AH159" s="4">
        <v>106</v>
      </c>
      <c r="AI159" s="4">
        <v>112</v>
      </c>
      <c r="AJ159" s="4">
        <v>19</v>
      </c>
      <c r="AK159" s="4">
        <v>24</v>
      </c>
      <c r="AL159" s="4">
        <v>59</v>
      </c>
      <c r="AM159" s="4">
        <v>60</v>
      </c>
      <c r="AN159" s="4">
        <v>0</v>
      </c>
      <c r="AO159" s="4">
        <v>0</v>
      </c>
      <c r="AP159" s="4">
        <v>28</v>
      </c>
      <c r="AQ159" s="4">
        <v>39</v>
      </c>
      <c r="AR159" s="3" t="s">
        <v>62</v>
      </c>
      <c r="AS159" s="3" t="s">
        <v>62</v>
      </c>
      <c r="AT159" s="3" t="s">
        <v>62</v>
      </c>
      <c r="AV159" s="6" t="str">
        <f>HYPERLINK("http://mcgill.on.worldcat.org/oclc/1311238","Catalog Record")</f>
        <v>Catalog Record</v>
      </c>
      <c r="AW159" s="6" t="str">
        <f>HYPERLINK("http://www.worldcat.org/oclc/1311238","WorldCat Record")</f>
        <v>WorldCat Record</v>
      </c>
      <c r="AX159" s="3" t="s">
        <v>1226</v>
      </c>
      <c r="AY159" s="3" t="s">
        <v>1227</v>
      </c>
      <c r="AZ159" s="3" t="s">
        <v>1228</v>
      </c>
      <c r="BA159" s="3" t="s">
        <v>1228</v>
      </c>
      <c r="BB159" s="3" t="s">
        <v>1232</v>
      </c>
      <c r="BC159" s="3" t="s">
        <v>142</v>
      </c>
      <c r="BD159" s="3" t="s">
        <v>68</v>
      </c>
      <c r="BE159" s="3" t="s">
        <v>1230</v>
      </c>
      <c r="BF159" s="3" t="s">
        <v>1232</v>
      </c>
      <c r="BG159" s="3" t="s">
        <v>1233</v>
      </c>
    </row>
    <row r="160" spans="1:59" ht="57" x14ac:dyDescent="0.45">
      <c r="A160" s="2" t="s">
        <v>59</v>
      </c>
      <c r="B160" s="2" t="s">
        <v>60</v>
      </c>
      <c r="C160" s="2" t="s">
        <v>1234</v>
      </c>
      <c r="D160" s="2" t="s">
        <v>1235</v>
      </c>
      <c r="E160" s="2" t="s">
        <v>1236</v>
      </c>
      <c r="G160" s="3" t="s">
        <v>62</v>
      </c>
      <c r="I160" s="3" t="s">
        <v>62</v>
      </c>
      <c r="J160" s="3" t="s">
        <v>62</v>
      </c>
      <c r="K160" s="3" t="s">
        <v>63</v>
      </c>
      <c r="L160" s="2" t="s">
        <v>1237</v>
      </c>
      <c r="M160" s="2" t="s">
        <v>1238</v>
      </c>
      <c r="N160" s="3" t="s">
        <v>1239</v>
      </c>
      <c r="P160" s="3" t="s">
        <v>65</v>
      </c>
      <c r="Q160" s="2" t="s">
        <v>1240</v>
      </c>
      <c r="R160" s="3" t="s">
        <v>66</v>
      </c>
      <c r="S160" s="4">
        <v>63</v>
      </c>
      <c r="T160" s="4">
        <v>63</v>
      </c>
      <c r="U160" s="5" t="s">
        <v>1241</v>
      </c>
      <c r="V160" s="5" t="s">
        <v>1241</v>
      </c>
      <c r="W160" s="5" t="s">
        <v>67</v>
      </c>
      <c r="X160" s="5" t="s">
        <v>67</v>
      </c>
      <c r="Y160" s="4">
        <v>453</v>
      </c>
      <c r="Z160" s="4">
        <v>30</v>
      </c>
      <c r="AA160" s="4">
        <v>107</v>
      </c>
      <c r="AB160" s="4">
        <v>3</v>
      </c>
      <c r="AC160" s="4">
        <v>18</v>
      </c>
      <c r="AD160" s="4">
        <v>102</v>
      </c>
      <c r="AE160" s="4">
        <v>138</v>
      </c>
      <c r="AF160" s="4">
        <v>1</v>
      </c>
      <c r="AG160" s="4">
        <v>8</v>
      </c>
      <c r="AH160" s="4">
        <v>86</v>
      </c>
      <c r="AI160" s="4">
        <v>99</v>
      </c>
      <c r="AJ160" s="4">
        <v>17</v>
      </c>
      <c r="AK160" s="4">
        <v>24</v>
      </c>
      <c r="AL160" s="4">
        <v>50</v>
      </c>
      <c r="AM160" s="4">
        <v>54</v>
      </c>
      <c r="AN160" s="4">
        <v>0</v>
      </c>
      <c r="AO160" s="4">
        <v>0</v>
      </c>
      <c r="AP160" s="4">
        <v>23</v>
      </c>
      <c r="AQ160" s="4">
        <v>48</v>
      </c>
      <c r="AR160" s="3" t="s">
        <v>62</v>
      </c>
      <c r="AS160" s="3" t="s">
        <v>62</v>
      </c>
      <c r="AT160" s="3" t="s">
        <v>61</v>
      </c>
      <c r="AU160" s="6" t="str">
        <f>HYPERLINK("http://catalog.hathitrust.org/Record/001551444","HathiTrust Record")</f>
        <v>HathiTrust Record</v>
      </c>
      <c r="AV160" s="6" t="str">
        <f>HYPERLINK("http://mcgill.on.worldcat.org/oclc/17727528","Catalog Record")</f>
        <v>Catalog Record</v>
      </c>
      <c r="AW160" s="6" t="str">
        <f>HYPERLINK("http://www.worldcat.org/oclc/17727528","WorldCat Record")</f>
        <v>WorldCat Record</v>
      </c>
      <c r="AX160" s="3" t="s">
        <v>1242</v>
      </c>
      <c r="AY160" s="3" t="s">
        <v>1243</v>
      </c>
      <c r="AZ160" s="3" t="s">
        <v>1244</v>
      </c>
      <c r="BA160" s="3" t="s">
        <v>1244</v>
      </c>
      <c r="BB160" s="3" t="s">
        <v>1245</v>
      </c>
      <c r="BC160" s="3" t="s">
        <v>142</v>
      </c>
      <c r="BD160" s="3" t="s">
        <v>68</v>
      </c>
      <c r="BE160" s="3" t="s">
        <v>1246</v>
      </c>
      <c r="BF160" s="3" t="s">
        <v>1245</v>
      </c>
      <c r="BG160" s="3" t="s">
        <v>1247</v>
      </c>
    </row>
    <row r="161" spans="1:59" ht="57" x14ac:dyDescent="0.45">
      <c r="A161" s="2" t="s">
        <v>59</v>
      </c>
      <c r="B161" s="2" t="s">
        <v>60</v>
      </c>
      <c r="C161" s="2" t="s">
        <v>1248</v>
      </c>
      <c r="D161" s="2" t="s">
        <v>1249</v>
      </c>
      <c r="E161" s="2" t="s">
        <v>1250</v>
      </c>
      <c r="G161" s="3" t="s">
        <v>62</v>
      </c>
      <c r="I161" s="3" t="s">
        <v>62</v>
      </c>
      <c r="J161" s="3" t="s">
        <v>62</v>
      </c>
      <c r="K161" s="3" t="s">
        <v>63</v>
      </c>
      <c r="L161" s="2" t="s">
        <v>1251</v>
      </c>
      <c r="M161" s="2" t="s">
        <v>1252</v>
      </c>
      <c r="N161" s="3" t="s">
        <v>1253</v>
      </c>
      <c r="P161" s="3" t="s">
        <v>65</v>
      </c>
      <c r="Q161" s="2" t="s">
        <v>1254</v>
      </c>
      <c r="R161" s="3" t="s">
        <v>66</v>
      </c>
      <c r="S161" s="4">
        <v>24</v>
      </c>
      <c r="T161" s="4">
        <v>24</v>
      </c>
      <c r="U161" s="5" t="s">
        <v>1255</v>
      </c>
      <c r="V161" s="5" t="s">
        <v>1255</v>
      </c>
      <c r="W161" s="5" t="s">
        <v>67</v>
      </c>
      <c r="X161" s="5" t="s">
        <v>67</v>
      </c>
      <c r="Y161" s="4">
        <v>399</v>
      </c>
      <c r="Z161" s="4">
        <v>29</v>
      </c>
      <c r="AA161" s="4">
        <v>31</v>
      </c>
      <c r="AB161" s="4">
        <v>2</v>
      </c>
      <c r="AC161" s="4">
        <v>4</v>
      </c>
      <c r="AD161" s="4">
        <v>104</v>
      </c>
      <c r="AE161" s="4">
        <v>106</v>
      </c>
      <c r="AF161" s="4">
        <v>1</v>
      </c>
      <c r="AG161" s="4">
        <v>3</v>
      </c>
      <c r="AH161" s="4">
        <v>83</v>
      </c>
      <c r="AI161" s="4">
        <v>84</v>
      </c>
      <c r="AJ161" s="4">
        <v>16</v>
      </c>
      <c r="AK161" s="4">
        <v>18</v>
      </c>
      <c r="AL161" s="4">
        <v>49</v>
      </c>
      <c r="AM161" s="4">
        <v>49</v>
      </c>
      <c r="AN161" s="4">
        <v>0</v>
      </c>
      <c r="AO161" s="4">
        <v>0</v>
      </c>
      <c r="AP161" s="4">
        <v>26</v>
      </c>
      <c r="AQ161" s="4">
        <v>27</v>
      </c>
      <c r="AR161" s="3" t="s">
        <v>62</v>
      </c>
      <c r="AS161" s="3" t="s">
        <v>62</v>
      </c>
      <c r="AT161" s="3" t="s">
        <v>62</v>
      </c>
      <c r="AV161" s="6" t="str">
        <f>HYPERLINK("http://mcgill.on.worldcat.org/oclc/35280797","Catalog Record")</f>
        <v>Catalog Record</v>
      </c>
      <c r="AW161" s="6" t="str">
        <f>HYPERLINK("http://www.worldcat.org/oclc/35280797","WorldCat Record")</f>
        <v>WorldCat Record</v>
      </c>
      <c r="AX161" s="3" t="s">
        <v>1256</v>
      </c>
      <c r="AY161" s="3" t="s">
        <v>1257</v>
      </c>
      <c r="AZ161" s="3" t="s">
        <v>1258</v>
      </c>
      <c r="BA161" s="3" t="s">
        <v>1258</v>
      </c>
      <c r="BB161" s="3" t="s">
        <v>1259</v>
      </c>
      <c r="BC161" s="3" t="s">
        <v>142</v>
      </c>
      <c r="BD161" s="3" t="s">
        <v>68</v>
      </c>
      <c r="BE161" s="3" t="s">
        <v>1260</v>
      </c>
      <c r="BF161" s="3" t="s">
        <v>1259</v>
      </c>
      <c r="BG161" s="3" t="s">
        <v>1261</v>
      </c>
    </row>
    <row r="162" spans="1:59" ht="57" x14ac:dyDescent="0.45">
      <c r="A162" s="2" t="s">
        <v>59</v>
      </c>
      <c r="B162" s="2" t="s">
        <v>60</v>
      </c>
      <c r="C162" s="2" t="s">
        <v>1262</v>
      </c>
      <c r="D162" s="2" t="s">
        <v>1263</v>
      </c>
      <c r="E162" s="2" t="s">
        <v>1264</v>
      </c>
      <c r="G162" s="3" t="s">
        <v>62</v>
      </c>
      <c r="I162" s="3" t="s">
        <v>62</v>
      </c>
      <c r="J162" s="3" t="s">
        <v>62</v>
      </c>
      <c r="K162" s="3" t="s">
        <v>63</v>
      </c>
      <c r="L162" s="2" t="s">
        <v>1265</v>
      </c>
      <c r="M162" s="2" t="s">
        <v>1266</v>
      </c>
      <c r="N162" s="3" t="s">
        <v>1059</v>
      </c>
      <c r="P162" s="3" t="s">
        <v>65</v>
      </c>
      <c r="Q162" s="2" t="s">
        <v>1267</v>
      </c>
      <c r="R162" s="3" t="s">
        <v>66</v>
      </c>
      <c r="S162" s="4">
        <v>16</v>
      </c>
      <c r="T162" s="4">
        <v>16</v>
      </c>
      <c r="U162" s="5" t="s">
        <v>1268</v>
      </c>
      <c r="V162" s="5" t="s">
        <v>1268</v>
      </c>
      <c r="W162" s="5" t="s">
        <v>67</v>
      </c>
      <c r="X162" s="5" t="s">
        <v>67</v>
      </c>
      <c r="Y162" s="4">
        <v>370</v>
      </c>
      <c r="Z162" s="4">
        <v>23</v>
      </c>
      <c r="AA162" s="4">
        <v>101</v>
      </c>
      <c r="AB162" s="4">
        <v>2</v>
      </c>
      <c r="AC162" s="4">
        <v>18</v>
      </c>
      <c r="AD162" s="4">
        <v>99</v>
      </c>
      <c r="AE162" s="4">
        <v>149</v>
      </c>
      <c r="AF162" s="4">
        <v>1</v>
      </c>
      <c r="AG162" s="4">
        <v>9</v>
      </c>
      <c r="AH162" s="4">
        <v>87</v>
      </c>
      <c r="AI162" s="4">
        <v>101</v>
      </c>
      <c r="AJ162" s="4">
        <v>14</v>
      </c>
      <c r="AK162" s="4">
        <v>27</v>
      </c>
      <c r="AL162" s="4">
        <v>46</v>
      </c>
      <c r="AM162" s="4">
        <v>53</v>
      </c>
      <c r="AN162" s="4">
        <v>0</v>
      </c>
      <c r="AO162" s="4">
        <v>0</v>
      </c>
      <c r="AP162" s="4">
        <v>19</v>
      </c>
      <c r="AQ162" s="4">
        <v>56</v>
      </c>
      <c r="AR162" s="3" t="s">
        <v>62</v>
      </c>
      <c r="AS162" s="3" t="s">
        <v>62</v>
      </c>
      <c r="AT162" s="3" t="s">
        <v>62</v>
      </c>
      <c r="AV162" s="6" t="str">
        <f>HYPERLINK("http://mcgill.on.worldcat.org/oclc/68799762","Catalog Record")</f>
        <v>Catalog Record</v>
      </c>
      <c r="AW162" s="6" t="str">
        <f>HYPERLINK("http://www.worldcat.org/oclc/68799762","WorldCat Record")</f>
        <v>WorldCat Record</v>
      </c>
      <c r="AX162" s="3" t="s">
        <v>1269</v>
      </c>
      <c r="AY162" s="3" t="s">
        <v>1270</v>
      </c>
      <c r="AZ162" s="3" t="s">
        <v>1271</v>
      </c>
      <c r="BA162" s="3" t="s">
        <v>1271</v>
      </c>
      <c r="BB162" s="3" t="s">
        <v>1272</v>
      </c>
      <c r="BC162" s="3" t="s">
        <v>142</v>
      </c>
      <c r="BD162" s="3" t="s">
        <v>68</v>
      </c>
      <c r="BE162" s="3" t="s">
        <v>1273</v>
      </c>
      <c r="BF162" s="3" t="s">
        <v>1272</v>
      </c>
      <c r="BG162" s="3" t="s">
        <v>1274</v>
      </c>
    </row>
    <row r="163" spans="1:59" ht="57" x14ac:dyDescent="0.45">
      <c r="A163" s="2" t="s">
        <v>59</v>
      </c>
      <c r="B163" s="2" t="s">
        <v>60</v>
      </c>
      <c r="C163" s="2" t="s">
        <v>1275</v>
      </c>
      <c r="D163" s="2" t="s">
        <v>1276</v>
      </c>
      <c r="E163" s="2" t="s">
        <v>1277</v>
      </c>
      <c r="G163" s="3" t="s">
        <v>62</v>
      </c>
      <c r="I163" s="3" t="s">
        <v>62</v>
      </c>
      <c r="J163" s="3" t="s">
        <v>62</v>
      </c>
      <c r="K163" s="3" t="s">
        <v>63</v>
      </c>
      <c r="L163" s="2" t="s">
        <v>1278</v>
      </c>
      <c r="M163" s="2" t="s">
        <v>1279</v>
      </c>
      <c r="N163" s="3" t="s">
        <v>480</v>
      </c>
      <c r="P163" s="3" t="s">
        <v>65</v>
      </c>
      <c r="Q163" s="2" t="s">
        <v>1280</v>
      </c>
      <c r="R163" s="3" t="s">
        <v>66</v>
      </c>
      <c r="S163" s="4">
        <v>4</v>
      </c>
      <c r="T163" s="4">
        <v>4</v>
      </c>
      <c r="U163" s="5" t="s">
        <v>1281</v>
      </c>
      <c r="V163" s="5" t="s">
        <v>1281</v>
      </c>
      <c r="W163" s="5" t="s">
        <v>67</v>
      </c>
      <c r="X163" s="5" t="s">
        <v>67</v>
      </c>
      <c r="Y163" s="4">
        <v>366</v>
      </c>
      <c r="Z163" s="4">
        <v>25</v>
      </c>
      <c r="AA163" s="4">
        <v>29</v>
      </c>
      <c r="AB163" s="4">
        <v>2</v>
      </c>
      <c r="AC163" s="4">
        <v>6</v>
      </c>
      <c r="AD163" s="4">
        <v>114</v>
      </c>
      <c r="AE163" s="4">
        <v>117</v>
      </c>
      <c r="AF163" s="4">
        <v>1</v>
      </c>
      <c r="AG163" s="4">
        <v>4</v>
      </c>
      <c r="AH163" s="4">
        <v>100</v>
      </c>
      <c r="AI163" s="4">
        <v>101</v>
      </c>
      <c r="AJ163" s="4">
        <v>20</v>
      </c>
      <c r="AK163" s="4">
        <v>23</v>
      </c>
      <c r="AL163" s="4">
        <v>56</v>
      </c>
      <c r="AM163" s="4">
        <v>56</v>
      </c>
      <c r="AN163" s="4">
        <v>0</v>
      </c>
      <c r="AO163" s="4">
        <v>0</v>
      </c>
      <c r="AP163" s="4">
        <v>22</v>
      </c>
      <c r="AQ163" s="4">
        <v>24</v>
      </c>
      <c r="AR163" s="3" t="s">
        <v>62</v>
      </c>
      <c r="AS163" s="3" t="s">
        <v>62</v>
      </c>
      <c r="AT163" s="3" t="s">
        <v>62</v>
      </c>
      <c r="AV163" s="6" t="str">
        <f>HYPERLINK("http://mcgill.on.worldcat.org/oclc/5503141","Catalog Record")</f>
        <v>Catalog Record</v>
      </c>
      <c r="AW163" s="6" t="str">
        <f>HYPERLINK("http://www.worldcat.org/oclc/5503141","WorldCat Record")</f>
        <v>WorldCat Record</v>
      </c>
      <c r="AX163" s="3" t="s">
        <v>1282</v>
      </c>
      <c r="AY163" s="3" t="s">
        <v>1283</v>
      </c>
      <c r="AZ163" s="3" t="s">
        <v>1284</v>
      </c>
      <c r="BA163" s="3" t="s">
        <v>1284</v>
      </c>
      <c r="BB163" s="3" t="s">
        <v>1285</v>
      </c>
      <c r="BC163" s="3" t="s">
        <v>142</v>
      </c>
      <c r="BD163" s="3" t="s">
        <v>68</v>
      </c>
      <c r="BE163" s="3" t="s">
        <v>1286</v>
      </c>
      <c r="BF163" s="3" t="s">
        <v>1285</v>
      </c>
      <c r="BG163" s="3" t="s">
        <v>1287</v>
      </c>
    </row>
    <row r="164" spans="1:59" ht="57" x14ac:dyDescent="0.45">
      <c r="A164" s="2" t="s">
        <v>59</v>
      </c>
      <c r="B164" s="2" t="s">
        <v>60</v>
      </c>
      <c r="C164" s="2" t="s">
        <v>1288</v>
      </c>
      <c r="D164" s="2" t="s">
        <v>1289</v>
      </c>
      <c r="E164" s="2" t="s">
        <v>1290</v>
      </c>
      <c r="G164" s="3" t="s">
        <v>62</v>
      </c>
      <c r="I164" s="3" t="s">
        <v>62</v>
      </c>
      <c r="J164" s="3" t="s">
        <v>62</v>
      </c>
      <c r="K164" s="3" t="s">
        <v>63</v>
      </c>
      <c r="L164" s="2" t="s">
        <v>1278</v>
      </c>
      <c r="M164" s="2" t="s">
        <v>1291</v>
      </c>
      <c r="N164" s="3" t="s">
        <v>625</v>
      </c>
      <c r="O164" s="2" t="s">
        <v>168</v>
      </c>
      <c r="P164" s="3" t="s">
        <v>65</v>
      </c>
      <c r="Q164" s="2" t="s">
        <v>1292</v>
      </c>
      <c r="R164" s="3" t="s">
        <v>66</v>
      </c>
      <c r="S164" s="4">
        <v>20</v>
      </c>
      <c r="T164" s="4">
        <v>20</v>
      </c>
      <c r="U164" s="5" t="s">
        <v>1293</v>
      </c>
      <c r="V164" s="5" t="s">
        <v>1293</v>
      </c>
      <c r="W164" s="5" t="s">
        <v>67</v>
      </c>
      <c r="X164" s="5" t="s">
        <v>67</v>
      </c>
      <c r="Y164" s="4">
        <v>450</v>
      </c>
      <c r="Z164" s="4">
        <v>23</v>
      </c>
      <c r="AA164" s="4">
        <v>29</v>
      </c>
      <c r="AB164" s="4">
        <v>1</v>
      </c>
      <c r="AC164" s="4">
        <v>6</v>
      </c>
      <c r="AD164" s="4">
        <v>115</v>
      </c>
      <c r="AE164" s="4">
        <v>118</v>
      </c>
      <c r="AF164" s="4">
        <v>0</v>
      </c>
      <c r="AG164" s="4">
        <v>3</v>
      </c>
      <c r="AH164" s="4">
        <v>105</v>
      </c>
      <c r="AI164" s="4">
        <v>106</v>
      </c>
      <c r="AJ164" s="4">
        <v>16</v>
      </c>
      <c r="AK164" s="4">
        <v>19</v>
      </c>
      <c r="AL164" s="4">
        <v>56</v>
      </c>
      <c r="AM164" s="4">
        <v>56</v>
      </c>
      <c r="AN164" s="4">
        <v>0</v>
      </c>
      <c r="AO164" s="4">
        <v>0</v>
      </c>
      <c r="AP164" s="4">
        <v>18</v>
      </c>
      <c r="AQ164" s="4">
        <v>20</v>
      </c>
      <c r="AR164" s="3" t="s">
        <v>62</v>
      </c>
      <c r="AS164" s="3" t="s">
        <v>62</v>
      </c>
      <c r="AT164" s="3" t="s">
        <v>61</v>
      </c>
      <c r="AU164" s="6" t="str">
        <f>HYPERLINK("http://catalog.hathitrust.org/Record/000473099","HathiTrust Record")</f>
        <v>HathiTrust Record</v>
      </c>
      <c r="AV164" s="6" t="str">
        <f>HYPERLINK("http://mcgill.on.worldcat.org/oclc/12236734","Catalog Record")</f>
        <v>Catalog Record</v>
      </c>
      <c r="AW164" s="6" t="str">
        <f>HYPERLINK("http://www.worldcat.org/oclc/12236734","WorldCat Record")</f>
        <v>WorldCat Record</v>
      </c>
      <c r="AX164" s="3" t="s">
        <v>1294</v>
      </c>
      <c r="AY164" s="3" t="s">
        <v>1295</v>
      </c>
      <c r="AZ164" s="3" t="s">
        <v>1296</v>
      </c>
      <c r="BA164" s="3" t="s">
        <v>1296</v>
      </c>
      <c r="BB164" s="3" t="s">
        <v>1297</v>
      </c>
      <c r="BC164" s="3" t="s">
        <v>142</v>
      </c>
      <c r="BD164" s="3" t="s">
        <v>308</v>
      </c>
      <c r="BE164" s="3" t="s">
        <v>1298</v>
      </c>
      <c r="BF164" s="3" t="s">
        <v>1297</v>
      </c>
      <c r="BG164" s="3" t="s">
        <v>1299</v>
      </c>
    </row>
    <row r="165" spans="1:59" ht="57" x14ac:dyDescent="0.45">
      <c r="A165" s="2" t="s">
        <v>59</v>
      </c>
      <c r="B165" s="2" t="s">
        <v>60</v>
      </c>
      <c r="C165" s="2" t="s">
        <v>1300</v>
      </c>
      <c r="D165" s="2" t="s">
        <v>1301</v>
      </c>
      <c r="E165" s="2" t="s">
        <v>1302</v>
      </c>
      <c r="G165" s="3" t="s">
        <v>62</v>
      </c>
      <c r="I165" s="3" t="s">
        <v>62</v>
      </c>
      <c r="J165" s="3" t="s">
        <v>62</v>
      </c>
      <c r="K165" s="3" t="s">
        <v>63</v>
      </c>
      <c r="M165" s="2" t="s">
        <v>1303</v>
      </c>
      <c r="N165" s="3" t="s">
        <v>894</v>
      </c>
      <c r="P165" s="3" t="s">
        <v>65</v>
      </c>
      <c r="R165" s="3" t="s">
        <v>66</v>
      </c>
      <c r="S165" s="4">
        <v>11</v>
      </c>
      <c r="T165" s="4">
        <v>11</v>
      </c>
      <c r="U165" s="5" t="s">
        <v>869</v>
      </c>
      <c r="V165" s="5" t="s">
        <v>869</v>
      </c>
      <c r="W165" s="5" t="s">
        <v>67</v>
      </c>
      <c r="X165" s="5" t="s">
        <v>67</v>
      </c>
      <c r="Y165" s="4">
        <v>124</v>
      </c>
      <c r="Z165" s="4">
        <v>12</v>
      </c>
      <c r="AA165" s="4">
        <v>85</v>
      </c>
      <c r="AB165" s="4">
        <v>1</v>
      </c>
      <c r="AC165" s="4">
        <v>14</v>
      </c>
      <c r="AD165" s="4">
        <v>61</v>
      </c>
      <c r="AE165" s="4">
        <v>125</v>
      </c>
      <c r="AF165" s="4">
        <v>0</v>
      </c>
      <c r="AG165" s="4">
        <v>8</v>
      </c>
      <c r="AH165" s="4">
        <v>58</v>
      </c>
      <c r="AI165" s="4">
        <v>88</v>
      </c>
      <c r="AJ165" s="4">
        <v>9</v>
      </c>
      <c r="AK165" s="4">
        <v>25</v>
      </c>
      <c r="AL165" s="4">
        <v>33</v>
      </c>
      <c r="AM165" s="4">
        <v>46</v>
      </c>
      <c r="AN165" s="4">
        <v>0</v>
      </c>
      <c r="AO165" s="4">
        <v>0</v>
      </c>
      <c r="AP165" s="4">
        <v>10</v>
      </c>
      <c r="AQ165" s="4">
        <v>46</v>
      </c>
      <c r="AR165" s="3" t="s">
        <v>62</v>
      </c>
      <c r="AS165" s="3" t="s">
        <v>62</v>
      </c>
      <c r="AT165" s="3" t="s">
        <v>62</v>
      </c>
      <c r="AV165" s="6" t="str">
        <f>HYPERLINK("http://mcgill.on.worldcat.org/oclc/540644098","Catalog Record")</f>
        <v>Catalog Record</v>
      </c>
      <c r="AW165" s="6" t="str">
        <f>HYPERLINK("http://www.worldcat.org/oclc/540644098","WorldCat Record")</f>
        <v>WorldCat Record</v>
      </c>
      <c r="AX165" s="3" t="s">
        <v>1304</v>
      </c>
      <c r="AY165" s="3" t="s">
        <v>1305</v>
      </c>
      <c r="AZ165" s="3" t="s">
        <v>1306</v>
      </c>
      <c r="BA165" s="3" t="s">
        <v>1306</v>
      </c>
      <c r="BB165" s="3" t="s">
        <v>1307</v>
      </c>
      <c r="BC165" s="3" t="s">
        <v>142</v>
      </c>
      <c r="BD165" s="3" t="s">
        <v>308</v>
      </c>
      <c r="BE165" s="3" t="s">
        <v>1308</v>
      </c>
      <c r="BF165" s="3" t="s">
        <v>1307</v>
      </c>
      <c r="BG165" s="3" t="s">
        <v>1309</v>
      </c>
    </row>
    <row r="166" spans="1:59" ht="57" x14ac:dyDescent="0.45">
      <c r="A166" s="2" t="s">
        <v>59</v>
      </c>
      <c r="B166" s="2" t="s">
        <v>60</v>
      </c>
      <c r="C166" s="2" t="s">
        <v>1310</v>
      </c>
      <c r="D166" s="2" t="s">
        <v>1311</v>
      </c>
      <c r="E166" s="2" t="s">
        <v>1312</v>
      </c>
      <c r="G166" s="3" t="s">
        <v>62</v>
      </c>
      <c r="I166" s="3" t="s">
        <v>62</v>
      </c>
      <c r="J166" s="3" t="s">
        <v>62</v>
      </c>
      <c r="K166" s="3" t="s">
        <v>63</v>
      </c>
      <c r="L166" s="2" t="s">
        <v>1313</v>
      </c>
      <c r="M166" s="2" t="s">
        <v>1314</v>
      </c>
      <c r="N166" s="3" t="s">
        <v>181</v>
      </c>
      <c r="P166" s="3" t="s">
        <v>65</v>
      </c>
      <c r="Q166" s="2" t="s">
        <v>1315</v>
      </c>
      <c r="R166" s="3" t="s">
        <v>66</v>
      </c>
      <c r="S166" s="4">
        <v>0</v>
      </c>
      <c r="T166" s="4">
        <v>0</v>
      </c>
      <c r="W166" s="5" t="s">
        <v>67</v>
      </c>
      <c r="X166" s="5" t="s">
        <v>67</v>
      </c>
      <c r="Y166" s="4">
        <v>52</v>
      </c>
      <c r="Z166" s="4">
        <v>3</v>
      </c>
      <c r="AA166" s="4">
        <v>72</v>
      </c>
      <c r="AB166" s="4">
        <v>1</v>
      </c>
      <c r="AC166" s="4">
        <v>14</v>
      </c>
      <c r="AD166" s="4">
        <v>29</v>
      </c>
      <c r="AE166" s="4">
        <v>99</v>
      </c>
      <c r="AF166" s="4">
        <v>0</v>
      </c>
      <c r="AG166" s="4">
        <v>8</v>
      </c>
      <c r="AH166" s="4">
        <v>28</v>
      </c>
      <c r="AI166" s="4">
        <v>70</v>
      </c>
      <c r="AJ166" s="4">
        <v>2</v>
      </c>
      <c r="AK166" s="4">
        <v>19</v>
      </c>
      <c r="AL166" s="4">
        <v>20</v>
      </c>
      <c r="AM166" s="4">
        <v>35</v>
      </c>
      <c r="AN166" s="4">
        <v>0</v>
      </c>
      <c r="AO166" s="4">
        <v>0</v>
      </c>
      <c r="AP166" s="4">
        <v>2</v>
      </c>
      <c r="AQ166" s="4">
        <v>35</v>
      </c>
      <c r="AR166" s="3" t="s">
        <v>62</v>
      </c>
      <c r="AS166" s="3" t="s">
        <v>62</v>
      </c>
      <c r="AT166" s="3" t="s">
        <v>62</v>
      </c>
      <c r="AV166" s="6" t="str">
        <f>HYPERLINK("http://mcgill.on.worldcat.org/oclc/963439076","Catalog Record")</f>
        <v>Catalog Record</v>
      </c>
      <c r="AW166" s="6" t="str">
        <f>HYPERLINK("http://www.worldcat.org/oclc/963439076","WorldCat Record")</f>
        <v>WorldCat Record</v>
      </c>
      <c r="AX166" s="3" t="s">
        <v>1316</v>
      </c>
      <c r="AY166" s="3" t="s">
        <v>1317</v>
      </c>
      <c r="AZ166" s="3" t="s">
        <v>1318</v>
      </c>
      <c r="BA166" s="3" t="s">
        <v>1318</v>
      </c>
      <c r="BB166" s="3" t="s">
        <v>1319</v>
      </c>
      <c r="BC166" s="3" t="s">
        <v>142</v>
      </c>
      <c r="BD166" s="3" t="s">
        <v>68</v>
      </c>
      <c r="BE166" s="3" t="s">
        <v>1320</v>
      </c>
      <c r="BF166" s="3" t="s">
        <v>1319</v>
      </c>
      <c r="BG166" s="3" t="s">
        <v>1321</v>
      </c>
    </row>
    <row r="167" spans="1:59" ht="57" x14ac:dyDescent="0.45">
      <c r="A167" s="2" t="s">
        <v>59</v>
      </c>
      <c r="B167" s="2" t="s">
        <v>60</v>
      </c>
      <c r="C167" s="2" t="s">
        <v>1322</v>
      </c>
      <c r="D167" s="2" t="s">
        <v>1323</v>
      </c>
      <c r="E167" s="2" t="s">
        <v>1324</v>
      </c>
      <c r="G167" s="3" t="s">
        <v>62</v>
      </c>
      <c r="I167" s="3" t="s">
        <v>62</v>
      </c>
      <c r="J167" s="3" t="s">
        <v>62</v>
      </c>
      <c r="K167" s="3" t="s">
        <v>63</v>
      </c>
      <c r="M167" s="2" t="s">
        <v>1325</v>
      </c>
      <c r="N167" s="3" t="s">
        <v>167</v>
      </c>
      <c r="P167" s="3" t="s">
        <v>65</v>
      </c>
      <c r="R167" s="3" t="s">
        <v>66</v>
      </c>
      <c r="S167" s="4">
        <v>52</v>
      </c>
      <c r="T167" s="4">
        <v>52</v>
      </c>
      <c r="U167" s="5" t="s">
        <v>1326</v>
      </c>
      <c r="V167" s="5" t="s">
        <v>1326</v>
      </c>
      <c r="W167" s="5" t="s">
        <v>67</v>
      </c>
      <c r="X167" s="5" t="s">
        <v>67</v>
      </c>
      <c r="Y167" s="4">
        <v>561</v>
      </c>
      <c r="Z167" s="4">
        <v>22</v>
      </c>
      <c r="AA167" s="4">
        <v>28</v>
      </c>
      <c r="AB167" s="4">
        <v>1</v>
      </c>
      <c r="AC167" s="4">
        <v>6</v>
      </c>
      <c r="AD167" s="4">
        <v>114</v>
      </c>
      <c r="AE167" s="4">
        <v>122</v>
      </c>
      <c r="AF167" s="4">
        <v>0</v>
      </c>
      <c r="AG167" s="4">
        <v>3</v>
      </c>
      <c r="AH167" s="4">
        <v>103</v>
      </c>
      <c r="AI167" s="4">
        <v>109</v>
      </c>
      <c r="AJ167" s="4">
        <v>14</v>
      </c>
      <c r="AK167" s="4">
        <v>17</v>
      </c>
      <c r="AL167" s="4">
        <v>58</v>
      </c>
      <c r="AM167" s="4">
        <v>59</v>
      </c>
      <c r="AN167" s="4">
        <v>0</v>
      </c>
      <c r="AO167" s="4">
        <v>0</v>
      </c>
      <c r="AP167" s="4">
        <v>17</v>
      </c>
      <c r="AQ167" s="4">
        <v>19</v>
      </c>
      <c r="AR167" s="3" t="s">
        <v>62</v>
      </c>
      <c r="AS167" s="3" t="s">
        <v>62</v>
      </c>
      <c r="AT167" s="3" t="s">
        <v>62</v>
      </c>
      <c r="AV167" s="6" t="str">
        <f>HYPERLINK("http://mcgill.on.worldcat.org/oclc/39508220","Catalog Record")</f>
        <v>Catalog Record</v>
      </c>
      <c r="AW167" s="6" t="str">
        <f>HYPERLINK("http://www.worldcat.org/oclc/39508220","WorldCat Record")</f>
        <v>WorldCat Record</v>
      </c>
      <c r="AX167" s="3" t="s">
        <v>1327</v>
      </c>
      <c r="AY167" s="3" t="s">
        <v>1328</v>
      </c>
      <c r="AZ167" s="3" t="s">
        <v>1329</v>
      </c>
      <c r="BA167" s="3" t="s">
        <v>1329</v>
      </c>
      <c r="BB167" s="3" t="s">
        <v>1330</v>
      </c>
      <c r="BC167" s="3" t="s">
        <v>142</v>
      </c>
      <c r="BD167" s="3" t="s">
        <v>68</v>
      </c>
      <c r="BE167" s="3" t="s">
        <v>1331</v>
      </c>
      <c r="BF167" s="3" t="s">
        <v>1330</v>
      </c>
      <c r="BG167" s="3" t="s">
        <v>1332</v>
      </c>
    </row>
    <row r="168" spans="1:59" ht="57" x14ac:dyDescent="0.45">
      <c r="A168" s="2" t="s">
        <v>59</v>
      </c>
      <c r="B168" s="2" t="s">
        <v>60</v>
      </c>
      <c r="C168" s="2" t="s">
        <v>1333</v>
      </c>
      <c r="D168" s="2" t="s">
        <v>1334</v>
      </c>
      <c r="E168" s="2" t="s">
        <v>1335</v>
      </c>
      <c r="F168" s="3" t="s">
        <v>90</v>
      </c>
      <c r="G168" s="3" t="s">
        <v>61</v>
      </c>
      <c r="I168" s="3" t="s">
        <v>62</v>
      </c>
      <c r="J168" s="3" t="s">
        <v>62</v>
      </c>
      <c r="K168" s="3" t="s">
        <v>63</v>
      </c>
      <c r="M168" s="2" t="s">
        <v>1336</v>
      </c>
      <c r="N168" s="3" t="s">
        <v>149</v>
      </c>
      <c r="O168" s="2" t="s">
        <v>933</v>
      </c>
      <c r="P168" s="3" t="s">
        <v>65</v>
      </c>
      <c r="R168" s="3" t="s">
        <v>66</v>
      </c>
      <c r="S168" s="4">
        <v>7</v>
      </c>
      <c r="T168" s="4">
        <v>7</v>
      </c>
      <c r="U168" s="5" t="s">
        <v>1337</v>
      </c>
      <c r="V168" s="5" t="s">
        <v>1337</v>
      </c>
      <c r="W168" s="5" t="s">
        <v>67</v>
      </c>
      <c r="X168" s="5" t="s">
        <v>67</v>
      </c>
      <c r="Y168" s="4">
        <v>264</v>
      </c>
      <c r="Z168" s="4">
        <v>15</v>
      </c>
      <c r="AA168" s="4">
        <v>25</v>
      </c>
      <c r="AB168" s="4">
        <v>2</v>
      </c>
      <c r="AC168" s="4">
        <v>3</v>
      </c>
      <c r="AD168" s="4">
        <v>70</v>
      </c>
      <c r="AE168" s="4">
        <v>78</v>
      </c>
      <c r="AF168" s="4">
        <v>1</v>
      </c>
      <c r="AG168" s="4">
        <v>2</v>
      </c>
      <c r="AH168" s="4">
        <v>62</v>
      </c>
      <c r="AI168" s="4">
        <v>66</v>
      </c>
      <c r="AJ168" s="4">
        <v>10</v>
      </c>
      <c r="AK168" s="4">
        <v>12</v>
      </c>
      <c r="AL168" s="4">
        <v>34</v>
      </c>
      <c r="AM168" s="4">
        <v>37</v>
      </c>
      <c r="AN168" s="4">
        <v>0</v>
      </c>
      <c r="AO168" s="4">
        <v>0</v>
      </c>
      <c r="AP168" s="4">
        <v>12</v>
      </c>
      <c r="AQ168" s="4">
        <v>18</v>
      </c>
      <c r="AR168" s="3" t="s">
        <v>62</v>
      </c>
      <c r="AS168" s="3" t="s">
        <v>62</v>
      </c>
      <c r="AT168" s="3" t="s">
        <v>62</v>
      </c>
      <c r="AV168" s="6" t="str">
        <f>HYPERLINK("http://mcgill.on.worldcat.org/oclc/428926502","Catalog Record")</f>
        <v>Catalog Record</v>
      </c>
      <c r="AW168" s="6" t="str">
        <f>HYPERLINK("http://www.worldcat.org/oclc/428926502","WorldCat Record")</f>
        <v>WorldCat Record</v>
      </c>
      <c r="AX168" s="3" t="s">
        <v>1338</v>
      </c>
      <c r="AY168" s="3" t="s">
        <v>1339</v>
      </c>
      <c r="AZ168" s="3" t="s">
        <v>1340</v>
      </c>
      <c r="BA168" s="3" t="s">
        <v>1340</v>
      </c>
      <c r="BB168" s="3" t="s">
        <v>1341</v>
      </c>
      <c r="BC168" s="3" t="s">
        <v>142</v>
      </c>
      <c r="BD168" s="3" t="s">
        <v>68</v>
      </c>
      <c r="BE168" s="3" t="s">
        <v>1342</v>
      </c>
      <c r="BF168" s="3" t="s">
        <v>1341</v>
      </c>
      <c r="BG168" s="3" t="s">
        <v>1343</v>
      </c>
    </row>
    <row r="169" spans="1:59" ht="57" x14ac:dyDescent="0.45">
      <c r="A169" s="2" t="s">
        <v>59</v>
      </c>
      <c r="B169" s="2" t="s">
        <v>60</v>
      </c>
      <c r="C169" s="2" t="s">
        <v>1344</v>
      </c>
      <c r="D169" s="2" t="s">
        <v>1345</v>
      </c>
      <c r="E169" s="2" t="s">
        <v>1346</v>
      </c>
      <c r="G169" s="3" t="s">
        <v>62</v>
      </c>
      <c r="I169" s="3" t="s">
        <v>62</v>
      </c>
      <c r="J169" s="3" t="s">
        <v>62</v>
      </c>
      <c r="K169" s="3" t="s">
        <v>63</v>
      </c>
      <c r="M169" s="2" t="s">
        <v>1347</v>
      </c>
      <c r="N169" s="3" t="s">
        <v>807</v>
      </c>
      <c r="P169" s="3" t="s">
        <v>65</v>
      </c>
      <c r="R169" s="3" t="s">
        <v>66</v>
      </c>
      <c r="S169" s="4">
        <v>51</v>
      </c>
      <c r="T169" s="4">
        <v>51</v>
      </c>
      <c r="U169" s="5" t="s">
        <v>124</v>
      </c>
      <c r="V169" s="5" t="s">
        <v>124</v>
      </c>
      <c r="W169" s="5" t="s">
        <v>67</v>
      </c>
      <c r="X169" s="5" t="s">
        <v>67</v>
      </c>
      <c r="Y169" s="4">
        <v>211</v>
      </c>
      <c r="Z169" s="4">
        <v>14</v>
      </c>
      <c r="AA169" s="4">
        <v>18</v>
      </c>
      <c r="AB169" s="4">
        <v>2</v>
      </c>
      <c r="AC169" s="4">
        <v>6</v>
      </c>
      <c r="AD169" s="4">
        <v>77</v>
      </c>
      <c r="AE169" s="4">
        <v>80</v>
      </c>
      <c r="AF169" s="4">
        <v>1</v>
      </c>
      <c r="AG169" s="4">
        <v>4</v>
      </c>
      <c r="AH169" s="4">
        <v>70</v>
      </c>
      <c r="AI169" s="4">
        <v>71</v>
      </c>
      <c r="AJ169" s="4">
        <v>9</v>
      </c>
      <c r="AK169" s="4">
        <v>12</v>
      </c>
      <c r="AL169" s="4">
        <v>41</v>
      </c>
      <c r="AM169" s="4">
        <v>41</v>
      </c>
      <c r="AN169" s="4">
        <v>0</v>
      </c>
      <c r="AO169" s="4">
        <v>0</v>
      </c>
      <c r="AP169" s="4">
        <v>11</v>
      </c>
      <c r="AQ169" s="4">
        <v>13</v>
      </c>
      <c r="AR169" s="3" t="s">
        <v>62</v>
      </c>
      <c r="AS169" s="3" t="s">
        <v>62</v>
      </c>
      <c r="AT169" s="3" t="s">
        <v>61</v>
      </c>
      <c r="AU169" s="6" t="str">
        <f>HYPERLINK("http://catalog.hathitrust.org/Record/002521643","HathiTrust Record")</f>
        <v>HathiTrust Record</v>
      </c>
      <c r="AV169" s="6" t="str">
        <f>HYPERLINK("http://mcgill.on.worldcat.org/oclc/23217241","Catalog Record")</f>
        <v>Catalog Record</v>
      </c>
      <c r="AW169" s="6" t="str">
        <f>HYPERLINK("http://www.worldcat.org/oclc/23217241","WorldCat Record")</f>
        <v>WorldCat Record</v>
      </c>
      <c r="AX169" s="3" t="s">
        <v>1348</v>
      </c>
      <c r="AY169" s="3" t="s">
        <v>1349</v>
      </c>
      <c r="AZ169" s="3" t="s">
        <v>1350</v>
      </c>
      <c r="BA169" s="3" t="s">
        <v>1350</v>
      </c>
      <c r="BB169" s="3" t="s">
        <v>1351</v>
      </c>
      <c r="BC169" s="3" t="s">
        <v>142</v>
      </c>
      <c r="BD169" s="3" t="s">
        <v>68</v>
      </c>
      <c r="BE169" s="3" t="s">
        <v>1352</v>
      </c>
      <c r="BF169" s="3" t="s">
        <v>1351</v>
      </c>
      <c r="BG169" s="3" t="s">
        <v>1353</v>
      </c>
    </row>
    <row r="170" spans="1:59" ht="57" x14ac:dyDescent="0.45">
      <c r="A170" s="2" t="s">
        <v>59</v>
      </c>
      <c r="B170" s="2" t="s">
        <v>60</v>
      </c>
      <c r="C170" s="2" t="s">
        <v>1354</v>
      </c>
      <c r="D170" s="2" t="s">
        <v>1355</v>
      </c>
      <c r="E170" s="2" t="s">
        <v>1356</v>
      </c>
      <c r="G170" s="3" t="s">
        <v>62</v>
      </c>
      <c r="I170" s="3" t="s">
        <v>62</v>
      </c>
      <c r="J170" s="3" t="s">
        <v>62</v>
      </c>
      <c r="K170" s="3" t="s">
        <v>63</v>
      </c>
      <c r="M170" s="2" t="s">
        <v>1357</v>
      </c>
      <c r="N170" s="3" t="s">
        <v>945</v>
      </c>
      <c r="P170" s="3" t="s">
        <v>65</v>
      </c>
      <c r="R170" s="3" t="s">
        <v>66</v>
      </c>
      <c r="S170" s="4">
        <v>5</v>
      </c>
      <c r="T170" s="4">
        <v>5</v>
      </c>
      <c r="U170" s="5" t="s">
        <v>1358</v>
      </c>
      <c r="V170" s="5" t="s">
        <v>1358</v>
      </c>
      <c r="W170" s="5" t="s">
        <v>67</v>
      </c>
      <c r="X170" s="5" t="s">
        <v>67</v>
      </c>
      <c r="Y170" s="4">
        <v>137</v>
      </c>
      <c r="Z170" s="4">
        <v>23</v>
      </c>
      <c r="AA170" s="4">
        <v>24</v>
      </c>
      <c r="AB170" s="4">
        <v>2</v>
      </c>
      <c r="AC170" s="4">
        <v>3</v>
      </c>
      <c r="AD170" s="4">
        <v>65</v>
      </c>
      <c r="AE170" s="4">
        <v>66</v>
      </c>
      <c r="AF170" s="4">
        <v>1</v>
      </c>
      <c r="AG170" s="4">
        <v>2</v>
      </c>
      <c r="AH170" s="4">
        <v>54</v>
      </c>
      <c r="AI170" s="4">
        <v>54</v>
      </c>
      <c r="AJ170" s="4">
        <v>15</v>
      </c>
      <c r="AK170" s="4">
        <v>16</v>
      </c>
      <c r="AL170" s="4">
        <v>28</v>
      </c>
      <c r="AM170" s="4">
        <v>28</v>
      </c>
      <c r="AN170" s="4">
        <v>0</v>
      </c>
      <c r="AO170" s="4">
        <v>0</v>
      </c>
      <c r="AP170" s="4">
        <v>20</v>
      </c>
      <c r="AQ170" s="4">
        <v>21</v>
      </c>
      <c r="AR170" s="3" t="s">
        <v>62</v>
      </c>
      <c r="AS170" s="3" t="s">
        <v>62</v>
      </c>
      <c r="AT170" s="3" t="s">
        <v>61</v>
      </c>
      <c r="AU170" s="6" t="str">
        <f>HYPERLINK("http://catalog.hathitrust.org/Record/005605598","HathiTrust Record")</f>
        <v>HathiTrust Record</v>
      </c>
      <c r="AV170" s="6" t="str">
        <f>HYPERLINK("http://mcgill.on.worldcat.org/oclc/131065894","Catalog Record")</f>
        <v>Catalog Record</v>
      </c>
      <c r="AW170" s="6" t="str">
        <f>HYPERLINK("http://www.worldcat.org/oclc/131065894","WorldCat Record")</f>
        <v>WorldCat Record</v>
      </c>
      <c r="AX170" s="3" t="s">
        <v>1359</v>
      </c>
      <c r="AY170" s="3" t="s">
        <v>1360</v>
      </c>
      <c r="AZ170" s="3" t="s">
        <v>1361</v>
      </c>
      <c r="BA170" s="3" t="s">
        <v>1361</v>
      </c>
      <c r="BB170" s="3" t="s">
        <v>1362</v>
      </c>
      <c r="BC170" s="3" t="s">
        <v>142</v>
      </c>
      <c r="BD170" s="3" t="s">
        <v>68</v>
      </c>
      <c r="BE170" s="3" t="s">
        <v>1363</v>
      </c>
      <c r="BF170" s="3" t="s">
        <v>1362</v>
      </c>
      <c r="BG170" s="3" t="s">
        <v>1364</v>
      </c>
    </row>
    <row r="171" spans="1:59" ht="57" x14ac:dyDescent="0.45">
      <c r="A171" s="2" t="s">
        <v>59</v>
      </c>
      <c r="B171" s="2" t="s">
        <v>60</v>
      </c>
      <c r="C171" s="2" t="s">
        <v>1365</v>
      </c>
      <c r="D171" s="2" t="s">
        <v>1366</v>
      </c>
      <c r="E171" s="2" t="s">
        <v>1367</v>
      </c>
      <c r="G171" s="3" t="s">
        <v>62</v>
      </c>
      <c r="I171" s="3" t="s">
        <v>62</v>
      </c>
      <c r="J171" s="3" t="s">
        <v>62</v>
      </c>
      <c r="K171" s="3" t="s">
        <v>63</v>
      </c>
      <c r="L171" s="2" t="s">
        <v>1368</v>
      </c>
      <c r="M171" s="2" t="s">
        <v>1369</v>
      </c>
      <c r="N171" s="3" t="s">
        <v>1212</v>
      </c>
      <c r="P171" s="3" t="s">
        <v>65</v>
      </c>
      <c r="Q171" s="2" t="s">
        <v>1370</v>
      </c>
      <c r="R171" s="3" t="s">
        <v>66</v>
      </c>
      <c r="S171" s="4">
        <v>5</v>
      </c>
      <c r="T171" s="4">
        <v>5</v>
      </c>
      <c r="U171" s="5" t="s">
        <v>1241</v>
      </c>
      <c r="V171" s="5" t="s">
        <v>1241</v>
      </c>
      <c r="W171" s="5" t="s">
        <v>67</v>
      </c>
      <c r="X171" s="5" t="s">
        <v>67</v>
      </c>
      <c r="Y171" s="4">
        <v>71</v>
      </c>
      <c r="Z171" s="4">
        <v>7</v>
      </c>
      <c r="AA171" s="4">
        <v>7</v>
      </c>
      <c r="AB171" s="4">
        <v>1</v>
      </c>
      <c r="AC171" s="4">
        <v>1</v>
      </c>
      <c r="AD171" s="4">
        <v>26</v>
      </c>
      <c r="AE171" s="4">
        <v>26</v>
      </c>
      <c r="AF171" s="4">
        <v>0</v>
      </c>
      <c r="AG171" s="4">
        <v>0</v>
      </c>
      <c r="AH171" s="4">
        <v>23</v>
      </c>
      <c r="AI171" s="4">
        <v>23</v>
      </c>
      <c r="AJ171" s="4">
        <v>5</v>
      </c>
      <c r="AK171" s="4">
        <v>5</v>
      </c>
      <c r="AL171" s="4">
        <v>19</v>
      </c>
      <c r="AM171" s="4">
        <v>19</v>
      </c>
      <c r="AN171" s="4">
        <v>0</v>
      </c>
      <c r="AO171" s="4">
        <v>0</v>
      </c>
      <c r="AP171" s="4">
        <v>5</v>
      </c>
      <c r="AQ171" s="4">
        <v>5</v>
      </c>
      <c r="AR171" s="3" t="s">
        <v>62</v>
      </c>
      <c r="AS171" s="3" t="s">
        <v>62</v>
      </c>
      <c r="AT171" s="3" t="s">
        <v>61</v>
      </c>
      <c r="AU171" s="6" t="str">
        <f>HYPERLINK("http://catalog.hathitrust.org/Record/004117006","HathiTrust Record")</f>
        <v>HathiTrust Record</v>
      </c>
      <c r="AV171" s="6" t="str">
        <f>HYPERLINK("http://mcgill.on.worldcat.org/oclc/45261568","Catalog Record")</f>
        <v>Catalog Record</v>
      </c>
      <c r="AW171" s="6" t="str">
        <f>HYPERLINK("http://www.worldcat.org/oclc/45261568","WorldCat Record")</f>
        <v>WorldCat Record</v>
      </c>
      <c r="AX171" s="3" t="s">
        <v>1371</v>
      </c>
      <c r="AY171" s="3" t="s">
        <v>1372</v>
      </c>
      <c r="AZ171" s="3" t="s">
        <v>1373</v>
      </c>
      <c r="BA171" s="3" t="s">
        <v>1373</v>
      </c>
      <c r="BB171" s="3" t="s">
        <v>1374</v>
      </c>
      <c r="BC171" s="3" t="s">
        <v>142</v>
      </c>
      <c r="BD171" s="3" t="s">
        <v>68</v>
      </c>
      <c r="BE171" s="3" t="s">
        <v>1375</v>
      </c>
      <c r="BF171" s="3" t="s">
        <v>1374</v>
      </c>
      <c r="BG171" s="3" t="s">
        <v>1376</v>
      </c>
    </row>
    <row r="172" spans="1:59" ht="57" x14ac:dyDescent="0.45">
      <c r="A172" s="2" t="s">
        <v>927</v>
      </c>
      <c r="B172" s="2" t="s">
        <v>928</v>
      </c>
      <c r="C172" s="2" t="s">
        <v>1377</v>
      </c>
      <c r="D172" s="2" t="s">
        <v>1378</v>
      </c>
      <c r="E172" s="2" t="s">
        <v>1379</v>
      </c>
      <c r="G172" s="3" t="s">
        <v>62</v>
      </c>
      <c r="I172" s="3" t="s">
        <v>62</v>
      </c>
      <c r="J172" s="3" t="s">
        <v>62</v>
      </c>
      <c r="K172" s="3" t="s">
        <v>63</v>
      </c>
      <c r="M172" s="2" t="s">
        <v>1380</v>
      </c>
      <c r="N172" s="3" t="s">
        <v>542</v>
      </c>
      <c r="P172" s="3" t="s">
        <v>65</v>
      </c>
      <c r="R172" s="3" t="s">
        <v>66</v>
      </c>
      <c r="S172" s="4">
        <v>4</v>
      </c>
      <c r="T172" s="4">
        <v>4</v>
      </c>
      <c r="U172" s="5" t="s">
        <v>1381</v>
      </c>
      <c r="V172" s="5" t="s">
        <v>1381</v>
      </c>
      <c r="W172" s="5" t="s">
        <v>67</v>
      </c>
      <c r="X172" s="5" t="s">
        <v>67</v>
      </c>
      <c r="Y172" s="4">
        <v>298</v>
      </c>
      <c r="Z172" s="4">
        <v>18</v>
      </c>
      <c r="AA172" s="4">
        <v>20</v>
      </c>
      <c r="AB172" s="4">
        <v>1</v>
      </c>
      <c r="AC172" s="4">
        <v>3</v>
      </c>
      <c r="AD172" s="4">
        <v>71</v>
      </c>
      <c r="AE172" s="4">
        <v>73</v>
      </c>
      <c r="AF172" s="4">
        <v>0</v>
      </c>
      <c r="AG172" s="4">
        <v>2</v>
      </c>
      <c r="AH172" s="4">
        <v>62</v>
      </c>
      <c r="AI172" s="4">
        <v>63</v>
      </c>
      <c r="AJ172" s="4">
        <v>10</v>
      </c>
      <c r="AK172" s="4">
        <v>12</v>
      </c>
      <c r="AL172" s="4">
        <v>40</v>
      </c>
      <c r="AM172" s="4">
        <v>40</v>
      </c>
      <c r="AN172" s="4">
        <v>0</v>
      </c>
      <c r="AO172" s="4">
        <v>0</v>
      </c>
      <c r="AP172" s="4">
        <v>13</v>
      </c>
      <c r="AQ172" s="4">
        <v>14</v>
      </c>
      <c r="AR172" s="3" t="s">
        <v>62</v>
      </c>
      <c r="AS172" s="3" t="s">
        <v>62</v>
      </c>
      <c r="AT172" s="3" t="s">
        <v>62</v>
      </c>
      <c r="AV172" s="6" t="str">
        <f>HYPERLINK("http://mcgill.on.worldcat.org/oclc/45304068","Catalog Record")</f>
        <v>Catalog Record</v>
      </c>
      <c r="AW172" s="6" t="str">
        <f>HYPERLINK("http://www.worldcat.org/oclc/45304068","WorldCat Record")</f>
        <v>WorldCat Record</v>
      </c>
      <c r="AX172" s="3" t="s">
        <v>1382</v>
      </c>
      <c r="AY172" s="3" t="s">
        <v>1383</v>
      </c>
      <c r="AZ172" s="3" t="s">
        <v>1384</v>
      </c>
      <c r="BA172" s="3" t="s">
        <v>1384</v>
      </c>
      <c r="BB172" s="3" t="s">
        <v>1385</v>
      </c>
      <c r="BC172" s="3" t="s">
        <v>142</v>
      </c>
      <c r="BD172" s="3" t="s">
        <v>68</v>
      </c>
      <c r="BE172" s="3" t="s">
        <v>1386</v>
      </c>
      <c r="BF172" s="3" t="s">
        <v>1385</v>
      </c>
      <c r="BG172" s="3" t="s">
        <v>1387</v>
      </c>
    </row>
    <row r="173" spans="1:59" ht="57" x14ac:dyDescent="0.45">
      <c r="A173" s="2" t="s">
        <v>59</v>
      </c>
      <c r="B173" s="2" t="s">
        <v>60</v>
      </c>
      <c r="C173" s="2" t="s">
        <v>1388</v>
      </c>
      <c r="D173" s="2" t="s">
        <v>1389</v>
      </c>
      <c r="E173" s="2" t="s">
        <v>1390</v>
      </c>
      <c r="G173" s="3" t="s">
        <v>62</v>
      </c>
      <c r="I173" s="3" t="s">
        <v>62</v>
      </c>
      <c r="J173" s="3" t="s">
        <v>62</v>
      </c>
      <c r="K173" s="3" t="s">
        <v>63</v>
      </c>
      <c r="L173" s="2" t="s">
        <v>1391</v>
      </c>
      <c r="M173" s="2" t="s">
        <v>1392</v>
      </c>
      <c r="N173" s="3" t="s">
        <v>1059</v>
      </c>
      <c r="P173" s="3" t="s">
        <v>65</v>
      </c>
      <c r="R173" s="3" t="s">
        <v>66</v>
      </c>
      <c r="S173" s="4">
        <v>11</v>
      </c>
      <c r="T173" s="4">
        <v>11</v>
      </c>
      <c r="U173" s="5" t="s">
        <v>1393</v>
      </c>
      <c r="V173" s="5" t="s">
        <v>1393</v>
      </c>
      <c r="W173" s="5" t="s">
        <v>67</v>
      </c>
      <c r="X173" s="5" t="s">
        <v>67</v>
      </c>
      <c r="Y173" s="4">
        <v>229</v>
      </c>
      <c r="Z173" s="4">
        <v>15</v>
      </c>
      <c r="AA173" s="4">
        <v>18</v>
      </c>
      <c r="AB173" s="4">
        <v>2</v>
      </c>
      <c r="AC173" s="4">
        <v>4</v>
      </c>
      <c r="AD173" s="4">
        <v>70</v>
      </c>
      <c r="AE173" s="4">
        <v>74</v>
      </c>
      <c r="AF173" s="4">
        <v>1</v>
      </c>
      <c r="AG173" s="4">
        <v>3</v>
      </c>
      <c r="AH173" s="4">
        <v>66</v>
      </c>
      <c r="AI173" s="4">
        <v>68</v>
      </c>
      <c r="AJ173" s="4">
        <v>11</v>
      </c>
      <c r="AK173" s="4">
        <v>14</v>
      </c>
      <c r="AL173" s="4">
        <v>33</v>
      </c>
      <c r="AM173" s="4">
        <v>34</v>
      </c>
      <c r="AN173" s="4">
        <v>0</v>
      </c>
      <c r="AO173" s="4">
        <v>0</v>
      </c>
      <c r="AP173" s="4">
        <v>12</v>
      </c>
      <c r="AQ173" s="4">
        <v>15</v>
      </c>
      <c r="AR173" s="3" t="s">
        <v>62</v>
      </c>
      <c r="AS173" s="3" t="s">
        <v>62</v>
      </c>
      <c r="AT173" s="3" t="s">
        <v>62</v>
      </c>
      <c r="AV173" s="6" t="str">
        <f>HYPERLINK("http://mcgill.on.worldcat.org/oclc/61278615","Catalog Record")</f>
        <v>Catalog Record</v>
      </c>
      <c r="AW173" s="6" t="str">
        <f>HYPERLINK("http://www.worldcat.org/oclc/61278615","WorldCat Record")</f>
        <v>WorldCat Record</v>
      </c>
      <c r="AX173" s="3" t="s">
        <v>1394</v>
      </c>
      <c r="AY173" s="3" t="s">
        <v>1395</v>
      </c>
      <c r="AZ173" s="3" t="s">
        <v>1396</v>
      </c>
      <c r="BA173" s="3" t="s">
        <v>1396</v>
      </c>
      <c r="BB173" s="3" t="s">
        <v>1397</v>
      </c>
      <c r="BC173" s="3" t="s">
        <v>142</v>
      </c>
      <c r="BD173" s="3" t="s">
        <v>68</v>
      </c>
      <c r="BE173" s="3" t="s">
        <v>1398</v>
      </c>
      <c r="BF173" s="3" t="s">
        <v>1397</v>
      </c>
      <c r="BG173" s="3" t="s">
        <v>1399</v>
      </c>
    </row>
    <row r="174" spans="1:59" ht="57" x14ac:dyDescent="0.45">
      <c r="A174" s="2" t="s">
        <v>59</v>
      </c>
      <c r="B174" s="2" t="s">
        <v>60</v>
      </c>
      <c r="C174" s="2" t="s">
        <v>1400</v>
      </c>
      <c r="D174" s="2" t="s">
        <v>1401</v>
      </c>
      <c r="E174" s="2" t="s">
        <v>1402</v>
      </c>
      <c r="G174" s="3" t="s">
        <v>62</v>
      </c>
      <c r="I174" s="3" t="s">
        <v>62</v>
      </c>
      <c r="J174" s="3" t="s">
        <v>62</v>
      </c>
      <c r="K174" s="3" t="s">
        <v>63</v>
      </c>
      <c r="M174" s="2" t="s">
        <v>1403</v>
      </c>
      <c r="N174" s="3" t="s">
        <v>1212</v>
      </c>
      <c r="P174" s="3" t="s">
        <v>65</v>
      </c>
      <c r="Q174" s="2" t="s">
        <v>1404</v>
      </c>
      <c r="R174" s="3" t="s">
        <v>66</v>
      </c>
      <c r="S174" s="4">
        <v>30</v>
      </c>
      <c r="T174" s="4">
        <v>30</v>
      </c>
      <c r="U174" s="5" t="s">
        <v>124</v>
      </c>
      <c r="V174" s="5" t="s">
        <v>124</v>
      </c>
      <c r="W174" s="5" t="s">
        <v>67</v>
      </c>
      <c r="X174" s="5" t="s">
        <v>67</v>
      </c>
      <c r="Y174" s="4">
        <v>449</v>
      </c>
      <c r="Z174" s="4">
        <v>23</v>
      </c>
      <c r="AA174" s="4">
        <v>23</v>
      </c>
      <c r="AB174" s="4">
        <v>2</v>
      </c>
      <c r="AC174" s="4">
        <v>2</v>
      </c>
      <c r="AD174" s="4">
        <v>95</v>
      </c>
      <c r="AE174" s="4">
        <v>95</v>
      </c>
      <c r="AF174" s="4">
        <v>1</v>
      </c>
      <c r="AG174" s="4">
        <v>1</v>
      </c>
      <c r="AH174" s="4">
        <v>84</v>
      </c>
      <c r="AI174" s="4">
        <v>84</v>
      </c>
      <c r="AJ174" s="4">
        <v>14</v>
      </c>
      <c r="AK174" s="4">
        <v>14</v>
      </c>
      <c r="AL174" s="4">
        <v>46</v>
      </c>
      <c r="AM174" s="4">
        <v>46</v>
      </c>
      <c r="AN174" s="4">
        <v>0</v>
      </c>
      <c r="AO174" s="4">
        <v>0</v>
      </c>
      <c r="AP174" s="4">
        <v>19</v>
      </c>
      <c r="AQ174" s="4">
        <v>19</v>
      </c>
      <c r="AR174" s="3" t="s">
        <v>62</v>
      </c>
      <c r="AS174" s="3" t="s">
        <v>62</v>
      </c>
      <c r="AT174" s="3" t="s">
        <v>62</v>
      </c>
      <c r="AV174" s="6" t="str">
        <f>HYPERLINK("http://mcgill.on.worldcat.org/oclc/42397862","Catalog Record")</f>
        <v>Catalog Record</v>
      </c>
      <c r="AW174" s="6" t="str">
        <f>HYPERLINK("http://www.worldcat.org/oclc/42397862","WorldCat Record")</f>
        <v>WorldCat Record</v>
      </c>
      <c r="AX174" s="3" t="s">
        <v>1405</v>
      </c>
      <c r="AY174" s="3" t="s">
        <v>1406</v>
      </c>
      <c r="AZ174" s="3" t="s">
        <v>1407</v>
      </c>
      <c r="BA174" s="3" t="s">
        <v>1407</v>
      </c>
      <c r="BB174" s="3" t="s">
        <v>1408</v>
      </c>
      <c r="BC174" s="3" t="s">
        <v>142</v>
      </c>
      <c r="BD174" s="3" t="s">
        <v>68</v>
      </c>
      <c r="BE174" s="3" t="s">
        <v>1409</v>
      </c>
      <c r="BF174" s="3" t="s">
        <v>1408</v>
      </c>
      <c r="BG174" s="3" t="s">
        <v>1410</v>
      </c>
    </row>
    <row r="175" spans="1:59" ht="57" x14ac:dyDescent="0.45">
      <c r="A175" s="2" t="s">
        <v>59</v>
      </c>
      <c r="B175" s="2" t="s">
        <v>60</v>
      </c>
      <c r="C175" s="2" t="s">
        <v>1411</v>
      </c>
      <c r="D175" s="2" t="s">
        <v>1412</v>
      </c>
      <c r="E175" s="2" t="s">
        <v>1413</v>
      </c>
      <c r="G175" s="3" t="s">
        <v>62</v>
      </c>
      <c r="I175" s="3" t="s">
        <v>62</v>
      </c>
      <c r="J175" s="3" t="s">
        <v>62</v>
      </c>
      <c r="K175" s="3" t="s">
        <v>63</v>
      </c>
      <c r="M175" s="2" t="s">
        <v>1009</v>
      </c>
      <c r="N175" s="3" t="s">
        <v>894</v>
      </c>
      <c r="P175" s="3" t="s">
        <v>65</v>
      </c>
      <c r="R175" s="3" t="s">
        <v>66</v>
      </c>
      <c r="S175" s="4">
        <v>3</v>
      </c>
      <c r="T175" s="4">
        <v>3</v>
      </c>
      <c r="U175" s="5" t="s">
        <v>1414</v>
      </c>
      <c r="V175" s="5" t="s">
        <v>1414</v>
      </c>
      <c r="W175" s="5" t="s">
        <v>67</v>
      </c>
      <c r="X175" s="5" t="s">
        <v>67</v>
      </c>
      <c r="Y175" s="4">
        <v>162</v>
      </c>
      <c r="Z175" s="4">
        <v>13</v>
      </c>
      <c r="AA175" s="4">
        <v>15</v>
      </c>
      <c r="AB175" s="4">
        <v>1</v>
      </c>
      <c r="AC175" s="4">
        <v>3</v>
      </c>
      <c r="AD175" s="4">
        <v>21</v>
      </c>
      <c r="AE175" s="4">
        <v>23</v>
      </c>
      <c r="AF175" s="4">
        <v>0</v>
      </c>
      <c r="AG175" s="4">
        <v>2</v>
      </c>
      <c r="AH175" s="4">
        <v>20</v>
      </c>
      <c r="AI175" s="4">
        <v>21</v>
      </c>
      <c r="AJ175" s="4">
        <v>7</v>
      </c>
      <c r="AK175" s="4">
        <v>9</v>
      </c>
      <c r="AL175" s="4">
        <v>8</v>
      </c>
      <c r="AM175" s="4">
        <v>8</v>
      </c>
      <c r="AN175" s="4">
        <v>0</v>
      </c>
      <c r="AO175" s="4">
        <v>0</v>
      </c>
      <c r="AP175" s="4">
        <v>7</v>
      </c>
      <c r="AQ175" s="4">
        <v>9</v>
      </c>
      <c r="AR175" s="3" t="s">
        <v>62</v>
      </c>
      <c r="AS175" s="3" t="s">
        <v>62</v>
      </c>
      <c r="AT175" s="3" t="s">
        <v>62</v>
      </c>
      <c r="AV175" s="6" t="str">
        <f>HYPERLINK("http://mcgill.on.worldcat.org/oclc/606777725","Catalog Record")</f>
        <v>Catalog Record</v>
      </c>
      <c r="AW175" s="6" t="str">
        <f>HYPERLINK("http://www.worldcat.org/oclc/606777725","WorldCat Record")</f>
        <v>WorldCat Record</v>
      </c>
      <c r="AX175" s="3" t="s">
        <v>1415</v>
      </c>
      <c r="AY175" s="3" t="s">
        <v>1416</v>
      </c>
      <c r="AZ175" s="3" t="s">
        <v>1417</v>
      </c>
      <c r="BA175" s="3" t="s">
        <v>1417</v>
      </c>
      <c r="BB175" s="3" t="s">
        <v>1418</v>
      </c>
      <c r="BC175" s="3" t="s">
        <v>142</v>
      </c>
      <c r="BD175" s="3" t="s">
        <v>68</v>
      </c>
      <c r="BE175" s="3" t="s">
        <v>1419</v>
      </c>
      <c r="BF175" s="3" t="s">
        <v>1418</v>
      </c>
      <c r="BG175" s="3" t="s">
        <v>1420</v>
      </c>
    </row>
    <row r="176" spans="1:59" ht="57" x14ac:dyDescent="0.45">
      <c r="A176" s="2" t="s">
        <v>59</v>
      </c>
      <c r="B176" s="2" t="s">
        <v>60</v>
      </c>
      <c r="C176" s="2" t="s">
        <v>1421</v>
      </c>
      <c r="D176" s="2" t="s">
        <v>1422</v>
      </c>
      <c r="E176" s="2" t="s">
        <v>1423</v>
      </c>
      <c r="G176" s="3" t="s">
        <v>62</v>
      </c>
      <c r="I176" s="3" t="s">
        <v>62</v>
      </c>
      <c r="J176" s="3" t="s">
        <v>62</v>
      </c>
      <c r="K176" s="3" t="s">
        <v>63</v>
      </c>
      <c r="M176" s="2" t="s">
        <v>1424</v>
      </c>
      <c r="N176" s="3" t="s">
        <v>1059</v>
      </c>
      <c r="P176" s="3" t="s">
        <v>65</v>
      </c>
      <c r="Q176" s="2" t="s">
        <v>1425</v>
      </c>
      <c r="R176" s="3" t="s">
        <v>66</v>
      </c>
      <c r="S176" s="4">
        <v>11</v>
      </c>
      <c r="T176" s="4">
        <v>11</v>
      </c>
      <c r="U176" s="5" t="s">
        <v>1426</v>
      </c>
      <c r="V176" s="5" t="s">
        <v>1426</v>
      </c>
      <c r="W176" s="5" t="s">
        <v>67</v>
      </c>
      <c r="X176" s="5" t="s">
        <v>67</v>
      </c>
      <c r="Y176" s="4">
        <v>347</v>
      </c>
      <c r="Z176" s="4">
        <v>23</v>
      </c>
      <c r="AA176" s="4">
        <v>105</v>
      </c>
      <c r="AB176" s="4">
        <v>2</v>
      </c>
      <c r="AC176" s="4">
        <v>20</v>
      </c>
      <c r="AD176" s="4">
        <v>101</v>
      </c>
      <c r="AE176" s="4">
        <v>153</v>
      </c>
      <c r="AF176" s="4">
        <v>1</v>
      </c>
      <c r="AG176" s="4">
        <v>9</v>
      </c>
      <c r="AH176" s="4">
        <v>88</v>
      </c>
      <c r="AI176" s="4">
        <v>105</v>
      </c>
      <c r="AJ176" s="4">
        <v>13</v>
      </c>
      <c r="AK176" s="4">
        <v>27</v>
      </c>
      <c r="AL176" s="4">
        <v>53</v>
      </c>
      <c r="AM176" s="4">
        <v>56</v>
      </c>
      <c r="AN176" s="4">
        <v>0</v>
      </c>
      <c r="AO176" s="4">
        <v>0</v>
      </c>
      <c r="AP176" s="4">
        <v>18</v>
      </c>
      <c r="AQ176" s="4">
        <v>57</v>
      </c>
      <c r="AR176" s="3" t="s">
        <v>62</v>
      </c>
      <c r="AS176" s="3" t="s">
        <v>62</v>
      </c>
      <c r="AT176" s="3" t="s">
        <v>62</v>
      </c>
      <c r="AV176" s="6" t="str">
        <f>HYPERLINK("http://mcgill.on.worldcat.org/oclc/62760950","Catalog Record")</f>
        <v>Catalog Record</v>
      </c>
      <c r="AW176" s="6" t="str">
        <f>HYPERLINK("http://www.worldcat.org/oclc/62760950","WorldCat Record")</f>
        <v>WorldCat Record</v>
      </c>
      <c r="AX176" s="3" t="s">
        <v>1427</v>
      </c>
      <c r="AY176" s="3" t="s">
        <v>1428</v>
      </c>
      <c r="AZ176" s="3" t="s">
        <v>1429</v>
      </c>
      <c r="BA176" s="3" t="s">
        <v>1429</v>
      </c>
      <c r="BB176" s="3" t="s">
        <v>1430</v>
      </c>
      <c r="BC176" s="3" t="s">
        <v>142</v>
      </c>
      <c r="BD176" s="3" t="s">
        <v>68</v>
      </c>
      <c r="BE176" s="3" t="s">
        <v>1431</v>
      </c>
      <c r="BF176" s="3" t="s">
        <v>1430</v>
      </c>
      <c r="BG176" s="3" t="s">
        <v>1432</v>
      </c>
    </row>
    <row r="177" spans="1:59" ht="57" x14ac:dyDescent="0.45">
      <c r="A177" s="2" t="s">
        <v>59</v>
      </c>
      <c r="B177" s="2" t="s">
        <v>60</v>
      </c>
      <c r="C177" s="2" t="s">
        <v>1433</v>
      </c>
      <c r="D177" s="2" t="s">
        <v>1434</v>
      </c>
      <c r="E177" s="2" t="s">
        <v>1435</v>
      </c>
      <c r="G177" s="3" t="s">
        <v>62</v>
      </c>
      <c r="I177" s="3" t="s">
        <v>62</v>
      </c>
      <c r="J177" s="3" t="s">
        <v>62</v>
      </c>
      <c r="K177" s="3" t="s">
        <v>63</v>
      </c>
      <c r="M177" s="2" t="s">
        <v>1436</v>
      </c>
      <c r="N177" s="3" t="s">
        <v>1437</v>
      </c>
      <c r="P177" s="3" t="s">
        <v>65</v>
      </c>
      <c r="Q177" s="2" t="s">
        <v>1438</v>
      </c>
      <c r="R177" s="3" t="s">
        <v>66</v>
      </c>
      <c r="S177" s="4">
        <v>41</v>
      </c>
      <c r="T177" s="4">
        <v>41</v>
      </c>
      <c r="U177" s="5" t="s">
        <v>1439</v>
      </c>
      <c r="V177" s="5" t="s">
        <v>1439</v>
      </c>
      <c r="W177" s="5" t="s">
        <v>67</v>
      </c>
      <c r="X177" s="5" t="s">
        <v>67</v>
      </c>
      <c r="Y177" s="4">
        <v>366</v>
      </c>
      <c r="Z177" s="4">
        <v>22</v>
      </c>
      <c r="AA177" s="4">
        <v>110</v>
      </c>
      <c r="AB177" s="4">
        <v>1</v>
      </c>
      <c r="AC177" s="4">
        <v>21</v>
      </c>
      <c r="AD177" s="4">
        <v>103</v>
      </c>
      <c r="AE177" s="4">
        <v>152</v>
      </c>
      <c r="AF177" s="4">
        <v>0</v>
      </c>
      <c r="AG177" s="4">
        <v>9</v>
      </c>
      <c r="AH177" s="4">
        <v>95</v>
      </c>
      <c r="AI177" s="4">
        <v>105</v>
      </c>
      <c r="AJ177" s="4">
        <v>15</v>
      </c>
      <c r="AK177" s="4">
        <v>27</v>
      </c>
      <c r="AL177" s="4">
        <v>53</v>
      </c>
      <c r="AM177" s="4">
        <v>57</v>
      </c>
      <c r="AN177" s="4">
        <v>0</v>
      </c>
      <c r="AO177" s="4">
        <v>0</v>
      </c>
      <c r="AP177" s="4">
        <v>17</v>
      </c>
      <c r="AQ177" s="4">
        <v>56</v>
      </c>
      <c r="AR177" s="3" t="s">
        <v>62</v>
      </c>
      <c r="AS177" s="3" t="s">
        <v>62</v>
      </c>
      <c r="AT177" s="3" t="s">
        <v>61</v>
      </c>
      <c r="AU177" s="6" t="str">
        <f>HYPERLINK("http://catalog.hathitrust.org/Record/004572908","HathiTrust Record")</f>
        <v>HathiTrust Record</v>
      </c>
      <c r="AV177" s="6" t="str">
        <f>HYPERLINK("http://mcgill.on.worldcat.org/oclc/37157247","Catalog Record")</f>
        <v>Catalog Record</v>
      </c>
      <c r="AW177" s="6" t="str">
        <f>HYPERLINK("http://www.worldcat.org/oclc/37157247","WorldCat Record")</f>
        <v>WorldCat Record</v>
      </c>
      <c r="AX177" s="3" t="s">
        <v>1440</v>
      </c>
      <c r="AY177" s="3" t="s">
        <v>1441</v>
      </c>
      <c r="AZ177" s="3" t="s">
        <v>1442</v>
      </c>
      <c r="BA177" s="3" t="s">
        <v>1442</v>
      </c>
      <c r="BB177" s="3" t="s">
        <v>1443</v>
      </c>
      <c r="BC177" s="3" t="s">
        <v>142</v>
      </c>
      <c r="BD177" s="3" t="s">
        <v>68</v>
      </c>
      <c r="BE177" s="3" t="s">
        <v>1444</v>
      </c>
      <c r="BF177" s="3" t="s">
        <v>1443</v>
      </c>
      <c r="BG177" s="3" t="s">
        <v>1445</v>
      </c>
    </row>
    <row r="178" spans="1:59" ht="57" x14ac:dyDescent="0.45">
      <c r="A178" s="2" t="s">
        <v>59</v>
      </c>
      <c r="B178" s="2" t="s">
        <v>60</v>
      </c>
      <c r="C178" s="2" t="s">
        <v>1446</v>
      </c>
      <c r="D178" s="2" t="s">
        <v>1447</v>
      </c>
      <c r="E178" s="2" t="s">
        <v>1448</v>
      </c>
      <c r="G178" s="3" t="s">
        <v>62</v>
      </c>
      <c r="I178" s="3" t="s">
        <v>61</v>
      </c>
      <c r="J178" s="3" t="s">
        <v>62</v>
      </c>
      <c r="K178" s="3" t="s">
        <v>63</v>
      </c>
      <c r="M178" s="2" t="s">
        <v>1449</v>
      </c>
      <c r="N178" s="3" t="s">
        <v>1253</v>
      </c>
      <c r="P178" s="3" t="s">
        <v>65</v>
      </c>
      <c r="Q178" s="2" t="s">
        <v>1450</v>
      </c>
      <c r="R178" s="3" t="s">
        <v>66</v>
      </c>
      <c r="S178" s="4">
        <v>8</v>
      </c>
      <c r="T178" s="4">
        <v>24</v>
      </c>
      <c r="U178" s="5" t="s">
        <v>1451</v>
      </c>
      <c r="V178" s="5" t="s">
        <v>1452</v>
      </c>
      <c r="W178" s="5" t="s">
        <v>67</v>
      </c>
      <c r="X178" s="5" t="s">
        <v>67</v>
      </c>
      <c r="Y178" s="4">
        <v>291</v>
      </c>
      <c r="Z178" s="4">
        <v>20</v>
      </c>
      <c r="AA178" s="4">
        <v>23</v>
      </c>
      <c r="AB178" s="4">
        <v>1</v>
      </c>
      <c r="AC178" s="4">
        <v>4</v>
      </c>
      <c r="AD178" s="4">
        <v>98</v>
      </c>
      <c r="AE178" s="4">
        <v>99</v>
      </c>
      <c r="AF178" s="4">
        <v>0</v>
      </c>
      <c r="AG178" s="4">
        <v>0</v>
      </c>
      <c r="AH178" s="4">
        <v>89</v>
      </c>
      <c r="AI178" s="4">
        <v>90</v>
      </c>
      <c r="AJ178" s="4">
        <v>12</v>
      </c>
      <c r="AK178" s="4">
        <v>12</v>
      </c>
      <c r="AL178" s="4">
        <v>51</v>
      </c>
      <c r="AM178" s="4">
        <v>51</v>
      </c>
      <c r="AN178" s="4">
        <v>0</v>
      </c>
      <c r="AO178" s="4">
        <v>0</v>
      </c>
      <c r="AP178" s="4">
        <v>15</v>
      </c>
      <c r="AQ178" s="4">
        <v>15</v>
      </c>
      <c r="AR178" s="3" t="s">
        <v>62</v>
      </c>
      <c r="AS178" s="3" t="s">
        <v>62</v>
      </c>
      <c r="AT178" s="3" t="s">
        <v>62</v>
      </c>
      <c r="AV178" s="6" t="str">
        <f>HYPERLINK("http://mcgill.on.worldcat.org/oclc/36477033","Catalog Record")</f>
        <v>Catalog Record</v>
      </c>
      <c r="AW178" s="6" t="str">
        <f>HYPERLINK("http://www.worldcat.org/oclc/36477033","WorldCat Record")</f>
        <v>WorldCat Record</v>
      </c>
      <c r="AX178" s="3" t="s">
        <v>1453</v>
      </c>
      <c r="AY178" s="3" t="s">
        <v>1454</v>
      </c>
      <c r="AZ178" s="3" t="s">
        <v>1455</v>
      </c>
      <c r="BA178" s="3" t="s">
        <v>1455</v>
      </c>
      <c r="BB178" s="3" t="s">
        <v>1456</v>
      </c>
      <c r="BC178" s="3" t="s">
        <v>142</v>
      </c>
      <c r="BD178" s="3" t="s">
        <v>68</v>
      </c>
      <c r="BE178" s="3" t="s">
        <v>1457</v>
      </c>
      <c r="BF178" s="3" t="s">
        <v>1456</v>
      </c>
      <c r="BG178" s="3" t="s">
        <v>1458</v>
      </c>
    </row>
    <row r="179" spans="1:59" ht="57" x14ac:dyDescent="0.45">
      <c r="A179" s="2" t="s">
        <v>59</v>
      </c>
      <c r="B179" s="2" t="s">
        <v>60</v>
      </c>
      <c r="C179" s="2" t="s">
        <v>1446</v>
      </c>
      <c r="D179" s="2" t="s">
        <v>1447</v>
      </c>
      <c r="E179" s="2" t="s">
        <v>1448</v>
      </c>
      <c r="G179" s="3" t="s">
        <v>62</v>
      </c>
      <c r="I179" s="3" t="s">
        <v>61</v>
      </c>
      <c r="J179" s="3" t="s">
        <v>62</v>
      </c>
      <c r="K179" s="3" t="s">
        <v>63</v>
      </c>
      <c r="M179" s="2" t="s">
        <v>1449</v>
      </c>
      <c r="N179" s="3" t="s">
        <v>1253</v>
      </c>
      <c r="P179" s="3" t="s">
        <v>65</v>
      </c>
      <c r="Q179" s="2" t="s">
        <v>1450</v>
      </c>
      <c r="R179" s="3" t="s">
        <v>66</v>
      </c>
      <c r="S179" s="4">
        <v>16</v>
      </c>
      <c r="T179" s="4">
        <v>24</v>
      </c>
      <c r="U179" s="5" t="s">
        <v>1452</v>
      </c>
      <c r="V179" s="5" t="s">
        <v>1452</v>
      </c>
      <c r="W179" s="5" t="s">
        <v>67</v>
      </c>
      <c r="X179" s="5" t="s">
        <v>67</v>
      </c>
      <c r="Y179" s="4">
        <v>291</v>
      </c>
      <c r="Z179" s="4">
        <v>20</v>
      </c>
      <c r="AA179" s="4">
        <v>23</v>
      </c>
      <c r="AB179" s="4">
        <v>1</v>
      </c>
      <c r="AC179" s="4">
        <v>4</v>
      </c>
      <c r="AD179" s="4">
        <v>98</v>
      </c>
      <c r="AE179" s="4">
        <v>99</v>
      </c>
      <c r="AF179" s="4">
        <v>0</v>
      </c>
      <c r="AG179" s="4">
        <v>0</v>
      </c>
      <c r="AH179" s="4">
        <v>89</v>
      </c>
      <c r="AI179" s="4">
        <v>90</v>
      </c>
      <c r="AJ179" s="4">
        <v>12</v>
      </c>
      <c r="AK179" s="4">
        <v>12</v>
      </c>
      <c r="AL179" s="4">
        <v>51</v>
      </c>
      <c r="AM179" s="4">
        <v>51</v>
      </c>
      <c r="AN179" s="4">
        <v>0</v>
      </c>
      <c r="AO179" s="4">
        <v>0</v>
      </c>
      <c r="AP179" s="4">
        <v>15</v>
      </c>
      <c r="AQ179" s="4">
        <v>15</v>
      </c>
      <c r="AR179" s="3" t="s">
        <v>62</v>
      </c>
      <c r="AS179" s="3" t="s">
        <v>62</v>
      </c>
      <c r="AT179" s="3" t="s">
        <v>62</v>
      </c>
      <c r="AV179" s="6" t="str">
        <f>HYPERLINK("http://mcgill.on.worldcat.org/oclc/36477033","Catalog Record")</f>
        <v>Catalog Record</v>
      </c>
      <c r="AW179" s="6" t="str">
        <f>HYPERLINK("http://www.worldcat.org/oclc/36477033","WorldCat Record")</f>
        <v>WorldCat Record</v>
      </c>
      <c r="AX179" s="3" t="s">
        <v>1453</v>
      </c>
      <c r="AY179" s="3" t="s">
        <v>1454</v>
      </c>
      <c r="AZ179" s="3" t="s">
        <v>1455</v>
      </c>
      <c r="BA179" s="3" t="s">
        <v>1455</v>
      </c>
      <c r="BB179" s="3" t="s">
        <v>1459</v>
      </c>
      <c r="BC179" s="3" t="s">
        <v>142</v>
      </c>
      <c r="BD179" s="3" t="s">
        <v>308</v>
      </c>
      <c r="BE179" s="3" t="s">
        <v>1457</v>
      </c>
      <c r="BF179" s="3" t="s">
        <v>1459</v>
      </c>
      <c r="BG179" s="3" t="s">
        <v>1460</v>
      </c>
    </row>
    <row r="180" spans="1:59" ht="57" x14ac:dyDescent="0.45">
      <c r="A180" s="2" t="s">
        <v>59</v>
      </c>
      <c r="B180" s="2" t="s">
        <v>60</v>
      </c>
      <c r="C180" s="2" t="s">
        <v>1461</v>
      </c>
      <c r="D180" s="2" t="s">
        <v>1462</v>
      </c>
      <c r="E180" s="2" t="s">
        <v>1463</v>
      </c>
      <c r="G180" s="3" t="s">
        <v>62</v>
      </c>
      <c r="I180" s="3" t="s">
        <v>62</v>
      </c>
      <c r="J180" s="3" t="s">
        <v>62</v>
      </c>
      <c r="K180" s="3" t="s">
        <v>63</v>
      </c>
      <c r="M180" s="2" t="s">
        <v>1464</v>
      </c>
      <c r="N180" s="3" t="s">
        <v>1465</v>
      </c>
      <c r="P180" s="3" t="s">
        <v>110</v>
      </c>
      <c r="Q180" s="2" t="s">
        <v>1466</v>
      </c>
      <c r="R180" s="3" t="s">
        <v>66</v>
      </c>
      <c r="S180" s="4">
        <v>1</v>
      </c>
      <c r="T180" s="4">
        <v>1</v>
      </c>
      <c r="U180" s="5" t="s">
        <v>1358</v>
      </c>
      <c r="V180" s="5" t="s">
        <v>1358</v>
      </c>
      <c r="W180" s="5" t="s">
        <v>67</v>
      </c>
      <c r="X180" s="5" t="s">
        <v>67</v>
      </c>
      <c r="Y180" s="4">
        <v>19</v>
      </c>
      <c r="Z180" s="4">
        <v>6</v>
      </c>
      <c r="AA180" s="4">
        <v>11</v>
      </c>
      <c r="AB180" s="4">
        <v>1</v>
      </c>
      <c r="AC180" s="4">
        <v>5</v>
      </c>
      <c r="AD180" s="4">
        <v>9</v>
      </c>
      <c r="AE180" s="4">
        <v>13</v>
      </c>
      <c r="AF180" s="4">
        <v>0</v>
      </c>
      <c r="AG180" s="4">
        <v>3</v>
      </c>
      <c r="AH180" s="4">
        <v>7</v>
      </c>
      <c r="AI180" s="4">
        <v>9</v>
      </c>
      <c r="AJ180" s="4">
        <v>3</v>
      </c>
      <c r="AK180" s="4">
        <v>6</v>
      </c>
      <c r="AL180" s="4">
        <v>6</v>
      </c>
      <c r="AM180" s="4">
        <v>6</v>
      </c>
      <c r="AN180" s="4">
        <v>0</v>
      </c>
      <c r="AO180" s="4">
        <v>0</v>
      </c>
      <c r="AP180" s="4">
        <v>4</v>
      </c>
      <c r="AQ180" s="4">
        <v>8</v>
      </c>
      <c r="AR180" s="3" t="s">
        <v>62</v>
      </c>
      <c r="AS180" s="3" t="s">
        <v>62</v>
      </c>
      <c r="AT180" s="3" t="s">
        <v>62</v>
      </c>
      <c r="AV180" s="6" t="str">
        <f>HYPERLINK("http://mcgill.on.worldcat.org/oclc/492092922","Catalog Record")</f>
        <v>Catalog Record</v>
      </c>
      <c r="AW180" s="6" t="str">
        <f>HYPERLINK("http://www.worldcat.org/oclc/492092922","WorldCat Record")</f>
        <v>WorldCat Record</v>
      </c>
      <c r="AX180" s="3" t="s">
        <v>1467</v>
      </c>
      <c r="AY180" s="3" t="s">
        <v>1468</v>
      </c>
      <c r="AZ180" s="3" t="s">
        <v>1469</v>
      </c>
      <c r="BA180" s="3" t="s">
        <v>1469</v>
      </c>
      <c r="BB180" s="3" t="s">
        <v>1470</v>
      </c>
      <c r="BC180" s="3" t="s">
        <v>142</v>
      </c>
      <c r="BD180" s="3" t="s">
        <v>68</v>
      </c>
      <c r="BE180" s="3" t="s">
        <v>1471</v>
      </c>
      <c r="BF180" s="3" t="s">
        <v>1470</v>
      </c>
      <c r="BG180" s="3" t="s">
        <v>1472</v>
      </c>
    </row>
    <row r="181" spans="1:59" ht="57" x14ac:dyDescent="0.45">
      <c r="A181" s="2" t="s">
        <v>59</v>
      </c>
      <c r="B181" s="2" t="s">
        <v>60</v>
      </c>
      <c r="C181" s="2" t="s">
        <v>1473</v>
      </c>
      <c r="D181" s="2" t="s">
        <v>1474</v>
      </c>
      <c r="E181" s="2" t="s">
        <v>1475</v>
      </c>
      <c r="G181" s="3" t="s">
        <v>62</v>
      </c>
      <c r="I181" s="3" t="s">
        <v>62</v>
      </c>
      <c r="J181" s="3" t="s">
        <v>62</v>
      </c>
      <c r="K181" s="3" t="s">
        <v>63</v>
      </c>
      <c r="L181" s="2" t="s">
        <v>1476</v>
      </c>
      <c r="M181" s="2" t="s">
        <v>1477</v>
      </c>
      <c r="N181" s="3" t="s">
        <v>1478</v>
      </c>
      <c r="P181" s="3" t="s">
        <v>65</v>
      </c>
      <c r="Q181" s="2" t="s">
        <v>1479</v>
      </c>
      <c r="R181" s="3" t="s">
        <v>66</v>
      </c>
      <c r="S181" s="4">
        <v>33</v>
      </c>
      <c r="T181" s="4">
        <v>33</v>
      </c>
      <c r="U181" s="5" t="s">
        <v>869</v>
      </c>
      <c r="V181" s="5" t="s">
        <v>869</v>
      </c>
      <c r="W181" s="5" t="s">
        <v>67</v>
      </c>
      <c r="X181" s="5" t="s">
        <v>67</v>
      </c>
      <c r="Y181" s="4">
        <v>285</v>
      </c>
      <c r="Z181" s="4">
        <v>24</v>
      </c>
      <c r="AA181" s="4">
        <v>99</v>
      </c>
      <c r="AB181" s="4">
        <v>2</v>
      </c>
      <c r="AC181" s="4">
        <v>17</v>
      </c>
      <c r="AD181" s="4">
        <v>97</v>
      </c>
      <c r="AE181" s="4">
        <v>136</v>
      </c>
      <c r="AF181" s="4">
        <v>1</v>
      </c>
      <c r="AG181" s="4">
        <v>8</v>
      </c>
      <c r="AH181" s="4">
        <v>83</v>
      </c>
      <c r="AI181" s="4">
        <v>100</v>
      </c>
      <c r="AJ181" s="4">
        <v>16</v>
      </c>
      <c r="AK181" s="4">
        <v>24</v>
      </c>
      <c r="AL181" s="4">
        <v>50</v>
      </c>
      <c r="AM181" s="4">
        <v>55</v>
      </c>
      <c r="AN181" s="4">
        <v>0</v>
      </c>
      <c r="AO181" s="4">
        <v>0</v>
      </c>
      <c r="AP181" s="4">
        <v>21</v>
      </c>
      <c r="AQ181" s="4">
        <v>46</v>
      </c>
      <c r="AR181" s="3" t="s">
        <v>62</v>
      </c>
      <c r="AS181" s="3" t="s">
        <v>62</v>
      </c>
      <c r="AT181" s="3" t="s">
        <v>61</v>
      </c>
      <c r="AU181" s="6" t="str">
        <f>HYPERLINK("http://catalog.hathitrust.org/Record/003146022","HathiTrust Record")</f>
        <v>HathiTrust Record</v>
      </c>
      <c r="AV181" s="6" t="str">
        <f>HYPERLINK("http://mcgill.on.worldcat.org/oclc/34989995","Catalog Record")</f>
        <v>Catalog Record</v>
      </c>
      <c r="AW181" s="6" t="str">
        <f>HYPERLINK("http://www.worldcat.org/oclc/34989995","WorldCat Record")</f>
        <v>WorldCat Record</v>
      </c>
      <c r="AX181" s="3" t="s">
        <v>1480</v>
      </c>
      <c r="AY181" s="3" t="s">
        <v>1481</v>
      </c>
      <c r="AZ181" s="3" t="s">
        <v>1482</v>
      </c>
      <c r="BA181" s="3" t="s">
        <v>1482</v>
      </c>
      <c r="BB181" s="3" t="s">
        <v>1483</v>
      </c>
      <c r="BC181" s="3" t="s">
        <v>142</v>
      </c>
      <c r="BD181" s="3" t="s">
        <v>308</v>
      </c>
      <c r="BE181" s="3" t="s">
        <v>1484</v>
      </c>
      <c r="BF181" s="3" t="s">
        <v>1483</v>
      </c>
      <c r="BG181" s="3" t="s">
        <v>1485</v>
      </c>
    </row>
    <row r="182" spans="1:59" ht="57" x14ac:dyDescent="0.45">
      <c r="A182" s="2" t="s">
        <v>59</v>
      </c>
      <c r="B182" s="2" t="s">
        <v>60</v>
      </c>
      <c r="C182" s="2" t="s">
        <v>1486</v>
      </c>
      <c r="D182" s="2" t="s">
        <v>1487</v>
      </c>
      <c r="E182" s="2" t="s">
        <v>1488</v>
      </c>
      <c r="G182" s="3" t="s">
        <v>62</v>
      </c>
      <c r="I182" s="3" t="s">
        <v>62</v>
      </c>
      <c r="J182" s="3" t="s">
        <v>61</v>
      </c>
      <c r="K182" s="3" t="s">
        <v>63</v>
      </c>
      <c r="M182" s="2" t="s">
        <v>1489</v>
      </c>
      <c r="N182" s="3" t="s">
        <v>542</v>
      </c>
      <c r="P182" s="3" t="s">
        <v>65</v>
      </c>
      <c r="Q182" s="2" t="s">
        <v>1490</v>
      </c>
      <c r="R182" s="3" t="s">
        <v>66</v>
      </c>
      <c r="S182" s="4">
        <v>18</v>
      </c>
      <c r="T182" s="4">
        <v>18</v>
      </c>
      <c r="U182" s="5" t="s">
        <v>1099</v>
      </c>
      <c r="V182" s="5" t="s">
        <v>1099</v>
      </c>
      <c r="W182" s="5" t="s">
        <v>67</v>
      </c>
      <c r="X182" s="5" t="s">
        <v>67</v>
      </c>
      <c r="Y182" s="4">
        <v>347</v>
      </c>
      <c r="Z182" s="4">
        <v>26</v>
      </c>
      <c r="AA182" s="4">
        <v>111</v>
      </c>
      <c r="AB182" s="4">
        <v>2</v>
      </c>
      <c r="AC182" s="4">
        <v>17</v>
      </c>
      <c r="AD182" s="4">
        <v>93</v>
      </c>
      <c r="AE182" s="4">
        <v>153</v>
      </c>
      <c r="AF182" s="4">
        <v>1</v>
      </c>
      <c r="AG182" s="4">
        <v>8</v>
      </c>
      <c r="AH182" s="4">
        <v>79</v>
      </c>
      <c r="AI182" s="4">
        <v>111</v>
      </c>
      <c r="AJ182" s="4">
        <v>13</v>
      </c>
      <c r="AK182" s="4">
        <v>25</v>
      </c>
      <c r="AL182" s="4">
        <v>45</v>
      </c>
      <c r="AM182" s="4">
        <v>60</v>
      </c>
      <c r="AN182" s="4">
        <v>0</v>
      </c>
      <c r="AO182" s="4">
        <v>0</v>
      </c>
      <c r="AP182" s="4">
        <v>20</v>
      </c>
      <c r="AQ182" s="4">
        <v>50</v>
      </c>
      <c r="AR182" s="3" t="s">
        <v>62</v>
      </c>
      <c r="AS182" s="3" t="s">
        <v>62</v>
      </c>
      <c r="AT182" s="3" t="s">
        <v>62</v>
      </c>
      <c r="AV182" s="6" t="str">
        <f>HYPERLINK("http://mcgill.on.worldcat.org/oclc/44579005","Catalog Record")</f>
        <v>Catalog Record</v>
      </c>
      <c r="AW182" s="6" t="str">
        <f>HYPERLINK("http://www.worldcat.org/oclc/44579005","WorldCat Record")</f>
        <v>WorldCat Record</v>
      </c>
      <c r="AX182" s="3" t="s">
        <v>1491</v>
      </c>
      <c r="AY182" s="3" t="s">
        <v>1492</v>
      </c>
      <c r="AZ182" s="3" t="s">
        <v>1493</v>
      </c>
      <c r="BA182" s="3" t="s">
        <v>1493</v>
      </c>
      <c r="BB182" s="3" t="s">
        <v>1494</v>
      </c>
      <c r="BC182" s="3" t="s">
        <v>142</v>
      </c>
      <c r="BD182" s="3" t="s">
        <v>68</v>
      </c>
      <c r="BE182" s="3" t="s">
        <v>1495</v>
      </c>
      <c r="BF182" s="3" t="s">
        <v>1494</v>
      </c>
      <c r="BG182" s="3" t="s">
        <v>1496</v>
      </c>
    </row>
    <row r="183" spans="1:59" ht="57" x14ac:dyDescent="0.45">
      <c r="A183" s="2" t="s">
        <v>59</v>
      </c>
      <c r="B183" s="2" t="s">
        <v>412</v>
      </c>
      <c r="C183" s="2" t="s">
        <v>1497</v>
      </c>
      <c r="D183" s="2" t="s">
        <v>1498</v>
      </c>
      <c r="E183" s="2" t="s">
        <v>1488</v>
      </c>
      <c r="G183" s="3" t="s">
        <v>62</v>
      </c>
      <c r="I183" s="3" t="s">
        <v>62</v>
      </c>
      <c r="J183" s="3" t="s">
        <v>61</v>
      </c>
      <c r="K183" s="3" t="s">
        <v>63</v>
      </c>
      <c r="M183" s="2" t="s">
        <v>1499</v>
      </c>
      <c r="N183" s="3" t="s">
        <v>1465</v>
      </c>
      <c r="O183" s="2" t="s">
        <v>933</v>
      </c>
      <c r="P183" s="3" t="s">
        <v>65</v>
      </c>
      <c r="Q183" s="2" t="s">
        <v>1500</v>
      </c>
      <c r="R183" s="3" t="s">
        <v>66</v>
      </c>
      <c r="S183" s="4">
        <v>3</v>
      </c>
      <c r="T183" s="4">
        <v>3</v>
      </c>
      <c r="U183" s="5" t="s">
        <v>1501</v>
      </c>
      <c r="V183" s="5" t="s">
        <v>1501</v>
      </c>
      <c r="W183" s="5" t="s">
        <v>67</v>
      </c>
      <c r="X183" s="5" t="s">
        <v>67</v>
      </c>
      <c r="Y183" s="4">
        <v>215</v>
      </c>
      <c r="Z183" s="4">
        <v>12</v>
      </c>
      <c r="AA183" s="4">
        <v>111</v>
      </c>
      <c r="AB183" s="4">
        <v>1</v>
      </c>
      <c r="AC183" s="4">
        <v>17</v>
      </c>
      <c r="AD183" s="4">
        <v>50</v>
      </c>
      <c r="AE183" s="4">
        <v>153</v>
      </c>
      <c r="AF183" s="4">
        <v>0</v>
      </c>
      <c r="AG183" s="4">
        <v>8</v>
      </c>
      <c r="AH183" s="4">
        <v>44</v>
      </c>
      <c r="AI183" s="4">
        <v>111</v>
      </c>
      <c r="AJ183" s="4">
        <v>6</v>
      </c>
      <c r="AK183" s="4">
        <v>25</v>
      </c>
      <c r="AL183" s="4">
        <v>32</v>
      </c>
      <c r="AM183" s="4">
        <v>60</v>
      </c>
      <c r="AN183" s="4">
        <v>0</v>
      </c>
      <c r="AO183" s="4">
        <v>0</v>
      </c>
      <c r="AP183" s="4">
        <v>9</v>
      </c>
      <c r="AQ183" s="4">
        <v>50</v>
      </c>
      <c r="AR183" s="3" t="s">
        <v>62</v>
      </c>
      <c r="AS183" s="3" t="s">
        <v>62</v>
      </c>
      <c r="AT183" s="3" t="s">
        <v>62</v>
      </c>
      <c r="AV183" s="6" t="str">
        <f>HYPERLINK("http://mcgill.on.worldcat.org/oclc/298186590","Catalog Record")</f>
        <v>Catalog Record</v>
      </c>
      <c r="AW183" s="6" t="str">
        <f>HYPERLINK("http://www.worldcat.org/oclc/298186590","WorldCat Record")</f>
        <v>WorldCat Record</v>
      </c>
      <c r="AX183" s="3" t="s">
        <v>1491</v>
      </c>
      <c r="AY183" s="3" t="s">
        <v>1502</v>
      </c>
      <c r="AZ183" s="3" t="s">
        <v>1503</v>
      </c>
      <c r="BA183" s="3" t="s">
        <v>1503</v>
      </c>
      <c r="BB183" s="3" t="s">
        <v>1504</v>
      </c>
      <c r="BC183" s="3" t="s">
        <v>142</v>
      </c>
      <c r="BD183" s="3" t="s">
        <v>68</v>
      </c>
      <c r="BE183" s="3" t="s">
        <v>1505</v>
      </c>
      <c r="BF183" s="3" t="s">
        <v>1504</v>
      </c>
      <c r="BG183" s="3" t="s">
        <v>1506</v>
      </c>
    </row>
    <row r="184" spans="1:59" ht="57" x14ac:dyDescent="0.45">
      <c r="A184" s="2" t="s">
        <v>59</v>
      </c>
      <c r="B184" s="2" t="s">
        <v>60</v>
      </c>
      <c r="C184" s="2" t="s">
        <v>1507</v>
      </c>
      <c r="D184" s="2" t="s">
        <v>1508</v>
      </c>
      <c r="E184" s="2" t="s">
        <v>1509</v>
      </c>
      <c r="G184" s="3" t="s">
        <v>62</v>
      </c>
      <c r="I184" s="3" t="s">
        <v>62</v>
      </c>
      <c r="J184" s="3" t="s">
        <v>62</v>
      </c>
      <c r="K184" s="3" t="s">
        <v>63</v>
      </c>
      <c r="L184" s="2" t="s">
        <v>1510</v>
      </c>
      <c r="M184" s="2" t="s">
        <v>1511</v>
      </c>
      <c r="N184" s="3" t="s">
        <v>84</v>
      </c>
      <c r="P184" s="3" t="s">
        <v>65</v>
      </c>
      <c r="Q184" s="2" t="s">
        <v>1512</v>
      </c>
      <c r="R184" s="3" t="s">
        <v>66</v>
      </c>
      <c r="S184" s="4">
        <v>40</v>
      </c>
      <c r="T184" s="4">
        <v>40</v>
      </c>
      <c r="U184" s="5" t="s">
        <v>1513</v>
      </c>
      <c r="V184" s="5" t="s">
        <v>1513</v>
      </c>
      <c r="W184" s="5" t="s">
        <v>67</v>
      </c>
      <c r="X184" s="5" t="s">
        <v>67</v>
      </c>
      <c r="Y184" s="4">
        <v>427</v>
      </c>
      <c r="Z184" s="4">
        <v>27</v>
      </c>
      <c r="AA184" s="4">
        <v>30</v>
      </c>
      <c r="AB184" s="4">
        <v>1</v>
      </c>
      <c r="AC184" s="4">
        <v>4</v>
      </c>
      <c r="AD184" s="4">
        <v>122</v>
      </c>
      <c r="AE184" s="4">
        <v>125</v>
      </c>
      <c r="AF184" s="4">
        <v>0</v>
      </c>
      <c r="AG184" s="4">
        <v>3</v>
      </c>
      <c r="AH184" s="4">
        <v>106</v>
      </c>
      <c r="AI184" s="4">
        <v>107</v>
      </c>
      <c r="AJ184" s="4">
        <v>17</v>
      </c>
      <c r="AK184" s="4">
        <v>20</v>
      </c>
      <c r="AL184" s="4">
        <v>56</v>
      </c>
      <c r="AM184" s="4">
        <v>56</v>
      </c>
      <c r="AN184" s="4">
        <v>0</v>
      </c>
      <c r="AO184" s="4">
        <v>0</v>
      </c>
      <c r="AP184" s="4">
        <v>24</v>
      </c>
      <c r="AQ184" s="4">
        <v>26</v>
      </c>
      <c r="AR184" s="3" t="s">
        <v>62</v>
      </c>
      <c r="AS184" s="3" t="s">
        <v>62</v>
      </c>
      <c r="AT184" s="3" t="s">
        <v>62</v>
      </c>
      <c r="AV184" s="6" t="str">
        <f>HYPERLINK("http://mcgill.on.worldcat.org/oclc/24174700","Catalog Record")</f>
        <v>Catalog Record</v>
      </c>
      <c r="AW184" s="6" t="str">
        <f>HYPERLINK("http://www.worldcat.org/oclc/24174700","WorldCat Record")</f>
        <v>WorldCat Record</v>
      </c>
      <c r="AX184" s="3" t="s">
        <v>1514</v>
      </c>
      <c r="AY184" s="3" t="s">
        <v>1515</v>
      </c>
      <c r="AZ184" s="3" t="s">
        <v>1516</v>
      </c>
      <c r="BA184" s="3" t="s">
        <v>1516</v>
      </c>
      <c r="BB184" s="3" t="s">
        <v>1517</v>
      </c>
      <c r="BC184" s="3" t="s">
        <v>142</v>
      </c>
      <c r="BD184" s="3" t="s">
        <v>68</v>
      </c>
      <c r="BE184" s="3" t="s">
        <v>1518</v>
      </c>
      <c r="BF184" s="3" t="s">
        <v>1517</v>
      </c>
      <c r="BG184" s="3" t="s">
        <v>1519</v>
      </c>
    </row>
    <row r="185" spans="1:59" ht="57" x14ac:dyDescent="0.45">
      <c r="A185" s="2" t="s">
        <v>59</v>
      </c>
      <c r="B185" s="2" t="s">
        <v>60</v>
      </c>
      <c r="C185" s="2" t="s">
        <v>1520</v>
      </c>
      <c r="D185" s="2" t="s">
        <v>1521</v>
      </c>
      <c r="E185" s="2" t="s">
        <v>1522</v>
      </c>
      <c r="G185" s="3" t="s">
        <v>62</v>
      </c>
      <c r="I185" s="3" t="s">
        <v>62</v>
      </c>
      <c r="J185" s="3" t="s">
        <v>62</v>
      </c>
      <c r="K185" s="3" t="s">
        <v>63</v>
      </c>
      <c r="L185" s="2" t="s">
        <v>1523</v>
      </c>
      <c r="M185" s="2" t="s">
        <v>1524</v>
      </c>
      <c r="N185" s="3" t="s">
        <v>894</v>
      </c>
      <c r="P185" s="3" t="s">
        <v>65</v>
      </c>
      <c r="Q185" s="2" t="s">
        <v>1525</v>
      </c>
      <c r="R185" s="3" t="s">
        <v>66</v>
      </c>
      <c r="S185" s="4">
        <v>2</v>
      </c>
      <c r="T185" s="4">
        <v>2</v>
      </c>
      <c r="U185" s="5" t="s">
        <v>1526</v>
      </c>
      <c r="V185" s="5" t="s">
        <v>1526</v>
      </c>
      <c r="W185" s="5" t="s">
        <v>67</v>
      </c>
      <c r="X185" s="5" t="s">
        <v>67</v>
      </c>
      <c r="Y185" s="4">
        <v>137</v>
      </c>
      <c r="Z185" s="4">
        <v>23</v>
      </c>
      <c r="AA185" s="4">
        <v>25</v>
      </c>
      <c r="AB185" s="4">
        <v>2</v>
      </c>
      <c r="AC185" s="4">
        <v>4</v>
      </c>
      <c r="AD185" s="4">
        <v>55</v>
      </c>
      <c r="AE185" s="4">
        <v>56</v>
      </c>
      <c r="AF185" s="4">
        <v>1</v>
      </c>
      <c r="AG185" s="4">
        <v>2</v>
      </c>
      <c r="AH185" s="4">
        <v>46</v>
      </c>
      <c r="AI185" s="4">
        <v>46</v>
      </c>
      <c r="AJ185" s="4">
        <v>15</v>
      </c>
      <c r="AK185" s="4">
        <v>16</v>
      </c>
      <c r="AL185" s="4">
        <v>27</v>
      </c>
      <c r="AM185" s="4">
        <v>27</v>
      </c>
      <c r="AN185" s="4">
        <v>0</v>
      </c>
      <c r="AO185" s="4">
        <v>0</v>
      </c>
      <c r="AP185" s="4">
        <v>20</v>
      </c>
      <c r="AQ185" s="4">
        <v>20</v>
      </c>
      <c r="AR185" s="3" t="s">
        <v>62</v>
      </c>
      <c r="AS185" s="3" t="s">
        <v>62</v>
      </c>
      <c r="AT185" s="3" t="s">
        <v>62</v>
      </c>
      <c r="AV185" s="6" t="str">
        <f>HYPERLINK("http://mcgill.on.worldcat.org/oclc/719429239","Catalog Record")</f>
        <v>Catalog Record</v>
      </c>
      <c r="AW185" s="6" t="str">
        <f>HYPERLINK("http://www.worldcat.org/oclc/719429239","WorldCat Record")</f>
        <v>WorldCat Record</v>
      </c>
      <c r="AX185" s="3" t="s">
        <v>1527</v>
      </c>
      <c r="AY185" s="3" t="s">
        <v>1528</v>
      </c>
      <c r="AZ185" s="3" t="s">
        <v>1529</v>
      </c>
      <c r="BA185" s="3" t="s">
        <v>1529</v>
      </c>
      <c r="BB185" s="3" t="s">
        <v>1530</v>
      </c>
      <c r="BC185" s="3" t="s">
        <v>142</v>
      </c>
      <c r="BD185" s="3" t="s">
        <v>68</v>
      </c>
      <c r="BE185" s="3" t="s">
        <v>1531</v>
      </c>
      <c r="BF185" s="3" t="s">
        <v>1530</v>
      </c>
      <c r="BG185" s="3" t="s">
        <v>1532</v>
      </c>
    </row>
    <row r="186" spans="1:59" ht="57" x14ac:dyDescent="0.45">
      <c r="A186" s="2" t="s">
        <v>59</v>
      </c>
      <c r="B186" s="2" t="s">
        <v>60</v>
      </c>
      <c r="C186" s="2" t="s">
        <v>1533</v>
      </c>
      <c r="D186" s="2" t="s">
        <v>1534</v>
      </c>
      <c r="E186" s="2" t="s">
        <v>1535</v>
      </c>
      <c r="G186" s="3" t="s">
        <v>62</v>
      </c>
      <c r="I186" s="3" t="s">
        <v>61</v>
      </c>
      <c r="J186" s="3" t="s">
        <v>62</v>
      </c>
      <c r="K186" s="3" t="s">
        <v>63</v>
      </c>
      <c r="M186" s="2" t="s">
        <v>1536</v>
      </c>
      <c r="N186" s="3" t="s">
        <v>1478</v>
      </c>
      <c r="P186" s="3" t="s">
        <v>65</v>
      </c>
      <c r="R186" s="3" t="s">
        <v>66</v>
      </c>
      <c r="S186" s="4">
        <v>19</v>
      </c>
      <c r="T186" s="4">
        <v>27</v>
      </c>
      <c r="U186" s="5" t="s">
        <v>1537</v>
      </c>
      <c r="V186" s="5" t="s">
        <v>1537</v>
      </c>
      <c r="W186" s="5" t="s">
        <v>67</v>
      </c>
      <c r="X186" s="5" t="s">
        <v>67</v>
      </c>
      <c r="Y186" s="4">
        <v>327</v>
      </c>
      <c r="Z186" s="4">
        <v>22</v>
      </c>
      <c r="AA186" s="4">
        <v>25</v>
      </c>
      <c r="AB186" s="4">
        <v>1</v>
      </c>
      <c r="AC186" s="4">
        <v>4</v>
      </c>
      <c r="AD186" s="4">
        <v>111</v>
      </c>
      <c r="AE186" s="4">
        <v>114</v>
      </c>
      <c r="AF186" s="4">
        <v>0</v>
      </c>
      <c r="AG186" s="4">
        <v>3</v>
      </c>
      <c r="AH186" s="4">
        <v>100</v>
      </c>
      <c r="AI186" s="4">
        <v>101</v>
      </c>
      <c r="AJ186" s="4">
        <v>13</v>
      </c>
      <c r="AK186" s="4">
        <v>16</v>
      </c>
      <c r="AL186" s="4">
        <v>56</v>
      </c>
      <c r="AM186" s="4">
        <v>56</v>
      </c>
      <c r="AN186" s="4">
        <v>0</v>
      </c>
      <c r="AO186" s="4">
        <v>0</v>
      </c>
      <c r="AP186" s="4">
        <v>18</v>
      </c>
      <c r="AQ186" s="4">
        <v>20</v>
      </c>
      <c r="AR186" s="3" t="s">
        <v>62</v>
      </c>
      <c r="AS186" s="3" t="s">
        <v>62</v>
      </c>
      <c r="AT186" s="3" t="s">
        <v>62</v>
      </c>
      <c r="AV186" s="6" t="str">
        <f>HYPERLINK("http://mcgill.on.worldcat.org/oclc/33819833","Catalog Record")</f>
        <v>Catalog Record</v>
      </c>
      <c r="AW186" s="6" t="str">
        <f>HYPERLINK("http://www.worldcat.org/oclc/33819833","WorldCat Record")</f>
        <v>WorldCat Record</v>
      </c>
      <c r="AX186" s="3" t="s">
        <v>1538</v>
      </c>
      <c r="AY186" s="3" t="s">
        <v>1539</v>
      </c>
      <c r="AZ186" s="3" t="s">
        <v>1540</v>
      </c>
      <c r="BA186" s="3" t="s">
        <v>1540</v>
      </c>
      <c r="BB186" s="3" t="s">
        <v>1541</v>
      </c>
      <c r="BC186" s="3" t="s">
        <v>142</v>
      </c>
      <c r="BD186" s="3" t="s">
        <v>308</v>
      </c>
      <c r="BE186" s="3" t="s">
        <v>1542</v>
      </c>
      <c r="BF186" s="3" t="s">
        <v>1541</v>
      </c>
      <c r="BG186" s="3" t="s">
        <v>1543</v>
      </c>
    </row>
    <row r="187" spans="1:59" ht="57" x14ac:dyDescent="0.45">
      <c r="A187" s="2" t="s">
        <v>59</v>
      </c>
      <c r="B187" s="2" t="s">
        <v>60</v>
      </c>
      <c r="C187" s="2" t="s">
        <v>1533</v>
      </c>
      <c r="D187" s="2" t="s">
        <v>1534</v>
      </c>
      <c r="E187" s="2" t="s">
        <v>1535</v>
      </c>
      <c r="G187" s="3" t="s">
        <v>62</v>
      </c>
      <c r="I187" s="3" t="s">
        <v>61</v>
      </c>
      <c r="J187" s="3" t="s">
        <v>62</v>
      </c>
      <c r="K187" s="3" t="s">
        <v>63</v>
      </c>
      <c r="M187" s="2" t="s">
        <v>1536</v>
      </c>
      <c r="N187" s="3" t="s">
        <v>1478</v>
      </c>
      <c r="P187" s="3" t="s">
        <v>65</v>
      </c>
      <c r="R187" s="3" t="s">
        <v>66</v>
      </c>
      <c r="S187" s="4">
        <v>8</v>
      </c>
      <c r="T187" s="4">
        <v>27</v>
      </c>
      <c r="U187" s="5" t="s">
        <v>1544</v>
      </c>
      <c r="V187" s="5" t="s">
        <v>1537</v>
      </c>
      <c r="W187" s="5" t="s">
        <v>67</v>
      </c>
      <c r="X187" s="5" t="s">
        <v>67</v>
      </c>
      <c r="Y187" s="4">
        <v>327</v>
      </c>
      <c r="Z187" s="4">
        <v>22</v>
      </c>
      <c r="AA187" s="4">
        <v>25</v>
      </c>
      <c r="AB187" s="4">
        <v>1</v>
      </c>
      <c r="AC187" s="4">
        <v>4</v>
      </c>
      <c r="AD187" s="4">
        <v>111</v>
      </c>
      <c r="AE187" s="4">
        <v>114</v>
      </c>
      <c r="AF187" s="4">
        <v>0</v>
      </c>
      <c r="AG187" s="4">
        <v>3</v>
      </c>
      <c r="AH187" s="4">
        <v>100</v>
      </c>
      <c r="AI187" s="4">
        <v>101</v>
      </c>
      <c r="AJ187" s="4">
        <v>13</v>
      </c>
      <c r="AK187" s="4">
        <v>16</v>
      </c>
      <c r="AL187" s="4">
        <v>56</v>
      </c>
      <c r="AM187" s="4">
        <v>56</v>
      </c>
      <c r="AN187" s="4">
        <v>0</v>
      </c>
      <c r="AO187" s="4">
        <v>0</v>
      </c>
      <c r="AP187" s="4">
        <v>18</v>
      </c>
      <c r="AQ187" s="4">
        <v>20</v>
      </c>
      <c r="AR187" s="3" t="s">
        <v>62</v>
      </c>
      <c r="AS187" s="3" t="s">
        <v>62</v>
      </c>
      <c r="AT187" s="3" t="s">
        <v>62</v>
      </c>
      <c r="AV187" s="6" t="str">
        <f>HYPERLINK("http://mcgill.on.worldcat.org/oclc/33819833","Catalog Record")</f>
        <v>Catalog Record</v>
      </c>
      <c r="AW187" s="6" t="str">
        <f>HYPERLINK("http://www.worldcat.org/oclc/33819833","WorldCat Record")</f>
        <v>WorldCat Record</v>
      </c>
      <c r="AX187" s="3" t="s">
        <v>1538</v>
      </c>
      <c r="AY187" s="3" t="s">
        <v>1539</v>
      </c>
      <c r="AZ187" s="3" t="s">
        <v>1540</v>
      </c>
      <c r="BA187" s="3" t="s">
        <v>1540</v>
      </c>
      <c r="BB187" s="3" t="s">
        <v>1545</v>
      </c>
      <c r="BC187" s="3" t="s">
        <v>142</v>
      </c>
      <c r="BD187" s="3" t="s">
        <v>308</v>
      </c>
      <c r="BE187" s="3" t="s">
        <v>1542</v>
      </c>
      <c r="BF187" s="3" t="s">
        <v>1545</v>
      </c>
      <c r="BG187" s="3" t="s">
        <v>1546</v>
      </c>
    </row>
    <row r="188" spans="1:59" ht="57" x14ac:dyDescent="0.45">
      <c r="A188" s="2" t="s">
        <v>59</v>
      </c>
      <c r="B188" s="2" t="s">
        <v>60</v>
      </c>
      <c r="C188" s="2" t="s">
        <v>1547</v>
      </c>
      <c r="D188" s="2" t="s">
        <v>1548</v>
      </c>
      <c r="E188" s="2" t="s">
        <v>1549</v>
      </c>
      <c r="G188" s="3" t="s">
        <v>62</v>
      </c>
      <c r="I188" s="3" t="s">
        <v>61</v>
      </c>
      <c r="J188" s="3" t="s">
        <v>61</v>
      </c>
      <c r="K188" s="3" t="s">
        <v>63</v>
      </c>
      <c r="L188" s="2" t="s">
        <v>1550</v>
      </c>
      <c r="M188" s="2" t="s">
        <v>1551</v>
      </c>
      <c r="N188" s="3" t="s">
        <v>157</v>
      </c>
      <c r="P188" s="3" t="s">
        <v>65</v>
      </c>
      <c r="Q188" s="2" t="s">
        <v>1552</v>
      </c>
      <c r="R188" s="3" t="s">
        <v>66</v>
      </c>
      <c r="S188" s="4">
        <v>1</v>
      </c>
      <c r="T188" s="4">
        <v>218</v>
      </c>
      <c r="U188" s="5" t="s">
        <v>1553</v>
      </c>
      <c r="V188" s="5" t="s">
        <v>1554</v>
      </c>
      <c r="W188" s="5" t="s">
        <v>67</v>
      </c>
      <c r="X188" s="5" t="s">
        <v>67</v>
      </c>
      <c r="Y188" s="4">
        <v>1052</v>
      </c>
      <c r="Z188" s="4">
        <v>60</v>
      </c>
      <c r="AA188" s="4">
        <v>157</v>
      </c>
      <c r="AB188" s="4">
        <v>3</v>
      </c>
      <c r="AC188" s="4">
        <v>24</v>
      </c>
      <c r="AD188" s="4">
        <v>129</v>
      </c>
      <c r="AE188" s="4">
        <v>170</v>
      </c>
      <c r="AF188" s="4">
        <v>1</v>
      </c>
      <c r="AG188" s="4">
        <v>9</v>
      </c>
      <c r="AH188" s="4">
        <v>104</v>
      </c>
      <c r="AI188" s="4">
        <v>115</v>
      </c>
      <c r="AJ188" s="4">
        <v>22</v>
      </c>
      <c r="AK188" s="4">
        <v>28</v>
      </c>
      <c r="AL188" s="4">
        <v>56</v>
      </c>
      <c r="AM188" s="4">
        <v>62</v>
      </c>
      <c r="AN188" s="4">
        <v>0</v>
      </c>
      <c r="AO188" s="4">
        <v>0</v>
      </c>
      <c r="AP188" s="4">
        <v>35</v>
      </c>
      <c r="AQ188" s="4">
        <v>62</v>
      </c>
      <c r="AR188" s="3" t="s">
        <v>62</v>
      </c>
      <c r="AS188" s="3" t="s">
        <v>62</v>
      </c>
      <c r="AT188" s="3" t="s">
        <v>61</v>
      </c>
      <c r="AU188" s="6" t="str">
        <f>HYPERLINK("http://catalog.hathitrust.org/Record/000231363","HathiTrust Record")</f>
        <v>HathiTrust Record</v>
      </c>
      <c r="AV188" s="6" t="str">
        <f>HYPERLINK("http://mcgill.on.worldcat.org/oclc/8345642","Catalog Record")</f>
        <v>Catalog Record</v>
      </c>
      <c r="AW188" s="6" t="str">
        <f>HYPERLINK("http://www.worldcat.org/oclc/8345642","WorldCat Record")</f>
        <v>WorldCat Record</v>
      </c>
      <c r="AX188" s="3" t="s">
        <v>1555</v>
      </c>
      <c r="AY188" s="3" t="s">
        <v>1556</v>
      </c>
      <c r="AZ188" s="3" t="s">
        <v>1557</v>
      </c>
      <c r="BA188" s="3" t="s">
        <v>1557</v>
      </c>
      <c r="BB188" s="3" t="s">
        <v>1558</v>
      </c>
      <c r="BC188" s="3" t="s">
        <v>142</v>
      </c>
      <c r="BD188" s="3" t="s">
        <v>68</v>
      </c>
      <c r="BE188" s="3" t="s">
        <v>1559</v>
      </c>
      <c r="BF188" s="3" t="s">
        <v>1558</v>
      </c>
      <c r="BG188" s="3" t="s">
        <v>1560</v>
      </c>
    </row>
    <row r="189" spans="1:59" ht="57" x14ac:dyDescent="0.45">
      <c r="A189" s="2" t="s">
        <v>59</v>
      </c>
      <c r="B189" s="2" t="s">
        <v>60</v>
      </c>
      <c r="C189" s="2" t="s">
        <v>1547</v>
      </c>
      <c r="D189" s="2" t="s">
        <v>1548</v>
      </c>
      <c r="E189" s="2" t="s">
        <v>1549</v>
      </c>
      <c r="G189" s="3" t="s">
        <v>62</v>
      </c>
      <c r="I189" s="3" t="s">
        <v>61</v>
      </c>
      <c r="J189" s="3" t="s">
        <v>61</v>
      </c>
      <c r="K189" s="3" t="s">
        <v>63</v>
      </c>
      <c r="L189" s="2" t="s">
        <v>1550</v>
      </c>
      <c r="M189" s="2" t="s">
        <v>1551</v>
      </c>
      <c r="N189" s="3" t="s">
        <v>157</v>
      </c>
      <c r="P189" s="3" t="s">
        <v>65</v>
      </c>
      <c r="Q189" s="2" t="s">
        <v>1552</v>
      </c>
      <c r="R189" s="3" t="s">
        <v>66</v>
      </c>
      <c r="S189" s="4">
        <v>112</v>
      </c>
      <c r="T189" s="4">
        <v>218</v>
      </c>
      <c r="U189" s="5" t="s">
        <v>1561</v>
      </c>
      <c r="V189" s="5" t="s">
        <v>1554</v>
      </c>
      <c r="W189" s="5" t="s">
        <v>67</v>
      </c>
      <c r="X189" s="5" t="s">
        <v>67</v>
      </c>
      <c r="Y189" s="4">
        <v>1052</v>
      </c>
      <c r="Z189" s="4">
        <v>60</v>
      </c>
      <c r="AA189" s="4">
        <v>157</v>
      </c>
      <c r="AB189" s="4">
        <v>3</v>
      </c>
      <c r="AC189" s="4">
        <v>24</v>
      </c>
      <c r="AD189" s="4">
        <v>129</v>
      </c>
      <c r="AE189" s="4">
        <v>170</v>
      </c>
      <c r="AF189" s="4">
        <v>1</v>
      </c>
      <c r="AG189" s="4">
        <v>9</v>
      </c>
      <c r="AH189" s="4">
        <v>104</v>
      </c>
      <c r="AI189" s="4">
        <v>115</v>
      </c>
      <c r="AJ189" s="4">
        <v>22</v>
      </c>
      <c r="AK189" s="4">
        <v>28</v>
      </c>
      <c r="AL189" s="4">
        <v>56</v>
      </c>
      <c r="AM189" s="4">
        <v>62</v>
      </c>
      <c r="AN189" s="4">
        <v>0</v>
      </c>
      <c r="AO189" s="4">
        <v>0</v>
      </c>
      <c r="AP189" s="4">
        <v>35</v>
      </c>
      <c r="AQ189" s="4">
        <v>62</v>
      </c>
      <c r="AR189" s="3" t="s">
        <v>62</v>
      </c>
      <c r="AS189" s="3" t="s">
        <v>62</v>
      </c>
      <c r="AT189" s="3" t="s">
        <v>61</v>
      </c>
      <c r="AU189" s="6" t="str">
        <f>HYPERLINK("http://catalog.hathitrust.org/Record/000231363","HathiTrust Record")</f>
        <v>HathiTrust Record</v>
      </c>
      <c r="AV189" s="6" t="str">
        <f>HYPERLINK("http://mcgill.on.worldcat.org/oclc/8345642","Catalog Record")</f>
        <v>Catalog Record</v>
      </c>
      <c r="AW189" s="6" t="str">
        <f>HYPERLINK("http://www.worldcat.org/oclc/8345642","WorldCat Record")</f>
        <v>WorldCat Record</v>
      </c>
      <c r="AX189" s="3" t="s">
        <v>1555</v>
      </c>
      <c r="AY189" s="3" t="s">
        <v>1556</v>
      </c>
      <c r="AZ189" s="3" t="s">
        <v>1557</v>
      </c>
      <c r="BA189" s="3" t="s">
        <v>1557</v>
      </c>
      <c r="BB189" s="3" t="s">
        <v>1562</v>
      </c>
      <c r="BC189" s="3" t="s">
        <v>142</v>
      </c>
      <c r="BD189" s="3" t="s">
        <v>68</v>
      </c>
      <c r="BE189" s="3" t="s">
        <v>1559</v>
      </c>
      <c r="BF189" s="3" t="s">
        <v>1562</v>
      </c>
      <c r="BG189" s="3" t="s">
        <v>1563</v>
      </c>
    </row>
    <row r="190" spans="1:59" ht="57" x14ac:dyDescent="0.45">
      <c r="A190" s="2" t="s">
        <v>59</v>
      </c>
      <c r="B190" s="2" t="s">
        <v>60</v>
      </c>
      <c r="C190" s="2" t="s">
        <v>1547</v>
      </c>
      <c r="D190" s="2" t="s">
        <v>1548</v>
      </c>
      <c r="E190" s="2" t="s">
        <v>1549</v>
      </c>
      <c r="G190" s="3" t="s">
        <v>62</v>
      </c>
      <c r="I190" s="3" t="s">
        <v>61</v>
      </c>
      <c r="J190" s="3" t="s">
        <v>61</v>
      </c>
      <c r="K190" s="3" t="s">
        <v>63</v>
      </c>
      <c r="L190" s="2" t="s">
        <v>1550</v>
      </c>
      <c r="M190" s="2" t="s">
        <v>1551</v>
      </c>
      <c r="N190" s="3" t="s">
        <v>157</v>
      </c>
      <c r="P190" s="3" t="s">
        <v>65</v>
      </c>
      <c r="Q190" s="2" t="s">
        <v>1552</v>
      </c>
      <c r="R190" s="3" t="s">
        <v>66</v>
      </c>
      <c r="S190" s="4">
        <v>105</v>
      </c>
      <c r="T190" s="4">
        <v>218</v>
      </c>
      <c r="U190" s="5" t="s">
        <v>1554</v>
      </c>
      <c r="V190" s="5" t="s">
        <v>1554</v>
      </c>
      <c r="W190" s="5" t="s">
        <v>67</v>
      </c>
      <c r="X190" s="5" t="s">
        <v>67</v>
      </c>
      <c r="Y190" s="4">
        <v>1052</v>
      </c>
      <c r="Z190" s="4">
        <v>60</v>
      </c>
      <c r="AA190" s="4">
        <v>157</v>
      </c>
      <c r="AB190" s="4">
        <v>3</v>
      </c>
      <c r="AC190" s="4">
        <v>24</v>
      </c>
      <c r="AD190" s="4">
        <v>129</v>
      </c>
      <c r="AE190" s="4">
        <v>170</v>
      </c>
      <c r="AF190" s="4">
        <v>1</v>
      </c>
      <c r="AG190" s="4">
        <v>9</v>
      </c>
      <c r="AH190" s="4">
        <v>104</v>
      </c>
      <c r="AI190" s="4">
        <v>115</v>
      </c>
      <c r="AJ190" s="4">
        <v>22</v>
      </c>
      <c r="AK190" s="4">
        <v>28</v>
      </c>
      <c r="AL190" s="4">
        <v>56</v>
      </c>
      <c r="AM190" s="4">
        <v>62</v>
      </c>
      <c r="AN190" s="4">
        <v>0</v>
      </c>
      <c r="AO190" s="4">
        <v>0</v>
      </c>
      <c r="AP190" s="4">
        <v>35</v>
      </c>
      <c r="AQ190" s="4">
        <v>62</v>
      </c>
      <c r="AR190" s="3" t="s">
        <v>62</v>
      </c>
      <c r="AS190" s="3" t="s">
        <v>62</v>
      </c>
      <c r="AT190" s="3" t="s">
        <v>61</v>
      </c>
      <c r="AU190" s="6" t="str">
        <f>HYPERLINK("http://catalog.hathitrust.org/Record/000231363","HathiTrust Record")</f>
        <v>HathiTrust Record</v>
      </c>
      <c r="AV190" s="6" t="str">
        <f>HYPERLINK("http://mcgill.on.worldcat.org/oclc/8345642","Catalog Record")</f>
        <v>Catalog Record</v>
      </c>
      <c r="AW190" s="6" t="str">
        <f>HYPERLINK("http://www.worldcat.org/oclc/8345642","WorldCat Record")</f>
        <v>WorldCat Record</v>
      </c>
      <c r="AX190" s="3" t="s">
        <v>1555</v>
      </c>
      <c r="AY190" s="3" t="s">
        <v>1556</v>
      </c>
      <c r="AZ190" s="3" t="s">
        <v>1557</v>
      </c>
      <c r="BA190" s="3" t="s">
        <v>1557</v>
      </c>
      <c r="BB190" s="3" t="s">
        <v>1564</v>
      </c>
      <c r="BC190" s="3" t="s">
        <v>142</v>
      </c>
      <c r="BD190" s="3" t="s">
        <v>68</v>
      </c>
      <c r="BE190" s="3" t="s">
        <v>1559</v>
      </c>
      <c r="BF190" s="3" t="s">
        <v>1564</v>
      </c>
      <c r="BG190" s="3" t="s">
        <v>1565</v>
      </c>
    </row>
    <row r="191" spans="1:59" ht="57" x14ac:dyDescent="0.45">
      <c r="A191" s="2" t="s">
        <v>59</v>
      </c>
      <c r="B191" s="2" t="s">
        <v>60</v>
      </c>
      <c r="C191" s="2" t="s">
        <v>1566</v>
      </c>
      <c r="D191" s="2" t="s">
        <v>1567</v>
      </c>
      <c r="E191" s="2" t="s">
        <v>1549</v>
      </c>
      <c r="G191" s="3" t="s">
        <v>62</v>
      </c>
      <c r="I191" s="3" t="s">
        <v>62</v>
      </c>
      <c r="J191" s="3" t="s">
        <v>61</v>
      </c>
      <c r="K191" s="3" t="s">
        <v>63</v>
      </c>
      <c r="L191" s="2" t="s">
        <v>1550</v>
      </c>
      <c r="M191" s="2" t="s">
        <v>1568</v>
      </c>
      <c r="N191" s="3" t="s">
        <v>157</v>
      </c>
      <c r="P191" s="3" t="s">
        <v>65</v>
      </c>
      <c r="Q191" s="2" t="s">
        <v>1569</v>
      </c>
      <c r="R191" s="3" t="s">
        <v>66</v>
      </c>
      <c r="S191" s="4">
        <v>3</v>
      </c>
      <c r="T191" s="4">
        <v>3</v>
      </c>
      <c r="U191" s="5" t="s">
        <v>1570</v>
      </c>
      <c r="V191" s="5" t="s">
        <v>1570</v>
      </c>
      <c r="W191" s="5" t="s">
        <v>67</v>
      </c>
      <c r="X191" s="5" t="s">
        <v>67</v>
      </c>
      <c r="Y191" s="4">
        <v>28</v>
      </c>
      <c r="Z191" s="4">
        <v>5</v>
      </c>
      <c r="AA191" s="4">
        <v>157</v>
      </c>
      <c r="AB191" s="4">
        <v>1</v>
      </c>
      <c r="AC191" s="4">
        <v>24</v>
      </c>
      <c r="AD191" s="4">
        <v>3</v>
      </c>
      <c r="AE191" s="4">
        <v>170</v>
      </c>
      <c r="AF191" s="4">
        <v>0</v>
      </c>
      <c r="AG191" s="4">
        <v>9</v>
      </c>
      <c r="AH191" s="4">
        <v>2</v>
      </c>
      <c r="AI191" s="4">
        <v>115</v>
      </c>
      <c r="AJ191" s="4">
        <v>1</v>
      </c>
      <c r="AK191" s="4">
        <v>28</v>
      </c>
      <c r="AL191" s="4">
        <v>1</v>
      </c>
      <c r="AM191" s="4">
        <v>62</v>
      </c>
      <c r="AN191" s="4">
        <v>0</v>
      </c>
      <c r="AO191" s="4">
        <v>0</v>
      </c>
      <c r="AP191" s="4">
        <v>2</v>
      </c>
      <c r="AQ191" s="4">
        <v>62</v>
      </c>
      <c r="AR191" s="3" t="s">
        <v>62</v>
      </c>
      <c r="AS191" s="3" t="s">
        <v>62</v>
      </c>
      <c r="AT191" s="3" t="s">
        <v>62</v>
      </c>
      <c r="AV191" s="6" t="str">
        <f>HYPERLINK("http://mcgill.on.worldcat.org/oclc/263622895","Catalog Record")</f>
        <v>Catalog Record</v>
      </c>
      <c r="AW191" s="6" t="str">
        <f>HYPERLINK("http://www.worldcat.org/oclc/263622895","WorldCat Record")</f>
        <v>WorldCat Record</v>
      </c>
      <c r="AX191" s="3" t="s">
        <v>1555</v>
      </c>
      <c r="AY191" s="3" t="s">
        <v>1571</v>
      </c>
      <c r="AZ191" s="3" t="s">
        <v>1572</v>
      </c>
      <c r="BA191" s="3" t="s">
        <v>1572</v>
      </c>
      <c r="BB191" s="3" t="s">
        <v>1573</v>
      </c>
      <c r="BC191" s="3" t="s">
        <v>142</v>
      </c>
      <c r="BD191" s="3" t="s">
        <v>68</v>
      </c>
      <c r="BE191" s="3" t="s">
        <v>1574</v>
      </c>
      <c r="BF191" s="3" t="s">
        <v>1573</v>
      </c>
      <c r="BG191" s="3" t="s">
        <v>1575</v>
      </c>
    </row>
    <row r="192" spans="1:59" ht="57" x14ac:dyDescent="0.45">
      <c r="A192" s="2" t="s">
        <v>59</v>
      </c>
      <c r="B192" s="2" t="s">
        <v>60</v>
      </c>
      <c r="C192" s="2" t="s">
        <v>1576</v>
      </c>
      <c r="D192" s="2" t="s">
        <v>1577</v>
      </c>
      <c r="E192" s="2" t="s">
        <v>1549</v>
      </c>
      <c r="G192" s="3" t="s">
        <v>62</v>
      </c>
      <c r="I192" s="3" t="s">
        <v>61</v>
      </c>
      <c r="J192" s="3" t="s">
        <v>61</v>
      </c>
      <c r="K192" s="3" t="s">
        <v>63</v>
      </c>
      <c r="L192" s="2" t="s">
        <v>1550</v>
      </c>
      <c r="M192" s="2" t="s">
        <v>969</v>
      </c>
      <c r="N192" s="3" t="s">
        <v>970</v>
      </c>
      <c r="P192" s="3" t="s">
        <v>65</v>
      </c>
      <c r="Q192" s="2" t="s">
        <v>1552</v>
      </c>
      <c r="R192" s="3" t="s">
        <v>66</v>
      </c>
      <c r="S192" s="4">
        <v>31</v>
      </c>
      <c r="T192" s="4">
        <v>126</v>
      </c>
      <c r="U192" s="5" t="s">
        <v>1578</v>
      </c>
      <c r="V192" s="5" t="s">
        <v>1578</v>
      </c>
      <c r="W192" s="5" t="s">
        <v>67</v>
      </c>
      <c r="X192" s="5" t="s">
        <v>67</v>
      </c>
      <c r="Y192" s="4">
        <v>397</v>
      </c>
      <c r="Z192" s="4">
        <v>33</v>
      </c>
      <c r="AA192" s="4">
        <v>157</v>
      </c>
      <c r="AB192" s="4">
        <v>2</v>
      </c>
      <c r="AC192" s="4">
        <v>24</v>
      </c>
      <c r="AD192" s="4">
        <v>71</v>
      </c>
      <c r="AE192" s="4">
        <v>170</v>
      </c>
      <c r="AF192" s="4">
        <v>1</v>
      </c>
      <c r="AG192" s="4">
        <v>9</v>
      </c>
      <c r="AH192" s="4">
        <v>58</v>
      </c>
      <c r="AI192" s="4">
        <v>115</v>
      </c>
      <c r="AJ192" s="4">
        <v>11</v>
      </c>
      <c r="AK192" s="4">
        <v>28</v>
      </c>
      <c r="AL192" s="4">
        <v>36</v>
      </c>
      <c r="AM192" s="4">
        <v>62</v>
      </c>
      <c r="AN192" s="4">
        <v>0</v>
      </c>
      <c r="AO192" s="4">
        <v>0</v>
      </c>
      <c r="AP192" s="4">
        <v>20</v>
      </c>
      <c r="AQ192" s="4">
        <v>62</v>
      </c>
      <c r="AR192" s="3" t="s">
        <v>62</v>
      </c>
      <c r="AS192" s="3" t="s">
        <v>62</v>
      </c>
      <c r="AT192" s="3" t="s">
        <v>62</v>
      </c>
      <c r="AV192" s="6" t="str">
        <f>HYPERLINK("http://mcgill.on.worldcat.org/oclc/49874897","Catalog Record")</f>
        <v>Catalog Record</v>
      </c>
      <c r="AW192" s="6" t="str">
        <f>HYPERLINK("http://www.worldcat.org/oclc/49874897","WorldCat Record")</f>
        <v>WorldCat Record</v>
      </c>
      <c r="AX192" s="3" t="s">
        <v>1555</v>
      </c>
      <c r="AY192" s="3" t="s">
        <v>1579</v>
      </c>
      <c r="AZ192" s="3" t="s">
        <v>1580</v>
      </c>
      <c r="BA192" s="3" t="s">
        <v>1580</v>
      </c>
      <c r="BB192" s="3" t="s">
        <v>1581</v>
      </c>
      <c r="BC192" s="3" t="s">
        <v>142</v>
      </c>
      <c r="BD192" s="3" t="s">
        <v>68</v>
      </c>
      <c r="BE192" s="3" t="s">
        <v>1582</v>
      </c>
      <c r="BF192" s="3" t="s">
        <v>1581</v>
      </c>
      <c r="BG192" s="3" t="s">
        <v>1583</v>
      </c>
    </row>
    <row r="193" spans="1:59" ht="57" x14ac:dyDescent="0.45">
      <c r="A193" s="2" t="s">
        <v>59</v>
      </c>
      <c r="B193" s="2" t="s">
        <v>60</v>
      </c>
      <c r="C193" s="2" t="s">
        <v>1576</v>
      </c>
      <c r="D193" s="2" t="s">
        <v>1577</v>
      </c>
      <c r="E193" s="2" t="s">
        <v>1549</v>
      </c>
      <c r="G193" s="3" t="s">
        <v>62</v>
      </c>
      <c r="I193" s="3" t="s">
        <v>61</v>
      </c>
      <c r="J193" s="3" t="s">
        <v>61</v>
      </c>
      <c r="K193" s="3" t="s">
        <v>63</v>
      </c>
      <c r="L193" s="2" t="s">
        <v>1550</v>
      </c>
      <c r="M193" s="2" t="s">
        <v>969</v>
      </c>
      <c r="N193" s="3" t="s">
        <v>970</v>
      </c>
      <c r="P193" s="3" t="s">
        <v>65</v>
      </c>
      <c r="Q193" s="2" t="s">
        <v>1552</v>
      </c>
      <c r="R193" s="3" t="s">
        <v>66</v>
      </c>
      <c r="S193" s="4">
        <v>25</v>
      </c>
      <c r="T193" s="4">
        <v>126</v>
      </c>
      <c r="U193" s="5" t="s">
        <v>1584</v>
      </c>
      <c r="V193" s="5" t="s">
        <v>1578</v>
      </c>
      <c r="W193" s="5" t="s">
        <v>67</v>
      </c>
      <c r="X193" s="5" t="s">
        <v>67</v>
      </c>
      <c r="Y193" s="4">
        <v>397</v>
      </c>
      <c r="Z193" s="4">
        <v>33</v>
      </c>
      <c r="AA193" s="4">
        <v>157</v>
      </c>
      <c r="AB193" s="4">
        <v>2</v>
      </c>
      <c r="AC193" s="4">
        <v>24</v>
      </c>
      <c r="AD193" s="4">
        <v>71</v>
      </c>
      <c r="AE193" s="4">
        <v>170</v>
      </c>
      <c r="AF193" s="4">
        <v>1</v>
      </c>
      <c r="AG193" s="4">
        <v>9</v>
      </c>
      <c r="AH193" s="4">
        <v>58</v>
      </c>
      <c r="AI193" s="4">
        <v>115</v>
      </c>
      <c r="AJ193" s="4">
        <v>11</v>
      </c>
      <c r="AK193" s="4">
        <v>28</v>
      </c>
      <c r="AL193" s="4">
        <v>36</v>
      </c>
      <c r="AM193" s="4">
        <v>62</v>
      </c>
      <c r="AN193" s="4">
        <v>0</v>
      </c>
      <c r="AO193" s="4">
        <v>0</v>
      </c>
      <c r="AP193" s="4">
        <v>20</v>
      </c>
      <c r="AQ193" s="4">
        <v>62</v>
      </c>
      <c r="AR193" s="3" t="s">
        <v>62</v>
      </c>
      <c r="AS193" s="3" t="s">
        <v>62</v>
      </c>
      <c r="AT193" s="3" t="s">
        <v>62</v>
      </c>
      <c r="AV193" s="6" t="str">
        <f>HYPERLINK("http://mcgill.on.worldcat.org/oclc/49874897","Catalog Record")</f>
        <v>Catalog Record</v>
      </c>
      <c r="AW193" s="6" t="str">
        <f>HYPERLINK("http://www.worldcat.org/oclc/49874897","WorldCat Record")</f>
        <v>WorldCat Record</v>
      </c>
      <c r="AX193" s="3" t="s">
        <v>1555</v>
      </c>
      <c r="AY193" s="3" t="s">
        <v>1579</v>
      </c>
      <c r="AZ193" s="3" t="s">
        <v>1580</v>
      </c>
      <c r="BA193" s="3" t="s">
        <v>1580</v>
      </c>
      <c r="BB193" s="3" t="s">
        <v>1585</v>
      </c>
      <c r="BC193" s="3" t="s">
        <v>142</v>
      </c>
      <c r="BD193" s="3" t="s">
        <v>308</v>
      </c>
      <c r="BE193" s="3" t="s">
        <v>1582</v>
      </c>
      <c r="BF193" s="3" t="s">
        <v>1585</v>
      </c>
      <c r="BG193" s="3" t="s">
        <v>1586</v>
      </c>
    </row>
    <row r="194" spans="1:59" ht="57" x14ac:dyDescent="0.45">
      <c r="A194" s="2" t="s">
        <v>59</v>
      </c>
      <c r="B194" s="2" t="s">
        <v>60</v>
      </c>
      <c r="C194" s="2" t="s">
        <v>1576</v>
      </c>
      <c r="D194" s="2" t="s">
        <v>1577</v>
      </c>
      <c r="E194" s="2" t="s">
        <v>1549</v>
      </c>
      <c r="G194" s="3" t="s">
        <v>62</v>
      </c>
      <c r="I194" s="3" t="s">
        <v>61</v>
      </c>
      <c r="J194" s="3" t="s">
        <v>61</v>
      </c>
      <c r="K194" s="3" t="s">
        <v>63</v>
      </c>
      <c r="L194" s="2" t="s">
        <v>1550</v>
      </c>
      <c r="M194" s="2" t="s">
        <v>969</v>
      </c>
      <c r="N194" s="3" t="s">
        <v>970</v>
      </c>
      <c r="P194" s="3" t="s">
        <v>65</v>
      </c>
      <c r="Q194" s="2" t="s">
        <v>1552</v>
      </c>
      <c r="R194" s="3" t="s">
        <v>66</v>
      </c>
      <c r="S194" s="4">
        <v>70</v>
      </c>
      <c r="T194" s="4">
        <v>126</v>
      </c>
      <c r="U194" s="5" t="s">
        <v>1587</v>
      </c>
      <c r="V194" s="5" t="s">
        <v>1578</v>
      </c>
      <c r="W194" s="5" t="s">
        <v>67</v>
      </c>
      <c r="X194" s="5" t="s">
        <v>67</v>
      </c>
      <c r="Y194" s="4">
        <v>397</v>
      </c>
      <c r="Z194" s="4">
        <v>33</v>
      </c>
      <c r="AA194" s="4">
        <v>157</v>
      </c>
      <c r="AB194" s="4">
        <v>2</v>
      </c>
      <c r="AC194" s="4">
        <v>24</v>
      </c>
      <c r="AD194" s="4">
        <v>71</v>
      </c>
      <c r="AE194" s="4">
        <v>170</v>
      </c>
      <c r="AF194" s="4">
        <v>1</v>
      </c>
      <c r="AG194" s="4">
        <v>9</v>
      </c>
      <c r="AH194" s="4">
        <v>58</v>
      </c>
      <c r="AI194" s="4">
        <v>115</v>
      </c>
      <c r="AJ194" s="4">
        <v>11</v>
      </c>
      <c r="AK194" s="4">
        <v>28</v>
      </c>
      <c r="AL194" s="4">
        <v>36</v>
      </c>
      <c r="AM194" s="4">
        <v>62</v>
      </c>
      <c r="AN194" s="4">
        <v>0</v>
      </c>
      <c r="AO194" s="4">
        <v>0</v>
      </c>
      <c r="AP194" s="4">
        <v>20</v>
      </c>
      <c r="AQ194" s="4">
        <v>62</v>
      </c>
      <c r="AR194" s="3" t="s">
        <v>62</v>
      </c>
      <c r="AS194" s="3" t="s">
        <v>62</v>
      </c>
      <c r="AT194" s="3" t="s">
        <v>62</v>
      </c>
      <c r="AV194" s="6" t="str">
        <f>HYPERLINK("http://mcgill.on.worldcat.org/oclc/49874897","Catalog Record")</f>
        <v>Catalog Record</v>
      </c>
      <c r="AW194" s="6" t="str">
        <f>HYPERLINK("http://www.worldcat.org/oclc/49874897","WorldCat Record")</f>
        <v>WorldCat Record</v>
      </c>
      <c r="AX194" s="3" t="s">
        <v>1555</v>
      </c>
      <c r="AY194" s="3" t="s">
        <v>1579</v>
      </c>
      <c r="AZ194" s="3" t="s">
        <v>1580</v>
      </c>
      <c r="BA194" s="3" t="s">
        <v>1580</v>
      </c>
      <c r="BB194" s="3" t="s">
        <v>1588</v>
      </c>
      <c r="BC194" s="3" t="s">
        <v>142</v>
      </c>
      <c r="BD194" s="3" t="s">
        <v>308</v>
      </c>
      <c r="BE194" s="3" t="s">
        <v>1582</v>
      </c>
      <c r="BF194" s="3" t="s">
        <v>1588</v>
      </c>
      <c r="BG194" s="3" t="s">
        <v>1589</v>
      </c>
    </row>
    <row r="195" spans="1:59" ht="57" x14ac:dyDescent="0.45">
      <c r="A195" s="2" t="s">
        <v>59</v>
      </c>
      <c r="B195" s="2" t="s">
        <v>60</v>
      </c>
      <c r="C195" s="2" t="s">
        <v>1590</v>
      </c>
      <c r="D195" s="2" t="s">
        <v>1591</v>
      </c>
      <c r="E195" s="2" t="s">
        <v>1592</v>
      </c>
      <c r="G195" s="3" t="s">
        <v>62</v>
      </c>
      <c r="I195" s="3" t="s">
        <v>62</v>
      </c>
      <c r="J195" s="3" t="s">
        <v>62</v>
      </c>
      <c r="K195" s="3" t="s">
        <v>63</v>
      </c>
      <c r="M195" s="2" t="s">
        <v>1593</v>
      </c>
      <c r="N195" s="3" t="s">
        <v>894</v>
      </c>
      <c r="P195" s="3" t="s">
        <v>65</v>
      </c>
      <c r="R195" s="3" t="s">
        <v>66</v>
      </c>
      <c r="S195" s="4">
        <v>8</v>
      </c>
      <c r="T195" s="4">
        <v>8</v>
      </c>
      <c r="U195" s="5" t="s">
        <v>1426</v>
      </c>
      <c r="V195" s="5" t="s">
        <v>1426</v>
      </c>
      <c r="W195" s="5" t="s">
        <v>67</v>
      </c>
      <c r="X195" s="5" t="s">
        <v>67</v>
      </c>
      <c r="Y195" s="4">
        <v>113</v>
      </c>
      <c r="Z195" s="4">
        <v>40</v>
      </c>
      <c r="AA195" s="4">
        <v>104</v>
      </c>
      <c r="AB195" s="4">
        <v>2</v>
      </c>
      <c r="AC195" s="4">
        <v>17</v>
      </c>
      <c r="AD195" s="4">
        <v>66</v>
      </c>
      <c r="AE195" s="4">
        <v>131</v>
      </c>
      <c r="AF195" s="4">
        <v>1</v>
      </c>
      <c r="AG195" s="4">
        <v>8</v>
      </c>
      <c r="AH195" s="4">
        <v>45</v>
      </c>
      <c r="AI195" s="4">
        <v>88</v>
      </c>
      <c r="AJ195" s="4">
        <v>20</v>
      </c>
      <c r="AK195" s="4">
        <v>28</v>
      </c>
      <c r="AL195" s="4">
        <v>28</v>
      </c>
      <c r="AM195" s="4">
        <v>46</v>
      </c>
      <c r="AN195" s="4">
        <v>0</v>
      </c>
      <c r="AO195" s="4">
        <v>0</v>
      </c>
      <c r="AP195" s="4">
        <v>30</v>
      </c>
      <c r="AQ195" s="4">
        <v>53</v>
      </c>
      <c r="AR195" s="3" t="s">
        <v>61</v>
      </c>
      <c r="AS195" s="3" t="s">
        <v>62</v>
      </c>
      <c r="AT195" s="3" t="s">
        <v>62</v>
      </c>
      <c r="AV195" s="6" t="str">
        <f>HYPERLINK("http://mcgill.on.worldcat.org/oclc/729307500","Catalog Record")</f>
        <v>Catalog Record</v>
      </c>
      <c r="AW195" s="6" t="str">
        <f>HYPERLINK("http://www.worldcat.org/oclc/729307500","WorldCat Record")</f>
        <v>WorldCat Record</v>
      </c>
      <c r="AX195" s="3" t="s">
        <v>1594</v>
      </c>
      <c r="AY195" s="3" t="s">
        <v>1595</v>
      </c>
      <c r="AZ195" s="3" t="s">
        <v>1596</v>
      </c>
      <c r="BA195" s="3" t="s">
        <v>1596</v>
      </c>
      <c r="BB195" s="3" t="s">
        <v>1597</v>
      </c>
      <c r="BC195" s="3" t="s">
        <v>142</v>
      </c>
      <c r="BD195" s="3" t="s">
        <v>68</v>
      </c>
      <c r="BE195" s="3" t="s">
        <v>1598</v>
      </c>
      <c r="BF195" s="3" t="s">
        <v>1597</v>
      </c>
      <c r="BG195" s="3" t="s">
        <v>1599</v>
      </c>
    </row>
    <row r="196" spans="1:59" ht="57" x14ac:dyDescent="0.45">
      <c r="A196" s="2" t="s">
        <v>59</v>
      </c>
      <c r="B196" s="2" t="s">
        <v>60</v>
      </c>
      <c r="C196" s="2" t="s">
        <v>1600</v>
      </c>
      <c r="D196" s="2" t="s">
        <v>1601</v>
      </c>
      <c r="E196" s="2" t="s">
        <v>1602</v>
      </c>
      <c r="G196" s="3" t="s">
        <v>62</v>
      </c>
      <c r="I196" s="3" t="s">
        <v>62</v>
      </c>
      <c r="J196" s="3" t="s">
        <v>62</v>
      </c>
      <c r="K196" s="3" t="s">
        <v>63</v>
      </c>
      <c r="M196" s="2" t="s">
        <v>1603</v>
      </c>
      <c r="N196" s="3" t="s">
        <v>1604</v>
      </c>
      <c r="P196" s="3" t="s">
        <v>65</v>
      </c>
      <c r="R196" s="3" t="s">
        <v>66</v>
      </c>
      <c r="S196" s="4">
        <v>38</v>
      </c>
      <c r="T196" s="4">
        <v>38</v>
      </c>
      <c r="U196" s="5" t="s">
        <v>1605</v>
      </c>
      <c r="V196" s="5" t="s">
        <v>1605</v>
      </c>
      <c r="W196" s="5" t="s">
        <v>67</v>
      </c>
      <c r="X196" s="5" t="s">
        <v>67</v>
      </c>
      <c r="Y196" s="4">
        <v>456</v>
      </c>
      <c r="Z196" s="4">
        <v>24</v>
      </c>
      <c r="AA196" s="4">
        <v>26</v>
      </c>
      <c r="AB196" s="4">
        <v>2</v>
      </c>
      <c r="AC196" s="4">
        <v>4</v>
      </c>
      <c r="AD196" s="4">
        <v>117</v>
      </c>
      <c r="AE196" s="4">
        <v>119</v>
      </c>
      <c r="AF196" s="4">
        <v>1</v>
      </c>
      <c r="AG196" s="4">
        <v>3</v>
      </c>
      <c r="AH196" s="4">
        <v>104</v>
      </c>
      <c r="AI196" s="4">
        <v>105</v>
      </c>
      <c r="AJ196" s="4">
        <v>16</v>
      </c>
      <c r="AK196" s="4">
        <v>18</v>
      </c>
      <c r="AL196" s="4">
        <v>57</v>
      </c>
      <c r="AM196" s="4">
        <v>57</v>
      </c>
      <c r="AN196" s="4">
        <v>0</v>
      </c>
      <c r="AO196" s="4">
        <v>0</v>
      </c>
      <c r="AP196" s="4">
        <v>20</v>
      </c>
      <c r="AQ196" s="4">
        <v>21</v>
      </c>
      <c r="AR196" s="3" t="s">
        <v>62</v>
      </c>
      <c r="AS196" s="3" t="s">
        <v>62</v>
      </c>
      <c r="AT196" s="3" t="s">
        <v>61</v>
      </c>
      <c r="AU196" s="6" t="str">
        <f>HYPERLINK("http://catalog.hathitrust.org/Record/002884672","HathiTrust Record")</f>
        <v>HathiTrust Record</v>
      </c>
      <c r="AV196" s="6" t="str">
        <f>HYPERLINK("http://mcgill.on.worldcat.org/oclc/29600712","Catalog Record")</f>
        <v>Catalog Record</v>
      </c>
      <c r="AW196" s="6" t="str">
        <f>HYPERLINK("http://www.worldcat.org/oclc/29600712","WorldCat Record")</f>
        <v>WorldCat Record</v>
      </c>
      <c r="AX196" s="3" t="s">
        <v>1606</v>
      </c>
      <c r="AY196" s="3" t="s">
        <v>1607</v>
      </c>
      <c r="AZ196" s="3" t="s">
        <v>1608</v>
      </c>
      <c r="BA196" s="3" t="s">
        <v>1608</v>
      </c>
      <c r="BB196" s="3" t="s">
        <v>1609</v>
      </c>
      <c r="BC196" s="3" t="s">
        <v>142</v>
      </c>
      <c r="BD196" s="3" t="s">
        <v>308</v>
      </c>
      <c r="BE196" s="3" t="s">
        <v>1610</v>
      </c>
      <c r="BF196" s="3" t="s">
        <v>1609</v>
      </c>
      <c r="BG196" s="3" t="s">
        <v>1611</v>
      </c>
    </row>
    <row r="197" spans="1:59" ht="57" x14ac:dyDescent="0.45">
      <c r="A197" s="2" t="s">
        <v>59</v>
      </c>
      <c r="B197" s="2" t="s">
        <v>60</v>
      </c>
      <c r="C197" s="2" t="s">
        <v>1612</v>
      </c>
      <c r="D197" s="2" t="s">
        <v>1613</v>
      </c>
      <c r="E197" s="2" t="s">
        <v>1614</v>
      </c>
      <c r="G197" s="3" t="s">
        <v>62</v>
      </c>
      <c r="I197" s="3" t="s">
        <v>62</v>
      </c>
      <c r="J197" s="3" t="s">
        <v>62</v>
      </c>
      <c r="K197" s="3" t="s">
        <v>63</v>
      </c>
      <c r="L197" s="2" t="s">
        <v>1615</v>
      </c>
      <c r="M197" s="2" t="s">
        <v>1616</v>
      </c>
      <c r="N197" s="3" t="s">
        <v>1465</v>
      </c>
      <c r="O197" s="2" t="s">
        <v>933</v>
      </c>
      <c r="P197" s="3" t="s">
        <v>65</v>
      </c>
      <c r="R197" s="3" t="s">
        <v>66</v>
      </c>
      <c r="S197" s="4">
        <v>5</v>
      </c>
      <c r="T197" s="4">
        <v>5</v>
      </c>
      <c r="U197" s="5" t="s">
        <v>1617</v>
      </c>
      <c r="V197" s="5" t="s">
        <v>1617</v>
      </c>
      <c r="W197" s="5" t="s">
        <v>67</v>
      </c>
      <c r="X197" s="5" t="s">
        <v>67</v>
      </c>
      <c r="Y197" s="4">
        <v>74</v>
      </c>
      <c r="Z197" s="4">
        <v>9</v>
      </c>
      <c r="AA197" s="4">
        <v>26</v>
      </c>
      <c r="AB197" s="4">
        <v>2</v>
      </c>
      <c r="AC197" s="4">
        <v>2</v>
      </c>
      <c r="AD197" s="4">
        <v>27</v>
      </c>
      <c r="AE197" s="4">
        <v>66</v>
      </c>
      <c r="AF197" s="4">
        <v>1</v>
      </c>
      <c r="AG197" s="4">
        <v>1</v>
      </c>
      <c r="AH197" s="4">
        <v>21</v>
      </c>
      <c r="AI197" s="4">
        <v>51</v>
      </c>
      <c r="AJ197" s="4">
        <v>5</v>
      </c>
      <c r="AK197" s="4">
        <v>14</v>
      </c>
      <c r="AL197" s="4">
        <v>13</v>
      </c>
      <c r="AM197" s="4">
        <v>32</v>
      </c>
      <c r="AN197" s="4">
        <v>0</v>
      </c>
      <c r="AO197" s="4">
        <v>5</v>
      </c>
      <c r="AP197" s="4">
        <v>8</v>
      </c>
      <c r="AQ197" s="4">
        <v>20</v>
      </c>
      <c r="AR197" s="3" t="s">
        <v>62</v>
      </c>
      <c r="AS197" s="3" t="s">
        <v>62</v>
      </c>
      <c r="AT197" s="3" t="s">
        <v>62</v>
      </c>
      <c r="AV197" s="6" t="str">
        <f>HYPERLINK("http://mcgill.on.worldcat.org/oclc/216940204","Catalog Record")</f>
        <v>Catalog Record</v>
      </c>
      <c r="AW197" s="6" t="str">
        <f>HYPERLINK("http://www.worldcat.org/oclc/216940204","WorldCat Record")</f>
        <v>WorldCat Record</v>
      </c>
      <c r="AX197" s="3" t="s">
        <v>1618</v>
      </c>
      <c r="AY197" s="3" t="s">
        <v>1619</v>
      </c>
      <c r="AZ197" s="3" t="s">
        <v>1620</v>
      </c>
      <c r="BA197" s="3" t="s">
        <v>1620</v>
      </c>
      <c r="BB197" s="3" t="s">
        <v>1621</v>
      </c>
      <c r="BC197" s="3" t="s">
        <v>142</v>
      </c>
      <c r="BD197" s="3" t="s">
        <v>68</v>
      </c>
      <c r="BE197" s="3" t="s">
        <v>1622</v>
      </c>
      <c r="BF197" s="3" t="s">
        <v>1621</v>
      </c>
      <c r="BG197" s="3" t="s">
        <v>1623</v>
      </c>
    </row>
    <row r="198" spans="1:59" ht="57" x14ac:dyDescent="0.45">
      <c r="A198" s="2" t="s">
        <v>59</v>
      </c>
      <c r="B198" s="2" t="s">
        <v>60</v>
      </c>
      <c r="C198" s="2" t="s">
        <v>1624</v>
      </c>
      <c r="D198" s="2" t="s">
        <v>1625</v>
      </c>
      <c r="E198" s="2" t="s">
        <v>1626</v>
      </c>
      <c r="G198" s="3" t="s">
        <v>62</v>
      </c>
      <c r="I198" s="3" t="s">
        <v>62</v>
      </c>
      <c r="J198" s="3" t="s">
        <v>62</v>
      </c>
      <c r="K198" s="3" t="s">
        <v>63</v>
      </c>
      <c r="M198" s="2" t="s">
        <v>1627</v>
      </c>
      <c r="N198" s="3" t="s">
        <v>1097</v>
      </c>
      <c r="P198" s="3" t="s">
        <v>65</v>
      </c>
      <c r="R198" s="3" t="s">
        <v>66</v>
      </c>
      <c r="S198" s="4">
        <v>30</v>
      </c>
      <c r="T198" s="4">
        <v>30</v>
      </c>
      <c r="U198" s="5" t="s">
        <v>1628</v>
      </c>
      <c r="V198" s="5" t="s">
        <v>1628</v>
      </c>
      <c r="W198" s="5" t="s">
        <v>67</v>
      </c>
      <c r="X198" s="5" t="s">
        <v>67</v>
      </c>
      <c r="Y198" s="4">
        <v>359</v>
      </c>
      <c r="Z198" s="4">
        <v>30</v>
      </c>
      <c r="AA198" s="4">
        <v>33</v>
      </c>
      <c r="AB198" s="4">
        <v>1</v>
      </c>
      <c r="AC198" s="4">
        <v>3</v>
      </c>
      <c r="AD198" s="4">
        <v>116</v>
      </c>
      <c r="AE198" s="4">
        <v>120</v>
      </c>
      <c r="AF198" s="4">
        <v>0</v>
      </c>
      <c r="AG198" s="4">
        <v>2</v>
      </c>
      <c r="AH198" s="4">
        <v>101</v>
      </c>
      <c r="AI198" s="4">
        <v>104</v>
      </c>
      <c r="AJ198" s="4">
        <v>18</v>
      </c>
      <c r="AK198" s="4">
        <v>21</v>
      </c>
      <c r="AL198" s="4">
        <v>53</v>
      </c>
      <c r="AM198" s="4">
        <v>53</v>
      </c>
      <c r="AN198" s="4">
        <v>0</v>
      </c>
      <c r="AO198" s="4">
        <v>0</v>
      </c>
      <c r="AP198" s="4">
        <v>25</v>
      </c>
      <c r="AQ198" s="4">
        <v>27</v>
      </c>
      <c r="AR198" s="3" t="s">
        <v>62</v>
      </c>
      <c r="AS198" s="3" t="s">
        <v>62</v>
      </c>
      <c r="AT198" s="3" t="s">
        <v>61</v>
      </c>
      <c r="AU198" s="6" t="str">
        <f>HYPERLINK("http://catalog.hathitrust.org/Record/004354416","HathiTrust Record")</f>
        <v>HathiTrust Record</v>
      </c>
      <c r="AV198" s="6" t="str">
        <f>HYPERLINK("http://mcgill.on.worldcat.org/oclc/51726909","Catalog Record")</f>
        <v>Catalog Record</v>
      </c>
      <c r="AW198" s="6" t="str">
        <f>HYPERLINK("http://www.worldcat.org/oclc/51726909","WorldCat Record")</f>
        <v>WorldCat Record</v>
      </c>
      <c r="AX198" s="3" t="s">
        <v>1629</v>
      </c>
      <c r="AY198" s="3" t="s">
        <v>1630</v>
      </c>
      <c r="AZ198" s="3" t="s">
        <v>1631</v>
      </c>
      <c r="BA198" s="3" t="s">
        <v>1631</v>
      </c>
      <c r="BB198" s="3" t="s">
        <v>1632</v>
      </c>
      <c r="BC198" s="3" t="s">
        <v>142</v>
      </c>
      <c r="BD198" s="3" t="s">
        <v>68</v>
      </c>
      <c r="BE198" s="3" t="s">
        <v>1633</v>
      </c>
      <c r="BF198" s="3" t="s">
        <v>1632</v>
      </c>
      <c r="BG198" s="3" t="s">
        <v>1634</v>
      </c>
    </row>
    <row r="199" spans="1:59" ht="57" x14ac:dyDescent="0.45">
      <c r="A199" s="2" t="s">
        <v>59</v>
      </c>
      <c r="B199" s="2" t="s">
        <v>60</v>
      </c>
      <c r="C199" s="2" t="s">
        <v>1635</v>
      </c>
      <c r="D199" s="2" t="s">
        <v>1636</v>
      </c>
      <c r="E199" s="2" t="s">
        <v>1637</v>
      </c>
      <c r="G199" s="3" t="s">
        <v>62</v>
      </c>
      <c r="I199" s="3" t="s">
        <v>62</v>
      </c>
      <c r="J199" s="3" t="s">
        <v>62</v>
      </c>
      <c r="K199" s="3" t="s">
        <v>63</v>
      </c>
      <c r="M199" s="2" t="s">
        <v>1638</v>
      </c>
      <c r="N199" s="3" t="s">
        <v>195</v>
      </c>
      <c r="P199" s="3" t="s">
        <v>65</v>
      </c>
      <c r="Q199" s="2" t="s">
        <v>1639</v>
      </c>
      <c r="R199" s="3" t="s">
        <v>66</v>
      </c>
      <c r="S199" s="4">
        <v>22</v>
      </c>
      <c r="T199" s="4">
        <v>22</v>
      </c>
      <c r="U199" s="5" t="s">
        <v>1640</v>
      </c>
      <c r="V199" s="5" t="s">
        <v>1640</v>
      </c>
      <c r="W199" s="5" t="s">
        <v>67</v>
      </c>
      <c r="X199" s="5" t="s">
        <v>67</v>
      </c>
      <c r="Y199" s="4">
        <v>446</v>
      </c>
      <c r="Z199" s="4">
        <v>21</v>
      </c>
      <c r="AA199" s="4">
        <v>23</v>
      </c>
      <c r="AB199" s="4">
        <v>2</v>
      </c>
      <c r="AC199" s="4">
        <v>3</v>
      </c>
      <c r="AD199" s="4">
        <v>113</v>
      </c>
      <c r="AE199" s="4">
        <v>116</v>
      </c>
      <c r="AF199" s="4">
        <v>1</v>
      </c>
      <c r="AG199" s="4">
        <v>2</v>
      </c>
      <c r="AH199" s="4">
        <v>101</v>
      </c>
      <c r="AI199" s="4">
        <v>102</v>
      </c>
      <c r="AJ199" s="4">
        <v>12</v>
      </c>
      <c r="AK199" s="4">
        <v>14</v>
      </c>
      <c r="AL199" s="4">
        <v>54</v>
      </c>
      <c r="AM199" s="4">
        <v>55</v>
      </c>
      <c r="AN199" s="4">
        <v>0</v>
      </c>
      <c r="AO199" s="4">
        <v>0</v>
      </c>
      <c r="AP199" s="4">
        <v>19</v>
      </c>
      <c r="AQ199" s="4">
        <v>20</v>
      </c>
      <c r="AR199" s="3" t="s">
        <v>62</v>
      </c>
      <c r="AS199" s="3" t="s">
        <v>62</v>
      </c>
      <c r="AT199" s="3" t="s">
        <v>62</v>
      </c>
      <c r="AV199" s="6" t="str">
        <f>HYPERLINK("http://mcgill.on.worldcat.org/oclc/24912152","Catalog Record")</f>
        <v>Catalog Record</v>
      </c>
      <c r="AW199" s="6" t="str">
        <f>HYPERLINK("http://www.worldcat.org/oclc/24912152","WorldCat Record")</f>
        <v>WorldCat Record</v>
      </c>
      <c r="AX199" s="3" t="s">
        <v>1641</v>
      </c>
      <c r="AY199" s="3" t="s">
        <v>1642</v>
      </c>
      <c r="AZ199" s="3" t="s">
        <v>1643</v>
      </c>
      <c r="BA199" s="3" t="s">
        <v>1643</v>
      </c>
      <c r="BB199" s="3" t="s">
        <v>1644</v>
      </c>
      <c r="BC199" s="3" t="s">
        <v>142</v>
      </c>
      <c r="BD199" s="3" t="s">
        <v>308</v>
      </c>
      <c r="BE199" s="3" t="s">
        <v>1645</v>
      </c>
      <c r="BF199" s="3" t="s">
        <v>1644</v>
      </c>
      <c r="BG199" s="3" t="s">
        <v>1646</v>
      </c>
    </row>
    <row r="200" spans="1:59" ht="57" x14ac:dyDescent="0.45">
      <c r="A200" s="2" t="s">
        <v>59</v>
      </c>
      <c r="B200" s="2" t="s">
        <v>60</v>
      </c>
      <c r="C200" s="2" t="s">
        <v>1647</v>
      </c>
      <c r="D200" s="2" t="s">
        <v>1648</v>
      </c>
      <c r="E200" s="2" t="s">
        <v>1649</v>
      </c>
      <c r="G200" s="3" t="s">
        <v>62</v>
      </c>
      <c r="I200" s="3" t="s">
        <v>62</v>
      </c>
      <c r="J200" s="3" t="s">
        <v>62</v>
      </c>
      <c r="K200" s="3" t="s">
        <v>63</v>
      </c>
      <c r="M200" s="2" t="s">
        <v>1650</v>
      </c>
      <c r="N200" s="3" t="s">
        <v>84</v>
      </c>
      <c r="P200" s="3" t="s">
        <v>65</v>
      </c>
      <c r="Q200" s="2" t="s">
        <v>1651</v>
      </c>
      <c r="R200" s="3" t="s">
        <v>66</v>
      </c>
      <c r="S200" s="4">
        <v>55</v>
      </c>
      <c r="T200" s="4">
        <v>55</v>
      </c>
      <c r="U200" s="5" t="s">
        <v>1225</v>
      </c>
      <c r="V200" s="5" t="s">
        <v>1225</v>
      </c>
      <c r="W200" s="5" t="s">
        <v>67</v>
      </c>
      <c r="X200" s="5" t="s">
        <v>67</v>
      </c>
      <c r="Y200" s="4">
        <v>441</v>
      </c>
      <c r="Z200" s="4">
        <v>22</v>
      </c>
      <c r="AA200" s="4">
        <v>29</v>
      </c>
      <c r="AB200" s="4">
        <v>2</v>
      </c>
      <c r="AC200" s="4">
        <v>6</v>
      </c>
      <c r="AD200" s="4">
        <v>114</v>
      </c>
      <c r="AE200" s="4">
        <v>121</v>
      </c>
      <c r="AF200" s="4">
        <v>1</v>
      </c>
      <c r="AG200" s="4">
        <v>5</v>
      </c>
      <c r="AH200" s="4">
        <v>101</v>
      </c>
      <c r="AI200" s="4">
        <v>103</v>
      </c>
      <c r="AJ200" s="4">
        <v>15</v>
      </c>
      <c r="AK200" s="4">
        <v>22</v>
      </c>
      <c r="AL200" s="4">
        <v>56</v>
      </c>
      <c r="AM200" s="4">
        <v>56</v>
      </c>
      <c r="AN200" s="4">
        <v>0</v>
      </c>
      <c r="AO200" s="4">
        <v>0</v>
      </c>
      <c r="AP200" s="4">
        <v>19</v>
      </c>
      <c r="AQ200" s="4">
        <v>25</v>
      </c>
      <c r="AR200" s="3" t="s">
        <v>62</v>
      </c>
      <c r="AS200" s="3" t="s">
        <v>62</v>
      </c>
      <c r="AT200" s="3" t="s">
        <v>62</v>
      </c>
      <c r="AV200" s="6" t="str">
        <f>HYPERLINK("http://mcgill.on.worldcat.org/oclc/22984311","Catalog Record")</f>
        <v>Catalog Record</v>
      </c>
      <c r="AW200" s="6" t="str">
        <f>HYPERLINK("http://www.worldcat.org/oclc/22984311","WorldCat Record")</f>
        <v>WorldCat Record</v>
      </c>
      <c r="AX200" s="3" t="s">
        <v>1652</v>
      </c>
      <c r="AY200" s="3" t="s">
        <v>1653</v>
      </c>
      <c r="AZ200" s="3" t="s">
        <v>1654</v>
      </c>
      <c r="BA200" s="3" t="s">
        <v>1654</v>
      </c>
      <c r="BB200" s="3" t="s">
        <v>1655</v>
      </c>
      <c r="BC200" s="3" t="s">
        <v>142</v>
      </c>
      <c r="BD200" s="3" t="s">
        <v>68</v>
      </c>
      <c r="BE200" s="3" t="s">
        <v>1656</v>
      </c>
      <c r="BF200" s="3" t="s">
        <v>1655</v>
      </c>
      <c r="BG200" s="3" t="s">
        <v>1657</v>
      </c>
    </row>
    <row r="201" spans="1:59" ht="57" x14ac:dyDescent="0.45">
      <c r="A201" s="2" t="s">
        <v>59</v>
      </c>
      <c r="B201" s="2" t="s">
        <v>60</v>
      </c>
      <c r="C201" s="2" t="s">
        <v>1658</v>
      </c>
      <c r="D201" s="2" t="s">
        <v>1659</v>
      </c>
      <c r="E201" s="2" t="s">
        <v>1660</v>
      </c>
      <c r="G201" s="3" t="s">
        <v>62</v>
      </c>
      <c r="I201" s="3" t="s">
        <v>61</v>
      </c>
      <c r="J201" s="3" t="s">
        <v>62</v>
      </c>
      <c r="K201" s="3" t="s">
        <v>63</v>
      </c>
      <c r="M201" s="2" t="s">
        <v>1661</v>
      </c>
      <c r="N201" s="3" t="s">
        <v>1478</v>
      </c>
      <c r="P201" s="3" t="s">
        <v>65</v>
      </c>
      <c r="Q201" s="2" t="s">
        <v>1662</v>
      </c>
      <c r="R201" s="3" t="s">
        <v>66</v>
      </c>
      <c r="S201" s="4">
        <v>61</v>
      </c>
      <c r="T201" s="4">
        <v>76</v>
      </c>
      <c r="U201" s="5" t="s">
        <v>1663</v>
      </c>
      <c r="V201" s="5" t="s">
        <v>1225</v>
      </c>
      <c r="W201" s="5" t="s">
        <v>67</v>
      </c>
      <c r="X201" s="5" t="s">
        <v>67</v>
      </c>
      <c r="Y201" s="4">
        <v>445</v>
      </c>
      <c r="Z201" s="4">
        <v>31</v>
      </c>
      <c r="AA201" s="4">
        <v>35</v>
      </c>
      <c r="AB201" s="4">
        <v>2</v>
      </c>
      <c r="AC201" s="4">
        <v>6</v>
      </c>
      <c r="AD201" s="4">
        <v>117</v>
      </c>
      <c r="AE201" s="4">
        <v>120</v>
      </c>
      <c r="AF201" s="4">
        <v>1</v>
      </c>
      <c r="AG201" s="4">
        <v>4</v>
      </c>
      <c r="AH201" s="4">
        <v>100</v>
      </c>
      <c r="AI201" s="4">
        <v>101</v>
      </c>
      <c r="AJ201" s="4">
        <v>17</v>
      </c>
      <c r="AK201" s="4">
        <v>20</v>
      </c>
      <c r="AL201" s="4">
        <v>56</v>
      </c>
      <c r="AM201" s="4">
        <v>56</v>
      </c>
      <c r="AN201" s="4">
        <v>0</v>
      </c>
      <c r="AO201" s="4">
        <v>0</v>
      </c>
      <c r="AP201" s="4">
        <v>26</v>
      </c>
      <c r="AQ201" s="4">
        <v>28</v>
      </c>
      <c r="AR201" s="3" t="s">
        <v>62</v>
      </c>
      <c r="AS201" s="3" t="s">
        <v>62</v>
      </c>
      <c r="AT201" s="3" t="s">
        <v>62</v>
      </c>
      <c r="AV201" s="6" t="str">
        <f>HYPERLINK("http://mcgill.on.worldcat.org/oclc/33047146","Catalog Record")</f>
        <v>Catalog Record</v>
      </c>
      <c r="AW201" s="6" t="str">
        <f>HYPERLINK("http://www.worldcat.org/oclc/33047146","WorldCat Record")</f>
        <v>WorldCat Record</v>
      </c>
      <c r="AX201" s="3" t="s">
        <v>1664</v>
      </c>
      <c r="AY201" s="3" t="s">
        <v>1665</v>
      </c>
      <c r="AZ201" s="3" t="s">
        <v>1666</v>
      </c>
      <c r="BA201" s="3" t="s">
        <v>1666</v>
      </c>
      <c r="BB201" s="3" t="s">
        <v>1667</v>
      </c>
      <c r="BC201" s="3" t="s">
        <v>142</v>
      </c>
      <c r="BD201" s="3" t="s">
        <v>308</v>
      </c>
      <c r="BE201" s="3" t="s">
        <v>1668</v>
      </c>
      <c r="BF201" s="3" t="s">
        <v>1667</v>
      </c>
      <c r="BG201" s="3" t="s">
        <v>1669</v>
      </c>
    </row>
    <row r="202" spans="1:59" ht="57" x14ac:dyDescent="0.45">
      <c r="A202" s="2" t="s">
        <v>59</v>
      </c>
      <c r="B202" s="2" t="s">
        <v>60</v>
      </c>
      <c r="C202" s="2" t="s">
        <v>1658</v>
      </c>
      <c r="D202" s="2" t="s">
        <v>1659</v>
      </c>
      <c r="E202" s="2" t="s">
        <v>1660</v>
      </c>
      <c r="G202" s="3" t="s">
        <v>62</v>
      </c>
      <c r="I202" s="3" t="s">
        <v>61</v>
      </c>
      <c r="J202" s="3" t="s">
        <v>62</v>
      </c>
      <c r="K202" s="3" t="s">
        <v>63</v>
      </c>
      <c r="M202" s="2" t="s">
        <v>1661</v>
      </c>
      <c r="N202" s="3" t="s">
        <v>1478</v>
      </c>
      <c r="P202" s="3" t="s">
        <v>65</v>
      </c>
      <c r="Q202" s="2" t="s">
        <v>1662</v>
      </c>
      <c r="R202" s="3" t="s">
        <v>66</v>
      </c>
      <c r="S202" s="4">
        <v>15</v>
      </c>
      <c r="T202" s="4">
        <v>76</v>
      </c>
      <c r="U202" s="5" t="s">
        <v>1225</v>
      </c>
      <c r="V202" s="5" t="s">
        <v>1225</v>
      </c>
      <c r="W202" s="5" t="s">
        <v>67</v>
      </c>
      <c r="X202" s="5" t="s">
        <v>67</v>
      </c>
      <c r="Y202" s="4">
        <v>445</v>
      </c>
      <c r="Z202" s="4">
        <v>31</v>
      </c>
      <c r="AA202" s="4">
        <v>35</v>
      </c>
      <c r="AB202" s="4">
        <v>2</v>
      </c>
      <c r="AC202" s="4">
        <v>6</v>
      </c>
      <c r="AD202" s="4">
        <v>117</v>
      </c>
      <c r="AE202" s="4">
        <v>120</v>
      </c>
      <c r="AF202" s="4">
        <v>1</v>
      </c>
      <c r="AG202" s="4">
        <v>4</v>
      </c>
      <c r="AH202" s="4">
        <v>100</v>
      </c>
      <c r="AI202" s="4">
        <v>101</v>
      </c>
      <c r="AJ202" s="4">
        <v>17</v>
      </c>
      <c r="AK202" s="4">
        <v>20</v>
      </c>
      <c r="AL202" s="4">
        <v>56</v>
      </c>
      <c r="AM202" s="4">
        <v>56</v>
      </c>
      <c r="AN202" s="4">
        <v>0</v>
      </c>
      <c r="AO202" s="4">
        <v>0</v>
      </c>
      <c r="AP202" s="4">
        <v>26</v>
      </c>
      <c r="AQ202" s="4">
        <v>28</v>
      </c>
      <c r="AR202" s="3" t="s">
        <v>62</v>
      </c>
      <c r="AS202" s="3" t="s">
        <v>62</v>
      </c>
      <c r="AT202" s="3" t="s">
        <v>62</v>
      </c>
      <c r="AV202" s="6" t="str">
        <f>HYPERLINK("http://mcgill.on.worldcat.org/oclc/33047146","Catalog Record")</f>
        <v>Catalog Record</v>
      </c>
      <c r="AW202" s="6" t="str">
        <f>HYPERLINK("http://www.worldcat.org/oclc/33047146","WorldCat Record")</f>
        <v>WorldCat Record</v>
      </c>
      <c r="AX202" s="3" t="s">
        <v>1664</v>
      </c>
      <c r="AY202" s="3" t="s">
        <v>1665</v>
      </c>
      <c r="AZ202" s="3" t="s">
        <v>1666</v>
      </c>
      <c r="BA202" s="3" t="s">
        <v>1666</v>
      </c>
      <c r="BB202" s="3" t="s">
        <v>1670</v>
      </c>
      <c r="BC202" s="3" t="s">
        <v>142</v>
      </c>
      <c r="BD202" s="3" t="s">
        <v>68</v>
      </c>
      <c r="BE202" s="3" t="s">
        <v>1668</v>
      </c>
      <c r="BF202" s="3" t="s">
        <v>1670</v>
      </c>
      <c r="BG202" s="3" t="s">
        <v>1671</v>
      </c>
    </row>
    <row r="203" spans="1:59" ht="57" x14ac:dyDescent="0.45">
      <c r="A203" s="2" t="s">
        <v>59</v>
      </c>
      <c r="B203" s="2" t="s">
        <v>60</v>
      </c>
      <c r="C203" s="2" t="s">
        <v>1672</v>
      </c>
      <c r="D203" s="2" t="s">
        <v>1673</v>
      </c>
      <c r="E203" s="2" t="s">
        <v>1674</v>
      </c>
      <c r="G203" s="3" t="s">
        <v>62</v>
      </c>
      <c r="I203" s="3" t="s">
        <v>62</v>
      </c>
      <c r="J203" s="3" t="s">
        <v>62</v>
      </c>
      <c r="K203" s="3" t="s">
        <v>63</v>
      </c>
      <c r="L203" s="2" t="s">
        <v>1675</v>
      </c>
      <c r="M203" s="2" t="s">
        <v>1676</v>
      </c>
      <c r="N203" s="3" t="s">
        <v>1059</v>
      </c>
      <c r="P203" s="3" t="s">
        <v>65</v>
      </c>
      <c r="Q203" s="2" t="s">
        <v>1677</v>
      </c>
      <c r="R203" s="3" t="s">
        <v>66</v>
      </c>
      <c r="S203" s="4">
        <v>9</v>
      </c>
      <c r="T203" s="4">
        <v>9</v>
      </c>
      <c r="U203" s="5" t="s">
        <v>1393</v>
      </c>
      <c r="V203" s="5" t="s">
        <v>1393</v>
      </c>
      <c r="W203" s="5" t="s">
        <v>67</v>
      </c>
      <c r="X203" s="5" t="s">
        <v>67</v>
      </c>
      <c r="Y203" s="4">
        <v>233</v>
      </c>
      <c r="Z203" s="4">
        <v>17</v>
      </c>
      <c r="AA203" s="4">
        <v>102</v>
      </c>
      <c r="AB203" s="4">
        <v>2</v>
      </c>
      <c r="AC203" s="4">
        <v>17</v>
      </c>
      <c r="AD203" s="4">
        <v>73</v>
      </c>
      <c r="AE203" s="4">
        <v>133</v>
      </c>
      <c r="AF203" s="4">
        <v>1</v>
      </c>
      <c r="AG203" s="4">
        <v>8</v>
      </c>
      <c r="AH203" s="4">
        <v>65</v>
      </c>
      <c r="AI203" s="4">
        <v>95</v>
      </c>
      <c r="AJ203" s="4">
        <v>12</v>
      </c>
      <c r="AK203" s="4">
        <v>24</v>
      </c>
      <c r="AL203" s="4">
        <v>37</v>
      </c>
      <c r="AM203" s="4">
        <v>47</v>
      </c>
      <c r="AN203" s="4">
        <v>0</v>
      </c>
      <c r="AO203" s="4">
        <v>0</v>
      </c>
      <c r="AP203" s="4">
        <v>15</v>
      </c>
      <c r="AQ203" s="4">
        <v>47</v>
      </c>
      <c r="AR203" s="3" t="s">
        <v>62</v>
      </c>
      <c r="AS203" s="3" t="s">
        <v>62</v>
      </c>
      <c r="AT203" s="3" t="s">
        <v>62</v>
      </c>
      <c r="AV203" s="6" t="str">
        <f>HYPERLINK("http://mcgill.on.worldcat.org/oclc/61169744","Catalog Record")</f>
        <v>Catalog Record</v>
      </c>
      <c r="AW203" s="6" t="str">
        <f>HYPERLINK("http://www.worldcat.org/oclc/61169744","WorldCat Record")</f>
        <v>WorldCat Record</v>
      </c>
      <c r="AX203" s="3" t="s">
        <v>1678</v>
      </c>
      <c r="AY203" s="3" t="s">
        <v>1679</v>
      </c>
      <c r="AZ203" s="3" t="s">
        <v>1680</v>
      </c>
      <c r="BA203" s="3" t="s">
        <v>1680</v>
      </c>
      <c r="BB203" s="3" t="s">
        <v>1681</v>
      </c>
      <c r="BC203" s="3" t="s">
        <v>142</v>
      </c>
      <c r="BD203" s="3" t="s">
        <v>68</v>
      </c>
      <c r="BE203" s="3" t="s">
        <v>1682</v>
      </c>
      <c r="BF203" s="3" t="s">
        <v>1681</v>
      </c>
      <c r="BG203" s="3" t="s">
        <v>1683</v>
      </c>
    </row>
    <row r="204" spans="1:59" ht="57" x14ac:dyDescent="0.45">
      <c r="A204" s="2" t="s">
        <v>59</v>
      </c>
      <c r="B204" s="2" t="s">
        <v>60</v>
      </c>
      <c r="C204" s="2" t="s">
        <v>1684</v>
      </c>
      <c r="D204" s="2" t="s">
        <v>1685</v>
      </c>
      <c r="E204" s="2" t="s">
        <v>1686</v>
      </c>
      <c r="G204" s="3" t="s">
        <v>62</v>
      </c>
      <c r="I204" s="3" t="s">
        <v>62</v>
      </c>
      <c r="J204" s="3" t="s">
        <v>62</v>
      </c>
      <c r="K204" s="3" t="s">
        <v>63</v>
      </c>
      <c r="M204" s="2" t="s">
        <v>1687</v>
      </c>
      <c r="N204" s="3" t="s">
        <v>1688</v>
      </c>
      <c r="P204" s="3" t="s">
        <v>65</v>
      </c>
      <c r="Q204" s="2" t="s">
        <v>1689</v>
      </c>
      <c r="R204" s="3" t="s">
        <v>66</v>
      </c>
      <c r="S204" s="4">
        <v>2</v>
      </c>
      <c r="T204" s="4">
        <v>2</v>
      </c>
      <c r="U204" s="5" t="s">
        <v>1690</v>
      </c>
      <c r="V204" s="5" t="s">
        <v>1690</v>
      </c>
      <c r="W204" s="5" t="s">
        <v>67</v>
      </c>
      <c r="X204" s="5" t="s">
        <v>67</v>
      </c>
      <c r="Y204" s="4">
        <v>62</v>
      </c>
      <c r="Z204" s="4">
        <v>5</v>
      </c>
      <c r="AA204" s="4">
        <v>16</v>
      </c>
      <c r="AB204" s="4">
        <v>1</v>
      </c>
      <c r="AC204" s="4">
        <v>5</v>
      </c>
      <c r="AD204" s="4">
        <v>19</v>
      </c>
      <c r="AE204" s="4">
        <v>48</v>
      </c>
      <c r="AF204" s="4">
        <v>0</v>
      </c>
      <c r="AG204" s="4">
        <v>1</v>
      </c>
      <c r="AH204" s="4">
        <v>18</v>
      </c>
      <c r="AI204" s="4">
        <v>43</v>
      </c>
      <c r="AJ204" s="4">
        <v>4</v>
      </c>
      <c r="AK204" s="4">
        <v>9</v>
      </c>
      <c r="AL204" s="4">
        <v>10</v>
      </c>
      <c r="AM204" s="4">
        <v>24</v>
      </c>
      <c r="AN204" s="4">
        <v>0</v>
      </c>
      <c r="AO204" s="4">
        <v>0</v>
      </c>
      <c r="AP204" s="4">
        <v>4</v>
      </c>
      <c r="AQ204" s="4">
        <v>11</v>
      </c>
      <c r="AR204" s="3" t="s">
        <v>62</v>
      </c>
      <c r="AS204" s="3" t="s">
        <v>62</v>
      </c>
      <c r="AT204" s="3" t="s">
        <v>62</v>
      </c>
      <c r="AV204" s="6" t="str">
        <f>HYPERLINK("http://mcgill.on.worldcat.org/oclc/880672161","Catalog Record")</f>
        <v>Catalog Record</v>
      </c>
      <c r="AW204" s="6" t="str">
        <f>HYPERLINK("http://www.worldcat.org/oclc/880672161","WorldCat Record")</f>
        <v>WorldCat Record</v>
      </c>
      <c r="AX204" s="3" t="s">
        <v>1691</v>
      </c>
      <c r="AY204" s="3" t="s">
        <v>1692</v>
      </c>
      <c r="AZ204" s="3" t="s">
        <v>1693</v>
      </c>
      <c r="BA204" s="3" t="s">
        <v>1693</v>
      </c>
      <c r="BB204" s="3" t="s">
        <v>1694</v>
      </c>
      <c r="BC204" s="3" t="s">
        <v>142</v>
      </c>
      <c r="BD204" s="3" t="s">
        <v>68</v>
      </c>
      <c r="BE204" s="3" t="s">
        <v>1695</v>
      </c>
      <c r="BF204" s="3" t="s">
        <v>1694</v>
      </c>
      <c r="BG204" s="3" t="s">
        <v>1696</v>
      </c>
    </row>
    <row r="205" spans="1:59" ht="57" x14ac:dyDescent="0.45">
      <c r="A205" s="2" t="s">
        <v>59</v>
      </c>
      <c r="B205" s="2" t="s">
        <v>60</v>
      </c>
      <c r="C205" s="2" t="s">
        <v>1697</v>
      </c>
      <c r="D205" s="2" t="s">
        <v>1698</v>
      </c>
      <c r="E205" s="2" t="s">
        <v>1699</v>
      </c>
      <c r="G205" s="3" t="s">
        <v>62</v>
      </c>
      <c r="I205" s="3" t="s">
        <v>62</v>
      </c>
      <c r="J205" s="3" t="s">
        <v>62</v>
      </c>
      <c r="K205" s="3" t="s">
        <v>63</v>
      </c>
      <c r="L205" s="2" t="s">
        <v>1700</v>
      </c>
      <c r="M205" s="2" t="s">
        <v>1178</v>
      </c>
      <c r="N205" s="3" t="s">
        <v>894</v>
      </c>
      <c r="P205" s="3" t="s">
        <v>65</v>
      </c>
      <c r="Q205" s="2" t="s">
        <v>1701</v>
      </c>
      <c r="R205" s="3" t="s">
        <v>66</v>
      </c>
      <c r="S205" s="4">
        <v>1</v>
      </c>
      <c r="T205" s="4">
        <v>1</v>
      </c>
      <c r="U205" s="5" t="s">
        <v>1702</v>
      </c>
      <c r="V205" s="5" t="s">
        <v>1702</v>
      </c>
      <c r="W205" s="5" t="s">
        <v>67</v>
      </c>
      <c r="X205" s="5" t="s">
        <v>67</v>
      </c>
      <c r="Y205" s="4">
        <v>102</v>
      </c>
      <c r="Z205" s="4">
        <v>9</v>
      </c>
      <c r="AA205" s="4">
        <v>90</v>
      </c>
      <c r="AB205" s="4">
        <v>1</v>
      </c>
      <c r="AC205" s="4">
        <v>17</v>
      </c>
      <c r="AD205" s="4">
        <v>39</v>
      </c>
      <c r="AE205" s="4">
        <v>118</v>
      </c>
      <c r="AF205" s="4">
        <v>0</v>
      </c>
      <c r="AG205" s="4">
        <v>8</v>
      </c>
      <c r="AH205" s="4">
        <v>37</v>
      </c>
      <c r="AI205" s="4">
        <v>83</v>
      </c>
      <c r="AJ205" s="4">
        <v>5</v>
      </c>
      <c r="AK205" s="4">
        <v>23</v>
      </c>
      <c r="AL205" s="4">
        <v>22</v>
      </c>
      <c r="AM205" s="4">
        <v>42</v>
      </c>
      <c r="AN205" s="4">
        <v>0</v>
      </c>
      <c r="AO205" s="4">
        <v>0</v>
      </c>
      <c r="AP205" s="4">
        <v>7</v>
      </c>
      <c r="AQ205" s="4">
        <v>44</v>
      </c>
      <c r="AR205" s="3" t="s">
        <v>62</v>
      </c>
      <c r="AS205" s="3" t="s">
        <v>62</v>
      </c>
      <c r="AT205" s="3" t="s">
        <v>62</v>
      </c>
      <c r="AV205" s="6" t="str">
        <f>HYPERLINK("http://mcgill.on.worldcat.org/oclc/690090374","Catalog Record")</f>
        <v>Catalog Record</v>
      </c>
      <c r="AW205" s="6" t="str">
        <f>HYPERLINK("http://www.worldcat.org/oclc/690090374","WorldCat Record")</f>
        <v>WorldCat Record</v>
      </c>
      <c r="AX205" s="3" t="s">
        <v>1703</v>
      </c>
      <c r="AY205" s="3" t="s">
        <v>1704</v>
      </c>
      <c r="AZ205" s="3" t="s">
        <v>1705</v>
      </c>
      <c r="BA205" s="3" t="s">
        <v>1705</v>
      </c>
      <c r="BB205" s="3" t="s">
        <v>1706</v>
      </c>
      <c r="BC205" s="3" t="s">
        <v>142</v>
      </c>
      <c r="BD205" s="3" t="s">
        <v>68</v>
      </c>
      <c r="BE205" s="3" t="s">
        <v>1707</v>
      </c>
      <c r="BF205" s="3" t="s">
        <v>1706</v>
      </c>
      <c r="BG205" s="3" t="s">
        <v>1708</v>
      </c>
    </row>
    <row r="206" spans="1:59" ht="57" x14ac:dyDescent="0.45">
      <c r="A206" s="2" t="s">
        <v>59</v>
      </c>
      <c r="B206" s="2" t="s">
        <v>60</v>
      </c>
      <c r="C206" s="2" t="s">
        <v>1709</v>
      </c>
      <c r="D206" s="2" t="s">
        <v>1710</v>
      </c>
      <c r="E206" s="2" t="s">
        <v>1711</v>
      </c>
      <c r="G206" s="3" t="s">
        <v>62</v>
      </c>
      <c r="I206" s="3" t="s">
        <v>62</v>
      </c>
      <c r="J206" s="3" t="s">
        <v>62</v>
      </c>
      <c r="K206" s="3" t="s">
        <v>63</v>
      </c>
      <c r="L206" s="2" t="s">
        <v>1712</v>
      </c>
      <c r="M206" s="2" t="s">
        <v>1713</v>
      </c>
      <c r="N206" s="3" t="s">
        <v>1155</v>
      </c>
      <c r="P206" s="3" t="s">
        <v>65</v>
      </c>
      <c r="R206" s="3" t="s">
        <v>66</v>
      </c>
      <c r="S206" s="4">
        <v>1</v>
      </c>
      <c r="T206" s="4">
        <v>1</v>
      </c>
      <c r="U206" s="5" t="s">
        <v>855</v>
      </c>
      <c r="V206" s="5" t="s">
        <v>855</v>
      </c>
      <c r="W206" s="5" t="s">
        <v>67</v>
      </c>
      <c r="X206" s="5" t="s">
        <v>67</v>
      </c>
      <c r="Y206" s="4">
        <v>165</v>
      </c>
      <c r="Z206" s="4">
        <v>23</v>
      </c>
      <c r="AA206" s="4">
        <v>109</v>
      </c>
      <c r="AB206" s="4">
        <v>2</v>
      </c>
      <c r="AC206" s="4">
        <v>15</v>
      </c>
      <c r="AD206" s="4">
        <v>70</v>
      </c>
      <c r="AE206" s="4">
        <v>127</v>
      </c>
      <c r="AF206" s="4">
        <v>1</v>
      </c>
      <c r="AG206" s="4">
        <v>8</v>
      </c>
      <c r="AH206" s="4">
        <v>60</v>
      </c>
      <c r="AI206" s="4">
        <v>88</v>
      </c>
      <c r="AJ206" s="4">
        <v>17</v>
      </c>
      <c r="AK206" s="4">
        <v>27</v>
      </c>
      <c r="AL206" s="4">
        <v>35</v>
      </c>
      <c r="AM206" s="4">
        <v>46</v>
      </c>
      <c r="AN206" s="4">
        <v>0</v>
      </c>
      <c r="AO206" s="4">
        <v>0</v>
      </c>
      <c r="AP206" s="4">
        <v>19</v>
      </c>
      <c r="AQ206" s="4">
        <v>49</v>
      </c>
      <c r="AR206" s="3" t="s">
        <v>62</v>
      </c>
      <c r="AS206" s="3" t="s">
        <v>62</v>
      </c>
      <c r="AT206" s="3" t="s">
        <v>62</v>
      </c>
      <c r="AV206" s="6" t="str">
        <f>HYPERLINK("http://mcgill.on.worldcat.org/oclc/773371735","Catalog Record")</f>
        <v>Catalog Record</v>
      </c>
      <c r="AW206" s="6" t="str">
        <f>HYPERLINK("http://www.worldcat.org/oclc/773371735","WorldCat Record")</f>
        <v>WorldCat Record</v>
      </c>
      <c r="AX206" s="3" t="s">
        <v>1714</v>
      </c>
      <c r="AY206" s="3" t="s">
        <v>1715</v>
      </c>
      <c r="AZ206" s="3" t="s">
        <v>1716</v>
      </c>
      <c r="BA206" s="3" t="s">
        <v>1716</v>
      </c>
      <c r="BB206" s="3" t="s">
        <v>1717</v>
      </c>
      <c r="BC206" s="3" t="s">
        <v>142</v>
      </c>
      <c r="BD206" s="3" t="s">
        <v>68</v>
      </c>
      <c r="BE206" s="3" t="s">
        <v>1718</v>
      </c>
      <c r="BF206" s="3" t="s">
        <v>1717</v>
      </c>
      <c r="BG206" s="3" t="s">
        <v>1719</v>
      </c>
    </row>
    <row r="207" spans="1:59" ht="57" x14ac:dyDescent="0.45">
      <c r="A207" s="2" t="s">
        <v>59</v>
      </c>
      <c r="B207" s="2" t="s">
        <v>60</v>
      </c>
      <c r="C207" s="2" t="s">
        <v>1720</v>
      </c>
      <c r="D207" s="2" t="s">
        <v>1721</v>
      </c>
      <c r="E207" s="2" t="s">
        <v>1722</v>
      </c>
      <c r="G207" s="3" t="s">
        <v>62</v>
      </c>
      <c r="I207" s="3" t="s">
        <v>62</v>
      </c>
      <c r="J207" s="3" t="s">
        <v>62</v>
      </c>
      <c r="K207" s="3" t="s">
        <v>63</v>
      </c>
      <c r="L207" s="2" t="s">
        <v>1723</v>
      </c>
      <c r="M207" s="2" t="s">
        <v>1713</v>
      </c>
      <c r="N207" s="3" t="s">
        <v>1155</v>
      </c>
      <c r="P207" s="3" t="s">
        <v>65</v>
      </c>
      <c r="R207" s="3" t="s">
        <v>66</v>
      </c>
      <c r="S207" s="4">
        <v>0</v>
      </c>
      <c r="T207" s="4">
        <v>0</v>
      </c>
      <c r="W207" s="5" t="s">
        <v>67</v>
      </c>
      <c r="X207" s="5" t="s">
        <v>67</v>
      </c>
      <c r="Y207" s="4">
        <v>93</v>
      </c>
      <c r="Z207" s="4">
        <v>14</v>
      </c>
      <c r="AA207" s="4">
        <v>102</v>
      </c>
      <c r="AB207" s="4">
        <v>2</v>
      </c>
      <c r="AC207" s="4">
        <v>14</v>
      </c>
      <c r="AD207" s="4">
        <v>27</v>
      </c>
      <c r="AE207" s="4">
        <v>98</v>
      </c>
      <c r="AF207" s="4">
        <v>1</v>
      </c>
      <c r="AG207" s="4">
        <v>8</v>
      </c>
      <c r="AH207" s="4">
        <v>22</v>
      </c>
      <c r="AI207" s="4">
        <v>63</v>
      </c>
      <c r="AJ207" s="4">
        <v>10</v>
      </c>
      <c r="AK207" s="4">
        <v>22</v>
      </c>
      <c r="AL207" s="4">
        <v>11</v>
      </c>
      <c r="AM207" s="4">
        <v>30</v>
      </c>
      <c r="AN207" s="4">
        <v>0</v>
      </c>
      <c r="AO207" s="4">
        <v>0</v>
      </c>
      <c r="AP207" s="4">
        <v>11</v>
      </c>
      <c r="AQ207" s="4">
        <v>44</v>
      </c>
      <c r="AR207" s="3" t="s">
        <v>62</v>
      </c>
      <c r="AS207" s="3" t="s">
        <v>62</v>
      </c>
      <c r="AT207" s="3" t="s">
        <v>62</v>
      </c>
      <c r="AV207" s="6" t="str">
        <f>HYPERLINK("http://mcgill.on.worldcat.org/oclc/751752376","Catalog Record")</f>
        <v>Catalog Record</v>
      </c>
      <c r="AW207" s="6" t="str">
        <f>HYPERLINK("http://www.worldcat.org/oclc/751752376","WorldCat Record")</f>
        <v>WorldCat Record</v>
      </c>
      <c r="AX207" s="3" t="s">
        <v>1724</v>
      </c>
      <c r="AY207" s="3" t="s">
        <v>1725</v>
      </c>
      <c r="AZ207" s="3" t="s">
        <v>1726</v>
      </c>
      <c r="BA207" s="3" t="s">
        <v>1726</v>
      </c>
      <c r="BB207" s="3" t="s">
        <v>1727</v>
      </c>
      <c r="BC207" s="3" t="s">
        <v>142</v>
      </c>
      <c r="BD207" s="3" t="s">
        <v>68</v>
      </c>
      <c r="BE207" s="3" t="s">
        <v>1728</v>
      </c>
      <c r="BF207" s="3" t="s">
        <v>1727</v>
      </c>
      <c r="BG207" s="3" t="s">
        <v>1729</v>
      </c>
    </row>
    <row r="208" spans="1:59" ht="57" x14ac:dyDescent="0.45">
      <c r="A208" s="2" t="s">
        <v>59</v>
      </c>
      <c r="B208" s="2" t="s">
        <v>60</v>
      </c>
      <c r="C208" s="2" t="s">
        <v>1730</v>
      </c>
      <c r="D208" s="2" t="s">
        <v>1731</v>
      </c>
      <c r="E208" s="2" t="s">
        <v>1732</v>
      </c>
      <c r="G208" s="3" t="s">
        <v>62</v>
      </c>
      <c r="I208" s="3" t="s">
        <v>62</v>
      </c>
      <c r="J208" s="3" t="s">
        <v>62</v>
      </c>
      <c r="K208" s="3" t="s">
        <v>63</v>
      </c>
      <c r="L208" s="2" t="s">
        <v>1733</v>
      </c>
      <c r="M208" s="2" t="s">
        <v>1734</v>
      </c>
      <c r="N208" s="3" t="s">
        <v>1059</v>
      </c>
      <c r="P208" s="3" t="s">
        <v>65</v>
      </c>
      <c r="Q208" s="2" t="s">
        <v>1735</v>
      </c>
      <c r="R208" s="3" t="s">
        <v>66</v>
      </c>
      <c r="S208" s="4">
        <v>5</v>
      </c>
      <c r="T208" s="4">
        <v>5</v>
      </c>
      <c r="U208" s="5" t="s">
        <v>1736</v>
      </c>
      <c r="V208" s="5" t="s">
        <v>1736</v>
      </c>
      <c r="W208" s="5" t="s">
        <v>67</v>
      </c>
      <c r="X208" s="5" t="s">
        <v>67</v>
      </c>
      <c r="Y208" s="4">
        <v>190</v>
      </c>
      <c r="Z208" s="4">
        <v>13</v>
      </c>
      <c r="AA208" s="4">
        <v>14</v>
      </c>
      <c r="AB208" s="4">
        <v>2</v>
      </c>
      <c r="AC208" s="4">
        <v>3</v>
      </c>
      <c r="AD208" s="4">
        <v>63</v>
      </c>
      <c r="AE208" s="4">
        <v>64</v>
      </c>
      <c r="AF208" s="4">
        <v>1</v>
      </c>
      <c r="AG208" s="4">
        <v>2</v>
      </c>
      <c r="AH208" s="4">
        <v>58</v>
      </c>
      <c r="AI208" s="4">
        <v>59</v>
      </c>
      <c r="AJ208" s="4">
        <v>10</v>
      </c>
      <c r="AK208" s="4">
        <v>11</v>
      </c>
      <c r="AL208" s="4">
        <v>31</v>
      </c>
      <c r="AM208" s="4">
        <v>31</v>
      </c>
      <c r="AN208" s="4">
        <v>0</v>
      </c>
      <c r="AO208" s="4">
        <v>0</v>
      </c>
      <c r="AP208" s="4">
        <v>10</v>
      </c>
      <c r="AQ208" s="4">
        <v>11</v>
      </c>
      <c r="AR208" s="3" t="s">
        <v>62</v>
      </c>
      <c r="AS208" s="3" t="s">
        <v>62</v>
      </c>
      <c r="AT208" s="3" t="s">
        <v>61</v>
      </c>
      <c r="AU208" s="6" t="str">
        <f>HYPERLINK("http://catalog.hathitrust.org/Record/006838068","HathiTrust Record")</f>
        <v>HathiTrust Record</v>
      </c>
      <c r="AV208" s="6" t="str">
        <f>HYPERLINK("http://mcgill.on.worldcat.org/oclc/71300319","Catalog Record")</f>
        <v>Catalog Record</v>
      </c>
      <c r="AW208" s="6" t="str">
        <f>HYPERLINK("http://www.worldcat.org/oclc/71300319","WorldCat Record")</f>
        <v>WorldCat Record</v>
      </c>
      <c r="AX208" s="3" t="s">
        <v>1737</v>
      </c>
      <c r="AY208" s="3" t="s">
        <v>1738</v>
      </c>
      <c r="AZ208" s="3" t="s">
        <v>1739</v>
      </c>
      <c r="BA208" s="3" t="s">
        <v>1739</v>
      </c>
      <c r="BB208" s="3" t="s">
        <v>1740</v>
      </c>
      <c r="BC208" s="3" t="s">
        <v>142</v>
      </c>
      <c r="BD208" s="3" t="s">
        <v>68</v>
      </c>
      <c r="BE208" s="3" t="s">
        <v>1741</v>
      </c>
      <c r="BF208" s="3" t="s">
        <v>1740</v>
      </c>
      <c r="BG208" s="3" t="s">
        <v>1742</v>
      </c>
    </row>
    <row r="209" spans="1:59" ht="57" x14ac:dyDescent="0.45">
      <c r="A209" s="2" t="s">
        <v>59</v>
      </c>
      <c r="B209" s="2" t="s">
        <v>60</v>
      </c>
      <c r="C209" s="2" t="s">
        <v>1743</v>
      </c>
      <c r="D209" s="2" t="s">
        <v>1744</v>
      </c>
      <c r="E209" s="2" t="s">
        <v>1745</v>
      </c>
      <c r="G209" s="3" t="s">
        <v>62</v>
      </c>
      <c r="I209" s="3" t="s">
        <v>61</v>
      </c>
      <c r="J209" s="3" t="s">
        <v>62</v>
      </c>
      <c r="K209" s="3" t="s">
        <v>63</v>
      </c>
      <c r="L209" s="2" t="s">
        <v>1746</v>
      </c>
      <c r="M209" s="2" t="s">
        <v>1747</v>
      </c>
      <c r="N209" s="3" t="s">
        <v>181</v>
      </c>
      <c r="O209" s="2" t="s">
        <v>1748</v>
      </c>
      <c r="P209" s="3" t="s">
        <v>65</v>
      </c>
      <c r="R209" s="3" t="s">
        <v>66</v>
      </c>
      <c r="S209" s="4">
        <v>2</v>
      </c>
      <c r="T209" s="4">
        <v>2</v>
      </c>
      <c r="U209" s="5" t="s">
        <v>1749</v>
      </c>
      <c r="V209" s="5" t="s">
        <v>1749</v>
      </c>
      <c r="W209" s="5" t="s">
        <v>67</v>
      </c>
      <c r="X209" s="5" t="s">
        <v>67</v>
      </c>
      <c r="Y209" s="4">
        <v>1149</v>
      </c>
      <c r="Z209" s="4">
        <v>31</v>
      </c>
      <c r="AA209" s="4">
        <v>41</v>
      </c>
      <c r="AB209" s="4">
        <v>2</v>
      </c>
      <c r="AC209" s="4">
        <v>6</v>
      </c>
      <c r="AD209" s="4">
        <v>76</v>
      </c>
      <c r="AE209" s="4">
        <v>83</v>
      </c>
      <c r="AF209" s="4">
        <v>0</v>
      </c>
      <c r="AG209" s="4">
        <v>1</v>
      </c>
      <c r="AH209" s="4">
        <v>69</v>
      </c>
      <c r="AI209" s="4">
        <v>73</v>
      </c>
      <c r="AJ209" s="4">
        <v>12</v>
      </c>
      <c r="AK209" s="4">
        <v>14</v>
      </c>
      <c r="AL209" s="4">
        <v>40</v>
      </c>
      <c r="AM209" s="4">
        <v>42</v>
      </c>
      <c r="AN209" s="4">
        <v>0</v>
      </c>
      <c r="AO209" s="4">
        <v>0</v>
      </c>
      <c r="AP209" s="4">
        <v>13</v>
      </c>
      <c r="AQ209" s="4">
        <v>14</v>
      </c>
      <c r="AR209" s="3" t="s">
        <v>62</v>
      </c>
      <c r="AS209" s="3" t="s">
        <v>62</v>
      </c>
      <c r="AT209" s="3" t="s">
        <v>62</v>
      </c>
      <c r="AV209" s="6" t="str">
        <f>HYPERLINK("http://mcgill.on.worldcat.org/oclc/932174083","Catalog Record")</f>
        <v>Catalog Record</v>
      </c>
      <c r="AW209" s="6" t="str">
        <f>HYPERLINK("http://www.worldcat.org/oclc/932174083","WorldCat Record")</f>
        <v>WorldCat Record</v>
      </c>
      <c r="AX209" s="3" t="s">
        <v>1750</v>
      </c>
      <c r="AY209" s="3" t="s">
        <v>1751</v>
      </c>
      <c r="AZ209" s="3" t="s">
        <v>1752</v>
      </c>
      <c r="BA209" s="3" t="s">
        <v>1752</v>
      </c>
      <c r="BB209" s="3" t="s">
        <v>1753</v>
      </c>
      <c r="BC209" s="3" t="s">
        <v>142</v>
      </c>
      <c r="BD209" s="3" t="s">
        <v>68</v>
      </c>
      <c r="BE209" s="3" t="s">
        <v>1754</v>
      </c>
      <c r="BF209" s="3" t="s">
        <v>1753</v>
      </c>
      <c r="BG209" s="3" t="s">
        <v>1755</v>
      </c>
    </row>
    <row r="210" spans="1:59" ht="57" x14ac:dyDescent="0.45">
      <c r="A210" s="2" t="s">
        <v>59</v>
      </c>
      <c r="B210" s="2" t="s">
        <v>60</v>
      </c>
      <c r="C210" s="2" t="s">
        <v>1756</v>
      </c>
      <c r="D210" s="2" t="s">
        <v>1757</v>
      </c>
      <c r="E210" s="2" t="s">
        <v>1758</v>
      </c>
      <c r="G210" s="3" t="s">
        <v>62</v>
      </c>
      <c r="I210" s="3" t="s">
        <v>62</v>
      </c>
      <c r="J210" s="3" t="s">
        <v>62</v>
      </c>
      <c r="K210" s="3" t="s">
        <v>63</v>
      </c>
      <c r="L210" s="2" t="s">
        <v>1759</v>
      </c>
      <c r="M210" s="2" t="s">
        <v>1760</v>
      </c>
      <c r="N210" s="3" t="s">
        <v>894</v>
      </c>
      <c r="P210" s="3" t="s">
        <v>65</v>
      </c>
      <c r="R210" s="3" t="s">
        <v>66</v>
      </c>
      <c r="S210" s="4">
        <v>3</v>
      </c>
      <c r="T210" s="4">
        <v>3</v>
      </c>
      <c r="U210" s="5" t="s">
        <v>1047</v>
      </c>
      <c r="V210" s="5" t="s">
        <v>1047</v>
      </c>
      <c r="W210" s="5" t="s">
        <v>67</v>
      </c>
      <c r="X210" s="5" t="s">
        <v>67</v>
      </c>
      <c r="Y210" s="4">
        <v>181</v>
      </c>
      <c r="Z210" s="4">
        <v>20</v>
      </c>
      <c r="AA210" s="4">
        <v>26</v>
      </c>
      <c r="AB210" s="4">
        <v>2</v>
      </c>
      <c r="AC210" s="4">
        <v>6</v>
      </c>
      <c r="AD210" s="4">
        <v>80</v>
      </c>
      <c r="AE210" s="4">
        <v>90</v>
      </c>
      <c r="AF210" s="4">
        <v>1</v>
      </c>
      <c r="AG210" s="4">
        <v>2</v>
      </c>
      <c r="AH210" s="4">
        <v>71</v>
      </c>
      <c r="AI210" s="4">
        <v>78</v>
      </c>
      <c r="AJ210" s="4">
        <v>15</v>
      </c>
      <c r="AK210" s="4">
        <v>17</v>
      </c>
      <c r="AL210" s="4">
        <v>43</v>
      </c>
      <c r="AM210" s="4">
        <v>47</v>
      </c>
      <c r="AN210" s="4">
        <v>0</v>
      </c>
      <c r="AO210" s="4">
        <v>0</v>
      </c>
      <c r="AP210" s="4">
        <v>17</v>
      </c>
      <c r="AQ210" s="4">
        <v>20</v>
      </c>
      <c r="AR210" s="3" t="s">
        <v>62</v>
      </c>
      <c r="AS210" s="3" t="s">
        <v>62</v>
      </c>
      <c r="AT210" s="3" t="s">
        <v>62</v>
      </c>
      <c r="AV210" s="6" t="str">
        <f>HYPERLINK("http://mcgill.on.worldcat.org/oclc/607574248","Catalog Record")</f>
        <v>Catalog Record</v>
      </c>
      <c r="AW210" s="6" t="str">
        <f>HYPERLINK("http://www.worldcat.org/oclc/607574248","WorldCat Record")</f>
        <v>WorldCat Record</v>
      </c>
      <c r="AX210" s="3" t="s">
        <v>1761</v>
      </c>
      <c r="AY210" s="3" t="s">
        <v>1762</v>
      </c>
      <c r="AZ210" s="3" t="s">
        <v>1763</v>
      </c>
      <c r="BA210" s="3" t="s">
        <v>1763</v>
      </c>
      <c r="BB210" s="3" t="s">
        <v>1764</v>
      </c>
      <c r="BC210" s="3" t="s">
        <v>142</v>
      </c>
      <c r="BD210" s="3" t="s">
        <v>68</v>
      </c>
      <c r="BE210" s="3" t="s">
        <v>1765</v>
      </c>
      <c r="BF210" s="3" t="s">
        <v>1764</v>
      </c>
      <c r="BG210" s="3" t="s">
        <v>1766</v>
      </c>
    </row>
    <row r="211" spans="1:59" ht="57" x14ac:dyDescent="0.45">
      <c r="A211" s="2" t="s">
        <v>59</v>
      </c>
      <c r="B211" s="2" t="s">
        <v>60</v>
      </c>
      <c r="C211" s="2" t="s">
        <v>1767</v>
      </c>
      <c r="D211" s="2" t="s">
        <v>1768</v>
      </c>
      <c r="E211" s="2" t="s">
        <v>1769</v>
      </c>
      <c r="G211" s="3" t="s">
        <v>62</v>
      </c>
      <c r="I211" s="3" t="s">
        <v>62</v>
      </c>
      <c r="J211" s="3" t="s">
        <v>62</v>
      </c>
      <c r="K211" s="3" t="s">
        <v>63</v>
      </c>
      <c r="L211" s="2" t="s">
        <v>1759</v>
      </c>
      <c r="M211" s="2" t="s">
        <v>1770</v>
      </c>
      <c r="N211" s="3" t="s">
        <v>116</v>
      </c>
      <c r="P211" s="3" t="s">
        <v>65</v>
      </c>
      <c r="R211" s="3" t="s">
        <v>66</v>
      </c>
      <c r="S211" s="4">
        <v>2</v>
      </c>
      <c r="T211" s="4">
        <v>2</v>
      </c>
      <c r="U211" s="5" t="s">
        <v>1771</v>
      </c>
      <c r="V211" s="5" t="s">
        <v>1771</v>
      </c>
      <c r="W211" s="5" t="s">
        <v>67</v>
      </c>
      <c r="X211" s="5" t="s">
        <v>67</v>
      </c>
      <c r="Y211" s="4">
        <v>139</v>
      </c>
      <c r="Z211" s="4">
        <v>21</v>
      </c>
      <c r="AA211" s="4">
        <v>108</v>
      </c>
      <c r="AB211" s="4">
        <v>1</v>
      </c>
      <c r="AC211" s="4">
        <v>15</v>
      </c>
      <c r="AD211" s="4">
        <v>60</v>
      </c>
      <c r="AE211" s="4">
        <v>120</v>
      </c>
      <c r="AF211" s="4">
        <v>0</v>
      </c>
      <c r="AG211" s="4">
        <v>8</v>
      </c>
      <c r="AH211" s="4">
        <v>51</v>
      </c>
      <c r="AI211" s="4">
        <v>81</v>
      </c>
      <c r="AJ211" s="4">
        <v>13</v>
      </c>
      <c r="AK211" s="4">
        <v>26</v>
      </c>
      <c r="AL211" s="4">
        <v>33</v>
      </c>
      <c r="AM211" s="4">
        <v>43</v>
      </c>
      <c r="AN211" s="4">
        <v>0</v>
      </c>
      <c r="AO211" s="4">
        <v>0</v>
      </c>
      <c r="AP211" s="4">
        <v>16</v>
      </c>
      <c r="AQ211" s="4">
        <v>48</v>
      </c>
      <c r="AR211" s="3" t="s">
        <v>62</v>
      </c>
      <c r="AS211" s="3" t="s">
        <v>62</v>
      </c>
      <c r="AT211" s="3" t="s">
        <v>62</v>
      </c>
      <c r="AV211" s="6" t="str">
        <f>HYPERLINK("http://mcgill.on.worldcat.org/oclc/824733698","Catalog Record")</f>
        <v>Catalog Record</v>
      </c>
      <c r="AW211" s="6" t="str">
        <f>HYPERLINK("http://www.worldcat.org/oclc/824733698","WorldCat Record")</f>
        <v>WorldCat Record</v>
      </c>
      <c r="AX211" s="3" t="s">
        <v>1772</v>
      </c>
      <c r="AY211" s="3" t="s">
        <v>1773</v>
      </c>
      <c r="AZ211" s="3" t="s">
        <v>1774</v>
      </c>
      <c r="BA211" s="3" t="s">
        <v>1774</v>
      </c>
      <c r="BB211" s="3" t="s">
        <v>1775</v>
      </c>
      <c r="BC211" s="3" t="s">
        <v>142</v>
      </c>
      <c r="BD211" s="3" t="s">
        <v>68</v>
      </c>
      <c r="BE211" s="3" t="s">
        <v>1776</v>
      </c>
      <c r="BF211" s="3" t="s">
        <v>1775</v>
      </c>
      <c r="BG211" s="3" t="s">
        <v>1777</v>
      </c>
    </row>
    <row r="212" spans="1:59" ht="57" x14ac:dyDescent="0.45">
      <c r="A212" s="2" t="s">
        <v>59</v>
      </c>
      <c r="B212" s="2" t="s">
        <v>60</v>
      </c>
      <c r="C212" s="2" t="s">
        <v>1778</v>
      </c>
      <c r="D212" s="2" t="s">
        <v>1779</v>
      </c>
      <c r="E212" s="2" t="s">
        <v>1780</v>
      </c>
      <c r="G212" s="3" t="s">
        <v>62</v>
      </c>
      <c r="I212" s="3" t="s">
        <v>62</v>
      </c>
      <c r="J212" s="3" t="s">
        <v>62</v>
      </c>
      <c r="K212" s="3" t="s">
        <v>63</v>
      </c>
      <c r="M212" s="2" t="s">
        <v>1781</v>
      </c>
      <c r="N212" s="3" t="s">
        <v>149</v>
      </c>
      <c r="P212" s="3" t="s">
        <v>65</v>
      </c>
      <c r="Q212" s="2" t="s">
        <v>1782</v>
      </c>
      <c r="R212" s="3" t="s">
        <v>66</v>
      </c>
      <c r="S212" s="4">
        <v>0</v>
      </c>
      <c r="T212" s="4">
        <v>0</v>
      </c>
      <c r="W212" s="5" t="s">
        <v>1783</v>
      </c>
      <c r="X212" s="5" t="s">
        <v>1783</v>
      </c>
      <c r="Y212" s="4">
        <v>158</v>
      </c>
      <c r="Z212" s="4">
        <v>15</v>
      </c>
      <c r="AA212" s="4">
        <v>92</v>
      </c>
      <c r="AB212" s="4">
        <v>1</v>
      </c>
      <c r="AC212" s="4">
        <v>17</v>
      </c>
      <c r="AD212" s="4">
        <v>56</v>
      </c>
      <c r="AE212" s="4">
        <v>119</v>
      </c>
      <c r="AF212" s="4">
        <v>0</v>
      </c>
      <c r="AG212" s="4">
        <v>8</v>
      </c>
      <c r="AH212" s="4">
        <v>53</v>
      </c>
      <c r="AI212" s="4">
        <v>84</v>
      </c>
      <c r="AJ212" s="4">
        <v>12</v>
      </c>
      <c r="AK212" s="4">
        <v>23</v>
      </c>
      <c r="AL212" s="4">
        <v>31</v>
      </c>
      <c r="AM212" s="4">
        <v>43</v>
      </c>
      <c r="AN212" s="4">
        <v>0</v>
      </c>
      <c r="AO212" s="4">
        <v>0</v>
      </c>
      <c r="AP212" s="4">
        <v>12</v>
      </c>
      <c r="AQ212" s="4">
        <v>44</v>
      </c>
      <c r="AR212" s="3" t="s">
        <v>62</v>
      </c>
      <c r="AS212" s="3" t="s">
        <v>62</v>
      </c>
      <c r="AT212" s="3" t="s">
        <v>62</v>
      </c>
      <c r="AV212" s="6" t="str">
        <f>HYPERLINK("http://mcgill.on.worldcat.org/oclc/465368385","Catalog Record")</f>
        <v>Catalog Record</v>
      </c>
      <c r="AW212" s="6" t="str">
        <f>HYPERLINK("http://www.worldcat.org/oclc/465368385","WorldCat Record")</f>
        <v>WorldCat Record</v>
      </c>
      <c r="AX212" s="3" t="s">
        <v>1784</v>
      </c>
      <c r="AY212" s="3" t="s">
        <v>1785</v>
      </c>
      <c r="AZ212" s="3" t="s">
        <v>1786</v>
      </c>
      <c r="BA212" s="3" t="s">
        <v>1786</v>
      </c>
      <c r="BB212" s="3" t="s">
        <v>1787</v>
      </c>
      <c r="BC212" s="3" t="s">
        <v>142</v>
      </c>
      <c r="BD212" s="3" t="s">
        <v>68</v>
      </c>
      <c r="BE212" s="3" t="s">
        <v>1788</v>
      </c>
      <c r="BF212" s="3" t="s">
        <v>1787</v>
      </c>
      <c r="BG212" s="3" t="s">
        <v>1789</v>
      </c>
    </row>
    <row r="213" spans="1:59" ht="57" x14ac:dyDescent="0.45">
      <c r="A213" s="2" t="s">
        <v>59</v>
      </c>
      <c r="B213" s="2" t="s">
        <v>60</v>
      </c>
      <c r="C213" s="2" t="s">
        <v>1790</v>
      </c>
      <c r="D213" s="2" t="s">
        <v>1791</v>
      </c>
      <c r="E213" s="2" t="s">
        <v>1792</v>
      </c>
      <c r="G213" s="3" t="s">
        <v>62</v>
      </c>
      <c r="I213" s="3" t="s">
        <v>62</v>
      </c>
      <c r="J213" s="3" t="s">
        <v>62</v>
      </c>
      <c r="K213" s="3" t="s">
        <v>63</v>
      </c>
      <c r="M213" s="2" t="s">
        <v>1793</v>
      </c>
      <c r="N213" s="3" t="s">
        <v>945</v>
      </c>
      <c r="P213" s="3" t="s">
        <v>65</v>
      </c>
      <c r="R213" s="3" t="s">
        <v>66</v>
      </c>
      <c r="S213" s="4">
        <v>4</v>
      </c>
      <c r="T213" s="4">
        <v>4</v>
      </c>
      <c r="U213" s="5" t="s">
        <v>519</v>
      </c>
      <c r="V213" s="5" t="s">
        <v>519</v>
      </c>
      <c r="W213" s="5" t="s">
        <v>67</v>
      </c>
      <c r="X213" s="5" t="s">
        <v>67</v>
      </c>
      <c r="Y213" s="4">
        <v>175</v>
      </c>
      <c r="Z213" s="4">
        <v>12</v>
      </c>
      <c r="AA213" s="4">
        <v>54</v>
      </c>
      <c r="AB213" s="4">
        <v>1</v>
      </c>
      <c r="AC213" s="4">
        <v>6</v>
      </c>
      <c r="AD213" s="4">
        <v>58</v>
      </c>
      <c r="AE213" s="4">
        <v>89</v>
      </c>
      <c r="AF213" s="4">
        <v>0</v>
      </c>
      <c r="AG213" s="4">
        <v>0</v>
      </c>
      <c r="AH213" s="4">
        <v>53</v>
      </c>
      <c r="AI213" s="4">
        <v>73</v>
      </c>
      <c r="AJ213" s="4">
        <v>8</v>
      </c>
      <c r="AK213" s="4">
        <v>11</v>
      </c>
      <c r="AL213" s="4">
        <v>32</v>
      </c>
      <c r="AM213" s="4">
        <v>40</v>
      </c>
      <c r="AN213" s="4">
        <v>0</v>
      </c>
      <c r="AO213" s="4">
        <v>0</v>
      </c>
      <c r="AP213" s="4">
        <v>10</v>
      </c>
      <c r="AQ213" s="4">
        <v>21</v>
      </c>
      <c r="AR213" s="3" t="s">
        <v>62</v>
      </c>
      <c r="AS213" s="3" t="s">
        <v>62</v>
      </c>
      <c r="AT213" s="3" t="s">
        <v>61</v>
      </c>
      <c r="AU213" s="6" t="str">
        <f>HYPERLINK("http://catalog.hathitrust.org/Record/005607954","HathiTrust Record")</f>
        <v>HathiTrust Record</v>
      </c>
      <c r="AV213" s="6" t="str">
        <f>HYPERLINK("http://mcgill.on.worldcat.org/oclc/154667832","Catalog Record")</f>
        <v>Catalog Record</v>
      </c>
      <c r="AW213" s="6" t="str">
        <f>HYPERLINK("http://www.worldcat.org/oclc/154667832","WorldCat Record")</f>
        <v>WorldCat Record</v>
      </c>
      <c r="AX213" s="3" t="s">
        <v>1794</v>
      </c>
      <c r="AY213" s="3" t="s">
        <v>1795</v>
      </c>
      <c r="AZ213" s="3" t="s">
        <v>1796</v>
      </c>
      <c r="BA213" s="3" t="s">
        <v>1796</v>
      </c>
      <c r="BB213" s="3" t="s">
        <v>1797</v>
      </c>
      <c r="BC213" s="3" t="s">
        <v>142</v>
      </c>
      <c r="BD213" s="3" t="s">
        <v>68</v>
      </c>
      <c r="BE213" s="3" t="s">
        <v>1798</v>
      </c>
      <c r="BF213" s="3" t="s">
        <v>1797</v>
      </c>
      <c r="BG213" s="3" t="s">
        <v>1799</v>
      </c>
    </row>
    <row r="214" spans="1:59" ht="57" x14ac:dyDescent="0.45">
      <c r="A214" s="2" t="s">
        <v>59</v>
      </c>
      <c r="B214" s="2" t="s">
        <v>60</v>
      </c>
      <c r="C214" s="2" t="s">
        <v>1800</v>
      </c>
      <c r="D214" s="2" t="s">
        <v>1801</v>
      </c>
      <c r="E214" s="2" t="s">
        <v>1802</v>
      </c>
      <c r="G214" s="3" t="s">
        <v>62</v>
      </c>
      <c r="I214" s="3" t="s">
        <v>62</v>
      </c>
      <c r="J214" s="3" t="s">
        <v>62</v>
      </c>
      <c r="K214" s="3" t="s">
        <v>63</v>
      </c>
      <c r="L214" s="2" t="s">
        <v>1803</v>
      </c>
      <c r="M214" s="2" t="s">
        <v>1804</v>
      </c>
      <c r="N214" s="3" t="s">
        <v>181</v>
      </c>
      <c r="P214" s="3" t="s">
        <v>65</v>
      </c>
      <c r="Q214" s="2" t="s">
        <v>1805</v>
      </c>
      <c r="R214" s="3" t="s">
        <v>66</v>
      </c>
      <c r="S214" s="4">
        <v>3</v>
      </c>
      <c r="T214" s="4">
        <v>3</v>
      </c>
      <c r="U214" s="5" t="s">
        <v>1806</v>
      </c>
      <c r="V214" s="5" t="s">
        <v>1806</v>
      </c>
      <c r="W214" s="5" t="s">
        <v>67</v>
      </c>
      <c r="X214" s="5" t="s">
        <v>67</v>
      </c>
      <c r="Y214" s="4">
        <v>110</v>
      </c>
      <c r="Z214" s="4">
        <v>14</v>
      </c>
      <c r="AA214" s="4">
        <v>26</v>
      </c>
      <c r="AB214" s="4">
        <v>1</v>
      </c>
      <c r="AC214" s="4">
        <v>5</v>
      </c>
      <c r="AD214" s="4">
        <v>43</v>
      </c>
      <c r="AE214" s="4">
        <v>63</v>
      </c>
      <c r="AF214" s="4">
        <v>0</v>
      </c>
      <c r="AG214" s="4">
        <v>1</v>
      </c>
      <c r="AH214" s="4">
        <v>35</v>
      </c>
      <c r="AI214" s="4">
        <v>50</v>
      </c>
      <c r="AJ214" s="4">
        <v>6</v>
      </c>
      <c r="AK214" s="4">
        <v>12</v>
      </c>
      <c r="AL214" s="4">
        <v>27</v>
      </c>
      <c r="AM214" s="4">
        <v>32</v>
      </c>
      <c r="AN214" s="4">
        <v>0</v>
      </c>
      <c r="AO214" s="4">
        <v>0</v>
      </c>
      <c r="AP214" s="4">
        <v>8</v>
      </c>
      <c r="AQ214" s="4">
        <v>17</v>
      </c>
      <c r="AR214" s="3" t="s">
        <v>62</v>
      </c>
      <c r="AS214" s="3" t="s">
        <v>62</v>
      </c>
      <c r="AT214" s="3" t="s">
        <v>62</v>
      </c>
      <c r="AV214" s="6" t="str">
        <f>HYPERLINK("http://mcgill.on.worldcat.org/oclc/911004578","Catalog Record")</f>
        <v>Catalog Record</v>
      </c>
      <c r="AW214" s="6" t="str">
        <f>HYPERLINK("http://www.worldcat.org/oclc/911004578","WorldCat Record")</f>
        <v>WorldCat Record</v>
      </c>
      <c r="AX214" s="3" t="s">
        <v>1807</v>
      </c>
      <c r="AY214" s="3" t="s">
        <v>1808</v>
      </c>
      <c r="AZ214" s="3" t="s">
        <v>1809</v>
      </c>
      <c r="BA214" s="3" t="s">
        <v>1809</v>
      </c>
      <c r="BB214" s="3" t="s">
        <v>1810</v>
      </c>
      <c r="BC214" s="3" t="s">
        <v>142</v>
      </c>
      <c r="BD214" s="3" t="s">
        <v>68</v>
      </c>
      <c r="BE214" s="3" t="s">
        <v>1811</v>
      </c>
      <c r="BF214" s="3" t="s">
        <v>1810</v>
      </c>
      <c r="BG214" s="3" t="s">
        <v>1812</v>
      </c>
    </row>
    <row r="215" spans="1:59" ht="57" x14ac:dyDescent="0.45">
      <c r="A215" s="2" t="s">
        <v>59</v>
      </c>
      <c r="B215" s="2" t="s">
        <v>60</v>
      </c>
      <c r="C215" s="2" t="s">
        <v>1813</v>
      </c>
      <c r="D215" s="2" t="s">
        <v>1814</v>
      </c>
      <c r="E215" s="2" t="s">
        <v>1815</v>
      </c>
      <c r="G215" s="3" t="s">
        <v>62</v>
      </c>
      <c r="I215" s="3" t="s">
        <v>62</v>
      </c>
      <c r="J215" s="3" t="s">
        <v>62</v>
      </c>
      <c r="K215" s="3" t="s">
        <v>63</v>
      </c>
      <c r="L215" s="2" t="s">
        <v>1816</v>
      </c>
      <c r="M215" s="2" t="s">
        <v>1817</v>
      </c>
      <c r="N215" s="3" t="s">
        <v>149</v>
      </c>
      <c r="P215" s="3" t="s">
        <v>65</v>
      </c>
      <c r="R215" s="3" t="s">
        <v>66</v>
      </c>
      <c r="S215" s="4">
        <v>1</v>
      </c>
      <c r="T215" s="4">
        <v>1</v>
      </c>
      <c r="U215" s="5" t="s">
        <v>1818</v>
      </c>
      <c r="V215" s="5" t="s">
        <v>1818</v>
      </c>
      <c r="W215" s="5" t="s">
        <v>67</v>
      </c>
      <c r="X215" s="5" t="s">
        <v>67</v>
      </c>
      <c r="Y215" s="4">
        <v>65</v>
      </c>
      <c r="Z215" s="4">
        <v>4</v>
      </c>
      <c r="AA215" s="4">
        <v>19</v>
      </c>
      <c r="AB215" s="4">
        <v>1</v>
      </c>
      <c r="AC215" s="4">
        <v>2</v>
      </c>
      <c r="AD215" s="4">
        <v>30</v>
      </c>
      <c r="AE215" s="4">
        <v>61</v>
      </c>
      <c r="AF215" s="4">
        <v>0</v>
      </c>
      <c r="AG215" s="4">
        <v>0</v>
      </c>
      <c r="AH215" s="4">
        <v>30</v>
      </c>
      <c r="AI215" s="4">
        <v>52</v>
      </c>
      <c r="AJ215" s="4">
        <v>3</v>
      </c>
      <c r="AK215" s="4">
        <v>7</v>
      </c>
      <c r="AL215" s="4">
        <v>19</v>
      </c>
      <c r="AM215" s="4">
        <v>29</v>
      </c>
      <c r="AN215" s="4">
        <v>0</v>
      </c>
      <c r="AO215" s="4">
        <v>0</v>
      </c>
      <c r="AP215" s="4">
        <v>3</v>
      </c>
      <c r="AQ215" s="4">
        <v>13</v>
      </c>
      <c r="AR215" s="3" t="s">
        <v>62</v>
      </c>
      <c r="AS215" s="3" t="s">
        <v>62</v>
      </c>
      <c r="AT215" s="3" t="s">
        <v>62</v>
      </c>
      <c r="AV215" s="6" t="str">
        <f>HYPERLINK("http://mcgill.on.worldcat.org/oclc/617445720","Catalog Record")</f>
        <v>Catalog Record</v>
      </c>
      <c r="AW215" s="6" t="str">
        <f>HYPERLINK("http://www.worldcat.org/oclc/617445720","WorldCat Record")</f>
        <v>WorldCat Record</v>
      </c>
      <c r="AX215" s="3" t="s">
        <v>1819</v>
      </c>
      <c r="AY215" s="3" t="s">
        <v>1820</v>
      </c>
      <c r="AZ215" s="3" t="s">
        <v>1821</v>
      </c>
      <c r="BA215" s="3" t="s">
        <v>1821</v>
      </c>
      <c r="BB215" s="3" t="s">
        <v>1822</v>
      </c>
      <c r="BC215" s="3" t="s">
        <v>142</v>
      </c>
      <c r="BD215" s="3" t="s">
        <v>68</v>
      </c>
      <c r="BE215" s="3" t="s">
        <v>1823</v>
      </c>
      <c r="BF215" s="3" t="s">
        <v>1822</v>
      </c>
      <c r="BG215" s="3" t="s">
        <v>1824</v>
      </c>
    </row>
    <row r="216" spans="1:59" ht="57" x14ac:dyDescent="0.45">
      <c r="A216" s="2" t="s">
        <v>59</v>
      </c>
      <c r="B216" s="2" t="s">
        <v>60</v>
      </c>
      <c r="C216" s="2" t="s">
        <v>1825</v>
      </c>
      <c r="D216" s="2" t="s">
        <v>1826</v>
      </c>
      <c r="E216" s="2" t="s">
        <v>1827</v>
      </c>
      <c r="G216" s="3" t="s">
        <v>62</v>
      </c>
      <c r="I216" s="3" t="s">
        <v>62</v>
      </c>
      <c r="J216" s="3" t="s">
        <v>62</v>
      </c>
      <c r="K216" s="3" t="s">
        <v>63</v>
      </c>
      <c r="L216" s="2" t="s">
        <v>1828</v>
      </c>
      <c r="M216" s="2" t="s">
        <v>1829</v>
      </c>
      <c r="N216" s="3" t="s">
        <v>1437</v>
      </c>
      <c r="P216" s="3" t="s">
        <v>65</v>
      </c>
      <c r="Q216" s="2" t="s">
        <v>1830</v>
      </c>
      <c r="R216" s="3" t="s">
        <v>66</v>
      </c>
      <c r="S216" s="4">
        <v>12</v>
      </c>
      <c r="T216" s="4">
        <v>12</v>
      </c>
      <c r="U216" s="5" t="s">
        <v>1818</v>
      </c>
      <c r="V216" s="5" t="s">
        <v>1818</v>
      </c>
      <c r="W216" s="5" t="s">
        <v>67</v>
      </c>
      <c r="X216" s="5" t="s">
        <v>67</v>
      </c>
      <c r="Y216" s="4">
        <v>447</v>
      </c>
      <c r="Z216" s="4">
        <v>19</v>
      </c>
      <c r="AA216" s="4">
        <v>98</v>
      </c>
      <c r="AB216" s="4">
        <v>1</v>
      </c>
      <c r="AC216" s="4">
        <v>19</v>
      </c>
      <c r="AD216" s="4">
        <v>99</v>
      </c>
      <c r="AE216" s="4">
        <v>154</v>
      </c>
      <c r="AF216" s="4">
        <v>0</v>
      </c>
      <c r="AG216" s="4">
        <v>9</v>
      </c>
      <c r="AH216" s="4">
        <v>91</v>
      </c>
      <c r="AI216" s="4">
        <v>107</v>
      </c>
      <c r="AJ216" s="4">
        <v>10</v>
      </c>
      <c r="AK216" s="4">
        <v>26</v>
      </c>
      <c r="AL216" s="4">
        <v>55</v>
      </c>
      <c r="AM216" s="4">
        <v>57</v>
      </c>
      <c r="AN216" s="4">
        <v>0</v>
      </c>
      <c r="AO216" s="4">
        <v>0</v>
      </c>
      <c r="AP216" s="4">
        <v>14</v>
      </c>
      <c r="AQ216" s="4">
        <v>54</v>
      </c>
      <c r="AR216" s="3" t="s">
        <v>62</v>
      </c>
      <c r="AS216" s="3" t="s">
        <v>62</v>
      </c>
      <c r="AT216" s="3" t="s">
        <v>62</v>
      </c>
      <c r="AV216" s="6" t="str">
        <f>HYPERLINK("http://mcgill.on.worldcat.org/oclc/40330209","Catalog Record")</f>
        <v>Catalog Record</v>
      </c>
      <c r="AW216" s="6" t="str">
        <f>HYPERLINK("http://www.worldcat.org/oclc/40330209","WorldCat Record")</f>
        <v>WorldCat Record</v>
      </c>
      <c r="AX216" s="3" t="s">
        <v>1831</v>
      </c>
      <c r="AY216" s="3" t="s">
        <v>1832</v>
      </c>
      <c r="AZ216" s="3" t="s">
        <v>1833</v>
      </c>
      <c r="BA216" s="3" t="s">
        <v>1833</v>
      </c>
      <c r="BB216" s="3" t="s">
        <v>1834</v>
      </c>
      <c r="BC216" s="3" t="s">
        <v>142</v>
      </c>
      <c r="BD216" s="3" t="s">
        <v>68</v>
      </c>
      <c r="BE216" s="3" t="s">
        <v>1835</v>
      </c>
      <c r="BF216" s="3" t="s">
        <v>1834</v>
      </c>
      <c r="BG216" s="3" t="s">
        <v>1836</v>
      </c>
    </row>
    <row r="217" spans="1:59" ht="57" x14ac:dyDescent="0.45">
      <c r="A217" s="2" t="s">
        <v>59</v>
      </c>
      <c r="B217" s="2" t="s">
        <v>60</v>
      </c>
      <c r="C217" s="2" t="s">
        <v>1837</v>
      </c>
      <c r="D217" s="2" t="s">
        <v>1838</v>
      </c>
      <c r="E217" s="2" t="s">
        <v>1839</v>
      </c>
      <c r="G217" s="3" t="s">
        <v>62</v>
      </c>
      <c r="I217" s="3" t="s">
        <v>62</v>
      </c>
      <c r="J217" s="3" t="s">
        <v>62</v>
      </c>
      <c r="K217" s="3" t="s">
        <v>63</v>
      </c>
      <c r="L217" s="2" t="s">
        <v>1840</v>
      </c>
      <c r="M217" s="2" t="s">
        <v>1841</v>
      </c>
      <c r="N217" s="3" t="s">
        <v>820</v>
      </c>
      <c r="P217" s="3" t="s">
        <v>65</v>
      </c>
      <c r="Q217" s="2" t="s">
        <v>1842</v>
      </c>
      <c r="R217" s="3" t="s">
        <v>66</v>
      </c>
      <c r="S217" s="4">
        <v>3</v>
      </c>
      <c r="T217" s="4">
        <v>3</v>
      </c>
      <c r="U217" s="5" t="s">
        <v>1843</v>
      </c>
      <c r="V217" s="5" t="s">
        <v>1843</v>
      </c>
      <c r="W217" s="5" t="s">
        <v>67</v>
      </c>
      <c r="X217" s="5" t="s">
        <v>67</v>
      </c>
      <c r="Y217" s="4">
        <v>178</v>
      </c>
      <c r="Z217" s="4">
        <v>15</v>
      </c>
      <c r="AA217" s="4">
        <v>18</v>
      </c>
      <c r="AB217" s="4">
        <v>1</v>
      </c>
      <c r="AC217" s="4">
        <v>4</v>
      </c>
      <c r="AD217" s="4">
        <v>78</v>
      </c>
      <c r="AE217" s="4">
        <v>81</v>
      </c>
      <c r="AF217" s="4">
        <v>0</v>
      </c>
      <c r="AG217" s="4">
        <v>0</v>
      </c>
      <c r="AH217" s="4">
        <v>72</v>
      </c>
      <c r="AI217" s="4">
        <v>75</v>
      </c>
      <c r="AJ217" s="4">
        <v>10</v>
      </c>
      <c r="AK217" s="4">
        <v>10</v>
      </c>
      <c r="AL217" s="4">
        <v>45</v>
      </c>
      <c r="AM217" s="4">
        <v>46</v>
      </c>
      <c r="AN217" s="4">
        <v>0</v>
      </c>
      <c r="AO217" s="4">
        <v>0</v>
      </c>
      <c r="AP217" s="4">
        <v>11</v>
      </c>
      <c r="AQ217" s="4">
        <v>11</v>
      </c>
      <c r="AR217" s="3" t="s">
        <v>62</v>
      </c>
      <c r="AS217" s="3" t="s">
        <v>62</v>
      </c>
      <c r="AT217" s="3" t="s">
        <v>62</v>
      </c>
      <c r="AV217" s="6" t="str">
        <f>HYPERLINK("http://mcgill.on.worldcat.org/oclc/182779325","Catalog Record")</f>
        <v>Catalog Record</v>
      </c>
      <c r="AW217" s="6" t="str">
        <f>HYPERLINK("http://www.worldcat.org/oclc/182779325","WorldCat Record")</f>
        <v>WorldCat Record</v>
      </c>
      <c r="AX217" s="3" t="s">
        <v>1844</v>
      </c>
      <c r="AY217" s="3" t="s">
        <v>1845</v>
      </c>
      <c r="AZ217" s="3" t="s">
        <v>1846</v>
      </c>
      <c r="BA217" s="3" t="s">
        <v>1846</v>
      </c>
      <c r="BB217" s="3" t="s">
        <v>1847</v>
      </c>
      <c r="BC217" s="3" t="s">
        <v>142</v>
      </c>
      <c r="BD217" s="3" t="s">
        <v>68</v>
      </c>
      <c r="BE217" s="3" t="s">
        <v>1848</v>
      </c>
      <c r="BF217" s="3" t="s">
        <v>1847</v>
      </c>
      <c r="BG217" s="3" t="s">
        <v>1849</v>
      </c>
    </row>
    <row r="218" spans="1:59" ht="57" x14ac:dyDescent="0.45">
      <c r="A218" s="2" t="s">
        <v>59</v>
      </c>
      <c r="B218" s="2" t="s">
        <v>60</v>
      </c>
      <c r="C218" s="2" t="s">
        <v>1850</v>
      </c>
      <c r="D218" s="2" t="s">
        <v>1851</v>
      </c>
      <c r="E218" s="2" t="s">
        <v>1852</v>
      </c>
      <c r="G218" s="3" t="s">
        <v>62</v>
      </c>
      <c r="I218" s="3" t="s">
        <v>62</v>
      </c>
      <c r="J218" s="3" t="s">
        <v>62</v>
      </c>
      <c r="K218" s="3" t="s">
        <v>63</v>
      </c>
      <c r="L218" s="2" t="s">
        <v>1853</v>
      </c>
      <c r="M218" s="2" t="s">
        <v>1854</v>
      </c>
      <c r="N218" s="3" t="s">
        <v>1855</v>
      </c>
      <c r="P218" s="3" t="s">
        <v>65</v>
      </c>
      <c r="Q218" s="2" t="s">
        <v>1856</v>
      </c>
      <c r="R218" s="3" t="s">
        <v>66</v>
      </c>
      <c r="S218" s="4">
        <v>10</v>
      </c>
      <c r="T218" s="4">
        <v>10</v>
      </c>
      <c r="U218" s="5" t="s">
        <v>1857</v>
      </c>
      <c r="V218" s="5" t="s">
        <v>1857</v>
      </c>
      <c r="W218" s="5" t="s">
        <v>67</v>
      </c>
      <c r="X218" s="5" t="s">
        <v>67</v>
      </c>
      <c r="Y218" s="4">
        <v>237</v>
      </c>
      <c r="Z218" s="4">
        <v>15</v>
      </c>
      <c r="AA218" s="4">
        <v>98</v>
      </c>
      <c r="AB218" s="4">
        <v>1</v>
      </c>
      <c r="AC218" s="4">
        <v>18</v>
      </c>
      <c r="AD218" s="4">
        <v>86</v>
      </c>
      <c r="AE218" s="4">
        <v>143</v>
      </c>
      <c r="AF218" s="4">
        <v>0</v>
      </c>
      <c r="AG218" s="4">
        <v>9</v>
      </c>
      <c r="AH218" s="4">
        <v>81</v>
      </c>
      <c r="AI218" s="4">
        <v>97</v>
      </c>
      <c r="AJ218" s="4">
        <v>12</v>
      </c>
      <c r="AK218" s="4">
        <v>28</v>
      </c>
      <c r="AL218" s="4">
        <v>45</v>
      </c>
      <c r="AM218" s="4">
        <v>50</v>
      </c>
      <c r="AN218" s="4">
        <v>0</v>
      </c>
      <c r="AO218" s="4">
        <v>0</v>
      </c>
      <c r="AP218" s="4">
        <v>12</v>
      </c>
      <c r="AQ218" s="4">
        <v>56</v>
      </c>
      <c r="AR218" s="3" t="s">
        <v>62</v>
      </c>
      <c r="AS218" s="3" t="s">
        <v>62</v>
      </c>
      <c r="AT218" s="3" t="s">
        <v>62</v>
      </c>
      <c r="AV218" s="6" t="str">
        <f>HYPERLINK("http://mcgill.on.worldcat.org/oclc/60667978","Catalog Record")</f>
        <v>Catalog Record</v>
      </c>
      <c r="AW218" s="6" t="str">
        <f>HYPERLINK("http://www.worldcat.org/oclc/60667978","WorldCat Record")</f>
        <v>WorldCat Record</v>
      </c>
      <c r="AX218" s="3" t="s">
        <v>1858</v>
      </c>
      <c r="AY218" s="3" t="s">
        <v>1859</v>
      </c>
      <c r="AZ218" s="3" t="s">
        <v>1860</v>
      </c>
      <c r="BA218" s="3" t="s">
        <v>1860</v>
      </c>
      <c r="BB218" s="3" t="s">
        <v>1861</v>
      </c>
      <c r="BC218" s="3" t="s">
        <v>142</v>
      </c>
      <c r="BD218" s="3" t="s">
        <v>68</v>
      </c>
      <c r="BE218" s="3" t="s">
        <v>1862</v>
      </c>
      <c r="BF218" s="3" t="s">
        <v>1861</v>
      </c>
      <c r="BG218" s="3" t="s">
        <v>1863</v>
      </c>
    </row>
    <row r="219" spans="1:59" ht="57" x14ac:dyDescent="0.45">
      <c r="A219" s="2" t="s">
        <v>59</v>
      </c>
      <c r="B219" s="2" t="s">
        <v>60</v>
      </c>
      <c r="C219" s="2" t="s">
        <v>1864</v>
      </c>
      <c r="D219" s="2" t="s">
        <v>1865</v>
      </c>
      <c r="E219" s="2" t="s">
        <v>1866</v>
      </c>
      <c r="G219" s="3" t="s">
        <v>62</v>
      </c>
      <c r="I219" s="3" t="s">
        <v>62</v>
      </c>
      <c r="J219" s="3" t="s">
        <v>62</v>
      </c>
      <c r="K219" s="3" t="s">
        <v>63</v>
      </c>
      <c r="L219" s="2" t="s">
        <v>1867</v>
      </c>
      <c r="M219" s="2" t="s">
        <v>1868</v>
      </c>
      <c r="N219" s="3" t="s">
        <v>820</v>
      </c>
      <c r="P219" s="3" t="s">
        <v>65</v>
      </c>
      <c r="Q219" s="2" t="s">
        <v>1869</v>
      </c>
      <c r="R219" s="3" t="s">
        <v>66</v>
      </c>
      <c r="S219" s="4">
        <v>4</v>
      </c>
      <c r="T219" s="4">
        <v>4</v>
      </c>
      <c r="U219" s="5" t="s">
        <v>1870</v>
      </c>
      <c r="V219" s="5" t="s">
        <v>1870</v>
      </c>
      <c r="W219" s="5" t="s">
        <v>67</v>
      </c>
      <c r="X219" s="5" t="s">
        <v>67</v>
      </c>
      <c r="Y219" s="4">
        <v>275</v>
      </c>
      <c r="Z219" s="4">
        <v>20</v>
      </c>
      <c r="AA219" s="4">
        <v>81</v>
      </c>
      <c r="AB219" s="4">
        <v>1</v>
      </c>
      <c r="AC219" s="4">
        <v>14</v>
      </c>
      <c r="AD219" s="4">
        <v>91</v>
      </c>
      <c r="AE219" s="4">
        <v>131</v>
      </c>
      <c r="AF219" s="4">
        <v>0</v>
      </c>
      <c r="AG219" s="4">
        <v>8</v>
      </c>
      <c r="AH219" s="4">
        <v>81</v>
      </c>
      <c r="AI219" s="4">
        <v>96</v>
      </c>
      <c r="AJ219" s="4">
        <v>14</v>
      </c>
      <c r="AK219" s="4">
        <v>24</v>
      </c>
      <c r="AL219" s="4">
        <v>50</v>
      </c>
      <c r="AM219" s="4">
        <v>55</v>
      </c>
      <c r="AN219" s="4">
        <v>0</v>
      </c>
      <c r="AO219" s="4">
        <v>0</v>
      </c>
      <c r="AP219" s="4">
        <v>17</v>
      </c>
      <c r="AQ219" s="4">
        <v>44</v>
      </c>
      <c r="AR219" s="3" t="s">
        <v>62</v>
      </c>
      <c r="AS219" s="3" t="s">
        <v>62</v>
      </c>
      <c r="AT219" s="3" t="s">
        <v>62</v>
      </c>
      <c r="AV219" s="6" t="str">
        <f>HYPERLINK("http://mcgill.on.worldcat.org/oclc/173182515","Catalog Record")</f>
        <v>Catalog Record</v>
      </c>
      <c r="AW219" s="6" t="str">
        <f>HYPERLINK("http://www.worldcat.org/oclc/173182515","WorldCat Record")</f>
        <v>WorldCat Record</v>
      </c>
      <c r="AX219" s="3" t="s">
        <v>1871</v>
      </c>
      <c r="AY219" s="3" t="s">
        <v>1872</v>
      </c>
      <c r="AZ219" s="3" t="s">
        <v>1873</v>
      </c>
      <c r="BA219" s="3" t="s">
        <v>1873</v>
      </c>
      <c r="BB219" s="3" t="s">
        <v>1874</v>
      </c>
      <c r="BC219" s="3" t="s">
        <v>142</v>
      </c>
      <c r="BD219" s="3" t="s">
        <v>68</v>
      </c>
      <c r="BE219" s="3" t="s">
        <v>1875</v>
      </c>
      <c r="BF219" s="3" t="s">
        <v>1874</v>
      </c>
      <c r="BG219" s="3" t="s">
        <v>1876</v>
      </c>
    </row>
    <row r="220" spans="1:59" ht="57" x14ac:dyDescent="0.45">
      <c r="A220" s="2" t="s">
        <v>59</v>
      </c>
      <c r="B220" s="2" t="s">
        <v>60</v>
      </c>
      <c r="C220" s="2" t="s">
        <v>1877</v>
      </c>
      <c r="D220" s="2" t="s">
        <v>1878</v>
      </c>
      <c r="E220" s="2" t="s">
        <v>1879</v>
      </c>
      <c r="G220" s="3" t="s">
        <v>62</v>
      </c>
      <c r="I220" s="3" t="s">
        <v>62</v>
      </c>
      <c r="J220" s="3" t="s">
        <v>62</v>
      </c>
      <c r="K220" s="3" t="s">
        <v>63</v>
      </c>
      <c r="L220" s="2" t="s">
        <v>1880</v>
      </c>
      <c r="M220" s="2" t="s">
        <v>1881</v>
      </c>
      <c r="N220" s="3" t="s">
        <v>1253</v>
      </c>
      <c r="P220" s="3" t="s">
        <v>65</v>
      </c>
      <c r="Q220" s="2" t="s">
        <v>1882</v>
      </c>
      <c r="R220" s="3" t="s">
        <v>66</v>
      </c>
      <c r="S220" s="4">
        <v>19</v>
      </c>
      <c r="T220" s="4">
        <v>19</v>
      </c>
      <c r="U220" s="5" t="s">
        <v>1857</v>
      </c>
      <c r="V220" s="5" t="s">
        <v>1857</v>
      </c>
      <c r="W220" s="5" t="s">
        <v>67</v>
      </c>
      <c r="X220" s="5" t="s">
        <v>67</v>
      </c>
      <c r="Y220" s="4">
        <v>396</v>
      </c>
      <c r="Z220" s="4">
        <v>32</v>
      </c>
      <c r="AA220" s="4">
        <v>35</v>
      </c>
      <c r="AB220" s="4">
        <v>2</v>
      </c>
      <c r="AC220" s="4">
        <v>4</v>
      </c>
      <c r="AD220" s="4">
        <v>118</v>
      </c>
      <c r="AE220" s="4">
        <v>121</v>
      </c>
      <c r="AF220" s="4">
        <v>1</v>
      </c>
      <c r="AG220" s="4">
        <v>3</v>
      </c>
      <c r="AH220" s="4">
        <v>102</v>
      </c>
      <c r="AI220" s="4">
        <v>103</v>
      </c>
      <c r="AJ220" s="4">
        <v>18</v>
      </c>
      <c r="AK220" s="4">
        <v>21</v>
      </c>
      <c r="AL220" s="4">
        <v>58</v>
      </c>
      <c r="AM220" s="4">
        <v>58</v>
      </c>
      <c r="AN220" s="4">
        <v>0</v>
      </c>
      <c r="AO220" s="4">
        <v>0</v>
      </c>
      <c r="AP220" s="4">
        <v>23</v>
      </c>
      <c r="AQ220" s="4">
        <v>25</v>
      </c>
      <c r="AR220" s="3" t="s">
        <v>62</v>
      </c>
      <c r="AS220" s="3" t="s">
        <v>62</v>
      </c>
      <c r="AT220" s="3" t="s">
        <v>62</v>
      </c>
      <c r="AV220" s="6" t="str">
        <f>HYPERLINK("http://mcgill.on.worldcat.org/oclc/34912694","Catalog Record")</f>
        <v>Catalog Record</v>
      </c>
      <c r="AW220" s="6" t="str">
        <f>HYPERLINK("http://www.worldcat.org/oclc/34912694","WorldCat Record")</f>
        <v>WorldCat Record</v>
      </c>
      <c r="AX220" s="3" t="s">
        <v>1883</v>
      </c>
      <c r="AY220" s="3" t="s">
        <v>1884</v>
      </c>
      <c r="AZ220" s="3" t="s">
        <v>1885</v>
      </c>
      <c r="BA220" s="3" t="s">
        <v>1885</v>
      </c>
      <c r="BB220" s="3" t="s">
        <v>1886</v>
      </c>
      <c r="BC220" s="3" t="s">
        <v>142</v>
      </c>
      <c r="BD220" s="3" t="s">
        <v>68</v>
      </c>
      <c r="BE220" s="3" t="s">
        <v>1887</v>
      </c>
      <c r="BF220" s="3" t="s">
        <v>1886</v>
      </c>
      <c r="BG220" s="3" t="s">
        <v>1888</v>
      </c>
    </row>
    <row r="221" spans="1:59" ht="57" x14ac:dyDescent="0.45">
      <c r="A221" s="2" t="s">
        <v>59</v>
      </c>
      <c r="B221" s="2" t="s">
        <v>60</v>
      </c>
      <c r="C221" s="2" t="s">
        <v>1889</v>
      </c>
      <c r="D221" s="2" t="s">
        <v>1890</v>
      </c>
      <c r="E221" s="2" t="s">
        <v>1891</v>
      </c>
      <c r="G221" s="3" t="s">
        <v>62</v>
      </c>
      <c r="I221" s="3" t="s">
        <v>62</v>
      </c>
      <c r="J221" s="3" t="s">
        <v>62</v>
      </c>
      <c r="K221" s="3" t="s">
        <v>63</v>
      </c>
      <c r="M221" s="2" t="s">
        <v>1892</v>
      </c>
      <c r="N221" s="3" t="s">
        <v>945</v>
      </c>
      <c r="P221" s="3" t="s">
        <v>110</v>
      </c>
      <c r="Q221" s="2" t="s">
        <v>1893</v>
      </c>
      <c r="R221" s="3" t="s">
        <v>66</v>
      </c>
      <c r="S221" s="4">
        <v>1</v>
      </c>
      <c r="T221" s="4">
        <v>1</v>
      </c>
      <c r="U221" s="5" t="s">
        <v>1894</v>
      </c>
      <c r="V221" s="5" t="s">
        <v>1894</v>
      </c>
      <c r="W221" s="5" t="s">
        <v>67</v>
      </c>
      <c r="X221" s="5" t="s">
        <v>67</v>
      </c>
      <c r="Y221" s="4">
        <v>4</v>
      </c>
      <c r="Z221" s="4">
        <v>2</v>
      </c>
      <c r="AA221" s="4">
        <v>24</v>
      </c>
      <c r="AB221" s="4">
        <v>1</v>
      </c>
      <c r="AC221" s="4">
        <v>8</v>
      </c>
      <c r="AD221" s="4">
        <v>3</v>
      </c>
      <c r="AE221" s="4">
        <v>24</v>
      </c>
      <c r="AF221" s="4">
        <v>0</v>
      </c>
      <c r="AG221" s="4">
        <v>4</v>
      </c>
      <c r="AH221" s="4">
        <v>3</v>
      </c>
      <c r="AI221" s="4">
        <v>12</v>
      </c>
      <c r="AJ221" s="4">
        <v>1</v>
      </c>
      <c r="AK221" s="4">
        <v>11</v>
      </c>
      <c r="AL221" s="4">
        <v>2</v>
      </c>
      <c r="AM221" s="4">
        <v>6</v>
      </c>
      <c r="AN221" s="4">
        <v>0</v>
      </c>
      <c r="AO221" s="4">
        <v>0</v>
      </c>
      <c r="AP221" s="4">
        <v>1</v>
      </c>
      <c r="AQ221" s="4">
        <v>16</v>
      </c>
      <c r="AR221" s="3" t="s">
        <v>61</v>
      </c>
      <c r="AS221" s="3" t="s">
        <v>62</v>
      </c>
      <c r="AT221" s="3" t="s">
        <v>62</v>
      </c>
      <c r="AV221" s="6" t="str">
        <f>HYPERLINK("http://mcgill.on.worldcat.org/oclc/212636939","Catalog Record")</f>
        <v>Catalog Record</v>
      </c>
      <c r="AW221" s="6" t="str">
        <f>HYPERLINK("http://www.worldcat.org/oclc/212636939","WorldCat Record")</f>
        <v>WorldCat Record</v>
      </c>
      <c r="AX221" s="3" t="s">
        <v>1895</v>
      </c>
      <c r="AY221" s="3" t="s">
        <v>1896</v>
      </c>
      <c r="AZ221" s="3" t="s">
        <v>1897</v>
      </c>
      <c r="BA221" s="3" t="s">
        <v>1897</v>
      </c>
      <c r="BB221" s="3" t="s">
        <v>1898</v>
      </c>
      <c r="BC221" s="3" t="s">
        <v>142</v>
      </c>
      <c r="BD221" s="3" t="s">
        <v>68</v>
      </c>
      <c r="BE221" s="3" t="s">
        <v>1899</v>
      </c>
      <c r="BF221" s="3" t="s">
        <v>1898</v>
      </c>
      <c r="BG221" s="3" t="s">
        <v>1900</v>
      </c>
    </row>
    <row r="222" spans="1:59" ht="57" x14ac:dyDescent="0.45">
      <c r="A222" s="2" t="s">
        <v>59</v>
      </c>
      <c r="B222" s="2" t="s">
        <v>60</v>
      </c>
      <c r="C222" s="2" t="s">
        <v>1901</v>
      </c>
      <c r="D222" s="2" t="s">
        <v>1902</v>
      </c>
      <c r="E222" s="2" t="s">
        <v>1903</v>
      </c>
      <c r="G222" s="3" t="s">
        <v>62</v>
      </c>
      <c r="I222" s="3" t="s">
        <v>62</v>
      </c>
      <c r="J222" s="3" t="s">
        <v>62</v>
      </c>
      <c r="K222" s="3" t="s">
        <v>63</v>
      </c>
      <c r="L222" s="2" t="s">
        <v>1904</v>
      </c>
      <c r="M222" s="2" t="s">
        <v>1905</v>
      </c>
      <c r="N222" s="3" t="s">
        <v>149</v>
      </c>
      <c r="P222" s="3" t="s">
        <v>65</v>
      </c>
      <c r="Q222" s="2" t="s">
        <v>1906</v>
      </c>
      <c r="R222" s="3" t="s">
        <v>66</v>
      </c>
      <c r="S222" s="4">
        <v>1</v>
      </c>
      <c r="T222" s="4">
        <v>1</v>
      </c>
      <c r="U222" s="5" t="s">
        <v>1907</v>
      </c>
      <c r="V222" s="5" t="s">
        <v>1907</v>
      </c>
      <c r="W222" s="5" t="s">
        <v>67</v>
      </c>
      <c r="X222" s="5" t="s">
        <v>67</v>
      </c>
      <c r="Y222" s="4">
        <v>180</v>
      </c>
      <c r="Z222" s="4">
        <v>17</v>
      </c>
      <c r="AA222" s="4">
        <v>80</v>
      </c>
      <c r="AB222" s="4">
        <v>1</v>
      </c>
      <c r="AC222" s="4">
        <v>14</v>
      </c>
      <c r="AD222" s="4">
        <v>83</v>
      </c>
      <c r="AE222" s="4">
        <v>126</v>
      </c>
      <c r="AF222" s="4">
        <v>0</v>
      </c>
      <c r="AG222" s="4">
        <v>8</v>
      </c>
      <c r="AH222" s="4">
        <v>75</v>
      </c>
      <c r="AI222" s="4">
        <v>93</v>
      </c>
      <c r="AJ222" s="4">
        <v>11</v>
      </c>
      <c r="AK222" s="4">
        <v>23</v>
      </c>
      <c r="AL222" s="4">
        <v>42</v>
      </c>
      <c r="AM222" s="4">
        <v>49</v>
      </c>
      <c r="AN222" s="4">
        <v>0</v>
      </c>
      <c r="AO222" s="4">
        <v>0</v>
      </c>
      <c r="AP222" s="4">
        <v>14</v>
      </c>
      <c r="AQ222" s="4">
        <v>42</v>
      </c>
      <c r="AR222" s="3" t="s">
        <v>62</v>
      </c>
      <c r="AS222" s="3" t="s">
        <v>62</v>
      </c>
      <c r="AT222" s="3" t="s">
        <v>62</v>
      </c>
      <c r="AV222" s="6" t="str">
        <f>HYPERLINK("http://mcgill.on.worldcat.org/oclc/437299193","Catalog Record")</f>
        <v>Catalog Record</v>
      </c>
      <c r="AW222" s="6" t="str">
        <f>HYPERLINK("http://www.worldcat.org/oclc/437299193","WorldCat Record")</f>
        <v>WorldCat Record</v>
      </c>
      <c r="AX222" s="3" t="s">
        <v>1908</v>
      </c>
      <c r="AY222" s="3" t="s">
        <v>1909</v>
      </c>
      <c r="AZ222" s="3" t="s">
        <v>1910</v>
      </c>
      <c r="BA222" s="3" t="s">
        <v>1910</v>
      </c>
      <c r="BB222" s="3" t="s">
        <v>1911</v>
      </c>
      <c r="BC222" s="3" t="s">
        <v>142</v>
      </c>
      <c r="BD222" s="3" t="s">
        <v>68</v>
      </c>
      <c r="BE222" s="3" t="s">
        <v>1912</v>
      </c>
      <c r="BF222" s="3" t="s">
        <v>1911</v>
      </c>
      <c r="BG222" s="3" t="s">
        <v>1913</v>
      </c>
    </row>
    <row r="223" spans="1:59" ht="57" x14ac:dyDescent="0.45">
      <c r="A223" s="2" t="s">
        <v>59</v>
      </c>
      <c r="B223" s="2" t="s">
        <v>60</v>
      </c>
      <c r="C223" s="2" t="s">
        <v>1914</v>
      </c>
      <c r="D223" s="2" t="s">
        <v>1915</v>
      </c>
      <c r="E223" s="2" t="s">
        <v>1916</v>
      </c>
      <c r="G223" s="3" t="s">
        <v>62</v>
      </c>
      <c r="I223" s="3" t="s">
        <v>62</v>
      </c>
      <c r="J223" s="3" t="s">
        <v>62</v>
      </c>
      <c r="K223" s="3" t="s">
        <v>63</v>
      </c>
      <c r="M223" s="2" t="s">
        <v>1917</v>
      </c>
      <c r="N223" s="3" t="s">
        <v>1918</v>
      </c>
      <c r="P223" s="3" t="s">
        <v>65</v>
      </c>
      <c r="Q223" s="2" t="s">
        <v>1919</v>
      </c>
      <c r="R223" s="3" t="s">
        <v>66</v>
      </c>
      <c r="S223" s="4">
        <v>0</v>
      </c>
      <c r="T223" s="4">
        <v>0</v>
      </c>
      <c r="W223" s="5" t="s">
        <v>67</v>
      </c>
      <c r="X223" s="5" t="s">
        <v>67</v>
      </c>
      <c r="Y223" s="4">
        <v>28</v>
      </c>
      <c r="Z223" s="4">
        <v>1</v>
      </c>
      <c r="AA223" s="4">
        <v>76</v>
      </c>
      <c r="AB223" s="4">
        <v>1</v>
      </c>
      <c r="AC223" s="4">
        <v>14</v>
      </c>
      <c r="AD223" s="4">
        <v>15</v>
      </c>
      <c r="AE223" s="4">
        <v>106</v>
      </c>
      <c r="AF223" s="4">
        <v>0</v>
      </c>
      <c r="AG223" s="4">
        <v>8</v>
      </c>
      <c r="AH223" s="4">
        <v>14</v>
      </c>
      <c r="AI223" s="4">
        <v>74</v>
      </c>
      <c r="AJ223" s="4">
        <v>0</v>
      </c>
      <c r="AK223" s="4">
        <v>19</v>
      </c>
      <c r="AL223" s="4">
        <v>12</v>
      </c>
      <c r="AM223" s="4">
        <v>40</v>
      </c>
      <c r="AN223" s="4">
        <v>0</v>
      </c>
      <c r="AO223" s="4">
        <v>0</v>
      </c>
      <c r="AP223" s="4">
        <v>0</v>
      </c>
      <c r="AQ223" s="4">
        <v>38</v>
      </c>
      <c r="AR223" s="3" t="s">
        <v>62</v>
      </c>
      <c r="AS223" s="3" t="s">
        <v>62</v>
      </c>
      <c r="AT223" s="3" t="s">
        <v>62</v>
      </c>
      <c r="AV223" s="6" t="str">
        <f>HYPERLINK("http://mcgill.on.worldcat.org/oclc/994368533","Catalog Record")</f>
        <v>Catalog Record</v>
      </c>
      <c r="AW223" s="6" t="str">
        <f>HYPERLINK("http://www.worldcat.org/oclc/994368533","WorldCat Record")</f>
        <v>WorldCat Record</v>
      </c>
      <c r="AX223" s="3" t="s">
        <v>1920</v>
      </c>
      <c r="AY223" s="3" t="s">
        <v>1921</v>
      </c>
      <c r="AZ223" s="3" t="s">
        <v>1922</v>
      </c>
      <c r="BA223" s="3" t="s">
        <v>1922</v>
      </c>
      <c r="BB223" s="3" t="s">
        <v>1923</v>
      </c>
      <c r="BC223" s="3" t="s">
        <v>142</v>
      </c>
      <c r="BD223" s="3" t="s">
        <v>68</v>
      </c>
      <c r="BE223" s="3" t="s">
        <v>1924</v>
      </c>
      <c r="BF223" s="3" t="s">
        <v>1923</v>
      </c>
      <c r="BG223" s="3" t="s">
        <v>1925</v>
      </c>
    </row>
    <row r="224" spans="1:59" ht="57" x14ac:dyDescent="0.45">
      <c r="A224" s="2" t="s">
        <v>59</v>
      </c>
      <c r="B224" s="2" t="s">
        <v>60</v>
      </c>
      <c r="C224" s="2" t="s">
        <v>1926</v>
      </c>
      <c r="D224" s="2" t="s">
        <v>1927</v>
      </c>
      <c r="E224" s="2" t="s">
        <v>1928</v>
      </c>
      <c r="G224" s="3" t="s">
        <v>62</v>
      </c>
      <c r="I224" s="3" t="s">
        <v>62</v>
      </c>
      <c r="J224" s="3" t="s">
        <v>62</v>
      </c>
      <c r="K224" s="3" t="s">
        <v>63</v>
      </c>
      <c r="L224" s="2" t="s">
        <v>1929</v>
      </c>
      <c r="M224" s="2" t="s">
        <v>1930</v>
      </c>
      <c r="N224" s="3" t="s">
        <v>1212</v>
      </c>
      <c r="P224" s="3" t="s">
        <v>65</v>
      </c>
      <c r="R224" s="3" t="s">
        <v>66</v>
      </c>
      <c r="S224" s="4">
        <v>15</v>
      </c>
      <c r="T224" s="4">
        <v>15</v>
      </c>
      <c r="U224" s="5" t="s">
        <v>1537</v>
      </c>
      <c r="V224" s="5" t="s">
        <v>1537</v>
      </c>
      <c r="W224" s="5" t="s">
        <v>67</v>
      </c>
      <c r="X224" s="5" t="s">
        <v>67</v>
      </c>
      <c r="Y224" s="4">
        <v>215</v>
      </c>
      <c r="Z224" s="4">
        <v>12</v>
      </c>
      <c r="AA224" s="4">
        <v>16</v>
      </c>
      <c r="AB224" s="4">
        <v>2</v>
      </c>
      <c r="AC224" s="4">
        <v>4</v>
      </c>
      <c r="AD224" s="4">
        <v>90</v>
      </c>
      <c r="AE224" s="4">
        <v>92</v>
      </c>
      <c r="AF224" s="4">
        <v>1</v>
      </c>
      <c r="AG224" s="4">
        <v>1</v>
      </c>
      <c r="AH224" s="4">
        <v>84</v>
      </c>
      <c r="AI224" s="4">
        <v>86</v>
      </c>
      <c r="AJ224" s="4">
        <v>11</v>
      </c>
      <c r="AK224" s="4">
        <v>12</v>
      </c>
      <c r="AL224" s="4">
        <v>48</v>
      </c>
      <c r="AM224" s="4">
        <v>49</v>
      </c>
      <c r="AN224" s="4">
        <v>0</v>
      </c>
      <c r="AO224" s="4">
        <v>0</v>
      </c>
      <c r="AP224" s="4">
        <v>11</v>
      </c>
      <c r="AQ224" s="4">
        <v>12</v>
      </c>
      <c r="AR224" s="3" t="s">
        <v>62</v>
      </c>
      <c r="AS224" s="3" t="s">
        <v>62</v>
      </c>
      <c r="AT224" s="3" t="s">
        <v>61</v>
      </c>
      <c r="AU224" s="6" t="str">
        <f>HYPERLINK("http://catalog.hathitrust.org/Record/004102367","HathiTrust Record")</f>
        <v>HathiTrust Record</v>
      </c>
      <c r="AV224" s="6" t="str">
        <f>HYPERLINK("http://mcgill.on.worldcat.org/oclc/41580402","Catalog Record")</f>
        <v>Catalog Record</v>
      </c>
      <c r="AW224" s="6" t="str">
        <f>HYPERLINK("http://www.worldcat.org/oclc/41580402","WorldCat Record")</f>
        <v>WorldCat Record</v>
      </c>
      <c r="AX224" s="3" t="s">
        <v>1931</v>
      </c>
      <c r="AY224" s="3" t="s">
        <v>1932</v>
      </c>
      <c r="AZ224" s="3" t="s">
        <v>1933</v>
      </c>
      <c r="BA224" s="3" t="s">
        <v>1933</v>
      </c>
      <c r="BB224" s="3" t="s">
        <v>1934</v>
      </c>
      <c r="BC224" s="3" t="s">
        <v>142</v>
      </c>
      <c r="BD224" s="3" t="s">
        <v>308</v>
      </c>
      <c r="BE224" s="3" t="s">
        <v>1935</v>
      </c>
      <c r="BF224" s="3" t="s">
        <v>1934</v>
      </c>
      <c r="BG224" s="3" t="s">
        <v>1936</v>
      </c>
    </row>
    <row r="225" spans="1:59" ht="57" x14ac:dyDescent="0.45">
      <c r="A225" s="2" t="s">
        <v>59</v>
      </c>
      <c r="B225" s="2" t="s">
        <v>60</v>
      </c>
      <c r="C225" s="2" t="s">
        <v>1937</v>
      </c>
      <c r="D225" s="2" t="s">
        <v>1938</v>
      </c>
      <c r="E225" s="2" t="s">
        <v>1939</v>
      </c>
      <c r="G225" s="3" t="s">
        <v>62</v>
      </c>
      <c r="I225" s="3" t="s">
        <v>62</v>
      </c>
      <c r="J225" s="3" t="s">
        <v>62</v>
      </c>
      <c r="K225" s="3" t="s">
        <v>63</v>
      </c>
      <c r="M225" s="2" t="s">
        <v>1940</v>
      </c>
      <c r="N225" s="3" t="s">
        <v>208</v>
      </c>
      <c r="P225" s="3" t="s">
        <v>65</v>
      </c>
      <c r="Q225" s="2" t="s">
        <v>1941</v>
      </c>
      <c r="R225" s="3" t="s">
        <v>66</v>
      </c>
      <c r="S225" s="4">
        <v>0</v>
      </c>
      <c r="T225" s="4">
        <v>0</v>
      </c>
      <c r="W225" s="5" t="s">
        <v>67</v>
      </c>
      <c r="X225" s="5" t="s">
        <v>67</v>
      </c>
      <c r="Y225" s="4">
        <v>156</v>
      </c>
      <c r="Z225" s="4">
        <v>25</v>
      </c>
      <c r="AA225" s="4">
        <v>54</v>
      </c>
      <c r="AB225" s="4">
        <v>1</v>
      </c>
      <c r="AC225" s="4">
        <v>7</v>
      </c>
      <c r="AD225" s="4">
        <v>58</v>
      </c>
      <c r="AE225" s="4">
        <v>96</v>
      </c>
      <c r="AF225" s="4">
        <v>0</v>
      </c>
      <c r="AG225" s="4">
        <v>3</v>
      </c>
      <c r="AH225" s="4">
        <v>47</v>
      </c>
      <c r="AI225" s="4">
        <v>74</v>
      </c>
      <c r="AJ225" s="4">
        <v>12</v>
      </c>
      <c r="AK225" s="4">
        <v>19</v>
      </c>
      <c r="AL225" s="4">
        <v>30</v>
      </c>
      <c r="AM225" s="4">
        <v>44</v>
      </c>
      <c r="AN225" s="4">
        <v>0</v>
      </c>
      <c r="AO225" s="4">
        <v>0</v>
      </c>
      <c r="AP225" s="4">
        <v>18</v>
      </c>
      <c r="AQ225" s="4">
        <v>30</v>
      </c>
      <c r="AR225" s="3" t="s">
        <v>62</v>
      </c>
      <c r="AS225" s="3" t="s">
        <v>62</v>
      </c>
      <c r="AT225" s="3" t="s">
        <v>62</v>
      </c>
      <c r="AV225" s="6" t="str">
        <f>HYPERLINK("http://mcgill.on.worldcat.org/oclc/894747960","Catalog Record")</f>
        <v>Catalog Record</v>
      </c>
      <c r="AW225" s="6" t="str">
        <f>HYPERLINK("http://www.worldcat.org/oclc/894747960","WorldCat Record")</f>
        <v>WorldCat Record</v>
      </c>
      <c r="AX225" s="3" t="s">
        <v>1942</v>
      </c>
      <c r="AY225" s="3" t="s">
        <v>1943</v>
      </c>
      <c r="AZ225" s="3" t="s">
        <v>1944</v>
      </c>
      <c r="BA225" s="3" t="s">
        <v>1944</v>
      </c>
      <c r="BB225" s="3" t="s">
        <v>1945</v>
      </c>
      <c r="BC225" s="3" t="s">
        <v>142</v>
      </c>
      <c r="BD225" s="3" t="s">
        <v>68</v>
      </c>
      <c r="BE225" s="3" t="s">
        <v>1946</v>
      </c>
      <c r="BF225" s="3" t="s">
        <v>1945</v>
      </c>
      <c r="BG225" s="3" t="s">
        <v>1947</v>
      </c>
    </row>
    <row r="226" spans="1:59" ht="57" x14ac:dyDescent="0.45">
      <c r="A226" s="2" t="s">
        <v>59</v>
      </c>
      <c r="B226" s="2" t="s">
        <v>60</v>
      </c>
      <c r="C226" s="2" t="s">
        <v>1948</v>
      </c>
      <c r="D226" s="2" t="s">
        <v>1949</v>
      </c>
      <c r="E226" s="2" t="s">
        <v>1950</v>
      </c>
      <c r="G226" s="3" t="s">
        <v>62</v>
      </c>
      <c r="I226" s="3" t="s">
        <v>62</v>
      </c>
      <c r="J226" s="3" t="s">
        <v>62</v>
      </c>
      <c r="K226" s="3" t="s">
        <v>63</v>
      </c>
      <c r="L226" s="2" t="s">
        <v>1951</v>
      </c>
      <c r="M226" s="2" t="s">
        <v>1713</v>
      </c>
      <c r="N226" s="3" t="s">
        <v>1155</v>
      </c>
      <c r="P226" s="3" t="s">
        <v>65</v>
      </c>
      <c r="R226" s="3" t="s">
        <v>66</v>
      </c>
      <c r="S226" s="4">
        <v>2</v>
      </c>
      <c r="T226" s="4">
        <v>2</v>
      </c>
      <c r="U226" s="5" t="s">
        <v>1952</v>
      </c>
      <c r="V226" s="5" t="s">
        <v>1952</v>
      </c>
      <c r="W226" s="5" t="s">
        <v>67</v>
      </c>
      <c r="X226" s="5" t="s">
        <v>67</v>
      </c>
      <c r="Y226" s="4">
        <v>247</v>
      </c>
      <c r="Z226" s="4">
        <v>19</v>
      </c>
      <c r="AA226" s="4">
        <v>82</v>
      </c>
      <c r="AB226" s="4">
        <v>1</v>
      </c>
      <c r="AC226" s="4">
        <v>14</v>
      </c>
      <c r="AD226" s="4">
        <v>81</v>
      </c>
      <c r="AE226" s="4">
        <v>125</v>
      </c>
      <c r="AF226" s="4">
        <v>0</v>
      </c>
      <c r="AG226" s="4">
        <v>8</v>
      </c>
      <c r="AH226" s="4">
        <v>71</v>
      </c>
      <c r="AI226" s="4">
        <v>88</v>
      </c>
      <c r="AJ226" s="4">
        <v>15</v>
      </c>
      <c r="AK226" s="4">
        <v>24</v>
      </c>
      <c r="AL226" s="4">
        <v>39</v>
      </c>
      <c r="AM226" s="4">
        <v>46</v>
      </c>
      <c r="AN226" s="4">
        <v>0</v>
      </c>
      <c r="AO226" s="4">
        <v>0</v>
      </c>
      <c r="AP226" s="4">
        <v>17</v>
      </c>
      <c r="AQ226" s="4">
        <v>45</v>
      </c>
      <c r="AR226" s="3" t="s">
        <v>62</v>
      </c>
      <c r="AS226" s="3" t="s">
        <v>62</v>
      </c>
      <c r="AT226" s="3" t="s">
        <v>62</v>
      </c>
      <c r="AV226" s="6" t="str">
        <f>HYPERLINK("http://mcgill.on.worldcat.org/oclc/741103320","Catalog Record")</f>
        <v>Catalog Record</v>
      </c>
      <c r="AW226" s="6" t="str">
        <f>HYPERLINK("http://www.worldcat.org/oclc/741103320","WorldCat Record")</f>
        <v>WorldCat Record</v>
      </c>
      <c r="AX226" s="3" t="s">
        <v>1953</v>
      </c>
      <c r="AY226" s="3" t="s">
        <v>1954</v>
      </c>
      <c r="AZ226" s="3" t="s">
        <v>1955</v>
      </c>
      <c r="BA226" s="3" t="s">
        <v>1955</v>
      </c>
      <c r="BB226" s="3" t="s">
        <v>1956</v>
      </c>
      <c r="BC226" s="3" t="s">
        <v>142</v>
      </c>
      <c r="BD226" s="3" t="s">
        <v>68</v>
      </c>
      <c r="BE226" s="3" t="s">
        <v>1957</v>
      </c>
      <c r="BF226" s="3" t="s">
        <v>1956</v>
      </c>
      <c r="BG226" s="3" t="s">
        <v>1958</v>
      </c>
    </row>
    <row r="227" spans="1:59" ht="57" x14ac:dyDescent="0.45">
      <c r="A227" s="2" t="s">
        <v>59</v>
      </c>
      <c r="B227" s="2" t="s">
        <v>60</v>
      </c>
      <c r="C227" s="2" t="s">
        <v>1959</v>
      </c>
      <c r="D227" s="2" t="s">
        <v>1960</v>
      </c>
      <c r="E227" s="2" t="s">
        <v>1961</v>
      </c>
      <c r="G227" s="3" t="s">
        <v>62</v>
      </c>
      <c r="I227" s="3" t="s">
        <v>62</v>
      </c>
      <c r="J227" s="3" t="s">
        <v>62</v>
      </c>
      <c r="K227" s="3" t="s">
        <v>63</v>
      </c>
      <c r="M227" s="2" t="s">
        <v>1962</v>
      </c>
      <c r="N227" s="3" t="s">
        <v>149</v>
      </c>
      <c r="P227" s="3" t="s">
        <v>65</v>
      </c>
      <c r="R227" s="3" t="s">
        <v>66</v>
      </c>
      <c r="S227" s="4">
        <v>2</v>
      </c>
      <c r="T227" s="4">
        <v>2</v>
      </c>
      <c r="U227" s="5" t="s">
        <v>1963</v>
      </c>
      <c r="V227" s="5" t="s">
        <v>1963</v>
      </c>
      <c r="W227" s="5" t="s">
        <v>67</v>
      </c>
      <c r="X227" s="5" t="s">
        <v>67</v>
      </c>
      <c r="Y227" s="4">
        <v>327</v>
      </c>
      <c r="Z227" s="4">
        <v>21</v>
      </c>
      <c r="AA227" s="4">
        <v>84</v>
      </c>
      <c r="AB227" s="4">
        <v>1</v>
      </c>
      <c r="AC227" s="4">
        <v>14</v>
      </c>
      <c r="AD227" s="4">
        <v>70</v>
      </c>
      <c r="AE227" s="4">
        <v>119</v>
      </c>
      <c r="AF227" s="4">
        <v>0</v>
      </c>
      <c r="AG227" s="4">
        <v>8</v>
      </c>
      <c r="AH227" s="4">
        <v>64</v>
      </c>
      <c r="AI227" s="4">
        <v>84</v>
      </c>
      <c r="AJ227" s="4">
        <v>14</v>
      </c>
      <c r="AK227" s="4">
        <v>25</v>
      </c>
      <c r="AL227" s="4">
        <v>36</v>
      </c>
      <c r="AM227" s="4">
        <v>45</v>
      </c>
      <c r="AN227" s="4">
        <v>0</v>
      </c>
      <c r="AO227" s="4">
        <v>0</v>
      </c>
      <c r="AP227" s="4">
        <v>15</v>
      </c>
      <c r="AQ227" s="4">
        <v>44</v>
      </c>
      <c r="AR227" s="3" t="s">
        <v>62</v>
      </c>
      <c r="AS227" s="3" t="s">
        <v>62</v>
      </c>
      <c r="AT227" s="3" t="s">
        <v>62</v>
      </c>
      <c r="AV227" s="6" t="str">
        <f>HYPERLINK("http://mcgill.on.worldcat.org/oclc/567162706","Catalog Record")</f>
        <v>Catalog Record</v>
      </c>
      <c r="AW227" s="6" t="str">
        <f>HYPERLINK("http://www.worldcat.org/oclc/567162706","WorldCat Record")</f>
        <v>WorldCat Record</v>
      </c>
      <c r="AX227" s="3" t="s">
        <v>1964</v>
      </c>
      <c r="AY227" s="3" t="s">
        <v>1965</v>
      </c>
      <c r="AZ227" s="3" t="s">
        <v>1966</v>
      </c>
      <c r="BA227" s="3" t="s">
        <v>1966</v>
      </c>
      <c r="BB227" s="3" t="s">
        <v>1967</v>
      </c>
      <c r="BC227" s="3" t="s">
        <v>142</v>
      </c>
      <c r="BD227" s="3" t="s">
        <v>68</v>
      </c>
      <c r="BE227" s="3" t="s">
        <v>1968</v>
      </c>
      <c r="BF227" s="3" t="s">
        <v>1967</v>
      </c>
      <c r="BG227" s="3" t="s">
        <v>1969</v>
      </c>
    </row>
    <row r="228" spans="1:59" ht="57" x14ac:dyDescent="0.45">
      <c r="A228" s="2" t="s">
        <v>59</v>
      </c>
      <c r="B228" s="2" t="s">
        <v>60</v>
      </c>
      <c r="C228" s="2" t="s">
        <v>1970</v>
      </c>
      <c r="D228" s="2" t="s">
        <v>1971</v>
      </c>
      <c r="E228" s="2" t="s">
        <v>1972</v>
      </c>
      <c r="G228" s="3" t="s">
        <v>62</v>
      </c>
      <c r="I228" s="3" t="s">
        <v>62</v>
      </c>
      <c r="J228" s="3" t="s">
        <v>62</v>
      </c>
      <c r="K228" s="3" t="s">
        <v>63</v>
      </c>
      <c r="M228" s="2" t="s">
        <v>1973</v>
      </c>
      <c r="N228" s="3" t="s">
        <v>1855</v>
      </c>
      <c r="P228" s="3" t="s">
        <v>65</v>
      </c>
      <c r="R228" s="3" t="s">
        <v>66</v>
      </c>
      <c r="S228" s="4">
        <v>7</v>
      </c>
      <c r="T228" s="4">
        <v>7</v>
      </c>
      <c r="U228" s="5" t="s">
        <v>1974</v>
      </c>
      <c r="V228" s="5" t="s">
        <v>1974</v>
      </c>
      <c r="W228" s="5" t="s">
        <v>67</v>
      </c>
      <c r="X228" s="5" t="s">
        <v>67</v>
      </c>
      <c r="Y228" s="4">
        <v>229</v>
      </c>
      <c r="Z228" s="4">
        <v>12</v>
      </c>
      <c r="AA228" s="4">
        <v>74</v>
      </c>
      <c r="AB228" s="4">
        <v>1</v>
      </c>
      <c r="AC228" s="4">
        <v>15</v>
      </c>
      <c r="AD228" s="4">
        <v>84</v>
      </c>
      <c r="AE228" s="4">
        <v>127</v>
      </c>
      <c r="AF228" s="4">
        <v>0</v>
      </c>
      <c r="AG228" s="4">
        <v>8</v>
      </c>
      <c r="AH228" s="4">
        <v>79</v>
      </c>
      <c r="AI228" s="4">
        <v>96</v>
      </c>
      <c r="AJ228" s="4">
        <v>9</v>
      </c>
      <c r="AK228" s="4">
        <v>22</v>
      </c>
      <c r="AL228" s="4">
        <v>40</v>
      </c>
      <c r="AM228" s="4">
        <v>48</v>
      </c>
      <c r="AN228" s="4">
        <v>0</v>
      </c>
      <c r="AO228" s="4">
        <v>0</v>
      </c>
      <c r="AP228" s="4">
        <v>10</v>
      </c>
      <c r="AQ228" s="4">
        <v>38</v>
      </c>
      <c r="AR228" s="3" t="s">
        <v>62</v>
      </c>
      <c r="AS228" s="3" t="s">
        <v>62</v>
      </c>
      <c r="AT228" s="3" t="s">
        <v>62</v>
      </c>
      <c r="AV228" s="6" t="str">
        <f>HYPERLINK("http://mcgill.on.worldcat.org/oclc/55078143","Catalog Record")</f>
        <v>Catalog Record</v>
      </c>
      <c r="AW228" s="6" t="str">
        <f>HYPERLINK("http://www.worldcat.org/oclc/55078143","WorldCat Record")</f>
        <v>WorldCat Record</v>
      </c>
      <c r="AX228" s="3" t="s">
        <v>1975</v>
      </c>
      <c r="AY228" s="3" t="s">
        <v>1976</v>
      </c>
      <c r="AZ228" s="3" t="s">
        <v>1977</v>
      </c>
      <c r="BA228" s="3" t="s">
        <v>1977</v>
      </c>
      <c r="BB228" s="3" t="s">
        <v>1978</v>
      </c>
      <c r="BC228" s="3" t="s">
        <v>142</v>
      </c>
      <c r="BD228" s="3" t="s">
        <v>68</v>
      </c>
      <c r="BE228" s="3" t="s">
        <v>1979</v>
      </c>
      <c r="BF228" s="3" t="s">
        <v>1978</v>
      </c>
      <c r="BG228" s="3" t="s">
        <v>1980</v>
      </c>
    </row>
    <row r="229" spans="1:59" ht="57" x14ac:dyDescent="0.45">
      <c r="A229" s="2" t="s">
        <v>59</v>
      </c>
      <c r="B229" s="2" t="s">
        <v>60</v>
      </c>
      <c r="C229" s="2" t="s">
        <v>1983</v>
      </c>
      <c r="D229" s="2" t="s">
        <v>1984</v>
      </c>
      <c r="E229" s="2" t="s">
        <v>1985</v>
      </c>
      <c r="G229" s="3" t="s">
        <v>62</v>
      </c>
      <c r="I229" s="3" t="s">
        <v>62</v>
      </c>
      <c r="J229" s="3" t="s">
        <v>62</v>
      </c>
      <c r="K229" s="3" t="s">
        <v>63</v>
      </c>
      <c r="M229" s="2" t="s">
        <v>1986</v>
      </c>
      <c r="N229" s="3" t="s">
        <v>1212</v>
      </c>
      <c r="P229" s="3" t="s">
        <v>65</v>
      </c>
      <c r="Q229" s="2" t="s">
        <v>1987</v>
      </c>
      <c r="R229" s="3" t="s">
        <v>66</v>
      </c>
      <c r="S229" s="4">
        <v>11</v>
      </c>
      <c r="T229" s="4">
        <v>11</v>
      </c>
      <c r="U229" s="5" t="s">
        <v>1988</v>
      </c>
      <c r="V229" s="5" t="s">
        <v>1988</v>
      </c>
      <c r="W229" s="5" t="s">
        <v>67</v>
      </c>
      <c r="X229" s="5" t="s">
        <v>67</v>
      </c>
      <c r="Y229" s="4">
        <v>263</v>
      </c>
      <c r="Z229" s="4">
        <v>18</v>
      </c>
      <c r="AA229" s="4">
        <v>23</v>
      </c>
      <c r="AB229" s="4">
        <v>2</v>
      </c>
      <c r="AC229" s="4">
        <v>6</v>
      </c>
      <c r="AD229" s="4">
        <v>88</v>
      </c>
      <c r="AE229" s="4">
        <v>90</v>
      </c>
      <c r="AF229" s="4">
        <v>1</v>
      </c>
      <c r="AG229" s="4">
        <v>2</v>
      </c>
      <c r="AH229" s="4">
        <v>80</v>
      </c>
      <c r="AI229" s="4">
        <v>81</v>
      </c>
      <c r="AJ229" s="4">
        <v>13</v>
      </c>
      <c r="AK229" s="4">
        <v>15</v>
      </c>
      <c r="AL229" s="4">
        <v>44</v>
      </c>
      <c r="AM229" s="4">
        <v>44</v>
      </c>
      <c r="AN229" s="4">
        <v>0</v>
      </c>
      <c r="AO229" s="4">
        <v>0</v>
      </c>
      <c r="AP229" s="4">
        <v>14</v>
      </c>
      <c r="AQ229" s="4">
        <v>16</v>
      </c>
      <c r="AR229" s="3" t="s">
        <v>62</v>
      </c>
      <c r="AS229" s="3" t="s">
        <v>62</v>
      </c>
      <c r="AT229" s="3" t="s">
        <v>62</v>
      </c>
      <c r="AV229" s="6" t="str">
        <f>HYPERLINK("http://mcgill.on.worldcat.org/oclc/44650854","Catalog Record")</f>
        <v>Catalog Record</v>
      </c>
      <c r="AW229" s="6" t="str">
        <f>HYPERLINK("http://www.worldcat.org/oclc/44650854","WorldCat Record")</f>
        <v>WorldCat Record</v>
      </c>
      <c r="AX229" s="3" t="s">
        <v>1989</v>
      </c>
      <c r="AY229" s="3" t="s">
        <v>1990</v>
      </c>
      <c r="AZ229" s="3" t="s">
        <v>1991</v>
      </c>
      <c r="BA229" s="3" t="s">
        <v>1991</v>
      </c>
      <c r="BB229" s="3" t="s">
        <v>1992</v>
      </c>
      <c r="BC229" s="3" t="s">
        <v>142</v>
      </c>
      <c r="BD229" s="3" t="s">
        <v>68</v>
      </c>
      <c r="BE229" s="3" t="s">
        <v>1993</v>
      </c>
      <c r="BF229" s="3" t="s">
        <v>1992</v>
      </c>
      <c r="BG229" s="3" t="s">
        <v>1994</v>
      </c>
    </row>
    <row r="230" spans="1:59" ht="57" x14ac:dyDescent="0.45">
      <c r="A230" s="2" t="s">
        <v>59</v>
      </c>
      <c r="B230" s="2" t="s">
        <v>60</v>
      </c>
      <c r="C230" s="2" t="s">
        <v>1995</v>
      </c>
      <c r="D230" s="2" t="s">
        <v>1996</v>
      </c>
      <c r="E230" s="2" t="s">
        <v>1997</v>
      </c>
      <c r="G230" s="3" t="s">
        <v>62</v>
      </c>
      <c r="I230" s="3" t="s">
        <v>62</v>
      </c>
      <c r="J230" s="3" t="s">
        <v>62</v>
      </c>
      <c r="K230" s="3" t="s">
        <v>63</v>
      </c>
      <c r="M230" s="2" t="s">
        <v>1998</v>
      </c>
      <c r="N230" s="3" t="s">
        <v>945</v>
      </c>
      <c r="P230" s="3" t="s">
        <v>65</v>
      </c>
      <c r="Q230" s="2" t="s">
        <v>1999</v>
      </c>
      <c r="R230" s="3" t="s">
        <v>66</v>
      </c>
      <c r="S230" s="4">
        <v>7</v>
      </c>
      <c r="T230" s="4">
        <v>7</v>
      </c>
      <c r="U230" s="5" t="s">
        <v>1988</v>
      </c>
      <c r="V230" s="5" t="s">
        <v>1988</v>
      </c>
      <c r="W230" s="5" t="s">
        <v>67</v>
      </c>
      <c r="X230" s="5" t="s">
        <v>67</v>
      </c>
      <c r="Y230" s="4">
        <v>150</v>
      </c>
      <c r="Z230" s="4">
        <v>15</v>
      </c>
      <c r="AA230" s="4">
        <v>58</v>
      </c>
      <c r="AB230" s="4">
        <v>2</v>
      </c>
      <c r="AC230" s="4">
        <v>17</v>
      </c>
      <c r="AD230" s="4">
        <v>68</v>
      </c>
      <c r="AE230" s="4">
        <v>105</v>
      </c>
      <c r="AF230" s="4">
        <v>1</v>
      </c>
      <c r="AG230" s="4">
        <v>8</v>
      </c>
      <c r="AH230" s="4">
        <v>63</v>
      </c>
      <c r="AI230" s="4">
        <v>69</v>
      </c>
      <c r="AJ230" s="4">
        <v>13</v>
      </c>
      <c r="AK230" s="4">
        <v>22</v>
      </c>
      <c r="AL230" s="4">
        <v>39</v>
      </c>
      <c r="AM230" s="4">
        <v>39</v>
      </c>
      <c r="AN230" s="4">
        <v>0</v>
      </c>
      <c r="AO230" s="4">
        <v>0</v>
      </c>
      <c r="AP230" s="4">
        <v>13</v>
      </c>
      <c r="AQ230" s="4">
        <v>45</v>
      </c>
      <c r="AR230" s="3" t="s">
        <v>62</v>
      </c>
      <c r="AS230" s="3" t="s">
        <v>62</v>
      </c>
      <c r="AT230" s="3" t="s">
        <v>61</v>
      </c>
      <c r="AU230" s="6" t="str">
        <f>HYPERLINK("http://catalog.hathitrust.org/Record/005540890","HathiTrust Record")</f>
        <v>HathiTrust Record</v>
      </c>
      <c r="AV230" s="6" t="str">
        <f>HYPERLINK("http://mcgill.on.worldcat.org/oclc/67945090","Catalog Record")</f>
        <v>Catalog Record</v>
      </c>
      <c r="AW230" s="6" t="str">
        <f>HYPERLINK("http://www.worldcat.org/oclc/67945090","WorldCat Record")</f>
        <v>WorldCat Record</v>
      </c>
      <c r="AX230" s="3" t="s">
        <v>2000</v>
      </c>
      <c r="AY230" s="3" t="s">
        <v>2001</v>
      </c>
      <c r="AZ230" s="3" t="s">
        <v>2002</v>
      </c>
      <c r="BA230" s="3" t="s">
        <v>2002</v>
      </c>
      <c r="BB230" s="3" t="s">
        <v>2003</v>
      </c>
      <c r="BC230" s="3" t="s">
        <v>142</v>
      </c>
      <c r="BD230" s="3" t="s">
        <v>68</v>
      </c>
      <c r="BE230" s="3" t="s">
        <v>2004</v>
      </c>
      <c r="BF230" s="3" t="s">
        <v>2003</v>
      </c>
      <c r="BG230" s="3" t="s">
        <v>2005</v>
      </c>
    </row>
    <row r="231" spans="1:59" ht="57" x14ac:dyDescent="0.45">
      <c r="A231" s="2" t="s">
        <v>59</v>
      </c>
      <c r="B231" s="2" t="s">
        <v>60</v>
      </c>
      <c r="C231" s="2" t="s">
        <v>2006</v>
      </c>
      <c r="D231" s="2" t="s">
        <v>2007</v>
      </c>
      <c r="E231" s="2" t="s">
        <v>2008</v>
      </c>
      <c r="G231" s="3" t="s">
        <v>62</v>
      </c>
      <c r="I231" s="3" t="s">
        <v>62</v>
      </c>
      <c r="J231" s="3" t="s">
        <v>62</v>
      </c>
      <c r="K231" s="3" t="s">
        <v>63</v>
      </c>
      <c r="M231" s="2" t="s">
        <v>2009</v>
      </c>
      <c r="N231" s="3" t="s">
        <v>970</v>
      </c>
      <c r="P231" s="3" t="s">
        <v>65</v>
      </c>
      <c r="Q231" s="2" t="s">
        <v>2010</v>
      </c>
      <c r="R231" s="3" t="s">
        <v>66</v>
      </c>
      <c r="S231" s="4">
        <v>20</v>
      </c>
      <c r="T231" s="4">
        <v>20</v>
      </c>
      <c r="U231" s="5" t="s">
        <v>2011</v>
      </c>
      <c r="V231" s="5" t="s">
        <v>2011</v>
      </c>
      <c r="W231" s="5" t="s">
        <v>67</v>
      </c>
      <c r="X231" s="5" t="s">
        <v>67</v>
      </c>
      <c r="Y231" s="4">
        <v>142</v>
      </c>
      <c r="Z231" s="4">
        <v>10</v>
      </c>
      <c r="AA231" s="4">
        <v>12</v>
      </c>
      <c r="AB231" s="4">
        <v>1</v>
      </c>
      <c r="AC231" s="4">
        <v>2</v>
      </c>
      <c r="AD231" s="4">
        <v>57</v>
      </c>
      <c r="AE231" s="4">
        <v>64</v>
      </c>
      <c r="AF231" s="4">
        <v>0</v>
      </c>
      <c r="AG231" s="4">
        <v>0</v>
      </c>
      <c r="AH231" s="4">
        <v>53</v>
      </c>
      <c r="AI231" s="4">
        <v>59</v>
      </c>
      <c r="AJ231" s="4">
        <v>7</v>
      </c>
      <c r="AK231" s="4">
        <v>7</v>
      </c>
      <c r="AL231" s="4">
        <v>30</v>
      </c>
      <c r="AM231" s="4">
        <v>34</v>
      </c>
      <c r="AN231" s="4">
        <v>0</v>
      </c>
      <c r="AO231" s="4">
        <v>0</v>
      </c>
      <c r="AP231" s="4">
        <v>8</v>
      </c>
      <c r="AQ231" s="4">
        <v>9</v>
      </c>
      <c r="AR231" s="3" t="s">
        <v>62</v>
      </c>
      <c r="AS231" s="3" t="s">
        <v>62</v>
      </c>
      <c r="AT231" s="3" t="s">
        <v>62</v>
      </c>
      <c r="AV231" s="6" t="str">
        <f>HYPERLINK("http://mcgill.on.worldcat.org/oclc/49326855","Catalog Record")</f>
        <v>Catalog Record</v>
      </c>
      <c r="AW231" s="6" t="str">
        <f>HYPERLINK("http://www.worldcat.org/oclc/49326855","WorldCat Record")</f>
        <v>WorldCat Record</v>
      </c>
      <c r="AX231" s="3" t="s">
        <v>2012</v>
      </c>
      <c r="AY231" s="3" t="s">
        <v>2013</v>
      </c>
      <c r="AZ231" s="3" t="s">
        <v>2014</v>
      </c>
      <c r="BA231" s="3" t="s">
        <v>2014</v>
      </c>
      <c r="BB231" s="3" t="s">
        <v>2015</v>
      </c>
      <c r="BC231" s="3" t="s">
        <v>142</v>
      </c>
      <c r="BD231" s="3" t="s">
        <v>68</v>
      </c>
      <c r="BE231" s="3" t="s">
        <v>2016</v>
      </c>
      <c r="BF231" s="3" t="s">
        <v>2015</v>
      </c>
      <c r="BG231" s="3" t="s">
        <v>2017</v>
      </c>
    </row>
    <row r="232" spans="1:59" ht="57" x14ac:dyDescent="0.45">
      <c r="A232" s="2" t="s">
        <v>59</v>
      </c>
      <c r="B232" s="2" t="s">
        <v>60</v>
      </c>
      <c r="C232" s="2" t="s">
        <v>2018</v>
      </c>
      <c r="D232" s="2" t="s">
        <v>2019</v>
      </c>
      <c r="E232" s="2" t="s">
        <v>2020</v>
      </c>
      <c r="G232" s="3" t="s">
        <v>62</v>
      </c>
      <c r="I232" s="3" t="s">
        <v>62</v>
      </c>
      <c r="J232" s="3" t="s">
        <v>62</v>
      </c>
      <c r="K232" s="3" t="s">
        <v>63</v>
      </c>
      <c r="L232" s="2" t="s">
        <v>2021</v>
      </c>
      <c r="M232" s="2" t="s">
        <v>2022</v>
      </c>
      <c r="N232" s="3" t="s">
        <v>149</v>
      </c>
      <c r="P232" s="3" t="s">
        <v>65</v>
      </c>
      <c r="R232" s="3" t="s">
        <v>66</v>
      </c>
      <c r="S232" s="4">
        <v>5</v>
      </c>
      <c r="T232" s="4">
        <v>5</v>
      </c>
      <c r="U232" s="5" t="s">
        <v>2023</v>
      </c>
      <c r="V232" s="5" t="s">
        <v>2023</v>
      </c>
      <c r="W232" s="5" t="s">
        <v>67</v>
      </c>
      <c r="X232" s="5" t="s">
        <v>67</v>
      </c>
      <c r="Y232" s="4">
        <v>194</v>
      </c>
      <c r="Z232" s="4">
        <v>15</v>
      </c>
      <c r="AA232" s="4">
        <v>27</v>
      </c>
      <c r="AB232" s="4">
        <v>4</v>
      </c>
      <c r="AC232" s="4">
        <v>12</v>
      </c>
      <c r="AD232" s="4">
        <v>71</v>
      </c>
      <c r="AE232" s="4">
        <v>88</v>
      </c>
      <c r="AF232" s="4">
        <v>1</v>
      </c>
      <c r="AG232" s="4">
        <v>5</v>
      </c>
      <c r="AH232" s="4">
        <v>63</v>
      </c>
      <c r="AI232" s="4">
        <v>75</v>
      </c>
      <c r="AJ232" s="4">
        <v>11</v>
      </c>
      <c r="AK232" s="4">
        <v>16</v>
      </c>
      <c r="AL232" s="4">
        <v>38</v>
      </c>
      <c r="AM232" s="4">
        <v>45</v>
      </c>
      <c r="AN232" s="4">
        <v>0</v>
      </c>
      <c r="AO232" s="4">
        <v>0</v>
      </c>
      <c r="AP232" s="4">
        <v>12</v>
      </c>
      <c r="AQ232" s="4">
        <v>18</v>
      </c>
      <c r="AR232" s="3" t="s">
        <v>62</v>
      </c>
      <c r="AS232" s="3" t="s">
        <v>62</v>
      </c>
      <c r="AT232" s="3" t="s">
        <v>62</v>
      </c>
      <c r="AV232" s="6" t="str">
        <f>HYPERLINK("http://mcgill.on.worldcat.org/oclc/319499393","Catalog Record")</f>
        <v>Catalog Record</v>
      </c>
      <c r="AW232" s="6" t="str">
        <f>HYPERLINK("http://www.worldcat.org/oclc/319499393","WorldCat Record")</f>
        <v>WorldCat Record</v>
      </c>
      <c r="AX232" s="3" t="s">
        <v>2024</v>
      </c>
      <c r="AY232" s="3" t="s">
        <v>2025</v>
      </c>
      <c r="AZ232" s="3" t="s">
        <v>2026</v>
      </c>
      <c r="BA232" s="3" t="s">
        <v>2026</v>
      </c>
      <c r="BB232" s="3" t="s">
        <v>2027</v>
      </c>
      <c r="BC232" s="3" t="s">
        <v>142</v>
      </c>
      <c r="BD232" s="3" t="s">
        <v>68</v>
      </c>
      <c r="BE232" s="3" t="s">
        <v>2028</v>
      </c>
      <c r="BF232" s="3" t="s">
        <v>2027</v>
      </c>
      <c r="BG232" s="3" t="s">
        <v>2029</v>
      </c>
    </row>
    <row r="233" spans="1:59" ht="57" x14ac:dyDescent="0.45">
      <c r="A233" s="2" t="s">
        <v>59</v>
      </c>
      <c r="B233" s="2" t="s">
        <v>60</v>
      </c>
      <c r="C233" s="2" t="s">
        <v>2030</v>
      </c>
      <c r="D233" s="2" t="s">
        <v>2031</v>
      </c>
      <c r="E233" s="2" t="s">
        <v>2032</v>
      </c>
      <c r="G233" s="3" t="s">
        <v>62</v>
      </c>
      <c r="I233" s="3" t="s">
        <v>62</v>
      </c>
      <c r="J233" s="3" t="s">
        <v>62</v>
      </c>
      <c r="K233" s="3" t="s">
        <v>63</v>
      </c>
      <c r="L233" s="2" t="s">
        <v>2033</v>
      </c>
      <c r="M233" s="2" t="s">
        <v>2034</v>
      </c>
      <c r="N233" s="3" t="s">
        <v>195</v>
      </c>
      <c r="O233" s="2" t="s">
        <v>168</v>
      </c>
      <c r="P233" s="3" t="s">
        <v>65</v>
      </c>
      <c r="Q233" s="2" t="s">
        <v>2035</v>
      </c>
      <c r="R233" s="3" t="s">
        <v>66</v>
      </c>
      <c r="S233" s="4">
        <v>55</v>
      </c>
      <c r="T233" s="4">
        <v>55</v>
      </c>
      <c r="U233" s="5" t="s">
        <v>2036</v>
      </c>
      <c r="V233" s="5" t="s">
        <v>2036</v>
      </c>
      <c r="W233" s="5" t="s">
        <v>67</v>
      </c>
      <c r="X233" s="5" t="s">
        <v>67</v>
      </c>
      <c r="Y233" s="4">
        <v>363</v>
      </c>
      <c r="Z233" s="4">
        <v>33</v>
      </c>
      <c r="AA233" s="4">
        <v>40</v>
      </c>
      <c r="AB233" s="4">
        <v>2</v>
      </c>
      <c r="AC233" s="4">
        <v>2</v>
      </c>
      <c r="AD233" s="4">
        <v>97</v>
      </c>
      <c r="AE233" s="4">
        <v>103</v>
      </c>
      <c r="AF233" s="4">
        <v>1</v>
      </c>
      <c r="AG233" s="4">
        <v>1</v>
      </c>
      <c r="AH233" s="4">
        <v>80</v>
      </c>
      <c r="AI233" s="4">
        <v>84</v>
      </c>
      <c r="AJ233" s="4">
        <v>16</v>
      </c>
      <c r="AK233" s="4">
        <v>19</v>
      </c>
      <c r="AL233" s="4">
        <v>42</v>
      </c>
      <c r="AM233" s="4">
        <v>43</v>
      </c>
      <c r="AN233" s="4">
        <v>0</v>
      </c>
      <c r="AO233" s="4">
        <v>0</v>
      </c>
      <c r="AP233" s="4">
        <v>24</v>
      </c>
      <c r="AQ233" s="4">
        <v>28</v>
      </c>
      <c r="AR233" s="3" t="s">
        <v>62</v>
      </c>
      <c r="AS233" s="3" t="s">
        <v>62</v>
      </c>
      <c r="AT233" s="3" t="s">
        <v>61</v>
      </c>
      <c r="AU233" s="6" t="str">
        <f>HYPERLINK("http://catalog.hathitrust.org/Record/002882621","HathiTrust Record")</f>
        <v>HathiTrust Record</v>
      </c>
      <c r="AV233" s="6" t="str">
        <f>HYPERLINK("http://mcgill.on.worldcat.org/oclc/28848068","Catalog Record")</f>
        <v>Catalog Record</v>
      </c>
      <c r="AW233" s="6" t="str">
        <f>HYPERLINK("http://www.worldcat.org/oclc/28848068","WorldCat Record")</f>
        <v>WorldCat Record</v>
      </c>
      <c r="AX233" s="3" t="s">
        <v>2037</v>
      </c>
      <c r="AY233" s="3" t="s">
        <v>2038</v>
      </c>
      <c r="AZ233" s="3" t="s">
        <v>2039</v>
      </c>
      <c r="BA233" s="3" t="s">
        <v>2039</v>
      </c>
      <c r="BB233" s="3" t="s">
        <v>2040</v>
      </c>
      <c r="BC233" s="3" t="s">
        <v>142</v>
      </c>
      <c r="BD233" s="3" t="s">
        <v>68</v>
      </c>
      <c r="BE233" s="3" t="s">
        <v>2041</v>
      </c>
      <c r="BF233" s="3" t="s">
        <v>2040</v>
      </c>
      <c r="BG233" s="3" t="s">
        <v>2042</v>
      </c>
    </row>
    <row r="234" spans="1:59" ht="57" x14ac:dyDescent="0.45">
      <c r="A234" s="2" t="s">
        <v>59</v>
      </c>
      <c r="B234" s="2" t="s">
        <v>60</v>
      </c>
      <c r="C234" s="2" t="s">
        <v>2043</v>
      </c>
      <c r="D234" s="2" t="s">
        <v>2044</v>
      </c>
      <c r="E234" s="2" t="s">
        <v>2045</v>
      </c>
      <c r="G234" s="3" t="s">
        <v>62</v>
      </c>
      <c r="I234" s="3" t="s">
        <v>62</v>
      </c>
      <c r="J234" s="3" t="s">
        <v>62</v>
      </c>
      <c r="K234" s="3" t="s">
        <v>63</v>
      </c>
      <c r="M234" s="2" t="s">
        <v>2046</v>
      </c>
      <c r="N234" s="3" t="s">
        <v>958</v>
      </c>
      <c r="P234" s="3" t="s">
        <v>65</v>
      </c>
      <c r="R234" s="3" t="s">
        <v>66</v>
      </c>
      <c r="S234" s="4">
        <v>19</v>
      </c>
      <c r="T234" s="4">
        <v>19</v>
      </c>
      <c r="U234" s="5" t="s">
        <v>2047</v>
      </c>
      <c r="V234" s="5" t="s">
        <v>2047</v>
      </c>
      <c r="W234" s="5" t="s">
        <v>67</v>
      </c>
      <c r="X234" s="5" t="s">
        <v>67</v>
      </c>
      <c r="Y234" s="4">
        <v>176</v>
      </c>
      <c r="Z234" s="4">
        <v>14</v>
      </c>
      <c r="AA234" s="4">
        <v>18</v>
      </c>
      <c r="AB234" s="4">
        <v>2</v>
      </c>
      <c r="AC234" s="4">
        <v>6</v>
      </c>
      <c r="AD234" s="4">
        <v>73</v>
      </c>
      <c r="AE234" s="4">
        <v>76</v>
      </c>
      <c r="AF234" s="4">
        <v>1</v>
      </c>
      <c r="AG234" s="4">
        <v>2</v>
      </c>
      <c r="AH234" s="4">
        <v>68</v>
      </c>
      <c r="AI234" s="4">
        <v>71</v>
      </c>
      <c r="AJ234" s="4">
        <v>12</v>
      </c>
      <c r="AK234" s="4">
        <v>13</v>
      </c>
      <c r="AL234" s="4">
        <v>36</v>
      </c>
      <c r="AM234" s="4">
        <v>37</v>
      </c>
      <c r="AN234" s="4">
        <v>0</v>
      </c>
      <c r="AO234" s="4">
        <v>0</v>
      </c>
      <c r="AP234" s="4">
        <v>12</v>
      </c>
      <c r="AQ234" s="4">
        <v>13</v>
      </c>
      <c r="AR234" s="3" t="s">
        <v>62</v>
      </c>
      <c r="AS234" s="3" t="s">
        <v>62</v>
      </c>
      <c r="AT234" s="3" t="s">
        <v>62</v>
      </c>
      <c r="AV234" s="6" t="str">
        <f>HYPERLINK("http://mcgill.on.worldcat.org/oclc/34345547","Catalog Record")</f>
        <v>Catalog Record</v>
      </c>
      <c r="AW234" s="6" t="str">
        <f>HYPERLINK("http://www.worldcat.org/oclc/34345547","WorldCat Record")</f>
        <v>WorldCat Record</v>
      </c>
      <c r="AX234" s="3" t="s">
        <v>2048</v>
      </c>
      <c r="AY234" s="3" t="s">
        <v>2049</v>
      </c>
      <c r="AZ234" s="3" t="s">
        <v>2050</v>
      </c>
      <c r="BA234" s="3" t="s">
        <v>2050</v>
      </c>
      <c r="BB234" s="3" t="s">
        <v>2051</v>
      </c>
      <c r="BC234" s="3" t="s">
        <v>142</v>
      </c>
      <c r="BD234" s="3" t="s">
        <v>68</v>
      </c>
      <c r="BE234" s="3" t="s">
        <v>2052</v>
      </c>
      <c r="BF234" s="3" t="s">
        <v>2051</v>
      </c>
      <c r="BG234" s="3" t="s">
        <v>2053</v>
      </c>
    </row>
    <row r="235" spans="1:59" ht="57" x14ac:dyDescent="0.45">
      <c r="A235" s="2" t="s">
        <v>59</v>
      </c>
      <c r="B235" s="2" t="s">
        <v>60</v>
      </c>
      <c r="C235" s="2" t="s">
        <v>2054</v>
      </c>
      <c r="D235" s="2" t="s">
        <v>2055</v>
      </c>
      <c r="E235" s="2" t="s">
        <v>2056</v>
      </c>
      <c r="G235" s="3" t="s">
        <v>62</v>
      </c>
      <c r="I235" s="3" t="s">
        <v>62</v>
      </c>
      <c r="J235" s="3" t="s">
        <v>62</v>
      </c>
      <c r="K235" s="3" t="s">
        <v>63</v>
      </c>
      <c r="M235" s="2" t="s">
        <v>2057</v>
      </c>
      <c r="N235" s="3" t="s">
        <v>542</v>
      </c>
      <c r="P235" s="3" t="s">
        <v>65</v>
      </c>
      <c r="Q235" s="2" t="s">
        <v>2058</v>
      </c>
      <c r="R235" s="3" t="s">
        <v>66</v>
      </c>
      <c r="S235" s="4">
        <v>34</v>
      </c>
      <c r="T235" s="4">
        <v>34</v>
      </c>
      <c r="U235" s="5" t="s">
        <v>2059</v>
      </c>
      <c r="V235" s="5" t="s">
        <v>2059</v>
      </c>
      <c r="W235" s="5" t="s">
        <v>67</v>
      </c>
      <c r="X235" s="5" t="s">
        <v>67</v>
      </c>
      <c r="Y235" s="4">
        <v>411</v>
      </c>
      <c r="Z235" s="4">
        <v>26</v>
      </c>
      <c r="AA235" s="4">
        <v>31</v>
      </c>
      <c r="AB235" s="4">
        <v>3</v>
      </c>
      <c r="AC235" s="4">
        <v>8</v>
      </c>
      <c r="AD235" s="4">
        <v>106</v>
      </c>
      <c r="AE235" s="4">
        <v>109</v>
      </c>
      <c r="AF235" s="4">
        <v>1</v>
      </c>
      <c r="AG235" s="4">
        <v>4</v>
      </c>
      <c r="AH235" s="4">
        <v>91</v>
      </c>
      <c r="AI235" s="4">
        <v>92</v>
      </c>
      <c r="AJ235" s="4">
        <v>18</v>
      </c>
      <c r="AK235" s="4">
        <v>21</v>
      </c>
      <c r="AL235" s="4">
        <v>52</v>
      </c>
      <c r="AM235" s="4">
        <v>52</v>
      </c>
      <c r="AN235" s="4">
        <v>0</v>
      </c>
      <c r="AO235" s="4">
        <v>0</v>
      </c>
      <c r="AP235" s="4">
        <v>22</v>
      </c>
      <c r="AQ235" s="4">
        <v>24</v>
      </c>
      <c r="AR235" s="3" t="s">
        <v>62</v>
      </c>
      <c r="AS235" s="3" t="s">
        <v>62</v>
      </c>
      <c r="AT235" s="3" t="s">
        <v>62</v>
      </c>
      <c r="AV235" s="6" t="str">
        <f>HYPERLINK("http://mcgill.on.worldcat.org/oclc/48108884","Catalog Record")</f>
        <v>Catalog Record</v>
      </c>
      <c r="AW235" s="6" t="str">
        <f>HYPERLINK("http://www.worldcat.org/oclc/48108884","WorldCat Record")</f>
        <v>WorldCat Record</v>
      </c>
      <c r="AX235" s="3" t="s">
        <v>2060</v>
      </c>
      <c r="AY235" s="3" t="s">
        <v>2061</v>
      </c>
      <c r="AZ235" s="3" t="s">
        <v>2062</v>
      </c>
      <c r="BA235" s="3" t="s">
        <v>2062</v>
      </c>
      <c r="BB235" s="3" t="s">
        <v>2063</v>
      </c>
      <c r="BC235" s="3" t="s">
        <v>142</v>
      </c>
      <c r="BD235" s="3" t="s">
        <v>68</v>
      </c>
      <c r="BE235" s="3" t="s">
        <v>2064</v>
      </c>
      <c r="BF235" s="3" t="s">
        <v>2063</v>
      </c>
      <c r="BG235" s="3" t="s">
        <v>2065</v>
      </c>
    </row>
    <row r="236" spans="1:59" ht="57" x14ac:dyDescent="0.45">
      <c r="A236" s="2" t="s">
        <v>59</v>
      </c>
      <c r="B236" s="2" t="s">
        <v>60</v>
      </c>
      <c r="C236" s="2" t="s">
        <v>2066</v>
      </c>
      <c r="D236" s="2" t="s">
        <v>2067</v>
      </c>
      <c r="E236" s="2" t="s">
        <v>2068</v>
      </c>
      <c r="G236" s="3" t="s">
        <v>62</v>
      </c>
      <c r="I236" s="3" t="s">
        <v>62</v>
      </c>
      <c r="J236" s="3" t="s">
        <v>62</v>
      </c>
      <c r="K236" s="3" t="s">
        <v>63</v>
      </c>
      <c r="L236" s="2" t="s">
        <v>2069</v>
      </c>
      <c r="M236" s="2" t="s">
        <v>2070</v>
      </c>
      <c r="N236" s="3" t="s">
        <v>149</v>
      </c>
      <c r="P236" s="3" t="s">
        <v>65</v>
      </c>
      <c r="Q236" s="2" t="s">
        <v>2071</v>
      </c>
      <c r="R236" s="3" t="s">
        <v>66</v>
      </c>
      <c r="S236" s="4">
        <v>3</v>
      </c>
      <c r="T236" s="4">
        <v>3</v>
      </c>
      <c r="U236" s="5" t="s">
        <v>2072</v>
      </c>
      <c r="V236" s="5" t="s">
        <v>2072</v>
      </c>
      <c r="W236" s="5" t="s">
        <v>67</v>
      </c>
      <c r="X236" s="5" t="s">
        <v>67</v>
      </c>
      <c r="Y236" s="4">
        <v>118</v>
      </c>
      <c r="Z236" s="4">
        <v>6</v>
      </c>
      <c r="AA236" s="4">
        <v>15</v>
      </c>
      <c r="AB236" s="4">
        <v>2</v>
      </c>
      <c r="AC236" s="4">
        <v>4</v>
      </c>
      <c r="AD236" s="4">
        <v>45</v>
      </c>
      <c r="AE236" s="4">
        <v>57</v>
      </c>
      <c r="AF236" s="4">
        <v>1</v>
      </c>
      <c r="AG236" s="4">
        <v>1</v>
      </c>
      <c r="AH236" s="4">
        <v>43</v>
      </c>
      <c r="AI236" s="4">
        <v>53</v>
      </c>
      <c r="AJ236" s="4">
        <v>3</v>
      </c>
      <c r="AK236" s="4">
        <v>7</v>
      </c>
      <c r="AL236" s="4">
        <v>30</v>
      </c>
      <c r="AM236" s="4">
        <v>35</v>
      </c>
      <c r="AN236" s="4">
        <v>0</v>
      </c>
      <c r="AO236" s="4">
        <v>0</v>
      </c>
      <c r="AP236" s="4">
        <v>4</v>
      </c>
      <c r="AQ236" s="4">
        <v>9</v>
      </c>
      <c r="AR236" s="3" t="s">
        <v>62</v>
      </c>
      <c r="AS236" s="3" t="s">
        <v>62</v>
      </c>
      <c r="AT236" s="3" t="s">
        <v>62</v>
      </c>
      <c r="AV236" s="6" t="str">
        <f>HYPERLINK("http://mcgill.on.worldcat.org/oclc/286485774","Catalog Record")</f>
        <v>Catalog Record</v>
      </c>
      <c r="AW236" s="6" t="str">
        <f>HYPERLINK("http://www.worldcat.org/oclc/286485774","WorldCat Record")</f>
        <v>WorldCat Record</v>
      </c>
      <c r="AX236" s="3" t="s">
        <v>2073</v>
      </c>
      <c r="AY236" s="3" t="s">
        <v>2074</v>
      </c>
      <c r="AZ236" s="3" t="s">
        <v>2075</v>
      </c>
      <c r="BA236" s="3" t="s">
        <v>2075</v>
      </c>
      <c r="BB236" s="3" t="s">
        <v>2076</v>
      </c>
      <c r="BC236" s="3" t="s">
        <v>142</v>
      </c>
      <c r="BD236" s="3" t="s">
        <v>68</v>
      </c>
      <c r="BE236" s="3" t="s">
        <v>2077</v>
      </c>
      <c r="BF236" s="3" t="s">
        <v>2076</v>
      </c>
      <c r="BG236" s="3" t="s">
        <v>2078</v>
      </c>
    </row>
    <row r="237" spans="1:59" ht="57" x14ac:dyDescent="0.45">
      <c r="A237" s="2" t="s">
        <v>59</v>
      </c>
      <c r="B237" s="2" t="s">
        <v>60</v>
      </c>
      <c r="C237" s="2" t="s">
        <v>2079</v>
      </c>
      <c r="D237" s="2" t="s">
        <v>2080</v>
      </c>
      <c r="E237" s="2" t="s">
        <v>2081</v>
      </c>
      <c r="G237" s="3" t="s">
        <v>62</v>
      </c>
      <c r="I237" s="3" t="s">
        <v>62</v>
      </c>
      <c r="J237" s="3" t="s">
        <v>61</v>
      </c>
      <c r="K237" s="3" t="s">
        <v>63</v>
      </c>
      <c r="L237" s="2" t="s">
        <v>2082</v>
      </c>
      <c r="M237" s="2" t="s">
        <v>2083</v>
      </c>
      <c r="N237" s="3" t="s">
        <v>1097</v>
      </c>
      <c r="P237" s="3" t="s">
        <v>65</v>
      </c>
      <c r="R237" s="3" t="s">
        <v>66</v>
      </c>
      <c r="S237" s="4">
        <v>7</v>
      </c>
      <c r="T237" s="4">
        <v>7</v>
      </c>
      <c r="U237" s="5" t="s">
        <v>2084</v>
      </c>
      <c r="V237" s="5" t="s">
        <v>2084</v>
      </c>
      <c r="W237" s="5" t="s">
        <v>67</v>
      </c>
      <c r="X237" s="5" t="s">
        <v>67</v>
      </c>
      <c r="Y237" s="4">
        <v>100</v>
      </c>
      <c r="Z237" s="4">
        <v>10</v>
      </c>
      <c r="AA237" s="4">
        <v>28</v>
      </c>
      <c r="AB237" s="4">
        <v>2</v>
      </c>
      <c r="AC237" s="4">
        <v>6</v>
      </c>
      <c r="AD237" s="4">
        <v>27</v>
      </c>
      <c r="AE237" s="4">
        <v>110</v>
      </c>
      <c r="AF237" s="4">
        <v>1</v>
      </c>
      <c r="AG237" s="4">
        <v>3</v>
      </c>
      <c r="AH237" s="4">
        <v>23</v>
      </c>
      <c r="AI237" s="4">
        <v>98</v>
      </c>
      <c r="AJ237" s="4">
        <v>7</v>
      </c>
      <c r="AK237" s="4">
        <v>19</v>
      </c>
      <c r="AL237" s="4">
        <v>14</v>
      </c>
      <c r="AM237" s="4">
        <v>53</v>
      </c>
      <c r="AN237" s="4">
        <v>0</v>
      </c>
      <c r="AO237" s="4">
        <v>0</v>
      </c>
      <c r="AP237" s="4">
        <v>8</v>
      </c>
      <c r="AQ237" s="4">
        <v>21</v>
      </c>
      <c r="AR237" s="3" t="s">
        <v>62</v>
      </c>
      <c r="AS237" s="3" t="s">
        <v>62</v>
      </c>
      <c r="AT237" s="3" t="s">
        <v>61</v>
      </c>
      <c r="AU237" s="6" t="str">
        <f>HYPERLINK("http://catalog.hathitrust.org/Record/007145016","HathiTrust Record")</f>
        <v>HathiTrust Record</v>
      </c>
      <c r="AV237" s="6" t="str">
        <f>HYPERLINK("http://mcgill.on.worldcat.org/oclc/56965720","Catalog Record")</f>
        <v>Catalog Record</v>
      </c>
      <c r="AW237" s="6" t="str">
        <f>HYPERLINK("http://www.worldcat.org/oclc/56965720","WorldCat Record")</f>
        <v>WorldCat Record</v>
      </c>
      <c r="AX237" s="3" t="s">
        <v>2085</v>
      </c>
      <c r="AY237" s="3" t="s">
        <v>2086</v>
      </c>
      <c r="AZ237" s="3" t="s">
        <v>2087</v>
      </c>
      <c r="BA237" s="3" t="s">
        <v>2087</v>
      </c>
      <c r="BB237" s="3" t="s">
        <v>2088</v>
      </c>
      <c r="BC237" s="3" t="s">
        <v>142</v>
      </c>
      <c r="BD237" s="3" t="s">
        <v>68</v>
      </c>
      <c r="BE237" s="3" t="s">
        <v>2089</v>
      </c>
      <c r="BF237" s="3" t="s">
        <v>2088</v>
      </c>
      <c r="BG237" s="3" t="s">
        <v>2090</v>
      </c>
    </row>
    <row r="238" spans="1:59" ht="71.25" x14ac:dyDescent="0.45">
      <c r="A238" s="2" t="s">
        <v>59</v>
      </c>
      <c r="B238" s="2" t="s">
        <v>60</v>
      </c>
      <c r="C238" s="2" t="s">
        <v>2091</v>
      </c>
      <c r="D238" s="2" t="s">
        <v>2092</v>
      </c>
      <c r="E238" s="2" t="s">
        <v>2093</v>
      </c>
      <c r="G238" s="3" t="s">
        <v>62</v>
      </c>
      <c r="I238" s="3" t="s">
        <v>62</v>
      </c>
      <c r="J238" s="3" t="s">
        <v>62</v>
      </c>
      <c r="K238" s="3" t="s">
        <v>63</v>
      </c>
      <c r="M238" s="2" t="s">
        <v>2094</v>
      </c>
      <c r="N238" s="3" t="s">
        <v>149</v>
      </c>
      <c r="P238" s="3" t="s">
        <v>110</v>
      </c>
      <c r="Q238" s="2" t="s">
        <v>2095</v>
      </c>
      <c r="R238" s="3" t="s">
        <v>66</v>
      </c>
      <c r="S238" s="4">
        <v>0</v>
      </c>
      <c r="T238" s="4">
        <v>0</v>
      </c>
      <c r="W238" s="5" t="s">
        <v>67</v>
      </c>
      <c r="X238" s="5" t="s">
        <v>67</v>
      </c>
      <c r="Y238" s="4">
        <v>14</v>
      </c>
      <c r="Z238" s="4">
        <v>1</v>
      </c>
      <c r="AA238" s="4">
        <v>4</v>
      </c>
      <c r="AB238" s="4">
        <v>1</v>
      </c>
      <c r="AC238" s="4">
        <v>3</v>
      </c>
      <c r="AD238" s="4">
        <v>7</v>
      </c>
      <c r="AE238" s="4">
        <v>10</v>
      </c>
      <c r="AF238" s="4">
        <v>0</v>
      </c>
      <c r="AG238" s="4">
        <v>2</v>
      </c>
      <c r="AH238" s="4">
        <v>7</v>
      </c>
      <c r="AI238" s="4">
        <v>9</v>
      </c>
      <c r="AJ238" s="4">
        <v>0</v>
      </c>
      <c r="AK238" s="4">
        <v>3</v>
      </c>
      <c r="AL238" s="4">
        <v>6</v>
      </c>
      <c r="AM238" s="4">
        <v>6</v>
      </c>
      <c r="AN238" s="4">
        <v>0</v>
      </c>
      <c r="AO238" s="4">
        <v>0</v>
      </c>
      <c r="AP238" s="4">
        <v>0</v>
      </c>
      <c r="AQ238" s="4">
        <v>2</v>
      </c>
      <c r="AR238" s="3" t="s">
        <v>62</v>
      </c>
      <c r="AS238" s="3" t="s">
        <v>62</v>
      </c>
      <c r="AT238" s="3" t="s">
        <v>62</v>
      </c>
      <c r="AV238" s="6" t="str">
        <f>HYPERLINK("http://mcgill.on.worldcat.org/oclc/697594102","Catalog Record")</f>
        <v>Catalog Record</v>
      </c>
      <c r="AW238" s="6" t="str">
        <f>HYPERLINK("http://www.worldcat.org/oclc/697594102","WorldCat Record")</f>
        <v>WorldCat Record</v>
      </c>
      <c r="AX238" s="3" t="s">
        <v>2096</v>
      </c>
      <c r="AY238" s="3" t="s">
        <v>2097</v>
      </c>
      <c r="AZ238" s="3" t="s">
        <v>2098</v>
      </c>
      <c r="BA238" s="3" t="s">
        <v>2098</v>
      </c>
      <c r="BB238" s="3" t="s">
        <v>2099</v>
      </c>
      <c r="BC238" s="3" t="s">
        <v>142</v>
      </c>
      <c r="BD238" s="3" t="s">
        <v>68</v>
      </c>
      <c r="BE238" s="3" t="s">
        <v>2100</v>
      </c>
      <c r="BF238" s="3" t="s">
        <v>2099</v>
      </c>
      <c r="BG238" s="3" t="s">
        <v>2101</v>
      </c>
    </row>
    <row r="239" spans="1:59" ht="57" x14ac:dyDescent="0.45">
      <c r="A239" s="2" t="s">
        <v>59</v>
      </c>
      <c r="B239" s="2" t="s">
        <v>60</v>
      </c>
      <c r="C239" s="2" t="s">
        <v>2102</v>
      </c>
      <c r="D239" s="2" t="s">
        <v>2103</v>
      </c>
      <c r="E239" s="2" t="s">
        <v>2104</v>
      </c>
      <c r="G239" s="3" t="s">
        <v>62</v>
      </c>
      <c r="I239" s="3" t="s">
        <v>62</v>
      </c>
      <c r="J239" s="3" t="s">
        <v>62</v>
      </c>
      <c r="K239" s="3" t="s">
        <v>63</v>
      </c>
      <c r="L239" s="2" t="s">
        <v>2105</v>
      </c>
      <c r="M239" s="2" t="s">
        <v>2106</v>
      </c>
      <c r="N239" s="3" t="s">
        <v>2107</v>
      </c>
      <c r="P239" s="3" t="s">
        <v>65</v>
      </c>
      <c r="Q239" s="2" t="s">
        <v>2108</v>
      </c>
      <c r="R239" s="3" t="s">
        <v>66</v>
      </c>
      <c r="S239" s="4">
        <v>5</v>
      </c>
      <c r="T239" s="4">
        <v>5</v>
      </c>
      <c r="U239" s="5" t="s">
        <v>2109</v>
      </c>
      <c r="V239" s="5" t="s">
        <v>2109</v>
      </c>
      <c r="W239" s="5" t="s">
        <v>67</v>
      </c>
      <c r="X239" s="5" t="s">
        <v>67</v>
      </c>
      <c r="Y239" s="4">
        <v>440</v>
      </c>
      <c r="Z239" s="4">
        <v>30</v>
      </c>
      <c r="AA239" s="4">
        <v>32</v>
      </c>
      <c r="AB239" s="4">
        <v>3</v>
      </c>
      <c r="AC239" s="4">
        <v>5</v>
      </c>
      <c r="AD239" s="4">
        <v>114</v>
      </c>
      <c r="AE239" s="4">
        <v>116</v>
      </c>
      <c r="AF239" s="4">
        <v>2</v>
      </c>
      <c r="AG239" s="4">
        <v>4</v>
      </c>
      <c r="AH239" s="4">
        <v>97</v>
      </c>
      <c r="AI239" s="4">
        <v>98</v>
      </c>
      <c r="AJ239" s="4">
        <v>19</v>
      </c>
      <c r="AK239" s="4">
        <v>21</v>
      </c>
      <c r="AL239" s="4">
        <v>49</v>
      </c>
      <c r="AM239" s="4">
        <v>49</v>
      </c>
      <c r="AN239" s="4">
        <v>0</v>
      </c>
      <c r="AO239" s="4">
        <v>0</v>
      </c>
      <c r="AP239" s="4">
        <v>26</v>
      </c>
      <c r="AQ239" s="4">
        <v>27</v>
      </c>
      <c r="AR239" s="3" t="s">
        <v>62</v>
      </c>
      <c r="AS239" s="3" t="s">
        <v>62</v>
      </c>
      <c r="AT239" s="3" t="s">
        <v>61</v>
      </c>
      <c r="AU239" s="6" t="str">
        <f>HYPERLINK("http://catalog.hathitrust.org/Record/000325488","HathiTrust Record")</f>
        <v>HathiTrust Record</v>
      </c>
      <c r="AV239" s="6" t="str">
        <f>HYPERLINK("http://mcgill.on.worldcat.org/oclc/9256263","Catalog Record")</f>
        <v>Catalog Record</v>
      </c>
      <c r="AW239" s="6" t="str">
        <f>HYPERLINK("http://www.worldcat.org/oclc/9256263","WorldCat Record")</f>
        <v>WorldCat Record</v>
      </c>
      <c r="AX239" s="3" t="s">
        <v>2110</v>
      </c>
      <c r="AY239" s="3" t="s">
        <v>2111</v>
      </c>
      <c r="AZ239" s="3" t="s">
        <v>2112</v>
      </c>
      <c r="BA239" s="3" t="s">
        <v>2112</v>
      </c>
      <c r="BB239" s="3" t="s">
        <v>2113</v>
      </c>
      <c r="BC239" s="3" t="s">
        <v>142</v>
      </c>
      <c r="BD239" s="3" t="s">
        <v>68</v>
      </c>
      <c r="BE239" s="3" t="s">
        <v>2114</v>
      </c>
      <c r="BF239" s="3" t="s">
        <v>2113</v>
      </c>
      <c r="BG239" s="3" t="s">
        <v>2115</v>
      </c>
    </row>
    <row r="240" spans="1:59" ht="71.25" x14ac:dyDescent="0.45">
      <c r="A240" s="2" t="s">
        <v>59</v>
      </c>
      <c r="B240" s="2" t="s">
        <v>60</v>
      </c>
      <c r="C240" s="2" t="s">
        <v>2116</v>
      </c>
      <c r="D240" s="2" t="s">
        <v>2117</v>
      </c>
      <c r="E240" s="2" t="s">
        <v>2118</v>
      </c>
      <c r="G240" s="3" t="s">
        <v>62</v>
      </c>
      <c r="I240" s="3" t="s">
        <v>61</v>
      </c>
      <c r="J240" s="3" t="s">
        <v>62</v>
      </c>
      <c r="K240" s="3" t="s">
        <v>63</v>
      </c>
      <c r="M240" s="2" t="s">
        <v>2119</v>
      </c>
      <c r="N240" s="3" t="s">
        <v>106</v>
      </c>
      <c r="P240" s="3" t="s">
        <v>65</v>
      </c>
      <c r="Q240" s="2" t="s">
        <v>2120</v>
      </c>
      <c r="R240" s="3" t="s">
        <v>66</v>
      </c>
      <c r="S240" s="4">
        <v>8</v>
      </c>
      <c r="T240" s="4">
        <v>47</v>
      </c>
      <c r="U240" s="5" t="s">
        <v>2121</v>
      </c>
      <c r="V240" s="5" t="s">
        <v>2121</v>
      </c>
      <c r="W240" s="5" t="s">
        <v>67</v>
      </c>
      <c r="X240" s="5" t="s">
        <v>67</v>
      </c>
      <c r="Y240" s="4">
        <v>470</v>
      </c>
      <c r="Z240" s="4">
        <v>31</v>
      </c>
      <c r="AA240" s="4">
        <v>37</v>
      </c>
      <c r="AB240" s="4">
        <v>3</v>
      </c>
      <c r="AC240" s="4">
        <v>8</v>
      </c>
      <c r="AD240" s="4">
        <v>119</v>
      </c>
      <c r="AE240" s="4">
        <v>123</v>
      </c>
      <c r="AF240" s="4">
        <v>2</v>
      </c>
      <c r="AG240" s="4">
        <v>5</v>
      </c>
      <c r="AH240" s="4">
        <v>102</v>
      </c>
      <c r="AI240" s="4">
        <v>103</v>
      </c>
      <c r="AJ240" s="4">
        <v>19</v>
      </c>
      <c r="AK240" s="4">
        <v>22</v>
      </c>
      <c r="AL240" s="4">
        <v>52</v>
      </c>
      <c r="AM240" s="4">
        <v>52</v>
      </c>
      <c r="AN240" s="4">
        <v>0</v>
      </c>
      <c r="AO240" s="4">
        <v>0</v>
      </c>
      <c r="AP240" s="4">
        <v>26</v>
      </c>
      <c r="AQ240" s="4">
        <v>29</v>
      </c>
      <c r="AR240" s="3" t="s">
        <v>62</v>
      </c>
      <c r="AS240" s="3" t="s">
        <v>62</v>
      </c>
      <c r="AT240" s="3" t="s">
        <v>61</v>
      </c>
      <c r="AU240" s="6" t="str">
        <f>HYPERLINK("http://catalog.hathitrust.org/Record/000153909","HathiTrust Record")</f>
        <v>HathiTrust Record</v>
      </c>
      <c r="AV240" s="6" t="str">
        <f>HYPERLINK("http://mcgill.on.worldcat.org/oclc/8954424","Catalog Record")</f>
        <v>Catalog Record</v>
      </c>
      <c r="AW240" s="6" t="str">
        <f>HYPERLINK("http://www.worldcat.org/oclc/8954424","WorldCat Record")</f>
        <v>WorldCat Record</v>
      </c>
      <c r="AX240" s="3" t="s">
        <v>2122</v>
      </c>
      <c r="AY240" s="3" t="s">
        <v>2123</v>
      </c>
      <c r="AZ240" s="3" t="s">
        <v>2124</v>
      </c>
      <c r="BA240" s="3" t="s">
        <v>2124</v>
      </c>
      <c r="BB240" s="3" t="s">
        <v>2125</v>
      </c>
      <c r="BC240" s="3" t="s">
        <v>142</v>
      </c>
      <c r="BD240" s="3" t="s">
        <v>68</v>
      </c>
      <c r="BE240" s="3" t="s">
        <v>2126</v>
      </c>
      <c r="BF240" s="3" t="s">
        <v>2125</v>
      </c>
      <c r="BG240" s="3" t="s">
        <v>2127</v>
      </c>
    </row>
    <row r="241" spans="1:59" ht="71.25" x14ac:dyDescent="0.45">
      <c r="A241" s="2" t="s">
        <v>59</v>
      </c>
      <c r="B241" s="2" t="s">
        <v>60</v>
      </c>
      <c r="C241" s="2" t="s">
        <v>2116</v>
      </c>
      <c r="D241" s="2" t="s">
        <v>2117</v>
      </c>
      <c r="E241" s="2" t="s">
        <v>2118</v>
      </c>
      <c r="G241" s="3" t="s">
        <v>62</v>
      </c>
      <c r="I241" s="3" t="s">
        <v>61</v>
      </c>
      <c r="J241" s="3" t="s">
        <v>62</v>
      </c>
      <c r="K241" s="3" t="s">
        <v>63</v>
      </c>
      <c r="M241" s="2" t="s">
        <v>2119</v>
      </c>
      <c r="N241" s="3" t="s">
        <v>106</v>
      </c>
      <c r="P241" s="3" t="s">
        <v>65</v>
      </c>
      <c r="Q241" s="2" t="s">
        <v>2120</v>
      </c>
      <c r="R241" s="3" t="s">
        <v>66</v>
      </c>
      <c r="S241" s="4">
        <v>39</v>
      </c>
      <c r="T241" s="4">
        <v>47</v>
      </c>
      <c r="U241" s="5" t="s">
        <v>2128</v>
      </c>
      <c r="V241" s="5" t="s">
        <v>2121</v>
      </c>
      <c r="W241" s="5" t="s">
        <v>67</v>
      </c>
      <c r="X241" s="5" t="s">
        <v>67</v>
      </c>
      <c r="Y241" s="4">
        <v>470</v>
      </c>
      <c r="Z241" s="4">
        <v>31</v>
      </c>
      <c r="AA241" s="4">
        <v>37</v>
      </c>
      <c r="AB241" s="4">
        <v>3</v>
      </c>
      <c r="AC241" s="4">
        <v>8</v>
      </c>
      <c r="AD241" s="4">
        <v>119</v>
      </c>
      <c r="AE241" s="4">
        <v>123</v>
      </c>
      <c r="AF241" s="4">
        <v>2</v>
      </c>
      <c r="AG241" s="4">
        <v>5</v>
      </c>
      <c r="AH241" s="4">
        <v>102</v>
      </c>
      <c r="AI241" s="4">
        <v>103</v>
      </c>
      <c r="AJ241" s="4">
        <v>19</v>
      </c>
      <c r="AK241" s="4">
        <v>22</v>
      </c>
      <c r="AL241" s="4">
        <v>52</v>
      </c>
      <c r="AM241" s="4">
        <v>52</v>
      </c>
      <c r="AN241" s="4">
        <v>0</v>
      </c>
      <c r="AO241" s="4">
        <v>0</v>
      </c>
      <c r="AP241" s="4">
        <v>26</v>
      </c>
      <c r="AQ241" s="4">
        <v>29</v>
      </c>
      <c r="AR241" s="3" t="s">
        <v>62</v>
      </c>
      <c r="AS241" s="3" t="s">
        <v>62</v>
      </c>
      <c r="AT241" s="3" t="s">
        <v>61</v>
      </c>
      <c r="AU241" s="6" t="str">
        <f>HYPERLINK("http://catalog.hathitrust.org/Record/000153909","HathiTrust Record")</f>
        <v>HathiTrust Record</v>
      </c>
      <c r="AV241" s="6" t="str">
        <f>HYPERLINK("http://mcgill.on.worldcat.org/oclc/8954424","Catalog Record")</f>
        <v>Catalog Record</v>
      </c>
      <c r="AW241" s="6" t="str">
        <f>HYPERLINK("http://www.worldcat.org/oclc/8954424","WorldCat Record")</f>
        <v>WorldCat Record</v>
      </c>
      <c r="AX241" s="3" t="s">
        <v>2122</v>
      </c>
      <c r="AY241" s="3" t="s">
        <v>2123</v>
      </c>
      <c r="AZ241" s="3" t="s">
        <v>2124</v>
      </c>
      <c r="BA241" s="3" t="s">
        <v>2124</v>
      </c>
      <c r="BB241" s="3" t="s">
        <v>2129</v>
      </c>
      <c r="BC241" s="3" t="s">
        <v>142</v>
      </c>
      <c r="BD241" s="3" t="s">
        <v>68</v>
      </c>
      <c r="BE241" s="3" t="s">
        <v>2126</v>
      </c>
      <c r="BF241" s="3" t="s">
        <v>2129</v>
      </c>
      <c r="BG241" s="3" t="s">
        <v>2130</v>
      </c>
    </row>
    <row r="242" spans="1:59" ht="57" x14ac:dyDescent="0.45">
      <c r="A242" s="2" t="s">
        <v>59</v>
      </c>
      <c r="B242" s="2" t="s">
        <v>60</v>
      </c>
      <c r="C242" s="2" t="s">
        <v>2131</v>
      </c>
      <c r="D242" s="2" t="s">
        <v>2132</v>
      </c>
      <c r="E242" s="2" t="s">
        <v>2133</v>
      </c>
      <c r="G242" s="3" t="s">
        <v>62</v>
      </c>
      <c r="I242" s="3" t="s">
        <v>62</v>
      </c>
      <c r="J242" s="3" t="s">
        <v>62</v>
      </c>
      <c r="K242" s="3" t="s">
        <v>63</v>
      </c>
      <c r="L242" s="2" t="s">
        <v>2134</v>
      </c>
      <c r="M242" s="2" t="s">
        <v>893</v>
      </c>
      <c r="N242" s="3" t="s">
        <v>894</v>
      </c>
      <c r="P242" s="3" t="s">
        <v>65</v>
      </c>
      <c r="R242" s="3" t="s">
        <v>66</v>
      </c>
      <c r="S242" s="4">
        <v>3</v>
      </c>
      <c r="T242" s="4">
        <v>3</v>
      </c>
      <c r="U242" s="5" t="s">
        <v>2135</v>
      </c>
      <c r="V242" s="5" t="s">
        <v>2135</v>
      </c>
      <c r="W242" s="5" t="s">
        <v>67</v>
      </c>
      <c r="X242" s="5" t="s">
        <v>67</v>
      </c>
      <c r="Y242" s="4">
        <v>213</v>
      </c>
      <c r="Z242" s="4">
        <v>22</v>
      </c>
      <c r="AA242" s="4">
        <v>85</v>
      </c>
      <c r="AB242" s="4">
        <v>1</v>
      </c>
      <c r="AC242" s="4">
        <v>15</v>
      </c>
      <c r="AD242" s="4">
        <v>84</v>
      </c>
      <c r="AE242" s="4">
        <v>126</v>
      </c>
      <c r="AF242" s="4">
        <v>0</v>
      </c>
      <c r="AG242" s="4">
        <v>8</v>
      </c>
      <c r="AH242" s="4">
        <v>74</v>
      </c>
      <c r="AI242" s="4">
        <v>91</v>
      </c>
      <c r="AJ242" s="4">
        <v>13</v>
      </c>
      <c r="AK242" s="4">
        <v>24</v>
      </c>
      <c r="AL242" s="4">
        <v>40</v>
      </c>
      <c r="AM242" s="4">
        <v>49</v>
      </c>
      <c r="AN242" s="4">
        <v>0</v>
      </c>
      <c r="AO242" s="4">
        <v>0</v>
      </c>
      <c r="AP242" s="4">
        <v>18</v>
      </c>
      <c r="AQ242" s="4">
        <v>45</v>
      </c>
      <c r="AR242" s="3" t="s">
        <v>62</v>
      </c>
      <c r="AS242" s="3" t="s">
        <v>62</v>
      </c>
      <c r="AT242" s="3" t="s">
        <v>62</v>
      </c>
      <c r="AV242" s="6" t="str">
        <f>HYPERLINK("http://mcgill.on.worldcat.org/oclc/647976985","Catalog Record")</f>
        <v>Catalog Record</v>
      </c>
      <c r="AW242" s="6" t="str">
        <f>HYPERLINK("http://www.worldcat.org/oclc/647976985","WorldCat Record")</f>
        <v>WorldCat Record</v>
      </c>
      <c r="AX242" s="3" t="s">
        <v>2136</v>
      </c>
      <c r="AY242" s="3" t="s">
        <v>2137</v>
      </c>
      <c r="AZ242" s="3" t="s">
        <v>2138</v>
      </c>
      <c r="BA242" s="3" t="s">
        <v>2138</v>
      </c>
      <c r="BB242" s="3" t="s">
        <v>2139</v>
      </c>
      <c r="BC242" s="3" t="s">
        <v>142</v>
      </c>
      <c r="BD242" s="3" t="s">
        <v>68</v>
      </c>
      <c r="BE242" s="3" t="s">
        <v>2140</v>
      </c>
      <c r="BF242" s="3" t="s">
        <v>2139</v>
      </c>
      <c r="BG242" s="3" t="s">
        <v>2141</v>
      </c>
    </row>
    <row r="243" spans="1:59" ht="57" x14ac:dyDescent="0.45">
      <c r="A243" s="2" t="s">
        <v>59</v>
      </c>
      <c r="B243" s="2" t="s">
        <v>60</v>
      </c>
      <c r="C243" s="2" t="s">
        <v>2142</v>
      </c>
      <c r="D243" s="2" t="s">
        <v>2143</v>
      </c>
      <c r="E243" s="2" t="s">
        <v>2144</v>
      </c>
      <c r="G243" s="3" t="s">
        <v>62</v>
      </c>
      <c r="I243" s="3" t="s">
        <v>62</v>
      </c>
      <c r="J243" s="3" t="s">
        <v>62</v>
      </c>
      <c r="K243" s="3" t="s">
        <v>63</v>
      </c>
      <c r="L243" s="2" t="s">
        <v>2145</v>
      </c>
      <c r="M243" s="2" t="s">
        <v>2146</v>
      </c>
      <c r="N243" s="3" t="s">
        <v>116</v>
      </c>
      <c r="P243" s="3" t="s">
        <v>65</v>
      </c>
      <c r="Q243" s="2" t="s">
        <v>2147</v>
      </c>
      <c r="R243" s="3" t="s">
        <v>66</v>
      </c>
      <c r="S243" s="4">
        <v>5</v>
      </c>
      <c r="T243" s="4">
        <v>5</v>
      </c>
      <c r="W243" s="5" t="s">
        <v>67</v>
      </c>
      <c r="X243" s="5" t="s">
        <v>67</v>
      </c>
      <c r="Y243" s="4">
        <v>105</v>
      </c>
      <c r="Z243" s="4">
        <v>13</v>
      </c>
      <c r="AA243" s="4">
        <v>103</v>
      </c>
      <c r="AB243" s="4">
        <v>1</v>
      </c>
      <c r="AC243" s="4">
        <v>18</v>
      </c>
      <c r="AD243" s="4">
        <v>45</v>
      </c>
      <c r="AE243" s="4">
        <v>118</v>
      </c>
      <c r="AF243" s="4">
        <v>0</v>
      </c>
      <c r="AG243" s="4">
        <v>8</v>
      </c>
      <c r="AH243" s="4">
        <v>39</v>
      </c>
      <c r="AI243" s="4">
        <v>81</v>
      </c>
      <c r="AJ243" s="4">
        <v>9</v>
      </c>
      <c r="AK243" s="4">
        <v>22</v>
      </c>
      <c r="AL243" s="4">
        <v>22</v>
      </c>
      <c r="AM243" s="4">
        <v>41</v>
      </c>
      <c r="AN243" s="4">
        <v>0</v>
      </c>
      <c r="AO243" s="4">
        <v>0</v>
      </c>
      <c r="AP243" s="4">
        <v>11</v>
      </c>
      <c r="AQ243" s="4">
        <v>45</v>
      </c>
      <c r="AR243" s="3" t="s">
        <v>62</v>
      </c>
      <c r="AS243" s="3" t="s">
        <v>62</v>
      </c>
      <c r="AT243" s="3" t="s">
        <v>62</v>
      </c>
      <c r="AV243" s="6" t="str">
        <f>HYPERLINK("http://mcgill.on.worldcat.org/oclc/847833667","Catalog Record")</f>
        <v>Catalog Record</v>
      </c>
      <c r="AW243" s="6" t="str">
        <f>HYPERLINK("http://www.worldcat.org/oclc/847833667","WorldCat Record")</f>
        <v>WorldCat Record</v>
      </c>
      <c r="AX243" s="3" t="s">
        <v>2148</v>
      </c>
      <c r="AY243" s="3" t="s">
        <v>2149</v>
      </c>
      <c r="AZ243" s="3" t="s">
        <v>2150</v>
      </c>
      <c r="BA243" s="3" t="s">
        <v>2150</v>
      </c>
      <c r="BB243" s="3" t="s">
        <v>2151</v>
      </c>
      <c r="BC243" s="3" t="s">
        <v>142</v>
      </c>
      <c r="BD243" s="3" t="s">
        <v>308</v>
      </c>
      <c r="BE243" s="3" t="s">
        <v>2152</v>
      </c>
      <c r="BF243" s="3" t="s">
        <v>2151</v>
      </c>
      <c r="BG243" s="3" t="s">
        <v>2153</v>
      </c>
    </row>
    <row r="244" spans="1:59" ht="57" x14ac:dyDescent="0.45">
      <c r="A244" s="2" t="s">
        <v>59</v>
      </c>
      <c r="B244" s="2" t="s">
        <v>60</v>
      </c>
      <c r="C244" s="2" t="s">
        <v>2154</v>
      </c>
      <c r="D244" s="2" t="s">
        <v>2155</v>
      </c>
      <c r="E244" s="2" t="s">
        <v>2156</v>
      </c>
      <c r="G244" s="3" t="s">
        <v>62</v>
      </c>
      <c r="I244" s="3" t="s">
        <v>62</v>
      </c>
      <c r="J244" s="3" t="s">
        <v>62</v>
      </c>
      <c r="K244" s="3" t="s">
        <v>63</v>
      </c>
      <c r="L244" s="2" t="s">
        <v>2157</v>
      </c>
      <c r="M244" s="2" t="s">
        <v>2158</v>
      </c>
      <c r="N244" s="3" t="s">
        <v>894</v>
      </c>
      <c r="P244" s="3" t="s">
        <v>65</v>
      </c>
      <c r="Q244" s="2" t="s">
        <v>2159</v>
      </c>
      <c r="R244" s="3" t="s">
        <v>66</v>
      </c>
      <c r="S244" s="4">
        <v>6</v>
      </c>
      <c r="T244" s="4">
        <v>6</v>
      </c>
      <c r="U244" s="5" t="s">
        <v>2160</v>
      </c>
      <c r="V244" s="5" t="s">
        <v>2160</v>
      </c>
      <c r="W244" s="5" t="s">
        <v>67</v>
      </c>
      <c r="X244" s="5" t="s">
        <v>67</v>
      </c>
      <c r="Y244" s="4">
        <v>135</v>
      </c>
      <c r="Z244" s="4">
        <v>15</v>
      </c>
      <c r="AA244" s="4">
        <v>20</v>
      </c>
      <c r="AB244" s="4">
        <v>2</v>
      </c>
      <c r="AC244" s="4">
        <v>6</v>
      </c>
      <c r="AD244" s="4">
        <v>36</v>
      </c>
      <c r="AE244" s="4">
        <v>42</v>
      </c>
      <c r="AF244" s="4">
        <v>1</v>
      </c>
      <c r="AG244" s="4">
        <v>2</v>
      </c>
      <c r="AH244" s="4">
        <v>30</v>
      </c>
      <c r="AI244" s="4">
        <v>34</v>
      </c>
      <c r="AJ244" s="4">
        <v>8</v>
      </c>
      <c r="AK244" s="4">
        <v>10</v>
      </c>
      <c r="AL244" s="4">
        <v>18</v>
      </c>
      <c r="AM244" s="4">
        <v>22</v>
      </c>
      <c r="AN244" s="4">
        <v>0</v>
      </c>
      <c r="AO244" s="4">
        <v>0</v>
      </c>
      <c r="AP244" s="4">
        <v>9</v>
      </c>
      <c r="AQ244" s="4">
        <v>11</v>
      </c>
      <c r="AR244" s="3" t="s">
        <v>62</v>
      </c>
      <c r="AS244" s="3" t="s">
        <v>62</v>
      </c>
      <c r="AT244" s="3" t="s">
        <v>62</v>
      </c>
      <c r="AV244" s="6" t="str">
        <f>HYPERLINK("http://mcgill.on.worldcat.org/oclc/502304823","Catalog Record")</f>
        <v>Catalog Record</v>
      </c>
      <c r="AW244" s="6" t="str">
        <f>HYPERLINK("http://www.worldcat.org/oclc/502304823","WorldCat Record")</f>
        <v>WorldCat Record</v>
      </c>
      <c r="AX244" s="3" t="s">
        <v>2161</v>
      </c>
      <c r="AY244" s="3" t="s">
        <v>2162</v>
      </c>
      <c r="AZ244" s="3" t="s">
        <v>2163</v>
      </c>
      <c r="BA244" s="3" t="s">
        <v>2163</v>
      </c>
      <c r="BB244" s="3" t="s">
        <v>2164</v>
      </c>
      <c r="BC244" s="3" t="s">
        <v>142</v>
      </c>
      <c r="BD244" s="3" t="s">
        <v>68</v>
      </c>
      <c r="BE244" s="3" t="s">
        <v>2165</v>
      </c>
      <c r="BF244" s="3" t="s">
        <v>2164</v>
      </c>
      <c r="BG244" s="3" t="s">
        <v>2166</v>
      </c>
    </row>
    <row r="245" spans="1:59" ht="57" x14ac:dyDescent="0.45">
      <c r="A245" s="2" t="s">
        <v>59</v>
      </c>
      <c r="B245" s="2" t="s">
        <v>60</v>
      </c>
      <c r="C245" s="2" t="s">
        <v>2167</v>
      </c>
      <c r="D245" s="2" t="s">
        <v>2168</v>
      </c>
      <c r="E245" s="2" t="s">
        <v>2169</v>
      </c>
      <c r="G245" s="3" t="s">
        <v>62</v>
      </c>
      <c r="I245" s="3" t="s">
        <v>61</v>
      </c>
      <c r="J245" s="3" t="s">
        <v>62</v>
      </c>
      <c r="K245" s="3" t="s">
        <v>63</v>
      </c>
      <c r="L245" s="2" t="s">
        <v>2170</v>
      </c>
      <c r="M245" s="2" t="s">
        <v>2171</v>
      </c>
      <c r="N245" s="3" t="s">
        <v>555</v>
      </c>
      <c r="P245" s="3" t="s">
        <v>65</v>
      </c>
      <c r="Q245" s="2" t="s">
        <v>2172</v>
      </c>
      <c r="R245" s="3" t="s">
        <v>66</v>
      </c>
      <c r="S245" s="4">
        <v>3</v>
      </c>
      <c r="T245" s="4">
        <v>3</v>
      </c>
      <c r="U245" s="5" t="s">
        <v>2173</v>
      </c>
      <c r="V245" s="5" t="s">
        <v>2173</v>
      </c>
      <c r="W245" s="5" t="s">
        <v>67</v>
      </c>
      <c r="X245" s="5" t="s">
        <v>67</v>
      </c>
      <c r="Y245" s="4">
        <v>384</v>
      </c>
      <c r="Z245" s="4">
        <v>32</v>
      </c>
      <c r="AA245" s="4">
        <v>88</v>
      </c>
      <c r="AB245" s="4">
        <v>2</v>
      </c>
      <c r="AC245" s="4">
        <v>14</v>
      </c>
      <c r="AD245" s="4">
        <v>119</v>
      </c>
      <c r="AE245" s="4">
        <v>149</v>
      </c>
      <c r="AF245" s="4">
        <v>1</v>
      </c>
      <c r="AG245" s="4">
        <v>8</v>
      </c>
      <c r="AH245" s="4">
        <v>100</v>
      </c>
      <c r="AI245" s="4">
        <v>110</v>
      </c>
      <c r="AJ245" s="4">
        <v>20</v>
      </c>
      <c r="AK245" s="4">
        <v>27</v>
      </c>
      <c r="AL245" s="4">
        <v>58</v>
      </c>
      <c r="AM245" s="4">
        <v>60</v>
      </c>
      <c r="AN245" s="4">
        <v>0</v>
      </c>
      <c r="AO245" s="4">
        <v>0</v>
      </c>
      <c r="AP245" s="4">
        <v>27</v>
      </c>
      <c r="AQ245" s="4">
        <v>48</v>
      </c>
      <c r="AR245" s="3" t="s">
        <v>62</v>
      </c>
      <c r="AS245" s="3" t="s">
        <v>62</v>
      </c>
      <c r="AT245" s="3" t="s">
        <v>62</v>
      </c>
      <c r="AV245" s="6" t="str">
        <f>HYPERLINK("http://mcgill.on.worldcat.org/oclc/1009093","Catalog Record")</f>
        <v>Catalog Record</v>
      </c>
      <c r="AW245" s="6" t="str">
        <f>HYPERLINK("http://www.worldcat.org/oclc/1009093","WorldCat Record")</f>
        <v>WorldCat Record</v>
      </c>
      <c r="AX245" s="3" t="s">
        <v>2174</v>
      </c>
      <c r="AY245" s="3" t="s">
        <v>2175</v>
      </c>
      <c r="AZ245" s="3" t="s">
        <v>2176</v>
      </c>
      <c r="BA245" s="3" t="s">
        <v>2176</v>
      </c>
      <c r="BB245" s="3" t="s">
        <v>2177</v>
      </c>
      <c r="BC245" s="3" t="s">
        <v>142</v>
      </c>
      <c r="BD245" s="3" t="s">
        <v>68</v>
      </c>
      <c r="BE245" s="3" t="s">
        <v>2178</v>
      </c>
      <c r="BF245" s="3" t="s">
        <v>2177</v>
      </c>
      <c r="BG245" s="3" t="s">
        <v>2179</v>
      </c>
    </row>
    <row r="246" spans="1:59" ht="57" x14ac:dyDescent="0.45">
      <c r="A246" s="2" t="s">
        <v>59</v>
      </c>
      <c r="B246" s="2" t="s">
        <v>60</v>
      </c>
      <c r="C246" s="2" t="s">
        <v>2167</v>
      </c>
      <c r="D246" s="2" t="s">
        <v>2168</v>
      </c>
      <c r="E246" s="2" t="s">
        <v>2169</v>
      </c>
      <c r="G246" s="3" t="s">
        <v>62</v>
      </c>
      <c r="I246" s="3" t="s">
        <v>61</v>
      </c>
      <c r="J246" s="3" t="s">
        <v>62</v>
      </c>
      <c r="K246" s="3" t="s">
        <v>63</v>
      </c>
      <c r="L246" s="2" t="s">
        <v>2170</v>
      </c>
      <c r="M246" s="2" t="s">
        <v>2171</v>
      </c>
      <c r="N246" s="3" t="s">
        <v>555</v>
      </c>
      <c r="P246" s="3" t="s">
        <v>65</v>
      </c>
      <c r="Q246" s="2" t="s">
        <v>2172</v>
      </c>
      <c r="R246" s="3" t="s">
        <v>66</v>
      </c>
      <c r="S246" s="4">
        <v>0</v>
      </c>
      <c r="T246" s="4">
        <v>3</v>
      </c>
      <c r="V246" s="5" t="s">
        <v>2173</v>
      </c>
      <c r="W246" s="5" t="s">
        <v>67</v>
      </c>
      <c r="X246" s="5" t="s">
        <v>67</v>
      </c>
      <c r="Y246" s="4">
        <v>384</v>
      </c>
      <c r="Z246" s="4">
        <v>32</v>
      </c>
      <c r="AA246" s="4">
        <v>88</v>
      </c>
      <c r="AB246" s="4">
        <v>2</v>
      </c>
      <c r="AC246" s="4">
        <v>14</v>
      </c>
      <c r="AD246" s="4">
        <v>119</v>
      </c>
      <c r="AE246" s="4">
        <v>149</v>
      </c>
      <c r="AF246" s="4">
        <v>1</v>
      </c>
      <c r="AG246" s="4">
        <v>8</v>
      </c>
      <c r="AH246" s="4">
        <v>100</v>
      </c>
      <c r="AI246" s="4">
        <v>110</v>
      </c>
      <c r="AJ246" s="4">
        <v>20</v>
      </c>
      <c r="AK246" s="4">
        <v>27</v>
      </c>
      <c r="AL246" s="4">
        <v>58</v>
      </c>
      <c r="AM246" s="4">
        <v>60</v>
      </c>
      <c r="AN246" s="4">
        <v>0</v>
      </c>
      <c r="AO246" s="4">
        <v>0</v>
      </c>
      <c r="AP246" s="4">
        <v>27</v>
      </c>
      <c r="AQ246" s="4">
        <v>48</v>
      </c>
      <c r="AR246" s="3" t="s">
        <v>62</v>
      </c>
      <c r="AS246" s="3" t="s">
        <v>62</v>
      </c>
      <c r="AT246" s="3" t="s">
        <v>62</v>
      </c>
      <c r="AV246" s="6" t="str">
        <f>HYPERLINK("http://mcgill.on.worldcat.org/oclc/1009093","Catalog Record")</f>
        <v>Catalog Record</v>
      </c>
      <c r="AW246" s="6" t="str">
        <f>HYPERLINK("http://www.worldcat.org/oclc/1009093","WorldCat Record")</f>
        <v>WorldCat Record</v>
      </c>
      <c r="AX246" s="3" t="s">
        <v>2174</v>
      </c>
      <c r="AY246" s="3" t="s">
        <v>2175</v>
      </c>
      <c r="AZ246" s="3" t="s">
        <v>2176</v>
      </c>
      <c r="BA246" s="3" t="s">
        <v>2176</v>
      </c>
      <c r="BB246" s="3" t="s">
        <v>2180</v>
      </c>
      <c r="BC246" s="3" t="s">
        <v>142</v>
      </c>
      <c r="BD246" s="3" t="s">
        <v>68</v>
      </c>
      <c r="BE246" s="3" t="s">
        <v>2178</v>
      </c>
      <c r="BF246" s="3" t="s">
        <v>2180</v>
      </c>
      <c r="BG246" s="3" t="s">
        <v>2181</v>
      </c>
    </row>
    <row r="247" spans="1:59" ht="57" x14ac:dyDescent="0.45">
      <c r="A247" s="2" t="s">
        <v>59</v>
      </c>
      <c r="B247" s="2" t="s">
        <v>60</v>
      </c>
      <c r="C247" s="2" t="s">
        <v>2182</v>
      </c>
      <c r="D247" s="2" t="s">
        <v>2183</v>
      </c>
      <c r="E247" s="2" t="s">
        <v>2184</v>
      </c>
      <c r="G247" s="3" t="s">
        <v>62</v>
      </c>
      <c r="I247" s="3" t="s">
        <v>61</v>
      </c>
      <c r="J247" s="3" t="s">
        <v>62</v>
      </c>
      <c r="K247" s="3" t="s">
        <v>63</v>
      </c>
      <c r="L247" s="2" t="s">
        <v>2185</v>
      </c>
      <c r="M247" s="2" t="s">
        <v>2186</v>
      </c>
      <c r="N247" s="3" t="s">
        <v>495</v>
      </c>
      <c r="P247" s="3" t="s">
        <v>65</v>
      </c>
      <c r="R247" s="3" t="s">
        <v>66</v>
      </c>
      <c r="S247" s="4">
        <v>1</v>
      </c>
      <c r="T247" s="4">
        <v>3</v>
      </c>
      <c r="U247" s="5" t="s">
        <v>2121</v>
      </c>
      <c r="V247" s="5" t="s">
        <v>2121</v>
      </c>
      <c r="W247" s="5" t="s">
        <v>67</v>
      </c>
      <c r="X247" s="5" t="s">
        <v>67</v>
      </c>
      <c r="Y247" s="4">
        <v>592</v>
      </c>
      <c r="Z247" s="4">
        <v>36</v>
      </c>
      <c r="AA247" s="4">
        <v>43</v>
      </c>
      <c r="AB247" s="4">
        <v>2</v>
      </c>
      <c r="AC247" s="4">
        <v>8</v>
      </c>
      <c r="AD247" s="4">
        <v>125</v>
      </c>
      <c r="AE247" s="4">
        <v>129</v>
      </c>
      <c r="AF247" s="4">
        <v>1</v>
      </c>
      <c r="AG247" s="4">
        <v>3</v>
      </c>
      <c r="AH247" s="4">
        <v>103</v>
      </c>
      <c r="AI247" s="4">
        <v>105</v>
      </c>
      <c r="AJ247" s="4">
        <v>18</v>
      </c>
      <c r="AK247" s="4">
        <v>21</v>
      </c>
      <c r="AL247" s="4">
        <v>56</v>
      </c>
      <c r="AM247" s="4">
        <v>56</v>
      </c>
      <c r="AN247" s="4">
        <v>0</v>
      </c>
      <c r="AO247" s="4">
        <v>0</v>
      </c>
      <c r="AP247" s="4">
        <v>29</v>
      </c>
      <c r="AQ247" s="4">
        <v>32</v>
      </c>
      <c r="AR247" s="3" t="s">
        <v>62</v>
      </c>
      <c r="AS247" s="3" t="s">
        <v>62</v>
      </c>
      <c r="AT247" s="3" t="s">
        <v>61</v>
      </c>
      <c r="AU247" s="6" t="str">
        <f>HYPERLINK("http://catalog.hathitrust.org/Record/000043754","HathiTrust Record")</f>
        <v>HathiTrust Record</v>
      </c>
      <c r="AV247" s="6" t="str">
        <f>HYPERLINK("http://mcgill.on.worldcat.org/oclc/1195923","Catalog Record")</f>
        <v>Catalog Record</v>
      </c>
      <c r="AW247" s="6" t="str">
        <f>HYPERLINK("http://www.worldcat.org/oclc/1195923","WorldCat Record")</f>
        <v>WorldCat Record</v>
      </c>
      <c r="AX247" s="3" t="s">
        <v>2187</v>
      </c>
      <c r="AY247" s="3" t="s">
        <v>2188</v>
      </c>
      <c r="AZ247" s="3" t="s">
        <v>2189</v>
      </c>
      <c r="BA247" s="3" t="s">
        <v>2189</v>
      </c>
      <c r="BB247" s="3" t="s">
        <v>2190</v>
      </c>
      <c r="BC247" s="3" t="s">
        <v>142</v>
      </c>
      <c r="BD247" s="3" t="s">
        <v>68</v>
      </c>
      <c r="BE247" s="3" t="s">
        <v>2191</v>
      </c>
      <c r="BF247" s="3" t="s">
        <v>2190</v>
      </c>
      <c r="BG247" s="3" t="s">
        <v>2192</v>
      </c>
    </row>
    <row r="248" spans="1:59" ht="57" x14ac:dyDescent="0.45">
      <c r="A248" s="2" t="s">
        <v>59</v>
      </c>
      <c r="B248" s="2" t="s">
        <v>60</v>
      </c>
      <c r="C248" s="2" t="s">
        <v>2182</v>
      </c>
      <c r="D248" s="2" t="s">
        <v>2183</v>
      </c>
      <c r="E248" s="2" t="s">
        <v>2184</v>
      </c>
      <c r="G248" s="3" t="s">
        <v>62</v>
      </c>
      <c r="I248" s="3" t="s">
        <v>61</v>
      </c>
      <c r="J248" s="3" t="s">
        <v>62</v>
      </c>
      <c r="K248" s="3" t="s">
        <v>63</v>
      </c>
      <c r="L248" s="2" t="s">
        <v>2185</v>
      </c>
      <c r="M248" s="2" t="s">
        <v>2186</v>
      </c>
      <c r="N248" s="3" t="s">
        <v>495</v>
      </c>
      <c r="P248" s="3" t="s">
        <v>65</v>
      </c>
      <c r="R248" s="3" t="s">
        <v>66</v>
      </c>
      <c r="S248" s="4">
        <v>0</v>
      </c>
      <c r="T248" s="4">
        <v>3</v>
      </c>
      <c r="V248" s="5" t="s">
        <v>2121</v>
      </c>
      <c r="W248" s="5" t="s">
        <v>67</v>
      </c>
      <c r="X248" s="5" t="s">
        <v>67</v>
      </c>
      <c r="Y248" s="4">
        <v>592</v>
      </c>
      <c r="Z248" s="4">
        <v>36</v>
      </c>
      <c r="AA248" s="4">
        <v>43</v>
      </c>
      <c r="AB248" s="4">
        <v>2</v>
      </c>
      <c r="AC248" s="4">
        <v>8</v>
      </c>
      <c r="AD248" s="4">
        <v>125</v>
      </c>
      <c r="AE248" s="4">
        <v>129</v>
      </c>
      <c r="AF248" s="4">
        <v>1</v>
      </c>
      <c r="AG248" s="4">
        <v>3</v>
      </c>
      <c r="AH248" s="4">
        <v>103</v>
      </c>
      <c r="AI248" s="4">
        <v>105</v>
      </c>
      <c r="AJ248" s="4">
        <v>18</v>
      </c>
      <c r="AK248" s="4">
        <v>21</v>
      </c>
      <c r="AL248" s="4">
        <v>56</v>
      </c>
      <c r="AM248" s="4">
        <v>56</v>
      </c>
      <c r="AN248" s="4">
        <v>0</v>
      </c>
      <c r="AO248" s="4">
        <v>0</v>
      </c>
      <c r="AP248" s="4">
        <v>29</v>
      </c>
      <c r="AQ248" s="4">
        <v>32</v>
      </c>
      <c r="AR248" s="3" t="s">
        <v>62</v>
      </c>
      <c r="AS248" s="3" t="s">
        <v>62</v>
      </c>
      <c r="AT248" s="3" t="s">
        <v>61</v>
      </c>
      <c r="AU248" s="6" t="str">
        <f>HYPERLINK("http://catalog.hathitrust.org/Record/000043754","HathiTrust Record")</f>
        <v>HathiTrust Record</v>
      </c>
      <c r="AV248" s="6" t="str">
        <f>HYPERLINK("http://mcgill.on.worldcat.org/oclc/1195923","Catalog Record")</f>
        <v>Catalog Record</v>
      </c>
      <c r="AW248" s="6" t="str">
        <f>HYPERLINK("http://www.worldcat.org/oclc/1195923","WorldCat Record")</f>
        <v>WorldCat Record</v>
      </c>
      <c r="AX248" s="3" t="s">
        <v>2187</v>
      </c>
      <c r="AY248" s="3" t="s">
        <v>2188</v>
      </c>
      <c r="AZ248" s="3" t="s">
        <v>2189</v>
      </c>
      <c r="BA248" s="3" t="s">
        <v>2189</v>
      </c>
      <c r="BB248" s="3" t="s">
        <v>2193</v>
      </c>
      <c r="BC248" s="3" t="s">
        <v>142</v>
      </c>
      <c r="BD248" s="3" t="s">
        <v>68</v>
      </c>
      <c r="BE248" s="3" t="s">
        <v>2191</v>
      </c>
      <c r="BF248" s="3" t="s">
        <v>2193</v>
      </c>
      <c r="BG248" s="3" t="s">
        <v>2194</v>
      </c>
    </row>
    <row r="249" spans="1:59" ht="57" x14ac:dyDescent="0.45">
      <c r="A249" s="2" t="s">
        <v>59</v>
      </c>
      <c r="B249" s="2" t="s">
        <v>60</v>
      </c>
      <c r="C249" s="2" t="s">
        <v>2182</v>
      </c>
      <c r="D249" s="2" t="s">
        <v>2183</v>
      </c>
      <c r="E249" s="2" t="s">
        <v>2184</v>
      </c>
      <c r="G249" s="3" t="s">
        <v>62</v>
      </c>
      <c r="I249" s="3" t="s">
        <v>61</v>
      </c>
      <c r="J249" s="3" t="s">
        <v>62</v>
      </c>
      <c r="K249" s="3" t="s">
        <v>63</v>
      </c>
      <c r="L249" s="2" t="s">
        <v>2185</v>
      </c>
      <c r="M249" s="2" t="s">
        <v>2186</v>
      </c>
      <c r="N249" s="3" t="s">
        <v>495</v>
      </c>
      <c r="P249" s="3" t="s">
        <v>65</v>
      </c>
      <c r="R249" s="3" t="s">
        <v>66</v>
      </c>
      <c r="S249" s="4">
        <v>2</v>
      </c>
      <c r="T249" s="4">
        <v>3</v>
      </c>
      <c r="U249" s="5" t="s">
        <v>2195</v>
      </c>
      <c r="V249" s="5" t="s">
        <v>2121</v>
      </c>
      <c r="W249" s="5" t="s">
        <v>67</v>
      </c>
      <c r="X249" s="5" t="s">
        <v>67</v>
      </c>
      <c r="Y249" s="4">
        <v>592</v>
      </c>
      <c r="Z249" s="4">
        <v>36</v>
      </c>
      <c r="AA249" s="4">
        <v>43</v>
      </c>
      <c r="AB249" s="4">
        <v>2</v>
      </c>
      <c r="AC249" s="4">
        <v>8</v>
      </c>
      <c r="AD249" s="4">
        <v>125</v>
      </c>
      <c r="AE249" s="4">
        <v>129</v>
      </c>
      <c r="AF249" s="4">
        <v>1</v>
      </c>
      <c r="AG249" s="4">
        <v>3</v>
      </c>
      <c r="AH249" s="4">
        <v>103</v>
      </c>
      <c r="AI249" s="4">
        <v>105</v>
      </c>
      <c r="AJ249" s="4">
        <v>18</v>
      </c>
      <c r="AK249" s="4">
        <v>21</v>
      </c>
      <c r="AL249" s="4">
        <v>56</v>
      </c>
      <c r="AM249" s="4">
        <v>56</v>
      </c>
      <c r="AN249" s="4">
        <v>0</v>
      </c>
      <c r="AO249" s="4">
        <v>0</v>
      </c>
      <c r="AP249" s="4">
        <v>29</v>
      </c>
      <c r="AQ249" s="4">
        <v>32</v>
      </c>
      <c r="AR249" s="3" t="s">
        <v>62</v>
      </c>
      <c r="AS249" s="3" t="s">
        <v>62</v>
      </c>
      <c r="AT249" s="3" t="s">
        <v>61</v>
      </c>
      <c r="AU249" s="6" t="str">
        <f>HYPERLINK("http://catalog.hathitrust.org/Record/000043754","HathiTrust Record")</f>
        <v>HathiTrust Record</v>
      </c>
      <c r="AV249" s="6" t="str">
        <f>HYPERLINK("http://mcgill.on.worldcat.org/oclc/1195923","Catalog Record")</f>
        <v>Catalog Record</v>
      </c>
      <c r="AW249" s="6" t="str">
        <f>HYPERLINK("http://www.worldcat.org/oclc/1195923","WorldCat Record")</f>
        <v>WorldCat Record</v>
      </c>
      <c r="AX249" s="3" t="s">
        <v>2187</v>
      </c>
      <c r="AY249" s="3" t="s">
        <v>2188</v>
      </c>
      <c r="AZ249" s="3" t="s">
        <v>2189</v>
      </c>
      <c r="BA249" s="3" t="s">
        <v>2189</v>
      </c>
      <c r="BB249" s="3" t="s">
        <v>2196</v>
      </c>
      <c r="BC249" s="3" t="s">
        <v>142</v>
      </c>
      <c r="BD249" s="3" t="s">
        <v>68</v>
      </c>
      <c r="BE249" s="3" t="s">
        <v>2191</v>
      </c>
      <c r="BF249" s="3" t="s">
        <v>2196</v>
      </c>
      <c r="BG249" s="3" t="s">
        <v>2197</v>
      </c>
    </row>
    <row r="250" spans="1:59" ht="57" x14ac:dyDescent="0.45">
      <c r="A250" s="2" t="s">
        <v>59</v>
      </c>
      <c r="B250" s="2" t="s">
        <v>60</v>
      </c>
      <c r="C250" s="2" t="s">
        <v>2198</v>
      </c>
      <c r="D250" s="2" t="s">
        <v>2199</v>
      </c>
      <c r="E250" s="2" t="s">
        <v>2200</v>
      </c>
      <c r="G250" s="3" t="s">
        <v>62</v>
      </c>
      <c r="I250" s="3" t="s">
        <v>61</v>
      </c>
      <c r="J250" s="3" t="s">
        <v>62</v>
      </c>
      <c r="K250" s="3" t="s">
        <v>63</v>
      </c>
      <c r="M250" s="2" t="s">
        <v>2201</v>
      </c>
      <c r="N250" s="3" t="s">
        <v>157</v>
      </c>
      <c r="P250" s="3" t="s">
        <v>65</v>
      </c>
      <c r="R250" s="3" t="s">
        <v>66</v>
      </c>
      <c r="S250" s="4">
        <v>0</v>
      </c>
      <c r="T250" s="4">
        <v>13</v>
      </c>
      <c r="V250" s="5" t="s">
        <v>2202</v>
      </c>
      <c r="W250" s="5" t="s">
        <v>67</v>
      </c>
      <c r="X250" s="5" t="s">
        <v>67</v>
      </c>
      <c r="Y250" s="4">
        <v>542</v>
      </c>
      <c r="Z250" s="4">
        <v>34</v>
      </c>
      <c r="AA250" s="4">
        <v>42</v>
      </c>
      <c r="AB250" s="4">
        <v>3</v>
      </c>
      <c r="AC250" s="4">
        <v>11</v>
      </c>
      <c r="AD250" s="4">
        <v>128</v>
      </c>
      <c r="AE250" s="4">
        <v>132</v>
      </c>
      <c r="AF250" s="4">
        <v>2</v>
      </c>
      <c r="AG250" s="4">
        <v>6</v>
      </c>
      <c r="AH250" s="4">
        <v>105</v>
      </c>
      <c r="AI250" s="4">
        <v>106</v>
      </c>
      <c r="AJ250" s="4">
        <v>20</v>
      </c>
      <c r="AK250" s="4">
        <v>24</v>
      </c>
      <c r="AL250" s="4">
        <v>59</v>
      </c>
      <c r="AM250" s="4">
        <v>59</v>
      </c>
      <c r="AN250" s="4">
        <v>0</v>
      </c>
      <c r="AO250" s="4">
        <v>0</v>
      </c>
      <c r="AP250" s="4">
        <v>29</v>
      </c>
      <c r="AQ250" s="4">
        <v>32</v>
      </c>
      <c r="AR250" s="3" t="s">
        <v>62</v>
      </c>
      <c r="AS250" s="3" t="s">
        <v>62</v>
      </c>
      <c r="AT250" s="3" t="s">
        <v>61</v>
      </c>
      <c r="AU250" s="6" t="str">
        <f>HYPERLINK("http://catalog.hathitrust.org/Record/000261956","HathiTrust Record")</f>
        <v>HathiTrust Record</v>
      </c>
      <c r="AV250" s="6" t="str">
        <f>HYPERLINK("http://mcgill.on.worldcat.org/oclc/7672352","Catalog Record")</f>
        <v>Catalog Record</v>
      </c>
      <c r="AW250" s="6" t="str">
        <f>HYPERLINK("http://www.worldcat.org/oclc/7672352","WorldCat Record")</f>
        <v>WorldCat Record</v>
      </c>
      <c r="AX250" s="3" t="s">
        <v>2203</v>
      </c>
      <c r="AY250" s="3" t="s">
        <v>2204</v>
      </c>
      <c r="AZ250" s="3" t="s">
        <v>2205</v>
      </c>
      <c r="BA250" s="3" t="s">
        <v>2205</v>
      </c>
      <c r="BB250" s="3" t="s">
        <v>2206</v>
      </c>
      <c r="BC250" s="3" t="s">
        <v>142</v>
      </c>
      <c r="BD250" s="3" t="s">
        <v>68</v>
      </c>
      <c r="BE250" s="3" t="s">
        <v>2207</v>
      </c>
      <c r="BF250" s="3" t="s">
        <v>2206</v>
      </c>
      <c r="BG250" s="3" t="s">
        <v>2208</v>
      </c>
    </row>
    <row r="251" spans="1:59" ht="57" x14ac:dyDescent="0.45">
      <c r="A251" s="2" t="s">
        <v>59</v>
      </c>
      <c r="B251" s="2" t="s">
        <v>60</v>
      </c>
      <c r="C251" s="2" t="s">
        <v>2198</v>
      </c>
      <c r="D251" s="2" t="s">
        <v>2199</v>
      </c>
      <c r="E251" s="2" t="s">
        <v>2200</v>
      </c>
      <c r="G251" s="3" t="s">
        <v>62</v>
      </c>
      <c r="I251" s="3" t="s">
        <v>61</v>
      </c>
      <c r="J251" s="3" t="s">
        <v>62</v>
      </c>
      <c r="K251" s="3" t="s">
        <v>63</v>
      </c>
      <c r="M251" s="2" t="s">
        <v>2201</v>
      </c>
      <c r="N251" s="3" t="s">
        <v>157</v>
      </c>
      <c r="P251" s="3" t="s">
        <v>65</v>
      </c>
      <c r="R251" s="3" t="s">
        <v>66</v>
      </c>
      <c r="S251" s="4">
        <v>13</v>
      </c>
      <c r="T251" s="4">
        <v>13</v>
      </c>
      <c r="U251" s="5" t="s">
        <v>2202</v>
      </c>
      <c r="V251" s="5" t="s">
        <v>2202</v>
      </c>
      <c r="W251" s="5" t="s">
        <v>67</v>
      </c>
      <c r="X251" s="5" t="s">
        <v>67</v>
      </c>
      <c r="Y251" s="4">
        <v>542</v>
      </c>
      <c r="Z251" s="4">
        <v>34</v>
      </c>
      <c r="AA251" s="4">
        <v>42</v>
      </c>
      <c r="AB251" s="4">
        <v>3</v>
      </c>
      <c r="AC251" s="4">
        <v>11</v>
      </c>
      <c r="AD251" s="4">
        <v>128</v>
      </c>
      <c r="AE251" s="4">
        <v>132</v>
      </c>
      <c r="AF251" s="4">
        <v>2</v>
      </c>
      <c r="AG251" s="4">
        <v>6</v>
      </c>
      <c r="AH251" s="4">
        <v>105</v>
      </c>
      <c r="AI251" s="4">
        <v>106</v>
      </c>
      <c r="AJ251" s="4">
        <v>20</v>
      </c>
      <c r="AK251" s="4">
        <v>24</v>
      </c>
      <c r="AL251" s="4">
        <v>59</v>
      </c>
      <c r="AM251" s="4">
        <v>59</v>
      </c>
      <c r="AN251" s="4">
        <v>0</v>
      </c>
      <c r="AO251" s="4">
        <v>0</v>
      </c>
      <c r="AP251" s="4">
        <v>29</v>
      </c>
      <c r="AQ251" s="4">
        <v>32</v>
      </c>
      <c r="AR251" s="3" t="s">
        <v>62</v>
      </c>
      <c r="AS251" s="3" t="s">
        <v>62</v>
      </c>
      <c r="AT251" s="3" t="s">
        <v>61</v>
      </c>
      <c r="AU251" s="6" t="str">
        <f>HYPERLINK("http://catalog.hathitrust.org/Record/000261956","HathiTrust Record")</f>
        <v>HathiTrust Record</v>
      </c>
      <c r="AV251" s="6" t="str">
        <f>HYPERLINK("http://mcgill.on.worldcat.org/oclc/7672352","Catalog Record")</f>
        <v>Catalog Record</v>
      </c>
      <c r="AW251" s="6" t="str">
        <f>HYPERLINK("http://www.worldcat.org/oclc/7672352","WorldCat Record")</f>
        <v>WorldCat Record</v>
      </c>
      <c r="AX251" s="3" t="s">
        <v>2203</v>
      </c>
      <c r="AY251" s="3" t="s">
        <v>2204</v>
      </c>
      <c r="AZ251" s="3" t="s">
        <v>2205</v>
      </c>
      <c r="BA251" s="3" t="s">
        <v>2205</v>
      </c>
      <c r="BB251" s="3" t="s">
        <v>2209</v>
      </c>
      <c r="BC251" s="3" t="s">
        <v>142</v>
      </c>
      <c r="BD251" s="3" t="s">
        <v>68</v>
      </c>
      <c r="BE251" s="3" t="s">
        <v>2207</v>
      </c>
      <c r="BF251" s="3" t="s">
        <v>2209</v>
      </c>
      <c r="BG251" s="3" t="s">
        <v>2210</v>
      </c>
    </row>
    <row r="252" spans="1:59" ht="57" x14ac:dyDescent="0.45">
      <c r="A252" s="2" t="s">
        <v>59</v>
      </c>
      <c r="B252" s="2" t="s">
        <v>60</v>
      </c>
      <c r="C252" s="2" t="s">
        <v>2211</v>
      </c>
      <c r="D252" s="2" t="s">
        <v>2212</v>
      </c>
      <c r="E252" s="2" t="s">
        <v>2213</v>
      </c>
      <c r="G252" s="3" t="s">
        <v>62</v>
      </c>
      <c r="I252" s="3" t="s">
        <v>62</v>
      </c>
      <c r="J252" s="3" t="s">
        <v>61</v>
      </c>
      <c r="K252" s="3" t="s">
        <v>63</v>
      </c>
      <c r="M252" s="2" t="s">
        <v>2214</v>
      </c>
      <c r="N252" s="3" t="s">
        <v>1604</v>
      </c>
      <c r="P252" s="3" t="s">
        <v>65</v>
      </c>
      <c r="R252" s="3" t="s">
        <v>66</v>
      </c>
      <c r="S252" s="4">
        <v>100</v>
      </c>
      <c r="T252" s="4">
        <v>100</v>
      </c>
      <c r="U252" s="5" t="s">
        <v>2202</v>
      </c>
      <c r="V252" s="5" t="s">
        <v>2202</v>
      </c>
      <c r="W252" s="5" t="s">
        <v>67</v>
      </c>
      <c r="X252" s="5" t="s">
        <v>67</v>
      </c>
      <c r="Y252" s="4">
        <v>452</v>
      </c>
      <c r="Z252" s="4">
        <v>32</v>
      </c>
      <c r="AA252" s="4">
        <v>94</v>
      </c>
      <c r="AB252" s="4">
        <v>2</v>
      </c>
      <c r="AC252" s="4">
        <v>15</v>
      </c>
      <c r="AD252" s="4">
        <v>116</v>
      </c>
      <c r="AE252" s="4">
        <v>153</v>
      </c>
      <c r="AF252" s="4">
        <v>1</v>
      </c>
      <c r="AG252" s="4">
        <v>8</v>
      </c>
      <c r="AH252" s="4">
        <v>98</v>
      </c>
      <c r="AI252" s="4">
        <v>110</v>
      </c>
      <c r="AJ252" s="4">
        <v>20</v>
      </c>
      <c r="AK252" s="4">
        <v>26</v>
      </c>
      <c r="AL252" s="4">
        <v>53</v>
      </c>
      <c r="AM252" s="4">
        <v>57</v>
      </c>
      <c r="AN252" s="4">
        <v>0</v>
      </c>
      <c r="AO252" s="4">
        <v>0</v>
      </c>
      <c r="AP252" s="4">
        <v>29</v>
      </c>
      <c r="AQ252" s="4">
        <v>53</v>
      </c>
      <c r="AR252" s="3" t="s">
        <v>62</v>
      </c>
      <c r="AS252" s="3" t="s">
        <v>62</v>
      </c>
      <c r="AT252" s="3" t="s">
        <v>61</v>
      </c>
      <c r="AU252" s="6" t="str">
        <f>HYPERLINK("http://catalog.hathitrust.org/Record/002903529","HathiTrust Record")</f>
        <v>HathiTrust Record</v>
      </c>
      <c r="AV252" s="6" t="str">
        <f>HYPERLINK("http://mcgill.on.worldcat.org/oclc/28722470","Catalog Record")</f>
        <v>Catalog Record</v>
      </c>
      <c r="AW252" s="6" t="str">
        <f>HYPERLINK("http://www.worldcat.org/oclc/28722470","WorldCat Record")</f>
        <v>WorldCat Record</v>
      </c>
      <c r="AX252" s="3" t="s">
        <v>2215</v>
      </c>
      <c r="AY252" s="3" t="s">
        <v>2216</v>
      </c>
      <c r="AZ252" s="3" t="s">
        <v>2217</v>
      </c>
      <c r="BA252" s="3" t="s">
        <v>2217</v>
      </c>
      <c r="BB252" s="3" t="s">
        <v>2218</v>
      </c>
      <c r="BC252" s="3" t="s">
        <v>142</v>
      </c>
      <c r="BD252" s="3" t="s">
        <v>68</v>
      </c>
      <c r="BE252" s="3" t="s">
        <v>2219</v>
      </c>
      <c r="BF252" s="3" t="s">
        <v>2218</v>
      </c>
      <c r="BG252" s="3" t="s">
        <v>2220</v>
      </c>
    </row>
    <row r="253" spans="1:59" ht="57" x14ac:dyDescent="0.45">
      <c r="A253" s="2" t="s">
        <v>59</v>
      </c>
      <c r="B253" s="2" t="s">
        <v>60</v>
      </c>
      <c r="C253" s="2" t="s">
        <v>2221</v>
      </c>
      <c r="D253" s="2" t="s">
        <v>2222</v>
      </c>
      <c r="E253" s="2" t="s">
        <v>2223</v>
      </c>
      <c r="G253" s="3" t="s">
        <v>62</v>
      </c>
      <c r="I253" s="3" t="s">
        <v>61</v>
      </c>
      <c r="J253" s="3" t="s">
        <v>62</v>
      </c>
      <c r="K253" s="3" t="s">
        <v>63</v>
      </c>
      <c r="M253" s="2" t="s">
        <v>2224</v>
      </c>
      <c r="N253" s="3" t="s">
        <v>495</v>
      </c>
      <c r="P253" s="3" t="s">
        <v>65</v>
      </c>
      <c r="R253" s="3" t="s">
        <v>66</v>
      </c>
      <c r="S253" s="4">
        <v>9</v>
      </c>
      <c r="T253" s="4">
        <v>27</v>
      </c>
      <c r="U253" s="5" t="s">
        <v>2225</v>
      </c>
      <c r="V253" s="5" t="s">
        <v>2226</v>
      </c>
      <c r="W253" s="5" t="s">
        <v>67</v>
      </c>
      <c r="X253" s="5" t="s">
        <v>67</v>
      </c>
      <c r="Y253" s="4">
        <v>695</v>
      </c>
      <c r="Z253" s="4">
        <v>45</v>
      </c>
      <c r="AA253" s="4">
        <v>48</v>
      </c>
      <c r="AB253" s="4">
        <v>3</v>
      </c>
      <c r="AC253" s="4">
        <v>3</v>
      </c>
      <c r="AD253" s="4">
        <v>126</v>
      </c>
      <c r="AE253" s="4">
        <v>128</v>
      </c>
      <c r="AF253" s="4">
        <v>2</v>
      </c>
      <c r="AG253" s="4">
        <v>2</v>
      </c>
      <c r="AH253" s="4">
        <v>100</v>
      </c>
      <c r="AI253" s="4">
        <v>101</v>
      </c>
      <c r="AJ253" s="4">
        <v>18</v>
      </c>
      <c r="AK253" s="4">
        <v>20</v>
      </c>
      <c r="AL253" s="4">
        <v>56</v>
      </c>
      <c r="AM253" s="4">
        <v>56</v>
      </c>
      <c r="AN253" s="4">
        <v>0</v>
      </c>
      <c r="AO253" s="4">
        <v>0</v>
      </c>
      <c r="AP253" s="4">
        <v>33</v>
      </c>
      <c r="AQ253" s="4">
        <v>35</v>
      </c>
      <c r="AR253" s="3" t="s">
        <v>62</v>
      </c>
      <c r="AS253" s="3" t="s">
        <v>62</v>
      </c>
      <c r="AT253" s="3" t="s">
        <v>62</v>
      </c>
      <c r="AV253" s="6" t="str">
        <f>HYPERLINK("http://mcgill.on.worldcat.org/oclc/1433015","Catalog Record")</f>
        <v>Catalog Record</v>
      </c>
      <c r="AW253" s="6" t="str">
        <f>HYPERLINK("http://www.worldcat.org/oclc/1433015","WorldCat Record")</f>
        <v>WorldCat Record</v>
      </c>
      <c r="AX253" s="3" t="s">
        <v>2227</v>
      </c>
      <c r="AY253" s="3" t="s">
        <v>2228</v>
      </c>
      <c r="AZ253" s="3" t="s">
        <v>2229</v>
      </c>
      <c r="BA253" s="3" t="s">
        <v>2229</v>
      </c>
      <c r="BB253" s="3" t="s">
        <v>2230</v>
      </c>
      <c r="BC253" s="3" t="s">
        <v>142</v>
      </c>
      <c r="BD253" s="3" t="s">
        <v>68</v>
      </c>
      <c r="BE253" s="3" t="s">
        <v>2231</v>
      </c>
      <c r="BF253" s="3" t="s">
        <v>2230</v>
      </c>
      <c r="BG253" s="3" t="s">
        <v>2232</v>
      </c>
    </row>
    <row r="254" spans="1:59" ht="57" x14ac:dyDescent="0.45">
      <c r="A254" s="2" t="s">
        <v>59</v>
      </c>
      <c r="B254" s="2" t="s">
        <v>60</v>
      </c>
      <c r="C254" s="2" t="s">
        <v>2221</v>
      </c>
      <c r="D254" s="2" t="s">
        <v>2222</v>
      </c>
      <c r="E254" s="2" t="s">
        <v>2223</v>
      </c>
      <c r="G254" s="3" t="s">
        <v>62</v>
      </c>
      <c r="I254" s="3" t="s">
        <v>61</v>
      </c>
      <c r="J254" s="3" t="s">
        <v>62</v>
      </c>
      <c r="K254" s="3" t="s">
        <v>63</v>
      </c>
      <c r="M254" s="2" t="s">
        <v>2224</v>
      </c>
      <c r="N254" s="3" t="s">
        <v>495</v>
      </c>
      <c r="P254" s="3" t="s">
        <v>65</v>
      </c>
      <c r="R254" s="3" t="s">
        <v>66</v>
      </c>
      <c r="S254" s="4">
        <v>11</v>
      </c>
      <c r="T254" s="4">
        <v>27</v>
      </c>
      <c r="U254" s="5" t="s">
        <v>2233</v>
      </c>
      <c r="V254" s="5" t="s">
        <v>2226</v>
      </c>
      <c r="W254" s="5" t="s">
        <v>67</v>
      </c>
      <c r="X254" s="5" t="s">
        <v>67</v>
      </c>
      <c r="Y254" s="4">
        <v>695</v>
      </c>
      <c r="Z254" s="4">
        <v>45</v>
      </c>
      <c r="AA254" s="4">
        <v>48</v>
      </c>
      <c r="AB254" s="4">
        <v>3</v>
      </c>
      <c r="AC254" s="4">
        <v>3</v>
      </c>
      <c r="AD254" s="4">
        <v>126</v>
      </c>
      <c r="AE254" s="4">
        <v>128</v>
      </c>
      <c r="AF254" s="4">
        <v>2</v>
      </c>
      <c r="AG254" s="4">
        <v>2</v>
      </c>
      <c r="AH254" s="4">
        <v>100</v>
      </c>
      <c r="AI254" s="4">
        <v>101</v>
      </c>
      <c r="AJ254" s="4">
        <v>18</v>
      </c>
      <c r="AK254" s="4">
        <v>20</v>
      </c>
      <c r="AL254" s="4">
        <v>56</v>
      </c>
      <c r="AM254" s="4">
        <v>56</v>
      </c>
      <c r="AN254" s="4">
        <v>0</v>
      </c>
      <c r="AO254" s="4">
        <v>0</v>
      </c>
      <c r="AP254" s="4">
        <v>33</v>
      </c>
      <c r="AQ254" s="4">
        <v>35</v>
      </c>
      <c r="AR254" s="3" t="s">
        <v>62</v>
      </c>
      <c r="AS254" s="3" t="s">
        <v>62</v>
      </c>
      <c r="AT254" s="3" t="s">
        <v>62</v>
      </c>
      <c r="AV254" s="6" t="str">
        <f>HYPERLINK("http://mcgill.on.worldcat.org/oclc/1433015","Catalog Record")</f>
        <v>Catalog Record</v>
      </c>
      <c r="AW254" s="6" t="str">
        <f>HYPERLINK("http://www.worldcat.org/oclc/1433015","WorldCat Record")</f>
        <v>WorldCat Record</v>
      </c>
      <c r="AX254" s="3" t="s">
        <v>2227</v>
      </c>
      <c r="AY254" s="3" t="s">
        <v>2228</v>
      </c>
      <c r="AZ254" s="3" t="s">
        <v>2229</v>
      </c>
      <c r="BA254" s="3" t="s">
        <v>2229</v>
      </c>
      <c r="BB254" s="3" t="s">
        <v>2234</v>
      </c>
      <c r="BC254" s="3" t="s">
        <v>142</v>
      </c>
      <c r="BD254" s="3" t="s">
        <v>68</v>
      </c>
      <c r="BE254" s="3" t="s">
        <v>2231</v>
      </c>
      <c r="BF254" s="3" t="s">
        <v>2234</v>
      </c>
      <c r="BG254" s="3" t="s">
        <v>2235</v>
      </c>
    </row>
    <row r="255" spans="1:59" ht="57" x14ac:dyDescent="0.45">
      <c r="A255" s="2" t="s">
        <v>59</v>
      </c>
      <c r="B255" s="2" t="s">
        <v>60</v>
      </c>
      <c r="C255" s="2" t="s">
        <v>2221</v>
      </c>
      <c r="D255" s="2" t="s">
        <v>2222</v>
      </c>
      <c r="E255" s="2" t="s">
        <v>2223</v>
      </c>
      <c r="G255" s="3" t="s">
        <v>62</v>
      </c>
      <c r="I255" s="3" t="s">
        <v>61</v>
      </c>
      <c r="J255" s="3" t="s">
        <v>62</v>
      </c>
      <c r="K255" s="3" t="s">
        <v>63</v>
      </c>
      <c r="M255" s="2" t="s">
        <v>2224</v>
      </c>
      <c r="N255" s="3" t="s">
        <v>495</v>
      </c>
      <c r="P255" s="3" t="s">
        <v>65</v>
      </c>
      <c r="R255" s="3" t="s">
        <v>66</v>
      </c>
      <c r="S255" s="4">
        <v>7</v>
      </c>
      <c r="T255" s="4">
        <v>27</v>
      </c>
      <c r="U255" s="5" t="s">
        <v>2226</v>
      </c>
      <c r="V255" s="5" t="s">
        <v>2226</v>
      </c>
      <c r="W255" s="5" t="s">
        <v>67</v>
      </c>
      <c r="X255" s="5" t="s">
        <v>67</v>
      </c>
      <c r="Y255" s="4">
        <v>695</v>
      </c>
      <c r="Z255" s="4">
        <v>45</v>
      </c>
      <c r="AA255" s="4">
        <v>48</v>
      </c>
      <c r="AB255" s="4">
        <v>3</v>
      </c>
      <c r="AC255" s="4">
        <v>3</v>
      </c>
      <c r="AD255" s="4">
        <v>126</v>
      </c>
      <c r="AE255" s="4">
        <v>128</v>
      </c>
      <c r="AF255" s="4">
        <v>2</v>
      </c>
      <c r="AG255" s="4">
        <v>2</v>
      </c>
      <c r="AH255" s="4">
        <v>100</v>
      </c>
      <c r="AI255" s="4">
        <v>101</v>
      </c>
      <c r="AJ255" s="4">
        <v>18</v>
      </c>
      <c r="AK255" s="4">
        <v>20</v>
      </c>
      <c r="AL255" s="4">
        <v>56</v>
      </c>
      <c r="AM255" s="4">
        <v>56</v>
      </c>
      <c r="AN255" s="4">
        <v>0</v>
      </c>
      <c r="AO255" s="4">
        <v>0</v>
      </c>
      <c r="AP255" s="4">
        <v>33</v>
      </c>
      <c r="AQ255" s="4">
        <v>35</v>
      </c>
      <c r="AR255" s="3" t="s">
        <v>62</v>
      </c>
      <c r="AS255" s="3" t="s">
        <v>62</v>
      </c>
      <c r="AT255" s="3" t="s">
        <v>62</v>
      </c>
      <c r="AV255" s="6" t="str">
        <f>HYPERLINK("http://mcgill.on.worldcat.org/oclc/1433015","Catalog Record")</f>
        <v>Catalog Record</v>
      </c>
      <c r="AW255" s="6" t="str">
        <f>HYPERLINK("http://www.worldcat.org/oclc/1433015","WorldCat Record")</f>
        <v>WorldCat Record</v>
      </c>
      <c r="AX255" s="3" t="s">
        <v>2227</v>
      </c>
      <c r="AY255" s="3" t="s">
        <v>2228</v>
      </c>
      <c r="AZ255" s="3" t="s">
        <v>2229</v>
      </c>
      <c r="BA255" s="3" t="s">
        <v>2229</v>
      </c>
      <c r="BB255" s="3" t="s">
        <v>2236</v>
      </c>
      <c r="BC255" s="3" t="s">
        <v>142</v>
      </c>
      <c r="BD255" s="3" t="s">
        <v>68</v>
      </c>
      <c r="BE255" s="3" t="s">
        <v>2231</v>
      </c>
      <c r="BF255" s="3" t="s">
        <v>2236</v>
      </c>
      <c r="BG255" s="3" t="s">
        <v>2237</v>
      </c>
    </row>
    <row r="256" spans="1:59" ht="57" x14ac:dyDescent="0.45">
      <c r="A256" s="2" t="s">
        <v>59</v>
      </c>
      <c r="B256" s="2" t="s">
        <v>60</v>
      </c>
      <c r="C256" s="2" t="s">
        <v>2238</v>
      </c>
      <c r="D256" s="2" t="s">
        <v>2239</v>
      </c>
      <c r="E256" s="2" t="s">
        <v>2240</v>
      </c>
      <c r="G256" s="3" t="s">
        <v>62</v>
      </c>
      <c r="I256" s="3" t="s">
        <v>62</v>
      </c>
      <c r="J256" s="3" t="s">
        <v>62</v>
      </c>
      <c r="K256" s="3" t="s">
        <v>63</v>
      </c>
      <c r="L256" s="2" t="s">
        <v>2241</v>
      </c>
      <c r="M256" s="2" t="s">
        <v>2242</v>
      </c>
      <c r="N256" s="3" t="s">
        <v>1155</v>
      </c>
      <c r="O256" s="2" t="s">
        <v>168</v>
      </c>
      <c r="P256" s="3" t="s">
        <v>65</v>
      </c>
      <c r="R256" s="3" t="s">
        <v>66</v>
      </c>
      <c r="S256" s="4">
        <v>6</v>
      </c>
      <c r="T256" s="4">
        <v>6</v>
      </c>
      <c r="U256" s="5" t="s">
        <v>1168</v>
      </c>
      <c r="V256" s="5" t="s">
        <v>1168</v>
      </c>
      <c r="W256" s="5" t="s">
        <v>67</v>
      </c>
      <c r="X256" s="5" t="s">
        <v>67</v>
      </c>
      <c r="Y256" s="4">
        <v>138</v>
      </c>
      <c r="Z256" s="4">
        <v>10</v>
      </c>
      <c r="AA256" s="4">
        <v>40</v>
      </c>
      <c r="AB256" s="4">
        <v>2</v>
      </c>
      <c r="AC256" s="4">
        <v>6</v>
      </c>
      <c r="AD256" s="4">
        <v>28</v>
      </c>
      <c r="AE256" s="4">
        <v>69</v>
      </c>
      <c r="AF256" s="4">
        <v>0</v>
      </c>
      <c r="AG256" s="4">
        <v>2</v>
      </c>
      <c r="AH256" s="4">
        <v>27</v>
      </c>
      <c r="AI256" s="4">
        <v>55</v>
      </c>
      <c r="AJ256" s="4">
        <v>5</v>
      </c>
      <c r="AK256" s="4">
        <v>12</v>
      </c>
      <c r="AL256" s="4">
        <v>17</v>
      </c>
      <c r="AM256" s="4">
        <v>32</v>
      </c>
      <c r="AN256" s="4">
        <v>0</v>
      </c>
      <c r="AO256" s="4">
        <v>0</v>
      </c>
      <c r="AP256" s="4">
        <v>7</v>
      </c>
      <c r="AQ256" s="4">
        <v>19</v>
      </c>
      <c r="AR256" s="3" t="s">
        <v>62</v>
      </c>
      <c r="AS256" s="3" t="s">
        <v>62</v>
      </c>
      <c r="AT256" s="3" t="s">
        <v>62</v>
      </c>
      <c r="AV256" s="6" t="str">
        <f>HYPERLINK("http://mcgill.on.worldcat.org/oclc/707263897","Catalog Record")</f>
        <v>Catalog Record</v>
      </c>
      <c r="AW256" s="6" t="str">
        <f>HYPERLINK("http://www.worldcat.org/oclc/707263897","WorldCat Record")</f>
        <v>WorldCat Record</v>
      </c>
      <c r="AX256" s="3" t="s">
        <v>2243</v>
      </c>
      <c r="AY256" s="3" t="s">
        <v>2244</v>
      </c>
      <c r="AZ256" s="3" t="s">
        <v>2245</v>
      </c>
      <c r="BA256" s="3" t="s">
        <v>2245</v>
      </c>
      <c r="BB256" s="3" t="s">
        <v>2246</v>
      </c>
      <c r="BC256" s="3" t="s">
        <v>142</v>
      </c>
      <c r="BD256" s="3" t="s">
        <v>68</v>
      </c>
      <c r="BE256" s="3" t="s">
        <v>2247</v>
      </c>
      <c r="BF256" s="3" t="s">
        <v>2246</v>
      </c>
      <c r="BG256" s="3" t="s">
        <v>2248</v>
      </c>
    </row>
    <row r="257" spans="1:59" ht="57" x14ac:dyDescent="0.45">
      <c r="A257" s="2" t="s">
        <v>59</v>
      </c>
      <c r="B257" s="2" t="s">
        <v>60</v>
      </c>
      <c r="C257" s="2" t="s">
        <v>2249</v>
      </c>
      <c r="D257" s="2" t="s">
        <v>2250</v>
      </c>
      <c r="E257" s="2" t="s">
        <v>2251</v>
      </c>
      <c r="G257" s="3" t="s">
        <v>62</v>
      </c>
      <c r="I257" s="3" t="s">
        <v>62</v>
      </c>
      <c r="J257" s="3" t="s">
        <v>62</v>
      </c>
      <c r="K257" s="3" t="s">
        <v>63</v>
      </c>
      <c r="L257" s="2" t="s">
        <v>2252</v>
      </c>
      <c r="M257" s="2" t="s">
        <v>2253</v>
      </c>
      <c r="N257" s="3" t="s">
        <v>1604</v>
      </c>
      <c r="P257" s="3" t="s">
        <v>65</v>
      </c>
      <c r="R257" s="3" t="s">
        <v>66</v>
      </c>
      <c r="S257" s="4">
        <v>40</v>
      </c>
      <c r="T257" s="4">
        <v>40</v>
      </c>
      <c r="U257" s="5" t="s">
        <v>2254</v>
      </c>
      <c r="V257" s="5" t="s">
        <v>2254</v>
      </c>
      <c r="W257" s="5" t="s">
        <v>67</v>
      </c>
      <c r="X257" s="5" t="s">
        <v>67</v>
      </c>
      <c r="Y257" s="4">
        <v>909</v>
      </c>
      <c r="Z257" s="4">
        <v>36</v>
      </c>
      <c r="AA257" s="4">
        <v>46</v>
      </c>
      <c r="AB257" s="4">
        <v>4</v>
      </c>
      <c r="AC257" s="4">
        <v>9</v>
      </c>
      <c r="AD257" s="4">
        <v>110</v>
      </c>
      <c r="AE257" s="4">
        <v>125</v>
      </c>
      <c r="AF257" s="4">
        <v>2</v>
      </c>
      <c r="AG257" s="4">
        <v>4</v>
      </c>
      <c r="AH257" s="4">
        <v>91</v>
      </c>
      <c r="AI257" s="4">
        <v>102</v>
      </c>
      <c r="AJ257" s="4">
        <v>15</v>
      </c>
      <c r="AK257" s="4">
        <v>20</v>
      </c>
      <c r="AL257" s="4">
        <v>46</v>
      </c>
      <c r="AM257" s="4">
        <v>54</v>
      </c>
      <c r="AN257" s="4">
        <v>0</v>
      </c>
      <c r="AO257" s="4">
        <v>0</v>
      </c>
      <c r="AP257" s="4">
        <v>25</v>
      </c>
      <c r="AQ257" s="4">
        <v>30</v>
      </c>
      <c r="AR257" s="3" t="s">
        <v>62</v>
      </c>
      <c r="AS257" s="3" t="s">
        <v>62</v>
      </c>
      <c r="AT257" s="3" t="s">
        <v>61</v>
      </c>
      <c r="AU257" s="6" t="str">
        <f>HYPERLINK("http://catalog.hathitrust.org/Record/002863658","HathiTrust Record")</f>
        <v>HathiTrust Record</v>
      </c>
      <c r="AV257" s="6" t="str">
        <f>HYPERLINK("http://mcgill.on.worldcat.org/oclc/28962314","Catalog Record")</f>
        <v>Catalog Record</v>
      </c>
      <c r="AW257" s="6" t="str">
        <f>HYPERLINK("http://www.worldcat.org/oclc/28962314","WorldCat Record")</f>
        <v>WorldCat Record</v>
      </c>
      <c r="AX257" s="3" t="s">
        <v>2255</v>
      </c>
      <c r="AY257" s="3" t="s">
        <v>2256</v>
      </c>
      <c r="AZ257" s="3" t="s">
        <v>2257</v>
      </c>
      <c r="BA257" s="3" t="s">
        <v>2257</v>
      </c>
      <c r="BB257" s="3" t="s">
        <v>2258</v>
      </c>
      <c r="BC257" s="3" t="s">
        <v>142</v>
      </c>
      <c r="BD257" s="3" t="s">
        <v>68</v>
      </c>
      <c r="BE257" s="3" t="s">
        <v>2259</v>
      </c>
      <c r="BF257" s="3" t="s">
        <v>2258</v>
      </c>
      <c r="BG257" s="3" t="s">
        <v>2260</v>
      </c>
    </row>
    <row r="258" spans="1:59" ht="57" x14ac:dyDescent="0.45">
      <c r="A258" s="2" t="s">
        <v>59</v>
      </c>
      <c r="B258" s="2" t="s">
        <v>60</v>
      </c>
      <c r="C258" s="2" t="s">
        <v>2261</v>
      </c>
      <c r="D258" s="2" t="s">
        <v>2262</v>
      </c>
      <c r="E258" s="2" t="s">
        <v>2263</v>
      </c>
      <c r="G258" s="3" t="s">
        <v>62</v>
      </c>
      <c r="I258" s="3" t="s">
        <v>61</v>
      </c>
      <c r="J258" s="3" t="s">
        <v>62</v>
      </c>
      <c r="K258" s="3" t="s">
        <v>63</v>
      </c>
      <c r="L258" s="2" t="s">
        <v>2264</v>
      </c>
      <c r="M258" s="2" t="s">
        <v>2265</v>
      </c>
      <c r="N258" s="3" t="s">
        <v>918</v>
      </c>
      <c r="P258" s="3" t="s">
        <v>65</v>
      </c>
      <c r="R258" s="3" t="s">
        <v>66</v>
      </c>
      <c r="S258" s="4">
        <v>37</v>
      </c>
      <c r="T258" s="4">
        <v>73</v>
      </c>
      <c r="U258" s="5" t="s">
        <v>2266</v>
      </c>
      <c r="V258" s="5" t="s">
        <v>2266</v>
      </c>
      <c r="W258" s="5" t="s">
        <v>67</v>
      </c>
      <c r="X258" s="5" t="s">
        <v>67</v>
      </c>
      <c r="Y258" s="4">
        <v>91</v>
      </c>
      <c r="Z258" s="4">
        <v>7</v>
      </c>
      <c r="AA258" s="4">
        <v>8</v>
      </c>
      <c r="AB258" s="4">
        <v>1</v>
      </c>
      <c r="AC258" s="4">
        <v>2</v>
      </c>
      <c r="AD258" s="4">
        <v>23</v>
      </c>
      <c r="AE258" s="4">
        <v>25</v>
      </c>
      <c r="AF258" s="4">
        <v>0</v>
      </c>
      <c r="AG258" s="4">
        <v>1</v>
      </c>
      <c r="AH258" s="4">
        <v>18</v>
      </c>
      <c r="AI258" s="4">
        <v>19</v>
      </c>
      <c r="AJ258" s="4">
        <v>5</v>
      </c>
      <c r="AK258" s="4">
        <v>6</v>
      </c>
      <c r="AL258" s="4">
        <v>14</v>
      </c>
      <c r="AM258" s="4">
        <v>14</v>
      </c>
      <c r="AN258" s="4">
        <v>0</v>
      </c>
      <c r="AO258" s="4">
        <v>0</v>
      </c>
      <c r="AP258" s="4">
        <v>5</v>
      </c>
      <c r="AQ258" s="4">
        <v>5</v>
      </c>
      <c r="AR258" s="3" t="s">
        <v>62</v>
      </c>
      <c r="AS258" s="3" t="s">
        <v>62</v>
      </c>
      <c r="AT258" s="3" t="s">
        <v>61</v>
      </c>
      <c r="AU258" s="6" t="str">
        <f>HYPERLINK("http://catalog.hathitrust.org/Record/009801030","HathiTrust Record")</f>
        <v>HathiTrust Record</v>
      </c>
      <c r="AV258" s="6" t="str">
        <f>HYPERLINK("http://mcgill.on.worldcat.org/oclc/50041585","Catalog Record")</f>
        <v>Catalog Record</v>
      </c>
      <c r="AW258" s="6" t="str">
        <f>HYPERLINK("http://www.worldcat.org/oclc/50041585","WorldCat Record")</f>
        <v>WorldCat Record</v>
      </c>
      <c r="AX258" s="3" t="s">
        <v>2267</v>
      </c>
      <c r="AY258" s="3" t="s">
        <v>2268</v>
      </c>
      <c r="AZ258" s="3" t="s">
        <v>2269</v>
      </c>
      <c r="BA258" s="3" t="s">
        <v>2269</v>
      </c>
      <c r="BB258" s="3" t="s">
        <v>2270</v>
      </c>
      <c r="BC258" s="3" t="s">
        <v>142</v>
      </c>
      <c r="BD258" s="3" t="s">
        <v>68</v>
      </c>
      <c r="BE258" s="3" t="s">
        <v>2271</v>
      </c>
      <c r="BF258" s="3" t="s">
        <v>2270</v>
      </c>
      <c r="BG258" s="3" t="s">
        <v>2272</v>
      </c>
    </row>
    <row r="259" spans="1:59" ht="57" x14ac:dyDescent="0.45">
      <c r="A259" s="2" t="s">
        <v>59</v>
      </c>
      <c r="B259" s="2" t="s">
        <v>60</v>
      </c>
      <c r="C259" s="2" t="s">
        <v>2261</v>
      </c>
      <c r="D259" s="2" t="s">
        <v>2262</v>
      </c>
      <c r="E259" s="2" t="s">
        <v>2263</v>
      </c>
      <c r="G259" s="3" t="s">
        <v>62</v>
      </c>
      <c r="I259" s="3" t="s">
        <v>61</v>
      </c>
      <c r="J259" s="3" t="s">
        <v>62</v>
      </c>
      <c r="K259" s="3" t="s">
        <v>63</v>
      </c>
      <c r="L259" s="2" t="s">
        <v>2264</v>
      </c>
      <c r="M259" s="2" t="s">
        <v>2265</v>
      </c>
      <c r="N259" s="3" t="s">
        <v>918</v>
      </c>
      <c r="P259" s="3" t="s">
        <v>65</v>
      </c>
      <c r="R259" s="3" t="s">
        <v>66</v>
      </c>
      <c r="S259" s="4">
        <v>36</v>
      </c>
      <c r="T259" s="4">
        <v>73</v>
      </c>
      <c r="U259" s="5" t="s">
        <v>2273</v>
      </c>
      <c r="V259" s="5" t="s">
        <v>2266</v>
      </c>
      <c r="W259" s="5" t="s">
        <v>67</v>
      </c>
      <c r="X259" s="5" t="s">
        <v>67</v>
      </c>
      <c r="Y259" s="4">
        <v>91</v>
      </c>
      <c r="Z259" s="4">
        <v>7</v>
      </c>
      <c r="AA259" s="4">
        <v>8</v>
      </c>
      <c r="AB259" s="4">
        <v>1</v>
      </c>
      <c r="AC259" s="4">
        <v>2</v>
      </c>
      <c r="AD259" s="4">
        <v>23</v>
      </c>
      <c r="AE259" s="4">
        <v>25</v>
      </c>
      <c r="AF259" s="4">
        <v>0</v>
      </c>
      <c r="AG259" s="4">
        <v>1</v>
      </c>
      <c r="AH259" s="4">
        <v>18</v>
      </c>
      <c r="AI259" s="4">
        <v>19</v>
      </c>
      <c r="AJ259" s="4">
        <v>5</v>
      </c>
      <c r="AK259" s="4">
        <v>6</v>
      </c>
      <c r="AL259" s="4">
        <v>14</v>
      </c>
      <c r="AM259" s="4">
        <v>14</v>
      </c>
      <c r="AN259" s="4">
        <v>0</v>
      </c>
      <c r="AO259" s="4">
        <v>0</v>
      </c>
      <c r="AP259" s="4">
        <v>5</v>
      </c>
      <c r="AQ259" s="4">
        <v>5</v>
      </c>
      <c r="AR259" s="3" t="s">
        <v>62</v>
      </c>
      <c r="AS259" s="3" t="s">
        <v>62</v>
      </c>
      <c r="AT259" s="3" t="s">
        <v>61</v>
      </c>
      <c r="AU259" s="6" t="str">
        <f>HYPERLINK("http://catalog.hathitrust.org/Record/009801030","HathiTrust Record")</f>
        <v>HathiTrust Record</v>
      </c>
      <c r="AV259" s="6" t="str">
        <f>HYPERLINK("http://mcgill.on.worldcat.org/oclc/50041585","Catalog Record")</f>
        <v>Catalog Record</v>
      </c>
      <c r="AW259" s="6" t="str">
        <f>HYPERLINK("http://www.worldcat.org/oclc/50041585","WorldCat Record")</f>
        <v>WorldCat Record</v>
      </c>
      <c r="AX259" s="3" t="s">
        <v>2267</v>
      </c>
      <c r="AY259" s="3" t="s">
        <v>2268</v>
      </c>
      <c r="AZ259" s="3" t="s">
        <v>2269</v>
      </c>
      <c r="BA259" s="3" t="s">
        <v>2269</v>
      </c>
      <c r="BB259" s="3" t="s">
        <v>2274</v>
      </c>
      <c r="BC259" s="3" t="s">
        <v>142</v>
      </c>
      <c r="BD259" s="3" t="s">
        <v>68</v>
      </c>
      <c r="BE259" s="3" t="s">
        <v>2271</v>
      </c>
      <c r="BF259" s="3" t="s">
        <v>2274</v>
      </c>
      <c r="BG259" s="3" t="s">
        <v>2275</v>
      </c>
    </row>
    <row r="260" spans="1:59" ht="57" x14ac:dyDescent="0.45">
      <c r="A260" s="2" t="s">
        <v>59</v>
      </c>
      <c r="B260" s="2" t="s">
        <v>60</v>
      </c>
      <c r="C260" s="2" t="s">
        <v>2276</v>
      </c>
      <c r="D260" s="2" t="s">
        <v>2277</v>
      </c>
      <c r="E260" s="2" t="s">
        <v>2278</v>
      </c>
      <c r="G260" s="3" t="s">
        <v>62</v>
      </c>
      <c r="I260" s="3" t="s">
        <v>62</v>
      </c>
      <c r="J260" s="3" t="s">
        <v>62</v>
      </c>
      <c r="K260" s="3" t="s">
        <v>63</v>
      </c>
      <c r="M260" s="2" t="s">
        <v>2279</v>
      </c>
      <c r="N260" s="3" t="s">
        <v>1239</v>
      </c>
      <c r="P260" s="3" t="s">
        <v>65</v>
      </c>
      <c r="Q260" s="2" t="s">
        <v>2280</v>
      </c>
      <c r="R260" s="3" t="s">
        <v>66</v>
      </c>
      <c r="S260" s="4">
        <v>19</v>
      </c>
      <c r="T260" s="4">
        <v>19</v>
      </c>
      <c r="U260" s="5" t="s">
        <v>2281</v>
      </c>
      <c r="V260" s="5" t="s">
        <v>2281</v>
      </c>
      <c r="W260" s="5" t="s">
        <v>67</v>
      </c>
      <c r="X260" s="5" t="s">
        <v>67</v>
      </c>
      <c r="Y260" s="4">
        <v>32</v>
      </c>
      <c r="Z260" s="4">
        <v>6</v>
      </c>
      <c r="AA260" s="4">
        <v>7</v>
      </c>
      <c r="AB260" s="4">
        <v>1</v>
      </c>
      <c r="AC260" s="4">
        <v>2</v>
      </c>
      <c r="AD260" s="4">
        <v>16</v>
      </c>
      <c r="AE260" s="4">
        <v>17</v>
      </c>
      <c r="AF260" s="4">
        <v>0</v>
      </c>
      <c r="AG260" s="4">
        <v>1</v>
      </c>
      <c r="AH260" s="4">
        <v>16</v>
      </c>
      <c r="AI260" s="4">
        <v>16</v>
      </c>
      <c r="AJ260" s="4">
        <v>4</v>
      </c>
      <c r="AK260" s="4">
        <v>5</v>
      </c>
      <c r="AL260" s="4">
        <v>9</v>
      </c>
      <c r="AM260" s="4">
        <v>9</v>
      </c>
      <c r="AN260" s="4">
        <v>0</v>
      </c>
      <c r="AO260" s="4">
        <v>0</v>
      </c>
      <c r="AP260" s="4">
        <v>4</v>
      </c>
      <c r="AQ260" s="4">
        <v>4</v>
      </c>
      <c r="AR260" s="3" t="s">
        <v>62</v>
      </c>
      <c r="AS260" s="3" t="s">
        <v>62</v>
      </c>
      <c r="AT260" s="3" t="s">
        <v>61</v>
      </c>
      <c r="AU260" s="6" t="str">
        <f>HYPERLINK("http://catalog.hathitrust.org/Record/002487638","HathiTrust Record")</f>
        <v>HathiTrust Record</v>
      </c>
      <c r="AV260" s="6" t="str">
        <f>HYPERLINK("http://mcgill.on.worldcat.org/oclc/23148033","Catalog Record")</f>
        <v>Catalog Record</v>
      </c>
      <c r="AW260" s="6" t="str">
        <f>HYPERLINK("http://www.worldcat.org/oclc/23148033","WorldCat Record")</f>
        <v>WorldCat Record</v>
      </c>
      <c r="AX260" s="3" t="s">
        <v>2282</v>
      </c>
      <c r="AY260" s="3" t="s">
        <v>2283</v>
      </c>
      <c r="AZ260" s="3" t="s">
        <v>2284</v>
      </c>
      <c r="BA260" s="3" t="s">
        <v>2284</v>
      </c>
      <c r="BB260" s="3" t="s">
        <v>2285</v>
      </c>
      <c r="BC260" s="3" t="s">
        <v>142</v>
      </c>
      <c r="BD260" s="3" t="s">
        <v>68</v>
      </c>
      <c r="BE260" s="3" t="s">
        <v>2286</v>
      </c>
      <c r="BF260" s="3" t="s">
        <v>2285</v>
      </c>
      <c r="BG260" s="3" t="s">
        <v>2287</v>
      </c>
    </row>
    <row r="261" spans="1:59" ht="57" x14ac:dyDescent="0.45">
      <c r="A261" s="2" t="s">
        <v>59</v>
      </c>
      <c r="B261" s="2" t="s">
        <v>60</v>
      </c>
      <c r="C261" s="2" t="s">
        <v>2288</v>
      </c>
      <c r="D261" s="2" t="s">
        <v>2289</v>
      </c>
      <c r="E261" s="2" t="s">
        <v>2290</v>
      </c>
      <c r="G261" s="3" t="s">
        <v>62</v>
      </c>
      <c r="I261" s="3" t="s">
        <v>61</v>
      </c>
      <c r="J261" s="3" t="s">
        <v>62</v>
      </c>
      <c r="K261" s="3" t="s">
        <v>63</v>
      </c>
      <c r="L261" s="2" t="s">
        <v>2291</v>
      </c>
      <c r="M261" s="2" t="s">
        <v>2292</v>
      </c>
      <c r="N261" s="3" t="s">
        <v>117</v>
      </c>
      <c r="P261" s="3" t="s">
        <v>65</v>
      </c>
      <c r="R261" s="3" t="s">
        <v>66</v>
      </c>
      <c r="S261" s="4">
        <v>71</v>
      </c>
      <c r="T261" s="4">
        <v>101</v>
      </c>
      <c r="U261" s="5" t="s">
        <v>2293</v>
      </c>
      <c r="V261" s="5" t="s">
        <v>2294</v>
      </c>
      <c r="W261" s="5" t="s">
        <v>67</v>
      </c>
      <c r="X261" s="5" t="s">
        <v>67</v>
      </c>
      <c r="Y261" s="4">
        <v>1088</v>
      </c>
      <c r="Z261" s="4">
        <v>60</v>
      </c>
      <c r="AA261" s="4">
        <v>66</v>
      </c>
      <c r="AB261" s="4">
        <v>3</v>
      </c>
      <c r="AC261" s="4">
        <v>9</v>
      </c>
      <c r="AD261" s="4">
        <v>149</v>
      </c>
      <c r="AE261" s="4">
        <v>153</v>
      </c>
      <c r="AF261" s="4">
        <v>2</v>
      </c>
      <c r="AG261" s="4">
        <v>6</v>
      </c>
      <c r="AH261" s="4">
        <v>114</v>
      </c>
      <c r="AI261" s="4">
        <v>115</v>
      </c>
      <c r="AJ261" s="4">
        <v>22</v>
      </c>
      <c r="AK261" s="4">
        <v>26</v>
      </c>
      <c r="AL261" s="4">
        <v>61</v>
      </c>
      <c r="AM261" s="4">
        <v>61</v>
      </c>
      <c r="AN261" s="4">
        <v>0</v>
      </c>
      <c r="AO261" s="4">
        <v>0</v>
      </c>
      <c r="AP261" s="4">
        <v>42</v>
      </c>
      <c r="AQ261" s="4">
        <v>45</v>
      </c>
      <c r="AR261" s="3" t="s">
        <v>62</v>
      </c>
      <c r="AS261" s="3" t="s">
        <v>62</v>
      </c>
      <c r="AT261" s="3" t="s">
        <v>61</v>
      </c>
      <c r="AU261" s="6" t="str">
        <f>HYPERLINK("http://catalog.hathitrust.org/Record/000689664","HathiTrust Record")</f>
        <v>HathiTrust Record</v>
      </c>
      <c r="AV261" s="6" t="str">
        <f>HYPERLINK("http://mcgill.on.worldcat.org/oclc/6016193","Catalog Record")</f>
        <v>Catalog Record</v>
      </c>
      <c r="AW261" s="6" t="str">
        <f>HYPERLINK("http://www.worldcat.org/oclc/6016193","WorldCat Record")</f>
        <v>WorldCat Record</v>
      </c>
      <c r="AX261" s="3" t="s">
        <v>2295</v>
      </c>
      <c r="AY261" s="3" t="s">
        <v>2296</v>
      </c>
      <c r="AZ261" s="3" t="s">
        <v>2297</v>
      </c>
      <c r="BA261" s="3" t="s">
        <v>2297</v>
      </c>
      <c r="BB261" s="3" t="s">
        <v>2298</v>
      </c>
      <c r="BC261" s="3" t="s">
        <v>142</v>
      </c>
      <c r="BD261" s="3" t="s">
        <v>68</v>
      </c>
      <c r="BE261" s="3" t="s">
        <v>2299</v>
      </c>
      <c r="BF261" s="3" t="s">
        <v>2298</v>
      </c>
      <c r="BG261" s="3" t="s">
        <v>2300</v>
      </c>
    </row>
    <row r="262" spans="1:59" ht="57" x14ac:dyDescent="0.45">
      <c r="A262" s="2" t="s">
        <v>59</v>
      </c>
      <c r="B262" s="2" t="s">
        <v>60</v>
      </c>
      <c r="C262" s="2" t="s">
        <v>2288</v>
      </c>
      <c r="D262" s="2" t="s">
        <v>2289</v>
      </c>
      <c r="E262" s="2" t="s">
        <v>2290</v>
      </c>
      <c r="G262" s="3" t="s">
        <v>62</v>
      </c>
      <c r="I262" s="3" t="s">
        <v>61</v>
      </c>
      <c r="J262" s="3" t="s">
        <v>62</v>
      </c>
      <c r="K262" s="3" t="s">
        <v>63</v>
      </c>
      <c r="L262" s="2" t="s">
        <v>2291</v>
      </c>
      <c r="M262" s="2" t="s">
        <v>2292</v>
      </c>
      <c r="N262" s="3" t="s">
        <v>117</v>
      </c>
      <c r="P262" s="3" t="s">
        <v>65</v>
      </c>
      <c r="R262" s="3" t="s">
        <v>66</v>
      </c>
      <c r="S262" s="4">
        <v>27</v>
      </c>
      <c r="T262" s="4">
        <v>101</v>
      </c>
      <c r="U262" s="5" t="s">
        <v>2294</v>
      </c>
      <c r="V262" s="5" t="s">
        <v>2294</v>
      </c>
      <c r="W262" s="5" t="s">
        <v>67</v>
      </c>
      <c r="X262" s="5" t="s">
        <v>67</v>
      </c>
      <c r="Y262" s="4">
        <v>1088</v>
      </c>
      <c r="Z262" s="4">
        <v>60</v>
      </c>
      <c r="AA262" s="4">
        <v>66</v>
      </c>
      <c r="AB262" s="4">
        <v>3</v>
      </c>
      <c r="AC262" s="4">
        <v>9</v>
      </c>
      <c r="AD262" s="4">
        <v>149</v>
      </c>
      <c r="AE262" s="4">
        <v>153</v>
      </c>
      <c r="AF262" s="4">
        <v>2</v>
      </c>
      <c r="AG262" s="4">
        <v>6</v>
      </c>
      <c r="AH262" s="4">
        <v>114</v>
      </c>
      <c r="AI262" s="4">
        <v>115</v>
      </c>
      <c r="AJ262" s="4">
        <v>22</v>
      </c>
      <c r="AK262" s="4">
        <v>26</v>
      </c>
      <c r="AL262" s="4">
        <v>61</v>
      </c>
      <c r="AM262" s="4">
        <v>61</v>
      </c>
      <c r="AN262" s="4">
        <v>0</v>
      </c>
      <c r="AO262" s="4">
        <v>0</v>
      </c>
      <c r="AP262" s="4">
        <v>42</v>
      </c>
      <c r="AQ262" s="4">
        <v>45</v>
      </c>
      <c r="AR262" s="3" t="s">
        <v>62</v>
      </c>
      <c r="AS262" s="3" t="s">
        <v>62</v>
      </c>
      <c r="AT262" s="3" t="s">
        <v>61</v>
      </c>
      <c r="AU262" s="6" t="str">
        <f>HYPERLINK("http://catalog.hathitrust.org/Record/000689664","HathiTrust Record")</f>
        <v>HathiTrust Record</v>
      </c>
      <c r="AV262" s="6" t="str">
        <f>HYPERLINK("http://mcgill.on.worldcat.org/oclc/6016193","Catalog Record")</f>
        <v>Catalog Record</v>
      </c>
      <c r="AW262" s="6" t="str">
        <f>HYPERLINK("http://www.worldcat.org/oclc/6016193","WorldCat Record")</f>
        <v>WorldCat Record</v>
      </c>
      <c r="AX262" s="3" t="s">
        <v>2295</v>
      </c>
      <c r="AY262" s="3" t="s">
        <v>2296</v>
      </c>
      <c r="AZ262" s="3" t="s">
        <v>2297</v>
      </c>
      <c r="BA262" s="3" t="s">
        <v>2297</v>
      </c>
      <c r="BB262" s="3" t="s">
        <v>2301</v>
      </c>
      <c r="BC262" s="3" t="s">
        <v>142</v>
      </c>
      <c r="BD262" s="3" t="s">
        <v>68</v>
      </c>
      <c r="BE262" s="3" t="s">
        <v>2299</v>
      </c>
      <c r="BF262" s="3" t="s">
        <v>2301</v>
      </c>
      <c r="BG262" s="3" t="s">
        <v>2302</v>
      </c>
    </row>
    <row r="263" spans="1:59" ht="57" x14ac:dyDescent="0.45">
      <c r="A263" s="2" t="s">
        <v>59</v>
      </c>
      <c r="B263" s="2" t="s">
        <v>60</v>
      </c>
      <c r="C263" s="2" t="s">
        <v>2288</v>
      </c>
      <c r="D263" s="2" t="s">
        <v>2289</v>
      </c>
      <c r="E263" s="2" t="s">
        <v>2290</v>
      </c>
      <c r="G263" s="3" t="s">
        <v>62</v>
      </c>
      <c r="I263" s="3" t="s">
        <v>61</v>
      </c>
      <c r="J263" s="3" t="s">
        <v>62</v>
      </c>
      <c r="K263" s="3" t="s">
        <v>63</v>
      </c>
      <c r="L263" s="2" t="s">
        <v>2291</v>
      </c>
      <c r="M263" s="2" t="s">
        <v>2292</v>
      </c>
      <c r="N263" s="3" t="s">
        <v>117</v>
      </c>
      <c r="P263" s="3" t="s">
        <v>65</v>
      </c>
      <c r="R263" s="3" t="s">
        <v>66</v>
      </c>
      <c r="S263" s="4">
        <v>0</v>
      </c>
      <c r="T263" s="4">
        <v>101</v>
      </c>
      <c r="V263" s="5" t="s">
        <v>2294</v>
      </c>
      <c r="W263" s="5" t="s">
        <v>67</v>
      </c>
      <c r="X263" s="5" t="s">
        <v>67</v>
      </c>
      <c r="Y263" s="4">
        <v>1088</v>
      </c>
      <c r="Z263" s="4">
        <v>60</v>
      </c>
      <c r="AA263" s="4">
        <v>66</v>
      </c>
      <c r="AB263" s="4">
        <v>3</v>
      </c>
      <c r="AC263" s="4">
        <v>9</v>
      </c>
      <c r="AD263" s="4">
        <v>149</v>
      </c>
      <c r="AE263" s="4">
        <v>153</v>
      </c>
      <c r="AF263" s="4">
        <v>2</v>
      </c>
      <c r="AG263" s="4">
        <v>6</v>
      </c>
      <c r="AH263" s="4">
        <v>114</v>
      </c>
      <c r="AI263" s="4">
        <v>115</v>
      </c>
      <c r="AJ263" s="4">
        <v>22</v>
      </c>
      <c r="AK263" s="4">
        <v>26</v>
      </c>
      <c r="AL263" s="4">
        <v>61</v>
      </c>
      <c r="AM263" s="4">
        <v>61</v>
      </c>
      <c r="AN263" s="4">
        <v>0</v>
      </c>
      <c r="AO263" s="4">
        <v>0</v>
      </c>
      <c r="AP263" s="4">
        <v>42</v>
      </c>
      <c r="AQ263" s="4">
        <v>45</v>
      </c>
      <c r="AR263" s="3" t="s">
        <v>62</v>
      </c>
      <c r="AS263" s="3" t="s">
        <v>62</v>
      </c>
      <c r="AT263" s="3" t="s">
        <v>61</v>
      </c>
      <c r="AU263" s="6" t="str">
        <f>HYPERLINK("http://catalog.hathitrust.org/Record/000689664","HathiTrust Record")</f>
        <v>HathiTrust Record</v>
      </c>
      <c r="AV263" s="6" t="str">
        <f>HYPERLINK("http://mcgill.on.worldcat.org/oclc/6016193","Catalog Record")</f>
        <v>Catalog Record</v>
      </c>
      <c r="AW263" s="6" t="str">
        <f>HYPERLINK("http://www.worldcat.org/oclc/6016193","WorldCat Record")</f>
        <v>WorldCat Record</v>
      </c>
      <c r="AX263" s="3" t="s">
        <v>2295</v>
      </c>
      <c r="AY263" s="3" t="s">
        <v>2296</v>
      </c>
      <c r="AZ263" s="3" t="s">
        <v>2297</v>
      </c>
      <c r="BA263" s="3" t="s">
        <v>2297</v>
      </c>
      <c r="BB263" s="3" t="s">
        <v>2303</v>
      </c>
      <c r="BC263" s="3" t="s">
        <v>142</v>
      </c>
      <c r="BD263" s="3" t="s">
        <v>68</v>
      </c>
      <c r="BE263" s="3" t="s">
        <v>2299</v>
      </c>
      <c r="BF263" s="3" t="s">
        <v>2303</v>
      </c>
      <c r="BG263" s="3" t="s">
        <v>2304</v>
      </c>
    </row>
    <row r="264" spans="1:59" ht="57" x14ac:dyDescent="0.45">
      <c r="A264" s="2" t="s">
        <v>59</v>
      </c>
      <c r="B264" s="2" t="s">
        <v>60</v>
      </c>
      <c r="C264" s="2" t="s">
        <v>2305</v>
      </c>
      <c r="D264" s="2" t="s">
        <v>2306</v>
      </c>
      <c r="E264" s="2" t="s">
        <v>2290</v>
      </c>
      <c r="G264" s="3" t="s">
        <v>62</v>
      </c>
      <c r="I264" s="3" t="s">
        <v>61</v>
      </c>
      <c r="J264" s="3" t="s">
        <v>62</v>
      </c>
      <c r="K264" s="3" t="s">
        <v>63</v>
      </c>
      <c r="L264" s="2" t="s">
        <v>2291</v>
      </c>
      <c r="M264" s="2" t="s">
        <v>2292</v>
      </c>
      <c r="N264" s="3" t="s">
        <v>117</v>
      </c>
      <c r="P264" s="3" t="s">
        <v>65</v>
      </c>
      <c r="R264" s="3" t="s">
        <v>66</v>
      </c>
      <c r="S264" s="4">
        <v>0</v>
      </c>
      <c r="T264" s="4">
        <v>101</v>
      </c>
      <c r="V264" s="5" t="s">
        <v>2294</v>
      </c>
      <c r="W264" s="5" t="s">
        <v>67</v>
      </c>
      <c r="X264" s="5" t="s">
        <v>67</v>
      </c>
      <c r="Y264" s="4">
        <v>1088</v>
      </c>
      <c r="Z264" s="4">
        <v>60</v>
      </c>
      <c r="AA264" s="4">
        <v>66</v>
      </c>
      <c r="AB264" s="4">
        <v>3</v>
      </c>
      <c r="AC264" s="4">
        <v>9</v>
      </c>
      <c r="AD264" s="4">
        <v>149</v>
      </c>
      <c r="AE264" s="4">
        <v>153</v>
      </c>
      <c r="AF264" s="4">
        <v>2</v>
      </c>
      <c r="AG264" s="4">
        <v>6</v>
      </c>
      <c r="AH264" s="4">
        <v>114</v>
      </c>
      <c r="AI264" s="4">
        <v>115</v>
      </c>
      <c r="AJ264" s="4">
        <v>22</v>
      </c>
      <c r="AK264" s="4">
        <v>26</v>
      </c>
      <c r="AL264" s="4">
        <v>61</v>
      </c>
      <c r="AM264" s="4">
        <v>61</v>
      </c>
      <c r="AN264" s="4">
        <v>0</v>
      </c>
      <c r="AO264" s="4">
        <v>0</v>
      </c>
      <c r="AP264" s="4">
        <v>42</v>
      </c>
      <c r="AQ264" s="4">
        <v>45</v>
      </c>
      <c r="AR264" s="3" t="s">
        <v>62</v>
      </c>
      <c r="AS264" s="3" t="s">
        <v>62</v>
      </c>
      <c r="AT264" s="3" t="s">
        <v>61</v>
      </c>
      <c r="AU264" s="6" t="str">
        <f>HYPERLINK("http://catalog.hathitrust.org/Record/000689664","HathiTrust Record")</f>
        <v>HathiTrust Record</v>
      </c>
      <c r="AV264" s="6" t="str">
        <f>HYPERLINK("http://mcgill.on.worldcat.org/oclc/6016193","Catalog Record")</f>
        <v>Catalog Record</v>
      </c>
      <c r="AW264" s="6" t="str">
        <f>HYPERLINK("http://www.worldcat.org/oclc/6016193","WorldCat Record")</f>
        <v>WorldCat Record</v>
      </c>
      <c r="AX264" s="3" t="s">
        <v>2295</v>
      </c>
      <c r="AY264" s="3" t="s">
        <v>2296</v>
      </c>
      <c r="AZ264" s="3" t="s">
        <v>2297</v>
      </c>
      <c r="BA264" s="3" t="s">
        <v>2297</v>
      </c>
      <c r="BB264" s="3" t="s">
        <v>2307</v>
      </c>
      <c r="BC264" s="3" t="s">
        <v>142</v>
      </c>
      <c r="BD264" s="3" t="s">
        <v>68</v>
      </c>
      <c r="BE264" s="3" t="s">
        <v>2299</v>
      </c>
      <c r="BF264" s="3" t="s">
        <v>2307</v>
      </c>
      <c r="BG264" s="3" t="s">
        <v>2308</v>
      </c>
    </row>
    <row r="265" spans="1:59" ht="57" x14ac:dyDescent="0.45">
      <c r="A265" s="2" t="s">
        <v>59</v>
      </c>
      <c r="B265" s="2" t="s">
        <v>60</v>
      </c>
      <c r="C265" s="2" t="s">
        <v>2305</v>
      </c>
      <c r="D265" s="2" t="s">
        <v>2306</v>
      </c>
      <c r="E265" s="2" t="s">
        <v>2290</v>
      </c>
      <c r="G265" s="3" t="s">
        <v>62</v>
      </c>
      <c r="I265" s="3" t="s">
        <v>61</v>
      </c>
      <c r="J265" s="3" t="s">
        <v>62</v>
      </c>
      <c r="K265" s="3" t="s">
        <v>63</v>
      </c>
      <c r="L265" s="2" t="s">
        <v>2291</v>
      </c>
      <c r="M265" s="2" t="s">
        <v>2292</v>
      </c>
      <c r="N265" s="3" t="s">
        <v>117</v>
      </c>
      <c r="P265" s="3" t="s">
        <v>65</v>
      </c>
      <c r="R265" s="3" t="s">
        <v>66</v>
      </c>
      <c r="S265" s="4">
        <v>3</v>
      </c>
      <c r="T265" s="4">
        <v>101</v>
      </c>
      <c r="V265" s="5" t="s">
        <v>2294</v>
      </c>
      <c r="W265" s="5" t="s">
        <v>67</v>
      </c>
      <c r="X265" s="5" t="s">
        <v>67</v>
      </c>
      <c r="Y265" s="4">
        <v>1088</v>
      </c>
      <c r="Z265" s="4">
        <v>60</v>
      </c>
      <c r="AA265" s="4">
        <v>66</v>
      </c>
      <c r="AB265" s="4">
        <v>3</v>
      </c>
      <c r="AC265" s="4">
        <v>9</v>
      </c>
      <c r="AD265" s="4">
        <v>149</v>
      </c>
      <c r="AE265" s="4">
        <v>153</v>
      </c>
      <c r="AF265" s="4">
        <v>2</v>
      </c>
      <c r="AG265" s="4">
        <v>6</v>
      </c>
      <c r="AH265" s="4">
        <v>114</v>
      </c>
      <c r="AI265" s="4">
        <v>115</v>
      </c>
      <c r="AJ265" s="4">
        <v>22</v>
      </c>
      <c r="AK265" s="4">
        <v>26</v>
      </c>
      <c r="AL265" s="4">
        <v>61</v>
      </c>
      <c r="AM265" s="4">
        <v>61</v>
      </c>
      <c r="AN265" s="4">
        <v>0</v>
      </c>
      <c r="AO265" s="4">
        <v>0</v>
      </c>
      <c r="AP265" s="4">
        <v>42</v>
      </c>
      <c r="AQ265" s="4">
        <v>45</v>
      </c>
      <c r="AR265" s="3" t="s">
        <v>62</v>
      </c>
      <c r="AS265" s="3" t="s">
        <v>62</v>
      </c>
      <c r="AT265" s="3" t="s">
        <v>61</v>
      </c>
      <c r="AU265" s="6" t="str">
        <f>HYPERLINK("http://catalog.hathitrust.org/Record/000689664","HathiTrust Record")</f>
        <v>HathiTrust Record</v>
      </c>
      <c r="AV265" s="6" t="str">
        <f>HYPERLINK("http://mcgill.on.worldcat.org/oclc/6016193","Catalog Record")</f>
        <v>Catalog Record</v>
      </c>
      <c r="AW265" s="6" t="str">
        <f>HYPERLINK("http://www.worldcat.org/oclc/6016193","WorldCat Record")</f>
        <v>WorldCat Record</v>
      </c>
      <c r="AX265" s="3" t="s">
        <v>2295</v>
      </c>
      <c r="AY265" s="3" t="s">
        <v>2296</v>
      </c>
      <c r="AZ265" s="3" t="s">
        <v>2297</v>
      </c>
      <c r="BA265" s="3" t="s">
        <v>2297</v>
      </c>
      <c r="BB265" s="3" t="s">
        <v>2309</v>
      </c>
      <c r="BC265" s="3" t="s">
        <v>142</v>
      </c>
      <c r="BD265" s="3" t="s">
        <v>308</v>
      </c>
      <c r="BE265" s="3" t="s">
        <v>2299</v>
      </c>
      <c r="BF265" s="3" t="s">
        <v>2309</v>
      </c>
      <c r="BG265" s="3" t="s">
        <v>2310</v>
      </c>
    </row>
    <row r="266" spans="1:59" ht="57" x14ac:dyDescent="0.45">
      <c r="A266" s="2" t="s">
        <v>59</v>
      </c>
      <c r="B266" s="2" t="s">
        <v>60</v>
      </c>
      <c r="C266" s="2" t="s">
        <v>2311</v>
      </c>
      <c r="D266" s="2" t="s">
        <v>2312</v>
      </c>
      <c r="E266" s="2" t="s">
        <v>2313</v>
      </c>
      <c r="G266" s="3" t="s">
        <v>62</v>
      </c>
      <c r="I266" s="3" t="s">
        <v>61</v>
      </c>
      <c r="J266" s="3" t="s">
        <v>62</v>
      </c>
      <c r="K266" s="3" t="s">
        <v>63</v>
      </c>
      <c r="L266" s="2" t="s">
        <v>2314</v>
      </c>
      <c r="M266" s="2" t="s">
        <v>2315</v>
      </c>
      <c r="N266" s="3" t="s">
        <v>568</v>
      </c>
      <c r="P266" s="3" t="s">
        <v>65</v>
      </c>
      <c r="R266" s="3" t="s">
        <v>66</v>
      </c>
      <c r="S266" s="4">
        <v>110</v>
      </c>
      <c r="T266" s="4">
        <v>196</v>
      </c>
      <c r="U266" s="5" t="s">
        <v>2316</v>
      </c>
      <c r="V266" s="5" t="s">
        <v>2317</v>
      </c>
      <c r="W266" s="5" t="s">
        <v>67</v>
      </c>
      <c r="X266" s="5" t="s">
        <v>67</v>
      </c>
      <c r="Y266" s="4">
        <v>1307</v>
      </c>
      <c r="Z266" s="4">
        <v>68</v>
      </c>
      <c r="AA266" s="4">
        <v>80</v>
      </c>
      <c r="AB266" s="4">
        <v>3</v>
      </c>
      <c r="AC266" s="4">
        <v>9</v>
      </c>
      <c r="AD266" s="4">
        <v>142</v>
      </c>
      <c r="AE266" s="4">
        <v>153</v>
      </c>
      <c r="AF266" s="4">
        <v>2</v>
      </c>
      <c r="AG266" s="4">
        <v>5</v>
      </c>
      <c r="AH266" s="4">
        <v>107</v>
      </c>
      <c r="AI266" s="4">
        <v>111</v>
      </c>
      <c r="AJ266" s="4">
        <v>20</v>
      </c>
      <c r="AK266" s="4">
        <v>24</v>
      </c>
      <c r="AL266" s="4">
        <v>58</v>
      </c>
      <c r="AM266" s="4">
        <v>60</v>
      </c>
      <c r="AN266" s="4">
        <v>0</v>
      </c>
      <c r="AO266" s="4">
        <v>0</v>
      </c>
      <c r="AP266" s="4">
        <v>42</v>
      </c>
      <c r="AQ266" s="4">
        <v>48</v>
      </c>
      <c r="AR266" s="3" t="s">
        <v>62</v>
      </c>
      <c r="AS266" s="3" t="s">
        <v>62</v>
      </c>
      <c r="AT266" s="3" t="s">
        <v>62</v>
      </c>
      <c r="AV266" s="6" t="str">
        <f>HYPERLINK("http://mcgill.on.worldcat.org/oclc/14001013","Catalog Record")</f>
        <v>Catalog Record</v>
      </c>
      <c r="AW266" s="6" t="str">
        <f>HYPERLINK("http://www.worldcat.org/oclc/14001013","WorldCat Record")</f>
        <v>WorldCat Record</v>
      </c>
      <c r="AX266" s="3" t="s">
        <v>2318</v>
      </c>
      <c r="AY266" s="3" t="s">
        <v>2319</v>
      </c>
      <c r="AZ266" s="3" t="s">
        <v>2320</v>
      </c>
      <c r="BA266" s="3" t="s">
        <v>2320</v>
      </c>
      <c r="BB266" s="3" t="s">
        <v>2321</v>
      </c>
      <c r="BC266" s="3" t="s">
        <v>142</v>
      </c>
      <c r="BD266" s="3" t="s">
        <v>308</v>
      </c>
      <c r="BE266" s="3" t="s">
        <v>2322</v>
      </c>
      <c r="BF266" s="3" t="s">
        <v>2321</v>
      </c>
      <c r="BG266" s="3" t="s">
        <v>2323</v>
      </c>
    </row>
    <row r="267" spans="1:59" ht="57" x14ac:dyDescent="0.45">
      <c r="A267" s="2" t="s">
        <v>59</v>
      </c>
      <c r="B267" s="2" t="s">
        <v>60</v>
      </c>
      <c r="C267" s="2" t="s">
        <v>2311</v>
      </c>
      <c r="D267" s="2" t="s">
        <v>2312</v>
      </c>
      <c r="E267" s="2" t="s">
        <v>2313</v>
      </c>
      <c r="G267" s="3" t="s">
        <v>62</v>
      </c>
      <c r="I267" s="3" t="s">
        <v>61</v>
      </c>
      <c r="J267" s="3" t="s">
        <v>62</v>
      </c>
      <c r="K267" s="3" t="s">
        <v>63</v>
      </c>
      <c r="L267" s="2" t="s">
        <v>2314</v>
      </c>
      <c r="M267" s="2" t="s">
        <v>2315</v>
      </c>
      <c r="N267" s="3" t="s">
        <v>568</v>
      </c>
      <c r="P267" s="3" t="s">
        <v>65</v>
      </c>
      <c r="R267" s="3" t="s">
        <v>66</v>
      </c>
      <c r="S267" s="4">
        <v>86</v>
      </c>
      <c r="T267" s="4">
        <v>196</v>
      </c>
      <c r="U267" s="5" t="s">
        <v>2317</v>
      </c>
      <c r="V267" s="5" t="s">
        <v>2317</v>
      </c>
      <c r="W267" s="5" t="s">
        <v>67</v>
      </c>
      <c r="X267" s="5" t="s">
        <v>67</v>
      </c>
      <c r="Y267" s="4">
        <v>1307</v>
      </c>
      <c r="Z267" s="4">
        <v>68</v>
      </c>
      <c r="AA267" s="4">
        <v>80</v>
      </c>
      <c r="AB267" s="4">
        <v>3</v>
      </c>
      <c r="AC267" s="4">
        <v>9</v>
      </c>
      <c r="AD267" s="4">
        <v>142</v>
      </c>
      <c r="AE267" s="4">
        <v>153</v>
      </c>
      <c r="AF267" s="4">
        <v>2</v>
      </c>
      <c r="AG267" s="4">
        <v>5</v>
      </c>
      <c r="AH267" s="4">
        <v>107</v>
      </c>
      <c r="AI267" s="4">
        <v>111</v>
      </c>
      <c r="AJ267" s="4">
        <v>20</v>
      </c>
      <c r="AK267" s="4">
        <v>24</v>
      </c>
      <c r="AL267" s="4">
        <v>58</v>
      </c>
      <c r="AM267" s="4">
        <v>60</v>
      </c>
      <c r="AN267" s="4">
        <v>0</v>
      </c>
      <c r="AO267" s="4">
        <v>0</v>
      </c>
      <c r="AP267" s="4">
        <v>42</v>
      </c>
      <c r="AQ267" s="4">
        <v>48</v>
      </c>
      <c r="AR267" s="3" t="s">
        <v>62</v>
      </c>
      <c r="AS267" s="3" t="s">
        <v>62</v>
      </c>
      <c r="AT267" s="3" t="s">
        <v>62</v>
      </c>
      <c r="AV267" s="6" t="str">
        <f>HYPERLINK("http://mcgill.on.worldcat.org/oclc/14001013","Catalog Record")</f>
        <v>Catalog Record</v>
      </c>
      <c r="AW267" s="6" t="str">
        <f>HYPERLINK("http://www.worldcat.org/oclc/14001013","WorldCat Record")</f>
        <v>WorldCat Record</v>
      </c>
      <c r="AX267" s="3" t="s">
        <v>2318</v>
      </c>
      <c r="AY267" s="3" t="s">
        <v>2319</v>
      </c>
      <c r="AZ267" s="3" t="s">
        <v>2320</v>
      </c>
      <c r="BA267" s="3" t="s">
        <v>2320</v>
      </c>
      <c r="BB267" s="3" t="s">
        <v>2324</v>
      </c>
      <c r="BC267" s="3" t="s">
        <v>142</v>
      </c>
      <c r="BD267" s="3" t="s">
        <v>308</v>
      </c>
      <c r="BE267" s="3" t="s">
        <v>2322</v>
      </c>
      <c r="BF267" s="3" t="s">
        <v>2324</v>
      </c>
      <c r="BG267" s="3" t="s">
        <v>2325</v>
      </c>
    </row>
    <row r="268" spans="1:59" ht="57" x14ac:dyDescent="0.45">
      <c r="A268" s="2" t="s">
        <v>59</v>
      </c>
      <c r="B268" s="2" t="s">
        <v>60</v>
      </c>
      <c r="C268" s="2" t="s">
        <v>2326</v>
      </c>
      <c r="D268" s="2" t="s">
        <v>2327</v>
      </c>
      <c r="E268" s="2" t="s">
        <v>2328</v>
      </c>
      <c r="G268" s="3" t="s">
        <v>62</v>
      </c>
      <c r="I268" s="3" t="s">
        <v>62</v>
      </c>
      <c r="J268" s="3" t="s">
        <v>62</v>
      </c>
      <c r="K268" s="3" t="s">
        <v>63</v>
      </c>
      <c r="M268" s="2" t="s">
        <v>2329</v>
      </c>
      <c r="N268" s="3" t="s">
        <v>918</v>
      </c>
      <c r="P268" s="3" t="s">
        <v>65</v>
      </c>
      <c r="Q268" s="2" t="s">
        <v>2330</v>
      </c>
      <c r="R268" s="3" t="s">
        <v>66</v>
      </c>
      <c r="S268" s="4">
        <v>28</v>
      </c>
      <c r="T268" s="4">
        <v>28</v>
      </c>
      <c r="U268" s="5" t="s">
        <v>2331</v>
      </c>
      <c r="V268" s="5" t="s">
        <v>2331</v>
      </c>
      <c r="W268" s="5" t="s">
        <v>67</v>
      </c>
      <c r="X268" s="5" t="s">
        <v>67</v>
      </c>
      <c r="Y268" s="4">
        <v>435</v>
      </c>
      <c r="Z268" s="4">
        <v>24</v>
      </c>
      <c r="AA268" s="4">
        <v>95</v>
      </c>
      <c r="AB268" s="4">
        <v>2</v>
      </c>
      <c r="AC268" s="4">
        <v>18</v>
      </c>
      <c r="AD268" s="4">
        <v>109</v>
      </c>
      <c r="AE268" s="4">
        <v>142</v>
      </c>
      <c r="AF268" s="4">
        <v>1</v>
      </c>
      <c r="AG268" s="4">
        <v>8</v>
      </c>
      <c r="AH268" s="4">
        <v>97</v>
      </c>
      <c r="AI268" s="4">
        <v>105</v>
      </c>
      <c r="AJ268" s="4">
        <v>17</v>
      </c>
      <c r="AK268" s="4">
        <v>25</v>
      </c>
      <c r="AL268" s="4">
        <v>53</v>
      </c>
      <c r="AM268" s="4">
        <v>55</v>
      </c>
      <c r="AN268" s="4">
        <v>0</v>
      </c>
      <c r="AO268" s="4">
        <v>0</v>
      </c>
      <c r="AP268" s="4">
        <v>20</v>
      </c>
      <c r="AQ268" s="4">
        <v>47</v>
      </c>
      <c r="AR268" s="3" t="s">
        <v>62</v>
      </c>
      <c r="AS268" s="3" t="s">
        <v>62</v>
      </c>
      <c r="AT268" s="3" t="s">
        <v>62</v>
      </c>
      <c r="AV268" s="6" t="str">
        <f>HYPERLINK("http://mcgill.on.worldcat.org/oclc/50292549","Catalog Record")</f>
        <v>Catalog Record</v>
      </c>
      <c r="AW268" s="6" t="str">
        <f>HYPERLINK("http://www.worldcat.org/oclc/50292549","WorldCat Record")</f>
        <v>WorldCat Record</v>
      </c>
      <c r="AX268" s="3" t="s">
        <v>2332</v>
      </c>
      <c r="AY268" s="3" t="s">
        <v>2333</v>
      </c>
      <c r="AZ268" s="3" t="s">
        <v>2334</v>
      </c>
      <c r="BA268" s="3" t="s">
        <v>2334</v>
      </c>
      <c r="BB268" s="3" t="s">
        <v>2335</v>
      </c>
      <c r="BC268" s="3" t="s">
        <v>142</v>
      </c>
      <c r="BD268" s="3" t="s">
        <v>308</v>
      </c>
      <c r="BE268" s="3" t="s">
        <v>2336</v>
      </c>
      <c r="BF268" s="3" t="s">
        <v>2335</v>
      </c>
      <c r="BG268" s="3" t="s">
        <v>2337</v>
      </c>
    </row>
    <row r="269" spans="1:59" ht="57" x14ac:dyDescent="0.45">
      <c r="A269" s="2" t="s">
        <v>59</v>
      </c>
      <c r="B269" s="2" t="s">
        <v>60</v>
      </c>
      <c r="C269" s="2" t="s">
        <v>2338</v>
      </c>
      <c r="D269" s="2" t="s">
        <v>2339</v>
      </c>
      <c r="E269" s="2" t="s">
        <v>2340</v>
      </c>
      <c r="G269" s="3" t="s">
        <v>62</v>
      </c>
      <c r="I269" s="3" t="s">
        <v>62</v>
      </c>
      <c r="J269" s="3" t="s">
        <v>62</v>
      </c>
      <c r="K269" s="3" t="s">
        <v>63</v>
      </c>
      <c r="M269" s="2" t="s">
        <v>2341</v>
      </c>
      <c r="N269" s="3" t="s">
        <v>157</v>
      </c>
      <c r="P269" s="3" t="s">
        <v>65</v>
      </c>
      <c r="R269" s="3" t="s">
        <v>66</v>
      </c>
      <c r="S269" s="4">
        <v>16</v>
      </c>
      <c r="T269" s="4">
        <v>16</v>
      </c>
      <c r="U269" s="5" t="s">
        <v>2342</v>
      </c>
      <c r="V269" s="5" t="s">
        <v>2342</v>
      </c>
      <c r="W269" s="5" t="s">
        <v>67</v>
      </c>
      <c r="X269" s="5" t="s">
        <v>67</v>
      </c>
      <c r="Y269" s="4">
        <v>444</v>
      </c>
      <c r="Z269" s="4">
        <v>28</v>
      </c>
      <c r="AA269" s="4">
        <v>36</v>
      </c>
      <c r="AB269" s="4">
        <v>2</v>
      </c>
      <c r="AC269" s="4">
        <v>10</v>
      </c>
      <c r="AD269" s="4">
        <v>117</v>
      </c>
      <c r="AE269" s="4">
        <v>121</v>
      </c>
      <c r="AF269" s="4">
        <v>1</v>
      </c>
      <c r="AG269" s="4">
        <v>5</v>
      </c>
      <c r="AH269" s="4">
        <v>101</v>
      </c>
      <c r="AI269" s="4">
        <v>102</v>
      </c>
      <c r="AJ269" s="4">
        <v>18</v>
      </c>
      <c r="AK269" s="4">
        <v>21</v>
      </c>
      <c r="AL269" s="4">
        <v>52</v>
      </c>
      <c r="AM269" s="4">
        <v>52</v>
      </c>
      <c r="AN269" s="4">
        <v>0</v>
      </c>
      <c r="AO269" s="4">
        <v>0</v>
      </c>
      <c r="AP269" s="4">
        <v>23</v>
      </c>
      <c r="AQ269" s="4">
        <v>26</v>
      </c>
      <c r="AR269" s="3" t="s">
        <v>62</v>
      </c>
      <c r="AS269" s="3" t="s">
        <v>62</v>
      </c>
      <c r="AT269" s="3" t="s">
        <v>62</v>
      </c>
      <c r="AV269" s="6" t="str">
        <f>HYPERLINK("http://mcgill.on.worldcat.org/oclc/7734558","Catalog Record")</f>
        <v>Catalog Record</v>
      </c>
      <c r="AW269" s="6" t="str">
        <f>HYPERLINK("http://www.worldcat.org/oclc/7734558","WorldCat Record")</f>
        <v>WorldCat Record</v>
      </c>
      <c r="AX269" s="3" t="s">
        <v>2343</v>
      </c>
      <c r="AY269" s="3" t="s">
        <v>2344</v>
      </c>
      <c r="AZ269" s="3" t="s">
        <v>2345</v>
      </c>
      <c r="BA269" s="3" t="s">
        <v>2345</v>
      </c>
      <c r="BB269" s="3" t="s">
        <v>2346</v>
      </c>
      <c r="BC269" s="3" t="s">
        <v>142</v>
      </c>
      <c r="BD269" s="3" t="s">
        <v>68</v>
      </c>
      <c r="BE269" s="3" t="s">
        <v>2347</v>
      </c>
      <c r="BF269" s="3" t="s">
        <v>2346</v>
      </c>
      <c r="BG269" s="3" t="s">
        <v>2348</v>
      </c>
    </row>
    <row r="270" spans="1:59" ht="71.25" x14ac:dyDescent="0.45">
      <c r="A270" s="2" t="s">
        <v>59</v>
      </c>
      <c r="B270" s="2" t="s">
        <v>60</v>
      </c>
      <c r="C270" s="2" t="s">
        <v>2349</v>
      </c>
      <c r="D270" s="2" t="s">
        <v>2350</v>
      </c>
      <c r="E270" s="2" t="s">
        <v>2351</v>
      </c>
      <c r="F270" s="3" t="s">
        <v>2352</v>
      </c>
      <c r="G270" s="3" t="s">
        <v>62</v>
      </c>
      <c r="I270" s="3" t="s">
        <v>62</v>
      </c>
      <c r="J270" s="3" t="s">
        <v>62</v>
      </c>
      <c r="K270" s="3" t="s">
        <v>63</v>
      </c>
      <c r="M270" s="2" t="s">
        <v>2353</v>
      </c>
      <c r="N270" s="3" t="s">
        <v>894</v>
      </c>
      <c r="P270" s="3" t="s">
        <v>65</v>
      </c>
      <c r="Q270" s="2" t="s">
        <v>2354</v>
      </c>
      <c r="R270" s="3" t="s">
        <v>66</v>
      </c>
      <c r="S270" s="4">
        <v>1</v>
      </c>
      <c r="T270" s="4">
        <v>1</v>
      </c>
      <c r="W270" s="5" t="s">
        <v>67</v>
      </c>
      <c r="X270" s="5" t="s">
        <v>67</v>
      </c>
      <c r="Y270" s="4">
        <v>24</v>
      </c>
      <c r="Z270" s="4">
        <v>3</v>
      </c>
      <c r="AA270" s="4">
        <v>3</v>
      </c>
      <c r="AB270" s="4">
        <v>1</v>
      </c>
      <c r="AC270" s="4">
        <v>1</v>
      </c>
      <c r="AD270" s="4">
        <v>7</v>
      </c>
      <c r="AE270" s="4">
        <v>8</v>
      </c>
      <c r="AF270" s="4">
        <v>0</v>
      </c>
      <c r="AG270" s="4">
        <v>0</v>
      </c>
      <c r="AH270" s="4">
        <v>6</v>
      </c>
      <c r="AI270" s="4">
        <v>7</v>
      </c>
      <c r="AJ270" s="4">
        <v>2</v>
      </c>
      <c r="AK270" s="4">
        <v>2</v>
      </c>
      <c r="AL270" s="4">
        <v>5</v>
      </c>
      <c r="AM270" s="4">
        <v>6</v>
      </c>
      <c r="AN270" s="4">
        <v>0</v>
      </c>
      <c r="AO270" s="4">
        <v>0</v>
      </c>
      <c r="AP270" s="4">
        <v>2</v>
      </c>
      <c r="AQ270" s="4">
        <v>2</v>
      </c>
      <c r="AR270" s="3" t="s">
        <v>62</v>
      </c>
      <c r="AS270" s="3" t="s">
        <v>62</v>
      </c>
      <c r="AT270" s="3" t="s">
        <v>62</v>
      </c>
      <c r="AV270" s="6" t="str">
        <f>HYPERLINK("http://mcgill.on.worldcat.org/oclc/794494214","Catalog Record")</f>
        <v>Catalog Record</v>
      </c>
      <c r="AW270" s="6" t="str">
        <f>HYPERLINK("http://www.worldcat.org/oclc/794494214","WorldCat Record")</f>
        <v>WorldCat Record</v>
      </c>
      <c r="AX270" s="3" t="s">
        <v>2355</v>
      </c>
      <c r="AY270" s="3" t="s">
        <v>2356</v>
      </c>
      <c r="AZ270" s="3" t="s">
        <v>2357</v>
      </c>
      <c r="BA270" s="3" t="s">
        <v>2357</v>
      </c>
      <c r="BB270" s="3" t="s">
        <v>2358</v>
      </c>
      <c r="BC270" s="3" t="s">
        <v>142</v>
      </c>
      <c r="BD270" s="3" t="s">
        <v>308</v>
      </c>
      <c r="BE270" s="3" t="s">
        <v>2359</v>
      </c>
      <c r="BF270" s="3" t="s">
        <v>2358</v>
      </c>
      <c r="BG270" s="3" t="s">
        <v>2360</v>
      </c>
    </row>
    <row r="271" spans="1:59" ht="57" x14ac:dyDescent="0.45">
      <c r="A271" s="2" t="s">
        <v>59</v>
      </c>
      <c r="B271" s="2" t="s">
        <v>60</v>
      </c>
      <c r="C271" s="2" t="s">
        <v>2361</v>
      </c>
      <c r="D271" s="2" t="s">
        <v>2362</v>
      </c>
      <c r="E271" s="2" t="s">
        <v>2363</v>
      </c>
      <c r="G271" s="3" t="s">
        <v>62</v>
      </c>
      <c r="I271" s="3" t="s">
        <v>62</v>
      </c>
      <c r="J271" s="3" t="s">
        <v>62</v>
      </c>
      <c r="K271" s="3" t="s">
        <v>63</v>
      </c>
      <c r="M271" s="2" t="s">
        <v>2364</v>
      </c>
      <c r="N271" s="3" t="s">
        <v>167</v>
      </c>
      <c r="P271" s="3" t="s">
        <v>65</v>
      </c>
      <c r="Q271" s="2" t="s">
        <v>1987</v>
      </c>
      <c r="R271" s="3" t="s">
        <v>66</v>
      </c>
      <c r="S271" s="4">
        <v>9</v>
      </c>
      <c r="T271" s="4">
        <v>9</v>
      </c>
      <c r="U271" s="5" t="s">
        <v>2365</v>
      </c>
      <c r="V271" s="5" t="s">
        <v>2365</v>
      </c>
      <c r="W271" s="5" t="s">
        <v>67</v>
      </c>
      <c r="X271" s="5" t="s">
        <v>67</v>
      </c>
      <c r="Y271" s="4">
        <v>219</v>
      </c>
      <c r="Z271" s="4">
        <v>17</v>
      </c>
      <c r="AA271" s="4">
        <v>22</v>
      </c>
      <c r="AB271" s="4">
        <v>2</v>
      </c>
      <c r="AC271" s="4">
        <v>6</v>
      </c>
      <c r="AD271" s="4">
        <v>71</v>
      </c>
      <c r="AE271" s="4">
        <v>90</v>
      </c>
      <c r="AF271" s="4">
        <v>1</v>
      </c>
      <c r="AG271" s="4">
        <v>2</v>
      </c>
      <c r="AH271" s="4">
        <v>63</v>
      </c>
      <c r="AI271" s="4">
        <v>82</v>
      </c>
      <c r="AJ271" s="4">
        <v>15</v>
      </c>
      <c r="AK271" s="4">
        <v>16</v>
      </c>
      <c r="AL271" s="4">
        <v>32</v>
      </c>
      <c r="AM271" s="4">
        <v>38</v>
      </c>
      <c r="AN271" s="4">
        <v>0</v>
      </c>
      <c r="AO271" s="4">
        <v>0</v>
      </c>
      <c r="AP271" s="4">
        <v>15</v>
      </c>
      <c r="AQ271" s="4">
        <v>16</v>
      </c>
      <c r="AR271" s="3" t="s">
        <v>62</v>
      </c>
      <c r="AS271" s="3" t="s">
        <v>62</v>
      </c>
      <c r="AT271" s="3" t="s">
        <v>62</v>
      </c>
      <c r="AV271" s="6" t="str">
        <f>HYPERLINK("http://mcgill.on.worldcat.org/oclc/41466451","Catalog Record")</f>
        <v>Catalog Record</v>
      </c>
      <c r="AW271" s="6" t="str">
        <f>HYPERLINK("http://www.worldcat.org/oclc/41466451","WorldCat Record")</f>
        <v>WorldCat Record</v>
      </c>
      <c r="AX271" s="3" t="s">
        <v>2366</v>
      </c>
      <c r="AY271" s="3" t="s">
        <v>2367</v>
      </c>
      <c r="AZ271" s="3" t="s">
        <v>2368</v>
      </c>
      <c r="BA271" s="3" t="s">
        <v>2368</v>
      </c>
      <c r="BB271" s="3" t="s">
        <v>2369</v>
      </c>
      <c r="BC271" s="3" t="s">
        <v>142</v>
      </c>
      <c r="BD271" s="3" t="s">
        <v>68</v>
      </c>
      <c r="BE271" s="3" t="s">
        <v>2370</v>
      </c>
      <c r="BF271" s="3" t="s">
        <v>2369</v>
      </c>
      <c r="BG271" s="3" t="s">
        <v>2371</v>
      </c>
    </row>
    <row r="272" spans="1:59" ht="57" x14ac:dyDescent="0.45">
      <c r="A272" s="2" t="s">
        <v>59</v>
      </c>
      <c r="B272" s="2" t="s">
        <v>60</v>
      </c>
      <c r="C272" s="2" t="s">
        <v>2372</v>
      </c>
      <c r="D272" s="2" t="s">
        <v>2373</v>
      </c>
      <c r="E272" s="2" t="s">
        <v>2374</v>
      </c>
      <c r="G272" s="3" t="s">
        <v>62</v>
      </c>
      <c r="I272" s="3" t="s">
        <v>61</v>
      </c>
      <c r="J272" s="3" t="s">
        <v>62</v>
      </c>
      <c r="K272" s="3" t="s">
        <v>63</v>
      </c>
      <c r="L272" s="2" t="s">
        <v>2375</v>
      </c>
      <c r="M272" s="2" t="s">
        <v>2376</v>
      </c>
      <c r="N272" s="3" t="s">
        <v>1239</v>
      </c>
      <c r="P272" s="3" t="s">
        <v>65</v>
      </c>
      <c r="Q272" s="2" t="s">
        <v>2377</v>
      </c>
      <c r="R272" s="3" t="s">
        <v>66</v>
      </c>
      <c r="S272" s="4">
        <v>41</v>
      </c>
      <c r="T272" s="4">
        <v>56</v>
      </c>
      <c r="U272" s="5" t="s">
        <v>2378</v>
      </c>
      <c r="V272" s="5" t="s">
        <v>2378</v>
      </c>
      <c r="W272" s="5" t="s">
        <v>67</v>
      </c>
      <c r="X272" s="5" t="s">
        <v>67</v>
      </c>
      <c r="Y272" s="4">
        <v>727</v>
      </c>
      <c r="Z272" s="4">
        <v>42</v>
      </c>
      <c r="AA272" s="4">
        <v>106</v>
      </c>
      <c r="AB272" s="4">
        <v>2</v>
      </c>
      <c r="AC272" s="4">
        <v>19</v>
      </c>
      <c r="AD272" s="4">
        <v>135</v>
      </c>
      <c r="AE272" s="4">
        <v>160</v>
      </c>
      <c r="AF272" s="4">
        <v>1</v>
      </c>
      <c r="AG272" s="4">
        <v>8</v>
      </c>
      <c r="AH272" s="4">
        <v>112</v>
      </c>
      <c r="AI272" s="4">
        <v>117</v>
      </c>
      <c r="AJ272" s="4">
        <v>21</v>
      </c>
      <c r="AK272" s="4">
        <v>27</v>
      </c>
      <c r="AL272" s="4">
        <v>59</v>
      </c>
      <c r="AM272" s="4">
        <v>60</v>
      </c>
      <c r="AN272" s="4">
        <v>0</v>
      </c>
      <c r="AO272" s="4">
        <v>0</v>
      </c>
      <c r="AP272" s="4">
        <v>33</v>
      </c>
      <c r="AQ272" s="4">
        <v>53</v>
      </c>
      <c r="AR272" s="3" t="s">
        <v>62</v>
      </c>
      <c r="AS272" s="3" t="s">
        <v>62</v>
      </c>
      <c r="AT272" s="3" t="s">
        <v>62</v>
      </c>
      <c r="AV272" s="6" t="str">
        <f>HYPERLINK("http://mcgill.on.worldcat.org/oclc/18136175","Catalog Record")</f>
        <v>Catalog Record</v>
      </c>
      <c r="AW272" s="6" t="str">
        <f>HYPERLINK("http://www.worldcat.org/oclc/18136175","WorldCat Record")</f>
        <v>WorldCat Record</v>
      </c>
      <c r="AX272" s="3" t="s">
        <v>2379</v>
      </c>
      <c r="AY272" s="3" t="s">
        <v>2380</v>
      </c>
      <c r="AZ272" s="3" t="s">
        <v>2381</v>
      </c>
      <c r="BA272" s="3" t="s">
        <v>2381</v>
      </c>
      <c r="BB272" s="3" t="s">
        <v>2382</v>
      </c>
      <c r="BC272" s="3" t="s">
        <v>142</v>
      </c>
      <c r="BD272" s="3" t="s">
        <v>68</v>
      </c>
      <c r="BE272" s="3" t="s">
        <v>2383</v>
      </c>
      <c r="BF272" s="3" t="s">
        <v>2382</v>
      </c>
      <c r="BG272" s="3" t="s">
        <v>2384</v>
      </c>
    </row>
    <row r="273" spans="1:59" ht="57" x14ac:dyDescent="0.45">
      <c r="A273" s="2" t="s">
        <v>59</v>
      </c>
      <c r="B273" s="2" t="s">
        <v>60</v>
      </c>
      <c r="C273" s="2" t="s">
        <v>2372</v>
      </c>
      <c r="D273" s="2" t="s">
        <v>2373</v>
      </c>
      <c r="E273" s="2" t="s">
        <v>2374</v>
      </c>
      <c r="G273" s="3" t="s">
        <v>62</v>
      </c>
      <c r="I273" s="3" t="s">
        <v>61</v>
      </c>
      <c r="J273" s="3" t="s">
        <v>62</v>
      </c>
      <c r="K273" s="3" t="s">
        <v>63</v>
      </c>
      <c r="L273" s="2" t="s">
        <v>2375</v>
      </c>
      <c r="M273" s="2" t="s">
        <v>2376</v>
      </c>
      <c r="N273" s="3" t="s">
        <v>1239</v>
      </c>
      <c r="P273" s="3" t="s">
        <v>65</v>
      </c>
      <c r="Q273" s="2" t="s">
        <v>2377</v>
      </c>
      <c r="R273" s="3" t="s">
        <v>66</v>
      </c>
      <c r="S273" s="4">
        <v>15</v>
      </c>
      <c r="T273" s="4">
        <v>56</v>
      </c>
      <c r="U273" s="5" t="s">
        <v>2385</v>
      </c>
      <c r="V273" s="5" t="s">
        <v>2378</v>
      </c>
      <c r="W273" s="5" t="s">
        <v>67</v>
      </c>
      <c r="X273" s="5" t="s">
        <v>67</v>
      </c>
      <c r="Y273" s="4">
        <v>727</v>
      </c>
      <c r="Z273" s="4">
        <v>42</v>
      </c>
      <c r="AA273" s="4">
        <v>106</v>
      </c>
      <c r="AB273" s="4">
        <v>2</v>
      </c>
      <c r="AC273" s="4">
        <v>19</v>
      </c>
      <c r="AD273" s="4">
        <v>135</v>
      </c>
      <c r="AE273" s="4">
        <v>160</v>
      </c>
      <c r="AF273" s="4">
        <v>1</v>
      </c>
      <c r="AG273" s="4">
        <v>8</v>
      </c>
      <c r="AH273" s="4">
        <v>112</v>
      </c>
      <c r="AI273" s="4">
        <v>117</v>
      </c>
      <c r="AJ273" s="4">
        <v>21</v>
      </c>
      <c r="AK273" s="4">
        <v>27</v>
      </c>
      <c r="AL273" s="4">
        <v>59</v>
      </c>
      <c r="AM273" s="4">
        <v>60</v>
      </c>
      <c r="AN273" s="4">
        <v>0</v>
      </c>
      <c r="AO273" s="4">
        <v>0</v>
      </c>
      <c r="AP273" s="4">
        <v>33</v>
      </c>
      <c r="AQ273" s="4">
        <v>53</v>
      </c>
      <c r="AR273" s="3" t="s">
        <v>62</v>
      </c>
      <c r="AS273" s="3" t="s">
        <v>62</v>
      </c>
      <c r="AT273" s="3" t="s">
        <v>62</v>
      </c>
      <c r="AV273" s="6" t="str">
        <f>HYPERLINK("http://mcgill.on.worldcat.org/oclc/18136175","Catalog Record")</f>
        <v>Catalog Record</v>
      </c>
      <c r="AW273" s="6" t="str">
        <f>HYPERLINK("http://www.worldcat.org/oclc/18136175","WorldCat Record")</f>
        <v>WorldCat Record</v>
      </c>
      <c r="AX273" s="3" t="s">
        <v>2379</v>
      </c>
      <c r="AY273" s="3" t="s">
        <v>2380</v>
      </c>
      <c r="AZ273" s="3" t="s">
        <v>2381</v>
      </c>
      <c r="BA273" s="3" t="s">
        <v>2381</v>
      </c>
      <c r="BB273" s="3" t="s">
        <v>2386</v>
      </c>
      <c r="BC273" s="3" t="s">
        <v>142</v>
      </c>
      <c r="BD273" s="3" t="s">
        <v>68</v>
      </c>
      <c r="BE273" s="3" t="s">
        <v>2383</v>
      </c>
      <c r="BF273" s="3" t="s">
        <v>2386</v>
      </c>
      <c r="BG273" s="3" t="s">
        <v>2387</v>
      </c>
    </row>
    <row r="274" spans="1:59" ht="57" x14ac:dyDescent="0.45">
      <c r="A274" s="2" t="s">
        <v>59</v>
      </c>
      <c r="B274" s="2" t="s">
        <v>60</v>
      </c>
      <c r="C274" s="2" t="s">
        <v>2388</v>
      </c>
      <c r="D274" s="2" t="s">
        <v>2389</v>
      </c>
      <c r="E274" s="2" t="s">
        <v>2390</v>
      </c>
      <c r="G274" s="3" t="s">
        <v>62</v>
      </c>
      <c r="I274" s="3" t="s">
        <v>62</v>
      </c>
      <c r="J274" s="3" t="s">
        <v>62</v>
      </c>
      <c r="K274" s="3" t="s">
        <v>63</v>
      </c>
      <c r="L274" s="2" t="s">
        <v>2391</v>
      </c>
      <c r="M274" s="2" t="s">
        <v>2392</v>
      </c>
      <c r="N274" s="3" t="s">
        <v>480</v>
      </c>
      <c r="P274" s="3" t="s">
        <v>65</v>
      </c>
      <c r="R274" s="3" t="s">
        <v>66</v>
      </c>
      <c r="S274" s="4">
        <v>6</v>
      </c>
      <c r="T274" s="4">
        <v>6</v>
      </c>
      <c r="U274" s="5" t="s">
        <v>1393</v>
      </c>
      <c r="V274" s="5" t="s">
        <v>1393</v>
      </c>
      <c r="W274" s="5" t="s">
        <v>67</v>
      </c>
      <c r="X274" s="5" t="s">
        <v>67</v>
      </c>
      <c r="Y274" s="4">
        <v>473</v>
      </c>
      <c r="Z274" s="4">
        <v>32</v>
      </c>
      <c r="AA274" s="4">
        <v>42</v>
      </c>
      <c r="AB274" s="4">
        <v>2</v>
      </c>
      <c r="AC274" s="4">
        <v>11</v>
      </c>
      <c r="AD274" s="4">
        <v>120</v>
      </c>
      <c r="AE274" s="4">
        <v>126</v>
      </c>
      <c r="AF274" s="4">
        <v>1</v>
      </c>
      <c r="AG274" s="4">
        <v>6</v>
      </c>
      <c r="AH274" s="4">
        <v>104</v>
      </c>
      <c r="AI274" s="4">
        <v>105</v>
      </c>
      <c r="AJ274" s="4">
        <v>19</v>
      </c>
      <c r="AK274" s="4">
        <v>23</v>
      </c>
      <c r="AL274" s="4">
        <v>57</v>
      </c>
      <c r="AM274" s="4">
        <v>57</v>
      </c>
      <c r="AN274" s="4">
        <v>0</v>
      </c>
      <c r="AO274" s="4">
        <v>0</v>
      </c>
      <c r="AP274" s="4">
        <v>23</v>
      </c>
      <c r="AQ274" s="4">
        <v>28</v>
      </c>
      <c r="AR274" s="3" t="s">
        <v>62</v>
      </c>
      <c r="AS274" s="3" t="s">
        <v>62</v>
      </c>
      <c r="AT274" s="3" t="s">
        <v>61</v>
      </c>
      <c r="AU274" s="6" t="str">
        <f>HYPERLINK("http://catalog.hathitrust.org/Record/000037735","HathiTrust Record")</f>
        <v>HathiTrust Record</v>
      </c>
      <c r="AV274" s="6" t="str">
        <f>HYPERLINK("http://mcgill.on.worldcat.org/oclc/4593387","Catalog Record")</f>
        <v>Catalog Record</v>
      </c>
      <c r="AW274" s="6" t="str">
        <f>HYPERLINK("http://www.worldcat.org/oclc/4593387","WorldCat Record")</f>
        <v>WorldCat Record</v>
      </c>
      <c r="AX274" s="3" t="s">
        <v>2393</v>
      </c>
      <c r="AY274" s="3" t="s">
        <v>2394</v>
      </c>
      <c r="AZ274" s="3" t="s">
        <v>2395</v>
      </c>
      <c r="BA274" s="3" t="s">
        <v>2395</v>
      </c>
      <c r="BB274" s="3" t="s">
        <v>2396</v>
      </c>
      <c r="BC274" s="3" t="s">
        <v>142</v>
      </c>
      <c r="BD274" s="3" t="s">
        <v>68</v>
      </c>
      <c r="BE274" s="3" t="s">
        <v>2397</v>
      </c>
      <c r="BF274" s="3" t="s">
        <v>2396</v>
      </c>
      <c r="BG274" s="3" t="s">
        <v>2398</v>
      </c>
    </row>
    <row r="275" spans="1:59" ht="57" x14ac:dyDescent="0.45">
      <c r="A275" s="2" t="s">
        <v>59</v>
      </c>
      <c r="B275" s="2" t="s">
        <v>60</v>
      </c>
      <c r="C275" s="2" t="s">
        <v>2399</v>
      </c>
      <c r="D275" s="2" t="s">
        <v>2400</v>
      </c>
      <c r="E275" s="2" t="s">
        <v>2401</v>
      </c>
      <c r="F275" s="3" t="s">
        <v>2402</v>
      </c>
      <c r="G275" s="3" t="s">
        <v>62</v>
      </c>
      <c r="I275" s="3" t="s">
        <v>62</v>
      </c>
      <c r="J275" s="3" t="s">
        <v>62</v>
      </c>
      <c r="K275" s="3" t="s">
        <v>63</v>
      </c>
      <c r="L275" s="2" t="s">
        <v>2403</v>
      </c>
      <c r="M275" s="2" t="s">
        <v>2404</v>
      </c>
      <c r="N275" s="3" t="s">
        <v>894</v>
      </c>
      <c r="P275" s="3" t="s">
        <v>65</v>
      </c>
      <c r="R275" s="3" t="s">
        <v>66</v>
      </c>
      <c r="S275" s="4">
        <v>2</v>
      </c>
      <c r="T275" s="4">
        <v>2</v>
      </c>
      <c r="U275" s="5" t="s">
        <v>2405</v>
      </c>
      <c r="V275" s="5" t="s">
        <v>2405</v>
      </c>
      <c r="W275" s="5" t="s">
        <v>2406</v>
      </c>
      <c r="X275" s="5" t="s">
        <v>2406</v>
      </c>
      <c r="Y275" s="4">
        <v>76</v>
      </c>
      <c r="Z275" s="4">
        <v>10</v>
      </c>
      <c r="AA275" s="4">
        <v>84</v>
      </c>
      <c r="AB275" s="4">
        <v>2</v>
      </c>
      <c r="AC275" s="4">
        <v>15</v>
      </c>
      <c r="AD275" s="4">
        <v>30</v>
      </c>
      <c r="AE275" s="4">
        <v>105</v>
      </c>
      <c r="AF275" s="4">
        <v>1</v>
      </c>
      <c r="AG275" s="4">
        <v>8</v>
      </c>
      <c r="AH275" s="4">
        <v>26</v>
      </c>
      <c r="AI275" s="4">
        <v>69</v>
      </c>
      <c r="AJ275" s="4">
        <v>7</v>
      </c>
      <c r="AK275" s="4">
        <v>21</v>
      </c>
      <c r="AL275" s="4">
        <v>15</v>
      </c>
      <c r="AM275" s="4">
        <v>36</v>
      </c>
      <c r="AN275" s="4">
        <v>0</v>
      </c>
      <c r="AO275" s="4">
        <v>0</v>
      </c>
      <c r="AP275" s="4">
        <v>8</v>
      </c>
      <c r="AQ275" s="4">
        <v>41</v>
      </c>
      <c r="AR275" s="3" t="s">
        <v>62</v>
      </c>
      <c r="AS275" s="3" t="s">
        <v>62</v>
      </c>
      <c r="AT275" s="3" t="s">
        <v>62</v>
      </c>
      <c r="AV275" s="6" t="str">
        <f>HYPERLINK("http://mcgill.on.worldcat.org/oclc/642278783","Catalog Record")</f>
        <v>Catalog Record</v>
      </c>
      <c r="AW275" s="6" t="str">
        <f>HYPERLINK("http://www.worldcat.org/oclc/642278783","WorldCat Record")</f>
        <v>WorldCat Record</v>
      </c>
      <c r="AX275" s="3" t="s">
        <v>2407</v>
      </c>
      <c r="AY275" s="3" t="s">
        <v>2408</v>
      </c>
      <c r="AZ275" s="3" t="s">
        <v>2409</v>
      </c>
      <c r="BA275" s="3" t="s">
        <v>2409</v>
      </c>
      <c r="BB275" s="3" t="s">
        <v>2410</v>
      </c>
      <c r="BC275" s="3" t="s">
        <v>142</v>
      </c>
      <c r="BD275" s="3" t="s">
        <v>68</v>
      </c>
      <c r="BE275" s="3" t="s">
        <v>2411</v>
      </c>
      <c r="BF275" s="3" t="s">
        <v>2410</v>
      </c>
      <c r="BG275" s="3" t="s">
        <v>2412</v>
      </c>
    </row>
    <row r="276" spans="1:59" ht="57" x14ac:dyDescent="0.45">
      <c r="A276" s="2" t="s">
        <v>59</v>
      </c>
      <c r="B276" s="2" t="s">
        <v>60</v>
      </c>
      <c r="C276" s="2" t="s">
        <v>2413</v>
      </c>
      <c r="D276" s="2" t="s">
        <v>2414</v>
      </c>
      <c r="E276" s="2" t="s">
        <v>2415</v>
      </c>
      <c r="G276" s="3" t="s">
        <v>62</v>
      </c>
      <c r="I276" s="3" t="s">
        <v>62</v>
      </c>
      <c r="J276" s="3" t="s">
        <v>62</v>
      </c>
      <c r="K276" s="3" t="s">
        <v>63</v>
      </c>
      <c r="M276" s="2" t="s">
        <v>2416</v>
      </c>
      <c r="N276" s="3" t="s">
        <v>2417</v>
      </c>
      <c r="P276" s="3" t="s">
        <v>65</v>
      </c>
      <c r="R276" s="3" t="s">
        <v>66</v>
      </c>
      <c r="S276" s="4">
        <v>16</v>
      </c>
      <c r="T276" s="4">
        <v>16</v>
      </c>
      <c r="U276" s="5" t="s">
        <v>1393</v>
      </c>
      <c r="V276" s="5" t="s">
        <v>1393</v>
      </c>
      <c r="W276" s="5" t="s">
        <v>67</v>
      </c>
      <c r="X276" s="5" t="s">
        <v>67</v>
      </c>
      <c r="Y276" s="4">
        <v>400</v>
      </c>
      <c r="Z276" s="4">
        <v>29</v>
      </c>
      <c r="AA276" s="4">
        <v>34</v>
      </c>
      <c r="AB276" s="4">
        <v>1</v>
      </c>
      <c r="AC276" s="4">
        <v>6</v>
      </c>
      <c r="AD276" s="4">
        <v>118</v>
      </c>
      <c r="AE276" s="4">
        <v>122</v>
      </c>
      <c r="AF276" s="4">
        <v>0</v>
      </c>
      <c r="AG276" s="4">
        <v>4</v>
      </c>
      <c r="AH276" s="4">
        <v>102</v>
      </c>
      <c r="AI276" s="4">
        <v>103</v>
      </c>
      <c r="AJ276" s="4">
        <v>20</v>
      </c>
      <c r="AK276" s="4">
        <v>24</v>
      </c>
      <c r="AL276" s="4">
        <v>53</v>
      </c>
      <c r="AM276" s="4">
        <v>53</v>
      </c>
      <c r="AN276" s="4">
        <v>0</v>
      </c>
      <c r="AO276" s="4">
        <v>0</v>
      </c>
      <c r="AP276" s="4">
        <v>26</v>
      </c>
      <c r="AQ276" s="4">
        <v>29</v>
      </c>
      <c r="AR276" s="3" t="s">
        <v>62</v>
      </c>
      <c r="AS276" s="3" t="s">
        <v>62</v>
      </c>
      <c r="AT276" s="3" t="s">
        <v>62</v>
      </c>
      <c r="AV276" s="6" t="str">
        <f>HYPERLINK("http://mcgill.on.worldcat.org/oclc/17873236","Catalog Record")</f>
        <v>Catalog Record</v>
      </c>
      <c r="AW276" s="6" t="str">
        <f>HYPERLINK("http://www.worldcat.org/oclc/17873236","WorldCat Record")</f>
        <v>WorldCat Record</v>
      </c>
      <c r="AX276" s="3" t="s">
        <v>2418</v>
      </c>
      <c r="AY276" s="3" t="s">
        <v>2419</v>
      </c>
      <c r="AZ276" s="3" t="s">
        <v>2420</v>
      </c>
      <c r="BA276" s="3" t="s">
        <v>2420</v>
      </c>
      <c r="BB276" s="3" t="s">
        <v>2421</v>
      </c>
      <c r="BC276" s="3" t="s">
        <v>142</v>
      </c>
      <c r="BD276" s="3" t="s">
        <v>68</v>
      </c>
      <c r="BE276" s="3" t="s">
        <v>2422</v>
      </c>
      <c r="BF276" s="3" t="s">
        <v>2421</v>
      </c>
      <c r="BG276" s="3" t="s">
        <v>2423</v>
      </c>
    </row>
    <row r="277" spans="1:59" ht="57" x14ac:dyDescent="0.45">
      <c r="A277" s="2" t="s">
        <v>59</v>
      </c>
      <c r="B277" s="2" t="s">
        <v>60</v>
      </c>
      <c r="C277" s="2" t="s">
        <v>2424</v>
      </c>
      <c r="D277" s="2" t="s">
        <v>2425</v>
      </c>
      <c r="E277" s="2" t="s">
        <v>2426</v>
      </c>
      <c r="F277" s="3" t="s">
        <v>90</v>
      </c>
      <c r="G277" s="3" t="s">
        <v>61</v>
      </c>
      <c r="I277" s="3" t="s">
        <v>62</v>
      </c>
      <c r="J277" s="3" t="s">
        <v>62</v>
      </c>
      <c r="K277" s="3" t="s">
        <v>63</v>
      </c>
      <c r="M277" s="2" t="s">
        <v>2427</v>
      </c>
      <c r="N277" s="3" t="s">
        <v>945</v>
      </c>
      <c r="P277" s="3" t="s">
        <v>65</v>
      </c>
      <c r="Q277" s="2" t="s">
        <v>2428</v>
      </c>
      <c r="R277" s="3" t="s">
        <v>66</v>
      </c>
      <c r="S277" s="4">
        <v>2</v>
      </c>
      <c r="T277" s="4">
        <v>2</v>
      </c>
      <c r="U277" s="5" t="s">
        <v>1393</v>
      </c>
      <c r="V277" s="5" t="s">
        <v>1393</v>
      </c>
      <c r="W277" s="5" t="s">
        <v>67</v>
      </c>
      <c r="X277" s="5" t="s">
        <v>67</v>
      </c>
      <c r="Y277" s="4">
        <v>103</v>
      </c>
      <c r="Z277" s="4">
        <v>11</v>
      </c>
      <c r="AA277" s="4">
        <v>11</v>
      </c>
      <c r="AB277" s="4">
        <v>1</v>
      </c>
      <c r="AC277" s="4">
        <v>1</v>
      </c>
      <c r="AD277" s="4">
        <v>52</v>
      </c>
      <c r="AE277" s="4">
        <v>52</v>
      </c>
      <c r="AF277" s="4">
        <v>0</v>
      </c>
      <c r="AG277" s="4">
        <v>0</v>
      </c>
      <c r="AH277" s="4">
        <v>50</v>
      </c>
      <c r="AI277" s="4">
        <v>50</v>
      </c>
      <c r="AJ277" s="4">
        <v>9</v>
      </c>
      <c r="AK277" s="4">
        <v>9</v>
      </c>
      <c r="AL277" s="4">
        <v>33</v>
      </c>
      <c r="AM277" s="4">
        <v>33</v>
      </c>
      <c r="AN277" s="4">
        <v>0</v>
      </c>
      <c r="AO277" s="4">
        <v>0</v>
      </c>
      <c r="AP277" s="4">
        <v>9</v>
      </c>
      <c r="AQ277" s="4">
        <v>9</v>
      </c>
      <c r="AR277" s="3" t="s">
        <v>62</v>
      </c>
      <c r="AS277" s="3" t="s">
        <v>62</v>
      </c>
      <c r="AT277" s="3" t="s">
        <v>62</v>
      </c>
      <c r="AV277" s="6" t="str">
        <f>HYPERLINK("http://mcgill.on.worldcat.org/oclc/191680136","Catalog Record")</f>
        <v>Catalog Record</v>
      </c>
      <c r="AW277" s="6" t="str">
        <f>HYPERLINK("http://www.worldcat.org/oclc/191680136","WorldCat Record")</f>
        <v>WorldCat Record</v>
      </c>
      <c r="AX277" s="3" t="s">
        <v>2429</v>
      </c>
      <c r="AY277" s="3" t="s">
        <v>2430</v>
      </c>
      <c r="AZ277" s="3" t="s">
        <v>2431</v>
      </c>
      <c r="BA277" s="3" t="s">
        <v>2431</v>
      </c>
      <c r="BB277" s="3" t="s">
        <v>2432</v>
      </c>
      <c r="BC277" s="3" t="s">
        <v>142</v>
      </c>
      <c r="BD277" s="3" t="s">
        <v>68</v>
      </c>
      <c r="BE277" s="3" t="s">
        <v>2433</v>
      </c>
      <c r="BF277" s="3" t="s">
        <v>2432</v>
      </c>
      <c r="BG277" s="3" t="s">
        <v>2434</v>
      </c>
    </row>
    <row r="278" spans="1:59" ht="57" x14ac:dyDescent="0.45">
      <c r="A278" s="2" t="s">
        <v>59</v>
      </c>
      <c r="B278" s="2" t="s">
        <v>60</v>
      </c>
      <c r="C278" s="2" t="s">
        <v>2424</v>
      </c>
      <c r="D278" s="2" t="s">
        <v>2425</v>
      </c>
      <c r="E278" s="2" t="s">
        <v>2426</v>
      </c>
      <c r="F278" s="3" t="s">
        <v>87</v>
      </c>
      <c r="G278" s="3" t="s">
        <v>61</v>
      </c>
      <c r="I278" s="3" t="s">
        <v>62</v>
      </c>
      <c r="J278" s="3" t="s">
        <v>62</v>
      </c>
      <c r="K278" s="3" t="s">
        <v>63</v>
      </c>
      <c r="M278" s="2" t="s">
        <v>2427</v>
      </c>
      <c r="N278" s="3" t="s">
        <v>945</v>
      </c>
      <c r="P278" s="3" t="s">
        <v>65</v>
      </c>
      <c r="Q278" s="2" t="s">
        <v>2428</v>
      </c>
      <c r="R278" s="3" t="s">
        <v>66</v>
      </c>
      <c r="S278" s="4">
        <v>0</v>
      </c>
      <c r="T278" s="4">
        <v>2</v>
      </c>
      <c r="V278" s="5" t="s">
        <v>1393</v>
      </c>
      <c r="W278" s="5" t="s">
        <v>67</v>
      </c>
      <c r="X278" s="5" t="s">
        <v>67</v>
      </c>
      <c r="Y278" s="4">
        <v>103</v>
      </c>
      <c r="Z278" s="4">
        <v>11</v>
      </c>
      <c r="AA278" s="4">
        <v>11</v>
      </c>
      <c r="AB278" s="4">
        <v>1</v>
      </c>
      <c r="AC278" s="4">
        <v>1</v>
      </c>
      <c r="AD278" s="4">
        <v>52</v>
      </c>
      <c r="AE278" s="4">
        <v>52</v>
      </c>
      <c r="AF278" s="4">
        <v>0</v>
      </c>
      <c r="AG278" s="4">
        <v>0</v>
      </c>
      <c r="AH278" s="4">
        <v>50</v>
      </c>
      <c r="AI278" s="4">
        <v>50</v>
      </c>
      <c r="AJ278" s="4">
        <v>9</v>
      </c>
      <c r="AK278" s="4">
        <v>9</v>
      </c>
      <c r="AL278" s="4">
        <v>33</v>
      </c>
      <c r="AM278" s="4">
        <v>33</v>
      </c>
      <c r="AN278" s="4">
        <v>0</v>
      </c>
      <c r="AO278" s="4">
        <v>0</v>
      </c>
      <c r="AP278" s="4">
        <v>9</v>
      </c>
      <c r="AQ278" s="4">
        <v>9</v>
      </c>
      <c r="AR278" s="3" t="s">
        <v>62</v>
      </c>
      <c r="AS278" s="3" t="s">
        <v>62</v>
      </c>
      <c r="AT278" s="3" t="s">
        <v>62</v>
      </c>
      <c r="AV278" s="6" t="str">
        <f>HYPERLINK("http://mcgill.on.worldcat.org/oclc/191680136","Catalog Record")</f>
        <v>Catalog Record</v>
      </c>
      <c r="AW278" s="6" t="str">
        <f>HYPERLINK("http://www.worldcat.org/oclc/191680136","WorldCat Record")</f>
        <v>WorldCat Record</v>
      </c>
      <c r="AX278" s="3" t="s">
        <v>2429</v>
      </c>
      <c r="AY278" s="3" t="s">
        <v>2430</v>
      </c>
      <c r="AZ278" s="3" t="s">
        <v>2431</v>
      </c>
      <c r="BA278" s="3" t="s">
        <v>2431</v>
      </c>
      <c r="BB278" s="3" t="s">
        <v>2435</v>
      </c>
      <c r="BC278" s="3" t="s">
        <v>142</v>
      </c>
      <c r="BD278" s="3" t="s">
        <v>68</v>
      </c>
      <c r="BE278" s="3" t="s">
        <v>2433</v>
      </c>
      <c r="BF278" s="3" t="s">
        <v>2435</v>
      </c>
      <c r="BG278" s="3" t="s">
        <v>2436</v>
      </c>
    </row>
    <row r="279" spans="1:59" ht="57" x14ac:dyDescent="0.45">
      <c r="A279" s="2" t="s">
        <v>59</v>
      </c>
      <c r="B279" s="2" t="s">
        <v>60</v>
      </c>
      <c r="C279" s="2" t="s">
        <v>2437</v>
      </c>
      <c r="D279" s="2" t="s">
        <v>2438</v>
      </c>
      <c r="E279" s="2" t="s">
        <v>2439</v>
      </c>
      <c r="G279" s="3" t="s">
        <v>62</v>
      </c>
      <c r="I279" s="3" t="s">
        <v>62</v>
      </c>
      <c r="J279" s="3" t="s">
        <v>62</v>
      </c>
      <c r="K279" s="3" t="s">
        <v>63</v>
      </c>
      <c r="M279" s="2" t="s">
        <v>2440</v>
      </c>
      <c r="N279" s="3" t="s">
        <v>568</v>
      </c>
      <c r="P279" s="3" t="s">
        <v>65</v>
      </c>
      <c r="Q279" s="2" t="s">
        <v>2330</v>
      </c>
      <c r="R279" s="3" t="s">
        <v>66</v>
      </c>
      <c r="S279" s="4">
        <v>36</v>
      </c>
      <c r="T279" s="4">
        <v>36</v>
      </c>
      <c r="U279" s="5" t="s">
        <v>2047</v>
      </c>
      <c r="V279" s="5" t="s">
        <v>2047</v>
      </c>
      <c r="W279" s="5" t="s">
        <v>67</v>
      </c>
      <c r="X279" s="5" t="s">
        <v>67</v>
      </c>
      <c r="Y279" s="4">
        <v>428</v>
      </c>
      <c r="Z279" s="4">
        <v>24</v>
      </c>
      <c r="AA279" s="4">
        <v>33</v>
      </c>
      <c r="AB279" s="4">
        <v>3</v>
      </c>
      <c r="AC279" s="4">
        <v>8</v>
      </c>
      <c r="AD279" s="4">
        <v>116</v>
      </c>
      <c r="AE279" s="4">
        <v>123</v>
      </c>
      <c r="AF279" s="4">
        <v>0</v>
      </c>
      <c r="AG279" s="4">
        <v>3</v>
      </c>
      <c r="AH279" s="4">
        <v>104</v>
      </c>
      <c r="AI279" s="4">
        <v>107</v>
      </c>
      <c r="AJ279" s="4">
        <v>18</v>
      </c>
      <c r="AK279" s="4">
        <v>22</v>
      </c>
      <c r="AL279" s="4">
        <v>56</v>
      </c>
      <c r="AM279" s="4">
        <v>58</v>
      </c>
      <c r="AN279" s="4">
        <v>0</v>
      </c>
      <c r="AO279" s="4">
        <v>0</v>
      </c>
      <c r="AP279" s="4">
        <v>19</v>
      </c>
      <c r="AQ279" s="4">
        <v>23</v>
      </c>
      <c r="AR279" s="3" t="s">
        <v>62</v>
      </c>
      <c r="AS279" s="3" t="s">
        <v>62</v>
      </c>
      <c r="AT279" s="3" t="s">
        <v>62</v>
      </c>
      <c r="AV279" s="6" t="str">
        <f>HYPERLINK("http://mcgill.on.worldcat.org/oclc/15109259","Catalog Record")</f>
        <v>Catalog Record</v>
      </c>
      <c r="AW279" s="6" t="str">
        <f>HYPERLINK("http://www.worldcat.org/oclc/15109259","WorldCat Record")</f>
        <v>WorldCat Record</v>
      </c>
      <c r="AX279" s="3" t="s">
        <v>2441</v>
      </c>
      <c r="AY279" s="3" t="s">
        <v>2442</v>
      </c>
      <c r="AZ279" s="3" t="s">
        <v>2443</v>
      </c>
      <c r="BA279" s="3" t="s">
        <v>2443</v>
      </c>
      <c r="BB279" s="3" t="s">
        <v>2444</v>
      </c>
      <c r="BC279" s="3" t="s">
        <v>142</v>
      </c>
      <c r="BD279" s="3" t="s">
        <v>68</v>
      </c>
      <c r="BE279" s="3" t="s">
        <v>2445</v>
      </c>
      <c r="BF279" s="3" t="s">
        <v>2444</v>
      </c>
      <c r="BG279" s="3" t="s">
        <v>2446</v>
      </c>
    </row>
    <row r="280" spans="1:59" ht="57" x14ac:dyDescent="0.45">
      <c r="A280" s="2" t="s">
        <v>59</v>
      </c>
      <c r="B280" s="2" t="s">
        <v>60</v>
      </c>
      <c r="C280" s="2" t="s">
        <v>2447</v>
      </c>
      <c r="D280" s="2" t="s">
        <v>2448</v>
      </c>
      <c r="E280" s="2" t="s">
        <v>2449</v>
      </c>
      <c r="F280" s="3" t="s">
        <v>87</v>
      </c>
      <c r="G280" s="3" t="s">
        <v>61</v>
      </c>
      <c r="I280" s="3" t="s">
        <v>61</v>
      </c>
      <c r="J280" s="3" t="s">
        <v>62</v>
      </c>
      <c r="K280" s="3" t="s">
        <v>63</v>
      </c>
      <c r="M280" s="2" t="s">
        <v>2450</v>
      </c>
      <c r="N280" s="3" t="s">
        <v>1437</v>
      </c>
      <c r="P280" s="3" t="s">
        <v>65</v>
      </c>
      <c r="R280" s="3" t="s">
        <v>66</v>
      </c>
      <c r="S280" s="4">
        <v>9</v>
      </c>
      <c r="T280" s="4">
        <v>26</v>
      </c>
      <c r="U280" s="5" t="s">
        <v>2451</v>
      </c>
      <c r="V280" s="5" t="s">
        <v>2452</v>
      </c>
      <c r="W280" s="5" t="s">
        <v>67</v>
      </c>
      <c r="X280" s="5" t="s">
        <v>67</v>
      </c>
      <c r="Y280" s="4">
        <v>393</v>
      </c>
      <c r="Z280" s="4">
        <v>20</v>
      </c>
      <c r="AA280" s="4">
        <v>42</v>
      </c>
      <c r="AB280" s="4">
        <v>1</v>
      </c>
      <c r="AC280" s="4">
        <v>7</v>
      </c>
      <c r="AD280" s="4">
        <v>105</v>
      </c>
      <c r="AE280" s="4">
        <v>131</v>
      </c>
      <c r="AF280" s="4">
        <v>0</v>
      </c>
      <c r="AG280" s="4">
        <v>3</v>
      </c>
      <c r="AH280" s="4">
        <v>97</v>
      </c>
      <c r="AI280" s="4">
        <v>108</v>
      </c>
      <c r="AJ280" s="4">
        <v>14</v>
      </c>
      <c r="AK280" s="4">
        <v>22</v>
      </c>
      <c r="AL280" s="4">
        <v>54</v>
      </c>
      <c r="AM280" s="4">
        <v>58</v>
      </c>
      <c r="AN280" s="4">
        <v>0</v>
      </c>
      <c r="AO280" s="4">
        <v>0</v>
      </c>
      <c r="AP280" s="4">
        <v>15</v>
      </c>
      <c r="AQ280" s="4">
        <v>31</v>
      </c>
      <c r="AR280" s="3" t="s">
        <v>62</v>
      </c>
      <c r="AS280" s="3" t="s">
        <v>62</v>
      </c>
      <c r="AT280" s="3" t="s">
        <v>62</v>
      </c>
      <c r="AV280" s="6" t="str">
        <f>HYPERLINK("http://mcgill.on.worldcat.org/oclc/38391853","Catalog Record")</f>
        <v>Catalog Record</v>
      </c>
      <c r="AW280" s="6" t="str">
        <f>HYPERLINK("http://www.worldcat.org/oclc/38391853","WorldCat Record")</f>
        <v>WorldCat Record</v>
      </c>
      <c r="AX280" s="3" t="s">
        <v>2453</v>
      </c>
      <c r="AY280" s="3" t="s">
        <v>2454</v>
      </c>
      <c r="AZ280" s="3" t="s">
        <v>2455</v>
      </c>
      <c r="BA280" s="3" t="s">
        <v>2455</v>
      </c>
      <c r="BB280" s="3" t="s">
        <v>2456</v>
      </c>
      <c r="BC280" s="3" t="s">
        <v>142</v>
      </c>
      <c r="BD280" s="3" t="s">
        <v>68</v>
      </c>
      <c r="BE280" s="3" t="s">
        <v>2457</v>
      </c>
      <c r="BF280" s="3" t="s">
        <v>2456</v>
      </c>
      <c r="BG280" s="3" t="s">
        <v>2458</v>
      </c>
    </row>
    <row r="281" spans="1:59" ht="57" x14ac:dyDescent="0.45">
      <c r="A281" s="2" t="s">
        <v>59</v>
      </c>
      <c r="B281" s="2" t="s">
        <v>60</v>
      </c>
      <c r="C281" s="2" t="s">
        <v>2447</v>
      </c>
      <c r="D281" s="2" t="s">
        <v>2448</v>
      </c>
      <c r="E281" s="2" t="s">
        <v>2449</v>
      </c>
      <c r="F281" s="3" t="s">
        <v>90</v>
      </c>
      <c r="G281" s="3" t="s">
        <v>61</v>
      </c>
      <c r="I281" s="3" t="s">
        <v>61</v>
      </c>
      <c r="J281" s="3" t="s">
        <v>62</v>
      </c>
      <c r="K281" s="3" t="s">
        <v>63</v>
      </c>
      <c r="M281" s="2" t="s">
        <v>2450</v>
      </c>
      <c r="N281" s="3" t="s">
        <v>1437</v>
      </c>
      <c r="P281" s="3" t="s">
        <v>65</v>
      </c>
      <c r="R281" s="3" t="s">
        <v>66</v>
      </c>
      <c r="S281" s="4">
        <v>12</v>
      </c>
      <c r="T281" s="4">
        <v>26</v>
      </c>
      <c r="U281" s="5" t="s">
        <v>2452</v>
      </c>
      <c r="V281" s="5" t="s">
        <v>2452</v>
      </c>
      <c r="W281" s="5" t="s">
        <v>67</v>
      </c>
      <c r="X281" s="5" t="s">
        <v>67</v>
      </c>
      <c r="Y281" s="4">
        <v>393</v>
      </c>
      <c r="Z281" s="4">
        <v>20</v>
      </c>
      <c r="AA281" s="4">
        <v>42</v>
      </c>
      <c r="AB281" s="4">
        <v>1</v>
      </c>
      <c r="AC281" s="4">
        <v>7</v>
      </c>
      <c r="AD281" s="4">
        <v>105</v>
      </c>
      <c r="AE281" s="4">
        <v>131</v>
      </c>
      <c r="AF281" s="4">
        <v>0</v>
      </c>
      <c r="AG281" s="4">
        <v>3</v>
      </c>
      <c r="AH281" s="4">
        <v>97</v>
      </c>
      <c r="AI281" s="4">
        <v>108</v>
      </c>
      <c r="AJ281" s="4">
        <v>14</v>
      </c>
      <c r="AK281" s="4">
        <v>22</v>
      </c>
      <c r="AL281" s="4">
        <v>54</v>
      </c>
      <c r="AM281" s="4">
        <v>58</v>
      </c>
      <c r="AN281" s="4">
        <v>0</v>
      </c>
      <c r="AO281" s="4">
        <v>0</v>
      </c>
      <c r="AP281" s="4">
        <v>15</v>
      </c>
      <c r="AQ281" s="4">
        <v>31</v>
      </c>
      <c r="AR281" s="3" t="s">
        <v>62</v>
      </c>
      <c r="AS281" s="3" t="s">
        <v>62</v>
      </c>
      <c r="AT281" s="3" t="s">
        <v>62</v>
      </c>
      <c r="AV281" s="6" t="str">
        <f>HYPERLINK("http://mcgill.on.worldcat.org/oclc/38391853","Catalog Record")</f>
        <v>Catalog Record</v>
      </c>
      <c r="AW281" s="6" t="str">
        <f>HYPERLINK("http://www.worldcat.org/oclc/38391853","WorldCat Record")</f>
        <v>WorldCat Record</v>
      </c>
      <c r="AX281" s="3" t="s">
        <v>2453</v>
      </c>
      <c r="AY281" s="3" t="s">
        <v>2454</v>
      </c>
      <c r="AZ281" s="3" t="s">
        <v>2455</v>
      </c>
      <c r="BA281" s="3" t="s">
        <v>2455</v>
      </c>
      <c r="BB281" s="3" t="s">
        <v>2459</v>
      </c>
      <c r="BC281" s="3" t="s">
        <v>142</v>
      </c>
      <c r="BD281" s="3" t="s">
        <v>68</v>
      </c>
      <c r="BE281" s="3" t="s">
        <v>2457</v>
      </c>
      <c r="BF281" s="3" t="s">
        <v>2459</v>
      </c>
      <c r="BG281" s="3" t="s">
        <v>2460</v>
      </c>
    </row>
    <row r="282" spans="1:59" ht="57" x14ac:dyDescent="0.45">
      <c r="A282" s="2" t="s">
        <v>59</v>
      </c>
      <c r="B282" s="2" t="s">
        <v>60</v>
      </c>
      <c r="C282" s="2" t="s">
        <v>2447</v>
      </c>
      <c r="D282" s="2" t="s">
        <v>2448</v>
      </c>
      <c r="E282" s="2" t="s">
        <v>2449</v>
      </c>
      <c r="F282" s="3" t="s">
        <v>90</v>
      </c>
      <c r="G282" s="3" t="s">
        <v>61</v>
      </c>
      <c r="I282" s="3" t="s">
        <v>61</v>
      </c>
      <c r="J282" s="3" t="s">
        <v>62</v>
      </c>
      <c r="K282" s="3" t="s">
        <v>63</v>
      </c>
      <c r="M282" s="2" t="s">
        <v>2450</v>
      </c>
      <c r="N282" s="3" t="s">
        <v>1437</v>
      </c>
      <c r="P282" s="3" t="s">
        <v>65</v>
      </c>
      <c r="R282" s="3" t="s">
        <v>66</v>
      </c>
      <c r="S282" s="4">
        <v>5</v>
      </c>
      <c r="T282" s="4">
        <v>26</v>
      </c>
      <c r="U282" s="5" t="s">
        <v>2461</v>
      </c>
      <c r="V282" s="5" t="s">
        <v>2452</v>
      </c>
      <c r="W282" s="5" t="s">
        <v>67</v>
      </c>
      <c r="X282" s="5" t="s">
        <v>67</v>
      </c>
      <c r="Y282" s="4">
        <v>393</v>
      </c>
      <c r="Z282" s="4">
        <v>20</v>
      </c>
      <c r="AA282" s="4">
        <v>42</v>
      </c>
      <c r="AB282" s="4">
        <v>1</v>
      </c>
      <c r="AC282" s="4">
        <v>7</v>
      </c>
      <c r="AD282" s="4">
        <v>105</v>
      </c>
      <c r="AE282" s="4">
        <v>131</v>
      </c>
      <c r="AF282" s="4">
        <v>0</v>
      </c>
      <c r="AG282" s="4">
        <v>3</v>
      </c>
      <c r="AH282" s="4">
        <v>97</v>
      </c>
      <c r="AI282" s="4">
        <v>108</v>
      </c>
      <c r="AJ282" s="4">
        <v>14</v>
      </c>
      <c r="AK282" s="4">
        <v>22</v>
      </c>
      <c r="AL282" s="4">
        <v>54</v>
      </c>
      <c r="AM282" s="4">
        <v>58</v>
      </c>
      <c r="AN282" s="4">
        <v>0</v>
      </c>
      <c r="AO282" s="4">
        <v>0</v>
      </c>
      <c r="AP282" s="4">
        <v>15</v>
      </c>
      <c r="AQ282" s="4">
        <v>31</v>
      </c>
      <c r="AR282" s="3" t="s">
        <v>62</v>
      </c>
      <c r="AS282" s="3" t="s">
        <v>62</v>
      </c>
      <c r="AT282" s="3" t="s">
        <v>62</v>
      </c>
      <c r="AV282" s="6" t="str">
        <f>HYPERLINK("http://mcgill.on.worldcat.org/oclc/38391853","Catalog Record")</f>
        <v>Catalog Record</v>
      </c>
      <c r="AW282" s="6" t="str">
        <f>HYPERLINK("http://www.worldcat.org/oclc/38391853","WorldCat Record")</f>
        <v>WorldCat Record</v>
      </c>
      <c r="AX282" s="3" t="s">
        <v>2453</v>
      </c>
      <c r="AY282" s="3" t="s">
        <v>2454</v>
      </c>
      <c r="AZ282" s="3" t="s">
        <v>2455</v>
      </c>
      <c r="BA282" s="3" t="s">
        <v>2455</v>
      </c>
      <c r="BB282" s="3" t="s">
        <v>2462</v>
      </c>
      <c r="BC282" s="3" t="s">
        <v>142</v>
      </c>
      <c r="BD282" s="3" t="s">
        <v>68</v>
      </c>
      <c r="BE282" s="3" t="s">
        <v>2457</v>
      </c>
      <c r="BF282" s="3" t="s">
        <v>2462</v>
      </c>
      <c r="BG282" s="3" t="s">
        <v>2463</v>
      </c>
    </row>
    <row r="283" spans="1:59" ht="57" x14ac:dyDescent="0.45">
      <c r="A283" s="2" t="s">
        <v>59</v>
      </c>
      <c r="B283" s="2" t="s">
        <v>60</v>
      </c>
      <c r="C283" s="2" t="s">
        <v>2464</v>
      </c>
      <c r="D283" s="2" t="s">
        <v>2465</v>
      </c>
      <c r="E283" s="2" t="s">
        <v>2466</v>
      </c>
      <c r="G283" s="3" t="s">
        <v>62</v>
      </c>
      <c r="I283" s="3" t="s">
        <v>62</v>
      </c>
      <c r="J283" s="3" t="s">
        <v>62</v>
      </c>
      <c r="K283" s="3" t="s">
        <v>63</v>
      </c>
      <c r="L283" s="2" t="s">
        <v>2467</v>
      </c>
      <c r="M283" s="2" t="s">
        <v>2468</v>
      </c>
      <c r="N283" s="3" t="s">
        <v>820</v>
      </c>
      <c r="P283" s="3" t="s">
        <v>65</v>
      </c>
      <c r="Q283" s="2" t="s">
        <v>2120</v>
      </c>
      <c r="R283" s="3" t="s">
        <v>66</v>
      </c>
      <c r="S283" s="4">
        <v>5</v>
      </c>
      <c r="T283" s="4">
        <v>5</v>
      </c>
      <c r="U283" s="5" t="s">
        <v>2469</v>
      </c>
      <c r="V283" s="5" t="s">
        <v>2469</v>
      </c>
      <c r="W283" s="5" t="s">
        <v>67</v>
      </c>
      <c r="X283" s="5" t="s">
        <v>67</v>
      </c>
      <c r="Y283" s="4">
        <v>117</v>
      </c>
      <c r="Z283" s="4">
        <v>8</v>
      </c>
      <c r="AA283" s="4">
        <v>46</v>
      </c>
      <c r="AB283" s="4">
        <v>1</v>
      </c>
      <c r="AC283" s="4">
        <v>12</v>
      </c>
      <c r="AD283" s="4">
        <v>42</v>
      </c>
      <c r="AE283" s="4">
        <v>104</v>
      </c>
      <c r="AF283" s="4">
        <v>0</v>
      </c>
      <c r="AG283" s="4">
        <v>7</v>
      </c>
      <c r="AH283" s="4">
        <v>39</v>
      </c>
      <c r="AI283" s="4">
        <v>75</v>
      </c>
      <c r="AJ283" s="4">
        <v>6</v>
      </c>
      <c r="AK283" s="4">
        <v>21</v>
      </c>
      <c r="AL283" s="4">
        <v>26</v>
      </c>
      <c r="AM283" s="4">
        <v>41</v>
      </c>
      <c r="AN283" s="4">
        <v>0</v>
      </c>
      <c r="AO283" s="4">
        <v>0</v>
      </c>
      <c r="AP283" s="4">
        <v>6</v>
      </c>
      <c r="AQ283" s="4">
        <v>38</v>
      </c>
      <c r="AR283" s="3" t="s">
        <v>62</v>
      </c>
      <c r="AS283" s="3" t="s">
        <v>62</v>
      </c>
      <c r="AT283" s="3" t="s">
        <v>62</v>
      </c>
      <c r="AV283" s="6" t="str">
        <f>HYPERLINK("http://mcgill.on.worldcat.org/oclc/192027301","Catalog Record")</f>
        <v>Catalog Record</v>
      </c>
      <c r="AW283" s="6" t="str">
        <f>HYPERLINK("http://www.worldcat.org/oclc/192027301","WorldCat Record")</f>
        <v>WorldCat Record</v>
      </c>
      <c r="AX283" s="3" t="s">
        <v>2470</v>
      </c>
      <c r="AY283" s="3" t="s">
        <v>2471</v>
      </c>
      <c r="AZ283" s="3" t="s">
        <v>2472</v>
      </c>
      <c r="BA283" s="3" t="s">
        <v>2472</v>
      </c>
      <c r="BB283" s="3" t="s">
        <v>2473</v>
      </c>
      <c r="BC283" s="3" t="s">
        <v>142</v>
      </c>
      <c r="BD283" s="3" t="s">
        <v>68</v>
      </c>
      <c r="BE283" s="3" t="s">
        <v>2474</v>
      </c>
      <c r="BF283" s="3" t="s">
        <v>2473</v>
      </c>
      <c r="BG283" s="3" t="s">
        <v>2475</v>
      </c>
    </row>
    <row r="284" spans="1:59" ht="57" x14ac:dyDescent="0.45">
      <c r="A284" s="2" t="s">
        <v>59</v>
      </c>
      <c r="B284" s="2" t="s">
        <v>60</v>
      </c>
      <c r="C284" s="2" t="s">
        <v>2476</v>
      </c>
      <c r="D284" s="2" t="s">
        <v>2477</v>
      </c>
      <c r="E284" s="2" t="s">
        <v>2478</v>
      </c>
      <c r="G284" s="3" t="s">
        <v>62</v>
      </c>
      <c r="I284" s="3" t="s">
        <v>62</v>
      </c>
      <c r="J284" s="3" t="s">
        <v>62</v>
      </c>
      <c r="K284" s="3" t="s">
        <v>63</v>
      </c>
      <c r="M284" s="2" t="s">
        <v>2479</v>
      </c>
      <c r="N284" s="3" t="s">
        <v>1604</v>
      </c>
      <c r="P284" s="3" t="s">
        <v>65</v>
      </c>
      <c r="R284" s="3" t="s">
        <v>66</v>
      </c>
      <c r="S284" s="4">
        <v>18</v>
      </c>
      <c r="T284" s="4">
        <v>18</v>
      </c>
      <c r="U284" s="5" t="s">
        <v>118</v>
      </c>
      <c r="V284" s="5" t="s">
        <v>118</v>
      </c>
      <c r="W284" s="5" t="s">
        <v>67</v>
      </c>
      <c r="X284" s="5" t="s">
        <v>67</v>
      </c>
      <c r="Y284" s="4">
        <v>221</v>
      </c>
      <c r="Z284" s="4">
        <v>15</v>
      </c>
      <c r="AA284" s="4">
        <v>18</v>
      </c>
      <c r="AB284" s="4">
        <v>1</v>
      </c>
      <c r="AC284" s="4">
        <v>4</v>
      </c>
      <c r="AD284" s="4">
        <v>94</v>
      </c>
      <c r="AE284" s="4">
        <v>95</v>
      </c>
      <c r="AF284" s="4">
        <v>0</v>
      </c>
      <c r="AG284" s="4">
        <v>0</v>
      </c>
      <c r="AH284" s="4">
        <v>84</v>
      </c>
      <c r="AI284" s="4">
        <v>85</v>
      </c>
      <c r="AJ284" s="4">
        <v>13</v>
      </c>
      <c r="AK284" s="4">
        <v>13</v>
      </c>
      <c r="AL284" s="4">
        <v>52</v>
      </c>
      <c r="AM284" s="4">
        <v>52</v>
      </c>
      <c r="AN284" s="4">
        <v>0</v>
      </c>
      <c r="AO284" s="4">
        <v>0</v>
      </c>
      <c r="AP284" s="4">
        <v>13</v>
      </c>
      <c r="AQ284" s="4">
        <v>13</v>
      </c>
      <c r="AR284" s="3" t="s">
        <v>62</v>
      </c>
      <c r="AS284" s="3" t="s">
        <v>62</v>
      </c>
      <c r="AT284" s="3" t="s">
        <v>61</v>
      </c>
      <c r="AU284" s="6" t="str">
        <f>HYPERLINK("http://catalog.hathitrust.org/Record/002967728","HathiTrust Record")</f>
        <v>HathiTrust Record</v>
      </c>
      <c r="AV284" s="6" t="str">
        <f>HYPERLINK("http://mcgill.on.worldcat.org/oclc/29912173","Catalog Record")</f>
        <v>Catalog Record</v>
      </c>
      <c r="AW284" s="6" t="str">
        <f>HYPERLINK("http://www.worldcat.org/oclc/29912173","WorldCat Record")</f>
        <v>WorldCat Record</v>
      </c>
      <c r="AX284" s="3" t="s">
        <v>2480</v>
      </c>
      <c r="AY284" s="3" t="s">
        <v>2481</v>
      </c>
      <c r="AZ284" s="3" t="s">
        <v>2482</v>
      </c>
      <c r="BA284" s="3" t="s">
        <v>2482</v>
      </c>
      <c r="BB284" s="3" t="s">
        <v>2483</v>
      </c>
      <c r="BC284" s="3" t="s">
        <v>142</v>
      </c>
      <c r="BD284" s="3" t="s">
        <v>68</v>
      </c>
      <c r="BE284" s="3" t="s">
        <v>2484</v>
      </c>
      <c r="BF284" s="3" t="s">
        <v>2483</v>
      </c>
      <c r="BG284" s="3" t="s">
        <v>2485</v>
      </c>
    </row>
    <row r="285" spans="1:59" ht="57" x14ac:dyDescent="0.45">
      <c r="A285" s="2" t="s">
        <v>59</v>
      </c>
      <c r="B285" s="2" t="s">
        <v>60</v>
      </c>
      <c r="C285" s="2" t="s">
        <v>2486</v>
      </c>
      <c r="D285" s="2" t="s">
        <v>2487</v>
      </c>
      <c r="E285" s="2" t="s">
        <v>2488</v>
      </c>
      <c r="G285" s="3" t="s">
        <v>62</v>
      </c>
      <c r="I285" s="3" t="s">
        <v>62</v>
      </c>
      <c r="J285" s="3" t="s">
        <v>62</v>
      </c>
      <c r="K285" s="3" t="s">
        <v>63</v>
      </c>
      <c r="M285" s="2" t="s">
        <v>2489</v>
      </c>
      <c r="N285" s="3" t="s">
        <v>918</v>
      </c>
      <c r="P285" s="3" t="s">
        <v>65</v>
      </c>
      <c r="Q285" s="2" t="s">
        <v>2490</v>
      </c>
      <c r="R285" s="3" t="s">
        <v>66</v>
      </c>
      <c r="S285" s="4">
        <v>11</v>
      </c>
      <c r="T285" s="4">
        <v>11</v>
      </c>
      <c r="U285" s="5" t="s">
        <v>2491</v>
      </c>
      <c r="V285" s="5" t="s">
        <v>2491</v>
      </c>
      <c r="W285" s="5" t="s">
        <v>67</v>
      </c>
      <c r="X285" s="5" t="s">
        <v>67</v>
      </c>
      <c r="Y285" s="4">
        <v>160</v>
      </c>
      <c r="Z285" s="4">
        <v>11</v>
      </c>
      <c r="AA285" s="4">
        <v>81</v>
      </c>
      <c r="AB285" s="4">
        <v>1</v>
      </c>
      <c r="AC285" s="4">
        <v>14</v>
      </c>
      <c r="AD285" s="4">
        <v>58</v>
      </c>
      <c r="AE285" s="4">
        <v>120</v>
      </c>
      <c r="AF285" s="4">
        <v>0</v>
      </c>
      <c r="AG285" s="4">
        <v>8</v>
      </c>
      <c r="AH285" s="4">
        <v>54</v>
      </c>
      <c r="AI285" s="4">
        <v>85</v>
      </c>
      <c r="AJ285" s="4">
        <v>8</v>
      </c>
      <c r="AK285" s="4">
        <v>22</v>
      </c>
      <c r="AL285" s="4">
        <v>39</v>
      </c>
      <c r="AM285" s="4">
        <v>49</v>
      </c>
      <c r="AN285" s="4">
        <v>0</v>
      </c>
      <c r="AO285" s="4">
        <v>0</v>
      </c>
      <c r="AP285" s="4">
        <v>9</v>
      </c>
      <c r="AQ285" s="4">
        <v>43</v>
      </c>
      <c r="AR285" s="3" t="s">
        <v>62</v>
      </c>
      <c r="AS285" s="3" t="s">
        <v>62</v>
      </c>
      <c r="AT285" s="3" t="s">
        <v>61</v>
      </c>
      <c r="AU285" s="6" t="str">
        <f>HYPERLINK("http://catalog.hathitrust.org/Record/004721644","HathiTrust Record")</f>
        <v>HathiTrust Record</v>
      </c>
      <c r="AV285" s="6" t="str">
        <f>HYPERLINK("http://mcgill.on.worldcat.org/oclc/52602773","Catalog Record")</f>
        <v>Catalog Record</v>
      </c>
      <c r="AW285" s="6" t="str">
        <f>HYPERLINK("http://www.worldcat.org/oclc/52602773","WorldCat Record")</f>
        <v>WorldCat Record</v>
      </c>
      <c r="AX285" s="3" t="s">
        <v>2492</v>
      </c>
      <c r="AY285" s="3" t="s">
        <v>2493</v>
      </c>
      <c r="AZ285" s="3" t="s">
        <v>2494</v>
      </c>
      <c r="BA285" s="3" t="s">
        <v>2494</v>
      </c>
      <c r="BB285" s="3" t="s">
        <v>2495</v>
      </c>
      <c r="BC285" s="3" t="s">
        <v>142</v>
      </c>
      <c r="BD285" s="3" t="s">
        <v>68</v>
      </c>
      <c r="BE285" s="3" t="s">
        <v>2496</v>
      </c>
      <c r="BF285" s="3" t="s">
        <v>2495</v>
      </c>
      <c r="BG285" s="3" t="s">
        <v>2497</v>
      </c>
    </row>
    <row r="286" spans="1:59" ht="57" x14ac:dyDescent="0.45">
      <c r="A286" s="2" t="s">
        <v>59</v>
      </c>
      <c r="B286" s="2" t="s">
        <v>60</v>
      </c>
      <c r="C286" s="2" t="s">
        <v>2498</v>
      </c>
      <c r="D286" s="2" t="s">
        <v>2499</v>
      </c>
      <c r="E286" s="2" t="s">
        <v>2500</v>
      </c>
      <c r="G286" s="3" t="s">
        <v>62</v>
      </c>
      <c r="I286" s="3" t="s">
        <v>62</v>
      </c>
      <c r="J286" s="3" t="s">
        <v>62</v>
      </c>
      <c r="K286" s="3" t="s">
        <v>63</v>
      </c>
      <c r="M286" s="2" t="s">
        <v>2501</v>
      </c>
      <c r="N286" s="3" t="s">
        <v>894</v>
      </c>
      <c r="P286" s="3" t="s">
        <v>65</v>
      </c>
      <c r="Q286" s="2" t="s">
        <v>2502</v>
      </c>
      <c r="R286" s="3" t="s">
        <v>66</v>
      </c>
      <c r="S286" s="4">
        <v>0</v>
      </c>
      <c r="T286" s="4">
        <v>0</v>
      </c>
      <c r="W286" s="5" t="s">
        <v>67</v>
      </c>
      <c r="X286" s="5" t="s">
        <v>67</v>
      </c>
      <c r="Y286" s="4">
        <v>44</v>
      </c>
      <c r="Z286" s="4">
        <v>8</v>
      </c>
      <c r="AA286" s="4">
        <v>9</v>
      </c>
      <c r="AB286" s="4">
        <v>1</v>
      </c>
      <c r="AC286" s="4">
        <v>2</v>
      </c>
      <c r="AD286" s="4">
        <v>23</v>
      </c>
      <c r="AE286" s="4">
        <v>24</v>
      </c>
      <c r="AF286" s="4">
        <v>0</v>
      </c>
      <c r="AG286" s="4">
        <v>1</v>
      </c>
      <c r="AH286" s="4">
        <v>19</v>
      </c>
      <c r="AI286" s="4">
        <v>20</v>
      </c>
      <c r="AJ286" s="4">
        <v>4</v>
      </c>
      <c r="AK286" s="4">
        <v>5</v>
      </c>
      <c r="AL286" s="4">
        <v>16</v>
      </c>
      <c r="AM286" s="4">
        <v>16</v>
      </c>
      <c r="AN286" s="4">
        <v>0</v>
      </c>
      <c r="AO286" s="4">
        <v>0</v>
      </c>
      <c r="AP286" s="4">
        <v>6</v>
      </c>
      <c r="AQ286" s="4">
        <v>7</v>
      </c>
      <c r="AR286" s="3" t="s">
        <v>62</v>
      </c>
      <c r="AS286" s="3" t="s">
        <v>62</v>
      </c>
      <c r="AT286" s="3" t="s">
        <v>62</v>
      </c>
      <c r="AV286" s="6" t="str">
        <f>HYPERLINK("http://mcgill.on.worldcat.org/oclc/746296356","Catalog Record")</f>
        <v>Catalog Record</v>
      </c>
      <c r="AW286" s="6" t="str">
        <f>HYPERLINK("http://www.worldcat.org/oclc/746296356","WorldCat Record")</f>
        <v>WorldCat Record</v>
      </c>
      <c r="AX286" s="3" t="s">
        <v>2503</v>
      </c>
      <c r="AY286" s="3" t="s">
        <v>2504</v>
      </c>
      <c r="AZ286" s="3" t="s">
        <v>2505</v>
      </c>
      <c r="BA286" s="3" t="s">
        <v>2505</v>
      </c>
      <c r="BB286" s="3" t="s">
        <v>2506</v>
      </c>
      <c r="BC286" s="3" t="s">
        <v>142</v>
      </c>
      <c r="BD286" s="3" t="s">
        <v>68</v>
      </c>
      <c r="BE286" s="3" t="s">
        <v>2507</v>
      </c>
      <c r="BF286" s="3" t="s">
        <v>2506</v>
      </c>
      <c r="BG286" s="3" t="s">
        <v>2508</v>
      </c>
    </row>
    <row r="287" spans="1:59" ht="57" x14ac:dyDescent="0.45">
      <c r="A287" s="2" t="s">
        <v>59</v>
      </c>
      <c r="B287" s="2" t="s">
        <v>60</v>
      </c>
      <c r="C287" s="2" t="s">
        <v>2509</v>
      </c>
      <c r="D287" s="2" t="s">
        <v>2510</v>
      </c>
      <c r="E287" s="2" t="s">
        <v>2511</v>
      </c>
      <c r="G287" s="3" t="s">
        <v>62</v>
      </c>
      <c r="I287" s="3" t="s">
        <v>62</v>
      </c>
      <c r="J287" s="3" t="s">
        <v>62</v>
      </c>
      <c r="K287" s="3" t="s">
        <v>63</v>
      </c>
      <c r="L287" s="2" t="s">
        <v>2512</v>
      </c>
      <c r="M287" s="2" t="s">
        <v>2513</v>
      </c>
      <c r="N287" s="3" t="s">
        <v>1855</v>
      </c>
      <c r="P287" s="3" t="s">
        <v>65</v>
      </c>
      <c r="R287" s="3" t="s">
        <v>66</v>
      </c>
      <c r="S287" s="4">
        <v>11</v>
      </c>
      <c r="T287" s="4">
        <v>11</v>
      </c>
      <c r="U287" s="5" t="s">
        <v>2514</v>
      </c>
      <c r="V287" s="5" t="s">
        <v>2514</v>
      </c>
      <c r="W287" s="5" t="s">
        <v>67</v>
      </c>
      <c r="X287" s="5" t="s">
        <v>67</v>
      </c>
      <c r="Y287" s="4">
        <v>315</v>
      </c>
      <c r="Z287" s="4">
        <v>19</v>
      </c>
      <c r="AA287" s="4">
        <v>30</v>
      </c>
      <c r="AB287" s="4">
        <v>1</v>
      </c>
      <c r="AC287" s="4">
        <v>4</v>
      </c>
      <c r="AD287" s="4">
        <v>103</v>
      </c>
      <c r="AE287" s="4">
        <v>113</v>
      </c>
      <c r="AF287" s="4">
        <v>0</v>
      </c>
      <c r="AG287" s="4">
        <v>1</v>
      </c>
      <c r="AH287" s="4">
        <v>96</v>
      </c>
      <c r="AI287" s="4">
        <v>99</v>
      </c>
      <c r="AJ287" s="4">
        <v>14</v>
      </c>
      <c r="AK287" s="4">
        <v>18</v>
      </c>
      <c r="AL287" s="4">
        <v>49</v>
      </c>
      <c r="AM287" s="4">
        <v>49</v>
      </c>
      <c r="AN287" s="4">
        <v>0</v>
      </c>
      <c r="AO287" s="4">
        <v>0</v>
      </c>
      <c r="AP287" s="4">
        <v>16</v>
      </c>
      <c r="AQ287" s="4">
        <v>23</v>
      </c>
      <c r="AR287" s="3" t="s">
        <v>62</v>
      </c>
      <c r="AS287" s="3" t="s">
        <v>62</v>
      </c>
      <c r="AT287" s="3" t="s">
        <v>61</v>
      </c>
      <c r="AU287" s="6" t="str">
        <f>HYPERLINK("http://catalog.hathitrust.org/Record/004975341","HathiTrust Record")</f>
        <v>HathiTrust Record</v>
      </c>
      <c r="AV287" s="6" t="str">
        <f>HYPERLINK("http://mcgill.on.worldcat.org/oclc/56195051","Catalog Record")</f>
        <v>Catalog Record</v>
      </c>
      <c r="AW287" s="6" t="str">
        <f>HYPERLINK("http://www.worldcat.org/oclc/56195051","WorldCat Record")</f>
        <v>WorldCat Record</v>
      </c>
      <c r="AX287" s="3" t="s">
        <v>2515</v>
      </c>
      <c r="AY287" s="3" t="s">
        <v>2516</v>
      </c>
      <c r="AZ287" s="3" t="s">
        <v>2517</v>
      </c>
      <c r="BA287" s="3" t="s">
        <v>2517</v>
      </c>
      <c r="BB287" s="3" t="s">
        <v>2518</v>
      </c>
      <c r="BC287" s="3" t="s">
        <v>142</v>
      </c>
      <c r="BD287" s="3" t="s">
        <v>68</v>
      </c>
      <c r="BE287" s="3" t="s">
        <v>2519</v>
      </c>
      <c r="BF287" s="3" t="s">
        <v>2518</v>
      </c>
      <c r="BG287" s="3" t="s">
        <v>2520</v>
      </c>
    </row>
    <row r="288" spans="1:59" ht="57" x14ac:dyDescent="0.45">
      <c r="A288" s="2" t="s">
        <v>59</v>
      </c>
      <c r="B288" s="2" t="s">
        <v>60</v>
      </c>
      <c r="C288" s="2" t="s">
        <v>2521</v>
      </c>
      <c r="D288" s="2" t="s">
        <v>2522</v>
      </c>
      <c r="E288" s="2" t="s">
        <v>2523</v>
      </c>
      <c r="G288" s="3" t="s">
        <v>62</v>
      </c>
      <c r="I288" s="3" t="s">
        <v>62</v>
      </c>
      <c r="J288" s="3" t="s">
        <v>62</v>
      </c>
      <c r="K288" s="3" t="s">
        <v>63</v>
      </c>
      <c r="L288" s="2" t="s">
        <v>2512</v>
      </c>
      <c r="M288" s="2" t="s">
        <v>2524</v>
      </c>
      <c r="N288" s="3" t="s">
        <v>1212</v>
      </c>
      <c r="P288" s="3" t="s">
        <v>65</v>
      </c>
      <c r="Q288" s="2" t="s">
        <v>2525</v>
      </c>
      <c r="R288" s="3" t="s">
        <v>66</v>
      </c>
      <c r="S288" s="4">
        <v>11</v>
      </c>
      <c r="T288" s="4">
        <v>11</v>
      </c>
      <c r="U288" s="5" t="s">
        <v>2514</v>
      </c>
      <c r="V288" s="5" t="s">
        <v>2514</v>
      </c>
      <c r="W288" s="5" t="s">
        <v>67</v>
      </c>
      <c r="X288" s="5" t="s">
        <v>67</v>
      </c>
      <c r="Y288" s="4">
        <v>301</v>
      </c>
      <c r="Z288" s="4">
        <v>22</v>
      </c>
      <c r="AA288" s="4">
        <v>31</v>
      </c>
      <c r="AB288" s="4">
        <v>1</v>
      </c>
      <c r="AC288" s="4">
        <v>4</v>
      </c>
      <c r="AD288" s="4">
        <v>101</v>
      </c>
      <c r="AE288" s="4">
        <v>105</v>
      </c>
      <c r="AF288" s="4">
        <v>0</v>
      </c>
      <c r="AG288" s="4">
        <v>1</v>
      </c>
      <c r="AH288" s="4">
        <v>90</v>
      </c>
      <c r="AI288" s="4">
        <v>90</v>
      </c>
      <c r="AJ288" s="4">
        <v>15</v>
      </c>
      <c r="AK288" s="4">
        <v>17</v>
      </c>
      <c r="AL288" s="4">
        <v>51</v>
      </c>
      <c r="AM288" s="4">
        <v>51</v>
      </c>
      <c r="AN288" s="4">
        <v>0</v>
      </c>
      <c r="AO288" s="4">
        <v>0</v>
      </c>
      <c r="AP288" s="4">
        <v>17</v>
      </c>
      <c r="AQ288" s="4">
        <v>20</v>
      </c>
      <c r="AR288" s="3" t="s">
        <v>62</v>
      </c>
      <c r="AS288" s="3" t="s">
        <v>62</v>
      </c>
      <c r="AT288" s="3" t="s">
        <v>61</v>
      </c>
      <c r="AU288" s="6" t="str">
        <f>HYPERLINK("http://catalog.hathitrust.org/Record/004114287","HathiTrust Record")</f>
        <v>HathiTrust Record</v>
      </c>
      <c r="AV288" s="6" t="str">
        <f>HYPERLINK("http://mcgill.on.worldcat.org/oclc/43465992","Catalog Record")</f>
        <v>Catalog Record</v>
      </c>
      <c r="AW288" s="6" t="str">
        <f>HYPERLINK("http://www.worldcat.org/oclc/43465992","WorldCat Record")</f>
        <v>WorldCat Record</v>
      </c>
      <c r="AX288" s="3" t="s">
        <v>2526</v>
      </c>
      <c r="AY288" s="3" t="s">
        <v>2527</v>
      </c>
      <c r="AZ288" s="3" t="s">
        <v>2528</v>
      </c>
      <c r="BA288" s="3" t="s">
        <v>2528</v>
      </c>
      <c r="BB288" s="3" t="s">
        <v>2529</v>
      </c>
      <c r="BC288" s="3" t="s">
        <v>142</v>
      </c>
      <c r="BD288" s="3" t="s">
        <v>68</v>
      </c>
      <c r="BE288" s="3" t="s">
        <v>2530</v>
      </c>
      <c r="BF288" s="3" t="s">
        <v>2529</v>
      </c>
      <c r="BG288" s="3" t="s">
        <v>2531</v>
      </c>
    </row>
    <row r="289" spans="1:59" ht="57" x14ac:dyDescent="0.45">
      <c r="A289" s="2" t="s">
        <v>59</v>
      </c>
      <c r="B289" s="2" t="s">
        <v>60</v>
      </c>
      <c r="C289" s="2" t="s">
        <v>2532</v>
      </c>
      <c r="D289" s="2" t="s">
        <v>2533</v>
      </c>
      <c r="E289" s="2" t="s">
        <v>2534</v>
      </c>
      <c r="G289" s="3" t="s">
        <v>62</v>
      </c>
      <c r="I289" s="3" t="s">
        <v>62</v>
      </c>
      <c r="J289" s="3" t="s">
        <v>62</v>
      </c>
      <c r="K289" s="3" t="s">
        <v>63</v>
      </c>
      <c r="M289" s="2" t="s">
        <v>2535</v>
      </c>
      <c r="N289" s="3" t="s">
        <v>181</v>
      </c>
      <c r="P289" s="3" t="s">
        <v>65</v>
      </c>
      <c r="Q289" s="2" t="s">
        <v>2536</v>
      </c>
      <c r="R289" s="3" t="s">
        <v>66</v>
      </c>
      <c r="S289" s="4">
        <v>3</v>
      </c>
      <c r="T289" s="4">
        <v>3</v>
      </c>
      <c r="U289" s="5" t="s">
        <v>2537</v>
      </c>
      <c r="V289" s="5" t="s">
        <v>2537</v>
      </c>
      <c r="W289" s="5" t="s">
        <v>67</v>
      </c>
      <c r="X289" s="5" t="s">
        <v>67</v>
      </c>
      <c r="Y289" s="4">
        <v>67</v>
      </c>
      <c r="Z289" s="4">
        <v>6</v>
      </c>
      <c r="AA289" s="4">
        <v>12</v>
      </c>
      <c r="AB289" s="4">
        <v>1</v>
      </c>
      <c r="AC289" s="4">
        <v>6</v>
      </c>
      <c r="AD289" s="4">
        <v>23</v>
      </c>
      <c r="AE289" s="4">
        <v>36</v>
      </c>
      <c r="AF289" s="4">
        <v>0</v>
      </c>
      <c r="AG289" s="4">
        <v>1</v>
      </c>
      <c r="AH289" s="4">
        <v>21</v>
      </c>
      <c r="AI289" s="4">
        <v>33</v>
      </c>
      <c r="AJ289" s="4">
        <v>5</v>
      </c>
      <c r="AK289" s="4">
        <v>7</v>
      </c>
      <c r="AL289" s="4">
        <v>16</v>
      </c>
      <c r="AM289" s="4">
        <v>24</v>
      </c>
      <c r="AN289" s="4">
        <v>0</v>
      </c>
      <c r="AO289" s="4">
        <v>0</v>
      </c>
      <c r="AP289" s="4">
        <v>5</v>
      </c>
      <c r="AQ289" s="4">
        <v>6</v>
      </c>
      <c r="AR289" s="3" t="s">
        <v>62</v>
      </c>
      <c r="AS289" s="3" t="s">
        <v>62</v>
      </c>
      <c r="AT289" s="3" t="s">
        <v>62</v>
      </c>
      <c r="AV289" s="6" t="str">
        <f>HYPERLINK("http://mcgill.on.worldcat.org/oclc/822667930","Catalog Record")</f>
        <v>Catalog Record</v>
      </c>
      <c r="AW289" s="6" t="str">
        <f>HYPERLINK("http://www.worldcat.org/oclc/822667930","WorldCat Record")</f>
        <v>WorldCat Record</v>
      </c>
      <c r="AX289" s="3" t="s">
        <v>2538</v>
      </c>
      <c r="AY289" s="3" t="s">
        <v>2539</v>
      </c>
      <c r="AZ289" s="3" t="s">
        <v>2540</v>
      </c>
      <c r="BA289" s="3" t="s">
        <v>2540</v>
      </c>
      <c r="BB289" s="3" t="s">
        <v>2541</v>
      </c>
      <c r="BC289" s="3" t="s">
        <v>142</v>
      </c>
      <c r="BD289" s="3" t="s">
        <v>68</v>
      </c>
      <c r="BE289" s="3" t="s">
        <v>2542</v>
      </c>
      <c r="BF289" s="3" t="s">
        <v>2541</v>
      </c>
      <c r="BG289" s="3" t="s">
        <v>2543</v>
      </c>
    </row>
    <row r="290" spans="1:59" ht="57" x14ac:dyDescent="0.45">
      <c r="A290" s="2" t="s">
        <v>59</v>
      </c>
      <c r="B290" s="2" t="s">
        <v>60</v>
      </c>
      <c r="C290" s="2" t="s">
        <v>2544</v>
      </c>
      <c r="D290" s="2" t="s">
        <v>2545</v>
      </c>
      <c r="E290" s="2" t="s">
        <v>2546</v>
      </c>
      <c r="G290" s="3" t="s">
        <v>62</v>
      </c>
      <c r="I290" s="3" t="s">
        <v>62</v>
      </c>
      <c r="J290" s="3" t="s">
        <v>62</v>
      </c>
      <c r="K290" s="3" t="s">
        <v>63</v>
      </c>
      <c r="L290" s="2" t="s">
        <v>2547</v>
      </c>
      <c r="M290" s="2" t="s">
        <v>2548</v>
      </c>
      <c r="N290" s="3" t="s">
        <v>1437</v>
      </c>
      <c r="P290" s="3" t="s">
        <v>65</v>
      </c>
      <c r="Q290" s="2" t="s">
        <v>2549</v>
      </c>
      <c r="R290" s="3" t="s">
        <v>66</v>
      </c>
      <c r="S290" s="4">
        <v>15</v>
      </c>
      <c r="T290" s="4">
        <v>15</v>
      </c>
      <c r="U290" s="5" t="s">
        <v>2121</v>
      </c>
      <c r="V290" s="5" t="s">
        <v>2121</v>
      </c>
      <c r="W290" s="5" t="s">
        <v>67</v>
      </c>
      <c r="X290" s="5" t="s">
        <v>67</v>
      </c>
      <c r="Y290" s="4">
        <v>260</v>
      </c>
      <c r="Z290" s="4">
        <v>25</v>
      </c>
      <c r="AA290" s="4">
        <v>27</v>
      </c>
      <c r="AB290" s="4">
        <v>3</v>
      </c>
      <c r="AC290" s="4">
        <v>5</v>
      </c>
      <c r="AD290" s="4">
        <v>46</v>
      </c>
      <c r="AE290" s="4">
        <v>48</v>
      </c>
      <c r="AF290" s="4">
        <v>1</v>
      </c>
      <c r="AG290" s="4">
        <v>3</v>
      </c>
      <c r="AH290" s="4">
        <v>37</v>
      </c>
      <c r="AI290" s="4">
        <v>38</v>
      </c>
      <c r="AJ290" s="4">
        <v>7</v>
      </c>
      <c r="AK290" s="4">
        <v>9</v>
      </c>
      <c r="AL290" s="4">
        <v>22</v>
      </c>
      <c r="AM290" s="4">
        <v>22</v>
      </c>
      <c r="AN290" s="4">
        <v>0</v>
      </c>
      <c r="AO290" s="4">
        <v>0</v>
      </c>
      <c r="AP290" s="4">
        <v>14</v>
      </c>
      <c r="AQ290" s="4">
        <v>16</v>
      </c>
      <c r="AR290" s="3" t="s">
        <v>62</v>
      </c>
      <c r="AS290" s="3" t="s">
        <v>62</v>
      </c>
      <c r="AT290" s="3" t="s">
        <v>62</v>
      </c>
      <c r="AV290" s="6" t="str">
        <f>HYPERLINK("http://mcgill.on.worldcat.org/oclc/39377575","Catalog Record")</f>
        <v>Catalog Record</v>
      </c>
      <c r="AW290" s="6" t="str">
        <f>HYPERLINK("http://www.worldcat.org/oclc/39377575","WorldCat Record")</f>
        <v>WorldCat Record</v>
      </c>
      <c r="AX290" s="3" t="s">
        <v>2550</v>
      </c>
      <c r="AY290" s="3" t="s">
        <v>2551</v>
      </c>
      <c r="AZ290" s="3" t="s">
        <v>2552</v>
      </c>
      <c r="BA290" s="3" t="s">
        <v>2552</v>
      </c>
      <c r="BB290" s="3" t="s">
        <v>2553</v>
      </c>
      <c r="BC290" s="3" t="s">
        <v>142</v>
      </c>
      <c r="BD290" s="3" t="s">
        <v>68</v>
      </c>
      <c r="BE290" s="3" t="s">
        <v>2554</v>
      </c>
      <c r="BF290" s="3" t="s">
        <v>2553</v>
      </c>
      <c r="BG290" s="3" t="s">
        <v>2555</v>
      </c>
    </row>
    <row r="291" spans="1:59" ht="57" x14ac:dyDescent="0.45">
      <c r="A291" s="2" t="s">
        <v>59</v>
      </c>
      <c r="B291" s="2" t="s">
        <v>60</v>
      </c>
      <c r="C291" s="2" t="s">
        <v>2556</v>
      </c>
      <c r="D291" s="2" t="s">
        <v>2557</v>
      </c>
      <c r="E291" s="2" t="s">
        <v>2558</v>
      </c>
      <c r="G291" s="3" t="s">
        <v>62</v>
      </c>
      <c r="I291" s="3" t="s">
        <v>62</v>
      </c>
      <c r="J291" s="3" t="s">
        <v>62</v>
      </c>
      <c r="K291" s="3" t="s">
        <v>63</v>
      </c>
      <c r="L291" s="2" t="s">
        <v>2559</v>
      </c>
      <c r="M291" s="2" t="s">
        <v>2560</v>
      </c>
      <c r="N291" s="3" t="s">
        <v>149</v>
      </c>
      <c r="P291" s="3" t="s">
        <v>65</v>
      </c>
      <c r="Q291" s="2" t="s">
        <v>2561</v>
      </c>
      <c r="R291" s="3" t="s">
        <v>66</v>
      </c>
      <c r="S291" s="4">
        <v>1</v>
      </c>
      <c r="T291" s="4">
        <v>1</v>
      </c>
      <c r="U291" s="5" t="s">
        <v>2562</v>
      </c>
      <c r="V291" s="5" t="s">
        <v>2562</v>
      </c>
      <c r="W291" s="5" t="s">
        <v>67</v>
      </c>
      <c r="X291" s="5" t="s">
        <v>67</v>
      </c>
      <c r="Y291" s="4">
        <v>119</v>
      </c>
      <c r="Z291" s="4">
        <v>9</v>
      </c>
      <c r="AA291" s="4">
        <v>30</v>
      </c>
      <c r="AB291" s="4">
        <v>2</v>
      </c>
      <c r="AC291" s="4">
        <v>5</v>
      </c>
      <c r="AD291" s="4">
        <v>54</v>
      </c>
      <c r="AE291" s="4">
        <v>94</v>
      </c>
      <c r="AF291" s="4">
        <v>0</v>
      </c>
      <c r="AG291" s="4">
        <v>1</v>
      </c>
      <c r="AH291" s="4">
        <v>50</v>
      </c>
      <c r="AI291" s="4">
        <v>78</v>
      </c>
      <c r="AJ291" s="4">
        <v>7</v>
      </c>
      <c r="AK291" s="4">
        <v>13</v>
      </c>
      <c r="AL291" s="4">
        <v>30</v>
      </c>
      <c r="AM291" s="4">
        <v>40</v>
      </c>
      <c r="AN291" s="4">
        <v>0</v>
      </c>
      <c r="AO291" s="4">
        <v>0</v>
      </c>
      <c r="AP291" s="4">
        <v>7</v>
      </c>
      <c r="AQ291" s="4">
        <v>22</v>
      </c>
      <c r="AR291" s="3" t="s">
        <v>62</v>
      </c>
      <c r="AS291" s="3" t="s">
        <v>62</v>
      </c>
      <c r="AT291" s="3" t="s">
        <v>62</v>
      </c>
      <c r="AV291" s="6" t="str">
        <f>HYPERLINK("http://mcgill.on.worldcat.org/oclc/469603136","Catalog Record")</f>
        <v>Catalog Record</v>
      </c>
      <c r="AW291" s="6" t="str">
        <f>HYPERLINK("http://www.worldcat.org/oclc/469603136","WorldCat Record")</f>
        <v>WorldCat Record</v>
      </c>
      <c r="AX291" s="3" t="s">
        <v>2563</v>
      </c>
      <c r="AY291" s="3" t="s">
        <v>2564</v>
      </c>
      <c r="AZ291" s="3" t="s">
        <v>2565</v>
      </c>
      <c r="BA291" s="3" t="s">
        <v>2565</v>
      </c>
      <c r="BB291" s="3" t="s">
        <v>2566</v>
      </c>
      <c r="BC291" s="3" t="s">
        <v>142</v>
      </c>
      <c r="BD291" s="3" t="s">
        <v>68</v>
      </c>
      <c r="BE291" s="3" t="s">
        <v>2567</v>
      </c>
      <c r="BF291" s="3" t="s">
        <v>2566</v>
      </c>
      <c r="BG291" s="3" t="s">
        <v>2568</v>
      </c>
    </row>
    <row r="292" spans="1:59" ht="57" x14ac:dyDescent="0.45">
      <c r="A292" s="2" t="s">
        <v>59</v>
      </c>
      <c r="B292" s="2" t="s">
        <v>60</v>
      </c>
      <c r="C292" s="2" t="s">
        <v>2569</v>
      </c>
      <c r="D292" s="2" t="s">
        <v>2570</v>
      </c>
      <c r="E292" s="2" t="s">
        <v>2571</v>
      </c>
      <c r="G292" s="3" t="s">
        <v>62</v>
      </c>
      <c r="I292" s="3" t="s">
        <v>62</v>
      </c>
      <c r="J292" s="3" t="s">
        <v>62</v>
      </c>
      <c r="K292" s="3" t="s">
        <v>63</v>
      </c>
      <c r="M292" s="2" t="s">
        <v>2572</v>
      </c>
      <c r="N292" s="3" t="s">
        <v>568</v>
      </c>
      <c r="P292" s="3" t="s">
        <v>65</v>
      </c>
      <c r="R292" s="3" t="s">
        <v>66</v>
      </c>
      <c r="S292" s="4">
        <v>14</v>
      </c>
      <c r="T292" s="4">
        <v>14</v>
      </c>
      <c r="U292" s="5" t="s">
        <v>2281</v>
      </c>
      <c r="V292" s="5" t="s">
        <v>2281</v>
      </c>
      <c r="W292" s="5" t="s">
        <v>67</v>
      </c>
      <c r="X292" s="5" t="s">
        <v>67</v>
      </c>
      <c r="Y292" s="4">
        <v>402</v>
      </c>
      <c r="Z292" s="4">
        <v>25</v>
      </c>
      <c r="AA292" s="4">
        <v>28</v>
      </c>
      <c r="AB292" s="4">
        <v>3</v>
      </c>
      <c r="AC292" s="4">
        <v>6</v>
      </c>
      <c r="AD292" s="4">
        <v>116</v>
      </c>
      <c r="AE292" s="4">
        <v>119</v>
      </c>
      <c r="AF292" s="4">
        <v>1</v>
      </c>
      <c r="AG292" s="4">
        <v>4</v>
      </c>
      <c r="AH292" s="4">
        <v>99</v>
      </c>
      <c r="AI292" s="4">
        <v>100</v>
      </c>
      <c r="AJ292" s="4">
        <v>16</v>
      </c>
      <c r="AK292" s="4">
        <v>19</v>
      </c>
      <c r="AL292" s="4">
        <v>57</v>
      </c>
      <c r="AM292" s="4">
        <v>57</v>
      </c>
      <c r="AN292" s="4">
        <v>0</v>
      </c>
      <c r="AO292" s="4">
        <v>0</v>
      </c>
      <c r="AP292" s="4">
        <v>21</v>
      </c>
      <c r="AQ292" s="4">
        <v>23</v>
      </c>
      <c r="AR292" s="3" t="s">
        <v>62</v>
      </c>
      <c r="AS292" s="3" t="s">
        <v>62</v>
      </c>
      <c r="AT292" s="3" t="s">
        <v>62</v>
      </c>
      <c r="AV292" s="6" t="str">
        <f>HYPERLINK("http://mcgill.on.worldcat.org/oclc/15083347","Catalog Record")</f>
        <v>Catalog Record</v>
      </c>
      <c r="AW292" s="6" t="str">
        <f>HYPERLINK("http://www.worldcat.org/oclc/15083347","WorldCat Record")</f>
        <v>WorldCat Record</v>
      </c>
      <c r="AX292" s="3" t="s">
        <v>2573</v>
      </c>
      <c r="AY292" s="3" t="s">
        <v>2574</v>
      </c>
      <c r="AZ292" s="3" t="s">
        <v>2575</v>
      </c>
      <c r="BA292" s="3" t="s">
        <v>2575</v>
      </c>
      <c r="BB292" s="3" t="s">
        <v>2576</v>
      </c>
      <c r="BC292" s="3" t="s">
        <v>142</v>
      </c>
      <c r="BD292" s="3" t="s">
        <v>68</v>
      </c>
      <c r="BE292" s="3" t="s">
        <v>2577</v>
      </c>
      <c r="BF292" s="3" t="s">
        <v>2576</v>
      </c>
      <c r="BG292" s="3" t="s">
        <v>2578</v>
      </c>
    </row>
    <row r="293" spans="1:59" ht="57" x14ac:dyDescent="0.45">
      <c r="A293" s="2" t="s">
        <v>59</v>
      </c>
      <c r="B293" s="2" t="s">
        <v>60</v>
      </c>
      <c r="C293" s="2" t="s">
        <v>2579</v>
      </c>
      <c r="D293" s="2" t="s">
        <v>2580</v>
      </c>
      <c r="E293" s="2" t="s">
        <v>2581</v>
      </c>
      <c r="G293" s="3" t="s">
        <v>62</v>
      </c>
      <c r="I293" s="3" t="s">
        <v>62</v>
      </c>
      <c r="J293" s="3" t="s">
        <v>62</v>
      </c>
      <c r="K293" s="3" t="s">
        <v>63</v>
      </c>
      <c r="L293" s="2" t="s">
        <v>2582</v>
      </c>
      <c r="M293" s="2" t="s">
        <v>2583</v>
      </c>
      <c r="N293" s="3" t="s">
        <v>195</v>
      </c>
      <c r="P293" s="3" t="s">
        <v>65</v>
      </c>
      <c r="Q293" s="2" t="s">
        <v>2584</v>
      </c>
      <c r="R293" s="3" t="s">
        <v>66</v>
      </c>
      <c r="S293" s="4">
        <v>21</v>
      </c>
      <c r="T293" s="4">
        <v>21</v>
      </c>
      <c r="U293" s="5" t="s">
        <v>907</v>
      </c>
      <c r="V293" s="5" t="s">
        <v>907</v>
      </c>
      <c r="W293" s="5" t="s">
        <v>67</v>
      </c>
      <c r="X293" s="5" t="s">
        <v>67</v>
      </c>
      <c r="Y293" s="4">
        <v>286</v>
      </c>
      <c r="Z293" s="4">
        <v>17</v>
      </c>
      <c r="AA293" s="4">
        <v>34</v>
      </c>
      <c r="AB293" s="4">
        <v>2</v>
      </c>
      <c r="AC293" s="4">
        <v>9</v>
      </c>
      <c r="AD293" s="4">
        <v>60</v>
      </c>
      <c r="AE293" s="4">
        <v>73</v>
      </c>
      <c r="AF293" s="4">
        <v>1</v>
      </c>
      <c r="AG293" s="4">
        <v>4</v>
      </c>
      <c r="AH293" s="4">
        <v>51</v>
      </c>
      <c r="AI293" s="4">
        <v>60</v>
      </c>
      <c r="AJ293" s="4">
        <v>13</v>
      </c>
      <c r="AK293" s="4">
        <v>20</v>
      </c>
      <c r="AL293" s="4">
        <v>29</v>
      </c>
      <c r="AM293" s="4">
        <v>32</v>
      </c>
      <c r="AN293" s="4">
        <v>0</v>
      </c>
      <c r="AO293" s="4">
        <v>0</v>
      </c>
      <c r="AP293" s="4">
        <v>15</v>
      </c>
      <c r="AQ293" s="4">
        <v>23</v>
      </c>
      <c r="AR293" s="3" t="s">
        <v>62</v>
      </c>
      <c r="AS293" s="3" t="s">
        <v>62</v>
      </c>
      <c r="AT293" s="3" t="s">
        <v>61</v>
      </c>
      <c r="AU293" s="6" t="str">
        <f>HYPERLINK("http://catalog.hathitrust.org/Record/007111068","HathiTrust Record")</f>
        <v>HathiTrust Record</v>
      </c>
      <c r="AV293" s="6" t="str">
        <f>HYPERLINK("http://mcgill.on.worldcat.org/oclc/26853942","Catalog Record")</f>
        <v>Catalog Record</v>
      </c>
      <c r="AW293" s="6" t="str">
        <f>HYPERLINK("http://www.worldcat.org/oclc/26853942","WorldCat Record")</f>
        <v>WorldCat Record</v>
      </c>
      <c r="AX293" s="3" t="s">
        <v>2585</v>
      </c>
      <c r="AY293" s="3" t="s">
        <v>2586</v>
      </c>
      <c r="AZ293" s="3" t="s">
        <v>2587</v>
      </c>
      <c r="BA293" s="3" t="s">
        <v>2587</v>
      </c>
      <c r="BB293" s="3" t="s">
        <v>2588</v>
      </c>
      <c r="BC293" s="3" t="s">
        <v>142</v>
      </c>
      <c r="BD293" s="3" t="s">
        <v>308</v>
      </c>
      <c r="BE293" s="3" t="s">
        <v>2589</v>
      </c>
      <c r="BF293" s="3" t="s">
        <v>2588</v>
      </c>
      <c r="BG293" s="3" t="s">
        <v>2590</v>
      </c>
    </row>
    <row r="294" spans="1:59" ht="57" x14ac:dyDescent="0.45">
      <c r="A294" s="2" t="s">
        <v>59</v>
      </c>
      <c r="B294" s="2" t="s">
        <v>60</v>
      </c>
      <c r="C294" s="2" t="s">
        <v>2591</v>
      </c>
      <c r="D294" s="2" t="s">
        <v>2592</v>
      </c>
      <c r="E294" s="2" t="s">
        <v>2593</v>
      </c>
      <c r="G294" s="3" t="s">
        <v>62</v>
      </c>
      <c r="I294" s="3" t="s">
        <v>62</v>
      </c>
      <c r="J294" s="3" t="s">
        <v>62</v>
      </c>
      <c r="K294" s="3" t="s">
        <v>63</v>
      </c>
      <c r="M294" s="2" t="s">
        <v>2594</v>
      </c>
      <c r="N294" s="3" t="s">
        <v>1253</v>
      </c>
      <c r="O294" s="2" t="s">
        <v>2595</v>
      </c>
      <c r="P294" s="3" t="s">
        <v>65</v>
      </c>
      <c r="R294" s="3" t="s">
        <v>66</v>
      </c>
      <c r="S294" s="4">
        <v>24</v>
      </c>
      <c r="T294" s="4">
        <v>24</v>
      </c>
      <c r="U294" s="5" t="s">
        <v>2596</v>
      </c>
      <c r="V294" s="5" t="s">
        <v>2596</v>
      </c>
      <c r="W294" s="5" t="s">
        <v>67</v>
      </c>
      <c r="X294" s="5" t="s">
        <v>67</v>
      </c>
      <c r="Y294" s="4">
        <v>236</v>
      </c>
      <c r="Z294" s="4">
        <v>16</v>
      </c>
      <c r="AA294" s="4">
        <v>17</v>
      </c>
      <c r="AB294" s="4">
        <v>2</v>
      </c>
      <c r="AC294" s="4">
        <v>3</v>
      </c>
      <c r="AD294" s="4">
        <v>87</v>
      </c>
      <c r="AE294" s="4">
        <v>88</v>
      </c>
      <c r="AF294" s="4">
        <v>1</v>
      </c>
      <c r="AG294" s="4">
        <v>2</v>
      </c>
      <c r="AH294" s="4">
        <v>80</v>
      </c>
      <c r="AI294" s="4">
        <v>80</v>
      </c>
      <c r="AJ294" s="4">
        <v>14</v>
      </c>
      <c r="AK294" s="4">
        <v>15</v>
      </c>
      <c r="AL294" s="4">
        <v>43</v>
      </c>
      <c r="AM294" s="4">
        <v>43</v>
      </c>
      <c r="AN294" s="4">
        <v>0</v>
      </c>
      <c r="AO294" s="4">
        <v>0</v>
      </c>
      <c r="AP294" s="4">
        <v>14</v>
      </c>
      <c r="AQ294" s="4">
        <v>14</v>
      </c>
      <c r="AR294" s="3" t="s">
        <v>62</v>
      </c>
      <c r="AS294" s="3" t="s">
        <v>62</v>
      </c>
      <c r="AT294" s="3" t="s">
        <v>61</v>
      </c>
      <c r="AU294" s="6" t="str">
        <f>HYPERLINK("http://catalog.hathitrust.org/Record/003137734","HathiTrust Record")</f>
        <v>HathiTrust Record</v>
      </c>
      <c r="AV294" s="6" t="str">
        <f>HYPERLINK("http://mcgill.on.worldcat.org/oclc/35145828","Catalog Record")</f>
        <v>Catalog Record</v>
      </c>
      <c r="AW294" s="6" t="str">
        <f>HYPERLINK("http://www.worldcat.org/oclc/35145828","WorldCat Record")</f>
        <v>WorldCat Record</v>
      </c>
      <c r="AX294" s="3" t="s">
        <v>2597</v>
      </c>
      <c r="AY294" s="3" t="s">
        <v>2598</v>
      </c>
      <c r="AZ294" s="3" t="s">
        <v>2599</v>
      </c>
      <c r="BA294" s="3" t="s">
        <v>2599</v>
      </c>
      <c r="BB294" s="3" t="s">
        <v>2600</v>
      </c>
      <c r="BC294" s="3" t="s">
        <v>142</v>
      </c>
      <c r="BD294" s="3" t="s">
        <v>68</v>
      </c>
      <c r="BE294" s="3" t="s">
        <v>2601</v>
      </c>
      <c r="BF294" s="3" t="s">
        <v>2600</v>
      </c>
      <c r="BG294" s="3" t="s">
        <v>2602</v>
      </c>
    </row>
    <row r="295" spans="1:59" ht="71.25" x14ac:dyDescent="0.45">
      <c r="A295" s="2" t="s">
        <v>59</v>
      </c>
      <c r="B295" s="2" t="s">
        <v>60</v>
      </c>
      <c r="C295" s="2" t="s">
        <v>2603</v>
      </c>
      <c r="D295" s="2" t="s">
        <v>2604</v>
      </c>
      <c r="E295" s="2" t="s">
        <v>2605</v>
      </c>
      <c r="G295" s="3" t="s">
        <v>62</v>
      </c>
      <c r="I295" s="3" t="s">
        <v>62</v>
      </c>
      <c r="J295" s="3" t="s">
        <v>61</v>
      </c>
      <c r="K295" s="3" t="s">
        <v>63</v>
      </c>
      <c r="L295" s="2" t="s">
        <v>2606</v>
      </c>
      <c r="M295" s="2" t="s">
        <v>2607</v>
      </c>
      <c r="N295" s="3" t="s">
        <v>625</v>
      </c>
      <c r="O295" s="2" t="s">
        <v>2608</v>
      </c>
      <c r="P295" s="3" t="s">
        <v>65</v>
      </c>
      <c r="R295" s="3" t="s">
        <v>66</v>
      </c>
      <c r="S295" s="4">
        <v>101</v>
      </c>
      <c r="T295" s="4">
        <v>101</v>
      </c>
      <c r="U295" s="5" t="s">
        <v>2609</v>
      </c>
      <c r="V295" s="5" t="s">
        <v>2609</v>
      </c>
      <c r="W295" s="5" t="s">
        <v>67</v>
      </c>
      <c r="X295" s="5" t="s">
        <v>67</v>
      </c>
      <c r="Y295" s="4">
        <v>997</v>
      </c>
      <c r="Z295" s="4">
        <v>45</v>
      </c>
      <c r="AA295" s="4">
        <v>78</v>
      </c>
      <c r="AB295" s="4">
        <v>1</v>
      </c>
      <c r="AC295" s="4">
        <v>10</v>
      </c>
      <c r="AD295" s="4">
        <v>128</v>
      </c>
      <c r="AE295" s="4">
        <v>148</v>
      </c>
      <c r="AF295" s="4">
        <v>0</v>
      </c>
      <c r="AG295" s="4">
        <v>4</v>
      </c>
      <c r="AH295" s="4">
        <v>102</v>
      </c>
      <c r="AI295" s="4">
        <v>112</v>
      </c>
      <c r="AJ295" s="4">
        <v>14</v>
      </c>
      <c r="AK295" s="4">
        <v>26</v>
      </c>
      <c r="AL295" s="4">
        <v>55</v>
      </c>
      <c r="AM295" s="4">
        <v>58</v>
      </c>
      <c r="AN295" s="4">
        <v>0</v>
      </c>
      <c r="AO295" s="4">
        <v>0</v>
      </c>
      <c r="AP295" s="4">
        <v>29</v>
      </c>
      <c r="AQ295" s="4">
        <v>44</v>
      </c>
      <c r="AR295" s="3" t="s">
        <v>62</v>
      </c>
      <c r="AS295" s="3" t="s">
        <v>62</v>
      </c>
      <c r="AT295" s="3" t="s">
        <v>62</v>
      </c>
      <c r="AV295" s="6" t="str">
        <f>HYPERLINK("http://mcgill.on.worldcat.org/oclc/12807907","Catalog Record")</f>
        <v>Catalog Record</v>
      </c>
      <c r="AW295" s="6" t="str">
        <f>HYPERLINK("http://www.worldcat.org/oclc/12807907","WorldCat Record")</f>
        <v>WorldCat Record</v>
      </c>
      <c r="AX295" s="3" t="s">
        <v>2610</v>
      </c>
      <c r="AY295" s="3" t="s">
        <v>2611</v>
      </c>
      <c r="AZ295" s="3" t="s">
        <v>2612</v>
      </c>
      <c r="BA295" s="3" t="s">
        <v>2612</v>
      </c>
      <c r="BB295" s="3" t="s">
        <v>2613</v>
      </c>
      <c r="BC295" s="3" t="s">
        <v>142</v>
      </c>
      <c r="BD295" s="3" t="s">
        <v>308</v>
      </c>
      <c r="BE295" s="3" t="s">
        <v>2614</v>
      </c>
      <c r="BF295" s="3" t="s">
        <v>2613</v>
      </c>
      <c r="BG295" s="3" t="s">
        <v>2615</v>
      </c>
    </row>
    <row r="296" spans="1:59" ht="57" x14ac:dyDescent="0.45">
      <c r="A296" s="2" t="s">
        <v>59</v>
      </c>
      <c r="B296" s="2" t="s">
        <v>60</v>
      </c>
      <c r="C296" s="2" t="s">
        <v>2616</v>
      </c>
      <c r="D296" s="2" t="s">
        <v>2617</v>
      </c>
      <c r="E296" s="2" t="s">
        <v>2618</v>
      </c>
      <c r="G296" s="3" t="s">
        <v>62</v>
      </c>
      <c r="I296" s="3" t="s">
        <v>62</v>
      </c>
      <c r="J296" s="3" t="s">
        <v>61</v>
      </c>
      <c r="K296" s="3" t="s">
        <v>63</v>
      </c>
      <c r="L296" s="2" t="s">
        <v>2606</v>
      </c>
      <c r="M296" s="2" t="s">
        <v>2619</v>
      </c>
      <c r="N296" s="3" t="s">
        <v>1155</v>
      </c>
      <c r="O296" s="2" t="s">
        <v>2620</v>
      </c>
      <c r="P296" s="3" t="s">
        <v>65</v>
      </c>
      <c r="R296" s="3" t="s">
        <v>66</v>
      </c>
      <c r="S296" s="4">
        <v>4</v>
      </c>
      <c r="T296" s="4">
        <v>4</v>
      </c>
      <c r="U296" s="5" t="s">
        <v>2621</v>
      </c>
      <c r="V296" s="5" t="s">
        <v>2621</v>
      </c>
      <c r="W296" s="5" t="s">
        <v>67</v>
      </c>
      <c r="X296" s="5" t="s">
        <v>67</v>
      </c>
      <c r="Y296" s="4">
        <v>160</v>
      </c>
      <c r="Z296" s="4">
        <v>14</v>
      </c>
      <c r="AA296" s="4">
        <v>78</v>
      </c>
      <c r="AB296" s="4">
        <v>2</v>
      </c>
      <c r="AC296" s="4">
        <v>10</v>
      </c>
      <c r="AD296" s="4">
        <v>37</v>
      </c>
      <c r="AE296" s="4">
        <v>148</v>
      </c>
      <c r="AF296" s="4">
        <v>1</v>
      </c>
      <c r="AG296" s="4">
        <v>4</v>
      </c>
      <c r="AH296" s="4">
        <v>32</v>
      </c>
      <c r="AI296" s="4">
        <v>112</v>
      </c>
      <c r="AJ296" s="4">
        <v>9</v>
      </c>
      <c r="AK296" s="4">
        <v>26</v>
      </c>
      <c r="AL296" s="4">
        <v>15</v>
      </c>
      <c r="AM296" s="4">
        <v>58</v>
      </c>
      <c r="AN296" s="4">
        <v>0</v>
      </c>
      <c r="AO296" s="4">
        <v>0</v>
      </c>
      <c r="AP296" s="4">
        <v>10</v>
      </c>
      <c r="AQ296" s="4">
        <v>44</v>
      </c>
      <c r="AR296" s="3" t="s">
        <v>62</v>
      </c>
      <c r="AS296" s="3" t="s">
        <v>62</v>
      </c>
      <c r="AT296" s="3" t="s">
        <v>62</v>
      </c>
      <c r="AV296" s="6" t="str">
        <f>HYPERLINK("http://mcgill.on.worldcat.org/oclc/768728899","Catalog Record")</f>
        <v>Catalog Record</v>
      </c>
      <c r="AW296" s="6" t="str">
        <f>HYPERLINK("http://www.worldcat.org/oclc/768728899","WorldCat Record")</f>
        <v>WorldCat Record</v>
      </c>
      <c r="AX296" s="3" t="s">
        <v>2610</v>
      </c>
      <c r="AY296" s="3" t="s">
        <v>2622</v>
      </c>
      <c r="AZ296" s="3" t="s">
        <v>2623</v>
      </c>
      <c r="BA296" s="3" t="s">
        <v>2623</v>
      </c>
      <c r="BB296" s="3" t="s">
        <v>2624</v>
      </c>
      <c r="BC296" s="3" t="s">
        <v>142</v>
      </c>
      <c r="BD296" s="3" t="s">
        <v>68</v>
      </c>
      <c r="BE296" s="3" t="s">
        <v>2625</v>
      </c>
      <c r="BF296" s="3" t="s">
        <v>2624</v>
      </c>
      <c r="BG296" s="3" t="s">
        <v>2626</v>
      </c>
    </row>
    <row r="297" spans="1:59" ht="57" x14ac:dyDescent="0.45">
      <c r="A297" s="2" t="s">
        <v>59</v>
      </c>
      <c r="B297" s="2" t="s">
        <v>60</v>
      </c>
      <c r="C297" s="2" t="s">
        <v>2627</v>
      </c>
      <c r="D297" s="2" t="s">
        <v>2628</v>
      </c>
      <c r="E297" s="2" t="s">
        <v>2629</v>
      </c>
      <c r="G297" s="3" t="s">
        <v>62</v>
      </c>
      <c r="I297" s="3" t="s">
        <v>62</v>
      </c>
      <c r="J297" s="3" t="s">
        <v>62</v>
      </c>
      <c r="K297" s="3" t="s">
        <v>63</v>
      </c>
      <c r="L297" s="2" t="s">
        <v>2630</v>
      </c>
      <c r="M297" s="2" t="s">
        <v>2631</v>
      </c>
      <c r="N297" s="3" t="s">
        <v>116</v>
      </c>
      <c r="P297" s="3" t="s">
        <v>65</v>
      </c>
      <c r="Q297" s="2" t="s">
        <v>2632</v>
      </c>
      <c r="R297" s="3" t="s">
        <v>66</v>
      </c>
      <c r="S297" s="4">
        <v>4</v>
      </c>
      <c r="T297" s="4">
        <v>4</v>
      </c>
      <c r="U297" s="5" t="s">
        <v>2633</v>
      </c>
      <c r="V297" s="5" t="s">
        <v>2633</v>
      </c>
      <c r="W297" s="5" t="s">
        <v>67</v>
      </c>
      <c r="X297" s="5" t="s">
        <v>67</v>
      </c>
      <c r="Y297" s="4">
        <v>134</v>
      </c>
      <c r="Z297" s="4">
        <v>14</v>
      </c>
      <c r="AA297" s="4">
        <v>82</v>
      </c>
      <c r="AB297" s="4">
        <v>3</v>
      </c>
      <c r="AC297" s="4">
        <v>16</v>
      </c>
      <c r="AD297" s="4">
        <v>27</v>
      </c>
      <c r="AE297" s="4">
        <v>89</v>
      </c>
      <c r="AF297" s="4">
        <v>1</v>
      </c>
      <c r="AG297" s="4">
        <v>8</v>
      </c>
      <c r="AH297" s="4">
        <v>21</v>
      </c>
      <c r="AI297" s="4">
        <v>55</v>
      </c>
      <c r="AJ297" s="4">
        <v>8</v>
      </c>
      <c r="AK297" s="4">
        <v>22</v>
      </c>
      <c r="AL297" s="4">
        <v>13</v>
      </c>
      <c r="AM297" s="4">
        <v>28</v>
      </c>
      <c r="AN297" s="4">
        <v>0</v>
      </c>
      <c r="AO297" s="4">
        <v>0</v>
      </c>
      <c r="AP297" s="4">
        <v>8</v>
      </c>
      <c r="AQ297" s="4">
        <v>42</v>
      </c>
      <c r="AR297" s="3" t="s">
        <v>62</v>
      </c>
      <c r="AS297" s="3" t="s">
        <v>62</v>
      </c>
      <c r="AT297" s="3" t="s">
        <v>62</v>
      </c>
      <c r="AV297" s="6" t="str">
        <f>HYPERLINK("http://mcgill.on.worldcat.org/oclc/793726551","Catalog Record")</f>
        <v>Catalog Record</v>
      </c>
      <c r="AW297" s="6" t="str">
        <f>HYPERLINK("http://www.worldcat.org/oclc/793726551","WorldCat Record")</f>
        <v>WorldCat Record</v>
      </c>
      <c r="AX297" s="3" t="s">
        <v>2634</v>
      </c>
      <c r="AY297" s="3" t="s">
        <v>2635</v>
      </c>
      <c r="AZ297" s="3" t="s">
        <v>2636</v>
      </c>
      <c r="BA297" s="3" t="s">
        <v>2636</v>
      </c>
      <c r="BB297" s="3" t="s">
        <v>2637</v>
      </c>
      <c r="BC297" s="3" t="s">
        <v>142</v>
      </c>
      <c r="BD297" s="3" t="s">
        <v>68</v>
      </c>
      <c r="BE297" s="3" t="s">
        <v>2638</v>
      </c>
      <c r="BF297" s="3" t="s">
        <v>2637</v>
      </c>
      <c r="BG297" s="3" t="s">
        <v>2639</v>
      </c>
    </row>
    <row r="298" spans="1:59" ht="57" x14ac:dyDescent="0.45">
      <c r="A298" s="2" t="s">
        <v>59</v>
      </c>
      <c r="B298" s="2" t="s">
        <v>60</v>
      </c>
      <c r="C298" s="2" t="s">
        <v>2640</v>
      </c>
      <c r="D298" s="2" t="s">
        <v>2641</v>
      </c>
      <c r="E298" s="2" t="s">
        <v>2642</v>
      </c>
      <c r="G298" s="3" t="s">
        <v>62</v>
      </c>
      <c r="I298" s="3" t="s">
        <v>62</v>
      </c>
      <c r="J298" s="3" t="s">
        <v>62</v>
      </c>
      <c r="K298" s="3" t="s">
        <v>63</v>
      </c>
      <c r="M298" s="2" t="s">
        <v>2643</v>
      </c>
      <c r="N298" s="3" t="s">
        <v>149</v>
      </c>
      <c r="P298" s="3" t="s">
        <v>65</v>
      </c>
      <c r="R298" s="3" t="s">
        <v>66</v>
      </c>
      <c r="S298" s="4">
        <v>5</v>
      </c>
      <c r="T298" s="4">
        <v>5</v>
      </c>
      <c r="W298" s="5" t="s">
        <v>67</v>
      </c>
      <c r="X298" s="5" t="s">
        <v>67</v>
      </c>
      <c r="Y298" s="4">
        <v>207</v>
      </c>
      <c r="Z298" s="4">
        <v>13</v>
      </c>
      <c r="AA298" s="4">
        <v>58</v>
      </c>
      <c r="AB298" s="4">
        <v>1</v>
      </c>
      <c r="AC298" s="4">
        <v>13</v>
      </c>
      <c r="AD298" s="4">
        <v>84</v>
      </c>
      <c r="AE298" s="4">
        <v>131</v>
      </c>
      <c r="AF298" s="4">
        <v>0</v>
      </c>
      <c r="AG298" s="4">
        <v>5</v>
      </c>
      <c r="AH298" s="4">
        <v>79</v>
      </c>
      <c r="AI298" s="4">
        <v>94</v>
      </c>
      <c r="AJ298" s="4">
        <v>7</v>
      </c>
      <c r="AK298" s="4">
        <v>23</v>
      </c>
      <c r="AL298" s="4">
        <v>50</v>
      </c>
      <c r="AM298" s="4">
        <v>53</v>
      </c>
      <c r="AN298" s="4">
        <v>0</v>
      </c>
      <c r="AO298" s="4">
        <v>0</v>
      </c>
      <c r="AP298" s="4">
        <v>9</v>
      </c>
      <c r="AQ298" s="4">
        <v>45</v>
      </c>
      <c r="AR298" s="3" t="s">
        <v>62</v>
      </c>
      <c r="AS298" s="3" t="s">
        <v>62</v>
      </c>
      <c r="AT298" s="3" t="s">
        <v>62</v>
      </c>
      <c r="AV298" s="6" t="str">
        <f>HYPERLINK("http://mcgill.on.worldcat.org/oclc/154806541","Catalog Record")</f>
        <v>Catalog Record</v>
      </c>
      <c r="AW298" s="6" t="str">
        <f>HYPERLINK("http://www.worldcat.org/oclc/154806541","WorldCat Record")</f>
        <v>WorldCat Record</v>
      </c>
      <c r="AX298" s="3" t="s">
        <v>2644</v>
      </c>
      <c r="AY298" s="3" t="s">
        <v>2645</v>
      </c>
      <c r="AZ298" s="3" t="s">
        <v>2646</v>
      </c>
      <c r="BA298" s="3" t="s">
        <v>2646</v>
      </c>
      <c r="BB298" s="3" t="s">
        <v>2647</v>
      </c>
      <c r="BC298" s="3" t="s">
        <v>142</v>
      </c>
      <c r="BD298" s="3" t="s">
        <v>308</v>
      </c>
      <c r="BE298" s="3" t="s">
        <v>2648</v>
      </c>
      <c r="BF298" s="3" t="s">
        <v>2647</v>
      </c>
      <c r="BG298" s="3" t="s">
        <v>2649</v>
      </c>
    </row>
    <row r="299" spans="1:59" ht="57" x14ac:dyDescent="0.45">
      <c r="A299" s="2" t="s">
        <v>59</v>
      </c>
      <c r="B299" s="2" t="s">
        <v>60</v>
      </c>
      <c r="C299" s="2" t="s">
        <v>2650</v>
      </c>
      <c r="D299" s="2" t="s">
        <v>2651</v>
      </c>
      <c r="E299" s="2" t="s">
        <v>2652</v>
      </c>
      <c r="G299" s="3" t="s">
        <v>62</v>
      </c>
      <c r="I299" s="3" t="s">
        <v>62</v>
      </c>
      <c r="J299" s="3" t="s">
        <v>62</v>
      </c>
      <c r="K299" s="3" t="s">
        <v>63</v>
      </c>
      <c r="L299" s="2" t="s">
        <v>2653</v>
      </c>
      <c r="M299" s="2" t="s">
        <v>2654</v>
      </c>
      <c r="N299" s="3" t="s">
        <v>820</v>
      </c>
      <c r="P299" s="3" t="s">
        <v>65</v>
      </c>
      <c r="Q299" s="2" t="s">
        <v>2655</v>
      </c>
      <c r="R299" s="3" t="s">
        <v>66</v>
      </c>
      <c r="S299" s="4">
        <v>6</v>
      </c>
      <c r="T299" s="4">
        <v>6</v>
      </c>
      <c r="U299" s="5" t="s">
        <v>2656</v>
      </c>
      <c r="V299" s="5" t="s">
        <v>2656</v>
      </c>
      <c r="W299" s="5" t="s">
        <v>67</v>
      </c>
      <c r="X299" s="5" t="s">
        <v>67</v>
      </c>
      <c r="Y299" s="4">
        <v>161</v>
      </c>
      <c r="Z299" s="4">
        <v>13</v>
      </c>
      <c r="AA299" s="4">
        <v>13</v>
      </c>
      <c r="AB299" s="4">
        <v>1</v>
      </c>
      <c r="AC299" s="4">
        <v>1</v>
      </c>
      <c r="AD299" s="4">
        <v>62</v>
      </c>
      <c r="AE299" s="4">
        <v>62</v>
      </c>
      <c r="AF299" s="4">
        <v>0</v>
      </c>
      <c r="AG299" s="4">
        <v>0</v>
      </c>
      <c r="AH299" s="4">
        <v>55</v>
      </c>
      <c r="AI299" s="4">
        <v>55</v>
      </c>
      <c r="AJ299" s="4">
        <v>11</v>
      </c>
      <c r="AK299" s="4">
        <v>11</v>
      </c>
      <c r="AL299" s="4">
        <v>34</v>
      </c>
      <c r="AM299" s="4">
        <v>34</v>
      </c>
      <c r="AN299" s="4">
        <v>0</v>
      </c>
      <c r="AO299" s="4">
        <v>0</v>
      </c>
      <c r="AP299" s="4">
        <v>12</v>
      </c>
      <c r="AQ299" s="4">
        <v>12</v>
      </c>
      <c r="AR299" s="3" t="s">
        <v>62</v>
      </c>
      <c r="AS299" s="3" t="s">
        <v>62</v>
      </c>
      <c r="AT299" s="3" t="s">
        <v>62</v>
      </c>
      <c r="AV299" s="6" t="str">
        <f>HYPERLINK("http://mcgill.on.worldcat.org/oclc/262523883","Catalog Record")</f>
        <v>Catalog Record</v>
      </c>
      <c r="AW299" s="6" t="str">
        <f>HYPERLINK("http://www.worldcat.org/oclc/262523883","WorldCat Record")</f>
        <v>WorldCat Record</v>
      </c>
      <c r="AX299" s="3" t="s">
        <v>2657</v>
      </c>
      <c r="AY299" s="3" t="s">
        <v>2658</v>
      </c>
      <c r="AZ299" s="3" t="s">
        <v>2659</v>
      </c>
      <c r="BA299" s="3" t="s">
        <v>2659</v>
      </c>
      <c r="BB299" s="3" t="s">
        <v>2660</v>
      </c>
      <c r="BC299" s="3" t="s">
        <v>142</v>
      </c>
      <c r="BD299" s="3" t="s">
        <v>68</v>
      </c>
      <c r="BE299" s="3" t="s">
        <v>2661</v>
      </c>
      <c r="BF299" s="3" t="s">
        <v>2660</v>
      </c>
      <c r="BG299" s="3" t="s">
        <v>2662</v>
      </c>
    </row>
    <row r="300" spans="1:59" ht="57" x14ac:dyDescent="0.45">
      <c r="A300" s="2" t="s">
        <v>59</v>
      </c>
      <c r="B300" s="2" t="s">
        <v>60</v>
      </c>
      <c r="C300" s="2" t="s">
        <v>2663</v>
      </c>
      <c r="D300" s="2" t="s">
        <v>2664</v>
      </c>
      <c r="E300" s="2" t="s">
        <v>2665</v>
      </c>
      <c r="G300" s="3" t="s">
        <v>62</v>
      </c>
      <c r="I300" s="3" t="s">
        <v>62</v>
      </c>
      <c r="J300" s="3" t="s">
        <v>62</v>
      </c>
      <c r="K300" s="3" t="s">
        <v>63</v>
      </c>
      <c r="M300" s="2" t="s">
        <v>2666</v>
      </c>
      <c r="N300" s="3" t="s">
        <v>945</v>
      </c>
      <c r="P300" s="3" t="s">
        <v>110</v>
      </c>
      <c r="Q300" s="2" t="s">
        <v>2667</v>
      </c>
      <c r="R300" s="3" t="s">
        <v>66</v>
      </c>
      <c r="S300" s="4">
        <v>2</v>
      </c>
      <c r="T300" s="4">
        <v>2</v>
      </c>
      <c r="U300" s="5" t="s">
        <v>2668</v>
      </c>
      <c r="V300" s="5" t="s">
        <v>2668</v>
      </c>
      <c r="W300" s="5" t="s">
        <v>67</v>
      </c>
      <c r="X300" s="5" t="s">
        <v>67</v>
      </c>
      <c r="Y300" s="4">
        <v>20</v>
      </c>
      <c r="Z300" s="4">
        <v>1</v>
      </c>
      <c r="AA300" s="4">
        <v>2</v>
      </c>
      <c r="AB300" s="4">
        <v>1</v>
      </c>
      <c r="AC300" s="4">
        <v>1</v>
      </c>
      <c r="AD300" s="4">
        <v>9</v>
      </c>
      <c r="AE300" s="4">
        <v>10</v>
      </c>
      <c r="AF300" s="4">
        <v>0</v>
      </c>
      <c r="AG300" s="4">
        <v>0</v>
      </c>
      <c r="AH300" s="4">
        <v>8</v>
      </c>
      <c r="AI300" s="4">
        <v>9</v>
      </c>
      <c r="AJ300" s="4">
        <v>0</v>
      </c>
      <c r="AK300" s="4">
        <v>1</v>
      </c>
      <c r="AL300" s="4">
        <v>7</v>
      </c>
      <c r="AM300" s="4">
        <v>7</v>
      </c>
      <c r="AN300" s="4">
        <v>0</v>
      </c>
      <c r="AO300" s="4">
        <v>0</v>
      </c>
      <c r="AP300" s="4">
        <v>0</v>
      </c>
      <c r="AQ300" s="4">
        <v>1</v>
      </c>
      <c r="AR300" s="3" t="s">
        <v>62</v>
      </c>
      <c r="AS300" s="3" t="s">
        <v>62</v>
      </c>
      <c r="AT300" s="3" t="s">
        <v>62</v>
      </c>
      <c r="AV300" s="6" t="str">
        <f>HYPERLINK("http://mcgill.on.worldcat.org/oclc/85886117","Catalog Record")</f>
        <v>Catalog Record</v>
      </c>
      <c r="AW300" s="6" t="str">
        <f>HYPERLINK("http://www.worldcat.org/oclc/85886117","WorldCat Record")</f>
        <v>WorldCat Record</v>
      </c>
      <c r="AX300" s="3" t="s">
        <v>2669</v>
      </c>
      <c r="AY300" s="3" t="s">
        <v>2670</v>
      </c>
      <c r="AZ300" s="3" t="s">
        <v>2671</v>
      </c>
      <c r="BA300" s="3" t="s">
        <v>2671</v>
      </c>
      <c r="BB300" s="3" t="s">
        <v>2672</v>
      </c>
      <c r="BC300" s="3" t="s">
        <v>142</v>
      </c>
      <c r="BD300" s="3" t="s">
        <v>68</v>
      </c>
      <c r="BE300" s="3" t="s">
        <v>2673</v>
      </c>
      <c r="BF300" s="3" t="s">
        <v>2672</v>
      </c>
      <c r="BG300" s="3" t="s">
        <v>2674</v>
      </c>
    </row>
    <row r="301" spans="1:59" ht="57" x14ac:dyDescent="0.45">
      <c r="A301" s="2" t="s">
        <v>59</v>
      </c>
      <c r="B301" s="2" t="s">
        <v>60</v>
      </c>
      <c r="C301" s="2" t="s">
        <v>2675</v>
      </c>
      <c r="D301" s="2" t="s">
        <v>2676</v>
      </c>
      <c r="E301" s="2" t="s">
        <v>2677</v>
      </c>
      <c r="G301" s="3" t="s">
        <v>62</v>
      </c>
      <c r="I301" s="3" t="s">
        <v>62</v>
      </c>
      <c r="J301" s="3" t="s">
        <v>62</v>
      </c>
      <c r="K301" s="3" t="s">
        <v>63</v>
      </c>
      <c r="L301" s="2" t="s">
        <v>2678</v>
      </c>
      <c r="M301" s="2" t="s">
        <v>2679</v>
      </c>
      <c r="N301" s="3" t="s">
        <v>116</v>
      </c>
      <c r="P301" s="3" t="s">
        <v>65</v>
      </c>
      <c r="R301" s="3" t="s">
        <v>66</v>
      </c>
      <c r="S301" s="4">
        <v>6</v>
      </c>
      <c r="T301" s="4">
        <v>6</v>
      </c>
      <c r="W301" s="5" t="s">
        <v>67</v>
      </c>
      <c r="X301" s="5" t="s">
        <v>67</v>
      </c>
      <c r="Y301" s="4">
        <v>65</v>
      </c>
      <c r="Z301" s="4">
        <v>11</v>
      </c>
      <c r="AA301" s="4">
        <v>11</v>
      </c>
      <c r="AB301" s="4">
        <v>1</v>
      </c>
      <c r="AC301" s="4">
        <v>1</v>
      </c>
      <c r="AD301" s="4">
        <v>35</v>
      </c>
      <c r="AE301" s="4">
        <v>35</v>
      </c>
      <c r="AF301" s="4">
        <v>0</v>
      </c>
      <c r="AG301" s="4">
        <v>0</v>
      </c>
      <c r="AH301" s="4">
        <v>29</v>
      </c>
      <c r="AI301" s="4">
        <v>29</v>
      </c>
      <c r="AJ301" s="4">
        <v>7</v>
      </c>
      <c r="AK301" s="4">
        <v>7</v>
      </c>
      <c r="AL301" s="4">
        <v>21</v>
      </c>
      <c r="AM301" s="4">
        <v>21</v>
      </c>
      <c r="AN301" s="4">
        <v>0</v>
      </c>
      <c r="AO301" s="4">
        <v>0</v>
      </c>
      <c r="AP301" s="4">
        <v>9</v>
      </c>
      <c r="AQ301" s="4">
        <v>9</v>
      </c>
      <c r="AR301" s="3" t="s">
        <v>62</v>
      </c>
      <c r="AS301" s="3" t="s">
        <v>62</v>
      </c>
      <c r="AT301" s="3" t="s">
        <v>62</v>
      </c>
      <c r="AV301" s="6" t="str">
        <f>HYPERLINK("http://mcgill.on.worldcat.org/oclc/830355093","Catalog Record")</f>
        <v>Catalog Record</v>
      </c>
      <c r="AW301" s="6" t="str">
        <f>HYPERLINK("http://www.worldcat.org/oclc/830355093","WorldCat Record")</f>
        <v>WorldCat Record</v>
      </c>
      <c r="AX301" s="3" t="s">
        <v>2680</v>
      </c>
      <c r="AY301" s="3" t="s">
        <v>2681</v>
      </c>
      <c r="AZ301" s="3" t="s">
        <v>2682</v>
      </c>
      <c r="BA301" s="3" t="s">
        <v>2682</v>
      </c>
      <c r="BB301" s="3" t="s">
        <v>2683</v>
      </c>
      <c r="BC301" s="3" t="s">
        <v>142</v>
      </c>
      <c r="BD301" s="3" t="s">
        <v>308</v>
      </c>
      <c r="BE301" s="3" t="s">
        <v>2684</v>
      </c>
      <c r="BF301" s="3" t="s">
        <v>2683</v>
      </c>
      <c r="BG301" s="3" t="s">
        <v>2685</v>
      </c>
    </row>
    <row r="302" spans="1:59" ht="57" x14ac:dyDescent="0.45">
      <c r="A302" s="2" t="s">
        <v>59</v>
      </c>
      <c r="B302" s="2" t="s">
        <v>60</v>
      </c>
      <c r="C302" s="2" t="s">
        <v>2686</v>
      </c>
      <c r="D302" s="2" t="s">
        <v>2687</v>
      </c>
      <c r="E302" s="2" t="s">
        <v>2688</v>
      </c>
      <c r="G302" s="3" t="s">
        <v>62</v>
      </c>
      <c r="I302" s="3" t="s">
        <v>62</v>
      </c>
      <c r="J302" s="3" t="s">
        <v>62</v>
      </c>
      <c r="K302" s="3" t="s">
        <v>63</v>
      </c>
      <c r="M302" s="2" t="s">
        <v>2689</v>
      </c>
      <c r="N302" s="3" t="s">
        <v>1465</v>
      </c>
      <c r="P302" s="3" t="s">
        <v>65</v>
      </c>
      <c r="R302" s="3" t="s">
        <v>66</v>
      </c>
      <c r="S302" s="4">
        <v>1</v>
      </c>
      <c r="T302" s="4">
        <v>1</v>
      </c>
      <c r="U302" s="5" t="s">
        <v>2690</v>
      </c>
      <c r="V302" s="5" t="s">
        <v>2690</v>
      </c>
      <c r="W302" s="5" t="s">
        <v>67</v>
      </c>
      <c r="X302" s="5" t="s">
        <v>67</v>
      </c>
      <c r="Y302" s="4">
        <v>180</v>
      </c>
      <c r="Z302" s="4">
        <v>13</v>
      </c>
      <c r="AA302" s="4">
        <v>81</v>
      </c>
      <c r="AB302" s="4">
        <v>1</v>
      </c>
      <c r="AC302" s="4">
        <v>15</v>
      </c>
      <c r="AD302" s="4">
        <v>62</v>
      </c>
      <c r="AE302" s="4">
        <v>120</v>
      </c>
      <c r="AF302" s="4">
        <v>0</v>
      </c>
      <c r="AG302" s="4">
        <v>8</v>
      </c>
      <c r="AH302" s="4">
        <v>57</v>
      </c>
      <c r="AI302" s="4">
        <v>84</v>
      </c>
      <c r="AJ302" s="4">
        <v>8</v>
      </c>
      <c r="AK302" s="4">
        <v>24</v>
      </c>
      <c r="AL302" s="4">
        <v>37</v>
      </c>
      <c r="AM302" s="4">
        <v>44</v>
      </c>
      <c r="AN302" s="4">
        <v>0</v>
      </c>
      <c r="AO302" s="4">
        <v>0</v>
      </c>
      <c r="AP302" s="4">
        <v>10</v>
      </c>
      <c r="AQ302" s="4">
        <v>44</v>
      </c>
      <c r="AR302" s="3" t="s">
        <v>62</v>
      </c>
      <c r="AS302" s="3" t="s">
        <v>62</v>
      </c>
      <c r="AT302" s="3" t="s">
        <v>62</v>
      </c>
      <c r="AV302" s="6" t="str">
        <f>HYPERLINK("http://mcgill.on.worldcat.org/oclc/190850840","Catalog Record")</f>
        <v>Catalog Record</v>
      </c>
      <c r="AW302" s="6" t="str">
        <f>HYPERLINK("http://www.worldcat.org/oclc/190850840","WorldCat Record")</f>
        <v>WorldCat Record</v>
      </c>
      <c r="AX302" s="3" t="s">
        <v>2691</v>
      </c>
      <c r="AY302" s="3" t="s">
        <v>2692</v>
      </c>
      <c r="AZ302" s="3" t="s">
        <v>2693</v>
      </c>
      <c r="BA302" s="3" t="s">
        <v>2693</v>
      </c>
      <c r="BB302" s="3" t="s">
        <v>2694</v>
      </c>
      <c r="BC302" s="3" t="s">
        <v>142</v>
      </c>
      <c r="BD302" s="3" t="s">
        <v>68</v>
      </c>
      <c r="BE302" s="3" t="s">
        <v>2695</v>
      </c>
      <c r="BF302" s="3" t="s">
        <v>2694</v>
      </c>
      <c r="BG302" s="3" t="s">
        <v>2696</v>
      </c>
    </row>
    <row r="303" spans="1:59" ht="57" x14ac:dyDescent="0.45">
      <c r="A303" s="2" t="s">
        <v>59</v>
      </c>
      <c r="B303" s="2" t="s">
        <v>60</v>
      </c>
      <c r="C303" s="2" t="s">
        <v>2697</v>
      </c>
      <c r="D303" s="2" t="s">
        <v>2698</v>
      </c>
      <c r="E303" s="2" t="s">
        <v>2699</v>
      </c>
      <c r="F303" s="3" t="s">
        <v>87</v>
      </c>
      <c r="G303" s="3" t="s">
        <v>61</v>
      </c>
      <c r="I303" s="3" t="s">
        <v>62</v>
      </c>
      <c r="J303" s="3" t="s">
        <v>62</v>
      </c>
      <c r="K303" s="3" t="s">
        <v>63</v>
      </c>
      <c r="M303" s="2" t="s">
        <v>2700</v>
      </c>
      <c r="N303" s="3" t="s">
        <v>1059</v>
      </c>
      <c r="P303" s="3" t="s">
        <v>65</v>
      </c>
      <c r="R303" s="3" t="s">
        <v>66</v>
      </c>
      <c r="S303" s="4">
        <v>2</v>
      </c>
      <c r="T303" s="4">
        <v>5</v>
      </c>
      <c r="U303" s="5" t="s">
        <v>2701</v>
      </c>
      <c r="V303" s="5" t="s">
        <v>2702</v>
      </c>
      <c r="W303" s="5" t="s">
        <v>67</v>
      </c>
      <c r="X303" s="5" t="s">
        <v>67</v>
      </c>
      <c r="Y303" s="4">
        <v>187</v>
      </c>
      <c r="Z303" s="4">
        <v>14</v>
      </c>
      <c r="AA303" s="4">
        <v>79</v>
      </c>
      <c r="AB303" s="4">
        <v>1</v>
      </c>
      <c r="AC303" s="4">
        <v>15</v>
      </c>
      <c r="AD303" s="4">
        <v>74</v>
      </c>
      <c r="AE303" s="4">
        <v>120</v>
      </c>
      <c r="AF303" s="4">
        <v>0</v>
      </c>
      <c r="AG303" s="4">
        <v>8</v>
      </c>
      <c r="AH303" s="4">
        <v>65</v>
      </c>
      <c r="AI303" s="4">
        <v>84</v>
      </c>
      <c r="AJ303" s="4">
        <v>12</v>
      </c>
      <c r="AK303" s="4">
        <v>22</v>
      </c>
      <c r="AL303" s="4">
        <v>44</v>
      </c>
      <c r="AM303" s="4">
        <v>49</v>
      </c>
      <c r="AN303" s="4">
        <v>0</v>
      </c>
      <c r="AO303" s="4">
        <v>0</v>
      </c>
      <c r="AP303" s="4">
        <v>12</v>
      </c>
      <c r="AQ303" s="4">
        <v>42</v>
      </c>
      <c r="AR303" s="3" t="s">
        <v>62</v>
      </c>
      <c r="AS303" s="3" t="s">
        <v>62</v>
      </c>
      <c r="AT303" s="3" t="s">
        <v>61</v>
      </c>
      <c r="AU303" s="6" t="str">
        <f>HYPERLINK("http://catalog.hathitrust.org/Record/005235529","HathiTrust Record")</f>
        <v>HathiTrust Record</v>
      </c>
      <c r="AV303" s="6" t="str">
        <f>HYPERLINK("http://mcgill.on.worldcat.org/oclc/64312973","Catalog Record")</f>
        <v>Catalog Record</v>
      </c>
      <c r="AW303" s="6" t="str">
        <f>HYPERLINK("http://www.worldcat.org/oclc/64312973","WorldCat Record")</f>
        <v>WorldCat Record</v>
      </c>
      <c r="AX303" s="3" t="s">
        <v>2703</v>
      </c>
      <c r="AY303" s="3" t="s">
        <v>2704</v>
      </c>
      <c r="AZ303" s="3" t="s">
        <v>2705</v>
      </c>
      <c r="BA303" s="3" t="s">
        <v>2705</v>
      </c>
      <c r="BB303" s="3" t="s">
        <v>2706</v>
      </c>
      <c r="BC303" s="3" t="s">
        <v>142</v>
      </c>
      <c r="BD303" s="3" t="s">
        <v>68</v>
      </c>
      <c r="BE303" s="3" t="s">
        <v>2707</v>
      </c>
      <c r="BF303" s="3" t="s">
        <v>2706</v>
      </c>
      <c r="BG303" s="3" t="s">
        <v>2708</v>
      </c>
    </row>
    <row r="304" spans="1:59" ht="57" x14ac:dyDescent="0.45">
      <c r="A304" s="2" t="s">
        <v>59</v>
      </c>
      <c r="B304" s="2" t="s">
        <v>60</v>
      </c>
      <c r="C304" s="2" t="s">
        <v>2697</v>
      </c>
      <c r="D304" s="2" t="s">
        <v>2698</v>
      </c>
      <c r="E304" s="2" t="s">
        <v>2699</v>
      </c>
      <c r="F304" s="3" t="s">
        <v>90</v>
      </c>
      <c r="G304" s="3" t="s">
        <v>61</v>
      </c>
      <c r="I304" s="3" t="s">
        <v>62</v>
      </c>
      <c r="J304" s="3" t="s">
        <v>62</v>
      </c>
      <c r="K304" s="3" t="s">
        <v>63</v>
      </c>
      <c r="M304" s="2" t="s">
        <v>2700</v>
      </c>
      <c r="N304" s="3" t="s">
        <v>1059</v>
      </c>
      <c r="P304" s="3" t="s">
        <v>65</v>
      </c>
      <c r="R304" s="3" t="s">
        <v>66</v>
      </c>
      <c r="S304" s="4">
        <v>3</v>
      </c>
      <c r="T304" s="4">
        <v>5</v>
      </c>
      <c r="U304" s="5" t="s">
        <v>2702</v>
      </c>
      <c r="V304" s="5" t="s">
        <v>2702</v>
      </c>
      <c r="W304" s="5" t="s">
        <v>67</v>
      </c>
      <c r="X304" s="5" t="s">
        <v>67</v>
      </c>
      <c r="Y304" s="4">
        <v>187</v>
      </c>
      <c r="Z304" s="4">
        <v>14</v>
      </c>
      <c r="AA304" s="4">
        <v>79</v>
      </c>
      <c r="AB304" s="4">
        <v>1</v>
      </c>
      <c r="AC304" s="4">
        <v>15</v>
      </c>
      <c r="AD304" s="4">
        <v>74</v>
      </c>
      <c r="AE304" s="4">
        <v>120</v>
      </c>
      <c r="AF304" s="4">
        <v>0</v>
      </c>
      <c r="AG304" s="4">
        <v>8</v>
      </c>
      <c r="AH304" s="4">
        <v>65</v>
      </c>
      <c r="AI304" s="4">
        <v>84</v>
      </c>
      <c r="AJ304" s="4">
        <v>12</v>
      </c>
      <c r="AK304" s="4">
        <v>22</v>
      </c>
      <c r="AL304" s="4">
        <v>44</v>
      </c>
      <c r="AM304" s="4">
        <v>49</v>
      </c>
      <c r="AN304" s="4">
        <v>0</v>
      </c>
      <c r="AO304" s="4">
        <v>0</v>
      </c>
      <c r="AP304" s="4">
        <v>12</v>
      </c>
      <c r="AQ304" s="4">
        <v>42</v>
      </c>
      <c r="AR304" s="3" t="s">
        <v>62</v>
      </c>
      <c r="AS304" s="3" t="s">
        <v>62</v>
      </c>
      <c r="AT304" s="3" t="s">
        <v>61</v>
      </c>
      <c r="AU304" s="6" t="str">
        <f>HYPERLINK("http://catalog.hathitrust.org/Record/005235529","HathiTrust Record")</f>
        <v>HathiTrust Record</v>
      </c>
      <c r="AV304" s="6" t="str">
        <f>HYPERLINK("http://mcgill.on.worldcat.org/oclc/64312973","Catalog Record")</f>
        <v>Catalog Record</v>
      </c>
      <c r="AW304" s="6" t="str">
        <f>HYPERLINK("http://www.worldcat.org/oclc/64312973","WorldCat Record")</f>
        <v>WorldCat Record</v>
      </c>
      <c r="AX304" s="3" t="s">
        <v>2703</v>
      </c>
      <c r="AY304" s="3" t="s">
        <v>2704</v>
      </c>
      <c r="AZ304" s="3" t="s">
        <v>2705</v>
      </c>
      <c r="BA304" s="3" t="s">
        <v>2705</v>
      </c>
      <c r="BB304" s="3" t="s">
        <v>2709</v>
      </c>
      <c r="BC304" s="3" t="s">
        <v>142</v>
      </c>
      <c r="BD304" s="3" t="s">
        <v>68</v>
      </c>
      <c r="BE304" s="3" t="s">
        <v>2707</v>
      </c>
      <c r="BF304" s="3" t="s">
        <v>2709</v>
      </c>
      <c r="BG304" s="3" t="s">
        <v>2710</v>
      </c>
    </row>
    <row r="305" spans="1:59" ht="57" x14ac:dyDescent="0.45">
      <c r="A305" s="2" t="s">
        <v>59</v>
      </c>
      <c r="B305" s="2" t="s">
        <v>60</v>
      </c>
      <c r="C305" s="2" t="s">
        <v>2697</v>
      </c>
      <c r="D305" s="2" t="s">
        <v>2698</v>
      </c>
      <c r="E305" s="2" t="s">
        <v>2699</v>
      </c>
      <c r="F305" s="3" t="s">
        <v>2711</v>
      </c>
      <c r="G305" s="3" t="s">
        <v>61</v>
      </c>
      <c r="I305" s="3" t="s">
        <v>62</v>
      </c>
      <c r="J305" s="3" t="s">
        <v>62</v>
      </c>
      <c r="K305" s="3" t="s">
        <v>63</v>
      </c>
      <c r="M305" s="2" t="s">
        <v>2700</v>
      </c>
      <c r="N305" s="3" t="s">
        <v>1059</v>
      </c>
      <c r="P305" s="3" t="s">
        <v>65</v>
      </c>
      <c r="R305" s="3" t="s">
        <v>66</v>
      </c>
      <c r="S305" s="4">
        <v>0</v>
      </c>
      <c r="T305" s="4">
        <v>5</v>
      </c>
      <c r="V305" s="5" t="s">
        <v>2702</v>
      </c>
      <c r="W305" s="5" t="s">
        <v>67</v>
      </c>
      <c r="X305" s="5" t="s">
        <v>67</v>
      </c>
      <c r="Y305" s="4">
        <v>187</v>
      </c>
      <c r="Z305" s="4">
        <v>14</v>
      </c>
      <c r="AA305" s="4">
        <v>79</v>
      </c>
      <c r="AB305" s="4">
        <v>1</v>
      </c>
      <c r="AC305" s="4">
        <v>15</v>
      </c>
      <c r="AD305" s="4">
        <v>74</v>
      </c>
      <c r="AE305" s="4">
        <v>120</v>
      </c>
      <c r="AF305" s="4">
        <v>0</v>
      </c>
      <c r="AG305" s="4">
        <v>8</v>
      </c>
      <c r="AH305" s="4">
        <v>65</v>
      </c>
      <c r="AI305" s="4">
        <v>84</v>
      </c>
      <c r="AJ305" s="4">
        <v>12</v>
      </c>
      <c r="AK305" s="4">
        <v>22</v>
      </c>
      <c r="AL305" s="4">
        <v>44</v>
      </c>
      <c r="AM305" s="4">
        <v>49</v>
      </c>
      <c r="AN305" s="4">
        <v>0</v>
      </c>
      <c r="AO305" s="4">
        <v>0</v>
      </c>
      <c r="AP305" s="4">
        <v>12</v>
      </c>
      <c r="AQ305" s="4">
        <v>42</v>
      </c>
      <c r="AR305" s="3" t="s">
        <v>62</v>
      </c>
      <c r="AS305" s="3" t="s">
        <v>62</v>
      </c>
      <c r="AT305" s="3" t="s">
        <v>61</v>
      </c>
      <c r="AU305" s="6" t="str">
        <f>HYPERLINK("http://catalog.hathitrust.org/Record/005235529","HathiTrust Record")</f>
        <v>HathiTrust Record</v>
      </c>
      <c r="AV305" s="6" t="str">
        <f>HYPERLINK("http://mcgill.on.worldcat.org/oclc/64312973","Catalog Record")</f>
        <v>Catalog Record</v>
      </c>
      <c r="AW305" s="6" t="str">
        <f>HYPERLINK("http://www.worldcat.org/oclc/64312973","WorldCat Record")</f>
        <v>WorldCat Record</v>
      </c>
      <c r="AX305" s="3" t="s">
        <v>2703</v>
      </c>
      <c r="AY305" s="3" t="s">
        <v>2704</v>
      </c>
      <c r="AZ305" s="3" t="s">
        <v>2705</v>
      </c>
      <c r="BA305" s="3" t="s">
        <v>2705</v>
      </c>
      <c r="BB305" s="3" t="s">
        <v>2712</v>
      </c>
      <c r="BC305" s="3" t="s">
        <v>142</v>
      </c>
      <c r="BD305" s="3" t="s">
        <v>68</v>
      </c>
      <c r="BE305" s="3" t="s">
        <v>2707</v>
      </c>
      <c r="BF305" s="3" t="s">
        <v>2712</v>
      </c>
      <c r="BG305" s="3" t="s">
        <v>2713</v>
      </c>
    </row>
    <row r="306" spans="1:59" ht="99.75" x14ac:dyDescent="0.45">
      <c r="A306" s="2" t="s">
        <v>59</v>
      </c>
      <c r="B306" s="2" t="s">
        <v>60</v>
      </c>
      <c r="C306" s="2" t="s">
        <v>2714</v>
      </c>
      <c r="D306" s="2" t="s">
        <v>2715</v>
      </c>
      <c r="E306" s="2" t="s">
        <v>2716</v>
      </c>
      <c r="G306" s="3" t="s">
        <v>62</v>
      </c>
      <c r="I306" s="3" t="s">
        <v>62</v>
      </c>
      <c r="J306" s="3" t="s">
        <v>61</v>
      </c>
      <c r="K306" s="3" t="s">
        <v>63</v>
      </c>
      <c r="L306" s="2" t="s">
        <v>651</v>
      </c>
      <c r="M306" s="2" t="s">
        <v>2717</v>
      </c>
      <c r="N306" s="3" t="s">
        <v>970</v>
      </c>
      <c r="O306" s="2" t="s">
        <v>2718</v>
      </c>
      <c r="P306" s="3" t="s">
        <v>65</v>
      </c>
      <c r="R306" s="3" t="s">
        <v>66</v>
      </c>
      <c r="S306" s="4">
        <v>48</v>
      </c>
      <c r="T306" s="4">
        <v>48</v>
      </c>
      <c r="U306" s="5" t="s">
        <v>1857</v>
      </c>
      <c r="V306" s="5" t="s">
        <v>1857</v>
      </c>
      <c r="W306" s="5" t="s">
        <v>67</v>
      </c>
      <c r="X306" s="5" t="s">
        <v>67</v>
      </c>
      <c r="Y306" s="4">
        <v>20</v>
      </c>
      <c r="Z306" s="4">
        <v>3</v>
      </c>
      <c r="AA306" s="4">
        <v>109</v>
      </c>
      <c r="AB306" s="4">
        <v>1</v>
      </c>
      <c r="AC306" s="4">
        <v>14</v>
      </c>
      <c r="AD306" s="4">
        <v>3</v>
      </c>
      <c r="AE306" s="4">
        <v>163</v>
      </c>
      <c r="AF306" s="4">
        <v>0</v>
      </c>
      <c r="AG306" s="4">
        <v>8</v>
      </c>
      <c r="AH306" s="4">
        <v>1</v>
      </c>
      <c r="AI306" s="4">
        <v>116</v>
      </c>
      <c r="AJ306" s="4">
        <v>1</v>
      </c>
      <c r="AK306" s="4">
        <v>27</v>
      </c>
      <c r="AL306" s="4">
        <v>1</v>
      </c>
      <c r="AM306" s="4">
        <v>61</v>
      </c>
      <c r="AN306" s="4">
        <v>0</v>
      </c>
      <c r="AO306" s="4">
        <v>0</v>
      </c>
      <c r="AP306" s="4">
        <v>2</v>
      </c>
      <c r="AQ306" s="4">
        <v>56</v>
      </c>
      <c r="AR306" s="3" t="s">
        <v>62</v>
      </c>
      <c r="AS306" s="3" t="s">
        <v>62</v>
      </c>
      <c r="AT306" s="3" t="s">
        <v>62</v>
      </c>
      <c r="AV306" s="6" t="str">
        <f>HYPERLINK("http://mcgill.on.worldcat.org/oclc/53189388","Catalog Record")</f>
        <v>Catalog Record</v>
      </c>
      <c r="AW306" s="6" t="str">
        <f>HYPERLINK("http://www.worldcat.org/oclc/53189388","WorldCat Record")</f>
        <v>WorldCat Record</v>
      </c>
      <c r="AX306" s="3" t="s">
        <v>2719</v>
      </c>
      <c r="AY306" s="3" t="s">
        <v>2720</v>
      </c>
      <c r="AZ306" s="3" t="s">
        <v>2721</v>
      </c>
      <c r="BA306" s="3" t="s">
        <v>2721</v>
      </c>
      <c r="BB306" s="3" t="s">
        <v>2722</v>
      </c>
      <c r="BC306" s="3" t="s">
        <v>142</v>
      </c>
      <c r="BD306" s="3" t="s">
        <v>68</v>
      </c>
      <c r="BE306" s="3" t="s">
        <v>2723</v>
      </c>
      <c r="BF306" s="3" t="s">
        <v>2722</v>
      </c>
      <c r="BG306" s="3" t="s">
        <v>2724</v>
      </c>
    </row>
    <row r="307" spans="1:59" ht="57" x14ac:dyDescent="0.45">
      <c r="A307" s="2" t="s">
        <v>59</v>
      </c>
      <c r="B307" s="2" t="s">
        <v>60</v>
      </c>
      <c r="C307" s="2" t="s">
        <v>2725</v>
      </c>
      <c r="D307" s="2" t="s">
        <v>2726</v>
      </c>
      <c r="E307" s="2" t="s">
        <v>2727</v>
      </c>
      <c r="G307" s="3" t="s">
        <v>62</v>
      </c>
      <c r="I307" s="3" t="s">
        <v>62</v>
      </c>
      <c r="J307" s="3" t="s">
        <v>61</v>
      </c>
      <c r="K307" s="3" t="s">
        <v>63</v>
      </c>
      <c r="L307" s="2" t="s">
        <v>651</v>
      </c>
      <c r="M307" s="2" t="s">
        <v>2728</v>
      </c>
      <c r="N307" s="3" t="s">
        <v>1465</v>
      </c>
      <c r="O307" s="2" t="s">
        <v>906</v>
      </c>
      <c r="P307" s="3" t="s">
        <v>65</v>
      </c>
      <c r="R307" s="3" t="s">
        <v>66</v>
      </c>
      <c r="S307" s="4">
        <v>13</v>
      </c>
      <c r="T307" s="4">
        <v>13</v>
      </c>
      <c r="U307" s="5" t="s">
        <v>2729</v>
      </c>
      <c r="V307" s="5" t="s">
        <v>2729</v>
      </c>
      <c r="W307" s="5" t="s">
        <v>67</v>
      </c>
      <c r="X307" s="5" t="s">
        <v>67</v>
      </c>
      <c r="Y307" s="4">
        <v>234</v>
      </c>
      <c r="Z307" s="4">
        <v>18</v>
      </c>
      <c r="AA307" s="4">
        <v>109</v>
      </c>
      <c r="AB307" s="4">
        <v>1</v>
      </c>
      <c r="AC307" s="4">
        <v>14</v>
      </c>
      <c r="AD307" s="4">
        <v>77</v>
      </c>
      <c r="AE307" s="4">
        <v>163</v>
      </c>
      <c r="AF307" s="4">
        <v>0</v>
      </c>
      <c r="AG307" s="4">
        <v>8</v>
      </c>
      <c r="AH307" s="4">
        <v>69</v>
      </c>
      <c r="AI307" s="4">
        <v>116</v>
      </c>
      <c r="AJ307" s="4">
        <v>10</v>
      </c>
      <c r="AK307" s="4">
        <v>27</v>
      </c>
      <c r="AL307" s="4">
        <v>40</v>
      </c>
      <c r="AM307" s="4">
        <v>61</v>
      </c>
      <c r="AN307" s="4">
        <v>0</v>
      </c>
      <c r="AO307" s="4">
        <v>0</v>
      </c>
      <c r="AP307" s="4">
        <v>14</v>
      </c>
      <c r="AQ307" s="4">
        <v>56</v>
      </c>
      <c r="AR307" s="3" t="s">
        <v>62</v>
      </c>
      <c r="AS307" s="3" t="s">
        <v>62</v>
      </c>
      <c r="AT307" s="3" t="s">
        <v>62</v>
      </c>
      <c r="AV307" s="6" t="str">
        <f>HYPERLINK("http://mcgill.on.worldcat.org/oclc/276224216","Catalog Record")</f>
        <v>Catalog Record</v>
      </c>
      <c r="AW307" s="6" t="str">
        <f>HYPERLINK("http://www.worldcat.org/oclc/276224216","WorldCat Record")</f>
        <v>WorldCat Record</v>
      </c>
      <c r="AX307" s="3" t="s">
        <v>2719</v>
      </c>
      <c r="AY307" s="3" t="s">
        <v>2730</v>
      </c>
      <c r="AZ307" s="3" t="s">
        <v>2731</v>
      </c>
      <c r="BA307" s="3" t="s">
        <v>2731</v>
      </c>
      <c r="BB307" s="3" t="s">
        <v>2732</v>
      </c>
      <c r="BC307" s="3" t="s">
        <v>142</v>
      </c>
      <c r="BD307" s="3" t="s">
        <v>68</v>
      </c>
      <c r="BE307" s="3" t="s">
        <v>2733</v>
      </c>
      <c r="BF307" s="3" t="s">
        <v>2732</v>
      </c>
      <c r="BG307" s="3" t="s">
        <v>2734</v>
      </c>
    </row>
    <row r="308" spans="1:59" ht="57" x14ac:dyDescent="0.45">
      <c r="A308" s="2" t="s">
        <v>59</v>
      </c>
      <c r="B308" s="2" t="s">
        <v>60</v>
      </c>
      <c r="C308" s="2" t="s">
        <v>2735</v>
      </c>
      <c r="D308" s="2" t="s">
        <v>2736</v>
      </c>
      <c r="E308" s="2" t="s">
        <v>2737</v>
      </c>
      <c r="G308" s="3" t="s">
        <v>62</v>
      </c>
      <c r="I308" s="3" t="s">
        <v>62</v>
      </c>
      <c r="J308" s="3" t="s">
        <v>62</v>
      </c>
      <c r="K308" s="3" t="s">
        <v>63</v>
      </c>
      <c r="L308" s="2" t="s">
        <v>2738</v>
      </c>
      <c r="M308" s="2" t="s">
        <v>2739</v>
      </c>
      <c r="N308" s="3" t="s">
        <v>149</v>
      </c>
      <c r="P308" s="3" t="s">
        <v>65</v>
      </c>
      <c r="Q308" s="2" t="s">
        <v>2740</v>
      </c>
      <c r="R308" s="3" t="s">
        <v>66</v>
      </c>
      <c r="S308" s="4">
        <v>1</v>
      </c>
      <c r="T308" s="4">
        <v>1</v>
      </c>
      <c r="U308" s="5" t="s">
        <v>2741</v>
      </c>
      <c r="V308" s="5" t="s">
        <v>2741</v>
      </c>
      <c r="W308" s="5" t="s">
        <v>67</v>
      </c>
      <c r="X308" s="5" t="s">
        <v>67</v>
      </c>
      <c r="Y308" s="4">
        <v>102</v>
      </c>
      <c r="Z308" s="4">
        <v>13</v>
      </c>
      <c r="AA308" s="4">
        <v>92</v>
      </c>
      <c r="AB308" s="4">
        <v>1</v>
      </c>
      <c r="AC308" s="4">
        <v>17</v>
      </c>
      <c r="AD308" s="4">
        <v>58</v>
      </c>
      <c r="AE308" s="4">
        <v>122</v>
      </c>
      <c r="AF308" s="4">
        <v>0</v>
      </c>
      <c r="AG308" s="4">
        <v>8</v>
      </c>
      <c r="AH308" s="4">
        <v>53</v>
      </c>
      <c r="AI308" s="4">
        <v>85</v>
      </c>
      <c r="AJ308" s="4">
        <v>11</v>
      </c>
      <c r="AK308" s="4">
        <v>25</v>
      </c>
      <c r="AL308" s="4">
        <v>31</v>
      </c>
      <c r="AM308" s="4">
        <v>45</v>
      </c>
      <c r="AN308" s="4">
        <v>0</v>
      </c>
      <c r="AO308" s="4">
        <v>0</v>
      </c>
      <c r="AP308" s="4">
        <v>11</v>
      </c>
      <c r="AQ308" s="4">
        <v>46</v>
      </c>
      <c r="AR308" s="3" t="s">
        <v>62</v>
      </c>
      <c r="AS308" s="3" t="s">
        <v>62</v>
      </c>
      <c r="AT308" s="3" t="s">
        <v>62</v>
      </c>
      <c r="AV308" s="6" t="str">
        <f>HYPERLINK("http://mcgill.on.worldcat.org/oclc/537309002","Catalog Record")</f>
        <v>Catalog Record</v>
      </c>
      <c r="AW308" s="6" t="str">
        <f>HYPERLINK("http://www.worldcat.org/oclc/537309002","WorldCat Record")</f>
        <v>WorldCat Record</v>
      </c>
      <c r="AX308" s="3" t="s">
        <v>2742</v>
      </c>
      <c r="AY308" s="3" t="s">
        <v>2743</v>
      </c>
      <c r="AZ308" s="3" t="s">
        <v>2744</v>
      </c>
      <c r="BA308" s="3" t="s">
        <v>2744</v>
      </c>
      <c r="BB308" s="3" t="s">
        <v>2745</v>
      </c>
      <c r="BC308" s="3" t="s">
        <v>142</v>
      </c>
      <c r="BD308" s="3" t="s">
        <v>68</v>
      </c>
      <c r="BE308" s="3" t="s">
        <v>2746</v>
      </c>
      <c r="BF308" s="3" t="s">
        <v>2745</v>
      </c>
      <c r="BG308" s="3" t="s">
        <v>2747</v>
      </c>
    </row>
    <row r="309" spans="1:59" ht="57" x14ac:dyDescent="0.45">
      <c r="A309" s="2" t="s">
        <v>59</v>
      </c>
      <c r="B309" s="2" t="s">
        <v>60</v>
      </c>
      <c r="C309" s="2" t="s">
        <v>2748</v>
      </c>
      <c r="D309" s="2" t="s">
        <v>2749</v>
      </c>
      <c r="E309" s="2" t="s">
        <v>2750</v>
      </c>
      <c r="G309" s="3" t="s">
        <v>62</v>
      </c>
      <c r="I309" s="3" t="s">
        <v>62</v>
      </c>
      <c r="J309" s="3" t="s">
        <v>62</v>
      </c>
      <c r="K309" s="3" t="s">
        <v>63</v>
      </c>
      <c r="L309" s="2" t="s">
        <v>2751</v>
      </c>
      <c r="M309" s="2" t="s">
        <v>2752</v>
      </c>
      <c r="N309" s="3" t="s">
        <v>125</v>
      </c>
      <c r="P309" s="3" t="s">
        <v>65</v>
      </c>
      <c r="R309" s="3" t="s">
        <v>66</v>
      </c>
      <c r="S309" s="4">
        <v>14</v>
      </c>
      <c r="T309" s="4">
        <v>14</v>
      </c>
      <c r="U309" s="5" t="s">
        <v>2753</v>
      </c>
      <c r="V309" s="5" t="s">
        <v>2753</v>
      </c>
      <c r="W309" s="5" t="s">
        <v>67</v>
      </c>
      <c r="X309" s="5" t="s">
        <v>67</v>
      </c>
      <c r="Y309" s="4">
        <v>368</v>
      </c>
      <c r="Z309" s="4">
        <v>17</v>
      </c>
      <c r="AA309" s="4">
        <v>24</v>
      </c>
      <c r="AB309" s="4">
        <v>2</v>
      </c>
      <c r="AC309" s="4">
        <v>7</v>
      </c>
      <c r="AD309" s="4">
        <v>108</v>
      </c>
      <c r="AE309" s="4">
        <v>112</v>
      </c>
      <c r="AF309" s="4">
        <v>1</v>
      </c>
      <c r="AG309" s="4">
        <v>3</v>
      </c>
      <c r="AH309" s="4">
        <v>99</v>
      </c>
      <c r="AI309" s="4">
        <v>99</v>
      </c>
      <c r="AJ309" s="4">
        <v>13</v>
      </c>
      <c r="AK309" s="4">
        <v>16</v>
      </c>
      <c r="AL309" s="4">
        <v>54</v>
      </c>
      <c r="AM309" s="4">
        <v>54</v>
      </c>
      <c r="AN309" s="4">
        <v>0</v>
      </c>
      <c r="AO309" s="4">
        <v>0</v>
      </c>
      <c r="AP309" s="4">
        <v>15</v>
      </c>
      <c r="AQ309" s="4">
        <v>18</v>
      </c>
      <c r="AR309" s="3" t="s">
        <v>62</v>
      </c>
      <c r="AS309" s="3" t="s">
        <v>62</v>
      </c>
      <c r="AT309" s="3" t="s">
        <v>61</v>
      </c>
      <c r="AU309" s="6" t="str">
        <f>HYPERLINK("http://catalog.hathitrust.org/Record/002372286","HathiTrust Record")</f>
        <v>HathiTrust Record</v>
      </c>
      <c r="AV309" s="6" t="str">
        <f>HYPERLINK("http://mcgill.on.worldcat.org/oclc/22181700","Catalog Record")</f>
        <v>Catalog Record</v>
      </c>
      <c r="AW309" s="6" t="str">
        <f>HYPERLINK("http://www.worldcat.org/oclc/22181700","WorldCat Record")</f>
        <v>WorldCat Record</v>
      </c>
      <c r="AX309" s="3" t="s">
        <v>2754</v>
      </c>
      <c r="AY309" s="3" t="s">
        <v>2755</v>
      </c>
      <c r="AZ309" s="3" t="s">
        <v>2756</v>
      </c>
      <c r="BA309" s="3" t="s">
        <v>2756</v>
      </c>
      <c r="BB309" s="3" t="s">
        <v>2757</v>
      </c>
      <c r="BC309" s="3" t="s">
        <v>142</v>
      </c>
      <c r="BD309" s="3" t="s">
        <v>68</v>
      </c>
      <c r="BE309" s="3" t="s">
        <v>2758</v>
      </c>
      <c r="BF309" s="3" t="s">
        <v>2757</v>
      </c>
      <c r="BG309" s="3" t="s">
        <v>2759</v>
      </c>
    </row>
    <row r="310" spans="1:59" ht="57" x14ac:dyDescent="0.45">
      <c r="A310" s="2" t="s">
        <v>59</v>
      </c>
      <c r="B310" s="2" t="s">
        <v>60</v>
      </c>
      <c r="C310" s="2" t="s">
        <v>2760</v>
      </c>
      <c r="D310" s="2" t="s">
        <v>2761</v>
      </c>
      <c r="E310" s="2" t="s">
        <v>2762</v>
      </c>
      <c r="G310" s="3" t="s">
        <v>62</v>
      </c>
      <c r="I310" s="3" t="s">
        <v>62</v>
      </c>
      <c r="J310" s="3" t="s">
        <v>62</v>
      </c>
      <c r="K310" s="3" t="s">
        <v>63</v>
      </c>
      <c r="L310" s="2" t="s">
        <v>2763</v>
      </c>
      <c r="M310" s="2" t="s">
        <v>2764</v>
      </c>
      <c r="N310" s="3" t="s">
        <v>1097</v>
      </c>
      <c r="P310" s="3" t="s">
        <v>65</v>
      </c>
      <c r="R310" s="3" t="s">
        <v>66</v>
      </c>
      <c r="S310" s="4">
        <v>4</v>
      </c>
      <c r="T310" s="4">
        <v>4</v>
      </c>
      <c r="U310" s="5" t="s">
        <v>2765</v>
      </c>
      <c r="V310" s="5" t="s">
        <v>2765</v>
      </c>
      <c r="W310" s="5" t="s">
        <v>67</v>
      </c>
      <c r="X310" s="5" t="s">
        <v>67</v>
      </c>
      <c r="Y310" s="4">
        <v>314</v>
      </c>
      <c r="Z310" s="4">
        <v>16</v>
      </c>
      <c r="AA310" s="4">
        <v>57</v>
      </c>
      <c r="AB310" s="4">
        <v>2</v>
      </c>
      <c r="AC310" s="4">
        <v>17</v>
      </c>
      <c r="AD310" s="4">
        <v>91</v>
      </c>
      <c r="AE310" s="4">
        <v>124</v>
      </c>
      <c r="AF310" s="4">
        <v>1</v>
      </c>
      <c r="AG310" s="4">
        <v>8</v>
      </c>
      <c r="AH310" s="4">
        <v>83</v>
      </c>
      <c r="AI310" s="4">
        <v>87</v>
      </c>
      <c r="AJ310" s="4">
        <v>12</v>
      </c>
      <c r="AK310" s="4">
        <v>22</v>
      </c>
      <c r="AL310" s="4">
        <v>46</v>
      </c>
      <c r="AM310" s="4">
        <v>47</v>
      </c>
      <c r="AN310" s="4">
        <v>0</v>
      </c>
      <c r="AO310" s="4">
        <v>0</v>
      </c>
      <c r="AP310" s="4">
        <v>14</v>
      </c>
      <c r="AQ310" s="4">
        <v>44</v>
      </c>
      <c r="AR310" s="3" t="s">
        <v>62</v>
      </c>
      <c r="AS310" s="3" t="s">
        <v>62</v>
      </c>
      <c r="AT310" s="3" t="s">
        <v>61</v>
      </c>
      <c r="AU310" s="6" t="str">
        <f>HYPERLINK("http://catalog.hathitrust.org/Record/004729899","HathiTrust Record")</f>
        <v>HathiTrust Record</v>
      </c>
      <c r="AV310" s="6" t="str">
        <f>HYPERLINK("http://mcgill.on.worldcat.org/oclc/52601115","Catalog Record")</f>
        <v>Catalog Record</v>
      </c>
      <c r="AW310" s="6" t="str">
        <f>HYPERLINK("http://www.worldcat.org/oclc/52601115","WorldCat Record")</f>
        <v>WorldCat Record</v>
      </c>
      <c r="AX310" s="3" t="s">
        <v>2766</v>
      </c>
      <c r="AY310" s="3" t="s">
        <v>2767</v>
      </c>
      <c r="AZ310" s="3" t="s">
        <v>2768</v>
      </c>
      <c r="BA310" s="3" t="s">
        <v>2768</v>
      </c>
      <c r="BB310" s="3" t="s">
        <v>2769</v>
      </c>
      <c r="BC310" s="3" t="s">
        <v>142</v>
      </c>
      <c r="BD310" s="3" t="s">
        <v>68</v>
      </c>
      <c r="BE310" s="3" t="s">
        <v>2770</v>
      </c>
      <c r="BF310" s="3" t="s">
        <v>2769</v>
      </c>
      <c r="BG310" s="3" t="s">
        <v>2771</v>
      </c>
    </row>
    <row r="311" spans="1:59" ht="57" x14ac:dyDescent="0.45">
      <c r="A311" s="2" t="s">
        <v>59</v>
      </c>
      <c r="B311" s="2" t="s">
        <v>60</v>
      </c>
      <c r="C311" s="2" t="s">
        <v>2772</v>
      </c>
      <c r="D311" s="2" t="s">
        <v>2773</v>
      </c>
      <c r="E311" s="2" t="s">
        <v>2774</v>
      </c>
      <c r="G311" s="3" t="s">
        <v>62</v>
      </c>
      <c r="I311" s="3" t="s">
        <v>62</v>
      </c>
      <c r="J311" s="3" t="s">
        <v>62</v>
      </c>
      <c r="K311" s="3" t="s">
        <v>63</v>
      </c>
      <c r="M311" s="2" t="s">
        <v>2775</v>
      </c>
      <c r="N311" s="3" t="s">
        <v>894</v>
      </c>
      <c r="P311" s="3" t="s">
        <v>65</v>
      </c>
      <c r="R311" s="3" t="s">
        <v>66</v>
      </c>
      <c r="S311" s="4">
        <v>0</v>
      </c>
      <c r="T311" s="4">
        <v>0</v>
      </c>
      <c r="W311" s="5" t="s">
        <v>67</v>
      </c>
      <c r="X311" s="5" t="s">
        <v>67</v>
      </c>
      <c r="Y311" s="4">
        <v>138</v>
      </c>
      <c r="Z311" s="4">
        <v>9</v>
      </c>
      <c r="AA311" s="4">
        <v>9</v>
      </c>
      <c r="AB311" s="4">
        <v>1</v>
      </c>
      <c r="AC311" s="4">
        <v>1</v>
      </c>
      <c r="AD311" s="4">
        <v>58</v>
      </c>
      <c r="AE311" s="4">
        <v>58</v>
      </c>
      <c r="AF311" s="4">
        <v>0</v>
      </c>
      <c r="AG311" s="4">
        <v>0</v>
      </c>
      <c r="AH311" s="4">
        <v>56</v>
      </c>
      <c r="AI311" s="4">
        <v>56</v>
      </c>
      <c r="AJ311" s="4">
        <v>8</v>
      </c>
      <c r="AK311" s="4">
        <v>8</v>
      </c>
      <c r="AL311" s="4">
        <v>33</v>
      </c>
      <c r="AM311" s="4">
        <v>33</v>
      </c>
      <c r="AN311" s="4">
        <v>0</v>
      </c>
      <c r="AO311" s="4">
        <v>0</v>
      </c>
      <c r="AP311" s="4">
        <v>8</v>
      </c>
      <c r="AQ311" s="4">
        <v>8</v>
      </c>
      <c r="AR311" s="3" t="s">
        <v>62</v>
      </c>
      <c r="AS311" s="3" t="s">
        <v>62</v>
      </c>
      <c r="AT311" s="3" t="s">
        <v>62</v>
      </c>
      <c r="AV311" s="6" t="str">
        <f>HYPERLINK("http://mcgill.on.worldcat.org/oclc/754149836","Catalog Record")</f>
        <v>Catalog Record</v>
      </c>
      <c r="AW311" s="6" t="str">
        <f>HYPERLINK("http://www.worldcat.org/oclc/754149836","WorldCat Record")</f>
        <v>WorldCat Record</v>
      </c>
      <c r="AX311" s="3" t="s">
        <v>2776</v>
      </c>
      <c r="AY311" s="3" t="s">
        <v>2777</v>
      </c>
      <c r="AZ311" s="3" t="s">
        <v>2778</v>
      </c>
      <c r="BA311" s="3" t="s">
        <v>2778</v>
      </c>
      <c r="BB311" s="3" t="s">
        <v>2779</v>
      </c>
      <c r="BC311" s="3" t="s">
        <v>142</v>
      </c>
      <c r="BD311" s="3" t="s">
        <v>68</v>
      </c>
      <c r="BE311" s="3" t="s">
        <v>2780</v>
      </c>
      <c r="BF311" s="3" t="s">
        <v>2779</v>
      </c>
      <c r="BG311" s="3" t="s">
        <v>2781</v>
      </c>
    </row>
    <row r="312" spans="1:59" ht="71.25" x14ac:dyDescent="0.45">
      <c r="A312" s="2" t="s">
        <v>59</v>
      </c>
      <c r="B312" s="2" t="s">
        <v>60</v>
      </c>
      <c r="C312" s="2" t="s">
        <v>2782</v>
      </c>
      <c r="D312" s="2" t="s">
        <v>2783</v>
      </c>
      <c r="E312" s="2" t="s">
        <v>2784</v>
      </c>
      <c r="G312" s="3" t="s">
        <v>62</v>
      </c>
      <c r="I312" s="3" t="s">
        <v>62</v>
      </c>
      <c r="J312" s="3" t="s">
        <v>62</v>
      </c>
      <c r="K312" s="3" t="s">
        <v>63</v>
      </c>
      <c r="L312" s="2" t="s">
        <v>2785</v>
      </c>
      <c r="M312" s="2" t="s">
        <v>2786</v>
      </c>
      <c r="N312" s="3" t="s">
        <v>945</v>
      </c>
      <c r="P312" s="3" t="s">
        <v>65</v>
      </c>
      <c r="Q312" s="2" t="s">
        <v>2787</v>
      </c>
      <c r="R312" s="3" t="s">
        <v>66</v>
      </c>
      <c r="S312" s="4">
        <v>2</v>
      </c>
      <c r="T312" s="4">
        <v>2</v>
      </c>
      <c r="U312" s="5" t="s">
        <v>2788</v>
      </c>
      <c r="V312" s="5" t="s">
        <v>2788</v>
      </c>
      <c r="W312" s="5" t="s">
        <v>67</v>
      </c>
      <c r="X312" s="5" t="s">
        <v>67</v>
      </c>
      <c r="Y312" s="4">
        <v>86</v>
      </c>
      <c r="Z312" s="4">
        <v>10</v>
      </c>
      <c r="AA312" s="4">
        <v>98</v>
      </c>
      <c r="AB312" s="4">
        <v>1</v>
      </c>
      <c r="AC312" s="4">
        <v>17</v>
      </c>
      <c r="AD312" s="4">
        <v>40</v>
      </c>
      <c r="AE312" s="4">
        <v>112</v>
      </c>
      <c r="AF312" s="4">
        <v>0</v>
      </c>
      <c r="AG312" s="4">
        <v>8</v>
      </c>
      <c r="AH312" s="4">
        <v>38</v>
      </c>
      <c r="AI312" s="4">
        <v>76</v>
      </c>
      <c r="AJ312" s="4">
        <v>8</v>
      </c>
      <c r="AK312" s="4">
        <v>21</v>
      </c>
      <c r="AL312" s="4">
        <v>25</v>
      </c>
      <c r="AM312" s="4">
        <v>39</v>
      </c>
      <c r="AN312" s="4">
        <v>0</v>
      </c>
      <c r="AO312" s="4">
        <v>0</v>
      </c>
      <c r="AP312" s="4">
        <v>8</v>
      </c>
      <c r="AQ312" s="4">
        <v>43</v>
      </c>
      <c r="AR312" s="3" t="s">
        <v>62</v>
      </c>
      <c r="AS312" s="3" t="s">
        <v>62</v>
      </c>
      <c r="AT312" s="3" t="s">
        <v>62</v>
      </c>
      <c r="AV312" s="6" t="str">
        <f>HYPERLINK("http://mcgill.on.worldcat.org/oclc/85862315","Catalog Record")</f>
        <v>Catalog Record</v>
      </c>
      <c r="AW312" s="6" t="str">
        <f>HYPERLINK("http://www.worldcat.org/oclc/85862315","WorldCat Record")</f>
        <v>WorldCat Record</v>
      </c>
      <c r="AX312" s="3" t="s">
        <v>2789</v>
      </c>
      <c r="AY312" s="3" t="s">
        <v>2790</v>
      </c>
      <c r="AZ312" s="3" t="s">
        <v>2791</v>
      </c>
      <c r="BA312" s="3" t="s">
        <v>2791</v>
      </c>
      <c r="BB312" s="3" t="s">
        <v>2792</v>
      </c>
      <c r="BC312" s="3" t="s">
        <v>142</v>
      </c>
      <c r="BD312" s="3" t="s">
        <v>68</v>
      </c>
      <c r="BE312" s="3" t="s">
        <v>2793</v>
      </c>
      <c r="BF312" s="3" t="s">
        <v>2792</v>
      </c>
      <c r="BG312" s="3" t="s">
        <v>2794</v>
      </c>
    </row>
    <row r="313" spans="1:59" ht="57" x14ac:dyDescent="0.45">
      <c r="A313" s="2" t="s">
        <v>59</v>
      </c>
      <c r="B313" s="2" t="s">
        <v>60</v>
      </c>
      <c r="C313" s="2" t="s">
        <v>2795</v>
      </c>
      <c r="D313" s="2" t="s">
        <v>2796</v>
      </c>
      <c r="E313" s="2" t="s">
        <v>2797</v>
      </c>
      <c r="F313" s="3" t="s">
        <v>2402</v>
      </c>
      <c r="G313" s="3" t="s">
        <v>62</v>
      </c>
      <c r="I313" s="3" t="s">
        <v>62</v>
      </c>
      <c r="J313" s="3" t="s">
        <v>62</v>
      </c>
      <c r="K313" s="3" t="s">
        <v>63</v>
      </c>
      <c r="L313" s="2" t="s">
        <v>2798</v>
      </c>
      <c r="M313" s="2" t="s">
        <v>2799</v>
      </c>
      <c r="N313" s="3" t="s">
        <v>945</v>
      </c>
      <c r="P313" s="3" t="s">
        <v>65</v>
      </c>
      <c r="Q313" s="2" t="s">
        <v>2800</v>
      </c>
      <c r="R313" s="3" t="s">
        <v>66</v>
      </c>
      <c r="S313" s="4">
        <v>2</v>
      </c>
      <c r="T313" s="4">
        <v>2</v>
      </c>
      <c r="U313" s="5" t="s">
        <v>2801</v>
      </c>
      <c r="V313" s="5" t="s">
        <v>2801</v>
      </c>
      <c r="W313" s="5" t="s">
        <v>67</v>
      </c>
      <c r="X313" s="5" t="s">
        <v>67</v>
      </c>
      <c r="Y313" s="4">
        <v>81</v>
      </c>
      <c r="Z313" s="4">
        <v>6</v>
      </c>
      <c r="AA313" s="4">
        <v>41</v>
      </c>
      <c r="AB313" s="4">
        <v>1</v>
      </c>
      <c r="AC313" s="4">
        <v>7</v>
      </c>
      <c r="AD313" s="4">
        <v>38</v>
      </c>
      <c r="AE313" s="4">
        <v>75</v>
      </c>
      <c r="AF313" s="4">
        <v>0</v>
      </c>
      <c r="AG313" s="4">
        <v>1</v>
      </c>
      <c r="AH313" s="4">
        <v>38</v>
      </c>
      <c r="AI313" s="4">
        <v>62</v>
      </c>
      <c r="AJ313" s="4">
        <v>4</v>
      </c>
      <c r="AK313" s="4">
        <v>13</v>
      </c>
      <c r="AL313" s="4">
        <v>20</v>
      </c>
      <c r="AM313" s="4">
        <v>32</v>
      </c>
      <c r="AN313" s="4">
        <v>0</v>
      </c>
      <c r="AO313" s="4">
        <v>0</v>
      </c>
      <c r="AP313" s="4">
        <v>4</v>
      </c>
      <c r="AQ313" s="4">
        <v>21</v>
      </c>
      <c r="AR313" s="3" t="s">
        <v>62</v>
      </c>
      <c r="AS313" s="3" t="s">
        <v>62</v>
      </c>
      <c r="AT313" s="3" t="s">
        <v>62</v>
      </c>
      <c r="AV313" s="6" t="str">
        <f>HYPERLINK("http://mcgill.on.worldcat.org/oclc/167506672","Catalog Record")</f>
        <v>Catalog Record</v>
      </c>
      <c r="AW313" s="6" t="str">
        <f>HYPERLINK("http://www.worldcat.org/oclc/167506672","WorldCat Record")</f>
        <v>WorldCat Record</v>
      </c>
      <c r="AX313" s="3" t="s">
        <v>2802</v>
      </c>
      <c r="AY313" s="3" t="s">
        <v>2803</v>
      </c>
      <c r="AZ313" s="3" t="s">
        <v>2804</v>
      </c>
      <c r="BA313" s="3" t="s">
        <v>2804</v>
      </c>
      <c r="BB313" s="3" t="s">
        <v>2805</v>
      </c>
      <c r="BC313" s="3" t="s">
        <v>142</v>
      </c>
      <c r="BD313" s="3" t="s">
        <v>68</v>
      </c>
      <c r="BE313" s="3" t="s">
        <v>2806</v>
      </c>
      <c r="BF313" s="3" t="s">
        <v>2805</v>
      </c>
      <c r="BG313" s="3" t="s">
        <v>2807</v>
      </c>
    </row>
    <row r="314" spans="1:59" ht="57" x14ac:dyDescent="0.45">
      <c r="A314" s="2" t="s">
        <v>59</v>
      </c>
      <c r="B314" s="2" t="s">
        <v>60</v>
      </c>
      <c r="C314" s="2" t="s">
        <v>2808</v>
      </c>
      <c r="D314" s="2" t="s">
        <v>2809</v>
      </c>
      <c r="E314" s="2" t="s">
        <v>2810</v>
      </c>
      <c r="G314" s="3" t="s">
        <v>62</v>
      </c>
      <c r="I314" s="3" t="s">
        <v>62</v>
      </c>
      <c r="J314" s="3" t="s">
        <v>62</v>
      </c>
      <c r="K314" s="3" t="s">
        <v>63</v>
      </c>
      <c r="L314" s="2" t="s">
        <v>2811</v>
      </c>
      <c r="M314" s="2" t="s">
        <v>2812</v>
      </c>
      <c r="N314" s="3" t="s">
        <v>1155</v>
      </c>
      <c r="P314" s="3" t="s">
        <v>65</v>
      </c>
      <c r="R314" s="3" t="s">
        <v>66</v>
      </c>
      <c r="S314" s="4">
        <v>3</v>
      </c>
      <c r="T314" s="4">
        <v>3</v>
      </c>
      <c r="U314" s="5" t="s">
        <v>2765</v>
      </c>
      <c r="V314" s="5" t="s">
        <v>2765</v>
      </c>
      <c r="W314" s="5" t="s">
        <v>67</v>
      </c>
      <c r="X314" s="5" t="s">
        <v>67</v>
      </c>
      <c r="Y314" s="4">
        <v>73</v>
      </c>
      <c r="Z314" s="4">
        <v>7</v>
      </c>
      <c r="AA314" s="4">
        <v>85</v>
      </c>
      <c r="AB314" s="4">
        <v>1</v>
      </c>
      <c r="AC314" s="4">
        <v>14</v>
      </c>
      <c r="AD314" s="4">
        <v>37</v>
      </c>
      <c r="AE314" s="4">
        <v>126</v>
      </c>
      <c r="AF314" s="4">
        <v>0</v>
      </c>
      <c r="AG314" s="4">
        <v>8</v>
      </c>
      <c r="AH314" s="4">
        <v>35</v>
      </c>
      <c r="AI314" s="4">
        <v>89</v>
      </c>
      <c r="AJ314" s="4">
        <v>6</v>
      </c>
      <c r="AK314" s="4">
        <v>25</v>
      </c>
      <c r="AL314" s="4">
        <v>23</v>
      </c>
      <c r="AM314" s="4">
        <v>48</v>
      </c>
      <c r="AN314" s="4">
        <v>0</v>
      </c>
      <c r="AO314" s="4">
        <v>0</v>
      </c>
      <c r="AP314" s="4">
        <v>6</v>
      </c>
      <c r="AQ314" s="4">
        <v>46</v>
      </c>
      <c r="AR314" s="3" t="s">
        <v>62</v>
      </c>
      <c r="AS314" s="3" t="s">
        <v>62</v>
      </c>
      <c r="AT314" s="3" t="s">
        <v>62</v>
      </c>
      <c r="AV314" s="6" t="str">
        <f>HYPERLINK("http://mcgill.on.worldcat.org/oclc/777652759","Catalog Record")</f>
        <v>Catalog Record</v>
      </c>
      <c r="AW314" s="6" t="str">
        <f>HYPERLINK("http://www.worldcat.org/oclc/777652759","WorldCat Record")</f>
        <v>WorldCat Record</v>
      </c>
      <c r="AX314" s="3" t="s">
        <v>2813</v>
      </c>
      <c r="AY314" s="3" t="s">
        <v>2814</v>
      </c>
      <c r="AZ314" s="3" t="s">
        <v>2815</v>
      </c>
      <c r="BA314" s="3" t="s">
        <v>2815</v>
      </c>
      <c r="BB314" s="3" t="s">
        <v>2816</v>
      </c>
      <c r="BC314" s="3" t="s">
        <v>142</v>
      </c>
      <c r="BD314" s="3" t="s">
        <v>68</v>
      </c>
      <c r="BE314" s="3" t="s">
        <v>2817</v>
      </c>
      <c r="BF314" s="3" t="s">
        <v>2816</v>
      </c>
      <c r="BG314" s="3" t="s">
        <v>2818</v>
      </c>
    </row>
    <row r="315" spans="1:59" ht="71.25" x14ac:dyDescent="0.45">
      <c r="A315" s="2" t="s">
        <v>59</v>
      </c>
      <c r="B315" s="2" t="s">
        <v>60</v>
      </c>
      <c r="C315" s="2" t="s">
        <v>2819</v>
      </c>
      <c r="D315" s="2" t="s">
        <v>2820</v>
      </c>
      <c r="E315" s="2" t="s">
        <v>2821</v>
      </c>
      <c r="G315" s="3" t="s">
        <v>62</v>
      </c>
      <c r="I315" s="3" t="s">
        <v>62</v>
      </c>
      <c r="J315" s="3" t="s">
        <v>62</v>
      </c>
      <c r="K315" s="3" t="s">
        <v>63</v>
      </c>
      <c r="M315" s="2" t="s">
        <v>2822</v>
      </c>
      <c r="N315" s="3" t="s">
        <v>894</v>
      </c>
      <c r="P315" s="3" t="s">
        <v>65</v>
      </c>
      <c r="Q315" s="2" t="s">
        <v>2823</v>
      </c>
      <c r="R315" s="3" t="s">
        <v>66</v>
      </c>
      <c r="S315" s="4">
        <v>1</v>
      </c>
      <c r="T315" s="4">
        <v>1</v>
      </c>
      <c r="U315" s="5" t="s">
        <v>2824</v>
      </c>
      <c r="V315" s="5" t="s">
        <v>2824</v>
      </c>
      <c r="W315" s="5" t="s">
        <v>67</v>
      </c>
      <c r="X315" s="5" t="s">
        <v>67</v>
      </c>
      <c r="Y315" s="4">
        <v>100</v>
      </c>
      <c r="Z315" s="4">
        <v>10</v>
      </c>
      <c r="AA315" s="4">
        <v>91</v>
      </c>
      <c r="AB315" s="4">
        <v>1</v>
      </c>
      <c r="AC315" s="4">
        <v>18</v>
      </c>
      <c r="AD315" s="4">
        <v>50</v>
      </c>
      <c r="AE315" s="4">
        <v>112</v>
      </c>
      <c r="AF315" s="4">
        <v>0</v>
      </c>
      <c r="AG315" s="4">
        <v>8</v>
      </c>
      <c r="AH315" s="4">
        <v>48</v>
      </c>
      <c r="AI315" s="4">
        <v>78</v>
      </c>
      <c r="AJ315" s="4">
        <v>6</v>
      </c>
      <c r="AK315" s="4">
        <v>22</v>
      </c>
      <c r="AL315" s="4">
        <v>29</v>
      </c>
      <c r="AM315" s="4">
        <v>41</v>
      </c>
      <c r="AN315" s="4">
        <v>0</v>
      </c>
      <c r="AO315" s="4">
        <v>0</v>
      </c>
      <c r="AP315" s="4">
        <v>7</v>
      </c>
      <c r="AQ315" s="4">
        <v>43</v>
      </c>
      <c r="AR315" s="3" t="s">
        <v>62</v>
      </c>
      <c r="AS315" s="3" t="s">
        <v>62</v>
      </c>
      <c r="AT315" s="3" t="s">
        <v>62</v>
      </c>
      <c r="AV315" s="6" t="str">
        <f>HYPERLINK("http://mcgill.on.worldcat.org/oclc/666491797","Catalog Record")</f>
        <v>Catalog Record</v>
      </c>
      <c r="AW315" s="6" t="str">
        <f>HYPERLINK("http://www.worldcat.org/oclc/666491797","WorldCat Record")</f>
        <v>WorldCat Record</v>
      </c>
      <c r="AX315" s="3" t="s">
        <v>2825</v>
      </c>
      <c r="AY315" s="3" t="s">
        <v>2826</v>
      </c>
      <c r="AZ315" s="3" t="s">
        <v>2827</v>
      </c>
      <c r="BA315" s="3" t="s">
        <v>2827</v>
      </c>
      <c r="BB315" s="3" t="s">
        <v>2828</v>
      </c>
      <c r="BC315" s="3" t="s">
        <v>142</v>
      </c>
      <c r="BD315" s="3" t="s">
        <v>68</v>
      </c>
      <c r="BE315" s="3" t="s">
        <v>2829</v>
      </c>
      <c r="BF315" s="3" t="s">
        <v>2828</v>
      </c>
      <c r="BG315" s="3" t="s">
        <v>2830</v>
      </c>
    </row>
    <row r="316" spans="1:59" ht="57" x14ac:dyDescent="0.45">
      <c r="A316" s="2" t="s">
        <v>59</v>
      </c>
      <c r="B316" s="2" t="s">
        <v>60</v>
      </c>
      <c r="C316" s="2" t="s">
        <v>2831</v>
      </c>
      <c r="D316" s="2" t="s">
        <v>2832</v>
      </c>
      <c r="E316" s="2" t="s">
        <v>2833</v>
      </c>
      <c r="G316" s="3" t="s">
        <v>62</v>
      </c>
      <c r="I316" s="3" t="s">
        <v>62</v>
      </c>
      <c r="J316" s="3" t="s">
        <v>62</v>
      </c>
      <c r="K316" s="3" t="s">
        <v>63</v>
      </c>
      <c r="M316" s="2" t="s">
        <v>2834</v>
      </c>
      <c r="N316" s="3" t="s">
        <v>1478</v>
      </c>
      <c r="P316" s="3" t="s">
        <v>65</v>
      </c>
      <c r="R316" s="3" t="s">
        <v>66</v>
      </c>
      <c r="S316" s="4">
        <v>10</v>
      </c>
      <c r="T316" s="4">
        <v>10</v>
      </c>
      <c r="U316" s="5" t="s">
        <v>85</v>
      </c>
      <c r="V316" s="5" t="s">
        <v>85</v>
      </c>
      <c r="W316" s="5" t="s">
        <v>67</v>
      </c>
      <c r="X316" s="5" t="s">
        <v>67</v>
      </c>
      <c r="Y316" s="4">
        <v>169</v>
      </c>
      <c r="Z316" s="4">
        <v>10</v>
      </c>
      <c r="AA316" s="4">
        <v>10</v>
      </c>
      <c r="AB316" s="4">
        <v>1</v>
      </c>
      <c r="AC316" s="4">
        <v>1</v>
      </c>
      <c r="AD316" s="4">
        <v>64</v>
      </c>
      <c r="AE316" s="4">
        <v>64</v>
      </c>
      <c r="AF316" s="4">
        <v>0</v>
      </c>
      <c r="AG316" s="4">
        <v>0</v>
      </c>
      <c r="AH316" s="4">
        <v>61</v>
      </c>
      <c r="AI316" s="4">
        <v>61</v>
      </c>
      <c r="AJ316" s="4">
        <v>6</v>
      </c>
      <c r="AK316" s="4">
        <v>6</v>
      </c>
      <c r="AL316" s="4">
        <v>38</v>
      </c>
      <c r="AM316" s="4">
        <v>38</v>
      </c>
      <c r="AN316" s="4">
        <v>0</v>
      </c>
      <c r="AO316" s="4">
        <v>0</v>
      </c>
      <c r="AP316" s="4">
        <v>8</v>
      </c>
      <c r="AQ316" s="4">
        <v>8</v>
      </c>
      <c r="AR316" s="3" t="s">
        <v>62</v>
      </c>
      <c r="AS316" s="3" t="s">
        <v>62</v>
      </c>
      <c r="AT316" s="3" t="s">
        <v>62</v>
      </c>
      <c r="AV316" s="6" t="str">
        <f>HYPERLINK("http://mcgill.on.worldcat.org/oclc/35559408","Catalog Record")</f>
        <v>Catalog Record</v>
      </c>
      <c r="AW316" s="6" t="str">
        <f>HYPERLINK("http://www.worldcat.org/oclc/35559408","WorldCat Record")</f>
        <v>WorldCat Record</v>
      </c>
      <c r="AX316" s="3" t="s">
        <v>2835</v>
      </c>
      <c r="AY316" s="3" t="s">
        <v>2836</v>
      </c>
      <c r="AZ316" s="3" t="s">
        <v>2837</v>
      </c>
      <c r="BA316" s="3" t="s">
        <v>2837</v>
      </c>
      <c r="BB316" s="3" t="s">
        <v>2838</v>
      </c>
      <c r="BC316" s="3" t="s">
        <v>142</v>
      </c>
      <c r="BD316" s="3" t="s">
        <v>68</v>
      </c>
      <c r="BE316" s="3" t="s">
        <v>2839</v>
      </c>
      <c r="BF316" s="3" t="s">
        <v>2838</v>
      </c>
      <c r="BG316" s="3" t="s">
        <v>2840</v>
      </c>
    </row>
    <row r="317" spans="1:59" ht="57" x14ac:dyDescent="0.45">
      <c r="A317" s="2" t="s">
        <v>59</v>
      </c>
      <c r="B317" s="2" t="s">
        <v>60</v>
      </c>
      <c r="C317" s="2" t="s">
        <v>2841</v>
      </c>
      <c r="D317" s="2" t="s">
        <v>2842</v>
      </c>
      <c r="E317" s="2" t="s">
        <v>2843</v>
      </c>
      <c r="G317" s="3" t="s">
        <v>62</v>
      </c>
      <c r="I317" s="3" t="s">
        <v>61</v>
      </c>
      <c r="J317" s="3" t="s">
        <v>62</v>
      </c>
      <c r="K317" s="3" t="s">
        <v>63</v>
      </c>
      <c r="M317" s="2" t="s">
        <v>2844</v>
      </c>
      <c r="N317" s="3" t="s">
        <v>1253</v>
      </c>
      <c r="P317" s="3" t="s">
        <v>65</v>
      </c>
      <c r="Q317" s="2" t="s">
        <v>2845</v>
      </c>
      <c r="R317" s="3" t="s">
        <v>66</v>
      </c>
      <c r="S317" s="4">
        <v>1</v>
      </c>
      <c r="T317" s="4">
        <v>20</v>
      </c>
      <c r="U317" s="5" t="s">
        <v>1570</v>
      </c>
      <c r="V317" s="5" t="s">
        <v>1570</v>
      </c>
      <c r="W317" s="5" t="s">
        <v>2846</v>
      </c>
      <c r="X317" s="5" t="s">
        <v>2846</v>
      </c>
      <c r="Y317" s="4">
        <v>271</v>
      </c>
      <c r="Z317" s="4">
        <v>20</v>
      </c>
      <c r="AA317" s="4">
        <v>107</v>
      </c>
      <c r="AB317" s="4">
        <v>2</v>
      </c>
      <c r="AC317" s="4">
        <v>21</v>
      </c>
      <c r="AD317" s="4">
        <v>101</v>
      </c>
      <c r="AE317" s="4">
        <v>151</v>
      </c>
      <c r="AF317" s="4">
        <v>1</v>
      </c>
      <c r="AG317" s="4">
        <v>9</v>
      </c>
      <c r="AH317" s="4">
        <v>91</v>
      </c>
      <c r="AI317" s="4">
        <v>104</v>
      </c>
      <c r="AJ317" s="4">
        <v>14</v>
      </c>
      <c r="AK317" s="4">
        <v>26</v>
      </c>
      <c r="AL317" s="4">
        <v>52</v>
      </c>
      <c r="AM317" s="4">
        <v>54</v>
      </c>
      <c r="AN317" s="4">
        <v>0</v>
      </c>
      <c r="AO317" s="4">
        <v>0</v>
      </c>
      <c r="AP317" s="4">
        <v>17</v>
      </c>
      <c r="AQ317" s="4">
        <v>55</v>
      </c>
      <c r="AR317" s="3" t="s">
        <v>62</v>
      </c>
      <c r="AS317" s="3" t="s">
        <v>62</v>
      </c>
      <c r="AT317" s="3" t="s">
        <v>62</v>
      </c>
      <c r="AV317" s="6" t="str">
        <f>HYPERLINK("http://mcgill.on.worldcat.org/oclc/36407677","Catalog Record")</f>
        <v>Catalog Record</v>
      </c>
      <c r="AW317" s="6" t="str">
        <f>HYPERLINK("http://www.worldcat.org/oclc/36407677","WorldCat Record")</f>
        <v>WorldCat Record</v>
      </c>
      <c r="AX317" s="3" t="s">
        <v>2847</v>
      </c>
      <c r="AY317" s="3" t="s">
        <v>2848</v>
      </c>
      <c r="AZ317" s="3" t="s">
        <v>2849</v>
      </c>
      <c r="BA317" s="3" t="s">
        <v>2849</v>
      </c>
      <c r="BB317" s="3" t="s">
        <v>2850</v>
      </c>
      <c r="BC317" s="3" t="s">
        <v>142</v>
      </c>
      <c r="BD317" s="3" t="s">
        <v>68</v>
      </c>
      <c r="BE317" s="3" t="s">
        <v>2851</v>
      </c>
      <c r="BF317" s="3" t="s">
        <v>2850</v>
      </c>
      <c r="BG317" s="3" t="s">
        <v>2852</v>
      </c>
    </row>
    <row r="318" spans="1:59" ht="57" x14ac:dyDescent="0.45">
      <c r="A318" s="2" t="s">
        <v>59</v>
      </c>
      <c r="B318" s="2" t="s">
        <v>60</v>
      </c>
      <c r="C318" s="2" t="s">
        <v>2841</v>
      </c>
      <c r="D318" s="2" t="s">
        <v>2842</v>
      </c>
      <c r="E318" s="2" t="s">
        <v>2843</v>
      </c>
      <c r="G318" s="3" t="s">
        <v>62</v>
      </c>
      <c r="I318" s="3" t="s">
        <v>61</v>
      </c>
      <c r="J318" s="3" t="s">
        <v>62</v>
      </c>
      <c r="K318" s="3" t="s">
        <v>63</v>
      </c>
      <c r="M318" s="2" t="s">
        <v>2844</v>
      </c>
      <c r="N318" s="3" t="s">
        <v>1253</v>
      </c>
      <c r="P318" s="3" t="s">
        <v>65</v>
      </c>
      <c r="Q318" s="2" t="s">
        <v>2845</v>
      </c>
      <c r="R318" s="3" t="s">
        <v>66</v>
      </c>
      <c r="S318" s="4">
        <v>19</v>
      </c>
      <c r="T318" s="4">
        <v>20</v>
      </c>
      <c r="U318" s="5" t="s">
        <v>2853</v>
      </c>
      <c r="V318" s="5" t="s">
        <v>1570</v>
      </c>
      <c r="W318" s="5" t="s">
        <v>67</v>
      </c>
      <c r="X318" s="5" t="s">
        <v>2846</v>
      </c>
      <c r="Y318" s="4">
        <v>271</v>
      </c>
      <c r="Z318" s="4">
        <v>20</v>
      </c>
      <c r="AA318" s="4">
        <v>107</v>
      </c>
      <c r="AB318" s="4">
        <v>2</v>
      </c>
      <c r="AC318" s="4">
        <v>21</v>
      </c>
      <c r="AD318" s="4">
        <v>101</v>
      </c>
      <c r="AE318" s="4">
        <v>151</v>
      </c>
      <c r="AF318" s="4">
        <v>1</v>
      </c>
      <c r="AG318" s="4">
        <v>9</v>
      </c>
      <c r="AH318" s="4">
        <v>91</v>
      </c>
      <c r="AI318" s="4">
        <v>104</v>
      </c>
      <c r="AJ318" s="4">
        <v>14</v>
      </c>
      <c r="AK318" s="4">
        <v>26</v>
      </c>
      <c r="AL318" s="4">
        <v>52</v>
      </c>
      <c r="AM318" s="4">
        <v>54</v>
      </c>
      <c r="AN318" s="4">
        <v>0</v>
      </c>
      <c r="AO318" s="4">
        <v>0</v>
      </c>
      <c r="AP318" s="4">
        <v>17</v>
      </c>
      <c r="AQ318" s="4">
        <v>55</v>
      </c>
      <c r="AR318" s="3" t="s">
        <v>62</v>
      </c>
      <c r="AS318" s="3" t="s">
        <v>62</v>
      </c>
      <c r="AT318" s="3" t="s">
        <v>62</v>
      </c>
      <c r="AV318" s="6" t="str">
        <f>HYPERLINK("http://mcgill.on.worldcat.org/oclc/36407677","Catalog Record")</f>
        <v>Catalog Record</v>
      </c>
      <c r="AW318" s="6" t="str">
        <f>HYPERLINK("http://www.worldcat.org/oclc/36407677","WorldCat Record")</f>
        <v>WorldCat Record</v>
      </c>
      <c r="AX318" s="3" t="s">
        <v>2847</v>
      </c>
      <c r="AY318" s="3" t="s">
        <v>2848</v>
      </c>
      <c r="AZ318" s="3" t="s">
        <v>2849</v>
      </c>
      <c r="BA318" s="3" t="s">
        <v>2849</v>
      </c>
      <c r="BB318" s="3" t="s">
        <v>2854</v>
      </c>
      <c r="BC318" s="3" t="s">
        <v>142</v>
      </c>
      <c r="BD318" s="3" t="s">
        <v>68</v>
      </c>
      <c r="BE318" s="3" t="s">
        <v>2851</v>
      </c>
      <c r="BF318" s="3" t="s">
        <v>2854</v>
      </c>
      <c r="BG318" s="3" t="s">
        <v>2855</v>
      </c>
    </row>
    <row r="319" spans="1:59" ht="71.25" x14ac:dyDescent="0.45">
      <c r="A319" s="2" t="s">
        <v>59</v>
      </c>
      <c r="B319" s="2" t="s">
        <v>60</v>
      </c>
      <c r="C319" s="2" t="s">
        <v>2856</v>
      </c>
      <c r="D319" s="2" t="s">
        <v>2857</v>
      </c>
      <c r="E319" s="2" t="s">
        <v>2858</v>
      </c>
      <c r="G319" s="3" t="s">
        <v>62</v>
      </c>
      <c r="I319" s="3" t="s">
        <v>62</v>
      </c>
      <c r="J319" s="3" t="s">
        <v>62</v>
      </c>
      <c r="K319" s="3" t="s">
        <v>63</v>
      </c>
      <c r="M319" s="2" t="s">
        <v>2859</v>
      </c>
      <c r="N319" s="3" t="s">
        <v>918</v>
      </c>
      <c r="P319" s="3" t="s">
        <v>65</v>
      </c>
      <c r="Q319" s="2" t="s">
        <v>2860</v>
      </c>
      <c r="R319" s="3" t="s">
        <v>66</v>
      </c>
      <c r="S319" s="4">
        <v>15</v>
      </c>
      <c r="T319" s="4">
        <v>15</v>
      </c>
      <c r="U319" s="5" t="s">
        <v>2861</v>
      </c>
      <c r="V319" s="5" t="s">
        <v>2861</v>
      </c>
      <c r="W319" s="5" t="s">
        <v>67</v>
      </c>
      <c r="X319" s="5" t="s">
        <v>67</v>
      </c>
      <c r="Y319" s="4">
        <v>145</v>
      </c>
      <c r="Z319" s="4">
        <v>9</v>
      </c>
      <c r="AA319" s="4">
        <v>92</v>
      </c>
      <c r="AB319" s="4">
        <v>1</v>
      </c>
      <c r="AC319" s="4">
        <v>19</v>
      </c>
      <c r="AD319" s="4">
        <v>64</v>
      </c>
      <c r="AE319" s="4">
        <v>131</v>
      </c>
      <c r="AF319" s="4">
        <v>0</v>
      </c>
      <c r="AG319" s="4">
        <v>9</v>
      </c>
      <c r="AH319" s="4">
        <v>61</v>
      </c>
      <c r="AI319" s="4">
        <v>87</v>
      </c>
      <c r="AJ319" s="4">
        <v>7</v>
      </c>
      <c r="AK319" s="4">
        <v>25</v>
      </c>
      <c r="AL319" s="4">
        <v>38</v>
      </c>
      <c r="AM319" s="4">
        <v>45</v>
      </c>
      <c r="AN319" s="4">
        <v>0</v>
      </c>
      <c r="AO319" s="4">
        <v>0</v>
      </c>
      <c r="AP319" s="4">
        <v>7</v>
      </c>
      <c r="AQ319" s="4">
        <v>51</v>
      </c>
      <c r="AR319" s="3" t="s">
        <v>62</v>
      </c>
      <c r="AS319" s="3" t="s">
        <v>62</v>
      </c>
      <c r="AT319" s="3" t="s">
        <v>61</v>
      </c>
      <c r="AU319" s="6" t="str">
        <f>HYPERLINK("http://catalog.hathitrust.org/Record/004332171","HathiTrust Record")</f>
        <v>HathiTrust Record</v>
      </c>
      <c r="AV319" s="6" t="str">
        <f>HYPERLINK("http://mcgill.on.worldcat.org/oclc/51223496","Catalog Record")</f>
        <v>Catalog Record</v>
      </c>
      <c r="AW319" s="6" t="str">
        <f>HYPERLINK("http://www.worldcat.org/oclc/51223496","WorldCat Record")</f>
        <v>WorldCat Record</v>
      </c>
      <c r="AX319" s="3" t="s">
        <v>2862</v>
      </c>
      <c r="AY319" s="3" t="s">
        <v>2863</v>
      </c>
      <c r="AZ319" s="3" t="s">
        <v>2864</v>
      </c>
      <c r="BA319" s="3" t="s">
        <v>2864</v>
      </c>
      <c r="BB319" s="3" t="s">
        <v>2865</v>
      </c>
      <c r="BC319" s="3" t="s">
        <v>142</v>
      </c>
      <c r="BD319" s="3" t="s">
        <v>308</v>
      </c>
      <c r="BE319" s="3" t="s">
        <v>2866</v>
      </c>
      <c r="BF319" s="3" t="s">
        <v>2865</v>
      </c>
      <c r="BG319" s="3" t="s">
        <v>2867</v>
      </c>
    </row>
    <row r="320" spans="1:59" ht="71.25" x14ac:dyDescent="0.45">
      <c r="A320" s="2" t="s">
        <v>59</v>
      </c>
      <c r="B320" s="2" t="s">
        <v>60</v>
      </c>
      <c r="C320" s="2" t="s">
        <v>2868</v>
      </c>
      <c r="D320" s="2" t="s">
        <v>2869</v>
      </c>
      <c r="E320" s="2" t="s">
        <v>2870</v>
      </c>
      <c r="G320" s="3" t="s">
        <v>62</v>
      </c>
      <c r="I320" s="3" t="s">
        <v>62</v>
      </c>
      <c r="J320" s="3" t="s">
        <v>62</v>
      </c>
      <c r="K320" s="3" t="s">
        <v>63</v>
      </c>
      <c r="M320" s="2" t="s">
        <v>2871</v>
      </c>
      <c r="N320" s="3" t="s">
        <v>149</v>
      </c>
      <c r="P320" s="3" t="s">
        <v>65</v>
      </c>
      <c r="R320" s="3" t="s">
        <v>66</v>
      </c>
      <c r="S320" s="4">
        <v>0</v>
      </c>
      <c r="T320" s="4">
        <v>0</v>
      </c>
      <c r="W320" s="5" t="s">
        <v>67</v>
      </c>
      <c r="X320" s="5" t="s">
        <v>67</v>
      </c>
      <c r="Y320" s="4">
        <v>61</v>
      </c>
      <c r="Z320" s="4">
        <v>10</v>
      </c>
      <c r="AA320" s="4">
        <v>10</v>
      </c>
      <c r="AB320" s="4">
        <v>2</v>
      </c>
      <c r="AC320" s="4">
        <v>2</v>
      </c>
      <c r="AD320" s="4">
        <v>29</v>
      </c>
      <c r="AE320" s="4">
        <v>29</v>
      </c>
      <c r="AF320" s="4">
        <v>1</v>
      </c>
      <c r="AG320" s="4">
        <v>1</v>
      </c>
      <c r="AH320" s="4">
        <v>24</v>
      </c>
      <c r="AI320" s="4">
        <v>24</v>
      </c>
      <c r="AJ320" s="4">
        <v>9</v>
      </c>
      <c r="AK320" s="4">
        <v>9</v>
      </c>
      <c r="AL320" s="4">
        <v>16</v>
      </c>
      <c r="AM320" s="4">
        <v>16</v>
      </c>
      <c r="AN320" s="4">
        <v>0</v>
      </c>
      <c r="AO320" s="4">
        <v>0</v>
      </c>
      <c r="AP320" s="4">
        <v>9</v>
      </c>
      <c r="AQ320" s="4">
        <v>9</v>
      </c>
      <c r="AR320" s="3" t="s">
        <v>62</v>
      </c>
      <c r="AS320" s="3" t="s">
        <v>62</v>
      </c>
      <c r="AT320" s="3" t="s">
        <v>62</v>
      </c>
      <c r="AV320" s="6" t="str">
        <f>HYPERLINK("http://mcgill.on.worldcat.org/oclc/473479519","Catalog Record")</f>
        <v>Catalog Record</v>
      </c>
      <c r="AW320" s="6" t="str">
        <f>HYPERLINK("http://www.worldcat.org/oclc/473479519","WorldCat Record")</f>
        <v>WorldCat Record</v>
      </c>
      <c r="AX320" s="3" t="s">
        <v>2872</v>
      </c>
      <c r="AY320" s="3" t="s">
        <v>2873</v>
      </c>
      <c r="AZ320" s="3" t="s">
        <v>2874</v>
      </c>
      <c r="BA320" s="3" t="s">
        <v>2874</v>
      </c>
      <c r="BB320" s="3" t="s">
        <v>2875</v>
      </c>
      <c r="BC320" s="3" t="s">
        <v>142</v>
      </c>
      <c r="BD320" s="3" t="s">
        <v>68</v>
      </c>
      <c r="BE320" s="3" t="s">
        <v>2876</v>
      </c>
      <c r="BF320" s="3" t="s">
        <v>2875</v>
      </c>
      <c r="BG320" s="3" t="s">
        <v>2877</v>
      </c>
    </row>
    <row r="321" spans="1:59" ht="57" x14ac:dyDescent="0.45">
      <c r="A321" s="2" t="s">
        <v>59</v>
      </c>
      <c r="B321" s="2" t="s">
        <v>60</v>
      </c>
      <c r="C321" s="2" t="s">
        <v>2878</v>
      </c>
      <c r="D321" s="2" t="s">
        <v>2879</v>
      </c>
      <c r="E321" s="2" t="s">
        <v>2880</v>
      </c>
      <c r="G321" s="3" t="s">
        <v>62</v>
      </c>
      <c r="I321" s="3" t="s">
        <v>62</v>
      </c>
      <c r="J321" s="3" t="s">
        <v>62</v>
      </c>
      <c r="K321" s="3" t="s">
        <v>63</v>
      </c>
      <c r="L321" s="2" t="s">
        <v>2881</v>
      </c>
      <c r="M321" s="2" t="s">
        <v>2882</v>
      </c>
      <c r="N321" s="3" t="s">
        <v>1688</v>
      </c>
      <c r="P321" s="3" t="s">
        <v>65</v>
      </c>
      <c r="Q321" s="2" t="s">
        <v>2883</v>
      </c>
      <c r="R321" s="3" t="s">
        <v>66</v>
      </c>
      <c r="S321" s="4">
        <v>1</v>
      </c>
      <c r="T321" s="4">
        <v>1</v>
      </c>
      <c r="U321" s="5" t="s">
        <v>2884</v>
      </c>
      <c r="V321" s="5" t="s">
        <v>2884</v>
      </c>
      <c r="W321" s="5" t="s">
        <v>67</v>
      </c>
      <c r="X321" s="5" t="s">
        <v>67</v>
      </c>
      <c r="Y321" s="4">
        <v>89</v>
      </c>
      <c r="Z321" s="4">
        <v>12</v>
      </c>
      <c r="AA321" s="4">
        <v>15</v>
      </c>
      <c r="AB321" s="4">
        <v>1</v>
      </c>
      <c r="AC321" s="4">
        <v>4</v>
      </c>
      <c r="AD321" s="4">
        <v>43</v>
      </c>
      <c r="AE321" s="4">
        <v>45</v>
      </c>
      <c r="AF321" s="4">
        <v>0</v>
      </c>
      <c r="AG321" s="4">
        <v>0</v>
      </c>
      <c r="AH321" s="4">
        <v>39</v>
      </c>
      <c r="AI321" s="4">
        <v>41</v>
      </c>
      <c r="AJ321" s="4">
        <v>8</v>
      </c>
      <c r="AK321" s="4">
        <v>8</v>
      </c>
      <c r="AL321" s="4">
        <v>25</v>
      </c>
      <c r="AM321" s="4">
        <v>26</v>
      </c>
      <c r="AN321" s="4">
        <v>0</v>
      </c>
      <c r="AO321" s="4">
        <v>0</v>
      </c>
      <c r="AP321" s="4">
        <v>9</v>
      </c>
      <c r="AQ321" s="4">
        <v>9</v>
      </c>
      <c r="AR321" s="3" t="s">
        <v>62</v>
      </c>
      <c r="AS321" s="3" t="s">
        <v>62</v>
      </c>
      <c r="AT321" s="3" t="s">
        <v>62</v>
      </c>
      <c r="AV321" s="6" t="str">
        <f>HYPERLINK("http://mcgill.on.worldcat.org/oclc/875997068","Catalog Record")</f>
        <v>Catalog Record</v>
      </c>
      <c r="AW321" s="6" t="str">
        <f>HYPERLINK("http://www.worldcat.org/oclc/875997068","WorldCat Record")</f>
        <v>WorldCat Record</v>
      </c>
      <c r="AX321" s="3" t="s">
        <v>2885</v>
      </c>
      <c r="AY321" s="3" t="s">
        <v>2886</v>
      </c>
      <c r="AZ321" s="3" t="s">
        <v>2887</v>
      </c>
      <c r="BA321" s="3" t="s">
        <v>2887</v>
      </c>
      <c r="BB321" s="3" t="s">
        <v>2888</v>
      </c>
      <c r="BC321" s="3" t="s">
        <v>142</v>
      </c>
      <c r="BD321" s="3" t="s">
        <v>68</v>
      </c>
      <c r="BE321" s="3" t="s">
        <v>2889</v>
      </c>
      <c r="BF321" s="3" t="s">
        <v>2888</v>
      </c>
      <c r="BG321" s="3" t="s">
        <v>2890</v>
      </c>
    </row>
    <row r="322" spans="1:59" ht="57" x14ac:dyDescent="0.45">
      <c r="A322" s="2" t="s">
        <v>59</v>
      </c>
      <c r="B322" s="2" t="s">
        <v>60</v>
      </c>
      <c r="C322" s="2" t="s">
        <v>2891</v>
      </c>
      <c r="D322" s="2" t="s">
        <v>2892</v>
      </c>
      <c r="E322" s="2" t="s">
        <v>2893</v>
      </c>
      <c r="G322" s="3" t="s">
        <v>62</v>
      </c>
      <c r="I322" s="3" t="s">
        <v>62</v>
      </c>
      <c r="J322" s="3" t="s">
        <v>62</v>
      </c>
      <c r="K322" s="3" t="s">
        <v>63</v>
      </c>
      <c r="M322" s="2" t="s">
        <v>2894</v>
      </c>
      <c r="N322" s="3" t="s">
        <v>918</v>
      </c>
      <c r="P322" s="3" t="s">
        <v>65</v>
      </c>
      <c r="Q322" s="2" t="s">
        <v>2895</v>
      </c>
      <c r="R322" s="3" t="s">
        <v>66</v>
      </c>
      <c r="S322" s="4">
        <v>10</v>
      </c>
      <c r="T322" s="4">
        <v>10</v>
      </c>
      <c r="U322" s="5" t="s">
        <v>291</v>
      </c>
      <c r="V322" s="5" t="s">
        <v>291</v>
      </c>
      <c r="W322" s="5" t="s">
        <v>67</v>
      </c>
      <c r="X322" s="5" t="s">
        <v>67</v>
      </c>
      <c r="Y322" s="4">
        <v>140</v>
      </c>
      <c r="Z322" s="4">
        <v>12</v>
      </c>
      <c r="AA322" s="4">
        <v>14</v>
      </c>
      <c r="AB322" s="4">
        <v>1</v>
      </c>
      <c r="AC322" s="4">
        <v>2</v>
      </c>
      <c r="AD322" s="4">
        <v>70</v>
      </c>
      <c r="AE322" s="4">
        <v>74</v>
      </c>
      <c r="AF322" s="4">
        <v>0</v>
      </c>
      <c r="AG322" s="4">
        <v>0</v>
      </c>
      <c r="AH322" s="4">
        <v>67</v>
      </c>
      <c r="AI322" s="4">
        <v>70</v>
      </c>
      <c r="AJ322" s="4">
        <v>10</v>
      </c>
      <c r="AK322" s="4">
        <v>10</v>
      </c>
      <c r="AL322" s="4">
        <v>38</v>
      </c>
      <c r="AM322" s="4">
        <v>40</v>
      </c>
      <c r="AN322" s="4">
        <v>0</v>
      </c>
      <c r="AO322" s="4">
        <v>0</v>
      </c>
      <c r="AP322" s="4">
        <v>10</v>
      </c>
      <c r="AQ322" s="4">
        <v>11</v>
      </c>
      <c r="AR322" s="3" t="s">
        <v>62</v>
      </c>
      <c r="AS322" s="3" t="s">
        <v>62</v>
      </c>
      <c r="AT322" s="3" t="s">
        <v>62</v>
      </c>
      <c r="AV322" s="6" t="str">
        <f>HYPERLINK("http://mcgill.on.worldcat.org/oclc/51306090","Catalog Record")</f>
        <v>Catalog Record</v>
      </c>
      <c r="AW322" s="6" t="str">
        <f>HYPERLINK("http://www.worldcat.org/oclc/51306090","WorldCat Record")</f>
        <v>WorldCat Record</v>
      </c>
      <c r="AX322" s="3" t="s">
        <v>2896</v>
      </c>
      <c r="AY322" s="3" t="s">
        <v>2897</v>
      </c>
      <c r="AZ322" s="3" t="s">
        <v>2898</v>
      </c>
      <c r="BA322" s="3" t="s">
        <v>2898</v>
      </c>
      <c r="BB322" s="3" t="s">
        <v>2899</v>
      </c>
      <c r="BC322" s="3" t="s">
        <v>142</v>
      </c>
      <c r="BD322" s="3" t="s">
        <v>68</v>
      </c>
      <c r="BE322" s="3" t="s">
        <v>2900</v>
      </c>
      <c r="BF322" s="3" t="s">
        <v>2899</v>
      </c>
      <c r="BG322" s="3" t="s">
        <v>2901</v>
      </c>
    </row>
    <row r="323" spans="1:59" ht="57" x14ac:dyDescent="0.45">
      <c r="A323" s="2" t="s">
        <v>59</v>
      </c>
      <c r="B323" s="2" t="s">
        <v>60</v>
      </c>
      <c r="C323" s="2" t="s">
        <v>2902</v>
      </c>
      <c r="D323" s="2" t="s">
        <v>2903</v>
      </c>
      <c r="E323" s="2" t="s">
        <v>2904</v>
      </c>
      <c r="G323" s="3" t="s">
        <v>62</v>
      </c>
      <c r="I323" s="3" t="s">
        <v>62</v>
      </c>
      <c r="J323" s="3" t="s">
        <v>62</v>
      </c>
      <c r="K323" s="3" t="s">
        <v>63</v>
      </c>
      <c r="L323" s="2" t="s">
        <v>2905</v>
      </c>
      <c r="M323" s="2" t="s">
        <v>2906</v>
      </c>
      <c r="N323" s="3" t="s">
        <v>1604</v>
      </c>
      <c r="P323" s="3" t="s">
        <v>65</v>
      </c>
      <c r="Q323" s="2" t="s">
        <v>2907</v>
      </c>
      <c r="R323" s="3" t="s">
        <v>66</v>
      </c>
      <c r="S323" s="4">
        <v>7</v>
      </c>
      <c r="T323" s="4">
        <v>7</v>
      </c>
      <c r="U323" s="5" t="s">
        <v>2908</v>
      </c>
      <c r="V323" s="5" t="s">
        <v>2908</v>
      </c>
      <c r="W323" s="5" t="s">
        <v>67</v>
      </c>
      <c r="X323" s="5" t="s">
        <v>67</v>
      </c>
      <c r="Y323" s="4">
        <v>244</v>
      </c>
      <c r="Z323" s="4">
        <v>17</v>
      </c>
      <c r="AA323" s="4">
        <v>17</v>
      </c>
      <c r="AB323" s="4">
        <v>1</v>
      </c>
      <c r="AC323" s="4">
        <v>1</v>
      </c>
      <c r="AD323" s="4">
        <v>98</v>
      </c>
      <c r="AE323" s="4">
        <v>98</v>
      </c>
      <c r="AF323" s="4">
        <v>0</v>
      </c>
      <c r="AG323" s="4">
        <v>0</v>
      </c>
      <c r="AH323" s="4">
        <v>89</v>
      </c>
      <c r="AI323" s="4">
        <v>89</v>
      </c>
      <c r="AJ323" s="4">
        <v>13</v>
      </c>
      <c r="AK323" s="4">
        <v>13</v>
      </c>
      <c r="AL323" s="4">
        <v>50</v>
      </c>
      <c r="AM323" s="4">
        <v>50</v>
      </c>
      <c r="AN323" s="4">
        <v>0</v>
      </c>
      <c r="AO323" s="4">
        <v>0</v>
      </c>
      <c r="AP323" s="4">
        <v>15</v>
      </c>
      <c r="AQ323" s="4">
        <v>15</v>
      </c>
      <c r="AR323" s="3" t="s">
        <v>62</v>
      </c>
      <c r="AS323" s="3" t="s">
        <v>62</v>
      </c>
      <c r="AT323" s="3" t="s">
        <v>61</v>
      </c>
      <c r="AU323" s="6" t="str">
        <f>HYPERLINK("http://catalog.hathitrust.org/Record/002875070","HathiTrust Record")</f>
        <v>HathiTrust Record</v>
      </c>
      <c r="AV323" s="6" t="str">
        <f>HYPERLINK("http://mcgill.on.worldcat.org/oclc/29219928","Catalog Record")</f>
        <v>Catalog Record</v>
      </c>
      <c r="AW323" s="6" t="str">
        <f>HYPERLINK("http://www.worldcat.org/oclc/29219928","WorldCat Record")</f>
        <v>WorldCat Record</v>
      </c>
      <c r="AX323" s="3" t="s">
        <v>2909</v>
      </c>
      <c r="AY323" s="3" t="s">
        <v>2910</v>
      </c>
      <c r="AZ323" s="3" t="s">
        <v>2911</v>
      </c>
      <c r="BA323" s="3" t="s">
        <v>2911</v>
      </c>
      <c r="BB323" s="3" t="s">
        <v>2912</v>
      </c>
      <c r="BC323" s="3" t="s">
        <v>142</v>
      </c>
      <c r="BD323" s="3" t="s">
        <v>68</v>
      </c>
      <c r="BE323" s="3" t="s">
        <v>2913</v>
      </c>
      <c r="BF323" s="3" t="s">
        <v>2912</v>
      </c>
      <c r="BG323" s="3" t="s">
        <v>2914</v>
      </c>
    </row>
    <row r="324" spans="1:59" ht="57" x14ac:dyDescent="0.45">
      <c r="A324" s="2" t="s">
        <v>59</v>
      </c>
      <c r="B324" s="2" t="s">
        <v>60</v>
      </c>
      <c r="C324" s="2" t="s">
        <v>2915</v>
      </c>
      <c r="D324" s="2" t="s">
        <v>2916</v>
      </c>
      <c r="E324" s="2" t="s">
        <v>2917</v>
      </c>
      <c r="G324" s="3" t="s">
        <v>62</v>
      </c>
      <c r="I324" s="3" t="s">
        <v>62</v>
      </c>
      <c r="J324" s="3" t="s">
        <v>62</v>
      </c>
      <c r="K324" s="3" t="s">
        <v>63</v>
      </c>
      <c r="L324" s="2" t="s">
        <v>2918</v>
      </c>
      <c r="M324" s="2" t="s">
        <v>2631</v>
      </c>
      <c r="N324" s="3" t="s">
        <v>116</v>
      </c>
      <c r="P324" s="3" t="s">
        <v>65</v>
      </c>
      <c r="R324" s="3" t="s">
        <v>66</v>
      </c>
      <c r="S324" s="4">
        <v>0</v>
      </c>
      <c r="T324" s="4">
        <v>0</v>
      </c>
      <c r="W324" s="5" t="s">
        <v>67</v>
      </c>
      <c r="X324" s="5" t="s">
        <v>67</v>
      </c>
      <c r="Y324" s="4">
        <v>131</v>
      </c>
      <c r="Z324" s="4">
        <v>16</v>
      </c>
      <c r="AA324" s="4">
        <v>105</v>
      </c>
      <c r="AB324" s="4">
        <v>1</v>
      </c>
      <c r="AC324" s="4">
        <v>15</v>
      </c>
      <c r="AD324" s="4">
        <v>58</v>
      </c>
      <c r="AE324" s="4">
        <v>129</v>
      </c>
      <c r="AF324" s="4">
        <v>0</v>
      </c>
      <c r="AG324" s="4">
        <v>8</v>
      </c>
      <c r="AH324" s="4">
        <v>51</v>
      </c>
      <c r="AI324" s="4">
        <v>92</v>
      </c>
      <c r="AJ324" s="4">
        <v>10</v>
      </c>
      <c r="AK324" s="4">
        <v>24</v>
      </c>
      <c r="AL324" s="4">
        <v>33</v>
      </c>
      <c r="AM324" s="4">
        <v>49</v>
      </c>
      <c r="AN324" s="4">
        <v>0</v>
      </c>
      <c r="AO324" s="4">
        <v>0</v>
      </c>
      <c r="AP324" s="4">
        <v>13</v>
      </c>
      <c r="AQ324" s="4">
        <v>46</v>
      </c>
      <c r="AR324" s="3" t="s">
        <v>62</v>
      </c>
      <c r="AS324" s="3" t="s">
        <v>62</v>
      </c>
      <c r="AT324" s="3" t="s">
        <v>62</v>
      </c>
      <c r="AV324" s="6" t="str">
        <f>HYPERLINK("http://mcgill.on.worldcat.org/oclc/841198141","Catalog Record")</f>
        <v>Catalog Record</v>
      </c>
      <c r="AW324" s="6" t="str">
        <f>HYPERLINK("http://www.worldcat.org/oclc/841198141","WorldCat Record")</f>
        <v>WorldCat Record</v>
      </c>
      <c r="AX324" s="3" t="s">
        <v>2919</v>
      </c>
      <c r="AY324" s="3" t="s">
        <v>2920</v>
      </c>
      <c r="AZ324" s="3" t="s">
        <v>2921</v>
      </c>
      <c r="BA324" s="3" t="s">
        <v>2921</v>
      </c>
      <c r="BB324" s="3" t="s">
        <v>2922</v>
      </c>
      <c r="BC324" s="3" t="s">
        <v>142</v>
      </c>
      <c r="BD324" s="3" t="s">
        <v>68</v>
      </c>
      <c r="BE324" s="3" t="s">
        <v>2923</v>
      </c>
      <c r="BF324" s="3" t="s">
        <v>2922</v>
      </c>
      <c r="BG324" s="3" t="s">
        <v>2924</v>
      </c>
    </row>
    <row r="325" spans="1:59" ht="57" x14ac:dyDescent="0.45">
      <c r="A325" s="2" t="s">
        <v>59</v>
      </c>
      <c r="B325" s="2" t="s">
        <v>60</v>
      </c>
      <c r="C325" s="2" t="s">
        <v>2925</v>
      </c>
      <c r="D325" s="2" t="s">
        <v>2926</v>
      </c>
      <c r="E325" s="2" t="s">
        <v>2927</v>
      </c>
      <c r="G325" s="3" t="s">
        <v>62</v>
      </c>
      <c r="I325" s="3" t="s">
        <v>62</v>
      </c>
      <c r="J325" s="3" t="s">
        <v>62</v>
      </c>
      <c r="K325" s="3" t="s">
        <v>63</v>
      </c>
      <c r="L325" s="2" t="s">
        <v>2918</v>
      </c>
      <c r="M325" s="2" t="s">
        <v>2928</v>
      </c>
      <c r="N325" s="3" t="s">
        <v>918</v>
      </c>
      <c r="P325" s="3" t="s">
        <v>65</v>
      </c>
      <c r="Q325" s="2" t="s">
        <v>2929</v>
      </c>
      <c r="R325" s="3" t="s">
        <v>66</v>
      </c>
      <c r="S325" s="4">
        <v>9</v>
      </c>
      <c r="T325" s="4">
        <v>9</v>
      </c>
      <c r="U325" s="5" t="s">
        <v>2930</v>
      </c>
      <c r="V325" s="5" t="s">
        <v>2930</v>
      </c>
      <c r="W325" s="5" t="s">
        <v>67</v>
      </c>
      <c r="X325" s="5" t="s">
        <v>67</v>
      </c>
      <c r="Y325" s="4">
        <v>175</v>
      </c>
      <c r="Z325" s="4">
        <v>16</v>
      </c>
      <c r="AA325" s="4">
        <v>106</v>
      </c>
      <c r="AB325" s="4">
        <v>1</v>
      </c>
      <c r="AC325" s="4">
        <v>17</v>
      </c>
      <c r="AD325" s="4">
        <v>72</v>
      </c>
      <c r="AE325" s="4">
        <v>128</v>
      </c>
      <c r="AF325" s="4">
        <v>0</v>
      </c>
      <c r="AG325" s="4">
        <v>8</v>
      </c>
      <c r="AH325" s="4">
        <v>67</v>
      </c>
      <c r="AI325" s="4">
        <v>91</v>
      </c>
      <c r="AJ325" s="4">
        <v>14</v>
      </c>
      <c r="AK325" s="4">
        <v>25</v>
      </c>
      <c r="AL325" s="4">
        <v>36</v>
      </c>
      <c r="AM325" s="4">
        <v>47</v>
      </c>
      <c r="AN325" s="4">
        <v>0</v>
      </c>
      <c r="AO325" s="4">
        <v>0</v>
      </c>
      <c r="AP325" s="4">
        <v>14</v>
      </c>
      <c r="AQ325" s="4">
        <v>46</v>
      </c>
      <c r="AR325" s="3" t="s">
        <v>62</v>
      </c>
      <c r="AS325" s="3" t="s">
        <v>62</v>
      </c>
      <c r="AT325" s="3" t="s">
        <v>62</v>
      </c>
      <c r="AV325" s="6" t="str">
        <f>HYPERLINK("http://mcgill.on.worldcat.org/oclc/53276505","Catalog Record")</f>
        <v>Catalog Record</v>
      </c>
      <c r="AW325" s="6" t="str">
        <f>HYPERLINK("http://www.worldcat.org/oclc/53276505","WorldCat Record")</f>
        <v>WorldCat Record</v>
      </c>
      <c r="AX325" s="3" t="s">
        <v>2931</v>
      </c>
      <c r="AY325" s="3" t="s">
        <v>2932</v>
      </c>
      <c r="AZ325" s="3" t="s">
        <v>2933</v>
      </c>
      <c r="BA325" s="3" t="s">
        <v>2933</v>
      </c>
      <c r="BB325" s="3" t="s">
        <v>2934</v>
      </c>
      <c r="BC325" s="3" t="s">
        <v>142</v>
      </c>
      <c r="BD325" s="3" t="s">
        <v>68</v>
      </c>
      <c r="BE325" s="3" t="s">
        <v>2935</v>
      </c>
      <c r="BF325" s="3" t="s">
        <v>2934</v>
      </c>
      <c r="BG325" s="3" t="s">
        <v>2936</v>
      </c>
    </row>
    <row r="326" spans="1:59" ht="57" x14ac:dyDescent="0.45">
      <c r="A326" s="2" t="s">
        <v>59</v>
      </c>
      <c r="B326" s="2" t="s">
        <v>60</v>
      </c>
      <c r="C326" s="2" t="s">
        <v>2937</v>
      </c>
      <c r="D326" s="2" t="s">
        <v>2938</v>
      </c>
      <c r="E326" s="2" t="s">
        <v>2939</v>
      </c>
      <c r="G326" s="3" t="s">
        <v>62</v>
      </c>
      <c r="I326" s="3" t="s">
        <v>62</v>
      </c>
      <c r="J326" s="3" t="s">
        <v>62</v>
      </c>
      <c r="K326" s="3" t="s">
        <v>63</v>
      </c>
      <c r="M326" s="2" t="s">
        <v>2940</v>
      </c>
      <c r="N326" s="3" t="s">
        <v>1855</v>
      </c>
      <c r="P326" s="3" t="s">
        <v>65</v>
      </c>
      <c r="Q326" s="2" t="s">
        <v>2941</v>
      </c>
      <c r="R326" s="3" t="s">
        <v>66</v>
      </c>
      <c r="S326" s="4">
        <v>8</v>
      </c>
      <c r="T326" s="4">
        <v>8</v>
      </c>
      <c r="U326" s="5" t="s">
        <v>2942</v>
      </c>
      <c r="V326" s="5" t="s">
        <v>2942</v>
      </c>
      <c r="W326" s="5" t="s">
        <v>67</v>
      </c>
      <c r="X326" s="5" t="s">
        <v>67</v>
      </c>
      <c r="Y326" s="4">
        <v>179</v>
      </c>
      <c r="Z326" s="4">
        <v>14</v>
      </c>
      <c r="AA326" s="4">
        <v>66</v>
      </c>
      <c r="AB326" s="4">
        <v>1</v>
      </c>
      <c r="AC326" s="4">
        <v>16</v>
      </c>
      <c r="AD326" s="4">
        <v>79</v>
      </c>
      <c r="AE326" s="4">
        <v>131</v>
      </c>
      <c r="AF326" s="4">
        <v>0</v>
      </c>
      <c r="AG326" s="4">
        <v>7</v>
      </c>
      <c r="AH326" s="4">
        <v>74</v>
      </c>
      <c r="AI326" s="4">
        <v>92</v>
      </c>
      <c r="AJ326" s="4">
        <v>12</v>
      </c>
      <c r="AK326" s="4">
        <v>23</v>
      </c>
      <c r="AL326" s="4">
        <v>42</v>
      </c>
      <c r="AM326" s="4">
        <v>48</v>
      </c>
      <c r="AN326" s="4">
        <v>0</v>
      </c>
      <c r="AO326" s="4">
        <v>0</v>
      </c>
      <c r="AP326" s="4">
        <v>12</v>
      </c>
      <c r="AQ326" s="4">
        <v>48</v>
      </c>
      <c r="AR326" s="3" t="s">
        <v>62</v>
      </c>
      <c r="AS326" s="3" t="s">
        <v>62</v>
      </c>
      <c r="AT326" s="3" t="s">
        <v>62</v>
      </c>
      <c r="AV326" s="6" t="str">
        <f>HYPERLINK("http://mcgill.on.worldcat.org/oclc/53393411","Catalog Record")</f>
        <v>Catalog Record</v>
      </c>
      <c r="AW326" s="6" t="str">
        <f>HYPERLINK("http://www.worldcat.org/oclc/53393411","WorldCat Record")</f>
        <v>WorldCat Record</v>
      </c>
      <c r="AX326" s="3" t="s">
        <v>2943</v>
      </c>
      <c r="AY326" s="3" t="s">
        <v>2944</v>
      </c>
      <c r="AZ326" s="3" t="s">
        <v>2945</v>
      </c>
      <c r="BA326" s="3" t="s">
        <v>2945</v>
      </c>
      <c r="BB326" s="3" t="s">
        <v>2946</v>
      </c>
      <c r="BC326" s="3" t="s">
        <v>142</v>
      </c>
      <c r="BD326" s="3" t="s">
        <v>68</v>
      </c>
      <c r="BE326" s="3" t="s">
        <v>2947</v>
      </c>
      <c r="BF326" s="3" t="s">
        <v>2946</v>
      </c>
      <c r="BG326" s="3" t="s">
        <v>2948</v>
      </c>
    </row>
    <row r="327" spans="1:59" ht="57" x14ac:dyDescent="0.45">
      <c r="A327" s="2" t="s">
        <v>59</v>
      </c>
      <c r="B327" s="2" t="s">
        <v>60</v>
      </c>
      <c r="C327" s="2" t="s">
        <v>2949</v>
      </c>
      <c r="D327" s="2" t="s">
        <v>2950</v>
      </c>
      <c r="E327" s="2" t="s">
        <v>2951</v>
      </c>
      <c r="G327" s="3" t="s">
        <v>62</v>
      </c>
      <c r="I327" s="3" t="s">
        <v>62</v>
      </c>
      <c r="J327" s="3" t="s">
        <v>62</v>
      </c>
      <c r="K327" s="3" t="s">
        <v>63</v>
      </c>
      <c r="M327" s="2" t="s">
        <v>2952</v>
      </c>
      <c r="N327" s="3" t="s">
        <v>918</v>
      </c>
      <c r="P327" s="3" t="s">
        <v>65</v>
      </c>
      <c r="Q327" s="2" t="s">
        <v>2953</v>
      </c>
      <c r="R327" s="3" t="s">
        <v>66</v>
      </c>
      <c r="S327" s="4">
        <v>4</v>
      </c>
      <c r="T327" s="4">
        <v>4</v>
      </c>
      <c r="U327" s="5" t="s">
        <v>2954</v>
      </c>
      <c r="V327" s="5" t="s">
        <v>2954</v>
      </c>
      <c r="W327" s="5" t="s">
        <v>67</v>
      </c>
      <c r="X327" s="5" t="s">
        <v>67</v>
      </c>
      <c r="Y327" s="4">
        <v>207</v>
      </c>
      <c r="Z327" s="4">
        <v>21</v>
      </c>
      <c r="AA327" s="4">
        <v>27</v>
      </c>
      <c r="AB327" s="4">
        <v>1</v>
      </c>
      <c r="AC327" s="4">
        <v>4</v>
      </c>
      <c r="AD327" s="4">
        <v>92</v>
      </c>
      <c r="AE327" s="4">
        <v>100</v>
      </c>
      <c r="AF327" s="4">
        <v>0</v>
      </c>
      <c r="AG327" s="4">
        <v>2</v>
      </c>
      <c r="AH327" s="4">
        <v>83</v>
      </c>
      <c r="AI327" s="4">
        <v>88</v>
      </c>
      <c r="AJ327" s="4">
        <v>17</v>
      </c>
      <c r="AK327" s="4">
        <v>20</v>
      </c>
      <c r="AL327" s="4">
        <v>47</v>
      </c>
      <c r="AM327" s="4">
        <v>49</v>
      </c>
      <c r="AN327" s="4">
        <v>0</v>
      </c>
      <c r="AO327" s="4">
        <v>0</v>
      </c>
      <c r="AP327" s="4">
        <v>18</v>
      </c>
      <c r="AQ327" s="4">
        <v>22</v>
      </c>
      <c r="AR327" s="3" t="s">
        <v>62</v>
      </c>
      <c r="AS327" s="3" t="s">
        <v>62</v>
      </c>
      <c r="AT327" s="3" t="s">
        <v>62</v>
      </c>
      <c r="AV327" s="6" t="str">
        <f>HYPERLINK("http://mcgill.on.worldcat.org/oclc/51107870","Catalog Record")</f>
        <v>Catalog Record</v>
      </c>
      <c r="AW327" s="6" t="str">
        <f>HYPERLINK("http://www.worldcat.org/oclc/51107870","WorldCat Record")</f>
        <v>WorldCat Record</v>
      </c>
      <c r="AX327" s="3" t="s">
        <v>2955</v>
      </c>
      <c r="AY327" s="3" t="s">
        <v>2956</v>
      </c>
      <c r="AZ327" s="3" t="s">
        <v>2957</v>
      </c>
      <c r="BA327" s="3" t="s">
        <v>2957</v>
      </c>
      <c r="BB327" s="3" t="s">
        <v>2958</v>
      </c>
      <c r="BC327" s="3" t="s">
        <v>142</v>
      </c>
      <c r="BD327" s="3" t="s">
        <v>68</v>
      </c>
      <c r="BE327" s="3" t="s">
        <v>2959</v>
      </c>
      <c r="BF327" s="3" t="s">
        <v>2958</v>
      </c>
      <c r="BG327" s="3" t="s">
        <v>2960</v>
      </c>
    </row>
    <row r="328" spans="1:59" ht="57" x14ac:dyDescent="0.45">
      <c r="A328" s="2" t="s">
        <v>59</v>
      </c>
      <c r="B328" s="2" t="s">
        <v>60</v>
      </c>
      <c r="C328" s="2" t="s">
        <v>2961</v>
      </c>
      <c r="D328" s="2" t="s">
        <v>2962</v>
      </c>
      <c r="E328" s="2" t="s">
        <v>2963</v>
      </c>
      <c r="G328" s="3" t="s">
        <v>62</v>
      </c>
      <c r="I328" s="3" t="s">
        <v>62</v>
      </c>
      <c r="J328" s="3" t="s">
        <v>62</v>
      </c>
      <c r="K328" s="3" t="s">
        <v>63</v>
      </c>
      <c r="M328" s="2" t="s">
        <v>2964</v>
      </c>
      <c r="N328" s="3" t="s">
        <v>1059</v>
      </c>
      <c r="P328" s="3" t="s">
        <v>65</v>
      </c>
      <c r="Q328" s="2" t="s">
        <v>2965</v>
      </c>
      <c r="R328" s="3" t="s">
        <v>66</v>
      </c>
      <c r="S328" s="4">
        <v>12</v>
      </c>
      <c r="T328" s="4">
        <v>12</v>
      </c>
      <c r="U328" s="5" t="s">
        <v>2966</v>
      </c>
      <c r="V328" s="5" t="s">
        <v>2966</v>
      </c>
      <c r="W328" s="5" t="s">
        <v>67</v>
      </c>
      <c r="X328" s="5" t="s">
        <v>67</v>
      </c>
      <c r="Y328" s="4">
        <v>134</v>
      </c>
      <c r="Z328" s="4">
        <v>7</v>
      </c>
      <c r="AA328" s="4">
        <v>97</v>
      </c>
      <c r="AB328" s="4">
        <v>1</v>
      </c>
      <c r="AC328" s="4">
        <v>17</v>
      </c>
      <c r="AD328" s="4">
        <v>66</v>
      </c>
      <c r="AE328" s="4">
        <v>130</v>
      </c>
      <c r="AF328" s="4">
        <v>0</v>
      </c>
      <c r="AG328" s="4">
        <v>8</v>
      </c>
      <c r="AH328" s="4">
        <v>64</v>
      </c>
      <c r="AI328" s="4">
        <v>92</v>
      </c>
      <c r="AJ328" s="4">
        <v>6</v>
      </c>
      <c r="AK328" s="4">
        <v>22</v>
      </c>
      <c r="AL328" s="4">
        <v>40</v>
      </c>
      <c r="AM328" s="4">
        <v>51</v>
      </c>
      <c r="AN328" s="4">
        <v>0</v>
      </c>
      <c r="AO328" s="4">
        <v>0</v>
      </c>
      <c r="AP328" s="4">
        <v>6</v>
      </c>
      <c r="AQ328" s="4">
        <v>45</v>
      </c>
      <c r="AR328" s="3" t="s">
        <v>62</v>
      </c>
      <c r="AS328" s="3" t="s">
        <v>62</v>
      </c>
      <c r="AT328" s="3" t="s">
        <v>62</v>
      </c>
      <c r="AV328" s="6" t="str">
        <f>HYPERLINK("http://mcgill.on.worldcat.org/oclc/64596013","Catalog Record")</f>
        <v>Catalog Record</v>
      </c>
      <c r="AW328" s="6" t="str">
        <f>HYPERLINK("http://www.worldcat.org/oclc/64596013","WorldCat Record")</f>
        <v>WorldCat Record</v>
      </c>
      <c r="AX328" s="3" t="s">
        <v>2967</v>
      </c>
      <c r="AY328" s="3" t="s">
        <v>2968</v>
      </c>
      <c r="AZ328" s="3" t="s">
        <v>2969</v>
      </c>
      <c r="BA328" s="3" t="s">
        <v>2969</v>
      </c>
      <c r="BB328" s="3" t="s">
        <v>2970</v>
      </c>
      <c r="BC328" s="3" t="s">
        <v>142</v>
      </c>
      <c r="BD328" s="3" t="s">
        <v>68</v>
      </c>
      <c r="BE328" s="3" t="s">
        <v>2971</v>
      </c>
      <c r="BF328" s="3" t="s">
        <v>2970</v>
      </c>
      <c r="BG328" s="3" t="s">
        <v>2972</v>
      </c>
    </row>
    <row r="329" spans="1:59" ht="57" x14ac:dyDescent="0.45">
      <c r="A329" s="2" t="s">
        <v>59</v>
      </c>
      <c r="B329" s="2" t="s">
        <v>60</v>
      </c>
      <c r="C329" s="2" t="s">
        <v>2973</v>
      </c>
      <c r="D329" s="2" t="s">
        <v>2974</v>
      </c>
      <c r="E329" s="2" t="s">
        <v>2975</v>
      </c>
      <c r="G329" s="3" t="s">
        <v>62</v>
      </c>
      <c r="I329" s="3" t="s">
        <v>62</v>
      </c>
      <c r="J329" s="3" t="s">
        <v>62</v>
      </c>
      <c r="K329" s="3" t="s">
        <v>63</v>
      </c>
      <c r="M329" s="2" t="s">
        <v>2976</v>
      </c>
      <c r="N329" s="3" t="s">
        <v>149</v>
      </c>
      <c r="O329" s="2" t="s">
        <v>168</v>
      </c>
      <c r="P329" s="3" t="s">
        <v>65</v>
      </c>
      <c r="Q329" s="2" t="s">
        <v>2977</v>
      </c>
      <c r="R329" s="3" t="s">
        <v>66</v>
      </c>
      <c r="S329" s="4">
        <v>1</v>
      </c>
      <c r="T329" s="4">
        <v>1</v>
      </c>
      <c r="U329" s="5" t="s">
        <v>2978</v>
      </c>
      <c r="V329" s="5" t="s">
        <v>2978</v>
      </c>
      <c r="W329" s="5" t="s">
        <v>67</v>
      </c>
      <c r="X329" s="5" t="s">
        <v>67</v>
      </c>
      <c r="Y329" s="4">
        <v>169</v>
      </c>
      <c r="Z329" s="4">
        <v>14</v>
      </c>
      <c r="AA329" s="4">
        <v>23</v>
      </c>
      <c r="AB329" s="4">
        <v>1</v>
      </c>
      <c r="AC329" s="4">
        <v>5</v>
      </c>
      <c r="AD329" s="4">
        <v>74</v>
      </c>
      <c r="AE329" s="4">
        <v>84</v>
      </c>
      <c r="AF329" s="4">
        <v>0</v>
      </c>
      <c r="AG329" s="4">
        <v>2</v>
      </c>
      <c r="AH329" s="4">
        <v>67</v>
      </c>
      <c r="AI329" s="4">
        <v>73</v>
      </c>
      <c r="AJ329" s="4">
        <v>10</v>
      </c>
      <c r="AK329" s="4">
        <v>15</v>
      </c>
      <c r="AL329" s="4">
        <v>41</v>
      </c>
      <c r="AM329" s="4">
        <v>42</v>
      </c>
      <c r="AN329" s="4">
        <v>0</v>
      </c>
      <c r="AO329" s="4">
        <v>0</v>
      </c>
      <c r="AP329" s="4">
        <v>12</v>
      </c>
      <c r="AQ329" s="4">
        <v>19</v>
      </c>
      <c r="AR329" s="3" t="s">
        <v>62</v>
      </c>
      <c r="AS329" s="3" t="s">
        <v>62</v>
      </c>
      <c r="AT329" s="3" t="s">
        <v>62</v>
      </c>
      <c r="AV329" s="6" t="str">
        <f>HYPERLINK("http://mcgill.on.worldcat.org/oclc/437305857","Catalog Record")</f>
        <v>Catalog Record</v>
      </c>
      <c r="AW329" s="6" t="str">
        <f>HYPERLINK("http://www.worldcat.org/oclc/437305857","WorldCat Record")</f>
        <v>WorldCat Record</v>
      </c>
      <c r="AX329" s="3" t="s">
        <v>2979</v>
      </c>
      <c r="AY329" s="3" t="s">
        <v>2980</v>
      </c>
      <c r="AZ329" s="3" t="s">
        <v>2981</v>
      </c>
      <c r="BA329" s="3" t="s">
        <v>2981</v>
      </c>
      <c r="BB329" s="3" t="s">
        <v>2982</v>
      </c>
      <c r="BC329" s="3" t="s">
        <v>142</v>
      </c>
      <c r="BD329" s="3" t="s">
        <v>68</v>
      </c>
      <c r="BE329" s="3" t="s">
        <v>2983</v>
      </c>
      <c r="BF329" s="3" t="s">
        <v>2982</v>
      </c>
      <c r="BG329" s="3" t="s">
        <v>2984</v>
      </c>
    </row>
    <row r="330" spans="1:59" ht="57" x14ac:dyDescent="0.45">
      <c r="A330" s="2" t="s">
        <v>59</v>
      </c>
      <c r="B330" s="2" t="s">
        <v>60</v>
      </c>
      <c r="C330" s="2" t="s">
        <v>2985</v>
      </c>
      <c r="D330" s="2" t="s">
        <v>2986</v>
      </c>
      <c r="E330" s="2" t="s">
        <v>2987</v>
      </c>
      <c r="G330" s="3" t="s">
        <v>62</v>
      </c>
      <c r="I330" s="3" t="s">
        <v>62</v>
      </c>
      <c r="J330" s="3" t="s">
        <v>62</v>
      </c>
      <c r="K330" s="3" t="s">
        <v>63</v>
      </c>
      <c r="L330" s="2" t="s">
        <v>2988</v>
      </c>
      <c r="M330" s="2" t="s">
        <v>2989</v>
      </c>
      <c r="N330" s="3" t="s">
        <v>945</v>
      </c>
      <c r="O330" s="2" t="s">
        <v>168</v>
      </c>
      <c r="P330" s="3" t="s">
        <v>65</v>
      </c>
      <c r="R330" s="3" t="s">
        <v>66</v>
      </c>
      <c r="S330" s="4">
        <v>4</v>
      </c>
      <c r="T330" s="4">
        <v>4</v>
      </c>
      <c r="U330" s="5" t="s">
        <v>2990</v>
      </c>
      <c r="V330" s="5" t="s">
        <v>2990</v>
      </c>
      <c r="W330" s="5" t="s">
        <v>67</v>
      </c>
      <c r="X330" s="5" t="s">
        <v>67</v>
      </c>
      <c r="Y330" s="4">
        <v>887</v>
      </c>
      <c r="Z330" s="4">
        <v>29</v>
      </c>
      <c r="AA330" s="4">
        <v>31</v>
      </c>
      <c r="AB330" s="4">
        <v>3</v>
      </c>
      <c r="AC330" s="4">
        <v>4</v>
      </c>
      <c r="AD330" s="4">
        <v>84</v>
      </c>
      <c r="AE330" s="4">
        <v>85</v>
      </c>
      <c r="AF330" s="4">
        <v>0</v>
      </c>
      <c r="AG330" s="4">
        <v>0</v>
      </c>
      <c r="AH330" s="4">
        <v>78</v>
      </c>
      <c r="AI330" s="4">
        <v>79</v>
      </c>
      <c r="AJ330" s="4">
        <v>8</v>
      </c>
      <c r="AK330" s="4">
        <v>8</v>
      </c>
      <c r="AL330" s="4">
        <v>44</v>
      </c>
      <c r="AM330" s="4">
        <v>45</v>
      </c>
      <c r="AN330" s="4">
        <v>0</v>
      </c>
      <c r="AO330" s="4">
        <v>0</v>
      </c>
      <c r="AP330" s="4">
        <v>11</v>
      </c>
      <c r="AQ330" s="4">
        <v>11</v>
      </c>
      <c r="AR330" s="3" t="s">
        <v>62</v>
      </c>
      <c r="AS330" s="3" t="s">
        <v>62</v>
      </c>
      <c r="AT330" s="3" t="s">
        <v>61</v>
      </c>
      <c r="AU330" s="6" t="str">
        <f>HYPERLINK("http://catalog.hathitrust.org/Record/005620833","HathiTrust Record")</f>
        <v>HathiTrust Record</v>
      </c>
      <c r="AV330" s="6" t="str">
        <f>HYPERLINK("http://mcgill.on.worldcat.org/oclc/77520742","Catalog Record")</f>
        <v>Catalog Record</v>
      </c>
      <c r="AW330" s="6" t="str">
        <f>HYPERLINK("http://www.worldcat.org/oclc/77520742","WorldCat Record")</f>
        <v>WorldCat Record</v>
      </c>
      <c r="AX330" s="3" t="s">
        <v>2991</v>
      </c>
      <c r="AY330" s="3" t="s">
        <v>2992</v>
      </c>
      <c r="AZ330" s="3" t="s">
        <v>2993</v>
      </c>
      <c r="BA330" s="3" t="s">
        <v>2993</v>
      </c>
      <c r="BB330" s="3" t="s">
        <v>2994</v>
      </c>
      <c r="BC330" s="3" t="s">
        <v>142</v>
      </c>
      <c r="BD330" s="3" t="s">
        <v>68</v>
      </c>
      <c r="BE330" s="3" t="s">
        <v>2995</v>
      </c>
      <c r="BF330" s="3" t="s">
        <v>2994</v>
      </c>
      <c r="BG330" s="3" t="s">
        <v>2996</v>
      </c>
    </row>
    <row r="331" spans="1:59" ht="57" x14ac:dyDescent="0.45">
      <c r="A331" s="2" t="s">
        <v>59</v>
      </c>
      <c r="B331" s="2" t="s">
        <v>60</v>
      </c>
      <c r="C331" s="2" t="s">
        <v>2997</v>
      </c>
      <c r="D331" s="2" t="s">
        <v>2998</v>
      </c>
      <c r="E331" s="2" t="s">
        <v>2999</v>
      </c>
      <c r="G331" s="3" t="s">
        <v>62</v>
      </c>
      <c r="I331" s="3" t="s">
        <v>62</v>
      </c>
      <c r="J331" s="3" t="s">
        <v>62</v>
      </c>
      <c r="K331" s="3" t="s">
        <v>63</v>
      </c>
      <c r="L331" s="2" t="s">
        <v>3000</v>
      </c>
      <c r="M331" s="2" t="s">
        <v>3001</v>
      </c>
      <c r="N331" s="3" t="s">
        <v>1478</v>
      </c>
      <c r="P331" s="3" t="s">
        <v>65</v>
      </c>
      <c r="Q331" s="2" t="s">
        <v>3002</v>
      </c>
      <c r="R331" s="3" t="s">
        <v>66</v>
      </c>
      <c r="S331" s="4">
        <v>6</v>
      </c>
      <c r="T331" s="4">
        <v>6</v>
      </c>
      <c r="U331" s="5" t="s">
        <v>3003</v>
      </c>
      <c r="V331" s="5" t="s">
        <v>3003</v>
      </c>
      <c r="W331" s="5" t="s">
        <v>67</v>
      </c>
      <c r="X331" s="5" t="s">
        <v>67</v>
      </c>
      <c r="Y331" s="4">
        <v>286</v>
      </c>
      <c r="Z331" s="4">
        <v>14</v>
      </c>
      <c r="AA331" s="4">
        <v>96</v>
      </c>
      <c r="AB331" s="4">
        <v>1</v>
      </c>
      <c r="AC331" s="4">
        <v>17</v>
      </c>
      <c r="AD331" s="4">
        <v>97</v>
      </c>
      <c r="AE331" s="4">
        <v>144</v>
      </c>
      <c r="AF331" s="4">
        <v>0</v>
      </c>
      <c r="AG331" s="4">
        <v>8</v>
      </c>
      <c r="AH331" s="4">
        <v>92</v>
      </c>
      <c r="AI331" s="4">
        <v>106</v>
      </c>
      <c r="AJ331" s="4">
        <v>11</v>
      </c>
      <c r="AK331" s="4">
        <v>25</v>
      </c>
      <c r="AL331" s="4">
        <v>50</v>
      </c>
      <c r="AM331" s="4">
        <v>54</v>
      </c>
      <c r="AN331" s="4">
        <v>0</v>
      </c>
      <c r="AO331" s="4">
        <v>0</v>
      </c>
      <c r="AP331" s="4">
        <v>11</v>
      </c>
      <c r="AQ331" s="4">
        <v>47</v>
      </c>
      <c r="AR331" s="3" t="s">
        <v>62</v>
      </c>
      <c r="AS331" s="3" t="s">
        <v>62</v>
      </c>
      <c r="AT331" s="3" t="s">
        <v>61</v>
      </c>
      <c r="AU331" s="6" t="str">
        <f>HYPERLINK("http://catalog.hathitrust.org/Record/003097779","HathiTrust Record")</f>
        <v>HathiTrust Record</v>
      </c>
      <c r="AV331" s="6" t="str">
        <f>HYPERLINK("http://mcgill.on.worldcat.org/oclc/33899975","Catalog Record")</f>
        <v>Catalog Record</v>
      </c>
      <c r="AW331" s="6" t="str">
        <f>HYPERLINK("http://www.worldcat.org/oclc/33899975","WorldCat Record")</f>
        <v>WorldCat Record</v>
      </c>
      <c r="AX331" s="3" t="s">
        <v>3004</v>
      </c>
      <c r="AY331" s="3" t="s">
        <v>3005</v>
      </c>
      <c r="AZ331" s="3" t="s">
        <v>3006</v>
      </c>
      <c r="BA331" s="3" t="s">
        <v>3006</v>
      </c>
      <c r="BB331" s="3" t="s">
        <v>3007</v>
      </c>
      <c r="BC331" s="3" t="s">
        <v>142</v>
      </c>
      <c r="BD331" s="3" t="s">
        <v>68</v>
      </c>
      <c r="BE331" s="3" t="s">
        <v>3008</v>
      </c>
      <c r="BF331" s="3" t="s">
        <v>3007</v>
      </c>
      <c r="BG331" s="3" t="s">
        <v>3009</v>
      </c>
    </row>
    <row r="332" spans="1:59" ht="57" x14ac:dyDescent="0.45">
      <c r="A332" s="2" t="s">
        <v>59</v>
      </c>
      <c r="B332" s="2" t="s">
        <v>60</v>
      </c>
      <c r="C332" s="2" t="s">
        <v>3010</v>
      </c>
      <c r="D332" s="2" t="s">
        <v>3011</v>
      </c>
      <c r="E332" s="2" t="s">
        <v>3012</v>
      </c>
      <c r="G332" s="3" t="s">
        <v>62</v>
      </c>
      <c r="I332" s="3" t="s">
        <v>62</v>
      </c>
      <c r="J332" s="3" t="s">
        <v>62</v>
      </c>
      <c r="K332" s="3" t="s">
        <v>63</v>
      </c>
      <c r="M332" s="2" t="s">
        <v>3013</v>
      </c>
      <c r="N332" s="3" t="s">
        <v>1855</v>
      </c>
      <c r="P332" s="3" t="s">
        <v>65</v>
      </c>
      <c r="Q332" s="2" t="s">
        <v>3014</v>
      </c>
      <c r="R332" s="3" t="s">
        <v>66</v>
      </c>
      <c r="S332" s="4">
        <v>19</v>
      </c>
      <c r="T332" s="4">
        <v>19</v>
      </c>
      <c r="U332" s="5" t="s">
        <v>3015</v>
      </c>
      <c r="V332" s="5" t="s">
        <v>3015</v>
      </c>
      <c r="W332" s="5" t="s">
        <v>67</v>
      </c>
      <c r="X332" s="5" t="s">
        <v>67</v>
      </c>
      <c r="Y332" s="4">
        <v>377</v>
      </c>
      <c r="Z332" s="4">
        <v>28</v>
      </c>
      <c r="AA332" s="4">
        <v>56</v>
      </c>
      <c r="AB332" s="4">
        <v>2</v>
      </c>
      <c r="AC332" s="4">
        <v>9</v>
      </c>
      <c r="AD332" s="4">
        <v>101</v>
      </c>
      <c r="AE332" s="4">
        <v>125</v>
      </c>
      <c r="AF332" s="4">
        <v>1</v>
      </c>
      <c r="AG332" s="4">
        <v>5</v>
      </c>
      <c r="AH332" s="4">
        <v>87</v>
      </c>
      <c r="AI332" s="4">
        <v>99</v>
      </c>
      <c r="AJ332" s="4">
        <v>16</v>
      </c>
      <c r="AK332" s="4">
        <v>20</v>
      </c>
      <c r="AL332" s="4">
        <v>47</v>
      </c>
      <c r="AM332" s="4">
        <v>53</v>
      </c>
      <c r="AN332" s="4">
        <v>0</v>
      </c>
      <c r="AO332" s="4">
        <v>0</v>
      </c>
      <c r="AP332" s="4">
        <v>24</v>
      </c>
      <c r="AQ332" s="4">
        <v>34</v>
      </c>
      <c r="AR332" s="3" t="s">
        <v>62</v>
      </c>
      <c r="AS332" s="3" t="s">
        <v>62</v>
      </c>
      <c r="AT332" s="3" t="s">
        <v>62</v>
      </c>
      <c r="AV332" s="6" t="str">
        <f>HYPERLINK("http://mcgill.on.worldcat.org/oclc/55960816","Catalog Record")</f>
        <v>Catalog Record</v>
      </c>
      <c r="AW332" s="6" t="str">
        <f>HYPERLINK("http://www.worldcat.org/oclc/55960816","WorldCat Record")</f>
        <v>WorldCat Record</v>
      </c>
      <c r="AX332" s="3" t="s">
        <v>3016</v>
      </c>
      <c r="AY332" s="3" t="s">
        <v>3017</v>
      </c>
      <c r="AZ332" s="3" t="s">
        <v>3018</v>
      </c>
      <c r="BA332" s="3" t="s">
        <v>3018</v>
      </c>
      <c r="BB332" s="3" t="s">
        <v>3019</v>
      </c>
      <c r="BC332" s="3" t="s">
        <v>142</v>
      </c>
      <c r="BD332" s="3" t="s">
        <v>68</v>
      </c>
      <c r="BE332" s="3" t="s">
        <v>3020</v>
      </c>
      <c r="BF332" s="3" t="s">
        <v>3019</v>
      </c>
      <c r="BG332" s="3" t="s">
        <v>3021</v>
      </c>
    </row>
    <row r="333" spans="1:59" ht="57" x14ac:dyDescent="0.45">
      <c r="A333" s="2" t="s">
        <v>59</v>
      </c>
      <c r="B333" s="2" t="s">
        <v>60</v>
      </c>
      <c r="C333" s="2" t="s">
        <v>3022</v>
      </c>
      <c r="D333" s="2" t="s">
        <v>3023</v>
      </c>
      <c r="E333" s="2" t="s">
        <v>3024</v>
      </c>
      <c r="G333" s="3" t="s">
        <v>62</v>
      </c>
      <c r="I333" s="3" t="s">
        <v>62</v>
      </c>
      <c r="J333" s="3" t="s">
        <v>62</v>
      </c>
      <c r="K333" s="3" t="s">
        <v>63</v>
      </c>
      <c r="L333" s="2" t="s">
        <v>3025</v>
      </c>
      <c r="M333" s="2" t="s">
        <v>3026</v>
      </c>
      <c r="N333" s="3" t="s">
        <v>1155</v>
      </c>
      <c r="P333" s="3" t="s">
        <v>65</v>
      </c>
      <c r="Q333" s="2" t="s">
        <v>3027</v>
      </c>
      <c r="R333" s="3" t="s">
        <v>66</v>
      </c>
      <c r="S333" s="4">
        <v>1</v>
      </c>
      <c r="T333" s="4">
        <v>1</v>
      </c>
      <c r="U333" s="5" t="s">
        <v>3028</v>
      </c>
      <c r="V333" s="5" t="s">
        <v>3028</v>
      </c>
      <c r="W333" s="5" t="s">
        <v>67</v>
      </c>
      <c r="X333" s="5" t="s">
        <v>67</v>
      </c>
      <c r="Y333" s="4">
        <v>170</v>
      </c>
      <c r="Z333" s="4">
        <v>16</v>
      </c>
      <c r="AA333" s="4">
        <v>82</v>
      </c>
      <c r="AB333" s="4">
        <v>1</v>
      </c>
      <c r="AC333" s="4">
        <v>15</v>
      </c>
      <c r="AD333" s="4">
        <v>72</v>
      </c>
      <c r="AE333" s="4">
        <v>125</v>
      </c>
      <c r="AF333" s="4">
        <v>0</v>
      </c>
      <c r="AG333" s="4">
        <v>8</v>
      </c>
      <c r="AH333" s="4">
        <v>66</v>
      </c>
      <c r="AI333" s="4">
        <v>92</v>
      </c>
      <c r="AJ333" s="4">
        <v>12</v>
      </c>
      <c r="AK333" s="4">
        <v>24</v>
      </c>
      <c r="AL333" s="4">
        <v>41</v>
      </c>
      <c r="AM333" s="4">
        <v>50</v>
      </c>
      <c r="AN333" s="4">
        <v>0</v>
      </c>
      <c r="AO333" s="4">
        <v>0</v>
      </c>
      <c r="AP333" s="4">
        <v>12</v>
      </c>
      <c r="AQ333" s="4">
        <v>43</v>
      </c>
      <c r="AR333" s="3" t="s">
        <v>62</v>
      </c>
      <c r="AS333" s="3" t="s">
        <v>62</v>
      </c>
      <c r="AT333" s="3" t="s">
        <v>62</v>
      </c>
      <c r="AV333" s="6" t="str">
        <f>HYPERLINK("http://mcgill.on.worldcat.org/oclc/793221779","Catalog Record")</f>
        <v>Catalog Record</v>
      </c>
      <c r="AW333" s="6" t="str">
        <f>HYPERLINK("http://www.worldcat.org/oclc/793221779","WorldCat Record")</f>
        <v>WorldCat Record</v>
      </c>
      <c r="AX333" s="3" t="s">
        <v>3029</v>
      </c>
      <c r="AY333" s="3" t="s">
        <v>3030</v>
      </c>
      <c r="AZ333" s="3" t="s">
        <v>3031</v>
      </c>
      <c r="BA333" s="3" t="s">
        <v>3031</v>
      </c>
      <c r="BB333" s="3" t="s">
        <v>3032</v>
      </c>
      <c r="BC333" s="3" t="s">
        <v>142</v>
      </c>
      <c r="BD333" s="3" t="s">
        <v>68</v>
      </c>
      <c r="BE333" s="3" t="s">
        <v>3033</v>
      </c>
      <c r="BF333" s="3" t="s">
        <v>3032</v>
      </c>
      <c r="BG333" s="3" t="s">
        <v>3034</v>
      </c>
    </row>
    <row r="334" spans="1:59" ht="57" x14ac:dyDescent="0.45">
      <c r="A334" s="2" t="s">
        <v>59</v>
      </c>
      <c r="B334" s="2" t="s">
        <v>60</v>
      </c>
      <c r="C334" s="2" t="s">
        <v>3035</v>
      </c>
      <c r="D334" s="2" t="s">
        <v>3036</v>
      </c>
      <c r="E334" s="2" t="s">
        <v>3037</v>
      </c>
      <c r="G334" s="3" t="s">
        <v>62</v>
      </c>
      <c r="I334" s="3" t="s">
        <v>62</v>
      </c>
      <c r="J334" s="3" t="s">
        <v>62</v>
      </c>
      <c r="K334" s="3" t="s">
        <v>63</v>
      </c>
      <c r="L334" s="2" t="s">
        <v>3038</v>
      </c>
      <c r="M334" s="2" t="s">
        <v>3039</v>
      </c>
      <c r="N334" s="3" t="s">
        <v>149</v>
      </c>
      <c r="P334" s="3" t="s">
        <v>65</v>
      </c>
      <c r="Q334" s="2" t="s">
        <v>3040</v>
      </c>
      <c r="R334" s="3" t="s">
        <v>66</v>
      </c>
      <c r="S334" s="4">
        <v>1</v>
      </c>
      <c r="T334" s="4">
        <v>1</v>
      </c>
      <c r="U334" s="5" t="s">
        <v>3041</v>
      </c>
      <c r="V334" s="5" t="s">
        <v>3041</v>
      </c>
      <c r="W334" s="5" t="s">
        <v>67</v>
      </c>
      <c r="X334" s="5" t="s">
        <v>67</v>
      </c>
      <c r="Y334" s="4">
        <v>115</v>
      </c>
      <c r="Z334" s="4">
        <v>15</v>
      </c>
      <c r="AA334" s="4">
        <v>15</v>
      </c>
      <c r="AB334" s="4">
        <v>1</v>
      </c>
      <c r="AC334" s="4">
        <v>1</v>
      </c>
      <c r="AD334" s="4">
        <v>62</v>
      </c>
      <c r="AE334" s="4">
        <v>62</v>
      </c>
      <c r="AF334" s="4">
        <v>0</v>
      </c>
      <c r="AG334" s="4">
        <v>0</v>
      </c>
      <c r="AH334" s="4">
        <v>58</v>
      </c>
      <c r="AI334" s="4">
        <v>58</v>
      </c>
      <c r="AJ334" s="4">
        <v>10</v>
      </c>
      <c r="AK334" s="4">
        <v>10</v>
      </c>
      <c r="AL334" s="4">
        <v>34</v>
      </c>
      <c r="AM334" s="4">
        <v>34</v>
      </c>
      <c r="AN334" s="4">
        <v>0</v>
      </c>
      <c r="AO334" s="4">
        <v>0</v>
      </c>
      <c r="AP334" s="4">
        <v>11</v>
      </c>
      <c r="AQ334" s="4">
        <v>11</v>
      </c>
      <c r="AR334" s="3" t="s">
        <v>62</v>
      </c>
      <c r="AS334" s="3" t="s">
        <v>62</v>
      </c>
      <c r="AT334" s="3" t="s">
        <v>62</v>
      </c>
      <c r="AV334" s="6" t="str">
        <f>HYPERLINK("http://mcgill.on.worldcat.org/oclc/429475521","Catalog Record")</f>
        <v>Catalog Record</v>
      </c>
      <c r="AW334" s="6" t="str">
        <f>HYPERLINK("http://www.worldcat.org/oclc/429475521","WorldCat Record")</f>
        <v>WorldCat Record</v>
      </c>
      <c r="AX334" s="3" t="s">
        <v>3042</v>
      </c>
      <c r="AY334" s="3" t="s">
        <v>3043</v>
      </c>
      <c r="AZ334" s="3" t="s">
        <v>3044</v>
      </c>
      <c r="BA334" s="3" t="s">
        <v>3044</v>
      </c>
      <c r="BB334" s="3" t="s">
        <v>3045</v>
      </c>
      <c r="BC334" s="3" t="s">
        <v>142</v>
      </c>
      <c r="BD334" s="3" t="s">
        <v>68</v>
      </c>
      <c r="BE334" s="3" t="s">
        <v>3046</v>
      </c>
      <c r="BF334" s="3" t="s">
        <v>3045</v>
      </c>
      <c r="BG334" s="3" t="s">
        <v>3047</v>
      </c>
    </row>
    <row r="335" spans="1:59" ht="57" x14ac:dyDescent="0.45">
      <c r="A335" s="2" t="s">
        <v>59</v>
      </c>
      <c r="B335" s="2" t="s">
        <v>60</v>
      </c>
      <c r="C335" s="2" t="s">
        <v>3048</v>
      </c>
      <c r="D335" s="2" t="s">
        <v>3049</v>
      </c>
      <c r="E335" s="2" t="s">
        <v>3050</v>
      </c>
      <c r="G335" s="3" t="s">
        <v>62</v>
      </c>
      <c r="I335" s="3" t="s">
        <v>62</v>
      </c>
      <c r="J335" s="3" t="s">
        <v>62</v>
      </c>
      <c r="K335" s="3" t="s">
        <v>63</v>
      </c>
      <c r="L335" s="2" t="s">
        <v>3051</v>
      </c>
      <c r="M335" s="2" t="s">
        <v>3052</v>
      </c>
      <c r="N335" s="3" t="s">
        <v>149</v>
      </c>
      <c r="P335" s="3" t="s">
        <v>65</v>
      </c>
      <c r="Q335" s="2" t="s">
        <v>3053</v>
      </c>
      <c r="R335" s="3" t="s">
        <v>66</v>
      </c>
      <c r="S335" s="4">
        <v>0</v>
      </c>
      <c r="T335" s="4">
        <v>0</v>
      </c>
      <c r="W335" s="5" t="s">
        <v>67</v>
      </c>
      <c r="X335" s="5" t="s">
        <v>67</v>
      </c>
      <c r="Y335" s="4">
        <v>124</v>
      </c>
      <c r="Z335" s="4">
        <v>15</v>
      </c>
      <c r="AA335" s="4">
        <v>19</v>
      </c>
      <c r="AB335" s="4">
        <v>1</v>
      </c>
      <c r="AC335" s="4">
        <v>4</v>
      </c>
      <c r="AD335" s="4">
        <v>65</v>
      </c>
      <c r="AE335" s="4">
        <v>68</v>
      </c>
      <c r="AF335" s="4">
        <v>0</v>
      </c>
      <c r="AG335" s="4">
        <v>1</v>
      </c>
      <c r="AH335" s="4">
        <v>62</v>
      </c>
      <c r="AI335" s="4">
        <v>64</v>
      </c>
      <c r="AJ335" s="4">
        <v>11</v>
      </c>
      <c r="AK335" s="4">
        <v>13</v>
      </c>
      <c r="AL335" s="4">
        <v>34</v>
      </c>
      <c r="AM335" s="4">
        <v>34</v>
      </c>
      <c r="AN335" s="4">
        <v>0</v>
      </c>
      <c r="AO335" s="4">
        <v>0</v>
      </c>
      <c r="AP335" s="4">
        <v>12</v>
      </c>
      <c r="AQ335" s="4">
        <v>14</v>
      </c>
      <c r="AR335" s="3" t="s">
        <v>62</v>
      </c>
      <c r="AS335" s="3" t="s">
        <v>62</v>
      </c>
      <c r="AT335" s="3" t="s">
        <v>62</v>
      </c>
      <c r="AV335" s="6" t="str">
        <f>HYPERLINK("http://mcgill.on.worldcat.org/oclc/318873494","Catalog Record")</f>
        <v>Catalog Record</v>
      </c>
      <c r="AW335" s="6" t="str">
        <f>HYPERLINK("http://www.worldcat.org/oclc/318873494","WorldCat Record")</f>
        <v>WorldCat Record</v>
      </c>
      <c r="AX335" s="3" t="s">
        <v>3054</v>
      </c>
      <c r="AY335" s="3" t="s">
        <v>3055</v>
      </c>
      <c r="AZ335" s="3" t="s">
        <v>3056</v>
      </c>
      <c r="BA335" s="3" t="s">
        <v>3056</v>
      </c>
      <c r="BB335" s="3" t="s">
        <v>3057</v>
      </c>
      <c r="BC335" s="3" t="s">
        <v>142</v>
      </c>
      <c r="BD335" s="3" t="s">
        <v>68</v>
      </c>
      <c r="BE335" s="3" t="s">
        <v>3058</v>
      </c>
      <c r="BF335" s="3" t="s">
        <v>3057</v>
      </c>
      <c r="BG335" s="3" t="s">
        <v>3059</v>
      </c>
    </row>
    <row r="336" spans="1:59" ht="57" x14ac:dyDescent="0.45">
      <c r="A336" s="2" t="s">
        <v>59</v>
      </c>
      <c r="B336" s="2" t="s">
        <v>60</v>
      </c>
      <c r="C336" s="2" t="s">
        <v>3060</v>
      </c>
      <c r="D336" s="2" t="s">
        <v>3061</v>
      </c>
      <c r="E336" s="2" t="s">
        <v>3062</v>
      </c>
      <c r="G336" s="3" t="s">
        <v>62</v>
      </c>
      <c r="I336" s="3" t="s">
        <v>62</v>
      </c>
      <c r="J336" s="3" t="s">
        <v>62</v>
      </c>
      <c r="K336" s="3" t="s">
        <v>63</v>
      </c>
      <c r="M336" s="2" t="s">
        <v>3063</v>
      </c>
      <c r="N336" s="3" t="s">
        <v>970</v>
      </c>
      <c r="P336" s="3" t="s">
        <v>65</v>
      </c>
      <c r="R336" s="3" t="s">
        <v>66</v>
      </c>
      <c r="S336" s="4">
        <v>3</v>
      </c>
      <c r="T336" s="4">
        <v>3</v>
      </c>
      <c r="U336" s="5" t="s">
        <v>3064</v>
      </c>
      <c r="V336" s="5" t="s">
        <v>3064</v>
      </c>
      <c r="W336" s="5" t="s">
        <v>67</v>
      </c>
      <c r="X336" s="5" t="s">
        <v>67</v>
      </c>
      <c r="Y336" s="4">
        <v>248</v>
      </c>
      <c r="Z336" s="4">
        <v>23</v>
      </c>
      <c r="AA336" s="4">
        <v>25</v>
      </c>
      <c r="AB336" s="4">
        <v>3</v>
      </c>
      <c r="AC336" s="4">
        <v>5</v>
      </c>
      <c r="AD336" s="4">
        <v>102</v>
      </c>
      <c r="AE336" s="4">
        <v>104</v>
      </c>
      <c r="AF336" s="4">
        <v>1</v>
      </c>
      <c r="AG336" s="4">
        <v>3</v>
      </c>
      <c r="AH336" s="4">
        <v>92</v>
      </c>
      <c r="AI336" s="4">
        <v>93</v>
      </c>
      <c r="AJ336" s="4">
        <v>17</v>
      </c>
      <c r="AK336" s="4">
        <v>19</v>
      </c>
      <c r="AL336" s="4">
        <v>51</v>
      </c>
      <c r="AM336" s="4">
        <v>51</v>
      </c>
      <c r="AN336" s="4">
        <v>0</v>
      </c>
      <c r="AO336" s="4">
        <v>0</v>
      </c>
      <c r="AP336" s="4">
        <v>18</v>
      </c>
      <c r="AQ336" s="4">
        <v>19</v>
      </c>
      <c r="AR336" s="3" t="s">
        <v>62</v>
      </c>
      <c r="AS336" s="3" t="s">
        <v>62</v>
      </c>
      <c r="AT336" s="3" t="s">
        <v>61</v>
      </c>
      <c r="AU336" s="6" t="str">
        <f>HYPERLINK("http://catalog.hathitrust.org/Record/004246088","HathiTrust Record")</f>
        <v>HathiTrust Record</v>
      </c>
      <c r="AV336" s="6" t="str">
        <f>HYPERLINK("http://mcgill.on.worldcat.org/oclc/47863191","Catalog Record")</f>
        <v>Catalog Record</v>
      </c>
      <c r="AW336" s="6" t="str">
        <f>HYPERLINK("http://www.worldcat.org/oclc/47863191","WorldCat Record")</f>
        <v>WorldCat Record</v>
      </c>
      <c r="AX336" s="3" t="s">
        <v>3065</v>
      </c>
      <c r="AY336" s="3" t="s">
        <v>3066</v>
      </c>
      <c r="AZ336" s="3" t="s">
        <v>3067</v>
      </c>
      <c r="BA336" s="3" t="s">
        <v>3067</v>
      </c>
      <c r="BB336" s="3" t="s">
        <v>3068</v>
      </c>
      <c r="BC336" s="3" t="s">
        <v>142</v>
      </c>
      <c r="BD336" s="3" t="s">
        <v>68</v>
      </c>
      <c r="BE336" s="3" t="s">
        <v>3069</v>
      </c>
      <c r="BF336" s="3" t="s">
        <v>3068</v>
      </c>
      <c r="BG336" s="3" t="s">
        <v>3070</v>
      </c>
    </row>
    <row r="337" spans="1:59" ht="57" x14ac:dyDescent="0.45">
      <c r="A337" s="2" t="s">
        <v>59</v>
      </c>
      <c r="B337" s="2" t="s">
        <v>60</v>
      </c>
      <c r="C337" s="2" t="s">
        <v>3071</v>
      </c>
      <c r="D337" s="2" t="s">
        <v>3072</v>
      </c>
      <c r="E337" s="2" t="s">
        <v>3073</v>
      </c>
      <c r="G337" s="3" t="s">
        <v>62</v>
      </c>
      <c r="I337" s="3" t="s">
        <v>62</v>
      </c>
      <c r="J337" s="3" t="s">
        <v>62</v>
      </c>
      <c r="K337" s="3" t="s">
        <v>63</v>
      </c>
      <c r="L337" s="2" t="s">
        <v>3074</v>
      </c>
      <c r="M337" s="2" t="s">
        <v>3075</v>
      </c>
      <c r="N337" s="3" t="s">
        <v>1465</v>
      </c>
      <c r="O337" s="2" t="s">
        <v>168</v>
      </c>
      <c r="P337" s="3" t="s">
        <v>65</v>
      </c>
      <c r="Q337" s="2" t="s">
        <v>3076</v>
      </c>
      <c r="R337" s="3" t="s">
        <v>66</v>
      </c>
      <c r="S337" s="4">
        <v>3</v>
      </c>
      <c r="T337" s="4">
        <v>3</v>
      </c>
      <c r="U337" s="5" t="s">
        <v>3077</v>
      </c>
      <c r="V337" s="5" t="s">
        <v>3077</v>
      </c>
      <c r="W337" s="5" t="s">
        <v>67</v>
      </c>
      <c r="X337" s="5" t="s">
        <v>67</v>
      </c>
      <c r="Y337" s="4">
        <v>183</v>
      </c>
      <c r="Z337" s="4">
        <v>19</v>
      </c>
      <c r="AA337" s="4">
        <v>57</v>
      </c>
      <c r="AB337" s="4">
        <v>2</v>
      </c>
      <c r="AC337" s="4">
        <v>17</v>
      </c>
      <c r="AD337" s="4">
        <v>82</v>
      </c>
      <c r="AE337" s="4">
        <v>119</v>
      </c>
      <c r="AF337" s="4">
        <v>1</v>
      </c>
      <c r="AG337" s="4">
        <v>8</v>
      </c>
      <c r="AH337" s="4">
        <v>73</v>
      </c>
      <c r="AI337" s="4">
        <v>84</v>
      </c>
      <c r="AJ337" s="4">
        <v>12</v>
      </c>
      <c r="AK337" s="4">
        <v>20</v>
      </c>
      <c r="AL337" s="4">
        <v>39</v>
      </c>
      <c r="AM337" s="4">
        <v>43</v>
      </c>
      <c r="AN337" s="4">
        <v>0</v>
      </c>
      <c r="AO337" s="4">
        <v>0</v>
      </c>
      <c r="AP337" s="4">
        <v>16</v>
      </c>
      <c r="AQ337" s="4">
        <v>44</v>
      </c>
      <c r="AR337" s="3" t="s">
        <v>62</v>
      </c>
      <c r="AS337" s="3" t="s">
        <v>62</v>
      </c>
      <c r="AT337" s="3" t="s">
        <v>62</v>
      </c>
      <c r="AV337" s="6" t="str">
        <f>HYPERLINK("http://mcgill.on.worldcat.org/oclc/217263558","Catalog Record")</f>
        <v>Catalog Record</v>
      </c>
      <c r="AW337" s="6" t="str">
        <f>HYPERLINK("http://www.worldcat.org/oclc/217263558","WorldCat Record")</f>
        <v>WorldCat Record</v>
      </c>
      <c r="AX337" s="3" t="s">
        <v>3078</v>
      </c>
      <c r="AY337" s="3" t="s">
        <v>3079</v>
      </c>
      <c r="AZ337" s="3" t="s">
        <v>3080</v>
      </c>
      <c r="BA337" s="3" t="s">
        <v>3080</v>
      </c>
      <c r="BB337" s="3" t="s">
        <v>3081</v>
      </c>
      <c r="BC337" s="3" t="s">
        <v>142</v>
      </c>
      <c r="BD337" s="3" t="s">
        <v>68</v>
      </c>
      <c r="BE337" s="3" t="s">
        <v>3082</v>
      </c>
      <c r="BF337" s="3" t="s">
        <v>3081</v>
      </c>
      <c r="BG337" s="3" t="s">
        <v>3083</v>
      </c>
    </row>
    <row r="338" spans="1:59" ht="57" x14ac:dyDescent="0.45">
      <c r="A338" s="2" t="s">
        <v>59</v>
      </c>
      <c r="B338" s="2" t="s">
        <v>60</v>
      </c>
      <c r="C338" s="2" t="s">
        <v>3084</v>
      </c>
      <c r="D338" s="2" t="s">
        <v>3085</v>
      </c>
      <c r="E338" s="2" t="s">
        <v>3086</v>
      </c>
      <c r="G338" s="3" t="s">
        <v>62</v>
      </c>
      <c r="I338" s="3" t="s">
        <v>62</v>
      </c>
      <c r="J338" s="3" t="s">
        <v>62</v>
      </c>
      <c r="K338" s="3" t="s">
        <v>63</v>
      </c>
      <c r="M338" s="2" t="s">
        <v>3087</v>
      </c>
      <c r="N338" s="3" t="s">
        <v>542</v>
      </c>
      <c r="P338" s="3" t="s">
        <v>65</v>
      </c>
      <c r="R338" s="3" t="s">
        <v>66</v>
      </c>
      <c r="S338" s="4">
        <v>11</v>
      </c>
      <c r="T338" s="4">
        <v>11</v>
      </c>
      <c r="U338" s="5" t="s">
        <v>531</v>
      </c>
      <c r="V338" s="5" t="s">
        <v>531</v>
      </c>
      <c r="W338" s="5" t="s">
        <v>67</v>
      </c>
      <c r="X338" s="5" t="s">
        <v>67</v>
      </c>
      <c r="Y338" s="4">
        <v>191</v>
      </c>
      <c r="Z338" s="4">
        <v>10</v>
      </c>
      <c r="AA338" s="4">
        <v>95</v>
      </c>
      <c r="AB338" s="4">
        <v>1</v>
      </c>
      <c r="AC338" s="4">
        <v>17</v>
      </c>
      <c r="AD338" s="4">
        <v>54</v>
      </c>
      <c r="AE338" s="4">
        <v>122</v>
      </c>
      <c r="AF338" s="4">
        <v>0</v>
      </c>
      <c r="AG338" s="4">
        <v>8</v>
      </c>
      <c r="AH338" s="4">
        <v>49</v>
      </c>
      <c r="AI338" s="4">
        <v>85</v>
      </c>
      <c r="AJ338" s="4">
        <v>6</v>
      </c>
      <c r="AK338" s="4">
        <v>21</v>
      </c>
      <c r="AL338" s="4">
        <v>34</v>
      </c>
      <c r="AM338" s="4">
        <v>46</v>
      </c>
      <c r="AN338" s="4">
        <v>0</v>
      </c>
      <c r="AO338" s="4">
        <v>0</v>
      </c>
      <c r="AP338" s="4">
        <v>7</v>
      </c>
      <c r="AQ338" s="4">
        <v>44</v>
      </c>
      <c r="AR338" s="3" t="s">
        <v>62</v>
      </c>
      <c r="AS338" s="3" t="s">
        <v>62</v>
      </c>
      <c r="AT338" s="3" t="s">
        <v>62</v>
      </c>
      <c r="AV338" s="6" t="str">
        <f>HYPERLINK("http://mcgill.on.worldcat.org/oclc/44162453","Catalog Record")</f>
        <v>Catalog Record</v>
      </c>
      <c r="AW338" s="6" t="str">
        <f>HYPERLINK("http://www.worldcat.org/oclc/44162453","WorldCat Record")</f>
        <v>WorldCat Record</v>
      </c>
      <c r="AX338" s="3" t="s">
        <v>3088</v>
      </c>
      <c r="AY338" s="3" t="s">
        <v>3089</v>
      </c>
      <c r="AZ338" s="3" t="s">
        <v>3090</v>
      </c>
      <c r="BA338" s="3" t="s">
        <v>3090</v>
      </c>
      <c r="BB338" s="3" t="s">
        <v>3091</v>
      </c>
      <c r="BC338" s="3" t="s">
        <v>142</v>
      </c>
      <c r="BD338" s="3" t="s">
        <v>68</v>
      </c>
      <c r="BE338" s="3" t="s">
        <v>3092</v>
      </c>
      <c r="BF338" s="3" t="s">
        <v>3091</v>
      </c>
      <c r="BG338" s="3" t="s">
        <v>3093</v>
      </c>
    </row>
    <row r="339" spans="1:59" ht="57" x14ac:dyDescent="0.45">
      <c r="A339" s="2" t="s">
        <v>59</v>
      </c>
      <c r="B339" s="2" t="s">
        <v>60</v>
      </c>
      <c r="C339" s="2" t="s">
        <v>3094</v>
      </c>
      <c r="D339" s="2" t="s">
        <v>3095</v>
      </c>
      <c r="E339" s="2" t="s">
        <v>3096</v>
      </c>
      <c r="G339" s="3" t="s">
        <v>62</v>
      </c>
      <c r="I339" s="3" t="s">
        <v>62</v>
      </c>
      <c r="J339" s="3" t="s">
        <v>62</v>
      </c>
      <c r="K339" s="3" t="s">
        <v>63</v>
      </c>
      <c r="L339" s="2" t="s">
        <v>3097</v>
      </c>
      <c r="M339" s="2" t="s">
        <v>3098</v>
      </c>
      <c r="N339" s="3" t="s">
        <v>1097</v>
      </c>
      <c r="P339" s="3" t="s">
        <v>65</v>
      </c>
      <c r="Q339" s="2" t="s">
        <v>3099</v>
      </c>
      <c r="R339" s="3" t="s">
        <v>66</v>
      </c>
      <c r="S339" s="4">
        <v>6</v>
      </c>
      <c r="T339" s="4">
        <v>6</v>
      </c>
      <c r="U339" s="5" t="s">
        <v>531</v>
      </c>
      <c r="V339" s="5" t="s">
        <v>531</v>
      </c>
      <c r="W339" s="5" t="s">
        <v>67</v>
      </c>
      <c r="X339" s="5" t="s">
        <v>67</v>
      </c>
      <c r="Y339" s="4">
        <v>56</v>
      </c>
      <c r="Z339" s="4">
        <v>4</v>
      </c>
      <c r="AA339" s="4">
        <v>5</v>
      </c>
      <c r="AB339" s="4">
        <v>1</v>
      </c>
      <c r="AC339" s="4">
        <v>2</v>
      </c>
      <c r="AD339" s="4">
        <v>18</v>
      </c>
      <c r="AE339" s="4">
        <v>19</v>
      </c>
      <c r="AF339" s="4">
        <v>0</v>
      </c>
      <c r="AG339" s="4">
        <v>1</v>
      </c>
      <c r="AH339" s="4">
        <v>18</v>
      </c>
      <c r="AI339" s="4">
        <v>18</v>
      </c>
      <c r="AJ339" s="4">
        <v>1</v>
      </c>
      <c r="AK339" s="4">
        <v>2</v>
      </c>
      <c r="AL339" s="4">
        <v>16</v>
      </c>
      <c r="AM339" s="4">
        <v>16</v>
      </c>
      <c r="AN339" s="4">
        <v>0</v>
      </c>
      <c r="AO339" s="4">
        <v>0</v>
      </c>
      <c r="AP339" s="4">
        <v>2</v>
      </c>
      <c r="AQ339" s="4">
        <v>3</v>
      </c>
      <c r="AR339" s="3" t="s">
        <v>62</v>
      </c>
      <c r="AS339" s="3" t="s">
        <v>62</v>
      </c>
      <c r="AT339" s="3" t="s">
        <v>62</v>
      </c>
      <c r="AV339" s="6" t="str">
        <f>HYPERLINK("http://mcgill.on.worldcat.org/oclc/56318579","Catalog Record")</f>
        <v>Catalog Record</v>
      </c>
      <c r="AW339" s="6" t="str">
        <f>HYPERLINK("http://www.worldcat.org/oclc/56318579","WorldCat Record")</f>
        <v>WorldCat Record</v>
      </c>
      <c r="AX339" s="3" t="s">
        <v>3100</v>
      </c>
      <c r="AY339" s="3" t="s">
        <v>3101</v>
      </c>
      <c r="AZ339" s="3" t="s">
        <v>3102</v>
      </c>
      <c r="BA339" s="3" t="s">
        <v>3102</v>
      </c>
      <c r="BB339" s="3" t="s">
        <v>3103</v>
      </c>
      <c r="BC339" s="3" t="s">
        <v>142</v>
      </c>
      <c r="BD339" s="3" t="s">
        <v>68</v>
      </c>
      <c r="BE339" s="3" t="s">
        <v>3104</v>
      </c>
      <c r="BF339" s="3" t="s">
        <v>3103</v>
      </c>
      <c r="BG339" s="3" t="s">
        <v>3105</v>
      </c>
    </row>
    <row r="340" spans="1:59" ht="57" x14ac:dyDescent="0.45">
      <c r="A340" s="2" t="s">
        <v>59</v>
      </c>
      <c r="B340" s="2" t="s">
        <v>60</v>
      </c>
      <c r="C340" s="2" t="s">
        <v>3106</v>
      </c>
      <c r="D340" s="2" t="s">
        <v>3107</v>
      </c>
      <c r="E340" s="2" t="s">
        <v>3108</v>
      </c>
      <c r="G340" s="3" t="s">
        <v>62</v>
      </c>
      <c r="I340" s="3" t="s">
        <v>62</v>
      </c>
      <c r="J340" s="3" t="s">
        <v>62</v>
      </c>
      <c r="K340" s="3" t="s">
        <v>63</v>
      </c>
      <c r="L340" s="2" t="s">
        <v>3109</v>
      </c>
      <c r="M340" s="2" t="s">
        <v>3110</v>
      </c>
      <c r="N340" s="3" t="s">
        <v>149</v>
      </c>
      <c r="P340" s="3" t="s">
        <v>65</v>
      </c>
      <c r="Q340" s="2" t="s">
        <v>3111</v>
      </c>
      <c r="R340" s="3" t="s">
        <v>66</v>
      </c>
      <c r="S340" s="4">
        <v>0</v>
      </c>
      <c r="T340" s="4">
        <v>0</v>
      </c>
      <c r="W340" s="5" t="s">
        <v>67</v>
      </c>
      <c r="X340" s="5" t="s">
        <v>67</v>
      </c>
      <c r="Y340" s="4">
        <v>39</v>
      </c>
      <c r="Z340" s="4">
        <v>10</v>
      </c>
      <c r="AA340" s="4">
        <v>10</v>
      </c>
      <c r="AB340" s="4">
        <v>1</v>
      </c>
      <c r="AC340" s="4">
        <v>1</v>
      </c>
      <c r="AD340" s="4">
        <v>24</v>
      </c>
      <c r="AE340" s="4">
        <v>24</v>
      </c>
      <c r="AF340" s="4">
        <v>0</v>
      </c>
      <c r="AG340" s="4">
        <v>0</v>
      </c>
      <c r="AH340" s="4">
        <v>22</v>
      </c>
      <c r="AI340" s="4">
        <v>22</v>
      </c>
      <c r="AJ340" s="4">
        <v>7</v>
      </c>
      <c r="AK340" s="4">
        <v>7</v>
      </c>
      <c r="AL340" s="4">
        <v>14</v>
      </c>
      <c r="AM340" s="4">
        <v>14</v>
      </c>
      <c r="AN340" s="4">
        <v>0</v>
      </c>
      <c r="AO340" s="4">
        <v>0</v>
      </c>
      <c r="AP340" s="4">
        <v>7</v>
      </c>
      <c r="AQ340" s="4">
        <v>7</v>
      </c>
      <c r="AR340" s="3" t="s">
        <v>62</v>
      </c>
      <c r="AS340" s="3" t="s">
        <v>62</v>
      </c>
      <c r="AT340" s="3" t="s">
        <v>62</v>
      </c>
      <c r="AV340" s="6" t="str">
        <f>HYPERLINK("http://mcgill.on.worldcat.org/oclc/535495813","Catalog Record")</f>
        <v>Catalog Record</v>
      </c>
      <c r="AW340" s="6" t="str">
        <f>HYPERLINK("http://www.worldcat.org/oclc/535495813","WorldCat Record")</f>
        <v>WorldCat Record</v>
      </c>
      <c r="AX340" s="3" t="s">
        <v>3112</v>
      </c>
      <c r="AY340" s="3" t="s">
        <v>3113</v>
      </c>
      <c r="AZ340" s="3" t="s">
        <v>3114</v>
      </c>
      <c r="BA340" s="3" t="s">
        <v>3114</v>
      </c>
      <c r="BB340" s="3" t="s">
        <v>3115</v>
      </c>
      <c r="BC340" s="3" t="s">
        <v>142</v>
      </c>
      <c r="BD340" s="3" t="s">
        <v>68</v>
      </c>
      <c r="BE340" s="3" t="s">
        <v>3116</v>
      </c>
      <c r="BF340" s="3" t="s">
        <v>3115</v>
      </c>
      <c r="BG340" s="3" t="s">
        <v>3117</v>
      </c>
    </row>
    <row r="341" spans="1:59" ht="57" x14ac:dyDescent="0.45">
      <c r="A341" s="2" t="s">
        <v>59</v>
      </c>
      <c r="B341" s="2" t="s">
        <v>60</v>
      </c>
      <c r="C341" s="2" t="s">
        <v>3118</v>
      </c>
      <c r="D341" s="2" t="s">
        <v>3119</v>
      </c>
      <c r="E341" s="2" t="s">
        <v>3120</v>
      </c>
      <c r="G341" s="3" t="s">
        <v>62</v>
      </c>
      <c r="I341" s="3" t="s">
        <v>62</v>
      </c>
      <c r="J341" s="3" t="s">
        <v>62</v>
      </c>
      <c r="K341" s="3" t="s">
        <v>63</v>
      </c>
      <c r="L341" s="2" t="s">
        <v>3121</v>
      </c>
      <c r="M341" s="2" t="s">
        <v>3122</v>
      </c>
      <c r="N341" s="3" t="s">
        <v>195</v>
      </c>
      <c r="O341" s="2" t="s">
        <v>3123</v>
      </c>
      <c r="P341" s="3" t="s">
        <v>110</v>
      </c>
      <c r="Q341" s="2" t="s">
        <v>3124</v>
      </c>
      <c r="R341" s="3" t="s">
        <v>66</v>
      </c>
      <c r="S341" s="4">
        <v>8</v>
      </c>
      <c r="T341" s="4">
        <v>8</v>
      </c>
      <c r="U341" s="5" t="s">
        <v>2173</v>
      </c>
      <c r="V341" s="5" t="s">
        <v>2173</v>
      </c>
      <c r="W341" s="5" t="s">
        <v>67</v>
      </c>
      <c r="X341" s="5" t="s">
        <v>67</v>
      </c>
      <c r="Y341" s="4">
        <v>71</v>
      </c>
      <c r="Z341" s="4">
        <v>10</v>
      </c>
      <c r="AA341" s="4">
        <v>24</v>
      </c>
      <c r="AB341" s="4">
        <v>2</v>
      </c>
      <c r="AC341" s="4">
        <v>10</v>
      </c>
      <c r="AD341" s="4">
        <v>18</v>
      </c>
      <c r="AE341" s="4">
        <v>26</v>
      </c>
      <c r="AF341" s="4">
        <v>1</v>
      </c>
      <c r="AG341" s="4">
        <v>5</v>
      </c>
      <c r="AH341" s="4">
        <v>12</v>
      </c>
      <c r="AI341" s="4">
        <v>15</v>
      </c>
      <c r="AJ341" s="4">
        <v>6</v>
      </c>
      <c r="AK341" s="4">
        <v>11</v>
      </c>
      <c r="AL341" s="4">
        <v>9</v>
      </c>
      <c r="AM341" s="4">
        <v>10</v>
      </c>
      <c r="AN341" s="4">
        <v>0</v>
      </c>
      <c r="AO341" s="4">
        <v>0</v>
      </c>
      <c r="AP341" s="4">
        <v>8</v>
      </c>
      <c r="AQ341" s="4">
        <v>13</v>
      </c>
      <c r="AR341" s="3" t="s">
        <v>62</v>
      </c>
      <c r="AS341" s="3" t="s">
        <v>62</v>
      </c>
      <c r="AT341" s="3" t="s">
        <v>62</v>
      </c>
      <c r="AV341" s="6" t="str">
        <f>HYPERLINK("http://mcgill.on.worldcat.org/oclc/27730017","Catalog Record")</f>
        <v>Catalog Record</v>
      </c>
      <c r="AW341" s="6" t="str">
        <f>HYPERLINK("http://www.worldcat.org/oclc/27730017","WorldCat Record")</f>
        <v>WorldCat Record</v>
      </c>
      <c r="AX341" s="3" t="s">
        <v>3125</v>
      </c>
      <c r="AY341" s="3" t="s">
        <v>3126</v>
      </c>
      <c r="AZ341" s="3" t="s">
        <v>3127</v>
      </c>
      <c r="BA341" s="3" t="s">
        <v>3127</v>
      </c>
      <c r="BB341" s="3" t="s">
        <v>3128</v>
      </c>
      <c r="BC341" s="3" t="s">
        <v>142</v>
      </c>
      <c r="BD341" s="3" t="s">
        <v>68</v>
      </c>
      <c r="BE341" s="3" t="s">
        <v>3129</v>
      </c>
      <c r="BF341" s="3" t="s">
        <v>3128</v>
      </c>
      <c r="BG341" s="3" t="s">
        <v>3130</v>
      </c>
    </row>
    <row r="342" spans="1:59" ht="57" x14ac:dyDescent="0.45">
      <c r="A342" s="2" t="s">
        <v>59</v>
      </c>
      <c r="B342" s="2" t="s">
        <v>60</v>
      </c>
      <c r="C342" s="2" t="s">
        <v>3131</v>
      </c>
      <c r="D342" s="2" t="s">
        <v>3132</v>
      </c>
      <c r="E342" s="2" t="s">
        <v>3133</v>
      </c>
      <c r="G342" s="3" t="s">
        <v>62</v>
      </c>
      <c r="I342" s="3" t="s">
        <v>62</v>
      </c>
      <c r="J342" s="3" t="s">
        <v>62</v>
      </c>
      <c r="K342" s="3" t="s">
        <v>63</v>
      </c>
      <c r="L342" s="2" t="s">
        <v>3134</v>
      </c>
      <c r="M342" s="2" t="s">
        <v>3135</v>
      </c>
      <c r="N342" s="3" t="s">
        <v>945</v>
      </c>
      <c r="P342" s="3" t="s">
        <v>65</v>
      </c>
      <c r="Q342" s="2" t="s">
        <v>3136</v>
      </c>
      <c r="R342" s="3" t="s">
        <v>66</v>
      </c>
      <c r="S342" s="4">
        <v>4</v>
      </c>
      <c r="T342" s="4">
        <v>4</v>
      </c>
      <c r="U342" s="5" t="s">
        <v>3137</v>
      </c>
      <c r="V342" s="5" t="s">
        <v>3137</v>
      </c>
      <c r="W342" s="5" t="s">
        <v>67</v>
      </c>
      <c r="X342" s="5" t="s">
        <v>67</v>
      </c>
      <c r="Y342" s="4">
        <v>315</v>
      </c>
      <c r="Z342" s="4">
        <v>19</v>
      </c>
      <c r="AA342" s="4">
        <v>99</v>
      </c>
      <c r="AB342" s="4">
        <v>2</v>
      </c>
      <c r="AC342" s="4">
        <v>18</v>
      </c>
      <c r="AD342" s="4">
        <v>102</v>
      </c>
      <c r="AE342" s="4">
        <v>151</v>
      </c>
      <c r="AF342" s="4">
        <v>1</v>
      </c>
      <c r="AG342" s="4">
        <v>9</v>
      </c>
      <c r="AH342" s="4">
        <v>96</v>
      </c>
      <c r="AI342" s="4">
        <v>105</v>
      </c>
      <c r="AJ342" s="4">
        <v>13</v>
      </c>
      <c r="AK342" s="4">
        <v>26</v>
      </c>
      <c r="AL342" s="4">
        <v>55</v>
      </c>
      <c r="AM342" s="4">
        <v>58</v>
      </c>
      <c r="AN342" s="4">
        <v>0</v>
      </c>
      <c r="AO342" s="4">
        <v>0</v>
      </c>
      <c r="AP342" s="4">
        <v>14</v>
      </c>
      <c r="AQ342" s="4">
        <v>54</v>
      </c>
      <c r="AR342" s="3" t="s">
        <v>62</v>
      </c>
      <c r="AS342" s="3" t="s">
        <v>62</v>
      </c>
      <c r="AT342" s="3" t="s">
        <v>62</v>
      </c>
      <c r="AV342" s="6" t="str">
        <f>HYPERLINK("http://mcgill.on.worldcat.org/oclc/71347505","Catalog Record")</f>
        <v>Catalog Record</v>
      </c>
      <c r="AW342" s="6" t="str">
        <f>HYPERLINK("http://www.worldcat.org/oclc/71347505","WorldCat Record")</f>
        <v>WorldCat Record</v>
      </c>
      <c r="AX342" s="3" t="s">
        <v>3138</v>
      </c>
      <c r="AY342" s="3" t="s">
        <v>3139</v>
      </c>
      <c r="AZ342" s="3" t="s">
        <v>3140</v>
      </c>
      <c r="BA342" s="3" t="s">
        <v>3140</v>
      </c>
      <c r="BB342" s="3" t="s">
        <v>3141</v>
      </c>
      <c r="BC342" s="3" t="s">
        <v>142</v>
      </c>
      <c r="BD342" s="3" t="s">
        <v>68</v>
      </c>
      <c r="BE342" s="3" t="s">
        <v>3142</v>
      </c>
      <c r="BF342" s="3" t="s">
        <v>3141</v>
      </c>
      <c r="BG342" s="3" t="s">
        <v>3143</v>
      </c>
    </row>
    <row r="343" spans="1:59" ht="57" x14ac:dyDescent="0.45">
      <c r="A343" s="2" t="s">
        <v>59</v>
      </c>
      <c r="B343" s="2" t="s">
        <v>60</v>
      </c>
      <c r="C343" s="2" t="s">
        <v>3144</v>
      </c>
      <c r="D343" s="2" t="s">
        <v>3145</v>
      </c>
      <c r="E343" s="2" t="s">
        <v>3146</v>
      </c>
      <c r="G343" s="3" t="s">
        <v>62</v>
      </c>
      <c r="I343" s="3" t="s">
        <v>62</v>
      </c>
      <c r="J343" s="3" t="s">
        <v>62</v>
      </c>
      <c r="K343" s="3" t="s">
        <v>63</v>
      </c>
      <c r="M343" s="2" t="s">
        <v>3147</v>
      </c>
      <c r="N343" s="3" t="s">
        <v>568</v>
      </c>
      <c r="P343" s="3" t="s">
        <v>65</v>
      </c>
      <c r="Q343" s="2" t="s">
        <v>3148</v>
      </c>
      <c r="R343" s="3" t="s">
        <v>66</v>
      </c>
      <c r="S343" s="4">
        <v>16</v>
      </c>
      <c r="T343" s="4">
        <v>16</v>
      </c>
      <c r="U343" s="5" t="s">
        <v>3137</v>
      </c>
      <c r="V343" s="5" t="s">
        <v>3137</v>
      </c>
      <c r="W343" s="5" t="s">
        <v>67</v>
      </c>
      <c r="X343" s="5" t="s">
        <v>67</v>
      </c>
      <c r="Y343" s="4">
        <v>306</v>
      </c>
      <c r="Z343" s="4">
        <v>18</v>
      </c>
      <c r="AA343" s="4">
        <v>83</v>
      </c>
      <c r="AB343" s="4">
        <v>2</v>
      </c>
      <c r="AC343" s="4">
        <v>14</v>
      </c>
      <c r="AD343" s="4">
        <v>86</v>
      </c>
      <c r="AE343" s="4">
        <v>132</v>
      </c>
      <c r="AF343" s="4">
        <v>1</v>
      </c>
      <c r="AG343" s="4">
        <v>8</v>
      </c>
      <c r="AH343" s="4">
        <v>77</v>
      </c>
      <c r="AI343" s="4">
        <v>97</v>
      </c>
      <c r="AJ343" s="4">
        <v>12</v>
      </c>
      <c r="AK343" s="4">
        <v>23</v>
      </c>
      <c r="AL343" s="4">
        <v>44</v>
      </c>
      <c r="AM343" s="4">
        <v>53</v>
      </c>
      <c r="AN343" s="4">
        <v>0</v>
      </c>
      <c r="AO343" s="4">
        <v>0</v>
      </c>
      <c r="AP343" s="4">
        <v>14</v>
      </c>
      <c r="AQ343" s="4">
        <v>43</v>
      </c>
      <c r="AR343" s="3" t="s">
        <v>62</v>
      </c>
      <c r="AS343" s="3" t="s">
        <v>62</v>
      </c>
      <c r="AT343" s="3" t="s">
        <v>61</v>
      </c>
      <c r="AU343" s="6" t="str">
        <f>HYPERLINK("http://catalog.hathitrust.org/Record/000918204","HathiTrust Record")</f>
        <v>HathiTrust Record</v>
      </c>
      <c r="AV343" s="6" t="str">
        <f>HYPERLINK("http://mcgill.on.worldcat.org/oclc/16092075","Catalog Record")</f>
        <v>Catalog Record</v>
      </c>
      <c r="AW343" s="6" t="str">
        <f>HYPERLINK("http://www.worldcat.org/oclc/16092075","WorldCat Record")</f>
        <v>WorldCat Record</v>
      </c>
      <c r="AX343" s="3" t="s">
        <v>3149</v>
      </c>
      <c r="AY343" s="3" t="s">
        <v>3150</v>
      </c>
      <c r="AZ343" s="3" t="s">
        <v>3151</v>
      </c>
      <c r="BA343" s="3" t="s">
        <v>3151</v>
      </c>
      <c r="BB343" s="3" t="s">
        <v>3152</v>
      </c>
      <c r="BC343" s="3" t="s">
        <v>142</v>
      </c>
      <c r="BD343" s="3" t="s">
        <v>68</v>
      </c>
      <c r="BE343" s="3" t="s">
        <v>3153</v>
      </c>
      <c r="BF343" s="3" t="s">
        <v>3152</v>
      </c>
      <c r="BG343" s="3" t="s">
        <v>3154</v>
      </c>
    </row>
    <row r="344" spans="1:59" ht="57" x14ac:dyDescent="0.45">
      <c r="A344" s="2" t="s">
        <v>59</v>
      </c>
      <c r="B344" s="2" t="s">
        <v>412</v>
      </c>
      <c r="C344" s="2" t="s">
        <v>3155</v>
      </c>
      <c r="D344" s="2" t="s">
        <v>3156</v>
      </c>
      <c r="E344" s="2" t="s">
        <v>3157</v>
      </c>
      <c r="G344" s="3" t="s">
        <v>62</v>
      </c>
      <c r="I344" s="3" t="s">
        <v>62</v>
      </c>
      <c r="J344" s="3" t="s">
        <v>62</v>
      </c>
      <c r="K344" s="3" t="s">
        <v>63</v>
      </c>
      <c r="L344" s="2" t="s">
        <v>3158</v>
      </c>
      <c r="M344" s="2" t="s">
        <v>3159</v>
      </c>
      <c r="N344" s="3" t="s">
        <v>3160</v>
      </c>
      <c r="P344" s="3" t="s">
        <v>110</v>
      </c>
      <c r="Q344" s="2" t="s">
        <v>3161</v>
      </c>
      <c r="R344" s="3" t="s">
        <v>66</v>
      </c>
      <c r="S344" s="4">
        <v>3</v>
      </c>
      <c r="T344" s="4">
        <v>3</v>
      </c>
      <c r="U344" s="5" t="s">
        <v>3162</v>
      </c>
      <c r="V344" s="5" t="s">
        <v>3162</v>
      </c>
      <c r="W344" s="5" t="s">
        <v>67</v>
      </c>
      <c r="X344" s="5" t="s">
        <v>67</v>
      </c>
      <c r="Y344" s="4">
        <v>106</v>
      </c>
      <c r="Z344" s="4">
        <v>24</v>
      </c>
      <c r="AA344" s="4">
        <v>39</v>
      </c>
      <c r="AB344" s="4">
        <v>2</v>
      </c>
      <c r="AC344" s="4">
        <v>11</v>
      </c>
      <c r="AD344" s="4">
        <v>47</v>
      </c>
      <c r="AE344" s="4">
        <v>55</v>
      </c>
      <c r="AF344" s="4">
        <v>0</v>
      </c>
      <c r="AG344" s="4">
        <v>5</v>
      </c>
      <c r="AH344" s="4">
        <v>34</v>
      </c>
      <c r="AI344" s="4">
        <v>36</v>
      </c>
      <c r="AJ344" s="4">
        <v>13</v>
      </c>
      <c r="AK344" s="4">
        <v>18</v>
      </c>
      <c r="AL344" s="4">
        <v>22</v>
      </c>
      <c r="AM344" s="4">
        <v>22</v>
      </c>
      <c r="AN344" s="4">
        <v>0</v>
      </c>
      <c r="AO344" s="4">
        <v>0</v>
      </c>
      <c r="AP344" s="4">
        <v>19</v>
      </c>
      <c r="AQ344" s="4">
        <v>26</v>
      </c>
      <c r="AR344" s="3" t="s">
        <v>62</v>
      </c>
      <c r="AS344" s="3" t="s">
        <v>62</v>
      </c>
      <c r="AT344" s="3" t="s">
        <v>62</v>
      </c>
      <c r="AV344" s="6" t="str">
        <f>HYPERLINK("http://mcgill.on.worldcat.org/oclc/9291167","Catalog Record")</f>
        <v>Catalog Record</v>
      </c>
      <c r="AW344" s="6" t="str">
        <f>HYPERLINK("http://www.worldcat.org/oclc/9291167","WorldCat Record")</f>
        <v>WorldCat Record</v>
      </c>
      <c r="AX344" s="3" t="s">
        <v>3163</v>
      </c>
      <c r="AY344" s="3" t="s">
        <v>3164</v>
      </c>
      <c r="AZ344" s="3" t="s">
        <v>3165</v>
      </c>
      <c r="BA344" s="3" t="s">
        <v>3165</v>
      </c>
      <c r="BB344" s="3" t="s">
        <v>3166</v>
      </c>
      <c r="BC344" s="3" t="s">
        <v>142</v>
      </c>
      <c r="BD344" s="3" t="s">
        <v>68</v>
      </c>
      <c r="BE344" s="3" t="s">
        <v>3167</v>
      </c>
      <c r="BF344" s="3" t="s">
        <v>3166</v>
      </c>
      <c r="BG344" s="3" t="s">
        <v>3168</v>
      </c>
    </row>
    <row r="345" spans="1:59" ht="57" x14ac:dyDescent="0.45">
      <c r="A345" s="2" t="s">
        <v>59</v>
      </c>
      <c r="B345" s="2" t="s">
        <v>60</v>
      </c>
      <c r="C345" s="2" t="s">
        <v>3169</v>
      </c>
      <c r="D345" s="2" t="s">
        <v>3170</v>
      </c>
      <c r="E345" s="2" t="s">
        <v>3171</v>
      </c>
      <c r="G345" s="3" t="s">
        <v>62</v>
      </c>
      <c r="I345" s="3" t="s">
        <v>62</v>
      </c>
      <c r="J345" s="3" t="s">
        <v>62</v>
      </c>
      <c r="K345" s="3" t="s">
        <v>63</v>
      </c>
      <c r="M345" s="2" t="s">
        <v>3172</v>
      </c>
      <c r="N345" s="3" t="s">
        <v>149</v>
      </c>
      <c r="P345" s="3" t="s">
        <v>65</v>
      </c>
      <c r="R345" s="3" t="s">
        <v>66</v>
      </c>
      <c r="S345" s="4">
        <v>2</v>
      </c>
      <c r="T345" s="4">
        <v>2</v>
      </c>
      <c r="U345" s="5" t="s">
        <v>3173</v>
      </c>
      <c r="V345" s="5" t="s">
        <v>3173</v>
      </c>
      <c r="W345" s="5" t="s">
        <v>67</v>
      </c>
      <c r="X345" s="5" t="s">
        <v>67</v>
      </c>
      <c r="Y345" s="4">
        <v>59</v>
      </c>
      <c r="Z345" s="4">
        <v>11</v>
      </c>
      <c r="AA345" s="4">
        <v>12</v>
      </c>
      <c r="AB345" s="4">
        <v>1</v>
      </c>
      <c r="AC345" s="4">
        <v>2</v>
      </c>
      <c r="AD345" s="4">
        <v>28</v>
      </c>
      <c r="AE345" s="4">
        <v>29</v>
      </c>
      <c r="AF345" s="4">
        <v>0</v>
      </c>
      <c r="AG345" s="4">
        <v>1</v>
      </c>
      <c r="AH345" s="4">
        <v>23</v>
      </c>
      <c r="AI345" s="4">
        <v>23</v>
      </c>
      <c r="AJ345" s="4">
        <v>9</v>
      </c>
      <c r="AK345" s="4">
        <v>10</v>
      </c>
      <c r="AL345" s="4">
        <v>13</v>
      </c>
      <c r="AM345" s="4">
        <v>13</v>
      </c>
      <c r="AN345" s="4">
        <v>0</v>
      </c>
      <c r="AO345" s="4">
        <v>0</v>
      </c>
      <c r="AP345" s="4">
        <v>10</v>
      </c>
      <c r="AQ345" s="4">
        <v>11</v>
      </c>
      <c r="AR345" s="3" t="s">
        <v>62</v>
      </c>
      <c r="AS345" s="3" t="s">
        <v>62</v>
      </c>
      <c r="AT345" s="3" t="s">
        <v>62</v>
      </c>
      <c r="AV345" s="6" t="str">
        <f>HYPERLINK("http://mcgill.on.worldcat.org/oclc/498134805","Catalog Record")</f>
        <v>Catalog Record</v>
      </c>
      <c r="AW345" s="6" t="str">
        <f>HYPERLINK("http://www.worldcat.org/oclc/498134805","WorldCat Record")</f>
        <v>WorldCat Record</v>
      </c>
      <c r="AX345" s="3" t="s">
        <v>3174</v>
      </c>
      <c r="AY345" s="3" t="s">
        <v>3175</v>
      </c>
      <c r="AZ345" s="3" t="s">
        <v>3176</v>
      </c>
      <c r="BA345" s="3" t="s">
        <v>3176</v>
      </c>
      <c r="BB345" s="3" t="s">
        <v>3177</v>
      </c>
      <c r="BC345" s="3" t="s">
        <v>142</v>
      </c>
      <c r="BD345" s="3" t="s">
        <v>68</v>
      </c>
      <c r="BE345" s="3" t="s">
        <v>3178</v>
      </c>
      <c r="BF345" s="3" t="s">
        <v>3177</v>
      </c>
      <c r="BG345" s="3" t="s">
        <v>3179</v>
      </c>
    </row>
    <row r="346" spans="1:59" ht="57" x14ac:dyDescent="0.45">
      <c r="A346" s="2" t="s">
        <v>59</v>
      </c>
      <c r="B346" s="2" t="s">
        <v>60</v>
      </c>
      <c r="C346" s="2" t="s">
        <v>3180</v>
      </c>
      <c r="D346" s="2" t="s">
        <v>3181</v>
      </c>
      <c r="E346" s="2" t="s">
        <v>3182</v>
      </c>
      <c r="G346" s="3" t="s">
        <v>62</v>
      </c>
      <c r="I346" s="3" t="s">
        <v>62</v>
      </c>
      <c r="J346" s="3" t="s">
        <v>62</v>
      </c>
      <c r="K346" s="3" t="s">
        <v>63</v>
      </c>
      <c r="L346" s="2" t="s">
        <v>3183</v>
      </c>
      <c r="M346" s="2" t="s">
        <v>3184</v>
      </c>
      <c r="N346" s="3" t="s">
        <v>125</v>
      </c>
      <c r="P346" s="3" t="s">
        <v>65</v>
      </c>
      <c r="Q346" s="2" t="s">
        <v>3185</v>
      </c>
      <c r="R346" s="3" t="s">
        <v>66</v>
      </c>
      <c r="S346" s="4">
        <v>30</v>
      </c>
      <c r="T346" s="4">
        <v>30</v>
      </c>
      <c r="U346" s="5" t="s">
        <v>3186</v>
      </c>
      <c r="V346" s="5" t="s">
        <v>3186</v>
      </c>
      <c r="W346" s="5" t="s">
        <v>67</v>
      </c>
      <c r="X346" s="5" t="s">
        <v>67</v>
      </c>
      <c r="Y346" s="4">
        <v>204</v>
      </c>
      <c r="Z346" s="4">
        <v>17</v>
      </c>
      <c r="AA346" s="4">
        <v>100</v>
      </c>
      <c r="AB346" s="4">
        <v>1</v>
      </c>
      <c r="AC346" s="4">
        <v>19</v>
      </c>
      <c r="AD346" s="4">
        <v>49</v>
      </c>
      <c r="AE346" s="4">
        <v>129</v>
      </c>
      <c r="AF346" s="4">
        <v>0</v>
      </c>
      <c r="AG346" s="4">
        <v>8</v>
      </c>
      <c r="AH346" s="4">
        <v>39</v>
      </c>
      <c r="AI346" s="4">
        <v>81</v>
      </c>
      <c r="AJ346" s="4">
        <v>6</v>
      </c>
      <c r="AK346" s="4">
        <v>25</v>
      </c>
      <c r="AL346" s="4">
        <v>23</v>
      </c>
      <c r="AM346" s="4">
        <v>40</v>
      </c>
      <c r="AN346" s="4">
        <v>0</v>
      </c>
      <c r="AO346" s="4">
        <v>0</v>
      </c>
      <c r="AP346" s="4">
        <v>12</v>
      </c>
      <c r="AQ346" s="4">
        <v>55</v>
      </c>
      <c r="AR346" s="3" t="s">
        <v>62</v>
      </c>
      <c r="AS346" s="3" t="s">
        <v>62</v>
      </c>
      <c r="AT346" s="3" t="s">
        <v>62</v>
      </c>
      <c r="AV346" s="6" t="str">
        <f>HYPERLINK("http://mcgill.on.worldcat.org/oclc/20421515","Catalog Record")</f>
        <v>Catalog Record</v>
      </c>
      <c r="AW346" s="6" t="str">
        <f>HYPERLINK("http://www.worldcat.org/oclc/20421515","WorldCat Record")</f>
        <v>WorldCat Record</v>
      </c>
      <c r="AX346" s="3" t="s">
        <v>3187</v>
      </c>
      <c r="AY346" s="3" t="s">
        <v>3188</v>
      </c>
      <c r="AZ346" s="3" t="s">
        <v>3189</v>
      </c>
      <c r="BA346" s="3" t="s">
        <v>3189</v>
      </c>
      <c r="BB346" s="3" t="s">
        <v>3190</v>
      </c>
      <c r="BC346" s="3" t="s">
        <v>142</v>
      </c>
      <c r="BD346" s="3" t="s">
        <v>68</v>
      </c>
      <c r="BE346" s="3" t="s">
        <v>3191</v>
      </c>
      <c r="BF346" s="3" t="s">
        <v>3190</v>
      </c>
      <c r="BG346" s="3" t="s">
        <v>3192</v>
      </c>
    </row>
    <row r="347" spans="1:59" ht="57" x14ac:dyDescent="0.45">
      <c r="A347" s="2" t="s">
        <v>59</v>
      </c>
      <c r="B347" s="2" t="s">
        <v>60</v>
      </c>
      <c r="C347" s="2" t="s">
        <v>3193</v>
      </c>
      <c r="D347" s="2" t="s">
        <v>3194</v>
      </c>
      <c r="E347" s="2" t="s">
        <v>3195</v>
      </c>
      <c r="G347" s="3" t="s">
        <v>62</v>
      </c>
      <c r="I347" s="3" t="s">
        <v>62</v>
      </c>
      <c r="J347" s="3" t="s">
        <v>61</v>
      </c>
      <c r="K347" s="3" t="s">
        <v>63</v>
      </c>
      <c r="L347" s="2" t="s">
        <v>3196</v>
      </c>
      <c r="M347" s="2" t="s">
        <v>3197</v>
      </c>
      <c r="N347" s="3" t="s">
        <v>195</v>
      </c>
      <c r="P347" s="3" t="s">
        <v>110</v>
      </c>
      <c r="Q347" s="2" t="s">
        <v>3198</v>
      </c>
      <c r="R347" s="3" t="s">
        <v>66</v>
      </c>
      <c r="S347" s="4">
        <v>20</v>
      </c>
      <c r="T347" s="4">
        <v>20</v>
      </c>
      <c r="U347" s="5" t="s">
        <v>2173</v>
      </c>
      <c r="V347" s="5" t="s">
        <v>2173</v>
      </c>
      <c r="W347" s="5" t="s">
        <v>67</v>
      </c>
      <c r="X347" s="5" t="s">
        <v>67</v>
      </c>
      <c r="Y347" s="4">
        <v>28</v>
      </c>
      <c r="Z347" s="4">
        <v>10</v>
      </c>
      <c r="AA347" s="4">
        <v>35</v>
      </c>
      <c r="AB347" s="4">
        <v>2</v>
      </c>
      <c r="AC347" s="4">
        <v>13</v>
      </c>
      <c r="AD347" s="4">
        <v>10</v>
      </c>
      <c r="AE347" s="4">
        <v>47</v>
      </c>
      <c r="AF347" s="4">
        <v>1</v>
      </c>
      <c r="AG347" s="4">
        <v>6</v>
      </c>
      <c r="AH347" s="4">
        <v>7</v>
      </c>
      <c r="AI347" s="4">
        <v>36</v>
      </c>
      <c r="AJ347" s="4">
        <v>6</v>
      </c>
      <c r="AK347" s="4">
        <v>16</v>
      </c>
      <c r="AL347" s="4">
        <v>2</v>
      </c>
      <c r="AM347" s="4">
        <v>20</v>
      </c>
      <c r="AN347" s="4">
        <v>0</v>
      </c>
      <c r="AO347" s="4">
        <v>0</v>
      </c>
      <c r="AP347" s="4">
        <v>8</v>
      </c>
      <c r="AQ347" s="4">
        <v>20</v>
      </c>
      <c r="AR347" s="3" t="s">
        <v>62</v>
      </c>
      <c r="AS347" s="3" t="s">
        <v>62</v>
      </c>
      <c r="AT347" s="3" t="s">
        <v>61</v>
      </c>
      <c r="AU347" s="6" t="str">
        <f>HYPERLINK("http://catalog.hathitrust.org/Record/007015801","HathiTrust Record")</f>
        <v>HathiTrust Record</v>
      </c>
      <c r="AV347" s="6" t="str">
        <f>HYPERLINK("http://mcgill.on.worldcat.org/oclc/221830229","Catalog Record")</f>
        <v>Catalog Record</v>
      </c>
      <c r="AW347" s="6" t="str">
        <f>HYPERLINK("http://www.worldcat.org/oclc/221830229","WorldCat Record")</f>
        <v>WorldCat Record</v>
      </c>
      <c r="AX347" s="3" t="s">
        <v>3199</v>
      </c>
      <c r="AY347" s="3" t="s">
        <v>3200</v>
      </c>
      <c r="AZ347" s="3" t="s">
        <v>3201</v>
      </c>
      <c r="BA347" s="3" t="s">
        <v>3201</v>
      </c>
      <c r="BB347" s="3" t="s">
        <v>3202</v>
      </c>
      <c r="BC347" s="3" t="s">
        <v>142</v>
      </c>
      <c r="BD347" s="3" t="s">
        <v>68</v>
      </c>
      <c r="BE347" s="3" t="s">
        <v>3203</v>
      </c>
      <c r="BF347" s="3" t="s">
        <v>3202</v>
      </c>
      <c r="BG347" s="3" t="s">
        <v>3204</v>
      </c>
    </row>
    <row r="348" spans="1:59" ht="57" x14ac:dyDescent="0.45">
      <c r="A348" s="2" t="s">
        <v>59</v>
      </c>
      <c r="B348" s="2" t="s">
        <v>60</v>
      </c>
      <c r="C348" s="2" t="s">
        <v>3205</v>
      </c>
      <c r="D348" s="2" t="s">
        <v>3206</v>
      </c>
      <c r="E348" s="2" t="s">
        <v>3195</v>
      </c>
      <c r="G348" s="3" t="s">
        <v>62</v>
      </c>
      <c r="I348" s="3" t="s">
        <v>62</v>
      </c>
      <c r="J348" s="3" t="s">
        <v>61</v>
      </c>
      <c r="K348" s="3" t="s">
        <v>63</v>
      </c>
      <c r="L348" s="2" t="s">
        <v>3207</v>
      </c>
      <c r="M348" s="2" t="s">
        <v>3208</v>
      </c>
      <c r="N348" s="3" t="s">
        <v>116</v>
      </c>
      <c r="O348" s="2" t="s">
        <v>3209</v>
      </c>
      <c r="P348" s="3" t="s">
        <v>110</v>
      </c>
      <c r="Q348" s="2" t="s">
        <v>3210</v>
      </c>
      <c r="R348" s="3" t="s">
        <v>66</v>
      </c>
      <c r="S348" s="4">
        <v>0</v>
      </c>
      <c r="T348" s="4">
        <v>0</v>
      </c>
      <c r="W348" s="5" t="s">
        <v>67</v>
      </c>
      <c r="X348" s="5" t="s">
        <v>67</v>
      </c>
      <c r="Y348" s="4">
        <v>5</v>
      </c>
      <c r="Z348" s="4">
        <v>1</v>
      </c>
      <c r="AA348" s="4">
        <v>35</v>
      </c>
      <c r="AB348" s="4">
        <v>1</v>
      </c>
      <c r="AC348" s="4">
        <v>13</v>
      </c>
      <c r="AD348" s="4">
        <v>0</v>
      </c>
      <c r="AE348" s="4">
        <v>47</v>
      </c>
      <c r="AF348" s="4">
        <v>0</v>
      </c>
      <c r="AG348" s="4">
        <v>6</v>
      </c>
      <c r="AH348" s="4">
        <v>0</v>
      </c>
      <c r="AI348" s="4">
        <v>36</v>
      </c>
      <c r="AJ348" s="4">
        <v>0</v>
      </c>
      <c r="AK348" s="4">
        <v>16</v>
      </c>
      <c r="AL348" s="4">
        <v>0</v>
      </c>
      <c r="AM348" s="4">
        <v>20</v>
      </c>
      <c r="AN348" s="4">
        <v>0</v>
      </c>
      <c r="AO348" s="4">
        <v>0</v>
      </c>
      <c r="AP348" s="4">
        <v>0</v>
      </c>
      <c r="AQ348" s="4">
        <v>20</v>
      </c>
      <c r="AR348" s="3" t="s">
        <v>62</v>
      </c>
      <c r="AS348" s="3" t="s">
        <v>62</v>
      </c>
      <c r="AT348" s="3" t="s">
        <v>62</v>
      </c>
      <c r="AV348" s="6" t="str">
        <f>HYPERLINK("http://mcgill.on.worldcat.org/oclc/905366859","Catalog Record")</f>
        <v>Catalog Record</v>
      </c>
      <c r="AW348" s="6" t="str">
        <f>HYPERLINK("http://www.worldcat.org/oclc/905366859","WorldCat Record")</f>
        <v>WorldCat Record</v>
      </c>
      <c r="AX348" s="3" t="s">
        <v>3199</v>
      </c>
      <c r="AY348" s="3" t="s">
        <v>3211</v>
      </c>
      <c r="AZ348" s="3" t="s">
        <v>3212</v>
      </c>
      <c r="BA348" s="3" t="s">
        <v>3212</v>
      </c>
      <c r="BB348" s="3" t="s">
        <v>3213</v>
      </c>
      <c r="BC348" s="3" t="s">
        <v>142</v>
      </c>
      <c r="BD348" s="3" t="s">
        <v>68</v>
      </c>
      <c r="BE348" s="3" t="s">
        <v>3214</v>
      </c>
      <c r="BF348" s="3" t="s">
        <v>3213</v>
      </c>
      <c r="BG348" s="3" t="s">
        <v>3215</v>
      </c>
    </row>
    <row r="349" spans="1:59" ht="57" x14ac:dyDescent="0.45">
      <c r="A349" s="2" t="s">
        <v>59</v>
      </c>
      <c r="B349" s="2" t="s">
        <v>60</v>
      </c>
      <c r="C349" s="2" t="s">
        <v>3216</v>
      </c>
      <c r="D349" s="2" t="s">
        <v>3217</v>
      </c>
      <c r="E349" s="2" t="s">
        <v>3218</v>
      </c>
      <c r="G349" s="3" t="s">
        <v>62</v>
      </c>
      <c r="I349" s="3" t="s">
        <v>62</v>
      </c>
      <c r="J349" s="3" t="s">
        <v>62</v>
      </c>
      <c r="K349" s="3" t="s">
        <v>63</v>
      </c>
      <c r="M349" s="2" t="s">
        <v>893</v>
      </c>
      <c r="N349" s="3" t="s">
        <v>894</v>
      </c>
      <c r="P349" s="3" t="s">
        <v>65</v>
      </c>
      <c r="Q349" s="2" t="s">
        <v>3219</v>
      </c>
      <c r="R349" s="3" t="s">
        <v>66</v>
      </c>
      <c r="S349" s="4">
        <v>3</v>
      </c>
      <c r="T349" s="4">
        <v>3</v>
      </c>
      <c r="U349" s="5" t="s">
        <v>3220</v>
      </c>
      <c r="V349" s="5" t="s">
        <v>3220</v>
      </c>
      <c r="W349" s="5" t="s">
        <v>67</v>
      </c>
      <c r="X349" s="5" t="s">
        <v>67</v>
      </c>
      <c r="Y349" s="4">
        <v>185</v>
      </c>
      <c r="Z349" s="4">
        <v>25</v>
      </c>
      <c r="AA349" s="4">
        <v>89</v>
      </c>
      <c r="AB349" s="4">
        <v>1</v>
      </c>
      <c r="AC349" s="4">
        <v>14</v>
      </c>
      <c r="AD349" s="4">
        <v>69</v>
      </c>
      <c r="AE349" s="4">
        <v>129</v>
      </c>
      <c r="AF349" s="4">
        <v>0</v>
      </c>
      <c r="AG349" s="4">
        <v>8</v>
      </c>
      <c r="AH349" s="4">
        <v>59</v>
      </c>
      <c r="AI349" s="4">
        <v>93</v>
      </c>
      <c r="AJ349" s="4">
        <v>18</v>
      </c>
      <c r="AK349" s="4">
        <v>26</v>
      </c>
      <c r="AL349" s="4">
        <v>30</v>
      </c>
      <c r="AM349" s="4">
        <v>49</v>
      </c>
      <c r="AN349" s="4">
        <v>0</v>
      </c>
      <c r="AO349" s="4">
        <v>0</v>
      </c>
      <c r="AP349" s="4">
        <v>22</v>
      </c>
      <c r="AQ349" s="4">
        <v>46</v>
      </c>
      <c r="AR349" s="3" t="s">
        <v>62</v>
      </c>
      <c r="AS349" s="3" t="s">
        <v>62</v>
      </c>
      <c r="AT349" s="3" t="s">
        <v>62</v>
      </c>
      <c r="AV349" s="6" t="str">
        <f>HYPERLINK("http://mcgill.on.worldcat.org/oclc/738338589","Catalog Record")</f>
        <v>Catalog Record</v>
      </c>
      <c r="AW349" s="6" t="str">
        <f>HYPERLINK("http://www.worldcat.org/oclc/738338589","WorldCat Record")</f>
        <v>WorldCat Record</v>
      </c>
      <c r="AX349" s="3" t="s">
        <v>3221</v>
      </c>
      <c r="AY349" s="3" t="s">
        <v>3222</v>
      </c>
      <c r="AZ349" s="3" t="s">
        <v>3223</v>
      </c>
      <c r="BA349" s="3" t="s">
        <v>3223</v>
      </c>
      <c r="BB349" s="3" t="s">
        <v>3224</v>
      </c>
      <c r="BC349" s="3" t="s">
        <v>142</v>
      </c>
      <c r="BD349" s="3" t="s">
        <v>68</v>
      </c>
      <c r="BE349" s="3" t="s">
        <v>3225</v>
      </c>
      <c r="BF349" s="3" t="s">
        <v>3224</v>
      </c>
      <c r="BG349" s="3" t="s">
        <v>3226</v>
      </c>
    </row>
    <row r="350" spans="1:59" ht="57" x14ac:dyDescent="0.45">
      <c r="A350" s="2" t="s">
        <v>59</v>
      </c>
      <c r="B350" s="2" t="s">
        <v>60</v>
      </c>
      <c r="C350" s="2" t="s">
        <v>3227</v>
      </c>
      <c r="D350" s="2" t="s">
        <v>3228</v>
      </c>
      <c r="E350" s="2" t="s">
        <v>3229</v>
      </c>
      <c r="G350" s="3" t="s">
        <v>62</v>
      </c>
      <c r="I350" s="3" t="s">
        <v>62</v>
      </c>
      <c r="J350" s="3" t="s">
        <v>62</v>
      </c>
      <c r="K350" s="3" t="s">
        <v>63</v>
      </c>
      <c r="L350" s="2" t="s">
        <v>3230</v>
      </c>
      <c r="M350" s="2" t="s">
        <v>3231</v>
      </c>
      <c r="N350" s="3" t="s">
        <v>1437</v>
      </c>
      <c r="P350" s="3" t="s">
        <v>65</v>
      </c>
      <c r="R350" s="3" t="s">
        <v>66</v>
      </c>
      <c r="S350" s="4">
        <v>31</v>
      </c>
      <c r="T350" s="4">
        <v>31</v>
      </c>
      <c r="U350" s="5" t="s">
        <v>3232</v>
      </c>
      <c r="V350" s="5" t="s">
        <v>3232</v>
      </c>
      <c r="W350" s="5" t="s">
        <v>67</v>
      </c>
      <c r="X350" s="5" t="s">
        <v>67</v>
      </c>
      <c r="Y350" s="4">
        <v>327</v>
      </c>
      <c r="Z350" s="4">
        <v>19</v>
      </c>
      <c r="AA350" s="4">
        <v>20</v>
      </c>
      <c r="AB350" s="4">
        <v>1</v>
      </c>
      <c r="AC350" s="4">
        <v>2</v>
      </c>
      <c r="AD350" s="4">
        <v>99</v>
      </c>
      <c r="AE350" s="4">
        <v>100</v>
      </c>
      <c r="AF350" s="4">
        <v>0</v>
      </c>
      <c r="AG350" s="4">
        <v>1</v>
      </c>
      <c r="AH350" s="4">
        <v>89</v>
      </c>
      <c r="AI350" s="4">
        <v>90</v>
      </c>
      <c r="AJ350" s="4">
        <v>11</v>
      </c>
      <c r="AK350" s="4">
        <v>12</v>
      </c>
      <c r="AL350" s="4">
        <v>50</v>
      </c>
      <c r="AM350" s="4">
        <v>50</v>
      </c>
      <c r="AN350" s="4">
        <v>0</v>
      </c>
      <c r="AO350" s="4">
        <v>0</v>
      </c>
      <c r="AP350" s="4">
        <v>15</v>
      </c>
      <c r="AQ350" s="4">
        <v>16</v>
      </c>
      <c r="AR350" s="3" t="s">
        <v>62</v>
      </c>
      <c r="AS350" s="3" t="s">
        <v>62</v>
      </c>
      <c r="AT350" s="3" t="s">
        <v>62</v>
      </c>
      <c r="AV350" s="6" t="str">
        <f>HYPERLINK("http://mcgill.on.worldcat.org/oclc/37837777","Catalog Record")</f>
        <v>Catalog Record</v>
      </c>
      <c r="AW350" s="6" t="str">
        <f>HYPERLINK("http://www.worldcat.org/oclc/37837777","WorldCat Record")</f>
        <v>WorldCat Record</v>
      </c>
      <c r="AX350" s="3" t="s">
        <v>3233</v>
      </c>
      <c r="AY350" s="3" t="s">
        <v>3234</v>
      </c>
      <c r="AZ350" s="3" t="s">
        <v>3235</v>
      </c>
      <c r="BA350" s="3" t="s">
        <v>3235</v>
      </c>
      <c r="BB350" s="3" t="s">
        <v>3236</v>
      </c>
      <c r="BC350" s="3" t="s">
        <v>142</v>
      </c>
      <c r="BD350" s="3" t="s">
        <v>68</v>
      </c>
      <c r="BE350" s="3" t="s">
        <v>3237</v>
      </c>
      <c r="BF350" s="3" t="s">
        <v>3236</v>
      </c>
      <c r="BG350" s="3" t="s">
        <v>3238</v>
      </c>
    </row>
    <row r="351" spans="1:59" ht="57" x14ac:dyDescent="0.45">
      <c r="A351" s="2" t="s">
        <v>59</v>
      </c>
      <c r="B351" s="2" t="s">
        <v>60</v>
      </c>
      <c r="C351" s="2" t="s">
        <v>3239</v>
      </c>
      <c r="D351" s="2" t="s">
        <v>3240</v>
      </c>
      <c r="E351" s="2" t="s">
        <v>3241</v>
      </c>
      <c r="G351" s="3" t="s">
        <v>62</v>
      </c>
      <c r="I351" s="3" t="s">
        <v>62</v>
      </c>
      <c r="J351" s="3" t="s">
        <v>62</v>
      </c>
      <c r="K351" s="3" t="s">
        <v>63</v>
      </c>
      <c r="L351" s="2" t="s">
        <v>3242</v>
      </c>
      <c r="M351" s="2" t="s">
        <v>3243</v>
      </c>
      <c r="N351" s="3" t="s">
        <v>1239</v>
      </c>
      <c r="O351" s="2" t="s">
        <v>933</v>
      </c>
      <c r="P351" s="3" t="s">
        <v>65</v>
      </c>
      <c r="R351" s="3" t="s">
        <v>66</v>
      </c>
      <c r="S351" s="4">
        <v>26</v>
      </c>
      <c r="T351" s="4">
        <v>26</v>
      </c>
      <c r="U351" s="5" t="s">
        <v>372</v>
      </c>
      <c r="V351" s="5" t="s">
        <v>372</v>
      </c>
      <c r="W351" s="5" t="s">
        <v>67</v>
      </c>
      <c r="X351" s="5" t="s">
        <v>67</v>
      </c>
      <c r="Y351" s="4">
        <v>189</v>
      </c>
      <c r="Z351" s="4">
        <v>12</v>
      </c>
      <c r="AA351" s="4">
        <v>40</v>
      </c>
      <c r="AB351" s="4">
        <v>2</v>
      </c>
      <c r="AC351" s="4">
        <v>5</v>
      </c>
      <c r="AD351" s="4">
        <v>52</v>
      </c>
      <c r="AE351" s="4">
        <v>110</v>
      </c>
      <c r="AF351" s="4">
        <v>1</v>
      </c>
      <c r="AG351" s="4">
        <v>3</v>
      </c>
      <c r="AH351" s="4">
        <v>49</v>
      </c>
      <c r="AI351" s="4">
        <v>92</v>
      </c>
      <c r="AJ351" s="4">
        <v>7</v>
      </c>
      <c r="AK351" s="4">
        <v>20</v>
      </c>
      <c r="AL351" s="4">
        <v>25</v>
      </c>
      <c r="AM351" s="4">
        <v>48</v>
      </c>
      <c r="AN351" s="4">
        <v>0</v>
      </c>
      <c r="AO351" s="4">
        <v>0</v>
      </c>
      <c r="AP351" s="4">
        <v>8</v>
      </c>
      <c r="AQ351" s="4">
        <v>27</v>
      </c>
      <c r="AR351" s="3" t="s">
        <v>62</v>
      </c>
      <c r="AS351" s="3" t="s">
        <v>62</v>
      </c>
      <c r="AT351" s="3" t="s">
        <v>61</v>
      </c>
      <c r="AU351" s="6" t="str">
        <f>HYPERLINK("http://catalog.hathitrust.org/Record/007106736","HathiTrust Record")</f>
        <v>HathiTrust Record</v>
      </c>
      <c r="AV351" s="6" t="str">
        <f>HYPERLINK("http://mcgill.on.worldcat.org/oclc/18190888","Catalog Record")</f>
        <v>Catalog Record</v>
      </c>
      <c r="AW351" s="6" t="str">
        <f>HYPERLINK("http://www.worldcat.org/oclc/18190888","WorldCat Record")</f>
        <v>WorldCat Record</v>
      </c>
      <c r="AX351" s="3" t="s">
        <v>3244</v>
      </c>
      <c r="AY351" s="3" t="s">
        <v>3245</v>
      </c>
      <c r="AZ351" s="3" t="s">
        <v>3246</v>
      </c>
      <c r="BA351" s="3" t="s">
        <v>3246</v>
      </c>
      <c r="BB351" s="3" t="s">
        <v>3247</v>
      </c>
      <c r="BC351" s="3" t="s">
        <v>142</v>
      </c>
      <c r="BD351" s="3" t="s">
        <v>68</v>
      </c>
      <c r="BE351" s="3" t="s">
        <v>3248</v>
      </c>
      <c r="BF351" s="3" t="s">
        <v>3247</v>
      </c>
      <c r="BG351" s="3" t="s">
        <v>3249</v>
      </c>
    </row>
    <row r="352" spans="1:59" ht="57" x14ac:dyDescent="0.45">
      <c r="A352" s="2" t="s">
        <v>59</v>
      </c>
      <c r="B352" s="2" t="s">
        <v>60</v>
      </c>
      <c r="C352" s="2" t="s">
        <v>3250</v>
      </c>
      <c r="D352" s="2" t="s">
        <v>3251</v>
      </c>
      <c r="E352" s="2" t="s">
        <v>3252</v>
      </c>
      <c r="G352" s="3" t="s">
        <v>62</v>
      </c>
      <c r="I352" s="3" t="s">
        <v>62</v>
      </c>
      <c r="J352" s="3" t="s">
        <v>61</v>
      </c>
      <c r="K352" s="3" t="s">
        <v>63</v>
      </c>
      <c r="L352" s="2" t="s">
        <v>3253</v>
      </c>
      <c r="M352" s="2" t="s">
        <v>3254</v>
      </c>
      <c r="N352" s="3" t="s">
        <v>1465</v>
      </c>
      <c r="O352" s="2" t="s">
        <v>3255</v>
      </c>
      <c r="P352" s="3" t="s">
        <v>65</v>
      </c>
      <c r="Q352" s="2" t="s">
        <v>3256</v>
      </c>
      <c r="R352" s="3" t="s">
        <v>66</v>
      </c>
      <c r="S352" s="4">
        <v>7</v>
      </c>
      <c r="T352" s="4">
        <v>7</v>
      </c>
      <c r="U352" s="5" t="s">
        <v>372</v>
      </c>
      <c r="V352" s="5" t="s">
        <v>372</v>
      </c>
      <c r="W352" s="5" t="s">
        <v>67</v>
      </c>
      <c r="X352" s="5" t="s">
        <v>67</v>
      </c>
      <c r="Y352" s="4">
        <v>213</v>
      </c>
      <c r="Z352" s="4">
        <v>21</v>
      </c>
      <c r="AA352" s="4">
        <v>47</v>
      </c>
      <c r="AB352" s="4">
        <v>1</v>
      </c>
      <c r="AC352" s="4">
        <v>8</v>
      </c>
      <c r="AD352" s="4">
        <v>78</v>
      </c>
      <c r="AE352" s="4">
        <v>132</v>
      </c>
      <c r="AF352" s="4">
        <v>0</v>
      </c>
      <c r="AG352" s="4">
        <v>4</v>
      </c>
      <c r="AH352" s="4">
        <v>69</v>
      </c>
      <c r="AI352" s="4">
        <v>111</v>
      </c>
      <c r="AJ352" s="4">
        <v>14</v>
      </c>
      <c r="AK352" s="4">
        <v>23</v>
      </c>
      <c r="AL352" s="4">
        <v>40</v>
      </c>
      <c r="AM352" s="4">
        <v>59</v>
      </c>
      <c r="AN352" s="4">
        <v>0</v>
      </c>
      <c r="AO352" s="4">
        <v>0</v>
      </c>
      <c r="AP352" s="4">
        <v>16</v>
      </c>
      <c r="AQ352" s="4">
        <v>31</v>
      </c>
      <c r="AR352" s="3" t="s">
        <v>62</v>
      </c>
      <c r="AS352" s="3" t="s">
        <v>62</v>
      </c>
      <c r="AT352" s="3" t="s">
        <v>62</v>
      </c>
      <c r="AV352" s="6" t="str">
        <f>HYPERLINK("http://mcgill.on.worldcat.org/oclc/226304797","Catalog Record")</f>
        <v>Catalog Record</v>
      </c>
      <c r="AW352" s="6" t="str">
        <f>HYPERLINK("http://www.worldcat.org/oclc/226304797","WorldCat Record")</f>
        <v>WorldCat Record</v>
      </c>
      <c r="AX352" s="3" t="s">
        <v>3257</v>
      </c>
      <c r="AY352" s="3" t="s">
        <v>3258</v>
      </c>
      <c r="AZ352" s="3" t="s">
        <v>3259</v>
      </c>
      <c r="BA352" s="3" t="s">
        <v>3259</v>
      </c>
      <c r="BB352" s="3" t="s">
        <v>3260</v>
      </c>
      <c r="BC352" s="3" t="s">
        <v>142</v>
      </c>
      <c r="BD352" s="3" t="s">
        <v>68</v>
      </c>
      <c r="BE352" s="3" t="s">
        <v>3261</v>
      </c>
      <c r="BF352" s="3" t="s">
        <v>3260</v>
      </c>
      <c r="BG352" s="3" t="s">
        <v>3262</v>
      </c>
    </row>
    <row r="353" spans="1:59" ht="57" x14ac:dyDescent="0.45">
      <c r="A353" s="2" t="s">
        <v>59</v>
      </c>
      <c r="B353" s="2" t="s">
        <v>60</v>
      </c>
      <c r="C353" s="2" t="s">
        <v>3263</v>
      </c>
      <c r="D353" s="2" t="s">
        <v>3264</v>
      </c>
      <c r="E353" s="2" t="s">
        <v>3265</v>
      </c>
      <c r="G353" s="3" t="s">
        <v>62</v>
      </c>
      <c r="I353" s="3" t="s">
        <v>62</v>
      </c>
      <c r="J353" s="3" t="s">
        <v>62</v>
      </c>
      <c r="K353" s="3" t="s">
        <v>63</v>
      </c>
      <c r="M353" s="2" t="s">
        <v>3266</v>
      </c>
      <c r="N353" s="3" t="s">
        <v>1478</v>
      </c>
      <c r="P353" s="3" t="s">
        <v>65</v>
      </c>
      <c r="Q353" s="2" t="s">
        <v>3267</v>
      </c>
      <c r="R353" s="3" t="s">
        <v>66</v>
      </c>
      <c r="S353" s="4">
        <v>8</v>
      </c>
      <c r="T353" s="4">
        <v>8</v>
      </c>
      <c r="U353" s="5" t="s">
        <v>3268</v>
      </c>
      <c r="V353" s="5" t="s">
        <v>3268</v>
      </c>
      <c r="W353" s="5" t="s">
        <v>67</v>
      </c>
      <c r="X353" s="5" t="s">
        <v>67</v>
      </c>
      <c r="Y353" s="4">
        <v>161</v>
      </c>
      <c r="Z353" s="4">
        <v>12</v>
      </c>
      <c r="AA353" s="4">
        <v>19</v>
      </c>
      <c r="AB353" s="4">
        <v>1</v>
      </c>
      <c r="AC353" s="4">
        <v>7</v>
      </c>
      <c r="AD353" s="4">
        <v>69</v>
      </c>
      <c r="AE353" s="4">
        <v>73</v>
      </c>
      <c r="AF353" s="4">
        <v>0</v>
      </c>
      <c r="AG353" s="4">
        <v>2</v>
      </c>
      <c r="AH353" s="4">
        <v>63</v>
      </c>
      <c r="AI353" s="4">
        <v>66</v>
      </c>
      <c r="AJ353" s="4">
        <v>9</v>
      </c>
      <c r="AK353" s="4">
        <v>12</v>
      </c>
      <c r="AL353" s="4">
        <v>41</v>
      </c>
      <c r="AM353" s="4">
        <v>41</v>
      </c>
      <c r="AN353" s="4">
        <v>0</v>
      </c>
      <c r="AO353" s="4">
        <v>0</v>
      </c>
      <c r="AP353" s="4">
        <v>10</v>
      </c>
      <c r="AQ353" s="4">
        <v>13</v>
      </c>
      <c r="AR353" s="3" t="s">
        <v>62</v>
      </c>
      <c r="AS353" s="3" t="s">
        <v>62</v>
      </c>
      <c r="AT353" s="3" t="s">
        <v>61</v>
      </c>
      <c r="AU353" s="6" t="str">
        <f>HYPERLINK("http://catalog.hathitrust.org/Record/004913787","HathiTrust Record")</f>
        <v>HathiTrust Record</v>
      </c>
      <c r="AV353" s="6" t="str">
        <f>HYPERLINK("http://mcgill.on.worldcat.org/oclc/35029637","Catalog Record")</f>
        <v>Catalog Record</v>
      </c>
      <c r="AW353" s="6" t="str">
        <f>HYPERLINK("http://www.worldcat.org/oclc/35029637","WorldCat Record")</f>
        <v>WorldCat Record</v>
      </c>
      <c r="AX353" s="3" t="s">
        <v>3269</v>
      </c>
      <c r="AY353" s="3" t="s">
        <v>3270</v>
      </c>
      <c r="AZ353" s="3" t="s">
        <v>3271</v>
      </c>
      <c r="BA353" s="3" t="s">
        <v>3271</v>
      </c>
      <c r="BB353" s="3" t="s">
        <v>3272</v>
      </c>
      <c r="BC353" s="3" t="s">
        <v>142</v>
      </c>
      <c r="BD353" s="3" t="s">
        <v>68</v>
      </c>
      <c r="BE353" s="3" t="s">
        <v>3273</v>
      </c>
      <c r="BF353" s="3" t="s">
        <v>3272</v>
      </c>
      <c r="BG353" s="3" t="s">
        <v>3274</v>
      </c>
    </row>
    <row r="354" spans="1:59" ht="57" x14ac:dyDescent="0.45">
      <c r="A354" s="2" t="s">
        <v>59</v>
      </c>
      <c r="B354" s="2" t="s">
        <v>60</v>
      </c>
      <c r="C354" s="2" t="s">
        <v>3275</v>
      </c>
      <c r="D354" s="2" t="s">
        <v>3276</v>
      </c>
      <c r="E354" s="2" t="s">
        <v>3277</v>
      </c>
      <c r="G354" s="3" t="s">
        <v>62</v>
      </c>
      <c r="I354" s="3" t="s">
        <v>62</v>
      </c>
      <c r="J354" s="3" t="s">
        <v>61</v>
      </c>
      <c r="K354" s="3" t="s">
        <v>63</v>
      </c>
      <c r="L354" s="2" t="s">
        <v>3278</v>
      </c>
      <c r="M354" s="2" t="s">
        <v>3279</v>
      </c>
      <c r="N354" s="3" t="s">
        <v>116</v>
      </c>
      <c r="O354" s="2" t="s">
        <v>3280</v>
      </c>
      <c r="P354" s="3" t="s">
        <v>65</v>
      </c>
      <c r="R354" s="3" t="s">
        <v>66</v>
      </c>
      <c r="S354" s="4">
        <v>2</v>
      </c>
      <c r="T354" s="4">
        <v>2</v>
      </c>
      <c r="U354" s="5" t="s">
        <v>3281</v>
      </c>
      <c r="V354" s="5" t="s">
        <v>3281</v>
      </c>
      <c r="W354" s="5" t="s">
        <v>67</v>
      </c>
      <c r="X354" s="5" t="s">
        <v>67</v>
      </c>
      <c r="Y354" s="4">
        <v>97</v>
      </c>
      <c r="Z354" s="4">
        <v>12</v>
      </c>
      <c r="AA354" s="4">
        <v>39</v>
      </c>
      <c r="AB354" s="4">
        <v>1</v>
      </c>
      <c r="AC354" s="4">
        <v>6</v>
      </c>
      <c r="AD354" s="4">
        <v>21</v>
      </c>
      <c r="AE354" s="4">
        <v>85</v>
      </c>
      <c r="AF354" s="4">
        <v>0</v>
      </c>
      <c r="AG354" s="4">
        <v>4</v>
      </c>
      <c r="AH354" s="4">
        <v>16</v>
      </c>
      <c r="AI354" s="4">
        <v>66</v>
      </c>
      <c r="AJ354" s="4">
        <v>6</v>
      </c>
      <c r="AK354" s="4">
        <v>22</v>
      </c>
      <c r="AL354" s="4">
        <v>11</v>
      </c>
      <c r="AM354" s="4">
        <v>35</v>
      </c>
      <c r="AN354" s="4">
        <v>0</v>
      </c>
      <c r="AO354" s="4">
        <v>0</v>
      </c>
      <c r="AP354" s="4">
        <v>7</v>
      </c>
      <c r="AQ354" s="4">
        <v>29</v>
      </c>
      <c r="AR354" s="3" t="s">
        <v>62</v>
      </c>
      <c r="AS354" s="3" t="s">
        <v>62</v>
      </c>
      <c r="AT354" s="3" t="s">
        <v>62</v>
      </c>
      <c r="AV354" s="6" t="str">
        <f>HYPERLINK("http://mcgill.on.worldcat.org/oclc/822972361","Catalog Record")</f>
        <v>Catalog Record</v>
      </c>
      <c r="AW354" s="6" t="str">
        <f>HYPERLINK("http://www.worldcat.org/oclc/822972361","WorldCat Record")</f>
        <v>WorldCat Record</v>
      </c>
      <c r="AX354" s="3" t="s">
        <v>3282</v>
      </c>
      <c r="AY354" s="3" t="s">
        <v>3283</v>
      </c>
      <c r="AZ354" s="3" t="s">
        <v>3284</v>
      </c>
      <c r="BA354" s="3" t="s">
        <v>3284</v>
      </c>
      <c r="BB354" s="3" t="s">
        <v>3285</v>
      </c>
      <c r="BC354" s="3" t="s">
        <v>142</v>
      </c>
      <c r="BD354" s="3" t="s">
        <v>68</v>
      </c>
      <c r="BE354" s="3" t="s">
        <v>3286</v>
      </c>
      <c r="BF354" s="3" t="s">
        <v>3285</v>
      </c>
      <c r="BG354" s="3" t="s">
        <v>3287</v>
      </c>
    </row>
    <row r="355" spans="1:59" ht="57" x14ac:dyDescent="0.45">
      <c r="A355" s="2" t="s">
        <v>59</v>
      </c>
      <c r="B355" s="2" t="s">
        <v>60</v>
      </c>
      <c r="C355" s="2" t="s">
        <v>3288</v>
      </c>
      <c r="D355" s="2" t="s">
        <v>3289</v>
      </c>
      <c r="E355" s="2" t="s">
        <v>3290</v>
      </c>
      <c r="G355" s="3" t="s">
        <v>62</v>
      </c>
      <c r="I355" s="3" t="s">
        <v>62</v>
      </c>
      <c r="J355" s="3" t="s">
        <v>62</v>
      </c>
      <c r="K355" s="3" t="s">
        <v>63</v>
      </c>
      <c r="L355" s="2" t="s">
        <v>3291</v>
      </c>
      <c r="M355" s="2" t="s">
        <v>3292</v>
      </c>
      <c r="N355" s="3" t="s">
        <v>807</v>
      </c>
      <c r="P355" s="3" t="s">
        <v>65</v>
      </c>
      <c r="Q355" s="2" t="s">
        <v>3293</v>
      </c>
      <c r="R355" s="3" t="s">
        <v>66</v>
      </c>
      <c r="S355" s="4">
        <v>13</v>
      </c>
      <c r="T355" s="4">
        <v>13</v>
      </c>
      <c r="U355" s="5" t="s">
        <v>3294</v>
      </c>
      <c r="V355" s="5" t="s">
        <v>3294</v>
      </c>
      <c r="W355" s="5" t="s">
        <v>67</v>
      </c>
      <c r="X355" s="5" t="s">
        <v>67</v>
      </c>
      <c r="Y355" s="4">
        <v>400</v>
      </c>
      <c r="Z355" s="4">
        <v>30</v>
      </c>
      <c r="AA355" s="4">
        <v>34</v>
      </c>
      <c r="AB355" s="4">
        <v>2</v>
      </c>
      <c r="AC355" s="4">
        <v>6</v>
      </c>
      <c r="AD355" s="4">
        <v>103</v>
      </c>
      <c r="AE355" s="4">
        <v>106</v>
      </c>
      <c r="AF355" s="4">
        <v>1</v>
      </c>
      <c r="AG355" s="4">
        <v>4</v>
      </c>
      <c r="AH355" s="4">
        <v>87</v>
      </c>
      <c r="AI355" s="4">
        <v>88</v>
      </c>
      <c r="AJ355" s="4">
        <v>20</v>
      </c>
      <c r="AK355" s="4">
        <v>23</v>
      </c>
      <c r="AL355" s="4">
        <v>49</v>
      </c>
      <c r="AM355" s="4">
        <v>49</v>
      </c>
      <c r="AN355" s="4">
        <v>0</v>
      </c>
      <c r="AO355" s="4">
        <v>0</v>
      </c>
      <c r="AP355" s="4">
        <v>26</v>
      </c>
      <c r="AQ355" s="4">
        <v>28</v>
      </c>
      <c r="AR355" s="3" t="s">
        <v>62</v>
      </c>
      <c r="AS355" s="3" t="s">
        <v>62</v>
      </c>
      <c r="AT355" s="3" t="s">
        <v>62</v>
      </c>
      <c r="AV355" s="6" t="str">
        <f>HYPERLINK("http://mcgill.on.worldcat.org/oclc/23215870","Catalog Record")</f>
        <v>Catalog Record</v>
      </c>
      <c r="AW355" s="6" t="str">
        <f>HYPERLINK("http://www.worldcat.org/oclc/23215870","WorldCat Record")</f>
        <v>WorldCat Record</v>
      </c>
      <c r="AX355" s="3" t="s">
        <v>3295</v>
      </c>
      <c r="AY355" s="3" t="s">
        <v>3296</v>
      </c>
      <c r="AZ355" s="3" t="s">
        <v>3297</v>
      </c>
      <c r="BA355" s="3" t="s">
        <v>3297</v>
      </c>
      <c r="BB355" s="3" t="s">
        <v>3298</v>
      </c>
      <c r="BC355" s="3" t="s">
        <v>142</v>
      </c>
      <c r="BD355" s="3" t="s">
        <v>308</v>
      </c>
      <c r="BE355" s="3" t="s">
        <v>3299</v>
      </c>
      <c r="BF355" s="3" t="s">
        <v>3298</v>
      </c>
      <c r="BG355" s="3" t="s">
        <v>3300</v>
      </c>
    </row>
    <row r="356" spans="1:59" ht="57" x14ac:dyDescent="0.45">
      <c r="A356" s="2" t="s">
        <v>59</v>
      </c>
      <c r="B356" s="2" t="s">
        <v>60</v>
      </c>
      <c r="C356" s="2" t="s">
        <v>3301</v>
      </c>
      <c r="D356" s="2" t="s">
        <v>3302</v>
      </c>
      <c r="E356" s="2" t="s">
        <v>3303</v>
      </c>
      <c r="G356" s="3" t="s">
        <v>62</v>
      </c>
      <c r="I356" s="3" t="s">
        <v>62</v>
      </c>
      <c r="J356" s="3" t="s">
        <v>62</v>
      </c>
      <c r="K356" s="3" t="s">
        <v>63</v>
      </c>
      <c r="L356" s="2" t="s">
        <v>3304</v>
      </c>
      <c r="M356" s="2" t="s">
        <v>3305</v>
      </c>
      <c r="N356" s="3" t="s">
        <v>1688</v>
      </c>
      <c r="P356" s="3" t="s">
        <v>65</v>
      </c>
      <c r="R356" s="3" t="s">
        <v>66</v>
      </c>
      <c r="S356" s="4">
        <v>3</v>
      </c>
      <c r="T356" s="4">
        <v>3</v>
      </c>
      <c r="U356" s="5" t="s">
        <v>3306</v>
      </c>
      <c r="V356" s="5" t="s">
        <v>3306</v>
      </c>
      <c r="W356" s="5" t="s">
        <v>67</v>
      </c>
      <c r="X356" s="5" t="s">
        <v>67</v>
      </c>
      <c r="Y356" s="4">
        <v>204</v>
      </c>
      <c r="Z356" s="4">
        <v>24</v>
      </c>
      <c r="AA356" s="4">
        <v>71</v>
      </c>
      <c r="AB356" s="4">
        <v>1</v>
      </c>
      <c r="AC356" s="4">
        <v>3</v>
      </c>
      <c r="AD356" s="4">
        <v>63</v>
      </c>
      <c r="AE356" s="4">
        <v>92</v>
      </c>
      <c r="AF356" s="4">
        <v>0</v>
      </c>
      <c r="AG356" s="4">
        <v>0</v>
      </c>
      <c r="AH356" s="4">
        <v>57</v>
      </c>
      <c r="AI356" s="4">
        <v>74</v>
      </c>
      <c r="AJ356" s="4">
        <v>12</v>
      </c>
      <c r="AK356" s="4">
        <v>16</v>
      </c>
      <c r="AL356" s="4">
        <v>40</v>
      </c>
      <c r="AM356" s="4">
        <v>45</v>
      </c>
      <c r="AN356" s="4">
        <v>0</v>
      </c>
      <c r="AO356" s="4">
        <v>0</v>
      </c>
      <c r="AP356" s="4">
        <v>15</v>
      </c>
      <c r="AQ356" s="4">
        <v>27</v>
      </c>
      <c r="AR356" s="3" t="s">
        <v>62</v>
      </c>
      <c r="AS356" s="3" t="s">
        <v>62</v>
      </c>
      <c r="AT356" s="3" t="s">
        <v>62</v>
      </c>
      <c r="AV356" s="6" t="str">
        <f>HYPERLINK("http://mcgill.on.worldcat.org/oclc/859583895","Catalog Record")</f>
        <v>Catalog Record</v>
      </c>
      <c r="AW356" s="6" t="str">
        <f>HYPERLINK("http://www.worldcat.org/oclc/859583895","WorldCat Record")</f>
        <v>WorldCat Record</v>
      </c>
      <c r="AX356" s="3" t="s">
        <v>3307</v>
      </c>
      <c r="AY356" s="3" t="s">
        <v>3308</v>
      </c>
      <c r="AZ356" s="3" t="s">
        <v>3309</v>
      </c>
      <c r="BA356" s="3" t="s">
        <v>3309</v>
      </c>
      <c r="BB356" s="3" t="s">
        <v>3310</v>
      </c>
      <c r="BC356" s="3" t="s">
        <v>142</v>
      </c>
      <c r="BD356" s="3" t="s">
        <v>308</v>
      </c>
      <c r="BE356" s="3" t="s">
        <v>3311</v>
      </c>
      <c r="BF356" s="3" t="s">
        <v>3310</v>
      </c>
      <c r="BG356" s="3" t="s">
        <v>3312</v>
      </c>
    </row>
    <row r="357" spans="1:59" ht="57" x14ac:dyDescent="0.45">
      <c r="A357" s="2" t="s">
        <v>59</v>
      </c>
      <c r="B357" s="2" t="s">
        <v>60</v>
      </c>
      <c r="C357" s="2" t="s">
        <v>3313</v>
      </c>
      <c r="D357" s="2" t="s">
        <v>3314</v>
      </c>
      <c r="E357" s="2" t="s">
        <v>3315</v>
      </c>
      <c r="G357" s="3" t="s">
        <v>62</v>
      </c>
      <c r="I357" s="3" t="s">
        <v>62</v>
      </c>
      <c r="J357" s="3" t="s">
        <v>62</v>
      </c>
      <c r="K357" s="3" t="s">
        <v>63</v>
      </c>
      <c r="L357" s="2" t="s">
        <v>3316</v>
      </c>
      <c r="M357" s="2" t="s">
        <v>3317</v>
      </c>
      <c r="N357" s="3" t="s">
        <v>894</v>
      </c>
      <c r="P357" s="3" t="s">
        <v>65</v>
      </c>
      <c r="R357" s="3" t="s">
        <v>66</v>
      </c>
      <c r="S357" s="4">
        <v>14</v>
      </c>
      <c r="T357" s="4">
        <v>14</v>
      </c>
      <c r="U357" s="5" t="s">
        <v>2226</v>
      </c>
      <c r="V357" s="5" t="s">
        <v>2226</v>
      </c>
      <c r="W357" s="5" t="s">
        <v>67</v>
      </c>
      <c r="X357" s="5" t="s">
        <v>67</v>
      </c>
      <c r="Y357" s="4">
        <v>118</v>
      </c>
      <c r="Z357" s="4">
        <v>14</v>
      </c>
      <c r="AA357" s="4">
        <v>32</v>
      </c>
      <c r="AB357" s="4">
        <v>2</v>
      </c>
      <c r="AC357" s="4">
        <v>5</v>
      </c>
      <c r="AD357" s="4">
        <v>27</v>
      </c>
      <c r="AE357" s="4">
        <v>36</v>
      </c>
      <c r="AF357" s="4">
        <v>1</v>
      </c>
      <c r="AG357" s="4">
        <v>2</v>
      </c>
      <c r="AH357" s="4">
        <v>23</v>
      </c>
      <c r="AI357" s="4">
        <v>28</v>
      </c>
      <c r="AJ357" s="4">
        <v>8</v>
      </c>
      <c r="AK357" s="4">
        <v>12</v>
      </c>
      <c r="AL357" s="4">
        <v>11</v>
      </c>
      <c r="AM357" s="4">
        <v>12</v>
      </c>
      <c r="AN357" s="4">
        <v>0</v>
      </c>
      <c r="AO357" s="4">
        <v>0</v>
      </c>
      <c r="AP357" s="4">
        <v>10</v>
      </c>
      <c r="AQ357" s="4">
        <v>15</v>
      </c>
      <c r="AR357" s="3" t="s">
        <v>62</v>
      </c>
      <c r="AS357" s="3" t="s">
        <v>62</v>
      </c>
      <c r="AT357" s="3" t="s">
        <v>62</v>
      </c>
      <c r="AV357" s="6" t="str">
        <f>HYPERLINK("http://mcgill.on.worldcat.org/oclc/726748977","Catalog Record")</f>
        <v>Catalog Record</v>
      </c>
      <c r="AW357" s="6" t="str">
        <f>HYPERLINK("http://www.worldcat.org/oclc/726748977","WorldCat Record")</f>
        <v>WorldCat Record</v>
      </c>
      <c r="AX357" s="3" t="s">
        <v>3318</v>
      </c>
      <c r="AY357" s="3" t="s">
        <v>3319</v>
      </c>
      <c r="AZ357" s="3" t="s">
        <v>3320</v>
      </c>
      <c r="BA357" s="3" t="s">
        <v>3320</v>
      </c>
      <c r="BB357" s="3" t="s">
        <v>3321</v>
      </c>
      <c r="BC357" s="3" t="s">
        <v>142</v>
      </c>
      <c r="BD357" s="3" t="s">
        <v>68</v>
      </c>
      <c r="BE357" s="3" t="s">
        <v>3322</v>
      </c>
      <c r="BF357" s="3" t="s">
        <v>3321</v>
      </c>
      <c r="BG357" s="3" t="s">
        <v>3323</v>
      </c>
    </row>
    <row r="358" spans="1:59" ht="57" x14ac:dyDescent="0.45">
      <c r="A358" s="2" t="s">
        <v>59</v>
      </c>
      <c r="B358" s="2" t="s">
        <v>60</v>
      </c>
      <c r="C358" s="2" t="s">
        <v>3324</v>
      </c>
      <c r="D358" s="2" t="s">
        <v>3325</v>
      </c>
      <c r="E358" s="2" t="s">
        <v>3326</v>
      </c>
      <c r="G358" s="3" t="s">
        <v>62</v>
      </c>
      <c r="I358" s="3" t="s">
        <v>62</v>
      </c>
      <c r="J358" s="3" t="s">
        <v>62</v>
      </c>
      <c r="K358" s="3" t="s">
        <v>63</v>
      </c>
      <c r="M358" s="2" t="s">
        <v>1266</v>
      </c>
      <c r="N358" s="3" t="s">
        <v>1059</v>
      </c>
      <c r="P358" s="3" t="s">
        <v>65</v>
      </c>
      <c r="Q358" s="2" t="s">
        <v>3327</v>
      </c>
      <c r="R358" s="3" t="s">
        <v>66</v>
      </c>
      <c r="S358" s="4">
        <v>22</v>
      </c>
      <c r="T358" s="4">
        <v>22</v>
      </c>
      <c r="U358" s="5" t="s">
        <v>128</v>
      </c>
      <c r="V358" s="5" t="s">
        <v>128</v>
      </c>
      <c r="W358" s="5" t="s">
        <v>67</v>
      </c>
      <c r="X358" s="5" t="s">
        <v>67</v>
      </c>
      <c r="Y358" s="4">
        <v>316</v>
      </c>
      <c r="Z358" s="4">
        <v>21</v>
      </c>
      <c r="AA358" s="4">
        <v>82</v>
      </c>
      <c r="AB358" s="4">
        <v>2</v>
      </c>
      <c r="AC358" s="4">
        <v>14</v>
      </c>
      <c r="AD358" s="4">
        <v>92</v>
      </c>
      <c r="AE358" s="4">
        <v>129</v>
      </c>
      <c r="AF358" s="4">
        <v>1</v>
      </c>
      <c r="AG358" s="4">
        <v>8</v>
      </c>
      <c r="AH358" s="4">
        <v>81</v>
      </c>
      <c r="AI358" s="4">
        <v>94</v>
      </c>
      <c r="AJ358" s="4">
        <v>15</v>
      </c>
      <c r="AK358" s="4">
        <v>24</v>
      </c>
      <c r="AL358" s="4">
        <v>45</v>
      </c>
      <c r="AM358" s="4">
        <v>50</v>
      </c>
      <c r="AN358" s="4">
        <v>0</v>
      </c>
      <c r="AO358" s="4">
        <v>0</v>
      </c>
      <c r="AP358" s="4">
        <v>18</v>
      </c>
      <c r="AQ358" s="4">
        <v>44</v>
      </c>
      <c r="AR358" s="3" t="s">
        <v>62</v>
      </c>
      <c r="AS358" s="3" t="s">
        <v>62</v>
      </c>
      <c r="AT358" s="3" t="s">
        <v>62</v>
      </c>
      <c r="AV358" s="6" t="str">
        <f>HYPERLINK("http://mcgill.on.worldcat.org/oclc/64312974","Catalog Record")</f>
        <v>Catalog Record</v>
      </c>
      <c r="AW358" s="6" t="str">
        <f>HYPERLINK("http://www.worldcat.org/oclc/64312974","WorldCat Record")</f>
        <v>WorldCat Record</v>
      </c>
      <c r="AX358" s="3" t="s">
        <v>3328</v>
      </c>
      <c r="AY358" s="3" t="s">
        <v>3329</v>
      </c>
      <c r="AZ358" s="3" t="s">
        <v>3330</v>
      </c>
      <c r="BA358" s="3" t="s">
        <v>3330</v>
      </c>
      <c r="BB358" s="3" t="s">
        <v>3331</v>
      </c>
      <c r="BC358" s="3" t="s">
        <v>142</v>
      </c>
      <c r="BD358" s="3" t="s">
        <v>308</v>
      </c>
      <c r="BE358" s="3" t="s">
        <v>3332</v>
      </c>
      <c r="BF358" s="3" t="s">
        <v>3331</v>
      </c>
      <c r="BG358" s="3" t="s">
        <v>3333</v>
      </c>
    </row>
    <row r="359" spans="1:59" ht="57" x14ac:dyDescent="0.45">
      <c r="A359" s="2" t="s">
        <v>59</v>
      </c>
      <c r="B359" s="2" t="s">
        <v>60</v>
      </c>
      <c r="C359" s="2" t="s">
        <v>3334</v>
      </c>
      <c r="D359" s="2" t="s">
        <v>3335</v>
      </c>
      <c r="E359" s="2" t="s">
        <v>3336</v>
      </c>
      <c r="G359" s="3" t="s">
        <v>62</v>
      </c>
      <c r="I359" s="3" t="s">
        <v>61</v>
      </c>
      <c r="J359" s="3" t="s">
        <v>62</v>
      </c>
      <c r="K359" s="3" t="s">
        <v>63</v>
      </c>
      <c r="M359" s="2" t="s">
        <v>3337</v>
      </c>
      <c r="N359" s="3" t="s">
        <v>1918</v>
      </c>
      <c r="P359" s="3" t="s">
        <v>65</v>
      </c>
      <c r="Q359" s="2" t="s">
        <v>3338</v>
      </c>
      <c r="R359" s="3" t="s">
        <v>66</v>
      </c>
      <c r="S359" s="4">
        <v>0</v>
      </c>
      <c r="T359" s="4">
        <v>0</v>
      </c>
      <c r="W359" s="5" t="s">
        <v>67</v>
      </c>
      <c r="X359" s="5" t="s">
        <v>67</v>
      </c>
      <c r="Y359" s="4">
        <v>144</v>
      </c>
      <c r="Z359" s="4">
        <v>10</v>
      </c>
      <c r="AA359" s="4">
        <v>81</v>
      </c>
      <c r="AB359" s="4">
        <v>2</v>
      </c>
      <c r="AC359" s="4">
        <v>15</v>
      </c>
      <c r="AD359" s="4">
        <v>63</v>
      </c>
      <c r="AE359" s="4">
        <v>121</v>
      </c>
      <c r="AF359" s="4">
        <v>1</v>
      </c>
      <c r="AG359" s="4">
        <v>8</v>
      </c>
      <c r="AH359" s="4">
        <v>55</v>
      </c>
      <c r="AI359" s="4">
        <v>85</v>
      </c>
      <c r="AJ359" s="4">
        <v>8</v>
      </c>
      <c r="AK359" s="4">
        <v>23</v>
      </c>
      <c r="AL359" s="4">
        <v>35</v>
      </c>
      <c r="AM359" s="4">
        <v>46</v>
      </c>
      <c r="AN359" s="4">
        <v>0</v>
      </c>
      <c r="AO359" s="4">
        <v>0</v>
      </c>
      <c r="AP359" s="4">
        <v>9</v>
      </c>
      <c r="AQ359" s="4">
        <v>43</v>
      </c>
      <c r="AR359" s="3" t="s">
        <v>62</v>
      </c>
      <c r="AS359" s="3" t="s">
        <v>62</v>
      </c>
      <c r="AT359" s="3" t="s">
        <v>62</v>
      </c>
      <c r="AV359" s="6" t="str">
        <f>HYPERLINK("http://mcgill.on.worldcat.org/oclc/957696610","Catalog Record")</f>
        <v>Catalog Record</v>
      </c>
      <c r="AW359" s="6" t="str">
        <f>HYPERLINK("http://www.worldcat.org/oclc/957696610","WorldCat Record")</f>
        <v>WorldCat Record</v>
      </c>
      <c r="AX359" s="3" t="s">
        <v>3339</v>
      </c>
      <c r="AY359" s="3" t="s">
        <v>3340</v>
      </c>
      <c r="AZ359" s="3" t="s">
        <v>3341</v>
      </c>
      <c r="BA359" s="3" t="s">
        <v>3341</v>
      </c>
      <c r="BB359" s="3" t="s">
        <v>3342</v>
      </c>
      <c r="BC359" s="3" t="s">
        <v>142</v>
      </c>
      <c r="BD359" s="3" t="s">
        <v>68</v>
      </c>
      <c r="BE359" s="3" t="s">
        <v>3343</v>
      </c>
      <c r="BF359" s="3" t="s">
        <v>3342</v>
      </c>
      <c r="BG359" s="3" t="s">
        <v>3344</v>
      </c>
    </row>
    <row r="360" spans="1:59" ht="57" x14ac:dyDescent="0.45">
      <c r="A360" s="2" t="s">
        <v>59</v>
      </c>
      <c r="B360" s="2" t="s">
        <v>60</v>
      </c>
      <c r="C360" s="2" t="s">
        <v>3334</v>
      </c>
      <c r="D360" s="2" t="s">
        <v>3335</v>
      </c>
      <c r="E360" s="2" t="s">
        <v>3336</v>
      </c>
      <c r="G360" s="3" t="s">
        <v>62</v>
      </c>
      <c r="I360" s="3" t="s">
        <v>61</v>
      </c>
      <c r="J360" s="3" t="s">
        <v>62</v>
      </c>
      <c r="K360" s="3" t="s">
        <v>63</v>
      </c>
      <c r="M360" s="2" t="s">
        <v>3337</v>
      </c>
      <c r="N360" s="3" t="s">
        <v>1918</v>
      </c>
      <c r="P360" s="3" t="s">
        <v>65</v>
      </c>
      <c r="Q360" s="2" t="s">
        <v>3338</v>
      </c>
      <c r="R360" s="3" t="s">
        <v>66</v>
      </c>
      <c r="S360" s="4">
        <v>0</v>
      </c>
      <c r="T360" s="4">
        <v>0</v>
      </c>
      <c r="W360" s="5" t="s">
        <v>67</v>
      </c>
      <c r="X360" s="5" t="s">
        <v>67</v>
      </c>
      <c r="Y360" s="4">
        <v>144</v>
      </c>
      <c r="Z360" s="4">
        <v>10</v>
      </c>
      <c r="AA360" s="4">
        <v>81</v>
      </c>
      <c r="AB360" s="4">
        <v>2</v>
      </c>
      <c r="AC360" s="4">
        <v>15</v>
      </c>
      <c r="AD360" s="4">
        <v>63</v>
      </c>
      <c r="AE360" s="4">
        <v>121</v>
      </c>
      <c r="AF360" s="4">
        <v>1</v>
      </c>
      <c r="AG360" s="4">
        <v>8</v>
      </c>
      <c r="AH360" s="4">
        <v>55</v>
      </c>
      <c r="AI360" s="4">
        <v>85</v>
      </c>
      <c r="AJ360" s="4">
        <v>8</v>
      </c>
      <c r="AK360" s="4">
        <v>23</v>
      </c>
      <c r="AL360" s="4">
        <v>35</v>
      </c>
      <c r="AM360" s="4">
        <v>46</v>
      </c>
      <c r="AN360" s="4">
        <v>0</v>
      </c>
      <c r="AO360" s="4">
        <v>0</v>
      </c>
      <c r="AP360" s="4">
        <v>9</v>
      </c>
      <c r="AQ360" s="4">
        <v>43</v>
      </c>
      <c r="AR360" s="3" t="s">
        <v>62</v>
      </c>
      <c r="AS360" s="3" t="s">
        <v>62</v>
      </c>
      <c r="AT360" s="3" t="s">
        <v>62</v>
      </c>
      <c r="AV360" s="6" t="str">
        <f>HYPERLINK("http://mcgill.on.worldcat.org/oclc/957696610","Catalog Record")</f>
        <v>Catalog Record</v>
      </c>
      <c r="AW360" s="6" t="str">
        <f>HYPERLINK("http://www.worldcat.org/oclc/957696610","WorldCat Record")</f>
        <v>WorldCat Record</v>
      </c>
      <c r="AX360" s="3" t="s">
        <v>3339</v>
      </c>
      <c r="AY360" s="3" t="s">
        <v>3340</v>
      </c>
      <c r="AZ360" s="3" t="s">
        <v>3341</v>
      </c>
      <c r="BA360" s="3" t="s">
        <v>3341</v>
      </c>
      <c r="BB360" s="3" t="s">
        <v>3345</v>
      </c>
      <c r="BC360" s="3" t="s">
        <v>142</v>
      </c>
      <c r="BD360" s="3" t="s">
        <v>68</v>
      </c>
      <c r="BE360" s="3" t="s">
        <v>3343</v>
      </c>
      <c r="BF360" s="3" t="s">
        <v>3345</v>
      </c>
      <c r="BG360" s="3" t="s">
        <v>3346</v>
      </c>
    </row>
    <row r="361" spans="1:59" ht="57" x14ac:dyDescent="0.45">
      <c r="A361" s="2" t="s">
        <v>59</v>
      </c>
      <c r="B361" s="2" t="s">
        <v>60</v>
      </c>
      <c r="C361" s="2" t="s">
        <v>3347</v>
      </c>
      <c r="D361" s="2" t="s">
        <v>3348</v>
      </c>
      <c r="E361" s="2" t="s">
        <v>3349</v>
      </c>
      <c r="G361" s="3" t="s">
        <v>62</v>
      </c>
      <c r="I361" s="3" t="s">
        <v>62</v>
      </c>
      <c r="J361" s="3" t="s">
        <v>62</v>
      </c>
      <c r="K361" s="3" t="s">
        <v>63</v>
      </c>
      <c r="M361" s="2" t="s">
        <v>3350</v>
      </c>
      <c r="N361" s="3" t="s">
        <v>894</v>
      </c>
      <c r="P361" s="3" t="s">
        <v>65</v>
      </c>
      <c r="Q361" s="2" t="s">
        <v>3351</v>
      </c>
      <c r="R361" s="3" t="s">
        <v>66</v>
      </c>
      <c r="S361" s="4">
        <v>1</v>
      </c>
      <c r="T361" s="4">
        <v>1</v>
      </c>
      <c r="U361" s="5" t="s">
        <v>472</v>
      </c>
      <c r="V361" s="5" t="s">
        <v>472</v>
      </c>
      <c r="W361" s="5" t="s">
        <v>67</v>
      </c>
      <c r="X361" s="5" t="s">
        <v>67</v>
      </c>
      <c r="Y361" s="4">
        <v>127</v>
      </c>
      <c r="Z361" s="4">
        <v>17</v>
      </c>
      <c r="AA361" s="4">
        <v>22</v>
      </c>
      <c r="AB361" s="4">
        <v>1</v>
      </c>
      <c r="AC361" s="4">
        <v>3</v>
      </c>
      <c r="AD361" s="4">
        <v>65</v>
      </c>
      <c r="AE361" s="4">
        <v>70</v>
      </c>
      <c r="AF361" s="4">
        <v>0</v>
      </c>
      <c r="AG361" s="4">
        <v>0</v>
      </c>
      <c r="AH361" s="4">
        <v>62</v>
      </c>
      <c r="AI361" s="4">
        <v>65</v>
      </c>
      <c r="AJ361" s="4">
        <v>14</v>
      </c>
      <c r="AK361" s="4">
        <v>16</v>
      </c>
      <c r="AL361" s="4">
        <v>32</v>
      </c>
      <c r="AM361" s="4">
        <v>34</v>
      </c>
      <c r="AN361" s="4">
        <v>0</v>
      </c>
      <c r="AO361" s="4">
        <v>0</v>
      </c>
      <c r="AP361" s="4">
        <v>14</v>
      </c>
      <c r="AQ361" s="4">
        <v>16</v>
      </c>
      <c r="AR361" s="3" t="s">
        <v>62</v>
      </c>
      <c r="AS361" s="3" t="s">
        <v>62</v>
      </c>
      <c r="AT361" s="3" t="s">
        <v>62</v>
      </c>
      <c r="AV361" s="6" t="str">
        <f>HYPERLINK("http://mcgill.on.worldcat.org/oclc/742229802","Catalog Record")</f>
        <v>Catalog Record</v>
      </c>
      <c r="AW361" s="6" t="str">
        <f>HYPERLINK("http://www.worldcat.org/oclc/742229802","WorldCat Record")</f>
        <v>WorldCat Record</v>
      </c>
      <c r="AX361" s="3" t="s">
        <v>3352</v>
      </c>
      <c r="AY361" s="3" t="s">
        <v>3353</v>
      </c>
      <c r="AZ361" s="3" t="s">
        <v>3354</v>
      </c>
      <c r="BA361" s="3" t="s">
        <v>3354</v>
      </c>
      <c r="BB361" s="3" t="s">
        <v>3355</v>
      </c>
      <c r="BC361" s="3" t="s">
        <v>142</v>
      </c>
      <c r="BD361" s="3" t="s">
        <v>68</v>
      </c>
      <c r="BE361" s="3" t="s">
        <v>3356</v>
      </c>
      <c r="BF361" s="3" t="s">
        <v>3355</v>
      </c>
      <c r="BG361" s="3" t="s">
        <v>3357</v>
      </c>
    </row>
    <row r="362" spans="1:59" ht="57" x14ac:dyDescent="0.45">
      <c r="A362" s="2" t="s">
        <v>59</v>
      </c>
      <c r="B362" s="2" t="s">
        <v>60</v>
      </c>
      <c r="C362" s="2" t="s">
        <v>3358</v>
      </c>
      <c r="D362" s="2" t="s">
        <v>3359</v>
      </c>
      <c r="E362" s="2" t="s">
        <v>3360</v>
      </c>
      <c r="G362" s="3" t="s">
        <v>62</v>
      </c>
      <c r="I362" s="3" t="s">
        <v>62</v>
      </c>
      <c r="J362" s="3" t="s">
        <v>62</v>
      </c>
      <c r="K362" s="3" t="s">
        <v>63</v>
      </c>
      <c r="L362" s="2" t="s">
        <v>3361</v>
      </c>
      <c r="M362" s="2" t="s">
        <v>3362</v>
      </c>
      <c r="N362" s="3" t="s">
        <v>149</v>
      </c>
      <c r="P362" s="3" t="s">
        <v>65</v>
      </c>
      <c r="Q362" s="2" t="s">
        <v>3363</v>
      </c>
      <c r="R362" s="3" t="s">
        <v>66</v>
      </c>
      <c r="S362" s="4">
        <v>7</v>
      </c>
      <c r="T362" s="4">
        <v>7</v>
      </c>
      <c r="U362" s="5" t="s">
        <v>3364</v>
      </c>
      <c r="V362" s="5" t="s">
        <v>3364</v>
      </c>
      <c r="W362" s="5" t="s">
        <v>67</v>
      </c>
      <c r="X362" s="5" t="s">
        <v>67</v>
      </c>
      <c r="Y362" s="4">
        <v>144</v>
      </c>
      <c r="Z362" s="4">
        <v>16</v>
      </c>
      <c r="AA362" s="4">
        <v>82</v>
      </c>
      <c r="AB362" s="4">
        <v>1</v>
      </c>
      <c r="AC362" s="4">
        <v>14</v>
      </c>
      <c r="AD362" s="4">
        <v>41</v>
      </c>
      <c r="AE362" s="4">
        <v>97</v>
      </c>
      <c r="AF362" s="4">
        <v>0</v>
      </c>
      <c r="AG362" s="4">
        <v>8</v>
      </c>
      <c r="AH362" s="4">
        <v>37</v>
      </c>
      <c r="AI362" s="4">
        <v>66</v>
      </c>
      <c r="AJ362" s="4">
        <v>11</v>
      </c>
      <c r="AK362" s="4">
        <v>23</v>
      </c>
      <c r="AL362" s="4">
        <v>19</v>
      </c>
      <c r="AM362" s="4">
        <v>32</v>
      </c>
      <c r="AN362" s="4">
        <v>0</v>
      </c>
      <c r="AO362" s="4">
        <v>0</v>
      </c>
      <c r="AP362" s="4">
        <v>13</v>
      </c>
      <c r="AQ362" s="4">
        <v>42</v>
      </c>
      <c r="AR362" s="3" t="s">
        <v>62</v>
      </c>
      <c r="AS362" s="3" t="s">
        <v>62</v>
      </c>
      <c r="AT362" s="3" t="s">
        <v>62</v>
      </c>
      <c r="AV362" s="6" t="str">
        <f>HYPERLINK("http://mcgill.on.worldcat.org/oclc/504281294","Catalog Record")</f>
        <v>Catalog Record</v>
      </c>
      <c r="AW362" s="6" t="str">
        <f>HYPERLINK("http://www.worldcat.org/oclc/504281294","WorldCat Record")</f>
        <v>WorldCat Record</v>
      </c>
      <c r="AX362" s="3" t="s">
        <v>3365</v>
      </c>
      <c r="AY362" s="3" t="s">
        <v>3366</v>
      </c>
      <c r="AZ362" s="3" t="s">
        <v>3367</v>
      </c>
      <c r="BA362" s="3" t="s">
        <v>3367</v>
      </c>
      <c r="BB362" s="3" t="s">
        <v>3368</v>
      </c>
      <c r="BC362" s="3" t="s">
        <v>142</v>
      </c>
      <c r="BD362" s="3" t="s">
        <v>68</v>
      </c>
      <c r="BE362" s="3" t="s">
        <v>3369</v>
      </c>
      <c r="BF362" s="3" t="s">
        <v>3368</v>
      </c>
      <c r="BG362" s="3" t="s">
        <v>3370</v>
      </c>
    </row>
    <row r="363" spans="1:59" ht="57" x14ac:dyDescent="0.45">
      <c r="A363" s="2" t="s">
        <v>59</v>
      </c>
      <c r="B363" s="2" t="s">
        <v>60</v>
      </c>
      <c r="C363" s="2" t="s">
        <v>3371</v>
      </c>
      <c r="D363" s="2" t="s">
        <v>3372</v>
      </c>
      <c r="E363" s="2" t="s">
        <v>3373</v>
      </c>
      <c r="G363" s="3" t="s">
        <v>62</v>
      </c>
      <c r="I363" s="3" t="s">
        <v>62</v>
      </c>
      <c r="J363" s="3" t="s">
        <v>62</v>
      </c>
      <c r="K363" s="3" t="s">
        <v>63</v>
      </c>
      <c r="L363" s="2" t="s">
        <v>3374</v>
      </c>
      <c r="M363" s="2" t="s">
        <v>3350</v>
      </c>
      <c r="N363" s="3" t="s">
        <v>894</v>
      </c>
      <c r="P363" s="3" t="s">
        <v>65</v>
      </c>
      <c r="Q363" s="2" t="s">
        <v>3375</v>
      </c>
      <c r="R363" s="3" t="s">
        <v>66</v>
      </c>
      <c r="S363" s="4">
        <v>3</v>
      </c>
      <c r="T363" s="4">
        <v>3</v>
      </c>
      <c r="U363" s="5" t="s">
        <v>3376</v>
      </c>
      <c r="V363" s="5" t="s">
        <v>3376</v>
      </c>
      <c r="W363" s="5" t="s">
        <v>67</v>
      </c>
      <c r="X363" s="5" t="s">
        <v>67</v>
      </c>
      <c r="Y363" s="4">
        <v>133</v>
      </c>
      <c r="Z363" s="4">
        <v>17</v>
      </c>
      <c r="AA363" s="4">
        <v>25</v>
      </c>
      <c r="AB363" s="4">
        <v>2</v>
      </c>
      <c r="AC363" s="4">
        <v>4</v>
      </c>
      <c r="AD363" s="4">
        <v>63</v>
      </c>
      <c r="AE363" s="4">
        <v>71</v>
      </c>
      <c r="AF363" s="4">
        <v>1</v>
      </c>
      <c r="AG363" s="4">
        <v>1</v>
      </c>
      <c r="AH363" s="4">
        <v>58</v>
      </c>
      <c r="AI363" s="4">
        <v>65</v>
      </c>
      <c r="AJ363" s="4">
        <v>11</v>
      </c>
      <c r="AK363" s="4">
        <v>15</v>
      </c>
      <c r="AL363" s="4">
        <v>30</v>
      </c>
      <c r="AM363" s="4">
        <v>32</v>
      </c>
      <c r="AN363" s="4">
        <v>0</v>
      </c>
      <c r="AO363" s="4">
        <v>0</v>
      </c>
      <c r="AP363" s="4">
        <v>13</v>
      </c>
      <c r="AQ363" s="4">
        <v>17</v>
      </c>
      <c r="AR363" s="3" t="s">
        <v>62</v>
      </c>
      <c r="AS363" s="3" t="s">
        <v>62</v>
      </c>
      <c r="AT363" s="3" t="s">
        <v>62</v>
      </c>
      <c r="AV363" s="6" t="str">
        <f>HYPERLINK("http://mcgill.on.worldcat.org/oclc/700205589","Catalog Record")</f>
        <v>Catalog Record</v>
      </c>
      <c r="AW363" s="6" t="str">
        <f>HYPERLINK("http://www.worldcat.org/oclc/700205589","WorldCat Record")</f>
        <v>WorldCat Record</v>
      </c>
      <c r="AX363" s="3" t="s">
        <v>3377</v>
      </c>
      <c r="AY363" s="3" t="s">
        <v>3378</v>
      </c>
      <c r="AZ363" s="3" t="s">
        <v>3379</v>
      </c>
      <c r="BA363" s="3" t="s">
        <v>3379</v>
      </c>
      <c r="BB363" s="3" t="s">
        <v>3380</v>
      </c>
      <c r="BC363" s="3" t="s">
        <v>142</v>
      </c>
      <c r="BD363" s="3" t="s">
        <v>68</v>
      </c>
      <c r="BE363" s="3" t="s">
        <v>3381</v>
      </c>
      <c r="BF363" s="3" t="s">
        <v>3380</v>
      </c>
      <c r="BG363" s="3" t="s">
        <v>3382</v>
      </c>
    </row>
    <row r="364" spans="1:59" ht="57" x14ac:dyDescent="0.45">
      <c r="A364" s="2" t="s">
        <v>59</v>
      </c>
      <c r="B364" s="2" t="s">
        <v>60</v>
      </c>
      <c r="C364" s="2" t="s">
        <v>3383</v>
      </c>
      <c r="D364" s="2" t="s">
        <v>3384</v>
      </c>
      <c r="E364" s="2" t="s">
        <v>3385</v>
      </c>
      <c r="G364" s="3" t="s">
        <v>62</v>
      </c>
      <c r="I364" s="3" t="s">
        <v>62</v>
      </c>
      <c r="J364" s="3" t="s">
        <v>62</v>
      </c>
      <c r="K364" s="3" t="s">
        <v>63</v>
      </c>
      <c r="L364" s="2" t="s">
        <v>3374</v>
      </c>
      <c r="M364" s="2" t="s">
        <v>3386</v>
      </c>
      <c r="N364" s="3" t="s">
        <v>116</v>
      </c>
      <c r="P364" s="3" t="s">
        <v>65</v>
      </c>
      <c r="Q364" s="2" t="s">
        <v>3387</v>
      </c>
      <c r="R364" s="3" t="s">
        <v>66</v>
      </c>
      <c r="S364" s="4">
        <v>4</v>
      </c>
      <c r="T364" s="4">
        <v>4</v>
      </c>
      <c r="U364" s="5" t="s">
        <v>3388</v>
      </c>
      <c r="V364" s="5" t="s">
        <v>3388</v>
      </c>
      <c r="W364" s="5" t="s">
        <v>67</v>
      </c>
      <c r="X364" s="5" t="s">
        <v>67</v>
      </c>
      <c r="Y364" s="4">
        <v>394</v>
      </c>
      <c r="Z364" s="4">
        <v>21</v>
      </c>
      <c r="AA364" s="4">
        <v>27</v>
      </c>
      <c r="AB364" s="4">
        <v>1</v>
      </c>
      <c r="AC364" s="4">
        <v>2</v>
      </c>
      <c r="AD364" s="4">
        <v>71</v>
      </c>
      <c r="AE364" s="4">
        <v>77</v>
      </c>
      <c r="AF364" s="4">
        <v>0</v>
      </c>
      <c r="AG364" s="4">
        <v>0</v>
      </c>
      <c r="AH364" s="4">
        <v>63</v>
      </c>
      <c r="AI364" s="4">
        <v>65</v>
      </c>
      <c r="AJ364" s="4">
        <v>12</v>
      </c>
      <c r="AK364" s="4">
        <v>14</v>
      </c>
      <c r="AL364" s="4">
        <v>39</v>
      </c>
      <c r="AM364" s="4">
        <v>40</v>
      </c>
      <c r="AN364" s="4">
        <v>0</v>
      </c>
      <c r="AO364" s="4">
        <v>0</v>
      </c>
      <c r="AP364" s="4">
        <v>13</v>
      </c>
      <c r="AQ364" s="4">
        <v>18</v>
      </c>
      <c r="AR364" s="3" t="s">
        <v>62</v>
      </c>
      <c r="AS364" s="3" t="s">
        <v>62</v>
      </c>
      <c r="AT364" s="3" t="s">
        <v>62</v>
      </c>
      <c r="AV364" s="6" t="str">
        <f>HYPERLINK("http://mcgill.on.worldcat.org/oclc/818734481","Catalog Record")</f>
        <v>Catalog Record</v>
      </c>
      <c r="AW364" s="6" t="str">
        <f>HYPERLINK("http://www.worldcat.org/oclc/818734481","WorldCat Record")</f>
        <v>WorldCat Record</v>
      </c>
      <c r="AX364" s="3" t="s">
        <v>3389</v>
      </c>
      <c r="AY364" s="3" t="s">
        <v>3390</v>
      </c>
      <c r="AZ364" s="3" t="s">
        <v>3391</v>
      </c>
      <c r="BA364" s="3" t="s">
        <v>3391</v>
      </c>
      <c r="BB364" s="3" t="s">
        <v>3392</v>
      </c>
      <c r="BC364" s="3" t="s">
        <v>142</v>
      </c>
      <c r="BD364" s="3" t="s">
        <v>68</v>
      </c>
      <c r="BE364" s="3" t="s">
        <v>3393</v>
      </c>
      <c r="BF364" s="3" t="s">
        <v>3392</v>
      </c>
      <c r="BG364" s="3" t="s">
        <v>3394</v>
      </c>
    </row>
    <row r="365" spans="1:59" ht="57" x14ac:dyDescent="0.45">
      <c r="A365" s="2" t="s">
        <v>59</v>
      </c>
      <c r="B365" s="2" t="s">
        <v>60</v>
      </c>
      <c r="C365" s="2" t="s">
        <v>3395</v>
      </c>
      <c r="D365" s="2" t="s">
        <v>3396</v>
      </c>
      <c r="E365" s="2" t="s">
        <v>3397</v>
      </c>
      <c r="G365" s="3" t="s">
        <v>62</v>
      </c>
      <c r="I365" s="3" t="s">
        <v>62</v>
      </c>
      <c r="J365" s="3" t="s">
        <v>62</v>
      </c>
      <c r="K365" s="3" t="s">
        <v>63</v>
      </c>
      <c r="M365" s="2" t="s">
        <v>3398</v>
      </c>
      <c r="N365" s="3" t="s">
        <v>894</v>
      </c>
      <c r="P365" s="3" t="s">
        <v>65</v>
      </c>
      <c r="Q365" s="2" t="s">
        <v>3399</v>
      </c>
      <c r="R365" s="3" t="s">
        <v>66</v>
      </c>
      <c r="S365" s="4">
        <v>8</v>
      </c>
      <c r="T365" s="4">
        <v>8</v>
      </c>
      <c r="U365" s="5" t="s">
        <v>1501</v>
      </c>
      <c r="V365" s="5" t="s">
        <v>1501</v>
      </c>
      <c r="W365" s="5" t="s">
        <v>67</v>
      </c>
      <c r="X365" s="5" t="s">
        <v>67</v>
      </c>
      <c r="Y365" s="4">
        <v>203</v>
      </c>
      <c r="Z365" s="4">
        <v>19</v>
      </c>
      <c r="AA365" s="4">
        <v>21</v>
      </c>
      <c r="AB365" s="4">
        <v>2</v>
      </c>
      <c r="AC365" s="4">
        <v>3</v>
      </c>
      <c r="AD365" s="4">
        <v>88</v>
      </c>
      <c r="AE365" s="4">
        <v>93</v>
      </c>
      <c r="AF365" s="4">
        <v>1</v>
      </c>
      <c r="AG365" s="4">
        <v>2</v>
      </c>
      <c r="AH365" s="4">
        <v>81</v>
      </c>
      <c r="AI365" s="4">
        <v>83</v>
      </c>
      <c r="AJ365" s="4">
        <v>14</v>
      </c>
      <c r="AK365" s="4">
        <v>16</v>
      </c>
      <c r="AL365" s="4">
        <v>45</v>
      </c>
      <c r="AM365" s="4">
        <v>46</v>
      </c>
      <c r="AN365" s="4">
        <v>0</v>
      </c>
      <c r="AO365" s="4">
        <v>0</v>
      </c>
      <c r="AP365" s="4">
        <v>16</v>
      </c>
      <c r="AQ365" s="4">
        <v>18</v>
      </c>
      <c r="AR365" s="3" t="s">
        <v>62</v>
      </c>
      <c r="AS365" s="3" t="s">
        <v>62</v>
      </c>
      <c r="AT365" s="3" t="s">
        <v>62</v>
      </c>
      <c r="AV365" s="6" t="str">
        <f>HYPERLINK("http://mcgill.on.worldcat.org/oclc/703205183","Catalog Record")</f>
        <v>Catalog Record</v>
      </c>
      <c r="AW365" s="6" t="str">
        <f>HYPERLINK("http://www.worldcat.org/oclc/703205183","WorldCat Record")</f>
        <v>WorldCat Record</v>
      </c>
      <c r="AX365" s="3" t="s">
        <v>3400</v>
      </c>
      <c r="AY365" s="3" t="s">
        <v>3401</v>
      </c>
      <c r="AZ365" s="3" t="s">
        <v>3402</v>
      </c>
      <c r="BA365" s="3" t="s">
        <v>3402</v>
      </c>
      <c r="BB365" s="3" t="s">
        <v>3403</v>
      </c>
      <c r="BC365" s="3" t="s">
        <v>142</v>
      </c>
      <c r="BD365" s="3" t="s">
        <v>308</v>
      </c>
      <c r="BE365" s="3" t="s">
        <v>3404</v>
      </c>
      <c r="BF365" s="3" t="s">
        <v>3403</v>
      </c>
      <c r="BG365" s="3" t="s">
        <v>3405</v>
      </c>
    </row>
    <row r="366" spans="1:59" ht="57" x14ac:dyDescent="0.45">
      <c r="A366" s="2" t="s">
        <v>59</v>
      </c>
      <c r="B366" s="2" t="s">
        <v>60</v>
      </c>
      <c r="C366" s="2" t="s">
        <v>3406</v>
      </c>
      <c r="D366" s="2" t="s">
        <v>3407</v>
      </c>
      <c r="E366" s="2" t="s">
        <v>3408</v>
      </c>
      <c r="G366" s="3" t="s">
        <v>62</v>
      </c>
      <c r="I366" s="3" t="s">
        <v>62</v>
      </c>
      <c r="J366" s="3" t="s">
        <v>62</v>
      </c>
      <c r="K366" s="3" t="s">
        <v>63</v>
      </c>
      <c r="L366" s="2" t="s">
        <v>3409</v>
      </c>
      <c r="M366" s="2" t="s">
        <v>3410</v>
      </c>
      <c r="N366" s="3" t="s">
        <v>542</v>
      </c>
      <c r="O366" s="2" t="s">
        <v>933</v>
      </c>
      <c r="P366" s="3" t="s">
        <v>65</v>
      </c>
      <c r="Q366" s="2" t="s">
        <v>3411</v>
      </c>
      <c r="R366" s="3" t="s">
        <v>66</v>
      </c>
      <c r="S366" s="4">
        <v>97</v>
      </c>
      <c r="T366" s="4">
        <v>97</v>
      </c>
      <c r="U366" s="5" t="s">
        <v>3412</v>
      </c>
      <c r="V366" s="5" t="s">
        <v>3412</v>
      </c>
      <c r="W366" s="5" t="s">
        <v>67</v>
      </c>
      <c r="X366" s="5" t="s">
        <v>67</v>
      </c>
      <c r="Y366" s="4">
        <v>310</v>
      </c>
      <c r="Z366" s="4">
        <v>27</v>
      </c>
      <c r="AA366" s="4">
        <v>57</v>
      </c>
      <c r="AB366" s="4">
        <v>1</v>
      </c>
      <c r="AC366" s="4">
        <v>10</v>
      </c>
      <c r="AD366" s="4">
        <v>49</v>
      </c>
      <c r="AE366" s="4">
        <v>132</v>
      </c>
      <c r="AF366" s="4">
        <v>0</v>
      </c>
      <c r="AG366" s="4">
        <v>5</v>
      </c>
      <c r="AH366" s="4">
        <v>42</v>
      </c>
      <c r="AI366" s="4">
        <v>103</v>
      </c>
      <c r="AJ366" s="4">
        <v>9</v>
      </c>
      <c r="AK366" s="4">
        <v>25</v>
      </c>
      <c r="AL366" s="4">
        <v>24</v>
      </c>
      <c r="AM366" s="4">
        <v>56</v>
      </c>
      <c r="AN366" s="4">
        <v>0</v>
      </c>
      <c r="AO366" s="4">
        <v>0</v>
      </c>
      <c r="AP366" s="4">
        <v>15</v>
      </c>
      <c r="AQ366" s="4">
        <v>39</v>
      </c>
      <c r="AR366" s="3" t="s">
        <v>62</v>
      </c>
      <c r="AS366" s="3" t="s">
        <v>62</v>
      </c>
      <c r="AT366" s="3" t="s">
        <v>61</v>
      </c>
      <c r="AU366" s="6" t="str">
        <f>HYPERLINK("http://catalog.hathitrust.org/Record/007140775","HathiTrust Record")</f>
        <v>HathiTrust Record</v>
      </c>
      <c r="AV366" s="6" t="str">
        <f>HYPERLINK("http://mcgill.on.worldcat.org/oclc/45835641","Catalog Record")</f>
        <v>Catalog Record</v>
      </c>
      <c r="AW366" s="6" t="str">
        <f>HYPERLINK("http://www.worldcat.org/oclc/45835641","WorldCat Record")</f>
        <v>WorldCat Record</v>
      </c>
      <c r="AX366" s="3" t="s">
        <v>3413</v>
      </c>
      <c r="AY366" s="3" t="s">
        <v>3414</v>
      </c>
      <c r="AZ366" s="3" t="s">
        <v>3415</v>
      </c>
      <c r="BA366" s="3" t="s">
        <v>3415</v>
      </c>
      <c r="BB366" s="3" t="s">
        <v>3416</v>
      </c>
      <c r="BC366" s="3" t="s">
        <v>142</v>
      </c>
      <c r="BD366" s="3" t="s">
        <v>308</v>
      </c>
      <c r="BE366" s="3" t="s">
        <v>3417</v>
      </c>
      <c r="BF366" s="3" t="s">
        <v>3416</v>
      </c>
      <c r="BG366" s="3" t="s">
        <v>3418</v>
      </c>
    </row>
    <row r="367" spans="1:59" ht="57" x14ac:dyDescent="0.45">
      <c r="A367" s="2" t="s">
        <v>59</v>
      </c>
      <c r="B367" s="2" t="s">
        <v>60</v>
      </c>
      <c r="C367" s="2" t="s">
        <v>3419</v>
      </c>
      <c r="D367" s="2" t="s">
        <v>3420</v>
      </c>
      <c r="E367" s="2" t="s">
        <v>3421</v>
      </c>
      <c r="G367" s="3" t="s">
        <v>62</v>
      </c>
      <c r="I367" s="3" t="s">
        <v>62</v>
      </c>
      <c r="J367" s="3" t="s">
        <v>62</v>
      </c>
      <c r="K367" s="3" t="s">
        <v>63</v>
      </c>
      <c r="L367" s="2" t="s">
        <v>3422</v>
      </c>
      <c r="M367" s="2" t="s">
        <v>3423</v>
      </c>
      <c r="N367" s="3" t="s">
        <v>1478</v>
      </c>
      <c r="P367" s="3" t="s">
        <v>65</v>
      </c>
      <c r="Q367" s="2" t="s">
        <v>1805</v>
      </c>
      <c r="R367" s="3" t="s">
        <v>66</v>
      </c>
      <c r="S367" s="4">
        <v>11</v>
      </c>
      <c r="T367" s="4">
        <v>11</v>
      </c>
      <c r="U367" s="5" t="s">
        <v>3424</v>
      </c>
      <c r="V367" s="5" t="s">
        <v>3424</v>
      </c>
      <c r="W367" s="5" t="s">
        <v>67</v>
      </c>
      <c r="X367" s="5" t="s">
        <v>67</v>
      </c>
      <c r="Y367" s="4">
        <v>309</v>
      </c>
      <c r="Z367" s="4">
        <v>13</v>
      </c>
      <c r="AA367" s="4">
        <v>107</v>
      </c>
      <c r="AB367" s="4">
        <v>2</v>
      </c>
      <c r="AC367" s="4">
        <v>21</v>
      </c>
      <c r="AD367" s="4">
        <v>84</v>
      </c>
      <c r="AE367" s="4">
        <v>142</v>
      </c>
      <c r="AF367" s="4">
        <v>1</v>
      </c>
      <c r="AG367" s="4">
        <v>9</v>
      </c>
      <c r="AH367" s="4">
        <v>75</v>
      </c>
      <c r="AI367" s="4">
        <v>93</v>
      </c>
      <c r="AJ367" s="4">
        <v>8</v>
      </c>
      <c r="AK367" s="4">
        <v>26</v>
      </c>
      <c r="AL367" s="4">
        <v>44</v>
      </c>
      <c r="AM367" s="4">
        <v>48</v>
      </c>
      <c r="AN367" s="4">
        <v>0</v>
      </c>
      <c r="AO367" s="4">
        <v>0</v>
      </c>
      <c r="AP367" s="4">
        <v>11</v>
      </c>
      <c r="AQ367" s="4">
        <v>56</v>
      </c>
      <c r="AR367" s="3" t="s">
        <v>62</v>
      </c>
      <c r="AS367" s="3" t="s">
        <v>62</v>
      </c>
      <c r="AT367" s="3" t="s">
        <v>61</v>
      </c>
      <c r="AU367" s="6" t="str">
        <f>HYPERLINK("http://catalog.hathitrust.org/Record/003042952","HathiTrust Record")</f>
        <v>HathiTrust Record</v>
      </c>
      <c r="AV367" s="6" t="str">
        <f>HYPERLINK("http://mcgill.on.worldcat.org/oclc/31433893","Catalog Record")</f>
        <v>Catalog Record</v>
      </c>
      <c r="AW367" s="6" t="str">
        <f>HYPERLINK("http://www.worldcat.org/oclc/31433893","WorldCat Record")</f>
        <v>WorldCat Record</v>
      </c>
      <c r="AX367" s="3" t="s">
        <v>3425</v>
      </c>
      <c r="AY367" s="3" t="s">
        <v>3426</v>
      </c>
      <c r="AZ367" s="3" t="s">
        <v>3427</v>
      </c>
      <c r="BA367" s="3" t="s">
        <v>3427</v>
      </c>
      <c r="BB367" s="3" t="s">
        <v>3428</v>
      </c>
      <c r="BC367" s="3" t="s">
        <v>142</v>
      </c>
      <c r="BD367" s="3" t="s">
        <v>68</v>
      </c>
      <c r="BE367" s="3" t="s">
        <v>3429</v>
      </c>
      <c r="BF367" s="3" t="s">
        <v>3428</v>
      </c>
      <c r="BG367" s="3" t="s">
        <v>3430</v>
      </c>
    </row>
    <row r="368" spans="1:59" ht="57" x14ac:dyDescent="0.45">
      <c r="A368" s="2" t="s">
        <v>59</v>
      </c>
      <c r="B368" s="2" t="s">
        <v>60</v>
      </c>
      <c r="C368" s="2" t="s">
        <v>3431</v>
      </c>
      <c r="D368" s="2" t="s">
        <v>3432</v>
      </c>
      <c r="E368" s="2" t="s">
        <v>3433</v>
      </c>
      <c r="G368" s="3" t="s">
        <v>62</v>
      </c>
      <c r="I368" s="3" t="s">
        <v>62</v>
      </c>
      <c r="J368" s="3" t="s">
        <v>62</v>
      </c>
      <c r="K368" s="3" t="s">
        <v>63</v>
      </c>
      <c r="L368" s="2" t="s">
        <v>3434</v>
      </c>
      <c r="M368" s="2" t="s">
        <v>3435</v>
      </c>
      <c r="N368" s="3" t="s">
        <v>1604</v>
      </c>
      <c r="O368" s="2" t="s">
        <v>168</v>
      </c>
      <c r="P368" s="3" t="s">
        <v>65</v>
      </c>
      <c r="Q368" s="2" t="s">
        <v>3436</v>
      </c>
      <c r="R368" s="3" t="s">
        <v>66</v>
      </c>
      <c r="S368" s="4">
        <v>16</v>
      </c>
      <c r="T368" s="4">
        <v>16</v>
      </c>
      <c r="U368" s="5" t="s">
        <v>3437</v>
      </c>
      <c r="V368" s="5" t="s">
        <v>3437</v>
      </c>
      <c r="W368" s="5" t="s">
        <v>67</v>
      </c>
      <c r="X368" s="5" t="s">
        <v>67</v>
      </c>
      <c r="Y368" s="4">
        <v>201</v>
      </c>
      <c r="Z368" s="4">
        <v>11</v>
      </c>
      <c r="AA368" s="4">
        <v>19</v>
      </c>
      <c r="AB368" s="4">
        <v>2</v>
      </c>
      <c r="AC368" s="4">
        <v>4</v>
      </c>
      <c r="AD368" s="4">
        <v>73</v>
      </c>
      <c r="AE368" s="4">
        <v>83</v>
      </c>
      <c r="AF368" s="4">
        <v>1</v>
      </c>
      <c r="AG368" s="4">
        <v>1</v>
      </c>
      <c r="AH368" s="4">
        <v>67</v>
      </c>
      <c r="AI368" s="4">
        <v>74</v>
      </c>
      <c r="AJ368" s="4">
        <v>8</v>
      </c>
      <c r="AK368" s="4">
        <v>12</v>
      </c>
      <c r="AL368" s="4">
        <v>40</v>
      </c>
      <c r="AM368" s="4">
        <v>43</v>
      </c>
      <c r="AN368" s="4">
        <v>0</v>
      </c>
      <c r="AO368" s="4">
        <v>0</v>
      </c>
      <c r="AP368" s="4">
        <v>10</v>
      </c>
      <c r="AQ368" s="4">
        <v>15</v>
      </c>
      <c r="AR368" s="3" t="s">
        <v>62</v>
      </c>
      <c r="AS368" s="3" t="s">
        <v>62</v>
      </c>
      <c r="AT368" s="3" t="s">
        <v>61</v>
      </c>
      <c r="AU368" s="6" t="str">
        <f>HYPERLINK("http://catalog.hathitrust.org/Record/002912112","HathiTrust Record")</f>
        <v>HathiTrust Record</v>
      </c>
      <c r="AV368" s="6" t="str">
        <f>HYPERLINK("http://mcgill.on.worldcat.org/oclc/30109623","Catalog Record")</f>
        <v>Catalog Record</v>
      </c>
      <c r="AW368" s="6" t="str">
        <f>HYPERLINK("http://www.worldcat.org/oclc/30109623","WorldCat Record")</f>
        <v>WorldCat Record</v>
      </c>
      <c r="AX368" s="3" t="s">
        <v>3438</v>
      </c>
      <c r="AY368" s="3" t="s">
        <v>3439</v>
      </c>
      <c r="AZ368" s="3" t="s">
        <v>3440</v>
      </c>
      <c r="BA368" s="3" t="s">
        <v>3440</v>
      </c>
      <c r="BB368" s="3" t="s">
        <v>3441</v>
      </c>
      <c r="BC368" s="3" t="s">
        <v>142</v>
      </c>
      <c r="BD368" s="3" t="s">
        <v>308</v>
      </c>
      <c r="BE368" s="3" t="s">
        <v>3442</v>
      </c>
      <c r="BF368" s="3" t="s">
        <v>3441</v>
      </c>
      <c r="BG368" s="3" t="s">
        <v>3443</v>
      </c>
    </row>
    <row r="369" spans="1:59" ht="57" x14ac:dyDescent="0.45">
      <c r="A369" s="2" t="s">
        <v>59</v>
      </c>
      <c r="B369" s="2" t="s">
        <v>60</v>
      </c>
      <c r="C369" s="2" t="s">
        <v>3444</v>
      </c>
      <c r="D369" s="2" t="s">
        <v>3445</v>
      </c>
      <c r="E369" s="2" t="s">
        <v>3446</v>
      </c>
      <c r="G369" s="3" t="s">
        <v>62</v>
      </c>
      <c r="I369" s="3" t="s">
        <v>62</v>
      </c>
      <c r="J369" s="3" t="s">
        <v>62</v>
      </c>
      <c r="K369" s="3" t="s">
        <v>63</v>
      </c>
      <c r="L369" s="2" t="s">
        <v>1237</v>
      </c>
      <c r="M369" s="2" t="s">
        <v>3447</v>
      </c>
      <c r="N369" s="3" t="s">
        <v>1059</v>
      </c>
      <c r="P369" s="3" t="s">
        <v>65</v>
      </c>
      <c r="Q369" s="2" t="s">
        <v>3448</v>
      </c>
      <c r="R369" s="3" t="s">
        <v>66</v>
      </c>
      <c r="S369" s="4">
        <v>21</v>
      </c>
      <c r="T369" s="4">
        <v>21</v>
      </c>
      <c r="U369" s="5" t="s">
        <v>3449</v>
      </c>
      <c r="V369" s="5" t="s">
        <v>3449</v>
      </c>
      <c r="W369" s="5" t="s">
        <v>67</v>
      </c>
      <c r="X369" s="5" t="s">
        <v>67</v>
      </c>
      <c r="Y369" s="4">
        <v>194</v>
      </c>
      <c r="Z369" s="4">
        <v>24</v>
      </c>
      <c r="AA369" s="4">
        <v>25</v>
      </c>
      <c r="AB369" s="4">
        <v>2</v>
      </c>
      <c r="AC369" s="4">
        <v>3</v>
      </c>
      <c r="AD369" s="4">
        <v>70</v>
      </c>
      <c r="AE369" s="4">
        <v>71</v>
      </c>
      <c r="AF369" s="4">
        <v>1</v>
      </c>
      <c r="AG369" s="4">
        <v>2</v>
      </c>
      <c r="AH369" s="4">
        <v>61</v>
      </c>
      <c r="AI369" s="4">
        <v>61</v>
      </c>
      <c r="AJ369" s="4">
        <v>18</v>
      </c>
      <c r="AK369" s="4">
        <v>19</v>
      </c>
      <c r="AL369" s="4">
        <v>33</v>
      </c>
      <c r="AM369" s="4">
        <v>33</v>
      </c>
      <c r="AN369" s="4">
        <v>0</v>
      </c>
      <c r="AO369" s="4">
        <v>0</v>
      </c>
      <c r="AP369" s="4">
        <v>21</v>
      </c>
      <c r="AQ369" s="4">
        <v>22</v>
      </c>
      <c r="AR369" s="3" t="s">
        <v>62</v>
      </c>
      <c r="AS369" s="3" t="s">
        <v>62</v>
      </c>
      <c r="AT369" s="3" t="s">
        <v>61</v>
      </c>
      <c r="AU369" s="6" t="str">
        <f>HYPERLINK("http://catalog.hathitrust.org/Record/005283361","HathiTrust Record")</f>
        <v>HathiTrust Record</v>
      </c>
      <c r="AV369" s="6" t="str">
        <f>HYPERLINK("http://mcgill.on.worldcat.org/oclc/65425931","Catalog Record")</f>
        <v>Catalog Record</v>
      </c>
      <c r="AW369" s="6" t="str">
        <f>HYPERLINK("http://www.worldcat.org/oclc/65425931","WorldCat Record")</f>
        <v>WorldCat Record</v>
      </c>
      <c r="AX369" s="3" t="s">
        <v>3450</v>
      </c>
      <c r="AY369" s="3" t="s">
        <v>3451</v>
      </c>
      <c r="AZ369" s="3" t="s">
        <v>3452</v>
      </c>
      <c r="BA369" s="3" t="s">
        <v>3452</v>
      </c>
      <c r="BB369" s="3" t="s">
        <v>3453</v>
      </c>
      <c r="BC369" s="3" t="s">
        <v>142</v>
      </c>
      <c r="BD369" s="3" t="s">
        <v>68</v>
      </c>
      <c r="BE369" s="3" t="s">
        <v>3454</v>
      </c>
      <c r="BF369" s="3" t="s">
        <v>3453</v>
      </c>
      <c r="BG369" s="3" t="s">
        <v>3455</v>
      </c>
    </row>
    <row r="370" spans="1:59" ht="57" x14ac:dyDescent="0.45">
      <c r="A370" s="2" t="s">
        <v>59</v>
      </c>
      <c r="B370" s="2" t="s">
        <v>60</v>
      </c>
      <c r="C370" s="2" t="s">
        <v>3456</v>
      </c>
      <c r="D370" s="2" t="s">
        <v>3457</v>
      </c>
      <c r="E370" s="2" t="s">
        <v>3458</v>
      </c>
      <c r="G370" s="3" t="s">
        <v>62</v>
      </c>
      <c r="I370" s="3" t="s">
        <v>62</v>
      </c>
      <c r="J370" s="3" t="s">
        <v>62</v>
      </c>
      <c r="K370" s="3" t="s">
        <v>63</v>
      </c>
      <c r="M370" s="2" t="s">
        <v>3459</v>
      </c>
      <c r="N370" s="3" t="s">
        <v>1918</v>
      </c>
      <c r="P370" s="3" t="s">
        <v>110</v>
      </c>
      <c r="Q370" s="2" t="s">
        <v>3460</v>
      </c>
      <c r="R370" s="3" t="s">
        <v>66</v>
      </c>
      <c r="S370" s="4">
        <v>0</v>
      </c>
      <c r="T370" s="4">
        <v>0</v>
      </c>
      <c r="W370" s="5" t="s">
        <v>67</v>
      </c>
      <c r="X370" s="5" t="s">
        <v>67</v>
      </c>
      <c r="Y370" s="4">
        <v>13</v>
      </c>
      <c r="Z370" s="4">
        <v>3</v>
      </c>
      <c r="AA370" s="4">
        <v>4</v>
      </c>
      <c r="AB370" s="4">
        <v>1</v>
      </c>
      <c r="AC370" s="4">
        <v>2</v>
      </c>
      <c r="AD370" s="4">
        <v>9</v>
      </c>
      <c r="AE370" s="4">
        <v>9</v>
      </c>
      <c r="AF370" s="4">
        <v>0</v>
      </c>
      <c r="AG370" s="4">
        <v>0</v>
      </c>
      <c r="AH370" s="4">
        <v>8</v>
      </c>
      <c r="AI370" s="4">
        <v>8</v>
      </c>
      <c r="AJ370" s="4">
        <v>2</v>
      </c>
      <c r="AK370" s="4">
        <v>2</v>
      </c>
      <c r="AL370" s="4">
        <v>7</v>
      </c>
      <c r="AM370" s="4">
        <v>7</v>
      </c>
      <c r="AN370" s="4">
        <v>0</v>
      </c>
      <c r="AO370" s="4">
        <v>0</v>
      </c>
      <c r="AP370" s="4">
        <v>2</v>
      </c>
      <c r="AQ370" s="4">
        <v>2</v>
      </c>
      <c r="AR370" s="3" t="s">
        <v>62</v>
      </c>
      <c r="AS370" s="3" t="s">
        <v>62</v>
      </c>
      <c r="AT370" s="3" t="s">
        <v>62</v>
      </c>
      <c r="AV370" s="6" t="str">
        <f>HYPERLINK("http://mcgill.on.worldcat.org/oclc/1012706351","Catalog Record")</f>
        <v>Catalog Record</v>
      </c>
      <c r="AW370" s="6" t="str">
        <f>HYPERLINK("http://www.worldcat.org/oclc/1012706351","WorldCat Record")</f>
        <v>WorldCat Record</v>
      </c>
      <c r="AX370" s="3" t="s">
        <v>3461</v>
      </c>
      <c r="AY370" s="3" t="s">
        <v>3462</v>
      </c>
      <c r="AZ370" s="3" t="s">
        <v>3463</v>
      </c>
      <c r="BA370" s="3" t="s">
        <v>3463</v>
      </c>
      <c r="BB370" s="3" t="s">
        <v>3464</v>
      </c>
      <c r="BC370" s="3" t="s">
        <v>142</v>
      </c>
      <c r="BD370" s="3" t="s">
        <v>68</v>
      </c>
      <c r="BE370" s="3" t="s">
        <v>3465</v>
      </c>
      <c r="BF370" s="3" t="s">
        <v>3464</v>
      </c>
      <c r="BG370" s="3" t="s">
        <v>3466</v>
      </c>
    </row>
    <row r="371" spans="1:59" ht="57" x14ac:dyDescent="0.45">
      <c r="A371" s="2" t="s">
        <v>59</v>
      </c>
      <c r="B371" s="2" t="s">
        <v>60</v>
      </c>
      <c r="C371" s="2" t="s">
        <v>3467</v>
      </c>
      <c r="D371" s="2" t="s">
        <v>3468</v>
      </c>
      <c r="E371" s="2" t="s">
        <v>3469</v>
      </c>
      <c r="G371" s="3" t="s">
        <v>62</v>
      </c>
      <c r="I371" s="3" t="s">
        <v>62</v>
      </c>
      <c r="J371" s="3" t="s">
        <v>61</v>
      </c>
      <c r="K371" s="3" t="s">
        <v>63</v>
      </c>
      <c r="L371" s="2" t="s">
        <v>3470</v>
      </c>
      <c r="M371" s="2" t="s">
        <v>3471</v>
      </c>
      <c r="N371" s="3" t="s">
        <v>1478</v>
      </c>
      <c r="O371" s="2" t="s">
        <v>933</v>
      </c>
      <c r="P371" s="3" t="s">
        <v>65</v>
      </c>
      <c r="Q371" s="2" t="s">
        <v>3472</v>
      </c>
      <c r="R371" s="3" t="s">
        <v>66</v>
      </c>
      <c r="S371" s="4">
        <v>58</v>
      </c>
      <c r="T371" s="4">
        <v>58</v>
      </c>
      <c r="U371" s="5" t="s">
        <v>3473</v>
      </c>
      <c r="V371" s="5" t="s">
        <v>3473</v>
      </c>
      <c r="W371" s="5" t="s">
        <v>67</v>
      </c>
      <c r="X371" s="5" t="s">
        <v>67</v>
      </c>
      <c r="Y371" s="4">
        <v>248</v>
      </c>
      <c r="Z371" s="4">
        <v>10</v>
      </c>
      <c r="AA371" s="4">
        <v>44</v>
      </c>
      <c r="AB371" s="4">
        <v>1</v>
      </c>
      <c r="AC371" s="4">
        <v>9</v>
      </c>
      <c r="AD371" s="4">
        <v>62</v>
      </c>
      <c r="AE371" s="4">
        <v>131</v>
      </c>
      <c r="AF371" s="4">
        <v>0</v>
      </c>
      <c r="AG371" s="4">
        <v>4</v>
      </c>
      <c r="AH371" s="4">
        <v>55</v>
      </c>
      <c r="AI371" s="4">
        <v>106</v>
      </c>
      <c r="AJ371" s="4">
        <v>5</v>
      </c>
      <c r="AK371" s="4">
        <v>22</v>
      </c>
      <c r="AL371" s="4">
        <v>30</v>
      </c>
      <c r="AM371" s="4">
        <v>57</v>
      </c>
      <c r="AN371" s="4">
        <v>0</v>
      </c>
      <c r="AO371" s="4">
        <v>0</v>
      </c>
      <c r="AP371" s="4">
        <v>7</v>
      </c>
      <c r="AQ371" s="4">
        <v>33</v>
      </c>
      <c r="AR371" s="3" t="s">
        <v>62</v>
      </c>
      <c r="AS371" s="3" t="s">
        <v>62</v>
      </c>
      <c r="AT371" s="3" t="s">
        <v>62</v>
      </c>
      <c r="AV371" s="6" t="str">
        <f>HYPERLINK("http://mcgill.on.worldcat.org/oclc/36343233","Catalog Record")</f>
        <v>Catalog Record</v>
      </c>
      <c r="AW371" s="6" t="str">
        <f>HYPERLINK("http://www.worldcat.org/oclc/36343233","WorldCat Record")</f>
        <v>WorldCat Record</v>
      </c>
      <c r="AX371" s="3" t="s">
        <v>3474</v>
      </c>
      <c r="AY371" s="3" t="s">
        <v>3475</v>
      </c>
      <c r="AZ371" s="3" t="s">
        <v>3476</v>
      </c>
      <c r="BA371" s="3" t="s">
        <v>3476</v>
      </c>
      <c r="BB371" s="3" t="s">
        <v>3477</v>
      </c>
      <c r="BC371" s="3" t="s">
        <v>142</v>
      </c>
      <c r="BD371" s="3" t="s">
        <v>68</v>
      </c>
      <c r="BE371" s="3" t="s">
        <v>3478</v>
      </c>
      <c r="BF371" s="3" t="s">
        <v>3477</v>
      </c>
      <c r="BG371" s="3" t="s">
        <v>3479</v>
      </c>
    </row>
    <row r="372" spans="1:59" ht="57" x14ac:dyDescent="0.45">
      <c r="A372" s="2" t="s">
        <v>59</v>
      </c>
      <c r="B372" s="2" t="s">
        <v>60</v>
      </c>
      <c r="C372" s="2" t="s">
        <v>3480</v>
      </c>
      <c r="D372" s="2" t="s">
        <v>3481</v>
      </c>
      <c r="E372" s="2" t="s">
        <v>3482</v>
      </c>
      <c r="G372" s="3" t="s">
        <v>62</v>
      </c>
      <c r="I372" s="3" t="s">
        <v>62</v>
      </c>
      <c r="J372" s="3" t="s">
        <v>61</v>
      </c>
      <c r="K372" s="3" t="s">
        <v>63</v>
      </c>
      <c r="L372" s="2" t="s">
        <v>3483</v>
      </c>
      <c r="M372" s="2" t="s">
        <v>3484</v>
      </c>
      <c r="N372" s="3" t="s">
        <v>583</v>
      </c>
      <c r="P372" s="3" t="s">
        <v>65</v>
      </c>
      <c r="R372" s="3" t="s">
        <v>66</v>
      </c>
      <c r="S372" s="4">
        <v>42</v>
      </c>
      <c r="T372" s="4">
        <v>42</v>
      </c>
      <c r="U372" s="5" t="s">
        <v>3485</v>
      </c>
      <c r="V372" s="5" t="s">
        <v>3485</v>
      </c>
      <c r="W372" s="5" t="s">
        <v>67</v>
      </c>
      <c r="X372" s="5" t="s">
        <v>67</v>
      </c>
      <c r="Y372" s="4">
        <v>294</v>
      </c>
      <c r="Z372" s="4">
        <v>19</v>
      </c>
      <c r="AA372" s="4">
        <v>48</v>
      </c>
      <c r="AB372" s="4">
        <v>2</v>
      </c>
      <c r="AC372" s="4">
        <v>9</v>
      </c>
      <c r="AD372" s="4">
        <v>41</v>
      </c>
      <c r="AE372" s="4">
        <v>139</v>
      </c>
      <c r="AF372" s="4">
        <v>0</v>
      </c>
      <c r="AG372" s="4">
        <v>6</v>
      </c>
      <c r="AH372" s="4">
        <v>29</v>
      </c>
      <c r="AI372" s="4">
        <v>111</v>
      </c>
      <c r="AJ372" s="4">
        <v>10</v>
      </c>
      <c r="AK372" s="4">
        <v>24</v>
      </c>
      <c r="AL372" s="4">
        <v>15</v>
      </c>
      <c r="AM372" s="4">
        <v>58</v>
      </c>
      <c r="AN372" s="4">
        <v>0</v>
      </c>
      <c r="AO372" s="4">
        <v>0</v>
      </c>
      <c r="AP372" s="4">
        <v>15</v>
      </c>
      <c r="AQ372" s="4">
        <v>38</v>
      </c>
      <c r="AR372" s="3" t="s">
        <v>62</v>
      </c>
      <c r="AS372" s="3" t="s">
        <v>62</v>
      </c>
      <c r="AT372" s="3" t="s">
        <v>62</v>
      </c>
      <c r="AV372" s="6" t="str">
        <f>HYPERLINK("http://mcgill.on.worldcat.org/oclc/5029338","Catalog Record")</f>
        <v>Catalog Record</v>
      </c>
      <c r="AW372" s="6" t="str">
        <f>HYPERLINK("http://www.worldcat.org/oclc/5029338","WorldCat Record")</f>
        <v>WorldCat Record</v>
      </c>
      <c r="AX372" s="3" t="s">
        <v>3486</v>
      </c>
      <c r="AY372" s="3" t="s">
        <v>3487</v>
      </c>
      <c r="AZ372" s="3" t="s">
        <v>3488</v>
      </c>
      <c r="BA372" s="3" t="s">
        <v>3488</v>
      </c>
      <c r="BB372" s="3" t="s">
        <v>3489</v>
      </c>
      <c r="BC372" s="3" t="s">
        <v>142</v>
      </c>
      <c r="BD372" s="3" t="s">
        <v>308</v>
      </c>
      <c r="BE372" s="3" t="s">
        <v>3490</v>
      </c>
      <c r="BF372" s="3" t="s">
        <v>3489</v>
      </c>
      <c r="BG372" s="3" t="s">
        <v>3491</v>
      </c>
    </row>
    <row r="373" spans="1:59" ht="57" x14ac:dyDescent="0.45">
      <c r="A373" s="2" t="s">
        <v>59</v>
      </c>
      <c r="B373" s="2" t="s">
        <v>60</v>
      </c>
      <c r="C373" s="2" t="s">
        <v>3492</v>
      </c>
      <c r="D373" s="2" t="s">
        <v>3493</v>
      </c>
      <c r="E373" s="2" t="s">
        <v>3494</v>
      </c>
      <c r="G373" s="3" t="s">
        <v>62</v>
      </c>
      <c r="I373" s="3" t="s">
        <v>62</v>
      </c>
      <c r="J373" s="3" t="s">
        <v>62</v>
      </c>
      <c r="K373" s="3" t="s">
        <v>63</v>
      </c>
      <c r="L373" s="2" t="s">
        <v>3495</v>
      </c>
      <c r="M373" s="2" t="s">
        <v>3496</v>
      </c>
      <c r="N373" s="3" t="s">
        <v>1155</v>
      </c>
      <c r="O373" s="2" t="s">
        <v>933</v>
      </c>
      <c r="P373" s="3" t="s">
        <v>65</v>
      </c>
      <c r="Q373" s="2" t="s">
        <v>3497</v>
      </c>
      <c r="R373" s="3" t="s">
        <v>66</v>
      </c>
      <c r="S373" s="4">
        <v>2</v>
      </c>
      <c r="T373" s="4">
        <v>2</v>
      </c>
      <c r="U373" s="5" t="s">
        <v>3498</v>
      </c>
      <c r="V373" s="5" t="s">
        <v>3498</v>
      </c>
      <c r="W373" s="5" t="s">
        <v>67</v>
      </c>
      <c r="X373" s="5" t="s">
        <v>67</v>
      </c>
      <c r="Y373" s="4">
        <v>64</v>
      </c>
      <c r="Z373" s="4">
        <v>11</v>
      </c>
      <c r="AA373" s="4">
        <v>25</v>
      </c>
      <c r="AB373" s="4">
        <v>1</v>
      </c>
      <c r="AC373" s="4">
        <v>7</v>
      </c>
      <c r="AD373" s="4">
        <v>19</v>
      </c>
      <c r="AE373" s="4">
        <v>55</v>
      </c>
      <c r="AF373" s="4">
        <v>0</v>
      </c>
      <c r="AG373" s="4">
        <v>3</v>
      </c>
      <c r="AH373" s="4">
        <v>14</v>
      </c>
      <c r="AI373" s="4">
        <v>44</v>
      </c>
      <c r="AJ373" s="4">
        <v>5</v>
      </c>
      <c r="AK373" s="4">
        <v>13</v>
      </c>
      <c r="AL373" s="4">
        <v>8</v>
      </c>
      <c r="AM373" s="4">
        <v>27</v>
      </c>
      <c r="AN373" s="4">
        <v>0</v>
      </c>
      <c r="AO373" s="4">
        <v>0</v>
      </c>
      <c r="AP373" s="4">
        <v>8</v>
      </c>
      <c r="AQ373" s="4">
        <v>17</v>
      </c>
      <c r="AR373" s="3" t="s">
        <v>62</v>
      </c>
      <c r="AS373" s="3" t="s">
        <v>62</v>
      </c>
      <c r="AT373" s="3" t="s">
        <v>62</v>
      </c>
      <c r="AV373" s="6" t="str">
        <f>HYPERLINK("http://mcgill.on.worldcat.org/oclc/712931292","Catalog Record")</f>
        <v>Catalog Record</v>
      </c>
      <c r="AW373" s="6" t="str">
        <f>HYPERLINK("http://www.worldcat.org/oclc/712931292","WorldCat Record")</f>
        <v>WorldCat Record</v>
      </c>
      <c r="AX373" s="3" t="s">
        <v>3499</v>
      </c>
      <c r="AY373" s="3" t="s">
        <v>3500</v>
      </c>
      <c r="AZ373" s="3" t="s">
        <v>3501</v>
      </c>
      <c r="BA373" s="3" t="s">
        <v>3501</v>
      </c>
      <c r="BB373" s="3" t="s">
        <v>3502</v>
      </c>
      <c r="BC373" s="3" t="s">
        <v>142</v>
      </c>
      <c r="BD373" s="3" t="s">
        <v>68</v>
      </c>
      <c r="BE373" s="3" t="s">
        <v>3503</v>
      </c>
      <c r="BF373" s="3" t="s">
        <v>3502</v>
      </c>
      <c r="BG373" s="3" t="s">
        <v>3504</v>
      </c>
    </row>
    <row r="374" spans="1:59" ht="57" x14ac:dyDescent="0.45">
      <c r="A374" s="2" t="s">
        <v>59</v>
      </c>
      <c r="B374" s="2" t="s">
        <v>60</v>
      </c>
      <c r="C374" s="2" t="s">
        <v>3505</v>
      </c>
      <c r="D374" s="2" t="s">
        <v>3506</v>
      </c>
      <c r="E374" s="2" t="s">
        <v>3507</v>
      </c>
      <c r="G374" s="3" t="s">
        <v>62</v>
      </c>
      <c r="I374" s="3" t="s">
        <v>62</v>
      </c>
      <c r="J374" s="3" t="s">
        <v>62</v>
      </c>
      <c r="K374" s="3" t="s">
        <v>63</v>
      </c>
      <c r="M374" s="2" t="s">
        <v>1973</v>
      </c>
      <c r="N374" s="3" t="s">
        <v>1855</v>
      </c>
      <c r="P374" s="3" t="s">
        <v>65</v>
      </c>
      <c r="Q374" s="2" t="s">
        <v>3508</v>
      </c>
      <c r="R374" s="3" t="s">
        <v>66</v>
      </c>
      <c r="S374" s="4">
        <v>16</v>
      </c>
      <c r="T374" s="4">
        <v>16</v>
      </c>
      <c r="U374" s="5" t="s">
        <v>3437</v>
      </c>
      <c r="V374" s="5" t="s">
        <v>3437</v>
      </c>
      <c r="W374" s="5" t="s">
        <v>67</v>
      </c>
      <c r="X374" s="5" t="s">
        <v>67</v>
      </c>
      <c r="Y374" s="4">
        <v>378</v>
      </c>
      <c r="Z374" s="4">
        <v>25</v>
      </c>
      <c r="AA374" s="4">
        <v>81</v>
      </c>
      <c r="AB374" s="4">
        <v>2</v>
      </c>
      <c r="AC374" s="4">
        <v>15</v>
      </c>
      <c r="AD374" s="4">
        <v>100</v>
      </c>
      <c r="AE374" s="4">
        <v>133</v>
      </c>
      <c r="AF374" s="4">
        <v>1</v>
      </c>
      <c r="AG374" s="4">
        <v>8</v>
      </c>
      <c r="AH374" s="4">
        <v>89</v>
      </c>
      <c r="AI374" s="4">
        <v>100</v>
      </c>
      <c r="AJ374" s="4">
        <v>19</v>
      </c>
      <c r="AK374" s="4">
        <v>27</v>
      </c>
      <c r="AL374" s="4">
        <v>43</v>
      </c>
      <c r="AM374" s="4">
        <v>50</v>
      </c>
      <c r="AN374" s="4">
        <v>0</v>
      </c>
      <c r="AO374" s="4">
        <v>0</v>
      </c>
      <c r="AP374" s="4">
        <v>21</v>
      </c>
      <c r="AQ374" s="4">
        <v>43</v>
      </c>
      <c r="AR374" s="3" t="s">
        <v>62</v>
      </c>
      <c r="AS374" s="3" t="s">
        <v>62</v>
      </c>
      <c r="AT374" s="3" t="s">
        <v>62</v>
      </c>
      <c r="AV374" s="6" t="str">
        <f>HYPERLINK("http://mcgill.on.worldcat.org/oclc/56012235","Catalog Record")</f>
        <v>Catalog Record</v>
      </c>
      <c r="AW374" s="6" t="str">
        <f>HYPERLINK("http://www.worldcat.org/oclc/56012235","WorldCat Record")</f>
        <v>WorldCat Record</v>
      </c>
      <c r="AX374" s="3" t="s">
        <v>3509</v>
      </c>
      <c r="AY374" s="3" t="s">
        <v>3510</v>
      </c>
      <c r="AZ374" s="3" t="s">
        <v>3511</v>
      </c>
      <c r="BA374" s="3" t="s">
        <v>3511</v>
      </c>
      <c r="BB374" s="3" t="s">
        <v>3512</v>
      </c>
      <c r="BC374" s="3" t="s">
        <v>142</v>
      </c>
      <c r="BD374" s="3" t="s">
        <v>68</v>
      </c>
      <c r="BE374" s="3" t="s">
        <v>3513</v>
      </c>
      <c r="BF374" s="3" t="s">
        <v>3512</v>
      </c>
      <c r="BG374" s="3" t="s">
        <v>3514</v>
      </c>
    </row>
    <row r="375" spans="1:59" ht="57" x14ac:dyDescent="0.45">
      <c r="A375" s="2" t="s">
        <v>59</v>
      </c>
      <c r="B375" s="2" t="s">
        <v>60</v>
      </c>
      <c r="C375" s="2" t="s">
        <v>3515</v>
      </c>
      <c r="D375" s="2" t="s">
        <v>3516</v>
      </c>
      <c r="E375" s="2" t="s">
        <v>3517</v>
      </c>
      <c r="F375" s="3" t="s">
        <v>90</v>
      </c>
      <c r="G375" s="3" t="s">
        <v>61</v>
      </c>
      <c r="I375" s="3" t="s">
        <v>62</v>
      </c>
      <c r="J375" s="3" t="s">
        <v>62</v>
      </c>
      <c r="K375" s="3" t="s">
        <v>63</v>
      </c>
      <c r="L375" s="2" t="s">
        <v>3518</v>
      </c>
      <c r="M375" s="2" t="s">
        <v>3519</v>
      </c>
      <c r="N375" s="3" t="s">
        <v>1855</v>
      </c>
      <c r="P375" s="3" t="s">
        <v>65</v>
      </c>
      <c r="R375" s="3" t="s">
        <v>66</v>
      </c>
      <c r="S375" s="4">
        <v>3</v>
      </c>
      <c r="T375" s="4">
        <v>7</v>
      </c>
      <c r="U375" s="5" t="s">
        <v>372</v>
      </c>
      <c r="V375" s="5" t="s">
        <v>372</v>
      </c>
      <c r="W375" s="5" t="s">
        <v>67</v>
      </c>
      <c r="X375" s="5" t="s">
        <v>67</v>
      </c>
      <c r="Y375" s="4">
        <v>89</v>
      </c>
      <c r="Z375" s="4">
        <v>5</v>
      </c>
      <c r="AA375" s="4">
        <v>12</v>
      </c>
      <c r="AB375" s="4">
        <v>1</v>
      </c>
      <c r="AC375" s="4">
        <v>1</v>
      </c>
      <c r="AD375" s="4">
        <v>44</v>
      </c>
      <c r="AE375" s="4">
        <v>49</v>
      </c>
      <c r="AF375" s="4">
        <v>0</v>
      </c>
      <c r="AG375" s="4">
        <v>0</v>
      </c>
      <c r="AH375" s="4">
        <v>43</v>
      </c>
      <c r="AI375" s="4">
        <v>45</v>
      </c>
      <c r="AJ375" s="4">
        <v>4</v>
      </c>
      <c r="AK375" s="4">
        <v>5</v>
      </c>
      <c r="AL375" s="4">
        <v>26</v>
      </c>
      <c r="AM375" s="4">
        <v>27</v>
      </c>
      <c r="AN375" s="4">
        <v>0</v>
      </c>
      <c r="AO375" s="4">
        <v>0</v>
      </c>
      <c r="AP375" s="4">
        <v>4</v>
      </c>
      <c r="AQ375" s="4">
        <v>8</v>
      </c>
      <c r="AR375" s="3" t="s">
        <v>62</v>
      </c>
      <c r="AS375" s="3" t="s">
        <v>62</v>
      </c>
      <c r="AT375" s="3" t="s">
        <v>62</v>
      </c>
      <c r="AV375" s="6" t="str">
        <f>HYPERLINK("http://mcgill.on.worldcat.org/oclc/56752966","Catalog Record")</f>
        <v>Catalog Record</v>
      </c>
      <c r="AW375" s="6" t="str">
        <f>HYPERLINK("http://www.worldcat.org/oclc/56752966","WorldCat Record")</f>
        <v>WorldCat Record</v>
      </c>
      <c r="AX375" s="3" t="s">
        <v>3520</v>
      </c>
      <c r="AY375" s="3" t="s">
        <v>3521</v>
      </c>
      <c r="AZ375" s="3" t="s">
        <v>3522</v>
      </c>
      <c r="BA375" s="3" t="s">
        <v>3522</v>
      </c>
      <c r="BB375" s="3" t="s">
        <v>3523</v>
      </c>
      <c r="BC375" s="3" t="s">
        <v>142</v>
      </c>
      <c r="BD375" s="3" t="s">
        <v>68</v>
      </c>
      <c r="BE375" s="3" t="s">
        <v>3524</v>
      </c>
      <c r="BF375" s="3" t="s">
        <v>3523</v>
      </c>
      <c r="BG375" s="3" t="s">
        <v>3525</v>
      </c>
    </row>
    <row r="376" spans="1:59" ht="57" x14ac:dyDescent="0.45">
      <c r="A376" s="2" t="s">
        <v>59</v>
      </c>
      <c r="B376" s="2" t="s">
        <v>60</v>
      </c>
      <c r="C376" s="2" t="s">
        <v>3515</v>
      </c>
      <c r="D376" s="2" t="s">
        <v>3516</v>
      </c>
      <c r="E376" s="2" t="s">
        <v>3517</v>
      </c>
      <c r="F376" s="3" t="s">
        <v>87</v>
      </c>
      <c r="G376" s="3" t="s">
        <v>61</v>
      </c>
      <c r="I376" s="3" t="s">
        <v>62</v>
      </c>
      <c r="J376" s="3" t="s">
        <v>62</v>
      </c>
      <c r="K376" s="3" t="s">
        <v>63</v>
      </c>
      <c r="L376" s="2" t="s">
        <v>3518</v>
      </c>
      <c r="M376" s="2" t="s">
        <v>3519</v>
      </c>
      <c r="N376" s="3" t="s">
        <v>1855</v>
      </c>
      <c r="P376" s="3" t="s">
        <v>65</v>
      </c>
      <c r="R376" s="3" t="s">
        <v>66</v>
      </c>
      <c r="S376" s="4">
        <v>4</v>
      </c>
      <c r="T376" s="4">
        <v>7</v>
      </c>
      <c r="U376" s="5" t="s">
        <v>112</v>
      </c>
      <c r="V376" s="5" t="s">
        <v>372</v>
      </c>
      <c r="W376" s="5" t="s">
        <v>67</v>
      </c>
      <c r="X376" s="5" t="s">
        <v>67</v>
      </c>
      <c r="Y376" s="4">
        <v>89</v>
      </c>
      <c r="Z376" s="4">
        <v>5</v>
      </c>
      <c r="AA376" s="4">
        <v>12</v>
      </c>
      <c r="AB376" s="4">
        <v>1</v>
      </c>
      <c r="AC376" s="4">
        <v>1</v>
      </c>
      <c r="AD376" s="4">
        <v>44</v>
      </c>
      <c r="AE376" s="4">
        <v>49</v>
      </c>
      <c r="AF376" s="4">
        <v>0</v>
      </c>
      <c r="AG376" s="4">
        <v>0</v>
      </c>
      <c r="AH376" s="4">
        <v>43</v>
      </c>
      <c r="AI376" s="4">
        <v>45</v>
      </c>
      <c r="AJ376" s="4">
        <v>4</v>
      </c>
      <c r="AK376" s="4">
        <v>5</v>
      </c>
      <c r="AL376" s="4">
        <v>26</v>
      </c>
      <c r="AM376" s="4">
        <v>27</v>
      </c>
      <c r="AN376" s="4">
        <v>0</v>
      </c>
      <c r="AO376" s="4">
        <v>0</v>
      </c>
      <c r="AP376" s="4">
        <v>4</v>
      </c>
      <c r="AQ376" s="4">
        <v>8</v>
      </c>
      <c r="AR376" s="3" t="s">
        <v>62</v>
      </c>
      <c r="AS376" s="3" t="s">
        <v>62</v>
      </c>
      <c r="AT376" s="3" t="s">
        <v>62</v>
      </c>
      <c r="AV376" s="6" t="str">
        <f>HYPERLINK("http://mcgill.on.worldcat.org/oclc/56752966","Catalog Record")</f>
        <v>Catalog Record</v>
      </c>
      <c r="AW376" s="6" t="str">
        <f>HYPERLINK("http://www.worldcat.org/oclc/56752966","WorldCat Record")</f>
        <v>WorldCat Record</v>
      </c>
      <c r="AX376" s="3" t="s">
        <v>3520</v>
      </c>
      <c r="AY376" s="3" t="s">
        <v>3521</v>
      </c>
      <c r="AZ376" s="3" t="s">
        <v>3522</v>
      </c>
      <c r="BA376" s="3" t="s">
        <v>3522</v>
      </c>
      <c r="BB376" s="3" t="s">
        <v>3526</v>
      </c>
      <c r="BC376" s="3" t="s">
        <v>142</v>
      </c>
      <c r="BD376" s="3" t="s">
        <v>68</v>
      </c>
      <c r="BE376" s="3" t="s">
        <v>3524</v>
      </c>
      <c r="BF376" s="3" t="s">
        <v>3526</v>
      </c>
      <c r="BG376" s="3" t="s">
        <v>3527</v>
      </c>
    </row>
    <row r="377" spans="1:59" ht="57" x14ac:dyDescent="0.45">
      <c r="A377" s="2" t="s">
        <v>59</v>
      </c>
      <c r="B377" s="2" t="s">
        <v>60</v>
      </c>
      <c r="C377" s="2" t="s">
        <v>3528</v>
      </c>
      <c r="D377" s="2" t="s">
        <v>3529</v>
      </c>
      <c r="E377" s="2" t="s">
        <v>3530</v>
      </c>
      <c r="G377" s="3" t="s">
        <v>62</v>
      </c>
      <c r="I377" s="3" t="s">
        <v>62</v>
      </c>
      <c r="J377" s="3" t="s">
        <v>61</v>
      </c>
      <c r="K377" s="3" t="s">
        <v>63</v>
      </c>
      <c r="L377" s="2" t="s">
        <v>3531</v>
      </c>
      <c r="M377" s="2" t="s">
        <v>3532</v>
      </c>
      <c r="N377" s="3" t="s">
        <v>945</v>
      </c>
      <c r="O377" s="2" t="s">
        <v>906</v>
      </c>
      <c r="P377" s="3" t="s">
        <v>65</v>
      </c>
      <c r="Q377" s="2" t="s">
        <v>2584</v>
      </c>
      <c r="R377" s="3" t="s">
        <v>66</v>
      </c>
      <c r="S377" s="4">
        <v>31</v>
      </c>
      <c r="T377" s="4">
        <v>31</v>
      </c>
      <c r="U377" s="5" t="s">
        <v>3533</v>
      </c>
      <c r="V377" s="5" t="s">
        <v>3533</v>
      </c>
      <c r="W377" s="5" t="s">
        <v>67</v>
      </c>
      <c r="X377" s="5" t="s">
        <v>67</v>
      </c>
      <c r="Y377" s="4">
        <v>7</v>
      </c>
      <c r="Z377" s="4">
        <v>1</v>
      </c>
      <c r="AA377" s="4">
        <v>72</v>
      </c>
      <c r="AB377" s="4">
        <v>1</v>
      </c>
      <c r="AC377" s="4">
        <v>9</v>
      </c>
      <c r="AD377" s="4">
        <v>1</v>
      </c>
      <c r="AE377" s="4">
        <v>105</v>
      </c>
      <c r="AF377" s="4">
        <v>0</v>
      </c>
      <c r="AG377" s="4">
        <v>5</v>
      </c>
      <c r="AH377" s="4">
        <v>1</v>
      </c>
      <c r="AI377" s="4">
        <v>75</v>
      </c>
      <c r="AJ377" s="4">
        <v>0</v>
      </c>
      <c r="AK377" s="4">
        <v>24</v>
      </c>
      <c r="AL377" s="4">
        <v>1</v>
      </c>
      <c r="AM377" s="4">
        <v>41</v>
      </c>
      <c r="AN377" s="4">
        <v>0</v>
      </c>
      <c r="AO377" s="4">
        <v>0</v>
      </c>
      <c r="AP377" s="4">
        <v>0</v>
      </c>
      <c r="AQ377" s="4">
        <v>36</v>
      </c>
      <c r="AR377" s="3" t="s">
        <v>62</v>
      </c>
      <c r="AS377" s="3" t="s">
        <v>62</v>
      </c>
      <c r="AT377" s="3" t="s">
        <v>62</v>
      </c>
      <c r="AV377" s="6" t="str">
        <f>HYPERLINK("http://mcgill.on.worldcat.org/oclc/170038151","Catalog Record")</f>
        <v>Catalog Record</v>
      </c>
      <c r="AW377" s="6" t="str">
        <f>HYPERLINK("http://www.worldcat.org/oclc/170038151","WorldCat Record")</f>
        <v>WorldCat Record</v>
      </c>
      <c r="AX377" s="3" t="s">
        <v>3534</v>
      </c>
      <c r="AY377" s="3" t="s">
        <v>3535</v>
      </c>
      <c r="AZ377" s="3" t="s">
        <v>3536</v>
      </c>
      <c r="BA377" s="3" t="s">
        <v>3536</v>
      </c>
      <c r="BB377" s="3" t="s">
        <v>3537</v>
      </c>
      <c r="BC377" s="3" t="s">
        <v>142</v>
      </c>
      <c r="BD377" s="3" t="s">
        <v>68</v>
      </c>
      <c r="BE377" s="3" t="s">
        <v>3538</v>
      </c>
      <c r="BF377" s="3" t="s">
        <v>3537</v>
      </c>
      <c r="BG377" s="3" t="s">
        <v>3539</v>
      </c>
    </row>
    <row r="378" spans="1:59" ht="99.75" x14ac:dyDescent="0.45">
      <c r="A378" s="2" t="s">
        <v>59</v>
      </c>
      <c r="B378" s="2" t="s">
        <v>3540</v>
      </c>
      <c r="C378" s="2" t="s">
        <v>3541</v>
      </c>
      <c r="D378" s="2" t="s">
        <v>3542</v>
      </c>
      <c r="E378" s="2" t="s">
        <v>3530</v>
      </c>
      <c r="G378" s="3" t="s">
        <v>62</v>
      </c>
      <c r="I378" s="3" t="s">
        <v>62</v>
      </c>
      <c r="J378" s="3" t="s">
        <v>61</v>
      </c>
      <c r="K378" s="3" t="s">
        <v>63</v>
      </c>
      <c r="L378" s="2" t="s">
        <v>3543</v>
      </c>
      <c r="M378" s="2" t="s">
        <v>3544</v>
      </c>
      <c r="N378" s="3" t="s">
        <v>116</v>
      </c>
      <c r="O378" s="2" t="s">
        <v>420</v>
      </c>
      <c r="P378" s="3" t="s">
        <v>65</v>
      </c>
      <c r="Q378" s="2" t="s">
        <v>2584</v>
      </c>
      <c r="R378" s="3" t="s">
        <v>66</v>
      </c>
      <c r="S378" s="4">
        <v>5</v>
      </c>
      <c r="T378" s="4">
        <v>5</v>
      </c>
      <c r="U378" s="5" t="s">
        <v>3545</v>
      </c>
      <c r="V378" s="5" t="s">
        <v>3545</v>
      </c>
      <c r="W378" s="5" t="s">
        <v>67</v>
      </c>
      <c r="X378" s="5" t="s">
        <v>67</v>
      </c>
      <c r="Y378" s="4">
        <v>37</v>
      </c>
      <c r="Z378" s="4">
        <v>3</v>
      </c>
      <c r="AA378" s="4">
        <v>72</v>
      </c>
      <c r="AB378" s="4">
        <v>1</v>
      </c>
      <c r="AC378" s="4">
        <v>9</v>
      </c>
      <c r="AD378" s="4">
        <v>3</v>
      </c>
      <c r="AE378" s="4">
        <v>105</v>
      </c>
      <c r="AF378" s="4">
        <v>0</v>
      </c>
      <c r="AG378" s="4">
        <v>5</v>
      </c>
      <c r="AH378" s="4">
        <v>3</v>
      </c>
      <c r="AI378" s="4">
        <v>75</v>
      </c>
      <c r="AJ378" s="4">
        <v>1</v>
      </c>
      <c r="AK378" s="4">
        <v>24</v>
      </c>
      <c r="AL378" s="4">
        <v>1</v>
      </c>
      <c r="AM378" s="4">
        <v>41</v>
      </c>
      <c r="AN378" s="4">
        <v>0</v>
      </c>
      <c r="AO378" s="4">
        <v>0</v>
      </c>
      <c r="AP378" s="4">
        <v>1</v>
      </c>
      <c r="AQ378" s="4">
        <v>36</v>
      </c>
      <c r="AR378" s="3" t="s">
        <v>62</v>
      </c>
      <c r="AS378" s="3" t="s">
        <v>62</v>
      </c>
      <c r="AT378" s="3" t="s">
        <v>62</v>
      </c>
      <c r="AV378" s="6" t="str">
        <f>HYPERLINK("http://mcgill.on.worldcat.org/oclc/867189369","Catalog Record")</f>
        <v>Catalog Record</v>
      </c>
      <c r="AW378" s="6" t="str">
        <f>HYPERLINK("http://www.worldcat.org/oclc/867189369","WorldCat Record")</f>
        <v>WorldCat Record</v>
      </c>
      <c r="AX378" s="3" t="s">
        <v>3534</v>
      </c>
      <c r="AY378" s="3" t="s">
        <v>3546</v>
      </c>
      <c r="AZ378" s="3" t="s">
        <v>3547</v>
      </c>
      <c r="BA378" s="3" t="s">
        <v>3547</v>
      </c>
      <c r="BB378" s="3" t="s">
        <v>3548</v>
      </c>
      <c r="BC378" s="3" t="s">
        <v>142</v>
      </c>
      <c r="BD378" s="3" t="s">
        <v>3549</v>
      </c>
      <c r="BE378" s="3" t="s">
        <v>3550</v>
      </c>
      <c r="BF378" s="3" t="s">
        <v>3548</v>
      </c>
      <c r="BG378" s="3" t="s">
        <v>3551</v>
      </c>
    </row>
    <row r="379" spans="1:59" ht="57" x14ac:dyDescent="0.45">
      <c r="A379" s="2" t="s">
        <v>59</v>
      </c>
      <c r="B379" s="2" t="s">
        <v>60</v>
      </c>
      <c r="C379" s="2" t="s">
        <v>3552</v>
      </c>
      <c r="D379" s="2" t="s">
        <v>3553</v>
      </c>
      <c r="E379" s="2" t="s">
        <v>3554</v>
      </c>
      <c r="G379" s="3" t="s">
        <v>62</v>
      </c>
      <c r="I379" s="3" t="s">
        <v>62</v>
      </c>
      <c r="J379" s="3" t="s">
        <v>62</v>
      </c>
      <c r="K379" s="3" t="s">
        <v>63</v>
      </c>
      <c r="L379" s="2" t="s">
        <v>3555</v>
      </c>
      <c r="M379" s="2" t="s">
        <v>3556</v>
      </c>
      <c r="N379" s="3" t="s">
        <v>970</v>
      </c>
      <c r="P379" s="3" t="s">
        <v>65</v>
      </c>
      <c r="R379" s="3" t="s">
        <v>66</v>
      </c>
      <c r="S379" s="4">
        <v>5</v>
      </c>
      <c r="T379" s="4">
        <v>5</v>
      </c>
      <c r="U379" s="5" t="s">
        <v>3557</v>
      </c>
      <c r="V379" s="5" t="s">
        <v>3557</v>
      </c>
      <c r="W379" s="5" t="s">
        <v>67</v>
      </c>
      <c r="X379" s="5" t="s">
        <v>67</v>
      </c>
      <c r="Y379" s="4">
        <v>326</v>
      </c>
      <c r="Z379" s="4">
        <v>22</v>
      </c>
      <c r="AA379" s="4">
        <v>27</v>
      </c>
      <c r="AB379" s="4">
        <v>1</v>
      </c>
      <c r="AC379" s="4">
        <v>5</v>
      </c>
      <c r="AD379" s="4">
        <v>102</v>
      </c>
      <c r="AE379" s="4">
        <v>113</v>
      </c>
      <c r="AF379" s="4">
        <v>0</v>
      </c>
      <c r="AG379" s="4">
        <v>1</v>
      </c>
      <c r="AH379" s="4">
        <v>89</v>
      </c>
      <c r="AI379" s="4">
        <v>98</v>
      </c>
      <c r="AJ379" s="4">
        <v>15</v>
      </c>
      <c r="AK379" s="4">
        <v>17</v>
      </c>
      <c r="AL379" s="4">
        <v>48</v>
      </c>
      <c r="AM379" s="4">
        <v>52</v>
      </c>
      <c r="AN379" s="4">
        <v>0</v>
      </c>
      <c r="AO379" s="4">
        <v>0</v>
      </c>
      <c r="AP379" s="4">
        <v>18</v>
      </c>
      <c r="AQ379" s="4">
        <v>20</v>
      </c>
      <c r="AR379" s="3" t="s">
        <v>62</v>
      </c>
      <c r="AS379" s="3" t="s">
        <v>62</v>
      </c>
      <c r="AT379" s="3" t="s">
        <v>61</v>
      </c>
      <c r="AU379" s="6" t="str">
        <f>HYPERLINK("http://catalog.hathitrust.org/Record/004195848","HathiTrust Record")</f>
        <v>HathiTrust Record</v>
      </c>
      <c r="AV379" s="6" t="str">
        <f>HYPERLINK("http://mcgill.on.worldcat.org/oclc/46918155","Catalog Record")</f>
        <v>Catalog Record</v>
      </c>
      <c r="AW379" s="6" t="str">
        <f>HYPERLINK("http://www.worldcat.org/oclc/46918155","WorldCat Record")</f>
        <v>WorldCat Record</v>
      </c>
      <c r="AX379" s="3" t="s">
        <v>3558</v>
      </c>
      <c r="AY379" s="3" t="s">
        <v>3559</v>
      </c>
      <c r="AZ379" s="3" t="s">
        <v>3560</v>
      </c>
      <c r="BA379" s="3" t="s">
        <v>3560</v>
      </c>
      <c r="BB379" s="3" t="s">
        <v>3561</v>
      </c>
      <c r="BC379" s="3" t="s">
        <v>142</v>
      </c>
      <c r="BD379" s="3" t="s">
        <v>68</v>
      </c>
      <c r="BE379" s="3" t="s">
        <v>3562</v>
      </c>
      <c r="BF379" s="3" t="s">
        <v>3561</v>
      </c>
      <c r="BG379" s="3" t="s">
        <v>3563</v>
      </c>
    </row>
    <row r="380" spans="1:59" ht="57" x14ac:dyDescent="0.45">
      <c r="A380" s="2" t="s">
        <v>59</v>
      </c>
      <c r="B380" s="2" t="s">
        <v>60</v>
      </c>
      <c r="C380" s="2" t="s">
        <v>3564</v>
      </c>
      <c r="D380" s="2" t="s">
        <v>3565</v>
      </c>
      <c r="E380" s="2" t="s">
        <v>3566</v>
      </c>
      <c r="G380" s="3" t="s">
        <v>62</v>
      </c>
      <c r="I380" s="3" t="s">
        <v>62</v>
      </c>
      <c r="J380" s="3" t="s">
        <v>62</v>
      </c>
      <c r="K380" s="3" t="s">
        <v>63</v>
      </c>
      <c r="M380" s="2" t="s">
        <v>3567</v>
      </c>
      <c r="N380" s="3" t="s">
        <v>894</v>
      </c>
      <c r="P380" s="3" t="s">
        <v>65</v>
      </c>
      <c r="Q380" s="2" t="s">
        <v>3568</v>
      </c>
      <c r="R380" s="3" t="s">
        <v>66</v>
      </c>
      <c r="S380" s="4">
        <v>1</v>
      </c>
      <c r="T380" s="4">
        <v>1</v>
      </c>
      <c r="U380" s="5" t="s">
        <v>120</v>
      </c>
      <c r="V380" s="5" t="s">
        <v>120</v>
      </c>
      <c r="W380" s="5" t="s">
        <v>67</v>
      </c>
      <c r="X380" s="5" t="s">
        <v>67</v>
      </c>
      <c r="Y380" s="4">
        <v>58</v>
      </c>
      <c r="Z380" s="4">
        <v>11</v>
      </c>
      <c r="AA380" s="4">
        <v>42</v>
      </c>
      <c r="AB380" s="4">
        <v>1</v>
      </c>
      <c r="AC380" s="4">
        <v>7</v>
      </c>
      <c r="AD380" s="4">
        <v>27</v>
      </c>
      <c r="AE380" s="4">
        <v>42</v>
      </c>
      <c r="AF380" s="4">
        <v>0</v>
      </c>
      <c r="AG380" s="4">
        <v>1</v>
      </c>
      <c r="AH380" s="4">
        <v>22</v>
      </c>
      <c r="AI380" s="4">
        <v>28</v>
      </c>
      <c r="AJ380" s="4">
        <v>7</v>
      </c>
      <c r="AK380" s="4">
        <v>9</v>
      </c>
      <c r="AL380" s="4">
        <v>14</v>
      </c>
      <c r="AM380" s="4">
        <v>19</v>
      </c>
      <c r="AN380" s="4">
        <v>0</v>
      </c>
      <c r="AO380" s="4">
        <v>0</v>
      </c>
      <c r="AP380" s="4">
        <v>8</v>
      </c>
      <c r="AQ380" s="4">
        <v>16</v>
      </c>
      <c r="AR380" s="3" t="s">
        <v>62</v>
      </c>
      <c r="AS380" s="3" t="s">
        <v>62</v>
      </c>
      <c r="AT380" s="3" t="s">
        <v>62</v>
      </c>
      <c r="AV380" s="6" t="str">
        <f>HYPERLINK("http://mcgill.on.worldcat.org/oclc/741652299","Catalog Record")</f>
        <v>Catalog Record</v>
      </c>
      <c r="AW380" s="6" t="str">
        <f>HYPERLINK("http://www.worldcat.org/oclc/741652299","WorldCat Record")</f>
        <v>WorldCat Record</v>
      </c>
      <c r="AX380" s="3" t="s">
        <v>3569</v>
      </c>
      <c r="AY380" s="3" t="s">
        <v>3570</v>
      </c>
      <c r="AZ380" s="3" t="s">
        <v>3571</v>
      </c>
      <c r="BA380" s="3" t="s">
        <v>3571</v>
      </c>
      <c r="BB380" s="3" t="s">
        <v>3572</v>
      </c>
      <c r="BC380" s="3" t="s">
        <v>142</v>
      </c>
      <c r="BD380" s="3" t="s">
        <v>68</v>
      </c>
      <c r="BE380" s="3" t="s">
        <v>3573</v>
      </c>
      <c r="BF380" s="3" t="s">
        <v>3572</v>
      </c>
      <c r="BG380" s="3" t="s">
        <v>3574</v>
      </c>
    </row>
    <row r="381" spans="1:59" ht="57" x14ac:dyDescent="0.45">
      <c r="A381" s="2" t="s">
        <v>59</v>
      </c>
      <c r="B381" s="2" t="s">
        <v>60</v>
      </c>
      <c r="C381" s="2" t="s">
        <v>3575</v>
      </c>
      <c r="D381" s="2" t="s">
        <v>3576</v>
      </c>
      <c r="E381" s="2" t="s">
        <v>3577</v>
      </c>
      <c r="G381" s="3" t="s">
        <v>62</v>
      </c>
      <c r="I381" s="3" t="s">
        <v>62</v>
      </c>
      <c r="J381" s="3" t="s">
        <v>62</v>
      </c>
      <c r="K381" s="3" t="s">
        <v>63</v>
      </c>
      <c r="M381" s="2" t="s">
        <v>3578</v>
      </c>
      <c r="N381" s="3" t="s">
        <v>1478</v>
      </c>
      <c r="P381" s="3" t="s">
        <v>65</v>
      </c>
      <c r="Q381" s="2" t="s">
        <v>3579</v>
      </c>
      <c r="R381" s="3" t="s">
        <v>66</v>
      </c>
      <c r="S381" s="4">
        <v>11</v>
      </c>
      <c r="T381" s="4">
        <v>11</v>
      </c>
      <c r="U381" s="5" t="s">
        <v>3580</v>
      </c>
      <c r="V381" s="5" t="s">
        <v>3580</v>
      </c>
      <c r="W381" s="5" t="s">
        <v>67</v>
      </c>
      <c r="X381" s="5" t="s">
        <v>67</v>
      </c>
      <c r="Y381" s="4">
        <v>347</v>
      </c>
      <c r="Z381" s="4">
        <v>15</v>
      </c>
      <c r="AA381" s="4">
        <v>20</v>
      </c>
      <c r="AB381" s="4">
        <v>1</v>
      </c>
      <c r="AC381" s="4">
        <v>3</v>
      </c>
      <c r="AD381" s="4">
        <v>94</v>
      </c>
      <c r="AE381" s="4">
        <v>101</v>
      </c>
      <c r="AF381" s="4">
        <v>0</v>
      </c>
      <c r="AG381" s="4">
        <v>2</v>
      </c>
      <c r="AH381" s="4">
        <v>86</v>
      </c>
      <c r="AI381" s="4">
        <v>89</v>
      </c>
      <c r="AJ381" s="4">
        <v>10</v>
      </c>
      <c r="AK381" s="4">
        <v>14</v>
      </c>
      <c r="AL381" s="4">
        <v>52</v>
      </c>
      <c r="AM381" s="4">
        <v>54</v>
      </c>
      <c r="AN381" s="4">
        <v>0</v>
      </c>
      <c r="AO381" s="4">
        <v>0</v>
      </c>
      <c r="AP381" s="4">
        <v>12</v>
      </c>
      <c r="AQ381" s="4">
        <v>15</v>
      </c>
      <c r="AR381" s="3" t="s">
        <v>62</v>
      </c>
      <c r="AS381" s="3" t="s">
        <v>62</v>
      </c>
      <c r="AT381" s="3" t="s">
        <v>62</v>
      </c>
      <c r="AV381" s="6" t="str">
        <f>HYPERLINK("http://mcgill.on.worldcat.org/oclc/32922475","Catalog Record")</f>
        <v>Catalog Record</v>
      </c>
      <c r="AW381" s="6" t="str">
        <f>HYPERLINK("http://www.worldcat.org/oclc/32922475","WorldCat Record")</f>
        <v>WorldCat Record</v>
      </c>
      <c r="AX381" s="3" t="s">
        <v>3581</v>
      </c>
      <c r="AY381" s="3" t="s">
        <v>3582</v>
      </c>
      <c r="AZ381" s="3" t="s">
        <v>3583</v>
      </c>
      <c r="BA381" s="3" t="s">
        <v>3583</v>
      </c>
      <c r="BB381" s="3" t="s">
        <v>3584</v>
      </c>
      <c r="BC381" s="3" t="s">
        <v>142</v>
      </c>
      <c r="BD381" s="3" t="s">
        <v>308</v>
      </c>
      <c r="BE381" s="3" t="s">
        <v>3585</v>
      </c>
      <c r="BF381" s="3" t="s">
        <v>3584</v>
      </c>
      <c r="BG381" s="3" t="s">
        <v>3586</v>
      </c>
    </row>
    <row r="382" spans="1:59" ht="57" x14ac:dyDescent="0.45">
      <c r="A382" s="2" t="s">
        <v>59</v>
      </c>
      <c r="B382" s="2" t="s">
        <v>60</v>
      </c>
      <c r="C382" s="2" t="s">
        <v>3591</v>
      </c>
      <c r="D382" s="2" t="s">
        <v>3592</v>
      </c>
      <c r="E382" s="2" t="s">
        <v>3593</v>
      </c>
      <c r="G382" s="3" t="s">
        <v>62</v>
      </c>
      <c r="I382" s="3" t="s">
        <v>61</v>
      </c>
      <c r="J382" s="3" t="s">
        <v>62</v>
      </c>
      <c r="K382" s="3" t="s">
        <v>63</v>
      </c>
      <c r="L382" s="2" t="s">
        <v>3594</v>
      </c>
      <c r="M382" s="2" t="s">
        <v>3595</v>
      </c>
      <c r="N382" s="3" t="s">
        <v>495</v>
      </c>
      <c r="P382" s="3" t="s">
        <v>65</v>
      </c>
      <c r="R382" s="3" t="s">
        <v>66</v>
      </c>
      <c r="S382" s="4">
        <v>16</v>
      </c>
      <c r="T382" s="4">
        <v>43</v>
      </c>
      <c r="U382" s="5" t="s">
        <v>3596</v>
      </c>
      <c r="V382" s="5" t="s">
        <v>3596</v>
      </c>
      <c r="W382" s="5" t="s">
        <v>67</v>
      </c>
      <c r="X382" s="5" t="s">
        <v>67</v>
      </c>
      <c r="Y382" s="4">
        <v>860</v>
      </c>
      <c r="Z382" s="4">
        <v>36</v>
      </c>
      <c r="AA382" s="4">
        <v>56</v>
      </c>
      <c r="AB382" s="4">
        <v>3</v>
      </c>
      <c r="AC382" s="4">
        <v>9</v>
      </c>
      <c r="AD382" s="4">
        <v>123</v>
      </c>
      <c r="AE382" s="4">
        <v>145</v>
      </c>
      <c r="AF382" s="4">
        <v>1</v>
      </c>
      <c r="AG382" s="4">
        <v>4</v>
      </c>
      <c r="AH382" s="4">
        <v>103</v>
      </c>
      <c r="AI382" s="4">
        <v>114</v>
      </c>
      <c r="AJ382" s="4">
        <v>14</v>
      </c>
      <c r="AK382" s="4">
        <v>25</v>
      </c>
      <c r="AL382" s="4">
        <v>57</v>
      </c>
      <c r="AM382" s="4">
        <v>61</v>
      </c>
      <c r="AN382" s="4">
        <v>0</v>
      </c>
      <c r="AO382" s="4">
        <v>0</v>
      </c>
      <c r="AP382" s="4">
        <v>23</v>
      </c>
      <c r="AQ382" s="4">
        <v>37</v>
      </c>
      <c r="AR382" s="3" t="s">
        <v>62</v>
      </c>
      <c r="AS382" s="3" t="s">
        <v>62</v>
      </c>
      <c r="AT382" s="3" t="s">
        <v>61</v>
      </c>
      <c r="AU382" s="6" t="str">
        <f>HYPERLINK("http://catalog.hathitrust.org/Record/001898034","HathiTrust Record")</f>
        <v>HathiTrust Record</v>
      </c>
      <c r="AV382" s="6" t="str">
        <f>HYPERLINK("http://mcgill.on.worldcat.org/oclc/1046181","Catalog Record")</f>
        <v>Catalog Record</v>
      </c>
      <c r="AW382" s="6" t="str">
        <f>HYPERLINK("http://www.worldcat.org/oclc/1046181","WorldCat Record")</f>
        <v>WorldCat Record</v>
      </c>
      <c r="AX382" s="3" t="s">
        <v>3597</v>
      </c>
      <c r="AY382" s="3" t="s">
        <v>3598</v>
      </c>
      <c r="AZ382" s="3" t="s">
        <v>3599</v>
      </c>
      <c r="BA382" s="3" t="s">
        <v>3599</v>
      </c>
      <c r="BB382" s="3" t="s">
        <v>3600</v>
      </c>
      <c r="BC382" s="3" t="s">
        <v>142</v>
      </c>
      <c r="BD382" s="3" t="s">
        <v>68</v>
      </c>
      <c r="BE382" s="3" t="s">
        <v>3601</v>
      </c>
      <c r="BF382" s="3" t="s">
        <v>3600</v>
      </c>
      <c r="BG382" s="3" t="s">
        <v>3602</v>
      </c>
    </row>
    <row r="383" spans="1:59" ht="57" x14ac:dyDescent="0.45">
      <c r="A383" s="2" t="s">
        <v>59</v>
      </c>
      <c r="B383" s="2" t="s">
        <v>60</v>
      </c>
      <c r="C383" s="2" t="s">
        <v>3591</v>
      </c>
      <c r="D383" s="2" t="s">
        <v>3592</v>
      </c>
      <c r="E383" s="2" t="s">
        <v>3593</v>
      </c>
      <c r="G383" s="3" t="s">
        <v>62</v>
      </c>
      <c r="I383" s="3" t="s">
        <v>61</v>
      </c>
      <c r="J383" s="3" t="s">
        <v>62</v>
      </c>
      <c r="K383" s="3" t="s">
        <v>63</v>
      </c>
      <c r="L383" s="2" t="s">
        <v>3594</v>
      </c>
      <c r="M383" s="2" t="s">
        <v>3595</v>
      </c>
      <c r="N383" s="3" t="s">
        <v>495</v>
      </c>
      <c r="P383" s="3" t="s">
        <v>65</v>
      </c>
      <c r="R383" s="3" t="s">
        <v>66</v>
      </c>
      <c r="S383" s="4">
        <v>27</v>
      </c>
      <c r="T383" s="4">
        <v>43</v>
      </c>
      <c r="U383" s="5" t="s">
        <v>3603</v>
      </c>
      <c r="V383" s="5" t="s">
        <v>3596</v>
      </c>
      <c r="W383" s="5" t="s">
        <v>67</v>
      </c>
      <c r="X383" s="5" t="s">
        <v>67</v>
      </c>
      <c r="Y383" s="4">
        <v>860</v>
      </c>
      <c r="Z383" s="4">
        <v>36</v>
      </c>
      <c r="AA383" s="4">
        <v>56</v>
      </c>
      <c r="AB383" s="4">
        <v>3</v>
      </c>
      <c r="AC383" s="4">
        <v>9</v>
      </c>
      <c r="AD383" s="4">
        <v>123</v>
      </c>
      <c r="AE383" s="4">
        <v>145</v>
      </c>
      <c r="AF383" s="4">
        <v>1</v>
      </c>
      <c r="AG383" s="4">
        <v>4</v>
      </c>
      <c r="AH383" s="4">
        <v>103</v>
      </c>
      <c r="AI383" s="4">
        <v>114</v>
      </c>
      <c r="AJ383" s="4">
        <v>14</v>
      </c>
      <c r="AK383" s="4">
        <v>25</v>
      </c>
      <c r="AL383" s="4">
        <v>57</v>
      </c>
      <c r="AM383" s="4">
        <v>61</v>
      </c>
      <c r="AN383" s="4">
        <v>0</v>
      </c>
      <c r="AO383" s="4">
        <v>0</v>
      </c>
      <c r="AP383" s="4">
        <v>23</v>
      </c>
      <c r="AQ383" s="4">
        <v>37</v>
      </c>
      <c r="AR383" s="3" t="s">
        <v>62</v>
      </c>
      <c r="AS383" s="3" t="s">
        <v>62</v>
      </c>
      <c r="AT383" s="3" t="s">
        <v>61</v>
      </c>
      <c r="AU383" s="6" t="str">
        <f>HYPERLINK("http://catalog.hathitrust.org/Record/001898034","HathiTrust Record")</f>
        <v>HathiTrust Record</v>
      </c>
      <c r="AV383" s="6" t="str">
        <f>HYPERLINK("http://mcgill.on.worldcat.org/oclc/1046181","Catalog Record")</f>
        <v>Catalog Record</v>
      </c>
      <c r="AW383" s="6" t="str">
        <f>HYPERLINK("http://www.worldcat.org/oclc/1046181","WorldCat Record")</f>
        <v>WorldCat Record</v>
      </c>
      <c r="AX383" s="3" t="s">
        <v>3597</v>
      </c>
      <c r="AY383" s="3" t="s">
        <v>3598</v>
      </c>
      <c r="AZ383" s="3" t="s">
        <v>3599</v>
      </c>
      <c r="BA383" s="3" t="s">
        <v>3599</v>
      </c>
      <c r="BB383" s="3" t="s">
        <v>3604</v>
      </c>
      <c r="BC383" s="3" t="s">
        <v>142</v>
      </c>
      <c r="BD383" s="3" t="s">
        <v>68</v>
      </c>
      <c r="BE383" s="3" t="s">
        <v>3601</v>
      </c>
      <c r="BF383" s="3" t="s">
        <v>3604</v>
      </c>
      <c r="BG383" s="3" t="s">
        <v>3605</v>
      </c>
    </row>
    <row r="384" spans="1:59" ht="57" x14ac:dyDescent="0.45">
      <c r="A384" s="2" t="s">
        <v>59</v>
      </c>
      <c r="B384" s="2" t="s">
        <v>60</v>
      </c>
      <c r="C384" s="2" t="s">
        <v>3606</v>
      </c>
      <c r="D384" s="2" t="s">
        <v>3607</v>
      </c>
      <c r="E384" s="2" t="s">
        <v>3608</v>
      </c>
      <c r="G384" s="3" t="s">
        <v>62</v>
      </c>
      <c r="I384" s="3" t="s">
        <v>62</v>
      </c>
      <c r="J384" s="3" t="s">
        <v>61</v>
      </c>
      <c r="K384" s="3" t="s">
        <v>63</v>
      </c>
      <c r="L384" s="2" t="s">
        <v>1828</v>
      </c>
      <c r="M384" s="2" t="s">
        <v>3609</v>
      </c>
      <c r="N384" s="3" t="s">
        <v>195</v>
      </c>
      <c r="O384" s="2" t="s">
        <v>933</v>
      </c>
      <c r="P384" s="3" t="s">
        <v>65</v>
      </c>
      <c r="Q384" s="2" t="s">
        <v>3610</v>
      </c>
      <c r="R384" s="3" t="s">
        <v>66</v>
      </c>
      <c r="S384" s="4">
        <v>30</v>
      </c>
      <c r="T384" s="4">
        <v>30</v>
      </c>
      <c r="U384" s="5" t="s">
        <v>3611</v>
      </c>
      <c r="V384" s="5" t="s">
        <v>3611</v>
      </c>
      <c r="W384" s="5" t="s">
        <v>67</v>
      </c>
      <c r="X384" s="5" t="s">
        <v>67</v>
      </c>
      <c r="Y384" s="4">
        <v>309</v>
      </c>
      <c r="Z384" s="4">
        <v>16</v>
      </c>
      <c r="AA384" s="4">
        <v>34</v>
      </c>
      <c r="AB384" s="4">
        <v>1</v>
      </c>
      <c r="AC384" s="4">
        <v>3</v>
      </c>
      <c r="AD384" s="4">
        <v>73</v>
      </c>
      <c r="AE384" s="4">
        <v>123</v>
      </c>
      <c r="AF384" s="4">
        <v>0</v>
      </c>
      <c r="AG384" s="4">
        <v>2</v>
      </c>
      <c r="AH384" s="4">
        <v>68</v>
      </c>
      <c r="AI384" s="4">
        <v>108</v>
      </c>
      <c r="AJ384" s="4">
        <v>10</v>
      </c>
      <c r="AK384" s="4">
        <v>20</v>
      </c>
      <c r="AL384" s="4">
        <v>39</v>
      </c>
      <c r="AM384" s="4">
        <v>56</v>
      </c>
      <c r="AN384" s="4">
        <v>0</v>
      </c>
      <c r="AO384" s="4">
        <v>0</v>
      </c>
      <c r="AP384" s="4">
        <v>11</v>
      </c>
      <c r="AQ384" s="4">
        <v>24</v>
      </c>
      <c r="AR384" s="3" t="s">
        <v>62</v>
      </c>
      <c r="AS384" s="3" t="s">
        <v>62</v>
      </c>
      <c r="AT384" s="3" t="s">
        <v>62</v>
      </c>
      <c r="AV384" s="6" t="str">
        <f>HYPERLINK("http://mcgill.on.worldcat.org/oclc/25832199","Catalog Record")</f>
        <v>Catalog Record</v>
      </c>
      <c r="AW384" s="6" t="str">
        <f>HYPERLINK("http://www.worldcat.org/oclc/25832199","WorldCat Record")</f>
        <v>WorldCat Record</v>
      </c>
      <c r="AX384" s="3" t="s">
        <v>3612</v>
      </c>
      <c r="AY384" s="3" t="s">
        <v>3613</v>
      </c>
      <c r="AZ384" s="3" t="s">
        <v>3614</v>
      </c>
      <c r="BA384" s="3" t="s">
        <v>3614</v>
      </c>
      <c r="BB384" s="3" t="s">
        <v>3615</v>
      </c>
      <c r="BC384" s="3" t="s">
        <v>142</v>
      </c>
      <c r="BD384" s="3" t="s">
        <v>308</v>
      </c>
      <c r="BE384" s="3" t="s">
        <v>3616</v>
      </c>
      <c r="BF384" s="3" t="s">
        <v>3615</v>
      </c>
      <c r="BG384" s="3" t="s">
        <v>3617</v>
      </c>
    </row>
    <row r="385" spans="1:59" ht="57" x14ac:dyDescent="0.45">
      <c r="A385" s="2" t="s">
        <v>59</v>
      </c>
      <c r="B385" s="2" t="s">
        <v>60</v>
      </c>
      <c r="C385" s="2" t="s">
        <v>3618</v>
      </c>
      <c r="D385" s="2" t="s">
        <v>3619</v>
      </c>
      <c r="E385" s="2" t="s">
        <v>3620</v>
      </c>
      <c r="G385" s="3" t="s">
        <v>62</v>
      </c>
      <c r="I385" s="3" t="s">
        <v>62</v>
      </c>
      <c r="J385" s="3" t="s">
        <v>62</v>
      </c>
      <c r="K385" s="3" t="s">
        <v>63</v>
      </c>
      <c r="M385" s="2" t="s">
        <v>3621</v>
      </c>
      <c r="N385" s="3" t="s">
        <v>1465</v>
      </c>
      <c r="P385" s="3" t="s">
        <v>65</v>
      </c>
      <c r="Q385" s="2" t="s">
        <v>3622</v>
      </c>
      <c r="R385" s="3" t="s">
        <v>66</v>
      </c>
      <c r="S385" s="4">
        <v>9</v>
      </c>
      <c r="T385" s="4">
        <v>9</v>
      </c>
      <c r="U385" s="5" t="s">
        <v>3623</v>
      </c>
      <c r="V385" s="5" t="s">
        <v>3623</v>
      </c>
      <c r="W385" s="5" t="s">
        <v>67</v>
      </c>
      <c r="X385" s="5" t="s">
        <v>67</v>
      </c>
      <c r="Y385" s="4">
        <v>194</v>
      </c>
      <c r="Z385" s="4">
        <v>23</v>
      </c>
      <c r="AA385" s="4">
        <v>102</v>
      </c>
      <c r="AB385" s="4">
        <v>2</v>
      </c>
      <c r="AC385" s="4">
        <v>17</v>
      </c>
      <c r="AD385" s="4">
        <v>79</v>
      </c>
      <c r="AE385" s="4">
        <v>134</v>
      </c>
      <c r="AF385" s="4">
        <v>1</v>
      </c>
      <c r="AG385" s="4">
        <v>8</v>
      </c>
      <c r="AH385" s="4">
        <v>69</v>
      </c>
      <c r="AI385" s="4">
        <v>97</v>
      </c>
      <c r="AJ385" s="4">
        <v>16</v>
      </c>
      <c r="AK385" s="4">
        <v>26</v>
      </c>
      <c r="AL385" s="4">
        <v>41</v>
      </c>
      <c r="AM385" s="4">
        <v>51</v>
      </c>
      <c r="AN385" s="4">
        <v>0</v>
      </c>
      <c r="AO385" s="4">
        <v>0</v>
      </c>
      <c r="AP385" s="4">
        <v>18</v>
      </c>
      <c r="AQ385" s="4">
        <v>47</v>
      </c>
      <c r="AR385" s="3" t="s">
        <v>62</v>
      </c>
      <c r="AS385" s="3" t="s">
        <v>62</v>
      </c>
      <c r="AT385" s="3" t="s">
        <v>62</v>
      </c>
      <c r="AV385" s="6" t="str">
        <f>HYPERLINK("http://mcgill.on.worldcat.org/oclc/232536716","Catalog Record")</f>
        <v>Catalog Record</v>
      </c>
      <c r="AW385" s="6" t="str">
        <f>HYPERLINK("http://www.worldcat.org/oclc/232536716","WorldCat Record")</f>
        <v>WorldCat Record</v>
      </c>
      <c r="AX385" s="3" t="s">
        <v>3624</v>
      </c>
      <c r="AY385" s="3" t="s">
        <v>3625</v>
      </c>
      <c r="AZ385" s="3" t="s">
        <v>3626</v>
      </c>
      <c r="BA385" s="3" t="s">
        <v>3626</v>
      </c>
      <c r="BB385" s="3" t="s">
        <v>3627</v>
      </c>
      <c r="BC385" s="3" t="s">
        <v>142</v>
      </c>
      <c r="BD385" s="3" t="s">
        <v>68</v>
      </c>
      <c r="BE385" s="3" t="s">
        <v>3628</v>
      </c>
      <c r="BF385" s="3" t="s">
        <v>3627</v>
      </c>
      <c r="BG385" s="3" t="s">
        <v>3629</v>
      </c>
    </row>
    <row r="386" spans="1:59" ht="57" x14ac:dyDescent="0.45">
      <c r="A386" s="2" t="s">
        <v>59</v>
      </c>
      <c r="B386" s="2" t="s">
        <v>60</v>
      </c>
      <c r="C386" s="2" t="s">
        <v>3630</v>
      </c>
      <c r="D386" s="2" t="s">
        <v>3631</v>
      </c>
      <c r="E386" s="2" t="s">
        <v>3632</v>
      </c>
      <c r="G386" s="3" t="s">
        <v>62</v>
      </c>
      <c r="I386" s="3" t="s">
        <v>62</v>
      </c>
      <c r="J386" s="3" t="s">
        <v>62</v>
      </c>
      <c r="K386" s="3" t="s">
        <v>63</v>
      </c>
      <c r="M386" s="2" t="s">
        <v>3633</v>
      </c>
      <c r="N386" s="3" t="s">
        <v>125</v>
      </c>
      <c r="P386" s="3" t="s">
        <v>65</v>
      </c>
      <c r="Q386" s="2" t="s">
        <v>3634</v>
      </c>
      <c r="R386" s="3" t="s">
        <v>66</v>
      </c>
      <c r="S386" s="4">
        <v>81</v>
      </c>
      <c r="T386" s="4">
        <v>81</v>
      </c>
      <c r="U386" s="5" t="s">
        <v>822</v>
      </c>
      <c r="V386" s="5" t="s">
        <v>822</v>
      </c>
      <c r="W386" s="5" t="s">
        <v>67</v>
      </c>
      <c r="X386" s="5" t="s">
        <v>67</v>
      </c>
      <c r="Y386" s="4">
        <v>408</v>
      </c>
      <c r="Z386" s="4">
        <v>31</v>
      </c>
      <c r="AA386" s="4">
        <v>32</v>
      </c>
      <c r="AB386" s="4">
        <v>2</v>
      </c>
      <c r="AC386" s="4">
        <v>3</v>
      </c>
      <c r="AD386" s="4">
        <v>119</v>
      </c>
      <c r="AE386" s="4">
        <v>120</v>
      </c>
      <c r="AF386" s="4">
        <v>1</v>
      </c>
      <c r="AG386" s="4">
        <v>2</v>
      </c>
      <c r="AH386" s="4">
        <v>102</v>
      </c>
      <c r="AI386" s="4">
        <v>102</v>
      </c>
      <c r="AJ386" s="4">
        <v>17</v>
      </c>
      <c r="AK386" s="4">
        <v>18</v>
      </c>
      <c r="AL386" s="4">
        <v>55</v>
      </c>
      <c r="AM386" s="4">
        <v>55</v>
      </c>
      <c r="AN386" s="4">
        <v>0</v>
      </c>
      <c r="AO386" s="4">
        <v>0</v>
      </c>
      <c r="AP386" s="4">
        <v>25</v>
      </c>
      <c r="AQ386" s="4">
        <v>25</v>
      </c>
      <c r="AR386" s="3" t="s">
        <v>62</v>
      </c>
      <c r="AS386" s="3" t="s">
        <v>62</v>
      </c>
      <c r="AT386" s="3" t="s">
        <v>62</v>
      </c>
      <c r="AV386" s="6" t="str">
        <f>HYPERLINK("http://mcgill.on.worldcat.org/oclc/21035208","Catalog Record")</f>
        <v>Catalog Record</v>
      </c>
      <c r="AW386" s="6" t="str">
        <f>HYPERLINK("http://www.worldcat.org/oclc/21035208","WorldCat Record")</f>
        <v>WorldCat Record</v>
      </c>
      <c r="AX386" s="3" t="s">
        <v>3635</v>
      </c>
      <c r="AY386" s="3" t="s">
        <v>3636</v>
      </c>
      <c r="AZ386" s="3" t="s">
        <v>3637</v>
      </c>
      <c r="BA386" s="3" t="s">
        <v>3637</v>
      </c>
      <c r="BB386" s="3" t="s">
        <v>3638</v>
      </c>
      <c r="BC386" s="3" t="s">
        <v>142</v>
      </c>
      <c r="BD386" s="3" t="s">
        <v>308</v>
      </c>
      <c r="BE386" s="3" t="s">
        <v>3639</v>
      </c>
      <c r="BF386" s="3" t="s">
        <v>3638</v>
      </c>
      <c r="BG386" s="3" t="s">
        <v>3640</v>
      </c>
    </row>
    <row r="387" spans="1:59" ht="57" x14ac:dyDescent="0.45">
      <c r="A387" s="2" t="s">
        <v>59</v>
      </c>
      <c r="B387" s="2" t="s">
        <v>60</v>
      </c>
      <c r="C387" s="2" t="s">
        <v>3641</v>
      </c>
      <c r="D387" s="2" t="s">
        <v>3642</v>
      </c>
      <c r="E387" s="2" t="s">
        <v>3643</v>
      </c>
      <c r="G387" s="3" t="s">
        <v>62</v>
      </c>
      <c r="I387" s="3" t="s">
        <v>62</v>
      </c>
      <c r="J387" s="3" t="s">
        <v>62</v>
      </c>
      <c r="K387" s="3" t="s">
        <v>63</v>
      </c>
      <c r="M387" s="2" t="s">
        <v>3644</v>
      </c>
      <c r="N387" s="3" t="s">
        <v>2107</v>
      </c>
      <c r="P387" s="3" t="s">
        <v>65</v>
      </c>
      <c r="R387" s="3" t="s">
        <v>66</v>
      </c>
      <c r="S387" s="4">
        <v>50</v>
      </c>
      <c r="T387" s="4">
        <v>50</v>
      </c>
      <c r="U387" s="5" t="s">
        <v>3623</v>
      </c>
      <c r="V387" s="5" t="s">
        <v>3623</v>
      </c>
      <c r="W387" s="5" t="s">
        <v>67</v>
      </c>
      <c r="X387" s="5" t="s">
        <v>67</v>
      </c>
      <c r="Y387" s="4">
        <v>470</v>
      </c>
      <c r="Z387" s="4">
        <v>26</v>
      </c>
      <c r="AA387" s="4">
        <v>28</v>
      </c>
      <c r="AB387" s="4">
        <v>2</v>
      </c>
      <c r="AC387" s="4">
        <v>4</v>
      </c>
      <c r="AD387" s="4">
        <v>111</v>
      </c>
      <c r="AE387" s="4">
        <v>113</v>
      </c>
      <c r="AF387" s="4">
        <v>1</v>
      </c>
      <c r="AG387" s="4">
        <v>3</v>
      </c>
      <c r="AH387" s="4">
        <v>98</v>
      </c>
      <c r="AI387" s="4">
        <v>99</v>
      </c>
      <c r="AJ387" s="4">
        <v>21</v>
      </c>
      <c r="AK387" s="4">
        <v>23</v>
      </c>
      <c r="AL387" s="4">
        <v>52</v>
      </c>
      <c r="AM387" s="4">
        <v>52</v>
      </c>
      <c r="AN387" s="4">
        <v>0</v>
      </c>
      <c r="AO387" s="4">
        <v>0</v>
      </c>
      <c r="AP387" s="4">
        <v>23</v>
      </c>
      <c r="AQ387" s="4">
        <v>25</v>
      </c>
      <c r="AR387" s="3" t="s">
        <v>62</v>
      </c>
      <c r="AS387" s="3" t="s">
        <v>62</v>
      </c>
      <c r="AT387" s="3" t="s">
        <v>61</v>
      </c>
      <c r="AU387" s="6" t="str">
        <f>HYPERLINK("http://catalog.hathitrust.org/Record/000208231","HathiTrust Record")</f>
        <v>HathiTrust Record</v>
      </c>
      <c r="AV387" s="6" t="str">
        <f>HYPERLINK("http://mcgill.on.worldcat.org/oclc/10456934","Catalog Record")</f>
        <v>Catalog Record</v>
      </c>
      <c r="AW387" s="6" t="str">
        <f>HYPERLINK("http://www.worldcat.org/oclc/10456934","WorldCat Record")</f>
        <v>WorldCat Record</v>
      </c>
      <c r="AX387" s="3" t="s">
        <v>3645</v>
      </c>
      <c r="AY387" s="3" t="s">
        <v>3646</v>
      </c>
      <c r="AZ387" s="3" t="s">
        <v>3647</v>
      </c>
      <c r="BA387" s="3" t="s">
        <v>3647</v>
      </c>
      <c r="BB387" s="3" t="s">
        <v>3648</v>
      </c>
      <c r="BC387" s="3" t="s">
        <v>142</v>
      </c>
      <c r="BD387" s="3" t="s">
        <v>68</v>
      </c>
      <c r="BE387" s="3" t="s">
        <v>3649</v>
      </c>
      <c r="BF387" s="3" t="s">
        <v>3648</v>
      </c>
      <c r="BG387" s="3" t="s">
        <v>3650</v>
      </c>
    </row>
    <row r="388" spans="1:59" ht="57" x14ac:dyDescent="0.45">
      <c r="A388" s="2" t="s">
        <v>59</v>
      </c>
      <c r="B388" s="2" t="s">
        <v>60</v>
      </c>
      <c r="C388" s="2" t="s">
        <v>3651</v>
      </c>
      <c r="D388" s="2" t="s">
        <v>3652</v>
      </c>
      <c r="E388" s="2" t="s">
        <v>3653</v>
      </c>
      <c r="G388" s="3" t="s">
        <v>62</v>
      </c>
      <c r="I388" s="3" t="s">
        <v>61</v>
      </c>
      <c r="J388" s="3" t="s">
        <v>62</v>
      </c>
      <c r="K388" s="3" t="s">
        <v>63</v>
      </c>
      <c r="M388" s="2" t="s">
        <v>3654</v>
      </c>
      <c r="N388" s="3" t="s">
        <v>157</v>
      </c>
      <c r="P388" s="3" t="s">
        <v>65</v>
      </c>
      <c r="Q388" s="2" t="s">
        <v>3655</v>
      </c>
      <c r="R388" s="3" t="s">
        <v>66</v>
      </c>
      <c r="S388" s="4">
        <v>63</v>
      </c>
      <c r="T388" s="4">
        <v>94</v>
      </c>
      <c r="U388" s="5" t="s">
        <v>3656</v>
      </c>
      <c r="V388" s="5" t="s">
        <v>3611</v>
      </c>
      <c r="W388" s="5" t="s">
        <v>67</v>
      </c>
      <c r="X388" s="5" t="s">
        <v>67</v>
      </c>
      <c r="Y388" s="4">
        <v>795</v>
      </c>
      <c r="Z388" s="4">
        <v>50</v>
      </c>
      <c r="AA388" s="4">
        <v>50</v>
      </c>
      <c r="AB388" s="4">
        <v>4</v>
      </c>
      <c r="AC388" s="4">
        <v>4</v>
      </c>
      <c r="AD388" s="4">
        <v>133</v>
      </c>
      <c r="AE388" s="4">
        <v>133</v>
      </c>
      <c r="AF388" s="4">
        <v>2</v>
      </c>
      <c r="AG388" s="4">
        <v>2</v>
      </c>
      <c r="AH388" s="4">
        <v>108</v>
      </c>
      <c r="AI388" s="4">
        <v>108</v>
      </c>
      <c r="AJ388" s="4">
        <v>23</v>
      </c>
      <c r="AK388" s="4">
        <v>23</v>
      </c>
      <c r="AL388" s="4">
        <v>58</v>
      </c>
      <c r="AM388" s="4">
        <v>58</v>
      </c>
      <c r="AN388" s="4">
        <v>0</v>
      </c>
      <c r="AO388" s="4">
        <v>0</v>
      </c>
      <c r="AP388" s="4">
        <v>32</v>
      </c>
      <c r="AQ388" s="4">
        <v>32</v>
      </c>
      <c r="AR388" s="3" t="s">
        <v>62</v>
      </c>
      <c r="AS388" s="3" t="s">
        <v>62</v>
      </c>
      <c r="AT388" s="3" t="s">
        <v>62</v>
      </c>
      <c r="AV388" s="6" t="str">
        <f>HYPERLINK("http://mcgill.on.worldcat.org/oclc/8387986","Catalog Record")</f>
        <v>Catalog Record</v>
      </c>
      <c r="AW388" s="6" t="str">
        <f>HYPERLINK("http://www.worldcat.org/oclc/8387986","WorldCat Record")</f>
        <v>WorldCat Record</v>
      </c>
      <c r="AX388" s="3" t="s">
        <v>3657</v>
      </c>
      <c r="AY388" s="3" t="s">
        <v>3658</v>
      </c>
      <c r="AZ388" s="3" t="s">
        <v>3659</v>
      </c>
      <c r="BA388" s="3" t="s">
        <v>3659</v>
      </c>
      <c r="BB388" s="3" t="s">
        <v>3660</v>
      </c>
      <c r="BC388" s="3" t="s">
        <v>142</v>
      </c>
      <c r="BD388" s="3" t="s">
        <v>68</v>
      </c>
      <c r="BE388" s="3" t="s">
        <v>3661</v>
      </c>
      <c r="BF388" s="3" t="s">
        <v>3660</v>
      </c>
      <c r="BG388" s="3" t="s">
        <v>3662</v>
      </c>
    </row>
    <row r="389" spans="1:59" ht="57" x14ac:dyDescent="0.45">
      <c r="A389" s="2" t="s">
        <v>59</v>
      </c>
      <c r="B389" s="2" t="s">
        <v>60</v>
      </c>
      <c r="C389" s="2" t="s">
        <v>3651</v>
      </c>
      <c r="D389" s="2" t="s">
        <v>3652</v>
      </c>
      <c r="E389" s="2" t="s">
        <v>3653</v>
      </c>
      <c r="G389" s="3" t="s">
        <v>62</v>
      </c>
      <c r="I389" s="3" t="s">
        <v>61</v>
      </c>
      <c r="J389" s="3" t="s">
        <v>62</v>
      </c>
      <c r="K389" s="3" t="s">
        <v>63</v>
      </c>
      <c r="M389" s="2" t="s">
        <v>3654</v>
      </c>
      <c r="N389" s="3" t="s">
        <v>157</v>
      </c>
      <c r="P389" s="3" t="s">
        <v>65</v>
      </c>
      <c r="Q389" s="2" t="s">
        <v>3655</v>
      </c>
      <c r="R389" s="3" t="s">
        <v>66</v>
      </c>
      <c r="S389" s="4">
        <v>31</v>
      </c>
      <c r="T389" s="4">
        <v>94</v>
      </c>
      <c r="U389" s="5" t="s">
        <v>3611</v>
      </c>
      <c r="V389" s="5" t="s">
        <v>3611</v>
      </c>
      <c r="W389" s="5" t="s">
        <v>67</v>
      </c>
      <c r="X389" s="5" t="s">
        <v>67</v>
      </c>
      <c r="Y389" s="4">
        <v>795</v>
      </c>
      <c r="Z389" s="4">
        <v>50</v>
      </c>
      <c r="AA389" s="4">
        <v>50</v>
      </c>
      <c r="AB389" s="4">
        <v>4</v>
      </c>
      <c r="AC389" s="4">
        <v>4</v>
      </c>
      <c r="AD389" s="4">
        <v>133</v>
      </c>
      <c r="AE389" s="4">
        <v>133</v>
      </c>
      <c r="AF389" s="4">
        <v>2</v>
      </c>
      <c r="AG389" s="4">
        <v>2</v>
      </c>
      <c r="AH389" s="4">
        <v>108</v>
      </c>
      <c r="AI389" s="4">
        <v>108</v>
      </c>
      <c r="AJ389" s="4">
        <v>23</v>
      </c>
      <c r="AK389" s="4">
        <v>23</v>
      </c>
      <c r="AL389" s="4">
        <v>58</v>
      </c>
      <c r="AM389" s="4">
        <v>58</v>
      </c>
      <c r="AN389" s="4">
        <v>0</v>
      </c>
      <c r="AO389" s="4">
        <v>0</v>
      </c>
      <c r="AP389" s="4">
        <v>32</v>
      </c>
      <c r="AQ389" s="4">
        <v>32</v>
      </c>
      <c r="AR389" s="3" t="s">
        <v>62</v>
      </c>
      <c r="AS389" s="3" t="s">
        <v>62</v>
      </c>
      <c r="AT389" s="3" t="s">
        <v>62</v>
      </c>
      <c r="AV389" s="6" t="str">
        <f>HYPERLINK("http://mcgill.on.worldcat.org/oclc/8387986","Catalog Record")</f>
        <v>Catalog Record</v>
      </c>
      <c r="AW389" s="6" t="str">
        <f>HYPERLINK("http://www.worldcat.org/oclc/8387986","WorldCat Record")</f>
        <v>WorldCat Record</v>
      </c>
      <c r="AX389" s="3" t="s">
        <v>3657</v>
      </c>
      <c r="AY389" s="3" t="s">
        <v>3658</v>
      </c>
      <c r="AZ389" s="3" t="s">
        <v>3659</v>
      </c>
      <c r="BA389" s="3" t="s">
        <v>3659</v>
      </c>
      <c r="BB389" s="3" t="s">
        <v>3663</v>
      </c>
      <c r="BC389" s="3" t="s">
        <v>142</v>
      </c>
      <c r="BD389" s="3" t="s">
        <v>68</v>
      </c>
      <c r="BE389" s="3" t="s">
        <v>3661</v>
      </c>
      <c r="BF389" s="3" t="s">
        <v>3663</v>
      </c>
      <c r="BG389" s="3" t="s">
        <v>3664</v>
      </c>
    </row>
    <row r="390" spans="1:59" ht="57" x14ac:dyDescent="0.45">
      <c r="A390" s="2" t="s">
        <v>59</v>
      </c>
      <c r="B390" s="2" t="s">
        <v>60</v>
      </c>
      <c r="C390" s="2" t="s">
        <v>3665</v>
      </c>
      <c r="D390" s="2" t="s">
        <v>3666</v>
      </c>
      <c r="E390" s="2" t="s">
        <v>3667</v>
      </c>
      <c r="G390" s="3" t="s">
        <v>62</v>
      </c>
      <c r="I390" s="3" t="s">
        <v>62</v>
      </c>
      <c r="J390" s="3" t="s">
        <v>62</v>
      </c>
      <c r="K390" s="3" t="s">
        <v>63</v>
      </c>
      <c r="M390" s="2" t="s">
        <v>3668</v>
      </c>
      <c r="N390" s="3" t="s">
        <v>894</v>
      </c>
      <c r="P390" s="3" t="s">
        <v>65</v>
      </c>
      <c r="Q390" s="2" t="s">
        <v>3669</v>
      </c>
      <c r="R390" s="3" t="s">
        <v>66</v>
      </c>
      <c r="S390" s="4">
        <v>0</v>
      </c>
      <c r="T390" s="4">
        <v>0</v>
      </c>
      <c r="W390" s="5" t="s">
        <v>67</v>
      </c>
      <c r="X390" s="5" t="s">
        <v>67</v>
      </c>
      <c r="Y390" s="4">
        <v>87</v>
      </c>
      <c r="Z390" s="4">
        <v>12</v>
      </c>
      <c r="AA390" s="4">
        <v>94</v>
      </c>
      <c r="AB390" s="4">
        <v>1</v>
      </c>
      <c r="AC390" s="4">
        <v>17</v>
      </c>
      <c r="AD390" s="4">
        <v>46</v>
      </c>
      <c r="AE390" s="4">
        <v>115</v>
      </c>
      <c r="AF390" s="4">
        <v>0</v>
      </c>
      <c r="AG390" s="4">
        <v>8</v>
      </c>
      <c r="AH390" s="4">
        <v>43</v>
      </c>
      <c r="AI390" s="4">
        <v>80</v>
      </c>
      <c r="AJ390" s="4">
        <v>9</v>
      </c>
      <c r="AK390" s="4">
        <v>23</v>
      </c>
      <c r="AL390" s="4">
        <v>24</v>
      </c>
      <c r="AM390" s="4">
        <v>38</v>
      </c>
      <c r="AN390" s="4">
        <v>0</v>
      </c>
      <c r="AO390" s="4">
        <v>0</v>
      </c>
      <c r="AP390" s="4">
        <v>9</v>
      </c>
      <c r="AQ390" s="4">
        <v>44</v>
      </c>
      <c r="AR390" s="3" t="s">
        <v>62</v>
      </c>
      <c r="AS390" s="3" t="s">
        <v>62</v>
      </c>
      <c r="AT390" s="3" t="s">
        <v>62</v>
      </c>
      <c r="AV390" s="6" t="str">
        <f>HYPERLINK("http://mcgill.on.worldcat.org/oclc/667213232","Catalog Record")</f>
        <v>Catalog Record</v>
      </c>
      <c r="AW390" s="6" t="str">
        <f>HYPERLINK("http://www.worldcat.org/oclc/667213232","WorldCat Record")</f>
        <v>WorldCat Record</v>
      </c>
      <c r="AX390" s="3" t="s">
        <v>3670</v>
      </c>
      <c r="AY390" s="3" t="s">
        <v>3671</v>
      </c>
      <c r="AZ390" s="3" t="s">
        <v>3672</v>
      </c>
      <c r="BA390" s="3" t="s">
        <v>3672</v>
      </c>
      <c r="BB390" s="3" t="s">
        <v>3673</v>
      </c>
      <c r="BC390" s="3" t="s">
        <v>142</v>
      </c>
      <c r="BD390" s="3" t="s">
        <v>68</v>
      </c>
      <c r="BE390" s="3" t="s">
        <v>3674</v>
      </c>
      <c r="BF390" s="3" t="s">
        <v>3673</v>
      </c>
      <c r="BG390" s="3" t="s">
        <v>3675</v>
      </c>
    </row>
    <row r="391" spans="1:59" ht="57" x14ac:dyDescent="0.45">
      <c r="A391" s="2" t="s">
        <v>59</v>
      </c>
      <c r="B391" s="2" t="s">
        <v>60</v>
      </c>
      <c r="C391" s="2" t="s">
        <v>3676</v>
      </c>
      <c r="D391" s="2" t="s">
        <v>3677</v>
      </c>
      <c r="E391" s="2" t="s">
        <v>3678</v>
      </c>
      <c r="G391" s="3" t="s">
        <v>62</v>
      </c>
      <c r="I391" s="3" t="s">
        <v>62</v>
      </c>
      <c r="J391" s="3" t="s">
        <v>62</v>
      </c>
      <c r="K391" s="3" t="s">
        <v>63</v>
      </c>
      <c r="M391" s="2" t="s">
        <v>3679</v>
      </c>
      <c r="N391" s="3" t="s">
        <v>918</v>
      </c>
      <c r="P391" s="3" t="s">
        <v>65</v>
      </c>
      <c r="R391" s="3" t="s">
        <v>66</v>
      </c>
      <c r="S391" s="4">
        <v>27</v>
      </c>
      <c r="T391" s="4">
        <v>27</v>
      </c>
      <c r="U391" s="5" t="s">
        <v>128</v>
      </c>
      <c r="V391" s="5" t="s">
        <v>128</v>
      </c>
      <c r="W391" s="5" t="s">
        <v>67</v>
      </c>
      <c r="X391" s="5" t="s">
        <v>67</v>
      </c>
      <c r="Y391" s="4">
        <v>325</v>
      </c>
      <c r="Z391" s="4">
        <v>23</v>
      </c>
      <c r="AA391" s="4">
        <v>26</v>
      </c>
      <c r="AB391" s="4">
        <v>2</v>
      </c>
      <c r="AC391" s="4">
        <v>5</v>
      </c>
      <c r="AD391" s="4">
        <v>83</v>
      </c>
      <c r="AE391" s="4">
        <v>86</v>
      </c>
      <c r="AF391" s="4">
        <v>1</v>
      </c>
      <c r="AG391" s="4">
        <v>4</v>
      </c>
      <c r="AH391" s="4">
        <v>71</v>
      </c>
      <c r="AI391" s="4">
        <v>72</v>
      </c>
      <c r="AJ391" s="4">
        <v>15</v>
      </c>
      <c r="AK391" s="4">
        <v>18</v>
      </c>
      <c r="AL391" s="4">
        <v>35</v>
      </c>
      <c r="AM391" s="4">
        <v>35</v>
      </c>
      <c r="AN391" s="4">
        <v>0</v>
      </c>
      <c r="AO391" s="4">
        <v>0</v>
      </c>
      <c r="AP391" s="4">
        <v>21</v>
      </c>
      <c r="AQ391" s="4">
        <v>23</v>
      </c>
      <c r="AR391" s="3" t="s">
        <v>62</v>
      </c>
      <c r="AS391" s="3" t="s">
        <v>62</v>
      </c>
      <c r="AT391" s="3" t="s">
        <v>62</v>
      </c>
      <c r="AV391" s="6" t="str">
        <f>HYPERLINK("http://mcgill.on.worldcat.org/oclc/53347554","Catalog Record")</f>
        <v>Catalog Record</v>
      </c>
      <c r="AW391" s="6" t="str">
        <f>HYPERLINK("http://www.worldcat.org/oclc/53347554","WorldCat Record")</f>
        <v>WorldCat Record</v>
      </c>
      <c r="AX391" s="3" t="s">
        <v>3680</v>
      </c>
      <c r="AY391" s="3" t="s">
        <v>3681</v>
      </c>
      <c r="AZ391" s="3" t="s">
        <v>3682</v>
      </c>
      <c r="BA391" s="3" t="s">
        <v>3682</v>
      </c>
      <c r="BB391" s="3" t="s">
        <v>3683</v>
      </c>
      <c r="BC391" s="3" t="s">
        <v>142</v>
      </c>
      <c r="BD391" s="3" t="s">
        <v>308</v>
      </c>
      <c r="BE391" s="3" t="s">
        <v>3684</v>
      </c>
      <c r="BF391" s="3" t="s">
        <v>3683</v>
      </c>
      <c r="BG391" s="3" t="s">
        <v>3685</v>
      </c>
    </row>
    <row r="392" spans="1:59" ht="57" x14ac:dyDescent="0.45">
      <c r="A392" s="2" t="s">
        <v>59</v>
      </c>
      <c r="B392" s="2" t="s">
        <v>60</v>
      </c>
      <c r="C392" s="2" t="s">
        <v>3686</v>
      </c>
      <c r="D392" s="2" t="s">
        <v>3687</v>
      </c>
      <c r="E392" s="2" t="s">
        <v>3688</v>
      </c>
      <c r="G392" s="3" t="s">
        <v>62</v>
      </c>
      <c r="I392" s="3" t="s">
        <v>62</v>
      </c>
      <c r="J392" s="3" t="s">
        <v>62</v>
      </c>
      <c r="K392" s="3" t="s">
        <v>63</v>
      </c>
      <c r="M392" s="2" t="s">
        <v>3689</v>
      </c>
      <c r="N392" s="3" t="s">
        <v>807</v>
      </c>
      <c r="P392" s="3" t="s">
        <v>65</v>
      </c>
      <c r="R392" s="3" t="s">
        <v>66</v>
      </c>
      <c r="S392" s="4">
        <v>22</v>
      </c>
      <c r="T392" s="4">
        <v>22</v>
      </c>
      <c r="U392" s="5" t="s">
        <v>1553</v>
      </c>
      <c r="V392" s="5" t="s">
        <v>1553</v>
      </c>
      <c r="W392" s="5" t="s">
        <v>67</v>
      </c>
      <c r="X392" s="5" t="s">
        <v>67</v>
      </c>
      <c r="Y392" s="4">
        <v>362</v>
      </c>
      <c r="Z392" s="4">
        <v>29</v>
      </c>
      <c r="AA392" s="4">
        <v>30</v>
      </c>
      <c r="AB392" s="4">
        <v>1</v>
      </c>
      <c r="AC392" s="4">
        <v>2</v>
      </c>
      <c r="AD392" s="4">
        <v>100</v>
      </c>
      <c r="AE392" s="4">
        <v>101</v>
      </c>
      <c r="AF392" s="4">
        <v>0</v>
      </c>
      <c r="AG392" s="4">
        <v>1</v>
      </c>
      <c r="AH392" s="4">
        <v>89</v>
      </c>
      <c r="AI392" s="4">
        <v>89</v>
      </c>
      <c r="AJ392" s="4">
        <v>17</v>
      </c>
      <c r="AK392" s="4">
        <v>18</v>
      </c>
      <c r="AL392" s="4">
        <v>49</v>
      </c>
      <c r="AM392" s="4">
        <v>49</v>
      </c>
      <c r="AN392" s="4">
        <v>0</v>
      </c>
      <c r="AO392" s="4">
        <v>0</v>
      </c>
      <c r="AP392" s="4">
        <v>22</v>
      </c>
      <c r="AQ392" s="4">
        <v>22</v>
      </c>
      <c r="AR392" s="3" t="s">
        <v>62</v>
      </c>
      <c r="AS392" s="3" t="s">
        <v>62</v>
      </c>
      <c r="AT392" s="3" t="s">
        <v>62</v>
      </c>
      <c r="AV392" s="6" t="str">
        <f>HYPERLINK("http://mcgill.on.worldcat.org/oclc/22119237","Catalog Record")</f>
        <v>Catalog Record</v>
      </c>
      <c r="AW392" s="6" t="str">
        <f>HYPERLINK("http://www.worldcat.org/oclc/22119237","WorldCat Record")</f>
        <v>WorldCat Record</v>
      </c>
      <c r="AX392" s="3" t="s">
        <v>3690</v>
      </c>
      <c r="AY392" s="3" t="s">
        <v>3691</v>
      </c>
      <c r="AZ392" s="3" t="s">
        <v>3692</v>
      </c>
      <c r="BA392" s="3" t="s">
        <v>3692</v>
      </c>
      <c r="BB392" s="3" t="s">
        <v>3693</v>
      </c>
      <c r="BC392" s="3" t="s">
        <v>142</v>
      </c>
      <c r="BD392" s="3" t="s">
        <v>68</v>
      </c>
      <c r="BE392" s="3" t="s">
        <v>3694</v>
      </c>
      <c r="BF392" s="3" t="s">
        <v>3693</v>
      </c>
      <c r="BG392" s="3" t="s">
        <v>3695</v>
      </c>
    </row>
    <row r="393" spans="1:59" ht="57" x14ac:dyDescent="0.45">
      <c r="A393" s="2" t="s">
        <v>59</v>
      </c>
      <c r="B393" s="2" t="s">
        <v>60</v>
      </c>
      <c r="C393" s="2" t="s">
        <v>3696</v>
      </c>
      <c r="D393" s="2" t="s">
        <v>3697</v>
      </c>
      <c r="E393" s="2" t="s">
        <v>3698</v>
      </c>
      <c r="G393" s="3" t="s">
        <v>62</v>
      </c>
      <c r="I393" s="3" t="s">
        <v>62</v>
      </c>
      <c r="J393" s="3" t="s">
        <v>62</v>
      </c>
      <c r="K393" s="3" t="s">
        <v>63</v>
      </c>
      <c r="M393" s="2" t="s">
        <v>3699</v>
      </c>
      <c r="N393" s="3" t="s">
        <v>167</v>
      </c>
      <c r="P393" s="3" t="s">
        <v>65</v>
      </c>
      <c r="Q393" s="2" t="s">
        <v>3700</v>
      </c>
      <c r="R393" s="3" t="s">
        <v>66</v>
      </c>
      <c r="S393" s="4">
        <v>24</v>
      </c>
      <c r="T393" s="4">
        <v>24</v>
      </c>
      <c r="U393" s="5" t="s">
        <v>3701</v>
      </c>
      <c r="V393" s="5" t="s">
        <v>3701</v>
      </c>
      <c r="W393" s="5" t="s">
        <v>67</v>
      </c>
      <c r="X393" s="5" t="s">
        <v>67</v>
      </c>
      <c r="Y393" s="4">
        <v>243</v>
      </c>
      <c r="Z393" s="4">
        <v>14</v>
      </c>
      <c r="AA393" s="4">
        <v>81</v>
      </c>
      <c r="AB393" s="4">
        <v>1</v>
      </c>
      <c r="AC393" s="4">
        <v>14</v>
      </c>
      <c r="AD393" s="4">
        <v>86</v>
      </c>
      <c r="AE393" s="4">
        <v>131</v>
      </c>
      <c r="AF393" s="4">
        <v>0</v>
      </c>
      <c r="AG393" s="4">
        <v>8</v>
      </c>
      <c r="AH393" s="4">
        <v>80</v>
      </c>
      <c r="AI393" s="4">
        <v>97</v>
      </c>
      <c r="AJ393" s="4">
        <v>10</v>
      </c>
      <c r="AK393" s="4">
        <v>23</v>
      </c>
      <c r="AL393" s="4">
        <v>47</v>
      </c>
      <c r="AM393" s="4">
        <v>52</v>
      </c>
      <c r="AN393" s="4">
        <v>0</v>
      </c>
      <c r="AO393" s="4">
        <v>0</v>
      </c>
      <c r="AP393" s="4">
        <v>11</v>
      </c>
      <c r="AQ393" s="4">
        <v>43</v>
      </c>
      <c r="AR393" s="3" t="s">
        <v>62</v>
      </c>
      <c r="AS393" s="3" t="s">
        <v>62</v>
      </c>
      <c r="AT393" s="3" t="s">
        <v>62</v>
      </c>
      <c r="AV393" s="6" t="str">
        <f>HYPERLINK("http://mcgill.on.worldcat.org/oclc/41527904","Catalog Record")</f>
        <v>Catalog Record</v>
      </c>
      <c r="AW393" s="6" t="str">
        <f>HYPERLINK("http://www.worldcat.org/oclc/41527904","WorldCat Record")</f>
        <v>WorldCat Record</v>
      </c>
      <c r="AX393" s="3" t="s">
        <v>3702</v>
      </c>
      <c r="AY393" s="3" t="s">
        <v>3703</v>
      </c>
      <c r="AZ393" s="3" t="s">
        <v>3704</v>
      </c>
      <c r="BA393" s="3" t="s">
        <v>3704</v>
      </c>
      <c r="BB393" s="3" t="s">
        <v>3705</v>
      </c>
      <c r="BC393" s="3" t="s">
        <v>142</v>
      </c>
      <c r="BD393" s="3" t="s">
        <v>68</v>
      </c>
      <c r="BE393" s="3" t="s">
        <v>3706</v>
      </c>
      <c r="BF393" s="3" t="s">
        <v>3705</v>
      </c>
      <c r="BG393" s="3" t="s">
        <v>3707</v>
      </c>
    </row>
    <row r="394" spans="1:59" ht="57" x14ac:dyDescent="0.45">
      <c r="A394" s="2" t="s">
        <v>59</v>
      </c>
      <c r="B394" s="2" t="s">
        <v>60</v>
      </c>
      <c r="C394" s="2" t="s">
        <v>3708</v>
      </c>
      <c r="D394" s="2" t="s">
        <v>3709</v>
      </c>
      <c r="E394" s="2" t="s">
        <v>3710</v>
      </c>
      <c r="G394" s="3" t="s">
        <v>62</v>
      </c>
      <c r="I394" s="3" t="s">
        <v>62</v>
      </c>
      <c r="J394" s="3" t="s">
        <v>62</v>
      </c>
      <c r="K394" s="3" t="s">
        <v>63</v>
      </c>
      <c r="M394" s="2" t="s">
        <v>3711</v>
      </c>
      <c r="N394" s="3" t="s">
        <v>1212</v>
      </c>
      <c r="P394" s="3" t="s">
        <v>65</v>
      </c>
      <c r="R394" s="3" t="s">
        <v>66</v>
      </c>
      <c r="S394" s="4">
        <v>8</v>
      </c>
      <c r="T394" s="4">
        <v>8</v>
      </c>
      <c r="U394" s="5" t="s">
        <v>160</v>
      </c>
      <c r="V394" s="5" t="s">
        <v>160</v>
      </c>
      <c r="W394" s="5" t="s">
        <v>67</v>
      </c>
      <c r="X394" s="5" t="s">
        <v>67</v>
      </c>
      <c r="Y394" s="4">
        <v>135</v>
      </c>
      <c r="Z394" s="4">
        <v>6</v>
      </c>
      <c r="AA394" s="4">
        <v>6</v>
      </c>
      <c r="AB394" s="4">
        <v>1</v>
      </c>
      <c r="AC394" s="4">
        <v>1</v>
      </c>
      <c r="AD394" s="4">
        <v>58</v>
      </c>
      <c r="AE394" s="4">
        <v>58</v>
      </c>
      <c r="AF394" s="4">
        <v>0</v>
      </c>
      <c r="AG394" s="4">
        <v>0</v>
      </c>
      <c r="AH394" s="4">
        <v>56</v>
      </c>
      <c r="AI394" s="4">
        <v>56</v>
      </c>
      <c r="AJ394" s="4">
        <v>5</v>
      </c>
      <c r="AK394" s="4">
        <v>5</v>
      </c>
      <c r="AL394" s="4">
        <v>35</v>
      </c>
      <c r="AM394" s="4">
        <v>35</v>
      </c>
      <c r="AN394" s="4">
        <v>0</v>
      </c>
      <c r="AO394" s="4">
        <v>0</v>
      </c>
      <c r="AP394" s="4">
        <v>5</v>
      </c>
      <c r="AQ394" s="4">
        <v>5</v>
      </c>
      <c r="AR394" s="3" t="s">
        <v>62</v>
      </c>
      <c r="AS394" s="3" t="s">
        <v>62</v>
      </c>
      <c r="AT394" s="3" t="s">
        <v>61</v>
      </c>
      <c r="AU394" s="6" t="str">
        <f>HYPERLINK("http://catalog.hathitrust.org/Record/009801041","HathiTrust Record")</f>
        <v>HathiTrust Record</v>
      </c>
      <c r="AV394" s="6" t="str">
        <f>HYPERLINK("http://mcgill.on.worldcat.org/oclc/42652617","Catalog Record")</f>
        <v>Catalog Record</v>
      </c>
      <c r="AW394" s="6" t="str">
        <f>HYPERLINK("http://www.worldcat.org/oclc/42652617","WorldCat Record")</f>
        <v>WorldCat Record</v>
      </c>
      <c r="AX394" s="3" t="s">
        <v>3712</v>
      </c>
      <c r="AY394" s="3" t="s">
        <v>3713</v>
      </c>
      <c r="AZ394" s="3" t="s">
        <v>3714</v>
      </c>
      <c r="BA394" s="3" t="s">
        <v>3714</v>
      </c>
      <c r="BB394" s="3" t="s">
        <v>3715</v>
      </c>
      <c r="BC394" s="3" t="s">
        <v>142</v>
      </c>
      <c r="BD394" s="3" t="s">
        <v>68</v>
      </c>
      <c r="BE394" s="3" t="s">
        <v>3716</v>
      </c>
      <c r="BF394" s="3" t="s">
        <v>3715</v>
      </c>
      <c r="BG394" s="3" t="s">
        <v>3717</v>
      </c>
    </row>
    <row r="395" spans="1:59" ht="57" x14ac:dyDescent="0.45">
      <c r="A395" s="2" t="s">
        <v>59</v>
      </c>
      <c r="B395" s="2" t="s">
        <v>60</v>
      </c>
      <c r="C395" s="2" t="s">
        <v>3718</v>
      </c>
      <c r="D395" s="2" t="s">
        <v>3719</v>
      </c>
      <c r="E395" s="2" t="s">
        <v>3720</v>
      </c>
      <c r="G395" s="3" t="s">
        <v>62</v>
      </c>
      <c r="I395" s="3" t="s">
        <v>62</v>
      </c>
      <c r="J395" s="3" t="s">
        <v>62</v>
      </c>
      <c r="K395" s="3" t="s">
        <v>63</v>
      </c>
      <c r="M395" s="2" t="s">
        <v>996</v>
      </c>
      <c r="N395" s="3" t="s">
        <v>167</v>
      </c>
      <c r="P395" s="3" t="s">
        <v>65</v>
      </c>
      <c r="R395" s="3" t="s">
        <v>66</v>
      </c>
      <c r="S395" s="4">
        <v>15</v>
      </c>
      <c r="T395" s="4">
        <v>15</v>
      </c>
      <c r="U395" s="5" t="s">
        <v>544</v>
      </c>
      <c r="V395" s="5" t="s">
        <v>544</v>
      </c>
      <c r="W395" s="5" t="s">
        <v>67</v>
      </c>
      <c r="X395" s="5" t="s">
        <v>67</v>
      </c>
      <c r="Y395" s="4">
        <v>311</v>
      </c>
      <c r="Z395" s="4">
        <v>21</v>
      </c>
      <c r="AA395" s="4">
        <v>90</v>
      </c>
      <c r="AB395" s="4">
        <v>2</v>
      </c>
      <c r="AC395" s="4">
        <v>18</v>
      </c>
      <c r="AD395" s="4">
        <v>74</v>
      </c>
      <c r="AE395" s="4">
        <v>125</v>
      </c>
      <c r="AF395" s="4">
        <v>1</v>
      </c>
      <c r="AG395" s="4">
        <v>9</v>
      </c>
      <c r="AH395" s="4">
        <v>62</v>
      </c>
      <c r="AI395" s="4">
        <v>85</v>
      </c>
      <c r="AJ395" s="4">
        <v>15</v>
      </c>
      <c r="AK395" s="4">
        <v>26</v>
      </c>
      <c r="AL395" s="4">
        <v>34</v>
      </c>
      <c r="AM395" s="4">
        <v>45</v>
      </c>
      <c r="AN395" s="4">
        <v>0</v>
      </c>
      <c r="AO395" s="4">
        <v>0</v>
      </c>
      <c r="AP395" s="4">
        <v>19</v>
      </c>
      <c r="AQ395" s="4">
        <v>50</v>
      </c>
      <c r="AR395" s="3" t="s">
        <v>62</v>
      </c>
      <c r="AS395" s="3" t="s">
        <v>62</v>
      </c>
      <c r="AT395" s="3" t="s">
        <v>61</v>
      </c>
      <c r="AU395" s="6" t="str">
        <f>HYPERLINK("http://catalog.hathitrust.org/Record/004101097","HathiTrust Record")</f>
        <v>HathiTrust Record</v>
      </c>
      <c r="AV395" s="6" t="str">
        <f>HYPERLINK("http://mcgill.on.worldcat.org/oclc/40417763","Catalog Record")</f>
        <v>Catalog Record</v>
      </c>
      <c r="AW395" s="6" t="str">
        <f>HYPERLINK("http://www.worldcat.org/oclc/40417763","WorldCat Record")</f>
        <v>WorldCat Record</v>
      </c>
      <c r="AX395" s="3" t="s">
        <v>3721</v>
      </c>
      <c r="AY395" s="3" t="s">
        <v>3722</v>
      </c>
      <c r="AZ395" s="3" t="s">
        <v>3723</v>
      </c>
      <c r="BA395" s="3" t="s">
        <v>3723</v>
      </c>
      <c r="BB395" s="3" t="s">
        <v>3724</v>
      </c>
      <c r="BC395" s="3" t="s">
        <v>142</v>
      </c>
      <c r="BD395" s="3" t="s">
        <v>68</v>
      </c>
      <c r="BE395" s="3" t="s">
        <v>3725</v>
      </c>
      <c r="BF395" s="3" t="s">
        <v>3724</v>
      </c>
      <c r="BG395" s="3" t="s">
        <v>3726</v>
      </c>
    </row>
    <row r="396" spans="1:59" ht="57" x14ac:dyDescent="0.45">
      <c r="A396" s="2" t="s">
        <v>59</v>
      </c>
      <c r="B396" s="2" t="s">
        <v>60</v>
      </c>
      <c r="C396" s="2" t="s">
        <v>3727</v>
      </c>
      <c r="D396" s="2" t="s">
        <v>3728</v>
      </c>
      <c r="E396" s="2" t="s">
        <v>3729</v>
      </c>
      <c r="G396" s="3" t="s">
        <v>62</v>
      </c>
      <c r="I396" s="3" t="s">
        <v>62</v>
      </c>
      <c r="J396" s="3" t="s">
        <v>62</v>
      </c>
      <c r="K396" s="3" t="s">
        <v>63</v>
      </c>
      <c r="M396" s="2" t="s">
        <v>3730</v>
      </c>
      <c r="N396" s="3" t="s">
        <v>894</v>
      </c>
      <c r="P396" s="3" t="s">
        <v>65</v>
      </c>
      <c r="Q396" s="2" t="s">
        <v>3731</v>
      </c>
      <c r="R396" s="3" t="s">
        <v>66</v>
      </c>
      <c r="S396" s="4">
        <v>0</v>
      </c>
      <c r="T396" s="4">
        <v>0</v>
      </c>
      <c r="W396" s="5" t="s">
        <v>67</v>
      </c>
      <c r="X396" s="5" t="s">
        <v>67</v>
      </c>
      <c r="Y396" s="4">
        <v>7</v>
      </c>
      <c r="Z396" s="4">
        <v>3</v>
      </c>
      <c r="AA396" s="4">
        <v>3</v>
      </c>
      <c r="AB396" s="4">
        <v>1</v>
      </c>
      <c r="AC396" s="4">
        <v>1</v>
      </c>
      <c r="AD396" s="4">
        <v>2</v>
      </c>
      <c r="AE396" s="4">
        <v>2</v>
      </c>
      <c r="AF396" s="4">
        <v>0</v>
      </c>
      <c r="AG396" s="4">
        <v>0</v>
      </c>
      <c r="AH396" s="4">
        <v>0</v>
      </c>
      <c r="AI396" s="4">
        <v>0</v>
      </c>
      <c r="AJ396" s="4">
        <v>1</v>
      </c>
      <c r="AK396" s="4">
        <v>1</v>
      </c>
      <c r="AL396" s="4">
        <v>0</v>
      </c>
      <c r="AM396" s="4">
        <v>0</v>
      </c>
      <c r="AN396" s="4">
        <v>0</v>
      </c>
      <c r="AO396" s="4">
        <v>0</v>
      </c>
      <c r="AP396" s="4">
        <v>2</v>
      </c>
      <c r="AQ396" s="4">
        <v>2</v>
      </c>
      <c r="AR396" s="3" t="s">
        <v>61</v>
      </c>
      <c r="AS396" s="3" t="s">
        <v>62</v>
      </c>
      <c r="AT396" s="3" t="s">
        <v>62</v>
      </c>
      <c r="AV396" s="6" t="str">
        <f>HYPERLINK("http://mcgill.on.worldcat.org/oclc/768248413","Catalog Record")</f>
        <v>Catalog Record</v>
      </c>
      <c r="AW396" s="6" t="str">
        <f>HYPERLINK("http://www.worldcat.org/oclc/768248413","WorldCat Record")</f>
        <v>WorldCat Record</v>
      </c>
      <c r="AX396" s="3" t="s">
        <v>3732</v>
      </c>
      <c r="AY396" s="3" t="s">
        <v>3733</v>
      </c>
      <c r="AZ396" s="3" t="s">
        <v>3734</v>
      </c>
      <c r="BA396" s="3" t="s">
        <v>3734</v>
      </c>
      <c r="BB396" s="3" t="s">
        <v>3735</v>
      </c>
      <c r="BC396" s="3" t="s">
        <v>142</v>
      </c>
      <c r="BD396" s="3" t="s">
        <v>68</v>
      </c>
      <c r="BE396" s="3" t="s">
        <v>3736</v>
      </c>
      <c r="BF396" s="3" t="s">
        <v>3735</v>
      </c>
      <c r="BG396" s="3" t="s">
        <v>3737</v>
      </c>
    </row>
    <row r="397" spans="1:59" ht="57" x14ac:dyDescent="0.45">
      <c r="A397" s="2" t="s">
        <v>59</v>
      </c>
      <c r="B397" s="2" t="s">
        <v>60</v>
      </c>
      <c r="C397" s="2" t="s">
        <v>3738</v>
      </c>
      <c r="D397" s="2" t="s">
        <v>3739</v>
      </c>
      <c r="E397" s="2" t="s">
        <v>3740</v>
      </c>
      <c r="G397" s="3" t="s">
        <v>62</v>
      </c>
      <c r="I397" s="3" t="s">
        <v>61</v>
      </c>
      <c r="J397" s="3" t="s">
        <v>62</v>
      </c>
      <c r="K397" s="3" t="s">
        <v>63</v>
      </c>
      <c r="L397" s="2" t="s">
        <v>3741</v>
      </c>
      <c r="M397" s="2" t="s">
        <v>3742</v>
      </c>
      <c r="N397" s="3" t="s">
        <v>958</v>
      </c>
      <c r="P397" s="3" t="s">
        <v>65</v>
      </c>
      <c r="Q397" s="2" t="s">
        <v>3472</v>
      </c>
      <c r="R397" s="3" t="s">
        <v>66</v>
      </c>
      <c r="S397" s="4">
        <v>39</v>
      </c>
      <c r="T397" s="4">
        <v>50</v>
      </c>
      <c r="U397" s="5" t="s">
        <v>3743</v>
      </c>
      <c r="V397" s="5" t="s">
        <v>3744</v>
      </c>
      <c r="W397" s="5" t="s">
        <v>67</v>
      </c>
      <c r="X397" s="5" t="s">
        <v>67</v>
      </c>
      <c r="Y397" s="4">
        <v>262</v>
      </c>
      <c r="Z397" s="4">
        <v>25</v>
      </c>
      <c r="AA397" s="4">
        <v>66</v>
      </c>
      <c r="AB397" s="4">
        <v>1</v>
      </c>
      <c r="AC397" s="4">
        <v>17</v>
      </c>
      <c r="AD397" s="4">
        <v>87</v>
      </c>
      <c r="AE397" s="4">
        <v>121</v>
      </c>
      <c r="AF397" s="4">
        <v>0</v>
      </c>
      <c r="AG397" s="4">
        <v>8</v>
      </c>
      <c r="AH397" s="4">
        <v>73</v>
      </c>
      <c r="AI397" s="4">
        <v>78</v>
      </c>
      <c r="AJ397" s="4">
        <v>18</v>
      </c>
      <c r="AK397" s="4">
        <v>26</v>
      </c>
      <c r="AL397" s="4">
        <v>43</v>
      </c>
      <c r="AM397" s="4">
        <v>44</v>
      </c>
      <c r="AN397" s="4">
        <v>0</v>
      </c>
      <c r="AO397" s="4">
        <v>0</v>
      </c>
      <c r="AP397" s="4">
        <v>21</v>
      </c>
      <c r="AQ397" s="4">
        <v>51</v>
      </c>
      <c r="AR397" s="3" t="s">
        <v>62</v>
      </c>
      <c r="AS397" s="3" t="s">
        <v>62</v>
      </c>
      <c r="AT397" s="3" t="s">
        <v>62</v>
      </c>
      <c r="AV397" s="6" t="str">
        <f>HYPERLINK("http://mcgill.on.worldcat.org/oclc/31782896","Catalog Record")</f>
        <v>Catalog Record</v>
      </c>
      <c r="AW397" s="6" t="str">
        <f>HYPERLINK("http://www.worldcat.org/oclc/31782896","WorldCat Record")</f>
        <v>WorldCat Record</v>
      </c>
      <c r="AX397" s="3" t="s">
        <v>3745</v>
      </c>
      <c r="AY397" s="3" t="s">
        <v>3746</v>
      </c>
      <c r="AZ397" s="3" t="s">
        <v>3747</v>
      </c>
      <c r="BA397" s="3" t="s">
        <v>3747</v>
      </c>
      <c r="BB397" s="3" t="s">
        <v>3748</v>
      </c>
      <c r="BC397" s="3" t="s">
        <v>142</v>
      </c>
      <c r="BD397" s="3" t="s">
        <v>68</v>
      </c>
      <c r="BE397" s="3" t="s">
        <v>3749</v>
      </c>
      <c r="BF397" s="3" t="s">
        <v>3748</v>
      </c>
      <c r="BG397" s="3" t="s">
        <v>3750</v>
      </c>
    </row>
    <row r="398" spans="1:59" ht="57" x14ac:dyDescent="0.45">
      <c r="A398" s="2" t="s">
        <v>59</v>
      </c>
      <c r="B398" s="2" t="s">
        <v>60</v>
      </c>
      <c r="C398" s="2" t="s">
        <v>3738</v>
      </c>
      <c r="D398" s="2" t="s">
        <v>3739</v>
      </c>
      <c r="E398" s="2" t="s">
        <v>3740</v>
      </c>
      <c r="G398" s="3" t="s">
        <v>62</v>
      </c>
      <c r="I398" s="3" t="s">
        <v>61</v>
      </c>
      <c r="J398" s="3" t="s">
        <v>62</v>
      </c>
      <c r="K398" s="3" t="s">
        <v>63</v>
      </c>
      <c r="L398" s="2" t="s">
        <v>3741</v>
      </c>
      <c r="M398" s="2" t="s">
        <v>3742</v>
      </c>
      <c r="N398" s="3" t="s">
        <v>958</v>
      </c>
      <c r="P398" s="3" t="s">
        <v>65</v>
      </c>
      <c r="Q398" s="2" t="s">
        <v>3472</v>
      </c>
      <c r="R398" s="3" t="s">
        <v>66</v>
      </c>
      <c r="S398" s="4">
        <v>11</v>
      </c>
      <c r="T398" s="4">
        <v>50</v>
      </c>
      <c r="U398" s="5" t="s">
        <v>3744</v>
      </c>
      <c r="V398" s="5" t="s">
        <v>3744</v>
      </c>
      <c r="W398" s="5" t="s">
        <v>67</v>
      </c>
      <c r="X398" s="5" t="s">
        <v>67</v>
      </c>
      <c r="Y398" s="4">
        <v>262</v>
      </c>
      <c r="Z398" s="4">
        <v>25</v>
      </c>
      <c r="AA398" s="4">
        <v>66</v>
      </c>
      <c r="AB398" s="4">
        <v>1</v>
      </c>
      <c r="AC398" s="4">
        <v>17</v>
      </c>
      <c r="AD398" s="4">
        <v>87</v>
      </c>
      <c r="AE398" s="4">
        <v>121</v>
      </c>
      <c r="AF398" s="4">
        <v>0</v>
      </c>
      <c r="AG398" s="4">
        <v>8</v>
      </c>
      <c r="AH398" s="4">
        <v>73</v>
      </c>
      <c r="AI398" s="4">
        <v>78</v>
      </c>
      <c r="AJ398" s="4">
        <v>18</v>
      </c>
      <c r="AK398" s="4">
        <v>26</v>
      </c>
      <c r="AL398" s="4">
        <v>43</v>
      </c>
      <c r="AM398" s="4">
        <v>44</v>
      </c>
      <c r="AN398" s="4">
        <v>0</v>
      </c>
      <c r="AO398" s="4">
        <v>0</v>
      </c>
      <c r="AP398" s="4">
        <v>21</v>
      </c>
      <c r="AQ398" s="4">
        <v>51</v>
      </c>
      <c r="AR398" s="3" t="s">
        <v>62</v>
      </c>
      <c r="AS398" s="3" t="s">
        <v>62</v>
      </c>
      <c r="AT398" s="3" t="s">
        <v>62</v>
      </c>
      <c r="AV398" s="6" t="str">
        <f>HYPERLINK("http://mcgill.on.worldcat.org/oclc/31782896","Catalog Record")</f>
        <v>Catalog Record</v>
      </c>
      <c r="AW398" s="6" t="str">
        <f>HYPERLINK("http://www.worldcat.org/oclc/31782896","WorldCat Record")</f>
        <v>WorldCat Record</v>
      </c>
      <c r="AX398" s="3" t="s">
        <v>3745</v>
      </c>
      <c r="AY398" s="3" t="s">
        <v>3746</v>
      </c>
      <c r="AZ398" s="3" t="s">
        <v>3747</v>
      </c>
      <c r="BA398" s="3" t="s">
        <v>3747</v>
      </c>
      <c r="BB398" s="3" t="s">
        <v>3751</v>
      </c>
      <c r="BC398" s="3" t="s">
        <v>142</v>
      </c>
      <c r="BD398" s="3" t="s">
        <v>68</v>
      </c>
      <c r="BE398" s="3" t="s">
        <v>3749</v>
      </c>
      <c r="BF398" s="3" t="s">
        <v>3751</v>
      </c>
      <c r="BG398" s="3" t="s">
        <v>3752</v>
      </c>
    </row>
    <row r="399" spans="1:59" ht="57" x14ac:dyDescent="0.45">
      <c r="A399" s="2" t="s">
        <v>59</v>
      </c>
      <c r="B399" s="2" t="s">
        <v>60</v>
      </c>
      <c r="C399" s="2" t="s">
        <v>3753</v>
      </c>
      <c r="D399" s="2" t="s">
        <v>3754</v>
      </c>
      <c r="E399" s="2" t="s">
        <v>3755</v>
      </c>
      <c r="G399" s="3" t="s">
        <v>62</v>
      </c>
      <c r="I399" s="3" t="s">
        <v>62</v>
      </c>
      <c r="J399" s="3" t="s">
        <v>62</v>
      </c>
      <c r="K399" s="3" t="s">
        <v>63</v>
      </c>
      <c r="L399" s="2" t="s">
        <v>3756</v>
      </c>
      <c r="M399" s="2" t="s">
        <v>3757</v>
      </c>
      <c r="N399" s="3" t="s">
        <v>3160</v>
      </c>
      <c r="P399" s="3" t="s">
        <v>65</v>
      </c>
      <c r="Q399" s="2" t="s">
        <v>1280</v>
      </c>
      <c r="R399" s="3" t="s">
        <v>66</v>
      </c>
      <c r="S399" s="4">
        <v>10</v>
      </c>
      <c r="T399" s="4">
        <v>10</v>
      </c>
      <c r="U399" s="5" t="s">
        <v>3758</v>
      </c>
      <c r="V399" s="5" t="s">
        <v>3758</v>
      </c>
      <c r="W399" s="5" t="s">
        <v>67</v>
      </c>
      <c r="X399" s="5" t="s">
        <v>67</v>
      </c>
      <c r="Y399" s="4">
        <v>418</v>
      </c>
      <c r="Z399" s="4">
        <v>29</v>
      </c>
      <c r="AA399" s="4">
        <v>32</v>
      </c>
      <c r="AB399" s="4">
        <v>2</v>
      </c>
      <c r="AC399" s="4">
        <v>4</v>
      </c>
      <c r="AD399" s="4">
        <v>121</v>
      </c>
      <c r="AE399" s="4">
        <v>123</v>
      </c>
      <c r="AF399" s="4">
        <v>1</v>
      </c>
      <c r="AG399" s="4">
        <v>3</v>
      </c>
      <c r="AH399" s="4">
        <v>106</v>
      </c>
      <c r="AI399" s="4">
        <v>107</v>
      </c>
      <c r="AJ399" s="4">
        <v>20</v>
      </c>
      <c r="AK399" s="4">
        <v>22</v>
      </c>
      <c r="AL399" s="4">
        <v>56</v>
      </c>
      <c r="AM399" s="4">
        <v>56</v>
      </c>
      <c r="AN399" s="4">
        <v>0</v>
      </c>
      <c r="AO399" s="4">
        <v>0</v>
      </c>
      <c r="AP399" s="4">
        <v>24</v>
      </c>
      <c r="AQ399" s="4">
        <v>25</v>
      </c>
      <c r="AR399" s="3" t="s">
        <v>62</v>
      </c>
      <c r="AS399" s="3" t="s">
        <v>62</v>
      </c>
      <c r="AT399" s="3" t="s">
        <v>62</v>
      </c>
      <c r="AV399" s="6" t="str">
        <f>HYPERLINK("http://mcgill.on.worldcat.org/oclc/7386035","Catalog Record")</f>
        <v>Catalog Record</v>
      </c>
      <c r="AW399" s="6" t="str">
        <f>HYPERLINK("http://www.worldcat.org/oclc/7386035","WorldCat Record")</f>
        <v>WorldCat Record</v>
      </c>
      <c r="AX399" s="3" t="s">
        <v>3759</v>
      </c>
      <c r="AY399" s="3" t="s">
        <v>3760</v>
      </c>
      <c r="AZ399" s="3" t="s">
        <v>3761</v>
      </c>
      <c r="BA399" s="3" t="s">
        <v>3761</v>
      </c>
      <c r="BB399" s="3" t="s">
        <v>3762</v>
      </c>
      <c r="BC399" s="3" t="s">
        <v>142</v>
      </c>
      <c r="BD399" s="3" t="s">
        <v>68</v>
      </c>
      <c r="BE399" s="3" t="s">
        <v>3763</v>
      </c>
      <c r="BF399" s="3" t="s">
        <v>3762</v>
      </c>
      <c r="BG399" s="3" t="s">
        <v>3764</v>
      </c>
    </row>
    <row r="400" spans="1:59" ht="57" x14ac:dyDescent="0.45">
      <c r="A400" s="2" t="s">
        <v>59</v>
      </c>
      <c r="B400" s="2" t="s">
        <v>60</v>
      </c>
      <c r="C400" s="2" t="s">
        <v>3765</v>
      </c>
      <c r="D400" s="2" t="s">
        <v>3766</v>
      </c>
      <c r="E400" s="2" t="s">
        <v>3767</v>
      </c>
      <c r="G400" s="3" t="s">
        <v>62</v>
      </c>
      <c r="I400" s="3" t="s">
        <v>62</v>
      </c>
      <c r="J400" s="3" t="s">
        <v>62</v>
      </c>
      <c r="K400" s="3" t="s">
        <v>63</v>
      </c>
      <c r="M400" s="2" t="s">
        <v>3768</v>
      </c>
      <c r="N400" s="3" t="s">
        <v>945</v>
      </c>
      <c r="P400" s="3" t="s">
        <v>65</v>
      </c>
      <c r="R400" s="3" t="s">
        <v>66</v>
      </c>
      <c r="S400" s="4">
        <v>4</v>
      </c>
      <c r="T400" s="4">
        <v>4</v>
      </c>
      <c r="U400" s="5" t="s">
        <v>276</v>
      </c>
      <c r="V400" s="5" t="s">
        <v>276</v>
      </c>
      <c r="W400" s="5" t="s">
        <v>67</v>
      </c>
      <c r="X400" s="5" t="s">
        <v>67</v>
      </c>
      <c r="Y400" s="4">
        <v>57</v>
      </c>
      <c r="Z400" s="4">
        <v>7</v>
      </c>
      <c r="AA400" s="4">
        <v>84</v>
      </c>
      <c r="AB400" s="4">
        <v>1</v>
      </c>
      <c r="AC400" s="4">
        <v>14</v>
      </c>
      <c r="AD400" s="4">
        <v>23</v>
      </c>
      <c r="AE400" s="4">
        <v>104</v>
      </c>
      <c r="AF400" s="4">
        <v>0</v>
      </c>
      <c r="AG400" s="4">
        <v>8</v>
      </c>
      <c r="AH400" s="4">
        <v>22</v>
      </c>
      <c r="AI400" s="4">
        <v>70</v>
      </c>
      <c r="AJ400" s="4">
        <v>5</v>
      </c>
      <c r="AK400" s="4">
        <v>22</v>
      </c>
      <c r="AL400" s="4">
        <v>14</v>
      </c>
      <c r="AM400" s="4">
        <v>35</v>
      </c>
      <c r="AN400" s="4">
        <v>0</v>
      </c>
      <c r="AO400" s="4">
        <v>0</v>
      </c>
      <c r="AP400" s="4">
        <v>5</v>
      </c>
      <c r="AQ400" s="4">
        <v>42</v>
      </c>
      <c r="AR400" s="3" t="s">
        <v>62</v>
      </c>
      <c r="AS400" s="3" t="s">
        <v>62</v>
      </c>
      <c r="AT400" s="3" t="s">
        <v>62</v>
      </c>
      <c r="AV400" s="6" t="str">
        <f>HYPERLINK("http://mcgill.on.worldcat.org/oclc/173239366","Catalog Record")</f>
        <v>Catalog Record</v>
      </c>
      <c r="AW400" s="6" t="str">
        <f>HYPERLINK("http://www.worldcat.org/oclc/173239366","WorldCat Record")</f>
        <v>WorldCat Record</v>
      </c>
      <c r="AX400" s="3" t="s">
        <v>3769</v>
      </c>
      <c r="AY400" s="3" t="s">
        <v>3770</v>
      </c>
      <c r="AZ400" s="3" t="s">
        <v>3771</v>
      </c>
      <c r="BA400" s="3" t="s">
        <v>3771</v>
      </c>
      <c r="BB400" s="3" t="s">
        <v>3772</v>
      </c>
      <c r="BC400" s="3" t="s">
        <v>142</v>
      </c>
      <c r="BD400" s="3" t="s">
        <v>68</v>
      </c>
      <c r="BE400" s="3" t="s">
        <v>3773</v>
      </c>
      <c r="BF400" s="3" t="s">
        <v>3772</v>
      </c>
      <c r="BG400" s="3" t="s">
        <v>3774</v>
      </c>
    </row>
    <row r="401" spans="1:59" ht="57" x14ac:dyDescent="0.45">
      <c r="A401" s="2" t="s">
        <v>59</v>
      </c>
      <c r="B401" s="2" t="s">
        <v>60</v>
      </c>
      <c r="C401" s="2" t="s">
        <v>3775</v>
      </c>
      <c r="D401" s="2" t="s">
        <v>3776</v>
      </c>
      <c r="E401" s="2" t="s">
        <v>3777</v>
      </c>
      <c r="G401" s="3" t="s">
        <v>62</v>
      </c>
      <c r="I401" s="3" t="s">
        <v>62</v>
      </c>
      <c r="J401" s="3" t="s">
        <v>62</v>
      </c>
      <c r="K401" s="3" t="s">
        <v>63</v>
      </c>
      <c r="L401" s="2" t="s">
        <v>3778</v>
      </c>
      <c r="M401" s="2" t="s">
        <v>1770</v>
      </c>
      <c r="N401" s="3" t="s">
        <v>116</v>
      </c>
      <c r="P401" s="3" t="s">
        <v>65</v>
      </c>
      <c r="Q401" s="2" t="s">
        <v>3779</v>
      </c>
      <c r="R401" s="3" t="s">
        <v>66</v>
      </c>
      <c r="S401" s="4">
        <v>0</v>
      </c>
      <c r="T401" s="4">
        <v>0</v>
      </c>
      <c r="W401" s="5" t="s">
        <v>67</v>
      </c>
      <c r="X401" s="5" t="s">
        <v>67</v>
      </c>
      <c r="Y401" s="4">
        <v>226</v>
      </c>
      <c r="Z401" s="4">
        <v>21</v>
      </c>
      <c r="AA401" s="4">
        <v>84</v>
      </c>
      <c r="AB401" s="4">
        <v>2</v>
      </c>
      <c r="AC401" s="4">
        <v>15</v>
      </c>
      <c r="AD401" s="4">
        <v>69</v>
      </c>
      <c r="AE401" s="4">
        <v>123</v>
      </c>
      <c r="AF401" s="4">
        <v>1</v>
      </c>
      <c r="AG401" s="4">
        <v>8</v>
      </c>
      <c r="AH401" s="4">
        <v>60</v>
      </c>
      <c r="AI401" s="4">
        <v>87</v>
      </c>
      <c r="AJ401" s="4">
        <v>16</v>
      </c>
      <c r="AK401" s="4">
        <v>24</v>
      </c>
      <c r="AL401" s="4">
        <v>37</v>
      </c>
      <c r="AM401" s="4">
        <v>49</v>
      </c>
      <c r="AN401" s="4">
        <v>0</v>
      </c>
      <c r="AO401" s="4">
        <v>0</v>
      </c>
      <c r="AP401" s="4">
        <v>17</v>
      </c>
      <c r="AQ401" s="4">
        <v>44</v>
      </c>
      <c r="AR401" s="3" t="s">
        <v>62</v>
      </c>
      <c r="AS401" s="3" t="s">
        <v>62</v>
      </c>
      <c r="AT401" s="3" t="s">
        <v>62</v>
      </c>
      <c r="AV401" s="6" t="str">
        <f>HYPERLINK("http://mcgill.on.worldcat.org/oclc/840255387","Catalog Record")</f>
        <v>Catalog Record</v>
      </c>
      <c r="AW401" s="6" t="str">
        <f>HYPERLINK("http://www.worldcat.org/oclc/840255387","WorldCat Record")</f>
        <v>WorldCat Record</v>
      </c>
      <c r="AX401" s="3" t="s">
        <v>3780</v>
      </c>
      <c r="AY401" s="3" t="s">
        <v>3781</v>
      </c>
      <c r="AZ401" s="3" t="s">
        <v>3782</v>
      </c>
      <c r="BA401" s="3" t="s">
        <v>3782</v>
      </c>
      <c r="BB401" s="3" t="s">
        <v>3783</v>
      </c>
      <c r="BC401" s="3" t="s">
        <v>142</v>
      </c>
      <c r="BD401" s="3" t="s">
        <v>68</v>
      </c>
      <c r="BE401" s="3" t="s">
        <v>3784</v>
      </c>
      <c r="BF401" s="3" t="s">
        <v>3783</v>
      </c>
      <c r="BG401" s="3" t="s">
        <v>3785</v>
      </c>
    </row>
    <row r="402" spans="1:59" ht="57" x14ac:dyDescent="0.45">
      <c r="A402" s="2" t="s">
        <v>59</v>
      </c>
      <c r="B402" s="2" t="s">
        <v>60</v>
      </c>
      <c r="C402" s="2" t="s">
        <v>3786</v>
      </c>
      <c r="D402" s="2" t="s">
        <v>3787</v>
      </c>
      <c r="E402" s="2" t="s">
        <v>3788</v>
      </c>
      <c r="G402" s="3" t="s">
        <v>62</v>
      </c>
      <c r="I402" s="3" t="s">
        <v>62</v>
      </c>
      <c r="J402" s="3" t="s">
        <v>62</v>
      </c>
      <c r="K402" s="3" t="s">
        <v>63</v>
      </c>
      <c r="L402" s="2" t="s">
        <v>3789</v>
      </c>
      <c r="M402" s="2" t="s">
        <v>2560</v>
      </c>
      <c r="N402" s="3" t="s">
        <v>149</v>
      </c>
      <c r="P402" s="3" t="s">
        <v>65</v>
      </c>
      <c r="R402" s="3" t="s">
        <v>66</v>
      </c>
      <c r="S402" s="4">
        <v>1</v>
      </c>
      <c r="T402" s="4">
        <v>1</v>
      </c>
      <c r="U402" s="5" t="s">
        <v>3790</v>
      </c>
      <c r="V402" s="5" t="s">
        <v>3790</v>
      </c>
      <c r="W402" s="5" t="s">
        <v>67</v>
      </c>
      <c r="X402" s="5" t="s">
        <v>67</v>
      </c>
      <c r="Y402" s="4">
        <v>297</v>
      </c>
      <c r="Z402" s="4">
        <v>22</v>
      </c>
      <c r="AA402" s="4">
        <v>106</v>
      </c>
      <c r="AB402" s="4">
        <v>1</v>
      </c>
      <c r="AC402" s="4">
        <v>17</v>
      </c>
      <c r="AD402" s="4">
        <v>79</v>
      </c>
      <c r="AE402" s="4">
        <v>131</v>
      </c>
      <c r="AF402" s="4">
        <v>0</v>
      </c>
      <c r="AG402" s="4">
        <v>8</v>
      </c>
      <c r="AH402" s="4">
        <v>71</v>
      </c>
      <c r="AI402" s="4">
        <v>94</v>
      </c>
      <c r="AJ402" s="4">
        <v>15</v>
      </c>
      <c r="AK402" s="4">
        <v>23</v>
      </c>
      <c r="AL402" s="4">
        <v>39</v>
      </c>
      <c r="AM402" s="4">
        <v>50</v>
      </c>
      <c r="AN402" s="4">
        <v>0</v>
      </c>
      <c r="AO402" s="4">
        <v>0</v>
      </c>
      <c r="AP402" s="4">
        <v>16</v>
      </c>
      <c r="AQ402" s="4">
        <v>46</v>
      </c>
      <c r="AR402" s="3" t="s">
        <v>62</v>
      </c>
      <c r="AS402" s="3" t="s">
        <v>62</v>
      </c>
      <c r="AT402" s="3" t="s">
        <v>62</v>
      </c>
      <c r="AV402" s="6" t="str">
        <f>HYPERLINK("http://mcgill.on.worldcat.org/oclc/520711948","Catalog Record")</f>
        <v>Catalog Record</v>
      </c>
      <c r="AW402" s="6" t="str">
        <f>HYPERLINK("http://www.worldcat.org/oclc/520711948","WorldCat Record")</f>
        <v>WorldCat Record</v>
      </c>
      <c r="AX402" s="3" t="s">
        <v>3791</v>
      </c>
      <c r="AY402" s="3" t="s">
        <v>3792</v>
      </c>
      <c r="AZ402" s="3" t="s">
        <v>3793</v>
      </c>
      <c r="BA402" s="3" t="s">
        <v>3793</v>
      </c>
      <c r="BB402" s="3" t="s">
        <v>3794</v>
      </c>
      <c r="BC402" s="3" t="s">
        <v>142</v>
      </c>
      <c r="BD402" s="3" t="s">
        <v>68</v>
      </c>
      <c r="BE402" s="3" t="s">
        <v>3795</v>
      </c>
      <c r="BF402" s="3" t="s">
        <v>3794</v>
      </c>
      <c r="BG402" s="3" t="s">
        <v>3796</v>
      </c>
    </row>
    <row r="403" spans="1:59" ht="57" x14ac:dyDescent="0.45">
      <c r="A403" s="2" t="s">
        <v>59</v>
      </c>
      <c r="B403" s="2" t="s">
        <v>60</v>
      </c>
      <c r="C403" s="2" t="s">
        <v>3797</v>
      </c>
      <c r="D403" s="2" t="s">
        <v>3798</v>
      </c>
      <c r="E403" s="2" t="s">
        <v>3799</v>
      </c>
      <c r="G403" s="3" t="s">
        <v>62</v>
      </c>
      <c r="I403" s="3" t="s">
        <v>61</v>
      </c>
      <c r="J403" s="3" t="s">
        <v>62</v>
      </c>
      <c r="K403" s="3" t="s">
        <v>63</v>
      </c>
      <c r="L403" s="2" t="s">
        <v>3800</v>
      </c>
      <c r="M403" s="2" t="s">
        <v>3801</v>
      </c>
      <c r="N403" s="3" t="s">
        <v>1224</v>
      </c>
      <c r="P403" s="3" t="s">
        <v>110</v>
      </c>
      <c r="Q403" s="2" t="s">
        <v>3802</v>
      </c>
      <c r="R403" s="3" t="s">
        <v>66</v>
      </c>
      <c r="S403" s="4">
        <v>7</v>
      </c>
      <c r="T403" s="4">
        <v>21</v>
      </c>
      <c r="U403" s="5" t="s">
        <v>3162</v>
      </c>
      <c r="V403" s="5" t="s">
        <v>3162</v>
      </c>
      <c r="W403" s="5" t="s">
        <v>67</v>
      </c>
      <c r="X403" s="5" t="s">
        <v>67</v>
      </c>
      <c r="Y403" s="4">
        <v>139</v>
      </c>
      <c r="Z403" s="4">
        <v>18</v>
      </c>
      <c r="AA403" s="4">
        <v>32</v>
      </c>
      <c r="AB403" s="4">
        <v>1</v>
      </c>
      <c r="AC403" s="4">
        <v>11</v>
      </c>
      <c r="AD403" s="4">
        <v>44</v>
      </c>
      <c r="AE403" s="4">
        <v>50</v>
      </c>
      <c r="AF403" s="4">
        <v>0</v>
      </c>
      <c r="AG403" s="4">
        <v>5</v>
      </c>
      <c r="AH403" s="4">
        <v>34</v>
      </c>
      <c r="AI403" s="4">
        <v>35</v>
      </c>
      <c r="AJ403" s="4">
        <v>12</v>
      </c>
      <c r="AK403" s="4">
        <v>16</v>
      </c>
      <c r="AL403" s="4">
        <v>20</v>
      </c>
      <c r="AM403" s="4">
        <v>20</v>
      </c>
      <c r="AN403" s="4">
        <v>0</v>
      </c>
      <c r="AO403" s="4">
        <v>0</v>
      </c>
      <c r="AP403" s="4">
        <v>15</v>
      </c>
      <c r="AQ403" s="4">
        <v>20</v>
      </c>
      <c r="AR403" s="3" t="s">
        <v>62</v>
      </c>
      <c r="AS403" s="3" t="s">
        <v>62</v>
      </c>
      <c r="AT403" s="3" t="s">
        <v>62</v>
      </c>
      <c r="AV403" s="6" t="str">
        <f>HYPERLINK("http://mcgill.on.worldcat.org/oclc/1375979","Catalog Record")</f>
        <v>Catalog Record</v>
      </c>
      <c r="AW403" s="6" t="str">
        <f>HYPERLINK("http://www.worldcat.org/oclc/1375979","WorldCat Record")</f>
        <v>WorldCat Record</v>
      </c>
      <c r="AX403" s="3" t="s">
        <v>3803</v>
      </c>
      <c r="AY403" s="3" t="s">
        <v>3804</v>
      </c>
      <c r="AZ403" s="3" t="s">
        <v>3805</v>
      </c>
      <c r="BA403" s="3" t="s">
        <v>3805</v>
      </c>
      <c r="BB403" s="3" t="s">
        <v>3806</v>
      </c>
      <c r="BC403" s="3" t="s">
        <v>142</v>
      </c>
      <c r="BD403" s="3" t="s">
        <v>68</v>
      </c>
      <c r="BE403" s="3" t="s">
        <v>3807</v>
      </c>
      <c r="BF403" s="3" t="s">
        <v>3806</v>
      </c>
      <c r="BG403" s="3" t="s">
        <v>3808</v>
      </c>
    </row>
    <row r="404" spans="1:59" ht="57" x14ac:dyDescent="0.45">
      <c r="A404" s="2" t="s">
        <v>59</v>
      </c>
      <c r="B404" s="2" t="s">
        <v>60</v>
      </c>
      <c r="C404" s="2" t="s">
        <v>3797</v>
      </c>
      <c r="D404" s="2" t="s">
        <v>3798</v>
      </c>
      <c r="E404" s="2" t="s">
        <v>3799</v>
      </c>
      <c r="G404" s="3" t="s">
        <v>62</v>
      </c>
      <c r="I404" s="3" t="s">
        <v>61</v>
      </c>
      <c r="J404" s="3" t="s">
        <v>62</v>
      </c>
      <c r="K404" s="3" t="s">
        <v>63</v>
      </c>
      <c r="L404" s="2" t="s">
        <v>3800</v>
      </c>
      <c r="M404" s="2" t="s">
        <v>3801</v>
      </c>
      <c r="N404" s="3" t="s">
        <v>1224</v>
      </c>
      <c r="P404" s="3" t="s">
        <v>110</v>
      </c>
      <c r="Q404" s="2" t="s">
        <v>3802</v>
      </c>
      <c r="R404" s="3" t="s">
        <v>66</v>
      </c>
      <c r="S404" s="4">
        <v>14</v>
      </c>
      <c r="T404" s="4">
        <v>21</v>
      </c>
      <c r="U404" s="5" t="s">
        <v>3809</v>
      </c>
      <c r="V404" s="5" t="s">
        <v>3162</v>
      </c>
      <c r="W404" s="5" t="s">
        <v>67</v>
      </c>
      <c r="X404" s="5" t="s">
        <v>67</v>
      </c>
      <c r="Y404" s="4">
        <v>139</v>
      </c>
      <c r="Z404" s="4">
        <v>18</v>
      </c>
      <c r="AA404" s="4">
        <v>32</v>
      </c>
      <c r="AB404" s="4">
        <v>1</v>
      </c>
      <c r="AC404" s="4">
        <v>11</v>
      </c>
      <c r="AD404" s="4">
        <v>44</v>
      </c>
      <c r="AE404" s="4">
        <v>50</v>
      </c>
      <c r="AF404" s="4">
        <v>0</v>
      </c>
      <c r="AG404" s="4">
        <v>5</v>
      </c>
      <c r="AH404" s="4">
        <v>34</v>
      </c>
      <c r="AI404" s="4">
        <v>35</v>
      </c>
      <c r="AJ404" s="4">
        <v>12</v>
      </c>
      <c r="AK404" s="4">
        <v>16</v>
      </c>
      <c r="AL404" s="4">
        <v>20</v>
      </c>
      <c r="AM404" s="4">
        <v>20</v>
      </c>
      <c r="AN404" s="4">
        <v>0</v>
      </c>
      <c r="AO404" s="4">
        <v>0</v>
      </c>
      <c r="AP404" s="4">
        <v>15</v>
      </c>
      <c r="AQ404" s="4">
        <v>20</v>
      </c>
      <c r="AR404" s="3" t="s">
        <v>62</v>
      </c>
      <c r="AS404" s="3" t="s">
        <v>62</v>
      </c>
      <c r="AT404" s="3" t="s">
        <v>62</v>
      </c>
      <c r="AV404" s="6" t="str">
        <f>HYPERLINK("http://mcgill.on.worldcat.org/oclc/1375979","Catalog Record")</f>
        <v>Catalog Record</v>
      </c>
      <c r="AW404" s="6" t="str">
        <f>HYPERLINK("http://www.worldcat.org/oclc/1375979","WorldCat Record")</f>
        <v>WorldCat Record</v>
      </c>
      <c r="AX404" s="3" t="s">
        <v>3803</v>
      </c>
      <c r="AY404" s="3" t="s">
        <v>3804</v>
      </c>
      <c r="AZ404" s="3" t="s">
        <v>3805</v>
      </c>
      <c r="BA404" s="3" t="s">
        <v>3805</v>
      </c>
      <c r="BB404" s="3" t="s">
        <v>3810</v>
      </c>
      <c r="BC404" s="3" t="s">
        <v>142</v>
      </c>
      <c r="BD404" s="3" t="s">
        <v>68</v>
      </c>
      <c r="BE404" s="3" t="s">
        <v>3807</v>
      </c>
      <c r="BF404" s="3" t="s">
        <v>3810</v>
      </c>
      <c r="BG404" s="3" t="s">
        <v>3811</v>
      </c>
    </row>
    <row r="405" spans="1:59" ht="57" x14ac:dyDescent="0.45">
      <c r="A405" s="2" t="s">
        <v>59</v>
      </c>
      <c r="B405" s="2" t="s">
        <v>60</v>
      </c>
      <c r="C405" s="2" t="s">
        <v>3812</v>
      </c>
      <c r="D405" s="2" t="s">
        <v>3813</v>
      </c>
      <c r="E405" s="2" t="s">
        <v>3814</v>
      </c>
      <c r="G405" s="3" t="s">
        <v>62</v>
      </c>
      <c r="I405" s="3" t="s">
        <v>62</v>
      </c>
      <c r="J405" s="3" t="s">
        <v>62</v>
      </c>
      <c r="K405" s="3" t="s">
        <v>63</v>
      </c>
      <c r="L405" s="2" t="s">
        <v>3815</v>
      </c>
      <c r="M405" s="2" t="s">
        <v>1189</v>
      </c>
      <c r="N405" s="3" t="s">
        <v>149</v>
      </c>
      <c r="P405" s="3" t="s">
        <v>65</v>
      </c>
      <c r="Q405" s="2" t="s">
        <v>3816</v>
      </c>
      <c r="R405" s="3" t="s">
        <v>66</v>
      </c>
      <c r="S405" s="4">
        <v>1</v>
      </c>
      <c r="T405" s="4">
        <v>1</v>
      </c>
      <c r="U405" s="5" t="s">
        <v>3817</v>
      </c>
      <c r="V405" s="5" t="s">
        <v>3817</v>
      </c>
      <c r="W405" s="5" t="s">
        <v>67</v>
      </c>
      <c r="X405" s="5" t="s">
        <v>67</v>
      </c>
      <c r="Y405" s="4">
        <v>136</v>
      </c>
      <c r="Z405" s="4">
        <v>13</v>
      </c>
      <c r="AA405" s="4">
        <v>81</v>
      </c>
      <c r="AB405" s="4">
        <v>1</v>
      </c>
      <c r="AC405" s="4">
        <v>15</v>
      </c>
      <c r="AD405" s="4">
        <v>60</v>
      </c>
      <c r="AE405" s="4">
        <v>127</v>
      </c>
      <c r="AF405" s="4">
        <v>0</v>
      </c>
      <c r="AG405" s="4">
        <v>8</v>
      </c>
      <c r="AH405" s="4">
        <v>54</v>
      </c>
      <c r="AI405" s="4">
        <v>92</v>
      </c>
      <c r="AJ405" s="4">
        <v>7</v>
      </c>
      <c r="AK405" s="4">
        <v>23</v>
      </c>
      <c r="AL405" s="4">
        <v>36</v>
      </c>
      <c r="AM405" s="4">
        <v>48</v>
      </c>
      <c r="AN405" s="4">
        <v>0</v>
      </c>
      <c r="AO405" s="4">
        <v>0</v>
      </c>
      <c r="AP405" s="4">
        <v>9</v>
      </c>
      <c r="AQ405" s="4">
        <v>43</v>
      </c>
      <c r="AR405" s="3" t="s">
        <v>62</v>
      </c>
      <c r="AS405" s="3" t="s">
        <v>62</v>
      </c>
      <c r="AT405" s="3" t="s">
        <v>62</v>
      </c>
      <c r="AV405" s="6" t="str">
        <f>HYPERLINK("http://mcgill.on.worldcat.org/oclc/435967619","Catalog Record")</f>
        <v>Catalog Record</v>
      </c>
      <c r="AW405" s="6" t="str">
        <f>HYPERLINK("http://www.worldcat.org/oclc/435967619","WorldCat Record")</f>
        <v>WorldCat Record</v>
      </c>
      <c r="AX405" s="3" t="s">
        <v>3818</v>
      </c>
      <c r="AY405" s="3" t="s">
        <v>3819</v>
      </c>
      <c r="AZ405" s="3" t="s">
        <v>3820</v>
      </c>
      <c r="BA405" s="3" t="s">
        <v>3820</v>
      </c>
      <c r="BB405" s="3" t="s">
        <v>3821</v>
      </c>
      <c r="BC405" s="3" t="s">
        <v>142</v>
      </c>
      <c r="BD405" s="3" t="s">
        <v>68</v>
      </c>
      <c r="BE405" s="3" t="s">
        <v>3822</v>
      </c>
      <c r="BF405" s="3" t="s">
        <v>3821</v>
      </c>
      <c r="BG405" s="3" t="s">
        <v>3823</v>
      </c>
    </row>
    <row r="406" spans="1:59" ht="57" x14ac:dyDescent="0.45">
      <c r="A406" s="2" t="s">
        <v>59</v>
      </c>
      <c r="B406" s="2" t="s">
        <v>60</v>
      </c>
      <c r="C406" s="2" t="s">
        <v>3824</v>
      </c>
      <c r="D406" s="2" t="s">
        <v>3825</v>
      </c>
      <c r="E406" s="2" t="s">
        <v>3826</v>
      </c>
      <c r="G406" s="3" t="s">
        <v>62</v>
      </c>
      <c r="I406" s="3" t="s">
        <v>62</v>
      </c>
      <c r="J406" s="3" t="s">
        <v>62</v>
      </c>
      <c r="K406" s="3" t="s">
        <v>63</v>
      </c>
      <c r="L406" s="2" t="s">
        <v>3827</v>
      </c>
      <c r="M406" s="2" t="s">
        <v>3828</v>
      </c>
      <c r="N406" s="3" t="s">
        <v>820</v>
      </c>
      <c r="P406" s="3" t="s">
        <v>65</v>
      </c>
      <c r="Q406" s="2" t="s">
        <v>1782</v>
      </c>
      <c r="R406" s="3" t="s">
        <v>66</v>
      </c>
      <c r="S406" s="4">
        <v>12</v>
      </c>
      <c r="T406" s="4">
        <v>12</v>
      </c>
      <c r="U406" s="5" t="s">
        <v>3364</v>
      </c>
      <c r="V406" s="5" t="s">
        <v>3364</v>
      </c>
      <c r="W406" s="5" t="s">
        <v>67</v>
      </c>
      <c r="X406" s="5" t="s">
        <v>67</v>
      </c>
      <c r="Y406" s="4">
        <v>204</v>
      </c>
      <c r="Z406" s="4">
        <v>21</v>
      </c>
      <c r="AA406" s="4">
        <v>99</v>
      </c>
      <c r="AB406" s="4">
        <v>2</v>
      </c>
      <c r="AC406" s="4">
        <v>17</v>
      </c>
      <c r="AD406" s="4">
        <v>72</v>
      </c>
      <c r="AE406" s="4">
        <v>129</v>
      </c>
      <c r="AF406" s="4">
        <v>1</v>
      </c>
      <c r="AG406" s="4">
        <v>8</v>
      </c>
      <c r="AH406" s="4">
        <v>62</v>
      </c>
      <c r="AI406" s="4">
        <v>89</v>
      </c>
      <c r="AJ406" s="4">
        <v>15</v>
      </c>
      <c r="AK406" s="4">
        <v>25</v>
      </c>
      <c r="AL406" s="4">
        <v>39</v>
      </c>
      <c r="AM406" s="4">
        <v>51</v>
      </c>
      <c r="AN406" s="4">
        <v>1</v>
      </c>
      <c r="AO406" s="4">
        <v>1</v>
      </c>
      <c r="AP406" s="4">
        <v>18</v>
      </c>
      <c r="AQ406" s="4">
        <v>48</v>
      </c>
      <c r="AR406" s="3" t="s">
        <v>62</v>
      </c>
      <c r="AS406" s="3" t="s">
        <v>62</v>
      </c>
      <c r="AT406" s="3" t="s">
        <v>61</v>
      </c>
      <c r="AU406" s="6" t="str">
        <f>HYPERLINK("http://catalog.hathitrust.org/Record/005871382","HathiTrust Record")</f>
        <v>HathiTrust Record</v>
      </c>
      <c r="AV406" s="6" t="str">
        <f>HYPERLINK("http://mcgill.on.worldcat.org/oclc/229464203","Catalog Record")</f>
        <v>Catalog Record</v>
      </c>
      <c r="AW406" s="6" t="str">
        <f>HYPERLINK("http://www.worldcat.org/oclc/229464203","WorldCat Record")</f>
        <v>WorldCat Record</v>
      </c>
      <c r="AX406" s="3" t="s">
        <v>3829</v>
      </c>
      <c r="AY406" s="3" t="s">
        <v>3830</v>
      </c>
      <c r="AZ406" s="3" t="s">
        <v>3831</v>
      </c>
      <c r="BA406" s="3" t="s">
        <v>3831</v>
      </c>
      <c r="BB406" s="3" t="s">
        <v>3832</v>
      </c>
      <c r="BC406" s="3" t="s">
        <v>142</v>
      </c>
      <c r="BD406" s="3" t="s">
        <v>308</v>
      </c>
      <c r="BE406" s="3" t="s">
        <v>3833</v>
      </c>
      <c r="BF406" s="3" t="s">
        <v>3832</v>
      </c>
      <c r="BG406" s="3" t="s">
        <v>3834</v>
      </c>
    </row>
    <row r="407" spans="1:59" ht="57" x14ac:dyDescent="0.45">
      <c r="A407" s="2" t="s">
        <v>59</v>
      </c>
      <c r="B407" s="2" t="s">
        <v>60</v>
      </c>
      <c r="C407" s="2" t="s">
        <v>3835</v>
      </c>
      <c r="D407" s="2" t="s">
        <v>3836</v>
      </c>
      <c r="E407" s="2" t="s">
        <v>3837</v>
      </c>
      <c r="G407" s="3" t="s">
        <v>62</v>
      </c>
      <c r="I407" s="3" t="s">
        <v>62</v>
      </c>
      <c r="J407" s="3" t="s">
        <v>62</v>
      </c>
      <c r="K407" s="3" t="s">
        <v>63</v>
      </c>
      <c r="L407" s="2" t="s">
        <v>3827</v>
      </c>
      <c r="M407" s="2" t="s">
        <v>3838</v>
      </c>
      <c r="N407" s="3" t="s">
        <v>894</v>
      </c>
      <c r="P407" s="3" t="s">
        <v>65</v>
      </c>
      <c r="R407" s="3" t="s">
        <v>66</v>
      </c>
      <c r="S407" s="4">
        <v>1</v>
      </c>
      <c r="T407" s="4">
        <v>1</v>
      </c>
      <c r="U407" s="5" t="s">
        <v>3817</v>
      </c>
      <c r="V407" s="5" t="s">
        <v>3817</v>
      </c>
      <c r="W407" s="5" t="s">
        <v>67</v>
      </c>
      <c r="X407" s="5" t="s">
        <v>67</v>
      </c>
      <c r="Y407" s="4">
        <v>118</v>
      </c>
      <c r="Z407" s="4">
        <v>10</v>
      </c>
      <c r="AA407" s="4">
        <v>89</v>
      </c>
      <c r="AB407" s="4">
        <v>2</v>
      </c>
      <c r="AC407" s="4">
        <v>14</v>
      </c>
      <c r="AD407" s="4">
        <v>52</v>
      </c>
      <c r="AE407" s="4">
        <v>116</v>
      </c>
      <c r="AF407" s="4">
        <v>1</v>
      </c>
      <c r="AG407" s="4">
        <v>8</v>
      </c>
      <c r="AH407" s="4">
        <v>49</v>
      </c>
      <c r="AI407" s="4">
        <v>82</v>
      </c>
      <c r="AJ407" s="4">
        <v>8</v>
      </c>
      <c r="AK407" s="4">
        <v>25</v>
      </c>
      <c r="AL407" s="4">
        <v>24</v>
      </c>
      <c r="AM407" s="4">
        <v>40</v>
      </c>
      <c r="AN407" s="4">
        <v>0</v>
      </c>
      <c r="AO407" s="4">
        <v>0</v>
      </c>
      <c r="AP407" s="4">
        <v>9</v>
      </c>
      <c r="AQ407" s="4">
        <v>45</v>
      </c>
      <c r="AR407" s="3" t="s">
        <v>62</v>
      </c>
      <c r="AS407" s="3" t="s">
        <v>62</v>
      </c>
      <c r="AT407" s="3" t="s">
        <v>62</v>
      </c>
      <c r="AV407" s="6" t="str">
        <f>HYPERLINK("http://mcgill.on.worldcat.org/oclc/727047918","Catalog Record")</f>
        <v>Catalog Record</v>
      </c>
      <c r="AW407" s="6" t="str">
        <f>HYPERLINK("http://www.worldcat.org/oclc/727047918","WorldCat Record")</f>
        <v>WorldCat Record</v>
      </c>
      <c r="AX407" s="3" t="s">
        <v>3839</v>
      </c>
      <c r="AY407" s="3" t="s">
        <v>3840</v>
      </c>
      <c r="AZ407" s="3" t="s">
        <v>3841</v>
      </c>
      <c r="BA407" s="3" t="s">
        <v>3841</v>
      </c>
      <c r="BB407" s="3" t="s">
        <v>3842</v>
      </c>
      <c r="BC407" s="3" t="s">
        <v>142</v>
      </c>
      <c r="BD407" s="3" t="s">
        <v>68</v>
      </c>
      <c r="BE407" s="3" t="s">
        <v>3843</v>
      </c>
      <c r="BF407" s="3" t="s">
        <v>3842</v>
      </c>
      <c r="BG407" s="3" t="s">
        <v>3844</v>
      </c>
    </row>
    <row r="408" spans="1:59" ht="57" x14ac:dyDescent="0.45">
      <c r="A408" s="2" t="s">
        <v>59</v>
      </c>
      <c r="B408" s="2" t="s">
        <v>60</v>
      </c>
      <c r="C408" s="2" t="s">
        <v>3845</v>
      </c>
      <c r="D408" s="2" t="s">
        <v>3846</v>
      </c>
      <c r="E408" s="2" t="s">
        <v>3847</v>
      </c>
      <c r="G408" s="3" t="s">
        <v>62</v>
      </c>
      <c r="I408" s="3" t="s">
        <v>62</v>
      </c>
      <c r="J408" s="3" t="s">
        <v>61</v>
      </c>
      <c r="K408" s="3" t="s">
        <v>63</v>
      </c>
      <c r="L408" s="2" t="s">
        <v>3848</v>
      </c>
      <c r="M408" s="2" t="s">
        <v>3849</v>
      </c>
      <c r="N408" s="3" t="s">
        <v>1465</v>
      </c>
      <c r="O408" s="2" t="s">
        <v>3280</v>
      </c>
      <c r="P408" s="3" t="s">
        <v>65</v>
      </c>
      <c r="R408" s="3" t="s">
        <v>66</v>
      </c>
      <c r="S408" s="4">
        <v>3</v>
      </c>
      <c r="T408" s="4">
        <v>3</v>
      </c>
      <c r="U408" s="5" t="s">
        <v>3850</v>
      </c>
      <c r="V408" s="5" t="s">
        <v>3850</v>
      </c>
      <c r="W408" s="5" t="s">
        <v>67</v>
      </c>
      <c r="X408" s="5" t="s">
        <v>67</v>
      </c>
      <c r="Y408" s="4">
        <v>97</v>
      </c>
      <c r="Z408" s="4">
        <v>6</v>
      </c>
      <c r="AA408" s="4">
        <v>98</v>
      </c>
      <c r="AB408" s="4">
        <v>2</v>
      </c>
      <c r="AC408" s="4">
        <v>18</v>
      </c>
      <c r="AD408" s="4">
        <v>9</v>
      </c>
      <c r="AE408" s="4">
        <v>134</v>
      </c>
      <c r="AF408" s="4">
        <v>0</v>
      </c>
      <c r="AG408" s="4">
        <v>8</v>
      </c>
      <c r="AH408" s="4">
        <v>7</v>
      </c>
      <c r="AI408" s="4">
        <v>95</v>
      </c>
      <c r="AJ408" s="4">
        <v>2</v>
      </c>
      <c r="AK408" s="4">
        <v>25</v>
      </c>
      <c r="AL408" s="4">
        <v>2</v>
      </c>
      <c r="AM408" s="4">
        <v>51</v>
      </c>
      <c r="AN408" s="4">
        <v>0</v>
      </c>
      <c r="AO408" s="4">
        <v>0</v>
      </c>
      <c r="AP408" s="4">
        <v>4</v>
      </c>
      <c r="AQ408" s="4">
        <v>47</v>
      </c>
      <c r="AR408" s="3" t="s">
        <v>62</v>
      </c>
      <c r="AS408" s="3" t="s">
        <v>62</v>
      </c>
      <c r="AT408" s="3" t="s">
        <v>62</v>
      </c>
      <c r="AV408" s="6" t="str">
        <f>HYPERLINK("http://mcgill.on.worldcat.org/oclc/280543868","Catalog Record")</f>
        <v>Catalog Record</v>
      </c>
      <c r="AW408" s="6" t="str">
        <f>HYPERLINK("http://www.worldcat.org/oclc/280543868","WorldCat Record")</f>
        <v>WorldCat Record</v>
      </c>
      <c r="AX408" s="3" t="s">
        <v>3851</v>
      </c>
      <c r="AY408" s="3" t="s">
        <v>3852</v>
      </c>
      <c r="AZ408" s="3" t="s">
        <v>3853</v>
      </c>
      <c r="BA408" s="3" t="s">
        <v>3853</v>
      </c>
      <c r="BB408" s="3" t="s">
        <v>3854</v>
      </c>
      <c r="BC408" s="3" t="s">
        <v>142</v>
      </c>
      <c r="BD408" s="3" t="s">
        <v>68</v>
      </c>
      <c r="BE408" s="3" t="s">
        <v>3855</v>
      </c>
      <c r="BF408" s="3" t="s">
        <v>3854</v>
      </c>
      <c r="BG408" s="3" t="s">
        <v>3856</v>
      </c>
    </row>
    <row r="409" spans="1:59" ht="57" x14ac:dyDescent="0.45">
      <c r="A409" s="2" t="s">
        <v>59</v>
      </c>
      <c r="B409" s="2" t="s">
        <v>60</v>
      </c>
      <c r="C409" s="2" t="s">
        <v>3857</v>
      </c>
      <c r="D409" s="2" t="s">
        <v>3858</v>
      </c>
      <c r="E409" s="2" t="s">
        <v>3859</v>
      </c>
      <c r="G409" s="3" t="s">
        <v>62</v>
      </c>
      <c r="I409" s="3" t="s">
        <v>61</v>
      </c>
      <c r="J409" s="3" t="s">
        <v>61</v>
      </c>
      <c r="K409" s="3" t="s">
        <v>63</v>
      </c>
      <c r="L409" s="2" t="s">
        <v>3860</v>
      </c>
      <c r="M409" s="2" t="s">
        <v>3861</v>
      </c>
      <c r="N409" s="3" t="s">
        <v>1059</v>
      </c>
      <c r="P409" s="3" t="s">
        <v>65</v>
      </c>
      <c r="R409" s="3" t="s">
        <v>66</v>
      </c>
      <c r="S409" s="4">
        <v>11</v>
      </c>
      <c r="T409" s="4">
        <v>16</v>
      </c>
      <c r="U409" s="5" t="s">
        <v>372</v>
      </c>
      <c r="V409" s="5" t="s">
        <v>3862</v>
      </c>
      <c r="W409" s="5" t="s">
        <v>67</v>
      </c>
      <c r="X409" s="5" t="s">
        <v>67</v>
      </c>
      <c r="Y409" s="4">
        <v>233</v>
      </c>
      <c r="Z409" s="4">
        <v>22</v>
      </c>
      <c r="AA409" s="4">
        <v>85</v>
      </c>
      <c r="AB409" s="4">
        <v>2</v>
      </c>
      <c r="AC409" s="4">
        <v>18</v>
      </c>
      <c r="AD409" s="4">
        <v>48</v>
      </c>
      <c r="AE409" s="4">
        <v>120</v>
      </c>
      <c r="AF409" s="4">
        <v>1</v>
      </c>
      <c r="AG409" s="4">
        <v>8</v>
      </c>
      <c r="AH409" s="4">
        <v>40</v>
      </c>
      <c r="AI409" s="4">
        <v>80</v>
      </c>
      <c r="AJ409" s="4">
        <v>14</v>
      </c>
      <c r="AK409" s="4">
        <v>24</v>
      </c>
      <c r="AL409" s="4">
        <v>24</v>
      </c>
      <c r="AM409" s="4">
        <v>43</v>
      </c>
      <c r="AN409" s="4">
        <v>0</v>
      </c>
      <c r="AO409" s="4">
        <v>0</v>
      </c>
      <c r="AP409" s="4">
        <v>15</v>
      </c>
      <c r="AQ409" s="4">
        <v>49</v>
      </c>
      <c r="AR409" s="3" t="s">
        <v>62</v>
      </c>
      <c r="AS409" s="3" t="s">
        <v>62</v>
      </c>
      <c r="AT409" s="3" t="s">
        <v>61</v>
      </c>
      <c r="AU409" s="6" t="str">
        <f>HYPERLINK("http://catalog.hathitrust.org/Record/005603091","HathiTrust Record")</f>
        <v>HathiTrust Record</v>
      </c>
      <c r="AV409" s="6" t="str">
        <f>HYPERLINK("http://mcgill.on.worldcat.org/oclc/63195934","Catalog Record")</f>
        <v>Catalog Record</v>
      </c>
      <c r="AW409" s="6" t="str">
        <f>HYPERLINK("http://www.worldcat.org/oclc/63195934","WorldCat Record")</f>
        <v>WorldCat Record</v>
      </c>
      <c r="AX409" s="3" t="s">
        <v>3863</v>
      </c>
      <c r="AY409" s="3" t="s">
        <v>3864</v>
      </c>
      <c r="AZ409" s="3" t="s">
        <v>3865</v>
      </c>
      <c r="BA409" s="3" t="s">
        <v>3865</v>
      </c>
      <c r="BB409" s="3" t="s">
        <v>3866</v>
      </c>
      <c r="BC409" s="3" t="s">
        <v>142</v>
      </c>
      <c r="BD409" s="3" t="s">
        <v>68</v>
      </c>
      <c r="BE409" s="3" t="s">
        <v>3867</v>
      </c>
      <c r="BF409" s="3" t="s">
        <v>3866</v>
      </c>
      <c r="BG409" s="3" t="s">
        <v>3868</v>
      </c>
    </row>
    <row r="410" spans="1:59" ht="57" x14ac:dyDescent="0.45">
      <c r="A410" s="2" t="s">
        <v>59</v>
      </c>
      <c r="B410" s="2" t="s">
        <v>60</v>
      </c>
      <c r="C410" s="2" t="s">
        <v>3857</v>
      </c>
      <c r="D410" s="2" t="s">
        <v>3858</v>
      </c>
      <c r="E410" s="2" t="s">
        <v>3859</v>
      </c>
      <c r="G410" s="3" t="s">
        <v>62</v>
      </c>
      <c r="I410" s="3" t="s">
        <v>61</v>
      </c>
      <c r="J410" s="3" t="s">
        <v>61</v>
      </c>
      <c r="K410" s="3" t="s">
        <v>63</v>
      </c>
      <c r="L410" s="2" t="s">
        <v>3860</v>
      </c>
      <c r="M410" s="2" t="s">
        <v>3861</v>
      </c>
      <c r="N410" s="3" t="s">
        <v>1059</v>
      </c>
      <c r="P410" s="3" t="s">
        <v>65</v>
      </c>
      <c r="R410" s="3" t="s">
        <v>66</v>
      </c>
      <c r="S410" s="4">
        <v>5</v>
      </c>
      <c r="T410" s="4">
        <v>16</v>
      </c>
      <c r="U410" s="5" t="s">
        <v>3862</v>
      </c>
      <c r="V410" s="5" t="s">
        <v>3862</v>
      </c>
      <c r="W410" s="5" t="s">
        <v>67</v>
      </c>
      <c r="X410" s="5" t="s">
        <v>67</v>
      </c>
      <c r="Y410" s="4">
        <v>233</v>
      </c>
      <c r="Z410" s="4">
        <v>22</v>
      </c>
      <c r="AA410" s="4">
        <v>85</v>
      </c>
      <c r="AB410" s="4">
        <v>2</v>
      </c>
      <c r="AC410" s="4">
        <v>18</v>
      </c>
      <c r="AD410" s="4">
        <v>48</v>
      </c>
      <c r="AE410" s="4">
        <v>120</v>
      </c>
      <c r="AF410" s="4">
        <v>1</v>
      </c>
      <c r="AG410" s="4">
        <v>8</v>
      </c>
      <c r="AH410" s="4">
        <v>40</v>
      </c>
      <c r="AI410" s="4">
        <v>80</v>
      </c>
      <c r="AJ410" s="4">
        <v>14</v>
      </c>
      <c r="AK410" s="4">
        <v>24</v>
      </c>
      <c r="AL410" s="4">
        <v>24</v>
      </c>
      <c r="AM410" s="4">
        <v>43</v>
      </c>
      <c r="AN410" s="4">
        <v>0</v>
      </c>
      <c r="AO410" s="4">
        <v>0</v>
      </c>
      <c r="AP410" s="4">
        <v>15</v>
      </c>
      <c r="AQ410" s="4">
        <v>49</v>
      </c>
      <c r="AR410" s="3" t="s">
        <v>62</v>
      </c>
      <c r="AS410" s="3" t="s">
        <v>62</v>
      </c>
      <c r="AT410" s="3" t="s">
        <v>61</v>
      </c>
      <c r="AU410" s="6" t="str">
        <f>HYPERLINK("http://catalog.hathitrust.org/Record/005603091","HathiTrust Record")</f>
        <v>HathiTrust Record</v>
      </c>
      <c r="AV410" s="6" t="str">
        <f>HYPERLINK("http://mcgill.on.worldcat.org/oclc/63195934","Catalog Record")</f>
        <v>Catalog Record</v>
      </c>
      <c r="AW410" s="6" t="str">
        <f>HYPERLINK("http://www.worldcat.org/oclc/63195934","WorldCat Record")</f>
        <v>WorldCat Record</v>
      </c>
      <c r="AX410" s="3" t="s">
        <v>3863</v>
      </c>
      <c r="AY410" s="3" t="s">
        <v>3864</v>
      </c>
      <c r="AZ410" s="3" t="s">
        <v>3865</v>
      </c>
      <c r="BA410" s="3" t="s">
        <v>3865</v>
      </c>
      <c r="BB410" s="3" t="s">
        <v>3869</v>
      </c>
      <c r="BC410" s="3" t="s">
        <v>142</v>
      </c>
      <c r="BD410" s="3" t="s">
        <v>68</v>
      </c>
      <c r="BE410" s="3" t="s">
        <v>3867</v>
      </c>
      <c r="BF410" s="3" t="s">
        <v>3869</v>
      </c>
      <c r="BG410" s="3" t="s">
        <v>3870</v>
      </c>
    </row>
    <row r="411" spans="1:59" ht="57" x14ac:dyDescent="0.45">
      <c r="A411" s="2" t="s">
        <v>59</v>
      </c>
      <c r="B411" s="2" t="s">
        <v>60</v>
      </c>
      <c r="C411" s="2" t="s">
        <v>3871</v>
      </c>
      <c r="D411" s="2" t="s">
        <v>3872</v>
      </c>
      <c r="E411" s="2" t="s">
        <v>3859</v>
      </c>
      <c r="G411" s="3" t="s">
        <v>62</v>
      </c>
      <c r="I411" s="3" t="s">
        <v>62</v>
      </c>
      <c r="J411" s="3" t="s">
        <v>61</v>
      </c>
      <c r="K411" s="3" t="s">
        <v>63</v>
      </c>
      <c r="L411" s="2" t="s">
        <v>3873</v>
      </c>
      <c r="M411" s="2" t="s">
        <v>1009</v>
      </c>
      <c r="N411" s="3" t="s">
        <v>894</v>
      </c>
      <c r="O411" s="2" t="s">
        <v>3874</v>
      </c>
      <c r="P411" s="3" t="s">
        <v>65</v>
      </c>
      <c r="R411" s="3" t="s">
        <v>66</v>
      </c>
      <c r="S411" s="4">
        <v>3</v>
      </c>
      <c r="T411" s="4">
        <v>3</v>
      </c>
      <c r="U411" s="5" t="s">
        <v>3875</v>
      </c>
      <c r="V411" s="5" t="s">
        <v>3875</v>
      </c>
      <c r="W411" s="5" t="s">
        <v>67</v>
      </c>
      <c r="X411" s="5" t="s">
        <v>67</v>
      </c>
      <c r="Y411" s="4">
        <v>181</v>
      </c>
      <c r="Z411" s="4">
        <v>13</v>
      </c>
      <c r="AA411" s="4">
        <v>85</v>
      </c>
      <c r="AB411" s="4">
        <v>1</v>
      </c>
      <c r="AC411" s="4">
        <v>18</v>
      </c>
      <c r="AD411" s="4">
        <v>33</v>
      </c>
      <c r="AE411" s="4">
        <v>120</v>
      </c>
      <c r="AF411" s="4">
        <v>0</v>
      </c>
      <c r="AG411" s="4">
        <v>8</v>
      </c>
      <c r="AH411" s="4">
        <v>29</v>
      </c>
      <c r="AI411" s="4">
        <v>80</v>
      </c>
      <c r="AJ411" s="4">
        <v>10</v>
      </c>
      <c r="AK411" s="4">
        <v>24</v>
      </c>
      <c r="AL411" s="4">
        <v>15</v>
      </c>
      <c r="AM411" s="4">
        <v>43</v>
      </c>
      <c r="AN411" s="4">
        <v>0</v>
      </c>
      <c r="AO411" s="4">
        <v>0</v>
      </c>
      <c r="AP411" s="4">
        <v>11</v>
      </c>
      <c r="AQ411" s="4">
        <v>49</v>
      </c>
      <c r="AR411" s="3" t="s">
        <v>62</v>
      </c>
      <c r="AS411" s="3" t="s">
        <v>62</v>
      </c>
      <c r="AT411" s="3" t="s">
        <v>62</v>
      </c>
      <c r="AV411" s="6" t="str">
        <f>HYPERLINK("http://mcgill.on.worldcat.org/oclc/663102444","Catalog Record")</f>
        <v>Catalog Record</v>
      </c>
      <c r="AW411" s="6" t="str">
        <f>HYPERLINK("http://www.worldcat.org/oclc/663102444","WorldCat Record")</f>
        <v>WorldCat Record</v>
      </c>
      <c r="AX411" s="3" t="s">
        <v>3863</v>
      </c>
      <c r="AY411" s="3" t="s">
        <v>3876</v>
      </c>
      <c r="AZ411" s="3" t="s">
        <v>3877</v>
      </c>
      <c r="BA411" s="3" t="s">
        <v>3877</v>
      </c>
      <c r="BB411" s="3" t="s">
        <v>3878</v>
      </c>
      <c r="BC411" s="3" t="s">
        <v>142</v>
      </c>
      <c r="BD411" s="3" t="s">
        <v>68</v>
      </c>
      <c r="BE411" s="3" t="s">
        <v>3879</v>
      </c>
      <c r="BF411" s="3" t="s">
        <v>3878</v>
      </c>
      <c r="BG411" s="3" t="s">
        <v>3880</v>
      </c>
    </row>
    <row r="412" spans="1:59" ht="57" x14ac:dyDescent="0.45">
      <c r="A412" s="2" t="s">
        <v>59</v>
      </c>
      <c r="B412" s="2" t="s">
        <v>60</v>
      </c>
      <c r="C412" s="2" t="s">
        <v>3881</v>
      </c>
      <c r="D412" s="2" t="s">
        <v>3882</v>
      </c>
      <c r="E412" s="2" t="s">
        <v>3883</v>
      </c>
      <c r="G412" s="3" t="s">
        <v>62</v>
      </c>
      <c r="I412" s="3" t="s">
        <v>62</v>
      </c>
      <c r="J412" s="3" t="s">
        <v>62</v>
      </c>
      <c r="K412" s="3" t="s">
        <v>63</v>
      </c>
      <c r="L412" s="2" t="s">
        <v>3884</v>
      </c>
      <c r="M412" s="2" t="s">
        <v>3885</v>
      </c>
      <c r="N412" s="3" t="s">
        <v>117</v>
      </c>
      <c r="P412" s="3" t="s">
        <v>65</v>
      </c>
      <c r="Q412" s="2" t="s">
        <v>3886</v>
      </c>
      <c r="R412" s="3" t="s">
        <v>66</v>
      </c>
      <c r="S412" s="4">
        <v>30</v>
      </c>
      <c r="T412" s="4">
        <v>30</v>
      </c>
      <c r="U412" s="5" t="s">
        <v>372</v>
      </c>
      <c r="V412" s="5" t="s">
        <v>372</v>
      </c>
      <c r="W412" s="5" t="s">
        <v>67</v>
      </c>
      <c r="X412" s="5" t="s">
        <v>67</v>
      </c>
      <c r="Y412" s="4">
        <v>252</v>
      </c>
      <c r="Z412" s="4">
        <v>23</v>
      </c>
      <c r="AA412" s="4">
        <v>44</v>
      </c>
      <c r="AB412" s="4">
        <v>2</v>
      </c>
      <c r="AC412" s="4">
        <v>9</v>
      </c>
      <c r="AD412" s="4">
        <v>65</v>
      </c>
      <c r="AE412" s="4">
        <v>133</v>
      </c>
      <c r="AF412" s="4">
        <v>1</v>
      </c>
      <c r="AG412" s="4">
        <v>4</v>
      </c>
      <c r="AH412" s="4">
        <v>51</v>
      </c>
      <c r="AI412" s="4">
        <v>110</v>
      </c>
      <c r="AJ412" s="4">
        <v>14</v>
      </c>
      <c r="AK412" s="4">
        <v>24</v>
      </c>
      <c r="AL412" s="4">
        <v>31</v>
      </c>
      <c r="AM412" s="4">
        <v>56</v>
      </c>
      <c r="AN412" s="4">
        <v>0</v>
      </c>
      <c r="AO412" s="4">
        <v>0</v>
      </c>
      <c r="AP412" s="4">
        <v>19</v>
      </c>
      <c r="AQ412" s="4">
        <v>33</v>
      </c>
      <c r="AR412" s="3" t="s">
        <v>62</v>
      </c>
      <c r="AS412" s="3" t="s">
        <v>62</v>
      </c>
      <c r="AT412" s="3" t="s">
        <v>62</v>
      </c>
      <c r="AV412" s="6" t="str">
        <f>HYPERLINK("http://mcgill.on.worldcat.org/oclc/6503817","Catalog Record")</f>
        <v>Catalog Record</v>
      </c>
      <c r="AW412" s="6" t="str">
        <f>HYPERLINK("http://www.worldcat.org/oclc/6503817","WorldCat Record")</f>
        <v>WorldCat Record</v>
      </c>
      <c r="AX412" s="3" t="s">
        <v>3887</v>
      </c>
      <c r="AY412" s="3" t="s">
        <v>3888</v>
      </c>
      <c r="AZ412" s="3" t="s">
        <v>3889</v>
      </c>
      <c r="BA412" s="3" t="s">
        <v>3889</v>
      </c>
      <c r="BB412" s="3" t="s">
        <v>3890</v>
      </c>
      <c r="BC412" s="3" t="s">
        <v>142</v>
      </c>
      <c r="BD412" s="3" t="s">
        <v>68</v>
      </c>
      <c r="BE412" s="3" t="s">
        <v>3891</v>
      </c>
      <c r="BF412" s="3" t="s">
        <v>3890</v>
      </c>
      <c r="BG412" s="3" t="s">
        <v>3892</v>
      </c>
    </row>
    <row r="413" spans="1:59" ht="57" x14ac:dyDescent="0.45">
      <c r="A413" s="2" t="s">
        <v>59</v>
      </c>
      <c r="B413" s="2" t="s">
        <v>60</v>
      </c>
      <c r="C413" s="2" t="s">
        <v>3893</v>
      </c>
      <c r="D413" s="2" t="s">
        <v>3894</v>
      </c>
      <c r="E413" s="2" t="s">
        <v>3895</v>
      </c>
      <c r="G413" s="3" t="s">
        <v>62</v>
      </c>
      <c r="I413" s="3" t="s">
        <v>62</v>
      </c>
      <c r="J413" s="3" t="s">
        <v>61</v>
      </c>
      <c r="K413" s="3" t="s">
        <v>63</v>
      </c>
      <c r="L413" s="2" t="s">
        <v>3896</v>
      </c>
      <c r="M413" s="2" t="s">
        <v>1841</v>
      </c>
      <c r="N413" s="3" t="s">
        <v>820</v>
      </c>
      <c r="O413" s="2" t="s">
        <v>906</v>
      </c>
      <c r="P413" s="3" t="s">
        <v>65</v>
      </c>
      <c r="R413" s="3" t="s">
        <v>66</v>
      </c>
      <c r="S413" s="4">
        <v>4</v>
      </c>
      <c r="T413" s="4">
        <v>4</v>
      </c>
      <c r="U413" s="5" t="s">
        <v>124</v>
      </c>
      <c r="V413" s="5" t="s">
        <v>124</v>
      </c>
      <c r="W413" s="5" t="s">
        <v>67</v>
      </c>
      <c r="X413" s="5" t="s">
        <v>67</v>
      </c>
      <c r="Y413" s="4">
        <v>169</v>
      </c>
      <c r="Z413" s="4">
        <v>17</v>
      </c>
      <c r="AA413" s="4">
        <v>47</v>
      </c>
      <c r="AB413" s="4">
        <v>2</v>
      </c>
      <c r="AC413" s="4">
        <v>9</v>
      </c>
      <c r="AD413" s="4">
        <v>38</v>
      </c>
      <c r="AE413" s="4">
        <v>123</v>
      </c>
      <c r="AF413" s="4">
        <v>1</v>
      </c>
      <c r="AG413" s="4">
        <v>5</v>
      </c>
      <c r="AH413" s="4">
        <v>31</v>
      </c>
      <c r="AI413" s="4">
        <v>98</v>
      </c>
      <c r="AJ413" s="4">
        <v>14</v>
      </c>
      <c r="AK413" s="4">
        <v>26</v>
      </c>
      <c r="AL413" s="4">
        <v>16</v>
      </c>
      <c r="AM413" s="4">
        <v>53</v>
      </c>
      <c r="AN413" s="4">
        <v>0</v>
      </c>
      <c r="AO413" s="4">
        <v>0</v>
      </c>
      <c r="AP413" s="4">
        <v>15</v>
      </c>
      <c r="AQ413" s="4">
        <v>35</v>
      </c>
      <c r="AR413" s="3" t="s">
        <v>62</v>
      </c>
      <c r="AS413" s="3" t="s">
        <v>62</v>
      </c>
      <c r="AT413" s="3" t="s">
        <v>62</v>
      </c>
      <c r="AV413" s="6" t="str">
        <f>HYPERLINK("http://mcgill.on.worldcat.org/oclc/189699863","Catalog Record")</f>
        <v>Catalog Record</v>
      </c>
      <c r="AW413" s="6" t="str">
        <f>HYPERLINK("http://www.worldcat.org/oclc/189699863","WorldCat Record")</f>
        <v>WorldCat Record</v>
      </c>
      <c r="AX413" s="3" t="s">
        <v>3897</v>
      </c>
      <c r="AY413" s="3" t="s">
        <v>3898</v>
      </c>
      <c r="AZ413" s="3" t="s">
        <v>3899</v>
      </c>
      <c r="BA413" s="3" t="s">
        <v>3899</v>
      </c>
      <c r="BB413" s="3" t="s">
        <v>3900</v>
      </c>
      <c r="BC413" s="3" t="s">
        <v>142</v>
      </c>
      <c r="BD413" s="3" t="s">
        <v>68</v>
      </c>
      <c r="BE413" s="3" t="s">
        <v>3901</v>
      </c>
      <c r="BF413" s="3" t="s">
        <v>3900</v>
      </c>
      <c r="BG413" s="3" t="s">
        <v>3902</v>
      </c>
    </row>
    <row r="414" spans="1:59" ht="57" x14ac:dyDescent="0.45">
      <c r="A414" s="2" t="s">
        <v>59</v>
      </c>
      <c r="B414" s="2" t="s">
        <v>60</v>
      </c>
      <c r="C414" s="2" t="s">
        <v>3903</v>
      </c>
      <c r="D414" s="2" t="s">
        <v>3904</v>
      </c>
      <c r="E414" s="2" t="s">
        <v>3905</v>
      </c>
      <c r="G414" s="3" t="s">
        <v>62</v>
      </c>
      <c r="I414" s="3" t="s">
        <v>62</v>
      </c>
      <c r="J414" s="3" t="s">
        <v>62</v>
      </c>
      <c r="K414" s="3" t="s">
        <v>63</v>
      </c>
      <c r="M414" s="2" t="s">
        <v>1009</v>
      </c>
      <c r="N414" s="3" t="s">
        <v>894</v>
      </c>
      <c r="P414" s="3" t="s">
        <v>65</v>
      </c>
      <c r="R414" s="3" t="s">
        <v>66</v>
      </c>
      <c r="S414" s="4">
        <v>2</v>
      </c>
      <c r="T414" s="4">
        <v>2</v>
      </c>
      <c r="U414" s="5" t="s">
        <v>544</v>
      </c>
      <c r="V414" s="5" t="s">
        <v>544</v>
      </c>
      <c r="W414" s="5" t="s">
        <v>67</v>
      </c>
      <c r="X414" s="5" t="s">
        <v>67</v>
      </c>
      <c r="Y414" s="4">
        <v>145</v>
      </c>
      <c r="Z414" s="4">
        <v>13</v>
      </c>
      <c r="AA414" s="4">
        <v>14</v>
      </c>
      <c r="AB414" s="4">
        <v>2</v>
      </c>
      <c r="AC414" s="4">
        <v>3</v>
      </c>
      <c r="AD414" s="4">
        <v>27</v>
      </c>
      <c r="AE414" s="4">
        <v>27</v>
      </c>
      <c r="AF414" s="4">
        <v>1</v>
      </c>
      <c r="AG414" s="4">
        <v>1</v>
      </c>
      <c r="AH414" s="4">
        <v>23</v>
      </c>
      <c r="AI414" s="4">
        <v>23</v>
      </c>
      <c r="AJ414" s="4">
        <v>8</v>
      </c>
      <c r="AK414" s="4">
        <v>8</v>
      </c>
      <c r="AL414" s="4">
        <v>12</v>
      </c>
      <c r="AM414" s="4">
        <v>12</v>
      </c>
      <c r="AN414" s="4">
        <v>0</v>
      </c>
      <c r="AO414" s="4">
        <v>0</v>
      </c>
      <c r="AP414" s="4">
        <v>9</v>
      </c>
      <c r="AQ414" s="4">
        <v>9</v>
      </c>
      <c r="AR414" s="3" t="s">
        <v>62</v>
      </c>
      <c r="AS414" s="3" t="s">
        <v>62</v>
      </c>
      <c r="AT414" s="3" t="s">
        <v>62</v>
      </c>
      <c r="AV414" s="6" t="str">
        <f>HYPERLINK("http://mcgill.on.worldcat.org/oclc/166361389","Catalog Record")</f>
        <v>Catalog Record</v>
      </c>
      <c r="AW414" s="6" t="str">
        <f>HYPERLINK("http://www.worldcat.org/oclc/166361389","WorldCat Record")</f>
        <v>WorldCat Record</v>
      </c>
      <c r="AX414" s="3" t="s">
        <v>3906</v>
      </c>
      <c r="AY414" s="3" t="s">
        <v>3907</v>
      </c>
      <c r="AZ414" s="3" t="s">
        <v>3908</v>
      </c>
      <c r="BA414" s="3" t="s">
        <v>3908</v>
      </c>
      <c r="BB414" s="3" t="s">
        <v>3909</v>
      </c>
      <c r="BC414" s="3" t="s">
        <v>142</v>
      </c>
      <c r="BD414" s="3" t="s">
        <v>68</v>
      </c>
      <c r="BE414" s="3" t="s">
        <v>3910</v>
      </c>
      <c r="BF414" s="3" t="s">
        <v>3909</v>
      </c>
      <c r="BG414" s="3" t="s">
        <v>3911</v>
      </c>
    </row>
    <row r="415" spans="1:59" ht="57" x14ac:dyDescent="0.45">
      <c r="A415" s="2" t="s">
        <v>59</v>
      </c>
      <c r="B415" s="2" t="s">
        <v>60</v>
      </c>
      <c r="C415" s="2" t="s">
        <v>3912</v>
      </c>
      <c r="D415" s="2" t="s">
        <v>3913</v>
      </c>
      <c r="E415" s="2" t="s">
        <v>3914</v>
      </c>
      <c r="G415" s="3" t="s">
        <v>62</v>
      </c>
      <c r="I415" s="3" t="s">
        <v>62</v>
      </c>
      <c r="J415" s="3" t="s">
        <v>62</v>
      </c>
      <c r="K415" s="3" t="s">
        <v>63</v>
      </c>
      <c r="M415" s="2" t="s">
        <v>3915</v>
      </c>
      <c r="N415" s="3" t="s">
        <v>1155</v>
      </c>
      <c r="P415" s="3" t="s">
        <v>65</v>
      </c>
      <c r="R415" s="3" t="s">
        <v>66</v>
      </c>
      <c r="S415" s="4">
        <v>0</v>
      </c>
      <c r="T415" s="4">
        <v>0</v>
      </c>
      <c r="W415" s="5" t="s">
        <v>67</v>
      </c>
      <c r="X415" s="5" t="s">
        <v>67</v>
      </c>
      <c r="Y415" s="4">
        <v>117</v>
      </c>
      <c r="Z415" s="4">
        <v>19</v>
      </c>
      <c r="AA415" s="4">
        <v>24</v>
      </c>
      <c r="AB415" s="4">
        <v>1</v>
      </c>
      <c r="AC415" s="4">
        <v>3</v>
      </c>
      <c r="AD415" s="4">
        <v>53</v>
      </c>
      <c r="AE415" s="4">
        <v>67</v>
      </c>
      <c r="AF415" s="4">
        <v>0</v>
      </c>
      <c r="AG415" s="4">
        <v>0</v>
      </c>
      <c r="AH415" s="4">
        <v>49</v>
      </c>
      <c r="AI415" s="4">
        <v>62</v>
      </c>
      <c r="AJ415" s="4">
        <v>14</v>
      </c>
      <c r="AK415" s="4">
        <v>16</v>
      </c>
      <c r="AL415" s="4">
        <v>24</v>
      </c>
      <c r="AM415" s="4">
        <v>32</v>
      </c>
      <c r="AN415" s="4">
        <v>0</v>
      </c>
      <c r="AO415" s="4">
        <v>0</v>
      </c>
      <c r="AP415" s="4">
        <v>14</v>
      </c>
      <c r="AQ415" s="4">
        <v>16</v>
      </c>
      <c r="AR415" s="3" t="s">
        <v>62</v>
      </c>
      <c r="AS415" s="3" t="s">
        <v>62</v>
      </c>
      <c r="AT415" s="3" t="s">
        <v>62</v>
      </c>
      <c r="AV415" s="6" t="str">
        <f>HYPERLINK("http://mcgill.on.worldcat.org/oclc/767864897","Catalog Record")</f>
        <v>Catalog Record</v>
      </c>
      <c r="AW415" s="6" t="str">
        <f>HYPERLINK("http://www.worldcat.org/oclc/767864897","WorldCat Record")</f>
        <v>WorldCat Record</v>
      </c>
      <c r="AX415" s="3" t="s">
        <v>3916</v>
      </c>
      <c r="AY415" s="3" t="s">
        <v>3917</v>
      </c>
      <c r="AZ415" s="3" t="s">
        <v>3918</v>
      </c>
      <c r="BA415" s="3" t="s">
        <v>3918</v>
      </c>
      <c r="BB415" s="3" t="s">
        <v>3919</v>
      </c>
      <c r="BC415" s="3" t="s">
        <v>142</v>
      </c>
      <c r="BD415" s="3" t="s">
        <v>68</v>
      </c>
      <c r="BE415" s="3" t="s">
        <v>3920</v>
      </c>
      <c r="BF415" s="3" t="s">
        <v>3919</v>
      </c>
      <c r="BG415" s="3" t="s">
        <v>3921</v>
      </c>
    </row>
    <row r="416" spans="1:59" ht="57" x14ac:dyDescent="0.45">
      <c r="A416" s="2" t="s">
        <v>59</v>
      </c>
      <c r="B416" s="2" t="s">
        <v>60</v>
      </c>
      <c r="C416" s="2" t="s">
        <v>3922</v>
      </c>
      <c r="D416" s="2" t="s">
        <v>3923</v>
      </c>
      <c r="E416" s="2" t="s">
        <v>3924</v>
      </c>
      <c r="G416" s="3" t="s">
        <v>62</v>
      </c>
      <c r="I416" s="3" t="s">
        <v>62</v>
      </c>
      <c r="J416" s="3" t="s">
        <v>62</v>
      </c>
      <c r="K416" s="3" t="s">
        <v>63</v>
      </c>
      <c r="M416" s="2" t="s">
        <v>3925</v>
      </c>
      <c r="N416" s="3" t="s">
        <v>149</v>
      </c>
      <c r="P416" s="3" t="s">
        <v>65</v>
      </c>
      <c r="Q416" s="2" t="s">
        <v>3926</v>
      </c>
      <c r="R416" s="3" t="s">
        <v>66</v>
      </c>
      <c r="S416" s="4">
        <v>1</v>
      </c>
      <c r="T416" s="4">
        <v>1</v>
      </c>
      <c r="U416" s="5" t="s">
        <v>3927</v>
      </c>
      <c r="V416" s="5" t="s">
        <v>3927</v>
      </c>
      <c r="W416" s="5" t="s">
        <v>67</v>
      </c>
      <c r="X416" s="5" t="s">
        <v>67</v>
      </c>
      <c r="Y416" s="4">
        <v>123</v>
      </c>
      <c r="Z416" s="4">
        <v>19</v>
      </c>
      <c r="AA416" s="4">
        <v>100</v>
      </c>
      <c r="AB416" s="4">
        <v>2</v>
      </c>
      <c r="AC416" s="4">
        <v>17</v>
      </c>
      <c r="AD416" s="4">
        <v>55</v>
      </c>
      <c r="AE416" s="4">
        <v>122</v>
      </c>
      <c r="AF416" s="4">
        <v>1</v>
      </c>
      <c r="AG416" s="4">
        <v>8</v>
      </c>
      <c r="AH416" s="4">
        <v>48</v>
      </c>
      <c r="AI416" s="4">
        <v>87</v>
      </c>
      <c r="AJ416" s="4">
        <v>14</v>
      </c>
      <c r="AK416" s="4">
        <v>24</v>
      </c>
      <c r="AL416" s="4">
        <v>30</v>
      </c>
      <c r="AM416" s="4">
        <v>43</v>
      </c>
      <c r="AN416" s="4">
        <v>0</v>
      </c>
      <c r="AO416" s="4">
        <v>0</v>
      </c>
      <c r="AP416" s="4">
        <v>15</v>
      </c>
      <c r="AQ416" s="4">
        <v>45</v>
      </c>
      <c r="AR416" s="3" t="s">
        <v>62</v>
      </c>
      <c r="AS416" s="3" t="s">
        <v>62</v>
      </c>
      <c r="AT416" s="3" t="s">
        <v>62</v>
      </c>
      <c r="AV416" s="6" t="str">
        <f>HYPERLINK("http://mcgill.on.worldcat.org/oclc/553371022","Catalog Record")</f>
        <v>Catalog Record</v>
      </c>
      <c r="AW416" s="6" t="str">
        <f>HYPERLINK("http://www.worldcat.org/oclc/553371022","WorldCat Record")</f>
        <v>WorldCat Record</v>
      </c>
      <c r="AX416" s="3" t="s">
        <v>3928</v>
      </c>
      <c r="AY416" s="3" t="s">
        <v>3929</v>
      </c>
      <c r="AZ416" s="3" t="s">
        <v>3930</v>
      </c>
      <c r="BA416" s="3" t="s">
        <v>3930</v>
      </c>
      <c r="BB416" s="3" t="s">
        <v>3931</v>
      </c>
      <c r="BC416" s="3" t="s">
        <v>142</v>
      </c>
      <c r="BD416" s="3" t="s">
        <v>68</v>
      </c>
      <c r="BE416" s="3" t="s">
        <v>3932</v>
      </c>
      <c r="BF416" s="3" t="s">
        <v>3931</v>
      </c>
      <c r="BG416" s="3" t="s">
        <v>3933</v>
      </c>
    </row>
    <row r="417" spans="1:59" ht="57" x14ac:dyDescent="0.45">
      <c r="A417" s="2" t="s">
        <v>59</v>
      </c>
      <c r="B417" s="2" t="s">
        <v>60</v>
      </c>
      <c r="C417" s="2" t="s">
        <v>3934</v>
      </c>
      <c r="D417" s="2" t="s">
        <v>3935</v>
      </c>
      <c r="E417" s="2" t="s">
        <v>3936</v>
      </c>
      <c r="G417" s="3" t="s">
        <v>62</v>
      </c>
      <c r="I417" s="3" t="s">
        <v>62</v>
      </c>
      <c r="J417" s="3" t="s">
        <v>62</v>
      </c>
      <c r="K417" s="3" t="s">
        <v>63</v>
      </c>
      <c r="L417" s="2" t="s">
        <v>3937</v>
      </c>
      <c r="M417" s="2" t="s">
        <v>3938</v>
      </c>
      <c r="N417" s="3" t="s">
        <v>1155</v>
      </c>
      <c r="P417" s="3" t="s">
        <v>65</v>
      </c>
      <c r="Q417" s="2" t="s">
        <v>3939</v>
      </c>
      <c r="R417" s="3" t="s">
        <v>66</v>
      </c>
      <c r="S417" s="4">
        <v>0</v>
      </c>
      <c r="T417" s="4">
        <v>0</v>
      </c>
      <c r="W417" s="5" t="s">
        <v>67</v>
      </c>
      <c r="X417" s="5" t="s">
        <v>67</v>
      </c>
      <c r="Y417" s="4">
        <v>69</v>
      </c>
      <c r="Z417" s="4">
        <v>9</v>
      </c>
      <c r="AA417" s="4">
        <v>9</v>
      </c>
      <c r="AB417" s="4">
        <v>1</v>
      </c>
      <c r="AC417" s="4">
        <v>1</v>
      </c>
      <c r="AD417" s="4">
        <v>44</v>
      </c>
      <c r="AE417" s="4">
        <v>45</v>
      </c>
      <c r="AF417" s="4">
        <v>0</v>
      </c>
      <c r="AG417" s="4">
        <v>0</v>
      </c>
      <c r="AH417" s="4">
        <v>42</v>
      </c>
      <c r="AI417" s="4">
        <v>43</v>
      </c>
      <c r="AJ417" s="4">
        <v>7</v>
      </c>
      <c r="AK417" s="4">
        <v>7</v>
      </c>
      <c r="AL417" s="4">
        <v>30</v>
      </c>
      <c r="AM417" s="4">
        <v>31</v>
      </c>
      <c r="AN417" s="4">
        <v>0</v>
      </c>
      <c r="AO417" s="4">
        <v>0</v>
      </c>
      <c r="AP417" s="4">
        <v>7</v>
      </c>
      <c r="AQ417" s="4">
        <v>7</v>
      </c>
      <c r="AR417" s="3" t="s">
        <v>62</v>
      </c>
      <c r="AS417" s="3" t="s">
        <v>62</v>
      </c>
      <c r="AT417" s="3" t="s">
        <v>62</v>
      </c>
      <c r="AV417" s="6" t="str">
        <f>HYPERLINK("http://mcgill.on.worldcat.org/oclc/812463731","Catalog Record")</f>
        <v>Catalog Record</v>
      </c>
      <c r="AW417" s="6" t="str">
        <f>HYPERLINK("http://www.worldcat.org/oclc/812463731","WorldCat Record")</f>
        <v>WorldCat Record</v>
      </c>
      <c r="AX417" s="3" t="s">
        <v>3940</v>
      </c>
      <c r="AY417" s="3" t="s">
        <v>3941</v>
      </c>
      <c r="AZ417" s="3" t="s">
        <v>3942</v>
      </c>
      <c r="BA417" s="3" t="s">
        <v>3942</v>
      </c>
      <c r="BB417" s="3" t="s">
        <v>3943</v>
      </c>
      <c r="BC417" s="3" t="s">
        <v>142</v>
      </c>
      <c r="BD417" s="3" t="s">
        <v>68</v>
      </c>
      <c r="BE417" s="3" t="s">
        <v>3944</v>
      </c>
      <c r="BF417" s="3" t="s">
        <v>3943</v>
      </c>
      <c r="BG417" s="3" t="s">
        <v>3945</v>
      </c>
    </row>
    <row r="418" spans="1:59" ht="57" x14ac:dyDescent="0.45">
      <c r="A418" s="2" t="s">
        <v>59</v>
      </c>
      <c r="B418" s="2" t="s">
        <v>60</v>
      </c>
      <c r="C418" s="2" t="s">
        <v>3946</v>
      </c>
      <c r="D418" s="2" t="s">
        <v>3947</v>
      </c>
      <c r="E418" s="2" t="s">
        <v>3948</v>
      </c>
      <c r="G418" s="3" t="s">
        <v>62</v>
      </c>
      <c r="I418" s="3" t="s">
        <v>62</v>
      </c>
      <c r="J418" s="3" t="s">
        <v>62</v>
      </c>
      <c r="K418" s="3" t="s">
        <v>63</v>
      </c>
      <c r="M418" s="2" t="s">
        <v>3386</v>
      </c>
      <c r="N418" s="3" t="s">
        <v>116</v>
      </c>
      <c r="P418" s="3" t="s">
        <v>65</v>
      </c>
      <c r="Q418" s="2" t="s">
        <v>3949</v>
      </c>
      <c r="R418" s="3" t="s">
        <v>66</v>
      </c>
      <c r="S418" s="4">
        <v>2</v>
      </c>
      <c r="T418" s="4">
        <v>2</v>
      </c>
      <c r="U418" s="5" t="s">
        <v>3950</v>
      </c>
      <c r="V418" s="5" t="s">
        <v>3950</v>
      </c>
      <c r="W418" s="5" t="s">
        <v>67</v>
      </c>
      <c r="X418" s="5" t="s">
        <v>67</v>
      </c>
      <c r="Y418" s="4">
        <v>201</v>
      </c>
      <c r="Z418" s="4">
        <v>21</v>
      </c>
      <c r="AA418" s="4">
        <v>35</v>
      </c>
      <c r="AB418" s="4">
        <v>3</v>
      </c>
      <c r="AC418" s="4">
        <v>5</v>
      </c>
      <c r="AD418" s="4">
        <v>76</v>
      </c>
      <c r="AE418" s="4">
        <v>97</v>
      </c>
      <c r="AF418" s="4">
        <v>1</v>
      </c>
      <c r="AG418" s="4">
        <v>2</v>
      </c>
      <c r="AH418" s="4">
        <v>63</v>
      </c>
      <c r="AI418" s="4">
        <v>79</v>
      </c>
      <c r="AJ418" s="4">
        <v>12</v>
      </c>
      <c r="AK418" s="4">
        <v>20</v>
      </c>
      <c r="AL418" s="4">
        <v>36</v>
      </c>
      <c r="AM418" s="4">
        <v>45</v>
      </c>
      <c r="AN418" s="4">
        <v>0</v>
      </c>
      <c r="AO418" s="4">
        <v>0</v>
      </c>
      <c r="AP418" s="4">
        <v>18</v>
      </c>
      <c r="AQ418" s="4">
        <v>27</v>
      </c>
      <c r="AR418" s="3" t="s">
        <v>62</v>
      </c>
      <c r="AS418" s="3" t="s">
        <v>62</v>
      </c>
      <c r="AT418" s="3" t="s">
        <v>62</v>
      </c>
      <c r="AV418" s="6" t="str">
        <f>HYPERLINK("http://mcgill.on.worldcat.org/oclc/794272261","Catalog Record")</f>
        <v>Catalog Record</v>
      </c>
      <c r="AW418" s="6" t="str">
        <f>HYPERLINK("http://www.worldcat.org/oclc/794272261","WorldCat Record")</f>
        <v>WorldCat Record</v>
      </c>
      <c r="AX418" s="3" t="s">
        <v>3951</v>
      </c>
      <c r="AY418" s="3" t="s">
        <v>3952</v>
      </c>
      <c r="AZ418" s="3" t="s">
        <v>3953</v>
      </c>
      <c r="BA418" s="3" t="s">
        <v>3953</v>
      </c>
      <c r="BB418" s="3" t="s">
        <v>3954</v>
      </c>
      <c r="BC418" s="3" t="s">
        <v>142</v>
      </c>
      <c r="BD418" s="3" t="s">
        <v>68</v>
      </c>
      <c r="BE418" s="3" t="s">
        <v>3955</v>
      </c>
      <c r="BF418" s="3" t="s">
        <v>3954</v>
      </c>
      <c r="BG418" s="3" t="s">
        <v>3956</v>
      </c>
    </row>
    <row r="419" spans="1:59" ht="57" x14ac:dyDescent="0.45">
      <c r="A419" s="2" t="s">
        <v>59</v>
      </c>
      <c r="B419" s="2" t="s">
        <v>60</v>
      </c>
      <c r="C419" s="2" t="s">
        <v>3957</v>
      </c>
      <c r="D419" s="2" t="s">
        <v>3958</v>
      </c>
      <c r="E419" s="2" t="s">
        <v>3959</v>
      </c>
      <c r="G419" s="3" t="s">
        <v>62</v>
      </c>
      <c r="H419" s="3" t="s">
        <v>3960</v>
      </c>
      <c r="I419" s="3" t="s">
        <v>62</v>
      </c>
      <c r="J419" s="3" t="s">
        <v>62</v>
      </c>
      <c r="K419" s="3" t="s">
        <v>63</v>
      </c>
      <c r="L419" s="2" t="s">
        <v>3961</v>
      </c>
      <c r="M419" s="2" t="s">
        <v>3962</v>
      </c>
      <c r="N419" s="3" t="s">
        <v>149</v>
      </c>
      <c r="O419" s="2" t="s">
        <v>168</v>
      </c>
      <c r="P419" s="3" t="s">
        <v>65</v>
      </c>
      <c r="R419" s="3" t="s">
        <v>66</v>
      </c>
      <c r="S419" s="4">
        <v>0</v>
      </c>
      <c r="T419" s="4">
        <v>0</v>
      </c>
      <c r="W419" s="5" t="s">
        <v>3963</v>
      </c>
      <c r="X419" s="5" t="s">
        <v>3963</v>
      </c>
      <c r="Y419" s="4">
        <v>233</v>
      </c>
      <c r="Z419" s="4">
        <v>20</v>
      </c>
      <c r="AA419" s="4">
        <v>84</v>
      </c>
      <c r="AB419" s="4">
        <v>2</v>
      </c>
      <c r="AC419" s="4">
        <v>15</v>
      </c>
      <c r="AD419" s="4">
        <v>83</v>
      </c>
      <c r="AE419" s="4">
        <v>138</v>
      </c>
      <c r="AF419" s="4">
        <v>1</v>
      </c>
      <c r="AG419" s="4">
        <v>8</v>
      </c>
      <c r="AH419" s="4">
        <v>73</v>
      </c>
      <c r="AI419" s="4">
        <v>101</v>
      </c>
      <c r="AJ419" s="4">
        <v>14</v>
      </c>
      <c r="AK419" s="4">
        <v>26</v>
      </c>
      <c r="AL419" s="4">
        <v>44</v>
      </c>
      <c r="AM419" s="4">
        <v>55</v>
      </c>
      <c r="AN419" s="4">
        <v>0</v>
      </c>
      <c r="AO419" s="4">
        <v>0</v>
      </c>
      <c r="AP419" s="4">
        <v>17</v>
      </c>
      <c r="AQ419" s="4">
        <v>46</v>
      </c>
      <c r="AR419" s="3" t="s">
        <v>62</v>
      </c>
      <c r="AS419" s="3" t="s">
        <v>62</v>
      </c>
      <c r="AT419" s="3" t="s">
        <v>62</v>
      </c>
      <c r="AV419" s="6" t="str">
        <f>HYPERLINK("http://mcgill.on.worldcat.org/oclc/436311268","Catalog Record")</f>
        <v>Catalog Record</v>
      </c>
      <c r="AW419" s="6" t="str">
        <f>HYPERLINK("http://www.worldcat.org/oclc/436311268","WorldCat Record")</f>
        <v>WorldCat Record</v>
      </c>
      <c r="AX419" s="3" t="s">
        <v>3964</v>
      </c>
      <c r="AY419" s="3" t="s">
        <v>3965</v>
      </c>
      <c r="AZ419" s="3" t="s">
        <v>3966</v>
      </c>
      <c r="BA419" s="3" t="s">
        <v>3966</v>
      </c>
      <c r="BB419" s="3" t="s">
        <v>3967</v>
      </c>
      <c r="BC419" s="3" t="s">
        <v>142</v>
      </c>
      <c r="BD419" s="3" t="s">
        <v>68</v>
      </c>
      <c r="BE419" s="3" t="s">
        <v>3968</v>
      </c>
      <c r="BF419" s="3" t="s">
        <v>3967</v>
      </c>
      <c r="BG419" s="3" t="s">
        <v>3969</v>
      </c>
    </row>
    <row r="420" spans="1:59" ht="57" x14ac:dyDescent="0.45">
      <c r="A420" s="2" t="s">
        <v>59</v>
      </c>
      <c r="B420" s="2" t="s">
        <v>60</v>
      </c>
      <c r="C420" s="2" t="s">
        <v>3970</v>
      </c>
      <c r="D420" s="2" t="s">
        <v>3971</v>
      </c>
      <c r="E420" s="2" t="s">
        <v>3972</v>
      </c>
      <c r="G420" s="3" t="s">
        <v>62</v>
      </c>
      <c r="I420" s="3" t="s">
        <v>62</v>
      </c>
      <c r="J420" s="3" t="s">
        <v>62</v>
      </c>
      <c r="K420" s="3" t="s">
        <v>63</v>
      </c>
      <c r="M420" s="2" t="s">
        <v>3973</v>
      </c>
      <c r="N420" s="3" t="s">
        <v>894</v>
      </c>
      <c r="P420" s="3" t="s">
        <v>65</v>
      </c>
      <c r="Q420" s="2" t="s">
        <v>3974</v>
      </c>
      <c r="R420" s="3" t="s">
        <v>66</v>
      </c>
      <c r="S420" s="4">
        <v>1</v>
      </c>
      <c r="T420" s="4">
        <v>1</v>
      </c>
      <c r="U420" s="5" t="s">
        <v>1526</v>
      </c>
      <c r="V420" s="5" t="s">
        <v>1526</v>
      </c>
      <c r="W420" s="5" t="s">
        <v>67</v>
      </c>
      <c r="X420" s="5" t="s">
        <v>67</v>
      </c>
      <c r="Y420" s="4">
        <v>97</v>
      </c>
      <c r="Z420" s="4">
        <v>8</v>
      </c>
      <c r="AA420" s="4">
        <v>101</v>
      </c>
      <c r="AB420" s="4">
        <v>1</v>
      </c>
      <c r="AC420" s="4">
        <v>17</v>
      </c>
      <c r="AD420" s="4">
        <v>47</v>
      </c>
      <c r="AE420" s="4">
        <v>121</v>
      </c>
      <c r="AF420" s="4">
        <v>0</v>
      </c>
      <c r="AG420" s="4">
        <v>8</v>
      </c>
      <c r="AH420" s="4">
        <v>43</v>
      </c>
      <c r="AI420" s="4">
        <v>85</v>
      </c>
      <c r="AJ420" s="4">
        <v>6</v>
      </c>
      <c r="AK420" s="4">
        <v>21</v>
      </c>
      <c r="AL420" s="4">
        <v>25</v>
      </c>
      <c r="AM420" s="4">
        <v>42</v>
      </c>
      <c r="AN420" s="4">
        <v>0</v>
      </c>
      <c r="AO420" s="4">
        <v>0</v>
      </c>
      <c r="AP420" s="4">
        <v>7</v>
      </c>
      <c r="AQ420" s="4">
        <v>44</v>
      </c>
      <c r="AR420" s="3" t="s">
        <v>62</v>
      </c>
      <c r="AS420" s="3" t="s">
        <v>62</v>
      </c>
      <c r="AT420" s="3" t="s">
        <v>62</v>
      </c>
      <c r="AV420" s="6" t="str">
        <f>HYPERLINK("http://mcgill.on.worldcat.org/oclc/747331895","Catalog Record")</f>
        <v>Catalog Record</v>
      </c>
      <c r="AW420" s="6" t="str">
        <f>HYPERLINK("http://www.worldcat.org/oclc/747331895","WorldCat Record")</f>
        <v>WorldCat Record</v>
      </c>
      <c r="AX420" s="3" t="s">
        <v>3975</v>
      </c>
      <c r="AY420" s="3" t="s">
        <v>3976</v>
      </c>
      <c r="AZ420" s="3" t="s">
        <v>3977</v>
      </c>
      <c r="BA420" s="3" t="s">
        <v>3977</v>
      </c>
      <c r="BB420" s="3" t="s">
        <v>3978</v>
      </c>
      <c r="BC420" s="3" t="s">
        <v>142</v>
      </c>
      <c r="BD420" s="3" t="s">
        <v>68</v>
      </c>
      <c r="BE420" s="3" t="s">
        <v>3979</v>
      </c>
      <c r="BF420" s="3" t="s">
        <v>3978</v>
      </c>
      <c r="BG420" s="3" t="s">
        <v>3980</v>
      </c>
    </row>
    <row r="421" spans="1:59" ht="57" x14ac:dyDescent="0.45">
      <c r="A421" s="2" t="s">
        <v>59</v>
      </c>
      <c r="B421" s="2" t="s">
        <v>60</v>
      </c>
      <c r="C421" s="2" t="s">
        <v>3981</v>
      </c>
      <c r="D421" s="2" t="s">
        <v>3982</v>
      </c>
      <c r="E421" s="2" t="s">
        <v>3983</v>
      </c>
      <c r="G421" s="3" t="s">
        <v>62</v>
      </c>
      <c r="I421" s="3" t="s">
        <v>62</v>
      </c>
      <c r="J421" s="3" t="s">
        <v>62</v>
      </c>
      <c r="K421" s="3" t="s">
        <v>63</v>
      </c>
      <c r="M421" s="2" t="s">
        <v>3984</v>
      </c>
      <c r="N421" s="3" t="s">
        <v>820</v>
      </c>
      <c r="P421" s="3" t="s">
        <v>65</v>
      </c>
      <c r="R421" s="3" t="s">
        <v>66</v>
      </c>
      <c r="S421" s="4">
        <v>7</v>
      </c>
      <c r="T421" s="4">
        <v>7</v>
      </c>
      <c r="U421" s="5" t="s">
        <v>3985</v>
      </c>
      <c r="V421" s="5" t="s">
        <v>3985</v>
      </c>
      <c r="W421" s="5" t="s">
        <v>67</v>
      </c>
      <c r="X421" s="5" t="s">
        <v>67</v>
      </c>
      <c r="Y421" s="4">
        <v>275</v>
      </c>
      <c r="Z421" s="4">
        <v>20</v>
      </c>
      <c r="AA421" s="4">
        <v>24</v>
      </c>
      <c r="AB421" s="4">
        <v>2</v>
      </c>
      <c r="AC421" s="4">
        <v>3</v>
      </c>
      <c r="AD421" s="4">
        <v>94</v>
      </c>
      <c r="AE421" s="4">
        <v>98</v>
      </c>
      <c r="AF421" s="4">
        <v>1</v>
      </c>
      <c r="AG421" s="4">
        <v>1</v>
      </c>
      <c r="AH421" s="4">
        <v>86</v>
      </c>
      <c r="AI421" s="4">
        <v>89</v>
      </c>
      <c r="AJ421" s="4">
        <v>11</v>
      </c>
      <c r="AK421" s="4">
        <v>13</v>
      </c>
      <c r="AL421" s="4">
        <v>48</v>
      </c>
      <c r="AM421" s="4">
        <v>49</v>
      </c>
      <c r="AN421" s="4">
        <v>0</v>
      </c>
      <c r="AO421" s="4">
        <v>0</v>
      </c>
      <c r="AP421" s="4">
        <v>16</v>
      </c>
      <c r="AQ421" s="4">
        <v>18</v>
      </c>
      <c r="AR421" s="3" t="s">
        <v>62</v>
      </c>
      <c r="AS421" s="3" t="s">
        <v>62</v>
      </c>
      <c r="AT421" s="3" t="s">
        <v>61</v>
      </c>
      <c r="AU421" s="6" t="str">
        <f>HYPERLINK("http://catalog.hathitrust.org/Record/005664451","HathiTrust Record")</f>
        <v>HathiTrust Record</v>
      </c>
      <c r="AV421" s="6" t="str">
        <f>HYPERLINK("http://mcgill.on.worldcat.org/oclc/86090385","Catalog Record")</f>
        <v>Catalog Record</v>
      </c>
      <c r="AW421" s="6" t="str">
        <f>HYPERLINK("http://www.worldcat.org/oclc/86090385","WorldCat Record")</f>
        <v>WorldCat Record</v>
      </c>
      <c r="AX421" s="3" t="s">
        <v>3986</v>
      </c>
      <c r="AY421" s="3" t="s">
        <v>3987</v>
      </c>
      <c r="AZ421" s="3" t="s">
        <v>3988</v>
      </c>
      <c r="BA421" s="3" t="s">
        <v>3988</v>
      </c>
      <c r="BB421" s="3" t="s">
        <v>3989</v>
      </c>
      <c r="BC421" s="3" t="s">
        <v>142</v>
      </c>
      <c r="BD421" s="3" t="s">
        <v>68</v>
      </c>
      <c r="BE421" s="3" t="s">
        <v>3990</v>
      </c>
      <c r="BF421" s="3" t="s">
        <v>3989</v>
      </c>
      <c r="BG421" s="3" t="s">
        <v>3991</v>
      </c>
    </row>
    <row r="422" spans="1:59" ht="57" x14ac:dyDescent="0.45">
      <c r="A422" s="2" t="s">
        <v>59</v>
      </c>
      <c r="B422" s="2" t="s">
        <v>60</v>
      </c>
      <c r="C422" s="2" t="s">
        <v>3992</v>
      </c>
      <c r="D422" s="2" t="s">
        <v>3993</v>
      </c>
      <c r="E422" s="2" t="s">
        <v>3994</v>
      </c>
      <c r="G422" s="3" t="s">
        <v>62</v>
      </c>
      <c r="I422" s="3" t="s">
        <v>62</v>
      </c>
      <c r="J422" s="3" t="s">
        <v>62</v>
      </c>
      <c r="K422" s="3" t="s">
        <v>63</v>
      </c>
      <c r="L422" s="2" t="s">
        <v>3995</v>
      </c>
      <c r="M422" s="2" t="s">
        <v>3996</v>
      </c>
      <c r="N422" s="3" t="s">
        <v>1059</v>
      </c>
      <c r="P422" s="3" t="s">
        <v>65</v>
      </c>
      <c r="Q422" s="2" t="s">
        <v>3997</v>
      </c>
      <c r="R422" s="3" t="s">
        <v>66</v>
      </c>
      <c r="S422" s="4">
        <v>10</v>
      </c>
      <c r="T422" s="4">
        <v>10</v>
      </c>
      <c r="U422" s="5" t="s">
        <v>3998</v>
      </c>
      <c r="V422" s="5" t="s">
        <v>3998</v>
      </c>
      <c r="W422" s="5" t="s">
        <v>67</v>
      </c>
      <c r="X422" s="5" t="s">
        <v>67</v>
      </c>
      <c r="Y422" s="4">
        <v>219</v>
      </c>
      <c r="Z422" s="4">
        <v>12</v>
      </c>
      <c r="AA422" s="4">
        <v>82</v>
      </c>
      <c r="AB422" s="4">
        <v>1</v>
      </c>
      <c r="AC422" s="4">
        <v>14</v>
      </c>
      <c r="AD422" s="4">
        <v>83</v>
      </c>
      <c r="AE422" s="4">
        <v>136</v>
      </c>
      <c r="AF422" s="4">
        <v>0</v>
      </c>
      <c r="AG422" s="4">
        <v>8</v>
      </c>
      <c r="AH422" s="4">
        <v>78</v>
      </c>
      <c r="AI422" s="4">
        <v>102</v>
      </c>
      <c r="AJ422" s="4">
        <v>7</v>
      </c>
      <c r="AK422" s="4">
        <v>23</v>
      </c>
      <c r="AL422" s="4">
        <v>49</v>
      </c>
      <c r="AM422" s="4">
        <v>55</v>
      </c>
      <c r="AN422" s="4">
        <v>0</v>
      </c>
      <c r="AO422" s="4">
        <v>0</v>
      </c>
      <c r="AP422" s="4">
        <v>9</v>
      </c>
      <c r="AQ422" s="4">
        <v>44</v>
      </c>
      <c r="AR422" s="3" t="s">
        <v>62</v>
      </c>
      <c r="AS422" s="3" t="s">
        <v>62</v>
      </c>
      <c r="AT422" s="3" t="s">
        <v>62</v>
      </c>
      <c r="AV422" s="6" t="str">
        <f>HYPERLINK("http://mcgill.on.worldcat.org/oclc/62532858","Catalog Record")</f>
        <v>Catalog Record</v>
      </c>
      <c r="AW422" s="6" t="str">
        <f>HYPERLINK("http://www.worldcat.org/oclc/62532858","WorldCat Record")</f>
        <v>WorldCat Record</v>
      </c>
      <c r="AX422" s="3" t="s">
        <v>3999</v>
      </c>
      <c r="AY422" s="3" t="s">
        <v>4000</v>
      </c>
      <c r="AZ422" s="3" t="s">
        <v>4001</v>
      </c>
      <c r="BA422" s="3" t="s">
        <v>4001</v>
      </c>
      <c r="BB422" s="3" t="s">
        <v>4002</v>
      </c>
      <c r="BC422" s="3" t="s">
        <v>142</v>
      </c>
      <c r="BD422" s="3" t="s">
        <v>68</v>
      </c>
      <c r="BE422" s="3" t="s">
        <v>4003</v>
      </c>
      <c r="BF422" s="3" t="s">
        <v>4002</v>
      </c>
      <c r="BG422" s="3" t="s">
        <v>4004</v>
      </c>
    </row>
    <row r="423" spans="1:59" ht="57" x14ac:dyDescent="0.45">
      <c r="A423" s="2" t="s">
        <v>59</v>
      </c>
      <c r="B423" s="2" t="s">
        <v>60</v>
      </c>
      <c r="C423" s="2" t="s">
        <v>4005</v>
      </c>
      <c r="D423" s="2" t="s">
        <v>4006</v>
      </c>
      <c r="E423" s="2" t="s">
        <v>4007</v>
      </c>
      <c r="G423" s="3" t="s">
        <v>62</v>
      </c>
      <c r="I423" s="3" t="s">
        <v>62</v>
      </c>
      <c r="J423" s="3" t="s">
        <v>62</v>
      </c>
      <c r="K423" s="3" t="s">
        <v>63</v>
      </c>
      <c r="L423" s="2" t="s">
        <v>4008</v>
      </c>
      <c r="M423" s="2" t="s">
        <v>4009</v>
      </c>
      <c r="N423" s="3" t="s">
        <v>149</v>
      </c>
      <c r="P423" s="3" t="s">
        <v>65</v>
      </c>
      <c r="Q423" s="2" t="s">
        <v>4010</v>
      </c>
      <c r="R423" s="3" t="s">
        <v>66</v>
      </c>
      <c r="S423" s="4">
        <v>2</v>
      </c>
      <c r="T423" s="4">
        <v>2</v>
      </c>
      <c r="U423" s="5" t="s">
        <v>3588</v>
      </c>
      <c r="V423" s="5" t="s">
        <v>3588</v>
      </c>
      <c r="W423" s="5" t="s">
        <v>67</v>
      </c>
      <c r="X423" s="5" t="s">
        <v>67</v>
      </c>
      <c r="Y423" s="4">
        <v>189</v>
      </c>
      <c r="Z423" s="4">
        <v>22</v>
      </c>
      <c r="AA423" s="4">
        <v>83</v>
      </c>
      <c r="AB423" s="4">
        <v>2</v>
      </c>
      <c r="AC423" s="4">
        <v>15</v>
      </c>
      <c r="AD423" s="4">
        <v>73</v>
      </c>
      <c r="AE423" s="4">
        <v>129</v>
      </c>
      <c r="AF423" s="4">
        <v>1</v>
      </c>
      <c r="AG423" s="4">
        <v>8</v>
      </c>
      <c r="AH423" s="4">
        <v>66</v>
      </c>
      <c r="AI423" s="4">
        <v>94</v>
      </c>
      <c r="AJ423" s="4">
        <v>16</v>
      </c>
      <c r="AK423" s="4">
        <v>25</v>
      </c>
      <c r="AL423" s="4">
        <v>39</v>
      </c>
      <c r="AM423" s="4">
        <v>50</v>
      </c>
      <c r="AN423" s="4">
        <v>0</v>
      </c>
      <c r="AO423" s="4">
        <v>0</v>
      </c>
      <c r="AP423" s="4">
        <v>17</v>
      </c>
      <c r="AQ423" s="4">
        <v>45</v>
      </c>
      <c r="AR423" s="3" t="s">
        <v>62</v>
      </c>
      <c r="AS423" s="3" t="s">
        <v>62</v>
      </c>
      <c r="AT423" s="3" t="s">
        <v>62</v>
      </c>
      <c r="AV423" s="6" t="str">
        <f>HYPERLINK("http://mcgill.on.worldcat.org/oclc/317928166","Catalog Record")</f>
        <v>Catalog Record</v>
      </c>
      <c r="AW423" s="6" t="str">
        <f>HYPERLINK("http://www.worldcat.org/oclc/317928166","WorldCat Record")</f>
        <v>WorldCat Record</v>
      </c>
      <c r="AX423" s="3" t="s">
        <v>4011</v>
      </c>
      <c r="AY423" s="3" t="s">
        <v>4012</v>
      </c>
      <c r="AZ423" s="3" t="s">
        <v>4013</v>
      </c>
      <c r="BA423" s="3" t="s">
        <v>4013</v>
      </c>
      <c r="BB423" s="3" t="s">
        <v>4014</v>
      </c>
      <c r="BC423" s="3" t="s">
        <v>142</v>
      </c>
      <c r="BD423" s="3" t="s">
        <v>68</v>
      </c>
      <c r="BE423" s="3" t="s">
        <v>4015</v>
      </c>
      <c r="BF423" s="3" t="s">
        <v>4014</v>
      </c>
      <c r="BG423" s="3" t="s">
        <v>4016</v>
      </c>
    </row>
    <row r="424" spans="1:59" ht="57" x14ac:dyDescent="0.45">
      <c r="A424" s="2" t="s">
        <v>59</v>
      </c>
      <c r="B424" s="2" t="s">
        <v>60</v>
      </c>
      <c r="C424" s="2" t="s">
        <v>4017</v>
      </c>
      <c r="D424" s="2" t="s">
        <v>4018</v>
      </c>
      <c r="E424" s="2" t="s">
        <v>4019</v>
      </c>
      <c r="G424" s="3" t="s">
        <v>62</v>
      </c>
      <c r="I424" s="3" t="s">
        <v>61</v>
      </c>
      <c r="J424" s="3" t="s">
        <v>62</v>
      </c>
      <c r="K424" s="3" t="s">
        <v>63</v>
      </c>
      <c r="M424" s="2" t="s">
        <v>4020</v>
      </c>
      <c r="N424" s="3" t="s">
        <v>117</v>
      </c>
      <c r="P424" s="3" t="s">
        <v>65</v>
      </c>
      <c r="Q424" s="2" t="s">
        <v>4021</v>
      </c>
      <c r="R424" s="3" t="s">
        <v>66</v>
      </c>
      <c r="S424" s="4">
        <v>10</v>
      </c>
      <c r="T424" s="4">
        <v>13</v>
      </c>
      <c r="U424" s="5" t="s">
        <v>4022</v>
      </c>
      <c r="V424" s="5" t="s">
        <v>4022</v>
      </c>
      <c r="W424" s="5" t="s">
        <v>67</v>
      </c>
      <c r="X424" s="5" t="s">
        <v>67</v>
      </c>
      <c r="Y424" s="4">
        <v>510</v>
      </c>
      <c r="Z424" s="4">
        <v>31</v>
      </c>
      <c r="AA424" s="4">
        <v>90</v>
      </c>
      <c r="AB424" s="4">
        <v>4</v>
      </c>
      <c r="AC424" s="4">
        <v>15</v>
      </c>
      <c r="AD424" s="4">
        <v>104</v>
      </c>
      <c r="AE424" s="4">
        <v>136</v>
      </c>
      <c r="AF424" s="4">
        <v>2</v>
      </c>
      <c r="AG424" s="4">
        <v>8</v>
      </c>
      <c r="AH424" s="4">
        <v>88</v>
      </c>
      <c r="AI424" s="4">
        <v>99</v>
      </c>
      <c r="AJ424" s="4">
        <v>18</v>
      </c>
      <c r="AK424" s="4">
        <v>26</v>
      </c>
      <c r="AL424" s="4">
        <v>47</v>
      </c>
      <c r="AM424" s="4">
        <v>50</v>
      </c>
      <c r="AN424" s="4">
        <v>0</v>
      </c>
      <c r="AO424" s="4">
        <v>0</v>
      </c>
      <c r="AP424" s="4">
        <v>23</v>
      </c>
      <c r="AQ424" s="4">
        <v>46</v>
      </c>
      <c r="AR424" s="3" t="s">
        <v>62</v>
      </c>
      <c r="AS424" s="3" t="s">
        <v>62</v>
      </c>
      <c r="AT424" s="3" t="s">
        <v>61</v>
      </c>
      <c r="AU424" s="6" t="str">
        <f>HYPERLINK("http://catalog.hathitrust.org/Record/000085352","HathiTrust Record")</f>
        <v>HathiTrust Record</v>
      </c>
      <c r="AV424" s="6" t="str">
        <f>HYPERLINK("http://mcgill.on.worldcat.org/oclc/7059755","Catalog Record")</f>
        <v>Catalog Record</v>
      </c>
      <c r="AW424" s="6" t="str">
        <f>HYPERLINK("http://www.worldcat.org/oclc/7059755","WorldCat Record")</f>
        <v>WorldCat Record</v>
      </c>
      <c r="AX424" s="3" t="s">
        <v>4023</v>
      </c>
      <c r="AY424" s="3" t="s">
        <v>4024</v>
      </c>
      <c r="AZ424" s="3" t="s">
        <v>4025</v>
      </c>
      <c r="BA424" s="3" t="s">
        <v>4025</v>
      </c>
      <c r="BB424" s="3" t="s">
        <v>4026</v>
      </c>
      <c r="BC424" s="3" t="s">
        <v>142</v>
      </c>
      <c r="BD424" s="3" t="s">
        <v>68</v>
      </c>
      <c r="BE424" s="3" t="s">
        <v>4027</v>
      </c>
      <c r="BF424" s="3" t="s">
        <v>4026</v>
      </c>
      <c r="BG424" s="3" t="s">
        <v>4028</v>
      </c>
    </row>
    <row r="425" spans="1:59" ht="57" x14ac:dyDescent="0.45">
      <c r="A425" s="2" t="s">
        <v>59</v>
      </c>
      <c r="B425" s="2" t="s">
        <v>60</v>
      </c>
      <c r="C425" s="2" t="s">
        <v>4017</v>
      </c>
      <c r="D425" s="2" t="s">
        <v>4018</v>
      </c>
      <c r="E425" s="2" t="s">
        <v>4019</v>
      </c>
      <c r="G425" s="3" t="s">
        <v>62</v>
      </c>
      <c r="I425" s="3" t="s">
        <v>61</v>
      </c>
      <c r="J425" s="3" t="s">
        <v>62</v>
      </c>
      <c r="K425" s="3" t="s">
        <v>63</v>
      </c>
      <c r="M425" s="2" t="s">
        <v>4020</v>
      </c>
      <c r="N425" s="3" t="s">
        <v>117</v>
      </c>
      <c r="P425" s="3" t="s">
        <v>65</v>
      </c>
      <c r="Q425" s="2" t="s">
        <v>4021</v>
      </c>
      <c r="R425" s="3" t="s">
        <v>66</v>
      </c>
      <c r="S425" s="4">
        <v>3</v>
      </c>
      <c r="T425" s="4">
        <v>13</v>
      </c>
      <c r="U425" s="5" t="s">
        <v>4029</v>
      </c>
      <c r="V425" s="5" t="s">
        <v>4022</v>
      </c>
      <c r="W425" s="5" t="s">
        <v>67</v>
      </c>
      <c r="X425" s="5" t="s">
        <v>67</v>
      </c>
      <c r="Y425" s="4">
        <v>510</v>
      </c>
      <c r="Z425" s="4">
        <v>31</v>
      </c>
      <c r="AA425" s="4">
        <v>90</v>
      </c>
      <c r="AB425" s="4">
        <v>4</v>
      </c>
      <c r="AC425" s="4">
        <v>15</v>
      </c>
      <c r="AD425" s="4">
        <v>104</v>
      </c>
      <c r="AE425" s="4">
        <v>136</v>
      </c>
      <c r="AF425" s="4">
        <v>2</v>
      </c>
      <c r="AG425" s="4">
        <v>8</v>
      </c>
      <c r="AH425" s="4">
        <v>88</v>
      </c>
      <c r="AI425" s="4">
        <v>99</v>
      </c>
      <c r="AJ425" s="4">
        <v>18</v>
      </c>
      <c r="AK425" s="4">
        <v>26</v>
      </c>
      <c r="AL425" s="4">
        <v>47</v>
      </c>
      <c r="AM425" s="4">
        <v>50</v>
      </c>
      <c r="AN425" s="4">
        <v>0</v>
      </c>
      <c r="AO425" s="4">
        <v>0</v>
      </c>
      <c r="AP425" s="4">
        <v>23</v>
      </c>
      <c r="AQ425" s="4">
        <v>46</v>
      </c>
      <c r="AR425" s="3" t="s">
        <v>62</v>
      </c>
      <c r="AS425" s="3" t="s">
        <v>62</v>
      </c>
      <c r="AT425" s="3" t="s">
        <v>61</v>
      </c>
      <c r="AU425" s="6" t="str">
        <f>HYPERLINK("http://catalog.hathitrust.org/Record/000085352","HathiTrust Record")</f>
        <v>HathiTrust Record</v>
      </c>
      <c r="AV425" s="6" t="str">
        <f>HYPERLINK("http://mcgill.on.worldcat.org/oclc/7059755","Catalog Record")</f>
        <v>Catalog Record</v>
      </c>
      <c r="AW425" s="6" t="str">
        <f>HYPERLINK("http://www.worldcat.org/oclc/7059755","WorldCat Record")</f>
        <v>WorldCat Record</v>
      </c>
      <c r="AX425" s="3" t="s">
        <v>4023</v>
      </c>
      <c r="AY425" s="3" t="s">
        <v>4024</v>
      </c>
      <c r="AZ425" s="3" t="s">
        <v>4025</v>
      </c>
      <c r="BA425" s="3" t="s">
        <v>4025</v>
      </c>
      <c r="BB425" s="3" t="s">
        <v>4030</v>
      </c>
      <c r="BC425" s="3" t="s">
        <v>142</v>
      </c>
      <c r="BD425" s="3" t="s">
        <v>68</v>
      </c>
      <c r="BE425" s="3" t="s">
        <v>4027</v>
      </c>
      <c r="BF425" s="3" t="s">
        <v>4030</v>
      </c>
      <c r="BG425" s="3" t="s">
        <v>4031</v>
      </c>
    </row>
    <row r="426" spans="1:59" ht="57" x14ac:dyDescent="0.45">
      <c r="A426" s="2" t="s">
        <v>59</v>
      </c>
      <c r="B426" s="2" t="s">
        <v>60</v>
      </c>
      <c r="C426" s="2" t="s">
        <v>4032</v>
      </c>
      <c r="D426" s="2" t="s">
        <v>4033</v>
      </c>
      <c r="E426" s="2" t="s">
        <v>4034</v>
      </c>
      <c r="G426" s="3" t="s">
        <v>62</v>
      </c>
      <c r="I426" s="3" t="s">
        <v>62</v>
      </c>
      <c r="J426" s="3" t="s">
        <v>61</v>
      </c>
      <c r="K426" s="3" t="s">
        <v>63</v>
      </c>
      <c r="L426" s="2" t="s">
        <v>4035</v>
      </c>
      <c r="M426" s="2" t="s">
        <v>4036</v>
      </c>
      <c r="N426" s="3" t="s">
        <v>1212</v>
      </c>
      <c r="O426" s="2" t="s">
        <v>933</v>
      </c>
      <c r="P426" s="3" t="s">
        <v>65</v>
      </c>
      <c r="R426" s="3" t="s">
        <v>66</v>
      </c>
      <c r="S426" s="4">
        <v>21</v>
      </c>
      <c r="T426" s="4">
        <v>21</v>
      </c>
      <c r="U426" s="5" t="s">
        <v>4037</v>
      </c>
      <c r="V426" s="5" t="s">
        <v>4037</v>
      </c>
      <c r="W426" s="5" t="s">
        <v>67</v>
      </c>
      <c r="X426" s="5" t="s">
        <v>67</v>
      </c>
      <c r="Y426" s="4">
        <v>495</v>
      </c>
      <c r="Z426" s="4">
        <v>28</v>
      </c>
      <c r="AA426" s="4">
        <v>110</v>
      </c>
      <c r="AB426" s="4">
        <v>3</v>
      </c>
      <c r="AC426" s="4">
        <v>17</v>
      </c>
      <c r="AD426" s="4">
        <v>99</v>
      </c>
      <c r="AE426" s="4">
        <v>152</v>
      </c>
      <c r="AF426" s="4">
        <v>2</v>
      </c>
      <c r="AG426" s="4">
        <v>8</v>
      </c>
      <c r="AH426" s="4">
        <v>86</v>
      </c>
      <c r="AI426" s="4">
        <v>110</v>
      </c>
      <c r="AJ426" s="4">
        <v>16</v>
      </c>
      <c r="AK426" s="4">
        <v>27</v>
      </c>
      <c r="AL426" s="4">
        <v>43</v>
      </c>
      <c r="AM426" s="4">
        <v>57</v>
      </c>
      <c r="AN426" s="4">
        <v>0</v>
      </c>
      <c r="AO426" s="4">
        <v>0</v>
      </c>
      <c r="AP426" s="4">
        <v>23</v>
      </c>
      <c r="AQ426" s="4">
        <v>52</v>
      </c>
      <c r="AR426" s="3" t="s">
        <v>62</v>
      </c>
      <c r="AS426" s="3" t="s">
        <v>62</v>
      </c>
      <c r="AT426" s="3" t="s">
        <v>61</v>
      </c>
      <c r="AU426" s="6" t="str">
        <f>HYPERLINK("http://catalog.hathitrust.org/Record/004131640","HathiTrust Record")</f>
        <v>HathiTrust Record</v>
      </c>
      <c r="AV426" s="6" t="str">
        <f>HYPERLINK("http://mcgill.on.worldcat.org/oclc/43458125","Catalog Record")</f>
        <v>Catalog Record</v>
      </c>
      <c r="AW426" s="6" t="str">
        <f>HYPERLINK("http://www.worldcat.org/oclc/43458125","WorldCat Record")</f>
        <v>WorldCat Record</v>
      </c>
      <c r="AX426" s="3" t="s">
        <v>4038</v>
      </c>
      <c r="AY426" s="3" t="s">
        <v>4039</v>
      </c>
      <c r="AZ426" s="3" t="s">
        <v>4040</v>
      </c>
      <c r="BA426" s="3" t="s">
        <v>4040</v>
      </c>
      <c r="BB426" s="3" t="s">
        <v>4041</v>
      </c>
      <c r="BC426" s="3" t="s">
        <v>142</v>
      </c>
      <c r="BD426" s="3" t="s">
        <v>308</v>
      </c>
      <c r="BE426" s="3" t="s">
        <v>4042</v>
      </c>
      <c r="BF426" s="3" t="s">
        <v>4041</v>
      </c>
      <c r="BG426" s="3" t="s">
        <v>4043</v>
      </c>
    </row>
    <row r="427" spans="1:59" ht="57" x14ac:dyDescent="0.45">
      <c r="A427" s="2" t="s">
        <v>59</v>
      </c>
      <c r="B427" s="2" t="s">
        <v>60</v>
      </c>
      <c r="C427" s="2" t="s">
        <v>4044</v>
      </c>
      <c r="D427" s="2" t="s">
        <v>4045</v>
      </c>
      <c r="E427" s="2" t="s">
        <v>4046</v>
      </c>
      <c r="G427" s="3" t="s">
        <v>62</v>
      </c>
      <c r="I427" s="3" t="s">
        <v>62</v>
      </c>
      <c r="J427" s="3" t="s">
        <v>62</v>
      </c>
      <c r="K427" s="3" t="s">
        <v>63</v>
      </c>
      <c r="M427" s="2" t="s">
        <v>4047</v>
      </c>
      <c r="N427" s="3" t="s">
        <v>945</v>
      </c>
      <c r="P427" s="3" t="s">
        <v>65</v>
      </c>
      <c r="R427" s="3" t="s">
        <v>66</v>
      </c>
      <c r="S427" s="4">
        <v>7</v>
      </c>
      <c r="T427" s="4">
        <v>7</v>
      </c>
      <c r="U427" s="5" t="s">
        <v>3850</v>
      </c>
      <c r="V427" s="5" t="s">
        <v>3850</v>
      </c>
      <c r="W427" s="5" t="s">
        <v>67</v>
      </c>
      <c r="X427" s="5" t="s">
        <v>67</v>
      </c>
      <c r="Y427" s="4">
        <v>274</v>
      </c>
      <c r="Z427" s="4">
        <v>25</v>
      </c>
      <c r="AA427" s="4">
        <v>59</v>
      </c>
      <c r="AB427" s="4">
        <v>2</v>
      </c>
      <c r="AC427" s="4">
        <v>15</v>
      </c>
      <c r="AD427" s="4">
        <v>96</v>
      </c>
      <c r="AE427" s="4">
        <v>125</v>
      </c>
      <c r="AF427" s="4">
        <v>1</v>
      </c>
      <c r="AG427" s="4">
        <v>7</v>
      </c>
      <c r="AH427" s="4">
        <v>87</v>
      </c>
      <c r="AI427" s="4">
        <v>92</v>
      </c>
      <c r="AJ427" s="4">
        <v>18</v>
      </c>
      <c r="AK427" s="4">
        <v>23</v>
      </c>
      <c r="AL427" s="4">
        <v>46</v>
      </c>
      <c r="AM427" s="4">
        <v>46</v>
      </c>
      <c r="AN427" s="4">
        <v>0</v>
      </c>
      <c r="AO427" s="4">
        <v>0</v>
      </c>
      <c r="AP427" s="4">
        <v>20</v>
      </c>
      <c r="AQ427" s="4">
        <v>44</v>
      </c>
      <c r="AR427" s="3" t="s">
        <v>62</v>
      </c>
      <c r="AS427" s="3" t="s">
        <v>62</v>
      </c>
      <c r="AT427" s="3" t="s">
        <v>62</v>
      </c>
      <c r="AV427" s="6" t="str">
        <f>HYPERLINK("http://mcgill.on.worldcat.org/oclc/67239841","Catalog Record")</f>
        <v>Catalog Record</v>
      </c>
      <c r="AW427" s="6" t="str">
        <f>HYPERLINK("http://www.worldcat.org/oclc/67239841","WorldCat Record")</f>
        <v>WorldCat Record</v>
      </c>
      <c r="AX427" s="3" t="s">
        <v>4048</v>
      </c>
      <c r="AY427" s="3" t="s">
        <v>4049</v>
      </c>
      <c r="AZ427" s="3" t="s">
        <v>4050</v>
      </c>
      <c r="BA427" s="3" t="s">
        <v>4050</v>
      </c>
      <c r="BB427" s="3" t="s">
        <v>4051</v>
      </c>
      <c r="BC427" s="3" t="s">
        <v>142</v>
      </c>
      <c r="BD427" s="3" t="s">
        <v>68</v>
      </c>
      <c r="BE427" s="3" t="s">
        <v>4052</v>
      </c>
      <c r="BF427" s="3" t="s">
        <v>4051</v>
      </c>
      <c r="BG427" s="3" t="s">
        <v>4053</v>
      </c>
    </row>
    <row r="428" spans="1:59" ht="57" x14ac:dyDescent="0.45">
      <c r="A428" s="2" t="s">
        <v>59</v>
      </c>
      <c r="B428" s="2" t="s">
        <v>60</v>
      </c>
      <c r="C428" s="2" t="s">
        <v>4054</v>
      </c>
      <c r="D428" s="2" t="s">
        <v>4055</v>
      </c>
      <c r="E428" s="2" t="s">
        <v>4056</v>
      </c>
      <c r="G428" s="3" t="s">
        <v>62</v>
      </c>
      <c r="I428" s="3" t="s">
        <v>62</v>
      </c>
      <c r="J428" s="3" t="s">
        <v>62</v>
      </c>
      <c r="K428" s="3" t="s">
        <v>63</v>
      </c>
      <c r="M428" s="2" t="s">
        <v>4057</v>
      </c>
      <c r="N428" s="3" t="s">
        <v>149</v>
      </c>
      <c r="P428" s="3" t="s">
        <v>65</v>
      </c>
      <c r="R428" s="3" t="s">
        <v>66</v>
      </c>
      <c r="S428" s="4">
        <v>4</v>
      </c>
      <c r="T428" s="4">
        <v>4</v>
      </c>
      <c r="U428" s="5" t="s">
        <v>4058</v>
      </c>
      <c r="V428" s="5" t="s">
        <v>4058</v>
      </c>
      <c r="W428" s="5" t="s">
        <v>67</v>
      </c>
      <c r="X428" s="5" t="s">
        <v>67</v>
      </c>
      <c r="Y428" s="4">
        <v>206</v>
      </c>
      <c r="Z428" s="4">
        <v>20</v>
      </c>
      <c r="AA428" s="4">
        <v>84</v>
      </c>
      <c r="AB428" s="4">
        <v>2</v>
      </c>
      <c r="AC428" s="4">
        <v>16</v>
      </c>
      <c r="AD428" s="4">
        <v>64</v>
      </c>
      <c r="AE428" s="4">
        <v>124</v>
      </c>
      <c r="AF428" s="4">
        <v>0</v>
      </c>
      <c r="AG428" s="4">
        <v>8</v>
      </c>
      <c r="AH428" s="4">
        <v>56</v>
      </c>
      <c r="AI428" s="4">
        <v>88</v>
      </c>
      <c r="AJ428" s="4">
        <v>13</v>
      </c>
      <c r="AK428" s="4">
        <v>25</v>
      </c>
      <c r="AL428" s="4">
        <v>29</v>
      </c>
      <c r="AM428" s="4">
        <v>46</v>
      </c>
      <c r="AN428" s="4">
        <v>0</v>
      </c>
      <c r="AO428" s="4">
        <v>0</v>
      </c>
      <c r="AP428" s="4">
        <v>15</v>
      </c>
      <c r="AQ428" s="4">
        <v>45</v>
      </c>
      <c r="AR428" s="3" t="s">
        <v>62</v>
      </c>
      <c r="AS428" s="3" t="s">
        <v>62</v>
      </c>
      <c r="AT428" s="3" t="s">
        <v>62</v>
      </c>
      <c r="AV428" s="6" t="str">
        <f>HYPERLINK("http://mcgill.on.worldcat.org/oclc/244063583","Catalog Record")</f>
        <v>Catalog Record</v>
      </c>
      <c r="AW428" s="6" t="str">
        <f>HYPERLINK("http://www.worldcat.org/oclc/244063583","WorldCat Record")</f>
        <v>WorldCat Record</v>
      </c>
      <c r="AX428" s="3" t="s">
        <v>4059</v>
      </c>
      <c r="AY428" s="3" t="s">
        <v>4060</v>
      </c>
      <c r="AZ428" s="3" t="s">
        <v>4061</v>
      </c>
      <c r="BA428" s="3" t="s">
        <v>4061</v>
      </c>
      <c r="BB428" s="3" t="s">
        <v>4062</v>
      </c>
      <c r="BC428" s="3" t="s">
        <v>142</v>
      </c>
      <c r="BD428" s="3" t="s">
        <v>68</v>
      </c>
      <c r="BE428" s="3" t="s">
        <v>4063</v>
      </c>
      <c r="BF428" s="3" t="s">
        <v>4062</v>
      </c>
      <c r="BG428" s="3" t="s">
        <v>4064</v>
      </c>
    </row>
    <row r="429" spans="1:59" ht="57" x14ac:dyDescent="0.45">
      <c r="A429" s="2" t="s">
        <v>59</v>
      </c>
      <c r="B429" s="2" t="s">
        <v>60</v>
      </c>
      <c r="C429" s="2" t="s">
        <v>4065</v>
      </c>
      <c r="D429" s="2" t="s">
        <v>4066</v>
      </c>
      <c r="E429" s="2" t="s">
        <v>4067</v>
      </c>
      <c r="G429" s="3" t="s">
        <v>62</v>
      </c>
      <c r="I429" s="3" t="s">
        <v>62</v>
      </c>
      <c r="J429" s="3" t="s">
        <v>62</v>
      </c>
      <c r="K429" s="3" t="s">
        <v>63</v>
      </c>
      <c r="L429" s="2" t="s">
        <v>4068</v>
      </c>
      <c r="M429" s="2" t="s">
        <v>4069</v>
      </c>
      <c r="N429" s="3" t="s">
        <v>116</v>
      </c>
      <c r="P429" s="3" t="s">
        <v>65</v>
      </c>
      <c r="Q429" s="2" t="s">
        <v>1267</v>
      </c>
      <c r="R429" s="3" t="s">
        <v>66</v>
      </c>
      <c r="S429" s="4">
        <v>4</v>
      </c>
      <c r="T429" s="4">
        <v>4</v>
      </c>
      <c r="U429" s="5" t="s">
        <v>4070</v>
      </c>
      <c r="V429" s="5" t="s">
        <v>4070</v>
      </c>
      <c r="W429" s="5" t="s">
        <v>67</v>
      </c>
      <c r="X429" s="5" t="s">
        <v>67</v>
      </c>
      <c r="Y429" s="4">
        <v>136</v>
      </c>
      <c r="Z429" s="4">
        <v>14</v>
      </c>
      <c r="AA429" s="4">
        <v>79</v>
      </c>
      <c r="AB429" s="4">
        <v>2</v>
      </c>
      <c r="AC429" s="4">
        <v>14</v>
      </c>
      <c r="AD429" s="4">
        <v>36</v>
      </c>
      <c r="AE429" s="4">
        <v>105</v>
      </c>
      <c r="AF429" s="4">
        <v>1</v>
      </c>
      <c r="AG429" s="4">
        <v>8</v>
      </c>
      <c r="AH429" s="4">
        <v>31</v>
      </c>
      <c r="AI429" s="4">
        <v>72</v>
      </c>
      <c r="AJ429" s="4">
        <v>9</v>
      </c>
      <c r="AK429" s="4">
        <v>22</v>
      </c>
      <c r="AL429" s="4">
        <v>15</v>
      </c>
      <c r="AM429" s="4">
        <v>35</v>
      </c>
      <c r="AN429" s="4">
        <v>0</v>
      </c>
      <c r="AO429" s="4">
        <v>0</v>
      </c>
      <c r="AP429" s="4">
        <v>11</v>
      </c>
      <c r="AQ429" s="4">
        <v>41</v>
      </c>
      <c r="AR429" s="3" t="s">
        <v>62</v>
      </c>
      <c r="AS429" s="3" t="s">
        <v>62</v>
      </c>
      <c r="AT429" s="3" t="s">
        <v>62</v>
      </c>
      <c r="AV429" s="6" t="str">
        <f>HYPERLINK("http://mcgill.on.worldcat.org/oclc/815757354","Catalog Record")</f>
        <v>Catalog Record</v>
      </c>
      <c r="AW429" s="6" t="str">
        <f>HYPERLINK("http://www.worldcat.org/oclc/815757354","WorldCat Record")</f>
        <v>WorldCat Record</v>
      </c>
      <c r="AX429" s="3" t="s">
        <v>4071</v>
      </c>
      <c r="AY429" s="3" t="s">
        <v>4072</v>
      </c>
      <c r="AZ429" s="3" t="s">
        <v>4073</v>
      </c>
      <c r="BA429" s="3" t="s">
        <v>4073</v>
      </c>
      <c r="BB429" s="3" t="s">
        <v>4074</v>
      </c>
      <c r="BC429" s="3" t="s">
        <v>142</v>
      </c>
      <c r="BD429" s="3" t="s">
        <v>68</v>
      </c>
      <c r="BE429" s="3" t="s">
        <v>4075</v>
      </c>
      <c r="BF429" s="3" t="s">
        <v>4074</v>
      </c>
      <c r="BG429" s="3" t="s">
        <v>4076</v>
      </c>
    </row>
    <row r="430" spans="1:59" ht="57" x14ac:dyDescent="0.45">
      <c r="A430" s="2" t="s">
        <v>59</v>
      </c>
      <c r="B430" s="2" t="s">
        <v>60</v>
      </c>
      <c r="C430" s="2" t="s">
        <v>4077</v>
      </c>
      <c r="D430" s="2" t="s">
        <v>4078</v>
      </c>
      <c r="E430" s="2" t="s">
        <v>4079</v>
      </c>
      <c r="G430" s="3" t="s">
        <v>62</v>
      </c>
      <c r="I430" s="3" t="s">
        <v>62</v>
      </c>
      <c r="J430" s="3" t="s">
        <v>62</v>
      </c>
      <c r="K430" s="3" t="s">
        <v>63</v>
      </c>
      <c r="M430" s="2" t="s">
        <v>4080</v>
      </c>
      <c r="N430" s="3" t="s">
        <v>894</v>
      </c>
      <c r="P430" s="3" t="s">
        <v>65</v>
      </c>
      <c r="R430" s="3" t="s">
        <v>66</v>
      </c>
      <c r="S430" s="4">
        <v>3</v>
      </c>
      <c r="T430" s="4">
        <v>3</v>
      </c>
      <c r="U430" s="5" t="s">
        <v>4081</v>
      </c>
      <c r="V430" s="5" t="s">
        <v>4081</v>
      </c>
      <c r="W430" s="5" t="s">
        <v>67</v>
      </c>
      <c r="X430" s="5" t="s">
        <v>67</v>
      </c>
      <c r="Y430" s="4">
        <v>240</v>
      </c>
      <c r="Z430" s="4">
        <v>19</v>
      </c>
      <c r="AA430" s="4">
        <v>58</v>
      </c>
      <c r="AB430" s="4">
        <v>2</v>
      </c>
      <c r="AC430" s="4">
        <v>11</v>
      </c>
      <c r="AD430" s="4">
        <v>70</v>
      </c>
      <c r="AE430" s="4">
        <v>97</v>
      </c>
      <c r="AF430" s="4">
        <v>1</v>
      </c>
      <c r="AG430" s="4">
        <v>4</v>
      </c>
      <c r="AH430" s="4">
        <v>61</v>
      </c>
      <c r="AI430" s="4">
        <v>76</v>
      </c>
      <c r="AJ430" s="4">
        <v>13</v>
      </c>
      <c r="AK430" s="4">
        <v>20</v>
      </c>
      <c r="AL430" s="4">
        <v>34</v>
      </c>
      <c r="AM430" s="4">
        <v>42</v>
      </c>
      <c r="AN430" s="4">
        <v>0</v>
      </c>
      <c r="AO430" s="4">
        <v>0</v>
      </c>
      <c r="AP430" s="4">
        <v>16</v>
      </c>
      <c r="AQ430" s="4">
        <v>31</v>
      </c>
      <c r="AR430" s="3" t="s">
        <v>62</v>
      </c>
      <c r="AS430" s="3" t="s">
        <v>62</v>
      </c>
      <c r="AT430" s="3" t="s">
        <v>62</v>
      </c>
      <c r="AV430" s="6" t="str">
        <f>HYPERLINK("http://mcgill.on.worldcat.org/oclc/640086396","Catalog Record")</f>
        <v>Catalog Record</v>
      </c>
      <c r="AW430" s="6" t="str">
        <f>HYPERLINK("http://www.worldcat.org/oclc/640086396","WorldCat Record")</f>
        <v>WorldCat Record</v>
      </c>
      <c r="AX430" s="3" t="s">
        <v>4082</v>
      </c>
      <c r="AY430" s="3" t="s">
        <v>4083</v>
      </c>
      <c r="AZ430" s="3" t="s">
        <v>4084</v>
      </c>
      <c r="BA430" s="3" t="s">
        <v>4084</v>
      </c>
      <c r="BB430" s="3" t="s">
        <v>4085</v>
      </c>
      <c r="BC430" s="3" t="s">
        <v>142</v>
      </c>
      <c r="BD430" s="3" t="s">
        <v>68</v>
      </c>
      <c r="BE430" s="3" t="s">
        <v>4086</v>
      </c>
      <c r="BF430" s="3" t="s">
        <v>4085</v>
      </c>
      <c r="BG430" s="3" t="s">
        <v>4087</v>
      </c>
    </row>
    <row r="431" spans="1:59" ht="57" x14ac:dyDescent="0.45">
      <c r="A431" s="2" t="s">
        <v>59</v>
      </c>
      <c r="B431" s="2" t="s">
        <v>60</v>
      </c>
      <c r="C431" s="2" t="s">
        <v>4088</v>
      </c>
      <c r="D431" s="2" t="s">
        <v>4089</v>
      </c>
      <c r="E431" s="2" t="s">
        <v>4090</v>
      </c>
      <c r="G431" s="3" t="s">
        <v>62</v>
      </c>
      <c r="I431" s="3" t="s">
        <v>62</v>
      </c>
      <c r="J431" s="3" t="s">
        <v>62</v>
      </c>
      <c r="K431" s="3" t="s">
        <v>63</v>
      </c>
      <c r="L431" s="2" t="s">
        <v>4091</v>
      </c>
      <c r="M431" s="2" t="s">
        <v>4092</v>
      </c>
      <c r="N431" s="3" t="s">
        <v>149</v>
      </c>
      <c r="P431" s="3" t="s">
        <v>65</v>
      </c>
      <c r="Q431" s="2" t="s">
        <v>4093</v>
      </c>
      <c r="R431" s="3" t="s">
        <v>66</v>
      </c>
      <c r="S431" s="4">
        <v>8</v>
      </c>
      <c r="T431" s="4">
        <v>8</v>
      </c>
      <c r="U431" s="5" t="s">
        <v>4094</v>
      </c>
      <c r="V431" s="5" t="s">
        <v>4094</v>
      </c>
      <c r="W431" s="5" t="s">
        <v>67</v>
      </c>
      <c r="X431" s="5" t="s">
        <v>67</v>
      </c>
      <c r="Y431" s="4">
        <v>157</v>
      </c>
      <c r="Z431" s="4">
        <v>16</v>
      </c>
      <c r="AA431" s="4">
        <v>24</v>
      </c>
      <c r="AB431" s="4">
        <v>2</v>
      </c>
      <c r="AC431" s="4">
        <v>5</v>
      </c>
      <c r="AD431" s="4">
        <v>29</v>
      </c>
      <c r="AE431" s="4">
        <v>47</v>
      </c>
      <c r="AF431" s="4">
        <v>0</v>
      </c>
      <c r="AG431" s="4">
        <v>0</v>
      </c>
      <c r="AH431" s="4">
        <v>22</v>
      </c>
      <c r="AI431" s="4">
        <v>38</v>
      </c>
      <c r="AJ431" s="4">
        <v>11</v>
      </c>
      <c r="AK431" s="4">
        <v>15</v>
      </c>
      <c r="AL431" s="4">
        <v>15</v>
      </c>
      <c r="AM431" s="4">
        <v>24</v>
      </c>
      <c r="AN431" s="4">
        <v>0</v>
      </c>
      <c r="AO431" s="4">
        <v>0</v>
      </c>
      <c r="AP431" s="4">
        <v>12</v>
      </c>
      <c r="AQ431" s="4">
        <v>17</v>
      </c>
      <c r="AR431" s="3" t="s">
        <v>62</v>
      </c>
      <c r="AS431" s="3" t="s">
        <v>62</v>
      </c>
      <c r="AT431" s="3" t="s">
        <v>62</v>
      </c>
      <c r="AV431" s="6" t="str">
        <f>HYPERLINK("http://mcgill.on.worldcat.org/oclc/311790137","Catalog Record")</f>
        <v>Catalog Record</v>
      </c>
      <c r="AW431" s="6" t="str">
        <f>HYPERLINK("http://www.worldcat.org/oclc/311790137","WorldCat Record")</f>
        <v>WorldCat Record</v>
      </c>
      <c r="AX431" s="3" t="s">
        <v>4095</v>
      </c>
      <c r="AY431" s="3" t="s">
        <v>4096</v>
      </c>
      <c r="AZ431" s="3" t="s">
        <v>4097</v>
      </c>
      <c r="BA431" s="3" t="s">
        <v>4097</v>
      </c>
      <c r="BB431" s="3" t="s">
        <v>4098</v>
      </c>
      <c r="BC431" s="3" t="s">
        <v>142</v>
      </c>
      <c r="BD431" s="3" t="s">
        <v>68</v>
      </c>
      <c r="BE431" s="3" t="s">
        <v>4099</v>
      </c>
      <c r="BF431" s="3" t="s">
        <v>4098</v>
      </c>
      <c r="BG431" s="3" t="s">
        <v>4100</v>
      </c>
    </row>
    <row r="432" spans="1:59" ht="57" x14ac:dyDescent="0.45">
      <c r="A432" s="2" t="s">
        <v>59</v>
      </c>
      <c r="B432" s="2" t="s">
        <v>60</v>
      </c>
      <c r="C432" s="2" t="s">
        <v>4101</v>
      </c>
      <c r="D432" s="2" t="s">
        <v>4102</v>
      </c>
      <c r="E432" s="2" t="s">
        <v>4103</v>
      </c>
      <c r="G432" s="3" t="s">
        <v>62</v>
      </c>
      <c r="I432" s="3" t="s">
        <v>61</v>
      </c>
      <c r="J432" s="3" t="s">
        <v>62</v>
      </c>
      <c r="K432" s="3" t="s">
        <v>63</v>
      </c>
      <c r="M432" s="2" t="s">
        <v>1109</v>
      </c>
      <c r="N432" s="3" t="s">
        <v>568</v>
      </c>
      <c r="P432" s="3" t="s">
        <v>65</v>
      </c>
      <c r="Q432" s="2" t="s">
        <v>4104</v>
      </c>
      <c r="R432" s="3" t="s">
        <v>66</v>
      </c>
      <c r="S432" s="4">
        <v>7</v>
      </c>
      <c r="T432" s="4">
        <v>13</v>
      </c>
      <c r="U432" s="5" t="s">
        <v>4105</v>
      </c>
      <c r="V432" s="5" t="s">
        <v>4106</v>
      </c>
      <c r="W432" s="5" t="s">
        <v>67</v>
      </c>
      <c r="X432" s="5" t="s">
        <v>67</v>
      </c>
      <c r="Y432" s="4">
        <v>719</v>
      </c>
      <c r="Z432" s="4">
        <v>37</v>
      </c>
      <c r="AA432" s="4">
        <v>42</v>
      </c>
      <c r="AB432" s="4">
        <v>3</v>
      </c>
      <c r="AC432" s="4">
        <v>6</v>
      </c>
      <c r="AD432" s="4">
        <v>124</v>
      </c>
      <c r="AE432" s="4">
        <v>128</v>
      </c>
      <c r="AF432" s="4">
        <v>2</v>
      </c>
      <c r="AG432" s="4">
        <v>5</v>
      </c>
      <c r="AH432" s="4">
        <v>102</v>
      </c>
      <c r="AI432" s="4">
        <v>103</v>
      </c>
      <c r="AJ432" s="4">
        <v>16</v>
      </c>
      <c r="AK432" s="4">
        <v>20</v>
      </c>
      <c r="AL432" s="4">
        <v>57</v>
      </c>
      <c r="AM432" s="4">
        <v>57</v>
      </c>
      <c r="AN432" s="4">
        <v>0</v>
      </c>
      <c r="AO432" s="4">
        <v>0</v>
      </c>
      <c r="AP432" s="4">
        <v>28</v>
      </c>
      <c r="AQ432" s="4">
        <v>31</v>
      </c>
      <c r="AR432" s="3" t="s">
        <v>62</v>
      </c>
      <c r="AS432" s="3" t="s">
        <v>62</v>
      </c>
      <c r="AT432" s="3" t="s">
        <v>61</v>
      </c>
      <c r="AU432" s="6" t="str">
        <f>HYPERLINK("http://catalog.hathitrust.org/Record/000881271","HathiTrust Record")</f>
        <v>HathiTrust Record</v>
      </c>
      <c r="AV432" s="6" t="str">
        <f>HYPERLINK("http://mcgill.on.worldcat.org/oclc/15629224","Catalog Record")</f>
        <v>Catalog Record</v>
      </c>
      <c r="AW432" s="6" t="str">
        <f>HYPERLINK("http://www.worldcat.org/oclc/15629224","WorldCat Record")</f>
        <v>WorldCat Record</v>
      </c>
      <c r="AX432" s="3" t="s">
        <v>4107</v>
      </c>
      <c r="AY432" s="3" t="s">
        <v>4108</v>
      </c>
      <c r="AZ432" s="3" t="s">
        <v>4109</v>
      </c>
      <c r="BA432" s="3" t="s">
        <v>4109</v>
      </c>
      <c r="BB432" s="3" t="s">
        <v>4110</v>
      </c>
      <c r="BC432" s="3" t="s">
        <v>142</v>
      </c>
      <c r="BD432" s="3" t="s">
        <v>68</v>
      </c>
      <c r="BE432" s="3" t="s">
        <v>4111</v>
      </c>
      <c r="BF432" s="3" t="s">
        <v>4110</v>
      </c>
      <c r="BG432" s="3" t="s">
        <v>4112</v>
      </c>
    </row>
    <row r="433" spans="1:59" ht="57" x14ac:dyDescent="0.45">
      <c r="A433" s="2" t="s">
        <v>59</v>
      </c>
      <c r="B433" s="2" t="s">
        <v>60</v>
      </c>
      <c r="C433" s="2" t="s">
        <v>4101</v>
      </c>
      <c r="D433" s="2" t="s">
        <v>4102</v>
      </c>
      <c r="E433" s="2" t="s">
        <v>4103</v>
      </c>
      <c r="G433" s="3" t="s">
        <v>62</v>
      </c>
      <c r="I433" s="3" t="s">
        <v>61</v>
      </c>
      <c r="J433" s="3" t="s">
        <v>62</v>
      </c>
      <c r="K433" s="3" t="s">
        <v>63</v>
      </c>
      <c r="M433" s="2" t="s">
        <v>1109</v>
      </c>
      <c r="N433" s="3" t="s">
        <v>568</v>
      </c>
      <c r="P433" s="3" t="s">
        <v>65</v>
      </c>
      <c r="Q433" s="2" t="s">
        <v>4104</v>
      </c>
      <c r="R433" s="3" t="s">
        <v>66</v>
      </c>
      <c r="S433" s="4">
        <v>6</v>
      </c>
      <c r="T433" s="4">
        <v>13</v>
      </c>
      <c r="U433" s="5" t="s">
        <v>4106</v>
      </c>
      <c r="V433" s="5" t="s">
        <v>4106</v>
      </c>
      <c r="W433" s="5" t="s">
        <v>67</v>
      </c>
      <c r="X433" s="5" t="s">
        <v>67</v>
      </c>
      <c r="Y433" s="4">
        <v>719</v>
      </c>
      <c r="Z433" s="4">
        <v>37</v>
      </c>
      <c r="AA433" s="4">
        <v>42</v>
      </c>
      <c r="AB433" s="4">
        <v>3</v>
      </c>
      <c r="AC433" s="4">
        <v>6</v>
      </c>
      <c r="AD433" s="4">
        <v>124</v>
      </c>
      <c r="AE433" s="4">
        <v>128</v>
      </c>
      <c r="AF433" s="4">
        <v>2</v>
      </c>
      <c r="AG433" s="4">
        <v>5</v>
      </c>
      <c r="AH433" s="4">
        <v>102</v>
      </c>
      <c r="AI433" s="4">
        <v>103</v>
      </c>
      <c r="AJ433" s="4">
        <v>16</v>
      </c>
      <c r="AK433" s="4">
        <v>20</v>
      </c>
      <c r="AL433" s="4">
        <v>57</v>
      </c>
      <c r="AM433" s="4">
        <v>57</v>
      </c>
      <c r="AN433" s="4">
        <v>0</v>
      </c>
      <c r="AO433" s="4">
        <v>0</v>
      </c>
      <c r="AP433" s="4">
        <v>28</v>
      </c>
      <c r="AQ433" s="4">
        <v>31</v>
      </c>
      <c r="AR433" s="3" t="s">
        <v>62</v>
      </c>
      <c r="AS433" s="3" t="s">
        <v>62</v>
      </c>
      <c r="AT433" s="3" t="s">
        <v>61</v>
      </c>
      <c r="AU433" s="6" t="str">
        <f>HYPERLINK("http://catalog.hathitrust.org/Record/000881271","HathiTrust Record")</f>
        <v>HathiTrust Record</v>
      </c>
      <c r="AV433" s="6" t="str">
        <f>HYPERLINK("http://mcgill.on.worldcat.org/oclc/15629224","Catalog Record")</f>
        <v>Catalog Record</v>
      </c>
      <c r="AW433" s="6" t="str">
        <f>HYPERLINK("http://www.worldcat.org/oclc/15629224","WorldCat Record")</f>
        <v>WorldCat Record</v>
      </c>
      <c r="AX433" s="3" t="s">
        <v>4107</v>
      </c>
      <c r="AY433" s="3" t="s">
        <v>4108</v>
      </c>
      <c r="AZ433" s="3" t="s">
        <v>4109</v>
      </c>
      <c r="BA433" s="3" t="s">
        <v>4109</v>
      </c>
      <c r="BB433" s="3" t="s">
        <v>4113</v>
      </c>
      <c r="BC433" s="3" t="s">
        <v>142</v>
      </c>
      <c r="BD433" s="3" t="s">
        <v>68</v>
      </c>
      <c r="BE433" s="3" t="s">
        <v>4111</v>
      </c>
      <c r="BF433" s="3" t="s">
        <v>4113</v>
      </c>
      <c r="BG433" s="3" t="s">
        <v>4114</v>
      </c>
    </row>
    <row r="434" spans="1:59" ht="71.25" x14ac:dyDescent="0.45">
      <c r="A434" s="2" t="s">
        <v>59</v>
      </c>
      <c r="B434" s="2" t="s">
        <v>60</v>
      </c>
      <c r="C434" s="2" t="s">
        <v>4115</v>
      </c>
      <c r="D434" s="2" t="s">
        <v>4116</v>
      </c>
      <c r="E434" s="2" t="s">
        <v>4117</v>
      </c>
      <c r="G434" s="3" t="s">
        <v>62</v>
      </c>
      <c r="I434" s="3" t="s">
        <v>62</v>
      </c>
      <c r="J434" s="3" t="s">
        <v>62</v>
      </c>
      <c r="K434" s="3" t="s">
        <v>63</v>
      </c>
      <c r="M434" s="2" t="s">
        <v>4118</v>
      </c>
      <c r="N434" s="3" t="s">
        <v>116</v>
      </c>
      <c r="P434" s="3" t="s">
        <v>110</v>
      </c>
      <c r="Q434" s="2" t="s">
        <v>4119</v>
      </c>
      <c r="R434" s="3" t="s">
        <v>66</v>
      </c>
      <c r="S434" s="4">
        <v>1</v>
      </c>
      <c r="T434" s="4">
        <v>1</v>
      </c>
      <c r="U434" s="5" t="s">
        <v>2173</v>
      </c>
      <c r="V434" s="5" t="s">
        <v>2173</v>
      </c>
      <c r="W434" s="5" t="s">
        <v>67</v>
      </c>
      <c r="X434" s="5" t="s">
        <v>67</v>
      </c>
      <c r="Y434" s="4">
        <v>25</v>
      </c>
      <c r="Z434" s="4">
        <v>8</v>
      </c>
      <c r="AA434" s="4">
        <v>17</v>
      </c>
      <c r="AB434" s="4">
        <v>1</v>
      </c>
      <c r="AC434" s="4">
        <v>8</v>
      </c>
      <c r="AD434" s="4">
        <v>13</v>
      </c>
      <c r="AE434" s="4">
        <v>18</v>
      </c>
      <c r="AF434" s="4">
        <v>0</v>
      </c>
      <c r="AG434" s="4">
        <v>4</v>
      </c>
      <c r="AH434" s="4">
        <v>10</v>
      </c>
      <c r="AI434" s="4">
        <v>12</v>
      </c>
      <c r="AJ434" s="4">
        <v>5</v>
      </c>
      <c r="AK434" s="4">
        <v>10</v>
      </c>
      <c r="AL434" s="4">
        <v>8</v>
      </c>
      <c r="AM434" s="4">
        <v>8</v>
      </c>
      <c r="AN434" s="4">
        <v>0</v>
      </c>
      <c r="AO434" s="4">
        <v>0</v>
      </c>
      <c r="AP434" s="4">
        <v>5</v>
      </c>
      <c r="AQ434" s="4">
        <v>9</v>
      </c>
      <c r="AR434" s="3" t="s">
        <v>62</v>
      </c>
      <c r="AS434" s="3" t="s">
        <v>62</v>
      </c>
      <c r="AT434" s="3" t="s">
        <v>62</v>
      </c>
      <c r="AV434" s="6" t="str">
        <f>HYPERLINK("http://mcgill.on.worldcat.org/oclc/829676188","Catalog Record")</f>
        <v>Catalog Record</v>
      </c>
      <c r="AW434" s="6" t="str">
        <f>HYPERLINK("http://www.worldcat.org/oclc/829676188","WorldCat Record")</f>
        <v>WorldCat Record</v>
      </c>
      <c r="AX434" s="3" t="s">
        <v>4120</v>
      </c>
      <c r="AY434" s="3" t="s">
        <v>4121</v>
      </c>
      <c r="AZ434" s="3" t="s">
        <v>4122</v>
      </c>
      <c r="BA434" s="3" t="s">
        <v>4122</v>
      </c>
      <c r="BB434" s="3" t="s">
        <v>4123</v>
      </c>
      <c r="BC434" s="3" t="s">
        <v>142</v>
      </c>
      <c r="BD434" s="3" t="s">
        <v>68</v>
      </c>
      <c r="BE434" s="3" t="s">
        <v>4124</v>
      </c>
      <c r="BF434" s="3" t="s">
        <v>4123</v>
      </c>
      <c r="BG434" s="3" t="s">
        <v>4125</v>
      </c>
    </row>
    <row r="435" spans="1:59" ht="57" x14ac:dyDescent="0.45">
      <c r="A435" s="2" t="s">
        <v>59</v>
      </c>
      <c r="B435" s="2" t="s">
        <v>412</v>
      </c>
      <c r="C435" s="2" t="s">
        <v>4126</v>
      </c>
      <c r="D435" s="2" t="s">
        <v>4127</v>
      </c>
      <c r="E435" s="2" t="s">
        <v>4128</v>
      </c>
      <c r="G435" s="3" t="s">
        <v>62</v>
      </c>
      <c r="I435" s="3" t="s">
        <v>62</v>
      </c>
      <c r="J435" s="3" t="s">
        <v>62</v>
      </c>
      <c r="K435" s="3" t="s">
        <v>63</v>
      </c>
      <c r="M435" s="2" t="s">
        <v>4129</v>
      </c>
      <c r="N435" s="3" t="s">
        <v>106</v>
      </c>
      <c r="P435" s="3" t="s">
        <v>65</v>
      </c>
      <c r="Q435" s="2" t="s">
        <v>4130</v>
      </c>
      <c r="R435" s="3" t="s">
        <v>66</v>
      </c>
      <c r="S435" s="4">
        <v>49</v>
      </c>
      <c r="T435" s="4">
        <v>49</v>
      </c>
      <c r="U435" s="5" t="s">
        <v>4131</v>
      </c>
      <c r="V435" s="5" t="s">
        <v>4131</v>
      </c>
      <c r="W435" s="5" t="s">
        <v>67</v>
      </c>
      <c r="X435" s="5" t="s">
        <v>67</v>
      </c>
      <c r="Y435" s="4">
        <v>376</v>
      </c>
      <c r="Z435" s="4">
        <v>27</v>
      </c>
      <c r="AA435" s="4">
        <v>34</v>
      </c>
      <c r="AB435" s="4">
        <v>2</v>
      </c>
      <c r="AC435" s="4">
        <v>9</v>
      </c>
      <c r="AD435" s="4">
        <v>102</v>
      </c>
      <c r="AE435" s="4">
        <v>106</v>
      </c>
      <c r="AF435" s="4">
        <v>1</v>
      </c>
      <c r="AG435" s="4">
        <v>4</v>
      </c>
      <c r="AH435" s="4">
        <v>92</v>
      </c>
      <c r="AI435" s="4">
        <v>94</v>
      </c>
      <c r="AJ435" s="4">
        <v>17</v>
      </c>
      <c r="AK435" s="4">
        <v>20</v>
      </c>
      <c r="AL435" s="4">
        <v>50</v>
      </c>
      <c r="AM435" s="4">
        <v>50</v>
      </c>
      <c r="AN435" s="4">
        <v>0</v>
      </c>
      <c r="AO435" s="4">
        <v>0</v>
      </c>
      <c r="AP435" s="4">
        <v>21</v>
      </c>
      <c r="AQ435" s="4">
        <v>23</v>
      </c>
      <c r="AR435" s="3" t="s">
        <v>62</v>
      </c>
      <c r="AS435" s="3" t="s">
        <v>62</v>
      </c>
      <c r="AT435" s="3" t="s">
        <v>61</v>
      </c>
      <c r="AU435" s="6" t="str">
        <f>HYPERLINK("http://catalog.hathitrust.org/Record/007118547","HathiTrust Record")</f>
        <v>HathiTrust Record</v>
      </c>
      <c r="AV435" s="6" t="str">
        <f>HYPERLINK("http://mcgill.on.worldcat.org/oclc/9082934","Catalog Record")</f>
        <v>Catalog Record</v>
      </c>
      <c r="AW435" s="6" t="str">
        <f>HYPERLINK("http://www.worldcat.org/oclc/9082934","WorldCat Record")</f>
        <v>WorldCat Record</v>
      </c>
      <c r="AX435" s="3" t="s">
        <v>4132</v>
      </c>
      <c r="AY435" s="3" t="s">
        <v>4133</v>
      </c>
      <c r="AZ435" s="3" t="s">
        <v>4134</v>
      </c>
      <c r="BA435" s="3" t="s">
        <v>4134</v>
      </c>
      <c r="BB435" s="3" t="s">
        <v>4135</v>
      </c>
      <c r="BC435" s="3" t="s">
        <v>142</v>
      </c>
      <c r="BD435" s="3" t="s">
        <v>308</v>
      </c>
      <c r="BE435" s="3" t="s">
        <v>4136</v>
      </c>
      <c r="BF435" s="3" t="s">
        <v>4135</v>
      </c>
      <c r="BG435" s="3" t="s">
        <v>4137</v>
      </c>
    </row>
    <row r="436" spans="1:59" ht="57" x14ac:dyDescent="0.45">
      <c r="A436" s="2" t="s">
        <v>59</v>
      </c>
      <c r="B436" s="2" t="s">
        <v>60</v>
      </c>
      <c r="C436" s="2" t="s">
        <v>4138</v>
      </c>
      <c r="D436" s="2" t="s">
        <v>4139</v>
      </c>
      <c r="E436" s="2" t="s">
        <v>4140</v>
      </c>
      <c r="G436" s="3" t="s">
        <v>62</v>
      </c>
      <c r="I436" s="3" t="s">
        <v>62</v>
      </c>
      <c r="J436" s="3" t="s">
        <v>62</v>
      </c>
      <c r="K436" s="3" t="s">
        <v>63</v>
      </c>
      <c r="M436" s="2" t="s">
        <v>4141</v>
      </c>
      <c r="N436" s="3" t="s">
        <v>542</v>
      </c>
      <c r="P436" s="3" t="s">
        <v>65</v>
      </c>
      <c r="Q436" s="2" t="s">
        <v>3411</v>
      </c>
      <c r="R436" s="3" t="s">
        <v>66</v>
      </c>
      <c r="S436" s="4">
        <v>7</v>
      </c>
      <c r="T436" s="4">
        <v>7</v>
      </c>
      <c r="U436" s="5" t="s">
        <v>4142</v>
      </c>
      <c r="V436" s="5" t="s">
        <v>4142</v>
      </c>
      <c r="W436" s="5" t="s">
        <v>67</v>
      </c>
      <c r="X436" s="5" t="s">
        <v>67</v>
      </c>
      <c r="Y436" s="4">
        <v>183</v>
      </c>
      <c r="Z436" s="4">
        <v>12</v>
      </c>
      <c r="AA436" s="4">
        <v>20</v>
      </c>
      <c r="AB436" s="4">
        <v>2</v>
      </c>
      <c r="AC436" s="4">
        <v>7</v>
      </c>
      <c r="AD436" s="4">
        <v>50</v>
      </c>
      <c r="AE436" s="4">
        <v>55</v>
      </c>
      <c r="AF436" s="4">
        <v>0</v>
      </c>
      <c r="AG436" s="4">
        <v>1</v>
      </c>
      <c r="AH436" s="4">
        <v>48</v>
      </c>
      <c r="AI436" s="4">
        <v>51</v>
      </c>
      <c r="AJ436" s="4">
        <v>8</v>
      </c>
      <c r="AK436" s="4">
        <v>11</v>
      </c>
      <c r="AL436" s="4">
        <v>28</v>
      </c>
      <c r="AM436" s="4">
        <v>28</v>
      </c>
      <c r="AN436" s="4">
        <v>0</v>
      </c>
      <c r="AO436" s="4">
        <v>0</v>
      </c>
      <c r="AP436" s="4">
        <v>8</v>
      </c>
      <c r="AQ436" s="4">
        <v>12</v>
      </c>
      <c r="AR436" s="3" t="s">
        <v>62</v>
      </c>
      <c r="AS436" s="3" t="s">
        <v>62</v>
      </c>
      <c r="AT436" s="3" t="s">
        <v>61</v>
      </c>
      <c r="AU436" s="6" t="str">
        <f>HYPERLINK("http://catalog.hathitrust.org/Record/004171167","HathiTrust Record")</f>
        <v>HathiTrust Record</v>
      </c>
      <c r="AV436" s="6" t="str">
        <f>HYPERLINK("http://mcgill.on.worldcat.org/oclc/45420097","Catalog Record")</f>
        <v>Catalog Record</v>
      </c>
      <c r="AW436" s="6" t="str">
        <f>HYPERLINK("http://www.worldcat.org/oclc/45420097","WorldCat Record")</f>
        <v>WorldCat Record</v>
      </c>
      <c r="AX436" s="3" t="s">
        <v>4143</v>
      </c>
      <c r="AY436" s="3" t="s">
        <v>4144</v>
      </c>
      <c r="AZ436" s="3" t="s">
        <v>4145</v>
      </c>
      <c r="BA436" s="3" t="s">
        <v>4145</v>
      </c>
      <c r="BB436" s="3" t="s">
        <v>4146</v>
      </c>
      <c r="BC436" s="3" t="s">
        <v>142</v>
      </c>
      <c r="BD436" s="3" t="s">
        <v>68</v>
      </c>
      <c r="BE436" s="3" t="s">
        <v>4147</v>
      </c>
      <c r="BF436" s="3" t="s">
        <v>4146</v>
      </c>
      <c r="BG436" s="3" t="s">
        <v>4148</v>
      </c>
    </row>
    <row r="437" spans="1:59" ht="57" x14ac:dyDescent="0.45">
      <c r="A437" s="2" t="s">
        <v>59</v>
      </c>
      <c r="B437" s="2" t="s">
        <v>60</v>
      </c>
      <c r="C437" s="2" t="s">
        <v>4149</v>
      </c>
      <c r="D437" s="2" t="s">
        <v>4150</v>
      </c>
      <c r="E437" s="2" t="s">
        <v>4151</v>
      </c>
      <c r="G437" s="3" t="s">
        <v>62</v>
      </c>
      <c r="I437" s="3" t="s">
        <v>62</v>
      </c>
      <c r="J437" s="3" t="s">
        <v>62</v>
      </c>
      <c r="K437" s="3" t="s">
        <v>63</v>
      </c>
      <c r="M437" s="2" t="s">
        <v>4152</v>
      </c>
      <c r="N437" s="3" t="s">
        <v>149</v>
      </c>
      <c r="P437" s="3" t="s">
        <v>65</v>
      </c>
      <c r="R437" s="3" t="s">
        <v>66</v>
      </c>
      <c r="S437" s="4">
        <v>3</v>
      </c>
      <c r="T437" s="4">
        <v>3</v>
      </c>
      <c r="U437" s="5" t="s">
        <v>3077</v>
      </c>
      <c r="V437" s="5" t="s">
        <v>3077</v>
      </c>
      <c r="W437" s="5" t="s">
        <v>67</v>
      </c>
      <c r="X437" s="5" t="s">
        <v>67</v>
      </c>
      <c r="Y437" s="4">
        <v>127</v>
      </c>
      <c r="Z437" s="4">
        <v>13</v>
      </c>
      <c r="AA437" s="4">
        <v>18</v>
      </c>
      <c r="AB437" s="4">
        <v>1</v>
      </c>
      <c r="AC437" s="4">
        <v>4</v>
      </c>
      <c r="AD437" s="4">
        <v>54</v>
      </c>
      <c r="AE437" s="4">
        <v>60</v>
      </c>
      <c r="AF437" s="4">
        <v>0</v>
      </c>
      <c r="AG437" s="4">
        <v>1</v>
      </c>
      <c r="AH437" s="4">
        <v>53</v>
      </c>
      <c r="AI437" s="4">
        <v>58</v>
      </c>
      <c r="AJ437" s="4">
        <v>9</v>
      </c>
      <c r="AK437" s="4">
        <v>11</v>
      </c>
      <c r="AL437" s="4">
        <v>30</v>
      </c>
      <c r="AM437" s="4">
        <v>33</v>
      </c>
      <c r="AN437" s="4">
        <v>0</v>
      </c>
      <c r="AO437" s="4">
        <v>0</v>
      </c>
      <c r="AP437" s="4">
        <v>10</v>
      </c>
      <c r="AQ437" s="4">
        <v>12</v>
      </c>
      <c r="AR437" s="3" t="s">
        <v>62</v>
      </c>
      <c r="AS437" s="3" t="s">
        <v>62</v>
      </c>
      <c r="AT437" s="3" t="s">
        <v>62</v>
      </c>
      <c r="AV437" s="6" t="str">
        <f>HYPERLINK("http://mcgill.on.worldcat.org/oclc/457772044","Catalog Record")</f>
        <v>Catalog Record</v>
      </c>
      <c r="AW437" s="6" t="str">
        <f>HYPERLINK("http://www.worldcat.org/oclc/457772044","WorldCat Record")</f>
        <v>WorldCat Record</v>
      </c>
      <c r="AX437" s="3" t="s">
        <v>4153</v>
      </c>
      <c r="AY437" s="3" t="s">
        <v>4154</v>
      </c>
      <c r="AZ437" s="3" t="s">
        <v>4155</v>
      </c>
      <c r="BA437" s="3" t="s">
        <v>4155</v>
      </c>
      <c r="BB437" s="3" t="s">
        <v>4156</v>
      </c>
      <c r="BC437" s="3" t="s">
        <v>142</v>
      </c>
      <c r="BD437" s="3" t="s">
        <v>308</v>
      </c>
      <c r="BE437" s="3" t="s">
        <v>4157</v>
      </c>
      <c r="BF437" s="3" t="s">
        <v>4156</v>
      </c>
      <c r="BG437" s="3" t="s">
        <v>4158</v>
      </c>
    </row>
    <row r="438" spans="1:59" ht="57" x14ac:dyDescent="0.45">
      <c r="A438" s="2" t="s">
        <v>59</v>
      </c>
      <c r="B438" s="2" t="s">
        <v>60</v>
      </c>
      <c r="C438" s="2" t="s">
        <v>4159</v>
      </c>
      <c r="D438" s="2" t="s">
        <v>4160</v>
      </c>
      <c r="E438" s="2" t="s">
        <v>4161</v>
      </c>
      <c r="G438" s="3" t="s">
        <v>62</v>
      </c>
      <c r="I438" s="3" t="s">
        <v>62</v>
      </c>
      <c r="J438" s="3" t="s">
        <v>62</v>
      </c>
      <c r="K438" s="3" t="s">
        <v>63</v>
      </c>
      <c r="M438" s="2" t="s">
        <v>4162</v>
      </c>
      <c r="N438" s="3" t="s">
        <v>894</v>
      </c>
      <c r="P438" s="3" t="s">
        <v>65</v>
      </c>
      <c r="Q438" s="2" t="s">
        <v>4163</v>
      </c>
      <c r="R438" s="3" t="s">
        <v>66</v>
      </c>
      <c r="S438" s="4">
        <v>0</v>
      </c>
      <c r="T438" s="4">
        <v>0</v>
      </c>
      <c r="W438" s="5" t="s">
        <v>67</v>
      </c>
      <c r="X438" s="5" t="s">
        <v>67</v>
      </c>
      <c r="Y438" s="4">
        <v>56</v>
      </c>
      <c r="Z438" s="4">
        <v>8</v>
      </c>
      <c r="AA438" s="4">
        <v>89</v>
      </c>
      <c r="AB438" s="4">
        <v>1</v>
      </c>
      <c r="AC438" s="4">
        <v>17</v>
      </c>
      <c r="AD438" s="4">
        <v>26</v>
      </c>
      <c r="AE438" s="4">
        <v>110</v>
      </c>
      <c r="AF438" s="4">
        <v>0</v>
      </c>
      <c r="AG438" s="4">
        <v>8</v>
      </c>
      <c r="AH438" s="4">
        <v>25</v>
      </c>
      <c r="AI438" s="4">
        <v>76</v>
      </c>
      <c r="AJ438" s="4">
        <v>6</v>
      </c>
      <c r="AK438" s="4">
        <v>22</v>
      </c>
      <c r="AL438" s="4">
        <v>16</v>
      </c>
      <c r="AM438" s="4">
        <v>39</v>
      </c>
      <c r="AN438" s="4">
        <v>0</v>
      </c>
      <c r="AO438" s="4">
        <v>0</v>
      </c>
      <c r="AP438" s="4">
        <v>6</v>
      </c>
      <c r="AQ438" s="4">
        <v>43</v>
      </c>
      <c r="AR438" s="3" t="s">
        <v>62</v>
      </c>
      <c r="AS438" s="3" t="s">
        <v>62</v>
      </c>
      <c r="AT438" s="3" t="s">
        <v>62</v>
      </c>
      <c r="AV438" s="6" t="str">
        <f>HYPERLINK("http://mcgill.on.worldcat.org/oclc/746489207","Catalog Record")</f>
        <v>Catalog Record</v>
      </c>
      <c r="AW438" s="6" t="str">
        <f>HYPERLINK("http://www.worldcat.org/oclc/746489207","WorldCat Record")</f>
        <v>WorldCat Record</v>
      </c>
      <c r="AX438" s="3" t="s">
        <v>4164</v>
      </c>
      <c r="AY438" s="3" t="s">
        <v>4165</v>
      </c>
      <c r="AZ438" s="3" t="s">
        <v>4166</v>
      </c>
      <c r="BA438" s="3" t="s">
        <v>4166</v>
      </c>
      <c r="BB438" s="3" t="s">
        <v>4167</v>
      </c>
      <c r="BC438" s="3" t="s">
        <v>142</v>
      </c>
      <c r="BD438" s="3" t="s">
        <v>68</v>
      </c>
      <c r="BE438" s="3" t="s">
        <v>4168</v>
      </c>
      <c r="BF438" s="3" t="s">
        <v>4167</v>
      </c>
      <c r="BG438" s="3" t="s">
        <v>4169</v>
      </c>
    </row>
    <row r="439" spans="1:59" ht="57" x14ac:dyDescent="0.45">
      <c r="A439" s="2" t="s">
        <v>59</v>
      </c>
      <c r="B439" s="2" t="s">
        <v>60</v>
      </c>
      <c r="C439" s="2" t="s">
        <v>4170</v>
      </c>
      <c r="D439" s="2" t="s">
        <v>4171</v>
      </c>
      <c r="E439" s="2" t="s">
        <v>4172</v>
      </c>
      <c r="G439" s="3" t="s">
        <v>62</v>
      </c>
      <c r="I439" s="3" t="s">
        <v>62</v>
      </c>
      <c r="J439" s="3" t="s">
        <v>62</v>
      </c>
      <c r="K439" s="3" t="s">
        <v>63</v>
      </c>
      <c r="L439" s="2" t="s">
        <v>4173</v>
      </c>
      <c r="M439" s="2" t="s">
        <v>4174</v>
      </c>
      <c r="N439" s="3" t="s">
        <v>894</v>
      </c>
      <c r="P439" s="3" t="s">
        <v>110</v>
      </c>
      <c r="Q439" s="2" t="s">
        <v>4175</v>
      </c>
      <c r="R439" s="3" t="s">
        <v>66</v>
      </c>
      <c r="S439" s="4">
        <v>1</v>
      </c>
      <c r="T439" s="4">
        <v>1</v>
      </c>
      <c r="U439" s="5" t="s">
        <v>4176</v>
      </c>
      <c r="V439" s="5" t="s">
        <v>4176</v>
      </c>
      <c r="W439" s="5" t="s">
        <v>67</v>
      </c>
      <c r="X439" s="5" t="s">
        <v>67</v>
      </c>
      <c r="Y439" s="4">
        <v>19</v>
      </c>
      <c r="Z439" s="4">
        <v>3</v>
      </c>
      <c r="AA439" s="4">
        <v>3</v>
      </c>
      <c r="AB439" s="4">
        <v>1</v>
      </c>
      <c r="AC439" s="4">
        <v>1</v>
      </c>
      <c r="AD439" s="4">
        <v>9</v>
      </c>
      <c r="AE439" s="4">
        <v>9</v>
      </c>
      <c r="AF439" s="4">
        <v>0</v>
      </c>
      <c r="AG439" s="4">
        <v>0</v>
      </c>
      <c r="AH439" s="4">
        <v>9</v>
      </c>
      <c r="AI439" s="4">
        <v>9</v>
      </c>
      <c r="AJ439" s="4">
        <v>1</v>
      </c>
      <c r="AK439" s="4">
        <v>1</v>
      </c>
      <c r="AL439" s="4">
        <v>8</v>
      </c>
      <c r="AM439" s="4">
        <v>8</v>
      </c>
      <c r="AN439" s="4">
        <v>0</v>
      </c>
      <c r="AO439" s="4">
        <v>0</v>
      </c>
      <c r="AP439" s="4">
        <v>1</v>
      </c>
      <c r="AQ439" s="4">
        <v>1</v>
      </c>
      <c r="AR439" s="3" t="s">
        <v>62</v>
      </c>
      <c r="AS439" s="3" t="s">
        <v>62</v>
      </c>
      <c r="AT439" s="3" t="s">
        <v>62</v>
      </c>
      <c r="AV439" s="6" t="str">
        <f>HYPERLINK("http://mcgill.on.worldcat.org/oclc/750287954","Catalog Record")</f>
        <v>Catalog Record</v>
      </c>
      <c r="AW439" s="6" t="str">
        <f>HYPERLINK("http://www.worldcat.org/oclc/750287954","WorldCat Record")</f>
        <v>WorldCat Record</v>
      </c>
      <c r="AX439" s="3" t="s">
        <v>4177</v>
      </c>
      <c r="AY439" s="3" t="s">
        <v>4178</v>
      </c>
      <c r="AZ439" s="3" t="s">
        <v>4179</v>
      </c>
      <c r="BA439" s="3" t="s">
        <v>4179</v>
      </c>
      <c r="BB439" s="3" t="s">
        <v>4180</v>
      </c>
      <c r="BC439" s="3" t="s">
        <v>142</v>
      </c>
      <c r="BD439" s="3" t="s">
        <v>68</v>
      </c>
      <c r="BE439" s="3" t="s">
        <v>4181</v>
      </c>
      <c r="BF439" s="3" t="s">
        <v>4180</v>
      </c>
      <c r="BG439" s="3" t="s">
        <v>4182</v>
      </c>
    </row>
    <row r="440" spans="1:59" ht="57" x14ac:dyDescent="0.45">
      <c r="A440" s="2" t="s">
        <v>59</v>
      </c>
      <c r="B440" s="2" t="s">
        <v>60</v>
      </c>
      <c r="C440" s="2" t="s">
        <v>4183</v>
      </c>
      <c r="D440" s="2" t="s">
        <v>4184</v>
      </c>
      <c r="E440" s="2" t="s">
        <v>4185</v>
      </c>
      <c r="G440" s="3" t="s">
        <v>62</v>
      </c>
      <c r="I440" s="3" t="s">
        <v>62</v>
      </c>
      <c r="J440" s="3" t="s">
        <v>62</v>
      </c>
      <c r="K440" s="3" t="s">
        <v>63</v>
      </c>
      <c r="M440" s="2" t="s">
        <v>3362</v>
      </c>
      <c r="N440" s="3" t="s">
        <v>149</v>
      </c>
      <c r="P440" s="3" t="s">
        <v>65</v>
      </c>
      <c r="Q440" s="2" t="s">
        <v>4186</v>
      </c>
      <c r="R440" s="3" t="s">
        <v>66</v>
      </c>
      <c r="S440" s="4">
        <v>23</v>
      </c>
      <c r="T440" s="4">
        <v>23</v>
      </c>
      <c r="U440" s="5" t="s">
        <v>4187</v>
      </c>
      <c r="V440" s="5" t="s">
        <v>4187</v>
      </c>
      <c r="W440" s="5" t="s">
        <v>67</v>
      </c>
      <c r="X440" s="5" t="s">
        <v>67</v>
      </c>
      <c r="Y440" s="4">
        <v>238</v>
      </c>
      <c r="Z440" s="4">
        <v>26</v>
      </c>
      <c r="AA440" s="4">
        <v>89</v>
      </c>
      <c r="AB440" s="4">
        <v>2</v>
      </c>
      <c r="AC440" s="4">
        <v>14</v>
      </c>
      <c r="AD440" s="4">
        <v>73</v>
      </c>
      <c r="AE440" s="4">
        <v>127</v>
      </c>
      <c r="AF440" s="4">
        <v>1</v>
      </c>
      <c r="AG440" s="4">
        <v>8</v>
      </c>
      <c r="AH440" s="4">
        <v>64</v>
      </c>
      <c r="AI440" s="4">
        <v>92</v>
      </c>
      <c r="AJ440" s="4">
        <v>18</v>
      </c>
      <c r="AK440" s="4">
        <v>26</v>
      </c>
      <c r="AL440" s="4">
        <v>39</v>
      </c>
      <c r="AM440" s="4">
        <v>47</v>
      </c>
      <c r="AN440" s="4">
        <v>0</v>
      </c>
      <c r="AO440" s="4">
        <v>0</v>
      </c>
      <c r="AP440" s="4">
        <v>19</v>
      </c>
      <c r="AQ440" s="4">
        <v>46</v>
      </c>
      <c r="AR440" s="3" t="s">
        <v>62</v>
      </c>
      <c r="AS440" s="3" t="s">
        <v>62</v>
      </c>
      <c r="AT440" s="3" t="s">
        <v>62</v>
      </c>
      <c r="AV440" s="6" t="str">
        <f>HYPERLINK("http://mcgill.on.worldcat.org/oclc/505423766","Catalog Record")</f>
        <v>Catalog Record</v>
      </c>
      <c r="AW440" s="6" t="str">
        <f>HYPERLINK("http://www.worldcat.org/oclc/505423766","WorldCat Record")</f>
        <v>WorldCat Record</v>
      </c>
      <c r="AX440" s="3" t="s">
        <v>4188</v>
      </c>
      <c r="AY440" s="3" t="s">
        <v>4189</v>
      </c>
      <c r="AZ440" s="3" t="s">
        <v>4190</v>
      </c>
      <c r="BA440" s="3" t="s">
        <v>4190</v>
      </c>
      <c r="BB440" s="3" t="s">
        <v>4191</v>
      </c>
      <c r="BC440" s="3" t="s">
        <v>142</v>
      </c>
      <c r="BD440" s="3" t="s">
        <v>68</v>
      </c>
      <c r="BE440" s="3" t="s">
        <v>4192</v>
      </c>
      <c r="BF440" s="3" t="s">
        <v>4191</v>
      </c>
      <c r="BG440" s="3" t="s">
        <v>4193</v>
      </c>
    </row>
    <row r="441" spans="1:59" ht="57" x14ac:dyDescent="0.45">
      <c r="A441" s="2" t="s">
        <v>59</v>
      </c>
      <c r="B441" s="2" t="s">
        <v>60</v>
      </c>
      <c r="C441" s="2" t="s">
        <v>4194</v>
      </c>
      <c r="D441" s="2" t="s">
        <v>4195</v>
      </c>
      <c r="E441" s="2" t="s">
        <v>4196</v>
      </c>
      <c r="G441" s="3" t="s">
        <v>62</v>
      </c>
      <c r="I441" s="3" t="s">
        <v>62</v>
      </c>
      <c r="J441" s="3" t="s">
        <v>62</v>
      </c>
      <c r="K441" s="3" t="s">
        <v>63</v>
      </c>
      <c r="L441" s="2" t="s">
        <v>4197</v>
      </c>
      <c r="M441" s="2" t="s">
        <v>1962</v>
      </c>
      <c r="N441" s="3" t="s">
        <v>149</v>
      </c>
      <c r="P441" s="3" t="s">
        <v>65</v>
      </c>
      <c r="R441" s="3" t="s">
        <v>66</v>
      </c>
      <c r="S441" s="4">
        <v>4</v>
      </c>
      <c r="T441" s="4">
        <v>4</v>
      </c>
      <c r="U441" s="5" t="s">
        <v>4198</v>
      </c>
      <c r="V441" s="5" t="s">
        <v>4198</v>
      </c>
      <c r="W441" s="5" t="s">
        <v>67</v>
      </c>
      <c r="X441" s="5" t="s">
        <v>67</v>
      </c>
      <c r="Y441" s="4">
        <v>216</v>
      </c>
      <c r="Z441" s="4">
        <v>18</v>
      </c>
      <c r="AA441" s="4">
        <v>82</v>
      </c>
      <c r="AB441" s="4">
        <v>1</v>
      </c>
      <c r="AC441" s="4">
        <v>15</v>
      </c>
      <c r="AD441" s="4">
        <v>84</v>
      </c>
      <c r="AE441" s="4">
        <v>126</v>
      </c>
      <c r="AF441" s="4">
        <v>0</v>
      </c>
      <c r="AG441" s="4">
        <v>8</v>
      </c>
      <c r="AH441" s="4">
        <v>77</v>
      </c>
      <c r="AI441" s="4">
        <v>93</v>
      </c>
      <c r="AJ441" s="4">
        <v>12</v>
      </c>
      <c r="AK441" s="4">
        <v>23</v>
      </c>
      <c r="AL441" s="4">
        <v>42</v>
      </c>
      <c r="AM441" s="4">
        <v>50</v>
      </c>
      <c r="AN441" s="4">
        <v>0</v>
      </c>
      <c r="AO441" s="4">
        <v>0</v>
      </c>
      <c r="AP441" s="4">
        <v>14</v>
      </c>
      <c r="AQ441" s="4">
        <v>42</v>
      </c>
      <c r="AR441" s="3" t="s">
        <v>62</v>
      </c>
      <c r="AS441" s="3" t="s">
        <v>62</v>
      </c>
      <c r="AT441" s="3" t="s">
        <v>62</v>
      </c>
      <c r="AV441" s="6" t="str">
        <f>HYPERLINK("http://mcgill.on.worldcat.org/oclc/643763601","Catalog Record")</f>
        <v>Catalog Record</v>
      </c>
      <c r="AW441" s="6" t="str">
        <f>HYPERLINK("http://www.worldcat.org/oclc/643763601","WorldCat Record")</f>
        <v>WorldCat Record</v>
      </c>
      <c r="AX441" s="3" t="s">
        <v>4199</v>
      </c>
      <c r="AY441" s="3" t="s">
        <v>4200</v>
      </c>
      <c r="AZ441" s="3" t="s">
        <v>4201</v>
      </c>
      <c r="BA441" s="3" t="s">
        <v>4201</v>
      </c>
      <c r="BB441" s="3" t="s">
        <v>4202</v>
      </c>
      <c r="BC441" s="3" t="s">
        <v>142</v>
      </c>
      <c r="BD441" s="3" t="s">
        <v>68</v>
      </c>
      <c r="BE441" s="3" t="s">
        <v>4203</v>
      </c>
      <c r="BF441" s="3" t="s">
        <v>4202</v>
      </c>
      <c r="BG441" s="3" t="s">
        <v>4204</v>
      </c>
    </row>
    <row r="442" spans="1:59" ht="57" x14ac:dyDescent="0.45">
      <c r="A442" s="2" t="s">
        <v>59</v>
      </c>
      <c r="B442" s="2" t="s">
        <v>60</v>
      </c>
      <c r="C442" s="2" t="s">
        <v>4205</v>
      </c>
      <c r="D442" s="2" t="s">
        <v>4206</v>
      </c>
      <c r="E442" s="2" t="s">
        <v>4207</v>
      </c>
      <c r="G442" s="3" t="s">
        <v>62</v>
      </c>
      <c r="I442" s="3" t="s">
        <v>62</v>
      </c>
      <c r="J442" s="3" t="s">
        <v>62</v>
      </c>
      <c r="K442" s="3" t="s">
        <v>63</v>
      </c>
      <c r="L442" s="2" t="s">
        <v>4197</v>
      </c>
      <c r="M442" s="2" t="s">
        <v>4208</v>
      </c>
      <c r="N442" s="3" t="s">
        <v>970</v>
      </c>
      <c r="P442" s="3" t="s">
        <v>65</v>
      </c>
      <c r="R442" s="3" t="s">
        <v>66</v>
      </c>
      <c r="S442" s="4">
        <v>8</v>
      </c>
      <c r="T442" s="4">
        <v>8</v>
      </c>
      <c r="U442" s="5" t="s">
        <v>3758</v>
      </c>
      <c r="V442" s="5" t="s">
        <v>3758</v>
      </c>
      <c r="W442" s="5" t="s">
        <v>67</v>
      </c>
      <c r="X442" s="5" t="s">
        <v>67</v>
      </c>
      <c r="Y442" s="4">
        <v>226</v>
      </c>
      <c r="Z442" s="4">
        <v>20</v>
      </c>
      <c r="AA442" s="4">
        <v>32</v>
      </c>
      <c r="AB442" s="4">
        <v>2</v>
      </c>
      <c r="AC442" s="4">
        <v>8</v>
      </c>
      <c r="AD442" s="4">
        <v>81</v>
      </c>
      <c r="AE442" s="4">
        <v>110</v>
      </c>
      <c r="AF442" s="4">
        <v>0</v>
      </c>
      <c r="AG442" s="4">
        <v>3</v>
      </c>
      <c r="AH442" s="4">
        <v>73</v>
      </c>
      <c r="AI442" s="4">
        <v>97</v>
      </c>
      <c r="AJ442" s="4">
        <v>11</v>
      </c>
      <c r="AK442" s="4">
        <v>19</v>
      </c>
      <c r="AL442" s="4">
        <v>36</v>
      </c>
      <c r="AM442" s="4">
        <v>51</v>
      </c>
      <c r="AN442" s="4">
        <v>0</v>
      </c>
      <c r="AO442" s="4">
        <v>0</v>
      </c>
      <c r="AP442" s="4">
        <v>15</v>
      </c>
      <c r="AQ442" s="4">
        <v>22</v>
      </c>
      <c r="AR442" s="3" t="s">
        <v>62</v>
      </c>
      <c r="AS442" s="3" t="s">
        <v>62</v>
      </c>
      <c r="AT442" s="3" t="s">
        <v>61</v>
      </c>
      <c r="AU442" s="6" t="str">
        <f>HYPERLINK("http://catalog.hathitrust.org/Record/009801069","HathiTrust Record")</f>
        <v>HathiTrust Record</v>
      </c>
      <c r="AV442" s="6" t="str">
        <f>HYPERLINK("http://mcgill.on.worldcat.org/oclc/48074040","Catalog Record")</f>
        <v>Catalog Record</v>
      </c>
      <c r="AW442" s="6" t="str">
        <f>HYPERLINK("http://www.worldcat.org/oclc/48074040","WorldCat Record")</f>
        <v>WorldCat Record</v>
      </c>
      <c r="AX442" s="3" t="s">
        <v>4209</v>
      </c>
      <c r="AY442" s="3" t="s">
        <v>4210</v>
      </c>
      <c r="AZ442" s="3" t="s">
        <v>4211</v>
      </c>
      <c r="BA442" s="3" t="s">
        <v>4211</v>
      </c>
      <c r="BB442" s="3" t="s">
        <v>4212</v>
      </c>
      <c r="BC442" s="3" t="s">
        <v>142</v>
      </c>
      <c r="BD442" s="3" t="s">
        <v>68</v>
      </c>
      <c r="BE442" s="3" t="s">
        <v>4213</v>
      </c>
      <c r="BF442" s="3" t="s">
        <v>4212</v>
      </c>
      <c r="BG442" s="3" t="s">
        <v>4214</v>
      </c>
    </row>
    <row r="443" spans="1:59" ht="57" x14ac:dyDescent="0.45">
      <c r="A443" s="2" t="s">
        <v>59</v>
      </c>
      <c r="B443" s="2" t="s">
        <v>60</v>
      </c>
      <c r="C443" s="2" t="s">
        <v>4215</v>
      </c>
      <c r="D443" s="2" t="s">
        <v>4216</v>
      </c>
      <c r="E443" s="2" t="s">
        <v>4217</v>
      </c>
      <c r="G443" s="3" t="s">
        <v>62</v>
      </c>
      <c r="I443" s="3" t="s">
        <v>61</v>
      </c>
      <c r="J443" s="3" t="s">
        <v>61</v>
      </c>
      <c r="K443" s="3" t="s">
        <v>63</v>
      </c>
      <c r="L443" s="2" t="s">
        <v>4197</v>
      </c>
      <c r="M443" s="2" t="s">
        <v>4218</v>
      </c>
      <c r="N443" s="3" t="s">
        <v>958</v>
      </c>
      <c r="O443" s="2" t="s">
        <v>4219</v>
      </c>
      <c r="P443" s="3" t="s">
        <v>65</v>
      </c>
      <c r="R443" s="3" t="s">
        <v>66</v>
      </c>
      <c r="S443" s="4">
        <v>20</v>
      </c>
      <c r="T443" s="4">
        <v>36</v>
      </c>
      <c r="U443" s="5" t="s">
        <v>4220</v>
      </c>
      <c r="V443" s="5" t="s">
        <v>4220</v>
      </c>
      <c r="W443" s="5" t="s">
        <v>67</v>
      </c>
      <c r="X443" s="5" t="s">
        <v>67</v>
      </c>
      <c r="Y443" s="4">
        <v>208</v>
      </c>
      <c r="Z443" s="4">
        <v>13</v>
      </c>
      <c r="AA443" s="4">
        <v>45</v>
      </c>
      <c r="AB443" s="4">
        <v>1</v>
      </c>
      <c r="AC443" s="4">
        <v>5</v>
      </c>
      <c r="AD443" s="4">
        <v>45</v>
      </c>
      <c r="AE443" s="4">
        <v>125</v>
      </c>
      <c r="AF443" s="4">
        <v>0</v>
      </c>
      <c r="AG443" s="4">
        <v>3</v>
      </c>
      <c r="AH443" s="4">
        <v>36</v>
      </c>
      <c r="AI443" s="4">
        <v>102</v>
      </c>
      <c r="AJ443" s="4">
        <v>6</v>
      </c>
      <c r="AK443" s="4">
        <v>19</v>
      </c>
      <c r="AL443" s="4">
        <v>21</v>
      </c>
      <c r="AM443" s="4">
        <v>54</v>
      </c>
      <c r="AN443" s="4">
        <v>0</v>
      </c>
      <c r="AO443" s="4">
        <v>0</v>
      </c>
      <c r="AP443" s="4">
        <v>9</v>
      </c>
      <c r="AQ443" s="4">
        <v>29</v>
      </c>
      <c r="AR443" s="3" t="s">
        <v>62</v>
      </c>
      <c r="AS443" s="3" t="s">
        <v>62</v>
      </c>
      <c r="AT443" s="3" t="s">
        <v>62</v>
      </c>
      <c r="AV443" s="6" t="str">
        <f>HYPERLINK("http://mcgill.on.worldcat.org/oclc/34053254","Catalog Record")</f>
        <v>Catalog Record</v>
      </c>
      <c r="AW443" s="6" t="str">
        <f>HYPERLINK("http://www.worldcat.org/oclc/34053254","WorldCat Record")</f>
        <v>WorldCat Record</v>
      </c>
      <c r="AX443" s="3" t="s">
        <v>4221</v>
      </c>
      <c r="AY443" s="3" t="s">
        <v>4222</v>
      </c>
      <c r="AZ443" s="3" t="s">
        <v>4223</v>
      </c>
      <c r="BA443" s="3" t="s">
        <v>4223</v>
      </c>
      <c r="BB443" s="3" t="s">
        <v>4224</v>
      </c>
      <c r="BC443" s="3" t="s">
        <v>142</v>
      </c>
      <c r="BD443" s="3" t="s">
        <v>68</v>
      </c>
      <c r="BE443" s="3" t="s">
        <v>4225</v>
      </c>
      <c r="BF443" s="3" t="s">
        <v>4224</v>
      </c>
      <c r="BG443" s="3" t="s">
        <v>4226</v>
      </c>
    </row>
    <row r="444" spans="1:59" ht="57" x14ac:dyDescent="0.45">
      <c r="A444" s="2" t="s">
        <v>59</v>
      </c>
      <c r="B444" s="2" t="s">
        <v>60</v>
      </c>
      <c r="C444" s="2" t="s">
        <v>4215</v>
      </c>
      <c r="D444" s="2" t="s">
        <v>4216</v>
      </c>
      <c r="E444" s="2" t="s">
        <v>4217</v>
      </c>
      <c r="G444" s="3" t="s">
        <v>62</v>
      </c>
      <c r="I444" s="3" t="s">
        <v>61</v>
      </c>
      <c r="J444" s="3" t="s">
        <v>61</v>
      </c>
      <c r="K444" s="3" t="s">
        <v>63</v>
      </c>
      <c r="L444" s="2" t="s">
        <v>4197</v>
      </c>
      <c r="M444" s="2" t="s">
        <v>4218</v>
      </c>
      <c r="N444" s="3" t="s">
        <v>958</v>
      </c>
      <c r="O444" s="2" t="s">
        <v>4219</v>
      </c>
      <c r="P444" s="3" t="s">
        <v>65</v>
      </c>
      <c r="R444" s="3" t="s">
        <v>66</v>
      </c>
      <c r="S444" s="4">
        <v>16</v>
      </c>
      <c r="T444" s="4">
        <v>36</v>
      </c>
      <c r="U444" s="5" t="s">
        <v>3437</v>
      </c>
      <c r="V444" s="5" t="s">
        <v>4220</v>
      </c>
      <c r="W444" s="5" t="s">
        <v>67</v>
      </c>
      <c r="X444" s="5" t="s">
        <v>67</v>
      </c>
      <c r="Y444" s="4">
        <v>208</v>
      </c>
      <c r="Z444" s="4">
        <v>13</v>
      </c>
      <c r="AA444" s="4">
        <v>45</v>
      </c>
      <c r="AB444" s="4">
        <v>1</v>
      </c>
      <c r="AC444" s="4">
        <v>5</v>
      </c>
      <c r="AD444" s="4">
        <v>45</v>
      </c>
      <c r="AE444" s="4">
        <v>125</v>
      </c>
      <c r="AF444" s="4">
        <v>0</v>
      </c>
      <c r="AG444" s="4">
        <v>3</v>
      </c>
      <c r="AH444" s="4">
        <v>36</v>
      </c>
      <c r="AI444" s="4">
        <v>102</v>
      </c>
      <c r="AJ444" s="4">
        <v>6</v>
      </c>
      <c r="AK444" s="4">
        <v>19</v>
      </c>
      <c r="AL444" s="4">
        <v>21</v>
      </c>
      <c r="AM444" s="4">
        <v>54</v>
      </c>
      <c r="AN444" s="4">
        <v>0</v>
      </c>
      <c r="AO444" s="4">
        <v>0</v>
      </c>
      <c r="AP444" s="4">
        <v>9</v>
      </c>
      <c r="AQ444" s="4">
        <v>29</v>
      </c>
      <c r="AR444" s="3" t="s">
        <v>62</v>
      </c>
      <c r="AS444" s="3" t="s">
        <v>62</v>
      </c>
      <c r="AT444" s="3" t="s">
        <v>62</v>
      </c>
      <c r="AV444" s="6" t="str">
        <f>HYPERLINK("http://mcgill.on.worldcat.org/oclc/34053254","Catalog Record")</f>
        <v>Catalog Record</v>
      </c>
      <c r="AW444" s="6" t="str">
        <f>HYPERLINK("http://www.worldcat.org/oclc/34053254","WorldCat Record")</f>
        <v>WorldCat Record</v>
      </c>
      <c r="AX444" s="3" t="s">
        <v>4221</v>
      </c>
      <c r="AY444" s="3" t="s">
        <v>4222</v>
      </c>
      <c r="AZ444" s="3" t="s">
        <v>4223</v>
      </c>
      <c r="BA444" s="3" t="s">
        <v>4223</v>
      </c>
      <c r="BB444" s="3" t="s">
        <v>4227</v>
      </c>
      <c r="BC444" s="3" t="s">
        <v>142</v>
      </c>
      <c r="BD444" s="3" t="s">
        <v>68</v>
      </c>
      <c r="BE444" s="3" t="s">
        <v>4225</v>
      </c>
      <c r="BF444" s="3" t="s">
        <v>4227</v>
      </c>
      <c r="BG444" s="3" t="s">
        <v>4228</v>
      </c>
    </row>
    <row r="445" spans="1:59" ht="57" x14ac:dyDescent="0.45">
      <c r="A445" s="2" t="s">
        <v>59</v>
      </c>
      <c r="B445" s="2" t="s">
        <v>60</v>
      </c>
      <c r="C445" s="2" t="s">
        <v>4229</v>
      </c>
      <c r="D445" s="2" t="s">
        <v>4230</v>
      </c>
      <c r="E445" s="2" t="s">
        <v>4231</v>
      </c>
      <c r="G445" s="3" t="s">
        <v>62</v>
      </c>
      <c r="I445" s="3" t="s">
        <v>62</v>
      </c>
      <c r="J445" s="3" t="s">
        <v>62</v>
      </c>
      <c r="K445" s="3" t="s">
        <v>63</v>
      </c>
      <c r="L445" s="2" t="s">
        <v>4232</v>
      </c>
      <c r="M445" s="2" t="s">
        <v>4233</v>
      </c>
      <c r="N445" s="3" t="s">
        <v>149</v>
      </c>
      <c r="P445" s="3" t="s">
        <v>65</v>
      </c>
      <c r="Q445" s="2" t="s">
        <v>4234</v>
      </c>
      <c r="R445" s="3" t="s">
        <v>66</v>
      </c>
      <c r="S445" s="4">
        <v>2</v>
      </c>
      <c r="T445" s="4">
        <v>2</v>
      </c>
      <c r="U445" s="5" t="s">
        <v>3437</v>
      </c>
      <c r="V445" s="5" t="s">
        <v>3437</v>
      </c>
      <c r="W445" s="5" t="s">
        <v>67</v>
      </c>
      <c r="X445" s="5" t="s">
        <v>67</v>
      </c>
      <c r="Y445" s="4">
        <v>117</v>
      </c>
      <c r="Z445" s="4">
        <v>11</v>
      </c>
      <c r="AA445" s="4">
        <v>86</v>
      </c>
      <c r="AB445" s="4">
        <v>1</v>
      </c>
      <c r="AC445" s="4">
        <v>15</v>
      </c>
      <c r="AD445" s="4">
        <v>31</v>
      </c>
      <c r="AE445" s="4">
        <v>116</v>
      </c>
      <c r="AF445" s="4">
        <v>0</v>
      </c>
      <c r="AG445" s="4">
        <v>8</v>
      </c>
      <c r="AH445" s="4">
        <v>27</v>
      </c>
      <c r="AI445" s="4">
        <v>79</v>
      </c>
      <c r="AJ445" s="4">
        <v>7</v>
      </c>
      <c r="AK445" s="4">
        <v>25</v>
      </c>
      <c r="AL445" s="4">
        <v>19</v>
      </c>
      <c r="AM445" s="4">
        <v>43</v>
      </c>
      <c r="AN445" s="4">
        <v>0</v>
      </c>
      <c r="AO445" s="4">
        <v>0</v>
      </c>
      <c r="AP445" s="4">
        <v>7</v>
      </c>
      <c r="AQ445" s="4">
        <v>45</v>
      </c>
      <c r="AR445" s="3" t="s">
        <v>62</v>
      </c>
      <c r="AS445" s="3" t="s">
        <v>62</v>
      </c>
      <c r="AT445" s="3" t="s">
        <v>62</v>
      </c>
      <c r="AV445" s="6" t="str">
        <f>HYPERLINK("http://mcgill.on.worldcat.org/oclc/320798929","Catalog Record")</f>
        <v>Catalog Record</v>
      </c>
      <c r="AW445" s="6" t="str">
        <f>HYPERLINK("http://www.worldcat.org/oclc/320798929","WorldCat Record")</f>
        <v>WorldCat Record</v>
      </c>
      <c r="AX445" s="3" t="s">
        <v>4235</v>
      </c>
      <c r="AY445" s="3" t="s">
        <v>4236</v>
      </c>
      <c r="AZ445" s="3" t="s">
        <v>4237</v>
      </c>
      <c r="BA445" s="3" t="s">
        <v>4237</v>
      </c>
      <c r="BB445" s="3" t="s">
        <v>4238</v>
      </c>
      <c r="BC445" s="3" t="s">
        <v>142</v>
      </c>
      <c r="BD445" s="3" t="s">
        <v>68</v>
      </c>
      <c r="BE445" s="3" t="s">
        <v>4239</v>
      </c>
      <c r="BF445" s="3" t="s">
        <v>4238</v>
      </c>
      <c r="BG445" s="3" t="s">
        <v>4240</v>
      </c>
    </row>
    <row r="446" spans="1:59" ht="57" x14ac:dyDescent="0.45">
      <c r="A446" s="2" t="s">
        <v>59</v>
      </c>
      <c r="B446" s="2" t="s">
        <v>412</v>
      </c>
      <c r="C446" s="2" t="s">
        <v>4241</v>
      </c>
      <c r="D446" s="2" t="s">
        <v>4242</v>
      </c>
      <c r="E446" s="2" t="s">
        <v>4243</v>
      </c>
      <c r="G446" s="3" t="s">
        <v>62</v>
      </c>
      <c r="I446" s="3" t="s">
        <v>62</v>
      </c>
      <c r="J446" s="3" t="s">
        <v>62</v>
      </c>
      <c r="K446" s="3" t="s">
        <v>63</v>
      </c>
      <c r="L446" s="2" t="s">
        <v>4244</v>
      </c>
      <c r="M446" s="2" t="s">
        <v>4245</v>
      </c>
      <c r="N446" s="3" t="s">
        <v>1155</v>
      </c>
      <c r="P446" s="3" t="s">
        <v>65</v>
      </c>
      <c r="Q446" s="2" t="s">
        <v>4246</v>
      </c>
      <c r="R446" s="3" t="s">
        <v>66</v>
      </c>
      <c r="S446" s="4">
        <v>11</v>
      </c>
      <c r="T446" s="4">
        <v>11</v>
      </c>
      <c r="U446" s="5" t="s">
        <v>2036</v>
      </c>
      <c r="V446" s="5" t="s">
        <v>2036</v>
      </c>
      <c r="W446" s="5" t="s">
        <v>67</v>
      </c>
      <c r="X446" s="5" t="s">
        <v>67</v>
      </c>
      <c r="Y446" s="4">
        <v>136</v>
      </c>
      <c r="Z446" s="4">
        <v>10</v>
      </c>
      <c r="AA446" s="4">
        <v>56</v>
      </c>
      <c r="AB446" s="4">
        <v>1</v>
      </c>
      <c r="AC446" s="4">
        <v>8</v>
      </c>
      <c r="AD446" s="4">
        <v>26</v>
      </c>
      <c r="AE446" s="4">
        <v>60</v>
      </c>
      <c r="AF446" s="4">
        <v>0</v>
      </c>
      <c r="AG446" s="4">
        <v>4</v>
      </c>
      <c r="AH446" s="4">
        <v>23</v>
      </c>
      <c r="AI446" s="4">
        <v>42</v>
      </c>
      <c r="AJ446" s="4">
        <v>5</v>
      </c>
      <c r="AK446" s="4">
        <v>16</v>
      </c>
      <c r="AL446" s="4">
        <v>10</v>
      </c>
      <c r="AM446" s="4">
        <v>22</v>
      </c>
      <c r="AN446" s="4">
        <v>0</v>
      </c>
      <c r="AO446" s="4">
        <v>0</v>
      </c>
      <c r="AP446" s="4">
        <v>8</v>
      </c>
      <c r="AQ446" s="4">
        <v>25</v>
      </c>
      <c r="AR446" s="3" t="s">
        <v>62</v>
      </c>
      <c r="AS446" s="3" t="s">
        <v>62</v>
      </c>
      <c r="AT446" s="3" t="s">
        <v>62</v>
      </c>
      <c r="AV446" s="6" t="str">
        <f>HYPERLINK("http://mcgill.on.worldcat.org/oclc/733222223","Catalog Record")</f>
        <v>Catalog Record</v>
      </c>
      <c r="AW446" s="6" t="str">
        <f>HYPERLINK("http://www.worldcat.org/oclc/733222223","WorldCat Record")</f>
        <v>WorldCat Record</v>
      </c>
      <c r="AX446" s="3" t="s">
        <v>4247</v>
      </c>
      <c r="AY446" s="3" t="s">
        <v>4248</v>
      </c>
      <c r="AZ446" s="3" t="s">
        <v>4249</v>
      </c>
      <c r="BA446" s="3" t="s">
        <v>4249</v>
      </c>
      <c r="BB446" s="3" t="s">
        <v>4250</v>
      </c>
      <c r="BC446" s="3" t="s">
        <v>142</v>
      </c>
      <c r="BD446" s="3" t="s">
        <v>308</v>
      </c>
      <c r="BE446" s="3" t="s">
        <v>4251</v>
      </c>
      <c r="BF446" s="3" t="s">
        <v>4250</v>
      </c>
      <c r="BG446" s="3" t="s">
        <v>4252</v>
      </c>
    </row>
    <row r="447" spans="1:59" ht="57" x14ac:dyDescent="0.45">
      <c r="A447" s="2" t="s">
        <v>59</v>
      </c>
      <c r="B447" s="2" t="s">
        <v>60</v>
      </c>
      <c r="C447" s="2" t="s">
        <v>4253</v>
      </c>
      <c r="D447" s="2" t="s">
        <v>4254</v>
      </c>
      <c r="E447" s="2" t="s">
        <v>4255</v>
      </c>
      <c r="G447" s="3" t="s">
        <v>62</v>
      </c>
      <c r="I447" s="3" t="s">
        <v>61</v>
      </c>
      <c r="J447" s="3" t="s">
        <v>61</v>
      </c>
      <c r="K447" s="3" t="s">
        <v>63</v>
      </c>
      <c r="L447" s="2" t="s">
        <v>4256</v>
      </c>
      <c r="M447" s="2" t="s">
        <v>4257</v>
      </c>
      <c r="N447" s="3" t="s">
        <v>970</v>
      </c>
      <c r="O447" s="2" t="s">
        <v>420</v>
      </c>
      <c r="P447" s="3" t="s">
        <v>65</v>
      </c>
      <c r="Q447" s="2" t="s">
        <v>4258</v>
      </c>
      <c r="R447" s="3" t="s">
        <v>66</v>
      </c>
      <c r="S447" s="4">
        <v>31</v>
      </c>
      <c r="T447" s="4">
        <v>61</v>
      </c>
      <c r="U447" s="5" t="s">
        <v>1526</v>
      </c>
      <c r="V447" s="5" t="s">
        <v>1526</v>
      </c>
      <c r="W447" s="5" t="s">
        <v>67</v>
      </c>
      <c r="X447" s="5" t="s">
        <v>67</v>
      </c>
      <c r="Y447" s="4">
        <v>226</v>
      </c>
      <c r="Z447" s="4">
        <v>22</v>
      </c>
      <c r="AA447" s="4">
        <v>79</v>
      </c>
      <c r="AB447" s="4">
        <v>3</v>
      </c>
      <c r="AC447" s="4">
        <v>13</v>
      </c>
      <c r="AD447" s="4">
        <v>49</v>
      </c>
      <c r="AE447" s="4">
        <v>146</v>
      </c>
      <c r="AF447" s="4">
        <v>1</v>
      </c>
      <c r="AG447" s="4">
        <v>5</v>
      </c>
      <c r="AH447" s="4">
        <v>38</v>
      </c>
      <c r="AI447" s="4">
        <v>109</v>
      </c>
      <c r="AJ447" s="4">
        <v>10</v>
      </c>
      <c r="AK447" s="4">
        <v>27</v>
      </c>
      <c r="AL447" s="4">
        <v>20</v>
      </c>
      <c r="AM447" s="4">
        <v>58</v>
      </c>
      <c r="AN447" s="4">
        <v>0</v>
      </c>
      <c r="AO447" s="4">
        <v>0</v>
      </c>
      <c r="AP447" s="4">
        <v>15</v>
      </c>
      <c r="AQ447" s="4">
        <v>45</v>
      </c>
      <c r="AR447" s="3" t="s">
        <v>62</v>
      </c>
      <c r="AS447" s="3" t="s">
        <v>62</v>
      </c>
      <c r="AT447" s="3" t="s">
        <v>62</v>
      </c>
      <c r="AV447" s="6" t="str">
        <f>HYPERLINK("http://mcgill.on.worldcat.org/oclc/46641904","Catalog Record")</f>
        <v>Catalog Record</v>
      </c>
      <c r="AW447" s="6" t="str">
        <f>HYPERLINK("http://www.worldcat.org/oclc/46641904","WorldCat Record")</f>
        <v>WorldCat Record</v>
      </c>
      <c r="AX447" s="3" t="s">
        <v>4259</v>
      </c>
      <c r="AY447" s="3" t="s">
        <v>4260</v>
      </c>
      <c r="AZ447" s="3" t="s">
        <v>4261</v>
      </c>
      <c r="BA447" s="3" t="s">
        <v>4261</v>
      </c>
      <c r="BB447" s="3" t="s">
        <v>4262</v>
      </c>
      <c r="BC447" s="3" t="s">
        <v>142</v>
      </c>
      <c r="BD447" s="3" t="s">
        <v>68</v>
      </c>
      <c r="BE447" s="3" t="s">
        <v>4263</v>
      </c>
      <c r="BF447" s="3" t="s">
        <v>4262</v>
      </c>
      <c r="BG447" s="3" t="s">
        <v>4264</v>
      </c>
    </row>
    <row r="448" spans="1:59" ht="57" x14ac:dyDescent="0.45">
      <c r="A448" s="2" t="s">
        <v>59</v>
      </c>
      <c r="B448" s="2" t="s">
        <v>60</v>
      </c>
      <c r="C448" s="2" t="s">
        <v>4253</v>
      </c>
      <c r="D448" s="2" t="s">
        <v>4254</v>
      </c>
      <c r="E448" s="2" t="s">
        <v>4255</v>
      </c>
      <c r="G448" s="3" t="s">
        <v>62</v>
      </c>
      <c r="I448" s="3" t="s">
        <v>61</v>
      </c>
      <c r="J448" s="3" t="s">
        <v>61</v>
      </c>
      <c r="K448" s="3" t="s">
        <v>63</v>
      </c>
      <c r="L448" s="2" t="s">
        <v>4256</v>
      </c>
      <c r="M448" s="2" t="s">
        <v>4257</v>
      </c>
      <c r="N448" s="3" t="s">
        <v>970</v>
      </c>
      <c r="O448" s="2" t="s">
        <v>420</v>
      </c>
      <c r="P448" s="3" t="s">
        <v>65</v>
      </c>
      <c r="Q448" s="2" t="s">
        <v>4258</v>
      </c>
      <c r="R448" s="3" t="s">
        <v>66</v>
      </c>
      <c r="S448" s="4">
        <v>30</v>
      </c>
      <c r="T448" s="4">
        <v>61</v>
      </c>
      <c r="U448" s="5" t="s">
        <v>4265</v>
      </c>
      <c r="V448" s="5" t="s">
        <v>1526</v>
      </c>
      <c r="W448" s="5" t="s">
        <v>67</v>
      </c>
      <c r="X448" s="5" t="s">
        <v>67</v>
      </c>
      <c r="Y448" s="4">
        <v>226</v>
      </c>
      <c r="Z448" s="4">
        <v>22</v>
      </c>
      <c r="AA448" s="4">
        <v>79</v>
      </c>
      <c r="AB448" s="4">
        <v>3</v>
      </c>
      <c r="AC448" s="4">
        <v>13</v>
      </c>
      <c r="AD448" s="4">
        <v>49</v>
      </c>
      <c r="AE448" s="4">
        <v>146</v>
      </c>
      <c r="AF448" s="4">
        <v>1</v>
      </c>
      <c r="AG448" s="4">
        <v>5</v>
      </c>
      <c r="AH448" s="4">
        <v>38</v>
      </c>
      <c r="AI448" s="4">
        <v>109</v>
      </c>
      <c r="AJ448" s="4">
        <v>10</v>
      </c>
      <c r="AK448" s="4">
        <v>27</v>
      </c>
      <c r="AL448" s="4">
        <v>20</v>
      </c>
      <c r="AM448" s="4">
        <v>58</v>
      </c>
      <c r="AN448" s="4">
        <v>0</v>
      </c>
      <c r="AO448" s="4">
        <v>0</v>
      </c>
      <c r="AP448" s="4">
        <v>15</v>
      </c>
      <c r="AQ448" s="4">
        <v>45</v>
      </c>
      <c r="AR448" s="3" t="s">
        <v>62</v>
      </c>
      <c r="AS448" s="3" t="s">
        <v>62</v>
      </c>
      <c r="AT448" s="3" t="s">
        <v>62</v>
      </c>
      <c r="AV448" s="6" t="str">
        <f>HYPERLINK("http://mcgill.on.worldcat.org/oclc/46641904","Catalog Record")</f>
        <v>Catalog Record</v>
      </c>
      <c r="AW448" s="6" t="str">
        <f>HYPERLINK("http://www.worldcat.org/oclc/46641904","WorldCat Record")</f>
        <v>WorldCat Record</v>
      </c>
      <c r="AX448" s="3" t="s">
        <v>4259</v>
      </c>
      <c r="AY448" s="3" t="s">
        <v>4260</v>
      </c>
      <c r="AZ448" s="3" t="s">
        <v>4261</v>
      </c>
      <c r="BA448" s="3" t="s">
        <v>4261</v>
      </c>
      <c r="BB448" s="3" t="s">
        <v>4266</v>
      </c>
      <c r="BC448" s="3" t="s">
        <v>142</v>
      </c>
      <c r="BD448" s="3" t="s">
        <v>68</v>
      </c>
      <c r="BE448" s="3" t="s">
        <v>4263</v>
      </c>
      <c r="BF448" s="3" t="s">
        <v>4266</v>
      </c>
      <c r="BG448" s="3" t="s">
        <v>4267</v>
      </c>
    </row>
    <row r="449" spans="1:59" ht="57" x14ac:dyDescent="0.45">
      <c r="A449" s="2" t="s">
        <v>59</v>
      </c>
      <c r="B449" s="2" t="s">
        <v>412</v>
      </c>
      <c r="C449" s="2" t="s">
        <v>4268</v>
      </c>
      <c r="D449" s="2" t="s">
        <v>4269</v>
      </c>
      <c r="E449" s="2" t="s">
        <v>4255</v>
      </c>
      <c r="G449" s="3" t="s">
        <v>62</v>
      </c>
      <c r="I449" s="3" t="s">
        <v>61</v>
      </c>
      <c r="J449" s="3" t="s">
        <v>61</v>
      </c>
      <c r="K449" s="3" t="s">
        <v>63</v>
      </c>
      <c r="L449" s="2" t="s">
        <v>4256</v>
      </c>
      <c r="M449" s="2" t="s">
        <v>4270</v>
      </c>
      <c r="N449" s="3" t="s">
        <v>1059</v>
      </c>
      <c r="O449" s="2" t="s">
        <v>919</v>
      </c>
      <c r="P449" s="3" t="s">
        <v>65</v>
      </c>
      <c r="Q449" s="2" t="s">
        <v>4258</v>
      </c>
      <c r="R449" s="3" t="s">
        <v>66</v>
      </c>
      <c r="S449" s="4">
        <v>28</v>
      </c>
      <c r="T449" s="4">
        <v>43</v>
      </c>
      <c r="U449" s="5" t="s">
        <v>1857</v>
      </c>
      <c r="V449" s="5" t="s">
        <v>1857</v>
      </c>
      <c r="W449" s="5" t="s">
        <v>67</v>
      </c>
      <c r="X449" s="5" t="s">
        <v>67</v>
      </c>
      <c r="Y449" s="4">
        <v>224</v>
      </c>
      <c r="Z449" s="4">
        <v>22</v>
      </c>
      <c r="AA449" s="4">
        <v>79</v>
      </c>
      <c r="AB449" s="4">
        <v>2</v>
      </c>
      <c r="AC449" s="4">
        <v>13</v>
      </c>
      <c r="AD449" s="4">
        <v>50</v>
      </c>
      <c r="AE449" s="4">
        <v>146</v>
      </c>
      <c r="AF449" s="4">
        <v>1</v>
      </c>
      <c r="AG449" s="4">
        <v>5</v>
      </c>
      <c r="AH449" s="4">
        <v>39</v>
      </c>
      <c r="AI449" s="4">
        <v>109</v>
      </c>
      <c r="AJ449" s="4">
        <v>13</v>
      </c>
      <c r="AK449" s="4">
        <v>27</v>
      </c>
      <c r="AL449" s="4">
        <v>24</v>
      </c>
      <c r="AM449" s="4">
        <v>58</v>
      </c>
      <c r="AN449" s="4">
        <v>0</v>
      </c>
      <c r="AO449" s="4">
        <v>0</v>
      </c>
      <c r="AP449" s="4">
        <v>14</v>
      </c>
      <c r="AQ449" s="4">
        <v>45</v>
      </c>
      <c r="AR449" s="3" t="s">
        <v>62</v>
      </c>
      <c r="AS449" s="3" t="s">
        <v>62</v>
      </c>
      <c r="AT449" s="3" t="s">
        <v>62</v>
      </c>
      <c r="AV449" s="6" t="str">
        <f>HYPERLINK("http://mcgill.on.worldcat.org/oclc/60835457","Catalog Record")</f>
        <v>Catalog Record</v>
      </c>
      <c r="AW449" s="6" t="str">
        <f>HYPERLINK("http://www.worldcat.org/oclc/60835457","WorldCat Record")</f>
        <v>WorldCat Record</v>
      </c>
      <c r="AX449" s="3" t="s">
        <v>4259</v>
      </c>
      <c r="AY449" s="3" t="s">
        <v>4271</v>
      </c>
      <c r="AZ449" s="3" t="s">
        <v>4272</v>
      </c>
      <c r="BA449" s="3" t="s">
        <v>4272</v>
      </c>
      <c r="BB449" s="3" t="s">
        <v>4273</v>
      </c>
      <c r="BC449" s="3" t="s">
        <v>142</v>
      </c>
      <c r="BD449" s="3" t="s">
        <v>68</v>
      </c>
      <c r="BE449" s="3" t="s">
        <v>4274</v>
      </c>
      <c r="BF449" s="3" t="s">
        <v>4273</v>
      </c>
      <c r="BG449" s="3" t="s">
        <v>4275</v>
      </c>
    </row>
    <row r="450" spans="1:59" ht="57" x14ac:dyDescent="0.45">
      <c r="A450" s="2" t="s">
        <v>59</v>
      </c>
      <c r="B450" s="2" t="s">
        <v>60</v>
      </c>
      <c r="C450" s="2" t="s">
        <v>4268</v>
      </c>
      <c r="D450" s="2" t="s">
        <v>4269</v>
      </c>
      <c r="E450" s="2" t="s">
        <v>4255</v>
      </c>
      <c r="G450" s="3" t="s">
        <v>62</v>
      </c>
      <c r="I450" s="3" t="s">
        <v>61</v>
      </c>
      <c r="J450" s="3" t="s">
        <v>61</v>
      </c>
      <c r="K450" s="3" t="s">
        <v>63</v>
      </c>
      <c r="L450" s="2" t="s">
        <v>4256</v>
      </c>
      <c r="M450" s="2" t="s">
        <v>4270</v>
      </c>
      <c r="N450" s="3" t="s">
        <v>1059</v>
      </c>
      <c r="O450" s="2" t="s">
        <v>919</v>
      </c>
      <c r="P450" s="3" t="s">
        <v>65</v>
      </c>
      <c r="Q450" s="2" t="s">
        <v>4258</v>
      </c>
      <c r="R450" s="3" t="s">
        <v>66</v>
      </c>
      <c r="S450" s="4">
        <v>15</v>
      </c>
      <c r="T450" s="4">
        <v>43</v>
      </c>
      <c r="U450" s="5" t="s">
        <v>4276</v>
      </c>
      <c r="V450" s="5" t="s">
        <v>1857</v>
      </c>
      <c r="W450" s="5" t="s">
        <v>67</v>
      </c>
      <c r="X450" s="5" t="s">
        <v>67</v>
      </c>
      <c r="Y450" s="4">
        <v>224</v>
      </c>
      <c r="Z450" s="4">
        <v>22</v>
      </c>
      <c r="AA450" s="4">
        <v>79</v>
      </c>
      <c r="AB450" s="4">
        <v>2</v>
      </c>
      <c r="AC450" s="4">
        <v>13</v>
      </c>
      <c r="AD450" s="4">
        <v>50</v>
      </c>
      <c r="AE450" s="4">
        <v>146</v>
      </c>
      <c r="AF450" s="4">
        <v>1</v>
      </c>
      <c r="AG450" s="4">
        <v>5</v>
      </c>
      <c r="AH450" s="4">
        <v>39</v>
      </c>
      <c r="AI450" s="4">
        <v>109</v>
      </c>
      <c r="AJ450" s="4">
        <v>13</v>
      </c>
      <c r="AK450" s="4">
        <v>27</v>
      </c>
      <c r="AL450" s="4">
        <v>24</v>
      </c>
      <c r="AM450" s="4">
        <v>58</v>
      </c>
      <c r="AN450" s="4">
        <v>0</v>
      </c>
      <c r="AO450" s="4">
        <v>0</v>
      </c>
      <c r="AP450" s="4">
        <v>14</v>
      </c>
      <c r="AQ450" s="4">
        <v>45</v>
      </c>
      <c r="AR450" s="3" t="s">
        <v>62</v>
      </c>
      <c r="AS450" s="3" t="s">
        <v>62</v>
      </c>
      <c r="AT450" s="3" t="s">
        <v>62</v>
      </c>
      <c r="AV450" s="6" t="str">
        <f>HYPERLINK("http://mcgill.on.worldcat.org/oclc/60835457","Catalog Record")</f>
        <v>Catalog Record</v>
      </c>
      <c r="AW450" s="6" t="str">
        <f>HYPERLINK("http://www.worldcat.org/oclc/60835457","WorldCat Record")</f>
        <v>WorldCat Record</v>
      </c>
      <c r="AX450" s="3" t="s">
        <v>4259</v>
      </c>
      <c r="AY450" s="3" t="s">
        <v>4271</v>
      </c>
      <c r="AZ450" s="3" t="s">
        <v>4272</v>
      </c>
      <c r="BA450" s="3" t="s">
        <v>4272</v>
      </c>
      <c r="BB450" s="3" t="s">
        <v>4277</v>
      </c>
      <c r="BC450" s="3" t="s">
        <v>142</v>
      </c>
      <c r="BD450" s="3" t="s">
        <v>308</v>
      </c>
      <c r="BE450" s="3" t="s">
        <v>4274</v>
      </c>
      <c r="BF450" s="3" t="s">
        <v>4277</v>
      </c>
      <c r="BG450" s="3" t="s">
        <v>4278</v>
      </c>
    </row>
    <row r="451" spans="1:59" ht="57" x14ac:dyDescent="0.45">
      <c r="A451" s="2" t="s">
        <v>59</v>
      </c>
      <c r="B451" s="2" t="s">
        <v>60</v>
      </c>
      <c r="C451" s="2" t="s">
        <v>4279</v>
      </c>
      <c r="D451" s="2" t="s">
        <v>4280</v>
      </c>
      <c r="E451" s="2" t="s">
        <v>4255</v>
      </c>
      <c r="G451" s="3" t="s">
        <v>62</v>
      </c>
      <c r="I451" s="3" t="s">
        <v>62</v>
      </c>
      <c r="J451" s="3" t="s">
        <v>61</v>
      </c>
      <c r="K451" s="3" t="s">
        <v>63</v>
      </c>
      <c r="L451" s="2" t="s">
        <v>4256</v>
      </c>
      <c r="M451" s="2" t="s">
        <v>4281</v>
      </c>
      <c r="N451" s="3" t="s">
        <v>149</v>
      </c>
      <c r="O451" s="2" t="s">
        <v>4282</v>
      </c>
      <c r="P451" s="3" t="s">
        <v>65</v>
      </c>
      <c r="Q451" s="2" t="s">
        <v>4258</v>
      </c>
      <c r="R451" s="3" t="s">
        <v>66</v>
      </c>
      <c r="S451" s="4">
        <v>150</v>
      </c>
      <c r="T451" s="4">
        <v>150</v>
      </c>
      <c r="U451" s="5" t="s">
        <v>4283</v>
      </c>
      <c r="V451" s="5" t="s">
        <v>4283</v>
      </c>
      <c r="W451" s="5" t="s">
        <v>67</v>
      </c>
      <c r="X451" s="5" t="s">
        <v>67</v>
      </c>
      <c r="Y451" s="4">
        <v>230</v>
      </c>
      <c r="Z451" s="4">
        <v>12</v>
      </c>
      <c r="AA451" s="4">
        <v>79</v>
      </c>
      <c r="AB451" s="4">
        <v>1</v>
      </c>
      <c r="AC451" s="4">
        <v>13</v>
      </c>
      <c r="AD451" s="4">
        <v>41</v>
      </c>
      <c r="AE451" s="4">
        <v>146</v>
      </c>
      <c r="AF451" s="4">
        <v>0</v>
      </c>
      <c r="AG451" s="4">
        <v>5</v>
      </c>
      <c r="AH451" s="4">
        <v>35</v>
      </c>
      <c r="AI451" s="4">
        <v>109</v>
      </c>
      <c r="AJ451" s="4">
        <v>10</v>
      </c>
      <c r="AK451" s="4">
        <v>27</v>
      </c>
      <c r="AL451" s="4">
        <v>19</v>
      </c>
      <c r="AM451" s="4">
        <v>58</v>
      </c>
      <c r="AN451" s="4">
        <v>0</v>
      </c>
      <c r="AO451" s="4">
        <v>0</v>
      </c>
      <c r="AP451" s="4">
        <v>10</v>
      </c>
      <c r="AQ451" s="4">
        <v>45</v>
      </c>
      <c r="AR451" s="3" t="s">
        <v>62</v>
      </c>
      <c r="AS451" s="3" t="s">
        <v>62</v>
      </c>
      <c r="AT451" s="3" t="s">
        <v>62</v>
      </c>
      <c r="AV451" s="6" t="str">
        <f>HYPERLINK("http://mcgill.on.worldcat.org/oclc/317288704","Catalog Record")</f>
        <v>Catalog Record</v>
      </c>
      <c r="AW451" s="6" t="str">
        <f>HYPERLINK("http://www.worldcat.org/oclc/317288704","WorldCat Record")</f>
        <v>WorldCat Record</v>
      </c>
      <c r="AX451" s="3" t="s">
        <v>4259</v>
      </c>
      <c r="AY451" s="3" t="s">
        <v>4284</v>
      </c>
      <c r="AZ451" s="3" t="s">
        <v>4285</v>
      </c>
      <c r="BA451" s="3" t="s">
        <v>4285</v>
      </c>
      <c r="BB451" s="3" t="s">
        <v>4286</v>
      </c>
      <c r="BC451" s="3" t="s">
        <v>142</v>
      </c>
      <c r="BD451" s="3" t="s">
        <v>68</v>
      </c>
      <c r="BE451" s="3" t="s">
        <v>4287</v>
      </c>
      <c r="BF451" s="3" t="s">
        <v>4286</v>
      </c>
      <c r="BG451" s="3" t="s">
        <v>4288</v>
      </c>
    </row>
    <row r="452" spans="1:59" ht="57" x14ac:dyDescent="0.45">
      <c r="A452" s="2" t="s">
        <v>59</v>
      </c>
      <c r="B452" s="2" t="s">
        <v>60</v>
      </c>
      <c r="C452" s="2" t="s">
        <v>4289</v>
      </c>
      <c r="D452" s="2" t="s">
        <v>4290</v>
      </c>
      <c r="E452" s="2" t="s">
        <v>4291</v>
      </c>
      <c r="G452" s="3" t="s">
        <v>62</v>
      </c>
      <c r="I452" s="3" t="s">
        <v>62</v>
      </c>
      <c r="J452" s="3" t="s">
        <v>62</v>
      </c>
      <c r="K452" s="3" t="s">
        <v>63</v>
      </c>
      <c r="L452" s="2" t="s">
        <v>4292</v>
      </c>
      <c r="M452" s="2" t="s">
        <v>1841</v>
      </c>
      <c r="N452" s="3" t="s">
        <v>820</v>
      </c>
      <c r="P452" s="3" t="s">
        <v>65</v>
      </c>
      <c r="Q452" s="2" t="s">
        <v>4293</v>
      </c>
      <c r="R452" s="3" t="s">
        <v>66</v>
      </c>
      <c r="S452" s="4">
        <v>5</v>
      </c>
      <c r="T452" s="4">
        <v>5</v>
      </c>
      <c r="U452" s="5" t="s">
        <v>1570</v>
      </c>
      <c r="V452" s="5" t="s">
        <v>1570</v>
      </c>
      <c r="W452" s="5" t="s">
        <v>67</v>
      </c>
      <c r="X452" s="5" t="s">
        <v>67</v>
      </c>
      <c r="Y452" s="4">
        <v>150</v>
      </c>
      <c r="Z452" s="4">
        <v>12</v>
      </c>
      <c r="AA452" s="4">
        <v>16</v>
      </c>
      <c r="AB452" s="4">
        <v>2</v>
      </c>
      <c r="AC452" s="4">
        <v>3</v>
      </c>
      <c r="AD452" s="4">
        <v>40</v>
      </c>
      <c r="AE452" s="4">
        <v>42</v>
      </c>
      <c r="AF452" s="4">
        <v>1</v>
      </c>
      <c r="AG452" s="4">
        <v>2</v>
      </c>
      <c r="AH452" s="4">
        <v>36</v>
      </c>
      <c r="AI452" s="4">
        <v>37</v>
      </c>
      <c r="AJ452" s="4">
        <v>10</v>
      </c>
      <c r="AK452" s="4">
        <v>12</v>
      </c>
      <c r="AL452" s="4">
        <v>19</v>
      </c>
      <c r="AM452" s="4">
        <v>20</v>
      </c>
      <c r="AN452" s="4">
        <v>0</v>
      </c>
      <c r="AO452" s="4">
        <v>0</v>
      </c>
      <c r="AP452" s="4">
        <v>11</v>
      </c>
      <c r="AQ452" s="4">
        <v>13</v>
      </c>
      <c r="AR452" s="3" t="s">
        <v>62</v>
      </c>
      <c r="AS452" s="3" t="s">
        <v>62</v>
      </c>
      <c r="AT452" s="3" t="s">
        <v>62</v>
      </c>
      <c r="AV452" s="6" t="str">
        <f>HYPERLINK("http://mcgill.on.worldcat.org/oclc/182779224","Catalog Record")</f>
        <v>Catalog Record</v>
      </c>
      <c r="AW452" s="6" t="str">
        <f>HYPERLINK("http://www.worldcat.org/oclc/182779224","WorldCat Record")</f>
        <v>WorldCat Record</v>
      </c>
      <c r="AX452" s="3" t="s">
        <v>4294</v>
      </c>
      <c r="AY452" s="3" t="s">
        <v>4295</v>
      </c>
      <c r="AZ452" s="3" t="s">
        <v>4296</v>
      </c>
      <c r="BA452" s="3" t="s">
        <v>4296</v>
      </c>
      <c r="BB452" s="3" t="s">
        <v>4297</v>
      </c>
      <c r="BC452" s="3" t="s">
        <v>142</v>
      </c>
      <c r="BD452" s="3" t="s">
        <v>308</v>
      </c>
      <c r="BE452" s="3" t="s">
        <v>4298</v>
      </c>
      <c r="BF452" s="3" t="s">
        <v>4297</v>
      </c>
      <c r="BG452" s="3" t="s">
        <v>4299</v>
      </c>
    </row>
    <row r="453" spans="1:59" ht="57" x14ac:dyDescent="0.45">
      <c r="A453" s="2" t="s">
        <v>59</v>
      </c>
      <c r="B453" s="2" t="s">
        <v>60</v>
      </c>
      <c r="C453" s="2" t="s">
        <v>4300</v>
      </c>
      <c r="D453" s="2" t="s">
        <v>4301</v>
      </c>
      <c r="E453" s="2" t="s">
        <v>4302</v>
      </c>
      <c r="G453" s="3" t="s">
        <v>62</v>
      </c>
      <c r="I453" s="3" t="s">
        <v>62</v>
      </c>
      <c r="J453" s="3" t="s">
        <v>62</v>
      </c>
      <c r="K453" s="3" t="s">
        <v>63</v>
      </c>
      <c r="M453" s="2" t="s">
        <v>4303</v>
      </c>
      <c r="N453" s="3" t="s">
        <v>116</v>
      </c>
      <c r="P453" s="3" t="s">
        <v>65</v>
      </c>
      <c r="R453" s="3" t="s">
        <v>66</v>
      </c>
      <c r="S453" s="4">
        <v>5</v>
      </c>
      <c r="T453" s="4">
        <v>5</v>
      </c>
      <c r="U453" s="5" t="s">
        <v>4058</v>
      </c>
      <c r="V453" s="5" t="s">
        <v>4058</v>
      </c>
      <c r="W453" s="5" t="s">
        <v>67</v>
      </c>
      <c r="X453" s="5" t="s">
        <v>67</v>
      </c>
      <c r="Y453" s="4">
        <v>143</v>
      </c>
      <c r="Z453" s="4">
        <v>17</v>
      </c>
      <c r="AA453" s="4">
        <v>25</v>
      </c>
      <c r="AB453" s="4">
        <v>1</v>
      </c>
      <c r="AC453" s="4">
        <v>6</v>
      </c>
      <c r="AD453" s="4">
        <v>55</v>
      </c>
      <c r="AE453" s="4">
        <v>73</v>
      </c>
      <c r="AF453" s="4">
        <v>0</v>
      </c>
      <c r="AG453" s="4">
        <v>2</v>
      </c>
      <c r="AH453" s="4">
        <v>50</v>
      </c>
      <c r="AI453" s="4">
        <v>64</v>
      </c>
      <c r="AJ453" s="4">
        <v>10</v>
      </c>
      <c r="AK453" s="4">
        <v>15</v>
      </c>
      <c r="AL453" s="4">
        <v>30</v>
      </c>
      <c r="AM453" s="4">
        <v>37</v>
      </c>
      <c r="AN453" s="4">
        <v>0</v>
      </c>
      <c r="AO453" s="4">
        <v>0</v>
      </c>
      <c r="AP453" s="4">
        <v>13</v>
      </c>
      <c r="AQ453" s="4">
        <v>17</v>
      </c>
      <c r="AR453" s="3" t="s">
        <v>62</v>
      </c>
      <c r="AS453" s="3" t="s">
        <v>62</v>
      </c>
      <c r="AT453" s="3" t="s">
        <v>62</v>
      </c>
      <c r="AV453" s="6" t="str">
        <f>HYPERLINK("http://mcgill.on.worldcat.org/oclc/783167659","Catalog Record")</f>
        <v>Catalog Record</v>
      </c>
      <c r="AW453" s="6" t="str">
        <f>HYPERLINK("http://www.worldcat.org/oclc/783167659","WorldCat Record")</f>
        <v>WorldCat Record</v>
      </c>
      <c r="AX453" s="3" t="s">
        <v>4304</v>
      </c>
      <c r="AY453" s="3" t="s">
        <v>4305</v>
      </c>
      <c r="AZ453" s="3" t="s">
        <v>4306</v>
      </c>
      <c r="BA453" s="3" t="s">
        <v>4306</v>
      </c>
      <c r="BB453" s="3" t="s">
        <v>4307</v>
      </c>
      <c r="BC453" s="3" t="s">
        <v>142</v>
      </c>
      <c r="BD453" s="3" t="s">
        <v>68</v>
      </c>
      <c r="BE453" s="3" t="s">
        <v>4308</v>
      </c>
      <c r="BF453" s="3" t="s">
        <v>4307</v>
      </c>
      <c r="BG453" s="3" t="s">
        <v>4309</v>
      </c>
    </row>
    <row r="454" spans="1:59" ht="57" x14ac:dyDescent="0.45">
      <c r="A454" s="2" t="s">
        <v>59</v>
      </c>
      <c r="B454" s="2" t="s">
        <v>60</v>
      </c>
      <c r="C454" s="2" t="s">
        <v>4310</v>
      </c>
      <c r="D454" s="2" t="s">
        <v>4311</v>
      </c>
      <c r="E454" s="2" t="s">
        <v>4312</v>
      </c>
      <c r="G454" s="3" t="s">
        <v>62</v>
      </c>
      <c r="I454" s="3" t="s">
        <v>62</v>
      </c>
      <c r="J454" s="3" t="s">
        <v>62</v>
      </c>
      <c r="K454" s="3" t="s">
        <v>63</v>
      </c>
      <c r="L454" s="2" t="s">
        <v>4313</v>
      </c>
      <c r="M454" s="2" t="s">
        <v>4314</v>
      </c>
      <c r="N454" s="3" t="s">
        <v>1465</v>
      </c>
      <c r="P454" s="3" t="s">
        <v>65</v>
      </c>
      <c r="R454" s="3" t="s">
        <v>66</v>
      </c>
      <c r="S454" s="4">
        <v>2</v>
      </c>
      <c r="T454" s="4">
        <v>2</v>
      </c>
      <c r="U454" s="5" t="s">
        <v>4315</v>
      </c>
      <c r="V454" s="5" t="s">
        <v>4315</v>
      </c>
      <c r="W454" s="5" t="s">
        <v>67</v>
      </c>
      <c r="X454" s="5" t="s">
        <v>67</v>
      </c>
      <c r="Y454" s="4">
        <v>135</v>
      </c>
      <c r="Z454" s="4">
        <v>13</v>
      </c>
      <c r="AA454" s="4">
        <v>16</v>
      </c>
      <c r="AB454" s="4">
        <v>3</v>
      </c>
      <c r="AC454" s="4">
        <v>6</v>
      </c>
      <c r="AD454" s="4">
        <v>39</v>
      </c>
      <c r="AE454" s="4">
        <v>40</v>
      </c>
      <c r="AF454" s="4">
        <v>1</v>
      </c>
      <c r="AG454" s="4">
        <v>2</v>
      </c>
      <c r="AH454" s="4">
        <v>36</v>
      </c>
      <c r="AI454" s="4">
        <v>36</v>
      </c>
      <c r="AJ454" s="4">
        <v>9</v>
      </c>
      <c r="AK454" s="4">
        <v>10</v>
      </c>
      <c r="AL454" s="4">
        <v>22</v>
      </c>
      <c r="AM454" s="4">
        <v>22</v>
      </c>
      <c r="AN454" s="4">
        <v>0</v>
      </c>
      <c r="AO454" s="4">
        <v>0</v>
      </c>
      <c r="AP454" s="4">
        <v>10</v>
      </c>
      <c r="AQ454" s="4">
        <v>11</v>
      </c>
      <c r="AR454" s="3" t="s">
        <v>62</v>
      </c>
      <c r="AS454" s="3" t="s">
        <v>62</v>
      </c>
      <c r="AT454" s="3" t="s">
        <v>62</v>
      </c>
      <c r="AV454" s="6" t="str">
        <f>HYPERLINK("http://mcgill.on.worldcat.org/oclc/432587682","Catalog Record")</f>
        <v>Catalog Record</v>
      </c>
      <c r="AW454" s="6" t="str">
        <f>HYPERLINK("http://www.worldcat.org/oclc/432587682","WorldCat Record")</f>
        <v>WorldCat Record</v>
      </c>
      <c r="AX454" s="3" t="s">
        <v>4316</v>
      </c>
      <c r="AY454" s="3" t="s">
        <v>4317</v>
      </c>
      <c r="AZ454" s="3" t="s">
        <v>4318</v>
      </c>
      <c r="BA454" s="3" t="s">
        <v>4318</v>
      </c>
      <c r="BB454" s="3" t="s">
        <v>4319</v>
      </c>
      <c r="BC454" s="3" t="s">
        <v>142</v>
      </c>
      <c r="BD454" s="3" t="s">
        <v>68</v>
      </c>
      <c r="BE454" s="3" t="s">
        <v>4320</v>
      </c>
      <c r="BF454" s="3" t="s">
        <v>4319</v>
      </c>
      <c r="BG454" s="3" t="s">
        <v>4321</v>
      </c>
    </row>
    <row r="455" spans="1:59" ht="57" x14ac:dyDescent="0.45">
      <c r="A455" s="2" t="s">
        <v>59</v>
      </c>
      <c r="B455" s="2" t="s">
        <v>60</v>
      </c>
      <c r="C455" s="2" t="s">
        <v>4322</v>
      </c>
      <c r="D455" s="2" t="s">
        <v>4323</v>
      </c>
      <c r="E455" s="2" t="s">
        <v>4324</v>
      </c>
      <c r="G455" s="3" t="s">
        <v>62</v>
      </c>
      <c r="I455" s="3" t="s">
        <v>62</v>
      </c>
      <c r="J455" s="3" t="s">
        <v>62</v>
      </c>
      <c r="K455" s="3" t="s">
        <v>63</v>
      </c>
      <c r="L455" s="2" t="s">
        <v>4325</v>
      </c>
      <c r="M455" s="2" t="s">
        <v>4326</v>
      </c>
      <c r="N455" s="3" t="s">
        <v>181</v>
      </c>
      <c r="P455" s="3" t="s">
        <v>65</v>
      </c>
      <c r="R455" s="3" t="s">
        <v>66</v>
      </c>
      <c r="S455" s="4">
        <v>1</v>
      </c>
      <c r="T455" s="4">
        <v>1</v>
      </c>
      <c r="U455" s="5" t="s">
        <v>4315</v>
      </c>
      <c r="V455" s="5" t="s">
        <v>4315</v>
      </c>
      <c r="W455" s="5" t="s">
        <v>67</v>
      </c>
      <c r="X455" s="5" t="s">
        <v>67</v>
      </c>
      <c r="Y455" s="4">
        <v>63</v>
      </c>
      <c r="Z455" s="4">
        <v>5</v>
      </c>
      <c r="AA455" s="4">
        <v>5</v>
      </c>
      <c r="AB455" s="4">
        <v>1</v>
      </c>
      <c r="AC455" s="4">
        <v>1</v>
      </c>
      <c r="AD455" s="4">
        <v>17</v>
      </c>
      <c r="AE455" s="4">
        <v>17</v>
      </c>
      <c r="AF455" s="4">
        <v>0</v>
      </c>
      <c r="AG455" s="4">
        <v>0</v>
      </c>
      <c r="AH455" s="4">
        <v>15</v>
      </c>
      <c r="AI455" s="4">
        <v>15</v>
      </c>
      <c r="AJ455" s="4">
        <v>3</v>
      </c>
      <c r="AK455" s="4">
        <v>3</v>
      </c>
      <c r="AL455" s="4">
        <v>11</v>
      </c>
      <c r="AM455" s="4">
        <v>11</v>
      </c>
      <c r="AN455" s="4">
        <v>0</v>
      </c>
      <c r="AO455" s="4">
        <v>0</v>
      </c>
      <c r="AP455" s="4">
        <v>4</v>
      </c>
      <c r="AQ455" s="4">
        <v>4</v>
      </c>
      <c r="AR455" s="3" t="s">
        <v>62</v>
      </c>
      <c r="AS455" s="3" t="s">
        <v>62</v>
      </c>
      <c r="AT455" s="3" t="s">
        <v>62</v>
      </c>
      <c r="AV455" s="6" t="str">
        <f>HYPERLINK("http://mcgill.on.worldcat.org/oclc/945359011","Catalog Record")</f>
        <v>Catalog Record</v>
      </c>
      <c r="AW455" s="6" t="str">
        <f>HYPERLINK("http://www.worldcat.org/oclc/945359011","WorldCat Record")</f>
        <v>WorldCat Record</v>
      </c>
      <c r="AX455" s="3" t="s">
        <v>4327</v>
      </c>
      <c r="AY455" s="3" t="s">
        <v>4328</v>
      </c>
      <c r="AZ455" s="3" t="s">
        <v>4329</v>
      </c>
      <c r="BA455" s="3" t="s">
        <v>4329</v>
      </c>
      <c r="BB455" s="3" t="s">
        <v>4330</v>
      </c>
      <c r="BC455" s="3" t="s">
        <v>142</v>
      </c>
      <c r="BD455" s="3" t="s">
        <v>68</v>
      </c>
      <c r="BE455" s="3" t="s">
        <v>4331</v>
      </c>
      <c r="BF455" s="3" t="s">
        <v>4330</v>
      </c>
      <c r="BG455" s="3" t="s">
        <v>4332</v>
      </c>
    </row>
    <row r="456" spans="1:59" ht="57" x14ac:dyDescent="0.45">
      <c r="A456" s="2" t="s">
        <v>59</v>
      </c>
      <c r="B456" s="2" t="s">
        <v>60</v>
      </c>
      <c r="C456" s="2" t="s">
        <v>4333</v>
      </c>
      <c r="D456" s="2" t="s">
        <v>4334</v>
      </c>
      <c r="E456" s="2" t="s">
        <v>4335</v>
      </c>
      <c r="G456" s="3" t="s">
        <v>62</v>
      </c>
      <c r="I456" s="3" t="s">
        <v>62</v>
      </c>
      <c r="J456" s="3" t="s">
        <v>62</v>
      </c>
      <c r="K456" s="3" t="s">
        <v>63</v>
      </c>
      <c r="M456" s="2" t="s">
        <v>4336</v>
      </c>
      <c r="N456" s="3" t="s">
        <v>1688</v>
      </c>
      <c r="P456" s="3" t="s">
        <v>110</v>
      </c>
      <c r="Q456" s="2" t="s">
        <v>4337</v>
      </c>
      <c r="R456" s="3" t="s">
        <v>66</v>
      </c>
      <c r="S456" s="4">
        <v>0</v>
      </c>
      <c r="T456" s="4">
        <v>0</v>
      </c>
      <c r="W456" s="5" t="s">
        <v>67</v>
      </c>
      <c r="X456" s="5" t="s">
        <v>67</v>
      </c>
      <c r="Y456" s="4">
        <v>14</v>
      </c>
      <c r="Z456" s="4">
        <v>4</v>
      </c>
      <c r="AA456" s="4">
        <v>6</v>
      </c>
      <c r="AB456" s="4">
        <v>1</v>
      </c>
      <c r="AC456" s="4">
        <v>2</v>
      </c>
      <c r="AD456" s="4">
        <v>8</v>
      </c>
      <c r="AE456" s="4">
        <v>10</v>
      </c>
      <c r="AF456" s="4">
        <v>0</v>
      </c>
      <c r="AG456" s="4">
        <v>1</v>
      </c>
      <c r="AH456" s="4">
        <v>6</v>
      </c>
      <c r="AI456" s="4">
        <v>7</v>
      </c>
      <c r="AJ456" s="4">
        <v>2</v>
      </c>
      <c r="AK456" s="4">
        <v>4</v>
      </c>
      <c r="AL456" s="4">
        <v>5</v>
      </c>
      <c r="AM456" s="4">
        <v>5</v>
      </c>
      <c r="AN456" s="4">
        <v>0</v>
      </c>
      <c r="AO456" s="4">
        <v>0</v>
      </c>
      <c r="AP456" s="4">
        <v>2</v>
      </c>
      <c r="AQ456" s="4">
        <v>4</v>
      </c>
      <c r="AR456" s="3" t="s">
        <v>62</v>
      </c>
      <c r="AS456" s="3" t="s">
        <v>62</v>
      </c>
      <c r="AT456" s="3" t="s">
        <v>62</v>
      </c>
      <c r="AV456" s="6" t="str">
        <f>HYPERLINK("http://mcgill.on.worldcat.org/oclc/897806448","Catalog Record")</f>
        <v>Catalog Record</v>
      </c>
      <c r="AW456" s="6" t="str">
        <f>HYPERLINK("http://www.worldcat.org/oclc/897806448","WorldCat Record")</f>
        <v>WorldCat Record</v>
      </c>
      <c r="AX456" s="3" t="s">
        <v>4338</v>
      </c>
      <c r="AY456" s="3" t="s">
        <v>4339</v>
      </c>
      <c r="AZ456" s="3" t="s">
        <v>4340</v>
      </c>
      <c r="BA456" s="3" t="s">
        <v>4340</v>
      </c>
      <c r="BB456" s="3" t="s">
        <v>4341</v>
      </c>
      <c r="BC456" s="3" t="s">
        <v>142</v>
      </c>
      <c r="BD456" s="3" t="s">
        <v>68</v>
      </c>
      <c r="BE456" s="3" t="s">
        <v>4342</v>
      </c>
      <c r="BF456" s="3" t="s">
        <v>4341</v>
      </c>
      <c r="BG456" s="3" t="s">
        <v>4343</v>
      </c>
    </row>
    <row r="457" spans="1:59" ht="57" x14ac:dyDescent="0.45">
      <c r="A457" s="2" t="s">
        <v>59</v>
      </c>
      <c r="B457" s="2" t="s">
        <v>60</v>
      </c>
      <c r="C457" s="2" t="s">
        <v>4344</v>
      </c>
      <c r="D457" s="2" t="s">
        <v>4345</v>
      </c>
      <c r="E457" s="2" t="s">
        <v>4346</v>
      </c>
      <c r="G457" s="3" t="s">
        <v>62</v>
      </c>
      <c r="I457" s="3" t="s">
        <v>62</v>
      </c>
      <c r="J457" s="3" t="s">
        <v>62</v>
      </c>
      <c r="K457" s="3" t="s">
        <v>63</v>
      </c>
      <c r="M457" s="2" t="s">
        <v>4347</v>
      </c>
      <c r="N457" s="3" t="s">
        <v>1465</v>
      </c>
      <c r="P457" s="3" t="s">
        <v>65</v>
      </c>
      <c r="Q457" s="2" t="s">
        <v>1782</v>
      </c>
      <c r="R457" s="3" t="s">
        <v>66</v>
      </c>
      <c r="S457" s="4">
        <v>3</v>
      </c>
      <c r="T457" s="4">
        <v>3</v>
      </c>
      <c r="U457" s="5" t="s">
        <v>3437</v>
      </c>
      <c r="V457" s="5" t="s">
        <v>3437</v>
      </c>
      <c r="W457" s="5" t="s">
        <v>67</v>
      </c>
      <c r="X457" s="5" t="s">
        <v>67</v>
      </c>
      <c r="Y457" s="4">
        <v>119</v>
      </c>
      <c r="Z457" s="4">
        <v>14</v>
      </c>
      <c r="AA457" s="4">
        <v>97</v>
      </c>
      <c r="AB457" s="4">
        <v>2</v>
      </c>
      <c r="AC457" s="4">
        <v>18</v>
      </c>
      <c r="AD457" s="4">
        <v>50</v>
      </c>
      <c r="AE457" s="4">
        <v>117</v>
      </c>
      <c r="AF457" s="4">
        <v>0</v>
      </c>
      <c r="AG457" s="4">
        <v>8</v>
      </c>
      <c r="AH457" s="4">
        <v>47</v>
      </c>
      <c r="AI457" s="4">
        <v>81</v>
      </c>
      <c r="AJ457" s="4">
        <v>9</v>
      </c>
      <c r="AK457" s="4">
        <v>22</v>
      </c>
      <c r="AL457" s="4">
        <v>36</v>
      </c>
      <c r="AM457" s="4">
        <v>44</v>
      </c>
      <c r="AN457" s="4">
        <v>0</v>
      </c>
      <c r="AO457" s="4">
        <v>0</v>
      </c>
      <c r="AP457" s="4">
        <v>9</v>
      </c>
      <c r="AQ457" s="4">
        <v>44</v>
      </c>
      <c r="AR457" s="3" t="s">
        <v>62</v>
      </c>
      <c r="AS457" s="3" t="s">
        <v>62</v>
      </c>
      <c r="AT457" s="3" t="s">
        <v>62</v>
      </c>
      <c r="AV457" s="6" t="str">
        <f>HYPERLINK("http://mcgill.on.worldcat.org/oclc/231585941","Catalog Record")</f>
        <v>Catalog Record</v>
      </c>
      <c r="AW457" s="6" t="str">
        <f>HYPERLINK("http://www.worldcat.org/oclc/231585941","WorldCat Record")</f>
        <v>WorldCat Record</v>
      </c>
      <c r="AX457" s="3" t="s">
        <v>4348</v>
      </c>
      <c r="AY457" s="3" t="s">
        <v>4349</v>
      </c>
      <c r="AZ457" s="3" t="s">
        <v>4350</v>
      </c>
      <c r="BA457" s="3" t="s">
        <v>4350</v>
      </c>
      <c r="BB457" s="3" t="s">
        <v>4351</v>
      </c>
      <c r="BC457" s="3" t="s">
        <v>142</v>
      </c>
      <c r="BD457" s="3" t="s">
        <v>68</v>
      </c>
      <c r="BE457" s="3" t="s">
        <v>4352</v>
      </c>
      <c r="BF457" s="3" t="s">
        <v>4351</v>
      </c>
      <c r="BG457" s="3" t="s">
        <v>4353</v>
      </c>
    </row>
    <row r="458" spans="1:59" ht="71.25" x14ac:dyDescent="0.45">
      <c r="A458" s="2" t="s">
        <v>59</v>
      </c>
      <c r="B458" s="2" t="s">
        <v>60</v>
      </c>
      <c r="C458" s="2" t="s">
        <v>4354</v>
      </c>
      <c r="D458" s="2" t="s">
        <v>4355</v>
      </c>
      <c r="E458" s="2" t="s">
        <v>4356</v>
      </c>
      <c r="G458" s="3" t="s">
        <v>62</v>
      </c>
      <c r="I458" s="3" t="s">
        <v>62</v>
      </c>
      <c r="J458" s="3" t="s">
        <v>62</v>
      </c>
      <c r="K458" s="3" t="s">
        <v>63</v>
      </c>
      <c r="L458" s="2" t="s">
        <v>4357</v>
      </c>
      <c r="M458" s="2" t="s">
        <v>4358</v>
      </c>
      <c r="N458" s="3" t="s">
        <v>1604</v>
      </c>
      <c r="P458" s="3" t="s">
        <v>65</v>
      </c>
      <c r="Q458" s="2" t="s">
        <v>4359</v>
      </c>
      <c r="R458" s="3" t="s">
        <v>66</v>
      </c>
      <c r="S458" s="4">
        <v>12</v>
      </c>
      <c r="T458" s="4">
        <v>12</v>
      </c>
      <c r="U458" s="5" t="s">
        <v>4360</v>
      </c>
      <c r="V458" s="5" t="s">
        <v>4360</v>
      </c>
      <c r="W458" s="5" t="s">
        <v>67</v>
      </c>
      <c r="X458" s="5" t="s">
        <v>67</v>
      </c>
      <c r="Y458" s="4">
        <v>157</v>
      </c>
      <c r="Z458" s="4">
        <v>11</v>
      </c>
      <c r="AA458" s="4">
        <v>95</v>
      </c>
      <c r="AB458" s="4">
        <v>1</v>
      </c>
      <c r="AC458" s="4">
        <v>17</v>
      </c>
      <c r="AD458" s="4">
        <v>66</v>
      </c>
      <c r="AE458" s="4">
        <v>122</v>
      </c>
      <c r="AF458" s="4">
        <v>0</v>
      </c>
      <c r="AG458" s="4">
        <v>8</v>
      </c>
      <c r="AH458" s="4">
        <v>62</v>
      </c>
      <c r="AI458" s="4">
        <v>88</v>
      </c>
      <c r="AJ458" s="4">
        <v>8</v>
      </c>
      <c r="AK458" s="4">
        <v>21</v>
      </c>
      <c r="AL458" s="4">
        <v>37</v>
      </c>
      <c r="AM458" s="4">
        <v>45</v>
      </c>
      <c r="AN458" s="4">
        <v>0</v>
      </c>
      <c r="AO458" s="4">
        <v>0</v>
      </c>
      <c r="AP458" s="4">
        <v>8</v>
      </c>
      <c r="AQ458" s="4">
        <v>42</v>
      </c>
      <c r="AR458" s="3" t="s">
        <v>62</v>
      </c>
      <c r="AS458" s="3" t="s">
        <v>62</v>
      </c>
      <c r="AT458" s="3" t="s">
        <v>61</v>
      </c>
      <c r="AU458" s="6" t="str">
        <f>HYPERLINK("http://catalog.hathitrust.org/Record/002983576","HathiTrust Record")</f>
        <v>HathiTrust Record</v>
      </c>
      <c r="AV458" s="6" t="str">
        <f>HYPERLINK("http://mcgill.on.worldcat.org/oclc/30027278","Catalog Record")</f>
        <v>Catalog Record</v>
      </c>
      <c r="AW458" s="6" t="str">
        <f>HYPERLINK("http://www.worldcat.org/oclc/30027278","WorldCat Record")</f>
        <v>WorldCat Record</v>
      </c>
      <c r="AX458" s="3" t="s">
        <v>4361</v>
      </c>
      <c r="AY458" s="3" t="s">
        <v>4362</v>
      </c>
      <c r="AZ458" s="3" t="s">
        <v>4363</v>
      </c>
      <c r="BA458" s="3" t="s">
        <v>4363</v>
      </c>
      <c r="BB458" s="3" t="s">
        <v>4364</v>
      </c>
      <c r="BC458" s="3" t="s">
        <v>142</v>
      </c>
      <c r="BD458" s="3" t="s">
        <v>68</v>
      </c>
      <c r="BE458" s="3" t="s">
        <v>4365</v>
      </c>
      <c r="BF458" s="3" t="s">
        <v>4364</v>
      </c>
      <c r="BG458" s="3" t="s">
        <v>4366</v>
      </c>
    </row>
    <row r="459" spans="1:59" ht="57" x14ac:dyDescent="0.45">
      <c r="A459" s="2" t="s">
        <v>59</v>
      </c>
      <c r="B459" s="2" t="s">
        <v>60</v>
      </c>
      <c r="C459" s="2" t="s">
        <v>4367</v>
      </c>
      <c r="D459" s="2" t="s">
        <v>4368</v>
      </c>
      <c r="E459" s="2" t="s">
        <v>4369</v>
      </c>
      <c r="G459" s="3" t="s">
        <v>62</v>
      </c>
      <c r="I459" s="3" t="s">
        <v>62</v>
      </c>
      <c r="J459" s="3" t="s">
        <v>62</v>
      </c>
      <c r="K459" s="3" t="s">
        <v>63</v>
      </c>
      <c r="L459" s="2" t="s">
        <v>4370</v>
      </c>
      <c r="M459" s="2" t="s">
        <v>4371</v>
      </c>
      <c r="N459" s="3" t="s">
        <v>945</v>
      </c>
      <c r="O459" s="2" t="s">
        <v>4372</v>
      </c>
      <c r="P459" s="3" t="s">
        <v>65</v>
      </c>
      <c r="Q459" s="2" t="s">
        <v>4373</v>
      </c>
      <c r="R459" s="3" t="s">
        <v>66</v>
      </c>
      <c r="S459" s="4">
        <v>11</v>
      </c>
      <c r="T459" s="4">
        <v>11</v>
      </c>
      <c r="U459" s="5" t="s">
        <v>1570</v>
      </c>
      <c r="V459" s="5" t="s">
        <v>1570</v>
      </c>
      <c r="W459" s="5" t="s">
        <v>67</v>
      </c>
      <c r="X459" s="5" t="s">
        <v>67</v>
      </c>
      <c r="Y459" s="4">
        <v>80</v>
      </c>
      <c r="Z459" s="4">
        <v>12</v>
      </c>
      <c r="AA459" s="4">
        <v>101</v>
      </c>
      <c r="AB459" s="4">
        <v>1</v>
      </c>
      <c r="AC459" s="4">
        <v>18</v>
      </c>
      <c r="AD459" s="4">
        <v>40</v>
      </c>
      <c r="AE459" s="4">
        <v>139</v>
      </c>
      <c r="AF459" s="4">
        <v>0</v>
      </c>
      <c r="AG459" s="4">
        <v>8</v>
      </c>
      <c r="AH459" s="4">
        <v>38</v>
      </c>
      <c r="AI459" s="4">
        <v>101</v>
      </c>
      <c r="AJ459" s="4">
        <v>9</v>
      </c>
      <c r="AK459" s="4">
        <v>25</v>
      </c>
      <c r="AL459" s="4">
        <v>21</v>
      </c>
      <c r="AM459" s="4">
        <v>55</v>
      </c>
      <c r="AN459" s="4">
        <v>0</v>
      </c>
      <c r="AO459" s="4">
        <v>0</v>
      </c>
      <c r="AP459" s="4">
        <v>10</v>
      </c>
      <c r="AQ459" s="4">
        <v>47</v>
      </c>
      <c r="AR459" s="3" t="s">
        <v>62</v>
      </c>
      <c r="AS459" s="3" t="s">
        <v>62</v>
      </c>
      <c r="AT459" s="3" t="s">
        <v>62</v>
      </c>
      <c r="AV459" s="6" t="str">
        <f>HYPERLINK("http://mcgill.on.worldcat.org/oclc/219973112","Catalog Record")</f>
        <v>Catalog Record</v>
      </c>
      <c r="AW459" s="6" t="str">
        <f>HYPERLINK("http://www.worldcat.org/oclc/219973112","WorldCat Record")</f>
        <v>WorldCat Record</v>
      </c>
      <c r="AX459" s="3" t="s">
        <v>4374</v>
      </c>
      <c r="AY459" s="3" t="s">
        <v>4375</v>
      </c>
      <c r="AZ459" s="3" t="s">
        <v>4376</v>
      </c>
      <c r="BA459" s="3" t="s">
        <v>4376</v>
      </c>
      <c r="BB459" s="3" t="s">
        <v>4377</v>
      </c>
      <c r="BC459" s="3" t="s">
        <v>142</v>
      </c>
      <c r="BD459" s="3" t="s">
        <v>308</v>
      </c>
      <c r="BE459" s="3" t="s">
        <v>4378</v>
      </c>
      <c r="BF459" s="3" t="s">
        <v>4377</v>
      </c>
      <c r="BG459" s="3" t="s">
        <v>4379</v>
      </c>
    </row>
    <row r="460" spans="1:59" ht="57" x14ac:dyDescent="0.45">
      <c r="A460" s="2" t="s">
        <v>59</v>
      </c>
      <c r="B460" s="2" t="s">
        <v>60</v>
      </c>
      <c r="C460" s="2" t="s">
        <v>4380</v>
      </c>
      <c r="D460" s="2" t="s">
        <v>4381</v>
      </c>
      <c r="E460" s="2" t="s">
        <v>4382</v>
      </c>
      <c r="G460" s="3" t="s">
        <v>62</v>
      </c>
      <c r="I460" s="3" t="s">
        <v>62</v>
      </c>
      <c r="J460" s="3" t="s">
        <v>62</v>
      </c>
      <c r="K460" s="3" t="s">
        <v>63</v>
      </c>
      <c r="L460" s="2" t="s">
        <v>4383</v>
      </c>
      <c r="M460" s="2" t="s">
        <v>4384</v>
      </c>
      <c r="N460" s="3" t="s">
        <v>181</v>
      </c>
      <c r="P460" s="3" t="s">
        <v>65</v>
      </c>
      <c r="R460" s="3" t="s">
        <v>66</v>
      </c>
      <c r="S460" s="4">
        <v>0</v>
      </c>
      <c r="T460" s="4">
        <v>0</v>
      </c>
      <c r="W460" s="5" t="s">
        <v>67</v>
      </c>
      <c r="X460" s="5" t="s">
        <v>67</v>
      </c>
      <c r="Y460" s="4">
        <v>118</v>
      </c>
      <c r="Z460" s="4">
        <v>7</v>
      </c>
      <c r="AA460" s="4">
        <v>13</v>
      </c>
      <c r="AB460" s="4">
        <v>1</v>
      </c>
      <c r="AC460" s="4">
        <v>4</v>
      </c>
      <c r="AD460" s="4">
        <v>48</v>
      </c>
      <c r="AE460" s="4">
        <v>60</v>
      </c>
      <c r="AF460" s="4">
        <v>0</v>
      </c>
      <c r="AG460" s="4">
        <v>0</v>
      </c>
      <c r="AH460" s="4">
        <v>45</v>
      </c>
      <c r="AI460" s="4">
        <v>56</v>
      </c>
      <c r="AJ460" s="4">
        <v>6</v>
      </c>
      <c r="AK460" s="4">
        <v>8</v>
      </c>
      <c r="AL460" s="4">
        <v>30</v>
      </c>
      <c r="AM460" s="4">
        <v>38</v>
      </c>
      <c r="AN460" s="4">
        <v>0</v>
      </c>
      <c r="AO460" s="4">
        <v>0</v>
      </c>
      <c r="AP460" s="4">
        <v>6</v>
      </c>
      <c r="AQ460" s="4">
        <v>8</v>
      </c>
      <c r="AR460" s="3" t="s">
        <v>62</v>
      </c>
      <c r="AS460" s="3" t="s">
        <v>62</v>
      </c>
      <c r="AT460" s="3" t="s">
        <v>62</v>
      </c>
      <c r="AV460" s="6" t="str">
        <f>HYPERLINK("http://mcgill.on.worldcat.org/oclc/904011986","Catalog Record")</f>
        <v>Catalog Record</v>
      </c>
      <c r="AW460" s="6" t="str">
        <f>HYPERLINK("http://www.worldcat.org/oclc/904011986","WorldCat Record")</f>
        <v>WorldCat Record</v>
      </c>
      <c r="AX460" s="3" t="s">
        <v>4385</v>
      </c>
      <c r="AY460" s="3" t="s">
        <v>4386</v>
      </c>
      <c r="AZ460" s="3" t="s">
        <v>4387</v>
      </c>
      <c r="BA460" s="3" t="s">
        <v>4387</v>
      </c>
      <c r="BB460" s="3" t="s">
        <v>4388</v>
      </c>
      <c r="BC460" s="3" t="s">
        <v>142</v>
      </c>
      <c r="BD460" s="3" t="s">
        <v>68</v>
      </c>
      <c r="BE460" s="3" t="s">
        <v>4389</v>
      </c>
      <c r="BF460" s="3" t="s">
        <v>4388</v>
      </c>
      <c r="BG460" s="3" t="s">
        <v>4390</v>
      </c>
    </row>
    <row r="461" spans="1:59" ht="57" x14ac:dyDescent="0.45">
      <c r="A461" s="2" t="s">
        <v>59</v>
      </c>
      <c r="B461" s="2" t="s">
        <v>60</v>
      </c>
      <c r="C461" s="2" t="s">
        <v>4391</v>
      </c>
      <c r="D461" s="2" t="s">
        <v>4392</v>
      </c>
      <c r="E461" s="2" t="s">
        <v>4393</v>
      </c>
      <c r="G461" s="3" t="s">
        <v>62</v>
      </c>
      <c r="I461" s="3" t="s">
        <v>62</v>
      </c>
      <c r="J461" s="3" t="s">
        <v>62</v>
      </c>
      <c r="K461" s="3" t="s">
        <v>63</v>
      </c>
      <c r="M461" s="2" t="s">
        <v>4394</v>
      </c>
      <c r="N461" s="3" t="s">
        <v>1688</v>
      </c>
      <c r="P461" s="3" t="s">
        <v>110</v>
      </c>
      <c r="Q461" s="2" t="s">
        <v>4395</v>
      </c>
      <c r="R461" s="3" t="s">
        <v>66</v>
      </c>
      <c r="S461" s="4">
        <v>0</v>
      </c>
      <c r="T461" s="4">
        <v>0</v>
      </c>
      <c r="W461" s="5" t="s">
        <v>67</v>
      </c>
      <c r="X461" s="5" t="s">
        <v>67</v>
      </c>
      <c r="Y461" s="4">
        <v>19</v>
      </c>
      <c r="Z461" s="4">
        <v>13</v>
      </c>
      <c r="AA461" s="4">
        <v>46</v>
      </c>
      <c r="AB461" s="4">
        <v>2</v>
      </c>
      <c r="AC461" s="4">
        <v>11</v>
      </c>
      <c r="AD461" s="4">
        <v>13</v>
      </c>
      <c r="AE461" s="4">
        <v>29</v>
      </c>
      <c r="AF461" s="4">
        <v>1</v>
      </c>
      <c r="AG461" s="4">
        <v>4</v>
      </c>
      <c r="AH461" s="4">
        <v>9</v>
      </c>
      <c r="AI461" s="4">
        <v>10</v>
      </c>
      <c r="AJ461" s="4">
        <v>7</v>
      </c>
      <c r="AK461" s="4">
        <v>16</v>
      </c>
      <c r="AL461" s="4">
        <v>4</v>
      </c>
      <c r="AM461" s="4">
        <v>4</v>
      </c>
      <c r="AN461" s="4">
        <v>0</v>
      </c>
      <c r="AO461" s="4">
        <v>0</v>
      </c>
      <c r="AP461" s="4">
        <v>10</v>
      </c>
      <c r="AQ461" s="4">
        <v>23</v>
      </c>
      <c r="AR461" s="3" t="s">
        <v>61</v>
      </c>
      <c r="AS461" s="3" t="s">
        <v>62</v>
      </c>
      <c r="AT461" s="3" t="s">
        <v>62</v>
      </c>
      <c r="AV461" s="6" t="str">
        <f>HYPERLINK("http://mcgill.on.worldcat.org/oclc/898325238","Catalog Record")</f>
        <v>Catalog Record</v>
      </c>
      <c r="AW461" s="6" t="str">
        <f>HYPERLINK("http://www.worldcat.org/oclc/898325238","WorldCat Record")</f>
        <v>WorldCat Record</v>
      </c>
      <c r="AX461" s="3" t="s">
        <v>4396</v>
      </c>
      <c r="AY461" s="3" t="s">
        <v>4397</v>
      </c>
      <c r="AZ461" s="3" t="s">
        <v>4398</v>
      </c>
      <c r="BA461" s="3" t="s">
        <v>4398</v>
      </c>
      <c r="BB461" s="3" t="s">
        <v>4399</v>
      </c>
      <c r="BC461" s="3" t="s">
        <v>142</v>
      </c>
      <c r="BD461" s="3" t="s">
        <v>68</v>
      </c>
      <c r="BE461" s="3" t="s">
        <v>4400</v>
      </c>
      <c r="BF461" s="3" t="s">
        <v>4399</v>
      </c>
      <c r="BG461" s="3" t="s">
        <v>4401</v>
      </c>
    </row>
    <row r="462" spans="1:59" ht="57" x14ac:dyDescent="0.45">
      <c r="A462" s="2" t="s">
        <v>59</v>
      </c>
      <c r="B462" s="2" t="s">
        <v>60</v>
      </c>
      <c r="C462" s="2" t="s">
        <v>4402</v>
      </c>
      <c r="D462" s="2" t="s">
        <v>4403</v>
      </c>
      <c r="E462" s="2" t="s">
        <v>4404</v>
      </c>
      <c r="G462" s="3" t="s">
        <v>62</v>
      </c>
      <c r="I462" s="3" t="s">
        <v>62</v>
      </c>
      <c r="J462" s="3" t="s">
        <v>62</v>
      </c>
      <c r="K462" s="3" t="s">
        <v>63</v>
      </c>
      <c r="M462" s="2" t="s">
        <v>4405</v>
      </c>
      <c r="N462" s="3" t="s">
        <v>945</v>
      </c>
      <c r="P462" s="3" t="s">
        <v>65</v>
      </c>
      <c r="R462" s="3" t="s">
        <v>66</v>
      </c>
      <c r="S462" s="4">
        <v>25</v>
      </c>
      <c r="T462" s="4">
        <v>25</v>
      </c>
      <c r="U462" s="5" t="s">
        <v>4406</v>
      </c>
      <c r="V462" s="5" t="s">
        <v>4406</v>
      </c>
      <c r="W462" s="5" t="s">
        <v>67</v>
      </c>
      <c r="X462" s="5" t="s">
        <v>67</v>
      </c>
      <c r="Y462" s="4">
        <v>65</v>
      </c>
      <c r="Z462" s="4">
        <v>31</v>
      </c>
      <c r="AA462" s="4">
        <v>33</v>
      </c>
      <c r="AB462" s="4">
        <v>1</v>
      </c>
      <c r="AC462" s="4">
        <v>3</v>
      </c>
      <c r="AD462" s="4">
        <v>38</v>
      </c>
      <c r="AE462" s="4">
        <v>39</v>
      </c>
      <c r="AF462" s="4">
        <v>0</v>
      </c>
      <c r="AG462" s="4">
        <v>1</v>
      </c>
      <c r="AH462" s="4">
        <v>21</v>
      </c>
      <c r="AI462" s="4">
        <v>21</v>
      </c>
      <c r="AJ462" s="4">
        <v>15</v>
      </c>
      <c r="AK462" s="4">
        <v>16</v>
      </c>
      <c r="AL462" s="4">
        <v>10</v>
      </c>
      <c r="AM462" s="4">
        <v>10</v>
      </c>
      <c r="AN462" s="4">
        <v>0</v>
      </c>
      <c r="AO462" s="4">
        <v>0</v>
      </c>
      <c r="AP462" s="4">
        <v>24</v>
      </c>
      <c r="AQ462" s="4">
        <v>25</v>
      </c>
      <c r="AR462" s="3" t="s">
        <v>62</v>
      </c>
      <c r="AS462" s="3" t="s">
        <v>62</v>
      </c>
      <c r="AT462" s="3" t="s">
        <v>62</v>
      </c>
      <c r="AV462" s="6" t="str">
        <f>HYPERLINK("http://mcgill.on.worldcat.org/oclc/166281547","Catalog Record")</f>
        <v>Catalog Record</v>
      </c>
      <c r="AW462" s="6" t="str">
        <f>HYPERLINK("http://www.worldcat.org/oclc/166281547","WorldCat Record")</f>
        <v>WorldCat Record</v>
      </c>
      <c r="AX462" s="3" t="s">
        <v>4407</v>
      </c>
      <c r="AY462" s="3" t="s">
        <v>4408</v>
      </c>
      <c r="AZ462" s="3" t="s">
        <v>4409</v>
      </c>
      <c r="BA462" s="3" t="s">
        <v>4409</v>
      </c>
      <c r="BB462" s="3" t="s">
        <v>4410</v>
      </c>
      <c r="BC462" s="3" t="s">
        <v>142</v>
      </c>
      <c r="BD462" s="3" t="s">
        <v>68</v>
      </c>
      <c r="BE462" s="3" t="s">
        <v>4411</v>
      </c>
      <c r="BF462" s="3" t="s">
        <v>4410</v>
      </c>
      <c r="BG462" s="3" t="s">
        <v>4412</v>
      </c>
    </row>
    <row r="463" spans="1:59" ht="57" x14ac:dyDescent="0.45">
      <c r="A463" s="2" t="s">
        <v>59</v>
      </c>
      <c r="B463" s="2" t="s">
        <v>60</v>
      </c>
      <c r="C463" s="2" t="s">
        <v>4413</v>
      </c>
      <c r="D463" s="2" t="s">
        <v>4414</v>
      </c>
      <c r="E463" s="2" t="s">
        <v>4415</v>
      </c>
      <c r="G463" s="3" t="s">
        <v>62</v>
      </c>
      <c r="I463" s="3" t="s">
        <v>62</v>
      </c>
      <c r="J463" s="3" t="s">
        <v>62</v>
      </c>
      <c r="K463" s="3" t="s">
        <v>63</v>
      </c>
      <c r="L463" s="2" t="s">
        <v>4416</v>
      </c>
      <c r="M463" s="2" t="s">
        <v>4417</v>
      </c>
      <c r="N463" s="3" t="s">
        <v>529</v>
      </c>
      <c r="P463" s="3" t="s">
        <v>65</v>
      </c>
      <c r="R463" s="3" t="s">
        <v>66</v>
      </c>
      <c r="S463" s="4">
        <v>36</v>
      </c>
      <c r="T463" s="4">
        <v>36</v>
      </c>
      <c r="U463" s="5" t="s">
        <v>4418</v>
      </c>
      <c r="V463" s="5" t="s">
        <v>4418</v>
      </c>
      <c r="W463" s="5" t="s">
        <v>67</v>
      </c>
      <c r="X463" s="5" t="s">
        <v>67</v>
      </c>
      <c r="Y463" s="4">
        <v>394</v>
      </c>
      <c r="Z463" s="4">
        <v>29</v>
      </c>
      <c r="AA463" s="4">
        <v>32</v>
      </c>
      <c r="AB463" s="4">
        <v>5</v>
      </c>
      <c r="AC463" s="4">
        <v>8</v>
      </c>
      <c r="AD463" s="4">
        <v>121</v>
      </c>
      <c r="AE463" s="4">
        <v>125</v>
      </c>
      <c r="AF463" s="4">
        <v>2</v>
      </c>
      <c r="AG463" s="4">
        <v>5</v>
      </c>
      <c r="AH463" s="4">
        <v>108</v>
      </c>
      <c r="AI463" s="4">
        <v>110</v>
      </c>
      <c r="AJ463" s="4">
        <v>19</v>
      </c>
      <c r="AK463" s="4">
        <v>22</v>
      </c>
      <c r="AL463" s="4">
        <v>56</v>
      </c>
      <c r="AM463" s="4">
        <v>57</v>
      </c>
      <c r="AN463" s="4">
        <v>0</v>
      </c>
      <c r="AO463" s="4">
        <v>0</v>
      </c>
      <c r="AP463" s="4">
        <v>23</v>
      </c>
      <c r="AQ463" s="4">
        <v>25</v>
      </c>
      <c r="AR463" s="3" t="s">
        <v>62</v>
      </c>
      <c r="AS463" s="3" t="s">
        <v>62</v>
      </c>
      <c r="AT463" s="3" t="s">
        <v>62</v>
      </c>
      <c r="AV463" s="6" t="str">
        <f>HYPERLINK("http://mcgill.on.worldcat.org/oclc/11532413","Catalog Record")</f>
        <v>Catalog Record</v>
      </c>
      <c r="AW463" s="6" t="str">
        <f>HYPERLINK("http://www.worldcat.org/oclc/11532413","WorldCat Record")</f>
        <v>WorldCat Record</v>
      </c>
      <c r="AX463" s="3" t="s">
        <v>4419</v>
      </c>
      <c r="AY463" s="3" t="s">
        <v>4420</v>
      </c>
      <c r="AZ463" s="3" t="s">
        <v>4421</v>
      </c>
      <c r="BA463" s="3" t="s">
        <v>4421</v>
      </c>
      <c r="BB463" s="3" t="s">
        <v>4422</v>
      </c>
      <c r="BC463" s="3" t="s">
        <v>142</v>
      </c>
      <c r="BD463" s="3" t="s">
        <v>68</v>
      </c>
      <c r="BE463" s="3" t="s">
        <v>4423</v>
      </c>
      <c r="BF463" s="3" t="s">
        <v>4422</v>
      </c>
      <c r="BG463" s="3" t="s">
        <v>4424</v>
      </c>
    </row>
    <row r="464" spans="1:59" ht="57" x14ac:dyDescent="0.45">
      <c r="A464" s="2" t="s">
        <v>59</v>
      </c>
      <c r="B464" s="2" t="s">
        <v>60</v>
      </c>
      <c r="C464" s="2" t="s">
        <v>4425</v>
      </c>
      <c r="D464" s="2" t="s">
        <v>4426</v>
      </c>
      <c r="E464" s="2" t="s">
        <v>4427</v>
      </c>
      <c r="G464" s="3" t="s">
        <v>62</v>
      </c>
      <c r="I464" s="3" t="s">
        <v>62</v>
      </c>
      <c r="J464" s="3" t="s">
        <v>62</v>
      </c>
      <c r="K464" s="3" t="s">
        <v>63</v>
      </c>
      <c r="L464" s="2" t="s">
        <v>4428</v>
      </c>
      <c r="M464" s="2" t="s">
        <v>4429</v>
      </c>
      <c r="N464" s="3" t="s">
        <v>1097</v>
      </c>
      <c r="P464" s="3" t="s">
        <v>65</v>
      </c>
      <c r="Q464" s="2" t="s">
        <v>4430</v>
      </c>
      <c r="R464" s="3" t="s">
        <v>66</v>
      </c>
      <c r="S464" s="4">
        <v>14</v>
      </c>
      <c r="T464" s="4">
        <v>14</v>
      </c>
      <c r="U464" s="5" t="s">
        <v>4431</v>
      </c>
      <c r="V464" s="5" t="s">
        <v>4431</v>
      </c>
      <c r="W464" s="5" t="s">
        <v>67</v>
      </c>
      <c r="X464" s="5" t="s">
        <v>67</v>
      </c>
      <c r="Y464" s="4">
        <v>326</v>
      </c>
      <c r="Z464" s="4">
        <v>19</v>
      </c>
      <c r="AA464" s="4">
        <v>99</v>
      </c>
      <c r="AB464" s="4">
        <v>2</v>
      </c>
      <c r="AC464" s="4">
        <v>18</v>
      </c>
      <c r="AD464" s="4">
        <v>102</v>
      </c>
      <c r="AE464" s="4">
        <v>153</v>
      </c>
      <c r="AF464" s="4">
        <v>1</v>
      </c>
      <c r="AG464" s="4">
        <v>9</v>
      </c>
      <c r="AH464" s="4">
        <v>93</v>
      </c>
      <c r="AI464" s="4">
        <v>105</v>
      </c>
      <c r="AJ464" s="4">
        <v>12</v>
      </c>
      <c r="AK464" s="4">
        <v>27</v>
      </c>
      <c r="AL464" s="4">
        <v>52</v>
      </c>
      <c r="AM464" s="4">
        <v>56</v>
      </c>
      <c r="AN464" s="4">
        <v>0</v>
      </c>
      <c r="AO464" s="4">
        <v>0</v>
      </c>
      <c r="AP464" s="4">
        <v>15</v>
      </c>
      <c r="AQ464" s="4">
        <v>56</v>
      </c>
      <c r="AR464" s="3" t="s">
        <v>62</v>
      </c>
      <c r="AS464" s="3" t="s">
        <v>62</v>
      </c>
      <c r="AT464" s="3" t="s">
        <v>62</v>
      </c>
      <c r="AV464" s="6" t="str">
        <f>HYPERLINK("http://mcgill.on.worldcat.org/oclc/54670068","Catalog Record")</f>
        <v>Catalog Record</v>
      </c>
      <c r="AW464" s="6" t="str">
        <f>HYPERLINK("http://www.worldcat.org/oclc/54670068","WorldCat Record")</f>
        <v>WorldCat Record</v>
      </c>
      <c r="AX464" s="3" t="s">
        <v>4432</v>
      </c>
      <c r="AY464" s="3" t="s">
        <v>4433</v>
      </c>
      <c r="AZ464" s="3" t="s">
        <v>4434</v>
      </c>
      <c r="BA464" s="3" t="s">
        <v>4434</v>
      </c>
      <c r="BB464" s="3" t="s">
        <v>4435</v>
      </c>
      <c r="BC464" s="3" t="s">
        <v>142</v>
      </c>
      <c r="BD464" s="3" t="s">
        <v>68</v>
      </c>
      <c r="BE464" s="3" t="s">
        <v>4436</v>
      </c>
      <c r="BF464" s="3" t="s">
        <v>4435</v>
      </c>
      <c r="BG464" s="3" t="s">
        <v>4437</v>
      </c>
    </row>
    <row r="465" spans="1:59" ht="114" x14ac:dyDescent="0.45">
      <c r="A465" s="2" t="s">
        <v>59</v>
      </c>
      <c r="B465" s="2" t="s">
        <v>60</v>
      </c>
      <c r="C465" s="2" t="s">
        <v>4438</v>
      </c>
      <c r="D465" s="2" t="s">
        <v>4439</v>
      </c>
      <c r="E465" s="2" t="s">
        <v>4440</v>
      </c>
      <c r="G465" s="3" t="s">
        <v>62</v>
      </c>
      <c r="I465" s="3" t="s">
        <v>62</v>
      </c>
      <c r="J465" s="3" t="s">
        <v>62</v>
      </c>
      <c r="K465" s="3" t="s">
        <v>63</v>
      </c>
      <c r="L465" s="2" t="s">
        <v>4441</v>
      </c>
      <c r="M465" s="2" t="s">
        <v>4442</v>
      </c>
      <c r="N465" s="3" t="s">
        <v>945</v>
      </c>
      <c r="P465" s="3" t="s">
        <v>110</v>
      </c>
      <c r="Q465" s="2" t="s">
        <v>4443</v>
      </c>
      <c r="R465" s="3" t="s">
        <v>66</v>
      </c>
      <c r="S465" s="4">
        <v>1</v>
      </c>
      <c r="T465" s="4">
        <v>1</v>
      </c>
      <c r="U465" s="5" t="s">
        <v>4431</v>
      </c>
      <c r="V465" s="5" t="s">
        <v>4431</v>
      </c>
      <c r="W465" s="5" t="s">
        <v>67</v>
      </c>
      <c r="X465" s="5" t="s">
        <v>67</v>
      </c>
      <c r="Y465" s="4">
        <v>45</v>
      </c>
      <c r="Z465" s="4">
        <v>4</v>
      </c>
      <c r="AA465" s="4">
        <v>6</v>
      </c>
      <c r="AB465" s="4">
        <v>1</v>
      </c>
      <c r="AC465" s="4">
        <v>3</v>
      </c>
      <c r="AD465" s="4">
        <v>22</v>
      </c>
      <c r="AE465" s="4">
        <v>24</v>
      </c>
      <c r="AF465" s="4">
        <v>0</v>
      </c>
      <c r="AG465" s="4">
        <v>2</v>
      </c>
      <c r="AH465" s="4">
        <v>21</v>
      </c>
      <c r="AI465" s="4">
        <v>21</v>
      </c>
      <c r="AJ465" s="4">
        <v>2</v>
      </c>
      <c r="AK465" s="4">
        <v>4</v>
      </c>
      <c r="AL465" s="4">
        <v>18</v>
      </c>
      <c r="AM465" s="4">
        <v>18</v>
      </c>
      <c r="AN465" s="4">
        <v>0</v>
      </c>
      <c r="AO465" s="4">
        <v>0</v>
      </c>
      <c r="AP465" s="4">
        <v>2</v>
      </c>
      <c r="AQ465" s="4">
        <v>3</v>
      </c>
      <c r="AR465" s="3" t="s">
        <v>62</v>
      </c>
      <c r="AS465" s="3" t="s">
        <v>62</v>
      </c>
      <c r="AT465" s="3" t="s">
        <v>61</v>
      </c>
      <c r="AU465" s="6" t="str">
        <f>HYPERLINK("http://catalog.hathitrust.org/Record/005623428","HathiTrust Record")</f>
        <v>HathiTrust Record</v>
      </c>
      <c r="AV465" s="6" t="str">
        <f>HYPERLINK("http://mcgill.on.worldcat.org/oclc/159956055","Catalog Record")</f>
        <v>Catalog Record</v>
      </c>
      <c r="AW465" s="6" t="str">
        <f>HYPERLINK("http://www.worldcat.org/oclc/159956055","WorldCat Record")</f>
        <v>WorldCat Record</v>
      </c>
      <c r="AX465" s="3" t="s">
        <v>4444</v>
      </c>
      <c r="AY465" s="3" t="s">
        <v>4445</v>
      </c>
      <c r="AZ465" s="3" t="s">
        <v>4446</v>
      </c>
      <c r="BA465" s="3" t="s">
        <v>4446</v>
      </c>
      <c r="BB465" s="3" t="s">
        <v>4447</v>
      </c>
      <c r="BC465" s="3" t="s">
        <v>142</v>
      </c>
      <c r="BD465" s="3" t="s">
        <v>68</v>
      </c>
      <c r="BE465" s="3" t="s">
        <v>4448</v>
      </c>
      <c r="BF465" s="3" t="s">
        <v>4447</v>
      </c>
      <c r="BG465" s="3" t="s">
        <v>4449</v>
      </c>
    </row>
    <row r="466" spans="1:59" ht="57" x14ac:dyDescent="0.45">
      <c r="A466" s="2" t="s">
        <v>59</v>
      </c>
      <c r="B466" s="2" t="s">
        <v>60</v>
      </c>
      <c r="C466" s="2" t="s">
        <v>4450</v>
      </c>
      <c r="D466" s="2" t="s">
        <v>4451</v>
      </c>
      <c r="E466" s="2" t="s">
        <v>4452</v>
      </c>
      <c r="G466" s="3" t="s">
        <v>62</v>
      </c>
      <c r="I466" s="3" t="s">
        <v>62</v>
      </c>
      <c r="J466" s="3" t="s">
        <v>62</v>
      </c>
      <c r="K466" s="3" t="s">
        <v>63</v>
      </c>
      <c r="M466" s="2" t="s">
        <v>4453</v>
      </c>
      <c r="N466" s="3" t="s">
        <v>181</v>
      </c>
      <c r="P466" s="3" t="s">
        <v>65</v>
      </c>
      <c r="Q466" s="2" t="s">
        <v>4454</v>
      </c>
      <c r="R466" s="3" t="s">
        <v>66</v>
      </c>
      <c r="S466" s="4">
        <v>1</v>
      </c>
      <c r="T466" s="4">
        <v>1</v>
      </c>
      <c r="U466" s="5" t="s">
        <v>124</v>
      </c>
      <c r="V466" s="5" t="s">
        <v>124</v>
      </c>
      <c r="W466" s="5" t="s">
        <v>67</v>
      </c>
      <c r="X466" s="5" t="s">
        <v>67</v>
      </c>
      <c r="Y466" s="4">
        <v>40</v>
      </c>
      <c r="Z466" s="4">
        <v>5</v>
      </c>
      <c r="AA466" s="4">
        <v>8</v>
      </c>
      <c r="AB466" s="4">
        <v>1</v>
      </c>
      <c r="AC466" s="4">
        <v>4</v>
      </c>
      <c r="AD466" s="4">
        <v>19</v>
      </c>
      <c r="AE466" s="4">
        <v>20</v>
      </c>
      <c r="AF466" s="4">
        <v>0</v>
      </c>
      <c r="AG466" s="4">
        <v>1</v>
      </c>
      <c r="AH466" s="4">
        <v>17</v>
      </c>
      <c r="AI466" s="4">
        <v>17</v>
      </c>
      <c r="AJ466" s="4">
        <v>4</v>
      </c>
      <c r="AK466" s="4">
        <v>5</v>
      </c>
      <c r="AL466" s="4">
        <v>13</v>
      </c>
      <c r="AM466" s="4">
        <v>13</v>
      </c>
      <c r="AN466" s="4">
        <v>0</v>
      </c>
      <c r="AO466" s="4">
        <v>0</v>
      </c>
      <c r="AP466" s="4">
        <v>4</v>
      </c>
      <c r="AQ466" s="4">
        <v>4</v>
      </c>
      <c r="AR466" s="3" t="s">
        <v>62</v>
      </c>
      <c r="AS466" s="3" t="s">
        <v>62</v>
      </c>
      <c r="AT466" s="3" t="s">
        <v>62</v>
      </c>
      <c r="AV466" s="6" t="str">
        <f>HYPERLINK("http://mcgill.on.worldcat.org/oclc/956692532","Catalog Record")</f>
        <v>Catalog Record</v>
      </c>
      <c r="AW466" s="6" t="str">
        <f>HYPERLINK("http://www.worldcat.org/oclc/956692532","WorldCat Record")</f>
        <v>WorldCat Record</v>
      </c>
      <c r="AX466" s="3" t="s">
        <v>4455</v>
      </c>
      <c r="AY466" s="3" t="s">
        <v>4456</v>
      </c>
      <c r="AZ466" s="3" t="s">
        <v>4457</v>
      </c>
      <c r="BA466" s="3" t="s">
        <v>4457</v>
      </c>
      <c r="BB466" s="3" t="s">
        <v>4458</v>
      </c>
      <c r="BC466" s="3" t="s">
        <v>142</v>
      </c>
      <c r="BD466" s="3" t="s">
        <v>68</v>
      </c>
      <c r="BE466" s="3" t="s">
        <v>4459</v>
      </c>
      <c r="BF466" s="3" t="s">
        <v>4458</v>
      </c>
      <c r="BG466" s="3" t="s">
        <v>4460</v>
      </c>
    </row>
    <row r="467" spans="1:59" ht="57" x14ac:dyDescent="0.45">
      <c r="A467" s="2" t="s">
        <v>59</v>
      </c>
      <c r="B467" s="2" t="s">
        <v>60</v>
      </c>
      <c r="C467" s="2" t="s">
        <v>4461</v>
      </c>
      <c r="D467" s="2" t="s">
        <v>4462</v>
      </c>
      <c r="E467" s="2" t="s">
        <v>4463</v>
      </c>
      <c r="G467" s="3" t="s">
        <v>62</v>
      </c>
      <c r="I467" s="3" t="s">
        <v>62</v>
      </c>
      <c r="J467" s="3" t="s">
        <v>62</v>
      </c>
      <c r="K467" s="3" t="s">
        <v>63</v>
      </c>
      <c r="L467" s="2" t="s">
        <v>4464</v>
      </c>
      <c r="M467" s="2" t="s">
        <v>4233</v>
      </c>
      <c r="N467" s="3" t="s">
        <v>149</v>
      </c>
      <c r="P467" s="3" t="s">
        <v>65</v>
      </c>
      <c r="R467" s="3" t="s">
        <v>66</v>
      </c>
      <c r="S467" s="4">
        <v>1</v>
      </c>
      <c r="T467" s="4">
        <v>1</v>
      </c>
      <c r="U467" s="5" t="s">
        <v>4465</v>
      </c>
      <c r="V467" s="5" t="s">
        <v>4465</v>
      </c>
      <c r="W467" s="5" t="s">
        <v>67</v>
      </c>
      <c r="X467" s="5" t="s">
        <v>67</v>
      </c>
      <c r="Y467" s="4">
        <v>141</v>
      </c>
      <c r="Z467" s="4">
        <v>16</v>
      </c>
      <c r="AA467" s="4">
        <v>101</v>
      </c>
      <c r="AB467" s="4">
        <v>1</v>
      </c>
      <c r="AC467" s="4">
        <v>18</v>
      </c>
      <c r="AD467" s="4">
        <v>69</v>
      </c>
      <c r="AE467" s="4">
        <v>132</v>
      </c>
      <c r="AF467" s="4">
        <v>0</v>
      </c>
      <c r="AG467" s="4">
        <v>8</v>
      </c>
      <c r="AH467" s="4">
        <v>63</v>
      </c>
      <c r="AI467" s="4">
        <v>92</v>
      </c>
      <c r="AJ467" s="4">
        <v>13</v>
      </c>
      <c r="AK467" s="4">
        <v>25</v>
      </c>
      <c r="AL467" s="4">
        <v>37</v>
      </c>
      <c r="AM467" s="4">
        <v>49</v>
      </c>
      <c r="AN467" s="4">
        <v>0</v>
      </c>
      <c r="AO467" s="4">
        <v>0</v>
      </c>
      <c r="AP467" s="4">
        <v>15</v>
      </c>
      <c r="AQ467" s="4">
        <v>50</v>
      </c>
      <c r="AR467" s="3" t="s">
        <v>62</v>
      </c>
      <c r="AS467" s="3" t="s">
        <v>62</v>
      </c>
      <c r="AT467" s="3" t="s">
        <v>62</v>
      </c>
      <c r="AV467" s="6" t="str">
        <f>HYPERLINK("http://mcgill.on.worldcat.org/oclc/320798922","Catalog Record")</f>
        <v>Catalog Record</v>
      </c>
      <c r="AW467" s="6" t="str">
        <f>HYPERLINK("http://www.worldcat.org/oclc/320798922","WorldCat Record")</f>
        <v>WorldCat Record</v>
      </c>
      <c r="AX467" s="3" t="s">
        <v>4466</v>
      </c>
      <c r="AY467" s="3" t="s">
        <v>4467</v>
      </c>
      <c r="AZ467" s="3" t="s">
        <v>4468</v>
      </c>
      <c r="BA467" s="3" t="s">
        <v>4468</v>
      </c>
      <c r="BB467" s="3" t="s">
        <v>4469</v>
      </c>
      <c r="BC467" s="3" t="s">
        <v>142</v>
      </c>
      <c r="BD467" s="3" t="s">
        <v>68</v>
      </c>
      <c r="BE467" s="3" t="s">
        <v>4470</v>
      </c>
      <c r="BF467" s="3" t="s">
        <v>4469</v>
      </c>
      <c r="BG467" s="3" t="s">
        <v>4471</v>
      </c>
    </row>
    <row r="468" spans="1:59" ht="57" x14ac:dyDescent="0.45">
      <c r="A468" s="2" t="s">
        <v>59</v>
      </c>
      <c r="B468" s="2" t="s">
        <v>60</v>
      </c>
      <c r="C468" s="2" t="s">
        <v>4472</v>
      </c>
      <c r="D468" s="2" t="s">
        <v>4473</v>
      </c>
      <c r="E468" s="2" t="s">
        <v>4474</v>
      </c>
      <c r="G468" s="3" t="s">
        <v>62</v>
      </c>
      <c r="I468" s="3" t="s">
        <v>62</v>
      </c>
      <c r="J468" s="3" t="s">
        <v>62</v>
      </c>
      <c r="K468" s="3" t="s">
        <v>63</v>
      </c>
      <c r="M468" s="2" t="s">
        <v>4475</v>
      </c>
      <c r="N468" s="3" t="s">
        <v>116</v>
      </c>
      <c r="P468" s="3" t="s">
        <v>65</v>
      </c>
      <c r="R468" s="3" t="s">
        <v>66</v>
      </c>
      <c r="S468" s="4">
        <v>0</v>
      </c>
      <c r="T468" s="4">
        <v>0</v>
      </c>
      <c r="W468" s="5" t="s">
        <v>67</v>
      </c>
      <c r="X468" s="5" t="s">
        <v>67</v>
      </c>
      <c r="Y468" s="4">
        <v>93</v>
      </c>
      <c r="Z468" s="4">
        <v>19</v>
      </c>
      <c r="AA468" s="4">
        <v>24</v>
      </c>
      <c r="AB468" s="4">
        <v>1</v>
      </c>
      <c r="AC468" s="4">
        <v>5</v>
      </c>
      <c r="AD468" s="4">
        <v>50</v>
      </c>
      <c r="AE468" s="4">
        <v>55</v>
      </c>
      <c r="AF468" s="4">
        <v>0</v>
      </c>
      <c r="AG468" s="4">
        <v>1</v>
      </c>
      <c r="AH468" s="4">
        <v>44</v>
      </c>
      <c r="AI468" s="4">
        <v>47</v>
      </c>
      <c r="AJ468" s="4">
        <v>11</v>
      </c>
      <c r="AK468" s="4">
        <v>13</v>
      </c>
      <c r="AL468" s="4">
        <v>31</v>
      </c>
      <c r="AM468" s="4">
        <v>33</v>
      </c>
      <c r="AN468" s="4">
        <v>0</v>
      </c>
      <c r="AO468" s="4">
        <v>0</v>
      </c>
      <c r="AP468" s="4">
        <v>15</v>
      </c>
      <c r="AQ468" s="4">
        <v>17</v>
      </c>
      <c r="AR468" s="3" t="s">
        <v>62</v>
      </c>
      <c r="AS468" s="3" t="s">
        <v>62</v>
      </c>
      <c r="AT468" s="3" t="s">
        <v>62</v>
      </c>
      <c r="AV468" s="6" t="str">
        <f>HYPERLINK("http://mcgill.on.worldcat.org/oclc/810950375","Catalog Record")</f>
        <v>Catalog Record</v>
      </c>
      <c r="AW468" s="6" t="str">
        <f>HYPERLINK("http://www.worldcat.org/oclc/810950375","WorldCat Record")</f>
        <v>WorldCat Record</v>
      </c>
      <c r="AX468" s="3" t="s">
        <v>4476</v>
      </c>
      <c r="AY468" s="3" t="s">
        <v>4477</v>
      </c>
      <c r="AZ468" s="3" t="s">
        <v>4478</v>
      </c>
      <c r="BA468" s="3" t="s">
        <v>4478</v>
      </c>
      <c r="BB468" s="3" t="s">
        <v>4479</v>
      </c>
      <c r="BC468" s="3" t="s">
        <v>142</v>
      </c>
      <c r="BD468" s="3" t="s">
        <v>68</v>
      </c>
      <c r="BE468" s="3" t="s">
        <v>4480</v>
      </c>
      <c r="BF468" s="3" t="s">
        <v>4479</v>
      </c>
      <c r="BG468" s="3" t="s">
        <v>4481</v>
      </c>
    </row>
    <row r="469" spans="1:59" ht="57" x14ac:dyDescent="0.45">
      <c r="A469" s="2" t="s">
        <v>59</v>
      </c>
      <c r="B469" s="2" t="s">
        <v>60</v>
      </c>
      <c r="C469" s="2" t="s">
        <v>4482</v>
      </c>
      <c r="D469" s="2" t="s">
        <v>4483</v>
      </c>
      <c r="E469" s="2" t="s">
        <v>4484</v>
      </c>
      <c r="G469" s="3" t="s">
        <v>62</v>
      </c>
      <c r="I469" s="3" t="s">
        <v>62</v>
      </c>
      <c r="J469" s="3" t="s">
        <v>62</v>
      </c>
      <c r="K469" s="3" t="s">
        <v>63</v>
      </c>
      <c r="L469" s="2" t="s">
        <v>4485</v>
      </c>
      <c r="M469" s="2" t="s">
        <v>4486</v>
      </c>
      <c r="N469" s="3" t="s">
        <v>149</v>
      </c>
      <c r="P469" s="3" t="s">
        <v>65</v>
      </c>
      <c r="Q469" s="2" t="s">
        <v>4487</v>
      </c>
      <c r="R469" s="3" t="s">
        <v>66</v>
      </c>
      <c r="S469" s="4">
        <v>0</v>
      </c>
      <c r="T469" s="4">
        <v>0</v>
      </c>
      <c r="W469" s="5" t="s">
        <v>67</v>
      </c>
      <c r="X469" s="5" t="s">
        <v>67</v>
      </c>
      <c r="Y469" s="4">
        <v>77</v>
      </c>
      <c r="Z469" s="4">
        <v>11</v>
      </c>
      <c r="AA469" s="4">
        <v>15</v>
      </c>
      <c r="AB469" s="4">
        <v>1</v>
      </c>
      <c r="AC469" s="4">
        <v>4</v>
      </c>
      <c r="AD469" s="4">
        <v>40</v>
      </c>
      <c r="AE469" s="4">
        <v>48</v>
      </c>
      <c r="AF469" s="4">
        <v>0</v>
      </c>
      <c r="AG469" s="4">
        <v>0</v>
      </c>
      <c r="AH469" s="4">
        <v>37</v>
      </c>
      <c r="AI469" s="4">
        <v>45</v>
      </c>
      <c r="AJ469" s="4">
        <v>8</v>
      </c>
      <c r="AK469" s="4">
        <v>9</v>
      </c>
      <c r="AL469" s="4">
        <v>21</v>
      </c>
      <c r="AM469" s="4">
        <v>26</v>
      </c>
      <c r="AN469" s="4">
        <v>0</v>
      </c>
      <c r="AO469" s="4">
        <v>0</v>
      </c>
      <c r="AP469" s="4">
        <v>9</v>
      </c>
      <c r="AQ469" s="4">
        <v>10</v>
      </c>
      <c r="AR469" s="3" t="s">
        <v>62</v>
      </c>
      <c r="AS469" s="3" t="s">
        <v>62</v>
      </c>
      <c r="AT469" s="3" t="s">
        <v>62</v>
      </c>
      <c r="AV469" s="6" t="str">
        <f>HYPERLINK("http://mcgill.on.worldcat.org/oclc/503647675","Catalog Record")</f>
        <v>Catalog Record</v>
      </c>
      <c r="AW469" s="6" t="str">
        <f>HYPERLINK("http://www.worldcat.org/oclc/503647675","WorldCat Record")</f>
        <v>WorldCat Record</v>
      </c>
      <c r="AX469" s="3" t="s">
        <v>4488</v>
      </c>
      <c r="AY469" s="3" t="s">
        <v>4489</v>
      </c>
      <c r="AZ469" s="3" t="s">
        <v>4490</v>
      </c>
      <c r="BA469" s="3" t="s">
        <v>4490</v>
      </c>
      <c r="BB469" s="3" t="s">
        <v>4491</v>
      </c>
      <c r="BC469" s="3" t="s">
        <v>142</v>
      </c>
      <c r="BD469" s="3" t="s">
        <v>68</v>
      </c>
      <c r="BE469" s="3" t="s">
        <v>4492</v>
      </c>
      <c r="BF469" s="3" t="s">
        <v>4491</v>
      </c>
      <c r="BG469" s="3" t="s">
        <v>4493</v>
      </c>
    </row>
    <row r="470" spans="1:59" ht="57" x14ac:dyDescent="0.45">
      <c r="A470" s="2" t="s">
        <v>59</v>
      </c>
      <c r="B470" s="2" t="s">
        <v>60</v>
      </c>
      <c r="C470" s="2" t="s">
        <v>4494</v>
      </c>
      <c r="D470" s="2" t="s">
        <v>4495</v>
      </c>
      <c r="E470" s="2" t="s">
        <v>4496</v>
      </c>
      <c r="G470" s="3" t="s">
        <v>62</v>
      </c>
      <c r="I470" s="3" t="s">
        <v>62</v>
      </c>
      <c r="J470" s="3" t="s">
        <v>62</v>
      </c>
      <c r="K470" s="3" t="s">
        <v>63</v>
      </c>
      <c r="M470" s="2" t="s">
        <v>4497</v>
      </c>
      <c r="N470" s="3" t="s">
        <v>1212</v>
      </c>
      <c r="P470" s="3" t="s">
        <v>65</v>
      </c>
      <c r="R470" s="3" t="s">
        <v>66</v>
      </c>
      <c r="S470" s="4">
        <v>5</v>
      </c>
      <c r="T470" s="4">
        <v>5</v>
      </c>
      <c r="U470" s="5" t="s">
        <v>4498</v>
      </c>
      <c r="V470" s="5" t="s">
        <v>4498</v>
      </c>
      <c r="W470" s="5" t="s">
        <v>67</v>
      </c>
      <c r="X470" s="5" t="s">
        <v>67</v>
      </c>
      <c r="Y470" s="4">
        <v>140</v>
      </c>
      <c r="Z470" s="4">
        <v>6</v>
      </c>
      <c r="AA470" s="4">
        <v>9</v>
      </c>
      <c r="AB470" s="4">
        <v>1</v>
      </c>
      <c r="AC470" s="4">
        <v>4</v>
      </c>
      <c r="AD470" s="4">
        <v>65</v>
      </c>
      <c r="AE470" s="4">
        <v>66</v>
      </c>
      <c r="AF470" s="4">
        <v>0</v>
      </c>
      <c r="AG470" s="4">
        <v>0</v>
      </c>
      <c r="AH470" s="4">
        <v>62</v>
      </c>
      <c r="AI470" s="4">
        <v>63</v>
      </c>
      <c r="AJ470" s="4">
        <v>4</v>
      </c>
      <c r="AK470" s="4">
        <v>4</v>
      </c>
      <c r="AL470" s="4">
        <v>44</v>
      </c>
      <c r="AM470" s="4">
        <v>44</v>
      </c>
      <c r="AN470" s="4">
        <v>0</v>
      </c>
      <c r="AO470" s="4">
        <v>0</v>
      </c>
      <c r="AP470" s="4">
        <v>4</v>
      </c>
      <c r="AQ470" s="4">
        <v>4</v>
      </c>
      <c r="AR470" s="3" t="s">
        <v>62</v>
      </c>
      <c r="AS470" s="3" t="s">
        <v>62</v>
      </c>
      <c r="AT470" s="3" t="s">
        <v>61</v>
      </c>
      <c r="AU470" s="6" t="str">
        <f>HYPERLINK("http://catalog.hathitrust.org/Record/004116735","HathiTrust Record")</f>
        <v>HathiTrust Record</v>
      </c>
      <c r="AV470" s="6" t="str">
        <f>HYPERLINK("http://mcgill.on.worldcat.org/oclc/44533520","Catalog Record")</f>
        <v>Catalog Record</v>
      </c>
      <c r="AW470" s="6" t="str">
        <f>HYPERLINK("http://www.worldcat.org/oclc/44533520","WorldCat Record")</f>
        <v>WorldCat Record</v>
      </c>
      <c r="AX470" s="3" t="s">
        <v>4499</v>
      </c>
      <c r="AY470" s="3" t="s">
        <v>4500</v>
      </c>
      <c r="AZ470" s="3" t="s">
        <v>4501</v>
      </c>
      <c r="BA470" s="3" t="s">
        <v>4501</v>
      </c>
      <c r="BB470" s="3" t="s">
        <v>4502</v>
      </c>
      <c r="BC470" s="3" t="s">
        <v>142</v>
      </c>
      <c r="BD470" s="3" t="s">
        <v>68</v>
      </c>
      <c r="BE470" s="3" t="s">
        <v>4503</v>
      </c>
      <c r="BF470" s="3" t="s">
        <v>4502</v>
      </c>
      <c r="BG470" s="3" t="s">
        <v>4504</v>
      </c>
    </row>
    <row r="471" spans="1:59" ht="57" x14ac:dyDescent="0.45">
      <c r="A471" s="2" t="s">
        <v>59</v>
      </c>
      <c r="B471" s="2" t="s">
        <v>60</v>
      </c>
      <c r="C471" s="2" t="s">
        <v>4505</v>
      </c>
      <c r="D471" s="2" t="s">
        <v>4506</v>
      </c>
      <c r="E471" s="2" t="s">
        <v>4507</v>
      </c>
      <c r="G471" s="3" t="s">
        <v>62</v>
      </c>
      <c r="I471" s="3" t="s">
        <v>62</v>
      </c>
      <c r="J471" s="3" t="s">
        <v>62</v>
      </c>
      <c r="K471" s="3" t="s">
        <v>63</v>
      </c>
      <c r="L471" s="2" t="s">
        <v>4508</v>
      </c>
      <c r="M471" s="2" t="s">
        <v>4509</v>
      </c>
      <c r="N471" s="3" t="s">
        <v>1465</v>
      </c>
      <c r="P471" s="3" t="s">
        <v>65</v>
      </c>
      <c r="R471" s="3" t="s">
        <v>66</v>
      </c>
      <c r="S471" s="4">
        <v>5</v>
      </c>
      <c r="T471" s="4">
        <v>5</v>
      </c>
      <c r="U471" s="5" t="s">
        <v>4131</v>
      </c>
      <c r="V471" s="5" t="s">
        <v>4131</v>
      </c>
      <c r="W471" s="5" t="s">
        <v>67</v>
      </c>
      <c r="X471" s="5" t="s">
        <v>67</v>
      </c>
      <c r="Y471" s="4">
        <v>259</v>
      </c>
      <c r="Z471" s="4">
        <v>16</v>
      </c>
      <c r="AA471" s="4">
        <v>95</v>
      </c>
      <c r="AB471" s="4">
        <v>2</v>
      </c>
      <c r="AC471" s="4">
        <v>18</v>
      </c>
      <c r="AD471" s="4">
        <v>84</v>
      </c>
      <c r="AE471" s="4">
        <v>132</v>
      </c>
      <c r="AF471" s="4">
        <v>0</v>
      </c>
      <c r="AG471" s="4">
        <v>8</v>
      </c>
      <c r="AH471" s="4">
        <v>78</v>
      </c>
      <c r="AI471" s="4">
        <v>95</v>
      </c>
      <c r="AJ471" s="4">
        <v>12</v>
      </c>
      <c r="AK471" s="4">
        <v>25</v>
      </c>
      <c r="AL471" s="4">
        <v>45</v>
      </c>
      <c r="AM471" s="4">
        <v>49</v>
      </c>
      <c r="AN471" s="4">
        <v>0</v>
      </c>
      <c r="AO471" s="4">
        <v>0</v>
      </c>
      <c r="AP471" s="4">
        <v>13</v>
      </c>
      <c r="AQ471" s="4">
        <v>47</v>
      </c>
      <c r="AR471" s="3" t="s">
        <v>62</v>
      </c>
      <c r="AS471" s="3" t="s">
        <v>62</v>
      </c>
      <c r="AT471" s="3" t="s">
        <v>62</v>
      </c>
      <c r="AV471" s="6" t="str">
        <f>HYPERLINK("http://mcgill.on.worldcat.org/oclc/258102877","Catalog Record")</f>
        <v>Catalog Record</v>
      </c>
      <c r="AW471" s="6" t="str">
        <f>HYPERLINK("http://www.worldcat.org/oclc/258102877","WorldCat Record")</f>
        <v>WorldCat Record</v>
      </c>
      <c r="AX471" s="3" t="s">
        <v>4510</v>
      </c>
      <c r="AY471" s="3" t="s">
        <v>4511</v>
      </c>
      <c r="AZ471" s="3" t="s">
        <v>4512</v>
      </c>
      <c r="BA471" s="3" t="s">
        <v>4512</v>
      </c>
      <c r="BB471" s="3" t="s">
        <v>4513</v>
      </c>
      <c r="BC471" s="3" t="s">
        <v>142</v>
      </c>
      <c r="BD471" s="3" t="s">
        <v>308</v>
      </c>
      <c r="BE471" s="3" t="s">
        <v>4514</v>
      </c>
      <c r="BF471" s="3" t="s">
        <v>4513</v>
      </c>
      <c r="BG471" s="3" t="s">
        <v>4515</v>
      </c>
    </row>
    <row r="472" spans="1:59" ht="57" x14ac:dyDescent="0.45">
      <c r="A472" s="2" t="s">
        <v>59</v>
      </c>
      <c r="B472" s="2" t="s">
        <v>60</v>
      </c>
      <c r="C472" s="2" t="s">
        <v>4516</v>
      </c>
      <c r="D472" s="2" t="s">
        <v>4517</v>
      </c>
      <c r="E472" s="2" t="s">
        <v>4518</v>
      </c>
      <c r="G472" s="3" t="s">
        <v>62</v>
      </c>
      <c r="I472" s="3" t="s">
        <v>62</v>
      </c>
      <c r="J472" s="3" t="s">
        <v>62</v>
      </c>
      <c r="K472" s="3" t="s">
        <v>63</v>
      </c>
      <c r="M472" s="2" t="s">
        <v>4519</v>
      </c>
      <c r="N472" s="3" t="s">
        <v>1253</v>
      </c>
      <c r="P472" s="3" t="s">
        <v>65</v>
      </c>
      <c r="Q472" s="2" t="s">
        <v>4520</v>
      </c>
      <c r="R472" s="3" t="s">
        <v>66</v>
      </c>
      <c r="S472" s="4">
        <v>12</v>
      </c>
      <c r="T472" s="4">
        <v>12</v>
      </c>
      <c r="U472" s="5" t="s">
        <v>4521</v>
      </c>
      <c r="V472" s="5" t="s">
        <v>4521</v>
      </c>
      <c r="W472" s="5" t="s">
        <v>67</v>
      </c>
      <c r="X472" s="5" t="s">
        <v>67</v>
      </c>
      <c r="Y472" s="4">
        <v>116</v>
      </c>
      <c r="Z472" s="4">
        <v>8</v>
      </c>
      <c r="AA472" s="4">
        <v>92</v>
      </c>
      <c r="AB472" s="4">
        <v>1</v>
      </c>
      <c r="AC472" s="4">
        <v>17</v>
      </c>
      <c r="AD472" s="4">
        <v>43</v>
      </c>
      <c r="AE472" s="4">
        <v>112</v>
      </c>
      <c r="AF472" s="4">
        <v>0</v>
      </c>
      <c r="AG472" s="4">
        <v>8</v>
      </c>
      <c r="AH472" s="4">
        <v>39</v>
      </c>
      <c r="AI472" s="4">
        <v>78</v>
      </c>
      <c r="AJ472" s="4">
        <v>4</v>
      </c>
      <c r="AK472" s="4">
        <v>18</v>
      </c>
      <c r="AL472" s="4">
        <v>26</v>
      </c>
      <c r="AM472" s="4">
        <v>40</v>
      </c>
      <c r="AN472" s="4">
        <v>0</v>
      </c>
      <c r="AO472" s="4">
        <v>0</v>
      </c>
      <c r="AP472" s="4">
        <v>5</v>
      </c>
      <c r="AQ472" s="4">
        <v>40</v>
      </c>
      <c r="AR472" s="3" t="s">
        <v>62</v>
      </c>
      <c r="AS472" s="3" t="s">
        <v>62</v>
      </c>
      <c r="AT472" s="3" t="s">
        <v>62</v>
      </c>
      <c r="AV472" s="6" t="str">
        <f>HYPERLINK("http://mcgill.on.worldcat.org/oclc/36824689","Catalog Record")</f>
        <v>Catalog Record</v>
      </c>
      <c r="AW472" s="6" t="str">
        <f>HYPERLINK("http://www.worldcat.org/oclc/36824689","WorldCat Record")</f>
        <v>WorldCat Record</v>
      </c>
      <c r="AX472" s="3" t="s">
        <v>4522</v>
      </c>
      <c r="AY472" s="3" t="s">
        <v>4523</v>
      </c>
      <c r="AZ472" s="3" t="s">
        <v>4524</v>
      </c>
      <c r="BA472" s="3" t="s">
        <v>4524</v>
      </c>
      <c r="BB472" s="3" t="s">
        <v>4525</v>
      </c>
      <c r="BC472" s="3" t="s">
        <v>142</v>
      </c>
      <c r="BD472" s="3" t="s">
        <v>68</v>
      </c>
      <c r="BE472" s="3" t="s">
        <v>4526</v>
      </c>
      <c r="BF472" s="3" t="s">
        <v>4525</v>
      </c>
      <c r="BG472" s="3" t="s">
        <v>4527</v>
      </c>
    </row>
    <row r="473" spans="1:59" ht="57" x14ac:dyDescent="0.45">
      <c r="A473" s="2" t="s">
        <v>59</v>
      </c>
      <c r="B473" s="2" t="s">
        <v>60</v>
      </c>
      <c r="C473" s="2" t="s">
        <v>4528</v>
      </c>
      <c r="D473" s="2" t="s">
        <v>4529</v>
      </c>
      <c r="E473" s="2" t="s">
        <v>4530</v>
      </c>
      <c r="G473" s="3" t="s">
        <v>62</v>
      </c>
      <c r="I473" s="3" t="s">
        <v>62</v>
      </c>
      <c r="J473" s="3" t="s">
        <v>62</v>
      </c>
      <c r="K473" s="3" t="s">
        <v>63</v>
      </c>
      <c r="L473" s="2" t="s">
        <v>4531</v>
      </c>
      <c r="M473" s="2" t="s">
        <v>4532</v>
      </c>
      <c r="N473" s="3" t="s">
        <v>625</v>
      </c>
      <c r="P473" s="3" t="s">
        <v>65</v>
      </c>
      <c r="Q473" s="2" t="s">
        <v>4533</v>
      </c>
      <c r="R473" s="3" t="s">
        <v>66</v>
      </c>
      <c r="S473" s="4">
        <v>3</v>
      </c>
      <c r="T473" s="4">
        <v>3</v>
      </c>
      <c r="U473" s="5" t="s">
        <v>4534</v>
      </c>
      <c r="V473" s="5" t="s">
        <v>4534</v>
      </c>
      <c r="W473" s="5" t="s">
        <v>67</v>
      </c>
      <c r="X473" s="5" t="s">
        <v>67</v>
      </c>
      <c r="Y473" s="4">
        <v>34</v>
      </c>
      <c r="Z473" s="4">
        <v>6</v>
      </c>
      <c r="AA473" s="4">
        <v>6</v>
      </c>
      <c r="AB473" s="4">
        <v>2</v>
      </c>
      <c r="AC473" s="4">
        <v>2</v>
      </c>
      <c r="AD473" s="4">
        <v>25</v>
      </c>
      <c r="AE473" s="4">
        <v>25</v>
      </c>
      <c r="AF473" s="4">
        <v>0</v>
      </c>
      <c r="AG473" s="4">
        <v>0</v>
      </c>
      <c r="AH473" s="4">
        <v>24</v>
      </c>
      <c r="AI473" s="4">
        <v>24</v>
      </c>
      <c r="AJ473" s="4">
        <v>3</v>
      </c>
      <c r="AK473" s="4">
        <v>3</v>
      </c>
      <c r="AL473" s="4">
        <v>18</v>
      </c>
      <c r="AM473" s="4">
        <v>18</v>
      </c>
      <c r="AN473" s="4">
        <v>0</v>
      </c>
      <c r="AO473" s="4">
        <v>0</v>
      </c>
      <c r="AP473" s="4">
        <v>3</v>
      </c>
      <c r="AQ473" s="4">
        <v>3</v>
      </c>
      <c r="AR473" s="3" t="s">
        <v>62</v>
      </c>
      <c r="AS473" s="3" t="s">
        <v>62</v>
      </c>
      <c r="AT473" s="3" t="s">
        <v>61</v>
      </c>
      <c r="AU473" s="6" t="str">
        <f>HYPERLINK("http://catalog.hathitrust.org/Record/001079156","HathiTrust Record")</f>
        <v>HathiTrust Record</v>
      </c>
      <c r="AV473" s="6" t="str">
        <f>HYPERLINK("http://mcgill.on.worldcat.org/oclc/17201845","Catalog Record")</f>
        <v>Catalog Record</v>
      </c>
      <c r="AW473" s="6" t="str">
        <f>HYPERLINK("http://www.worldcat.org/oclc/17201845","WorldCat Record")</f>
        <v>WorldCat Record</v>
      </c>
      <c r="AX473" s="3" t="s">
        <v>4535</v>
      </c>
      <c r="AY473" s="3" t="s">
        <v>4536</v>
      </c>
      <c r="AZ473" s="3" t="s">
        <v>4537</v>
      </c>
      <c r="BA473" s="3" t="s">
        <v>4537</v>
      </c>
      <c r="BB473" s="3" t="s">
        <v>4538</v>
      </c>
      <c r="BC473" s="3" t="s">
        <v>142</v>
      </c>
      <c r="BD473" s="3" t="s">
        <v>68</v>
      </c>
      <c r="BF473" s="3" t="s">
        <v>4538</v>
      </c>
      <c r="BG473" s="3" t="s">
        <v>4539</v>
      </c>
    </row>
    <row r="474" spans="1:59" ht="57" x14ac:dyDescent="0.45">
      <c r="A474" s="2" t="s">
        <v>59</v>
      </c>
      <c r="B474" s="2" t="s">
        <v>60</v>
      </c>
      <c r="C474" s="2" t="s">
        <v>4540</v>
      </c>
      <c r="D474" s="2" t="s">
        <v>4541</v>
      </c>
      <c r="E474" s="2" t="s">
        <v>4542</v>
      </c>
      <c r="G474" s="3" t="s">
        <v>62</v>
      </c>
      <c r="I474" s="3" t="s">
        <v>62</v>
      </c>
      <c r="J474" s="3" t="s">
        <v>62</v>
      </c>
      <c r="K474" s="3" t="s">
        <v>63</v>
      </c>
      <c r="L474" s="2" t="s">
        <v>4543</v>
      </c>
      <c r="M474" s="2" t="s">
        <v>4544</v>
      </c>
      <c r="N474" s="3" t="s">
        <v>1604</v>
      </c>
      <c r="P474" s="3" t="s">
        <v>65</v>
      </c>
      <c r="Q474" s="2" t="s">
        <v>4545</v>
      </c>
      <c r="R474" s="3" t="s">
        <v>66</v>
      </c>
      <c r="S474" s="4">
        <v>18</v>
      </c>
      <c r="T474" s="4">
        <v>18</v>
      </c>
      <c r="U474" s="5" t="s">
        <v>4546</v>
      </c>
      <c r="V474" s="5" t="s">
        <v>4546</v>
      </c>
      <c r="W474" s="5" t="s">
        <v>67</v>
      </c>
      <c r="X474" s="5" t="s">
        <v>67</v>
      </c>
      <c r="Y474" s="4">
        <v>266</v>
      </c>
      <c r="Z474" s="4">
        <v>16</v>
      </c>
      <c r="AA474" s="4">
        <v>16</v>
      </c>
      <c r="AB474" s="4">
        <v>2</v>
      </c>
      <c r="AC474" s="4">
        <v>2</v>
      </c>
      <c r="AD474" s="4">
        <v>99</v>
      </c>
      <c r="AE474" s="4">
        <v>99</v>
      </c>
      <c r="AF474" s="4">
        <v>1</v>
      </c>
      <c r="AG474" s="4">
        <v>1</v>
      </c>
      <c r="AH474" s="4">
        <v>90</v>
      </c>
      <c r="AI474" s="4">
        <v>90</v>
      </c>
      <c r="AJ474" s="4">
        <v>13</v>
      </c>
      <c r="AK474" s="4">
        <v>13</v>
      </c>
      <c r="AL474" s="4">
        <v>50</v>
      </c>
      <c r="AM474" s="4">
        <v>50</v>
      </c>
      <c r="AN474" s="4">
        <v>0</v>
      </c>
      <c r="AO474" s="4">
        <v>0</v>
      </c>
      <c r="AP474" s="4">
        <v>14</v>
      </c>
      <c r="AQ474" s="4">
        <v>14</v>
      </c>
      <c r="AR474" s="3" t="s">
        <v>62</v>
      </c>
      <c r="AS474" s="3" t="s">
        <v>62</v>
      </c>
      <c r="AT474" s="3" t="s">
        <v>61</v>
      </c>
      <c r="AU474" s="6" t="str">
        <f>HYPERLINK("http://catalog.hathitrust.org/Record/002858036","HathiTrust Record")</f>
        <v>HathiTrust Record</v>
      </c>
      <c r="AV474" s="6" t="str">
        <f>HYPERLINK("http://mcgill.on.worldcat.org/oclc/28417910","Catalog Record")</f>
        <v>Catalog Record</v>
      </c>
      <c r="AW474" s="6" t="str">
        <f>HYPERLINK("http://www.worldcat.org/oclc/28417910","WorldCat Record")</f>
        <v>WorldCat Record</v>
      </c>
      <c r="AX474" s="3" t="s">
        <v>4547</v>
      </c>
      <c r="AY474" s="3" t="s">
        <v>4548</v>
      </c>
      <c r="AZ474" s="3" t="s">
        <v>4549</v>
      </c>
      <c r="BA474" s="3" t="s">
        <v>4549</v>
      </c>
      <c r="BB474" s="3" t="s">
        <v>4550</v>
      </c>
      <c r="BC474" s="3" t="s">
        <v>142</v>
      </c>
      <c r="BD474" s="3" t="s">
        <v>68</v>
      </c>
      <c r="BE474" s="3" t="s">
        <v>4551</v>
      </c>
      <c r="BF474" s="3" t="s">
        <v>4550</v>
      </c>
      <c r="BG474" s="3" t="s">
        <v>4552</v>
      </c>
    </row>
    <row r="475" spans="1:59" ht="85.5" x14ac:dyDescent="0.45">
      <c r="A475" s="2" t="s">
        <v>59</v>
      </c>
      <c r="B475" s="2" t="s">
        <v>60</v>
      </c>
      <c r="C475" s="2" t="s">
        <v>4553</v>
      </c>
      <c r="D475" s="2" t="s">
        <v>4554</v>
      </c>
      <c r="E475" s="2" t="s">
        <v>4555</v>
      </c>
      <c r="G475" s="3" t="s">
        <v>62</v>
      </c>
      <c r="I475" s="3" t="s">
        <v>62</v>
      </c>
      <c r="J475" s="3" t="s">
        <v>62</v>
      </c>
      <c r="K475" s="3" t="s">
        <v>63</v>
      </c>
      <c r="L475" s="2" t="s">
        <v>4556</v>
      </c>
      <c r="M475" s="2" t="s">
        <v>4557</v>
      </c>
      <c r="N475" s="3" t="s">
        <v>208</v>
      </c>
      <c r="P475" s="3" t="s">
        <v>182</v>
      </c>
      <c r="Q475" s="2" t="s">
        <v>4558</v>
      </c>
      <c r="R475" s="3" t="s">
        <v>66</v>
      </c>
      <c r="S475" s="4">
        <v>0</v>
      </c>
      <c r="T475" s="4">
        <v>0</v>
      </c>
      <c r="W475" s="5" t="s">
        <v>67</v>
      </c>
      <c r="X475" s="5" t="s">
        <v>67</v>
      </c>
      <c r="Y475" s="4">
        <v>29</v>
      </c>
      <c r="Z475" s="4">
        <v>3</v>
      </c>
      <c r="AA475" s="4">
        <v>3</v>
      </c>
      <c r="AB475" s="4">
        <v>1</v>
      </c>
      <c r="AC475" s="4">
        <v>1</v>
      </c>
      <c r="AD475" s="4">
        <v>14</v>
      </c>
      <c r="AE475" s="4">
        <v>14</v>
      </c>
      <c r="AF475" s="4">
        <v>0</v>
      </c>
      <c r="AG475" s="4">
        <v>0</v>
      </c>
      <c r="AH475" s="4">
        <v>13</v>
      </c>
      <c r="AI475" s="4">
        <v>13</v>
      </c>
      <c r="AJ475" s="4">
        <v>1</v>
      </c>
      <c r="AK475" s="4">
        <v>1</v>
      </c>
      <c r="AL475" s="4">
        <v>13</v>
      </c>
      <c r="AM475" s="4">
        <v>13</v>
      </c>
      <c r="AN475" s="4">
        <v>0</v>
      </c>
      <c r="AO475" s="4">
        <v>0</v>
      </c>
      <c r="AP475" s="4">
        <v>1</v>
      </c>
      <c r="AQ475" s="4">
        <v>1</v>
      </c>
      <c r="AR475" s="3" t="s">
        <v>62</v>
      </c>
      <c r="AS475" s="3" t="s">
        <v>62</v>
      </c>
      <c r="AT475" s="3" t="s">
        <v>62</v>
      </c>
      <c r="AV475" s="6" t="str">
        <f>HYPERLINK("http://mcgill.on.worldcat.org/oclc/921889991","Catalog Record")</f>
        <v>Catalog Record</v>
      </c>
      <c r="AW475" s="6" t="str">
        <f>HYPERLINK("http://www.worldcat.org/oclc/921889991","WorldCat Record")</f>
        <v>WorldCat Record</v>
      </c>
      <c r="AX475" s="3" t="s">
        <v>4559</v>
      </c>
      <c r="AY475" s="3" t="s">
        <v>4560</v>
      </c>
      <c r="AZ475" s="3" t="s">
        <v>4561</v>
      </c>
      <c r="BA475" s="3" t="s">
        <v>4561</v>
      </c>
      <c r="BB475" s="3" t="s">
        <v>4562</v>
      </c>
      <c r="BC475" s="3" t="s">
        <v>142</v>
      </c>
      <c r="BD475" s="3" t="s">
        <v>68</v>
      </c>
      <c r="BE475" s="3" t="s">
        <v>4563</v>
      </c>
      <c r="BF475" s="3" t="s">
        <v>4562</v>
      </c>
      <c r="BG475" s="3" t="s">
        <v>4564</v>
      </c>
    </row>
    <row r="476" spans="1:59" ht="114" x14ac:dyDescent="0.45">
      <c r="A476" s="2" t="s">
        <v>59</v>
      </c>
      <c r="B476" s="2" t="s">
        <v>690</v>
      </c>
      <c r="C476" s="2" t="s">
        <v>4565</v>
      </c>
      <c r="D476" s="2" t="s">
        <v>4566</v>
      </c>
      <c r="E476" s="2" t="s">
        <v>4567</v>
      </c>
      <c r="G476" s="3" t="s">
        <v>62</v>
      </c>
      <c r="I476" s="3" t="s">
        <v>62</v>
      </c>
      <c r="J476" s="3" t="s">
        <v>62</v>
      </c>
      <c r="K476" s="3" t="s">
        <v>63</v>
      </c>
      <c r="M476" s="2" t="s">
        <v>4568</v>
      </c>
      <c r="N476" s="3" t="s">
        <v>149</v>
      </c>
      <c r="P476" s="3" t="s">
        <v>4569</v>
      </c>
      <c r="R476" s="3" t="s">
        <v>66</v>
      </c>
      <c r="S476" s="4">
        <v>2</v>
      </c>
      <c r="T476" s="4">
        <v>2</v>
      </c>
      <c r="U476" s="5" t="s">
        <v>4570</v>
      </c>
      <c r="V476" s="5" t="s">
        <v>4570</v>
      </c>
      <c r="W476" s="5" t="s">
        <v>67</v>
      </c>
      <c r="X476" s="5" t="s">
        <v>67</v>
      </c>
      <c r="Y476" s="4">
        <v>20</v>
      </c>
      <c r="Z476" s="4">
        <v>3</v>
      </c>
      <c r="AA476" s="4">
        <v>3</v>
      </c>
      <c r="AB476" s="4">
        <v>1</v>
      </c>
      <c r="AC476" s="4">
        <v>1</v>
      </c>
      <c r="AD476" s="4">
        <v>12</v>
      </c>
      <c r="AE476" s="4">
        <v>12</v>
      </c>
      <c r="AF476" s="4">
        <v>0</v>
      </c>
      <c r="AG476" s="4">
        <v>0</v>
      </c>
      <c r="AH476" s="4">
        <v>11</v>
      </c>
      <c r="AI476" s="4">
        <v>11</v>
      </c>
      <c r="AJ476" s="4">
        <v>1</v>
      </c>
      <c r="AK476" s="4">
        <v>1</v>
      </c>
      <c r="AL476" s="4">
        <v>10</v>
      </c>
      <c r="AM476" s="4">
        <v>10</v>
      </c>
      <c r="AN476" s="4">
        <v>0</v>
      </c>
      <c r="AO476" s="4">
        <v>0</v>
      </c>
      <c r="AP476" s="4">
        <v>1</v>
      </c>
      <c r="AQ476" s="4">
        <v>1</v>
      </c>
      <c r="AR476" s="3" t="s">
        <v>62</v>
      </c>
      <c r="AS476" s="3" t="s">
        <v>62</v>
      </c>
      <c r="AT476" s="3" t="s">
        <v>62</v>
      </c>
      <c r="AV476" s="6" t="str">
        <f>HYPERLINK("http://mcgill.on.worldcat.org/oclc/607972864","Catalog Record")</f>
        <v>Catalog Record</v>
      </c>
      <c r="AW476" s="6" t="str">
        <f>HYPERLINK("http://www.worldcat.org/oclc/607972864","WorldCat Record")</f>
        <v>WorldCat Record</v>
      </c>
      <c r="AX476" s="3" t="s">
        <v>4571</v>
      </c>
      <c r="AY476" s="3" t="s">
        <v>4572</v>
      </c>
      <c r="AZ476" s="3" t="s">
        <v>4573</v>
      </c>
      <c r="BA476" s="3" t="s">
        <v>4573</v>
      </c>
      <c r="BB476" s="3" t="s">
        <v>4574</v>
      </c>
      <c r="BC476" s="3" t="s">
        <v>142</v>
      </c>
      <c r="BD476" s="3" t="s">
        <v>68</v>
      </c>
      <c r="BE476" s="3" t="s">
        <v>4575</v>
      </c>
      <c r="BF476" s="3" t="s">
        <v>4574</v>
      </c>
      <c r="BG476" s="3" t="s">
        <v>4576</v>
      </c>
    </row>
    <row r="477" spans="1:59" ht="71.25" x14ac:dyDescent="0.45">
      <c r="A477" s="2" t="s">
        <v>59</v>
      </c>
      <c r="B477" s="2" t="s">
        <v>60</v>
      </c>
      <c r="C477" s="2" t="s">
        <v>4577</v>
      </c>
      <c r="D477" s="2" t="s">
        <v>4578</v>
      </c>
      <c r="E477" s="2" t="s">
        <v>4579</v>
      </c>
      <c r="G477" s="3" t="s">
        <v>62</v>
      </c>
      <c r="I477" s="3" t="s">
        <v>62</v>
      </c>
      <c r="J477" s="3" t="s">
        <v>62</v>
      </c>
      <c r="K477" s="3" t="s">
        <v>63</v>
      </c>
      <c r="L477" s="2" t="s">
        <v>4580</v>
      </c>
      <c r="M477" s="2" t="s">
        <v>4581</v>
      </c>
      <c r="N477" s="3" t="s">
        <v>167</v>
      </c>
      <c r="P477" s="3" t="s">
        <v>65</v>
      </c>
      <c r="Q477" s="2" t="s">
        <v>4582</v>
      </c>
      <c r="R477" s="3" t="s">
        <v>66</v>
      </c>
      <c r="S477" s="4">
        <v>5</v>
      </c>
      <c r="T477" s="4">
        <v>5</v>
      </c>
      <c r="U477" s="5" t="s">
        <v>2702</v>
      </c>
      <c r="V477" s="5" t="s">
        <v>2702</v>
      </c>
      <c r="W477" s="5" t="s">
        <v>67</v>
      </c>
      <c r="X477" s="5" t="s">
        <v>67</v>
      </c>
      <c r="Y477" s="4">
        <v>123</v>
      </c>
      <c r="Z477" s="4">
        <v>9</v>
      </c>
      <c r="AA477" s="4">
        <v>73</v>
      </c>
      <c r="AB477" s="4">
        <v>1</v>
      </c>
      <c r="AC477" s="4">
        <v>14</v>
      </c>
      <c r="AD477" s="4">
        <v>60</v>
      </c>
      <c r="AE477" s="4">
        <v>119</v>
      </c>
      <c r="AF477" s="4">
        <v>0</v>
      </c>
      <c r="AG477" s="4">
        <v>8</v>
      </c>
      <c r="AH477" s="4">
        <v>58</v>
      </c>
      <c r="AI477" s="4">
        <v>87</v>
      </c>
      <c r="AJ477" s="4">
        <v>6</v>
      </c>
      <c r="AK477" s="4">
        <v>22</v>
      </c>
      <c r="AL477" s="4">
        <v>39</v>
      </c>
      <c r="AM477" s="4">
        <v>46</v>
      </c>
      <c r="AN477" s="4">
        <v>0</v>
      </c>
      <c r="AO477" s="4">
        <v>0</v>
      </c>
      <c r="AP477" s="4">
        <v>6</v>
      </c>
      <c r="AQ477" s="4">
        <v>40</v>
      </c>
      <c r="AR477" s="3" t="s">
        <v>62</v>
      </c>
      <c r="AS477" s="3" t="s">
        <v>62</v>
      </c>
      <c r="AT477" s="3" t="s">
        <v>61</v>
      </c>
      <c r="AU477" s="6" t="str">
        <f>HYPERLINK("http://catalog.hathitrust.org/Record/007137238","HathiTrust Record")</f>
        <v>HathiTrust Record</v>
      </c>
      <c r="AV477" s="6" t="str">
        <f>HYPERLINK("http://mcgill.on.worldcat.org/oclc/39785232","Catalog Record")</f>
        <v>Catalog Record</v>
      </c>
      <c r="AW477" s="6" t="str">
        <f>HYPERLINK("http://www.worldcat.org/oclc/39785232","WorldCat Record")</f>
        <v>WorldCat Record</v>
      </c>
      <c r="AX477" s="3" t="s">
        <v>4583</v>
      </c>
      <c r="AY477" s="3" t="s">
        <v>4584</v>
      </c>
      <c r="AZ477" s="3" t="s">
        <v>4585</v>
      </c>
      <c r="BA477" s="3" t="s">
        <v>4585</v>
      </c>
      <c r="BB477" s="3" t="s">
        <v>4586</v>
      </c>
      <c r="BC477" s="3" t="s">
        <v>142</v>
      </c>
      <c r="BD477" s="3" t="s">
        <v>68</v>
      </c>
      <c r="BE477" s="3" t="s">
        <v>4587</v>
      </c>
      <c r="BF477" s="3" t="s">
        <v>4586</v>
      </c>
      <c r="BG477" s="3" t="s">
        <v>4588</v>
      </c>
    </row>
    <row r="478" spans="1:59" ht="57" x14ac:dyDescent="0.45">
      <c r="A478" s="2" t="s">
        <v>59</v>
      </c>
      <c r="B478" s="2" t="s">
        <v>60</v>
      </c>
      <c r="C478" s="2" t="s">
        <v>4589</v>
      </c>
      <c r="D478" s="2" t="s">
        <v>4590</v>
      </c>
      <c r="E478" s="2" t="s">
        <v>4591</v>
      </c>
      <c r="G478" s="3" t="s">
        <v>62</v>
      </c>
      <c r="I478" s="3" t="s">
        <v>62</v>
      </c>
      <c r="J478" s="3" t="s">
        <v>62</v>
      </c>
      <c r="K478" s="3" t="s">
        <v>63</v>
      </c>
      <c r="M478" s="2" t="s">
        <v>4592</v>
      </c>
      <c r="N478" s="3" t="s">
        <v>958</v>
      </c>
      <c r="P478" s="3" t="s">
        <v>65</v>
      </c>
      <c r="Q478" s="2" t="s">
        <v>4593</v>
      </c>
      <c r="R478" s="3" t="s">
        <v>66</v>
      </c>
      <c r="S478" s="4">
        <v>10</v>
      </c>
      <c r="T478" s="4">
        <v>10</v>
      </c>
      <c r="U478" s="5" t="s">
        <v>4594</v>
      </c>
      <c r="V478" s="5" t="s">
        <v>4594</v>
      </c>
      <c r="W478" s="5" t="s">
        <v>67</v>
      </c>
      <c r="X478" s="5" t="s">
        <v>67</v>
      </c>
      <c r="Y478" s="4">
        <v>148</v>
      </c>
      <c r="Z478" s="4">
        <v>11</v>
      </c>
      <c r="AA478" s="4">
        <v>28</v>
      </c>
      <c r="AB478" s="4">
        <v>1</v>
      </c>
      <c r="AC478" s="4">
        <v>5</v>
      </c>
      <c r="AD478" s="4">
        <v>66</v>
      </c>
      <c r="AE478" s="4">
        <v>91</v>
      </c>
      <c r="AF478" s="4">
        <v>0</v>
      </c>
      <c r="AG478" s="4">
        <v>2</v>
      </c>
      <c r="AH478" s="4">
        <v>61</v>
      </c>
      <c r="AI478" s="4">
        <v>77</v>
      </c>
      <c r="AJ478" s="4">
        <v>6</v>
      </c>
      <c r="AK478" s="4">
        <v>11</v>
      </c>
      <c r="AL478" s="4">
        <v>41</v>
      </c>
      <c r="AM478" s="4">
        <v>47</v>
      </c>
      <c r="AN478" s="4">
        <v>0</v>
      </c>
      <c r="AO478" s="4">
        <v>0</v>
      </c>
      <c r="AP478" s="4">
        <v>8</v>
      </c>
      <c r="AQ478" s="4">
        <v>18</v>
      </c>
      <c r="AR478" s="3" t="s">
        <v>62</v>
      </c>
      <c r="AS478" s="3" t="s">
        <v>62</v>
      </c>
      <c r="AT478" s="3" t="s">
        <v>62</v>
      </c>
      <c r="AV478" s="6" t="str">
        <f>HYPERLINK("http://mcgill.on.worldcat.org/oclc/33007655","Catalog Record")</f>
        <v>Catalog Record</v>
      </c>
      <c r="AW478" s="6" t="str">
        <f>HYPERLINK("http://www.worldcat.org/oclc/33007655","WorldCat Record")</f>
        <v>WorldCat Record</v>
      </c>
      <c r="AX478" s="3" t="s">
        <v>4595</v>
      </c>
      <c r="AY478" s="3" t="s">
        <v>4596</v>
      </c>
      <c r="AZ478" s="3" t="s">
        <v>4597</v>
      </c>
      <c r="BA478" s="3" t="s">
        <v>4597</v>
      </c>
      <c r="BB478" s="3" t="s">
        <v>4598</v>
      </c>
      <c r="BC478" s="3" t="s">
        <v>142</v>
      </c>
      <c r="BD478" s="3" t="s">
        <v>68</v>
      </c>
      <c r="BE478" s="3" t="s">
        <v>4599</v>
      </c>
      <c r="BF478" s="3" t="s">
        <v>4598</v>
      </c>
      <c r="BG478" s="3" t="s">
        <v>4600</v>
      </c>
    </row>
    <row r="479" spans="1:59" ht="57" x14ac:dyDescent="0.45">
      <c r="A479" s="2" t="s">
        <v>59</v>
      </c>
      <c r="B479" s="2" t="s">
        <v>60</v>
      </c>
      <c r="C479" s="2" t="s">
        <v>4601</v>
      </c>
      <c r="D479" s="2" t="s">
        <v>4602</v>
      </c>
      <c r="E479" s="2" t="s">
        <v>4603</v>
      </c>
      <c r="G479" s="3" t="s">
        <v>62</v>
      </c>
      <c r="I479" s="3" t="s">
        <v>62</v>
      </c>
      <c r="J479" s="3" t="s">
        <v>62</v>
      </c>
      <c r="K479" s="3" t="s">
        <v>63</v>
      </c>
      <c r="L479" s="2" t="s">
        <v>4604</v>
      </c>
      <c r="M479" s="2" t="s">
        <v>4605</v>
      </c>
      <c r="N479" s="3" t="s">
        <v>894</v>
      </c>
      <c r="P479" s="3" t="s">
        <v>65</v>
      </c>
      <c r="Q479" s="2" t="s">
        <v>4606</v>
      </c>
      <c r="R479" s="3" t="s">
        <v>66</v>
      </c>
      <c r="S479" s="4">
        <v>0</v>
      </c>
      <c r="T479" s="4">
        <v>0</v>
      </c>
      <c r="W479" s="5" t="s">
        <v>67</v>
      </c>
      <c r="X479" s="5" t="s">
        <v>67</v>
      </c>
      <c r="Y479" s="4">
        <v>153</v>
      </c>
      <c r="Z479" s="4">
        <v>13</v>
      </c>
      <c r="AA479" s="4">
        <v>33</v>
      </c>
      <c r="AB479" s="4">
        <v>2</v>
      </c>
      <c r="AC479" s="4">
        <v>7</v>
      </c>
      <c r="AD479" s="4">
        <v>65</v>
      </c>
      <c r="AE479" s="4">
        <v>71</v>
      </c>
      <c r="AF479" s="4">
        <v>1</v>
      </c>
      <c r="AG479" s="4">
        <v>1</v>
      </c>
      <c r="AH479" s="4">
        <v>60</v>
      </c>
      <c r="AI479" s="4">
        <v>62</v>
      </c>
      <c r="AJ479" s="4">
        <v>11</v>
      </c>
      <c r="AK479" s="4">
        <v>12</v>
      </c>
      <c r="AL479" s="4">
        <v>41</v>
      </c>
      <c r="AM479" s="4">
        <v>43</v>
      </c>
      <c r="AN479" s="4">
        <v>0</v>
      </c>
      <c r="AO479" s="4">
        <v>0</v>
      </c>
      <c r="AP479" s="4">
        <v>11</v>
      </c>
      <c r="AQ479" s="4">
        <v>14</v>
      </c>
      <c r="AR479" s="3" t="s">
        <v>62</v>
      </c>
      <c r="AS479" s="3" t="s">
        <v>62</v>
      </c>
      <c r="AT479" s="3" t="s">
        <v>62</v>
      </c>
      <c r="AV479" s="6" t="str">
        <f>HYPERLINK("http://mcgill.on.worldcat.org/oclc/751721789","Catalog Record")</f>
        <v>Catalog Record</v>
      </c>
      <c r="AW479" s="6" t="str">
        <f>HYPERLINK("http://www.worldcat.org/oclc/751721789","WorldCat Record")</f>
        <v>WorldCat Record</v>
      </c>
      <c r="AX479" s="3" t="s">
        <v>4607</v>
      </c>
      <c r="AY479" s="3" t="s">
        <v>4608</v>
      </c>
      <c r="AZ479" s="3" t="s">
        <v>4609</v>
      </c>
      <c r="BA479" s="3" t="s">
        <v>4609</v>
      </c>
      <c r="BB479" s="3" t="s">
        <v>4610</v>
      </c>
      <c r="BC479" s="3" t="s">
        <v>142</v>
      </c>
      <c r="BD479" s="3" t="s">
        <v>68</v>
      </c>
      <c r="BE479" s="3" t="s">
        <v>4611</v>
      </c>
      <c r="BF479" s="3" t="s">
        <v>4610</v>
      </c>
      <c r="BG479" s="3" t="s">
        <v>4612</v>
      </c>
    </row>
    <row r="480" spans="1:59" ht="57" x14ac:dyDescent="0.45">
      <c r="A480" s="2" t="s">
        <v>59</v>
      </c>
      <c r="B480" s="2" t="s">
        <v>60</v>
      </c>
      <c r="C480" s="2" t="s">
        <v>4613</v>
      </c>
      <c r="D480" s="2" t="s">
        <v>4614</v>
      </c>
      <c r="E480" s="2" t="s">
        <v>4615</v>
      </c>
      <c r="G480" s="3" t="s">
        <v>62</v>
      </c>
      <c r="I480" s="3" t="s">
        <v>62</v>
      </c>
      <c r="J480" s="3" t="s">
        <v>62</v>
      </c>
      <c r="K480" s="3" t="s">
        <v>63</v>
      </c>
      <c r="L480" s="2" t="s">
        <v>4616</v>
      </c>
      <c r="M480" s="2" t="s">
        <v>3925</v>
      </c>
      <c r="N480" s="3" t="s">
        <v>149</v>
      </c>
      <c r="P480" s="3" t="s">
        <v>65</v>
      </c>
      <c r="Q480" s="2" t="s">
        <v>4617</v>
      </c>
      <c r="R480" s="3" t="s">
        <v>66</v>
      </c>
      <c r="S480" s="4">
        <v>0</v>
      </c>
      <c r="T480" s="4">
        <v>0</v>
      </c>
      <c r="W480" s="5" t="s">
        <v>67</v>
      </c>
      <c r="X480" s="5" t="s">
        <v>67</v>
      </c>
      <c r="Y480" s="4">
        <v>80</v>
      </c>
      <c r="Z480" s="4">
        <v>5</v>
      </c>
      <c r="AA480" s="4">
        <v>96</v>
      </c>
      <c r="AB480" s="4">
        <v>1</v>
      </c>
      <c r="AC480" s="4">
        <v>17</v>
      </c>
      <c r="AD480" s="4">
        <v>38</v>
      </c>
      <c r="AE480" s="4">
        <v>119</v>
      </c>
      <c r="AF480" s="4">
        <v>0</v>
      </c>
      <c r="AG480" s="4">
        <v>8</v>
      </c>
      <c r="AH480" s="4">
        <v>37</v>
      </c>
      <c r="AI480" s="4">
        <v>83</v>
      </c>
      <c r="AJ480" s="4">
        <v>4</v>
      </c>
      <c r="AK480" s="4">
        <v>22</v>
      </c>
      <c r="AL480" s="4">
        <v>23</v>
      </c>
      <c r="AM480" s="4">
        <v>41</v>
      </c>
      <c r="AN480" s="4">
        <v>0</v>
      </c>
      <c r="AO480" s="4">
        <v>0</v>
      </c>
      <c r="AP480" s="4">
        <v>4</v>
      </c>
      <c r="AQ480" s="4">
        <v>43</v>
      </c>
      <c r="AR480" s="3" t="s">
        <v>62</v>
      </c>
      <c r="AS480" s="3" t="s">
        <v>62</v>
      </c>
      <c r="AT480" s="3" t="s">
        <v>62</v>
      </c>
      <c r="AV480" s="6" t="str">
        <f>HYPERLINK("http://mcgill.on.worldcat.org/oclc/646630450","Catalog Record")</f>
        <v>Catalog Record</v>
      </c>
      <c r="AW480" s="6" t="str">
        <f>HYPERLINK("http://www.worldcat.org/oclc/646630450","WorldCat Record")</f>
        <v>WorldCat Record</v>
      </c>
      <c r="AX480" s="3" t="s">
        <v>4618</v>
      </c>
      <c r="AY480" s="3" t="s">
        <v>4619</v>
      </c>
      <c r="AZ480" s="3" t="s">
        <v>4620</v>
      </c>
      <c r="BA480" s="3" t="s">
        <v>4620</v>
      </c>
      <c r="BB480" s="3" t="s">
        <v>4621</v>
      </c>
      <c r="BC480" s="3" t="s">
        <v>142</v>
      </c>
      <c r="BD480" s="3" t="s">
        <v>68</v>
      </c>
      <c r="BE480" s="3" t="s">
        <v>4622</v>
      </c>
      <c r="BF480" s="3" t="s">
        <v>4621</v>
      </c>
      <c r="BG480" s="3" t="s">
        <v>4623</v>
      </c>
    </row>
    <row r="481" spans="1:59" ht="71.25" x14ac:dyDescent="0.45">
      <c r="A481" s="2" t="s">
        <v>59</v>
      </c>
      <c r="B481" s="2" t="s">
        <v>60</v>
      </c>
      <c r="C481" s="2" t="s">
        <v>4624</v>
      </c>
      <c r="D481" s="2" t="s">
        <v>4625</v>
      </c>
      <c r="E481" s="2" t="s">
        <v>4626</v>
      </c>
      <c r="G481" s="3" t="s">
        <v>62</v>
      </c>
      <c r="I481" s="3" t="s">
        <v>62</v>
      </c>
      <c r="J481" s="3" t="s">
        <v>62</v>
      </c>
      <c r="K481" s="3" t="s">
        <v>63</v>
      </c>
      <c r="M481" s="2" t="s">
        <v>3362</v>
      </c>
      <c r="N481" s="3" t="s">
        <v>149</v>
      </c>
      <c r="P481" s="3" t="s">
        <v>65</v>
      </c>
      <c r="Q481" s="2" t="s">
        <v>4627</v>
      </c>
      <c r="R481" s="3" t="s">
        <v>66</v>
      </c>
      <c r="S481" s="4">
        <v>0</v>
      </c>
      <c r="T481" s="4">
        <v>0</v>
      </c>
      <c r="W481" s="5" t="s">
        <v>67</v>
      </c>
      <c r="X481" s="5" t="s">
        <v>67</v>
      </c>
      <c r="Y481" s="4">
        <v>91</v>
      </c>
      <c r="Z481" s="4">
        <v>12</v>
      </c>
      <c r="AA481" s="4">
        <v>81</v>
      </c>
      <c r="AB481" s="4">
        <v>1</v>
      </c>
      <c r="AC481" s="4">
        <v>14</v>
      </c>
      <c r="AD481" s="4">
        <v>38</v>
      </c>
      <c r="AE481" s="4">
        <v>107</v>
      </c>
      <c r="AF481" s="4">
        <v>0</v>
      </c>
      <c r="AG481" s="4">
        <v>8</v>
      </c>
      <c r="AH481" s="4">
        <v>34</v>
      </c>
      <c r="AI481" s="4">
        <v>72</v>
      </c>
      <c r="AJ481" s="4">
        <v>8</v>
      </c>
      <c r="AK481" s="4">
        <v>21</v>
      </c>
      <c r="AL481" s="4">
        <v>24</v>
      </c>
      <c r="AM481" s="4">
        <v>38</v>
      </c>
      <c r="AN481" s="4">
        <v>0</v>
      </c>
      <c r="AO481" s="4">
        <v>0</v>
      </c>
      <c r="AP481" s="4">
        <v>8</v>
      </c>
      <c r="AQ481" s="4">
        <v>41</v>
      </c>
      <c r="AR481" s="3" t="s">
        <v>62</v>
      </c>
      <c r="AS481" s="3" t="s">
        <v>62</v>
      </c>
      <c r="AT481" s="3" t="s">
        <v>62</v>
      </c>
      <c r="AV481" s="6" t="str">
        <f>HYPERLINK("http://mcgill.on.worldcat.org/oclc/640084251","Catalog Record")</f>
        <v>Catalog Record</v>
      </c>
      <c r="AW481" s="6" t="str">
        <f>HYPERLINK("http://www.worldcat.org/oclc/640084251","WorldCat Record")</f>
        <v>WorldCat Record</v>
      </c>
      <c r="AX481" s="3" t="s">
        <v>4628</v>
      </c>
      <c r="AY481" s="3" t="s">
        <v>4629</v>
      </c>
      <c r="AZ481" s="3" t="s">
        <v>4630</v>
      </c>
      <c r="BA481" s="3" t="s">
        <v>4630</v>
      </c>
      <c r="BB481" s="3" t="s">
        <v>4631</v>
      </c>
      <c r="BC481" s="3" t="s">
        <v>142</v>
      </c>
      <c r="BD481" s="3" t="s">
        <v>68</v>
      </c>
      <c r="BE481" s="3" t="s">
        <v>4632</v>
      </c>
      <c r="BF481" s="3" t="s">
        <v>4631</v>
      </c>
      <c r="BG481" s="3" t="s">
        <v>4633</v>
      </c>
    </row>
    <row r="482" spans="1:59" ht="57" x14ac:dyDescent="0.45">
      <c r="A482" s="2" t="s">
        <v>59</v>
      </c>
      <c r="B482" s="2" t="s">
        <v>60</v>
      </c>
      <c r="C482" s="2" t="s">
        <v>4634</v>
      </c>
      <c r="D482" s="2" t="s">
        <v>4635</v>
      </c>
      <c r="E482" s="2" t="s">
        <v>4636</v>
      </c>
      <c r="G482" s="3" t="s">
        <v>62</v>
      </c>
      <c r="I482" s="3" t="s">
        <v>62</v>
      </c>
      <c r="J482" s="3" t="s">
        <v>62</v>
      </c>
      <c r="K482" s="3" t="s">
        <v>63</v>
      </c>
      <c r="L482" s="2" t="s">
        <v>4637</v>
      </c>
      <c r="M482" s="2" t="s">
        <v>4638</v>
      </c>
      <c r="N482" s="3" t="s">
        <v>116</v>
      </c>
      <c r="P482" s="3" t="s">
        <v>65</v>
      </c>
      <c r="R482" s="3" t="s">
        <v>66</v>
      </c>
      <c r="S482" s="4">
        <v>3</v>
      </c>
      <c r="T482" s="4">
        <v>3</v>
      </c>
      <c r="U482" s="5" t="s">
        <v>4639</v>
      </c>
      <c r="V482" s="5" t="s">
        <v>4639</v>
      </c>
      <c r="W482" s="5" t="s">
        <v>67</v>
      </c>
      <c r="X482" s="5" t="s">
        <v>67</v>
      </c>
      <c r="Y482" s="4">
        <v>125</v>
      </c>
      <c r="Z482" s="4">
        <v>15</v>
      </c>
      <c r="AA482" s="4">
        <v>21</v>
      </c>
      <c r="AB482" s="4">
        <v>1</v>
      </c>
      <c r="AC482" s="4">
        <v>3</v>
      </c>
      <c r="AD482" s="4">
        <v>63</v>
      </c>
      <c r="AE482" s="4">
        <v>68</v>
      </c>
      <c r="AF482" s="4">
        <v>0</v>
      </c>
      <c r="AG482" s="4">
        <v>0</v>
      </c>
      <c r="AH482" s="4">
        <v>59</v>
      </c>
      <c r="AI482" s="4">
        <v>62</v>
      </c>
      <c r="AJ482" s="4">
        <v>11</v>
      </c>
      <c r="AK482" s="4">
        <v>15</v>
      </c>
      <c r="AL482" s="4">
        <v>33</v>
      </c>
      <c r="AM482" s="4">
        <v>34</v>
      </c>
      <c r="AN482" s="4">
        <v>0</v>
      </c>
      <c r="AO482" s="4">
        <v>0</v>
      </c>
      <c r="AP482" s="4">
        <v>11</v>
      </c>
      <c r="AQ482" s="4">
        <v>15</v>
      </c>
      <c r="AR482" s="3" t="s">
        <v>62</v>
      </c>
      <c r="AS482" s="3" t="s">
        <v>62</v>
      </c>
      <c r="AT482" s="3" t="s">
        <v>62</v>
      </c>
      <c r="AV482" s="6" t="str">
        <f>HYPERLINK("http://mcgill.on.worldcat.org/oclc/802321064","Catalog Record")</f>
        <v>Catalog Record</v>
      </c>
      <c r="AW482" s="6" t="str">
        <f>HYPERLINK("http://www.worldcat.org/oclc/802321064","WorldCat Record")</f>
        <v>WorldCat Record</v>
      </c>
      <c r="AX482" s="3" t="s">
        <v>4640</v>
      </c>
      <c r="AY482" s="3" t="s">
        <v>4641</v>
      </c>
      <c r="AZ482" s="3" t="s">
        <v>4642</v>
      </c>
      <c r="BA482" s="3" t="s">
        <v>4642</v>
      </c>
      <c r="BB482" s="3" t="s">
        <v>4643</v>
      </c>
      <c r="BC482" s="3" t="s">
        <v>142</v>
      </c>
      <c r="BD482" s="3" t="s">
        <v>68</v>
      </c>
      <c r="BE482" s="3" t="s">
        <v>4644</v>
      </c>
      <c r="BF482" s="3" t="s">
        <v>4643</v>
      </c>
      <c r="BG482" s="3" t="s">
        <v>4645</v>
      </c>
    </row>
    <row r="483" spans="1:59" ht="57" x14ac:dyDescent="0.45">
      <c r="A483" s="2" t="s">
        <v>59</v>
      </c>
      <c r="B483" s="2" t="s">
        <v>60</v>
      </c>
      <c r="C483" s="2" t="s">
        <v>4646</v>
      </c>
      <c r="D483" s="2" t="s">
        <v>4647</v>
      </c>
      <c r="E483" s="2" t="s">
        <v>4648</v>
      </c>
      <c r="G483" s="3" t="s">
        <v>62</v>
      </c>
      <c r="I483" s="3" t="s">
        <v>62</v>
      </c>
      <c r="J483" s="3" t="s">
        <v>62</v>
      </c>
      <c r="K483" s="3" t="s">
        <v>63</v>
      </c>
      <c r="L483" s="2" t="s">
        <v>4649</v>
      </c>
      <c r="M483" s="2" t="s">
        <v>4650</v>
      </c>
      <c r="N483" s="3" t="s">
        <v>894</v>
      </c>
      <c r="P483" s="3" t="s">
        <v>65</v>
      </c>
      <c r="R483" s="3" t="s">
        <v>66</v>
      </c>
      <c r="S483" s="4">
        <v>2</v>
      </c>
      <c r="T483" s="4">
        <v>2</v>
      </c>
      <c r="U483" s="5" t="s">
        <v>4651</v>
      </c>
      <c r="V483" s="5" t="s">
        <v>4651</v>
      </c>
      <c r="W483" s="5" t="s">
        <v>67</v>
      </c>
      <c r="X483" s="5" t="s">
        <v>67</v>
      </c>
      <c r="Y483" s="4">
        <v>124</v>
      </c>
      <c r="Z483" s="4">
        <v>16</v>
      </c>
      <c r="AA483" s="4">
        <v>85</v>
      </c>
      <c r="AB483" s="4">
        <v>1</v>
      </c>
      <c r="AC483" s="4">
        <v>14</v>
      </c>
      <c r="AD483" s="4">
        <v>65</v>
      </c>
      <c r="AE483" s="4">
        <v>126</v>
      </c>
      <c r="AF483" s="4">
        <v>0</v>
      </c>
      <c r="AG483" s="4">
        <v>8</v>
      </c>
      <c r="AH483" s="4">
        <v>62</v>
      </c>
      <c r="AI483" s="4">
        <v>91</v>
      </c>
      <c r="AJ483" s="4">
        <v>11</v>
      </c>
      <c r="AK483" s="4">
        <v>23</v>
      </c>
      <c r="AL483" s="4">
        <v>38</v>
      </c>
      <c r="AM483" s="4">
        <v>49</v>
      </c>
      <c r="AN483" s="4">
        <v>0</v>
      </c>
      <c r="AO483" s="4">
        <v>0</v>
      </c>
      <c r="AP483" s="4">
        <v>12</v>
      </c>
      <c r="AQ483" s="4">
        <v>45</v>
      </c>
      <c r="AR483" s="3" t="s">
        <v>62</v>
      </c>
      <c r="AS483" s="3" t="s">
        <v>62</v>
      </c>
      <c r="AT483" s="3" t="s">
        <v>62</v>
      </c>
      <c r="AV483" s="6" t="str">
        <f>HYPERLINK("http://mcgill.on.worldcat.org/oclc/698328044","Catalog Record")</f>
        <v>Catalog Record</v>
      </c>
      <c r="AW483" s="6" t="str">
        <f>HYPERLINK("http://www.worldcat.org/oclc/698328044","WorldCat Record")</f>
        <v>WorldCat Record</v>
      </c>
      <c r="AX483" s="3" t="s">
        <v>4652</v>
      </c>
      <c r="AY483" s="3" t="s">
        <v>4653</v>
      </c>
      <c r="AZ483" s="3" t="s">
        <v>4654</v>
      </c>
      <c r="BA483" s="3" t="s">
        <v>4654</v>
      </c>
      <c r="BB483" s="3" t="s">
        <v>4655</v>
      </c>
      <c r="BC483" s="3" t="s">
        <v>142</v>
      </c>
      <c r="BD483" s="3" t="s">
        <v>68</v>
      </c>
      <c r="BE483" s="3" t="s">
        <v>4656</v>
      </c>
      <c r="BF483" s="3" t="s">
        <v>4655</v>
      </c>
      <c r="BG483" s="3" t="s">
        <v>4657</v>
      </c>
    </row>
    <row r="484" spans="1:59" ht="57" x14ac:dyDescent="0.45">
      <c r="A484" s="2" t="s">
        <v>59</v>
      </c>
      <c r="B484" s="2" t="s">
        <v>60</v>
      </c>
      <c r="C484" s="2" t="s">
        <v>4658</v>
      </c>
      <c r="D484" s="2" t="s">
        <v>4659</v>
      </c>
      <c r="E484" s="2" t="s">
        <v>4660</v>
      </c>
      <c r="G484" s="3" t="s">
        <v>62</v>
      </c>
      <c r="I484" s="3" t="s">
        <v>62</v>
      </c>
      <c r="J484" s="3" t="s">
        <v>62</v>
      </c>
      <c r="K484" s="3" t="s">
        <v>63</v>
      </c>
      <c r="L484" s="2" t="s">
        <v>4661</v>
      </c>
      <c r="M484" s="2" t="s">
        <v>4662</v>
      </c>
      <c r="N484" s="3" t="s">
        <v>116</v>
      </c>
      <c r="P484" s="3" t="s">
        <v>65</v>
      </c>
      <c r="R484" s="3" t="s">
        <v>66</v>
      </c>
      <c r="S484" s="4">
        <v>0</v>
      </c>
      <c r="T484" s="4">
        <v>0</v>
      </c>
      <c r="W484" s="5" t="s">
        <v>67</v>
      </c>
      <c r="X484" s="5" t="s">
        <v>67</v>
      </c>
      <c r="Y484" s="4">
        <v>97</v>
      </c>
      <c r="Z484" s="4">
        <v>13</v>
      </c>
      <c r="AA484" s="4">
        <v>40</v>
      </c>
      <c r="AB484" s="4">
        <v>1</v>
      </c>
      <c r="AC484" s="4">
        <v>6</v>
      </c>
      <c r="AD484" s="4">
        <v>48</v>
      </c>
      <c r="AE484" s="4">
        <v>82</v>
      </c>
      <c r="AF484" s="4">
        <v>0</v>
      </c>
      <c r="AG484" s="4">
        <v>2</v>
      </c>
      <c r="AH484" s="4">
        <v>45</v>
      </c>
      <c r="AI484" s="4">
        <v>68</v>
      </c>
      <c r="AJ484" s="4">
        <v>10</v>
      </c>
      <c r="AK484" s="4">
        <v>16</v>
      </c>
      <c r="AL484" s="4">
        <v>27</v>
      </c>
      <c r="AM484" s="4">
        <v>36</v>
      </c>
      <c r="AN484" s="4">
        <v>0</v>
      </c>
      <c r="AO484" s="4">
        <v>0</v>
      </c>
      <c r="AP484" s="4">
        <v>11</v>
      </c>
      <c r="AQ484" s="4">
        <v>22</v>
      </c>
      <c r="AR484" s="3" t="s">
        <v>62</v>
      </c>
      <c r="AS484" s="3" t="s">
        <v>62</v>
      </c>
      <c r="AT484" s="3" t="s">
        <v>62</v>
      </c>
      <c r="AV484" s="6" t="str">
        <f>HYPERLINK("http://mcgill.on.worldcat.org/oclc/856975692","Catalog Record")</f>
        <v>Catalog Record</v>
      </c>
      <c r="AW484" s="6" t="str">
        <f>HYPERLINK("http://www.worldcat.org/oclc/856975692","WorldCat Record")</f>
        <v>WorldCat Record</v>
      </c>
      <c r="AX484" s="3" t="s">
        <v>4663</v>
      </c>
      <c r="AY484" s="3" t="s">
        <v>4664</v>
      </c>
      <c r="AZ484" s="3" t="s">
        <v>4665</v>
      </c>
      <c r="BA484" s="3" t="s">
        <v>4665</v>
      </c>
      <c r="BB484" s="3" t="s">
        <v>4666</v>
      </c>
      <c r="BC484" s="3" t="s">
        <v>142</v>
      </c>
      <c r="BD484" s="3" t="s">
        <v>68</v>
      </c>
      <c r="BE484" s="3" t="s">
        <v>4667</v>
      </c>
      <c r="BF484" s="3" t="s">
        <v>4666</v>
      </c>
      <c r="BG484" s="3" t="s">
        <v>4668</v>
      </c>
    </row>
    <row r="485" spans="1:59" ht="57" x14ac:dyDescent="0.45">
      <c r="A485" s="2" t="s">
        <v>59</v>
      </c>
      <c r="B485" s="2" t="s">
        <v>60</v>
      </c>
      <c r="C485" s="2" t="s">
        <v>4669</v>
      </c>
      <c r="D485" s="2" t="s">
        <v>4670</v>
      </c>
      <c r="E485" s="2" t="s">
        <v>4671</v>
      </c>
      <c r="G485" s="3" t="s">
        <v>62</v>
      </c>
      <c r="I485" s="3" t="s">
        <v>62</v>
      </c>
      <c r="J485" s="3" t="s">
        <v>62</v>
      </c>
      <c r="K485" s="3" t="s">
        <v>63</v>
      </c>
      <c r="M485" s="2" t="s">
        <v>4672</v>
      </c>
      <c r="N485" s="3" t="s">
        <v>970</v>
      </c>
      <c r="P485" s="3" t="s">
        <v>65</v>
      </c>
      <c r="R485" s="3" t="s">
        <v>66</v>
      </c>
      <c r="S485" s="4">
        <v>7</v>
      </c>
      <c r="T485" s="4">
        <v>7</v>
      </c>
      <c r="U485" s="5" t="s">
        <v>4651</v>
      </c>
      <c r="V485" s="5" t="s">
        <v>4651</v>
      </c>
      <c r="W485" s="5" t="s">
        <v>67</v>
      </c>
      <c r="X485" s="5" t="s">
        <v>67</v>
      </c>
      <c r="Y485" s="4">
        <v>249</v>
      </c>
      <c r="Z485" s="4">
        <v>11</v>
      </c>
      <c r="AA485" s="4">
        <v>118</v>
      </c>
      <c r="AB485" s="4">
        <v>1</v>
      </c>
      <c r="AC485" s="4">
        <v>21</v>
      </c>
      <c r="AD485" s="4">
        <v>76</v>
      </c>
      <c r="AE485" s="4">
        <v>149</v>
      </c>
      <c r="AF485" s="4">
        <v>0</v>
      </c>
      <c r="AG485" s="4">
        <v>9</v>
      </c>
      <c r="AH485" s="4">
        <v>70</v>
      </c>
      <c r="AI485" s="4">
        <v>103</v>
      </c>
      <c r="AJ485" s="4">
        <v>7</v>
      </c>
      <c r="AK485" s="4">
        <v>26</v>
      </c>
      <c r="AL485" s="4">
        <v>45</v>
      </c>
      <c r="AM485" s="4">
        <v>54</v>
      </c>
      <c r="AN485" s="4">
        <v>0</v>
      </c>
      <c r="AO485" s="4">
        <v>0</v>
      </c>
      <c r="AP485" s="4">
        <v>9</v>
      </c>
      <c r="AQ485" s="4">
        <v>54</v>
      </c>
      <c r="AR485" s="3" t="s">
        <v>62</v>
      </c>
      <c r="AS485" s="3" t="s">
        <v>62</v>
      </c>
      <c r="AT485" s="3" t="s">
        <v>61</v>
      </c>
      <c r="AU485" s="6" t="str">
        <f>HYPERLINK("http://catalog.hathitrust.org/Record/004226240","HathiTrust Record")</f>
        <v>HathiTrust Record</v>
      </c>
      <c r="AV485" s="6" t="str">
        <f>HYPERLINK("http://mcgill.on.worldcat.org/oclc/51062774","Catalog Record")</f>
        <v>Catalog Record</v>
      </c>
      <c r="AW485" s="6" t="str">
        <f>HYPERLINK("http://www.worldcat.org/oclc/51062774","WorldCat Record")</f>
        <v>WorldCat Record</v>
      </c>
      <c r="AX485" s="3" t="s">
        <v>4673</v>
      </c>
      <c r="AY485" s="3" t="s">
        <v>4674</v>
      </c>
      <c r="AZ485" s="3" t="s">
        <v>4675</v>
      </c>
      <c r="BA485" s="3" t="s">
        <v>4675</v>
      </c>
      <c r="BB485" s="3" t="s">
        <v>4676</v>
      </c>
      <c r="BC485" s="3" t="s">
        <v>142</v>
      </c>
      <c r="BD485" s="3" t="s">
        <v>68</v>
      </c>
      <c r="BE485" s="3" t="s">
        <v>4677</v>
      </c>
      <c r="BF485" s="3" t="s">
        <v>4676</v>
      </c>
      <c r="BG485" s="3" t="s">
        <v>4678</v>
      </c>
    </row>
    <row r="486" spans="1:59" ht="57" x14ac:dyDescent="0.45">
      <c r="A486" s="2" t="s">
        <v>59</v>
      </c>
      <c r="B486" s="2" t="s">
        <v>60</v>
      </c>
      <c r="C486" s="2" t="s">
        <v>4679</v>
      </c>
      <c r="D486" s="2" t="s">
        <v>4680</v>
      </c>
      <c r="E486" s="2" t="s">
        <v>4681</v>
      </c>
      <c r="G486" s="3" t="s">
        <v>62</v>
      </c>
      <c r="I486" s="3" t="s">
        <v>62</v>
      </c>
      <c r="J486" s="3" t="s">
        <v>62</v>
      </c>
      <c r="K486" s="3" t="s">
        <v>63</v>
      </c>
      <c r="M486" s="2" t="s">
        <v>4682</v>
      </c>
      <c r="N486" s="3" t="s">
        <v>149</v>
      </c>
      <c r="P486" s="3" t="s">
        <v>65</v>
      </c>
      <c r="Q486" s="2" t="s">
        <v>4683</v>
      </c>
      <c r="R486" s="3" t="s">
        <v>66</v>
      </c>
      <c r="S486" s="4">
        <v>3</v>
      </c>
      <c r="T486" s="4">
        <v>3</v>
      </c>
      <c r="U486" s="5" t="s">
        <v>4058</v>
      </c>
      <c r="V486" s="5" t="s">
        <v>4058</v>
      </c>
      <c r="W486" s="5" t="s">
        <v>67</v>
      </c>
      <c r="X486" s="5" t="s">
        <v>67</v>
      </c>
      <c r="Y486" s="4">
        <v>87</v>
      </c>
      <c r="Z486" s="4">
        <v>10</v>
      </c>
      <c r="AA486" s="4">
        <v>59</v>
      </c>
      <c r="AB486" s="4">
        <v>1</v>
      </c>
      <c r="AC486" s="4">
        <v>8</v>
      </c>
      <c r="AD486" s="4">
        <v>46</v>
      </c>
      <c r="AE486" s="4">
        <v>87</v>
      </c>
      <c r="AF486" s="4">
        <v>0</v>
      </c>
      <c r="AG486" s="4">
        <v>1</v>
      </c>
      <c r="AH486" s="4">
        <v>45</v>
      </c>
      <c r="AI486" s="4">
        <v>72</v>
      </c>
      <c r="AJ486" s="4">
        <v>7</v>
      </c>
      <c r="AK486" s="4">
        <v>16</v>
      </c>
      <c r="AL486" s="4">
        <v>29</v>
      </c>
      <c r="AM486" s="4">
        <v>38</v>
      </c>
      <c r="AN486" s="4">
        <v>0</v>
      </c>
      <c r="AO486" s="4">
        <v>0</v>
      </c>
      <c r="AP486" s="4">
        <v>7</v>
      </c>
      <c r="AQ486" s="4">
        <v>23</v>
      </c>
      <c r="AR486" s="3" t="s">
        <v>62</v>
      </c>
      <c r="AS486" s="3" t="s">
        <v>62</v>
      </c>
      <c r="AT486" s="3" t="s">
        <v>62</v>
      </c>
      <c r="AV486" s="6" t="str">
        <f>HYPERLINK("http://mcgill.on.worldcat.org/oclc/468979307","Catalog Record")</f>
        <v>Catalog Record</v>
      </c>
      <c r="AW486" s="6" t="str">
        <f>HYPERLINK("http://www.worldcat.org/oclc/468979307","WorldCat Record")</f>
        <v>WorldCat Record</v>
      </c>
      <c r="AX486" s="3" t="s">
        <v>4684</v>
      </c>
      <c r="AY486" s="3" t="s">
        <v>4685</v>
      </c>
      <c r="AZ486" s="3" t="s">
        <v>4686</v>
      </c>
      <c r="BA486" s="3" t="s">
        <v>4686</v>
      </c>
      <c r="BB486" s="3" t="s">
        <v>4687</v>
      </c>
      <c r="BC486" s="3" t="s">
        <v>142</v>
      </c>
      <c r="BD486" s="3" t="s">
        <v>68</v>
      </c>
      <c r="BE486" s="3" t="s">
        <v>4688</v>
      </c>
      <c r="BF486" s="3" t="s">
        <v>4687</v>
      </c>
      <c r="BG486" s="3" t="s">
        <v>4689</v>
      </c>
    </row>
    <row r="487" spans="1:59" ht="57" x14ac:dyDescent="0.45">
      <c r="A487" s="2" t="s">
        <v>59</v>
      </c>
      <c r="B487" s="2" t="s">
        <v>60</v>
      </c>
      <c r="C487" s="2" t="s">
        <v>4690</v>
      </c>
      <c r="D487" s="2" t="s">
        <v>4691</v>
      </c>
      <c r="E487" s="2" t="s">
        <v>4692</v>
      </c>
      <c r="G487" s="3" t="s">
        <v>62</v>
      </c>
      <c r="I487" s="3" t="s">
        <v>62</v>
      </c>
      <c r="J487" s="3" t="s">
        <v>62</v>
      </c>
      <c r="K487" s="3" t="s">
        <v>63</v>
      </c>
      <c r="L487" s="2" t="s">
        <v>4693</v>
      </c>
      <c r="M487" s="2" t="s">
        <v>4694</v>
      </c>
      <c r="N487" s="3" t="s">
        <v>1688</v>
      </c>
      <c r="P487" s="3" t="s">
        <v>65</v>
      </c>
      <c r="Q487" s="2" t="s">
        <v>4695</v>
      </c>
      <c r="R487" s="3" t="s">
        <v>66</v>
      </c>
      <c r="S487" s="4">
        <v>1</v>
      </c>
      <c r="T487" s="4">
        <v>1</v>
      </c>
      <c r="U487" s="5" t="s">
        <v>4696</v>
      </c>
      <c r="V487" s="5" t="s">
        <v>4696</v>
      </c>
      <c r="W487" s="5" t="s">
        <v>67</v>
      </c>
      <c r="X487" s="5" t="s">
        <v>67</v>
      </c>
      <c r="Y487" s="4">
        <v>69</v>
      </c>
      <c r="Z487" s="4">
        <v>11</v>
      </c>
      <c r="AA487" s="4">
        <v>13</v>
      </c>
      <c r="AB487" s="4">
        <v>1</v>
      </c>
      <c r="AC487" s="4">
        <v>2</v>
      </c>
      <c r="AD487" s="4">
        <v>26</v>
      </c>
      <c r="AE487" s="4">
        <v>34</v>
      </c>
      <c r="AF487" s="4">
        <v>0</v>
      </c>
      <c r="AG487" s="4">
        <v>1</v>
      </c>
      <c r="AH487" s="4">
        <v>24</v>
      </c>
      <c r="AI487" s="4">
        <v>31</v>
      </c>
      <c r="AJ487" s="4">
        <v>6</v>
      </c>
      <c r="AK487" s="4">
        <v>8</v>
      </c>
      <c r="AL487" s="4">
        <v>15</v>
      </c>
      <c r="AM487" s="4">
        <v>18</v>
      </c>
      <c r="AN487" s="4">
        <v>0</v>
      </c>
      <c r="AO487" s="4">
        <v>0</v>
      </c>
      <c r="AP487" s="4">
        <v>8</v>
      </c>
      <c r="AQ487" s="4">
        <v>10</v>
      </c>
      <c r="AR487" s="3" t="s">
        <v>62</v>
      </c>
      <c r="AS487" s="3" t="s">
        <v>62</v>
      </c>
      <c r="AT487" s="3" t="s">
        <v>62</v>
      </c>
      <c r="AV487" s="6" t="str">
        <f>HYPERLINK("http://mcgill.on.worldcat.org/oclc/868083107","Catalog Record")</f>
        <v>Catalog Record</v>
      </c>
      <c r="AW487" s="6" t="str">
        <f>HYPERLINK("http://www.worldcat.org/oclc/868083107","WorldCat Record")</f>
        <v>WorldCat Record</v>
      </c>
      <c r="AX487" s="3" t="s">
        <v>4697</v>
      </c>
      <c r="AY487" s="3" t="s">
        <v>4698</v>
      </c>
      <c r="AZ487" s="3" t="s">
        <v>4699</v>
      </c>
      <c r="BA487" s="3" t="s">
        <v>4699</v>
      </c>
      <c r="BB487" s="3" t="s">
        <v>4700</v>
      </c>
      <c r="BC487" s="3" t="s">
        <v>142</v>
      </c>
      <c r="BD487" s="3" t="s">
        <v>68</v>
      </c>
      <c r="BE487" s="3" t="s">
        <v>4701</v>
      </c>
      <c r="BF487" s="3" t="s">
        <v>4700</v>
      </c>
      <c r="BG487" s="3" t="s">
        <v>4702</v>
      </c>
    </row>
    <row r="488" spans="1:59" ht="57" x14ac:dyDescent="0.45">
      <c r="A488" s="2" t="s">
        <v>59</v>
      </c>
      <c r="B488" s="2" t="s">
        <v>60</v>
      </c>
      <c r="C488" s="2" t="s">
        <v>4703</v>
      </c>
      <c r="D488" s="2" t="s">
        <v>4704</v>
      </c>
      <c r="E488" s="2" t="s">
        <v>4705</v>
      </c>
      <c r="G488" s="3" t="s">
        <v>62</v>
      </c>
      <c r="I488" s="3" t="s">
        <v>62</v>
      </c>
      <c r="J488" s="3" t="s">
        <v>62</v>
      </c>
      <c r="K488" s="3" t="s">
        <v>63</v>
      </c>
      <c r="L488" s="2" t="s">
        <v>4706</v>
      </c>
      <c r="M488" s="2" t="s">
        <v>4707</v>
      </c>
      <c r="N488" s="3" t="s">
        <v>1212</v>
      </c>
      <c r="P488" s="3" t="s">
        <v>65</v>
      </c>
      <c r="R488" s="3" t="s">
        <v>66</v>
      </c>
      <c r="S488" s="4">
        <v>19</v>
      </c>
      <c r="T488" s="4">
        <v>19</v>
      </c>
      <c r="U488" s="5" t="s">
        <v>4708</v>
      </c>
      <c r="V488" s="5" t="s">
        <v>4708</v>
      </c>
      <c r="W488" s="5" t="s">
        <v>67</v>
      </c>
      <c r="X488" s="5" t="s">
        <v>67</v>
      </c>
      <c r="Y488" s="4">
        <v>962</v>
      </c>
      <c r="Z488" s="4">
        <v>39</v>
      </c>
      <c r="AA488" s="4">
        <v>117</v>
      </c>
      <c r="AB488" s="4">
        <v>2</v>
      </c>
      <c r="AC488" s="4">
        <v>18</v>
      </c>
      <c r="AD488" s="4">
        <v>127</v>
      </c>
      <c r="AE488" s="4">
        <v>158</v>
      </c>
      <c r="AF488" s="4">
        <v>1</v>
      </c>
      <c r="AG488" s="4">
        <v>8</v>
      </c>
      <c r="AH488" s="4">
        <v>106</v>
      </c>
      <c r="AI488" s="4">
        <v>113</v>
      </c>
      <c r="AJ488" s="4">
        <v>19</v>
      </c>
      <c r="AK488" s="4">
        <v>27</v>
      </c>
      <c r="AL488" s="4">
        <v>58</v>
      </c>
      <c r="AM488" s="4">
        <v>60</v>
      </c>
      <c r="AN488" s="4">
        <v>0</v>
      </c>
      <c r="AO488" s="4">
        <v>0</v>
      </c>
      <c r="AP488" s="4">
        <v>28</v>
      </c>
      <c r="AQ488" s="4">
        <v>54</v>
      </c>
      <c r="AR488" s="3" t="s">
        <v>62</v>
      </c>
      <c r="AS488" s="3" t="s">
        <v>62</v>
      </c>
      <c r="AT488" s="3" t="s">
        <v>61</v>
      </c>
      <c r="AU488" s="6" t="str">
        <f>HYPERLINK("http://catalog.hathitrust.org/Record/004100510","HathiTrust Record")</f>
        <v>HathiTrust Record</v>
      </c>
      <c r="AV488" s="6" t="str">
        <f>HYPERLINK("http://mcgill.on.worldcat.org/oclc/42733557","Catalog Record")</f>
        <v>Catalog Record</v>
      </c>
      <c r="AW488" s="6" t="str">
        <f>HYPERLINK("http://www.worldcat.org/oclc/42733557","WorldCat Record")</f>
        <v>WorldCat Record</v>
      </c>
      <c r="AX488" s="3" t="s">
        <v>4709</v>
      </c>
      <c r="AY488" s="3" t="s">
        <v>4710</v>
      </c>
      <c r="AZ488" s="3" t="s">
        <v>4711</v>
      </c>
      <c r="BA488" s="3" t="s">
        <v>4711</v>
      </c>
      <c r="BB488" s="3" t="s">
        <v>4712</v>
      </c>
      <c r="BC488" s="3" t="s">
        <v>142</v>
      </c>
      <c r="BD488" s="3" t="s">
        <v>68</v>
      </c>
      <c r="BE488" s="3" t="s">
        <v>4713</v>
      </c>
      <c r="BF488" s="3" t="s">
        <v>4712</v>
      </c>
      <c r="BG488" s="3" t="s">
        <v>4714</v>
      </c>
    </row>
    <row r="489" spans="1:59" ht="57" x14ac:dyDescent="0.45">
      <c r="A489" s="2" t="s">
        <v>59</v>
      </c>
      <c r="B489" s="2" t="s">
        <v>60</v>
      </c>
      <c r="C489" s="2" t="s">
        <v>4715</v>
      </c>
      <c r="D489" s="2" t="s">
        <v>4716</v>
      </c>
      <c r="E489" s="2" t="s">
        <v>4717</v>
      </c>
      <c r="G489" s="3" t="s">
        <v>62</v>
      </c>
      <c r="I489" s="3" t="s">
        <v>62</v>
      </c>
      <c r="J489" s="3" t="s">
        <v>62</v>
      </c>
      <c r="K489" s="3" t="s">
        <v>63</v>
      </c>
      <c r="L489" s="2" t="s">
        <v>4718</v>
      </c>
      <c r="M489" s="2" t="s">
        <v>4719</v>
      </c>
      <c r="N489" s="3" t="s">
        <v>1253</v>
      </c>
      <c r="P489" s="3" t="s">
        <v>65</v>
      </c>
      <c r="Q489" s="2" t="s">
        <v>4720</v>
      </c>
      <c r="R489" s="3" t="s">
        <v>66</v>
      </c>
      <c r="S489" s="4">
        <v>4</v>
      </c>
      <c r="T489" s="4">
        <v>4</v>
      </c>
      <c r="U489" s="5" t="s">
        <v>4721</v>
      </c>
      <c r="V489" s="5" t="s">
        <v>4721</v>
      </c>
      <c r="W489" s="5" t="s">
        <v>67</v>
      </c>
      <c r="X489" s="5" t="s">
        <v>67</v>
      </c>
      <c r="Y489" s="4">
        <v>307</v>
      </c>
      <c r="Z489" s="4">
        <v>12</v>
      </c>
      <c r="AA489" s="4">
        <v>16</v>
      </c>
      <c r="AB489" s="4">
        <v>2</v>
      </c>
      <c r="AC489" s="4">
        <v>5</v>
      </c>
      <c r="AD489" s="4">
        <v>105</v>
      </c>
      <c r="AE489" s="4">
        <v>106</v>
      </c>
      <c r="AF489" s="4">
        <v>1</v>
      </c>
      <c r="AG489" s="4">
        <v>1</v>
      </c>
      <c r="AH489" s="4">
        <v>99</v>
      </c>
      <c r="AI489" s="4">
        <v>99</v>
      </c>
      <c r="AJ489" s="4">
        <v>9</v>
      </c>
      <c r="AK489" s="4">
        <v>10</v>
      </c>
      <c r="AL489" s="4">
        <v>53</v>
      </c>
      <c r="AM489" s="4">
        <v>53</v>
      </c>
      <c r="AN489" s="4">
        <v>0</v>
      </c>
      <c r="AO489" s="4">
        <v>0</v>
      </c>
      <c r="AP489" s="4">
        <v>10</v>
      </c>
      <c r="AQ489" s="4">
        <v>11</v>
      </c>
      <c r="AR489" s="3" t="s">
        <v>62</v>
      </c>
      <c r="AS489" s="3" t="s">
        <v>62</v>
      </c>
      <c r="AT489" s="3" t="s">
        <v>61</v>
      </c>
      <c r="AU489" s="6" t="str">
        <f>HYPERLINK("http://catalog.hathitrust.org/Record/003176082","HathiTrust Record")</f>
        <v>HathiTrust Record</v>
      </c>
      <c r="AV489" s="6" t="str">
        <f>HYPERLINK("http://mcgill.on.worldcat.org/oclc/35658060","Catalog Record")</f>
        <v>Catalog Record</v>
      </c>
      <c r="AW489" s="6" t="str">
        <f>HYPERLINK("http://www.worldcat.org/oclc/35658060","WorldCat Record")</f>
        <v>WorldCat Record</v>
      </c>
      <c r="AX489" s="3" t="s">
        <v>4722</v>
      </c>
      <c r="AY489" s="3" t="s">
        <v>4723</v>
      </c>
      <c r="AZ489" s="3" t="s">
        <v>4724</v>
      </c>
      <c r="BA489" s="3" t="s">
        <v>4724</v>
      </c>
      <c r="BB489" s="3" t="s">
        <v>4725</v>
      </c>
      <c r="BC489" s="3" t="s">
        <v>142</v>
      </c>
      <c r="BD489" s="3" t="s">
        <v>68</v>
      </c>
      <c r="BE489" s="3" t="s">
        <v>4726</v>
      </c>
      <c r="BF489" s="3" t="s">
        <v>4725</v>
      </c>
      <c r="BG489" s="3" t="s">
        <v>4727</v>
      </c>
    </row>
    <row r="490" spans="1:59" ht="57" x14ac:dyDescent="0.45">
      <c r="A490" s="2" t="s">
        <v>59</v>
      </c>
      <c r="B490" s="2" t="s">
        <v>60</v>
      </c>
      <c r="C490" s="2" t="s">
        <v>4728</v>
      </c>
      <c r="D490" s="2" t="s">
        <v>4729</v>
      </c>
      <c r="E490" s="2" t="s">
        <v>4730</v>
      </c>
      <c r="G490" s="3" t="s">
        <v>62</v>
      </c>
      <c r="I490" s="3" t="s">
        <v>61</v>
      </c>
      <c r="J490" s="3" t="s">
        <v>62</v>
      </c>
      <c r="K490" s="3" t="s">
        <v>63</v>
      </c>
      <c r="L490" s="2" t="s">
        <v>4731</v>
      </c>
      <c r="M490" s="2" t="s">
        <v>4732</v>
      </c>
      <c r="N490" s="3" t="s">
        <v>84</v>
      </c>
      <c r="P490" s="3" t="s">
        <v>65</v>
      </c>
      <c r="R490" s="3" t="s">
        <v>66</v>
      </c>
      <c r="S490" s="4">
        <v>10</v>
      </c>
      <c r="T490" s="4">
        <v>57</v>
      </c>
      <c r="U490" s="5" t="s">
        <v>4733</v>
      </c>
      <c r="V490" s="5" t="s">
        <v>4734</v>
      </c>
      <c r="W490" s="5" t="s">
        <v>67</v>
      </c>
      <c r="X490" s="5" t="s">
        <v>67</v>
      </c>
      <c r="Y490" s="4">
        <v>279</v>
      </c>
      <c r="Z490" s="4">
        <v>68</v>
      </c>
      <c r="AA490" s="4">
        <v>77</v>
      </c>
      <c r="AB490" s="4">
        <v>4</v>
      </c>
      <c r="AC490" s="4">
        <v>11</v>
      </c>
      <c r="AD490" s="4">
        <v>130</v>
      </c>
      <c r="AE490" s="4">
        <v>135</v>
      </c>
      <c r="AF490" s="4">
        <v>2</v>
      </c>
      <c r="AG490" s="4">
        <v>6</v>
      </c>
      <c r="AH490" s="4">
        <v>98</v>
      </c>
      <c r="AI490" s="4">
        <v>98</v>
      </c>
      <c r="AJ490" s="4">
        <v>23</v>
      </c>
      <c r="AK490" s="4">
        <v>26</v>
      </c>
      <c r="AL490" s="4">
        <v>53</v>
      </c>
      <c r="AM490" s="4">
        <v>53</v>
      </c>
      <c r="AN490" s="4">
        <v>0</v>
      </c>
      <c r="AO490" s="4">
        <v>0</v>
      </c>
      <c r="AP490" s="4">
        <v>40</v>
      </c>
      <c r="AQ490" s="4">
        <v>44</v>
      </c>
      <c r="AR490" s="3" t="s">
        <v>61</v>
      </c>
      <c r="AS490" s="3" t="s">
        <v>62</v>
      </c>
      <c r="AT490" s="3" t="s">
        <v>61</v>
      </c>
      <c r="AU490" s="6" t="str">
        <f>HYPERLINK("http://catalog.hathitrust.org/Record/002565273","HathiTrust Record")</f>
        <v>HathiTrust Record</v>
      </c>
      <c r="AV490" s="6" t="str">
        <f>HYPERLINK("http://mcgill.on.worldcat.org/oclc/27144676","Catalog Record")</f>
        <v>Catalog Record</v>
      </c>
      <c r="AW490" s="6" t="str">
        <f>HYPERLINK("http://www.worldcat.org/oclc/27144676","WorldCat Record")</f>
        <v>WorldCat Record</v>
      </c>
      <c r="AX490" s="3" t="s">
        <v>4735</v>
      </c>
      <c r="AY490" s="3" t="s">
        <v>4736</v>
      </c>
      <c r="AZ490" s="3" t="s">
        <v>4737</v>
      </c>
      <c r="BA490" s="3" t="s">
        <v>4737</v>
      </c>
      <c r="BB490" s="3" t="s">
        <v>4738</v>
      </c>
      <c r="BC490" s="3" t="s">
        <v>142</v>
      </c>
      <c r="BD490" s="3" t="s">
        <v>68</v>
      </c>
      <c r="BE490" s="3" t="s">
        <v>4739</v>
      </c>
      <c r="BF490" s="3" t="s">
        <v>4738</v>
      </c>
      <c r="BG490" s="3" t="s">
        <v>4740</v>
      </c>
    </row>
    <row r="491" spans="1:59" ht="57" x14ac:dyDescent="0.45">
      <c r="A491" s="2" t="s">
        <v>59</v>
      </c>
      <c r="B491" s="2" t="s">
        <v>60</v>
      </c>
      <c r="C491" s="2" t="s">
        <v>4728</v>
      </c>
      <c r="D491" s="2" t="s">
        <v>4729</v>
      </c>
      <c r="E491" s="2" t="s">
        <v>4730</v>
      </c>
      <c r="G491" s="3" t="s">
        <v>62</v>
      </c>
      <c r="I491" s="3" t="s">
        <v>61</v>
      </c>
      <c r="J491" s="3" t="s">
        <v>62</v>
      </c>
      <c r="K491" s="3" t="s">
        <v>63</v>
      </c>
      <c r="L491" s="2" t="s">
        <v>4731</v>
      </c>
      <c r="M491" s="2" t="s">
        <v>4732</v>
      </c>
      <c r="N491" s="3" t="s">
        <v>84</v>
      </c>
      <c r="P491" s="3" t="s">
        <v>65</v>
      </c>
      <c r="R491" s="3" t="s">
        <v>66</v>
      </c>
      <c r="S491" s="4">
        <v>47</v>
      </c>
      <c r="T491" s="4">
        <v>57</v>
      </c>
      <c r="U491" s="5" t="s">
        <v>4734</v>
      </c>
      <c r="V491" s="5" t="s">
        <v>4734</v>
      </c>
      <c r="W491" s="5" t="s">
        <v>67</v>
      </c>
      <c r="X491" s="5" t="s">
        <v>67</v>
      </c>
      <c r="Y491" s="4">
        <v>279</v>
      </c>
      <c r="Z491" s="4">
        <v>68</v>
      </c>
      <c r="AA491" s="4">
        <v>77</v>
      </c>
      <c r="AB491" s="4">
        <v>4</v>
      </c>
      <c r="AC491" s="4">
        <v>11</v>
      </c>
      <c r="AD491" s="4">
        <v>130</v>
      </c>
      <c r="AE491" s="4">
        <v>135</v>
      </c>
      <c r="AF491" s="4">
        <v>2</v>
      </c>
      <c r="AG491" s="4">
        <v>6</v>
      </c>
      <c r="AH491" s="4">
        <v>98</v>
      </c>
      <c r="AI491" s="4">
        <v>98</v>
      </c>
      <c r="AJ491" s="4">
        <v>23</v>
      </c>
      <c r="AK491" s="4">
        <v>26</v>
      </c>
      <c r="AL491" s="4">
        <v>53</v>
      </c>
      <c r="AM491" s="4">
        <v>53</v>
      </c>
      <c r="AN491" s="4">
        <v>0</v>
      </c>
      <c r="AO491" s="4">
        <v>0</v>
      </c>
      <c r="AP491" s="4">
        <v>40</v>
      </c>
      <c r="AQ491" s="4">
        <v>44</v>
      </c>
      <c r="AR491" s="3" t="s">
        <v>61</v>
      </c>
      <c r="AS491" s="3" t="s">
        <v>62</v>
      </c>
      <c r="AT491" s="3" t="s">
        <v>61</v>
      </c>
      <c r="AU491" s="6" t="str">
        <f>HYPERLINK("http://catalog.hathitrust.org/Record/002565273","HathiTrust Record")</f>
        <v>HathiTrust Record</v>
      </c>
      <c r="AV491" s="6" t="str">
        <f>HYPERLINK("http://mcgill.on.worldcat.org/oclc/27144676","Catalog Record")</f>
        <v>Catalog Record</v>
      </c>
      <c r="AW491" s="6" t="str">
        <f>HYPERLINK("http://www.worldcat.org/oclc/27144676","WorldCat Record")</f>
        <v>WorldCat Record</v>
      </c>
      <c r="AX491" s="3" t="s">
        <v>4735</v>
      </c>
      <c r="AY491" s="3" t="s">
        <v>4736</v>
      </c>
      <c r="AZ491" s="3" t="s">
        <v>4737</v>
      </c>
      <c r="BA491" s="3" t="s">
        <v>4737</v>
      </c>
      <c r="BB491" s="3" t="s">
        <v>4741</v>
      </c>
      <c r="BC491" s="3" t="s">
        <v>142</v>
      </c>
      <c r="BD491" s="3" t="s">
        <v>68</v>
      </c>
      <c r="BE491" s="3" t="s">
        <v>4739</v>
      </c>
      <c r="BF491" s="3" t="s">
        <v>4741</v>
      </c>
      <c r="BG491" s="3" t="s">
        <v>4742</v>
      </c>
    </row>
    <row r="492" spans="1:59" ht="57" x14ac:dyDescent="0.45">
      <c r="A492" s="2" t="s">
        <v>59</v>
      </c>
      <c r="B492" s="2" t="s">
        <v>60</v>
      </c>
      <c r="C492" s="2" t="s">
        <v>4743</v>
      </c>
      <c r="D492" s="2" t="s">
        <v>4744</v>
      </c>
      <c r="E492" s="2" t="s">
        <v>4745</v>
      </c>
      <c r="G492" s="3" t="s">
        <v>62</v>
      </c>
      <c r="I492" s="3" t="s">
        <v>62</v>
      </c>
      <c r="J492" s="3" t="s">
        <v>62</v>
      </c>
      <c r="K492" s="3" t="s">
        <v>63</v>
      </c>
      <c r="M492" s="2" t="s">
        <v>4746</v>
      </c>
      <c r="N492" s="3" t="s">
        <v>945</v>
      </c>
      <c r="P492" s="3" t="s">
        <v>65</v>
      </c>
      <c r="Q492" s="2" t="s">
        <v>4747</v>
      </c>
      <c r="R492" s="3" t="s">
        <v>66</v>
      </c>
      <c r="S492" s="4">
        <v>8</v>
      </c>
      <c r="T492" s="4">
        <v>8</v>
      </c>
      <c r="U492" s="5" t="s">
        <v>4748</v>
      </c>
      <c r="V492" s="5" t="s">
        <v>4748</v>
      </c>
      <c r="W492" s="5" t="s">
        <v>67</v>
      </c>
      <c r="X492" s="5" t="s">
        <v>67</v>
      </c>
      <c r="Y492" s="4">
        <v>137</v>
      </c>
      <c r="Z492" s="4">
        <v>11</v>
      </c>
      <c r="AA492" s="4">
        <v>78</v>
      </c>
      <c r="AB492" s="4">
        <v>1</v>
      </c>
      <c r="AC492" s="4">
        <v>14</v>
      </c>
      <c r="AD492" s="4">
        <v>55</v>
      </c>
      <c r="AE492" s="4">
        <v>109</v>
      </c>
      <c r="AF492" s="4">
        <v>0</v>
      </c>
      <c r="AG492" s="4">
        <v>8</v>
      </c>
      <c r="AH492" s="4">
        <v>52</v>
      </c>
      <c r="AI492" s="4">
        <v>77</v>
      </c>
      <c r="AJ492" s="4">
        <v>9</v>
      </c>
      <c r="AK492" s="4">
        <v>20</v>
      </c>
      <c r="AL492" s="4">
        <v>33</v>
      </c>
      <c r="AM492" s="4">
        <v>44</v>
      </c>
      <c r="AN492" s="4">
        <v>0</v>
      </c>
      <c r="AO492" s="4">
        <v>0</v>
      </c>
      <c r="AP492" s="4">
        <v>9</v>
      </c>
      <c r="AQ492" s="4">
        <v>40</v>
      </c>
      <c r="AR492" s="3" t="s">
        <v>62</v>
      </c>
      <c r="AS492" s="3" t="s">
        <v>62</v>
      </c>
      <c r="AT492" s="3" t="s">
        <v>61</v>
      </c>
      <c r="AU492" s="6" t="str">
        <f>HYPERLINK("http://catalog.hathitrust.org/Record/005627434","HathiTrust Record")</f>
        <v>HathiTrust Record</v>
      </c>
      <c r="AV492" s="6" t="str">
        <f>HYPERLINK("http://mcgill.on.worldcat.org/oclc/80460392","Catalog Record")</f>
        <v>Catalog Record</v>
      </c>
      <c r="AW492" s="6" t="str">
        <f>HYPERLINK("http://www.worldcat.org/oclc/80460392","WorldCat Record")</f>
        <v>WorldCat Record</v>
      </c>
      <c r="AX492" s="3" t="s">
        <v>4749</v>
      </c>
      <c r="AY492" s="3" t="s">
        <v>4750</v>
      </c>
      <c r="AZ492" s="3" t="s">
        <v>4751</v>
      </c>
      <c r="BA492" s="3" t="s">
        <v>4751</v>
      </c>
      <c r="BB492" s="3" t="s">
        <v>4752</v>
      </c>
      <c r="BC492" s="3" t="s">
        <v>142</v>
      </c>
      <c r="BD492" s="3" t="s">
        <v>68</v>
      </c>
      <c r="BE492" s="3" t="s">
        <v>4753</v>
      </c>
      <c r="BF492" s="3" t="s">
        <v>4752</v>
      </c>
      <c r="BG492" s="3" t="s">
        <v>4754</v>
      </c>
    </row>
    <row r="493" spans="1:59" ht="57" x14ac:dyDescent="0.45">
      <c r="A493" s="2" t="s">
        <v>59</v>
      </c>
      <c r="B493" s="2" t="s">
        <v>60</v>
      </c>
      <c r="C493" s="2" t="s">
        <v>4755</v>
      </c>
      <c r="D493" s="2" t="s">
        <v>4756</v>
      </c>
      <c r="E493" s="2" t="s">
        <v>4757</v>
      </c>
      <c r="G493" s="3" t="s">
        <v>62</v>
      </c>
      <c r="I493" s="3" t="s">
        <v>62</v>
      </c>
      <c r="J493" s="3" t="s">
        <v>62</v>
      </c>
      <c r="K493" s="3" t="s">
        <v>63</v>
      </c>
      <c r="M493" s="2" t="s">
        <v>4758</v>
      </c>
      <c r="N493" s="3" t="s">
        <v>945</v>
      </c>
      <c r="P493" s="3" t="s">
        <v>65</v>
      </c>
      <c r="Q493" s="2" t="s">
        <v>1782</v>
      </c>
      <c r="R493" s="3" t="s">
        <v>66</v>
      </c>
      <c r="S493" s="4">
        <v>20</v>
      </c>
      <c r="T493" s="4">
        <v>20</v>
      </c>
      <c r="U493" s="5" t="s">
        <v>4759</v>
      </c>
      <c r="V493" s="5" t="s">
        <v>4759</v>
      </c>
      <c r="W493" s="5" t="s">
        <v>67</v>
      </c>
      <c r="X493" s="5" t="s">
        <v>67</v>
      </c>
      <c r="Y493" s="4">
        <v>146</v>
      </c>
      <c r="Z493" s="4">
        <v>18</v>
      </c>
      <c r="AA493" s="4">
        <v>98</v>
      </c>
      <c r="AB493" s="4">
        <v>3</v>
      </c>
      <c r="AC493" s="4">
        <v>18</v>
      </c>
      <c r="AD493" s="4">
        <v>63</v>
      </c>
      <c r="AE493" s="4">
        <v>127</v>
      </c>
      <c r="AF493" s="4">
        <v>2</v>
      </c>
      <c r="AG493" s="4">
        <v>8</v>
      </c>
      <c r="AH493" s="4">
        <v>56</v>
      </c>
      <c r="AI493" s="4">
        <v>91</v>
      </c>
      <c r="AJ493" s="4">
        <v>13</v>
      </c>
      <c r="AK493" s="4">
        <v>24</v>
      </c>
      <c r="AL493" s="4">
        <v>30</v>
      </c>
      <c r="AM493" s="4">
        <v>46</v>
      </c>
      <c r="AN493" s="4">
        <v>0</v>
      </c>
      <c r="AO493" s="4">
        <v>0</v>
      </c>
      <c r="AP493" s="4">
        <v>15</v>
      </c>
      <c r="AQ493" s="4">
        <v>45</v>
      </c>
      <c r="AR493" s="3" t="s">
        <v>62</v>
      </c>
      <c r="AS493" s="3" t="s">
        <v>62</v>
      </c>
      <c r="AT493" s="3" t="s">
        <v>62</v>
      </c>
      <c r="AV493" s="6" t="str">
        <f>HYPERLINK("http://mcgill.on.worldcat.org/oclc/72868582","Catalog Record")</f>
        <v>Catalog Record</v>
      </c>
      <c r="AW493" s="6" t="str">
        <f>HYPERLINK("http://www.worldcat.org/oclc/72868582","WorldCat Record")</f>
        <v>WorldCat Record</v>
      </c>
      <c r="AX493" s="3" t="s">
        <v>4760</v>
      </c>
      <c r="AY493" s="3" t="s">
        <v>4761</v>
      </c>
      <c r="AZ493" s="3" t="s">
        <v>4762</v>
      </c>
      <c r="BA493" s="3" t="s">
        <v>4762</v>
      </c>
      <c r="BB493" s="3" t="s">
        <v>4763</v>
      </c>
      <c r="BC493" s="3" t="s">
        <v>142</v>
      </c>
      <c r="BD493" s="3" t="s">
        <v>308</v>
      </c>
      <c r="BE493" s="3" t="s">
        <v>4764</v>
      </c>
      <c r="BF493" s="3" t="s">
        <v>4763</v>
      </c>
      <c r="BG493" s="3" t="s">
        <v>4765</v>
      </c>
    </row>
    <row r="494" spans="1:59" ht="71.25" x14ac:dyDescent="0.45">
      <c r="A494" s="2" t="s">
        <v>59</v>
      </c>
      <c r="B494" s="2" t="s">
        <v>60</v>
      </c>
      <c r="C494" s="2" t="s">
        <v>4766</v>
      </c>
      <c r="D494" s="2" t="s">
        <v>4767</v>
      </c>
      <c r="E494" s="2" t="s">
        <v>4768</v>
      </c>
      <c r="G494" s="3" t="s">
        <v>62</v>
      </c>
      <c r="I494" s="3" t="s">
        <v>62</v>
      </c>
      <c r="J494" s="3" t="s">
        <v>62</v>
      </c>
      <c r="K494" s="3" t="s">
        <v>63</v>
      </c>
      <c r="M494" s="2" t="s">
        <v>4769</v>
      </c>
      <c r="N494" s="3" t="s">
        <v>894</v>
      </c>
      <c r="P494" s="3" t="s">
        <v>65</v>
      </c>
      <c r="R494" s="3" t="s">
        <v>66</v>
      </c>
      <c r="S494" s="4">
        <v>5</v>
      </c>
      <c r="T494" s="4">
        <v>5</v>
      </c>
      <c r="U494" s="5" t="s">
        <v>4770</v>
      </c>
      <c r="V494" s="5" t="s">
        <v>4770</v>
      </c>
      <c r="W494" s="5" t="s">
        <v>67</v>
      </c>
      <c r="X494" s="5" t="s">
        <v>67</v>
      </c>
      <c r="Y494" s="4">
        <v>265</v>
      </c>
      <c r="Z494" s="4">
        <v>27</v>
      </c>
      <c r="AA494" s="4">
        <v>29</v>
      </c>
      <c r="AB494" s="4">
        <v>2</v>
      </c>
      <c r="AC494" s="4">
        <v>4</v>
      </c>
      <c r="AD494" s="4">
        <v>92</v>
      </c>
      <c r="AE494" s="4">
        <v>94</v>
      </c>
      <c r="AF494" s="4">
        <v>1</v>
      </c>
      <c r="AG494" s="4">
        <v>3</v>
      </c>
      <c r="AH494" s="4">
        <v>80</v>
      </c>
      <c r="AI494" s="4">
        <v>81</v>
      </c>
      <c r="AJ494" s="4">
        <v>16</v>
      </c>
      <c r="AK494" s="4">
        <v>18</v>
      </c>
      <c r="AL494" s="4">
        <v>48</v>
      </c>
      <c r="AM494" s="4">
        <v>48</v>
      </c>
      <c r="AN494" s="4">
        <v>0</v>
      </c>
      <c r="AO494" s="4">
        <v>0</v>
      </c>
      <c r="AP494" s="4">
        <v>22</v>
      </c>
      <c r="AQ494" s="4">
        <v>23</v>
      </c>
      <c r="AR494" s="3" t="s">
        <v>62</v>
      </c>
      <c r="AS494" s="3" t="s">
        <v>62</v>
      </c>
      <c r="AT494" s="3" t="s">
        <v>62</v>
      </c>
      <c r="AV494" s="6" t="str">
        <f>HYPERLINK("http://mcgill.on.worldcat.org/oclc/700042419","Catalog Record")</f>
        <v>Catalog Record</v>
      </c>
      <c r="AW494" s="6" t="str">
        <f>HYPERLINK("http://www.worldcat.org/oclc/700042419","WorldCat Record")</f>
        <v>WorldCat Record</v>
      </c>
      <c r="AX494" s="3" t="s">
        <v>4771</v>
      </c>
      <c r="AY494" s="3" t="s">
        <v>4772</v>
      </c>
      <c r="AZ494" s="3" t="s">
        <v>4773</v>
      </c>
      <c r="BA494" s="3" t="s">
        <v>4773</v>
      </c>
      <c r="BB494" s="3" t="s">
        <v>4774</v>
      </c>
      <c r="BC494" s="3" t="s">
        <v>142</v>
      </c>
      <c r="BD494" s="3" t="s">
        <v>68</v>
      </c>
      <c r="BE494" s="3" t="s">
        <v>4775</v>
      </c>
      <c r="BF494" s="3" t="s">
        <v>4774</v>
      </c>
      <c r="BG494" s="3" t="s">
        <v>4776</v>
      </c>
    </row>
    <row r="495" spans="1:59" ht="57" x14ac:dyDescent="0.45">
      <c r="A495" s="2" t="s">
        <v>59</v>
      </c>
      <c r="B495" s="2" t="s">
        <v>60</v>
      </c>
      <c r="C495" s="2" t="s">
        <v>4777</v>
      </c>
      <c r="D495" s="2" t="s">
        <v>4778</v>
      </c>
      <c r="E495" s="2" t="s">
        <v>4779</v>
      </c>
      <c r="G495" s="3" t="s">
        <v>62</v>
      </c>
      <c r="I495" s="3" t="s">
        <v>62</v>
      </c>
      <c r="J495" s="3" t="s">
        <v>62</v>
      </c>
      <c r="K495" s="3" t="s">
        <v>63</v>
      </c>
      <c r="L495" s="2" t="s">
        <v>4780</v>
      </c>
      <c r="M495" s="2" t="s">
        <v>2022</v>
      </c>
      <c r="N495" s="3" t="s">
        <v>149</v>
      </c>
      <c r="P495" s="3" t="s">
        <v>65</v>
      </c>
      <c r="Q495" s="2" t="s">
        <v>4781</v>
      </c>
      <c r="R495" s="3" t="s">
        <v>66</v>
      </c>
      <c r="S495" s="4">
        <v>5</v>
      </c>
      <c r="T495" s="4">
        <v>5</v>
      </c>
      <c r="U495" s="5" t="s">
        <v>4782</v>
      </c>
      <c r="V495" s="5" t="s">
        <v>4782</v>
      </c>
      <c r="W495" s="5" t="s">
        <v>67</v>
      </c>
      <c r="X495" s="5" t="s">
        <v>67</v>
      </c>
      <c r="Y495" s="4">
        <v>432</v>
      </c>
      <c r="Z495" s="4">
        <v>30</v>
      </c>
      <c r="AA495" s="4">
        <v>39</v>
      </c>
      <c r="AB495" s="4">
        <v>3</v>
      </c>
      <c r="AC495" s="4">
        <v>10</v>
      </c>
      <c r="AD495" s="4">
        <v>101</v>
      </c>
      <c r="AE495" s="4">
        <v>113</v>
      </c>
      <c r="AF495" s="4">
        <v>0</v>
      </c>
      <c r="AG495" s="4">
        <v>4</v>
      </c>
      <c r="AH495" s="4">
        <v>89</v>
      </c>
      <c r="AI495" s="4">
        <v>95</v>
      </c>
      <c r="AJ495" s="4">
        <v>14</v>
      </c>
      <c r="AK495" s="4">
        <v>17</v>
      </c>
      <c r="AL495" s="4">
        <v>49</v>
      </c>
      <c r="AM495" s="4">
        <v>53</v>
      </c>
      <c r="AN495" s="4">
        <v>0</v>
      </c>
      <c r="AO495" s="4">
        <v>0</v>
      </c>
      <c r="AP495" s="4">
        <v>21</v>
      </c>
      <c r="AQ495" s="4">
        <v>26</v>
      </c>
      <c r="AR495" s="3" t="s">
        <v>62</v>
      </c>
      <c r="AS495" s="3" t="s">
        <v>62</v>
      </c>
      <c r="AT495" s="3" t="s">
        <v>61</v>
      </c>
      <c r="AU495" s="6" t="str">
        <f>HYPERLINK("http://catalog.hathitrust.org/Record/006864531","HathiTrust Record")</f>
        <v>HathiTrust Record</v>
      </c>
      <c r="AV495" s="6" t="str">
        <f>HYPERLINK("http://mcgill.on.worldcat.org/oclc/263146950","Catalog Record")</f>
        <v>Catalog Record</v>
      </c>
      <c r="AW495" s="6" t="str">
        <f>HYPERLINK("http://www.worldcat.org/oclc/263146950","WorldCat Record")</f>
        <v>WorldCat Record</v>
      </c>
      <c r="AX495" s="3" t="s">
        <v>4783</v>
      </c>
      <c r="AY495" s="3" t="s">
        <v>4784</v>
      </c>
      <c r="AZ495" s="3" t="s">
        <v>4785</v>
      </c>
      <c r="BA495" s="3" t="s">
        <v>4785</v>
      </c>
      <c r="BB495" s="3" t="s">
        <v>4786</v>
      </c>
      <c r="BC495" s="3" t="s">
        <v>142</v>
      </c>
      <c r="BD495" s="3" t="s">
        <v>68</v>
      </c>
      <c r="BE495" s="3" t="s">
        <v>4787</v>
      </c>
      <c r="BF495" s="3" t="s">
        <v>4786</v>
      </c>
      <c r="BG495" s="3" t="s">
        <v>4788</v>
      </c>
    </row>
    <row r="496" spans="1:59" ht="85.5" x14ac:dyDescent="0.45">
      <c r="A496" s="2" t="s">
        <v>59</v>
      </c>
      <c r="B496" s="2" t="s">
        <v>60</v>
      </c>
      <c r="C496" s="2" t="s">
        <v>4789</v>
      </c>
      <c r="D496" s="2" t="s">
        <v>4790</v>
      </c>
      <c r="E496" s="2" t="s">
        <v>4791</v>
      </c>
      <c r="G496" s="3" t="s">
        <v>62</v>
      </c>
      <c r="I496" s="3" t="s">
        <v>62</v>
      </c>
      <c r="J496" s="3" t="s">
        <v>62</v>
      </c>
      <c r="K496" s="3" t="s">
        <v>63</v>
      </c>
      <c r="L496" s="2" t="s">
        <v>4792</v>
      </c>
      <c r="M496" s="2" t="s">
        <v>4793</v>
      </c>
      <c r="N496" s="3" t="s">
        <v>820</v>
      </c>
      <c r="O496" s="2" t="s">
        <v>168</v>
      </c>
      <c r="P496" s="3" t="s">
        <v>65</v>
      </c>
      <c r="R496" s="3" t="s">
        <v>66</v>
      </c>
      <c r="S496" s="4">
        <v>9</v>
      </c>
      <c r="T496" s="4">
        <v>9</v>
      </c>
      <c r="U496" s="5" t="s">
        <v>3388</v>
      </c>
      <c r="V496" s="5" t="s">
        <v>3388</v>
      </c>
      <c r="W496" s="5" t="s">
        <v>67</v>
      </c>
      <c r="X496" s="5" t="s">
        <v>67</v>
      </c>
      <c r="Y496" s="4">
        <v>53</v>
      </c>
      <c r="Z496" s="4">
        <v>10</v>
      </c>
      <c r="AA496" s="4">
        <v>10</v>
      </c>
      <c r="AB496" s="4">
        <v>1</v>
      </c>
      <c r="AC496" s="4">
        <v>1</v>
      </c>
      <c r="AD496" s="4">
        <v>26</v>
      </c>
      <c r="AE496" s="4">
        <v>27</v>
      </c>
      <c r="AF496" s="4">
        <v>0</v>
      </c>
      <c r="AG496" s="4">
        <v>0</v>
      </c>
      <c r="AH496" s="4">
        <v>22</v>
      </c>
      <c r="AI496" s="4">
        <v>23</v>
      </c>
      <c r="AJ496" s="4">
        <v>7</v>
      </c>
      <c r="AK496" s="4">
        <v>7</v>
      </c>
      <c r="AL496" s="4">
        <v>18</v>
      </c>
      <c r="AM496" s="4">
        <v>19</v>
      </c>
      <c r="AN496" s="4">
        <v>0</v>
      </c>
      <c r="AO496" s="4">
        <v>0</v>
      </c>
      <c r="AP496" s="4">
        <v>7</v>
      </c>
      <c r="AQ496" s="4">
        <v>7</v>
      </c>
      <c r="AR496" s="3" t="s">
        <v>62</v>
      </c>
      <c r="AS496" s="3" t="s">
        <v>62</v>
      </c>
      <c r="AT496" s="3" t="s">
        <v>61</v>
      </c>
      <c r="AU496" s="6" t="str">
        <f>HYPERLINK("http://catalog.hathitrust.org/Record/005867909","HathiTrust Record")</f>
        <v>HathiTrust Record</v>
      </c>
      <c r="AV496" s="6" t="str">
        <f>HYPERLINK("http://mcgill.on.worldcat.org/oclc/299949660","Catalog Record")</f>
        <v>Catalog Record</v>
      </c>
      <c r="AW496" s="6" t="str">
        <f>HYPERLINK("http://www.worldcat.org/oclc/299949660","WorldCat Record")</f>
        <v>WorldCat Record</v>
      </c>
      <c r="AX496" s="3" t="s">
        <v>4794</v>
      </c>
      <c r="AY496" s="3" t="s">
        <v>4795</v>
      </c>
      <c r="AZ496" s="3" t="s">
        <v>4796</v>
      </c>
      <c r="BA496" s="3" t="s">
        <v>4796</v>
      </c>
      <c r="BB496" s="3" t="s">
        <v>4797</v>
      </c>
      <c r="BC496" s="3" t="s">
        <v>142</v>
      </c>
      <c r="BD496" s="3" t="s">
        <v>68</v>
      </c>
      <c r="BE496" s="3" t="s">
        <v>4798</v>
      </c>
      <c r="BF496" s="3" t="s">
        <v>4797</v>
      </c>
      <c r="BG496" s="3" t="s">
        <v>4799</v>
      </c>
    </row>
    <row r="497" spans="1:59" ht="57" x14ac:dyDescent="0.45">
      <c r="A497" s="2" t="s">
        <v>59</v>
      </c>
      <c r="B497" s="2" t="s">
        <v>60</v>
      </c>
      <c r="C497" s="2" t="s">
        <v>4800</v>
      </c>
      <c r="D497" s="2" t="s">
        <v>4801</v>
      </c>
      <c r="E497" s="2" t="s">
        <v>4802</v>
      </c>
      <c r="G497" s="3" t="s">
        <v>62</v>
      </c>
      <c r="I497" s="3" t="s">
        <v>62</v>
      </c>
      <c r="J497" s="3" t="s">
        <v>62</v>
      </c>
      <c r="K497" s="3" t="s">
        <v>63</v>
      </c>
      <c r="L497" s="2" t="s">
        <v>4803</v>
      </c>
      <c r="M497" s="2" t="s">
        <v>4804</v>
      </c>
      <c r="N497" s="3" t="s">
        <v>149</v>
      </c>
      <c r="P497" s="3" t="s">
        <v>65</v>
      </c>
      <c r="R497" s="3" t="s">
        <v>66</v>
      </c>
      <c r="S497" s="4">
        <v>5</v>
      </c>
      <c r="T497" s="4">
        <v>5</v>
      </c>
      <c r="U497" s="5" t="s">
        <v>4805</v>
      </c>
      <c r="V497" s="5" t="s">
        <v>4805</v>
      </c>
      <c r="W497" s="5" t="s">
        <v>67</v>
      </c>
      <c r="X497" s="5" t="s">
        <v>67</v>
      </c>
      <c r="Y497" s="4">
        <v>764</v>
      </c>
      <c r="Z497" s="4">
        <v>31</v>
      </c>
      <c r="AA497" s="4">
        <v>35</v>
      </c>
      <c r="AB497" s="4">
        <v>3</v>
      </c>
      <c r="AC497" s="4">
        <v>6</v>
      </c>
      <c r="AD497" s="4">
        <v>85</v>
      </c>
      <c r="AE497" s="4">
        <v>87</v>
      </c>
      <c r="AF497" s="4">
        <v>0</v>
      </c>
      <c r="AG497" s="4">
        <v>1</v>
      </c>
      <c r="AH497" s="4">
        <v>77</v>
      </c>
      <c r="AI497" s="4">
        <v>79</v>
      </c>
      <c r="AJ497" s="4">
        <v>9</v>
      </c>
      <c r="AK497" s="4">
        <v>10</v>
      </c>
      <c r="AL497" s="4">
        <v>42</v>
      </c>
      <c r="AM497" s="4">
        <v>43</v>
      </c>
      <c r="AN497" s="4">
        <v>0</v>
      </c>
      <c r="AO497" s="4">
        <v>0</v>
      </c>
      <c r="AP497" s="4">
        <v>14</v>
      </c>
      <c r="AQ497" s="4">
        <v>15</v>
      </c>
      <c r="AR497" s="3" t="s">
        <v>62</v>
      </c>
      <c r="AS497" s="3" t="s">
        <v>62</v>
      </c>
      <c r="AT497" s="3" t="s">
        <v>62</v>
      </c>
      <c r="AV497" s="6" t="str">
        <f>HYPERLINK("http://mcgill.on.worldcat.org/oclc/251204945","Catalog Record")</f>
        <v>Catalog Record</v>
      </c>
      <c r="AW497" s="6" t="str">
        <f>HYPERLINK("http://www.worldcat.org/oclc/251204945","WorldCat Record")</f>
        <v>WorldCat Record</v>
      </c>
      <c r="AX497" s="3" t="s">
        <v>4806</v>
      </c>
      <c r="AY497" s="3" t="s">
        <v>4807</v>
      </c>
      <c r="AZ497" s="3" t="s">
        <v>4808</v>
      </c>
      <c r="BA497" s="3" t="s">
        <v>4808</v>
      </c>
      <c r="BB497" s="3" t="s">
        <v>4809</v>
      </c>
      <c r="BC497" s="3" t="s">
        <v>142</v>
      </c>
      <c r="BD497" s="3" t="s">
        <v>308</v>
      </c>
      <c r="BE497" s="3" t="s">
        <v>4810</v>
      </c>
      <c r="BF497" s="3" t="s">
        <v>4809</v>
      </c>
      <c r="BG497" s="3" t="s">
        <v>4811</v>
      </c>
    </row>
    <row r="498" spans="1:59" ht="57" x14ac:dyDescent="0.45">
      <c r="A498" s="2" t="s">
        <v>59</v>
      </c>
      <c r="B498" s="2" t="s">
        <v>60</v>
      </c>
      <c r="C498" s="2" t="s">
        <v>4812</v>
      </c>
      <c r="D498" s="2" t="s">
        <v>4813</v>
      </c>
      <c r="E498" s="2" t="s">
        <v>4814</v>
      </c>
      <c r="G498" s="3" t="s">
        <v>62</v>
      </c>
      <c r="I498" s="3" t="s">
        <v>62</v>
      </c>
      <c r="J498" s="3" t="s">
        <v>62</v>
      </c>
      <c r="K498" s="3" t="s">
        <v>63</v>
      </c>
      <c r="L498" s="2" t="s">
        <v>4815</v>
      </c>
      <c r="M498" s="2" t="s">
        <v>1109</v>
      </c>
      <c r="N498" s="3" t="s">
        <v>568</v>
      </c>
      <c r="P498" s="3" t="s">
        <v>65</v>
      </c>
      <c r="Q498" s="2" t="s">
        <v>4816</v>
      </c>
      <c r="R498" s="3" t="s">
        <v>66</v>
      </c>
      <c r="S498" s="4">
        <v>76</v>
      </c>
      <c r="T498" s="4">
        <v>76</v>
      </c>
      <c r="U498" s="5" t="s">
        <v>4817</v>
      </c>
      <c r="V498" s="5" t="s">
        <v>4817</v>
      </c>
      <c r="W498" s="5" t="s">
        <v>67</v>
      </c>
      <c r="X498" s="5" t="s">
        <v>67</v>
      </c>
      <c r="Y498" s="4">
        <v>584</v>
      </c>
      <c r="Z498" s="4">
        <v>33</v>
      </c>
      <c r="AA498" s="4">
        <v>41</v>
      </c>
      <c r="AB498" s="4">
        <v>3</v>
      </c>
      <c r="AC498" s="4">
        <v>7</v>
      </c>
      <c r="AD498" s="4">
        <v>119</v>
      </c>
      <c r="AE498" s="4">
        <v>126</v>
      </c>
      <c r="AF498" s="4">
        <v>1</v>
      </c>
      <c r="AG498" s="4">
        <v>4</v>
      </c>
      <c r="AH498" s="4">
        <v>101</v>
      </c>
      <c r="AI498" s="4">
        <v>104</v>
      </c>
      <c r="AJ498" s="4">
        <v>16</v>
      </c>
      <c r="AK498" s="4">
        <v>21</v>
      </c>
      <c r="AL498" s="4">
        <v>56</v>
      </c>
      <c r="AM498" s="4">
        <v>56</v>
      </c>
      <c r="AN498" s="4">
        <v>0</v>
      </c>
      <c r="AO498" s="4">
        <v>0</v>
      </c>
      <c r="AP498" s="4">
        <v>26</v>
      </c>
      <c r="AQ498" s="4">
        <v>32</v>
      </c>
      <c r="AR498" s="3" t="s">
        <v>62</v>
      </c>
      <c r="AS498" s="3" t="s">
        <v>62</v>
      </c>
      <c r="AT498" s="3" t="s">
        <v>62</v>
      </c>
      <c r="AV498" s="6" t="str">
        <f>HYPERLINK("http://mcgill.on.worldcat.org/oclc/14413158","Catalog Record")</f>
        <v>Catalog Record</v>
      </c>
      <c r="AW498" s="6" t="str">
        <f>HYPERLINK("http://www.worldcat.org/oclc/14413158","WorldCat Record")</f>
        <v>WorldCat Record</v>
      </c>
      <c r="AX498" s="3" t="s">
        <v>4818</v>
      </c>
      <c r="AY498" s="3" t="s">
        <v>4819</v>
      </c>
      <c r="AZ498" s="3" t="s">
        <v>4820</v>
      </c>
      <c r="BA498" s="3" t="s">
        <v>4820</v>
      </c>
      <c r="BB498" s="3" t="s">
        <v>4821</v>
      </c>
      <c r="BC498" s="3" t="s">
        <v>142</v>
      </c>
      <c r="BD498" s="3" t="s">
        <v>68</v>
      </c>
      <c r="BE498" s="3" t="s">
        <v>4822</v>
      </c>
      <c r="BF498" s="3" t="s">
        <v>4821</v>
      </c>
      <c r="BG498" s="3" t="s">
        <v>4823</v>
      </c>
    </row>
    <row r="499" spans="1:59" ht="57" x14ac:dyDescent="0.45">
      <c r="A499" s="2" t="s">
        <v>59</v>
      </c>
      <c r="B499" s="2" t="s">
        <v>60</v>
      </c>
      <c r="C499" s="2" t="s">
        <v>4824</v>
      </c>
      <c r="D499" s="2" t="s">
        <v>4825</v>
      </c>
      <c r="E499" s="2" t="s">
        <v>4826</v>
      </c>
      <c r="G499" s="3" t="s">
        <v>62</v>
      </c>
      <c r="I499" s="3" t="s">
        <v>62</v>
      </c>
      <c r="J499" s="3" t="s">
        <v>62</v>
      </c>
      <c r="K499" s="3" t="s">
        <v>63</v>
      </c>
      <c r="L499" s="2" t="s">
        <v>4827</v>
      </c>
      <c r="M499" s="2" t="s">
        <v>4828</v>
      </c>
      <c r="N499" s="3" t="s">
        <v>1465</v>
      </c>
      <c r="P499" s="3" t="s">
        <v>4829</v>
      </c>
      <c r="Q499" s="2" t="s">
        <v>4830</v>
      </c>
      <c r="R499" s="3" t="s">
        <v>66</v>
      </c>
      <c r="S499" s="4">
        <v>1</v>
      </c>
      <c r="T499" s="4">
        <v>1</v>
      </c>
      <c r="U499" s="5" t="s">
        <v>4176</v>
      </c>
      <c r="V499" s="5" t="s">
        <v>4176</v>
      </c>
      <c r="W499" s="5" t="s">
        <v>67</v>
      </c>
      <c r="X499" s="5" t="s">
        <v>67</v>
      </c>
      <c r="Y499" s="4">
        <v>38</v>
      </c>
      <c r="Z499" s="4">
        <v>5</v>
      </c>
      <c r="AA499" s="4">
        <v>5</v>
      </c>
      <c r="AB499" s="4">
        <v>1</v>
      </c>
      <c r="AC499" s="4">
        <v>1</v>
      </c>
      <c r="AD499" s="4">
        <v>23</v>
      </c>
      <c r="AE499" s="4">
        <v>24</v>
      </c>
      <c r="AF499" s="4">
        <v>0</v>
      </c>
      <c r="AG499" s="4">
        <v>0</v>
      </c>
      <c r="AH499" s="4">
        <v>22</v>
      </c>
      <c r="AI499" s="4">
        <v>23</v>
      </c>
      <c r="AJ499" s="4">
        <v>3</v>
      </c>
      <c r="AK499" s="4">
        <v>3</v>
      </c>
      <c r="AL499" s="4">
        <v>17</v>
      </c>
      <c r="AM499" s="4">
        <v>18</v>
      </c>
      <c r="AN499" s="4">
        <v>0</v>
      </c>
      <c r="AO499" s="4">
        <v>0</v>
      </c>
      <c r="AP499" s="4">
        <v>3</v>
      </c>
      <c r="AQ499" s="4">
        <v>3</v>
      </c>
      <c r="AR499" s="3" t="s">
        <v>62</v>
      </c>
      <c r="AS499" s="3" t="s">
        <v>62</v>
      </c>
      <c r="AT499" s="3" t="s">
        <v>62</v>
      </c>
      <c r="AV499" s="6" t="str">
        <f>HYPERLINK("http://mcgill.on.worldcat.org/oclc/320952080","Catalog Record")</f>
        <v>Catalog Record</v>
      </c>
      <c r="AW499" s="6" t="str">
        <f>HYPERLINK("http://www.worldcat.org/oclc/320952080","WorldCat Record")</f>
        <v>WorldCat Record</v>
      </c>
      <c r="AX499" s="3" t="s">
        <v>4831</v>
      </c>
      <c r="AY499" s="3" t="s">
        <v>4832</v>
      </c>
      <c r="AZ499" s="3" t="s">
        <v>4833</v>
      </c>
      <c r="BA499" s="3" t="s">
        <v>4833</v>
      </c>
      <c r="BB499" s="3" t="s">
        <v>4834</v>
      </c>
      <c r="BC499" s="3" t="s">
        <v>142</v>
      </c>
      <c r="BD499" s="3" t="s">
        <v>68</v>
      </c>
      <c r="BE499" s="3" t="s">
        <v>4835</v>
      </c>
      <c r="BF499" s="3" t="s">
        <v>4834</v>
      </c>
      <c r="BG499" s="3" t="s">
        <v>4836</v>
      </c>
    </row>
    <row r="500" spans="1:59" ht="71.25" x14ac:dyDescent="0.45">
      <c r="A500" s="2" t="s">
        <v>59</v>
      </c>
      <c r="B500" s="2" t="s">
        <v>60</v>
      </c>
      <c r="C500" s="2" t="s">
        <v>4837</v>
      </c>
      <c r="D500" s="2" t="s">
        <v>4838</v>
      </c>
      <c r="E500" s="2" t="s">
        <v>4839</v>
      </c>
      <c r="G500" s="3" t="s">
        <v>62</v>
      </c>
      <c r="I500" s="3" t="s">
        <v>62</v>
      </c>
      <c r="J500" s="3" t="s">
        <v>62</v>
      </c>
      <c r="K500" s="3" t="s">
        <v>63</v>
      </c>
      <c r="L500" s="2" t="s">
        <v>4840</v>
      </c>
      <c r="M500" s="2" t="s">
        <v>4841</v>
      </c>
      <c r="N500" s="3" t="s">
        <v>918</v>
      </c>
      <c r="P500" s="3" t="s">
        <v>65</v>
      </c>
      <c r="Q500" s="2" t="s">
        <v>1267</v>
      </c>
      <c r="R500" s="3" t="s">
        <v>66</v>
      </c>
      <c r="S500" s="4">
        <v>18</v>
      </c>
      <c r="T500" s="4">
        <v>18</v>
      </c>
      <c r="U500" s="5" t="s">
        <v>2469</v>
      </c>
      <c r="V500" s="5" t="s">
        <v>2469</v>
      </c>
      <c r="W500" s="5" t="s">
        <v>67</v>
      </c>
      <c r="X500" s="5" t="s">
        <v>67</v>
      </c>
      <c r="Y500" s="4">
        <v>452</v>
      </c>
      <c r="Z500" s="4">
        <v>25</v>
      </c>
      <c r="AA500" s="4">
        <v>120</v>
      </c>
      <c r="AB500" s="4">
        <v>1</v>
      </c>
      <c r="AC500" s="4">
        <v>21</v>
      </c>
      <c r="AD500" s="4">
        <v>98</v>
      </c>
      <c r="AE500" s="4">
        <v>149</v>
      </c>
      <c r="AF500" s="4">
        <v>0</v>
      </c>
      <c r="AG500" s="4">
        <v>9</v>
      </c>
      <c r="AH500" s="4">
        <v>89</v>
      </c>
      <c r="AI500" s="4">
        <v>102</v>
      </c>
      <c r="AJ500" s="4">
        <v>12</v>
      </c>
      <c r="AK500" s="4">
        <v>27</v>
      </c>
      <c r="AL500" s="4">
        <v>49</v>
      </c>
      <c r="AM500" s="4">
        <v>54</v>
      </c>
      <c r="AN500" s="4">
        <v>0</v>
      </c>
      <c r="AO500" s="4">
        <v>0</v>
      </c>
      <c r="AP500" s="4">
        <v>15</v>
      </c>
      <c r="AQ500" s="4">
        <v>55</v>
      </c>
      <c r="AR500" s="3" t="s">
        <v>62</v>
      </c>
      <c r="AS500" s="3" t="s">
        <v>62</v>
      </c>
      <c r="AT500" s="3" t="s">
        <v>62</v>
      </c>
      <c r="AV500" s="6" t="str">
        <f>HYPERLINK("http://mcgill.on.worldcat.org/oclc/51800140","Catalog Record")</f>
        <v>Catalog Record</v>
      </c>
      <c r="AW500" s="6" t="str">
        <f>HYPERLINK("http://www.worldcat.org/oclc/51800140","WorldCat Record")</f>
        <v>WorldCat Record</v>
      </c>
      <c r="AX500" s="3" t="s">
        <v>4842</v>
      </c>
      <c r="AY500" s="3" t="s">
        <v>4843</v>
      </c>
      <c r="AZ500" s="3" t="s">
        <v>4844</v>
      </c>
      <c r="BA500" s="3" t="s">
        <v>4844</v>
      </c>
      <c r="BB500" s="3" t="s">
        <v>4845</v>
      </c>
      <c r="BC500" s="3" t="s">
        <v>142</v>
      </c>
      <c r="BD500" s="3" t="s">
        <v>68</v>
      </c>
      <c r="BE500" s="3" t="s">
        <v>4846</v>
      </c>
      <c r="BF500" s="3" t="s">
        <v>4845</v>
      </c>
      <c r="BG500" s="3" t="s">
        <v>4847</v>
      </c>
    </row>
    <row r="501" spans="1:59" ht="57" x14ac:dyDescent="0.45">
      <c r="A501" s="2" t="s">
        <v>59</v>
      </c>
      <c r="B501" s="2" t="s">
        <v>60</v>
      </c>
      <c r="C501" s="2" t="s">
        <v>4848</v>
      </c>
      <c r="D501" s="2" t="s">
        <v>4849</v>
      </c>
      <c r="E501" s="2" t="s">
        <v>4850</v>
      </c>
      <c r="G501" s="3" t="s">
        <v>62</v>
      </c>
      <c r="I501" s="3" t="s">
        <v>62</v>
      </c>
      <c r="J501" s="3" t="s">
        <v>62</v>
      </c>
      <c r="K501" s="3" t="s">
        <v>63</v>
      </c>
      <c r="L501" s="2" t="s">
        <v>4851</v>
      </c>
      <c r="M501" s="2" t="s">
        <v>1713</v>
      </c>
      <c r="N501" s="3" t="s">
        <v>1155</v>
      </c>
      <c r="P501" s="3" t="s">
        <v>65</v>
      </c>
      <c r="R501" s="3" t="s">
        <v>66</v>
      </c>
      <c r="S501" s="4">
        <v>1</v>
      </c>
      <c r="T501" s="4">
        <v>1</v>
      </c>
      <c r="U501" s="5" t="s">
        <v>4852</v>
      </c>
      <c r="V501" s="5" t="s">
        <v>4852</v>
      </c>
      <c r="W501" s="5" t="s">
        <v>67</v>
      </c>
      <c r="X501" s="5" t="s">
        <v>67</v>
      </c>
      <c r="Y501" s="4">
        <v>235</v>
      </c>
      <c r="Z501" s="4">
        <v>18</v>
      </c>
      <c r="AA501" s="4">
        <v>82</v>
      </c>
      <c r="AB501" s="4">
        <v>1</v>
      </c>
      <c r="AC501" s="4">
        <v>14</v>
      </c>
      <c r="AD501" s="4">
        <v>78</v>
      </c>
      <c r="AE501" s="4">
        <v>125</v>
      </c>
      <c r="AF501" s="4">
        <v>0</v>
      </c>
      <c r="AG501" s="4">
        <v>8</v>
      </c>
      <c r="AH501" s="4">
        <v>71</v>
      </c>
      <c r="AI501" s="4">
        <v>91</v>
      </c>
      <c r="AJ501" s="4">
        <v>14</v>
      </c>
      <c r="AK501" s="4">
        <v>24</v>
      </c>
      <c r="AL501" s="4">
        <v>39</v>
      </c>
      <c r="AM501" s="4">
        <v>50</v>
      </c>
      <c r="AN501" s="4">
        <v>0</v>
      </c>
      <c r="AO501" s="4">
        <v>0</v>
      </c>
      <c r="AP501" s="4">
        <v>14</v>
      </c>
      <c r="AQ501" s="4">
        <v>43</v>
      </c>
      <c r="AR501" s="3" t="s">
        <v>62</v>
      </c>
      <c r="AS501" s="3" t="s">
        <v>62</v>
      </c>
      <c r="AT501" s="3" t="s">
        <v>62</v>
      </c>
      <c r="AV501" s="6" t="str">
        <f>HYPERLINK("http://mcgill.on.worldcat.org/oclc/772450056","Catalog Record")</f>
        <v>Catalog Record</v>
      </c>
      <c r="AW501" s="6" t="str">
        <f>HYPERLINK("http://www.worldcat.org/oclc/772450056","WorldCat Record")</f>
        <v>WorldCat Record</v>
      </c>
      <c r="AX501" s="3" t="s">
        <v>4853</v>
      </c>
      <c r="AY501" s="3" t="s">
        <v>4854</v>
      </c>
      <c r="AZ501" s="3" t="s">
        <v>4855</v>
      </c>
      <c r="BA501" s="3" t="s">
        <v>4855</v>
      </c>
      <c r="BB501" s="3" t="s">
        <v>4856</v>
      </c>
      <c r="BC501" s="3" t="s">
        <v>142</v>
      </c>
      <c r="BD501" s="3" t="s">
        <v>68</v>
      </c>
      <c r="BE501" s="3" t="s">
        <v>4857</v>
      </c>
      <c r="BF501" s="3" t="s">
        <v>4856</v>
      </c>
      <c r="BG501" s="3" t="s">
        <v>4858</v>
      </c>
    </row>
    <row r="502" spans="1:59" ht="57" x14ac:dyDescent="0.45">
      <c r="A502" s="2" t="s">
        <v>59</v>
      </c>
      <c r="B502" s="2" t="s">
        <v>60</v>
      </c>
      <c r="C502" s="2" t="s">
        <v>4859</v>
      </c>
      <c r="D502" s="2" t="s">
        <v>4860</v>
      </c>
      <c r="E502" s="2" t="s">
        <v>4861</v>
      </c>
      <c r="G502" s="3" t="s">
        <v>62</v>
      </c>
      <c r="I502" s="3" t="s">
        <v>62</v>
      </c>
      <c r="J502" s="3" t="s">
        <v>62</v>
      </c>
      <c r="K502" s="3" t="s">
        <v>63</v>
      </c>
      <c r="L502" s="2" t="s">
        <v>3374</v>
      </c>
      <c r="M502" s="2" t="s">
        <v>4862</v>
      </c>
      <c r="N502" s="3" t="s">
        <v>1465</v>
      </c>
      <c r="P502" s="3" t="s">
        <v>65</v>
      </c>
      <c r="Q502" s="2" t="s">
        <v>1267</v>
      </c>
      <c r="R502" s="3" t="s">
        <v>66</v>
      </c>
      <c r="S502" s="4">
        <v>14</v>
      </c>
      <c r="T502" s="4">
        <v>14</v>
      </c>
      <c r="U502" s="5" t="s">
        <v>4863</v>
      </c>
      <c r="V502" s="5" t="s">
        <v>4863</v>
      </c>
      <c r="W502" s="5" t="s">
        <v>67</v>
      </c>
      <c r="X502" s="5" t="s">
        <v>67</v>
      </c>
      <c r="Y502" s="4">
        <v>227</v>
      </c>
      <c r="Z502" s="4">
        <v>26</v>
      </c>
      <c r="AA502" s="4">
        <v>87</v>
      </c>
      <c r="AB502" s="4">
        <v>2</v>
      </c>
      <c r="AC502" s="4">
        <v>15</v>
      </c>
      <c r="AD502" s="4">
        <v>62</v>
      </c>
      <c r="AE502" s="4">
        <v>120</v>
      </c>
      <c r="AF502" s="4">
        <v>0</v>
      </c>
      <c r="AG502" s="4">
        <v>8</v>
      </c>
      <c r="AH502" s="4">
        <v>49</v>
      </c>
      <c r="AI502" s="4">
        <v>83</v>
      </c>
      <c r="AJ502" s="4">
        <v>13</v>
      </c>
      <c r="AK502" s="4">
        <v>24</v>
      </c>
      <c r="AL502" s="4">
        <v>32</v>
      </c>
      <c r="AM502" s="4">
        <v>44</v>
      </c>
      <c r="AN502" s="4">
        <v>0</v>
      </c>
      <c r="AO502" s="4">
        <v>0</v>
      </c>
      <c r="AP502" s="4">
        <v>20</v>
      </c>
      <c r="AQ502" s="4">
        <v>46</v>
      </c>
      <c r="AR502" s="3" t="s">
        <v>62</v>
      </c>
      <c r="AS502" s="3" t="s">
        <v>62</v>
      </c>
      <c r="AT502" s="3" t="s">
        <v>62</v>
      </c>
      <c r="AV502" s="6" t="str">
        <f>HYPERLINK("http://mcgill.on.worldcat.org/oclc/318872009","Catalog Record")</f>
        <v>Catalog Record</v>
      </c>
      <c r="AW502" s="6" t="str">
        <f>HYPERLINK("http://www.worldcat.org/oclc/318872009","WorldCat Record")</f>
        <v>WorldCat Record</v>
      </c>
      <c r="AX502" s="3" t="s">
        <v>4864</v>
      </c>
      <c r="AY502" s="3" t="s">
        <v>4865</v>
      </c>
      <c r="AZ502" s="3" t="s">
        <v>4866</v>
      </c>
      <c r="BA502" s="3" t="s">
        <v>4866</v>
      </c>
      <c r="BB502" s="3" t="s">
        <v>4867</v>
      </c>
      <c r="BC502" s="3" t="s">
        <v>142</v>
      </c>
      <c r="BD502" s="3" t="s">
        <v>68</v>
      </c>
      <c r="BE502" s="3" t="s">
        <v>4868</v>
      </c>
      <c r="BF502" s="3" t="s">
        <v>4867</v>
      </c>
      <c r="BG502" s="3" t="s">
        <v>4869</v>
      </c>
    </row>
    <row r="503" spans="1:59" ht="57" x14ac:dyDescent="0.45">
      <c r="A503" s="2" t="s">
        <v>59</v>
      </c>
      <c r="B503" s="2" t="s">
        <v>60</v>
      </c>
      <c r="C503" s="2" t="s">
        <v>4870</v>
      </c>
      <c r="D503" s="2" t="s">
        <v>4871</v>
      </c>
      <c r="E503" s="2" t="s">
        <v>4872</v>
      </c>
      <c r="G503" s="3" t="s">
        <v>62</v>
      </c>
      <c r="I503" s="3" t="s">
        <v>62</v>
      </c>
      <c r="J503" s="3" t="s">
        <v>62</v>
      </c>
      <c r="K503" s="3" t="s">
        <v>63</v>
      </c>
      <c r="M503" s="2" t="s">
        <v>4873</v>
      </c>
      <c r="N503" s="3" t="s">
        <v>918</v>
      </c>
      <c r="P503" s="3" t="s">
        <v>65</v>
      </c>
      <c r="R503" s="3" t="s">
        <v>66</v>
      </c>
      <c r="S503" s="4">
        <v>16</v>
      </c>
      <c r="T503" s="4">
        <v>16</v>
      </c>
      <c r="U503" s="5" t="s">
        <v>4863</v>
      </c>
      <c r="V503" s="5" t="s">
        <v>4863</v>
      </c>
      <c r="W503" s="5" t="s">
        <v>67</v>
      </c>
      <c r="X503" s="5" t="s">
        <v>67</v>
      </c>
      <c r="Y503" s="4">
        <v>234</v>
      </c>
      <c r="Z503" s="4">
        <v>16</v>
      </c>
      <c r="AA503" s="4">
        <v>18</v>
      </c>
      <c r="AB503" s="4">
        <v>1</v>
      </c>
      <c r="AC503" s="4">
        <v>3</v>
      </c>
      <c r="AD503" s="4">
        <v>96</v>
      </c>
      <c r="AE503" s="4">
        <v>99</v>
      </c>
      <c r="AF503" s="4">
        <v>0</v>
      </c>
      <c r="AG503" s="4">
        <v>1</v>
      </c>
      <c r="AH503" s="4">
        <v>88</v>
      </c>
      <c r="AI503" s="4">
        <v>91</v>
      </c>
      <c r="AJ503" s="4">
        <v>14</v>
      </c>
      <c r="AK503" s="4">
        <v>15</v>
      </c>
      <c r="AL503" s="4">
        <v>47</v>
      </c>
      <c r="AM503" s="4">
        <v>47</v>
      </c>
      <c r="AN503" s="4">
        <v>0</v>
      </c>
      <c r="AO503" s="4">
        <v>0</v>
      </c>
      <c r="AP503" s="4">
        <v>14</v>
      </c>
      <c r="AQ503" s="4">
        <v>15</v>
      </c>
      <c r="AR503" s="3" t="s">
        <v>62</v>
      </c>
      <c r="AS503" s="3" t="s">
        <v>62</v>
      </c>
      <c r="AT503" s="3" t="s">
        <v>61</v>
      </c>
      <c r="AU503" s="6" t="str">
        <f>HYPERLINK("http://catalog.hathitrust.org/Record/004365646","HathiTrust Record")</f>
        <v>HathiTrust Record</v>
      </c>
      <c r="AV503" s="6" t="str">
        <f>HYPERLINK("http://mcgill.on.worldcat.org/oclc/51755937","Catalog Record")</f>
        <v>Catalog Record</v>
      </c>
      <c r="AW503" s="6" t="str">
        <f>HYPERLINK("http://www.worldcat.org/oclc/51755937","WorldCat Record")</f>
        <v>WorldCat Record</v>
      </c>
      <c r="AX503" s="3" t="s">
        <v>4874</v>
      </c>
      <c r="AY503" s="3" t="s">
        <v>4875</v>
      </c>
      <c r="AZ503" s="3" t="s">
        <v>4876</v>
      </c>
      <c r="BA503" s="3" t="s">
        <v>4876</v>
      </c>
      <c r="BB503" s="3" t="s">
        <v>4877</v>
      </c>
      <c r="BC503" s="3" t="s">
        <v>142</v>
      </c>
      <c r="BD503" s="3" t="s">
        <v>68</v>
      </c>
      <c r="BE503" s="3" t="s">
        <v>4878</v>
      </c>
      <c r="BF503" s="3" t="s">
        <v>4877</v>
      </c>
      <c r="BG503" s="3" t="s">
        <v>4879</v>
      </c>
    </row>
    <row r="504" spans="1:59" ht="57" x14ac:dyDescent="0.45">
      <c r="A504" s="2" t="s">
        <v>59</v>
      </c>
      <c r="B504" s="2" t="s">
        <v>60</v>
      </c>
      <c r="C504" s="2" t="s">
        <v>4880</v>
      </c>
      <c r="D504" s="2" t="s">
        <v>4881</v>
      </c>
      <c r="E504" s="2" t="s">
        <v>4882</v>
      </c>
      <c r="G504" s="3" t="s">
        <v>62</v>
      </c>
      <c r="I504" s="3" t="s">
        <v>62</v>
      </c>
      <c r="J504" s="3" t="s">
        <v>62</v>
      </c>
      <c r="K504" s="3" t="s">
        <v>63</v>
      </c>
      <c r="M504" s="2" t="s">
        <v>4233</v>
      </c>
      <c r="N504" s="3" t="s">
        <v>149</v>
      </c>
      <c r="P504" s="3" t="s">
        <v>65</v>
      </c>
      <c r="R504" s="3" t="s">
        <v>66</v>
      </c>
      <c r="S504" s="4">
        <v>16</v>
      </c>
      <c r="T504" s="4">
        <v>16</v>
      </c>
      <c r="U504" s="5" t="s">
        <v>4863</v>
      </c>
      <c r="V504" s="5" t="s">
        <v>4863</v>
      </c>
      <c r="W504" s="5" t="s">
        <v>67</v>
      </c>
      <c r="X504" s="5" t="s">
        <v>67</v>
      </c>
      <c r="Y504" s="4">
        <v>227</v>
      </c>
      <c r="Z504" s="4">
        <v>22</v>
      </c>
      <c r="AA504" s="4">
        <v>102</v>
      </c>
      <c r="AB504" s="4">
        <v>1</v>
      </c>
      <c r="AC504" s="4">
        <v>18</v>
      </c>
      <c r="AD504" s="4">
        <v>83</v>
      </c>
      <c r="AE504" s="4">
        <v>133</v>
      </c>
      <c r="AF504" s="4">
        <v>0</v>
      </c>
      <c r="AG504" s="4">
        <v>8</v>
      </c>
      <c r="AH504" s="4">
        <v>75</v>
      </c>
      <c r="AI504" s="4">
        <v>93</v>
      </c>
      <c r="AJ504" s="4">
        <v>15</v>
      </c>
      <c r="AK504" s="4">
        <v>26</v>
      </c>
      <c r="AL504" s="4">
        <v>42</v>
      </c>
      <c r="AM504" s="4">
        <v>50</v>
      </c>
      <c r="AN504" s="4">
        <v>0</v>
      </c>
      <c r="AO504" s="4">
        <v>0</v>
      </c>
      <c r="AP504" s="4">
        <v>18</v>
      </c>
      <c r="AQ504" s="4">
        <v>49</v>
      </c>
      <c r="AR504" s="3" t="s">
        <v>62</v>
      </c>
      <c r="AS504" s="3" t="s">
        <v>62</v>
      </c>
      <c r="AT504" s="3" t="s">
        <v>62</v>
      </c>
      <c r="AV504" s="6" t="str">
        <f>HYPERLINK("http://mcgill.on.worldcat.org/oclc/320798579","Catalog Record")</f>
        <v>Catalog Record</v>
      </c>
      <c r="AW504" s="6" t="str">
        <f>HYPERLINK("http://www.worldcat.org/oclc/320798579","WorldCat Record")</f>
        <v>WorldCat Record</v>
      </c>
      <c r="AX504" s="3" t="s">
        <v>4883</v>
      </c>
      <c r="AY504" s="3" t="s">
        <v>4884</v>
      </c>
      <c r="AZ504" s="3" t="s">
        <v>4885</v>
      </c>
      <c r="BA504" s="3" t="s">
        <v>4885</v>
      </c>
      <c r="BB504" s="3" t="s">
        <v>4886</v>
      </c>
      <c r="BC504" s="3" t="s">
        <v>142</v>
      </c>
      <c r="BD504" s="3" t="s">
        <v>68</v>
      </c>
      <c r="BE504" s="3" t="s">
        <v>4887</v>
      </c>
      <c r="BF504" s="3" t="s">
        <v>4886</v>
      </c>
      <c r="BG504" s="3" t="s">
        <v>4888</v>
      </c>
    </row>
    <row r="505" spans="1:59" ht="57" x14ac:dyDescent="0.45">
      <c r="A505" s="2" t="s">
        <v>59</v>
      </c>
      <c r="B505" s="2" t="s">
        <v>60</v>
      </c>
      <c r="C505" s="2" t="s">
        <v>4889</v>
      </c>
      <c r="D505" s="2" t="s">
        <v>4890</v>
      </c>
      <c r="E505" s="2" t="s">
        <v>4891</v>
      </c>
      <c r="G505" s="3" t="s">
        <v>62</v>
      </c>
      <c r="I505" s="3" t="s">
        <v>62</v>
      </c>
      <c r="J505" s="3" t="s">
        <v>62</v>
      </c>
      <c r="K505" s="3" t="s">
        <v>63</v>
      </c>
      <c r="M505" s="2" t="s">
        <v>4892</v>
      </c>
      <c r="N505" s="3" t="s">
        <v>1059</v>
      </c>
      <c r="P505" s="3" t="s">
        <v>65</v>
      </c>
      <c r="Q505" s="2" t="s">
        <v>1782</v>
      </c>
      <c r="R505" s="3" t="s">
        <v>66</v>
      </c>
      <c r="S505" s="4">
        <v>10</v>
      </c>
      <c r="T505" s="4">
        <v>10</v>
      </c>
      <c r="U505" s="5" t="s">
        <v>4863</v>
      </c>
      <c r="V505" s="5" t="s">
        <v>4863</v>
      </c>
      <c r="W505" s="5" t="s">
        <v>67</v>
      </c>
      <c r="X505" s="5" t="s">
        <v>67</v>
      </c>
      <c r="Y505" s="4">
        <v>182</v>
      </c>
      <c r="Z505" s="4">
        <v>16</v>
      </c>
      <c r="AA505" s="4">
        <v>45</v>
      </c>
      <c r="AB505" s="4">
        <v>2</v>
      </c>
      <c r="AC505" s="4">
        <v>10</v>
      </c>
      <c r="AD505" s="4">
        <v>63</v>
      </c>
      <c r="AE505" s="4">
        <v>75</v>
      </c>
      <c r="AF505" s="4">
        <v>1</v>
      </c>
      <c r="AG505" s="4">
        <v>4</v>
      </c>
      <c r="AH505" s="4">
        <v>57</v>
      </c>
      <c r="AI505" s="4">
        <v>62</v>
      </c>
      <c r="AJ505" s="4">
        <v>14</v>
      </c>
      <c r="AK505" s="4">
        <v>19</v>
      </c>
      <c r="AL505" s="4">
        <v>35</v>
      </c>
      <c r="AM505" s="4">
        <v>36</v>
      </c>
      <c r="AN505" s="4">
        <v>0</v>
      </c>
      <c r="AO505" s="4">
        <v>0</v>
      </c>
      <c r="AP505" s="4">
        <v>14</v>
      </c>
      <c r="AQ505" s="4">
        <v>24</v>
      </c>
      <c r="AR505" s="3" t="s">
        <v>62</v>
      </c>
      <c r="AS505" s="3" t="s">
        <v>62</v>
      </c>
      <c r="AT505" s="3" t="s">
        <v>62</v>
      </c>
      <c r="AV505" s="6" t="str">
        <f>HYPERLINK("http://mcgill.on.worldcat.org/oclc/76942896","Catalog Record")</f>
        <v>Catalog Record</v>
      </c>
      <c r="AW505" s="6" t="str">
        <f>HYPERLINK("http://www.worldcat.org/oclc/76942896","WorldCat Record")</f>
        <v>WorldCat Record</v>
      </c>
      <c r="AX505" s="3" t="s">
        <v>4893</v>
      </c>
      <c r="AY505" s="3" t="s">
        <v>4894</v>
      </c>
      <c r="AZ505" s="3" t="s">
        <v>4895</v>
      </c>
      <c r="BA505" s="3" t="s">
        <v>4895</v>
      </c>
      <c r="BB505" s="3" t="s">
        <v>4896</v>
      </c>
      <c r="BC505" s="3" t="s">
        <v>142</v>
      </c>
      <c r="BD505" s="3" t="s">
        <v>68</v>
      </c>
      <c r="BE505" s="3" t="s">
        <v>4897</v>
      </c>
      <c r="BF505" s="3" t="s">
        <v>4896</v>
      </c>
      <c r="BG505" s="3" t="s">
        <v>4898</v>
      </c>
    </row>
    <row r="506" spans="1:59" ht="71.25" x14ac:dyDescent="0.45">
      <c r="A506" s="2" t="s">
        <v>59</v>
      </c>
      <c r="B506" s="2" t="s">
        <v>60</v>
      </c>
      <c r="C506" s="2" t="s">
        <v>4899</v>
      </c>
      <c r="D506" s="2" t="s">
        <v>4900</v>
      </c>
      <c r="E506" s="2" t="s">
        <v>4901</v>
      </c>
      <c r="G506" s="3" t="s">
        <v>62</v>
      </c>
      <c r="I506" s="3" t="s">
        <v>62</v>
      </c>
      <c r="J506" s="3" t="s">
        <v>62</v>
      </c>
      <c r="K506" s="3" t="s">
        <v>63</v>
      </c>
      <c r="M506" s="2" t="s">
        <v>4902</v>
      </c>
      <c r="N506" s="3" t="s">
        <v>149</v>
      </c>
      <c r="P506" s="3" t="s">
        <v>65</v>
      </c>
      <c r="Q506" s="2" t="s">
        <v>4903</v>
      </c>
      <c r="R506" s="3" t="s">
        <v>66</v>
      </c>
      <c r="S506" s="4">
        <v>2</v>
      </c>
      <c r="T506" s="4">
        <v>2</v>
      </c>
      <c r="U506" s="5" t="s">
        <v>4904</v>
      </c>
      <c r="V506" s="5" t="s">
        <v>4904</v>
      </c>
      <c r="W506" s="5" t="s">
        <v>67</v>
      </c>
      <c r="X506" s="5" t="s">
        <v>67</v>
      </c>
      <c r="Y506" s="4">
        <v>44</v>
      </c>
      <c r="Z506" s="4">
        <v>5</v>
      </c>
      <c r="AA506" s="4">
        <v>5</v>
      </c>
      <c r="AB506" s="4">
        <v>1</v>
      </c>
      <c r="AC506" s="4">
        <v>1</v>
      </c>
      <c r="AD506" s="4">
        <v>31</v>
      </c>
      <c r="AE506" s="4">
        <v>31</v>
      </c>
      <c r="AF506" s="4">
        <v>0</v>
      </c>
      <c r="AG506" s="4">
        <v>0</v>
      </c>
      <c r="AH506" s="4">
        <v>30</v>
      </c>
      <c r="AI506" s="4">
        <v>30</v>
      </c>
      <c r="AJ506" s="4">
        <v>3</v>
      </c>
      <c r="AK506" s="4">
        <v>3</v>
      </c>
      <c r="AL506" s="4">
        <v>20</v>
      </c>
      <c r="AM506" s="4">
        <v>20</v>
      </c>
      <c r="AN506" s="4">
        <v>0</v>
      </c>
      <c r="AO506" s="4">
        <v>0</v>
      </c>
      <c r="AP506" s="4">
        <v>3</v>
      </c>
      <c r="AQ506" s="4">
        <v>3</v>
      </c>
      <c r="AR506" s="3" t="s">
        <v>62</v>
      </c>
      <c r="AS506" s="3" t="s">
        <v>62</v>
      </c>
      <c r="AT506" s="3" t="s">
        <v>61</v>
      </c>
      <c r="AU506" s="6" t="str">
        <f>HYPERLINK("http://catalog.hathitrust.org/Record/011359407","HathiTrust Record")</f>
        <v>HathiTrust Record</v>
      </c>
      <c r="AV506" s="6" t="str">
        <f>HYPERLINK("http://mcgill.on.worldcat.org/oclc/778006064","Catalog Record")</f>
        <v>Catalog Record</v>
      </c>
      <c r="AW506" s="6" t="str">
        <f>HYPERLINK("http://www.worldcat.org/oclc/778006064","WorldCat Record")</f>
        <v>WorldCat Record</v>
      </c>
      <c r="AX506" s="3" t="s">
        <v>4905</v>
      </c>
      <c r="AY506" s="3" t="s">
        <v>4906</v>
      </c>
      <c r="AZ506" s="3" t="s">
        <v>4907</v>
      </c>
      <c r="BA506" s="3" t="s">
        <v>4907</v>
      </c>
      <c r="BB506" s="3" t="s">
        <v>4908</v>
      </c>
      <c r="BC506" s="3" t="s">
        <v>142</v>
      </c>
      <c r="BD506" s="3" t="s">
        <v>68</v>
      </c>
      <c r="BE506" s="3" t="s">
        <v>4909</v>
      </c>
      <c r="BF506" s="3" t="s">
        <v>4908</v>
      </c>
      <c r="BG506" s="3" t="s">
        <v>4910</v>
      </c>
    </row>
    <row r="507" spans="1:59" ht="114" x14ac:dyDescent="0.45">
      <c r="A507" s="2" t="s">
        <v>59</v>
      </c>
      <c r="B507" s="2" t="s">
        <v>690</v>
      </c>
      <c r="C507" s="2" t="s">
        <v>4911</v>
      </c>
      <c r="D507" s="2" t="s">
        <v>4912</v>
      </c>
      <c r="E507" s="2" t="s">
        <v>4913</v>
      </c>
      <c r="G507" s="3" t="s">
        <v>62</v>
      </c>
      <c r="H507" s="3" t="s">
        <v>3960</v>
      </c>
      <c r="I507" s="3" t="s">
        <v>62</v>
      </c>
      <c r="J507" s="3" t="s">
        <v>62</v>
      </c>
      <c r="K507" s="3" t="s">
        <v>63</v>
      </c>
      <c r="L507" s="2" t="s">
        <v>4914</v>
      </c>
      <c r="M507" s="2" t="s">
        <v>4915</v>
      </c>
      <c r="N507" s="3" t="s">
        <v>1688</v>
      </c>
      <c r="O507" s="2" t="s">
        <v>4916</v>
      </c>
      <c r="P507" s="3" t="s">
        <v>4917</v>
      </c>
      <c r="R507" s="3" t="s">
        <v>66</v>
      </c>
      <c r="S507" s="4">
        <v>0</v>
      </c>
      <c r="T507" s="4">
        <v>0</v>
      </c>
      <c r="W507" s="5" t="s">
        <v>4918</v>
      </c>
      <c r="X507" s="5" t="s">
        <v>4918</v>
      </c>
      <c r="Y507" s="4">
        <v>9</v>
      </c>
      <c r="Z507" s="4">
        <v>1</v>
      </c>
      <c r="AA507" s="4">
        <v>1</v>
      </c>
      <c r="AB507" s="4">
        <v>1</v>
      </c>
      <c r="AC507" s="4">
        <v>1</v>
      </c>
      <c r="AD507" s="4">
        <v>8</v>
      </c>
      <c r="AE507" s="4">
        <v>8</v>
      </c>
      <c r="AF507" s="4">
        <v>0</v>
      </c>
      <c r="AG507" s="4">
        <v>0</v>
      </c>
      <c r="AH507" s="4">
        <v>8</v>
      </c>
      <c r="AI507" s="4">
        <v>8</v>
      </c>
      <c r="AJ507" s="4">
        <v>0</v>
      </c>
      <c r="AK507" s="4">
        <v>0</v>
      </c>
      <c r="AL507" s="4">
        <v>7</v>
      </c>
      <c r="AM507" s="4">
        <v>7</v>
      </c>
      <c r="AN507" s="4">
        <v>0</v>
      </c>
      <c r="AO507" s="4">
        <v>0</v>
      </c>
      <c r="AP507" s="4">
        <v>0</v>
      </c>
      <c r="AQ507" s="4">
        <v>0</v>
      </c>
      <c r="AR507" s="3" t="s">
        <v>62</v>
      </c>
      <c r="AS507" s="3" t="s">
        <v>62</v>
      </c>
      <c r="AT507" s="3" t="s">
        <v>62</v>
      </c>
      <c r="AV507" s="6" t="str">
        <f>HYPERLINK("http://mcgill.on.worldcat.org/oclc/896812196","Catalog Record")</f>
        <v>Catalog Record</v>
      </c>
      <c r="AW507" s="6" t="str">
        <f>HYPERLINK("http://www.worldcat.org/oclc/896812196","WorldCat Record")</f>
        <v>WorldCat Record</v>
      </c>
      <c r="AX507" s="3" t="s">
        <v>4919</v>
      </c>
      <c r="AY507" s="3" t="s">
        <v>4920</v>
      </c>
      <c r="AZ507" s="3" t="s">
        <v>4921</v>
      </c>
      <c r="BA507" s="3" t="s">
        <v>4921</v>
      </c>
      <c r="BB507" s="3" t="s">
        <v>4922</v>
      </c>
      <c r="BC507" s="3" t="s">
        <v>142</v>
      </c>
      <c r="BD507" s="3" t="s">
        <v>68</v>
      </c>
      <c r="BE507" s="3" t="s">
        <v>4923</v>
      </c>
      <c r="BF507" s="3" t="s">
        <v>4922</v>
      </c>
      <c r="BG507" s="3" t="s">
        <v>4924</v>
      </c>
    </row>
    <row r="508" spans="1:59" ht="57" x14ac:dyDescent="0.45">
      <c r="A508" s="2" t="s">
        <v>59</v>
      </c>
      <c r="B508" s="2" t="s">
        <v>60</v>
      </c>
      <c r="C508" s="2" t="s">
        <v>4925</v>
      </c>
      <c r="D508" s="2" t="s">
        <v>4926</v>
      </c>
      <c r="E508" s="2" t="s">
        <v>4927</v>
      </c>
      <c r="G508" s="3" t="s">
        <v>62</v>
      </c>
      <c r="I508" s="3" t="s">
        <v>62</v>
      </c>
      <c r="J508" s="3" t="s">
        <v>62</v>
      </c>
      <c r="K508" s="3" t="s">
        <v>63</v>
      </c>
      <c r="M508" s="2" t="s">
        <v>1781</v>
      </c>
      <c r="N508" s="3" t="s">
        <v>149</v>
      </c>
      <c r="P508" s="3" t="s">
        <v>65</v>
      </c>
      <c r="Q508" s="2" t="s">
        <v>1782</v>
      </c>
      <c r="R508" s="3" t="s">
        <v>66</v>
      </c>
      <c r="S508" s="4">
        <v>1</v>
      </c>
      <c r="T508" s="4">
        <v>1</v>
      </c>
      <c r="U508" s="5" t="s">
        <v>124</v>
      </c>
      <c r="V508" s="5" t="s">
        <v>124</v>
      </c>
      <c r="W508" s="5" t="s">
        <v>67</v>
      </c>
      <c r="X508" s="5" t="s">
        <v>67</v>
      </c>
      <c r="Y508" s="4">
        <v>119</v>
      </c>
      <c r="Z508" s="4">
        <v>7</v>
      </c>
      <c r="AA508" s="4">
        <v>101</v>
      </c>
      <c r="AB508" s="4">
        <v>1</v>
      </c>
      <c r="AC508" s="4">
        <v>17</v>
      </c>
      <c r="AD508" s="4">
        <v>47</v>
      </c>
      <c r="AE508" s="4">
        <v>130</v>
      </c>
      <c r="AF508" s="4">
        <v>0</v>
      </c>
      <c r="AG508" s="4">
        <v>8</v>
      </c>
      <c r="AH508" s="4">
        <v>46</v>
      </c>
      <c r="AI508" s="4">
        <v>91</v>
      </c>
      <c r="AJ508" s="4">
        <v>4</v>
      </c>
      <c r="AK508" s="4">
        <v>23</v>
      </c>
      <c r="AL508" s="4">
        <v>28</v>
      </c>
      <c r="AM508" s="4">
        <v>49</v>
      </c>
      <c r="AN508" s="4">
        <v>0</v>
      </c>
      <c r="AO508" s="4">
        <v>0</v>
      </c>
      <c r="AP508" s="4">
        <v>5</v>
      </c>
      <c r="AQ508" s="4">
        <v>46</v>
      </c>
      <c r="AR508" s="3" t="s">
        <v>62</v>
      </c>
      <c r="AS508" s="3" t="s">
        <v>62</v>
      </c>
      <c r="AT508" s="3" t="s">
        <v>62</v>
      </c>
      <c r="AV508" s="6" t="str">
        <f>HYPERLINK("http://mcgill.on.worldcat.org/oclc/496962141","Catalog Record")</f>
        <v>Catalog Record</v>
      </c>
      <c r="AW508" s="6" t="str">
        <f>HYPERLINK("http://www.worldcat.org/oclc/496962141","WorldCat Record")</f>
        <v>WorldCat Record</v>
      </c>
      <c r="AX508" s="3" t="s">
        <v>4928</v>
      </c>
      <c r="AY508" s="3" t="s">
        <v>4929</v>
      </c>
      <c r="AZ508" s="3" t="s">
        <v>4930</v>
      </c>
      <c r="BA508" s="3" t="s">
        <v>4930</v>
      </c>
      <c r="BB508" s="3" t="s">
        <v>4931</v>
      </c>
      <c r="BC508" s="3" t="s">
        <v>142</v>
      </c>
      <c r="BD508" s="3" t="s">
        <v>68</v>
      </c>
      <c r="BE508" s="3" t="s">
        <v>4932</v>
      </c>
      <c r="BF508" s="3" t="s">
        <v>4931</v>
      </c>
      <c r="BG508" s="3" t="s">
        <v>4933</v>
      </c>
    </row>
    <row r="509" spans="1:59" ht="71.25" x14ac:dyDescent="0.45">
      <c r="A509" s="2" t="s">
        <v>59</v>
      </c>
      <c r="B509" s="2" t="s">
        <v>60</v>
      </c>
      <c r="C509" s="2" t="s">
        <v>4934</v>
      </c>
      <c r="D509" s="2" t="s">
        <v>4935</v>
      </c>
      <c r="E509" s="2" t="s">
        <v>4936</v>
      </c>
      <c r="G509" s="3" t="s">
        <v>62</v>
      </c>
      <c r="I509" s="3" t="s">
        <v>62</v>
      </c>
      <c r="J509" s="3" t="s">
        <v>62</v>
      </c>
      <c r="K509" s="3" t="s">
        <v>63</v>
      </c>
      <c r="L509" s="2" t="s">
        <v>4937</v>
      </c>
      <c r="M509" s="2" t="s">
        <v>4938</v>
      </c>
      <c r="N509" s="3" t="s">
        <v>1465</v>
      </c>
      <c r="P509" s="3" t="s">
        <v>65</v>
      </c>
      <c r="Q509" s="2" t="s">
        <v>4939</v>
      </c>
      <c r="R509" s="3" t="s">
        <v>66</v>
      </c>
      <c r="S509" s="4">
        <v>2</v>
      </c>
      <c r="T509" s="4">
        <v>2</v>
      </c>
      <c r="U509" s="5" t="s">
        <v>4940</v>
      </c>
      <c r="V509" s="5" t="s">
        <v>4940</v>
      </c>
      <c r="W509" s="5" t="s">
        <v>67</v>
      </c>
      <c r="X509" s="5" t="s">
        <v>67</v>
      </c>
      <c r="Y509" s="4">
        <v>162</v>
      </c>
      <c r="Z509" s="4">
        <v>18</v>
      </c>
      <c r="AA509" s="4">
        <v>100</v>
      </c>
      <c r="AB509" s="4">
        <v>3</v>
      </c>
      <c r="AC509" s="4">
        <v>18</v>
      </c>
      <c r="AD509" s="4">
        <v>72</v>
      </c>
      <c r="AE509" s="4">
        <v>131</v>
      </c>
      <c r="AF509" s="4">
        <v>1</v>
      </c>
      <c r="AG509" s="4">
        <v>8</v>
      </c>
      <c r="AH509" s="4">
        <v>65</v>
      </c>
      <c r="AI509" s="4">
        <v>94</v>
      </c>
      <c r="AJ509" s="4">
        <v>12</v>
      </c>
      <c r="AK509" s="4">
        <v>23</v>
      </c>
      <c r="AL509" s="4">
        <v>39</v>
      </c>
      <c r="AM509" s="4">
        <v>51</v>
      </c>
      <c r="AN509" s="4">
        <v>0</v>
      </c>
      <c r="AO509" s="4">
        <v>0</v>
      </c>
      <c r="AP509" s="4">
        <v>14</v>
      </c>
      <c r="AQ509" s="4">
        <v>45</v>
      </c>
      <c r="AR509" s="3" t="s">
        <v>62</v>
      </c>
      <c r="AS509" s="3" t="s">
        <v>62</v>
      </c>
      <c r="AT509" s="3" t="s">
        <v>62</v>
      </c>
      <c r="AV509" s="6" t="str">
        <f>HYPERLINK("http://mcgill.on.worldcat.org/oclc/424331065","Catalog Record")</f>
        <v>Catalog Record</v>
      </c>
      <c r="AW509" s="6" t="str">
        <f>HYPERLINK("http://www.worldcat.org/oclc/424331065","WorldCat Record")</f>
        <v>WorldCat Record</v>
      </c>
      <c r="AX509" s="3" t="s">
        <v>4941</v>
      </c>
      <c r="AY509" s="3" t="s">
        <v>4942</v>
      </c>
      <c r="AZ509" s="3" t="s">
        <v>4943</v>
      </c>
      <c r="BA509" s="3" t="s">
        <v>4943</v>
      </c>
      <c r="BB509" s="3" t="s">
        <v>4944</v>
      </c>
      <c r="BC509" s="3" t="s">
        <v>142</v>
      </c>
      <c r="BD509" s="3" t="s">
        <v>68</v>
      </c>
      <c r="BE509" s="3" t="s">
        <v>4945</v>
      </c>
      <c r="BF509" s="3" t="s">
        <v>4944</v>
      </c>
      <c r="BG509" s="3" t="s">
        <v>4946</v>
      </c>
    </row>
    <row r="510" spans="1:59" ht="57" x14ac:dyDescent="0.45">
      <c r="A510" s="2" t="s">
        <v>59</v>
      </c>
      <c r="B510" s="2" t="s">
        <v>60</v>
      </c>
      <c r="C510" s="2" t="s">
        <v>4947</v>
      </c>
      <c r="D510" s="2" t="s">
        <v>4948</v>
      </c>
      <c r="E510" s="2" t="s">
        <v>4949</v>
      </c>
      <c r="G510" s="3" t="s">
        <v>62</v>
      </c>
      <c r="I510" s="3" t="s">
        <v>62</v>
      </c>
      <c r="J510" s="3" t="s">
        <v>62</v>
      </c>
      <c r="K510" s="3" t="s">
        <v>63</v>
      </c>
      <c r="L510" s="2" t="s">
        <v>4950</v>
      </c>
      <c r="M510" s="2" t="s">
        <v>4951</v>
      </c>
      <c r="N510" s="3" t="s">
        <v>625</v>
      </c>
      <c r="P510" s="3" t="s">
        <v>65</v>
      </c>
      <c r="Q510" s="2" t="s">
        <v>4952</v>
      </c>
      <c r="R510" s="3" t="s">
        <v>66</v>
      </c>
      <c r="S510" s="4">
        <v>22</v>
      </c>
      <c r="T510" s="4">
        <v>22</v>
      </c>
      <c r="U510" s="5" t="s">
        <v>4953</v>
      </c>
      <c r="V510" s="5" t="s">
        <v>4953</v>
      </c>
      <c r="W510" s="5" t="s">
        <v>67</v>
      </c>
      <c r="X510" s="5" t="s">
        <v>67</v>
      </c>
      <c r="Y510" s="4">
        <v>700</v>
      </c>
      <c r="Z510" s="4">
        <v>41</v>
      </c>
      <c r="AA510" s="4">
        <v>46</v>
      </c>
      <c r="AB510" s="4">
        <v>2</v>
      </c>
      <c r="AC510" s="4">
        <v>7</v>
      </c>
      <c r="AD510" s="4">
        <v>130</v>
      </c>
      <c r="AE510" s="4">
        <v>135</v>
      </c>
      <c r="AF510" s="4">
        <v>1</v>
      </c>
      <c r="AG510" s="4">
        <v>6</v>
      </c>
      <c r="AH510" s="4">
        <v>106</v>
      </c>
      <c r="AI510" s="4">
        <v>107</v>
      </c>
      <c r="AJ510" s="4">
        <v>19</v>
      </c>
      <c r="AK510" s="4">
        <v>23</v>
      </c>
      <c r="AL510" s="4">
        <v>58</v>
      </c>
      <c r="AM510" s="4">
        <v>58</v>
      </c>
      <c r="AN510" s="4">
        <v>0</v>
      </c>
      <c r="AO510" s="4">
        <v>0</v>
      </c>
      <c r="AP510" s="4">
        <v>31</v>
      </c>
      <c r="AQ510" s="4">
        <v>35</v>
      </c>
      <c r="AR510" s="3" t="s">
        <v>62</v>
      </c>
      <c r="AS510" s="3" t="s">
        <v>62</v>
      </c>
      <c r="AT510" s="3" t="s">
        <v>61</v>
      </c>
      <c r="AU510" s="6" t="str">
        <f>HYPERLINK("http://catalog.hathitrust.org/Record/000632924","HathiTrust Record")</f>
        <v>HathiTrust Record</v>
      </c>
      <c r="AV510" s="6" t="str">
        <f>HYPERLINK("http://mcgill.on.worldcat.org/oclc/17005246","Catalog Record")</f>
        <v>Catalog Record</v>
      </c>
      <c r="AW510" s="6" t="str">
        <f>HYPERLINK("http://www.worldcat.org/oclc/17005246","WorldCat Record")</f>
        <v>WorldCat Record</v>
      </c>
      <c r="AX510" s="3" t="s">
        <v>4954</v>
      </c>
      <c r="AY510" s="3" t="s">
        <v>4955</v>
      </c>
      <c r="AZ510" s="3" t="s">
        <v>4956</v>
      </c>
      <c r="BA510" s="3" t="s">
        <v>4956</v>
      </c>
      <c r="BB510" s="3" t="s">
        <v>4957</v>
      </c>
      <c r="BC510" s="3" t="s">
        <v>142</v>
      </c>
      <c r="BD510" s="3" t="s">
        <v>68</v>
      </c>
      <c r="BE510" s="3" t="s">
        <v>4958</v>
      </c>
      <c r="BF510" s="3" t="s">
        <v>4957</v>
      </c>
      <c r="BG510" s="3" t="s">
        <v>4959</v>
      </c>
    </row>
    <row r="511" spans="1:59" ht="57" x14ac:dyDescent="0.45">
      <c r="A511" s="2" t="s">
        <v>59</v>
      </c>
      <c r="B511" s="2" t="s">
        <v>60</v>
      </c>
      <c r="C511" s="2" t="s">
        <v>4960</v>
      </c>
      <c r="D511" s="2" t="s">
        <v>4961</v>
      </c>
      <c r="E511" s="2" t="s">
        <v>4962</v>
      </c>
      <c r="G511" s="3" t="s">
        <v>62</v>
      </c>
      <c r="I511" s="3" t="s">
        <v>62</v>
      </c>
      <c r="J511" s="3" t="s">
        <v>62</v>
      </c>
      <c r="K511" s="3" t="s">
        <v>63</v>
      </c>
      <c r="L511" s="2" t="s">
        <v>4963</v>
      </c>
      <c r="M511" s="2" t="s">
        <v>4964</v>
      </c>
      <c r="N511" s="3" t="s">
        <v>1239</v>
      </c>
      <c r="P511" s="3" t="s">
        <v>65</v>
      </c>
      <c r="Q511" s="2" t="s">
        <v>4965</v>
      </c>
      <c r="R511" s="3" t="s">
        <v>66</v>
      </c>
      <c r="S511" s="4">
        <v>12</v>
      </c>
      <c r="T511" s="4">
        <v>12</v>
      </c>
      <c r="U511" s="5" t="s">
        <v>4966</v>
      </c>
      <c r="V511" s="5" t="s">
        <v>4966</v>
      </c>
      <c r="W511" s="5" t="s">
        <v>67</v>
      </c>
      <c r="X511" s="5" t="s">
        <v>67</v>
      </c>
      <c r="Y511" s="4">
        <v>184</v>
      </c>
      <c r="Z511" s="4">
        <v>13</v>
      </c>
      <c r="AA511" s="4">
        <v>80</v>
      </c>
      <c r="AB511" s="4">
        <v>2</v>
      </c>
      <c r="AC511" s="4">
        <v>14</v>
      </c>
      <c r="AD511" s="4">
        <v>78</v>
      </c>
      <c r="AE511" s="4">
        <v>128</v>
      </c>
      <c r="AF511" s="4">
        <v>1</v>
      </c>
      <c r="AG511" s="4">
        <v>8</v>
      </c>
      <c r="AH511" s="4">
        <v>71</v>
      </c>
      <c r="AI511" s="4">
        <v>93</v>
      </c>
      <c r="AJ511" s="4">
        <v>10</v>
      </c>
      <c r="AK511" s="4">
        <v>22</v>
      </c>
      <c r="AL511" s="4">
        <v>44</v>
      </c>
      <c r="AM511" s="4">
        <v>51</v>
      </c>
      <c r="AN511" s="4">
        <v>0</v>
      </c>
      <c r="AO511" s="4">
        <v>0</v>
      </c>
      <c r="AP511" s="4">
        <v>11</v>
      </c>
      <c r="AQ511" s="4">
        <v>43</v>
      </c>
      <c r="AR511" s="3" t="s">
        <v>62</v>
      </c>
      <c r="AS511" s="3" t="s">
        <v>62</v>
      </c>
      <c r="AT511" s="3" t="s">
        <v>61</v>
      </c>
      <c r="AU511" s="6" t="str">
        <f>HYPERLINK("http://catalog.hathitrust.org/Record/007107267","HathiTrust Record")</f>
        <v>HathiTrust Record</v>
      </c>
      <c r="AV511" s="6" t="str">
        <f>HYPERLINK("http://mcgill.on.worldcat.org/oclc/19125791","Catalog Record")</f>
        <v>Catalog Record</v>
      </c>
      <c r="AW511" s="6" t="str">
        <f>HYPERLINK("http://www.worldcat.org/oclc/19125791","WorldCat Record")</f>
        <v>WorldCat Record</v>
      </c>
      <c r="AX511" s="3" t="s">
        <v>4967</v>
      </c>
      <c r="AY511" s="3" t="s">
        <v>4968</v>
      </c>
      <c r="AZ511" s="3" t="s">
        <v>4969</v>
      </c>
      <c r="BA511" s="3" t="s">
        <v>4969</v>
      </c>
      <c r="BB511" s="3" t="s">
        <v>4970</v>
      </c>
      <c r="BC511" s="3" t="s">
        <v>142</v>
      </c>
      <c r="BD511" s="3" t="s">
        <v>68</v>
      </c>
      <c r="BE511" s="3" t="s">
        <v>4971</v>
      </c>
      <c r="BF511" s="3" t="s">
        <v>4970</v>
      </c>
      <c r="BG511" s="3" t="s">
        <v>4972</v>
      </c>
    </row>
    <row r="512" spans="1:59" ht="57" x14ac:dyDescent="0.45">
      <c r="A512" s="2" t="s">
        <v>59</v>
      </c>
      <c r="B512" s="2" t="s">
        <v>60</v>
      </c>
      <c r="C512" s="2" t="s">
        <v>4973</v>
      </c>
      <c r="D512" s="2" t="s">
        <v>4974</v>
      </c>
      <c r="E512" s="2" t="s">
        <v>4975</v>
      </c>
      <c r="G512" s="3" t="s">
        <v>62</v>
      </c>
      <c r="I512" s="3" t="s">
        <v>62</v>
      </c>
      <c r="J512" s="3" t="s">
        <v>62</v>
      </c>
      <c r="K512" s="3" t="s">
        <v>63</v>
      </c>
      <c r="M512" s="2" t="s">
        <v>4976</v>
      </c>
      <c r="N512" s="3" t="s">
        <v>542</v>
      </c>
      <c r="P512" s="3" t="s">
        <v>65</v>
      </c>
      <c r="Q512" s="2" t="s">
        <v>4977</v>
      </c>
      <c r="R512" s="3" t="s">
        <v>66</v>
      </c>
      <c r="S512" s="4">
        <v>66</v>
      </c>
      <c r="T512" s="4">
        <v>66</v>
      </c>
      <c r="U512" s="5" t="s">
        <v>4978</v>
      </c>
      <c r="V512" s="5" t="s">
        <v>4978</v>
      </c>
      <c r="W512" s="5" t="s">
        <v>67</v>
      </c>
      <c r="X512" s="5" t="s">
        <v>67</v>
      </c>
      <c r="Y512" s="4">
        <v>323</v>
      </c>
      <c r="Z512" s="4">
        <v>32</v>
      </c>
      <c r="AA512" s="4">
        <v>114</v>
      </c>
      <c r="AB512" s="4">
        <v>2</v>
      </c>
      <c r="AC512" s="4">
        <v>18</v>
      </c>
      <c r="AD512" s="4">
        <v>97</v>
      </c>
      <c r="AE512" s="4">
        <v>143</v>
      </c>
      <c r="AF512" s="4">
        <v>0</v>
      </c>
      <c r="AG512" s="4">
        <v>8</v>
      </c>
      <c r="AH512" s="4">
        <v>81</v>
      </c>
      <c r="AI512" s="4">
        <v>103</v>
      </c>
      <c r="AJ512" s="4">
        <v>18</v>
      </c>
      <c r="AK512" s="4">
        <v>27</v>
      </c>
      <c r="AL512" s="4">
        <v>48</v>
      </c>
      <c r="AM512" s="4">
        <v>55</v>
      </c>
      <c r="AN512" s="4">
        <v>0</v>
      </c>
      <c r="AO512" s="4">
        <v>0</v>
      </c>
      <c r="AP512" s="4">
        <v>24</v>
      </c>
      <c r="AQ512" s="4">
        <v>49</v>
      </c>
      <c r="AR512" s="3" t="s">
        <v>62</v>
      </c>
      <c r="AS512" s="3" t="s">
        <v>62</v>
      </c>
      <c r="AT512" s="3" t="s">
        <v>61</v>
      </c>
      <c r="AU512" s="6" t="str">
        <f>HYPERLINK("http://catalog.hathitrust.org/Record/004180852","HathiTrust Record")</f>
        <v>HathiTrust Record</v>
      </c>
      <c r="AV512" s="6" t="str">
        <f>HYPERLINK("http://mcgill.on.worldcat.org/oclc/43526784","Catalog Record")</f>
        <v>Catalog Record</v>
      </c>
      <c r="AW512" s="6" t="str">
        <f>HYPERLINK("http://www.worldcat.org/oclc/43526784","WorldCat Record")</f>
        <v>WorldCat Record</v>
      </c>
      <c r="AX512" s="3" t="s">
        <v>4979</v>
      </c>
      <c r="AY512" s="3" t="s">
        <v>4980</v>
      </c>
      <c r="AZ512" s="3" t="s">
        <v>4981</v>
      </c>
      <c r="BA512" s="3" t="s">
        <v>4981</v>
      </c>
      <c r="BB512" s="3" t="s">
        <v>4982</v>
      </c>
      <c r="BC512" s="3" t="s">
        <v>142</v>
      </c>
      <c r="BD512" s="3" t="s">
        <v>68</v>
      </c>
      <c r="BE512" s="3" t="s">
        <v>4983</v>
      </c>
      <c r="BF512" s="3" t="s">
        <v>4982</v>
      </c>
      <c r="BG512" s="3" t="s">
        <v>4984</v>
      </c>
    </row>
    <row r="513" spans="1:59" ht="57" x14ac:dyDescent="0.45">
      <c r="A513" s="2" t="s">
        <v>59</v>
      </c>
      <c r="B513" s="2" t="s">
        <v>60</v>
      </c>
      <c r="C513" s="2" t="s">
        <v>4985</v>
      </c>
      <c r="D513" s="2" t="s">
        <v>4986</v>
      </c>
      <c r="E513" s="2" t="s">
        <v>4987</v>
      </c>
      <c r="G513" s="3" t="s">
        <v>62</v>
      </c>
      <c r="I513" s="3" t="s">
        <v>62</v>
      </c>
      <c r="J513" s="3" t="s">
        <v>62</v>
      </c>
      <c r="K513" s="3" t="s">
        <v>63</v>
      </c>
      <c r="M513" s="2" t="s">
        <v>4988</v>
      </c>
      <c r="N513" s="3" t="s">
        <v>1437</v>
      </c>
      <c r="P513" s="3" t="s">
        <v>65</v>
      </c>
      <c r="R513" s="3" t="s">
        <v>66</v>
      </c>
      <c r="S513" s="4">
        <v>42</v>
      </c>
      <c r="T513" s="4">
        <v>42</v>
      </c>
      <c r="U513" s="5" t="s">
        <v>3388</v>
      </c>
      <c r="V513" s="5" t="s">
        <v>3388</v>
      </c>
      <c r="W513" s="5" t="s">
        <v>67</v>
      </c>
      <c r="X513" s="5" t="s">
        <v>67</v>
      </c>
      <c r="Y513" s="4">
        <v>451</v>
      </c>
      <c r="Z513" s="4">
        <v>31</v>
      </c>
      <c r="AA513" s="4">
        <v>38</v>
      </c>
      <c r="AB513" s="4">
        <v>2</v>
      </c>
      <c r="AC513" s="4">
        <v>7</v>
      </c>
      <c r="AD513" s="4">
        <v>115</v>
      </c>
      <c r="AE513" s="4">
        <v>122</v>
      </c>
      <c r="AF513" s="4">
        <v>1</v>
      </c>
      <c r="AG513" s="4">
        <v>4</v>
      </c>
      <c r="AH513" s="4">
        <v>96</v>
      </c>
      <c r="AI513" s="4">
        <v>100</v>
      </c>
      <c r="AJ513" s="4">
        <v>16</v>
      </c>
      <c r="AK513" s="4">
        <v>21</v>
      </c>
      <c r="AL513" s="4">
        <v>54</v>
      </c>
      <c r="AM513" s="4">
        <v>55</v>
      </c>
      <c r="AN513" s="4">
        <v>0</v>
      </c>
      <c r="AO513" s="4">
        <v>0</v>
      </c>
      <c r="AP513" s="4">
        <v>26</v>
      </c>
      <c r="AQ513" s="4">
        <v>30</v>
      </c>
      <c r="AR513" s="3" t="s">
        <v>62</v>
      </c>
      <c r="AS513" s="3" t="s">
        <v>62</v>
      </c>
      <c r="AT513" s="3" t="s">
        <v>61</v>
      </c>
      <c r="AU513" s="6" t="str">
        <f>HYPERLINK("http://catalog.hathitrust.org/Record/003972558","HathiTrust Record")</f>
        <v>HathiTrust Record</v>
      </c>
      <c r="AV513" s="6" t="str">
        <f>HYPERLINK("http://mcgill.on.worldcat.org/oclc/36103897","Catalog Record")</f>
        <v>Catalog Record</v>
      </c>
      <c r="AW513" s="6" t="str">
        <f>HYPERLINK("http://www.worldcat.org/oclc/36103897","WorldCat Record")</f>
        <v>WorldCat Record</v>
      </c>
      <c r="AX513" s="3" t="s">
        <v>4989</v>
      </c>
      <c r="AY513" s="3" t="s">
        <v>4990</v>
      </c>
      <c r="AZ513" s="3" t="s">
        <v>4991</v>
      </c>
      <c r="BA513" s="3" t="s">
        <v>4991</v>
      </c>
      <c r="BB513" s="3" t="s">
        <v>4992</v>
      </c>
      <c r="BC513" s="3" t="s">
        <v>142</v>
      </c>
      <c r="BD513" s="3" t="s">
        <v>68</v>
      </c>
      <c r="BE513" s="3" t="s">
        <v>4993</v>
      </c>
      <c r="BF513" s="3" t="s">
        <v>4992</v>
      </c>
      <c r="BG513" s="3" t="s">
        <v>4994</v>
      </c>
    </row>
    <row r="514" spans="1:59" ht="57" x14ac:dyDescent="0.45">
      <c r="A514" s="2" t="s">
        <v>59</v>
      </c>
      <c r="B514" s="2" t="s">
        <v>60</v>
      </c>
      <c r="C514" s="2" t="s">
        <v>4995</v>
      </c>
      <c r="D514" s="2" t="s">
        <v>4996</v>
      </c>
      <c r="E514" s="2" t="s">
        <v>4997</v>
      </c>
      <c r="G514" s="3" t="s">
        <v>62</v>
      </c>
      <c r="I514" s="3" t="s">
        <v>62</v>
      </c>
      <c r="J514" s="3" t="s">
        <v>62</v>
      </c>
      <c r="K514" s="3" t="s">
        <v>63</v>
      </c>
      <c r="M514" s="2" t="s">
        <v>4998</v>
      </c>
      <c r="N514" s="3" t="s">
        <v>807</v>
      </c>
      <c r="P514" s="3" t="s">
        <v>65</v>
      </c>
      <c r="R514" s="3" t="s">
        <v>66</v>
      </c>
      <c r="S514" s="4">
        <v>44</v>
      </c>
      <c r="T514" s="4">
        <v>44</v>
      </c>
      <c r="U514" s="5" t="s">
        <v>4999</v>
      </c>
      <c r="V514" s="5" t="s">
        <v>4999</v>
      </c>
      <c r="W514" s="5" t="s">
        <v>67</v>
      </c>
      <c r="X514" s="5" t="s">
        <v>67</v>
      </c>
      <c r="Y514" s="4">
        <v>447</v>
      </c>
      <c r="Z514" s="4">
        <v>32</v>
      </c>
      <c r="AA514" s="4">
        <v>37</v>
      </c>
      <c r="AB514" s="4">
        <v>2</v>
      </c>
      <c r="AC514" s="4">
        <v>7</v>
      </c>
      <c r="AD514" s="4">
        <v>118</v>
      </c>
      <c r="AE514" s="4">
        <v>121</v>
      </c>
      <c r="AF514" s="4">
        <v>1</v>
      </c>
      <c r="AG514" s="4">
        <v>4</v>
      </c>
      <c r="AH514" s="4">
        <v>101</v>
      </c>
      <c r="AI514" s="4">
        <v>102</v>
      </c>
      <c r="AJ514" s="4">
        <v>19</v>
      </c>
      <c r="AK514" s="4">
        <v>22</v>
      </c>
      <c r="AL514" s="4">
        <v>55</v>
      </c>
      <c r="AM514" s="4">
        <v>55</v>
      </c>
      <c r="AN514" s="4">
        <v>0</v>
      </c>
      <c r="AO514" s="4">
        <v>0</v>
      </c>
      <c r="AP514" s="4">
        <v>26</v>
      </c>
      <c r="AQ514" s="4">
        <v>28</v>
      </c>
      <c r="AR514" s="3" t="s">
        <v>62</v>
      </c>
      <c r="AS514" s="3" t="s">
        <v>62</v>
      </c>
      <c r="AT514" s="3" t="s">
        <v>61</v>
      </c>
      <c r="AU514" s="6" t="str">
        <f>HYPERLINK("http://catalog.hathitrust.org/Record/002487402","HathiTrust Record")</f>
        <v>HathiTrust Record</v>
      </c>
      <c r="AV514" s="6" t="str">
        <f>HYPERLINK("http://mcgill.on.worldcat.org/oclc/21446204","Catalog Record")</f>
        <v>Catalog Record</v>
      </c>
      <c r="AW514" s="6" t="str">
        <f>HYPERLINK("http://www.worldcat.org/oclc/21446204","WorldCat Record")</f>
        <v>WorldCat Record</v>
      </c>
      <c r="AX514" s="3" t="s">
        <v>5000</v>
      </c>
      <c r="AY514" s="3" t="s">
        <v>5001</v>
      </c>
      <c r="AZ514" s="3" t="s">
        <v>5002</v>
      </c>
      <c r="BA514" s="3" t="s">
        <v>5002</v>
      </c>
      <c r="BB514" s="3" t="s">
        <v>5003</v>
      </c>
      <c r="BC514" s="3" t="s">
        <v>142</v>
      </c>
      <c r="BD514" s="3" t="s">
        <v>68</v>
      </c>
      <c r="BE514" s="3" t="s">
        <v>5004</v>
      </c>
      <c r="BF514" s="3" t="s">
        <v>5003</v>
      </c>
      <c r="BG514" s="3" t="s">
        <v>5005</v>
      </c>
    </row>
    <row r="515" spans="1:59" ht="57" x14ac:dyDescent="0.45">
      <c r="A515" s="2" t="s">
        <v>59</v>
      </c>
      <c r="B515" s="2" t="s">
        <v>60</v>
      </c>
      <c r="C515" s="2" t="s">
        <v>5006</v>
      </c>
      <c r="D515" s="2" t="s">
        <v>5007</v>
      </c>
      <c r="E515" s="2" t="s">
        <v>5008</v>
      </c>
      <c r="G515" s="3" t="s">
        <v>62</v>
      </c>
      <c r="I515" s="3" t="s">
        <v>61</v>
      </c>
      <c r="J515" s="3" t="s">
        <v>62</v>
      </c>
      <c r="K515" s="3" t="s">
        <v>63</v>
      </c>
      <c r="L515" s="2" t="s">
        <v>5009</v>
      </c>
      <c r="M515" s="2" t="s">
        <v>5010</v>
      </c>
      <c r="N515" s="3" t="s">
        <v>1855</v>
      </c>
      <c r="P515" s="3" t="s">
        <v>65</v>
      </c>
      <c r="R515" s="3" t="s">
        <v>66</v>
      </c>
      <c r="S515" s="4">
        <v>10</v>
      </c>
      <c r="T515" s="4">
        <v>18</v>
      </c>
      <c r="U515" s="5" t="s">
        <v>5011</v>
      </c>
      <c r="V515" s="5" t="s">
        <v>5011</v>
      </c>
      <c r="W515" s="5" t="s">
        <v>67</v>
      </c>
      <c r="X515" s="5" t="s">
        <v>67</v>
      </c>
      <c r="Y515" s="4">
        <v>474</v>
      </c>
      <c r="Z515" s="4">
        <v>30</v>
      </c>
      <c r="AA515" s="4">
        <v>34</v>
      </c>
      <c r="AB515" s="4">
        <v>1</v>
      </c>
      <c r="AC515" s="4">
        <v>3</v>
      </c>
      <c r="AD515" s="4">
        <v>110</v>
      </c>
      <c r="AE515" s="4">
        <v>115</v>
      </c>
      <c r="AF515" s="4">
        <v>0</v>
      </c>
      <c r="AG515" s="4">
        <v>2</v>
      </c>
      <c r="AH515" s="4">
        <v>97</v>
      </c>
      <c r="AI515" s="4">
        <v>100</v>
      </c>
      <c r="AJ515" s="4">
        <v>14</v>
      </c>
      <c r="AK515" s="4">
        <v>18</v>
      </c>
      <c r="AL515" s="4">
        <v>52</v>
      </c>
      <c r="AM515" s="4">
        <v>53</v>
      </c>
      <c r="AN515" s="4">
        <v>0</v>
      </c>
      <c r="AO515" s="4">
        <v>0</v>
      </c>
      <c r="AP515" s="4">
        <v>19</v>
      </c>
      <c r="AQ515" s="4">
        <v>22</v>
      </c>
      <c r="AR515" s="3" t="s">
        <v>62</v>
      </c>
      <c r="AS515" s="3" t="s">
        <v>62</v>
      </c>
      <c r="AT515" s="3" t="s">
        <v>61</v>
      </c>
      <c r="AU515" s="6" t="str">
        <f>HYPERLINK("http://catalog.hathitrust.org/Record/004963102","HathiTrust Record")</f>
        <v>HathiTrust Record</v>
      </c>
      <c r="AV515" s="6" t="str">
        <f>HYPERLINK("http://mcgill.on.worldcat.org/oclc/55587746","Catalog Record")</f>
        <v>Catalog Record</v>
      </c>
      <c r="AW515" s="6" t="str">
        <f>HYPERLINK("http://www.worldcat.org/oclc/55587746","WorldCat Record")</f>
        <v>WorldCat Record</v>
      </c>
      <c r="AX515" s="3" t="s">
        <v>5012</v>
      </c>
      <c r="AY515" s="3" t="s">
        <v>5013</v>
      </c>
      <c r="AZ515" s="3" t="s">
        <v>5014</v>
      </c>
      <c r="BA515" s="3" t="s">
        <v>5014</v>
      </c>
      <c r="BB515" s="3" t="s">
        <v>5015</v>
      </c>
      <c r="BC515" s="3" t="s">
        <v>142</v>
      </c>
      <c r="BD515" s="3" t="s">
        <v>68</v>
      </c>
      <c r="BE515" s="3" t="s">
        <v>5016</v>
      </c>
      <c r="BF515" s="3" t="s">
        <v>5015</v>
      </c>
      <c r="BG515" s="3" t="s">
        <v>5017</v>
      </c>
    </row>
    <row r="516" spans="1:59" ht="57" x14ac:dyDescent="0.45">
      <c r="A516" s="2" t="s">
        <v>59</v>
      </c>
      <c r="B516" s="2" t="s">
        <v>60</v>
      </c>
      <c r="C516" s="2" t="s">
        <v>5006</v>
      </c>
      <c r="D516" s="2" t="s">
        <v>5007</v>
      </c>
      <c r="E516" s="2" t="s">
        <v>5008</v>
      </c>
      <c r="G516" s="3" t="s">
        <v>62</v>
      </c>
      <c r="I516" s="3" t="s">
        <v>61</v>
      </c>
      <c r="J516" s="3" t="s">
        <v>62</v>
      </c>
      <c r="K516" s="3" t="s">
        <v>63</v>
      </c>
      <c r="L516" s="2" t="s">
        <v>5009</v>
      </c>
      <c r="M516" s="2" t="s">
        <v>5010</v>
      </c>
      <c r="N516" s="3" t="s">
        <v>1855</v>
      </c>
      <c r="P516" s="3" t="s">
        <v>65</v>
      </c>
      <c r="R516" s="3" t="s">
        <v>66</v>
      </c>
      <c r="S516" s="4">
        <v>8</v>
      </c>
      <c r="T516" s="4">
        <v>18</v>
      </c>
      <c r="U516" s="5" t="s">
        <v>5018</v>
      </c>
      <c r="V516" s="5" t="s">
        <v>5011</v>
      </c>
      <c r="W516" s="5" t="s">
        <v>67</v>
      </c>
      <c r="X516" s="5" t="s">
        <v>67</v>
      </c>
      <c r="Y516" s="4">
        <v>474</v>
      </c>
      <c r="Z516" s="4">
        <v>30</v>
      </c>
      <c r="AA516" s="4">
        <v>34</v>
      </c>
      <c r="AB516" s="4">
        <v>1</v>
      </c>
      <c r="AC516" s="4">
        <v>3</v>
      </c>
      <c r="AD516" s="4">
        <v>110</v>
      </c>
      <c r="AE516" s="4">
        <v>115</v>
      </c>
      <c r="AF516" s="4">
        <v>0</v>
      </c>
      <c r="AG516" s="4">
        <v>2</v>
      </c>
      <c r="AH516" s="4">
        <v>97</v>
      </c>
      <c r="AI516" s="4">
        <v>100</v>
      </c>
      <c r="AJ516" s="4">
        <v>14</v>
      </c>
      <c r="AK516" s="4">
        <v>18</v>
      </c>
      <c r="AL516" s="4">
        <v>52</v>
      </c>
      <c r="AM516" s="4">
        <v>53</v>
      </c>
      <c r="AN516" s="4">
        <v>0</v>
      </c>
      <c r="AO516" s="4">
        <v>0</v>
      </c>
      <c r="AP516" s="4">
        <v>19</v>
      </c>
      <c r="AQ516" s="4">
        <v>22</v>
      </c>
      <c r="AR516" s="3" t="s">
        <v>62</v>
      </c>
      <c r="AS516" s="3" t="s">
        <v>62</v>
      </c>
      <c r="AT516" s="3" t="s">
        <v>61</v>
      </c>
      <c r="AU516" s="6" t="str">
        <f>HYPERLINK("http://catalog.hathitrust.org/Record/004963102","HathiTrust Record")</f>
        <v>HathiTrust Record</v>
      </c>
      <c r="AV516" s="6" t="str">
        <f>HYPERLINK("http://mcgill.on.worldcat.org/oclc/55587746","Catalog Record")</f>
        <v>Catalog Record</v>
      </c>
      <c r="AW516" s="6" t="str">
        <f>HYPERLINK("http://www.worldcat.org/oclc/55587746","WorldCat Record")</f>
        <v>WorldCat Record</v>
      </c>
      <c r="AX516" s="3" t="s">
        <v>5012</v>
      </c>
      <c r="AY516" s="3" t="s">
        <v>5013</v>
      </c>
      <c r="AZ516" s="3" t="s">
        <v>5014</v>
      </c>
      <c r="BA516" s="3" t="s">
        <v>5014</v>
      </c>
      <c r="BB516" s="3" t="s">
        <v>5019</v>
      </c>
      <c r="BC516" s="3" t="s">
        <v>142</v>
      </c>
      <c r="BD516" s="3" t="s">
        <v>68</v>
      </c>
      <c r="BE516" s="3" t="s">
        <v>5016</v>
      </c>
      <c r="BF516" s="3" t="s">
        <v>5019</v>
      </c>
      <c r="BG516" s="3" t="s">
        <v>5020</v>
      </c>
    </row>
    <row r="517" spans="1:59" ht="57" x14ac:dyDescent="0.45">
      <c r="A517" s="2" t="s">
        <v>59</v>
      </c>
      <c r="B517" s="2" t="s">
        <v>60</v>
      </c>
      <c r="C517" s="2" t="s">
        <v>5021</v>
      </c>
      <c r="D517" s="2" t="s">
        <v>5022</v>
      </c>
      <c r="E517" s="2" t="s">
        <v>5023</v>
      </c>
      <c r="G517" s="3" t="s">
        <v>62</v>
      </c>
      <c r="I517" s="3" t="s">
        <v>62</v>
      </c>
      <c r="J517" s="3" t="s">
        <v>62</v>
      </c>
      <c r="K517" s="3" t="s">
        <v>63</v>
      </c>
      <c r="L517" s="2" t="s">
        <v>5024</v>
      </c>
      <c r="M517" s="2" t="s">
        <v>5025</v>
      </c>
      <c r="N517" s="3" t="s">
        <v>167</v>
      </c>
      <c r="P517" s="3" t="s">
        <v>65</v>
      </c>
      <c r="R517" s="3" t="s">
        <v>66</v>
      </c>
      <c r="S517" s="4">
        <v>38</v>
      </c>
      <c r="T517" s="4">
        <v>38</v>
      </c>
      <c r="U517" s="5" t="s">
        <v>5026</v>
      </c>
      <c r="V517" s="5" t="s">
        <v>5026</v>
      </c>
      <c r="W517" s="5" t="s">
        <v>67</v>
      </c>
      <c r="X517" s="5" t="s">
        <v>67</v>
      </c>
      <c r="Y517" s="4">
        <v>246</v>
      </c>
      <c r="Z517" s="4">
        <v>14</v>
      </c>
      <c r="AA517" s="4">
        <v>25</v>
      </c>
      <c r="AB517" s="4">
        <v>1</v>
      </c>
      <c r="AC517" s="4">
        <v>10</v>
      </c>
      <c r="AD517" s="4">
        <v>95</v>
      </c>
      <c r="AE517" s="4">
        <v>110</v>
      </c>
      <c r="AF517" s="4">
        <v>0</v>
      </c>
      <c r="AG517" s="4">
        <v>5</v>
      </c>
      <c r="AH517" s="4">
        <v>89</v>
      </c>
      <c r="AI517" s="4">
        <v>100</v>
      </c>
      <c r="AJ517" s="4">
        <v>11</v>
      </c>
      <c r="AK517" s="4">
        <v>15</v>
      </c>
      <c r="AL517" s="4">
        <v>50</v>
      </c>
      <c r="AM517" s="4">
        <v>53</v>
      </c>
      <c r="AN517" s="4">
        <v>0</v>
      </c>
      <c r="AO517" s="4">
        <v>0</v>
      </c>
      <c r="AP517" s="4">
        <v>11</v>
      </c>
      <c r="AQ517" s="4">
        <v>15</v>
      </c>
      <c r="AR517" s="3" t="s">
        <v>62</v>
      </c>
      <c r="AS517" s="3" t="s">
        <v>62</v>
      </c>
      <c r="AT517" s="3" t="s">
        <v>61</v>
      </c>
      <c r="AU517" s="6" t="str">
        <f>HYPERLINK("http://catalog.hathitrust.org/Record/004033892","HathiTrust Record")</f>
        <v>HathiTrust Record</v>
      </c>
      <c r="AV517" s="6" t="str">
        <f>HYPERLINK("http://mcgill.on.worldcat.org/oclc/40660217","Catalog Record")</f>
        <v>Catalog Record</v>
      </c>
      <c r="AW517" s="6" t="str">
        <f>HYPERLINK("http://www.worldcat.org/oclc/40660217","WorldCat Record")</f>
        <v>WorldCat Record</v>
      </c>
      <c r="AX517" s="3" t="s">
        <v>5027</v>
      </c>
      <c r="AY517" s="3" t="s">
        <v>5028</v>
      </c>
      <c r="AZ517" s="3" t="s">
        <v>5029</v>
      </c>
      <c r="BA517" s="3" t="s">
        <v>5029</v>
      </c>
      <c r="BB517" s="3" t="s">
        <v>5030</v>
      </c>
      <c r="BC517" s="3" t="s">
        <v>142</v>
      </c>
      <c r="BD517" s="3" t="s">
        <v>68</v>
      </c>
      <c r="BE517" s="3" t="s">
        <v>5031</v>
      </c>
      <c r="BF517" s="3" t="s">
        <v>5030</v>
      </c>
      <c r="BG517" s="3" t="s">
        <v>5032</v>
      </c>
    </row>
    <row r="518" spans="1:59" ht="57" x14ac:dyDescent="0.45">
      <c r="A518" s="2" t="s">
        <v>59</v>
      </c>
      <c r="B518" s="2" t="s">
        <v>60</v>
      </c>
      <c r="C518" s="2" t="s">
        <v>5033</v>
      </c>
      <c r="D518" s="2" t="s">
        <v>5034</v>
      </c>
      <c r="E518" s="2" t="s">
        <v>5035</v>
      </c>
      <c r="G518" s="3" t="s">
        <v>62</v>
      </c>
      <c r="I518" s="3" t="s">
        <v>62</v>
      </c>
      <c r="J518" s="3" t="s">
        <v>62</v>
      </c>
      <c r="K518" s="3" t="s">
        <v>63</v>
      </c>
      <c r="M518" s="2" t="s">
        <v>2786</v>
      </c>
      <c r="N518" s="3" t="s">
        <v>945</v>
      </c>
      <c r="P518" s="3" t="s">
        <v>65</v>
      </c>
      <c r="Q518" s="2" t="s">
        <v>5036</v>
      </c>
      <c r="R518" s="3" t="s">
        <v>66</v>
      </c>
      <c r="S518" s="4">
        <v>13</v>
      </c>
      <c r="T518" s="4">
        <v>13</v>
      </c>
      <c r="U518" s="5" t="s">
        <v>4940</v>
      </c>
      <c r="V518" s="5" t="s">
        <v>4940</v>
      </c>
      <c r="W518" s="5" t="s">
        <v>67</v>
      </c>
      <c r="X518" s="5" t="s">
        <v>67</v>
      </c>
      <c r="Y518" s="4">
        <v>136</v>
      </c>
      <c r="Z518" s="4">
        <v>18</v>
      </c>
      <c r="AA518" s="4">
        <v>101</v>
      </c>
      <c r="AB518" s="4">
        <v>1</v>
      </c>
      <c r="AC518" s="4">
        <v>17</v>
      </c>
      <c r="AD518" s="4">
        <v>57</v>
      </c>
      <c r="AE518" s="4">
        <v>121</v>
      </c>
      <c r="AF518" s="4">
        <v>0</v>
      </c>
      <c r="AG518" s="4">
        <v>8</v>
      </c>
      <c r="AH518" s="4">
        <v>48</v>
      </c>
      <c r="AI518" s="4">
        <v>83</v>
      </c>
      <c r="AJ518" s="4">
        <v>15</v>
      </c>
      <c r="AK518" s="4">
        <v>25</v>
      </c>
      <c r="AL518" s="4">
        <v>31</v>
      </c>
      <c r="AM518" s="4">
        <v>44</v>
      </c>
      <c r="AN518" s="4">
        <v>0</v>
      </c>
      <c r="AO518" s="4">
        <v>0</v>
      </c>
      <c r="AP518" s="4">
        <v>16</v>
      </c>
      <c r="AQ518" s="4">
        <v>47</v>
      </c>
      <c r="AR518" s="3" t="s">
        <v>62</v>
      </c>
      <c r="AS518" s="3" t="s">
        <v>62</v>
      </c>
      <c r="AT518" s="3" t="s">
        <v>62</v>
      </c>
      <c r="AV518" s="6" t="str">
        <f>HYPERLINK("http://mcgill.on.worldcat.org/oclc/138341636","Catalog Record")</f>
        <v>Catalog Record</v>
      </c>
      <c r="AW518" s="6" t="str">
        <f>HYPERLINK("http://www.worldcat.org/oclc/138341636","WorldCat Record")</f>
        <v>WorldCat Record</v>
      </c>
      <c r="AX518" s="3" t="s">
        <v>5037</v>
      </c>
      <c r="AY518" s="3" t="s">
        <v>5038</v>
      </c>
      <c r="AZ518" s="3" t="s">
        <v>5039</v>
      </c>
      <c r="BA518" s="3" t="s">
        <v>5039</v>
      </c>
      <c r="BB518" s="3" t="s">
        <v>5040</v>
      </c>
      <c r="BC518" s="3" t="s">
        <v>142</v>
      </c>
      <c r="BD518" s="3" t="s">
        <v>68</v>
      </c>
      <c r="BE518" s="3" t="s">
        <v>5041</v>
      </c>
      <c r="BF518" s="3" t="s">
        <v>5040</v>
      </c>
      <c r="BG518" s="3" t="s">
        <v>5042</v>
      </c>
    </row>
    <row r="519" spans="1:59" ht="57" x14ac:dyDescent="0.45">
      <c r="A519" s="2" t="s">
        <v>59</v>
      </c>
      <c r="B519" s="2" t="s">
        <v>60</v>
      </c>
      <c r="C519" s="2" t="s">
        <v>5043</v>
      </c>
      <c r="D519" s="2" t="s">
        <v>5044</v>
      </c>
      <c r="E519" s="2" t="s">
        <v>5045</v>
      </c>
      <c r="G519" s="3" t="s">
        <v>62</v>
      </c>
      <c r="I519" s="3" t="s">
        <v>62</v>
      </c>
      <c r="J519" s="3" t="s">
        <v>62</v>
      </c>
      <c r="K519" s="3" t="s">
        <v>63</v>
      </c>
      <c r="L519" s="2" t="s">
        <v>5046</v>
      </c>
      <c r="M519" s="2" t="s">
        <v>3398</v>
      </c>
      <c r="N519" s="3" t="s">
        <v>894</v>
      </c>
      <c r="P519" s="3" t="s">
        <v>65</v>
      </c>
      <c r="Q519" s="2" t="s">
        <v>1267</v>
      </c>
      <c r="R519" s="3" t="s">
        <v>66</v>
      </c>
      <c r="S519" s="4">
        <v>6</v>
      </c>
      <c r="T519" s="4">
        <v>6</v>
      </c>
      <c r="U519" s="5" t="s">
        <v>4999</v>
      </c>
      <c r="V519" s="5" t="s">
        <v>4999</v>
      </c>
      <c r="W519" s="5" t="s">
        <v>67</v>
      </c>
      <c r="X519" s="5" t="s">
        <v>67</v>
      </c>
      <c r="Y519" s="4">
        <v>128</v>
      </c>
      <c r="Z519" s="4">
        <v>19</v>
      </c>
      <c r="AA519" s="4">
        <v>82</v>
      </c>
      <c r="AB519" s="4">
        <v>2</v>
      </c>
      <c r="AC519" s="4">
        <v>14</v>
      </c>
      <c r="AD519" s="4">
        <v>52</v>
      </c>
      <c r="AE519" s="4">
        <v>118</v>
      </c>
      <c r="AF519" s="4">
        <v>1</v>
      </c>
      <c r="AG519" s="4">
        <v>8</v>
      </c>
      <c r="AH519" s="4">
        <v>45</v>
      </c>
      <c r="AI519" s="4">
        <v>84</v>
      </c>
      <c r="AJ519" s="4">
        <v>13</v>
      </c>
      <c r="AK519" s="4">
        <v>23</v>
      </c>
      <c r="AL519" s="4">
        <v>25</v>
      </c>
      <c r="AM519" s="4">
        <v>43</v>
      </c>
      <c r="AN519" s="4">
        <v>0</v>
      </c>
      <c r="AO519" s="4">
        <v>0</v>
      </c>
      <c r="AP519" s="4">
        <v>14</v>
      </c>
      <c r="AQ519" s="4">
        <v>42</v>
      </c>
      <c r="AR519" s="3" t="s">
        <v>62</v>
      </c>
      <c r="AS519" s="3" t="s">
        <v>62</v>
      </c>
      <c r="AT519" s="3" t="s">
        <v>62</v>
      </c>
      <c r="AV519" s="6" t="str">
        <f>HYPERLINK("http://mcgill.on.worldcat.org/oclc/689858584","Catalog Record")</f>
        <v>Catalog Record</v>
      </c>
      <c r="AW519" s="6" t="str">
        <f>HYPERLINK("http://www.worldcat.org/oclc/689858584","WorldCat Record")</f>
        <v>WorldCat Record</v>
      </c>
      <c r="AX519" s="3" t="s">
        <v>5047</v>
      </c>
      <c r="AY519" s="3" t="s">
        <v>5048</v>
      </c>
      <c r="AZ519" s="3" t="s">
        <v>5049</v>
      </c>
      <c r="BA519" s="3" t="s">
        <v>5049</v>
      </c>
      <c r="BB519" s="3" t="s">
        <v>5050</v>
      </c>
      <c r="BC519" s="3" t="s">
        <v>142</v>
      </c>
      <c r="BD519" s="3" t="s">
        <v>68</v>
      </c>
      <c r="BE519" s="3" t="s">
        <v>5051</v>
      </c>
      <c r="BF519" s="3" t="s">
        <v>5050</v>
      </c>
      <c r="BG519" s="3" t="s">
        <v>5052</v>
      </c>
    </row>
    <row r="520" spans="1:59" ht="57" x14ac:dyDescent="0.45">
      <c r="A520" s="2" t="s">
        <v>59</v>
      </c>
      <c r="B520" s="2" t="s">
        <v>60</v>
      </c>
      <c r="C520" s="2" t="s">
        <v>5053</v>
      </c>
      <c r="D520" s="2" t="s">
        <v>5054</v>
      </c>
      <c r="E520" s="2" t="s">
        <v>5055</v>
      </c>
      <c r="G520" s="3" t="s">
        <v>62</v>
      </c>
      <c r="I520" s="3" t="s">
        <v>61</v>
      </c>
      <c r="J520" s="3" t="s">
        <v>62</v>
      </c>
      <c r="K520" s="3" t="s">
        <v>63</v>
      </c>
      <c r="L520" s="2" t="s">
        <v>5056</v>
      </c>
      <c r="M520" s="2" t="s">
        <v>5057</v>
      </c>
      <c r="N520" s="3" t="s">
        <v>820</v>
      </c>
      <c r="P520" s="3" t="s">
        <v>65</v>
      </c>
      <c r="Q520" s="2" t="s">
        <v>3338</v>
      </c>
      <c r="R520" s="3" t="s">
        <v>66</v>
      </c>
      <c r="S520" s="4">
        <v>7</v>
      </c>
      <c r="T520" s="4">
        <v>14</v>
      </c>
      <c r="U520" s="5" t="s">
        <v>971</v>
      </c>
      <c r="V520" s="5" t="s">
        <v>971</v>
      </c>
      <c r="W520" s="5" t="s">
        <v>67</v>
      </c>
      <c r="X520" s="5" t="s">
        <v>67</v>
      </c>
      <c r="Y520" s="4">
        <v>317</v>
      </c>
      <c r="Z520" s="4">
        <v>27</v>
      </c>
      <c r="AA520" s="4">
        <v>103</v>
      </c>
      <c r="AB520" s="4">
        <v>2</v>
      </c>
      <c r="AC520" s="4">
        <v>18</v>
      </c>
      <c r="AD520" s="4">
        <v>96</v>
      </c>
      <c r="AE520" s="4">
        <v>149</v>
      </c>
      <c r="AF520" s="4">
        <v>1</v>
      </c>
      <c r="AG520" s="4">
        <v>8</v>
      </c>
      <c r="AH520" s="4">
        <v>79</v>
      </c>
      <c r="AI520" s="4">
        <v>108</v>
      </c>
      <c r="AJ520" s="4">
        <v>16</v>
      </c>
      <c r="AK520" s="4">
        <v>26</v>
      </c>
      <c r="AL520" s="4">
        <v>43</v>
      </c>
      <c r="AM520" s="4">
        <v>54</v>
      </c>
      <c r="AN520" s="4">
        <v>0</v>
      </c>
      <c r="AO520" s="4">
        <v>0</v>
      </c>
      <c r="AP520" s="4">
        <v>23</v>
      </c>
      <c r="AQ520" s="4">
        <v>50</v>
      </c>
      <c r="AR520" s="3" t="s">
        <v>62</v>
      </c>
      <c r="AS520" s="3" t="s">
        <v>62</v>
      </c>
      <c r="AT520" s="3" t="s">
        <v>62</v>
      </c>
      <c r="AV520" s="6" t="str">
        <f>HYPERLINK("http://mcgill.on.worldcat.org/oclc/132681435","Catalog Record")</f>
        <v>Catalog Record</v>
      </c>
      <c r="AW520" s="6" t="str">
        <f>HYPERLINK("http://www.worldcat.org/oclc/132681435","WorldCat Record")</f>
        <v>WorldCat Record</v>
      </c>
      <c r="AX520" s="3" t="s">
        <v>5058</v>
      </c>
      <c r="AY520" s="3" t="s">
        <v>5059</v>
      </c>
      <c r="AZ520" s="3" t="s">
        <v>5060</v>
      </c>
      <c r="BA520" s="3" t="s">
        <v>5060</v>
      </c>
      <c r="BB520" s="3" t="s">
        <v>5061</v>
      </c>
      <c r="BC520" s="3" t="s">
        <v>142</v>
      </c>
      <c r="BD520" s="3" t="s">
        <v>68</v>
      </c>
      <c r="BE520" s="3" t="s">
        <v>5062</v>
      </c>
      <c r="BF520" s="3" t="s">
        <v>5061</v>
      </c>
      <c r="BG520" s="3" t="s">
        <v>5063</v>
      </c>
    </row>
    <row r="521" spans="1:59" ht="57" x14ac:dyDescent="0.45">
      <c r="A521" s="2" t="s">
        <v>59</v>
      </c>
      <c r="B521" s="2" t="s">
        <v>60</v>
      </c>
      <c r="C521" s="2" t="s">
        <v>5053</v>
      </c>
      <c r="D521" s="2" t="s">
        <v>5054</v>
      </c>
      <c r="E521" s="2" t="s">
        <v>5055</v>
      </c>
      <c r="G521" s="3" t="s">
        <v>62</v>
      </c>
      <c r="I521" s="3" t="s">
        <v>61</v>
      </c>
      <c r="J521" s="3" t="s">
        <v>62</v>
      </c>
      <c r="K521" s="3" t="s">
        <v>63</v>
      </c>
      <c r="L521" s="2" t="s">
        <v>5056</v>
      </c>
      <c r="M521" s="2" t="s">
        <v>5057</v>
      </c>
      <c r="N521" s="3" t="s">
        <v>820</v>
      </c>
      <c r="P521" s="3" t="s">
        <v>65</v>
      </c>
      <c r="Q521" s="2" t="s">
        <v>3338</v>
      </c>
      <c r="R521" s="3" t="s">
        <v>66</v>
      </c>
      <c r="S521" s="4">
        <v>4</v>
      </c>
      <c r="T521" s="4">
        <v>14</v>
      </c>
      <c r="U521" s="5" t="s">
        <v>5064</v>
      </c>
      <c r="V521" s="5" t="s">
        <v>971</v>
      </c>
      <c r="W521" s="5" t="s">
        <v>67</v>
      </c>
      <c r="X521" s="5" t="s">
        <v>67</v>
      </c>
      <c r="Y521" s="4">
        <v>317</v>
      </c>
      <c r="Z521" s="4">
        <v>27</v>
      </c>
      <c r="AA521" s="4">
        <v>103</v>
      </c>
      <c r="AB521" s="4">
        <v>2</v>
      </c>
      <c r="AC521" s="4">
        <v>18</v>
      </c>
      <c r="AD521" s="4">
        <v>96</v>
      </c>
      <c r="AE521" s="4">
        <v>149</v>
      </c>
      <c r="AF521" s="4">
        <v>1</v>
      </c>
      <c r="AG521" s="4">
        <v>8</v>
      </c>
      <c r="AH521" s="4">
        <v>79</v>
      </c>
      <c r="AI521" s="4">
        <v>108</v>
      </c>
      <c r="AJ521" s="4">
        <v>16</v>
      </c>
      <c r="AK521" s="4">
        <v>26</v>
      </c>
      <c r="AL521" s="4">
        <v>43</v>
      </c>
      <c r="AM521" s="4">
        <v>54</v>
      </c>
      <c r="AN521" s="4">
        <v>0</v>
      </c>
      <c r="AO521" s="4">
        <v>0</v>
      </c>
      <c r="AP521" s="4">
        <v>23</v>
      </c>
      <c r="AQ521" s="4">
        <v>50</v>
      </c>
      <c r="AR521" s="3" t="s">
        <v>62</v>
      </c>
      <c r="AS521" s="3" t="s">
        <v>62</v>
      </c>
      <c r="AT521" s="3" t="s">
        <v>62</v>
      </c>
      <c r="AV521" s="6" t="str">
        <f>HYPERLINK("http://mcgill.on.worldcat.org/oclc/132681435","Catalog Record")</f>
        <v>Catalog Record</v>
      </c>
      <c r="AW521" s="6" t="str">
        <f>HYPERLINK("http://www.worldcat.org/oclc/132681435","WorldCat Record")</f>
        <v>WorldCat Record</v>
      </c>
      <c r="AX521" s="3" t="s">
        <v>5058</v>
      </c>
      <c r="AY521" s="3" t="s">
        <v>5059</v>
      </c>
      <c r="AZ521" s="3" t="s">
        <v>5060</v>
      </c>
      <c r="BA521" s="3" t="s">
        <v>5060</v>
      </c>
      <c r="BB521" s="3" t="s">
        <v>5065</v>
      </c>
      <c r="BC521" s="3" t="s">
        <v>142</v>
      </c>
      <c r="BD521" s="3" t="s">
        <v>68</v>
      </c>
      <c r="BE521" s="3" t="s">
        <v>5062</v>
      </c>
      <c r="BF521" s="3" t="s">
        <v>5065</v>
      </c>
      <c r="BG521" s="3" t="s">
        <v>5066</v>
      </c>
    </row>
    <row r="522" spans="1:59" ht="57" x14ac:dyDescent="0.45">
      <c r="A522" s="2" t="s">
        <v>59</v>
      </c>
      <c r="B522" s="2" t="s">
        <v>60</v>
      </c>
      <c r="C522" s="2" t="s">
        <v>5053</v>
      </c>
      <c r="D522" s="2" t="s">
        <v>5054</v>
      </c>
      <c r="E522" s="2" t="s">
        <v>5055</v>
      </c>
      <c r="G522" s="3" t="s">
        <v>62</v>
      </c>
      <c r="I522" s="3" t="s">
        <v>61</v>
      </c>
      <c r="J522" s="3" t="s">
        <v>62</v>
      </c>
      <c r="K522" s="3" t="s">
        <v>63</v>
      </c>
      <c r="L522" s="2" t="s">
        <v>5056</v>
      </c>
      <c r="M522" s="2" t="s">
        <v>5057</v>
      </c>
      <c r="N522" s="3" t="s">
        <v>820</v>
      </c>
      <c r="P522" s="3" t="s">
        <v>65</v>
      </c>
      <c r="Q522" s="2" t="s">
        <v>3338</v>
      </c>
      <c r="R522" s="3" t="s">
        <v>66</v>
      </c>
      <c r="S522" s="4">
        <v>3</v>
      </c>
      <c r="T522" s="4">
        <v>14</v>
      </c>
      <c r="U522" s="5" t="s">
        <v>5067</v>
      </c>
      <c r="V522" s="5" t="s">
        <v>971</v>
      </c>
      <c r="W522" s="5" t="s">
        <v>67</v>
      </c>
      <c r="X522" s="5" t="s">
        <v>67</v>
      </c>
      <c r="Y522" s="4">
        <v>317</v>
      </c>
      <c r="Z522" s="4">
        <v>27</v>
      </c>
      <c r="AA522" s="4">
        <v>103</v>
      </c>
      <c r="AB522" s="4">
        <v>2</v>
      </c>
      <c r="AC522" s="4">
        <v>18</v>
      </c>
      <c r="AD522" s="4">
        <v>96</v>
      </c>
      <c r="AE522" s="4">
        <v>149</v>
      </c>
      <c r="AF522" s="4">
        <v>1</v>
      </c>
      <c r="AG522" s="4">
        <v>8</v>
      </c>
      <c r="AH522" s="4">
        <v>79</v>
      </c>
      <c r="AI522" s="4">
        <v>108</v>
      </c>
      <c r="AJ522" s="4">
        <v>16</v>
      </c>
      <c r="AK522" s="4">
        <v>26</v>
      </c>
      <c r="AL522" s="4">
        <v>43</v>
      </c>
      <c r="AM522" s="4">
        <v>54</v>
      </c>
      <c r="AN522" s="4">
        <v>0</v>
      </c>
      <c r="AO522" s="4">
        <v>0</v>
      </c>
      <c r="AP522" s="4">
        <v>23</v>
      </c>
      <c r="AQ522" s="4">
        <v>50</v>
      </c>
      <c r="AR522" s="3" t="s">
        <v>62</v>
      </c>
      <c r="AS522" s="3" t="s">
        <v>62</v>
      </c>
      <c r="AT522" s="3" t="s">
        <v>62</v>
      </c>
      <c r="AV522" s="6" t="str">
        <f>HYPERLINK("http://mcgill.on.worldcat.org/oclc/132681435","Catalog Record")</f>
        <v>Catalog Record</v>
      </c>
      <c r="AW522" s="6" t="str">
        <f>HYPERLINK("http://www.worldcat.org/oclc/132681435","WorldCat Record")</f>
        <v>WorldCat Record</v>
      </c>
      <c r="AX522" s="3" t="s">
        <v>5058</v>
      </c>
      <c r="AY522" s="3" t="s">
        <v>5059</v>
      </c>
      <c r="AZ522" s="3" t="s">
        <v>5060</v>
      </c>
      <c r="BA522" s="3" t="s">
        <v>5060</v>
      </c>
      <c r="BB522" s="3" t="s">
        <v>5068</v>
      </c>
      <c r="BC522" s="3" t="s">
        <v>142</v>
      </c>
      <c r="BD522" s="3" t="s">
        <v>68</v>
      </c>
      <c r="BE522" s="3" t="s">
        <v>5062</v>
      </c>
      <c r="BF522" s="3" t="s">
        <v>5068</v>
      </c>
      <c r="BG522" s="3" t="s">
        <v>5069</v>
      </c>
    </row>
    <row r="523" spans="1:59" ht="57" x14ac:dyDescent="0.45">
      <c r="A523" s="2" t="s">
        <v>59</v>
      </c>
      <c r="B523" s="2" t="s">
        <v>60</v>
      </c>
      <c r="C523" s="2" t="s">
        <v>5070</v>
      </c>
      <c r="D523" s="2" t="s">
        <v>5071</v>
      </c>
      <c r="E523" s="2" t="s">
        <v>5072</v>
      </c>
      <c r="G523" s="3" t="s">
        <v>62</v>
      </c>
      <c r="I523" s="3" t="s">
        <v>62</v>
      </c>
      <c r="J523" s="3" t="s">
        <v>62</v>
      </c>
      <c r="K523" s="3" t="s">
        <v>63</v>
      </c>
      <c r="L523" s="2" t="s">
        <v>5073</v>
      </c>
      <c r="M523" s="2" t="s">
        <v>5074</v>
      </c>
      <c r="N523" s="3" t="s">
        <v>1855</v>
      </c>
      <c r="P523" s="3" t="s">
        <v>65</v>
      </c>
      <c r="Q523" s="2" t="s">
        <v>5075</v>
      </c>
      <c r="R523" s="3" t="s">
        <v>66</v>
      </c>
      <c r="S523" s="4">
        <v>20</v>
      </c>
      <c r="T523" s="4">
        <v>20</v>
      </c>
      <c r="U523" s="5" t="s">
        <v>5076</v>
      </c>
      <c r="V523" s="5" t="s">
        <v>5076</v>
      </c>
      <c r="W523" s="5" t="s">
        <v>67</v>
      </c>
      <c r="X523" s="5" t="s">
        <v>67</v>
      </c>
      <c r="Y523" s="4">
        <v>180</v>
      </c>
      <c r="Z523" s="4">
        <v>12</v>
      </c>
      <c r="AA523" s="4">
        <v>54</v>
      </c>
      <c r="AB523" s="4">
        <v>2</v>
      </c>
      <c r="AC523" s="4">
        <v>7</v>
      </c>
      <c r="AD523" s="4">
        <v>54</v>
      </c>
      <c r="AE523" s="4">
        <v>98</v>
      </c>
      <c r="AF523" s="4">
        <v>1</v>
      </c>
      <c r="AG523" s="4">
        <v>3</v>
      </c>
      <c r="AH523" s="4">
        <v>48</v>
      </c>
      <c r="AI523" s="4">
        <v>74</v>
      </c>
      <c r="AJ523" s="4">
        <v>7</v>
      </c>
      <c r="AK523" s="4">
        <v>18</v>
      </c>
      <c r="AL523" s="4">
        <v>32</v>
      </c>
      <c r="AM523" s="4">
        <v>43</v>
      </c>
      <c r="AN523" s="4">
        <v>0</v>
      </c>
      <c r="AO523" s="4">
        <v>0</v>
      </c>
      <c r="AP523" s="4">
        <v>9</v>
      </c>
      <c r="AQ523" s="4">
        <v>31</v>
      </c>
      <c r="AR523" s="3" t="s">
        <v>62</v>
      </c>
      <c r="AS523" s="3" t="s">
        <v>62</v>
      </c>
      <c r="AT523" s="3" t="s">
        <v>62</v>
      </c>
      <c r="AV523" s="6" t="str">
        <f>HYPERLINK("http://mcgill.on.worldcat.org/oclc/56614349","Catalog Record")</f>
        <v>Catalog Record</v>
      </c>
      <c r="AW523" s="6" t="str">
        <f>HYPERLINK("http://www.worldcat.org/oclc/56614349","WorldCat Record")</f>
        <v>WorldCat Record</v>
      </c>
      <c r="AX523" s="3" t="s">
        <v>5077</v>
      </c>
      <c r="AY523" s="3" t="s">
        <v>5078</v>
      </c>
      <c r="AZ523" s="3" t="s">
        <v>5079</v>
      </c>
      <c r="BA523" s="3" t="s">
        <v>5079</v>
      </c>
      <c r="BB523" s="3" t="s">
        <v>5080</v>
      </c>
      <c r="BC523" s="3" t="s">
        <v>142</v>
      </c>
      <c r="BD523" s="3" t="s">
        <v>68</v>
      </c>
      <c r="BE523" s="3" t="s">
        <v>5081</v>
      </c>
      <c r="BF523" s="3" t="s">
        <v>5080</v>
      </c>
      <c r="BG523" s="3" t="s">
        <v>5082</v>
      </c>
    </row>
    <row r="524" spans="1:59" ht="71.25" x14ac:dyDescent="0.45">
      <c r="A524" s="2" t="s">
        <v>59</v>
      </c>
      <c r="B524" s="2" t="s">
        <v>60</v>
      </c>
      <c r="C524" s="2" t="s">
        <v>5083</v>
      </c>
      <c r="D524" s="2" t="s">
        <v>5084</v>
      </c>
      <c r="E524" s="2" t="s">
        <v>5085</v>
      </c>
      <c r="G524" s="3" t="s">
        <v>62</v>
      </c>
      <c r="I524" s="3" t="s">
        <v>62</v>
      </c>
      <c r="J524" s="3" t="s">
        <v>62</v>
      </c>
      <c r="K524" s="3" t="s">
        <v>63</v>
      </c>
      <c r="M524" s="2" t="s">
        <v>5086</v>
      </c>
      <c r="N524" s="3" t="s">
        <v>970</v>
      </c>
      <c r="P524" s="3" t="s">
        <v>65</v>
      </c>
      <c r="Q524" s="2" t="s">
        <v>5087</v>
      </c>
      <c r="R524" s="3" t="s">
        <v>66</v>
      </c>
      <c r="S524" s="4">
        <v>7</v>
      </c>
      <c r="T524" s="4">
        <v>7</v>
      </c>
      <c r="U524" s="5" t="s">
        <v>1663</v>
      </c>
      <c r="V524" s="5" t="s">
        <v>1663</v>
      </c>
      <c r="W524" s="5" t="s">
        <v>67</v>
      </c>
      <c r="X524" s="5" t="s">
        <v>67</v>
      </c>
      <c r="Y524" s="4">
        <v>54</v>
      </c>
      <c r="Z524" s="4">
        <v>1</v>
      </c>
      <c r="AA524" s="4">
        <v>1</v>
      </c>
      <c r="AB524" s="4">
        <v>1</v>
      </c>
      <c r="AC524" s="4">
        <v>1</v>
      </c>
      <c r="AD524" s="4">
        <v>22</v>
      </c>
      <c r="AE524" s="4">
        <v>22</v>
      </c>
      <c r="AF524" s="4">
        <v>0</v>
      </c>
      <c r="AG524" s="4">
        <v>0</v>
      </c>
      <c r="AH524" s="4">
        <v>22</v>
      </c>
      <c r="AI524" s="4">
        <v>22</v>
      </c>
      <c r="AJ524" s="4">
        <v>0</v>
      </c>
      <c r="AK524" s="4">
        <v>0</v>
      </c>
      <c r="AL524" s="4">
        <v>16</v>
      </c>
      <c r="AM524" s="4">
        <v>16</v>
      </c>
      <c r="AN524" s="4">
        <v>0</v>
      </c>
      <c r="AO524" s="4">
        <v>0</v>
      </c>
      <c r="AP524" s="4">
        <v>0</v>
      </c>
      <c r="AQ524" s="4">
        <v>0</v>
      </c>
      <c r="AR524" s="3" t="s">
        <v>62</v>
      </c>
      <c r="AS524" s="3" t="s">
        <v>62</v>
      </c>
      <c r="AT524" s="3" t="s">
        <v>62</v>
      </c>
      <c r="AV524" s="6" t="str">
        <f>HYPERLINK("http://mcgill.on.worldcat.org/oclc/49385632","Catalog Record")</f>
        <v>Catalog Record</v>
      </c>
      <c r="AW524" s="6" t="str">
        <f>HYPERLINK("http://www.worldcat.org/oclc/49385632","WorldCat Record")</f>
        <v>WorldCat Record</v>
      </c>
      <c r="AX524" s="3" t="s">
        <v>5088</v>
      </c>
      <c r="AY524" s="3" t="s">
        <v>5089</v>
      </c>
      <c r="AZ524" s="3" t="s">
        <v>5090</v>
      </c>
      <c r="BA524" s="3" t="s">
        <v>5090</v>
      </c>
      <c r="BB524" s="3" t="s">
        <v>5091</v>
      </c>
      <c r="BC524" s="3" t="s">
        <v>142</v>
      </c>
      <c r="BD524" s="3" t="s">
        <v>68</v>
      </c>
      <c r="BE524" s="3" t="s">
        <v>5092</v>
      </c>
      <c r="BF524" s="3" t="s">
        <v>5091</v>
      </c>
      <c r="BG524" s="3" t="s">
        <v>5093</v>
      </c>
    </row>
    <row r="525" spans="1:59" ht="71.25" x14ac:dyDescent="0.45">
      <c r="A525" s="2" t="s">
        <v>59</v>
      </c>
      <c r="B525" s="2" t="s">
        <v>60</v>
      </c>
      <c r="C525" s="2" t="s">
        <v>5094</v>
      </c>
      <c r="D525" s="2" t="s">
        <v>5095</v>
      </c>
      <c r="E525" s="2" t="s">
        <v>5096</v>
      </c>
      <c r="G525" s="3" t="s">
        <v>62</v>
      </c>
      <c r="I525" s="3" t="s">
        <v>62</v>
      </c>
      <c r="J525" s="3" t="s">
        <v>62</v>
      </c>
      <c r="K525" s="3" t="s">
        <v>63</v>
      </c>
      <c r="L525" s="2" t="s">
        <v>5097</v>
      </c>
      <c r="M525" s="2" t="s">
        <v>5098</v>
      </c>
      <c r="N525" s="3" t="s">
        <v>1097</v>
      </c>
      <c r="P525" s="3" t="s">
        <v>65</v>
      </c>
      <c r="Q525" s="2" t="s">
        <v>5099</v>
      </c>
      <c r="R525" s="3" t="s">
        <v>66</v>
      </c>
      <c r="S525" s="4">
        <v>11</v>
      </c>
      <c r="T525" s="4">
        <v>11</v>
      </c>
      <c r="U525" s="5" t="s">
        <v>4940</v>
      </c>
      <c r="V525" s="5" t="s">
        <v>4940</v>
      </c>
      <c r="W525" s="5" t="s">
        <v>67</v>
      </c>
      <c r="X525" s="5" t="s">
        <v>67</v>
      </c>
      <c r="Y525" s="4">
        <v>193</v>
      </c>
      <c r="Z525" s="4">
        <v>13</v>
      </c>
      <c r="AA525" s="4">
        <v>106</v>
      </c>
      <c r="AB525" s="4">
        <v>1</v>
      </c>
      <c r="AC525" s="4">
        <v>17</v>
      </c>
      <c r="AD525" s="4">
        <v>72</v>
      </c>
      <c r="AE525" s="4">
        <v>129</v>
      </c>
      <c r="AF525" s="4">
        <v>0</v>
      </c>
      <c r="AG525" s="4">
        <v>8</v>
      </c>
      <c r="AH525" s="4">
        <v>66</v>
      </c>
      <c r="AI525" s="4">
        <v>92</v>
      </c>
      <c r="AJ525" s="4">
        <v>9</v>
      </c>
      <c r="AK525" s="4">
        <v>22</v>
      </c>
      <c r="AL525" s="4">
        <v>37</v>
      </c>
      <c r="AM525" s="4">
        <v>45</v>
      </c>
      <c r="AN525" s="4">
        <v>0</v>
      </c>
      <c r="AO525" s="4">
        <v>0</v>
      </c>
      <c r="AP525" s="4">
        <v>10</v>
      </c>
      <c r="AQ525" s="4">
        <v>43</v>
      </c>
      <c r="AR525" s="3" t="s">
        <v>62</v>
      </c>
      <c r="AS525" s="3" t="s">
        <v>62</v>
      </c>
      <c r="AT525" s="3" t="s">
        <v>61</v>
      </c>
      <c r="AU525" s="6" t="str">
        <f>HYPERLINK("http://catalog.hathitrust.org/Record/007144636","HathiTrust Record")</f>
        <v>HathiTrust Record</v>
      </c>
      <c r="AV525" s="6" t="str">
        <f>HYPERLINK("http://mcgill.on.worldcat.org/oclc/54391970","Catalog Record")</f>
        <v>Catalog Record</v>
      </c>
      <c r="AW525" s="6" t="str">
        <f>HYPERLINK("http://www.worldcat.org/oclc/54391970","WorldCat Record")</f>
        <v>WorldCat Record</v>
      </c>
      <c r="AX525" s="3" t="s">
        <v>5100</v>
      </c>
      <c r="AY525" s="3" t="s">
        <v>5101</v>
      </c>
      <c r="AZ525" s="3" t="s">
        <v>5102</v>
      </c>
      <c r="BA525" s="3" t="s">
        <v>5102</v>
      </c>
      <c r="BB525" s="3" t="s">
        <v>5103</v>
      </c>
      <c r="BC525" s="3" t="s">
        <v>142</v>
      </c>
      <c r="BD525" s="3" t="s">
        <v>68</v>
      </c>
      <c r="BE525" s="3" t="s">
        <v>5104</v>
      </c>
      <c r="BF525" s="3" t="s">
        <v>5103</v>
      </c>
      <c r="BG525" s="3" t="s">
        <v>5105</v>
      </c>
    </row>
    <row r="526" spans="1:59" ht="57" x14ac:dyDescent="0.45">
      <c r="A526" s="2" t="s">
        <v>59</v>
      </c>
      <c r="B526" s="2" t="s">
        <v>60</v>
      </c>
      <c r="C526" s="2" t="s">
        <v>5106</v>
      </c>
      <c r="D526" s="2" t="s">
        <v>5107</v>
      </c>
      <c r="E526" s="2" t="s">
        <v>5108</v>
      </c>
      <c r="G526" s="3" t="s">
        <v>62</v>
      </c>
      <c r="I526" s="3" t="s">
        <v>62</v>
      </c>
      <c r="J526" s="3" t="s">
        <v>62</v>
      </c>
      <c r="K526" s="3" t="s">
        <v>63</v>
      </c>
      <c r="L526" s="2" t="s">
        <v>5109</v>
      </c>
      <c r="M526" s="2" t="s">
        <v>5110</v>
      </c>
      <c r="N526" s="3" t="s">
        <v>918</v>
      </c>
      <c r="P526" s="3" t="s">
        <v>65</v>
      </c>
      <c r="R526" s="3" t="s">
        <v>66</v>
      </c>
      <c r="S526" s="4">
        <v>27</v>
      </c>
      <c r="T526" s="4">
        <v>27</v>
      </c>
      <c r="U526" s="5" t="s">
        <v>4418</v>
      </c>
      <c r="V526" s="5" t="s">
        <v>4418</v>
      </c>
      <c r="W526" s="5" t="s">
        <v>67</v>
      </c>
      <c r="X526" s="5" t="s">
        <v>67</v>
      </c>
      <c r="Y526" s="4">
        <v>60</v>
      </c>
      <c r="Z526" s="4">
        <v>53</v>
      </c>
      <c r="AA526" s="4">
        <v>97</v>
      </c>
      <c r="AB526" s="4">
        <v>3</v>
      </c>
      <c r="AC526" s="4">
        <v>12</v>
      </c>
      <c r="AD526" s="4">
        <v>23</v>
      </c>
      <c r="AE526" s="4">
        <v>133</v>
      </c>
      <c r="AF526" s="4">
        <v>1</v>
      </c>
      <c r="AG526" s="4">
        <v>4</v>
      </c>
      <c r="AH526" s="4">
        <v>8</v>
      </c>
      <c r="AI526" s="4">
        <v>101</v>
      </c>
      <c r="AJ526" s="4">
        <v>11</v>
      </c>
      <c r="AK526" s="4">
        <v>27</v>
      </c>
      <c r="AL526" s="4">
        <v>3</v>
      </c>
      <c r="AM526" s="4">
        <v>50</v>
      </c>
      <c r="AN526" s="4">
        <v>0</v>
      </c>
      <c r="AO526" s="4">
        <v>0</v>
      </c>
      <c r="AP526" s="4">
        <v>19</v>
      </c>
      <c r="AQ526" s="4">
        <v>41</v>
      </c>
      <c r="AR526" s="3" t="s">
        <v>61</v>
      </c>
      <c r="AS526" s="3" t="s">
        <v>62</v>
      </c>
      <c r="AT526" s="3" t="s">
        <v>62</v>
      </c>
      <c r="AV526" s="6" t="str">
        <f>HYPERLINK("http://mcgill.on.worldcat.org/oclc/51043073","Catalog Record")</f>
        <v>Catalog Record</v>
      </c>
      <c r="AW526" s="6" t="str">
        <f>HYPERLINK("http://www.worldcat.org/oclc/51043073","WorldCat Record")</f>
        <v>WorldCat Record</v>
      </c>
      <c r="AX526" s="3" t="s">
        <v>5111</v>
      </c>
      <c r="AY526" s="3" t="s">
        <v>5112</v>
      </c>
      <c r="AZ526" s="3" t="s">
        <v>5113</v>
      </c>
      <c r="BA526" s="3" t="s">
        <v>5113</v>
      </c>
      <c r="BB526" s="3" t="s">
        <v>5114</v>
      </c>
      <c r="BC526" s="3" t="s">
        <v>142</v>
      </c>
      <c r="BD526" s="3" t="s">
        <v>68</v>
      </c>
      <c r="BE526" s="3" t="s">
        <v>5115</v>
      </c>
      <c r="BF526" s="3" t="s">
        <v>5114</v>
      </c>
      <c r="BG526" s="3" t="s">
        <v>5116</v>
      </c>
    </row>
    <row r="527" spans="1:59" ht="57" x14ac:dyDescent="0.45">
      <c r="A527" s="2" t="s">
        <v>59</v>
      </c>
      <c r="B527" s="2" t="s">
        <v>60</v>
      </c>
      <c r="C527" s="2" t="s">
        <v>5117</v>
      </c>
      <c r="D527" s="2" t="s">
        <v>5118</v>
      </c>
      <c r="E527" s="2" t="s">
        <v>5119</v>
      </c>
      <c r="G527" s="3" t="s">
        <v>62</v>
      </c>
      <c r="I527" s="3" t="s">
        <v>62</v>
      </c>
      <c r="J527" s="3" t="s">
        <v>62</v>
      </c>
      <c r="K527" s="3" t="s">
        <v>63</v>
      </c>
      <c r="M527" s="2" t="s">
        <v>5120</v>
      </c>
      <c r="N527" s="3" t="s">
        <v>894</v>
      </c>
      <c r="P527" s="3" t="s">
        <v>65</v>
      </c>
      <c r="Q527" s="2" t="s">
        <v>5121</v>
      </c>
      <c r="R527" s="3" t="s">
        <v>66</v>
      </c>
      <c r="S527" s="4">
        <v>5</v>
      </c>
      <c r="T527" s="4">
        <v>5</v>
      </c>
      <c r="U527" s="5" t="s">
        <v>5122</v>
      </c>
      <c r="V527" s="5" t="s">
        <v>5122</v>
      </c>
      <c r="W527" s="5" t="s">
        <v>67</v>
      </c>
      <c r="X527" s="5" t="s">
        <v>67</v>
      </c>
      <c r="Y527" s="4">
        <v>297</v>
      </c>
      <c r="Z527" s="4">
        <v>29</v>
      </c>
      <c r="AA527" s="4">
        <v>90</v>
      </c>
      <c r="AB527" s="4">
        <v>3</v>
      </c>
      <c r="AC527" s="4">
        <v>16</v>
      </c>
      <c r="AD527" s="4">
        <v>86</v>
      </c>
      <c r="AE527" s="4">
        <v>135</v>
      </c>
      <c r="AF527" s="4">
        <v>1</v>
      </c>
      <c r="AG527" s="4">
        <v>8</v>
      </c>
      <c r="AH527" s="4">
        <v>74</v>
      </c>
      <c r="AI527" s="4">
        <v>100</v>
      </c>
      <c r="AJ527" s="4">
        <v>14</v>
      </c>
      <c r="AK527" s="4">
        <v>25</v>
      </c>
      <c r="AL527" s="4">
        <v>37</v>
      </c>
      <c r="AM527" s="4">
        <v>50</v>
      </c>
      <c r="AN527" s="4">
        <v>0</v>
      </c>
      <c r="AO527" s="4">
        <v>0</v>
      </c>
      <c r="AP527" s="4">
        <v>22</v>
      </c>
      <c r="AQ527" s="4">
        <v>45</v>
      </c>
      <c r="AR527" s="3" t="s">
        <v>62</v>
      </c>
      <c r="AS527" s="3" t="s">
        <v>62</v>
      </c>
      <c r="AT527" s="3" t="s">
        <v>62</v>
      </c>
      <c r="AV527" s="6" t="str">
        <f>HYPERLINK("http://mcgill.on.worldcat.org/oclc/693684130","Catalog Record")</f>
        <v>Catalog Record</v>
      </c>
      <c r="AW527" s="6" t="str">
        <f>HYPERLINK("http://www.worldcat.org/oclc/693684130","WorldCat Record")</f>
        <v>WorldCat Record</v>
      </c>
      <c r="AX527" s="3" t="s">
        <v>5123</v>
      </c>
      <c r="AY527" s="3" t="s">
        <v>5124</v>
      </c>
      <c r="AZ527" s="3" t="s">
        <v>5125</v>
      </c>
      <c r="BA527" s="3" t="s">
        <v>5125</v>
      </c>
      <c r="BB527" s="3" t="s">
        <v>5126</v>
      </c>
      <c r="BC527" s="3" t="s">
        <v>142</v>
      </c>
      <c r="BD527" s="3" t="s">
        <v>68</v>
      </c>
      <c r="BE527" s="3" t="s">
        <v>5127</v>
      </c>
      <c r="BF527" s="3" t="s">
        <v>5126</v>
      </c>
      <c r="BG527" s="3" t="s">
        <v>5128</v>
      </c>
    </row>
    <row r="528" spans="1:59" ht="57" x14ac:dyDescent="0.45">
      <c r="A528" s="2" t="s">
        <v>59</v>
      </c>
      <c r="B528" s="2" t="s">
        <v>60</v>
      </c>
      <c r="C528" s="2" t="s">
        <v>5129</v>
      </c>
      <c r="D528" s="2" t="s">
        <v>5130</v>
      </c>
      <c r="E528" s="2" t="s">
        <v>5131</v>
      </c>
      <c r="G528" s="3" t="s">
        <v>62</v>
      </c>
      <c r="I528" s="3" t="s">
        <v>61</v>
      </c>
      <c r="J528" s="3" t="s">
        <v>62</v>
      </c>
      <c r="K528" s="3" t="s">
        <v>63</v>
      </c>
      <c r="L528" s="2" t="s">
        <v>904</v>
      </c>
      <c r="M528" s="2" t="s">
        <v>5132</v>
      </c>
      <c r="N528" s="3" t="s">
        <v>1212</v>
      </c>
      <c r="P528" s="3" t="s">
        <v>65</v>
      </c>
      <c r="R528" s="3" t="s">
        <v>66</v>
      </c>
      <c r="S528" s="4">
        <v>46</v>
      </c>
      <c r="T528" s="4">
        <v>63</v>
      </c>
      <c r="U528" s="5" t="s">
        <v>3388</v>
      </c>
      <c r="V528" s="5" t="s">
        <v>3388</v>
      </c>
      <c r="W528" s="5" t="s">
        <v>67</v>
      </c>
      <c r="X528" s="5" t="s">
        <v>67</v>
      </c>
      <c r="Y528" s="4">
        <v>1045</v>
      </c>
      <c r="Z528" s="4">
        <v>51</v>
      </c>
      <c r="AA528" s="4">
        <v>130</v>
      </c>
      <c r="AB528" s="4">
        <v>4</v>
      </c>
      <c r="AC528" s="4">
        <v>19</v>
      </c>
      <c r="AD528" s="4">
        <v>129</v>
      </c>
      <c r="AE528" s="4">
        <v>157</v>
      </c>
      <c r="AF528" s="4">
        <v>2</v>
      </c>
      <c r="AG528" s="4">
        <v>8</v>
      </c>
      <c r="AH528" s="4">
        <v>102</v>
      </c>
      <c r="AI528" s="4">
        <v>112</v>
      </c>
      <c r="AJ528" s="4">
        <v>18</v>
      </c>
      <c r="AK528" s="4">
        <v>25</v>
      </c>
      <c r="AL528" s="4">
        <v>53</v>
      </c>
      <c r="AM528" s="4">
        <v>59</v>
      </c>
      <c r="AN528" s="4">
        <v>0</v>
      </c>
      <c r="AO528" s="4">
        <v>0</v>
      </c>
      <c r="AP528" s="4">
        <v>35</v>
      </c>
      <c r="AQ528" s="4">
        <v>53</v>
      </c>
      <c r="AR528" s="3" t="s">
        <v>62</v>
      </c>
      <c r="AS528" s="3" t="s">
        <v>62</v>
      </c>
      <c r="AT528" s="3" t="s">
        <v>62</v>
      </c>
      <c r="AV528" s="6" t="str">
        <f>HYPERLINK("http://mcgill.on.worldcat.org/oclc/42682795","Catalog Record")</f>
        <v>Catalog Record</v>
      </c>
      <c r="AW528" s="6" t="str">
        <f>HYPERLINK("http://www.worldcat.org/oclc/42682795","WorldCat Record")</f>
        <v>WorldCat Record</v>
      </c>
      <c r="AX528" s="3" t="s">
        <v>5133</v>
      </c>
      <c r="AY528" s="3" t="s">
        <v>5134</v>
      </c>
      <c r="AZ528" s="3" t="s">
        <v>5135</v>
      </c>
      <c r="BA528" s="3" t="s">
        <v>5135</v>
      </c>
      <c r="BB528" s="3" t="s">
        <v>5136</v>
      </c>
      <c r="BC528" s="3" t="s">
        <v>142</v>
      </c>
      <c r="BD528" s="3" t="s">
        <v>68</v>
      </c>
      <c r="BE528" s="3" t="s">
        <v>5137</v>
      </c>
      <c r="BF528" s="3" t="s">
        <v>5136</v>
      </c>
      <c r="BG528" s="3" t="s">
        <v>5138</v>
      </c>
    </row>
    <row r="529" spans="1:59" ht="57" x14ac:dyDescent="0.45">
      <c r="A529" s="2" t="s">
        <v>59</v>
      </c>
      <c r="B529" s="2" t="s">
        <v>60</v>
      </c>
      <c r="C529" s="2" t="s">
        <v>5129</v>
      </c>
      <c r="D529" s="2" t="s">
        <v>5130</v>
      </c>
      <c r="E529" s="2" t="s">
        <v>5131</v>
      </c>
      <c r="G529" s="3" t="s">
        <v>62</v>
      </c>
      <c r="I529" s="3" t="s">
        <v>61</v>
      </c>
      <c r="J529" s="3" t="s">
        <v>62</v>
      </c>
      <c r="K529" s="3" t="s">
        <v>63</v>
      </c>
      <c r="L529" s="2" t="s">
        <v>904</v>
      </c>
      <c r="M529" s="2" t="s">
        <v>5132</v>
      </c>
      <c r="N529" s="3" t="s">
        <v>1212</v>
      </c>
      <c r="P529" s="3" t="s">
        <v>65</v>
      </c>
      <c r="R529" s="3" t="s">
        <v>66</v>
      </c>
      <c r="S529" s="4">
        <v>17</v>
      </c>
      <c r="T529" s="4">
        <v>63</v>
      </c>
      <c r="U529" s="5" t="s">
        <v>5139</v>
      </c>
      <c r="V529" s="5" t="s">
        <v>3388</v>
      </c>
      <c r="W529" s="5" t="s">
        <v>67</v>
      </c>
      <c r="X529" s="5" t="s">
        <v>67</v>
      </c>
      <c r="Y529" s="4">
        <v>1045</v>
      </c>
      <c r="Z529" s="4">
        <v>51</v>
      </c>
      <c r="AA529" s="4">
        <v>130</v>
      </c>
      <c r="AB529" s="4">
        <v>4</v>
      </c>
      <c r="AC529" s="4">
        <v>19</v>
      </c>
      <c r="AD529" s="4">
        <v>129</v>
      </c>
      <c r="AE529" s="4">
        <v>157</v>
      </c>
      <c r="AF529" s="4">
        <v>2</v>
      </c>
      <c r="AG529" s="4">
        <v>8</v>
      </c>
      <c r="AH529" s="4">
        <v>102</v>
      </c>
      <c r="AI529" s="4">
        <v>112</v>
      </c>
      <c r="AJ529" s="4">
        <v>18</v>
      </c>
      <c r="AK529" s="4">
        <v>25</v>
      </c>
      <c r="AL529" s="4">
        <v>53</v>
      </c>
      <c r="AM529" s="4">
        <v>59</v>
      </c>
      <c r="AN529" s="4">
        <v>0</v>
      </c>
      <c r="AO529" s="4">
        <v>0</v>
      </c>
      <c r="AP529" s="4">
        <v>35</v>
      </c>
      <c r="AQ529" s="4">
        <v>53</v>
      </c>
      <c r="AR529" s="3" t="s">
        <v>62</v>
      </c>
      <c r="AS529" s="3" t="s">
        <v>62</v>
      </c>
      <c r="AT529" s="3" t="s">
        <v>62</v>
      </c>
      <c r="AV529" s="6" t="str">
        <f>HYPERLINK("http://mcgill.on.worldcat.org/oclc/42682795","Catalog Record")</f>
        <v>Catalog Record</v>
      </c>
      <c r="AW529" s="6" t="str">
        <f>HYPERLINK("http://www.worldcat.org/oclc/42682795","WorldCat Record")</f>
        <v>WorldCat Record</v>
      </c>
      <c r="AX529" s="3" t="s">
        <v>5133</v>
      </c>
      <c r="AY529" s="3" t="s">
        <v>5134</v>
      </c>
      <c r="AZ529" s="3" t="s">
        <v>5135</v>
      </c>
      <c r="BA529" s="3" t="s">
        <v>5135</v>
      </c>
      <c r="BB529" s="3" t="s">
        <v>5140</v>
      </c>
      <c r="BC529" s="3" t="s">
        <v>142</v>
      </c>
      <c r="BD529" s="3" t="s">
        <v>68</v>
      </c>
      <c r="BE529" s="3" t="s">
        <v>5137</v>
      </c>
      <c r="BF529" s="3" t="s">
        <v>5140</v>
      </c>
      <c r="BG529" s="3" t="s">
        <v>5141</v>
      </c>
    </row>
    <row r="530" spans="1:59" ht="57" x14ac:dyDescent="0.45">
      <c r="A530" s="2" t="s">
        <v>59</v>
      </c>
      <c r="B530" s="2" t="s">
        <v>60</v>
      </c>
      <c r="C530" s="2" t="s">
        <v>5142</v>
      </c>
      <c r="D530" s="2" t="s">
        <v>5143</v>
      </c>
      <c r="E530" s="2" t="s">
        <v>5144</v>
      </c>
      <c r="G530" s="3" t="s">
        <v>62</v>
      </c>
      <c r="I530" s="3" t="s">
        <v>62</v>
      </c>
      <c r="J530" s="3" t="s">
        <v>62</v>
      </c>
      <c r="K530" s="3" t="s">
        <v>63</v>
      </c>
      <c r="L530" s="2" t="s">
        <v>5145</v>
      </c>
      <c r="M530" s="2" t="s">
        <v>5146</v>
      </c>
      <c r="N530" s="3" t="s">
        <v>918</v>
      </c>
      <c r="P530" s="3" t="s">
        <v>65</v>
      </c>
      <c r="R530" s="3" t="s">
        <v>66</v>
      </c>
      <c r="S530" s="4">
        <v>19</v>
      </c>
      <c r="T530" s="4">
        <v>19</v>
      </c>
      <c r="U530" s="5" t="s">
        <v>5147</v>
      </c>
      <c r="V530" s="5" t="s">
        <v>5147</v>
      </c>
      <c r="W530" s="5" t="s">
        <v>67</v>
      </c>
      <c r="X530" s="5" t="s">
        <v>67</v>
      </c>
      <c r="Y530" s="4">
        <v>606</v>
      </c>
      <c r="Z530" s="4">
        <v>26</v>
      </c>
      <c r="AA530" s="4">
        <v>27</v>
      </c>
      <c r="AB530" s="4">
        <v>2</v>
      </c>
      <c r="AC530" s="4">
        <v>3</v>
      </c>
      <c r="AD530" s="4">
        <v>94</v>
      </c>
      <c r="AE530" s="4">
        <v>95</v>
      </c>
      <c r="AF530" s="4">
        <v>1</v>
      </c>
      <c r="AG530" s="4">
        <v>2</v>
      </c>
      <c r="AH530" s="4">
        <v>79</v>
      </c>
      <c r="AI530" s="4">
        <v>79</v>
      </c>
      <c r="AJ530" s="4">
        <v>14</v>
      </c>
      <c r="AK530" s="4">
        <v>15</v>
      </c>
      <c r="AL530" s="4">
        <v>33</v>
      </c>
      <c r="AM530" s="4">
        <v>33</v>
      </c>
      <c r="AN530" s="4">
        <v>0</v>
      </c>
      <c r="AO530" s="4">
        <v>0</v>
      </c>
      <c r="AP530" s="4">
        <v>23</v>
      </c>
      <c r="AQ530" s="4">
        <v>23</v>
      </c>
      <c r="AR530" s="3" t="s">
        <v>62</v>
      </c>
      <c r="AS530" s="3" t="s">
        <v>62</v>
      </c>
      <c r="AT530" s="3" t="s">
        <v>62</v>
      </c>
      <c r="AV530" s="6" t="str">
        <f>HYPERLINK("http://mcgill.on.worldcat.org/oclc/51059007","Catalog Record")</f>
        <v>Catalog Record</v>
      </c>
      <c r="AW530" s="6" t="str">
        <f>HYPERLINK("http://www.worldcat.org/oclc/51059007","WorldCat Record")</f>
        <v>WorldCat Record</v>
      </c>
      <c r="AX530" s="3" t="s">
        <v>5148</v>
      </c>
      <c r="AY530" s="3" t="s">
        <v>5149</v>
      </c>
      <c r="AZ530" s="3" t="s">
        <v>5150</v>
      </c>
      <c r="BA530" s="3" t="s">
        <v>5150</v>
      </c>
      <c r="BB530" s="3" t="s">
        <v>5151</v>
      </c>
      <c r="BC530" s="3" t="s">
        <v>142</v>
      </c>
      <c r="BD530" s="3" t="s">
        <v>68</v>
      </c>
      <c r="BE530" s="3" t="s">
        <v>5152</v>
      </c>
      <c r="BF530" s="3" t="s">
        <v>5151</v>
      </c>
      <c r="BG530" s="3" t="s">
        <v>5153</v>
      </c>
    </row>
    <row r="531" spans="1:59" ht="57" x14ac:dyDescent="0.45">
      <c r="A531" s="2" t="s">
        <v>59</v>
      </c>
      <c r="B531" s="2" t="s">
        <v>60</v>
      </c>
      <c r="C531" s="2" t="s">
        <v>5154</v>
      </c>
      <c r="D531" s="2" t="s">
        <v>5155</v>
      </c>
      <c r="E531" s="2" t="s">
        <v>5156</v>
      </c>
      <c r="G531" s="3" t="s">
        <v>62</v>
      </c>
      <c r="I531" s="3" t="s">
        <v>62</v>
      </c>
      <c r="J531" s="3" t="s">
        <v>62</v>
      </c>
      <c r="K531" s="3" t="s">
        <v>63</v>
      </c>
      <c r="M531" s="2" t="s">
        <v>4162</v>
      </c>
      <c r="N531" s="3" t="s">
        <v>894</v>
      </c>
      <c r="P531" s="3" t="s">
        <v>65</v>
      </c>
      <c r="Q531" s="2" t="s">
        <v>5157</v>
      </c>
      <c r="R531" s="3" t="s">
        <v>66</v>
      </c>
      <c r="S531" s="4">
        <v>1</v>
      </c>
      <c r="T531" s="4">
        <v>1</v>
      </c>
      <c r="U531" s="5" t="s">
        <v>5158</v>
      </c>
      <c r="V531" s="5" t="s">
        <v>5158</v>
      </c>
      <c r="W531" s="5" t="s">
        <v>67</v>
      </c>
      <c r="X531" s="5" t="s">
        <v>67</v>
      </c>
      <c r="Y531" s="4">
        <v>84</v>
      </c>
      <c r="Z531" s="4">
        <v>13</v>
      </c>
      <c r="AA531" s="4">
        <v>90</v>
      </c>
      <c r="AB531" s="4">
        <v>2</v>
      </c>
      <c r="AC531" s="4">
        <v>17</v>
      </c>
      <c r="AD531" s="4">
        <v>48</v>
      </c>
      <c r="AE531" s="4">
        <v>120</v>
      </c>
      <c r="AF531" s="4">
        <v>1</v>
      </c>
      <c r="AG531" s="4">
        <v>8</v>
      </c>
      <c r="AH531" s="4">
        <v>44</v>
      </c>
      <c r="AI531" s="4">
        <v>85</v>
      </c>
      <c r="AJ531" s="4">
        <v>11</v>
      </c>
      <c r="AK531" s="4">
        <v>24</v>
      </c>
      <c r="AL531" s="4">
        <v>26</v>
      </c>
      <c r="AM531" s="4">
        <v>43</v>
      </c>
      <c r="AN531" s="4">
        <v>0</v>
      </c>
      <c r="AO531" s="4">
        <v>0</v>
      </c>
      <c r="AP531" s="4">
        <v>11</v>
      </c>
      <c r="AQ531" s="4">
        <v>45</v>
      </c>
      <c r="AR531" s="3" t="s">
        <v>62</v>
      </c>
      <c r="AS531" s="3" t="s">
        <v>62</v>
      </c>
      <c r="AT531" s="3" t="s">
        <v>62</v>
      </c>
      <c r="AV531" s="6" t="str">
        <f>HYPERLINK("http://mcgill.on.worldcat.org/oclc/743040466","Catalog Record")</f>
        <v>Catalog Record</v>
      </c>
      <c r="AW531" s="6" t="str">
        <f>HYPERLINK("http://www.worldcat.org/oclc/743040466","WorldCat Record")</f>
        <v>WorldCat Record</v>
      </c>
      <c r="AX531" s="3" t="s">
        <v>5159</v>
      </c>
      <c r="AY531" s="3" t="s">
        <v>5160</v>
      </c>
      <c r="AZ531" s="3" t="s">
        <v>5161</v>
      </c>
      <c r="BA531" s="3" t="s">
        <v>5161</v>
      </c>
      <c r="BB531" s="3" t="s">
        <v>5162</v>
      </c>
      <c r="BC531" s="3" t="s">
        <v>142</v>
      </c>
      <c r="BD531" s="3" t="s">
        <v>68</v>
      </c>
      <c r="BE531" s="3" t="s">
        <v>5163</v>
      </c>
      <c r="BF531" s="3" t="s">
        <v>5162</v>
      </c>
      <c r="BG531" s="3" t="s">
        <v>5164</v>
      </c>
    </row>
    <row r="532" spans="1:59" ht="57" x14ac:dyDescent="0.45">
      <c r="A532" s="2" t="s">
        <v>59</v>
      </c>
      <c r="B532" s="2" t="s">
        <v>60</v>
      </c>
      <c r="C532" s="2" t="s">
        <v>5165</v>
      </c>
      <c r="D532" s="2" t="s">
        <v>5166</v>
      </c>
      <c r="E532" s="2" t="s">
        <v>5167</v>
      </c>
      <c r="G532" s="3" t="s">
        <v>62</v>
      </c>
      <c r="I532" s="3" t="s">
        <v>62</v>
      </c>
      <c r="J532" s="3" t="s">
        <v>62</v>
      </c>
      <c r="K532" s="3" t="s">
        <v>63</v>
      </c>
      <c r="M532" s="2" t="s">
        <v>5168</v>
      </c>
      <c r="N532" s="3" t="s">
        <v>1688</v>
      </c>
      <c r="O532" s="2" t="s">
        <v>1748</v>
      </c>
      <c r="P532" s="3" t="s">
        <v>65</v>
      </c>
      <c r="Q532" s="2" t="s">
        <v>5169</v>
      </c>
      <c r="R532" s="3" t="s">
        <v>66</v>
      </c>
      <c r="S532" s="4">
        <v>2</v>
      </c>
      <c r="T532" s="4">
        <v>2</v>
      </c>
      <c r="U532" s="5" t="s">
        <v>4759</v>
      </c>
      <c r="V532" s="5" t="s">
        <v>4759</v>
      </c>
      <c r="W532" s="5" t="s">
        <v>67</v>
      </c>
      <c r="X532" s="5" t="s">
        <v>67</v>
      </c>
      <c r="Y532" s="4">
        <v>176</v>
      </c>
      <c r="Z532" s="4">
        <v>14</v>
      </c>
      <c r="AA532" s="4">
        <v>14</v>
      </c>
      <c r="AB532" s="4">
        <v>1</v>
      </c>
      <c r="AC532" s="4">
        <v>1</v>
      </c>
      <c r="AD532" s="4">
        <v>59</v>
      </c>
      <c r="AE532" s="4">
        <v>60</v>
      </c>
      <c r="AF532" s="4">
        <v>0</v>
      </c>
      <c r="AG532" s="4">
        <v>0</v>
      </c>
      <c r="AH532" s="4">
        <v>54</v>
      </c>
      <c r="AI532" s="4">
        <v>55</v>
      </c>
      <c r="AJ532" s="4">
        <v>11</v>
      </c>
      <c r="AK532" s="4">
        <v>11</v>
      </c>
      <c r="AL532" s="4">
        <v>32</v>
      </c>
      <c r="AM532" s="4">
        <v>32</v>
      </c>
      <c r="AN532" s="4">
        <v>0</v>
      </c>
      <c r="AO532" s="4">
        <v>0</v>
      </c>
      <c r="AP532" s="4">
        <v>12</v>
      </c>
      <c r="AQ532" s="4">
        <v>12</v>
      </c>
      <c r="AR532" s="3" t="s">
        <v>62</v>
      </c>
      <c r="AS532" s="3" t="s">
        <v>62</v>
      </c>
      <c r="AT532" s="3" t="s">
        <v>62</v>
      </c>
      <c r="AV532" s="6" t="str">
        <f>HYPERLINK("http://mcgill.on.worldcat.org/oclc/883651659","Catalog Record")</f>
        <v>Catalog Record</v>
      </c>
      <c r="AW532" s="6" t="str">
        <f>HYPERLINK("http://www.worldcat.org/oclc/883651659","WorldCat Record")</f>
        <v>WorldCat Record</v>
      </c>
      <c r="AX532" s="3" t="s">
        <v>5170</v>
      </c>
      <c r="AY532" s="3" t="s">
        <v>5171</v>
      </c>
      <c r="AZ532" s="3" t="s">
        <v>5172</v>
      </c>
      <c r="BA532" s="3" t="s">
        <v>5172</v>
      </c>
      <c r="BB532" s="3" t="s">
        <v>5173</v>
      </c>
      <c r="BC532" s="3" t="s">
        <v>142</v>
      </c>
      <c r="BD532" s="3" t="s">
        <v>68</v>
      </c>
      <c r="BE532" s="3" t="s">
        <v>5174</v>
      </c>
      <c r="BF532" s="3" t="s">
        <v>5173</v>
      </c>
      <c r="BG532" s="3" t="s">
        <v>5175</v>
      </c>
    </row>
    <row r="533" spans="1:59" ht="57" x14ac:dyDescent="0.45">
      <c r="A533" s="2" t="s">
        <v>59</v>
      </c>
      <c r="B533" s="2" t="s">
        <v>60</v>
      </c>
      <c r="C533" s="2" t="s">
        <v>5176</v>
      </c>
      <c r="D533" s="2" t="s">
        <v>5177</v>
      </c>
      <c r="E533" s="2" t="s">
        <v>5178</v>
      </c>
      <c r="G533" s="3" t="s">
        <v>62</v>
      </c>
      <c r="I533" s="3" t="s">
        <v>62</v>
      </c>
      <c r="J533" s="3" t="s">
        <v>62</v>
      </c>
      <c r="K533" s="3" t="s">
        <v>63</v>
      </c>
      <c r="M533" s="2" t="s">
        <v>5179</v>
      </c>
      <c r="N533" s="3" t="s">
        <v>5180</v>
      </c>
      <c r="P533" s="3" t="s">
        <v>65</v>
      </c>
      <c r="R533" s="3" t="s">
        <v>66</v>
      </c>
      <c r="S533" s="4">
        <v>0</v>
      </c>
      <c r="T533" s="4">
        <v>0</v>
      </c>
      <c r="W533" s="5" t="s">
        <v>67</v>
      </c>
      <c r="X533" s="5" t="s">
        <v>67</v>
      </c>
      <c r="Y533" s="4">
        <v>27</v>
      </c>
      <c r="Z533" s="4">
        <v>4</v>
      </c>
      <c r="AA533" s="4">
        <v>4</v>
      </c>
      <c r="AB533" s="4">
        <v>1</v>
      </c>
      <c r="AC533" s="4">
        <v>1</v>
      </c>
      <c r="AD533" s="4">
        <v>21</v>
      </c>
      <c r="AE533" s="4">
        <v>21</v>
      </c>
      <c r="AF533" s="4">
        <v>0</v>
      </c>
      <c r="AG533" s="4">
        <v>0</v>
      </c>
      <c r="AH533" s="4">
        <v>21</v>
      </c>
      <c r="AI533" s="4">
        <v>21</v>
      </c>
      <c r="AJ533" s="4">
        <v>3</v>
      </c>
      <c r="AK533" s="4">
        <v>3</v>
      </c>
      <c r="AL533" s="4">
        <v>15</v>
      </c>
      <c r="AM533" s="4">
        <v>15</v>
      </c>
      <c r="AN533" s="4">
        <v>0</v>
      </c>
      <c r="AO533" s="4">
        <v>0</v>
      </c>
      <c r="AP533" s="4">
        <v>3</v>
      </c>
      <c r="AQ533" s="4">
        <v>3</v>
      </c>
      <c r="AR533" s="3" t="s">
        <v>62</v>
      </c>
      <c r="AS533" s="3" t="s">
        <v>62</v>
      </c>
      <c r="AT533" s="3" t="s">
        <v>62</v>
      </c>
      <c r="AV533" s="6" t="str">
        <f>HYPERLINK("http://mcgill.on.worldcat.org/oclc/1050447217","Catalog Record")</f>
        <v>Catalog Record</v>
      </c>
      <c r="AW533" s="6" t="str">
        <f>HYPERLINK("http://www.worldcat.org/oclc/1050447217","WorldCat Record")</f>
        <v>WorldCat Record</v>
      </c>
      <c r="AX533" s="3" t="s">
        <v>5181</v>
      </c>
      <c r="AY533" s="3" t="s">
        <v>5182</v>
      </c>
      <c r="AZ533" s="3" t="s">
        <v>5183</v>
      </c>
      <c r="BA533" s="3" t="s">
        <v>5183</v>
      </c>
      <c r="BB533" s="3" t="s">
        <v>5184</v>
      </c>
      <c r="BC533" s="3" t="s">
        <v>142</v>
      </c>
      <c r="BD533" s="3" t="s">
        <v>68</v>
      </c>
      <c r="BE533" s="3" t="s">
        <v>5185</v>
      </c>
      <c r="BF533" s="3" t="s">
        <v>5184</v>
      </c>
      <c r="BG533" s="3" t="s">
        <v>5186</v>
      </c>
    </row>
    <row r="534" spans="1:59" ht="57" x14ac:dyDescent="0.45">
      <c r="A534" s="2" t="s">
        <v>59</v>
      </c>
      <c r="B534" s="2" t="s">
        <v>60</v>
      </c>
      <c r="C534" s="2" t="s">
        <v>5187</v>
      </c>
      <c r="D534" s="2" t="s">
        <v>5188</v>
      </c>
      <c r="E534" s="2" t="s">
        <v>5189</v>
      </c>
      <c r="G534" s="3" t="s">
        <v>62</v>
      </c>
      <c r="I534" s="3" t="s">
        <v>62</v>
      </c>
      <c r="J534" s="3" t="s">
        <v>62</v>
      </c>
      <c r="K534" s="3" t="s">
        <v>63</v>
      </c>
      <c r="M534" s="2" t="s">
        <v>5190</v>
      </c>
      <c r="N534" s="3" t="s">
        <v>945</v>
      </c>
      <c r="P534" s="3" t="s">
        <v>65</v>
      </c>
      <c r="Q534" s="2" t="s">
        <v>5191</v>
      </c>
      <c r="R534" s="3" t="s">
        <v>66</v>
      </c>
      <c r="S534" s="4">
        <v>7</v>
      </c>
      <c r="T534" s="4">
        <v>7</v>
      </c>
      <c r="U534" s="5" t="s">
        <v>5192</v>
      </c>
      <c r="V534" s="5" t="s">
        <v>5192</v>
      </c>
      <c r="W534" s="5" t="s">
        <v>67</v>
      </c>
      <c r="X534" s="5" t="s">
        <v>67</v>
      </c>
      <c r="Y534" s="4">
        <v>76</v>
      </c>
      <c r="Z534" s="4">
        <v>8</v>
      </c>
      <c r="AA534" s="4">
        <v>12</v>
      </c>
      <c r="AB534" s="4">
        <v>1</v>
      </c>
      <c r="AC534" s="4">
        <v>5</v>
      </c>
      <c r="AD534" s="4">
        <v>46</v>
      </c>
      <c r="AE534" s="4">
        <v>48</v>
      </c>
      <c r="AF534" s="4">
        <v>0</v>
      </c>
      <c r="AG534" s="4">
        <v>2</v>
      </c>
      <c r="AH534" s="4">
        <v>45</v>
      </c>
      <c r="AI534" s="4">
        <v>45</v>
      </c>
      <c r="AJ534" s="4">
        <v>6</v>
      </c>
      <c r="AK534" s="4">
        <v>8</v>
      </c>
      <c r="AL534" s="4">
        <v>31</v>
      </c>
      <c r="AM534" s="4">
        <v>31</v>
      </c>
      <c r="AN534" s="4">
        <v>0</v>
      </c>
      <c r="AO534" s="4">
        <v>0</v>
      </c>
      <c r="AP534" s="4">
        <v>6</v>
      </c>
      <c r="AQ534" s="4">
        <v>7</v>
      </c>
      <c r="AR534" s="3" t="s">
        <v>62</v>
      </c>
      <c r="AS534" s="3" t="s">
        <v>62</v>
      </c>
      <c r="AT534" s="3" t="s">
        <v>61</v>
      </c>
      <c r="AU534" s="6" t="str">
        <f>HYPERLINK("http://catalog.hathitrust.org/Record/005574037","HathiTrust Record")</f>
        <v>HathiTrust Record</v>
      </c>
      <c r="AV534" s="6" t="str">
        <f>HYPERLINK("http://mcgill.on.worldcat.org/oclc/85855030","Catalog Record")</f>
        <v>Catalog Record</v>
      </c>
      <c r="AW534" s="6" t="str">
        <f>HYPERLINK("http://www.worldcat.org/oclc/85855030","WorldCat Record")</f>
        <v>WorldCat Record</v>
      </c>
      <c r="AX534" s="3" t="s">
        <v>5193</v>
      </c>
      <c r="AY534" s="3" t="s">
        <v>5194</v>
      </c>
      <c r="AZ534" s="3" t="s">
        <v>5195</v>
      </c>
      <c r="BA534" s="3" t="s">
        <v>5195</v>
      </c>
      <c r="BB534" s="3" t="s">
        <v>5196</v>
      </c>
      <c r="BC534" s="3" t="s">
        <v>142</v>
      </c>
      <c r="BD534" s="3" t="s">
        <v>68</v>
      </c>
      <c r="BE534" s="3" t="s">
        <v>5197</v>
      </c>
      <c r="BF534" s="3" t="s">
        <v>5196</v>
      </c>
      <c r="BG534" s="3" t="s">
        <v>5198</v>
      </c>
    </row>
    <row r="535" spans="1:59" ht="57" x14ac:dyDescent="0.45">
      <c r="A535" s="2" t="s">
        <v>59</v>
      </c>
      <c r="B535" s="2" t="s">
        <v>60</v>
      </c>
      <c r="C535" s="2" t="s">
        <v>5199</v>
      </c>
      <c r="D535" s="2" t="s">
        <v>5200</v>
      </c>
      <c r="E535" s="2" t="s">
        <v>5201</v>
      </c>
      <c r="G535" s="3" t="s">
        <v>62</v>
      </c>
      <c r="I535" s="3" t="s">
        <v>62</v>
      </c>
      <c r="J535" s="3" t="s">
        <v>62</v>
      </c>
      <c r="K535" s="3" t="s">
        <v>63</v>
      </c>
      <c r="L535" s="2" t="s">
        <v>5202</v>
      </c>
      <c r="M535" s="2" t="s">
        <v>5203</v>
      </c>
      <c r="N535" s="3" t="s">
        <v>1465</v>
      </c>
      <c r="P535" s="3" t="s">
        <v>65</v>
      </c>
      <c r="R535" s="3" t="s">
        <v>66</v>
      </c>
      <c r="S535" s="4">
        <v>13</v>
      </c>
      <c r="T535" s="4">
        <v>13</v>
      </c>
      <c r="U535" s="5" t="s">
        <v>5204</v>
      </c>
      <c r="V535" s="5" t="s">
        <v>5204</v>
      </c>
      <c r="W535" s="5" t="s">
        <v>67</v>
      </c>
      <c r="X535" s="5" t="s">
        <v>67</v>
      </c>
      <c r="Y535" s="4">
        <v>359</v>
      </c>
      <c r="Z535" s="4">
        <v>26</v>
      </c>
      <c r="AA535" s="4">
        <v>109</v>
      </c>
      <c r="AB535" s="4">
        <v>3</v>
      </c>
      <c r="AC535" s="4">
        <v>18</v>
      </c>
      <c r="AD535" s="4">
        <v>94</v>
      </c>
      <c r="AE535" s="4">
        <v>142</v>
      </c>
      <c r="AF535" s="4">
        <v>1</v>
      </c>
      <c r="AG535" s="4">
        <v>8</v>
      </c>
      <c r="AH535" s="4">
        <v>86</v>
      </c>
      <c r="AI535" s="4">
        <v>105</v>
      </c>
      <c r="AJ535" s="4">
        <v>14</v>
      </c>
      <c r="AK535" s="4">
        <v>26</v>
      </c>
      <c r="AL535" s="4">
        <v>51</v>
      </c>
      <c r="AM535" s="4">
        <v>56</v>
      </c>
      <c r="AN535" s="4">
        <v>0</v>
      </c>
      <c r="AO535" s="4">
        <v>0</v>
      </c>
      <c r="AP535" s="4">
        <v>15</v>
      </c>
      <c r="AQ535" s="4">
        <v>47</v>
      </c>
      <c r="AR535" s="3" t="s">
        <v>62</v>
      </c>
      <c r="AS535" s="3" t="s">
        <v>62</v>
      </c>
      <c r="AT535" s="3" t="s">
        <v>61</v>
      </c>
      <c r="AU535" s="6" t="str">
        <f>HYPERLINK("http://catalog.hathitrust.org/Record/006924565","HathiTrust Record")</f>
        <v>HathiTrust Record</v>
      </c>
      <c r="AV535" s="6" t="str">
        <f>HYPERLINK("http://mcgill.on.worldcat.org/oclc/312096754","Catalog Record")</f>
        <v>Catalog Record</v>
      </c>
      <c r="AW535" s="6" t="str">
        <f>HYPERLINK("http://www.worldcat.org/oclc/312096754","WorldCat Record")</f>
        <v>WorldCat Record</v>
      </c>
      <c r="AX535" s="3" t="s">
        <v>5205</v>
      </c>
      <c r="AY535" s="3" t="s">
        <v>5206</v>
      </c>
      <c r="AZ535" s="3" t="s">
        <v>5207</v>
      </c>
      <c r="BA535" s="3" t="s">
        <v>5207</v>
      </c>
      <c r="BB535" s="3" t="s">
        <v>5208</v>
      </c>
      <c r="BC535" s="3" t="s">
        <v>142</v>
      </c>
      <c r="BD535" s="3" t="s">
        <v>68</v>
      </c>
      <c r="BE535" s="3" t="s">
        <v>5209</v>
      </c>
      <c r="BF535" s="3" t="s">
        <v>5208</v>
      </c>
      <c r="BG535" s="3" t="s">
        <v>5210</v>
      </c>
    </row>
    <row r="536" spans="1:59" ht="57" x14ac:dyDescent="0.45">
      <c r="A536" s="2" t="s">
        <v>59</v>
      </c>
      <c r="B536" s="2" t="s">
        <v>60</v>
      </c>
      <c r="C536" s="2" t="s">
        <v>5211</v>
      </c>
      <c r="D536" s="2" t="s">
        <v>5212</v>
      </c>
      <c r="E536" s="2" t="s">
        <v>5213</v>
      </c>
      <c r="G536" s="3" t="s">
        <v>62</v>
      </c>
      <c r="I536" s="3" t="s">
        <v>62</v>
      </c>
      <c r="J536" s="3" t="s">
        <v>62</v>
      </c>
      <c r="K536" s="3" t="s">
        <v>63</v>
      </c>
      <c r="L536" s="2" t="s">
        <v>4803</v>
      </c>
      <c r="M536" s="2" t="s">
        <v>5214</v>
      </c>
      <c r="N536" s="3" t="s">
        <v>945</v>
      </c>
      <c r="P536" s="3" t="s">
        <v>65</v>
      </c>
      <c r="R536" s="3" t="s">
        <v>66</v>
      </c>
      <c r="S536" s="4">
        <v>15</v>
      </c>
      <c r="T536" s="4">
        <v>15</v>
      </c>
      <c r="U536" s="5" t="s">
        <v>5192</v>
      </c>
      <c r="V536" s="5" t="s">
        <v>5192</v>
      </c>
      <c r="W536" s="5" t="s">
        <v>67</v>
      </c>
      <c r="X536" s="5" t="s">
        <v>67</v>
      </c>
      <c r="Y536" s="4">
        <v>1026</v>
      </c>
      <c r="Z536" s="4">
        <v>49</v>
      </c>
      <c r="AA536" s="4">
        <v>82</v>
      </c>
      <c r="AB536" s="4">
        <v>4</v>
      </c>
      <c r="AC536" s="4">
        <v>19</v>
      </c>
      <c r="AD536" s="4">
        <v>134</v>
      </c>
      <c r="AE536" s="4">
        <v>155</v>
      </c>
      <c r="AF536" s="4">
        <v>2</v>
      </c>
      <c r="AG536" s="4">
        <v>9</v>
      </c>
      <c r="AH536" s="4">
        <v>107</v>
      </c>
      <c r="AI536" s="4">
        <v>109</v>
      </c>
      <c r="AJ536" s="4">
        <v>17</v>
      </c>
      <c r="AK536" s="4">
        <v>24</v>
      </c>
      <c r="AL536" s="4">
        <v>57</v>
      </c>
      <c r="AM536" s="4">
        <v>57</v>
      </c>
      <c r="AN536" s="4">
        <v>0</v>
      </c>
      <c r="AO536" s="4">
        <v>0</v>
      </c>
      <c r="AP536" s="4">
        <v>35</v>
      </c>
      <c r="AQ536" s="4">
        <v>53</v>
      </c>
      <c r="AR536" s="3" t="s">
        <v>62</v>
      </c>
      <c r="AS536" s="3" t="s">
        <v>62</v>
      </c>
      <c r="AT536" s="3" t="s">
        <v>61</v>
      </c>
      <c r="AU536" s="6" t="str">
        <f>HYPERLINK("http://catalog.hathitrust.org/Record/005417470","HathiTrust Record")</f>
        <v>HathiTrust Record</v>
      </c>
      <c r="AV536" s="6" t="str">
        <f>HYPERLINK("http://mcgill.on.worldcat.org/oclc/65425996","Catalog Record")</f>
        <v>Catalog Record</v>
      </c>
      <c r="AW536" s="6" t="str">
        <f>HYPERLINK("http://www.worldcat.org/oclc/65425996","WorldCat Record")</f>
        <v>WorldCat Record</v>
      </c>
      <c r="AX536" s="3" t="s">
        <v>5215</v>
      </c>
      <c r="AY536" s="3" t="s">
        <v>5216</v>
      </c>
      <c r="AZ536" s="3" t="s">
        <v>5217</v>
      </c>
      <c r="BA536" s="3" t="s">
        <v>5217</v>
      </c>
      <c r="BB536" s="3" t="s">
        <v>5218</v>
      </c>
      <c r="BC536" s="3" t="s">
        <v>142</v>
      </c>
      <c r="BD536" s="3" t="s">
        <v>68</v>
      </c>
      <c r="BE536" s="3" t="s">
        <v>5219</v>
      </c>
      <c r="BF536" s="3" t="s">
        <v>5218</v>
      </c>
      <c r="BG536" s="3" t="s">
        <v>5220</v>
      </c>
    </row>
    <row r="537" spans="1:59" ht="57" x14ac:dyDescent="0.45">
      <c r="A537" s="2" t="s">
        <v>59</v>
      </c>
      <c r="B537" s="2" t="s">
        <v>60</v>
      </c>
      <c r="C537" s="2" t="s">
        <v>5221</v>
      </c>
      <c r="D537" s="2" t="s">
        <v>5222</v>
      </c>
      <c r="E537" s="2" t="s">
        <v>5223</v>
      </c>
      <c r="G537" s="3" t="s">
        <v>62</v>
      </c>
      <c r="I537" s="3" t="s">
        <v>62</v>
      </c>
      <c r="J537" s="3" t="s">
        <v>62</v>
      </c>
      <c r="K537" s="3" t="s">
        <v>63</v>
      </c>
      <c r="M537" s="2" t="s">
        <v>5224</v>
      </c>
      <c r="N537" s="3" t="s">
        <v>1239</v>
      </c>
      <c r="P537" s="3" t="s">
        <v>65</v>
      </c>
      <c r="Q537" s="2" t="s">
        <v>5225</v>
      </c>
      <c r="R537" s="3" t="s">
        <v>66</v>
      </c>
      <c r="S537" s="4">
        <v>25</v>
      </c>
      <c r="T537" s="4">
        <v>25</v>
      </c>
      <c r="U537" s="5" t="s">
        <v>342</v>
      </c>
      <c r="V537" s="5" t="s">
        <v>342</v>
      </c>
      <c r="W537" s="5" t="s">
        <v>67</v>
      </c>
      <c r="X537" s="5" t="s">
        <v>67</v>
      </c>
      <c r="Y537" s="4">
        <v>372</v>
      </c>
      <c r="Z537" s="4">
        <v>27</v>
      </c>
      <c r="AA537" s="4">
        <v>33</v>
      </c>
      <c r="AB537" s="4">
        <v>1</v>
      </c>
      <c r="AC537" s="4">
        <v>5</v>
      </c>
      <c r="AD537" s="4">
        <v>113</v>
      </c>
      <c r="AE537" s="4">
        <v>119</v>
      </c>
      <c r="AF537" s="4">
        <v>0</v>
      </c>
      <c r="AG537" s="4">
        <v>3</v>
      </c>
      <c r="AH537" s="4">
        <v>99</v>
      </c>
      <c r="AI537" s="4">
        <v>101</v>
      </c>
      <c r="AJ537" s="4">
        <v>15</v>
      </c>
      <c r="AK537" s="4">
        <v>18</v>
      </c>
      <c r="AL537" s="4">
        <v>52</v>
      </c>
      <c r="AM537" s="4">
        <v>53</v>
      </c>
      <c r="AN537" s="4">
        <v>0</v>
      </c>
      <c r="AO537" s="4">
        <v>0</v>
      </c>
      <c r="AP537" s="4">
        <v>22</v>
      </c>
      <c r="AQ537" s="4">
        <v>26</v>
      </c>
      <c r="AR537" s="3" t="s">
        <v>62</v>
      </c>
      <c r="AS537" s="3" t="s">
        <v>62</v>
      </c>
      <c r="AT537" s="3" t="s">
        <v>61</v>
      </c>
      <c r="AU537" s="6" t="str">
        <f>HYPERLINK("http://catalog.hathitrust.org/Record/002185645","HathiTrust Record")</f>
        <v>HathiTrust Record</v>
      </c>
      <c r="AV537" s="6" t="str">
        <f>HYPERLINK("http://mcgill.on.worldcat.org/oclc/18105890","Catalog Record")</f>
        <v>Catalog Record</v>
      </c>
      <c r="AW537" s="6" t="str">
        <f>HYPERLINK("http://www.worldcat.org/oclc/18105890","WorldCat Record")</f>
        <v>WorldCat Record</v>
      </c>
      <c r="AX537" s="3" t="s">
        <v>5226</v>
      </c>
      <c r="AY537" s="3" t="s">
        <v>5227</v>
      </c>
      <c r="AZ537" s="3" t="s">
        <v>5228</v>
      </c>
      <c r="BA537" s="3" t="s">
        <v>5228</v>
      </c>
      <c r="BB537" s="3" t="s">
        <v>5229</v>
      </c>
      <c r="BC537" s="3" t="s">
        <v>142</v>
      </c>
      <c r="BD537" s="3" t="s">
        <v>68</v>
      </c>
      <c r="BE537" s="3" t="s">
        <v>5230</v>
      </c>
      <c r="BF537" s="3" t="s">
        <v>5229</v>
      </c>
      <c r="BG537" s="3" t="s">
        <v>5231</v>
      </c>
    </row>
    <row r="538" spans="1:59" ht="57" x14ac:dyDescent="0.45">
      <c r="A538" s="2" t="s">
        <v>59</v>
      </c>
      <c r="B538" s="2" t="s">
        <v>60</v>
      </c>
      <c r="C538" s="2" t="s">
        <v>5232</v>
      </c>
      <c r="D538" s="2" t="s">
        <v>5233</v>
      </c>
      <c r="E538" s="2" t="s">
        <v>5234</v>
      </c>
      <c r="G538" s="3" t="s">
        <v>62</v>
      </c>
      <c r="I538" s="3" t="s">
        <v>62</v>
      </c>
      <c r="J538" s="3" t="s">
        <v>62</v>
      </c>
      <c r="K538" s="3" t="s">
        <v>63</v>
      </c>
      <c r="M538" s="2" t="s">
        <v>2928</v>
      </c>
      <c r="N538" s="3" t="s">
        <v>918</v>
      </c>
      <c r="P538" s="3" t="s">
        <v>65</v>
      </c>
      <c r="Q538" s="2" t="s">
        <v>5235</v>
      </c>
      <c r="R538" s="3" t="s">
        <v>66</v>
      </c>
      <c r="S538" s="4">
        <v>23</v>
      </c>
      <c r="T538" s="4">
        <v>23</v>
      </c>
      <c r="U538" s="5" t="s">
        <v>5192</v>
      </c>
      <c r="V538" s="5" t="s">
        <v>5192</v>
      </c>
      <c r="W538" s="5" t="s">
        <v>67</v>
      </c>
      <c r="X538" s="5" t="s">
        <v>67</v>
      </c>
      <c r="Y538" s="4">
        <v>158</v>
      </c>
      <c r="Z538" s="4">
        <v>15</v>
      </c>
      <c r="AA538" s="4">
        <v>96</v>
      </c>
      <c r="AB538" s="4">
        <v>1</v>
      </c>
      <c r="AC538" s="4">
        <v>17</v>
      </c>
      <c r="AD538" s="4">
        <v>69</v>
      </c>
      <c r="AE538" s="4">
        <v>127</v>
      </c>
      <c r="AF538" s="4">
        <v>0</v>
      </c>
      <c r="AG538" s="4">
        <v>8</v>
      </c>
      <c r="AH538" s="4">
        <v>61</v>
      </c>
      <c r="AI538" s="4">
        <v>91</v>
      </c>
      <c r="AJ538" s="4">
        <v>10</v>
      </c>
      <c r="AK538" s="4">
        <v>24</v>
      </c>
      <c r="AL538" s="4">
        <v>43</v>
      </c>
      <c r="AM538" s="4">
        <v>50</v>
      </c>
      <c r="AN538" s="4">
        <v>0</v>
      </c>
      <c r="AO538" s="4">
        <v>0</v>
      </c>
      <c r="AP538" s="4">
        <v>13</v>
      </c>
      <c r="AQ538" s="4">
        <v>45</v>
      </c>
      <c r="AR538" s="3" t="s">
        <v>62</v>
      </c>
      <c r="AS538" s="3" t="s">
        <v>62</v>
      </c>
      <c r="AT538" s="3" t="s">
        <v>61</v>
      </c>
      <c r="AU538" s="6" t="str">
        <f>HYPERLINK("http://catalog.hathitrust.org/Record/003845106","HathiTrust Record")</f>
        <v>HathiTrust Record</v>
      </c>
      <c r="AV538" s="6" t="str">
        <f>HYPERLINK("http://mcgill.on.worldcat.org/oclc/51652903","Catalog Record")</f>
        <v>Catalog Record</v>
      </c>
      <c r="AW538" s="6" t="str">
        <f>HYPERLINK("http://www.worldcat.org/oclc/51652903","WorldCat Record")</f>
        <v>WorldCat Record</v>
      </c>
      <c r="AX538" s="3" t="s">
        <v>5236</v>
      </c>
      <c r="AY538" s="3" t="s">
        <v>5237</v>
      </c>
      <c r="AZ538" s="3" t="s">
        <v>5238</v>
      </c>
      <c r="BA538" s="3" t="s">
        <v>5238</v>
      </c>
      <c r="BB538" s="3" t="s">
        <v>5239</v>
      </c>
      <c r="BC538" s="3" t="s">
        <v>142</v>
      </c>
      <c r="BD538" s="3" t="s">
        <v>68</v>
      </c>
      <c r="BE538" s="3" t="s">
        <v>5240</v>
      </c>
      <c r="BF538" s="3" t="s">
        <v>5239</v>
      </c>
      <c r="BG538" s="3" t="s">
        <v>5241</v>
      </c>
    </row>
    <row r="539" spans="1:59" ht="57" x14ac:dyDescent="0.45">
      <c r="A539" s="2" t="s">
        <v>59</v>
      </c>
      <c r="B539" s="2" t="s">
        <v>60</v>
      </c>
      <c r="C539" s="2" t="s">
        <v>5242</v>
      </c>
      <c r="D539" s="2" t="s">
        <v>5243</v>
      </c>
      <c r="E539" s="2" t="s">
        <v>5244</v>
      </c>
      <c r="G539" s="3" t="s">
        <v>62</v>
      </c>
      <c r="I539" s="3" t="s">
        <v>61</v>
      </c>
      <c r="J539" s="3" t="s">
        <v>62</v>
      </c>
      <c r="K539" s="3" t="s">
        <v>63</v>
      </c>
      <c r="L539" s="2" t="s">
        <v>5245</v>
      </c>
      <c r="M539" s="2" t="s">
        <v>5246</v>
      </c>
      <c r="N539" s="3" t="s">
        <v>1212</v>
      </c>
      <c r="P539" s="3" t="s">
        <v>65</v>
      </c>
      <c r="R539" s="3" t="s">
        <v>66</v>
      </c>
      <c r="S539" s="4">
        <v>19</v>
      </c>
      <c r="T539" s="4">
        <v>55</v>
      </c>
      <c r="U539" s="5" t="s">
        <v>5247</v>
      </c>
      <c r="V539" s="5" t="s">
        <v>5247</v>
      </c>
      <c r="W539" s="5" t="s">
        <v>67</v>
      </c>
      <c r="X539" s="5" t="s">
        <v>67</v>
      </c>
      <c r="Y539" s="4">
        <v>950</v>
      </c>
      <c r="Z539" s="4">
        <v>46</v>
      </c>
      <c r="AA539" s="4">
        <v>132</v>
      </c>
      <c r="AB539" s="4">
        <v>2</v>
      </c>
      <c r="AC539" s="4">
        <v>23</v>
      </c>
      <c r="AD539" s="4">
        <v>130</v>
      </c>
      <c r="AE539" s="4">
        <v>164</v>
      </c>
      <c r="AF539" s="4">
        <v>1</v>
      </c>
      <c r="AG539" s="4">
        <v>9</v>
      </c>
      <c r="AH539" s="4">
        <v>102</v>
      </c>
      <c r="AI539" s="4">
        <v>112</v>
      </c>
      <c r="AJ539" s="4">
        <v>21</v>
      </c>
      <c r="AK539" s="4">
        <v>29</v>
      </c>
      <c r="AL539" s="4">
        <v>51</v>
      </c>
      <c r="AM539" s="4">
        <v>56</v>
      </c>
      <c r="AN539" s="4">
        <v>0</v>
      </c>
      <c r="AO539" s="4">
        <v>0</v>
      </c>
      <c r="AP539" s="4">
        <v>34</v>
      </c>
      <c r="AQ539" s="4">
        <v>59</v>
      </c>
      <c r="AR539" s="3" t="s">
        <v>62</v>
      </c>
      <c r="AS539" s="3" t="s">
        <v>62</v>
      </c>
      <c r="AT539" s="3" t="s">
        <v>61</v>
      </c>
      <c r="AU539" s="6" t="str">
        <f>HYPERLINK("http://catalog.hathitrust.org/Record/004106573","HathiTrust Record")</f>
        <v>HathiTrust Record</v>
      </c>
      <c r="AV539" s="6" t="str">
        <f>HYPERLINK("http://mcgill.on.worldcat.org/oclc/41580409","Catalog Record")</f>
        <v>Catalog Record</v>
      </c>
      <c r="AW539" s="6" t="str">
        <f>HYPERLINK("http://www.worldcat.org/oclc/41580409","WorldCat Record")</f>
        <v>WorldCat Record</v>
      </c>
      <c r="AX539" s="3" t="s">
        <v>5248</v>
      </c>
      <c r="AY539" s="3" t="s">
        <v>5249</v>
      </c>
      <c r="AZ539" s="3" t="s">
        <v>5250</v>
      </c>
      <c r="BA539" s="3" t="s">
        <v>5250</v>
      </c>
      <c r="BB539" s="3" t="s">
        <v>5251</v>
      </c>
      <c r="BC539" s="3" t="s">
        <v>142</v>
      </c>
      <c r="BD539" s="3" t="s">
        <v>68</v>
      </c>
      <c r="BE539" s="3" t="s">
        <v>5252</v>
      </c>
      <c r="BF539" s="3" t="s">
        <v>5251</v>
      </c>
      <c r="BG539" s="3" t="s">
        <v>5253</v>
      </c>
    </row>
    <row r="540" spans="1:59" ht="57" x14ac:dyDescent="0.45">
      <c r="A540" s="2" t="s">
        <v>59</v>
      </c>
      <c r="B540" s="2" t="s">
        <v>60</v>
      </c>
      <c r="C540" s="2" t="s">
        <v>5242</v>
      </c>
      <c r="D540" s="2" t="s">
        <v>5243</v>
      </c>
      <c r="E540" s="2" t="s">
        <v>5244</v>
      </c>
      <c r="G540" s="3" t="s">
        <v>62</v>
      </c>
      <c r="I540" s="3" t="s">
        <v>61</v>
      </c>
      <c r="J540" s="3" t="s">
        <v>62</v>
      </c>
      <c r="K540" s="3" t="s">
        <v>63</v>
      </c>
      <c r="L540" s="2" t="s">
        <v>5245</v>
      </c>
      <c r="M540" s="2" t="s">
        <v>5246</v>
      </c>
      <c r="N540" s="3" t="s">
        <v>1212</v>
      </c>
      <c r="P540" s="3" t="s">
        <v>65</v>
      </c>
      <c r="R540" s="3" t="s">
        <v>66</v>
      </c>
      <c r="S540" s="4">
        <v>36</v>
      </c>
      <c r="T540" s="4">
        <v>55</v>
      </c>
      <c r="U540" s="5" t="s">
        <v>5254</v>
      </c>
      <c r="V540" s="5" t="s">
        <v>5247</v>
      </c>
      <c r="W540" s="5" t="s">
        <v>67</v>
      </c>
      <c r="X540" s="5" t="s">
        <v>67</v>
      </c>
      <c r="Y540" s="4">
        <v>950</v>
      </c>
      <c r="Z540" s="4">
        <v>46</v>
      </c>
      <c r="AA540" s="4">
        <v>132</v>
      </c>
      <c r="AB540" s="4">
        <v>2</v>
      </c>
      <c r="AC540" s="4">
        <v>23</v>
      </c>
      <c r="AD540" s="4">
        <v>130</v>
      </c>
      <c r="AE540" s="4">
        <v>164</v>
      </c>
      <c r="AF540" s="4">
        <v>1</v>
      </c>
      <c r="AG540" s="4">
        <v>9</v>
      </c>
      <c r="AH540" s="4">
        <v>102</v>
      </c>
      <c r="AI540" s="4">
        <v>112</v>
      </c>
      <c r="AJ540" s="4">
        <v>21</v>
      </c>
      <c r="AK540" s="4">
        <v>29</v>
      </c>
      <c r="AL540" s="4">
        <v>51</v>
      </c>
      <c r="AM540" s="4">
        <v>56</v>
      </c>
      <c r="AN540" s="4">
        <v>0</v>
      </c>
      <c r="AO540" s="4">
        <v>0</v>
      </c>
      <c r="AP540" s="4">
        <v>34</v>
      </c>
      <c r="AQ540" s="4">
        <v>59</v>
      </c>
      <c r="AR540" s="3" t="s">
        <v>62</v>
      </c>
      <c r="AS540" s="3" t="s">
        <v>62</v>
      </c>
      <c r="AT540" s="3" t="s">
        <v>61</v>
      </c>
      <c r="AU540" s="6" t="str">
        <f>HYPERLINK("http://catalog.hathitrust.org/Record/004106573","HathiTrust Record")</f>
        <v>HathiTrust Record</v>
      </c>
      <c r="AV540" s="6" t="str">
        <f>HYPERLINK("http://mcgill.on.worldcat.org/oclc/41580409","Catalog Record")</f>
        <v>Catalog Record</v>
      </c>
      <c r="AW540" s="6" t="str">
        <f>HYPERLINK("http://www.worldcat.org/oclc/41580409","WorldCat Record")</f>
        <v>WorldCat Record</v>
      </c>
      <c r="AX540" s="3" t="s">
        <v>5248</v>
      </c>
      <c r="AY540" s="3" t="s">
        <v>5249</v>
      </c>
      <c r="AZ540" s="3" t="s">
        <v>5250</v>
      </c>
      <c r="BA540" s="3" t="s">
        <v>5250</v>
      </c>
      <c r="BB540" s="3" t="s">
        <v>5255</v>
      </c>
      <c r="BC540" s="3" t="s">
        <v>142</v>
      </c>
      <c r="BD540" s="3" t="s">
        <v>68</v>
      </c>
      <c r="BE540" s="3" t="s">
        <v>5252</v>
      </c>
      <c r="BF540" s="3" t="s">
        <v>5255</v>
      </c>
      <c r="BG540" s="3" t="s">
        <v>5256</v>
      </c>
    </row>
    <row r="541" spans="1:59" ht="85.5" x14ac:dyDescent="0.45">
      <c r="A541" s="2" t="s">
        <v>59</v>
      </c>
      <c r="B541" s="2" t="s">
        <v>5257</v>
      </c>
      <c r="C541" s="2" t="s">
        <v>5258</v>
      </c>
      <c r="D541" s="2" t="s">
        <v>5259</v>
      </c>
      <c r="E541" s="2" t="s">
        <v>5260</v>
      </c>
      <c r="G541" s="3" t="s">
        <v>62</v>
      </c>
      <c r="I541" s="3" t="s">
        <v>62</v>
      </c>
      <c r="J541" s="3" t="s">
        <v>62</v>
      </c>
      <c r="K541" s="3" t="s">
        <v>63</v>
      </c>
      <c r="M541" s="2" t="s">
        <v>3925</v>
      </c>
      <c r="N541" s="3" t="s">
        <v>149</v>
      </c>
      <c r="P541" s="3" t="s">
        <v>65</v>
      </c>
      <c r="Q541" s="2" t="s">
        <v>5261</v>
      </c>
      <c r="R541" s="3" t="s">
        <v>66</v>
      </c>
      <c r="S541" s="4">
        <v>1</v>
      </c>
      <c r="T541" s="4">
        <v>1</v>
      </c>
      <c r="U541" s="5" t="s">
        <v>5262</v>
      </c>
      <c r="V541" s="5" t="s">
        <v>5262</v>
      </c>
      <c r="W541" s="5" t="s">
        <v>67</v>
      </c>
      <c r="X541" s="5" t="s">
        <v>67</v>
      </c>
      <c r="Y541" s="4">
        <v>116</v>
      </c>
      <c r="Z541" s="4">
        <v>10</v>
      </c>
      <c r="AA541" s="4">
        <v>97</v>
      </c>
      <c r="AB541" s="4">
        <v>1</v>
      </c>
      <c r="AC541" s="4">
        <v>17</v>
      </c>
      <c r="AD541" s="4">
        <v>56</v>
      </c>
      <c r="AE541" s="4">
        <v>126</v>
      </c>
      <c r="AF541" s="4">
        <v>0</v>
      </c>
      <c r="AG541" s="4">
        <v>8</v>
      </c>
      <c r="AH541" s="4">
        <v>51</v>
      </c>
      <c r="AI541" s="4">
        <v>89</v>
      </c>
      <c r="AJ541" s="4">
        <v>8</v>
      </c>
      <c r="AK541" s="4">
        <v>24</v>
      </c>
      <c r="AL541" s="4">
        <v>30</v>
      </c>
      <c r="AM541" s="4">
        <v>46</v>
      </c>
      <c r="AN541" s="4">
        <v>0</v>
      </c>
      <c r="AO541" s="4">
        <v>0</v>
      </c>
      <c r="AP541" s="4">
        <v>9</v>
      </c>
      <c r="AQ541" s="4">
        <v>45</v>
      </c>
      <c r="AR541" s="3" t="s">
        <v>62</v>
      </c>
      <c r="AS541" s="3" t="s">
        <v>62</v>
      </c>
      <c r="AT541" s="3" t="s">
        <v>62</v>
      </c>
      <c r="AV541" s="6" t="str">
        <f>HYPERLINK("http://mcgill.on.worldcat.org/oclc/645790936","Catalog Record")</f>
        <v>Catalog Record</v>
      </c>
      <c r="AW541" s="6" t="str">
        <f>HYPERLINK("http://www.worldcat.org/oclc/645790936","WorldCat Record")</f>
        <v>WorldCat Record</v>
      </c>
      <c r="AX541" s="3" t="s">
        <v>5263</v>
      </c>
      <c r="AY541" s="3" t="s">
        <v>5264</v>
      </c>
      <c r="AZ541" s="3" t="s">
        <v>5265</v>
      </c>
      <c r="BA541" s="3" t="s">
        <v>5265</v>
      </c>
      <c r="BB541" s="3" t="s">
        <v>5266</v>
      </c>
      <c r="BC541" s="3" t="s">
        <v>142</v>
      </c>
      <c r="BD541" s="3" t="s">
        <v>68</v>
      </c>
      <c r="BE541" s="3" t="s">
        <v>5267</v>
      </c>
      <c r="BF541" s="3" t="s">
        <v>5266</v>
      </c>
      <c r="BG541" s="3" t="s">
        <v>5268</v>
      </c>
    </row>
    <row r="542" spans="1:59" ht="57" x14ac:dyDescent="0.45">
      <c r="A542" s="2" t="s">
        <v>59</v>
      </c>
      <c r="B542" s="2" t="s">
        <v>60</v>
      </c>
      <c r="C542" s="2" t="s">
        <v>5269</v>
      </c>
      <c r="D542" s="2" t="s">
        <v>5270</v>
      </c>
      <c r="E542" s="2" t="s">
        <v>5271</v>
      </c>
      <c r="G542" s="3" t="s">
        <v>62</v>
      </c>
      <c r="I542" s="3" t="s">
        <v>62</v>
      </c>
      <c r="J542" s="3" t="s">
        <v>62</v>
      </c>
      <c r="K542" s="3" t="s">
        <v>63</v>
      </c>
      <c r="M542" s="2" t="s">
        <v>5272</v>
      </c>
      <c r="N542" s="3" t="s">
        <v>1478</v>
      </c>
      <c r="P542" s="3" t="s">
        <v>65</v>
      </c>
      <c r="Q542" s="2" t="s">
        <v>5273</v>
      </c>
      <c r="R542" s="3" t="s">
        <v>66</v>
      </c>
      <c r="S542" s="4">
        <v>1</v>
      </c>
      <c r="T542" s="4">
        <v>1</v>
      </c>
      <c r="U542" s="5" t="s">
        <v>5274</v>
      </c>
      <c r="V542" s="5" t="s">
        <v>5274</v>
      </c>
      <c r="W542" s="5" t="s">
        <v>67</v>
      </c>
      <c r="X542" s="5" t="s">
        <v>67</v>
      </c>
      <c r="Y542" s="4">
        <v>65</v>
      </c>
      <c r="Z542" s="4">
        <v>4</v>
      </c>
      <c r="AA542" s="4">
        <v>4</v>
      </c>
      <c r="AB542" s="4">
        <v>1</v>
      </c>
      <c r="AC542" s="4">
        <v>1</v>
      </c>
      <c r="AD542" s="4">
        <v>31</v>
      </c>
      <c r="AE542" s="4">
        <v>31</v>
      </c>
      <c r="AF542" s="4">
        <v>0</v>
      </c>
      <c r="AG542" s="4">
        <v>0</v>
      </c>
      <c r="AH542" s="4">
        <v>31</v>
      </c>
      <c r="AI542" s="4">
        <v>31</v>
      </c>
      <c r="AJ542" s="4">
        <v>3</v>
      </c>
      <c r="AK542" s="4">
        <v>3</v>
      </c>
      <c r="AL542" s="4">
        <v>20</v>
      </c>
      <c r="AM542" s="4">
        <v>20</v>
      </c>
      <c r="AN542" s="4">
        <v>0</v>
      </c>
      <c r="AO542" s="4">
        <v>0</v>
      </c>
      <c r="AP542" s="4">
        <v>3</v>
      </c>
      <c r="AQ542" s="4">
        <v>3</v>
      </c>
      <c r="AR542" s="3" t="s">
        <v>62</v>
      </c>
      <c r="AS542" s="3" t="s">
        <v>62</v>
      </c>
      <c r="AT542" s="3" t="s">
        <v>62</v>
      </c>
      <c r="AV542" s="6" t="str">
        <f>HYPERLINK("http://mcgill.on.worldcat.org/oclc/36652489","Catalog Record")</f>
        <v>Catalog Record</v>
      </c>
      <c r="AW542" s="6" t="str">
        <f>HYPERLINK("http://www.worldcat.org/oclc/36652489","WorldCat Record")</f>
        <v>WorldCat Record</v>
      </c>
      <c r="AX542" s="3" t="s">
        <v>5275</v>
      </c>
      <c r="AY542" s="3" t="s">
        <v>5276</v>
      </c>
      <c r="AZ542" s="3" t="s">
        <v>5277</v>
      </c>
      <c r="BA542" s="3" t="s">
        <v>5277</v>
      </c>
      <c r="BB542" s="3" t="s">
        <v>5278</v>
      </c>
      <c r="BC542" s="3" t="s">
        <v>142</v>
      </c>
      <c r="BD542" s="3" t="s">
        <v>68</v>
      </c>
      <c r="BF542" s="3" t="s">
        <v>5278</v>
      </c>
      <c r="BG542" s="3" t="s">
        <v>5279</v>
      </c>
    </row>
    <row r="543" spans="1:59" ht="57" x14ac:dyDescent="0.45">
      <c r="A543" s="2" t="s">
        <v>59</v>
      </c>
      <c r="B543" s="2" t="s">
        <v>60</v>
      </c>
      <c r="C543" s="2" t="s">
        <v>5280</v>
      </c>
      <c r="D543" s="2" t="s">
        <v>5281</v>
      </c>
      <c r="E543" s="2" t="s">
        <v>5282</v>
      </c>
      <c r="G543" s="3" t="s">
        <v>62</v>
      </c>
      <c r="I543" s="3" t="s">
        <v>62</v>
      </c>
      <c r="J543" s="3" t="s">
        <v>62</v>
      </c>
      <c r="K543" s="3" t="s">
        <v>63</v>
      </c>
      <c r="M543" s="2" t="s">
        <v>5283</v>
      </c>
      <c r="N543" s="3" t="s">
        <v>945</v>
      </c>
      <c r="P543" s="3" t="s">
        <v>65</v>
      </c>
      <c r="R543" s="3" t="s">
        <v>66</v>
      </c>
      <c r="S543" s="4">
        <v>1</v>
      </c>
      <c r="T543" s="4">
        <v>1</v>
      </c>
      <c r="U543" s="5" t="s">
        <v>5192</v>
      </c>
      <c r="V543" s="5" t="s">
        <v>5192</v>
      </c>
      <c r="W543" s="5" t="s">
        <v>67</v>
      </c>
      <c r="X543" s="5" t="s">
        <v>67</v>
      </c>
      <c r="Y543" s="4">
        <v>16</v>
      </c>
      <c r="Z543" s="4">
        <v>3</v>
      </c>
      <c r="AA543" s="4">
        <v>87</v>
      </c>
      <c r="AB543" s="4">
        <v>1</v>
      </c>
      <c r="AC543" s="4">
        <v>14</v>
      </c>
      <c r="AD543" s="4">
        <v>12</v>
      </c>
      <c r="AE543" s="4">
        <v>104</v>
      </c>
      <c r="AF543" s="4">
        <v>0</v>
      </c>
      <c r="AG543" s="4">
        <v>8</v>
      </c>
      <c r="AH543" s="4">
        <v>11</v>
      </c>
      <c r="AI543" s="4">
        <v>69</v>
      </c>
      <c r="AJ543" s="4">
        <v>2</v>
      </c>
      <c r="AK543" s="4">
        <v>24</v>
      </c>
      <c r="AL543" s="4">
        <v>8</v>
      </c>
      <c r="AM543" s="4">
        <v>35</v>
      </c>
      <c r="AN543" s="4">
        <v>0</v>
      </c>
      <c r="AO543" s="4">
        <v>0</v>
      </c>
      <c r="AP543" s="4">
        <v>2</v>
      </c>
      <c r="AQ543" s="4">
        <v>44</v>
      </c>
      <c r="AR543" s="3" t="s">
        <v>62</v>
      </c>
      <c r="AS543" s="3" t="s">
        <v>62</v>
      </c>
      <c r="AT543" s="3" t="s">
        <v>62</v>
      </c>
      <c r="AV543" s="6" t="str">
        <f>HYPERLINK("http://mcgill.on.worldcat.org/oclc/76936466","Catalog Record")</f>
        <v>Catalog Record</v>
      </c>
      <c r="AW543" s="6" t="str">
        <f>HYPERLINK("http://www.worldcat.org/oclc/76936466","WorldCat Record")</f>
        <v>WorldCat Record</v>
      </c>
      <c r="AX543" s="3" t="s">
        <v>5284</v>
      </c>
      <c r="AY543" s="3" t="s">
        <v>5285</v>
      </c>
      <c r="AZ543" s="3" t="s">
        <v>5286</v>
      </c>
      <c r="BA543" s="3" t="s">
        <v>5286</v>
      </c>
      <c r="BB543" s="3" t="s">
        <v>5287</v>
      </c>
      <c r="BC543" s="3" t="s">
        <v>142</v>
      </c>
      <c r="BD543" s="3" t="s">
        <v>68</v>
      </c>
      <c r="BE543" s="3" t="s">
        <v>5288</v>
      </c>
      <c r="BF543" s="3" t="s">
        <v>5287</v>
      </c>
      <c r="BG543" s="3" t="s">
        <v>5289</v>
      </c>
    </row>
    <row r="544" spans="1:59" ht="57" x14ac:dyDescent="0.45">
      <c r="A544" s="2" t="s">
        <v>59</v>
      </c>
      <c r="B544" s="2" t="s">
        <v>60</v>
      </c>
      <c r="C544" s="2" t="s">
        <v>5290</v>
      </c>
      <c r="D544" s="2" t="s">
        <v>5291</v>
      </c>
      <c r="E544" s="2" t="s">
        <v>5292</v>
      </c>
      <c r="G544" s="3" t="s">
        <v>62</v>
      </c>
      <c r="I544" s="3" t="s">
        <v>62</v>
      </c>
      <c r="J544" s="3" t="s">
        <v>62</v>
      </c>
      <c r="K544" s="3" t="s">
        <v>63</v>
      </c>
      <c r="M544" s="2" t="s">
        <v>5293</v>
      </c>
      <c r="N544" s="3" t="s">
        <v>149</v>
      </c>
      <c r="P544" s="3" t="s">
        <v>65</v>
      </c>
      <c r="Q544" s="2" t="s">
        <v>5294</v>
      </c>
      <c r="R544" s="3" t="s">
        <v>66</v>
      </c>
      <c r="S544" s="4">
        <v>5</v>
      </c>
      <c r="T544" s="4">
        <v>5</v>
      </c>
      <c r="U544" s="5" t="s">
        <v>5295</v>
      </c>
      <c r="V544" s="5" t="s">
        <v>5295</v>
      </c>
      <c r="W544" s="5" t="s">
        <v>67</v>
      </c>
      <c r="X544" s="5" t="s">
        <v>67</v>
      </c>
      <c r="Y544" s="4">
        <v>72</v>
      </c>
      <c r="Z544" s="4">
        <v>4</v>
      </c>
      <c r="AA544" s="4">
        <v>4</v>
      </c>
      <c r="AB544" s="4">
        <v>1</v>
      </c>
      <c r="AC544" s="4">
        <v>1</v>
      </c>
      <c r="AD544" s="4">
        <v>32</v>
      </c>
      <c r="AE544" s="4">
        <v>32</v>
      </c>
      <c r="AF544" s="4">
        <v>0</v>
      </c>
      <c r="AG544" s="4">
        <v>0</v>
      </c>
      <c r="AH544" s="4">
        <v>30</v>
      </c>
      <c r="AI544" s="4">
        <v>30</v>
      </c>
      <c r="AJ544" s="4">
        <v>2</v>
      </c>
      <c r="AK544" s="4">
        <v>2</v>
      </c>
      <c r="AL544" s="4">
        <v>22</v>
      </c>
      <c r="AM544" s="4">
        <v>22</v>
      </c>
      <c r="AN544" s="4">
        <v>0</v>
      </c>
      <c r="AO544" s="4">
        <v>0</v>
      </c>
      <c r="AP544" s="4">
        <v>3</v>
      </c>
      <c r="AQ544" s="4">
        <v>3</v>
      </c>
      <c r="AR544" s="3" t="s">
        <v>62</v>
      </c>
      <c r="AS544" s="3" t="s">
        <v>62</v>
      </c>
      <c r="AT544" s="3" t="s">
        <v>62</v>
      </c>
      <c r="AV544" s="6" t="str">
        <f>HYPERLINK("http://mcgill.on.worldcat.org/oclc/656001765","Catalog Record")</f>
        <v>Catalog Record</v>
      </c>
      <c r="AW544" s="6" t="str">
        <f>HYPERLINK("http://www.worldcat.org/oclc/656001765","WorldCat Record")</f>
        <v>WorldCat Record</v>
      </c>
      <c r="AX544" s="3" t="s">
        <v>5296</v>
      </c>
      <c r="AY544" s="3" t="s">
        <v>5297</v>
      </c>
      <c r="AZ544" s="3" t="s">
        <v>5298</v>
      </c>
      <c r="BA544" s="3" t="s">
        <v>5298</v>
      </c>
      <c r="BB544" s="3" t="s">
        <v>5299</v>
      </c>
      <c r="BC544" s="3" t="s">
        <v>142</v>
      </c>
      <c r="BD544" s="3" t="s">
        <v>68</v>
      </c>
      <c r="BE544" s="3" t="s">
        <v>5300</v>
      </c>
      <c r="BF544" s="3" t="s">
        <v>5299</v>
      </c>
      <c r="BG544" s="3" t="s">
        <v>5301</v>
      </c>
    </row>
    <row r="545" spans="1:59" ht="57" x14ac:dyDescent="0.45">
      <c r="A545" s="2" t="s">
        <v>59</v>
      </c>
      <c r="B545" s="2" t="s">
        <v>60</v>
      </c>
      <c r="C545" s="2" t="s">
        <v>5302</v>
      </c>
      <c r="D545" s="2" t="s">
        <v>5303</v>
      </c>
      <c r="E545" s="2" t="s">
        <v>5304</v>
      </c>
      <c r="G545" s="3" t="s">
        <v>62</v>
      </c>
      <c r="I545" s="3" t="s">
        <v>62</v>
      </c>
      <c r="J545" s="3" t="s">
        <v>62</v>
      </c>
      <c r="K545" s="3" t="s">
        <v>63</v>
      </c>
      <c r="L545" s="2" t="s">
        <v>5305</v>
      </c>
      <c r="M545" s="2" t="s">
        <v>5306</v>
      </c>
      <c r="N545" s="3" t="s">
        <v>542</v>
      </c>
      <c r="P545" s="3" t="s">
        <v>65</v>
      </c>
      <c r="Q545" s="2" t="s">
        <v>5307</v>
      </c>
      <c r="R545" s="3" t="s">
        <v>66</v>
      </c>
      <c r="S545" s="4">
        <v>22</v>
      </c>
      <c r="T545" s="4">
        <v>22</v>
      </c>
      <c r="U545" s="5" t="s">
        <v>3596</v>
      </c>
      <c r="V545" s="5" t="s">
        <v>3596</v>
      </c>
      <c r="W545" s="5" t="s">
        <v>67</v>
      </c>
      <c r="X545" s="5" t="s">
        <v>67</v>
      </c>
      <c r="Y545" s="4">
        <v>191</v>
      </c>
      <c r="Z545" s="4">
        <v>18</v>
      </c>
      <c r="AA545" s="4">
        <v>20</v>
      </c>
      <c r="AB545" s="4">
        <v>3</v>
      </c>
      <c r="AC545" s="4">
        <v>5</v>
      </c>
      <c r="AD545" s="4">
        <v>61</v>
      </c>
      <c r="AE545" s="4">
        <v>63</v>
      </c>
      <c r="AF545" s="4">
        <v>1</v>
      </c>
      <c r="AG545" s="4">
        <v>3</v>
      </c>
      <c r="AH545" s="4">
        <v>52</v>
      </c>
      <c r="AI545" s="4">
        <v>52</v>
      </c>
      <c r="AJ545" s="4">
        <v>12</v>
      </c>
      <c r="AK545" s="4">
        <v>14</v>
      </c>
      <c r="AL545" s="4">
        <v>34</v>
      </c>
      <c r="AM545" s="4">
        <v>34</v>
      </c>
      <c r="AN545" s="4">
        <v>0</v>
      </c>
      <c r="AO545" s="4">
        <v>0</v>
      </c>
      <c r="AP545" s="4">
        <v>14</v>
      </c>
      <c r="AQ545" s="4">
        <v>15</v>
      </c>
      <c r="AR545" s="3" t="s">
        <v>62</v>
      </c>
      <c r="AS545" s="3" t="s">
        <v>62</v>
      </c>
      <c r="AT545" s="3" t="s">
        <v>61</v>
      </c>
      <c r="AU545" s="6" t="str">
        <f>HYPERLINK("http://catalog.hathitrust.org/Record/004141713","HathiTrust Record")</f>
        <v>HathiTrust Record</v>
      </c>
      <c r="AV545" s="6" t="str">
        <f>HYPERLINK("http://mcgill.on.worldcat.org/oclc/45506003","Catalog Record")</f>
        <v>Catalog Record</v>
      </c>
      <c r="AW545" s="6" t="str">
        <f>HYPERLINK("http://www.worldcat.org/oclc/45506003","WorldCat Record")</f>
        <v>WorldCat Record</v>
      </c>
      <c r="AX545" s="3" t="s">
        <v>5308</v>
      </c>
      <c r="AY545" s="3" t="s">
        <v>5309</v>
      </c>
      <c r="AZ545" s="3" t="s">
        <v>5310</v>
      </c>
      <c r="BA545" s="3" t="s">
        <v>5310</v>
      </c>
      <c r="BB545" s="3" t="s">
        <v>5311</v>
      </c>
      <c r="BC545" s="3" t="s">
        <v>142</v>
      </c>
      <c r="BD545" s="3" t="s">
        <v>308</v>
      </c>
      <c r="BE545" s="3" t="s">
        <v>5312</v>
      </c>
      <c r="BF545" s="3" t="s">
        <v>5311</v>
      </c>
      <c r="BG545" s="3" t="s">
        <v>5313</v>
      </c>
    </row>
    <row r="546" spans="1:59" ht="71.25" x14ac:dyDescent="0.45">
      <c r="A546" s="2" t="s">
        <v>59</v>
      </c>
      <c r="B546" s="2" t="s">
        <v>60</v>
      </c>
      <c r="C546" s="2" t="s">
        <v>5314</v>
      </c>
      <c r="D546" s="2" t="s">
        <v>5315</v>
      </c>
      <c r="E546" s="2" t="s">
        <v>5316</v>
      </c>
      <c r="G546" s="3" t="s">
        <v>62</v>
      </c>
      <c r="I546" s="3" t="s">
        <v>62</v>
      </c>
      <c r="J546" s="3" t="s">
        <v>62</v>
      </c>
      <c r="K546" s="3" t="s">
        <v>63</v>
      </c>
      <c r="M546" s="2" t="s">
        <v>5317</v>
      </c>
      <c r="N546" s="3" t="s">
        <v>125</v>
      </c>
      <c r="P546" s="3" t="s">
        <v>65</v>
      </c>
      <c r="Q546" s="2" t="s">
        <v>5318</v>
      </c>
      <c r="R546" s="3" t="s">
        <v>66</v>
      </c>
      <c r="S546" s="4">
        <v>16</v>
      </c>
      <c r="T546" s="4">
        <v>16</v>
      </c>
      <c r="U546" s="5" t="s">
        <v>4220</v>
      </c>
      <c r="V546" s="5" t="s">
        <v>4220</v>
      </c>
      <c r="W546" s="5" t="s">
        <v>67</v>
      </c>
      <c r="X546" s="5" t="s">
        <v>67</v>
      </c>
      <c r="Y546" s="4">
        <v>194</v>
      </c>
      <c r="Z546" s="4">
        <v>14</v>
      </c>
      <c r="AA546" s="4">
        <v>95</v>
      </c>
      <c r="AB546" s="4">
        <v>1</v>
      </c>
      <c r="AC546" s="4">
        <v>17</v>
      </c>
      <c r="AD546" s="4">
        <v>49</v>
      </c>
      <c r="AE546" s="4">
        <v>108</v>
      </c>
      <c r="AF546" s="4">
        <v>0</v>
      </c>
      <c r="AG546" s="4">
        <v>8</v>
      </c>
      <c r="AH546" s="4">
        <v>45</v>
      </c>
      <c r="AI546" s="4">
        <v>75</v>
      </c>
      <c r="AJ546" s="4">
        <v>8</v>
      </c>
      <c r="AK546" s="4">
        <v>21</v>
      </c>
      <c r="AL546" s="4">
        <v>26</v>
      </c>
      <c r="AM546" s="4">
        <v>36</v>
      </c>
      <c r="AN546" s="4">
        <v>0</v>
      </c>
      <c r="AO546" s="4">
        <v>0</v>
      </c>
      <c r="AP546" s="4">
        <v>10</v>
      </c>
      <c r="AQ546" s="4">
        <v>43</v>
      </c>
      <c r="AR546" s="3" t="s">
        <v>62</v>
      </c>
      <c r="AS546" s="3" t="s">
        <v>62</v>
      </c>
      <c r="AT546" s="3" t="s">
        <v>61</v>
      </c>
      <c r="AU546" s="6" t="str">
        <f>HYPERLINK("http://catalog.hathitrust.org/Record/002702253","HathiTrust Record")</f>
        <v>HathiTrust Record</v>
      </c>
      <c r="AV546" s="6" t="str">
        <f>HYPERLINK("http://mcgill.on.worldcat.org/oclc/18948449","Catalog Record")</f>
        <v>Catalog Record</v>
      </c>
      <c r="AW546" s="6" t="str">
        <f>HYPERLINK("http://www.worldcat.org/oclc/18948449","WorldCat Record")</f>
        <v>WorldCat Record</v>
      </c>
      <c r="AX546" s="3" t="s">
        <v>5319</v>
      </c>
      <c r="AY546" s="3" t="s">
        <v>5320</v>
      </c>
      <c r="AZ546" s="3" t="s">
        <v>5321</v>
      </c>
      <c r="BA546" s="3" t="s">
        <v>5321</v>
      </c>
      <c r="BB546" s="3" t="s">
        <v>5322</v>
      </c>
      <c r="BC546" s="3" t="s">
        <v>142</v>
      </c>
      <c r="BD546" s="3" t="s">
        <v>68</v>
      </c>
      <c r="BE546" s="3" t="s">
        <v>5323</v>
      </c>
      <c r="BF546" s="3" t="s">
        <v>5322</v>
      </c>
      <c r="BG546" s="3" t="s">
        <v>5324</v>
      </c>
    </row>
    <row r="547" spans="1:59" ht="57" x14ac:dyDescent="0.45">
      <c r="A547" s="2" t="s">
        <v>59</v>
      </c>
      <c r="B547" s="2" t="s">
        <v>60</v>
      </c>
      <c r="C547" s="2" t="s">
        <v>5325</v>
      </c>
      <c r="D547" s="2" t="s">
        <v>5326</v>
      </c>
      <c r="E547" s="2" t="s">
        <v>5327</v>
      </c>
      <c r="G547" s="3" t="s">
        <v>62</v>
      </c>
      <c r="I547" s="3" t="s">
        <v>61</v>
      </c>
      <c r="J547" s="3" t="s">
        <v>62</v>
      </c>
      <c r="K547" s="3" t="s">
        <v>63</v>
      </c>
      <c r="M547" s="2" t="s">
        <v>5328</v>
      </c>
      <c r="N547" s="3" t="s">
        <v>2107</v>
      </c>
      <c r="P547" s="3" t="s">
        <v>65</v>
      </c>
      <c r="Q547" s="2" t="s">
        <v>5329</v>
      </c>
      <c r="R547" s="3" t="s">
        <v>66</v>
      </c>
      <c r="S547" s="4">
        <v>45</v>
      </c>
      <c r="T547" s="4">
        <v>184</v>
      </c>
      <c r="U547" s="5" t="s">
        <v>5330</v>
      </c>
      <c r="V547" s="5" t="s">
        <v>1806</v>
      </c>
      <c r="W547" s="5" t="s">
        <v>67</v>
      </c>
      <c r="X547" s="5" t="s">
        <v>67</v>
      </c>
      <c r="Y547" s="4">
        <v>259</v>
      </c>
      <c r="Z547" s="4">
        <v>50</v>
      </c>
      <c r="AA547" s="4">
        <v>118</v>
      </c>
      <c r="AB547" s="4">
        <v>3</v>
      </c>
      <c r="AC547" s="4">
        <v>19</v>
      </c>
      <c r="AD547" s="4">
        <v>102</v>
      </c>
      <c r="AE547" s="4">
        <v>137</v>
      </c>
      <c r="AF547" s="4">
        <v>2</v>
      </c>
      <c r="AG547" s="4">
        <v>9</v>
      </c>
      <c r="AH547" s="4">
        <v>77</v>
      </c>
      <c r="AI547" s="4">
        <v>94</v>
      </c>
      <c r="AJ547" s="4">
        <v>24</v>
      </c>
      <c r="AK547" s="4">
        <v>29</v>
      </c>
      <c r="AL547" s="4">
        <v>43</v>
      </c>
      <c r="AM547" s="4">
        <v>49</v>
      </c>
      <c r="AN547" s="4">
        <v>0</v>
      </c>
      <c r="AO547" s="4">
        <v>0</v>
      </c>
      <c r="AP547" s="4">
        <v>35</v>
      </c>
      <c r="AQ547" s="4">
        <v>53</v>
      </c>
      <c r="AR547" s="3" t="s">
        <v>62</v>
      </c>
      <c r="AS547" s="3" t="s">
        <v>62</v>
      </c>
      <c r="AT547" s="3" t="s">
        <v>61</v>
      </c>
      <c r="AU547" s="6" t="str">
        <f>HYPERLINK("http://catalog.hathitrust.org/Record/003546221","HathiTrust Record")</f>
        <v>HathiTrust Record</v>
      </c>
      <c r="AV547" s="6" t="str">
        <f>HYPERLINK("http://mcgill.on.worldcat.org/oclc/11814488","Catalog Record")</f>
        <v>Catalog Record</v>
      </c>
      <c r="AW547" s="6" t="str">
        <f>HYPERLINK("http://www.worldcat.org/oclc/11814488","WorldCat Record")</f>
        <v>WorldCat Record</v>
      </c>
      <c r="AX547" s="3" t="s">
        <v>5331</v>
      </c>
      <c r="AY547" s="3" t="s">
        <v>5332</v>
      </c>
      <c r="AZ547" s="3" t="s">
        <v>5333</v>
      </c>
      <c r="BA547" s="3" t="s">
        <v>5333</v>
      </c>
      <c r="BB547" s="3" t="s">
        <v>5334</v>
      </c>
      <c r="BC547" s="3" t="s">
        <v>142</v>
      </c>
      <c r="BD547" s="3" t="s">
        <v>308</v>
      </c>
      <c r="BE547" s="3" t="s">
        <v>5335</v>
      </c>
      <c r="BF547" s="3" t="s">
        <v>5334</v>
      </c>
      <c r="BG547" s="3" t="s">
        <v>5336</v>
      </c>
    </row>
    <row r="548" spans="1:59" ht="57" x14ac:dyDescent="0.45">
      <c r="A548" s="2" t="s">
        <v>59</v>
      </c>
      <c r="B548" s="2" t="s">
        <v>60</v>
      </c>
      <c r="C548" s="2" t="s">
        <v>5325</v>
      </c>
      <c r="D548" s="2" t="s">
        <v>5326</v>
      </c>
      <c r="E548" s="2" t="s">
        <v>5327</v>
      </c>
      <c r="G548" s="3" t="s">
        <v>62</v>
      </c>
      <c r="I548" s="3" t="s">
        <v>61</v>
      </c>
      <c r="J548" s="3" t="s">
        <v>62</v>
      </c>
      <c r="K548" s="3" t="s">
        <v>63</v>
      </c>
      <c r="M548" s="2" t="s">
        <v>5328</v>
      </c>
      <c r="N548" s="3" t="s">
        <v>2107</v>
      </c>
      <c r="P548" s="3" t="s">
        <v>65</v>
      </c>
      <c r="Q548" s="2" t="s">
        <v>5329</v>
      </c>
      <c r="R548" s="3" t="s">
        <v>66</v>
      </c>
      <c r="S548" s="4">
        <v>42</v>
      </c>
      <c r="T548" s="4">
        <v>184</v>
      </c>
      <c r="U548" s="5" t="s">
        <v>5337</v>
      </c>
      <c r="V548" s="5" t="s">
        <v>1806</v>
      </c>
      <c r="W548" s="5" t="s">
        <v>67</v>
      </c>
      <c r="X548" s="5" t="s">
        <v>67</v>
      </c>
      <c r="Y548" s="4">
        <v>259</v>
      </c>
      <c r="Z548" s="4">
        <v>50</v>
      </c>
      <c r="AA548" s="4">
        <v>118</v>
      </c>
      <c r="AB548" s="4">
        <v>3</v>
      </c>
      <c r="AC548" s="4">
        <v>19</v>
      </c>
      <c r="AD548" s="4">
        <v>102</v>
      </c>
      <c r="AE548" s="4">
        <v>137</v>
      </c>
      <c r="AF548" s="4">
        <v>2</v>
      </c>
      <c r="AG548" s="4">
        <v>9</v>
      </c>
      <c r="AH548" s="4">
        <v>77</v>
      </c>
      <c r="AI548" s="4">
        <v>94</v>
      </c>
      <c r="AJ548" s="4">
        <v>24</v>
      </c>
      <c r="AK548" s="4">
        <v>29</v>
      </c>
      <c r="AL548" s="4">
        <v>43</v>
      </c>
      <c r="AM548" s="4">
        <v>49</v>
      </c>
      <c r="AN548" s="4">
        <v>0</v>
      </c>
      <c r="AO548" s="4">
        <v>0</v>
      </c>
      <c r="AP548" s="4">
        <v>35</v>
      </c>
      <c r="AQ548" s="4">
        <v>53</v>
      </c>
      <c r="AR548" s="3" t="s">
        <v>62</v>
      </c>
      <c r="AS548" s="3" t="s">
        <v>62</v>
      </c>
      <c r="AT548" s="3" t="s">
        <v>61</v>
      </c>
      <c r="AU548" s="6" t="str">
        <f>HYPERLINK("http://catalog.hathitrust.org/Record/003546221","HathiTrust Record")</f>
        <v>HathiTrust Record</v>
      </c>
      <c r="AV548" s="6" t="str">
        <f>HYPERLINK("http://mcgill.on.worldcat.org/oclc/11814488","Catalog Record")</f>
        <v>Catalog Record</v>
      </c>
      <c r="AW548" s="6" t="str">
        <f>HYPERLINK("http://www.worldcat.org/oclc/11814488","WorldCat Record")</f>
        <v>WorldCat Record</v>
      </c>
      <c r="AX548" s="3" t="s">
        <v>5331</v>
      </c>
      <c r="AY548" s="3" t="s">
        <v>5332</v>
      </c>
      <c r="AZ548" s="3" t="s">
        <v>5333</v>
      </c>
      <c r="BA548" s="3" t="s">
        <v>5333</v>
      </c>
      <c r="BB548" s="3" t="s">
        <v>5338</v>
      </c>
      <c r="BC548" s="3" t="s">
        <v>142</v>
      </c>
      <c r="BD548" s="3" t="s">
        <v>68</v>
      </c>
      <c r="BE548" s="3" t="s">
        <v>5335</v>
      </c>
      <c r="BF548" s="3" t="s">
        <v>5338</v>
      </c>
      <c r="BG548" s="3" t="s">
        <v>5339</v>
      </c>
    </row>
    <row r="549" spans="1:59" ht="57" x14ac:dyDescent="0.45">
      <c r="A549" s="2" t="s">
        <v>59</v>
      </c>
      <c r="B549" s="2" t="s">
        <v>60</v>
      </c>
      <c r="C549" s="2" t="s">
        <v>5325</v>
      </c>
      <c r="D549" s="2" t="s">
        <v>5326</v>
      </c>
      <c r="E549" s="2" t="s">
        <v>5327</v>
      </c>
      <c r="G549" s="3" t="s">
        <v>62</v>
      </c>
      <c r="I549" s="3" t="s">
        <v>61</v>
      </c>
      <c r="J549" s="3" t="s">
        <v>62</v>
      </c>
      <c r="K549" s="3" t="s">
        <v>63</v>
      </c>
      <c r="M549" s="2" t="s">
        <v>5328</v>
      </c>
      <c r="N549" s="3" t="s">
        <v>2107</v>
      </c>
      <c r="P549" s="3" t="s">
        <v>65</v>
      </c>
      <c r="Q549" s="2" t="s">
        <v>5329</v>
      </c>
      <c r="R549" s="3" t="s">
        <v>66</v>
      </c>
      <c r="S549" s="4">
        <v>55</v>
      </c>
      <c r="T549" s="4">
        <v>184</v>
      </c>
      <c r="U549" s="5" t="s">
        <v>5340</v>
      </c>
      <c r="V549" s="5" t="s">
        <v>1806</v>
      </c>
      <c r="W549" s="5" t="s">
        <v>67</v>
      </c>
      <c r="X549" s="5" t="s">
        <v>67</v>
      </c>
      <c r="Y549" s="4">
        <v>259</v>
      </c>
      <c r="Z549" s="4">
        <v>50</v>
      </c>
      <c r="AA549" s="4">
        <v>118</v>
      </c>
      <c r="AB549" s="4">
        <v>3</v>
      </c>
      <c r="AC549" s="4">
        <v>19</v>
      </c>
      <c r="AD549" s="4">
        <v>102</v>
      </c>
      <c r="AE549" s="4">
        <v>137</v>
      </c>
      <c r="AF549" s="4">
        <v>2</v>
      </c>
      <c r="AG549" s="4">
        <v>9</v>
      </c>
      <c r="AH549" s="4">
        <v>77</v>
      </c>
      <c r="AI549" s="4">
        <v>94</v>
      </c>
      <c r="AJ549" s="4">
        <v>24</v>
      </c>
      <c r="AK549" s="4">
        <v>29</v>
      </c>
      <c r="AL549" s="4">
        <v>43</v>
      </c>
      <c r="AM549" s="4">
        <v>49</v>
      </c>
      <c r="AN549" s="4">
        <v>0</v>
      </c>
      <c r="AO549" s="4">
        <v>0</v>
      </c>
      <c r="AP549" s="4">
        <v>35</v>
      </c>
      <c r="AQ549" s="4">
        <v>53</v>
      </c>
      <c r="AR549" s="3" t="s">
        <v>62</v>
      </c>
      <c r="AS549" s="3" t="s">
        <v>62</v>
      </c>
      <c r="AT549" s="3" t="s">
        <v>61</v>
      </c>
      <c r="AU549" s="6" t="str">
        <f>HYPERLINK("http://catalog.hathitrust.org/Record/003546221","HathiTrust Record")</f>
        <v>HathiTrust Record</v>
      </c>
      <c r="AV549" s="6" t="str">
        <f>HYPERLINK("http://mcgill.on.worldcat.org/oclc/11814488","Catalog Record")</f>
        <v>Catalog Record</v>
      </c>
      <c r="AW549" s="6" t="str">
        <f>HYPERLINK("http://www.worldcat.org/oclc/11814488","WorldCat Record")</f>
        <v>WorldCat Record</v>
      </c>
      <c r="AX549" s="3" t="s">
        <v>5331</v>
      </c>
      <c r="AY549" s="3" t="s">
        <v>5332</v>
      </c>
      <c r="AZ549" s="3" t="s">
        <v>5333</v>
      </c>
      <c r="BA549" s="3" t="s">
        <v>5333</v>
      </c>
      <c r="BB549" s="3" t="s">
        <v>5341</v>
      </c>
      <c r="BC549" s="3" t="s">
        <v>142</v>
      </c>
      <c r="BD549" s="3" t="s">
        <v>68</v>
      </c>
      <c r="BE549" s="3" t="s">
        <v>5335</v>
      </c>
      <c r="BF549" s="3" t="s">
        <v>5341</v>
      </c>
      <c r="BG549" s="3" t="s">
        <v>5342</v>
      </c>
    </row>
    <row r="550" spans="1:59" ht="57" x14ac:dyDescent="0.45">
      <c r="A550" s="2" t="s">
        <v>59</v>
      </c>
      <c r="B550" s="2" t="s">
        <v>60</v>
      </c>
      <c r="C550" s="2" t="s">
        <v>5325</v>
      </c>
      <c r="D550" s="2" t="s">
        <v>5326</v>
      </c>
      <c r="E550" s="2" t="s">
        <v>5327</v>
      </c>
      <c r="G550" s="3" t="s">
        <v>62</v>
      </c>
      <c r="I550" s="3" t="s">
        <v>61</v>
      </c>
      <c r="J550" s="3" t="s">
        <v>62</v>
      </c>
      <c r="K550" s="3" t="s">
        <v>63</v>
      </c>
      <c r="M550" s="2" t="s">
        <v>5328</v>
      </c>
      <c r="N550" s="3" t="s">
        <v>2107</v>
      </c>
      <c r="P550" s="3" t="s">
        <v>65</v>
      </c>
      <c r="Q550" s="2" t="s">
        <v>5329</v>
      </c>
      <c r="R550" s="3" t="s">
        <v>66</v>
      </c>
      <c r="S550" s="4">
        <v>42</v>
      </c>
      <c r="T550" s="4">
        <v>184</v>
      </c>
      <c r="U550" s="5" t="s">
        <v>1806</v>
      </c>
      <c r="V550" s="5" t="s">
        <v>1806</v>
      </c>
      <c r="W550" s="5" t="s">
        <v>67</v>
      </c>
      <c r="X550" s="5" t="s">
        <v>67</v>
      </c>
      <c r="Y550" s="4">
        <v>259</v>
      </c>
      <c r="Z550" s="4">
        <v>50</v>
      </c>
      <c r="AA550" s="4">
        <v>118</v>
      </c>
      <c r="AB550" s="4">
        <v>3</v>
      </c>
      <c r="AC550" s="4">
        <v>19</v>
      </c>
      <c r="AD550" s="4">
        <v>102</v>
      </c>
      <c r="AE550" s="4">
        <v>137</v>
      </c>
      <c r="AF550" s="4">
        <v>2</v>
      </c>
      <c r="AG550" s="4">
        <v>9</v>
      </c>
      <c r="AH550" s="4">
        <v>77</v>
      </c>
      <c r="AI550" s="4">
        <v>94</v>
      </c>
      <c r="AJ550" s="4">
        <v>24</v>
      </c>
      <c r="AK550" s="4">
        <v>29</v>
      </c>
      <c r="AL550" s="4">
        <v>43</v>
      </c>
      <c r="AM550" s="4">
        <v>49</v>
      </c>
      <c r="AN550" s="4">
        <v>0</v>
      </c>
      <c r="AO550" s="4">
        <v>0</v>
      </c>
      <c r="AP550" s="4">
        <v>35</v>
      </c>
      <c r="AQ550" s="4">
        <v>53</v>
      </c>
      <c r="AR550" s="3" t="s">
        <v>62</v>
      </c>
      <c r="AS550" s="3" t="s">
        <v>62</v>
      </c>
      <c r="AT550" s="3" t="s">
        <v>61</v>
      </c>
      <c r="AU550" s="6" t="str">
        <f>HYPERLINK("http://catalog.hathitrust.org/Record/003546221","HathiTrust Record")</f>
        <v>HathiTrust Record</v>
      </c>
      <c r="AV550" s="6" t="str">
        <f>HYPERLINK("http://mcgill.on.worldcat.org/oclc/11814488","Catalog Record")</f>
        <v>Catalog Record</v>
      </c>
      <c r="AW550" s="6" t="str">
        <f>HYPERLINK("http://www.worldcat.org/oclc/11814488","WorldCat Record")</f>
        <v>WorldCat Record</v>
      </c>
      <c r="AX550" s="3" t="s">
        <v>5331</v>
      </c>
      <c r="AY550" s="3" t="s">
        <v>5332</v>
      </c>
      <c r="AZ550" s="3" t="s">
        <v>5333</v>
      </c>
      <c r="BA550" s="3" t="s">
        <v>5333</v>
      </c>
      <c r="BB550" s="3" t="s">
        <v>5343</v>
      </c>
      <c r="BC550" s="3" t="s">
        <v>142</v>
      </c>
      <c r="BD550" s="3" t="s">
        <v>68</v>
      </c>
      <c r="BE550" s="3" t="s">
        <v>5335</v>
      </c>
      <c r="BF550" s="3" t="s">
        <v>5343</v>
      </c>
      <c r="BG550" s="3" t="s">
        <v>5344</v>
      </c>
    </row>
    <row r="551" spans="1:59" ht="57" x14ac:dyDescent="0.45">
      <c r="A551" s="2" t="s">
        <v>59</v>
      </c>
      <c r="B551" s="2" t="s">
        <v>60</v>
      </c>
      <c r="C551" s="2" t="s">
        <v>5345</v>
      </c>
      <c r="D551" s="2" t="s">
        <v>5346</v>
      </c>
      <c r="E551" s="2" t="s">
        <v>5347</v>
      </c>
      <c r="G551" s="3" t="s">
        <v>62</v>
      </c>
      <c r="I551" s="3" t="s">
        <v>62</v>
      </c>
      <c r="J551" s="3" t="s">
        <v>62</v>
      </c>
      <c r="K551" s="3" t="s">
        <v>63</v>
      </c>
      <c r="L551" s="2" t="s">
        <v>5348</v>
      </c>
      <c r="M551" s="2" t="s">
        <v>5349</v>
      </c>
      <c r="N551" s="3" t="s">
        <v>1239</v>
      </c>
      <c r="P551" s="3" t="s">
        <v>65</v>
      </c>
      <c r="R551" s="3" t="s">
        <v>66</v>
      </c>
      <c r="S551" s="4">
        <v>26</v>
      </c>
      <c r="T551" s="4">
        <v>26</v>
      </c>
      <c r="U551" s="5" t="s">
        <v>3596</v>
      </c>
      <c r="V551" s="5" t="s">
        <v>3596</v>
      </c>
      <c r="W551" s="5" t="s">
        <v>67</v>
      </c>
      <c r="X551" s="5" t="s">
        <v>67</v>
      </c>
      <c r="Y551" s="4">
        <v>463</v>
      </c>
      <c r="Z551" s="4">
        <v>27</v>
      </c>
      <c r="AA551" s="4">
        <v>33</v>
      </c>
      <c r="AB551" s="4">
        <v>2</v>
      </c>
      <c r="AC551" s="4">
        <v>8</v>
      </c>
      <c r="AD551" s="4">
        <v>117</v>
      </c>
      <c r="AE551" s="4">
        <v>121</v>
      </c>
      <c r="AF551" s="4">
        <v>1</v>
      </c>
      <c r="AG551" s="4">
        <v>5</v>
      </c>
      <c r="AH551" s="4">
        <v>101</v>
      </c>
      <c r="AI551" s="4">
        <v>102</v>
      </c>
      <c r="AJ551" s="4">
        <v>17</v>
      </c>
      <c r="AK551" s="4">
        <v>20</v>
      </c>
      <c r="AL551" s="4">
        <v>56</v>
      </c>
      <c r="AM551" s="4">
        <v>56</v>
      </c>
      <c r="AN551" s="4">
        <v>0</v>
      </c>
      <c r="AO551" s="4">
        <v>0</v>
      </c>
      <c r="AP551" s="4">
        <v>22</v>
      </c>
      <c r="AQ551" s="4">
        <v>25</v>
      </c>
      <c r="AR551" s="3" t="s">
        <v>62</v>
      </c>
      <c r="AS551" s="3" t="s">
        <v>62</v>
      </c>
      <c r="AT551" s="3" t="s">
        <v>61</v>
      </c>
      <c r="AU551" s="6" t="str">
        <f>HYPERLINK("http://catalog.hathitrust.org/Record/001839649","HathiTrust Record")</f>
        <v>HathiTrust Record</v>
      </c>
      <c r="AV551" s="6" t="str">
        <f>HYPERLINK("http://mcgill.on.worldcat.org/oclc/19624070","Catalog Record")</f>
        <v>Catalog Record</v>
      </c>
      <c r="AW551" s="6" t="str">
        <f>HYPERLINK("http://www.worldcat.org/oclc/19624070","WorldCat Record")</f>
        <v>WorldCat Record</v>
      </c>
      <c r="AX551" s="3" t="s">
        <v>5350</v>
      </c>
      <c r="AY551" s="3" t="s">
        <v>5351</v>
      </c>
      <c r="AZ551" s="3" t="s">
        <v>5352</v>
      </c>
      <c r="BA551" s="3" t="s">
        <v>5352</v>
      </c>
      <c r="BB551" s="3" t="s">
        <v>5353</v>
      </c>
      <c r="BC551" s="3" t="s">
        <v>142</v>
      </c>
      <c r="BD551" s="3" t="s">
        <v>68</v>
      </c>
      <c r="BE551" s="3" t="s">
        <v>5354</v>
      </c>
      <c r="BF551" s="3" t="s">
        <v>5353</v>
      </c>
      <c r="BG551" s="3" t="s">
        <v>5355</v>
      </c>
    </row>
    <row r="552" spans="1:59" ht="57" x14ac:dyDescent="0.45">
      <c r="A552" s="2" t="s">
        <v>59</v>
      </c>
      <c r="B552" s="2" t="s">
        <v>60</v>
      </c>
      <c r="C552" s="2" t="s">
        <v>5356</v>
      </c>
      <c r="D552" s="2" t="s">
        <v>5357</v>
      </c>
      <c r="E552" s="2" t="s">
        <v>5358</v>
      </c>
      <c r="G552" s="3" t="s">
        <v>62</v>
      </c>
      <c r="I552" s="3" t="s">
        <v>62</v>
      </c>
      <c r="J552" s="3" t="s">
        <v>62</v>
      </c>
      <c r="K552" s="3" t="s">
        <v>63</v>
      </c>
      <c r="L552" s="2" t="s">
        <v>5359</v>
      </c>
      <c r="M552" s="2" t="s">
        <v>5360</v>
      </c>
      <c r="N552" s="3" t="s">
        <v>1059</v>
      </c>
      <c r="P552" s="3" t="s">
        <v>65</v>
      </c>
      <c r="Q552" s="2" t="s">
        <v>5361</v>
      </c>
      <c r="R552" s="3" t="s">
        <v>66</v>
      </c>
      <c r="S552" s="4">
        <v>12</v>
      </c>
      <c r="T552" s="4">
        <v>12</v>
      </c>
      <c r="U552" s="5" t="s">
        <v>5362</v>
      </c>
      <c r="V552" s="5" t="s">
        <v>5362</v>
      </c>
      <c r="W552" s="5" t="s">
        <v>67</v>
      </c>
      <c r="X552" s="5" t="s">
        <v>67</v>
      </c>
      <c r="Y552" s="4">
        <v>137</v>
      </c>
      <c r="Z552" s="4">
        <v>12</v>
      </c>
      <c r="AA552" s="4">
        <v>88</v>
      </c>
      <c r="AB552" s="4">
        <v>2</v>
      </c>
      <c r="AC552" s="4">
        <v>17</v>
      </c>
      <c r="AD552" s="4">
        <v>37</v>
      </c>
      <c r="AE552" s="4">
        <v>103</v>
      </c>
      <c r="AF552" s="4">
        <v>1</v>
      </c>
      <c r="AG552" s="4">
        <v>8</v>
      </c>
      <c r="AH552" s="4">
        <v>31</v>
      </c>
      <c r="AI552" s="4">
        <v>68</v>
      </c>
      <c r="AJ552" s="4">
        <v>10</v>
      </c>
      <c r="AK552" s="4">
        <v>19</v>
      </c>
      <c r="AL552" s="4">
        <v>16</v>
      </c>
      <c r="AM552" s="4">
        <v>35</v>
      </c>
      <c r="AN552" s="4">
        <v>0</v>
      </c>
      <c r="AO552" s="4">
        <v>0</v>
      </c>
      <c r="AP552" s="4">
        <v>11</v>
      </c>
      <c r="AQ552" s="4">
        <v>40</v>
      </c>
      <c r="AR552" s="3" t="s">
        <v>62</v>
      </c>
      <c r="AS552" s="3" t="s">
        <v>62</v>
      </c>
      <c r="AT552" s="3" t="s">
        <v>62</v>
      </c>
      <c r="AV552" s="6" t="str">
        <f>HYPERLINK("http://mcgill.on.worldcat.org/oclc/66263470","Catalog Record")</f>
        <v>Catalog Record</v>
      </c>
      <c r="AW552" s="6" t="str">
        <f>HYPERLINK("http://www.worldcat.org/oclc/66263470","WorldCat Record")</f>
        <v>WorldCat Record</v>
      </c>
      <c r="AX552" s="3" t="s">
        <v>5363</v>
      </c>
      <c r="AY552" s="3" t="s">
        <v>5364</v>
      </c>
      <c r="AZ552" s="3" t="s">
        <v>5365</v>
      </c>
      <c r="BA552" s="3" t="s">
        <v>5365</v>
      </c>
      <c r="BB552" s="3" t="s">
        <v>5366</v>
      </c>
      <c r="BC552" s="3" t="s">
        <v>142</v>
      </c>
      <c r="BD552" s="3" t="s">
        <v>68</v>
      </c>
      <c r="BE552" s="3" t="s">
        <v>5367</v>
      </c>
      <c r="BF552" s="3" t="s">
        <v>5366</v>
      </c>
      <c r="BG552" s="3" t="s">
        <v>5368</v>
      </c>
    </row>
    <row r="553" spans="1:59" ht="57" x14ac:dyDescent="0.45">
      <c r="A553" s="2" t="s">
        <v>59</v>
      </c>
      <c r="B553" s="2" t="s">
        <v>60</v>
      </c>
      <c r="C553" s="2" t="s">
        <v>5369</v>
      </c>
      <c r="D553" s="2" t="s">
        <v>5370</v>
      </c>
      <c r="E553" s="2" t="s">
        <v>5371</v>
      </c>
      <c r="G553" s="3" t="s">
        <v>62</v>
      </c>
      <c r="I553" s="3" t="s">
        <v>62</v>
      </c>
      <c r="J553" s="3" t="s">
        <v>62</v>
      </c>
      <c r="K553" s="3" t="s">
        <v>63</v>
      </c>
      <c r="L553" s="2" t="s">
        <v>1237</v>
      </c>
      <c r="M553" s="2" t="s">
        <v>5372</v>
      </c>
      <c r="N553" s="3" t="s">
        <v>1059</v>
      </c>
      <c r="P553" s="3" t="s">
        <v>65</v>
      </c>
      <c r="R553" s="3" t="s">
        <v>66</v>
      </c>
      <c r="S553" s="4">
        <v>15</v>
      </c>
      <c r="T553" s="4">
        <v>15</v>
      </c>
      <c r="U553" s="5" t="s">
        <v>5373</v>
      </c>
      <c r="V553" s="5" t="s">
        <v>5373</v>
      </c>
      <c r="W553" s="5" t="s">
        <v>67</v>
      </c>
      <c r="X553" s="5" t="s">
        <v>67</v>
      </c>
      <c r="Y553" s="4">
        <v>145</v>
      </c>
      <c r="Z553" s="4">
        <v>14</v>
      </c>
      <c r="AA553" s="4">
        <v>18</v>
      </c>
      <c r="AB553" s="4">
        <v>1</v>
      </c>
      <c r="AC553" s="4">
        <v>4</v>
      </c>
      <c r="AD553" s="4">
        <v>53</v>
      </c>
      <c r="AE553" s="4">
        <v>59</v>
      </c>
      <c r="AF553" s="4">
        <v>0</v>
      </c>
      <c r="AG553" s="4">
        <v>0</v>
      </c>
      <c r="AH553" s="4">
        <v>49</v>
      </c>
      <c r="AI553" s="4">
        <v>53</v>
      </c>
      <c r="AJ553" s="4">
        <v>10</v>
      </c>
      <c r="AK553" s="4">
        <v>11</v>
      </c>
      <c r="AL553" s="4">
        <v>27</v>
      </c>
      <c r="AM553" s="4">
        <v>30</v>
      </c>
      <c r="AN553" s="4">
        <v>0</v>
      </c>
      <c r="AO553" s="4">
        <v>0</v>
      </c>
      <c r="AP553" s="4">
        <v>11</v>
      </c>
      <c r="AQ553" s="4">
        <v>12</v>
      </c>
      <c r="AR553" s="3" t="s">
        <v>62</v>
      </c>
      <c r="AS553" s="3" t="s">
        <v>62</v>
      </c>
      <c r="AT553" s="3" t="s">
        <v>61</v>
      </c>
      <c r="AU553" s="6" t="str">
        <f>HYPERLINK("http://catalog.hathitrust.org/Record/005225485","HathiTrust Record")</f>
        <v>HathiTrust Record</v>
      </c>
      <c r="AV553" s="6" t="str">
        <f>HYPERLINK("http://mcgill.on.worldcat.org/oclc/61758698","Catalog Record")</f>
        <v>Catalog Record</v>
      </c>
      <c r="AW553" s="6" t="str">
        <f>HYPERLINK("http://www.worldcat.org/oclc/61758698","WorldCat Record")</f>
        <v>WorldCat Record</v>
      </c>
      <c r="AX553" s="3" t="s">
        <v>5374</v>
      </c>
      <c r="AY553" s="3" t="s">
        <v>5375</v>
      </c>
      <c r="AZ553" s="3" t="s">
        <v>5376</v>
      </c>
      <c r="BA553" s="3" t="s">
        <v>5376</v>
      </c>
      <c r="BB553" s="3" t="s">
        <v>5377</v>
      </c>
      <c r="BC553" s="3" t="s">
        <v>142</v>
      </c>
      <c r="BD553" s="3" t="s">
        <v>68</v>
      </c>
      <c r="BE553" s="3" t="s">
        <v>5378</v>
      </c>
      <c r="BF553" s="3" t="s">
        <v>5377</v>
      </c>
      <c r="BG553" s="3" t="s">
        <v>5379</v>
      </c>
    </row>
    <row r="554" spans="1:59" ht="57" x14ac:dyDescent="0.45">
      <c r="A554" s="2" t="s">
        <v>59</v>
      </c>
      <c r="B554" s="2" t="s">
        <v>60</v>
      </c>
      <c r="C554" s="2" t="s">
        <v>5380</v>
      </c>
      <c r="D554" s="2" t="s">
        <v>5381</v>
      </c>
      <c r="E554" s="2" t="s">
        <v>5382</v>
      </c>
      <c r="G554" s="3" t="s">
        <v>62</v>
      </c>
      <c r="I554" s="3" t="s">
        <v>62</v>
      </c>
      <c r="J554" s="3" t="s">
        <v>62</v>
      </c>
      <c r="K554" s="3" t="s">
        <v>63</v>
      </c>
      <c r="L554" s="2" t="s">
        <v>5383</v>
      </c>
      <c r="M554" s="2" t="s">
        <v>5384</v>
      </c>
      <c r="N554" s="3" t="s">
        <v>1253</v>
      </c>
      <c r="P554" s="3" t="s">
        <v>65</v>
      </c>
      <c r="Q554" s="2" t="s">
        <v>5385</v>
      </c>
      <c r="R554" s="3" t="s">
        <v>66</v>
      </c>
      <c r="S554" s="4">
        <v>34</v>
      </c>
      <c r="T554" s="4">
        <v>34</v>
      </c>
      <c r="U554" s="5" t="s">
        <v>5386</v>
      </c>
      <c r="V554" s="5" t="s">
        <v>5386</v>
      </c>
      <c r="W554" s="5" t="s">
        <v>67</v>
      </c>
      <c r="X554" s="5" t="s">
        <v>67</v>
      </c>
      <c r="Y554" s="4">
        <v>222</v>
      </c>
      <c r="Z554" s="4">
        <v>12</v>
      </c>
      <c r="AA554" s="4">
        <v>95</v>
      </c>
      <c r="AB554" s="4">
        <v>1</v>
      </c>
      <c r="AC554" s="4">
        <v>17</v>
      </c>
      <c r="AD554" s="4">
        <v>56</v>
      </c>
      <c r="AE554" s="4">
        <v>122</v>
      </c>
      <c r="AF554" s="4">
        <v>0</v>
      </c>
      <c r="AG554" s="4">
        <v>8</v>
      </c>
      <c r="AH554" s="4">
        <v>51</v>
      </c>
      <c r="AI554" s="4">
        <v>88</v>
      </c>
      <c r="AJ554" s="4">
        <v>8</v>
      </c>
      <c r="AK554" s="4">
        <v>21</v>
      </c>
      <c r="AL554" s="4">
        <v>33</v>
      </c>
      <c r="AM554" s="4">
        <v>47</v>
      </c>
      <c r="AN554" s="4">
        <v>0</v>
      </c>
      <c r="AO554" s="4">
        <v>0</v>
      </c>
      <c r="AP554" s="4">
        <v>9</v>
      </c>
      <c r="AQ554" s="4">
        <v>43</v>
      </c>
      <c r="AR554" s="3" t="s">
        <v>62</v>
      </c>
      <c r="AS554" s="3" t="s">
        <v>62</v>
      </c>
      <c r="AT554" s="3" t="s">
        <v>61</v>
      </c>
      <c r="AU554" s="6" t="str">
        <f>HYPERLINK("http://catalog.hathitrust.org/Record/007134701","HathiTrust Record")</f>
        <v>HathiTrust Record</v>
      </c>
      <c r="AV554" s="6" t="str">
        <f>HYPERLINK("http://mcgill.on.worldcat.org/oclc/36225068","Catalog Record")</f>
        <v>Catalog Record</v>
      </c>
      <c r="AW554" s="6" t="str">
        <f>HYPERLINK("http://www.worldcat.org/oclc/36225068","WorldCat Record")</f>
        <v>WorldCat Record</v>
      </c>
      <c r="AX554" s="3" t="s">
        <v>5387</v>
      </c>
      <c r="AY554" s="3" t="s">
        <v>5388</v>
      </c>
      <c r="AZ554" s="3" t="s">
        <v>5389</v>
      </c>
      <c r="BA554" s="3" t="s">
        <v>5389</v>
      </c>
      <c r="BB554" s="3" t="s">
        <v>5390</v>
      </c>
      <c r="BC554" s="3" t="s">
        <v>142</v>
      </c>
      <c r="BD554" s="3" t="s">
        <v>68</v>
      </c>
      <c r="BE554" s="3" t="s">
        <v>5391</v>
      </c>
      <c r="BF554" s="3" t="s">
        <v>5390</v>
      </c>
      <c r="BG554" s="3" t="s">
        <v>5392</v>
      </c>
    </row>
    <row r="555" spans="1:59" ht="57" x14ac:dyDescent="0.45">
      <c r="A555" s="2" t="s">
        <v>59</v>
      </c>
      <c r="B555" s="2" t="s">
        <v>60</v>
      </c>
      <c r="C555" s="2" t="s">
        <v>5393</v>
      </c>
      <c r="D555" s="2" t="s">
        <v>5394</v>
      </c>
      <c r="E555" s="2" t="s">
        <v>5395</v>
      </c>
      <c r="G555" s="3" t="s">
        <v>62</v>
      </c>
      <c r="I555" s="3" t="s">
        <v>62</v>
      </c>
      <c r="J555" s="3" t="s">
        <v>62</v>
      </c>
      <c r="K555" s="3" t="s">
        <v>63</v>
      </c>
      <c r="M555" s="2" t="s">
        <v>5396</v>
      </c>
      <c r="N555" s="3" t="s">
        <v>2107</v>
      </c>
      <c r="P555" s="3" t="s">
        <v>65</v>
      </c>
      <c r="R555" s="3" t="s">
        <v>66</v>
      </c>
      <c r="S555" s="4">
        <v>20</v>
      </c>
      <c r="T555" s="4">
        <v>20</v>
      </c>
      <c r="U555" s="5" t="s">
        <v>5362</v>
      </c>
      <c r="V555" s="5" t="s">
        <v>5362</v>
      </c>
      <c r="W555" s="5" t="s">
        <v>67</v>
      </c>
      <c r="X555" s="5" t="s">
        <v>67</v>
      </c>
      <c r="Y555" s="4">
        <v>277</v>
      </c>
      <c r="Z555" s="4">
        <v>17</v>
      </c>
      <c r="AA555" s="4">
        <v>23</v>
      </c>
      <c r="AB555" s="4">
        <v>2</v>
      </c>
      <c r="AC555" s="4">
        <v>4</v>
      </c>
      <c r="AD555" s="4">
        <v>87</v>
      </c>
      <c r="AE555" s="4">
        <v>94</v>
      </c>
      <c r="AF555" s="4">
        <v>1</v>
      </c>
      <c r="AG555" s="4">
        <v>3</v>
      </c>
      <c r="AH555" s="4">
        <v>81</v>
      </c>
      <c r="AI555" s="4">
        <v>83</v>
      </c>
      <c r="AJ555" s="4">
        <v>12</v>
      </c>
      <c r="AK555" s="4">
        <v>16</v>
      </c>
      <c r="AL555" s="4">
        <v>41</v>
      </c>
      <c r="AM555" s="4">
        <v>42</v>
      </c>
      <c r="AN555" s="4">
        <v>0</v>
      </c>
      <c r="AO555" s="4">
        <v>0</v>
      </c>
      <c r="AP555" s="4">
        <v>13</v>
      </c>
      <c r="AQ555" s="4">
        <v>19</v>
      </c>
      <c r="AR555" s="3" t="s">
        <v>62</v>
      </c>
      <c r="AS555" s="3" t="s">
        <v>62</v>
      </c>
      <c r="AT555" s="3" t="s">
        <v>61</v>
      </c>
      <c r="AU555" s="6" t="str">
        <f>HYPERLINK("http://catalog.hathitrust.org/Record/000243250","HathiTrust Record")</f>
        <v>HathiTrust Record</v>
      </c>
      <c r="AV555" s="6" t="str">
        <f>HYPERLINK("http://mcgill.on.worldcat.org/oclc/9683459","Catalog Record")</f>
        <v>Catalog Record</v>
      </c>
      <c r="AW555" s="6" t="str">
        <f>HYPERLINK("http://www.worldcat.org/oclc/9683459","WorldCat Record")</f>
        <v>WorldCat Record</v>
      </c>
      <c r="AX555" s="3" t="s">
        <v>5397</v>
      </c>
      <c r="AY555" s="3" t="s">
        <v>5398</v>
      </c>
      <c r="AZ555" s="3" t="s">
        <v>5399</v>
      </c>
      <c r="BA555" s="3" t="s">
        <v>5399</v>
      </c>
      <c r="BB555" s="3" t="s">
        <v>5400</v>
      </c>
      <c r="BC555" s="3" t="s">
        <v>142</v>
      </c>
      <c r="BD555" s="3" t="s">
        <v>68</v>
      </c>
      <c r="BE555" s="3" t="s">
        <v>5401</v>
      </c>
      <c r="BF555" s="3" t="s">
        <v>5400</v>
      </c>
      <c r="BG555" s="3" t="s">
        <v>5402</v>
      </c>
    </row>
    <row r="556" spans="1:59" ht="57" x14ac:dyDescent="0.45">
      <c r="A556" s="2" t="s">
        <v>59</v>
      </c>
      <c r="B556" s="2" t="s">
        <v>60</v>
      </c>
      <c r="C556" s="2" t="s">
        <v>5403</v>
      </c>
      <c r="D556" s="2" t="s">
        <v>5404</v>
      </c>
      <c r="E556" s="2" t="s">
        <v>5405</v>
      </c>
      <c r="G556" s="3" t="s">
        <v>62</v>
      </c>
      <c r="I556" s="3" t="s">
        <v>62</v>
      </c>
      <c r="J556" s="3" t="s">
        <v>62</v>
      </c>
      <c r="K556" s="3" t="s">
        <v>63</v>
      </c>
      <c r="M556" s="2" t="s">
        <v>5406</v>
      </c>
      <c r="N556" s="3" t="s">
        <v>945</v>
      </c>
      <c r="P556" s="3" t="s">
        <v>65</v>
      </c>
      <c r="Q556" s="2" t="s">
        <v>5407</v>
      </c>
      <c r="R556" s="3" t="s">
        <v>66</v>
      </c>
      <c r="S556" s="4">
        <v>8</v>
      </c>
      <c r="T556" s="4">
        <v>8</v>
      </c>
      <c r="U556" s="5" t="s">
        <v>5362</v>
      </c>
      <c r="V556" s="5" t="s">
        <v>5362</v>
      </c>
      <c r="W556" s="5" t="s">
        <v>67</v>
      </c>
      <c r="X556" s="5" t="s">
        <v>67</v>
      </c>
      <c r="Y556" s="4">
        <v>118</v>
      </c>
      <c r="Z556" s="4">
        <v>7</v>
      </c>
      <c r="AA556" s="4">
        <v>98</v>
      </c>
      <c r="AB556" s="4">
        <v>2</v>
      </c>
      <c r="AC556" s="4">
        <v>17</v>
      </c>
      <c r="AD556" s="4">
        <v>47</v>
      </c>
      <c r="AE556" s="4">
        <v>122</v>
      </c>
      <c r="AF556" s="4">
        <v>1</v>
      </c>
      <c r="AG556" s="4">
        <v>8</v>
      </c>
      <c r="AH556" s="4">
        <v>44</v>
      </c>
      <c r="AI556" s="4">
        <v>84</v>
      </c>
      <c r="AJ556" s="4">
        <v>5</v>
      </c>
      <c r="AK556" s="4">
        <v>23</v>
      </c>
      <c r="AL556" s="4">
        <v>28</v>
      </c>
      <c r="AM556" s="4">
        <v>44</v>
      </c>
      <c r="AN556" s="4">
        <v>0</v>
      </c>
      <c r="AO556" s="4">
        <v>0</v>
      </c>
      <c r="AP556" s="4">
        <v>6</v>
      </c>
      <c r="AQ556" s="4">
        <v>44</v>
      </c>
      <c r="AR556" s="3" t="s">
        <v>62</v>
      </c>
      <c r="AS556" s="3" t="s">
        <v>62</v>
      </c>
      <c r="AT556" s="3" t="s">
        <v>62</v>
      </c>
      <c r="AV556" s="6" t="str">
        <f>HYPERLINK("http://mcgill.on.worldcat.org/oclc/77575025","Catalog Record")</f>
        <v>Catalog Record</v>
      </c>
      <c r="AW556" s="6" t="str">
        <f>HYPERLINK("http://www.worldcat.org/oclc/77575025","WorldCat Record")</f>
        <v>WorldCat Record</v>
      </c>
      <c r="AX556" s="3" t="s">
        <v>5408</v>
      </c>
      <c r="AY556" s="3" t="s">
        <v>5409</v>
      </c>
      <c r="AZ556" s="3" t="s">
        <v>5410</v>
      </c>
      <c r="BA556" s="3" t="s">
        <v>5410</v>
      </c>
      <c r="BB556" s="3" t="s">
        <v>5411</v>
      </c>
      <c r="BC556" s="3" t="s">
        <v>142</v>
      </c>
      <c r="BD556" s="3" t="s">
        <v>68</v>
      </c>
      <c r="BE556" s="3" t="s">
        <v>5412</v>
      </c>
      <c r="BF556" s="3" t="s">
        <v>5411</v>
      </c>
      <c r="BG556" s="3" t="s">
        <v>5413</v>
      </c>
    </row>
    <row r="557" spans="1:59" ht="57" x14ac:dyDescent="0.45">
      <c r="A557" s="2" t="s">
        <v>59</v>
      </c>
      <c r="B557" s="2" t="s">
        <v>60</v>
      </c>
      <c r="C557" s="2" t="s">
        <v>5414</v>
      </c>
      <c r="D557" s="2" t="s">
        <v>5415</v>
      </c>
      <c r="E557" s="2" t="s">
        <v>5416</v>
      </c>
      <c r="G557" s="3" t="s">
        <v>62</v>
      </c>
      <c r="I557" s="3" t="s">
        <v>62</v>
      </c>
      <c r="J557" s="3" t="s">
        <v>62</v>
      </c>
      <c r="K557" s="3" t="s">
        <v>63</v>
      </c>
      <c r="M557" s="2" t="s">
        <v>5417</v>
      </c>
      <c r="N557" s="3" t="s">
        <v>1604</v>
      </c>
      <c r="P557" s="3" t="s">
        <v>65</v>
      </c>
      <c r="Q557" s="2" t="s">
        <v>5418</v>
      </c>
      <c r="R557" s="3" t="s">
        <v>66</v>
      </c>
      <c r="S557" s="4">
        <v>25</v>
      </c>
      <c r="T557" s="4">
        <v>25</v>
      </c>
      <c r="U557" s="5" t="s">
        <v>5362</v>
      </c>
      <c r="V557" s="5" t="s">
        <v>5362</v>
      </c>
      <c r="W557" s="5" t="s">
        <v>67</v>
      </c>
      <c r="X557" s="5" t="s">
        <v>67</v>
      </c>
      <c r="Y557" s="4">
        <v>75</v>
      </c>
      <c r="Z557" s="4">
        <v>12</v>
      </c>
      <c r="AA557" s="4">
        <v>13</v>
      </c>
      <c r="AB557" s="4">
        <v>2</v>
      </c>
      <c r="AC557" s="4">
        <v>2</v>
      </c>
      <c r="AD557" s="4">
        <v>31</v>
      </c>
      <c r="AE557" s="4">
        <v>32</v>
      </c>
      <c r="AF557" s="4">
        <v>1</v>
      </c>
      <c r="AG557" s="4">
        <v>1</v>
      </c>
      <c r="AH557" s="4">
        <v>24</v>
      </c>
      <c r="AI557" s="4">
        <v>24</v>
      </c>
      <c r="AJ557" s="4">
        <v>9</v>
      </c>
      <c r="AK557" s="4">
        <v>10</v>
      </c>
      <c r="AL557" s="4">
        <v>19</v>
      </c>
      <c r="AM557" s="4">
        <v>19</v>
      </c>
      <c r="AN557" s="4">
        <v>0</v>
      </c>
      <c r="AO557" s="4">
        <v>0</v>
      </c>
      <c r="AP557" s="4">
        <v>9</v>
      </c>
      <c r="AQ557" s="4">
        <v>10</v>
      </c>
      <c r="AR557" s="3" t="s">
        <v>62</v>
      </c>
      <c r="AS557" s="3" t="s">
        <v>62</v>
      </c>
      <c r="AT557" s="3" t="s">
        <v>62</v>
      </c>
      <c r="AV557" s="6" t="str">
        <f>HYPERLINK("http://mcgill.on.worldcat.org/oclc/29911369","Catalog Record")</f>
        <v>Catalog Record</v>
      </c>
      <c r="AW557" s="6" t="str">
        <f>HYPERLINK("http://www.worldcat.org/oclc/29911369","WorldCat Record")</f>
        <v>WorldCat Record</v>
      </c>
      <c r="AX557" s="3" t="s">
        <v>5419</v>
      </c>
      <c r="AY557" s="3" t="s">
        <v>5420</v>
      </c>
      <c r="AZ557" s="3" t="s">
        <v>5421</v>
      </c>
      <c r="BA557" s="3" t="s">
        <v>5421</v>
      </c>
      <c r="BB557" s="3" t="s">
        <v>5422</v>
      </c>
      <c r="BC557" s="3" t="s">
        <v>142</v>
      </c>
      <c r="BD557" s="3" t="s">
        <v>68</v>
      </c>
      <c r="BE557" s="3" t="s">
        <v>5423</v>
      </c>
      <c r="BF557" s="3" t="s">
        <v>5422</v>
      </c>
      <c r="BG557" s="3" t="s">
        <v>5424</v>
      </c>
    </row>
    <row r="558" spans="1:59" ht="57" x14ac:dyDescent="0.45">
      <c r="A558" s="2" t="s">
        <v>59</v>
      </c>
      <c r="B558" s="2" t="s">
        <v>60</v>
      </c>
      <c r="C558" s="2" t="s">
        <v>5425</v>
      </c>
      <c r="D558" s="2" t="s">
        <v>5426</v>
      </c>
      <c r="E558" s="2" t="s">
        <v>5427</v>
      </c>
      <c r="G558" s="3" t="s">
        <v>62</v>
      </c>
      <c r="I558" s="3" t="s">
        <v>62</v>
      </c>
      <c r="J558" s="3" t="s">
        <v>62</v>
      </c>
      <c r="K558" s="3" t="s">
        <v>63</v>
      </c>
      <c r="M558" s="2" t="s">
        <v>5428</v>
      </c>
      <c r="N558" s="3" t="s">
        <v>122</v>
      </c>
      <c r="P558" s="3" t="s">
        <v>65</v>
      </c>
      <c r="Q558" s="2" t="s">
        <v>5429</v>
      </c>
      <c r="R558" s="3" t="s">
        <v>66</v>
      </c>
      <c r="S558" s="4">
        <v>17</v>
      </c>
      <c r="T558" s="4">
        <v>17</v>
      </c>
      <c r="U558" s="5" t="s">
        <v>5430</v>
      </c>
      <c r="V558" s="5" t="s">
        <v>5430</v>
      </c>
      <c r="W558" s="5" t="s">
        <v>67</v>
      </c>
      <c r="X558" s="5" t="s">
        <v>67</v>
      </c>
      <c r="Y558" s="4">
        <v>254</v>
      </c>
      <c r="Z558" s="4">
        <v>15</v>
      </c>
      <c r="AA558" s="4">
        <v>88</v>
      </c>
      <c r="AB558" s="4">
        <v>1</v>
      </c>
      <c r="AC558" s="4">
        <v>14</v>
      </c>
      <c r="AD558" s="4">
        <v>76</v>
      </c>
      <c r="AE558" s="4">
        <v>138</v>
      </c>
      <c r="AF558" s="4">
        <v>0</v>
      </c>
      <c r="AG558" s="4">
        <v>8</v>
      </c>
      <c r="AH558" s="4">
        <v>68</v>
      </c>
      <c r="AI558" s="4">
        <v>100</v>
      </c>
      <c r="AJ558" s="4">
        <v>10</v>
      </c>
      <c r="AK558" s="4">
        <v>27</v>
      </c>
      <c r="AL558" s="4">
        <v>44</v>
      </c>
      <c r="AM558" s="4">
        <v>54</v>
      </c>
      <c r="AN558" s="4">
        <v>0</v>
      </c>
      <c r="AO558" s="4">
        <v>0</v>
      </c>
      <c r="AP558" s="4">
        <v>9</v>
      </c>
      <c r="AQ558" s="4">
        <v>46</v>
      </c>
      <c r="AR558" s="3" t="s">
        <v>62</v>
      </c>
      <c r="AS558" s="3" t="s">
        <v>62</v>
      </c>
      <c r="AT558" s="3" t="s">
        <v>61</v>
      </c>
      <c r="AU558" s="6" t="str">
        <f>HYPERLINK("http://catalog.hathitrust.org/Record/000488014","HathiTrust Record")</f>
        <v>HathiTrust Record</v>
      </c>
      <c r="AV558" s="6" t="str">
        <f>HYPERLINK("http://mcgill.on.worldcat.org/oclc/4034817","Catalog Record")</f>
        <v>Catalog Record</v>
      </c>
      <c r="AW558" s="6" t="str">
        <f>HYPERLINK("http://www.worldcat.org/oclc/4034817","WorldCat Record")</f>
        <v>WorldCat Record</v>
      </c>
      <c r="AX558" s="3" t="s">
        <v>5431</v>
      </c>
      <c r="AY558" s="3" t="s">
        <v>5432</v>
      </c>
      <c r="AZ558" s="3" t="s">
        <v>5433</v>
      </c>
      <c r="BA558" s="3" t="s">
        <v>5433</v>
      </c>
      <c r="BB558" s="3" t="s">
        <v>5434</v>
      </c>
      <c r="BC558" s="3" t="s">
        <v>142</v>
      </c>
      <c r="BD558" s="3" t="s">
        <v>68</v>
      </c>
      <c r="BE558" s="3" t="s">
        <v>5435</v>
      </c>
      <c r="BF558" s="3" t="s">
        <v>5434</v>
      </c>
      <c r="BG558" s="3" t="s">
        <v>5436</v>
      </c>
    </row>
    <row r="559" spans="1:59" ht="71.25" x14ac:dyDescent="0.45">
      <c r="A559" s="2" t="s">
        <v>59</v>
      </c>
      <c r="B559" s="2" t="s">
        <v>60</v>
      </c>
      <c r="C559" s="2" t="s">
        <v>5437</v>
      </c>
      <c r="D559" s="2" t="s">
        <v>5438</v>
      </c>
      <c r="E559" s="2" t="s">
        <v>5439</v>
      </c>
      <c r="G559" s="3" t="s">
        <v>62</v>
      </c>
      <c r="I559" s="3" t="s">
        <v>61</v>
      </c>
      <c r="J559" s="3" t="s">
        <v>62</v>
      </c>
      <c r="K559" s="3" t="s">
        <v>63</v>
      </c>
      <c r="M559" s="2" t="s">
        <v>5440</v>
      </c>
      <c r="N559" s="3" t="s">
        <v>1688</v>
      </c>
      <c r="P559" s="3" t="s">
        <v>110</v>
      </c>
      <c r="Q559" s="2" t="s">
        <v>5441</v>
      </c>
      <c r="R559" s="3" t="s">
        <v>66</v>
      </c>
      <c r="S559" s="4">
        <v>0</v>
      </c>
      <c r="T559" s="4">
        <v>0</v>
      </c>
      <c r="W559" s="5" t="s">
        <v>67</v>
      </c>
      <c r="X559" s="5" t="s">
        <v>67</v>
      </c>
      <c r="Y559" s="4">
        <v>19</v>
      </c>
      <c r="Z559" s="4">
        <v>19</v>
      </c>
      <c r="AA559" s="4">
        <v>40</v>
      </c>
      <c r="AB559" s="4">
        <v>2</v>
      </c>
      <c r="AC559" s="4">
        <v>7</v>
      </c>
      <c r="AD559" s="4">
        <v>17</v>
      </c>
      <c r="AE559" s="4">
        <v>36</v>
      </c>
      <c r="AF559" s="4">
        <v>1</v>
      </c>
      <c r="AG559" s="4">
        <v>5</v>
      </c>
      <c r="AH559" s="4">
        <v>6</v>
      </c>
      <c r="AI559" s="4">
        <v>13</v>
      </c>
      <c r="AJ559" s="4">
        <v>10</v>
      </c>
      <c r="AK559" s="4">
        <v>25</v>
      </c>
      <c r="AL559" s="4">
        <v>1</v>
      </c>
      <c r="AM559" s="4">
        <v>1</v>
      </c>
      <c r="AN559" s="4">
        <v>0</v>
      </c>
      <c r="AO559" s="4">
        <v>0</v>
      </c>
      <c r="AP559" s="4">
        <v>17</v>
      </c>
      <c r="AQ559" s="4">
        <v>34</v>
      </c>
      <c r="AR559" s="3" t="s">
        <v>61</v>
      </c>
      <c r="AS559" s="3" t="s">
        <v>62</v>
      </c>
      <c r="AT559" s="3" t="s">
        <v>62</v>
      </c>
      <c r="AV559" s="6" t="str">
        <f>HYPERLINK("http://mcgill.on.worldcat.org/oclc/912029693","Catalog Record")</f>
        <v>Catalog Record</v>
      </c>
      <c r="AW559" s="6" t="str">
        <f>HYPERLINK("http://www.worldcat.org/oclc/912029693","WorldCat Record")</f>
        <v>WorldCat Record</v>
      </c>
      <c r="AX559" s="3" t="s">
        <v>5442</v>
      </c>
      <c r="AY559" s="3" t="s">
        <v>5443</v>
      </c>
      <c r="AZ559" s="3" t="s">
        <v>5444</v>
      </c>
      <c r="BA559" s="3" t="s">
        <v>5444</v>
      </c>
      <c r="BB559" s="3" t="s">
        <v>5445</v>
      </c>
      <c r="BC559" s="3" t="s">
        <v>142</v>
      </c>
      <c r="BD559" s="3" t="s">
        <v>68</v>
      </c>
      <c r="BE559" s="3" t="s">
        <v>5446</v>
      </c>
      <c r="BF559" s="3" t="s">
        <v>5445</v>
      </c>
      <c r="BG559" s="3" t="s">
        <v>5447</v>
      </c>
    </row>
    <row r="560" spans="1:59" ht="71.25" x14ac:dyDescent="0.45">
      <c r="A560" s="2" t="s">
        <v>59</v>
      </c>
      <c r="B560" s="2" t="s">
        <v>60</v>
      </c>
      <c r="C560" s="2" t="s">
        <v>5437</v>
      </c>
      <c r="D560" s="2" t="s">
        <v>5438</v>
      </c>
      <c r="E560" s="2" t="s">
        <v>5439</v>
      </c>
      <c r="G560" s="3" t="s">
        <v>62</v>
      </c>
      <c r="I560" s="3" t="s">
        <v>61</v>
      </c>
      <c r="J560" s="3" t="s">
        <v>62</v>
      </c>
      <c r="K560" s="3" t="s">
        <v>63</v>
      </c>
      <c r="M560" s="2" t="s">
        <v>5440</v>
      </c>
      <c r="N560" s="3" t="s">
        <v>1688</v>
      </c>
      <c r="P560" s="3" t="s">
        <v>110</v>
      </c>
      <c r="Q560" s="2" t="s">
        <v>5441</v>
      </c>
      <c r="R560" s="3" t="s">
        <v>66</v>
      </c>
      <c r="S560" s="4">
        <v>0</v>
      </c>
      <c r="T560" s="4">
        <v>0</v>
      </c>
      <c r="W560" s="5" t="s">
        <v>67</v>
      </c>
      <c r="X560" s="5" t="s">
        <v>67</v>
      </c>
      <c r="Y560" s="4">
        <v>19</v>
      </c>
      <c r="Z560" s="4">
        <v>19</v>
      </c>
      <c r="AA560" s="4">
        <v>40</v>
      </c>
      <c r="AB560" s="4">
        <v>2</v>
      </c>
      <c r="AC560" s="4">
        <v>7</v>
      </c>
      <c r="AD560" s="4">
        <v>17</v>
      </c>
      <c r="AE560" s="4">
        <v>36</v>
      </c>
      <c r="AF560" s="4">
        <v>1</v>
      </c>
      <c r="AG560" s="4">
        <v>5</v>
      </c>
      <c r="AH560" s="4">
        <v>6</v>
      </c>
      <c r="AI560" s="4">
        <v>13</v>
      </c>
      <c r="AJ560" s="4">
        <v>10</v>
      </c>
      <c r="AK560" s="4">
        <v>25</v>
      </c>
      <c r="AL560" s="4">
        <v>1</v>
      </c>
      <c r="AM560" s="4">
        <v>1</v>
      </c>
      <c r="AN560" s="4">
        <v>0</v>
      </c>
      <c r="AO560" s="4">
        <v>0</v>
      </c>
      <c r="AP560" s="4">
        <v>17</v>
      </c>
      <c r="AQ560" s="4">
        <v>34</v>
      </c>
      <c r="AR560" s="3" t="s">
        <v>61</v>
      </c>
      <c r="AS560" s="3" t="s">
        <v>62</v>
      </c>
      <c r="AT560" s="3" t="s">
        <v>62</v>
      </c>
      <c r="AV560" s="6" t="str">
        <f>HYPERLINK("http://mcgill.on.worldcat.org/oclc/912029693","Catalog Record")</f>
        <v>Catalog Record</v>
      </c>
      <c r="AW560" s="6" t="str">
        <f>HYPERLINK("http://www.worldcat.org/oclc/912029693","WorldCat Record")</f>
        <v>WorldCat Record</v>
      </c>
      <c r="AX560" s="3" t="s">
        <v>5442</v>
      </c>
      <c r="AY560" s="3" t="s">
        <v>5443</v>
      </c>
      <c r="AZ560" s="3" t="s">
        <v>5444</v>
      </c>
      <c r="BA560" s="3" t="s">
        <v>5444</v>
      </c>
      <c r="BB560" s="3" t="s">
        <v>5448</v>
      </c>
      <c r="BC560" s="3" t="s">
        <v>142</v>
      </c>
      <c r="BD560" s="3" t="s">
        <v>68</v>
      </c>
      <c r="BE560" s="3" t="s">
        <v>5446</v>
      </c>
      <c r="BF560" s="3" t="s">
        <v>5448</v>
      </c>
      <c r="BG560" s="3" t="s">
        <v>5449</v>
      </c>
    </row>
    <row r="561" spans="1:59" ht="57" x14ac:dyDescent="0.45">
      <c r="A561" s="2" t="s">
        <v>59</v>
      </c>
      <c r="B561" s="2" t="s">
        <v>60</v>
      </c>
      <c r="C561" s="2" t="s">
        <v>5450</v>
      </c>
      <c r="D561" s="2" t="s">
        <v>5451</v>
      </c>
      <c r="E561" s="2" t="s">
        <v>5452</v>
      </c>
      <c r="G561" s="3" t="s">
        <v>62</v>
      </c>
      <c r="I561" s="3" t="s">
        <v>62</v>
      </c>
      <c r="J561" s="3" t="s">
        <v>62</v>
      </c>
      <c r="K561" s="3" t="s">
        <v>63</v>
      </c>
      <c r="M561" s="2" t="s">
        <v>5453</v>
      </c>
      <c r="N561" s="3" t="s">
        <v>106</v>
      </c>
      <c r="P561" s="3" t="s">
        <v>65</v>
      </c>
      <c r="Q561" s="2" t="s">
        <v>5454</v>
      </c>
      <c r="R561" s="3" t="s">
        <v>66</v>
      </c>
      <c r="S561" s="4">
        <v>32</v>
      </c>
      <c r="T561" s="4">
        <v>32</v>
      </c>
      <c r="U561" s="5" t="s">
        <v>5455</v>
      </c>
      <c r="V561" s="5" t="s">
        <v>5455</v>
      </c>
      <c r="W561" s="5" t="s">
        <v>67</v>
      </c>
      <c r="X561" s="5" t="s">
        <v>67</v>
      </c>
      <c r="Y561" s="4">
        <v>330</v>
      </c>
      <c r="Z561" s="4">
        <v>21</v>
      </c>
      <c r="AA561" s="4">
        <v>85</v>
      </c>
      <c r="AB561" s="4">
        <v>2</v>
      </c>
      <c r="AC561" s="4">
        <v>15</v>
      </c>
      <c r="AD561" s="4">
        <v>100</v>
      </c>
      <c r="AE561" s="4">
        <v>143</v>
      </c>
      <c r="AF561" s="4">
        <v>1</v>
      </c>
      <c r="AG561" s="4">
        <v>8</v>
      </c>
      <c r="AH561" s="4">
        <v>90</v>
      </c>
      <c r="AI561" s="4">
        <v>106</v>
      </c>
      <c r="AJ561" s="4">
        <v>16</v>
      </c>
      <c r="AK561" s="4">
        <v>25</v>
      </c>
      <c r="AL561" s="4">
        <v>49</v>
      </c>
      <c r="AM561" s="4">
        <v>55</v>
      </c>
      <c r="AN561" s="4">
        <v>0</v>
      </c>
      <c r="AO561" s="4">
        <v>0</v>
      </c>
      <c r="AP561" s="4">
        <v>17</v>
      </c>
      <c r="AQ561" s="4">
        <v>45</v>
      </c>
      <c r="AR561" s="3" t="s">
        <v>62</v>
      </c>
      <c r="AS561" s="3" t="s">
        <v>62</v>
      </c>
      <c r="AT561" s="3" t="s">
        <v>61</v>
      </c>
      <c r="AU561" s="6" t="str">
        <f>HYPERLINK("http://catalog.hathitrust.org/Record/000320132","HathiTrust Record")</f>
        <v>HathiTrust Record</v>
      </c>
      <c r="AV561" s="6" t="str">
        <f>HYPERLINK("http://mcgill.on.worldcat.org/oclc/8976002","Catalog Record")</f>
        <v>Catalog Record</v>
      </c>
      <c r="AW561" s="6" t="str">
        <f>HYPERLINK("http://www.worldcat.org/oclc/8976002","WorldCat Record")</f>
        <v>WorldCat Record</v>
      </c>
      <c r="AX561" s="3" t="s">
        <v>5456</v>
      </c>
      <c r="AY561" s="3" t="s">
        <v>5457</v>
      </c>
      <c r="AZ561" s="3" t="s">
        <v>5458</v>
      </c>
      <c r="BA561" s="3" t="s">
        <v>5458</v>
      </c>
      <c r="BB561" s="3" t="s">
        <v>5459</v>
      </c>
      <c r="BC561" s="3" t="s">
        <v>142</v>
      </c>
      <c r="BD561" s="3" t="s">
        <v>68</v>
      </c>
      <c r="BE561" s="3" t="s">
        <v>5460</v>
      </c>
      <c r="BF561" s="3" t="s">
        <v>5459</v>
      </c>
      <c r="BG561" s="3" t="s">
        <v>5461</v>
      </c>
    </row>
    <row r="562" spans="1:59" ht="71.25" x14ac:dyDescent="0.45">
      <c r="A562" s="2" t="s">
        <v>59</v>
      </c>
      <c r="B562" s="2" t="s">
        <v>60</v>
      </c>
      <c r="C562" s="2" t="s">
        <v>5462</v>
      </c>
      <c r="D562" s="2" t="s">
        <v>5463</v>
      </c>
      <c r="E562" s="2" t="s">
        <v>5464</v>
      </c>
      <c r="G562" s="3" t="s">
        <v>62</v>
      </c>
      <c r="I562" s="3" t="s">
        <v>62</v>
      </c>
      <c r="J562" s="3" t="s">
        <v>62</v>
      </c>
      <c r="K562" s="3" t="s">
        <v>63</v>
      </c>
      <c r="L562" s="2" t="s">
        <v>5465</v>
      </c>
      <c r="M562" s="2" t="s">
        <v>5466</v>
      </c>
      <c r="N562" s="3" t="s">
        <v>1097</v>
      </c>
      <c r="P562" s="3" t="s">
        <v>65</v>
      </c>
      <c r="R562" s="3" t="s">
        <v>66</v>
      </c>
      <c r="S562" s="4">
        <v>30</v>
      </c>
      <c r="T562" s="4">
        <v>30</v>
      </c>
      <c r="U562" s="5" t="s">
        <v>3623</v>
      </c>
      <c r="V562" s="5" t="s">
        <v>3623</v>
      </c>
      <c r="W562" s="5" t="s">
        <v>67</v>
      </c>
      <c r="X562" s="5" t="s">
        <v>67</v>
      </c>
      <c r="Y562" s="4">
        <v>46</v>
      </c>
      <c r="Z562" s="4">
        <v>6</v>
      </c>
      <c r="AA562" s="4">
        <v>57</v>
      </c>
      <c r="AB562" s="4">
        <v>1</v>
      </c>
      <c r="AC562" s="4">
        <v>8</v>
      </c>
      <c r="AD562" s="4">
        <v>13</v>
      </c>
      <c r="AE562" s="4">
        <v>104</v>
      </c>
      <c r="AF562" s="4">
        <v>0</v>
      </c>
      <c r="AG562" s="4">
        <v>4</v>
      </c>
      <c r="AH562" s="4">
        <v>9</v>
      </c>
      <c r="AI562" s="4">
        <v>80</v>
      </c>
      <c r="AJ562" s="4">
        <v>3</v>
      </c>
      <c r="AK562" s="4">
        <v>20</v>
      </c>
      <c r="AL562" s="4">
        <v>4</v>
      </c>
      <c r="AM562" s="4">
        <v>47</v>
      </c>
      <c r="AN562" s="4">
        <v>0</v>
      </c>
      <c r="AO562" s="4">
        <v>0</v>
      </c>
      <c r="AP562" s="4">
        <v>5</v>
      </c>
      <c r="AQ562" s="4">
        <v>29</v>
      </c>
      <c r="AR562" s="3" t="s">
        <v>62</v>
      </c>
      <c r="AS562" s="3" t="s">
        <v>62</v>
      </c>
      <c r="AT562" s="3" t="s">
        <v>61</v>
      </c>
      <c r="AU562" s="6" t="str">
        <f>HYPERLINK("http://catalog.hathitrust.org/Record/004360952","HathiTrust Record")</f>
        <v>HathiTrust Record</v>
      </c>
      <c r="AV562" s="6" t="str">
        <f>HYPERLINK("http://mcgill.on.worldcat.org/oclc/156056611","Catalog Record")</f>
        <v>Catalog Record</v>
      </c>
      <c r="AW562" s="6" t="str">
        <f>HYPERLINK("http://www.worldcat.org/oclc/156056611","WorldCat Record")</f>
        <v>WorldCat Record</v>
      </c>
      <c r="AX562" s="3" t="s">
        <v>5467</v>
      </c>
      <c r="AY562" s="3" t="s">
        <v>5468</v>
      </c>
      <c r="AZ562" s="3" t="s">
        <v>5469</v>
      </c>
      <c r="BA562" s="3" t="s">
        <v>5469</v>
      </c>
      <c r="BB562" s="3" t="s">
        <v>5470</v>
      </c>
      <c r="BC562" s="3" t="s">
        <v>142</v>
      </c>
      <c r="BD562" s="3" t="s">
        <v>68</v>
      </c>
      <c r="BE562" s="3" t="s">
        <v>5471</v>
      </c>
      <c r="BF562" s="3" t="s">
        <v>5470</v>
      </c>
      <c r="BG562" s="3" t="s">
        <v>5472</v>
      </c>
    </row>
    <row r="563" spans="1:59" ht="71.25" x14ac:dyDescent="0.45">
      <c r="A563" s="2" t="s">
        <v>59</v>
      </c>
      <c r="B563" s="2" t="s">
        <v>60</v>
      </c>
      <c r="C563" s="2" t="s">
        <v>5473</v>
      </c>
      <c r="D563" s="2" t="s">
        <v>5474</v>
      </c>
      <c r="E563" s="2" t="s">
        <v>5475</v>
      </c>
      <c r="G563" s="3" t="s">
        <v>62</v>
      </c>
      <c r="I563" s="3" t="s">
        <v>62</v>
      </c>
      <c r="J563" s="3" t="s">
        <v>62</v>
      </c>
      <c r="K563" s="3" t="s">
        <v>63</v>
      </c>
      <c r="L563" s="2" t="s">
        <v>5476</v>
      </c>
      <c r="M563" s="2" t="s">
        <v>5477</v>
      </c>
      <c r="N563" s="3" t="s">
        <v>1155</v>
      </c>
      <c r="P563" s="3" t="s">
        <v>65</v>
      </c>
      <c r="Q563" s="2" t="s">
        <v>5478</v>
      </c>
      <c r="R563" s="3" t="s">
        <v>66</v>
      </c>
      <c r="S563" s="4">
        <v>6</v>
      </c>
      <c r="T563" s="4">
        <v>6</v>
      </c>
      <c r="U563" s="5" t="s">
        <v>118</v>
      </c>
      <c r="V563" s="5" t="s">
        <v>118</v>
      </c>
      <c r="W563" s="5" t="s">
        <v>67</v>
      </c>
      <c r="X563" s="5" t="s">
        <v>67</v>
      </c>
      <c r="Y563" s="4">
        <v>89</v>
      </c>
      <c r="Z563" s="4">
        <v>13</v>
      </c>
      <c r="AA563" s="4">
        <v>87</v>
      </c>
      <c r="AB563" s="4">
        <v>1</v>
      </c>
      <c r="AC563" s="4">
        <v>17</v>
      </c>
      <c r="AD563" s="4">
        <v>52</v>
      </c>
      <c r="AE563" s="4">
        <v>115</v>
      </c>
      <c r="AF563" s="4">
        <v>0</v>
      </c>
      <c r="AG563" s="4">
        <v>8</v>
      </c>
      <c r="AH563" s="4">
        <v>47</v>
      </c>
      <c r="AI563" s="4">
        <v>82</v>
      </c>
      <c r="AJ563" s="4">
        <v>9</v>
      </c>
      <c r="AK563" s="4">
        <v>23</v>
      </c>
      <c r="AL563" s="4">
        <v>29</v>
      </c>
      <c r="AM563" s="4">
        <v>43</v>
      </c>
      <c r="AN563" s="4">
        <v>0</v>
      </c>
      <c r="AO563" s="4">
        <v>0</v>
      </c>
      <c r="AP563" s="4">
        <v>11</v>
      </c>
      <c r="AQ563" s="4">
        <v>42</v>
      </c>
      <c r="AR563" s="3" t="s">
        <v>62</v>
      </c>
      <c r="AS563" s="3" t="s">
        <v>62</v>
      </c>
      <c r="AT563" s="3" t="s">
        <v>62</v>
      </c>
      <c r="AV563" s="6" t="str">
        <f>HYPERLINK("http://mcgill.on.worldcat.org/oclc/760176439","Catalog Record")</f>
        <v>Catalog Record</v>
      </c>
      <c r="AW563" s="6" t="str">
        <f>HYPERLINK("http://www.worldcat.org/oclc/760176439","WorldCat Record")</f>
        <v>WorldCat Record</v>
      </c>
      <c r="AX563" s="3" t="s">
        <v>5479</v>
      </c>
      <c r="AY563" s="3" t="s">
        <v>5480</v>
      </c>
      <c r="AZ563" s="3" t="s">
        <v>5481</v>
      </c>
      <c r="BA563" s="3" t="s">
        <v>5481</v>
      </c>
      <c r="BB563" s="3" t="s">
        <v>5482</v>
      </c>
      <c r="BC563" s="3" t="s">
        <v>142</v>
      </c>
      <c r="BD563" s="3" t="s">
        <v>68</v>
      </c>
      <c r="BE563" s="3" t="s">
        <v>5483</v>
      </c>
      <c r="BF563" s="3" t="s">
        <v>5482</v>
      </c>
      <c r="BG563" s="3" t="s">
        <v>5484</v>
      </c>
    </row>
    <row r="564" spans="1:59" ht="71.25" x14ac:dyDescent="0.45">
      <c r="A564" s="2" t="s">
        <v>59</v>
      </c>
      <c r="B564" s="2" t="s">
        <v>60</v>
      </c>
      <c r="C564" s="2" t="s">
        <v>5485</v>
      </c>
      <c r="D564" s="2" t="s">
        <v>5486</v>
      </c>
      <c r="E564" s="2" t="s">
        <v>5487</v>
      </c>
      <c r="G564" s="3" t="s">
        <v>62</v>
      </c>
      <c r="I564" s="3" t="s">
        <v>61</v>
      </c>
      <c r="J564" s="3" t="s">
        <v>62</v>
      </c>
      <c r="K564" s="3" t="s">
        <v>63</v>
      </c>
      <c r="L564" s="2" t="s">
        <v>5488</v>
      </c>
      <c r="M564" s="2" t="s">
        <v>1650</v>
      </c>
      <c r="N564" s="3" t="s">
        <v>84</v>
      </c>
      <c r="P564" s="3" t="s">
        <v>65</v>
      </c>
      <c r="Q564" s="2" t="s">
        <v>5489</v>
      </c>
      <c r="R564" s="3" t="s">
        <v>66</v>
      </c>
      <c r="S564" s="4">
        <v>14</v>
      </c>
      <c r="T564" s="4">
        <v>43</v>
      </c>
      <c r="U564" s="5" t="s">
        <v>3809</v>
      </c>
      <c r="V564" s="5" t="s">
        <v>5490</v>
      </c>
      <c r="W564" s="5" t="s">
        <v>67</v>
      </c>
      <c r="X564" s="5" t="s">
        <v>67</v>
      </c>
      <c r="Y564" s="4">
        <v>314</v>
      </c>
      <c r="Z564" s="4">
        <v>20</v>
      </c>
      <c r="AA564" s="4">
        <v>24</v>
      </c>
      <c r="AB564" s="4">
        <v>2</v>
      </c>
      <c r="AC564" s="4">
        <v>4</v>
      </c>
      <c r="AD564" s="4">
        <v>110</v>
      </c>
      <c r="AE564" s="4">
        <v>114</v>
      </c>
      <c r="AF564" s="4">
        <v>1</v>
      </c>
      <c r="AG564" s="4">
        <v>3</v>
      </c>
      <c r="AH564" s="4">
        <v>99</v>
      </c>
      <c r="AI564" s="4">
        <v>102</v>
      </c>
      <c r="AJ564" s="4">
        <v>14</v>
      </c>
      <c r="AK564" s="4">
        <v>18</v>
      </c>
      <c r="AL564" s="4">
        <v>58</v>
      </c>
      <c r="AM564" s="4">
        <v>58</v>
      </c>
      <c r="AN564" s="4">
        <v>0</v>
      </c>
      <c r="AO564" s="4">
        <v>0</v>
      </c>
      <c r="AP564" s="4">
        <v>16</v>
      </c>
      <c r="AQ564" s="4">
        <v>19</v>
      </c>
      <c r="AR564" s="3" t="s">
        <v>62</v>
      </c>
      <c r="AS564" s="3" t="s">
        <v>62</v>
      </c>
      <c r="AT564" s="3" t="s">
        <v>61</v>
      </c>
      <c r="AU564" s="6" t="str">
        <f>HYPERLINK("http://catalog.hathitrust.org/Record/002566500","HathiTrust Record")</f>
        <v>HathiTrust Record</v>
      </c>
      <c r="AV564" s="6" t="str">
        <f>HYPERLINK("http://mcgill.on.worldcat.org/oclc/24541541","Catalog Record")</f>
        <v>Catalog Record</v>
      </c>
      <c r="AW564" s="6" t="str">
        <f>HYPERLINK("http://www.worldcat.org/oclc/24541541","WorldCat Record")</f>
        <v>WorldCat Record</v>
      </c>
      <c r="AX564" s="3" t="s">
        <v>5491</v>
      </c>
      <c r="AY564" s="3" t="s">
        <v>5492</v>
      </c>
      <c r="AZ564" s="3" t="s">
        <v>5493</v>
      </c>
      <c r="BA564" s="3" t="s">
        <v>5493</v>
      </c>
      <c r="BB564" s="3" t="s">
        <v>5494</v>
      </c>
      <c r="BC564" s="3" t="s">
        <v>142</v>
      </c>
      <c r="BD564" s="3" t="s">
        <v>68</v>
      </c>
      <c r="BE564" s="3" t="s">
        <v>5495</v>
      </c>
      <c r="BF564" s="3" t="s">
        <v>5494</v>
      </c>
      <c r="BG564" s="3" t="s">
        <v>5496</v>
      </c>
    </row>
    <row r="565" spans="1:59" ht="71.25" x14ac:dyDescent="0.45">
      <c r="A565" s="2" t="s">
        <v>59</v>
      </c>
      <c r="B565" s="2" t="s">
        <v>60</v>
      </c>
      <c r="C565" s="2" t="s">
        <v>5485</v>
      </c>
      <c r="D565" s="2" t="s">
        <v>5486</v>
      </c>
      <c r="E565" s="2" t="s">
        <v>5487</v>
      </c>
      <c r="G565" s="3" t="s">
        <v>62</v>
      </c>
      <c r="I565" s="3" t="s">
        <v>61</v>
      </c>
      <c r="J565" s="3" t="s">
        <v>62</v>
      </c>
      <c r="K565" s="3" t="s">
        <v>63</v>
      </c>
      <c r="L565" s="2" t="s">
        <v>5488</v>
      </c>
      <c r="M565" s="2" t="s">
        <v>1650</v>
      </c>
      <c r="N565" s="3" t="s">
        <v>84</v>
      </c>
      <c r="P565" s="3" t="s">
        <v>65</v>
      </c>
      <c r="Q565" s="2" t="s">
        <v>5489</v>
      </c>
      <c r="R565" s="3" t="s">
        <v>66</v>
      </c>
      <c r="S565" s="4">
        <v>29</v>
      </c>
      <c r="T565" s="4">
        <v>43</v>
      </c>
      <c r="U565" s="5" t="s">
        <v>5490</v>
      </c>
      <c r="V565" s="5" t="s">
        <v>5490</v>
      </c>
      <c r="W565" s="5" t="s">
        <v>67</v>
      </c>
      <c r="X565" s="5" t="s">
        <v>67</v>
      </c>
      <c r="Y565" s="4">
        <v>314</v>
      </c>
      <c r="Z565" s="4">
        <v>20</v>
      </c>
      <c r="AA565" s="4">
        <v>24</v>
      </c>
      <c r="AB565" s="4">
        <v>2</v>
      </c>
      <c r="AC565" s="4">
        <v>4</v>
      </c>
      <c r="AD565" s="4">
        <v>110</v>
      </c>
      <c r="AE565" s="4">
        <v>114</v>
      </c>
      <c r="AF565" s="4">
        <v>1</v>
      </c>
      <c r="AG565" s="4">
        <v>3</v>
      </c>
      <c r="AH565" s="4">
        <v>99</v>
      </c>
      <c r="AI565" s="4">
        <v>102</v>
      </c>
      <c r="AJ565" s="4">
        <v>14</v>
      </c>
      <c r="AK565" s="4">
        <v>18</v>
      </c>
      <c r="AL565" s="4">
        <v>58</v>
      </c>
      <c r="AM565" s="4">
        <v>58</v>
      </c>
      <c r="AN565" s="4">
        <v>0</v>
      </c>
      <c r="AO565" s="4">
        <v>0</v>
      </c>
      <c r="AP565" s="4">
        <v>16</v>
      </c>
      <c r="AQ565" s="4">
        <v>19</v>
      </c>
      <c r="AR565" s="3" t="s">
        <v>62</v>
      </c>
      <c r="AS565" s="3" t="s">
        <v>62</v>
      </c>
      <c r="AT565" s="3" t="s">
        <v>61</v>
      </c>
      <c r="AU565" s="6" t="str">
        <f>HYPERLINK("http://catalog.hathitrust.org/Record/002566500","HathiTrust Record")</f>
        <v>HathiTrust Record</v>
      </c>
      <c r="AV565" s="6" t="str">
        <f>HYPERLINK("http://mcgill.on.worldcat.org/oclc/24541541","Catalog Record")</f>
        <v>Catalog Record</v>
      </c>
      <c r="AW565" s="6" t="str">
        <f>HYPERLINK("http://www.worldcat.org/oclc/24541541","WorldCat Record")</f>
        <v>WorldCat Record</v>
      </c>
      <c r="AX565" s="3" t="s">
        <v>5491</v>
      </c>
      <c r="AY565" s="3" t="s">
        <v>5492</v>
      </c>
      <c r="AZ565" s="3" t="s">
        <v>5493</v>
      </c>
      <c r="BA565" s="3" t="s">
        <v>5493</v>
      </c>
      <c r="BB565" s="3" t="s">
        <v>5497</v>
      </c>
      <c r="BC565" s="3" t="s">
        <v>142</v>
      </c>
      <c r="BD565" s="3" t="s">
        <v>68</v>
      </c>
      <c r="BE565" s="3" t="s">
        <v>5495</v>
      </c>
      <c r="BF565" s="3" t="s">
        <v>5497</v>
      </c>
      <c r="BG565" s="3" t="s">
        <v>5498</v>
      </c>
    </row>
    <row r="566" spans="1:59" ht="57" x14ac:dyDescent="0.45">
      <c r="A566" s="2" t="s">
        <v>59</v>
      </c>
      <c r="B566" s="2" t="s">
        <v>60</v>
      </c>
      <c r="C566" s="2" t="s">
        <v>5499</v>
      </c>
      <c r="D566" s="2" t="s">
        <v>5500</v>
      </c>
      <c r="E566" s="2" t="s">
        <v>5501</v>
      </c>
      <c r="G566" s="3" t="s">
        <v>62</v>
      </c>
      <c r="I566" s="3" t="s">
        <v>62</v>
      </c>
      <c r="J566" s="3" t="s">
        <v>62</v>
      </c>
      <c r="K566" s="3" t="s">
        <v>63</v>
      </c>
      <c r="L566" s="2" t="s">
        <v>5502</v>
      </c>
      <c r="M566" s="2" t="s">
        <v>5503</v>
      </c>
      <c r="N566" s="3" t="s">
        <v>1155</v>
      </c>
      <c r="P566" s="3" t="s">
        <v>65</v>
      </c>
      <c r="R566" s="3" t="s">
        <v>66</v>
      </c>
      <c r="S566" s="4">
        <v>4</v>
      </c>
      <c r="T566" s="4">
        <v>4</v>
      </c>
      <c r="U566" s="5" t="s">
        <v>5274</v>
      </c>
      <c r="V566" s="5" t="s">
        <v>5274</v>
      </c>
      <c r="W566" s="5" t="s">
        <v>67</v>
      </c>
      <c r="X566" s="5" t="s">
        <v>67</v>
      </c>
      <c r="Y566" s="4">
        <v>23</v>
      </c>
      <c r="Z566" s="4">
        <v>13</v>
      </c>
      <c r="AA566" s="4">
        <v>13</v>
      </c>
      <c r="AB566" s="4">
        <v>1</v>
      </c>
      <c r="AC566" s="4">
        <v>1</v>
      </c>
      <c r="AD566" s="4">
        <v>16</v>
      </c>
      <c r="AE566" s="4">
        <v>16</v>
      </c>
      <c r="AF566" s="4">
        <v>0</v>
      </c>
      <c r="AG566" s="4">
        <v>0</v>
      </c>
      <c r="AH566" s="4">
        <v>11</v>
      </c>
      <c r="AI566" s="4">
        <v>11</v>
      </c>
      <c r="AJ566" s="4">
        <v>11</v>
      </c>
      <c r="AK566" s="4">
        <v>11</v>
      </c>
      <c r="AL566" s="4">
        <v>5</v>
      </c>
      <c r="AM566" s="4">
        <v>5</v>
      </c>
      <c r="AN566" s="4">
        <v>0</v>
      </c>
      <c r="AO566" s="4">
        <v>0</v>
      </c>
      <c r="AP566" s="4">
        <v>10</v>
      </c>
      <c r="AQ566" s="4">
        <v>10</v>
      </c>
      <c r="AR566" s="3" t="s">
        <v>61</v>
      </c>
      <c r="AS566" s="3" t="s">
        <v>62</v>
      </c>
      <c r="AT566" s="3" t="s">
        <v>62</v>
      </c>
      <c r="AV566" s="6" t="str">
        <f>HYPERLINK("http://mcgill.on.worldcat.org/oclc/774094689","Catalog Record")</f>
        <v>Catalog Record</v>
      </c>
      <c r="AW566" s="6" t="str">
        <f>HYPERLINK("http://www.worldcat.org/oclc/774094689","WorldCat Record")</f>
        <v>WorldCat Record</v>
      </c>
      <c r="AX566" s="3" t="s">
        <v>5504</v>
      </c>
      <c r="AY566" s="3" t="s">
        <v>5505</v>
      </c>
      <c r="AZ566" s="3" t="s">
        <v>5506</v>
      </c>
      <c r="BA566" s="3" t="s">
        <v>5506</v>
      </c>
      <c r="BB566" s="3" t="s">
        <v>5507</v>
      </c>
      <c r="BC566" s="3" t="s">
        <v>142</v>
      </c>
      <c r="BD566" s="3" t="s">
        <v>68</v>
      </c>
      <c r="BE566" s="3" t="s">
        <v>5508</v>
      </c>
      <c r="BF566" s="3" t="s">
        <v>5507</v>
      </c>
      <c r="BG566" s="3" t="s">
        <v>5509</v>
      </c>
    </row>
    <row r="567" spans="1:59" ht="71.25" x14ac:dyDescent="0.45">
      <c r="A567" s="2" t="s">
        <v>59</v>
      </c>
      <c r="B567" s="2" t="s">
        <v>60</v>
      </c>
      <c r="C567" s="2" t="s">
        <v>5510</v>
      </c>
      <c r="D567" s="2" t="s">
        <v>5511</v>
      </c>
      <c r="E567" s="2" t="s">
        <v>5512</v>
      </c>
      <c r="G567" s="3" t="s">
        <v>62</v>
      </c>
      <c r="I567" s="3" t="s">
        <v>62</v>
      </c>
      <c r="J567" s="3" t="s">
        <v>62</v>
      </c>
      <c r="K567" s="3" t="s">
        <v>63</v>
      </c>
      <c r="L567" s="2" t="s">
        <v>5502</v>
      </c>
      <c r="M567" s="2" t="s">
        <v>5513</v>
      </c>
      <c r="N567" s="3" t="s">
        <v>1155</v>
      </c>
      <c r="P567" s="3" t="s">
        <v>110</v>
      </c>
      <c r="R567" s="3" t="s">
        <v>66</v>
      </c>
      <c r="S567" s="4">
        <v>0</v>
      </c>
      <c r="T567" s="4">
        <v>0</v>
      </c>
      <c r="W567" s="5" t="s">
        <v>67</v>
      </c>
      <c r="X567" s="5" t="s">
        <v>67</v>
      </c>
      <c r="Y567" s="4">
        <v>4</v>
      </c>
      <c r="Z567" s="4">
        <v>2</v>
      </c>
      <c r="AA567" s="4">
        <v>7</v>
      </c>
      <c r="AB567" s="4">
        <v>1</v>
      </c>
      <c r="AC567" s="4">
        <v>2</v>
      </c>
      <c r="AD567" s="4">
        <v>2</v>
      </c>
      <c r="AE567" s="4">
        <v>5</v>
      </c>
      <c r="AF567" s="4">
        <v>0</v>
      </c>
      <c r="AG567" s="4">
        <v>0</v>
      </c>
      <c r="AH567" s="4">
        <v>1</v>
      </c>
      <c r="AI567" s="4">
        <v>3</v>
      </c>
      <c r="AJ567" s="4">
        <v>1</v>
      </c>
      <c r="AK567" s="4">
        <v>4</v>
      </c>
      <c r="AL567" s="4">
        <v>0</v>
      </c>
      <c r="AM567" s="4">
        <v>0</v>
      </c>
      <c r="AN567" s="4">
        <v>0</v>
      </c>
      <c r="AO567" s="4">
        <v>0</v>
      </c>
      <c r="AP567" s="4">
        <v>1</v>
      </c>
      <c r="AQ567" s="4">
        <v>3</v>
      </c>
      <c r="AR567" s="3" t="s">
        <v>61</v>
      </c>
      <c r="AS567" s="3" t="s">
        <v>62</v>
      </c>
      <c r="AT567" s="3" t="s">
        <v>62</v>
      </c>
      <c r="AV567" s="6" t="str">
        <f>HYPERLINK("http://mcgill.on.worldcat.org/oclc/830051784","Catalog Record")</f>
        <v>Catalog Record</v>
      </c>
      <c r="AW567" s="6" t="str">
        <f>HYPERLINK("http://www.worldcat.org/oclc/830051784","WorldCat Record")</f>
        <v>WorldCat Record</v>
      </c>
      <c r="AX567" s="3" t="s">
        <v>5514</v>
      </c>
      <c r="AY567" s="3" t="s">
        <v>5515</v>
      </c>
      <c r="AZ567" s="3" t="s">
        <v>5516</v>
      </c>
      <c r="BA567" s="3" t="s">
        <v>5516</v>
      </c>
      <c r="BB567" s="3" t="s">
        <v>5517</v>
      </c>
      <c r="BC567" s="3" t="s">
        <v>142</v>
      </c>
      <c r="BD567" s="3" t="s">
        <v>68</v>
      </c>
      <c r="BE567" s="3" t="s">
        <v>5518</v>
      </c>
      <c r="BF567" s="3" t="s">
        <v>5517</v>
      </c>
      <c r="BG567" s="3" t="s">
        <v>5519</v>
      </c>
    </row>
    <row r="568" spans="1:59" ht="57" x14ac:dyDescent="0.45">
      <c r="A568" s="2" t="s">
        <v>59</v>
      </c>
      <c r="B568" s="2" t="s">
        <v>60</v>
      </c>
      <c r="C568" s="2" t="s">
        <v>5520</v>
      </c>
      <c r="D568" s="2" t="s">
        <v>5521</v>
      </c>
      <c r="E568" s="2" t="s">
        <v>5522</v>
      </c>
      <c r="F568" s="3" t="s">
        <v>90</v>
      </c>
      <c r="G568" s="3" t="s">
        <v>61</v>
      </c>
      <c r="I568" s="3" t="s">
        <v>62</v>
      </c>
      <c r="J568" s="3" t="s">
        <v>62</v>
      </c>
      <c r="K568" s="3" t="s">
        <v>63</v>
      </c>
      <c r="M568" s="2" t="s">
        <v>5523</v>
      </c>
      <c r="N568" s="3" t="s">
        <v>1855</v>
      </c>
      <c r="P568" s="3" t="s">
        <v>65</v>
      </c>
      <c r="Q568" s="2" t="s">
        <v>5407</v>
      </c>
      <c r="R568" s="3" t="s">
        <v>66</v>
      </c>
      <c r="S568" s="4">
        <v>10</v>
      </c>
      <c r="T568" s="4">
        <v>13</v>
      </c>
      <c r="U568" s="5" t="s">
        <v>5274</v>
      </c>
      <c r="V568" s="5" t="s">
        <v>5274</v>
      </c>
      <c r="W568" s="5" t="s">
        <v>67</v>
      </c>
      <c r="X568" s="5" t="s">
        <v>67</v>
      </c>
      <c r="Y568" s="4">
        <v>133</v>
      </c>
      <c r="Z568" s="4">
        <v>11</v>
      </c>
      <c r="AA568" s="4">
        <v>101</v>
      </c>
      <c r="AB568" s="4">
        <v>1</v>
      </c>
      <c r="AC568" s="4">
        <v>17</v>
      </c>
      <c r="AD568" s="4">
        <v>59</v>
      </c>
      <c r="AE568" s="4">
        <v>127</v>
      </c>
      <c r="AF568" s="4">
        <v>0</v>
      </c>
      <c r="AG568" s="4">
        <v>8</v>
      </c>
      <c r="AH568" s="4">
        <v>56</v>
      </c>
      <c r="AI568" s="4">
        <v>91</v>
      </c>
      <c r="AJ568" s="4">
        <v>8</v>
      </c>
      <c r="AK568" s="4">
        <v>21</v>
      </c>
      <c r="AL568" s="4">
        <v>32</v>
      </c>
      <c r="AM568" s="4">
        <v>47</v>
      </c>
      <c r="AN568" s="4">
        <v>0</v>
      </c>
      <c r="AO568" s="4">
        <v>0</v>
      </c>
      <c r="AP568" s="4">
        <v>8</v>
      </c>
      <c r="AQ568" s="4">
        <v>43</v>
      </c>
      <c r="AR568" s="3" t="s">
        <v>62</v>
      </c>
      <c r="AS568" s="3" t="s">
        <v>62</v>
      </c>
      <c r="AT568" s="3" t="s">
        <v>61</v>
      </c>
      <c r="AU568" s="6" t="str">
        <f>HYPERLINK("http://catalog.hathitrust.org/Record/005133017","HathiTrust Record")</f>
        <v>HathiTrust Record</v>
      </c>
      <c r="AV568" s="6" t="str">
        <f>HYPERLINK("http://mcgill.on.worldcat.org/oclc/58455110","Catalog Record")</f>
        <v>Catalog Record</v>
      </c>
      <c r="AW568" s="6" t="str">
        <f>HYPERLINK("http://www.worldcat.org/oclc/58455110","WorldCat Record")</f>
        <v>WorldCat Record</v>
      </c>
      <c r="AX568" s="3" t="s">
        <v>5524</v>
      </c>
      <c r="AY568" s="3" t="s">
        <v>5525</v>
      </c>
      <c r="AZ568" s="3" t="s">
        <v>5526</v>
      </c>
      <c r="BA568" s="3" t="s">
        <v>5526</v>
      </c>
      <c r="BB568" s="3" t="s">
        <v>5527</v>
      </c>
      <c r="BC568" s="3" t="s">
        <v>142</v>
      </c>
      <c r="BD568" s="3" t="s">
        <v>68</v>
      </c>
      <c r="BE568" s="3" t="s">
        <v>5528</v>
      </c>
      <c r="BF568" s="3" t="s">
        <v>5527</v>
      </c>
      <c r="BG568" s="3" t="s">
        <v>5529</v>
      </c>
    </row>
    <row r="569" spans="1:59" ht="57" x14ac:dyDescent="0.45">
      <c r="A569" s="2" t="s">
        <v>59</v>
      </c>
      <c r="B569" s="2" t="s">
        <v>60</v>
      </c>
      <c r="C569" s="2" t="s">
        <v>5520</v>
      </c>
      <c r="D569" s="2" t="s">
        <v>5521</v>
      </c>
      <c r="E569" s="2" t="s">
        <v>5522</v>
      </c>
      <c r="F569" s="3" t="s">
        <v>87</v>
      </c>
      <c r="G569" s="3" t="s">
        <v>61</v>
      </c>
      <c r="I569" s="3" t="s">
        <v>62</v>
      </c>
      <c r="J569" s="3" t="s">
        <v>62</v>
      </c>
      <c r="K569" s="3" t="s">
        <v>63</v>
      </c>
      <c r="M569" s="2" t="s">
        <v>5523</v>
      </c>
      <c r="N569" s="3" t="s">
        <v>1855</v>
      </c>
      <c r="P569" s="3" t="s">
        <v>65</v>
      </c>
      <c r="Q569" s="2" t="s">
        <v>5407</v>
      </c>
      <c r="R569" s="3" t="s">
        <v>66</v>
      </c>
      <c r="S569" s="4">
        <v>3</v>
      </c>
      <c r="T569" s="4">
        <v>13</v>
      </c>
      <c r="U569" s="5" t="s">
        <v>5274</v>
      </c>
      <c r="V569" s="5" t="s">
        <v>5274</v>
      </c>
      <c r="W569" s="5" t="s">
        <v>67</v>
      </c>
      <c r="X569" s="5" t="s">
        <v>67</v>
      </c>
      <c r="Y569" s="4">
        <v>133</v>
      </c>
      <c r="Z569" s="4">
        <v>11</v>
      </c>
      <c r="AA569" s="4">
        <v>101</v>
      </c>
      <c r="AB569" s="4">
        <v>1</v>
      </c>
      <c r="AC569" s="4">
        <v>17</v>
      </c>
      <c r="AD569" s="4">
        <v>59</v>
      </c>
      <c r="AE569" s="4">
        <v>127</v>
      </c>
      <c r="AF569" s="4">
        <v>0</v>
      </c>
      <c r="AG569" s="4">
        <v>8</v>
      </c>
      <c r="AH569" s="4">
        <v>56</v>
      </c>
      <c r="AI569" s="4">
        <v>91</v>
      </c>
      <c r="AJ569" s="4">
        <v>8</v>
      </c>
      <c r="AK569" s="4">
        <v>21</v>
      </c>
      <c r="AL569" s="4">
        <v>32</v>
      </c>
      <c r="AM569" s="4">
        <v>47</v>
      </c>
      <c r="AN569" s="4">
        <v>0</v>
      </c>
      <c r="AO569" s="4">
        <v>0</v>
      </c>
      <c r="AP569" s="4">
        <v>8</v>
      </c>
      <c r="AQ569" s="4">
        <v>43</v>
      </c>
      <c r="AR569" s="3" t="s">
        <v>62</v>
      </c>
      <c r="AS569" s="3" t="s">
        <v>62</v>
      </c>
      <c r="AT569" s="3" t="s">
        <v>61</v>
      </c>
      <c r="AU569" s="6" t="str">
        <f>HYPERLINK("http://catalog.hathitrust.org/Record/005133017","HathiTrust Record")</f>
        <v>HathiTrust Record</v>
      </c>
      <c r="AV569" s="6" t="str">
        <f>HYPERLINK("http://mcgill.on.worldcat.org/oclc/58455110","Catalog Record")</f>
        <v>Catalog Record</v>
      </c>
      <c r="AW569" s="6" t="str">
        <f>HYPERLINK("http://www.worldcat.org/oclc/58455110","WorldCat Record")</f>
        <v>WorldCat Record</v>
      </c>
      <c r="AX569" s="3" t="s">
        <v>5524</v>
      </c>
      <c r="AY569" s="3" t="s">
        <v>5525</v>
      </c>
      <c r="AZ569" s="3" t="s">
        <v>5526</v>
      </c>
      <c r="BA569" s="3" t="s">
        <v>5526</v>
      </c>
      <c r="BB569" s="3" t="s">
        <v>5530</v>
      </c>
      <c r="BC569" s="3" t="s">
        <v>142</v>
      </c>
      <c r="BD569" s="3" t="s">
        <v>68</v>
      </c>
      <c r="BE569" s="3" t="s">
        <v>5528</v>
      </c>
      <c r="BF569" s="3" t="s">
        <v>5530</v>
      </c>
      <c r="BG569" s="3" t="s">
        <v>5531</v>
      </c>
    </row>
    <row r="570" spans="1:59" ht="57" x14ac:dyDescent="0.45">
      <c r="A570" s="2" t="s">
        <v>59</v>
      </c>
      <c r="B570" s="2" t="s">
        <v>60</v>
      </c>
      <c r="C570" s="2" t="s">
        <v>5532</v>
      </c>
      <c r="D570" s="2" t="s">
        <v>5533</v>
      </c>
      <c r="E570" s="2" t="s">
        <v>5534</v>
      </c>
      <c r="G570" s="3" t="s">
        <v>62</v>
      </c>
      <c r="I570" s="3" t="s">
        <v>62</v>
      </c>
      <c r="J570" s="3" t="s">
        <v>62</v>
      </c>
      <c r="K570" s="3" t="s">
        <v>63</v>
      </c>
      <c r="L570" s="2" t="s">
        <v>5535</v>
      </c>
      <c r="M570" s="2" t="s">
        <v>5536</v>
      </c>
      <c r="N570" s="3" t="s">
        <v>529</v>
      </c>
      <c r="P570" s="3" t="s">
        <v>65</v>
      </c>
      <c r="R570" s="3" t="s">
        <v>66</v>
      </c>
      <c r="S570" s="4">
        <v>9</v>
      </c>
      <c r="T570" s="4">
        <v>9</v>
      </c>
      <c r="U570" s="5" t="s">
        <v>5537</v>
      </c>
      <c r="V570" s="5" t="s">
        <v>5537</v>
      </c>
      <c r="W570" s="5" t="s">
        <v>67</v>
      </c>
      <c r="X570" s="5" t="s">
        <v>67</v>
      </c>
      <c r="Y570" s="4">
        <v>49</v>
      </c>
      <c r="Z570" s="4">
        <v>4</v>
      </c>
      <c r="AA570" s="4">
        <v>5</v>
      </c>
      <c r="AB570" s="4">
        <v>1</v>
      </c>
      <c r="AC570" s="4">
        <v>2</v>
      </c>
      <c r="AD570" s="4">
        <v>31</v>
      </c>
      <c r="AE570" s="4">
        <v>32</v>
      </c>
      <c r="AF570" s="4">
        <v>0</v>
      </c>
      <c r="AG570" s="4">
        <v>1</v>
      </c>
      <c r="AH570" s="4">
        <v>30</v>
      </c>
      <c r="AI570" s="4">
        <v>31</v>
      </c>
      <c r="AJ570" s="4">
        <v>2</v>
      </c>
      <c r="AK570" s="4">
        <v>3</v>
      </c>
      <c r="AL570" s="4">
        <v>23</v>
      </c>
      <c r="AM570" s="4">
        <v>23</v>
      </c>
      <c r="AN570" s="4">
        <v>0</v>
      </c>
      <c r="AO570" s="4">
        <v>0</v>
      </c>
      <c r="AP570" s="4">
        <v>2</v>
      </c>
      <c r="AQ570" s="4">
        <v>3</v>
      </c>
      <c r="AR570" s="3" t="s">
        <v>62</v>
      </c>
      <c r="AS570" s="3" t="s">
        <v>62</v>
      </c>
      <c r="AT570" s="3" t="s">
        <v>61</v>
      </c>
      <c r="AU570" s="6" t="str">
        <f>HYPERLINK("http://catalog.hathitrust.org/Record/000349932","HathiTrust Record")</f>
        <v>HathiTrust Record</v>
      </c>
      <c r="AV570" s="6" t="str">
        <f>HYPERLINK("http://mcgill.on.worldcat.org/oclc/12667681","Catalog Record")</f>
        <v>Catalog Record</v>
      </c>
      <c r="AW570" s="6" t="str">
        <f>HYPERLINK("http://www.worldcat.org/oclc/12667681","WorldCat Record")</f>
        <v>WorldCat Record</v>
      </c>
      <c r="AX570" s="3" t="s">
        <v>5538</v>
      </c>
      <c r="AY570" s="3" t="s">
        <v>5539</v>
      </c>
      <c r="AZ570" s="3" t="s">
        <v>5540</v>
      </c>
      <c r="BA570" s="3" t="s">
        <v>5540</v>
      </c>
      <c r="BB570" s="3" t="s">
        <v>5541</v>
      </c>
      <c r="BC570" s="3" t="s">
        <v>142</v>
      </c>
      <c r="BD570" s="3" t="s">
        <v>68</v>
      </c>
      <c r="BF570" s="3" t="s">
        <v>5541</v>
      </c>
      <c r="BG570" s="3" t="s">
        <v>5542</v>
      </c>
    </row>
    <row r="571" spans="1:59" ht="57" x14ac:dyDescent="0.45">
      <c r="A571" s="2" t="s">
        <v>59</v>
      </c>
      <c r="B571" s="2" t="s">
        <v>60</v>
      </c>
      <c r="C571" s="2" t="s">
        <v>5543</v>
      </c>
      <c r="D571" s="2" t="s">
        <v>5544</v>
      </c>
      <c r="E571" s="2" t="s">
        <v>5545</v>
      </c>
      <c r="F571" s="3" t="s">
        <v>87</v>
      </c>
      <c r="G571" s="3" t="s">
        <v>61</v>
      </c>
      <c r="I571" s="3" t="s">
        <v>62</v>
      </c>
      <c r="J571" s="3" t="s">
        <v>62</v>
      </c>
      <c r="K571" s="3" t="s">
        <v>63</v>
      </c>
      <c r="M571" s="2" t="s">
        <v>5546</v>
      </c>
      <c r="N571" s="3" t="s">
        <v>945</v>
      </c>
      <c r="P571" s="3" t="s">
        <v>65</v>
      </c>
      <c r="Q571" s="2" t="s">
        <v>5407</v>
      </c>
      <c r="R571" s="3" t="s">
        <v>66</v>
      </c>
      <c r="S571" s="4">
        <v>3</v>
      </c>
      <c r="T571" s="4">
        <v>3</v>
      </c>
      <c r="U571" s="5" t="s">
        <v>5547</v>
      </c>
      <c r="V571" s="5" t="s">
        <v>5547</v>
      </c>
      <c r="W571" s="5" t="s">
        <v>67</v>
      </c>
      <c r="X571" s="5" t="s">
        <v>67</v>
      </c>
      <c r="Y571" s="4">
        <v>107</v>
      </c>
      <c r="Z571" s="4">
        <v>6</v>
      </c>
      <c r="AA571" s="4">
        <v>96</v>
      </c>
      <c r="AB571" s="4">
        <v>1</v>
      </c>
      <c r="AC571" s="4">
        <v>17</v>
      </c>
      <c r="AD571" s="4">
        <v>47</v>
      </c>
      <c r="AE571" s="4">
        <v>119</v>
      </c>
      <c r="AF571" s="4">
        <v>0</v>
      </c>
      <c r="AG571" s="4">
        <v>8</v>
      </c>
      <c r="AH571" s="4">
        <v>47</v>
      </c>
      <c r="AI571" s="4">
        <v>83</v>
      </c>
      <c r="AJ571" s="4">
        <v>5</v>
      </c>
      <c r="AK571" s="4">
        <v>21</v>
      </c>
      <c r="AL571" s="4">
        <v>28</v>
      </c>
      <c r="AM571" s="4">
        <v>44</v>
      </c>
      <c r="AN571" s="4">
        <v>0</v>
      </c>
      <c r="AO571" s="4">
        <v>0</v>
      </c>
      <c r="AP571" s="4">
        <v>5</v>
      </c>
      <c r="AQ571" s="4">
        <v>43</v>
      </c>
      <c r="AR571" s="3" t="s">
        <v>62</v>
      </c>
      <c r="AS571" s="3" t="s">
        <v>62</v>
      </c>
      <c r="AT571" s="3" t="s">
        <v>62</v>
      </c>
      <c r="AV571" s="6" t="str">
        <f>HYPERLINK("http://mcgill.on.worldcat.org/oclc/85692748","Catalog Record")</f>
        <v>Catalog Record</v>
      </c>
      <c r="AW571" s="6" t="str">
        <f>HYPERLINK("http://www.worldcat.org/oclc/85692748","WorldCat Record")</f>
        <v>WorldCat Record</v>
      </c>
      <c r="AX571" s="3" t="s">
        <v>5548</v>
      </c>
      <c r="AY571" s="3" t="s">
        <v>5549</v>
      </c>
      <c r="AZ571" s="3" t="s">
        <v>5550</v>
      </c>
      <c r="BA571" s="3" t="s">
        <v>5550</v>
      </c>
      <c r="BB571" s="3" t="s">
        <v>5551</v>
      </c>
      <c r="BC571" s="3" t="s">
        <v>142</v>
      </c>
      <c r="BD571" s="3" t="s">
        <v>68</v>
      </c>
      <c r="BE571" s="3" t="s">
        <v>5552</v>
      </c>
      <c r="BF571" s="3" t="s">
        <v>5551</v>
      </c>
      <c r="BG571" s="3" t="s">
        <v>5553</v>
      </c>
    </row>
    <row r="572" spans="1:59" ht="57" x14ac:dyDescent="0.45">
      <c r="A572" s="2" t="s">
        <v>59</v>
      </c>
      <c r="B572" s="2" t="s">
        <v>60</v>
      </c>
      <c r="C572" s="2" t="s">
        <v>5554</v>
      </c>
      <c r="D572" s="2" t="s">
        <v>5555</v>
      </c>
      <c r="E572" s="2" t="s">
        <v>5556</v>
      </c>
      <c r="G572" s="3" t="s">
        <v>62</v>
      </c>
      <c r="I572" s="3" t="s">
        <v>62</v>
      </c>
      <c r="J572" s="3" t="s">
        <v>62</v>
      </c>
      <c r="K572" s="3" t="s">
        <v>63</v>
      </c>
      <c r="M572" s="2" t="s">
        <v>5557</v>
      </c>
      <c r="N572" s="3" t="s">
        <v>125</v>
      </c>
      <c r="P572" s="3" t="s">
        <v>65</v>
      </c>
      <c r="R572" s="3" t="s">
        <v>66</v>
      </c>
      <c r="S572" s="4">
        <v>17</v>
      </c>
      <c r="T572" s="4">
        <v>17</v>
      </c>
      <c r="U572" s="5" t="s">
        <v>5547</v>
      </c>
      <c r="V572" s="5" t="s">
        <v>5547</v>
      </c>
      <c r="W572" s="5" t="s">
        <v>67</v>
      </c>
      <c r="X572" s="5" t="s">
        <v>67</v>
      </c>
      <c r="Y572" s="4">
        <v>98</v>
      </c>
      <c r="Z572" s="4">
        <v>7</v>
      </c>
      <c r="AA572" s="4">
        <v>20</v>
      </c>
      <c r="AB572" s="4">
        <v>1</v>
      </c>
      <c r="AC572" s="4">
        <v>4</v>
      </c>
      <c r="AD572" s="4">
        <v>46</v>
      </c>
      <c r="AE572" s="4">
        <v>91</v>
      </c>
      <c r="AF572" s="4">
        <v>0</v>
      </c>
      <c r="AG572" s="4">
        <v>2</v>
      </c>
      <c r="AH572" s="4">
        <v>42</v>
      </c>
      <c r="AI572" s="4">
        <v>83</v>
      </c>
      <c r="AJ572" s="4">
        <v>5</v>
      </c>
      <c r="AK572" s="4">
        <v>16</v>
      </c>
      <c r="AL572" s="4">
        <v>25</v>
      </c>
      <c r="AM572" s="4">
        <v>50</v>
      </c>
      <c r="AN572" s="4">
        <v>0</v>
      </c>
      <c r="AO572" s="4">
        <v>0</v>
      </c>
      <c r="AP572" s="4">
        <v>5</v>
      </c>
      <c r="AQ572" s="4">
        <v>16</v>
      </c>
      <c r="AR572" s="3" t="s">
        <v>62</v>
      </c>
      <c r="AS572" s="3" t="s">
        <v>62</v>
      </c>
      <c r="AT572" s="3" t="s">
        <v>62</v>
      </c>
      <c r="AV572" s="6" t="str">
        <f>HYPERLINK("http://mcgill.on.worldcat.org/oclc/20453053","Catalog Record")</f>
        <v>Catalog Record</v>
      </c>
      <c r="AW572" s="6" t="str">
        <f>HYPERLINK("http://www.worldcat.org/oclc/20453053","WorldCat Record")</f>
        <v>WorldCat Record</v>
      </c>
      <c r="AX572" s="3" t="s">
        <v>5558</v>
      </c>
      <c r="AY572" s="3" t="s">
        <v>5559</v>
      </c>
      <c r="AZ572" s="3" t="s">
        <v>5560</v>
      </c>
      <c r="BA572" s="3" t="s">
        <v>5560</v>
      </c>
      <c r="BB572" s="3" t="s">
        <v>5561</v>
      </c>
      <c r="BC572" s="3" t="s">
        <v>142</v>
      </c>
      <c r="BD572" s="3" t="s">
        <v>68</v>
      </c>
      <c r="BE572" s="3" t="s">
        <v>5562</v>
      </c>
      <c r="BF572" s="3" t="s">
        <v>5561</v>
      </c>
      <c r="BG572" s="3" t="s">
        <v>5563</v>
      </c>
    </row>
    <row r="573" spans="1:59" ht="57" x14ac:dyDescent="0.45">
      <c r="A573" s="2" t="s">
        <v>59</v>
      </c>
      <c r="B573" s="2" t="s">
        <v>60</v>
      </c>
      <c r="C573" s="2" t="s">
        <v>5564</v>
      </c>
      <c r="D573" s="2" t="s">
        <v>5565</v>
      </c>
      <c r="E573" s="2" t="s">
        <v>5566</v>
      </c>
      <c r="G573" s="3" t="s">
        <v>62</v>
      </c>
      <c r="I573" s="3" t="s">
        <v>62</v>
      </c>
      <c r="J573" s="3" t="s">
        <v>61</v>
      </c>
      <c r="K573" s="3" t="s">
        <v>63</v>
      </c>
      <c r="L573" s="2" t="s">
        <v>5567</v>
      </c>
      <c r="M573" s="2" t="s">
        <v>5568</v>
      </c>
      <c r="N573" s="3" t="s">
        <v>1155</v>
      </c>
      <c r="O573" s="2" t="s">
        <v>168</v>
      </c>
      <c r="P573" s="3" t="s">
        <v>65</v>
      </c>
      <c r="Q573" s="2" t="s">
        <v>5569</v>
      </c>
      <c r="R573" s="3" t="s">
        <v>66</v>
      </c>
      <c r="S573" s="4">
        <v>2</v>
      </c>
      <c r="T573" s="4">
        <v>2</v>
      </c>
      <c r="U573" s="5" t="s">
        <v>5570</v>
      </c>
      <c r="V573" s="5" t="s">
        <v>5570</v>
      </c>
      <c r="W573" s="5" t="s">
        <v>67</v>
      </c>
      <c r="X573" s="5" t="s">
        <v>67</v>
      </c>
      <c r="Y573" s="4">
        <v>63</v>
      </c>
      <c r="Z573" s="4">
        <v>7</v>
      </c>
      <c r="AA573" s="4">
        <v>130</v>
      </c>
      <c r="AB573" s="4">
        <v>1</v>
      </c>
      <c r="AC573" s="4">
        <v>22</v>
      </c>
      <c r="AD573" s="4">
        <v>13</v>
      </c>
      <c r="AE573" s="4">
        <v>155</v>
      </c>
      <c r="AF573" s="4">
        <v>0</v>
      </c>
      <c r="AG573" s="4">
        <v>9</v>
      </c>
      <c r="AH573" s="4">
        <v>12</v>
      </c>
      <c r="AI573" s="4">
        <v>105</v>
      </c>
      <c r="AJ573" s="4">
        <v>4</v>
      </c>
      <c r="AK573" s="4">
        <v>27</v>
      </c>
      <c r="AL573" s="4">
        <v>6</v>
      </c>
      <c r="AM573" s="4">
        <v>54</v>
      </c>
      <c r="AN573" s="4">
        <v>0</v>
      </c>
      <c r="AO573" s="4">
        <v>0</v>
      </c>
      <c r="AP573" s="4">
        <v>4</v>
      </c>
      <c r="AQ573" s="4">
        <v>59</v>
      </c>
      <c r="AR573" s="3" t="s">
        <v>62</v>
      </c>
      <c r="AS573" s="3" t="s">
        <v>62</v>
      </c>
      <c r="AT573" s="3" t="s">
        <v>62</v>
      </c>
      <c r="AV573" s="6" t="str">
        <f>HYPERLINK("http://mcgill.on.worldcat.org/oclc/754389868","Catalog Record")</f>
        <v>Catalog Record</v>
      </c>
      <c r="AW573" s="6" t="str">
        <f>HYPERLINK("http://www.worldcat.org/oclc/754389868","WorldCat Record")</f>
        <v>WorldCat Record</v>
      </c>
      <c r="AX573" s="3" t="s">
        <v>5571</v>
      </c>
      <c r="AY573" s="3" t="s">
        <v>5572</v>
      </c>
      <c r="AZ573" s="3" t="s">
        <v>5573</v>
      </c>
      <c r="BA573" s="3" t="s">
        <v>5573</v>
      </c>
      <c r="BB573" s="3" t="s">
        <v>5574</v>
      </c>
      <c r="BC573" s="3" t="s">
        <v>142</v>
      </c>
      <c r="BD573" s="3" t="s">
        <v>68</v>
      </c>
      <c r="BE573" s="3" t="s">
        <v>5575</v>
      </c>
      <c r="BF573" s="3" t="s">
        <v>5574</v>
      </c>
      <c r="BG573" s="3" t="s">
        <v>5576</v>
      </c>
    </row>
    <row r="574" spans="1:59" ht="71.25" x14ac:dyDescent="0.45">
      <c r="A574" s="2" t="s">
        <v>59</v>
      </c>
      <c r="B574" s="2" t="s">
        <v>60</v>
      </c>
      <c r="C574" s="2" t="s">
        <v>5577</v>
      </c>
      <c r="D574" s="2" t="s">
        <v>5578</v>
      </c>
      <c r="E574" s="2" t="s">
        <v>5579</v>
      </c>
      <c r="G574" s="3" t="s">
        <v>62</v>
      </c>
      <c r="I574" s="3" t="s">
        <v>62</v>
      </c>
      <c r="J574" s="3" t="s">
        <v>62</v>
      </c>
      <c r="K574" s="3" t="s">
        <v>63</v>
      </c>
      <c r="L574" s="2" t="s">
        <v>5580</v>
      </c>
      <c r="M574" s="2" t="s">
        <v>5581</v>
      </c>
      <c r="N574" s="3" t="s">
        <v>181</v>
      </c>
      <c r="P574" s="3" t="s">
        <v>65</v>
      </c>
      <c r="Q574" s="2" t="s">
        <v>5582</v>
      </c>
      <c r="R574" s="3" t="s">
        <v>66</v>
      </c>
      <c r="S574" s="4">
        <v>3</v>
      </c>
      <c r="T574" s="4">
        <v>3</v>
      </c>
      <c r="U574" s="5" t="s">
        <v>5583</v>
      </c>
      <c r="V574" s="5" t="s">
        <v>5583</v>
      </c>
      <c r="W574" s="5" t="s">
        <v>67</v>
      </c>
      <c r="X574" s="5" t="s">
        <v>67</v>
      </c>
      <c r="Y574" s="4">
        <v>51</v>
      </c>
      <c r="Z574" s="4">
        <v>8</v>
      </c>
      <c r="AA574" s="4">
        <v>77</v>
      </c>
      <c r="AB574" s="4">
        <v>2</v>
      </c>
      <c r="AC574" s="4">
        <v>15</v>
      </c>
      <c r="AD574" s="4">
        <v>23</v>
      </c>
      <c r="AE574" s="4">
        <v>93</v>
      </c>
      <c r="AF574" s="4">
        <v>1</v>
      </c>
      <c r="AG574" s="4">
        <v>8</v>
      </c>
      <c r="AH574" s="4">
        <v>18</v>
      </c>
      <c r="AI574" s="4">
        <v>61</v>
      </c>
      <c r="AJ574" s="4">
        <v>6</v>
      </c>
      <c r="AK574" s="4">
        <v>21</v>
      </c>
      <c r="AL574" s="4">
        <v>15</v>
      </c>
      <c r="AM574" s="4">
        <v>33</v>
      </c>
      <c r="AN574" s="4">
        <v>0</v>
      </c>
      <c r="AO574" s="4">
        <v>0</v>
      </c>
      <c r="AP574" s="4">
        <v>6</v>
      </c>
      <c r="AQ574" s="4">
        <v>40</v>
      </c>
      <c r="AR574" s="3" t="s">
        <v>62</v>
      </c>
      <c r="AS574" s="3" t="s">
        <v>62</v>
      </c>
      <c r="AT574" s="3" t="s">
        <v>62</v>
      </c>
      <c r="AV574" s="6" t="str">
        <f>HYPERLINK("http://mcgill.on.worldcat.org/oclc/949870364","Catalog Record")</f>
        <v>Catalog Record</v>
      </c>
      <c r="AW574" s="6" t="str">
        <f>HYPERLINK("http://www.worldcat.org/oclc/949870364","WorldCat Record")</f>
        <v>WorldCat Record</v>
      </c>
      <c r="AX574" s="3" t="s">
        <v>5584</v>
      </c>
      <c r="AY574" s="3" t="s">
        <v>5585</v>
      </c>
      <c r="AZ574" s="3" t="s">
        <v>5586</v>
      </c>
      <c r="BA574" s="3" t="s">
        <v>5586</v>
      </c>
      <c r="BB574" s="3" t="s">
        <v>5587</v>
      </c>
      <c r="BC574" s="3" t="s">
        <v>142</v>
      </c>
      <c r="BD574" s="3" t="s">
        <v>68</v>
      </c>
      <c r="BE574" s="3" t="s">
        <v>5588</v>
      </c>
      <c r="BF574" s="3" t="s">
        <v>5587</v>
      </c>
      <c r="BG574" s="3" t="s">
        <v>5589</v>
      </c>
    </row>
    <row r="575" spans="1:59" ht="57" x14ac:dyDescent="0.45">
      <c r="A575" s="2" t="s">
        <v>59</v>
      </c>
      <c r="B575" s="2" t="s">
        <v>60</v>
      </c>
      <c r="C575" s="2" t="s">
        <v>5590</v>
      </c>
      <c r="D575" s="2" t="s">
        <v>5591</v>
      </c>
      <c r="E575" s="2" t="s">
        <v>5592</v>
      </c>
      <c r="G575" s="3" t="s">
        <v>62</v>
      </c>
      <c r="I575" s="3" t="s">
        <v>62</v>
      </c>
      <c r="J575" s="3" t="s">
        <v>62</v>
      </c>
      <c r="K575" s="3" t="s">
        <v>63</v>
      </c>
      <c r="M575" s="2" t="s">
        <v>5593</v>
      </c>
      <c r="N575" s="3" t="s">
        <v>116</v>
      </c>
      <c r="P575" s="3" t="s">
        <v>65</v>
      </c>
      <c r="R575" s="3" t="s">
        <v>66</v>
      </c>
      <c r="S575" s="4">
        <v>6</v>
      </c>
      <c r="T575" s="4">
        <v>6</v>
      </c>
      <c r="U575" s="5" t="s">
        <v>5594</v>
      </c>
      <c r="V575" s="5" t="s">
        <v>5594</v>
      </c>
      <c r="W575" s="5" t="s">
        <v>67</v>
      </c>
      <c r="X575" s="5" t="s">
        <v>67</v>
      </c>
      <c r="Y575" s="4">
        <v>128</v>
      </c>
      <c r="Z575" s="4">
        <v>15</v>
      </c>
      <c r="AA575" s="4">
        <v>17</v>
      </c>
      <c r="AB575" s="4">
        <v>1</v>
      </c>
      <c r="AC575" s="4">
        <v>3</v>
      </c>
      <c r="AD575" s="4">
        <v>37</v>
      </c>
      <c r="AE575" s="4">
        <v>40</v>
      </c>
      <c r="AF575" s="4">
        <v>0</v>
      </c>
      <c r="AG575" s="4">
        <v>0</v>
      </c>
      <c r="AH575" s="4">
        <v>30</v>
      </c>
      <c r="AI575" s="4">
        <v>33</v>
      </c>
      <c r="AJ575" s="4">
        <v>9</v>
      </c>
      <c r="AK575" s="4">
        <v>9</v>
      </c>
      <c r="AL575" s="4">
        <v>17</v>
      </c>
      <c r="AM575" s="4">
        <v>18</v>
      </c>
      <c r="AN575" s="4">
        <v>0</v>
      </c>
      <c r="AO575" s="4">
        <v>0</v>
      </c>
      <c r="AP575" s="4">
        <v>12</v>
      </c>
      <c r="AQ575" s="4">
        <v>12</v>
      </c>
      <c r="AR575" s="3" t="s">
        <v>62</v>
      </c>
      <c r="AS575" s="3" t="s">
        <v>62</v>
      </c>
      <c r="AT575" s="3" t="s">
        <v>62</v>
      </c>
      <c r="AV575" s="6" t="str">
        <f>HYPERLINK("http://mcgill.on.worldcat.org/oclc/813690954","Catalog Record")</f>
        <v>Catalog Record</v>
      </c>
      <c r="AW575" s="6" t="str">
        <f>HYPERLINK("http://www.worldcat.org/oclc/813690954","WorldCat Record")</f>
        <v>WorldCat Record</v>
      </c>
      <c r="AX575" s="3" t="s">
        <v>5595</v>
      </c>
      <c r="AY575" s="3" t="s">
        <v>5596</v>
      </c>
      <c r="AZ575" s="3" t="s">
        <v>5597</v>
      </c>
      <c r="BA575" s="3" t="s">
        <v>5597</v>
      </c>
      <c r="BB575" s="3" t="s">
        <v>5598</v>
      </c>
      <c r="BC575" s="3" t="s">
        <v>142</v>
      </c>
      <c r="BD575" s="3" t="s">
        <v>308</v>
      </c>
      <c r="BE575" s="3" t="s">
        <v>5599</v>
      </c>
      <c r="BF575" s="3" t="s">
        <v>5598</v>
      </c>
      <c r="BG575" s="3" t="s">
        <v>5600</v>
      </c>
    </row>
    <row r="576" spans="1:59" ht="71.25" x14ac:dyDescent="0.45">
      <c r="A576" s="2" t="s">
        <v>59</v>
      </c>
      <c r="B576" s="2" t="s">
        <v>60</v>
      </c>
      <c r="C576" s="2" t="s">
        <v>5601</v>
      </c>
      <c r="D576" s="2" t="s">
        <v>5602</v>
      </c>
      <c r="E576" s="2" t="s">
        <v>5603</v>
      </c>
      <c r="G576" s="3" t="s">
        <v>62</v>
      </c>
      <c r="I576" s="3" t="s">
        <v>62</v>
      </c>
      <c r="J576" s="3" t="s">
        <v>62</v>
      </c>
      <c r="K576" s="3" t="s">
        <v>63</v>
      </c>
      <c r="M576" s="2" t="s">
        <v>5604</v>
      </c>
      <c r="N576" s="3" t="s">
        <v>542</v>
      </c>
      <c r="P576" s="3" t="s">
        <v>65</v>
      </c>
      <c r="R576" s="3" t="s">
        <v>66</v>
      </c>
      <c r="S576" s="4">
        <v>24</v>
      </c>
      <c r="T576" s="4">
        <v>24</v>
      </c>
      <c r="U576" s="5" t="s">
        <v>5605</v>
      </c>
      <c r="V576" s="5" t="s">
        <v>5605</v>
      </c>
      <c r="W576" s="5" t="s">
        <v>67</v>
      </c>
      <c r="X576" s="5" t="s">
        <v>67</v>
      </c>
      <c r="Y576" s="4">
        <v>307</v>
      </c>
      <c r="Z576" s="4">
        <v>27</v>
      </c>
      <c r="AA576" s="4">
        <v>90</v>
      </c>
      <c r="AB576" s="4">
        <v>2</v>
      </c>
      <c r="AC576" s="4">
        <v>15</v>
      </c>
      <c r="AD576" s="4">
        <v>102</v>
      </c>
      <c r="AE576" s="4">
        <v>143</v>
      </c>
      <c r="AF576" s="4">
        <v>0</v>
      </c>
      <c r="AG576" s="4">
        <v>8</v>
      </c>
      <c r="AH576" s="4">
        <v>86</v>
      </c>
      <c r="AI576" s="4">
        <v>101</v>
      </c>
      <c r="AJ576" s="4">
        <v>13</v>
      </c>
      <c r="AK576" s="4">
        <v>26</v>
      </c>
      <c r="AL576" s="4">
        <v>51</v>
      </c>
      <c r="AM576" s="4">
        <v>55</v>
      </c>
      <c r="AN576" s="4">
        <v>0</v>
      </c>
      <c r="AO576" s="4">
        <v>0</v>
      </c>
      <c r="AP576" s="4">
        <v>22</v>
      </c>
      <c r="AQ576" s="4">
        <v>51</v>
      </c>
      <c r="AR576" s="3" t="s">
        <v>62</v>
      </c>
      <c r="AS576" s="3" t="s">
        <v>62</v>
      </c>
      <c r="AT576" s="3" t="s">
        <v>62</v>
      </c>
      <c r="AV576" s="6" t="str">
        <f>HYPERLINK("http://mcgill.on.worldcat.org/oclc/47640996","Catalog Record")</f>
        <v>Catalog Record</v>
      </c>
      <c r="AW576" s="6" t="str">
        <f>HYPERLINK("http://www.worldcat.org/oclc/47640996","WorldCat Record")</f>
        <v>WorldCat Record</v>
      </c>
      <c r="AX576" s="3" t="s">
        <v>5606</v>
      </c>
      <c r="AY576" s="3" t="s">
        <v>5607</v>
      </c>
      <c r="AZ576" s="3" t="s">
        <v>5608</v>
      </c>
      <c r="BA576" s="3" t="s">
        <v>5608</v>
      </c>
      <c r="BB576" s="3" t="s">
        <v>5609</v>
      </c>
      <c r="BC576" s="3" t="s">
        <v>142</v>
      </c>
      <c r="BD576" s="3" t="s">
        <v>68</v>
      </c>
      <c r="BE576" s="3" t="s">
        <v>5610</v>
      </c>
      <c r="BF576" s="3" t="s">
        <v>5609</v>
      </c>
      <c r="BG576" s="3" t="s">
        <v>5611</v>
      </c>
    </row>
    <row r="577" spans="1:59" ht="71.25" x14ac:dyDescent="0.45">
      <c r="A577" s="2" t="s">
        <v>59</v>
      </c>
      <c r="B577" s="2" t="s">
        <v>60</v>
      </c>
      <c r="C577" s="2" t="s">
        <v>5612</v>
      </c>
      <c r="D577" s="2" t="s">
        <v>5613</v>
      </c>
      <c r="E577" s="2" t="s">
        <v>5614</v>
      </c>
      <c r="G577" s="3" t="s">
        <v>62</v>
      </c>
      <c r="I577" s="3" t="s">
        <v>62</v>
      </c>
      <c r="J577" s="3" t="s">
        <v>62</v>
      </c>
      <c r="K577" s="3" t="s">
        <v>63</v>
      </c>
      <c r="L577" s="2" t="s">
        <v>5615</v>
      </c>
      <c r="M577" s="2" t="s">
        <v>1266</v>
      </c>
      <c r="N577" s="3" t="s">
        <v>1059</v>
      </c>
      <c r="P577" s="3" t="s">
        <v>65</v>
      </c>
      <c r="R577" s="3" t="s">
        <v>66</v>
      </c>
      <c r="S577" s="4">
        <v>17</v>
      </c>
      <c r="T577" s="4">
        <v>17</v>
      </c>
      <c r="U577" s="5" t="s">
        <v>3623</v>
      </c>
      <c r="V577" s="5" t="s">
        <v>3623</v>
      </c>
      <c r="W577" s="5" t="s">
        <v>67</v>
      </c>
      <c r="X577" s="5" t="s">
        <v>67</v>
      </c>
      <c r="Y577" s="4">
        <v>336</v>
      </c>
      <c r="Z577" s="4">
        <v>28</v>
      </c>
      <c r="AA577" s="4">
        <v>102</v>
      </c>
      <c r="AB577" s="4">
        <v>2</v>
      </c>
      <c r="AC577" s="4">
        <v>18</v>
      </c>
      <c r="AD577" s="4">
        <v>109</v>
      </c>
      <c r="AE577" s="4">
        <v>153</v>
      </c>
      <c r="AF577" s="4">
        <v>1</v>
      </c>
      <c r="AG577" s="4">
        <v>9</v>
      </c>
      <c r="AH577" s="4">
        <v>95</v>
      </c>
      <c r="AI577" s="4">
        <v>106</v>
      </c>
      <c r="AJ577" s="4">
        <v>18</v>
      </c>
      <c r="AK577" s="4">
        <v>28</v>
      </c>
      <c r="AL577" s="4">
        <v>53</v>
      </c>
      <c r="AM577" s="4">
        <v>57</v>
      </c>
      <c r="AN577" s="4">
        <v>0</v>
      </c>
      <c r="AO577" s="4">
        <v>0</v>
      </c>
      <c r="AP577" s="4">
        <v>22</v>
      </c>
      <c r="AQ577" s="4">
        <v>56</v>
      </c>
      <c r="AR577" s="3" t="s">
        <v>62</v>
      </c>
      <c r="AS577" s="3" t="s">
        <v>62</v>
      </c>
      <c r="AT577" s="3" t="s">
        <v>61</v>
      </c>
      <c r="AU577" s="6" t="str">
        <f>HYPERLINK("http://catalog.hathitrust.org/Record/005122496","HathiTrust Record")</f>
        <v>HathiTrust Record</v>
      </c>
      <c r="AV577" s="6" t="str">
        <f>HYPERLINK("http://mcgill.on.worldcat.org/oclc/60794225","Catalog Record")</f>
        <v>Catalog Record</v>
      </c>
      <c r="AW577" s="6" t="str">
        <f>HYPERLINK("http://www.worldcat.org/oclc/60794225","WorldCat Record")</f>
        <v>WorldCat Record</v>
      </c>
      <c r="AX577" s="3" t="s">
        <v>5616</v>
      </c>
      <c r="AY577" s="3" t="s">
        <v>5617</v>
      </c>
      <c r="AZ577" s="3" t="s">
        <v>5618</v>
      </c>
      <c r="BA577" s="3" t="s">
        <v>5618</v>
      </c>
      <c r="BB577" s="3" t="s">
        <v>5619</v>
      </c>
      <c r="BC577" s="3" t="s">
        <v>142</v>
      </c>
      <c r="BD577" s="3" t="s">
        <v>68</v>
      </c>
      <c r="BE577" s="3" t="s">
        <v>5620</v>
      </c>
      <c r="BF577" s="3" t="s">
        <v>5619</v>
      </c>
      <c r="BG577" s="3" t="s">
        <v>5621</v>
      </c>
    </row>
    <row r="578" spans="1:59" ht="71.25" x14ac:dyDescent="0.45">
      <c r="A578" s="2" t="s">
        <v>59</v>
      </c>
      <c r="B578" s="2" t="s">
        <v>60</v>
      </c>
      <c r="C578" s="2" t="s">
        <v>5622</v>
      </c>
      <c r="D578" s="2" t="s">
        <v>5623</v>
      </c>
      <c r="E578" s="2" t="s">
        <v>5624</v>
      </c>
      <c r="G578" s="3" t="s">
        <v>62</v>
      </c>
      <c r="I578" s="3" t="s">
        <v>62</v>
      </c>
      <c r="J578" s="3" t="s">
        <v>62</v>
      </c>
      <c r="K578" s="3" t="s">
        <v>63</v>
      </c>
      <c r="M578" s="2" t="s">
        <v>5625</v>
      </c>
      <c r="N578" s="3" t="s">
        <v>181</v>
      </c>
      <c r="P578" s="3" t="s">
        <v>65</v>
      </c>
      <c r="Q578" s="2" t="s">
        <v>5626</v>
      </c>
      <c r="R578" s="3" t="s">
        <v>66</v>
      </c>
      <c r="S578" s="4">
        <v>0</v>
      </c>
      <c r="T578" s="4">
        <v>0</v>
      </c>
      <c r="W578" s="5" t="s">
        <v>67</v>
      </c>
      <c r="X578" s="5" t="s">
        <v>67</v>
      </c>
      <c r="Y578" s="4">
        <v>51</v>
      </c>
      <c r="Z578" s="4">
        <v>5</v>
      </c>
      <c r="AA578" s="4">
        <v>69</v>
      </c>
      <c r="AB578" s="4">
        <v>1</v>
      </c>
      <c r="AC578" s="4">
        <v>14</v>
      </c>
      <c r="AD578" s="4">
        <v>30</v>
      </c>
      <c r="AE578" s="4">
        <v>89</v>
      </c>
      <c r="AF578" s="4">
        <v>0</v>
      </c>
      <c r="AG578" s="4">
        <v>8</v>
      </c>
      <c r="AH578" s="4">
        <v>27</v>
      </c>
      <c r="AI578" s="4">
        <v>62</v>
      </c>
      <c r="AJ578" s="4">
        <v>4</v>
      </c>
      <c r="AK578" s="4">
        <v>19</v>
      </c>
      <c r="AL578" s="4">
        <v>18</v>
      </c>
      <c r="AM578" s="4">
        <v>32</v>
      </c>
      <c r="AN578" s="4">
        <v>0</v>
      </c>
      <c r="AO578" s="4">
        <v>0</v>
      </c>
      <c r="AP578" s="4">
        <v>4</v>
      </c>
      <c r="AQ578" s="4">
        <v>34</v>
      </c>
      <c r="AR578" s="3" t="s">
        <v>62</v>
      </c>
      <c r="AS578" s="3" t="s">
        <v>62</v>
      </c>
      <c r="AT578" s="3" t="s">
        <v>62</v>
      </c>
      <c r="AV578" s="6" t="str">
        <f>HYPERLINK("http://mcgill.on.worldcat.org/oclc/956745411","Catalog Record")</f>
        <v>Catalog Record</v>
      </c>
      <c r="AW578" s="6" t="str">
        <f>HYPERLINK("http://www.worldcat.org/oclc/956745411","WorldCat Record")</f>
        <v>WorldCat Record</v>
      </c>
      <c r="AX578" s="3" t="s">
        <v>5627</v>
      </c>
      <c r="AY578" s="3" t="s">
        <v>5628</v>
      </c>
      <c r="AZ578" s="3" t="s">
        <v>5629</v>
      </c>
      <c r="BA578" s="3" t="s">
        <v>5629</v>
      </c>
      <c r="BB578" s="3" t="s">
        <v>5630</v>
      </c>
      <c r="BC578" s="3" t="s">
        <v>142</v>
      </c>
      <c r="BD578" s="3" t="s">
        <v>68</v>
      </c>
      <c r="BE578" s="3" t="s">
        <v>5631</v>
      </c>
      <c r="BF578" s="3" t="s">
        <v>5630</v>
      </c>
      <c r="BG578" s="3" t="s">
        <v>5632</v>
      </c>
    </row>
    <row r="579" spans="1:59" ht="71.25" x14ac:dyDescent="0.45">
      <c r="A579" s="2" t="s">
        <v>59</v>
      </c>
      <c r="B579" s="2" t="s">
        <v>60</v>
      </c>
      <c r="C579" s="2" t="s">
        <v>5633</v>
      </c>
      <c r="D579" s="2" t="s">
        <v>5634</v>
      </c>
      <c r="E579" s="2" t="s">
        <v>5635</v>
      </c>
      <c r="G579" s="3" t="s">
        <v>62</v>
      </c>
      <c r="I579" s="3" t="s">
        <v>62</v>
      </c>
      <c r="J579" s="3" t="s">
        <v>62</v>
      </c>
      <c r="K579" s="3" t="s">
        <v>63</v>
      </c>
      <c r="L579" s="2" t="s">
        <v>4256</v>
      </c>
      <c r="M579" s="2" t="s">
        <v>5636</v>
      </c>
      <c r="N579" s="3" t="s">
        <v>568</v>
      </c>
      <c r="P579" s="3" t="s">
        <v>65</v>
      </c>
      <c r="Q579" s="2" t="s">
        <v>920</v>
      </c>
      <c r="R579" s="3" t="s">
        <v>66</v>
      </c>
      <c r="S579" s="4">
        <v>37</v>
      </c>
      <c r="T579" s="4">
        <v>37</v>
      </c>
      <c r="U579" s="5" t="s">
        <v>5430</v>
      </c>
      <c r="V579" s="5" t="s">
        <v>5430</v>
      </c>
      <c r="W579" s="5" t="s">
        <v>67</v>
      </c>
      <c r="X579" s="5" t="s">
        <v>67</v>
      </c>
      <c r="Y579" s="4">
        <v>461</v>
      </c>
      <c r="Z579" s="4">
        <v>20</v>
      </c>
      <c r="AA579" s="4">
        <v>42</v>
      </c>
      <c r="AB579" s="4">
        <v>1</v>
      </c>
      <c r="AC579" s="4">
        <v>6</v>
      </c>
      <c r="AD579" s="4">
        <v>83</v>
      </c>
      <c r="AE579" s="4">
        <v>118</v>
      </c>
      <c r="AF579" s="4">
        <v>0</v>
      </c>
      <c r="AG579" s="4">
        <v>3</v>
      </c>
      <c r="AH579" s="4">
        <v>77</v>
      </c>
      <c r="AI579" s="4">
        <v>98</v>
      </c>
      <c r="AJ579" s="4">
        <v>10</v>
      </c>
      <c r="AK579" s="4">
        <v>23</v>
      </c>
      <c r="AL579" s="4">
        <v>40</v>
      </c>
      <c r="AM579" s="4">
        <v>51</v>
      </c>
      <c r="AN579" s="4">
        <v>0</v>
      </c>
      <c r="AO579" s="4">
        <v>0</v>
      </c>
      <c r="AP579" s="4">
        <v>13</v>
      </c>
      <c r="AQ579" s="4">
        <v>30</v>
      </c>
      <c r="AR579" s="3" t="s">
        <v>62</v>
      </c>
      <c r="AS579" s="3" t="s">
        <v>62</v>
      </c>
      <c r="AT579" s="3" t="s">
        <v>61</v>
      </c>
      <c r="AU579" s="6" t="str">
        <f>HYPERLINK("http://catalog.hathitrust.org/Record/000877863","HathiTrust Record")</f>
        <v>HathiTrust Record</v>
      </c>
      <c r="AV579" s="6" t="str">
        <f>HYPERLINK("http://mcgill.on.worldcat.org/oclc/15549133","Catalog Record")</f>
        <v>Catalog Record</v>
      </c>
      <c r="AW579" s="6" t="str">
        <f>HYPERLINK("http://www.worldcat.org/oclc/15549133","WorldCat Record")</f>
        <v>WorldCat Record</v>
      </c>
      <c r="AX579" s="3" t="s">
        <v>5637</v>
      </c>
      <c r="AY579" s="3" t="s">
        <v>5638</v>
      </c>
      <c r="AZ579" s="3" t="s">
        <v>5639</v>
      </c>
      <c r="BA579" s="3" t="s">
        <v>5639</v>
      </c>
      <c r="BB579" s="3" t="s">
        <v>5640</v>
      </c>
      <c r="BC579" s="3" t="s">
        <v>142</v>
      </c>
      <c r="BD579" s="3" t="s">
        <v>68</v>
      </c>
      <c r="BE579" s="3" t="s">
        <v>5641</v>
      </c>
      <c r="BF579" s="3" t="s">
        <v>5640</v>
      </c>
      <c r="BG579" s="3" t="s">
        <v>5642</v>
      </c>
    </row>
    <row r="580" spans="1:59" ht="57" x14ac:dyDescent="0.45">
      <c r="A580" s="2" t="s">
        <v>59</v>
      </c>
      <c r="B580" s="2" t="s">
        <v>60</v>
      </c>
      <c r="C580" s="2" t="s">
        <v>5643</v>
      </c>
      <c r="D580" s="2" t="s">
        <v>5644</v>
      </c>
      <c r="E580" s="2" t="s">
        <v>5645</v>
      </c>
      <c r="G580" s="3" t="s">
        <v>62</v>
      </c>
      <c r="I580" s="3" t="s">
        <v>62</v>
      </c>
      <c r="J580" s="3" t="s">
        <v>62</v>
      </c>
      <c r="K580" s="3" t="s">
        <v>63</v>
      </c>
      <c r="L580" s="2" t="s">
        <v>5646</v>
      </c>
      <c r="M580" s="2" t="s">
        <v>5647</v>
      </c>
      <c r="N580" s="3" t="s">
        <v>5180</v>
      </c>
      <c r="P580" s="3" t="s">
        <v>65</v>
      </c>
      <c r="R580" s="3" t="s">
        <v>66</v>
      </c>
      <c r="S580" s="4">
        <v>0</v>
      </c>
      <c r="T580" s="4">
        <v>0</v>
      </c>
      <c r="W580" s="5" t="s">
        <v>67</v>
      </c>
      <c r="X580" s="5" t="s">
        <v>67</v>
      </c>
      <c r="Y580" s="4">
        <v>28</v>
      </c>
      <c r="Z580" s="4">
        <v>1</v>
      </c>
      <c r="AA580" s="4">
        <v>1</v>
      </c>
      <c r="AB580" s="4">
        <v>1</v>
      </c>
      <c r="AC580" s="4">
        <v>1</v>
      </c>
      <c r="AD580" s="4">
        <v>11</v>
      </c>
      <c r="AE580" s="4">
        <v>11</v>
      </c>
      <c r="AF580" s="4">
        <v>0</v>
      </c>
      <c r="AG580" s="4">
        <v>0</v>
      </c>
      <c r="AH580" s="4">
        <v>11</v>
      </c>
      <c r="AI580" s="4">
        <v>11</v>
      </c>
      <c r="AJ580" s="4">
        <v>0</v>
      </c>
      <c r="AK580" s="4">
        <v>0</v>
      </c>
      <c r="AL580" s="4">
        <v>7</v>
      </c>
      <c r="AM580" s="4">
        <v>7</v>
      </c>
      <c r="AN580" s="4">
        <v>0</v>
      </c>
      <c r="AO580" s="4">
        <v>0</v>
      </c>
      <c r="AP580" s="4">
        <v>0</v>
      </c>
      <c r="AQ580" s="4">
        <v>0</v>
      </c>
      <c r="AR580" s="3" t="s">
        <v>62</v>
      </c>
      <c r="AS580" s="3" t="s">
        <v>62</v>
      </c>
      <c r="AT580" s="3" t="s">
        <v>62</v>
      </c>
      <c r="AV580" s="6" t="str">
        <f>HYPERLINK("http://mcgill.on.worldcat.org/oclc/1030608805","Catalog Record")</f>
        <v>Catalog Record</v>
      </c>
      <c r="AW580" s="6" t="str">
        <f>HYPERLINK("http://www.worldcat.org/oclc/1030608805","WorldCat Record")</f>
        <v>WorldCat Record</v>
      </c>
      <c r="AX580" s="3" t="s">
        <v>5648</v>
      </c>
      <c r="AY580" s="3" t="s">
        <v>5649</v>
      </c>
      <c r="AZ580" s="3" t="s">
        <v>5650</v>
      </c>
      <c r="BA580" s="3" t="s">
        <v>5650</v>
      </c>
      <c r="BB580" s="3" t="s">
        <v>5651</v>
      </c>
      <c r="BC580" s="3" t="s">
        <v>142</v>
      </c>
      <c r="BD580" s="3" t="s">
        <v>68</v>
      </c>
      <c r="BE580" s="3" t="s">
        <v>5652</v>
      </c>
      <c r="BF580" s="3" t="s">
        <v>5651</v>
      </c>
      <c r="BG580" s="3" t="s">
        <v>5653</v>
      </c>
    </row>
    <row r="581" spans="1:59" ht="99.75" x14ac:dyDescent="0.45">
      <c r="A581" s="2" t="s">
        <v>59</v>
      </c>
      <c r="B581" s="2" t="s">
        <v>60</v>
      </c>
      <c r="C581" s="2" t="s">
        <v>5654</v>
      </c>
      <c r="D581" s="2" t="s">
        <v>5655</v>
      </c>
      <c r="E581" s="2" t="s">
        <v>5656</v>
      </c>
      <c r="G581" s="3" t="s">
        <v>62</v>
      </c>
      <c r="I581" s="3" t="s">
        <v>62</v>
      </c>
      <c r="J581" s="3" t="s">
        <v>62</v>
      </c>
      <c r="K581" s="3" t="s">
        <v>63</v>
      </c>
      <c r="L581" s="2" t="s">
        <v>5657</v>
      </c>
      <c r="M581" s="2" t="s">
        <v>5658</v>
      </c>
      <c r="N581" s="3" t="s">
        <v>1212</v>
      </c>
      <c r="P581" s="3" t="s">
        <v>110</v>
      </c>
      <c r="Q581" s="2" t="s">
        <v>5659</v>
      </c>
      <c r="R581" s="3" t="s">
        <v>66</v>
      </c>
      <c r="S581" s="4">
        <v>8</v>
      </c>
      <c r="T581" s="4">
        <v>8</v>
      </c>
      <c r="U581" s="5" t="s">
        <v>5547</v>
      </c>
      <c r="V581" s="5" t="s">
        <v>5547</v>
      </c>
      <c r="W581" s="5" t="s">
        <v>67</v>
      </c>
      <c r="X581" s="5" t="s">
        <v>67</v>
      </c>
      <c r="Y581" s="4">
        <v>43</v>
      </c>
      <c r="Z581" s="4">
        <v>8</v>
      </c>
      <c r="AA581" s="4">
        <v>23</v>
      </c>
      <c r="AB581" s="4">
        <v>1</v>
      </c>
      <c r="AC581" s="4">
        <v>8</v>
      </c>
      <c r="AD581" s="4">
        <v>24</v>
      </c>
      <c r="AE581" s="4">
        <v>33</v>
      </c>
      <c r="AF581" s="4">
        <v>0</v>
      </c>
      <c r="AG581" s="4">
        <v>4</v>
      </c>
      <c r="AH581" s="4">
        <v>21</v>
      </c>
      <c r="AI581" s="4">
        <v>25</v>
      </c>
      <c r="AJ581" s="4">
        <v>4</v>
      </c>
      <c r="AK581" s="4">
        <v>11</v>
      </c>
      <c r="AL581" s="4">
        <v>18</v>
      </c>
      <c r="AM581" s="4">
        <v>18</v>
      </c>
      <c r="AN581" s="4">
        <v>0</v>
      </c>
      <c r="AO581" s="4">
        <v>0</v>
      </c>
      <c r="AP581" s="4">
        <v>5</v>
      </c>
      <c r="AQ581" s="4">
        <v>12</v>
      </c>
      <c r="AR581" s="3" t="s">
        <v>61</v>
      </c>
      <c r="AS581" s="3" t="s">
        <v>62</v>
      </c>
      <c r="AT581" s="3" t="s">
        <v>61</v>
      </c>
      <c r="AU581" s="6" t="str">
        <f>HYPERLINK("http://catalog.hathitrust.org/Record/004170247","HathiTrust Record")</f>
        <v>HathiTrust Record</v>
      </c>
      <c r="AV581" s="6" t="str">
        <f>HYPERLINK("http://mcgill.on.worldcat.org/oclc/48131911","Catalog Record")</f>
        <v>Catalog Record</v>
      </c>
      <c r="AW581" s="6" t="str">
        <f>HYPERLINK("http://www.worldcat.org/oclc/48131911","WorldCat Record")</f>
        <v>WorldCat Record</v>
      </c>
      <c r="AX581" s="3" t="s">
        <v>5660</v>
      </c>
      <c r="AY581" s="3" t="s">
        <v>5661</v>
      </c>
      <c r="AZ581" s="3" t="s">
        <v>5662</v>
      </c>
      <c r="BA581" s="3" t="s">
        <v>5662</v>
      </c>
      <c r="BB581" s="3" t="s">
        <v>5663</v>
      </c>
      <c r="BC581" s="3" t="s">
        <v>142</v>
      </c>
      <c r="BD581" s="3" t="s">
        <v>68</v>
      </c>
      <c r="BE581" s="3" t="s">
        <v>5664</v>
      </c>
      <c r="BF581" s="3" t="s">
        <v>5663</v>
      </c>
      <c r="BG581" s="3" t="s">
        <v>5665</v>
      </c>
    </row>
    <row r="582" spans="1:59" ht="57" x14ac:dyDescent="0.45">
      <c r="A582" s="2" t="s">
        <v>59</v>
      </c>
      <c r="B582" s="2" t="s">
        <v>60</v>
      </c>
      <c r="C582" s="2" t="s">
        <v>5666</v>
      </c>
      <c r="D582" s="2" t="s">
        <v>5667</v>
      </c>
      <c r="E582" s="2" t="s">
        <v>5668</v>
      </c>
      <c r="G582" s="3" t="s">
        <v>62</v>
      </c>
      <c r="I582" s="3" t="s">
        <v>62</v>
      </c>
      <c r="J582" s="3" t="s">
        <v>62</v>
      </c>
      <c r="K582" s="3" t="s">
        <v>63</v>
      </c>
      <c r="M582" s="2" t="s">
        <v>5669</v>
      </c>
      <c r="N582" s="3" t="s">
        <v>195</v>
      </c>
      <c r="P582" s="3" t="s">
        <v>65</v>
      </c>
      <c r="Q582" s="2" t="s">
        <v>5670</v>
      </c>
      <c r="R582" s="3" t="s">
        <v>66</v>
      </c>
      <c r="S582" s="4">
        <v>15</v>
      </c>
      <c r="T582" s="4">
        <v>15</v>
      </c>
      <c r="U582" s="5" t="s">
        <v>497</v>
      </c>
      <c r="V582" s="5" t="s">
        <v>497</v>
      </c>
      <c r="W582" s="5" t="s">
        <v>67</v>
      </c>
      <c r="X582" s="5" t="s">
        <v>67</v>
      </c>
      <c r="Y582" s="4">
        <v>165</v>
      </c>
      <c r="Z582" s="4">
        <v>13</v>
      </c>
      <c r="AA582" s="4">
        <v>18</v>
      </c>
      <c r="AB582" s="4">
        <v>1</v>
      </c>
      <c r="AC582" s="4">
        <v>5</v>
      </c>
      <c r="AD582" s="4">
        <v>67</v>
      </c>
      <c r="AE582" s="4">
        <v>70</v>
      </c>
      <c r="AF582" s="4">
        <v>0</v>
      </c>
      <c r="AG582" s="4">
        <v>2</v>
      </c>
      <c r="AH582" s="4">
        <v>63</v>
      </c>
      <c r="AI582" s="4">
        <v>65</v>
      </c>
      <c r="AJ582" s="4">
        <v>9</v>
      </c>
      <c r="AK582" s="4">
        <v>12</v>
      </c>
      <c r="AL582" s="4">
        <v>41</v>
      </c>
      <c r="AM582" s="4">
        <v>41</v>
      </c>
      <c r="AN582" s="4">
        <v>0</v>
      </c>
      <c r="AO582" s="4">
        <v>0</v>
      </c>
      <c r="AP582" s="4">
        <v>10</v>
      </c>
      <c r="AQ582" s="4">
        <v>12</v>
      </c>
      <c r="AR582" s="3" t="s">
        <v>62</v>
      </c>
      <c r="AS582" s="3" t="s">
        <v>62</v>
      </c>
      <c r="AT582" s="3" t="s">
        <v>61</v>
      </c>
      <c r="AU582" s="6" t="str">
        <f>HYPERLINK("http://catalog.hathitrust.org/Record/007111333","HathiTrust Record")</f>
        <v>HathiTrust Record</v>
      </c>
      <c r="AV582" s="6" t="str">
        <f>HYPERLINK("http://mcgill.on.worldcat.org/oclc/28710646","Catalog Record")</f>
        <v>Catalog Record</v>
      </c>
      <c r="AW582" s="6" t="str">
        <f>HYPERLINK("http://www.worldcat.org/oclc/28710646","WorldCat Record")</f>
        <v>WorldCat Record</v>
      </c>
      <c r="AX582" s="3" t="s">
        <v>5671</v>
      </c>
      <c r="AY582" s="3" t="s">
        <v>5672</v>
      </c>
      <c r="AZ582" s="3" t="s">
        <v>5673</v>
      </c>
      <c r="BA582" s="3" t="s">
        <v>5673</v>
      </c>
      <c r="BB582" s="3" t="s">
        <v>5674</v>
      </c>
      <c r="BC582" s="3" t="s">
        <v>142</v>
      </c>
      <c r="BD582" s="3" t="s">
        <v>68</v>
      </c>
      <c r="BE582" s="3" t="s">
        <v>5675</v>
      </c>
      <c r="BF582" s="3" t="s">
        <v>5674</v>
      </c>
      <c r="BG582" s="3" t="s">
        <v>5676</v>
      </c>
    </row>
    <row r="583" spans="1:59" ht="57" x14ac:dyDescent="0.45">
      <c r="A583" s="2" t="s">
        <v>59</v>
      </c>
      <c r="B583" s="2" t="s">
        <v>60</v>
      </c>
      <c r="C583" s="2" t="s">
        <v>5677</v>
      </c>
      <c r="D583" s="2" t="s">
        <v>5678</v>
      </c>
      <c r="E583" s="2" t="s">
        <v>5679</v>
      </c>
      <c r="G583" s="3" t="s">
        <v>62</v>
      </c>
      <c r="I583" s="3" t="s">
        <v>62</v>
      </c>
      <c r="J583" s="3" t="s">
        <v>62</v>
      </c>
      <c r="K583" s="3" t="s">
        <v>63</v>
      </c>
      <c r="L583" s="2" t="s">
        <v>5680</v>
      </c>
      <c r="M583" s="2" t="s">
        <v>5681</v>
      </c>
      <c r="N583" s="3" t="s">
        <v>1855</v>
      </c>
      <c r="P583" s="3" t="s">
        <v>65</v>
      </c>
      <c r="R583" s="3" t="s">
        <v>66</v>
      </c>
      <c r="S583" s="4">
        <v>24</v>
      </c>
      <c r="T583" s="4">
        <v>24</v>
      </c>
      <c r="U583" s="5" t="s">
        <v>5682</v>
      </c>
      <c r="V583" s="5" t="s">
        <v>5682</v>
      </c>
      <c r="W583" s="5" t="s">
        <v>67</v>
      </c>
      <c r="X583" s="5" t="s">
        <v>67</v>
      </c>
      <c r="Y583" s="4">
        <v>197</v>
      </c>
      <c r="Z583" s="4">
        <v>20</v>
      </c>
      <c r="AA583" s="4">
        <v>80</v>
      </c>
      <c r="AB583" s="4">
        <v>2</v>
      </c>
      <c r="AC583" s="4">
        <v>9</v>
      </c>
      <c r="AD583" s="4">
        <v>38</v>
      </c>
      <c r="AE583" s="4">
        <v>130</v>
      </c>
      <c r="AF583" s="4">
        <v>0</v>
      </c>
      <c r="AG583" s="4">
        <v>3</v>
      </c>
      <c r="AH583" s="4">
        <v>32</v>
      </c>
      <c r="AI583" s="4">
        <v>104</v>
      </c>
      <c r="AJ583" s="4">
        <v>7</v>
      </c>
      <c r="AK583" s="4">
        <v>22</v>
      </c>
      <c r="AL583" s="4">
        <v>22</v>
      </c>
      <c r="AM583" s="4">
        <v>51</v>
      </c>
      <c r="AN583" s="4">
        <v>0</v>
      </c>
      <c r="AO583" s="4">
        <v>0</v>
      </c>
      <c r="AP583" s="4">
        <v>10</v>
      </c>
      <c r="AQ583" s="4">
        <v>34</v>
      </c>
      <c r="AR583" s="3" t="s">
        <v>62</v>
      </c>
      <c r="AS583" s="3" t="s">
        <v>62</v>
      </c>
      <c r="AT583" s="3" t="s">
        <v>61</v>
      </c>
      <c r="AU583" s="6" t="str">
        <f>HYPERLINK("http://catalog.hathitrust.org/Record/004962976","HathiTrust Record")</f>
        <v>HathiTrust Record</v>
      </c>
      <c r="AV583" s="6" t="str">
        <f>HYPERLINK("http://mcgill.on.worldcat.org/oclc/51527480","Catalog Record")</f>
        <v>Catalog Record</v>
      </c>
      <c r="AW583" s="6" t="str">
        <f>HYPERLINK("http://www.worldcat.org/oclc/51527480","WorldCat Record")</f>
        <v>WorldCat Record</v>
      </c>
      <c r="AX583" s="3" t="s">
        <v>5683</v>
      </c>
      <c r="AY583" s="3" t="s">
        <v>5684</v>
      </c>
      <c r="AZ583" s="3" t="s">
        <v>5685</v>
      </c>
      <c r="BA583" s="3" t="s">
        <v>5685</v>
      </c>
      <c r="BB583" s="3" t="s">
        <v>5686</v>
      </c>
      <c r="BC583" s="3" t="s">
        <v>142</v>
      </c>
      <c r="BD583" s="3" t="s">
        <v>68</v>
      </c>
      <c r="BE583" s="3" t="s">
        <v>5687</v>
      </c>
      <c r="BF583" s="3" t="s">
        <v>5686</v>
      </c>
      <c r="BG583" s="3" t="s">
        <v>5688</v>
      </c>
    </row>
    <row r="584" spans="1:59" ht="57" x14ac:dyDescent="0.45">
      <c r="A584" s="2" t="s">
        <v>59</v>
      </c>
      <c r="B584" s="2" t="s">
        <v>60</v>
      </c>
      <c r="C584" s="2" t="s">
        <v>5689</v>
      </c>
      <c r="D584" s="2" t="s">
        <v>5690</v>
      </c>
      <c r="E584" s="2" t="s">
        <v>5691</v>
      </c>
      <c r="G584" s="3" t="s">
        <v>62</v>
      </c>
      <c r="I584" s="3" t="s">
        <v>62</v>
      </c>
      <c r="J584" s="3" t="s">
        <v>62</v>
      </c>
      <c r="K584" s="3" t="s">
        <v>63</v>
      </c>
      <c r="M584" s="2" t="s">
        <v>5692</v>
      </c>
      <c r="N584" s="3" t="s">
        <v>1688</v>
      </c>
      <c r="P584" s="3" t="s">
        <v>65</v>
      </c>
      <c r="Q584" s="2" t="s">
        <v>5693</v>
      </c>
      <c r="R584" s="3" t="s">
        <v>66</v>
      </c>
      <c r="S584" s="4">
        <v>1</v>
      </c>
      <c r="T584" s="4">
        <v>1</v>
      </c>
      <c r="U584" s="5" t="s">
        <v>5547</v>
      </c>
      <c r="V584" s="5" t="s">
        <v>5547</v>
      </c>
      <c r="W584" s="5" t="s">
        <v>67</v>
      </c>
      <c r="X584" s="5" t="s">
        <v>67</v>
      </c>
      <c r="Y584" s="4">
        <v>46</v>
      </c>
      <c r="Z584" s="4">
        <v>7</v>
      </c>
      <c r="AA584" s="4">
        <v>79</v>
      </c>
      <c r="AB584" s="4">
        <v>3</v>
      </c>
      <c r="AC584" s="4">
        <v>15</v>
      </c>
      <c r="AD584" s="4">
        <v>20</v>
      </c>
      <c r="AE584" s="4">
        <v>102</v>
      </c>
      <c r="AF584" s="4">
        <v>1</v>
      </c>
      <c r="AG584" s="4">
        <v>8</v>
      </c>
      <c r="AH584" s="4">
        <v>18</v>
      </c>
      <c r="AI584" s="4">
        <v>69</v>
      </c>
      <c r="AJ584" s="4">
        <v>4</v>
      </c>
      <c r="AK584" s="4">
        <v>21</v>
      </c>
      <c r="AL584" s="4">
        <v>13</v>
      </c>
      <c r="AM584" s="4">
        <v>33</v>
      </c>
      <c r="AN584" s="4">
        <v>0</v>
      </c>
      <c r="AO584" s="4">
        <v>0</v>
      </c>
      <c r="AP584" s="4">
        <v>3</v>
      </c>
      <c r="AQ584" s="4">
        <v>41</v>
      </c>
      <c r="AR584" s="3" t="s">
        <v>62</v>
      </c>
      <c r="AS584" s="3" t="s">
        <v>62</v>
      </c>
      <c r="AT584" s="3" t="s">
        <v>62</v>
      </c>
      <c r="AV584" s="6" t="str">
        <f>HYPERLINK("http://mcgill.on.worldcat.org/oclc/884500267","Catalog Record")</f>
        <v>Catalog Record</v>
      </c>
      <c r="AW584" s="6" t="str">
        <f>HYPERLINK("http://www.worldcat.org/oclc/884500267","WorldCat Record")</f>
        <v>WorldCat Record</v>
      </c>
      <c r="AX584" s="3" t="s">
        <v>5694</v>
      </c>
      <c r="AY584" s="3" t="s">
        <v>5695</v>
      </c>
      <c r="AZ584" s="3" t="s">
        <v>5696</v>
      </c>
      <c r="BA584" s="3" t="s">
        <v>5696</v>
      </c>
      <c r="BB584" s="3" t="s">
        <v>5697</v>
      </c>
      <c r="BC584" s="3" t="s">
        <v>142</v>
      </c>
      <c r="BD584" s="3" t="s">
        <v>68</v>
      </c>
      <c r="BE584" s="3" t="s">
        <v>5698</v>
      </c>
      <c r="BF584" s="3" t="s">
        <v>5697</v>
      </c>
      <c r="BG584" s="3" t="s">
        <v>5699</v>
      </c>
    </row>
    <row r="585" spans="1:59" ht="71.25" x14ac:dyDescent="0.45">
      <c r="A585" s="2" t="s">
        <v>59</v>
      </c>
      <c r="B585" s="2" t="s">
        <v>60</v>
      </c>
      <c r="C585" s="2" t="s">
        <v>5700</v>
      </c>
      <c r="D585" s="2" t="s">
        <v>5701</v>
      </c>
      <c r="E585" s="2" t="s">
        <v>5702</v>
      </c>
      <c r="G585" s="3" t="s">
        <v>62</v>
      </c>
      <c r="I585" s="3" t="s">
        <v>62</v>
      </c>
      <c r="J585" s="3" t="s">
        <v>62</v>
      </c>
      <c r="K585" s="3" t="s">
        <v>63</v>
      </c>
      <c r="M585" s="2" t="s">
        <v>5703</v>
      </c>
      <c r="N585" s="3" t="s">
        <v>918</v>
      </c>
      <c r="P585" s="3" t="s">
        <v>65</v>
      </c>
      <c r="R585" s="3" t="s">
        <v>66</v>
      </c>
      <c r="S585" s="4">
        <v>8</v>
      </c>
      <c r="T585" s="4">
        <v>8</v>
      </c>
      <c r="U585" s="5" t="s">
        <v>3701</v>
      </c>
      <c r="V585" s="5" t="s">
        <v>3701</v>
      </c>
      <c r="W585" s="5" t="s">
        <v>67</v>
      </c>
      <c r="X585" s="5" t="s">
        <v>67</v>
      </c>
      <c r="Y585" s="4">
        <v>215</v>
      </c>
      <c r="Z585" s="4">
        <v>16</v>
      </c>
      <c r="AA585" s="4">
        <v>18</v>
      </c>
      <c r="AB585" s="4">
        <v>1</v>
      </c>
      <c r="AC585" s="4">
        <v>3</v>
      </c>
      <c r="AD585" s="4">
        <v>96</v>
      </c>
      <c r="AE585" s="4">
        <v>98</v>
      </c>
      <c r="AF585" s="4">
        <v>0</v>
      </c>
      <c r="AG585" s="4">
        <v>2</v>
      </c>
      <c r="AH585" s="4">
        <v>88</v>
      </c>
      <c r="AI585" s="4">
        <v>89</v>
      </c>
      <c r="AJ585" s="4">
        <v>13</v>
      </c>
      <c r="AK585" s="4">
        <v>15</v>
      </c>
      <c r="AL585" s="4">
        <v>52</v>
      </c>
      <c r="AM585" s="4">
        <v>52</v>
      </c>
      <c r="AN585" s="4">
        <v>0</v>
      </c>
      <c r="AO585" s="4">
        <v>0</v>
      </c>
      <c r="AP585" s="4">
        <v>14</v>
      </c>
      <c r="AQ585" s="4">
        <v>16</v>
      </c>
      <c r="AR585" s="3" t="s">
        <v>62</v>
      </c>
      <c r="AS585" s="3" t="s">
        <v>62</v>
      </c>
      <c r="AT585" s="3" t="s">
        <v>61</v>
      </c>
      <c r="AU585" s="6" t="str">
        <f>HYPERLINK("http://catalog.hathitrust.org/Record/004320119","HathiTrust Record")</f>
        <v>HathiTrust Record</v>
      </c>
      <c r="AV585" s="6" t="str">
        <f>HYPERLINK("http://mcgill.on.worldcat.org/oclc/50123480","Catalog Record")</f>
        <v>Catalog Record</v>
      </c>
      <c r="AW585" s="6" t="str">
        <f>HYPERLINK("http://www.worldcat.org/oclc/50123480","WorldCat Record")</f>
        <v>WorldCat Record</v>
      </c>
      <c r="AX585" s="3" t="s">
        <v>5704</v>
      </c>
      <c r="AY585" s="3" t="s">
        <v>5705</v>
      </c>
      <c r="AZ585" s="3" t="s">
        <v>5706</v>
      </c>
      <c r="BA585" s="3" t="s">
        <v>5706</v>
      </c>
      <c r="BB585" s="3" t="s">
        <v>5707</v>
      </c>
      <c r="BC585" s="3" t="s">
        <v>142</v>
      </c>
      <c r="BD585" s="3" t="s">
        <v>68</v>
      </c>
      <c r="BE585" s="3" t="s">
        <v>5708</v>
      </c>
      <c r="BF585" s="3" t="s">
        <v>5707</v>
      </c>
      <c r="BG585" s="3" t="s">
        <v>5709</v>
      </c>
    </row>
    <row r="586" spans="1:59" ht="57" x14ac:dyDescent="0.45">
      <c r="A586" s="2" t="s">
        <v>59</v>
      </c>
      <c r="B586" s="2" t="s">
        <v>60</v>
      </c>
      <c r="C586" s="2" t="s">
        <v>5710</v>
      </c>
      <c r="D586" s="2" t="s">
        <v>5711</v>
      </c>
      <c r="E586" s="2" t="s">
        <v>5712</v>
      </c>
      <c r="G586" s="3" t="s">
        <v>62</v>
      </c>
      <c r="I586" s="3" t="s">
        <v>62</v>
      </c>
      <c r="J586" s="3" t="s">
        <v>62</v>
      </c>
      <c r="K586" s="3" t="s">
        <v>63</v>
      </c>
      <c r="M586" s="2" t="s">
        <v>5713</v>
      </c>
      <c r="N586" s="3" t="s">
        <v>208</v>
      </c>
      <c r="P586" s="3" t="s">
        <v>110</v>
      </c>
      <c r="Q586" s="2" t="s">
        <v>5714</v>
      </c>
      <c r="R586" s="3" t="s">
        <v>66</v>
      </c>
      <c r="S586" s="4">
        <v>2</v>
      </c>
      <c r="T586" s="4">
        <v>2</v>
      </c>
      <c r="U586" s="5" t="s">
        <v>1640</v>
      </c>
      <c r="V586" s="5" t="s">
        <v>1640</v>
      </c>
      <c r="W586" s="5" t="s">
        <v>67</v>
      </c>
      <c r="X586" s="5" t="s">
        <v>67</v>
      </c>
      <c r="Y586" s="4">
        <v>54</v>
      </c>
      <c r="Z586" s="4">
        <v>4</v>
      </c>
      <c r="AA586" s="4">
        <v>7</v>
      </c>
      <c r="AB586" s="4">
        <v>1</v>
      </c>
      <c r="AC586" s="4">
        <v>3</v>
      </c>
      <c r="AD586" s="4">
        <v>21</v>
      </c>
      <c r="AE586" s="4">
        <v>23</v>
      </c>
      <c r="AF586" s="4">
        <v>0</v>
      </c>
      <c r="AG586" s="4">
        <v>1</v>
      </c>
      <c r="AH586" s="4">
        <v>20</v>
      </c>
      <c r="AI586" s="4">
        <v>21</v>
      </c>
      <c r="AJ586" s="4">
        <v>2</v>
      </c>
      <c r="AK586" s="4">
        <v>4</v>
      </c>
      <c r="AL586" s="4">
        <v>17</v>
      </c>
      <c r="AM586" s="4">
        <v>17</v>
      </c>
      <c r="AN586" s="4">
        <v>0</v>
      </c>
      <c r="AO586" s="4">
        <v>0</v>
      </c>
      <c r="AP586" s="4">
        <v>2</v>
      </c>
      <c r="AQ586" s="4">
        <v>3</v>
      </c>
      <c r="AR586" s="3" t="s">
        <v>62</v>
      </c>
      <c r="AS586" s="3" t="s">
        <v>62</v>
      </c>
      <c r="AT586" s="3" t="s">
        <v>62</v>
      </c>
      <c r="AV586" s="6" t="str">
        <f>HYPERLINK("http://mcgill.on.worldcat.org/oclc/924010380","Catalog Record")</f>
        <v>Catalog Record</v>
      </c>
      <c r="AW586" s="6" t="str">
        <f>HYPERLINK("http://www.worldcat.org/oclc/924010380","WorldCat Record")</f>
        <v>WorldCat Record</v>
      </c>
      <c r="AX586" s="3" t="s">
        <v>5715</v>
      </c>
      <c r="AY586" s="3" t="s">
        <v>5716</v>
      </c>
      <c r="AZ586" s="3" t="s">
        <v>5717</v>
      </c>
      <c r="BA586" s="3" t="s">
        <v>5717</v>
      </c>
      <c r="BB586" s="3" t="s">
        <v>5718</v>
      </c>
      <c r="BC586" s="3" t="s">
        <v>142</v>
      </c>
      <c r="BD586" s="3" t="s">
        <v>68</v>
      </c>
      <c r="BE586" s="3" t="s">
        <v>5719</v>
      </c>
      <c r="BF586" s="3" t="s">
        <v>5718</v>
      </c>
      <c r="BG586" s="3" t="s">
        <v>5720</v>
      </c>
    </row>
    <row r="587" spans="1:59" ht="57" x14ac:dyDescent="0.45">
      <c r="A587" s="2" t="s">
        <v>59</v>
      </c>
      <c r="B587" s="2" t="s">
        <v>60</v>
      </c>
      <c r="C587" s="2" t="s">
        <v>5721</v>
      </c>
      <c r="D587" s="2" t="s">
        <v>5722</v>
      </c>
      <c r="E587" s="2" t="s">
        <v>5723</v>
      </c>
      <c r="G587" s="3" t="s">
        <v>62</v>
      </c>
      <c r="I587" s="3" t="s">
        <v>62</v>
      </c>
      <c r="J587" s="3" t="s">
        <v>62</v>
      </c>
      <c r="K587" s="3" t="s">
        <v>63</v>
      </c>
      <c r="M587" s="2" t="s">
        <v>5724</v>
      </c>
      <c r="N587" s="3" t="s">
        <v>181</v>
      </c>
      <c r="P587" s="3" t="s">
        <v>326</v>
      </c>
      <c r="Q587" s="2" t="s">
        <v>5725</v>
      </c>
      <c r="R587" s="3" t="s">
        <v>66</v>
      </c>
      <c r="S587" s="4">
        <v>0</v>
      </c>
      <c r="T587" s="4">
        <v>0</v>
      </c>
      <c r="W587" s="5" t="s">
        <v>67</v>
      </c>
      <c r="X587" s="5" t="s">
        <v>67</v>
      </c>
      <c r="Y587" s="4">
        <v>63</v>
      </c>
      <c r="Z587" s="4">
        <v>3</v>
      </c>
      <c r="AA587" s="4">
        <v>4</v>
      </c>
      <c r="AB587" s="4">
        <v>1</v>
      </c>
      <c r="AC587" s="4">
        <v>2</v>
      </c>
      <c r="AD587" s="4">
        <v>35</v>
      </c>
      <c r="AE587" s="4">
        <v>40</v>
      </c>
      <c r="AF587" s="4">
        <v>0</v>
      </c>
      <c r="AG587" s="4">
        <v>0</v>
      </c>
      <c r="AH587" s="4">
        <v>34</v>
      </c>
      <c r="AI587" s="4">
        <v>39</v>
      </c>
      <c r="AJ587" s="4">
        <v>2</v>
      </c>
      <c r="AK587" s="4">
        <v>2</v>
      </c>
      <c r="AL587" s="4">
        <v>26</v>
      </c>
      <c r="AM587" s="4">
        <v>29</v>
      </c>
      <c r="AN587" s="4">
        <v>0</v>
      </c>
      <c r="AO587" s="4">
        <v>0</v>
      </c>
      <c r="AP587" s="4">
        <v>2</v>
      </c>
      <c r="AQ587" s="4">
        <v>2</v>
      </c>
      <c r="AR587" s="3" t="s">
        <v>62</v>
      </c>
      <c r="AS587" s="3" t="s">
        <v>62</v>
      </c>
      <c r="AT587" s="3" t="s">
        <v>62</v>
      </c>
      <c r="AV587" s="6" t="str">
        <f>HYPERLINK("http://mcgill.on.worldcat.org/oclc/968759093","Catalog Record")</f>
        <v>Catalog Record</v>
      </c>
      <c r="AW587" s="6" t="str">
        <f>HYPERLINK("http://www.worldcat.org/oclc/968759093","WorldCat Record")</f>
        <v>WorldCat Record</v>
      </c>
      <c r="AX587" s="3" t="s">
        <v>5726</v>
      </c>
      <c r="AY587" s="3" t="s">
        <v>5727</v>
      </c>
      <c r="AZ587" s="3" t="s">
        <v>5728</v>
      </c>
      <c r="BA587" s="3" t="s">
        <v>5728</v>
      </c>
      <c r="BB587" s="3" t="s">
        <v>5729</v>
      </c>
      <c r="BC587" s="3" t="s">
        <v>142</v>
      </c>
      <c r="BD587" s="3" t="s">
        <v>68</v>
      </c>
      <c r="BE587" s="3" t="s">
        <v>5730</v>
      </c>
      <c r="BF587" s="3" t="s">
        <v>5729</v>
      </c>
      <c r="BG587" s="3" t="s">
        <v>5731</v>
      </c>
    </row>
    <row r="588" spans="1:59" ht="57" x14ac:dyDescent="0.45">
      <c r="A588" s="2" t="s">
        <v>59</v>
      </c>
      <c r="B588" s="2" t="s">
        <v>60</v>
      </c>
      <c r="C588" s="2" t="s">
        <v>5732</v>
      </c>
      <c r="D588" s="2" t="s">
        <v>5733</v>
      </c>
      <c r="E588" s="2" t="s">
        <v>5734</v>
      </c>
      <c r="G588" s="3" t="s">
        <v>62</v>
      </c>
      <c r="I588" s="3" t="s">
        <v>62</v>
      </c>
      <c r="J588" s="3" t="s">
        <v>62</v>
      </c>
      <c r="K588" s="3" t="s">
        <v>63</v>
      </c>
      <c r="M588" s="2" t="s">
        <v>5735</v>
      </c>
      <c r="N588" s="3" t="s">
        <v>1465</v>
      </c>
      <c r="O588" s="2" t="s">
        <v>168</v>
      </c>
      <c r="P588" s="3" t="s">
        <v>65</v>
      </c>
      <c r="Q588" s="2" t="s">
        <v>5736</v>
      </c>
      <c r="R588" s="3" t="s">
        <v>66</v>
      </c>
      <c r="S588" s="4">
        <v>1</v>
      </c>
      <c r="T588" s="4">
        <v>1</v>
      </c>
      <c r="U588" s="5" t="s">
        <v>5547</v>
      </c>
      <c r="V588" s="5" t="s">
        <v>5547</v>
      </c>
      <c r="W588" s="5" t="s">
        <v>67</v>
      </c>
      <c r="X588" s="5" t="s">
        <v>67</v>
      </c>
      <c r="Y588" s="4">
        <v>57</v>
      </c>
      <c r="Z588" s="4">
        <v>4</v>
      </c>
      <c r="AA588" s="4">
        <v>75</v>
      </c>
      <c r="AB588" s="4">
        <v>1</v>
      </c>
      <c r="AC588" s="4">
        <v>14</v>
      </c>
      <c r="AD588" s="4">
        <v>18</v>
      </c>
      <c r="AE588" s="4">
        <v>93</v>
      </c>
      <c r="AF588" s="4">
        <v>0</v>
      </c>
      <c r="AG588" s="4">
        <v>8</v>
      </c>
      <c r="AH588" s="4">
        <v>17</v>
      </c>
      <c r="AI588" s="4">
        <v>60</v>
      </c>
      <c r="AJ588" s="4">
        <v>3</v>
      </c>
      <c r="AK588" s="4">
        <v>19</v>
      </c>
      <c r="AL588" s="4">
        <v>13</v>
      </c>
      <c r="AM588" s="4">
        <v>29</v>
      </c>
      <c r="AN588" s="4">
        <v>0</v>
      </c>
      <c r="AO588" s="4">
        <v>0</v>
      </c>
      <c r="AP588" s="4">
        <v>3</v>
      </c>
      <c r="AQ588" s="4">
        <v>39</v>
      </c>
      <c r="AR588" s="3" t="s">
        <v>62</v>
      </c>
      <c r="AS588" s="3" t="s">
        <v>62</v>
      </c>
      <c r="AT588" s="3" t="s">
        <v>62</v>
      </c>
      <c r="AV588" s="6" t="str">
        <f>HYPERLINK("http://mcgill.on.worldcat.org/oclc/499490537","Catalog Record")</f>
        <v>Catalog Record</v>
      </c>
      <c r="AW588" s="6" t="str">
        <f>HYPERLINK("http://www.worldcat.org/oclc/499490537","WorldCat Record")</f>
        <v>WorldCat Record</v>
      </c>
      <c r="AX588" s="3" t="s">
        <v>5737</v>
      </c>
      <c r="AY588" s="3" t="s">
        <v>5738</v>
      </c>
      <c r="AZ588" s="3" t="s">
        <v>5739</v>
      </c>
      <c r="BA588" s="3" t="s">
        <v>5739</v>
      </c>
      <c r="BB588" s="3" t="s">
        <v>5740</v>
      </c>
      <c r="BC588" s="3" t="s">
        <v>142</v>
      </c>
      <c r="BD588" s="3" t="s">
        <v>68</v>
      </c>
      <c r="BE588" s="3" t="s">
        <v>5741</v>
      </c>
      <c r="BF588" s="3" t="s">
        <v>5740</v>
      </c>
      <c r="BG588" s="3" t="s">
        <v>5742</v>
      </c>
    </row>
    <row r="589" spans="1:59" ht="57" x14ac:dyDescent="0.45">
      <c r="A589" s="2" t="s">
        <v>59</v>
      </c>
      <c r="B589" s="2" t="s">
        <v>60</v>
      </c>
      <c r="C589" s="2" t="s">
        <v>5743</v>
      </c>
      <c r="D589" s="2" t="s">
        <v>5744</v>
      </c>
      <c r="E589" s="2" t="s">
        <v>5745</v>
      </c>
      <c r="G589" s="3" t="s">
        <v>62</v>
      </c>
      <c r="I589" s="3" t="s">
        <v>62</v>
      </c>
      <c r="J589" s="3" t="s">
        <v>62</v>
      </c>
      <c r="K589" s="3" t="s">
        <v>63</v>
      </c>
      <c r="M589" s="2" t="s">
        <v>5746</v>
      </c>
      <c r="N589" s="3" t="s">
        <v>149</v>
      </c>
      <c r="P589" s="3" t="s">
        <v>65</v>
      </c>
      <c r="R589" s="3" t="s">
        <v>66</v>
      </c>
      <c r="S589" s="4">
        <v>0</v>
      </c>
      <c r="T589" s="4">
        <v>0</v>
      </c>
      <c r="W589" s="5" t="s">
        <v>67</v>
      </c>
      <c r="X589" s="5" t="s">
        <v>67</v>
      </c>
      <c r="Y589" s="4">
        <v>59</v>
      </c>
      <c r="Z589" s="4">
        <v>7</v>
      </c>
      <c r="AA589" s="4">
        <v>8</v>
      </c>
      <c r="AB589" s="4">
        <v>1</v>
      </c>
      <c r="AC589" s="4">
        <v>2</v>
      </c>
      <c r="AD589" s="4">
        <v>23</v>
      </c>
      <c r="AE589" s="4">
        <v>24</v>
      </c>
      <c r="AF589" s="4">
        <v>0</v>
      </c>
      <c r="AG589" s="4">
        <v>1</v>
      </c>
      <c r="AH589" s="4">
        <v>23</v>
      </c>
      <c r="AI589" s="4">
        <v>23</v>
      </c>
      <c r="AJ589" s="4">
        <v>5</v>
      </c>
      <c r="AK589" s="4">
        <v>6</v>
      </c>
      <c r="AL589" s="4">
        <v>14</v>
      </c>
      <c r="AM589" s="4">
        <v>14</v>
      </c>
      <c r="AN589" s="4">
        <v>0</v>
      </c>
      <c r="AO589" s="4">
        <v>0</v>
      </c>
      <c r="AP589" s="4">
        <v>5</v>
      </c>
      <c r="AQ589" s="4">
        <v>6</v>
      </c>
      <c r="AR589" s="3" t="s">
        <v>62</v>
      </c>
      <c r="AS589" s="3" t="s">
        <v>62</v>
      </c>
      <c r="AT589" s="3" t="s">
        <v>62</v>
      </c>
      <c r="AV589" s="6" t="str">
        <f>HYPERLINK("http://mcgill.on.worldcat.org/oclc/430053246","Catalog Record")</f>
        <v>Catalog Record</v>
      </c>
      <c r="AW589" s="6" t="str">
        <f>HYPERLINK("http://www.worldcat.org/oclc/430053246","WorldCat Record")</f>
        <v>WorldCat Record</v>
      </c>
      <c r="AX589" s="3" t="s">
        <v>5747</v>
      </c>
      <c r="AY589" s="3" t="s">
        <v>5748</v>
      </c>
      <c r="AZ589" s="3" t="s">
        <v>5749</v>
      </c>
      <c r="BA589" s="3" t="s">
        <v>5749</v>
      </c>
      <c r="BB589" s="3" t="s">
        <v>5750</v>
      </c>
      <c r="BC589" s="3" t="s">
        <v>142</v>
      </c>
      <c r="BD589" s="3" t="s">
        <v>68</v>
      </c>
      <c r="BE589" s="3" t="s">
        <v>5751</v>
      </c>
      <c r="BF589" s="3" t="s">
        <v>5750</v>
      </c>
      <c r="BG589" s="3" t="s">
        <v>5752</v>
      </c>
    </row>
    <row r="590" spans="1:59" ht="71.25" x14ac:dyDescent="0.45">
      <c r="A590" s="2" t="s">
        <v>59</v>
      </c>
      <c r="B590" s="2" t="s">
        <v>60</v>
      </c>
      <c r="C590" s="2" t="s">
        <v>5753</v>
      </c>
      <c r="D590" s="2" t="s">
        <v>5754</v>
      </c>
      <c r="E590" s="2" t="s">
        <v>5755</v>
      </c>
      <c r="G590" s="3" t="s">
        <v>62</v>
      </c>
      <c r="I590" s="3" t="s">
        <v>62</v>
      </c>
      <c r="J590" s="3" t="s">
        <v>62</v>
      </c>
      <c r="K590" s="3" t="s">
        <v>63</v>
      </c>
      <c r="L590" s="2" t="s">
        <v>5756</v>
      </c>
      <c r="M590" s="2" t="s">
        <v>5757</v>
      </c>
      <c r="N590" s="3" t="s">
        <v>181</v>
      </c>
      <c r="P590" s="3" t="s">
        <v>65</v>
      </c>
      <c r="R590" s="3" t="s">
        <v>66</v>
      </c>
      <c r="S590" s="4">
        <v>16</v>
      </c>
      <c r="T590" s="4">
        <v>16</v>
      </c>
      <c r="W590" s="5" t="s">
        <v>67</v>
      </c>
      <c r="X590" s="5" t="s">
        <v>67</v>
      </c>
      <c r="Y590" s="4">
        <v>693</v>
      </c>
      <c r="Z590" s="4">
        <v>23</v>
      </c>
      <c r="AA590" s="4">
        <v>26</v>
      </c>
      <c r="AB590" s="4">
        <v>3</v>
      </c>
      <c r="AC590" s="4">
        <v>4</v>
      </c>
      <c r="AD590" s="4">
        <v>77</v>
      </c>
      <c r="AE590" s="4">
        <v>80</v>
      </c>
      <c r="AF590" s="4">
        <v>1</v>
      </c>
      <c r="AG590" s="4">
        <v>1</v>
      </c>
      <c r="AH590" s="4">
        <v>70</v>
      </c>
      <c r="AI590" s="4">
        <v>73</v>
      </c>
      <c r="AJ590" s="4">
        <v>9</v>
      </c>
      <c r="AK590" s="4">
        <v>10</v>
      </c>
      <c r="AL590" s="4">
        <v>41</v>
      </c>
      <c r="AM590" s="4">
        <v>42</v>
      </c>
      <c r="AN590" s="4">
        <v>0</v>
      </c>
      <c r="AO590" s="4">
        <v>0</v>
      </c>
      <c r="AP590" s="4">
        <v>10</v>
      </c>
      <c r="AQ590" s="4">
        <v>12</v>
      </c>
      <c r="AR590" s="3" t="s">
        <v>62</v>
      </c>
      <c r="AS590" s="3" t="s">
        <v>62</v>
      </c>
      <c r="AT590" s="3" t="s">
        <v>62</v>
      </c>
      <c r="AV590" s="6" t="str">
        <f>HYPERLINK("http://mcgill.on.worldcat.org/oclc/936192063","Catalog Record")</f>
        <v>Catalog Record</v>
      </c>
      <c r="AW590" s="6" t="str">
        <f>HYPERLINK("http://www.worldcat.org/oclc/936192063","WorldCat Record")</f>
        <v>WorldCat Record</v>
      </c>
      <c r="AX590" s="3" t="s">
        <v>5758</v>
      </c>
      <c r="AY590" s="3" t="s">
        <v>5759</v>
      </c>
      <c r="AZ590" s="3" t="s">
        <v>5760</v>
      </c>
      <c r="BA590" s="3" t="s">
        <v>5760</v>
      </c>
      <c r="BB590" s="3" t="s">
        <v>5761</v>
      </c>
      <c r="BC590" s="3" t="s">
        <v>142</v>
      </c>
      <c r="BD590" s="3" t="s">
        <v>308</v>
      </c>
      <c r="BE590" s="3" t="s">
        <v>5762</v>
      </c>
      <c r="BF590" s="3" t="s">
        <v>5761</v>
      </c>
      <c r="BG590" s="3" t="s">
        <v>5763</v>
      </c>
    </row>
    <row r="591" spans="1:59" ht="71.25" x14ac:dyDescent="0.45">
      <c r="A591" s="2" t="s">
        <v>59</v>
      </c>
      <c r="B591" s="2" t="s">
        <v>60</v>
      </c>
      <c r="C591" s="2" t="s">
        <v>5764</v>
      </c>
      <c r="D591" s="2" t="s">
        <v>5765</v>
      </c>
      <c r="E591" s="2" t="s">
        <v>5766</v>
      </c>
      <c r="G591" s="3" t="s">
        <v>62</v>
      </c>
      <c r="I591" s="3" t="s">
        <v>62</v>
      </c>
      <c r="J591" s="3" t="s">
        <v>62</v>
      </c>
      <c r="K591" s="3" t="s">
        <v>63</v>
      </c>
      <c r="M591" s="2" t="s">
        <v>5767</v>
      </c>
      <c r="N591" s="3" t="s">
        <v>1688</v>
      </c>
      <c r="P591" s="3" t="s">
        <v>65</v>
      </c>
      <c r="Q591" s="2" t="s">
        <v>5768</v>
      </c>
      <c r="R591" s="3" t="s">
        <v>66</v>
      </c>
      <c r="S591" s="4">
        <v>1</v>
      </c>
      <c r="T591" s="4">
        <v>1</v>
      </c>
      <c r="U591" s="5" t="s">
        <v>5769</v>
      </c>
      <c r="V591" s="5" t="s">
        <v>5769</v>
      </c>
      <c r="W591" s="5" t="s">
        <v>67</v>
      </c>
      <c r="X591" s="5" t="s">
        <v>67</v>
      </c>
      <c r="Y591" s="4">
        <v>60</v>
      </c>
      <c r="Z591" s="4">
        <v>11</v>
      </c>
      <c r="AA591" s="4">
        <v>84</v>
      </c>
      <c r="AB591" s="4">
        <v>1</v>
      </c>
      <c r="AC591" s="4">
        <v>14</v>
      </c>
      <c r="AD591" s="4">
        <v>26</v>
      </c>
      <c r="AE591" s="4">
        <v>105</v>
      </c>
      <c r="AF591" s="4">
        <v>0</v>
      </c>
      <c r="AG591" s="4">
        <v>8</v>
      </c>
      <c r="AH591" s="4">
        <v>24</v>
      </c>
      <c r="AI591" s="4">
        <v>69</v>
      </c>
      <c r="AJ591" s="4">
        <v>7</v>
      </c>
      <c r="AK591" s="4">
        <v>24</v>
      </c>
      <c r="AL591" s="4">
        <v>15</v>
      </c>
      <c r="AM591" s="4">
        <v>34</v>
      </c>
      <c r="AN591" s="4">
        <v>0</v>
      </c>
      <c r="AO591" s="4">
        <v>0</v>
      </c>
      <c r="AP591" s="4">
        <v>7</v>
      </c>
      <c r="AQ591" s="4">
        <v>45</v>
      </c>
      <c r="AR591" s="3" t="s">
        <v>62</v>
      </c>
      <c r="AS591" s="3" t="s">
        <v>62</v>
      </c>
      <c r="AT591" s="3" t="s">
        <v>62</v>
      </c>
      <c r="AV591" s="6" t="str">
        <f>HYPERLINK("http://mcgill.on.worldcat.org/oclc/884300548","Catalog Record")</f>
        <v>Catalog Record</v>
      </c>
      <c r="AW591" s="6" t="str">
        <f>HYPERLINK("http://www.worldcat.org/oclc/884300548","WorldCat Record")</f>
        <v>WorldCat Record</v>
      </c>
      <c r="AX591" s="3" t="s">
        <v>5770</v>
      </c>
      <c r="AY591" s="3" t="s">
        <v>5771</v>
      </c>
      <c r="AZ591" s="3" t="s">
        <v>5772</v>
      </c>
      <c r="BA591" s="3" t="s">
        <v>5772</v>
      </c>
      <c r="BB591" s="3" t="s">
        <v>5773</v>
      </c>
      <c r="BC591" s="3" t="s">
        <v>142</v>
      </c>
      <c r="BD591" s="3" t="s">
        <v>68</v>
      </c>
      <c r="BE591" s="3" t="s">
        <v>5774</v>
      </c>
      <c r="BF591" s="3" t="s">
        <v>5773</v>
      </c>
      <c r="BG591" s="3" t="s">
        <v>5775</v>
      </c>
    </row>
    <row r="592" spans="1:59" ht="57" x14ac:dyDescent="0.45">
      <c r="A592" s="2" t="s">
        <v>59</v>
      </c>
      <c r="B592" s="2" t="s">
        <v>60</v>
      </c>
      <c r="C592" s="2" t="s">
        <v>5776</v>
      </c>
      <c r="D592" s="2" t="s">
        <v>5777</v>
      </c>
      <c r="E592" s="2" t="s">
        <v>5778</v>
      </c>
      <c r="G592" s="3" t="s">
        <v>62</v>
      </c>
      <c r="I592" s="3" t="s">
        <v>62</v>
      </c>
      <c r="J592" s="3" t="s">
        <v>62</v>
      </c>
      <c r="K592" s="3" t="s">
        <v>63</v>
      </c>
      <c r="M592" s="2" t="s">
        <v>5779</v>
      </c>
      <c r="N592" s="3" t="s">
        <v>181</v>
      </c>
      <c r="P592" s="3" t="s">
        <v>65</v>
      </c>
      <c r="Q592" s="2" t="s">
        <v>5780</v>
      </c>
      <c r="R592" s="3" t="s">
        <v>66</v>
      </c>
      <c r="S592" s="4">
        <v>0</v>
      </c>
      <c r="T592" s="4">
        <v>0</v>
      </c>
      <c r="W592" s="5" t="s">
        <v>67</v>
      </c>
      <c r="X592" s="5" t="s">
        <v>67</v>
      </c>
      <c r="Y592" s="4">
        <v>59</v>
      </c>
      <c r="Z592" s="4">
        <v>4</v>
      </c>
      <c r="AA592" s="4">
        <v>4</v>
      </c>
      <c r="AB592" s="4">
        <v>1</v>
      </c>
      <c r="AC592" s="4">
        <v>1</v>
      </c>
      <c r="AD592" s="4">
        <v>28</v>
      </c>
      <c r="AE592" s="4">
        <v>31</v>
      </c>
      <c r="AF592" s="4">
        <v>0</v>
      </c>
      <c r="AG592" s="4">
        <v>0</v>
      </c>
      <c r="AH592" s="4">
        <v>25</v>
      </c>
      <c r="AI592" s="4">
        <v>28</v>
      </c>
      <c r="AJ592" s="4">
        <v>2</v>
      </c>
      <c r="AK592" s="4">
        <v>2</v>
      </c>
      <c r="AL592" s="4">
        <v>19</v>
      </c>
      <c r="AM592" s="4">
        <v>21</v>
      </c>
      <c r="AN592" s="4">
        <v>0</v>
      </c>
      <c r="AO592" s="4">
        <v>0</v>
      </c>
      <c r="AP592" s="4">
        <v>3</v>
      </c>
      <c r="AQ592" s="4">
        <v>3</v>
      </c>
      <c r="AR592" s="3" t="s">
        <v>62</v>
      </c>
      <c r="AS592" s="3" t="s">
        <v>62</v>
      </c>
      <c r="AT592" s="3" t="s">
        <v>62</v>
      </c>
      <c r="AV592" s="6" t="str">
        <f>HYPERLINK("http://mcgill.on.worldcat.org/oclc/927166034","Catalog Record")</f>
        <v>Catalog Record</v>
      </c>
      <c r="AW592" s="6" t="str">
        <f>HYPERLINK("http://www.worldcat.org/oclc/927166034","WorldCat Record")</f>
        <v>WorldCat Record</v>
      </c>
      <c r="AX592" s="3" t="s">
        <v>5781</v>
      </c>
      <c r="AY592" s="3" t="s">
        <v>5782</v>
      </c>
      <c r="AZ592" s="3" t="s">
        <v>5783</v>
      </c>
      <c r="BA592" s="3" t="s">
        <v>5783</v>
      </c>
      <c r="BB592" s="3" t="s">
        <v>5784</v>
      </c>
      <c r="BC592" s="3" t="s">
        <v>142</v>
      </c>
      <c r="BD592" s="3" t="s">
        <v>68</v>
      </c>
      <c r="BE592" s="3" t="s">
        <v>5785</v>
      </c>
      <c r="BF592" s="3" t="s">
        <v>5784</v>
      </c>
      <c r="BG592" s="3" t="s">
        <v>5786</v>
      </c>
    </row>
    <row r="593" spans="1:59" ht="85.5" x14ac:dyDescent="0.45">
      <c r="A593" s="2" t="s">
        <v>59</v>
      </c>
      <c r="B593" s="2" t="s">
        <v>60</v>
      </c>
      <c r="C593" s="2" t="s">
        <v>5787</v>
      </c>
      <c r="D593" s="2" t="s">
        <v>5788</v>
      </c>
      <c r="E593" s="2" t="s">
        <v>5789</v>
      </c>
      <c r="G593" s="3" t="s">
        <v>62</v>
      </c>
      <c r="I593" s="3" t="s">
        <v>62</v>
      </c>
      <c r="J593" s="3" t="s">
        <v>62</v>
      </c>
      <c r="K593" s="3" t="s">
        <v>63</v>
      </c>
      <c r="M593" s="2" t="s">
        <v>5790</v>
      </c>
      <c r="N593" s="3" t="s">
        <v>208</v>
      </c>
      <c r="P593" s="3" t="s">
        <v>110</v>
      </c>
      <c r="Q593" s="2" t="s">
        <v>5791</v>
      </c>
      <c r="R593" s="3" t="s">
        <v>66</v>
      </c>
      <c r="S593" s="4">
        <v>0</v>
      </c>
      <c r="T593" s="4">
        <v>0</v>
      </c>
      <c r="W593" s="5" t="s">
        <v>67</v>
      </c>
      <c r="X593" s="5" t="s">
        <v>67</v>
      </c>
      <c r="Y593" s="4">
        <v>73</v>
      </c>
      <c r="Z593" s="4">
        <v>8</v>
      </c>
      <c r="AA593" s="4">
        <v>11</v>
      </c>
      <c r="AB593" s="4">
        <v>1</v>
      </c>
      <c r="AC593" s="4">
        <v>4</v>
      </c>
      <c r="AD593" s="4">
        <v>39</v>
      </c>
      <c r="AE593" s="4">
        <v>41</v>
      </c>
      <c r="AF593" s="4">
        <v>0</v>
      </c>
      <c r="AG593" s="4">
        <v>2</v>
      </c>
      <c r="AH593" s="4">
        <v>36</v>
      </c>
      <c r="AI593" s="4">
        <v>37</v>
      </c>
      <c r="AJ593" s="4">
        <v>6</v>
      </c>
      <c r="AK593" s="4">
        <v>8</v>
      </c>
      <c r="AL593" s="4">
        <v>26</v>
      </c>
      <c r="AM593" s="4">
        <v>26</v>
      </c>
      <c r="AN593" s="4">
        <v>0</v>
      </c>
      <c r="AO593" s="4">
        <v>0</v>
      </c>
      <c r="AP593" s="4">
        <v>6</v>
      </c>
      <c r="AQ593" s="4">
        <v>7</v>
      </c>
      <c r="AR593" s="3" t="s">
        <v>62</v>
      </c>
      <c r="AS593" s="3" t="s">
        <v>62</v>
      </c>
      <c r="AT593" s="3" t="s">
        <v>62</v>
      </c>
      <c r="AV593" s="6" t="str">
        <f>HYPERLINK("http://mcgill.on.worldcat.org/oclc/929689294","Catalog Record")</f>
        <v>Catalog Record</v>
      </c>
      <c r="AW593" s="6" t="str">
        <f>HYPERLINK("http://www.worldcat.org/oclc/929689294","WorldCat Record")</f>
        <v>WorldCat Record</v>
      </c>
      <c r="AX593" s="3" t="s">
        <v>5792</v>
      </c>
      <c r="AY593" s="3" t="s">
        <v>5793</v>
      </c>
      <c r="AZ593" s="3" t="s">
        <v>5794</v>
      </c>
      <c r="BA593" s="3" t="s">
        <v>5794</v>
      </c>
      <c r="BB593" s="3" t="s">
        <v>5795</v>
      </c>
      <c r="BC593" s="3" t="s">
        <v>142</v>
      </c>
      <c r="BD593" s="3" t="s">
        <v>68</v>
      </c>
      <c r="BE593" s="3" t="s">
        <v>5796</v>
      </c>
      <c r="BF593" s="3" t="s">
        <v>5795</v>
      </c>
      <c r="BG593" s="3" t="s">
        <v>5797</v>
      </c>
    </row>
    <row r="594" spans="1:59" ht="57" x14ac:dyDescent="0.45">
      <c r="A594" s="2" t="s">
        <v>59</v>
      </c>
      <c r="B594" s="2" t="s">
        <v>60</v>
      </c>
      <c r="C594" s="2" t="s">
        <v>5798</v>
      </c>
      <c r="D594" s="2" t="s">
        <v>5799</v>
      </c>
      <c r="E594" s="2" t="s">
        <v>5800</v>
      </c>
      <c r="G594" s="3" t="s">
        <v>62</v>
      </c>
      <c r="I594" s="3" t="s">
        <v>62</v>
      </c>
      <c r="J594" s="3" t="s">
        <v>62</v>
      </c>
      <c r="K594" s="3" t="s">
        <v>63</v>
      </c>
      <c r="L594" s="2" t="s">
        <v>3374</v>
      </c>
      <c r="M594" s="2" t="s">
        <v>3925</v>
      </c>
      <c r="N594" s="3" t="s">
        <v>149</v>
      </c>
      <c r="P594" s="3" t="s">
        <v>65</v>
      </c>
      <c r="Q594" s="2" t="s">
        <v>5801</v>
      </c>
      <c r="R594" s="3" t="s">
        <v>66</v>
      </c>
      <c r="S594" s="4">
        <v>3</v>
      </c>
      <c r="T594" s="4">
        <v>3</v>
      </c>
      <c r="U594" s="5" t="s">
        <v>5802</v>
      </c>
      <c r="V594" s="5" t="s">
        <v>5802</v>
      </c>
      <c r="W594" s="5" t="s">
        <v>67</v>
      </c>
      <c r="X594" s="5" t="s">
        <v>67</v>
      </c>
      <c r="Y594" s="4">
        <v>143</v>
      </c>
      <c r="Z594" s="4">
        <v>18</v>
      </c>
      <c r="AA594" s="4">
        <v>103</v>
      </c>
      <c r="AB594" s="4">
        <v>1</v>
      </c>
      <c r="AC594" s="4">
        <v>17</v>
      </c>
      <c r="AD594" s="4">
        <v>62</v>
      </c>
      <c r="AE594" s="4">
        <v>127</v>
      </c>
      <c r="AF594" s="4">
        <v>0</v>
      </c>
      <c r="AG594" s="4">
        <v>8</v>
      </c>
      <c r="AH594" s="4">
        <v>56</v>
      </c>
      <c r="AI594" s="4">
        <v>91</v>
      </c>
      <c r="AJ594" s="4">
        <v>14</v>
      </c>
      <c r="AK594" s="4">
        <v>26</v>
      </c>
      <c r="AL594" s="4">
        <v>32</v>
      </c>
      <c r="AM594" s="4">
        <v>44</v>
      </c>
      <c r="AN594" s="4">
        <v>0</v>
      </c>
      <c r="AO594" s="4">
        <v>0</v>
      </c>
      <c r="AP594" s="4">
        <v>14</v>
      </c>
      <c r="AQ594" s="4">
        <v>47</v>
      </c>
      <c r="AR594" s="3" t="s">
        <v>62</v>
      </c>
      <c r="AS594" s="3" t="s">
        <v>62</v>
      </c>
      <c r="AT594" s="3" t="s">
        <v>62</v>
      </c>
      <c r="AV594" s="6" t="str">
        <f>HYPERLINK("http://mcgill.on.worldcat.org/oclc/440563533","Catalog Record")</f>
        <v>Catalog Record</v>
      </c>
      <c r="AW594" s="6" t="str">
        <f>HYPERLINK("http://www.worldcat.org/oclc/440563533","WorldCat Record")</f>
        <v>WorldCat Record</v>
      </c>
      <c r="AX594" s="3" t="s">
        <v>5803</v>
      </c>
      <c r="AY594" s="3" t="s">
        <v>5804</v>
      </c>
      <c r="AZ594" s="3" t="s">
        <v>5805</v>
      </c>
      <c r="BA594" s="3" t="s">
        <v>5805</v>
      </c>
      <c r="BB594" s="3" t="s">
        <v>5806</v>
      </c>
      <c r="BC594" s="3" t="s">
        <v>142</v>
      </c>
      <c r="BD594" s="3" t="s">
        <v>68</v>
      </c>
      <c r="BE594" s="3" t="s">
        <v>5807</v>
      </c>
      <c r="BF594" s="3" t="s">
        <v>5806</v>
      </c>
      <c r="BG594" s="3" t="s">
        <v>5808</v>
      </c>
    </row>
    <row r="595" spans="1:59" ht="57" x14ac:dyDescent="0.45">
      <c r="A595" s="2" t="s">
        <v>59</v>
      </c>
      <c r="B595" s="2" t="s">
        <v>60</v>
      </c>
      <c r="C595" s="2" t="s">
        <v>5809</v>
      </c>
      <c r="D595" s="2" t="s">
        <v>5810</v>
      </c>
      <c r="E595" s="2" t="s">
        <v>5811</v>
      </c>
      <c r="G595" s="3" t="s">
        <v>62</v>
      </c>
      <c r="I595" s="3" t="s">
        <v>62</v>
      </c>
      <c r="J595" s="3" t="s">
        <v>62</v>
      </c>
      <c r="K595" s="3" t="s">
        <v>63</v>
      </c>
      <c r="L595" s="2" t="s">
        <v>5812</v>
      </c>
      <c r="M595" s="2" t="s">
        <v>5813</v>
      </c>
      <c r="N595" s="3" t="s">
        <v>5180</v>
      </c>
      <c r="P595" s="3" t="s">
        <v>65</v>
      </c>
      <c r="Q595" s="2" t="s">
        <v>5814</v>
      </c>
      <c r="R595" s="3" t="s">
        <v>66</v>
      </c>
      <c r="S595" s="4">
        <v>0</v>
      </c>
      <c r="T595" s="4">
        <v>0</v>
      </c>
      <c r="W595" s="5" t="s">
        <v>67</v>
      </c>
      <c r="X595" s="5" t="s">
        <v>67</v>
      </c>
      <c r="Y595" s="4">
        <v>42</v>
      </c>
      <c r="Z595" s="4">
        <v>5</v>
      </c>
      <c r="AA595" s="4">
        <v>74</v>
      </c>
      <c r="AB595" s="4">
        <v>1</v>
      </c>
      <c r="AC595" s="4">
        <v>14</v>
      </c>
      <c r="AD595" s="4">
        <v>25</v>
      </c>
      <c r="AE595" s="4">
        <v>99</v>
      </c>
      <c r="AF595" s="4">
        <v>0</v>
      </c>
      <c r="AG595" s="4">
        <v>8</v>
      </c>
      <c r="AH595" s="4">
        <v>21</v>
      </c>
      <c r="AI595" s="4">
        <v>65</v>
      </c>
      <c r="AJ595" s="4">
        <v>3</v>
      </c>
      <c r="AK595" s="4">
        <v>20</v>
      </c>
      <c r="AL595" s="4">
        <v>18</v>
      </c>
      <c r="AM595" s="4">
        <v>35</v>
      </c>
      <c r="AN595" s="4">
        <v>0</v>
      </c>
      <c r="AO595" s="4">
        <v>0</v>
      </c>
      <c r="AP595" s="4">
        <v>4</v>
      </c>
      <c r="AQ595" s="4">
        <v>40</v>
      </c>
      <c r="AR595" s="3" t="s">
        <v>62</v>
      </c>
      <c r="AS595" s="3" t="s">
        <v>62</v>
      </c>
      <c r="AT595" s="3" t="s">
        <v>62</v>
      </c>
      <c r="AV595" s="6" t="str">
        <f>HYPERLINK("http://mcgill.on.worldcat.org/oclc/1030904445","Catalog Record")</f>
        <v>Catalog Record</v>
      </c>
      <c r="AW595" s="6" t="str">
        <f>HYPERLINK("http://www.worldcat.org/oclc/1030904445","WorldCat Record")</f>
        <v>WorldCat Record</v>
      </c>
      <c r="AX595" s="3" t="s">
        <v>5815</v>
      </c>
      <c r="AY595" s="3" t="s">
        <v>5816</v>
      </c>
      <c r="AZ595" s="3" t="s">
        <v>5817</v>
      </c>
      <c r="BA595" s="3" t="s">
        <v>5817</v>
      </c>
      <c r="BB595" s="3" t="s">
        <v>5818</v>
      </c>
      <c r="BC595" s="3" t="s">
        <v>142</v>
      </c>
      <c r="BD595" s="3" t="s">
        <v>68</v>
      </c>
      <c r="BE595" s="3" t="s">
        <v>5819</v>
      </c>
      <c r="BF595" s="3" t="s">
        <v>5818</v>
      </c>
      <c r="BG595" s="3" t="s">
        <v>5820</v>
      </c>
    </row>
    <row r="596" spans="1:59" ht="57" x14ac:dyDescent="0.45">
      <c r="A596" s="2" t="s">
        <v>59</v>
      </c>
      <c r="B596" s="2" t="s">
        <v>60</v>
      </c>
      <c r="C596" s="2" t="s">
        <v>5821</v>
      </c>
      <c r="D596" s="2" t="s">
        <v>5822</v>
      </c>
      <c r="E596" s="2" t="s">
        <v>5823</v>
      </c>
      <c r="G596" s="3" t="s">
        <v>62</v>
      </c>
      <c r="I596" s="3" t="s">
        <v>62</v>
      </c>
      <c r="J596" s="3" t="s">
        <v>62</v>
      </c>
      <c r="K596" s="3" t="s">
        <v>63</v>
      </c>
      <c r="M596" s="2" t="s">
        <v>5824</v>
      </c>
      <c r="N596" s="3" t="s">
        <v>1688</v>
      </c>
      <c r="P596" s="3" t="s">
        <v>65</v>
      </c>
      <c r="Q596" s="2" t="s">
        <v>5825</v>
      </c>
      <c r="R596" s="3" t="s">
        <v>66</v>
      </c>
      <c r="S596" s="4">
        <v>8</v>
      </c>
      <c r="T596" s="4">
        <v>8</v>
      </c>
      <c r="U596" s="5" t="s">
        <v>5826</v>
      </c>
      <c r="V596" s="5" t="s">
        <v>5826</v>
      </c>
      <c r="W596" s="5" t="s">
        <v>67</v>
      </c>
      <c r="X596" s="5" t="s">
        <v>67</v>
      </c>
      <c r="Y596" s="4">
        <v>117</v>
      </c>
      <c r="Z596" s="4">
        <v>14</v>
      </c>
      <c r="AA596" s="4">
        <v>14</v>
      </c>
      <c r="AB596" s="4">
        <v>1</v>
      </c>
      <c r="AC596" s="4">
        <v>1</v>
      </c>
      <c r="AD596" s="4">
        <v>60</v>
      </c>
      <c r="AE596" s="4">
        <v>60</v>
      </c>
      <c r="AF596" s="4">
        <v>0</v>
      </c>
      <c r="AG596" s="4">
        <v>0</v>
      </c>
      <c r="AH596" s="4">
        <v>54</v>
      </c>
      <c r="AI596" s="4">
        <v>54</v>
      </c>
      <c r="AJ596" s="4">
        <v>11</v>
      </c>
      <c r="AK596" s="4">
        <v>11</v>
      </c>
      <c r="AL596" s="4">
        <v>33</v>
      </c>
      <c r="AM596" s="4">
        <v>33</v>
      </c>
      <c r="AN596" s="4">
        <v>0</v>
      </c>
      <c r="AO596" s="4">
        <v>0</v>
      </c>
      <c r="AP596" s="4">
        <v>12</v>
      </c>
      <c r="AQ596" s="4">
        <v>12</v>
      </c>
      <c r="AR596" s="3" t="s">
        <v>62</v>
      </c>
      <c r="AS596" s="3" t="s">
        <v>62</v>
      </c>
      <c r="AT596" s="3" t="s">
        <v>62</v>
      </c>
      <c r="AV596" s="6" t="str">
        <f>HYPERLINK("http://mcgill.on.worldcat.org/oclc/890161255","Catalog Record")</f>
        <v>Catalog Record</v>
      </c>
      <c r="AW596" s="6" t="str">
        <f>HYPERLINK("http://www.worldcat.org/oclc/890161255","WorldCat Record")</f>
        <v>WorldCat Record</v>
      </c>
      <c r="AX596" s="3" t="s">
        <v>5827</v>
      </c>
      <c r="AY596" s="3" t="s">
        <v>5828</v>
      </c>
      <c r="AZ596" s="3" t="s">
        <v>5829</v>
      </c>
      <c r="BA596" s="3" t="s">
        <v>5829</v>
      </c>
      <c r="BB596" s="3" t="s">
        <v>5830</v>
      </c>
      <c r="BC596" s="3" t="s">
        <v>142</v>
      </c>
      <c r="BD596" s="3" t="s">
        <v>68</v>
      </c>
      <c r="BE596" s="3" t="s">
        <v>5831</v>
      </c>
      <c r="BF596" s="3" t="s">
        <v>5830</v>
      </c>
      <c r="BG596" s="3" t="s">
        <v>5832</v>
      </c>
    </row>
    <row r="597" spans="1:59" ht="57" x14ac:dyDescent="0.45">
      <c r="A597" s="2" t="s">
        <v>59</v>
      </c>
      <c r="B597" s="2" t="s">
        <v>60</v>
      </c>
      <c r="C597" s="2" t="s">
        <v>5833</v>
      </c>
      <c r="D597" s="2" t="s">
        <v>5834</v>
      </c>
      <c r="E597" s="2" t="s">
        <v>5835</v>
      </c>
      <c r="G597" s="3" t="s">
        <v>62</v>
      </c>
      <c r="I597" s="3" t="s">
        <v>62</v>
      </c>
      <c r="J597" s="3" t="s">
        <v>62</v>
      </c>
      <c r="K597" s="3" t="s">
        <v>63</v>
      </c>
      <c r="M597" s="2" t="s">
        <v>5836</v>
      </c>
      <c r="N597" s="3" t="s">
        <v>1918</v>
      </c>
      <c r="P597" s="3" t="s">
        <v>65</v>
      </c>
      <c r="Q597" s="2" t="s">
        <v>5837</v>
      </c>
      <c r="R597" s="3" t="s">
        <v>66</v>
      </c>
      <c r="S597" s="4">
        <v>2</v>
      </c>
      <c r="T597" s="4">
        <v>2</v>
      </c>
      <c r="U597" s="5" t="s">
        <v>5838</v>
      </c>
      <c r="V597" s="5" t="s">
        <v>5838</v>
      </c>
      <c r="W597" s="5" t="s">
        <v>67</v>
      </c>
      <c r="X597" s="5" t="s">
        <v>67</v>
      </c>
      <c r="Y597" s="4">
        <v>130</v>
      </c>
      <c r="Z597" s="4">
        <v>3</v>
      </c>
      <c r="AA597" s="4">
        <v>11</v>
      </c>
      <c r="AB597" s="4">
        <v>1</v>
      </c>
      <c r="AC597" s="4">
        <v>5</v>
      </c>
      <c r="AD597" s="4">
        <v>22</v>
      </c>
      <c r="AE597" s="4">
        <v>43</v>
      </c>
      <c r="AF597" s="4">
        <v>0</v>
      </c>
      <c r="AG597" s="4">
        <v>1</v>
      </c>
      <c r="AH597" s="4">
        <v>18</v>
      </c>
      <c r="AI597" s="4">
        <v>36</v>
      </c>
      <c r="AJ597" s="4">
        <v>1</v>
      </c>
      <c r="AK597" s="4">
        <v>6</v>
      </c>
      <c r="AL597" s="4">
        <v>14</v>
      </c>
      <c r="AM597" s="4">
        <v>24</v>
      </c>
      <c r="AN597" s="4">
        <v>0</v>
      </c>
      <c r="AO597" s="4">
        <v>0</v>
      </c>
      <c r="AP597" s="4">
        <v>2</v>
      </c>
      <c r="AQ597" s="4">
        <v>6</v>
      </c>
      <c r="AR597" s="3" t="s">
        <v>62</v>
      </c>
      <c r="AS597" s="3" t="s">
        <v>62</v>
      </c>
      <c r="AT597" s="3" t="s">
        <v>62</v>
      </c>
      <c r="AV597" s="6" t="str">
        <f>HYPERLINK("http://mcgill.on.worldcat.org/oclc/958351557","Catalog Record")</f>
        <v>Catalog Record</v>
      </c>
      <c r="AW597" s="6" t="str">
        <f>HYPERLINK("http://www.worldcat.org/oclc/958351557","WorldCat Record")</f>
        <v>WorldCat Record</v>
      </c>
      <c r="AX597" s="3" t="s">
        <v>5839</v>
      </c>
      <c r="AY597" s="3" t="s">
        <v>5840</v>
      </c>
      <c r="AZ597" s="3" t="s">
        <v>5841</v>
      </c>
      <c r="BA597" s="3" t="s">
        <v>5841</v>
      </c>
      <c r="BB597" s="3" t="s">
        <v>5842</v>
      </c>
      <c r="BC597" s="3" t="s">
        <v>142</v>
      </c>
      <c r="BD597" s="3" t="s">
        <v>68</v>
      </c>
      <c r="BE597" s="3" t="s">
        <v>5843</v>
      </c>
      <c r="BF597" s="3" t="s">
        <v>5842</v>
      </c>
      <c r="BG597" s="3" t="s">
        <v>5844</v>
      </c>
    </row>
    <row r="598" spans="1:59" ht="57" x14ac:dyDescent="0.45">
      <c r="A598" s="2" t="s">
        <v>59</v>
      </c>
      <c r="B598" s="2" t="s">
        <v>60</v>
      </c>
      <c r="C598" s="2" t="s">
        <v>5845</v>
      </c>
      <c r="D598" s="2" t="s">
        <v>5846</v>
      </c>
      <c r="E598" s="2" t="s">
        <v>5847</v>
      </c>
      <c r="G598" s="3" t="s">
        <v>62</v>
      </c>
      <c r="I598" s="3" t="s">
        <v>62</v>
      </c>
      <c r="J598" s="3" t="s">
        <v>62</v>
      </c>
      <c r="K598" s="3" t="s">
        <v>63</v>
      </c>
      <c r="L598" s="2" t="s">
        <v>5848</v>
      </c>
      <c r="M598" s="2" t="s">
        <v>5849</v>
      </c>
      <c r="N598" s="3" t="s">
        <v>1688</v>
      </c>
      <c r="P598" s="3" t="s">
        <v>65</v>
      </c>
      <c r="Q598" s="2" t="s">
        <v>5850</v>
      </c>
      <c r="R598" s="3" t="s">
        <v>66</v>
      </c>
      <c r="S598" s="4">
        <v>0</v>
      </c>
      <c r="T598" s="4">
        <v>0</v>
      </c>
      <c r="W598" s="5" t="s">
        <v>67</v>
      </c>
      <c r="X598" s="5" t="s">
        <v>67</v>
      </c>
      <c r="Y598" s="4">
        <v>67</v>
      </c>
      <c r="Z598" s="4">
        <v>13</v>
      </c>
      <c r="AA598" s="4">
        <v>75</v>
      </c>
      <c r="AB598" s="4">
        <v>1</v>
      </c>
      <c r="AC598" s="4">
        <v>14</v>
      </c>
      <c r="AD598" s="4">
        <v>36</v>
      </c>
      <c r="AE598" s="4">
        <v>96</v>
      </c>
      <c r="AF598" s="4">
        <v>0</v>
      </c>
      <c r="AG598" s="4">
        <v>8</v>
      </c>
      <c r="AH598" s="4">
        <v>34</v>
      </c>
      <c r="AI598" s="4">
        <v>66</v>
      </c>
      <c r="AJ598" s="4">
        <v>10</v>
      </c>
      <c r="AK598" s="4">
        <v>21</v>
      </c>
      <c r="AL598" s="4">
        <v>24</v>
      </c>
      <c r="AM598" s="4">
        <v>36</v>
      </c>
      <c r="AN598" s="4">
        <v>0</v>
      </c>
      <c r="AO598" s="4">
        <v>0</v>
      </c>
      <c r="AP598" s="4">
        <v>10</v>
      </c>
      <c r="AQ598" s="4">
        <v>40</v>
      </c>
      <c r="AR598" s="3" t="s">
        <v>62</v>
      </c>
      <c r="AS598" s="3" t="s">
        <v>62</v>
      </c>
      <c r="AT598" s="3" t="s">
        <v>62</v>
      </c>
      <c r="AV598" s="6" t="str">
        <f>HYPERLINK("http://mcgill.on.worldcat.org/oclc/870980715","Catalog Record")</f>
        <v>Catalog Record</v>
      </c>
      <c r="AW598" s="6" t="str">
        <f>HYPERLINK("http://www.worldcat.org/oclc/870980715","WorldCat Record")</f>
        <v>WorldCat Record</v>
      </c>
      <c r="AX598" s="3" t="s">
        <v>5851</v>
      </c>
      <c r="AY598" s="3" t="s">
        <v>5852</v>
      </c>
      <c r="AZ598" s="3" t="s">
        <v>5853</v>
      </c>
      <c r="BA598" s="3" t="s">
        <v>5853</v>
      </c>
      <c r="BB598" s="3" t="s">
        <v>5854</v>
      </c>
      <c r="BC598" s="3" t="s">
        <v>142</v>
      </c>
      <c r="BD598" s="3" t="s">
        <v>68</v>
      </c>
      <c r="BE598" s="3" t="s">
        <v>5855</v>
      </c>
      <c r="BF598" s="3" t="s">
        <v>5854</v>
      </c>
      <c r="BG598" s="3" t="s">
        <v>5856</v>
      </c>
    </row>
    <row r="599" spans="1:59" ht="71.25" x14ac:dyDescent="0.45">
      <c r="A599" s="2" t="s">
        <v>59</v>
      </c>
      <c r="B599" s="2" t="s">
        <v>60</v>
      </c>
      <c r="C599" s="2" t="s">
        <v>5857</v>
      </c>
      <c r="D599" s="2" t="s">
        <v>5858</v>
      </c>
      <c r="E599" s="2" t="s">
        <v>5859</v>
      </c>
      <c r="G599" s="3" t="s">
        <v>62</v>
      </c>
      <c r="I599" s="3" t="s">
        <v>62</v>
      </c>
      <c r="J599" s="3" t="s">
        <v>62</v>
      </c>
      <c r="K599" s="3" t="s">
        <v>63</v>
      </c>
      <c r="L599" s="2" t="s">
        <v>5860</v>
      </c>
      <c r="M599" s="2" t="s">
        <v>5861</v>
      </c>
      <c r="N599" s="3" t="s">
        <v>116</v>
      </c>
      <c r="P599" s="3" t="s">
        <v>110</v>
      </c>
      <c r="Q599" s="2" t="s">
        <v>5862</v>
      </c>
      <c r="R599" s="3" t="s">
        <v>66</v>
      </c>
      <c r="S599" s="4">
        <v>0</v>
      </c>
      <c r="T599" s="4">
        <v>0</v>
      </c>
      <c r="W599" s="5" t="s">
        <v>67</v>
      </c>
      <c r="X599" s="5" t="s">
        <v>67</v>
      </c>
      <c r="Y599" s="4">
        <v>18</v>
      </c>
      <c r="Z599" s="4">
        <v>5</v>
      </c>
      <c r="AA599" s="4">
        <v>16</v>
      </c>
      <c r="AB599" s="4">
        <v>1</v>
      </c>
      <c r="AC599" s="4">
        <v>8</v>
      </c>
      <c r="AD599" s="4">
        <v>9</v>
      </c>
      <c r="AE599" s="4">
        <v>16</v>
      </c>
      <c r="AF599" s="4">
        <v>0</v>
      </c>
      <c r="AG599" s="4">
        <v>3</v>
      </c>
      <c r="AH599" s="4">
        <v>9</v>
      </c>
      <c r="AI599" s="4">
        <v>12</v>
      </c>
      <c r="AJ599" s="4">
        <v>3</v>
      </c>
      <c r="AK599" s="4">
        <v>10</v>
      </c>
      <c r="AL599" s="4">
        <v>5</v>
      </c>
      <c r="AM599" s="4">
        <v>5</v>
      </c>
      <c r="AN599" s="4">
        <v>0</v>
      </c>
      <c r="AO599" s="4">
        <v>0</v>
      </c>
      <c r="AP599" s="4">
        <v>3</v>
      </c>
      <c r="AQ599" s="4">
        <v>7</v>
      </c>
      <c r="AR599" s="3" t="s">
        <v>62</v>
      </c>
      <c r="AS599" s="3" t="s">
        <v>62</v>
      </c>
      <c r="AT599" s="3" t="s">
        <v>62</v>
      </c>
      <c r="AV599" s="6" t="str">
        <f>HYPERLINK("http://mcgill.on.worldcat.org/oclc/865470464","Catalog Record")</f>
        <v>Catalog Record</v>
      </c>
      <c r="AW599" s="6" t="str">
        <f>HYPERLINK("http://www.worldcat.org/oclc/865470464","WorldCat Record")</f>
        <v>WorldCat Record</v>
      </c>
      <c r="AX599" s="3" t="s">
        <v>5863</v>
      </c>
      <c r="AY599" s="3" t="s">
        <v>5864</v>
      </c>
      <c r="AZ599" s="3" t="s">
        <v>5865</v>
      </c>
      <c r="BA599" s="3" t="s">
        <v>5865</v>
      </c>
      <c r="BB599" s="3" t="s">
        <v>5866</v>
      </c>
      <c r="BC599" s="3" t="s">
        <v>104</v>
      </c>
      <c r="BD599" s="3" t="s">
        <v>68</v>
      </c>
      <c r="BE599" s="3" t="s">
        <v>5867</v>
      </c>
      <c r="BF599" s="3" t="s">
        <v>5866</v>
      </c>
      <c r="BG599" s="3" t="s">
        <v>5868</v>
      </c>
    </row>
    <row r="600" spans="1:59" ht="57" x14ac:dyDescent="0.45">
      <c r="A600" s="2" t="s">
        <v>59</v>
      </c>
      <c r="B600" s="2" t="s">
        <v>60</v>
      </c>
      <c r="C600" s="2" t="s">
        <v>5869</v>
      </c>
      <c r="D600" s="2" t="s">
        <v>5870</v>
      </c>
      <c r="E600" s="2" t="s">
        <v>3469</v>
      </c>
      <c r="G600" s="3" t="s">
        <v>62</v>
      </c>
      <c r="I600" s="3" t="s">
        <v>62</v>
      </c>
      <c r="J600" s="3" t="s">
        <v>61</v>
      </c>
      <c r="K600" s="3" t="s">
        <v>63</v>
      </c>
      <c r="L600" s="2" t="s">
        <v>3470</v>
      </c>
      <c r="M600" s="2" t="s">
        <v>1841</v>
      </c>
      <c r="N600" s="3" t="s">
        <v>820</v>
      </c>
      <c r="O600" s="2" t="s">
        <v>906</v>
      </c>
      <c r="P600" s="3" t="s">
        <v>65</v>
      </c>
      <c r="R600" s="3" t="s">
        <v>66</v>
      </c>
      <c r="S600" s="4">
        <v>22</v>
      </c>
      <c r="T600" s="4">
        <v>22</v>
      </c>
      <c r="U600" s="5" t="s">
        <v>5871</v>
      </c>
      <c r="V600" s="5" t="s">
        <v>5871</v>
      </c>
      <c r="W600" s="5" t="s">
        <v>67</v>
      </c>
      <c r="X600" s="5" t="s">
        <v>67</v>
      </c>
      <c r="Y600" s="4">
        <v>218</v>
      </c>
      <c r="Z600" s="4">
        <v>17</v>
      </c>
      <c r="AA600" s="4">
        <v>44</v>
      </c>
      <c r="AB600" s="4">
        <v>3</v>
      </c>
      <c r="AC600" s="4">
        <v>9</v>
      </c>
      <c r="AD600" s="4">
        <v>69</v>
      </c>
      <c r="AE600" s="4">
        <v>131</v>
      </c>
      <c r="AF600" s="4">
        <v>2</v>
      </c>
      <c r="AG600" s="4">
        <v>4</v>
      </c>
      <c r="AH600" s="4">
        <v>60</v>
      </c>
      <c r="AI600" s="4">
        <v>106</v>
      </c>
      <c r="AJ600" s="4">
        <v>11</v>
      </c>
      <c r="AK600" s="4">
        <v>22</v>
      </c>
      <c r="AL600" s="4">
        <v>33</v>
      </c>
      <c r="AM600" s="4">
        <v>57</v>
      </c>
      <c r="AN600" s="4">
        <v>0</v>
      </c>
      <c r="AO600" s="4">
        <v>0</v>
      </c>
      <c r="AP600" s="4">
        <v>14</v>
      </c>
      <c r="AQ600" s="4">
        <v>33</v>
      </c>
      <c r="AR600" s="3" t="s">
        <v>62</v>
      </c>
      <c r="AS600" s="3" t="s">
        <v>62</v>
      </c>
      <c r="AT600" s="3" t="s">
        <v>62</v>
      </c>
      <c r="AV600" s="6" t="str">
        <f>HYPERLINK("http://mcgill.on.worldcat.org/oclc/83609555","Catalog Record")</f>
        <v>Catalog Record</v>
      </c>
      <c r="AW600" s="6" t="str">
        <f>HYPERLINK("http://www.worldcat.org/oclc/83609555","WorldCat Record")</f>
        <v>WorldCat Record</v>
      </c>
      <c r="AX600" s="3" t="s">
        <v>3474</v>
      </c>
      <c r="AY600" s="3" t="s">
        <v>5872</v>
      </c>
      <c r="AZ600" s="3" t="s">
        <v>5873</v>
      </c>
      <c r="BA600" s="3" t="s">
        <v>5873</v>
      </c>
      <c r="BB600" s="3" t="s">
        <v>5874</v>
      </c>
      <c r="BC600" s="3" t="s">
        <v>142</v>
      </c>
      <c r="BD600" s="3" t="s">
        <v>68</v>
      </c>
      <c r="BE600" s="3" t="s">
        <v>5875</v>
      </c>
      <c r="BF600" s="3" t="s">
        <v>5874</v>
      </c>
      <c r="BG600" s="3" t="s">
        <v>5876</v>
      </c>
    </row>
    <row r="601" spans="1:59" ht="57" x14ac:dyDescent="0.45">
      <c r="A601" s="2" t="s">
        <v>59</v>
      </c>
      <c r="B601" s="2" t="s">
        <v>60</v>
      </c>
      <c r="C601" s="2" t="s">
        <v>5877</v>
      </c>
      <c r="D601" s="2" t="s">
        <v>5878</v>
      </c>
      <c r="E601" s="2" t="s">
        <v>3469</v>
      </c>
      <c r="G601" s="3" t="s">
        <v>62</v>
      </c>
      <c r="I601" s="3" t="s">
        <v>62</v>
      </c>
      <c r="J601" s="3" t="s">
        <v>61</v>
      </c>
      <c r="K601" s="3" t="s">
        <v>63</v>
      </c>
      <c r="L601" s="2" t="s">
        <v>3470</v>
      </c>
      <c r="M601" s="2" t="s">
        <v>5879</v>
      </c>
      <c r="N601" s="3" t="s">
        <v>1155</v>
      </c>
      <c r="O601" s="2" t="s">
        <v>420</v>
      </c>
      <c r="P601" s="3" t="s">
        <v>65</v>
      </c>
      <c r="R601" s="3" t="s">
        <v>66</v>
      </c>
      <c r="S601" s="4">
        <v>5</v>
      </c>
      <c r="T601" s="4">
        <v>5</v>
      </c>
      <c r="U601" s="5" t="s">
        <v>5880</v>
      </c>
      <c r="V601" s="5" t="s">
        <v>5880</v>
      </c>
      <c r="W601" s="5" t="s">
        <v>67</v>
      </c>
      <c r="X601" s="5" t="s">
        <v>67</v>
      </c>
      <c r="Y601" s="4">
        <v>214</v>
      </c>
      <c r="Z601" s="4">
        <v>23</v>
      </c>
      <c r="AA601" s="4">
        <v>44</v>
      </c>
      <c r="AB601" s="4">
        <v>1</v>
      </c>
      <c r="AC601" s="4">
        <v>9</v>
      </c>
      <c r="AD601" s="4">
        <v>69</v>
      </c>
      <c r="AE601" s="4">
        <v>131</v>
      </c>
      <c r="AF601" s="4">
        <v>0</v>
      </c>
      <c r="AG601" s="4">
        <v>4</v>
      </c>
      <c r="AH601" s="4">
        <v>60</v>
      </c>
      <c r="AI601" s="4">
        <v>106</v>
      </c>
      <c r="AJ601" s="4">
        <v>14</v>
      </c>
      <c r="AK601" s="4">
        <v>22</v>
      </c>
      <c r="AL601" s="4">
        <v>31</v>
      </c>
      <c r="AM601" s="4">
        <v>57</v>
      </c>
      <c r="AN601" s="4">
        <v>0</v>
      </c>
      <c r="AO601" s="4">
        <v>0</v>
      </c>
      <c r="AP601" s="4">
        <v>18</v>
      </c>
      <c r="AQ601" s="4">
        <v>33</v>
      </c>
      <c r="AR601" s="3" t="s">
        <v>62</v>
      </c>
      <c r="AS601" s="3" t="s">
        <v>62</v>
      </c>
      <c r="AT601" s="3" t="s">
        <v>62</v>
      </c>
      <c r="AV601" s="6" t="str">
        <f>HYPERLINK("http://mcgill.on.worldcat.org/oclc/690585421","Catalog Record")</f>
        <v>Catalog Record</v>
      </c>
      <c r="AW601" s="6" t="str">
        <f>HYPERLINK("http://www.worldcat.org/oclc/690585421","WorldCat Record")</f>
        <v>WorldCat Record</v>
      </c>
      <c r="AX601" s="3" t="s">
        <v>3474</v>
      </c>
      <c r="AY601" s="3" t="s">
        <v>5881</v>
      </c>
      <c r="AZ601" s="3" t="s">
        <v>5882</v>
      </c>
      <c r="BA601" s="3" t="s">
        <v>5882</v>
      </c>
      <c r="BB601" s="3" t="s">
        <v>5883</v>
      </c>
      <c r="BC601" s="3" t="s">
        <v>142</v>
      </c>
      <c r="BD601" s="3" t="s">
        <v>68</v>
      </c>
      <c r="BE601" s="3" t="s">
        <v>5884</v>
      </c>
      <c r="BF601" s="3" t="s">
        <v>5883</v>
      </c>
      <c r="BG601" s="3" t="s">
        <v>5885</v>
      </c>
    </row>
    <row r="602" spans="1:59" ht="71.25" x14ac:dyDescent="0.45">
      <c r="A602" s="2" t="s">
        <v>59</v>
      </c>
      <c r="B602" s="2" t="s">
        <v>60</v>
      </c>
      <c r="C602" s="2" t="s">
        <v>5886</v>
      </c>
      <c r="D602" s="2" t="s">
        <v>5887</v>
      </c>
      <c r="E602" s="2" t="s">
        <v>5888</v>
      </c>
      <c r="G602" s="3" t="s">
        <v>62</v>
      </c>
      <c r="I602" s="3" t="s">
        <v>62</v>
      </c>
      <c r="J602" s="3" t="s">
        <v>62</v>
      </c>
      <c r="K602" s="3" t="s">
        <v>63</v>
      </c>
      <c r="L602" s="2" t="s">
        <v>5889</v>
      </c>
      <c r="M602" s="2" t="s">
        <v>5890</v>
      </c>
      <c r="N602" s="3" t="s">
        <v>1212</v>
      </c>
      <c r="P602" s="3" t="s">
        <v>65</v>
      </c>
      <c r="Q602" s="2" t="s">
        <v>5891</v>
      </c>
      <c r="R602" s="3" t="s">
        <v>66</v>
      </c>
      <c r="S602" s="4">
        <v>33</v>
      </c>
      <c r="T602" s="4">
        <v>33</v>
      </c>
      <c r="U602" s="5" t="s">
        <v>5570</v>
      </c>
      <c r="V602" s="5" t="s">
        <v>5570</v>
      </c>
      <c r="W602" s="5" t="s">
        <v>67</v>
      </c>
      <c r="X602" s="5" t="s">
        <v>67</v>
      </c>
      <c r="Y602" s="4">
        <v>244</v>
      </c>
      <c r="Z602" s="4">
        <v>19</v>
      </c>
      <c r="AA602" s="4">
        <v>105</v>
      </c>
      <c r="AB602" s="4">
        <v>2</v>
      </c>
      <c r="AC602" s="4">
        <v>18</v>
      </c>
      <c r="AD602" s="4">
        <v>85</v>
      </c>
      <c r="AE602" s="4">
        <v>135</v>
      </c>
      <c r="AF602" s="4">
        <v>0</v>
      </c>
      <c r="AG602" s="4">
        <v>8</v>
      </c>
      <c r="AH602" s="4">
        <v>73</v>
      </c>
      <c r="AI602" s="4">
        <v>96</v>
      </c>
      <c r="AJ602" s="4">
        <v>13</v>
      </c>
      <c r="AK602" s="4">
        <v>24</v>
      </c>
      <c r="AL602" s="4">
        <v>47</v>
      </c>
      <c r="AM602" s="4">
        <v>51</v>
      </c>
      <c r="AN602" s="4">
        <v>0</v>
      </c>
      <c r="AO602" s="4">
        <v>0</v>
      </c>
      <c r="AP602" s="4">
        <v>15</v>
      </c>
      <c r="AQ602" s="4">
        <v>46</v>
      </c>
      <c r="AR602" s="3" t="s">
        <v>62</v>
      </c>
      <c r="AS602" s="3" t="s">
        <v>62</v>
      </c>
      <c r="AT602" s="3" t="s">
        <v>62</v>
      </c>
      <c r="AV602" s="6" t="str">
        <f>HYPERLINK("http://mcgill.on.worldcat.org/oclc/44067066","Catalog Record")</f>
        <v>Catalog Record</v>
      </c>
      <c r="AW602" s="6" t="str">
        <f>HYPERLINK("http://www.worldcat.org/oclc/44067066","WorldCat Record")</f>
        <v>WorldCat Record</v>
      </c>
      <c r="AX602" s="3" t="s">
        <v>5892</v>
      </c>
      <c r="AY602" s="3" t="s">
        <v>5893</v>
      </c>
      <c r="AZ602" s="3" t="s">
        <v>5894</v>
      </c>
      <c r="BA602" s="3" t="s">
        <v>5894</v>
      </c>
      <c r="BB602" s="3" t="s">
        <v>5895</v>
      </c>
      <c r="BC602" s="3" t="s">
        <v>142</v>
      </c>
      <c r="BD602" s="3" t="s">
        <v>68</v>
      </c>
      <c r="BE602" s="3" t="s">
        <v>5896</v>
      </c>
      <c r="BF602" s="3" t="s">
        <v>5895</v>
      </c>
      <c r="BG602" s="3" t="s">
        <v>5897</v>
      </c>
    </row>
    <row r="603" spans="1:59" ht="57" x14ac:dyDescent="0.45">
      <c r="A603" s="2" t="s">
        <v>59</v>
      </c>
      <c r="B603" s="2" t="s">
        <v>60</v>
      </c>
      <c r="C603" s="2" t="s">
        <v>5898</v>
      </c>
      <c r="D603" s="2" t="s">
        <v>5899</v>
      </c>
      <c r="E603" s="2" t="s">
        <v>5900</v>
      </c>
      <c r="G603" s="3" t="s">
        <v>62</v>
      </c>
      <c r="I603" s="3" t="s">
        <v>62</v>
      </c>
      <c r="J603" s="3" t="s">
        <v>62</v>
      </c>
      <c r="K603" s="3" t="s">
        <v>63</v>
      </c>
      <c r="L603" s="2" t="s">
        <v>5901</v>
      </c>
      <c r="M603" s="2" t="s">
        <v>5902</v>
      </c>
      <c r="N603" s="3" t="s">
        <v>1688</v>
      </c>
      <c r="P603" s="3" t="s">
        <v>65</v>
      </c>
      <c r="R603" s="3" t="s">
        <v>66</v>
      </c>
      <c r="S603" s="4">
        <v>7</v>
      </c>
      <c r="T603" s="4">
        <v>7</v>
      </c>
      <c r="U603" s="5" t="s">
        <v>5682</v>
      </c>
      <c r="V603" s="5" t="s">
        <v>5682</v>
      </c>
      <c r="W603" s="5" t="s">
        <v>67</v>
      </c>
      <c r="X603" s="5" t="s">
        <v>67</v>
      </c>
      <c r="Y603" s="4">
        <v>78</v>
      </c>
      <c r="Z603" s="4">
        <v>12</v>
      </c>
      <c r="AA603" s="4">
        <v>14</v>
      </c>
      <c r="AB603" s="4">
        <v>1</v>
      </c>
      <c r="AC603" s="4">
        <v>3</v>
      </c>
      <c r="AD603" s="4">
        <v>34</v>
      </c>
      <c r="AE603" s="4">
        <v>36</v>
      </c>
      <c r="AF603" s="4">
        <v>0</v>
      </c>
      <c r="AG603" s="4">
        <v>0</v>
      </c>
      <c r="AH603" s="4">
        <v>29</v>
      </c>
      <c r="AI603" s="4">
        <v>31</v>
      </c>
      <c r="AJ603" s="4">
        <v>9</v>
      </c>
      <c r="AK603" s="4">
        <v>9</v>
      </c>
      <c r="AL603" s="4">
        <v>19</v>
      </c>
      <c r="AM603" s="4">
        <v>20</v>
      </c>
      <c r="AN603" s="4">
        <v>0</v>
      </c>
      <c r="AO603" s="4">
        <v>0</v>
      </c>
      <c r="AP603" s="4">
        <v>9</v>
      </c>
      <c r="AQ603" s="4">
        <v>9</v>
      </c>
      <c r="AR603" s="3" t="s">
        <v>62</v>
      </c>
      <c r="AS603" s="3" t="s">
        <v>62</v>
      </c>
      <c r="AT603" s="3" t="s">
        <v>62</v>
      </c>
      <c r="AV603" s="6" t="str">
        <f>HYPERLINK("http://mcgill.on.worldcat.org/oclc/886879258","Catalog Record")</f>
        <v>Catalog Record</v>
      </c>
      <c r="AW603" s="6" t="str">
        <f>HYPERLINK("http://www.worldcat.org/oclc/886879258","WorldCat Record")</f>
        <v>WorldCat Record</v>
      </c>
      <c r="AX603" s="3" t="s">
        <v>5903</v>
      </c>
      <c r="AY603" s="3" t="s">
        <v>5904</v>
      </c>
      <c r="AZ603" s="3" t="s">
        <v>5905</v>
      </c>
      <c r="BA603" s="3" t="s">
        <v>5905</v>
      </c>
      <c r="BB603" s="3" t="s">
        <v>5906</v>
      </c>
      <c r="BC603" s="3" t="s">
        <v>142</v>
      </c>
      <c r="BD603" s="3" t="s">
        <v>68</v>
      </c>
      <c r="BE603" s="3" t="s">
        <v>5907</v>
      </c>
      <c r="BF603" s="3" t="s">
        <v>5906</v>
      </c>
      <c r="BG603" s="3" t="s">
        <v>5908</v>
      </c>
    </row>
    <row r="604" spans="1:59" ht="57" x14ac:dyDescent="0.45">
      <c r="A604" s="2" t="s">
        <v>59</v>
      </c>
      <c r="B604" s="2" t="s">
        <v>60</v>
      </c>
      <c r="C604" s="2" t="s">
        <v>5909</v>
      </c>
      <c r="D604" s="2" t="s">
        <v>5910</v>
      </c>
      <c r="E604" s="2" t="s">
        <v>5911</v>
      </c>
      <c r="G604" s="3" t="s">
        <v>62</v>
      </c>
      <c r="I604" s="3" t="s">
        <v>62</v>
      </c>
      <c r="J604" s="3" t="s">
        <v>62</v>
      </c>
      <c r="K604" s="3" t="s">
        <v>63</v>
      </c>
      <c r="M604" s="2" t="s">
        <v>5912</v>
      </c>
      <c r="N604" s="3" t="s">
        <v>181</v>
      </c>
      <c r="P604" s="3" t="s">
        <v>65</v>
      </c>
      <c r="Q604" s="2" t="s">
        <v>5913</v>
      </c>
      <c r="R604" s="3" t="s">
        <v>66</v>
      </c>
      <c r="S604" s="4">
        <v>0</v>
      </c>
      <c r="T604" s="4">
        <v>0</v>
      </c>
      <c r="W604" s="5" t="s">
        <v>67</v>
      </c>
      <c r="X604" s="5" t="s">
        <v>67</v>
      </c>
      <c r="Y604" s="4">
        <v>32</v>
      </c>
      <c r="Z604" s="4">
        <v>5</v>
      </c>
      <c r="AA604" s="4">
        <v>10</v>
      </c>
      <c r="AB604" s="4">
        <v>1</v>
      </c>
      <c r="AC604" s="4">
        <v>6</v>
      </c>
      <c r="AD604" s="4">
        <v>17</v>
      </c>
      <c r="AE604" s="4">
        <v>20</v>
      </c>
      <c r="AF604" s="4">
        <v>0</v>
      </c>
      <c r="AG604" s="4">
        <v>3</v>
      </c>
      <c r="AH604" s="4">
        <v>15</v>
      </c>
      <c r="AI604" s="4">
        <v>16</v>
      </c>
      <c r="AJ604" s="4">
        <v>4</v>
      </c>
      <c r="AK604" s="4">
        <v>7</v>
      </c>
      <c r="AL604" s="4">
        <v>10</v>
      </c>
      <c r="AM604" s="4">
        <v>10</v>
      </c>
      <c r="AN604" s="4">
        <v>0</v>
      </c>
      <c r="AO604" s="4">
        <v>0</v>
      </c>
      <c r="AP604" s="4">
        <v>4</v>
      </c>
      <c r="AQ604" s="4">
        <v>6</v>
      </c>
      <c r="AR604" s="3" t="s">
        <v>62</v>
      </c>
      <c r="AS604" s="3" t="s">
        <v>62</v>
      </c>
      <c r="AT604" s="3" t="s">
        <v>62</v>
      </c>
      <c r="AV604" s="6" t="str">
        <f>HYPERLINK("http://mcgill.on.worldcat.org/oclc/957264796","Catalog Record")</f>
        <v>Catalog Record</v>
      </c>
      <c r="AW604" s="6" t="str">
        <f>HYPERLINK("http://www.worldcat.org/oclc/957264796","WorldCat Record")</f>
        <v>WorldCat Record</v>
      </c>
      <c r="AX604" s="3" t="s">
        <v>5914</v>
      </c>
      <c r="AY604" s="3" t="s">
        <v>5915</v>
      </c>
      <c r="AZ604" s="3" t="s">
        <v>5916</v>
      </c>
      <c r="BA604" s="3" t="s">
        <v>5916</v>
      </c>
      <c r="BB604" s="3" t="s">
        <v>5917</v>
      </c>
      <c r="BC604" s="3" t="s">
        <v>142</v>
      </c>
      <c r="BD604" s="3" t="s">
        <v>68</v>
      </c>
      <c r="BE604" s="3" t="s">
        <v>5918</v>
      </c>
      <c r="BF604" s="3" t="s">
        <v>5917</v>
      </c>
      <c r="BG604" s="3" t="s">
        <v>5919</v>
      </c>
    </row>
    <row r="605" spans="1:59" ht="57" x14ac:dyDescent="0.45">
      <c r="A605" s="2" t="s">
        <v>59</v>
      </c>
      <c r="B605" s="2" t="s">
        <v>60</v>
      </c>
      <c r="C605" s="2" t="s">
        <v>5920</v>
      </c>
      <c r="D605" s="2" t="s">
        <v>5921</v>
      </c>
      <c r="E605" s="2" t="s">
        <v>5922</v>
      </c>
      <c r="G605" s="3" t="s">
        <v>62</v>
      </c>
      <c r="I605" s="3" t="s">
        <v>62</v>
      </c>
      <c r="J605" s="3" t="s">
        <v>62</v>
      </c>
      <c r="K605" s="3" t="s">
        <v>63</v>
      </c>
      <c r="M605" s="2" t="s">
        <v>5923</v>
      </c>
      <c r="N605" s="3" t="s">
        <v>918</v>
      </c>
      <c r="P605" s="3" t="s">
        <v>65</v>
      </c>
      <c r="Q605" s="2" t="s">
        <v>5924</v>
      </c>
      <c r="R605" s="3" t="s">
        <v>66</v>
      </c>
      <c r="S605" s="4">
        <v>28</v>
      </c>
      <c r="T605" s="4">
        <v>28</v>
      </c>
      <c r="U605" s="5" t="s">
        <v>5925</v>
      </c>
      <c r="V605" s="5" t="s">
        <v>5925</v>
      </c>
      <c r="W605" s="5" t="s">
        <v>67</v>
      </c>
      <c r="X605" s="5" t="s">
        <v>67</v>
      </c>
      <c r="Y605" s="4">
        <v>229</v>
      </c>
      <c r="Z605" s="4">
        <v>24</v>
      </c>
      <c r="AA605" s="4">
        <v>110</v>
      </c>
      <c r="AB605" s="4">
        <v>2</v>
      </c>
      <c r="AC605" s="4">
        <v>17</v>
      </c>
      <c r="AD605" s="4">
        <v>81</v>
      </c>
      <c r="AE605" s="4">
        <v>136</v>
      </c>
      <c r="AF605" s="4">
        <v>1</v>
      </c>
      <c r="AG605" s="4">
        <v>8</v>
      </c>
      <c r="AH605" s="4">
        <v>66</v>
      </c>
      <c r="AI605" s="4">
        <v>94</v>
      </c>
      <c r="AJ605" s="4">
        <v>15</v>
      </c>
      <c r="AK605" s="4">
        <v>25</v>
      </c>
      <c r="AL605" s="4">
        <v>39</v>
      </c>
      <c r="AM605" s="4">
        <v>49</v>
      </c>
      <c r="AN605" s="4">
        <v>0</v>
      </c>
      <c r="AO605" s="4">
        <v>0</v>
      </c>
      <c r="AP605" s="4">
        <v>20</v>
      </c>
      <c r="AQ605" s="4">
        <v>48</v>
      </c>
      <c r="AR605" s="3" t="s">
        <v>62</v>
      </c>
      <c r="AS605" s="3" t="s">
        <v>62</v>
      </c>
      <c r="AT605" s="3" t="s">
        <v>61</v>
      </c>
      <c r="AU605" s="6" t="str">
        <f>HYPERLINK("http://catalog.hathitrust.org/Record/004310684","HathiTrust Record")</f>
        <v>HathiTrust Record</v>
      </c>
      <c r="AV605" s="6" t="str">
        <f>HYPERLINK("http://mcgill.on.worldcat.org/oclc/50676388","Catalog Record")</f>
        <v>Catalog Record</v>
      </c>
      <c r="AW605" s="6" t="str">
        <f>HYPERLINK("http://www.worldcat.org/oclc/50676388","WorldCat Record")</f>
        <v>WorldCat Record</v>
      </c>
      <c r="AX605" s="3" t="s">
        <v>5926</v>
      </c>
      <c r="AY605" s="3" t="s">
        <v>5927</v>
      </c>
      <c r="AZ605" s="3" t="s">
        <v>5928</v>
      </c>
      <c r="BA605" s="3" t="s">
        <v>5928</v>
      </c>
      <c r="BB605" s="3" t="s">
        <v>5929</v>
      </c>
      <c r="BC605" s="3" t="s">
        <v>142</v>
      </c>
      <c r="BD605" s="3" t="s">
        <v>68</v>
      </c>
      <c r="BE605" s="3" t="s">
        <v>5930</v>
      </c>
      <c r="BF605" s="3" t="s">
        <v>5929</v>
      </c>
      <c r="BG605" s="3" t="s">
        <v>5931</v>
      </c>
    </row>
    <row r="606" spans="1:59" ht="57" x14ac:dyDescent="0.45">
      <c r="A606" s="2" t="s">
        <v>59</v>
      </c>
      <c r="B606" s="2" t="s">
        <v>60</v>
      </c>
      <c r="C606" s="2" t="s">
        <v>5932</v>
      </c>
      <c r="D606" s="2" t="s">
        <v>5933</v>
      </c>
      <c r="E606" s="2" t="s">
        <v>5934</v>
      </c>
      <c r="G606" s="3" t="s">
        <v>62</v>
      </c>
      <c r="I606" s="3" t="s">
        <v>62</v>
      </c>
      <c r="J606" s="3" t="s">
        <v>62</v>
      </c>
      <c r="K606" s="3" t="s">
        <v>63</v>
      </c>
      <c r="L606" s="2" t="s">
        <v>5935</v>
      </c>
      <c r="M606" s="2" t="s">
        <v>5936</v>
      </c>
      <c r="N606" s="3" t="s">
        <v>208</v>
      </c>
      <c r="P606" s="3" t="s">
        <v>114</v>
      </c>
      <c r="Q606" s="2" t="s">
        <v>5937</v>
      </c>
      <c r="R606" s="3" t="s">
        <v>66</v>
      </c>
      <c r="S606" s="4">
        <v>0</v>
      </c>
      <c r="T606" s="4">
        <v>0</v>
      </c>
      <c r="W606" s="5" t="s">
        <v>67</v>
      </c>
      <c r="X606" s="5" t="s">
        <v>67</v>
      </c>
      <c r="Y606" s="4">
        <v>8</v>
      </c>
      <c r="Z606" s="4">
        <v>1</v>
      </c>
      <c r="AA606" s="4">
        <v>1</v>
      </c>
      <c r="AB606" s="4">
        <v>1</v>
      </c>
      <c r="AC606" s="4">
        <v>1</v>
      </c>
      <c r="AD606" s="4">
        <v>3</v>
      </c>
      <c r="AE606" s="4">
        <v>3</v>
      </c>
      <c r="AF606" s="4">
        <v>0</v>
      </c>
      <c r="AG606" s="4">
        <v>0</v>
      </c>
      <c r="AH606" s="4">
        <v>3</v>
      </c>
      <c r="AI606" s="4">
        <v>3</v>
      </c>
      <c r="AJ606" s="4">
        <v>0</v>
      </c>
      <c r="AK606" s="4">
        <v>0</v>
      </c>
      <c r="AL606" s="4">
        <v>3</v>
      </c>
      <c r="AM606" s="4">
        <v>3</v>
      </c>
      <c r="AN606" s="4">
        <v>0</v>
      </c>
      <c r="AO606" s="4">
        <v>0</v>
      </c>
      <c r="AP606" s="4">
        <v>0</v>
      </c>
      <c r="AQ606" s="4">
        <v>0</v>
      </c>
      <c r="AR606" s="3" t="s">
        <v>62</v>
      </c>
      <c r="AS606" s="3" t="s">
        <v>62</v>
      </c>
      <c r="AT606" s="3" t="s">
        <v>62</v>
      </c>
      <c r="AV606" s="6" t="str">
        <f>HYPERLINK("http://mcgill.on.worldcat.org/oclc/917491388","Catalog Record")</f>
        <v>Catalog Record</v>
      </c>
      <c r="AW606" s="6" t="str">
        <f>HYPERLINK("http://www.worldcat.org/oclc/917491388","WorldCat Record")</f>
        <v>WorldCat Record</v>
      </c>
      <c r="AX606" s="3" t="s">
        <v>5938</v>
      </c>
      <c r="AY606" s="3" t="s">
        <v>5939</v>
      </c>
      <c r="AZ606" s="3" t="s">
        <v>5940</v>
      </c>
      <c r="BA606" s="3" t="s">
        <v>5940</v>
      </c>
      <c r="BB606" s="3" t="s">
        <v>5941</v>
      </c>
      <c r="BC606" s="3" t="s">
        <v>142</v>
      </c>
      <c r="BD606" s="3" t="s">
        <v>68</v>
      </c>
      <c r="BE606" s="3" t="s">
        <v>5942</v>
      </c>
      <c r="BF606" s="3" t="s">
        <v>5941</v>
      </c>
      <c r="BG606" s="3" t="s">
        <v>5943</v>
      </c>
    </row>
    <row r="607" spans="1:59" ht="57" x14ac:dyDescent="0.45">
      <c r="A607" s="2" t="s">
        <v>59</v>
      </c>
      <c r="B607" s="2" t="s">
        <v>60</v>
      </c>
      <c r="C607" s="2" t="s">
        <v>5944</v>
      </c>
      <c r="D607" s="2" t="s">
        <v>5945</v>
      </c>
      <c r="E607" s="2" t="s">
        <v>5946</v>
      </c>
      <c r="G607" s="3" t="s">
        <v>62</v>
      </c>
      <c r="I607" s="3" t="s">
        <v>62</v>
      </c>
      <c r="J607" s="3" t="s">
        <v>62</v>
      </c>
      <c r="K607" s="3" t="s">
        <v>63</v>
      </c>
      <c r="L607" s="2" t="s">
        <v>3374</v>
      </c>
      <c r="M607" s="2" t="s">
        <v>5947</v>
      </c>
      <c r="N607" s="3" t="s">
        <v>480</v>
      </c>
      <c r="P607" s="3" t="s">
        <v>65</v>
      </c>
      <c r="Q607" s="2" t="s">
        <v>5948</v>
      </c>
      <c r="R607" s="3" t="s">
        <v>66</v>
      </c>
      <c r="S607" s="4">
        <v>10</v>
      </c>
      <c r="T607" s="4">
        <v>10</v>
      </c>
      <c r="U607" s="5" t="s">
        <v>5949</v>
      </c>
      <c r="V607" s="5" t="s">
        <v>5949</v>
      </c>
      <c r="W607" s="5" t="s">
        <v>67</v>
      </c>
      <c r="X607" s="5" t="s">
        <v>67</v>
      </c>
      <c r="Y607" s="4">
        <v>217</v>
      </c>
      <c r="Z607" s="4">
        <v>19</v>
      </c>
      <c r="AA607" s="4">
        <v>38</v>
      </c>
      <c r="AB607" s="4">
        <v>1</v>
      </c>
      <c r="AC607" s="4">
        <v>5</v>
      </c>
      <c r="AD607" s="4">
        <v>37</v>
      </c>
      <c r="AE607" s="4">
        <v>109</v>
      </c>
      <c r="AF607" s="4">
        <v>0</v>
      </c>
      <c r="AG607" s="4">
        <v>4</v>
      </c>
      <c r="AH607" s="4">
        <v>30</v>
      </c>
      <c r="AI607" s="4">
        <v>92</v>
      </c>
      <c r="AJ607" s="4">
        <v>10</v>
      </c>
      <c r="AK607" s="4">
        <v>23</v>
      </c>
      <c r="AL607" s="4">
        <v>13</v>
      </c>
      <c r="AM607" s="4">
        <v>45</v>
      </c>
      <c r="AN607" s="4">
        <v>0</v>
      </c>
      <c r="AO607" s="4">
        <v>0</v>
      </c>
      <c r="AP607" s="4">
        <v>12</v>
      </c>
      <c r="AQ607" s="4">
        <v>26</v>
      </c>
      <c r="AR607" s="3" t="s">
        <v>62</v>
      </c>
      <c r="AS607" s="3" t="s">
        <v>62</v>
      </c>
      <c r="AT607" s="3" t="s">
        <v>61</v>
      </c>
      <c r="AU607" s="6" t="str">
        <f>HYPERLINK("http://catalog.hathitrust.org/Record/000096836","HathiTrust Record")</f>
        <v>HathiTrust Record</v>
      </c>
      <c r="AV607" s="6" t="str">
        <f>HYPERLINK("http://mcgill.on.worldcat.org/oclc/6244304","Catalog Record")</f>
        <v>Catalog Record</v>
      </c>
      <c r="AW607" s="6" t="str">
        <f>HYPERLINK("http://www.worldcat.org/oclc/6244304","WorldCat Record")</f>
        <v>WorldCat Record</v>
      </c>
      <c r="AX607" s="3" t="s">
        <v>5950</v>
      </c>
      <c r="AY607" s="3" t="s">
        <v>5951</v>
      </c>
      <c r="AZ607" s="3" t="s">
        <v>5952</v>
      </c>
      <c r="BA607" s="3" t="s">
        <v>5952</v>
      </c>
      <c r="BB607" s="3" t="s">
        <v>5953</v>
      </c>
      <c r="BC607" s="3" t="s">
        <v>142</v>
      </c>
      <c r="BD607" s="3" t="s">
        <v>68</v>
      </c>
      <c r="BE607" s="3" t="s">
        <v>5954</v>
      </c>
      <c r="BF607" s="3" t="s">
        <v>5953</v>
      </c>
      <c r="BG607" s="3" t="s">
        <v>5955</v>
      </c>
    </row>
    <row r="608" spans="1:59" ht="57" x14ac:dyDescent="0.45">
      <c r="A608" s="2" t="s">
        <v>59</v>
      </c>
      <c r="B608" s="2" t="s">
        <v>60</v>
      </c>
      <c r="C608" s="2" t="s">
        <v>5956</v>
      </c>
      <c r="D608" s="2" t="s">
        <v>5957</v>
      </c>
      <c r="E608" s="2" t="s">
        <v>5958</v>
      </c>
      <c r="G608" s="3" t="s">
        <v>62</v>
      </c>
      <c r="I608" s="3" t="s">
        <v>62</v>
      </c>
      <c r="J608" s="3" t="s">
        <v>62</v>
      </c>
      <c r="K608" s="3" t="s">
        <v>63</v>
      </c>
      <c r="M608" s="2" t="s">
        <v>5959</v>
      </c>
      <c r="N608" s="3" t="s">
        <v>116</v>
      </c>
      <c r="P608" s="3" t="s">
        <v>65</v>
      </c>
      <c r="Q608" s="2" t="s">
        <v>5960</v>
      </c>
      <c r="R608" s="3" t="s">
        <v>66</v>
      </c>
      <c r="S608" s="4">
        <v>0</v>
      </c>
      <c r="T608" s="4">
        <v>0</v>
      </c>
      <c r="W608" s="5" t="s">
        <v>67</v>
      </c>
      <c r="X608" s="5" t="s">
        <v>67</v>
      </c>
      <c r="Y608" s="4">
        <v>115</v>
      </c>
      <c r="Z608" s="4">
        <v>10</v>
      </c>
      <c r="AA608" s="4">
        <v>12</v>
      </c>
      <c r="AB608" s="4">
        <v>1</v>
      </c>
      <c r="AC608" s="4">
        <v>3</v>
      </c>
      <c r="AD608" s="4">
        <v>43</v>
      </c>
      <c r="AE608" s="4">
        <v>44</v>
      </c>
      <c r="AF608" s="4">
        <v>0</v>
      </c>
      <c r="AG608" s="4">
        <v>1</v>
      </c>
      <c r="AH608" s="4">
        <v>40</v>
      </c>
      <c r="AI608" s="4">
        <v>40</v>
      </c>
      <c r="AJ608" s="4">
        <v>7</v>
      </c>
      <c r="AK608" s="4">
        <v>8</v>
      </c>
      <c r="AL608" s="4">
        <v>25</v>
      </c>
      <c r="AM608" s="4">
        <v>25</v>
      </c>
      <c r="AN608" s="4">
        <v>0</v>
      </c>
      <c r="AO608" s="4">
        <v>0</v>
      </c>
      <c r="AP608" s="4">
        <v>8</v>
      </c>
      <c r="AQ608" s="4">
        <v>8</v>
      </c>
      <c r="AR608" s="3" t="s">
        <v>62</v>
      </c>
      <c r="AS608" s="3" t="s">
        <v>62</v>
      </c>
      <c r="AT608" s="3" t="s">
        <v>62</v>
      </c>
      <c r="AV608" s="6" t="str">
        <f>HYPERLINK("http://mcgill.on.worldcat.org/oclc/814982186","Catalog Record")</f>
        <v>Catalog Record</v>
      </c>
      <c r="AW608" s="6" t="str">
        <f>HYPERLINK("http://www.worldcat.org/oclc/814982186","WorldCat Record")</f>
        <v>WorldCat Record</v>
      </c>
      <c r="AX608" s="3" t="s">
        <v>5961</v>
      </c>
      <c r="AY608" s="3" t="s">
        <v>5962</v>
      </c>
      <c r="AZ608" s="3" t="s">
        <v>5963</v>
      </c>
      <c r="BA608" s="3" t="s">
        <v>5963</v>
      </c>
      <c r="BB608" s="3" t="s">
        <v>5964</v>
      </c>
      <c r="BC608" s="3" t="s">
        <v>142</v>
      </c>
      <c r="BD608" s="3" t="s">
        <v>68</v>
      </c>
      <c r="BE608" s="3" t="s">
        <v>5965</v>
      </c>
      <c r="BF608" s="3" t="s">
        <v>5964</v>
      </c>
      <c r="BG608" s="3" t="s">
        <v>5966</v>
      </c>
    </row>
    <row r="609" spans="1:59" ht="57" x14ac:dyDescent="0.45">
      <c r="A609" s="2" t="s">
        <v>59</v>
      </c>
      <c r="B609" s="2" t="s">
        <v>60</v>
      </c>
      <c r="C609" s="2" t="s">
        <v>5967</v>
      </c>
      <c r="D609" s="2" t="s">
        <v>5968</v>
      </c>
      <c r="E609" s="2" t="s">
        <v>5969</v>
      </c>
      <c r="G609" s="3" t="s">
        <v>62</v>
      </c>
      <c r="I609" s="3" t="s">
        <v>62</v>
      </c>
      <c r="J609" s="3" t="s">
        <v>62</v>
      </c>
      <c r="K609" s="3" t="s">
        <v>63</v>
      </c>
      <c r="L609" s="2" t="s">
        <v>5970</v>
      </c>
      <c r="M609" s="2" t="s">
        <v>5971</v>
      </c>
      <c r="N609" s="3" t="s">
        <v>625</v>
      </c>
      <c r="P609" s="3" t="s">
        <v>65</v>
      </c>
      <c r="R609" s="3" t="s">
        <v>66</v>
      </c>
      <c r="S609" s="4">
        <v>9</v>
      </c>
      <c r="T609" s="4">
        <v>9</v>
      </c>
      <c r="U609" s="5" t="s">
        <v>5972</v>
      </c>
      <c r="V609" s="5" t="s">
        <v>5972</v>
      </c>
      <c r="W609" s="5" t="s">
        <v>67</v>
      </c>
      <c r="X609" s="5" t="s">
        <v>67</v>
      </c>
      <c r="Y609" s="4">
        <v>303</v>
      </c>
      <c r="Z609" s="4">
        <v>16</v>
      </c>
      <c r="AA609" s="4">
        <v>18</v>
      </c>
      <c r="AB609" s="4">
        <v>2</v>
      </c>
      <c r="AC609" s="4">
        <v>3</v>
      </c>
      <c r="AD609" s="4">
        <v>103</v>
      </c>
      <c r="AE609" s="4">
        <v>105</v>
      </c>
      <c r="AF609" s="4">
        <v>0</v>
      </c>
      <c r="AG609" s="4">
        <v>1</v>
      </c>
      <c r="AH609" s="4">
        <v>93</v>
      </c>
      <c r="AI609" s="4">
        <v>94</v>
      </c>
      <c r="AJ609" s="4">
        <v>10</v>
      </c>
      <c r="AK609" s="4">
        <v>12</v>
      </c>
      <c r="AL609" s="4">
        <v>55</v>
      </c>
      <c r="AM609" s="4">
        <v>55</v>
      </c>
      <c r="AN609" s="4">
        <v>0</v>
      </c>
      <c r="AO609" s="4">
        <v>0</v>
      </c>
      <c r="AP609" s="4">
        <v>13</v>
      </c>
      <c r="AQ609" s="4">
        <v>15</v>
      </c>
      <c r="AR609" s="3" t="s">
        <v>62</v>
      </c>
      <c r="AS609" s="3" t="s">
        <v>62</v>
      </c>
      <c r="AT609" s="3" t="s">
        <v>61</v>
      </c>
      <c r="AU609" s="6" t="str">
        <f>HYPERLINK("http://catalog.hathitrust.org/Record/000493619","HathiTrust Record")</f>
        <v>HathiTrust Record</v>
      </c>
      <c r="AV609" s="6" t="str">
        <f>HYPERLINK("http://mcgill.on.worldcat.org/oclc/13560867","Catalog Record")</f>
        <v>Catalog Record</v>
      </c>
      <c r="AW609" s="6" t="str">
        <f>HYPERLINK("http://www.worldcat.org/oclc/13560867","WorldCat Record")</f>
        <v>WorldCat Record</v>
      </c>
      <c r="AX609" s="3" t="s">
        <v>5973</v>
      </c>
      <c r="AY609" s="3" t="s">
        <v>5974</v>
      </c>
      <c r="AZ609" s="3" t="s">
        <v>5975</v>
      </c>
      <c r="BA609" s="3" t="s">
        <v>5975</v>
      </c>
      <c r="BB609" s="3" t="s">
        <v>5976</v>
      </c>
      <c r="BC609" s="3" t="s">
        <v>142</v>
      </c>
      <c r="BD609" s="3" t="s">
        <v>68</v>
      </c>
      <c r="BE609" s="3" t="s">
        <v>5977</v>
      </c>
      <c r="BF609" s="3" t="s">
        <v>5976</v>
      </c>
      <c r="BG609" s="3" t="s">
        <v>5978</v>
      </c>
    </row>
    <row r="610" spans="1:59" ht="57" x14ac:dyDescent="0.45">
      <c r="A610" s="2" t="s">
        <v>59</v>
      </c>
      <c r="B610" s="2" t="s">
        <v>60</v>
      </c>
      <c r="C610" s="2" t="s">
        <v>5979</v>
      </c>
      <c r="D610" s="2" t="s">
        <v>5980</v>
      </c>
      <c r="E610" s="2" t="s">
        <v>5981</v>
      </c>
      <c r="G610" s="3" t="s">
        <v>62</v>
      </c>
      <c r="I610" s="3" t="s">
        <v>62</v>
      </c>
      <c r="J610" s="3" t="s">
        <v>62</v>
      </c>
      <c r="K610" s="3" t="s">
        <v>63</v>
      </c>
      <c r="M610" s="2" t="s">
        <v>5982</v>
      </c>
      <c r="N610" s="3" t="s">
        <v>1155</v>
      </c>
      <c r="P610" s="3" t="s">
        <v>110</v>
      </c>
      <c r="Q610" s="2" t="s">
        <v>5983</v>
      </c>
      <c r="R610" s="3" t="s">
        <v>66</v>
      </c>
      <c r="S610" s="4">
        <v>0</v>
      </c>
      <c r="T610" s="4">
        <v>0</v>
      </c>
      <c r="W610" s="5" t="s">
        <v>67</v>
      </c>
      <c r="X610" s="5" t="s">
        <v>67</v>
      </c>
      <c r="Y610" s="4">
        <v>20</v>
      </c>
      <c r="Z610" s="4">
        <v>4</v>
      </c>
      <c r="AA610" s="4">
        <v>9</v>
      </c>
      <c r="AB610" s="4">
        <v>1</v>
      </c>
      <c r="AC610" s="4">
        <v>4</v>
      </c>
      <c r="AD610" s="4">
        <v>14</v>
      </c>
      <c r="AE610" s="4">
        <v>18</v>
      </c>
      <c r="AF610" s="4">
        <v>0</v>
      </c>
      <c r="AG610" s="4">
        <v>2</v>
      </c>
      <c r="AH610" s="4">
        <v>13</v>
      </c>
      <c r="AI610" s="4">
        <v>16</v>
      </c>
      <c r="AJ610" s="4">
        <v>2</v>
      </c>
      <c r="AK610" s="4">
        <v>6</v>
      </c>
      <c r="AL610" s="4">
        <v>12</v>
      </c>
      <c r="AM610" s="4">
        <v>12</v>
      </c>
      <c r="AN610" s="4">
        <v>0</v>
      </c>
      <c r="AO610" s="4">
        <v>0</v>
      </c>
      <c r="AP610" s="4">
        <v>2</v>
      </c>
      <c r="AQ610" s="4">
        <v>5</v>
      </c>
      <c r="AR610" s="3" t="s">
        <v>62</v>
      </c>
      <c r="AS610" s="3" t="s">
        <v>62</v>
      </c>
      <c r="AT610" s="3" t="s">
        <v>62</v>
      </c>
      <c r="AV610" s="6" t="str">
        <f>HYPERLINK("http://mcgill.on.worldcat.org/oclc/812251703","Catalog Record")</f>
        <v>Catalog Record</v>
      </c>
      <c r="AW610" s="6" t="str">
        <f>HYPERLINK("http://www.worldcat.org/oclc/812251703","WorldCat Record")</f>
        <v>WorldCat Record</v>
      </c>
      <c r="AX610" s="3" t="s">
        <v>5984</v>
      </c>
      <c r="AY610" s="3" t="s">
        <v>5985</v>
      </c>
      <c r="AZ610" s="3" t="s">
        <v>5986</v>
      </c>
      <c r="BA610" s="3" t="s">
        <v>5986</v>
      </c>
      <c r="BB610" s="3" t="s">
        <v>5987</v>
      </c>
      <c r="BC610" s="3" t="s">
        <v>142</v>
      </c>
      <c r="BD610" s="3" t="s">
        <v>68</v>
      </c>
      <c r="BE610" s="3" t="s">
        <v>5988</v>
      </c>
      <c r="BF610" s="3" t="s">
        <v>5987</v>
      </c>
      <c r="BG610" s="3" t="s">
        <v>5989</v>
      </c>
    </row>
    <row r="611" spans="1:59" ht="71.25" x14ac:dyDescent="0.45">
      <c r="A611" s="2" t="s">
        <v>59</v>
      </c>
      <c r="B611" s="2" t="s">
        <v>60</v>
      </c>
      <c r="C611" s="2" t="s">
        <v>5990</v>
      </c>
      <c r="D611" s="2" t="s">
        <v>5991</v>
      </c>
      <c r="E611" s="2" t="s">
        <v>5992</v>
      </c>
      <c r="G611" s="3" t="s">
        <v>62</v>
      </c>
      <c r="I611" s="3" t="s">
        <v>62</v>
      </c>
      <c r="J611" s="3" t="s">
        <v>62</v>
      </c>
      <c r="K611" s="3" t="s">
        <v>63</v>
      </c>
      <c r="M611" s="2" t="s">
        <v>5993</v>
      </c>
      <c r="N611" s="3" t="s">
        <v>1688</v>
      </c>
      <c r="P611" s="3" t="s">
        <v>110</v>
      </c>
      <c r="Q611" s="2" t="s">
        <v>5994</v>
      </c>
      <c r="R611" s="3" t="s">
        <v>66</v>
      </c>
      <c r="S611" s="4">
        <v>0</v>
      </c>
      <c r="T611" s="4">
        <v>0</v>
      </c>
      <c r="W611" s="5" t="s">
        <v>67</v>
      </c>
      <c r="X611" s="5" t="s">
        <v>67</v>
      </c>
      <c r="Y611" s="4">
        <v>20</v>
      </c>
      <c r="Z611" s="4">
        <v>20</v>
      </c>
      <c r="AA611" s="4">
        <v>41</v>
      </c>
      <c r="AB611" s="4">
        <v>2</v>
      </c>
      <c r="AC611" s="4">
        <v>7</v>
      </c>
      <c r="AD611" s="4">
        <v>18</v>
      </c>
      <c r="AE611" s="4">
        <v>37</v>
      </c>
      <c r="AF611" s="4">
        <v>1</v>
      </c>
      <c r="AG611" s="4">
        <v>5</v>
      </c>
      <c r="AH611" s="4">
        <v>6</v>
      </c>
      <c r="AI611" s="4">
        <v>13</v>
      </c>
      <c r="AJ611" s="4">
        <v>12</v>
      </c>
      <c r="AK611" s="4">
        <v>26</v>
      </c>
      <c r="AL611" s="4">
        <v>1</v>
      </c>
      <c r="AM611" s="4">
        <v>1</v>
      </c>
      <c r="AN611" s="4">
        <v>0</v>
      </c>
      <c r="AO611" s="4">
        <v>0</v>
      </c>
      <c r="AP611" s="4">
        <v>18</v>
      </c>
      <c r="AQ611" s="4">
        <v>35</v>
      </c>
      <c r="AR611" s="3" t="s">
        <v>61</v>
      </c>
      <c r="AS611" s="3" t="s">
        <v>62</v>
      </c>
      <c r="AT611" s="3" t="s">
        <v>62</v>
      </c>
      <c r="AV611" s="6" t="str">
        <f>HYPERLINK("http://mcgill.on.worldcat.org/oclc/912029691","Catalog Record")</f>
        <v>Catalog Record</v>
      </c>
      <c r="AW611" s="6" t="str">
        <f>HYPERLINK("http://www.worldcat.org/oclc/912029691","WorldCat Record")</f>
        <v>WorldCat Record</v>
      </c>
      <c r="AX611" s="3" t="s">
        <v>5995</v>
      </c>
      <c r="AY611" s="3" t="s">
        <v>5996</v>
      </c>
      <c r="AZ611" s="3" t="s">
        <v>5997</v>
      </c>
      <c r="BA611" s="3" t="s">
        <v>5997</v>
      </c>
      <c r="BB611" s="3" t="s">
        <v>5998</v>
      </c>
      <c r="BC611" s="3" t="s">
        <v>142</v>
      </c>
      <c r="BD611" s="3" t="s">
        <v>68</v>
      </c>
      <c r="BE611" s="3" t="s">
        <v>5999</v>
      </c>
      <c r="BF611" s="3" t="s">
        <v>5998</v>
      </c>
      <c r="BG611" s="3" t="s">
        <v>6000</v>
      </c>
    </row>
    <row r="612" spans="1:59" ht="71.25" x14ac:dyDescent="0.45">
      <c r="A612" s="2" t="s">
        <v>59</v>
      </c>
      <c r="B612" s="2" t="s">
        <v>60</v>
      </c>
      <c r="C612" s="2" t="s">
        <v>6001</v>
      </c>
      <c r="D612" s="2" t="s">
        <v>6002</v>
      </c>
      <c r="E612" s="2" t="s">
        <v>6003</v>
      </c>
      <c r="G612" s="3" t="s">
        <v>62</v>
      </c>
      <c r="I612" s="3" t="s">
        <v>62</v>
      </c>
      <c r="J612" s="3" t="s">
        <v>62</v>
      </c>
      <c r="K612" s="3" t="s">
        <v>63</v>
      </c>
      <c r="L612" s="2" t="s">
        <v>6004</v>
      </c>
      <c r="M612" s="2" t="s">
        <v>6005</v>
      </c>
      <c r="N612" s="3" t="s">
        <v>208</v>
      </c>
      <c r="P612" s="3" t="s">
        <v>65</v>
      </c>
      <c r="Q612" s="2" t="s">
        <v>6006</v>
      </c>
      <c r="R612" s="3" t="s">
        <v>66</v>
      </c>
      <c r="S612" s="4">
        <v>1</v>
      </c>
      <c r="T612" s="4">
        <v>1</v>
      </c>
      <c r="U612" s="5" t="s">
        <v>4058</v>
      </c>
      <c r="V612" s="5" t="s">
        <v>4058</v>
      </c>
      <c r="W612" s="5" t="s">
        <v>67</v>
      </c>
      <c r="X612" s="5" t="s">
        <v>67</v>
      </c>
      <c r="Y612" s="4">
        <v>44</v>
      </c>
      <c r="Z612" s="4">
        <v>5</v>
      </c>
      <c r="AA612" s="4">
        <v>8</v>
      </c>
      <c r="AB612" s="4">
        <v>1</v>
      </c>
      <c r="AC612" s="4">
        <v>3</v>
      </c>
      <c r="AD612" s="4">
        <v>16</v>
      </c>
      <c r="AE612" s="4">
        <v>21</v>
      </c>
      <c r="AF612" s="4">
        <v>0</v>
      </c>
      <c r="AG612" s="4">
        <v>0</v>
      </c>
      <c r="AH612" s="4">
        <v>15</v>
      </c>
      <c r="AI612" s="4">
        <v>20</v>
      </c>
      <c r="AJ612" s="4">
        <v>2</v>
      </c>
      <c r="AK612" s="4">
        <v>3</v>
      </c>
      <c r="AL612" s="4">
        <v>13</v>
      </c>
      <c r="AM612" s="4">
        <v>15</v>
      </c>
      <c r="AN612" s="4">
        <v>0</v>
      </c>
      <c r="AO612" s="4">
        <v>0</v>
      </c>
      <c r="AP612" s="4">
        <v>2</v>
      </c>
      <c r="AQ612" s="4">
        <v>3</v>
      </c>
      <c r="AR612" s="3" t="s">
        <v>62</v>
      </c>
      <c r="AS612" s="3" t="s">
        <v>62</v>
      </c>
      <c r="AT612" s="3" t="s">
        <v>62</v>
      </c>
      <c r="AV612" s="6" t="str">
        <f>HYPERLINK("http://mcgill.on.worldcat.org/oclc/906294928","Catalog Record")</f>
        <v>Catalog Record</v>
      </c>
      <c r="AW612" s="6" t="str">
        <f>HYPERLINK("http://www.worldcat.org/oclc/906294928","WorldCat Record")</f>
        <v>WorldCat Record</v>
      </c>
      <c r="AX612" s="3" t="s">
        <v>6007</v>
      </c>
      <c r="AY612" s="3" t="s">
        <v>6008</v>
      </c>
      <c r="AZ612" s="3" t="s">
        <v>6009</v>
      </c>
      <c r="BA612" s="3" t="s">
        <v>6009</v>
      </c>
      <c r="BB612" s="3" t="s">
        <v>6010</v>
      </c>
      <c r="BC612" s="3" t="s">
        <v>142</v>
      </c>
      <c r="BD612" s="3" t="s">
        <v>68</v>
      </c>
      <c r="BE612" s="3" t="s">
        <v>6011</v>
      </c>
      <c r="BF612" s="3" t="s">
        <v>6010</v>
      </c>
      <c r="BG612" s="3" t="s">
        <v>6012</v>
      </c>
    </row>
    <row r="613" spans="1:59" ht="85.5" x14ac:dyDescent="0.45">
      <c r="A613" s="2" t="s">
        <v>59</v>
      </c>
      <c r="B613" s="2" t="s">
        <v>60</v>
      </c>
      <c r="C613" s="2" t="s">
        <v>6013</v>
      </c>
      <c r="D613" s="2" t="s">
        <v>6014</v>
      </c>
      <c r="E613" s="2" t="s">
        <v>6015</v>
      </c>
      <c r="G613" s="3" t="s">
        <v>62</v>
      </c>
      <c r="I613" s="3" t="s">
        <v>62</v>
      </c>
      <c r="J613" s="3" t="s">
        <v>62</v>
      </c>
      <c r="K613" s="3" t="s">
        <v>63</v>
      </c>
      <c r="L613" s="2" t="s">
        <v>6016</v>
      </c>
      <c r="M613" s="2" t="s">
        <v>6017</v>
      </c>
      <c r="N613" s="3" t="s">
        <v>894</v>
      </c>
      <c r="P613" s="3" t="s">
        <v>110</v>
      </c>
      <c r="Q613" s="2" t="s">
        <v>6018</v>
      </c>
      <c r="R613" s="3" t="s">
        <v>66</v>
      </c>
      <c r="S613" s="4">
        <v>0</v>
      </c>
      <c r="T613" s="4">
        <v>0</v>
      </c>
      <c r="W613" s="5" t="s">
        <v>67</v>
      </c>
      <c r="X613" s="5" t="s">
        <v>67</v>
      </c>
      <c r="Y613" s="4">
        <v>6</v>
      </c>
      <c r="Z613" s="4">
        <v>3</v>
      </c>
      <c r="AA613" s="4">
        <v>12</v>
      </c>
      <c r="AB613" s="4">
        <v>1</v>
      </c>
      <c r="AC613" s="4">
        <v>6</v>
      </c>
      <c r="AD613" s="4">
        <v>4</v>
      </c>
      <c r="AE613" s="4">
        <v>11</v>
      </c>
      <c r="AF613" s="4">
        <v>0</v>
      </c>
      <c r="AG613" s="4">
        <v>3</v>
      </c>
      <c r="AH613" s="4">
        <v>2</v>
      </c>
      <c r="AI613" s="4">
        <v>5</v>
      </c>
      <c r="AJ613" s="4">
        <v>2</v>
      </c>
      <c r="AK613" s="4">
        <v>7</v>
      </c>
      <c r="AL613" s="4">
        <v>1</v>
      </c>
      <c r="AM613" s="4">
        <v>3</v>
      </c>
      <c r="AN613" s="4">
        <v>0</v>
      </c>
      <c r="AO613" s="4">
        <v>0</v>
      </c>
      <c r="AP613" s="4">
        <v>2</v>
      </c>
      <c r="AQ613" s="4">
        <v>7</v>
      </c>
      <c r="AR613" s="3" t="s">
        <v>62</v>
      </c>
      <c r="AS613" s="3" t="s">
        <v>62</v>
      </c>
      <c r="AT613" s="3" t="s">
        <v>62</v>
      </c>
      <c r="AV613" s="6" t="str">
        <f>HYPERLINK("http://mcgill.on.worldcat.org/oclc/786161386","Catalog Record")</f>
        <v>Catalog Record</v>
      </c>
      <c r="AW613" s="6" t="str">
        <f>HYPERLINK("http://www.worldcat.org/oclc/786161386","WorldCat Record")</f>
        <v>WorldCat Record</v>
      </c>
      <c r="AX613" s="3" t="s">
        <v>6019</v>
      </c>
      <c r="AY613" s="3" t="s">
        <v>6020</v>
      </c>
      <c r="AZ613" s="3" t="s">
        <v>6021</v>
      </c>
      <c r="BA613" s="3" t="s">
        <v>6021</v>
      </c>
      <c r="BB613" s="3" t="s">
        <v>6022</v>
      </c>
      <c r="BC613" s="3" t="s">
        <v>142</v>
      </c>
      <c r="BD613" s="3" t="s">
        <v>68</v>
      </c>
      <c r="BE613" s="3" t="s">
        <v>6023</v>
      </c>
      <c r="BF613" s="3" t="s">
        <v>6022</v>
      </c>
      <c r="BG613" s="3" t="s">
        <v>6024</v>
      </c>
    </row>
    <row r="614" spans="1:59" ht="57" x14ac:dyDescent="0.45">
      <c r="A614" s="2" t="s">
        <v>59</v>
      </c>
      <c r="B614" s="2" t="s">
        <v>60</v>
      </c>
      <c r="C614" s="2" t="s">
        <v>6025</v>
      </c>
      <c r="D614" s="2" t="s">
        <v>6026</v>
      </c>
      <c r="E614" s="2" t="s">
        <v>6027</v>
      </c>
      <c r="G614" s="3" t="s">
        <v>62</v>
      </c>
      <c r="I614" s="3" t="s">
        <v>61</v>
      </c>
      <c r="J614" s="3" t="s">
        <v>62</v>
      </c>
      <c r="K614" s="3" t="s">
        <v>63</v>
      </c>
      <c r="L614" s="2" t="s">
        <v>6028</v>
      </c>
      <c r="M614" s="2" t="s">
        <v>6029</v>
      </c>
      <c r="N614" s="3" t="s">
        <v>195</v>
      </c>
      <c r="P614" s="3" t="s">
        <v>65</v>
      </c>
      <c r="Q614" s="2" t="s">
        <v>6030</v>
      </c>
      <c r="R614" s="3" t="s">
        <v>66</v>
      </c>
      <c r="S614" s="4">
        <v>19</v>
      </c>
      <c r="T614" s="4">
        <v>23</v>
      </c>
      <c r="U614" s="5" t="s">
        <v>6031</v>
      </c>
      <c r="V614" s="5" t="s">
        <v>6031</v>
      </c>
      <c r="W614" s="5" t="s">
        <v>67</v>
      </c>
      <c r="X614" s="5" t="s">
        <v>67</v>
      </c>
      <c r="Y614" s="4">
        <v>367</v>
      </c>
      <c r="Z614" s="4">
        <v>42</v>
      </c>
      <c r="AA614" s="4">
        <v>55</v>
      </c>
      <c r="AB614" s="4">
        <v>1</v>
      </c>
      <c r="AC614" s="4">
        <v>6</v>
      </c>
      <c r="AD614" s="4">
        <v>100</v>
      </c>
      <c r="AE614" s="4">
        <v>112</v>
      </c>
      <c r="AF614" s="4">
        <v>0</v>
      </c>
      <c r="AG614" s="4">
        <v>4</v>
      </c>
      <c r="AH614" s="4">
        <v>79</v>
      </c>
      <c r="AI614" s="4">
        <v>84</v>
      </c>
      <c r="AJ614" s="4">
        <v>18</v>
      </c>
      <c r="AK614" s="4">
        <v>26</v>
      </c>
      <c r="AL614" s="4">
        <v>45</v>
      </c>
      <c r="AM614" s="4">
        <v>45</v>
      </c>
      <c r="AN614" s="4">
        <v>0</v>
      </c>
      <c r="AO614" s="4">
        <v>0</v>
      </c>
      <c r="AP614" s="4">
        <v>28</v>
      </c>
      <c r="AQ614" s="4">
        <v>37</v>
      </c>
      <c r="AR614" s="3" t="s">
        <v>62</v>
      </c>
      <c r="AS614" s="3" t="s">
        <v>62</v>
      </c>
      <c r="AT614" s="3" t="s">
        <v>61</v>
      </c>
      <c r="AU614" s="6" t="str">
        <f>HYPERLINK("http://catalog.hathitrust.org/Record/002855916","HathiTrust Record")</f>
        <v>HathiTrust Record</v>
      </c>
      <c r="AV614" s="6" t="str">
        <f>HYPERLINK("http://mcgill.on.worldcat.org/oclc/28215615","Catalog Record")</f>
        <v>Catalog Record</v>
      </c>
      <c r="AW614" s="6" t="str">
        <f>HYPERLINK("http://www.worldcat.org/oclc/28215615","WorldCat Record")</f>
        <v>WorldCat Record</v>
      </c>
      <c r="AX614" s="3" t="s">
        <v>6032</v>
      </c>
      <c r="AY614" s="3" t="s">
        <v>6033</v>
      </c>
      <c r="AZ614" s="3" t="s">
        <v>6034</v>
      </c>
      <c r="BA614" s="3" t="s">
        <v>6034</v>
      </c>
      <c r="BB614" s="3" t="s">
        <v>6035</v>
      </c>
      <c r="BC614" s="3" t="s">
        <v>142</v>
      </c>
      <c r="BD614" s="3" t="s">
        <v>68</v>
      </c>
      <c r="BE614" s="3" t="s">
        <v>6036</v>
      </c>
      <c r="BF614" s="3" t="s">
        <v>6035</v>
      </c>
      <c r="BG614" s="3" t="s">
        <v>6037</v>
      </c>
    </row>
    <row r="615" spans="1:59" ht="57" x14ac:dyDescent="0.45">
      <c r="A615" s="2" t="s">
        <v>59</v>
      </c>
      <c r="B615" s="2" t="s">
        <v>60</v>
      </c>
      <c r="C615" s="2" t="s">
        <v>6025</v>
      </c>
      <c r="D615" s="2" t="s">
        <v>6026</v>
      </c>
      <c r="E615" s="2" t="s">
        <v>6027</v>
      </c>
      <c r="G615" s="3" t="s">
        <v>62</v>
      </c>
      <c r="I615" s="3" t="s">
        <v>61</v>
      </c>
      <c r="J615" s="3" t="s">
        <v>62</v>
      </c>
      <c r="K615" s="3" t="s">
        <v>63</v>
      </c>
      <c r="L615" s="2" t="s">
        <v>6028</v>
      </c>
      <c r="M615" s="2" t="s">
        <v>6029</v>
      </c>
      <c r="N615" s="3" t="s">
        <v>195</v>
      </c>
      <c r="P615" s="3" t="s">
        <v>65</v>
      </c>
      <c r="Q615" s="2" t="s">
        <v>6030</v>
      </c>
      <c r="R615" s="3" t="s">
        <v>66</v>
      </c>
      <c r="S615" s="4">
        <v>4</v>
      </c>
      <c r="T615" s="4">
        <v>23</v>
      </c>
      <c r="U615" s="5" t="s">
        <v>6038</v>
      </c>
      <c r="V615" s="5" t="s">
        <v>6031</v>
      </c>
      <c r="W615" s="5" t="s">
        <v>67</v>
      </c>
      <c r="X615" s="5" t="s">
        <v>67</v>
      </c>
      <c r="Y615" s="4">
        <v>367</v>
      </c>
      <c r="Z615" s="4">
        <v>42</v>
      </c>
      <c r="AA615" s="4">
        <v>55</v>
      </c>
      <c r="AB615" s="4">
        <v>1</v>
      </c>
      <c r="AC615" s="4">
        <v>6</v>
      </c>
      <c r="AD615" s="4">
        <v>100</v>
      </c>
      <c r="AE615" s="4">
        <v>112</v>
      </c>
      <c r="AF615" s="4">
        <v>0</v>
      </c>
      <c r="AG615" s="4">
        <v>4</v>
      </c>
      <c r="AH615" s="4">
        <v>79</v>
      </c>
      <c r="AI615" s="4">
        <v>84</v>
      </c>
      <c r="AJ615" s="4">
        <v>18</v>
      </c>
      <c r="AK615" s="4">
        <v>26</v>
      </c>
      <c r="AL615" s="4">
        <v>45</v>
      </c>
      <c r="AM615" s="4">
        <v>45</v>
      </c>
      <c r="AN615" s="4">
        <v>0</v>
      </c>
      <c r="AO615" s="4">
        <v>0</v>
      </c>
      <c r="AP615" s="4">
        <v>28</v>
      </c>
      <c r="AQ615" s="4">
        <v>37</v>
      </c>
      <c r="AR615" s="3" t="s">
        <v>62</v>
      </c>
      <c r="AS615" s="3" t="s">
        <v>62</v>
      </c>
      <c r="AT615" s="3" t="s">
        <v>61</v>
      </c>
      <c r="AU615" s="6" t="str">
        <f>HYPERLINK("http://catalog.hathitrust.org/Record/002855916","HathiTrust Record")</f>
        <v>HathiTrust Record</v>
      </c>
      <c r="AV615" s="6" t="str">
        <f>HYPERLINK("http://mcgill.on.worldcat.org/oclc/28215615","Catalog Record")</f>
        <v>Catalog Record</v>
      </c>
      <c r="AW615" s="6" t="str">
        <f>HYPERLINK("http://www.worldcat.org/oclc/28215615","WorldCat Record")</f>
        <v>WorldCat Record</v>
      </c>
      <c r="AX615" s="3" t="s">
        <v>6032</v>
      </c>
      <c r="AY615" s="3" t="s">
        <v>6033</v>
      </c>
      <c r="AZ615" s="3" t="s">
        <v>6034</v>
      </c>
      <c r="BA615" s="3" t="s">
        <v>6034</v>
      </c>
      <c r="BB615" s="3" t="s">
        <v>6039</v>
      </c>
      <c r="BC615" s="3" t="s">
        <v>142</v>
      </c>
      <c r="BD615" s="3" t="s">
        <v>68</v>
      </c>
      <c r="BE615" s="3" t="s">
        <v>6036</v>
      </c>
      <c r="BF615" s="3" t="s">
        <v>6039</v>
      </c>
      <c r="BG615" s="3" t="s">
        <v>6040</v>
      </c>
    </row>
    <row r="616" spans="1:59" ht="57" x14ac:dyDescent="0.45">
      <c r="A616" s="2" t="s">
        <v>59</v>
      </c>
      <c r="B616" s="2" t="s">
        <v>60</v>
      </c>
      <c r="C616" s="2" t="s">
        <v>6041</v>
      </c>
      <c r="D616" s="2" t="s">
        <v>6042</v>
      </c>
      <c r="E616" s="2" t="s">
        <v>6043</v>
      </c>
      <c r="G616" s="3" t="s">
        <v>62</v>
      </c>
      <c r="I616" s="3" t="s">
        <v>62</v>
      </c>
      <c r="J616" s="3" t="s">
        <v>62</v>
      </c>
      <c r="K616" s="3" t="s">
        <v>63</v>
      </c>
      <c r="L616" s="2" t="s">
        <v>6028</v>
      </c>
      <c r="M616" s="2" t="s">
        <v>6044</v>
      </c>
      <c r="N616" s="3" t="s">
        <v>1478</v>
      </c>
      <c r="P616" s="3" t="s">
        <v>65</v>
      </c>
      <c r="R616" s="3" t="s">
        <v>66</v>
      </c>
      <c r="S616" s="4">
        <v>26</v>
      </c>
      <c r="T616" s="4">
        <v>26</v>
      </c>
      <c r="U616" s="5" t="s">
        <v>6045</v>
      </c>
      <c r="V616" s="5" t="s">
        <v>6045</v>
      </c>
      <c r="W616" s="5" t="s">
        <v>67</v>
      </c>
      <c r="X616" s="5" t="s">
        <v>67</v>
      </c>
      <c r="Y616" s="4">
        <v>42</v>
      </c>
      <c r="Z616" s="4">
        <v>28</v>
      </c>
      <c r="AA616" s="4">
        <v>31</v>
      </c>
      <c r="AB616" s="4">
        <v>1</v>
      </c>
      <c r="AC616" s="4">
        <v>3</v>
      </c>
      <c r="AD616" s="4">
        <v>25</v>
      </c>
      <c r="AE616" s="4">
        <v>27</v>
      </c>
      <c r="AF616" s="4">
        <v>0</v>
      </c>
      <c r="AG616" s="4">
        <v>2</v>
      </c>
      <c r="AH616" s="4">
        <v>15</v>
      </c>
      <c r="AI616" s="4">
        <v>16</v>
      </c>
      <c r="AJ616" s="4">
        <v>15</v>
      </c>
      <c r="AK616" s="4">
        <v>17</v>
      </c>
      <c r="AL616" s="4">
        <v>5</v>
      </c>
      <c r="AM616" s="4">
        <v>5</v>
      </c>
      <c r="AN616" s="4">
        <v>0</v>
      </c>
      <c r="AO616" s="4">
        <v>0</v>
      </c>
      <c r="AP616" s="4">
        <v>18</v>
      </c>
      <c r="AQ616" s="4">
        <v>19</v>
      </c>
      <c r="AR616" s="3" t="s">
        <v>61</v>
      </c>
      <c r="AS616" s="3" t="s">
        <v>62</v>
      </c>
      <c r="AT616" s="3" t="s">
        <v>62</v>
      </c>
      <c r="AV616" s="6" t="str">
        <f>HYPERLINK("http://mcgill.on.worldcat.org/oclc/35937593","Catalog Record")</f>
        <v>Catalog Record</v>
      </c>
      <c r="AW616" s="6" t="str">
        <f>HYPERLINK("http://www.worldcat.org/oclc/35937593","WorldCat Record")</f>
        <v>WorldCat Record</v>
      </c>
      <c r="AX616" s="3" t="s">
        <v>6046</v>
      </c>
      <c r="AY616" s="3" t="s">
        <v>6047</v>
      </c>
      <c r="AZ616" s="3" t="s">
        <v>6048</v>
      </c>
      <c r="BA616" s="3" t="s">
        <v>6048</v>
      </c>
      <c r="BB616" s="3" t="s">
        <v>6049</v>
      </c>
      <c r="BC616" s="3" t="s">
        <v>142</v>
      </c>
      <c r="BD616" s="3" t="s">
        <v>68</v>
      </c>
      <c r="BE616" s="3" t="s">
        <v>6050</v>
      </c>
      <c r="BF616" s="3" t="s">
        <v>6049</v>
      </c>
      <c r="BG616" s="3" t="s">
        <v>6051</v>
      </c>
    </row>
    <row r="617" spans="1:59" ht="57" x14ac:dyDescent="0.45">
      <c r="A617" s="2" t="s">
        <v>59</v>
      </c>
      <c r="B617" s="2" t="s">
        <v>60</v>
      </c>
      <c r="C617" s="2" t="s">
        <v>6052</v>
      </c>
      <c r="D617" s="2" t="s">
        <v>6053</v>
      </c>
      <c r="E617" s="2" t="s">
        <v>6054</v>
      </c>
      <c r="G617" s="3" t="s">
        <v>62</v>
      </c>
      <c r="I617" s="3" t="s">
        <v>62</v>
      </c>
      <c r="J617" s="3" t="s">
        <v>62</v>
      </c>
      <c r="K617" s="3" t="s">
        <v>63</v>
      </c>
      <c r="L617" s="2" t="s">
        <v>6055</v>
      </c>
      <c r="M617" s="2" t="s">
        <v>6056</v>
      </c>
      <c r="N617" s="3" t="s">
        <v>945</v>
      </c>
      <c r="P617" s="3" t="s">
        <v>65</v>
      </c>
      <c r="Q617" s="2" t="s">
        <v>6057</v>
      </c>
      <c r="R617" s="3" t="s">
        <v>66</v>
      </c>
      <c r="S617" s="4">
        <v>11</v>
      </c>
      <c r="T617" s="4">
        <v>11</v>
      </c>
      <c r="U617" s="5" t="s">
        <v>1326</v>
      </c>
      <c r="V617" s="5" t="s">
        <v>1326</v>
      </c>
      <c r="W617" s="5" t="s">
        <v>67</v>
      </c>
      <c r="X617" s="5" t="s">
        <v>67</v>
      </c>
      <c r="Y617" s="4">
        <v>145</v>
      </c>
      <c r="Z617" s="4">
        <v>15</v>
      </c>
      <c r="AA617" s="4">
        <v>98</v>
      </c>
      <c r="AB617" s="4">
        <v>1</v>
      </c>
      <c r="AC617" s="4">
        <v>17</v>
      </c>
      <c r="AD617" s="4">
        <v>52</v>
      </c>
      <c r="AE617" s="4">
        <v>119</v>
      </c>
      <c r="AF617" s="4">
        <v>0</v>
      </c>
      <c r="AG617" s="4">
        <v>8</v>
      </c>
      <c r="AH617" s="4">
        <v>47</v>
      </c>
      <c r="AI617" s="4">
        <v>82</v>
      </c>
      <c r="AJ617" s="4">
        <v>12</v>
      </c>
      <c r="AK617" s="4">
        <v>25</v>
      </c>
      <c r="AL617" s="4">
        <v>28</v>
      </c>
      <c r="AM617" s="4">
        <v>43</v>
      </c>
      <c r="AN617" s="4">
        <v>0</v>
      </c>
      <c r="AO617" s="4">
        <v>0</v>
      </c>
      <c r="AP617" s="4">
        <v>13</v>
      </c>
      <c r="AQ617" s="4">
        <v>46</v>
      </c>
      <c r="AR617" s="3" t="s">
        <v>62</v>
      </c>
      <c r="AS617" s="3" t="s">
        <v>62</v>
      </c>
      <c r="AT617" s="3" t="s">
        <v>62</v>
      </c>
      <c r="AV617" s="6" t="str">
        <f>HYPERLINK("http://mcgill.on.worldcat.org/oclc/145937479","Catalog Record")</f>
        <v>Catalog Record</v>
      </c>
      <c r="AW617" s="6" t="str">
        <f>HYPERLINK("http://www.worldcat.org/oclc/145937479","WorldCat Record")</f>
        <v>WorldCat Record</v>
      </c>
      <c r="AX617" s="3" t="s">
        <v>6058</v>
      </c>
      <c r="AY617" s="3" t="s">
        <v>6059</v>
      </c>
      <c r="AZ617" s="3" t="s">
        <v>6060</v>
      </c>
      <c r="BA617" s="3" t="s">
        <v>6060</v>
      </c>
      <c r="BB617" s="3" t="s">
        <v>6061</v>
      </c>
      <c r="BC617" s="3" t="s">
        <v>142</v>
      </c>
      <c r="BD617" s="3" t="s">
        <v>308</v>
      </c>
      <c r="BE617" s="3" t="s">
        <v>6062</v>
      </c>
      <c r="BF617" s="3" t="s">
        <v>6061</v>
      </c>
      <c r="BG617" s="3" t="s">
        <v>6063</v>
      </c>
    </row>
    <row r="618" spans="1:59" ht="57" x14ac:dyDescent="0.45">
      <c r="A618" s="2" t="s">
        <v>59</v>
      </c>
      <c r="B618" s="2" t="s">
        <v>60</v>
      </c>
      <c r="C618" s="2" t="s">
        <v>6064</v>
      </c>
      <c r="D618" s="2" t="s">
        <v>6065</v>
      </c>
      <c r="E618" s="2" t="s">
        <v>6066</v>
      </c>
      <c r="G618" s="3" t="s">
        <v>62</v>
      </c>
      <c r="I618" s="3" t="s">
        <v>62</v>
      </c>
      <c r="J618" s="3" t="s">
        <v>62</v>
      </c>
      <c r="K618" s="3" t="s">
        <v>63</v>
      </c>
      <c r="M618" s="2" t="s">
        <v>6067</v>
      </c>
      <c r="N618" s="3" t="s">
        <v>894</v>
      </c>
      <c r="P618" s="3" t="s">
        <v>65</v>
      </c>
      <c r="Q618" s="2" t="s">
        <v>6068</v>
      </c>
      <c r="R618" s="3" t="s">
        <v>66</v>
      </c>
      <c r="S618" s="4">
        <v>1</v>
      </c>
      <c r="T618" s="4">
        <v>1</v>
      </c>
      <c r="U618" s="5" t="s">
        <v>1326</v>
      </c>
      <c r="V618" s="5" t="s">
        <v>1326</v>
      </c>
      <c r="W618" s="5" t="s">
        <v>67</v>
      </c>
      <c r="X618" s="5" t="s">
        <v>67</v>
      </c>
      <c r="Y618" s="4">
        <v>119</v>
      </c>
      <c r="Z618" s="4">
        <v>16</v>
      </c>
      <c r="AA618" s="4">
        <v>45</v>
      </c>
      <c r="AB618" s="4">
        <v>2</v>
      </c>
      <c r="AC618" s="4">
        <v>5</v>
      </c>
      <c r="AD618" s="4">
        <v>43</v>
      </c>
      <c r="AE618" s="4">
        <v>79</v>
      </c>
      <c r="AF618" s="4">
        <v>1</v>
      </c>
      <c r="AG618" s="4">
        <v>2</v>
      </c>
      <c r="AH618" s="4">
        <v>37</v>
      </c>
      <c r="AI618" s="4">
        <v>64</v>
      </c>
      <c r="AJ618" s="4">
        <v>10</v>
      </c>
      <c r="AK618" s="4">
        <v>15</v>
      </c>
      <c r="AL618" s="4">
        <v>20</v>
      </c>
      <c r="AM618" s="4">
        <v>32</v>
      </c>
      <c r="AN618" s="4">
        <v>0</v>
      </c>
      <c r="AO618" s="4">
        <v>0</v>
      </c>
      <c r="AP618" s="4">
        <v>12</v>
      </c>
      <c r="AQ618" s="4">
        <v>24</v>
      </c>
      <c r="AR618" s="3" t="s">
        <v>62</v>
      </c>
      <c r="AS618" s="3" t="s">
        <v>62</v>
      </c>
      <c r="AT618" s="3" t="s">
        <v>62</v>
      </c>
      <c r="AV618" s="6" t="str">
        <f>HYPERLINK("http://mcgill.on.worldcat.org/oclc/695860337","Catalog Record")</f>
        <v>Catalog Record</v>
      </c>
      <c r="AW618" s="6" t="str">
        <f>HYPERLINK("http://www.worldcat.org/oclc/695860337","WorldCat Record")</f>
        <v>WorldCat Record</v>
      </c>
      <c r="AX618" s="3" t="s">
        <v>6069</v>
      </c>
      <c r="AY618" s="3" t="s">
        <v>6070</v>
      </c>
      <c r="AZ618" s="3" t="s">
        <v>6071</v>
      </c>
      <c r="BA618" s="3" t="s">
        <v>6071</v>
      </c>
      <c r="BB618" s="3" t="s">
        <v>6072</v>
      </c>
      <c r="BC618" s="3" t="s">
        <v>142</v>
      </c>
      <c r="BD618" s="3" t="s">
        <v>68</v>
      </c>
      <c r="BE618" s="3" t="s">
        <v>6073</v>
      </c>
      <c r="BF618" s="3" t="s">
        <v>6072</v>
      </c>
      <c r="BG618" s="3" t="s">
        <v>6074</v>
      </c>
    </row>
    <row r="619" spans="1:59" ht="57" x14ac:dyDescent="0.45">
      <c r="A619" s="2" t="s">
        <v>59</v>
      </c>
      <c r="B619" s="2" t="s">
        <v>60</v>
      </c>
      <c r="C619" s="2" t="s">
        <v>6075</v>
      </c>
      <c r="D619" s="2" t="s">
        <v>6076</v>
      </c>
      <c r="E619" s="2" t="s">
        <v>6077</v>
      </c>
      <c r="F619" s="3" t="s">
        <v>89</v>
      </c>
      <c r="G619" s="3" t="s">
        <v>61</v>
      </c>
      <c r="I619" s="3" t="s">
        <v>61</v>
      </c>
      <c r="J619" s="3" t="s">
        <v>62</v>
      </c>
      <c r="K619" s="3" t="s">
        <v>63</v>
      </c>
      <c r="M619" s="2" t="s">
        <v>6078</v>
      </c>
      <c r="N619" s="3" t="s">
        <v>1253</v>
      </c>
      <c r="P619" s="3" t="s">
        <v>65</v>
      </c>
      <c r="R619" s="3" t="s">
        <v>66</v>
      </c>
      <c r="S619" s="4">
        <v>0</v>
      </c>
      <c r="T619" s="4">
        <v>6</v>
      </c>
      <c r="V619" s="5" t="s">
        <v>733</v>
      </c>
      <c r="W619" s="5" t="s">
        <v>67</v>
      </c>
      <c r="X619" s="5" t="s">
        <v>67</v>
      </c>
      <c r="Y619" s="4">
        <v>311</v>
      </c>
      <c r="Z619" s="4">
        <v>10</v>
      </c>
      <c r="AA619" s="4">
        <v>11</v>
      </c>
      <c r="AB619" s="4">
        <v>1</v>
      </c>
      <c r="AC619" s="4">
        <v>1</v>
      </c>
      <c r="AD619" s="4">
        <v>65</v>
      </c>
      <c r="AE619" s="4">
        <v>66</v>
      </c>
      <c r="AF619" s="4">
        <v>0</v>
      </c>
      <c r="AG619" s="4">
        <v>0</v>
      </c>
      <c r="AH619" s="4">
        <v>58</v>
      </c>
      <c r="AI619" s="4">
        <v>58</v>
      </c>
      <c r="AJ619" s="4">
        <v>6</v>
      </c>
      <c r="AK619" s="4">
        <v>6</v>
      </c>
      <c r="AL619" s="4">
        <v>35</v>
      </c>
      <c r="AM619" s="4">
        <v>35</v>
      </c>
      <c r="AN619" s="4">
        <v>0</v>
      </c>
      <c r="AO619" s="4">
        <v>0</v>
      </c>
      <c r="AP619" s="4">
        <v>8</v>
      </c>
      <c r="AQ619" s="4">
        <v>9</v>
      </c>
      <c r="AR619" s="3" t="s">
        <v>62</v>
      </c>
      <c r="AS619" s="3" t="s">
        <v>62</v>
      </c>
      <c r="AT619" s="3" t="s">
        <v>61</v>
      </c>
      <c r="AU619" s="6" t="str">
        <f t="shared" ref="AU619:AU627" si="8">HYPERLINK("http://catalog.hathitrust.org/Record/009801058","HathiTrust Record")</f>
        <v>HathiTrust Record</v>
      </c>
      <c r="AV619" s="6" t="str">
        <f t="shared" ref="AV619:AV627" si="9">HYPERLINK("http://mcgill.on.worldcat.org/oclc/38581865","Catalog Record")</f>
        <v>Catalog Record</v>
      </c>
      <c r="AW619" s="6" t="str">
        <f t="shared" ref="AW619:AW627" si="10">HYPERLINK("http://www.worldcat.org/oclc/38581865","WorldCat Record")</f>
        <v>WorldCat Record</v>
      </c>
      <c r="AX619" s="3" t="s">
        <v>6079</v>
      </c>
      <c r="AY619" s="3" t="s">
        <v>6080</v>
      </c>
      <c r="AZ619" s="3" t="s">
        <v>6081</v>
      </c>
      <c r="BA619" s="3" t="s">
        <v>6081</v>
      </c>
      <c r="BB619" s="3" t="s">
        <v>6082</v>
      </c>
      <c r="BC619" s="3" t="s">
        <v>142</v>
      </c>
      <c r="BD619" s="3" t="s">
        <v>68</v>
      </c>
      <c r="BE619" s="3" t="s">
        <v>6083</v>
      </c>
      <c r="BF619" s="3" t="s">
        <v>6082</v>
      </c>
      <c r="BG619" s="3" t="s">
        <v>6084</v>
      </c>
    </row>
    <row r="620" spans="1:59" ht="57" x14ac:dyDescent="0.45">
      <c r="A620" s="2" t="s">
        <v>59</v>
      </c>
      <c r="B620" s="2" t="s">
        <v>60</v>
      </c>
      <c r="C620" s="2" t="s">
        <v>6075</v>
      </c>
      <c r="D620" s="2" t="s">
        <v>6076</v>
      </c>
      <c r="E620" s="2" t="s">
        <v>6077</v>
      </c>
      <c r="F620" s="3" t="s">
        <v>86</v>
      </c>
      <c r="G620" s="3" t="s">
        <v>61</v>
      </c>
      <c r="I620" s="3" t="s">
        <v>61</v>
      </c>
      <c r="J620" s="3" t="s">
        <v>62</v>
      </c>
      <c r="K620" s="3" t="s">
        <v>63</v>
      </c>
      <c r="M620" s="2" t="s">
        <v>6078</v>
      </c>
      <c r="N620" s="3" t="s">
        <v>1253</v>
      </c>
      <c r="P620" s="3" t="s">
        <v>65</v>
      </c>
      <c r="R620" s="3" t="s">
        <v>66</v>
      </c>
      <c r="S620" s="4">
        <v>0</v>
      </c>
      <c r="T620" s="4">
        <v>6</v>
      </c>
      <c r="V620" s="5" t="s">
        <v>733</v>
      </c>
      <c r="W620" s="5" t="s">
        <v>67</v>
      </c>
      <c r="X620" s="5" t="s">
        <v>67</v>
      </c>
      <c r="Y620" s="4">
        <v>311</v>
      </c>
      <c r="Z620" s="4">
        <v>10</v>
      </c>
      <c r="AA620" s="4">
        <v>11</v>
      </c>
      <c r="AB620" s="4">
        <v>1</v>
      </c>
      <c r="AC620" s="4">
        <v>1</v>
      </c>
      <c r="AD620" s="4">
        <v>65</v>
      </c>
      <c r="AE620" s="4">
        <v>66</v>
      </c>
      <c r="AF620" s="4">
        <v>0</v>
      </c>
      <c r="AG620" s="4">
        <v>0</v>
      </c>
      <c r="AH620" s="4">
        <v>58</v>
      </c>
      <c r="AI620" s="4">
        <v>58</v>
      </c>
      <c r="AJ620" s="4">
        <v>6</v>
      </c>
      <c r="AK620" s="4">
        <v>6</v>
      </c>
      <c r="AL620" s="4">
        <v>35</v>
      </c>
      <c r="AM620" s="4">
        <v>35</v>
      </c>
      <c r="AN620" s="4">
        <v>0</v>
      </c>
      <c r="AO620" s="4">
        <v>0</v>
      </c>
      <c r="AP620" s="4">
        <v>8</v>
      </c>
      <c r="AQ620" s="4">
        <v>9</v>
      </c>
      <c r="AR620" s="3" t="s">
        <v>62</v>
      </c>
      <c r="AS620" s="3" t="s">
        <v>62</v>
      </c>
      <c r="AT620" s="3" t="s">
        <v>61</v>
      </c>
      <c r="AU620" s="6" t="str">
        <f t="shared" si="8"/>
        <v>HathiTrust Record</v>
      </c>
      <c r="AV620" s="6" t="str">
        <f t="shared" si="9"/>
        <v>Catalog Record</v>
      </c>
      <c r="AW620" s="6" t="str">
        <f t="shared" si="10"/>
        <v>WorldCat Record</v>
      </c>
      <c r="AX620" s="3" t="s">
        <v>6079</v>
      </c>
      <c r="AY620" s="3" t="s">
        <v>6080</v>
      </c>
      <c r="AZ620" s="3" t="s">
        <v>6081</v>
      </c>
      <c r="BA620" s="3" t="s">
        <v>6081</v>
      </c>
      <c r="BB620" s="3" t="s">
        <v>6085</v>
      </c>
      <c r="BC620" s="3" t="s">
        <v>142</v>
      </c>
      <c r="BD620" s="3" t="s">
        <v>68</v>
      </c>
      <c r="BE620" s="3" t="s">
        <v>6083</v>
      </c>
      <c r="BF620" s="3" t="s">
        <v>6085</v>
      </c>
      <c r="BG620" s="3" t="s">
        <v>6086</v>
      </c>
    </row>
    <row r="621" spans="1:59" ht="57" x14ac:dyDescent="0.45">
      <c r="A621" s="2" t="s">
        <v>59</v>
      </c>
      <c r="B621" s="2" t="s">
        <v>60</v>
      </c>
      <c r="C621" s="2" t="s">
        <v>6075</v>
      </c>
      <c r="D621" s="2" t="s">
        <v>6076</v>
      </c>
      <c r="E621" s="2" t="s">
        <v>6077</v>
      </c>
      <c r="F621" s="3" t="s">
        <v>83</v>
      </c>
      <c r="G621" s="3" t="s">
        <v>61</v>
      </c>
      <c r="I621" s="3" t="s">
        <v>61</v>
      </c>
      <c r="J621" s="3" t="s">
        <v>62</v>
      </c>
      <c r="K621" s="3" t="s">
        <v>63</v>
      </c>
      <c r="M621" s="2" t="s">
        <v>6078</v>
      </c>
      <c r="N621" s="3" t="s">
        <v>1253</v>
      </c>
      <c r="P621" s="3" t="s">
        <v>65</v>
      </c>
      <c r="R621" s="3" t="s">
        <v>66</v>
      </c>
      <c r="S621" s="4">
        <v>1</v>
      </c>
      <c r="T621" s="4">
        <v>6</v>
      </c>
      <c r="U621" s="5" t="s">
        <v>6087</v>
      </c>
      <c r="V621" s="5" t="s">
        <v>733</v>
      </c>
      <c r="W621" s="5" t="s">
        <v>67</v>
      </c>
      <c r="X621" s="5" t="s">
        <v>67</v>
      </c>
      <c r="Y621" s="4">
        <v>311</v>
      </c>
      <c r="Z621" s="4">
        <v>10</v>
      </c>
      <c r="AA621" s="4">
        <v>11</v>
      </c>
      <c r="AB621" s="4">
        <v>1</v>
      </c>
      <c r="AC621" s="4">
        <v>1</v>
      </c>
      <c r="AD621" s="4">
        <v>65</v>
      </c>
      <c r="AE621" s="4">
        <v>66</v>
      </c>
      <c r="AF621" s="4">
        <v>0</v>
      </c>
      <c r="AG621" s="4">
        <v>0</v>
      </c>
      <c r="AH621" s="4">
        <v>58</v>
      </c>
      <c r="AI621" s="4">
        <v>58</v>
      </c>
      <c r="AJ621" s="4">
        <v>6</v>
      </c>
      <c r="AK621" s="4">
        <v>6</v>
      </c>
      <c r="AL621" s="4">
        <v>35</v>
      </c>
      <c r="AM621" s="4">
        <v>35</v>
      </c>
      <c r="AN621" s="4">
        <v>0</v>
      </c>
      <c r="AO621" s="4">
        <v>0</v>
      </c>
      <c r="AP621" s="4">
        <v>8</v>
      </c>
      <c r="AQ621" s="4">
        <v>9</v>
      </c>
      <c r="AR621" s="3" t="s">
        <v>62</v>
      </c>
      <c r="AS621" s="3" t="s">
        <v>62</v>
      </c>
      <c r="AT621" s="3" t="s">
        <v>61</v>
      </c>
      <c r="AU621" s="6" t="str">
        <f t="shared" si="8"/>
        <v>HathiTrust Record</v>
      </c>
      <c r="AV621" s="6" t="str">
        <f t="shared" si="9"/>
        <v>Catalog Record</v>
      </c>
      <c r="AW621" s="6" t="str">
        <f t="shared" si="10"/>
        <v>WorldCat Record</v>
      </c>
      <c r="AX621" s="3" t="s">
        <v>6079</v>
      </c>
      <c r="AY621" s="3" t="s">
        <v>6080</v>
      </c>
      <c r="AZ621" s="3" t="s">
        <v>6081</v>
      </c>
      <c r="BA621" s="3" t="s">
        <v>6081</v>
      </c>
      <c r="BB621" s="3" t="s">
        <v>6088</v>
      </c>
      <c r="BC621" s="3" t="s">
        <v>142</v>
      </c>
      <c r="BD621" s="3" t="s">
        <v>68</v>
      </c>
      <c r="BE621" s="3" t="s">
        <v>6083</v>
      </c>
      <c r="BF621" s="3" t="s">
        <v>6088</v>
      </c>
      <c r="BG621" s="3" t="s">
        <v>6089</v>
      </c>
    </row>
    <row r="622" spans="1:59" ht="57" x14ac:dyDescent="0.45">
      <c r="A622" s="2" t="s">
        <v>59</v>
      </c>
      <c r="B622" s="2" t="s">
        <v>60</v>
      </c>
      <c r="C622" s="2" t="s">
        <v>6075</v>
      </c>
      <c r="D622" s="2" t="s">
        <v>6076</v>
      </c>
      <c r="E622" s="2" t="s">
        <v>6077</v>
      </c>
      <c r="F622" s="3" t="s">
        <v>6090</v>
      </c>
      <c r="G622" s="3" t="s">
        <v>61</v>
      </c>
      <c r="I622" s="3" t="s">
        <v>61</v>
      </c>
      <c r="J622" s="3" t="s">
        <v>62</v>
      </c>
      <c r="K622" s="3" t="s">
        <v>63</v>
      </c>
      <c r="M622" s="2" t="s">
        <v>6078</v>
      </c>
      <c r="N622" s="3" t="s">
        <v>1253</v>
      </c>
      <c r="P622" s="3" t="s">
        <v>65</v>
      </c>
      <c r="R622" s="3" t="s">
        <v>66</v>
      </c>
      <c r="S622" s="4">
        <v>0</v>
      </c>
      <c r="T622" s="4">
        <v>6</v>
      </c>
      <c r="V622" s="5" t="s">
        <v>733</v>
      </c>
      <c r="W622" s="5" t="s">
        <v>67</v>
      </c>
      <c r="X622" s="5" t="s">
        <v>67</v>
      </c>
      <c r="Y622" s="4">
        <v>311</v>
      </c>
      <c r="Z622" s="4">
        <v>10</v>
      </c>
      <c r="AA622" s="4">
        <v>11</v>
      </c>
      <c r="AB622" s="4">
        <v>1</v>
      </c>
      <c r="AC622" s="4">
        <v>1</v>
      </c>
      <c r="AD622" s="4">
        <v>65</v>
      </c>
      <c r="AE622" s="4">
        <v>66</v>
      </c>
      <c r="AF622" s="4">
        <v>0</v>
      </c>
      <c r="AG622" s="4">
        <v>0</v>
      </c>
      <c r="AH622" s="4">
        <v>58</v>
      </c>
      <c r="AI622" s="4">
        <v>58</v>
      </c>
      <c r="AJ622" s="4">
        <v>6</v>
      </c>
      <c r="AK622" s="4">
        <v>6</v>
      </c>
      <c r="AL622" s="4">
        <v>35</v>
      </c>
      <c r="AM622" s="4">
        <v>35</v>
      </c>
      <c r="AN622" s="4">
        <v>0</v>
      </c>
      <c r="AO622" s="4">
        <v>0</v>
      </c>
      <c r="AP622" s="4">
        <v>8</v>
      </c>
      <c r="AQ622" s="4">
        <v>9</v>
      </c>
      <c r="AR622" s="3" t="s">
        <v>62</v>
      </c>
      <c r="AS622" s="3" t="s">
        <v>62</v>
      </c>
      <c r="AT622" s="3" t="s">
        <v>61</v>
      </c>
      <c r="AU622" s="6" t="str">
        <f t="shared" si="8"/>
        <v>HathiTrust Record</v>
      </c>
      <c r="AV622" s="6" t="str">
        <f t="shared" si="9"/>
        <v>Catalog Record</v>
      </c>
      <c r="AW622" s="6" t="str">
        <f t="shared" si="10"/>
        <v>WorldCat Record</v>
      </c>
      <c r="AX622" s="3" t="s">
        <v>6079</v>
      </c>
      <c r="AY622" s="3" t="s">
        <v>6080</v>
      </c>
      <c r="AZ622" s="3" t="s">
        <v>6081</v>
      </c>
      <c r="BA622" s="3" t="s">
        <v>6081</v>
      </c>
      <c r="BB622" s="3" t="s">
        <v>6091</v>
      </c>
      <c r="BC622" s="3" t="s">
        <v>142</v>
      </c>
      <c r="BD622" s="3" t="s">
        <v>68</v>
      </c>
      <c r="BE622" s="3" t="s">
        <v>6083</v>
      </c>
      <c r="BF622" s="3" t="s">
        <v>6091</v>
      </c>
      <c r="BG622" s="3" t="s">
        <v>6092</v>
      </c>
    </row>
    <row r="623" spans="1:59" ht="57" x14ac:dyDescent="0.45">
      <c r="A623" s="2" t="s">
        <v>59</v>
      </c>
      <c r="B623" s="2" t="s">
        <v>60</v>
      </c>
      <c r="C623" s="2" t="s">
        <v>6075</v>
      </c>
      <c r="D623" s="2" t="s">
        <v>6076</v>
      </c>
      <c r="E623" s="2" t="s">
        <v>6077</v>
      </c>
      <c r="F623" s="3" t="s">
        <v>88</v>
      </c>
      <c r="G623" s="3" t="s">
        <v>61</v>
      </c>
      <c r="I623" s="3" t="s">
        <v>61</v>
      </c>
      <c r="J623" s="3" t="s">
        <v>62</v>
      </c>
      <c r="K623" s="3" t="s">
        <v>63</v>
      </c>
      <c r="M623" s="2" t="s">
        <v>6078</v>
      </c>
      <c r="N623" s="3" t="s">
        <v>1253</v>
      </c>
      <c r="P623" s="3" t="s">
        <v>65</v>
      </c>
      <c r="R623" s="3" t="s">
        <v>66</v>
      </c>
      <c r="S623" s="4">
        <v>0</v>
      </c>
      <c r="T623" s="4">
        <v>6</v>
      </c>
      <c r="V623" s="5" t="s">
        <v>733</v>
      </c>
      <c r="W623" s="5" t="s">
        <v>67</v>
      </c>
      <c r="X623" s="5" t="s">
        <v>67</v>
      </c>
      <c r="Y623" s="4">
        <v>311</v>
      </c>
      <c r="Z623" s="4">
        <v>10</v>
      </c>
      <c r="AA623" s="4">
        <v>11</v>
      </c>
      <c r="AB623" s="4">
        <v>1</v>
      </c>
      <c r="AC623" s="4">
        <v>1</v>
      </c>
      <c r="AD623" s="4">
        <v>65</v>
      </c>
      <c r="AE623" s="4">
        <v>66</v>
      </c>
      <c r="AF623" s="4">
        <v>0</v>
      </c>
      <c r="AG623" s="4">
        <v>0</v>
      </c>
      <c r="AH623" s="4">
        <v>58</v>
      </c>
      <c r="AI623" s="4">
        <v>58</v>
      </c>
      <c r="AJ623" s="4">
        <v>6</v>
      </c>
      <c r="AK623" s="4">
        <v>6</v>
      </c>
      <c r="AL623" s="4">
        <v>35</v>
      </c>
      <c r="AM623" s="4">
        <v>35</v>
      </c>
      <c r="AN623" s="4">
        <v>0</v>
      </c>
      <c r="AO623" s="4">
        <v>0</v>
      </c>
      <c r="AP623" s="4">
        <v>8</v>
      </c>
      <c r="AQ623" s="4">
        <v>9</v>
      </c>
      <c r="AR623" s="3" t="s">
        <v>62</v>
      </c>
      <c r="AS623" s="3" t="s">
        <v>62</v>
      </c>
      <c r="AT623" s="3" t="s">
        <v>61</v>
      </c>
      <c r="AU623" s="6" t="str">
        <f t="shared" si="8"/>
        <v>HathiTrust Record</v>
      </c>
      <c r="AV623" s="6" t="str">
        <f t="shared" si="9"/>
        <v>Catalog Record</v>
      </c>
      <c r="AW623" s="6" t="str">
        <f t="shared" si="10"/>
        <v>WorldCat Record</v>
      </c>
      <c r="AX623" s="3" t="s">
        <v>6079</v>
      </c>
      <c r="AY623" s="3" t="s">
        <v>6080</v>
      </c>
      <c r="AZ623" s="3" t="s">
        <v>6081</v>
      </c>
      <c r="BA623" s="3" t="s">
        <v>6081</v>
      </c>
      <c r="BB623" s="3" t="s">
        <v>6093</v>
      </c>
      <c r="BC623" s="3" t="s">
        <v>142</v>
      </c>
      <c r="BD623" s="3" t="s">
        <v>68</v>
      </c>
      <c r="BE623" s="3" t="s">
        <v>6083</v>
      </c>
      <c r="BF623" s="3" t="s">
        <v>6093</v>
      </c>
      <c r="BG623" s="3" t="s">
        <v>6094</v>
      </c>
    </row>
    <row r="624" spans="1:59" ht="57" x14ac:dyDescent="0.45">
      <c r="A624" s="2" t="s">
        <v>59</v>
      </c>
      <c r="B624" s="2" t="s">
        <v>60</v>
      </c>
      <c r="C624" s="2" t="s">
        <v>6075</v>
      </c>
      <c r="D624" s="2" t="s">
        <v>6076</v>
      </c>
      <c r="E624" s="2" t="s">
        <v>6077</v>
      </c>
      <c r="F624" s="3" t="s">
        <v>90</v>
      </c>
      <c r="G624" s="3" t="s">
        <v>61</v>
      </c>
      <c r="I624" s="3" t="s">
        <v>61</v>
      </c>
      <c r="J624" s="3" t="s">
        <v>62</v>
      </c>
      <c r="K624" s="3" t="s">
        <v>63</v>
      </c>
      <c r="M624" s="2" t="s">
        <v>6078</v>
      </c>
      <c r="N624" s="3" t="s">
        <v>1253</v>
      </c>
      <c r="P624" s="3" t="s">
        <v>65</v>
      </c>
      <c r="R624" s="3" t="s">
        <v>66</v>
      </c>
      <c r="S624" s="4">
        <v>0</v>
      </c>
      <c r="T624" s="4">
        <v>6</v>
      </c>
      <c r="V624" s="5" t="s">
        <v>733</v>
      </c>
      <c r="W624" s="5" t="s">
        <v>67</v>
      </c>
      <c r="X624" s="5" t="s">
        <v>67</v>
      </c>
      <c r="Y624" s="4">
        <v>311</v>
      </c>
      <c r="Z624" s="4">
        <v>10</v>
      </c>
      <c r="AA624" s="4">
        <v>11</v>
      </c>
      <c r="AB624" s="4">
        <v>1</v>
      </c>
      <c r="AC624" s="4">
        <v>1</v>
      </c>
      <c r="AD624" s="4">
        <v>65</v>
      </c>
      <c r="AE624" s="4">
        <v>66</v>
      </c>
      <c r="AF624" s="4">
        <v>0</v>
      </c>
      <c r="AG624" s="4">
        <v>0</v>
      </c>
      <c r="AH624" s="4">
        <v>58</v>
      </c>
      <c r="AI624" s="4">
        <v>58</v>
      </c>
      <c r="AJ624" s="4">
        <v>6</v>
      </c>
      <c r="AK624" s="4">
        <v>6</v>
      </c>
      <c r="AL624" s="4">
        <v>35</v>
      </c>
      <c r="AM624" s="4">
        <v>35</v>
      </c>
      <c r="AN624" s="4">
        <v>0</v>
      </c>
      <c r="AO624" s="4">
        <v>0</v>
      </c>
      <c r="AP624" s="4">
        <v>8</v>
      </c>
      <c r="AQ624" s="4">
        <v>9</v>
      </c>
      <c r="AR624" s="3" t="s">
        <v>62</v>
      </c>
      <c r="AS624" s="3" t="s">
        <v>62</v>
      </c>
      <c r="AT624" s="3" t="s">
        <v>61</v>
      </c>
      <c r="AU624" s="6" t="str">
        <f t="shared" si="8"/>
        <v>HathiTrust Record</v>
      </c>
      <c r="AV624" s="6" t="str">
        <f t="shared" si="9"/>
        <v>Catalog Record</v>
      </c>
      <c r="AW624" s="6" t="str">
        <f t="shared" si="10"/>
        <v>WorldCat Record</v>
      </c>
      <c r="AX624" s="3" t="s">
        <v>6079</v>
      </c>
      <c r="AY624" s="3" t="s">
        <v>6080</v>
      </c>
      <c r="AZ624" s="3" t="s">
        <v>6081</v>
      </c>
      <c r="BA624" s="3" t="s">
        <v>6081</v>
      </c>
      <c r="BB624" s="3" t="s">
        <v>6095</v>
      </c>
      <c r="BC624" s="3" t="s">
        <v>142</v>
      </c>
      <c r="BD624" s="3" t="s">
        <v>68</v>
      </c>
      <c r="BE624" s="3" t="s">
        <v>6083</v>
      </c>
      <c r="BF624" s="3" t="s">
        <v>6095</v>
      </c>
      <c r="BG624" s="3" t="s">
        <v>6096</v>
      </c>
    </row>
    <row r="625" spans="1:59" ht="57" x14ac:dyDescent="0.45">
      <c r="A625" s="2" t="s">
        <v>59</v>
      </c>
      <c r="B625" s="2" t="s">
        <v>60</v>
      </c>
      <c r="C625" s="2" t="s">
        <v>6075</v>
      </c>
      <c r="D625" s="2" t="s">
        <v>6076</v>
      </c>
      <c r="E625" s="2" t="s">
        <v>6077</v>
      </c>
      <c r="F625" s="3" t="s">
        <v>6097</v>
      </c>
      <c r="G625" s="3" t="s">
        <v>61</v>
      </c>
      <c r="I625" s="3" t="s">
        <v>61</v>
      </c>
      <c r="J625" s="3" t="s">
        <v>62</v>
      </c>
      <c r="K625" s="3" t="s">
        <v>63</v>
      </c>
      <c r="M625" s="2" t="s">
        <v>6078</v>
      </c>
      <c r="N625" s="3" t="s">
        <v>1253</v>
      </c>
      <c r="P625" s="3" t="s">
        <v>65</v>
      </c>
      <c r="R625" s="3" t="s">
        <v>66</v>
      </c>
      <c r="S625" s="4">
        <v>3</v>
      </c>
      <c r="T625" s="4">
        <v>6</v>
      </c>
      <c r="U625" s="5" t="s">
        <v>6098</v>
      </c>
      <c r="V625" s="5" t="s">
        <v>733</v>
      </c>
      <c r="W625" s="5" t="s">
        <v>67</v>
      </c>
      <c r="X625" s="5" t="s">
        <v>67</v>
      </c>
      <c r="Y625" s="4">
        <v>311</v>
      </c>
      <c r="Z625" s="4">
        <v>10</v>
      </c>
      <c r="AA625" s="4">
        <v>11</v>
      </c>
      <c r="AB625" s="4">
        <v>1</v>
      </c>
      <c r="AC625" s="4">
        <v>1</v>
      </c>
      <c r="AD625" s="4">
        <v>65</v>
      </c>
      <c r="AE625" s="4">
        <v>66</v>
      </c>
      <c r="AF625" s="4">
        <v>0</v>
      </c>
      <c r="AG625" s="4">
        <v>0</v>
      </c>
      <c r="AH625" s="4">
        <v>58</v>
      </c>
      <c r="AI625" s="4">
        <v>58</v>
      </c>
      <c r="AJ625" s="4">
        <v>6</v>
      </c>
      <c r="AK625" s="4">
        <v>6</v>
      </c>
      <c r="AL625" s="4">
        <v>35</v>
      </c>
      <c r="AM625" s="4">
        <v>35</v>
      </c>
      <c r="AN625" s="4">
        <v>0</v>
      </c>
      <c r="AO625" s="4">
        <v>0</v>
      </c>
      <c r="AP625" s="4">
        <v>8</v>
      </c>
      <c r="AQ625" s="4">
        <v>9</v>
      </c>
      <c r="AR625" s="3" t="s">
        <v>62</v>
      </c>
      <c r="AS625" s="3" t="s">
        <v>62</v>
      </c>
      <c r="AT625" s="3" t="s">
        <v>61</v>
      </c>
      <c r="AU625" s="6" t="str">
        <f t="shared" si="8"/>
        <v>HathiTrust Record</v>
      </c>
      <c r="AV625" s="6" t="str">
        <f t="shared" si="9"/>
        <v>Catalog Record</v>
      </c>
      <c r="AW625" s="6" t="str">
        <f t="shared" si="10"/>
        <v>WorldCat Record</v>
      </c>
      <c r="AX625" s="3" t="s">
        <v>6079</v>
      </c>
      <c r="AY625" s="3" t="s">
        <v>6080</v>
      </c>
      <c r="AZ625" s="3" t="s">
        <v>6081</v>
      </c>
      <c r="BA625" s="3" t="s">
        <v>6081</v>
      </c>
      <c r="BB625" s="3" t="s">
        <v>6099</v>
      </c>
      <c r="BC625" s="3" t="s">
        <v>142</v>
      </c>
      <c r="BD625" s="3" t="s">
        <v>68</v>
      </c>
      <c r="BE625" s="3" t="s">
        <v>6083</v>
      </c>
      <c r="BF625" s="3" t="s">
        <v>6099</v>
      </c>
      <c r="BG625" s="3" t="s">
        <v>6100</v>
      </c>
    </row>
    <row r="626" spans="1:59" ht="57" x14ac:dyDescent="0.45">
      <c r="A626" s="2" t="s">
        <v>59</v>
      </c>
      <c r="B626" s="2" t="s">
        <v>60</v>
      </c>
      <c r="C626" s="2" t="s">
        <v>6075</v>
      </c>
      <c r="D626" s="2" t="s">
        <v>6076</v>
      </c>
      <c r="E626" s="2" t="s">
        <v>6077</v>
      </c>
      <c r="F626" s="3" t="s">
        <v>6097</v>
      </c>
      <c r="G626" s="3" t="s">
        <v>61</v>
      </c>
      <c r="I626" s="3" t="s">
        <v>61</v>
      </c>
      <c r="J626" s="3" t="s">
        <v>62</v>
      </c>
      <c r="K626" s="3" t="s">
        <v>63</v>
      </c>
      <c r="M626" s="2" t="s">
        <v>6078</v>
      </c>
      <c r="N626" s="3" t="s">
        <v>1253</v>
      </c>
      <c r="P626" s="3" t="s">
        <v>65</v>
      </c>
      <c r="R626" s="3" t="s">
        <v>66</v>
      </c>
      <c r="S626" s="4">
        <v>1</v>
      </c>
      <c r="T626" s="4">
        <v>6</v>
      </c>
      <c r="U626" s="5" t="s">
        <v>6101</v>
      </c>
      <c r="V626" s="5" t="s">
        <v>733</v>
      </c>
      <c r="W626" s="5" t="s">
        <v>67</v>
      </c>
      <c r="X626" s="5" t="s">
        <v>67</v>
      </c>
      <c r="Y626" s="4">
        <v>311</v>
      </c>
      <c r="Z626" s="4">
        <v>10</v>
      </c>
      <c r="AA626" s="4">
        <v>11</v>
      </c>
      <c r="AB626" s="4">
        <v>1</v>
      </c>
      <c r="AC626" s="4">
        <v>1</v>
      </c>
      <c r="AD626" s="4">
        <v>65</v>
      </c>
      <c r="AE626" s="4">
        <v>66</v>
      </c>
      <c r="AF626" s="4">
        <v>0</v>
      </c>
      <c r="AG626" s="4">
        <v>0</v>
      </c>
      <c r="AH626" s="4">
        <v>58</v>
      </c>
      <c r="AI626" s="4">
        <v>58</v>
      </c>
      <c r="AJ626" s="4">
        <v>6</v>
      </c>
      <c r="AK626" s="4">
        <v>6</v>
      </c>
      <c r="AL626" s="4">
        <v>35</v>
      </c>
      <c r="AM626" s="4">
        <v>35</v>
      </c>
      <c r="AN626" s="4">
        <v>0</v>
      </c>
      <c r="AO626" s="4">
        <v>0</v>
      </c>
      <c r="AP626" s="4">
        <v>8</v>
      </c>
      <c r="AQ626" s="4">
        <v>9</v>
      </c>
      <c r="AR626" s="3" t="s">
        <v>62</v>
      </c>
      <c r="AS626" s="3" t="s">
        <v>62</v>
      </c>
      <c r="AT626" s="3" t="s">
        <v>61</v>
      </c>
      <c r="AU626" s="6" t="str">
        <f t="shared" si="8"/>
        <v>HathiTrust Record</v>
      </c>
      <c r="AV626" s="6" t="str">
        <f t="shared" si="9"/>
        <v>Catalog Record</v>
      </c>
      <c r="AW626" s="6" t="str">
        <f t="shared" si="10"/>
        <v>WorldCat Record</v>
      </c>
      <c r="AX626" s="3" t="s">
        <v>6079</v>
      </c>
      <c r="AY626" s="3" t="s">
        <v>6080</v>
      </c>
      <c r="AZ626" s="3" t="s">
        <v>6081</v>
      </c>
      <c r="BA626" s="3" t="s">
        <v>6081</v>
      </c>
      <c r="BB626" s="3" t="s">
        <v>6102</v>
      </c>
      <c r="BC626" s="3" t="s">
        <v>142</v>
      </c>
      <c r="BD626" s="3" t="s">
        <v>68</v>
      </c>
      <c r="BE626" s="3" t="s">
        <v>6083</v>
      </c>
      <c r="BF626" s="3" t="s">
        <v>6102</v>
      </c>
      <c r="BG626" s="3" t="s">
        <v>6103</v>
      </c>
    </row>
    <row r="627" spans="1:59" ht="57" x14ac:dyDescent="0.45">
      <c r="A627" s="2" t="s">
        <v>59</v>
      </c>
      <c r="B627" s="2" t="s">
        <v>60</v>
      </c>
      <c r="C627" s="2" t="s">
        <v>6075</v>
      </c>
      <c r="D627" s="2" t="s">
        <v>6076</v>
      </c>
      <c r="E627" s="2" t="s">
        <v>6077</v>
      </c>
      <c r="F627" s="3" t="s">
        <v>87</v>
      </c>
      <c r="G627" s="3" t="s">
        <v>61</v>
      </c>
      <c r="I627" s="3" t="s">
        <v>61</v>
      </c>
      <c r="J627" s="3" t="s">
        <v>62</v>
      </c>
      <c r="K627" s="3" t="s">
        <v>63</v>
      </c>
      <c r="M627" s="2" t="s">
        <v>6078</v>
      </c>
      <c r="N627" s="3" t="s">
        <v>1253</v>
      </c>
      <c r="P627" s="3" t="s">
        <v>65</v>
      </c>
      <c r="R627" s="3" t="s">
        <v>66</v>
      </c>
      <c r="S627" s="4">
        <v>1</v>
      </c>
      <c r="T627" s="4">
        <v>6</v>
      </c>
      <c r="U627" s="5" t="s">
        <v>733</v>
      </c>
      <c r="V627" s="5" t="s">
        <v>733</v>
      </c>
      <c r="W627" s="5" t="s">
        <v>67</v>
      </c>
      <c r="X627" s="5" t="s">
        <v>67</v>
      </c>
      <c r="Y627" s="4">
        <v>311</v>
      </c>
      <c r="Z627" s="4">
        <v>10</v>
      </c>
      <c r="AA627" s="4">
        <v>11</v>
      </c>
      <c r="AB627" s="4">
        <v>1</v>
      </c>
      <c r="AC627" s="4">
        <v>1</v>
      </c>
      <c r="AD627" s="4">
        <v>65</v>
      </c>
      <c r="AE627" s="4">
        <v>66</v>
      </c>
      <c r="AF627" s="4">
        <v>0</v>
      </c>
      <c r="AG627" s="4">
        <v>0</v>
      </c>
      <c r="AH627" s="4">
        <v>58</v>
      </c>
      <c r="AI627" s="4">
        <v>58</v>
      </c>
      <c r="AJ627" s="4">
        <v>6</v>
      </c>
      <c r="AK627" s="4">
        <v>6</v>
      </c>
      <c r="AL627" s="4">
        <v>35</v>
      </c>
      <c r="AM627" s="4">
        <v>35</v>
      </c>
      <c r="AN627" s="4">
        <v>0</v>
      </c>
      <c r="AO627" s="4">
        <v>0</v>
      </c>
      <c r="AP627" s="4">
        <v>8</v>
      </c>
      <c r="AQ627" s="4">
        <v>9</v>
      </c>
      <c r="AR627" s="3" t="s">
        <v>62</v>
      </c>
      <c r="AS627" s="3" t="s">
        <v>62</v>
      </c>
      <c r="AT627" s="3" t="s">
        <v>61</v>
      </c>
      <c r="AU627" s="6" t="str">
        <f t="shared" si="8"/>
        <v>HathiTrust Record</v>
      </c>
      <c r="AV627" s="6" t="str">
        <f t="shared" si="9"/>
        <v>Catalog Record</v>
      </c>
      <c r="AW627" s="6" t="str">
        <f t="shared" si="10"/>
        <v>WorldCat Record</v>
      </c>
      <c r="AX627" s="3" t="s">
        <v>6079</v>
      </c>
      <c r="AY627" s="3" t="s">
        <v>6080</v>
      </c>
      <c r="AZ627" s="3" t="s">
        <v>6081</v>
      </c>
      <c r="BA627" s="3" t="s">
        <v>6081</v>
      </c>
      <c r="BB627" s="3" t="s">
        <v>6104</v>
      </c>
      <c r="BC627" s="3" t="s">
        <v>142</v>
      </c>
      <c r="BD627" s="3" t="s">
        <v>68</v>
      </c>
      <c r="BE627" s="3" t="s">
        <v>6083</v>
      </c>
      <c r="BF627" s="3" t="s">
        <v>6104</v>
      </c>
      <c r="BG627" s="3" t="s">
        <v>6105</v>
      </c>
    </row>
    <row r="628" spans="1:59" ht="57" x14ac:dyDescent="0.45">
      <c r="A628" s="2" t="s">
        <v>59</v>
      </c>
      <c r="B628" s="2" t="s">
        <v>60</v>
      </c>
      <c r="C628" s="2" t="s">
        <v>6106</v>
      </c>
      <c r="D628" s="2" t="s">
        <v>6107</v>
      </c>
      <c r="E628" s="2" t="s">
        <v>6108</v>
      </c>
      <c r="F628" s="3" t="s">
        <v>90</v>
      </c>
      <c r="G628" s="3" t="s">
        <v>61</v>
      </c>
      <c r="I628" s="3" t="s">
        <v>62</v>
      </c>
      <c r="J628" s="3" t="s">
        <v>62</v>
      </c>
      <c r="K628" s="3" t="s">
        <v>63</v>
      </c>
      <c r="M628" s="2" t="s">
        <v>6109</v>
      </c>
      <c r="N628" s="3" t="s">
        <v>820</v>
      </c>
      <c r="O628" s="2" t="s">
        <v>933</v>
      </c>
      <c r="P628" s="3" t="s">
        <v>65</v>
      </c>
      <c r="Q628" s="2" t="s">
        <v>6110</v>
      </c>
      <c r="R628" s="3" t="s">
        <v>66</v>
      </c>
      <c r="S628" s="4">
        <v>0</v>
      </c>
      <c r="T628" s="4">
        <v>8</v>
      </c>
      <c r="V628" s="5" t="s">
        <v>5605</v>
      </c>
      <c r="W628" s="5" t="s">
        <v>67</v>
      </c>
      <c r="X628" s="5" t="s">
        <v>67</v>
      </c>
      <c r="Y628" s="4">
        <v>122</v>
      </c>
      <c r="Z628" s="4">
        <v>7</v>
      </c>
      <c r="AA628" s="4">
        <v>40</v>
      </c>
      <c r="AB628" s="4">
        <v>1</v>
      </c>
      <c r="AC628" s="4">
        <v>9</v>
      </c>
      <c r="AD628" s="4">
        <v>25</v>
      </c>
      <c r="AE628" s="4">
        <v>90</v>
      </c>
      <c r="AF628" s="4">
        <v>0</v>
      </c>
      <c r="AG628" s="4">
        <v>7</v>
      </c>
      <c r="AH628" s="4">
        <v>21</v>
      </c>
      <c r="AI628" s="4">
        <v>62</v>
      </c>
      <c r="AJ628" s="4">
        <v>6</v>
      </c>
      <c r="AK628" s="4">
        <v>20</v>
      </c>
      <c r="AL628" s="4">
        <v>13</v>
      </c>
      <c r="AM628" s="4">
        <v>31</v>
      </c>
      <c r="AN628" s="4">
        <v>0</v>
      </c>
      <c r="AO628" s="4">
        <v>0</v>
      </c>
      <c r="AP628" s="4">
        <v>6</v>
      </c>
      <c r="AQ628" s="4">
        <v>35</v>
      </c>
      <c r="AR628" s="3" t="s">
        <v>62</v>
      </c>
      <c r="AS628" s="3" t="s">
        <v>62</v>
      </c>
      <c r="AT628" s="3" t="s">
        <v>61</v>
      </c>
      <c r="AU628" s="6" t="str">
        <f t="shared" ref="AU628:AU636" si="11">HYPERLINK("http://catalog.hathitrust.org/Record/008318184","HathiTrust Record")</f>
        <v>HathiTrust Record</v>
      </c>
      <c r="AV628" s="6" t="str">
        <f t="shared" ref="AV628:AV636" si="12">HYPERLINK("http://mcgill.on.worldcat.org/oclc/185028339","Catalog Record")</f>
        <v>Catalog Record</v>
      </c>
      <c r="AW628" s="6" t="str">
        <f t="shared" ref="AW628:AW636" si="13">HYPERLINK("http://www.worldcat.org/oclc/185028339","WorldCat Record")</f>
        <v>WorldCat Record</v>
      </c>
      <c r="AX628" s="3" t="s">
        <v>6111</v>
      </c>
      <c r="AY628" s="3" t="s">
        <v>6112</v>
      </c>
      <c r="AZ628" s="3" t="s">
        <v>6113</v>
      </c>
      <c r="BA628" s="3" t="s">
        <v>6113</v>
      </c>
      <c r="BB628" s="3" t="s">
        <v>6114</v>
      </c>
      <c r="BC628" s="3" t="s">
        <v>142</v>
      </c>
      <c r="BD628" s="3" t="s">
        <v>68</v>
      </c>
      <c r="BE628" s="3" t="s">
        <v>6115</v>
      </c>
      <c r="BF628" s="3" t="s">
        <v>6114</v>
      </c>
      <c r="BG628" s="3" t="s">
        <v>6116</v>
      </c>
    </row>
    <row r="629" spans="1:59" ht="57" x14ac:dyDescent="0.45">
      <c r="A629" s="2" t="s">
        <v>59</v>
      </c>
      <c r="B629" s="2" t="s">
        <v>60</v>
      </c>
      <c r="C629" s="2" t="s">
        <v>6106</v>
      </c>
      <c r="D629" s="2" t="s">
        <v>6107</v>
      </c>
      <c r="E629" s="2" t="s">
        <v>6108</v>
      </c>
      <c r="F629" s="3" t="s">
        <v>6097</v>
      </c>
      <c r="G629" s="3" t="s">
        <v>61</v>
      </c>
      <c r="I629" s="3" t="s">
        <v>62</v>
      </c>
      <c r="J629" s="3" t="s">
        <v>62</v>
      </c>
      <c r="K629" s="3" t="s">
        <v>63</v>
      </c>
      <c r="M629" s="2" t="s">
        <v>6109</v>
      </c>
      <c r="N629" s="3" t="s">
        <v>820</v>
      </c>
      <c r="O629" s="2" t="s">
        <v>933</v>
      </c>
      <c r="P629" s="3" t="s">
        <v>65</v>
      </c>
      <c r="Q629" s="2" t="s">
        <v>6110</v>
      </c>
      <c r="R629" s="3" t="s">
        <v>66</v>
      </c>
      <c r="S629" s="4">
        <v>5</v>
      </c>
      <c r="T629" s="4">
        <v>8</v>
      </c>
      <c r="U629" s="5" t="s">
        <v>6117</v>
      </c>
      <c r="V629" s="5" t="s">
        <v>5605</v>
      </c>
      <c r="W629" s="5" t="s">
        <v>67</v>
      </c>
      <c r="X629" s="5" t="s">
        <v>67</v>
      </c>
      <c r="Y629" s="4">
        <v>122</v>
      </c>
      <c r="Z629" s="4">
        <v>7</v>
      </c>
      <c r="AA629" s="4">
        <v>40</v>
      </c>
      <c r="AB629" s="4">
        <v>1</v>
      </c>
      <c r="AC629" s="4">
        <v>9</v>
      </c>
      <c r="AD629" s="4">
        <v>25</v>
      </c>
      <c r="AE629" s="4">
        <v>90</v>
      </c>
      <c r="AF629" s="4">
        <v>0</v>
      </c>
      <c r="AG629" s="4">
        <v>7</v>
      </c>
      <c r="AH629" s="4">
        <v>21</v>
      </c>
      <c r="AI629" s="4">
        <v>62</v>
      </c>
      <c r="AJ629" s="4">
        <v>6</v>
      </c>
      <c r="AK629" s="4">
        <v>20</v>
      </c>
      <c r="AL629" s="4">
        <v>13</v>
      </c>
      <c r="AM629" s="4">
        <v>31</v>
      </c>
      <c r="AN629" s="4">
        <v>0</v>
      </c>
      <c r="AO629" s="4">
        <v>0</v>
      </c>
      <c r="AP629" s="4">
        <v>6</v>
      </c>
      <c r="AQ629" s="4">
        <v>35</v>
      </c>
      <c r="AR629" s="3" t="s">
        <v>62</v>
      </c>
      <c r="AS629" s="3" t="s">
        <v>62</v>
      </c>
      <c r="AT629" s="3" t="s">
        <v>61</v>
      </c>
      <c r="AU629" s="6" t="str">
        <f t="shared" si="11"/>
        <v>HathiTrust Record</v>
      </c>
      <c r="AV629" s="6" t="str">
        <f t="shared" si="12"/>
        <v>Catalog Record</v>
      </c>
      <c r="AW629" s="6" t="str">
        <f t="shared" si="13"/>
        <v>WorldCat Record</v>
      </c>
      <c r="AX629" s="3" t="s">
        <v>6111</v>
      </c>
      <c r="AY629" s="3" t="s">
        <v>6112</v>
      </c>
      <c r="AZ629" s="3" t="s">
        <v>6113</v>
      </c>
      <c r="BA629" s="3" t="s">
        <v>6113</v>
      </c>
      <c r="BB629" s="3" t="s">
        <v>6118</v>
      </c>
      <c r="BC629" s="3" t="s">
        <v>142</v>
      </c>
      <c r="BD629" s="3" t="s">
        <v>68</v>
      </c>
      <c r="BE629" s="3" t="s">
        <v>6115</v>
      </c>
      <c r="BF629" s="3" t="s">
        <v>6118</v>
      </c>
      <c r="BG629" s="3" t="s">
        <v>6119</v>
      </c>
    </row>
    <row r="630" spans="1:59" ht="57" x14ac:dyDescent="0.45">
      <c r="A630" s="2" t="s">
        <v>59</v>
      </c>
      <c r="B630" s="2" t="s">
        <v>60</v>
      </c>
      <c r="C630" s="2" t="s">
        <v>6106</v>
      </c>
      <c r="D630" s="2" t="s">
        <v>6107</v>
      </c>
      <c r="E630" s="2" t="s">
        <v>6108</v>
      </c>
      <c r="F630" s="3" t="s">
        <v>6120</v>
      </c>
      <c r="G630" s="3" t="s">
        <v>61</v>
      </c>
      <c r="I630" s="3" t="s">
        <v>62</v>
      </c>
      <c r="J630" s="3" t="s">
        <v>62</v>
      </c>
      <c r="K630" s="3" t="s">
        <v>63</v>
      </c>
      <c r="M630" s="2" t="s">
        <v>6109</v>
      </c>
      <c r="N630" s="3" t="s">
        <v>820</v>
      </c>
      <c r="O630" s="2" t="s">
        <v>933</v>
      </c>
      <c r="P630" s="3" t="s">
        <v>65</v>
      </c>
      <c r="Q630" s="2" t="s">
        <v>6110</v>
      </c>
      <c r="R630" s="3" t="s">
        <v>66</v>
      </c>
      <c r="S630" s="4">
        <v>0</v>
      </c>
      <c r="T630" s="4">
        <v>8</v>
      </c>
      <c r="V630" s="5" t="s">
        <v>5605</v>
      </c>
      <c r="W630" s="5" t="s">
        <v>67</v>
      </c>
      <c r="X630" s="5" t="s">
        <v>67</v>
      </c>
      <c r="Y630" s="4">
        <v>122</v>
      </c>
      <c r="Z630" s="4">
        <v>7</v>
      </c>
      <c r="AA630" s="4">
        <v>40</v>
      </c>
      <c r="AB630" s="4">
        <v>1</v>
      </c>
      <c r="AC630" s="4">
        <v>9</v>
      </c>
      <c r="AD630" s="4">
        <v>25</v>
      </c>
      <c r="AE630" s="4">
        <v>90</v>
      </c>
      <c r="AF630" s="4">
        <v>0</v>
      </c>
      <c r="AG630" s="4">
        <v>7</v>
      </c>
      <c r="AH630" s="4">
        <v>21</v>
      </c>
      <c r="AI630" s="4">
        <v>62</v>
      </c>
      <c r="AJ630" s="4">
        <v>6</v>
      </c>
      <c r="AK630" s="4">
        <v>20</v>
      </c>
      <c r="AL630" s="4">
        <v>13</v>
      </c>
      <c r="AM630" s="4">
        <v>31</v>
      </c>
      <c r="AN630" s="4">
        <v>0</v>
      </c>
      <c r="AO630" s="4">
        <v>0</v>
      </c>
      <c r="AP630" s="4">
        <v>6</v>
      </c>
      <c r="AQ630" s="4">
        <v>35</v>
      </c>
      <c r="AR630" s="3" t="s">
        <v>62</v>
      </c>
      <c r="AS630" s="3" t="s">
        <v>62</v>
      </c>
      <c r="AT630" s="3" t="s">
        <v>61</v>
      </c>
      <c r="AU630" s="6" t="str">
        <f t="shared" si="11"/>
        <v>HathiTrust Record</v>
      </c>
      <c r="AV630" s="6" t="str">
        <f t="shared" si="12"/>
        <v>Catalog Record</v>
      </c>
      <c r="AW630" s="6" t="str">
        <f t="shared" si="13"/>
        <v>WorldCat Record</v>
      </c>
      <c r="AX630" s="3" t="s">
        <v>6111</v>
      </c>
      <c r="AY630" s="3" t="s">
        <v>6112</v>
      </c>
      <c r="AZ630" s="3" t="s">
        <v>6113</v>
      </c>
      <c r="BA630" s="3" t="s">
        <v>6113</v>
      </c>
      <c r="BB630" s="3" t="s">
        <v>6121</v>
      </c>
      <c r="BC630" s="3" t="s">
        <v>142</v>
      </c>
      <c r="BD630" s="3" t="s">
        <v>68</v>
      </c>
      <c r="BE630" s="3" t="s">
        <v>6115</v>
      </c>
      <c r="BF630" s="3" t="s">
        <v>6121</v>
      </c>
      <c r="BG630" s="3" t="s">
        <v>6122</v>
      </c>
    </row>
    <row r="631" spans="1:59" ht="57" x14ac:dyDescent="0.45">
      <c r="A631" s="2" t="s">
        <v>59</v>
      </c>
      <c r="B631" s="2" t="s">
        <v>60</v>
      </c>
      <c r="C631" s="2" t="s">
        <v>6106</v>
      </c>
      <c r="D631" s="2" t="s">
        <v>6107</v>
      </c>
      <c r="E631" s="2" t="s">
        <v>6108</v>
      </c>
      <c r="F631" s="3" t="s">
        <v>87</v>
      </c>
      <c r="G631" s="3" t="s">
        <v>61</v>
      </c>
      <c r="I631" s="3" t="s">
        <v>62</v>
      </c>
      <c r="J631" s="3" t="s">
        <v>62</v>
      </c>
      <c r="K631" s="3" t="s">
        <v>63</v>
      </c>
      <c r="M631" s="2" t="s">
        <v>6109</v>
      </c>
      <c r="N631" s="3" t="s">
        <v>820</v>
      </c>
      <c r="O631" s="2" t="s">
        <v>933</v>
      </c>
      <c r="P631" s="3" t="s">
        <v>65</v>
      </c>
      <c r="Q631" s="2" t="s">
        <v>6110</v>
      </c>
      <c r="R631" s="3" t="s">
        <v>66</v>
      </c>
      <c r="S631" s="4">
        <v>0</v>
      </c>
      <c r="T631" s="4">
        <v>8</v>
      </c>
      <c r="V631" s="5" t="s">
        <v>5605</v>
      </c>
      <c r="W631" s="5" t="s">
        <v>67</v>
      </c>
      <c r="X631" s="5" t="s">
        <v>67</v>
      </c>
      <c r="Y631" s="4">
        <v>122</v>
      </c>
      <c r="Z631" s="4">
        <v>7</v>
      </c>
      <c r="AA631" s="4">
        <v>40</v>
      </c>
      <c r="AB631" s="4">
        <v>1</v>
      </c>
      <c r="AC631" s="4">
        <v>9</v>
      </c>
      <c r="AD631" s="4">
        <v>25</v>
      </c>
      <c r="AE631" s="4">
        <v>90</v>
      </c>
      <c r="AF631" s="4">
        <v>0</v>
      </c>
      <c r="AG631" s="4">
        <v>7</v>
      </c>
      <c r="AH631" s="4">
        <v>21</v>
      </c>
      <c r="AI631" s="4">
        <v>62</v>
      </c>
      <c r="AJ631" s="4">
        <v>6</v>
      </c>
      <c r="AK631" s="4">
        <v>20</v>
      </c>
      <c r="AL631" s="4">
        <v>13</v>
      </c>
      <c r="AM631" s="4">
        <v>31</v>
      </c>
      <c r="AN631" s="4">
        <v>0</v>
      </c>
      <c r="AO631" s="4">
        <v>0</v>
      </c>
      <c r="AP631" s="4">
        <v>6</v>
      </c>
      <c r="AQ631" s="4">
        <v>35</v>
      </c>
      <c r="AR631" s="3" t="s">
        <v>62</v>
      </c>
      <c r="AS631" s="3" t="s">
        <v>62</v>
      </c>
      <c r="AT631" s="3" t="s">
        <v>61</v>
      </c>
      <c r="AU631" s="6" t="str">
        <f t="shared" si="11"/>
        <v>HathiTrust Record</v>
      </c>
      <c r="AV631" s="6" t="str">
        <f t="shared" si="12"/>
        <v>Catalog Record</v>
      </c>
      <c r="AW631" s="6" t="str">
        <f t="shared" si="13"/>
        <v>WorldCat Record</v>
      </c>
      <c r="AX631" s="3" t="s">
        <v>6111</v>
      </c>
      <c r="AY631" s="3" t="s">
        <v>6112</v>
      </c>
      <c r="AZ631" s="3" t="s">
        <v>6113</v>
      </c>
      <c r="BA631" s="3" t="s">
        <v>6113</v>
      </c>
      <c r="BB631" s="3" t="s">
        <v>6123</v>
      </c>
      <c r="BC631" s="3" t="s">
        <v>142</v>
      </c>
      <c r="BD631" s="3" t="s">
        <v>68</v>
      </c>
      <c r="BE631" s="3" t="s">
        <v>6115</v>
      </c>
      <c r="BF631" s="3" t="s">
        <v>6123</v>
      </c>
      <c r="BG631" s="3" t="s">
        <v>6124</v>
      </c>
    </row>
    <row r="632" spans="1:59" ht="57" x14ac:dyDescent="0.45">
      <c r="A632" s="2" t="s">
        <v>59</v>
      </c>
      <c r="B632" s="2" t="s">
        <v>60</v>
      </c>
      <c r="C632" s="2" t="s">
        <v>6106</v>
      </c>
      <c r="D632" s="2" t="s">
        <v>6107</v>
      </c>
      <c r="E632" s="2" t="s">
        <v>6108</v>
      </c>
      <c r="F632" s="3" t="s">
        <v>6125</v>
      </c>
      <c r="G632" s="3" t="s">
        <v>61</v>
      </c>
      <c r="I632" s="3" t="s">
        <v>62</v>
      </c>
      <c r="J632" s="3" t="s">
        <v>62</v>
      </c>
      <c r="K632" s="3" t="s">
        <v>63</v>
      </c>
      <c r="M632" s="2" t="s">
        <v>6109</v>
      </c>
      <c r="N632" s="3" t="s">
        <v>820</v>
      </c>
      <c r="O632" s="2" t="s">
        <v>933</v>
      </c>
      <c r="P632" s="3" t="s">
        <v>65</v>
      </c>
      <c r="Q632" s="2" t="s">
        <v>6110</v>
      </c>
      <c r="R632" s="3" t="s">
        <v>66</v>
      </c>
      <c r="S632" s="4">
        <v>0</v>
      </c>
      <c r="T632" s="4">
        <v>8</v>
      </c>
      <c r="V632" s="5" t="s">
        <v>5605</v>
      </c>
      <c r="W632" s="5" t="s">
        <v>67</v>
      </c>
      <c r="X632" s="5" t="s">
        <v>67</v>
      </c>
      <c r="Y632" s="4">
        <v>122</v>
      </c>
      <c r="Z632" s="4">
        <v>7</v>
      </c>
      <c r="AA632" s="4">
        <v>40</v>
      </c>
      <c r="AB632" s="4">
        <v>1</v>
      </c>
      <c r="AC632" s="4">
        <v>9</v>
      </c>
      <c r="AD632" s="4">
        <v>25</v>
      </c>
      <c r="AE632" s="4">
        <v>90</v>
      </c>
      <c r="AF632" s="4">
        <v>0</v>
      </c>
      <c r="AG632" s="4">
        <v>7</v>
      </c>
      <c r="AH632" s="4">
        <v>21</v>
      </c>
      <c r="AI632" s="4">
        <v>62</v>
      </c>
      <c r="AJ632" s="4">
        <v>6</v>
      </c>
      <c r="AK632" s="4">
        <v>20</v>
      </c>
      <c r="AL632" s="4">
        <v>13</v>
      </c>
      <c r="AM632" s="4">
        <v>31</v>
      </c>
      <c r="AN632" s="4">
        <v>0</v>
      </c>
      <c r="AO632" s="4">
        <v>0</v>
      </c>
      <c r="AP632" s="4">
        <v>6</v>
      </c>
      <c r="AQ632" s="4">
        <v>35</v>
      </c>
      <c r="AR632" s="3" t="s">
        <v>62</v>
      </c>
      <c r="AS632" s="3" t="s">
        <v>62</v>
      </c>
      <c r="AT632" s="3" t="s">
        <v>61</v>
      </c>
      <c r="AU632" s="6" t="str">
        <f t="shared" si="11"/>
        <v>HathiTrust Record</v>
      </c>
      <c r="AV632" s="6" t="str">
        <f t="shared" si="12"/>
        <v>Catalog Record</v>
      </c>
      <c r="AW632" s="6" t="str">
        <f t="shared" si="13"/>
        <v>WorldCat Record</v>
      </c>
      <c r="AX632" s="3" t="s">
        <v>6111</v>
      </c>
      <c r="AY632" s="3" t="s">
        <v>6112</v>
      </c>
      <c r="AZ632" s="3" t="s">
        <v>6113</v>
      </c>
      <c r="BA632" s="3" t="s">
        <v>6113</v>
      </c>
      <c r="BB632" s="3" t="s">
        <v>6126</v>
      </c>
      <c r="BC632" s="3" t="s">
        <v>142</v>
      </c>
      <c r="BD632" s="3" t="s">
        <v>68</v>
      </c>
      <c r="BE632" s="3" t="s">
        <v>6115</v>
      </c>
      <c r="BF632" s="3" t="s">
        <v>6126</v>
      </c>
      <c r="BG632" s="3" t="s">
        <v>6127</v>
      </c>
    </row>
    <row r="633" spans="1:59" ht="57" x14ac:dyDescent="0.45">
      <c r="A633" s="2" t="s">
        <v>59</v>
      </c>
      <c r="B633" s="2" t="s">
        <v>60</v>
      </c>
      <c r="C633" s="2" t="s">
        <v>6106</v>
      </c>
      <c r="D633" s="2" t="s">
        <v>6107</v>
      </c>
      <c r="E633" s="2" t="s">
        <v>6108</v>
      </c>
      <c r="F633" s="3" t="s">
        <v>83</v>
      </c>
      <c r="G633" s="3" t="s">
        <v>61</v>
      </c>
      <c r="I633" s="3" t="s">
        <v>62</v>
      </c>
      <c r="J633" s="3" t="s">
        <v>62</v>
      </c>
      <c r="K633" s="3" t="s">
        <v>63</v>
      </c>
      <c r="M633" s="2" t="s">
        <v>6109</v>
      </c>
      <c r="N633" s="3" t="s">
        <v>820</v>
      </c>
      <c r="O633" s="2" t="s">
        <v>933</v>
      </c>
      <c r="P633" s="3" t="s">
        <v>65</v>
      </c>
      <c r="Q633" s="2" t="s">
        <v>6110</v>
      </c>
      <c r="R633" s="3" t="s">
        <v>66</v>
      </c>
      <c r="S633" s="4">
        <v>0</v>
      </c>
      <c r="T633" s="4">
        <v>8</v>
      </c>
      <c r="V633" s="5" t="s">
        <v>5605</v>
      </c>
      <c r="W633" s="5" t="s">
        <v>67</v>
      </c>
      <c r="X633" s="5" t="s">
        <v>67</v>
      </c>
      <c r="Y633" s="4">
        <v>122</v>
      </c>
      <c r="Z633" s="4">
        <v>7</v>
      </c>
      <c r="AA633" s="4">
        <v>40</v>
      </c>
      <c r="AB633" s="4">
        <v>1</v>
      </c>
      <c r="AC633" s="4">
        <v>9</v>
      </c>
      <c r="AD633" s="4">
        <v>25</v>
      </c>
      <c r="AE633" s="4">
        <v>90</v>
      </c>
      <c r="AF633" s="4">
        <v>0</v>
      </c>
      <c r="AG633" s="4">
        <v>7</v>
      </c>
      <c r="AH633" s="4">
        <v>21</v>
      </c>
      <c r="AI633" s="4">
        <v>62</v>
      </c>
      <c r="AJ633" s="4">
        <v>6</v>
      </c>
      <c r="AK633" s="4">
        <v>20</v>
      </c>
      <c r="AL633" s="4">
        <v>13</v>
      </c>
      <c r="AM633" s="4">
        <v>31</v>
      </c>
      <c r="AN633" s="4">
        <v>0</v>
      </c>
      <c r="AO633" s="4">
        <v>0</v>
      </c>
      <c r="AP633" s="4">
        <v>6</v>
      </c>
      <c r="AQ633" s="4">
        <v>35</v>
      </c>
      <c r="AR633" s="3" t="s">
        <v>62</v>
      </c>
      <c r="AS633" s="3" t="s">
        <v>62</v>
      </c>
      <c r="AT633" s="3" t="s">
        <v>61</v>
      </c>
      <c r="AU633" s="6" t="str">
        <f t="shared" si="11"/>
        <v>HathiTrust Record</v>
      </c>
      <c r="AV633" s="6" t="str">
        <f t="shared" si="12"/>
        <v>Catalog Record</v>
      </c>
      <c r="AW633" s="6" t="str">
        <f t="shared" si="13"/>
        <v>WorldCat Record</v>
      </c>
      <c r="AX633" s="3" t="s">
        <v>6111</v>
      </c>
      <c r="AY633" s="3" t="s">
        <v>6112</v>
      </c>
      <c r="AZ633" s="3" t="s">
        <v>6113</v>
      </c>
      <c r="BA633" s="3" t="s">
        <v>6113</v>
      </c>
      <c r="BB633" s="3" t="s">
        <v>6128</v>
      </c>
      <c r="BC633" s="3" t="s">
        <v>142</v>
      </c>
      <c r="BD633" s="3" t="s">
        <v>68</v>
      </c>
      <c r="BE633" s="3" t="s">
        <v>6115</v>
      </c>
      <c r="BF633" s="3" t="s">
        <v>6128</v>
      </c>
      <c r="BG633" s="3" t="s">
        <v>6129</v>
      </c>
    </row>
    <row r="634" spans="1:59" ht="57" x14ac:dyDescent="0.45">
      <c r="A634" s="2" t="s">
        <v>59</v>
      </c>
      <c r="B634" s="2" t="s">
        <v>60</v>
      </c>
      <c r="C634" s="2" t="s">
        <v>6106</v>
      </c>
      <c r="D634" s="2" t="s">
        <v>6107</v>
      </c>
      <c r="E634" s="2" t="s">
        <v>6108</v>
      </c>
      <c r="F634" s="3" t="s">
        <v>89</v>
      </c>
      <c r="G634" s="3" t="s">
        <v>61</v>
      </c>
      <c r="I634" s="3" t="s">
        <v>62</v>
      </c>
      <c r="J634" s="3" t="s">
        <v>62</v>
      </c>
      <c r="K634" s="3" t="s">
        <v>63</v>
      </c>
      <c r="M634" s="2" t="s">
        <v>6109</v>
      </c>
      <c r="N634" s="3" t="s">
        <v>820</v>
      </c>
      <c r="O634" s="2" t="s">
        <v>933</v>
      </c>
      <c r="P634" s="3" t="s">
        <v>65</v>
      </c>
      <c r="Q634" s="2" t="s">
        <v>6110</v>
      </c>
      <c r="R634" s="3" t="s">
        <v>66</v>
      </c>
      <c r="S634" s="4">
        <v>0</v>
      </c>
      <c r="T634" s="4">
        <v>8</v>
      </c>
      <c r="V634" s="5" t="s">
        <v>5605</v>
      </c>
      <c r="W634" s="5" t="s">
        <v>67</v>
      </c>
      <c r="X634" s="5" t="s">
        <v>67</v>
      </c>
      <c r="Y634" s="4">
        <v>122</v>
      </c>
      <c r="Z634" s="4">
        <v>7</v>
      </c>
      <c r="AA634" s="4">
        <v>40</v>
      </c>
      <c r="AB634" s="4">
        <v>1</v>
      </c>
      <c r="AC634" s="4">
        <v>9</v>
      </c>
      <c r="AD634" s="4">
        <v>25</v>
      </c>
      <c r="AE634" s="4">
        <v>90</v>
      </c>
      <c r="AF634" s="4">
        <v>0</v>
      </c>
      <c r="AG634" s="4">
        <v>7</v>
      </c>
      <c r="AH634" s="4">
        <v>21</v>
      </c>
      <c r="AI634" s="4">
        <v>62</v>
      </c>
      <c r="AJ634" s="4">
        <v>6</v>
      </c>
      <c r="AK634" s="4">
        <v>20</v>
      </c>
      <c r="AL634" s="4">
        <v>13</v>
      </c>
      <c r="AM634" s="4">
        <v>31</v>
      </c>
      <c r="AN634" s="4">
        <v>0</v>
      </c>
      <c r="AO634" s="4">
        <v>0</v>
      </c>
      <c r="AP634" s="4">
        <v>6</v>
      </c>
      <c r="AQ634" s="4">
        <v>35</v>
      </c>
      <c r="AR634" s="3" t="s">
        <v>62</v>
      </c>
      <c r="AS634" s="3" t="s">
        <v>62</v>
      </c>
      <c r="AT634" s="3" t="s">
        <v>61</v>
      </c>
      <c r="AU634" s="6" t="str">
        <f t="shared" si="11"/>
        <v>HathiTrust Record</v>
      </c>
      <c r="AV634" s="6" t="str">
        <f t="shared" si="12"/>
        <v>Catalog Record</v>
      </c>
      <c r="AW634" s="6" t="str">
        <f t="shared" si="13"/>
        <v>WorldCat Record</v>
      </c>
      <c r="AX634" s="3" t="s">
        <v>6111</v>
      </c>
      <c r="AY634" s="3" t="s">
        <v>6112</v>
      </c>
      <c r="AZ634" s="3" t="s">
        <v>6113</v>
      </c>
      <c r="BA634" s="3" t="s">
        <v>6113</v>
      </c>
      <c r="BB634" s="3" t="s">
        <v>6130</v>
      </c>
      <c r="BC634" s="3" t="s">
        <v>142</v>
      </c>
      <c r="BD634" s="3" t="s">
        <v>68</v>
      </c>
      <c r="BE634" s="3" t="s">
        <v>6115</v>
      </c>
      <c r="BF634" s="3" t="s">
        <v>6130</v>
      </c>
      <c r="BG634" s="3" t="s">
        <v>6131</v>
      </c>
    </row>
    <row r="635" spans="1:59" ht="57" x14ac:dyDescent="0.45">
      <c r="A635" s="2" t="s">
        <v>59</v>
      </c>
      <c r="B635" s="2" t="s">
        <v>60</v>
      </c>
      <c r="C635" s="2" t="s">
        <v>6106</v>
      </c>
      <c r="D635" s="2" t="s">
        <v>6107</v>
      </c>
      <c r="E635" s="2" t="s">
        <v>6108</v>
      </c>
      <c r="F635" s="3" t="s">
        <v>88</v>
      </c>
      <c r="G635" s="3" t="s">
        <v>61</v>
      </c>
      <c r="I635" s="3" t="s">
        <v>62</v>
      </c>
      <c r="J635" s="3" t="s">
        <v>62</v>
      </c>
      <c r="K635" s="3" t="s">
        <v>63</v>
      </c>
      <c r="M635" s="2" t="s">
        <v>6109</v>
      </c>
      <c r="N635" s="3" t="s">
        <v>820</v>
      </c>
      <c r="O635" s="2" t="s">
        <v>933</v>
      </c>
      <c r="P635" s="3" t="s">
        <v>65</v>
      </c>
      <c r="Q635" s="2" t="s">
        <v>6110</v>
      </c>
      <c r="R635" s="3" t="s">
        <v>66</v>
      </c>
      <c r="S635" s="4">
        <v>2</v>
      </c>
      <c r="T635" s="4">
        <v>8</v>
      </c>
      <c r="U635" s="5" t="s">
        <v>6132</v>
      </c>
      <c r="V635" s="5" t="s">
        <v>5605</v>
      </c>
      <c r="W635" s="5" t="s">
        <v>67</v>
      </c>
      <c r="X635" s="5" t="s">
        <v>67</v>
      </c>
      <c r="Y635" s="4">
        <v>122</v>
      </c>
      <c r="Z635" s="4">
        <v>7</v>
      </c>
      <c r="AA635" s="4">
        <v>40</v>
      </c>
      <c r="AB635" s="4">
        <v>1</v>
      </c>
      <c r="AC635" s="4">
        <v>9</v>
      </c>
      <c r="AD635" s="4">
        <v>25</v>
      </c>
      <c r="AE635" s="4">
        <v>90</v>
      </c>
      <c r="AF635" s="4">
        <v>0</v>
      </c>
      <c r="AG635" s="4">
        <v>7</v>
      </c>
      <c r="AH635" s="4">
        <v>21</v>
      </c>
      <c r="AI635" s="4">
        <v>62</v>
      </c>
      <c r="AJ635" s="4">
        <v>6</v>
      </c>
      <c r="AK635" s="4">
        <v>20</v>
      </c>
      <c r="AL635" s="4">
        <v>13</v>
      </c>
      <c r="AM635" s="4">
        <v>31</v>
      </c>
      <c r="AN635" s="4">
        <v>0</v>
      </c>
      <c r="AO635" s="4">
        <v>0</v>
      </c>
      <c r="AP635" s="4">
        <v>6</v>
      </c>
      <c r="AQ635" s="4">
        <v>35</v>
      </c>
      <c r="AR635" s="3" t="s">
        <v>62</v>
      </c>
      <c r="AS635" s="3" t="s">
        <v>62</v>
      </c>
      <c r="AT635" s="3" t="s">
        <v>61</v>
      </c>
      <c r="AU635" s="6" t="str">
        <f t="shared" si="11"/>
        <v>HathiTrust Record</v>
      </c>
      <c r="AV635" s="6" t="str">
        <f t="shared" si="12"/>
        <v>Catalog Record</v>
      </c>
      <c r="AW635" s="6" t="str">
        <f t="shared" si="13"/>
        <v>WorldCat Record</v>
      </c>
      <c r="AX635" s="3" t="s">
        <v>6111</v>
      </c>
      <c r="AY635" s="3" t="s">
        <v>6112</v>
      </c>
      <c r="AZ635" s="3" t="s">
        <v>6113</v>
      </c>
      <c r="BA635" s="3" t="s">
        <v>6113</v>
      </c>
      <c r="BB635" s="3" t="s">
        <v>6133</v>
      </c>
      <c r="BC635" s="3" t="s">
        <v>142</v>
      </c>
      <c r="BD635" s="3" t="s">
        <v>68</v>
      </c>
      <c r="BE635" s="3" t="s">
        <v>6115</v>
      </c>
      <c r="BF635" s="3" t="s">
        <v>6133</v>
      </c>
      <c r="BG635" s="3" t="s">
        <v>6134</v>
      </c>
    </row>
    <row r="636" spans="1:59" ht="57" x14ac:dyDescent="0.45">
      <c r="A636" s="2" t="s">
        <v>59</v>
      </c>
      <c r="B636" s="2" t="s">
        <v>60</v>
      </c>
      <c r="C636" s="2" t="s">
        <v>6106</v>
      </c>
      <c r="D636" s="2" t="s">
        <v>6107</v>
      </c>
      <c r="E636" s="2" t="s">
        <v>6108</v>
      </c>
      <c r="F636" s="3" t="s">
        <v>86</v>
      </c>
      <c r="G636" s="3" t="s">
        <v>61</v>
      </c>
      <c r="I636" s="3" t="s">
        <v>62</v>
      </c>
      <c r="J636" s="3" t="s">
        <v>62</v>
      </c>
      <c r="K636" s="3" t="s">
        <v>63</v>
      </c>
      <c r="M636" s="2" t="s">
        <v>6109</v>
      </c>
      <c r="N636" s="3" t="s">
        <v>820</v>
      </c>
      <c r="O636" s="2" t="s">
        <v>933</v>
      </c>
      <c r="P636" s="3" t="s">
        <v>65</v>
      </c>
      <c r="Q636" s="2" t="s">
        <v>6110</v>
      </c>
      <c r="R636" s="3" t="s">
        <v>66</v>
      </c>
      <c r="S636" s="4">
        <v>0</v>
      </c>
      <c r="T636" s="4">
        <v>8</v>
      </c>
      <c r="V636" s="5" t="s">
        <v>5605</v>
      </c>
      <c r="W636" s="5" t="s">
        <v>67</v>
      </c>
      <c r="X636" s="5" t="s">
        <v>67</v>
      </c>
      <c r="Y636" s="4">
        <v>122</v>
      </c>
      <c r="Z636" s="4">
        <v>7</v>
      </c>
      <c r="AA636" s="4">
        <v>40</v>
      </c>
      <c r="AB636" s="4">
        <v>1</v>
      </c>
      <c r="AC636" s="4">
        <v>9</v>
      </c>
      <c r="AD636" s="4">
        <v>25</v>
      </c>
      <c r="AE636" s="4">
        <v>90</v>
      </c>
      <c r="AF636" s="4">
        <v>0</v>
      </c>
      <c r="AG636" s="4">
        <v>7</v>
      </c>
      <c r="AH636" s="4">
        <v>21</v>
      </c>
      <c r="AI636" s="4">
        <v>62</v>
      </c>
      <c r="AJ636" s="4">
        <v>6</v>
      </c>
      <c r="AK636" s="4">
        <v>20</v>
      </c>
      <c r="AL636" s="4">
        <v>13</v>
      </c>
      <c r="AM636" s="4">
        <v>31</v>
      </c>
      <c r="AN636" s="4">
        <v>0</v>
      </c>
      <c r="AO636" s="4">
        <v>0</v>
      </c>
      <c r="AP636" s="4">
        <v>6</v>
      </c>
      <c r="AQ636" s="4">
        <v>35</v>
      </c>
      <c r="AR636" s="3" t="s">
        <v>62</v>
      </c>
      <c r="AS636" s="3" t="s">
        <v>62</v>
      </c>
      <c r="AT636" s="3" t="s">
        <v>61</v>
      </c>
      <c r="AU636" s="6" t="str">
        <f t="shared" si="11"/>
        <v>HathiTrust Record</v>
      </c>
      <c r="AV636" s="6" t="str">
        <f t="shared" si="12"/>
        <v>Catalog Record</v>
      </c>
      <c r="AW636" s="6" t="str">
        <f t="shared" si="13"/>
        <v>WorldCat Record</v>
      </c>
      <c r="AX636" s="3" t="s">
        <v>6111</v>
      </c>
      <c r="AY636" s="3" t="s">
        <v>6112</v>
      </c>
      <c r="AZ636" s="3" t="s">
        <v>6113</v>
      </c>
      <c r="BA636" s="3" t="s">
        <v>6113</v>
      </c>
      <c r="BB636" s="3" t="s">
        <v>6135</v>
      </c>
      <c r="BC636" s="3" t="s">
        <v>142</v>
      </c>
      <c r="BD636" s="3" t="s">
        <v>68</v>
      </c>
      <c r="BE636" s="3" t="s">
        <v>6115</v>
      </c>
      <c r="BF636" s="3" t="s">
        <v>6135</v>
      </c>
      <c r="BG636" s="3" t="s">
        <v>6136</v>
      </c>
    </row>
    <row r="637" spans="1:59" ht="85.5" x14ac:dyDescent="0.45">
      <c r="A637" s="2" t="s">
        <v>59</v>
      </c>
      <c r="B637" s="2" t="s">
        <v>5257</v>
      </c>
      <c r="C637" s="2" t="s">
        <v>6137</v>
      </c>
      <c r="D637" s="2" t="s">
        <v>6138</v>
      </c>
      <c r="E637" s="2" t="s">
        <v>6139</v>
      </c>
      <c r="G637" s="3" t="s">
        <v>62</v>
      </c>
      <c r="I637" s="3" t="s">
        <v>62</v>
      </c>
      <c r="J637" s="3" t="s">
        <v>62</v>
      </c>
      <c r="K637" s="3" t="s">
        <v>63</v>
      </c>
      <c r="L637" s="2" t="s">
        <v>6140</v>
      </c>
      <c r="M637" s="2" t="s">
        <v>6141</v>
      </c>
      <c r="N637" s="3" t="s">
        <v>894</v>
      </c>
      <c r="P637" s="3" t="s">
        <v>65</v>
      </c>
      <c r="R637" s="3" t="s">
        <v>66</v>
      </c>
      <c r="S637" s="4">
        <v>0</v>
      </c>
      <c r="T637" s="4">
        <v>0</v>
      </c>
      <c r="W637" s="5" t="s">
        <v>67</v>
      </c>
      <c r="X637" s="5" t="s">
        <v>67</v>
      </c>
      <c r="Y637" s="4">
        <v>162</v>
      </c>
      <c r="Z637" s="4">
        <v>12</v>
      </c>
      <c r="AA637" s="4">
        <v>16</v>
      </c>
      <c r="AB637" s="4">
        <v>1</v>
      </c>
      <c r="AC637" s="4">
        <v>4</v>
      </c>
      <c r="AD637" s="4">
        <v>69</v>
      </c>
      <c r="AE637" s="4">
        <v>72</v>
      </c>
      <c r="AF637" s="4">
        <v>0</v>
      </c>
      <c r="AG637" s="4">
        <v>0</v>
      </c>
      <c r="AH637" s="4">
        <v>65</v>
      </c>
      <c r="AI637" s="4">
        <v>67</v>
      </c>
      <c r="AJ637" s="4">
        <v>8</v>
      </c>
      <c r="AK637" s="4">
        <v>9</v>
      </c>
      <c r="AL637" s="4">
        <v>35</v>
      </c>
      <c r="AM637" s="4">
        <v>36</v>
      </c>
      <c r="AN637" s="4">
        <v>0</v>
      </c>
      <c r="AO637" s="4">
        <v>0</v>
      </c>
      <c r="AP637" s="4">
        <v>9</v>
      </c>
      <c r="AQ637" s="4">
        <v>10</v>
      </c>
      <c r="AR637" s="3" t="s">
        <v>62</v>
      </c>
      <c r="AS637" s="3" t="s">
        <v>62</v>
      </c>
      <c r="AT637" s="3" t="s">
        <v>62</v>
      </c>
      <c r="AV637" s="6" t="str">
        <f>HYPERLINK("http://mcgill.on.worldcat.org/oclc/644680084","Catalog Record")</f>
        <v>Catalog Record</v>
      </c>
      <c r="AW637" s="6" t="str">
        <f>HYPERLINK("http://www.worldcat.org/oclc/644680084","WorldCat Record")</f>
        <v>WorldCat Record</v>
      </c>
      <c r="AX637" s="3" t="s">
        <v>6142</v>
      </c>
      <c r="AY637" s="3" t="s">
        <v>6143</v>
      </c>
      <c r="AZ637" s="3" t="s">
        <v>6144</v>
      </c>
      <c r="BA637" s="3" t="s">
        <v>6144</v>
      </c>
      <c r="BB637" s="3" t="s">
        <v>6145</v>
      </c>
      <c r="BC637" s="3" t="s">
        <v>142</v>
      </c>
      <c r="BD637" s="3" t="s">
        <v>68</v>
      </c>
      <c r="BE637" s="3" t="s">
        <v>6146</v>
      </c>
      <c r="BF637" s="3" t="s">
        <v>6145</v>
      </c>
      <c r="BG637" s="3" t="s">
        <v>6147</v>
      </c>
    </row>
    <row r="638" spans="1:59" ht="57" x14ac:dyDescent="0.45">
      <c r="A638" s="2" t="s">
        <v>59</v>
      </c>
      <c r="B638" s="2" t="s">
        <v>60</v>
      </c>
      <c r="C638" s="2" t="s">
        <v>6148</v>
      </c>
      <c r="D638" s="2" t="s">
        <v>6149</v>
      </c>
      <c r="E638" s="2" t="s">
        <v>6150</v>
      </c>
      <c r="G638" s="3" t="s">
        <v>62</v>
      </c>
      <c r="I638" s="3" t="s">
        <v>62</v>
      </c>
      <c r="J638" s="3" t="s">
        <v>62</v>
      </c>
      <c r="K638" s="3" t="s">
        <v>63</v>
      </c>
      <c r="L638" s="2" t="s">
        <v>3483</v>
      </c>
      <c r="M638" s="2" t="s">
        <v>6151</v>
      </c>
      <c r="N638" s="3" t="s">
        <v>945</v>
      </c>
      <c r="P638" s="3" t="s">
        <v>65</v>
      </c>
      <c r="Q638" s="2" t="s">
        <v>6152</v>
      </c>
      <c r="R638" s="3" t="s">
        <v>66</v>
      </c>
      <c r="S638" s="4">
        <v>4</v>
      </c>
      <c r="T638" s="4">
        <v>4</v>
      </c>
      <c r="U638" s="5" t="s">
        <v>6153</v>
      </c>
      <c r="V638" s="5" t="s">
        <v>6153</v>
      </c>
      <c r="W638" s="5" t="s">
        <v>67</v>
      </c>
      <c r="X638" s="5" t="s">
        <v>67</v>
      </c>
      <c r="Y638" s="4">
        <v>171</v>
      </c>
      <c r="Z638" s="4">
        <v>12</v>
      </c>
      <c r="AA638" s="4">
        <v>93</v>
      </c>
      <c r="AB638" s="4">
        <v>2</v>
      </c>
      <c r="AC638" s="4">
        <v>17</v>
      </c>
      <c r="AD638" s="4">
        <v>52</v>
      </c>
      <c r="AE638" s="4">
        <v>106</v>
      </c>
      <c r="AF638" s="4">
        <v>1</v>
      </c>
      <c r="AG638" s="4">
        <v>8</v>
      </c>
      <c r="AH638" s="4">
        <v>48</v>
      </c>
      <c r="AI638" s="4">
        <v>71</v>
      </c>
      <c r="AJ638" s="4">
        <v>10</v>
      </c>
      <c r="AK638" s="4">
        <v>23</v>
      </c>
      <c r="AL638" s="4">
        <v>28</v>
      </c>
      <c r="AM638" s="4">
        <v>35</v>
      </c>
      <c r="AN638" s="4">
        <v>0</v>
      </c>
      <c r="AO638" s="4">
        <v>0</v>
      </c>
      <c r="AP638" s="4">
        <v>10</v>
      </c>
      <c r="AQ638" s="4">
        <v>45</v>
      </c>
      <c r="AR638" s="3" t="s">
        <v>62</v>
      </c>
      <c r="AS638" s="3" t="s">
        <v>62</v>
      </c>
      <c r="AT638" s="3" t="s">
        <v>61</v>
      </c>
      <c r="AU638" s="6" t="str">
        <f>HYPERLINK("http://catalog.hathitrust.org/Record/005916113","HathiTrust Record")</f>
        <v>HathiTrust Record</v>
      </c>
      <c r="AV638" s="6" t="str">
        <f>HYPERLINK("http://mcgill.on.worldcat.org/oclc/57063017","Catalog Record")</f>
        <v>Catalog Record</v>
      </c>
      <c r="AW638" s="6" t="str">
        <f>HYPERLINK("http://www.worldcat.org/oclc/57063017","WorldCat Record")</f>
        <v>WorldCat Record</v>
      </c>
      <c r="AX638" s="3" t="s">
        <v>6154</v>
      </c>
      <c r="AY638" s="3" t="s">
        <v>6155</v>
      </c>
      <c r="AZ638" s="3" t="s">
        <v>6156</v>
      </c>
      <c r="BA638" s="3" t="s">
        <v>6156</v>
      </c>
      <c r="BB638" s="3" t="s">
        <v>6157</v>
      </c>
      <c r="BC638" s="3" t="s">
        <v>142</v>
      </c>
      <c r="BD638" s="3" t="s">
        <v>68</v>
      </c>
      <c r="BE638" s="3" t="s">
        <v>6158</v>
      </c>
      <c r="BF638" s="3" t="s">
        <v>6157</v>
      </c>
      <c r="BG638" s="3" t="s">
        <v>6159</v>
      </c>
    </row>
    <row r="639" spans="1:59" ht="57" x14ac:dyDescent="0.45">
      <c r="A639" s="2" t="s">
        <v>59</v>
      </c>
      <c r="B639" s="2" t="s">
        <v>60</v>
      </c>
      <c r="C639" s="2" t="s">
        <v>6160</v>
      </c>
      <c r="D639" s="2" t="s">
        <v>6161</v>
      </c>
      <c r="E639" s="2" t="s">
        <v>6162</v>
      </c>
      <c r="G639" s="3" t="s">
        <v>62</v>
      </c>
      <c r="I639" s="3" t="s">
        <v>62</v>
      </c>
      <c r="J639" s="3" t="s">
        <v>62</v>
      </c>
      <c r="K639" s="3" t="s">
        <v>63</v>
      </c>
      <c r="M639" s="2" t="s">
        <v>6163</v>
      </c>
      <c r="N639" s="3" t="s">
        <v>820</v>
      </c>
      <c r="P639" s="3" t="s">
        <v>65</v>
      </c>
      <c r="Q639" s="2" t="s">
        <v>3014</v>
      </c>
      <c r="R639" s="3" t="s">
        <v>66</v>
      </c>
      <c r="S639" s="4">
        <v>6</v>
      </c>
      <c r="T639" s="4">
        <v>6</v>
      </c>
      <c r="U639" s="5" t="s">
        <v>6164</v>
      </c>
      <c r="V639" s="5" t="s">
        <v>6164</v>
      </c>
      <c r="W639" s="5" t="s">
        <v>67</v>
      </c>
      <c r="X639" s="5" t="s">
        <v>67</v>
      </c>
      <c r="Y639" s="4">
        <v>224</v>
      </c>
      <c r="Z639" s="4">
        <v>16</v>
      </c>
      <c r="AA639" s="4">
        <v>53</v>
      </c>
      <c r="AB639" s="4">
        <v>2</v>
      </c>
      <c r="AC639" s="4">
        <v>10</v>
      </c>
      <c r="AD639" s="4">
        <v>65</v>
      </c>
      <c r="AE639" s="4">
        <v>109</v>
      </c>
      <c r="AF639" s="4">
        <v>1</v>
      </c>
      <c r="AG639" s="4">
        <v>5</v>
      </c>
      <c r="AH639" s="4">
        <v>61</v>
      </c>
      <c r="AI639" s="4">
        <v>87</v>
      </c>
      <c r="AJ639" s="4">
        <v>12</v>
      </c>
      <c r="AK639" s="4">
        <v>22</v>
      </c>
      <c r="AL639" s="4">
        <v>36</v>
      </c>
      <c r="AM639" s="4">
        <v>50</v>
      </c>
      <c r="AN639" s="4">
        <v>0</v>
      </c>
      <c r="AO639" s="4">
        <v>0</v>
      </c>
      <c r="AP639" s="4">
        <v>13</v>
      </c>
      <c r="AQ639" s="4">
        <v>32</v>
      </c>
      <c r="AR639" s="3" t="s">
        <v>62</v>
      </c>
      <c r="AS639" s="3" t="s">
        <v>62</v>
      </c>
      <c r="AT639" s="3" t="s">
        <v>62</v>
      </c>
      <c r="AV639" s="6" t="str">
        <f>HYPERLINK("http://mcgill.on.worldcat.org/oclc/162126813","Catalog Record")</f>
        <v>Catalog Record</v>
      </c>
      <c r="AW639" s="6" t="str">
        <f>HYPERLINK("http://www.worldcat.org/oclc/162126813","WorldCat Record")</f>
        <v>WorldCat Record</v>
      </c>
      <c r="AX639" s="3" t="s">
        <v>6165</v>
      </c>
      <c r="AY639" s="3" t="s">
        <v>6166</v>
      </c>
      <c r="AZ639" s="3" t="s">
        <v>6167</v>
      </c>
      <c r="BA639" s="3" t="s">
        <v>6167</v>
      </c>
      <c r="BB639" s="3" t="s">
        <v>6168</v>
      </c>
      <c r="BC639" s="3" t="s">
        <v>142</v>
      </c>
      <c r="BD639" s="3" t="s">
        <v>68</v>
      </c>
      <c r="BE639" s="3" t="s">
        <v>6169</v>
      </c>
      <c r="BF639" s="3" t="s">
        <v>6168</v>
      </c>
      <c r="BG639" s="3" t="s">
        <v>6170</v>
      </c>
    </row>
    <row r="640" spans="1:59" ht="57" x14ac:dyDescent="0.45">
      <c r="A640" s="2" t="s">
        <v>59</v>
      </c>
      <c r="B640" s="2" t="s">
        <v>60</v>
      </c>
      <c r="C640" s="2" t="s">
        <v>6171</v>
      </c>
      <c r="D640" s="2" t="s">
        <v>6172</v>
      </c>
      <c r="E640" s="2" t="s">
        <v>6173</v>
      </c>
      <c r="G640" s="3" t="s">
        <v>62</v>
      </c>
      <c r="I640" s="3" t="s">
        <v>62</v>
      </c>
      <c r="J640" s="3" t="s">
        <v>62</v>
      </c>
      <c r="K640" s="3" t="s">
        <v>63</v>
      </c>
      <c r="L640" s="2" t="s">
        <v>6174</v>
      </c>
      <c r="M640" s="2" t="s">
        <v>6175</v>
      </c>
      <c r="N640" s="3" t="s">
        <v>820</v>
      </c>
      <c r="P640" s="3" t="s">
        <v>65</v>
      </c>
      <c r="Q640" s="2" t="s">
        <v>6176</v>
      </c>
      <c r="R640" s="3" t="s">
        <v>66</v>
      </c>
      <c r="S640" s="4">
        <v>5</v>
      </c>
      <c r="T640" s="4">
        <v>5</v>
      </c>
      <c r="U640" s="5" t="s">
        <v>6177</v>
      </c>
      <c r="V640" s="5" t="s">
        <v>6177</v>
      </c>
      <c r="W640" s="5" t="s">
        <v>67</v>
      </c>
      <c r="X640" s="5" t="s">
        <v>67</v>
      </c>
      <c r="Y640" s="4">
        <v>103</v>
      </c>
      <c r="Z640" s="4">
        <v>8</v>
      </c>
      <c r="AA640" s="4">
        <v>91</v>
      </c>
      <c r="AB640" s="4">
        <v>1</v>
      </c>
      <c r="AC640" s="4">
        <v>17</v>
      </c>
      <c r="AD640" s="4">
        <v>44</v>
      </c>
      <c r="AE640" s="4">
        <v>108</v>
      </c>
      <c r="AF640" s="4">
        <v>0</v>
      </c>
      <c r="AG640" s="4">
        <v>8</v>
      </c>
      <c r="AH640" s="4">
        <v>41</v>
      </c>
      <c r="AI640" s="4">
        <v>75</v>
      </c>
      <c r="AJ640" s="4">
        <v>5</v>
      </c>
      <c r="AK640" s="4">
        <v>19</v>
      </c>
      <c r="AL640" s="4">
        <v>31</v>
      </c>
      <c r="AM640" s="4">
        <v>42</v>
      </c>
      <c r="AN640" s="4">
        <v>0</v>
      </c>
      <c r="AO640" s="4">
        <v>0</v>
      </c>
      <c r="AP640" s="4">
        <v>6</v>
      </c>
      <c r="AQ640" s="4">
        <v>41</v>
      </c>
      <c r="AR640" s="3" t="s">
        <v>62</v>
      </c>
      <c r="AS640" s="3" t="s">
        <v>62</v>
      </c>
      <c r="AT640" s="3" t="s">
        <v>61</v>
      </c>
      <c r="AU640" s="6" t="str">
        <f>HYPERLINK("http://catalog.hathitrust.org/Record/005691879","HathiTrust Record")</f>
        <v>HathiTrust Record</v>
      </c>
      <c r="AV640" s="6" t="str">
        <f>HYPERLINK("http://mcgill.on.worldcat.org/oclc/171268385","Catalog Record")</f>
        <v>Catalog Record</v>
      </c>
      <c r="AW640" s="6" t="str">
        <f>HYPERLINK("http://www.worldcat.org/oclc/171268385","WorldCat Record")</f>
        <v>WorldCat Record</v>
      </c>
      <c r="AX640" s="3" t="s">
        <v>6178</v>
      </c>
      <c r="AY640" s="3" t="s">
        <v>6179</v>
      </c>
      <c r="AZ640" s="3" t="s">
        <v>6180</v>
      </c>
      <c r="BA640" s="3" t="s">
        <v>6180</v>
      </c>
      <c r="BB640" s="3" t="s">
        <v>6181</v>
      </c>
      <c r="BC640" s="3" t="s">
        <v>142</v>
      </c>
      <c r="BD640" s="3" t="s">
        <v>308</v>
      </c>
      <c r="BE640" s="3" t="s">
        <v>6182</v>
      </c>
      <c r="BF640" s="3" t="s">
        <v>6181</v>
      </c>
      <c r="BG640" s="3" t="s">
        <v>6183</v>
      </c>
    </row>
    <row r="641" spans="1:59" ht="57" x14ac:dyDescent="0.45">
      <c r="A641" s="2" t="s">
        <v>59</v>
      </c>
      <c r="B641" s="2" t="s">
        <v>412</v>
      </c>
      <c r="C641" s="2" t="s">
        <v>6184</v>
      </c>
      <c r="D641" s="2" t="s">
        <v>6185</v>
      </c>
      <c r="E641" s="2" t="s">
        <v>6186</v>
      </c>
      <c r="G641" s="3" t="s">
        <v>62</v>
      </c>
      <c r="I641" s="3" t="s">
        <v>62</v>
      </c>
      <c r="J641" s="3" t="s">
        <v>62</v>
      </c>
      <c r="K641" s="3" t="s">
        <v>63</v>
      </c>
      <c r="M641" s="2" t="s">
        <v>3556</v>
      </c>
      <c r="N641" s="3" t="s">
        <v>970</v>
      </c>
      <c r="P641" s="3" t="s">
        <v>65</v>
      </c>
      <c r="R641" s="3" t="s">
        <v>66</v>
      </c>
      <c r="S641" s="4">
        <v>45</v>
      </c>
      <c r="T641" s="4">
        <v>45</v>
      </c>
      <c r="U641" s="5" t="s">
        <v>5386</v>
      </c>
      <c r="V641" s="5" t="s">
        <v>5386</v>
      </c>
      <c r="W641" s="5" t="s">
        <v>67</v>
      </c>
      <c r="X641" s="5" t="s">
        <v>67</v>
      </c>
      <c r="Y641" s="4">
        <v>346</v>
      </c>
      <c r="Z641" s="4">
        <v>17</v>
      </c>
      <c r="AA641" s="4">
        <v>29</v>
      </c>
      <c r="AB641" s="4">
        <v>2</v>
      </c>
      <c r="AC641" s="4">
        <v>8</v>
      </c>
      <c r="AD641" s="4">
        <v>100</v>
      </c>
      <c r="AE641" s="4">
        <v>114</v>
      </c>
      <c r="AF641" s="4">
        <v>1</v>
      </c>
      <c r="AG641" s="4">
        <v>2</v>
      </c>
      <c r="AH641" s="4">
        <v>91</v>
      </c>
      <c r="AI641" s="4">
        <v>103</v>
      </c>
      <c r="AJ641" s="4">
        <v>11</v>
      </c>
      <c r="AK641" s="4">
        <v>12</v>
      </c>
      <c r="AL641" s="4">
        <v>52</v>
      </c>
      <c r="AM641" s="4">
        <v>56</v>
      </c>
      <c r="AN641" s="4">
        <v>0</v>
      </c>
      <c r="AO641" s="4">
        <v>0</v>
      </c>
      <c r="AP641" s="4">
        <v>15</v>
      </c>
      <c r="AQ641" s="4">
        <v>17</v>
      </c>
      <c r="AR641" s="3" t="s">
        <v>62</v>
      </c>
      <c r="AS641" s="3" t="s">
        <v>62</v>
      </c>
      <c r="AT641" s="3" t="s">
        <v>62</v>
      </c>
      <c r="AV641" s="6" t="str">
        <f>HYPERLINK("http://mcgill.on.worldcat.org/oclc/45879815","Catalog Record")</f>
        <v>Catalog Record</v>
      </c>
      <c r="AW641" s="6" t="str">
        <f>HYPERLINK("http://www.worldcat.org/oclc/45879815","WorldCat Record")</f>
        <v>WorldCat Record</v>
      </c>
      <c r="AX641" s="3" t="s">
        <v>6187</v>
      </c>
      <c r="AY641" s="3" t="s">
        <v>6188</v>
      </c>
      <c r="AZ641" s="3" t="s">
        <v>6189</v>
      </c>
      <c r="BA641" s="3" t="s">
        <v>6189</v>
      </c>
      <c r="BB641" s="3" t="s">
        <v>6190</v>
      </c>
      <c r="BC641" s="3" t="s">
        <v>142</v>
      </c>
      <c r="BD641" s="3" t="s">
        <v>68</v>
      </c>
      <c r="BE641" s="3" t="s">
        <v>6191</v>
      </c>
      <c r="BF641" s="3" t="s">
        <v>6190</v>
      </c>
      <c r="BG641" s="3" t="s">
        <v>6192</v>
      </c>
    </row>
    <row r="642" spans="1:59" ht="57" x14ac:dyDescent="0.45">
      <c r="A642" s="2" t="s">
        <v>59</v>
      </c>
      <c r="B642" s="2" t="s">
        <v>60</v>
      </c>
      <c r="C642" s="2" t="s">
        <v>6193</v>
      </c>
      <c r="D642" s="2" t="s">
        <v>6194</v>
      </c>
      <c r="E642" s="2" t="s">
        <v>6195</v>
      </c>
      <c r="G642" s="3" t="s">
        <v>62</v>
      </c>
      <c r="I642" s="3" t="s">
        <v>62</v>
      </c>
      <c r="J642" s="3" t="s">
        <v>62</v>
      </c>
      <c r="K642" s="3" t="s">
        <v>63</v>
      </c>
      <c r="L642" s="2" t="s">
        <v>6196</v>
      </c>
      <c r="M642" s="2" t="s">
        <v>6197</v>
      </c>
      <c r="N642" s="3" t="s">
        <v>820</v>
      </c>
      <c r="P642" s="3" t="s">
        <v>65</v>
      </c>
      <c r="Q642" s="2" t="s">
        <v>6198</v>
      </c>
      <c r="R642" s="3" t="s">
        <v>66</v>
      </c>
      <c r="S642" s="4">
        <v>9</v>
      </c>
      <c r="T642" s="4">
        <v>9</v>
      </c>
      <c r="U642" s="5" t="s">
        <v>6199</v>
      </c>
      <c r="V642" s="5" t="s">
        <v>6199</v>
      </c>
      <c r="W642" s="5" t="s">
        <v>67</v>
      </c>
      <c r="X642" s="5" t="s">
        <v>67</v>
      </c>
      <c r="Y642" s="4">
        <v>120</v>
      </c>
      <c r="Z642" s="4">
        <v>6</v>
      </c>
      <c r="AA642" s="4">
        <v>6</v>
      </c>
      <c r="AB642" s="4">
        <v>1</v>
      </c>
      <c r="AC642" s="4">
        <v>1</v>
      </c>
      <c r="AD642" s="4">
        <v>5</v>
      </c>
      <c r="AE642" s="4">
        <v>5</v>
      </c>
      <c r="AF642" s="4">
        <v>0</v>
      </c>
      <c r="AG642" s="4">
        <v>0</v>
      </c>
      <c r="AH642" s="4">
        <v>3</v>
      </c>
      <c r="AI642" s="4">
        <v>3</v>
      </c>
      <c r="AJ642" s="4">
        <v>3</v>
      </c>
      <c r="AK642" s="4">
        <v>3</v>
      </c>
      <c r="AL642" s="4">
        <v>2</v>
      </c>
      <c r="AM642" s="4">
        <v>2</v>
      </c>
      <c r="AN642" s="4">
        <v>0</v>
      </c>
      <c r="AO642" s="4">
        <v>0</v>
      </c>
      <c r="AP642" s="4">
        <v>4</v>
      </c>
      <c r="AQ642" s="4">
        <v>4</v>
      </c>
      <c r="AR642" s="3" t="s">
        <v>62</v>
      </c>
      <c r="AS642" s="3" t="s">
        <v>62</v>
      </c>
      <c r="AT642" s="3" t="s">
        <v>62</v>
      </c>
      <c r="AV642" s="6" t="str">
        <f>HYPERLINK("http://mcgill.on.worldcat.org/oclc/229463507","Catalog Record")</f>
        <v>Catalog Record</v>
      </c>
      <c r="AW642" s="6" t="str">
        <f>HYPERLINK("http://www.worldcat.org/oclc/229463507","WorldCat Record")</f>
        <v>WorldCat Record</v>
      </c>
      <c r="AX642" s="3" t="s">
        <v>6200</v>
      </c>
      <c r="AY642" s="3" t="s">
        <v>6201</v>
      </c>
      <c r="AZ642" s="3" t="s">
        <v>6202</v>
      </c>
      <c r="BA642" s="3" t="s">
        <v>6202</v>
      </c>
      <c r="BB642" s="3" t="s">
        <v>6203</v>
      </c>
      <c r="BC642" s="3" t="s">
        <v>142</v>
      </c>
      <c r="BD642" s="3" t="s">
        <v>68</v>
      </c>
      <c r="BE642" s="3" t="s">
        <v>6204</v>
      </c>
      <c r="BF642" s="3" t="s">
        <v>6203</v>
      </c>
      <c r="BG642" s="3" t="s">
        <v>6205</v>
      </c>
    </row>
    <row r="643" spans="1:59" ht="57" x14ac:dyDescent="0.45">
      <c r="A643" s="2" t="s">
        <v>59</v>
      </c>
      <c r="B643" s="2" t="s">
        <v>60</v>
      </c>
      <c r="C643" s="2" t="s">
        <v>6206</v>
      </c>
      <c r="D643" s="2" t="s">
        <v>6207</v>
      </c>
      <c r="E643" s="2" t="s">
        <v>6208</v>
      </c>
      <c r="G643" s="3" t="s">
        <v>62</v>
      </c>
      <c r="I643" s="3" t="s">
        <v>62</v>
      </c>
      <c r="J643" s="3" t="s">
        <v>62</v>
      </c>
      <c r="K643" s="3" t="s">
        <v>63</v>
      </c>
      <c r="L643" s="2" t="s">
        <v>6209</v>
      </c>
      <c r="M643" s="2" t="s">
        <v>6210</v>
      </c>
      <c r="N643" s="3" t="s">
        <v>84</v>
      </c>
      <c r="O643" s="2" t="s">
        <v>6211</v>
      </c>
      <c r="P643" s="3" t="s">
        <v>65</v>
      </c>
      <c r="R643" s="3" t="s">
        <v>66</v>
      </c>
      <c r="S643" s="4">
        <v>9</v>
      </c>
      <c r="T643" s="4">
        <v>9</v>
      </c>
      <c r="U643" s="5" t="s">
        <v>111</v>
      </c>
      <c r="V643" s="5" t="s">
        <v>111</v>
      </c>
      <c r="W643" s="5" t="s">
        <v>67</v>
      </c>
      <c r="X643" s="5" t="s">
        <v>67</v>
      </c>
      <c r="Y643" s="4">
        <v>250</v>
      </c>
      <c r="Z643" s="4">
        <v>20</v>
      </c>
      <c r="AA643" s="4">
        <v>65</v>
      </c>
      <c r="AB643" s="4">
        <v>1</v>
      </c>
      <c r="AC643" s="4">
        <v>7</v>
      </c>
      <c r="AD643" s="4">
        <v>33</v>
      </c>
      <c r="AE643" s="4">
        <v>133</v>
      </c>
      <c r="AF643" s="4">
        <v>0</v>
      </c>
      <c r="AG643" s="4">
        <v>3</v>
      </c>
      <c r="AH643" s="4">
        <v>20</v>
      </c>
      <c r="AI643" s="4">
        <v>98</v>
      </c>
      <c r="AJ643" s="4">
        <v>4</v>
      </c>
      <c r="AK643" s="4">
        <v>23</v>
      </c>
      <c r="AL643" s="4">
        <v>9</v>
      </c>
      <c r="AM643" s="4">
        <v>51</v>
      </c>
      <c r="AN643" s="4">
        <v>5</v>
      </c>
      <c r="AO643" s="4">
        <v>5</v>
      </c>
      <c r="AP643" s="4">
        <v>13</v>
      </c>
      <c r="AQ643" s="4">
        <v>41</v>
      </c>
      <c r="AR643" s="3" t="s">
        <v>62</v>
      </c>
      <c r="AS643" s="3" t="s">
        <v>62</v>
      </c>
      <c r="AT643" s="3" t="s">
        <v>61</v>
      </c>
      <c r="AU643" s="6" t="str">
        <f>HYPERLINK("http://catalog.hathitrust.org/Record/101976146","HathiTrust Record")</f>
        <v>HathiTrust Record</v>
      </c>
      <c r="AV643" s="6" t="str">
        <f>HYPERLINK("http://mcgill.on.worldcat.org/oclc/24247105","Catalog Record")</f>
        <v>Catalog Record</v>
      </c>
      <c r="AW643" s="6" t="str">
        <f>HYPERLINK("http://www.worldcat.org/oclc/24247105","WorldCat Record")</f>
        <v>WorldCat Record</v>
      </c>
      <c r="AX643" s="3" t="s">
        <v>6212</v>
      </c>
      <c r="AY643" s="3" t="s">
        <v>6213</v>
      </c>
      <c r="AZ643" s="3" t="s">
        <v>6214</v>
      </c>
      <c r="BA643" s="3" t="s">
        <v>6214</v>
      </c>
      <c r="BB643" s="3" t="s">
        <v>6215</v>
      </c>
      <c r="BC643" s="3" t="s">
        <v>142</v>
      </c>
      <c r="BD643" s="3" t="s">
        <v>68</v>
      </c>
      <c r="BE643" s="3" t="s">
        <v>6216</v>
      </c>
      <c r="BF643" s="3" t="s">
        <v>6215</v>
      </c>
      <c r="BG643" s="3" t="s">
        <v>6217</v>
      </c>
    </row>
    <row r="644" spans="1:59" ht="57" x14ac:dyDescent="0.45">
      <c r="A644" s="2" t="s">
        <v>59</v>
      </c>
      <c r="B644" s="2" t="s">
        <v>60</v>
      </c>
      <c r="C644" s="2" t="s">
        <v>6218</v>
      </c>
      <c r="D644" s="2" t="s">
        <v>6219</v>
      </c>
      <c r="E644" s="2" t="s">
        <v>6220</v>
      </c>
      <c r="G644" s="3" t="s">
        <v>62</v>
      </c>
      <c r="I644" s="3" t="s">
        <v>62</v>
      </c>
      <c r="J644" s="3" t="s">
        <v>62</v>
      </c>
      <c r="K644" s="3" t="s">
        <v>63</v>
      </c>
      <c r="M644" s="2" t="s">
        <v>6221</v>
      </c>
      <c r="N644" s="3" t="s">
        <v>208</v>
      </c>
      <c r="P644" s="3" t="s">
        <v>65</v>
      </c>
      <c r="Q644" s="2" t="s">
        <v>5837</v>
      </c>
      <c r="R644" s="3" t="s">
        <v>66</v>
      </c>
      <c r="S644" s="4">
        <v>5</v>
      </c>
      <c r="T644" s="4">
        <v>5</v>
      </c>
      <c r="U644" s="5" t="s">
        <v>6222</v>
      </c>
      <c r="V644" s="5" t="s">
        <v>6222</v>
      </c>
      <c r="W644" s="5" t="s">
        <v>67</v>
      </c>
      <c r="X644" s="5" t="s">
        <v>67</v>
      </c>
      <c r="Y644" s="4">
        <v>67</v>
      </c>
      <c r="Z644" s="4">
        <v>8</v>
      </c>
      <c r="AA644" s="4">
        <v>17</v>
      </c>
      <c r="AB644" s="4">
        <v>1</v>
      </c>
      <c r="AC644" s="4">
        <v>5</v>
      </c>
      <c r="AD644" s="4">
        <v>22</v>
      </c>
      <c r="AE644" s="4">
        <v>45</v>
      </c>
      <c r="AF644" s="4">
        <v>0</v>
      </c>
      <c r="AG644" s="4">
        <v>1</v>
      </c>
      <c r="AH644" s="4">
        <v>19</v>
      </c>
      <c r="AI644" s="4">
        <v>40</v>
      </c>
      <c r="AJ644" s="4">
        <v>4</v>
      </c>
      <c r="AK644" s="4">
        <v>10</v>
      </c>
      <c r="AL644" s="4">
        <v>12</v>
      </c>
      <c r="AM644" s="4">
        <v>24</v>
      </c>
      <c r="AN644" s="4">
        <v>0</v>
      </c>
      <c r="AO644" s="4">
        <v>0</v>
      </c>
      <c r="AP644" s="4">
        <v>5</v>
      </c>
      <c r="AQ644" s="4">
        <v>11</v>
      </c>
      <c r="AR644" s="3" t="s">
        <v>62</v>
      </c>
      <c r="AS644" s="3" t="s">
        <v>62</v>
      </c>
      <c r="AT644" s="3" t="s">
        <v>62</v>
      </c>
      <c r="AV644" s="6" t="str">
        <f>HYPERLINK("http://mcgill.on.worldcat.org/oclc/868150660","Catalog Record")</f>
        <v>Catalog Record</v>
      </c>
      <c r="AW644" s="6" t="str">
        <f>HYPERLINK("http://www.worldcat.org/oclc/868150660","WorldCat Record")</f>
        <v>WorldCat Record</v>
      </c>
      <c r="AX644" s="3" t="s">
        <v>6223</v>
      </c>
      <c r="AY644" s="3" t="s">
        <v>6224</v>
      </c>
      <c r="AZ644" s="3" t="s">
        <v>6225</v>
      </c>
      <c r="BA644" s="3" t="s">
        <v>6225</v>
      </c>
      <c r="BB644" s="3" t="s">
        <v>6226</v>
      </c>
      <c r="BC644" s="3" t="s">
        <v>142</v>
      </c>
      <c r="BD644" s="3" t="s">
        <v>308</v>
      </c>
      <c r="BE644" s="3" t="s">
        <v>6227</v>
      </c>
      <c r="BF644" s="3" t="s">
        <v>6226</v>
      </c>
      <c r="BG644" s="3" t="s">
        <v>6228</v>
      </c>
    </row>
    <row r="645" spans="1:59" ht="57" x14ac:dyDescent="0.45">
      <c r="A645" s="2" t="s">
        <v>59</v>
      </c>
      <c r="B645" s="2" t="s">
        <v>60</v>
      </c>
      <c r="C645" s="2" t="s">
        <v>6229</v>
      </c>
      <c r="D645" s="2" t="s">
        <v>6230</v>
      </c>
      <c r="E645" s="2" t="s">
        <v>6231</v>
      </c>
      <c r="G645" s="3" t="s">
        <v>62</v>
      </c>
      <c r="I645" s="3" t="s">
        <v>62</v>
      </c>
      <c r="J645" s="3" t="s">
        <v>62</v>
      </c>
      <c r="K645" s="3" t="s">
        <v>63</v>
      </c>
      <c r="L645" s="2" t="s">
        <v>6232</v>
      </c>
      <c r="M645" s="2" t="s">
        <v>6233</v>
      </c>
      <c r="N645" s="3" t="s">
        <v>1097</v>
      </c>
      <c r="P645" s="3" t="s">
        <v>65</v>
      </c>
      <c r="R645" s="3" t="s">
        <v>66</v>
      </c>
      <c r="S645" s="4">
        <v>8</v>
      </c>
      <c r="T645" s="4">
        <v>8</v>
      </c>
      <c r="U645" s="5" t="s">
        <v>6234</v>
      </c>
      <c r="V645" s="5" t="s">
        <v>6234</v>
      </c>
      <c r="W645" s="5" t="s">
        <v>67</v>
      </c>
      <c r="X645" s="5" t="s">
        <v>67</v>
      </c>
      <c r="Y645" s="4">
        <v>267</v>
      </c>
      <c r="Z645" s="4">
        <v>13</v>
      </c>
      <c r="AA645" s="4">
        <v>20</v>
      </c>
      <c r="AB645" s="4">
        <v>2</v>
      </c>
      <c r="AC645" s="4">
        <v>6</v>
      </c>
      <c r="AD645" s="4">
        <v>89</v>
      </c>
      <c r="AE645" s="4">
        <v>98</v>
      </c>
      <c r="AF645" s="4">
        <v>1</v>
      </c>
      <c r="AG645" s="4">
        <v>2</v>
      </c>
      <c r="AH645" s="4">
        <v>82</v>
      </c>
      <c r="AI645" s="4">
        <v>91</v>
      </c>
      <c r="AJ645" s="4">
        <v>11</v>
      </c>
      <c r="AK645" s="4">
        <v>14</v>
      </c>
      <c r="AL645" s="4">
        <v>41</v>
      </c>
      <c r="AM645" s="4">
        <v>44</v>
      </c>
      <c r="AN645" s="4">
        <v>0</v>
      </c>
      <c r="AO645" s="4">
        <v>0</v>
      </c>
      <c r="AP645" s="4">
        <v>12</v>
      </c>
      <c r="AQ645" s="4">
        <v>15</v>
      </c>
      <c r="AR645" s="3" t="s">
        <v>62</v>
      </c>
      <c r="AS645" s="3" t="s">
        <v>62</v>
      </c>
      <c r="AT645" s="3" t="s">
        <v>62</v>
      </c>
      <c r="AV645" s="6" t="str">
        <f>HYPERLINK("http://mcgill.on.worldcat.org/oclc/52895558","Catalog Record")</f>
        <v>Catalog Record</v>
      </c>
      <c r="AW645" s="6" t="str">
        <f>HYPERLINK("http://www.worldcat.org/oclc/52895558","WorldCat Record")</f>
        <v>WorldCat Record</v>
      </c>
      <c r="AX645" s="3" t="s">
        <v>6235</v>
      </c>
      <c r="AY645" s="3" t="s">
        <v>6236</v>
      </c>
      <c r="AZ645" s="3" t="s">
        <v>6237</v>
      </c>
      <c r="BA645" s="3" t="s">
        <v>6237</v>
      </c>
      <c r="BB645" s="3" t="s">
        <v>6238</v>
      </c>
      <c r="BC645" s="3" t="s">
        <v>142</v>
      </c>
      <c r="BD645" s="3" t="s">
        <v>68</v>
      </c>
      <c r="BE645" s="3" t="s">
        <v>6239</v>
      </c>
      <c r="BF645" s="3" t="s">
        <v>6238</v>
      </c>
      <c r="BG645" s="3" t="s">
        <v>6240</v>
      </c>
    </row>
    <row r="646" spans="1:59" ht="57" x14ac:dyDescent="0.45">
      <c r="A646" s="2" t="s">
        <v>59</v>
      </c>
      <c r="B646" s="2" t="s">
        <v>60</v>
      </c>
      <c r="C646" s="2" t="s">
        <v>6241</v>
      </c>
      <c r="D646" s="2" t="s">
        <v>6242</v>
      </c>
      <c r="E646" s="2" t="s">
        <v>6243</v>
      </c>
      <c r="G646" s="3" t="s">
        <v>62</v>
      </c>
      <c r="I646" s="3" t="s">
        <v>61</v>
      </c>
      <c r="J646" s="3" t="s">
        <v>62</v>
      </c>
      <c r="K646" s="3" t="s">
        <v>63</v>
      </c>
      <c r="L646" s="2" t="s">
        <v>6244</v>
      </c>
      <c r="M646" s="2" t="s">
        <v>6245</v>
      </c>
      <c r="N646" s="3" t="s">
        <v>1212</v>
      </c>
      <c r="P646" s="3" t="s">
        <v>65</v>
      </c>
      <c r="R646" s="3" t="s">
        <v>66</v>
      </c>
      <c r="S646" s="4">
        <v>36</v>
      </c>
      <c r="T646" s="4">
        <v>47</v>
      </c>
      <c r="U646" s="5" t="s">
        <v>6246</v>
      </c>
      <c r="V646" s="5" t="s">
        <v>6246</v>
      </c>
      <c r="W646" s="5" t="s">
        <v>67</v>
      </c>
      <c r="X646" s="5" t="s">
        <v>67</v>
      </c>
      <c r="Y646" s="4">
        <v>380</v>
      </c>
      <c r="Z646" s="4">
        <v>24</v>
      </c>
      <c r="AA646" s="4">
        <v>31</v>
      </c>
      <c r="AB646" s="4">
        <v>2</v>
      </c>
      <c r="AC646" s="4">
        <v>5</v>
      </c>
      <c r="AD646" s="4">
        <v>95</v>
      </c>
      <c r="AE646" s="4">
        <v>104</v>
      </c>
      <c r="AF646" s="4">
        <v>1</v>
      </c>
      <c r="AG646" s="4">
        <v>1</v>
      </c>
      <c r="AH646" s="4">
        <v>86</v>
      </c>
      <c r="AI646" s="4">
        <v>92</v>
      </c>
      <c r="AJ646" s="4">
        <v>16</v>
      </c>
      <c r="AK646" s="4">
        <v>16</v>
      </c>
      <c r="AL646" s="4">
        <v>45</v>
      </c>
      <c r="AM646" s="4">
        <v>48</v>
      </c>
      <c r="AN646" s="4">
        <v>0</v>
      </c>
      <c r="AO646" s="4">
        <v>0</v>
      </c>
      <c r="AP646" s="4">
        <v>19</v>
      </c>
      <c r="AQ646" s="4">
        <v>21</v>
      </c>
      <c r="AR646" s="3" t="s">
        <v>62</v>
      </c>
      <c r="AS646" s="3" t="s">
        <v>62</v>
      </c>
      <c r="AT646" s="3" t="s">
        <v>62</v>
      </c>
      <c r="AV646" s="6" t="str">
        <f>HYPERLINK("http://mcgill.on.worldcat.org/oclc/41488765","Catalog Record")</f>
        <v>Catalog Record</v>
      </c>
      <c r="AW646" s="6" t="str">
        <f>HYPERLINK("http://www.worldcat.org/oclc/41488765","WorldCat Record")</f>
        <v>WorldCat Record</v>
      </c>
      <c r="AX646" s="3" t="s">
        <v>6247</v>
      </c>
      <c r="AY646" s="3" t="s">
        <v>6248</v>
      </c>
      <c r="AZ646" s="3" t="s">
        <v>6249</v>
      </c>
      <c r="BA646" s="3" t="s">
        <v>6249</v>
      </c>
      <c r="BB646" s="3" t="s">
        <v>6250</v>
      </c>
      <c r="BC646" s="3" t="s">
        <v>142</v>
      </c>
      <c r="BD646" s="3" t="s">
        <v>68</v>
      </c>
      <c r="BE646" s="3" t="s">
        <v>6251</v>
      </c>
      <c r="BF646" s="3" t="s">
        <v>6250</v>
      </c>
      <c r="BG646" s="3" t="s">
        <v>6252</v>
      </c>
    </row>
    <row r="647" spans="1:59" ht="57" x14ac:dyDescent="0.45">
      <c r="A647" s="2" t="s">
        <v>59</v>
      </c>
      <c r="B647" s="2" t="s">
        <v>60</v>
      </c>
      <c r="C647" s="2" t="s">
        <v>6241</v>
      </c>
      <c r="D647" s="2" t="s">
        <v>6242</v>
      </c>
      <c r="E647" s="2" t="s">
        <v>6243</v>
      </c>
      <c r="G647" s="3" t="s">
        <v>62</v>
      </c>
      <c r="I647" s="3" t="s">
        <v>61</v>
      </c>
      <c r="J647" s="3" t="s">
        <v>62</v>
      </c>
      <c r="K647" s="3" t="s">
        <v>63</v>
      </c>
      <c r="L647" s="2" t="s">
        <v>6244</v>
      </c>
      <c r="M647" s="2" t="s">
        <v>6245</v>
      </c>
      <c r="N647" s="3" t="s">
        <v>1212</v>
      </c>
      <c r="P647" s="3" t="s">
        <v>65</v>
      </c>
      <c r="R647" s="3" t="s">
        <v>66</v>
      </c>
      <c r="S647" s="4">
        <v>11</v>
      </c>
      <c r="T647" s="4">
        <v>47</v>
      </c>
      <c r="U647" s="5" t="s">
        <v>6253</v>
      </c>
      <c r="V647" s="5" t="s">
        <v>6246</v>
      </c>
      <c r="W647" s="5" t="s">
        <v>67</v>
      </c>
      <c r="X647" s="5" t="s">
        <v>67</v>
      </c>
      <c r="Y647" s="4">
        <v>380</v>
      </c>
      <c r="Z647" s="4">
        <v>24</v>
      </c>
      <c r="AA647" s="4">
        <v>31</v>
      </c>
      <c r="AB647" s="4">
        <v>2</v>
      </c>
      <c r="AC647" s="4">
        <v>5</v>
      </c>
      <c r="AD647" s="4">
        <v>95</v>
      </c>
      <c r="AE647" s="4">
        <v>104</v>
      </c>
      <c r="AF647" s="4">
        <v>1</v>
      </c>
      <c r="AG647" s="4">
        <v>1</v>
      </c>
      <c r="AH647" s="4">
        <v>86</v>
      </c>
      <c r="AI647" s="4">
        <v>92</v>
      </c>
      <c r="AJ647" s="4">
        <v>16</v>
      </c>
      <c r="AK647" s="4">
        <v>16</v>
      </c>
      <c r="AL647" s="4">
        <v>45</v>
      </c>
      <c r="AM647" s="4">
        <v>48</v>
      </c>
      <c r="AN647" s="4">
        <v>0</v>
      </c>
      <c r="AO647" s="4">
        <v>0</v>
      </c>
      <c r="AP647" s="4">
        <v>19</v>
      </c>
      <c r="AQ647" s="4">
        <v>21</v>
      </c>
      <c r="AR647" s="3" t="s">
        <v>62</v>
      </c>
      <c r="AS647" s="3" t="s">
        <v>62</v>
      </c>
      <c r="AT647" s="3" t="s">
        <v>62</v>
      </c>
      <c r="AV647" s="6" t="str">
        <f>HYPERLINK("http://mcgill.on.worldcat.org/oclc/41488765","Catalog Record")</f>
        <v>Catalog Record</v>
      </c>
      <c r="AW647" s="6" t="str">
        <f>HYPERLINK("http://www.worldcat.org/oclc/41488765","WorldCat Record")</f>
        <v>WorldCat Record</v>
      </c>
      <c r="AX647" s="3" t="s">
        <v>6247</v>
      </c>
      <c r="AY647" s="3" t="s">
        <v>6248</v>
      </c>
      <c r="AZ647" s="3" t="s">
        <v>6249</v>
      </c>
      <c r="BA647" s="3" t="s">
        <v>6249</v>
      </c>
      <c r="BB647" s="3" t="s">
        <v>6254</v>
      </c>
      <c r="BC647" s="3" t="s">
        <v>142</v>
      </c>
      <c r="BD647" s="3" t="s">
        <v>68</v>
      </c>
      <c r="BE647" s="3" t="s">
        <v>6251</v>
      </c>
      <c r="BF647" s="3" t="s">
        <v>6254</v>
      </c>
      <c r="BG647" s="3" t="s">
        <v>6255</v>
      </c>
    </row>
    <row r="648" spans="1:59" ht="57" x14ac:dyDescent="0.45">
      <c r="A648" s="2" t="s">
        <v>59</v>
      </c>
      <c r="B648" s="2" t="s">
        <v>60</v>
      </c>
      <c r="C648" s="2" t="s">
        <v>6256</v>
      </c>
      <c r="D648" s="2" t="s">
        <v>6257</v>
      </c>
      <c r="E648" s="2" t="s">
        <v>6258</v>
      </c>
      <c r="G648" s="3" t="s">
        <v>62</v>
      </c>
      <c r="I648" s="3" t="s">
        <v>62</v>
      </c>
      <c r="J648" s="3" t="s">
        <v>62</v>
      </c>
      <c r="K648" s="3" t="s">
        <v>63</v>
      </c>
      <c r="L648" s="2" t="s">
        <v>6259</v>
      </c>
      <c r="M648" s="2" t="s">
        <v>6260</v>
      </c>
      <c r="N648" s="3" t="s">
        <v>1155</v>
      </c>
      <c r="P648" s="3" t="s">
        <v>182</v>
      </c>
      <c r="Q648" s="2" t="s">
        <v>6261</v>
      </c>
      <c r="R648" s="3" t="s">
        <v>66</v>
      </c>
      <c r="S648" s="4">
        <v>0</v>
      </c>
      <c r="T648" s="4">
        <v>0</v>
      </c>
      <c r="W648" s="5" t="s">
        <v>67</v>
      </c>
      <c r="X648" s="5" t="s">
        <v>67</v>
      </c>
      <c r="Y648" s="4">
        <v>23</v>
      </c>
      <c r="Z648" s="4">
        <v>1</v>
      </c>
      <c r="AA648" s="4">
        <v>1</v>
      </c>
      <c r="AB648" s="4">
        <v>1</v>
      </c>
      <c r="AC648" s="4">
        <v>1</v>
      </c>
      <c r="AD648" s="4">
        <v>9</v>
      </c>
      <c r="AE648" s="4">
        <v>10</v>
      </c>
      <c r="AF648" s="4">
        <v>0</v>
      </c>
      <c r="AG648" s="4">
        <v>0</v>
      </c>
      <c r="AH648" s="4">
        <v>9</v>
      </c>
      <c r="AI648" s="4">
        <v>9</v>
      </c>
      <c r="AJ648" s="4">
        <v>0</v>
      </c>
      <c r="AK648" s="4">
        <v>0</v>
      </c>
      <c r="AL648" s="4">
        <v>8</v>
      </c>
      <c r="AM648" s="4">
        <v>9</v>
      </c>
      <c r="AN648" s="4">
        <v>0</v>
      </c>
      <c r="AO648" s="4">
        <v>0</v>
      </c>
      <c r="AP648" s="4">
        <v>0</v>
      </c>
      <c r="AQ648" s="4">
        <v>0</v>
      </c>
      <c r="AR648" s="3" t="s">
        <v>62</v>
      </c>
      <c r="AS648" s="3" t="s">
        <v>62</v>
      </c>
      <c r="AT648" s="3" t="s">
        <v>62</v>
      </c>
      <c r="AV648" s="6" t="str">
        <f>HYPERLINK("http://mcgill.on.worldcat.org/oclc/812503931","Catalog Record")</f>
        <v>Catalog Record</v>
      </c>
      <c r="AW648" s="6" t="str">
        <f>HYPERLINK("http://www.worldcat.org/oclc/812503931","WorldCat Record")</f>
        <v>WorldCat Record</v>
      </c>
      <c r="AX648" s="3" t="s">
        <v>6262</v>
      </c>
      <c r="AY648" s="3" t="s">
        <v>6263</v>
      </c>
      <c r="AZ648" s="3" t="s">
        <v>6264</v>
      </c>
      <c r="BA648" s="3" t="s">
        <v>6264</v>
      </c>
      <c r="BB648" s="3" t="s">
        <v>6265</v>
      </c>
      <c r="BC648" s="3" t="s">
        <v>142</v>
      </c>
      <c r="BD648" s="3" t="s">
        <v>68</v>
      </c>
      <c r="BE648" s="3" t="s">
        <v>6266</v>
      </c>
      <c r="BF648" s="3" t="s">
        <v>6265</v>
      </c>
      <c r="BG648" s="3" t="s">
        <v>6267</v>
      </c>
    </row>
    <row r="649" spans="1:59" ht="57" x14ac:dyDescent="0.45">
      <c r="A649" s="2" t="s">
        <v>59</v>
      </c>
      <c r="B649" s="2" t="s">
        <v>60</v>
      </c>
      <c r="C649" s="2" t="s">
        <v>6268</v>
      </c>
      <c r="D649" s="2" t="s">
        <v>6269</v>
      </c>
      <c r="E649" s="2" t="s">
        <v>6270</v>
      </c>
      <c r="G649" s="3" t="s">
        <v>62</v>
      </c>
      <c r="I649" s="3" t="s">
        <v>62</v>
      </c>
      <c r="J649" s="3" t="s">
        <v>62</v>
      </c>
      <c r="K649" s="3" t="s">
        <v>63</v>
      </c>
      <c r="M649" s="2" t="s">
        <v>6271</v>
      </c>
      <c r="N649" s="3" t="s">
        <v>945</v>
      </c>
      <c r="P649" s="3" t="s">
        <v>65</v>
      </c>
      <c r="R649" s="3" t="s">
        <v>66</v>
      </c>
      <c r="S649" s="4">
        <v>4</v>
      </c>
      <c r="T649" s="4">
        <v>4</v>
      </c>
      <c r="U649" s="5" t="s">
        <v>6272</v>
      </c>
      <c r="V649" s="5" t="s">
        <v>6272</v>
      </c>
      <c r="W649" s="5" t="s">
        <v>67</v>
      </c>
      <c r="X649" s="5" t="s">
        <v>67</v>
      </c>
      <c r="Y649" s="4">
        <v>35</v>
      </c>
      <c r="Z649" s="4">
        <v>4</v>
      </c>
      <c r="AA649" s="4">
        <v>78</v>
      </c>
      <c r="AB649" s="4">
        <v>1</v>
      </c>
      <c r="AC649" s="4">
        <v>14</v>
      </c>
      <c r="AD649" s="4">
        <v>17</v>
      </c>
      <c r="AE649" s="4">
        <v>85</v>
      </c>
      <c r="AF649" s="4">
        <v>0</v>
      </c>
      <c r="AG649" s="4">
        <v>8</v>
      </c>
      <c r="AH649" s="4">
        <v>16</v>
      </c>
      <c r="AI649" s="4">
        <v>55</v>
      </c>
      <c r="AJ649" s="4">
        <v>2</v>
      </c>
      <c r="AK649" s="4">
        <v>17</v>
      </c>
      <c r="AL649" s="4">
        <v>14</v>
      </c>
      <c r="AM649" s="4">
        <v>29</v>
      </c>
      <c r="AN649" s="4">
        <v>0</v>
      </c>
      <c r="AO649" s="4">
        <v>0</v>
      </c>
      <c r="AP649" s="4">
        <v>2</v>
      </c>
      <c r="AQ649" s="4">
        <v>37</v>
      </c>
      <c r="AR649" s="3" t="s">
        <v>62</v>
      </c>
      <c r="AS649" s="3" t="s">
        <v>62</v>
      </c>
      <c r="AT649" s="3" t="s">
        <v>62</v>
      </c>
      <c r="AV649" s="6" t="str">
        <f>HYPERLINK("http://mcgill.on.worldcat.org/oclc/85898412","Catalog Record")</f>
        <v>Catalog Record</v>
      </c>
      <c r="AW649" s="6" t="str">
        <f>HYPERLINK("http://www.worldcat.org/oclc/85898412","WorldCat Record")</f>
        <v>WorldCat Record</v>
      </c>
      <c r="AX649" s="3" t="s">
        <v>6273</v>
      </c>
      <c r="AY649" s="3" t="s">
        <v>6274</v>
      </c>
      <c r="AZ649" s="3" t="s">
        <v>6275</v>
      </c>
      <c r="BA649" s="3" t="s">
        <v>6275</v>
      </c>
      <c r="BB649" s="3" t="s">
        <v>6276</v>
      </c>
      <c r="BC649" s="3" t="s">
        <v>142</v>
      </c>
      <c r="BD649" s="3" t="s">
        <v>68</v>
      </c>
      <c r="BE649" s="3" t="s">
        <v>6277</v>
      </c>
      <c r="BF649" s="3" t="s">
        <v>6276</v>
      </c>
      <c r="BG649" s="3" t="s">
        <v>6278</v>
      </c>
    </row>
    <row r="650" spans="1:59" ht="57" x14ac:dyDescent="0.45">
      <c r="A650" s="2" t="s">
        <v>59</v>
      </c>
      <c r="B650" s="2" t="s">
        <v>60</v>
      </c>
      <c r="C650" s="2" t="s">
        <v>6279</v>
      </c>
      <c r="D650" s="2" t="s">
        <v>6280</v>
      </c>
      <c r="E650" s="2" t="s">
        <v>6281</v>
      </c>
      <c r="G650" s="3" t="s">
        <v>62</v>
      </c>
      <c r="I650" s="3" t="s">
        <v>62</v>
      </c>
      <c r="J650" s="3" t="s">
        <v>62</v>
      </c>
      <c r="K650" s="3" t="s">
        <v>63</v>
      </c>
      <c r="L650" s="2" t="s">
        <v>6282</v>
      </c>
      <c r="M650" s="2" t="s">
        <v>1770</v>
      </c>
      <c r="N650" s="3" t="s">
        <v>116</v>
      </c>
      <c r="P650" s="3" t="s">
        <v>65</v>
      </c>
      <c r="Q650" s="2" t="s">
        <v>5361</v>
      </c>
      <c r="R650" s="3" t="s">
        <v>66</v>
      </c>
      <c r="S650" s="4">
        <v>1</v>
      </c>
      <c r="T650" s="4">
        <v>1</v>
      </c>
      <c r="U650" s="5" t="s">
        <v>6283</v>
      </c>
      <c r="V650" s="5" t="s">
        <v>6283</v>
      </c>
      <c r="W650" s="5" t="s">
        <v>67</v>
      </c>
      <c r="X650" s="5" t="s">
        <v>67</v>
      </c>
      <c r="Y650" s="4">
        <v>77</v>
      </c>
      <c r="Z650" s="4">
        <v>9</v>
      </c>
      <c r="AA650" s="4">
        <v>78</v>
      </c>
      <c r="AB650" s="4">
        <v>1</v>
      </c>
      <c r="AC650" s="4">
        <v>15</v>
      </c>
      <c r="AD650" s="4">
        <v>18</v>
      </c>
      <c r="AE650" s="4">
        <v>93</v>
      </c>
      <c r="AF650" s="4">
        <v>0</v>
      </c>
      <c r="AG650" s="4">
        <v>8</v>
      </c>
      <c r="AH650" s="4">
        <v>13</v>
      </c>
      <c r="AI650" s="4">
        <v>60</v>
      </c>
      <c r="AJ650" s="4">
        <v>6</v>
      </c>
      <c r="AK650" s="4">
        <v>20</v>
      </c>
      <c r="AL650" s="4">
        <v>6</v>
      </c>
      <c r="AM650" s="4">
        <v>30</v>
      </c>
      <c r="AN650" s="4">
        <v>0</v>
      </c>
      <c r="AO650" s="4">
        <v>0</v>
      </c>
      <c r="AP650" s="4">
        <v>8</v>
      </c>
      <c r="AQ650" s="4">
        <v>40</v>
      </c>
      <c r="AR650" s="3" t="s">
        <v>62</v>
      </c>
      <c r="AS650" s="3" t="s">
        <v>62</v>
      </c>
      <c r="AT650" s="3" t="s">
        <v>62</v>
      </c>
      <c r="AV650" s="6" t="str">
        <f>HYPERLINK("http://mcgill.on.worldcat.org/oclc/827267064","Catalog Record")</f>
        <v>Catalog Record</v>
      </c>
      <c r="AW650" s="6" t="str">
        <f>HYPERLINK("http://www.worldcat.org/oclc/827267064","WorldCat Record")</f>
        <v>WorldCat Record</v>
      </c>
      <c r="AX650" s="3" t="s">
        <v>6284</v>
      </c>
      <c r="AY650" s="3" t="s">
        <v>6285</v>
      </c>
      <c r="AZ650" s="3" t="s">
        <v>6286</v>
      </c>
      <c r="BA650" s="3" t="s">
        <v>6286</v>
      </c>
      <c r="BB650" s="3" t="s">
        <v>6287</v>
      </c>
      <c r="BC650" s="3" t="s">
        <v>142</v>
      </c>
      <c r="BD650" s="3" t="s">
        <v>68</v>
      </c>
      <c r="BE650" s="3" t="s">
        <v>6288</v>
      </c>
      <c r="BF650" s="3" t="s">
        <v>6287</v>
      </c>
      <c r="BG650" s="3" t="s">
        <v>6289</v>
      </c>
    </row>
    <row r="651" spans="1:59" ht="57" x14ac:dyDescent="0.45">
      <c r="A651" s="2" t="s">
        <v>59</v>
      </c>
      <c r="B651" s="2" t="s">
        <v>60</v>
      </c>
      <c r="C651" s="2" t="s">
        <v>6290</v>
      </c>
      <c r="D651" s="2" t="s">
        <v>6291</v>
      </c>
      <c r="E651" s="2" t="s">
        <v>6292</v>
      </c>
      <c r="G651" s="3" t="s">
        <v>62</v>
      </c>
      <c r="I651" s="3" t="s">
        <v>62</v>
      </c>
      <c r="J651" s="3" t="s">
        <v>62</v>
      </c>
      <c r="K651" s="3" t="s">
        <v>63</v>
      </c>
      <c r="L651" s="2" t="s">
        <v>6293</v>
      </c>
      <c r="M651" s="2" t="s">
        <v>6294</v>
      </c>
      <c r="N651" s="3" t="s">
        <v>894</v>
      </c>
      <c r="P651" s="3" t="s">
        <v>65</v>
      </c>
      <c r="Q651" s="2" t="s">
        <v>6295</v>
      </c>
      <c r="R651" s="3" t="s">
        <v>66</v>
      </c>
      <c r="S651" s="4">
        <v>2</v>
      </c>
      <c r="T651" s="4">
        <v>2</v>
      </c>
      <c r="U651" s="5" t="s">
        <v>6283</v>
      </c>
      <c r="V651" s="5" t="s">
        <v>6283</v>
      </c>
      <c r="W651" s="5" t="s">
        <v>67</v>
      </c>
      <c r="X651" s="5" t="s">
        <v>67</v>
      </c>
      <c r="Y651" s="4">
        <v>127</v>
      </c>
      <c r="Z651" s="4">
        <v>14</v>
      </c>
      <c r="AA651" s="4">
        <v>84</v>
      </c>
      <c r="AB651" s="4">
        <v>1</v>
      </c>
      <c r="AC651" s="4">
        <v>15</v>
      </c>
      <c r="AD651" s="4">
        <v>25</v>
      </c>
      <c r="AE651" s="4">
        <v>105</v>
      </c>
      <c r="AF651" s="4">
        <v>0</v>
      </c>
      <c r="AG651" s="4">
        <v>8</v>
      </c>
      <c r="AH651" s="4">
        <v>21</v>
      </c>
      <c r="AI651" s="4">
        <v>70</v>
      </c>
      <c r="AJ651" s="4">
        <v>9</v>
      </c>
      <c r="AK651" s="4">
        <v>25</v>
      </c>
      <c r="AL651" s="4">
        <v>11</v>
      </c>
      <c r="AM651" s="4">
        <v>30</v>
      </c>
      <c r="AN651" s="4">
        <v>0</v>
      </c>
      <c r="AO651" s="4">
        <v>0</v>
      </c>
      <c r="AP651" s="4">
        <v>9</v>
      </c>
      <c r="AQ651" s="4">
        <v>45</v>
      </c>
      <c r="AR651" s="3" t="s">
        <v>62</v>
      </c>
      <c r="AS651" s="3" t="s">
        <v>62</v>
      </c>
      <c r="AT651" s="3" t="s">
        <v>62</v>
      </c>
      <c r="AV651" s="6" t="str">
        <f>HYPERLINK("http://mcgill.on.worldcat.org/oclc/651914285","Catalog Record")</f>
        <v>Catalog Record</v>
      </c>
      <c r="AW651" s="6" t="str">
        <f>HYPERLINK("http://www.worldcat.org/oclc/651914285","WorldCat Record")</f>
        <v>WorldCat Record</v>
      </c>
      <c r="AX651" s="3" t="s">
        <v>6296</v>
      </c>
      <c r="AY651" s="3" t="s">
        <v>6297</v>
      </c>
      <c r="AZ651" s="3" t="s">
        <v>6298</v>
      </c>
      <c r="BA651" s="3" t="s">
        <v>6298</v>
      </c>
      <c r="BB651" s="3" t="s">
        <v>6299</v>
      </c>
      <c r="BC651" s="3" t="s">
        <v>142</v>
      </c>
      <c r="BD651" s="3" t="s">
        <v>68</v>
      </c>
      <c r="BE651" s="3" t="s">
        <v>6300</v>
      </c>
      <c r="BF651" s="3" t="s">
        <v>6299</v>
      </c>
      <c r="BG651" s="3" t="s">
        <v>6301</v>
      </c>
    </row>
    <row r="652" spans="1:59" ht="57" x14ac:dyDescent="0.45">
      <c r="A652" s="2" t="s">
        <v>59</v>
      </c>
      <c r="B652" s="2" t="s">
        <v>60</v>
      </c>
      <c r="C652" s="2" t="s">
        <v>6302</v>
      </c>
      <c r="D652" s="2" t="s">
        <v>6303</v>
      </c>
      <c r="E652" s="2" t="s">
        <v>6304</v>
      </c>
      <c r="G652" s="3" t="s">
        <v>62</v>
      </c>
      <c r="I652" s="3" t="s">
        <v>62</v>
      </c>
      <c r="J652" s="3" t="s">
        <v>62</v>
      </c>
      <c r="K652" s="3" t="s">
        <v>63</v>
      </c>
      <c r="L652" s="2" t="s">
        <v>6293</v>
      </c>
      <c r="M652" s="2" t="s">
        <v>6305</v>
      </c>
      <c r="N652" s="3" t="s">
        <v>1059</v>
      </c>
      <c r="P652" s="3" t="s">
        <v>65</v>
      </c>
      <c r="Q652" s="2" t="s">
        <v>6306</v>
      </c>
      <c r="R652" s="3" t="s">
        <v>66</v>
      </c>
      <c r="S652" s="4">
        <v>5</v>
      </c>
      <c r="T652" s="4">
        <v>5</v>
      </c>
      <c r="U652" s="5" t="s">
        <v>6283</v>
      </c>
      <c r="V652" s="5" t="s">
        <v>6283</v>
      </c>
      <c r="W652" s="5" t="s">
        <v>67</v>
      </c>
      <c r="X652" s="5" t="s">
        <v>67</v>
      </c>
      <c r="Y652" s="4">
        <v>221</v>
      </c>
      <c r="Z652" s="4">
        <v>15</v>
      </c>
      <c r="AA652" s="4">
        <v>59</v>
      </c>
      <c r="AB652" s="4">
        <v>2</v>
      </c>
      <c r="AC652" s="4">
        <v>17</v>
      </c>
      <c r="AD652" s="4">
        <v>68</v>
      </c>
      <c r="AE652" s="4">
        <v>104</v>
      </c>
      <c r="AF652" s="4">
        <v>1</v>
      </c>
      <c r="AG652" s="4">
        <v>8</v>
      </c>
      <c r="AH652" s="4">
        <v>63</v>
      </c>
      <c r="AI652" s="4">
        <v>68</v>
      </c>
      <c r="AJ652" s="4">
        <v>12</v>
      </c>
      <c r="AK652" s="4">
        <v>23</v>
      </c>
      <c r="AL652" s="4">
        <v>35</v>
      </c>
      <c r="AM652" s="4">
        <v>36</v>
      </c>
      <c r="AN652" s="4">
        <v>0</v>
      </c>
      <c r="AO652" s="4">
        <v>0</v>
      </c>
      <c r="AP652" s="4">
        <v>13</v>
      </c>
      <c r="AQ652" s="4">
        <v>46</v>
      </c>
      <c r="AR652" s="3" t="s">
        <v>62</v>
      </c>
      <c r="AS652" s="3" t="s">
        <v>62</v>
      </c>
      <c r="AT652" s="3" t="s">
        <v>61</v>
      </c>
      <c r="AU652" s="6" t="str">
        <f>HYPERLINK("http://catalog.hathitrust.org/Record/005229389","HathiTrust Record")</f>
        <v>HathiTrust Record</v>
      </c>
      <c r="AV652" s="6" t="str">
        <f>HYPERLINK("http://mcgill.on.worldcat.org/oclc/61499988","Catalog Record")</f>
        <v>Catalog Record</v>
      </c>
      <c r="AW652" s="6" t="str">
        <f>HYPERLINK("http://www.worldcat.org/oclc/61499988","WorldCat Record")</f>
        <v>WorldCat Record</v>
      </c>
      <c r="AX652" s="3" t="s">
        <v>6307</v>
      </c>
      <c r="AY652" s="3" t="s">
        <v>6308</v>
      </c>
      <c r="AZ652" s="3" t="s">
        <v>6309</v>
      </c>
      <c r="BA652" s="3" t="s">
        <v>6309</v>
      </c>
      <c r="BB652" s="3" t="s">
        <v>6310</v>
      </c>
      <c r="BC652" s="3" t="s">
        <v>142</v>
      </c>
      <c r="BD652" s="3" t="s">
        <v>68</v>
      </c>
      <c r="BE652" s="3" t="s">
        <v>6311</v>
      </c>
      <c r="BF652" s="3" t="s">
        <v>6310</v>
      </c>
      <c r="BG652" s="3" t="s">
        <v>6312</v>
      </c>
    </row>
    <row r="653" spans="1:59" ht="71.25" x14ac:dyDescent="0.45">
      <c r="A653" s="2" t="s">
        <v>59</v>
      </c>
      <c r="B653" s="2" t="s">
        <v>60</v>
      </c>
      <c r="C653" s="2" t="s">
        <v>6313</v>
      </c>
      <c r="D653" s="2" t="s">
        <v>6314</v>
      </c>
      <c r="E653" s="2" t="s">
        <v>6315</v>
      </c>
      <c r="G653" s="3" t="s">
        <v>62</v>
      </c>
      <c r="I653" s="3" t="s">
        <v>62</v>
      </c>
      <c r="J653" s="3" t="s">
        <v>62</v>
      </c>
      <c r="K653" s="3" t="s">
        <v>63</v>
      </c>
      <c r="L653" s="2" t="s">
        <v>6316</v>
      </c>
      <c r="M653" s="2" t="s">
        <v>6317</v>
      </c>
      <c r="N653" s="3" t="s">
        <v>945</v>
      </c>
      <c r="P653" s="3" t="s">
        <v>65</v>
      </c>
      <c r="Q653" s="2" t="s">
        <v>6318</v>
      </c>
      <c r="R653" s="3" t="s">
        <v>66</v>
      </c>
      <c r="S653" s="4">
        <v>5</v>
      </c>
      <c r="T653" s="4">
        <v>5</v>
      </c>
      <c r="U653" s="5" t="s">
        <v>6272</v>
      </c>
      <c r="V653" s="5" t="s">
        <v>6272</v>
      </c>
      <c r="W653" s="5" t="s">
        <v>67</v>
      </c>
      <c r="X653" s="5" t="s">
        <v>67</v>
      </c>
      <c r="Y653" s="4">
        <v>184</v>
      </c>
      <c r="Z653" s="4">
        <v>19</v>
      </c>
      <c r="AA653" s="4">
        <v>99</v>
      </c>
      <c r="AB653" s="4">
        <v>3</v>
      </c>
      <c r="AC653" s="4">
        <v>17</v>
      </c>
      <c r="AD653" s="4">
        <v>66</v>
      </c>
      <c r="AE653" s="4">
        <v>130</v>
      </c>
      <c r="AF653" s="4">
        <v>2</v>
      </c>
      <c r="AG653" s="4">
        <v>8</v>
      </c>
      <c r="AH653" s="4">
        <v>57</v>
      </c>
      <c r="AI653" s="4">
        <v>93</v>
      </c>
      <c r="AJ653" s="4">
        <v>14</v>
      </c>
      <c r="AK653" s="4">
        <v>22</v>
      </c>
      <c r="AL653" s="4">
        <v>37</v>
      </c>
      <c r="AM653" s="4">
        <v>50</v>
      </c>
      <c r="AN653" s="4">
        <v>0</v>
      </c>
      <c r="AO653" s="4">
        <v>0</v>
      </c>
      <c r="AP653" s="4">
        <v>15</v>
      </c>
      <c r="AQ653" s="4">
        <v>44</v>
      </c>
      <c r="AR653" s="3" t="s">
        <v>62</v>
      </c>
      <c r="AS653" s="3" t="s">
        <v>62</v>
      </c>
      <c r="AT653" s="3" t="s">
        <v>62</v>
      </c>
      <c r="AV653" s="6" t="str">
        <f>HYPERLINK("http://mcgill.on.worldcat.org/oclc/70483439","Catalog Record")</f>
        <v>Catalog Record</v>
      </c>
      <c r="AW653" s="6" t="str">
        <f>HYPERLINK("http://www.worldcat.org/oclc/70483439","WorldCat Record")</f>
        <v>WorldCat Record</v>
      </c>
      <c r="AX653" s="3" t="s">
        <v>6319</v>
      </c>
      <c r="AY653" s="3" t="s">
        <v>6320</v>
      </c>
      <c r="AZ653" s="3" t="s">
        <v>6321</v>
      </c>
      <c r="BA653" s="3" t="s">
        <v>6321</v>
      </c>
      <c r="BB653" s="3" t="s">
        <v>6322</v>
      </c>
      <c r="BC653" s="3" t="s">
        <v>142</v>
      </c>
      <c r="BD653" s="3" t="s">
        <v>68</v>
      </c>
      <c r="BE653" s="3" t="s">
        <v>6323</v>
      </c>
      <c r="BF653" s="3" t="s">
        <v>6322</v>
      </c>
      <c r="BG653" s="3" t="s">
        <v>6324</v>
      </c>
    </row>
    <row r="654" spans="1:59" ht="57" x14ac:dyDescent="0.45">
      <c r="A654" s="2" t="s">
        <v>59</v>
      </c>
      <c r="B654" s="2" t="s">
        <v>60</v>
      </c>
      <c r="C654" s="2" t="s">
        <v>6325</v>
      </c>
      <c r="D654" s="2" t="s">
        <v>6326</v>
      </c>
      <c r="E654" s="2" t="s">
        <v>6327</v>
      </c>
      <c r="G654" s="3" t="s">
        <v>62</v>
      </c>
      <c r="I654" s="3" t="s">
        <v>62</v>
      </c>
      <c r="J654" s="3" t="s">
        <v>62</v>
      </c>
      <c r="K654" s="3" t="s">
        <v>63</v>
      </c>
      <c r="L654" s="2" t="s">
        <v>6328</v>
      </c>
      <c r="M654" s="2" t="s">
        <v>6329</v>
      </c>
      <c r="N654" s="3" t="s">
        <v>945</v>
      </c>
      <c r="P654" s="3" t="s">
        <v>110</v>
      </c>
      <c r="Q654" s="2" t="s">
        <v>5983</v>
      </c>
      <c r="R654" s="3" t="s">
        <v>66</v>
      </c>
      <c r="S654" s="4">
        <v>6</v>
      </c>
      <c r="T654" s="4">
        <v>6</v>
      </c>
      <c r="U654" s="5" t="s">
        <v>6330</v>
      </c>
      <c r="V654" s="5" t="s">
        <v>6330</v>
      </c>
      <c r="W654" s="5" t="s">
        <v>67</v>
      </c>
      <c r="X654" s="5" t="s">
        <v>67</v>
      </c>
      <c r="Y654" s="4">
        <v>19</v>
      </c>
      <c r="Z654" s="4">
        <v>2</v>
      </c>
      <c r="AA654" s="4">
        <v>10</v>
      </c>
      <c r="AB654" s="4">
        <v>1</v>
      </c>
      <c r="AC654" s="4">
        <v>6</v>
      </c>
      <c r="AD654" s="4">
        <v>8</v>
      </c>
      <c r="AE654" s="4">
        <v>14</v>
      </c>
      <c r="AF654" s="4">
        <v>0</v>
      </c>
      <c r="AG654" s="4">
        <v>3</v>
      </c>
      <c r="AH654" s="4">
        <v>8</v>
      </c>
      <c r="AI654" s="4">
        <v>11</v>
      </c>
      <c r="AJ654" s="4">
        <v>1</v>
      </c>
      <c r="AK654" s="4">
        <v>5</v>
      </c>
      <c r="AL654" s="4">
        <v>4</v>
      </c>
      <c r="AM654" s="4">
        <v>4</v>
      </c>
      <c r="AN654" s="4">
        <v>0</v>
      </c>
      <c r="AO654" s="4">
        <v>0</v>
      </c>
      <c r="AP654" s="4">
        <v>1</v>
      </c>
      <c r="AQ654" s="4">
        <v>7</v>
      </c>
      <c r="AR654" s="3" t="s">
        <v>62</v>
      </c>
      <c r="AS654" s="3" t="s">
        <v>62</v>
      </c>
      <c r="AT654" s="3" t="s">
        <v>62</v>
      </c>
      <c r="AV654" s="6" t="str">
        <f>HYPERLINK("http://mcgill.on.worldcat.org/oclc/159956211","Catalog Record")</f>
        <v>Catalog Record</v>
      </c>
      <c r="AW654" s="6" t="str">
        <f>HYPERLINK("http://www.worldcat.org/oclc/159956211","WorldCat Record")</f>
        <v>WorldCat Record</v>
      </c>
      <c r="AX654" s="3" t="s">
        <v>6331</v>
      </c>
      <c r="AY654" s="3" t="s">
        <v>6332</v>
      </c>
      <c r="AZ654" s="3" t="s">
        <v>6333</v>
      </c>
      <c r="BA654" s="3" t="s">
        <v>6333</v>
      </c>
      <c r="BB654" s="3" t="s">
        <v>6334</v>
      </c>
      <c r="BC654" s="3" t="s">
        <v>142</v>
      </c>
      <c r="BD654" s="3" t="s">
        <v>68</v>
      </c>
      <c r="BE654" s="3" t="s">
        <v>6335</v>
      </c>
      <c r="BF654" s="3" t="s">
        <v>6334</v>
      </c>
      <c r="BG654" s="3" t="s">
        <v>6336</v>
      </c>
    </row>
    <row r="655" spans="1:59" ht="57" x14ac:dyDescent="0.45">
      <c r="A655" s="2" t="s">
        <v>59</v>
      </c>
      <c r="B655" s="2" t="s">
        <v>60</v>
      </c>
      <c r="C655" s="2" t="s">
        <v>6337</v>
      </c>
      <c r="D655" s="2" t="s">
        <v>6338</v>
      </c>
      <c r="E655" s="2" t="s">
        <v>6339</v>
      </c>
      <c r="G655" s="3" t="s">
        <v>62</v>
      </c>
      <c r="I655" s="3" t="s">
        <v>62</v>
      </c>
      <c r="J655" s="3" t="s">
        <v>62</v>
      </c>
      <c r="K655" s="3" t="s">
        <v>63</v>
      </c>
      <c r="L655" s="2" t="s">
        <v>6340</v>
      </c>
      <c r="M655" s="2" t="s">
        <v>6341</v>
      </c>
      <c r="N655" s="3" t="s">
        <v>1918</v>
      </c>
      <c r="P655" s="3" t="s">
        <v>110</v>
      </c>
      <c r="Q655" s="2" t="s">
        <v>6342</v>
      </c>
      <c r="R655" s="3" t="s">
        <v>66</v>
      </c>
      <c r="S655" s="4">
        <v>1</v>
      </c>
      <c r="T655" s="4">
        <v>1</v>
      </c>
      <c r="U655" s="5" t="s">
        <v>6343</v>
      </c>
      <c r="V655" s="5" t="s">
        <v>6343</v>
      </c>
      <c r="W655" s="5" t="s">
        <v>67</v>
      </c>
      <c r="X655" s="5" t="s">
        <v>67</v>
      </c>
      <c r="Y655" s="4">
        <v>7</v>
      </c>
      <c r="Z655" s="4">
        <v>5</v>
      </c>
      <c r="AA655" s="4">
        <v>6</v>
      </c>
      <c r="AB655" s="4">
        <v>3</v>
      </c>
      <c r="AC655" s="4">
        <v>4</v>
      </c>
      <c r="AD655" s="4">
        <v>4</v>
      </c>
      <c r="AE655" s="4">
        <v>5</v>
      </c>
      <c r="AF655" s="4">
        <v>1</v>
      </c>
      <c r="AG655" s="4">
        <v>2</v>
      </c>
      <c r="AH655" s="4">
        <v>2</v>
      </c>
      <c r="AI655" s="4">
        <v>2</v>
      </c>
      <c r="AJ655" s="4">
        <v>3</v>
      </c>
      <c r="AK655" s="4">
        <v>4</v>
      </c>
      <c r="AL655" s="4">
        <v>0</v>
      </c>
      <c r="AM655" s="4">
        <v>0</v>
      </c>
      <c r="AN655" s="4">
        <v>0</v>
      </c>
      <c r="AO655" s="4">
        <v>0</v>
      </c>
      <c r="AP655" s="4">
        <v>2</v>
      </c>
      <c r="AQ655" s="4">
        <v>3</v>
      </c>
      <c r="AR655" s="3" t="s">
        <v>61</v>
      </c>
      <c r="AS655" s="3" t="s">
        <v>62</v>
      </c>
      <c r="AT655" s="3" t="s">
        <v>62</v>
      </c>
      <c r="AV655" s="6" t="str">
        <f>HYPERLINK("http://mcgill.on.worldcat.org/oclc/1005986063","Catalog Record")</f>
        <v>Catalog Record</v>
      </c>
      <c r="AW655" s="6" t="str">
        <f>HYPERLINK("http://www.worldcat.org/oclc/1005986063","WorldCat Record")</f>
        <v>WorldCat Record</v>
      </c>
      <c r="AX655" s="3" t="s">
        <v>6344</v>
      </c>
      <c r="AY655" s="3" t="s">
        <v>6345</v>
      </c>
      <c r="AZ655" s="3" t="s">
        <v>6346</v>
      </c>
      <c r="BA655" s="3" t="s">
        <v>6346</v>
      </c>
      <c r="BB655" s="3" t="s">
        <v>6347</v>
      </c>
      <c r="BC655" s="3" t="s">
        <v>142</v>
      </c>
      <c r="BD655" s="3" t="s">
        <v>68</v>
      </c>
      <c r="BE655" s="3" t="s">
        <v>6348</v>
      </c>
      <c r="BF655" s="3" t="s">
        <v>6347</v>
      </c>
      <c r="BG655" s="3" t="s">
        <v>6349</v>
      </c>
    </row>
    <row r="656" spans="1:59" ht="57" x14ac:dyDescent="0.45">
      <c r="A656" s="2" t="s">
        <v>59</v>
      </c>
      <c r="B656" s="2" t="s">
        <v>60</v>
      </c>
      <c r="C656" s="2" t="s">
        <v>6350</v>
      </c>
      <c r="D656" s="2" t="s">
        <v>6351</v>
      </c>
      <c r="E656" s="2" t="s">
        <v>6352</v>
      </c>
      <c r="G656" s="3" t="s">
        <v>62</v>
      </c>
      <c r="I656" s="3" t="s">
        <v>62</v>
      </c>
      <c r="J656" s="3" t="s">
        <v>61</v>
      </c>
      <c r="K656" s="3" t="s">
        <v>63</v>
      </c>
      <c r="L656" s="2" t="s">
        <v>6353</v>
      </c>
      <c r="M656" s="2" t="s">
        <v>6354</v>
      </c>
      <c r="N656" s="3" t="s">
        <v>495</v>
      </c>
      <c r="O656" s="2" t="s">
        <v>6355</v>
      </c>
      <c r="P656" s="3" t="s">
        <v>65</v>
      </c>
      <c r="R656" s="3" t="s">
        <v>66</v>
      </c>
      <c r="S656" s="4">
        <v>10</v>
      </c>
      <c r="T656" s="4">
        <v>10</v>
      </c>
      <c r="U656" s="5" t="s">
        <v>6356</v>
      </c>
      <c r="V656" s="5" t="s">
        <v>6356</v>
      </c>
      <c r="W656" s="5" t="s">
        <v>67</v>
      </c>
      <c r="X656" s="5" t="s">
        <v>67</v>
      </c>
      <c r="Y656" s="4">
        <v>138</v>
      </c>
      <c r="Z656" s="4">
        <v>7</v>
      </c>
      <c r="AA656" s="4">
        <v>55</v>
      </c>
      <c r="AB656" s="4">
        <v>1</v>
      </c>
      <c r="AC656" s="4">
        <v>7</v>
      </c>
      <c r="AD656" s="4">
        <v>38</v>
      </c>
      <c r="AE656" s="4">
        <v>143</v>
      </c>
      <c r="AF656" s="4">
        <v>0</v>
      </c>
      <c r="AG656" s="4">
        <v>4</v>
      </c>
      <c r="AH656" s="4">
        <v>34</v>
      </c>
      <c r="AI656" s="4">
        <v>106</v>
      </c>
      <c r="AJ656" s="4">
        <v>3</v>
      </c>
      <c r="AK656" s="4">
        <v>26</v>
      </c>
      <c r="AL656" s="4">
        <v>24</v>
      </c>
      <c r="AM656" s="4">
        <v>57</v>
      </c>
      <c r="AN656" s="4">
        <v>0</v>
      </c>
      <c r="AO656" s="4">
        <v>0</v>
      </c>
      <c r="AP656" s="4">
        <v>5</v>
      </c>
      <c r="AQ656" s="4">
        <v>44</v>
      </c>
      <c r="AR656" s="3" t="s">
        <v>62</v>
      </c>
      <c r="AS656" s="3" t="s">
        <v>62</v>
      </c>
      <c r="AT656" s="3" t="s">
        <v>61</v>
      </c>
      <c r="AU656" s="6" t="str">
        <f>HYPERLINK("http://catalog.hathitrust.org/Record/102566163","HathiTrust Record")</f>
        <v>HathiTrust Record</v>
      </c>
      <c r="AV656" s="6" t="str">
        <f>HYPERLINK("http://mcgill.on.worldcat.org/oclc/947925","Catalog Record")</f>
        <v>Catalog Record</v>
      </c>
      <c r="AW656" s="6" t="str">
        <f>HYPERLINK("http://www.worldcat.org/oclc/947925","WorldCat Record")</f>
        <v>WorldCat Record</v>
      </c>
      <c r="AX656" s="3" t="s">
        <v>6357</v>
      </c>
      <c r="AY656" s="3" t="s">
        <v>6358</v>
      </c>
      <c r="AZ656" s="3" t="s">
        <v>6359</v>
      </c>
      <c r="BA656" s="3" t="s">
        <v>6359</v>
      </c>
      <c r="BB656" s="3" t="s">
        <v>6360</v>
      </c>
      <c r="BC656" s="3" t="s">
        <v>142</v>
      </c>
      <c r="BD656" s="3" t="s">
        <v>68</v>
      </c>
      <c r="BE656" s="3" t="s">
        <v>6361</v>
      </c>
      <c r="BF656" s="3" t="s">
        <v>6360</v>
      </c>
      <c r="BG656" s="3" t="s">
        <v>6362</v>
      </c>
    </row>
    <row r="657" spans="1:59" ht="57" x14ac:dyDescent="0.45">
      <c r="A657" s="2" t="s">
        <v>59</v>
      </c>
      <c r="B657" s="2" t="s">
        <v>60</v>
      </c>
      <c r="C657" s="2" t="s">
        <v>6363</v>
      </c>
      <c r="D657" s="2" t="s">
        <v>6364</v>
      </c>
      <c r="E657" s="2" t="s">
        <v>6365</v>
      </c>
      <c r="G657" s="3" t="s">
        <v>62</v>
      </c>
      <c r="I657" s="3" t="s">
        <v>61</v>
      </c>
      <c r="J657" s="3" t="s">
        <v>62</v>
      </c>
      <c r="K657" s="3" t="s">
        <v>63</v>
      </c>
      <c r="L657" s="2" t="s">
        <v>6366</v>
      </c>
      <c r="M657" s="2" t="s">
        <v>6367</v>
      </c>
      <c r="N657" s="3" t="s">
        <v>1073</v>
      </c>
      <c r="P657" s="3" t="s">
        <v>65</v>
      </c>
      <c r="Q657" s="2" t="s">
        <v>6368</v>
      </c>
      <c r="R657" s="3" t="s">
        <v>66</v>
      </c>
      <c r="S657" s="4">
        <v>7</v>
      </c>
      <c r="T657" s="4">
        <v>9</v>
      </c>
      <c r="U657" s="5" t="s">
        <v>6369</v>
      </c>
      <c r="V657" s="5" t="s">
        <v>6370</v>
      </c>
      <c r="W657" s="5" t="s">
        <v>67</v>
      </c>
      <c r="X657" s="5" t="s">
        <v>67</v>
      </c>
      <c r="Y657" s="4">
        <v>296</v>
      </c>
      <c r="Z657" s="4">
        <v>39</v>
      </c>
      <c r="AA657" s="4">
        <v>42</v>
      </c>
      <c r="AB657" s="4">
        <v>3</v>
      </c>
      <c r="AC657" s="4">
        <v>6</v>
      </c>
      <c r="AD657" s="4">
        <v>88</v>
      </c>
      <c r="AE657" s="4">
        <v>91</v>
      </c>
      <c r="AF657" s="4">
        <v>1</v>
      </c>
      <c r="AG657" s="4">
        <v>4</v>
      </c>
      <c r="AH657" s="4">
        <v>66</v>
      </c>
      <c r="AI657" s="4">
        <v>67</v>
      </c>
      <c r="AJ657" s="4">
        <v>22</v>
      </c>
      <c r="AK657" s="4">
        <v>25</v>
      </c>
      <c r="AL657" s="4">
        <v>33</v>
      </c>
      <c r="AM657" s="4">
        <v>33</v>
      </c>
      <c r="AN657" s="4">
        <v>0</v>
      </c>
      <c r="AO657" s="4">
        <v>0</v>
      </c>
      <c r="AP657" s="4">
        <v>32</v>
      </c>
      <c r="AQ657" s="4">
        <v>34</v>
      </c>
      <c r="AR657" s="3" t="s">
        <v>62</v>
      </c>
      <c r="AS657" s="3" t="s">
        <v>62</v>
      </c>
      <c r="AT657" s="3" t="s">
        <v>61</v>
      </c>
      <c r="AU657" s="6" t="str">
        <f>HYPERLINK("http://catalog.hathitrust.org/Record/000722164","HathiTrust Record")</f>
        <v>HathiTrust Record</v>
      </c>
      <c r="AV657" s="6" t="str">
        <f>HYPERLINK("http://mcgill.on.worldcat.org/oclc/2343264","Catalog Record")</f>
        <v>Catalog Record</v>
      </c>
      <c r="AW657" s="6" t="str">
        <f>HYPERLINK("http://www.worldcat.org/oclc/2343264","WorldCat Record")</f>
        <v>WorldCat Record</v>
      </c>
      <c r="AX657" s="3" t="s">
        <v>6371</v>
      </c>
      <c r="AY657" s="3" t="s">
        <v>6372</v>
      </c>
      <c r="AZ657" s="3" t="s">
        <v>6373</v>
      </c>
      <c r="BA657" s="3" t="s">
        <v>6373</v>
      </c>
      <c r="BB657" s="3" t="s">
        <v>6374</v>
      </c>
      <c r="BC657" s="3" t="s">
        <v>142</v>
      </c>
      <c r="BD657" s="3" t="s">
        <v>68</v>
      </c>
      <c r="BE657" s="3" t="s">
        <v>6375</v>
      </c>
      <c r="BF657" s="3" t="s">
        <v>6374</v>
      </c>
      <c r="BG657" s="3" t="s">
        <v>6376</v>
      </c>
    </row>
    <row r="658" spans="1:59" ht="57" x14ac:dyDescent="0.45">
      <c r="A658" s="2" t="s">
        <v>59</v>
      </c>
      <c r="B658" s="2" t="s">
        <v>60</v>
      </c>
      <c r="C658" s="2" t="s">
        <v>6363</v>
      </c>
      <c r="D658" s="2" t="s">
        <v>6364</v>
      </c>
      <c r="E658" s="2" t="s">
        <v>6365</v>
      </c>
      <c r="G658" s="3" t="s">
        <v>62</v>
      </c>
      <c r="I658" s="3" t="s">
        <v>61</v>
      </c>
      <c r="J658" s="3" t="s">
        <v>62</v>
      </c>
      <c r="K658" s="3" t="s">
        <v>63</v>
      </c>
      <c r="L658" s="2" t="s">
        <v>6366</v>
      </c>
      <c r="M658" s="2" t="s">
        <v>6367</v>
      </c>
      <c r="N658" s="3" t="s">
        <v>1073</v>
      </c>
      <c r="P658" s="3" t="s">
        <v>65</v>
      </c>
      <c r="Q658" s="2" t="s">
        <v>6368</v>
      </c>
      <c r="R658" s="3" t="s">
        <v>66</v>
      </c>
      <c r="S658" s="4">
        <v>2</v>
      </c>
      <c r="T658" s="4">
        <v>9</v>
      </c>
      <c r="U658" s="5" t="s">
        <v>6370</v>
      </c>
      <c r="V658" s="5" t="s">
        <v>6370</v>
      </c>
      <c r="W658" s="5" t="s">
        <v>67</v>
      </c>
      <c r="X658" s="5" t="s">
        <v>67</v>
      </c>
      <c r="Y658" s="4">
        <v>296</v>
      </c>
      <c r="Z658" s="4">
        <v>39</v>
      </c>
      <c r="AA658" s="4">
        <v>42</v>
      </c>
      <c r="AB658" s="4">
        <v>3</v>
      </c>
      <c r="AC658" s="4">
        <v>6</v>
      </c>
      <c r="AD658" s="4">
        <v>88</v>
      </c>
      <c r="AE658" s="4">
        <v>91</v>
      </c>
      <c r="AF658" s="4">
        <v>1</v>
      </c>
      <c r="AG658" s="4">
        <v>4</v>
      </c>
      <c r="AH658" s="4">
        <v>66</v>
      </c>
      <c r="AI658" s="4">
        <v>67</v>
      </c>
      <c r="AJ658" s="4">
        <v>22</v>
      </c>
      <c r="AK658" s="4">
        <v>25</v>
      </c>
      <c r="AL658" s="4">
        <v>33</v>
      </c>
      <c r="AM658" s="4">
        <v>33</v>
      </c>
      <c r="AN658" s="4">
        <v>0</v>
      </c>
      <c r="AO658" s="4">
        <v>0</v>
      </c>
      <c r="AP658" s="4">
        <v>32</v>
      </c>
      <c r="AQ658" s="4">
        <v>34</v>
      </c>
      <c r="AR658" s="3" t="s">
        <v>62</v>
      </c>
      <c r="AS658" s="3" t="s">
        <v>62</v>
      </c>
      <c r="AT658" s="3" t="s">
        <v>61</v>
      </c>
      <c r="AU658" s="6" t="str">
        <f>HYPERLINK("http://catalog.hathitrust.org/Record/000722164","HathiTrust Record")</f>
        <v>HathiTrust Record</v>
      </c>
      <c r="AV658" s="6" t="str">
        <f>HYPERLINK("http://mcgill.on.worldcat.org/oclc/2343264","Catalog Record")</f>
        <v>Catalog Record</v>
      </c>
      <c r="AW658" s="6" t="str">
        <f>HYPERLINK("http://www.worldcat.org/oclc/2343264","WorldCat Record")</f>
        <v>WorldCat Record</v>
      </c>
      <c r="AX658" s="3" t="s">
        <v>6371</v>
      </c>
      <c r="AY658" s="3" t="s">
        <v>6372</v>
      </c>
      <c r="AZ658" s="3" t="s">
        <v>6373</v>
      </c>
      <c r="BA658" s="3" t="s">
        <v>6373</v>
      </c>
      <c r="BB658" s="3" t="s">
        <v>6377</v>
      </c>
      <c r="BC658" s="3" t="s">
        <v>142</v>
      </c>
      <c r="BD658" s="3" t="s">
        <v>68</v>
      </c>
      <c r="BE658" s="3" t="s">
        <v>6375</v>
      </c>
      <c r="BF658" s="3" t="s">
        <v>6377</v>
      </c>
      <c r="BG658" s="3" t="s">
        <v>6378</v>
      </c>
    </row>
    <row r="659" spans="1:59" ht="57" x14ac:dyDescent="0.45">
      <c r="A659" s="2" t="s">
        <v>59</v>
      </c>
      <c r="B659" s="2" t="s">
        <v>60</v>
      </c>
      <c r="C659" s="2" t="s">
        <v>6379</v>
      </c>
      <c r="D659" s="2" t="s">
        <v>6380</v>
      </c>
      <c r="E659" s="2" t="s">
        <v>6381</v>
      </c>
      <c r="G659" s="3" t="s">
        <v>62</v>
      </c>
      <c r="I659" s="3" t="s">
        <v>62</v>
      </c>
      <c r="J659" s="3" t="s">
        <v>62</v>
      </c>
      <c r="K659" s="3" t="s">
        <v>63</v>
      </c>
      <c r="L659" s="2" t="s">
        <v>6382</v>
      </c>
      <c r="M659" s="2" t="s">
        <v>6383</v>
      </c>
      <c r="N659" s="3" t="s">
        <v>793</v>
      </c>
      <c r="P659" s="3" t="s">
        <v>110</v>
      </c>
      <c r="Q659" s="2" t="s">
        <v>6384</v>
      </c>
      <c r="R659" s="3" t="s">
        <v>66</v>
      </c>
      <c r="S659" s="4">
        <v>19</v>
      </c>
      <c r="T659" s="4">
        <v>19</v>
      </c>
      <c r="U659" s="5" t="s">
        <v>5594</v>
      </c>
      <c r="V659" s="5" t="s">
        <v>5594</v>
      </c>
      <c r="W659" s="5" t="s">
        <v>67</v>
      </c>
      <c r="X659" s="5" t="s">
        <v>67</v>
      </c>
      <c r="Y659" s="4">
        <v>168</v>
      </c>
      <c r="Z659" s="4">
        <v>17</v>
      </c>
      <c r="AA659" s="4">
        <v>26</v>
      </c>
      <c r="AB659" s="4">
        <v>2</v>
      </c>
      <c r="AC659" s="4">
        <v>8</v>
      </c>
      <c r="AD659" s="4">
        <v>68</v>
      </c>
      <c r="AE659" s="4">
        <v>75</v>
      </c>
      <c r="AF659" s="4">
        <v>1</v>
      </c>
      <c r="AG659" s="4">
        <v>5</v>
      </c>
      <c r="AH659" s="4">
        <v>60</v>
      </c>
      <c r="AI659" s="4">
        <v>62</v>
      </c>
      <c r="AJ659" s="4">
        <v>13</v>
      </c>
      <c r="AK659" s="4">
        <v>18</v>
      </c>
      <c r="AL659" s="4">
        <v>43</v>
      </c>
      <c r="AM659" s="4">
        <v>43</v>
      </c>
      <c r="AN659" s="4">
        <v>0</v>
      </c>
      <c r="AO659" s="4">
        <v>0</v>
      </c>
      <c r="AP659" s="4">
        <v>14</v>
      </c>
      <c r="AQ659" s="4">
        <v>20</v>
      </c>
      <c r="AR659" s="3" t="s">
        <v>62</v>
      </c>
      <c r="AS659" s="3" t="s">
        <v>62</v>
      </c>
      <c r="AT659" s="3" t="s">
        <v>61</v>
      </c>
      <c r="AU659" s="6" t="str">
        <f>HYPERLINK("http://catalog.hathitrust.org/Record/001434707","HathiTrust Record")</f>
        <v>HathiTrust Record</v>
      </c>
      <c r="AV659" s="6" t="str">
        <f>HYPERLINK("http://mcgill.on.worldcat.org/oclc/938478","Catalog Record")</f>
        <v>Catalog Record</v>
      </c>
      <c r="AW659" s="6" t="str">
        <f>HYPERLINK("http://www.worldcat.org/oclc/938478","WorldCat Record")</f>
        <v>WorldCat Record</v>
      </c>
      <c r="AX659" s="3" t="s">
        <v>6385</v>
      </c>
      <c r="AY659" s="3" t="s">
        <v>6386</v>
      </c>
      <c r="AZ659" s="3" t="s">
        <v>6387</v>
      </c>
      <c r="BA659" s="3" t="s">
        <v>6387</v>
      </c>
      <c r="BB659" s="3" t="s">
        <v>6388</v>
      </c>
      <c r="BC659" s="3" t="s">
        <v>142</v>
      </c>
      <c r="BD659" s="3" t="s">
        <v>68</v>
      </c>
      <c r="BE659" s="3" t="s">
        <v>6389</v>
      </c>
      <c r="BF659" s="3" t="s">
        <v>6388</v>
      </c>
      <c r="BG659" s="3" t="s">
        <v>6390</v>
      </c>
    </row>
    <row r="660" spans="1:59" ht="57" x14ac:dyDescent="0.45">
      <c r="A660" s="2" t="s">
        <v>59</v>
      </c>
      <c r="B660" s="2" t="s">
        <v>60</v>
      </c>
      <c r="C660" s="2" t="s">
        <v>6391</v>
      </c>
      <c r="D660" s="2" t="s">
        <v>6392</v>
      </c>
      <c r="E660" s="2" t="s">
        <v>6393</v>
      </c>
      <c r="G660" s="3" t="s">
        <v>62</v>
      </c>
      <c r="I660" s="3" t="s">
        <v>62</v>
      </c>
      <c r="J660" s="3" t="s">
        <v>62</v>
      </c>
      <c r="K660" s="3" t="s">
        <v>63</v>
      </c>
      <c r="L660" s="2" t="s">
        <v>1237</v>
      </c>
      <c r="M660" s="2" t="s">
        <v>6394</v>
      </c>
      <c r="N660" s="3" t="s">
        <v>220</v>
      </c>
      <c r="P660" s="3" t="s">
        <v>65</v>
      </c>
      <c r="Q660" s="2" t="s">
        <v>6395</v>
      </c>
      <c r="R660" s="3" t="s">
        <v>66</v>
      </c>
      <c r="S660" s="4">
        <v>7</v>
      </c>
      <c r="T660" s="4">
        <v>7</v>
      </c>
      <c r="U660" s="5" t="s">
        <v>6396</v>
      </c>
      <c r="V660" s="5" t="s">
        <v>6396</v>
      </c>
      <c r="W660" s="5" t="s">
        <v>67</v>
      </c>
      <c r="X660" s="5" t="s">
        <v>67</v>
      </c>
      <c r="Y660" s="4">
        <v>294</v>
      </c>
      <c r="Z660" s="4">
        <v>20</v>
      </c>
      <c r="AA660" s="4">
        <v>27</v>
      </c>
      <c r="AB660" s="4">
        <v>1</v>
      </c>
      <c r="AC660" s="4">
        <v>5</v>
      </c>
      <c r="AD660" s="4">
        <v>94</v>
      </c>
      <c r="AE660" s="4">
        <v>104</v>
      </c>
      <c r="AF660" s="4">
        <v>0</v>
      </c>
      <c r="AG660" s="4">
        <v>4</v>
      </c>
      <c r="AH660" s="4">
        <v>85</v>
      </c>
      <c r="AI660" s="4">
        <v>90</v>
      </c>
      <c r="AJ660" s="4">
        <v>14</v>
      </c>
      <c r="AK660" s="4">
        <v>19</v>
      </c>
      <c r="AL660" s="4">
        <v>47</v>
      </c>
      <c r="AM660" s="4">
        <v>50</v>
      </c>
      <c r="AN660" s="4">
        <v>0</v>
      </c>
      <c r="AO660" s="4">
        <v>0</v>
      </c>
      <c r="AP660" s="4">
        <v>18</v>
      </c>
      <c r="AQ660" s="4">
        <v>24</v>
      </c>
      <c r="AR660" s="3" t="s">
        <v>62</v>
      </c>
      <c r="AS660" s="3" t="s">
        <v>62</v>
      </c>
      <c r="AT660" s="3" t="s">
        <v>61</v>
      </c>
      <c r="AU660" s="6" t="str">
        <f>HYPERLINK("http://catalog.hathitrust.org/Record/008325155","HathiTrust Record")</f>
        <v>HathiTrust Record</v>
      </c>
      <c r="AV660" s="6" t="str">
        <f>HYPERLINK("http://mcgill.on.worldcat.org/oclc/221430","Catalog Record")</f>
        <v>Catalog Record</v>
      </c>
      <c r="AW660" s="6" t="str">
        <f>HYPERLINK("http://www.worldcat.org/oclc/221430","WorldCat Record")</f>
        <v>WorldCat Record</v>
      </c>
      <c r="AX660" s="3" t="s">
        <v>6397</v>
      </c>
      <c r="AY660" s="3" t="s">
        <v>6398</v>
      </c>
      <c r="AZ660" s="3" t="s">
        <v>6399</v>
      </c>
      <c r="BA660" s="3" t="s">
        <v>6399</v>
      </c>
      <c r="BB660" s="3" t="s">
        <v>6400</v>
      </c>
      <c r="BC660" s="3" t="s">
        <v>142</v>
      </c>
      <c r="BD660" s="3" t="s">
        <v>68</v>
      </c>
      <c r="BE660" s="3" t="s">
        <v>6401</v>
      </c>
      <c r="BF660" s="3" t="s">
        <v>6400</v>
      </c>
      <c r="BG660" s="3" t="s">
        <v>6402</v>
      </c>
    </row>
    <row r="661" spans="1:59" ht="57" x14ac:dyDescent="0.45">
      <c r="A661" s="2" t="s">
        <v>59</v>
      </c>
      <c r="B661" s="2" t="s">
        <v>412</v>
      </c>
      <c r="C661" s="2" t="s">
        <v>6403</v>
      </c>
      <c r="D661" s="2" t="s">
        <v>6404</v>
      </c>
      <c r="E661" s="2" t="s">
        <v>6405</v>
      </c>
      <c r="G661" s="3" t="s">
        <v>62</v>
      </c>
      <c r="I661" s="3" t="s">
        <v>61</v>
      </c>
      <c r="J661" s="3" t="s">
        <v>62</v>
      </c>
      <c r="K661" s="3" t="s">
        <v>63</v>
      </c>
      <c r="L661" s="2" t="s">
        <v>6406</v>
      </c>
      <c r="M661" s="2" t="s">
        <v>6407</v>
      </c>
      <c r="N661" s="3" t="s">
        <v>555</v>
      </c>
      <c r="P661" s="3" t="s">
        <v>65</v>
      </c>
      <c r="R661" s="3" t="s">
        <v>66</v>
      </c>
      <c r="S661" s="4">
        <v>14</v>
      </c>
      <c r="T661" s="4">
        <v>87</v>
      </c>
      <c r="U661" s="5" t="s">
        <v>6408</v>
      </c>
      <c r="V661" s="5" t="s">
        <v>6409</v>
      </c>
      <c r="W661" s="5" t="s">
        <v>67</v>
      </c>
      <c r="X661" s="5" t="s">
        <v>67</v>
      </c>
      <c r="Y661" s="4">
        <v>407</v>
      </c>
      <c r="Z661" s="4">
        <v>37</v>
      </c>
      <c r="AA661" s="4">
        <v>46</v>
      </c>
      <c r="AB661" s="4">
        <v>3</v>
      </c>
      <c r="AC661" s="4">
        <v>6</v>
      </c>
      <c r="AD661" s="4">
        <v>111</v>
      </c>
      <c r="AE661" s="4">
        <v>122</v>
      </c>
      <c r="AF661" s="4">
        <v>2</v>
      </c>
      <c r="AG661" s="4">
        <v>5</v>
      </c>
      <c r="AH661" s="4">
        <v>91</v>
      </c>
      <c r="AI661" s="4">
        <v>96</v>
      </c>
      <c r="AJ661" s="4">
        <v>18</v>
      </c>
      <c r="AK661" s="4">
        <v>24</v>
      </c>
      <c r="AL661" s="4">
        <v>49</v>
      </c>
      <c r="AM661" s="4">
        <v>50</v>
      </c>
      <c r="AN661" s="4">
        <v>0</v>
      </c>
      <c r="AO661" s="4">
        <v>0</v>
      </c>
      <c r="AP661" s="4">
        <v>29</v>
      </c>
      <c r="AQ661" s="4">
        <v>35</v>
      </c>
      <c r="AR661" s="3" t="s">
        <v>62</v>
      </c>
      <c r="AS661" s="3" t="s">
        <v>62</v>
      </c>
      <c r="AT661" s="3" t="s">
        <v>61</v>
      </c>
      <c r="AU661" s="6" t="str">
        <f>HYPERLINK("http://catalog.hathitrust.org/Record/000013813","HathiTrust Record")</f>
        <v>HathiTrust Record</v>
      </c>
      <c r="AV661" s="6" t="str">
        <f>HYPERLINK("http://mcgill.on.worldcat.org/oclc/855231","Catalog Record")</f>
        <v>Catalog Record</v>
      </c>
      <c r="AW661" s="6" t="str">
        <f>HYPERLINK("http://www.worldcat.org/oclc/855231","WorldCat Record")</f>
        <v>WorldCat Record</v>
      </c>
      <c r="AX661" s="3" t="s">
        <v>6410</v>
      </c>
      <c r="AY661" s="3" t="s">
        <v>6411</v>
      </c>
      <c r="AZ661" s="3" t="s">
        <v>6412</v>
      </c>
      <c r="BA661" s="3" t="s">
        <v>6412</v>
      </c>
      <c r="BB661" s="3" t="s">
        <v>6413</v>
      </c>
      <c r="BC661" s="3" t="s">
        <v>142</v>
      </c>
      <c r="BD661" s="3" t="s">
        <v>68</v>
      </c>
      <c r="BE661" s="3" t="s">
        <v>6414</v>
      </c>
      <c r="BF661" s="3" t="s">
        <v>6413</v>
      </c>
      <c r="BG661" s="3" t="s">
        <v>6415</v>
      </c>
    </row>
    <row r="662" spans="1:59" ht="57" x14ac:dyDescent="0.45">
      <c r="A662" s="2" t="s">
        <v>59</v>
      </c>
      <c r="B662" s="2" t="s">
        <v>60</v>
      </c>
      <c r="C662" s="2" t="s">
        <v>6403</v>
      </c>
      <c r="D662" s="2" t="s">
        <v>6404</v>
      </c>
      <c r="E662" s="2" t="s">
        <v>6405</v>
      </c>
      <c r="G662" s="3" t="s">
        <v>62</v>
      </c>
      <c r="I662" s="3" t="s">
        <v>61</v>
      </c>
      <c r="J662" s="3" t="s">
        <v>62</v>
      </c>
      <c r="K662" s="3" t="s">
        <v>63</v>
      </c>
      <c r="L662" s="2" t="s">
        <v>6406</v>
      </c>
      <c r="M662" s="2" t="s">
        <v>6407</v>
      </c>
      <c r="N662" s="3" t="s">
        <v>555</v>
      </c>
      <c r="P662" s="3" t="s">
        <v>65</v>
      </c>
      <c r="R662" s="3" t="s">
        <v>66</v>
      </c>
      <c r="S662" s="4">
        <v>18</v>
      </c>
      <c r="T662" s="4">
        <v>87</v>
      </c>
      <c r="U662" s="5" t="s">
        <v>6416</v>
      </c>
      <c r="V662" s="5" t="s">
        <v>6409</v>
      </c>
      <c r="W662" s="5" t="s">
        <v>67</v>
      </c>
      <c r="X662" s="5" t="s">
        <v>67</v>
      </c>
      <c r="Y662" s="4">
        <v>407</v>
      </c>
      <c r="Z662" s="4">
        <v>37</v>
      </c>
      <c r="AA662" s="4">
        <v>46</v>
      </c>
      <c r="AB662" s="4">
        <v>3</v>
      </c>
      <c r="AC662" s="4">
        <v>6</v>
      </c>
      <c r="AD662" s="4">
        <v>111</v>
      </c>
      <c r="AE662" s="4">
        <v>122</v>
      </c>
      <c r="AF662" s="4">
        <v>2</v>
      </c>
      <c r="AG662" s="4">
        <v>5</v>
      </c>
      <c r="AH662" s="4">
        <v>91</v>
      </c>
      <c r="AI662" s="4">
        <v>96</v>
      </c>
      <c r="AJ662" s="4">
        <v>18</v>
      </c>
      <c r="AK662" s="4">
        <v>24</v>
      </c>
      <c r="AL662" s="4">
        <v>49</v>
      </c>
      <c r="AM662" s="4">
        <v>50</v>
      </c>
      <c r="AN662" s="4">
        <v>0</v>
      </c>
      <c r="AO662" s="4">
        <v>0</v>
      </c>
      <c r="AP662" s="4">
        <v>29</v>
      </c>
      <c r="AQ662" s="4">
        <v>35</v>
      </c>
      <c r="AR662" s="3" t="s">
        <v>62</v>
      </c>
      <c r="AS662" s="3" t="s">
        <v>62</v>
      </c>
      <c r="AT662" s="3" t="s">
        <v>61</v>
      </c>
      <c r="AU662" s="6" t="str">
        <f>HYPERLINK("http://catalog.hathitrust.org/Record/000013813","HathiTrust Record")</f>
        <v>HathiTrust Record</v>
      </c>
      <c r="AV662" s="6" t="str">
        <f>HYPERLINK("http://mcgill.on.worldcat.org/oclc/855231","Catalog Record")</f>
        <v>Catalog Record</v>
      </c>
      <c r="AW662" s="6" t="str">
        <f>HYPERLINK("http://www.worldcat.org/oclc/855231","WorldCat Record")</f>
        <v>WorldCat Record</v>
      </c>
      <c r="AX662" s="3" t="s">
        <v>6410</v>
      </c>
      <c r="AY662" s="3" t="s">
        <v>6411</v>
      </c>
      <c r="AZ662" s="3" t="s">
        <v>6412</v>
      </c>
      <c r="BA662" s="3" t="s">
        <v>6412</v>
      </c>
      <c r="BB662" s="3" t="s">
        <v>6417</v>
      </c>
      <c r="BC662" s="3" t="s">
        <v>142</v>
      </c>
      <c r="BD662" s="3" t="s">
        <v>68</v>
      </c>
      <c r="BE662" s="3" t="s">
        <v>6414</v>
      </c>
      <c r="BF662" s="3" t="s">
        <v>6417</v>
      </c>
      <c r="BG662" s="3" t="s">
        <v>6418</v>
      </c>
    </row>
    <row r="663" spans="1:59" ht="57" x14ac:dyDescent="0.45">
      <c r="A663" s="2" t="s">
        <v>59</v>
      </c>
      <c r="B663" s="2" t="s">
        <v>60</v>
      </c>
      <c r="C663" s="2" t="s">
        <v>6403</v>
      </c>
      <c r="D663" s="2" t="s">
        <v>6404</v>
      </c>
      <c r="E663" s="2" t="s">
        <v>6405</v>
      </c>
      <c r="G663" s="3" t="s">
        <v>62</v>
      </c>
      <c r="I663" s="3" t="s">
        <v>61</v>
      </c>
      <c r="J663" s="3" t="s">
        <v>62</v>
      </c>
      <c r="K663" s="3" t="s">
        <v>63</v>
      </c>
      <c r="L663" s="2" t="s">
        <v>6406</v>
      </c>
      <c r="M663" s="2" t="s">
        <v>6407</v>
      </c>
      <c r="N663" s="3" t="s">
        <v>555</v>
      </c>
      <c r="P663" s="3" t="s">
        <v>65</v>
      </c>
      <c r="R663" s="3" t="s">
        <v>66</v>
      </c>
      <c r="S663" s="4">
        <v>27</v>
      </c>
      <c r="T663" s="4">
        <v>87</v>
      </c>
      <c r="U663" s="5" t="s">
        <v>6409</v>
      </c>
      <c r="V663" s="5" t="s">
        <v>6409</v>
      </c>
      <c r="W663" s="5" t="s">
        <v>67</v>
      </c>
      <c r="X663" s="5" t="s">
        <v>67</v>
      </c>
      <c r="Y663" s="4">
        <v>407</v>
      </c>
      <c r="Z663" s="4">
        <v>37</v>
      </c>
      <c r="AA663" s="4">
        <v>46</v>
      </c>
      <c r="AB663" s="4">
        <v>3</v>
      </c>
      <c r="AC663" s="4">
        <v>6</v>
      </c>
      <c r="AD663" s="4">
        <v>111</v>
      </c>
      <c r="AE663" s="4">
        <v>122</v>
      </c>
      <c r="AF663" s="4">
        <v>2</v>
      </c>
      <c r="AG663" s="4">
        <v>5</v>
      </c>
      <c r="AH663" s="4">
        <v>91</v>
      </c>
      <c r="AI663" s="4">
        <v>96</v>
      </c>
      <c r="AJ663" s="4">
        <v>18</v>
      </c>
      <c r="AK663" s="4">
        <v>24</v>
      </c>
      <c r="AL663" s="4">
        <v>49</v>
      </c>
      <c r="AM663" s="4">
        <v>50</v>
      </c>
      <c r="AN663" s="4">
        <v>0</v>
      </c>
      <c r="AO663" s="4">
        <v>0</v>
      </c>
      <c r="AP663" s="4">
        <v>29</v>
      </c>
      <c r="AQ663" s="4">
        <v>35</v>
      </c>
      <c r="AR663" s="3" t="s">
        <v>62</v>
      </c>
      <c r="AS663" s="3" t="s">
        <v>62</v>
      </c>
      <c r="AT663" s="3" t="s">
        <v>61</v>
      </c>
      <c r="AU663" s="6" t="str">
        <f>HYPERLINK("http://catalog.hathitrust.org/Record/000013813","HathiTrust Record")</f>
        <v>HathiTrust Record</v>
      </c>
      <c r="AV663" s="6" t="str">
        <f>HYPERLINK("http://mcgill.on.worldcat.org/oclc/855231","Catalog Record")</f>
        <v>Catalog Record</v>
      </c>
      <c r="AW663" s="6" t="str">
        <f>HYPERLINK("http://www.worldcat.org/oclc/855231","WorldCat Record")</f>
        <v>WorldCat Record</v>
      </c>
      <c r="AX663" s="3" t="s">
        <v>6410</v>
      </c>
      <c r="AY663" s="3" t="s">
        <v>6411</v>
      </c>
      <c r="AZ663" s="3" t="s">
        <v>6412</v>
      </c>
      <c r="BA663" s="3" t="s">
        <v>6412</v>
      </c>
      <c r="BB663" s="3" t="s">
        <v>6419</v>
      </c>
      <c r="BC663" s="3" t="s">
        <v>142</v>
      </c>
      <c r="BD663" s="3" t="s">
        <v>68</v>
      </c>
      <c r="BE663" s="3" t="s">
        <v>6414</v>
      </c>
      <c r="BF663" s="3" t="s">
        <v>6419</v>
      </c>
      <c r="BG663" s="3" t="s">
        <v>6420</v>
      </c>
    </row>
    <row r="664" spans="1:59" ht="57" x14ac:dyDescent="0.45">
      <c r="A664" s="2" t="s">
        <v>59</v>
      </c>
      <c r="B664" s="2" t="s">
        <v>60</v>
      </c>
      <c r="C664" s="2" t="s">
        <v>6403</v>
      </c>
      <c r="D664" s="2" t="s">
        <v>6404</v>
      </c>
      <c r="E664" s="2" t="s">
        <v>6405</v>
      </c>
      <c r="G664" s="3" t="s">
        <v>62</v>
      </c>
      <c r="I664" s="3" t="s">
        <v>61</v>
      </c>
      <c r="J664" s="3" t="s">
        <v>62</v>
      </c>
      <c r="K664" s="3" t="s">
        <v>63</v>
      </c>
      <c r="L664" s="2" t="s">
        <v>6406</v>
      </c>
      <c r="M664" s="2" t="s">
        <v>6407</v>
      </c>
      <c r="N664" s="3" t="s">
        <v>555</v>
      </c>
      <c r="P664" s="3" t="s">
        <v>65</v>
      </c>
      <c r="R664" s="3" t="s">
        <v>66</v>
      </c>
      <c r="S664" s="4">
        <v>28</v>
      </c>
      <c r="T664" s="4">
        <v>87</v>
      </c>
      <c r="U664" s="5" t="s">
        <v>3294</v>
      </c>
      <c r="V664" s="5" t="s">
        <v>6409</v>
      </c>
      <c r="W664" s="5" t="s">
        <v>67</v>
      </c>
      <c r="X664" s="5" t="s">
        <v>67</v>
      </c>
      <c r="Y664" s="4">
        <v>407</v>
      </c>
      <c r="Z664" s="4">
        <v>37</v>
      </c>
      <c r="AA664" s="4">
        <v>46</v>
      </c>
      <c r="AB664" s="4">
        <v>3</v>
      </c>
      <c r="AC664" s="4">
        <v>6</v>
      </c>
      <c r="AD664" s="4">
        <v>111</v>
      </c>
      <c r="AE664" s="4">
        <v>122</v>
      </c>
      <c r="AF664" s="4">
        <v>2</v>
      </c>
      <c r="AG664" s="4">
        <v>5</v>
      </c>
      <c r="AH664" s="4">
        <v>91</v>
      </c>
      <c r="AI664" s="4">
        <v>96</v>
      </c>
      <c r="AJ664" s="4">
        <v>18</v>
      </c>
      <c r="AK664" s="4">
        <v>24</v>
      </c>
      <c r="AL664" s="4">
        <v>49</v>
      </c>
      <c r="AM664" s="4">
        <v>50</v>
      </c>
      <c r="AN664" s="4">
        <v>0</v>
      </c>
      <c r="AO664" s="4">
        <v>0</v>
      </c>
      <c r="AP664" s="4">
        <v>29</v>
      </c>
      <c r="AQ664" s="4">
        <v>35</v>
      </c>
      <c r="AR664" s="3" t="s">
        <v>62</v>
      </c>
      <c r="AS664" s="3" t="s">
        <v>62</v>
      </c>
      <c r="AT664" s="3" t="s">
        <v>61</v>
      </c>
      <c r="AU664" s="6" t="str">
        <f>HYPERLINK("http://catalog.hathitrust.org/Record/000013813","HathiTrust Record")</f>
        <v>HathiTrust Record</v>
      </c>
      <c r="AV664" s="6" t="str">
        <f>HYPERLINK("http://mcgill.on.worldcat.org/oclc/855231","Catalog Record")</f>
        <v>Catalog Record</v>
      </c>
      <c r="AW664" s="6" t="str">
        <f>HYPERLINK("http://www.worldcat.org/oclc/855231","WorldCat Record")</f>
        <v>WorldCat Record</v>
      </c>
      <c r="AX664" s="3" t="s">
        <v>6410</v>
      </c>
      <c r="AY664" s="3" t="s">
        <v>6411</v>
      </c>
      <c r="AZ664" s="3" t="s">
        <v>6412</v>
      </c>
      <c r="BA664" s="3" t="s">
        <v>6412</v>
      </c>
      <c r="BB664" s="3" t="s">
        <v>6421</v>
      </c>
      <c r="BC664" s="3" t="s">
        <v>142</v>
      </c>
      <c r="BD664" s="3" t="s">
        <v>68</v>
      </c>
      <c r="BE664" s="3" t="s">
        <v>6414</v>
      </c>
      <c r="BF664" s="3" t="s">
        <v>6421</v>
      </c>
      <c r="BG664" s="3" t="s">
        <v>6422</v>
      </c>
    </row>
    <row r="665" spans="1:59" ht="57" x14ac:dyDescent="0.45">
      <c r="A665" s="2" t="s">
        <v>59</v>
      </c>
      <c r="B665" s="2" t="s">
        <v>60</v>
      </c>
      <c r="C665" s="2" t="s">
        <v>6423</v>
      </c>
      <c r="D665" s="2" t="s">
        <v>6424</v>
      </c>
      <c r="E665" s="2" t="s">
        <v>6425</v>
      </c>
      <c r="G665" s="3" t="s">
        <v>62</v>
      </c>
      <c r="I665" s="3" t="s">
        <v>61</v>
      </c>
      <c r="J665" s="3" t="s">
        <v>62</v>
      </c>
      <c r="K665" s="3" t="s">
        <v>63</v>
      </c>
      <c r="M665" s="2" t="s">
        <v>6426</v>
      </c>
      <c r="N665" s="3" t="s">
        <v>127</v>
      </c>
      <c r="P665" s="3" t="s">
        <v>65</v>
      </c>
      <c r="R665" s="3" t="s">
        <v>66</v>
      </c>
      <c r="S665" s="4">
        <v>16</v>
      </c>
      <c r="T665" s="4">
        <v>16</v>
      </c>
      <c r="U665" s="5" t="s">
        <v>6427</v>
      </c>
      <c r="V665" s="5" t="s">
        <v>6427</v>
      </c>
      <c r="W665" s="5" t="s">
        <v>67</v>
      </c>
      <c r="X665" s="5" t="s">
        <v>67</v>
      </c>
      <c r="Y665" s="4">
        <v>476</v>
      </c>
      <c r="Z665" s="4">
        <v>34</v>
      </c>
      <c r="AA665" s="4">
        <v>38</v>
      </c>
      <c r="AB665" s="4">
        <v>3</v>
      </c>
      <c r="AC665" s="4">
        <v>6</v>
      </c>
      <c r="AD665" s="4">
        <v>119</v>
      </c>
      <c r="AE665" s="4">
        <v>123</v>
      </c>
      <c r="AF665" s="4">
        <v>1</v>
      </c>
      <c r="AG665" s="4">
        <v>3</v>
      </c>
      <c r="AH665" s="4">
        <v>98</v>
      </c>
      <c r="AI665" s="4">
        <v>100</v>
      </c>
      <c r="AJ665" s="4">
        <v>21</v>
      </c>
      <c r="AK665" s="4">
        <v>24</v>
      </c>
      <c r="AL665" s="4">
        <v>56</v>
      </c>
      <c r="AM665" s="4">
        <v>56</v>
      </c>
      <c r="AN665" s="4">
        <v>0</v>
      </c>
      <c r="AO665" s="4">
        <v>0</v>
      </c>
      <c r="AP665" s="4">
        <v>28</v>
      </c>
      <c r="AQ665" s="4">
        <v>30</v>
      </c>
      <c r="AR665" s="3" t="s">
        <v>62</v>
      </c>
      <c r="AS665" s="3" t="s">
        <v>62</v>
      </c>
      <c r="AT665" s="3" t="s">
        <v>61</v>
      </c>
      <c r="AU665" s="6" t="str">
        <f>HYPERLINK("http://catalog.hathitrust.org/Record/001767948","HathiTrust Record")</f>
        <v>HathiTrust Record</v>
      </c>
      <c r="AV665" s="6" t="str">
        <f>HYPERLINK("http://mcgill.on.worldcat.org/oclc/449755","Catalog Record")</f>
        <v>Catalog Record</v>
      </c>
      <c r="AW665" s="6" t="str">
        <f>HYPERLINK("http://www.worldcat.org/oclc/449755","WorldCat Record")</f>
        <v>WorldCat Record</v>
      </c>
      <c r="AX665" s="3" t="s">
        <v>6428</v>
      </c>
      <c r="AY665" s="3" t="s">
        <v>6429</v>
      </c>
      <c r="AZ665" s="3" t="s">
        <v>6430</v>
      </c>
      <c r="BA665" s="3" t="s">
        <v>6430</v>
      </c>
      <c r="BB665" s="3" t="s">
        <v>6431</v>
      </c>
      <c r="BC665" s="3" t="s">
        <v>142</v>
      </c>
      <c r="BD665" s="3" t="s">
        <v>68</v>
      </c>
      <c r="BE665" s="3" t="s">
        <v>6432</v>
      </c>
      <c r="BF665" s="3" t="s">
        <v>6431</v>
      </c>
      <c r="BG665" s="3" t="s">
        <v>6433</v>
      </c>
    </row>
    <row r="666" spans="1:59" ht="57" x14ac:dyDescent="0.45">
      <c r="A666" s="2" t="s">
        <v>59</v>
      </c>
      <c r="B666" s="2" t="s">
        <v>60</v>
      </c>
      <c r="C666" s="2" t="s">
        <v>6423</v>
      </c>
      <c r="D666" s="2" t="s">
        <v>6424</v>
      </c>
      <c r="E666" s="2" t="s">
        <v>6425</v>
      </c>
      <c r="G666" s="3" t="s">
        <v>62</v>
      </c>
      <c r="I666" s="3" t="s">
        <v>61</v>
      </c>
      <c r="J666" s="3" t="s">
        <v>62</v>
      </c>
      <c r="K666" s="3" t="s">
        <v>63</v>
      </c>
      <c r="M666" s="2" t="s">
        <v>6426</v>
      </c>
      <c r="N666" s="3" t="s">
        <v>127</v>
      </c>
      <c r="P666" s="3" t="s">
        <v>65</v>
      </c>
      <c r="R666" s="3" t="s">
        <v>66</v>
      </c>
      <c r="S666" s="4">
        <v>0</v>
      </c>
      <c r="T666" s="4">
        <v>16</v>
      </c>
      <c r="V666" s="5" t="s">
        <v>6427</v>
      </c>
      <c r="W666" s="5" t="s">
        <v>67</v>
      </c>
      <c r="X666" s="5" t="s">
        <v>67</v>
      </c>
      <c r="Y666" s="4">
        <v>476</v>
      </c>
      <c r="Z666" s="4">
        <v>34</v>
      </c>
      <c r="AA666" s="4">
        <v>38</v>
      </c>
      <c r="AB666" s="4">
        <v>3</v>
      </c>
      <c r="AC666" s="4">
        <v>6</v>
      </c>
      <c r="AD666" s="4">
        <v>119</v>
      </c>
      <c r="AE666" s="4">
        <v>123</v>
      </c>
      <c r="AF666" s="4">
        <v>1</v>
      </c>
      <c r="AG666" s="4">
        <v>3</v>
      </c>
      <c r="AH666" s="4">
        <v>98</v>
      </c>
      <c r="AI666" s="4">
        <v>100</v>
      </c>
      <c r="AJ666" s="4">
        <v>21</v>
      </c>
      <c r="AK666" s="4">
        <v>24</v>
      </c>
      <c r="AL666" s="4">
        <v>56</v>
      </c>
      <c r="AM666" s="4">
        <v>56</v>
      </c>
      <c r="AN666" s="4">
        <v>0</v>
      </c>
      <c r="AO666" s="4">
        <v>0</v>
      </c>
      <c r="AP666" s="4">
        <v>28</v>
      </c>
      <c r="AQ666" s="4">
        <v>30</v>
      </c>
      <c r="AR666" s="3" t="s">
        <v>62</v>
      </c>
      <c r="AS666" s="3" t="s">
        <v>62</v>
      </c>
      <c r="AT666" s="3" t="s">
        <v>61</v>
      </c>
      <c r="AU666" s="6" t="str">
        <f>HYPERLINK("http://catalog.hathitrust.org/Record/001767948","HathiTrust Record")</f>
        <v>HathiTrust Record</v>
      </c>
      <c r="AV666" s="6" t="str">
        <f>HYPERLINK("http://mcgill.on.worldcat.org/oclc/449755","Catalog Record")</f>
        <v>Catalog Record</v>
      </c>
      <c r="AW666" s="6" t="str">
        <f>HYPERLINK("http://www.worldcat.org/oclc/449755","WorldCat Record")</f>
        <v>WorldCat Record</v>
      </c>
      <c r="AX666" s="3" t="s">
        <v>6428</v>
      </c>
      <c r="AY666" s="3" t="s">
        <v>6429</v>
      </c>
      <c r="AZ666" s="3" t="s">
        <v>6430</v>
      </c>
      <c r="BA666" s="3" t="s">
        <v>6430</v>
      </c>
      <c r="BB666" s="3" t="s">
        <v>6434</v>
      </c>
      <c r="BC666" s="3" t="s">
        <v>142</v>
      </c>
      <c r="BD666" s="3" t="s">
        <v>68</v>
      </c>
      <c r="BE666" s="3" t="s">
        <v>6432</v>
      </c>
      <c r="BF666" s="3" t="s">
        <v>6434</v>
      </c>
      <c r="BG666" s="3" t="s">
        <v>6435</v>
      </c>
    </row>
    <row r="667" spans="1:59" ht="57" x14ac:dyDescent="0.45">
      <c r="A667" s="2" t="s">
        <v>59</v>
      </c>
      <c r="B667" s="2" t="s">
        <v>60</v>
      </c>
      <c r="C667" s="2" t="s">
        <v>6436</v>
      </c>
      <c r="D667" s="2" t="s">
        <v>6437</v>
      </c>
      <c r="E667" s="2" t="s">
        <v>6438</v>
      </c>
      <c r="G667" s="3" t="s">
        <v>62</v>
      </c>
      <c r="I667" s="3" t="s">
        <v>61</v>
      </c>
      <c r="J667" s="3" t="s">
        <v>62</v>
      </c>
      <c r="K667" s="3" t="s">
        <v>63</v>
      </c>
      <c r="L667" s="2" t="s">
        <v>6439</v>
      </c>
      <c r="M667" s="2" t="s">
        <v>6440</v>
      </c>
      <c r="N667" s="3" t="s">
        <v>220</v>
      </c>
      <c r="P667" s="3" t="s">
        <v>65</v>
      </c>
      <c r="Q667" s="2" t="s">
        <v>6441</v>
      </c>
      <c r="R667" s="3" t="s">
        <v>66</v>
      </c>
      <c r="S667" s="4">
        <v>7</v>
      </c>
      <c r="T667" s="4">
        <v>12</v>
      </c>
      <c r="U667" s="5" t="s">
        <v>6442</v>
      </c>
      <c r="V667" s="5" t="s">
        <v>6442</v>
      </c>
      <c r="W667" s="5" t="s">
        <v>67</v>
      </c>
      <c r="X667" s="5" t="s">
        <v>67</v>
      </c>
      <c r="Y667" s="4">
        <v>17</v>
      </c>
      <c r="Z667" s="4">
        <v>5</v>
      </c>
      <c r="AA667" s="4">
        <v>36</v>
      </c>
      <c r="AB667" s="4">
        <v>2</v>
      </c>
      <c r="AC667" s="4">
        <v>7</v>
      </c>
      <c r="AD667" s="4">
        <v>6</v>
      </c>
      <c r="AE667" s="4">
        <v>100</v>
      </c>
      <c r="AF667" s="4">
        <v>1</v>
      </c>
      <c r="AG667" s="4">
        <v>4</v>
      </c>
      <c r="AH667" s="4">
        <v>3</v>
      </c>
      <c r="AI667" s="4">
        <v>79</v>
      </c>
      <c r="AJ667" s="4">
        <v>4</v>
      </c>
      <c r="AK667" s="4">
        <v>21</v>
      </c>
      <c r="AL667" s="4">
        <v>2</v>
      </c>
      <c r="AM667" s="4">
        <v>46</v>
      </c>
      <c r="AN667" s="4">
        <v>0</v>
      </c>
      <c r="AO667" s="4">
        <v>0</v>
      </c>
      <c r="AP667" s="4">
        <v>4</v>
      </c>
      <c r="AQ667" s="4">
        <v>28</v>
      </c>
      <c r="AR667" s="3" t="s">
        <v>62</v>
      </c>
      <c r="AS667" s="3" t="s">
        <v>62</v>
      </c>
      <c r="AT667" s="3" t="s">
        <v>62</v>
      </c>
      <c r="AV667" s="6" t="str">
        <f>HYPERLINK("http://mcgill.on.worldcat.org/oclc/223360970","Catalog Record")</f>
        <v>Catalog Record</v>
      </c>
      <c r="AW667" s="6" t="str">
        <f>HYPERLINK("http://www.worldcat.org/oclc/223360970","WorldCat Record")</f>
        <v>WorldCat Record</v>
      </c>
      <c r="AX667" s="3" t="s">
        <v>6443</v>
      </c>
      <c r="AY667" s="3" t="s">
        <v>6444</v>
      </c>
      <c r="AZ667" s="3" t="s">
        <v>6445</v>
      </c>
      <c r="BA667" s="3" t="s">
        <v>6445</v>
      </c>
      <c r="BB667" s="3" t="s">
        <v>6446</v>
      </c>
      <c r="BC667" s="3" t="s">
        <v>142</v>
      </c>
      <c r="BD667" s="3" t="s">
        <v>68</v>
      </c>
      <c r="BE667" s="3" t="s">
        <v>6447</v>
      </c>
      <c r="BF667" s="3" t="s">
        <v>6446</v>
      </c>
      <c r="BG667" s="3" t="s">
        <v>6448</v>
      </c>
    </row>
    <row r="668" spans="1:59" ht="57" x14ac:dyDescent="0.45">
      <c r="A668" s="2" t="s">
        <v>59</v>
      </c>
      <c r="B668" s="2" t="s">
        <v>60</v>
      </c>
      <c r="C668" s="2" t="s">
        <v>6436</v>
      </c>
      <c r="D668" s="2" t="s">
        <v>6437</v>
      </c>
      <c r="E668" s="2" t="s">
        <v>6438</v>
      </c>
      <c r="G668" s="3" t="s">
        <v>62</v>
      </c>
      <c r="I668" s="3" t="s">
        <v>61</v>
      </c>
      <c r="J668" s="3" t="s">
        <v>62</v>
      </c>
      <c r="K668" s="3" t="s">
        <v>63</v>
      </c>
      <c r="L668" s="2" t="s">
        <v>6439</v>
      </c>
      <c r="M668" s="2" t="s">
        <v>6440</v>
      </c>
      <c r="N668" s="3" t="s">
        <v>220</v>
      </c>
      <c r="P668" s="3" t="s">
        <v>65</v>
      </c>
      <c r="Q668" s="2" t="s">
        <v>6441</v>
      </c>
      <c r="R668" s="3" t="s">
        <v>66</v>
      </c>
      <c r="S668" s="4">
        <v>5</v>
      </c>
      <c r="T668" s="4">
        <v>12</v>
      </c>
      <c r="U668" s="5" t="s">
        <v>6449</v>
      </c>
      <c r="V668" s="5" t="s">
        <v>6442</v>
      </c>
      <c r="W668" s="5" t="s">
        <v>67</v>
      </c>
      <c r="X668" s="5" t="s">
        <v>67</v>
      </c>
      <c r="Y668" s="4">
        <v>17</v>
      </c>
      <c r="Z668" s="4">
        <v>5</v>
      </c>
      <c r="AA668" s="4">
        <v>36</v>
      </c>
      <c r="AB668" s="4">
        <v>2</v>
      </c>
      <c r="AC668" s="4">
        <v>7</v>
      </c>
      <c r="AD668" s="4">
        <v>6</v>
      </c>
      <c r="AE668" s="4">
        <v>100</v>
      </c>
      <c r="AF668" s="4">
        <v>1</v>
      </c>
      <c r="AG668" s="4">
        <v>4</v>
      </c>
      <c r="AH668" s="4">
        <v>3</v>
      </c>
      <c r="AI668" s="4">
        <v>79</v>
      </c>
      <c r="AJ668" s="4">
        <v>4</v>
      </c>
      <c r="AK668" s="4">
        <v>21</v>
      </c>
      <c r="AL668" s="4">
        <v>2</v>
      </c>
      <c r="AM668" s="4">
        <v>46</v>
      </c>
      <c r="AN668" s="4">
        <v>0</v>
      </c>
      <c r="AO668" s="4">
        <v>0</v>
      </c>
      <c r="AP668" s="4">
        <v>4</v>
      </c>
      <c r="AQ668" s="4">
        <v>28</v>
      </c>
      <c r="AR668" s="3" t="s">
        <v>62</v>
      </c>
      <c r="AS668" s="3" t="s">
        <v>62</v>
      </c>
      <c r="AT668" s="3" t="s">
        <v>62</v>
      </c>
      <c r="AV668" s="6" t="str">
        <f>HYPERLINK("http://mcgill.on.worldcat.org/oclc/223360970","Catalog Record")</f>
        <v>Catalog Record</v>
      </c>
      <c r="AW668" s="6" t="str">
        <f>HYPERLINK("http://www.worldcat.org/oclc/223360970","WorldCat Record")</f>
        <v>WorldCat Record</v>
      </c>
      <c r="AX668" s="3" t="s">
        <v>6443</v>
      </c>
      <c r="AY668" s="3" t="s">
        <v>6444</v>
      </c>
      <c r="AZ668" s="3" t="s">
        <v>6445</v>
      </c>
      <c r="BA668" s="3" t="s">
        <v>6445</v>
      </c>
      <c r="BB668" s="3" t="s">
        <v>6450</v>
      </c>
      <c r="BC668" s="3" t="s">
        <v>142</v>
      </c>
      <c r="BD668" s="3" t="s">
        <v>68</v>
      </c>
      <c r="BE668" s="3" t="s">
        <v>6447</v>
      </c>
      <c r="BF668" s="3" t="s">
        <v>6450</v>
      </c>
      <c r="BG668" s="3" t="s">
        <v>6451</v>
      </c>
    </row>
    <row r="669" spans="1:59" ht="57" x14ac:dyDescent="0.45">
      <c r="A669" s="2" t="s">
        <v>59</v>
      </c>
      <c r="B669" s="2" t="s">
        <v>60</v>
      </c>
      <c r="C669" s="2" t="s">
        <v>6452</v>
      </c>
      <c r="D669" s="2" t="s">
        <v>6453</v>
      </c>
      <c r="E669" s="2" t="s">
        <v>6454</v>
      </c>
      <c r="G669" s="3" t="s">
        <v>62</v>
      </c>
      <c r="I669" s="3" t="s">
        <v>62</v>
      </c>
      <c r="J669" s="3" t="s">
        <v>61</v>
      </c>
      <c r="K669" s="3" t="s">
        <v>63</v>
      </c>
      <c r="M669" s="2" t="s">
        <v>6455</v>
      </c>
      <c r="N669" s="3" t="s">
        <v>625</v>
      </c>
      <c r="P669" s="3" t="s">
        <v>65</v>
      </c>
      <c r="R669" s="3" t="s">
        <v>66</v>
      </c>
      <c r="S669" s="4">
        <v>9</v>
      </c>
      <c r="T669" s="4">
        <v>9</v>
      </c>
      <c r="U669" s="5" t="s">
        <v>3473</v>
      </c>
      <c r="V669" s="5" t="s">
        <v>3473</v>
      </c>
      <c r="W669" s="5" t="s">
        <v>67</v>
      </c>
      <c r="X669" s="5" t="s">
        <v>67</v>
      </c>
      <c r="Y669" s="4">
        <v>311</v>
      </c>
      <c r="Z669" s="4">
        <v>19</v>
      </c>
      <c r="AA669" s="4">
        <v>56</v>
      </c>
      <c r="AB669" s="4">
        <v>2</v>
      </c>
      <c r="AC669" s="4">
        <v>7</v>
      </c>
      <c r="AD669" s="4">
        <v>72</v>
      </c>
      <c r="AE669" s="4">
        <v>149</v>
      </c>
      <c r="AF669" s="4">
        <v>1</v>
      </c>
      <c r="AG669" s="4">
        <v>6</v>
      </c>
      <c r="AH669" s="4">
        <v>61</v>
      </c>
      <c r="AI669" s="4">
        <v>114</v>
      </c>
      <c r="AJ669" s="4">
        <v>13</v>
      </c>
      <c r="AK669" s="4">
        <v>27</v>
      </c>
      <c r="AL669" s="4">
        <v>32</v>
      </c>
      <c r="AM669" s="4">
        <v>61</v>
      </c>
      <c r="AN669" s="4">
        <v>0</v>
      </c>
      <c r="AO669" s="4">
        <v>0</v>
      </c>
      <c r="AP669" s="4">
        <v>18</v>
      </c>
      <c r="AQ669" s="4">
        <v>44</v>
      </c>
      <c r="AR669" s="3" t="s">
        <v>62</v>
      </c>
      <c r="AS669" s="3" t="s">
        <v>62</v>
      </c>
      <c r="AT669" s="3" t="s">
        <v>62</v>
      </c>
      <c r="AV669" s="6" t="str">
        <f>HYPERLINK("http://mcgill.on.worldcat.org/oclc/13095130","Catalog Record")</f>
        <v>Catalog Record</v>
      </c>
      <c r="AW669" s="6" t="str">
        <f>HYPERLINK("http://www.worldcat.org/oclc/13095130","WorldCat Record")</f>
        <v>WorldCat Record</v>
      </c>
      <c r="AX669" s="3" t="s">
        <v>6456</v>
      </c>
      <c r="AY669" s="3" t="s">
        <v>6457</v>
      </c>
      <c r="AZ669" s="3" t="s">
        <v>6458</v>
      </c>
      <c r="BA669" s="3" t="s">
        <v>6458</v>
      </c>
      <c r="BB669" s="3" t="s">
        <v>6459</v>
      </c>
      <c r="BC669" s="3" t="s">
        <v>142</v>
      </c>
      <c r="BD669" s="3" t="s">
        <v>68</v>
      </c>
      <c r="BE669" s="3" t="s">
        <v>6460</v>
      </c>
      <c r="BF669" s="3" t="s">
        <v>6459</v>
      </c>
      <c r="BG669" s="3" t="s">
        <v>6461</v>
      </c>
    </row>
    <row r="670" spans="1:59" ht="57" x14ac:dyDescent="0.45">
      <c r="A670" s="2" t="s">
        <v>59</v>
      </c>
      <c r="B670" s="2" t="s">
        <v>60</v>
      </c>
      <c r="C670" s="2" t="s">
        <v>6462</v>
      </c>
      <c r="D670" s="2" t="s">
        <v>6463</v>
      </c>
      <c r="E670" s="2" t="s">
        <v>6464</v>
      </c>
      <c r="G670" s="3" t="s">
        <v>62</v>
      </c>
      <c r="I670" s="3" t="s">
        <v>62</v>
      </c>
      <c r="J670" s="3" t="s">
        <v>62</v>
      </c>
      <c r="K670" s="3" t="s">
        <v>63</v>
      </c>
      <c r="L670" s="2" t="s">
        <v>6465</v>
      </c>
      <c r="M670" s="2" t="s">
        <v>2083</v>
      </c>
      <c r="N670" s="3" t="s">
        <v>1097</v>
      </c>
      <c r="P670" s="3" t="s">
        <v>65</v>
      </c>
      <c r="R670" s="3" t="s">
        <v>66</v>
      </c>
      <c r="S670" s="4">
        <v>3</v>
      </c>
      <c r="T670" s="4">
        <v>3</v>
      </c>
      <c r="U670" s="5" t="s">
        <v>6466</v>
      </c>
      <c r="V670" s="5" t="s">
        <v>6466</v>
      </c>
      <c r="W670" s="5" t="s">
        <v>67</v>
      </c>
      <c r="X670" s="5" t="s">
        <v>67</v>
      </c>
      <c r="Y670" s="4">
        <v>228</v>
      </c>
      <c r="Z670" s="4">
        <v>17</v>
      </c>
      <c r="AA670" s="4">
        <v>19</v>
      </c>
      <c r="AB670" s="4">
        <v>1</v>
      </c>
      <c r="AC670" s="4">
        <v>3</v>
      </c>
      <c r="AD670" s="4">
        <v>91</v>
      </c>
      <c r="AE670" s="4">
        <v>91</v>
      </c>
      <c r="AF670" s="4">
        <v>0</v>
      </c>
      <c r="AG670" s="4">
        <v>0</v>
      </c>
      <c r="AH670" s="4">
        <v>84</v>
      </c>
      <c r="AI670" s="4">
        <v>84</v>
      </c>
      <c r="AJ670" s="4">
        <v>12</v>
      </c>
      <c r="AK670" s="4">
        <v>12</v>
      </c>
      <c r="AL670" s="4">
        <v>50</v>
      </c>
      <c r="AM670" s="4">
        <v>50</v>
      </c>
      <c r="AN670" s="4">
        <v>0</v>
      </c>
      <c r="AO670" s="4">
        <v>0</v>
      </c>
      <c r="AP670" s="4">
        <v>13</v>
      </c>
      <c r="AQ670" s="4">
        <v>13</v>
      </c>
      <c r="AR670" s="3" t="s">
        <v>62</v>
      </c>
      <c r="AS670" s="3" t="s">
        <v>62</v>
      </c>
      <c r="AT670" s="3" t="s">
        <v>61</v>
      </c>
      <c r="AU670" s="6" t="str">
        <f>HYPERLINK("http://catalog.hathitrust.org/Record/004735154","HathiTrust Record")</f>
        <v>HathiTrust Record</v>
      </c>
      <c r="AV670" s="6" t="str">
        <f>HYPERLINK("http://mcgill.on.worldcat.org/oclc/55706457","Catalog Record")</f>
        <v>Catalog Record</v>
      </c>
      <c r="AW670" s="6" t="str">
        <f>HYPERLINK("http://www.worldcat.org/oclc/55706457","WorldCat Record")</f>
        <v>WorldCat Record</v>
      </c>
      <c r="AX670" s="3" t="s">
        <v>6467</v>
      </c>
      <c r="AY670" s="3" t="s">
        <v>6468</v>
      </c>
      <c r="AZ670" s="3" t="s">
        <v>6469</v>
      </c>
      <c r="BA670" s="3" t="s">
        <v>6469</v>
      </c>
      <c r="BB670" s="3" t="s">
        <v>6470</v>
      </c>
      <c r="BC670" s="3" t="s">
        <v>142</v>
      </c>
      <c r="BD670" s="3" t="s">
        <v>68</v>
      </c>
      <c r="BE670" s="3" t="s">
        <v>6471</v>
      </c>
      <c r="BF670" s="3" t="s">
        <v>6470</v>
      </c>
      <c r="BG670" s="3" t="s">
        <v>6472</v>
      </c>
    </row>
    <row r="671" spans="1:59" ht="57" x14ac:dyDescent="0.45">
      <c r="A671" s="2" t="s">
        <v>59</v>
      </c>
      <c r="B671" s="2" t="s">
        <v>60</v>
      </c>
      <c r="C671" s="2" t="s">
        <v>6473</v>
      </c>
      <c r="D671" s="2" t="s">
        <v>6474</v>
      </c>
      <c r="E671" s="2" t="s">
        <v>6475</v>
      </c>
      <c r="G671" s="3" t="s">
        <v>62</v>
      </c>
      <c r="I671" s="3" t="s">
        <v>62</v>
      </c>
      <c r="J671" s="3" t="s">
        <v>62</v>
      </c>
      <c r="K671" s="3" t="s">
        <v>63</v>
      </c>
      <c r="L671" s="2" t="s">
        <v>6476</v>
      </c>
      <c r="M671" s="2" t="s">
        <v>6477</v>
      </c>
      <c r="N671" s="3" t="s">
        <v>1239</v>
      </c>
      <c r="P671" s="3" t="s">
        <v>65</v>
      </c>
      <c r="Q671" s="2" t="s">
        <v>6478</v>
      </c>
      <c r="R671" s="3" t="s">
        <v>66</v>
      </c>
      <c r="S671" s="4">
        <v>30</v>
      </c>
      <c r="T671" s="4">
        <v>30</v>
      </c>
      <c r="U671" s="5" t="s">
        <v>4498</v>
      </c>
      <c r="V671" s="5" t="s">
        <v>4498</v>
      </c>
      <c r="W671" s="5" t="s">
        <v>67</v>
      </c>
      <c r="X671" s="5" t="s">
        <v>67</v>
      </c>
      <c r="Y671" s="4">
        <v>341</v>
      </c>
      <c r="Z671" s="4">
        <v>16</v>
      </c>
      <c r="AA671" s="4">
        <v>34</v>
      </c>
      <c r="AB671" s="4">
        <v>2</v>
      </c>
      <c r="AC671" s="4">
        <v>6</v>
      </c>
      <c r="AD671" s="4">
        <v>105</v>
      </c>
      <c r="AE671" s="4">
        <v>121</v>
      </c>
      <c r="AF671" s="4">
        <v>0</v>
      </c>
      <c r="AG671" s="4">
        <v>2</v>
      </c>
      <c r="AH671" s="4">
        <v>98</v>
      </c>
      <c r="AI671" s="4">
        <v>102</v>
      </c>
      <c r="AJ671" s="4">
        <v>12</v>
      </c>
      <c r="AK671" s="4">
        <v>19</v>
      </c>
      <c r="AL671" s="4">
        <v>55</v>
      </c>
      <c r="AM671" s="4">
        <v>55</v>
      </c>
      <c r="AN671" s="4">
        <v>0</v>
      </c>
      <c r="AO671" s="4">
        <v>0</v>
      </c>
      <c r="AP671" s="4">
        <v>12</v>
      </c>
      <c r="AQ671" s="4">
        <v>25</v>
      </c>
      <c r="AR671" s="3" t="s">
        <v>62</v>
      </c>
      <c r="AS671" s="3" t="s">
        <v>62</v>
      </c>
      <c r="AT671" s="3" t="s">
        <v>61</v>
      </c>
      <c r="AU671" s="6" t="str">
        <f>HYPERLINK("http://catalog.hathitrust.org/Record/001543374","HathiTrust Record")</f>
        <v>HathiTrust Record</v>
      </c>
      <c r="AV671" s="6" t="str">
        <f>HYPERLINK("http://mcgill.on.worldcat.org/oclc/18558923","Catalog Record")</f>
        <v>Catalog Record</v>
      </c>
      <c r="AW671" s="6" t="str">
        <f>HYPERLINK("http://www.worldcat.org/oclc/18558923","WorldCat Record")</f>
        <v>WorldCat Record</v>
      </c>
      <c r="AX671" s="3" t="s">
        <v>6479</v>
      </c>
      <c r="AY671" s="3" t="s">
        <v>6480</v>
      </c>
      <c r="AZ671" s="3" t="s">
        <v>6481</v>
      </c>
      <c r="BA671" s="3" t="s">
        <v>6481</v>
      </c>
      <c r="BB671" s="3" t="s">
        <v>6482</v>
      </c>
      <c r="BC671" s="3" t="s">
        <v>142</v>
      </c>
      <c r="BD671" s="3" t="s">
        <v>68</v>
      </c>
      <c r="BE671" s="3" t="s">
        <v>6483</v>
      </c>
      <c r="BF671" s="3" t="s">
        <v>6482</v>
      </c>
      <c r="BG671" s="3" t="s">
        <v>6484</v>
      </c>
    </row>
    <row r="672" spans="1:59" ht="57" x14ac:dyDescent="0.45">
      <c r="A672" s="2" t="s">
        <v>59</v>
      </c>
      <c r="B672" s="2" t="s">
        <v>60</v>
      </c>
      <c r="C672" s="2" t="s">
        <v>6485</v>
      </c>
      <c r="D672" s="2" t="s">
        <v>6486</v>
      </c>
      <c r="E672" s="2" t="s">
        <v>6487</v>
      </c>
      <c r="G672" s="3" t="s">
        <v>62</v>
      </c>
      <c r="I672" s="3" t="s">
        <v>61</v>
      </c>
      <c r="J672" s="3" t="s">
        <v>62</v>
      </c>
      <c r="K672" s="3" t="s">
        <v>63</v>
      </c>
      <c r="L672" s="2" t="s">
        <v>6488</v>
      </c>
      <c r="M672" s="2" t="s">
        <v>6489</v>
      </c>
      <c r="N672" s="3" t="s">
        <v>555</v>
      </c>
      <c r="P672" s="3" t="s">
        <v>65</v>
      </c>
      <c r="Q672" s="2" t="s">
        <v>6490</v>
      </c>
      <c r="R672" s="3" t="s">
        <v>66</v>
      </c>
      <c r="S672" s="4">
        <v>50</v>
      </c>
      <c r="T672" s="4">
        <v>207</v>
      </c>
      <c r="U672" s="5" t="s">
        <v>3623</v>
      </c>
      <c r="V672" s="5" t="s">
        <v>6491</v>
      </c>
      <c r="W672" s="5" t="s">
        <v>67</v>
      </c>
      <c r="X672" s="5" t="s">
        <v>67</v>
      </c>
      <c r="Y672" s="4">
        <v>774</v>
      </c>
      <c r="Z672" s="4">
        <v>34</v>
      </c>
      <c r="AA672" s="4">
        <v>58</v>
      </c>
      <c r="AB672" s="4">
        <v>3</v>
      </c>
      <c r="AC672" s="4">
        <v>9</v>
      </c>
      <c r="AD672" s="4">
        <v>119</v>
      </c>
      <c r="AE672" s="4">
        <v>148</v>
      </c>
      <c r="AF672" s="4">
        <v>1</v>
      </c>
      <c r="AG672" s="4">
        <v>6</v>
      </c>
      <c r="AH672" s="4">
        <v>97</v>
      </c>
      <c r="AI672" s="4">
        <v>113</v>
      </c>
      <c r="AJ672" s="4">
        <v>17</v>
      </c>
      <c r="AK672" s="4">
        <v>28</v>
      </c>
      <c r="AL672" s="4">
        <v>55</v>
      </c>
      <c r="AM672" s="4">
        <v>61</v>
      </c>
      <c r="AN672" s="4">
        <v>0</v>
      </c>
      <c r="AO672" s="4">
        <v>0</v>
      </c>
      <c r="AP672" s="4">
        <v>28</v>
      </c>
      <c r="AQ672" s="4">
        <v>42</v>
      </c>
      <c r="AR672" s="3" t="s">
        <v>62</v>
      </c>
      <c r="AS672" s="3" t="s">
        <v>62</v>
      </c>
      <c r="AT672" s="3" t="s">
        <v>61</v>
      </c>
      <c r="AU672" s="6" t="str">
        <f>HYPERLINK("http://catalog.hathitrust.org/Record/006931901","HathiTrust Record")</f>
        <v>HathiTrust Record</v>
      </c>
      <c r="AV672" s="6" t="str">
        <f>HYPERLINK("http://mcgill.on.worldcat.org/oclc/644343","Catalog Record")</f>
        <v>Catalog Record</v>
      </c>
      <c r="AW672" s="6" t="str">
        <f>HYPERLINK("http://www.worldcat.org/oclc/644343","WorldCat Record")</f>
        <v>WorldCat Record</v>
      </c>
      <c r="AX672" s="3" t="s">
        <v>6492</v>
      </c>
      <c r="AY672" s="3" t="s">
        <v>6493</v>
      </c>
      <c r="AZ672" s="3" t="s">
        <v>6494</v>
      </c>
      <c r="BA672" s="3" t="s">
        <v>6494</v>
      </c>
      <c r="BB672" s="3" t="s">
        <v>6495</v>
      </c>
      <c r="BC672" s="3" t="s">
        <v>142</v>
      </c>
      <c r="BD672" s="3" t="s">
        <v>68</v>
      </c>
      <c r="BE672" s="3" t="s">
        <v>6496</v>
      </c>
      <c r="BF672" s="3" t="s">
        <v>6495</v>
      </c>
      <c r="BG672" s="3" t="s">
        <v>6497</v>
      </c>
    </row>
    <row r="673" spans="1:59" ht="57" x14ac:dyDescent="0.45">
      <c r="A673" s="2" t="s">
        <v>59</v>
      </c>
      <c r="B673" s="2" t="s">
        <v>60</v>
      </c>
      <c r="C673" s="2" t="s">
        <v>6485</v>
      </c>
      <c r="D673" s="2" t="s">
        <v>6486</v>
      </c>
      <c r="E673" s="2" t="s">
        <v>6487</v>
      </c>
      <c r="G673" s="3" t="s">
        <v>62</v>
      </c>
      <c r="I673" s="3" t="s">
        <v>61</v>
      </c>
      <c r="J673" s="3" t="s">
        <v>62</v>
      </c>
      <c r="K673" s="3" t="s">
        <v>63</v>
      </c>
      <c r="L673" s="2" t="s">
        <v>6488</v>
      </c>
      <c r="M673" s="2" t="s">
        <v>6489</v>
      </c>
      <c r="N673" s="3" t="s">
        <v>555</v>
      </c>
      <c r="P673" s="3" t="s">
        <v>65</v>
      </c>
      <c r="Q673" s="2" t="s">
        <v>6490</v>
      </c>
      <c r="R673" s="3" t="s">
        <v>66</v>
      </c>
      <c r="S673" s="4">
        <v>41</v>
      </c>
      <c r="T673" s="4">
        <v>207</v>
      </c>
      <c r="U673" s="5" t="s">
        <v>2861</v>
      </c>
      <c r="V673" s="5" t="s">
        <v>6491</v>
      </c>
      <c r="W673" s="5" t="s">
        <v>67</v>
      </c>
      <c r="X673" s="5" t="s">
        <v>67</v>
      </c>
      <c r="Y673" s="4">
        <v>774</v>
      </c>
      <c r="Z673" s="4">
        <v>34</v>
      </c>
      <c r="AA673" s="4">
        <v>58</v>
      </c>
      <c r="AB673" s="4">
        <v>3</v>
      </c>
      <c r="AC673" s="4">
        <v>9</v>
      </c>
      <c r="AD673" s="4">
        <v>119</v>
      </c>
      <c r="AE673" s="4">
        <v>148</v>
      </c>
      <c r="AF673" s="4">
        <v>1</v>
      </c>
      <c r="AG673" s="4">
        <v>6</v>
      </c>
      <c r="AH673" s="4">
        <v>97</v>
      </c>
      <c r="AI673" s="4">
        <v>113</v>
      </c>
      <c r="AJ673" s="4">
        <v>17</v>
      </c>
      <c r="AK673" s="4">
        <v>28</v>
      </c>
      <c r="AL673" s="4">
        <v>55</v>
      </c>
      <c r="AM673" s="4">
        <v>61</v>
      </c>
      <c r="AN673" s="4">
        <v>0</v>
      </c>
      <c r="AO673" s="4">
        <v>0</v>
      </c>
      <c r="AP673" s="4">
        <v>28</v>
      </c>
      <c r="AQ673" s="4">
        <v>42</v>
      </c>
      <c r="AR673" s="3" t="s">
        <v>62</v>
      </c>
      <c r="AS673" s="3" t="s">
        <v>62</v>
      </c>
      <c r="AT673" s="3" t="s">
        <v>61</v>
      </c>
      <c r="AU673" s="6" t="str">
        <f>HYPERLINK("http://catalog.hathitrust.org/Record/006931901","HathiTrust Record")</f>
        <v>HathiTrust Record</v>
      </c>
      <c r="AV673" s="6" t="str">
        <f>HYPERLINK("http://mcgill.on.worldcat.org/oclc/644343","Catalog Record")</f>
        <v>Catalog Record</v>
      </c>
      <c r="AW673" s="6" t="str">
        <f>HYPERLINK("http://www.worldcat.org/oclc/644343","WorldCat Record")</f>
        <v>WorldCat Record</v>
      </c>
      <c r="AX673" s="3" t="s">
        <v>6492</v>
      </c>
      <c r="AY673" s="3" t="s">
        <v>6493</v>
      </c>
      <c r="AZ673" s="3" t="s">
        <v>6494</v>
      </c>
      <c r="BA673" s="3" t="s">
        <v>6494</v>
      </c>
      <c r="BB673" s="3" t="s">
        <v>6498</v>
      </c>
      <c r="BC673" s="3" t="s">
        <v>142</v>
      </c>
      <c r="BD673" s="3" t="s">
        <v>68</v>
      </c>
      <c r="BE673" s="3" t="s">
        <v>6496</v>
      </c>
      <c r="BF673" s="3" t="s">
        <v>6498</v>
      </c>
      <c r="BG673" s="3" t="s">
        <v>6499</v>
      </c>
    </row>
    <row r="674" spans="1:59" ht="57" x14ac:dyDescent="0.45">
      <c r="A674" s="2" t="s">
        <v>59</v>
      </c>
      <c r="B674" s="2" t="s">
        <v>60</v>
      </c>
      <c r="C674" s="2" t="s">
        <v>6485</v>
      </c>
      <c r="D674" s="2" t="s">
        <v>6486</v>
      </c>
      <c r="E674" s="2" t="s">
        <v>6487</v>
      </c>
      <c r="G674" s="3" t="s">
        <v>62</v>
      </c>
      <c r="I674" s="3" t="s">
        <v>61</v>
      </c>
      <c r="J674" s="3" t="s">
        <v>62</v>
      </c>
      <c r="K674" s="3" t="s">
        <v>63</v>
      </c>
      <c r="L674" s="2" t="s">
        <v>6488</v>
      </c>
      <c r="M674" s="2" t="s">
        <v>6489</v>
      </c>
      <c r="N674" s="3" t="s">
        <v>555</v>
      </c>
      <c r="P674" s="3" t="s">
        <v>65</v>
      </c>
      <c r="Q674" s="2" t="s">
        <v>6490</v>
      </c>
      <c r="R674" s="3" t="s">
        <v>66</v>
      </c>
      <c r="S674" s="4">
        <v>20</v>
      </c>
      <c r="T674" s="4">
        <v>207</v>
      </c>
      <c r="U674" s="5" t="s">
        <v>6500</v>
      </c>
      <c r="V674" s="5" t="s">
        <v>6491</v>
      </c>
      <c r="W674" s="5" t="s">
        <v>67</v>
      </c>
      <c r="X674" s="5" t="s">
        <v>67</v>
      </c>
      <c r="Y674" s="4">
        <v>774</v>
      </c>
      <c r="Z674" s="4">
        <v>34</v>
      </c>
      <c r="AA674" s="4">
        <v>58</v>
      </c>
      <c r="AB674" s="4">
        <v>3</v>
      </c>
      <c r="AC674" s="4">
        <v>9</v>
      </c>
      <c r="AD674" s="4">
        <v>119</v>
      </c>
      <c r="AE674" s="4">
        <v>148</v>
      </c>
      <c r="AF674" s="4">
        <v>1</v>
      </c>
      <c r="AG674" s="4">
        <v>6</v>
      </c>
      <c r="AH674" s="4">
        <v>97</v>
      </c>
      <c r="AI674" s="4">
        <v>113</v>
      </c>
      <c r="AJ674" s="4">
        <v>17</v>
      </c>
      <c r="AK674" s="4">
        <v>28</v>
      </c>
      <c r="AL674" s="4">
        <v>55</v>
      </c>
      <c r="AM674" s="4">
        <v>61</v>
      </c>
      <c r="AN674" s="4">
        <v>0</v>
      </c>
      <c r="AO674" s="4">
        <v>0</v>
      </c>
      <c r="AP674" s="4">
        <v>28</v>
      </c>
      <c r="AQ674" s="4">
        <v>42</v>
      </c>
      <c r="AR674" s="3" t="s">
        <v>62</v>
      </c>
      <c r="AS674" s="3" t="s">
        <v>62</v>
      </c>
      <c r="AT674" s="3" t="s">
        <v>61</v>
      </c>
      <c r="AU674" s="6" t="str">
        <f>HYPERLINK("http://catalog.hathitrust.org/Record/006931901","HathiTrust Record")</f>
        <v>HathiTrust Record</v>
      </c>
      <c r="AV674" s="6" t="str">
        <f>HYPERLINK("http://mcgill.on.worldcat.org/oclc/644343","Catalog Record")</f>
        <v>Catalog Record</v>
      </c>
      <c r="AW674" s="6" t="str">
        <f>HYPERLINK("http://www.worldcat.org/oclc/644343","WorldCat Record")</f>
        <v>WorldCat Record</v>
      </c>
      <c r="AX674" s="3" t="s">
        <v>6492</v>
      </c>
      <c r="AY674" s="3" t="s">
        <v>6493</v>
      </c>
      <c r="AZ674" s="3" t="s">
        <v>6494</v>
      </c>
      <c r="BA674" s="3" t="s">
        <v>6494</v>
      </c>
      <c r="BB674" s="3" t="s">
        <v>6501</v>
      </c>
      <c r="BC674" s="3" t="s">
        <v>142</v>
      </c>
      <c r="BD674" s="3" t="s">
        <v>68</v>
      </c>
      <c r="BE674" s="3" t="s">
        <v>6496</v>
      </c>
      <c r="BF674" s="3" t="s">
        <v>6501</v>
      </c>
      <c r="BG674" s="3" t="s">
        <v>6502</v>
      </c>
    </row>
    <row r="675" spans="1:59" ht="57" x14ac:dyDescent="0.45">
      <c r="A675" s="2" t="s">
        <v>59</v>
      </c>
      <c r="B675" s="2" t="s">
        <v>60</v>
      </c>
      <c r="C675" s="2" t="s">
        <v>6485</v>
      </c>
      <c r="D675" s="2" t="s">
        <v>6486</v>
      </c>
      <c r="E675" s="2" t="s">
        <v>6487</v>
      </c>
      <c r="G675" s="3" t="s">
        <v>62</v>
      </c>
      <c r="I675" s="3" t="s">
        <v>61</v>
      </c>
      <c r="J675" s="3" t="s">
        <v>62</v>
      </c>
      <c r="K675" s="3" t="s">
        <v>63</v>
      </c>
      <c r="L675" s="2" t="s">
        <v>6488</v>
      </c>
      <c r="M675" s="2" t="s">
        <v>6489</v>
      </c>
      <c r="N675" s="3" t="s">
        <v>555</v>
      </c>
      <c r="P675" s="3" t="s">
        <v>65</v>
      </c>
      <c r="Q675" s="2" t="s">
        <v>6490</v>
      </c>
      <c r="R675" s="3" t="s">
        <v>66</v>
      </c>
      <c r="S675" s="4">
        <v>63</v>
      </c>
      <c r="T675" s="4">
        <v>207</v>
      </c>
      <c r="U675" s="5" t="s">
        <v>6491</v>
      </c>
      <c r="V675" s="5" t="s">
        <v>6491</v>
      </c>
      <c r="W675" s="5" t="s">
        <v>67</v>
      </c>
      <c r="X675" s="5" t="s">
        <v>67</v>
      </c>
      <c r="Y675" s="4">
        <v>774</v>
      </c>
      <c r="Z675" s="4">
        <v>34</v>
      </c>
      <c r="AA675" s="4">
        <v>58</v>
      </c>
      <c r="AB675" s="4">
        <v>3</v>
      </c>
      <c r="AC675" s="4">
        <v>9</v>
      </c>
      <c r="AD675" s="4">
        <v>119</v>
      </c>
      <c r="AE675" s="4">
        <v>148</v>
      </c>
      <c r="AF675" s="4">
        <v>1</v>
      </c>
      <c r="AG675" s="4">
        <v>6</v>
      </c>
      <c r="AH675" s="4">
        <v>97</v>
      </c>
      <c r="AI675" s="4">
        <v>113</v>
      </c>
      <c r="AJ675" s="4">
        <v>17</v>
      </c>
      <c r="AK675" s="4">
        <v>28</v>
      </c>
      <c r="AL675" s="4">
        <v>55</v>
      </c>
      <c r="AM675" s="4">
        <v>61</v>
      </c>
      <c r="AN675" s="4">
        <v>0</v>
      </c>
      <c r="AO675" s="4">
        <v>0</v>
      </c>
      <c r="AP675" s="4">
        <v>28</v>
      </c>
      <c r="AQ675" s="4">
        <v>42</v>
      </c>
      <c r="AR675" s="3" t="s">
        <v>62</v>
      </c>
      <c r="AS675" s="3" t="s">
        <v>62</v>
      </c>
      <c r="AT675" s="3" t="s">
        <v>61</v>
      </c>
      <c r="AU675" s="6" t="str">
        <f>HYPERLINK("http://catalog.hathitrust.org/Record/006931901","HathiTrust Record")</f>
        <v>HathiTrust Record</v>
      </c>
      <c r="AV675" s="6" t="str">
        <f>HYPERLINK("http://mcgill.on.worldcat.org/oclc/644343","Catalog Record")</f>
        <v>Catalog Record</v>
      </c>
      <c r="AW675" s="6" t="str">
        <f>HYPERLINK("http://www.worldcat.org/oclc/644343","WorldCat Record")</f>
        <v>WorldCat Record</v>
      </c>
      <c r="AX675" s="3" t="s">
        <v>6492</v>
      </c>
      <c r="AY675" s="3" t="s">
        <v>6493</v>
      </c>
      <c r="AZ675" s="3" t="s">
        <v>6494</v>
      </c>
      <c r="BA675" s="3" t="s">
        <v>6494</v>
      </c>
      <c r="BB675" s="3" t="s">
        <v>6503</v>
      </c>
      <c r="BC675" s="3" t="s">
        <v>142</v>
      </c>
      <c r="BD675" s="3" t="s">
        <v>68</v>
      </c>
      <c r="BE675" s="3" t="s">
        <v>6496</v>
      </c>
      <c r="BF675" s="3" t="s">
        <v>6503</v>
      </c>
      <c r="BG675" s="3" t="s">
        <v>6504</v>
      </c>
    </row>
    <row r="676" spans="1:59" ht="57" x14ac:dyDescent="0.45">
      <c r="A676" s="2" t="s">
        <v>59</v>
      </c>
      <c r="B676" s="2" t="s">
        <v>60</v>
      </c>
      <c r="C676" s="2" t="s">
        <v>6485</v>
      </c>
      <c r="D676" s="2" t="s">
        <v>6486</v>
      </c>
      <c r="E676" s="2" t="s">
        <v>6487</v>
      </c>
      <c r="G676" s="3" t="s">
        <v>62</v>
      </c>
      <c r="I676" s="3" t="s">
        <v>61</v>
      </c>
      <c r="J676" s="3" t="s">
        <v>62</v>
      </c>
      <c r="K676" s="3" t="s">
        <v>63</v>
      </c>
      <c r="L676" s="2" t="s">
        <v>6488</v>
      </c>
      <c r="M676" s="2" t="s">
        <v>6489</v>
      </c>
      <c r="N676" s="3" t="s">
        <v>555</v>
      </c>
      <c r="P676" s="3" t="s">
        <v>65</v>
      </c>
      <c r="Q676" s="2" t="s">
        <v>6490</v>
      </c>
      <c r="R676" s="3" t="s">
        <v>66</v>
      </c>
      <c r="S676" s="4">
        <v>33</v>
      </c>
      <c r="T676" s="4">
        <v>207</v>
      </c>
      <c r="U676" s="5" t="s">
        <v>6505</v>
      </c>
      <c r="V676" s="5" t="s">
        <v>6491</v>
      </c>
      <c r="W676" s="5" t="s">
        <v>67</v>
      </c>
      <c r="X676" s="5" t="s">
        <v>67</v>
      </c>
      <c r="Y676" s="4">
        <v>774</v>
      </c>
      <c r="Z676" s="4">
        <v>34</v>
      </c>
      <c r="AA676" s="4">
        <v>58</v>
      </c>
      <c r="AB676" s="4">
        <v>3</v>
      </c>
      <c r="AC676" s="4">
        <v>9</v>
      </c>
      <c r="AD676" s="4">
        <v>119</v>
      </c>
      <c r="AE676" s="4">
        <v>148</v>
      </c>
      <c r="AF676" s="4">
        <v>1</v>
      </c>
      <c r="AG676" s="4">
        <v>6</v>
      </c>
      <c r="AH676" s="4">
        <v>97</v>
      </c>
      <c r="AI676" s="4">
        <v>113</v>
      </c>
      <c r="AJ676" s="4">
        <v>17</v>
      </c>
      <c r="AK676" s="4">
        <v>28</v>
      </c>
      <c r="AL676" s="4">
        <v>55</v>
      </c>
      <c r="AM676" s="4">
        <v>61</v>
      </c>
      <c r="AN676" s="4">
        <v>0</v>
      </c>
      <c r="AO676" s="4">
        <v>0</v>
      </c>
      <c r="AP676" s="4">
        <v>28</v>
      </c>
      <c r="AQ676" s="4">
        <v>42</v>
      </c>
      <c r="AR676" s="3" t="s">
        <v>62</v>
      </c>
      <c r="AS676" s="3" t="s">
        <v>62</v>
      </c>
      <c r="AT676" s="3" t="s">
        <v>61</v>
      </c>
      <c r="AU676" s="6" t="str">
        <f>HYPERLINK("http://catalog.hathitrust.org/Record/006931901","HathiTrust Record")</f>
        <v>HathiTrust Record</v>
      </c>
      <c r="AV676" s="6" t="str">
        <f>HYPERLINK("http://mcgill.on.worldcat.org/oclc/644343","Catalog Record")</f>
        <v>Catalog Record</v>
      </c>
      <c r="AW676" s="6" t="str">
        <f>HYPERLINK("http://www.worldcat.org/oclc/644343","WorldCat Record")</f>
        <v>WorldCat Record</v>
      </c>
      <c r="AX676" s="3" t="s">
        <v>6492</v>
      </c>
      <c r="AY676" s="3" t="s">
        <v>6493</v>
      </c>
      <c r="AZ676" s="3" t="s">
        <v>6494</v>
      </c>
      <c r="BA676" s="3" t="s">
        <v>6494</v>
      </c>
      <c r="BB676" s="3" t="s">
        <v>6506</v>
      </c>
      <c r="BC676" s="3" t="s">
        <v>142</v>
      </c>
      <c r="BD676" s="3" t="s">
        <v>68</v>
      </c>
      <c r="BE676" s="3" t="s">
        <v>6496</v>
      </c>
      <c r="BF676" s="3" t="s">
        <v>6506</v>
      </c>
      <c r="BG676" s="3" t="s">
        <v>6507</v>
      </c>
    </row>
    <row r="677" spans="1:59" ht="57" x14ac:dyDescent="0.45">
      <c r="A677" s="2" t="s">
        <v>59</v>
      </c>
      <c r="B677" s="2" t="s">
        <v>60</v>
      </c>
      <c r="C677" s="2" t="s">
        <v>6508</v>
      </c>
      <c r="D677" s="2" t="s">
        <v>6509</v>
      </c>
      <c r="E677" s="2" t="s">
        <v>6510</v>
      </c>
      <c r="G677" s="3" t="s">
        <v>62</v>
      </c>
      <c r="I677" s="3" t="s">
        <v>62</v>
      </c>
      <c r="J677" s="3" t="s">
        <v>62</v>
      </c>
      <c r="K677" s="3" t="s">
        <v>63</v>
      </c>
      <c r="L677" s="2" t="s">
        <v>6488</v>
      </c>
      <c r="M677" s="2" t="s">
        <v>6511</v>
      </c>
      <c r="N677" s="3" t="s">
        <v>1073</v>
      </c>
      <c r="P677" s="3" t="s">
        <v>110</v>
      </c>
      <c r="Q677" s="2" t="s">
        <v>6512</v>
      </c>
      <c r="R677" s="3" t="s">
        <v>66</v>
      </c>
      <c r="S677" s="4">
        <v>21</v>
      </c>
      <c r="T677" s="4">
        <v>21</v>
      </c>
      <c r="U677" s="5" t="s">
        <v>6513</v>
      </c>
      <c r="V677" s="5" t="s">
        <v>6513</v>
      </c>
      <c r="W677" s="5" t="s">
        <v>67</v>
      </c>
      <c r="X677" s="5" t="s">
        <v>67</v>
      </c>
      <c r="Y677" s="4">
        <v>77</v>
      </c>
      <c r="Z677" s="4">
        <v>16</v>
      </c>
      <c r="AA677" s="4">
        <v>34</v>
      </c>
      <c r="AB677" s="4">
        <v>2</v>
      </c>
      <c r="AC677" s="4">
        <v>13</v>
      </c>
      <c r="AD677" s="4">
        <v>20</v>
      </c>
      <c r="AE677" s="4">
        <v>30</v>
      </c>
      <c r="AF677" s="4">
        <v>0</v>
      </c>
      <c r="AG677" s="4">
        <v>6</v>
      </c>
      <c r="AH677" s="4">
        <v>14</v>
      </c>
      <c r="AI677" s="4">
        <v>17</v>
      </c>
      <c r="AJ677" s="4">
        <v>7</v>
      </c>
      <c r="AK677" s="4">
        <v>14</v>
      </c>
      <c r="AL677" s="4">
        <v>7</v>
      </c>
      <c r="AM677" s="4">
        <v>7</v>
      </c>
      <c r="AN677" s="4">
        <v>0</v>
      </c>
      <c r="AO677" s="4">
        <v>0</v>
      </c>
      <c r="AP677" s="4">
        <v>12</v>
      </c>
      <c r="AQ677" s="4">
        <v>21</v>
      </c>
      <c r="AR677" s="3" t="s">
        <v>62</v>
      </c>
      <c r="AS677" s="3" t="s">
        <v>62</v>
      </c>
      <c r="AT677" s="3" t="s">
        <v>62</v>
      </c>
      <c r="AV677" s="6" t="str">
        <f>HYPERLINK("http://mcgill.on.worldcat.org/oclc/4000597","Catalog Record")</f>
        <v>Catalog Record</v>
      </c>
      <c r="AW677" s="6" t="str">
        <f>HYPERLINK("http://www.worldcat.org/oclc/4000597","WorldCat Record")</f>
        <v>WorldCat Record</v>
      </c>
      <c r="AX677" s="3" t="s">
        <v>6514</v>
      </c>
      <c r="AY677" s="3" t="s">
        <v>6515</v>
      </c>
      <c r="AZ677" s="3" t="s">
        <v>6516</v>
      </c>
      <c r="BA677" s="3" t="s">
        <v>6516</v>
      </c>
      <c r="BB677" s="3" t="s">
        <v>6517</v>
      </c>
      <c r="BC677" s="3" t="s">
        <v>142</v>
      </c>
      <c r="BD677" s="3" t="s">
        <v>68</v>
      </c>
      <c r="BE677" s="3" t="s">
        <v>6518</v>
      </c>
      <c r="BF677" s="3" t="s">
        <v>6517</v>
      </c>
      <c r="BG677" s="3" t="s">
        <v>6519</v>
      </c>
    </row>
    <row r="678" spans="1:59" ht="57" x14ac:dyDescent="0.45">
      <c r="A678" s="2" t="s">
        <v>59</v>
      </c>
      <c r="B678" s="2" t="s">
        <v>60</v>
      </c>
      <c r="C678" s="2" t="s">
        <v>6520</v>
      </c>
      <c r="D678" s="2" t="s">
        <v>6521</v>
      </c>
      <c r="E678" s="2" t="s">
        <v>6522</v>
      </c>
      <c r="G678" s="3" t="s">
        <v>62</v>
      </c>
      <c r="I678" s="3" t="s">
        <v>62</v>
      </c>
      <c r="J678" s="3" t="s">
        <v>62</v>
      </c>
      <c r="K678" s="3" t="s">
        <v>63</v>
      </c>
      <c r="M678" s="2" t="s">
        <v>6523</v>
      </c>
      <c r="N678" s="3" t="s">
        <v>1059</v>
      </c>
      <c r="P678" s="3" t="s">
        <v>65</v>
      </c>
      <c r="Q678" s="2" t="s">
        <v>6524</v>
      </c>
      <c r="R678" s="3" t="s">
        <v>66</v>
      </c>
      <c r="S678" s="4">
        <v>6</v>
      </c>
      <c r="T678" s="4">
        <v>6</v>
      </c>
      <c r="U678" s="5" t="s">
        <v>6525</v>
      </c>
      <c r="V678" s="5" t="s">
        <v>6525</v>
      </c>
      <c r="W678" s="5" t="s">
        <v>67</v>
      </c>
      <c r="X678" s="5" t="s">
        <v>67</v>
      </c>
      <c r="Y678" s="4">
        <v>120</v>
      </c>
      <c r="Z678" s="4">
        <v>12</v>
      </c>
      <c r="AA678" s="4">
        <v>64</v>
      </c>
      <c r="AB678" s="4">
        <v>1</v>
      </c>
      <c r="AC678" s="4">
        <v>17</v>
      </c>
      <c r="AD678" s="4">
        <v>56</v>
      </c>
      <c r="AE678" s="4">
        <v>104</v>
      </c>
      <c r="AF678" s="4">
        <v>0</v>
      </c>
      <c r="AG678" s="4">
        <v>8</v>
      </c>
      <c r="AH678" s="4">
        <v>51</v>
      </c>
      <c r="AI678" s="4">
        <v>63</v>
      </c>
      <c r="AJ678" s="4">
        <v>8</v>
      </c>
      <c r="AK678" s="4">
        <v>23</v>
      </c>
      <c r="AL678" s="4">
        <v>33</v>
      </c>
      <c r="AM678" s="4">
        <v>35</v>
      </c>
      <c r="AN678" s="4">
        <v>0</v>
      </c>
      <c r="AO678" s="4">
        <v>0</v>
      </c>
      <c r="AP678" s="4">
        <v>9</v>
      </c>
      <c r="AQ678" s="4">
        <v>49</v>
      </c>
      <c r="AR678" s="3" t="s">
        <v>62</v>
      </c>
      <c r="AS678" s="3" t="s">
        <v>62</v>
      </c>
      <c r="AT678" s="3" t="s">
        <v>62</v>
      </c>
      <c r="AV678" s="6" t="str">
        <f>HYPERLINK("http://mcgill.on.worldcat.org/oclc/60856149","Catalog Record")</f>
        <v>Catalog Record</v>
      </c>
      <c r="AW678" s="6" t="str">
        <f>HYPERLINK("http://www.worldcat.org/oclc/60856149","WorldCat Record")</f>
        <v>WorldCat Record</v>
      </c>
      <c r="AX678" s="3" t="s">
        <v>6526</v>
      </c>
      <c r="AY678" s="3" t="s">
        <v>6527</v>
      </c>
      <c r="AZ678" s="3" t="s">
        <v>6528</v>
      </c>
      <c r="BA678" s="3" t="s">
        <v>6528</v>
      </c>
      <c r="BB678" s="3" t="s">
        <v>6529</v>
      </c>
      <c r="BC678" s="3" t="s">
        <v>142</v>
      </c>
      <c r="BD678" s="3" t="s">
        <v>68</v>
      </c>
      <c r="BE678" s="3" t="s">
        <v>6530</v>
      </c>
      <c r="BF678" s="3" t="s">
        <v>6529</v>
      </c>
      <c r="BG678" s="3" t="s">
        <v>6531</v>
      </c>
    </row>
    <row r="679" spans="1:59" ht="57" x14ac:dyDescent="0.45">
      <c r="A679" s="2" t="s">
        <v>59</v>
      </c>
      <c r="B679" s="2" t="s">
        <v>60</v>
      </c>
      <c r="C679" s="2" t="s">
        <v>6532</v>
      </c>
      <c r="D679" s="2" t="s">
        <v>6533</v>
      </c>
      <c r="E679" s="2" t="s">
        <v>6534</v>
      </c>
      <c r="G679" s="3" t="s">
        <v>62</v>
      </c>
      <c r="I679" s="3" t="s">
        <v>62</v>
      </c>
      <c r="J679" s="3" t="s">
        <v>62</v>
      </c>
      <c r="K679" s="3" t="s">
        <v>63</v>
      </c>
      <c r="M679" s="2" t="s">
        <v>6535</v>
      </c>
      <c r="N679" s="3" t="s">
        <v>1224</v>
      </c>
      <c r="P679" s="3" t="s">
        <v>65</v>
      </c>
      <c r="R679" s="3" t="s">
        <v>66</v>
      </c>
      <c r="S679" s="4">
        <v>3</v>
      </c>
      <c r="T679" s="4">
        <v>3</v>
      </c>
      <c r="U679" s="5" t="s">
        <v>5838</v>
      </c>
      <c r="V679" s="5" t="s">
        <v>5838</v>
      </c>
      <c r="W679" s="5" t="s">
        <v>67</v>
      </c>
      <c r="X679" s="5" t="s">
        <v>67</v>
      </c>
      <c r="Y679" s="4">
        <v>184</v>
      </c>
      <c r="Z679" s="4">
        <v>16</v>
      </c>
      <c r="AA679" s="4">
        <v>16</v>
      </c>
      <c r="AB679" s="4">
        <v>1</v>
      </c>
      <c r="AC679" s="4">
        <v>1</v>
      </c>
      <c r="AD679" s="4">
        <v>68</v>
      </c>
      <c r="AE679" s="4">
        <v>68</v>
      </c>
      <c r="AF679" s="4">
        <v>0</v>
      </c>
      <c r="AG679" s="4">
        <v>0</v>
      </c>
      <c r="AH679" s="4">
        <v>58</v>
      </c>
      <c r="AI679" s="4">
        <v>58</v>
      </c>
      <c r="AJ679" s="4">
        <v>9</v>
      </c>
      <c r="AK679" s="4">
        <v>9</v>
      </c>
      <c r="AL679" s="4">
        <v>33</v>
      </c>
      <c r="AM679" s="4">
        <v>33</v>
      </c>
      <c r="AN679" s="4">
        <v>0</v>
      </c>
      <c r="AO679" s="4">
        <v>0</v>
      </c>
      <c r="AP679" s="4">
        <v>12</v>
      </c>
      <c r="AQ679" s="4">
        <v>12</v>
      </c>
      <c r="AR679" s="3" t="s">
        <v>62</v>
      </c>
      <c r="AS679" s="3" t="s">
        <v>62</v>
      </c>
      <c r="AT679" s="3" t="s">
        <v>61</v>
      </c>
      <c r="AU679" s="6" t="str">
        <f>HYPERLINK("http://catalog.hathitrust.org/Record/007115430","HathiTrust Record")</f>
        <v>HathiTrust Record</v>
      </c>
      <c r="AV679" s="6" t="str">
        <f>HYPERLINK("http://mcgill.on.worldcat.org/oclc/1526252","Catalog Record")</f>
        <v>Catalog Record</v>
      </c>
      <c r="AW679" s="6" t="str">
        <f>HYPERLINK("http://www.worldcat.org/oclc/1526252","WorldCat Record")</f>
        <v>WorldCat Record</v>
      </c>
      <c r="AX679" s="3" t="s">
        <v>6536</v>
      </c>
      <c r="AY679" s="3" t="s">
        <v>6537</v>
      </c>
      <c r="AZ679" s="3" t="s">
        <v>6538</v>
      </c>
      <c r="BA679" s="3" t="s">
        <v>6538</v>
      </c>
      <c r="BB679" s="3" t="s">
        <v>6539</v>
      </c>
      <c r="BC679" s="3" t="s">
        <v>142</v>
      </c>
      <c r="BD679" s="3" t="s">
        <v>68</v>
      </c>
      <c r="BF679" s="3" t="s">
        <v>6539</v>
      </c>
      <c r="BG679" s="3" t="s">
        <v>6540</v>
      </c>
    </row>
    <row r="680" spans="1:59" ht="71.25" x14ac:dyDescent="0.45">
      <c r="A680" s="2" t="s">
        <v>59</v>
      </c>
      <c r="B680" s="2" t="s">
        <v>60</v>
      </c>
      <c r="C680" s="2" t="s">
        <v>6541</v>
      </c>
      <c r="D680" s="2" t="s">
        <v>6542</v>
      </c>
      <c r="E680" s="2" t="s">
        <v>6543</v>
      </c>
      <c r="G680" s="3" t="s">
        <v>62</v>
      </c>
      <c r="I680" s="3" t="s">
        <v>62</v>
      </c>
      <c r="J680" s="3" t="s">
        <v>62</v>
      </c>
      <c r="K680" s="3" t="s">
        <v>63</v>
      </c>
      <c r="M680" s="2" t="s">
        <v>6544</v>
      </c>
      <c r="N680" s="3" t="s">
        <v>435</v>
      </c>
      <c r="P680" s="3" t="s">
        <v>182</v>
      </c>
      <c r="Q680" s="2" t="s">
        <v>6545</v>
      </c>
      <c r="R680" s="3" t="s">
        <v>66</v>
      </c>
      <c r="S680" s="4">
        <v>2</v>
      </c>
      <c r="T680" s="4">
        <v>2</v>
      </c>
      <c r="U680" s="5" t="s">
        <v>5076</v>
      </c>
      <c r="V680" s="5" t="s">
        <v>5076</v>
      </c>
      <c r="W680" s="5" t="s">
        <v>67</v>
      </c>
      <c r="X680" s="5" t="s">
        <v>67</v>
      </c>
      <c r="Y680" s="4">
        <v>63</v>
      </c>
      <c r="Z680" s="4">
        <v>5</v>
      </c>
      <c r="AA680" s="4">
        <v>8</v>
      </c>
      <c r="AB680" s="4">
        <v>1</v>
      </c>
      <c r="AC680" s="4">
        <v>2</v>
      </c>
      <c r="AD680" s="4">
        <v>30</v>
      </c>
      <c r="AE680" s="4">
        <v>32</v>
      </c>
      <c r="AF680" s="4">
        <v>0</v>
      </c>
      <c r="AG680" s="4">
        <v>1</v>
      </c>
      <c r="AH680" s="4">
        <v>26</v>
      </c>
      <c r="AI680" s="4">
        <v>28</v>
      </c>
      <c r="AJ680" s="4">
        <v>4</v>
      </c>
      <c r="AK680" s="4">
        <v>6</v>
      </c>
      <c r="AL680" s="4">
        <v>19</v>
      </c>
      <c r="AM680" s="4">
        <v>20</v>
      </c>
      <c r="AN680" s="4">
        <v>0</v>
      </c>
      <c r="AO680" s="4">
        <v>0</v>
      </c>
      <c r="AP680" s="4">
        <v>4</v>
      </c>
      <c r="AQ680" s="4">
        <v>6</v>
      </c>
      <c r="AR680" s="3" t="s">
        <v>62</v>
      </c>
      <c r="AS680" s="3" t="s">
        <v>62</v>
      </c>
      <c r="AT680" s="3" t="s">
        <v>62</v>
      </c>
      <c r="AV680" s="6" t="str">
        <f>HYPERLINK("http://mcgill.on.worldcat.org/oclc/2693527","Catalog Record")</f>
        <v>Catalog Record</v>
      </c>
      <c r="AW680" s="6" t="str">
        <f>HYPERLINK("http://www.worldcat.org/oclc/2693527","WorldCat Record")</f>
        <v>WorldCat Record</v>
      </c>
      <c r="AX680" s="3" t="s">
        <v>6546</v>
      </c>
      <c r="AY680" s="3" t="s">
        <v>6547</v>
      </c>
      <c r="AZ680" s="3" t="s">
        <v>6548</v>
      </c>
      <c r="BA680" s="3" t="s">
        <v>6548</v>
      </c>
      <c r="BB680" s="3" t="s">
        <v>6549</v>
      </c>
      <c r="BC680" s="3" t="s">
        <v>142</v>
      </c>
      <c r="BD680" s="3" t="s">
        <v>68</v>
      </c>
      <c r="BF680" s="3" t="s">
        <v>6549</v>
      </c>
      <c r="BG680" s="3" t="s">
        <v>6550</v>
      </c>
    </row>
    <row r="681" spans="1:59" ht="57" x14ac:dyDescent="0.45">
      <c r="A681" s="2" t="s">
        <v>59</v>
      </c>
      <c r="B681" s="2" t="s">
        <v>60</v>
      </c>
      <c r="C681" s="2" t="s">
        <v>6551</v>
      </c>
      <c r="D681" s="2" t="s">
        <v>6552</v>
      </c>
      <c r="E681" s="2" t="s">
        <v>6553</v>
      </c>
      <c r="G681" s="3" t="s">
        <v>62</v>
      </c>
      <c r="I681" s="3" t="s">
        <v>61</v>
      </c>
      <c r="J681" s="3" t="s">
        <v>62</v>
      </c>
      <c r="K681" s="3" t="s">
        <v>63</v>
      </c>
      <c r="L681" s="2" t="s">
        <v>6554</v>
      </c>
      <c r="M681" s="2" t="s">
        <v>6555</v>
      </c>
      <c r="N681" s="3" t="s">
        <v>793</v>
      </c>
      <c r="P681" s="3" t="s">
        <v>65</v>
      </c>
      <c r="Q681" s="2" t="s">
        <v>6556</v>
      </c>
      <c r="R681" s="3" t="s">
        <v>66</v>
      </c>
      <c r="S681" s="4">
        <v>0</v>
      </c>
      <c r="T681" s="4">
        <v>51</v>
      </c>
      <c r="V681" s="5" t="s">
        <v>6557</v>
      </c>
      <c r="W681" s="5" t="s">
        <v>67</v>
      </c>
      <c r="X681" s="5" t="s">
        <v>67</v>
      </c>
      <c r="Y681" s="4">
        <v>396</v>
      </c>
      <c r="Z681" s="4">
        <v>43</v>
      </c>
      <c r="AA681" s="4">
        <v>51</v>
      </c>
      <c r="AB681" s="4">
        <v>2</v>
      </c>
      <c r="AC681" s="4">
        <v>8</v>
      </c>
      <c r="AD681" s="4">
        <v>91</v>
      </c>
      <c r="AE681" s="4">
        <v>97</v>
      </c>
      <c r="AF681" s="4">
        <v>1</v>
      </c>
      <c r="AG681" s="4">
        <v>5</v>
      </c>
      <c r="AH681" s="4">
        <v>70</v>
      </c>
      <c r="AI681" s="4">
        <v>72</v>
      </c>
      <c r="AJ681" s="4">
        <v>20</v>
      </c>
      <c r="AK681" s="4">
        <v>24</v>
      </c>
      <c r="AL681" s="4">
        <v>38</v>
      </c>
      <c r="AM681" s="4">
        <v>38</v>
      </c>
      <c r="AN681" s="4">
        <v>0</v>
      </c>
      <c r="AO681" s="4">
        <v>0</v>
      </c>
      <c r="AP681" s="4">
        <v>33</v>
      </c>
      <c r="AQ681" s="4">
        <v>37</v>
      </c>
      <c r="AR681" s="3" t="s">
        <v>62</v>
      </c>
      <c r="AS681" s="3" t="s">
        <v>62</v>
      </c>
      <c r="AT681" s="3" t="s">
        <v>61</v>
      </c>
      <c r="AU681" s="6" t="str">
        <f>HYPERLINK("http://catalog.hathitrust.org/Record/000009080","HathiTrust Record")</f>
        <v>HathiTrust Record</v>
      </c>
      <c r="AV681" s="6" t="str">
        <f>HYPERLINK("http://mcgill.on.worldcat.org/oclc/651225","Catalog Record")</f>
        <v>Catalog Record</v>
      </c>
      <c r="AW681" s="6" t="str">
        <f>HYPERLINK("http://www.worldcat.org/oclc/651225","WorldCat Record")</f>
        <v>WorldCat Record</v>
      </c>
      <c r="AX681" s="3" t="s">
        <v>6558</v>
      </c>
      <c r="AY681" s="3" t="s">
        <v>6559</v>
      </c>
      <c r="AZ681" s="3" t="s">
        <v>6560</v>
      </c>
      <c r="BA681" s="3" t="s">
        <v>6560</v>
      </c>
      <c r="BB681" s="3" t="s">
        <v>6561</v>
      </c>
      <c r="BC681" s="3" t="s">
        <v>142</v>
      </c>
      <c r="BD681" s="3" t="s">
        <v>68</v>
      </c>
      <c r="BE681" s="3" t="s">
        <v>6562</v>
      </c>
      <c r="BF681" s="3" t="s">
        <v>6561</v>
      </c>
      <c r="BG681" s="3" t="s">
        <v>6563</v>
      </c>
    </row>
    <row r="682" spans="1:59" ht="57" x14ac:dyDescent="0.45">
      <c r="A682" s="2" t="s">
        <v>59</v>
      </c>
      <c r="B682" s="2" t="s">
        <v>60</v>
      </c>
      <c r="C682" s="2" t="s">
        <v>6551</v>
      </c>
      <c r="D682" s="2" t="s">
        <v>6552</v>
      </c>
      <c r="E682" s="2" t="s">
        <v>6553</v>
      </c>
      <c r="G682" s="3" t="s">
        <v>62</v>
      </c>
      <c r="I682" s="3" t="s">
        <v>61</v>
      </c>
      <c r="J682" s="3" t="s">
        <v>62</v>
      </c>
      <c r="K682" s="3" t="s">
        <v>63</v>
      </c>
      <c r="L682" s="2" t="s">
        <v>6554</v>
      </c>
      <c r="M682" s="2" t="s">
        <v>6555</v>
      </c>
      <c r="N682" s="3" t="s">
        <v>793</v>
      </c>
      <c r="P682" s="3" t="s">
        <v>65</v>
      </c>
      <c r="Q682" s="2" t="s">
        <v>6556</v>
      </c>
      <c r="R682" s="3" t="s">
        <v>66</v>
      </c>
      <c r="S682" s="4">
        <v>2</v>
      </c>
      <c r="T682" s="4">
        <v>51</v>
      </c>
      <c r="U682" s="5" t="s">
        <v>6564</v>
      </c>
      <c r="V682" s="5" t="s">
        <v>6557</v>
      </c>
      <c r="W682" s="5" t="s">
        <v>67</v>
      </c>
      <c r="X682" s="5" t="s">
        <v>67</v>
      </c>
      <c r="Y682" s="4">
        <v>396</v>
      </c>
      <c r="Z682" s="4">
        <v>43</v>
      </c>
      <c r="AA682" s="4">
        <v>51</v>
      </c>
      <c r="AB682" s="4">
        <v>2</v>
      </c>
      <c r="AC682" s="4">
        <v>8</v>
      </c>
      <c r="AD682" s="4">
        <v>91</v>
      </c>
      <c r="AE682" s="4">
        <v>97</v>
      </c>
      <c r="AF682" s="4">
        <v>1</v>
      </c>
      <c r="AG682" s="4">
        <v>5</v>
      </c>
      <c r="AH682" s="4">
        <v>70</v>
      </c>
      <c r="AI682" s="4">
        <v>72</v>
      </c>
      <c r="AJ682" s="4">
        <v>20</v>
      </c>
      <c r="AK682" s="4">
        <v>24</v>
      </c>
      <c r="AL682" s="4">
        <v>38</v>
      </c>
      <c r="AM682" s="4">
        <v>38</v>
      </c>
      <c r="AN682" s="4">
        <v>0</v>
      </c>
      <c r="AO682" s="4">
        <v>0</v>
      </c>
      <c r="AP682" s="4">
        <v>33</v>
      </c>
      <c r="AQ682" s="4">
        <v>37</v>
      </c>
      <c r="AR682" s="3" t="s">
        <v>62</v>
      </c>
      <c r="AS682" s="3" t="s">
        <v>62</v>
      </c>
      <c r="AT682" s="3" t="s">
        <v>61</v>
      </c>
      <c r="AU682" s="6" t="str">
        <f>HYPERLINK("http://catalog.hathitrust.org/Record/000009080","HathiTrust Record")</f>
        <v>HathiTrust Record</v>
      </c>
      <c r="AV682" s="6" t="str">
        <f>HYPERLINK("http://mcgill.on.worldcat.org/oclc/651225","Catalog Record")</f>
        <v>Catalog Record</v>
      </c>
      <c r="AW682" s="6" t="str">
        <f>HYPERLINK("http://www.worldcat.org/oclc/651225","WorldCat Record")</f>
        <v>WorldCat Record</v>
      </c>
      <c r="AX682" s="3" t="s">
        <v>6558</v>
      </c>
      <c r="AY682" s="3" t="s">
        <v>6559</v>
      </c>
      <c r="AZ682" s="3" t="s">
        <v>6560</v>
      </c>
      <c r="BA682" s="3" t="s">
        <v>6560</v>
      </c>
      <c r="BB682" s="3" t="s">
        <v>6565</v>
      </c>
      <c r="BC682" s="3" t="s">
        <v>142</v>
      </c>
      <c r="BD682" s="3" t="s">
        <v>68</v>
      </c>
      <c r="BE682" s="3" t="s">
        <v>6562</v>
      </c>
      <c r="BF682" s="3" t="s">
        <v>6565</v>
      </c>
      <c r="BG682" s="3" t="s">
        <v>6566</v>
      </c>
    </row>
    <row r="683" spans="1:59" ht="57" x14ac:dyDescent="0.45">
      <c r="A683" s="2" t="s">
        <v>59</v>
      </c>
      <c r="B683" s="2" t="s">
        <v>60</v>
      </c>
      <c r="C683" s="2" t="s">
        <v>6551</v>
      </c>
      <c r="D683" s="2" t="s">
        <v>6552</v>
      </c>
      <c r="E683" s="2" t="s">
        <v>6553</v>
      </c>
      <c r="G683" s="3" t="s">
        <v>62</v>
      </c>
      <c r="I683" s="3" t="s">
        <v>61</v>
      </c>
      <c r="J683" s="3" t="s">
        <v>62</v>
      </c>
      <c r="K683" s="3" t="s">
        <v>63</v>
      </c>
      <c r="L683" s="2" t="s">
        <v>6554</v>
      </c>
      <c r="M683" s="2" t="s">
        <v>6555</v>
      </c>
      <c r="N683" s="3" t="s">
        <v>793</v>
      </c>
      <c r="P683" s="3" t="s">
        <v>65</v>
      </c>
      <c r="Q683" s="2" t="s">
        <v>6556</v>
      </c>
      <c r="R683" s="3" t="s">
        <v>66</v>
      </c>
      <c r="S683" s="4">
        <v>34</v>
      </c>
      <c r="T683" s="4">
        <v>51</v>
      </c>
      <c r="U683" s="5" t="s">
        <v>6557</v>
      </c>
      <c r="V683" s="5" t="s">
        <v>6557</v>
      </c>
      <c r="W683" s="5" t="s">
        <v>67</v>
      </c>
      <c r="X683" s="5" t="s">
        <v>67</v>
      </c>
      <c r="Y683" s="4">
        <v>396</v>
      </c>
      <c r="Z683" s="4">
        <v>43</v>
      </c>
      <c r="AA683" s="4">
        <v>51</v>
      </c>
      <c r="AB683" s="4">
        <v>2</v>
      </c>
      <c r="AC683" s="4">
        <v>8</v>
      </c>
      <c r="AD683" s="4">
        <v>91</v>
      </c>
      <c r="AE683" s="4">
        <v>97</v>
      </c>
      <c r="AF683" s="4">
        <v>1</v>
      </c>
      <c r="AG683" s="4">
        <v>5</v>
      </c>
      <c r="AH683" s="4">
        <v>70</v>
      </c>
      <c r="AI683" s="4">
        <v>72</v>
      </c>
      <c r="AJ683" s="4">
        <v>20</v>
      </c>
      <c r="AK683" s="4">
        <v>24</v>
      </c>
      <c r="AL683" s="4">
        <v>38</v>
      </c>
      <c r="AM683" s="4">
        <v>38</v>
      </c>
      <c r="AN683" s="4">
        <v>0</v>
      </c>
      <c r="AO683" s="4">
        <v>0</v>
      </c>
      <c r="AP683" s="4">
        <v>33</v>
      </c>
      <c r="AQ683" s="4">
        <v>37</v>
      </c>
      <c r="AR683" s="3" t="s">
        <v>62</v>
      </c>
      <c r="AS683" s="3" t="s">
        <v>62</v>
      </c>
      <c r="AT683" s="3" t="s">
        <v>61</v>
      </c>
      <c r="AU683" s="6" t="str">
        <f>HYPERLINK("http://catalog.hathitrust.org/Record/000009080","HathiTrust Record")</f>
        <v>HathiTrust Record</v>
      </c>
      <c r="AV683" s="6" t="str">
        <f>HYPERLINK("http://mcgill.on.worldcat.org/oclc/651225","Catalog Record")</f>
        <v>Catalog Record</v>
      </c>
      <c r="AW683" s="6" t="str">
        <f>HYPERLINK("http://www.worldcat.org/oclc/651225","WorldCat Record")</f>
        <v>WorldCat Record</v>
      </c>
      <c r="AX683" s="3" t="s">
        <v>6558</v>
      </c>
      <c r="AY683" s="3" t="s">
        <v>6559</v>
      </c>
      <c r="AZ683" s="3" t="s">
        <v>6560</v>
      </c>
      <c r="BA683" s="3" t="s">
        <v>6560</v>
      </c>
      <c r="BB683" s="3" t="s">
        <v>6567</v>
      </c>
      <c r="BC683" s="3" t="s">
        <v>142</v>
      </c>
      <c r="BD683" s="3" t="s">
        <v>68</v>
      </c>
      <c r="BE683" s="3" t="s">
        <v>6562</v>
      </c>
      <c r="BF683" s="3" t="s">
        <v>6567</v>
      </c>
      <c r="BG683" s="3" t="s">
        <v>6568</v>
      </c>
    </row>
    <row r="684" spans="1:59" ht="57" x14ac:dyDescent="0.45">
      <c r="A684" s="2" t="s">
        <v>59</v>
      </c>
      <c r="B684" s="2" t="s">
        <v>60</v>
      </c>
      <c r="C684" s="2" t="s">
        <v>6551</v>
      </c>
      <c r="D684" s="2" t="s">
        <v>6552</v>
      </c>
      <c r="E684" s="2" t="s">
        <v>6553</v>
      </c>
      <c r="G684" s="3" t="s">
        <v>62</v>
      </c>
      <c r="I684" s="3" t="s">
        <v>61</v>
      </c>
      <c r="J684" s="3" t="s">
        <v>62</v>
      </c>
      <c r="K684" s="3" t="s">
        <v>63</v>
      </c>
      <c r="L684" s="2" t="s">
        <v>6554</v>
      </c>
      <c r="M684" s="2" t="s">
        <v>6555</v>
      </c>
      <c r="N684" s="3" t="s">
        <v>793</v>
      </c>
      <c r="P684" s="3" t="s">
        <v>65</v>
      </c>
      <c r="Q684" s="2" t="s">
        <v>6556</v>
      </c>
      <c r="R684" s="3" t="s">
        <v>66</v>
      </c>
      <c r="S684" s="4">
        <v>7</v>
      </c>
      <c r="T684" s="4">
        <v>51</v>
      </c>
      <c r="U684" s="5" t="s">
        <v>6569</v>
      </c>
      <c r="V684" s="5" t="s">
        <v>6557</v>
      </c>
      <c r="W684" s="5" t="s">
        <v>67</v>
      </c>
      <c r="X684" s="5" t="s">
        <v>67</v>
      </c>
      <c r="Y684" s="4">
        <v>396</v>
      </c>
      <c r="Z684" s="4">
        <v>43</v>
      </c>
      <c r="AA684" s="4">
        <v>51</v>
      </c>
      <c r="AB684" s="4">
        <v>2</v>
      </c>
      <c r="AC684" s="4">
        <v>8</v>
      </c>
      <c r="AD684" s="4">
        <v>91</v>
      </c>
      <c r="AE684" s="4">
        <v>97</v>
      </c>
      <c r="AF684" s="4">
        <v>1</v>
      </c>
      <c r="AG684" s="4">
        <v>5</v>
      </c>
      <c r="AH684" s="4">
        <v>70</v>
      </c>
      <c r="AI684" s="4">
        <v>72</v>
      </c>
      <c r="AJ684" s="4">
        <v>20</v>
      </c>
      <c r="AK684" s="4">
        <v>24</v>
      </c>
      <c r="AL684" s="4">
        <v>38</v>
      </c>
      <c r="AM684" s="4">
        <v>38</v>
      </c>
      <c r="AN684" s="4">
        <v>0</v>
      </c>
      <c r="AO684" s="4">
        <v>0</v>
      </c>
      <c r="AP684" s="4">
        <v>33</v>
      </c>
      <c r="AQ684" s="4">
        <v>37</v>
      </c>
      <c r="AR684" s="3" t="s">
        <v>62</v>
      </c>
      <c r="AS684" s="3" t="s">
        <v>62</v>
      </c>
      <c r="AT684" s="3" t="s">
        <v>61</v>
      </c>
      <c r="AU684" s="6" t="str">
        <f>HYPERLINK("http://catalog.hathitrust.org/Record/000009080","HathiTrust Record")</f>
        <v>HathiTrust Record</v>
      </c>
      <c r="AV684" s="6" t="str">
        <f>HYPERLINK("http://mcgill.on.worldcat.org/oclc/651225","Catalog Record")</f>
        <v>Catalog Record</v>
      </c>
      <c r="AW684" s="6" t="str">
        <f>HYPERLINK("http://www.worldcat.org/oclc/651225","WorldCat Record")</f>
        <v>WorldCat Record</v>
      </c>
      <c r="AX684" s="3" t="s">
        <v>6558</v>
      </c>
      <c r="AY684" s="3" t="s">
        <v>6559</v>
      </c>
      <c r="AZ684" s="3" t="s">
        <v>6560</v>
      </c>
      <c r="BA684" s="3" t="s">
        <v>6560</v>
      </c>
      <c r="BB684" s="3" t="s">
        <v>6570</v>
      </c>
      <c r="BC684" s="3" t="s">
        <v>142</v>
      </c>
      <c r="BD684" s="3" t="s">
        <v>68</v>
      </c>
      <c r="BE684" s="3" t="s">
        <v>6562</v>
      </c>
      <c r="BF684" s="3" t="s">
        <v>6570</v>
      </c>
      <c r="BG684" s="3" t="s">
        <v>6571</v>
      </c>
    </row>
    <row r="685" spans="1:59" ht="57" x14ac:dyDescent="0.45">
      <c r="A685" s="2" t="s">
        <v>59</v>
      </c>
      <c r="B685" s="2" t="s">
        <v>60</v>
      </c>
      <c r="C685" s="2" t="s">
        <v>6551</v>
      </c>
      <c r="D685" s="2" t="s">
        <v>6552</v>
      </c>
      <c r="E685" s="2" t="s">
        <v>6553</v>
      </c>
      <c r="G685" s="3" t="s">
        <v>62</v>
      </c>
      <c r="I685" s="3" t="s">
        <v>61</v>
      </c>
      <c r="J685" s="3" t="s">
        <v>62</v>
      </c>
      <c r="K685" s="3" t="s">
        <v>63</v>
      </c>
      <c r="L685" s="2" t="s">
        <v>6554</v>
      </c>
      <c r="M685" s="2" t="s">
        <v>6555</v>
      </c>
      <c r="N685" s="3" t="s">
        <v>793</v>
      </c>
      <c r="P685" s="3" t="s">
        <v>65</v>
      </c>
      <c r="Q685" s="2" t="s">
        <v>6556</v>
      </c>
      <c r="R685" s="3" t="s">
        <v>66</v>
      </c>
      <c r="S685" s="4">
        <v>8</v>
      </c>
      <c r="T685" s="4">
        <v>51</v>
      </c>
      <c r="U685" s="5" t="s">
        <v>6572</v>
      </c>
      <c r="V685" s="5" t="s">
        <v>6557</v>
      </c>
      <c r="W685" s="5" t="s">
        <v>67</v>
      </c>
      <c r="X685" s="5" t="s">
        <v>67</v>
      </c>
      <c r="Y685" s="4">
        <v>396</v>
      </c>
      <c r="Z685" s="4">
        <v>43</v>
      </c>
      <c r="AA685" s="4">
        <v>51</v>
      </c>
      <c r="AB685" s="4">
        <v>2</v>
      </c>
      <c r="AC685" s="4">
        <v>8</v>
      </c>
      <c r="AD685" s="4">
        <v>91</v>
      </c>
      <c r="AE685" s="4">
        <v>97</v>
      </c>
      <c r="AF685" s="4">
        <v>1</v>
      </c>
      <c r="AG685" s="4">
        <v>5</v>
      </c>
      <c r="AH685" s="4">
        <v>70</v>
      </c>
      <c r="AI685" s="4">
        <v>72</v>
      </c>
      <c r="AJ685" s="4">
        <v>20</v>
      </c>
      <c r="AK685" s="4">
        <v>24</v>
      </c>
      <c r="AL685" s="4">
        <v>38</v>
      </c>
      <c r="AM685" s="4">
        <v>38</v>
      </c>
      <c r="AN685" s="4">
        <v>0</v>
      </c>
      <c r="AO685" s="4">
        <v>0</v>
      </c>
      <c r="AP685" s="4">
        <v>33</v>
      </c>
      <c r="AQ685" s="4">
        <v>37</v>
      </c>
      <c r="AR685" s="3" t="s">
        <v>62</v>
      </c>
      <c r="AS685" s="3" t="s">
        <v>62</v>
      </c>
      <c r="AT685" s="3" t="s">
        <v>61</v>
      </c>
      <c r="AU685" s="6" t="str">
        <f>HYPERLINK("http://catalog.hathitrust.org/Record/000009080","HathiTrust Record")</f>
        <v>HathiTrust Record</v>
      </c>
      <c r="AV685" s="6" t="str">
        <f>HYPERLINK("http://mcgill.on.worldcat.org/oclc/651225","Catalog Record")</f>
        <v>Catalog Record</v>
      </c>
      <c r="AW685" s="6" t="str">
        <f>HYPERLINK("http://www.worldcat.org/oclc/651225","WorldCat Record")</f>
        <v>WorldCat Record</v>
      </c>
      <c r="AX685" s="3" t="s">
        <v>6558</v>
      </c>
      <c r="AY685" s="3" t="s">
        <v>6559</v>
      </c>
      <c r="AZ685" s="3" t="s">
        <v>6560</v>
      </c>
      <c r="BA685" s="3" t="s">
        <v>6560</v>
      </c>
      <c r="BB685" s="3" t="s">
        <v>6573</v>
      </c>
      <c r="BC685" s="3" t="s">
        <v>142</v>
      </c>
      <c r="BD685" s="3" t="s">
        <v>68</v>
      </c>
      <c r="BE685" s="3" t="s">
        <v>6562</v>
      </c>
      <c r="BF685" s="3" t="s">
        <v>6573</v>
      </c>
      <c r="BG685" s="3" t="s">
        <v>6574</v>
      </c>
    </row>
    <row r="686" spans="1:59" ht="57" x14ac:dyDescent="0.45">
      <c r="A686" s="2" t="s">
        <v>59</v>
      </c>
      <c r="B686" s="2" t="s">
        <v>60</v>
      </c>
      <c r="C686" s="2" t="s">
        <v>6575</v>
      </c>
      <c r="D686" s="2" t="s">
        <v>6576</v>
      </c>
      <c r="E686" s="2" t="s">
        <v>6577</v>
      </c>
      <c r="G686" s="3" t="s">
        <v>62</v>
      </c>
      <c r="I686" s="3" t="s">
        <v>61</v>
      </c>
      <c r="J686" s="3" t="s">
        <v>62</v>
      </c>
      <c r="K686" s="3" t="s">
        <v>63</v>
      </c>
      <c r="M686" s="2" t="s">
        <v>6578</v>
      </c>
      <c r="N686" s="3" t="s">
        <v>220</v>
      </c>
      <c r="O686" s="2" t="s">
        <v>6579</v>
      </c>
      <c r="P686" s="3" t="s">
        <v>65</v>
      </c>
      <c r="R686" s="3" t="s">
        <v>66</v>
      </c>
      <c r="S686" s="4">
        <v>20</v>
      </c>
      <c r="T686" s="4">
        <v>32</v>
      </c>
      <c r="U686" s="5" t="s">
        <v>3809</v>
      </c>
      <c r="V686" s="5" t="s">
        <v>6580</v>
      </c>
      <c r="W686" s="5" t="s">
        <v>67</v>
      </c>
      <c r="X686" s="5" t="s">
        <v>67</v>
      </c>
      <c r="Y686" s="4">
        <v>620</v>
      </c>
      <c r="Z686" s="4">
        <v>38</v>
      </c>
      <c r="AA686" s="4">
        <v>59</v>
      </c>
      <c r="AB686" s="4">
        <v>3</v>
      </c>
      <c r="AC686" s="4">
        <v>11</v>
      </c>
      <c r="AD686" s="4">
        <v>123</v>
      </c>
      <c r="AE686" s="4">
        <v>138</v>
      </c>
      <c r="AF686" s="4">
        <v>1</v>
      </c>
      <c r="AG686" s="4">
        <v>5</v>
      </c>
      <c r="AH686" s="4">
        <v>106</v>
      </c>
      <c r="AI686" s="4">
        <v>110</v>
      </c>
      <c r="AJ686" s="4">
        <v>20</v>
      </c>
      <c r="AK686" s="4">
        <v>25</v>
      </c>
      <c r="AL686" s="4">
        <v>55</v>
      </c>
      <c r="AM686" s="4">
        <v>57</v>
      </c>
      <c r="AN686" s="4">
        <v>0</v>
      </c>
      <c r="AO686" s="4">
        <v>0</v>
      </c>
      <c r="AP686" s="4">
        <v>27</v>
      </c>
      <c r="AQ686" s="4">
        <v>38</v>
      </c>
      <c r="AR686" s="3" t="s">
        <v>62</v>
      </c>
      <c r="AS686" s="3" t="s">
        <v>62</v>
      </c>
      <c r="AT686" s="3" t="s">
        <v>61</v>
      </c>
      <c r="AU686" s="6" t="str">
        <f>HYPERLINK("http://catalog.hathitrust.org/Record/001434656","HathiTrust Record")</f>
        <v>HathiTrust Record</v>
      </c>
      <c r="AV686" s="6" t="str">
        <f>HYPERLINK("http://mcgill.on.worldcat.org/oclc/277196","Catalog Record")</f>
        <v>Catalog Record</v>
      </c>
      <c r="AW686" s="6" t="str">
        <f>HYPERLINK("http://www.worldcat.org/oclc/277196","WorldCat Record")</f>
        <v>WorldCat Record</v>
      </c>
      <c r="AX686" s="3" t="s">
        <v>6581</v>
      </c>
      <c r="AY686" s="3" t="s">
        <v>6582</v>
      </c>
      <c r="AZ686" s="3" t="s">
        <v>6583</v>
      </c>
      <c r="BA686" s="3" t="s">
        <v>6583</v>
      </c>
      <c r="BB686" s="3" t="s">
        <v>6584</v>
      </c>
      <c r="BC686" s="3" t="s">
        <v>142</v>
      </c>
      <c r="BD686" s="3" t="s">
        <v>68</v>
      </c>
      <c r="BE686" s="3" t="s">
        <v>6585</v>
      </c>
      <c r="BF686" s="3" t="s">
        <v>6584</v>
      </c>
      <c r="BG686" s="3" t="s">
        <v>6586</v>
      </c>
    </row>
    <row r="687" spans="1:59" ht="57" x14ac:dyDescent="0.45">
      <c r="A687" s="2" t="s">
        <v>59</v>
      </c>
      <c r="B687" s="2" t="s">
        <v>60</v>
      </c>
      <c r="C687" s="2" t="s">
        <v>6575</v>
      </c>
      <c r="D687" s="2" t="s">
        <v>6576</v>
      </c>
      <c r="E687" s="2" t="s">
        <v>6577</v>
      </c>
      <c r="G687" s="3" t="s">
        <v>62</v>
      </c>
      <c r="I687" s="3" t="s">
        <v>61</v>
      </c>
      <c r="J687" s="3" t="s">
        <v>62</v>
      </c>
      <c r="K687" s="3" t="s">
        <v>63</v>
      </c>
      <c r="M687" s="2" t="s">
        <v>6578</v>
      </c>
      <c r="N687" s="3" t="s">
        <v>220</v>
      </c>
      <c r="O687" s="2" t="s">
        <v>6579</v>
      </c>
      <c r="P687" s="3" t="s">
        <v>65</v>
      </c>
      <c r="R687" s="3" t="s">
        <v>66</v>
      </c>
      <c r="S687" s="4">
        <v>10</v>
      </c>
      <c r="T687" s="4">
        <v>32</v>
      </c>
      <c r="U687" s="5" t="s">
        <v>6580</v>
      </c>
      <c r="V687" s="5" t="s">
        <v>6580</v>
      </c>
      <c r="W687" s="5" t="s">
        <v>67</v>
      </c>
      <c r="X687" s="5" t="s">
        <v>67</v>
      </c>
      <c r="Y687" s="4">
        <v>620</v>
      </c>
      <c r="Z687" s="4">
        <v>38</v>
      </c>
      <c r="AA687" s="4">
        <v>59</v>
      </c>
      <c r="AB687" s="4">
        <v>3</v>
      </c>
      <c r="AC687" s="4">
        <v>11</v>
      </c>
      <c r="AD687" s="4">
        <v>123</v>
      </c>
      <c r="AE687" s="4">
        <v>138</v>
      </c>
      <c r="AF687" s="4">
        <v>1</v>
      </c>
      <c r="AG687" s="4">
        <v>5</v>
      </c>
      <c r="AH687" s="4">
        <v>106</v>
      </c>
      <c r="AI687" s="4">
        <v>110</v>
      </c>
      <c r="AJ687" s="4">
        <v>20</v>
      </c>
      <c r="AK687" s="4">
        <v>25</v>
      </c>
      <c r="AL687" s="4">
        <v>55</v>
      </c>
      <c r="AM687" s="4">
        <v>57</v>
      </c>
      <c r="AN687" s="4">
        <v>0</v>
      </c>
      <c r="AO687" s="4">
        <v>0</v>
      </c>
      <c r="AP687" s="4">
        <v>27</v>
      </c>
      <c r="AQ687" s="4">
        <v>38</v>
      </c>
      <c r="AR687" s="3" t="s">
        <v>62</v>
      </c>
      <c r="AS687" s="3" t="s">
        <v>62</v>
      </c>
      <c r="AT687" s="3" t="s">
        <v>61</v>
      </c>
      <c r="AU687" s="6" t="str">
        <f>HYPERLINK("http://catalog.hathitrust.org/Record/001434656","HathiTrust Record")</f>
        <v>HathiTrust Record</v>
      </c>
      <c r="AV687" s="6" t="str">
        <f>HYPERLINK("http://mcgill.on.worldcat.org/oclc/277196","Catalog Record")</f>
        <v>Catalog Record</v>
      </c>
      <c r="AW687" s="6" t="str">
        <f>HYPERLINK("http://www.worldcat.org/oclc/277196","WorldCat Record")</f>
        <v>WorldCat Record</v>
      </c>
      <c r="AX687" s="3" t="s">
        <v>6581</v>
      </c>
      <c r="AY687" s="3" t="s">
        <v>6582</v>
      </c>
      <c r="AZ687" s="3" t="s">
        <v>6583</v>
      </c>
      <c r="BA687" s="3" t="s">
        <v>6583</v>
      </c>
      <c r="BB687" s="3" t="s">
        <v>6587</v>
      </c>
      <c r="BC687" s="3" t="s">
        <v>142</v>
      </c>
      <c r="BD687" s="3" t="s">
        <v>68</v>
      </c>
      <c r="BE687" s="3" t="s">
        <v>6585</v>
      </c>
      <c r="BF687" s="3" t="s">
        <v>6587</v>
      </c>
      <c r="BG687" s="3" t="s">
        <v>6588</v>
      </c>
    </row>
    <row r="688" spans="1:59" ht="57" x14ac:dyDescent="0.45">
      <c r="A688" s="2" t="s">
        <v>59</v>
      </c>
      <c r="B688" s="2" t="s">
        <v>60</v>
      </c>
      <c r="C688" s="2" t="s">
        <v>6575</v>
      </c>
      <c r="D688" s="2" t="s">
        <v>6576</v>
      </c>
      <c r="E688" s="2" t="s">
        <v>6577</v>
      </c>
      <c r="G688" s="3" t="s">
        <v>62</v>
      </c>
      <c r="I688" s="3" t="s">
        <v>61</v>
      </c>
      <c r="J688" s="3" t="s">
        <v>62</v>
      </c>
      <c r="K688" s="3" t="s">
        <v>63</v>
      </c>
      <c r="M688" s="2" t="s">
        <v>6578</v>
      </c>
      <c r="N688" s="3" t="s">
        <v>220</v>
      </c>
      <c r="O688" s="2" t="s">
        <v>6579</v>
      </c>
      <c r="P688" s="3" t="s">
        <v>65</v>
      </c>
      <c r="R688" s="3" t="s">
        <v>66</v>
      </c>
      <c r="S688" s="4">
        <v>2</v>
      </c>
      <c r="T688" s="4">
        <v>32</v>
      </c>
      <c r="U688" s="5" t="s">
        <v>6589</v>
      </c>
      <c r="V688" s="5" t="s">
        <v>6580</v>
      </c>
      <c r="W688" s="5" t="s">
        <v>67</v>
      </c>
      <c r="X688" s="5" t="s">
        <v>67</v>
      </c>
      <c r="Y688" s="4">
        <v>620</v>
      </c>
      <c r="Z688" s="4">
        <v>38</v>
      </c>
      <c r="AA688" s="4">
        <v>59</v>
      </c>
      <c r="AB688" s="4">
        <v>3</v>
      </c>
      <c r="AC688" s="4">
        <v>11</v>
      </c>
      <c r="AD688" s="4">
        <v>123</v>
      </c>
      <c r="AE688" s="4">
        <v>138</v>
      </c>
      <c r="AF688" s="4">
        <v>1</v>
      </c>
      <c r="AG688" s="4">
        <v>5</v>
      </c>
      <c r="AH688" s="4">
        <v>106</v>
      </c>
      <c r="AI688" s="4">
        <v>110</v>
      </c>
      <c r="AJ688" s="4">
        <v>20</v>
      </c>
      <c r="AK688" s="4">
        <v>25</v>
      </c>
      <c r="AL688" s="4">
        <v>55</v>
      </c>
      <c r="AM688" s="4">
        <v>57</v>
      </c>
      <c r="AN688" s="4">
        <v>0</v>
      </c>
      <c r="AO688" s="4">
        <v>0</v>
      </c>
      <c r="AP688" s="4">
        <v>27</v>
      </c>
      <c r="AQ688" s="4">
        <v>38</v>
      </c>
      <c r="AR688" s="3" t="s">
        <v>62</v>
      </c>
      <c r="AS688" s="3" t="s">
        <v>62</v>
      </c>
      <c r="AT688" s="3" t="s">
        <v>61</v>
      </c>
      <c r="AU688" s="6" t="str">
        <f>HYPERLINK("http://catalog.hathitrust.org/Record/001434656","HathiTrust Record")</f>
        <v>HathiTrust Record</v>
      </c>
      <c r="AV688" s="6" t="str">
        <f>HYPERLINK("http://mcgill.on.worldcat.org/oclc/277196","Catalog Record")</f>
        <v>Catalog Record</v>
      </c>
      <c r="AW688" s="6" t="str">
        <f>HYPERLINK("http://www.worldcat.org/oclc/277196","WorldCat Record")</f>
        <v>WorldCat Record</v>
      </c>
      <c r="AX688" s="3" t="s">
        <v>6581</v>
      </c>
      <c r="AY688" s="3" t="s">
        <v>6582</v>
      </c>
      <c r="AZ688" s="3" t="s">
        <v>6583</v>
      </c>
      <c r="BA688" s="3" t="s">
        <v>6583</v>
      </c>
      <c r="BB688" s="3" t="s">
        <v>6590</v>
      </c>
      <c r="BC688" s="3" t="s">
        <v>142</v>
      </c>
      <c r="BD688" s="3" t="s">
        <v>68</v>
      </c>
      <c r="BE688" s="3" t="s">
        <v>6585</v>
      </c>
      <c r="BF688" s="3" t="s">
        <v>6590</v>
      </c>
      <c r="BG688" s="3" t="s">
        <v>6591</v>
      </c>
    </row>
    <row r="689" spans="1:59" ht="57" x14ac:dyDescent="0.45">
      <c r="A689" s="2" t="s">
        <v>59</v>
      </c>
      <c r="B689" s="2" t="s">
        <v>60</v>
      </c>
      <c r="C689" s="2" t="s">
        <v>6592</v>
      </c>
      <c r="D689" s="2" t="s">
        <v>6593</v>
      </c>
      <c r="E689" s="2" t="s">
        <v>6594</v>
      </c>
      <c r="G689" s="3" t="s">
        <v>62</v>
      </c>
      <c r="I689" s="3" t="s">
        <v>62</v>
      </c>
      <c r="J689" s="3" t="s">
        <v>62</v>
      </c>
      <c r="K689" s="3" t="s">
        <v>63</v>
      </c>
      <c r="L689" s="2" t="s">
        <v>6595</v>
      </c>
      <c r="M689" s="2" t="s">
        <v>6596</v>
      </c>
      <c r="N689" s="3" t="s">
        <v>5180</v>
      </c>
      <c r="P689" s="3" t="s">
        <v>110</v>
      </c>
      <c r="Q689" s="2" t="s">
        <v>6597</v>
      </c>
      <c r="R689" s="3" t="s">
        <v>66</v>
      </c>
      <c r="S689" s="4">
        <v>1</v>
      </c>
      <c r="T689" s="4">
        <v>1</v>
      </c>
      <c r="U689" s="5" t="s">
        <v>3449</v>
      </c>
      <c r="V689" s="5" t="s">
        <v>3449</v>
      </c>
      <c r="W689" s="5" t="s">
        <v>67</v>
      </c>
      <c r="X689" s="5" t="s">
        <v>67</v>
      </c>
      <c r="Y689" s="4">
        <v>37</v>
      </c>
      <c r="Z689" s="4">
        <v>4</v>
      </c>
      <c r="AA689" s="4">
        <v>7</v>
      </c>
      <c r="AB689" s="4">
        <v>1</v>
      </c>
      <c r="AC689" s="4">
        <v>3</v>
      </c>
      <c r="AD689" s="4">
        <v>28</v>
      </c>
      <c r="AE689" s="4">
        <v>31</v>
      </c>
      <c r="AF689" s="4">
        <v>0</v>
      </c>
      <c r="AG689" s="4">
        <v>2</v>
      </c>
      <c r="AH689" s="4">
        <v>27</v>
      </c>
      <c r="AI689" s="4">
        <v>28</v>
      </c>
      <c r="AJ689" s="4">
        <v>3</v>
      </c>
      <c r="AK689" s="4">
        <v>6</v>
      </c>
      <c r="AL689" s="4">
        <v>19</v>
      </c>
      <c r="AM689" s="4">
        <v>19</v>
      </c>
      <c r="AN689" s="4">
        <v>0</v>
      </c>
      <c r="AO689" s="4">
        <v>0</v>
      </c>
      <c r="AP689" s="4">
        <v>3</v>
      </c>
      <c r="AQ689" s="4">
        <v>6</v>
      </c>
      <c r="AR689" s="3" t="s">
        <v>62</v>
      </c>
      <c r="AS689" s="3" t="s">
        <v>62</v>
      </c>
      <c r="AT689" s="3" t="s">
        <v>62</v>
      </c>
      <c r="AV689" s="6" t="str">
        <f>HYPERLINK("http://mcgill.on.worldcat.org/oclc/1021798967","Catalog Record")</f>
        <v>Catalog Record</v>
      </c>
      <c r="AW689" s="6" t="str">
        <f>HYPERLINK("http://www.worldcat.org/oclc/1021798967","WorldCat Record")</f>
        <v>WorldCat Record</v>
      </c>
      <c r="AX689" s="3" t="s">
        <v>6598</v>
      </c>
      <c r="AY689" s="3" t="s">
        <v>6599</v>
      </c>
      <c r="AZ689" s="3" t="s">
        <v>6600</v>
      </c>
      <c r="BA689" s="3" t="s">
        <v>6600</v>
      </c>
      <c r="BB689" s="3" t="s">
        <v>6601</v>
      </c>
      <c r="BC689" s="3" t="s">
        <v>142</v>
      </c>
      <c r="BD689" s="3" t="s">
        <v>68</v>
      </c>
      <c r="BE689" s="3" t="s">
        <v>6602</v>
      </c>
      <c r="BF689" s="3" t="s">
        <v>6601</v>
      </c>
      <c r="BG689" s="3" t="s">
        <v>6603</v>
      </c>
    </row>
    <row r="690" spans="1:59" ht="57" x14ac:dyDescent="0.45">
      <c r="A690" s="2" t="s">
        <v>59</v>
      </c>
      <c r="B690" s="2" t="s">
        <v>60</v>
      </c>
      <c r="C690" s="2" t="s">
        <v>6604</v>
      </c>
      <c r="D690" s="2" t="s">
        <v>6605</v>
      </c>
      <c r="E690" s="2" t="s">
        <v>6606</v>
      </c>
      <c r="G690" s="3" t="s">
        <v>62</v>
      </c>
      <c r="I690" s="3" t="s">
        <v>62</v>
      </c>
      <c r="J690" s="3" t="s">
        <v>62</v>
      </c>
      <c r="K690" s="3" t="s">
        <v>63</v>
      </c>
      <c r="L690" s="2" t="s">
        <v>6607</v>
      </c>
      <c r="M690" s="2" t="s">
        <v>6608</v>
      </c>
      <c r="N690" s="3" t="s">
        <v>220</v>
      </c>
      <c r="P690" s="3" t="s">
        <v>65</v>
      </c>
      <c r="R690" s="3" t="s">
        <v>66</v>
      </c>
      <c r="S690" s="4">
        <v>2</v>
      </c>
      <c r="T690" s="4">
        <v>2</v>
      </c>
      <c r="U690" s="5" t="s">
        <v>6609</v>
      </c>
      <c r="V690" s="5" t="s">
        <v>6609</v>
      </c>
      <c r="W690" s="5" t="s">
        <v>67</v>
      </c>
      <c r="X690" s="5" t="s">
        <v>67</v>
      </c>
      <c r="Y690" s="4">
        <v>139</v>
      </c>
      <c r="Z690" s="4">
        <v>9</v>
      </c>
      <c r="AA690" s="4">
        <v>16</v>
      </c>
      <c r="AB690" s="4">
        <v>1</v>
      </c>
      <c r="AC690" s="4">
        <v>2</v>
      </c>
      <c r="AD690" s="4">
        <v>60</v>
      </c>
      <c r="AE690" s="4">
        <v>70</v>
      </c>
      <c r="AF690" s="4">
        <v>0</v>
      </c>
      <c r="AG690" s="4">
        <v>1</v>
      </c>
      <c r="AH690" s="4">
        <v>54</v>
      </c>
      <c r="AI690" s="4">
        <v>62</v>
      </c>
      <c r="AJ690" s="4">
        <v>5</v>
      </c>
      <c r="AK690" s="4">
        <v>12</v>
      </c>
      <c r="AL690" s="4">
        <v>33</v>
      </c>
      <c r="AM690" s="4">
        <v>35</v>
      </c>
      <c r="AN690" s="4">
        <v>0</v>
      </c>
      <c r="AO690" s="4">
        <v>0</v>
      </c>
      <c r="AP690" s="4">
        <v>7</v>
      </c>
      <c r="AQ690" s="4">
        <v>14</v>
      </c>
      <c r="AR690" s="3" t="s">
        <v>62</v>
      </c>
      <c r="AS690" s="3" t="s">
        <v>62</v>
      </c>
      <c r="AT690" s="3" t="s">
        <v>62</v>
      </c>
      <c r="AV690" s="6" t="str">
        <f>HYPERLINK("http://mcgill.on.worldcat.org/oclc/152866","Catalog Record")</f>
        <v>Catalog Record</v>
      </c>
      <c r="AW690" s="6" t="str">
        <f>HYPERLINK("http://www.worldcat.org/oclc/152866","WorldCat Record")</f>
        <v>WorldCat Record</v>
      </c>
      <c r="AX690" s="3" t="s">
        <v>6610</v>
      </c>
      <c r="AY690" s="3" t="s">
        <v>6611</v>
      </c>
      <c r="AZ690" s="3" t="s">
        <v>6612</v>
      </c>
      <c r="BA690" s="3" t="s">
        <v>6612</v>
      </c>
      <c r="BB690" s="3" t="s">
        <v>6613</v>
      </c>
      <c r="BC690" s="3" t="s">
        <v>142</v>
      </c>
      <c r="BD690" s="3" t="s">
        <v>68</v>
      </c>
      <c r="BE690" s="3" t="s">
        <v>6614</v>
      </c>
      <c r="BF690" s="3" t="s">
        <v>6613</v>
      </c>
      <c r="BG690" s="3" t="s">
        <v>6615</v>
      </c>
    </row>
    <row r="691" spans="1:59" ht="57" x14ac:dyDescent="0.45">
      <c r="A691" s="2" t="s">
        <v>59</v>
      </c>
      <c r="B691" s="2" t="s">
        <v>60</v>
      </c>
      <c r="C691" s="2" t="s">
        <v>6616</v>
      </c>
      <c r="D691" s="2" t="s">
        <v>6617</v>
      </c>
      <c r="E691" s="2" t="s">
        <v>6618</v>
      </c>
      <c r="G691" s="3" t="s">
        <v>62</v>
      </c>
      <c r="I691" s="3" t="s">
        <v>62</v>
      </c>
      <c r="J691" s="3" t="s">
        <v>62</v>
      </c>
      <c r="K691" s="3" t="s">
        <v>63</v>
      </c>
      <c r="M691" s="2" t="s">
        <v>3279</v>
      </c>
      <c r="N691" s="3" t="s">
        <v>116</v>
      </c>
      <c r="P691" s="3" t="s">
        <v>65</v>
      </c>
      <c r="Q691" s="2" t="s">
        <v>6619</v>
      </c>
      <c r="R691" s="3" t="s">
        <v>66</v>
      </c>
      <c r="S691" s="4">
        <v>13</v>
      </c>
      <c r="T691" s="4">
        <v>13</v>
      </c>
      <c r="U691" s="5" t="s">
        <v>6620</v>
      </c>
      <c r="V691" s="5" t="s">
        <v>6620</v>
      </c>
      <c r="W691" s="5" t="s">
        <v>67</v>
      </c>
      <c r="X691" s="5" t="s">
        <v>67</v>
      </c>
      <c r="Y691" s="4">
        <v>216</v>
      </c>
      <c r="Z691" s="4">
        <v>25</v>
      </c>
      <c r="AA691" s="4">
        <v>35</v>
      </c>
      <c r="AB691" s="4">
        <v>1</v>
      </c>
      <c r="AC691" s="4">
        <v>7</v>
      </c>
      <c r="AD691" s="4">
        <v>83</v>
      </c>
      <c r="AE691" s="4">
        <v>104</v>
      </c>
      <c r="AF691" s="4">
        <v>0</v>
      </c>
      <c r="AG691" s="4">
        <v>4</v>
      </c>
      <c r="AH691" s="4">
        <v>72</v>
      </c>
      <c r="AI691" s="4">
        <v>89</v>
      </c>
      <c r="AJ691" s="4">
        <v>14</v>
      </c>
      <c r="AK691" s="4">
        <v>21</v>
      </c>
      <c r="AL691" s="4">
        <v>40</v>
      </c>
      <c r="AM691" s="4">
        <v>49</v>
      </c>
      <c r="AN691" s="4">
        <v>0</v>
      </c>
      <c r="AO691" s="4">
        <v>0</v>
      </c>
      <c r="AP691" s="4">
        <v>18</v>
      </c>
      <c r="AQ691" s="4">
        <v>25</v>
      </c>
      <c r="AR691" s="3" t="s">
        <v>62</v>
      </c>
      <c r="AS691" s="3" t="s">
        <v>62</v>
      </c>
      <c r="AT691" s="3" t="s">
        <v>62</v>
      </c>
      <c r="AV691" s="6" t="str">
        <f>HYPERLINK("http://mcgill.on.worldcat.org/oclc/798809920","Catalog Record")</f>
        <v>Catalog Record</v>
      </c>
      <c r="AW691" s="6" t="str">
        <f>HYPERLINK("http://www.worldcat.org/oclc/798809920","WorldCat Record")</f>
        <v>WorldCat Record</v>
      </c>
      <c r="AX691" s="3" t="s">
        <v>6621</v>
      </c>
      <c r="AY691" s="3" t="s">
        <v>6622</v>
      </c>
      <c r="AZ691" s="3" t="s">
        <v>6623</v>
      </c>
      <c r="BA691" s="3" t="s">
        <v>6623</v>
      </c>
      <c r="BB691" s="3" t="s">
        <v>6624</v>
      </c>
      <c r="BC691" s="3" t="s">
        <v>142</v>
      </c>
      <c r="BD691" s="3" t="s">
        <v>68</v>
      </c>
      <c r="BE691" s="3" t="s">
        <v>6625</v>
      </c>
      <c r="BF691" s="3" t="s">
        <v>6624</v>
      </c>
      <c r="BG691" s="3" t="s">
        <v>6626</v>
      </c>
    </row>
    <row r="692" spans="1:59" ht="57" x14ac:dyDescent="0.45">
      <c r="A692" s="2" t="s">
        <v>59</v>
      </c>
      <c r="B692" s="2" t="s">
        <v>60</v>
      </c>
      <c r="C692" s="2" t="s">
        <v>6627</v>
      </c>
      <c r="D692" s="2" t="s">
        <v>6628</v>
      </c>
      <c r="E692" s="2" t="s">
        <v>6629</v>
      </c>
      <c r="G692" s="3" t="s">
        <v>62</v>
      </c>
      <c r="I692" s="3" t="s">
        <v>62</v>
      </c>
      <c r="J692" s="3" t="s">
        <v>62</v>
      </c>
      <c r="K692" s="3" t="s">
        <v>63</v>
      </c>
      <c r="L692" s="2" t="s">
        <v>6630</v>
      </c>
      <c r="M692" s="2" t="s">
        <v>6631</v>
      </c>
      <c r="N692" s="3" t="s">
        <v>167</v>
      </c>
      <c r="P692" s="3" t="s">
        <v>65</v>
      </c>
      <c r="Q692" s="2" t="s">
        <v>6632</v>
      </c>
      <c r="R692" s="3" t="s">
        <v>66</v>
      </c>
      <c r="S692" s="4">
        <v>2</v>
      </c>
      <c r="T692" s="4">
        <v>2</v>
      </c>
      <c r="U692" s="5" t="s">
        <v>1570</v>
      </c>
      <c r="V692" s="5" t="s">
        <v>1570</v>
      </c>
      <c r="W692" s="5" t="s">
        <v>67</v>
      </c>
      <c r="X692" s="5" t="s">
        <v>67</v>
      </c>
      <c r="Y692" s="4">
        <v>236</v>
      </c>
      <c r="Z692" s="4">
        <v>17</v>
      </c>
      <c r="AA692" s="4">
        <v>17</v>
      </c>
      <c r="AB692" s="4">
        <v>2</v>
      </c>
      <c r="AC692" s="4">
        <v>2</v>
      </c>
      <c r="AD692" s="4">
        <v>98</v>
      </c>
      <c r="AE692" s="4">
        <v>98</v>
      </c>
      <c r="AF692" s="4">
        <v>1</v>
      </c>
      <c r="AG692" s="4">
        <v>1</v>
      </c>
      <c r="AH692" s="4">
        <v>89</v>
      </c>
      <c r="AI692" s="4">
        <v>89</v>
      </c>
      <c r="AJ692" s="4">
        <v>14</v>
      </c>
      <c r="AK692" s="4">
        <v>14</v>
      </c>
      <c r="AL692" s="4">
        <v>53</v>
      </c>
      <c r="AM692" s="4">
        <v>53</v>
      </c>
      <c r="AN692" s="4">
        <v>0</v>
      </c>
      <c r="AO692" s="4">
        <v>0</v>
      </c>
      <c r="AP692" s="4">
        <v>14</v>
      </c>
      <c r="AQ692" s="4">
        <v>14</v>
      </c>
      <c r="AR692" s="3" t="s">
        <v>62</v>
      </c>
      <c r="AS692" s="3" t="s">
        <v>62</v>
      </c>
      <c r="AT692" s="3" t="s">
        <v>62</v>
      </c>
      <c r="AV692" s="6" t="str">
        <f>HYPERLINK("http://mcgill.on.worldcat.org/oclc/40043626","Catalog Record")</f>
        <v>Catalog Record</v>
      </c>
      <c r="AW692" s="6" t="str">
        <f>HYPERLINK("http://www.worldcat.org/oclc/40043626","WorldCat Record")</f>
        <v>WorldCat Record</v>
      </c>
      <c r="AX692" s="3" t="s">
        <v>6633</v>
      </c>
      <c r="AY692" s="3" t="s">
        <v>6634</v>
      </c>
      <c r="AZ692" s="3" t="s">
        <v>6635</v>
      </c>
      <c r="BA692" s="3" t="s">
        <v>6635</v>
      </c>
      <c r="BB692" s="3" t="s">
        <v>6636</v>
      </c>
      <c r="BC692" s="3" t="s">
        <v>142</v>
      </c>
      <c r="BD692" s="3" t="s">
        <v>68</v>
      </c>
      <c r="BE692" s="3" t="s">
        <v>6637</v>
      </c>
      <c r="BF692" s="3" t="s">
        <v>6636</v>
      </c>
      <c r="BG692" s="3" t="s">
        <v>6638</v>
      </c>
    </row>
    <row r="693" spans="1:59" ht="71.25" x14ac:dyDescent="0.45">
      <c r="A693" s="2" t="s">
        <v>59</v>
      </c>
      <c r="B693" s="2" t="s">
        <v>60</v>
      </c>
      <c r="C693" s="2" t="s">
        <v>6639</v>
      </c>
      <c r="D693" s="2" t="s">
        <v>6640</v>
      </c>
      <c r="E693" s="2" t="s">
        <v>6641</v>
      </c>
      <c r="G693" s="3" t="s">
        <v>62</v>
      </c>
      <c r="I693" s="3" t="s">
        <v>62</v>
      </c>
      <c r="J693" s="3" t="s">
        <v>62</v>
      </c>
      <c r="K693" s="3" t="s">
        <v>63</v>
      </c>
      <c r="L693" s="2" t="s">
        <v>6642</v>
      </c>
      <c r="M693" s="2" t="s">
        <v>6643</v>
      </c>
      <c r="N693" s="3" t="s">
        <v>1688</v>
      </c>
      <c r="P693" s="3" t="s">
        <v>182</v>
      </c>
      <c r="Q693" s="2" t="s">
        <v>6644</v>
      </c>
      <c r="R693" s="3" t="s">
        <v>66</v>
      </c>
      <c r="S693" s="4">
        <v>0</v>
      </c>
      <c r="T693" s="4">
        <v>0</v>
      </c>
      <c r="W693" s="5" t="s">
        <v>67</v>
      </c>
      <c r="X693" s="5" t="s">
        <v>67</v>
      </c>
      <c r="Y693" s="4">
        <v>16</v>
      </c>
      <c r="Z693" s="4">
        <v>3</v>
      </c>
      <c r="AA693" s="4">
        <v>3</v>
      </c>
      <c r="AB693" s="4">
        <v>1</v>
      </c>
      <c r="AC693" s="4">
        <v>1</v>
      </c>
      <c r="AD693" s="4">
        <v>10</v>
      </c>
      <c r="AE693" s="4">
        <v>10</v>
      </c>
      <c r="AF693" s="4">
        <v>0</v>
      </c>
      <c r="AG693" s="4">
        <v>0</v>
      </c>
      <c r="AH693" s="4">
        <v>10</v>
      </c>
      <c r="AI693" s="4">
        <v>10</v>
      </c>
      <c r="AJ693" s="4">
        <v>1</v>
      </c>
      <c r="AK693" s="4">
        <v>1</v>
      </c>
      <c r="AL693" s="4">
        <v>8</v>
      </c>
      <c r="AM693" s="4">
        <v>8</v>
      </c>
      <c r="AN693" s="4">
        <v>0</v>
      </c>
      <c r="AO693" s="4">
        <v>0</v>
      </c>
      <c r="AP693" s="4">
        <v>1</v>
      </c>
      <c r="AQ693" s="4">
        <v>1</v>
      </c>
      <c r="AR693" s="3" t="s">
        <v>62</v>
      </c>
      <c r="AS693" s="3" t="s">
        <v>62</v>
      </c>
      <c r="AT693" s="3" t="s">
        <v>62</v>
      </c>
      <c r="AV693" s="6" t="str">
        <f>HYPERLINK("http://mcgill.on.worldcat.org/oclc/908335756","Catalog Record")</f>
        <v>Catalog Record</v>
      </c>
      <c r="AW693" s="6" t="str">
        <f>HYPERLINK("http://www.worldcat.org/oclc/908335756","WorldCat Record")</f>
        <v>WorldCat Record</v>
      </c>
      <c r="AX693" s="3" t="s">
        <v>6645</v>
      </c>
      <c r="AY693" s="3" t="s">
        <v>6646</v>
      </c>
      <c r="AZ693" s="3" t="s">
        <v>6647</v>
      </c>
      <c r="BA693" s="3" t="s">
        <v>6647</v>
      </c>
      <c r="BB693" s="3" t="s">
        <v>6648</v>
      </c>
      <c r="BC693" s="3" t="s">
        <v>142</v>
      </c>
      <c r="BD693" s="3" t="s">
        <v>68</v>
      </c>
      <c r="BE693" s="3" t="s">
        <v>6649</v>
      </c>
      <c r="BF693" s="3" t="s">
        <v>6648</v>
      </c>
      <c r="BG693" s="3" t="s">
        <v>6650</v>
      </c>
    </row>
    <row r="694" spans="1:59" ht="57" x14ac:dyDescent="0.45">
      <c r="A694" s="2" t="s">
        <v>59</v>
      </c>
      <c r="B694" s="2" t="s">
        <v>60</v>
      </c>
      <c r="C694" s="2" t="s">
        <v>6651</v>
      </c>
      <c r="D694" s="2" t="s">
        <v>6652</v>
      </c>
      <c r="E694" s="2" t="s">
        <v>6653</v>
      </c>
      <c r="G694" s="3" t="s">
        <v>62</v>
      </c>
      <c r="I694" s="3" t="s">
        <v>62</v>
      </c>
      <c r="J694" s="3" t="s">
        <v>62</v>
      </c>
      <c r="K694" s="3" t="s">
        <v>63</v>
      </c>
      <c r="M694" s="2" t="s">
        <v>6654</v>
      </c>
      <c r="N694" s="3" t="s">
        <v>945</v>
      </c>
      <c r="P694" s="3" t="s">
        <v>110</v>
      </c>
      <c r="Q694" s="2" t="s">
        <v>6655</v>
      </c>
      <c r="R694" s="3" t="s">
        <v>66</v>
      </c>
      <c r="S694" s="4">
        <v>6</v>
      </c>
      <c r="T694" s="4">
        <v>6</v>
      </c>
      <c r="U694" s="5" t="s">
        <v>6656</v>
      </c>
      <c r="V694" s="5" t="s">
        <v>6656</v>
      </c>
      <c r="W694" s="5" t="s">
        <v>67</v>
      </c>
      <c r="X694" s="5" t="s">
        <v>67</v>
      </c>
      <c r="Y694" s="4">
        <v>63</v>
      </c>
      <c r="Z694" s="4">
        <v>10</v>
      </c>
      <c r="AA694" s="4">
        <v>91</v>
      </c>
      <c r="AB694" s="4">
        <v>2</v>
      </c>
      <c r="AC694" s="4">
        <v>17</v>
      </c>
      <c r="AD694" s="4">
        <v>36</v>
      </c>
      <c r="AE694" s="4">
        <v>98</v>
      </c>
      <c r="AF694" s="4">
        <v>1</v>
      </c>
      <c r="AG694" s="4">
        <v>8</v>
      </c>
      <c r="AH694" s="4">
        <v>30</v>
      </c>
      <c r="AI694" s="4">
        <v>65</v>
      </c>
      <c r="AJ694" s="4">
        <v>7</v>
      </c>
      <c r="AK694" s="4">
        <v>18</v>
      </c>
      <c r="AL694" s="4">
        <v>24</v>
      </c>
      <c r="AM694" s="4">
        <v>36</v>
      </c>
      <c r="AN694" s="4">
        <v>0</v>
      </c>
      <c r="AO694" s="4">
        <v>0</v>
      </c>
      <c r="AP694" s="4">
        <v>7</v>
      </c>
      <c r="AQ694" s="4">
        <v>39</v>
      </c>
      <c r="AR694" s="3" t="s">
        <v>62</v>
      </c>
      <c r="AS694" s="3" t="s">
        <v>62</v>
      </c>
      <c r="AT694" s="3" t="s">
        <v>61</v>
      </c>
      <c r="AU694" s="6" t="str">
        <f>HYPERLINK("http://catalog.hathitrust.org/Record/005616647","HathiTrust Record")</f>
        <v>HathiTrust Record</v>
      </c>
      <c r="AV694" s="6" t="str">
        <f>HYPERLINK("http://mcgill.on.worldcat.org/oclc/136886548","Catalog Record")</f>
        <v>Catalog Record</v>
      </c>
      <c r="AW694" s="6" t="str">
        <f>HYPERLINK("http://www.worldcat.org/oclc/136886548","WorldCat Record")</f>
        <v>WorldCat Record</v>
      </c>
      <c r="AX694" s="3" t="s">
        <v>6657</v>
      </c>
      <c r="AY694" s="3" t="s">
        <v>6658</v>
      </c>
      <c r="AZ694" s="3" t="s">
        <v>6659</v>
      </c>
      <c r="BA694" s="3" t="s">
        <v>6659</v>
      </c>
      <c r="BB694" s="3" t="s">
        <v>6660</v>
      </c>
      <c r="BC694" s="3" t="s">
        <v>142</v>
      </c>
      <c r="BD694" s="3" t="s">
        <v>68</v>
      </c>
      <c r="BE694" s="3" t="s">
        <v>6661</v>
      </c>
      <c r="BF694" s="3" t="s">
        <v>6660</v>
      </c>
      <c r="BG694" s="3" t="s">
        <v>6662</v>
      </c>
    </row>
    <row r="695" spans="1:59" ht="57" x14ac:dyDescent="0.45">
      <c r="A695" s="2" t="s">
        <v>59</v>
      </c>
      <c r="B695" s="2" t="s">
        <v>60</v>
      </c>
      <c r="C695" s="2" t="s">
        <v>6663</v>
      </c>
      <c r="D695" s="2" t="s">
        <v>6664</v>
      </c>
      <c r="E695" s="2" t="s">
        <v>6665</v>
      </c>
      <c r="G695" s="3" t="s">
        <v>62</v>
      </c>
      <c r="I695" s="3" t="s">
        <v>62</v>
      </c>
      <c r="J695" s="3" t="s">
        <v>62</v>
      </c>
      <c r="K695" s="3" t="s">
        <v>63</v>
      </c>
      <c r="M695" s="2" t="s">
        <v>6666</v>
      </c>
      <c r="N695" s="3" t="s">
        <v>1253</v>
      </c>
      <c r="P695" s="3" t="s">
        <v>110</v>
      </c>
      <c r="Q695" s="2" t="s">
        <v>6667</v>
      </c>
      <c r="R695" s="3" t="s">
        <v>66</v>
      </c>
      <c r="S695" s="4">
        <v>2</v>
      </c>
      <c r="T695" s="4">
        <v>2</v>
      </c>
      <c r="U695" s="5" t="s">
        <v>6668</v>
      </c>
      <c r="V695" s="5" t="s">
        <v>6668</v>
      </c>
      <c r="W695" s="5" t="s">
        <v>67</v>
      </c>
      <c r="X695" s="5" t="s">
        <v>67</v>
      </c>
      <c r="Y695" s="4">
        <v>63</v>
      </c>
      <c r="Z695" s="4">
        <v>5</v>
      </c>
      <c r="AA695" s="4">
        <v>11</v>
      </c>
      <c r="AB695" s="4">
        <v>1</v>
      </c>
      <c r="AC695" s="4">
        <v>6</v>
      </c>
      <c r="AD695" s="4">
        <v>32</v>
      </c>
      <c r="AE695" s="4">
        <v>36</v>
      </c>
      <c r="AF695" s="4">
        <v>0</v>
      </c>
      <c r="AG695" s="4">
        <v>3</v>
      </c>
      <c r="AH695" s="4">
        <v>30</v>
      </c>
      <c r="AI695" s="4">
        <v>32</v>
      </c>
      <c r="AJ695" s="4">
        <v>2</v>
      </c>
      <c r="AK695" s="4">
        <v>6</v>
      </c>
      <c r="AL695" s="4">
        <v>28</v>
      </c>
      <c r="AM695" s="4">
        <v>28</v>
      </c>
      <c r="AN695" s="4">
        <v>0</v>
      </c>
      <c r="AO695" s="4">
        <v>0</v>
      </c>
      <c r="AP695" s="4">
        <v>2</v>
      </c>
      <c r="AQ695" s="4">
        <v>5</v>
      </c>
      <c r="AR695" s="3" t="s">
        <v>62</v>
      </c>
      <c r="AS695" s="3" t="s">
        <v>62</v>
      </c>
      <c r="AT695" s="3" t="s">
        <v>62</v>
      </c>
      <c r="AV695" s="6" t="str">
        <f>HYPERLINK("http://mcgill.on.worldcat.org/oclc/38469494","Catalog Record")</f>
        <v>Catalog Record</v>
      </c>
      <c r="AW695" s="6" t="str">
        <f>HYPERLINK("http://www.worldcat.org/oclc/38469494","WorldCat Record")</f>
        <v>WorldCat Record</v>
      </c>
      <c r="AX695" s="3" t="s">
        <v>6669</v>
      </c>
      <c r="AY695" s="3" t="s">
        <v>6670</v>
      </c>
      <c r="AZ695" s="3" t="s">
        <v>6671</v>
      </c>
      <c r="BA695" s="3" t="s">
        <v>6671</v>
      </c>
      <c r="BB695" s="3" t="s">
        <v>6672</v>
      </c>
      <c r="BC695" s="3" t="s">
        <v>142</v>
      </c>
      <c r="BD695" s="3" t="s">
        <v>68</v>
      </c>
      <c r="BE695" s="3" t="s">
        <v>6673</v>
      </c>
      <c r="BF695" s="3" t="s">
        <v>6672</v>
      </c>
      <c r="BG695" s="3" t="s">
        <v>6674</v>
      </c>
    </row>
    <row r="696" spans="1:59" ht="57" x14ac:dyDescent="0.45">
      <c r="A696" s="2" t="s">
        <v>59</v>
      </c>
      <c r="B696" s="2" t="s">
        <v>60</v>
      </c>
      <c r="C696" s="2" t="s">
        <v>6675</v>
      </c>
      <c r="D696" s="2" t="s">
        <v>6676</v>
      </c>
      <c r="E696" s="2" t="s">
        <v>6677</v>
      </c>
      <c r="G696" s="3" t="s">
        <v>62</v>
      </c>
      <c r="I696" s="3" t="s">
        <v>62</v>
      </c>
      <c r="J696" s="3" t="s">
        <v>62</v>
      </c>
      <c r="K696" s="3" t="s">
        <v>63</v>
      </c>
      <c r="L696" s="2" t="s">
        <v>6678</v>
      </c>
      <c r="M696" s="2" t="s">
        <v>6679</v>
      </c>
      <c r="N696" s="3" t="s">
        <v>149</v>
      </c>
      <c r="P696" s="3" t="s">
        <v>65</v>
      </c>
      <c r="Q696" s="2" t="s">
        <v>6680</v>
      </c>
      <c r="R696" s="3" t="s">
        <v>66</v>
      </c>
      <c r="S696" s="4">
        <v>2</v>
      </c>
      <c r="T696" s="4">
        <v>2</v>
      </c>
      <c r="U696" s="5" t="s">
        <v>6681</v>
      </c>
      <c r="V696" s="5" t="s">
        <v>6681</v>
      </c>
      <c r="W696" s="5" t="s">
        <v>67</v>
      </c>
      <c r="X696" s="5" t="s">
        <v>67</v>
      </c>
      <c r="Y696" s="4">
        <v>184</v>
      </c>
      <c r="Z696" s="4">
        <v>16</v>
      </c>
      <c r="AA696" s="4">
        <v>16</v>
      </c>
      <c r="AB696" s="4">
        <v>2</v>
      </c>
      <c r="AC696" s="4">
        <v>2</v>
      </c>
      <c r="AD696" s="4">
        <v>77</v>
      </c>
      <c r="AE696" s="4">
        <v>77</v>
      </c>
      <c r="AF696" s="4">
        <v>1</v>
      </c>
      <c r="AG696" s="4">
        <v>1</v>
      </c>
      <c r="AH696" s="4">
        <v>71</v>
      </c>
      <c r="AI696" s="4">
        <v>71</v>
      </c>
      <c r="AJ696" s="4">
        <v>11</v>
      </c>
      <c r="AK696" s="4">
        <v>11</v>
      </c>
      <c r="AL696" s="4">
        <v>40</v>
      </c>
      <c r="AM696" s="4">
        <v>40</v>
      </c>
      <c r="AN696" s="4">
        <v>0</v>
      </c>
      <c r="AO696" s="4">
        <v>0</v>
      </c>
      <c r="AP696" s="4">
        <v>12</v>
      </c>
      <c r="AQ696" s="4">
        <v>12</v>
      </c>
      <c r="AR696" s="3" t="s">
        <v>62</v>
      </c>
      <c r="AS696" s="3" t="s">
        <v>62</v>
      </c>
      <c r="AT696" s="3" t="s">
        <v>62</v>
      </c>
      <c r="AV696" s="6" t="str">
        <f>HYPERLINK("http://mcgill.on.worldcat.org/oclc/432994670","Catalog Record")</f>
        <v>Catalog Record</v>
      </c>
      <c r="AW696" s="6" t="str">
        <f>HYPERLINK("http://www.worldcat.org/oclc/432994670","WorldCat Record")</f>
        <v>WorldCat Record</v>
      </c>
      <c r="AX696" s="3" t="s">
        <v>6682</v>
      </c>
      <c r="AY696" s="3" t="s">
        <v>6683</v>
      </c>
      <c r="AZ696" s="3" t="s">
        <v>6684</v>
      </c>
      <c r="BA696" s="3" t="s">
        <v>6684</v>
      </c>
      <c r="BB696" s="3" t="s">
        <v>6685</v>
      </c>
      <c r="BC696" s="3" t="s">
        <v>142</v>
      </c>
      <c r="BD696" s="3" t="s">
        <v>68</v>
      </c>
      <c r="BE696" s="3" t="s">
        <v>6686</v>
      </c>
      <c r="BF696" s="3" t="s">
        <v>6685</v>
      </c>
      <c r="BG696" s="3" t="s">
        <v>6687</v>
      </c>
    </row>
    <row r="697" spans="1:59" ht="57" x14ac:dyDescent="0.45">
      <c r="A697" s="2" t="s">
        <v>59</v>
      </c>
      <c r="B697" s="2" t="s">
        <v>60</v>
      </c>
      <c r="C697" s="2" t="s">
        <v>6688</v>
      </c>
      <c r="D697" s="2" t="s">
        <v>6689</v>
      </c>
      <c r="E697" s="2" t="s">
        <v>6690</v>
      </c>
      <c r="G697" s="3" t="s">
        <v>62</v>
      </c>
      <c r="I697" s="3" t="s">
        <v>62</v>
      </c>
      <c r="J697" s="3" t="s">
        <v>62</v>
      </c>
      <c r="K697" s="3" t="s">
        <v>63</v>
      </c>
      <c r="L697" s="2" t="s">
        <v>6691</v>
      </c>
      <c r="M697" s="2" t="s">
        <v>6692</v>
      </c>
      <c r="N697" s="3" t="s">
        <v>1224</v>
      </c>
      <c r="P697" s="3" t="s">
        <v>65</v>
      </c>
      <c r="Q697" s="2" t="s">
        <v>6693</v>
      </c>
      <c r="R697" s="3" t="s">
        <v>66</v>
      </c>
      <c r="S697" s="4">
        <v>6</v>
      </c>
      <c r="T697" s="4">
        <v>6</v>
      </c>
      <c r="U697" s="5" t="s">
        <v>6694</v>
      </c>
      <c r="V697" s="5" t="s">
        <v>6694</v>
      </c>
      <c r="W697" s="5" t="s">
        <v>67</v>
      </c>
      <c r="X697" s="5" t="s">
        <v>67</v>
      </c>
      <c r="Y697" s="4">
        <v>542</v>
      </c>
      <c r="Z697" s="4">
        <v>32</v>
      </c>
      <c r="AA697" s="4">
        <v>35</v>
      </c>
      <c r="AB697" s="4">
        <v>3</v>
      </c>
      <c r="AC697" s="4">
        <v>5</v>
      </c>
      <c r="AD697" s="4">
        <v>121</v>
      </c>
      <c r="AE697" s="4">
        <v>124</v>
      </c>
      <c r="AF697" s="4">
        <v>2</v>
      </c>
      <c r="AG697" s="4">
        <v>4</v>
      </c>
      <c r="AH697" s="4">
        <v>104</v>
      </c>
      <c r="AI697" s="4">
        <v>106</v>
      </c>
      <c r="AJ697" s="4">
        <v>19</v>
      </c>
      <c r="AK697" s="4">
        <v>22</v>
      </c>
      <c r="AL697" s="4">
        <v>56</v>
      </c>
      <c r="AM697" s="4">
        <v>56</v>
      </c>
      <c r="AN697" s="4">
        <v>0</v>
      </c>
      <c r="AO697" s="4">
        <v>0</v>
      </c>
      <c r="AP697" s="4">
        <v>23</v>
      </c>
      <c r="AQ697" s="4">
        <v>25</v>
      </c>
      <c r="AR697" s="3" t="s">
        <v>62</v>
      </c>
      <c r="AS697" s="3" t="s">
        <v>62</v>
      </c>
      <c r="AT697" s="3" t="s">
        <v>62</v>
      </c>
      <c r="AV697" s="6" t="str">
        <f>HYPERLINK("http://mcgill.on.worldcat.org/oclc/1273366","Catalog Record")</f>
        <v>Catalog Record</v>
      </c>
      <c r="AW697" s="6" t="str">
        <f>HYPERLINK("http://www.worldcat.org/oclc/1273366","WorldCat Record")</f>
        <v>WorldCat Record</v>
      </c>
      <c r="AX697" s="3" t="s">
        <v>6695</v>
      </c>
      <c r="AY697" s="3" t="s">
        <v>6696</v>
      </c>
      <c r="AZ697" s="3" t="s">
        <v>6697</v>
      </c>
      <c r="BA697" s="3" t="s">
        <v>6697</v>
      </c>
      <c r="BB697" s="3" t="s">
        <v>6698</v>
      </c>
      <c r="BC697" s="3" t="s">
        <v>142</v>
      </c>
      <c r="BD697" s="3" t="s">
        <v>68</v>
      </c>
      <c r="BE697" s="3" t="s">
        <v>6699</v>
      </c>
      <c r="BF697" s="3" t="s">
        <v>6698</v>
      </c>
      <c r="BG697" s="3" t="s">
        <v>6700</v>
      </c>
    </row>
    <row r="698" spans="1:59" ht="57" x14ac:dyDescent="0.45">
      <c r="A698" s="2" t="s">
        <v>59</v>
      </c>
      <c r="B698" s="2" t="s">
        <v>60</v>
      </c>
      <c r="C698" s="2" t="s">
        <v>6701</v>
      </c>
      <c r="D698" s="2" t="s">
        <v>6702</v>
      </c>
      <c r="E698" s="2" t="s">
        <v>6703</v>
      </c>
      <c r="G698" s="3" t="s">
        <v>62</v>
      </c>
      <c r="I698" s="3" t="s">
        <v>62</v>
      </c>
      <c r="J698" s="3" t="s">
        <v>62</v>
      </c>
      <c r="K698" s="3" t="s">
        <v>63</v>
      </c>
      <c r="L698" s="2" t="s">
        <v>6704</v>
      </c>
      <c r="M698" s="2" t="s">
        <v>6705</v>
      </c>
      <c r="N698" s="3" t="s">
        <v>435</v>
      </c>
      <c r="P698" s="3" t="s">
        <v>110</v>
      </c>
      <c r="Q698" s="2" t="s">
        <v>6706</v>
      </c>
      <c r="R698" s="3" t="s">
        <v>66</v>
      </c>
      <c r="S698" s="4">
        <v>33</v>
      </c>
      <c r="T698" s="4">
        <v>33</v>
      </c>
      <c r="U698" s="5" t="s">
        <v>6707</v>
      </c>
      <c r="V698" s="5" t="s">
        <v>6707</v>
      </c>
      <c r="W698" s="5" t="s">
        <v>67</v>
      </c>
      <c r="X698" s="5" t="s">
        <v>67</v>
      </c>
      <c r="Y698" s="4">
        <v>330</v>
      </c>
      <c r="Z698" s="4">
        <v>28</v>
      </c>
      <c r="AA698" s="4">
        <v>41</v>
      </c>
      <c r="AB698" s="4">
        <v>4</v>
      </c>
      <c r="AC698" s="4">
        <v>13</v>
      </c>
      <c r="AD698" s="4">
        <v>114</v>
      </c>
      <c r="AE698" s="4">
        <v>122</v>
      </c>
      <c r="AF698" s="4">
        <v>2</v>
      </c>
      <c r="AG698" s="4">
        <v>7</v>
      </c>
      <c r="AH698" s="4">
        <v>98</v>
      </c>
      <c r="AI698" s="4">
        <v>101</v>
      </c>
      <c r="AJ698" s="4">
        <v>17</v>
      </c>
      <c r="AK698" s="4">
        <v>23</v>
      </c>
      <c r="AL698" s="4">
        <v>53</v>
      </c>
      <c r="AM698" s="4">
        <v>53</v>
      </c>
      <c r="AN698" s="4">
        <v>0</v>
      </c>
      <c r="AO698" s="4">
        <v>0</v>
      </c>
      <c r="AP698" s="4">
        <v>23</v>
      </c>
      <c r="AQ698" s="4">
        <v>30</v>
      </c>
      <c r="AR698" s="3" t="s">
        <v>62</v>
      </c>
      <c r="AS698" s="3" t="s">
        <v>62</v>
      </c>
      <c r="AT698" s="3" t="s">
        <v>61</v>
      </c>
      <c r="AU698" s="6" t="str">
        <f>HYPERLINK("http://catalog.hathitrust.org/Record/001438036","HathiTrust Record")</f>
        <v>HathiTrust Record</v>
      </c>
      <c r="AV698" s="6" t="str">
        <f>HYPERLINK("http://mcgill.on.worldcat.org/oclc/307811","Catalog Record")</f>
        <v>Catalog Record</v>
      </c>
      <c r="AW698" s="6" t="str">
        <f>HYPERLINK("http://www.worldcat.org/oclc/307811","WorldCat Record")</f>
        <v>WorldCat Record</v>
      </c>
      <c r="AX698" s="3" t="s">
        <v>6708</v>
      </c>
      <c r="AY698" s="3" t="s">
        <v>6709</v>
      </c>
      <c r="AZ698" s="3" t="s">
        <v>6710</v>
      </c>
      <c r="BA698" s="3" t="s">
        <v>6710</v>
      </c>
      <c r="BB698" s="3" t="s">
        <v>6711</v>
      </c>
      <c r="BC698" s="3" t="s">
        <v>142</v>
      </c>
      <c r="BD698" s="3" t="s">
        <v>308</v>
      </c>
      <c r="BF698" s="3" t="s">
        <v>6711</v>
      </c>
      <c r="BG698" s="3" t="s">
        <v>6712</v>
      </c>
    </row>
    <row r="699" spans="1:59" ht="57" x14ac:dyDescent="0.45">
      <c r="A699" s="2" t="s">
        <v>59</v>
      </c>
      <c r="B699" s="2" t="s">
        <v>60</v>
      </c>
      <c r="C699" s="2" t="s">
        <v>6713</v>
      </c>
      <c r="D699" s="2" t="s">
        <v>6714</v>
      </c>
      <c r="E699" s="2" t="s">
        <v>6715</v>
      </c>
      <c r="G699" s="3" t="s">
        <v>62</v>
      </c>
      <c r="I699" s="3" t="s">
        <v>62</v>
      </c>
      <c r="J699" s="3" t="s">
        <v>62</v>
      </c>
      <c r="K699" s="3" t="s">
        <v>63</v>
      </c>
      <c r="M699" s="2" t="s">
        <v>6716</v>
      </c>
      <c r="N699" s="3" t="s">
        <v>529</v>
      </c>
      <c r="P699" s="3" t="s">
        <v>110</v>
      </c>
      <c r="Q699" s="2" t="s">
        <v>6717</v>
      </c>
      <c r="R699" s="3" t="s">
        <v>66</v>
      </c>
      <c r="S699" s="4">
        <v>11</v>
      </c>
      <c r="T699" s="4">
        <v>11</v>
      </c>
      <c r="U699" s="5" t="s">
        <v>6718</v>
      </c>
      <c r="V699" s="5" t="s">
        <v>6718</v>
      </c>
      <c r="W699" s="5" t="s">
        <v>67</v>
      </c>
      <c r="X699" s="5" t="s">
        <v>67</v>
      </c>
      <c r="Y699" s="4">
        <v>29</v>
      </c>
      <c r="Z699" s="4">
        <v>2</v>
      </c>
      <c r="AA699" s="4">
        <v>15</v>
      </c>
      <c r="AB699" s="4">
        <v>1</v>
      </c>
      <c r="AC699" s="4">
        <v>6</v>
      </c>
      <c r="AD699" s="4">
        <v>16</v>
      </c>
      <c r="AE699" s="4">
        <v>46</v>
      </c>
      <c r="AF699" s="4">
        <v>0</v>
      </c>
      <c r="AG699" s="4">
        <v>3</v>
      </c>
      <c r="AH699" s="4">
        <v>15</v>
      </c>
      <c r="AI699" s="4">
        <v>39</v>
      </c>
      <c r="AJ699" s="4">
        <v>1</v>
      </c>
      <c r="AK699" s="4">
        <v>8</v>
      </c>
      <c r="AL699" s="4">
        <v>11</v>
      </c>
      <c r="AM699" s="4">
        <v>28</v>
      </c>
      <c r="AN699" s="4">
        <v>5</v>
      </c>
      <c r="AO699" s="4">
        <v>5</v>
      </c>
      <c r="AP699" s="4">
        <v>1</v>
      </c>
      <c r="AQ699" s="4">
        <v>9</v>
      </c>
      <c r="AR699" s="3" t="s">
        <v>62</v>
      </c>
      <c r="AS699" s="3" t="s">
        <v>62</v>
      </c>
      <c r="AT699" s="3" t="s">
        <v>61</v>
      </c>
      <c r="AU699" s="6" t="str">
        <f>HYPERLINK("http://catalog.hathitrust.org/Record/102084641","HathiTrust Record")</f>
        <v>HathiTrust Record</v>
      </c>
      <c r="AV699" s="6" t="str">
        <f>HYPERLINK("http://mcgill.on.worldcat.org/oclc/14291716","Catalog Record")</f>
        <v>Catalog Record</v>
      </c>
      <c r="AW699" s="6" t="str">
        <f>HYPERLINK("http://www.worldcat.org/oclc/14291716","WorldCat Record")</f>
        <v>WorldCat Record</v>
      </c>
      <c r="AX699" s="3" t="s">
        <v>6719</v>
      </c>
      <c r="AY699" s="3" t="s">
        <v>6720</v>
      </c>
      <c r="AZ699" s="3" t="s">
        <v>6721</v>
      </c>
      <c r="BA699" s="3" t="s">
        <v>6721</v>
      </c>
      <c r="BB699" s="3" t="s">
        <v>6722</v>
      </c>
      <c r="BC699" s="3" t="s">
        <v>142</v>
      </c>
      <c r="BD699" s="3" t="s">
        <v>68</v>
      </c>
      <c r="BE699" s="3" t="s">
        <v>6723</v>
      </c>
      <c r="BF699" s="3" t="s">
        <v>6722</v>
      </c>
      <c r="BG699" s="3" t="s">
        <v>6724</v>
      </c>
    </row>
    <row r="700" spans="1:59" ht="57" x14ac:dyDescent="0.45">
      <c r="A700" s="2" t="s">
        <v>59</v>
      </c>
      <c r="B700" s="2" t="s">
        <v>60</v>
      </c>
      <c r="C700" s="2" t="s">
        <v>6725</v>
      </c>
      <c r="D700" s="2" t="s">
        <v>6726</v>
      </c>
      <c r="E700" s="2" t="s">
        <v>6727</v>
      </c>
      <c r="G700" s="3" t="s">
        <v>62</v>
      </c>
      <c r="I700" s="3" t="s">
        <v>61</v>
      </c>
      <c r="J700" s="3" t="s">
        <v>62</v>
      </c>
      <c r="K700" s="3" t="s">
        <v>63</v>
      </c>
      <c r="L700" s="2" t="s">
        <v>6728</v>
      </c>
      <c r="M700" s="2" t="s">
        <v>6729</v>
      </c>
      <c r="N700" s="3" t="s">
        <v>106</v>
      </c>
      <c r="P700" s="3" t="s">
        <v>65</v>
      </c>
      <c r="R700" s="3" t="s">
        <v>66</v>
      </c>
      <c r="S700" s="4">
        <v>7</v>
      </c>
      <c r="T700" s="4">
        <v>44</v>
      </c>
      <c r="U700" s="5" t="s">
        <v>6730</v>
      </c>
      <c r="V700" s="5" t="s">
        <v>3596</v>
      </c>
      <c r="W700" s="5" t="s">
        <v>67</v>
      </c>
      <c r="X700" s="5" t="s">
        <v>67</v>
      </c>
      <c r="Y700" s="4">
        <v>539</v>
      </c>
      <c r="Z700" s="4">
        <v>41</v>
      </c>
      <c r="AA700" s="4">
        <v>46</v>
      </c>
      <c r="AB700" s="4">
        <v>2</v>
      </c>
      <c r="AC700" s="4">
        <v>5</v>
      </c>
      <c r="AD700" s="4">
        <v>128</v>
      </c>
      <c r="AE700" s="4">
        <v>136</v>
      </c>
      <c r="AF700" s="4">
        <v>1</v>
      </c>
      <c r="AG700" s="4">
        <v>4</v>
      </c>
      <c r="AH700" s="4">
        <v>107</v>
      </c>
      <c r="AI700" s="4">
        <v>111</v>
      </c>
      <c r="AJ700" s="4">
        <v>22</v>
      </c>
      <c r="AK700" s="4">
        <v>25</v>
      </c>
      <c r="AL700" s="4">
        <v>56</v>
      </c>
      <c r="AM700" s="4">
        <v>58</v>
      </c>
      <c r="AN700" s="4">
        <v>0</v>
      </c>
      <c r="AO700" s="4">
        <v>0</v>
      </c>
      <c r="AP700" s="4">
        <v>29</v>
      </c>
      <c r="AQ700" s="4">
        <v>33</v>
      </c>
      <c r="AR700" s="3" t="s">
        <v>62</v>
      </c>
      <c r="AS700" s="3" t="s">
        <v>62</v>
      </c>
      <c r="AT700" s="3" t="s">
        <v>62</v>
      </c>
      <c r="AV700" s="6" t="str">
        <f>HYPERLINK("http://mcgill.on.worldcat.org/oclc/8927938","Catalog Record")</f>
        <v>Catalog Record</v>
      </c>
      <c r="AW700" s="6" t="str">
        <f>HYPERLINK("http://www.worldcat.org/oclc/8927938","WorldCat Record")</f>
        <v>WorldCat Record</v>
      </c>
      <c r="AX700" s="3" t="s">
        <v>6731</v>
      </c>
      <c r="AY700" s="3" t="s">
        <v>6732</v>
      </c>
      <c r="AZ700" s="3" t="s">
        <v>6733</v>
      </c>
      <c r="BA700" s="3" t="s">
        <v>6733</v>
      </c>
      <c r="BB700" s="3" t="s">
        <v>6734</v>
      </c>
      <c r="BC700" s="3" t="s">
        <v>142</v>
      </c>
      <c r="BD700" s="3" t="s">
        <v>68</v>
      </c>
      <c r="BE700" s="3" t="s">
        <v>6735</v>
      </c>
      <c r="BF700" s="3" t="s">
        <v>6734</v>
      </c>
      <c r="BG700" s="3" t="s">
        <v>6736</v>
      </c>
    </row>
    <row r="701" spans="1:59" ht="57" x14ac:dyDescent="0.45">
      <c r="A701" s="2" t="s">
        <v>59</v>
      </c>
      <c r="B701" s="2" t="s">
        <v>60</v>
      </c>
      <c r="C701" s="2" t="s">
        <v>6725</v>
      </c>
      <c r="D701" s="2" t="s">
        <v>6726</v>
      </c>
      <c r="E701" s="2" t="s">
        <v>6727</v>
      </c>
      <c r="G701" s="3" t="s">
        <v>62</v>
      </c>
      <c r="I701" s="3" t="s">
        <v>61</v>
      </c>
      <c r="J701" s="3" t="s">
        <v>62</v>
      </c>
      <c r="K701" s="3" t="s">
        <v>63</v>
      </c>
      <c r="L701" s="2" t="s">
        <v>6728</v>
      </c>
      <c r="M701" s="2" t="s">
        <v>6729</v>
      </c>
      <c r="N701" s="3" t="s">
        <v>106</v>
      </c>
      <c r="P701" s="3" t="s">
        <v>65</v>
      </c>
      <c r="R701" s="3" t="s">
        <v>66</v>
      </c>
      <c r="S701" s="4">
        <v>2</v>
      </c>
      <c r="T701" s="4">
        <v>44</v>
      </c>
      <c r="U701" s="5" t="s">
        <v>3596</v>
      </c>
      <c r="V701" s="5" t="s">
        <v>3596</v>
      </c>
      <c r="W701" s="5" t="s">
        <v>67</v>
      </c>
      <c r="X701" s="5" t="s">
        <v>67</v>
      </c>
      <c r="Y701" s="4">
        <v>539</v>
      </c>
      <c r="Z701" s="4">
        <v>41</v>
      </c>
      <c r="AA701" s="4">
        <v>46</v>
      </c>
      <c r="AB701" s="4">
        <v>2</v>
      </c>
      <c r="AC701" s="4">
        <v>5</v>
      </c>
      <c r="AD701" s="4">
        <v>128</v>
      </c>
      <c r="AE701" s="4">
        <v>136</v>
      </c>
      <c r="AF701" s="4">
        <v>1</v>
      </c>
      <c r="AG701" s="4">
        <v>4</v>
      </c>
      <c r="AH701" s="4">
        <v>107</v>
      </c>
      <c r="AI701" s="4">
        <v>111</v>
      </c>
      <c r="AJ701" s="4">
        <v>22</v>
      </c>
      <c r="AK701" s="4">
        <v>25</v>
      </c>
      <c r="AL701" s="4">
        <v>56</v>
      </c>
      <c r="AM701" s="4">
        <v>58</v>
      </c>
      <c r="AN701" s="4">
        <v>0</v>
      </c>
      <c r="AO701" s="4">
        <v>0</v>
      </c>
      <c r="AP701" s="4">
        <v>29</v>
      </c>
      <c r="AQ701" s="4">
        <v>33</v>
      </c>
      <c r="AR701" s="3" t="s">
        <v>62</v>
      </c>
      <c r="AS701" s="3" t="s">
        <v>62</v>
      </c>
      <c r="AT701" s="3" t="s">
        <v>62</v>
      </c>
      <c r="AV701" s="6" t="str">
        <f>HYPERLINK("http://mcgill.on.worldcat.org/oclc/8927938","Catalog Record")</f>
        <v>Catalog Record</v>
      </c>
      <c r="AW701" s="6" t="str">
        <f>HYPERLINK("http://www.worldcat.org/oclc/8927938","WorldCat Record")</f>
        <v>WorldCat Record</v>
      </c>
      <c r="AX701" s="3" t="s">
        <v>6731</v>
      </c>
      <c r="AY701" s="3" t="s">
        <v>6732</v>
      </c>
      <c r="AZ701" s="3" t="s">
        <v>6733</v>
      </c>
      <c r="BA701" s="3" t="s">
        <v>6733</v>
      </c>
      <c r="BB701" s="3" t="s">
        <v>6737</v>
      </c>
      <c r="BC701" s="3" t="s">
        <v>142</v>
      </c>
      <c r="BD701" s="3" t="s">
        <v>68</v>
      </c>
      <c r="BE701" s="3" t="s">
        <v>6735</v>
      </c>
      <c r="BF701" s="3" t="s">
        <v>6737</v>
      </c>
      <c r="BG701" s="3" t="s">
        <v>6738</v>
      </c>
    </row>
    <row r="702" spans="1:59" ht="57" x14ac:dyDescent="0.45">
      <c r="A702" s="2" t="s">
        <v>59</v>
      </c>
      <c r="B702" s="2" t="s">
        <v>60</v>
      </c>
      <c r="C702" s="2" t="s">
        <v>6725</v>
      </c>
      <c r="D702" s="2" t="s">
        <v>6726</v>
      </c>
      <c r="E702" s="2" t="s">
        <v>6727</v>
      </c>
      <c r="G702" s="3" t="s">
        <v>62</v>
      </c>
      <c r="I702" s="3" t="s">
        <v>61</v>
      </c>
      <c r="J702" s="3" t="s">
        <v>62</v>
      </c>
      <c r="K702" s="3" t="s">
        <v>63</v>
      </c>
      <c r="L702" s="2" t="s">
        <v>6728</v>
      </c>
      <c r="M702" s="2" t="s">
        <v>6729</v>
      </c>
      <c r="N702" s="3" t="s">
        <v>106</v>
      </c>
      <c r="P702" s="3" t="s">
        <v>65</v>
      </c>
      <c r="R702" s="3" t="s">
        <v>66</v>
      </c>
      <c r="S702" s="4">
        <v>35</v>
      </c>
      <c r="T702" s="4">
        <v>44</v>
      </c>
      <c r="U702" s="5" t="s">
        <v>6739</v>
      </c>
      <c r="V702" s="5" t="s">
        <v>3596</v>
      </c>
      <c r="W702" s="5" t="s">
        <v>67</v>
      </c>
      <c r="X702" s="5" t="s">
        <v>67</v>
      </c>
      <c r="Y702" s="4">
        <v>539</v>
      </c>
      <c r="Z702" s="4">
        <v>41</v>
      </c>
      <c r="AA702" s="4">
        <v>46</v>
      </c>
      <c r="AB702" s="4">
        <v>2</v>
      </c>
      <c r="AC702" s="4">
        <v>5</v>
      </c>
      <c r="AD702" s="4">
        <v>128</v>
      </c>
      <c r="AE702" s="4">
        <v>136</v>
      </c>
      <c r="AF702" s="4">
        <v>1</v>
      </c>
      <c r="AG702" s="4">
        <v>4</v>
      </c>
      <c r="AH702" s="4">
        <v>107</v>
      </c>
      <c r="AI702" s="4">
        <v>111</v>
      </c>
      <c r="AJ702" s="4">
        <v>22</v>
      </c>
      <c r="AK702" s="4">
        <v>25</v>
      </c>
      <c r="AL702" s="4">
        <v>56</v>
      </c>
      <c r="AM702" s="4">
        <v>58</v>
      </c>
      <c r="AN702" s="4">
        <v>0</v>
      </c>
      <c r="AO702" s="4">
        <v>0</v>
      </c>
      <c r="AP702" s="4">
        <v>29</v>
      </c>
      <c r="AQ702" s="4">
        <v>33</v>
      </c>
      <c r="AR702" s="3" t="s">
        <v>62</v>
      </c>
      <c r="AS702" s="3" t="s">
        <v>62</v>
      </c>
      <c r="AT702" s="3" t="s">
        <v>62</v>
      </c>
      <c r="AV702" s="6" t="str">
        <f>HYPERLINK("http://mcgill.on.worldcat.org/oclc/8927938","Catalog Record")</f>
        <v>Catalog Record</v>
      </c>
      <c r="AW702" s="6" t="str">
        <f>HYPERLINK("http://www.worldcat.org/oclc/8927938","WorldCat Record")</f>
        <v>WorldCat Record</v>
      </c>
      <c r="AX702" s="3" t="s">
        <v>6731</v>
      </c>
      <c r="AY702" s="3" t="s">
        <v>6732</v>
      </c>
      <c r="AZ702" s="3" t="s">
        <v>6733</v>
      </c>
      <c r="BA702" s="3" t="s">
        <v>6733</v>
      </c>
      <c r="BB702" s="3" t="s">
        <v>6740</v>
      </c>
      <c r="BC702" s="3" t="s">
        <v>142</v>
      </c>
      <c r="BD702" s="3" t="s">
        <v>68</v>
      </c>
      <c r="BE702" s="3" t="s">
        <v>6735</v>
      </c>
      <c r="BF702" s="3" t="s">
        <v>6740</v>
      </c>
      <c r="BG702" s="3" t="s">
        <v>6741</v>
      </c>
    </row>
    <row r="703" spans="1:59" ht="57" x14ac:dyDescent="0.45">
      <c r="A703" s="2" t="s">
        <v>59</v>
      </c>
      <c r="B703" s="2" t="s">
        <v>60</v>
      </c>
      <c r="C703" s="2" t="s">
        <v>6742</v>
      </c>
      <c r="D703" s="2" t="s">
        <v>6743</v>
      </c>
      <c r="E703" s="2" t="s">
        <v>6744</v>
      </c>
      <c r="G703" s="3" t="s">
        <v>62</v>
      </c>
      <c r="I703" s="3" t="s">
        <v>62</v>
      </c>
      <c r="J703" s="3" t="s">
        <v>62</v>
      </c>
      <c r="K703" s="3" t="s">
        <v>63</v>
      </c>
      <c r="M703" s="2" t="s">
        <v>6745</v>
      </c>
      <c r="N703" s="3" t="s">
        <v>1097</v>
      </c>
      <c r="P703" s="3" t="s">
        <v>65</v>
      </c>
      <c r="Q703" s="2" t="s">
        <v>6746</v>
      </c>
      <c r="R703" s="3" t="s">
        <v>66</v>
      </c>
      <c r="S703" s="4">
        <v>1</v>
      </c>
      <c r="T703" s="4">
        <v>1</v>
      </c>
      <c r="U703" s="5" t="s">
        <v>6747</v>
      </c>
      <c r="V703" s="5" t="s">
        <v>6747</v>
      </c>
      <c r="W703" s="5" t="s">
        <v>67</v>
      </c>
      <c r="X703" s="5" t="s">
        <v>67</v>
      </c>
      <c r="Y703" s="4">
        <v>32</v>
      </c>
      <c r="Z703" s="4">
        <v>6</v>
      </c>
      <c r="AA703" s="4">
        <v>6</v>
      </c>
      <c r="AB703" s="4">
        <v>1</v>
      </c>
      <c r="AC703" s="4">
        <v>1</v>
      </c>
      <c r="AD703" s="4">
        <v>14</v>
      </c>
      <c r="AE703" s="4">
        <v>14</v>
      </c>
      <c r="AF703" s="4">
        <v>0</v>
      </c>
      <c r="AG703" s="4">
        <v>0</v>
      </c>
      <c r="AH703" s="4">
        <v>12</v>
      </c>
      <c r="AI703" s="4">
        <v>12</v>
      </c>
      <c r="AJ703" s="4">
        <v>3</v>
      </c>
      <c r="AK703" s="4">
        <v>3</v>
      </c>
      <c r="AL703" s="4">
        <v>8</v>
      </c>
      <c r="AM703" s="4">
        <v>8</v>
      </c>
      <c r="AN703" s="4">
        <v>0</v>
      </c>
      <c r="AO703" s="4">
        <v>0</v>
      </c>
      <c r="AP703" s="4">
        <v>3</v>
      </c>
      <c r="AQ703" s="4">
        <v>3</v>
      </c>
      <c r="AR703" s="3" t="s">
        <v>62</v>
      </c>
      <c r="AS703" s="3" t="s">
        <v>62</v>
      </c>
      <c r="AT703" s="3" t="s">
        <v>62</v>
      </c>
      <c r="AV703" s="6" t="str">
        <f>HYPERLINK("http://mcgill.on.worldcat.org/oclc/60817468","Catalog Record")</f>
        <v>Catalog Record</v>
      </c>
      <c r="AW703" s="6" t="str">
        <f>HYPERLINK("http://www.worldcat.org/oclc/60817468","WorldCat Record")</f>
        <v>WorldCat Record</v>
      </c>
      <c r="AX703" s="3" t="s">
        <v>6748</v>
      </c>
      <c r="AY703" s="3" t="s">
        <v>6749</v>
      </c>
      <c r="AZ703" s="3" t="s">
        <v>6750</v>
      </c>
      <c r="BA703" s="3" t="s">
        <v>6750</v>
      </c>
      <c r="BB703" s="3" t="s">
        <v>6751</v>
      </c>
      <c r="BC703" s="3" t="s">
        <v>142</v>
      </c>
      <c r="BD703" s="3" t="s">
        <v>68</v>
      </c>
      <c r="BE703" s="3" t="s">
        <v>6752</v>
      </c>
      <c r="BF703" s="3" t="s">
        <v>6751</v>
      </c>
      <c r="BG703" s="3" t="s">
        <v>6753</v>
      </c>
    </row>
    <row r="704" spans="1:59" ht="57" x14ac:dyDescent="0.45">
      <c r="A704" s="2" t="s">
        <v>59</v>
      </c>
      <c r="B704" s="2" t="s">
        <v>60</v>
      </c>
      <c r="C704" s="2" t="s">
        <v>6754</v>
      </c>
      <c r="D704" s="2" t="s">
        <v>6755</v>
      </c>
      <c r="E704" s="2" t="s">
        <v>6756</v>
      </c>
      <c r="G704" s="3" t="s">
        <v>62</v>
      </c>
      <c r="I704" s="3" t="s">
        <v>62</v>
      </c>
      <c r="J704" s="3" t="s">
        <v>62</v>
      </c>
      <c r="K704" s="3" t="s">
        <v>63</v>
      </c>
      <c r="L704" s="2" t="s">
        <v>6757</v>
      </c>
      <c r="M704" s="2" t="s">
        <v>6758</v>
      </c>
      <c r="N704" s="3" t="s">
        <v>480</v>
      </c>
      <c r="P704" s="3" t="s">
        <v>110</v>
      </c>
      <c r="Q704" s="2" t="s">
        <v>6759</v>
      </c>
      <c r="R704" s="3" t="s">
        <v>66</v>
      </c>
      <c r="S704" s="4">
        <v>35</v>
      </c>
      <c r="T704" s="4">
        <v>35</v>
      </c>
      <c r="U704" s="5" t="s">
        <v>6760</v>
      </c>
      <c r="V704" s="5" t="s">
        <v>6760</v>
      </c>
      <c r="W704" s="5" t="s">
        <v>67</v>
      </c>
      <c r="X704" s="5" t="s">
        <v>67</v>
      </c>
      <c r="Y704" s="4">
        <v>336</v>
      </c>
      <c r="Z704" s="4">
        <v>29</v>
      </c>
      <c r="AA704" s="4">
        <v>46</v>
      </c>
      <c r="AB704" s="4">
        <v>3</v>
      </c>
      <c r="AC704" s="4">
        <v>12</v>
      </c>
      <c r="AD704" s="4">
        <v>117</v>
      </c>
      <c r="AE704" s="4">
        <v>125</v>
      </c>
      <c r="AF704" s="4">
        <v>1</v>
      </c>
      <c r="AG704" s="4">
        <v>6</v>
      </c>
      <c r="AH704" s="4">
        <v>100</v>
      </c>
      <c r="AI704" s="4">
        <v>102</v>
      </c>
      <c r="AJ704" s="4">
        <v>21</v>
      </c>
      <c r="AK704" s="4">
        <v>26</v>
      </c>
      <c r="AL704" s="4">
        <v>57</v>
      </c>
      <c r="AM704" s="4">
        <v>58</v>
      </c>
      <c r="AN704" s="4">
        <v>0</v>
      </c>
      <c r="AO704" s="4">
        <v>0</v>
      </c>
      <c r="AP704" s="4">
        <v>25</v>
      </c>
      <c r="AQ704" s="4">
        <v>32</v>
      </c>
      <c r="AR704" s="3" t="s">
        <v>62</v>
      </c>
      <c r="AS704" s="3" t="s">
        <v>62</v>
      </c>
      <c r="AT704" s="3" t="s">
        <v>61</v>
      </c>
      <c r="AU704" s="6" t="str">
        <f>HYPERLINK("http://catalog.hathitrust.org/Record/000508385","HathiTrust Record")</f>
        <v>HathiTrust Record</v>
      </c>
      <c r="AV704" s="6" t="str">
        <f>HYPERLINK("http://mcgill.on.worldcat.org/oclc/6920979","Catalog Record")</f>
        <v>Catalog Record</v>
      </c>
      <c r="AW704" s="6" t="str">
        <f>HYPERLINK("http://www.worldcat.org/oclc/6920979","WorldCat Record")</f>
        <v>WorldCat Record</v>
      </c>
      <c r="AX704" s="3" t="s">
        <v>6761</v>
      </c>
      <c r="AY704" s="3" t="s">
        <v>6762</v>
      </c>
      <c r="AZ704" s="3" t="s">
        <v>6763</v>
      </c>
      <c r="BA704" s="3" t="s">
        <v>6763</v>
      </c>
      <c r="BB704" s="3" t="s">
        <v>6764</v>
      </c>
      <c r="BC704" s="3" t="s">
        <v>142</v>
      </c>
      <c r="BD704" s="3" t="s">
        <v>68</v>
      </c>
      <c r="BE704" s="3" t="s">
        <v>6765</v>
      </c>
      <c r="BF704" s="3" t="s">
        <v>6764</v>
      </c>
      <c r="BG704" s="3" t="s">
        <v>6766</v>
      </c>
    </row>
    <row r="705" spans="1:59" ht="57" x14ac:dyDescent="0.45">
      <c r="A705" s="2" t="s">
        <v>59</v>
      </c>
      <c r="B705" s="2" t="s">
        <v>60</v>
      </c>
      <c r="C705" s="2" t="s">
        <v>6767</v>
      </c>
      <c r="D705" s="2" t="s">
        <v>6768</v>
      </c>
      <c r="E705" s="2" t="s">
        <v>6769</v>
      </c>
      <c r="G705" s="3" t="s">
        <v>62</v>
      </c>
      <c r="I705" s="3" t="s">
        <v>62</v>
      </c>
      <c r="J705" s="3" t="s">
        <v>62</v>
      </c>
      <c r="K705" s="3" t="s">
        <v>63</v>
      </c>
      <c r="L705" s="2" t="s">
        <v>6770</v>
      </c>
      <c r="M705" s="2" t="s">
        <v>6771</v>
      </c>
      <c r="N705" s="3" t="s">
        <v>1918</v>
      </c>
      <c r="P705" s="3" t="s">
        <v>65</v>
      </c>
      <c r="Q705" s="2" t="s">
        <v>6772</v>
      </c>
      <c r="R705" s="3" t="s">
        <v>66</v>
      </c>
      <c r="S705" s="4">
        <v>0</v>
      </c>
      <c r="T705" s="4">
        <v>0</v>
      </c>
      <c r="W705" s="5" t="s">
        <v>67</v>
      </c>
      <c r="X705" s="5" t="s">
        <v>67</v>
      </c>
      <c r="Y705" s="4">
        <v>83</v>
      </c>
      <c r="Z705" s="4">
        <v>7</v>
      </c>
      <c r="AA705" s="4">
        <v>71</v>
      </c>
      <c r="AB705" s="4">
        <v>1</v>
      </c>
      <c r="AC705" s="4">
        <v>14</v>
      </c>
      <c r="AD705" s="4">
        <v>47</v>
      </c>
      <c r="AE705" s="4">
        <v>96</v>
      </c>
      <c r="AF705" s="4">
        <v>0</v>
      </c>
      <c r="AG705" s="4">
        <v>8</v>
      </c>
      <c r="AH705" s="4">
        <v>45</v>
      </c>
      <c r="AI705" s="4">
        <v>69</v>
      </c>
      <c r="AJ705" s="4">
        <v>5</v>
      </c>
      <c r="AK705" s="4">
        <v>17</v>
      </c>
      <c r="AL705" s="4">
        <v>31</v>
      </c>
      <c r="AM705" s="4">
        <v>39</v>
      </c>
      <c r="AN705" s="4">
        <v>0</v>
      </c>
      <c r="AO705" s="4">
        <v>0</v>
      </c>
      <c r="AP705" s="4">
        <v>6</v>
      </c>
      <c r="AQ705" s="4">
        <v>34</v>
      </c>
      <c r="AR705" s="3" t="s">
        <v>62</v>
      </c>
      <c r="AS705" s="3" t="s">
        <v>62</v>
      </c>
      <c r="AT705" s="3" t="s">
        <v>62</v>
      </c>
      <c r="AV705" s="6" t="str">
        <f>HYPERLINK("http://mcgill.on.worldcat.org/oclc/963915078","Catalog Record")</f>
        <v>Catalog Record</v>
      </c>
      <c r="AW705" s="6" t="str">
        <f>HYPERLINK("http://www.worldcat.org/oclc/963915078","WorldCat Record")</f>
        <v>WorldCat Record</v>
      </c>
      <c r="AX705" s="3" t="s">
        <v>6773</v>
      </c>
      <c r="AY705" s="3" t="s">
        <v>6774</v>
      </c>
      <c r="AZ705" s="3" t="s">
        <v>6775</v>
      </c>
      <c r="BA705" s="3" t="s">
        <v>6775</v>
      </c>
      <c r="BB705" s="3" t="s">
        <v>6776</v>
      </c>
      <c r="BC705" s="3" t="s">
        <v>142</v>
      </c>
      <c r="BD705" s="3" t="s">
        <v>68</v>
      </c>
      <c r="BE705" s="3" t="s">
        <v>6777</v>
      </c>
      <c r="BF705" s="3" t="s">
        <v>6776</v>
      </c>
      <c r="BG705" s="3" t="s">
        <v>6778</v>
      </c>
    </row>
    <row r="706" spans="1:59" ht="57" x14ac:dyDescent="0.45">
      <c r="A706" s="2" t="s">
        <v>59</v>
      </c>
      <c r="B706" s="2" t="s">
        <v>60</v>
      </c>
      <c r="C706" s="2" t="s">
        <v>6781</v>
      </c>
      <c r="D706" s="2" t="s">
        <v>6782</v>
      </c>
      <c r="E706" s="2" t="s">
        <v>6783</v>
      </c>
      <c r="G706" s="3" t="s">
        <v>62</v>
      </c>
      <c r="I706" s="3" t="s">
        <v>62</v>
      </c>
      <c r="J706" s="3" t="s">
        <v>62</v>
      </c>
      <c r="K706" s="3" t="s">
        <v>63</v>
      </c>
      <c r="M706" s="2" t="s">
        <v>6784</v>
      </c>
      <c r="N706" s="3" t="s">
        <v>149</v>
      </c>
      <c r="P706" s="3" t="s">
        <v>65</v>
      </c>
      <c r="Q706" s="2" t="s">
        <v>6785</v>
      </c>
      <c r="R706" s="3" t="s">
        <v>66</v>
      </c>
      <c r="S706" s="4">
        <v>1</v>
      </c>
      <c r="T706" s="4">
        <v>1</v>
      </c>
      <c r="U706" s="5" t="s">
        <v>6786</v>
      </c>
      <c r="V706" s="5" t="s">
        <v>6786</v>
      </c>
      <c r="W706" s="5" t="s">
        <v>67</v>
      </c>
      <c r="X706" s="5" t="s">
        <v>67</v>
      </c>
      <c r="Y706" s="4">
        <v>68</v>
      </c>
      <c r="Z706" s="4">
        <v>8</v>
      </c>
      <c r="AA706" s="4">
        <v>99</v>
      </c>
      <c r="AB706" s="4">
        <v>1</v>
      </c>
      <c r="AC706" s="4">
        <v>17</v>
      </c>
      <c r="AD706" s="4">
        <v>30</v>
      </c>
      <c r="AE706" s="4">
        <v>111</v>
      </c>
      <c r="AF706" s="4">
        <v>0</v>
      </c>
      <c r="AG706" s="4">
        <v>8</v>
      </c>
      <c r="AH706" s="4">
        <v>29</v>
      </c>
      <c r="AI706" s="4">
        <v>76</v>
      </c>
      <c r="AJ706" s="4">
        <v>4</v>
      </c>
      <c r="AK706" s="4">
        <v>21</v>
      </c>
      <c r="AL706" s="4">
        <v>18</v>
      </c>
      <c r="AM706" s="4">
        <v>38</v>
      </c>
      <c r="AN706" s="4">
        <v>0</v>
      </c>
      <c r="AO706" s="4">
        <v>0</v>
      </c>
      <c r="AP706" s="4">
        <v>4</v>
      </c>
      <c r="AQ706" s="4">
        <v>42</v>
      </c>
      <c r="AR706" s="3" t="s">
        <v>62</v>
      </c>
      <c r="AS706" s="3" t="s">
        <v>62</v>
      </c>
      <c r="AT706" s="3" t="s">
        <v>62</v>
      </c>
      <c r="AV706" s="6" t="str">
        <f>HYPERLINK("http://mcgill.on.worldcat.org/oclc/647901928","Catalog Record")</f>
        <v>Catalog Record</v>
      </c>
      <c r="AW706" s="6" t="str">
        <f>HYPERLINK("http://www.worldcat.org/oclc/647901928","WorldCat Record")</f>
        <v>WorldCat Record</v>
      </c>
      <c r="AX706" s="3" t="s">
        <v>6787</v>
      </c>
      <c r="AY706" s="3" t="s">
        <v>6788</v>
      </c>
      <c r="AZ706" s="3" t="s">
        <v>6789</v>
      </c>
      <c r="BA706" s="3" t="s">
        <v>6789</v>
      </c>
      <c r="BB706" s="3" t="s">
        <v>6790</v>
      </c>
      <c r="BC706" s="3" t="s">
        <v>142</v>
      </c>
      <c r="BD706" s="3" t="s">
        <v>68</v>
      </c>
      <c r="BE706" s="3" t="s">
        <v>6791</v>
      </c>
      <c r="BF706" s="3" t="s">
        <v>6790</v>
      </c>
      <c r="BG706" s="3" t="s">
        <v>6792</v>
      </c>
    </row>
    <row r="707" spans="1:59" ht="57" x14ac:dyDescent="0.45">
      <c r="A707" s="2" t="s">
        <v>59</v>
      </c>
      <c r="B707" s="2" t="s">
        <v>60</v>
      </c>
      <c r="C707" s="2" t="s">
        <v>6793</v>
      </c>
      <c r="D707" s="2" t="s">
        <v>6794</v>
      </c>
      <c r="E707" s="2" t="s">
        <v>6795</v>
      </c>
      <c r="G707" s="3" t="s">
        <v>62</v>
      </c>
      <c r="I707" s="3" t="s">
        <v>62</v>
      </c>
      <c r="J707" s="3" t="s">
        <v>62</v>
      </c>
      <c r="K707" s="3" t="s">
        <v>63</v>
      </c>
      <c r="M707" s="2" t="s">
        <v>6796</v>
      </c>
      <c r="N707" s="3" t="s">
        <v>1465</v>
      </c>
      <c r="O707" s="2" t="s">
        <v>168</v>
      </c>
      <c r="P707" s="3" t="s">
        <v>65</v>
      </c>
      <c r="R707" s="3" t="s">
        <v>66</v>
      </c>
      <c r="S707" s="4">
        <v>5</v>
      </c>
      <c r="T707" s="4">
        <v>5</v>
      </c>
      <c r="U707" s="5" t="s">
        <v>6620</v>
      </c>
      <c r="V707" s="5" t="s">
        <v>6620</v>
      </c>
      <c r="W707" s="5" t="s">
        <v>67</v>
      </c>
      <c r="X707" s="5" t="s">
        <v>67</v>
      </c>
      <c r="Y707" s="4">
        <v>155</v>
      </c>
      <c r="Z707" s="4">
        <v>12</v>
      </c>
      <c r="AA707" s="4">
        <v>13</v>
      </c>
      <c r="AB707" s="4">
        <v>2</v>
      </c>
      <c r="AC707" s="4">
        <v>3</v>
      </c>
      <c r="AD707" s="4">
        <v>43</v>
      </c>
      <c r="AE707" s="4">
        <v>44</v>
      </c>
      <c r="AF707" s="4">
        <v>0</v>
      </c>
      <c r="AG707" s="4">
        <v>1</v>
      </c>
      <c r="AH707" s="4">
        <v>37</v>
      </c>
      <c r="AI707" s="4">
        <v>38</v>
      </c>
      <c r="AJ707" s="4">
        <v>9</v>
      </c>
      <c r="AK707" s="4">
        <v>10</v>
      </c>
      <c r="AL707" s="4">
        <v>22</v>
      </c>
      <c r="AM707" s="4">
        <v>22</v>
      </c>
      <c r="AN707" s="4">
        <v>0</v>
      </c>
      <c r="AO707" s="4">
        <v>0</v>
      </c>
      <c r="AP707" s="4">
        <v>10</v>
      </c>
      <c r="AQ707" s="4">
        <v>11</v>
      </c>
      <c r="AR707" s="3" t="s">
        <v>62</v>
      </c>
      <c r="AS707" s="3" t="s">
        <v>62</v>
      </c>
      <c r="AT707" s="3" t="s">
        <v>61</v>
      </c>
      <c r="AU707" s="6" t="str">
        <f>HYPERLINK("http://catalog.hathitrust.org/Record/005901876","HathiTrust Record")</f>
        <v>HathiTrust Record</v>
      </c>
      <c r="AV707" s="6" t="str">
        <f>HYPERLINK("http://mcgill.on.worldcat.org/oclc/190877080","Catalog Record")</f>
        <v>Catalog Record</v>
      </c>
      <c r="AW707" s="6" t="str">
        <f>HYPERLINK("http://www.worldcat.org/oclc/190877080","WorldCat Record")</f>
        <v>WorldCat Record</v>
      </c>
      <c r="AX707" s="3" t="s">
        <v>6797</v>
      </c>
      <c r="AY707" s="3" t="s">
        <v>6798</v>
      </c>
      <c r="AZ707" s="3" t="s">
        <v>6799</v>
      </c>
      <c r="BA707" s="3" t="s">
        <v>6799</v>
      </c>
      <c r="BB707" s="3" t="s">
        <v>6800</v>
      </c>
      <c r="BC707" s="3" t="s">
        <v>142</v>
      </c>
      <c r="BD707" s="3" t="s">
        <v>68</v>
      </c>
      <c r="BE707" s="3" t="s">
        <v>6801</v>
      </c>
      <c r="BF707" s="3" t="s">
        <v>6800</v>
      </c>
      <c r="BG707" s="3" t="s">
        <v>6802</v>
      </c>
    </row>
    <row r="708" spans="1:59" ht="57" x14ac:dyDescent="0.45">
      <c r="A708" s="2" t="s">
        <v>59</v>
      </c>
      <c r="B708" s="2" t="s">
        <v>60</v>
      </c>
      <c r="C708" s="2" t="s">
        <v>6803</v>
      </c>
      <c r="D708" s="2" t="s">
        <v>6804</v>
      </c>
      <c r="E708" s="2" t="s">
        <v>6805</v>
      </c>
      <c r="G708" s="3" t="s">
        <v>62</v>
      </c>
      <c r="I708" s="3" t="s">
        <v>61</v>
      </c>
      <c r="J708" s="3" t="s">
        <v>62</v>
      </c>
      <c r="K708" s="3" t="s">
        <v>63</v>
      </c>
      <c r="L708" s="2" t="s">
        <v>6806</v>
      </c>
      <c r="M708" s="2" t="s">
        <v>1291</v>
      </c>
      <c r="N708" s="3" t="s">
        <v>625</v>
      </c>
      <c r="O708" s="2" t="s">
        <v>168</v>
      </c>
      <c r="P708" s="3" t="s">
        <v>65</v>
      </c>
      <c r="Q708" s="2" t="s">
        <v>6807</v>
      </c>
      <c r="R708" s="3" t="s">
        <v>66</v>
      </c>
      <c r="S708" s="4">
        <v>120</v>
      </c>
      <c r="T708" s="4">
        <v>232</v>
      </c>
      <c r="U708" s="5" t="s">
        <v>6808</v>
      </c>
      <c r="V708" s="5" t="s">
        <v>6809</v>
      </c>
      <c r="W708" s="5" t="s">
        <v>67</v>
      </c>
      <c r="X708" s="5" t="s">
        <v>67</v>
      </c>
      <c r="Y708" s="4">
        <v>820</v>
      </c>
      <c r="Z708" s="4">
        <v>49</v>
      </c>
      <c r="AA708" s="4">
        <v>66</v>
      </c>
      <c r="AB708" s="4">
        <v>2</v>
      </c>
      <c r="AC708" s="4">
        <v>7</v>
      </c>
      <c r="AD708" s="4">
        <v>137</v>
      </c>
      <c r="AE708" s="4">
        <v>147</v>
      </c>
      <c r="AF708" s="4">
        <v>1</v>
      </c>
      <c r="AG708" s="4">
        <v>4</v>
      </c>
      <c r="AH708" s="4">
        <v>106</v>
      </c>
      <c r="AI708" s="4">
        <v>110</v>
      </c>
      <c r="AJ708" s="4">
        <v>22</v>
      </c>
      <c r="AK708" s="4">
        <v>26</v>
      </c>
      <c r="AL708" s="4">
        <v>56</v>
      </c>
      <c r="AM708" s="4">
        <v>58</v>
      </c>
      <c r="AN708" s="4">
        <v>0</v>
      </c>
      <c r="AO708" s="4">
        <v>0</v>
      </c>
      <c r="AP708" s="4">
        <v>39</v>
      </c>
      <c r="AQ708" s="4">
        <v>46</v>
      </c>
      <c r="AR708" s="3" t="s">
        <v>62</v>
      </c>
      <c r="AS708" s="3" t="s">
        <v>62</v>
      </c>
      <c r="AT708" s="3" t="s">
        <v>61</v>
      </c>
      <c r="AU708" s="6" t="str">
        <f>HYPERLINK("http://catalog.hathitrust.org/Record/000866853","HathiTrust Record")</f>
        <v>HathiTrust Record</v>
      </c>
      <c r="AV708" s="6" t="str">
        <f>HYPERLINK("http://mcgill.on.worldcat.org/oclc/13859718","Catalog Record")</f>
        <v>Catalog Record</v>
      </c>
      <c r="AW708" s="6" t="str">
        <f>HYPERLINK("http://www.worldcat.org/oclc/13859718","WorldCat Record")</f>
        <v>WorldCat Record</v>
      </c>
      <c r="AX708" s="3" t="s">
        <v>6810</v>
      </c>
      <c r="AY708" s="3" t="s">
        <v>6811</v>
      </c>
      <c r="AZ708" s="3" t="s">
        <v>6812</v>
      </c>
      <c r="BA708" s="3" t="s">
        <v>6812</v>
      </c>
      <c r="BB708" s="3" t="s">
        <v>6813</v>
      </c>
      <c r="BC708" s="3" t="s">
        <v>142</v>
      </c>
      <c r="BD708" s="3" t="s">
        <v>68</v>
      </c>
      <c r="BE708" s="3" t="s">
        <v>6814</v>
      </c>
      <c r="BF708" s="3" t="s">
        <v>6813</v>
      </c>
      <c r="BG708" s="3" t="s">
        <v>6815</v>
      </c>
    </row>
    <row r="709" spans="1:59" ht="57" x14ac:dyDescent="0.45">
      <c r="A709" s="2" t="s">
        <v>59</v>
      </c>
      <c r="B709" s="2" t="s">
        <v>60</v>
      </c>
      <c r="C709" s="2" t="s">
        <v>6803</v>
      </c>
      <c r="D709" s="2" t="s">
        <v>6804</v>
      </c>
      <c r="E709" s="2" t="s">
        <v>6805</v>
      </c>
      <c r="G709" s="3" t="s">
        <v>62</v>
      </c>
      <c r="I709" s="3" t="s">
        <v>61</v>
      </c>
      <c r="J709" s="3" t="s">
        <v>62</v>
      </c>
      <c r="K709" s="3" t="s">
        <v>63</v>
      </c>
      <c r="L709" s="2" t="s">
        <v>6806</v>
      </c>
      <c r="M709" s="2" t="s">
        <v>1291</v>
      </c>
      <c r="N709" s="3" t="s">
        <v>625</v>
      </c>
      <c r="O709" s="2" t="s">
        <v>168</v>
      </c>
      <c r="P709" s="3" t="s">
        <v>65</v>
      </c>
      <c r="Q709" s="2" t="s">
        <v>6807</v>
      </c>
      <c r="R709" s="3" t="s">
        <v>66</v>
      </c>
      <c r="S709" s="4">
        <v>112</v>
      </c>
      <c r="T709" s="4">
        <v>232</v>
      </c>
      <c r="U709" s="5" t="s">
        <v>6809</v>
      </c>
      <c r="V709" s="5" t="s">
        <v>6809</v>
      </c>
      <c r="W709" s="5" t="s">
        <v>67</v>
      </c>
      <c r="X709" s="5" t="s">
        <v>67</v>
      </c>
      <c r="Y709" s="4">
        <v>820</v>
      </c>
      <c r="Z709" s="4">
        <v>49</v>
      </c>
      <c r="AA709" s="4">
        <v>66</v>
      </c>
      <c r="AB709" s="4">
        <v>2</v>
      </c>
      <c r="AC709" s="4">
        <v>7</v>
      </c>
      <c r="AD709" s="4">
        <v>137</v>
      </c>
      <c r="AE709" s="4">
        <v>147</v>
      </c>
      <c r="AF709" s="4">
        <v>1</v>
      </c>
      <c r="AG709" s="4">
        <v>4</v>
      </c>
      <c r="AH709" s="4">
        <v>106</v>
      </c>
      <c r="AI709" s="4">
        <v>110</v>
      </c>
      <c r="AJ709" s="4">
        <v>22</v>
      </c>
      <c r="AK709" s="4">
        <v>26</v>
      </c>
      <c r="AL709" s="4">
        <v>56</v>
      </c>
      <c r="AM709" s="4">
        <v>58</v>
      </c>
      <c r="AN709" s="4">
        <v>0</v>
      </c>
      <c r="AO709" s="4">
        <v>0</v>
      </c>
      <c r="AP709" s="4">
        <v>39</v>
      </c>
      <c r="AQ709" s="4">
        <v>46</v>
      </c>
      <c r="AR709" s="3" t="s">
        <v>62</v>
      </c>
      <c r="AS709" s="3" t="s">
        <v>62</v>
      </c>
      <c r="AT709" s="3" t="s">
        <v>61</v>
      </c>
      <c r="AU709" s="6" t="str">
        <f>HYPERLINK("http://catalog.hathitrust.org/Record/000866853","HathiTrust Record")</f>
        <v>HathiTrust Record</v>
      </c>
      <c r="AV709" s="6" t="str">
        <f>HYPERLINK("http://mcgill.on.worldcat.org/oclc/13859718","Catalog Record")</f>
        <v>Catalog Record</v>
      </c>
      <c r="AW709" s="6" t="str">
        <f>HYPERLINK("http://www.worldcat.org/oclc/13859718","WorldCat Record")</f>
        <v>WorldCat Record</v>
      </c>
      <c r="AX709" s="3" t="s">
        <v>6810</v>
      </c>
      <c r="AY709" s="3" t="s">
        <v>6811</v>
      </c>
      <c r="AZ709" s="3" t="s">
        <v>6812</v>
      </c>
      <c r="BA709" s="3" t="s">
        <v>6812</v>
      </c>
      <c r="BB709" s="3" t="s">
        <v>6816</v>
      </c>
      <c r="BC709" s="3" t="s">
        <v>142</v>
      </c>
      <c r="BD709" s="3" t="s">
        <v>68</v>
      </c>
      <c r="BE709" s="3" t="s">
        <v>6814</v>
      </c>
      <c r="BF709" s="3" t="s">
        <v>6816</v>
      </c>
      <c r="BG709" s="3" t="s">
        <v>6817</v>
      </c>
    </row>
    <row r="710" spans="1:59" ht="57" x14ac:dyDescent="0.45">
      <c r="A710" s="2" t="s">
        <v>59</v>
      </c>
      <c r="B710" s="2" t="s">
        <v>60</v>
      </c>
      <c r="C710" s="2" t="s">
        <v>6818</v>
      </c>
      <c r="D710" s="2" t="s">
        <v>6819</v>
      </c>
      <c r="E710" s="2" t="s">
        <v>6820</v>
      </c>
      <c r="G710" s="3" t="s">
        <v>62</v>
      </c>
      <c r="I710" s="3" t="s">
        <v>61</v>
      </c>
      <c r="J710" s="3" t="s">
        <v>62</v>
      </c>
      <c r="K710" s="3" t="s">
        <v>63</v>
      </c>
      <c r="L710" s="2" t="s">
        <v>6821</v>
      </c>
      <c r="M710" s="2" t="s">
        <v>6822</v>
      </c>
      <c r="N710" s="3" t="s">
        <v>2107</v>
      </c>
      <c r="P710" s="3" t="s">
        <v>110</v>
      </c>
      <c r="Q710" s="2" t="s">
        <v>6823</v>
      </c>
      <c r="R710" s="3" t="s">
        <v>66</v>
      </c>
      <c r="S710" s="4">
        <v>77</v>
      </c>
      <c r="T710" s="4">
        <v>78</v>
      </c>
      <c r="U710" s="5" t="s">
        <v>6824</v>
      </c>
      <c r="V710" s="5" t="s">
        <v>6824</v>
      </c>
      <c r="W710" s="5" t="s">
        <v>67</v>
      </c>
      <c r="X710" s="5" t="s">
        <v>67</v>
      </c>
      <c r="Y710" s="4">
        <v>283</v>
      </c>
      <c r="Z710" s="4">
        <v>23</v>
      </c>
      <c r="AA710" s="4">
        <v>35</v>
      </c>
      <c r="AB710" s="4">
        <v>1</v>
      </c>
      <c r="AC710" s="4">
        <v>6</v>
      </c>
      <c r="AD710" s="4">
        <v>99</v>
      </c>
      <c r="AE710" s="4">
        <v>109</v>
      </c>
      <c r="AF710" s="4">
        <v>0</v>
      </c>
      <c r="AG710" s="4">
        <v>4</v>
      </c>
      <c r="AH710" s="4">
        <v>84</v>
      </c>
      <c r="AI710" s="4">
        <v>89</v>
      </c>
      <c r="AJ710" s="4">
        <v>16</v>
      </c>
      <c r="AK710" s="4">
        <v>22</v>
      </c>
      <c r="AL710" s="4">
        <v>51</v>
      </c>
      <c r="AM710" s="4">
        <v>53</v>
      </c>
      <c r="AN710" s="4">
        <v>5</v>
      </c>
      <c r="AO710" s="4">
        <v>5</v>
      </c>
      <c r="AP710" s="4">
        <v>20</v>
      </c>
      <c r="AQ710" s="4">
        <v>27</v>
      </c>
      <c r="AR710" s="3" t="s">
        <v>62</v>
      </c>
      <c r="AS710" s="3" t="s">
        <v>62</v>
      </c>
      <c r="AT710" s="3" t="s">
        <v>61</v>
      </c>
      <c r="AU710" s="6" t="str">
        <f>HYPERLINK("http://catalog.hathitrust.org/Record/000290240","HathiTrust Record")</f>
        <v>HathiTrust Record</v>
      </c>
      <c r="AV710" s="6" t="str">
        <f>HYPERLINK("http://mcgill.on.worldcat.org/oclc/12107442","Catalog Record")</f>
        <v>Catalog Record</v>
      </c>
      <c r="AW710" s="6" t="str">
        <f>HYPERLINK("http://www.worldcat.org/oclc/12107442","WorldCat Record")</f>
        <v>WorldCat Record</v>
      </c>
      <c r="AX710" s="3" t="s">
        <v>6825</v>
      </c>
      <c r="AY710" s="3" t="s">
        <v>6826</v>
      </c>
      <c r="AZ710" s="3" t="s">
        <v>6827</v>
      </c>
      <c r="BA710" s="3" t="s">
        <v>6827</v>
      </c>
      <c r="BB710" s="3" t="s">
        <v>6828</v>
      </c>
      <c r="BC710" s="3" t="s">
        <v>142</v>
      </c>
      <c r="BD710" s="3" t="s">
        <v>68</v>
      </c>
      <c r="BE710" s="3" t="s">
        <v>6829</v>
      </c>
      <c r="BF710" s="3" t="s">
        <v>6828</v>
      </c>
      <c r="BG710" s="3" t="s">
        <v>6830</v>
      </c>
    </row>
    <row r="711" spans="1:59" ht="57" x14ac:dyDescent="0.45">
      <c r="A711" s="2" t="s">
        <v>59</v>
      </c>
      <c r="B711" s="2" t="s">
        <v>60</v>
      </c>
      <c r="C711" s="2" t="s">
        <v>6818</v>
      </c>
      <c r="D711" s="2" t="s">
        <v>6819</v>
      </c>
      <c r="E711" s="2" t="s">
        <v>6820</v>
      </c>
      <c r="G711" s="3" t="s">
        <v>62</v>
      </c>
      <c r="I711" s="3" t="s">
        <v>61</v>
      </c>
      <c r="J711" s="3" t="s">
        <v>62</v>
      </c>
      <c r="K711" s="3" t="s">
        <v>63</v>
      </c>
      <c r="L711" s="2" t="s">
        <v>6821</v>
      </c>
      <c r="M711" s="2" t="s">
        <v>6822</v>
      </c>
      <c r="N711" s="3" t="s">
        <v>2107</v>
      </c>
      <c r="P711" s="3" t="s">
        <v>110</v>
      </c>
      <c r="Q711" s="2" t="s">
        <v>6823</v>
      </c>
      <c r="R711" s="3" t="s">
        <v>66</v>
      </c>
      <c r="S711" s="4">
        <v>1</v>
      </c>
      <c r="T711" s="4">
        <v>78</v>
      </c>
      <c r="U711" s="5" t="s">
        <v>6831</v>
      </c>
      <c r="V711" s="5" t="s">
        <v>6824</v>
      </c>
      <c r="W711" s="5" t="s">
        <v>67</v>
      </c>
      <c r="X711" s="5" t="s">
        <v>67</v>
      </c>
      <c r="Y711" s="4">
        <v>283</v>
      </c>
      <c r="Z711" s="4">
        <v>23</v>
      </c>
      <c r="AA711" s="4">
        <v>35</v>
      </c>
      <c r="AB711" s="4">
        <v>1</v>
      </c>
      <c r="AC711" s="4">
        <v>6</v>
      </c>
      <c r="AD711" s="4">
        <v>99</v>
      </c>
      <c r="AE711" s="4">
        <v>109</v>
      </c>
      <c r="AF711" s="4">
        <v>0</v>
      </c>
      <c r="AG711" s="4">
        <v>4</v>
      </c>
      <c r="AH711" s="4">
        <v>84</v>
      </c>
      <c r="AI711" s="4">
        <v>89</v>
      </c>
      <c r="AJ711" s="4">
        <v>16</v>
      </c>
      <c r="AK711" s="4">
        <v>22</v>
      </c>
      <c r="AL711" s="4">
        <v>51</v>
      </c>
      <c r="AM711" s="4">
        <v>53</v>
      </c>
      <c r="AN711" s="4">
        <v>5</v>
      </c>
      <c r="AO711" s="4">
        <v>5</v>
      </c>
      <c r="AP711" s="4">
        <v>20</v>
      </c>
      <c r="AQ711" s="4">
        <v>27</v>
      </c>
      <c r="AR711" s="3" t="s">
        <v>62</v>
      </c>
      <c r="AS711" s="3" t="s">
        <v>62</v>
      </c>
      <c r="AT711" s="3" t="s">
        <v>61</v>
      </c>
      <c r="AU711" s="6" t="str">
        <f>HYPERLINK("http://catalog.hathitrust.org/Record/000290240","HathiTrust Record")</f>
        <v>HathiTrust Record</v>
      </c>
      <c r="AV711" s="6" t="str">
        <f>HYPERLINK("http://mcgill.on.worldcat.org/oclc/12107442","Catalog Record")</f>
        <v>Catalog Record</v>
      </c>
      <c r="AW711" s="6" t="str">
        <f>HYPERLINK("http://www.worldcat.org/oclc/12107442","WorldCat Record")</f>
        <v>WorldCat Record</v>
      </c>
      <c r="AX711" s="3" t="s">
        <v>6825</v>
      </c>
      <c r="AY711" s="3" t="s">
        <v>6826</v>
      </c>
      <c r="AZ711" s="3" t="s">
        <v>6827</v>
      </c>
      <c r="BA711" s="3" t="s">
        <v>6827</v>
      </c>
      <c r="BB711" s="3" t="s">
        <v>6832</v>
      </c>
      <c r="BC711" s="3" t="s">
        <v>142</v>
      </c>
      <c r="BD711" s="3" t="s">
        <v>68</v>
      </c>
      <c r="BE711" s="3" t="s">
        <v>6829</v>
      </c>
      <c r="BF711" s="3" t="s">
        <v>6832</v>
      </c>
      <c r="BG711" s="3" t="s">
        <v>6833</v>
      </c>
    </row>
    <row r="712" spans="1:59" ht="57" x14ac:dyDescent="0.45">
      <c r="A712" s="2" t="s">
        <v>59</v>
      </c>
      <c r="B712" s="2" t="s">
        <v>60</v>
      </c>
      <c r="C712" s="2" t="s">
        <v>6834</v>
      </c>
      <c r="D712" s="2" t="s">
        <v>6835</v>
      </c>
      <c r="E712" s="2" t="s">
        <v>6836</v>
      </c>
      <c r="G712" s="3" t="s">
        <v>62</v>
      </c>
      <c r="I712" s="3" t="s">
        <v>61</v>
      </c>
      <c r="J712" s="3" t="s">
        <v>62</v>
      </c>
      <c r="K712" s="3" t="s">
        <v>63</v>
      </c>
      <c r="L712" s="2" t="s">
        <v>6821</v>
      </c>
      <c r="M712" s="2" t="s">
        <v>6837</v>
      </c>
      <c r="N712" s="3" t="s">
        <v>625</v>
      </c>
      <c r="O712" s="2" t="s">
        <v>168</v>
      </c>
      <c r="P712" s="3" t="s">
        <v>65</v>
      </c>
      <c r="R712" s="3" t="s">
        <v>66</v>
      </c>
      <c r="S712" s="4">
        <v>59</v>
      </c>
      <c r="T712" s="4">
        <v>107</v>
      </c>
      <c r="U712" s="5" t="s">
        <v>6838</v>
      </c>
      <c r="V712" s="5" t="s">
        <v>6839</v>
      </c>
      <c r="W712" s="5" t="s">
        <v>67</v>
      </c>
      <c r="X712" s="5" t="s">
        <v>67</v>
      </c>
      <c r="Y712" s="4">
        <v>575</v>
      </c>
      <c r="Z712" s="4">
        <v>29</v>
      </c>
      <c r="AA712" s="4">
        <v>47</v>
      </c>
      <c r="AB712" s="4">
        <v>1</v>
      </c>
      <c r="AC712" s="4">
        <v>4</v>
      </c>
      <c r="AD712" s="4">
        <v>112</v>
      </c>
      <c r="AE712" s="4">
        <v>136</v>
      </c>
      <c r="AF712" s="4">
        <v>0</v>
      </c>
      <c r="AG712" s="4">
        <v>3</v>
      </c>
      <c r="AH712" s="4">
        <v>99</v>
      </c>
      <c r="AI712" s="4">
        <v>110</v>
      </c>
      <c r="AJ712" s="4">
        <v>14</v>
      </c>
      <c r="AK712" s="4">
        <v>20</v>
      </c>
      <c r="AL712" s="4">
        <v>54</v>
      </c>
      <c r="AM712" s="4">
        <v>60</v>
      </c>
      <c r="AN712" s="4">
        <v>0</v>
      </c>
      <c r="AO712" s="4">
        <v>0</v>
      </c>
      <c r="AP712" s="4">
        <v>18</v>
      </c>
      <c r="AQ712" s="4">
        <v>33</v>
      </c>
      <c r="AR712" s="3" t="s">
        <v>62</v>
      </c>
      <c r="AS712" s="3" t="s">
        <v>62</v>
      </c>
      <c r="AT712" s="3" t="s">
        <v>62</v>
      </c>
      <c r="AV712" s="6" t="str">
        <f>HYPERLINK("http://mcgill.on.worldcat.org/oclc/12946719","Catalog Record")</f>
        <v>Catalog Record</v>
      </c>
      <c r="AW712" s="6" t="str">
        <f>HYPERLINK("http://www.worldcat.org/oclc/12946719","WorldCat Record")</f>
        <v>WorldCat Record</v>
      </c>
      <c r="AX712" s="3" t="s">
        <v>6840</v>
      </c>
      <c r="AY712" s="3" t="s">
        <v>6841</v>
      </c>
      <c r="AZ712" s="3" t="s">
        <v>6842</v>
      </c>
      <c r="BA712" s="3" t="s">
        <v>6842</v>
      </c>
      <c r="BB712" s="3" t="s">
        <v>6843</v>
      </c>
      <c r="BC712" s="3" t="s">
        <v>142</v>
      </c>
      <c r="BD712" s="3" t="s">
        <v>308</v>
      </c>
      <c r="BE712" s="3" t="s">
        <v>6844</v>
      </c>
      <c r="BF712" s="3" t="s">
        <v>6843</v>
      </c>
      <c r="BG712" s="3" t="s">
        <v>6845</v>
      </c>
    </row>
    <row r="713" spans="1:59" ht="57" x14ac:dyDescent="0.45">
      <c r="A713" s="2" t="s">
        <v>59</v>
      </c>
      <c r="B713" s="2" t="s">
        <v>60</v>
      </c>
      <c r="C713" s="2" t="s">
        <v>6834</v>
      </c>
      <c r="D713" s="2" t="s">
        <v>6835</v>
      </c>
      <c r="E713" s="2" t="s">
        <v>6836</v>
      </c>
      <c r="G713" s="3" t="s">
        <v>62</v>
      </c>
      <c r="I713" s="3" t="s">
        <v>61</v>
      </c>
      <c r="J713" s="3" t="s">
        <v>62</v>
      </c>
      <c r="K713" s="3" t="s">
        <v>63</v>
      </c>
      <c r="L713" s="2" t="s">
        <v>6821</v>
      </c>
      <c r="M713" s="2" t="s">
        <v>6837</v>
      </c>
      <c r="N713" s="3" t="s">
        <v>625</v>
      </c>
      <c r="O713" s="2" t="s">
        <v>168</v>
      </c>
      <c r="P713" s="3" t="s">
        <v>65</v>
      </c>
      <c r="R713" s="3" t="s">
        <v>66</v>
      </c>
      <c r="S713" s="4">
        <v>48</v>
      </c>
      <c r="T713" s="4">
        <v>107</v>
      </c>
      <c r="U713" s="5" t="s">
        <v>6839</v>
      </c>
      <c r="V713" s="5" t="s">
        <v>6839</v>
      </c>
      <c r="W713" s="5" t="s">
        <v>67</v>
      </c>
      <c r="X713" s="5" t="s">
        <v>67</v>
      </c>
      <c r="Y713" s="4">
        <v>575</v>
      </c>
      <c r="Z713" s="4">
        <v>29</v>
      </c>
      <c r="AA713" s="4">
        <v>47</v>
      </c>
      <c r="AB713" s="4">
        <v>1</v>
      </c>
      <c r="AC713" s="4">
        <v>4</v>
      </c>
      <c r="AD713" s="4">
        <v>112</v>
      </c>
      <c r="AE713" s="4">
        <v>136</v>
      </c>
      <c r="AF713" s="4">
        <v>0</v>
      </c>
      <c r="AG713" s="4">
        <v>3</v>
      </c>
      <c r="AH713" s="4">
        <v>99</v>
      </c>
      <c r="AI713" s="4">
        <v>110</v>
      </c>
      <c r="AJ713" s="4">
        <v>14</v>
      </c>
      <c r="AK713" s="4">
        <v>20</v>
      </c>
      <c r="AL713" s="4">
        <v>54</v>
      </c>
      <c r="AM713" s="4">
        <v>60</v>
      </c>
      <c r="AN713" s="4">
        <v>0</v>
      </c>
      <c r="AO713" s="4">
        <v>0</v>
      </c>
      <c r="AP713" s="4">
        <v>18</v>
      </c>
      <c r="AQ713" s="4">
        <v>33</v>
      </c>
      <c r="AR713" s="3" t="s">
        <v>62</v>
      </c>
      <c r="AS713" s="3" t="s">
        <v>62</v>
      </c>
      <c r="AT713" s="3" t="s">
        <v>62</v>
      </c>
      <c r="AV713" s="6" t="str">
        <f>HYPERLINK("http://mcgill.on.worldcat.org/oclc/12946719","Catalog Record")</f>
        <v>Catalog Record</v>
      </c>
      <c r="AW713" s="6" t="str">
        <f>HYPERLINK("http://www.worldcat.org/oclc/12946719","WorldCat Record")</f>
        <v>WorldCat Record</v>
      </c>
      <c r="AX713" s="3" t="s">
        <v>6840</v>
      </c>
      <c r="AY713" s="3" t="s">
        <v>6841</v>
      </c>
      <c r="AZ713" s="3" t="s">
        <v>6842</v>
      </c>
      <c r="BA713" s="3" t="s">
        <v>6842</v>
      </c>
      <c r="BB713" s="3" t="s">
        <v>6846</v>
      </c>
      <c r="BC713" s="3" t="s">
        <v>142</v>
      </c>
      <c r="BD713" s="3" t="s">
        <v>68</v>
      </c>
      <c r="BE713" s="3" t="s">
        <v>6844</v>
      </c>
      <c r="BF713" s="3" t="s">
        <v>6846</v>
      </c>
      <c r="BG713" s="3" t="s">
        <v>6847</v>
      </c>
    </row>
    <row r="714" spans="1:59" ht="57" x14ac:dyDescent="0.45">
      <c r="A714" s="2" t="s">
        <v>59</v>
      </c>
      <c r="B714" s="2" t="s">
        <v>60</v>
      </c>
      <c r="C714" s="2" t="s">
        <v>6848</v>
      </c>
      <c r="D714" s="2" t="s">
        <v>6849</v>
      </c>
      <c r="E714" s="2" t="s">
        <v>6850</v>
      </c>
      <c r="G714" s="3" t="s">
        <v>62</v>
      </c>
      <c r="I714" s="3" t="s">
        <v>62</v>
      </c>
      <c r="J714" s="3" t="s">
        <v>62</v>
      </c>
      <c r="K714" s="3" t="s">
        <v>63</v>
      </c>
      <c r="M714" s="2" t="s">
        <v>6851</v>
      </c>
      <c r="N714" s="3" t="s">
        <v>122</v>
      </c>
      <c r="P714" s="3" t="s">
        <v>326</v>
      </c>
      <c r="Q714" s="2" t="s">
        <v>6852</v>
      </c>
      <c r="R714" s="3" t="s">
        <v>66</v>
      </c>
      <c r="S714" s="4">
        <v>2</v>
      </c>
      <c r="T714" s="4">
        <v>2</v>
      </c>
      <c r="U714" s="5" t="s">
        <v>328</v>
      </c>
      <c r="V714" s="5" t="s">
        <v>328</v>
      </c>
      <c r="W714" s="5" t="s">
        <v>67</v>
      </c>
      <c r="X714" s="5" t="s">
        <v>67</v>
      </c>
      <c r="Y714" s="4">
        <v>76</v>
      </c>
      <c r="Z714" s="4">
        <v>5</v>
      </c>
      <c r="AA714" s="4">
        <v>6</v>
      </c>
      <c r="AB714" s="4">
        <v>1</v>
      </c>
      <c r="AC714" s="4">
        <v>2</v>
      </c>
      <c r="AD714" s="4">
        <v>36</v>
      </c>
      <c r="AE714" s="4">
        <v>37</v>
      </c>
      <c r="AF714" s="4">
        <v>0</v>
      </c>
      <c r="AG714" s="4">
        <v>1</v>
      </c>
      <c r="AH714" s="4">
        <v>34</v>
      </c>
      <c r="AI714" s="4">
        <v>35</v>
      </c>
      <c r="AJ714" s="4">
        <v>3</v>
      </c>
      <c r="AK714" s="4">
        <v>4</v>
      </c>
      <c r="AL714" s="4">
        <v>27</v>
      </c>
      <c r="AM714" s="4">
        <v>27</v>
      </c>
      <c r="AN714" s="4">
        <v>0</v>
      </c>
      <c r="AO714" s="4">
        <v>0</v>
      </c>
      <c r="AP714" s="4">
        <v>3</v>
      </c>
      <c r="AQ714" s="4">
        <v>4</v>
      </c>
      <c r="AR714" s="3" t="s">
        <v>62</v>
      </c>
      <c r="AS714" s="3" t="s">
        <v>62</v>
      </c>
      <c r="AT714" s="3" t="s">
        <v>62</v>
      </c>
      <c r="AV714" s="6" t="str">
        <f>HYPERLINK("http://mcgill.on.worldcat.org/oclc/3682938","Catalog Record")</f>
        <v>Catalog Record</v>
      </c>
      <c r="AW714" s="6" t="str">
        <f>HYPERLINK("http://www.worldcat.org/oclc/3682938","WorldCat Record")</f>
        <v>WorldCat Record</v>
      </c>
      <c r="AX714" s="3" t="s">
        <v>6853</v>
      </c>
      <c r="AY714" s="3" t="s">
        <v>6854</v>
      </c>
      <c r="AZ714" s="3" t="s">
        <v>6855</v>
      </c>
      <c r="BA714" s="3" t="s">
        <v>6855</v>
      </c>
      <c r="BB714" s="3" t="s">
        <v>6856</v>
      </c>
      <c r="BC714" s="3" t="s">
        <v>142</v>
      </c>
      <c r="BD714" s="3" t="s">
        <v>68</v>
      </c>
      <c r="BE714" s="3" t="s">
        <v>6857</v>
      </c>
      <c r="BF714" s="3" t="s">
        <v>6856</v>
      </c>
      <c r="BG714" s="3" t="s">
        <v>6858</v>
      </c>
    </row>
    <row r="715" spans="1:59" ht="57" x14ac:dyDescent="0.45">
      <c r="A715" s="2" t="s">
        <v>59</v>
      </c>
      <c r="B715" s="2" t="s">
        <v>60</v>
      </c>
      <c r="C715" s="2" t="s">
        <v>6859</v>
      </c>
      <c r="D715" s="2" t="s">
        <v>6860</v>
      </c>
      <c r="E715" s="2" t="s">
        <v>6861</v>
      </c>
      <c r="G715" s="3" t="s">
        <v>62</v>
      </c>
      <c r="I715" s="3" t="s">
        <v>62</v>
      </c>
      <c r="J715" s="3" t="s">
        <v>62</v>
      </c>
      <c r="K715" s="3" t="s">
        <v>63</v>
      </c>
      <c r="L715" s="2" t="s">
        <v>6862</v>
      </c>
      <c r="M715" s="2" t="s">
        <v>6863</v>
      </c>
      <c r="N715" s="3" t="s">
        <v>2107</v>
      </c>
      <c r="P715" s="3" t="s">
        <v>65</v>
      </c>
      <c r="R715" s="3" t="s">
        <v>66</v>
      </c>
      <c r="S715" s="4">
        <v>25</v>
      </c>
      <c r="T715" s="4">
        <v>25</v>
      </c>
      <c r="U715" s="5" t="s">
        <v>544</v>
      </c>
      <c r="V715" s="5" t="s">
        <v>544</v>
      </c>
      <c r="W715" s="5" t="s">
        <v>67</v>
      </c>
      <c r="X715" s="5" t="s">
        <v>67</v>
      </c>
      <c r="Y715" s="4">
        <v>384</v>
      </c>
      <c r="Z715" s="4">
        <v>18</v>
      </c>
      <c r="AA715" s="4">
        <v>31</v>
      </c>
      <c r="AB715" s="4">
        <v>1</v>
      </c>
      <c r="AC715" s="4">
        <v>3</v>
      </c>
      <c r="AD715" s="4">
        <v>86</v>
      </c>
      <c r="AE715" s="4">
        <v>112</v>
      </c>
      <c r="AF715" s="4">
        <v>0</v>
      </c>
      <c r="AG715" s="4">
        <v>1</v>
      </c>
      <c r="AH715" s="4">
        <v>76</v>
      </c>
      <c r="AI715" s="4">
        <v>98</v>
      </c>
      <c r="AJ715" s="4">
        <v>6</v>
      </c>
      <c r="AK715" s="4">
        <v>15</v>
      </c>
      <c r="AL715" s="4">
        <v>46</v>
      </c>
      <c r="AM715" s="4">
        <v>54</v>
      </c>
      <c r="AN715" s="4">
        <v>0</v>
      </c>
      <c r="AO715" s="4">
        <v>0</v>
      </c>
      <c r="AP715" s="4">
        <v>10</v>
      </c>
      <c r="AQ715" s="4">
        <v>20</v>
      </c>
      <c r="AR715" s="3" t="s">
        <v>62</v>
      </c>
      <c r="AS715" s="3" t="s">
        <v>62</v>
      </c>
      <c r="AT715" s="3" t="s">
        <v>62</v>
      </c>
      <c r="AV715" s="6" t="str">
        <f>HYPERLINK("http://mcgill.on.worldcat.org/oclc/10799206","Catalog Record")</f>
        <v>Catalog Record</v>
      </c>
      <c r="AW715" s="6" t="str">
        <f>HYPERLINK("http://www.worldcat.org/oclc/10799206","WorldCat Record")</f>
        <v>WorldCat Record</v>
      </c>
      <c r="AX715" s="3" t="s">
        <v>6864</v>
      </c>
      <c r="AY715" s="3" t="s">
        <v>6865</v>
      </c>
      <c r="AZ715" s="3" t="s">
        <v>6866</v>
      </c>
      <c r="BA715" s="3" t="s">
        <v>6866</v>
      </c>
      <c r="BB715" s="3" t="s">
        <v>6867</v>
      </c>
      <c r="BC715" s="3" t="s">
        <v>142</v>
      </c>
      <c r="BD715" s="3" t="s">
        <v>68</v>
      </c>
      <c r="BE715" s="3" t="s">
        <v>6868</v>
      </c>
      <c r="BF715" s="3" t="s">
        <v>6867</v>
      </c>
      <c r="BG715" s="3" t="s">
        <v>6869</v>
      </c>
    </row>
    <row r="716" spans="1:59" ht="57" x14ac:dyDescent="0.45">
      <c r="A716" s="2" t="s">
        <v>59</v>
      </c>
      <c r="B716" s="2" t="s">
        <v>60</v>
      </c>
      <c r="C716" s="2" t="s">
        <v>6870</v>
      </c>
      <c r="D716" s="2" t="s">
        <v>6871</v>
      </c>
      <c r="E716" s="2" t="s">
        <v>6872</v>
      </c>
      <c r="G716" s="3" t="s">
        <v>62</v>
      </c>
      <c r="I716" s="3" t="s">
        <v>62</v>
      </c>
      <c r="J716" s="3" t="s">
        <v>62</v>
      </c>
      <c r="K716" s="3" t="s">
        <v>63</v>
      </c>
      <c r="M716" s="2" t="s">
        <v>6873</v>
      </c>
      <c r="N716" s="3" t="s">
        <v>568</v>
      </c>
      <c r="P716" s="3" t="s">
        <v>65</v>
      </c>
      <c r="Q716" s="2" t="s">
        <v>6874</v>
      </c>
      <c r="R716" s="3" t="s">
        <v>66</v>
      </c>
      <c r="S716" s="4">
        <v>3</v>
      </c>
      <c r="T716" s="4">
        <v>3</v>
      </c>
      <c r="U716" s="5" t="s">
        <v>6875</v>
      </c>
      <c r="V716" s="5" t="s">
        <v>6875</v>
      </c>
      <c r="W716" s="5" t="s">
        <v>67</v>
      </c>
      <c r="X716" s="5" t="s">
        <v>67</v>
      </c>
      <c r="Y716" s="4">
        <v>76</v>
      </c>
      <c r="Z716" s="4">
        <v>5</v>
      </c>
      <c r="AA716" s="4">
        <v>6</v>
      </c>
      <c r="AB716" s="4">
        <v>2</v>
      </c>
      <c r="AC716" s="4">
        <v>3</v>
      </c>
      <c r="AD716" s="4">
        <v>12</v>
      </c>
      <c r="AE716" s="4">
        <v>13</v>
      </c>
      <c r="AF716" s="4">
        <v>0</v>
      </c>
      <c r="AG716" s="4">
        <v>1</v>
      </c>
      <c r="AH716" s="4">
        <v>12</v>
      </c>
      <c r="AI716" s="4">
        <v>12</v>
      </c>
      <c r="AJ716" s="4">
        <v>2</v>
      </c>
      <c r="AK716" s="4">
        <v>3</v>
      </c>
      <c r="AL716" s="4">
        <v>6</v>
      </c>
      <c r="AM716" s="4">
        <v>6</v>
      </c>
      <c r="AN716" s="4">
        <v>0</v>
      </c>
      <c r="AO716" s="4">
        <v>0</v>
      </c>
      <c r="AP716" s="4">
        <v>2</v>
      </c>
      <c r="AQ716" s="4">
        <v>3</v>
      </c>
      <c r="AR716" s="3" t="s">
        <v>62</v>
      </c>
      <c r="AS716" s="3" t="s">
        <v>62</v>
      </c>
      <c r="AT716" s="3" t="s">
        <v>62</v>
      </c>
      <c r="AV716" s="6" t="str">
        <f>HYPERLINK("http://mcgill.on.worldcat.org/oclc/20862451","Catalog Record")</f>
        <v>Catalog Record</v>
      </c>
      <c r="AW716" s="6" t="str">
        <f>HYPERLINK("http://www.worldcat.org/oclc/20862451","WorldCat Record")</f>
        <v>WorldCat Record</v>
      </c>
      <c r="AX716" s="3" t="s">
        <v>6876</v>
      </c>
      <c r="AY716" s="3" t="s">
        <v>6877</v>
      </c>
      <c r="AZ716" s="3" t="s">
        <v>6878</v>
      </c>
      <c r="BA716" s="3" t="s">
        <v>6878</v>
      </c>
      <c r="BB716" s="3" t="s">
        <v>6879</v>
      </c>
      <c r="BC716" s="3" t="s">
        <v>142</v>
      </c>
      <c r="BD716" s="3" t="s">
        <v>68</v>
      </c>
      <c r="BE716" s="3" t="s">
        <v>6880</v>
      </c>
      <c r="BF716" s="3" t="s">
        <v>6879</v>
      </c>
      <c r="BG716" s="3" t="s">
        <v>6881</v>
      </c>
    </row>
    <row r="717" spans="1:59" ht="57" x14ac:dyDescent="0.45">
      <c r="A717" s="2" t="s">
        <v>59</v>
      </c>
      <c r="B717" s="2" t="s">
        <v>60</v>
      </c>
      <c r="C717" s="2" t="s">
        <v>6882</v>
      </c>
      <c r="D717" s="2" t="s">
        <v>6883</v>
      </c>
      <c r="E717" s="2" t="s">
        <v>6884</v>
      </c>
      <c r="G717" s="3" t="s">
        <v>62</v>
      </c>
      <c r="I717" s="3" t="s">
        <v>62</v>
      </c>
      <c r="J717" s="3" t="s">
        <v>62</v>
      </c>
      <c r="K717" s="3" t="s">
        <v>63</v>
      </c>
      <c r="L717" s="2" t="s">
        <v>6885</v>
      </c>
      <c r="M717" s="2" t="s">
        <v>6886</v>
      </c>
      <c r="N717" s="3" t="s">
        <v>84</v>
      </c>
      <c r="P717" s="3" t="s">
        <v>65</v>
      </c>
      <c r="R717" s="3" t="s">
        <v>66</v>
      </c>
      <c r="S717" s="4">
        <v>4</v>
      </c>
      <c r="T717" s="4">
        <v>4</v>
      </c>
      <c r="U717" s="5" t="s">
        <v>1268</v>
      </c>
      <c r="V717" s="5" t="s">
        <v>1268</v>
      </c>
      <c r="W717" s="5" t="s">
        <v>67</v>
      </c>
      <c r="X717" s="5" t="s">
        <v>67</v>
      </c>
      <c r="Y717" s="4">
        <v>30</v>
      </c>
      <c r="Z717" s="4">
        <v>5</v>
      </c>
      <c r="AA717" s="4">
        <v>5</v>
      </c>
      <c r="AB717" s="4">
        <v>1</v>
      </c>
      <c r="AC717" s="4">
        <v>1</v>
      </c>
      <c r="AD717" s="4">
        <v>23</v>
      </c>
      <c r="AE717" s="4">
        <v>23</v>
      </c>
      <c r="AF717" s="4">
        <v>0</v>
      </c>
      <c r="AG717" s="4">
        <v>0</v>
      </c>
      <c r="AH717" s="4">
        <v>22</v>
      </c>
      <c r="AI717" s="4">
        <v>22</v>
      </c>
      <c r="AJ717" s="4">
        <v>3</v>
      </c>
      <c r="AK717" s="4">
        <v>3</v>
      </c>
      <c r="AL717" s="4">
        <v>18</v>
      </c>
      <c r="AM717" s="4">
        <v>18</v>
      </c>
      <c r="AN717" s="4">
        <v>0</v>
      </c>
      <c r="AO717" s="4">
        <v>0</v>
      </c>
      <c r="AP717" s="4">
        <v>3</v>
      </c>
      <c r="AQ717" s="4">
        <v>3</v>
      </c>
      <c r="AR717" s="3" t="s">
        <v>62</v>
      </c>
      <c r="AS717" s="3" t="s">
        <v>62</v>
      </c>
      <c r="AT717" s="3" t="s">
        <v>61</v>
      </c>
      <c r="AU717" s="6" t="str">
        <f>HYPERLINK("http://catalog.hathitrust.org/Record/002631153","HathiTrust Record")</f>
        <v>HathiTrust Record</v>
      </c>
      <c r="AV717" s="6" t="str">
        <f>HYPERLINK("http://mcgill.on.worldcat.org/oclc/28157691","Catalog Record")</f>
        <v>Catalog Record</v>
      </c>
      <c r="AW717" s="6" t="str">
        <f>HYPERLINK("http://www.worldcat.org/oclc/28157691","WorldCat Record")</f>
        <v>WorldCat Record</v>
      </c>
      <c r="AX717" s="3" t="s">
        <v>6887</v>
      </c>
      <c r="AY717" s="3" t="s">
        <v>6888</v>
      </c>
      <c r="AZ717" s="3" t="s">
        <v>6889</v>
      </c>
      <c r="BA717" s="3" t="s">
        <v>6889</v>
      </c>
      <c r="BB717" s="3" t="s">
        <v>6890</v>
      </c>
      <c r="BC717" s="3" t="s">
        <v>142</v>
      </c>
      <c r="BD717" s="3" t="s">
        <v>68</v>
      </c>
      <c r="BE717" s="3" t="s">
        <v>6891</v>
      </c>
      <c r="BF717" s="3" t="s">
        <v>6890</v>
      </c>
      <c r="BG717" s="3" t="s">
        <v>6892</v>
      </c>
    </row>
    <row r="718" spans="1:59" ht="57" x14ac:dyDescent="0.45">
      <c r="A718" s="2" t="s">
        <v>59</v>
      </c>
      <c r="B718" s="2" t="s">
        <v>60</v>
      </c>
      <c r="C718" s="2" t="s">
        <v>6893</v>
      </c>
      <c r="D718" s="2" t="s">
        <v>6894</v>
      </c>
      <c r="E718" s="2" t="s">
        <v>6895</v>
      </c>
      <c r="G718" s="3" t="s">
        <v>62</v>
      </c>
      <c r="I718" s="3" t="s">
        <v>62</v>
      </c>
      <c r="J718" s="3" t="s">
        <v>62</v>
      </c>
      <c r="K718" s="3" t="s">
        <v>63</v>
      </c>
      <c r="M718" s="2" t="s">
        <v>6896</v>
      </c>
      <c r="N718" s="3" t="s">
        <v>958</v>
      </c>
      <c r="P718" s="3" t="s">
        <v>65</v>
      </c>
      <c r="Q718" s="2" t="s">
        <v>6897</v>
      </c>
      <c r="R718" s="3" t="s">
        <v>66</v>
      </c>
      <c r="S718" s="4">
        <v>17</v>
      </c>
      <c r="T718" s="4">
        <v>17</v>
      </c>
      <c r="U718" s="5" t="s">
        <v>6898</v>
      </c>
      <c r="V718" s="5" t="s">
        <v>6898</v>
      </c>
      <c r="W718" s="5" t="s">
        <v>67</v>
      </c>
      <c r="X718" s="5" t="s">
        <v>67</v>
      </c>
      <c r="Y718" s="4">
        <v>192</v>
      </c>
      <c r="Z718" s="4">
        <v>14</v>
      </c>
      <c r="AA718" s="4">
        <v>15</v>
      </c>
      <c r="AB718" s="4">
        <v>1</v>
      </c>
      <c r="AC718" s="4">
        <v>2</v>
      </c>
      <c r="AD718" s="4">
        <v>70</v>
      </c>
      <c r="AE718" s="4">
        <v>71</v>
      </c>
      <c r="AF718" s="4">
        <v>0</v>
      </c>
      <c r="AG718" s="4">
        <v>1</v>
      </c>
      <c r="AH718" s="4">
        <v>64</v>
      </c>
      <c r="AI718" s="4">
        <v>65</v>
      </c>
      <c r="AJ718" s="4">
        <v>9</v>
      </c>
      <c r="AK718" s="4">
        <v>10</v>
      </c>
      <c r="AL718" s="4">
        <v>36</v>
      </c>
      <c r="AM718" s="4">
        <v>36</v>
      </c>
      <c r="AN718" s="4">
        <v>0</v>
      </c>
      <c r="AO718" s="4">
        <v>0</v>
      </c>
      <c r="AP718" s="4">
        <v>11</v>
      </c>
      <c r="AQ718" s="4">
        <v>12</v>
      </c>
      <c r="AR718" s="3" t="s">
        <v>62</v>
      </c>
      <c r="AS718" s="3" t="s">
        <v>62</v>
      </c>
      <c r="AT718" s="3" t="s">
        <v>62</v>
      </c>
      <c r="AV718" s="6" t="str">
        <f>HYPERLINK("http://mcgill.on.worldcat.org/oclc/34634684","Catalog Record")</f>
        <v>Catalog Record</v>
      </c>
      <c r="AW718" s="6" t="str">
        <f>HYPERLINK("http://www.worldcat.org/oclc/34634684","WorldCat Record")</f>
        <v>WorldCat Record</v>
      </c>
      <c r="AX718" s="3" t="s">
        <v>6899</v>
      </c>
      <c r="AY718" s="3" t="s">
        <v>6900</v>
      </c>
      <c r="AZ718" s="3" t="s">
        <v>6901</v>
      </c>
      <c r="BA718" s="3" t="s">
        <v>6901</v>
      </c>
      <c r="BB718" s="3" t="s">
        <v>6902</v>
      </c>
      <c r="BC718" s="3" t="s">
        <v>142</v>
      </c>
      <c r="BD718" s="3" t="s">
        <v>68</v>
      </c>
      <c r="BE718" s="3" t="s">
        <v>6903</v>
      </c>
      <c r="BF718" s="3" t="s">
        <v>6902</v>
      </c>
      <c r="BG718" s="3" t="s">
        <v>6904</v>
      </c>
    </row>
    <row r="719" spans="1:59" ht="57" x14ac:dyDescent="0.45">
      <c r="A719" s="2" t="s">
        <v>59</v>
      </c>
      <c r="B719" s="2" t="s">
        <v>60</v>
      </c>
      <c r="C719" s="2" t="s">
        <v>6905</v>
      </c>
      <c r="D719" s="2" t="s">
        <v>6906</v>
      </c>
      <c r="E719" s="2" t="s">
        <v>6907</v>
      </c>
      <c r="G719" s="3" t="s">
        <v>62</v>
      </c>
      <c r="I719" s="3" t="s">
        <v>62</v>
      </c>
      <c r="J719" s="3" t="s">
        <v>62</v>
      </c>
      <c r="K719" s="3" t="s">
        <v>63</v>
      </c>
      <c r="L719" s="2" t="s">
        <v>6908</v>
      </c>
      <c r="M719" s="2" t="s">
        <v>2882</v>
      </c>
      <c r="N719" s="3" t="s">
        <v>1688</v>
      </c>
      <c r="P719" s="3" t="s">
        <v>65</v>
      </c>
      <c r="R719" s="3" t="s">
        <v>66</v>
      </c>
      <c r="S719" s="4">
        <v>0</v>
      </c>
      <c r="T719" s="4">
        <v>0</v>
      </c>
      <c r="W719" s="5" t="s">
        <v>67</v>
      </c>
      <c r="X719" s="5" t="s">
        <v>67</v>
      </c>
      <c r="Y719" s="4">
        <v>96</v>
      </c>
      <c r="Z719" s="4">
        <v>17</v>
      </c>
      <c r="AA719" s="4">
        <v>20</v>
      </c>
      <c r="AB719" s="4">
        <v>2</v>
      </c>
      <c r="AC719" s="4">
        <v>4</v>
      </c>
      <c r="AD719" s="4">
        <v>47</v>
      </c>
      <c r="AE719" s="4">
        <v>53</v>
      </c>
      <c r="AF719" s="4">
        <v>1</v>
      </c>
      <c r="AG719" s="4">
        <v>1</v>
      </c>
      <c r="AH719" s="4">
        <v>42</v>
      </c>
      <c r="AI719" s="4">
        <v>47</v>
      </c>
      <c r="AJ719" s="4">
        <v>11</v>
      </c>
      <c r="AK719" s="4">
        <v>12</v>
      </c>
      <c r="AL719" s="4">
        <v>25</v>
      </c>
      <c r="AM719" s="4">
        <v>29</v>
      </c>
      <c r="AN719" s="4">
        <v>0</v>
      </c>
      <c r="AO719" s="4">
        <v>0</v>
      </c>
      <c r="AP719" s="4">
        <v>13</v>
      </c>
      <c r="AQ719" s="4">
        <v>14</v>
      </c>
      <c r="AR719" s="3" t="s">
        <v>62</v>
      </c>
      <c r="AS719" s="3" t="s">
        <v>62</v>
      </c>
      <c r="AT719" s="3" t="s">
        <v>62</v>
      </c>
      <c r="AV719" s="6" t="str">
        <f>HYPERLINK("http://mcgill.on.worldcat.org/oclc/857981457","Catalog Record")</f>
        <v>Catalog Record</v>
      </c>
      <c r="AW719" s="6" t="str">
        <f>HYPERLINK("http://www.worldcat.org/oclc/857981457","WorldCat Record")</f>
        <v>WorldCat Record</v>
      </c>
      <c r="AX719" s="3" t="s">
        <v>6909</v>
      </c>
      <c r="AY719" s="3" t="s">
        <v>6910</v>
      </c>
      <c r="AZ719" s="3" t="s">
        <v>6911</v>
      </c>
      <c r="BA719" s="3" t="s">
        <v>6911</v>
      </c>
      <c r="BB719" s="3" t="s">
        <v>6912</v>
      </c>
      <c r="BC719" s="3" t="s">
        <v>142</v>
      </c>
      <c r="BD719" s="3" t="s">
        <v>68</v>
      </c>
      <c r="BE719" s="3" t="s">
        <v>6913</v>
      </c>
      <c r="BF719" s="3" t="s">
        <v>6912</v>
      </c>
      <c r="BG719" s="3" t="s">
        <v>6914</v>
      </c>
    </row>
    <row r="720" spans="1:59" ht="57" x14ac:dyDescent="0.45">
      <c r="A720" s="2" t="s">
        <v>59</v>
      </c>
      <c r="B720" s="2" t="s">
        <v>60</v>
      </c>
      <c r="C720" s="2" t="s">
        <v>6915</v>
      </c>
      <c r="D720" s="2" t="s">
        <v>6916</v>
      </c>
      <c r="E720" s="2" t="s">
        <v>6917</v>
      </c>
      <c r="G720" s="3" t="s">
        <v>62</v>
      </c>
      <c r="I720" s="3" t="s">
        <v>62</v>
      </c>
      <c r="J720" s="3" t="s">
        <v>61</v>
      </c>
      <c r="K720" s="3" t="s">
        <v>63</v>
      </c>
      <c r="L720" s="2" t="s">
        <v>6918</v>
      </c>
      <c r="M720" s="2" t="s">
        <v>6919</v>
      </c>
      <c r="N720" s="3" t="s">
        <v>248</v>
      </c>
      <c r="P720" s="3" t="s">
        <v>65</v>
      </c>
      <c r="R720" s="3" t="s">
        <v>66</v>
      </c>
      <c r="S720" s="4">
        <v>4</v>
      </c>
      <c r="T720" s="4">
        <v>4</v>
      </c>
      <c r="U720" s="5" t="s">
        <v>1268</v>
      </c>
      <c r="V720" s="5" t="s">
        <v>1268</v>
      </c>
      <c r="W720" s="5" t="s">
        <v>67</v>
      </c>
      <c r="X720" s="5" t="s">
        <v>67</v>
      </c>
      <c r="Y720" s="4">
        <v>475</v>
      </c>
      <c r="Z720" s="4">
        <v>18</v>
      </c>
      <c r="AA720" s="4">
        <v>53</v>
      </c>
      <c r="AB720" s="4">
        <v>1</v>
      </c>
      <c r="AC720" s="4">
        <v>8</v>
      </c>
      <c r="AD720" s="4">
        <v>90</v>
      </c>
      <c r="AE720" s="4">
        <v>136</v>
      </c>
      <c r="AF720" s="4">
        <v>0</v>
      </c>
      <c r="AG720" s="4">
        <v>5</v>
      </c>
      <c r="AH720" s="4">
        <v>81</v>
      </c>
      <c r="AI720" s="4">
        <v>105</v>
      </c>
      <c r="AJ720" s="4">
        <v>11</v>
      </c>
      <c r="AK720" s="4">
        <v>25</v>
      </c>
      <c r="AL720" s="4">
        <v>52</v>
      </c>
      <c r="AM720" s="4">
        <v>60</v>
      </c>
      <c r="AN720" s="4">
        <v>0</v>
      </c>
      <c r="AO720" s="4">
        <v>0</v>
      </c>
      <c r="AP720" s="4">
        <v>13</v>
      </c>
      <c r="AQ720" s="4">
        <v>36</v>
      </c>
      <c r="AR720" s="3" t="s">
        <v>62</v>
      </c>
      <c r="AS720" s="3" t="s">
        <v>62</v>
      </c>
      <c r="AT720" s="3" t="s">
        <v>61</v>
      </c>
      <c r="AU720" s="6" t="str">
        <f>HYPERLINK("http://catalog.hathitrust.org/Record/001180702","HathiTrust Record")</f>
        <v>HathiTrust Record</v>
      </c>
      <c r="AV720" s="6" t="str">
        <f>HYPERLINK("http://mcgill.on.worldcat.org/oclc/951369","Catalog Record")</f>
        <v>Catalog Record</v>
      </c>
      <c r="AW720" s="6" t="str">
        <f>HYPERLINK("http://www.worldcat.org/oclc/951369","WorldCat Record")</f>
        <v>WorldCat Record</v>
      </c>
      <c r="AX720" s="3" t="s">
        <v>6920</v>
      </c>
      <c r="AY720" s="3" t="s">
        <v>6921</v>
      </c>
      <c r="AZ720" s="3" t="s">
        <v>6922</v>
      </c>
      <c r="BA720" s="3" t="s">
        <v>6922</v>
      </c>
      <c r="BB720" s="3" t="s">
        <v>6923</v>
      </c>
      <c r="BC720" s="3" t="s">
        <v>142</v>
      </c>
      <c r="BD720" s="3" t="s">
        <v>68</v>
      </c>
      <c r="BF720" s="3" t="s">
        <v>6923</v>
      </c>
      <c r="BG720" s="3" t="s">
        <v>6924</v>
      </c>
    </row>
    <row r="721" spans="1:59" ht="57" x14ac:dyDescent="0.45">
      <c r="A721" s="2" t="s">
        <v>59</v>
      </c>
      <c r="B721" s="2" t="s">
        <v>60</v>
      </c>
      <c r="C721" s="2" t="s">
        <v>6925</v>
      </c>
      <c r="D721" s="2" t="s">
        <v>6926</v>
      </c>
      <c r="E721" s="2" t="s">
        <v>6927</v>
      </c>
      <c r="G721" s="3" t="s">
        <v>62</v>
      </c>
      <c r="I721" s="3" t="s">
        <v>62</v>
      </c>
      <c r="J721" s="3" t="s">
        <v>61</v>
      </c>
      <c r="K721" s="3" t="s">
        <v>63</v>
      </c>
      <c r="L721" s="2" t="s">
        <v>6928</v>
      </c>
      <c r="M721" s="2" t="s">
        <v>6929</v>
      </c>
      <c r="N721" s="3" t="s">
        <v>117</v>
      </c>
      <c r="P721" s="3" t="s">
        <v>65</v>
      </c>
      <c r="R721" s="3" t="s">
        <v>66</v>
      </c>
      <c r="S721" s="4">
        <v>30</v>
      </c>
      <c r="T721" s="4">
        <v>30</v>
      </c>
      <c r="U721" s="5" t="s">
        <v>6930</v>
      </c>
      <c r="V721" s="5" t="s">
        <v>6930</v>
      </c>
      <c r="W721" s="5" t="s">
        <v>67</v>
      </c>
      <c r="X721" s="5" t="s">
        <v>67</v>
      </c>
      <c r="Y721" s="4">
        <v>461</v>
      </c>
      <c r="Z721" s="4">
        <v>33</v>
      </c>
      <c r="AA721" s="4">
        <v>87</v>
      </c>
      <c r="AB721" s="4">
        <v>1</v>
      </c>
      <c r="AC721" s="4">
        <v>13</v>
      </c>
      <c r="AD721" s="4">
        <v>95</v>
      </c>
      <c r="AE721" s="4">
        <v>145</v>
      </c>
      <c r="AF721" s="4">
        <v>0</v>
      </c>
      <c r="AG721" s="4">
        <v>7</v>
      </c>
      <c r="AH721" s="4">
        <v>84</v>
      </c>
      <c r="AI721" s="4">
        <v>107</v>
      </c>
      <c r="AJ721" s="4">
        <v>18</v>
      </c>
      <c r="AK721" s="4">
        <v>27</v>
      </c>
      <c r="AL721" s="4">
        <v>42</v>
      </c>
      <c r="AM721" s="4">
        <v>56</v>
      </c>
      <c r="AN721" s="4">
        <v>0</v>
      </c>
      <c r="AO721" s="4">
        <v>0</v>
      </c>
      <c r="AP721" s="4">
        <v>22</v>
      </c>
      <c r="AQ721" s="4">
        <v>47</v>
      </c>
      <c r="AR721" s="3" t="s">
        <v>62</v>
      </c>
      <c r="AS721" s="3" t="s">
        <v>62</v>
      </c>
      <c r="AT721" s="3" t="s">
        <v>61</v>
      </c>
      <c r="AU721" s="6" t="str">
        <f>HYPERLINK("http://catalog.hathitrust.org/Record/000766449","HathiTrust Record")</f>
        <v>HathiTrust Record</v>
      </c>
      <c r="AV721" s="6" t="str">
        <f>HYPERLINK("http://mcgill.on.worldcat.org/oclc/5310065","Catalog Record")</f>
        <v>Catalog Record</v>
      </c>
      <c r="AW721" s="6" t="str">
        <f>HYPERLINK("http://www.worldcat.org/oclc/5310065","WorldCat Record")</f>
        <v>WorldCat Record</v>
      </c>
      <c r="AX721" s="3" t="s">
        <v>6931</v>
      </c>
      <c r="AY721" s="3" t="s">
        <v>6932</v>
      </c>
      <c r="AZ721" s="3" t="s">
        <v>6933</v>
      </c>
      <c r="BA721" s="3" t="s">
        <v>6933</v>
      </c>
      <c r="BB721" s="3" t="s">
        <v>6934</v>
      </c>
      <c r="BC721" s="3" t="s">
        <v>142</v>
      </c>
      <c r="BD721" s="3" t="s">
        <v>68</v>
      </c>
      <c r="BE721" s="3" t="s">
        <v>6935</v>
      </c>
      <c r="BF721" s="3" t="s">
        <v>6934</v>
      </c>
      <c r="BG721" s="3" t="s">
        <v>6936</v>
      </c>
    </row>
    <row r="722" spans="1:59" ht="57" x14ac:dyDescent="0.45">
      <c r="A722" s="2" t="s">
        <v>59</v>
      </c>
      <c r="B722" s="2" t="s">
        <v>60</v>
      </c>
      <c r="C722" s="2" t="s">
        <v>6937</v>
      </c>
      <c r="D722" s="2" t="s">
        <v>6938</v>
      </c>
      <c r="E722" s="2" t="s">
        <v>6927</v>
      </c>
      <c r="G722" s="3" t="s">
        <v>62</v>
      </c>
      <c r="I722" s="3" t="s">
        <v>62</v>
      </c>
      <c r="J722" s="3" t="s">
        <v>61</v>
      </c>
      <c r="K722" s="3" t="s">
        <v>63</v>
      </c>
      <c r="L722" s="2" t="s">
        <v>6928</v>
      </c>
      <c r="M722" s="2" t="s">
        <v>6939</v>
      </c>
      <c r="N722" s="3" t="s">
        <v>1604</v>
      </c>
      <c r="O722" s="2" t="s">
        <v>906</v>
      </c>
      <c r="P722" s="3" t="s">
        <v>65</v>
      </c>
      <c r="R722" s="3" t="s">
        <v>66</v>
      </c>
      <c r="S722" s="4">
        <v>38</v>
      </c>
      <c r="T722" s="4">
        <v>38</v>
      </c>
      <c r="U722" s="5" t="s">
        <v>6940</v>
      </c>
      <c r="V722" s="5" t="s">
        <v>6940</v>
      </c>
      <c r="W722" s="5" t="s">
        <v>67</v>
      </c>
      <c r="X722" s="5" t="s">
        <v>67</v>
      </c>
      <c r="Y722" s="4">
        <v>409</v>
      </c>
      <c r="Z722" s="4">
        <v>27</v>
      </c>
      <c r="AA722" s="4">
        <v>87</v>
      </c>
      <c r="AB722" s="4">
        <v>1</v>
      </c>
      <c r="AC722" s="4">
        <v>13</v>
      </c>
      <c r="AD722" s="4">
        <v>66</v>
      </c>
      <c r="AE722" s="4">
        <v>145</v>
      </c>
      <c r="AF722" s="4">
        <v>0</v>
      </c>
      <c r="AG722" s="4">
        <v>7</v>
      </c>
      <c r="AH722" s="4">
        <v>59</v>
      </c>
      <c r="AI722" s="4">
        <v>107</v>
      </c>
      <c r="AJ722" s="4">
        <v>12</v>
      </c>
      <c r="AK722" s="4">
        <v>27</v>
      </c>
      <c r="AL722" s="4">
        <v>30</v>
      </c>
      <c r="AM722" s="4">
        <v>56</v>
      </c>
      <c r="AN722" s="4">
        <v>0</v>
      </c>
      <c r="AO722" s="4">
        <v>0</v>
      </c>
      <c r="AP722" s="4">
        <v>14</v>
      </c>
      <c r="AQ722" s="4">
        <v>47</v>
      </c>
      <c r="AR722" s="3" t="s">
        <v>62</v>
      </c>
      <c r="AS722" s="3" t="s">
        <v>62</v>
      </c>
      <c r="AT722" s="3" t="s">
        <v>61</v>
      </c>
      <c r="AU722" s="6" t="str">
        <f>HYPERLINK("http://catalog.hathitrust.org/Record/008325156","HathiTrust Record")</f>
        <v>HathiTrust Record</v>
      </c>
      <c r="AV722" s="6" t="str">
        <f>HYPERLINK("http://mcgill.on.worldcat.org/oclc/28421545","Catalog Record")</f>
        <v>Catalog Record</v>
      </c>
      <c r="AW722" s="6" t="str">
        <f>HYPERLINK("http://www.worldcat.org/oclc/28421545","WorldCat Record")</f>
        <v>WorldCat Record</v>
      </c>
      <c r="AX722" s="3" t="s">
        <v>6931</v>
      </c>
      <c r="AY722" s="3" t="s">
        <v>6941</v>
      </c>
      <c r="AZ722" s="3" t="s">
        <v>6942</v>
      </c>
      <c r="BA722" s="3" t="s">
        <v>6942</v>
      </c>
      <c r="BB722" s="3" t="s">
        <v>6943</v>
      </c>
      <c r="BC722" s="3" t="s">
        <v>142</v>
      </c>
      <c r="BD722" s="3" t="s">
        <v>68</v>
      </c>
      <c r="BE722" s="3" t="s">
        <v>6944</v>
      </c>
      <c r="BF722" s="3" t="s">
        <v>6943</v>
      </c>
      <c r="BG722" s="3" t="s">
        <v>6945</v>
      </c>
    </row>
    <row r="723" spans="1:59" ht="57" x14ac:dyDescent="0.45">
      <c r="A723" s="2" t="s">
        <v>59</v>
      </c>
      <c r="B723" s="2" t="s">
        <v>60</v>
      </c>
      <c r="C723" s="2" t="s">
        <v>6946</v>
      </c>
      <c r="D723" s="2" t="s">
        <v>6947</v>
      </c>
      <c r="E723" s="2" t="s">
        <v>6927</v>
      </c>
      <c r="G723" s="3" t="s">
        <v>62</v>
      </c>
      <c r="I723" s="3" t="s">
        <v>62</v>
      </c>
      <c r="J723" s="3" t="s">
        <v>61</v>
      </c>
      <c r="K723" s="3" t="s">
        <v>63</v>
      </c>
      <c r="L723" s="2" t="s">
        <v>6928</v>
      </c>
      <c r="M723" s="2" t="s">
        <v>6948</v>
      </c>
      <c r="N723" s="3" t="s">
        <v>1212</v>
      </c>
      <c r="O723" s="2" t="s">
        <v>420</v>
      </c>
      <c r="P723" s="3" t="s">
        <v>65</v>
      </c>
      <c r="R723" s="3" t="s">
        <v>66</v>
      </c>
      <c r="S723" s="4">
        <v>48</v>
      </c>
      <c r="T723" s="4">
        <v>48</v>
      </c>
      <c r="U723" s="5" t="s">
        <v>6949</v>
      </c>
      <c r="V723" s="5" t="s">
        <v>6949</v>
      </c>
      <c r="W723" s="5" t="s">
        <v>67</v>
      </c>
      <c r="X723" s="5" t="s">
        <v>67</v>
      </c>
      <c r="Y723" s="4">
        <v>402</v>
      </c>
      <c r="Z723" s="4">
        <v>32</v>
      </c>
      <c r="AA723" s="4">
        <v>87</v>
      </c>
      <c r="AB723" s="4">
        <v>3</v>
      </c>
      <c r="AC723" s="4">
        <v>13</v>
      </c>
      <c r="AD723" s="4">
        <v>58</v>
      </c>
      <c r="AE723" s="4">
        <v>145</v>
      </c>
      <c r="AF723" s="4">
        <v>1</v>
      </c>
      <c r="AG723" s="4">
        <v>7</v>
      </c>
      <c r="AH723" s="4">
        <v>48</v>
      </c>
      <c r="AI723" s="4">
        <v>107</v>
      </c>
      <c r="AJ723" s="4">
        <v>10</v>
      </c>
      <c r="AK723" s="4">
        <v>27</v>
      </c>
      <c r="AL723" s="4">
        <v>25</v>
      </c>
      <c r="AM723" s="4">
        <v>56</v>
      </c>
      <c r="AN723" s="4">
        <v>0</v>
      </c>
      <c r="AO723" s="4">
        <v>0</v>
      </c>
      <c r="AP723" s="4">
        <v>16</v>
      </c>
      <c r="AQ723" s="4">
        <v>47</v>
      </c>
      <c r="AR723" s="3" t="s">
        <v>62</v>
      </c>
      <c r="AS723" s="3" t="s">
        <v>62</v>
      </c>
      <c r="AT723" s="3" t="s">
        <v>61</v>
      </c>
      <c r="AU723" s="6" t="str">
        <f>HYPERLINK("http://catalog.hathitrust.org/Record/004145449","HathiTrust Record")</f>
        <v>HathiTrust Record</v>
      </c>
      <c r="AV723" s="6" t="str">
        <f>HYPERLINK("http://mcgill.on.worldcat.org/oclc/42842469","Catalog Record")</f>
        <v>Catalog Record</v>
      </c>
      <c r="AW723" s="6" t="str">
        <f>HYPERLINK("http://www.worldcat.org/oclc/42842469","WorldCat Record")</f>
        <v>WorldCat Record</v>
      </c>
      <c r="AX723" s="3" t="s">
        <v>6931</v>
      </c>
      <c r="AY723" s="3" t="s">
        <v>6950</v>
      </c>
      <c r="AZ723" s="3" t="s">
        <v>6951</v>
      </c>
      <c r="BA723" s="3" t="s">
        <v>6951</v>
      </c>
      <c r="BB723" s="3" t="s">
        <v>6952</v>
      </c>
      <c r="BC723" s="3" t="s">
        <v>142</v>
      </c>
      <c r="BD723" s="3" t="s">
        <v>68</v>
      </c>
      <c r="BE723" s="3" t="s">
        <v>6953</v>
      </c>
      <c r="BF723" s="3" t="s">
        <v>6952</v>
      </c>
      <c r="BG723" s="3" t="s">
        <v>6954</v>
      </c>
    </row>
    <row r="724" spans="1:59" ht="57" x14ac:dyDescent="0.45">
      <c r="A724" s="2" t="s">
        <v>59</v>
      </c>
      <c r="B724" s="2" t="s">
        <v>60</v>
      </c>
      <c r="C724" s="2" t="s">
        <v>6955</v>
      </c>
      <c r="D724" s="2" t="s">
        <v>6956</v>
      </c>
      <c r="E724" s="2" t="s">
        <v>6957</v>
      </c>
      <c r="G724" s="3" t="s">
        <v>62</v>
      </c>
      <c r="I724" s="3" t="s">
        <v>62</v>
      </c>
      <c r="J724" s="3" t="s">
        <v>61</v>
      </c>
      <c r="K724" s="3" t="s">
        <v>63</v>
      </c>
      <c r="L724" s="2" t="s">
        <v>6928</v>
      </c>
      <c r="M724" s="2" t="s">
        <v>6939</v>
      </c>
      <c r="N724" s="3" t="s">
        <v>1604</v>
      </c>
      <c r="P724" s="3" t="s">
        <v>65</v>
      </c>
      <c r="R724" s="3" t="s">
        <v>66</v>
      </c>
      <c r="S724" s="4">
        <v>2</v>
      </c>
      <c r="T724" s="4">
        <v>2</v>
      </c>
      <c r="U724" s="5" t="s">
        <v>6958</v>
      </c>
      <c r="V724" s="5" t="s">
        <v>6958</v>
      </c>
      <c r="W724" s="5" t="s">
        <v>67</v>
      </c>
      <c r="X724" s="5" t="s">
        <v>67</v>
      </c>
      <c r="Y724" s="4">
        <v>329</v>
      </c>
      <c r="Z724" s="4">
        <v>35</v>
      </c>
      <c r="AA724" s="4">
        <v>78</v>
      </c>
      <c r="AB724" s="4">
        <v>1</v>
      </c>
      <c r="AC724" s="4">
        <v>9</v>
      </c>
      <c r="AD724" s="4">
        <v>62</v>
      </c>
      <c r="AE724" s="4">
        <v>108</v>
      </c>
      <c r="AF724" s="4">
        <v>0</v>
      </c>
      <c r="AG724" s="4">
        <v>6</v>
      </c>
      <c r="AH724" s="4">
        <v>52</v>
      </c>
      <c r="AI724" s="4">
        <v>82</v>
      </c>
      <c r="AJ724" s="4">
        <v>12</v>
      </c>
      <c r="AK724" s="4">
        <v>23</v>
      </c>
      <c r="AL724" s="4">
        <v>28</v>
      </c>
      <c r="AM724" s="4">
        <v>42</v>
      </c>
      <c r="AN724" s="4">
        <v>0</v>
      </c>
      <c r="AO724" s="4">
        <v>0</v>
      </c>
      <c r="AP724" s="4">
        <v>18</v>
      </c>
      <c r="AQ724" s="4">
        <v>36</v>
      </c>
      <c r="AR724" s="3" t="s">
        <v>62</v>
      </c>
      <c r="AS724" s="3" t="s">
        <v>62</v>
      </c>
      <c r="AT724" s="3" t="s">
        <v>61</v>
      </c>
      <c r="AU724" s="6" t="str">
        <f>HYPERLINK("http://catalog.hathitrust.org/Record/008325157","HathiTrust Record")</f>
        <v>HathiTrust Record</v>
      </c>
      <c r="AV724" s="6" t="str">
        <f>HYPERLINK("http://mcgill.on.worldcat.org/oclc/28632355","Catalog Record")</f>
        <v>Catalog Record</v>
      </c>
      <c r="AW724" s="6" t="str">
        <f>HYPERLINK("http://www.worldcat.org/oclc/28632355","WorldCat Record")</f>
        <v>WorldCat Record</v>
      </c>
      <c r="AX724" s="3" t="s">
        <v>6959</v>
      </c>
      <c r="AY724" s="3" t="s">
        <v>6960</v>
      </c>
      <c r="AZ724" s="3" t="s">
        <v>6961</v>
      </c>
      <c r="BA724" s="3" t="s">
        <v>6961</v>
      </c>
      <c r="BB724" s="3" t="s">
        <v>6962</v>
      </c>
      <c r="BC724" s="3" t="s">
        <v>142</v>
      </c>
      <c r="BD724" s="3" t="s">
        <v>68</v>
      </c>
      <c r="BE724" s="3" t="s">
        <v>6963</v>
      </c>
      <c r="BF724" s="3" t="s">
        <v>6962</v>
      </c>
      <c r="BG724" s="3" t="s">
        <v>6964</v>
      </c>
    </row>
    <row r="725" spans="1:59" ht="57" x14ac:dyDescent="0.45">
      <c r="A725" s="2" t="s">
        <v>59</v>
      </c>
      <c r="B725" s="2" t="s">
        <v>60</v>
      </c>
      <c r="C725" s="2" t="s">
        <v>6965</v>
      </c>
      <c r="D725" s="2" t="s">
        <v>6966</v>
      </c>
      <c r="E725" s="2" t="s">
        <v>6957</v>
      </c>
      <c r="G725" s="3" t="s">
        <v>62</v>
      </c>
      <c r="I725" s="3" t="s">
        <v>62</v>
      </c>
      <c r="J725" s="3" t="s">
        <v>61</v>
      </c>
      <c r="K725" s="3" t="s">
        <v>63</v>
      </c>
      <c r="L725" s="2" t="s">
        <v>6928</v>
      </c>
      <c r="M725" s="2" t="s">
        <v>6967</v>
      </c>
      <c r="N725" s="3" t="s">
        <v>945</v>
      </c>
      <c r="O725" s="2" t="s">
        <v>906</v>
      </c>
      <c r="P725" s="3" t="s">
        <v>65</v>
      </c>
      <c r="R725" s="3" t="s">
        <v>66</v>
      </c>
      <c r="S725" s="4">
        <v>9</v>
      </c>
      <c r="T725" s="4">
        <v>9</v>
      </c>
      <c r="U725" s="5" t="s">
        <v>6968</v>
      </c>
      <c r="V725" s="5" t="s">
        <v>6968</v>
      </c>
      <c r="W725" s="5" t="s">
        <v>67</v>
      </c>
      <c r="X725" s="5" t="s">
        <v>67</v>
      </c>
      <c r="Y725" s="4">
        <v>253</v>
      </c>
      <c r="Z725" s="4">
        <v>16</v>
      </c>
      <c r="AA725" s="4">
        <v>78</v>
      </c>
      <c r="AB725" s="4">
        <v>2</v>
      </c>
      <c r="AC725" s="4">
        <v>9</v>
      </c>
      <c r="AD725" s="4">
        <v>38</v>
      </c>
      <c r="AE725" s="4">
        <v>108</v>
      </c>
      <c r="AF725" s="4">
        <v>1</v>
      </c>
      <c r="AG725" s="4">
        <v>6</v>
      </c>
      <c r="AH725" s="4">
        <v>32</v>
      </c>
      <c r="AI725" s="4">
        <v>82</v>
      </c>
      <c r="AJ725" s="4">
        <v>10</v>
      </c>
      <c r="AK725" s="4">
        <v>23</v>
      </c>
      <c r="AL725" s="4">
        <v>15</v>
      </c>
      <c r="AM725" s="4">
        <v>42</v>
      </c>
      <c r="AN725" s="4">
        <v>0</v>
      </c>
      <c r="AO725" s="4">
        <v>0</v>
      </c>
      <c r="AP725" s="4">
        <v>11</v>
      </c>
      <c r="AQ725" s="4">
        <v>36</v>
      </c>
      <c r="AR725" s="3" t="s">
        <v>62</v>
      </c>
      <c r="AS725" s="3" t="s">
        <v>62</v>
      </c>
      <c r="AT725" s="3" t="s">
        <v>62</v>
      </c>
      <c r="AV725" s="6" t="str">
        <f>HYPERLINK("http://mcgill.on.worldcat.org/oclc/76183358","Catalog Record")</f>
        <v>Catalog Record</v>
      </c>
      <c r="AW725" s="6" t="str">
        <f>HYPERLINK("http://www.worldcat.org/oclc/76183358","WorldCat Record")</f>
        <v>WorldCat Record</v>
      </c>
      <c r="AX725" s="3" t="s">
        <v>6959</v>
      </c>
      <c r="AY725" s="3" t="s">
        <v>6969</v>
      </c>
      <c r="AZ725" s="3" t="s">
        <v>6970</v>
      </c>
      <c r="BA725" s="3" t="s">
        <v>6970</v>
      </c>
      <c r="BB725" s="3" t="s">
        <v>6971</v>
      </c>
      <c r="BC725" s="3" t="s">
        <v>142</v>
      </c>
      <c r="BD725" s="3" t="s">
        <v>308</v>
      </c>
      <c r="BE725" s="3" t="s">
        <v>6972</v>
      </c>
      <c r="BF725" s="3" t="s">
        <v>6971</v>
      </c>
      <c r="BG725" s="3" t="s">
        <v>6973</v>
      </c>
    </row>
    <row r="726" spans="1:59" ht="57" x14ac:dyDescent="0.45">
      <c r="A726" s="2" t="s">
        <v>59</v>
      </c>
      <c r="B726" s="2" t="s">
        <v>60</v>
      </c>
      <c r="C726" s="2" t="s">
        <v>6974</v>
      </c>
      <c r="D726" s="2" t="s">
        <v>6975</v>
      </c>
      <c r="E726" s="2" t="s">
        <v>6976</v>
      </c>
      <c r="G726" s="3" t="s">
        <v>62</v>
      </c>
      <c r="I726" s="3" t="s">
        <v>62</v>
      </c>
      <c r="J726" s="3" t="s">
        <v>62</v>
      </c>
      <c r="K726" s="3" t="s">
        <v>63</v>
      </c>
      <c r="M726" s="2" t="s">
        <v>6977</v>
      </c>
      <c r="N726" s="3" t="s">
        <v>1855</v>
      </c>
      <c r="P726" s="3" t="s">
        <v>65</v>
      </c>
      <c r="R726" s="3" t="s">
        <v>66</v>
      </c>
      <c r="S726" s="4">
        <v>6</v>
      </c>
      <c r="T726" s="4">
        <v>6</v>
      </c>
      <c r="U726" s="5" t="s">
        <v>6978</v>
      </c>
      <c r="V726" s="5" t="s">
        <v>6978</v>
      </c>
      <c r="W726" s="5" t="s">
        <v>67</v>
      </c>
      <c r="X726" s="5" t="s">
        <v>67</v>
      </c>
      <c r="Y726" s="4">
        <v>129</v>
      </c>
      <c r="Z726" s="4">
        <v>6</v>
      </c>
      <c r="AA726" s="4">
        <v>7</v>
      </c>
      <c r="AB726" s="4">
        <v>1</v>
      </c>
      <c r="AC726" s="4">
        <v>2</v>
      </c>
      <c r="AD726" s="4">
        <v>44</v>
      </c>
      <c r="AE726" s="4">
        <v>45</v>
      </c>
      <c r="AF726" s="4">
        <v>0</v>
      </c>
      <c r="AG726" s="4">
        <v>1</v>
      </c>
      <c r="AH726" s="4">
        <v>40</v>
      </c>
      <c r="AI726" s="4">
        <v>40</v>
      </c>
      <c r="AJ726" s="4">
        <v>3</v>
      </c>
      <c r="AK726" s="4">
        <v>4</v>
      </c>
      <c r="AL726" s="4">
        <v>23</v>
      </c>
      <c r="AM726" s="4">
        <v>23</v>
      </c>
      <c r="AN726" s="4">
        <v>0</v>
      </c>
      <c r="AO726" s="4">
        <v>0</v>
      </c>
      <c r="AP726" s="4">
        <v>5</v>
      </c>
      <c r="AQ726" s="4">
        <v>5</v>
      </c>
      <c r="AR726" s="3" t="s">
        <v>62</v>
      </c>
      <c r="AS726" s="3" t="s">
        <v>62</v>
      </c>
      <c r="AT726" s="3" t="s">
        <v>62</v>
      </c>
      <c r="AV726" s="6" t="str">
        <f>HYPERLINK("http://mcgill.on.worldcat.org/oclc/224509680","Catalog Record")</f>
        <v>Catalog Record</v>
      </c>
      <c r="AW726" s="6" t="str">
        <f>HYPERLINK("http://www.worldcat.org/oclc/224509680","WorldCat Record")</f>
        <v>WorldCat Record</v>
      </c>
      <c r="AX726" s="3" t="s">
        <v>6979</v>
      </c>
      <c r="AY726" s="3" t="s">
        <v>6980</v>
      </c>
      <c r="AZ726" s="3" t="s">
        <v>6981</v>
      </c>
      <c r="BA726" s="3" t="s">
        <v>6981</v>
      </c>
      <c r="BB726" s="3" t="s">
        <v>6982</v>
      </c>
      <c r="BC726" s="3" t="s">
        <v>142</v>
      </c>
      <c r="BD726" s="3" t="s">
        <v>68</v>
      </c>
      <c r="BE726" s="3" t="s">
        <v>6983</v>
      </c>
      <c r="BF726" s="3" t="s">
        <v>6982</v>
      </c>
      <c r="BG726" s="3" t="s">
        <v>6984</v>
      </c>
    </row>
    <row r="727" spans="1:59" ht="57" x14ac:dyDescent="0.45">
      <c r="A727" s="2" t="s">
        <v>59</v>
      </c>
      <c r="B727" s="2" t="s">
        <v>60</v>
      </c>
      <c r="C727" s="2" t="s">
        <v>6985</v>
      </c>
      <c r="D727" s="2" t="s">
        <v>6986</v>
      </c>
      <c r="E727" s="2" t="s">
        <v>6987</v>
      </c>
      <c r="G727" s="3" t="s">
        <v>62</v>
      </c>
      <c r="I727" s="3" t="s">
        <v>62</v>
      </c>
      <c r="J727" s="3" t="s">
        <v>62</v>
      </c>
      <c r="K727" s="3" t="s">
        <v>63</v>
      </c>
      <c r="M727" s="2" t="s">
        <v>6988</v>
      </c>
      <c r="N727" s="3" t="s">
        <v>106</v>
      </c>
      <c r="P727" s="3" t="s">
        <v>65</v>
      </c>
      <c r="R727" s="3" t="s">
        <v>66</v>
      </c>
      <c r="S727" s="4">
        <v>8</v>
      </c>
      <c r="T727" s="4">
        <v>8</v>
      </c>
      <c r="U727" s="5" t="s">
        <v>6989</v>
      </c>
      <c r="V727" s="5" t="s">
        <v>6989</v>
      </c>
      <c r="W727" s="5" t="s">
        <v>67</v>
      </c>
      <c r="X727" s="5" t="s">
        <v>67</v>
      </c>
      <c r="Y727" s="4">
        <v>398</v>
      </c>
      <c r="Z727" s="4">
        <v>34</v>
      </c>
      <c r="AA727" s="4">
        <v>40</v>
      </c>
      <c r="AB727" s="4">
        <v>3</v>
      </c>
      <c r="AC727" s="4">
        <v>8</v>
      </c>
      <c r="AD727" s="4">
        <v>102</v>
      </c>
      <c r="AE727" s="4">
        <v>108</v>
      </c>
      <c r="AF727" s="4">
        <v>1</v>
      </c>
      <c r="AG727" s="4">
        <v>5</v>
      </c>
      <c r="AH727" s="4">
        <v>85</v>
      </c>
      <c r="AI727" s="4">
        <v>87</v>
      </c>
      <c r="AJ727" s="4">
        <v>18</v>
      </c>
      <c r="AK727" s="4">
        <v>22</v>
      </c>
      <c r="AL727" s="4">
        <v>42</v>
      </c>
      <c r="AM727" s="4">
        <v>42</v>
      </c>
      <c r="AN727" s="4">
        <v>0</v>
      </c>
      <c r="AO727" s="4">
        <v>0</v>
      </c>
      <c r="AP727" s="4">
        <v>27</v>
      </c>
      <c r="AQ727" s="4">
        <v>31</v>
      </c>
      <c r="AR727" s="3" t="s">
        <v>62</v>
      </c>
      <c r="AS727" s="3" t="s">
        <v>62</v>
      </c>
      <c r="AT727" s="3" t="s">
        <v>61</v>
      </c>
      <c r="AU727" s="6" t="str">
        <f>HYPERLINK("http://catalog.hathitrust.org/Record/000240771","HathiTrust Record")</f>
        <v>HathiTrust Record</v>
      </c>
      <c r="AV727" s="6" t="str">
        <f>HYPERLINK("http://mcgill.on.worldcat.org/oclc/9082927","Catalog Record")</f>
        <v>Catalog Record</v>
      </c>
      <c r="AW727" s="6" t="str">
        <f>HYPERLINK("http://www.worldcat.org/oclc/9082927","WorldCat Record")</f>
        <v>WorldCat Record</v>
      </c>
      <c r="AX727" s="3" t="s">
        <v>6990</v>
      </c>
      <c r="AY727" s="3" t="s">
        <v>6991</v>
      </c>
      <c r="AZ727" s="3" t="s">
        <v>6992</v>
      </c>
      <c r="BA727" s="3" t="s">
        <v>6992</v>
      </c>
      <c r="BB727" s="3" t="s">
        <v>6993</v>
      </c>
      <c r="BC727" s="3" t="s">
        <v>142</v>
      </c>
      <c r="BD727" s="3" t="s">
        <v>68</v>
      </c>
      <c r="BE727" s="3" t="s">
        <v>6994</v>
      </c>
      <c r="BF727" s="3" t="s">
        <v>6993</v>
      </c>
      <c r="BG727" s="3" t="s">
        <v>6995</v>
      </c>
    </row>
    <row r="728" spans="1:59" ht="85.5" x14ac:dyDescent="0.45">
      <c r="A728" s="2" t="s">
        <v>59</v>
      </c>
      <c r="B728" s="2" t="s">
        <v>5257</v>
      </c>
      <c r="C728" s="2" t="s">
        <v>6996</v>
      </c>
      <c r="D728" s="2" t="s">
        <v>6997</v>
      </c>
      <c r="E728" s="2" t="s">
        <v>6998</v>
      </c>
      <c r="G728" s="3" t="s">
        <v>62</v>
      </c>
      <c r="I728" s="3" t="s">
        <v>62</v>
      </c>
      <c r="J728" s="3" t="s">
        <v>62</v>
      </c>
      <c r="K728" s="3" t="s">
        <v>63</v>
      </c>
      <c r="M728" s="2" t="s">
        <v>6999</v>
      </c>
      <c r="N728" s="3" t="s">
        <v>149</v>
      </c>
      <c r="P728" s="3" t="s">
        <v>65</v>
      </c>
      <c r="R728" s="3" t="s">
        <v>66</v>
      </c>
      <c r="S728" s="4">
        <v>0</v>
      </c>
      <c r="T728" s="4">
        <v>0</v>
      </c>
      <c r="W728" s="5" t="s">
        <v>67</v>
      </c>
      <c r="X728" s="5" t="s">
        <v>67</v>
      </c>
      <c r="Y728" s="4">
        <v>113</v>
      </c>
      <c r="Z728" s="4">
        <v>11</v>
      </c>
      <c r="AA728" s="4">
        <v>17</v>
      </c>
      <c r="AB728" s="4">
        <v>3</v>
      </c>
      <c r="AC728" s="4">
        <v>6</v>
      </c>
      <c r="AD728" s="4">
        <v>36</v>
      </c>
      <c r="AE728" s="4">
        <v>42</v>
      </c>
      <c r="AF728" s="4">
        <v>1</v>
      </c>
      <c r="AG728" s="4">
        <v>2</v>
      </c>
      <c r="AH728" s="4">
        <v>33</v>
      </c>
      <c r="AI728" s="4">
        <v>38</v>
      </c>
      <c r="AJ728" s="4">
        <v>8</v>
      </c>
      <c r="AK728" s="4">
        <v>11</v>
      </c>
      <c r="AL728" s="4">
        <v>19</v>
      </c>
      <c r="AM728" s="4">
        <v>20</v>
      </c>
      <c r="AN728" s="4">
        <v>0</v>
      </c>
      <c r="AO728" s="4">
        <v>0</v>
      </c>
      <c r="AP728" s="4">
        <v>8</v>
      </c>
      <c r="AQ728" s="4">
        <v>11</v>
      </c>
      <c r="AR728" s="3" t="s">
        <v>62</v>
      </c>
      <c r="AS728" s="3" t="s">
        <v>62</v>
      </c>
      <c r="AT728" s="3" t="s">
        <v>62</v>
      </c>
      <c r="AV728" s="6" t="str">
        <f>HYPERLINK("http://mcgill.on.worldcat.org/oclc/613433761","Catalog Record")</f>
        <v>Catalog Record</v>
      </c>
      <c r="AW728" s="6" t="str">
        <f>HYPERLINK("http://www.worldcat.org/oclc/613433761","WorldCat Record")</f>
        <v>WorldCat Record</v>
      </c>
      <c r="AX728" s="3" t="s">
        <v>7000</v>
      </c>
      <c r="AY728" s="3" t="s">
        <v>7001</v>
      </c>
      <c r="AZ728" s="3" t="s">
        <v>7002</v>
      </c>
      <c r="BA728" s="3" t="s">
        <v>7002</v>
      </c>
      <c r="BB728" s="3" t="s">
        <v>7003</v>
      </c>
      <c r="BC728" s="3" t="s">
        <v>142</v>
      </c>
      <c r="BD728" s="3" t="s">
        <v>68</v>
      </c>
      <c r="BE728" s="3" t="s">
        <v>7004</v>
      </c>
      <c r="BF728" s="3" t="s">
        <v>7003</v>
      </c>
      <c r="BG728" s="3" t="s">
        <v>7005</v>
      </c>
    </row>
    <row r="729" spans="1:59" ht="57" x14ac:dyDescent="0.45">
      <c r="A729" s="2" t="s">
        <v>59</v>
      </c>
      <c r="B729" s="2" t="s">
        <v>60</v>
      </c>
      <c r="C729" s="2" t="s">
        <v>7006</v>
      </c>
      <c r="D729" s="2" t="s">
        <v>7007</v>
      </c>
      <c r="E729" s="2" t="s">
        <v>7008</v>
      </c>
      <c r="G729" s="3" t="s">
        <v>62</v>
      </c>
      <c r="I729" s="3" t="s">
        <v>62</v>
      </c>
      <c r="J729" s="3" t="s">
        <v>62</v>
      </c>
      <c r="K729" s="3" t="s">
        <v>63</v>
      </c>
      <c r="L729" s="2" t="s">
        <v>7009</v>
      </c>
      <c r="M729" s="2" t="s">
        <v>7010</v>
      </c>
      <c r="N729" s="3" t="s">
        <v>149</v>
      </c>
      <c r="P729" s="3" t="s">
        <v>65</v>
      </c>
      <c r="R729" s="3" t="s">
        <v>66</v>
      </c>
      <c r="S729" s="4">
        <v>3</v>
      </c>
      <c r="T729" s="4">
        <v>3</v>
      </c>
      <c r="U729" s="5" t="s">
        <v>7011</v>
      </c>
      <c r="V729" s="5" t="s">
        <v>7011</v>
      </c>
      <c r="W729" s="5" t="s">
        <v>67</v>
      </c>
      <c r="X729" s="5" t="s">
        <v>67</v>
      </c>
      <c r="Y729" s="4">
        <v>57</v>
      </c>
      <c r="Z729" s="4">
        <v>6</v>
      </c>
      <c r="AA729" s="4">
        <v>9</v>
      </c>
      <c r="AB729" s="4">
        <v>1</v>
      </c>
      <c r="AC729" s="4">
        <v>2</v>
      </c>
      <c r="AD729" s="4">
        <v>23</v>
      </c>
      <c r="AE729" s="4">
        <v>29</v>
      </c>
      <c r="AF729" s="4">
        <v>0</v>
      </c>
      <c r="AG729" s="4">
        <v>0</v>
      </c>
      <c r="AH729" s="4">
        <v>18</v>
      </c>
      <c r="AI729" s="4">
        <v>24</v>
      </c>
      <c r="AJ729" s="4">
        <v>4</v>
      </c>
      <c r="AK729" s="4">
        <v>4</v>
      </c>
      <c r="AL729" s="4">
        <v>10</v>
      </c>
      <c r="AM729" s="4">
        <v>14</v>
      </c>
      <c r="AN729" s="4">
        <v>0</v>
      </c>
      <c r="AO729" s="4">
        <v>0</v>
      </c>
      <c r="AP729" s="4">
        <v>5</v>
      </c>
      <c r="AQ729" s="4">
        <v>5</v>
      </c>
      <c r="AR729" s="3" t="s">
        <v>62</v>
      </c>
      <c r="AS729" s="3" t="s">
        <v>62</v>
      </c>
      <c r="AT729" s="3" t="s">
        <v>62</v>
      </c>
      <c r="AV729" s="6" t="str">
        <f>HYPERLINK("http://mcgill.on.worldcat.org/oclc/465190141","Catalog Record")</f>
        <v>Catalog Record</v>
      </c>
      <c r="AW729" s="6" t="str">
        <f>HYPERLINK("http://www.worldcat.org/oclc/465190141","WorldCat Record")</f>
        <v>WorldCat Record</v>
      </c>
      <c r="AX729" s="3" t="s">
        <v>7012</v>
      </c>
      <c r="AY729" s="3" t="s">
        <v>7013</v>
      </c>
      <c r="AZ729" s="3" t="s">
        <v>7014</v>
      </c>
      <c r="BA729" s="3" t="s">
        <v>7014</v>
      </c>
      <c r="BB729" s="3" t="s">
        <v>7015</v>
      </c>
      <c r="BC729" s="3" t="s">
        <v>142</v>
      </c>
      <c r="BD729" s="3" t="s">
        <v>68</v>
      </c>
      <c r="BE729" s="3" t="s">
        <v>7016</v>
      </c>
      <c r="BF729" s="3" t="s">
        <v>7015</v>
      </c>
      <c r="BG729" s="3" t="s">
        <v>7017</v>
      </c>
    </row>
    <row r="730" spans="1:59" ht="57" x14ac:dyDescent="0.45">
      <c r="A730" s="2" t="s">
        <v>59</v>
      </c>
      <c r="B730" s="2" t="s">
        <v>60</v>
      </c>
      <c r="C730" s="2" t="s">
        <v>7018</v>
      </c>
      <c r="D730" s="2" t="s">
        <v>7019</v>
      </c>
      <c r="E730" s="2" t="s">
        <v>7020</v>
      </c>
      <c r="F730" s="3" t="s">
        <v>7021</v>
      </c>
      <c r="G730" s="3" t="s">
        <v>62</v>
      </c>
      <c r="I730" s="3" t="s">
        <v>62</v>
      </c>
      <c r="J730" s="3" t="s">
        <v>62</v>
      </c>
      <c r="K730" s="3" t="s">
        <v>63</v>
      </c>
      <c r="L730" s="2" t="s">
        <v>7022</v>
      </c>
      <c r="M730" s="2" t="s">
        <v>7023</v>
      </c>
      <c r="N730" s="3" t="s">
        <v>1155</v>
      </c>
      <c r="P730" s="3" t="s">
        <v>65</v>
      </c>
      <c r="Q730" s="2" t="s">
        <v>7024</v>
      </c>
      <c r="R730" s="3" t="s">
        <v>66</v>
      </c>
      <c r="S730" s="4">
        <v>9</v>
      </c>
      <c r="T730" s="4">
        <v>9</v>
      </c>
      <c r="U730" s="5" t="s">
        <v>7025</v>
      </c>
      <c r="V730" s="5" t="s">
        <v>7025</v>
      </c>
      <c r="W730" s="5" t="s">
        <v>67</v>
      </c>
      <c r="X730" s="5" t="s">
        <v>67</v>
      </c>
      <c r="Y730" s="4">
        <v>58</v>
      </c>
      <c r="Z730" s="4">
        <v>4</v>
      </c>
      <c r="AA730" s="4">
        <v>4</v>
      </c>
      <c r="AB730" s="4">
        <v>1</v>
      </c>
      <c r="AC730" s="4">
        <v>1</v>
      </c>
      <c r="AD730" s="4">
        <v>13</v>
      </c>
      <c r="AE730" s="4">
        <v>13</v>
      </c>
      <c r="AF730" s="4">
        <v>0</v>
      </c>
      <c r="AG730" s="4">
        <v>0</v>
      </c>
      <c r="AH730" s="4">
        <v>12</v>
      </c>
      <c r="AI730" s="4">
        <v>12</v>
      </c>
      <c r="AJ730" s="4">
        <v>2</v>
      </c>
      <c r="AK730" s="4">
        <v>2</v>
      </c>
      <c r="AL730" s="4">
        <v>7</v>
      </c>
      <c r="AM730" s="4">
        <v>7</v>
      </c>
      <c r="AN730" s="4">
        <v>0</v>
      </c>
      <c r="AO730" s="4">
        <v>0</v>
      </c>
      <c r="AP730" s="4">
        <v>3</v>
      </c>
      <c r="AQ730" s="4">
        <v>3</v>
      </c>
      <c r="AR730" s="3" t="s">
        <v>62</v>
      </c>
      <c r="AS730" s="3" t="s">
        <v>62</v>
      </c>
      <c r="AT730" s="3" t="s">
        <v>62</v>
      </c>
      <c r="AV730" s="6" t="str">
        <f>HYPERLINK("http://mcgill.on.worldcat.org/oclc/758397422","Catalog Record")</f>
        <v>Catalog Record</v>
      </c>
      <c r="AW730" s="6" t="str">
        <f>HYPERLINK("http://www.worldcat.org/oclc/758397422","WorldCat Record")</f>
        <v>WorldCat Record</v>
      </c>
      <c r="AX730" s="3" t="s">
        <v>7026</v>
      </c>
      <c r="AY730" s="3" t="s">
        <v>7027</v>
      </c>
      <c r="AZ730" s="3" t="s">
        <v>7028</v>
      </c>
      <c r="BA730" s="3" t="s">
        <v>7028</v>
      </c>
      <c r="BB730" s="3" t="s">
        <v>7029</v>
      </c>
      <c r="BC730" s="3" t="s">
        <v>142</v>
      </c>
      <c r="BD730" s="3" t="s">
        <v>68</v>
      </c>
      <c r="BE730" s="3" t="s">
        <v>7030</v>
      </c>
      <c r="BF730" s="3" t="s">
        <v>7029</v>
      </c>
      <c r="BG730" s="3" t="s">
        <v>7031</v>
      </c>
    </row>
    <row r="731" spans="1:59" ht="57" x14ac:dyDescent="0.45">
      <c r="A731" s="2" t="s">
        <v>59</v>
      </c>
      <c r="B731" s="2" t="s">
        <v>60</v>
      </c>
      <c r="C731" s="2" t="s">
        <v>7032</v>
      </c>
      <c r="D731" s="2" t="s">
        <v>7033</v>
      </c>
      <c r="E731" s="2" t="s">
        <v>7034</v>
      </c>
      <c r="G731" s="3" t="s">
        <v>62</v>
      </c>
      <c r="I731" s="3" t="s">
        <v>61</v>
      </c>
      <c r="J731" s="3" t="s">
        <v>62</v>
      </c>
      <c r="K731" s="3" t="s">
        <v>63</v>
      </c>
      <c r="M731" s="2" t="s">
        <v>7035</v>
      </c>
      <c r="N731" s="3" t="s">
        <v>125</v>
      </c>
      <c r="P731" s="3" t="s">
        <v>65</v>
      </c>
      <c r="Q731" s="2" t="s">
        <v>7036</v>
      </c>
      <c r="R731" s="3" t="s">
        <v>66</v>
      </c>
      <c r="S731" s="4">
        <v>21</v>
      </c>
      <c r="T731" s="4">
        <v>89</v>
      </c>
      <c r="U731" s="5" t="s">
        <v>2202</v>
      </c>
      <c r="V731" s="5" t="s">
        <v>2202</v>
      </c>
      <c r="W731" s="5" t="s">
        <v>67</v>
      </c>
      <c r="X731" s="5" t="s">
        <v>67</v>
      </c>
      <c r="Y731" s="4">
        <v>641</v>
      </c>
      <c r="Z731" s="4">
        <v>34</v>
      </c>
      <c r="AA731" s="4">
        <v>41</v>
      </c>
      <c r="AB731" s="4">
        <v>4</v>
      </c>
      <c r="AC731" s="4">
        <v>9</v>
      </c>
      <c r="AD731" s="4">
        <v>121</v>
      </c>
      <c r="AE731" s="4">
        <v>125</v>
      </c>
      <c r="AF731" s="4">
        <v>2</v>
      </c>
      <c r="AG731" s="4">
        <v>5</v>
      </c>
      <c r="AH731" s="4">
        <v>102</v>
      </c>
      <c r="AI731" s="4">
        <v>103</v>
      </c>
      <c r="AJ731" s="4">
        <v>20</v>
      </c>
      <c r="AK731" s="4">
        <v>23</v>
      </c>
      <c r="AL731" s="4">
        <v>54</v>
      </c>
      <c r="AM731" s="4">
        <v>54</v>
      </c>
      <c r="AN731" s="4">
        <v>0</v>
      </c>
      <c r="AO731" s="4">
        <v>0</v>
      </c>
      <c r="AP731" s="4">
        <v>25</v>
      </c>
      <c r="AQ731" s="4">
        <v>28</v>
      </c>
      <c r="AR731" s="3" t="s">
        <v>62</v>
      </c>
      <c r="AS731" s="3" t="s">
        <v>62</v>
      </c>
      <c r="AT731" s="3" t="s">
        <v>62</v>
      </c>
      <c r="AV731" s="6" t="str">
        <f>HYPERLINK("http://mcgill.on.worldcat.org/oclc/20263597","Catalog Record")</f>
        <v>Catalog Record</v>
      </c>
      <c r="AW731" s="6" t="str">
        <f>HYPERLINK("http://www.worldcat.org/oclc/20263597","WorldCat Record")</f>
        <v>WorldCat Record</v>
      </c>
      <c r="AX731" s="3" t="s">
        <v>7037</v>
      </c>
      <c r="AY731" s="3" t="s">
        <v>7038</v>
      </c>
      <c r="AZ731" s="3" t="s">
        <v>7039</v>
      </c>
      <c r="BA731" s="3" t="s">
        <v>7039</v>
      </c>
      <c r="BB731" s="3" t="s">
        <v>7040</v>
      </c>
      <c r="BC731" s="3" t="s">
        <v>142</v>
      </c>
      <c r="BD731" s="3" t="s">
        <v>68</v>
      </c>
      <c r="BE731" s="3" t="s">
        <v>7041</v>
      </c>
      <c r="BF731" s="3" t="s">
        <v>7040</v>
      </c>
      <c r="BG731" s="3" t="s">
        <v>7042</v>
      </c>
    </row>
    <row r="732" spans="1:59" ht="57" x14ac:dyDescent="0.45">
      <c r="A732" s="2" t="s">
        <v>59</v>
      </c>
      <c r="B732" s="2" t="s">
        <v>60</v>
      </c>
      <c r="C732" s="2" t="s">
        <v>7043</v>
      </c>
      <c r="D732" s="2" t="s">
        <v>7044</v>
      </c>
      <c r="E732" s="2" t="s">
        <v>7034</v>
      </c>
      <c r="G732" s="3" t="s">
        <v>62</v>
      </c>
      <c r="I732" s="3" t="s">
        <v>61</v>
      </c>
      <c r="J732" s="3" t="s">
        <v>62</v>
      </c>
      <c r="K732" s="3" t="s">
        <v>63</v>
      </c>
      <c r="M732" s="2" t="s">
        <v>7035</v>
      </c>
      <c r="N732" s="3" t="s">
        <v>125</v>
      </c>
      <c r="P732" s="3" t="s">
        <v>65</v>
      </c>
      <c r="Q732" s="2" t="s">
        <v>7036</v>
      </c>
      <c r="R732" s="3" t="s">
        <v>66</v>
      </c>
      <c r="S732" s="4">
        <v>68</v>
      </c>
      <c r="T732" s="4">
        <v>89</v>
      </c>
      <c r="U732" s="5" t="s">
        <v>7045</v>
      </c>
      <c r="V732" s="5" t="s">
        <v>2202</v>
      </c>
      <c r="W732" s="5" t="s">
        <v>67</v>
      </c>
      <c r="X732" s="5" t="s">
        <v>67</v>
      </c>
      <c r="Y732" s="4">
        <v>641</v>
      </c>
      <c r="Z732" s="4">
        <v>34</v>
      </c>
      <c r="AA732" s="4">
        <v>41</v>
      </c>
      <c r="AB732" s="4">
        <v>4</v>
      </c>
      <c r="AC732" s="4">
        <v>9</v>
      </c>
      <c r="AD732" s="4">
        <v>121</v>
      </c>
      <c r="AE732" s="4">
        <v>125</v>
      </c>
      <c r="AF732" s="4">
        <v>2</v>
      </c>
      <c r="AG732" s="4">
        <v>5</v>
      </c>
      <c r="AH732" s="4">
        <v>102</v>
      </c>
      <c r="AI732" s="4">
        <v>103</v>
      </c>
      <c r="AJ732" s="4">
        <v>20</v>
      </c>
      <c r="AK732" s="4">
        <v>23</v>
      </c>
      <c r="AL732" s="4">
        <v>54</v>
      </c>
      <c r="AM732" s="4">
        <v>54</v>
      </c>
      <c r="AN732" s="4">
        <v>0</v>
      </c>
      <c r="AO732" s="4">
        <v>0</v>
      </c>
      <c r="AP732" s="4">
        <v>25</v>
      </c>
      <c r="AQ732" s="4">
        <v>28</v>
      </c>
      <c r="AR732" s="3" t="s">
        <v>62</v>
      </c>
      <c r="AS732" s="3" t="s">
        <v>62</v>
      </c>
      <c r="AT732" s="3" t="s">
        <v>62</v>
      </c>
      <c r="AV732" s="6" t="str">
        <f>HYPERLINK("http://mcgill.on.worldcat.org/oclc/20263597","Catalog Record")</f>
        <v>Catalog Record</v>
      </c>
      <c r="AW732" s="6" t="str">
        <f>HYPERLINK("http://www.worldcat.org/oclc/20263597","WorldCat Record")</f>
        <v>WorldCat Record</v>
      </c>
      <c r="AX732" s="3" t="s">
        <v>7037</v>
      </c>
      <c r="AY732" s="3" t="s">
        <v>7038</v>
      </c>
      <c r="AZ732" s="3" t="s">
        <v>7039</v>
      </c>
      <c r="BA732" s="3" t="s">
        <v>7039</v>
      </c>
      <c r="BB732" s="3" t="s">
        <v>7046</v>
      </c>
      <c r="BC732" s="3" t="s">
        <v>142</v>
      </c>
      <c r="BD732" s="3" t="s">
        <v>68</v>
      </c>
      <c r="BE732" s="3" t="s">
        <v>7041</v>
      </c>
      <c r="BF732" s="3" t="s">
        <v>7046</v>
      </c>
      <c r="BG732" s="3" t="s">
        <v>7047</v>
      </c>
    </row>
    <row r="733" spans="1:59" ht="57" x14ac:dyDescent="0.45">
      <c r="A733" s="2" t="s">
        <v>59</v>
      </c>
      <c r="B733" s="2" t="s">
        <v>412</v>
      </c>
      <c r="C733" s="2" t="s">
        <v>7048</v>
      </c>
      <c r="D733" s="2" t="s">
        <v>7049</v>
      </c>
      <c r="E733" s="2" t="s">
        <v>7050</v>
      </c>
      <c r="G733" s="3" t="s">
        <v>62</v>
      </c>
      <c r="I733" s="3" t="s">
        <v>62</v>
      </c>
      <c r="J733" s="3" t="s">
        <v>62</v>
      </c>
      <c r="K733" s="3" t="s">
        <v>63</v>
      </c>
      <c r="L733" s="2" t="s">
        <v>7051</v>
      </c>
      <c r="M733" s="2" t="s">
        <v>7052</v>
      </c>
      <c r="N733" s="3" t="s">
        <v>918</v>
      </c>
      <c r="P733" s="3" t="s">
        <v>65</v>
      </c>
      <c r="Q733" s="2" t="s">
        <v>2655</v>
      </c>
      <c r="R733" s="3" t="s">
        <v>66</v>
      </c>
      <c r="S733" s="4">
        <v>32</v>
      </c>
      <c r="T733" s="4">
        <v>32</v>
      </c>
      <c r="U733" s="5" t="s">
        <v>7053</v>
      </c>
      <c r="V733" s="5" t="s">
        <v>7053</v>
      </c>
      <c r="W733" s="5" t="s">
        <v>67</v>
      </c>
      <c r="X733" s="5" t="s">
        <v>67</v>
      </c>
      <c r="Y733" s="4">
        <v>341</v>
      </c>
      <c r="Z733" s="4">
        <v>30</v>
      </c>
      <c r="AA733" s="4">
        <v>33</v>
      </c>
      <c r="AB733" s="4">
        <v>2</v>
      </c>
      <c r="AC733" s="4">
        <v>5</v>
      </c>
      <c r="AD733" s="4">
        <v>74</v>
      </c>
      <c r="AE733" s="4">
        <v>76</v>
      </c>
      <c r="AF733" s="4">
        <v>1</v>
      </c>
      <c r="AG733" s="4">
        <v>3</v>
      </c>
      <c r="AH733" s="4">
        <v>60</v>
      </c>
      <c r="AI733" s="4">
        <v>61</v>
      </c>
      <c r="AJ733" s="4">
        <v>16</v>
      </c>
      <c r="AK733" s="4">
        <v>18</v>
      </c>
      <c r="AL733" s="4">
        <v>35</v>
      </c>
      <c r="AM733" s="4">
        <v>35</v>
      </c>
      <c r="AN733" s="4">
        <v>0</v>
      </c>
      <c r="AO733" s="4">
        <v>0</v>
      </c>
      <c r="AP733" s="4">
        <v>22</v>
      </c>
      <c r="AQ733" s="4">
        <v>24</v>
      </c>
      <c r="AR733" s="3" t="s">
        <v>62</v>
      </c>
      <c r="AS733" s="3" t="s">
        <v>62</v>
      </c>
      <c r="AT733" s="3" t="s">
        <v>61</v>
      </c>
      <c r="AU733" s="6" t="str">
        <f>HYPERLINK("http://catalog.hathitrust.org/Record/004343899","HathiTrust Record")</f>
        <v>HathiTrust Record</v>
      </c>
      <c r="AV733" s="6" t="str">
        <f>HYPERLINK("http://mcgill.on.worldcat.org/oclc/52180058","Catalog Record")</f>
        <v>Catalog Record</v>
      </c>
      <c r="AW733" s="6" t="str">
        <f>HYPERLINK("http://www.worldcat.org/oclc/52180058","WorldCat Record")</f>
        <v>WorldCat Record</v>
      </c>
      <c r="AX733" s="3" t="s">
        <v>7054</v>
      </c>
      <c r="AY733" s="3" t="s">
        <v>7055</v>
      </c>
      <c r="AZ733" s="3" t="s">
        <v>7056</v>
      </c>
      <c r="BA733" s="3" t="s">
        <v>7056</v>
      </c>
      <c r="BB733" s="3" t="s">
        <v>7057</v>
      </c>
      <c r="BC733" s="3" t="s">
        <v>142</v>
      </c>
      <c r="BD733" s="3" t="s">
        <v>308</v>
      </c>
      <c r="BE733" s="3" t="s">
        <v>7058</v>
      </c>
      <c r="BF733" s="3" t="s">
        <v>7057</v>
      </c>
      <c r="BG733" s="3" t="s">
        <v>7059</v>
      </c>
    </row>
    <row r="734" spans="1:59" ht="57" x14ac:dyDescent="0.45">
      <c r="A734" s="2" t="s">
        <v>59</v>
      </c>
      <c r="B734" s="2" t="s">
        <v>60</v>
      </c>
      <c r="C734" s="2" t="s">
        <v>7060</v>
      </c>
      <c r="D734" s="2" t="s">
        <v>7061</v>
      </c>
      <c r="E734" s="2" t="s">
        <v>7062</v>
      </c>
      <c r="G734" s="3" t="s">
        <v>62</v>
      </c>
      <c r="I734" s="3" t="s">
        <v>62</v>
      </c>
      <c r="J734" s="3" t="s">
        <v>62</v>
      </c>
      <c r="K734" s="3" t="s">
        <v>63</v>
      </c>
      <c r="M734" s="2" t="s">
        <v>7063</v>
      </c>
      <c r="N734" s="3" t="s">
        <v>149</v>
      </c>
      <c r="P734" s="3" t="s">
        <v>110</v>
      </c>
      <c r="Q734" s="2" t="s">
        <v>7064</v>
      </c>
      <c r="R734" s="3" t="s">
        <v>66</v>
      </c>
      <c r="S734" s="4">
        <v>1</v>
      </c>
      <c r="T734" s="4">
        <v>1</v>
      </c>
      <c r="U734" s="5" t="s">
        <v>7065</v>
      </c>
      <c r="V734" s="5" t="s">
        <v>7065</v>
      </c>
      <c r="W734" s="5" t="s">
        <v>67</v>
      </c>
      <c r="X734" s="5" t="s">
        <v>67</v>
      </c>
      <c r="Y734" s="4">
        <v>5</v>
      </c>
      <c r="Z734" s="4">
        <v>2</v>
      </c>
      <c r="AA734" s="4">
        <v>8</v>
      </c>
      <c r="AB734" s="4">
        <v>2</v>
      </c>
      <c r="AC734" s="4">
        <v>6</v>
      </c>
      <c r="AD734" s="4">
        <v>1</v>
      </c>
      <c r="AE734" s="4">
        <v>7</v>
      </c>
      <c r="AF734" s="4">
        <v>0</v>
      </c>
      <c r="AG734" s="4">
        <v>4</v>
      </c>
      <c r="AH734" s="4">
        <v>1</v>
      </c>
      <c r="AI734" s="4">
        <v>3</v>
      </c>
      <c r="AJ734" s="4">
        <v>0</v>
      </c>
      <c r="AK734" s="4">
        <v>5</v>
      </c>
      <c r="AL734" s="4">
        <v>1</v>
      </c>
      <c r="AM734" s="4">
        <v>1</v>
      </c>
      <c r="AN734" s="4">
        <v>0</v>
      </c>
      <c r="AO734" s="4">
        <v>0</v>
      </c>
      <c r="AP734" s="4">
        <v>0</v>
      </c>
      <c r="AQ734" s="4">
        <v>5</v>
      </c>
      <c r="AR734" s="3" t="s">
        <v>62</v>
      </c>
      <c r="AS734" s="3" t="s">
        <v>62</v>
      </c>
      <c r="AT734" s="3" t="s">
        <v>62</v>
      </c>
      <c r="AV734" s="6" t="str">
        <f>HYPERLINK("http://mcgill.on.worldcat.org/oclc/655744043","Catalog Record")</f>
        <v>Catalog Record</v>
      </c>
      <c r="AW734" s="6" t="str">
        <f>HYPERLINK("http://www.worldcat.org/oclc/655744043","WorldCat Record")</f>
        <v>WorldCat Record</v>
      </c>
      <c r="AX734" s="3" t="s">
        <v>7066</v>
      </c>
      <c r="AY734" s="3" t="s">
        <v>7067</v>
      </c>
      <c r="AZ734" s="3" t="s">
        <v>7068</v>
      </c>
      <c r="BA734" s="3" t="s">
        <v>7068</v>
      </c>
      <c r="BB734" s="3" t="s">
        <v>7069</v>
      </c>
      <c r="BC734" s="3" t="s">
        <v>142</v>
      </c>
      <c r="BD734" s="3" t="s">
        <v>68</v>
      </c>
      <c r="BE734" s="3" t="s">
        <v>7070</v>
      </c>
      <c r="BF734" s="3" t="s">
        <v>7069</v>
      </c>
      <c r="BG734" s="3" t="s">
        <v>7071</v>
      </c>
    </row>
    <row r="735" spans="1:59" ht="57" x14ac:dyDescent="0.45">
      <c r="A735" s="2" t="s">
        <v>59</v>
      </c>
      <c r="B735" s="2" t="s">
        <v>412</v>
      </c>
      <c r="C735" s="2" t="s">
        <v>7072</v>
      </c>
      <c r="D735" s="2" t="s">
        <v>7073</v>
      </c>
      <c r="E735" s="2" t="s">
        <v>7074</v>
      </c>
      <c r="G735" s="3" t="s">
        <v>62</v>
      </c>
      <c r="I735" s="3" t="s">
        <v>61</v>
      </c>
      <c r="J735" s="3" t="s">
        <v>62</v>
      </c>
      <c r="K735" s="3" t="s">
        <v>63</v>
      </c>
      <c r="M735" s="2" t="s">
        <v>7075</v>
      </c>
      <c r="N735" s="3" t="s">
        <v>1437</v>
      </c>
      <c r="P735" s="3" t="s">
        <v>65</v>
      </c>
      <c r="Q735" s="2" t="s">
        <v>7036</v>
      </c>
      <c r="R735" s="3" t="s">
        <v>66</v>
      </c>
      <c r="S735" s="4">
        <v>59</v>
      </c>
      <c r="T735" s="4">
        <v>127</v>
      </c>
      <c r="U735" s="5" t="s">
        <v>7076</v>
      </c>
      <c r="V735" s="5" t="s">
        <v>7076</v>
      </c>
      <c r="W735" s="5" t="s">
        <v>67</v>
      </c>
      <c r="X735" s="5" t="s">
        <v>67</v>
      </c>
      <c r="Y735" s="4">
        <v>450</v>
      </c>
      <c r="Z735" s="4">
        <v>24</v>
      </c>
      <c r="AA735" s="4">
        <v>30</v>
      </c>
      <c r="AB735" s="4">
        <v>4</v>
      </c>
      <c r="AC735" s="4">
        <v>9</v>
      </c>
      <c r="AD735" s="4">
        <v>98</v>
      </c>
      <c r="AE735" s="4">
        <v>101</v>
      </c>
      <c r="AF735" s="4">
        <v>2</v>
      </c>
      <c r="AG735" s="4">
        <v>5</v>
      </c>
      <c r="AH735" s="4">
        <v>83</v>
      </c>
      <c r="AI735" s="4">
        <v>84</v>
      </c>
      <c r="AJ735" s="4">
        <v>13</v>
      </c>
      <c r="AK735" s="4">
        <v>16</v>
      </c>
      <c r="AL735" s="4">
        <v>51</v>
      </c>
      <c r="AM735" s="4">
        <v>51</v>
      </c>
      <c r="AN735" s="4">
        <v>0</v>
      </c>
      <c r="AO735" s="4">
        <v>0</v>
      </c>
      <c r="AP735" s="4">
        <v>19</v>
      </c>
      <c r="AQ735" s="4">
        <v>22</v>
      </c>
      <c r="AR735" s="3" t="s">
        <v>62</v>
      </c>
      <c r="AS735" s="3" t="s">
        <v>62</v>
      </c>
      <c r="AT735" s="3" t="s">
        <v>62</v>
      </c>
      <c r="AV735" s="6" t="str">
        <f>HYPERLINK("http://mcgill.on.worldcat.org/oclc/37992957","Catalog Record")</f>
        <v>Catalog Record</v>
      </c>
      <c r="AW735" s="6" t="str">
        <f>HYPERLINK("http://www.worldcat.org/oclc/37992957","WorldCat Record")</f>
        <v>WorldCat Record</v>
      </c>
      <c r="AX735" s="3" t="s">
        <v>7077</v>
      </c>
      <c r="AY735" s="3" t="s">
        <v>7078</v>
      </c>
      <c r="AZ735" s="3" t="s">
        <v>7079</v>
      </c>
      <c r="BA735" s="3" t="s">
        <v>7079</v>
      </c>
      <c r="BB735" s="3" t="s">
        <v>7080</v>
      </c>
      <c r="BC735" s="3" t="s">
        <v>142</v>
      </c>
      <c r="BD735" s="3" t="s">
        <v>308</v>
      </c>
      <c r="BE735" s="3" t="s">
        <v>7081</v>
      </c>
      <c r="BF735" s="3" t="s">
        <v>7080</v>
      </c>
      <c r="BG735" s="3" t="s">
        <v>7082</v>
      </c>
    </row>
    <row r="736" spans="1:59" ht="57" x14ac:dyDescent="0.45">
      <c r="A736" s="2" t="s">
        <v>59</v>
      </c>
      <c r="B736" s="2" t="s">
        <v>412</v>
      </c>
      <c r="C736" s="2" t="s">
        <v>7072</v>
      </c>
      <c r="D736" s="2" t="s">
        <v>7073</v>
      </c>
      <c r="E736" s="2" t="s">
        <v>7074</v>
      </c>
      <c r="G736" s="3" t="s">
        <v>62</v>
      </c>
      <c r="I736" s="3" t="s">
        <v>61</v>
      </c>
      <c r="J736" s="3" t="s">
        <v>62</v>
      </c>
      <c r="K736" s="3" t="s">
        <v>63</v>
      </c>
      <c r="M736" s="2" t="s">
        <v>7075</v>
      </c>
      <c r="N736" s="3" t="s">
        <v>1437</v>
      </c>
      <c r="P736" s="3" t="s">
        <v>65</v>
      </c>
      <c r="Q736" s="2" t="s">
        <v>7036</v>
      </c>
      <c r="R736" s="3" t="s">
        <v>66</v>
      </c>
      <c r="S736" s="4">
        <v>68</v>
      </c>
      <c r="T736" s="4">
        <v>127</v>
      </c>
      <c r="U736" s="5" t="s">
        <v>1451</v>
      </c>
      <c r="V736" s="5" t="s">
        <v>7076</v>
      </c>
      <c r="W736" s="5" t="s">
        <v>67</v>
      </c>
      <c r="X736" s="5" t="s">
        <v>67</v>
      </c>
      <c r="Y736" s="4">
        <v>450</v>
      </c>
      <c r="Z736" s="4">
        <v>24</v>
      </c>
      <c r="AA736" s="4">
        <v>30</v>
      </c>
      <c r="AB736" s="4">
        <v>4</v>
      </c>
      <c r="AC736" s="4">
        <v>9</v>
      </c>
      <c r="AD736" s="4">
        <v>98</v>
      </c>
      <c r="AE736" s="4">
        <v>101</v>
      </c>
      <c r="AF736" s="4">
        <v>2</v>
      </c>
      <c r="AG736" s="4">
        <v>5</v>
      </c>
      <c r="AH736" s="4">
        <v>83</v>
      </c>
      <c r="AI736" s="4">
        <v>84</v>
      </c>
      <c r="AJ736" s="4">
        <v>13</v>
      </c>
      <c r="AK736" s="4">
        <v>16</v>
      </c>
      <c r="AL736" s="4">
        <v>51</v>
      </c>
      <c r="AM736" s="4">
        <v>51</v>
      </c>
      <c r="AN736" s="4">
        <v>0</v>
      </c>
      <c r="AO736" s="4">
        <v>0</v>
      </c>
      <c r="AP736" s="4">
        <v>19</v>
      </c>
      <c r="AQ736" s="4">
        <v>22</v>
      </c>
      <c r="AR736" s="3" t="s">
        <v>62</v>
      </c>
      <c r="AS736" s="3" t="s">
        <v>62</v>
      </c>
      <c r="AT736" s="3" t="s">
        <v>62</v>
      </c>
      <c r="AV736" s="6" t="str">
        <f>HYPERLINK("http://mcgill.on.worldcat.org/oclc/37992957","Catalog Record")</f>
        <v>Catalog Record</v>
      </c>
      <c r="AW736" s="6" t="str">
        <f>HYPERLINK("http://www.worldcat.org/oclc/37992957","WorldCat Record")</f>
        <v>WorldCat Record</v>
      </c>
      <c r="AX736" s="3" t="s">
        <v>7077</v>
      </c>
      <c r="AY736" s="3" t="s">
        <v>7078</v>
      </c>
      <c r="AZ736" s="3" t="s">
        <v>7079</v>
      </c>
      <c r="BA736" s="3" t="s">
        <v>7079</v>
      </c>
      <c r="BB736" s="3" t="s">
        <v>7083</v>
      </c>
      <c r="BC736" s="3" t="s">
        <v>142</v>
      </c>
      <c r="BD736" s="3" t="s">
        <v>308</v>
      </c>
      <c r="BE736" s="3" t="s">
        <v>7081</v>
      </c>
      <c r="BF736" s="3" t="s">
        <v>7083</v>
      </c>
      <c r="BG736" s="3" t="s">
        <v>7084</v>
      </c>
    </row>
    <row r="737" spans="1:59" ht="57" x14ac:dyDescent="0.45">
      <c r="A737" s="2" t="s">
        <v>59</v>
      </c>
      <c r="B737" s="2" t="s">
        <v>412</v>
      </c>
      <c r="C737" s="2" t="s">
        <v>7085</v>
      </c>
      <c r="D737" s="2" t="s">
        <v>7086</v>
      </c>
      <c r="E737" s="2" t="s">
        <v>7087</v>
      </c>
      <c r="G737" s="3" t="s">
        <v>62</v>
      </c>
      <c r="I737" s="3" t="s">
        <v>62</v>
      </c>
      <c r="J737" s="3" t="s">
        <v>62</v>
      </c>
      <c r="K737" s="3" t="s">
        <v>63</v>
      </c>
      <c r="M737" s="2" t="s">
        <v>7088</v>
      </c>
      <c r="N737" s="3" t="s">
        <v>807</v>
      </c>
      <c r="P737" s="3" t="s">
        <v>65</v>
      </c>
      <c r="Q737" s="2" t="s">
        <v>7089</v>
      </c>
      <c r="R737" s="3" t="s">
        <v>66</v>
      </c>
      <c r="S737" s="4">
        <v>46</v>
      </c>
      <c r="T737" s="4">
        <v>46</v>
      </c>
      <c r="U737" s="5" t="s">
        <v>6989</v>
      </c>
      <c r="V737" s="5" t="s">
        <v>6989</v>
      </c>
      <c r="W737" s="5" t="s">
        <v>67</v>
      </c>
      <c r="X737" s="5" t="s">
        <v>67</v>
      </c>
      <c r="Y737" s="4">
        <v>191</v>
      </c>
      <c r="Z737" s="4">
        <v>12</v>
      </c>
      <c r="AA737" s="4">
        <v>93</v>
      </c>
      <c r="AB737" s="4">
        <v>2</v>
      </c>
      <c r="AC737" s="4">
        <v>18</v>
      </c>
      <c r="AD737" s="4">
        <v>58</v>
      </c>
      <c r="AE737" s="4">
        <v>114</v>
      </c>
      <c r="AF737" s="4">
        <v>1</v>
      </c>
      <c r="AG737" s="4">
        <v>8</v>
      </c>
      <c r="AH737" s="4">
        <v>53</v>
      </c>
      <c r="AI737" s="4">
        <v>81</v>
      </c>
      <c r="AJ737" s="4">
        <v>9</v>
      </c>
      <c r="AK737" s="4">
        <v>21</v>
      </c>
      <c r="AL737" s="4">
        <v>31</v>
      </c>
      <c r="AM737" s="4">
        <v>43</v>
      </c>
      <c r="AN737" s="4">
        <v>0</v>
      </c>
      <c r="AO737" s="4">
        <v>0</v>
      </c>
      <c r="AP737" s="4">
        <v>10</v>
      </c>
      <c r="AQ737" s="4">
        <v>42</v>
      </c>
      <c r="AR737" s="3" t="s">
        <v>62</v>
      </c>
      <c r="AS737" s="3" t="s">
        <v>62</v>
      </c>
      <c r="AT737" s="3" t="s">
        <v>61</v>
      </c>
      <c r="AU737" s="6" t="str">
        <f>HYPERLINK("http://catalog.hathitrust.org/Record/008325159","HathiTrust Record")</f>
        <v>HathiTrust Record</v>
      </c>
      <c r="AV737" s="6" t="str">
        <f>HYPERLINK("http://mcgill.on.worldcat.org/oclc/21593152","Catalog Record")</f>
        <v>Catalog Record</v>
      </c>
      <c r="AW737" s="6" t="str">
        <f>HYPERLINK("http://www.worldcat.org/oclc/21593152","WorldCat Record")</f>
        <v>WorldCat Record</v>
      </c>
      <c r="AX737" s="3" t="s">
        <v>7090</v>
      </c>
      <c r="AY737" s="3" t="s">
        <v>7091</v>
      </c>
      <c r="AZ737" s="3" t="s">
        <v>7092</v>
      </c>
      <c r="BA737" s="3" t="s">
        <v>7092</v>
      </c>
      <c r="BB737" s="3" t="s">
        <v>7093</v>
      </c>
      <c r="BC737" s="3" t="s">
        <v>142</v>
      </c>
      <c r="BD737" s="3" t="s">
        <v>68</v>
      </c>
      <c r="BE737" s="3" t="s">
        <v>7094</v>
      </c>
      <c r="BF737" s="3" t="s">
        <v>7093</v>
      </c>
      <c r="BG737" s="3" t="s">
        <v>7095</v>
      </c>
    </row>
    <row r="738" spans="1:59" ht="57" x14ac:dyDescent="0.45">
      <c r="A738" s="2" t="s">
        <v>59</v>
      </c>
      <c r="B738" s="2" t="s">
        <v>60</v>
      </c>
      <c r="C738" s="2" t="s">
        <v>7096</v>
      </c>
      <c r="D738" s="2" t="s">
        <v>7097</v>
      </c>
      <c r="E738" s="2" t="s">
        <v>7098</v>
      </c>
      <c r="G738" s="3" t="s">
        <v>62</v>
      </c>
      <c r="I738" s="3" t="s">
        <v>62</v>
      </c>
      <c r="J738" s="3" t="s">
        <v>62</v>
      </c>
      <c r="K738" s="3" t="s">
        <v>63</v>
      </c>
      <c r="L738" s="2" t="s">
        <v>7099</v>
      </c>
      <c r="M738" s="2" t="s">
        <v>7100</v>
      </c>
      <c r="N738" s="3" t="s">
        <v>1097</v>
      </c>
      <c r="P738" s="3" t="s">
        <v>65</v>
      </c>
      <c r="R738" s="3" t="s">
        <v>66</v>
      </c>
      <c r="S738" s="4">
        <v>11</v>
      </c>
      <c r="T738" s="4">
        <v>11</v>
      </c>
      <c r="U738" s="5" t="s">
        <v>6949</v>
      </c>
      <c r="V738" s="5" t="s">
        <v>6949</v>
      </c>
      <c r="W738" s="5" t="s">
        <v>67</v>
      </c>
      <c r="X738" s="5" t="s">
        <v>67</v>
      </c>
      <c r="Y738" s="4">
        <v>562</v>
      </c>
      <c r="Z738" s="4">
        <v>32</v>
      </c>
      <c r="AA738" s="4">
        <v>43</v>
      </c>
      <c r="AB738" s="4">
        <v>2</v>
      </c>
      <c r="AC738" s="4">
        <v>7</v>
      </c>
      <c r="AD738" s="4">
        <v>77</v>
      </c>
      <c r="AE738" s="4">
        <v>84</v>
      </c>
      <c r="AF738" s="4">
        <v>1</v>
      </c>
      <c r="AG738" s="4">
        <v>3</v>
      </c>
      <c r="AH738" s="4">
        <v>61</v>
      </c>
      <c r="AI738" s="4">
        <v>64</v>
      </c>
      <c r="AJ738" s="4">
        <v>11</v>
      </c>
      <c r="AK738" s="4">
        <v>15</v>
      </c>
      <c r="AL738" s="4">
        <v>28</v>
      </c>
      <c r="AM738" s="4">
        <v>29</v>
      </c>
      <c r="AN738" s="4">
        <v>0</v>
      </c>
      <c r="AO738" s="4">
        <v>0</v>
      </c>
      <c r="AP738" s="4">
        <v>21</v>
      </c>
      <c r="AQ738" s="4">
        <v>27</v>
      </c>
      <c r="AR738" s="3" t="s">
        <v>62</v>
      </c>
      <c r="AS738" s="3" t="s">
        <v>62</v>
      </c>
      <c r="AT738" s="3" t="s">
        <v>61</v>
      </c>
      <c r="AU738" s="6" t="str">
        <f>HYPERLINK("http://catalog.hathitrust.org/Record/004932845","HathiTrust Record")</f>
        <v>HathiTrust Record</v>
      </c>
      <c r="AV738" s="6" t="str">
        <f>HYPERLINK("http://mcgill.on.worldcat.org/oclc/53434681","Catalog Record")</f>
        <v>Catalog Record</v>
      </c>
      <c r="AW738" s="6" t="str">
        <f>HYPERLINK("http://www.worldcat.org/oclc/53434681","WorldCat Record")</f>
        <v>WorldCat Record</v>
      </c>
      <c r="AX738" s="3" t="s">
        <v>7101</v>
      </c>
      <c r="AY738" s="3" t="s">
        <v>7102</v>
      </c>
      <c r="AZ738" s="3" t="s">
        <v>7103</v>
      </c>
      <c r="BA738" s="3" t="s">
        <v>7103</v>
      </c>
      <c r="BB738" s="3" t="s">
        <v>7104</v>
      </c>
      <c r="BC738" s="3" t="s">
        <v>142</v>
      </c>
      <c r="BD738" s="3" t="s">
        <v>68</v>
      </c>
      <c r="BE738" s="3" t="s">
        <v>7105</v>
      </c>
      <c r="BF738" s="3" t="s">
        <v>7104</v>
      </c>
      <c r="BG738" s="3" t="s">
        <v>7106</v>
      </c>
    </row>
    <row r="739" spans="1:59" ht="57" x14ac:dyDescent="0.45">
      <c r="A739" s="2" t="s">
        <v>59</v>
      </c>
      <c r="B739" s="2" t="s">
        <v>60</v>
      </c>
      <c r="C739" s="2" t="s">
        <v>7107</v>
      </c>
      <c r="D739" s="2" t="s">
        <v>7108</v>
      </c>
      <c r="E739" s="2" t="s">
        <v>7109</v>
      </c>
      <c r="G739" s="3" t="s">
        <v>62</v>
      </c>
      <c r="I739" s="3" t="s">
        <v>62</v>
      </c>
      <c r="J739" s="3" t="s">
        <v>62</v>
      </c>
      <c r="K739" s="3" t="s">
        <v>63</v>
      </c>
      <c r="L739" s="2" t="s">
        <v>3470</v>
      </c>
      <c r="M739" s="2" t="s">
        <v>7110</v>
      </c>
      <c r="N739" s="3" t="s">
        <v>894</v>
      </c>
      <c r="O739" s="2" t="s">
        <v>168</v>
      </c>
      <c r="P739" s="3" t="s">
        <v>65</v>
      </c>
      <c r="R739" s="3" t="s">
        <v>66</v>
      </c>
      <c r="S739" s="4">
        <v>3</v>
      </c>
      <c r="T739" s="4">
        <v>3</v>
      </c>
      <c r="U739" s="5" t="s">
        <v>7111</v>
      </c>
      <c r="V739" s="5" t="s">
        <v>7111</v>
      </c>
      <c r="W739" s="5" t="s">
        <v>67</v>
      </c>
      <c r="X739" s="5" t="s">
        <v>67</v>
      </c>
      <c r="Y739" s="4">
        <v>288</v>
      </c>
      <c r="Z739" s="4">
        <v>27</v>
      </c>
      <c r="AA739" s="4">
        <v>85</v>
      </c>
      <c r="AB739" s="4">
        <v>2</v>
      </c>
      <c r="AC739" s="4">
        <v>15</v>
      </c>
      <c r="AD739" s="4">
        <v>72</v>
      </c>
      <c r="AE739" s="4">
        <v>123</v>
      </c>
      <c r="AF739" s="4">
        <v>1</v>
      </c>
      <c r="AG739" s="4">
        <v>8</v>
      </c>
      <c r="AH739" s="4">
        <v>60</v>
      </c>
      <c r="AI739" s="4">
        <v>87</v>
      </c>
      <c r="AJ739" s="4">
        <v>15</v>
      </c>
      <c r="AK739" s="4">
        <v>24</v>
      </c>
      <c r="AL739" s="4">
        <v>33</v>
      </c>
      <c r="AM739" s="4">
        <v>44</v>
      </c>
      <c r="AN739" s="4">
        <v>0</v>
      </c>
      <c r="AO739" s="4">
        <v>0</v>
      </c>
      <c r="AP739" s="4">
        <v>21</v>
      </c>
      <c r="AQ739" s="4">
        <v>46</v>
      </c>
      <c r="AR739" s="3" t="s">
        <v>62</v>
      </c>
      <c r="AS739" s="3" t="s">
        <v>62</v>
      </c>
      <c r="AT739" s="3" t="s">
        <v>62</v>
      </c>
      <c r="AV739" s="6" t="str">
        <f>HYPERLINK("http://mcgill.on.worldcat.org/oclc/656850422","Catalog Record")</f>
        <v>Catalog Record</v>
      </c>
      <c r="AW739" s="6" t="str">
        <f>HYPERLINK("http://www.worldcat.org/oclc/656850422","WorldCat Record")</f>
        <v>WorldCat Record</v>
      </c>
      <c r="AX739" s="3" t="s">
        <v>7112</v>
      </c>
      <c r="AY739" s="3" t="s">
        <v>7113</v>
      </c>
      <c r="AZ739" s="3" t="s">
        <v>7114</v>
      </c>
      <c r="BA739" s="3" t="s">
        <v>7114</v>
      </c>
      <c r="BB739" s="3" t="s">
        <v>7115</v>
      </c>
      <c r="BC739" s="3" t="s">
        <v>142</v>
      </c>
      <c r="BD739" s="3" t="s">
        <v>68</v>
      </c>
      <c r="BE739" s="3" t="s">
        <v>7116</v>
      </c>
      <c r="BF739" s="3" t="s">
        <v>7115</v>
      </c>
      <c r="BG739" s="3" t="s">
        <v>7117</v>
      </c>
    </row>
    <row r="740" spans="1:59" ht="57" x14ac:dyDescent="0.45">
      <c r="A740" s="2" t="s">
        <v>59</v>
      </c>
      <c r="B740" s="2" t="s">
        <v>60</v>
      </c>
      <c r="C740" s="2" t="s">
        <v>7118</v>
      </c>
      <c r="D740" s="2" t="s">
        <v>7119</v>
      </c>
      <c r="E740" s="2" t="s">
        <v>7120</v>
      </c>
      <c r="G740" s="3" t="s">
        <v>62</v>
      </c>
      <c r="I740" s="3" t="s">
        <v>62</v>
      </c>
      <c r="J740" s="3" t="s">
        <v>62</v>
      </c>
      <c r="K740" s="3" t="s">
        <v>63</v>
      </c>
      <c r="L740" s="2" t="s">
        <v>7121</v>
      </c>
      <c r="M740" s="2" t="s">
        <v>7122</v>
      </c>
      <c r="N740" s="3" t="s">
        <v>1855</v>
      </c>
      <c r="P740" s="3" t="s">
        <v>65</v>
      </c>
      <c r="Q740" s="2" t="s">
        <v>7123</v>
      </c>
      <c r="R740" s="3" t="s">
        <v>66</v>
      </c>
      <c r="S740" s="4">
        <v>2</v>
      </c>
      <c r="T740" s="4">
        <v>2</v>
      </c>
      <c r="U740" s="5" t="s">
        <v>7124</v>
      </c>
      <c r="V740" s="5" t="s">
        <v>7124</v>
      </c>
      <c r="W740" s="5" t="s">
        <v>67</v>
      </c>
      <c r="X740" s="5" t="s">
        <v>67</v>
      </c>
      <c r="Y740" s="4">
        <v>186</v>
      </c>
      <c r="Z740" s="4">
        <v>14</v>
      </c>
      <c r="AA740" s="4">
        <v>53</v>
      </c>
      <c r="AB740" s="4">
        <v>2</v>
      </c>
      <c r="AC740" s="4">
        <v>8</v>
      </c>
      <c r="AD740" s="4">
        <v>54</v>
      </c>
      <c r="AE740" s="4">
        <v>75</v>
      </c>
      <c r="AF740" s="4">
        <v>1</v>
      </c>
      <c r="AG740" s="4">
        <v>4</v>
      </c>
      <c r="AH740" s="4">
        <v>49</v>
      </c>
      <c r="AI740" s="4">
        <v>58</v>
      </c>
      <c r="AJ740" s="4">
        <v>12</v>
      </c>
      <c r="AK740" s="4">
        <v>19</v>
      </c>
      <c r="AL740" s="4">
        <v>25</v>
      </c>
      <c r="AM740" s="4">
        <v>29</v>
      </c>
      <c r="AN740" s="4">
        <v>0</v>
      </c>
      <c r="AO740" s="4">
        <v>0</v>
      </c>
      <c r="AP740" s="4">
        <v>12</v>
      </c>
      <c r="AQ740" s="4">
        <v>25</v>
      </c>
      <c r="AR740" s="3" t="s">
        <v>62</v>
      </c>
      <c r="AS740" s="3" t="s">
        <v>62</v>
      </c>
      <c r="AT740" s="3" t="s">
        <v>61</v>
      </c>
      <c r="AU740" s="6" t="str">
        <f>HYPERLINK("http://catalog.hathitrust.org/Record/005102649","HathiTrust Record")</f>
        <v>HathiTrust Record</v>
      </c>
      <c r="AV740" s="6" t="str">
        <f>HYPERLINK("http://mcgill.on.worldcat.org/oclc/60245505","Catalog Record")</f>
        <v>Catalog Record</v>
      </c>
      <c r="AW740" s="6" t="str">
        <f>HYPERLINK("http://www.worldcat.org/oclc/60245505","WorldCat Record")</f>
        <v>WorldCat Record</v>
      </c>
      <c r="AX740" s="3" t="s">
        <v>7125</v>
      </c>
      <c r="AY740" s="3" t="s">
        <v>7126</v>
      </c>
      <c r="AZ740" s="3" t="s">
        <v>7127</v>
      </c>
      <c r="BA740" s="3" t="s">
        <v>7127</v>
      </c>
      <c r="BB740" s="3" t="s">
        <v>7128</v>
      </c>
      <c r="BC740" s="3" t="s">
        <v>142</v>
      </c>
      <c r="BD740" s="3" t="s">
        <v>68</v>
      </c>
      <c r="BE740" s="3" t="s">
        <v>7129</v>
      </c>
      <c r="BF740" s="3" t="s">
        <v>7128</v>
      </c>
      <c r="BG740" s="3" t="s">
        <v>7130</v>
      </c>
    </row>
    <row r="741" spans="1:59" ht="57" x14ac:dyDescent="0.45">
      <c r="A741" s="2" t="s">
        <v>59</v>
      </c>
      <c r="B741" s="2" t="s">
        <v>60</v>
      </c>
      <c r="C741" s="2" t="s">
        <v>7131</v>
      </c>
      <c r="D741" s="2" t="s">
        <v>7132</v>
      </c>
      <c r="E741" s="2" t="s">
        <v>7133</v>
      </c>
      <c r="G741" s="3" t="s">
        <v>62</v>
      </c>
      <c r="I741" s="3" t="s">
        <v>62</v>
      </c>
      <c r="J741" s="3" t="s">
        <v>62</v>
      </c>
      <c r="K741" s="3" t="s">
        <v>63</v>
      </c>
      <c r="L741" s="2" t="s">
        <v>3495</v>
      </c>
      <c r="M741" s="2" t="s">
        <v>7134</v>
      </c>
      <c r="N741" s="3" t="s">
        <v>1855</v>
      </c>
      <c r="P741" s="3" t="s">
        <v>65</v>
      </c>
      <c r="R741" s="3" t="s">
        <v>66</v>
      </c>
      <c r="S741" s="4">
        <v>13</v>
      </c>
      <c r="T741" s="4">
        <v>13</v>
      </c>
      <c r="U741" s="5" t="s">
        <v>7135</v>
      </c>
      <c r="V741" s="5" t="s">
        <v>7135</v>
      </c>
      <c r="W741" s="5" t="s">
        <v>67</v>
      </c>
      <c r="X741" s="5" t="s">
        <v>67</v>
      </c>
      <c r="Y741" s="4">
        <v>200</v>
      </c>
      <c r="Z741" s="4">
        <v>19</v>
      </c>
      <c r="AA741" s="4">
        <v>78</v>
      </c>
      <c r="AB741" s="4">
        <v>2</v>
      </c>
      <c r="AC741" s="4">
        <v>15</v>
      </c>
      <c r="AD741" s="4">
        <v>73</v>
      </c>
      <c r="AE741" s="4">
        <v>119</v>
      </c>
      <c r="AF741" s="4">
        <v>1</v>
      </c>
      <c r="AG741" s="4">
        <v>8</v>
      </c>
      <c r="AH741" s="4">
        <v>67</v>
      </c>
      <c r="AI741" s="4">
        <v>88</v>
      </c>
      <c r="AJ741" s="4">
        <v>15</v>
      </c>
      <c r="AK741" s="4">
        <v>25</v>
      </c>
      <c r="AL741" s="4">
        <v>35</v>
      </c>
      <c r="AM741" s="4">
        <v>42</v>
      </c>
      <c r="AN741" s="4">
        <v>0</v>
      </c>
      <c r="AO741" s="4">
        <v>0</v>
      </c>
      <c r="AP741" s="4">
        <v>16</v>
      </c>
      <c r="AQ741" s="4">
        <v>41</v>
      </c>
      <c r="AR741" s="3" t="s">
        <v>62</v>
      </c>
      <c r="AS741" s="3" t="s">
        <v>62</v>
      </c>
      <c r="AT741" s="3" t="s">
        <v>61</v>
      </c>
      <c r="AU741" s="6" t="str">
        <f>HYPERLINK("http://catalog.hathitrust.org/Record/004916550","HathiTrust Record")</f>
        <v>HathiTrust Record</v>
      </c>
      <c r="AV741" s="6" t="str">
        <f>HYPERLINK("http://mcgill.on.worldcat.org/oclc/54775147","Catalog Record")</f>
        <v>Catalog Record</v>
      </c>
      <c r="AW741" s="6" t="str">
        <f>HYPERLINK("http://www.worldcat.org/oclc/54775147","WorldCat Record")</f>
        <v>WorldCat Record</v>
      </c>
      <c r="AX741" s="3" t="s">
        <v>7136</v>
      </c>
      <c r="AY741" s="3" t="s">
        <v>7137</v>
      </c>
      <c r="AZ741" s="3" t="s">
        <v>7138</v>
      </c>
      <c r="BA741" s="3" t="s">
        <v>7138</v>
      </c>
      <c r="BB741" s="3" t="s">
        <v>7139</v>
      </c>
      <c r="BC741" s="3" t="s">
        <v>142</v>
      </c>
      <c r="BD741" s="3" t="s">
        <v>68</v>
      </c>
      <c r="BE741" s="3" t="s">
        <v>7140</v>
      </c>
      <c r="BF741" s="3" t="s">
        <v>7139</v>
      </c>
      <c r="BG741" s="3" t="s">
        <v>7141</v>
      </c>
    </row>
    <row r="742" spans="1:59" ht="57" x14ac:dyDescent="0.45">
      <c r="A742" s="2" t="s">
        <v>59</v>
      </c>
      <c r="B742" s="2" t="s">
        <v>60</v>
      </c>
      <c r="C742" s="2" t="s">
        <v>7142</v>
      </c>
      <c r="D742" s="2" t="s">
        <v>7143</v>
      </c>
      <c r="E742" s="2" t="s">
        <v>7144</v>
      </c>
      <c r="G742" s="3" t="s">
        <v>62</v>
      </c>
      <c r="I742" s="3" t="s">
        <v>62</v>
      </c>
      <c r="J742" s="3" t="s">
        <v>62</v>
      </c>
      <c r="K742" s="3" t="s">
        <v>63</v>
      </c>
      <c r="L742" s="2" t="s">
        <v>3495</v>
      </c>
      <c r="M742" s="2" t="s">
        <v>7145</v>
      </c>
      <c r="N742" s="3" t="s">
        <v>542</v>
      </c>
      <c r="P742" s="3" t="s">
        <v>65</v>
      </c>
      <c r="R742" s="3" t="s">
        <v>66</v>
      </c>
      <c r="S742" s="4">
        <v>1</v>
      </c>
      <c r="T742" s="4">
        <v>1</v>
      </c>
      <c r="U742" s="5" t="s">
        <v>1381</v>
      </c>
      <c r="V742" s="5" t="s">
        <v>1381</v>
      </c>
      <c r="W742" s="5" t="s">
        <v>67</v>
      </c>
      <c r="X742" s="5" t="s">
        <v>67</v>
      </c>
      <c r="Y742" s="4">
        <v>57</v>
      </c>
      <c r="Z742" s="4">
        <v>10</v>
      </c>
      <c r="AA742" s="4">
        <v>13</v>
      </c>
      <c r="AB742" s="4">
        <v>1</v>
      </c>
      <c r="AC742" s="4">
        <v>3</v>
      </c>
      <c r="AD742" s="4">
        <v>22</v>
      </c>
      <c r="AE742" s="4">
        <v>54</v>
      </c>
      <c r="AF742" s="4">
        <v>0</v>
      </c>
      <c r="AG742" s="4">
        <v>1</v>
      </c>
      <c r="AH742" s="4">
        <v>16</v>
      </c>
      <c r="AI742" s="4">
        <v>45</v>
      </c>
      <c r="AJ742" s="4">
        <v>5</v>
      </c>
      <c r="AK742" s="4">
        <v>7</v>
      </c>
      <c r="AL742" s="4">
        <v>11</v>
      </c>
      <c r="AM742" s="4">
        <v>26</v>
      </c>
      <c r="AN742" s="4">
        <v>0</v>
      </c>
      <c r="AO742" s="4">
        <v>0</v>
      </c>
      <c r="AP742" s="4">
        <v>8</v>
      </c>
      <c r="AQ742" s="4">
        <v>10</v>
      </c>
      <c r="AR742" s="3" t="s">
        <v>62</v>
      </c>
      <c r="AS742" s="3" t="s">
        <v>62</v>
      </c>
      <c r="AT742" s="3" t="s">
        <v>61</v>
      </c>
      <c r="AU742" s="6" t="str">
        <f>HYPERLINK("http://catalog.hathitrust.org/Record/004215535","HathiTrust Record")</f>
        <v>HathiTrust Record</v>
      </c>
      <c r="AV742" s="6" t="str">
        <f>HYPERLINK("http://mcgill.on.worldcat.org/oclc/52263921","Catalog Record")</f>
        <v>Catalog Record</v>
      </c>
      <c r="AW742" s="6" t="str">
        <f>HYPERLINK("http://www.worldcat.org/oclc/52263921","WorldCat Record")</f>
        <v>WorldCat Record</v>
      </c>
      <c r="AX742" s="3" t="s">
        <v>7146</v>
      </c>
      <c r="AY742" s="3" t="s">
        <v>7147</v>
      </c>
      <c r="AZ742" s="3" t="s">
        <v>7148</v>
      </c>
      <c r="BA742" s="3" t="s">
        <v>7148</v>
      </c>
      <c r="BB742" s="3" t="s">
        <v>7149</v>
      </c>
      <c r="BC742" s="3" t="s">
        <v>142</v>
      </c>
      <c r="BD742" s="3" t="s">
        <v>68</v>
      </c>
      <c r="BE742" s="3" t="s">
        <v>7150</v>
      </c>
      <c r="BF742" s="3" t="s">
        <v>7149</v>
      </c>
      <c r="BG742" s="3" t="s">
        <v>7151</v>
      </c>
    </row>
    <row r="743" spans="1:59" ht="57" x14ac:dyDescent="0.45">
      <c r="A743" s="2" t="s">
        <v>59</v>
      </c>
      <c r="B743" s="2" t="s">
        <v>60</v>
      </c>
      <c r="C743" s="2" t="s">
        <v>7152</v>
      </c>
      <c r="D743" s="2" t="s">
        <v>7153</v>
      </c>
      <c r="E743" s="2" t="s">
        <v>7154</v>
      </c>
      <c r="G743" s="3" t="s">
        <v>62</v>
      </c>
      <c r="I743" s="3" t="s">
        <v>62</v>
      </c>
      <c r="J743" s="3" t="s">
        <v>62</v>
      </c>
      <c r="K743" s="3" t="s">
        <v>63</v>
      </c>
      <c r="L743" s="2" t="s">
        <v>7155</v>
      </c>
      <c r="M743" s="2" t="s">
        <v>7156</v>
      </c>
      <c r="N743" s="3" t="s">
        <v>807</v>
      </c>
      <c r="P743" s="3" t="s">
        <v>65</v>
      </c>
      <c r="Q743" s="2" t="s">
        <v>7157</v>
      </c>
      <c r="R743" s="3" t="s">
        <v>66</v>
      </c>
      <c r="S743" s="4">
        <v>13</v>
      </c>
      <c r="T743" s="4">
        <v>13</v>
      </c>
      <c r="U743" s="5" t="s">
        <v>7158</v>
      </c>
      <c r="V743" s="5" t="s">
        <v>7158</v>
      </c>
      <c r="W743" s="5" t="s">
        <v>67</v>
      </c>
      <c r="X743" s="5" t="s">
        <v>67</v>
      </c>
      <c r="Y743" s="4">
        <v>300</v>
      </c>
      <c r="Z743" s="4">
        <v>20</v>
      </c>
      <c r="AA743" s="4">
        <v>98</v>
      </c>
      <c r="AB743" s="4">
        <v>1</v>
      </c>
      <c r="AC743" s="4">
        <v>17</v>
      </c>
      <c r="AD743" s="4">
        <v>74</v>
      </c>
      <c r="AE743" s="4">
        <v>118</v>
      </c>
      <c r="AF743" s="4">
        <v>0</v>
      </c>
      <c r="AG743" s="4">
        <v>8</v>
      </c>
      <c r="AH743" s="4">
        <v>66</v>
      </c>
      <c r="AI743" s="4">
        <v>83</v>
      </c>
      <c r="AJ743" s="4">
        <v>14</v>
      </c>
      <c r="AK743" s="4">
        <v>23</v>
      </c>
      <c r="AL743" s="4">
        <v>37</v>
      </c>
      <c r="AM743" s="4">
        <v>42</v>
      </c>
      <c r="AN743" s="4">
        <v>0</v>
      </c>
      <c r="AO743" s="4">
        <v>0</v>
      </c>
      <c r="AP743" s="4">
        <v>16</v>
      </c>
      <c r="AQ743" s="4">
        <v>44</v>
      </c>
      <c r="AR743" s="3" t="s">
        <v>62</v>
      </c>
      <c r="AS743" s="3" t="s">
        <v>62</v>
      </c>
      <c r="AT743" s="3" t="s">
        <v>61</v>
      </c>
      <c r="AU743" s="6" t="str">
        <f>HYPERLINK("http://catalog.hathitrust.org/Record/002554219","HathiTrust Record")</f>
        <v>HathiTrust Record</v>
      </c>
      <c r="AV743" s="6" t="str">
        <f>HYPERLINK("http://mcgill.on.worldcat.org/oclc/22493709","Catalog Record")</f>
        <v>Catalog Record</v>
      </c>
      <c r="AW743" s="6" t="str">
        <f>HYPERLINK("http://www.worldcat.org/oclc/22493709","WorldCat Record")</f>
        <v>WorldCat Record</v>
      </c>
      <c r="AX743" s="3" t="s">
        <v>7159</v>
      </c>
      <c r="AY743" s="3" t="s">
        <v>7160</v>
      </c>
      <c r="AZ743" s="3" t="s">
        <v>7161</v>
      </c>
      <c r="BA743" s="3" t="s">
        <v>7161</v>
      </c>
      <c r="BB743" s="3" t="s">
        <v>7162</v>
      </c>
      <c r="BC743" s="3" t="s">
        <v>142</v>
      </c>
      <c r="BD743" s="3" t="s">
        <v>68</v>
      </c>
      <c r="BE743" s="3" t="s">
        <v>7163</v>
      </c>
      <c r="BF743" s="3" t="s">
        <v>7162</v>
      </c>
      <c r="BG743" s="3" t="s">
        <v>7164</v>
      </c>
    </row>
    <row r="744" spans="1:59" ht="57" x14ac:dyDescent="0.45">
      <c r="A744" s="2" t="s">
        <v>59</v>
      </c>
      <c r="B744" s="2" t="s">
        <v>412</v>
      </c>
      <c r="C744" s="2" t="s">
        <v>7165</v>
      </c>
      <c r="D744" s="2" t="s">
        <v>7166</v>
      </c>
      <c r="E744" s="2" t="s">
        <v>7167</v>
      </c>
      <c r="G744" s="3" t="s">
        <v>62</v>
      </c>
      <c r="I744" s="3" t="s">
        <v>62</v>
      </c>
      <c r="J744" s="3" t="s">
        <v>62</v>
      </c>
      <c r="K744" s="3" t="s">
        <v>63</v>
      </c>
      <c r="L744" s="2" t="s">
        <v>7168</v>
      </c>
      <c r="M744" s="2" t="s">
        <v>7169</v>
      </c>
      <c r="N744" s="3" t="s">
        <v>820</v>
      </c>
      <c r="P744" s="3" t="s">
        <v>65</v>
      </c>
      <c r="R744" s="3" t="s">
        <v>66</v>
      </c>
      <c r="S744" s="4">
        <v>6</v>
      </c>
      <c r="T744" s="4">
        <v>6</v>
      </c>
      <c r="U744" s="5" t="s">
        <v>7170</v>
      </c>
      <c r="V744" s="5" t="s">
        <v>7170</v>
      </c>
      <c r="W744" s="5" t="s">
        <v>67</v>
      </c>
      <c r="X744" s="5" t="s">
        <v>67</v>
      </c>
      <c r="Y744" s="4">
        <v>222</v>
      </c>
      <c r="Z744" s="4">
        <v>18</v>
      </c>
      <c r="AA744" s="4">
        <v>29</v>
      </c>
      <c r="AB744" s="4">
        <v>2</v>
      </c>
      <c r="AC744" s="4">
        <v>6</v>
      </c>
      <c r="AD744" s="4">
        <v>48</v>
      </c>
      <c r="AE744" s="4">
        <v>60</v>
      </c>
      <c r="AF744" s="4">
        <v>1</v>
      </c>
      <c r="AG744" s="4">
        <v>3</v>
      </c>
      <c r="AH744" s="4">
        <v>41</v>
      </c>
      <c r="AI744" s="4">
        <v>49</v>
      </c>
      <c r="AJ744" s="4">
        <v>10</v>
      </c>
      <c r="AK744" s="4">
        <v>15</v>
      </c>
      <c r="AL744" s="4">
        <v>19</v>
      </c>
      <c r="AM744" s="4">
        <v>23</v>
      </c>
      <c r="AN744" s="4">
        <v>0</v>
      </c>
      <c r="AO744" s="4">
        <v>0</v>
      </c>
      <c r="AP744" s="4">
        <v>13</v>
      </c>
      <c r="AQ744" s="4">
        <v>20</v>
      </c>
      <c r="AR744" s="3" t="s">
        <v>62</v>
      </c>
      <c r="AS744" s="3" t="s">
        <v>62</v>
      </c>
      <c r="AT744" s="3" t="s">
        <v>62</v>
      </c>
      <c r="AV744" s="6" t="str">
        <f>HYPERLINK("http://mcgill.on.worldcat.org/oclc/73503497","Catalog Record")</f>
        <v>Catalog Record</v>
      </c>
      <c r="AW744" s="6" t="str">
        <f>HYPERLINK("http://www.worldcat.org/oclc/73503497","WorldCat Record")</f>
        <v>WorldCat Record</v>
      </c>
      <c r="AX744" s="3" t="s">
        <v>7171</v>
      </c>
      <c r="AY744" s="3" t="s">
        <v>7172</v>
      </c>
      <c r="AZ744" s="3" t="s">
        <v>7173</v>
      </c>
      <c r="BA744" s="3" t="s">
        <v>7173</v>
      </c>
      <c r="BB744" s="3" t="s">
        <v>7174</v>
      </c>
      <c r="BC744" s="3" t="s">
        <v>142</v>
      </c>
      <c r="BD744" s="3" t="s">
        <v>68</v>
      </c>
      <c r="BE744" s="3" t="s">
        <v>7175</v>
      </c>
      <c r="BF744" s="3" t="s">
        <v>7174</v>
      </c>
      <c r="BG744" s="3" t="s">
        <v>7176</v>
      </c>
    </row>
    <row r="745" spans="1:59" ht="57" x14ac:dyDescent="0.45">
      <c r="A745" s="2" t="s">
        <v>59</v>
      </c>
      <c r="B745" s="2" t="s">
        <v>412</v>
      </c>
      <c r="C745" s="2" t="s">
        <v>7178</v>
      </c>
      <c r="D745" s="2" t="s">
        <v>7179</v>
      </c>
      <c r="E745" s="2" t="s">
        <v>7180</v>
      </c>
      <c r="G745" s="3" t="s">
        <v>62</v>
      </c>
      <c r="I745" s="3" t="s">
        <v>62</v>
      </c>
      <c r="J745" s="3" t="s">
        <v>62</v>
      </c>
      <c r="K745" s="3" t="s">
        <v>63</v>
      </c>
      <c r="M745" s="2" t="s">
        <v>4162</v>
      </c>
      <c r="N745" s="3" t="s">
        <v>894</v>
      </c>
      <c r="P745" s="3" t="s">
        <v>65</v>
      </c>
      <c r="Q745" s="2" t="s">
        <v>7181</v>
      </c>
      <c r="R745" s="3" t="s">
        <v>66</v>
      </c>
      <c r="S745" s="4">
        <v>7</v>
      </c>
      <c r="T745" s="4">
        <v>7</v>
      </c>
      <c r="U745" s="5" t="s">
        <v>7135</v>
      </c>
      <c r="V745" s="5" t="s">
        <v>7135</v>
      </c>
      <c r="W745" s="5" t="s">
        <v>67</v>
      </c>
      <c r="X745" s="5" t="s">
        <v>67</v>
      </c>
      <c r="Y745" s="4">
        <v>58</v>
      </c>
      <c r="Z745" s="4">
        <v>8</v>
      </c>
      <c r="AA745" s="4">
        <v>90</v>
      </c>
      <c r="AB745" s="4">
        <v>2</v>
      </c>
      <c r="AC745" s="4">
        <v>17</v>
      </c>
      <c r="AD745" s="4">
        <v>28</v>
      </c>
      <c r="AE745" s="4">
        <v>109</v>
      </c>
      <c r="AF745" s="4">
        <v>1</v>
      </c>
      <c r="AG745" s="4">
        <v>8</v>
      </c>
      <c r="AH745" s="4">
        <v>27</v>
      </c>
      <c r="AI745" s="4">
        <v>74</v>
      </c>
      <c r="AJ745" s="4">
        <v>6</v>
      </c>
      <c r="AK745" s="4">
        <v>21</v>
      </c>
      <c r="AL745" s="4">
        <v>16</v>
      </c>
      <c r="AM745" s="4">
        <v>39</v>
      </c>
      <c r="AN745" s="4">
        <v>0</v>
      </c>
      <c r="AO745" s="4">
        <v>0</v>
      </c>
      <c r="AP745" s="4">
        <v>6</v>
      </c>
      <c r="AQ745" s="4">
        <v>42</v>
      </c>
      <c r="AR745" s="3" t="s">
        <v>62</v>
      </c>
      <c r="AS745" s="3" t="s">
        <v>62</v>
      </c>
      <c r="AT745" s="3" t="s">
        <v>62</v>
      </c>
      <c r="AV745" s="6" t="str">
        <f>HYPERLINK("http://mcgill.on.worldcat.org/oclc/747232701","Catalog Record")</f>
        <v>Catalog Record</v>
      </c>
      <c r="AW745" s="6" t="str">
        <f>HYPERLINK("http://www.worldcat.org/oclc/747232701","WorldCat Record")</f>
        <v>WorldCat Record</v>
      </c>
      <c r="AX745" s="3" t="s">
        <v>7182</v>
      </c>
      <c r="AY745" s="3" t="s">
        <v>7183</v>
      </c>
      <c r="AZ745" s="3" t="s">
        <v>7184</v>
      </c>
      <c r="BA745" s="3" t="s">
        <v>7184</v>
      </c>
      <c r="BB745" s="3" t="s">
        <v>7185</v>
      </c>
      <c r="BC745" s="3" t="s">
        <v>142</v>
      </c>
      <c r="BD745" s="3" t="s">
        <v>68</v>
      </c>
      <c r="BE745" s="3" t="s">
        <v>7186</v>
      </c>
      <c r="BF745" s="3" t="s">
        <v>7185</v>
      </c>
      <c r="BG745" s="3" t="s">
        <v>7187</v>
      </c>
    </row>
    <row r="746" spans="1:59" ht="57" x14ac:dyDescent="0.45">
      <c r="A746" s="2" t="s">
        <v>59</v>
      </c>
      <c r="B746" s="2" t="s">
        <v>60</v>
      </c>
      <c r="C746" s="2" t="s">
        <v>7188</v>
      </c>
      <c r="D746" s="2" t="s">
        <v>7189</v>
      </c>
      <c r="E746" s="2" t="s">
        <v>7190</v>
      </c>
      <c r="G746" s="3" t="s">
        <v>62</v>
      </c>
      <c r="I746" s="3" t="s">
        <v>62</v>
      </c>
      <c r="J746" s="3" t="s">
        <v>62</v>
      </c>
      <c r="K746" s="3" t="s">
        <v>63</v>
      </c>
      <c r="L746" s="2" t="s">
        <v>7191</v>
      </c>
      <c r="M746" s="2" t="s">
        <v>7192</v>
      </c>
      <c r="N746" s="3" t="s">
        <v>542</v>
      </c>
      <c r="P746" s="3" t="s">
        <v>65</v>
      </c>
      <c r="Q746" s="2" t="s">
        <v>2584</v>
      </c>
      <c r="R746" s="3" t="s">
        <v>66</v>
      </c>
      <c r="S746" s="4">
        <v>19</v>
      </c>
      <c r="T746" s="4">
        <v>19</v>
      </c>
      <c r="U746" s="5" t="s">
        <v>123</v>
      </c>
      <c r="V746" s="5" t="s">
        <v>123</v>
      </c>
      <c r="W746" s="5" t="s">
        <v>67</v>
      </c>
      <c r="X746" s="5" t="s">
        <v>67</v>
      </c>
      <c r="Y746" s="4">
        <v>221</v>
      </c>
      <c r="Z746" s="4">
        <v>14</v>
      </c>
      <c r="AA746" s="4">
        <v>31</v>
      </c>
      <c r="AB746" s="4">
        <v>1</v>
      </c>
      <c r="AC746" s="4">
        <v>9</v>
      </c>
      <c r="AD746" s="4">
        <v>47</v>
      </c>
      <c r="AE746" s="4">
        <v>70</v>
      </c>
      <c r="AF746" s="4">
        <v>0</v>
      </c>
      <c r="AG746" s="4">
        <v>4</v>
      </c>
      <c r="AH746" s="4">
        <v>41</v>
      </c>
      <c r="AI746" s="4">
        <v>57</v>
      </c>
      <c r="AJ746" s="4">
        <v>9</v>
      </c>
      <c r="AK746" s="4">
        <v>18</v>
      </c>
      <c r="AL746" s="4">
        <v>24</v>
      </c>
      <c r="AM746" s="4">
        <v>31</v>
      </c>
      <c r="AN746" s="4">
        <v>0</v>
      </c>
      <c r="AO746" s="4">
        <v>0</v>
      </c>
      <c r="AP746" s="4">
        <v>10</v>
      </c>
      <c r="AQ746" s="4">
        <v>20</v>
      </c>
      <c r="AR746" s="3" t="s">
        <v>62</v>
      </c>
      <c r="AS746" s="3" t="s">
        <v>62</v>
      </c>
      <c r="AT746" s="3" t="s">
        <v>61</v>
      </c>
      <c r="AU746" s="6" t="str">
        <f>HYPERLINK("http://catalog.hathitrust.org/Record/004171193","HathiTrust Record")</f>
        <v>HathiTrust Record</v>
      </c>
      <c r="AV746" s="6" t="str">
        <f>HYPERLINK("http://mcgill.on.worldcat.org/oclc/44014497","Catalog Record")</f>
        <v>Catalog Record</v>
      </c>
      <c r="AW746" s="6" t="str">
        <f>HYPERLINK("http://www.worldcat.org/oclc/44014497","WorldCat Record")</f>
        <v>WorldCat Record</v>
      </c>
      <c r="AX746" s="3" t="s">
        <v>7193</v>
      </c>
      <c r="AY746" s="3" t="s">
        <v>7194</v>
      </c>
      <c r="AZ746" s="3" t="s">
        <v>7195</v>
      </c>
      <c r="BA746" s="3" t="s">
        <v>7195</v>
      </c>
      <c r="BB746" s="3" t="s">
        <v>7196</v>
      </c>
      <c r="BC746" s="3" t="s">
        <v>142</v>
      </c>
      <c r="BD746" s="3" t="s">
        <v>68</v>
      </c>
      <c r="BE746" s="3" t="s">
        <v>7197</v>
      </c>
      <c r="BF746" s="3" t="s">
        <v>7196</v>
      </c>
      <c r="BG746" s="3" t="s">
        <v>7198</v>
      </c>
    </row>
    <row r="747" spans="1:59" ht="57" x14ac:dyDescent="0.45">
      <c r="A747" s="2" t="s">
        <v>59</v>
      </c>
      <c r="B747" s="2" t="s">
        <v>412</v>
      </c>
      <c r="C747" s="2" t="s">
        <v>7199</v>
      </c>
      <c r="D747" s="2" t="s">
        <v>7200</v>
      </c>
      <c r="E747" s="2" t="s">
        <v>7201</v>
      </c>
      <c r="G747" s="3" t="s">
        <v>62</v>
      </c>
      <c r="I747" s="3" t="s">
        <v>61</v>
      </c>
      <c r="J747" s="3" t="s">
        <v>62</v>
      </c>
      <c r="K747" s="3" t="s">
        <v>63</v>
      </c>
      <c r="L747" s="2" t="s">
        <v>7202</v>
      </c>
      <c r="M747" s="2" t="s">
        <v>7203</v>
      </c>
      <c r="N747" s="3" t="s">
        <v>3160</v>
      </c>
      <c r="O747" s="2" t="s">
        <v>168</v>
      </c>
      <c r="P747" s="3" t="s">
        <v>65</v>
      </c>
      <c r="Q747" s="2" t="s">
        <v>7204</v>
      </c>
      <c r="R747" s="3" t="s">
        <v>66</v>
      </c>
      <c r="S747" s="4">
        <v>24</v>
      </c>
      <c r="T747" s="4">
        <v>55</v>
      </c>
      <c r="U747" s="5" t="s">
        <v>6370</v>
      </c>
      <c r="V747" s="5" t="s">
        <v>6370</v>
      </c>
      <c r="W747" s="5" t="s">
        <v>67</v>
      </c>
      <c r="X747" s="5" t="s">
        <v>67</v>
      </c>
      <c r="Y747" s="4">
        <v>570</v>
      </c>
      <c r="Z747" s="4">
        <v>27</v>
      </c>
      <c r="AA747" s="4">
        <v>49</v>
      </c>
      <c r="AB747" s="4">
        <v>1</v>
      </c>
      <c r="AC747" s="4">
        <v>9</v>
      </c>
      <c r="AD747" s="4">
        <v>103</v>
      </c>
      <c r="AE747" s="4">
        <v>125</v>
      </c>
      <c r="AF747" s="4">
        <v>0</v>
      </c>
      <c r="AG747" s="4">
        <v>6</v>
      </c>
      <c r="AH747" s="4">
        <v>92</v>
      </c>
      <c r="AI747" s="4">
        <v>100</v>
      </c>
      <c r="AJ747" s="4">
        <v>13</v>
      </c>
      <c r="AK747" s="4">
        <v>25</v>
      </c>
      <c r="AL747" s="4">
        <v>46</v>
      </c>
      <c r="AM747" s="4">
        <v>47</v>
      </c>
      <c r="AN747" s="4">
        <v>0</v>
      </c>
      <c r="AO747" s="4">
        <v>0</v>
      </c>
      <c r="AP747" s="4">
        <v>19</v>
      </c>
      <c r="AQ747" s="4">
        <v>36</v>
      </c>
      <c r="AR747" s="3" t="s">
        <v>62</v>
      </c>
      <c r="AS747" s="3" t="s">
        <v>62</v>
      </c>
      <c r="AT747" s="3" t="s">
        <v>61</v>
      </c>
      <c r="AU747" s="6" t="str">
        <f>HYPERLINK("http://catalog.hathitrust.org/Record/000181775","HathiTrust Record")</f>
        <v>HathiTrust Record</v>
      </c>
      <c r="AV747" s="6" t="str">
        <f>HYPERLINK("http://mcgill.on.worldcat.org/oclc/7913241","Catalog Record")</f>
        <v>Catalog Record</v>
      </c>
      <c r="AW747" s="6" t="str">
        <f>HYPERLINK("http://www.worldcat.org/oclc/7913241","WorldCat Record")</f>
        <v>WorldCat Record</v>
      </c>
      <c r="AX747" s="3" t="s">
        <v>7205</v>
      </c>
      <c r="AY747" s="3" t="s">
        <v>7206</v>
      </c>
      <c r="AZ747" s="3" t="s">
        <v>7207</v>
      </c>
      <c r="BA747" s="3" t="s">
        <v>7207</v>
      </c>
      <c r="BB747" s="3" t="s">
        <v>7208</v>
      </c>
      <c r="BC747" s="3" t="s">
        <v>142</v>
      </c>
      <c r="BD747" s="3" t="s">
        <v>68</v>
      </c>
      <c r="BE747" s="3" t="s">
        <v>7209</v>
      </c>
      <c r="BF747" s="3" t="s">
        <v>7208</v>
      </c>
      <c r="BG747" s="3" t="s">
        <v>7210</v>
      </c>
    </row>
    <row r="748" spans="1:59" ht="57" x14ac:dyDescent="0.45">
      <c r="A748" s="2" t="s">
        <v>59</v>
      </c>
      <c r="B748" s="2" t="s">
        <v>60</v>
      </c>
      <c r="C748" s="2" t="s">
        <v>7211</v>
      </c>
      <c r="D748" s="2" t="s">
        <v>7212</v>
      </c>
      <c r="E748" s="2" t="s">
        <v>7201</v>
      </c>
      <c r="G748" s="3" t="s">
        <v>62</v>
      </c>
      <c r="I748" s="3" t="s">
        <v>61</v>
      </c>
      <c r="J748" s="3" t="s">
        <v>62</v>
      </c>
      <c r="K748" s="3" t="s">
        <v>63</v>
      </c>
      <c r="L748" s="2" t="s">
        <v>7202</v>
      </c>
      <c r="M748" s="2" t="s">
        <v>7203</v>
      </c>
      <c r="N748" s="3" t="s">
        <v>3160</v>
      </c>
      <c r="O748" s="2" t="s">
        <v>168</v>
      </c>
      <c r="P748" s="3" t="s">
        <v>65</v>
      </c>
      <c r="Q748" s="2" t="s">
        <v>7204</v>
      </c>
      <c r="R748" s="3" t="s">
        <v>66</v>
      </c>
      <c r="S748" s="4">
        <v>31</v>
      </c>
      <c r="T748" s="4">
        <v>55</v>
      </c>
      <c r="U748" s="5" t="s">
        <v>7213</v>
      </c>
      <c r="V748" s="5" t="s">
        <v>6370</v>
      </c>
      <c r="W748" s="5" t="s">
        <v>67</v>
      </c>
      <c r="X748" s="5" t="s">
        <v>67</v>
      </c>
      <c r="Y748" s="4">
        <v>570</v>
      </c>
      <c r="Z748" s="4">
        <v>27</v>
      </c>
      <c r="AA748" s="4">
        <v>49</v>
      </c>
      <c r="AB748" s="4">
        <v>1</v>
      </c>
      <c r="AC748" s="4">
        <v>9</v>
      </c>
      <c r="AD748" s="4">
        <v>103</v>
      </c>
      <c r="AE748" s="4">
        <v>125</v>
      </c>
      <c r="AF748" s="4">
        <v>0</v>
      </c>
      <c r="AG748" s="4">
        <v>6</v>
      </c>
      <c r="AH748" s="4">
        <v>92</v>
      </c>
      <c r="AI748" s="4">
        <v>100</v>
      </c>
      <c r="AJ748" s="4">
        <v>13</v>
      </c>
      <c r="AK748" s="4">
        <v>25</v>
      </c>
      <c r="AL748" s="4">
        <v>46</v>
      </c>
      <c r="AM748" s="4">
        <v>47</v>
      </c>
      <c r="AN748" s="4">
        <v>0</v>
      </c>
      <c r="AO748" s="4">
        <v>0</v>
      </c>
      <c r="AP748" s="4">
        <v>19</v>
      </c>
      <c r="AQ748" s="4">
        <v>36</v>
      </c>
      <c r="AR748" s="3" t="s">
        <v>62</v>
      </c>
      <c r="AS748" s="3" t="s">
        <v>62</v>
      </c>
      <c r="AT748" s="3" t="s">
        <v>61</v>
      </c>
      <c r="AU748" s="6" t="str">
        <f>HYPERLINK("http://catalog.hathitrust.org/Record/000181775","HathiTrust Record")</f>
        <v>HathiTrust Record</v>
      </c>
      <c r="AV748" s="6" t="str">
        <f>HYPERLINK("http://mcgill.on.worldcat.org/oclc/7913241","Catalog Record")</f>
        <v>Catalog Record</v>
      </c>
      <c r="AW748" s="6" t="str">
        <f>HYPERLINK("http://www.worldcat.org/oclc/7913241","WorldCat Record")</f>
        <v>WorldCat Record</v>
      </c>
      <c r="AX748" s="3" t="s">
        <v>7205</v>
      </c>
      <c r="AY748" s="3" t="s">
        <v>7206</v>
      </c>
      <c r="AZ748" s="3" t="s">
        <v>7207</v>
      </c>
      <c r="BA748" s="3" t="s">
        <v>7207</v>
      </c>
      <c r="BB748" s="3" t="s">
        <v>7214</v>
      </c>
      <c r="BC748" s="3" t="s">
        <v>142</v>
      </c>
      <c r="BD748" s="3" t="s">
        <v>68</v>
      </c>
      <c r="BE748" s="3" t="s">
        <v>7209</v>
      </c>
      <c r="BF748" s="3" t="s">
        <v>7214</v>
      </c>
      <c r="BG748" s="3" t="s">
        <v>7215</v>
      </c>
    </row>
    <row r="749" spans="1:59" ht="57" x14ac:dyDescent="0.45">
      <c r="A749" s="2" t="s">
        <v>59</v>
      </c>
      <c r="B749" s="2" t="s">
        <v>60</v>
      </c>
      <c r="C749" s="2" t="s">
        <v>7216</v>
      </c>
      <c r="D749" s="2" t="s">
        <v>7217</v>
      </c>
      <c r="E749" s="2" t="s">
        <v>7218</v>
      </c>
      <c r="G749" s="3" t="s">
        <v>62</v>
      </c>
      <c r="I749" s="3" t="s">
        <v>62</v>
      </c>
      <c r="J749" s="3" t="s">
        <v>62</v>
      </c>
      <c r="K749" s="3" t="s">
        <v>63</v>
      </c>
      <c r="L749" s="2" t="s">
        <v>7219</v>
      </c>
      <c r="M749" s="2" t="s">
        <v>7220</v>
      </c>
      <c r="N749" s="3" t="s">
        <v>1059</v>
      </c>
      <c r="P749" s="3" t="s">
        <v>65</v>
      </c>
      <c r="Q749" s="2" t="s">
        <v>7221</v>
      </c>
      <c r="R749" s="3" t="s">
        <v>66</v>
      </c>
      <c r="S749" s="4">
        <v>8</v>
      </c>
      <c r="T749" s="4">
        <v>8</v>
      </c>
      <c r="U749" s="5" t="s">
        <v>7222</v>
      </c>
      <c r="V749" s="5" t="s">
        <v>7222</v>
      </c>
      <c r="W749" s="5" t="s">
        <v>67</v>
      </c>
      <c r="X749" s="5" t="s">
        <v>67</v>
      </c>
      <c r="Y749" s="4">
        <v>350</v>
      </c>
      <c r="Z749" s="4">
        <v>21</v>
      </c>
      <c r="AA749" s="4">
        <v>82</v>
      </c>
      <c r="AB749" s="4">
        <v>3</v>
      </c>
      <c r="AC749" s="4">
        <v>15</v>
      </c>
      <c r="AD749" s="4">
        <v>83</v>
      </c>
      <c r="AE749" s="4">
        <v>131</v>
      </c>
      <c r="AF749" s="4">
        <v>2</v>
      </c>
      <c r="AG749" s="4">
        <v>8</v>
      </c>
      <c r="AH749" s="4">
        <v>73</v>
      </c>
      <c r="AI749" s="4">
        <v>96</v>
      </c>
      <c r="AJ749" s="4">
        <v>14</v>
      </c>
      <c r="AK749" s="4">
        <v>25</v>
      </c>
      <c r="AL749" s="4">
        <v>37</v>
      </c>
      <c r="AM749" s="4">
        <v>50</v>
      </c>
      <c r="AN749" s="4">
        <v>0</v>
      </c>
      <c r="AO749" s="4">
        <v>0</v>
      </c>
      <c r="AP749" s="4">
        <v>18</v>
      </c>
      <c r="AQ749" s="4">
        <v>44</v>
      </c>
      <c r="AR749" s="3" t="s">
        <v>62</v>
      </c>
      <c r="AS749" s="3" t="s">
        <v>62</v>
      </c>
      <c r="AT749" s="3" t="s">
        <v>61</v>
      </c>
      <c r="AU749" s="6" t="str">
        <f>HYPERLINK("http://catalog.hathitrust.org/Record/005614775","HathiTrust Record")</f>
        <v>HathiTrust Record</v>
      </c>
      <c r="AV749" s="6" t="str">
        <f>HYPERLINK("http://mcgill.on.worldcat.org/oclc/60245678","Catalog Record")</f>
        <v>Catalog Record</v>
      </c>
      <c r="AW749" s="6" t="str">
        <f>HYPERLINK("http://www.worldcat.org/oclc/60245678","WorldCat Record")</f>
        <v>WorldCat Record</v>
      </c>
      <c r="AX749" s="3" t="s">
        <v>7223</v>
      </c>
      <c r="AY749" s="3" t="s">
        <v>7224</v>
      </c>
      <c r="AZ749" s="3" t="s">
        <v>7225</v>
      </c>
      <c r="BA749" s="3" t="s">
        <v>7225</v>
      </c>
      <c r="BB749" s="3" t="s">
        <v>7226</v>
      </c>
      <c r="BC749" s="3" t="s">
        <v>142</v>
      </c>
      <c r="BD749" s="3" t="s">
        <v>68</v>
      </c>
      <c r="BE749" s="3" t="s">
        <v>7227</v>
      </c>
      <c r="BF749" s="3" t="s">
        <v>7226</v>
      </c>
      <c r="BG749" s="3" t="s">
        <v>7228</v>
      </c>
    </row>
    <row r="750" spans="1:59" ht="57" x14ac:dyDescent="0.45">
      <c r="A750" s="2" t="s">
        <v>59</v>
      </c>
      <c r="B750" s="2" t="s">
        <v>60</v>
      </c>
      <c r="C750" s="2" t="s">
        <v>7229</v>
      </c>
      <c r="D750" s="2" t="s">
        <v>7230</v>
      </c>
      <c r="E750" s="2" t="s">
        <v>7231</v>
      </c>
      <c r="G750" s="3" t="s">
        <v>62</v>
      </c>
      <c r="I750" s="3" t="s">
        <v>62</v>
      </c>
      <c r="J750" s="3" t="s">
        <v>62</v>
      </c>
      <c r="K750" s="3" t="s">
        <v>63</v>
      </c>
      <c r="M750" s="2" t="s">
        <v>7232</v>
      </c>
      <c r="N750" s="3" t="s">
        <v>894</v>
      </c>
      <c r="P750" s="3" t="s">
        <v>65</v>
      </c>
      <c r="R750" s="3" t="s">
        <v>66</v>
      </c>
      <c r="S750" s="4">
        <v>1</v>
      </c>
      <c r="T750" s="4">
        <v>1</v>
      </c>
      <c r="U750" s="5" t="s">
        <v>7233</v>
      </c>
      <c r="V750" s="5" t="s">
        <v>7233</v>
      </c>
      <c r="W750" s="5" t="s">
        <v>67</v>
      </c>
      <c r="X750" s="5" t="s">
        <v>67</v>
      </c>
      <c r="Y750" s="4">
        <v>41</v>
      </c>
      <c r="Z750" s="4">
        <v>13</v>
      </c>
      <c r="AA750" s="4">
        <v>79</v>
      </c>
      <c r="AB750" s="4">
        <v>2</v>
      </c>
      <c r="AC750" s="4">
        <v>14</v>
      </c>
      <c r="AD750" s="4">
        <v>22</v>
      </c>
      <c r="AE750" s="4">
        <v>86</v>
      </c>
      <c r="AF750" s="4">
        <v>1</v>
      </c>
      <c r="AG750" s="4">
        <v>8</v>
      </c>
      <c r="AH750" s="4">
        <v>17</v>
      </c>
      <c r="AI750" s="4">
        <v>53</v>
      </c>
      <c r="AJ750" s="4">
        <v>10</v>
      </c>
      <c r="AK750" s="4">
        <v>22</v>
      </c>
      <c r="AL750" s="4">
        <v>8</v>
      </c>
      <c r="AM750" s="4">
        <v>25</v>
      </c>
      <c r="AN750" s="4">
        <v>0</v>
      </c>
      <c r="AO750" s="4">
        <v>0</v>
      </c>
      <c r="AP750" s="4">
        <v>10</v>
      </c>
      <c r="AQ750" s="4">
        <v>42</v>
      </c>
      <c r="AR750" s="3" t="s">
        <v>62</v>
      </c>
      <c r="AS750" s="3" t="s">
        <v>62</v>
      </c>
      <c r="AT750" s="3" t="s">
        <v>62</v>
      </c>
      <c r="AV750" s="6" t="str">
        <f>HYPERLINK("http://mcgill.on.worldcat.org/oclc/794621462","Catalog Record")</f>
        <v>Catalog Record</v>
      </c>
      <c r="AW750" s="6" t="str">
        <f>HYPERLINK("http://www.worldcat.org/oclc/794621462","WorldCat Record")</f>
        <v>WorldCat Record</v>
      </c>
      <c r="AX750" s="3" t="s">
        <v>7234</v>
      </c>
      <c r="AY750" s="3" t="s">
        <v>7235</v>
      </c>
      <c r="AZ750" s="3" t="s">
        <v>7236</v>
      </c>
      <c r="BA750" s="3" t="s">
        <v>7236</v>
      </c>
      <c r="BB750" s="3" t="s">
        <v>7237</v>
      </c>
      <c r="BC750" s="3" t="s">
        <v>142</v>
      </c>
      <c r="BD750" s="3" t="s">
        <v>68</v>
      </c>
      <c r="BE750" s="3" t="s">
        <v>7238</v>
      </c>
      <c r="BF750" s="3" t="s">
        <v>7237</v>
      </c>
      <c r="BG750" s="3" t="s">
        <v>7239</v>
      </c>
    </row>
    <row r="751" spans="1:59" ht="57" x14ac:dyDescent="0.45">
      <c r="A751" s="2" t="s">
        <v>59</v>
      </c>
      <c r="B751" s="2" t="s">
        <v>60</v>
      </c>
      <c r="C751" s="2" t="s">
        <v>7240</v>
      </c>
      <c r="D751" s="2" t="s">
        <v>7241</v>
      </c>
      <c r="E751" s="2" t="s">
        <v>7242</v>
      </c>
      <c r="G751" s="3" t="s">
        <v>62</v>
      </c>
      <c r="I751" s="3" t="s">
        <v>62</v>
      </c>
      <c r="J751" s="3" t="s">
        <v>62</v>
      </c>
      <c r="K751" s="3" t="s">
        <v>63</v>
      </c>
      <c r="L751" s="2" t="s">
        <v>7243</v>
      </c>
      <c r="M751" s="2" t="s">
        <v>1713</v>
      </c>
      <c r="N751" s="3" t="s">
        <v>1155</v>
      </c>
      <c r="P751" s="3" t="s">
        <v>65</v>
      </c>
      <c r="Q751" s="2" t="s">
        <v>7244</v>
      </c>
      <c r="R751" s="3" t="s">
        <v>66</v>
      </c>
      <c r="S751" s="4">
        <v>4</v>
      </c>
      <c r="T751" s="4">
        <v>4</v>
      </c>
      <c r="U751" s="5" t="s">
        <v>7245</v>
      </c>
      <c r="V751" s="5" t="s">
        <v>7245</v>
      </c>
      <c r="W751" s="5" t="s">
        <v>67</v>
      </c>
      <c r="X751" s="5" t="s">
        <v>67</v>
      </c>
      <c r="Y751" s="4">
        <v>81</v>
      </c>
      <c r="Z751" s="4">
        <v>7</v>
      </c>
      <c r="AA751" s="4">
        <v>7</v>
      </c>
      <c r="AB751" s="4">
        <v>1</v>
      </c>
      <c r="AC751" s="4">
        <v>1</v>
      </c>
      <c r="AD751" s="4">
        <v>15</v>
      </c>
      <c r="AE751" s="4">
        <v>15</v>
      </c>
      <c r="AF751" s="4">
        <v>0</v>
      </c>
      <c r="AG751" s="4">
        <v>0</v>
      </c>
      <c r="AH751" s="4">
        <v>12</v>
      </c>
      <c r="AI751" s="4">
        <v>12</v>
      </c>
      <c r="AJ751" s="4">
        <v>6</v>
      </c>
      <c r="AK751" s="4">
        <v>6</v>
      </c>
      <c r="AL751" s="4">
        <v>7</v>
      </c>
      <c r="AM751" s="4">
        <v>7</v>
      </c>
      <c r="AN751" s="4">
        <v>0</v>
      </c>
      <c r="AO751" s="4">
        <v>0</v>
      </c>
      <c r="AP751" s="4">
        <v>6</v>
      </c>
      <c r="AQ751" s="4">
        <v>6</v>
      </c>
      <c r="AR751" s="3" t="s">
        <v>62</v>
      </c>
      <c r="AS751" s="3" t="s">
        <v>62</v>
      </c>
      <c r="AT751" s="3" t="s">
        <v>62</v>
      </c>
      <c r="AV751" s="6" t="str">
        <f>HYPERLINK("http://mcgill.on.worldcat.org/oclc/757935804","Catalog Record")</f>
        <v>Catalog Record</v>
      </c>
      <c r="AW751" s="6" t="str">
        <f>HYPERLINK("http://www.worldcat.org/oclc/757935804","WorldCat Record")</f>
        <v>WorldCat Record</v>
      </c>
      <c r="AX751" s="3" t="s">
        <v>7246</v>
      </c>
      <c r="AY751" s="3" t="s">
        <v>7247</v>
      </c>
      <c r="AZ751" s="3" t="s">
        <v>7248</v>
      </c>
      <c r="BA751" s="3" t="s">
        <v>7248</v>
      </c>
      <c r="BB751" s="3" t="s">
        <v>7249</v>
      </c>
      <c r="BC751" s="3" t="s">
        <v>142</v>
      </c>
      <c r="BD751" s="3" t="s">
        <v>3549</v>
      </c>
      <c r="BE751" s="3" t="s">
        <v>7250</v>
      </c>
      <c r="BF751" s="3" t="s">
        <v>7249</v>
      </c>
      <c r="BG751" s="3" t="s">
        <v>7251</v>
      </c>
    </row>
    <row r="752" spans="1:59" ht="57" x14ac:dyDescent="0.45">
      <c r="A752" s="2" t="s">
        <v>59</v>
      </c>
      <c r="B752" s="2" t="s">
        <v>60</v>
      </c>
      <c r="C752" s="2" t="s">
        <v>7252</v>
      </c>
      <c r="D752" s="2" t="s">
        <v>7253</v>
      </c>
      <c r="E752" s="2" t="s">
        <v>7254</v>
      </c>
      <c r="G752" s="3" t="s">
        <v>62</v>
      </c>
      <c r="I752" s="3" t="s">
        <v>62</v>
      </c>
      <c r="J752" s="3" t="s">
        <v>62</v>
      </c>
      <c r="K752" s="3" t="s">
        <v>63</v>
      </c>
      <c r="L752" s="2" t="s">
        <v>7255</v>
      </c>
      <c r="M752" s="2" t="s">
        <v>7256</v>
      </c>
      <c r="N752" s="3" t="s">
        <v>5180</v>
      </c>
      <c r="P752" s="3" t="s">
        <v>65</v>
      </c>
      <c r="Q752" s="2" t="s">
        <v>7257</v>
      </c>
      <c r="R752" s="3" t="s">
        <v>66</v>
      </c>
      <c r="S752" s="4">
        <v>0</v>
      </c>
      <c r="T752" s="4">
        <v>0</v>
      </c>
      <c r="W752" s="5" t="s">
        <v>67</v>
      </c>
      <c r="X752" s="5" t="s">
        <v>67</v>
      </c>
      <c r="Y752" s="4">
        <v>27</v>
      </c>
      <c r="Z752" s="4">
        <v>2</v>
      </c>
      <c r="AA752" s="4">
        <v>3</v>
      </c>
      <c r="AB752" s="4">
        <v>1</v>
      </c>
      <c r="AC752" s="4">
        <v>1</v>
      </c>
      <c r="AD752" s="4">
        <v>4</v>
      </c>
      <c r="AE752" s="4">
        <v>4</v>
      </c>
      <c r="AF752" s="4">
        <v>0</v>
      </c>
      <c r="AG752" s="4">
        <v>0</v>
      </c>
      <c r="AH752" s="4">
        <v>4</v>
      </c>
      <c r="AI752" s="4">
        <v>4</v>
      </c>
      <c r="AJ752" s="4">
        <v>1</v>
      </c>
      <c r="AK752" s="4">
        <v>1</v>
      </c>
      <c r="AL752" s="4">
        <v>2</v>
      </c>
      <c r="AM752" s="4">
        <v>2</v>
      </c>
      <c r="AN752" s="4">
        <v>0</v>
      </c>
      <c r="AO752" s="4">
        <v>0</v>
      </c>
      <c r="AP752" s="4">
        <v>1</v>
      </c>
      <c r="AQ752" s="4">
        <v>1</v>
      </c>
      <c r="AR752" s="3" t="s">
        <v>62</v>
      </c>
      <c r="AS752" s="3" t="s">
        <v>62</v>
      </c>
      <c r="AT752" s="3" t="s">
        <v>62</v>
      </c>
      <c r="AV752" s="6" t="str">
        <f>HYPERLINK("http://mcgill.on.worldcat.org/oclc/1002644221","Catalog Record")</f>
        <v>Catalog Record</v>
      </c>
      <c r="AW752" s="6" t="str">
        <f>HYPERLINK("http://www.worldcat.org/oclc/1002644221","WorldCat Record")</f>
        <v>WorldCat Record</v>
      </c>
      <c r="AX752" s="3" t="s">
        <v>7258</v>
      </c>
      <c r="AY752" s="3" t="s">
        <v>7259</v>
      </c>
      <c r="AZ752" s="3" t="s">
        <v>7260</v>
      </c>
      <c r="BA752" s="3" t="s">
        <v>7260</v>
      </c>
      <c r="BB752" s="3" t="s">
        <v>7261</v>
      </c>
      <c r="BC752" s="3" t="s">
        <v>142</v>
      </c>
      <c r="BD752" s="3" t="s">
        <v>68</v>
      </c>
      <c r="BE752" s="3" t="s">
        <v>7262</v>
      </c>
      <c r="BF752" s="3" t="s">
        <v>7261</v>
      </c>
      <c r="BG752" s="3" t="s">
        <v>7263</v>
      </c>
    </row>
    <row r="753" spans="1:59" ht="57" x14ac:dyDescent="0.45">
      <c r="A753" s="2" t="s">
        <v>59</v>
      </c>
      <c r="B753" s="2" t="s">
        <v>60</v>
      </c>
      <c r="C753" s="2" t="s">
        <v>7264</v>
      </c>
      <c r="D753" s="2" t="s">
        <v>7265</v>
      </c>
      <c r="E753" s="2" t="s">
        <v>7266</v>
      </c>
      <c r="G753" s="3" t="s">
        <v>62</v>
      </c>
      <c r="I753" s="3" t="s">
        <v>61</v>
      </c>
      <c r="J753" s="3" t="s">
        <v>62</v>
      </c>
      <c r="K753" s="3" t="s">
        <v>63</v>
      </c>
      <c r="L753" s="2" t="s">
        <v>7267</v>
      </c>
      <c r="M753" s="2" t="s">
        <v>6056</v>
      </c>
      <c r="N753" s="3" t="s">
        <v>945</v>
      </c>
      <c r="P753" s="3" t="s">
        <v>65</v>
      </c>
      <c r="Q753" s="2" t="s">
        <v>7268</v>
      </c>
      <c r="R753" s="3" t="s">
        <v>66</v>
      </c>
      <c r="S753" s="4">
        <v>33</v>
      </c>
      <c r="T753" s="4">
        <v>57</v>
      </c>
      <c r="U753" s="5" t="s">
        <v>7233</v>
      </c>
      <c r="V753" s="5" t="s">
        <v>7269</v>
      </c>
      <c r="W753" s="5" t="s">
        <v>67</v>
      </c>
      <c r="X753" s="5" t="s">
        <v>67</v>
      </c>
      <c r="Y753" s="4">
        <v>176</v>
      </c>
      <c r="Z753" s="4">
        <v>25</v>
      </c>
      <c r="AA753" s="4">
        <v>115</v>
      </c>
      <c r="AB753" s="4">
        <v>1</v>
      </c>
      <c r="AC753" s="4">
        <v>17</v>
      </c>
      <c r="AD753" s="4">
        <v>53</v>
      </c>
      <c r="AE753" s="4">
        <v>126</v>
      </c>
      <c r="AF753" s="4">
        <v>0</v>
      </c>
      <c r="AG753" s="4">
        <v>8</v>
      </c>
      <c r="AH753" s="4">
        <v>43</v>
      </c>
      <c r="AI753" s="4">
        <v>84</v>
      </c>
      <c r="AJ753" s="4">
        <v>13</v>
      </c>
      <c r="AK753" s="4">
        <v>27</v>
      </c>
      <c r="AL753" s="4">
        <v>25</v>
      </c>
      <c r="AM753" s="4">
        <v>41</v>
      </c>
      <c r="AN753" s="4">
        <v>0</v>
      </c>
      <c r="AO753" s="4">
        <v>0</v>
      </c>
      <c r="AP753" s="4">
        <v>15</v>
      </c>
      <c r="AQ753" s="4">
        <v>50</v>
      </c>
      <c r="AR753" s="3" t="s">
        <v>62</v>
      </c>
      <c r="AS753" s="3" t="s">
        <v>62</v>
      </c>
      <c r="AT753" s="3" t="s">
        <v>62</v>
      </c>
      <c r="AV753" s="6" t="str">
        <f>HYPERLINK("http://mcgill.on.worldcat.org/oclc/82367835","Catalog Record")</f>
        <v>Catalog Record</v>
      </c>
      <c r="AW753" s="6" t="str">
        <f>HYPERLINK("http://www.worldcat.org/oclc/82367835","WorldCat Record")</f>
        <v>WorldCat Record</v>
      </c>
      <c r="AX753" s="3" t="s">
        <v>7270</v>
      </c>
      <c r="AY753" s="3" t="s">
        <v>7271</v>
      </c>
      <c r="AZ753" s="3" t="s">
        <v>7272</v>
      </c>
      <c r="BA753" s="3" t="s">
        <v>7272</v>
      </c>
      <c r="BB753" s="3" t="s">
        <v>7273</v>
      </c>
      <c r="BC753" s="3" t="s">
        <v>142</v>
      </c>
      <c r="BD753" s="3" t="s">
        <v>308</v>
      </c>
      <c r="BE753" s="3" t="s">
        <v>7274</v>
      </c>
      <c r="BF753" s="3" t="s">
        <v>7273</v>
      </c>
      <c r="BG753" s="3" t="s">
        <v>7275</v>
      </c>
    </row>
    <row r="754" spans="1:59" ht="57" x14ac:dyDescent="0.45">
      <c r="A754" s="2" t="s">
        <v>59</v>
      </c>
      <c r="B754" s="2" t="s">
        <v>60</v>
      </c>
      <c r="C754" s="2" t="s">
        <v>7264</v>
      </c>
      <c r="D754" s="2" t="s">
        <v>7265</v>
      </c>
      <c r="E754" s="2" t="s">
        <v>7266</v>
      </c>
      <c r="G754" s="3" t="s">
        <v>62</v>
      </c>
      <c r="I754" s="3" t="s">
        <v>61</v>
      </c>
      <c r="J754" s="3" t="s">
        <v>62</v>
      </c>
      <c r="K754" s="3" t="s">
        <v>63</v>
      </c>
      <c r="L754" s="2" t="s">
        <v>7267</v>
      </c>
      <c r="M754" s="2" t="s">
        <v>6056</v>
      </c>
      <c r="N754" s="3" t="s">
        <v>945</v>
      </c>
      <c r="P754" s="3" t="s">
        <v>65</v>
      </c>
      <c r="Q754" s="2" t="s">
        <v>7268</v>
      </c>
      <c r="R754" s="3" t="s">
        <v>66</v>
      </c>
      <c r="S754" s="4">
        <v>24</v>
      </c>
      <c r="T754" s="4">
        <v>57</v>
      </c>
      <c r="U754" s="5" t="s">
        <v>7269</v>
      </c>
      <c r="V754" s="5" t="s">
        <v>7269</v>
      </c>
      <c r="W754" s="5" t="s">
        <v>67</v>
      </c>
      <c r="X754" s="5" t="s">
        <v>67</v>
      </c>
      <c r="Y754" s="4">
        <v>176</v>
      </c>
      <c r="Z754" s="4">
        <v>25</v>
      </c>
      <c r="AA754" s="4">
        <v>115</v>
      </c>
      <c r="AB754" s="4">
        <v>1</v>
      </c>
      <c r="AC754" s="4">
        <v>17</v>
      </c>
      <c r="AD754" s="4">
        <v>53</v>
      </c>
      <c r="AE754" s="4">
        <v>126</v>
      </c>
      <c r="AF754" s="4">
        <v>0</v>
      </c>
      <c r="AG754" s="4">
        <v>8</v>
      </c>
      <c r="AH754" s="4">
        <v>43</v>
      </c>
      <c r="AI754" s="4">
        <v>84</v>
      </c>
      <c r="AJ754" s="4">
        <v>13</v>
      </c>
      <c r="AK754" s="4">
        <v>27</v>
      </c>
      <c r="AL754" s="4">
        <v>25</v>
      </c>
      <c r="AM754" s="4">
        <v>41</v>
      </c>
      <c r="AN754" s="4">
        <v>0</v>
      </c>
      <c r="AO754" s="4">
        <v>0</v>
      </c>
      <c r="AP754" s="4">
        <v>15</v>
      </c>
      <c r="AQ754" s="4">
        <v>50</v>
      </c>
      <c r="AR754" s="3" t="s">
        <v>62</v>
      </c>
      <c r="AS754" s="3" t="s">
        <v>62</v>
      </c>
      <c r="AT754" s="3" t="s">
        <v>62</v>
      </c>
      <c r="AV754" s="6" t="str">
        <f>HYPERLINK("http://mcgill.on.worldcat.org/oclc/82367835","Catalog Record")</f>
        <v>Catalog Record</v>
      </c>
      <c r="AW754" s="6" t="str">
        <f>HYPERLINK("http://www.worldcat.org/oclc/82367835","WorldCat Record")</f>
        <v>WorldCat Record</v>
      </c>
      <c r="AX754" s="3" t="s">
        <v>7270</v>
      </c>
      <c r="AY754" s="3" t="s">
        <v>7271</v>
      </c>
      <c r="AZ754" s="3" t="s">
        <v>7272</v>
      </c>
      <c r="BA754" s="3" t="s">
        <v>7272</v>
      </c>
      <c r="BB754" s="3" t="s">
        <v>7276</v>
      </c>
      <c r="BC754" s="3" t="s">
        <v>142</v>
      </c>
      <c r="BD754" s="3" t="s">
        <v>308</v>
      </c>
      <c r="BE754" s="3" t="s">
        <v>7274</v>
      </c>
      <c r="BF754" s="3" t="s">
        <v>7276</v>
      </c>
      <c r="BG754" s="3" t="s">
        <v>7277</v>
      </c>
    </row>
    <row r="755" spans="1:59" ht="57" x14ac:dyDescent="0.45">
      <c r="A755" s="2" t="s">
        <v>59</v>
      </c>
      <c r="B755" s="2" t="s">
        <v>60</v>
      </c>
      <c r="C755" s="2" t="s">
        <v>7278</v>
      </c>
      <c r="D755" s="2" t="s">
        <v>7279</v>
      </c>
      <c r="E755" s="2" t="s">
        <v>7280</v>
      </c>
      <c r="G755" s="3" t="s">
        <v>62</v>
      </c>
      <c r="I755" s="3" t="s">
        <v>62</v>
      </c>
      <c r="J755" s="3" t="s">
        <v>62</v>
      </c>
      <c r="K755" s="3" t="s">
        <v>63</v>
      </c>
      <c r="L755" s="2" t="s">
        <v>6196</v>
      </c>
      <c r="M755" s="2" t="s">
        <v>7281</v>
      </c>
      <c r="N755" s="3" t="s">
        <v>1918</v>
      </c>
      <c r="P755" s="3" t="s">
        <v>65</v>
      </c>
      <c r="Q755" s="2" t="s">
        <v>7282</v>
      </c>
      <c r="R755" s="3" t="s">
        <v>66</v>
      </c>
      <c r="S755" s="4">
        <v>0</v>
      </c>
      <c r="T755" s="4">
        <v>0</v>
      </c>
      <c r="W755" s="5" t="s">
        <v>67</v>
      </c>
      <c r="X755" s="5" t="s">
        <v>67</v>
      </c>
      <c r="Y755" s="4">
        <v>12</v>
      </c>
      <c r="Z755" s="4">
        <v>1</v>
      </c>
      <c r="AA755" s="4">
        <v>1</v>
      </c>
      <c r="AB755" s="4">
        <v>1</v>
      </c>
      <c r="AC755" s="4">
        <v>1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3" t="s">
        <v>62</v>
      </c>
      <c r="AS755" s="3" t="s">
        <v>62</v>
      </c>
      <c r="AT755" s="3" t="s">
        <v>62</v>
      </c>
      <c r="AV755" s="6" t="str">
        <f>HYPERLINK("http://mcgill.on.worldcat.org/oclc/1027221324","Catalog Record")</f>
        <v>Catalog Record</v>
      </c>
      <c r="AW755" s="6" t="str">
        <f>HYPERLINK("http://www.worldcat.org/oclc/1027221324","WorldCat Record")</f>
        <v>WorldCat Record</v>
      </c>
      <c r="AX755" s="3" t="s">
        <v>7283</v>
      </c>
      <c r="AY755" s="3" t="s">
        <v>7284</v>
      </c>
      <c r="AZ755" s="3" t="s">
        <v>7285</v>
      </c>
      <c r="BA755" s="3" t="s">
        <v>7285</v>
      </c>
      <c r="BB755" s="3" t="s">
        <v>7286</v>
      </c>
      <c r="BC755" s="3" t="s">
        <v>142</v>
      </c>
      <c r="BD755" s="3" t="s">
        <v>68</v>
      </c>
      <c r="BE755" s="3" t="s">
        <v>7287</v>
      </c>
      <c r="BF755" s="3" t="s">
        <v>7286</v>
      </c>
      <c r="BG755" s="3" t="s">
        <v>7288</v>
      </c>
    </row>
    <row r="756" spans="1:59" ht="71.25" x14ac:dyDescent="0.45">
      <c r="A756" s="2" t="s">
        <v>59</v>
      </c>
      <c r="B756" s="2" t="s">
        <v>60</v>
      </c>
      <c r="C756" s="2" t="s">
        <v>7289</v>
      </c>
      <c r="D756" s="2" t="s">
        <v>7290</v>
      </c>
      <c r="E756" s="2" t="s">
        <v>7291</v>
      </c>
      <c r="G756" s="3" t="s">
        <v>62</v>
      </c>
      <c r="I756" s="3" t="s">
        <v>61</v>
      </c>
      <c r="J756" s="3" t="s">
        <v>62</v>
      </c>
      <c r="K756" s="3" t="s">
        <v>63</v>
      </c>
      <c r="L756" s="2" t="s">
        <v>7292</v>
      </c>
      <c r="M756" s="2" t="s">
        <v>7293</v>
      </c>
      <c r="N756" s="3" t="s">
        <v>64</v>
      </c>
      <c r="O756" s="2" t="s">
        <v>7294</v>
      </c>
      <c r="P756" s="3" t="s">
        <v>65</v>
      </c>
      <c r="R756" s="3" t="s">
        <v>66</v>
      </c>
      <c r="S756" s="4">
        <v>0</v>
      </c>
      <c r="T756" s="4">
        <v>10</v>
      </c>
      <c r="V756" s="5" t="s">
        <v>7295</v>
      </c>
      <c r="W756" s="5" t="s">
        <v>67</v>
      </c>
      <c r="X756" s="5" t="s">
        <v>67</v>
      </c>
      <c r="Y756" s="4">
        <v>300</v>
      </c>
      <c r="Z756" s="4">
        <v>16</v>
      </c>
      <c r="AA756" s="4">
        <v>43</v>
      </c>
      <c r="AB756" s="4">
        <v>2</v>
      </c>
      <c r="AC756" s="4">
        <v>6</v>
      </c>
      <c r="AD756" s="4">
        <v>59</v>
      </c>
      <c r="AE756" s="4">
        <v>112</v>
      </c>
      <c r="AF756" s="4">
        <v>0</v>
      </c>
      <c r="AG756" s="4">
        <v>3</v>
      </c>
      <c r="AH756" s="4">
        <v>50</v>
      </c>
      <c r="AI756" s="4">
        <v>92</v>
      </c>
      <c r="AJ756" s="4">
        <v>5</v>
      </c>
      <c r="AK756" s="4">
        <v>16</v>
      </c>
      <c r="AL756" s="4">
        <v>29</v>
      </c>
      <c r="AM756" s="4">
        <v>52</v>
      </c>
      <c r="AN756" s="4">
        <v>0</v>
      </c>
      <c r="AO756" s="4">
        <v>0</v>
      </c>
      <c r="AP756" s="4">
        <v>10</v>
      </c>
      <c r="AQ756" s="4">
        <v>26</v>
      </c>
      <c r="AR756" s="3" t="s">
        <v>62</v>
      </c>
      <c r="AS756" s="3" t="s">
        <v>62</v>
      </c>
      <c r="AT756" s="3" t="s">
        <v>61</v>
      </c>
      <c r="AU756" s="6" t="str">
        <f>HYPERLINK("http://catalog.hathitrust.org/Record/007395554","HathiTrust Record")</f>
        <v>HathiTrust Record</v>
      </c>
      <c r="AV756" s="6" t="str">
        <f>HYPERLINK("http://mcgill.on.worldcat.org/oclc/4915043","Catalog Record")</f>
        <v>Catalog Record</v>
      </c>
      <c r="AW756" s="6" t="str">
        <f>HYPERLINK("http://www.worldcat.org/oclc/4915043","WorldCat Record")</f>
        <v>WorldCat Record</v>
      </c>
      <c r="AX756" s="3" t="s">
        <v>7296</v>
      </c>
      <c r="AY756" s="3" t="s">
        <v>7297</v>
      </c>
      <c r="AZ756" s="3" t="s">
        <v>7298</v>
      </c>
      <c r="BA756" s="3" t="s">
        <v>7298</v>
      </c>
      <c r="BB756" s="3" t="s">
        <v>7299</v>
      </c>
      <c r="BC756" s="3" t="s">
        <v>142</v>
      </c>
      <c r="BD756" s="3" t="s">
        <v>68</v>
      </c>
      <c r="BE756" s="3" t="s">
        <v>7300</v>
      </c>
      <c r="BF756" s="3" t="s">
        <v>7299</v>
      </c>
      <c r="BG756" s="3" t="s">
        <v>7301</v>
      </c>
    </row>
    <row r="757" spans="1:59" ht="71.25" x14ac:dyDescent="0.45">
      <c r="A757" s="2" t="s">
        <v>59</v>
      </c>
      <c r="B757" s="2" t="s">
        <v>60</v>
      </c>
      <c r="C757" s="2" t="s">
        <v>7289</v>
      </c>
      <c r="D757" s="2" t="s">
        <v>7290</v>
      </c>
      <c r="E757" s="2" t="s">
        <v>7291</v>
      </c>
      <c r="G757" s="3" t="s">
        <v>62</v>
      </c>
      <c r="I757" s="3" t="s">
        <v>61</v>
      </c>
      <c r="J757" s="3" t="s">
        <v>62</v>
      </c>
      <c r="K757" s="3" t="s">
        <v>63</v>
      </c>
      <c r="L757" s="2" t="s">
        <v>7292</v>
      </c>
      <c r="M757" s="2" t="s">
        <v>7293</v>
      </c>
      <c r="N757" s="3" t="s">
        <v>64</v>
      </c>
      <c r="O757" s="2" t="s">
        <v>7294</v>
      </c>
      <c r="P757" s="3" t="s">
        <v>65</v>
      </c>
      <c r="R757" s="3" t="s">
        <v>66</v>
      </c>
      <c r="S757" s="4">
        <v>10</v>
      </c>
      <c r="T757" s="4">
        <v>10</v>
      </c>
      <c r="U757" s="5" t="s">
        <v>7295</v>
      </c>
      <c r="V757" s="5" t="s">
        <v>7295</v>
      </c>
      <c r="W757" s="5" t="s">
        <v>67</v>
      </c>
      <c r="X757" s="5" t="s">
        <v>67</v>
      </c>
      <c r="Y757" s="4">
        <v>300</v>
      </c>
      <c r="Z757" s="4">
        <v>16</v>
      </c>
      <c r="AA757" s="4">
        <v>43</v>
      </c>
      <c r="AB757" s="4">
        <v>2</v>
      </c>
      <c r="AC757" s="4">
        <v>6</v>
      </c>
      <c r="AD757" s="4">
        <v>59</v>
      </c>
      <c r="AE757" s="4">
        <v>112</v>
      </c>
      <c r="AF757" s="4">
        <v>0</v>
      </c>
      <c r="AG757" s="4">
        <v>3</v>
      </c>
      <c r="AH757" s="4">
        <v>50</v>
      </c>
      <c r="AI757" s="4">
        <v>92</v>
      </c>
      <c r="AJ757" s="4">
        <v>5</v>
      </c>
      <c r="AK757" s="4">
        <v>16</v>
      </c>
      <c r="AL757" s="4">
        <v>29</v>
      </c>
      <c r="AM757" s="4">
        <v>52</v>
      </c>
      <c r="AN757" s="4">
        <v>0</v>
      </c>
      <c r="AO757" s="4">
        <v>0</v>
      </c>
      <c r="AP757" s="4">
        <v>10</v>
      </c>
      <c r="AQ757" s="4">
        <v>26</v>
      </c>
      <c r="AR757" s="3" t="s">
        <v>62</v>
      </c>
      <c r="AS757" s="3" t="s">
        <v>62</v>
      </c>
      <c r="AT757" s="3" t="s">
        <v>61</v>
      </c>
      <c r="AU757" s="6" t="str">
        <f>HYPERLINK("http://catalog.hathitrust.org/Record/007395554","HathiTrust Record")</f>
        <v>HathiTrust Record</v>
      </c>
      <c r="AV757" s="6" t="str">
        <f>HYPERLINK("http://mcgill.on.worldcat.org/oclc/4915043","Catalog Record")</f>
        <v>Catalog Record</v>
      </c>
      <c r="AW757" s="6" t="str">
        <f>HYPERLINK("http://www.worldcat.org/oclc/4915043","WorldCat Record")</f>
        <v>WorldCat Record</v>
      </c>
      <c r="AX757" s="3" t="s">
        <v>7296</v>
      </c>
      <c r="AY757" s="3" t="s">
        <v>7297</v>
      </c>
      <c r="AZ757" s="3" t="s">
        <v>7298</v>
      </c>
      <c r="BA757" s="3" t="s">
        <v>7298</v>
      </c>
      <c r="BB757" s="3" t="s">
        <v>7302</v>
      </c>
      <c r="BC757" s="3" t="s">
        <v>142</v>
      </c>
      <c r="BD757" s="3" t="s">
        <v>68</v>
      </c>
      <c r="BE757" s="3" t="s">
        <v>7300</v>
      </c>
      <c r="BF757" s="3" t="s">
        <v>7302</v>
      </c>
      <c r="BG757" s="3" t="s">
        <v>7303</v>
      </c>
    </row>
    <row r="758" spans="1:59" ht="85.5" x14ac:dyDescent="0.45">
      <c r="A758" s="2" t="s">
        <v>59</v>
      </c>
      <c r="B758" s="2" t="s">
        <v>60</v>
      </c>
      <c r="C758" s="2" t="s">
        <v>7304</v>
      </c>
      <c r="D758" s="2" t="s">
        <v>7305</v>
      </c>
      <c r="E758" s="2" t="s">
        <v>7306</v>
      </c>
      <c r="G758" s="3" t="s">
        <v>62</v>
      </c>
      <c r="I758" s="3" t="s">
        <v>62</v>
      </c>
      <c r="J758" s="3" t="s">
        <v>62</v>
      </c>
      <c r="K758" s="3" t="s">
        <v>63</v>
      </c>
      <c r="M758" s="2" t="s">
        <v>7307</v>
      </c>
      <c r="N758" s="3" t="s">
        <v>149</v>
      </c>
      <c r="P758" s="3" t="s">
        <v>65</v>
      </c>
      <c r="Q758" s="2" t="s">
        <v>7308</v>
      </c>
      <c r="R758" s="3" t="s">
        <v>66</v>
      </c>
      <c r="S758" s="4">
        <v>1</v>
      </c>
      <c r="T758" s="4">
        <v>1</v>
      </c>
      <c r="U758" s="5" t="s">
        <v>7309</v>
      </c>
      <c r="V758" s="5" t="s">
        <v>7309</v>
      </c>
      <c r="W758" s="5" t="s">
        <v>67</v>
      </c>
      <c r="X758" s="5" t="s">
        <v>67</v>
      </c>
      <c r="Y758" s="4">
        <v>40</v>
      </c>
      <c r="Z758" s="4">
        <v>3</v>
      </c>
      <c r="AA758" s="4">
        <v>3</v>
      </c>
      <c r="AB758" s="4">
        <v>1</v>
      </c>
      <c r="AC758" s="4">
        <v>1</v>
      </c>
      <c r="AD758" s="4">
        <v>16</v>
      </c>
      <c r="AE758" s="4">
        <v>16</v>
      </c>
      <c r="AF758" s="4">
        <v>0</v>
      </c>
      <c r="AG758" s="4">
        <v>0</v>
      </c>
      <c r="AH758" s="4">
        <v>15</v>
      </c>
      <c r="AI758" s="4">
        <v>15</v>
      </c>
      <c r="AJ758" s="4">
        <v>2</v>
      </c>
      <c r="AK758" s="4">
        <v>2</v>
      </c>
      <c r="AL758" s="4">
        <v>11</v>
      </c>
      <c r="AM758" s="4">
        <v>11</v>
      </c>
      <c r="AN758" s="4">
        <v>0</v>
      </c>
      <c r="AO758" s="4">
        <v>0</v>
      </c>
      <c r="AP758" s="4">
        <v>2</v>
      </c>
      <c r="AQ758" s="4">
        <v>2</v>
      </c>
      <c r="AR758" s="3" t="s">
        <v>62</v>
      </c>
      <c r="AS758" s="3" t="s">
        <v>62</v>
      </c>
      <c r="AT758" s="3" t="s">
        <v>62</v>
      </c>
      <c r="AV758" s="6" t="str">
        <f>HYPERLINK("http://mcgill.on.worldcat.org/oclc/664669026","Catalog Record")</f>
        <v>Catalog Record</v>
      </c>
      <c r="AW758" s="6" t="str">
        <f>HYPERLINK("http://www.worldcat.org/oclc/664669026","WorldCat Record")</f>
        <v>WorldCat Record</v>
      </c>
      <c r="AX758" s="3" t="s">
        <v>7310</v>
      </c>
      <c r="AY758" s="3" t="s">
        <v>7311</v>
      </c>
      <c r="AZ758" s="3" t="s">
        <v>7312</v>
      </c>
      <c r="BA758" s="3" t="s">
        <v>7312</v>
      </c>
      <c r="BB758" s="3" t="s">
        <v>7313</v>
      </c>
      <c r="BC758" s="3" t="s">
        <v>142</v>
      </c>
      <c r="BD758" s="3" t="s">
        <v>68</v>
      </c>
      <c r="BE758" s="3" t="s">
        <v>7314</v>
      </c>
      <c r="BF758" s="3" t="s">
        <v>7313</v>
      </c>
      <c r="BG758" s="3" t="s">
        <v>7315</v>
      </c>
    </row>
    <row r="759" spans="1:59" ht="57" x14ac:dyDescent="0.45">
      <c r="A759" s="2" t="s">
        <v>59</v>
      </c>
      <c r="B759" s="2" t="s">
        <v>60</v>
      </c>
      <c r="C759" s="2" t="s">
        <v>7316</v>
      </c>
      <c r="D759" s="2" t="s">
        <v>7317</v>
      </c>
      <c r="E759" s="2" t="s">
        <v>7318</v>
      </c>
      <c r="G759" s="3" t="s">
        <v>62</v>
      </c>
      <c r="I759" s="3" t="s">
        <v>62</v>
      </c>
      <c r="J759" s="3" t="s">
        <v>62</v>
      </c>
      <c r="K759" s="3" t="s">
        <v>63</v>
      </c>
      <c r="L759" s="2" t="s">
        <v>7319</v>
      </c>
      <c r="M759" s="2" t="s">
        <v>7320</v>
      </c>
      <c r="N759" s="3" t="s">
        <v>807</v>
      </c>
      <c r="P759" s="3" t="s">
        <v>65</v>
      </c>
      <c r="Q759" s="2" t="s">
        <v>7204</v>
      </c>
      <c r="R759" s="3" t="s">
        <v>66</v>
      </c>
      <c r="S759" s="4">
        <v>35</v>
      </c>
      <c r="T759" s="4">
        <v>35</v>
      </c>
      <c r="U759" s="5" t="s">
        <v>7321</v>
      </c>
      <c r="V759" s="5" t="s">
        <v>7321</v>
      </c>
      <c r="W759" s="5" t="s">
        <v>67</v>
      </c>
      <c r="X759" s="5" t="s">
        <v>67</v>
      </c>
      <c r="Y759" s="4">
        <v>277</v>
      </c>
      <c r="Z759" s="4">
        <v>24</v>
      </c>
      <c r="AA759" s="4">
        <v>27</v>
      </c>
      <c r="AB759" s="4">
        <v>2</v>
      </c>
      <c r="AC759" s="4">
        <v>3</v>
      </c>
      <c r="AD759" s="4">
        <v>38</v>
      </c>
      <c r="AE759" s="4">
        <v>45</v>
      </c>
      <c r="AF759" s="4">
        <v>1</v>
      </c>
      <c r="AG759" s="4">
        <v>2</v>
      </c>
      <c r="AH759" s="4">
        <v>28</v>
      </c>
      <c r="AI759" s="4">
        <v>33</v>
      </c>
      <c r="AJ759" s="4">
        <v>11</v>
      </c>
      <c r="AK759" s="4">
        <v>12</v>
      </c>
      <c r="AL759" s="4">
        <v>13</v>
      </c>
      <c r="AM759" s="4">
        <v>13</v>
      </c>
      <c r="AN759" s="4">
        <v>0</v>
      </c>
      <c r="AO759" s="4">
        <v>0</v>
      </c>
      <c r="AP759" s="4">
        <v>16</v>
      </c>
      <c r="AQ759" s="4">
        <v>19</v>
      </c>
      <c r="AR759" s="3" t="s">
        <v>62</v>
      </c>
      <c r="AS759" s="3" t="s">
        <v>62</v>
      </c>
      <c r="AT759" s="3" t="s">
        <v>62</v>
      </c>
      <c r="AV759" s="6" t="str">
        <f>HYPERLINK("http://mcgill.on.worldcat.org/oclc/22512328","Catalog Record")</f>
        <v>Catalog Record</v>
      </c>
      <c r="AW759" s="6" t="str">
        <f>HYPERLINK("http://www.worldcat.org/oclc/22512328","WorldCat Record")</f>
        <v>WorldCat Record</v>
      </c>
      <c r="AX759" s="3" t="s">
        <v>7322</v>
      </c>
      <c r="AY759" s="3" t="s">
        <v>7323</v>
      </c>
      <c r="AZ759" s="3" t="s">
        <v>7324</v>
      </c>
      <c r="BA759" s="3" t="s">
        <v>7324</v>
      </c>
      <c r="BB759" s="3" t="s">
        <v>7325</v>
      </c>
      <c r="BC759" s="3" t="s">
        <v>142</v>
      </c>
      <c r="BD759" s="3" t="s">
        <v>68</v>
      </c>
      <c r="BE759" s="3" t="s">
        <v>7326</v>
      </c>
      <c r="BF759" s="3" t="s">
        <v>7325</v>
      </c>
      <c r="BG759" s="3" t="s">
        <v>7327</v>
      </c>
    </row>
    <row r="760" spans="1:59" ht="57" x14ac:dyDescent="0.45">
      <c r="A760" s="2" t="s">
        <v>59</v>
      </c>
      <c r="B760" s="2" t="s">
        <v>60</v>
      </c>
      <c r="C760" s="2" t="s">
        <v>7328</v>
      </c>
      <c r="D760" s="2" t="s">
        <v>7329</v>
      </c>
      <c r="E760" s="2" t="s">
        <v>7330</v>
      </c>
      <c r="G760" s="3" t="s">
        <v>62</v>
      </c>
      <c r="I760" s="3" t="s">
        <v>62</v>
      </c>
      <c r="J760" s="3" t="s">
        <v>62</v>
      </c>
      <c r="K760" s="3" t="s">
        <v>63</v>
      </c>
      <c r="L760" s="2" t="s">
        <v>7331</v>
      </c>
      <c r="M760" s="2" t="s">
        <v>7332</v>
      </c>
      <c r="N760" s="3" t="s">
        <v>1239</v>
      </c>
      <c r="P760" s="3" t="s">
        <v>65</v>
      </c>
      <c r="R760" s="3" t="s">
        <v>66</v>
      </c>
      <c r="S760" s="4">
        <v>79</v>
      </c>
      <c r="T760" s="4">
        <v>79</v>
      </c>
      <c r="U760" s="5" t="s">
        <v>7333</v>
      </c>
      <c r="V760" s="5" t="s">
        <v>7333</v>
      </c>
      <c r="W760" s="5" t="s">
        <v>67</v>
      </c>
      <c r="X760" s="5" t="s">
        <v>67</v>
      </c>
      <c r="Y760" s="4">
        <v>298</v>
      </c>
      <c r="Z760" s="4">
        <v>21</v>
      </c>
      <c r="AA760" s="4">
        <v>55</v>
      </c>
      <c r="AB760" s="4">
        <v>2</v>
      </c>
      <c r="AC760" s="4">
        <v>6</v>
      </c>
      <c r="AD760" s="4">
        <v>65</v>
      </c>
      <c r="AE760" s="4">
        <v>105</v>
      </c>
      <c r="AF760" s="4">
        <v>1</v>
      </c>
      <c r="AG760" s="4">
        <v>3</v>
      </c>
      <c r="AH760" s="4">
        <v>57</v>
      </c>
      <c r="AI760" s="4">
        <v>84</v>
      </c>
      <c r="AJ760" s="4">
        <v>9</v>
      </c>
      <c r="AK760" s="4">
        <v>17</v>
      </c>
      <c r="AL760" s="4">
        <v>29</v>
      </c>
      <c r="AM760" s="4">
        <v>45</v>
      </c>
      <c r="AN760" s="4">
        <v>0</v>
      </c>
      <c r="AO760" s="4">
        <v>0</v>
      </c>
      <c r="AP760" s="4">
        <v>12</v>
      </c>
      <c r="AQ760" s="4">
        <v>29</v>
      </c>
      <c r="AR760" s="3" t="s">
        <v>62</v>
      </c>
      <c r="AS760" s="3" t="s">
        <v>62</v>
      </c>
      <c r="AT760" s="3" t="s">
        <v>61</v>
      </c>
      <c r="AU760" s="6" t="str">
        <f>HYPERLINK("http://catalog.hathitrust.org/Record/007107687","HathiTrust Record")</f>
        <v>HathiTrust Record</v>
      </c>
      <c r="AV760" s="6" t="str">
        <f>HYPERLINK("http://mcgill.on.worldcat.org/oclc/20265559","Catalog Record")</f>
        <v>Catalog Record</v>
      </c>
      <c r="AW760" s="6" t="str">
        <f>HYPERLINK("http://www.worldcat.org/oclc/20265559","WorldCat Record")</f>
        <v>WorldCat Record</v>
      </c>
      <c r="AX760" s="3" t="s">
        <v>7334</v>
      </c>
      <c r="AY760" s="3" t="s">
        <v>7335</v>
      </c>
      <c r="AZ760" s="3" t="s">
        <v>7336</v>
      </c>
      <c r="BA760" s="3" t="s">
        <v>7336</v>
      </c>
      <c r="BB760" s="3" t="s">
        <v>7337</v>
      </c>
      <c r="BC760" s="3" t="s">
        <v>142</v>
      </c>
      <c r="BD760" s="3" t="s">
        <v>68</v>
      </c>
      <c r="BE760" s="3" t="s">
        <v>7338</v>
      </c>
      <c r="BF760" s="3" t="s">
        <v>7337</v>
      </c>
      <c r="BG760" s="3" t="s">
        <v>7339</v>
      </c>
    </row>
    <row r="761" spans="1:59" ht="57" x14ac:dyDescent="0.45">
      <c r="A761" s="2" t="s">
        <v>59</v>
      </c>
      <c r="B761" s="2" t="s">
        <v>60</v>
      </c>
      <c r="C761" s="2" t="s">
        <v>7340</v>
      </c>
      <c r="D761" s="2" t="s">
        <v>7341</v>
      </c>
      <c r="E761" s="2" t="s">
        <v>7342</v>
      </c>
      <c r="G761" s="3" t="s">
        <v>62</v>
      </c>
      <c r="I761" s="3" t="s">
        <v>61</v>
      </c>
      <c r="J761" s="3" t="s">
        <v>62</v>
      </c>
      <c r="K761" s="3" t="s">
        <v>63</v>
      </c>
      <c r="M761" s="2" t="s">
        <v>3135</v>
      </c>
      <c r="N761" s="3" t="s">
        <v>945</v>
      </c>
      <c r="P761" s="3" t="s">
        <v>65</v>
      </c>
      <c r="Q761" s="2" t="s">
        <v>7036</v>
      </c>
      <c r="R761" s="3" t="s">
        <v>66</v>
      </c>
      <c r="S761" s="4">
        <v>11</v>
      </c>
      <c r="T761" s="4">
        <v>38</v>
      </c>
      <c r="U761" s="5" t="s">
        <v>7343</v>
      </c>
      <c r="V761" s="5" t="s">
        <v>7309</v>
      </c>
      <c r="W761" s="5" t="s">
        <v>67</v>
      </c>
      <c r="X761" s="5" t="s">
        <v>67</v>
      </c>
      <c r="Y761" s="4">
        <v>306</v>
      </c>
      <c r="Z761" s="4">
        <v>26</v>
      </c>
      <c r="AA761" s="4">
        <v>31</v>
      </c>
      <c r="AB761" s="4">
        <v>2</v>
      </c>
      <c r="AC761" s="4">
        <v>7</v>
      </c>
      <c r="AD761" s="4">
        <v>84</v>
      </c>
      <c r="AE761" s="4">
        <v>87</v>
      </c>
      <c r="AF761" s="4">
        <v>1</v>
      </c>
      <c r="AG761" s="4">
        <v>4</v>
      </c>
      <c r="AH761" s="4">
        <v>75</v>
      </c>
      <c r="AI761" s="4">
        <v>76</v>
      </c>
      <c r="AJ761" s="4">
        <v>17</v>
      </c>
      <c r="AK761" s="4">
        <v>20</v>
      </c>
      <c r="AL761" s="4">
        <v>41</v>
      </c>
      <c r="AM761" s="4">
        <v>41</v>
      </c>
      <c r="AN761" s="4">
        <v>0</v>
      </c>
      <c r="AO761" s="4">
        <v>0</v>
      </c>
      <c r="AP761" s="4">
        <v>19</v>
      </c>
      <c r="AQ761" s="4">
        <v>21</v>
      </c>
      <c r="AR761" s="3" t="s">
        <v>62</v>
      </c>
      <c r="AS761" s="3" t="s">
        <v>62</v>
      </c>
      <c r="AT761" s="3" t="s">
        <v>62</v>
      </c>
      <c r="AV761" s="6" t="str">
        <f>HYPERLINK("http://mcgill.on.worldcat.org/oclc/71329983","Catalog Record")</f>
        <v>Catalog Record</v>
      </c>
      <c r="AW761" s="6" t="str">
        <f>HYPERLINK("http://www.worldcat.org/oclc/71329983","WorldCat Record")</f>
        <v>WorldCat Record</v>
      </c>
      <c r="AX761" s="3" t="s">
        <v>7344</v>
      </c>
      <c r="AY761" s="3" t="s">
        <v>7345</v>
      </c>
      <c r="AZ761" s="3" t="s">
        <v>7346</v>
      </c>
      <c r="BA761" s="3" t="s">
        <v>7346</v>
      </c>
      <c r="BB761" s="3" t="s">
        <v>7347</v>
      </c>
      <c r="BC761" s="3" t="s">
        <v>142</v>
      </c>
      <c r="BD761" s="3" t="s">
        <v>68</v>
      </c>
      <c r="BE761" s="3" t="s">
        <v>7348</v>
      </c>
      <c r="BF761" s="3" t="s">
        <v>7347</v>
      </c>
      <c r="BG761" s="3" t="s">
        <v>7349</v>
      </c>
    </row>
    <row r="762" spans="1:59" ht="57" x14ac:dyDescent="0.45">
      <c r="A762" s="2" t="s">
        <v>59</v>
      </c>
      <c r="B762" s="2" t="s">
        <v>60</v>
      </c>
      <c r="C762" s="2" t="s">
        <v>7340</v>
      </c>
      <c r="D762" s="2" t="s">
        <v>7341</v>
      </c>
      <c r="E762" s="2" t="s">
        <v>7342</v>
      </c>
      <c r="G762" s="3" t="s">
        <v>62</v>
      </c>
      <c r="I762" s="3" t="s">
        <v>61</v>
      </c>
      <c r="J762" s="3" t="s">
        <v>62</v>
      </c>
      <c r="K762" s="3" t="s">
        <v>63</v>
      </c>
      <c r="M762" s="2" t="s">
        <v>3135</v>
      </c>
      <c r="N762" s="3" t="s">
        <v>945</v>
      </c>
      <c r="P762" s="3" t="s">
        <v>65</v>
      </c>
      <c r="Q762" s="2" t="s">
        <v>7036</v>
      </c>
      <c r="R762" s="3" t="s">
        <v>66</v>
      </c>
      <c r="S762" s="4">
        <v>27</v>
      </c>
      <c r="T762" s="4">
        <v>38</v>
      </c>
      <c r="U762" s="5" t="s">
        <v>7309</v>
      </c>
      <c r="V762" s="5" t="s">
        <v>7309</v>
      </c>
      <c r="W762" s="5" t="s">
        <v>67</v>
      </c>
      <c r="X762" s="5" t="s">
        <v>67</v>
      </c>
      <c r="Y762" s="4">
        <v>306</v>
      </c>
      <c r="Z762" s="4">
        <v>26</v>
      </c>
      <c r="AA762" s="4">
        <v>31</v>
      </c>
      <c r="AB762" s="4">
        <v>2</v>
      </c>
      <c r="AC762" s="4">
        <v>7</v>
      </c>
      <c r="AD762" s="4">
        <v>84</v>
      </c>
      <c r="AE762" s="4">
        <v>87</v>
      </c>
      <c r="AF762" s="4">
        <v>1</v>
      </c>
      <c r="AG762" s="4">
        <v>4</v>
      </c>
      <c r="AH762" s="4">
        <v>75</v>
      </c>
      <c r="AI762" s="4">
        <v>76</v>
      </c>
      <c r="AJ762" s="4">
        <v>17</v>
      </c>
      <c r="AK762" s="4">
        <v>20</v>
      </c>
      <c r="AL762" s="4">
        <v>41</v>
      </c>
      <c r="AM762" s="4">
        <v>41</v>
      </c>
      <c r="AN762" s="4">
        <v>0</v>
      </c>
      <c r="AO762" s="4">
        <v>0</v>
      </c>
      <c r="AP762" s="4">
        <v>19</v>
      </c>
      <c r="AQ762" s="4">
        <v>21</v>
      </c>
      <c r="AR762" s="3" t="s">
        <v>62</v>
      </c>
      <c r="AS762" s="3" t="s">
        <v>62</v>
      </c>
      <c r="AT762" s="3" t="s">
        <v>62</v>
      </c>
      <c r="AV762" s="6" t="str">
        <f>HYPERLINK("http://mcgill.on.worldcat.org/oclc/71329983","Catalog Record")</f>
        <v>Catalog Record</v>
      </c>
      <c r="AW762" s="6" t="str">
        <f>HYPERLINK("http://www.worldcat.org/oclc/71329983","WorldCat Record")</f>
        <v>WorldCat Record</v>
      </c>
      <c r="AX762" s="3" t="s">
        <v>7344</v>
      </c>
      <c r="AY762" s="3" t="s">
        <v>7345</v>
      </c>
      <c r="AZ762" s="3" t="s">
        <v>7346</v>
      </c>
      <c r="BA762" s="3" t="s">
        <v>7346</v>
      </c>
      <c r="BB762" s="3" t="s">
        <v>7350</v>
      </c>
      <c r="BC762" s="3" t="s">
        <v>142</v>
      </c>
      <c r="BD762" s="3" t="s">
        <v>68</v>
      </c>
      <c r="BE762" s="3" t="s">
        <v>7348</v>
      </c>
      <c r="BF762" s="3" t="s">
        <v>7350</v>
      </c>
      <c r="BG762" s="3" t="s">
        <v>7351</v>
      </c>
    </row>
    <row r="763" spans="1:59" ht="57" x14ac:dyDescent="0.45">
      <c r="A763" s="2" t="s">
        <v>59</v>
      </c>
      <c r="B763" s="2" t="s">
        <v>60</v>
      </c>
      <c r="C763" s="2" t="s">
        <v>7352</v>
      </c>
      <c r="D763" s="2" t="s">
        <v>7353</v>
      </c>
      <c r="E763" s="2" t="s">
        <v>7354</v>
      </c>
      <c r="G763" s="3" t="s">
        <v>62</v>
      </c>
      <c r="I763" s="3" t="s">
        <v>62</v>
      </c>
      <c r="J763" s="3" t="s">
        <v>62</v>
      </c>
      <c r="K763" s="3" t="s">
        <v>63</v>
      </c>
      <c r="M763" s="2" t="s">
        <v>7355</v>
      </c>
      <c r="N763" s="3" t="s">
        <v>125</v>
      </c>
      <c r="P763" s="3" t="s">
        <v>65</v>
      </c>
      <c r="Q763" s="2" t="s">
        <v>7356</v>
      </c>
      <c r="R763" s="3" t="s">
        <v>66</v>
      </c>
      <c r="S763" s="4">
        <v>18</v>
      </c>
      <c r="T763" s="4">
        <v>18</v>
      </c>
      <c r="U763" s="5" t="s">
        <v>123</v>
      </c>
      <c r="V763" s="5" t="s">
        <v>123</v>
      </c>
      <c r="W763" s="5" t="s">
        <v>67</v>
      </c>
      <c r="X763" s="5" t="s">
        <v>67</v>
      </c>
      <c r="Y763" s="4">
        <v>79</v>
      </c>
      <c r="Z763" s="4">
        <v>3</v>
      </c>
      <c r="AA763" s="4">
        <v>3</v>
      </c>
      <c r="AB763" s="4">
        <v>1</v>
      </c>
      <c r="AC763" s="4">
        <v>1</v>
      </c>
      <c r="AD763" s="4">
        <v>11</v>
      </c>
      <c r="AE763" s="4">
        <v>11</v>
      </c>
      <c r="AF763" s="4">
        <v>0</v>
      </c>
      <c r="AG763" s="4">
        <v>0</v>
      </c>
      <c r="AH763" s="4">
        <v>10</v>
      </c>
      <c r="AI763" s="4">
        <v>10</v>
      </c>
      <c r="AJ763" s="4">
        <v>2</v>
      </c>
      <c r="AK763" s="4">
        <v>2</v>
      </c>
      <c r="AL763" s="4">
        <v>8</v>
      </c>
      <c r="AM763" s="4">
        <v>8</v>
      </c>
      <c r="AN763" s="4">
        <v>0</v>
      </c>
      <c r="AO763" s="4">
        <v>0</v>
      </c>
      <c r="AP763" s="4">
        <v>2</v>
      </c>
      <c r="AQ763" s="4">
        <v>2</v>
      </c>
      <c r="AR763" s="3" t="s">
        <v>62</v>
      </c>
      <c r="AS763" s="3" t="s">
        <v>62</v>
      </c>
      <c r="AT763" s="3" t="s">
        <v>61</v>
      </c>
      <c r="AU763" s="6" t="str">
        <f>HYPERLINK("http://catalog.hathitrust.org/Record/009801083","HathiTrust Record")</f>
        <v>HathiTrust Record</v>
      </c>
      <c r="AV763" s="6" t="str">
        <f>HYPERLINK("http://mcgill.on.worldcat.org/oclc/22242171","Catalog Record")</f>
        <v>Catalog Record</v>
      </c>
      <c r="AW763" s="6" t="str">
        <f>HYPERLINK("http://www.worldcat.org/oclc/22242171","WorldCat Record")</f>
        <v>WorldCat Record</v>
      </c>
      <c r="AX763" s="3" t="s">
        <v>7357</v>
      </c>
      <c r="AY763" s="3" t="s">
        <v>7358</v>
      </c>
      <c r="AZ763" s="3" t="s">
        <v>7359</v>
      </c>
      <c r="BA763" s="3" t="s">
        <v>7359</v>
      </c>
      <c r="BB763" s="3" t="s">
        <v>7360</v>
      </c>
      <c r="BC763" s="3" t="s">
        <v>142</v>
      </c>
      <c r="BD763" s="3" t="s">
        <v>68</v>
      </c>
      <c r="BE763" s="3" t="s">
        <v>7361</v>
      </c>
      <c r="BF763" s="3" t="s">
        <v>7360</v>
      </c>
      <c r="BG763" s="3" t="s">
        <v>7362</v>
      </c>
    </row>
    <row r="764" spans="1:59" ht="57" x14ac:dyDescent="0.45">
      <c r="A764" s="2" t="s">
        <v>59</v>
      </c>
      <c r="B764" s="2" t="s">
        <v>60</v>
      </c>
      <c r="C764" s="2" t="s">
        <v>7363</v>
      </c>
      <c r="D764" s="2" t="s">
        <v>7364</v>
      </c>
      <c r="E764" s="2" t="s">
        <v>7365</v>
      </c>
      <c r="G764" s="3" t="s">
        <v>62</v>
      </c>
      <c r="I764" s="3" t="s">
        <v>62</v>
      </c>
      <c r="J764" s="3" t="s">
        <v>62</v>
      </c>
      <c r="K764" s="3" t="s">
        <v>63</v>
      </c>
      <c r="M764" s="2" t="s">
        <v>4141</v>
      </c>
      <c r="N764" s="3" t="s">
        <v>542</v>
      </c>
      <c r="P764" s="3" t="s">
        <v>65</v>
      </c>
      <c r="Q764" s="2" t="s">
        <v>7366</v>
      </c>
      <c r="R764" s="3" t="s">
        <v>66</v>
      </c>
      <c r="S764" s="4">
        <v>35</v>
      </c>
      <c r="T764" s="4">
        <v>35</v>
      </c>
      <c r="U764" s="5" t="s">
        <v>7367</v>
      </c>
      <c r="V764" s="5" t="s">
        <v>7367</v>
      </c>
      <c r="W764" s="5" t="s">
        <v>67</v>
      </c>
      <c r="X764" s="5" t="s">
        <v>67</v>
      </c>
      <c r="Y764" s="4">
        <v>266</v>
      </c>
      <c r="Z764" s="4">
        <v>16</v>
      </c>
      <c r="AA764" s="4">
        <v>25</v>
      </c>
      <c r="AB764" s="4">
        <v>2</v>
      </c>
      <c r="AC764" s="4">
        <v>10</v>
      </c>
      <c r="AD764" s="4">
        <v>69</v>
      </c>
      <c r="AE764" s="4">
        <v>75</v>
      </c>
      <c r="AF764" s="4">
        <v>1</v>
      </c>
      <c r="AG764" s="4">
        <v>5</v>
      </c>
      <c r="AH764" s="4">
        <v>62</v>
      </c>
      <c r="AI764" s="4">
        <v>64</v>
      </c>
      <c r="AJ764" s="4">
        <v>10</v>
      </c>
      <c r="AK764" s="4">
        <v>15</v>
      </c>
      <c r="AL764" s="4">
        <v>37</v>
      </c>
      <c r="AM764" s="4">
        <v>37</v>
      </c>
      <c r="AN764" s="4">
        <v>0</v>
      </c>
      <c r="AO764" s="4">
        <v>0</v>
      </c>
      <c r="AP764" s="4">
        <v>13</v>
      </c>
      <c r="AQ764" s="4">
        <v>17</v>
      </c>
      <c r="AR764" s="3" t="s">
        <v>62</v>
      </c>
      <c r="AS764" s="3" t="s">
        <v>62</v>
      </c>
      <c r="AT764" s="3" t="s">
        <v>62</v>
      </c>
      <c r="AV764" s="6" t="str">
        <f>HYPERLINK("http://mcgill.on.worldcat.org/oclc/44650837","Catalog Record")</f>
        <v>Catalog Record</v>
      </c>
      <c r="AW764" s="6" t="str">
        <f>HYPERLINK("http://www.worldcat.org/oclc/44650837","WorldCat Record")</f>
        <v>WorldCat Record</v>
      </c>
      <c r="AX764" s="3" t="s">
        <v>7368</v>
      </c>
      <c r="AY764" s="3" t="s">
        <v>7369</v>
      </c>
      <c r="AZ764" s="3" t="s">
        <v>7370</v>
      </c>
      <c r="BA764" s="3" t="s">
        <v>7370</v>
      </c>
      <c r="BB764" s="3" t="s">
        <v>7371</v>
      </c>
      <c r="BC764" s="3" t="s">
        <v>142</v>
      </c>
      <c r="BD764" s="3" t="s">
        <v>68</v>
      </c>
      <c r="BE764" s="3" t="s">
        <v>7372</v>
      </c>
      <c r="BF764" s="3" t="s">
        <v>7371</v>
      </c>
      <c r="BG764" s="3" t="s">
        <v>7373</v>
      </c>
    </row>
    <row r="765" spans="1:59" ht="57" x14ac:dyDescent="0.45">
      <c r="A765" s="2" t="s">
        <v>59</v>
      </c>
      <c r="B765" s="2" t="s">
        <v>412</v>
      </c>
      <c r="C765" s="2" t="s">
        <v>7374</v>
      </c>
      <c r="D765" s="2" t="s">
        <v>7375</v>
      </c>
      <c r="E765" s="2" t="s">
        <v>7376</v>
      </c>
      <c r="G765" s="3" t="s">
        <v>62</v>
      </c>
      <c r="I765" s="3" t="s">
        <v>61</v>
      </c>
      <c r="J765" s="3" t="s">
        <v>61</v>
      </c>
      <c r="K765" s="3" t="s">
        <v>63</v>
      </c>
      <c r="L765" s="2" t="s">
        <v>7377</v>
      </c>
      <c r="M765" s="2" t="s">
        <v>7378</v>
      </c>
      <c r="N765" s="3" t="s">
        <v>542</v>
      </c>
      <c r="O765" s="2" t="s">
        <v>933</v>
      </c>
      <c r="P765" s="3" t="s">
        <v>65</v>
      </c>
      <c r="Q765" s="2" t="s">
        <v>7244</v>
      </c>
      <c r="R765" s="3" t="s">
        <v>66</v>
      </c>
      <c r="S765" s="4">
        <v>13</v>
      </c>
      <c r="T765" s="4">
        <v>26</v>
      </c>
      <c r="U765" s="5" t="s">
        <v>2121</v>
      </c>
      <c r="V765" s="5" t="s">
        <v>7379</v>
      </c>
      <c r="W765" s="5" t="s">
        <v>67</v>
      </c>
      <c r="X765" s="5" t="s">
        <v>67</v>
      </c>
      <c r="Y765" s="4">
        <v>618</v>
      </c>
      <c r="Z765" s="4">
        <v>36</v>
      </c>
      <c r="AA765" s="4">
        <v>76</v>
      </c>
      <c r="AB765" s="4">
        <v>3</v>
      </c>
      <c r="AC765" s="4">
        <v>11</v>
      </c>
      <c r="AD765" s="4">
        <v>104</v>
      </c>
      <c r="AE765" s="4">
        <v>145</v>
      </c>
      <c r="AF765" s="4">
        <v>1</v>
      </c>
      <c r="AG765" s="4">
        <v>5</v>
      </c>
      <c r="AH765" s="4">
        <v>88</v>
      </c>
      <c r="AI765" s="4">
        <v>112</v>
      </c>
      <c r="AJ765" s="4">
        <v>13</v>
      </c>
      <c r="AK765" s="4">
        <v>23</v>
      </c>
      <c r="AL765" s="4">
        <v>49</v>
      </c>
      <c r="AM765" s="4">
        <v>57</v>
      </c>
      <c r="AN765" s="4">
        <v>0</v>
      </c>
      <c r="AO765" s="4">
        <v>0</v>
      </c>
      <c r="AP765" s="4">
        <v>23</v>
      </c>
      <c r="AQ765" s="4">
        <v>42</v>
      </c>
      <c r="AR765" s="3" t="s">
        <v>62</v>
      </c>
      <c r="AS765" s="3" t="s">
        <v>62</v>
      </c>
      <c r="AT765" s="3" t="s">
        <v>62</v>
      </c>
      <c r="AV765" s="6" t="str">
        <f>HYPERLINK("http://mcgill.on.worldcat.org/oclc/45093754","Catalog Record")</f>
        <v>Catalog Record</v>
      </c>
      <c r="AW765" s="6" t="str">
        <f>HYPERLINK("http://www.worldcat.org/oclc/45093754","WorldCat Record")</f>
        <v>WorldCat Record</v>
      </c>
      <c r="AX765" s="3" t="s">
        <v>7380</v>
      </c>
      <c r="AY765" s="3" t="s">
        <v>7381</v>
      </c>
      <c r="AZ765" s="3" t="s">
        <v>7382</v>
      </c>
      <c r="BA765" s="3" t="s">
        <v>7382</v>
      </c>
      <c r="BB765" s="3" t="s">
        <v>7383</v>
      </c>
      <c r="BC765" s="3" t="s">
        <v>142</v>
      </c>
      <c r="BD765" s="3" t="s">
        <v>308</v>
      </c>
      <c r="BE765" s="3" t="s">
        <v>7384</v>
      </c>
      <c r="BF765" s="3" t="s">
        <v>7383</v>
      </c>
      <c r="BG765" s="3" t="s">
        <v>7385</v>
      </c>
    </row>
    <row r="766" spans="1:59" ht="57" x14ac:dyDescent="0.45">
      <c r="A766" s="2" t="s">
        <v>59</v>
      </c>
      <c r="B766" s="2" t="s">
        <v>60</v>
      </c>
      <c r="C766" s="2" t="s">
        <v>7374</v>
      </c>
      <c r="D766" s="2" t="s">
        <v>7375</v>
      </c>
      <c r="E766" s="2" t="s">
        <v>7376</v>
      </c>
      <c r="G766" s="3" t="s">
        <v>62</v>
      </c>
      <c r="I766" s="3" t="s">
        <v>61</v>
      </c>
      <c r="J766" s="3" t="s">
        <v>61</v>
      </c>
      <c r="K766" s="3" t="s">
        <v>63</v>
      </c>
      <c r="L766" s="2" t="s">
        <v>7377</v>
      </c>
      <c r="M766" s="2" t="s">
        <v>7378</v>
      </c>
      <c r="N766" s="3" t="s">
        <v>542</v>
      </c>
      <c r="O766" s="2" t="s">
        <v>933</v>
      </c>
      <c r="P766" s="3" t="s">
        <v>65</v>
      </c>
      <c r="Q766" s="2" t="s">
        <v>7244</v>
      </c>
      <c r="R766" s="3" t="s">
        <v>66</v>
      </c>
      <c r="S766" s="4">
        <v>13</v>
      </c>
      <c r="T766" s="4">
        <v>26</v>
      </c>
      <c r="U766" s="5" t="s">
        <v>7379</v>
      </c>
      <c r="V766" s="5" t="s">
        <v>7379</v>
      </c>
      <c r="W766" s="5" t="s">
        <v>67</v>
      </c>
      <c r="X766" s="5" t="s">
        <v>67</v>
      </c>
      <c r="Y766" s="4">
        <v>618</v>
      </c>
      <c r="Z766" s="4">
        <v>36</v>
      </c>
      <c r="AA766" s="4">
        <v>76</v>
      </c>
      <c r="AB766" s="4">
        <v>3</v>
      </c>
      <c r="AC766" s="4">
        <v>11</v>
      </c>
      <c r="AD766" s="4">
        <v>104</v>
      </c>
      <c r="AE766" s="4">
        <v>145</v>
      </c>
      <c r="AF766" s="4">
        <v>1</v>
      </c>
      <c r="AG766" s="4">
        <v>5</v>
      </c>
      <c r="AH766" s="4">
        <v>88</v>
      </c>
      <c r="AI766" s="4">
        <v>112</v>
      </c>
      <c r="AJ766" s="4">
        <v>13</v>
      </c>
      <c r="AK766" s="4">
        <v>23</v>
      </c>
      <c r="AL766" s="4">
        <v>49</v>
      </c>
      <c r="AM766" s="4">
        <v>57</v>
      </c>
      <c r="AN766" s="4">
        <v>0</v>
      </c>
      <c r="AO766" s="4">
        <v>0</v>
      </c>
      <c r="AP766" s="4">
        <v>23</v>
      </c>
      <c r="AQ766" s="4">
        <v>42</v>
      </c>
      <c r="AR766" s="3" t="s">
        <v>62</v>
      </c>
      <c r="AS766" s="3" t="s">
        <v>62</v>
      </c>
      <c r="AT766" s="3" t="s">
        <v>62</v>
      </c>
      <c r="AV766" s="6" t="str">
        <f>HYPERLINK("http://mcgill.on.worldcat.org/oclc/45093754","Catalog Record")</f>
        <v>Catalog Record</v>
      </c>
      <c r="AW766" s="6" t="str">
        <f>HYPERLINK("http://www.worldcat.org/oclc/45093754","WorldCat Record")</f>
        <v>WorldCat Record</v>
      </c>
      <c r="AX766" s="3" t="s">
        <v>7380</v>
      </c>
      <c r="AY766" s="3" t="s">
        <v>7381</v>
      </c>
      <c r="AZ766" s="3" t="s">
        <v>7382</v>
      </c>
      <c r="BA766" s="3" t="s">
        <v>7382</v>
      </c>
      <c r="BB766" s="3" t="s">
        <v>7386</v>
      </c>
      <c r="BC766" s="3" t="s">
        <v>142</v>
      </c>
      <c r="BD766" s="3" t="s">
        <v>68</v>
      </c>
      <c r="BE766" s="3" t="s">
        <v>7384</v>
      </c>
      <c r="BF766" s="3" t="s">
        <v>7386</v>
      </c>
      <c r="BG766" s="3" t="s">
        <v>7387</v>
      </c>
    </row>
    <row r="767" spans="1:59" ht="57" x14ac:dyDescent="0.45">
      <c r="A767" s="2" t="s">
        <v>59</v>
      </c>
      <c r="B767" s="2" t="s">
        <v>60</v>
      </c>
      <c r="C767" s="2" t="s">
        <v>7388</v>
      </c>
      <c r="D767" s="2" t="s">
        <v>7389</v>
      </c>
      <c r="E767" s="2" t="s">
        <v>7390</v>
      </c>
      <c r="G767" s="3" t="s">
        <v>62</v>
      </c>
      <c r="I767" s="3" t="s">
        <v>61</v>
      </c>
      <c r="J767" s="3" t="s">
        <v>62</v>
      </c>
      <c r="K767" s="3" t="s">
        <v>63</v>
      </c>
      <c r="L767" s="2" t="s">
        <v>7377</v>
      </c>
      <c r="M767" s="2" t="s">
        <v>7391</v>
      </c>
      <c r="N767" s="3" t="s">
        <v>1604</v>
      </c>
      <c r="P767" s="3" t="s">
        <v>65</v>
      </c>
      <c r="Q767" s="2" t="s">
        <v>7392</v>
      </c>
      <c r="R767" s="3" t="s">
        <v>66</v>
      </c>
      <c r="S767" s="4">
        <v>45</v>
      </c>
      <c r="T767" s="4">
        <v>49</v>
      </c>
      <c r="U767" s="5" t="s">
        <v>7393</v>
      </c>
      <c r="V767" s="5" t="s">
        <v>7393</v>
      </c>
      <c r="W767" s="5" t="s">
        <v>67</v>
      </c>
      <c r="X767" s="5" t="s">
        <v>67</v>
      </c>
      <c r="Y767" s="4">
        <v>491</v>
      </c>
      <c r="Z767" s="4">
        <v>36</v>
      </c>
      <c r="AA767" s="4">
        <v>45</v>
      </c>
      <c r="AB767" s="4">
        <v>3</v>
      </c>
      <c r="AC767" s="4">
        <v>6</v>
      </c>
      <c r="AD767" s="4">
        <v>102</v>
      </c>
      <c r="AE767" s="4">
        <v>111</v>
      </c>
      <c r="AF767" s="4">
        <v>2</v>
      </c>
      <c r="AG767" s="4">
        <v>5</v>
      </c>
      <c r="AH767" s="4">
        <v>84</v>
      </c>
      <c r="AI767" s="4">
        <v>88</v>
      </c>
      <c r="AJ767" s="4">
        <v>18</v>
      </c>
      <c r="AK767" s="4">
        <v>21</v>
      </c>
      <c r="AL767" s="4">
        <v>42</v>
      </c>
      <c r="AM767" s="4">
        <v>44</v>
      </c>
      <c r="AN767" s="4">
        <v>0</v>
      </c>
      <c r="AO767" s="4">
        <v>0</v>
      </c>
      <c r="AP767" s="4">
        <v>27</v>
      </c>
      <c r="AQ767" s="4">
        <v>31</v>
      </c>
      <c r="AR767" s="3" t="s">
        <v>62</v>
      </c>
      <c r="AS767" s="3" t="s">
        <v>62</v>
      </c>
      <c r="AT767" s="3" t="s">
        <v>61</v>
      </c>
      <c r="AU767" s="6" t="str">
        <f>HYPERLINK("http://catalog.hathitrust.org/Record/002860251","HathiTrust Record")</f>
        <v>HathiTrust Record</v>
      </c>
      <c r="AV767" s="6" t="str">
        <f>HYPERLINK("http://mcgill.on.worldcat.org/oclc/28063600","Catalog Record")</f>
        <v>Catalog Record</v>
      </c>
      <c r="AW767" s="6" t="str">
        <f>HYPERLINK("http://www.worldcat.org/oclc/28063600","WorldCat Record")</f>
        <v>WorldCat Record</v>
      </c>
      <c r="AX767" s="3" t="s">
        <v>7394</v>
      </c>
      <c r="AY767" s="3" t="s">
        <v>7395</v>
      </c>
      <c r="AZ767" s="3" t="s">
        <v>7396</v>
      </c>
      <c r="BA767" s="3" t="s">
        <v>7396</v>
      </c>
      <c r="BB767" s="3" t="s">
        <v>7397</v>
      </c>
      <c r="BC767" s="3" t="s">
        <v>142</v>
      </c>
      <c r="BD767" s="3" t="s">
        <v>68</v>
      </c>
      <c r="BE767" s="3" t="s">
        <v>7398</v>
      </c>
      <c r="BF767" s="3" t="s">
        <v>7397</v>
      </c>
      <c r="BG767" s="3" t="s">
        <v>7399</v>
      </c>
    </row>
    <row r="768" spans="1:59" ht="57" x14ac:dyDescent="0.45">
      <c r="A768" s="2" t="s">
        <v>59</v>
      </c>
      <c r="B768" s="2" t="s">
        <v>60</v>
      </c>
      <c r="C768" s="2" t="s">
        <v>7388</v>
      </c>
      <c r="D768" s="2" t="s">
        <v>7389</v>
      </c>
      <c r="E768" s="2" t="s">
        <v>7390</v>
      </c>
      <c r="G768" s="3" t="s">
        <v>62</v>
      </c>
      <c r="I768" s="3" t="s">
        <v>61</v>
      </c>
      <c r="J768" s="3" t="s">
        <v>62</v>
      </c>
      <c r="K768" s="3" t="s">
        <v>63</v>
      </c>
      <c r="L768" s="2" t="s">
        <v>7377</v>
      </c>
      <c r="M768" s="2" t="s">
        <v>7391</v>
      </c>
      <c r="N768" s="3" t="s">
        <v>1604</v>
      </c>
      <c r="P768" s="3" t="s">
        <v>65</v>
      </c>
      <c r="Q768" s="2" t="s">
        <v>7392</v>
      </c>
      <c r="R768" s="3" t="s">
        <v>66</v>
      </c>
      <c r="S768" s="4">
        <v>4</v>
      </c>
      <c r="T768" s="4">
        <v>49</v>
      </c>
      <c r="U768" s="5" t="s">
        <v>7400</v>
      </c>
      <c r="V768" s="5" t="s">
        <v>7393</v>
      </c>
      <c r="W768" s="5" t="s">
        <v>67</v>
      </c>
      <c r="X768" s="5" t="s">
        <v>67</v>
      </c>
      <c r="Y768" s="4">
        <v>491</v>
      </c>
      <c r="Z768" s="4">
        <v>36</v>
      </c>
      <c r="AA768" s="4">
        <v>45</v>
      </c>
      <c r="AB768" s="4">
        <v>3</v>
      </c>
      <c r="AC768" s="4">
        <v>6</v>
      </c>
      <c r="AD768" s="4">
        <v>102</v>
      </c>
      <c r="AE768" s="4">
        <v>111</v>
      </c>
      <c r="AF768" s="4">
        <v>2</v>
      </c>
      <c r="AG768" s="4">
        <v>5</v>
      </c>
      <c r="AH768" s="4">
        <v>84</v>
      </c>
      <c r="AI768" s="4">
        <v>88</v>
      </c>
      <c r="AJ768" s="4">
        <v>18</v>
      </c>
      <c r="AK768" s="4">
        <v>21</v>
      </c>
      <c r="AL768" s="4">
        <v>42</v>
      </c>
      <c r="AM768" s="4">
        <v>44</v>
      </c>
      <c r="AN768" s="4">
        <v>0</v>
      </c>
      <c r="AO768" s="4">
        <v>0</v>
      </c>
      <c r="AP768" s="4">
        <v>27</v>
      </c>
      <c r="AQ768" s="4">
        <v>31</v>
      </c>
      <c r="AR768" s="3" t="s">
        <v>62</v>
      </c>
      <c r="AS768" s="3" t="s">
        <v>62</v>
      </c>
      <c r="AT768" s="3" t="s">
        <v>61</v>
      </c>
      <c r="AU768" s="6" t="str">
        <f>HYPERLINK("http://catalog.hathitrust.org/Record/002860251","HathiTrust Record")</f>
        <v>HathiTrust Record</v>
      </c>
      <c r="AV768" s="6" t="str">
        <f>HYPERLINK("http://mcgill.on.worldcat.org/oclc/28063600","Catalog Record")</f>
        <v>Catalog Record</v>
      </c>
      <c r="AW768" s="6" t="str">
        <f>HYPERLINK("http://www.worldcat.org/oclc/28063600","WorldCat Record")</f>
        <v>WorldCat Record</v>
      </c>
      <c r="AX768" s="3" t="s">
        <v>7394</v>
      </c>
      <c r="AY768" s="3" t="s">
        <v>7395</v>
      </c>
      <c r="AZ768" s="3" t="s">
        <v>7396</v>
      </c>
      <c r="BA768" s="3" t="s">
        <v>7396</v>
      </c>
      <c r="BB768" s="3" t="s">
        <v>7401</v>
      </c>
      <c r="BC768" s="3" t="s">
        <v>142</v>
      </c>
      <c r="BD768" s="3" t="s">
        <v>308</v>
      </c>
      <c r="BE768" s="3" t="s">
        <v>7398</v>
      </c>
      <c r="BF768" s="3" t="s">
        <v>7401</v>
      </c>
      <c r="BG768" s="3" t="s">
        <v>7402</v>
      </c>
    </row>
    <row r="769" spans="1:59" ht="57" x14ac:dyDescent="0.45">
      <c r="A769" s="2" t="s">
        <v>59</v>
      </c>
      <c r="B769" s="2" t="s">
        <v>60</v>
      </c>
      <c r="C769" s="2" t="s">
        <v>7403</v>
      </c>
      <c r="D769" s="2" t="s">
        <v>7404</v>
      </c>
      <c r="E769" s="2" t="s">
        <v>7405</v>
      </c>
      <c r="G769" s="3" t="s">
        <v>62</v>
      </c>
      <c r="I769" s="3" t="s">
        <v>61</v>
      </c>
      <c r="J769" s="3" t="s">
        <v>62</v>
      </c>
      <c r="K769" s="3" t="s">
        <v>63</v>
      </c>
      <c r="L769" s="2" t="s">
        <v>7406</v>
      </c>
      <c r="M769" s="2" t="s">
        <v>7407</v>
      </c>
      <c r="N769" s="3" t="s">
        <v>106</v>
      </c>
      <c r="P769" s="3" t="s">
        <v>65</v>
      </c>
      <c r="Q769" s="2" t="s">
        <v>7244</v>
      </c>
      <c r="R769" s="3" t="s">
        <v>66</v>
      </c>
      <c r="S769" s="4">
        <v>0</v>
      </c>
      <c r="T769" s="4">
        <v>14</v>
      </c>
      <c r="V769" s="5" t="s">
        <v>7408</v>
      </c>
      <c r="W769" s="5" t="s">
        <v>67</v>
      </c>
      <c r="X769" s="5" t="s">
        <v>67</v>
      </c>
      <c r="Y769" s="4">
        <v>1012</v>
      </c>
      <c r="Z769" s="4">
        <v>51</v>
      </c>
      <c r="AA769" s="4">
        <v>59</v>
      </c>
      <c r="AB769" s="4">
        <v>3</v>
      </c>
      <c r="AC769" s="4">
        <v>9</v>
      </c>
      <c r="AD769" s="4">
        <v>132</v>
      </c>
      <c r="AE769" s="4">
        <v>137</v>
      </c>
      <c r="AF769" s="4">
        <v>2</v>
      </c>
      <c r="AG769" s="4">
        <v>6</v>
      </c>
      <c r="AH769" s="4">
        <v>104</v>
      </c>
      <c r="AI769" s="4">
        <v>105</v>
      </c>
      <c r="AJ769" s="4">
        <v>21</v>
      </c>
      <c r="AK769" s="4">
        <v>24</v>
      </c>
      <c r="AL769" s="4">
        <v>54</v>
      </c>
      <c r="AM769" s="4">
        <v>54</v>
      </c>
      <c r="AN769" s="4">
        <v>0</v>
      </c>
      <c r="AO769" s="4">
        <v>0</v>
      </c>
      <c r="AP769" s="4">
        <v>36</v>
      </c>
      <c r="AQ769" s="4">
        <v>40</v>
      </c>
      <c r="AR769" s="3" t="s">
        <v>62</v>
      </c>
      <c r="AS769" s="3" t="s">
        <v>62</v>
      </c>
      <c r="AT769" s="3" t="s">
        <v>61</v>
      </c>
      <c r="AU769" s="6" t="str">
        <f>HYPERLINK("http://catalog.hathitrust.org/Record/000274567","HathiTrust Record")</f>
        <v>HathiTrust Record</v>
      </c>
      <c r="AV769" s="6" t="str">
        <f>HYPERLINK("http://mcgill.on.worldcat.org/oclc/9131762","Catalog Record")</f>
        <v>Catalog Record</v>
      </c>
      <c r="AW769" s="6" t="str">
        <f>HYPERLINK("http://www.worldcat.org/oclc/9131762","WorldCat Record")</f>
        <v>WorldCat Record</v>
      </c>
      <c r="AX769" s="3" t="s">
        <v>7409</v>
      </c>
      <c r="AY769" s="3" t="s">
        <v>7410</v>
      </c>
      <c r="AZ769" s="3" t="s">
        <v>7411</v>
      </c>
      <c r="BA769" s="3" t="s">
        <v>7411</v>
      </c>
      <c r="BB769" s="3" t="s">
        <v>7412</v>
      </c>
      <c r="BC769" s="3" t="s">
        <v>142</v>
      </c>
      <c r="BD769" s="3" t="s">
        <v>68</v>
      </c>
      <c r="BE769" s="3" t="s">
        <v>7413</v>
      </c>
      <c r="BF769" s="3" t="s">
        <v>7412</v>
      </c>
      <c r="BG769" s="3" t="s">
        <v>7414</v>
      </c>
    </row>
    <row r="770" spans="1:59" ht="57" x14ac:dyDescent="0.45">
      <c r="A770" s="2" t="s">
        <v>59</v>
      </c>
      <c r="B770" s="2" t="s">
        <v>60</v>
      </c>
      <c r="C770" s="2" t="s">
        <v>7403</v>
      </c>
      <c r="D770" s="2" t="s">
        <v>7404</v>
      </c>
      <c r="E770" s="2" t="s">
        <v>7405</v>
      </c>
      <c r="G770" s="3" t="s">
        <v>62</v>
      </c>
      <c r="I770" s="3" t="s">
        <v>61</v>
      </c>
      <c r="J770" s="3" t="s">
        <v>62</v>
      </c>
      <c r="K770" s="3" t="s">
        <v>63</v>
      </c>
      <c r="L770" s="2" t="s">
        <v>7406</v>
      </c>
      <c r="M770" s="2" t="s">
        <v>7407</v>
      </c>
      <c r="N770" s="3" t="s">
        <v>106</v>
      </c>
      <c r="P770" s="3" t="s">
        <v>65</v>
      </c>
      <c r="Q770" s="2" t="s">
        <v>7244</v>
      </c>
      <c r="R770" s="3" t="s">
        <v>66</v>
      </c>
      <c r="S770" s="4">
        <v>14</v>
      </c>
      <c r="T770" s="4">
        <v>14</v>
      </c>
      <c r="U770" s="5" t="s">
        <v>7408</v>
      </c>
      <c r="V770" s="5" t="s">
        <v>7408</v>
      </c>
      <c r="W770" s="5" t="s">
        <v>67</v>
      </c>
      <c r="X770" s="5" t="s">
        <v>67</v>
      </c>
      <c r="Y770" s="4">
        <v>1012</v>
      </c>
      <c r="Z770" s="4">
        <v>51</v>
      </c>
      <c r="AA770" s="4">
        <v>59</v>
      </c>
      <c r="AB770" s="4">
        <v>3</v>
      </c>
      <c r="AC770" s="4">
        <v>9</v>
      </c>
      <c r="AD770" s="4">
        <v>132</v>
      </c>
      <c r="AE770" s="4">
        <v>137</v>
      </c>
      <c r="AF770" s="4">
        <v>2</v>
      </c>
      <c r="AG770" s="4">
        <v>6</v>
      </c>
      <c r="AH770" s="4">
        <v>104</v>
      </c>
      <c r="AI770" s="4">
        <v>105</v>
      </c>
      <c r="AJ770" s="4">
        <v>21</v>
      </c>
      <c r="AK770" s="4">
        <v>24</v>
      </c>
      <c r="AL770" s="4">
        <v>54</v>
      </c>
      <c r="AM770" s="4">
        <v>54</v>
      </c>
      <c r="AN770" s="4">
        <v>0</v>
      </c>
      <c r="AO770" s="4">
        <v>0</v>
      </c>
      <c r="AP770" s="4">
        <v>36</v>
      </c>
      <c r="AQ770" s="4">
        <v>40</v>
      </c>
      <c r="AR770" s="3" t="s">
        <v>62</v>
      </c>
      <c r="AS770" s="3" t="s">
        <v>62</v>
      </c>
      <c r="AT770" s="3" t="s">
        <v>61</v>
      </c>
      <c r="AU770" s="6" t="str">
        <f>HYPERLINK("http://catalog.hathitrust.org/Record/000274567","HathiTrust Record")</f>
        <v>HathiTrust Record</v>
      </c>
      <c r="AV770" s="6" t="str">
        <f>HYPERLINK("http://mcgill.on.worldcat.org/oclc/9131762","Catalog Record")</f>
        <v>Catalog Record</v>
      </c>
      <c r="AW770" s="6" t="str">
        <f>HYPERLINK("http://www.worldcat.org/oclc/9131762","WorldCat Record")</f>
        <v>WorldCat Record</v>
      </c>
      <c r="AX770" s="3" t="s">
        <v>7409</v>
      </c>
      <c r="AY770" s="3" t="s">
        <v>7410</v>
      </c>
      <c r="AZ770" s="3" t="s">
        <v>7411</v>
      </c>
      <c r="BA770" s="3" t="s">
        <v>7411</v>
      </c>
      <c r="BB770" s="3" t="s">
        <v>7415</v>
      </c>
      <c r="BC770" s="3" t="s">
        <v>142</v>
      </c>
      <c r="BD770" s="3" t="s">
        <v>308</v>
      </c>
      <c r="BE770" s="3" t="s">
        <v>7413</v>
      </c>
      <c r="BF770" s="3" t="s">
        <v>7415</v>
      </c>
      <c r="BG770" s="3" t="s">
        <v>7416</v>
      </c>
    </row>
    <row r="771" spans="1:59" ht="57" x14ac:dyDescent="0.45">
      <c r="A771" s="2" t="s">
        <v>59</v>
      </c>
      <c r="B771" s="2" t="s">
        <v>60</v>
      </c>
      <c r="C771" s="2" t="s">
        <v>7417</v>
      </c>
      <c r="D771" s="2" t="s">
        <v>7418</v>
      </c>
      <c r="E771" s="2" t="s">
        <v>7419</v>
      </c>
      <c r="G771" s="3" t="s">
        <v>62</v>
      </c>
      <c r="I771" s="3" t="s">
        <v>62</v>
      </c>
      <c r="J771" s="3" t="s">
        <v>61</v>
      </c>
      <c r="K771" s="3" t="s">
        <v>63</v>
      </c>
      <c r="M771" s="2" t="s">
        <v>7420</v>
      </c>
      <c r="N771" s="3" t="s">
        <v>116</v>
      </c>
      <c r="O771" s="2" t="s">
        <v>933</v>
      </c>
      <c r="P771" s="3" t="s">
        <v>65</v>
      </c>
      <c r="R771" s="3" t="s">
        <v>66</v>
      </c>
      <c r="S771" s="4">
        <v>5</v>
      </c>
      <c r="T771" s="4">
        <v>5</v>
      </c>
      <c r="U771" s="5" t="s">
        <v>7233</v>
      </c>
      <c r="V771" s="5" t="s">
        <v>7233</v>
      </c>
      <c r="W771" s="5" t="s">
        <v>67</v>
      </c>
      <c r="X771" s="5" t="s">
        <v>67</v>
      </c>
      <c r="Y771" s="4">
        <v>102</v>
      </c>
      <c r="Z771" s="4">
        <v>4</v>
      </c>
      <c r="AA771" s="4">
        <v>86</v>
      </c>
      <c r="AB771" s="4">
        <v>1</v>
      </c>
      <c r="AC771" s="4">
        <v>20</v>
      </c>
      <c r="AD771" s="4">
        <v>22</v>
      </c>
      <c r="AE771" s="4">
        <v>146</v>
      </c>
      <c r="AF771" s="4">
        <v>0</v>
      </c>
      <c r="AG771" s="4">
        <v>9</v>
      </c>
      <c r="AH771" s="4">
        <v>22</v>
      </c>
      <c r="AI771" s="4">
        <v>103</v>
      </c>
      <c r="AJ771" s="4">
        <v>3</v>
      </c>
      <c r="AK771" s="4">
        <v>26</v>
      </c>
      <c r="AL771" s="4">
        <v>13</v>
      </c>
      <c r="AM771" s="4">
        <v>52</v>
      </c>
      <c r="AN771" s="4">
        <v>0</v>
      </c>
      <c r="AO771" s="4">
        <v>0</v>
      </c>
      <c r="AP771" s="4">
        <v>3</v>
      </c>
      <c r="AQ771" s="4">
        <v>51</v>
      </c>
      <c r="AR771" s="3" t="s">
        <v>62</v>
      </c>
      <c r="AS771" s="3" t="s">
        <v>62</v>
      </c>
      <c r="AT771" s="3" t="s">
        <v>62</v>
      </c>
      <c r="AV771" s="6" t="str">
        <f>HYPERLINK("http://mcgill.on.worldcat.org/oclc/754734478","Catalog Record")</f>
        <v>Catalog Record</v>
      </c>
      <c r="AW771" s="6" t="str">
        <f>HYPERLINK("http://www.worldcat.org/oclc/754734478","WorldCat Record")</f>
        <v>WorldCat Record</v>
      </c>
      <c r="AX771" s="3" t="s">
        <v>7421</v>
      </c>
      <c r="AY771" s="3" t="s">
        <v>7422</v>
      </c>
      <c r="AZ771" s="3" t="s">
        <v>7423</v>
      </c>
      <c r="BA771" s="3" t="s">
        <v>7423</v>
      </c>
      <c r="BB771" s="3" t="s">
        <v>7424</v>
      </c>
      <c r="BC771" s="3" t="s">
        <v>142</v>
      </c>
      <c r="BD771" s="3" t="s">
        <v>68</v>
      </c>
      <c r="BE771" s="3" t="s">
        <v>7425</v>
      </c>
      <c r="BF771" s="3" t="s">
        <v>7424</v>
      </c>
      <c r="BG771" s="3" t="s">
        <v>7426</v>
      </c>
    </row>
    <row r="772" spans="1:59" ht="57" x14ac:dyDescent="0.45">
      <c r="A772" s="2" t="s">
        <v>59</v>
      </c>
      <c r="B772" s="2" t="s">
        <v>60</v>
      </c>
      <c r="C772" s="2" t="s">
        <v>7427</v>
      </c>
      <c r="D772" s="2" t="s">
        <v>7428</v>
      </c>
      <c r="E772" s="2" t="s">
        <v>7429</v>
      </c>
      <c r="G772" s="3" t="s">
        <v>62</v>
      </c>
      <c r="I772" s="3" t="s">
        <v>62</v>
      </c>
      <c r="J772" s="3" t="s">
        <v>62</v>
      </c>
      <c r="K772" s="3" t="s">
        <v>63</v>
      </c>
      <c r="M772" s="2" t="s">
        <v>7430</v>
      </c>
      <c r="N772" s="3" t="s">
        <v>3160</v>
      </c>
      <c r="P772" s="3" t="s">
        <v>65</v>
      </c>
      <c r="R772" s="3" t="s">
        <v>66</v>
      </c>
      <c r="S772" s="4">
        <v>16</v>
      </c>
      <c r="T772" s="4">
        <v>16</v>
      </c>
      <c r="U772" s="5" t="s">
        <v>7431</v>
      </c>
      <c r="V772" s="5" t="s">
        <v>7431</v>
      </c>
      <c r="W772" s="5" t="s">
        <v>67</v>
      </c>
      <c r="X772" s="5" t="s">
        <v>67</v>
      </c>
      <c r="Y772" s="4">
        <v>470</v>
      </c>
      <c r="Z772" s="4">
        <v>33</v>
      </c>
      <c r="AA772" s="4">
        <v>42</v>
      </c>
      <c r="AB772" s="4">
        <v>2</v>
      </c>
      <c r="AC772" s="4">
        <v>9</v>
      </c>
      <c r="AD772" s="4">
        <v>109</v>
      </c>
      <c r="AE772" s="4">
        <v>113</v>
      </c>
      <c r="AF772" s="4">
        <v>0</v>
      </c>
      <c r="AG772" s="4">
        <v>3</v>
      </c>
      <c r="AH772" s="4">
        <v>90</v>
      </c>
      <c r="AI772" s="4">
        <v>91</v>
      </c>
      <c r="AJ772" s="4">
        <v>19</v>
      </c>
      <c r="AK772" s="4">
        <v>22</v>
      </c>
      <c r="AL772" s="4">
        <v>46</v>
      </c>
      <c r="AM772" s="4">
        <v>46</v>
      </c>
      <c r="AN772" s="4">
        <v>0</v>
      </c>
      <c r="AO772" s="4">
        <v>0</v>
      </c>
      <c r="AP772" s="4">
        <v>27</v>
      </c>
      <c r="AQ772" s="4">
        <v>30</v>
      </c>
      <c r="AR772" s="3" t="s">
        <v>62</v>
      </c>
      <c r="AS772" s="3" t="s">
        <v>62</v>
      </c>
      <c r="AT772" s="3" t="s">
        <v>61</v>
      </c>
      <c r="AU772" s="6" t="str">
        <f>HYPERLINK("http://catalog.hathitrust.org/Record/007117094","HathiTrust Record")</f>
        <v>HathiTrust Record</v>
      </c>
      <c r="AV772" s="6" t="str">
        <f>HYPERLINK("http://mcgill.on.worldcat.org/oclc/6982085","Catalog Record")</f>
        <v>Catalog Record</v>
      </c>
      <c r="AW772" s="6" t="str">
        <f>HYPERLINK("http://www.worldcat.org/oclc/6982085","WorldCat Record")</f>
        <v>WorldCat Record</v>
      </c>
      <c r="AX772" s="3" t="s">
        <v>7432</v>
      </c>
      <c r="AY772" s="3" t="s">
        <v>7433</v>
      </c>
      <c r="AZ772" s="3" t="s">
        <v>7434</v>
      </c>
      <c r="BA772" s="3" t="s">
        <v>7434</v>
      </c>
      <c r="BB772" s="3" t="s">
        <v>7435</v>
      </c>
      <c r="BC772" s="3" t="s">
        <v>142</v>
      </c>
      <c r="BD772" s="3" t="s">
        <v>68</v>
      </c>
      <c r="BE772" s="3" t="s">
        <v>7436</v>
      </c>
      <c r="BF772" s="3" t="s">
        <v>7435</v>
      </c>
      <c r="BG772" s="3" t="s">
        <v>7437</v>
      </c>
    </row>
    <row r="773" spans="1:59" ht="57" x14ac:dyDescent="0.45">
      <c r="A773" s="2" t="s">
        <v>59</v>
      </c>
      <c r="B773" s="2" t="s">
        <v>60</v>
      </c>
      <c r="C773" s="2" t="s">
        <v>7438</v>
      </c>
      <c r="D773" s="2" t="s">
        <v>7439</v>
      </c>
      <c r="E773" s="2" t="s">
        <v>7440</v>
      </c>
      <c r="G773" s="3" t="s">
        <v>62</v>
      </c>
      <c r="I773" s="3" t="s">
        <v>62</v>
      </c>
      <c r="J773" s="3" t="s">
        <v>62</v>
      </c>
      <c r="K773" s="3" t="s">
        <v>63</v>
      </c>
      <c r="L773" s="2" t="s">
        <v>7441</v>
      </c>
      <c r="M773" s="2" t="s">
        <v>3996</v>
      </c>
      <c r="N773" s="3" t="s">
        <v>1059</v>
      </c>
      <c r="O773" s="2" t="s">
        <v>168</v>
      </c>
      <c r="P773" s="3" t="s">
        <v>65</v>
      </c>
      <c r="Q773" s="2" t="s">
        <v>7244</v>
      </c>
      <c r="R773" s="3" t="s">
        <v>66</v>
      </c>
      <c r="S773" s="4">
        <v>7</v>
      </c>
      <c r="T773" s="4">
        <v>7</v>
      </c>
      <c r="U773" s="5" t="s">
        <v>7400</v>
      </c>
      <c r="V773" s="5" t="s">
        <v>7400</v>
      </c>
      <c r="W773" s="5" t="s">
        <v>67</v>
      </c>
      <c r="X773" s="5" t="s">
        <v>67</v>
      </c>
      <c r="Y773" s="4">
        <v>308</v>
      </c>
      <c r="Z773" s="4">
        <v>21</v>
      </c>
      <c r="AA773" s="4">
        <v>24</v>
      </c>
      <c r="AB773" s="4">
        <v>3</v>
      </c>
      <c r="AC773" s="4">
        <v>6</v>
      </c>
      <c r="AD773" s="4">
        <v>71</v>
      </c>
      <c r="AE773" s="4">
        <v>74</v>
      </c>
      <c r="AF773" s="4">
        <v>1</v>
      </c>
      <c r="AG773" s="4">
        <v>3</v>
      </c>
      <c r="AH773" s="4">
        <v>63</v>
      </c>
      <c r="AI773" s="4">
        <v>64</v>
      </c>
      <c r="AJ773" s="4">
        <v>12</v>
      </c>
      <c r="AK773" s="4">
        <v>14</v>
      </c>
      <c r="AL773" s="4">
        <v>35</v>
      </c>
      <c r="AM773" s="4">
        <v>35</v>
      </c>
      <c r="AN773" s="4">
        <v>0</v>
      </c>
      <c r="AO773" s="4">
        <v>0</v>
      </c>
      <c r="AP773" s="4">
        <v>15</v>
      </c>
      <c r="AQ773" s="4">
        <v>16</v>
      </c>
      <c r="AR773" s="3" t="s">
        <v>62</v>
      </c>
      <c r="AS773" s="3" t="s">
        <v>62</v>
      </c>
      <c r="AT773" s="3" t="s">
        <v>62</v>
      </c>
      <c r="AV773" s="6" t="str">
        <f>HYPERLINK("http://mcgill.on.worldcat.org/oclc/62341526","Catalog Record")</f>
        <v>Catalog Record</v>
      </c>
      <c r="AW773" s="6" t="str">
        <f>HYPERLINK("http://www.worldcat.org/oclc/62341526","WorldCat Record")</f>
        <v>WorldCat Record</v>
      </c>
      <c r="AX773" s="3" t="s">
        <v>7442</v>
      </c>
      <c r="AY773" s="3" t="s">
        <v>7443</v>
      </c>
      <c r="AZ773" s="3" t="s">
        <v>7444</v>
      </c>
      <c r="BA773" s="3" t="s">
        <v>7444</v>
      </c>
      <c r="BB773" s="3" t="s">
        <v>7445</v>
      </c>
      <c r="BC773" s="3" t="s">
        <v>142</v>
      </c>
      <c r="BD773" s="3" t="s">
        <v>68</v>
      </c>
      <c r="BE773" s="3" t="s">
        <v>7446</v>
      </c>
      <c r="BF773" s="3" t="s">
        <v>7445</v>
      </c>
      <c r="BG773" s="3" t="s">
        <v>7447</v>
      </c>
    </row>
    <row r="774" spans="1:59" ht="57" x14ac:dyDescent="0.45">
      <c r="A774" s="2" t="s">
        <v>59</v>
      </c>
      <c r="B774" s="2" t="s">
        <v>60</v>
      </c>
      <c r="C774" s="2" t="s">
        <v>7448</v>
      </c>
      <c r="D774" s="2" t="s">
        <v>7449</v>
      </c>
      <c r="E774" s="2" t="s">
        <v>7450</v>
      </c>
      <c r="G774" s="3" t="s">
        <v>62</v>
      </c>
      <c r="I774" s="3" t="s">
        <v>61</v>
      </c>
      <c r="J774" s="3" t="s">
        <v>62</v>
      </c>
      <c r="K774" s="3" t="s">
        <v>63</v>
      </c>
      <c r="M774" s="2" t="s">
        <v>7451</v>
      </c>
      <c r="N774" s="3" t="s">
        <v>117</v>
      </c>
      <c r="P774" s="3" t="s">
        <v>65</v>
      </c>
      <c r="Q774" s="2" t="s">
        <v>7452</v>
      </c>
      <c r="R774" s="3" t="s">
        <v>66</v>
      </c>
      <c r="S774" s="4">
        <v>10</v>
      </c>
      <c r="T774" s="4">
        <v>10</v>
      </c>
      <c r="U774" s="5" t="s">
        <v>7453</v>
      </c>
      <c r="V774" s="5" t="s">
        <v>7453</v>
      </c>
      <c r="W774" s="5" t="s">
        <v>67</v>
      </c>
      <c r="X774" s="5" t="s">
        <v>67</v>
      </c>
      <c r="Y774" s="4">
        <v>233</v>
      </c>
      <c r="Z774" s="4">
        <v>23</v>
      </c>
      <c r="AA774" s="4">
        <v>26</v>
      </c>
      <c r="AB774" s="4">
        <v>2</v>
      </c>
      <c r="AC774" s="4">
        <v>5</v>
      </c>
      <c r="AD774" s="4">
        <v>84</v>
      </c>
      <c r="AE774" s="4">
        <v>87</v>
      </c>
      <c r="AF774" s="4">
        <v>1</v>
      </c>
      <c r="AG774" s="4">
        <v>4</v>
      </c>
      <c r="AH774" s="4">
        <v>74</v>
      </c>
      <c r="AI774" s="4">
        <v>75</v>
      </c>
      <c r="AJ774" s="4">
        <v>18</v>
      </c>
      <c r="AK774" s="4">
        <v>21</v>
      </c>
      <c r="AL774" s="4">
        <v>38</v>
      </c>
      <c r="AM774" s="4">
        <v>38</v>
      </c>
      <c r="AN774" s="4">
        <v>0</v>
      </c>
      <c r="AO774" s="4">
        <v>0</v>
      </c>
      <c r="AP774" s="4">
        <v>19</v>
      </c>
      <c r="AQ774" s="4">
        <v>21</v>
      </c>
      <c r="AR774" s="3" t="s">
        <v>62</v>
      </c>
      <c r="AS774" s="3" t="s">
        <v>62</v>
      </c>
      <c r="AT774" s="3" t="s">
        <v>61</v>
      </c>
      <c r="AU774" s="6" t="str">
        <f>HYPERLINK("http://catalog.hathitrust.org/Record/000740013","HathiTrust Record")</f>
        <v>HathiTrust Record</v>
      </c>
      <c r="AV774" s="6" t="str">
        <f>HYPERLINK("http://mcgill.on.worldcat.org/oclc/6203100","Catalog Record")</f>
        <v>Catalog Record</v>
      </c>
      <c r="AW774" s="6" t="str">
        <f>HYPERLINK("http://www.worldcat.org/oclc/6203100","WorldCat Record")</f>
        <v>WorldCat Record</v>
      </c>
      <c r="AX774" s="3" t="s">
        <v>7454</v>
      </c>
      <c r="AY774" s="3" t="s">
        <v>7455</v>
      </c>
      <c r="AZ774" s="3" t="s">
        <v>7456</v>
      </c>
      <c r="BA774" s="3" t="s">
        <v>7456</v>
      </c>
      <c r="BB774" s="3" t="s">
        <v>7457</v>
      </c>
      <c r="BC774" s="3" t="s">
        <v>142</v>
      </c>
      <c r="BD774" s="3" t="s">
        <v>68</v>
      </c>
      <c r="BE774" s="3" t="s">
        <v>7458</v>
      </c>
      <c r="BF774" s="3" t="s">
        <v>7457</v>
      </c>
      <c r="BG774" s="3" t="s">
        <v>7459</v>
      </c>
    </row>
    <row r="775" spans="1:59" ht="57" x14ac:dyDescent="0.45">
      <c r="A775" s="2" t="s">
        <v>59</v>
      </c>
      <c r="B775" s="2" t="s">
        <v>60</v>
      </c>
      <c r="C775" s="2" t="s">
        <v>7448</v>
      </c>
      <c r="D775" s="2" t="s">
        <v>7449</v>
      </c>
      <c r="E775" s="2" t="s">
        <v>7450</v>
      </c>
      <c r="G775" s="3" t="s">
        <v>62</v>
      </c>
      <c r="I775" s="3" t="s">
        <v>61</v>
      </c>
      <c r="J775" s="3" t="s">
        <v>62</v>
      </c>
      <c r="K775" s="3" t="s">
        <v>63</v>
      </c>
      <c r="M775" s="2" t="s">
        <v>7451</v>
      </c>
      <c r="N775" s="3" t="s">
        <v>117</v>
      </c>
      <c r="P775" s="3" t="s">
        <v>65</v>
      </c>
      <c r="Q775" s="2" t="s">
        <v>7452</v>
      </c>
      <c r="R775" s="3" t="s">
        <v>66</v>
      </c>
      <c r="S775" s="4">
        <v>0</v>
      </c>
      <c r="T775" s="4">
        <v>10</v>
      </c>
      <c r="V775" s="5" t="s">
        <v>7453</v>
      </c>
      <c r="W775" s="5" t="s">
        <v>67</v>
      </c>
      <c r="X775" s="5" t="s">
        <v>67</v>
      </c>
      <c r="Y775" s="4">
        <v>233</v>
      </c>
      <c r="Z775" s="4">
        <v>23</v>
      </c>
      <c r="AA775" s="4">
        <v>26</v>
      </c>
      <c r="AB775" s="4">
        <v>2</v>
      </c>
      <c r="AC775" s="4">
        <v>5</v>
      </c>
      <c r="AD775" s="4">
        <v>84</v>
      </c>
      <c r="AE775" s="4">
        <v>87</v>
      </c>
      <c r="AF775" s="4">
        <v>1</v>
      </c>
      <c r="AG775" s="4">
        <v>4</v>
      </c>
      <c r="AH775" s="4">
        <v>74</v>
      </c>
      <c r="AI775" s="4">
        <v>75</v>
      </c>
      <c r="AJ775" s="4">
        <v>18</v>
      </c>
      <c r="AK775" s="4">
        <v>21</v>
      </c>
      <c r="AL775" s="4">
        <v>38</v>
      </c>
      <c r="AM775" s="4">
        <v>38</v>
      </c>
      <c r="AN775" s="4">
        <v>0</v>
      </c>
      <c r="AO775" s="4">
        <v>0</v>
      </c>
      <c r="AP775" s="4">
        <v>19</v>
      </c>
      <c r="AQ775" s="4">
        <v>21</v>
      </c>
      <c r="AR775" s="3" t="s">
        <v>62</v>
      </c>
      <c r="AS775" s="3" t="s">
        <v>62</v>
      </c>
      <c r="AT775" s="3" t="s">
        <v>61</v>
      </c>
      <c r="AU775" s="6" t="str">
        <f>HYPERLINK("http://catalog.hathitrust.org/Record/000740013","HathiTrust Record")</f>
        <v>HathiTrust Record</v>
      </c>
      <c r="AV775" s="6" t="str">
        <f>HYPERLINK("http://mcgill.on.worldcat.org/oclc/6203100","Catalog Record")</f>
        <v>Catalog Record</v>
      </c>
      <c r="AW775" s="6" t="str">
        <f>HYPERLINK("http://www.worldcat.org/oclc/6203100","WorldCat Record")</f>
        <v>WorldCat Record</v>
      </c>
      <c r="AX775" s="3" t="s">
        <v>7454</v>
      </c>
      <c r="AY775" s="3" t="s">
        <v>7455</v>
      </c>
      <c r="AZ775" s="3" t="s">
        <v>7456</v>
      </c>
      <c r="BA775" s="3" t="s">
        <v>7456</v>
      </c>
      <c r="BB775" s="3" t="s">
        <v>7460</v>
      </c>
      <c r="BC775" s="3" t="s">
        <v>142</v>
      </c>
      <c r="BD775" s="3" t="s">
        <v>68</v>
      </c>
      <c r="BE775" s="3" t="s">
        <v>7458</v>
      </c>
      <c r="BF775" s="3" t="s">
        <v>7460</v>
      </c>
      <c r="BG775" s="3" t="s">
        <v>7461</v>
      </c>
    </row>
    <row r="776" spans="1:59" ht="57" x14ac:dyDescent="0.45">
      <c r="A776" s="2" t="s">
        <v>59</v>
      </c>
      <c r="B776" s="2" t="s">
        <v>60</v>
      </c>
      <c r="C776" s="2" t="s">
        <v>7462</v>
      </c>
      <c r="D776" s="2" t="s">
        <v>7463</v>
      </c>
      <c r="E776" s="2" t="s">
        <v>7464</v>
      </c>
      <c r="G776" s="3" t="s">
        <v>62</v>
      </c>
      <c r="I776" s="3" t="s">
        <v>62</v>
      </c>
      <c r="J776" s="3" t="s">
        <v>62</v>
      </c>
      <c r="K776" s="3" t="s">
        <v>63</v>
      </c>
      <c r="M776" s="2" t="s">
        <v>7465</v>
      </c>
      <c r="N776" s="3" t="s">
        <v>820</v>
      </c>
      <c r="P776" s="3" t="s">
        <v>65</v>
      </c>
      <c r="Q776" s="2" t="s">
        <v>7466</v>
      </c>
      <c r="R776" s="3" t="s">
        <v>66</v>
      </c>
      <c r="S776" s="4">
        <v>10</v>
      </c>
      <c r="T776" s="4">
        <v>10</v>
      </c>
      <c r="U776" s="5" t="s">
        <v>5026</v>
      </c>
      <c r="V776" s="5" t="s">
        <v>5026</v>
      </c>
      <c r="W776" s="5" t="s">
        <v>67</v>
      </c>
      <c r="X776" s="5" t="s">
        <v>67</v>
      </c>
      <c r="Y776" s="4">
        <v>217</v>
      </c>
      <c r="Z776" s="4">
        <v>17</v>
      </c>
      <c r="AA776" s="4">
        <v>19</v>
      </c>
      <c r="AB776" s="4">
        <v>2</v>
      </c>
      <c r="AC776" s="4">
        <v>4</v>
      </c>
      <c r="AD776" s="4">
        <v>68</v>
      </c>
      <c r="AE776" s="4">
        <v>70</v>
      </c>
      <c r="AF776" s="4">
        <v>1</v>
      </c>
      <c r="AG776" s="4">
        <v>3</v>
      </c>
      <c r="AH776" s="4">
        <v>60</v>
      </c>
      <c r="AI776" s="4">
        <v>61</v>
      </c>
      <c r="AJ776" s="4">
        <v>13</v>
      </c>
      <c r="AK776" s="4">
        <v>15</v>
      </c>
      <c r="AL776" s="4">
        <v>35</v>
      </c>
      <c r="AM776" s="4">
        <v>35</v>
      </c>
      <c r="AN776" s="4">
        <v>0</v>
      </c>
      <c r="AO776" s="4">
        <v>0</v>
      </c>
      <c r="AP776" s="4">
        <v>14</v>
      </c>
      <c r="AQ776" s="4">
        <v>16</v>
      </c>
      <c r="AR776" s="3" t="s">
        <v>62</v>
      </c>
      <c r="AS776" s="3" t="s">
        <v>62</v>
      </c>
      <c r="AT776" s="3" t="s">
        <v>62</v>
      </c>
      <c r="AV776" s="6" t="str">
        <f>HYPERLINK("http://mcgill.on.worldcat.org/oclc/173182468","Catalog Record")</f>
        <v>Catalog Record</v>
      </c>
      <c r="AW776" s="6" t="str">
        <f>HYPERLINK("http://www.worldcat.org/oclc/173182468","WorldCat Record")</f>
        <v>WorldCat Record</v>
      </c>
      <c r="AX776" s="3" t="s">
        <v>7467</v>
      </c>
      <c r="AY776" s="3" t="s">
        <v>7468</v>
      </c>
      <c r="AZ776" s="3" t="s">
        <v>7469</v>
      </c>
      <c r="BA776" s="3" t="s">
        <v>7469</v>
      </c>
      <c r="BB776" s="3" t="s">
        <v>7470</v>
      </c>
      <c r="BC776" s="3" t="s">
        <v>142</v>
      </c>
      <c r="BD776" s="3" t="s">
        <v>68</v>
      </c>
      <c r="BE776" s="3" t="s">
        <v>7471</v>
      </c>
      <c r="BF776" s="3" t="s">
        <v>7470</v>
      </c>
      <c r="BG776" s="3" t="s">
        <v>7472</v>
      </c>
    </row>
    <row r="777" spans="1:59" ht="57" x14ac:dyDescent="0.45">
      <c r="A777" s="2" t="s">
        <v>59</v>
      </c>
      <c r="B777" s="2" t="s">
        <v>60</v>
      </c>
      <c r="C777" s="2" t="s">
        <v>7473</v>
      </c>
      <c r="D777" s="2" t="s">
        <v>7474</v>
      </c>
      <c r="E777" s="2" t="s">
        <v>7475</v>
      </c>
      <c r="G777" s="3" t="s">
        <v>62</v>
      </c>
      <c r="I777" s="3" t="s">
        <v>61</v>
      </c>
      <c r="J777" s="3" t="s">
        <v>62</v>
      </c>
      <c r="K777" s="3" t="s">
        <v>63</v>
      </c>
      <c r="L777" s="2" t="s">
        <v>7476</v>
      </c>
      <c r="M777" s="2" t="s">
        <v>7477</v>
      </c>
      <c r="N777" s="3" t="s">
        <v>1239</v>
      </c>
      <c r="P777" s="3" t="s">
        <v>65</v>
      </c>
      <c r="R777" s="3" t="s">
        <v>66</v>
      </c>
      <c r="S777" s="4">
        <v>35</v>
      </c>
      <c r="T777" s="4">
        <v>42</v>
      </c>
      <c r="U777" s="5" t="s">
        <v>5204</v>
      </c>
      <c r="V777" s="5" t="s">
        <v>5204</v>
      </c>
      <c r="W777" s="5" t="s">
        <v>67</v>
      </c>
      <c r="X777" s="5" t="s">
        <v>67</v>
      </c>
      <c r="Y777" s="4">
        <v>471</v>
      </c>
      <c r="Z777" s="4">
        <v>25</v>
      </c>
      <c r="AA777" s="4">
        <v>35</v>
      </c>
      <c r="AB777" s="4">
        <v>2</v>
      </c>
      <c r="AC777" s="4">
        <v>10</v>
      </c>
      <c r="AD777" s="4">
        <v>88</v>
      </c>
      <c r="AE777" s="4">
        <v>94</v>
      </c>
      <c r="AF777" s="4">
        <v>1</v>
      </c>
      <c r="AG777" s="4">
        <v>5</v>
      </c>
      <c r="AH777" s="4">
        <v>74</v>
      </c>
      <c r="AI777" s="4">
        <v>76</v>
      </c>
      <c r="AJ777" s="4">
        <v>16</v>
      </c>
      <c r="AK777" s="4">
        <v>20</v>
      </c>
      <c r="AL777" s="4">
        <v>41</v>
      </c>
      <c r="AM777" s="4">
        <v>41</v>
      </c>
      <c r="AN777" s="4">
        <v>0</v>
      </c>
      <c r="AO777" s="4">
        <v>0</v>
      </c>
      <c r="AP777" s="4">
        <v>21</v>
      </c>
      <c r="AQ777" s="4">
        <v>25</v>
      </c>
      <c r="AR777" s="3" t="s">
        <v>62</v>
      </c>
      <c r="AS777" s="3" t="s">
        <v>62</v>
      </c>
      <c r="AT777" s="3" t="s">
        <v>62</v>
      </c>
      <c r="AV777" s="6" t="str">
        <f>HYPERLINK("http://mcgill.on.worldcat.org/oclc/26304724","Catalog Record")</f>
        <v>Catalog Record</v>
      </c>
      <c r="AW777" s="6" t="str">
        <f>HYPERLINK("http://www.worldcat.org/oclc/26304724","WorldCat Record")</f>
        <v>WorldCat Record</v>
      </c>
      <c r="AX777" s="3" t="s">
        <v>7478</v>
      </c>
      <c r="AY777" s="3" t="s">
        <v>7479</v>
      </c>
      <c r="AZ777" s="3" t="s">
        <v>7480</v>
      </c>
      <c r="BA777" s="3" t="s">
        <v>7480</v>
      </c>
      <c r="BB777" s="3" t="s">
        <v>7481</v>
      </c>
      <c r="BC777" s="3" t="s">
        <v>142</v>
      </c>
      <c r="BD777" s="3" t="s">
        <v>68</v>
      </c>
      <c r="BE777" s="3" t="s">
        <v>7482</v>
      </c>
      <c r="BF777" s="3" t="s">
        <v>7481</v>
      </c>
      <c r="BG777" s="3" t="s">
        <v>7483</v>
      </c>
    </row>
    <row r="778" spans="1:59" ht="57" x14ac:dyDescent="0.45">
      <c r="A778" s="2" t="s">
        <v>59</v>
      </c>
      <c r="B778" s="2" t="s">
        <v>60</v>
      </c>
      <c r="C778" s="2" t="s">
        <v>7473</v>
      </c>
      <c r="D778" s="2" t="s">
        <v>7474</v>
      </c>
      <c r="E778" s="2" t="s">
        <v>7475</v>
      </c>
      <c r="G778" s="3" t="s">
        <v>62</v>
      </c>
      <c r="I778" s="3" t="s">
        <v>61</v>
      </c>
      <c r="J778" s="3" t="s">
        <v>62</v>
      </c>
      <c r="K778" s="3" t="s">
        <v>63</v>
      </c>
      <c r="L778" s="2" t="s">
        <v>7476</v>
      </c>
      <c r="M778" s="2" t="s">
        <v>7477</v>
      </c>
      <c r="N778" s="3" t="s">
        <v>1239</v>
      </c>
      <c r="P778" s="3" t="s">
        <v>65</v>
      </c>
      <c r="R778" s="3" t="s">
        <v>66</v>
      </c>
      <c r="S778" s="4">
        <v>7</v>
      </c>
      <c r="T778" s="4">
        <v>42</v>
      </c>
      <c r="U778" s="5" t="s">
        <v>7484</v>
      </c>
      <c r="V778" s="5" t="s">
        <v>5204</v>
      </c>
      <c r="W778" s="5" t="s">
        <v>67</v>
      </c>
      <c r="X778" s="5" t="s">
        <v>67</v>
      </c>
      <c r="Y778" s="4">
        <v>471</v>
      </c>
      <c r="Z778" s="4">
        <v>25</v>
      </c>
      <c r="AA778" s="4">
        <v>35</v>
      </c>
      <c r="AB778" s="4">
        <v>2</v>
      </c>
      <c r="AC778" s="4">
        <v>10</v>
      </c>
      <c r="AD778" s="4">
        <v>88</v>
      </c>
      <c r="AE778" s="4">
        <v>94</v>
      </c>
      <c r="AF778" s="4">
        <v>1</v>
      </c>
      <c r="AG778" s="4">
        <v>5</v>
      </c>
      <c r="AH778" s="4">
        <v>74</v>
      </c>
      <c r="AI778" s="4">
        <v>76</v>
      </c>
      <c r="AJ778" s="4">
        <v>16</v>
      </c>
      <c r="AK778" s="4">
        <v>20</v>
      </c>
      <c r="AL778" s="4">
        <v>41</v>
      </c>
      <c r="AM778" s="4">
        <v>41</v>
      </c>
      <c r="AN778" s="4">
        <v>0</v>
      </c>
      <c r="AO778" s="4">
        <v>0</v>
      </c>
      <c r="AP778" s="4">
        <v>21</v>
      </c>
      <c r="AQ778" s="4">
        <v>25</v>
      </c>
      <c r="AR778" s="3" t="s">
        <v>62</v>
      </c>
      <c r="AS778" s="3" t="s">
        <v>62</v>
      </c>
      <c r="AT778" s="3" t="s">
        <v>62</v>
      </c>
      <c r="AV778" s="6" t="str">
        <f>HYPERLINK("http://mcgill.on.worldcat.org/oclc/26304724","Catalog Record")</f>
        <v>Catalog Record</v>
      </c>
      <c r="AW778" s="6" t="str">
        <f>HYPERLINK("http://www.worldcat.org/oclc/26304724","WorldCat Record")</f>
        <v>WorldCat Record</v>
      </c>
      <c r="AX778" s="3" t="s">
        <v>7478</v>
      </c>
      <c r="AY778" s="3" t="s">
        <v>7479</v>
      </c>
      <c r="AZ778" s="3" t="s">
        <v>7480</v>
      </c>
      <c r="BA778" s="3" t="s">
        <v>7480</v>
      </c>
      <c r="BB778" s="3" t="s">
        <v>7485</v>
      </c>
      <c r="BC778" s="3" t="s">
        <v>142</v>
      </c>
      <c r="BD778" s="3" t="s">
        <v>68</v>
      </c>
      <c r="BE778" s="3" t="s">
        <v>7482</v>
      </c>
      <c r="BF778" s="3" t="s">
        <v>7485</v>
      </c>
      <c r="BG778" s="3" t="s">
        <v>7486</v>
      </c>
    </row>
    <row r="779" spans="1:59" ht="57" x14ac:dyDescent="0.45">
      <c r="A779" s="2" t="s">
        <v>59</v>
      </c>
      <c r="B779" s="2" t="s">
        <v>60</v>
      </c>
      <c r="C779" s="2" t="s">
        <v>7487</v>
      </c>
      <c r="D779" s="2" t="s">
        <v>7488</v>
      </c>
      <c r="E779" s="2" t="s">
        <v>7489</v>
      </c>
      <c r="G779" s="3" t="s">
        <v>62</v>
      </c>
      <c r="I779" s="3" t="s">
        <v>62</v>
      </c>
      <c r="J779" s="3" t="s">
        <v>62</v>
      </c>
      <c r="K779" s="3" t="s">
        <v>63</v>
      </c>
      <c r="L779" s="2" t="s">
        <v>7490</v>
      </c>
      <c r="M779" s="2" t="s">
        <v>7491</v>
      </c>
      <c r="N779" s="3" t="s">
        <v>1212</v>
      </c>
      <c r="O779" s="2" t="s">
        <v>7492</v>
      </c>
      <c r="P779" s="3" t="s">
        <v>65</v>
      </c>
      <c r="R779" s="3" t="s">
        <v>66</v>
      </c>
      <c r="S779" s="4">
        <v>22</v>
      </c>
      <c r="T779" s="4">
        <v>22</v>
      </c>
      <c r="U779" s="5" t="s">
        <v>6222</v>
      </c>
      <c r="V779" s="5" t="s">
        <v>6222</v>
      </c>
      <c r="W779" s="5" t="s">
        <v>67</v>
      </c>
      <c r="X779" s="5" t="s">
        <v>67</v>
      </c>
      <c r="Y779" s="4">
        <v>24</v>
      </c>
      <c r="Z779" s="4">
        <v>4</v>
      </c>
      <c r="AA779" s="4">
        <v>37</v>
      </c>
      <c r="AB779" s="4">
        <v>2</v>
      </c>
      <c r="AC779" s="4">
        <v>7</v>
      </c>
      <c r="AD779" s="4">
        <v>3</v>
      </c>
      <c r="AE779" s="4">
        <v>101</v>
      </c>
      <c r="AF779" s="4">
        <v>0</v>
      </c>
      <c r="AG779" s="4">
        <v>5</v>
      </c>
      <c r="AH779" s="4">
        <v>3</v>
      </c>
      <c r="AI779" s="4">
        <v>82</v>
      </c>
      <c r="AJ779" s="4">
        <v>1</v>
      </c>
      <c r="AK779" s="4">
        <v>17</v>
      </c>
      <c r="AL779" s="4">
        <v>1</v>
      </c>
      <c r="AM779" s="4">
        <v>42</v>
      </c>
      <c r="AN779" s="4">
        <v>0</v>
      </c>
      <c r="AO779" s="4">
        <v>5</v>
      </c>
      <c r="AP779" s="4">
        <v>1</v>
      </c>
      <c r="AQ779" s="4">
        <v>24</v>
      </c>
      <c r="AR779" s="3" t="s">
        <v>62</v>
      </c>
      <c r="AS779" s="3" t="s">
        <v>62</v>
      </c>
      <c r="AT779" s="3" t="s">
        <v>62</v>
      </c>
      <c r="AV779" s="6" t="str">
        <f>HYPERLINK("http://mcgill.on.worldcat.org/oclc/45116919","Catalog Record")</f>
        <v>Catalog Record</v>
      </c>
      <c r="AW779" s="6" t="str">
        <f>HYPERLINK("http://www.worldcat.org/oclc/45116919","WorldCat Record")</f>
        <v>WorldCat Record</v>
      </c>
      <c r="AX779" s="3" t="s">
        <v>7493</v>
      </c>
      <c r="AY779" s="3" t="s">
        <v>7494</v>
      </c>
      <c r="AZ779" s="3" t="s">
        <v>7495</v>
      </c>
      <c r="BA779" s="3" t="s">
        <v>7495</v>
      </c>
      <c r="BB779" s="3" t="s">
        <v>7496</v>
      </c>
      <c r="BC779" s="3" t="s">
        <v>142</v>
      </c>
      <c r="BD779" s="3" t="s">
        <v>68</v>
      </c>
      <c r="BE779" s="3" t="s">
        <v>7497</v>
      </c>
      <c r="BF779" s="3" t="s">
        <v>7496</v>
      </c>
      <c r="BG779" s="3" t="s">
        <v>7498</v>
      </c>
    </row>
    <row r="780" spans="1:59" ht="57" x14ac:dyDescent="0.45">
      <c r="A780" s="2" t="s">
        <v>59</v>
      </c>
      <c r="B780" s="2" t="s">
        <v>60</v>
      </c>
      <c r="C780" s="2" t="s">
        <v>7499</v>
      </c>
      <c r="D780" s="2" t="s">
        <v>7500</v>
      </c>
      <c r="E780" s="2" t="s">
        <v>7501</v>
      </c>
      <c r="G780" s="3" t="s">
        <v>62</v>
      </c>
      <c r="I780" s="3" t="s">
        <v>62</v>
      </c>
      <c r="J780" s="3" t="s">
        <v>62</v>
      </c>
      <c r="K780" s="3" t="s">
        <v>63</v>
      </c>
      <c r="L780" s="2" t="s">
        <v>7502</v>
      </c>
      <c r="M780" s="2" t="s">
        <v>7503</v>
      </c>
      <c r="N780" s="3" t="s">
        <v>106</v>
      </c>
      <c r="P780" s="3" t="s">
        <v>65</v>
      </c>
      <c r="R780" s="3" t="s">
        <v>66</v>
      </c>
      <c r="S780" s="4">
        <v>54</v>
      </c>
      <c r="T780" s="4">
        <v>54</v>
      </c>
      <c r="U780" s="5" t="s">
        <v>7504</v>
      </c>
      <c r="V780" s="5" t="s">
        <v>7504</v>
      </c>
      <c r="W780" s="5" t="s">
        <v>67</v>
      </c>
      <c r="X780" s="5" t="s">
        <v>67</v>
      </c>
      <c r="Y780" s="4">
        <v>623</v>
      </c>
      <c r="Z780" s="4">
        <v>51</v>
      </c>
      <c r="AA780" s="4">
        <v>62</v>
      </c>
      <c r="AB780" s="4">
        <v>3</v>
      </c>
      <c r="AC780" s="4">
        <v>9</v>
      </c>
      <c r="AD780" s="4">
        <v>123</v>
      </c>
      <c r="AE780" s="4">
        <v>130</v>
      </c>
      <c r="AF780" s="4">
        <v>2</v>
      </c>
      <c r="AG780" s="4">
        <v>6</v>
      </c>
      <c r="AH780" s="4">
        <v>95</v>
      </c>
      <c r="AI780" s="4">
        <v>96</v>
      </c>
      <c r="AJ780" s="4">
        <v>22</v>
      </c>
      <c r="AK780" s="4">
        <v>27</v>
      </c>
      <c r="AL780" s="4">
        <v>50</v>
      </c>
      <c r="AM780" s="4">
        <v>50</v>
      </c>
      <c r="AN780" s="4">
        <v>0</v>
      </c>
      <c r="AO780" s="4">
        <v>0</v>
      </c>
      <c r="AP780" s="4">
        <v>39</v>
      </c>
      <c r="AQ780" s="4">
        <v>44</v>
      </c>
      <c r="AR780" s="3" t="s">
        <v>62</v>
      </c>
      <c r="AS780" s="3" t="s">
        <v>62</v>
      </c>
      <c r="AT780" s="3" t="s">
        <v>62</v>
      </c>
      <c r="AV780" s="6" t="str">
        <f>HYPERLINK("http://mcgill.on.worldcat.org/oclc/9816171","Catalog Record")</f>
        <v>Catalog Record</v>
      </c>
      <c r="AW780" s="6" t="str">
        <f>HYPERLINK("http://www.worldcat.org/oclc/9816171","WorldCat Record")</f>
        <v>WorldCat Record</v>
      </c>
      <c r="AX780" s="3" t="s">
        <v>7505</v>
      </c>
      <c r="AY780" s="3" t="s">
        <v>7506</v>
      </c>
      <c r="AZ780" s="3" t="s">
        <v>7507</v>
      </c>
      <c r="BA780" s="3" t="s">
        <v>7507</v>
      </c>
      <c r="BB780" s="3" t="s">
        <v>7508</v>
      </c>
      <c r="BC780" s="3" t="s">
        <v>142</v>
      </c>
      <c r="BD780" s="3" t="s">
        <v>68</v>
      </c>
      <c r="BE780" s="3" t="s">
        <v>7509</v>
      </c>
      <c r="BF780" s="3" t="s">
        <v>7508</v>
      </c>
      <c r="BG780" s="3" t="s">
        <v>7510</v>
      </c>
    </row>
    <row r="781" spans="1:59" ht="57" x14ac:dyDescent="0.45">
      <c r="A781" s="2" t="s">
        <v>59</v>
      </c>
      <c r="B781" s="2" t="s">
        <v>60</v>
      </c>
      <c r="C781" s="2" t="s">
        <v>7511</v>
      </c>
      <c r="D781" s="2" t="s">
        <v>7512</v>
      </c>
      <c r="E781" s="2" t="s">
        <v>7513</v>
      </c>
      <c r="G781" s="3" t="s">
        <v>62</v>
      </c>
      <c r="I781" s="3" t="s">
        <v>62</v>
      </c>
      <c r="J781" s="3" t="s">
        <v>62</v>
      </c>
      <c r="K781" s="3" t="s">
        <v>63</v>
      </c>
      <c r="L781" s="2" t="s">
        <v>7514</v>
      </c>
      <c r="M781" s="2" t="s">
        <v>7515</v>
      </c>
      <c r="N781" s="3" t="s">
        <v>84</v>
      </c>
      <c r="P781" s="3" t="s">
        <v>65</v>
      </c>
      <c r="Q781" s="2" t="s">
        <v>7516</v>
      </c>
      <c r="R781" s="3" t="s">
        <v>66</v>
      </c>
      <c r="S781" s="4">
        <v>65</v>
      </c>
      <c r="T781" s="4">
        <v>65</v>
      </c>
      <c r="U781" s="5" t="s">
        <v>7517</v>
      </c>
      <c r="V781" s="5" t="s">
        <v>7517</v>
      </c>
      <c r="W781" s="5" t="s">
        <v>67</v>
      </c>
      <c r="X781" s="5" t="s">
        <v>67</v>
      </c>
      <c r="Y781" s="4">
        <v>295</v>
      </c>
      <c r="Z781" s="4">
        <v>24</v>
      </c>
      <c r="AA781" s="4">
        <v>27</v>
      </c>
      <c r="AB781" s="4">
        <v>3</v>
      </c>
      <c r="AC781" s="4">
        <v>6</v>
      </c>
      <c r="AD781" s="4">
        <v>65</v>
      </c>
      <c r="AE781" s="4">
        <v>69</v>
      </c>
      <c r="AF781" s="4">
        <v>2</v>
      </c>
      <c r="AG781" s="4">
        <v>5</v>
      </c>
      <c r="AH781" s="4">
        <v>54</v>
      </c>
      <c r="AI781" s="4">
        <v>56</v>
      </c>
      <c r="AJ781" s="4">
        <v>14</v>
      </c>
      <c r="AK781" s="4">
        <v>17</v>
      </c>
      <c r="AL781" s="4">
        <v>31</v>
      </c>
      <c r="AM781" s="4">
        <v>31</v>
      </c>
      <c r="AN781" s="4">
        <v>0</v>
      </c>
      <c r="AO781" s="4">
        <v>0</v>
      </c>
      <c r="AP781" s="4">
        <v>18</v>
      </c>
      <c r="AQ781" s="4">
        <v>21</v>
      </c>
      <c r="AR781" s="3" t="s">
        <v>62</v>
      </c>
      <c r="AS781" s="3" t="s">
        <v>62</v>
      </c>
      <c r="AT781" s="3" t="s">
        <v>62</v>
      </c>
      <c r="AV781" s="6" t="str">
        <f>HYPERLINK("http://mcgill.on.worldcat.org/oclc/877707599","Catalog Record")</f>
        <v>Catalog Record</v>
      </c>
      <c r="AW781" s="6" t="str">
        <f>HYPERLINK("http://www.worldcat.org/oclc/877707599","WorldCat Record")</f>
        <v>WorldCat Record</v>
      </c>
      <c r="AX781" s="3" t="s">
        <v>7518</v>
      </c>
      <c r="AY781" s="3" t="s">
        <v>7519</v>
      </c>
      <c r="AZ781" s="3" t="s">
        <v>7520</v>
      </c>
      <c r="BA781" s="3" t="s">
        <v>7520</v>
      </c>
      <c r="BB781" s="3" t="s">
        <v>7521</v>
      </c>
      <c r="BC781" s="3" t="s">
        <v>142</v>
      </c>
      <c r="BD781" s="3" t="s">
        <v>68</v>
      </c>
      <c r="BE781" s="3" t="s">
        <v>7522</v>
      </c>
      <c r="BF781" s="3" t="s">
        <v>7521</v>
      </c>
      <c r="BG781" s="3" t="s">
        <v>7523</v>
      </c>
    </row>
    <row r="782" spans="1:59" ht="85.5" x14ac:dyDescent="0.45">
      <c r="A782" s="2" t="s">
        <v>59</v>
      </c>
      <c r="B782" s="2" t="s">
        <v>5257</v>
      </c>
      <c r="C782" s="2" t="s">
        <v>7524</v>
      </c>
      <c r="D782" s="2" t="s">
        <v>7525</v>
      </c>
      <c r="E782" s="2" t="s">
        <v>7526</v>
      </c>
      <c r="G782" s="3" t="s">
        <v>62</v>
      </c>
      <c r="I782" s="3" t="s">
        <v>62</v>
      </c>
      <c r="J782" s="3" t="s">
        <v>62</v>
      </c>
      <c r="K782" s="3" t="s">
        <v>63</v>
      </c>
      <c r="M782" s="2" t="s">
        <v>7527</v>
      </c>
      <c r="N782" s="3" t="s">
        <v>894</v>
      </c>
      <c r="P782" s="3" t="s">
        <v>65</v>
      </c>
      <c r="R782" s="3" t="s">
        <v>66</v>
      </c>
      <c r="S782" s="4">
        <v>0</v>
      </c>
      <c r="T782" s="4">
        <v>0</v>
      </c>
      <c r="W782" s="5" t="s">
        <v>67</v>
      </c>
      <c r="X782" s="5" t="s">
        <v>67</v>
      </c>
      <c r="Y782" s="4">
        <v>110</v>
      </c>
      <c r="Z782" s="4">
        <v>14</v>
      </c>
      <c r="AA782" s="4">
        <v>14</v>
      </c>
      <c r="AB782" s="4">
        <v>2</v>
      </c>
      <c r="AC782" s="4">
        <v>2</v>
      </c>
      <c r="AD782" s="4">
        <v>41</v>
      </c>
      <c r="AE782" s="4">
        <v>41</v>
      </c>
      <c r="AF782" s="4">
        <v>1</v>
      </c>
      <c r="AG782" s="4">
        <v>1</v>
      </c>
      <c r="AH782" s="4">
        <v>38</v>
      </c>
      <c r="AI782" s="4">
        <v>38</v>
      </c>
      <c r="AJ782" s="4">
        <v>10</v>
      </c>
      <c r="AK782" s="4">
        <v>10</v>
      </c>
      <c r="AL782" s="4">
        <v>19</v>
      </c>
      <c r="AM782" s="4">
        <v>19</v>
      </c>
      <c r="AN782" s="4">
        <v>0</v>
      </c>
      <c r="AO782" s="4">
        <v>0</v>
      </c>
      <c r="AP782" s="4">
        <v>10</v>
      </c>
      <c r="AQ782" s="4">
        <v>10</v>
      </c>
      <c r="AR782" s="3" t="s">
        <v>62</v>
      </c>
      <c r="AS782" s="3" t="s">
        <v>62</v>
      </c>
      <c r="AT782" s="3" t="s">
        <v>62</v>
      </c>
      <c r="AV782" s="6" t="str">
        <f>HYPERLINK("http://mcgill.on.worldcat.org/oclc/614990575","Catalog Record")</f>
        <v>Catalog Record</v>
      </c>
      <c r="AW782" s="6" t="str">
        <f>HYPERLINK("http://www.worldcat.org/oclc/614990575","WorldCat Record")</f>
        <v>WorldCat Record</v>
      </c>
      <c r="AX782" s="3" t="s">
        <v>7528</v>
      </c>
      <c r="AY782" s="3" t="s">
        <v>7529</v>
      </c>
      <c r="AZ782" s="3" t="s">
        <v>7530</v>
      </c>
      <c r="BA782" s="3" t="s">
        <v>7530</v>
      </c>
      <c r="BB782" s="3" t="s">
        <v>7531</v>
      </c>
      <c r="BC782" s="3" t="s">
        <v>142</v>
      </c>
      <c r="BD782" s="3" t="s">
        <v>68</v>
      </c>
      <c r="BE782" s="3" t="s">
        <v>7532</v>
      </c>
      <c r="BF782" s="3" t="s">
        <v>7531</v>
      </c>
      <c r="BG782" s="3" t="s">
        <v>7533</v>
      </c>
    </row>
    <row r="783" spans="1:59" ht="57" x14ac:dyDescent="0.45">
      <c r="A783" s="2" t="s">
        <v>59</v>
      </c>
      <c r="B783" s="2" t="s">
        <v>60</v>
      </c>
      <c r="C783" s="2" t="s">
        <v>7534</v>
      </c>
      <c r="D783" s="2" t="s">
        <v>7535</v>
      </c>
      <c r="E783" s="2" t="s">
        <v>7536</v>
      </c>
      <c r="G783" s="3" t="s">
        <v>62</v>
      </c>
      <c r="I783" s="3" t="s">
        <v>62</v>
      </c>
      <c r="J783" s="3" t="s">
        <v>62</v>
      </c>
      <c r="K783" s="3" t="s">
        <v>63</v>
      </c>
      <c r="L783" s="2" t="s">
        <v>7537</v>
      </c>
      <c r="M783" s="2" t="s">
        <v>7538</v>
      </c>
      <c r="N783" s="3" t="s">
        <v>918</v>
      </c>
      <c r="P783" s="3" t="s">
        <v>65</v>
      </c>
      <c r="Q783" s="2" t="s">
        <v>7539</v>
      </c>
      <c r="R783" s="3" t="s">
        <v>66</v>
      </c>
      <c r="S783" s="4">
        <v>16</v>
      </c>
      <c r="T783" s="4">
        <v>16</v>
      </c>
      <c r="U783" s="5" t="s">
        <v>7222</v>
      </c>
      <c r="V783" s="5" t="s">
        <v>7222</v>
      </c>
      <c r="W783" s="5" t="s">
        <v>67</v>
      </c>
      <c r="X783" s="5" t="s">
        <v>67</v>
      </c>
      <c r="Y783" s="4">
        <v>314</v>
      </c>
      <c r="Z783" s="4">
        <v>22</v>
      </c>
      <c r="AA783" s="4">
        <v>27</v>
      </c>
      <c r="AB783" s="4">
        <v>2</v>
      </c>
      <c r="AC783" s="4">
        <v>7</v>
      </c>
      <c r="AD783" s="4">
        <v>82</v>
      </c>
      <c r="AE783" s="4">
        <v>85</v>
      </c>
      <c r="AF783" s="4">
        <v>1</v>
      </c>
      <c r="AG783" s="4">
        <v>4</v>
      </c>
      <c r="AH783" s="4">
        <v>72</v>
      </c>
      <c r="AI783" s="4">
        <v>73</v>
      </c>
      <c r="AJ783" s="4">
        <v>16</v>
      </c>
      <c r="AK783" s="4">
        <v>19</v>
      </c>
      <c r="AL783" s="4">
        <v>39</v>
      </c>
      <c r="AM783" s="4">
        <v>39</v>
      </c>
      <c r="AN783" s="4">
        <v>0</v>
      </c>
      <c r="AO783" s="4">
        <v>0</v>
      </c>
      <c r="AP783" s="4">
        <v>18</v>
      </c>
      <c r="AQ783" s="4">
        <v>20</v>
      </c>
      <c r="AR783" s="3" t="s">
        <v>62</v>
      </c>
      <c r="AS783" s="3" t="s">
        <v>62</v>
      </c>
      <c r="AT783" s="3" t="s">
        <v>61</v>
      </c>
      <c r="AU783" s="6" t="str">
        <f>HYPERLINK("http://catalog.hathitrust.org/Record/004954200","HathiTrust Record")</f>
        <v>HathiTrust Record</v>
      </c>
      <c r="AV783" s="6" t="str">
        <f>HYPERLINK("http://mcgill.on.worldcat.org/oclc/49576349","Catalog Record")</f>
        <v>Catalog Record</v>
      </c>
      <c r="AW783" s="6" t="str">
        <f>HYPERLINK("http://www.worldcat.org/oclc/49576349","WorldCat Record")</f>
        <v>WorldCat Record</v>
      </c>
      <c r="AX783" s="3" t="s">
        <v>7540</v>
      </c>
      <c r="AY783" s="3" t="s">
        <v>7541</v>
      </c>
      <c r="AZ783" s="3" t="s">
        <v>7542</v>
      </c>
      <c r="BA783" s="3" t="s">
        <v>7542</v>
      </c>
      <c r="BB783" s="3" t="s">
        <v>7543</v>
      </c>
      <c r="BC783" s="3" t="s">
        <v>142</v>
      </c>
      <c r="BD783" s="3" t="s">
        <v>68</v>
      </c>
      <c r="BE783" s="3" t="s">
        <v>7544</v>
      </c>
      <c r="BF783" s="3" t="s">
        <v>7543</v>
      </c>
      <c r="BG783" s="3" t="s">
        <v>7545</v>
      </c>
    </row>
    <row r="784" spans="1:59" ht="57" x14ac:dyDescent="0.45">
      <c r="A784" s="2" t="s">
        <v>59</v>
      </c>
      <c r="B784" s="2" t="s">
        <v>60</v>
      </c>
      <c r="C784" s="2" t="s">
        <v>7546</v>
      </c>
      <c r="D784" s="2" t="s">
        <v>7547</v>
      </c>
      <c r="E784" s="2" t="s">
        <v>7548</v>
      </c>
      <c r="G784" s="3" t="s">
        <v>62</v>
      </c>
      <c r="I784" s="3" t="s">
        <v>61</v>
      </c>
      <c r="J784" s="3" t="s">
        <v>62</v>
      </c>
      <c r="K784" s="3" t="s">
        <v>63</v>
      </c>
      <c r="M784" s="2" t="s">
        <v>7549</v>
      </c>
      <c r="N784" s="3" t="s">
        <v>583</v>
      </c>
      <c r="P784" s="3" t="s">
        <v>65</v>
      </c>
      <c r="R784" s="3" t="s">
        <v>66</v>
      </c>
      <c r="S784" s="4">
        <v>12</v>
      </c>
      <c r="T784" s="4">
        <v>18</v>
      </c>
      <c r="U784" s="5" t="s">
        <v>7550</v>
      </c>
      <c r="V784" s="5" t="s">
        <v>7551</v>
      </c>
      <c r="W784" s="5" t="s">
        <v>67</v>
      </c>
      <c r="X784" s="5" t="s">
        <v>67</v>
      </c>
      <c r="Y784" s="4">
        <v>431</v>
      </c>
      <c r="Z784" s="4">
        <v>29</v>
      </c>
      <c r="AA784" s="4">
        <v>37</v>
      </c>
      <c r="AB784" s="4">
        <v>2</v>
      </c>
      <c r="AC784" s="4">
        <v>8</v>
      </c>
      <c r="AD784" s="4">
        <v>97</v>
      </c>
      <c r="AE784" s="4">
        <v>104</v>
      </c>
      <c r="AF784" s="4">
        <v>1</v>
      </c>
      <c r="AG784" s="4">
        <v>5</v>
      </c>
      <c r="AH784" s="4">
        <v>81</v>
      </c>
      <c r="AI784" s="4">
        <v>84</v>
      </c>
      <c r="AJ784" s="4">
        <v>17</v>
      </c>
      <c r="AK784" s="4">
        <v>21</v>
      </c>
      <c r="AL784" s="4">
        <v>40</v>
      </c>
      <c r="AM784" s="4">
        <v>41</v>
      </c>
      <c r="AN784" s="4">
        <v>0</v>
      </c>
      <c r="AO784" s="4">
        <v>0</v>
      </c>
      <c r="AP784" s="4">
        <v>24</v>
      </c>
      <c r="AQ784" s="4">
        <v>29</v>
      </c>
      <c r="AR784" s="3" t="s">
        <v>62</v>
      </c>
      <c r="AS784" s="3" t="s">
        <v>62</v>
      </c>
      <c r="AT784" s="3" t="s">
        <v>61</v>
      </c>
      <c r="AU784" s="6" t="str">
        <f>HYPERLINK("http://catalog.hathitrust.org/Record/007115391","HathiTrust Record")</f>
        <v>HathiTrust Record</v>
      </c>
      <c r="AV784" s="6" t="str">
        <f>HYPERLINK("http://mcgill.on.worldcat.org/oclc/4503230","Catalog Record")</f>
        <v>Catalog Record</v>
      </c>
      <c r="AW784" s="6" t="str">
        <f>HYPERLINK("http://www.worldcat.org/oclc/4503230","WorldCat Record")</f>
        <v>WorldCat Record</v>
      </c>
      <c r="AX784" s="3" t="s">
        <v>7552</v>
      </c>
      <c r="AY784" s="3" t="s">
        <v>7553</v>
      </c>
      <c r="AZ784" s="3" t="s">
        <v>7554</v>
      </c>
      <c r="BA784" s="3" t="s">
        <v>7554</v>
      </c>
      <c r="BB784" s="3" t="s">
        <v>7555</v>
      </c>
      <c r="BC784" s="3" t="s">
        <v>142</v>
      </c>
      <c r="BD784" s="3" t="s">
        <v>68</v>
      </c>
      <c r="BE784" s="3" t="s">
        <v>7556</v>
      </c>
      <c r="BF784" s="3" t="s">
        <v>7555</v>
      </c>
      <c r="BG784" s="3" t="s">
        <v>7557</v>
      </c>
    </row>
    <row r="785" spans="1:59" ht="57" x14ac:dyDescent="0.45">
      <c r="A785" s="2" t="s">
        <v>59</v>
      </c>
      <c r="B785" s="2" t="s">
        <v>60</v>
      </c>
      <c r="C785" s="2" t="s">
        <v>7546</v>
      </c>
      <c r="D785" s="2" t="s">
        <v>7547</v>
      </c>
      <c r="E785" s="2" t="s">
        <v>7548</v>
      </c>
      <c r="G785" s="3" t="s">
        <v>62</v>
      </c>
      <c r="I785" s="3" t="s">
        <v>61</v>
      </c>
      <c r="J785" s="3" t="s">
        <v>62</v>
      </c>
      <c r="K785" s="3" t="s">
        <v>63</v>
      </c>
      <c r="M785" s="2" t="s">
        <v>7549</v>
      </c>
      <c r="N785" s="3" t="s">
        <v>583</v>
      </c>
      <c r="P785" s="3" t="s">
        <v>65</v>
      </c>
      <c r="R785" s="3" t="s">
        <v>66</v>
      </c>
      <c r="S785" s="4">
        <v>6</v>
      </c>
      <c r="T785" s="4">
        <v>18</v>
      </c>
      <c r="U785" s="5" t="s">
        <v>7551</v>
      </c>
      <c r="V785" s="5" t="s">
        <v>7551</v>
      </c>
      <c r="W785" s="5" t="s">
        <v>67</v>
      </c>
      <c r="X785" s="5" t="s">
        <v>67</v>
      </c>
      <c r="Y785" s="4">
        <v>431</v>
      </c>
      <c r="Z785" s="4">
        <v>29</v>
      </c>
      <c r="AA785" s="4">
        <v>37</v>
      </c>
      <c r="AB785" s="4">
        <v>2</v>
      </c>
      <c r="AC785" s="4">
        <v>8</v>
      </c>
      <c r="AD785" s="4">
        <v>97</v>
      </c>
      <c r="AE785" s="4">
        <v>104</v>
      </c>
      <c r="AF785" s="4">
        <v>1</v>
      </c>
      <c r="AG785" s="4">
        <v>5</v>
      </c>
      <c r="AH785" s="4">
        <v>81</v>
      </c>
      <c r="AI785" s="4">
        <v>84</v>
      </c>
      <c r="AJ785" s="4">
        <v>17</v>
      </c>
      <c r="AK785" s="4">
        <v>21</v>
      </c>
      <c r="AL785" s="4">
        <v>40</v>
      </c>
      <c r="AM785" s="4">
        <v>41</v>
      </c>
      <c r="AN785" s="4">
        <v>0</v>
      </c>
      <c r="AO785" s="4">
        <v>0</v>
      </c>
      <c r="AP785" s="4">
        <v>24</v>
      </c>
      <c r="AQ785" s="4">
        <v>29</v>
      </c>
      <c r="AR785" s="3" t="s">
        <v>62</v>
      </c>
      <c r="AS785" s="3" t="s">
        <v>62</v>
      </c>
      <c r="AT785" s="3" t="s">
        <v>61</v>
      </c>
      <c r="AU785" s="6" t="str">
        <f>HYPERLINK("http://catalog.hathitrust.org/Record/007115391","HathiTrust Record")</f>
        <v>HathiTrust Record</v>
      </c>
      <c r="AV785" s="6" t="str">
        <f>HYPERLINK("http://mcgill.on.worldcat.org/oclc/4503230","Catalog Record")</f>
        <v>Catalog Record</v>
      </c>
      <c r="AW785" s="6" t="str">
        <f>HYPERLINK("http://www.worldcat.org/oclc/4503230","WorldCat Record")</f>
        <v>WorldCat Record</v>
      </c>
      <c r="AX785" s="3" t="s">
        <v>7552</v>
      </c>
      <c r="AY785" s="3" t="s">
        <v>7553</v>
      </c>
      <c r="AZ785" s="3" t="s">
        <v>7554</v>
      </c>
      <c r="BA785" s="3" t="s">
        <v>7554</v>
      </c>
      <c r="BB785" s="3" t="s">
        <v>7558</v>
      </c>
      <c r="BC785" s="3" t="s">
        <v>142</v>
      </c>
      <c r="BD785" s="3" t="s">
        <v>68</v>
      </c>
      <c r="BE785" s="3" t="s">
        <v>7556</v>
      </c>
      <c r="BF785" s="3" t="s">
        <v>7558</v>
      </c>
      <c r="BG785" s="3" t="s">
        <v>7559</v>
      </c>
    </row>
    <row r="786" spans="1:59" ht="57" x14ac:dyDescent="0.45">
      <c r="A786" s="2" t="s">
        <v>59</v>
      </c>
      <c r="B786" s="2" t="s">
        <v>60</v>
      </c>
      <c r="C786" s="2" t="s">
        <v>7560</v>
      </c>
      <c r="D786" s="2" t="s">
        <v>7561</v>
      </c>
      <c r="E786" s="2" t="s">
        <v>7562</v>
      </c>
      <c r="G786" s="3" t="s">
        <v>62</v>
      </c>
      <c r="I786" s="3" t="s">
        <v>62</v>
      </c>
      <c r="J786" s="3" t="s">
        <v>62</v>
      </c>
      <c r="K786" s="3" t="s">
        <v>63</v>
      </c>
      <c r="L786" s="2" t="s">
        <v>7563</v>
      </c>
      <c r="M786" s="2" t="s">
        <v>7564</v>
      </c>
      <c r="N786" s="3" t="s">
        <v>1478</v>
      </c>
      <c r="P786" s="3" t="s">
        <v>65</v>
      </c>
      <c r="Q786" s="2" t="s">
        <v>7565</v>
      </c>
      <c r="R786" s="3" t="s">
        <v>66</v>
      </c>
      <c r="S786" s="4">
        <v>15</v>
      </c>
      <c r="T786" s="4">
        <v>15</v>
      </c>
      <c r="U786" s="5" t="s">
        <v>7566</v>
      </c>
      <c r="V786" s="5" t="s">
        <v>7566</v>
      </c>
      <c r="W786" s="5" t="s">
        <v>67</v>
      </c>
      <c r="X786" s="5" t="s">
        <v>67</v>
      </c>
      <c r="Y786" s="4">
        <v>511</v>
      </c>
      <c r="Z786" s="4">
        <v>41</v>
      </c>
      <c r="AA786" s="4">
        <v>48</v>
      </c>
      <c r="AB786" s="4">
        <v>2</v>
      </c>
      <c r="AC786" s="4">
        <v>6</v>
      </c>
      <c r="AD786" s="4">
        <v>85</v>
      </c>
      <c r="AE786" s="4">
        <v>91</v>
      </c>
      <c r="AF786" s="4">
        <v>1</v>
      </c>
      <c r="AG786" s="4">
        <v>4</v>
      </c>
      <c r="AH786" s="4">
        <v>70</v>
      </c>
      <c r="AI786" s="4">
        <v>73</v>
      </c>
      <c r="AJ786" s="4">
        <v>13</v>
      </c>
      <c r="AK786" s="4">
        <v>17</v>
      </c>
      <c r="AL786" s="4">
        <v>36</v>
      </c>
      <c r="AM786" s="4">
        <v>38</v>
      </c>
      <c r="AN786" s="4">
        <v>0</v>
      </c>
      <c r="AO786" s="4">
        <v>0</v>
      </c>
      <c r="AP786" s="4">
        <v>22</v>
      </c>
      <c r="AQ786" s="4">
        <v>26</v>
      </c>
      <c r="AR786" s="3" t="s">
        <v>62</v>
      </c>
      <c r="AS786" s="3" t="s">
        <v>62</v>
      </c>
      <c r="AT786" s="3" t="s">
        <v>62</v>
      </c>
      <c r="AV786" s="6" t="str">
        <f>HYPERLINK("http://mcgill.on.worldcat.org/oclc/31045991","Catalog Record")</f>
        <v>Catalog Record</v>
      </c>
      <c r="AW786" s="6" t="str">
        <f>HYPERLINK("http://www.worldcat.org/oclc/31045991","WorldCat Record")</f>
        <v>WorldCat Record</v>
      </c>
      <c r="AX786" s="3" t="s">
        <v>7567</v>
      </c>
      <c r="AY786" s="3" t="s">
        <v>7568</v>
      </c>
      <c r="AZ786" s="3" t="s">
        <v>7569</v>
      </c>
      <c r="BA786" s="3" t="s">
        <v>7569</v>
      </c>
      <c r="BB786" s="3" t="s">
        <v>7570</v>
      </c>
      <c r="BC786" s="3" t="s">
        <v>142</v>
      </c>
      <c r="BD786" s="3" t="s">
        <v>308</v>
      </c>
      <c r="BE786" s="3" t="s">
        <v>7571</v>
      </c>
      <c r="BF786" s="3" t="s">
        <v>7570</v>
      </c>
      <c r="BG786" s="3" t="s">
        <v>7572</v>
      </c>
    </row>
    <row r="787" spans="1:59" ht="57" x14ac:dyDescent="0.45">
      <c r="A787" s="2" t="s">
        <v>59</v>
      </c>
      <c r="B787" s="2" t="s">
        <v>60</v>
      </c>
      <c r="C787" s="2" t="s">
        <v>7573</v>
      </c>
      <c r="D787" s="2" t="s">
        <v>7574</v>
      </c>
      <c r="E787" s="2" t="s">
        <v>7575</v>
      </c>
      <c r="G787" s="3" t="s">
        <v>62</v>
      </c>
      <c r="I787" s="3" t="s">
        <v>62</v>
      </c>
      <c r="J787" s="3" t="s">
        <v>62</v>
      </c>
      <c r="K787" s="3" t="s">
        <v>63</v>
      </c>
      <c r="L787" s="2" t="s">
        <v>7576</v>
      </c>
      <c r="M787" s="2" t="s">
        <v>7577</v>
      </c>
      <c r="N787" s="3" t="s">
        <v>1155</v>
      </c>
      <c r="O787" s="2" t="s">
        <v>3280</v>
      </c>
      <c r="P787" s="3" t="s">
        <v>65</v>
      </c>
      <c r="R787" s="3" t="s">
        <v>66</v>
      </c>
      <c r="S787" s="4">
        <v>8</v>
      </c>
      <c r="T787" s="4">
        <v>8</v>
      </c>
      <c r="U787" s="5" t="s">
        <v>7025</v>
      </c>
      <c r="V787" s="5" t="s">
        <v>7025</v>
      </c>
      <c r="W787" s="5" t="s">
        <v>67</v>
      </c>
      <c r="X787" s="5" t="s">
        <v>67</v>
      </c>
      <c r="Y787" s="4">
        <v>167</v>
      </c>
      <c r="Z787" s="4">
        <v>14</v>
      </c>
      <c r="AA787" s="4">
        <v>17</v>
      </c>
      <c r="AB787" s="4">
        <v>2</v>
      </c>
      <c r="AC787" s="4">
        <v>4</v>
      </c>
      <c r="AD787" s="4">
        <v>21</v>
      </c>
      <c r="AE787" s="4">
        <v>22</v>
      </c>
      <c r="AF787" s="4">
        <v>0</v>
      </c>
      <c r="AG787" s="4">
        <v>1</v>
      </c>
      <c r="AH787" s="4">
        <v>18</v>
      </c>
      <c r="AI787" s="4">
        <v>18</v>
      </c>
      <c r="AJ787" s="4">
        <v>5</v>
      </c>
      <c r="AK787" s="4">
        <v>6</v>
      </c>
      <c r="AL787" s="4">
        <v>10</v>
      </c>
      <c r="AM787" s="4">
        <v>10</v>
      </c>
      <c r="AN787" s="4">
        <v>0</v>
      </c>
      <c r="AO787" s="4">
        <v>0</v>
      </c>
      <c r="AP787" s="4">
        <v>7</v>
      </c>
      <c r="AQ787" s="4">
        <v>8</v>
      </c>
      <c r="AR787" s="3" t="s">
        <v>62</v>
      </c>
      <c r="AS787" s="3" t="s">
        <v>62</v>
      </c>
      <c r="AT787" s="3" t="s">
        <v>62</v>
      </c>
      <c r="AV787" s="6" t="str">
        <f>HYPERLINK("http://mcgill.on.worldcat.org/oclc/772971680","Catalog Record")</f>
        <v>Catalog Record</v>
      </c>
      <c r="AW787" s="6" t="str">
        <f>HYPERLINK("http://www.worldcat.org/oclc/772971680","WorldCat Record")</f>
        <v>WorldCat Record</v>
      </c>
      <c r="AX787" s="3" t="s">
        <v>7578</v>
      </c>
      <c r="AY787" s="3" t="s">
        <v>7579</v>
      </c>
      <c r="AZ787" s="3" t="s">
        <v>7580</v>
      </c>
      <c r="BA787" s="3" t="s">
        <v>7580</v>
      </c>
      <c r="BB787" s="3" t="s">
        <v>7581</v>
      </c>
      <c r="BC787" s="3" t="s">
        <v>142</v>
      </c>
      <c r="BD787" s="3" t="s">
        <v>68</v>
      </c>
      <c r="BE787" s="3" t="s">
        <v>7582</v>
      </c>
      <c r="BF787" s="3" t="s">
        <v>7581</v>
      </c>
      <c r="BG787" s="3" t="s">
        <v>7583</v>
      </c>
    </row>
    <row r="788" spans="1:59" ht="57" x14ac:dyDescent="0.45">
      <c r="A788" s="2" t="s">
        <v>59</v>
      </c>
      <c r="B788" s="2" t="s">
        <v>60</v>
      </c>
      <c r="C788" s="2" t="s">
        <v>7584</v>
      </c>
      <c r="D788" s="2" t="s">
        <v>7585</v>
      </c>
      <c r="E788" s="2" t="s">
        <v>7586</v>
      </c>
      <c r="F788" s="3" t="s">
        <v>87</v>
      </c>
      <c r="G788" s="3" t="s">
        <v>61</v>
      </c>
      <c r="I788" s="3" t="s">
        <v>62</v>
      </c>
      <c r="J788" s="3" t="s">
        <v>62</v>
      </c>
      <c r="K788" s="3" t="s">
        <v>63</v>
      </c>
      <c r="M788" s="2" t="s">
        <v>7587</v>
      </c>
      <c r="N788" s="3" t="s">
        <v>1155</v>
      </c>
      <c r="P788" s="3" t="s">
        <v>65</v>
      </c>
      <c r="R788" s="3" t="s">
        <v>66</v>
      </c>
      <c r="S788" s="4">
        <v>0</v>
      </c>
      <c r="T788" s="4">
        <v>0</v>
      </c>
      <c r="W788" s="5" t="s">
        <v>67</v>
      </c>
      <c r="X788" s="5" t="s">
        <v>67</v>
      </c>
      <c r="Y788" s="4">
        <v>16</v>
      </c>
      <c r="Z788" s="4">
        <v>2</v>
      </c>
      <c r="AA788" s="4">
        <v>2</v>
      </c>
      <c r="AB788" s="4">
        <v>1</v>
      </c>
      <c r="AC788" s="4">
        <v>1</v>
      </c>
      <c r="AD788" s="4">
        <v>8</v>
      </c>
      <c r="AE788" s="4">
        <v>8</v>
      </c>
      <c r="AF788" s="4">
        <v>0</v>
      </c>
      <c r="AG788" s="4">
        <v>0</v>
      </c>
      <c r="AH788" s="4">
        <v>7</v>
      </c>
      <c r="AI788" s="4">
        <v>7</v>
      </c>
      <c r="AJ788" s="4">
        <v>1</v>
      </c>
      <c r="AK788" s="4">
        <v>1</v>
      </c>
      <c r="AL788" s="4">
        <v>5</v>
      </c>
      <c r="AM788" s="4">
        <v>5</v>
      </c>
      <c r="AN788" s="4">
        <v>0</v>
      </c>
      <c r="AO788" s="4">
        <v>0</v>
      </c>
      <c r="AP788" s="4">
        <v>1</v>
      </c>
      <c r="AQ788" s="4">
        <v>1</v>
      </c>
      <c r="AR788" s="3" t="s">
        <v>62</v>
      </c>
      <c r="AS788" s="3" t="s">
        <v>62</v>
      </c>
      <c r="AT788" s="3" t="s">
        <v>62</v>
      </c>
      <c r="AV788" s="6" t="str">
        <f>HYPERLINK("http://mcgill.on.worldcat.org/oclc/774639688","Catalog Record")</f>
        <v>Catalog Record</v>
      </c>
      <c r="AW788" s="6" t="str">
        <f>HYPERLINK("http://www.worldcat.org/oclc/774639688","WorldCat Record")</f>
        <v>WorldCat Record</v>
      </c>
      <c r="AX788" s="3" t="s">
        <v>7588</v>
      </c>
      <c r="AY788" s="3" t="s">
        <v>7589</v>
      </c>
      <c r="AZ788" s="3" t="s">
        <v>7590</v>
      </c>
      <c r="BA788" s="3" t="s">
        <v>7590</v>
      </c>
      <c r="BB788" s="3" t="s">
        <v>7591</v>
      </c>
      <c r="BC788" s="3" t="s">
        <v>142</v>
      </c>
      <c r="BD788" s="3" t="s">
        <v>68</v>
      </c>
      <c r="BE788" s="3" t="s">
        <v>7592</v>
      </c>
      <c r="BF788" s="3" t="s">
        <v>7591</v>
      </c>
      <c r="BG788" s="3" t="s">
        <v>7593</v>
      </c>
    </row>
    <row r="789" spans="1:59" ht="57" x14ac:dyDescent="0.45">
      <c r="A789" s="2" t="s">
        <v>59</v>
      </c>
      <c r="B789" s="2" t="s">
        <v>60</v>
      </c>
      <c r="C789" s="2" t="s">
        <v>7584</v>
      </c>
      <c r="D789" s="2" t="s">
        <v>7585</v>
      </c>
      <c r="E789" s="2" t="s">
        <v>7586</v>
      </c>
      <c r="F789" s="3" t="s">
        <v>90</v>
      </c>
      <c r="G789" s="3" t="s">
        <v>61</v>
      </c>
      <c r="I789" s="3" t="s">
        <v>62</v>
      </c>
      <c r="J789" s="3" t="s">
        <v>62</v>
      </c>
      <c r="K789" s="3" t="s">
        <v>63</v>
      </c>
      <c r="M789" s="2" t="s">
        <v>7587</v>
      </c>
      <c r="N789" s="3" t="s">
        <v>1155</v>
      </c>
      <c r="P789" s="3" t="s">
        <v>65</v>
      </c>
      <c r="R789" s="3" t="s">
        <v>66</v>
      </c>
      <c r="S789" s="4">
        <v>0</v>
      </c>
      <c r="T789" s="4">
        <v>0</v>
      </c>
      <c r="W789" s="5" t="s">
        <v>67</v>
      </c>
      <c r="X789" s="5" t="s">
        <v>67</v>
      </c>
      <c r="Y789" s="4">
        <v>16</v>
      </c>
      <c r="Z789" s="4">
        <v>2</v>
      </c>
      <c r="AA789" s="4">
        <v>2</v>
      </c>
      <c r="AB789" s="4">
        <v>1</v>
      </c>
      <c r="AC789" s="4">
        <v>1</v>
      </c>
      <c r="AD789" s="4">
        <v>8</v>
      </c>
      <c r="AE789" s="4">
        <v>8</v>
      </c>
      <c r="AF789" s="4">
        <v>0</v>
      </c>
      <c r="AG789" s="4">
        <v>0</v>
      </c>
      <c r="AH789" s="4">
        <v>7</v>
      </c>
      <c r="AI789" s="4">
        <v>7</v>
      </c>
      <c r="AJ789" s="4">
        <v>1</v>
      </c>
      <c r="AK789" s="4">
        <v>1</v>
      </c>
      <c r="AL789" s="4">
        <v>5</v>
      </c>
      <c r="AM789" s="4">
        <v>5</v>
      </c>
      <c r="AN789" s="4">
        <v>0</v>
      </c>
      <c r="AO789" s="4">
        <v>0</v>
      </c>
      <c r="AP789" s="4">
        <v>1</v>
      </c>
      <c r="AQ789" s="4">
        <v>1</v>
      </c>
      <c r="AR789" s="3" t="s">
        <v>62</v>
      </c>
      <c r="AS789" s="3" t="s">
        <v>62</v>
      </c>
      <c r="AT789" s="3" t="s">
        <v>62</v>
      </c>
      <c r="AV789" s="6" t="str">
        <f>HYPERLINK("http://mcgill.on.worldcat.org/oclc/774639688","Catalog Record")</f>
        <v>Catalog Record</v>
      </c>
      <c r="AW789" s="6" t="str">
        <f>HYPERLINK("http://www.worldcat.org/oclc/774639688","WorldCat Record")</f>
        <v>WorldCat Record</v>
      </c>
      <c r="AX789" s="3" t="s">
        <v>7588</v>
      </c>
      <c r="AY789" s="3" t="s">
        <v>7589</v>
      </c>
      <c r="AZ789" s="3" t="s">
        <v>7590</v>
      </c>
      <c r="BA789" s="3" t="s">
        <v>7590</v>
      </c>
      <c r="BB789" s="3" t="s">
        <v>7594</v>
      </c>
      <c r="BC789" s="3" t="s">
        <v>142</v>
      </c>
      <c r="BD789" s="3" t="s">
        <v>68</v>
      </c>
      <c r="BE789" s="3" t="s">
        <v>7592</v>
      </c>
      <c r="BF789" s="3" t="s">
        <v>7594</v>
      </c>
      <c r="BG789" s="3" t="s">
        <v>7595</v>
      </c>
    </row>
    <row r="790" spans="1:59" ht="57" x14ac:dyDescent="0.45">
      <c r="A790" s="2" t="s">
        <v>59</v>
      </c>
      <c r="B790" s="2" t="s">
        <v>60</v>
      </c>
      <c r="C790" s="2" t="s">
        <v>7596</v>
      </c>
      <c r="D790" s="2" t="s">
        <v>7597</v>
      </c>
      <c r="E790" s="2" t="s">
        <v>7598</v>
      </c>
      <c r="G790" s="3" t="s">
        <v>62</v>
      </c>
      <c r="I790" s="3" t="s">
        <v>62</v>
      </c>
      <c r="J790" s="3" t="s">
        <v>62</v>
      </c>
      <c r="K790" s="3" t="s">
        <v>63</v>
      </c>
      <c r="L790" s="2" t="s">
        <v>7599</v>
      </c>
      <c r="M790" s="2" t="s">
        <v>7600</v>
      </c>
      <c r="N790" s="3" t="s">
        <v>894</v>
      </c>
      <c r="P790" s="3" t="s">
        <v>65</v>
      </c>
      <c r="R790" s="3" t="s">
        <v>66</v>
      </c>
      <c r="S790" s="4">
        <v>4</v>
      </c>
      <c r="T790" s="4">
        <v>4</v>
      </c>
      <c r="U790" s="5" t="s">
        <v>7065</v>
      </c>
      <c r="V790" s="5" t="s">
        <v>7065</v>
      </c>
      <c r="W790" s="5" t="s">
        <v>67</v>
      </c>
      <c r="X790" s="5" t="s">
        <v>67</v>
      </c>
      <c r="Y790" s="4">
        <v>169</v>
      </c>
      <c r="Z790" s="4">
        <v>9</v>
      </c>
      <c r="AA790" s="4">
        <v>80</v>
      </c>
      <c r="AB790" s="4">
        <v>2</v>
      </c>
      <c r="AC790" s="4">
        <v>15</v>
      </c>
      <c r="AD790" s="4">
        <v>23</v>
      </c>
      <c r="AE790" s="4">
        <v>103</v>
      </c>
      <c r="AF790" s="4">
        <v>1</v>
      </c>
      <c r="AG790" s="4">
        <v>8</v>
      </c>
      <c r="AH790" s="4">
        <v>20</v>
      </c>
      <c r="AI790" s="4">
        <v>69</v>
      </c>
      <c r="AJ790" s="4">
        <v>6</v>
      </c>
      <c r="AK790" s="4">
        <v>22</v>
      </c>
      <c r="AL790" s="4">
        <v>10</v>
      </c>
      <c r="AM790" s="4">
        <v>33</v>
      </c>
      <c r="AN790" s="4">
        <v>0</v>
      </c>
      <c r="AO790" s="4">
        <v>0</v>
      </c>
      <c r="AP790" s="4">
        <v>7</v>
      </c>
      <c r="AQ790" s="4">
        <v>42</v>
      </c>
      <c r="AR790" s="3" t="s">
        <v>62</v>
      </c>
      <c r="AS790" s="3" t="s">
        <v>62</v>
      </c>
      <c r="AT790" s="3" t="s">
        <v>62</v>
      </c>
      <c r="AV790" s="6" t="str">
        <f>HYPERLINK("http://mcgill.on.worldcat.org/oclc/711945724","Catalog Record")</f>
        <v>Catalog Record</v>
      </c>
      <c r="AW790" s="6" t="str">
        <f>HYPERLINK("http://www.worldcat.org/oclc/711945724","WorldCat Record")</f>
        <v>WorldCat Record</v>
      </c>
      <c r="AX790" s="3" t="s">
        <v>7601</v>
      </c>
      <c r="AY790" s="3" t="s">
        <v>7602</v>
      </c>
      <c r="AZ790" s="3" t="s">
        <v>7603</v>
      </c>
      <c r="BA790" s="3" t="s">
        <v>7603</v>
      </c>
      <c r="BB790" s="3" t="s">
        <v>7604</v>
      </c>
      <c r="BC790" s="3" t="s">
        <v>142</v>
      </c>
      <c r="BD790" s="3" t="s">
        <v>68</v>
      </c>
      <c r="BE790" s="3" t="s">
        <v>7605</v>
      </c>
      <c r="BF790" s="3" t="s">
        <v>7604</v>
      </c>
      <c r="BG790" s="3" t="s">
        <v>7606</v>
      </c>
    </row>
    <row r="791" spans="1:59" ht="57" x14ac:dyDescent="0.45">
      <c r="A791" s="2" t="s">
        <v>59</v>
      </c>
      <c r="B791" s="2" t="s">
        <v>60</v>
      </c>
      <c r="C791" s="2" t="s">
        <v>7607</v>
      </c>
      <c r="D791" s="2" t="s">
        <v>7608</v>
      </c>
      <c r="E791" s="2" t="s">
        <v>7609</v>
      </c>
      <c r="G791" s="3" t="s">
        <v>62</v>
      </c>
      <c r="I791" s="3" t="s">
        <v>62</v>
      </c>
      <c r="J791" s="3" t="s">
        <v>62</v>
      </c>
      <c r="K791" s="3" t="s">
        <v>63</v>
      </c>
      <c r="L791" s="2" t="s">
        <v>7610</v>
      </c>
      <c r="M791" s="2" t="s">
        <v>7611</v>
      </c>
      <c r="N791" s="3" t="s">
        <v>568</v>
      </c>
      <c r="P791" s="3" t="s">
        <v>65</v>
      </c>
      <c r="Q791" s="2" t="s">
        <v>7612</v>
      </c>
      <c r="R791" s="3" t="s">
        <v>66</v>
      </c>
      <c r="S791" s="4">
        <v>27</v>
      </c>
      <c r="T791" s="4">
        <v>27</v>
      </c>
      <c r="U791" s="5" t="s">
        <v>782</v>
      </c>
      <c r="V791" s="5" t="s">
        <v>782</v>
      </c>
      <c r="W791" s="5" t="s">
        <v>67</v>
      </c>
      <c r="X791" s="5" t="s">
        <v>67</v>
      </c>
      <c r="Y791" s="4">
        <v>356</v>
      </c>
      <c r="Z791" s="4">
        <v>22</v>
      </c>
      <c r="AA791" s="4">
        <v>26</v>
      </c>
      <c r="AB791" s="4">
        <v>2</v>
      </c>
      <c r="AC791" s="4">
        <v>5</v>
      </c>
      <c r="AD791" s="4">
        <v>71</v>
      </c>
      <c r="AE791" s="4">
        <v>75</v>
      </c>
      <c r="AF791" s="4">
        <v>1</v>
      </c>
      <c r="AG791" s="4">
        <v>4</v>
      </c>
      <c r="AH791" s="4">
        <v>58</v>
      </c>
      <c r="AI791" s="4">
        <v>59</v>
      </c>
      <c r="AJ791" s="4">
        <v>11</v>
      </c>
      <c r="AK791" s="4">
        <v>13</v>
      </c>
      <c r="AL791" s="4">
        <v>25</v>
      </c>
      <c r="AM791" s="4">
        <v>25</v>
      </c>
      <c r="AN791" s="4">
        <v>0</v>
      </c>
      <c r="AO791" s="4">
        <v>0</v>
      </c>
      <c r="AP791" s="4">
        <v>18</v>
      </c>
      <c r="AQ791" s="4">
        <v>22</v>
      </c>
      <c r="AR791" s="3" t="s">
        <v>62</v>
      </c>
      <c r="AS791" s="3" t="s">
        <v>62</v>
      </c>
      <c r="AT791" s="3" t="s">
        <v>61</v>
      </c>
      <c r="AU791" s="6" t="str">
        <f>HYPERLINK("http://catalog.hathitrust.org/Record/000856110","HathiTrust Record")</f>
        <v>HathiTrust Record</v>
      </c>
      <c r="AV791" s="6" t="str">
        <f>HYPERLINK("http://mcgill.on.worldcat.org/oclc/16518916","Catalog Record")</f>
        <v>Catalog Record</v>
      </c>
      <c r="AW791" s="6" t="str">
        <f>HYPERLINK("http://www.worldcat.org/oclc/16518916","WorldCat Record")</f>
        <v>WorldCat Record</v>
      </c>
      <c r="AX791" s="3" t="s">
        <v>7613</v>
      </c>
      <c r="AY791" s="3" t="s">
        <v>7614</v>
      </c>
      <c r="AZ791" s="3" t="s">
        <v>7615</v>
      </c>
      <c r="BA791" s="3" t="s">
        <v>7615</v>
      </c>
      <c r="BB791" s="3" t="s">
        <v>7616</v>
      </c>
      <c r="BC791" s="3" t="s">
        <v>142</v>
      </c>
      <c r="BD791" s="3" t="s">
        <v>68</v>
      </c>
      <c r="BE791" s="3" t="s">
        <v>7617</v>
      </c>
      <c r="BF791" s="3" t="s">
        <v>7616</v>
      </c>
      <c r="BG791" s="3" t="s">
        <v>7618</v>
      </c>
    </row>
    <row r="792" spans="1:59" ht="85.5" x14ac:dyDescent="0.45">
      <c r="A792" s="2" t="s">
        <v>59</v>
      </c>
      <c r="B792" s="2" t="s">
        <v>60</v>
      </c>
      <c r="C792" s="2" t="s">
        <v>7619</v>
      </c>
      <c r="D792" s="2" t="s">
        <v>7620</v>
      </c>
      <c r="E792" s="2" t="s">
        <v>7621</v>
      </c>
      <c r="G792" s="3" t="s">
        <v>62</v>
      </c>
      <c r="I792" s="3" t="s">
        <v>62</v>
      </c>
      <c r="J792" s="3" t="s">
        <v>62</v>
      </c>
      <c r="K792" s="3" t="s">
        <v>63</v>
      </c>
      <c r="L792" s="2" t="s">
        <v>7622</v>
      </c>
      <c r="M792" s="2" t="s">
        <v>7623</v>
      </c>
      <c r="N792" s="3" t="s">
        <v>208</v>
      </c>
      <c r="P792" s="3" t="s">
        <v>65</v>
      </c>
      <c r="Q792" s="2" t="s">
        <v>7624</v>
      </c>
      <c r="R792" s="3" t="s">
        <v>66</v>
      </c>
      <c r="S792" s="4">
        <v>3</v>
      </c>
      <c r="T792" s="4">
        <v>3</v>
      </c>
      <c r="U792" s="5" t="s">
        <v>7625</v>
      </c>
      <c r="V792" s="5" t="s">
        <v>7625</v>
      </c>
      <c r="W792" s="5" t="s">
        <v>67</v>
      </c>
      <c r="X792" s="5" t="s">
        <v>67</v>
      </c>
      <c r="Y792" s="4">
        <v>82</v>
      </c>
      <c r="Z792" s="4">
        <v>15</v>
      </c>
      <c r="AA792" s="4">
        <v>76</v>
      </c>
      <c r="AB792" s="4">
        <v>3</v>
      </c>
      <c r="AC792" s="4">
        <v>15</v>
      </c>
      <c r="AD792" s="4">
        <v>26</v>
      </c>
      <c r="AE792" s="4">
        <v>92</v>
      </c>
      <c r="AF792" s="4">
        <v>1</v>
      </c>
      <c r="AG792" s="4">
        <v>8</v>
      </c>
      <c r="AH792" s="4">
        <v>21</v>
      </c>
      <c r="AI792" s="4">
        <v>59</v>
      </c>
      <c r="AJ792" s="4">
        <v>10</v>
      </c>
      <c r="AK792" s="4">
        <v>22</v>
      </c>
      <c r="AL792" s="4">
        <v>14</v>
      </c>
      <c r="AM792" s="4">
        <v>30</v>
      </c>
      <c r="AN792" s="4">
        <v>0</v>
      </c>
      <c r="AO792" s="4">
        <v>0</v>
      </c>
      <c r="AP792" s="4">
        <v>11</v>
      </c>
      <c r="AQ792" s="4">
        <v>42</v>
      </c>
      <c r="AR792" s="3" t="s">
        <v>62</v>
      </c>
      <c r="AS792" s="3" t="s">
        <v>62</v>
      </c>
      <c r="AT792" s="3" t="s">
        <v>62</v>
      </c>
      <c r="AV792" s="6" t="str">
        <f>HYPERLINK("http://mcgill.on.worldcat.org/oclc/904542181","Catalog Record")</f>
        <v>Catalog Record</v>
      </c>
      <c r="AW792" s="6" t="str">
        <f>HYPERLINK("http://www.worldcat.org/oclc/904542181","WorldCat Record")</f>
        <v>WorldCat Record</v>
      </c>
      <c r="AX792" s="3" t="s">
        <v>7626</v>
      </c>
      <c r="AY792" s="3" t="s">
        <v>7627</v>
      </c>
      <c r="AZ792" s="3" t="s">
        <v>7628</v>
      </c>
      <c r="BA792" s="3" t="s">
        <v>7628</v>
      </c>
      <c r="BB792" s="3" t="s">
        <v>7629</v>
      </c>
      <c r="BC792" s="3" t="s">
        <v>142</v>
      </c>
      <c r="BD792" s="3" t="s">
        <v>68</v>
      </c>
      <c r="BE792" s="3" t="s">
        <v>7630</v>
      </c>
      <c r="BF792" s="3" t="s">
        <v>7629</v>
      </c>
      <c r="BG792" s="3" t="s">
        <v>7631</v>
      </c>
    </row>
    <row r="793" spans="1:59" ht="85.5" x14ac:dyDescent="0.45">
      <c r="A793" s="2" t="s">
        <v>59</v>
      </c>
      <c r="B793" s="2" t="s">
        <v>60</v>
      </c>
      <c r="C793" s="2" t="s">
        <v>7632</v>
      </c>
      <c r="D793" s="2" t="s">
        <v>7633</v>
      </c>
      <c r="E793" s="2" t="s">
        <v>7634</v>
      </c>
      <c r="G793" s="3" t="s">
        <v>62</v>
      </c>
      <c r="I793" s="3" t="s">
        <v>62</v>
      </c>
      <c r="J793" s="3" t="s">
        <v>62</v>
      </c>
      <c r="K793" s="3" t="s">
        <v>63</v>
      </c>
      <c r="M793" s="2" t="s">
        <v>7635</v>
      </c>
      <c r="N793" s="3" t="s">
        <v>1855</v>
      </c>
      <c r="P793" s="3" t="s">
        <v>65</v>
      </c>
      <c r="Q793" s="2" t="s">
        <v>4186</v>
      </c>
      <c r="R793" s="3" t="s">
        <v>66</v>
      </c>
      <c r="S793" s="4">
        <v>5</v>
      </c>
      <c r="T793" s="4">
        <v>5</v>
      </c>
      <c r="U793" s="5" t="s">
        <v>3232</v>
      </c>
      <c r="V793" s="5" t="s">
        <v>3232</v>
      </c>
      <c r="W793" s="5" t="s">
        <v>67</v>
      </c>
      <c r="X793" s="5" t="s">
        <v>67</v>
      </c>
      <c r="Y793" s="4">
        <v>41</v>
      </c>
      <c r="Z793" s="4">
        <v>2</v>
      </c>
      <c r="AA793" s="4">
        <v>109</v>
      </c>
      <c r="AB793" s="4">
        <v>1</v>
      </c>
      <c r="AC793" s="4">
        <v>18</v>
      </c>
      <c r="AD793" s="4">
        <v>9</v>
      </c>
      <c r="AE793" s="4">
        <v>124</v>
      </c>
      <c r="AF793" s="4">
        <v>0</v>
      </c>
      <c r="AG793" s="4">
        <v>8</v>
      </c>
      <c r="AH793" s="4">
        <v>8</v>
      </c>
      <c r="AI793" s="4">
        <v>87</v>
      </c>
      <c r="AJ793" s="4">
        <v>1</v>
      </c>
      <c r="AK793" s="4">
        <v>25</v>
      </c>
      <c r="AL793" s="4">
        <v>7</v>
      </c>
      <c r="AM793" s="4">
        <v>42</v>
      </c>
      <c r="AN793" s="4">
        <v>0</v>
      </c>
      <c r="AO793" s="4">
        <v>0</v>
      </c>
      <c r="AP793" s="4">
        <v>1</v>
      </c>
      <c r="AQ793" s="4">
        <v>46</v>
      </c>
      <c r="AR793" s="3" t="s">
        <v>62</v>
      </c>
      <c r="AS793" s="3" t="s">
        <v>62</v>
      </c>
      <c r="AT793" s="3" t="s">
        <v>62</v>
      </c>
      <c r="AV793" s="6" t="str">
        <f>HYPERLINK("http://mcgill.on.worldcat.org/oclc/56012134","Catalog Record")</f>
        <v>Catalog Record</v>
      </c>
      <c r="AW793" s="6" t="str">
        <f>HYPERLINK("http://www.worldcat.org/oclc/56012134","WorldCat Record")</f>
        <v>WorldCat Record</v>
      </c>
      <c r="AX793" s="3" t="s">
        <v>7636</v>
      </c>
      <c r="AY793" s="3" t="s">
        <v>7637</v>
      </c>
      <c r="AZ793" s="3" t="s">
        <v>7638</v>
      </c>
      <c r="BA793" s="3" t="s">
        <v>7638</v>
      </c>
      <c r="BB793" s="3" t="s">
        <v>7639</v>
      </c>
      <c r="BC793" s="3" t="s">
        <v>142</v>
      </c>
      <c r="BD793" s="3" t="s">
        <v>68</v>
      </c>
      <c r="BE793" s="3" t="s">
        <v>7640</v>
      </c>
      <c r="BF793" s="3" t="s">
        <v>7639</v>
      </c>
      <c r="BG793" s="3" t="s">
        <v>7641</v>
      </c>
    </row>
    <row r="794" spans="1:59" ht="85.5" x14ac:dyDescent="0.45">
      <c r="A794" s="2" t="s">
        <v>59</v>
      </c>
      <c r="B794" s="2" t="s">
        <v>60</v>
      </c>
      <c r="C794" s="2" t="s">
        <v>7642</v>
      </c>
      <c r="D794" s="2" t="s">
        <v>7643</v>
      </c>
      <c r="E794" s="2" t="s">
        <v>7644</v>
      </c>
      <c r="G794" s="3" t="s">
        <v>62</v>
      </c>
      <c r="I794" s="3" t="s">
        <v>62</v>
      </c>
      <c r="J794" s="3" t="s">
        <v>62</v>
      </c>
      <c r="K794" s="3" t="s">
        <v>63</v>
      </c>
      <c r="L794" s="2" t="s">
        <v>7645</v>
      </c>
      <c r="M794" s="2" t="s">
        <v>2631</v>
      </c>
      <c r="N794" s="3" t="s">
        <v>116</v>
      </c>
      <c r="P794" s="3" t="s">
        <v>65</v>
      </c>
      <c r="R794" s="3" t="s">
        <v>66</v>
      </c>
      <c r="S794" s="4">
        <v>0</v>
      </c>
      <c r="T794" s="4">
        <v>0</v>
      </c>
      <c r="W794" s="5" t="s">
        <v>67</v>
      </c>
      <c r="X794" s="5" t="s">
        <v>67</v>
      </c>
      <c r="Y794" s="4">
        <v>117</v>
      </c>
      <c r="Z794" s="4">
        <v>14</v>
      </c>
      <c r="AA794" s="4">
        <v>82</v>
      </c>
      <c r="AB794" s="4">
        <v>1</v>
      </c>
      <c r="AC794" s="4">
        <v>14</v>
      </c>
      <c r="AD794" s="4">
        <v>53</v>
      </c>
      <c r="AE794" s="4">
        <v>122</v>
      </c>
      <c r="AF794" s="4">
        <v>0</v>
      </c>
      <c r="AG794" s="4">
        <v>8</v>
      </c>
      <c r="AH794" s="4">
        <v>49</v>
      </c>
      <c r="AI794" s="4">
        <v>89</v>
      </c>
      <c r="AJ794" s="4">
        <v>8</v>
      </c>
      <c r="AK794" s="4">
        <v>23</v>
      </c>
      <c r="AL794" s="4">
        <v>32</v>
      </c>
      <c r="AM794" s="4">
        <v>48</v>
      </c>
      <c r="AN794" s="4">
        <v>0</v>
      </c>
      <c r="AO794" s="4">
        <v>0</v>
      </c>
      <c r="AP794" s="4">
        <v>9</v>
      </c>
      <c r="AQ794" s="4">
        <v>42</v>
      </c>
      <c r="AR794" s="3" t="s">
        <v>62</v>
      </c>
      <c r="AS794" s="3" t="s">
        <v>62</v>
      </c>
      <c r="AT794" s="3" t="s">
        <v>62</v>
      </c>
      <c r="AV794" s="6" t="str">
        <f>HYPERLINK("http://mcgill.on.worldcat.org/oclc/828626791","Catalog Record")</f>
        <v>Catalog Record</v>
      </c>
      <c r="AW794" s="6" t="str">
        <f>HYPERLINK("http://www.worldcat.org/oclc/828626791","WorldCat Record")</f>
        <v>WorldCat Record</v>
      </c>
      <c r="AX794" s="3" t="s">
        <v>7646</v>
      </c>
      <c r="AY794" s="3" t="s">
        <v>7647</v>
      </c>
      <c r="AZ794" s="3" t="s">
        <v>7648</v>
      </c>
      <c r="BA794" s="3" t="s">
        <v>7648</v>
      </c>
      <c r="BB794" s="3" t="s">
        <v>7649</v>
      </c>
      <c r="BC794" s="3" t="s">
        <v>142</v>
      </c>
      <c r="BD794" s="3" t="s">
        <v>68</v>
      </c>
      <c r="BE794" s="3" t="s">
        <v>7650</v>
      </c>
      <c r="BF794" s="3" t="s">
        <v>7649</v>
      </c>
      <c r="BG794" s="3" t="s">
        <v>7651</v>
      </c>
    </row>
    <row r="795" spans="1:59" ht="85.5" x14ac:dyDescent="0.45">
      <c r="A795" s="2" t="s">
        <v>59</v>
      </c>
      <c r="B795" s="2" t="s">
        <v>60</v>
      </c>
      <c r="C795" s="2" t="s">
        <v>7652</v>
      </c>
      <c r="D795" s="2" t="s">
        <v>7653</v>
      </c>
      <c r="E795" s="2" t="s">
        <v>7654</v>
      </c>
      <c r="G795" s="3" t="s">
        <v>62</v>
      </c>
      <c r="I795" s="3" t="s">
        <v>62</v>
      </c>
      <c r="J795" s="3" t="s">
        <v>62</v>
      </c>
      <c r="K795" s="3" t="s">
        <v>63</v>
      </c>
      <c r="M795" s="2" t="s">
        <v>7655</v>
      </c>
      <c r="N795" s="3" t="s">
        <v>1212</v>
      </c>
      <c r="P795" s="3" t="s">
        <v>65</v>
      </c>
      <c r="R795" s="3" t="s">
        <v>66</v>
      </c>
      <c r="S795" s="4">
        <v>22</v>
      </c>
      <c r="T795" s="4">
        <v>22</v>
      </c>
      <c r="U795" s="5" t="s">
        <v>6989</v>
      </c>
      <c r="V795" s="5" t="s">
        <v>6989</v>
      </c>
      <c r="W795" s="5" t="s">
        <v>67</v>
      </c>
      <c r="X795" s="5" t="s">
        <v>67</v>
      </c>
      <c r="Y795" s="4">
        <v>212</v>
      </c>
      <c r="Z795" s="4">
        <v>15</v>
      </c>
      <c r="AA795" s="4">
        <v>16</v>
      </c>
      <c r="AB795" s="4">
        <v>2</v>
      </c>
      <c r="AC795" s="4">
        <v>3</v>
      </c>
      <c r="AD795" s="4">
        <v>80</v>
      </c>
      <c r="AE795" s="4">
        <v>81</v>
      </c>
      <c r="AF795" s="4">
        <v>1</v>
      </c>
      <c r="AG795" s="4">
        <v>2</v>
      </c>
      <c r="AH795" s="4">
        <v>72</v>
      </c>
      <c r="AI795" s="4">
        <v>72</v>
      </c>
      <c r="AJ795" s="4">
        <v>9</v>
      </c>
      <c r="AK795" s="4">
        <v>10</v>
      </c>
      <c r="AL795" s="4">
        <v>45</v>
      </c>
      <c r="AM795" s="4">
        <v>45</v>
      </c>
      <c r="AN795" s="4">
        <v>0</v>
      </c>
      <c r="AO795" s="4">
        <v>0</v>
      </c>
      <c r="AP795" s="4">
        <v>10</v>
      </c>
      <c r="AQ795" s="4">
        <v>11</v>
      </c>
      <c r="AR795" s="3" t="s">
        <v>62</v>
      </c>
      <c r="AS795" s="3" t="s">
        <v>62</v>
      </c>
      <c r="AT795" s="3" t="s">
        <v>61</v>
      </c>
      <c r="AU795" s="6" t="str">
        <f>HYPERLINK("http://catalog.hathitrust.org/Record/004120195","HathiTrust Record")</f>
        <v>HathiTrust Record</v>
      </c>
      <c r="AV795" s="6" t="str">
        <f>HYPERLINK("http://mcgill.on.worldcat.org/oclc/43115101","Catalog Record")</f>
        <v>Catalog Record</v>
      </c>
      <c r="AW795" s="6" t="str">
        <f>HYPERLINK("http://www.worldcat.org/oclc/43115101","WorldCat Record")</f>
        <v>WorldCat Record</v>
      </c>
      <c r="AX795" s="3" t="s">
        <v>7656</v>
      </c>
      <c r="AY795" s="3" t="s">
        <v>7657</v>
      </c>
      <c r="AZ795" s="3" t="s">
        <v>7658</v>
      </c>
      <c r="BA795" s="3" t="s">
        <v>7658</v>
      </c>
      <c r="BB795" s="3" t="s">
        <v>7659</v>
      </c>
      <c r="BC795" s="3" t="s">
        <v>142</v>
      </c>
      <c r="BD795" s="3" t="s">
        <v>68</v>
      </c>
      <c r="BE795" s="3" t="s">
        <v>7660</v>
      </c>
      <c r="BF795" s="3" t="s">
        <v>7659</v>
      </c>
      <c r="BG795" s="3" t="s">
        <v>7661</v>
      </c>
    </row>
    <row r="796" spans="1:59" ht="85.5" x14ac:dyDescent="0.45">
      <c r="A796" s="2" t="s">
        <v>59</v>
      </c>
      <c r="B796" s="2" t="s">
        <v>60</v>
      </c>
      <c r="C796" s="2" t="s">
        <v>7662</v>
      </c>
      <c r="D796" s="2" t="s">
        <v>7663</v>
      </c>
      <c r="E796" s="2" t="s">
        <v>7664</v>
      </c>
      <c r="G796" s="3" t="s">
        <v>62</v>
      </c>
      <c r="I796" s="3" t="s">
        <v>62</v>
      </c>
      <c r="J796" s="3" t="s">
        <v>62</v>
      </c>
      <c r="K796" s="3" t="s">
        <v>63</v>
      </c>
      <c r="L796" s="2" t="s">
        <v>7665</v>
      </c>
      <c r="M796" s="2" t="s">
        <v>7666</v>
      </c>
      <c r="N796" s="3" t="s">
        <v>820</v>
      </c>
      <c r="P796" s="3" t="s">
        <v>65</v>
      </c>
      <c r="Q796" s="2" t="s">
        <v>7466</v>
      </c>
      <c r="R796" s="3" t="s">
        <v>66</v>
      </c>
      <c r="S796" s="4">
        <v>7</v>
      </c>
      <c r="T796" s="4">
        <v>7</v>
      </c>
      <c r="U796" s="5" t="s">
        <v>7667</v>
      </c>
      <c r="V796" s="5" t="s">
        <v>7667</v>
      </c>
      <c r="W796" s="5" t="s">
        <v>67</v>
      </c>
      <c r="X796" s="5" t="s">
        <v>67</v>
      </c>
      <c r="Y796" s="4">
        <v>171</v>
      </c>
      <c r="Z796" s="4">
        <v>14</v>
      </c>
      <c r="AA796" s="4">
        <v>18</v>
      </c>
      <c r="AB796" s="4">
        <v>1</v>
      </c>
      <c r="AC796" s="4">
        <v>2</v>
      </c>
      <c r="AD796" s="4">
        <v>58</v>
      </c>
      <c r="AE796" s="4">
        <v>64</v>
      </c>
      <c r="AF796" s="4">
        <v>0</v>
      </c>
      <c r="AG796" s="4">
        <v>0</v>
      </c>
      <c r="AH796" s="4">
        <v>52</v>
      </c>
      <c r="AI796" s="4">
        <v>55</v>
      </c>
      <c r="AJ796" s="4">
        <v>10</v>
      </c>
      <c r="AK796" s="4">
        <v>12</v>
      </c>
      <c r="AL796" s="4">
        <v>33</v>
      </c>
      <c r="AM796" s="4">
        <v>35</v>
      </c>
      <c r="AN796" s="4">
        <v>0</v>
      </c>
      <c r="AO796" s="4">
        <v>0</v>
      </c>
      <c r="AP796" s="4">
        <v>11</v>
      </c>
      <c r="AQ796" s="4">
        <v>14</v>
      </c>
      <c r="AR796" s="3" t="s">
        <v>62</v>
      </c>
      <c r="AS796" s="3" t="s">
        <v>62</v>
      </c>
      <c r="AT796" s="3" t="s">
        <v>61</v>
      </c>
      <c r="AU796" s="6" t="str">
        <f>HYPERLINK("http://catalog.hathitrust.org/Record/008325161","HathiTrust Record")</f>
        <v>HathiTrust Record</v>
      </c>
      <c r="AV796" s="6" t="str">
        <f>HYPERLINK("http://mcgill.on.worldcat.org/oclc/165082622","Catalog Record")</f>
        <v>Catalog Record</v>
      </c>
      <c r="AW796" s="6" t="str">
        <f>HYPERLINK("http://www.worldcat.org/oclc/165082622","WorldCat Record")</f>
        <v>WorldCat Record</v>
      </c>
      <c r="AX796" s="3" t="s">
        <v>7668</v>
      </c>
      <c r="AY796" s="3" t="s">
        <v>7669</v>
      </c>
      <c r="AZ796" s="3" t="s">
        <v>7670</v>
      </c>
      <c r="BA796" s="3" t="s">
        <v>7670</v>
      </c>
      <c r="BB796" s="3" t="s">
        <v>7671</v>
      </c>
      <c r="BC796" s="3" t="s">
        <v>142</v>
      </c>
      <c r="BD796" s="3" t="s">
        <v>68</v>
      </c>
      <c r="BE796" s="3" t="s">
        <v>7672</v>
      </c>
      <c r="BF796" s="3" t="s">
        <v>7671</v>
      </c>
      <c r="BG796" s="3" t="s">
        <v>7673</v>
      </c>
    </row>
    <row r="797" spans="1:59" ht="85.5" x14ac:dyDescent="0.45">
      <c r="A797" s="2" t="s">
        <v>59</v>
      </c>
      <c r="B797" s="2" t="s">
        <v>60</v>
      </c>
      <c r="C797" s="2" t="s">
        <v>7674</v>
      </c>
      <c r="D797" s="2" t="s">
        <v>7675</v>
      </c>
      <c r="E797" s="2" t="s">
        <v>7676</v>
      </c>
      <c r="G797" s="3" t="s">
        <v>62</v>
      </c>
      <c r="I797" s="3" t="s">
        <v>62</v>
      </c>
      <c r="J797" s="3" t="s">
        <v>62</v>
      </c>
      <c r="K797" s="3" t="s">
        <v>63</v>
      </c>
      <c r="M797" s="2" t="s">
        <v>7677</v>
      </c>
      <c r="N797" s="3" t="s">
        <v>820</v>
      </c>
      <c r="P797" s="3" t="s">
        <v>65</v>
      </c>
      <c r="Q797" s="2" t="s">
        <v>7221</v>
      </c>
      <c r="R797" s="3" t="s">
        <v>66</v>
      </c>
      <c r="S797" s="4">
        <v>1</v>
      </c>
      <c r="T797" s="4">
        <v>1</v>
      </c>
      <c r="U797" s="5" t="s">
        <v>7678</v>
      </c>
      <c r="V797" s="5" t="s">
        <v>7678</v>
      </c>
      <c r="W797" s="5" t="s">
        <v>67</v>
      </c>
      <c r="X797" s="5" t="s">
        <v>67</v>
      </c>
      <c r="Y797" s="4">
        <v>219</v>
      </c>
      <c r="Z797" s="4">
        <v>23</v>
      </c>
      <c r="AA797" s="4">
        <v>29</v>
      </c>
      <c r="AB797" s="4">
        <v>2</v>
      </c>
      <c r="AC797" s="4">
        <v>8</v>
      </c>
      <c r="AD797" s="4">
        <v>82</v>
      </c>
      <c r="AE797" s="4">
        <v>87</v>
      </c>
      <c r="AF797" s="4">
        <v>1</v>
      </c>
      <c r="AG797" s="4">
        <v>3</v>
      </c>
      <c r="AH797" s="4">
        <v>70</v>
      </c>
      <c r="AI797" s="4">
        <v>74</v>
      </c>
      <c r="AJ797" s="4">
        <v>16</v>
      </c>
      <c r="AK797" s="4">
        <v>18</v>
      </c>
      <c r="AL797" s="4">
        <v>39</v>
      </c>
      <c r="AM797" s="4">
        <v>40</v>
      </c>
      <c r="AN797" s="4">
        <v>0</v>
      </c>
      <c r="AO797" s="4">
        <v>0</v>
      </c>
      <c r="AP797" s="4">
        <v>19</v>
      </c>
      <c r="AQ797" s="4">
        <v>21</v>
      </c>
      <c r="AR797" s="3" t="s">
        <v>62</v>
      </c>
      <c r="AS797" s="3" t="s">
        <v>62</v>
      </c>
      <c r="AT797" s="3" t="s">
        <v>62</v>
      </c>
      <c r="AV797" s="6" t="str">
        <f>HYPERLINK("http://mcgill.on.worldcat.org/oclc/162501924","Catalog Record")</f>
        <v>Catalog Record</v>
      </c>
      <c r="AW797" s="6" t="str">
        <f>HYPERLINK("http://www.worldcat.org/oclc/162501924","WorldCat Record")</f>
        <v>WorldCat Record</v>
      </c>
      <c r="AX797" s="3" t="s">
        <v>7679</v>
      </c>
      <c r="AY797" s="3" t="s">
        <v>7680</v>
      </c>
      <c r="AZ797" s="3" t="s">
        <v>7681</v>
      </c>
      <c r="BA797" s="3" t="s">
        <v>7681</v>
      </c>
      <c r="BB797" s="3" t="s">
        <v>7682</v>
      </c>
      <c r="BC797" s="3" t="s">
        <v>142</v>
      </c>
      <c r="BD797" s="3" t="s">
        <v>68</v>
      </c>
      <c r="BE797" s="3" t="s">
        <v>7683</v>
      </c>
      <c r="BF797" s="3" t="s">
        <v>7682</v>
      </c>
      <c r="BG797" s="3" t="s">
        <v>7684</v>
      </c>
    </row>
    <row r="798" spans="1:59" ht="85.5" x14ac:dyDescent="0.45">
      <c r="A798" s="2" t="s">
        <v>59</v>
      </c>
      <c r="B798" s="2" t="s">
        <v>5257</v>
      </c>
      <c r="C798" s="2" t="s">
        <v>7685</v>
      </c>
      <c r="D798" s="2" t="s">
        <v>7686</v>
      </c>
      <c r="E798" s="2" t="s">
        <v>7687</v>
      </c>
      <c r="G798" s="3" t="s">
        <v>62</v>
      </c>
      <c r="I798" s="3" t="s">
        <v>62</v>
      </c>
      <c r="J798" s="3" t="s">
        <v>62</v>
      </c>
      <c r="K798" s="3" t="s">
        <v>63</v>
      </c>
      <c r="M798" s="2" t="s">
        <v>7688</v>
      </c>
      <c r="N798" s="3" t="s">
        <v>894</v>
      </c>
      <c r="P798" s="3" t="s">
        <v>65</v>
      </c>
      <c r="Q798" s="2" t="s">
        <v>7689</v>
      </c>
      <c r="R798" s="3" t="s">
        <v>66</v>
      </c>
      <c r="S798" s="4">
        <v>0</v>
      </c>
      <c r="T798" s="4">
        <v>0</v>
      </c>
      <c r="W798" s="5" t="s">
        <v>67</v>
      </c>
      <c r="X798" s="5" t="s">
        <v>67</v>
      </c>
      <c r="Y798" s="4">
        <v>82</v>
      </c>
      <c r="Z798" s="4">
        <v>9</v>
      </c>
      <c r="AA798" s="4">
        <v>97</v>
      </c>
      <c r="AB798" s="4">
        <v>1</v>
      </c>
      <c r="AC798" s="4">
        <v>18</v>
      </c>
      <c r="AD798" s="4">
        <v>37</v>
      </c>
      <c r="AE798" s="4">
        <v>121</v>
      </c>
      <c r="AF798" s="4">
        <v>0</v>
      </c>
      <c r="AG798" s="4">
        <v>8</v>
      </c>
      <c r="AH798" s="4">
        <v>35</v>
      </c>
      <c r="AI798" s="4">
        <v>82</v>
      </c>
      <c r="AJ798" s="4">
        <v>7</v>
      </c>
      <c r="AK798" s="4">
        <v>22</v>
      </c>
      <c r="AL798" s="4">
        <v>21</v>
      </c>
      <c r="AM798" s="4">
        <v>43</v>
      </c>
      <c r="AN798" s="4">
        <v>0</v>
      </c>
      <c r="AO798" s="4">
        <v>0</v>
      </c>
      <c r="AP798" s="4">
        <v>7</v>
      </c>
      <c r="AQ798" s="4">
        <v>46</v>
      </c>
      <c r="AR798" s="3" t="s">
        <v>62</v>
      </c>
      <c r="AS798" s="3" t="s">
        <v>62</v>
      </c>
      <c r="AT798" s="3" t="s">
        <v>62</v>
      </c>
      <c r="AV798" s="6" t="str">
        <f>HYPERLINK("http://mcgill.on.worldcat.org/oclc/690090377","Catalog Record")</f>
        <v>Catalog Record</v>
      </c>
      <c r="AW798" s="6" t="str">
        <f>HYPERLINK("http://www.worldcat.org/oclc/690090377","WorldCat Record")</f>
        <v>WorldCat Record</v>
      </c>
      <c r="AX798" s="3" t="s">
        <v>7690</v>
      </c>
      <c r="AY798" s="3" t="s">
        <v>7691</v>
      </c>
      <c r="AZ798" s="3" t="s">
        <v>7692</v>
      </c>
      <c r="BA798" s="3" t="s">
        <v>7692</v>
      </c>
      <c r="BB798" s="3" t="s">
        <v>7693</v>
      </c>
      <c r="BC798" s="3" t="s">
        <v>142</v>
      </c>
      <c r="BD798" s="3" t="s">
        <v>68</v>
      </c>
      <c r="BE798" s="3" t="s">
        <v>7694</v>
      </c>
      <c r="BF798" s="3" t="s">
        <v>7693</v>
      </c>
      <c r="BG798" s="3" t="s">
        <v>7695</v>
      </c>
    </row>
    <row r="799" spans="1:59" ht="57" x14ac:dyDescent="0.45">
      <c r="A799" s="2" t="s">
        <v>59</v>
      </c>
      <c r="B799" s="2" t="s">
        <v>60</v>
      </c>
      <c r="C799" s="2" t="s">
        <v>7696</v>
      </c>
      <c r="D799" s="2" t="s">
        <v>7697</v>
      </c>
      <c r="E799" s="2" t="s">
        <v>7698</v>
      </c>
      <c r="G799" s="3" t="s">
        <v>62</v>
      </c>
      <c r="I799" s="3" t="s">
        <v>62</v>
      </c>
      <c r="J799" s="3" t="s">
        <v>62</v>
      </c>
      <c r="K799" s="3" t="s">
        <v>63</v>
      </c>
      <c r="L799" s="2" t="s">
        <v>7699</v>
      </c>
      <c r="M799" s="2" t="s">
        <v>4998</v>
      </c>
      <c r="N799" s="3" t="s">
        <v>807</v>
      </c>
      <c r="P799" s="3" t="s">
        <v>65</v>
      </c>
      <c r="Q799" s="2" t="s">
        <v>7700</v>
      </c>
      <c r="R799" s="3" t="s">
        <v>66</v>
      </c>
      <c r="S799" s="4">
        <v>32</v>
      </c>
      <c r="T799" s="4">
        <v>32</v>
      </c>
      <c r="U799" s="5" t="s">
        <v>123</v>
      </c>
      <c r="V799" s="5" t="s">
        <v>123</v>
      </c>
      <c r="W799" s="5" t="s">
        <v>67</v>
      </c>
      <c r="X799" s="5" t="s">
        <v>67</v>
      </c>
      <c r="Y799" s="4">
        <v>519</v>
      </c>
      <c r="Z799" s="4">
        <v>34</v>
      </c>
      <c r="AA799" s="4">
        <v>38</v>
      </c>
      <c r="AB799" s="4">
        <v>3</v>
      </c>
      <c r="AC799" s="4">
        <v>7</v>
      </c>
      <c r="AD799" s="4">
        <v>109</v>
      </c>
      <c r="AE799" s="4">
        <v>112</v>
      </c>
      <c r="AF799" s="4">
        <v>2</v>
      </c>
      <c r="AG799" s="4">
        <v>4</v>
      </c>
      <c r="AH799" s="4">
        <v>89</v>
      </c>
      <c r="AI799" s="4">
        <v>91</v>
      </c>
      <c r="AJ799" s="4">
        <v>20</v>
      </c>
      <c r="AK799" s="4">
        <v>22</v>
      </c>
      <c r="AL799" s="4">
        <v>51</v>
      </c>
      <c r="AM799" s="4">
        <v>51</v>
      </c>
      <c r="AN799" s="4">
        <v>0</v>
      </c>
      <c r="AO799" s="4">
        <v>0</v>
      </c>
      <c r="AP799" s="4">
        <v>27</v>
      </c>
      <c r="AQ799" s="4">
        <v>29</v>
      </c>
      <c r="AR799" s="3" t="s">
        <v>62</v>
      </c>
      <c r="AS799" s="3" t="s">
        <v>62</v>
      </c>
      <c r="AT799" s="3" t="s">
        <v>61</v>
      </c>
      <c r="AU799" s="6" t="str">
        <f>HYPERLINK("http://catalog.hathitrust.org/Record/002461525","HathiTrust Record")</f>
        <v>HathiTrust Record</v>
      </c>
      <c r="AV799" s="6" t="str">
        <f>HYPERLINK("http://mcgill.on.worldcat.org/oclc/23015567","Catalog Record")</f>
        <v>Catalog Record</v>
      </c>
      <c r="AW799" s="6" t="str">
        <f>HYPERLINK("http://www.worldcat.org/oclc/23015567","WorldCat Record")</f>
        <v>WorldCat Record</v>
      </c>
      <c r="AX799" s="3" t="s">
        <v>7701</v>
      </c>
      <c r="AY799" s="3" t="s">
        <v>7702</v>
      </c>
      <c r="AZ799" s="3" t="s">
        <v>7703</v>
      </c>
      <c r="BA799" s="3" t="s">
        <v>7703</v>
      </c>
      <c r="BB799" s="3" t="s">
        <v>7704</v>
      </c>
      <c r="BC799" s="3" t="s">
        <v>142</v>
      </c>
      <c r="BD799" s="3" t="s">
        <v>68</v>
      </c>
      <c r="BE799" s="3" t="s">
        <v>7705</v>
      </c>
      <c r="BF799" s="3" t="s">
        <v>7704</v>
      </c>
      <c r="BG799" s="3" t="s">
        <v>7706</v>
      </c>
    </row>
    <row r="800" spans="1:59" ht="57" x14ac:dyDescent="0.45">
      <c r="A800" s="2" t="s">
        <v>59</v>
      </c>
      <c r="B800" s="2" t="s">
        <v>60</v>
      </c>
      <c r="C800" s="2" t="s">
        <v>7707</v>
      </c>
      <c r="D800" s="2" t="s">
        <v>7708</v>
      </c>
      <c r="E800" s="2" t="s">
        <v>7709</v>
      </c>
      <c r="G800" s="3" t="s">
        <v>62</v>
      </c>
      <c r="I800" s="3" t="s">
        <v>62</v>
      </c>
      <c r="J800" s="3" t="s">
        <v>62</v>
      </c>
      <c r="K800" s="3" t="s">
        <v>63</v>
      </c>
      <c r="L800" s="2" t="s">
        <v>7699</v>
      </c>
      <c r="M800" s="2" t="s">
        <v>7710</v>
      </c>
      <c r="N800" s="3" t="s">
        <v>2417</v>
      </c>
      <c r="P800" s="3" t="s">
        <v>65</v>
      </c>
      <c r="Q800" s="2" t="s">
        <v>7366</v>
      </c>
      <c r="R800" s="3" t="s">
        <v>66</v>
      </c>
      <c r="S800" s="4">
        <v>45</v>
      </c>
      <c r="T800" s="4">
        <v>45</v>
      </c>
      <c r="U800" s="5" t="s">
        <v>782</v>
      </c>
      <c r="V800" s="5" t="s">
        <v>782</v>
      </c>
      <c r="W800" s="5" t="s">
        <v>67</v>
      </c>
      <c r="X800" s="5" t="s">
        <v>67</v>
      </c>
      <c r="Y800" s="4">
        <v>348</v>
      </c>
      <c r="Z800" s="4">
        <v>31</v>
      </c>
      <c r="AA800" s="4">
        <v>38</v>
      </c>
      <c r="AB800" s="4">
        <v>3</v>
      </c>
      <c r="AC800" s="4">
        <v>9</v>
      </c>
      <c r="AD800" s="4">
        <v>77</v>
      </c>
      <c r="AE800" s="4">
        <v>83</v>
      </c>
      <c r="AF800" s="4">
        <v>1</v>
      </c>
      <c r="AG800" s="4">
        <v>4</v>
      </c>
      <c r="AH800" s="4">
        <v>64</v>
      </c>
      <c r="AI800" s="4">
        <v>67</v>
      </c>
      <c r="AJ800" s="4">
        <v>15</v>
      </c>
      <c r="AK800" s="4">
        <v>18</v>
      </c>
      <c r="AL800" s="4">
        <v>33</v>
      </c>
      <c r="AM800" s="4">
        <v>34</v>
      </c>
      <c r="AN800" s="4">
        <v>0</v>
      </c>
      <c r="AO800" s="4">
        <v>0</v>
      </c>
      <c r="AP800" s="4">
        <v>22</v>
      </c>
      <c r="AQ800" s="4">
        <v>25</v>
      </c>
      <c r="AR800" s="3" t="s">
        <v>62</v>
      </c>
      <c r="AS800" s="3" t="s">
        <v>62</v>
      </c>
      <c r="AT800" s="3" t="s">
        <v>62</v>
      </c>
      <c r="AV800" s="6" t="str">
        <f>HYPERLINK("http://mcgill.on.worldcat.org/oclc/15109348","Catalog Record")</f>
        <v>Catalog Record</v>
      </c>
      <c r="AW800" s="6" t="str">
        <f>HYPERLINK("http://www.worldcat.org/oclc/15109348","WorldCat Record")</f>
        <v>WorldCat Record</v>
      </c>
      <c r="AX800" s="3" t="s">
        <v>7711</v>
      </c>
      <c r="AY800" s="3" t="s">
        <v>7712</v>
      </c>
      <c r="AZ800" s="3" t="s">
        <v>7713</v>
      </c>
      <c r="BA800" s="3" t="s">
        <v>7713</v>
      </c>
      <c r="BB800" s="3" t="s">
        <v>7714</v>
      </c>
      <c r="BC800" s="3" t="s">
        <v>142</v>
      </c>
      <c r="BD800" s="3" t="s">
        <v>68</v>
      </c>
      <c r="BE800" s="3" t="s">
        <v>7715</v>
      </c>
      <c r="BF800" s="3" t="s">
        <v>7714</v>
      </c>
      <c r="BG800" s="3" t="s">
        <v>7716</v>
      </c>
    </row>
    <row r="801" spans="1:59" ht="57" x14ac:dyDescent="0.45">
      <c r="A801" s="2" t="s">
        <v>59</v>
      </c>
      <c r="B801" s="2" t="s">
        <v>60</v>
      </c>
      <c r="C801" s="2" t="s">
        <v>7717</v>
      </c>
      <c r="D801" s="2" t="s">
        <v>7718</v>
      </c>
      <c r="E801" s="2" t="s">
        <v>7719</v>
      </c>
      <c r="G801" s="3" t="s">
        <v>62</v>
      </c>
      <c r="I801" s="3" t="s">
        <v>61</v>
      </c>
      <c r="J801" s="3" t="s">
        <v>62</v>
      </c>
      <c r="K801" s="3" t="s">
        <v>63</v>
      </c>
      <c r="L801" s="2" t="s">
        <v>7720</v>
      </c>
      <c r="M801" s="2" t="s">
        <v>7721</v>
      </c>
      <c r="N801" s="3" t="s">
        <v>125</v>
      </c>
      <c r="P801" s="3" t="s">
        <v>65</v>
      </c>
      <c r="Q801" s="2" t="s">
        <v>7722</v>
      </c>
      <c r="R801" s="3" t="s">
        <v>66</v>
      </c>
      <c r="S801" s="4">
        <v>23</v>
      </c>
      <c r="T801" s="4">
        <v>23</v>
      </c>
      <c r="U801" s="5" t="s">
        <v>7408</v>
      </c>
      <c r="V801" s="5" t="s">
        <v>7408</v>
      </c>
      <c r="W801" s="5" t="s">
        <v>67</v>
      </c>
      <c r="X801" s="5" t="s">
        <v>67</v>
      </c>
      <c r="Y801" s="4">
        <v>278</v>
      </c>
      <c r="Z801" s="4">
        <v>22</v>
      </c>
      <c r="AA801" s="4">
        <v>28</v>
      </c>
      <c r="AB801" s="4">
        <v>3</v>
      </c>
      <c r="AC801" s="4">
        <v>7</v>
      </c>
      <c r="AD801" s="4">
        <v>94</v>
      </c>
      <c r="AE801" s="4">
        <v>102</v>
      </c>
      <c r="AF801" s="4">
        <v>1</v>
      </c>
      <c r="AG801" s="4">
        <v>3</v>
      </c>
      <c r="AH801" s="4">
        <v>86</v>
      </c>
      <c r="AI801" s="4">
        <v>91</v>
      </c>
      <c r="AJ801" s="4">
        <v>15</v>
      </c>
      <c r="AK801" s="4">
        <v>17</v>
      </c>
      <c r="AL801" s="4">
        <v>46</v>
      </c>
      <c r="AM801" s="4">
        <v>49</v>
      </c>
      <c r="AN801" s="4">
        <v>0</v>
      </c>
      <c r="AO801" s="4">
        <v>0</v>
      </c>
      <c r="AP801" s="4">
        <v>17</v>
      </c>
      <c r="AQ801" s="4">
        <v>21</v>
      </c>
      <c r="AR801" s="3" t="s">
        <v>62</v>
      </c>
      <c r="AS801" s="3" t="s">
        <v>62</v>
      </c>
      <c r="AT801" s="3" t="s">
        <v>61</v>
      </c>
      <c r="AU801" s="6" t="str">
        <f>HYPERLINK("http://catalog.hathitrust.org/Record/002426259","HathiTrust Record")</f>
        <v>HathiTrust Record</v>
      </c>
      <c r="AV801" s="6" t="str">
        <f>HYPERLINK("http://mcgill.on.worldcat.org/oclc/22113822","Catalog Record")</f>
        <v>Catalog Record</v>
      </c>
      <c r="AW801" s="6" t="str">
        <f>HYPERLINK("http://www.worldcat.org/oclc/22113822","WorldCat Record")</f>
        <v>WorldCat Record</v>
      </c>
      <c r="AX801" s="3" t="s">
        <v>7723</v>
      </c>
      <c r="AY801" s="3" t="s">
        <v>7724</v>
      </c>
      <c r="AZ801" s="3" t="s">
        <v>7725</v>
      </c>
      <c r="BA801" s="3" t="s">
        <v>7725</v>
      </c>
      <c r="BB801" s="3" t="s">
        <v>7726</v>
      </c>
      <c r="BC801" s="3" t="s">
        <v>142</v>
      </c>
      <c r="BD801" s="3" t="s">
        <v>308</v>
      </c>
      <c r="BE801" s="3" t="s">
        <v>7727</v>
      </c>
      <c r="BF801" s="3" t="s">
        <v>7726</v>
      </c>
      <c r="BG801" s="3" t="s">
        <v>7728</v>
      </c>
    </row>
    <row r="802" spans="1:59" ht="57" x14ac:dyDescent="0.45">
      <c r="A802" s="2" t="s">
        <v>59</v>
      </c>
      <c r="B802" s="2" t="s">
        <v>60</v>
      </c>
      <c r="C802" s="2" t="s">
        <v>7717</v>
      </c>
      <c r="D802" s="2" t="s">
        <v>7718</v>
      </c>
      <c r="E802" s="2" t="s">
        <v>7719</v>
      </c>
      <c r="G802" s="3" t="s">
        <v>62</v>
      </c>
      <c r="I802" s="3" t="s">
        <v>61</v>
      </c>
      <c r="J802" s="3" t="s">
        <v>62</v>
      </c>
      <c r="K802" s="3" t="s">
        <v>63</v>
      </c>
      <c r="L802" s="2" t="s">
        <v>7720</v>
      </c>
      <c r="M802" s="2" t="s">
        <v>7721</v>
      </c>
      <c r="N802" s="3" t="s">
        <v>125</v>
      </c>
      <c r="P802" s="3" t="s">
        <v>65</v>
      </c>
      <c r="Q802" s="2" t="s">
        <v>7722</v>
      </c>
      <c r="R802" s="3" t="s">
        <v>66</v>
      </c>
      <c r="S802" s="4">
        <v>0</v>
      </c>
      <c r="T802" s="4">
        <v>23</v>
      </c>
      <c r="V802" s="5" t="s">
        <v>7408</v>
      </c>
      <c r="W802" s="5" t="s">
        <v>67</v>
      </c>
      <c r="X802" s="5" t="s">
        <v>67</v>
      </c>
      <c r="Y802" s="4">
        <v>278</v>
      </c>
      <c r="Z802" s="4">
        <v>22</v>
      </c>
      <c r="AA802" s="4">
        <v>28</v>
      </c>
      <c r="AB802" s="4">
        <v>3</v>
      </c>
      <c r="AC802" s="4">
        <v>7</v>
      </c>
      <c r="AD802" s="4">
        <v>94</v>
      </c>
      <c r="AE802" s="4">
        <v>102</v>
      </c>
      <c r="AF802" s="4">
        <v>1</v>
      </c>
      <c r="AG802" s="4">
        <v>3</v>
      </c>
      <c r="AH802" s="4">
        <v>86</v>
      </c>
      <c r="AI802" s="4">
        <v>91</v>
      </c>
      <c r="AJ802" s="4">
        <v>15</v>
      </c>
      <c r="AK802" s="4">
        <v>17</v>
      </c>
      <c r="AL802" s="4">
        <v>46</v>
      </c>
      <c r="AM802" s="4">
        <v>49</v>
      </c>
      <c r="AN802" s="4">
        <v>0</v>
      </c>
      <c r="AO802" s="4">
        <v>0</v>
      </c>
      <c r="AP802" s="4">
        <v>17</v>
      </c>
      <c r="AQ802" s="4">
        <v>21</v>
      </c>
      <c r="AR802" s="3" t="s">
        <v>62</v>
      </c>
      <c r="AS802" s="3" t="s">
        <v>62</v>
      </c>
      <c r="AT802" s="3" t="s">
        <v>61</v>
      </c>
      <c r="AU802" s="6" t="str">
        <f>HYPERLINK("http://catalog.hathitrust.org/Record/002426259","HathiTrust Record")</f>
        <v>HathiTrust Record</v>
      </c>
      <c r="AV802" s="6" t="str">
        <f>HYPERLINK("http://mcgill.on.worldcat.org/oclc/22113822","Catalog Record")</f>
        <v>Catalog Record</v>
      </c>
      <c r="AW802" s="6" t="str">
        <f>HYPERLINK("http://www.worldcat.org/oclc/22113822","WorldCat Record")</f>
        <v>WorldCat Record</v>
      </c>
      <c r="AX802" s="3" t="s">
        <v>7723</v>
      </c>
      <c r="AY802" s="3" t="s">
        <v>7724</v>
      </c>
      <c r="AZ802" s="3" t="s">
        <v>7725</v>
      </c>
      <c r="BA802" s="3" t="s">
        <v>7725</v>
      </c>
      <c r="BB802" s="3" t="s">
        <v>7729</v>
      </c>
      <c r="BC802" s="3" t="s">
        <v>142</v>
      </c>
      <c r="BD802" s="3" t="s">
        <v>68</v>
      </c>
      <c r="BE802" s="3" t="s">
        <v>7727</v>
      </c>
      <c r="BF802" s="3" t="s">
        <v>7729</v>
      </c>
      <c r="BG802" s="3" t="s">
        <v>7730</v>
      </c>
    </row>
    <row r="803" spans="1:59" ht="57" x14ac:dyDescent="0.45">
      <c r="A803" s="2" t="s">
        <v>59</v>
      </c>
      <c r="B803" s="2" t="s">
        <v>60</v>
      </c>
      <c r="C803" s="2" t="s">
        <v>7731</v>
      </c>
      <c r="D803" s="2" t="s">
        <v>7732</v>
      </c>
      <c r="E803" s="2" t="s">
        <v>7733</v>
      </c>
      <c r="F803" s="3" t="s">
        <v>7734</v>
      </c>
      <c r="G803" s="3" t="s">
        <v>62</v>
      </c>
      <c r="I803" s="3" t="s">
        <v>62</v>
      </c>
      <c r="J803" s="3" t="s">
        <v>62</v>
      </c>
      <c r="K803" s="3" t="s">
        <v>63</v>
      </c>
      <c r="L803" s="2" t="s">
        <v>7735</v>
      </c>
      <c r="M803" s="2" t="s">
        <v>893</v>
      </c>
      <c r="N803" s="3" t="s">
        <v>894</v>
      </c>
      <c r="P803" s="3" t="s">
        <v>65</v>
      </c>
      <c r="Q803" s="2" t="s">
        <v>7024</v>
      </c>
      <c r="R803" s="3" t="s">
        <v>66</v>
      </c>
      <c r="S803" s="4">
        <v>3</v>
      </c>
      <c r="T803" s="4">
        <v>3</v>
      </c>
      <c r="U803" s="5" t="s">
        <v>7736</v>
      </c>
      <c r="V803" s="5" t="s">
        <v>7736</v>
      </c>
      <c r="W803" s="5" t="s">
        <v>67</v>
      </c>
      <c r="X803" s="5" t="s">
        <v>67</v>
      </c>
      <c r="Y803" s="4">
        <v>93</v>
      </c>
      <c r="Z803" s="4">
        <v>13</v>
      </c>
      <c r="AA803" s="4">
        <v>15</v>
      </c>
      <c r="AB803" s="4">
        <v>2</v>
      </c>
      <c r="AC803" s="4">
        <v>4</v>
      </c>
      <c r="AD803" s="4">
        <v>29</v>
      </c>
      <c r="AE803" s="4">
        <v>31</v>
      </c>
      <c r="AF803" s="4">
        <v>1</v>
      </c>
      <c r="AG803" s="4">
        <v>3</v>
      </c>
      <c r="AH803" s="4">
        <v>27</v>
      </c>
      <c r="AI803" s="4">
        <v>28</v>
      </c>
      <c r="AJ803" s="4">
        <v>7</v>
      </c>
      <c r="AK803" s="4">
        <v>9</v>
      </c>
      <c r="AL803" s="4">
        <v>12</v>
      </c>
      <c r="AM803" s="4">
        <v>12</v>
      </c>
      <c r="AN803" s="4">
        <v>0</v>
      </c>
      <c r="AO803" s="4">
        <v>0</v>
      </c>
      <c r="AP803" s="4">
        <v>8</v>
      </c>
      <c r="AQ803" s="4">
        <v>10</v>
      </c>
      <c r="AR803" s="3" t="s">
        <v>62</v>
      </c>
      <c r="AS803" s="3" t="s">
        <v>62</v>
      </c>
      <c r="AT803" s="3" t="s">
        <v>62</v>
      </c>
      <c r="AV803" s="6" t="str">
        <f>HYPERLINK("http://mcgill.on.worldcat.org/oclc/688559509","Catalog Record")</f>
        <v>Catalog Record</v>
      </c>
      <c r="AW803" s="6" t="str">
        <f>HYPERLINK("http://www.worldcat.org/oclc/688559509","WorldCat Record")</f>
        <v>WorldCat Record</v>
      </c>
      <c r="AX803" s="3" t="s">
        <v>7737</v>
      </c>
      <c r="AY803" s="3" t="s">
        <v>7738</v>
      </c>
      <c r="AZ803" s="3" t="s">
        <v>7739</v>
      </c>
      <c r="BA803" s="3" t="s">
        <v>7739</v>
      </c>
      <c r="BB803" s="3" t="s">
        <v>7740</v>
      </c>
      <c r="BC803" s="3" t="s">
        <v>142</v>
      </c>
      <c r="BD803" s="3" t="s">
        <v>68</v>
      </c>
      <c r="BE803" s="3" t="s">
        <v>7741</v>
      </c>
      <c r="BF803" s="3" t="s">
        <v>7740</v>
      </c>
      <c r="BG803" s="3" t="s">
        <v>7742</v>
      </c>
    </row>
    <row r="804" spans="1:59" ht="57" x14ac:dyDescent="0.45">
      <c r="A804" s="2" t="s">
        <v>59</v>
      </c>
      <c r="B804" s="2" t="s">
        <v>60</v>
      </c>
      <c r="C804" s="2" t="s">
        <v>7743</v>
      </c>
      <c r="D804" s="2" t="s">
        <v>7744</v>
      </c>
      <c r="E804" s="2" t="s">
        <v>7745</v>
      </c>
      <c r="G804" s="3" t="s">
        <v>62</v>
      </c>
      <c r="I804" s="3" t="s">
        <v>62</v>
      </c>
      <c r="J804" s="3" t="s">
        <v>62</v>
      </c>
      <c r="K804" s="3" t="s">
        <v>63</v>
      </c>
      <c r="L804" s="2" t="s">
        <v>7746</v>
      </c>
      <c r="M804" s="2" t="s">
        <v>7747</v>
      </c>
      <c r="N804" s="3" t="s">
        <v>1097</v>
      </c>
      <c r="O804" s="2" t="s">
        <v>7748</v>
      </c>
      <c r="P804" s="3" t="s">
        <v>65</v>
      </c>
      <c r="R804" s="3" t="s">
        <v>66</v>
      </c>
      <c r="S804" s="4">
        <v>30</v>
      </c>
      <c r="T804" s="4">
        <v>30</v>
      </c>
      <c r="U804" s="5" t="s">
        <v>7749</v>
      </c>
      <c r="V804" s="5" t="s">
        <v>7749</v>
      </c>
      <c r="W804" s="5" t="s">
        <v>67</v>
      </c>
      <c r="X804" s="5" t="s">
        <v>67</v>
      </c>
      <c r="Y804" s="4">
        <v>33</v>
      </c>
      <c r="Z804" s="4">
        <v>5</v>
      </c>
      <c r="AA804" s="4">
        <v>43</v>
      </c>
      <c r="AB804" s="4">
        <v>1</v>
      </c>
      <c r="AC804" s="4">
        <v>7</v>
      </c>
      <c r="AD804" s="4">
        <v>10</v>
      </c>
      <c r="AE804" s="4">
        <v>111</v>
      </c>
      <c r="AF804" s="4">
        <v>0</v>
      </c>
      <c r="AG804" s="4">
        <v>4</v>
      </c>
      <c r="AH804" s="4">
        <v>9</v>
      </c>
      <c r="AI804" s="4">
        <v>90</v>
      </c>
      <c r="AJ804" s="4">
        <v>3</v>
      </c>
      <c r="AK804" s="4">
        <v>21</v>
      </c>
      <c r="AL804" s="4">
        <v>7</v>
      </c>
      <c r="AM804" s="4">
        <v>46</v>
      </c>
      <c r="AN804" s="4">
        <v>0</v>
      </c>
      <c r="AO804" s="4">
        <v>0</v>
      </c>
      <c r="AP804" s="4">
        <v>3</v>
      </c>
      <c r="AQ804" s="4">
        <v>30</v>
      </c>
      <c r="AR804" s="3" t="s">
        <v>62</v>
      </c>
      <c r="AS804" s="3" t="s">
        <v>62</v>
      </c>
      <c r="AT804" s="3" t="s">
        <v>61</v>
      </c>
      <c r="AU804" s="6" t="str">
        <f>HYPERLINK("http://catalog.hathitrust.org/Record/004360993","HathiTrust Record")</f>
        <v>HathiTrust Record</v>
      </c>
      <c r="AV804" s="6" t="str">
        <f>HYPERLINK("http://mcgill.on.worldcat.org/oclc/214992881","Catalog Record")</f>
        <v>Catalog Record</v>
      </c>
      <c r="AW804" s="6" t="str">
        <f>HYPERLINK("http://www.worldcat.org/oclc/214992881","WorldCat Record")</f>
        <v>WorldCat Record</v>
      </c>
      <c r="AX804" s="3" t="s">
        <v>7750</v>
      </c>
      <c r="AY804" s="3" t="s">
        <v>7751</v>
      </c>
      <c r="AZ804" s="3" t="s">
        <v>7752</v>
      </c>
      <c r="BA804" s="3" t="s">
        <v>7752</v>
      </c>
      <c r="BB804" s="3" t="s">
        <v>7753</v>
      </c>
      <c r="BC804" s="3" t="s">
        <v>142</v>
      </c>
      <c r="BD804" s="3" t="s">
        <v>7754</v>
      </c>
      <c r="BE804" s="3" t="s">
        <v>7755</v>
      </c>
      <c r="BF804" s="3" t="s">
        <v>7753</v>
      </c>
      <c r="BG804" s="3" t="s">
        <v>7756</v>
      </c>
    </row>
    <row r="805" spans="1:59" ht="57" x14ac:dyDescent="0.45">
      <c r="A805" s="2" t="s">
        <v>59</v>
      </c>
      <c r="B805" s="2" t="s">
        <v>60</v>
      </c>
      <c r="C805" s="2" t="s">
        <v>7757</v>
      </c>
      <c r="D805" s="2" t="s">
        <v>7758</v>
      </c>
      <c r="E805" s="2" t="s">
        <v>7759</v>
      </c>
      <c r="G805" s="3" t="s">
        <v>62</v>
      </c>
      <c r="I805" s="3" t="s">
        <v>62</v>
      </c>
      <c r="J805" s="3" t="s">
        <v>62</v>
      </c>
      <c r="K805" s="3" t="s">
        <v>63</v>
      </c>
      <c r="L805" s="2" t="s">
        <v>7760</v>
      </c>
      <c r="M805" s="2" t="s">
        <v>7761</v>
      </c>
      <c r="N805" s="3" t="s">
        <v>480</v>
      </c>
      <c r="P805" s="3" t="s">
        <v>65</v>
      </c>
      <c r="R805" s="3" t="s">
        <v>66</v>
      </c>
      <c r="S805" s="4">
        <v>42</v>
      </c>
      <c r="T805" s="4">
        <v>42</v>
      </c>
      <c r="U805" s="5" t="s">
        <v>123</v>
      </c>
      <c r="V805" s="5" t="s">
        <v>123</v>
      </c>
      <c r="W805" s="5" t="s">
        <v>67</v>
      </c>
      <c r="X805" s="5" t="s">
        <v>67</v>
      </c>
      <c r="Y805" s="4">
        <v>545</v>
      </c>
      <c r="Z805" s="4">
        <v>42</v>
      </c>
      <c r="AA805" s="4">
        <v>43</v>
      </c>
      <c r="AB805" s="4">
        <v>2</v>
      </c>
      <c r="AC805" s="4">
        <v>3</v>
      </c>
      <c r="AD805" s="4">
        <v>105</v>
      </c>
      <c r="AE805" s="4">
        <v>106</v>
      </c>
      <c r="AF805" s="4">
        <v>1</v>
      </c>
      <c r="AG805" s="4">
        <v>2</v>
      </c>
      <c r="AH805" s="4">
        <v>85</v>
      </c>
      <c r="AI805" s="4">
        <v>85</v>
      </c>
      <c r="AJ805" s="4">
        <v>20</v>
      </c>
      <c r="AK805" s="4">
        <v>21</v>
      </c>
      <c r="AL805" s="4">
        <v>43</v>
      </c>
      <c r="AM805" s="4">
        <v>43</v>
      </c>
      <c r="AN805" s="4">
        <v>0</v>
      </c>
      <c r="AO805" s="4">
        <v>0</v>
      </c>
      <c r="AP805" s="4">
        <v>31</v>
      </c>
      <c r="AQ805" s="4">
        <v>32</v>
      </c>
      <c r="AR805" s="3" t="s">
        <v>62</v>
      </c>
      <c r="AS805" s="3" t="s">
        <v>62</v>
      </c>
      <c r="AT805" s="3" t="s">
        <v>62</v>
      </c>
      <c r="AV805" s="6" t="str">
        <f>HYPERLINK("http://mcgill.on.worldcat.org/oclc/6943687","Catalog Record")</f>
        <v>Catalog Record</v>
      </c>
      <c r="AW805" s="6" t="str">
        <f>HYPERLINK("http://www.worldcat.org/oclc/6943687","WorldCat Record")</f>
        <v>WorldCat Record</v>
      </c>
      <c r="AX805" s="3" t="s">
        <v>7762</v>
      </c>
      <c r="AY805" s="3" t="s">
        <v>7763</v>
      </c>
      <c r="AZ805" s="3" t="s">
        <v>7764</v>
      </c>
      <c r="BA805" s="3" t="s">
        <v>7764</v>
      </c>
      <c r="BB805" s="3" t="s">
        <v>7765</v>
      </c>
      <c r="BC805" s="3" t="s">
        <v>142</v>
      </c>
      <c r="BD805" s="3" t="s">
        <v>68</v>
      </c>
      <c r="BE805" s="3" t="s">
        <v>7766</v>
      </c>
      <c r="BF805" s="3" t="s">
        <v>7765</v>
      </c>
      <c r="BG805" s="3" t="s">
        <v>7767</v>
      </c>
    </row>
    <row r="806" spans="1:59" ht="57" x14ac:dyDescent="0.45">
      <c r="A806" s="2" t="s">
        <v>59</v>
      </c>
      <c r="B806" s="2" t="s">
        <v>60</v>
      </c>
      <c r="C806" s="2" t="s">
        <v>7768</v>
      </c>
      <c r="D806" s="2" t="s">
        <v>7769</v>
      </c>
      <c r="E806" s="2" t="s">
        <v>7770</v>
      </c>
      <c r="G806" s="3" t="s">
        <v>62</v>
      </c>
      <c r="I806" s="3" t="s">
        <v>62</v>
      </c>
      <c r="J806" s="3" t="s">
        <v>62</v>
      </c>
      <c r="K806" s="3" t="s">
        <v>63</v>
      </c>
      <c r="L806" s="2" t="s">
        <v>7760</v>
      </c>
      <c r="M806" s="2" t="s">
        <v>7771</v>
      </c>
      <c r="N806" s="3" t="s">
        <v>2107</v>
      </c>
      <c r="P806" s="3" t="s">
        <v>65</v>
      </c>
      <c r="Q806" s="2" t="s">
        <v>7244</v>
      </c>
      <c r="R806" s="3" t="s">
        <v>66</v>
      </c>
      <c r="S806" s="4">
        <v>48</v>
      </c>
      <c r="T806" s="4">
        <v>48</v>
      </c>
      <c r="U806" s="5" t="s">
        <v>123</v>
      </c>
      <c r="V806" s="5" t="s">
        <v>123</v>
      </c>
      <c r="W806" s="5" t="s">
        <v>67</v>
      </c>
      <c r="X806" s="5" t="s">
        <v>67</v>
      </c>
      <c r="Y806" s="4">
        <v>545</v>
      </c>
      <c r="Z806" s="4">
        <v>29</v>
      </c>
      <c r="AA806" s="4">
        <v>38</v>
      </c>
      <c r="AB806" s="4">
        <v>3</v>
      </c>
      <c r="AC806" s="4">
        <v>8</v>
      </c>
      <c r="AD806" s="4">
        <v>111</v>
      </c>
      <c r="AE806" s="4">
        <v>115</v>
      </c>
      <c r="AF806" s="4">
        <v>2</v>
      </c>
      <c r="AG806" s="4">
        <v>4</v>
      </c>
      <c r="AH806" s="4">
        <v>98</v>
      </c>
      <c r="AI806" s="4">
        <v>100</v>
      </c>
      <c r="AJ806" s="4">
        <v>16</v>
      </c>
      <c r="AK806" s="4">
        <v>20</v>
      </c>
      <c r="AL806" s="4">
        <v>50</v>
      </c>
      <c r="AM806" s="4">
        <v>50</v>
      </c>
      <c r="AN806" s="4">
        <v>0</v>
      </c>
      <c r="AO806" s="4">
        <v>0</v>
      </c>
      <c r="AP806" s="4">
        <v>20</v>
      </c>
      <c r="AQ806" s="4">
        <v>24</v>
      </c>
      <c r="AR806" s="3" t="s">
        <v>62</v>
      </c>
      <c r="AS806" s="3" t="s">
        <v>62</v>
      </c>
      <c r="AT806" s="3" t="s">
        <v>61</v>
      </c>
      <c r="AU806" s="6" t="str">
        <f>HYPERLINK("http://catalog.hathitrust.org/Record/000327923","HathiTrust Record")</f>
        <v>HathiTrust Record</v>
      </c>
      <c r="AV806" s="6" t="str">
        <f>HYPERLINK("http://mcgill.on.worldcat.org/oclc/10277513","Catalog Record")</f>
        <v>Catalog Record</v>
      </c>
      <c r="AW806" s="6" t="str">
        <f>HYPERLINK("http://www.worldcat.org/oclc/10277513","WorldCat Record")</f>
        <v>WorldCat Record</v>
      </c>
      <c r="AX806" s="3" t="s">
        <v>7772</v>
      </c>
      <c r="AY806" s="3" t="s">
        <v>7773</v>
      </c>
      <c r="AZ806" s="3" t="s">
        <v>7774</v>
      </c>
      <c r="BA806" s="3" t="s">
        <v>7774</v>
      </c>
      <c r="BB806" s="3" t="s">
        <v>7775</v>
      </c>
      <c r="BC806" s="3" t="s">
        <v>142</v>
      </c>
      <c r="BD806" s="3" t="s">
        <v>68</v>
      </c>
      <c r="BE806" s="3" t="s">
        <v>7776</v>
      </c>
      <c r="BF806" s="3" t="s">
        <v>7775</v>
      </c>
      <c r="BG806" s="3" t="s">
        <v>7777</v>
      </c>
    </row>
    <row r="807" spans="1:59" ht="57" x14ac:dyDescent="0.45">
      <c r="A807" s="2" t="s">
        <v>59</v>
      </c>
      <c r="B807" s="2" t="s">
        <v>60</v>
      </c>
      <c r="C807" s="2" t="s">
        <v>7778</v>
      </c>
      <c r="D807" s="2" t="s">
        <v>7779</v>
      </c>
      <c r="E807" s="2" t="s">
        <v>7780</v>
      </c>
      <c r="G807" s="3" t="s">
        <v>62</v>
      </c>
      <c r="I807" s="3" t="s">
        <v>62</v>
      </c>
      <c r="J807" s="3" t="s">
        <v>62</v>
      </c>
      <c r="K807" s="3" t="s">
        <v>63</v>
      </c>
      <c r="L807" s="2" t="s">
        <v>7781</v>
      </c>
      <c r="M807" s="2" t="s">
        <v>7782</v>
      </c>
      <c r="N807" s="3" t="s">
        <v>2107</v>
      </c>
      <c r="P807" s="3" t="s">
        <v>65</v>
      </c>
      <c r="R807" s="3" t="s">
        <v>66</v>
      </c>
      <c r="S807" s="4">
        <v>8</v>
      </c>
      <c r="T807" s="4">
        <v>8</v>
      </c>
      <c r="U807" s="5" t="s">
        <v>5880</v>
      </c>
      <c r="V807" s="5" t="s">
        <v>5880</v>
      </c>
      <c r="W807" s="5" t="s">
        <v>67</v>
      </c>
      <c r="X807" s="5" t="s">
        <v>67</v>
      </c>
      <c r="Y807" s="4">
        <v>302</v>
      </c>
      <c r="Z807" s="4">
        <v>25</v>
      </c>
      <c r="AA807" s="4">
        <v>25</v>
      </c>
      <c r="AB807" s="4">
        <v>2</v>
      </c>
      <c r="AC807" s="4">
        <v>2</v>
      </c>
      <c r="AD807" s="4">
        <v>111</v>
      </c>
      <c r="AE807" s="4">
        <v>115</v>
      </c>
      <c r="AF807" s="4">
        <v>0</v>
      </c>
      <c r="AG807" s="4">
        <v>0</v>
      </c>
      <c r="AH807" s="4">
        <v>99</v>
      </c>
      <c r="AI807" s="4">
        <v>103</v>
      </c>
      <c r="AJ807" s="4">
        <v>15</v>
      </c>
      <c r="AK807" s="4">
        <v>15</v>
      </c>
      <c r="AL807" s="4">
        <v>53</v>
      </c>
      <c r="AM807" s="4">
        <v>56</v>
      </c>
      <c r="AN807" s="4">
        <v>0</v>
      </c>
      <c r="AO807" s="4">
        <v>4</v>
      </c>
      <c r="AP807" s="4">
        <v>21</v>
      </c>
      <c r="AQ807" s="4">
        <v>21</v>
      </c>
      <c r="AR807" s="3" t="s">
        <v>62</v>
      </c>
      <c r="AS807" s="3" t="s">
        <v>62</v>
      </c>
      <c r="AT807" s="3" t="s">
        <v>61</v>
      </c>
      <c r="AU807" s="6" t="str">
        <f>HYPERLINK("http://catalog.hathitrust.org/Record/000287256","HathiTrust Record")</f>
        <v>HathiTrust Record</v>
      </c>
      <c r="AV807" s="6" t="str">
        <f>HYPERLINK("http://mcgill.on.worldcat.org/oclc/10825132","Catalog Record")</f>
        <v>Catalog Record</v>
      </c>
      <c r="AW807" s="6" t="str">
        <f>HYPERLINK("http://www.worldcat.org/oclc/10825132","WorldCat Record")</f>
        <v>WorldCat Record</v>
      </c>
      <c r="AX807" s="3" t="s">
        <v>7783</v>
      </c>
      <c r="AY807" s="3" t="s">
        <v>7784</v>
      </c>
      <c r="AZ807" s="3" t="s">
        <v>7785</v>
      </c>
      <c r="BA807" s="3" t="s">
        <v>7785</v>
      </c>
      <c r="BB807" s="3" t="s">
        <v>7786</v>
      </c>
      <c r="BC807" s="3" t="s">
        <v>142</v>
      </c>
      <c r="BD807" s="3" t="s">
        <v>68</v>
      </c>
      <c r="BE807" s="3" t="s">
        <v>7787</v>
      </c>
      <c r="BF807" s="3" t="s">
        <v>7786</v>
      </c>
      <c r="BG807" s="3" t="s">
        <v>7788</v>
      </c>
    </row>
    <row r="808" spans="1:59" ht="57" x14ac:dyDescent="0.45">
      <c r="A808" s="2" t="s">
        <v>59</v>
      </c>
      <c r="B808" s="2" t="s">
        <v>60</v>
      </c>
      <c r="C808" s="2" t="s">
        <v>7789</v>
      </c>
      <c r="D808" s="2" t="s">
        <v>7790</v>
      </c>
      <c r="E808" s="2" t="s">
        <v>7791</v>
      </c>
      <c r="G808" s="3" t="s">
        <v>62</v>
      </c>
      <c r="I808" s="3" t="s">
        <v>62</v>
      </c>
      <c r="J808" s="3" t="s">
        <v>62</v>
      </c>
      <c r="K808" s="3" t="s">
        <v>63</v>
      </c>
      <c r="L808" s="2" t="s">
        <v>7792</v>
      </c>
      <c r="M808" s="2" t="s">
        <v>7793</v>
      </c>
      <c r="N808" s="3" t="s">
        <v>2417</v>
      </c>
      <c r="P808" s="3" t="s">
        <v>65</v>
      </c>
      <c r="Q808" s="2" t="s">
        <v>7036</v>
      </c>
      <c r="R808" s="3" t="s">
        <v>66</v>
      </c>
      <c r="S808" s="4">
        <v>30</v>
      </c>
      <c r="T808" s="4">
        <v>30</v>
      </c>
      <c r="U808" s="5" t="s">
        <v>7794</v>
      </c>
      <c r="V808" s="5" t="s">
        <v>7794</v>
      </c>
      <c r="W808" s="5" t="s">
        <v>67</v>
      </c>
      <c r="X808" s="5" t="s">
        <v>67</v>
      </c>
      <c r="Y808" s="4">
        <v>668</v>
      </c>
      <c r="Z808" s="4">
        <v>47</v>
      </c>
      <c r="AA808" s="4">
        <v>60</v>
      </c>
      <c r="AB808" s="4">
        <v>4</v>
      </c>
      <c r="AC808" s="4">
        <v>12</v>
      </c>
      <c r="AD808" s="4">
        <v>127</v>
      </c>
      <c r="AE808" s="4">
        <v>136</v>
      </c>
      <c r="AF808" s="4">
        <v>2</v>
      </c>
      <c r="AG808" s="4">
        <v>6</v>
      </c>
      <c r="AH808" s="4">
        <v>100</v>
      </c>
      <c r="AI808" s="4">
        <v>104</v>
      </c>
      <c r="AJ808" s="4">
        <v>19</v>
      </c>
      <c r="AK808" s="4">
        <v>24</v>
      </c>
      <c r="AL808" s="4">
        <v>52</v>
      </c>
      <c r="AM808" s="4">
        <v>53</v>
      </c>
      <c r="AN808" s="4">
        <v>0</v>
      </c>
      <c r="AO808" s="4">
        <v>0</v>
      </c>
      <c r="AP808" s="4">
        <v>36</v>
      </c>
      <c r="AQ808" s="4">
        <v>41</v>
      </c>
      <c r="AR808" s="3" t="s">
        <v>62</v>
      </c>
      <c r="AS808" s="3" t="s">
        <v>62</v>
      </c>
      <c r="AT808" s="3" t="s">
        <v>61</v>
      </c>
      <c r="AU808" s="6" t="str">
        <f>HYPERLINK("http://catalog.hathitrust.org/Record/000921095","HathiTrust Record")</f>
        <v>HathiTrust Record</v>
      </c>
      <c r="AV808" s="6" t="str">
        <f>HYPERLINK("http://mcgill.on.worldcat.org/oclc/15629215","Catalog Record")</f>
        <v>Catalog Record</v>
      </c>
      <c r="AW808" s="6" t="str">
        <f>HYPERLINK("http://www.worldcat.org/oclc/15629215","WorldCat Record")</f>
        <v>WorldCat Record</v>
      </c>
      <c r="AX808" s="3" t="s">
        <v>7795</v>
      </c>
      <c r="AY808" s="3" t="s">
        <v>7796</v>
      </c>
      <c r="AZ808" s="3" t="s">
        <v>7797</v>
      </c>
      <c r="BA808" s="3" t="s">
        <v>7797</v>
      </c>
      <c r="BB808" s="3" t="s">
        <v>7798</v>
      </c>
      <c r="BC808" s="3" t="s">
        <v>142</v>
      </c>
      <c r="BD808" s="3" t="s">
        <v>68</v>
      </c>
      <c r="BE808" s="3" t="s">
        <v>7799</v>
      </c>
      <c r="BF808" s="3" t="s">
        <v>7798</v>
      </c>
      <c r="BG808" s="3" t="s">
        <v>7800</v>
      </c>
    </row>
    <row r="809" spans="1:59" ht="57" x14ac:dyDescent="0.45">
      <c r="A809" s="2" t="s">
        <v>59</v>
      </c>
      <c r="B809" s="2" t="s">
        <v>60</v>
      </c>
      <c r="C809" s="2" t="s">
        <v>7801</v>
      </c>
      <c r="D809" s="2" t="s">
        <v>7802</v>
      </c>
      <c r="E809" s="2" t="s">
        <v>7803</v>
      </c>
      <c r="G809" s="3" t="s">
        <v>62</v>
      </c>
      <c r="I809" s="3" t="s">
        <v>62</v>
      </c>
      <c r="J809" s="3" t="s">
        <v>62</v>
      </c>
      <c r="K809" s="3" t="s">
        <v>63</v>
      </c>
      <c r="M809" s="2" t="s">
        <v>7804</v>
      </c>
      <c r="N809" s="3" t="s">
        <v>1253</v>
      </c>
      <c r="P809" s="3" t="s">
        <v>65</v>
      </c>
      <c r="R809" s="3" t="s">
        <v>66</v>
      </c>
      <c r="S809" s="4">
        <v>48</v>
      </c>
      <c r="T809" s="4">
        <v>48</v>
      </c>
      <c r="U809" s="5" t="s">
        <v>2202</v>
      </c>
      <c r="V809" s="5" t="s">
        <v>2202</v>
      </c>
      <c r="W809" s="5" t="s">
        <v>67</v>
      </c>
      <c r="X809" s="5" t="s">
        <v>67</v>
      </c>
      <c r="Y809" s="4">
        <v>358</v>
      </c>
      <c r="Z809" s="4">
        <v>20</v>
      </c>
      <c r="AA809" s="4">
        <v>90</v>
      </c>
      <c r="AB809" s="4">
        <v>2</v>
      </c>
      <c r="AC809" s="4">
        <v>17</v>
      </c>
      <c r="AD809" s="4">
        <v>90</v>
      </c>
      <c r="AE809" s="4">
        <v>132</v>
      </c>
      <c r="AF809" s="4">
        <v>1</v>
      </c>
      <c r="AG809" s="4">
        <v>8</v>
      </c>
      <c r="AH809" s="4">
        <v>81</v>
      </c>
      <c r="AI809" s="4">
        <v>96</v>
      </c>
      <c r="AJ809" s="4">
        <v>14</v>
      </c>
      <c r="AK809" s="4">
        <v>24</v>
      </c>
      <c r="AL809" s="4">
        <v>43</v>
      </c>
      <c r="AM809" s="4">
        <v>50</v>
      </c>
      <c r="AN809" s="4">
        <v>0</v>
      </c>
      <c r="AO809" s="4">
        <v>0</v>
      </c>
      <c r="AP809" s="4">
        <v>16</v>
      </c>
      <c r="AQ809" s="4">
        <v>45</v>
      </c>
      <c r="AR809" s="3" t="s">
        <v>62</v>
      </c>
      <c r="AS809" s="3" t="s">
        <v>62</v>
      </c>
      <c r="AT809" s="3" t="s">
        <v>61</v>
      </c>
      <c r="AU809" s="6" t="str">
        <f>HYPERLINK("http://catalog.hathitrust.org/Record/003948034","HathiTrust Record")</f>
        <v>HathiTrust Record</v>
      </c>
      <c r="AV809" s="6" t="str">
        <f>HYPERLINK("http://mcgill.on.worldcat.org/oclc/36485812","Catalog Record")</f>
        <v>Catalog Record</v>
      </c>
      <c r="AW809" s="6" t="str">
        <f>HYPERLINK("http://www.worldcat.org/oclc/36485812","WorldCat Record")</f>
        <v>WorldCat Record</v>
      </c>
      <c r="AX809" s="3" t="s">
        <v>7805</v>
      </c>
      <c r="AY809" s="3" t="s">
        <v>7806</v>
      </c>
      <c r="AZ809" s="3" t="s">
        <v>7807</v>
      </c>
      <c r="BA809" s="3" t="s">
        <v>7807</v>
      </c>
      <c r="BB809" s="3" t="s">
        <v>7808</v>
      </c>
      <c r="BC809" s="3" t="s">
        <v>142</v>
      </c>
      <c r="BD809" s="3" t="s">
        <v>308</v>
      </c>
      <c r="BE809" s="3" t="s">
        <v>7809</v>
      </c>
      <c r="BF809" s="3" t="s">
        <v>7808</v>
      </c>
      <c r="BG809" s="3" t="s">
        <v>7810</v>
      </c>
    </row>
    <row r="810" spans="1:59" ht="57" x14ac:dyDescent="0.45">
      <c r="A810" s="2" t="s">
        <v>59</v>
      </c>
      <c r="B810" s="2" t="s">
        <v>60</v>
      </c>
      <c r="C810" s="2" t="s">
        <v>7811</v>
      </c>
      <c r="D810" s="2" t="s">
        <v>7812</v>
      </c>
      <c r="E810" s="2" t="s">
        <v>7813</v>
      </c>
      <c r="G810" s="3" t="s">
        <v>62</v>
      </c>
      <c r="I810" s="3" t="s">
        <v>62</v>
      </c>
      <c r="J810" s="3" t="s">
        <v>62</v>
      </c>
      <c r="K810" s="3" t="s">
        <v>63</v>
      </c>
      <c r="M810" s="2" t="s">
        <v>4429</v>
      </c>
      <c r="N810" s="3" t="s">
        <v>1097</v>
      </c>
      <c r="P810" s="3" t="s">
        <v>65</v>
      </c>
      <c r="Q810" s="2" t="s">
        <v>2058</v>
      </c>
      <c r="R810" s="3" t="s">
        <v>66</v>
      </c>
      <c r="S810" s="4">
        <v>36</v>
      </c>
      <c r="T810" s="4">
        <v>36</v>
      </c>
      <c r="U810" s="5" t="s">
        <v>5362</v>
      </c>
      <c r="V810" s="5" t="s">
        <v>5362</v>
      </c>
      <c r="W810" s="5" t="s">
        <v>67</v>
      </c>
      <c r="X810" s="5" t="s">
        <v>67</v>
      </c>
      <c r="Y810" s="4">
        <v>371</v>
      </c>
      <c r="Z810" s="4">
        <v>32</v>
      </c>
      <c r="AA810" s="4">
        <v>39</v>
      </c>
      <c r="AB810" s="4">
        <v>3</v>
      </c>
      <c r="AC810" s="4">
        <v>8</v>
      </c>
      <c r="AD810" s="4">
        <v>95</v>
      </c>
      <c r="AE810" s="4">
        <v>100</v>
      </c>
      <c r="AF810" s="4">
        <v>2</v>
      </c>
      <c r="AG810" s="4">
        <v>5</v>
      </c>
      <c r="AH810" s="4">
        <v>77</v>
      </c>
      <c r="AI810" s="4">
        <v>79</v>
      </c>
      <c r="AJ810" s="4">
        <v>18</v>
      </c>
      <c r="AK810" s="4">
        <v>22</v>
      </c>
      <c r="AL810" s="4">
        <v>43</v>
      </c>
      <c r="AM810" s="4">
        <v>43</v>
      </c>
      <c r="AN810" s="4">
        <v>0</v>
      </c>
      <c r="AO810" s="4">
        <v>0</v>
      </c>
      <c r="AP810" s="4">
        <v>26</v>
      </c>
      <c r="AQ810" s="4">
        <v>30</v>
      </c>
      <c r="AR810" s="3" t="s">
        <v>62</v>
      </c>
      <c r="AS810" s="3" t="s">
        <v>62</v>
      </c>
      <c r="AT810" s="3" t="s">
        <v>62</v>
      </c>
      <c r="AV810" s="6" t="str">
        <f>HYPERLINK("http://mcgill.on.worldcat.org/oclc/52109644","Catalog Record")</f>
        <v>Catalog Record</v>
      </c>
      <c r="AW810" s="6" t="str">
        <f>HYPERLINK("http://www.worldcat.org/oclc/52109644","WorldCat Record")</f>
        <v>WorldCat Record</v>
      </c>
      <c r="AX810" s="3" t="s">
        <v>7814</v>
      </c>
      <c r="AY810" s="3" t="s">
        <v>7815</v>
      </c>
      <c r="AZ810" s="3" t="s">
        <v>7816</v>
      </c>
      <c r="BA810" s="3" t="s">
        <v>7816</v>
      </c>
      <c r="BB810" s="3" t="s">
        <v>7817</v>
      </c>
      <c r="BC810" s="3" t="s">
        <v>142</v>
      </c>
      <c r="BD810" s="3" t="s">
        <v>308</v>
      </c>
      <c r="BE810" s="3" t="s">
        <v>7818</v>
      </c>
      <c r="BF810" s="3" t="s">
        <v>7817</v>
      </c>
      <c r="BG810" s="3" t="s">
        <v>7819</v>
      </c>
    </row>
    <row r="811" spans="1:59" ht="57" x14ac:dyDescent="0.45">
      <c r="A811" s="2" t="s">
        <v>59</v>
      </c>
      <c r="B811" s="2" t="s">
        <v>60</v>
      </c>
      <c r="C811" s="2" t="s">
        <v>7820</v>
      </c>
      <c r="D811" s="2" t="s">
        <v>7821</v>
      </c>
      <c r="E811" s="2" t="s">
        <v>7822</v>
      </c>
      <c r="G811" s="3" t="s">
        <v>62</v>
      </c>
      <c r="I811" s="3" t="s">
        <v>62</v>
      </c>
      <c r="J811" s="3" t="s">
        <v>62</v>
      </c>
      <c r="K811" s="3" t="s">
        <v>63</v>
      </c>
      <c r="M811" s="2" t="s">
        <v>7823</v>
      </c>
      <c r="N811" s="3" t="s">
        <v>625</v>
      </c>
      <c r="O811" s="2" t="s">
        <v>168</v>
      </c>
      <c r="P811" s="3" t="s">
        <v>65</v>
      </c>
      <c r="Q811" s="2" t="s">
        <v>7204</v>
      </c>
      <c r="R811" s="3" t="s">
        <v>66</v>
      </c>
      <c r="S811" s="4">
        <v>12</v>
      </c>
      <c r="T811" s="4">
        <v>12</v>
      </c>
      <c r="U811" s="5" t="s">
        <v>7824</v>
      </c>
      <c r="V811" s="5" t="s">
        <v>7824</v>
      </c>
      <c r="W811" s="5" t="s">
        <v>67</v>
      </c>
      <c r="X811" s="5" t="s">
        <v>67</v>
      </c>
      <c r="Y811" s="4">
        <v>216</v>
      </c>
      <c r="Z811" s="4">
        <v>17</v>
      </c>
      <c r="AA811" s="4">
        <v>20</v>
      </c>
      <c r="AB811" s="4">
        <v>2</v>
      </c>
      <c r="AC811" s="4">
        <v>5</v>
      </c>
      <c r="AD811" s="4">
        <v>69</v>
      </c>
      <c r="AE811" s="4">
        <v>72</v>
      </c>
      <c r="AF811" s="4">
        <v>1</v>
      </c>
      <c r="AG811" s="4">
        <v>4</v>
      </c>
      <c r="AH811" s="4">
        <v>62</v>
      </c>
      <c r="AI811" s="4">
        <v>63</v>
      </c>
      <c r="AJ811" s="4">
        <v>12</v>
      </c>
      <c r="AK811" s="4">
        <v>15</v>
      </c>
      <c r="AL811" s="4">
        <v>31</v>
      </c>
      <c r="AM811" s="4">
        <v>31</v>
      </c>
      <c r="AN811" s="4">
        <v>0</v>
      </c>
      <c r="AO811" s="4">
        <v>0</v>
      </c>
      <c r="AP811" s="4">
        <v>14</v>
      </c>
      <c r="AQ811" s="4">
        <v>16</v>
      </c>
      <c r="AR811" s="3" t="s">
        <v>62</v>
      </c>
      <c r="AS811" s="3" t="s">
        <v>62</v>
      </c>
      <c r="AT811" s="3" t="s">
        <v>62</v>
      </c>
      <c r="AV811" s="6" t="str">
        <f>HYPERLINK("http://mcgill.on.worldcat.org/oclc/12370222","Catalog Record")</f>
        <v>Catalog Record</v>
      </c>
      <c r="AW811" s="6" t="str">
        <f>HYPERLINK("http://www.worldcat.org/oclc/12370222","WorldCat Record")</f>
        <v>WorldCat Record</v>
      </c>
      <c r="AX811" s="3" t="s">
        <v>7825</v>
      </c>
      <c r="AY811" s="3" t="s">
        <v>7826</v>
      </c>
      <c r="AZ811" s="3" t="s">
        <v>7827</v>
      </c>
      <c r="BA811" s="3" t="s">
        <v>7827</v>
      </c>
      <c r="BB811" s="3" t="s">
        <v>7828</v>
      </c>
      <c r="BC811" s="3" t="s">
        <v>142</v>
      </c>
      <c r="BD811" s="3" t="s">
        <v>68</v>
      </c>
      <c r="BE811" s="3" t="s">
        <v>7829</v>
      </c>
      <c r="BF811" s="3" t="s">
        <v>7828</v>
      </c>
      <c r="BG811" s="3" t="s">
        <v>7830</v>
      </c>
    </row>
    <row r="812" spans="1:59" ht="57" x14ac:dyDescent="0.45">
      <c r="A812" s="2" t="s">
        <v>59</v>
      </c>
      <c r="B812" s="2" t="s">
        <v>412</v>
      </c>
      <c r="C812" s="2" t="s">
        <v>7831</v>
      </c>
      <c r="D812" s="2" t="s">
        <v>7832</v>
      </c>
      <c r="E812" s="2" t="s">
        <v>7833</v>
      </c>
      <c r="G812" s="3" t="s">
        <v>62</v>
      </c>
      <c r="I812" s="3" t="s">
        <v>62</v>
      </c>
      <c r="J812" s="3" t="s">
        <v>62</v>
      </c>
      <c r="K812" s="3" t="s">
        <v>63</v>
      </c>
      <c r="M812" s="2" t="s">
        <v>4951</v>
      </c>
      <c r="N812" s="3" t="s">
        <v>625</v>
      </c>
      <c r="P812" s="3" t="s">
        <v>65</v>
      </c>
      <c r="Q812" s="2" t="s">
        <v>7244</v>
      </c>
      <c r="R812" s="3" t="s">
        <v>66</v>
      </c>
      <c r="S812" s="4">
        <v>43</v>
      </c>
      <c r="T812" s="4">
        <v>43</v>
      </c>
      <c r="U812" s="5" t="s">
        <v>7834</v>
      </c>
      <c r="V812" s="5" t="s">
        <v>7834</v>
      </c>
      <c r="W812" s="5" t="s">
        <v>67</v>
      </c>
      <c r="X812" s="5" t="s">
        <v>67</v>
      </c>
      <c r="Y812" s="4">
        <v>734</v>
      </c>
      <c r="Z812" s="4">
        <v>44</v>
      </c>
      <c r="AA812" s="4">
        <v>49</v>
      </c>
      <c r="AB812" s="4">
        <v>2</v>
      </c>
      <c r="AC812" s="4">
        <v>7</v>
      </c>
      <c r="AD812" s="4">
        <v>122</v>
      </c>
      <c r="AE812" s="4">
        <v>125</v>
      </c>
      <c r="AF812" s="4">
        <v>1</v>
      </c>
      <c r="AG812" s="4">
        <v>4</v>
      </c>
      <c r="AH812" s="4">
        <v>100</v>
      </c>
      <c r="AI812" s="4">
        <v>101</v>
      </c>
      <c r="AJ812" s="4">
        <v>17</v>
      </c>
      <c r="AK812" s="4">
        <v>20</v>
      </c>
      <c r="AL812" s="4">
        <v>54</v>
      </c>
      <c r="AM812" s="4">
        <v>54</v>
      </c>
      <c r="AN812" s="4">
        <v>0</v>
      </c>
      <c r="AO812" s="4">
        <v>0</v>
      </c>
      <c r="AP812" s="4">
        <v>30</v>
      </c>
      <c r="AQ812" s="4">
        <v>32</v>
      </c>
      <c r="AR812" s="3" t="s">
        <v>62</v>
      </c>
      <c r="AS812" s="3" t="s">
        <v>62</v>
      </c>
      <c r="AT812" s="3" t="s">
        <v>61</v>
      </c>
      <c r="AU812" s="6" t="str">
        <f>HYPERLINK("http://catalog.hathitrust.org/Record/000671554","HathiTrust Record")</f>
        <v>HathiTrust Record</v>
      </c>
      <c r="AV812" s="6" t="str">
        <f>HYPERLINK("http://mcgill.on.worldcat.org/oclc/12970326","Catalog Record")</f>
        <v>Catalog Record</v>
      </c>
      <c r="AW812" s="6" t="str">
        <f>HYPERLINK("http://www.worldcat.org/oclc/12970326","WorldCat Record")</f>
        <v>WorldCat Record</v>
      </c>
      <c r="AX812" s="3" t="s">
        <v>7835</v>
      </c>
      <c r="AY812" s="3" t="s">
        <v>7836</v>
      </c>
      <c r="AZ812" s="3" t="s">
        <v>7837</v>
      </c>
      <c r="BA812" s="3" t="s">
        <v>7837</v>
      </c>
      <c r="BB812" s="3" t="s">
        <v>7838</v>
      </c>
      <c r="BC812" s="3" t="s">
        <v>142</v>
      </c>
      <c r="BD812" s="3" t="s">
        <v>68</v>
      </c>
      <c r="BE812" s="3" t="s">
        <v>7839</v>
      </c>
      <c r="BF812" s="3" t="s">
        <v>7838</v>
      </c>
      <c r="BG812" s="3" t="s">
        <v>7840</v>
      </c>
    </row>
    <row r="813" spans="1:59" ht="57" x14ac:dyDescent="0.45">
      <c r="A813" s="2" t="s">
        <v>59</v>
      </c>
      <c r="B813" s="2" t="s">
        <v>412</v>
      </c>
      <c r="C813" s="2" t="s">
        <v>7841</v>
      </c>
      <c r="D813" s="2" t="s">
        <v>7842</v>
      </c>
      <c r="E813" s="2" t="s">
        <v>7843</v>
      </c>
      <c r="G813" s="3" t="s">
        <v>62</v>
      </c>
      <c r="I813" s="3" t="s">
        <v>62</v>
      </c>
      <c r="J813" s="3" t="s">
        <v>62</v>
      </c>
      <c r="K813" s="3" t="s">
        <v>63</v>
      </c>
      <c r="M813" s="2" t="s">
        <v>7844</v>
      </c>
      <c r="N813" s="3" t="s">
        <v>167</v>
      </c>
      <c r="P813" s="3" t="s">
        <v>65</v>
      </c>
      <c r="Q813" s="2" t="s">
        <v>2058</v>
      </c>
      <c r="R813" s="3" t="s">
        <v>66</v>
      </c>
      <c r="S813" s="4">
        <v>19</v>
      </c>
      <c r="T813" s="4">
        <v>19</v>
      </c>
      <c r="U813" s="5" t="s">
        <v>7845</v>
      </c>
      <c r="V813" s="5" t="s">
        <v>7845</v>
      </c>
      <c r="W813" s="5" t="s">
        <v>67</v>
      </c>
      <c r="X813" s="5" t="s">
        <v>67</v>
      </c>
      <c r="Y813" s="4">
        <v>560</v>
      </c>
      <c r="Z813" s="4">
        <v>32</v>
      </c>
      <c r="AA813" s="4">
        <v>39</v>
      </c>
      <c r="AB813" s="4">
        <v>1</v>
      </c>
      <c r="AC813" s="4">
        <v>7</v>
      </c>
      <c r="AD813" s="4">
        <v>107</v>
      </c>
      <c r="AE813" s="4">
        <v>111</v>
      </c>
      <c r="AF813" s="4">
        <v>0</v>
      </c>
      <c r="AG813" s="4">
        <v>3</v>
      </c>
      <c r="AH813" s="4">
        <v>90</v>
      </c>
      <c r="AI813" s="4">
        <v>91</v>
      </c>
      <c r="AJ813" s="4">
        <v>17</v>
      </c>
      <c r="AK813" s="4">
        <v>20</v>
      </c>
      <c r="AL813" s="4">
        <v>52</v>
      </c>
      <c r="AM813" s="4">
        <v>52</v>
      </c>
      <c r="AN813" s="4">
        <v>0</v>
      </c>
      <c r="AO813" s="4">
        <v>0</v>
      </c>
      <c r="AP813" s="4">
        <v>24</v>
      </c>
      <c r="AQ813" s="4">
        <v>28</v>
      </c>
      <c r="AR813" s="3" t="s">
        <v>62</v>
      </c>
      <c r="AS813" s="3" t="s">
        <v>62</v>
      </c>
      <c r="AT813" s="3" t="s">
        <v>61</v>
      </c>
      <c r="AU813" s="6" t="str">
        <f>HYPERLINK("http://catalog.hathitrust.org/Record/004069873","HathiTrust Record")</f>
        <v>HathiTrust Record</v>
      </c>
      <c r="AV813" s="6" t="str">
        <f>HYPERLINK("http://mcgill.on.worldcat.org/oclc/40479833","Catalog Record")</f>
        <v>Catalog Record</v>
      </c>
      <c r="AW813" s="6" t="str">
        <f>HYPERLINK("http://www.worldcat.org/oclc/40479833","WorldCat Record")</f>
        <v>WorldCat Record</v>
      </c>
      <c r="AX813" s="3" t="s">
        <v>7846</v>
      </c>
      <c r="AY813" s="3" t="s">
        <v>7847</v>
      </c>
      <c r="AZ813" s="3" t="s">
        <v>7848</v>
      </c>
      <c r="BA813" s="3" t="s">
        <v>7848</v>
      </c>
      <c r="BB813" s="3" t="s">
        <v>7849</v>
      </c>
      <c r="BC813" s="3" t="s">
        <v>142</v>
      </c>
      <c r="BD813" s="3" t="s">
        <v>308</v>
      </c>
      <c r="BE813" s="3" t="s">
        <v>7850</v>
      </c>
      <c r="BF813" s="3" t="s">
        <v>7849</v>
      </c>
      <c r="BG813" s="3" t="s">
        <v>7851</v>
      </c>
    </row>
    <row r="814" spans="1:59" ht="57" x14ac:dyDescent="0.45">
      <c r="A814" s="2" t="s">
        <v>59</v>
      </c>
      <c r="B814" s="2" t="s">
        <v>412</v>
      </c>
      <c r="C814" s="2" t="s">
        <v>7852</v>
      </c>
      <c r="D814" s="2" t="s">
        <v>7853</v>
      </c>
      <c r="E814" s="2" t="s">
        <v>7854</v>
      </c>
      <c r="G814" s="3" t="s">
        <v>62</v>
      </c>
      <c r="I814" s="3" t="s">
        <v>62</v>
      </c>
      <c r="J814" s="3" t="s">
        <v>62</v>
      </c>
      <c r="K814" s="3" t="s">
        <v>63</v>
      </c>
      <c r="L814" s="2" t="s">
        <v>7855</v>
      </c>
      <c r="M814" s="2" t="s">
        <v>7856</v>
      </c>
      <c r="N814" s="3" t="s">
        <v>106</v>
      </c>
      <c r="P814" s="3" t="s">
        <v>65</v>
      </c>
      <c r="R814" s="3" t="s">
        <v>66</v>
      </c>
      <c r="S814" s="4">
        <v>30</v>
      </c>
      <c r="T814" s="4">
        <v>30</v>
      </c>
      <c r="U814" s="5" t="s">
        <v>7834</v>
      </c>
      <c r="V814" s="5" t="s">
        <v>7834</v>
      </c>
      <c r="W814" s="5" t="s">
        <v>67</v>
      </c>
      <c r="X814" s="5" t="s">
        <v>67</v>
      </c>
      <c r="Y814" s="4">
        <v>50</v>
      </c>
      <c r="Z814" s="4">
        <v>31</v>
      </c>
      <c r="AA814" s="4">
        <v>36</v>
      </c>
      <c r="AB814" s="4">
        <v>2</v>
      </c>
      <c r="AC814" s="4">
        <v>3</v>
      </c>
      <c r="AD814" s="4">
        <v>29</v>
      </c>
      <c r="AE814" s="4">
        <v>35</v>
      </c>
      <c r="AF814" s="4">
        <v>0</v>
      </c>
      <c r="AG814" s="4">
        <v>1</v>
      </c>
      <c r="AH814" s="4">
        <v>18</v>
      </c>
      <c r="AI814" s="4">
        <v>22</v>
      </c>
      <c r="AJ814" s="4">
        <v>14</v>
      </c>
      <c r="AK814" s="4">
        <v>18</v>
      </c>
      <c r="AL814" s="4">
        <v>7</v>
      </c>
      <c r="AM814" s="4">
        <v>7</v>
      </c>
      <c r="AN814" s="4">
        <v>0</v>
      </c>
      <c r="AO814" s="4">
        <v>0</v>
      </c>
      <c r="AP814" s="4">
        <v>19</v>
      </c>
      <c r="AQ814" s="4">
        <v>24</v>
      </c>
      <c r="AR814" s="3" t="s">
        <v>61</v>
      </c>
      <c r="AS814" s="3" t="s">
        <v>62</v>
      </c>
      <c r="AT814" s="3" t="s">
        <v>62</v>
      </c>
      <c r="AV814" s="6" t="str">
        <f>HYPERLINK("http://mcgill.on.worldcat.org/oclc/11344470","Catalog Record")</f>
        <v>Catalog Record</v>
      </c>
      <c r="AW814" s="6" t="str">
        <f>HYPERLINK("http://www.worldcat.org/oclc/11344470","WorldCat Record")</f>
        <v>WorldCat Record</v>
      </c>
      <c r="AX814" s="3" t="s">
        <v>7857</v>
      </c>
      <c r="AY814" s="3" t="s">
        <v>7858</v>
      </c>
      <c r="AZ814" s="3" t="s">
        <v>7859</v>
      </c>
      <c r="BA814" s="3" t="s">
        <v>7859</v>
      </c>
      <c r="BB814" s="3" t="s">
        <v>7860</v>
      </c>
      <c r="BC814" s="3" t="s">
        <v>142</v>
      </c>
      <c r="BD814" s="3" t="s">
        <v>68</v>
      </c>
      <c r="BE814" s="3" t="s">
        <v>7861</v>
      </c>
      <c r="BF814" s="3" t="s">
        <v>7860</v>
      </c>
      <c r="BG814" s="3" t="s">
        <v>7862</v>
      </c>
    </row>
    <row r="815" spans="1:59" ht="57" x14ac:dyDescent="0.45">
      <c r="A815" s="2" t="s">
        <v>59</v>
      </c>
      <c r="B815" s="2" t="s">
        <v>60</v>
      </c>
      <c r="C815" s="2" t="s">
        <v>7863</v>
      </c>
      <c r="D815" s="2" t="s">
        <v>7864</v>
      </c>
      <c r="E815" s="2" t="s">
        <v>7865</v>
      </c>
      <c r="G815" s="3" t="s">
        <v>62</v>
      </c>
      <c r="I815" s="3" t="s">
        <v>62</v>
      </c>
      <c r="J815" s="3" t="s">
        <v>62</v>
      </c>
      <c r="K815" s="3" t="s">
        <v>63</v>
      </c>
      <c r="L815" s="2" t="s">
        <v>7866</v>
      </c>
      <c r="M815" s="2" t="s">
        <v>7867</v>
      </c>
      <c r="N815" s="3" t="s">
        <v>568</v>
      </c>
      <c r="P815" s="3" t="s">
        <v>65</v>
      </c>
      <c r="Q815" s="2" t="s">
        <v>7700</v>
      </c>
      <c r="R815" s="3" t="s">
        <v>66</v>
      </c>
      <c r="S815" s="4">
        <v>23</v>
      </c>
      <c r="T815" s="4">
        <v>23</v>
      </c>
      <c r="U815" s="5" t="s">
        <v>123</v>
      </c>
      <c r="V815" s="5" t="s">
        <v>123</v>
      </c>
      <c r="W815" s="5" t="s">
        <v>67</v>
      </c>
      <c r="X815" s="5" t="s">
        <v>67</v>
      </c>
      <c r="Y815" s="4">
        <v>368</v>
      </c>
      <c r="Z815" s="4">
        <v>26</v>
      </c>
      <c r="AA815" s="4">
        <v>36</v>
      </c>
      <c r="AB815" s="4">
        <v>4</v>
      </c>
      <c r="AC815" s="4">
        <v>8</v>
      </c>
      <c r="AD815" s="4">
        <v>100</v>
      </c>
      <c r="AE815" s="4">
        <v>109</v>
      </c>
      <c r="AF815" s="4">
        <v>2</v>
      </c>
      <c r="AG815" s="4">
        <v>4</v>
      </c>
      <c r="AH815" s="4">
        <v>86</v>
      </c>
      <c r="AI815" s="4">
        <v>93</v>
      </c>
      <c r="AJ815" s="4">
        <v>12</v>
      </c>
      <c r="AK815" s="4">
        <v>18</v>
      </c>
      <c r="AL815" s="4">
        <v>49</v>
      </c>
      <c r="AM815" s="4">
        <v>50</v>
      </c>
      <c r="AN815" s="4">
        <v>0</v>
      </c>
      <c r="AO815" s="4">
        <v>0</v>
      </c>
      <c r="AP815" s="4">
        <v>18</v>
      </c>
      <c r="AQ815" s="4">
        <v>24</v>
      </c>
      <c r="AR815" s="3" t="s">
        <v>62</v>
      </c>
      <c r="AS815" s="3" t="s">
        <v>62</v>
      </c>
      <c r="AT815" s="3" t="s">
        <v>61</v>
      </c>
      <c r="AU815" s="6" t="str">
        <f>HYPERLINK("http://catalog.hathitrust.org/Record/000830354","HathiTrust Record")</f>
        <v>HathiTrust Record</v>
      </c>
      <c r="AV815" s="6" t="str">
        <f>HYPERLINK("http://mcgill.on.worldcat.org/oclc/13823885","Catalog Record")</f>
        <v>Catalog Record</v>
      </c>
      <c r="AW815" s="6" t="str">
        <f>HYPERLINK("http://www.worldcat.org/oclc/13823885","WorldCat Record")</f>
        <v>WorldCat Record</v>
      </c>
      <c r="AX815" s="3" t="s">
        <v>7868</v>
      </c>
      <c r="AY815" s="3" t="s">
        <v>7869</v>
      </c>
      <c r="AZ815" s="3" t="s">
        <v>7870</v>
      </c>
      <c r="BA815" s="3" t="s">
        <v>7870</v>
      </c>
      <c r="BB815" s="3" t="s">
        <v>7871</v>
      </c>
      <c r="BC815" s="3" t="s">
        <v>142</v>
      </c>
      <c r="BD815" s="3" t="s">
        <v>68</v>
      </c>
      <c r="BE815" s="3" t="s">
        <v>7872</v>
      </c>
      <c r="BF815" s="3" t="s">
        <v>7871</v>
      </c>
      <c r="BG815" s="3" t="s">
        <v>7873</v>
      </c>
    </row>
    <row r="816" spans="1:59" ht="57" x14ac:dyDescent="0.45">
      <c r="A816" s="2" t="s">
        <v>59</v>
      </c>
      <c r="B816" s="2" t="s">
        <v>60</v>
      </c>
      <c r="C816" s="2" t="s">
        <v>7874</v>
      </c>
      <c r="D816" s="2" t="s">
        <v>7875</v>
      </c>
      <c r="E816" s="2" t="s">
        <v>7876</v>
      </c>
      <c r="G816" s="3" t="s">
        <v>62</v>
      </c>
      <c r="I816" s="3" t="s">
        <v>62</v>
      </c>
      <c r="J816" s="3" t="s">
        <v>62</v>
      </c>
      <c r="K816" s="3" t="s">
        <v>63</v>
      </c>
      <c r="M816" s="2" t="s">
        <v>7877</v>
      </c>
      <c r="N816" s="3" t="s">
        <v>1465</v>
      </c>
      <c r="P816" s="3" t="s">
        <v>65</v>
      </c>
      <c r="Q816" s="2" t="s">
        <v>7878</v>
      </c>
      <c r="R816" s="3" t="s">
        <v>66</v>
      </c>
      <c r="S816" s="4">
        <v>5</v>
      </c>
      <c r="T816" s="4">
        <v>5</v>
      </c>
      <c r="U816" s="5" t="s">
        <v>328</v>
      </c>
      <c r="V816" s="5" t="s">
        <v>328</v>
      </c>
      <c r="W816" s="5" t="s">
        <v>67</v>
      </c>
      <c r="X816" s="5" t="s">
        <v>67</v>
      </c>
      <c r="Y816" s="4">
        <v>79</v>
      </c>
      <c r="Z816" s="4">
        <v>11</v>
      </c>
      <c r="AA816" s="4">
        <v>94</v>
      </c>
      <c r="AB816" s="4">
        <v>2</v>
      </c>
      <c r="AC816" s="4">
        <v>19</v>
      </c>
      <c r="AD816" s="4">
        <v>30</v>
      </c>
      <c r="AE816" s="4">
        <v>93</v>
      </c>
      <c r="AF816" s="4">
        <v>0</v>
      </c>
      <c r="AG816" s="4">
        <v>8</v>
      </c>
      <c r="AH816" s="4">
        <v>29</v>
      </c>
      <c r="AI816" s="4">
        <v>62</v>
      </c>
      <c r="AJ816" s="4">
        <v>8</v>
      </c>
      <c r="AK816" s="4">
        <v>19</v>
      </c>
      <c r="AL816" s="4">
        <v>18</v>
      </c>
      <c r="AM816" s="4">
        <v>32</v>
      </c>
      <c r="AN816" s="4">
        <v>0</v>
      </c>
      <c r="AO816" s="4">
        <v>0</v>
      </c>
      <c r="AP816" s="4">
        <v>8</v>
      </c>
      <c r="AQ816" s="4">
        <v>40</v>
      </c>
      <c r="AR816" s="3" t="s">
        <v>62</v>
      </c>
      <c r="AS816" s="3" t="s">
        <v>62</v>
      </c>
      <c r="AT816" s="3" t="s">
        <v>62</v>
      </c>
      <c r="AV816" s="6" t="str">
        <f>HYPERLINK("http://mcgill.on.worldcat.org/oclc/289009186","Catalog Record")</f>
        <v>Catalog Record</v>
      </c>
      <c r="AW816" s="6" t="str">
        <f>HYPERLINK("http://www.worldcat.org/oclc/289009186","WorldCat Record")</f>
        <v>WorldCat Record</v>
      </c>
      <c r="AX816" s="3" t="s">
        <v>7879</v>
      </c>
      <c r="AY816" s="3" t="s">
        <v>7880</v>
      </c>
      <c r="AZ816" s="3" t="s">
        <v>7881</v>
      </c>
      <c r="BA816" s="3" t="s">
        <v>7881</v>
      </c>
      <c r="BB816" s="3" t="s">
        <v>7882</v>
      </c>
      <c r="BC816" s="3" t="s">
        <v>142</v>
      </c>
      <c r="BD816" s="3" t="s">
        <v>68</v>
      </c>
      <c r="BE816" s="3" t="s">
        <v>7883</v>
      </c>
      <c r="BF816" s="3" t="s">
        <v>7882</v>
      </c>
      <c r="BG816" s="3" t="s">
        <v>7884</v>
      </c>
    </row>
    <row r="817" spans="1:59" ht="57" x14ac:dyDescent="0.45">
      <c r="A817" s="2" t="s">
        <v>59</v>
      </c>
      <c r="B817" s="2" t="s">
        <v>60</v>
      </c>
      <c r="C817" s="2" t="s">
        <v>7885</v>
      </c>
      <c r="D817" s="2" t="s">
        <v>7886</v>
      </c>
      <c r="E817" s="2" t="s">
        <v>7887</v>
      </c>
      <c r="G817" s="3" t="s">
        <v>62</v>
      </c>
      <c r="I817" s="3" t="s">
        <v>62</v>
      </c>
      <c r="J817" s="3" t="s">
        <v>62</v>
      </c>
      <c r="K817" s="3" t="s">
        <v>63</v>
      </c>
      <c r="M817" s="2" t="s">
        <v>7888</v>
      </c>
      <c r="N817" s="3" t="s">
        <v>116</v>
      </c>
      <c r="P817" s="3" t="s">
        <v>110</v>
      </c>
      <c r="Q817" s="2" t="s">
        <v>7889</v>
      </c>
      <c r="R817" s="3" t="s">
        <v>66</v>
      </c>
      <c r="S817" s="4">
        <v>1</v>
      </c>
      <c r="T817" s="4">
        <v>1</v>
      </c>
      <c r="U817" s="5" t="s">
        <v>7890</v>
      </c>
      <c r="V817" s="5" t="s">
        <v>7890</v>
      </c>
      <c r="W817" s="5" t="s">
        <v>67</v>
      </c>
      <c r="X817" s="5" t="s">
        <v>67</v>
      </c>
      <c r="Y817" s="4">
        <v>4</v>
      </c>
      <c r="Z817" s="4">
        <v>1</v>
      </c>
      <c r="AA817" s="4">
        <v>16</v>
      </c>
      <c r="AB817" s="4">
        <v>1</v>
      </c>
      <c r="AC817" s="4">
        <v>13</v>
      </c>
      <c r="AD817" s="4">
        <v>1</v>
      </c>
      <c r="AE817" s="4">
        <v>9</v>
      </c>
      <c r="AF817" s="4">
        <v>0</v>
      </c>
      <c r="AG817" s="4">
        <v>5</v>
      </c>
      <c r="AH817" s="4">
        <v>1</v>
      </c>
      <c r="AI817" s="4">
        <v>4</v>
      </c>
      <c r="AJ817" s="4">
        <v>0</v>
      </c>
      <c r="AK817" s="4">
        <v>7</v>
      </c>
      <c r="AL817" s="4">
        <v>1</v>
      </c>
      <c r="AM817" s="4">
        <v>1</v>
      </c>
      <c r="AN817" s="4">
        <v>0</v>
      </c>
      <c r="AO817" s="4">
        <v>0</v>
      </c>
      <c r="AP817" s="4">
        <v>0</v>
      </c>
      <c r="AQ817" s="4">
        <v>7</v>
      </c>
      <c r="AR817" s="3" t="s">
        <v>62</v>
      </c>
      <c r="AS817" s="3" t="s">
        <v>62</v>
      </c>
      <c r="AT817" s="3" t="s">
        <v>62</v>
      </c>
      <c r="AV817" s="6" t="str">
        <f>HYPERLINK("http://mcgill.on.worldcat.org/oclc/898223200","Catalog Record")</f>
        <v>Catalog Record</v>
      </c>
      <c r="AW817" s="6" t="str">
        <f>HYPERLINK("http://www.worldcat.org/oclc/898223200","WorldCat Record")</f>
        <v>WorldCat Record</v>
      </c>
      <c r="AX817" s="3" t="s">
        <v>7891</v>
      </c>
      <c r="AY817" s="3" t="s">
        <v>7892</v>
      </c>
      <c r="AZ817" s="3" t="s">
        <v>7893</v>
      </c>
      <c r="BA817" s="3" t="s">
        <v>7893</v>
      </c>
      <c r="BB817" s="3" t="s">
        <v>7894</v>
      </c>
      <c r="BC817" s="3" t="s">
        <v>142</v>
      </c>
      <c r="BD817" s="3" t="s">
        <v>68</v>
      </c>
      <c r="BE817" s="3" t="s">
        <v>7895</v>
      </c>
      <c r="BF817" s="3" t="s">
        <v>7894</v>
      </c>
      <c r="BG817" s="3" t="s">
        <v>7896</v>
      </c>
    </row>
    <row r="818" spans="1:59" ht="57" x14ac:dyDescent="0.45">
      <c r="A818" s="2" t="s">
        <v>59</v>
      </c>
      <c r="B818" s="2" t="s">
        <v>412</v>
      </c>
      <c r="C818" s="2" t="s">
        <v>7897</v>
      </c>
      <c r="D818" s="2" t="s">
        <v>7898</v>
      </c>
      <c r="E818" s="2" t="s">
        <v>7899</v>
      </c>
      <c r="G818" s="3" t="s">
        <v>62</v>
      </c>
      <c r="I818" s="3" t="s">
        <v>62</v>
      </c>
      <c r="J818" s="3" t="s">
        <v>62</v>
      </c>
      <c r="K818" s="3" t="s">
        <v>63</v>
      </c>
      <c r="L818" s="2" t="s">
        <v>7900</v>
      </c>
      <c r="M818" s="2" t="s">
        <v>7901</v>
      </c>
      <c r="N818" s="3" t="s">
        <v>1437</v>
      </c>
      <c r="P818" s="3" t="s">
        <v>65</v>
      </c>
      <c r="R818" s="3" t="s">
        <v>66</v>
      </c>
      <c r="S818" s="4">
        <v>20</v>
      </c>
      <c r="T818" s="4">
        <v>20</v>
      </c>
      <c r="U818" s="5" t="s">
        <v>6370</v>
      </c>
      <c r="V818" s="5" t="s">
        <v>6370</v>
      </c>
      <c r="W818" s="5" t="s">
        <v>67</v>
      </c>
      <c r="X818" s="5" t="s">
        <v>67</v>
      </c>
      <c r="Y818" s="4">
        <v>273</v>
      </c>
      <c r="Z818" s="4">
        <v>15</v>
      </c>
      <c r="AA818" s="4">
        <v>17</v>
      </c>
      <c r="AB818" s="4">
        <v>2</v>
      </c>
      <c r="AC818" s="4">
        <v>4</v>
      </c>
      <c r="AD818" s="4">
        <v>87</v>
      </c>
      <c r="AE818" s="4">
        <v>89</v>
      </c>
      <c r="AF818" s="4">
        <v>1</v>
      </c>
      <c r="AG818" s="4">
        <v>3</v>
      </c>
      <c r="AH818" s="4">
        <v>82</v>
      </c>
      <c r="AI818" s="4">
        <v>82</v>
      </c>
      <c r="AJ818" s="4">
        <v>12</v>
      </c>
      <c r="AK818" s="4">
        <v>14</v>
      </c>
      <c r="AL818" s="4">
        <v>45</v>
      </c>
      <c r="AM818" s="4">
        <v>45</v>
      </c>
      <c r="AN818" s="4">
        <v>0</v>
      </c>
      <c r="AO818" s="4">
        <v>0</v>
      </c>
      <c r="AP818" s="4">
        <v>12</v>
      </c>
      <c r="AQ818" s="4">
        <v>14</v>
      </c>
      <c r="AR818" s="3" t="s">
        <v>62</v>
      </c>
      <c r="AS818" s="3" t="s">
        <v>62</v>
      </c>
      <c r="AT818" s="3" t="s">
        <v>61</v>
      </c>
      <c r="AU818" s="6" t="str">
        <f>HYPERLINK("http://catalog.hathitrust.org/Record/003987679","HathiTrust Record")</f>
        <v>HathiTrust Record</v>
      </c>
      <c r="AV818" s="6" t="str">
        <f>HYPERLINK("http://mcgill.on.worldcat.org/oclc/38738857","Catalog Record")</f>
        <v>Catalog Record</v>
      </c>
      <c r="AW818" s="6" t="str">
        <f>HYPERLINK("http://www.worldcat.org/oclc/38738857","WorldCat Record")</f>
        <v>WorldCat Record</v>
      </c>
      <c r="AX818" s="3" t="s">
        <v>7902</v>
      </c>
      <c r="AY818" s="3" t="s">
        <v>7903</v>
      </c>
      <c r="AZ818" s="3" t="s">
        <v>7904</v>
      </c>
      <c r="BA818" s="3" t="s">
        <v>7904</v>
      </c>
      <c r="BB818" s="3" t="s">
        <v>7905</v>
      </c>
      <c r="BC818" s="3" t="s">
        <v>142</v>
      </c>
      <c r="BD818" s="3" t="s">
        <v>68</v>
      </c>
      <c r="BE818" s="3" t="s">
        <v>7906</v>
      </c>
      <c r="BF818" s="3" t="s">
        <v>7905</v>
      </c>
      <c r="BG818" s="3" t="s">
        <v>7907</v>
      </c>
    </row>
    <row r="819" spans="1:59" ht="57" x14ac:dyDescent="0.45">
      <c r="A819" s="2" t="s">
        <v>59</v>
      </c>
      <c r="B819" s="2" t="s">
        <v>60</v>
      </c>
      <c r="C819" s="2" t="s">
        <v>7908</v>
      </c>
      <c r="D819" s="2" t="s">
        <v>7909</v>
      </c>
      <c r="E819" s="2" t="s">
        <v>7910</v>
      </c>
      <c r="G819" s="3" t="s">
        <v>62</v>
      </c>
      <c r="I819" s="3" t="s">
        <v>62</v>
      </c>
      <c r="J819" s="3" t="s">
        <v>62</v>
      </c>
      <c r="K819" s="3" t="s">
        <v>63</v>
      </c>
      <c r="L819" s="2" t="s">
        <v>7051</v>
      </c>
      <c r="M819" s="2" t="s">
        <v>7911</v>
      </c>
      <c r="N819" s="3" t="s">
        <v>2107</v>
      </c>
      <c r="P819" s="3" t="s">
        <v>65</v>
      </c>
      <c r="Q819" s="2" t="s">
        <v>7204</v>
      </c>
      <c r="R819" s="3" t="s">
        <v>66</v>
      </c>
      <c r="S819" s="4">
        <v>43</v>
      </c>
      <c r="T819" s="4">
        <v>43</v>
      </c>
      <c r="U819" s="5" t="s">
        <v>7912</v>
      </c>
      <c r="V819" s="5" t="s">
        <v>7912</v>
      </c>
      <c r="W819" s="5" t="s">
        <v>67</v>
      </c>
      <c r="X819" s="5" t="s">
        <v>67</v>
      </c>
      <c r="Y819" s="4">
        <v>308</v>
      </c>
      <c r="Z819" s="4">
        <v>17</v>
      </c>
      <c r="AA819" s="4">
        <v>30</v>
      </c>
      <c r="AB819" s="4">
        <v>2</v>
      </c>
      <c r="AC819" s="4">
        <v>5</v>
      </c>
      <c r="AD819" s="4">
        <v>84</v>
      </c>
      <c r="AE819" s="4">
        <v>96</v>
      </c>
      <c r="AF819" s="4">
        <v>1</v>
      </c>
      <c r="AG819" s="4">
        <v>3</v>
      </c>
      <c r="AH819" s="4">
        <v>77</v>
      </c>
      <c r="AI819" s="4">
        <v>82</v>
      </c>
      <c r="AJ819" s="4">
        <v>12</v>
      </c>
      <c r="AK819" s="4">
        <v>19</v>
      </c>
      <c r="AL819" s="4">
        <v>40</v>
      </c>
      <c r="AM819" s="4">
        <v>41</v>
      </c>
      <c r="AN819" s="4">
        <v>0</v>
      </c>
      <c r="AO819" s="4">
        <v>0</v>
      </c>
      <c r="AP819" s="4">
        <v>14</v>
      </c>
      <c r="AQ819" s="4">
        <v>24</v>
      </c>
      <c r="AR819" s="3" t="s">
        <v>62</v>
      </c>
      <c r="AS819" s="3" t="s">
        <v>62</v>
      </c>
      <c r="AT819" s="3" t="s">
        <v>61</v>
      </c>
      <c r="AU819" s="6" t="str">
        <f>HYPERLINK("http://catalog.hathitrust.org/Record/000565323","HathiTrust Record")</f>
        <v>HathiTrust Record</v>
      </c>
      <c r="AV819" s="6" t="str">
        <f>HYPERLINK("http://mcgill.on.worldcat.org/oclc/10432534","Catalog Record")</f>
        <v>Catalog Record</v>
      </c>
      <c r="AW819" s="6" t="str">
        <f>HYPERLINK("http://www.worldcat.org/oclc/10432534","WorldCat Record")</f>
        <v>WorldCat Record</v>
      </c>
      <c r="AX819" s="3" t="s">
        <v>7913</v>
      </c>
      <c r="AY819" s="3" t="s">
        <v>7914</v>
      </c>
      <c r="AZ819" s="3" t="s">
        <v>7915</v>
      </c>
      <c r="BA819" s="3" t="s">
        <v>7915</v>
      </c>
      <c r="BB819" s="3" t="s">
        <v>7916</v>
      </c>
      <c r="BC819" s="3" t="s">
        <v>142</v>
      </c>
      <c r="BD819" s="3" t="s">
        <v>68</v>
      </c>
      <c r="BE819" s="3" t="s">
        <v>7917</v>
      </c>
      <c r="BF819" s="3" t="s">
        <v>7916</v>
      </c>
      <c r="BG819" s="3" t="s">
        <v>7918</v>
      </c>
    </row>
    <row r="820" spans="1:59" ht="57" x14ac:dyDescent="0.45">
      <c r="A820" s="2" t="s">
        <v>59</v>
      </c>
      <c r="B820" s="2" t="s">
        <v>60</v>
      </c>
      <c r="C820" s="2" t="s">
        <v>7919</v>
      </c>
      <c r="D820" s="2" t="s">
        <v>7920</v>
      </c>
      <c r="E820" s="2" t="s">
        <v>7921</v>
      </c>
      <c r="G820" s="3" t="s">
        <v>62</v>
      </c>
      <c r="I820" s="3" t="s">
        <v>61</v>
      </c>
      <c r="J820" s="3" t="s">
        <v>62</v>
      </c>
      <c r="K820" s="3" t="s">
        <v>63</v>
      </c>
      <c r="M820" s="2" t="s">
        <v>7922</v>
      </c>
      <c r="N820" s="3" t="s">
        <v>625</v>
      </c>
      <c r="O820" s="2" t="s">
        <v>168</v>
      </c>
      <c r="P820" s="3" t="s">
        <v>65</v>
      </c>
      <c r="Q820" s="2" t="s">
        <v>7204</v>
      </c>
      <c r="R820" s="3" t="s">
        <v>66</v>
      </c>
      <c r="S820" s="4">
        <v>8</v>
      </c>
      <c r="T820" s="4">
        <v>27</v>
      </c>
      <c r="U820" s="5" t="s">
        <v>7923</v>
      </c>
      <c r="V820" s="5" t="s">
        <v>445</v>
      </c>
      <c r="W820" s="5" t="s">
        <v>67</v>
      </c>
      <c r="X820" s="5" t="s">
        <v>67</v>
      </c>
      <c r="Y820" s="4">
        <v>183</v>
      </c>
      <c r="Z820" s="4">
        <v>18</v>
      </c>
      <c r="AA820" s="4">
        <v>19</v>
      </c>
      <c r="AB820" s="4">
        <v>2</v>
      </c>
      <c r="AC820" s="4">
        <v>3</v>
      </c>
      <c r="AD820" s="4">
        <v>65</v>
      </c>
      <c r="AE820" s="4">
        <v>66</v>
      </c>
      <c r="AF820" s="4">
        <v>1</v>
      </c>
      <c r="AG820" s="4">
        <v>2</v>
      </c>
      <c r="AH820" s="4">
        <v>60</v>
      </c>
      <c r="AI820" s="4">
        <v>60</v>
      </c>
      <c r="AJ820" s="4">
        <v>13</v>
      </c>
      <c r="AK820" s="4">
        <v>14</v>
      </c>
      <c r="AL820" s="4">
        <v>31</v>
      </c>
      <c r="AM820" s="4">
        <v>31</v>
      </c>
      <c r="AN820" s="4">
        <v>0</v>
      </c>
      <c r="AO820" s="4">
        <v>0</v>
      </c>
      <c r="AP820" s="4">
        <v>14</v>
      </c>
      <c r="AQ820" s="4">
        <v>14</v>
      </c>
      <c r="AR820" s="3" t="s">
        <v>62</v>
      </c>
      <c r="AS820" s="3" t="s">
        <v>62</v>
      </c>
      <c r="AT820" s="3" t="s">
        <v>61</v>
      </c>
      <c r="AU820" s="6" t="str">
        <f>HYPERLINK("http://catalog.hathitrust.org/Record/000486905","HathiTrust Record")</f>
        <v>HathiTrust Record</v>
      </c>
      <c r="AV820" s="6" t="str">
        <f>HYPERLINK("http://mcgill.on.worldcat.org/oclc/13010047","Catalog Record")</f>
        <v>Catalog Record</v>
      </c>
      <c r="AW820" s="6" t="str">
        <f>HYPERLINK("http://www.worldcat.org/oclc/13010047","WorldCat Record")</f>
        <v>WorldCat Record</v>
      </c>
      <c r="AX820" s="3" t="s">
        <v>7924</v>
      </c>
      <c r="AY820" s="3" t="s">
        <v>7925</v>
      </c>
      <c r="AZ820" s="3" t="s">
        <v>7926</v>
      </c>
      <c r="BA820" s="3" t="s">
        <v>7926</v>
      </c>
      <c r="BB820" s="3" t="s">
        <v>7927</v>
      </c>
      <c r="BC820" s="3" t="s">
        <v>142</v>
      </c>
      <c r="BD820" s="3" t="s">
        <v>68</v>
      </c>
      <c r="BE820" s="3" t="s">
        <v>7928</v>
      </c>
      <c r="BF820" s="3" t="s">
        <v>7927</v>
      </c>
      <c r="BG820" s="3" t="s">
        <v>7929</v>
      </c>
    </row>
    <row r="821" spans="1:59" ht="57" x14ac:dyDescent="0.45">
      <c r="A821" s="2" t="s">
        <v>59</v>
      </c>
      <c r="B821" s="2" t="s">
        <v>412</v>
      </c>
      <c r="C821" s="2" t="s">
        <v>7919</v>
      </c>
      <c r="D821" s="2" t="s">
        <v>7920</v>
      </c>
      <c r="E821" s="2" t="s">
        <v>7921</v>
      </c>
      <c r="G821" s="3" t="s">
        <v>62</v>
      </c>
      <c r="I821" s="3" t="s">
        <v>61</v>
      </c>
      <c r="J821" s="3" t="s">
        <v>62</v>
      </c>
      <c r="K821" s="3" t="s">
        <v>63</v>
      </c>
      <c r="M821" s="2" t="s">
        <v>7922</v>
      </c>
      <c r="N821" s="3" t="s">
        <v>625</v>
      </c>
      <c r="O821" s="2" t="s">
        <v>168</v>
      </c>
      <c r="P821" s="3" t="s">
        <v>65</v>
      </c>
      <c r="Q821" s="2" t="s">
        <v>7204</v>
      </c>
      <c r="R821" s="3" t="s">
        <v>66</v>
      </c>
      <c r="S821" s="4">
        <v>19</v>
      </c>
      <c r="T821" s="4">
        <v>27</v>
      </c>
      <c r="U821" s="5" t="s">
        <v>445</v>
      </c>
      <c r="V821" s="5" t="s">
        <v>445</v>
      </c>
      <c r="W821" s="5" t="s">
        <v>67</v>
      </c>
      <c r="X821" s="5" t="s">
        <v>67</v>
      </c>
      <c r="Y821" s="4">
        <v>183</v>
      </c>
      <c r="Z821" s="4">
        <v>18</v>
      </c>
      <c r="AA821" s="4">
        <v>19</v>
      </c>
      <c r="AB821" s="4">
        <v>2</v>
      </c>
      <c r="AC821" s="4">
        <v>3</v>
      </c>
      <c r="AD821" s="4">
        <v>65</v>
      </c>
      <c r="AE821" s="4">
        <v>66</v>
      </c>
      <c r="AF821" s="4">
        <v>1</v>
      </c>
      <c r="AG821" s="4">
        <v>2</v>
      </c>
      <c r="AH821" s="4">
        <v>60</v>
      </c>
      <c r="AI821" s="4">
        <v>60</v>
      </c>
      <c r="AJ821" s="4">
        <v>13</v>
      </c>
      <c r="AK821" s="4">
        <v>14</v>
      </c>
      <c r="AL821" s="4">
        <v>31</v>
      </c>
      <c r="AM821" s="4">
        <v>31</v>
      </c>
      <c r="AN821" s="4">
        <v>0</v>
      </c>
      <c r="AO821" s="4">
        <v>0</v>
      </c>
      <c r="AP821" s="4">
        <v>14</v>
      </c>
      <c r="AQ821" s="4">
        <v>14</v>
      </c>
      <c r="AR821" s="3" t="s">
        <v>62</v>
      </c>
      <c r="AS821" s="3" t="s">
        <v>62</v>
      </c>
      <c r="AT821" s="3" t="s">
        <v>61</v>
      </c>
      <c r="AU821" s="6" t="str">
        <f>HYPERLINK("http://catalog.hathitrust.org/Record/000486905","HathiTrust Record")</f>
        <v>HathiTrust Record</v>
      </c>
      <c r="AV821" s="6" t="str">
        <f>HYPERLINK("http://mcgill.on.worldcat.org/oclc/13010047","Catalog Record")</f>
        <v>Catalog Record</v>
      </c>
      <c r="AW821" s="6" t="str">
        <f>HYPERLINK("http://www.worldcat.org/oclc/13010047","WorldCat Record")</f>
        <v>WorldCat Record</v>
      </c>
      <c r="AX821" s="3" t="s">
        <v>7924</v>
      </c>
      <c r="AY821" s="3" t="s">
        <v>7925</v>
      </c>
      <c r="AZ821" s="3" t="s">
        <v>7926</v>
      </c>
      <c r="BA821" s="3" t="s">
        <v>7926</v>
      </c>
      <c r="BB821" s="3" t="s">
        <v>7930</v>
      </c>
      <c r="BC821" s="3" t="s">
        <v>142</v>
      </c>
      <c r="BD821" s="3" t="s">
        <v>68</v>
      </c>
      <c r="BE821" s="3" t="s">
        <v>7928</v>
      </c>
      <c r="BF821" s="3" t="s">
        <v>7930</v>
      </c>
      <c r="BG821" s="3" t="s">
        <v>7931</v>
      </c>
    </row>
    <row r="822" spans="1:59" ht="57" x14ac:dyDescent="0.45">
      <c r="A822" s="2" t="s">
        <v>59</v>
      </c>
      <c r="B822" s="2" t="s">
        <v>60</v>
      </c>
      <c r="C822" s="2" t="s">
        <v>7932</v>
      </c>
      <c r="D822" s="2" t="s">
        <v>7933</v>
      </c>
      <c r="E822" s="2" t="s">
        <v>7934</v>
      </c>
      <c r="G822" s="3" t="s">
        <v>62</v>
      </c>
      <c r="I822" s="3" t="s">
        <v>62</v>
      </c>
      <c r="J822" s="3" t="s">
        <v>62</v>
      </c>
      <c r="K822" s="3" t="s">
        <v>63</v>
      </c>
      <c r="M822" s="2" t="s">
        <v>7935</v>
      </c>
      <c r="N822" s="3" t="s">
        <v>149</v>
      </c>
      <c r="P822" s="3" t="s">
        <v>65</v>
      </c>
      <c r="Q822" s="2" t="s">
        <v>7936</v>
      </c>
      <c r="R822" s="3" t="s">
        <v>66</v>
      </c>
      <c r="S822" s="4">
        <v>1</v>
      </c>
      <c r="T822" s="4">
        <v>1</v>
      </c>
      <c r="U822" s="5" t="s">
        <v>7937</v>
      </c>
      <c r="V822" s="5" t="s">
        <v>7937</v>
      </c>
      <c r="W822" s="5" t="s">
        <v>67</v>
      </c>
      <c r="X822" s="5" t="s">
        <v>67</v>
      </c>
      <c r="Y822" s="4">
        <v>89</v>
      </c>
      <c r="Z822" s="4">
        <v>16</v>
      </c>
      <c r="AA822" s="4">
        <v>17</v>
      </c>
      <c r="AB822" s="4">
        <v>2</v>
      </c>
      <c r="AC822" s="4">
        <v>3</v>
      </c>
      <c r="AD822" s="4">
        <v>40</v>
      </c>
      <c r="AE822" s="4">
        <v>41</v>
      </c>
      <c r="AF822" s="4">
        <v>1</v>
      </c>
      <c r="AG822" s="4">
        <v>2</v>
      </c>
      <c r="AH822" s="4">
        <v>35</v>
      </c>
      <c r="AI822" s="4">
        <v>35</v>
      </c>
      <c r="AJ822" s="4">
        <v>12</v>
      </c>
      <c r="AK822" s="4">
        <v>13</v>
      </c>
      <c r="AL822" s="4">
        <v>19</v>
      </c>
      <c r="AM822" s="4">
        <v>19</v>
      </c>
      <c r="AN822" s="4">
        <v>0</v>
      </c>
      <c r="AO822" s="4">
        <v>0</v>
      </c>
      <c r="AP822" s="4">
        <v>12</v>
      </c>
      <c r="AQ822" s="4">
        <v>13</v>
      </c>
      <c r="AR822" s="3" t="s">
        <v>62</v>
      </c>
      <c r="AS822" s="3" t="s">
        <v>62</v>
      </c>
      <c r="AT822" s="3" t="s">
        <v>62</v>
      </c>
      <c r="AV822" s="6" t="str">
        <f>HYPERLINK("http://mcgill.on.worldcat.org/oclc/664450923","Catalog Record")</f>
        <v>Catalog Record</v>
      </c>
      <c r="AW822" s="6" t="str">
        <f>HYPERLINK("http://www.worldcat.org/oclc/664450923","WorldCat Record")</f>
        <v>WorldCat Record</v>
      </c>
      <c r="AX822" s="3" t="s">
        <v>7938</v>
      </c>
      <c r="AY822" s="3" t="s">
        <v>7939</v>
      </c>
      <c r="AZ822" s="3" t="s">
        <v>7940</v>
      </c>
      <c r="BA822" s="3" t="s">
        <v>7940</v>
      </c>
      <c r="BB822" s="3" t="s">
        <v>7941</v>
      </c>
      <c r="BC822" s="3" t="s">
        <v>142</v>
      </c>
      <c r="BD822" s="3" t="s">
        <v>68</v>
      </c>
      <c r="BE822" s="3" t="s">
        <v>7942</v>
      </c>
      <c r="BF822" s="3" t="s">
        <v>7941</v>
      </c>
      <c r="BG822" s="3" t="s">
        <v>7943</v>
      </c>
    </row>
    <row r="823" spans="1:59" ht="57" x14ac:dyDescent="0.45">
      <c r="A823" s="2" t="s">
        <v>59</v>
      </c>
      <c r="B823" s="2" t="s">
        <v>60</v>
      </c>
      <c r="C823" s="2" t="s">
        <v>7944</v>
      </c>
      <c r="D823" s="2" t="s">
        <v>7945</v>
      </c>
      <c r="E823" s="2" t="s">
        <v>7946</v>
      </c>
      <c r="G823" s="3" t="s">
        <v>62</v>
      </c>
      <c r="I823" s="3" t="s">
        <v>62</v>
      </c>
      <c r="J823" s="3" t="s">
        <v>62</v>
      </c>
      <c r="K823" s="3" t="s">
        <v>63</v>
      </c>
      <c r="M823" s="2" t="s">
        <v>7947</v>
      </c>
      <c r="N823" s="3" t="s">
        <v>1465</v>
      </c>
      <c r="P823" s="3" t="s">
        <v>65</v>
      </c>
      <c r="Q823" s="2" t="s">
        <v>7948</v>
      </c>
      <c r="R823" s="3" t="s">
        <v>66</v>
      </c>
      <c r="S823" s="4">
        <v>8</v>
      </c>
      <c r="T823" s="4">
        <v>8</v>
      </c>
      <c r="U823" s="5" t="s">
        <v>7949</v>
      </c>
      <c r="V823" s="5" t="s">
        <v>7949</v>
      </c>
      <c r="W823" s="5" t="s">
        <v>67</v>
      </c>
      <c r="X823" s="5" t="s">
        <v>67</v>
      </c>
      <c r="Y823" s="4">
        <v>181</v>
      </c>
      <c r="Z823" s="4">
        <v>18</v>
      </c>
      <c r="AA823" s="4">
        <v>102</v>
      </c>
      <c r="AB823" s="4">
        <v>2</v>
      </c>
      <c r="AC823" s="4">
        <v>18</v>
      </c>
      <c r="AD823" s="4">
        <v>58</v>
      </c>
      <c r="AE823" s="4">
        <v>124</v>
      </c>
      <c r="AF823" s="4">
        <v>1</v>
      </c>
      <c r="AG823" s="4">
        <v>8</v>
      </c>
      <c r="AH823" s="4">
        <v>52</v>
      </c>
      <c r="AI823" s="4">
        <v>87</v>
      </c>
      <c r="AJ823" s="4">
        <v>13</v>
      </c>
      <c r="AK823" s="4">
        <v>23</v>
      </c>
      <c r="AL823" s="4">
        <v>29</v>
      </c>
      <c r="AM823" s="4">
        <v>45</v>
      </c>
      <c r="AN823" s="4">
        <v>0</v>
      </c>
      <c r="AO823" s="4">
        <v>0</v>
      </c>
      <c r="AP823" s="4">
        <v>14</v>
      </c>
      <c r="AQ823" s="4">
        <v>44</v>
      </c>
      <c r="AR823" s="3" t="s">
        <v>62</v>
      </c>
      <c r="AS823" s="3" t="s">
        <v>62</v>
      </c>
      <c r="AT823" s="3" t="s">
        <v>62</v>
      </c>
      <c r="AV823" s="6" t="str">
        <f>HYPERLINK("http://mcgill.on.worldcat.org/oclc/320806434","Catalog Record")</f>
        <v>Catalog Record</v>
      </c>
      <c r="AW823" s="6" t="str">
        <f>HYPERLINK("http://www.worldcat.org/oclc/320806434","WorldCat Record")</f>
        <v>WorldCat Record</v>
      </c>
      <c r="AX823" s="3" t="s">
        <v>7950</v>
      </c>
      <c r="AY823" s="3" t="s">
        <v>7951</v>
      </c>
      <c r="AZ823" s="3" t="s">
        <v>7952</v>
      </c>
      <c r="BA823" s="3" t="s">
        <v>7952</v>
      </c>
      <c r="BB823" s="3" t="s">
        <v>7953</v>
      </c>
      <c r="BC823" s="3" t="s">
        <v>142</v>
      </c>
      <c r="BD823" s="3" t="s">
        <v>68</v>
      </c>
      <c r="BE823" s="3" t="s">
        <v>7954</v>
      </c>
      <c r="BF823" s="3" t="s">
        <v>7953</v>
      </c>
      <c r="BG823" s="3" t="s">
        <v>7955</v>
      </c>
    </row>
    <row r="824" spans="1:59" ht="57" x14ac:dyDescent="0.45">
      <c r="A824" s="2" t="s">
        <v>59</v>
      </c>
      <c r="B824" s="2" t="s">
        <v>60</v>
      </c>
      <c r="C824" s="2" t="s">
        <v>7956</v>
      </c>
      <c r="D824" s="2" t="s">
        <v>7957</v>
      </c>
      <c r="E824" s="2" t="s">
        <v>7958</v>
      </c>
      <c r="G824" s="3" t="s">
        <v>62</v>
      </c>
      <c r="I824" s="3" t="s">
        <v>62</v>
      </c>
      <c r="J824" s="3" t="s">
        <v>62</v>
      </c>
      <c r="K824" s="3" t="s">
        <v>63</v>
      </c>
      <c r="M824" s="2" t="s">
        <v>7959</v>
      </c>
      <c r="N824" s="3" t="s">
        <v>568</v>
      </c>
      <c r="P824" s="3" t="s">
        <v>65</v>
      </c>
      <c r="Q824" s="2" t="s">
        <v>7960</v>
      </c>
      <c r="R824" s="3" t="s">
        <v>66</v>
      </c>
      <c r="S824" s="4">
        <v>24</v>
      </c>
      <c r="T824" s="4">
        <v>24</v>
      </c>
      <c r="U824" s="5" t="s">
        <v>7961</v>
      </c>
      <c r="V824" s="5" t="s">
        <v>7961</v>
      </c>
      <c r="W824" s="5" t="s">
        <v>67</v>
      </c>
      <c r="X824" s="5" t="s">
        <v>67</v>
      </c>
      <c r="Y824" s="4">
        <v>302</v>
      </c>
      <c r="Z824" s="4">
        <v>19</v>
      </c>
      <c r="AA824" s="4">
        <v>23</v>
      </c>
      <c r="AB824" s="4">
        <v>3</v>
      </c>
      <c r="AC824" s="4">
        <v>7</v>
      </c>
      <c r="AD824" s="4">
        <v>90</v>
      </c>
      <c r="AE824" s="4">
        <v>93</v>
      </c>
      <c r="AF824" s="4">
        <v>1</v>
      </c>
      <c r="AG824" s="4">
        <v>4</v>
      </c>
      <c r="AH824" s="4">
        <v>81</v>
      </c>
      <c r="AI824" s="4">
        <v>82</v>
      </c>
      <c r="AJ824" s="4">
        <v>13</v>
      </c>
      <c r="AK824" s="4">
        <v>16</v>
      </c>
      <c r="AL824" s="4">
        <v>46</v>
      </c>
      <c r="AM824" s="4">
        <v>46</v>
      </c>
      <c r="AN824" s="4">
        <v>0</v>
      </c>
      <c r="AO824" s="4">
        <v>0</v>
      </c>
      <c r="AP824" s="4">
        <v>15</v>
      </c>
      <c r="AQ824" s="4">
        <v>17</v>
      </c>
      <c r="AR824" s="3" t="s">
        <v>62</v>
      </c>
      <c r="AS824" s="3" t="s">
        <v>62</v>
      </c>
      <c r="AT824" s="3" t="s">
        <v>61</v>
      </c>
      <c r="AU824" s="6" t="str">
        <f>HYPERLINK("http://catalog.hathitrust.org/Record/000831822","HathiTrust Record")</f>
        <v>HathiTrust Record</v>
      </c>
      <c r="AV824" s="6" t="str">
        <f>HYPERLINK("http://mcgill.on.worldcat.org/oclc/14166472","Catalog Record")</f>
        <v>Catalog Record</v>
      </c>
      <c r="AW824" s="6" t="str">
        <f>HYPERLINK("http://www.worldcat.org/oclc/14166472","WorldCat Record")</f>
        <v>WorldCat Record</v>
      </c>
      <c r="AX824" s="3" t="s">
        <v>7962</v>
      </c>
      <c r="AY824" s="3" t="s">
        <v>7963</v>
      </c>
      <c r="AZ824" s="3" t="s">
        <v>7964</v>
      </c>
      <c r="BA824" s="3" t="s">
        <v>7964</v>
      </c>
      <c r="BB824" s="3" t="s">
        <v>7965</v>
      </c>
      <c r="BC824" s="3" t="s">
        <v>142</v>
      </c>
      <c r="BD824" s="3" t="s">
        <v>68</v>
      </c>
      <c r="BE824" s="3" t="s">
        <v>7966</v>
      </c>
      <c r="BF824" s="3" t="s">
        <v>7965</v>
      </c>
      <c r="BG824" s="3" t="s">
        <v>7967</v>
      </c>
    </row>
    <row r="825" spans="1:59" ht="57" x14ac:dyDescent="0.45">
      <c r="A825" s="2" t="s">
        <v>59</v>
      </c>
      <c r="B825" s="2" t="s">
        <v>60</v>
      </c>
      <c r="C825" s="2" t="s">
        <v>7968</v>
      </c>
      <c r="D825" s="2" t="s">
        <v>7969</v>
      </c>
      <c r="E825" s="2" t="s">
        <v>7970</v>
      </c>
      <c r="G825" s="3" t="s">
        <v>62</v>
      </c>
      <c r="I825" s="3" t="s">
        <v>62</v>
      </c>
      <c r="J825" s="3" t="s">
        <v>62</v>
      </c>
      <c r="K825" s="3" t="s">
        <v>63</v>
      </c>
      <c r="M825" s="2" t="s">
        <v>7971</v>
      </c>
      <c r="N825" s="3" t="s">
        <v>958</v>
      </c>
      <c r="P825" s="3" t="s">
        <v>65</v>
      </c>
      <c r="Q825" s="2" t="s">
        <v>7972</v>
      </c>
      <c r="R825" s="3" t="s">
        <v>66</v>
      </c>
      <c r="S825" s="4">
        <v>17</v>
      </c>
      <c r="T825" s="4">
        <v>17</v>
      </c>
      <c r="U825" s="5" t="s">
        <v>123</v>
      </c>
      <c r="V825" s="5" t="s">
        <v>123</v>
      </c>
      <c r="W825" s="5" t="s">
        <v>67</v>
      </c>
      <c r="X825" s="5" t="s">
        <v>67</v>
      </c>
      <c r="Y825" s="4">
        <v>298</v>
      </c>
      <c r="Z825" s="4">
        <v>11</v>
      </c>
      <c r="AA825" s="4">
        <v>11</v>
      </c>
      <c r="AB825" s="4">
        <v>1</v>
      </c>
      <c r="AC825" s="4">
        <v>1</v>
      </c>
      <c r="AD825" s="4">
        <v>75</v>
      </c>
      <c r="AE825" s="4">
        <v>75</v>
      </c>
      <c r="AF825" s="4">
        <v>0</v>
      </c>
      <c r="AG825" s="4">
        <v>0</v>
      </c>
      <c r="AH825" s="4">
        <v>69</v>
      </c>
      <c r="AI825" s="4">
        <v>69</v>
      </c>
      <c r="AJ825" s="4">
        <v>9</v>
      </c>
      <c r="AK825" s="4">
        <v>9</v>
      </c>
      <c r="AL825" s="4">
        <v>34</v>
      </c>
      <c r="AM825" s="4">
        <v>34</v>
      </c>
      <c r="AN825" s="4">
        <v>0</v>
      </c>
      <c r="AO825" s="4">
        <v>0</v>
      </c>
      <c r="AP825" s="4">
        <v>9</v>
      </c>
      <c r="AQ825" s="4">
        <v>9</v>
      </c>
      <c r="AR825" s="3" t="s">
        <v>62</v>
      </c>
      <c r="AS825" s="3" t="s">
        <v>62</v>
      </c>
      <c r="AT825" s="3" t="s">
        <v>61</v>
      </c>
      <c r="AU825" s="6" t="str">
        <f>HYPERLINK("http://catalog.hathitrust.org/Record/004535888","HathiTrust Record")</f>
        <v>HathiTrust Record</v>
      </c>
      <c r="AV825" s="6" t="str">
        <f>HYPERLINK("http://mcgill.on.worldcat.org/oclc/32827024","Catalog Record")</f>
        <v>Catalog Record</v>
      </c>
      <c r="AW825" s="6" t="str">
        <f>HYPERLINK("http://www.worldcat.org/oclc/32827024","WorldCat Record")</f>
        <v>WorldCat Record</v>
      </c>
      <c r="AX825" s="3" t="s">
        <v>7973</v>
      </c>
      <c r="AY825" s="3" t="s">
        <v>7974</v>
      </c>
      <c r="AZ825" s="3" t="s">
        <v>7975</v>
      </c>
      <c r="BA825" s="3" t="s">
        <v>7975</v>
      </c>
      <c r="BB825" s="3" t="s">
        <v>7976</v>
      </c>
      <c r="BC825" s="3" t="s">
        <v>142</v>
      </c>
      <c r="BD825" s="3" t="s">
        <v>68</v>
      </c>
      <c r="BE825" s="3" t="s">
        <v>7977</v>
      </c>
      <c r="BF825" s="3" t="s">
        <v>7976</v>
      </c>
      <c r="BG825" s="3" t="s">
        <v>7978</v>
      </c>
    </row>
    <row r="826" spans="1:59" ht="57" x14ac:dyDescent="0.45">
      <c r="A826" s="2" t="s">
        <v>59</v>
      </c>
      <c r="B826" s="2" t="s">
        <v>60</v>
      </c>
      <c r="C826" s="2" t="s">
        <v>7979</v>
      </c>
      <c r="D826" s="2" t="s">
        <v>7980</v>
      </c>
      <c r="E826" s="2" t="s">
        <v>7981</v>
      </c>
      <c r="G826" s="3" t="s">
        <v>62</v>
      </c>
      <c r="I826" s="3" t="s">
        <v>61</v>
      </c>
      <c r="J826" s="3" t="s">
        <v>62</v>
      </c>
      <c r="K826" s="3" t="s">
        <v>63</v>
      </c>
      <c r="M826" s="2" t="s">
        <v>7982</v>
      </c>
      <c r="N826" s="3" t="s">
        <v>807</v>
      </c>
      <c r="P826" s="3" t="s">
        <v>65</v>
      </c>
      <c r="Q826" s="2" t="s">
        <v>7983</v>
      </c>
      <c r="R826" s="3" t="s">
        <v>66</v>
      </c>
      <c r="S826" s="4">
        <v>19</v>
      </c>
      <c r="T826" s="4">
        <v>60</v>
      </c>
      <c r="U826" s="5" t="s">
        <v>7321</v>
      </c>
      <c r="V826" s="5" t="s">
        <v>7321</v>
      </c>
      <c r="W826" s="5" t="s">
        <v>67</v>
      </c>
      <c r="X826" s="5" t="s">
        <v>67</v>
      </c>
      <c r="Y826" s="4">
        <v>249</v>
      </c>
      <c r="Z826" s="4">
        <v>20</v>
      </c>
      <c r="AA826" s="4">
        <v>101</v>
      </c>
      <c r="AB826" s="4">
        <v>3</v>
      </c>
      <c r="AC826" s="4">
        <v>18</v>
      </c>
      <c r="AD826" s="4">
        <v>75</v>
      </c>
      <c r="AE826" s="4">
        <v>132</v>
      </c>
      <c r="AF826" s="4">
        <v>1</v>
      </c>
      <c r="AG826" s="4">
        <v>8</v>
      </c>
      <c r="AH826" s="4">
        <v>64</v>
      </c>
      <c r="AI826" s="4">
        <v>93</v>
      </c>
      <c r="AJ826" s="4">
        <v>13</v>
      </c>
      <c r="AK826" s="4">
        <v>24</v>
      </c>
      <c r="AL826" s="4">
        <v>37</v>
      </c>
      <c r="AM826" s="4">
        <v>47</v>
      </c>
      <c r="AN826" s="4">
        <v>0</v>
      </c>
      <c r="AO826" s="4">
        <v>0</v>
      </c>
      <c r="AP826" s="4">
        <v>16</v>
      </c>
      <c r="AQ826" s="4">
        <v>47</v>
      </c>
      <c r="AR826" s="3" t="s">
        <v>62</v>
      </c>
      <c r="AS826" s="3" t="s">
        <v>62</v>
      </c>
      <c r="AT826" s="3" t="s">
        <v>61</v>
      </c>
      <c r="AU826" s="6" t="str">
        <f>HYPERLINK("http://catalog.hathitrust.org/Record/002595002","HathiTrust Record")</f>
        <v>HathiTrust Record</v>
      </c>
      <c r="AV826" s="6" t="str">
        <f>HYPERLINK("http://mcgill.on.worldcat.org/oclc/23140977","Catalog Record")</f>
        <v>Catalog Record</v>
      </c>
      <c r="AW826" s="6" t="str">
        <f>HYPERLINK("http://www.worldcat.org/oclc/23140977","WorldCat Record")</f>
        <v>WorldCat Record</v>
      </c>
      <c r="AX826" s="3" t="s">
        <v>7984</v>
      </c>
      <c r="AY826" s="3" t="s">
        <v>7985</v>
      </c>
      <c r="AZ826" s="3" t="s">
        <v>7986</v>
      </c>
      <c r="BA826" s="3" t="s">
        <v>7986</v>
      </c>
      <c r="BB826" s="3" t="s">
        <v>7987</v>
      </c>
      <c r="BC826" s="3" t="s">
        <v>142</v>
      </c>
      <c r="BD826" s="3" t="s">
        <v>68</v>
      </c>
      <c r="BE826" s="3" t="s">
        <v>7988</v>
      </c>
      <c r="BF826" s="3" t="s">
        <v>7987</v>
      </c>
      <c r="BG826" s="3" t="s">
        <v>7989</v>
      </c>
    </row>
    <row r="827" spans="1:59" ht="57" x14ac:dyDescent="0.45">
      <c r="A827" s="2" t="s">
        <v>59</v>
      </c>
      <c r="B827" s="2" t="s">
        <v>60</v>
      </c>
      <c r="C827" s="2" t="s">
        <v>7979</v>
      </c>
      <c r="D827" s="2" t="s">
        <v>7980</v>
      </c>
      <c r="E827" s="2" t="s">
        <v>7981</v>
      </c>
      <c r="G827" s="3" t="s">
        <v>62</v>
      </c>
      <c r="I827" s="3" t="s">
        <v>61</v>
      </c>
      <c r="J827" s="3" t="s">
        <v>62</v>
      </c>
      <c r="K827" s="3" t="s">
        <v>63</v>
      </c>
      <c r="M827" s="2" t="s">
        <v>7982</v>
      </c>
      <c r="N827" s="3" t="s">
        <v>807</v>
      </c>
      <c r="P827" s="3" t="s">
        <v>65</v>
      </c>
      <c r="Q827" s="2" t="s">
        <v>7983</v>
      </c>
      <c r="R827" s="3" t="s">
        <v>66</v>
      </c>
      <c r="S827" s="4">
        <v>41</v>
      </c>
      <c r="T827" s="4">
        <v>60</v>
      </c>
      <c r="U827" s="5" t="s">
        <v>7990</v>
      </c>
      <c r="V827" s="5" t="s">
        <v>7321</v>
      </c>
      <c r="W827" s="5" t="s">
        <v>67</v>
      </c>
      <c r="X827" s="5" t="s">
        <v>67</v>
      </c>
      <c r="Y827" s="4">
        <v>249</v>
      </c>
      <c r="Z827" s="4">
        <v>20</v>
      </c>
      <c r="AA827" s="4">
        <v>101</v>
      </c>
      <c r="AB827" s="4">
        <v>3</v>
      </c>
      <c r="AC827" s="4">
        <v>18</v>
      </c>
      <c r="AD827" s="4">
        <v>75</v>
      </c>
      <c r="AE827" s="4">
        <v>132</v>
      </c>
      <c r="AF827" s="4">
        <v>1</v>
      </c>
      <c r="AG827" s="4">
        <v>8</v>
      </c>
      <c r="AH827" s="4">
        <v>64</v>
      </c>
      <c r="AI827" s="4">
        <v>93</v>
      </c>
      <c r="AJ827" s="4">
        <v>13</v>
      </c>
      <c r="AK827" s="4">
        <v>24</v>
      </c>
      <c r="AL827" s="4">
        <v>37</v>
      </c>
      <c r="AM827" s="4">
        <v>47</v>
      </c>
      <c r="AN827" s="4">
        <v>0</v>
      </c>
      <c r="AO827" s="4">
        <v>0</v>
      </c>
      <c r="AP827" s="4">
        <v>16</v>
      </c>
      <c r="AQ827" s="4">
        <v>47</v>
      </c>
      <c r="AR827" s="3" t="s">
        <v>62</v>
      </c>
      <c r="AS827" s="3" t="s">
        <v>62</v>
      </c>
      <c r="AT827" s="3" t="s">
        <v>61</v>
      </c>
      <c r="AU827" s="6" t="str">
        <f>HYPERLINK("http://catalog.hathitrust.org/Record/002595002","HathiTrust Record")</f>
        <v>HathiTrust Record</v>
      </c>
      <c r="AV827" s="6" t="str">
        <f>HYPERLINK("http://mcgill.on.worldcat.org/oclc/23140977","Catalog Record")</f>
        <v>Catalog Record</v>
      </c>
      <c r="AW827" s="6" t="str">
        <f>HYPERLINK("http://www.worldcat.org/oclc/23140977","WorldCat Record")</f>
        <v>WorldCat Record</v>
      </c>
      <c r="AX827" s="3" t="s">
        <v>7984</v>
      </c>
      <c r="AY827" s="3" t="s">
        <v>7985</v>
      </c>
      <c r="AZ827" s="3" t="s">
        <v>7986</v>
      </c>
      <c r="BA827" s="3" t="s">
        <v>7986</v>
      </c>
      <c r="BB827" s="3" t="s">
        <v>7991</v>
      </c>
      <c r="BC827" s="3" t="s">
        <v>142</v>
      </c>
      <c r="BD827" s="3" t="s">
        <v>68</v>
      </c>
      <c r="BE827" s="3" t="s">
        <v>7988</v>
      </c>
      <c r="BF827" s="3" t="s">
        <v>7991</v>
      </c>
      <c r="BG827" s="3" t="s">
        <v>7992</v>
      </c>
    </row>
    <row r="828" spans="1:59" ht="57" x14ac:dyDescent="0.45">
      <c r="A828" s="2" t="s">
        <v>59</v>
      </c>
      <c r="B828" s="2" t="s">
        <v>60</v>
      </c>
      <c r="C828" s="2" t="s">
        <v>7993</v>
      </c>
      <c r="D828" s="2" t="s">
        <v>7994</v>
      </c>
      <c r="E828" s="2" t="s">
        <v>7995</v>
      </c>
      <c r="G828" s="3" t="s">
        <v>62</v>
      </c>
      <c r="I828" s="3" t="s">
        <v>62</v>
      </c>
      <c r="J828" s="3" t="s">
        <v>62</v>
      </c>
      <c r="K828" s="3" t="s">
        <v>63</v>
      </c>
      <c r="M828" s="2" t="s">
        <v>7996</v>
      </c>
      <c r="N828" s="3" t="s">
        <v>894</v>
      </c>
      <c r="P828" s="3" t="s">
        <v>65</v>
      </c>
      <c r="Q828" s="2" t="s">
        <v>7997</v>
      </c>
      <c r="R828" s="3" t="s">
        <v>66</v>
      </c>
      <c r="S828" s="4">
        <v>1</v>
      </c>
      <c r="T828" s="4">
        <v>1</v>
      </c>
      <c r="U828" s="5" t="s">
        <v>7998</v>
      </c>
      <c r="V828" s="5" t="s">
        <v>7998</v>
      </c>
      <c r="W828" s="5" t="s">
        <v>67</v>
      </c>
      <c r="X828" s="5" t="s">
        <v>67</v>
      </c>
      <c r="Y828" s="4">
        <v>42</v>
      </c>
      <c r="Z828" s="4">
        <v>6</v>
      </c>
      <c r="AA828" s="4">
        <v>91</v>
      </c>
      <c r="AB828" s="4">
        <v>1</v>
      </c>
      <c r="AC828" s="4">
        <v>17</v>
      </c>
      <c r="AD828" s="4">
        <v>15</v>
      </c>
      <c r="AE828" s="4">
        <v>99</v>
      </c>
      <c r="AF828" s="4">
        <v>0</v>
      </c>
      <c r="AG828" s="4">
        <v>8</v>
      </c>
      <c r="AH828" s="4">
        <v>13</v>
      </c>
      <c r="AI828" s="4">
        <v>64</v>
      </c>
      <c r="AJ828" s="4">
        <v>3</v>
      </c>
      <c r="AK828" s="4">
        <v>20</v>
      </c>
      <c r="AL828" s="4">
        <v>8</v>
      </c>
      <c r="AM828" s="4">
        <v>32</v>
      </c>
      <c r="AN828" s="4">
        <v>0</v>
      </c>
      <c r="AO828" s="4">
        <v>0</v>
      </c>
      <c r="AP828" s="4">
        <v>3</v>
      </c>
      <c r="AQ828" s="4">
        <v>41</v>
      </c>
      <c r="AR828" s="3" t="s">
        <v>62</v>
      </c>
      <c r="AS828" s="3" t="s">
        <v>62</v>
      </c>
      <c r="AT828" s="3" t="s">
        <v>62</v>
      </c>
      <c r="AV828" s="6" t="str">
        <f>HYPERLINK("http://mcgill.on.worldcat.org/oclc/726151296","Catalog Record")</f>
        <v>Catalog Record</v>
      </c>
      <c r="AW828" s="6" t="str">
        <f>HYPERLINK("http://www.worldcat.org/oclc/726151296","WorldCat Record")</f>
        <v>WorldCat Record</v>
      </c>
      <c r="AX828" s="3" t="s">
        <v>7999</v>
      </c>
      <c r="AY828" s="3" t="s">
        <v>8000</v>
      </c>
      <c r="AZ828" s="3" t="s">
        <v>8001</v>
      </c>
      <c r="BA828" s="3" t="s">
        <v>8001</v>
      </c>
      <c r="BB828" s="3" t="s">
        <v>8002</v>
      </c>
      <c r="BC828" s="3" t="s">
        <v>142</v>
      </c>
      <c r="BD828" s="3" t="s">
        <v>68</v>
      </c>
      <c r="BE828" s="3" t="s">
        <v>8003</v>
      </c>
      <c r="BF828" s="3" t="s">
        <v>8002</v>
      </c>
      <c r="BG828" s="3" t="s">
        <v>8004</v>
      </c>
    </row>
    <row r="829" spans="1:59" ht="57" x14ac:dyDescent="0.45">
      <c r="A829" s="2" t="s">
        <v>59</v>
      </c>
      <c r="B829" s="2" t="s">
        <v>60</v>
      </c>
      <c r="C829" s="2" t="s">
        <v>8005</v>
      </c>
      <c r="D829" s="2" t="s">
        <v>8006</v>
      </c>
      <c r="E829" s="2" t="s">
        <v>8007</v>
      </c>
      <c r="G829" s="3" t="s">
        <v>62</v>
      </c>
      <c r="I829" s="3" t="s">
        <v>62</v>
      </c>
      <c r="J829" s="3" t="s">
        <v>62</v>
      </c>
      <c r="K829" s="3" t="s">
        <v>63</v>
      </c>
      <c r="M829" s="2" t="s">
        <v>8008</v>
      </c>
      <c r="N829" s="3" t="s">
        <v>1097</v>
      </c>
      <c r="P829" s="3" t="s">
        <v>65</v>
      </c>
      <c r="Q829" s="2" t="s">
        <v>8009</v>
      </c>
      <c r="R829" s="3" t="s">
        <v>66</v>
      </c>
      <c r="S829" s="4">
        <v>15</v>
      </c>
      <c r="T829" s="4">
        <v>15</v>
      </c>
      <c r="U829" s="5" t="s">
        <v>569</v>
      </c>
      <c r="V829" s="5" t="s">
        <v>569</v>
      </c>
      <c r="W829" s="5" t="s">
        <v>67</v>
      </c>
      <c r="X829" s="5" t="s">
        <v>67</v>
      </c>
      <c r="Y829" s="4">
        <v>153</v>
      </c>
      <c r="Z829" s="4">
        <v>14</v>
      </c>
      <c r="AA829" s="4">
        <v>102</v>
      </c>
      <c r="AB829" s="4">
        <v>2</v>
      </c>
      <c r="AC829" s="4">
        <v>17</v>
      </c>
      <c r="AD829" s="4">
        <v>57</v>
      </c>
      <c r="AE829" s="4">
        <v>121</v>
      </c>
      <c r="AF829" s="4">
        <v>1</v>
      </c>
      <c r="AG829" s="4">
        <v>8</v>
      </c>
      <c r="AH829" s="4">
        <v>51</v>
      </c>
      <c r="AI829" s="4">
        <v>84</v>
      </c>
      <c r="AJ829" s="4">
        <v>10</v>
      </c>
      <c r="AK829" s="4">
        <v>22</v>
      </c>
      <c r="AL829" s="4">
        <v>30</v>
      </c>
      <c r="AM829" s="4">
        <v>45</v>
      </c>
      <c r="AN829" s="4">
        <v>0</v>
      </c>
      <c r="AO829" s="4">
        <v>0</v>
      </c>
      <c r="AP829" s="4">
        <v>11</v>
      </c>
      <c r="AQ829" s="4">
        <v>43</v>
      </c>
      <c r="AR829" s="3" t="s">
        <v>62</v>
      </c>
      <c r="AS829" s="3" t="s">
        <v>62</v>
      </c>
      <c r="AT829" s="3" t="s">
        <v>62</v>
      </c>
      <c r="AV829" s="6" t="str">
        <f>HYPERLINK("http://mcgill.on.worldcat.org/oclc/54073892","Catalog Record")</f>
        <v>Catalog Record</v>
      </c>
      <c r="AW829" s="6" t="str">
        <f>HYPERLINK("http://www.worldcat.org/oclc/54073892","WorldCat Record")</f>
        <v>WorldCat Record</v>
      </c>
      <c r="AX829" s="3" t="s">
        <v>8010</v>
      </c>
      <c r="AY829" s="3" t="s">
        <v>8011</v>
      </c>
      <c r="AZ829" s="3" t="s">
        <v>8012</v>
      </c>
      <c r="BA829" s="3" t="s">
        <v>8012</v>
      </c>
      <c r="BB829" s="3" t="s">
        <v>8013</v>
      </c>
      <c r="BC829" s="3" t="s">
        <v>142</v>
      </c>
      <c r="BD829" s="3" t="s">
        <v>68</v>
      </c>
      <c r="BE829" s="3" t="s">
        <v>8014</v>
      </c>
      <c r="BF829" s="3" t="s">
        <v>8013</v>
      </c>
      <c r="BG829" s="3" t="s">
        <v>8015</v>
      </c>
    </row>
    <row r="830" spans="1:59" ht="57" x14ac:dyDescent="0.45">
      <c r="A830" s="2" t="s">
        <v>59</v>
      </c>
      <c r="B830" s="2" t="s">
        <v>60</v>
      </c>
      <c r="C830" s="2" t="s">
        <v>8016</v>
      </c>
      <c r="D830" s="2" t="s">
        <v>8017</v>
      </c>
      <c r="E830" s="2" t="s">
        <v>8018</v>
      </c>
      <c r="G830" s="3" t="s">
        <v>62</v>
      </c>
      <c r="I830" s="3" t="s">
        <v>62</v>
      </c>
      <c r="J830" s="3" t="s">
        <v>62</v>
      </c>
      <c r="K830" s="3" t="s">
        <v>63</v>
      </c>
      <c r="L830" s="2" t="s">
        <v>8019</v>
      </c>
      <c r="M830" s="2" t="s">
        <v>8020</v>
      </c>
      <c r="N830" s="3" t="s">
        <v>84</v>
      </c>
      <c r="P830" s="3" t="s">
        <v>65</v>
      </c>
      <c r="R830" s="3" t="s">
        <v>66</v>
      </c>
      <c r="S830" s="4">
        <v>16</v>
      </c>
      <c r="T830" s="4">
        <v>16</v>
      </c>
      <c r="U830" s="5" t="s">
        <v>8021</v>
      </c>
      <c r="V830" s="5" t="s">
        <v>8021</v>
      </c>
      <c r="W830" s="5" t="s">
        <v>67</v>
      </c>
      <c r="X830" s="5" t="s">
        <v>67</v>
      </c>
      <c r="Y830" s="4">
        <v>464</v>
      </c>
      <c r="Z830" s="4">
        <v>31</v>
      </c>
      <c r="AA830" s="4">
        <v>31</v>
      </c>
      <c r="AB830" s="4">
        <v>2</v>
      </c>
      <c r="AC830" s="4">
        <v>2</v>
      </c>
      <c r="AD830" s="4">
        <v>91</v>
      </c>
      <c r="AE830" s="4">
        <v>91</v>
      </c>
      <c r="AF830" s="4">
        <v>1</v>
      </c>
      <c r="AG830" s="4">
        <v>1</v>
      </c>
      <c r="AH830" s="4">
        <v>75</v>
      </c>
      <c r="AI830" s="4">
        <v>75</v>
      </c>
      <c r="AJ830" s="4">
        <v>15</v>
      </c>
      <c r="AK830" s="4">
        <v>15</v>
      </c>
      <c r="AL830" s="4">
        <v>38</v>
      </c>
      <c r="AM830" s="4">
        <v>38</v>
      </c>
      <c r="AN830" s="4">
        <v>0</v>
      </c>
      <c r="AO830" s="4">
        <v>0</v>
      </c>
      <c r="AP830" s="4">
        <v>24</v>
      </c>
      <c r="AQ830" s="4">
        <v>24</v>
      </c>
      <c r="AR830" s="3" t="s">
        <v>62</v>
      </c>
      <c r="AS830" s="3" t="s">
        <v>62</v>
      </c>
      <c r="AT830" s="3" t="s">
        <v>61</v>
      </c>
      <c r="AU830" s="6" t="str">
        <f>HYPERLINK("http://catalog.hathitrust.org/Record/002543757","HathiTrust Record")</f>
        <v>HathiTrust Record</v>
      </c>
      <c r="AV830" s="6" t="str">
        <f>HYPERLINK("http://mcgill.on.worldcat.org/oclc/25165141","Catalog Record")</f>
        <v>Catalog Record</v>
      </c>
      <c r="AW830" s="6" t="str">
        <f>HYPERLINK("http://www.worldcat.org/oclc/25165141","WorldCat Record")</f>
        <v>WorldCat Record</v>
      </c>
      <c r="AX830" s="3" t="s">
        <v>8022</v>
      </c>
      <c r="AY830" s="3" t="s">
        <v>8023</v>
      </c>
      <c r="AZ830" s="3" t="s">
        <v>8024</v>
      </c>
      <c r="BA830" s="3" t="s">
        <v>8024</v>
      </c>
      <c r="BB830" s="3" t="s">
        <v>8025</v>
      </c>
      <c r="BC830" s="3" t="s">
        <v>142</v>
      </c>
      <c r="BD830" s="3" t="s">
        <v>68</v>
      </c>
      <c r="BE830" s="3" t="s">
        <v>8026</v>
      </c>
      <c r="BF830" s="3" t="s">
        <v>8025</v>
      </c>
      <c r="BG830" s="3" t="s">
        <v>8027</v>
      </c>
    </row>
    <row r="831" spans="1:59" ht="57" x14ac:dyDescent="0.45">
      <c r="A831" s="2" t="s">
        <v>59</v>
      </c>
      <c r="B831" s="2" t="s">
        <v>60</v>
      </c>
      <c r="C831" s="2" t="s">
        <v>8028</v>
      </c>
      <c r="D831" s="2" t="s">
        <v>8029</v>
      </c>
      <c r="E831" s="2" t="s">
        <v>8030</v>
      </c>
      <c r="G831" s="3" t="s">
        <v>62</v>
      </c>
      <c r="I831" s="3" t="s">
        <v>62</v>
      </c>
      <c r="J831" s="3" t="s">
        <v>62</v>
      </c>
      <c r="K831" s="3" t="s">
        <v>63</v>
      </c>
      <c r="M831" s="2" t="s">
        <v>8031</v>
      </c>
      <c r="N831" s="3" t="s">
        <v>149</v>
      </c>
      <c r="P831" s="3" t="s">
        <v>65</v>
      </c>
      <c r="Q831" s="2" t="s">
        <v>3375</v>
      </c>
      <c r="R831" s="3" t="s">
        <v>66</v>
      </c>
      <c r="S831" s="4">
        <v>1</v>
      </c>
      <c r="T831" s="4">
        <v>1</v>
      </c>
      <c r="U831" s="5" t="s">
        <v>8032</v>
      </c>
      <c r="V831" s="5" t="s">
        <v>8032</v>
      </c>
      <c r="W831" s="5" t="s">
        <v>67</v>
      </c>
      <c r="X831" s="5" t="s">
        <v>67</v>
      </c>
      <c r="Y831" s="4">
        <v>115</v>
      </c>
      <c r="Z831" s="4">
        <v>13</v>
      </c>
      <c r="AA831" s="4">
        <v>18</v>
      </c>
      <c r="AB831" s="4">
        <v>1</v>
      </c>
      <c r="AC831" s="4">
        <v>5</v>
      </c>
      <c r="AD831" s="4">
        <v>51</v>
      </c>
      <c r="AE831" s="4">
        <v>52</v>
      </c>
      <c r="AF831" s="4">
        <v>0</v>
      </c>
      <c r="AG831" s="4">
        <v>1</v>
      </c>
      <c r="AH831" s="4">
        <v>47</v>
      </c>
      <c r="AI831" s="4">
        <v>48</v>
      </c>
      <c r="AJ831" s="4">
        <v>9</v>
      </c>
      <c r="AK831" s="4">
        <v>10</v>
      </c>
      <c r="AL831" s="4">
        <v>27</v>
      </c>
      <c r="AM831" s="4">
        <v>27</v>
      </c>
      <c r="AN831" s="4">
        <v>0</v>
      </c>
      <c r="AO831" s="4">
        <v>0</v>
      </c>
      <c r="AP831" s="4">
        <v>9</v>
      </c>
      <c r="AQ831" s="4">
        <v>10</v>
      </c>
      <c r="AR831" s="3" t="s">
        <v>62</v>
      </c>
      <c r="AS831" s="3" t="s">
        <v>62</v>
      </c>
      <c r="AT831" s="3" t="s">
        <v>62</v>
      </c>
      <c r="AV831" s="6" t="str">
        <f>HYPERLINK("http://mcgill.on.worldcat.org/oclc/317926654","Catalog Record")</f>
        <v>Catalog Record</v>
      </c>
      <c r="AW831" s="6" t="str">
        <f>HYPERLINK("http://www.worldcat.org/oclc/317926654","WorldCat Record")</f>
        <v>WorldCat Record</v>
      </c>
      <c r="AX831" s="3" t="s">
        <v>8033</v>
      </c>
      <c r="AY831" s="3" t="s">
        <v>8034</v>
      </c>
      <c r="AZ831" s="3" t="s">
        <v>8035</v>
      </c>
      <c r="BA831" s="3" t="s">
        <v>8035</v>
      </c>
      <c r="BB831" s="3" t="s">
        <v>8036</v>
      </c>
      <c r="BC831" s="3" t="s">
        <v>142</v>
      </c>
      <c r="BD831" s="3" t="s">
        <v>68</v>
      </c>
      <c r="BE831" s="3" t="s">
        <v>8037</v>
      </c>
      <c r="BF831" s="3" t="s">
        <v>8036</v>
      </c>
      <c r="BG831" s="3" t="s">
        <v>8038</v>
      </c>
    </row>
    <row r="832" spans="1:59" ht="57" x14ac:dyDescent="0.45">
      <c r="A832" s="2" t="s">
        <v>59</v>
      </c>
      <c r="B832" s="2" t="s">
        <v>60</v>
      </c>
      <c r="C832" s="2" t="s">
        <v>8039</v>
      </c>
      <c r="D832" s="2" t="s">
        <v>8040</v>
      </c>
      <c r="E832" s="2" t="s">
        <v>8041</v>
      </c>
      <c r="G832" s="3" t="s">
        <v>62</v>
      </c>
      <c r="I832" s="3" t="s">
        <v>62</v>
      </c>
      <c r="J832" s="3" t="s">
        <v>62</v>
      </c>
      <c r="K832" s="3" t="s">
        <v>63</v>
      </c>
      <c r="M832" s="2" t="s">
        <v>8042</v>
      </c>
      <c r="N832" s="3" t="s">
        <v>970</v>
      </c>
      <c r="P832" s="3" t="s">
        <v>65</v>
      </c>
      <c r="R832" s="3" t="s">
        <v>66</v>
      </c>
      <c r="S832" s="4">
        <v>10</v>
      </c>
      <c r="T832" s="4">
        <v>10</v>
      </c>
      <c r="U832" s="5" t="s">
        <v>8043</v>
      </c>
      <c r="V832" s="5" t="s">
        <v>8043</v>
      </c>
      <c r="W832" s="5" t="s">
        <v>67</v>
      </c>
      <c r="X832" s="5" t="s">
        <v>67</v>
      </c>
      <c r="Y832" s="4">
        <v>180</v>
      </c>
      <c r="Z832" s="4">
        <v>37</v>
      </c>
      <c r="AA832" s="4">
        <v>58</v>
      </c>
      <c r="AB832" s="4">
        <v>2</v>
      </c>
      <c r="AC832" s="4">
        <v>9</v>
      </c>
      <c r="AD832" s="4">
        <v>77</v>
      </c>
      <c r="AE832" s="4">
        <v>92</v>
      </c>
      <c r="AF832" s="4">
        <v>1</v>
      </c>
      <c r="AG832" s="4">
        <v>7</v>
      </c>
      <c r="AH832" s="4">
        <v>56</v>
      </c>
      <c r="AI832" s="4">
        <v>62</v>
      </c>
      <c r="AJ832" s="4">
        <v>19</v>
      </c>
      <c r="AK832" s="4">
        <v>25</v>
      </c>
      <c r="AL832" s="4">
        <v>24</v>
      </c>
      <c r="AM832" s="4">
        <v>27</v>
      </c>
      <c r="AN832" s="4">
        <v>0</v>
      </c>
      <c r="AO832" s="4">
        <v>0</v>
      </c>
      <c r="AP832" s="4">
        <v>29</v>
      </c>
      <c r="AQ832" s="4">
        <v>39</v>
      </c>
      <c r="AR832" s="3" t="s">
        <v>61</v>
      </c>
      <c r="AS832" s="3" t="s">
        <v>62</v>
      </c>
      <c r="AT832" s="3" t="s">
        <v>61</v>
      </c>
      <c r="AU832" s="6" t="str">
        <f>HYPERLINK("http://catalog.hathitrust.org/Record/003835429","HathiTrust Record")</f>
        <v>HathiTrust Record</v>
      </c>
      <c r="AV832" s="6" t="str">
        <f>HYPERLINK("http://mcgill.on.worldcat.org/oclc/50994381","Catalog Record")</f>
        <v>Catalog Record</v>
      </c>
      <c r="AW832" s="6" t="str">
        <f>HYPERLINK("http://www.worldcat.org/oclc/50994381","WorldCat Record")</f>
        <v>WorldCat Record</v>
      </c>
      <c r="AX832" s="3" t="s">
        <v>8044</v>
      </c>
      <c r="AY832" s="3" t="s">
        <v>8045</v>
      </c>
      <c r="AZ832" s="3" t="s">
        <v>8046</v>
      </c>
      <c r="BA832" s="3" t="s">
        <v>8046</v>
      </c>
      <c r="BB832" s="3" t="s">
        <v>8047</v>
      </c>
      <c r="BC832" s="3" t="s">
        <v>142</v>
      </c>
      <c r="BD832" s="3" t="s">
        <v>68</v>
      </c>
      <c r="BE832" s="3" t="s">
        <v>8048</v>
      </c>
      <c r="BF832" s="3" t="s">
        <v>8047</v>
      </c>
      <c r="BG832" s="3" t="s">
        <v>8049</v>
      </c>
    </row>
    <row r="833" spans="1:59" ht="57" x14ac:dyDescent="0.45">
      <c r="A833" s="2" t="s">
        <v>59</v>
      </c>
      <c r="B833" s="2" t="s">
        <v>60</v>
      </c>
      <c r="C833" s="2" t="s">
        <v>8050</v>
      </c>
      <c r="D833" s="2" t="s">
        <v>8051</v>
      </c>
      <c r="E833" s="2" t="s">
        <v>8052</v>
      </c>
      <c r="G833" s="3" t="s">
        <v>62</v>
      </c>
      <c r="I833" s="3" t="s">
        <v>61</v>
      </c>
      <c r="J833" s="3" t="s">
        <v>62</v>
      </c>
      <c r="K833" s="3" t="s">
        <v>63</v>
      </c>
      <c r="M833" s="2" t="s">
        <v>8053</v>
      </c>
      <c r="N833" s="3" t="s">
        <v>1097</v>
      </c>
      <c r="P833" s="3" t="s">
        <v>65</v>
      </c>
      <c r="Q833" s="2" t="s">
        <v>3338</v>
      </c>
      <c r="R833" s="3" t="s">
        <v>66</v>
      </c>
      <c r="S833" s="4">
        <v>11</v>
      </c>
      <c r="T833" s="4">
        <v>12</v>
      </c>
      <c r="U833" s="5" t="s">
        <v>8054</v>
      </c>
      <c r="V833" s="5" t="s">
        <v>8054</v>
      </c>
      <c r="W833" s="5" t="s">
        <v>67</v>
      </c>
      <c r="X833" s="5" t="s">
        <v>67</v>
      </c>
      <c r="Y833" s="4">
        <v>265</v>
      </c>
      <c r="Z833" s="4">
        <v>19</v>
      </c>
      <c r="AA833" s="4">
        <v>23</v>
      </c>
      <c r="AB833" s="4">
        <v>2</v>
      </c>
      <c r="AC833" s="4">
        <v>5</v>
      </c>
      <c r="AD833" s="4">
        <v>88</v>
      </c>
      <c r="AE833" s="4">
        <v>91</v>
      </c>
      <c r="AF833" s="4">
        <v>1</v>
      </c>
      <c r="AG833" s="4">
        <v>4</v>
      </c>
      <c r="AH833" s="4">
        <v>78</v>
      </c>
      <c r="AI833" s="4">
        <v>79</v>
      </c>
      <c r="AJ833" s="4">
        <v>13</v>
      </c>
      <c r="AK833" s="4">
        <v>16</v>
      </c>
      <c r="AL833" s="4">
        <v>47</v>
      </c>
      <c r="AM833" s="4">
        <v>47</v>
      </c>
      <c r="AN833" s="4">
        <v>0</v>
      </c>
      <c r="AO833" s="4">
        <v>0</v>
      </c>
      <c r="AP833" s="4">
        <v>16</v>
      </c>
      <c r="AQ833" s="4">
        <v>18</v>
      </c>
      <c r="AR833" s="3" t="s">
        <v>62</v>
      </c>
      <c r="AS833" s="3" t="s">
        <v>62</v>
      </c>
      <c r="AT833" s="3" t="s">
        <v>62</v>
      </c>
      <c r="AV833" s="6" t="str">
        <f>HYPERLINK("http://mcgill.on.worldcat.org/oclc/53485295","Catalog Record")</f>
        <v>Catalog Record</v>
      </c>
      <c r="AW833" s="6" t="str">
        <f>HYPERLINK("http://www.worldcat.org/oclc/53485295","WorldCat Record")</f>
        <v>WorldCat Record</v>
      </c>
      <c r="AX833" s="3" t="s">
        <v>8055</v>
      </c>
      <c r="AY833" s="3" t="s">
        <v>8056</v>
      </c>
      <c r="AZ833" s="3" t="s">
        <v>8057</v>
      </c>
      <c r="BA833" s="3" t="s">
        <v>8057</v>
      </c>
      <c r="BB833" s="3" t="s">
        <v>8058</v>
      </c>
      <c r="BC833" s="3" t="s">
        <v>142</v>
      </c>
      <c r="BD833" s="3" t="s">
        <v>68</v>
      </c>
      <c r="BE833" s="3" t="s">
        <v>8059</v>
      </c>
      <c r="BF833" s="3" t="s">
        <v>8058</v>
      </c>
      <c r="BG833" s="3" t="s">
        <v>8060</v>
      </c>
    </row>
    <row r="834" spans="1:59" ht="57" x14ac:dyDescent="0.45">
      <c r="A834" s="2" t="s">
        <v>59</v>
      </c>
      <c r="B834" s="2" t="s">
        <v>412</v>
      </c>
      <c r="C834" s="2" t="s">
        <v>8050</v>
      </c>
      <c r="D834" s="2" t="s">
        <v>8051</v>
      </c>
      <c r="E834" s="2" t="s">
        <v>8052</v>
      </c>
      <c r="G834" s="3" t="s">
        <v>62</v>
      </c>
      <c r="I834" s="3" t="s">
        <v>61</v>
      </c>
      <c r="J834" s="3" t="s">
        <v>62</v>
      </c>
      <c r="K834" s="3" t="s">
        <v>63</v>
      </c>
      <c r="M834" s="2" t="s">
        <v>8053</v>
      </c>
      <c r="N834" s="3" t="s">
        <v>1097</v>
      </c>
      <c r="P834" s="3" t="s">
        <v>65</v>
      </c>
      <c r="Q834" s="2" t="s">
        <v>3338</v>
      </c>
      <c r="R834" s="3" t="s">
        <v>66</v>
      </c>
      <c r="S834" s="4">
        <v>1</v>
      </c>
      <c r="T834" s="4">
        <v>12</v>
      </c>
      <c r="U834" s="5" t="s">
        <v>8061</v>
      </c>
      <c r="V834" s="5" t="s">
        <v>8054</v>
      </c>
      <c r="W834" s="5" t="s">
        <v>67</v>
      </c>
      <c r="X834" s="5" t="s">
        <v>67</v>
      </c>
      <c r="Y834" s="4">
        <v>265</v>
      </c>
      <c r="Z834" s="4">
        <v>19</v>
      </c>
      <c r="AA834" s="4">
        <v>23</v>
      </c>
      <c r="AB834" s="4">
        <v>2</v>
      </c>
      <c r="AC834" s="4">
        <v>5</v>
      </c>
      <c r="AD834" s="4">
        <v>88</v>
      </c>
      <c r="AE834" s="4">
        <v>91</v>
      </c>
      <c r="AF834" s="4">
        <v>1</v>
      </c>
      <c r="AG834" s="4">
        <v>4</v>
      </c>
      <c r="AH834" s="4">
        <v>78</v>
      </c>
      <c r="AI834" s="4">
        <v>79</v>
      </c>
      <c r="AJ834" s="4">
        <v>13</v>
      </c>
      <c r="AK834" s="4">
        <v>16</v>
      </c>
      <c r="AL834" s="4">
        <v>47</v>
      </c>
      <c r="AM834" s="4">
        <v>47</v>
      </c>
      <c r="AN834" s="4">
        <v>0</v>
      </c>
      <c r="AO834" s="4">
        <v>0</v>
      </c>
      <c r="AP834" s="4">
        <v>16</v>
      </c>
      <c r="AQ834" s="4">
        <v>18</v>
      </c>
      <c r="AR834" s="3" t="s">
        <v>62</v>
      </c>
      <c r="AS834" s="3" t="s">
        <v>62</v>
      </c>
      <c r="AT834" s="3" t="s">
        <v>62</v>
      </c>
      <c r="AV834" s="6" t="str">
        <f>HYPERLINK("http://mcgill.on.worldcat.org/oclc/53485295","Catalog Record")</f>
        <v>Catalog Record</v>
      </c>
      <c r="AW834" s="6" t="str">
        <f>HYPERLINK("http://www.worldcat.org/oclc/53485295","WorldCat Record")</f>
        <v>WorldCat Record</v>
      </c>
      <c r="AX834" s="3" t="s">
        <v>8055</v>
      </c>
      <c r="AY834" s="3" t="s">
        <v>8056</v>
      </c>
      <c r="AZ834" s="3" t="s">
        <v>8057</v>
      </c>
      <c r="BA834" s="3" t="s">
        <v>8057</v>
      </c>
      <c r="BB834" s="3" t="s">
        <v>8062</v>
      </c>
      <c r="BC834" s="3" t="s">
        <v>142</v>
      </c>
      <c r="BD834" s="3" t="s">
        <v>68</v>
      </c>
      <c r="BE834" s="3" t="s">
        <v>8059</v>
      </c>
      <c r="BF834" s="3" t="s">
        <v>8062</v>
      </c>
      <c r="BG834" s="3" t="s">
        <v>8063</v>
      </c>
    </row>
    <row r="835" spans="1:59" ht="57" x14ac:dyDescent="0.45">
      <c r="A835" s="2" t="s">
        <v>59</v>
      </c>
      <c r="B835" s="2" t="s">
        <v>60</v>
      </c>
      <c r="C835" s="2" t="s">
        <v>8064</v>
      </c>
      <c r="D835" s="2" t="s">
        <v>8065</v>
      </c>
      <c r="E835" s="2" t="s">
        <v>8066</v>
      </c>
      <c r="G835" s="3" t="s">
        <v>62</v>
      </c>
      <c r="I835" s="3" t="s">
        <v>61</v>
      </c>
      <c r="J835" s="3" t="s">
        <v>62</v>
      </c>
      <c r="K835" s="3" t="s">
        <v>63</v>
      </c>
      <c r="L835" s="2" t="s">
        <v>8067</v>
      </c>
      <c r="M835" s="2" t="s">
        <v>8068</v>
      </c>
      <c r="N835" s="3" t="s">
        <v>1059</v>
      </c>
      <c r="P835" s="3" t="s">
        <v>65</v>
      </c>
      <c r="Q835" s="2" t="s">
        <v>8069</v>
      </c>
      <c r="R835" s="3" t="s">
        <v>66</v>
      </c>
      <c r="S835" s="4">
        <v>2</v>
      </c>
      <c r="T835" s="4">
        <v>2</v>
      </c>
      <c r="U835" s="5" t="s">
        <v>8070</v>
      </c>
      <c r="V835" s="5" t="s">
        <v>8070</v>
      </c>
      <c r="W835" s="5" t="s">
        <v>67</v>
      </c>
      <c r="X835" s="5" t="s">
        <v>67</v>
      </c>
      <c r="Y835" s="4">
        <v>283</v>
      </c>
      <c r="Z835" s="4">
        <v>21</v>
      </c>
      <c r="AA835" s="4">
        <v>94</v>
      </c>
      <c r="AB835" s="4">
        <v>2</v>
      </c>
      <c r="AC835" s="4">
        <v>17</v>
      </c>
      <c r="AD835" s="4">
        <v>95</v>
      </c>
      <c r="AE835" s="4">
        <v>140</v>
      </c>
      <c r="AF835" s="4">
        <v>1</v>
      </c>
      <c r="AG835" s="4">
        <v>8</v>
      </c>
      <c r="AH835" s="4">
        <v>83</v>
      </c>
      <c r="AI835" s="4">
        <v>102</v>
      </c>
      <c r="AJ835" s="4">
        <v>17</v>
      </c>
      <c r="AK835" s="4">
        <v>26</v>
      </c>
      <c r="AL835" s="4">
        <v>51</v>
      </c>
      <c r="AM835" s="4">
        <v>55</v>
      </c>
      <c r="AN835" s="4">
        <v>0</v>
      </c>
      <c r="AO835" s="4">
        <v>0</v>
      </c>
      <c r="AP835" s="4">
        <v>19</v>
      </c>
      <c r="AQ835" s="4">
        <v>47</v>
      </c>
      <c r="AR835" s="3" t="s">
        <v>62</v>
      </c>
      <c r="AS835" s="3" t="s">
        <v>62</v>
      </c>
      <c r="AT835" s="3" t="s">
        <v>62</v>
      </c>
      <c r="AV835" s="6" t="str">
        <f>HYPERLINK("http://mcgill.on.worldcat.org/oclc/63472688","Catalog Record")</f>
        <v>Catalog Record</v>
      </c>
      <c r="AW835" s="6" t="str">
        <f>HYPERLINK("http://www.worldcat.org/oclc/63472688","WorldCat Record")</f>
        <v>WorldCat Record</v>
      </c>
      <c r="AX835" s="3" t="s">
        <v>8071</v>
      </c>
      <c r="AY835" s="3" t="s">
        <v>8072</v>
      </c>
      <c r="AZ835" s="3" t="s">
        <v>8073</v>
      </c>
      <c r="BA835" s="3" t="s">
        <v>8073</v>
      </c>
      <c r="BB835" s="3" t="s">
        <v>8074</v>
      </c>
      <c r="BC835" s="3" t="s">
        <v>142</v>
      </c>
      <c r="BD835" s="3" t="s">
        <v>68</v>
      </c>
      <c r="BE835" s="3" t="s">
        <v>8075</v>
      </c>
      <c r="BF835" s="3" t="s">
        <v>8074</v>
      </c>
      <c r="BG835" s="3" t="s">
        <v>8076</v>
      </c>
    </row>
    <row r="836" spans="1:59" ht="57" x14ac:dyDescent="0.45">
      <c r="A836" s="2" t="s">
        <v>59</v>
      </c>
      <c r="B836" s="2" t="s">
        <v>60</v>
      </c>
      <c r="C836" s="2" t="s">
        <v>8064</v>
      </c>
      <c r="D836" s="2" t="s">
        <v>8065</v>
      </c>
      <c r="E836" s="2" t="s">
        <v>8066</v>
      </c>
      <c r="G836" s="3" t="s">
        <v>62</v>
      </c>
      <c r="I836" s="3" t="s">
        <v>61</v>
      </c>
      <c r="J836" s="3" t="s">
        <v>62</v>
      </c>
      <c r="K836" s="3" t="s">
        <v>63</v>
      </c>
      <c r="L836" s="2" t="s">
        <v>8067</v>
      </c>
      <c r="M836" s="2" t="s">
        <v>8068</v>
      </c>
      <c r="N836" s="3" t="s">
        <v>1059</v>
      </c>
      <c r="P836" s="3" t="s">
        <v>65</v>
      </c>
      <c r="Q836" s="2" t="s">
        <v>8069</v>
      </c>
      <c r="R836" s="3" t="s">
        <v>66</v>
      </c>
      <c r="S836" s="4">
        <v>0</v>
      </c>
      <c r="T836" s="4">
        <v>2</v>
      </c>
      <c r="V836" s="5" t="s">
        <v>8070</v>
      </c>
      <c r="W836" s="5" t="s">
        <v>67</v>
      </c>
      <c r="X836" s="5" t="s">
        <v>67</v>
      </c>
      <c r="Y836" s="4">
        <v>283</v>
      </c>
      <c r="Z836" s="4">
        <v>21</v>
      </c>
      <c r="AA836" s="4">
        <v>94</v>
      </c>
      <c r="AB836" s="4">
        <v>2</v>
      </c>
      <c r="AC836" s="4">
        <v>17</v>
      </c>
      <c r="AD836" s="4">
        <v>95</v>
      </c>
      <c r="AE836" s="4">
        <v>140</v>
      </c>
      <c r="AF836" s="4">
        <v>1</v>
      </c>
      <c r="AG836" s="4">
        <v>8</v>
      </c>
      <c r="AH836" s="4">
        <v>83</v>
      </c>
      <c r="AI836" s="4">
        <v>102</v>
      </c>
      <c r="AJ836" s="4">
        <v>17</v>
      </c>
      <c r="AK836" s="4">
        <v>26</v>
      </c>
      <c r="AL836" s="4">
        <v>51</v>
      </c>
      <c r="AM836" s="4">
        <v>55</v>
      </c>
      <c r="AN836" s="4">
        <v>0</v>
      </c>
      <c r="AO836" s="4">
        <v>0</v>
      </c>
      <c r="AP836" s="4">
        <v>19</v>
      </c>
      <c r="AQ836" s="4">
        <v>47</v>
      </c>
      <c r="AR836" s="3" t="s">
        <v>62</v>
      </c>
      <c r="AS836" s="3" t="s">
        <v>62</v>
      </c>
      <c r="AT836" s="3" t="s">
        <v>62</v>
      </c>
      <c r="AV836" s="6" t="str">
        <f>HYPERLINK("http://mcgill.on.worldcat.org/oclc/63472688","Catalog Record")</f>
        <v>Catalog Record</v>
      </c>
      <c r="AW836" s="6" t="str">
        <f>HYPERLINK("http://www.worldcat.org/oclc/63472688","WorldCat Record")</f>
        <v>WorldCat Record</v>
      </c>
      <c r="AX836" s="3" t="s">
        <v>8071</v>
      </c>
      <c r="AY836" s="3" t="s">
        <v>8072</v>
      </c>
      <c r="AZ836" s="3" t="s">
        <v>8073</v>
      </c>
      <c r="BA836" s="3" t="s">
        <v>8073</v>
      </c>
      <c r="BB836" s="3" t="s">
        <v>8077</v>
      </c>
      <c r="BC836" s="3" t="s">
        <v>142</v>
      </c>
      <c r="BD836" s="3" t="s">
        <v>68</v>
      </c>
      <c r="BE836" s="3" t="s">
        <v>8075</v>
      </c>
      <c r="BF836" s="3" t="s">
        <v>8077</v>
      </c>
      <c r="BG836" s="3" t="s">
        <v>8078</v>
      </c>
    </row>
    <row r="837" spans="1:59" ht="57" x14ac:dyDescent="0.45">
      <c r="A837" s="2" t="s">
        <v>59</v>
      </c>
      <c r="B837" s="2" t="s">
        <v>412</v>
      </c>
      <c r="C837" s="2" t="s">
        <v>8079</v>
      </c>
      <c r="D837" s="2" t="s">
        <v>8080</v>
      </c>
      <c r="E837" s="2" t="s">
        <v>8081</v>
      </c>
      <c r="G837" s="3" t="s">
        <v>62</v>
      </c>
      <c r="I837" s="3" t="s">
        <v>62</v>
      </c>
      <c r="J837" s="3" t="s">
        <v>62</v>
      </c>
      <c r="K837" s="3" t="s">
        <v>63</v>
      </c>
      <c r="M837" s="2" t="s">
        <v>969</v>
      </c>
      <c r="N837" s="3" t="s">
        <v>970</v>
      </c>
      <c r="P837" s="3" t="s">
        <v>65</v>
      </c>
      <c r="R837" s="3" t="s">
        <v>66</v>
      </c>
      <c r="S837" s="4">
        <v>18</v>
      </c>
      <c r="T837" s="4">
        <v>18</v>
      </c>
      <c r="U837" s="5" t="s">
        <v>7845</v>
      </c>
      <c r="V837" s="5" t="s">
        <v>7845</v>
      </c>
      <c r="W837" s="5" t="s">
        <v>67</v>
      </c>
      <c r="X837" s="5" t="s">
        <v>67</v>
      </c>
      <c r="Y837" s="4">
        <v>365</v>
      </c>
      <c r="Z837" s="4">
        <v>22</v>
      </c>
      <c r="AA837" s="4">
        <v>63</v>
      </c>
      <c r="AB837" s="4">
        <v>2</v>
      </c>
      <c r="AC837" s="4">
        <v>17</v>
      </c>
      <c r="AD837" s="4">
        <v>93</v>
      </c>
      <c r="AE837" s="4">
        <v>132</v>
      </c>
      <c r="AF837" s="4">
        <v>1</v>
      </c>
      <c r="AG837" s="4">
        <v>8</v>
      </c>
      <c r="AH837" s="4">
        <v>83</v>
      </c>
      <c r="AI837" s="4">
        <v>93</v>
      </c>
      <c r="AJ837" s="4">
        <v>15</v>
      </c>
      <c r="AK837" s="4">
        <v>24</v>
      </c>
      <c r="AL837" s="4">
        <v>46</v>
      </c>
      <c r="AM837" s="4">
        <v>48</v>
      </c>
      <c r="AN837" s="4">
        <v>0</v>
      </c>
      <c r="AO837" s="4">
        <v>0</v>
      </c>
      <c r="AP837" s="4">
        <v>18</v>
      </c>
      <c r="AQ837" s="4">
        <v>48</v>
      </c>
      <c r="AR837" s="3" t="s">
        <v>62</v>
      </c>
      <c r="AS837" s="3" t="s">
        <v>62</v>
      </c>
      <c r="AT837" s="3" t="s">
        <v>61</v>
      </c>
      <c r="AU837" s="6" t="str">
        <f>HYPERLINK("http://catalog.hathitrust.org/Record/004219359","HathiTrust Record")</f>
        <v>HathiTrust Record</v>
      </c>
      <c r="AV837" s="6" t="str">
        <f>HYPERLINK("http://mcgill.on.worldcat.org/oclc/47136659","Catalog Record")</f>
        <v>Catalog Record</v>
      </c>
      <c r="AW837" s="6" t="str">
        <f>HYPERLINK("http://www.worldcat.org/oclc/47136659","WorldCat Record")</f>
        <v>WorldCat Record</v>
      </c>
      <c r="AX837" s="3" t="s">
        <v>8082</v>
      </c>
      <c r="AY837" s="3" t="s">
        <v>8083</v>
      </c>
      <c r="AZ837" s="3" t="s">
        <v>8084</v>
      </c>
      <c r="BA837" s="3" t="s">
        <v>8084</v>
      </c>
      <c r="BB837" s="3" t="s">
        <v>8085</v>
      </c>
      <c r="BC837" s="3" t="s">
        <v>142</v>
      </c>
      <c r="BD837" s="3" t="s">
        <v>308</v>
      </c>
      <c r="BE837" s="3" t="s">
        <v>8086</v>
      </c>
      <c r="BF837" s="3" t="s">
        <v>8085</v>
      </c>
      <c r="BG837" s="3" t="s">
        <v>8087</v>
      </c>
    </row>
    <row r="838" spans="1:59" ht="57" x14ac:dyDescent="0.45">
      <c r="A838" s="2" t="s">
        <v>59</v>
      </c>
      <c r="B838" s="2" t="s">
        <v>60</v>
      </c>
      <c r="C838" s="2" t="s">
        <v>8088</v>
      </c>
      <c r="D838" s="2" t="s">
        <v>8089</v>
      </c>
      <c r="E838" s="2" t="s">
        <v>8090</v>
      </c>
      <c r="G838" s="3" t="s">
        <v>62</v>
      </c>
      <c r="I838" s="3" t="s">
        <v>62</v>
      </c>
      <c r="J838" s="3" t="s">
        <v>62</v>
      </c>
      <c r="K838" s="3" t="s">
        <v>63</v>
      </c>
      <c r="L838" s="2" t="s">
        <v>8091</v>
      </c>
      <c r="M838" s="2" t="s">
        <v>8092</v>
      </c>
      <c r="N838" s="3" t="s">
        <v>1155</v>
      </c>
      <c r="P838" s="3" t="s">
        <v>65</v>
      </c>
      <c r="Q838" s="2" t="s">
        <v>8093</v>
      </c>
      <c r="R838" s="3" t="s">
        <v>66</v>
      </c>
      <c r="S838" s="4">
        <v>0</v>
      </c>
      <c r="T838" s="4">
        <v>0</v>
      </c>
      <c r="W838" s="5" t="s">
        <v>67</v>
      </c>
      <c r="X838" s="5" t="s">
        <v>67</v>
      </c>
      <c r="Y838" s="4">
        <v>241</v>
      </c>
      <c r="Z838" s="4">
        <v>24</v>
      </c>
      <c r="AA838" s="4">
        <v>95</v>
      </c>
      <c r="AB838" s="4">
        <v>1</v>
      </c>
      <c r="AC838" s="4">
        <v>17</v>
      </c>
      <c r="AD838" s="4">
        <v>80</v>
      </c>
      <c r="AE838" s="4">
        <v>128</v>
      </c>
      <c r="AF838" s="4">
        <v>0</v>
      </c>
      <c r="AG838" s="4">
        <v>8</v>
      </c>
      <c r="AH838" s="4">
        <v>69</v>
      </c>
      <c r="AI838" s="4">
        <v>91</v>
      </c>
      <c r="AJ838" s="4">
        <v>15</v>
      </c>
      <c r="AK838" s="4">
        <v>23</v>
      </c>
      <c r="AL838" s="4">
        <v>42</v>
      </c>
      <c r="AM838" s="4">
        <v>49</v>
      </c>
      <c r="AN838" s="4">
        <v>0</v>
      </c>
      <c r="AO838" s="4">
        <v>0</v>
      </c>
      <c r="AP838" s="4">
        <v>18</v>
      </c>
      <c r="AQ838" s="4">
        <v>45</v>
      </c>
      <c r="AR838" s="3" t="s">
        <v>62</v>
      </c>
      <c r="AS838" s="3" t="s">
        <v>62</v>
      </c>
      <c r="AT838" s="3" t="s">
        <v>62</v>
      </c>
      <c r="AV838" s="6" t="str">
        <f>HYPERLINK("http://mcgill.on.worldcat.org/oclc/733755365","Catalog Record")</f>
        <v>Catalog Record</v>
      </c>
      <c r="AW838" s="6" t="str">
        <f>HYPERLINK("http://www.worldcat.org/oclc/733755365","WorldCat Record")</f>
        <v>WorldCat Record</v>
      </c>
      <c r="AX838" s="3" t="s">
        <v>8094</v>
      </c>
      <c r="AY838" s="3" t="s">
        <v>8095</v>
      </c>
      <c r="AZ838" s="3" t="s">
        <v>8096</v>
      </c>
      <c r="BA838" s="3" t="s">
        <v>8096</v>
      </c>
      <c r="BB838" s="3" t="s">
        <v>8097</v>
      </c>
      <c r="BC838" s="3" t="s">
        <v>142</v>
      </c>
      <c r="BD838" s="3" t="s">
        <v>68</v>
      </c>
      <c r="BE838" s="3" t="s">
        <v>8098</v>
      </c>
      <c r="BF838" s="3" t="s">
        <v>8097</v>
      </c>
      <c r="BG838" s="3" t="s">
        <v>8099</v>
      </c>
    </row>
    <row r="839" spans="1:59" ht="57" x14ac:dyDescent="0.45">
      <c r="A839" s="2" t="s">
        <v>59</v>
      </c>
      <c r="B839" s="2" t="s">
        <v>412</v>
      </c>
      <c r="C839" s="2" t="s">
        <v>8100</v>
      </c>
      <c r="D839" s="2" t="s">
        <v>8101</v>
      </c>
      <c r="E839" s="2" t="s">
        <v>8102</v>
      </c>
      <c r="G839" s="3" t="s">
        <v>62</v>
      </c>
      <c r="I839" s="3" t="s">
        <v>62</v>
      </c>
      <c r="J839" s="3" t="s">
        <v>62</v>
      </c>
      <c r="K839" s="3" t="s">
        <v>63</v>
      </c>
      <c r="M839" s="2" t="s">
        <v>8103</v>
      </c>
      <c r="N839" s="3" t="s">
        <v>2417</v>
      </c>
      <c r="P839" s="3" t="s">
        <v>65</v>
      </c>
      <c r="R839" s="3" t="s">
        <v>66</v>
      </c>
      <c r="S839" s="4">
        <v>10</v>
      </c>
      <c r="T839" s="4">
        <v>10</v>
      </c>
      <c r="U839" s="5" t="s">
        <v>7222</v>
      </c>
      <c r="V839" s="5" t="s">
        <v>7222</v>
      </c>
      <c r="W839" s="5" t="s">
        <v>67</v>
      </c>
      <c r="X839" s="5" t="s">
        <v>67</v>
      </c>
      <c r="Y839" s="4">
        <v>266</v>
      </c>
      <c r="Z839" s="4">
        <v>15</v>
      </c>
      <c r="AA839" s="4">
        <v>26</v>
      </c>
      <c r="AB839" s="4">
        <v>3</v>
      </c>
      <c r="AC839" s="4">
        <v>9</v>
      </c>
      <c r="AD839" s="4">
        <v>68</v>
      </c>
      <c r="AE839" s="4">
        <v>79</v>
      </c>
      <c r="AF839" s="4">
        <v>2</v>
      </c>
      <c r="AG839" s="4">
        <v>6</v>
      </c>
      <c r="AH839" s="4">
        <v>61</v>
      </c>
      <c r="AI839" s="4">
        <v>64</v>
      </c>
      <c r="AJ839" s="4">
        <v>8</v>
      </c>
      <c r="AK839" s="4">
        <v>15</v>
      </c>
      <c r="AL839" s="4">
        <v>31</v>
      </c>
      <c r="AM839" s="4">
        <v>33</v>
      </c>
      <c r="AN839" s="4">
        <v>0</v>
      </c>
      <c r="AO839" s="4">
        <v>0</v>
      </c>
      <c r="AP839" s="4">
        <v>11</v>
      </c>
      <c r="AQ839" s="4">
        <v>19</v>
      </c>
      <c r="AR839" s="3" t="s">
        <v>62</v>
      </c>
      <c r="AS839" s="3" t="s">
        <v>62</v>
      </c>
      <c r="AT839" s="3" t="s">
        <v>61</v>
      </c>
      <c r="AU839" s="6" t="str">
        <f>HYPERLINK("http://catalog.hathitrust.org/Record/000904088","HathiTrust Record")</f>
        <v>HathiTrust Record</v>
      </c>
      <c r="AV839" s="6" t="str">
        <f>HYPERLINK("http://mcgill.on.worldcat.org/oclc/16647205","Catalog Record")</f>
        <v>Catalog Record</v>
      </c>
      <c r="AW839" s="6" t="str">
        <f>HYPERLINK("http://www.worldcat.org/oclc/16647205","WorldCat Record")</f>
        <v>WorldCat Record</v>
      </c>
      <c r="AX839" s="3" t="s">
        <v>8104</v>
      </c>
      <c r="AY839" s="3" t="s">
        <v>8105</v>
      </c>
      <c r="AZ839" s="3" t="s">
        <v>8106</v>
      </c>
      <c r="BA839" s="3" t="s">
        <v>8106</v>
      </c>
      <c r="BB839" s="3" t="s">
        <v>8107</v>
      </c>
      <c r="BC839" s="3" t="s">
        <v>142</v>
      </c>
      <c r="BD839" s="3" t="s">
        <v>68</v>
      </c>
      <c r="BE839" s="3" t="s">
        <v>8108</v>
      </c>
      <c r="BF839" s="3" t="s">
        <v>8107</v>
      </c>
      <c r="BG839" s="3" t="s">
        <v>8109</v>
      </c>
    </row>
    <row r="840" spans="1:59" ht="85.5" x14ac:dyDescent="0.45">
      <c r="A840" s="2" t="s">
        <v>59</v>
      </c>
      <c r="B840" s="2" t="s">
        <v>5257</v>
      </c>
      <c r="C840" s="2" t="s">
        <v>8110</v>
      </c>
      <c r="D840" s="2" t="s">
        <v>8111</v>
      </c>
      <c r="E840" s="2" t="s">
        <v>8112</v>
      </c>
      <c r="G840" s="3" t="s">
        <v>62</v>
      </c>
      <c r="I840" s="3" t="s">
        <v>62</v>
      </c>
      <c r="J840" s="3" t="s">
        <v>62</v>
      </c>
      <c r="K840" s="3" t="s">
        <v>63</v>
      </c>
      <c r="L840" s="2" t="s">
        <v>3518</v>
      </c>
      <c r="M840" s="2" t="s">
        <v>8113</v>
      </c>
      <c r="N840" s="3" t="s">
        <v>894</v>
      </c>
      <c r="P840" s="3" t="s">
        <v>65</v>
      </c>
      <c r="Q840" s="2" t="s">
        <v>8114</v>
      </c>
      <c r="R840" s="3" t="s">
        <v>66</v>
      </c>
      <c r="S840" s="4">
        <v>0</v>
      </c>
      <c r="T840" s="4">
        <v>0</v>
      </c>
      <c r="W840" s="5" t="s">
        <v>67</v>
      </c>
      <c r="X840" s="5" t="s">
        <v>67</v>
      </c>
      <c r="Y840" s="4">
        <v>79</v>
      </c>
      <c r="Z840" s="4">
        <v>5</v>
      </c>
      <c r="AA840" s="4">
        <v>10</v>
      </c>
      <c r="AB840" s="4">
        <v>1</v>
      </c>
      <c r="AC840" s="4">
        <v>2</v>
      </c>
      <c r="AD840" s="4">
        <v>19</v>
      </c>
      <c r="AE840" s="4">
        <v>25</v>
      </c>
      <c r="AF840" s="4">
        <v>0</v>
      </c>
      <c r="AG840" s="4">
        <v>0</v>
      </c>
      <c r="AH840" s="4">
        <v>17</v>
      </c>
      <c r="AI840" s="4">
        <v>21</v>
      </c>
      <c r="AJ840" s="4">
        <v>3</v>
      </c>
      <c r="AK840" s="4">
        <v>3</v>
      </c>
      <c r="AL840" s="4">
        <v>10</v>
      </c>
      <c r="AM840" s="4">
        <v>12</v>
      </c>
      <c r="AN840" s="4">
        <v>0</v>
      </c>
      <c r="AO840" s="4">
        <v>0</v>
      </c>
      <c r="AP840" s="4">
        <v>3</v>
      </c>
      <c r="AQ840" s="4">
        <v>5</v>
      </c>
      <c r="AR840" s="3" t="s">
        <v>62</v>
      </c>
      <c r="AS840" s="3" t="s">
        <v>62</v>
      </c>
      <c r="AT840" s="3" t="s">
        <v>62</v>
      </c>
      <c r="AV840" s="6" t="str">
        <f>HYPERLINK("http://mcgill.on.worldcat.org/oclc/144514205","Catalog Record")</f>
        <v>Catalog Record</v>
      </c>
      <c r="AW840" s="6" t="str">
        <f>HYPERLINK("http://www.worldcat.org/oclc/144514205","WorldCat Record")</f>
        <v>WorldCat Record</v>
      </c>
      <c r="AX840" s="3" t="s">
        <v>8115</v>
      </c>
      <c r="AY840" s="3" t="s">
        <v>8116</v>
      </c>
      <c r="AZ840" s="3" t="s">
        <v>8117</v>
      </c>
      <c r="BA840" s="3" t="s">
        <v>8117</v>
      </c>
      <c r="BB840" s="3" t="s">
        <v>8118</v>
      </c>
      <c r="BC840" s="3" t="s">
        <v>142</v>
      </c>
      <c r="BD840" s="3" t="s">
        <v>68</v>
      </c>
      <c r="BE840" s="3" t="s">
        <v>8119</v>
      </c>
      <c r="BF840" s="3" t="s">
        <v>8118</v>
      </c>
      <c r="BG840" s="3" t="s">
        <v>8120</v>
      </c>
    </row>
    <row r="841" spans="1:59" ht="57" x14ac:dyDescent="0.45">
      <c r="A841" s="2" t="s">
        <v>59</v>
      </c>
      <c r="B841" s="2" t="s">
        <v>60</v>
      </c>
      <c r="C841" s="2" t="s">
        <v>8121</v>
      </c>
      <c r="D841" s="2" t="s">
        <v>8122</v>
      </c>
      <c r="E841" s="2" t="s">
        <v>8123</v>
      </c>
      <c r="G841" s="3" t="s">
        <v>62</v>
      </c>
      <c r="I841" s="3" t="s">
        <v>62</v>
      </c>
      <c r="J841" s="3" t="s">
        <v>62</v>
      </c>
      <c r="K841" s="3" t="s">
        <v>63</v>
      </c>
      <c r="M841" s="2" t="s">
        <v>8124</v>
      </c>
      <c r="N841" s="3" t="s">
        <v>820</v>
      </c>
      <c r="P841" s="3" t="s">
        <v>65</v>
      </c>
      <c r="R841" s="3" t="s">
        <v>66</v>
      </c>
      <c r="S841" s="4">
        <v>20</v>
      </c>
      <c r="T841" s="4">
        <v>20</v>
      </c>
      <c r="U841" s="5" t="s">
        <v>8125</v>
      </c>
      <c r="V841" s="5" t="s">
        <v>8125</v>
      </c>
      <c r="W841" s="5" t="s">
        <v>67</v>
      </c>
      <c r="X841" s="5" t="s">
        <v>67</v>
      </c>
      <c r="Y841" s="4">
        <v>212</v>
      </c>
      <c r="Z841" s="4">
        <v>14</v>
      </c>
      <c r="AA841" s="4">
        <v>18</v>
      </c>
      <c r="AB841" s="4">
        <v>1</v>
      </c>
      <c r="AC841" s="4">
        <v>5</v>
      </c>
      <c r="AD841" s="4">
        <v>79</v>
      </c>
      <c r="AE841" s="4">
        <v>82</v>
      </c>
      <c r="AF841" s="4">
        <v>0</v>
      </c>
      <c r="AG841" s="4">
        <v>1</v>
      </c>
      <c r="AH841" s="4">
        <v>74</v>
      </c>
      <c r="AI841" s="4">
        <v>77</v>
      </c>
      <c r="AJ841" s="4">
        <v>11</v>
      </c>
      <c r="AK841" s="4">
        <v>12</v>
      </c>
      <c r="AL841" s="4">
        <v>44</v>
      </c>
      <c r="AM841" s="4">
        <v>44</v>
      </c>
      <c r="AN841" s="4">
        <v>0</v>
      </c>
      <c r="AO841" s="4">
        <v>0</v>
      </c>
      <c r="AP841" s="4">
        <v>12</v>
      </c>
      <c r="AQ841" s="4">
        <v>13</v>
      </c>
      <c r="AR841" s="3" t="s">
        <v>62</v>
      </c>
      <c r="AS841" s="3" t="s">
        <v>62</v>
      </c>
      <c r="AT841" s="3" t="s">
        <v>62</v>
      </c>
      <c r="AV841" s="6" t="str">
        <f>HYPERLINK("http://mcgill.on.worldcat.org/oclc/144767839","Catalog Record")</f>
        <v>Catalog Record</v>
      </c>
      <c r="AW841" s="6" t="str">
        <f>HYPERLINK("http://www.worldcat.org/oclc/144767839","WorldCat Record")</f>
        <v>WorldCat Record</v>
      </c>
      <c r="AX841" s="3" t="s">
        <v>8126</v>
      </c>
      <c r="AY841" s="3" t="s">
        <v>8127</v>
      </c>
      <c r="AZ841" s="3" t="s">
        <v>8128</v>
      </c>
      <c r="BA841" s="3" t="s">
        <v>8128</v>
      </c>
      <c r="BB841" s="3" t="s">
        <v>8129</v>
      </c>
      <c r="BC841" s="3" t="s">
        <v>142</v>
      </c>
      <c r="BD841" s="3" t="s">
        <v>68</v>
      </c>
      <c r="BE841" s="3" t="s">
        <v>8130</v>
      </c>
      <c r="BF841" s="3" t="s">
        <v>8129</v>
      </c>
      <c r="BG841" s="3" t="s">
        <v>8131</v>
      </c>
    </row>
    <row r="842" spans="1:59" ht="57" x14ac:dyDescent="0.45">
      <c r="A842" s="2" t="s">
        <v>59</v>
      </c>
      <c r="B842" s="2" t="s">
        <v>60</v>
      </c>
      <c r="C842" s="2" t="s">
        <v>8132</v>
      </c>
      <c r="D842" s="2" t="s">
        <v>8133</v>
      </c>
      <c r="E842" s="2" t="s">
        <v>8134</v>
      </c>
      <c r="G842" s="3" t="s">
        <v>62</v>
      </c>
      <c r="I842" s="3" t="s">
        <v>62</v>
      </c>
      <c r="J842" s="3" t="s">
        <v>62</v>
      </c>
      <c r="K842" s="3" t="s">
        <v>63</v>
      </c>
      <c r="M842" s="2" t="s">
        <v>8135</v>
      </c>
      <c r="N842" s="3" t="s">
        <v>945</v>
      </c>
      <c r="P842" s="3" t="s">
        <v>65</v>
      </c>
      <c r="Q842" s="2" t="s">
        <v>8136</v>
      </c>
      <c r="R842" s="3" t="s">
        <v>66</v>
      </c>
      <c r="S842" s="4">
        <v>17</v>
      </c>
      <c r="T842" s="4">
        <v>17</v>
      </c>
      <c r="U842" s="5" t="s">
        <v>7135</v>
      </c>
      <c r="V842" s="5" t="s">
        <v>7135</v>
      </c>
      <c r="W842" s="5" t="s">
        <v>67</v>
      </c>
      <c r="X842" s="5" t="s">
        <v>67</v>
      </c>
      <c r="Y842" s="4">
        <v>162</v>
      </c>
      <c r="Z842" s="4">
        <v>22</v>
      </c>
      <c r="AA842" s="4">
        <v>94</v>
      </c>
      <c r="AB842" s="4">
        <v>2</v>
      </c>
      <c r="AC842" s="4">
        <v>17</v>
      </c>
      <c r="AD842" s="4">
        <v>66</v>
      </c>
      <c r="AE842" s="4">
        <v>111</v>
      </c>
      <c r="AF842" s="4">
        <v>1</v>
      </c>
      <c r="AG842" s="4">
        <v>8</v>
      </c>
      <c r="AH842" s="4">
        <v>60</v>
      </c>
      <c r="AI842" s="4">
        <v>77</v>
      </c>
      <c r="AJ842" s="4">
        <v>16</v>
      </c>
      <c r="AK842" s="4">
        <v>24</v>
      </c>
      <c r="AL842" s="4">
        <v>31</v>
      </c>
      <c r="AM842" s="4">
        <v>40</v>
      </c>
      <c r="AN842" s="4">
        <v>0</v>
      </c>
      <c r="AO842" s="4">
        <v>0</v>
      </c>
      <c r="AP842" s="4">
        <v>17</v>
      </c>
      <c r="AQ842" s="4">
        <v>45</v>
      </c>
      <c r="AR842" s="3" t="s">
        <v>62</v>
      </c>
      <c r="AS842" s="3" t="s">
        <v>62</v>
      </c>
      <c r="AT842" s="3" t="s">
        <v>61</v>
      </c>
      <c r="AU842" s="6" t="str">
        <f>HYPERLINK("http://catalog.hathitrust.org/Record/005419285","HathiTrust Record")</f>
        <v>HathiTrust Record</v>
      </c>
      <c r="AV842" s="6" t="str">
        <f>HYPERLINK("http://mcgill.on.worldcat.org/oclc/70131134","Catalog Record")</f>
        <v>Catalog Record</v>
      </c>
      <c r="AW842" s="6" t="str">
        <f>HYPERLINK("http://www.worldcat.org/oclc/70131134","WorldCat Record")</f>
        <v>WorldCat Record</v>
      </c>
      <c r="AX842" s="3" t="s">
        <v>8137</v>
      </c>
      <c r="AY842" s="3" t="s">
        <v>8138</v>
      </c>
      <c r="AZ842" s="3" t="s">
        <v>8139</v>
      </c>
      <c r="BA842" s="3" t="s">
        <v>8139</v>
      </c>
      <c r="BB842" s="3" t="s">
        <v>8140</v>
      </c>
      <c r="BC842" s="3" t="s">
        <v>142</v>
      </c>
      <c r="BD842" s="3" t="s">
        <v>68</v>
      </c>
      <c r="BE842" s="3" t="s">
        <v>8141</v>
      </c>
      <c r="BF842" s="3" t="s">
        <v>8140</v>
      </c>
      <c r="BG842" s="3" t="s">
        <v>8142</v>
      </c>
    </row>
    <row r="843" spans="1:59" ht="57" x14ac:dyDescent="0.45">
      <c r="A843" s="2" t="s">
        <v>59</v>
      </c>
      <c r="B843" s="2" t="s">
        <v>60</v>
      </c>
      <c r="C843" s="2" t="s">
        <v>8143</v>
      </c>
      <c r="D843" s="2" t="s">
        <v>8144</v>
      </c>
      <c r="E843" s="2" t="s">
        <v>8145</v>
      </c>
      <c r="G843" s="3" t="s">
        <v>62</v>
      </c>
      <c r="I843" s="3" t="s">
        <v>62</v>
      </c>
      <c r="J843" s="3" t="s">
        <v>62</v>
      </c>
      <c r="K843" s="3" t="s">
        <v>63</v>
      </c>
      <c r="M843" s="2" t="s">
        <v>8146</v>
      </c>
      <c r="N843" s="3" t="s">
        <v>529</v>
      </c>
      <c r="P843" s="3" t="s">
        <v>65</v>
      </c>
      <c r="Q843" s="2" t="s">
        <v>8147</v>
      </c>
      <c r="R843" s="3" t="s">
        <v>66</v>
      </c>
      <c r="S843" s="4">
        <v>2</v>
      </c>
      <c r="T843" s="4">
        <v>2</v>
      </c>
      <c r="U843" s="5" t="s">
        <v>8148</v>
      </c>
      <c r="V843" s="5" t="s">
        <v>8148</v>
      </c>
      <c r="W843" s="5" t="s">
        <v>67</v>
      </c>
      <c r="X843" s="5" t="s">
        <v>67</v>
      </c>
      <c r="Y843" s="4">
        <v>357</v>
      </c>
      <c r="Z843" s="4">
        <v>28</v>
      </c>
      <c r="AA843" s="4">
        <v>35</v>
      </c>
      <c r="AB843" s="4">
        <v>3</v>
      </c>
      <c r="AC843" s="4">
        <v>8</v>
      </c>
      <c r="AD843" s="4">
        <v>92</v>
      </c>
      <c r="AE843" s="4">
        <v>97</v>
      </c>
      <c r="AF843" s="4">
        <v>1</v>
      </c>
      <c r="AG843" s="4">
        <v>3</v>
      </c>
      <c r="AH843" s="4">
        <v>78</v>
      </c>
      <c r="AI843" s="4">
        <v>81</v>
      </c>
      <c r="AJ843" s="4">
        <v>19</v>
      </c>
      <c r="AK843" s="4">
        <v>21</v>
      </c>
      <c r="AL843" s="4">
        <v>40</v>
      </c>
      <c r="AM843" s="4">
        <v>40</v>
      </c>
      <c r="AN843" s="4">
        <v>0</v>
      </c>
      <c r="AO843" s="4">
        <v>0</v>
      </c>
      <c r="AP843" s="4">
        <v>24</v>
      </c>
      <c r="AQ843" s="4">
        <v>27</v>
      </c>
      <c r="AR843" s="3" t="s">
        <v>62</v>
      </c>
      <c r="AS843" s="3" t="s">
        <v>62</v>
      </c>
      <c r="AT843" s="3" t="s">
        <v>61</v>
      </c>
      <c r="AU843" s="6" t="str">
        <f>HYPERLINK("http://catalog.hathitrust.org/Record/007103605","HathiTrust Record")</f>
        <v>HathiTrust Record</v>
      </c>
      <c r="AV843" s="6" t="str">
        <f>HYPERLINK("http://mcgill.on.worldcat.org/oclc/11261884","Catalog Record")</f>
        <v>Catalog Record</v>
      </c>
      <c r="AW843" s="6" t="str">
        <f>HYPERLINK("http://www.worldcat.org/oclc/11261884","WorldCat Record")</f>
        <v>WorldCat Record</v>
      </c>
      <c r="AX843" s="3" t="s">
        <v>8149</v>
      </c>
      <c r="AY843" s="3" t="s">
        <v>8150</v>
      </c>
      <c r="AZ843" s="3" t="s">
        <v>8151</v>
      </c>
      <c r="BA843" s="3" t="s">
        <v>8151</v>
      </c>
      <c r="BB843" s="3" t="s">
        <v>8152</v>
      </c>
      <c r="BC843" s="3" t="s">
        <v>142</v>
      </c>
      <c r="BD843" s="3" t="s">
        <v>68</v>
      </c>
      <c r="BE843" s="3" t="s">
        <v>8153</v>
      </c>
      <c r="BF843" s="3" t="s">
        <v>8152</v>
      </c>
      <c r="BG843" s="3" t="s">
        <v>8154</v>
      </c>
    </row>
    <row r="844" spans="1:59" ht="57" x14ac:dyDescent="0.45">
      <c r="A844" s="2" t="s">
        <v>59</v>
      </c>
      <c r="B844" s="2" t="s">
        <v>60</v>
      </c>
      <c r="C844" s="2" t="s">
        <v>8155</v>
      </c>
      <c r="D844" s="2" t="s">
        <v>8156</v>
      </c>
      <c r="E844" s="2" t="s">
        <v>8157</v>
      </c>
      <c r="G844" s="3" t="s">
        <v>62</v>
      </c>
      <c r="I844" s="3" t="s">
        <v>62</v>
      </c>
      <c r="J844" s="3" t="s">
        <v>62</v>
      </c>
      <c r="K844" s="3" t="s">
        <v>63</v>
      </c>
      <c r="M844" s="2" t="s">
        <v>1109</v>
      </c>
      <c r="N844" s="3" t="s">
        <v>568</v>
      </c>
      <c r="P844" s="3" t="s">
        <v>65</v>
      </c>
      <c r="Q844" s="2" t="s">
        <v>7244</v>
      </c>
      <c r="R844" s="3" t="s">
        <v>66</v>
      </c>
      <c r="S844" s="4">
        <v>26</v>
      </c>
      <c r="T844" s="4">
        <v>26</v>
      </c>
      <c r="U844" s="5" t="s">
        <v>123</v>
      </c>
      <c r="V844" s="5" t="s">
        <v>123</v>
      </c>
      <c r="W844" s="5" t="s">
        <v>67</v>
      </c>
      <c r="X844" s="5" t="s">
        <v>67</v>
      </c>
      <c r="Y844" s="4">
        <v>684</v>
      </c>
      <c r="Z844" s="4">
        <v>43</v>
      </c>
      <c r="AA844" s="4">
        <v>50</v>
      </c>
      <c r="AB844" s="4">
        <v>4</v>
      </c>
      <c r="AC844" s="4">
        <v>10</v>
      </c>
      <c r="AD844" s="4">
        <v>129</v>
      </c>
      <c r="AE844" s="4">
        <v>133</v>
      </c>
      <c r="AF844" s="4">
        <v>2</v>
      </c>
      <c r="AG844" s="4">
        <v>5</v>
      </c>
      <c r="AH844" s="4">
        <v>107</v>
      </c>
      <c r="AI844" s="4">
        <v>109</v>
      </c>
      <c r="AJ844" s="4">
        <v>18</v>
      </c>
      <c r="AK844" s="4">
        <v>20</v>
      </c>
      <c r="AL844" s="4">
        <v>53</v>
      </c>
      <c r="AM844" s="4">
        <v>53</v>
      </c>
      <c r="AN844" s="4">
        <v>0</v>
      </c>
      <c r="AO844" s="4">
        <v>0</v>
      </c>
      <c r="AP844" s="4">
        <v>33</v>
      </c>
      <c r="AQ844" s="4">
        <v>36</v>
      </c>
      <c r="AR844" s="3" t="s">
        <v>62</v>
      </c>
      <c r="AS844" s="3" t="s">
        <v>62</v>
      </c>
      <c r="AT844" s="3" t="s">
        <v>62</v>
      </c>
      <c r="AV844" s="6" t="str">
        <f>HYPERLINK("http://mcgill.on.worldcat.org/oclc/13792362","Catalog Record")</f>
        <v>Catalog Record</v>
      </c>
      <c r="AW844" s="6" t="str">
        <f>HYPERLINK("http://www.worldcat.org/oclc/13792362","WorldCat Record")</f>
        <v>WorldCat Record</v>
      </c>
      <c r="AX844" s="3" t="s">
        <v>8158</v>
      </c>
      <c r="AY844" s="3" t="s">
        <v>8159</v>
      </c>
      <c r="AZ844" s="3" t="s">
        <v>8160</v>
      </c>
      <c r="BA844" s="3" t="s">
        <v>8160</v>
      </c>
      <c r="BB844" s="3" t="s">
        <v>8161</v>
      </c>
      <c r="BC844" s="3" t="s">
        <v>142</v>
      </c>
      <c r="BD844" s="3" t="s">
        <v>68</v>
      </c>
      <c r="BE844" s="3" t="s">
        <v>8162</v>
      </c>
      <c r="BF844" s="3" t="s">
        <v>8161</v>
      </c>
      <c r="BG844" s="3" t="s">
        <v>8163</v>
      </c>
    </row>
    <row r="845" spans="1:59" ht="57" x14ac:dyDescent="0.45">
      <c r="A845" s="2" t="s">
        <v>59</v>
      </c>
      <c r="B845" s="2" t="s">
        <v>60</v>
      </c>
      <c r="C845" s="2" t="s">
        <v>8164</v>
      </c>
      <c r="D845" s="2" t="s">
        <v>8165</v>
      </c>
      <c r="E845" s="2" t="s">
        <v>8166</v>
      </c>
      <c r="G845" s="3" t="s">
        <v>62</v>
      </c>
      <c r="I845" s="3" t="s">
        <v>62</v>
      </c>
      <c r="J845" s="3" t="s">
        <v>62</v>
      </c>
      <c r="K845" s="3" t="s">
        <v>63</v>
      </c>
      <c r="M845" s="2" t="s">
        <v>8167</v>
      </c>
      <c r="N845" s="3" t="s">
        <v>568</v>
      </c>
      <c r="P845" s="3" t="s">
        <v>65</v>
      </c>
      <c r="Q845" s="2" t="s">
        <v>8168</v>
      </c>
      <c r="R845" s="3" t="s">
        <v>66</v>
      </c>
      <c r="S845" s="4">
        <v>47</v>
      </c>
      <c r="T845" s="4">
        <v>47</v>
      </c>
      <c r="U845" s="5" t="s">
        <v>118</v>
      </c>
      <c r="V845" s="5" t="s">
        <v>118</v>
      </c>
      <c r="W845" s="5" t="s">
        <v>67</v>
      </c>
      <c r="X845" s="5" t="s">
        <v>67</v>
      </c>
      <c r="Y845" s="4">
        <v>250</v>
      </c>
      <c r="Z845" s="4">
        <v>19</v>
      </c>
      <c r="AA845" s="4">
        <v>21</v>
      </c>
      <c r="AB845" s="4">
        <v>2</v>
      </c>
      <c r="AC845" s="4">
        <v>4</v>
      </c>
      <c r="AD845" s="4">
        <v>84</v>
      </c>
      <c r="AE845" s="4">
        <v>86</v>
      </c>
      <c r="AF845" s="4">
        <v>1</v>
      </c>
      <c r="AG845" s="4">
        <v>3</v>
      </c>
      <c r="AH845" s="4">
        <v>74</v>
      </c>
      <c r="AI845" s="4">
        <v>75</v>
      </c>
      <c r="AJ845" s="4">
        <v>14</v>
      </c>
      <c r="AK845" s="4">
        <v>16</v>
      </c>
      <c r="AL845" s="4">
        <v>39</v>
      </c>
      <c r="AM845" s="4">
        <v>39</v>
      </c>
      <c r="AN845" s="4">
        <v>0</v>
      </c>
      <c r="AO845" s="4">
        <v>0</v>
      </c>
      <c r="AP845" s="4">
        <v>16</v>
      </c>
      <c r="AQ845" s="4">
        <v>18</v>
      </c>
      <c r="AR845" s="3" t="s">
        <v>62</v>
      </c>
      <c r="AS845" s="3" t="s">
        <v>62</v>
      </c>
      <c r="AT845" s="3" t="s">
        <v>61</v>
      </c>
      <c r="AU845" s="6" t="str">
        <f>HYPERLINK("http://catalog.hathitrust.org/Record/000838378","HathiTrust Record")</f>
        <v>HathiTrust Record</v>
      </c>
      <c r="AV845" s="6" t="str">
        <f>HYPERLINK("http://mcgill.on.worldcat.org/oclc/14188710","Catalog Record")</f>
        <v>Catalog Record</v>
      </c>
      <c r="AW845" s="6" t="str">
        <f>HYPERLINK("http://www.worldcat.org/oclc/14188710","WorldCat Record")</f>
        <v>WorldCat Record</v>
      </c>
      <c r="AX845" s="3" t="s">
        <v>8169</v>
      </c>
      <c r="AY845" s="3" t="s">
        <v>8170</v>
      </c>
      <c r="AZ845" s="3" t="s">
        <v>8171</v>
      </c>
      <c r="BA845" s="3" t="s">
        <v>8171</v>
      </c>
      <c r="BB845" s="3" t="s">
        <v>8172</v>
      </c>
      <c r="BC845" s="3" t="s">
        <v>142</v>
      </c>
      <c r="BD845" s="3" t="s">
        <v>68</v>
      </c>
      <c r="BE845" s="3" t="s">
        <v>8173</v>
      </c>
      <c r="BF845" s="3" t="s">
        <v>8172</v>
      </c>
      <c r="BG845" s="3" t="s">
        <v>8174</v>
      </c>
    </row>
    <row r="846" spans="1:59" ht="57" x14ac:dyDescent="0.45">
      <c r="A846" s="2" t="s">
        <v>59</v>
      </c>
      <c r="B846" s="2" t="s">
        <v>60</v>
      </c>
      <c r="C846" s="2" t="s">
        <v>8175</v>
      </c>
      <c r="D846" s="2" t="s">
        <v>8176</v>
      </c>
      <c r="E846" s="2" t="s">
        <v>8177</v>
      </c>
      <c r="G846" s="3" t="s">
        <v>62</v>
      </c>
      <c r="I846" s="3" t="s">
        <v>62</v>
      </c>
      <c r="J846" s="3" t="s">
        <v>62</v>
      </c>
      <c r="K846" s="3" t="s">
        <v>63</v>
      </c>
      <c r="M846" s="2" t="s">
        <v>8178</v>
      </c>
      <c r="N846" s="3" t="s">
        <v>2107</v>
      </c>
      <c r="P846" s="3" t="s">
        <v>65</v>
      </c>
      <c r="R846" s="3" t="s">
        <v>66</v>
      </c>
      <c r="S846" s="4">
        <v>46</v>
      </c>
      <c r="T846" s="4">
        <v>46</v>
      </c>
      <c r="U846" s="5" t="s">
        <v>8179</v>
      </c>
      <c r="V846" s="5" t="s">
        <v>8179</v>
      </c>
      <c r="W846" s="5" t="s">
        <v>67</v>
      </c>
      <c r="X846" s="5" t="s">
        <v>67</v>
      </c>
      <c r="Y846" s="4">
        <v>256</v>
      </c>
      <c r="Z846" s="4">
        <v>19</v>
      </c>
      <c r="AA846" s="4">
        <v>23</v>
      </c>
      <c r="AB846" s="4">
        <v>1</v>
      </c>
      <c r="AC846" s="4">
        <v>5</v>
      </c>
      <c r="AD846" s="4">
        <v>98</v>
      </c>
      <c r="AE846" s="4">
        <v>101</v>
      </c>
      <c r="AF846" s="4">
        <v>0</v>
      </c>
      <c r="AG846" s="4">
        <v>3</v>
      </c>
      <c r="AH846" s="4">
        <v>89</v>
      </c>
      <c r="AI846" s="4">
        <v>90</v>
      </c>
      <c r="AJ846" s="4">
        <v>14</v>
      </c>
      <c r="AK846" s="4">
        <v>17</v>
      </c>
      <c r="AL846" s="4">
        <v>47</v>
      </c>
      <c r="AM846" s="4">
        <v>47</v>
      </c>
      <c r="AN846" s="4">
        <v>0</v>
      </c>
      <c r="AO846" s="4">
        <v>0</v>
      </c>
      <c r="AP846" s="4">
        <v>17</v>
      </c>
      <c r="AQ846" s="4">
        <v>19</v>
      </c>
      <c r="AR846" s="3" t="s">
        <v>62</v>
      </c>
      <c r="AS846" s="3" t="s">
        <v>62</v>
      </c>
      <c r="AT846" s="3" t="s">
        <v>61</v>
      </c>
      <c r="AU846" s="6" t="str">
        <f>HYPERLINK("http://catalog.hathitrust.org/Record/000565130","HathiTrust Record")</f>
        <v>HathiTrust Record</v>
      </c>
      <c r="AV846" s="6" t="str">
        <f>HYPERLINK("http://mcgill.on.worldcat.org/oclc/12582711","Catalog Record")</f>
        <v>Catalog Record</v>
      </c>
      <c r="AW846" s="6" t="str">
        <f>HYPERLINK("http://www.worldcat.org/oclc/12582711","WorldCat Record")</f>
        <v>WorldCat Record</v>
      </c>
      <c r="AX846" s="3" t="s">
        <v>8180</v>
      </c>
      <c r="AY846" s="3" t="s">
        <v>8181</v>
      </c>
      <c r="AZ846" s="3" t="s">
        <v>8182</v>
      </c>
      <c r="BA846" s="3" t="s">
        <v>8182</v>
      </c>
      <c r="BB846" s="3" t="s">
        <v>8183</v>
      </c>
      <c r="BC846" s="3" t="s">
        <v>142</v>
      </c>
      <c r="BD846" s="3" t="s">
        <v>68</v>
      </c>
      <c r="BE846" s="3" t="s">
        <v>8184</v>
      </c>
      <c r="BF846" s="3" t="s">
        <v>8183</v>
      </c>
      <c r="BG846" s="3" t="s">
        <v>8185</v>
      </c>
    </row>
    <row r="847" spans="1:59" ht="85.5" x14ac:dyDescent="0.45">
      <c r="A847" s="2" t="s">
        <v>59</v>
      </c>
      <c r="B847" s="2" t="s">
        <v>60</v>
      </c>
      <c r="C847" s="2" t="s">
        <v>8186</v>
      </c>
      <c r="D847" s="2" t="s">
        <v>8187</v>
      </c>
      <c r="E847" s="2" t="s">
        <v>8188</v>
      </c>
      <c r="G847" s="3" t="s">
        <v>62</v>
      </c>
      <c r="I847" s="3" t="s">
        <v>62</v>
      </c>
      <c r="J847" s="3" t="s">
        <v>62</v>
      </c>
      <c r="K847" s="3" t="s">
        <v>63</v>
      </c>
      <c r="L847" s="2" t="s">
        <v>8189</v>
      </c>
      <c r="M847" s="2" t="s">
        <v>7877</v>
      </c>
      <c r="N847" s="3" t="s">
        <v>1465</v>
      </c>
      <c r="P847" s="3" t="s">
        <v>65</v>
      </c>
      <c r="Q847" s="2" t="s">
        <v>8190</v>
      </c>
      <c r="R847" s="3" t="s">
        <v>66</v>
      </c>
      <c r="S847" s="4">
        <v>3</v>
      </c>
      <c r="T847" s="4">
        <v>3</v>
      </c>
      <c r="U847" s="5" t="s">
        <v>8191</v>
      </c>
      <c r="V847" s="5" t="s">
        <v>8191</v>
      </c>
      <c r="W847" s="5" t="s">
        <v>67</v>
      </c>
      <c r="X847" s="5" t="s">
        <v>67</v>
      </c>
      <c r="Y847" s="4">
        <v>57</v>
      </c>
      <c r="Z847" s="4">
        <v>7</v>
      </c>
      <c r="AA847" s="4">
        <v>91</v>
      </c>
      <c r="AB847" s="4">
        <v>2</v>
      </c>
      <c r="AC847" s="4">
        <v>18</v>
      </c>
      <c r="AD847" s="4">
        <v>29</v>
      </c>
      <c r="AE847" s="4">
        <v>92</v>
      </c>
      <c r="AF847" s="4">
        <v>0</v>
      </c>
      <c r="AG847" s="4">
        <v>8</v>
      </c>
      <c r="AH847" s="4">
        <v>27</v>
      </c>
      <c r="AI847" s="4">
        <v>60</v>
      </c>
      <c r="AJ847" s="4">
        <v>4</v>
      </c>
      <c r="AK847" s="4">
        <v>17</v>
      </c>
      <c r="AL847" s="4">
        <v>21</v>
      </c>
      <c r="AM847" s="4">
        <v>32</v>
      </c>
      <c r="AN847" s="4">
        <v>0</v>
      </c>
      <c r="AO847" s="4">
        <v>0</v>
      </c>
      <c r="AP847" s="4">
        <v>4</v>
      </c>
      <c r="AQ847" s="4">
        <v>38</v>
      </c>
      <c r="AR847" s="3" t="s">
        <v>62</v>
      </c>
      <c r="AS847" s="3" t="s">
        <v>62</v>
      </c>
      <c r="AT847" s="3" t="s">
        <v>62</v>
      </c>
      <c r="AV847" s="6" t="str">
        <f>HYPERLINK("http://mcgill.on.worldcat.org/oclc/310224963","Catalog Record")</f>
        <v>Catalog Record</v>
      </c>
      <c r="AW847" s="6" t="str">
        <f>HYPERLINK("http://www.worldcat.org/oclc/310224963","WorldCat Record")</f>
        <v>WorldCat Record</v>
      </c>
      <c r="AX847" s="3" t="s">
        <v>8192</v>
      </c>
      <c r="AY847" s="3" t="s">
        <v>8193</v>
      </c>
      <c r="AZ847" s="3" t="s">
        <v>8194</v>
      </c>
      <c r="BA847" s="3" t="s">
        <v>8194</v>
      </c>
      <c r="BB847" s="3" t="s">
        <v>8195</v>
      </c>
      <c r="BC847" s="3" t="s">
        <v>142</v>
      </c>
      <c r="BD847" s="3" t="s">
        <v>68</v>
      </c>
      <c r="BE847" s="3" t="s">
        <v>8196</v>
      </c>
      <c r="BF847" s="3" t="s">
        <v>8195</v>
      </c>
      <c r="BG847" s="3" t="s">
        <v>8197</v>
      </c>
    </row>
    <row r="848" spans="1:59" ht="114" x14ac:dyDescent="0.45">
      <c r="A848" s="2" t="s">
        <v>59</v>
      </c>
      <c r="B848" s="2" t="s">
        <v>60</v>
      </c>
      <c r="C848" s="2" t="s">
        <v>8198</v>
      </c>
      <c r="D848" s="2" t="s">
        <v>8199</v>
      </c>
      <c r="E848" s="2" t="s">
        <v>8200</v>
      </c>
      <c r="G848" s="3" t="s">
        <v>62</v>
      </c>
      <c r="I848" s="3" t="s">
        <v>62</v>
      </c>
      <c r="J848" s="3" t="s">
        <v>62</v>
      </c>
      <c r="K848" s="3" t="s">
        <v>63</v>
      </c>
      <c r="L848" s="2" t="s">
        <v>8201</v>
      </c>
      <c r="M848" s="2" t="s">
        <v>8202</v>
      </c>
      <c r="N848" s="3" t="s">
        <v>1688</v>
      </c>
      <c r="P848" s="3" t="s">
        <v>65</v>
      </c>
      <c r="Q848" s="2" t="s">
        <v>8203</v>
      </c>
      <c r="R848" s="3" t="s">
        <v>66</v>
      </c>
      <c r="S848" s="4">
        <v>1</v>
      </c>
      <c r="T848" s="4">
        <v>1</v>
      </c>
      <c r="U848" s="5" t="s">
        <v>8204</v>
      </c>
      <c r="V848" s="5" t="s">
        <v>8204</v>
      </c>
      <c r="W848" s="5" t="s">
        <v>67</v>
      </c>
      <c r="X848" s="5" t="s">
        <v>67</v>
      </c>
      <c r="Y848" s="4">
        <v>44</v>
      </c>
      <c r="Z848" s="4">
        <v>5</v>
      </c>
      <c r="AA848" s="4">
        <v>77</v>
      </c>
      <c r="AB848" s="4">
        <v>1</v>
      </c>
      <c r="AC848" s="4">
        <v>15</v>
      </c>
      <c r="AD848" s="4">
        <v>22</v>
      </c>
      <c r="AE848" s="4">
        <v>97</v>
      </c>
      <c r="AF848" s="4">
        <v>0</v>
      </c>
      <c r="AG848" s="4">
        <v>8</v>
      </c>
      <c r="AH848" s="4">
        <v>21</v>
      </c>
      <c r="AI848" s="4">
        <v>67</v>
      </c>
      <c r="AJ848" s="4">
        <v>3</v>
      </c>
      <c r="AK848" s="4">
        <v>19</v>
      </c>
      <c r="AL848" s="4">
        <v>15</v>
      </c>
      <c r="AM848" s="4">
        <v>34</v>
      </c>
      <c r="AN848" s="4">
        <v>0</v>
      </c>
      <c r="AO848" s="4">
        <v>0</v>
      </c>
      <c r="AP848" s="4">
        <v>3</v>
      </c>
      <c r="AQ848" s="4">
        <v>36</v>
      </c>
      <c r="AR848" s="3" t="s">
        <v>62</v>
      </c>
      <c r="AS848" s="3" t="s">
        <v>62</v>
      </c>
      <c r="AT848" s="3" t="s">
        <v>62</v>
      </c>
      <c r="AV848" s="6" t="str">
        <f>HYPERLINK("http://mcgill.on.worldcat.org/oclc/864752961","Catalog Record")</f>
        <v>Catalog Record</v>
      </c>
      <c r="AW848" s="6" t="str">
        <f>HYPERLINK("http://www.worldcat.org/oclc/864752961","WorldCat Record")</f>
        <v>WorldCat Record</v>
      </c>
      <c r="AX848" s="3" t="s">
        <v>8205</v>
      </c>
      <c r="AY848" s="3" t="s">
        <v>8206</v>
      </c>
      <c r="AZ848" s="3" t="s">
        <v>8207</v>
      </c>
      <c r="BA848" s="3" t="s">
        <v>8207</v>
      </c>
      <c r="BB848" s="3" t="s">
        <v>8208</v>
      </c>
      <c r="BC848" s="3" t="s">
        <v>142</v>
      </c>
      <c r="BD848" s="3" t="s">
        <v>68</v>
      </c>
      <c r="BE848" s="3" t="s">
        <v>8209</v>
      </c>
      <c r="BF848" s="3" t="s">
        <v>8208</v>
      </c>
      <c r="BG848" s="3" t="s">
        <v>8210</v>
      </c>
    </row>
    <row r="849" spans="1:59" ht="57" x14ac:dyDescent="0.45">
      <c r="A849" s="2" t="s">
        <v>59</v>
      </c>
      <c r="B849" s="2" t="s">
        <v>60</v>
      </c>
      <c r="C849" s="2" t="s">
        <v>8211</v>
      </c>
      <c r="D849" s="2" t="s">
        <v>8212</v>
      </c>
      <c r="E849" s="2" t="s">
        <v>8213</v>
      </c>
      <c r="G849" s="3" t="s">
        <v>62</v>
      </c>
      <c r="I849" s="3" t="s">
        <v>62</v>
      </c>
      <c r="J849" s="3" t="s">
        <v>62</v>
      </c>
      <c r="K849" s="3" t="s">
        <v>63</v>
      </c>
      <c r="M849" s="2" t="s">
        <v>8214</v>
      </c>
      <c r="N849" s="3" t="s">
        <v>149</v>
      </c>
      <c r="P849" s="3" t="s">
        <v>110</v>
      </c>
      <c r="Q849" s="2" t="s">
        <v>8215</v>
      </c>
      <c r="R849" s="3" t="s">
        <v>66</v>
      </c>
      <c r="S849" s="4">
        <v>1</v>
      </c>
      <c r="T849" s="4">
        <v>1</v>
      </c>
      <c r="U849" s="5" t="s">
        <v>2451</v>
      </c>
      <c r="V849" s="5" t="s">
        <v>2451</v>
      </c>
      <c r="W849" s="5" t="s">
        <v>67</v>
      </c>
      <c r="X849" s="5" t="s">
        <v>67</v>
      </c>
      <c r="Y849" s="4">
        <v>11</v>
      </c>
      <c r="Z849" s="4">
        <v>5</v>
      </c>
      <c r="AA849" s="4">
        <v>9</v>
      </c>
      <c r="AB849" s="4">
        <v>1</v>
      </c>
      <c r="AC849" s="4">
        <v>2</v>
      </c>
      <c r="AD849" s="4">
        <v>6</v>
      </c>
      <c r="AE849" s="4">
        <v>10</v>
      </c>
      <c r="AF849" s="4">
        <v>0</v>
      </c>
      <c r="AG849" s="4">
        <v>1</v>
      </c>
      <c r="AH849" s="4">
        <v>4</v>
      </c>
      <c r="AI849" s="4">
        <v>8</v>
      </c>
      <c r="AJ849" s="4">
        <v>3</v>
      </c>
      <c r="AK849" s="4">
        <v>7</v>
      </c>
      <c r="AL849" s="4">
        <v>2</v>
      </c>
      <c r="AM849" s="4">
        <v>2</v>
      </c>
      <c r="AN849" s="4">
        <v>0</v>
      </c>
      <c r="AO849" s="4">
        <v>0</v>
      </c>
      <c r="AP849" s="4">
        <v>4</v>
      </c>
      <c r="AQ849" s="4">
        <v>8</v>
      </c>
      <c r="AR849" s="3" t="s">
        <v>62</v>
      </c>
      <c r="AS849" s="3" t="s">
        <v>62</v>
      </c>
      <c r="AT849" s="3" t="s">
        <v>62</v>
      </c>
      <c r="AV849" s="6" t="str">
        <f>HYPERLINK("http://mcgill.on.worldcat.org/oclc/681406291","Catalog Record")</f>
        <v>Catalog Record</v>
      </c>
      <c r="AW849" s="6" t="str">
        <f>HYPERLINK("http://www.worldcat.org/oclc/681406291","WorldCat Record")</f>
        <v>WorldCat Record</v>
      </c>
      <c r="AX849" s="3" t="s">
        <v>8216</v>
      </c>
      <c r="AY849" s="3" t="s">
        <v>8217</v>
      </c>
      <c r="AZ849" s="3" t="s">
        <v>8218</v>
      </c>
      <c r="BA849" s="3" t="s">
        <v>8218</v>
      </c>
      <c r="BB849" s="3" t="s">
        <v>8219</v>
      </c>
      <c r="BC849" s="3" t="s">
        <v>142</v>
      </c>
      <c r="BD849" s="3" t="s">
        <v>68</v>
      </c>
      <c r="BE849" s="3" t="s">
        <v>8220</v>
      </c>
      <c r="BF849" s="3" t="s">
        <v>8219</v>
      </c>
      <c r="BG849" s="3" t="s">
        <v>8221</v>
      </c>
    </row>
    <row r="850" spans="1:59" ht="57" x14ac:dyDescent="0.45">
      <c r="A850" s="2" t="s">
        <v>59</v>
      </c>
      <c r="B850" s="2" t="s">
        <v>60</v>
      </c>
      <c r="C850" s="2" t="s">
        <v>8222</v>
      </c>
      <c r="D850" s="2" t="s">
        <v>8223</v>
      </c>
      <c r="E850" s="2" t="s">
        <v>8224</v>
      </c>
      <c r="G850" s="3" t="s">
        <v>62</v>
      </c>
      <c r="I850" s="3" t="s">
        <v>62</v>
      </c>
      <c r="J850" s="3" t="s">
        <v>62</v>
      </c>
      <c r="K850" s="3" t="s">
        <v>63</v>
      </c>
      <c r="L850" s="2" t="s">
        <v>8225</v>
      </c>
      <c r="M850" s="2" t="s">
        <v>8226</v>
      </c>
      <c r="N850" s="3" t="s">
        <v>1855</v>
      </c>
      <c r="P850" s="3" t="s">
        <v>65</v>
      </c>
      <c r="Q850" s="2" t="s">
        <v>8227</v>
      </c>
      <c r="R850" s="3" t="s">
        <v>66</v>
      </c>
      <c r="S850" s="4">
        <v>7</v>
      </c>
      <c r="T850" s="4">
        <v>7</v>
      </c>
      <c r="U850" s="5" t="s">
        <v>118</v>
      </c>
      <c r="V850" s="5" t="s">
        <v>118</v>
      </c>
      <c r="W850" s="5" t="s">
        <v>67</v>
      </c>
      <c r="X850" s="5" t="s">
        <v>67</v>
      </c>
      <c r="Y850" s="4">
        <v>199</v>
      </c>
      <c r="Z850" s="4">
        <v>18</v>
      </c>
      <c r="AA850" s="4">
        <v>112</v>
      </c>
      <c r="AB850" s="4">
        <v>2</v>
      </c>
      <c r="AC850" s="4">
        <v>17</v>
      </c>
      <c r="AD850" s="4">
        <v>66</v>
      </c>
      <c r="AE850" s="4">
        <v>129</v>
      </c>
      <c r="AF850" s="4">
        <v>1</v>
      </c>
      <c r="AG850" s="4">
        <v>8</v>
      </c>
      <c r="AH850" s="4">
        <v>57</v>
      </c>
      <c r="AI850" s="4">
        <v>88</v>
      </c>
      <c r="AJ850" s="4">
        <v>12</v>
      </c>
      <c r="AK850" s="4">
        <v>25</v>
      </c>
      <c r="AL850" s="4">
        <v>29</v>
      </c>
      <c r="AM850" s="4">
        <v>43</v>
      </c>
      <c r="AN850" s="4">
        <v>0</v>
      </c>
      <c r="AO850" s="4">
        <v>0</v>
      </c>
      <c r="AP850" s="4">
        <v>16</v>
      </c>
      <c r="AQ850" s="4">
        <v>48</v>
      </c>
      <c r="AR850" s="3" t="s">
        <v>62</v>
      </c>
      <c r="AS850" s="3" t="s">
        <v>62</v>
      </c>
      <c r="AT850" s="3" t="s">
        <v>61</v>
      </c>
      <c r="AU850" s="6" t="str">
        <f>HYPERLINK("http://catalog.hathitrust.org/Record/009928534","HathiTrust Record")</f>
        <v>HathiTrust Record</v>
      </c>
      <c r="AV850" s="6" t="str">
        <f>HYPERLINK("http://mcgill.on.worldcat.org/oclc/56014536","Catalog Record")</f>
        <v>Catalog Record</v>
      </c>
      <c r="AW850" s="6" t="str">
        <f>HYPERLINK("http://www.worldcat.org/oclc/56014536","WorldCat Record")</f>
        <v>WorldCat Record</v>
      </c>
      <c r="AX850" s="3" t="s">
        <v>8228</v>
      </c>
      <c r="AY850" s="3" t="s">
        <v>8229</v>
      </c>
      <c r="AZ850" s="3" t="s">
        <v>8230</v>
      </c>
      <c r="BA850" s="3" t="s">
        <v>8230</v>
      </c>
      <c r="BB850" s="3" t="s">
        <v>8231</v>
      </c>
      <c r="BC850" s="3" t="s">
        <v>142</v>
      </c>
      <c r="BD850" s="3" t="s">
        <v>68</v>
      </c>
      <c r="BE850" s="3" t="s">
        <v>8232</v>
      </c>
      <c r="BF850" s="3" t="s">
        <v>8231</v>
      </c>
      <c r="BG850" s="3" t="s">
        <v>8233</v>
      </c>
    </row>
    <row r="851" spans="1:59" ht="57" x14ac:dyDescent="0.45">
      <c r="A851" s="2" t="s">
        <v>59</v>
      </c>
      <c r="B851" s="2" t="s">
        <v>60</v>
      </c>
      <c r="C851" s="2" t="s">
        <v>8234</v>
      </c>
      <c r="D851" s="2" t="s">
        <v>8235</v>
      </c>
      <c r="E851" s="2" t="s">
        <v>8236</v>
      </c>
      <c r="G851" s="3" t="s">
        <v>62</v>
      </c>
      <c r="I851" s="3" t="s">
        <v>62</v>
      </c>
      <c r="J851" s="3" t="s">
        <v>62</v>
      </c>
      <c r="K851" s="3" t="s">
        <v>63</v>
      </c>
      <c r="L851" s="2" t="s">
        <v>8237</v>
      </c>
      <c r="M851" s="2" t="s">
        <v>8238</v>
      </c>
      <c r="N851" s="3" t="s">
        <v>1097</v>
      </c>
      <c r="P851" s="3" t="s">
        <v>65</v>
      </c>
      <c r="R851" s="3" t="s">
        <v>66</v>
      </c>
      <c r="S851" s="4">
        <v>7</v>
      </c>
      <c r="T851" s="4">
        <v>7</v>
      </c>
      <c r="U851" s="5" t="s">
        <v>6730</v>
      </c>
      <c r="V851" s="5" t="s">
        <v>6730</v>
      </c>
      <c r="W851" s="5" t="s">
        <v>67</v>
      </c>
      <c r="X851" s="5" t="s">
        <v>67</v>
      </c>
      <c r="Y851" s="4">
        <v>240</v>
      </c>
      <c r="Z851" s="4">
        <v>27</v>
      </c>
      <c r="AA851" s="4">
        <v>31</v>
      </c>
      <c r="AB851" s="4">
        <v>2</v>
      </c>
      <c r="AC851" s="4">
        <v>4</v>
      </c>
      <c r="AD851" s="4">
        <v>92</v>
      </c>
      <c r="AE851" s="4">
        <v>94</v>
      </c>
      <c r="AF851" s="4">
        <v>1</v>
      </c>
      <c r="AG851" s="4">
        <v>1</v>
      </c>
      <c r="AH851" s="4">
        <v>80</v>
      </c>
      <c r="AI851" s="4">
        <v>82</v>
      </c>
      <c r="AJ851" s="4">
        <v>14</v>
      </c>
      <c r="AK851" s="4">
        <v>16</v>
      </c>
      <c r="AL851" s="4">
        <v>43</v>
      </c>
      <c r="AM851" s="4">
        <v>43</v>
      </c>
      <c r="AN851" s="4">
        <v>0</v>
      </c>
      <c r="AO851" s="4">
        <v>0</v>
      </c>
      <c r="AP851" s="4">
        <v>20</v>
      </c>
      <c r="AQ851" s="4">
        <v>22</v>
      </c>
      <c r="AR851" s="3" t="s">
        <v>62</v>
      </c>
      <c r="AS851" s="3" t="s">
        <v>62</v>
      </c>
      <c r="AT851" s="3" t="s">
        <v>61</v>
      </c>
      <c r="AU851" s="6" t="str">
        <f>HYPERLINK("http://catalog.hathitrust.org/Record/004363016","HathiTrust Record")</f>
        <v>HathiTrust Record</v>
      </c>
      <c r="AV851" s="6" t="str">
        <f>HYPERLINK("http://mcgill.on.worldcat.org/oclc/52858207","Catalog Record")</f>
        <v>Catalog Record</v>
      </c>
      <c r="AW851" s="6" t="str">
        <f>HYPERLINK("http://www.worldcat.org/oclc/52858207","WorldCat Record")</f>
        <v>WorldCat Record</v>
      </c>
      <c r="AX851" s="3" t="s">
        <v>8239</v>
      </c>
      <c r="AY851" s="3" t="s">
        <v>8240</v>
      </c>
      <c r="AZ851" s="3" t="s">
        <v>8241</v>
      </c>
      <c r="BA851" s="3" t="s">
        <v>8241</v>
      </c>
      <c r="BB851" s="3" t="s">
        <v>8242</v>
      </c>
      <c r="BC851" s="3" t="s">
        <v>142</v>
      </c>
      <c r="BD851" s="3" t="s">
        <v>68</v>
      </c>
      <c r="BE851" s="3" t="s">
        <v>8243</v>
      </c>
      <c r="BF851" s="3" t="s">
        <v>8242</v>
      </c>
      <c r="BG851" s="3" t="s">
        <v>8244</v>
      </c>
    </row>
    <row r="852" spans="1:59" ht="57" x14ac:dyDescent="0.45">
      <c r="A852" s="2" t="s">
        <v>59</v>
      </c>
      <c r="B852" s="2" t="s">
        <v>60</v>
      </c>
      <c r="C852" s="2" t="s">
        <v>8245</v>
      </c>
      <c r="D852" s="2" t="s">
        <v>8246</v>
      </c>
      <c r="E852" s="2" t="s">
        <v>8247</v>
      </c>
      <c r="G852" s="3" t="s">
        <v>62</v>
      </c>
      <c r="I852" s="3" t="s">
        <v>62</v>
      </c>
      <c r="J852" s="3" t="s">
        <v>62</v>
      </c>
      <c r="K852" s="3" t="s">
        <v>63</v>
      </c>
      <c r="L852" s="2" t="s">
        <v>8248</v>
      </c>
      <c r="M852" s="2" t="s">
        <v>8249</v>
      </c>
      <c r="N852" s="3" t="s">
        <v>3160</v>
      </c>
      <c r="P852" s="3" t="s">
        <v>65</v>
      </c>
      <c r="Q852" s="2" t="s">
        <v>8250</v>
      </c>
      <c r="R852" s="3" t="s">
        <v>66</v>
      </c>
      <c r="S852" s="4">
        <v>27</v>
      </c>
      <c r="T852" s="4">
        <v>27</v>
      </c>
      <c r="U852" s="5" t="s">
        <v>123</v>
      </c>
      <c r="V852" s="5" t="s">
        <v>123</v>
      </c>
      <c r="W852" s="5" t="s">
        <v>67</v>
      </c>
      <c r="X852" s="5" t="s">
        <v>67</v>
      </c>
      <c r="Y852" s="4">
        <v>229</v>
      </c>
      <c r="Z852" s="4">
        <v>13</v>
      </c>
      <c r="AA852" s="4">
        <v>13</v>
      </c>
      <c r="AB852" s="4">
        <v>2</v>
      </c>
      <c r="AC852" s="4">
        <v>2</v>
      </c>
      <c r="AD852" s="4">
        <v>70</v>
      </c>
      <c r="AE852" s="4">
        <v>72</v>
      </c>
      <c r="AF852" s="4">
        <v>1</v>
      </c>
      <c r="AG852" s="4">
        <v>1</v>
      </c>
      <c r="AH852" s="4">
        <v>63</v>
      </c>
      <c r="AI852" s="4">
        <v>65</v>
      </c>
      <c r="AJ852" s="4">
        <v>10</v>
      </c>
      <c r="AK852" s="4">
        <v>10</v>
      </c>
      <c r="AL852" s="4">
        <v>33</v>
      </c>
      <c r="AM852" s="4">
        <v>35</v>
      </c>
      <c r="AN852" s="4">
        <v>0</v>
      </c>
      <c r="AO852" s="4">
        <v>0</v>
      </c>
      <c r="AP852" s="4">
        <v>12</v>
      </c>
      <c r="AQ852" s="4">
        <v>12</v>
      </c>
      <c r="AR852" s="3" t="s">
        <v>62</v>
      </c>
      <c r="AS852" s="3" t="s">
        <v>61</v>
      </c>
      <c r="AT852" s="3" t="s">
        <v>62</v>
      </c>
      <c r="AU852" s="6" t="str">
        <f>HYPERLINK("http://catalog.hathitrust.org/Record/102259068","HathiTrust Record")</f>
        <v>HathiTrust Record</v>
      </c>
      <c r="AV852" s="6" t="str">
        <f>HYPERLINK("http://mcgill.on.worldcat.org/oclc/7796671","Catalog Record")</f>
        <v>Catalog Record</v>
      </c>
      <c r="AW852" s="6" t="str">
        <f>HYPERLINK("http://www.worldcat.org/oclc/7796671","WorldCat Record")</f>
        <v>WorldCat Record</v>
      </c>
      <c r="AX852" s="3" t="s">
        <v>8251</v>
      </c>
      <c r="AY852" s="3" t="s">
        <v>8252</v>
      </c>
      <c r="AZ852" s="3" t="s">
        <v>8253</v>
      </c>
      <c r="BA852" s="3" t="s">
        <v>8253</v>
      </c>
      <c r="BB852" s="3" t="s">
        <v>8254</v>
      </c>
      <c r="BC852" s="3" t="s">
        <v>142</v>
      </c>
      <c r="BD852" s="3" t="s">
        <v>68</v>
      </c>
      <c r="BE852" s="3" t="s">
        <v>8255</v>
      </c>
      <c r="BF852" s="3" t="s">
        <v>8254</v>
      </c>
      <c r="BG852" s="3" t="s">
        <v>8256</v>
      </c>
    </row>
    <row r="853" spans="1:59" ht="57" x14ac:dyDescent="0.45">
      <c r="A853" s="2" t="s">
        <v>59</v>
      </c>
      <c r="B853" s="2" t="s">
        <v>412</v>
      </c>
      <c r="C853" s="2" t="s">
        <v>8257</v>
      </c>
      <c r="D853" s="2" t="s">
        <v>8258</v>
      </c>
      <c r="E853" s="2" t="s">
        <v>8259</v>
      </c>
      <c r="G853" s="3" t="s">
        <v>62</v>
      </c>
      <c r="I853" s="3" t="s">
        <v>61</v>
      </c>
      <c r="J853" s="3" t="s">
        <v>62</v>
      </c>
      <c r="K853" s="3" t="s">
        <v>63</v>
      </c>
      <c r="L853" s="2" t="s">
        <v>8260</v>
      </c>
      <c r="M853" s="2" t="s">
        <v>8261</v>
      </c>
      <c r="N853" s="3" t="s">
        <v>157</v>
      </c>
      <c r="O853" s="2" t="s">
        <v>1748</v>
      </c>
      <c r="P853" s="3" t="s">
        <v>65</v>
      </c>
      <c r="Q853" s="2" t="s">
        <v>7204</v>
      </c>
      <c r="R853" s="3" t="s">
        <v>66</v>
      </c>
      <c r="S853" s="4">
        <v>54</v>
      </c>
      <c r="T853" s="4">
        <v>128</v>
      </c>
      <c r="U853" s="5" t="s">
        <v>8262</v>
      </c>
      <c r="V853" s="5" t="s">
        <v>8263</v>
      </c>
      <c r="W853" s="5" t="s">
        <v>67</v>
      </c>
      <c r="X853" s="5" t="s">
        <v>67</v>
      </c>
      <c r="Y853" s="4">
        <v>619</v>
      </c>
      <c r="Z853" s="4">
        <v>40</v>
      </c>
      <c r="AA853" s="4">
        <v>52</v>
      </c>
      <c r="AB853" s="4">
        <v>3</v>
      </c>
      <c r="AC853" s="4">
        <v>8</v>
      </c>
      <c r="AD853" s="4">
        <v>112</v>
      </c>
      <c r="AE853" s="4">
        <v>125</v>
      </c>
      <c r="AF853" s="4">
        <v>2</v>
      </c>
      <c r="AG853" s="4">
        <v>5</v>
      </c>
      <c r="AH853" s="4">
        <v>91</v>
      </c>
      <c r="AI853" s="4">
        <v>98</v>
      </c>
      <c r="AJ853" s="4">
        <v>19</v>
      </c>
      <c r="AK853" s="4">
        <v>22</v>
      </c>
      <c r="AL853" s="4">
        <v>48</v>
      </c>
      <c r="AM853" s="4">
        <v>52</v>
      </c>
      <c r="AN853" s="4">
        <v>0</v>
      </c>
      <c r="AO853" s="4">
        <v>0</v>
      </c>
      <c r="AP853" s="4">
        <v>30</v>
      </c>
      <c r="AQ853" s="4">
        <v>35</v>
      </c>
      <c r="AR853" s="3" t="s">
        <v>62</v>
      </c>
      <c r="AS853" s="3" t="s">
        <v>62</v>
      </c>
      <c r="AT853" s="3" t="s">
        <v>61</v>
      </c>
      <c r="AU853" s="6" t="str">
        <f>HYPERLINK("http://catalog.hathitrust.org/Record/000764435","HathiTrust Record")</f>
        <v>HathiTrust Record</v>
      </c>
      <c r="AV853" s="6" t="str">
        <f>HYPERLINK("http://mcgill.on.worldcat.org/oclc/7734300","Catalog Record")</f>
        <v>Catalog Record</v>
      </c>
      <c r="AW853" s="6" t="str">
        <f>HYPERLINK("http://www.worldcat.org/oclc/7734300","WorldCat Record")</f>
        <v>WorldCat Record</v>
      </c>
      <c r="AX853" s="3" t="s">
        <v>8264</v>
      </c>
      <c r="AY853" s="3" t="s">
        <v>8265</v>
      </c>
      <c r="AZ853" s="3" t="s">
        <v>8266</v>
      </c>
      <c r="BA853" s="3" t="s">
        <v>8266</v>
      </c>
      <c r="BB853" s="3" t="s">
        <v>8267</v>
      </c>
      <c r="BC853" s="3" t="s">
        <v>142</v>
      </c>
      <c r="BD853" s="3" t="s">
        <v>68</v>
      </c>
      <c r="BE853" s="3" t="s">
        <v>8268</v>
      </c>
      <c r="BF853" s="3" t="s">
        <v>8267</v>
      </c>
      <c r="BG853" s="3" t="s">
        <v>8269</v>
      </c>
    </row>
    <row r="854" spans="1:59" ht="57" x14ac:dyDescent="0.45">
      <c r="A854" s="2" t="s">
        <v>59</v>
      </c>
      <c r="B854" s="2" t="s">
        <v>60</v>
      </c>
      <c r="C854" s="2" t="s">
        <v>8257</v>
      </c>
      <c r="D854" s="2" t="s">
        <v>8258</v>
      </c>
      <c r="E854" s="2" t="s">
        <v>8259</v>
      </c>
      <c r="G854" s="3" t="s">
        <v>62</v>
      </c>
      <c r="I854" s="3" t="s">
        <v>61</v>
      </c>
      <c r="J854" s="3" t="s">
        <v>62</v>
      </c>
      <c r="K854" s="3" t="s">
        <v>63</v>
      </c>
      <c r="L854" s="2" t="s">
        <v>8260</v>
      </c>
      <c r="M854" s="2" t="s">
        <v>8261</v>
      </c>
      <c r="N854" s="3" t="s">
        <v>157</v>
      </c>
      <c r="O854" s="2" t="s">
        <v>1748</v>
      </c>
      <c r="P854" s="3" t="s">
        <v>65</v>
      </c>
      <c r="Q854" s="2" t="s">
        <v>7204</v>
      </c>
      <c r="R854" s="3" t="s">
        <v>66</v>
      </c>
      <c r="S854" s="4">
        <v>30</v>
      </c>
      <c r="T854" s="4">
        <v>128</v>
      </c>
      <c r="U854" s="5" t="s">
        <v>8270</v>
      </c>
      <c r="V854" s="5" t="s">
        <v>8263</v>
      </c>
      <c r="W854" s="5" t="s">
        <v>67</v>
      </c>
      <c r="X854" s="5" t="s">
        <v>67</v>
      </c>
      <c r="Y854" s="4">
        <v>619</v>
      </c>
      <c r="Z854" s="4">
        <v>40</v>
      </c>
      <c r="AA854" s="4">
        <v>52</v>
      </c>
      <c r="AB854" s="4">
        <v>3</v>
      </c>
      <c r="AC854" s="4">
        <v>8</v>
      </c>
      <c r="AD854" s="4">
        <v>112</v>
      </c>
      <c r="AE854" s="4">
        <v>125</v>
      </c>
      <c r="AF854" s="4">
        <v>2</v>
      </c>
      <c r="AG854" s="4">
        <v>5</v>
      </c>
      <c r="AH854" s="4">
        <v>91</v>
      </c>
      <c r="AI854" s="4">
        <v>98</v>
      </c>
      <c r="AJ854" s="4">
        <v>19</v>
      </c>
      <c r="AK854" s="4">
        <v>22</v>
      </c>
      <c r="AL854" s="4">
        <v>48</v>
      </c>
      <c r="AM854" s="4">
        <v>52</v>
      </c>
      <c r="AN854" s="4">
        <v>0</v>
      </c>
      <c r="AO854" s="4">
        <v>0</v>
      </c>
      <c r="AP854" s="4">
        <v>30</v>
      </c>
      <c r="AQ854" s="4">
        <v>35</v>
      </c>
      <c r="AR854" s="3" t="s">
        <v>62</v>
      </c>
      <c r="AS854" s="3" t="s">
        <v>62</v>
      </c>
      <c r="AT854" s="3" t="s">
        <v>61</v>
      </c>
      <c r="AU854" s="6" t="str">
        <f>HYPERLINK("http://catalog.hathitrust.org/Record/000764435","HathiTrust Record")</f>
        <v>HathiTrust Record</v>
      </c>
      <c r="AV854" s="6" t="str">
        <f>HYPERLINK("http://mcgill.on.worldcat.org/oclc/7734300","Catalog Record")</f>
        <v>Catalog Record</v>
      </c>
      <c r="AW854" s="6" t="str">
        <f>HYPERLINK("http://www.worldcat.org/oclc/7734300","WorldCat Record")</f>
        <v>WorldCat Record</v>
      </c>
      <c r="AX854" s="3" t="s">
        <v>8264</v>
      </c>
      <c r="AY854" s="3" t="s">
        <v>8265</v>
      </c>
      <c r="AZ854" s="3" t="s">
        <v>8266</v>
      </c>
      <c r="BA854" s="3" t="s">
        <v>8266</v>
      </c>
      <c r="BB854" s="3" t="s">
        <v>8271</v>
      </c>
      <c r="BC854" s="3" t="s">
        <v>142</v>
      </c>
      <c r="BD854" s="3" t="s">
        <v>68</v>
      </c>
      <c r="BE854" s="3" t="s">
        <v>8268</v>
      </c>
      <c r="BF854" s="3" t="s">
        <v>8271</v>
      </c>
      <c r="BG854" s="3" t="s">
        <v>8272</v>
      </c>
    </row>
    <row r="855" spans="1:59" ht="57" x14ac:dyDescent="0.45">
      <c r="A855" s="2" t="s">
        <v>59</v>
      </c>
      <c r="B855" s="2" t="s">
        <v>60</v>
      </c>
      <c r="C855" s="2" t="s">
        <v>8257</v>
      </c>
      <c r="D855" s="2" t="s">
        <v>8258</v>
      </c>
      <c r="E855" s="2" t="s">
        <v>8259</v>
      </c>
      <c r="G855" s="3" t="s">
        <v>62</v>
      </c>
      <c r="I855" s="3" t="s">
        <v>61</v>
      </c>
      <c r="J855" s="3" t="s">
        <v>62</v>
      </c>
      <c r="K855" s="3" t="s">
        <v>63</v>
      </c>
      <c r="L855" s="2" t="s">
        <v>8260</v>
      </c>
      <c r="M855" s="2" t="s">
        <v>8261</v>
      </c>
      <c r="N855" s="3" t="s">
        <v>157</v>
      </c>
      <c r="O855" s="2" t="s">
        <v>1748</v>
      </c>
      <c r="P855" s="3" t="s">
        <v>65</v>
      </c>
      <c r="Q855" s="2" t="s">
        <v>7204</v>
      </c>
      <c r="R855" s="3" t="s">
        <v>66</v>
      </c>
      <c r="S855" s="4">
        <v>17</v>
      </c>
      <c r="T855" s="4">
        <v>128</v>
      </c>
      <c r="U855" s="5" t="s">
        <v>8263</v>
      </c>
      <c r="V855" s="5" t="s">
        <v>8263</v>
      </c>
      <c r="W855" s="5" t="s">
        <v>67</v>
      </c>
      <c r="X855" s="5" t="s">
        <v>67</v>
      </c>
      <c r="Y855" s="4">
        <v>619</v>
      </c>
      <c r="Z855" s="4">
        <v>40</v>
      </c>
      <c r="AA855" s="4">
        <v>52</v>
      </c>
      <c r="AB855" s="4">
        <v>3</v>
      </c>
      <c r="AC855" s="4">
        <v>8</v>
      </c>
      <c r="AD855" s="4">
        <v>112</v>
      </c>
      <c r="AE855" s="4">
        <v>125</v>
      </c>
      <c r="AF855" s="4">
        <v>2</v>
      </c>
      <c r="AG855" s="4">
        <v>5</v>
      </c>
      <c r="AH855" s="4">
        <v>91</v>
      </c>
      <c r="AI855" s="4">
        <v>98</v>
      </c>
      <c r="AJ855" s="4">
        <v>19</v>
      </c>
      <c r="AK855" s="4">
        <v>22</v>
      </c>
      <c r="AL855" s="4">
        <v>48</v>
      </c>
      <c r="AM855" s="4">
        <v>52</v>
      </c>
      <c r="AN855" s="4">
        <v>0</v>
      </c>
      <c r="AO855" s="4">
        <v>0</v>
      </c>
      <c r="AP855" s="4">
        <v>30</v>
      </c>
      <c r="AQ855" s="4">
        <v>35</v>
      </c>
      <c r="AR855" s="3" t="s">
        <v>62</v>
      </c>
      <c r="AS855" s="3" t="s">
        <v>62</v>
      </c>
      <c r="AT855" s="3" t="s">
        <v>61</v>
      </c>
      <c r="AU855" s="6" t="str">
        <f>HYPERLINK("http://catalog.hathitrust.org/Record/000764435","HathiTrust Record")</f>
        <v>HathiTrust Record</v>
      </c>
      <c r="AV855" s="6" t="str">
        <f>HYPERLINK("http://mcgill.on.worldcat.org/oclc/7734300","Catalog Record")</f>
        <v>Catalog Record</v>
      </c>
      <c r="AW855" s="6" t="str">
        <f>HYPERLINK("http://www.worldcat.org/oclc/7734300","WorldCat Record")</f>
        <v>WorldCat Record</v>
      </c>
      <c r="AX855" s="3" t="s">
        <v>8264</v>
      </c>
      <c r="AY855" s="3" t="s">
        <v>8265</v>
      </c>
      <c r="AZ855" s="3" t="s">
        <v>8266</v>
      </c>
      <c r="BA855" s="3" t="s">
        <v>8266</v>
      </c>
      <c r="BB855" s="3" t="s">
        <v>8273</v>
      </c>
      <c r="BC855" s="3" t="s">
        <v>142</v>
      </c>
      <c r="BD855" s="3" t="s">
        <v>68</v>
      </c>
      <c r="BE855" s="3" t="s">
        <v>8268</v>
      </c>
      <c r="BF855" s="3" t="s">
        <v>8273</v>
      </c>
      <c r="BG855" s="3" t="s">
        <v>8274</v>
      </c>
    </row>
    <row r="856" spans="1:59" ht="57" x14ac:dyDescent="0.45">
      <c r="A856" s="2" t="s">
        <v>59</v>
      </c>
      <c r="B856" s="2" t="s">
        <v>60</v>
      </c>
      <c r="C856" s="2" t="s">
        <v>8257</v>
      </c>
      <c r="D856" s="2" t="s">
        <v>8258</v>
      </c>
      <c r="E856" s="2" t="s">
        <v>8259</v>
      </c>
      <c r="G856" s="3" t="s">
        <v>62</v>
      </c>
      <c r="I856" s="3" t="s">
        <v>61</v>
      </c>
      <c r="J856" s="3" t="s">
        <v>62</v>
      </c>
      <c r="K856" s="3" t="s">
        <v>63</v>
      </c>
      <c r="L856" s="2" t="s">
        <v>8260</v>
      </c>
      <c r="M856" s="2" t="s">
        <v>8261</v>
      </c>
      <c r="N856" s="3" t="s">
        <v>157</v>
      </c>
      <c r="O856" s="2" t="s">
        <v>1748</v>
      </c>
      <c r="P856" s="3" t="s">
        <v>65</v>
      </c>
      <c r="Q856" s="2" t="s">
        <v>7204</v>
      </c>
      <c r="R856" s="3" t="s">
        <v>66</v>
      </c>
      <c r="S856" s="4">
        <v>17</v>
      </c>
      <c r="T856" s="4">
        <v>128</v>
      </c>
      <c r="U856" s="5" t="s">
        <v>8275</v>
      </c>
      <c r="V856" s="5" t="s">
        <v>8263</v>
      </c>
      <c r="W856" s="5" t="s">
        <v>67</v>
      </c>
      <c r="X856" s="5" t="s">
        <v>67</v>
      </c>
      <c r="Y856" s="4">
        <v>619</v>
      </c>
      <c r="Z856" s="4">
        <v>40</v>
      </c>
      <c r="AA856" s="4">
        <v>52</v>
      </c>
      <c r="AB856" s="4">
        <v>3</v>
      </c>
      <c r="AC856" s="4">
        <v>8</v>
      </c>
      <c r="AD856" s="4">
        <v>112</v>
      </c>
      <c r="AE856" s="4">
        <v>125</v>
      </c>
      <c r="AF856" s="4">
        <v>2</v>
      </c>
      <c r="AG856" s="4">
        <v>5</v>
      </c>
      <c r="AH856" s="4">
        <v>91</v>
      </c>
      <c r="AI856" s="4">
        <v>98</v>
      </c>
      <c r="AJ856" s="4">
        <v>19</v>
      </c>
      <c r="AK856" s="4">
        <v>22</v>
      </c>
      <c r="AL856" s="4">
        <v>48</v>
      </c>
      <c r="AM856" s="4">
        <v>52</v>
      </c>
      <c r="AN856" s="4">
        <v>0</v>
      </c>
      <c r="AO856" s="4">
        <v>0</v>
      </c>
      <c r="AP856" s="4">
        <v>30</v>
      </c>
      <c r="AQ856" s="4">
        <v>35</v>
      </c>
      <c r="AR856" s="3" t="s">
        <v>62</v>
      </c>
      <c r="AS856" s="3" t="s">
        <v>62</v>
      </c>
      <c r="AT856" s="3" t="s">
        <v>61</v>
      </c>
      <c r="AU856" s="6" t="str">
        <f>HYPERLINK("http://catalog.hathitrust.org/Record/000764435","HathiTrust Record")</f>
        <v>HathiTrust Record</v>
      </c>
      <c r="AV856" s="6" t="str">
        <f>HYPERLINK("http://mcgill.on.worldcat.org/oclc/7734300","Catalog Record")</f>
        <v>Catalog Record</v>
      </c>
      <c r="AW856" s="6" t="str">
        <f>HYPERLINK("http://www.worldcat.org/oclc/7734300","WorldCat Record")</f>
        <v>WorldCat Record</v>
      </c>
      <c r="AX856" s="3" t="s">
        <v>8264</v>
      </c>
      <c r="AY856" s="3" t="s">
        <v>8265</v>
      </c>
      <c r="AZ856" s="3" t="s">
        <v>8266</v>
      </c>
      <c r="BA856" s="3" t="s">
        <v>8266</v>
      </c>
      <c r="BB856" s="3" t="s">
        <v>8276</v>
      </c>
      <c r="BC856" s="3" t="s">
        <v>142</v>
      </c>
      <c r="BD856" s="3" t="s">
        <v>68</v>
      </c>
      <c r="BE856" s="3" t="s">
        <v>8268</v>
      </c>
      <c r="BF856" s="3" t="s">
        <v>8276</v>
      </c>
      <c r="BG856" s="3" t="s">
        <v>8277</v>
      </c>
    </row>
    <row r="857" spans="1:59" ht="57" x14ac:dyDescent="0.45">
      <c r="A857" s="2" t="s">
        <v>59</v>
      </c>
      <c r="B857" s="2" t="s">
        <v>60</v>
      </c>
      <c r="C857" s="2" t="s">
        <v>8257</v>
      </c>
      <c r="D857" s="2" t="s">
        <v>8258</v>
      </c>
      <c r="E857" s="2" t="s">
        <v>8259</v>
      </c>
      <c r="G857" s="3" t="s">
        <v>62</v>
      </c>
      <c r="I857" s="3" t="s">
        <v>61</v>
      </c>
      <c r="J857" s="3" t="s">
        <v>62</v>
      </c>
      <c r="K857" s="3" t="s">
        <v>63</v>
      </c>
      <c r="L857" s="2" t="s">
        <v>8260</v>
      </c>
      <c r="M857" s="2" t="s">
        <v>8261</v>
      </c>
      <c r="N857" s="3" t="s">
        <v>157</v>
      </c>
      <c r="O857" s="2" t="s">
        <v>1748</v>
      </c>
      <c r="P857" s="3" t="s">
        <v>65</v>
      </c>
      <c r="Q857" s="2" t="s">
        <v>7204</v>
      </c>
      <c r="R857" s="3" t="s">
        <v>66</v>
      </c>
      <c r="S857" s="4">
        <v>10</v>
      </c>
      <c r="T857" s="4">
        <v>128</v>
      </c>
      <c r="U857" s="5" t="s">
        <v>8278</v>
      </c>
      <c r="V857" s="5" t="s">
        <v>8263</v>
      </c>
      <c r="W857" s="5" t="s">
        <v>67</v>
      </c>
      <c r="X857" s="5" t="s">
        <v>67</v>
      </c>
      <c r="Y857" s="4">
        <v>619</v>
      </c>
      <c r="Z857" s="4">
        <v>40</v>
      </c>
      <c r="AA857" s="4">
        <v>52</v>
      </c>
      <c r="AB857" s="4">
        <v>3</v>
      </c>
      <c r="AC857" s="4">
        <v>8</v>
      </c>
      <c r="AD857" s="4">
        <v>112</v>
      </c>
      <c r="AE857" s="4">
        <v>125</v>
      </c>
      <c r="AF857" s="4">
        <v>2</v>
      </c>
      <c r="AG857" s="4">
        <v>5</v>
      </c>
      <c r="AH857" s="4">
        <v>91</v>
      </c>
      <c r="AI857" s="4">
        <v>98</v>
      </c>
      <c r="AJ857" s="4">
        <v>19</v>
      </c>
      <c r="AK857" s="4">
        <v>22</v>
      </c>
      <c r="AL857" s="4">
        <v>48</v>
      </c>
      <c r="AM857" s="4">
        <v>52</v>
      </c>
      <c r="AN857" s="4">
        <v>0</v>
      </c>
      <c r="AO857" s="4">
        <v>0</v>
      </c>
      <c r="AP857" s="4">
        <v>30</v>
      </c>
      <c r="AQ857" s="4">
        <v>35</v>
      </c>
      <c r="AR857" s="3" t="s">
        <v>62</v>
      </c>
      <c r="AS857" s="3" t="s">
        <v>62</v>
      </c>
      <c r="AT857" s="3" t="s">
        <v>61</v>
      </c>
      <c r="AU857" s="6" t="str">
        <f>HYPERLINK("http://catalog.hathitrust.org/Record/000764435","HathiTrust Record")</f>
        <v>HathiTrust Record</v>
      </c>
      <c r="AV857" s="6" t="str">
        <f>HYPERLINK("http://mcgill.on.worldcat.org/oclc/7734300","Catalog Record")</f>
        <v>Catalog Record</v>
      </c>
      <c r="AW857" s="6" t="str">
        <f>HYPERLINK("http://www.worldcat.org/oclc/7734300","WorldCat Record")</f>
        <v>WorldCat Record</v>
      </c>
      <c r="AX857" s="3" t="s">
        <v>8264</v>
      </c>
      <c r="AY857" s="3" t="s">
        <v>8265</v>
      </c>
      <c r="AZ857" s="3" t="s">
        <v>8266</v>
      </c>
      <c r="BA857" s="3" t="s">
        <v>8266</v>
      </c>
      <c r="BB857" s="3" t="s">
        <v>8279</v>
      </c>
      <c r="BC857" s="3" t="s">
        <v>142</v>
      </c>
      <c r="BD857" s="3" t="s">
        <v>68</v>
      </c>
      <c r="BE857" s="3" t="s">
        <v>8268</v>
      </c>
      <c r="BF857" s="3" t="s">
        <v>8279</v>
      </c>
      <c r="BG857" s="3" t="s">
        <v>8280</v>
      </c>
    </row>
    <row r="858" spans="1:59" ht="57" x14ac:dyDescent="0.45">
      <c r="A858" s="2" t="s">
        <v>59</v>
      </c>
      <c r="B858" s="2" t="s">
        <v>412</v>
      </c>
      <c r="C858" s="2" t="s">
        <v>8281</v>
      </c>
      <c r="D858" s="2" t="s">
        <v>8282</v>
      </c>
      <c r="E858" s="2" t="s">
        <v>8283</v>
      </c>
      <c r="G858" s="3" t="s">
        <v>62</v>
      </c>
      <c r="I858" s="3" t="s">
        <v>62</v>
      </c>
      <c r="J858" s="3" t="s">
        <v>62</v>
      </c>
      <c r="K858" s="3" t="s">
        <v>63</v>
      </c>
      <c r="M858" s="2" t="s">
        <v>8284</v>
      </c>
      <c r="N858" s="3" t="s">
        <v>106</v>
      </c>
      <c r="P858" s="3" t="s">
        <v>65</v>
      </c>
      <c r="Q858" s="2" t="s">
        <v>7366</v>
      </c>
      <c r="R858" s="3" t="s">
        <v>66</v>
      </c>
      <c r="S858" s="4">
        <v>36</v>
      </c>
      <c r="T858" s="4">
        <v>36</v>
      </c>
      <c r="U858" s="5" t="s">
        <v>6557</v>
      </c>
      <c r="V858" s="5" t="s">
        <v>6557</v>
      </c>
      <c r="W858" s="5" t="s">
        <v>67</v>
      </c>
      <c r="X858" s="5" t="s">
        <v>67</v>
      </c>
      <c r="Y858" s="4">
        <v>411</v>
      </c>
      <c r="Z858" s="4">
        <v>23</v>
      </c>
      <c r="AA858" s="4">
        <v>29</v>
      </c>
      <c r="AB858" s="4">
        <v>2</v>
      </c>
      <c r="AC858" s="4">
        <v>8</v>
      </c>
      <c r="AD858" s="4">
        <v>88</v>
      </c>
      <c r="AE858" s="4">
        <v>92</v>
      </c>
      <c r="AF858" s="4">
        <v>1</v>
      </c>
      <c r="AG858" s="4">
        <v>3</v>
      </c>
      <c r="AH858" s="4">
        <v>77</v>
      </c>
      <c r="AI858" s="4">
        <v>80</v>
      </c>
      <c r="AJ858" s="4">
        <v>13</v>
      </c>
      <c r="AK858" s="4">
        <v>15</v>
      </c>
      <c r="AL858" s="4">
        <v>42</v>
      </c>
      <c r="AM858" s="4">
        <v>42</v>
      </c>
      <c r="AN858" s="4">
        <v>0</v>
      </c>
      <c r="AO858" s="4">
        <v>0</v>
      </c>
      <c r="AP858" s="4">
        <v>17</v>
      </c>
      <c r="AQ858" s="4">
        <v>19</v>
      </c>
      <c r="AR858" s="3" t="s">
        <v>62</v>
      </c>
      <c r="AS858" s="3" t="s">
        <v>62</v>
      </c>
      <c r="AT858" s="3" t="s">
        <v>61</v>
      </c>
      <c r="AU858" s="6" t="str">
        <f>HYPERLINK("http://catalog.hathitrust.org/Record/007117967","HathiTrust Record")</f>
        <v>HathiTrust Record</v>
      </c>
      <c r="AV858" s="6" t="str">
        <f>HYPERLINK("http://mcgill.on.worldcat.org/oclc/9111016","Catalog Record")</f>
        <v>Catalog Record</v>
      </c>
      <c r="AW858" s="6" t="str">
        <f>HYPERLINK("http://www.worldcat.org/oclc/9111016","WorldCat Record")</f>
        <v>WorldCat Record</v>
      </c>
      <c r="AX858" s="3" t="s">
        <v>8285</v>
      </c>
      <c r="AY858" s="3" t="s">
        <v>8286</v>
      </c>
      <c r="AZ858" s="3" t="s">
        <v>8287</v>
      </c>
      <c r="BA858" s="3" t="s">
        <v>8287</v>
      </c>
      <c r="BB858" s="3" t="s">
        <v>8288</v>
      </c>
      <c r="BC858" s="3" t="s">
        <v>142</v>
      </c>
      <c r="BD858" s="3" t="s">
        <v>68</v>
      </c>
      <c r="BE858" s="3" t="s">
        <v>8289</v>
      </c>
      <c r="BF858" s="3" t="s">
        <v>8288</v>
      </c>
      <c r="BG858" s="3" t="s">
        <v>8290</v>
      </c>
    </row>
    <row r="859" spans="1:59" ht="57" x14ac:dyDescent="0.45">
      <c r="A859" s="2" t="s">
        <v>59</v>
      </c>
      <c r="B859" s="2" t="s">
        <v>60</v>
      </c>
      <c r="C859" s="2" t="s">
        <v>8291</v>
      </c>
      <c r="D859" s="2" t="s">
        <v>8292</v>
      </c>
      <c r="E859" s="2" t="s">
        <v>8293</v>
      </c>
      <c r="G859" s="3" t="s">
        <v>62</v>
      </c>
      <c r="I859" s="3" t="s">
        <v>62</v>
      </c>
      <c r="J859" s="3" t="s">
        <v>62</v>
      </c>
      <c r="K859" s="3" t="s">
        <v>63</v>
      </c>
      <c r="M859" s="2" t="s">
        <v>8294</v>
      </c>
      <c r="N859" s="3" t="s">
        <v>1478</v>
      </c>
      <c r="P859" s="3" t="s">
        <v>65</v>
      </c>
      <c r="Q859" s="2" t="s">
        <v>8295</v>
      </c>
      <c r="R859" s="3" t="s">
        <v>66</v>
      </c>
      <c r="S859" s="4">
        <v>40</v>
      </c>
      <c r="T859" s="4">
        <v>40</v>
      </c>
      <c r="U859" s="5" t="s">
        <v>8296</v>
      </c>
      <c r="V859" s="5" t="s">
        <v>8296</v>
      </c>
      <c r="W859" s="5" t="s">
        <v>67</v>
      </c>
      <c r="X859" s="5" t="s">
        <v>67</v>
      </c>
      <c r="Y859" s="4">
        <v>295</v>
      </c>
      <c r="Z859" s="4">
        <v>18</v>
      </c>
      <c r="AA859" s="4">
        <v>20</v>
      </c>
      <c r="AB859" s="4">
        <v>2</v>
      </c>
      <c r="AC859" s="4">
        <v>4</v>
      </c>
      <c r="AD859" s="4">
        <v>77</v>
      </c>
      <c r="AE859" s="4">
        <v>79</v>
      </c>
      <c r="AF859" s="4">
        <v>1</v>
      </c>
      <c r="AG859" s="4">
        <v>3</v>
      </c>
      <c r="AH859" s="4">
        <v>66</v>
      </c>
      <c r="AI859" s="4">
        <v>67</v>
      </c>
      <c r="AJ859" s="4">
        <v>12</v>
      </c>
      <c r="AK859" s="4">
        <v>14</v>
      </c>
      <c r="AL859" s="4">
        <v>40</v>
      </c>
      <c r="AM859" s="4">
        <v>40</v>
      </c>
      <c r="AN859" s="4">
        <v>0</v>
      </c>
      <c r="AO859" s="4">
        <v>0</v>
      </c>
      <c r="AP859" s="4">
        <v>14</v>
      </c>
      <c r="AQ859" s="4">
        <v>16</v>
      </c>
      <c r="AR859" s="3" t="s">
        <v>62</v>
      </c>
      <c r="AS859" s="3" t="s">
        <v>62</v>
      </c>
      <c r="AT859" s="3" t="s">
        <v>62</v>
      </c>
      <c r="AV859" s="6" t="str">
        <f>HYPERLINK("http://mcgill.on.worldcat.org/oclc/36556111","Catalog Record")</f>
        <v>Catalog Record</v>
      </c>
      <c r="AW859" s="6" t="str">
        <f>HYPERLINK("http://www.worldcat.org/oclc/36556111","WorldCat Record")</f>
        <v>WorldCat Record</v>
      </c>
      <c r="AX859" s="3" t="s">
        <v>8297</v>
      </c>
      <c r="AY859" s="3" t="s">
        <v>8298</v>
      </c>
      <c r="AZ859" s="3" t="s">
        <v>8299</v>
      </c>
      <c r="BA859" s="3" t="s">
        <v>8299</v>
      </c>
      <c r="BB859" s="3" t="s">
        <v>8300</v>
      </c>
      <c r="BC859" s="3" t="s">
        <v>142</v>
      </c>
      <c r="BD859" s="3" t="s">
        <v>68</v>
      </c>
      <c r="BE859" s="3" t="s">
        <v>8301</v>
      </c>
      <c r="BF859" s="3" t="s">
        <v>8300</v>
      </c>
      <c r="BG859" s="3" t="s">
        <v>8302</v>
      </c>
    </row>
    <row r="860" spans="1:59" ht="57" x14ac:dyDescent="0.45">
      <c r="A860" s="2" t="s">
        <v>59</v>
      </c>
      <c r="B860" s="2" t="s">
        <v>60</v>
      </c>
      <c r="C860" s="2" t="s">
        <v>8303</v>
      </c>
      <c r="D860" s="2" t="s">
        <v>8304</v>
      </c>
      <c r="E860" s="2" t="s">
        <v>8305</v>
      </c>
      <c r="G860" s="3" t="s">
        <v>62</v>
      </c>
      <c r="I860" s="3" t="s">
        <v>62</v>
      </c>
      <c r="J860" s="3" t="s">
        <v>62</v>
      </c>
      <c r="K860" s="3" t="s">
        <v>63</v>
      </c>
      <c r="M860" s="2" t="s">
        <v>8306</v>
      </c>
      <c r="N860" s="3" t="s">
        <v>894</v>
      </c>
      <c r="P860" s="3" t="s">
        <v>65</v>
      </c>
      <c r="R860" s="3" t="s">
        <v>66</v>
      </c>
      <c r="S860" s="4">
        <v>7</v>
      </c>
      <c r="T860" s="4">
        <v>7</v>
      </c>
      <c r="U860" s="5" t="s">
        <v>8307</v>
      </c>
      <c r="V860" s="5" t="s">
        <v>8307</v>
      </c>
      <c r="W860" s="5" t="s">
        <v>67</v>
      </c>
      <c r="X860" s="5" t="s">
        <v>67</v>
      </c>
      <c r="Y860" s="4">
        <v>89</v>
      </c>
      <c r="Z860" s="4">
        <v>15</v>
      </c>
      <c r="AA860" s="4">
        <v>89</v>
      </c>
      <c r="AB860" s="4">
        <v>2</v>
      </c>
      <c r="AC860" s="4">
        <v>17</v>
      </c>
      <c r="AD860" s="4">
        <v>33</v>
      </c>
      <c r="AE860" s="4">
        <v>97</v>
      </c>
      <c r="AF860" s="4">
        <v>1</v>
      </c>
      <c r="AG860" s="4">
        <v>8</v>
      </c>
      <c r="AH860" s="4">
        <v>30</v>
      </c>
      <c r="AI860" s="4">
        <v>64</v>
      </c>
      <c r="AJ860" s="4">
        <v>11</v>
      </c>
      <c r="AK860" s="4">
        <v>21</v>
      </c>
      <c r="AL860" s="4">
        <v>17</v>
      </c>
      <c r="AM860" s="4">
        <v>33</v>
      </c>
      <c r="AN860" s="4">
        <v>0</v>
      </c>
      <c r="AO860" s="4">
        <v>0</v>
      </c>
      <c r="AP860" s="4">
        <v>11</v>
      </c>
      <c r="AQ860" s="4">
        <v>42</v>
      </c>
      <c r="AR860" s="3" t="s">
        <v>62</v>
      </c>
      <c r="AS860" s="3" t="s">
        <v>62</v>
      </c>
      <c r="AT860" s="3" t="s">
        <v>62</v>
      </c>
      <c r="AV860" s="6" t="str">
        <f>HYPERLINK("http://mcgill.on.worldcat.org/oclc/668198430","Catalog Record")</f>
        <v>Catalog Record</v>
      </c>
      <c r="AW860" s="6" t="str">
        <f>HYPERLINK("http://www.worldcat.org/oclc/668198430","WorldCat Record")</f>
        <v>WorldCat Record</v>
      </c>
      <c r="AX860" s="3" t="s">
        <v>8308</v>
      </c>
      <c r="AY860" s="3" t="s">
        <v>8309</v>
      </c>
      <c r="AZ860" s="3" t="s">
        <v>8310</v>
      </c>
      <c r="BA860" s="3" t="s">
        <v>8310</v>
      </c>
      <c r="BB860" s="3" t="s">
        <v>8311</v>
      </c>
      <c r="BC860" s="3" t="s">
        <v>142</v>
      </c>
      <c r="BD860" s="3" t="s">
        <v>68</v>
      </c>
      <c r="BE860" s="3" t="s">
        <v>8312</v>
      </c>
      <c r="BF860" s="3" t="s">
        <v>8311</v>
      </c>
      <c r="BG860" s="3" t="s">
        <v>8313</v>
      </c>
    </row>
    <row r="861" spans="1:59" ht="57" x14ac:dyDescent="0.45">
      <c r="A861" s="2" t="s">
        <v>59</v>
      </c>
      <c r="B861" s="2" t="s">
        <v>60</v>
      </c>
      <c r="C861" s="2" t="s">
        <v>8314</v>
      </c>
      <c r="D861" s="2" t="s">
        <v>8315</v>
      </c>
      <c r="E861" s="2" t="s">
        <v>8316</v>
      </c>
      <c r="G861" s="3" t="s">
        <v>62</v>
      </c>
      <c r="I861" s="3" t="s">
        <v>62</v>
      </c>
      <c r="J861" s="3" t="s">
        <v>62</v>
      </c>
      <c r="K861" s="3" t="s">
        <v>63</v>
      </c>
      <c r="M861" s="2" t="s">
        <v>3350</v>
      </c>
      <c r="N861" s="3" t="s">
        <v>894</v>
      </c>
      <c r="P861" s="3" t="s">
        <v>65</v>
      </c>
      <c r="Q861" s="2" t="s">
        <v>8317</v>
      </c>
      <c r="R861" s="3" t="s">
        <v>66</v>
      </c>
      <c r="S861" s="4">
        <v>2</v>
      </c>
      <c r="T861" s="4">
        <v>2</v>
      </c>
      <c r="U861" s="5" t="s">
        <v>8318</v>
      </c>
      <c r="V861" s="5" t="s">
        <v>8318</v>
      </c>
      <c r="W861" s="5" t="s">
        <v>67</v>
      </c>
      <c r="X861" s="5" t="s">
        <v>67</v>
      </c>
      <c r="Y861" s="4">
        <v>142</v>
      </c>
      <c r="Z861" s="4">
        <v>15</v>
      </c>
      <c r="AA861" s="4">
        <v>18</v>
      </c>
      <c r="AB861" s="4">
        <v>2</v>
      </c>
      <c r="AC861" s="4">
        <v>5</v>
      </c>
      <c r="AD861" s="4">
        <v>58</v>
      </c>
      <c r="AE861" s="4">
        <v>60</v>
      </c>
      <c r="AF861" s="4">
        <v>1</v>
      </c>
      <c r="AG861" s="4">
        <v>2</v>
      </c>
      <c r="AH861" s="4">
        <v>55</v>
      </c>
      <c r="AI861" s="4">
        <v>56</v>
      </c>
      <c r="AJ861" s="4">
        <v>10</v>
      </c>
      <c r="AK861" s="4">
        <v>11</v>
      </c>
      <c r="AL861" s="4">
        <v>29</v>
      </c>
      <c r="AM861" s="4">
        <v>29</v>
      </c>
      <c r="AN861" s="4">
        <v>0</v>
      </c>
      <c r="AO861" s="4">
        <v>0</v>
      </c>
      <c r="AP861" s="4">
        <v>11</v>
      </c>
      <c r="AQ861" s="4">
        <v>12</v>
      </c>
      <c r="AR861" s="3" t="s">
        <v>62</v>
      </c>
      <c r="AS861" s="3" t="s">
        <v>62</v>
      </c>
      <c r="AT861" s="3" t="s">
        <v>62</v>
      </c>
      <c r="AV861" s="6" t="str">
        <f>HYPERLINK("http://mcgill.on.worldcat.org/oclc/700205702","Catalog Record")</f>
        <v>Catalog Record</v>
      </c>
      <c r="AW861" s="6" t="str">
        <f>HYPERLINK("http://www.worldcat.org/oclc/700205702","WorldCat Record")</f>
        <v>WorldCat Record</v>
      </c>
      <c r="AX861" s="3" t="s">
        <v>8319</v>
      </c>
      <c r="AY861" s="3" t="s">
        <v>8320</v>
      </c>
      <c r="AZ861" s="3" t="s">
        <v>8321</v>
      </c>
      <c r="BA861" s="3" t="s">
        <v>8321</v>
      </c>
      <c r="BB861" s="3" t="s">
        <v>8322</v>
      </c>
      <c r="BC861" s="3" t="s">
        <v>142</v>
      </c>
      <c r="BD861" s="3" t="s">
        <v>68</v>
      </c>
      <c r="BE861" s="3" t="s">
        <v>8323</v>
      </c>
      <c r="BF861" s="3" t="s">
        <v>8322</v>
      </c>
      <c r="BG861" s="3" t="s">
        <v>8324</v>
      </c>
    </row>
    <row r="862" spans="1:59" ht="57" x14ac:dyDescent="0.45">
      <c r="A862" s="2" t="s">
        <v>59</v>
      </c>
      <c r="B862" s="2" t="s">
        <v>60</v>
      </c>
      <c r="C862" s="2" t="s">
        <v>8325</v>
      </c>
      <c r="D862" s="2" t="s">
        <v>8326</v>
      </c>
      <c r="E862" s="2" t="s">
        <v>8327</v>
      </c>
      <c r="G862" s="3" t="s">
        <v>62</v>
      </c>
      <c r="I862" s="3" t="s">
        <v>62</v>
      </c>
      <c r="J862" s="3" t="s">
        <v>62</v>
      </c>
      <c r="K862" s="3" t="s">
        <v>63</v>
      </c>
      <c r="M862" s="2" t="s">
        <v>8328</v>
      </c>
      <c r="N862" s="3" t="s">
        <v>1465</v>
      </c>
      <c r="P862" s="3" t="s">
        <v>65</v>
      </c>
      <c r="Q862" s="2" t="s">
        <v>1782</v>
      </c>
      <c r="R862" s="3" t="s">
        <v>66</v>
      </c>
      <c r="S862" s="4">
        <v>5</v>
      </c>
      <c r="T862" s="4">
        <v>5</v>
      </c>
      <c r="U862" s="5" t="s">
        <v>8329</v>
      </c>
      <c r="V862" s="5" t="s">
        <v>8329</v>
      </c>
      <c r="W862" s="5" t="s">
        <v>67</v>
      </c>
      <c r="X862" s="5" t="s">
        <v>67</v>
      </c>
      <c r="Y862" s="4">
        <v>95</v>
      </c>
      <c r="Z862" s="4">
        <v>15</v>
      </c>
      <c r="AA862" s="4">
        <v>94</v>
      </c>
      <c r="AB862" s="4">
        <v>2</v>
      </c>
      <c r="AC862" s="4">
        <v>18</v>
      </c>
      <c r="AD862" s="4">
        <v>41</v>
      </c>
      <c r="AE862" s="4">
        <v>112</v>
      </c>
      <c r="AF862" s="4">
        <v>0</v>
      </c>
      <c r="AG862" s="4">
        <v>8</v>
      </c>
      <c r="AH862" s="4">
        <v>38</v>
      </c>
      <c r="AI862" s="4">
        <v>76</v>
      </c>
      <c r="AJ862" s="4">
        <v>9</v>
      </c>
      <c r="AK862" s="4">
        <v>20</v>
      </c>
      <c r="AL862" s="4">
        <v>24</v>
      </c>
      <c r="AM862" s="4">
        <v>39</v>
      </c>
      <c r="AN862" s="4">
        <v>0</v>
      </c>
      <c r="AO862" s="4">
        <v>0</v>
      </c>
      <c r="AP862" s="4">
        <v>11</v>
      </c>
      <c r="AQ862" s="4">
        <v>42</v>
      </c>
      <c r="AR862" s="3" t="s">
        <v>62</v>
      </c>
      <c r="AS862" s="3" t="s">
        <v>62</v>
      </c>
      <c r="AT862" s="3" t="s">
        <v>62</v>
      </c>
      <c r="AV862" s="6" t="str">
        <f>HYPERLINK("http://mcgill.on.worldcat.org/oclc/277203863","Catalog Record")</f>
        <v>Catalog Record</v>
      </c>
      <c r="AW862" s="6" t="str">
        <f>HYPERLINK("http://www.worldcat.org/oclc/277203863","WorldCat Record")</f>
        <v>WorldCat Record</v>
      </c>
      <c r="AX862" s="3" t="s">
        <v>8330</v>
      </c>
      <c r="AY862" s="3" t="s">
        <v>8331</v>
      </c>
      <c r="AZ862" s="3" t="s">
        <v>8332</v>
      </c>
      <c r="BA862" s="3" t="s">
        <v>8332</v>
      </c>
      <c r="BB862" s="3" t="s">
        <v>8333</v>
      </c>
      <c r="BC862" s="3" t="s">
        <v>142</v>
      </c>
      <c r="BD862" s="3" t="s">
        <v>68</v>
      </c>
      <c r="BE862" s="3" t="s">
        <v>8334</v>
      </c>
      <c r="BF862" s="3" t="s">
        <v>8333</v>
      </c>
      <c r="BG862" s="3" t="s">
        <v>8335</v>
      </c>
    </row>
    <row r="863" spans="1:59" ht="57" x14ac:dyDescent="0.45">
      <c r="A863" s="2" t="s">
        <v>59</v>
      </c>
      <c r="B863" s="2" t="s">
        <v>60</v>
      </c>
      <c r="C863" s="2" t="s">
        <v>8336</v>
      </c>
      <c r="D863" s="2" t="s">
        <v>8337</v>
      </c>
      <c r="E863" s="2" t="s">
        <v>8338</v>
      </c>
      <c r="G863" s="3" t="s">
        <v>62</v>
      </c>
      <c r="I863" s="3" t="s">
        <v>62</v>
      </c>
      <c r="J863" s="3" t="s">
        <v>62</v>
      </c>
      <c r="K863" s="3" t="s">
        <v>63</v>
      </c>
      <c r="L863" s="2" t="s">
        <v>8339</v>
      </c>
      <c r="M863" s="2" t="s">
        <v>8340</v>
      </c>
      <c r="N863" s="3" t="s">
        <v>117</v>
      </c>
      <c r="P863" s="3" t="s">
        <v>65</v>
      </c>
      <c r="R863" s="3" t="s">
        <v>66</v>
      </c>
      <c r="S863" s="4">
        <v>38</v>
      </c>
      <c r="T863" s="4">
        <v>38</v>
      </c>
      <c r="U863" s="5" t="s">
        <v>8341</v>
      </c>
      <c r="V863" s="5" t="s">
        <v>8341</v>
      </c>
      <c r="W863" s="5" t="s">
        <v>67</v>
      </c>
      <c r="X863" s="5" t="s">
        <v>67</v>
      </c>
      <c r="Y863" s="4">
        <v>363</v>
      </c>
      <c r="Z863" s="4">
        <v>23</v>
      </c>
      <c r="AA863" s="4">
        <v>33</v>
      </c>
      <c r="AB863" s="4">
        <v>2</v>
      </c>
      <c r="AC863" s="4">
        <v>8</v>
      </c>
      <c r="AD863" s="4">
        <v>88</v>
      </c>
      <c r="AE863" s="4">
        <v>99</v>
      </c>
      <c r="AF863" s="4">
        <v>1</v>
      </c>
      <c r="AG863" s="4">
        <v>5</v>
      </c>
      <c r="AH863" s="4">
        <v>79</v>
      </c>
      <c r="AI863" s="4">
        <v>85</v>
      </c>
      <c r="AJ863" s="4">
        <v>14</v>
      </c>
      <c r="AK863" s="4">
        <v>20</v>
      </c>
      <c r="AL863" s="4">
        <v>42</v>
      </c>
      <c r="AM863" s="4">
        <v>43</v>
      </c>
      <c r="AN863" s="4">
        <v>0</v>
      </c>
      <c r="AO863" s="4">
        <v>0</v>
      </c>
      <c r="AP863" s="4">
        <v>16</v>
      </c>
      <c r="AQ863" s="4">
        <v>23</v>
      </c>
      <c r="AR863" s="3" t="s">
        <v>62</v>
      </c>
      <c r="AS863" s="3" t="s">
        <v>62</v>
      </c>
      <c r="AT863" s="3" t="s">
        <v>61</v>
      </c>
      <c r="AU863" s="6" t="str">
        <f>HYPERLINK("http://catalog.hathitrust.org/Record/007116229","HathiTrust Record")</f>
        <v>HathiTrust Record</v>
      </c>
      <c r="AV863" s="6" t="str">
        <f>HYPERLINK("http://mcgill.on.worldcat.org/oclc/5831337","Catalog Record")</f>
        <v>Catalog Record</v>
      </c>
      <c r="AW863" s="6" t="str">
        <f>HYPERLINK("http://www.worldcat.org/oclc/5831337","WorldCat Record")</f>
        <v>WorldCat Record</v>
      </c>
      <c r="AX863" s="3" t="s">
        <v>8342</v>
      </c>
      <c r="AY863" s="3" t="s">
        <v>8343</v>
      </c>
      <c r="AZ863" s="3" t="s">
        <v>8344</v>
      </c>
      <c r="BA863" s="3" t="s">
        <v>8344</v>
      </c>
      <c r="BB863" s="3" t="s">
        <v>8345</v>
      </c>
      <c r="BC863" s="3" t="s">
        <v>142</v>
      </c>
      <c r="BD863" s="3" t="s">
        <v>68</v>
      </c>
      <c r="BE863" s="3" t="s">
        <v>8346</v>
      </c>
      <c r="BF863" s="3" t="s">
        <v>8345</v>
      </c>
      <c r="BG863" s="3" t="s">
        <v>8347</v>
      </c>
    </row>
    <row r="864" spans="1:59" ht="57" x14ac:dyDescent="0.45">
      <c r="A864" s="2" t="s">
        <v>59</v>
      </c>
      <c r="B864" s="2" t="s">
        <v>60</v>
      </c>
      <c r="C864" s="2" t="s">
        <v>8348</v>
      </c>
      <c r="D864" s="2" t="s">
        <v>8349</v>
      </c>
      <c r="E864" s="2" t="s">
        <v>8350</v>
      </c>
      <c r="G864" s="3" t="s">
        <v>62</v>
      </c>
      <c r="I864" s="3" t="s">
        <v>62</v>
      </c>
      <c r="J864" s="3" t="s">
        <v>62</v>
      </c>
      <c r="K864" s="3" t="s">
        <v>63</v>
      </c>
      <c r="M864" s="2" t="s">
        <v>8351</v>
      </c>
      <c r="N864" s="3" t="s">
        <v>568</v>
      </c>
      <c r="P864" s="3" t="s">
        <v>65</v>
      </c>
      <c r="Q864" s="2" t="s">
        <v>7204</v>
      </c>
      <c r="R864" s="3" t="s">
        <v>66</v>
      </c>
      <c r="S864" s="4">
        <v>47</v>
      </c>
      <c r="T864" s="4">
        <v>47</v>
      </c>
      <c r="U864" s="5" t="s">
        <v>8352</v>
      </c>
      <c r="V864" s="5" t="s">
        <v>8352</v>
      </c>
      <c r="W864" s="5" t="s">
        <v>67</v>
      </c>
      <c r="X864" s="5" t="s">
        <v>67</v>
      </c>
      <c r="Y864" s="4">
        <v>329</v>
      </c>
      <c r="Z864" s="4">
        <v>27</v>
      </c>
      <c r="AA864" s="4">
        <v>32</v>
      </c>
      <c r="AB864" s="4">
        <v>2</v>
      </c>
      <c r="AC864" s="4">
        <v>5</v>
      </c>
      <c r="AD864" s="4">
        <v>68</v>
      </c>
      <c r="AE864" s="4">
        <v>73</v>
      </c>
      <c r="AF864" s="4">
        <v>1</v>
      </c>
      <c r="AG864" s="4">
        <v>3</v>
      </c>
      <c r="AH864" s="4">
        <v>55</v>
      </c>
      <c r="AI864" s="4">
        <v>59</v>
      </c>
      <c r="AJ864" s="4">
        <v>13</v>
      </c>
      <c r="AK864" s="4">
        <v>15</v>
      </c>
      <c r="AL864" s="4">
        <v>28</v>
      </c>
      <c r="AM864" s="4">
        <v>30</v>
      </c>
      <c r="AN864" s="4">
        <v>0</v>
      </c>
      <c r="AO864" s="4">
        <v>0</v>
      </c>
      <c r="AP864" s="4">
        <v>20</v>
      </c>
      <c r="AQ864" s="4">
        <v>22</v>
      </c>
      <c r="AR864" s="3" t="s">
        <v>62</v>
      </c>
      <c r="AS864" s="3" t="s">
        <v>62</v>
      </c>
      <c r="AT864" s="3" t="s">
        <v>61</v>
      </c>
      <c r="AU864" s="6" t="str">
        <f>HYPERLINK("http://catalog.hathitrust.org/Record/009801084","HathiTrust Record")</f>
        <v>HathiTrust Record</v>
      </c>
      <c r="AV864" s="6" t="str">
        <f>HYPERLINK("http://mcgill.on.worldcat.org/oclc/13668548","Catalog Record")</f>
        <v>Catalog Record</v>
      </c>
      <c r="AW864" s="6" t="str">
        <f>HYPERLINK("http://www.worldcat.org/oclc/13668548","WorldCat Record")</f>
        <v>WorldCat Record</v>
      </c>
      <c r="AX864" s="3" t="s">
        <v>8353</v>
      </c>
      <c r="AY864" s="3" t="s">
        <v>8354</v>
      </c>
      <c r="AZ864" s="3" t="s">
        <v>8355</v>
      </c>
      <c r="BA864" s="3" t="s">
        <v>8355</v>
      </c>
      <c r="BB864" s="3" t="s">
        <v>8356</v>
      </c>
      <c r="BC864" s="3" t="s">
        <v>142</v>
      </c>
      <c r="BD864" s="3" t="s">
        <v>68</v>
      </c>
      <c r="BE864" s="3" t="s">
        <v>8357</v>
      </c>
      <c r="BF864" s="3" t="s">
        <v>8356</v>
      </c>
      <c r="BG864" s="3" t="s">
        <v>8358</v>
      </c>
    </row>
    <row r="865" spans="1:59" ht="57" x14ac:dyDescent="0.45">
      <c r="A865" s="2" t="s">
        <v>59</v>
      </c>
      <c r="B865" s="2" t="s">
        <v>60</v>
      </c>
      <c r="C865" s="2" t="s">
        <v>8359</v>
      </c>
      <c r="D865" s="2" t="s">
        <v>8360</v>
      </c>
      <c r="E865" s="2" t="s">
        <v>8361</v>
      </c>
      <c r="G865" s="3" t="s">
        <v>62</v>
      </c>
      <c r="I865" s="3" t="s">
        <v>62</v>
      </c>
      <c r="J865" s="3" t="s">
        <v>62</v>
      </c>
      <c r="K865" s="3" t="s">
        <v>63</v>
      </c>
      <c r="L865" s="2" t="s">
        <v>8362</v>
      </c>
      <c r="M865" s="2" t="s">
        <v>8363</v>
      </c>
      <c r="N865" s="3" t="s">
        <v>918</v>
      </c>
      <c r="O865" s="2" t="s">
        <v>933</v>
      </c>
      <c r="P865" s="3" t="s">
        <v>65</v>
      </c>
      <c r="Q865" s="2" t="s">
        <v>8364</v>
      </c>
      <c r="R865" s="3" t="s">
        <v>66</v>
      </c>
      <c r="S865" s="4">
        <v>18</v>
      </c>
      <c r="T865" s="4">
        <v>18</v>
      </c>
      <c r="U865" s="5" t="s">
        <v>7408</v>
      </c>
      <c r="V865" s="5" t="s">
        <v>7408</v>
      </c>
      <c r="W865" s="5" t="s">
        <v>67</v>
      </c>
      <c r="X865" s="5" t="s">
        <v>67</v>
      </c>
      <c r="Y865" s="4">
        <v>275</v>
      </c>
      <c r="Z865" s="4">
        <v>16</v>
      </c>
      <c r="AA865" s="4">
        <v>16</v>
      </c>
      <c r="AB865" s="4">
        <v>2</v>
      </c>
      <c r="AC865" s="4">
        <v>2</v>
      </c>
      <c r="AD865" s="4">
        <v>59</v>
      </c>
      <c r="AE865" s="4">
        <v>59</v>
      </c>
      <c r="AF865" s="4">
        <v>1</v>
      </c>
      <c r="AG865" s="4">
        <v>1</v>
      </c>
      <c r="AH865" s="4">
        <v>53</v>
      </c>
      <c r="AI865" s="4">
        <v>53</v>
      </c>
      <c r="AJ865" s="4">
        <v>5</v>
      </c>
      <c r="AK865" s="4">
        <v>5</v>
      </c>
      <c r="AL865" s="4">
        <v>31</v>
      </c>
      <c r="AM865" s="4">
        <v>31</v>
      </c>
      <c r="AN865" s="4">
        <v>5</v>
      </c>
      <c r="AO865" s="4">
        <v>5</v>
      </c>
      <c r="AP865" s="4">
        <v>9</v>
      </c>
      <c r="AQ865" s="4">
        <v>9</v>
      </c>
      <c r="AR865" s="3" t="s">
        <v>62</v>
      </c>
      <c r="AS865" s="3" t="s">
        <v>62</v>
      </c>
      <c r="AT865" s="3" t="s">
        <v>61</v>
      </c>
      <c r="AU865" s="6" t="str">
        <f>HYPERLINK("http://catalog.hathitrust.org/Record/102046422","HathiTrust Record")</f>
        <v>HathiTrust Record</v>
      </c>
      <c r="AV865" s="6" t="str">
        <f>HYPERLINK("http://mcgill.on.worldcat.org/oclc/51265945","Catalog Record")</f>
        <v>Catalog Record</v>
      </c>
      <c r="AW865" s="6" t="str">
        <f>HYPERLINK("http://www.worldcat.org/oclc/51265945","WorldCat Record")</f>
        <v>WorldCat Record</v>
      </c>
      <c r="AX865" s="3" t="s">
        <v>8365</v>
      </c>
      <c r="AY865" s="3" t="s">
        <v>8366</v>
      </c>
      <c r="AZ865" s="3" t="s">
        <v>8367</v>
      </c>
      <c r="BA865" s="3" t="s">
        <v>8367</v>
      </c>
      <c r="BB865" s="3" t="s">
        <v>8368</v>
      </c>
      <c r="BC865" s="3" t="s">
        <v>142</v>
      </c>
      <c r="BD865" s="3" t="s">
        <v>308</v>
      </c>
      <c r="BE865" s="3" t="s">
        <v>8369</v>
      </c>
      <c r="BF865" s="3" t="s">
        <v>8368</v>
      </c>
      <c r="BG865" s="3" t="s">
        <v>8370</v>
      </c>
    </row>
    <row r="866" spans="1:59" ht="57" x14ac:dyDescent="0.45">
      <c r="A866" s="2" t="s">
        <v>59</v>
      </c>
      <c r="B866" s="2" t="s">
        <v>60</v>
      </c>
      <c r="C866" s="2" t="s">
        <v>8371</v>
      </c>
      <c r="D866" s="2" t="s">
        <v>8372</v>
      </c>
      <c r="E866" s="2" t="s">
        <v>8373</v>
      </c>
      <c r="G866" s="3" t="s">
        <v>62</v>
      </c>
      <c r="I866" s="3" t="s">
        <v>62</v>
      </c>
      <c r="J866" s="3" t="s">
        <v>62</v>
      </c>
      <c r="K866" s="3" t="s">
        <v>63</v>
      </c>
      <c r="L866" s="2" t="s">
        <v>8374</v>
      </c>
      <c r="M866" s="2" t="s">
        <v>8375</v>
      </c>
      <c r="N866" s="3" t="s">
        <v>495</v>
      </c>
      <c r="P866" s="3" t="s">
        <v>65</v>
      </c>
      <c r="Q866" s="2" t="s">
        <v>7366</v>
      </c>
      <c r="R866" s="3" t="s">
        <v>66</v>
      </c>
      <c r="S866" s="4">
        <v>5</v>
      </c>
      <c r="T866" s="4">
        <v>5</v>
      </c>
      <c r="U866" s="5" t="s">
        <v>6989</v>
      </c>
      <c r="V866" s="5" t="s">
        <v>6989</v>
      </c>
      <c r="W866" s="5" t="s">
        <v>67</v>
      </c>
      <c r="X866" s="5" t="s">
        <v>67</v>
      </c>
      <c r="Y866" s="4">
        <v>261</v>
      </c>
      <c r="Z866" s="4">
        <v>22</v>
      </c>
      <c r="AA866" s="4">
        <v>24</v>
      </c>
      <c r="AB866" s="4">
        <v>1</v>
      </c>
      <c r="AC866" s="4">
        <v>3</v>
      </c>
      <c r="AD866" s="4">
        <v>65</v>
      </c>
      <c r="AE866" s="4">
        <v>67</v>
      </c>
      <c r="AF866" s="4">
        <v>0</v>
      </c>
      <c r="AG866" s="4">
        <v>2</v>
      </c>
      <c r="AH866" s="4">
        <v>56</v>
      </c>
      <c r="AI866" s="4">
        <v>57</v>
      </c>
      <c r="AJ866" s="4">
        <v>14</v>
      </c>
      <c r="AK866" s="4">
        <v>16</v>
      </c>
      <c r="AL866" s="4">
        <v>26</v>
      </c>
      <c r="AM866" s="4">
        <v>26</v>
      </c>
      <c r="AN866" s="4">
        <v>0</v>
      </c>
      <c r="AO866" s="4">
        <v>0</v>
      </c>
      <c r="AP866" s="4">
        <v>18</v>
      </c>
      <c r="AQ866" s="4">
        <v>20</v>
      </c>
      <c r="AR866" s="3" t="s">
        <v>62</v>
      </c>
      <c r="AS866" s="3" t="s">
        <v>62</v>
      </c>
      <c r="AT866" s="3" t="s">
        <v>61</v>
      </c>
      <c r="AU866" s="6" t="str">
        <f>HYPERLINK("http://catalog.hathitrust.org/Record/007015322","HathiTrust Record")</f>
        <v>HathiTrust Record</v>
      </c>
      <c r="AV866" s="6" t="str">
        <f>HYPERLINK("http://mcgill.on.worldcat.org/oclc/2436300","Catalog Record")</f>
        <v>Catalog Record</v>
      </c>
      <c r="AW866" s="6" t="str">
        <f>HYPERLINK("http://www.worldcat.org/oclc/2436300","WorldCat Record")</f>
        <v>WorldCat Record</v>
      </c>
      <c r="AX866" s="3" t="s">
        <v>8376</v>
      </c>
      <c r="AY866" s="3" t="s">
        <v>8377</v>
      </c>
      <c r="AZ866" s="3" t="s">
        <v>8378</v>
      </c>
      <c r="BA866" s="3" t="s">
        <v>8378</v>
      </c>
      <c r="BB866" s="3" t="s">
        <v>8379</v>
      </c>
      <c r="BC866" s="3" t="s">
        <v>142</v>
      </c>
      <c r="BD866" s="3" t="s">
        <v>68</v>
      </c>
      <c r="BE866" s="3" t="s">
        <v>8380</v>
      </c>
      <c r="BF866" s="3" t="s">
        <v>8379</v>
      </c>
      <c r="BG866" s="3" t="s">
        <v>8381</v>
      </c>
    </row>
    <row r="867" spans="1:59" ht="57" x14ac:dyDescent="0.45">
      <c r="A867" s="2" t="s">
        <v>59</v>
      </c>
      <c r="B867" s="2" t="s">
        <v>60</v>
      </c>
      <c r="C867" s="2" t="s">
        <v>8382</v>
      </c>
      <c r="D867" s="2" t="s">
        <v>8383</v>
      </c>
      <c r="E867" s="2" t="s">
        <v>8384</v>
      </c>
      <c r="G867" s="3" t="s">
        <v>62</v>
      </c>
      <c r="I867" s="3" t="s">
        <v>62</v>
      </c>
      <c r="J867" s="3" t="s">
        <v>62</v>
      </c>
      <c r="K867" s="3" t="s">
        <v>63</v>
      </c>
      <c r="L867" s="2" t="s">
        <v>8385</v>
      </c>
      <c r="M867" s="2" t="s">
        <v>7203</v>
      </c>
      <c r="N867" s="3" t="s">
        <v>3160</v>
      </c>
      <c r="P867" s="3" t="s">
        <v>65</v>
      </c>
      <c r="Q867" s="2" t="s">
        <v>7204</v>
      </c>
      <c r="R867" s="3" t="s">
        <v>66</v>
      </c>
      <c r="S867" s="4">
        <v>8</v>
      </c>
      <c r="T867" s="4">
        <v>8</v>
      </c>
      <c r="U867" s="5" t="s">
        <v>8386</v>
      </c>
      <c r="V867" s="5" t="s">
        <v>8386</v>
      </c>
      <c r="W867" s="5" t="s">
        <v>67</v>
      </c>
      <c r="X867" s="5" t="s">
        <v>67</v>
      </c>
      <c r="Y867" s="4">
        <v>336</v>
      </c>
      <c r="Z867" s="4">
        <v>22</v>
      </c>
      <c r="AA867" s="4">
        <v>25</v>
      </c>
      <c r="AB867" s="4">
        <v>2</v>
      </c>
      <c r="AC867" s="4">
        <v>5</v>
      </c>
      <c r="AD867" s="4">
        <v>81</v>
      </c>
      <c r="AE867" s="4">
        <v>84</v>
      </c>
      <c r="AF867" s="4">
        <v>1</v>
      </c>
      <c r="AG867" s="4">
        <v>4</v>
      </c>
      <c r="AH867" s="4">
        <v>71</v>
      </c>
      <c r="AI867" s="4">
        <v>72</v>
      </c>
      <c r="AJ867" s="4">
        <v>13</v>
      </c>
      <c r="AK867" s="4">
        <v>16</v>
      </c>
      <c r="AL867" s="4">
        <v>36</v>
      </c>
      <c r="AM867" s="4">
        <v>36</v>
      </c>
      <c r="AN867" s="4">
        <v>0</v>
      </c>
      <c r="AO867" s="4">
        <v>0</v>
      </c>
      <c r="AP867" s="4">
        <v>16</v>
      </c>
      <c r="AQ867" s="4">
        <v>18</v>
      </c>
      <c r="AR867" s="3" t="s">
        <v>62</v>
      </c>
      <c r="AS867" s="3" t="s">
        <v>62</v>
      </c>
      <c r="AT867" s="3" t="s">
        <v>61</v>
      </c>
      <c r="AU867" s="6" t="str">
        <f>HYPERLINK("http://catalog.hathitrust.org/Record/002194514","HathiTrust Record")</f>
        <v>HathiTrust Record</v>
      </c>
      <c r="AV867" s="6" t="str">
        <f>HYPERLINK("http://mcgill.on.worldcat.org/oclc/7756594","Catalog Record")</f>
        <v>Catalog Record</v>
      </c>
      <c r="AW867" s="6" t="str">
        <f>HYPERLINK("http://www.worldcat.org/oclc/7756594","WorldCat Record")</f>
        <v>WorldCat Record</v>
      </c>
      <c r="AX867" s="3" t="s">
        <v>8387</v>
      </c>
      <c r="AY867" s="3" t="s">
        <v>8388</v>
      </c>
      <c r="AZ867" s="3" t="s">
        <v>8389</v>
      </c>
      <c r="BA867" s="3" t="s">
        <v>8389</v>
      </c>
      <c r="BB867" s="3" t="s">
        <v>8390</v>
      </c>
      <c r="BC867" s="3" t="s">
        <v>142</v>
      </c>
      <c r="BD867" s="3" t="s">
        <v>68</v>
      </c>
      <c r="BE867" s="3" t="s">
        <v>8391</v>
      </c>
      <c r="BF867" s="3" t="s">
        <v>8390</v>
      </c>
      <c r="BG867" s="3" t="s">
        <v>8392</v>
      </c>
    </row>
    <row r="868" spans="1:59" ht="57" x14ac:dyDescent="0.45">
      <c r="A868" s="2" t="s">
        <v>59</v>
      </c>
      <c r="B868" s="2" t="s">
        <v>60</v>
      </c>
      <c r="C868" s="2" t="s">
        <v>8393</v>
      </c>
      <c r="D868" s="2" t="s">
        <v>8394</v>
      </c>
      <c r="E868" s="2" t="s">
        <v>8395</v>
      </c>
      <c r="G868" s="3" t="s">
        <v>62</v>
      </c>
      <c r="I868" s="3" t="s">
        <v>61</v>
      </c>
      <c r="J868" s="3" t="s">
        <v>62</v>
      </c>
      <c r="K868" s="3" t="s">
        <v>63</v>
      </c>
      <c r="M868" s="2" t="s">
        <v>8396</v>
      </c>
      <c r="N868" s="3" t="s">
        <v>157</v>
      </c>
      <c r="P868" s="3" t="s">
        <v>65</v>
      </c>
      <c r="R868" s="3" t="s">
        <v>66</v>
      </c>
      <c r="S868" s="4">
        <v>16</v>
      </c>
      <c r="T868" s="4">
        <v>35</v>
      </c>
      <c r="U868" s="5" t="s">
        <v>8397</v>
      </c>
      <c r="V868" s="5" t="s">
        <v>8397</v>
      </c>
      <c r="W868" s="5" t="s">
        <v>67</v>
      </c>
      <c r="X868" s="5" t="s">
        <v>67</v>
      </c>
      <c r="Y868" s="4">
        <v>456</v>
      </c>
      <c r="Z868" s="4">
        <v>31</v>
      </c>
      <c r="AA868" s="4">
        <v>36</v>
      </c>
      <c r="AB868" s="4">
        <v>2</v>
      </c>
      <c r="AC868" s="4">
        <v>6</v>
      </c>
      <c r="AD868" s="4">
        <v>106</v>
      </c>
      <c r="AE868" s="4">
        <v>111</v>
      </c>
      <c r="AF868" s="4">
        <v>1</v>
      </c>
      <c r="AG868" s="4">
        <v>4</v>
      </c>
      <c r="AH868" s="4">
        <v>91</v>
      </c>
      <c r="AI868" s="4">
        <v>93</v>
      </c>
      <c r="AJ868" s="4">
        <v>18</v>
      </c>
      <c r="AK868" s="4">
        <v>21</v>
      </c>
      <c r="AL868" s="4">
        <v>50</v>
      </c>
      <c r="AM868" s="4">
        <v>50</v>
      </c>
      <c r="AN868" s="4">
        <v>0</v>
      </c>
      <c r="AO868" s="4">
        <v>0</v>
      </c>
      <c r="AP868" s="4">
        <v>22</v>
      </c>
      <c r="AQ868" s="4">
        <v>25</v>
      </c>
      <c r="AR868" s="3" t="s">
        <v>62</v>
      </c>
      <c r="AS868" s="3" t="s">
        <v>62</v>
      </c>
      <c r="AT868" s="3" t="s">
        <v>61</v>
      </c>
      <c r="AU868" s="6" t="str">
        <f>HYPERLINK("http://catalog.hathitrust.org/Record/000148953","HathiTrust Record")</f>
        <v>HathiTrust Record</v>
      </c>
      <c r="AV868" s="6" t="str">
        <f>HYPERLINK("http://mcgill.on.worldcat.org/oclc/7577508","Catalog Record")</f>
        <v>Catalog Record</v>
      </c>
      <c r="AW868" s="6" t="str">
        <f>HYPERLINK("http://www.worldcat.org/oclc/7577508","WorldCat Record")</f>
        <v>WorldCat Record</v>
      </c>
      <c r="AX868" s="3" t="s">
        <v>8398</v>
      </c>
      <c r="AY868" s="3" t="s">
        <v>8399</v>
      </c>
      <c r="AZ868" s="3" t="s">
        <v>8400</v>
      </c>
      <c r="BA868" s="3" t="s">
        <v>8400</v>
      </c>
      <c r="BB868" s="3" t="s">
        <v>8401</v>
      </c>
      <c r="BC868" s="3" t="s">
        <v>142</v>
      </c>
      <c r="BD868" s="3" t="s">
        <v>68</v>
      </c>
      <c r="BE868" s="3" t="s">
        <v>8402</v>
      </c>
      <c r="BF868" s="3" t="s">
        <v>8401</v>
      </c>
      <c r="BG868" s="3" t="s">
        <v>8403</v>
      </c>
    </row>
    <row r="869" spans="1:59" ht="57" x14ac:dyDescent="0.45">
      <c r="A869" s="2" t="s">
        <v>59</v>
      </c>
      <c r="B869" s="2" t="s">
        <v>60</v>
      </c>
      <c r="C869" s="2" t="s">
        <v>8393</v>
      </c>
      <c r="D869" s="2" t="s">
        <v>8394</v>
      </c>
      <c r="E869" s="2" t="s">
        <v>8395</v>
      </c>
      <c r="G869" s="3" t="s">
        <v>62</v>
      </c>
      <c r="I869" s="3" t="s">
        <v>61</v>
      </c>
      <c r="J869" s="3" t="s">
        <v>62</v>
      </c>
      <c r="K869" s="3" t="s">
        <v>63</v>
      </c>
      <c r="M869" s="2" t="s">
        <v>8396</v>
      </c>
      <c r="N869" s="3" t="s">
        <v>157</v>
      </c>
      <c r="P869" s="3" t="s">
        <v>65</v>
      </c>
      <c r="R869" s="3" t="s">
        <v>66</v>
      </c>
      <c r="S869" s="4">
        <v>19</v>
      </c>
      <c r="T869" s="4">
        <v>35</v>
      </c>
      <c r="U869" s="5" t="s">
        <v>8404</v>
      </c>
      <c r="V869" s="5" t="s">
        <v>8397</v>
      </c>
      <c r="W869" s="5" t="s">
        <v>67</v>
      </c>
      <c r="X869" s="5" t="s">
        <v>67</v>
      </c>
      <c r="Y869" s="4">
        <v>456</v>
      </c>
      <c r="Z869" s="4">
        <v>31</v>
      </c>
      <c r="AA869" s="4">
        <v>36</v>
      </c>
      <c r="AB869" s="4">
        <v>2</v>
      </c>
      <c r="AC869" s="4">
        <v>6</v>
      </c>
      <c r="AD869" s="4">
        <v>106</v>
      </c>
      <c r="AE869" s="4">
        <v>111</v>
      </c>
      <c r="AF869" s="4">
        <v>1</v>
      </c>
      <c r="AG869" s="4">
        <v>4</v>
      </c>
      <c r="AH869" s="4">
        <v>91</v>
      </c>
      <c r="AI869" s="4">
        <v>93</v>
      </c>
      <c r="AJ869" s="4">
        <v>18</v>
      </c>
      <c r="AK869" s="4">
        <v>21</v>
      </c>
      <c r="AL869" s="4">
        <v>50</v>
      </c>
      <c r="AM869" s="4">
        <v>50</v>
      </c>
      <c r="AN869" s="4">
        <v>0</v>
      </c>
      <c r="AO869" s="4">
        <v>0</v>
      </c>
      <c r="AP869" s="4">
        <v>22</v>
      </c>
      <c r="AQ869" s="4">
        <v>25</v>
      </c>
      <c r="AR869" s="3" t="s">
        <v>62</v>
      </c>
      <c r="AS869" s="3" t="s">
        <v>62</v>
      </c>
      <c r="AT869" s="3" t="s">
        <v>61</v>
      </c>
      <c r="AU869" s="6" t="str">
        <f>HYPERLINK("http://catalog.hathitrust.org/Record/000148953","HathiTrust Record")</f>
        <v>HathiTrust Record</v>
      </c>
      <c r="AV869" s="6" t="str">
        <f>HYPERLINK("http://mcgill.on.worldcat.org/oclc/7577508","Catalog Record")</f>
        <v>Catalog Record</v>
      </c>
      <c r="AW869" s="6" t="str">
        <f>HYPERLINK("http://www.worldcat.org/oclc/7577508","WorldCat Record")</f>
        <v>WorldCat Record</v>
      </c>
      <c r="AX869" s="3" t="s">
        <v>8398</v>
      </c>
      <c r="AY869" s="3" t="s">
        <v>8399</v>
      </c>
      <c r="AZ869" s="3" t="s">
        <v>8400</v>
      </c>
      <c r="BA869" s="3" t="s">
        <v>8400</v>
      </c>
      <c r="BB869" s="3" t="s">
        <v>8405</v>
      </c>
      <c r="BC869" s="3" t="s">
        <v>142</v>
      </c>
      <c r="BD869" s="3" t="s">
        <v>68</v>
      </c>
      <c r="BE869" s="3" t="s">
        <v>8402</v>
      </c>
      <c r="BF869" s="3" t="s">
        <v>8405</v>
      </c>
      <c r="BG869" s="3" t="s">
        <v>8406</v>
      </c>
    </row>
    <row r="870" spans="1:59" ht="57" x14ac:dyDescent="0.45">
      <c r="A870" s="2" t="s">
        <v>59</v>
      </c>
      <c r="B870" s="2" t="s">
        <v>60</v>
      </c>
      <c r="C870" s="2" t="s">
        <v>8407</v>
      </c>
      <c r="D870" s="2" t="s">
        <v>8408</v>
      </c>
      <c r="E870" s="2" t="s">
        <v>8409</v>
      </c>
      <c r="G870" s="3" t="s">
        <v>62</v>
      </c>
      <c r="I870" s="3" t="s">
        <v>62</v>
      </c>
      <c r="J870" s="3" t="s">
        <v>62</v>
      </c>
      <c r="K870" s="3" t="s">
        <v>63</v>
      </c>
      <c r="L870" s="2" t="s">
        <v>8410</v>
      </c>
      <c r="M870" s="2" t="s">
        <v>5224</v>
      </c>
      <c r="N870" s="3" t="s">
        <v>1239</v>
      </c>
      <c r="P870" s="3" t="s">
        <v>65</v>
      </c>
      <c r="Q870" s="2" t="s">
        <v>7024</v>
      </c>
      <c r="R870" s="3" t="s">
        <v>66</v>
      </c>
      <c r="S870" s="4">
        <v>7</v>
      </c>
      <c r="T870" s="4">
        <v>7</v>
      </c>
      <c r="U870" s="5" t="s">
        <v>7551</v>
      </c>
      <c r="V870" s="5" t="s">
        <v>7551</v>
      </c>
      <c r="W870" s="5" t="s">
        <v>67</v>
      </c>
      <c r="X870" s="5" t="s">
        <v>67</v>
      </c>
      <c r="Y870" s="4">
        <v>407</v>
      </c>
      <c r="Z870" s="4">
        <v>33</v>
      </c>
      <c r="AA870" s="4">
        <v>39</v>
      </c>
      <c r="AB870" s="4">
        <v>3</v>
      </c>
      <c r="AC870" s="4">
        <v>6</v>
      </c>
      <c r="AD870" s="4">
        <v>94</v>
      </c>
      <c r="AE870" s="4">
        <v>98</v>
      </c>
      <c r="AF870" s="4">
        <v>1</v>
      </c>
      <c r="AG870" s="4">
        <v>3</v>
      </c>
      <c r="AH870" s="4">
        <v>81</v>
      </c>
      <c r="AI870" s="4">
        <v>83</v>
      </c>
      <c r="AJ870" s="4">
        <v>17</v>
      </c>
      <c r="AK870" s="4">
        <v>19</v>
      </c>
      <c r="AL870" s="4">
        <v>41</v>
      </c>
      <c r="AM870" s="4">
        <v>41</v>
      </c>
      <c r="AN870" s="4">
        <v>0</v>
      </c>
      <c r="AO870" s="4">
        <v>0</v>
      </c>
      <c r="AP870" s="4">
        <v>22</v>
      </c>
      <c r="AQ870" s="4">
        <v>25</v>
      </c>
      <c r="AR870" s="3" t="s">
        <v>62</v>
      </c>
      <c r="AS870" s="3" t="s">
        <v>62</v>
      </c>
      <c r="AT870" s="3" t="s">
        <v>62</v>
      </c>
      <c r="AV870" s="6" t="str">
        <f>HYPERLINK("http://mcgill.on.worldcat.org/oclc/19777341","Catalog Record")</f>
        <v>Catalog Record</v>
      </c>
      <c r="AW870" s="6" t="str">
        <f>HYPERLINK("http://www.worldcat.org/oclc/19777341","WorldCat Record")</f>
        <v>WorldCat Record</v>
      </c>
      <c r="AX870" s="3" t="s">
        <v>8411</v>
      </c>
      <c r="AY870" s="3" t="s">
        <v>8412</v>
      </c>
      <c r="AZ870" s="3" t="s">
        <v>8413</v>
      </c>
      <c r="BA870" s="3" t="s">
        <v>8413</v>
      </c>
      <c r="BB870" s="3" t="s">
        <v>8414</v>
      </c>
      <c r="BC870" s="3" t="s">
        <v>142</v>
      </c>
      <c r="BD870" s="3" t="s">
        <v>68</v>
      </c>
      <c r="BE870" s="3" t="s">
        <v>8415</v>
      </c>
      <c r="BF870" s="3" t="s">
        <v>8414</v>
      </c>
      <c r="BG870" s="3" t="s">
        <v>8416</v>
      </c>
    </row>
    <row r="871" spans="1:59" ht="57" x14ac:dyDescent="0.45">
      <c r="A871" s="2" t="s">
        <v>59</v>
      </c>
      <c r="B871" s="2" t="s">
        <v>60</v>
      </c>
      <c r="C871" s="2" t="s">
        <v>8417</v>
      </c>
      <c r="D871" s="2" t="s">
        <v>8418</v>
      </c>
      <c r="E871" s="2" t="s">
        <v>8419</v>
      </c>
      <c r="G871" s="3" t="s">
        <v>62</v>
      </c>
      <c r="I871" s="3" t="s">
        <v>62</v>
      </c>
      <c r="J871" s="3" t="s">
        <v>62</v>
      </c>
      <c r="K871" s="3" t="s">
        <v>63</v>
      </c>
      <c r="L871" s="2" t="s">
        <v>8420</v>
      </c>
      <c r="M871" s="2" t="s">
        <v>8421</v>
      </c>
      <c r="N871" s="3" t="s">
        <v>807</v>
      </c>
      <c r="P871" s="3" t="s">
        <v>65</v>
      </c>
      <c r="Q871" s="2" t="s">
        <v>8422</v>
      </c>
      <c r="R871" s="3" t="s">
        <v>66</v>
      </c>
      <c r="S871" s="4">
        <v>25</v>
      </c>
      <c r="T871" s="4">
        <v>25</v>
      </c>
      <c r="U871" s="5" t="s">
        <v>7408</v>
      </c>
      <c r="V871" s="5" t="s">
        <v>7408</v>
      </c>
      <c r="W871" s="5" t="s">
        <v>67</v>
      </c>
      <c r="X871" s="5" t="s">
        <v>67</v>
      </c>
      <c r="Y871" s="4">
        <v>190</v>
      </c>
      <c r="Z871" s="4">
        <v>16</v>
      </c>
      <c r="AA871" s="4">
        <v>25</v>
      </c>
      <c r="AB871" s="4">
        <v>2</v>
      </c>
      <c r="AC871" s="4">
        <v>6</v>
      </c>
      <c r="AD871" s="4">
        <v>65</v>
      </c>
      <c r="AE871" s="4">
        <v>75</v>
      </c>
      <c r="AF871" s="4">
        <v>1</v>
      </c>
      <c r="AG871" s="4">
        <v>3</v>
      </c>
      <c r="AH871" s="4">
        <v>57</v>
      </c>
      <c r="AI871" s="4">
        <v>63</v>
      </c>
      <c r="AJ871" s="4">
        <v>11</v>
      </c>
      <c r="AK871" s="4">
        <v>16</v>
      </c>
      <c r="AL871" s="4">
        <v>35</v>
      </c>
      <c r="AM871" s="4">
        <v>39</v>
      </c>
      <c r="AN871" s="4">
        <v>0</v>
      </c>
      <c r="AO871" s="4">
        <v>0</v>
      </c>
      <c r="AP871" s="4">
        <v>13</v>
      </c>
      <c r="AQ871" s="4">
        <v>19</v>
      </c>
      <c r="AR871" s="3" t="s">
        <v>62</v>
      </c>
      <c r="AS871" s="3" t="s">
        <v>62</v>
      </c>
      <c r="AT871" s="3" t="s">
        <v>61</v>
      </c>
      <c r="AU871" s="6" t="str">
        <f>HYPERLINK("http://catalog.hathitrust.org/Record/002523978","HathiTrust Record")</f>
        <v>HathiTrust Record</v>
      </c>
      <c r="AV871" s="6" t="str">
        <f>HYPERLINK("http://mcgill.on.worldcat.org/oclc/24380614","Catalog Record")</f>
        <v>Catalog Record</v>
      </c>
      <c r="AW871" s="6" t="str">
        <f>HYPERLINK("http://www.worldcat.org/oclc/24380614","WorldCat Record")</f>
        <v>WorldCat Record</v>
      </c>
      <c r="AX871" s="3" t="s">
        <v>8423</v>
      </c>
      <c r="AY871" s="3" t="s">
        <v>8424</v>
      </c>
      <c r="AZ871" s="3" t="s">
        <v>8425</v>
      </c>
      <c r="BA871" s="3" t="s">
        <v>8425</v>
      </c>
      <c r="BB871" s="3" t="s">
        <v>8426</v>
      </c>
      <c r="BC871" s="3" t="s">
        <v>142</v>
      </c>
      <c r="BD871" s="3" t="s">
        <v>308</v>
      </c>
      <c r="BE871" s="3" t="s">
        <v>8427</v>
      </c>
      <c r="BF871" s="3" t="s">
        <v>8426</v>
      </c>
      <c r="BG871" s="3" t="s">
        <v>8428</v>
      </c>
    </row>
    <row r="872" spans="1:59" ht="57" x14ac:dyDescent="0.45">
      <c r="A872" s="2" t="s">
        <v>59</v>
      </c>
      <c r="B872" s="2" t="s">
        <v>60</v>
      </c>
      <c r="C872" s="2" t="s">
        <v>8429</v>
      </c>
      <c r="D872" s="2" t="s">
        <v>8430</v>
      </c>
      <c r="E872" s="2" t="s">
        <v>8431</v>
      </c>
      <c r="G872" s="3" t="s">
        <v>62</v>
      </c>
      <c r="I872" s="3" t="s">
        <v>62</v>
      </c>
      <c r="J872" s="3" t="s">
        <v>62</v>
      </c>
      <c r="K872" s="3" t="s">
        <v>63</v>
      </c>
      <c r="M872" s="2" t="s">
        <v>8432</v>
      </c>
      <c r="N872" s="3" t="s">
        <v>529</v>
      </c>
      <c r="P872" s="3" t="s">
        <v>65</v>
      </c>
      <c r="R872" s="3" t="s">
        <v>66</v>
      </c>
      <c r="S872" s="4">
        <v>27</v>
      </c>
      <c r="T872" s="4">
        <v>27</v>
      </c>
      <c r="U872" s="5" t="s">
        <v>8433</v>
      </c>
      <c r="V872" s="5" t="s">
        <v>8433</v>
      </c>
      <c r="W872" s="5" t="s">
        <v>67</v>
      </c>
      <c r="X872" s="5" t="s">
        <v>67</v>
      </c>
      <c r="Y872" s="4">
        <v>243</v>
      </c>
      <c r="Z872" s="4">
        <v>12</v>
      </c>
      <c r="AA872" s="4">
        <v>96</v>
      </c>
      <c r="AB872" s="4">
        <v>1</v>
      </c>
      <c r="AC872" s="4">
        <v>17</v>
      </c>
      <c r="AD872" s="4">
        <v>63</v>
      </c>
      <c r="AE872" s="4">
        <v>112</v>
      </c>
      <c r="AF872" s="4">
        <v>0</v>
      </c>
      <c r="AG872" s="4">
        <v>8</v>
      </c>
      <c r="AH872" s="4">
        <v>59</v>
      </c>
      <c r="AI872" s="4">
        <v>78</v>
      </c>
      <c r="AJ872" s="4">
        <v>6</v>
      </c>
      <c r="AK872" s="4">
        <v>20</v>
      </c>
      <c r="AL872" s="4">
        <v>34</v>
      </c>
      <c r="AM872" s="4">
        <v>41</v>
      </c>
      <c r="AN872" s="4">
        <v>0</v>
      </c>
      <c r="AO872" s="4">
        <v>0</v>
      </c>
      <c r="AP872" s="4">
        <v>8</v>
      </c>
      <c r="AQ872" s="4">
        <v>41</v>
      </c>
      <c r="AR872" s="3" t="s">
        <v>62</v>
      </c>
      <c r="AS872" s="3" t="s">
        <v>62</v>
      </c>
      <c r="AT872" s="3" t="s">
        <v>62</v>
      </c>
      <c r="AV872" s="6" t="str">
        <f>HYPERLINK("http://mcgill.on.worldcat.org/oclc/11969929","Catalog Record")</f>
        <v>Catalog Record</v>
      </c>
      <c r="AW872" s="6" t="str">
        <f>HYPERLINK("http://www.worldcat.org/oclc/11969929","WorldCat Record")</f>
        <v>WorldCat Record</v>
      </c>
      <c r="AX872" s="3" t="s">
        <v>8434</v>
      </c>
      <c r="AY872" s="3" t="s">
        <v>8435</v>
      </c>
      <c r="AZ872" s="3" t="s">
        <v>8436</v>
      </c>
      <c r="BA872" s="3" t="s">
        <v>8436</v>
      </c>
      <c r="BB872" s="3" t="s">
        <v>8437</v>
      </c>
      <c r="BC872" s="3" t="s">
        <v>142</v>
      </c>
      <c r="BD872" s="3" t="s">
        <v>68</v>
      </c>
      <c r="BE872" s="3" t="s">
        <v>8438</v>
      </c>
      <c r="BF872" s="3" t="s">
        <v>8437</v>
      </c>
      <c r="BG872" s="3" t="s">
        <v>8439</v>
      </c>
    </row>
    <row r="873" spans="1:59" ht="57" x14ac:dyDescent="0.45">
      <c r="A873" s="2" t="s">
        <v>59</v>
      </c>
      <c r="B873" s="2" t="s">
        <v>60</v>
      </c>
      <c r="C873" s="2" t="s">
        <v>8440</v>
      </c>
      <c r="D873" s="2" t="s">
        <v>8441</v>
      </c>
      <c r="E873" s="2" t="s">
        <v>8442</v>
      </c>
      <c r="G873" s="3" t="s">
        <v>62</v>
      </c>
      <c r="I873" s="3" t="s">
        <v>62</v>
      </c>
      <c r="J873" s="3" t="s">
        <v>62</v>
      </c>
      <c r="K873" s="3" t="s">
        <v>63</v>
      </c>
      <c r="L873" s="2" t="s">
        <v>8443</v>
      </c>
      <c r="M873" s="2" t="s">
        <v>8444</v>
      </c>
      <c r="N873" s="3" t="s">
        <v>84</v>
      </c>
      <c r="P873" s="3" t="s">
        <v>65</v>
      </c>
      <c r="R873" s="3" t="s">
        <v>66</v>
      </c>
      <c r="S873" s="4">
        <v>16</v>
      </c>
      <c r="T873" s="4">
        <v>16</v>
      </c>
      <c r="U873" s="5" t="s">
        <v>959</v>
      </c>
      <c r="V873" s="5" t="s">
        <v>959</v>
      </c>
      <c r="W873" s="5" t="s">
        <v>67</v>
      </c>
      <c r="X873" s="5" t="s">
        <v>67</v>
      </c>
      <c r="Y873" s="4">
        <v>304</v>
      </c>
      <c r="Z873" s="4">
        <v>13</v>
      </c>
      <c r="AA873" s="4">
        <v>21</v>
      </c>
      <c r="AB873" s="4">
        <v>3</v>
      </c>
      <c r="AC873" s="4">
        <v>4</v>
      </c>
      <c r="AD873" s="4">
        <v>57</v>
      </c>
      <c r="AE873" s="4">
        <v>66</v>
      </c>
      <c r="AF873" s="4">
        <v>2</v>
      </c>
      <c r="AG873" s="4">
        <v>3</v>
      </c>
      <c r="AH873" s="4">
        <v>52</v>
      </c>
      <c r="AI873" s="4">
        <v>56</v>
      </c>
      <c r="AJ873" s="4">
        <v>8</v>
      </c>
      <c r="AK873" s="4">
        <v>12</v>
      </c>
      <c r="AL873" s="4">
        <v>27</v>
      </c>
      <c r="AM873" s="4">
        <v>30</v>
      </c>
      <c r="AN873" s="4">
        <v>0</v>
      </c>
      <c r="AO873" s="4">
        <v>0</v>
      </c>
      <c r="AP873" s="4">
        <v>9</v>
      </c>
      <c r="AQ873" s="4">
        <v>15</v>
      </c>
      <c r="AR873" s="3" t="s">
        <v>62</v>
      </c>
      <c r="AS873" s="3" t="s">
        <v>62</v>
      </c>
      <c r="AT873" s="3" t="s">
        <v>62</v>
      </c>
      <c r="AV873" s="6" t="str">
        <f>HYPERLINK("http://mcgill.on.worldcat.org/oclc/30035544","Catalog Record")</f>
        <v>Catalog Record</v>
      </c>
      <c r="AW873" s="6" t="str">
        <f>HYPERLINK("http://www.worldcat.org/oclc/30035544","WorldCat Record")</f>
        <v>WorldCat Record</v>
      </c>
      <c r="AX873" s="3" t="s">
        <v>8445</v>
      </c>
      <c r="AY873" s="3" t="s">
        <v>8446</v>
      </c>
      <c r="AZ873" s="3" t="s">
        <v>8447</v>
      </c>
      <c r="BA873" s="3" t="s">
        <v>8447</v>
      </c>
      <c r="BB873" s="3" t="s">
        <v>8448</v>
      </c>
      <c r="BC873" s="3" t="s">
        <v>142</v>
      </c>
      <c r="BD873" s="3" t="s">
        <v>68</v>
      </c>
      <c r="BE873" s="3" t="s">
        <v>8449</v>
      </c>
      <c r="BF873" s="3" t="s">
        <v>8448</v>
      </c>
      <c r="BG873" s="3" t="s">
        <v>8450</v>
      </c>
    </row>
    <row r="874" spans="1:59" ht="57" x14ac:dyDescent="0.45">
      <c r="A874" s="2" t="s">
        <v>59</v>
      </c>
      <c r="B874" s="2" t="s">
        <v>412</v>
      </c>
      <c r="C874" s="2" t="s">
        <v>8451</v>
      </c>
      <c r="D874" s="2" t="s">
        <v>8452</v>
      </c>
      <c r="E874" s="2" t="s">
        <v>8453</v>
      </c>
      <c r="G874" s="3" t="s">
        <v>62</v>
      </c>
      <c r="I874" s="3" t="s">
        <v>62</v>
      </c>
      <c r="J874" s="3" t="s">
        <v>62</v>
      </c>
      <c r="K874" s="3" t="s">
        <v>63</v>
      </c>
      <c r="L874" s="2" t="s">
        <v>7319</v>
      </c>
      <c r="M874" s="2" t="s">
        <v>5224</v>
      </c>
      <c r="N874" s="3" t="s">
        <v>1239</v>
      </c>
      <c r="P874" s="3" t="s">
        <v>65</v>
      </c>
      <c r="Q874" s="2" t="s">
        <v>7244</v>
      </c>
      <c r="R874" s="3" t="s">
        <v>66</v>
      </c>
      <c r="S874" s="4">
        <v>78</v>
      </c>
      <c r="T874" s="4">
        <v>78</v>
      </c>
      <c r="U874" s="5" t="s">
        <v>8454</v>
      </c>
      <c r="V874" s="5" t="s">
        <v>8454</v>
      </c>
      <c r="W874" s="5" t="s">
        <v>67</v>
      </c>
      <c r="X874" s="5" t="s">
        <v>67</v>
      </c>
      <c r="Y874" s="4">
        <v>636</v>
      </c>
      <c r="Z874" s="4">
        <v>41</v>
      </c>
      <c r="AA874" s="4">
        <v>44</v>
      </c>
      <c r="AB874" s="4">
        <v>2</v>
      </c>
      <c r="AC874" s="4">
        <v>4</v>
      </c>
      <c r="AD874" s="4">
        <v>108</v>
      </c>
      <c r="AE874" s="4">
        <v>111</v>
      </c>
      <c r="AF874" s="4">
        <v>1</v>
      </c>
      <c r="AG874" s="4">
        <v>2</v>
      </c>
      <c r="AH874" s="4">
        <v>91</v>
      </c>
      <c r="AI874" s="4">
        <v>92</v>
      </c>
      <c r="AJ874" s="4">
        <v>18</v>
      </c>
      <c r="AK874" s="4">
        <v>19</v>
      </c>
      <c r="AL874" s="4">
        <v>45</v>
      </c>
      <c r="AM874" s="4">
        <v>45</v>
      </c>
      <c r="AN874" s="4">
        <v>0</v>
      </c>
      <c r="AO874" s="4">
        <v>0</v>
      </c>
      <c r="AP874" s="4">
        <v>27</v>
      </c>
      <c r="AQ874" s="4">
        <v>29</v>
      </c>
      <c r="AR874" s="3" t="s">
        <v>62</v>
      </c>
      <c r="AS874" s="3" t="s">
        <v>62</v>
      </c>
      <c r="AT874" s="3" t="s">
        <v>61</v>
      </c>
      <c r="AU874" s="6" t="str">
        <f>HYPERLINK("http://catalog.hathitrust.org/Record/001529709","HathiTrust Record")</f>
        <v>HathiTrust Record</v>
      </c>
      <c r="AV874" s="6" t="str">
        <f>HYPERLINK("http://mcgill.on.worldcat.org/oclc/18780714","Catalog Record")</f>
        <v>Catalog Record</v>
      </c>
      <c r="AW874" s="6" t="str">
        <f>HYPERLINK("http://www.worldcat.org/oclc/18780714","WorldCat Record")</f>
        <v>WorldCat Record</v>
      </c>
      <c r="AX874" s="3" t="s">
        <v>8455</v>
      </c>
      <c r="AY874" s="3" t="s">
        <v>8456</v>
      </c>
      <c r="AZ874" s="3" t="s">
        <v>8457</v>
      </c>
      <c r="BA874" s="3" t="s">
        <v>8457</v>
      </c>
      <c r="BB874" s="3" t="s">
        <v>8458</v>
      </c>
      <c r="BC874" s="3" t="s">
        <v>142</v>
      </c>
      <c r="BD874" s="3" t="s">
        <v>308</v>
      </c>
      <c r="BE874" s="3" t="s">
        <v>8459</v>
      </c>
      <c r="BF874" s="3" t="s">
        <v>8458</v>
      </c>
      <c r="BG874" s="3" t="s">
        <v>8460</v>
      </c>
    </row>
    <row r="875" spans="1:59" ht="57" x14ac:dyDescent="0.45">
      <c r="A875" s="2" t="s">
        <v>59</v>
      </c>
      <c r="B875" s="2" t="s">
        <v>60</v>
      </c>
      <c r="C875" s="2" t="s">
        <v>8461</v>
      </c>
      <c r="D875" s="2" t="s">
        <v>8462</v>
      </c>
      <c r="E875" s="2" t="s">
        <v>8463</v>
      </c>
      <c r="G875" s="3" t="s">
        <v>62</v>
      </c>
      <c r="I875" s="3" t="s">
        <v>62</v>
      </c>
      <c r="J875" s="3" t="s">
        <v>62</v>
      </c>
      <c r="K875" s="3" t="s">
        <v>63</v>
      </c>
      <c r="L875" s="2" t="s">
        <v>7319</v>
      </c>
      <c r="M875" s="2" t="s">
        <v>8464</v>
      </c>
      <c r="N875" s="3" t="s">
        <v>84</v>
      </c>
      <c r="P875" s="3" t="s">
        <v>65</v>
      </c>
      <c r="Q875" s="2" t="s">
        <v>7244</v>
      </c>
      <c r="R875" s="3" t="s">
        <v>66</v>
      </c>
      <c r="S875" s="4">
        <v>38</v>
      </c>
      <c r="T875" s="4">
        <v>38</v>
      </c>
      <c r="U875" s="5" t="s">
        <v>8465</v>
      </c>
      <c r="V875" s="5" t="s">
        <v>8465</v>
      </c>
      <c r="W875" s="5" t="s">
        <v>67</v>
      </c>
      <c r="X875" s="5" t="s">
        <v>67</v>
      </c>
      <c r="Y875" s="4">
        <v>556</v>
      </c>
      <c r="Z875" s="4">
        <v>35</v>
      </c>
      <c r="AA875" s="4">
        <v>39</v>
      </c>
      <c r="AB875" s="4">
        <v>2</v>
      </c>
      <c r="AC875" s="4">
        <v>6</v>
      </c>
      <c r="AD875" s="4">
        <v>113</v>
      </c>
      <c r="AE875" s="4">
        <v>116</v>
      </c>
      <c r="AF875" s="4">
        <v>1</v>
      </c>
      <c r="AG875" s="4">
        <v>4</v>
      </c>
      <c r="AH875" s="4">
        <v>94</v>
      </c>
      <c r="AI875" s="4">
        <v>95</v>
      </c>
      <c r="AJ875" s="4">
        <v>22</v>
      </c>
      <c r="AK875" s="4">
        <v>25</v>
      </c>
      <c r="AL875" s="4">
        <v>50</v>
      </c>
      <c r="AM875" s="4">
        <v>50</v>
      </c>
      <c r="AN875" s="4">
        <v>0</v>
      </c>
      <c r="AO875" s="4">
        <v>0</v>
      </c>
      <c r="AP875" s="4">
        <v>30</v>
      </c>
      <c r="AQ875" s="4">
        <v>32</v>
      </c>
      <c r="AR875" s="3" t="s">
        <v>62</v>
      </c>
      <c r="AS875" s="3" t="s">
        <v>62</v>
      </c>
      <c r="AT875" s="3" t="s">
        <v>61</v>
      </c>
      <c r="AU875" s="6" t="str">
        <f>HYPERLINK("http://catalog.hathitrust.org/Record/002638031","HathiTrust Record")</f>
        <v>HathiTrust Record</v>
      </c>
      <c r="AV875" s="6" t="str">
        <f>HYPERLINK("http://mcgill.on.worldcat.org/oclc/24952173","Catalog Record")</f>
        <v>Catalog Record</v>
      </c>
      <c r="AW875" s="6" t="str">
        <f>HYPERLINK("http://www.worldcat.org/oclc/24952173","WorldCat Record")</f>
        <v>WorldCat Record</v>
      </c>
      <c r="AX875" s="3" t="s">
        <v>8466</v>
      </c>
      <c r="AY875" s="3" t="s">
        <v>8467</v>
      </c>
      <c r="AZ875" s="3" t="s">
        <v>8468</v>
      </c>
      <c r="BA875" s="3" t="s">
        <v>8468</v>
      </c>
      <c r="BB875" s="3" t="s">
        <v>8469</v>
      </c>
      <c r="BC875" s="3" t="s">
        <v>142</v>
      </c>
      <c r="BD875" s="3" t="s">
        <v>68</v>
      </c>
      <c r="BE875" s="3" t="s">
        <v>8470</v>
      </c>
      <c r="BF875" s="3" t="s">
        <v>8469</v>
      </c>
      <c r="BG875" s="3" t="s">
        <v>8471</v>
      </c>
    </row>
    <row r="876" spans="1:59" ht="57" x14ac:dyDescent="0.45">
      <c r="A876" s="2" t="s">
        <v>59</v>
      </c>
      <c r="B876" s="2" t="s">
        <v>412</v>
      </c>
      <c r="C876" s="2" t="s">
        <v>8472</v>
      </c>
      <c r="D876" s="2" t="s">
        <v>8473</v>
      </c>
      <c r="E876" s="2" t="s">
        <v>8474</v>
      </c>
      <c r="G876" s="3" t="s">
        <v>62</v>
      </c>
      <c r="I876" s="3" t="s">
        <v>62</v>
      </c>
      <c r="J876" s="3" t="s">
        <v>62</v>
      </c>
      <c r="K876" s="3" t="s">
        <v>63</v>
      </c>
      <c r="L876" s="2" t="s">
        <v>7319</v>
      </c>
      <c r="M876" s="2" t="s">
        <v>8475</v>
      </c>
      <c r="N876" s="3" t="s">
        <v>1097</v>
      </c>
      <c r="P876" s="3" t="s">
        <v>65</v>
      </c>
      <c r="Q876" s="2" t="s">
        <v>7244</v>
      </c>
      <c r="R876" s="3" t="s">
        <v>66</v>
      </c>
      <c r="S876" s="4">
        <v>20</v>
      </c>
      <c r="T876" s="4">
        <v>20</v>
      </c>
      <c r="U876" s="5" t="s">
        <v>8454</v>
      </c>
      <c r="V876" s="5" t="s">
        <v>8454</v>
      </c>
      <c r="W876" s="5" t="s">
        <v>67</v>
      </c>
      <c r="X876" s="5" t="s">
        <v>67</v>
      </c>
      <c r="Y876" s="4">
        <v>322</v>
      </c>
      <c r="Z876" s="4">
        <v>20</v>
      </c>
      <c r="AA876" s="4">
        <v>28</v>
      </c>
      <c r="AB876" s="4">
        <v>2</v>
      </c>
      <c r="AC876" s="4">
        <v>7</v>
      </c>
      <c r="AD876" s="4">
        <v>60</v>
      </c>
      <c r="AE876" s="4">
        <v>66</v>
      </c>
      <c r="AF876" s="4">
        <v>1</v>
      </c>
      <c r="AG876" s="4">
        <v>4</v>
      </c>
      <c r="AH876" s="4">
        <v>50</v>
      </c>
      <c r="AI876" s="4">
        <v>54</v>
      </c>
      <c r="AJ876" s="4">
        <v>8</v>
      </c>
      <c r="AK876" s="4">
        <v>13</v>
      </c>
      <c r="AL876" s="4">
        <v>30</v>
      </c>
      <c r="AM876" s="4">
        <v>32</v>
      </c>
      <c r="AN876" s="4">
        <v>0</v>
      </c>
      <c r="AO876" s="4">
        <v>0</v>
      </c>
      <c r="AP876" s="4">
        <v>13</v>
      </c>
      <c r="AQ876" s="4">
        <v>17</v>
      </c>
      <c r="AR876" s="3" t="s">
        <v>62</v>
      </c>
      <c r="AS876" s="3" t="s">
        <v>62</v>
      </c>
      <c r="AT876" s="3" t="s">
        <v>62</v>
      </c>
      <c r="AV876" s="6" t="str">
        <f>HYPERLINK("http://mcgill.on.worldcat.org/oclc/58564704","Catalog Record")</f>
        <v>Catalog Record</v>
      </c>
      <c r="AW876" s="6" t="str">
        <f>HYPERLINK("http://www.worldcat.org/oclc/58564704","WorldCat Record")</f>
        <v>WorldCat Record</v>
      </c>
      <c r="AX876" s="3" t="s">
        <v>8476</v>
      </c>
      <c r="AY876" s="3" t="s">
        <v>8477</v>
      </c>
      <c r="AZ876" s="3" t="s">
        <v>8478</v>
      </c>
      <c r="BA876" s="3" t="s">
        <v>8478</v>
      </c>
      <c r="BB876" s="3" t="s">
        <v>8479</v>
      </c>
      <c r="BC876" s="3" t="s">
        <v>142</v>
      </c>
      <c r="BD876" s="3" t="s">
        <v>308</v>
      </c>
      <c r="BE876" s="3" t="s">
        <v>8480</v>
      </c>
      <c r="BF876" s="3" t="s">
        <v>8479</v>
      </c>
      <c r="BG876" s="3" t="s">
        <v>8481</v>
      </c>
    </row>
    <row r="877" spans="1:59" ht="57" x14ac:dyDescent="0.45">
      <c r="A877" s="2" t="s">
        <v>59</v>
      </c>
      <c r="B877" s="2" t="s">
        <v>412</v>
      </c>
      <c r="C877" s="2" t="s">
        <v>8482</v>
      </c>
      <c r="D877" s="2" t="s">
        <v>8483</v>
      </c>
      <c r="E877" s="2" t="s">
        <v>8484</v>
      </c>
      <c r="G877" s="3" t="s">
        <v>62</v>
      </c>
      <c r="I877" s="3" t="s">
        <v>62</v>
      </c>
      <c r="J877" s="3" t="s">
        <v>62</v>
      </c>
      <c r="K877" s="3" t="s">
        <v>63</v>
      </c>
      <c r="M877" s="2" t="s">
        <v>8485</v>
      </c>
      <c r="N877" s="3" t="s">
        <v>970</v>
      </c>
      <c r="P877" s="3" t="s">
        <v>65</v>
      </c>
      <c r="Q877" s="2" t="s">
        <v>8486</v>
      </c>
      <c r="R877" s="3" t="s">
        <v>66</v>
      </c>
      <c r="S877" s="4">
        <v>6</v>
      </c>
      <c r="T877" s="4">
        <v>6</v>
      </c>
      <c r="U877" s="5" t="s">
        <v>8465</v>
      </c>
      <c r="V877" s="5" t="s">
        <v>8465</v>
      </c>
      <c r="W877" s="5" t="s">
        <v>67</v>
      </c>
      <c r="X877" s="5" t="s">
        <v>67</v>
      </c>
      <c r="Y877" s="4">
        <v>218</v>
      </c>
      <c r="Z877" s="4">
        <v>16</v>
      </c>
      <c r="AA877" s="4">
        <v>103</v>
      </c>
      <c r="AB877" s="4">
        <v>2</v>
      </c>
      <c r="AC877" s="4">
        <v>17</v>
      </c>
      <c r="AD877" s="4">
        <v>72</v>
      </c>
      <c r="AE877" s="4">
        <v>128</v>
      </c>
      <c r="AF877" s="4">
        <v>1</v>
      </c>
      <c r="AG877" s="4">
        <v>8</v>
      </c>
      <c r="AH877" s="4">
        <v>66</v>
      </c>
      <c r="AI877" s="4">
        <v>92</v>
      </c>
      <c r="AJ877" s="4">
        <v>11</v>
      </c>
      <c r="AK877" s="4">
        <v>24</v>
      </c>
      <c r="AL877" s="4">
        <v>37</v>
      </c>
      <c r="AM877" s="4">
        <v>48</v>
      </c>
      <c r="AN877" s="4">
        <v>0</v>
      </c>
      <c r="AO877" s="4">
        <v>0</v>
      </c>
      <c r="AP877" s="4">
        <v>13</v>
      </c>
      <c r="AQ877" s="4">
        <v>45</v>
      </c>
      <c r="AR877" s="3" t="s">
        <v>62</v>
      </c>
      <c r="AS877" s="3" t="s">
        <v>62</v>
      </c>
      <c r="AT877" s="3" t="s">
        <v>62</v>
      </c>
      <c r="AV877" s="6" t="str">
        <f>HYPERLINK("http://mcgill.on.worldcat.org/oclc/49942768","Catalog Record")</f>
        <v>Catalog Record</v>
      </c>
      <c r="AW877" s="6" t="str">
        <f>HYPERLINK("http://www.worldcat.org/oclc/49942768","WorldCat Record")</f>
        <v>WorldCat Record</v>
      </c>
      <c r="AX877" s="3" t="s">
        <v>8487</v>
      </c>
      <c r="AY877" s="3" t="s">
        <v>8488</v>
      </c>
      <c r="AZ877" s="3" t="s">
        <v>8489</v>
      </c>
      <c r="BA877" s="3" t="s">
        <v>8489</v>
      </c>
      <c r="BB877" s="3" t="s">
        <v>8490</v>
      </c>
      <c r="BC877" s="3" t="s">
        <v>142</v>
      </c>
      <c r="BD877" s="3" t="s">
        <v>68</v>
      </c>
      <c r="BE877" s="3" t="s">
        <v>8491</v>
      </c>
      <c r="BF877" s="3" t="s">
        <v>8490</v>
      </c>
      <c r="BG877" s="3" t="s">
        <v>8492</v>
      </c>
    </row>
    <row r="878" spans="1:59" ht="57" x14ac:dyDescent="0.45">
      <c r="A878" s="2" t="s">
        <v>59</v>
      </c>
      <c r="B878" s="2" t="s">
        <v>60</v>
      </c>
      <c r="C878" s="2" t="s">
        <v>8493</v>
      </c>
      <c r="D878" s="2" t="s">
        <v>8494</v>
      </c>
      <c r="E878" s="2" t="s">
        <v>8495</v>
      </c>
      <c r="G878" s="3" t="s">
        <v>62</v>
      </c>
      <c r="I878" s="3" t="s">
        <v>62</v>
      </c>
      <c r="J878" s="3" t="s">
        <v>62</v>
      </c>
      <c r="K878" s="3" t="s">
        <v>63</v>
      </c>
      <c r="M878" s="2" t="s">
        <v>2812</v>
      </c>
      <c r="N878" s="3" t="s">
        <v>1155</v>
      </c>
      <c r="P878" s="3" t="s">
        <v>65</v>
      </c>
      <c r="Q878" s="2" t="s">
        <v>8496</v>
      </c>
      <c r="R878" s="3" t="s">
        <v>66</v>
      </c>
      <c r="S878" s="4">
        <v>0</v>
      </c>
      <c r="T878" s="4">
        <v>0</v>
      </c>
      <c r="W878" s="5" t="s">
        <v>67</v>
      </c>
      <c r="X878" s="5" t="s">
        <v>67</v>
      </c>
      <c r="Y878" s="4">
        <v>71</v>
      </c>
      <c r="Z878" s="4">
        <v>12</v>
      </c>
      <c r="AA878" s="4">
        <v>81</v>
      </c>
      <c r="AB878" s="4">
        <v>2</v>
      </c>
      <c r="AC878" s="4">
        <v>14</v>
      </c>
      <c r="AD878" s="4">
        <v>34</v>
      </c>
      <c r="AE878" s="4">
        <v>103</v>
      </c>
      <c r="AF878" s="4">
        <v>1</v>
      </c>
      <c r="AG878" s="4">
        <v>8</v>
      </c>
      <c r="AH878" s="4">
        <v>30</v>
      </c>
      <c r="AI878" s="4">
        <v>70</v>
      </c>
      <c r="AJ878" s="4">
        <v>8</v>
      </c>
      <c r="AK878" s="4">
        <v>19</v>
      </c>
      <c r="AL878" s="4">
        <v>16</v>
      </c>
      <c r="AM878" s="4">
        <v>36</v>
      </c>
      <c r="AN878" s="4">
        <v>0</v>
      </c>
      <c r="AO878" s="4">
        <v>0</v>
      </c>
      <c r="AP878" s="4">
        <v>8</v>
      </c>
      <c r="AQ878" s="4">
        <v>39</v>
      </c>
      <c r="AR878" s="3" t="s">
        <v>62</v>
      </c>
      <c r="AS878" s="3" t="s">
        <v>62</v>
      </c>
      <c r="AT878" s="3" t="s">
        <v>62</v>
      </c>
      <c r="AV878" s="6" t="str">
        <f>HYPERLINK("http://mcgill.on.worldcat.org/oclc/757480882","Catalog Record")</f>
        <v>Catalog Record</v>
      </c>
      <c r="AW878" s="6" t="str">
        <f>HYPERLINK("http://www.worldcat.org/oclc/757480882","WorldCat Record")</f>
        <v>WorldCat Record</v>
      </c>
      <c r="AX878" s="3" t="s">
        <v>8497</v>
      </c>
      <c r="AY878" s="3" t="s">
        <v>8498</v>
      </c>
      <c r="AZ878" s="3" t="s">
        <v>8499</v>
      </c>
      <c r="BA878" s="3" t="s">
        <v>8499</v>
      </c>
      <c r="BB878" s="3" t="s">
        <v>8500</v>
      </c>
      <c r="BC878" s="3" t="s">
        <v>142</v>
      </c>
      <c r="BD878" s="3" t="s">
        <v>68</v>
      </c>
      <c r="BE878" s="3" t="s">
        <v>8501</v>
      </c>
      <c r="BF878" s="3" t="s">
        <v>8500</v>
      </c>
      <c r="BG878" s="3" t="s">
        <v>8502</v>
      </c>
    </row>
    <row r="879" spans="1:59" ht="57" x14ac:dyDescent="0.45">
      <c r="A879" s="2" t="s">
        <v>59</v>
      </c>
      <c r="B879" s="2" t="s">
        <v>60</v>
      </c>
      <c r="C879" s="2" t="s">
        <v>8503</v>
      </c>
      <c r="D879" s="2" t="s">
        <v>8504</v>
      </c>
      <c r="E879" s="2" t="s">
        <v>8505</v>
      </c>
      <c r="G879" s="3" t="s">
        <v>62</v>
      </c>
      <c r="I879" s="3" t="s">
        <v>62</v>
      </c>
      <c r="J879" s="3" t="s">
        <v>62</v>
      </c>
      <c r="K879" s="3" t="s">
        <v>63</v>
      </c>
      <c r="L879" s="2" t="s">
        <v>8506</v>
      </c>
      <c r="M879" s="2" t="s">
        <v>1713</v>
      </c>
      <c r="N879" s="3" t="s">
        <v>1155</v>
      </c>
      <c r="P879" s="3" t="s">
        <v>65</v>
      </c>
      <c r="R879" s="3" t="s">
        <v>66</v>
      </c>
      <c r="S879" s="4">
        <v>2</v>
      </c>
      <c r="T879" s="4">
        <v>2</v>
      </c>
      <c r="U879" s="5" t="s">
        <v>2633</v>
      </c>
      <c r="V879" s="5" t="s">
        <v>2633</v>
      </c>
      <c r="W879" s="5" t="s">
        <v>67</v>
      </c>
      <c r="X879" s="5" t="s">
        <v>67</v>
      </c>
      <c r="Y879" s="4">
        <v>166</v>
      </c>
      <c r="Z879" s="4">
        <v>18</v>
      </c>
      <c r="AA879" s="4">
        <v>24</v>
      </c>
      <c r="AB879" s="4">
        <v>1</v>
      </c>
      <c r="AC879" s="4">
        <v>6</v>
      </c>
      <c r="AD879" s="4">
        <v>34</v>
      </c>
      <c r="AE879" s="4">
        <v>43</v>
      </c>
      <c r="AF879" s="4">
        <v>0</v>
      </c>
      <c r="AG879" s="4">
        <v>2</v>
      </c>
      <c r="AH879" s="4">
        <v>29</v>
      </c>
      <c r="AI879" s="4">
        <v>36</v>
      </c>
      <c r="AJ879" s="4">
        <v>10</v>
      </c>
      <c r="AK879" s="4">
        <v>13</v>
      </c>
      <c r="AL879" s="4">
        <v>13</v>
      </c>
      <c r="AM879" s="4">
        <v>17</v>
      </c>
      <c r="AN879" s="4">
        <v>0</v>
      </c>
      <c r="AO879" s="4">
        <v>0</v>
      </c>
      <c r="AP879" s="4">
        <v>12</v>
      </c>
      <c r="AQ879" s="4">
        <v>14</v>
      </c>
      <c r="AR879" s="3" t="s">
        <v>62</v>
      </c>
      <c r="AS879" s="3" t="s">
        <v>62</v>
      </c>
      <c r="AT879" s="3" t="s">
        <v>62</v>
      </c>
      <c r="AV879" s="6" t="str">
        <f>HYPERLINK("http://mcgill.on.worldcat.org/oclc/756913021","Catalog Record")</f>
        <v>Catalog Record</v>
      </c>
      <c r="AW879" s="6" t="str">
        <f>HYPERLINK("http://www.worldcat.org/oclc/756913021","WorldCat Record")</f>
        <v>WorldCat Record</v>
      </c>
      <c r="AX879" s="3" t="s">
        <v>8507</v>
      </c>
      <c r="AY879" s="3" t="s">
        <v>8508</v>
      </c>
      <c r="AZ879" s="3" t="s">
        <v>8509</v>
      </c>
      <c r="BA879" s="3" t="s">
        <v>8509</v>
      </c>
      <c r="BB879" s="3" t="s">
        <v>8510</v>
      </c>
      <c r="BC879" s="3" t="s">
        <v>142</v>
      </c>
      <c r="BD879" s="3" t="s">
        <v>68</v>
      </c>
      <c r="BE879" s="3" t="s">
        <v>8511</v>
      </c>
      <c r="BF879" s="3" t="s">
        <v>8510</v>
      </c>
      <c r="BG879" s="3" t="s">
        <v>8512</v>
      </c>
    </row>
    <row r="880" spans="1:59" ht="85.5" x14ac:dyDescent="0.45">
      <c r="A880" s="2" t="s">
        <v>59</v>
      </c>
      <c r="B880" s="2" t="s">
        <v>5257</v>
      </c>
      <c r="C880" s="2" t="s">
        <v>8513</v>
      </c>
      <c r="D880" s="2" t="s">
        <v>8514</v>
      </c>
      <c r="E880" s="2" t="s">
        <v>8515</v>
      </c>
      <c r="G880" s="3" t="s">
        <v>62</v>
      </c>
      <c r="I880" s="3" t="s">
        <v>62</v>
      </c>
      <c r="J880" s="3" t="s">
        <v>62</v>
      </c>
      <c r="K880" s="3" t="s">
        <v>63</v>
      </c>
      <c r="M880" s="2" t="s">
        <v>8516</v>
      </c>
      <c r="N880" s="3" t="s">
        <v>894</v>
      </c>
      <c r="P880" s="3" t="s">
        <v>65</v>
      </c>
      <c r="Q880" s="2" t="s">
        <v>8517</v>
      </c>
      <c r="R880" s="3" t="s">
        <v>66</v>
      </c>
      <c r="S880" s="4">
        <v>0</v>
      </c>
      <c r="T880" s="4">
        <v>0</v>
      </c>
      <c r="W880" s="5" t="s">
        <v>67</v>
      </c>
      <c r="X880" s="5" t="s">
        <v>67</v>
      </c>
      <c r="Y880" s="4">
        <v>35</v>
      </c>
      <c r="Z880" s="4">
        <v>6</v>
      </c>
      <c r="AA880" s="4">
        <v>100</v>
      </c>
      <c r="AB880" s="4">
        <v>2</v>
      </c>
      <c r="AC880" s="4">
        <v>17</v>
      </c>
      <c r="AD880" s="4">
        <v>13</v>
      </c>
      <c r="AE880" s="4">
        <v>101</v>
      </c>
      <c r="AF880" s="4">
        <v>1</v>
      </c>
      <c r="AG880" s="4">
        <v>8</v>
      </c>
      <c r="AH880" s="4">
        <v>9</v>
      </c>
      <c r="AI880" s="4">
        <v>64</v>
      </c>
      <c r="AJ880" s="4">
        <v>5</v>
      </c>
      <c r="AK880" s="4">
        <v>21</v>
      </c>
      <c r="AL880" s="4">
        <v>5</v>
      </c>
      <c r="AM880" s="4">
        <v>31</v>
      </c>
      <c r="AN880" s="4">
        <v>0</v>
      </c>
      <c r="AO880" s="4">
        <v>0</v>
      </c>
      <c r="AP880" s="4">
        <v>5</v>
      </c>
      <c r="AQ880" s="4">
        <v>43</v>
      </c>
      <c r="AR880" s="3" t="s">
        <v>62</v>
      </c>
      <c r="AS880" s="3" t="s">
        <v>62</v>
      </c>
      <c r="AT880" s="3" t="s">
        <v>62</v>
      </c>
      <c r="AV880" s="6" t="str">
        <f>HYPERLINK("http://mcgill.on.worldcat.org/oclc/726621680","Catalog Record")</f>
        <v>Catalog Record</v>
      </c>
      <c r="AW880" s="6" t="str">
        <f>HYPERLINK("http://www.worldcat.org/oclc/726621680","WorldCat Record")</f>
        <v>WorldCat Record</v>
      </c>
      <c r="AX880" s="3" t="s">
        <v>8518</v>
      </c>
      <c r="AY880" s="3" t="s">
        <v>8519</v>
      </c>
      <c r="AZ880" s="3" t="s">
        <v>8520</v>
      </c>
      <c r="BA880" s="3" t="s">
        <v>8520</v>
      </c>
      <c r="BB880" s="3" t="s">
        <v>8521</v>
      </c>
      <c r="BC880" s="3" t="s">
        <v>142</v>
      </c>
      <c r="BD880" s="3" t="s">
        <v>68</v>
      </c>
      <c r="BE880" s="3" t="s">
        <v>8522</v>
      </c>
      <c r="BF880" s="3" t="s">
        <v>8521</v>
      </c>
      <c r="BG880" s="3" t="s">
        <v>8523</v>
      </c>
    </row>
    <row r="881" spans="1:59" ht="57" x14ac:dyDescent="0.45">
      <c r="A881" s="2" t="s">
        <v>59</v>
      </c>
      <c r="B881" s="2" t="s">
        <v>60</v>
      </c>
      <c r="C881" s="2" t="s">
        <v>8524</v>
      </c>
      <c r="D881" s="2" t="s">
        <v>8525</v>
      </c>
      <c r="E881" s="2" t="s">
        <v>8526</v>
      </c>
      <c r="G881" s="3" t="s">
        <v>62</v>
      </c>
      <c r="I881" s="3" t="s">
        <v>62</v>
      </c>
      <c r="J881" s="3" t="s">
        <v>62</v>
      </c>
      <c r="K881" s="3" t="s">
        <v>63</v>
      </c>
      <c r="M881" s="2" t="s">
        <v>8527</v>
      </c>
      <c r="N881" s="3" t="s">
        <v>1097</v>
      </c>
      <c r="P881" s="3" t="s">
        <v>65</v>
      </c>
      <c r="Q881" s="2" t="s">
        <v>8528</v>
      </c>
      <c r="R881" s="3" t="s">
        <v>66</v>
      </c>
      <c r="S881" s="4">
        <v>13</v>
      </c>
      <c r="T881" s="4">
        <v>13</v>
      </c>
      <c r="U881" s="5" t="s">
        <v>2966</v>
      </c>
      <c r="V881" s="5" t="s">
        <v>2966</v>
      </c>
      <c r="W881" s="5" t="s">
        <v>67</v>
      </c>
      <c r="X881" s="5" t="s">
        <v>67</v>
      </c>
      <c r="Y881" s="4">
        <v>230</v>
      </c>
      <c r="Z881" s="4">
        <v>16</v>
      </c>
      <c r="AA881" s="4">
        <v>75</v>
      </c>
      <c r="AB881" s="4">
        <v>2</v>
      </c>
      <c r="AC881" s="4">
        <v>15</v>
      </c>
      <c r="AD881" s="4">
        <v>78</v>
      </c>
      <c r="AE881" s="4">
        <v>121</v>
      </c>
      <c r="AF881" s="4">
        <v>1</v>
      </c>
      <c r="AG881" s="4">
        <v>8</v>
      </c>
      <c r="AH881" s="4">
        <v>70</v>
      </c>
      <c r="AI881" s="4">
        <v>89</v>
      </c>
      <c r="AJ881" s="4">
        <v>13</v>
      </c>
      <c r="AK881" s="4">
        <v>22</v>
      </c>
      <c r="AL881" s="4">
        <v>39</v>
      </c>
      <c r="AM881" s="4">
        <v>47</v>
      </c>
      <c r="AN881" s="4">
        <v>0</v>
      </c>
      <c r="AO881" s="4">
        <v>0</v>
      </c>
      <c r="AP881" s="4">
        <v>13</v>
      </c>
      <c r="AQ881" s="4">
        <v>38</v>
      </c>
      <c r="AR881" s="3" t="s">
        <v>62</v>
      </c>
      <c r="AS881" s="3" t="s">
        <v>62</v>
      </c>
      <c r="AT881" s="3" t="s">
        <v>62</v>
      </c>
      <c r="AV881" s="6" t="str">
        <f>HYPERLINK("http://mcgill.on.worldcat.org/oclc/52937484","Catalog Record")</f>
        <v>Catalog Record</v>
      </c>
      <c r="AW881" s="6" t="str">
        <f>HYPERLINK("http://www.worldcat.org/oclc/52937484","WorldCat Record")</f>
        <v>WorldCat Record</v>
      </c>
      <c r="AX881" s="3" t="s">
        <v>8529</v>
      </c>
      <c r="AY881" s="3" t="s">
        <v>8530</v>
      </c>
      <c r="AZ881" s="3" t="s">
        <v>8531</v>
      </c>
      <c r="BA881" s="3" t="s">
        <v>8531</v>
      </c>
      <c r="BB881" s="3" t="s">
        <v>8532</v>
      </c>
      <c r="BC881" s="3" t="s">
        <v>142</v>
      </c>
      <c r="BD881" s="3" t="s">
        <v>68</v>
      </c>
      <c r="BE881" s="3" t="s">
        <v>8533</v>
      </c>
      <c r="BF881" s="3" t="s">
        <v>8532</v>
      </c>
      <c r="BG881" s="3" t="s">
        <v>8534</v>
      </c>
    </row>
    <row r="882" spans="1:59" ht="57" x14ac:dyDescent="0.45">
      <c r="A882" s="2" t="s">
        <v>59</v>
      </c>
      <c r="B882" s="2" t="s">
        <v>412</v>
      </c>
      <c r="C882" s="2" t="s">
        <v>8535</v>
      </c>
      <c r="D882" s="2" t="s">
        <v>8536</v>
      </c>
      <c r="E882" s="2" t="s">
        <v>8537</v>
      </c>
      <c r="G882" s="3" t="s">
        <v>62</v>
      </c>
      <c r="I882" s="3" t="s">
        <v>62</v>
      </c>
      <c r="J882" s="3" t="s">
        <v>62</v>
      </c>
      <c r="K882" s="3" t="s">
        <v>63</v>
      </c>
      <c r="L882" s="2" t="s">
        <v>8538</v>
      </c>
      <c r="M882" s="2" t="s">
        <v>8539</v>
      </c>
      <c r="N882" s="3" t="s">
        <v>149</v>
      </c>
      <c r="O882" s="2" t="s">
        <v>420</v>
      </c>
      <c r="P882" s="3" t="s">
        <v>65</v>
      </c>
      <c r="R882" s="3" t="s">
        <v>66</v>
      </c>
      <c r="S882" s="4">
        <v>7</v>
      </c>
      <c r="T882" s="4">
        <v>7</v>
      </c>
      <c r="U882" s="5" t="s">
        <v>8043</v>
      </c>
      <c r="V882" s="5" t="s">
        <v>8043</v>
      </c>
      <c r="W882" s="5" t="s">
        <v>67</v>
      </c>
      <c r="X882" s="5" t="s">
        <v>67</v>
      </c>
      <c r="Y882" s="4">
        <v>107</v>
      </c>
      <c r="Z882" s="4">
        <v>11</v>
      </c>
      <c r="AA882" s="4">
        <v>24</v>
      </c>
      <c r="AB882" s="4">
        <v>1</v>
      </c>
      <c r="AC882" s="4">
        <v>3</v>
      </c>
      <c r="AD882" s="4">
        <v>24</v>
      </c>
      <c r="AE882" s="4">
        <v>53</v>
      </c>
      <c r="AF882" s="4">
        <v>0</v>
      </c>
      <c r="AG882" s="4">
        <v>2</v>
      </c>
      <c r="AH882" s="4">
        <v>21</v>
      </c>
      <c r="AI882" s="4">
        <v>41</v>
      </c>
      <c r="AJ882" s="4">
        <v>5</v>
      </c>
      <c r="AK882" s="4">
        <v>9</v>
      </c>
      <c r="AL882" s="4">
        <v>13</v>
      </c>
      <c r="AM882" s="4">
        <v>25</v>
      </c>
      <c r="AN882" s="4">
        <v>0</v>
      </c>
      <c r="AO882" s="4">
        <v>0</v>
      </c>
      <c r="AP882" s="4">
        <v>7</v>
      </c>
      <c r="AQ882" s="4">
        <v>17</v>
      </c>
      <c r="AR882" s="3" t="s">
        <v>62</v>
      </c>
      <c r="AS882" s="3" t="s">
        <v>62</v>
      </c>
      <c r="AT882" s="3" t="s">
        <v>62</v>
      </c>
      <c r="AV882" s="6" t="str">
        <f>HYPERLINK("http://mcgill.on.worldcat.org/oclc/313017239","Catalog Record")</f>
        <v>Catalog Record</v>
      </c>
      <c r="AW882" s="6" t="str">
        <f>HYPERLINK("http://www.worldcat.org/oclc/313017239","WorldCat Record")</f>
        <v>WorldCat Record</v>
      </c>
      <c r="AX882" s="3" t="s">
        <v>8540</v>
      </c>
      <c r="AY882" s="3" t="s">
        <v>8541</v>
      </c>
      <c r="AZ882" s="3" t="s">
        <v>8542</v>
      </c>
      <c r="BA882" s="3" t="s">
        <v>8542</v>
      </c>
      <c r="BB882" s="3" t="s">
        <v>8543</v>
      </c>
      <c r="BC882" s="3" t="s">
        <v>142</v>
      </c>
      <c r="BD882" s="3" t="s">
        <v>8544</v>
      </c>
      <c r="BE882" s="3" t="s">
        <v>8545</v>
      </c>
      <c r="BF882" s="3" t="s">
        <v>8543</v>
      </c>
      <c r="BG882" s="3" t="s">
        <v>8546</v>
      </c>
    </row>
    <row r="883" spans="1:59" ht="57" x14ac:dyDescent="0.45">
      <c r="A883" s="2" t="s">
        <v>59</v>
      </c>
      <c r="B883" s="2" t="s">
        <v>60</v>
      </c>
      <c r="C883" s="2" t="s">
        <v>8547</v>
      </c>
      <c r="D883" s="2" t="s">
        <v>8548</v>
      </c>
      <c r="E883" s="2" t="s">
        <v>8549</v>
      </c>
      <c r="G883" s="3" t="s">
        <v>62</v>
      </c>
      <c r="I883" s="3" t="s">
        <v>61</v>
      </c>
      <c r="J883" s="3" t="s">
        <v>62</v>
      </c>
      <c r="K883" s="3" t="s">
        <v>63</v>
      </c>
      <c r="M883" s="2" t="s">
        <v>8550</v>
      </c>
      <c r="N883" s="3" t="s">
        <v>340</v>
      </c>
      <c r="P883" s="3" t="s">
        <v>65</v>
      </c>
      <c r="R883" s="3" t="s">
        <v>66</v>
      </c>
      <c r="S883" s="4">
        <v>0</v>
      </c>
      <c r="T883" s="4">
        <v>1</v>
      </c>
      <c r="V883" s="5" t="s">
        <v>2633</v>
      </c>
      <c r="W883" s="5" t="s">
        <v>67</v>
      </c>
      <c r="X883" s="5" t="s">
        <v>67</v>
      </c>
      <c r="Y883" s="4">
        <v>177</v>
      </c>
      <c r="Z883" s="4">
        <v>10</v>
      </c>
      <c r="AA883" s="4">
        <v>20</v>
      </c>
      <c r="AB883" s="4">
        <v>1</v>
      </c>
      <c r="AC883" s="4">
        <v>4</v>
      </c>
      <c r="AD883" s="4">
        <v>72</v>
      </c>
      <c r="AE883" s="4">
        <v>91</v>
      </c>
      <c r="AF883" s="4">
        <v>0</v>
      </c>
      <c r="AG883" s="4">
        <v>3</v>
      </c>
      <c r="AH883" s="4">
        <v>64</v>
      </c>
      <c r="AI883" s="4">
        <v>77</v>
      </c>
      <c r="AJ883" s="4">
        <v>7</v>
      </c>
      <c r="AK883" s="4">
        <v>15</v>
      </c>
      <c r="AL883" s="4">
        <v>43</v>
      </c>
      <c r="AM883" s="4">
        <v>48</v>
      </c>
      <c r="AN883" s="4">
        <v>0</v>
      </c>
      <c r="AO883" s="4">
        <v>0</v>
      </c>
      <c r="AP883" s="4">
        <v>8</v>
      </c>
      <c r="AQ883" s="4">
        <v>16</v>
      </c>
      <c r="AR883" s="3" t="s">
        <v>62</v>
      </c>
      <c r="AS883" s="3" t="s">
        <v>62</v>
      </c>
      <c r="AT883" s="3" t="s">
        <v>62</v>
      </c>
      <c r="AU883" s="6" t="str">
        <f>HYPERLINK("http://catalog.hathitrust.org/Record/001462928","HathiTrust Record")</f>
        <v>HathiTrust Record</v>
      </c>
      <c r="AV883" s="6" t="str">
        <f>HYPERLINK("http://mcgill.on.worldcat.org/oclc/450369","Catalog Record")</f>
        <v>Catalog Record</v>
      </c>
      <c r="AW883" s="6" t="str">
        <f>HYPERLINK("http://www.worldcat.org/oclc/450369","WorldCat Record")</f>
        <v>WorldCat Record</v>
      </c>
      <c r="AX883" s="3" t="s">
        <v>8551</v>
      </c>
      <c r="AY883" s="3" t="s">
        <v>8552</v>
      </c>
      <c r="AZ883" s="3" t="s">
        <v>8553</v>
      </c>
      <c r="BA883" s="3" t="s">
        <v>8553</v>
      </c>
      <c r="BB883" s="3" t="s">
        <v>8554</v>
      </c>
      <c r="BC883" s="3" t="s">
        <v>142</v>
      </c>
      <c r="BD883" s="3" t="s">
        <v>68</v>
      </c>
      <c r="BF883" s="3" t="s">
        <v>8554</v>
      </c>
      <c r="BG883" s="3" t="s">
        <v>8555</v>
      </c>
    </row>
    <row r="884" spans="1:59" ht="57" x14ac:dyDescent="0.45">
      <c r="A884" s="2" t="s">
        <v>59</v>
      </c>
      <c r="B884" s="2" t="s">
        <v>60</v>
      </c>
      <c r="C884" s="2" t="s">
        <v>8547</v>
      </c>
      <c r="D884" s="2" t="s">
        <v>8548</v>
      </c>
      <c r="E884" s="2" t="s">
        <v>8549</v>
      </c>
      <c r="G884" s="3" t="s">
        <v>62</v>
      </c>
      <c r="I884" s="3" t="s">
        <v>61</v>
      </c>
      <c r="J884" s="3" t="s">
        <v>62</v>
      </c>
      <c r="K884" s="3" t="s">
        <v>63</v>
      </c>
      <c r="M884" s="2" t="s">
        <v>8550</v>
      </c>
      <c r="N884" s="3" t="s">
        <v>340</v>
      </c>
      <c r="P884" s="3" t="s">
        <v>65</v>
      </c>
      <c r="R884" s="3" t="s">
        <v>66</v>
      </c>
      <c r="S884" s="4">
        <v>1</v>
      </c>
      <c r="T884" s="4">
        <v>1</v>
      </c>
      <c r="U884" s="5" t="s">
        <v>2633</v>
      </c>
      <c r="V884" s="5" t="s">
        <v>2633</v>
      </c>
      <c r="W884" s="5" t="s">
        <v>67</v>
      </c>
      <c r="X884" s="5" t="s">
        <v>67</v>
      </c>
      <c r="Y884" s="4">
        <v>177</v>
      </c>
      <c r="Z884" s="4">
        <v>10</v>
      </c>
      <c r="AA884" s="4">
        <v>20</v>
      </c>
      <c r="AB884" s="4">
        <v>1</v>
      </c>
      <c r="AC884" s="4">
        <v>4</v>
      </c>
      <c r="AD884" s="4">
        <v>72</v>
      </c>
      <c r="AE884" s="4">
        <v>91</v>
      </c>
      <c r="AF884" s="4">
        <v>0</v>
      </c>
      <c r="AG884" s="4">
        <v>3</v>
      </c>
      <c r="AH884" s="4">
        <v>64</v>
      </c>
      <c r="AI884" s="4">
        <v>77</v>
      </c>
      <c r="AJ884" s="4">
        <v>7</v>
      </c>
      <c r="AK884" s="4">
        <v>15</v>
      </c>
      <c r="AL884" s="4">
        <v>43</v>
      </c>
      <c r="AM884" s="4">
        <v>48</v>
      </c>
      <c r="AN884" s="4">
        <v>0</v>
      </c>
      <c r="AO884" s="4">
        <v>0</v>
      </c>
      <c r="AP884" s="4">
        <v>8</v>
      </c>
      <c r="AQ884" s="4">
        <v>16</v>
      </c>
      <c r="AR884" s="3" t="s">
        <v>62</v>
      </c>
      <c r="AS884" s="3" t="s">
        <v>62</v>
      </c>
      <c r="AT884" s="3" t="s">
        <v>62</v>
      </c>
      <c r="AU884" s="6" t="str">
        <f>HYPERLINK("http://catalog.hathitrust.org/Record/001462928","HathiTrust Record")</f>
        <v>HathiTrust Record</v>
      </c>
      <c r="AV884" s="6" t="str">
        <f>HYPERLINK("http://mcgill.on.worldcat.org/oclc/450369","Catalog Record")</f>
        <v>Catalog Record</v>
      </c>
      <c r="AW884" s="6" t="str">
        <f>HYPERLINK("http://www.worldcat.org/oclc/450369","WorldCat Record")</f>
        <v>WorldCat Record</v>
      </c>
      <c r="AX884" s="3" t="s">
        <v>8551</v>
      </c>
      <c r="AY884" s="3" t="s">
        <v>8552</v>
      </c>
      <c r="AZ884" s="3" t="s">
        <v>8553</v>
      </c>
      <c r="BA884" s="3" t="s">
        <v>8553</v>
      </c>
      <c r="BB884" s="3" t="s">
        <v>8556</v>
      </c>
      <c r="BC884" s="3" t="s">
        <v>142</v>
      </c>
      <c r="BD884" s="3" t="s">
        <v>68</v>
      </c>
      <c r="BF884" s="3" t="s">
        <v>8556</v>
      </c>
      <c r="BG884" s="3" t="s">
        <v>8557</v>
      </c>
    </row>
    <row r="885" spans="1:59" ht="57" x14ac:dyDescent="0.45">
      <c r="A885" s="2" t="s">
        <v>59</v>
      </c>
      <c r="B885" s="2" t="s">
        <v>60</v>
      </c>
      <c r="C885" s="2" t="s">
        <v>8558</v>
      </c>
      <c r="D885" s="2" t="s">
        <v>8559</v>
      </c>
      <c r="E885" s="2" t="s">
        <v>8560</v>
      </c>
      <c r="G885" s="3" t="s">
        <v>62</v>
      </c>
      <c r="I885" s="3" t="s">
        <v>61</v>
      </c>
      <c r="J885" s="3" t="s">
        <v>62</v>
      </c>
      <c r="K885" s="3" t="s">
        <v>63</v>
      </c>
      <c r="L885" s="2" t="s">
        <v>8561</v>
      </c>
      <c r="M885" s="2" t="s">
        <v>8375</v>
      </c>
      <c r="N885" s="3" t="s">
        <v>495</v>
      </c>
      <c r="P885" s="3" t="s">
        <v>65</v>
      </c>
      <c r="Q885" s="2" t="s">
        <v>7366</v>
      </c>
      <c r="R885" s="3" t="s">
        <v>66</v>
      </c>
      <c r="S885" s="4">
        <v>0</v>
      </c>
      <c r="T885" s="4">
        <v>3</v>
      </c>
      <c r="V885" s="5" t="s">
        <v>8562</v>
      </c>
      <c r="W885" s="5" t="s">
        <v>67</v>
      </c>
      <c r="X885" s="5" t="s">
        <v>67</v>
      </c>
      <c r="Y885" s="4">
        <v>292</v>
      </c>
      <c r="Z885" s="4">
        <v>24</v>
      </c>
      <c r="AA885" s="4">
        <v>27</v>
      </c>
      <c r="AB885" s="4">
        <v>2</v>
      </c>
      <c r="AC885" s="4">
        <v>4</v>
      </c>
      <c r="AD885" s="4">
        <v>80</v>
      </c>
      <c r="AE885" s="4">
        <v>83</v>
      </c>
      <c r="AF885" s="4">
        <v>1</v>
      </c>
      <c r="AG885" s="4">
        <v>3</v>
      </c>
      <c r="AH885" s="4">
        <v>67</v>
      </c>
      <c r="AI885" s="4">
        <v>68</v>
      </c>
      <c r="AJ885" s="4">
        <v>17</v>
      </c>
      <c r="AK885" s="4">
        <v>18</v>
      </c>
      <c r="AL885" s="4">
        <v>37</v>
      </c>
      <c r="AM885" s="4">
        <v>37</v>
      </c>
      <c r="AN885" s="4">
        <v>0</v>
      </c>
      <c r="AO885" s="4">
        <v>0</v>
      </c>
      <c r="AP885" s="4">
        <v>20</v>
      </c>
      <c r="AQ885" s="4">
        <v>23</v>
      </c>
      <c r="AR885" s="3" t="s">
        <v>62</v>
      </c>
      <c r="AS885" s="3" t="s">
        <v>62</v>
      </c>
      <c r="AT885" s="3" t="s">
        <v>61</v>
      </c>
      <c r="AU885" s="6" t="str">
        <f>HYPERLINK("http://catalog.hathitrust.org/Record/003047161","HathiTrust Record")</f>
        <v>HathiTrust Record</v>
      </c>
      <c r="AV885" s="6" t="str">
        <f>HYPERLINK("http://mcgill.on.worldcat.org/oclc/1863696","Catalog Record")</f>
        <v>Catalog Record</v>
      </c>
      <c r="AW885" s="6" t="str">
        <f>HYPERLINK("http://www.worldcat.org/oclc/1863696","WorldCat Record")</f>
        <v>WorldCat Record</v>
      </c>
      <c r="AX885" s="3" t="s">
        <v>8563</v>
      </c>
      <c r="AY885" s="3" t="s">
        <v>8564</v>
      </c>
      <c r="AZ885" s="3" t="s">
        <v>8565</v>
      </c>
      <c r="BA885" s="3" t="s">
        <v>8565</v>
      </c>
      <c r="BB885" s="3" t="s">
        <v>8566</v>
      </c>
      <c r="BC885" s="3" t="s">
        <v>142</v>
      </c>
      <c r="BD885" s="3" t="s">
        <v>68</v>
      </c>
      <c r="BE885" s="3" t="s">
        <v>8567</v>
      </c>
      <c r="BF885" s="3" t="s">
        <v>8566</v>
      </c>
      <c r="BG885" s="3" t="s">
        <v>8568</v>
      </c>
    </row>
    <row r="886" spans="1:59" ht="57" x14ac:dyDescent="0.45">
      <c r="A886" s="2" t="s">
        <v>59</v>
      </c>
      <c r="B886" s="2" t="s">
        <v>60</v>
      </c>
      <c r="C886" s="2" t="s">
        <v>8558</v>
      </c>
      <c r="D886" s="2" t="s">
        <v>8559</v>
      </c>
      <c r="E886" s="2" t="s">
        <v>8560</v>
      </c>
      <c r="G886" s="3" t="s">
        <v>62</v>
      </c>
      <c r="I886" s="3" t="s">
        <v>61</v>
      </c>
      <c r="J886" s="3" t="s">
        <v>62</v>
      </c>
      <c r="K886" s="3" t="s">
        <v>63</v>
      </c>
      <c r="L886" s="2" t="s">
        <v>8561</v>
      </c>
      <c r="M886" s="2" t="s">
        <v>8375</v>
      </c>
      <c r="N886" s="3" t="s">
        <v>495</v>
      </c>
      <c r="P886" s="3" t="s">
        <v>65</v>
      </c>
      <c r="Q886" s="2" t="s">
        <v>7366</v>
      </c>
      <c r="R886" s="3" t="s">
        <v>66</v>
      </c>
      <c r="S886" s="4">
        <v>3</v>
      </c>
      <c r="T886" s="4">
        <v>3</v>
      </c>
      <c r="U886" s="5" t="s">
        <v>8562</v>
      </c>
      <c r="V886" s="5" t="s">
        <v>8562</v>
      </c>
      <c r="W886" s="5" t="s">
        <v>67</v>
      </c>
      <c r="X886" s="5" t="s">
        <v>67</v>
      </c>
      <c r="Y886" s="4">
        <v>292</v>
      </c>
      <c r="Z886" s="4">
        <v>24</v>
      </c>
      <c r="AA886" s="4">
        <v>27</v>
      </c>
      <c r="AB886" s="4">
        <v>2</v>
      </c>
      <c r="AC886" s="4">
        <v>4</v>
      </c>
      <c r="AD886" s="4">
        <v>80</v>
      </c>
      <c r="AE886" s="4">
        <v>83</v>
      </c>
      <c r="AF886" s="4">
        <v>1</v>
      </c>
      <c r="AG886" s="4">
        <v>3</v>
      </c>
      <c r="AH886" s="4">
        <v>67</v>
      </c>
      <c r="AI886" s="4">
        <v>68</v>
      </c>
      <c r="AJ886" s="4">
        <v>17</v>
      </c>
      <c r="AK886" s="4">
        <v>18</v>
      </c>
      <c r="AL886" s="4">
        <v>37</v>
      </c>
      <c r="AM886" s="4">
        <v>37</v>
      </c>
      <c r="AN886" s="4">
        <v>0</v>
      </c>
      <c r="AO886" s="4">
        <v>0</v>
      </c>
      <c r="AP886" s="4">
        <v>20</v>
      </c>
      <c r="AQ886" s="4">
        <v>23</v>
      </c>
      <c r="AR886" s="3" t="s">
        <v>62</v>
      </c>
      <c r="AS886" s="3" t="s">
        <v>62</v>
      </c>
      <c r="AT886" s="3" t="s">
        <v>61</v>
      </c>
      <c r="AU886" s="6" t="str">
        <f>HYPERLINK("http://catalog.hathitrust.org/Record/003047161","HathiTrust Record")</f>
        <v>HathiTrust Record</v>
      </c>
      <c r="AV886" s="6" t="str">
        <f>HYPERLINK("http://mcgill.on.worldcat.org/oclc/1863696","Catalog Record")</f>
        <v>Catalog Record</v>
      </c>
      <c r="AW886" s="6" t="str">
        <f>HYPERLINK("http://www.worldcat.org/oclc/1863696","WorldCat Record")</f>
        <v>WorldCat Record</v>
      </c>
      <c r="AX886" s="3" t="s">
        <v>8563</v>
      </c>
      <c r="AY886" s="3" t="s">
        <v>8564</v>
      </c>
      <c r="AZ886" s="3" t="s">
        <v>8565</v>
      </c>
      <c r="BA886" s="3" t="s">
        <v>8565</v>
      </c>
      <c r="BB886" s="3" t="s">
        <v>8569</v>
      </c>
      <c r="BC886" s="3" t="s">
        <v>142</v>
      </c>
      <c r="BD886" s="3" t="s">
        <v>68</v>
      </c>
      <c r="BE886" s="3" t="s">
        <v>8567</v>
      </c>
      <c r="BF886" s="3" t="s">
        <v>8569</v>
      </c>
      <c r="BG886" s="3" t="s">
        <v>8570</v>
      </c>
    </row>
    <row r="887" spans="1:59" ht="57" x14ac:dyDescent="0.45">
      <c r="A887" s="2" t="s">
        <v>59</v>
      </c>
      <c r="B887" s="2" t="s">
        <v>60</v>
      </c>
      <c r="C887" s="2" t="s">
        <v>8571</v>
      </c>
      <c r="D887" s="2" t="s">
        <v>8572</v>
      </c>
      <c r="E887" s="2" t="s">
        <v>8573</v>
      </c>
      <c r="G887" s="3" t="s">
        <v>62</v>
      </c>
      <c r="I887" s="3" t="s">
        <v>62</v>
      </c>
      <c r="J887" s="3" t="s">
        <v>62</v>
      </c>
      <c r="K887" s="3" t="s">
        <v>63</v>
      </c>
      <c r="L887" s="2" t="s">
        <v>8574</v>
      </c>
      <c r="M887" s="2" t="s">
        <v>8575</v>
      </c>
      <c r="N887" s="3" t="s">
        <v>568</v>
      </c>
      <c r="P887" s="3" t="s">
        <v>65</v>
      </c>
      <c r="Q887" s="2" t="s">
        <v>7366</v>
      </c>
      <c r="R887" s="3" t="s">
        <v>66</v>
      </c>
      <c r="S887" s="4">
        <v>42</v>
      </c>
      <c r="T887" s="4">
        <v>42</v>
      </c>
      <c r="U887" s="5" t="s">
        <v>8576</v>
      </c>
      <c r="V887" s="5" t="s">
        <v>8576</v>
      </c>
      <c r="W887" s="5" t="s">
        <v>67</v>
      </c>
      <c r="X887" s="5" t="s">
        <v>67</v>
      </c>
      <c r="Y887" s="4">
        <v>387</v>
      </c>
      <c r="Z887" s="4">
        <v>25</v>
      </c>
      <c r="AA887" s="4">
        <v>31</v>
      </c>
      <c r="AB887" s="4">
        <v>2</v>
      </c>
      <c r="AC887" s="4">
        <v>7</v>
      </c>
      <c r="AD887" s="4">
        <v>78</v>
      </c>
      <c r="AE887" s="4">
        <v>82</v>
      </c>
      <c r="AF887" s="4">
        <v>1</v>
      </c>
      <c r="AG887" s="4">
        <v>3</v>
      </c>
      <c r="AH887" s="4">
        <v>67</v>
      </c>
      <c r="AI887" s="4">
        <v>69</v>
      </c>
      <c r="AJ887" s="4">
        <v>16</v>
      </c>
      <c r="AK887" s="4">
        <v>18</v>
      </c>
      <c r="AL887" s="4">
        <v>30</v>
      </c>
      <c r="AM887" s="4">
        <v>30</v>
      </c>
      <c r="AN887" s="4">
        <v>0</v>
      </c>
      <c r="AO887" s="4">
        <v>0</v>
      </c>
      <c r="AP887" s="4">
        <v>20</v>
      </c>
      <c r="AQ887" s="4">
        <v>23</v>
      </c>
      <c r="AR887" s="3" t="s">
        <v>62</v>
      </c>
      <c r="AS887" s="3" t="s">
        <v>62</v>
      </c>
      <c r="AT887" s="3" t="s">
        <v>61</v>
      </c>
      <c r="AU887" s="6" t="str">
        <f>HYPERLINK("http://catalog.hathitrust.org/Record/000858170","HathiTrust Record")</f>
        <v>HathiTrust Record</v>
      </c>
      <c r="AV887" s="6" t="str">
        <f>HYPERLINK("http://mcgill.on.worldcat.org/oclc/13945569","Catalog Record")</f>
        <v>Catalog Record</v>
      </c>
      <c r="AW887" s="6" t="str">
        <f>HYPERLINK("http://www.worldcat.org/oclc/13945569","WorldCat Record")</f>
        <v>WorldCat Record</v>
      </c>
      <c r="AX887" s="3" t="s">
        <v>8577</v>
      </c>
      <c r="AY887" s="3" t="s">
        <v>8578</v>
      </c>
      <c r="AZ887" s="3" t="s">
        <v>8579</v>
      </c>
      <c r="BA887" s="3" t="s">
        <v>8579</v>
      </c>
      <c r="BB887" s="3" t="s">
        <v>8580</v>
      </c>
      <c r="BC887" s="3" t="s">
        <v>142</v>
      </c>
      <c r="BD887" s="3" t="s">
        <v>68</v>
      </c>
      <c r="BE887" s="3" t="s">
        <v>8581</v>
      </c>
      <c r="BF887" s="3" t="s">
        <v>8580</v>
      </c>
      <c r="BG887" s="3" t="s">
        <v>8582</v>
      </c>
    </row>
    <row r="888" spans="1:59" ht="57" x14ac:dyDescent="0.45">
      <c r="A888" s="2" t="s">
        <v>59</v>
      </c>
      <c r="B888" s="2" t="s">
        <v>60</v>
      </c>
      <c r="C888" s="2" t="s">
        <v>8583</v>
      </c>
      <c r="D888" s="2" t="s">
        <v>8584</v>
      </c>
      <c r="E888" s="2" t="s">
        <v>8585</v>
      </c>
      <c r="G888" s="3" t="s">
        <v>62</v>
      </c>
      <c r="I888" s="3" t="s">
        <v>62</v>
      </c>
      <c r="J888" s="3" t="s">
        <v>62</v>
      </c>
      <c r="K888" s="3" t="s">
        <v>63</v>
      </c>
      <c r="M888" s="2" t="s">
        <v>8586</v>
      </c>
      <c r="N888" s="3" t="s">
        <v>1478</v>
      </c>
      <c r="P888" s="3" t="s">
        <v>65</v>
      </c>
      <c r="Q888" s="2" t="s">
        <v>8587</v>
      </c>
      <c r="R888" s="3" t="s">
        <v>66</v>
      </c>
      <c r="S888" s="4">
        <v>23</v>
      </c>
      <c r="T888" s="4">
        <v>23</v>
      </c>
      <c r="U888" s="5" t="s">
        <v>6989</v>
      </c>
      <c r="V888" s="5" t="s">
        <v>6989</v>
      </c>
      <c r="W888" s="5" t="s">
        <v>67</v>
      </c>
      <c r="X888" s="5" t="s">
        <v>67</v>
      </c>
      <c r="Y888" s="4">
        <v>334</v>
      </c>
      <c r="Z888" s="4">
        <v>14</v>
      </c>
      <c r="AA888" s="4">
        <v>20</v>
      </c>
      <c r="AB888" s="4">
        <v>1</v>
      </c>
      <c r="AC888" s="4">
        <v>5</v>
      </c>
      <c r="AD888" s="4">
        <v>98</v>
      </c>
      <c r="AE888" s="4">
        <v>102</v>
      </c>
      <c r="AF888" s="4">
        <v>0</v>
      </c>
      <c r="AG888" s="4">
        <v>1</v>
      </c>
      <c r="AH888" s="4">
        <v>89</v>
      </c>
      <c r="AI888" s="4">
        <v>90</v>
      </c>
      <c r="AJ888" s="4">
        <v>11</v>
      </c>
      <c r="AK888" s="4">
        <v>13</v>
      </c>
      <c r="AL888" s="4">
        <v>53</v>
      </c>
      <c r="AM888" s="4">
        <v>53</v>
      </c>
      <c r="AN888" s="4">
        <v>0</v>
      </c>
      <c r="AO888" s="4">
        <v>0</v>
      </c>
      <c r="AP888" s="4">
        <v>12</v>
      </c>
      <c r="AQ888" s="4">
        <v>15</v>
      </c>
      <c r="AR888" s="3" t="s">
        <v>62</v>
      </c>
      <c r="AS888" s="3" t="s">
        <v>61</v>
      </c>
      <c r="AT888" s="3" t="s">
        <v>61</v>
      </c>
      <c r="AU888" s="6" t="str">
        <f>HYPERLINK("http://catalog.hathitrust.org/Record/003076014","HathiTrust Record")</f>
        <v>HathiTrust Record</v>
      </c>
      <c r="AV888" s="6" t="str">
        <f>HYPERLINK("http://mcgill.on.worldcat.org/oclc/34077544","Catalog Record")</f>
        <v>Catalog Record</v>
      </c>
      <c r="AW888" s="6" t="str">
        <f>HYPERLINK("http://www.worldcat.org/oclc/34077544","WorldCat Record")</f>
        <v>WorldCat Record</v>
      </c>
      <c r="AX888" s="3" t="s">
        <v>8588</v>
      </c>
      <c r="AY888" s="3" t="s">
        <v>8589</v>
      </c>
      <c r="AZ888" s="3" t="s">
        <v>8590</v>
      </c>
      <c r="BA888" s="3" t="s">
        <v>8590</v>
      </c>
      <c r="BB888" s="3" t="s">
        <v>8591</v>
      </c>
      <c r="BC888" s="3" t="s">
        <v>142</v>
      </c>
      <c r="BD888" s="3" t="s">
        <v>68</v>
      </c>
      <c r="BE888" s="3" t="s">
        <v>8592</v>
      </c>
      <c r="BF888" s="3" t="s">
        <v>8591</v>
      </c>
      <c r="BG888" s="3" t="s">
        <v>8593</v>
      </c>
    </row>
    <row r="889" spans="1:59" ht="57" x14ac:dyDescent="0.45">
      <c r="A889" s="2" t="s">
        <v>59</v>
      </c>
      <c r="B889" s="2" t="s">
        <v>60</v>
      </c>
      <c r="C889" s="2" t="s">
        <v>8594</v>
      </c>
      <c r="D889" s="2" t="s">
        <v>8595</v>
      </c>
      <c r="E889" s="2" t="s">
        <v>8596</v>
      </c>
      <c r="G889" s="3" t="s">
        <v>62</v>
      </c>
      <c r="I889" s="3" t="s">
        <v>62</v>
      </c>
      <c r="J889" s="3" t="s">
        <v>62</v>
      </c>
      <c r="K889" s="3" t="s">
        <v>63</v>
      </c>
      <c r="M889" s="2" t="s">
        <v>8597</v>
      </c>
      <c r="N889" s="3" t="s">
        <v>958</v>
      </c>
      <c r="P889" s="3" t="s">
        <v>65</v>
      </c>
      <c r="R889" s="3" t="s">
        <v>66</v>
      </c>
      <c r="S889" s="4">
        <v>30</v>
      </c>
      <c r="T889" s="4">
        <v>30</v>
      </c>
      <c r="U889" s="5" t="s">
        <v>123</v>
      </c>
      <c r="V889" s="5" t="s">
        <v>123</v>
      </c>
      <c r="W889" s="5" t="s">
        <v>67</v>
      </c>
      <c r="X889" s="5" t="s">
        <v>67</v>
      </c>
      <c r="Y889" s="4">
        <v>240</v>
      </c>
      <c r="Z889" s="4">
        <v>23</v>
      </c>
      <c r="AA889" s="4">
        <v>100</v>
      </c>
      <c r="AB889" s="4">
        <v>2</v>
      </c>
      <c r="AC889" s="4">
        <v>17</v>
      </c>
      <c r="AD889" s="4">
        <v>69</v>
      </c>
      <c r="AE889" s="4">
        <v>124</v>
      </c>
      <c r="AF889" s="4">
        <v>1</v>
      </c>
      <c r="AG889" s="4">
        <v>8</v>
      </c>
      <c r="AH889" s="4">
        <v>60</v>
      </c>
      <c r="AI889" s="4">
        <v>87</v>
      </c>
      <c r="AJ889" s="4">
        <v>13</v>
      </c>
      <c r="AK889" s="4">
        <v>22</v>
      </c>
      <c r="AL889" s="4">
        <v>33</v>
      </c>
      <c r="AM889" s="4">
        <v>47</v>
      </c>
      <c r="AN889" s="4">
        <v>0</v>
      </c>
      <c r="AO889" s="4">
        <v>0</v>
      </c>
      <c r="AP889" s="4">
        <v>14</v>
      </c>
      <c r="AQ889" s="4">
        <v>44</v>
      </c>
      <c r="AR889" s="3" t="s">
        <v>62</v>
      </c>
      <c r="AS889" s="3" t="s">
        <v>62</v>
      </c>
      <c r="AT889" s="3" t="s">
        <v>62</v>
      </c>
      <c r="AV889" s="6" t="str">
        <f>HYPERLINK("http://mcgill.on.worldcat.org/oclc/32699488","Catalog Record")</f>
        <v>Catalog Record</v>
      </c>
      <c r="AW889" s="6" t="str">
        <f>HYPERLINK("http://www.worldcat.org/oclc/32699488","WorldCat Record")</f>
        <v>WorldCat Record</v>
      </c>
      <c r="AX889" s="3" t="s">
        <v>8598</v>
      </c>
      <c r="AY889" s="3" t="s">
        <v>8599</v>
      </c>
      <c r="AZ889" s="3" t="s">
        <v>8600</v>
      </c>
      <c r="BA889" s="3" t="s">
        <v>8600</v>
      </c>
      <c r="BB889" s="3" t="s">
        <v>8601</v>
      </c>
      <c r="BC889" s="3" t="s">
        <v>142</v>
      </c>
      <c r="BD889" s="3" t="s">
        <v>68</v>
      </c>
      <c r="BE889" s="3" t="s">
        <v>8602</v>
      </c>
      <c r="BF889" s="3" t="s">
        <v>8601</v>
      </c>
      <c r="BG889" s="3" t="s">
        <v>8603</v>
      </c>
    </row>
    <row r="890" spans="1:59" ht="57" x14ac:dyDescent="0.45">
      <c r="A890" s="2" t="s">
        <v>59</v>
      </c>
      <c r="B890" s="2" t="s">
        <v>60</v>
      </c>
      <c r="C890" s="2" t="s">
        <v>8604</v>
      </c>
      <c r="D890" s="2" t="s">
        <v>8605</v>
      </c>
      <c r="E890" s="2" t="s">
        <v>8606</v>
      </c>
      <c r="G890" s="3" t="s">
        <v>62</v>
      </c>
      <c r="I890" s="3" t="s">
        <v>62</v>
      </c>
      <c r="J890" s="3" t="s">
        <v>62</v>
      </c>
      <c r="K890" s="3" t="s">
        <v>63</v>
      </c>
      <c r="M890" s="2" t="s">
        <v>8607</v>
      </c>
      <c r="N890" s="3" t="s">
        <v>195</v>
      </c>
      <c r="P890" s="3" t="s">
        <v>65</v>
      </c>
      <c r="R890" s="3" t="s">
        <v>66</v>
      </c>
      <c r="S890" s="4">
        <v>36</v>
      </c>
      <c r="T890" s="4">
        <v>36</v>
      </c>
      <c r="U890" s="5" t="s">
        <v>8608</v>
      </c>
      <c r="V890" s="5" t="s">
        <v>8608</v>
      </c>
      <c r="W890" s="5" t="s">
        <v>67</v>
      </c>
      <c r="X890" s="5" t="s">
        <v>67</v>
      </c>
      <c r="Y890" s="4">
        <v>271</v>
      </c>
      <c r="Z890" s="4">
        <v>16</v>
      </c>
      <c r="AA890" s="4">
        <v>17</v>
      </c>
      <c r="AB890" s="4">
        <v>2</v>
      </c>
      <c r="AC890" s="4">
        <v>3</v>
      </c>
      <c r="AD890" s="4">
        <v>80</v>
      </c>
      <c r="AE890" s="4">
        <v>82</v>
      </c>
      <c r="AF890" s="4">
        <v>1</v>
      </c>
      <c r="AG890" s="4">
        <v>2</v>
      </c>
      <c r="AH890" s="4">
        <v>71</v>
      </c>
      <c r="AI890" s="4">
        <v>73</v>
      </c>
      <c r="AJ890" s="4">
        <v>13</v>
      </c>
      <c r="AK890" s="4">
        <v>14</v>
      </c>
      <c r="AL890" s="4">
        <v>37</v>
      </c>
      <c r="AM890" s="4">
        <v>37</v>
      </c>
      <c r="AN890" s="4">
        <v>0</v>
      </c>
      <c r="AO890" s="4">
        <v>0</v>
      </c>
      <c r="AP890" s="4">
        <v>14</v>
      </c>
      <c r="AQ890" s="4">
        <v>15</v>
      </c>
      <c r="AR890" s="3" t="s">
        <v>62</v>
      </c>
      <c r="AS890" s="3" t="s">
        <v>62</v>
      </c>
      <c r="AT890" s="3" t="s">
        <v>62</v>
      </c>
      <c r="AV890" s="6" t="str">
        <f>HYPERLINK("http://mcgill.on.worldcat.org/oclc/25871348","Catalog Record")</f>
        <v>Catalog Record</v>
      </c>
      <c r="AW890" s="6" t="str">
        <f>HYPERLINK("http://www.worldcat.org/oclc/25871348","WorldCat Record")</f>
        <v>WorldCat Record</v>
      </c>
      <c r="AX890" s="3" t="s">
        <v>8609</v>
      </c>
      <c r="AY890" s="3" t="s">
        <v>8610</v>
      </c>
      <c r="AZ890" s="3" t="s">
        <v>8611</v>
      </c>
      <c r="BA890" s="3" t="s">
        <v>8611</v>
      </c>
      <c r="BB890" s="3" t="s">
        <v>8612</v>
      </c>
      <c r="BC890" s="3" t="s">
        <v>142</v>
      </c>
      <c r="BD890" s="3" t="s">
        <v>68</v>
      </c>
      <c r="BE890" s="3" t="s">
        <v>8613</v>
      </c>
      <c r="BF890" s="3" t="s">
        <v>8612</v>
      </c>
      <c r="BG890" s="3" t="s">
        <v>8614</v>
      </c>
    </row>
    <row r="891" spans="1:59" ht="57" x14ac:dyDescent="0.45">
      <c r="A891" s="2" t="s">
        <v>59</v>
      </c>
      <c r="B891" s="2" t="s">
        <v>60</v>
      </c>
      <c r="C891" s="2" t="s">
        <v>8615</v>
      </c>
      <c r="D891" s="2" t="s">
        <v>8616</v>
      </c>
      <c r="E891" s="2" t="s">
        <v>8617</v>
      </c>
      <c r="G891" s="3" t="s">
        <v>62</v>
      </c>
      <c r="I891" s="3" t="s">
        <v>62</v>
      </c>
      <c r="J891" s="3" t="s">
        <v>62</v>
      </c>
      <c r="K891" s="3" t="s">
        <v>63</v>
      </c>
      <c r="M891" s="2" t="s">
        <v>8618</v>
      </c>
      <c r="N891" s="3" t="s">
        <v>542</v>
      </c>
      <c r="P891" s="3" t="s">
        <v>65</v>
      </c>
      <c r="R891" s="3" t="s">
        <v>66</v>
      </c>
      <c r="S891" s="4">
        <v>4</v>
      </c>
      <c r="T891" s="4">
        <v>4</v>
      </c>
      <c r="U891" s="5" t="s">
        <v>8619</v>
      </c>
      <c r="V891" s="5" t="s">
        <v>8619</v>
      </c>
      <c r="W891" s="5" t="s">
        <v>67</v>
      </c>
      <c r="X891" s="5" t="s">
        <v>67</v>
      </c>
      <c r="Y891" s="4">
        <v>44</v>
      </c>
      <c r="Z891" s="4">
        <v>5</v>
      </c>
      <c r="AA891" s="4">
        <v>5</v>
      </c>
      <c r="AB891" s="4">
        <v>1</v>
      </c>
      <c r="AC891" s="4">
        <v>1</v>
      </c>
      <c r="AD891" s="4">
        <v>28</v>
      </c>
      <c r="AE891" s="4">
        <v>28</v>
      </c>
      <c r="AF891" s="4">
        <v>0</v>
      </c>
      <c r="AG891" s="4">
        <v>0</v>
      </c>
      <c r="AH891" s="4">
        <v>28</v>
      </c>
      <c r="AI891" s="4">
        <v>28</v>
      </c>
      <c r="AJ891" s="4">
        <v>3</v>
      </c>
      <c r="AK891" s="4">
        <v>3</v>
      </c>
      <c r="AL891" s="4">
        <v>21</v>
      </c>
      <c r="AM891" s="4">
        <v>21</v>
      </c>
      <c r="AN891" s="4">
        <v>0</v>
      </c>
      <c r="AO891" s="4">
        <v>0</v>
      </c>
      <c r="AP891" s="4">
        <v>3</v>
      </c>
      <c r="AQ891" s="4">
        <v>3</v>
      </c>
      <c r="AR891" s="3" t="s">
        <v>62</v>
      </c>
      <c r="AS891" s="3" t="s">
        <v>62</v>
      </c>
      <c r="AT891" s="3" t="s">
        <v>61</v>
      </c>
      <c r="AU891" s="6" t="str">
        <f>HYPERLINK("http://catalog.hathitrust.org/Record/003709254","HathiTrust Record")</f>
        <v>HathiTrust Record</v>
      </c>
      <c r="AV891" s="6" t="str">
        <f>HYPERLINK("http://mcgill.on.worldcat.org/oclc/48544345","Catalog Record")</f>
        <v>Catalog Record</v>
      </c>
      <c r="AW891" s="6" t="str">
        <f>HYPERLINK("http://www.worldcat.org/oclc/48544345","WorldCat Record")</f>
        <v>WorldCat Record</v>
      </c>
      <c r="AX891" s="3" t="s">
        <v>8620</v>
      </c>
      <c r="AY891" s="3" t="s">
        <v>8621</v>
      </c>
      <c r="AZ891" s="3" t="s">
        <v>8622</v>
      </c>
      <c r="BA891" s="3" t="s">
        <v>8622</v>
      </c>
      <c r="BB891" s="3" t="s">
        <v>8623</v>
      </c>
      <c r="BC891" s="3" t="s">
        <v>142</v>
      </c>
      <c r="BD891" s="3" t="s">
        <v>68</v>
      </c>
      <c r="BE891" s="3" t="s">
        <v>8624</v>
      </c>
      <c r="BF891" s="3" t="s">
        <v>8623</v>
      </c>
      <c r="BG891" s="3" t="s">
        <v>8625</v>
      </c>
    </row>
    <row r="892" spans="1:59" ht="57" x14ac:dyDescent="0.45">
      <c r="A892" s="2" t="s">
        <v>59</v>
      </c>
      <c r="B892" s="2" t="s">
        <v>60</v>
      </c>
      <c r="C892" s="2" t="s">
        <v>8626</v>
      </c>
      <c r="D892" s="2" t="s">
        <v>8627</v>
      </c>
      <c r="E892" s="2" t="s">
        <v>8628</v>
      </c>
      <c r="G892" s="3" t="s">
        <v>62</v>
      </c>
      <c r="I892" s="3" t="s">
        <v>62</v>
      </c>
      <c r="J892" s="3" t="s">
        <v>62</v>
      </c>
      <c r="K892" s="3" t="s">
        <v>63</v>
      </c>
      <c r="L892" s="2" t="s">
        <v>8629</v>
      </c>
      <c r="M892" s="2" t="s">
        <v>8630</v>
      </c>
      <c r="N892" s="3" t="s">
        <v>1465</v>
      </c>
      <c r="P892" s="3" t="s">
        <v>65</v>
      </c>
      <c r="Q892" s="2" t="s">
        <v>8631</v>
      </c>
      <c r="R892" s="3" t="s">
        <v>66</v>
      </c>
      <c r="S892" s="4">
        <v>6</v>
      </c>
      <c r="T892" s="4">
        <v>6</v>
      </c>
      <c r="U892" s="5" t="s">
        <v>8632</v>
      </c>
      <c r="V892" s="5" t="s">
        <v>8632</v>
      </c>
      <c r="W892" s="5" t="s">
        <v>67</v>
      </c>
      <c r="X892" s="5" t="s">
        <v>67</v>
      </c>
      <c r="Y892" s="4">
        <v>40</v>
      </c>
      <c r="Z892" s="4">
        <v>5</v>
      </c>
      <c r="AA892" s="4">
        <v>7</v>
      </c>
      <c r="AB892" s="4">
        <v>1</v>
      </c>
      <c r="AC892" s="4">
        <v>3</v>
      </c>
      <c r="AD892" s="4">
        <v>12</v>
      </c>
      <c r="AE892" s="4">
        <v>14</v>
      </c>
      <c r="AF892" s="4">
        <v>0</v>
      </c>
      <c r="AG892" s="4">
        <v>2</v>
      </c>
      <c r="AH892" s="4">
        <v>11</v>
      </c>
      <c r="AI892" s="4">
        <v>12</v>
      </c>
      <c r="AJ892" s="4">
        <v>3</v>
      </c>
      <c r="AK892" s="4">
        <v>5</v>
      </c>
      <c r="AL892" s="4">
        <v>8</v>
      </c>
      <c r="AM892" s="4">
        <v>8</v>
      </c>
      <c r="AN892" s="4">
        <v>0</v>
      </c>
      <c r="AO892" s="4">
        <v>0</v>
      </c>
      <c r="AP892" s="4">
        <v>3</v>
      </c>
      <c r="AQ892" s="4">
        <v>5</v>
      </c>
      <c r="AR892" s="3" t="s">
        <v>62</v>
      </c>
      <c r="AS892" s="3" t="s">
        <v>62</v>
      </c>
      <c r="AT892" s="3" t="s">
        <v>62</v>
      </c>
      <c r="AV892" s="6" t="str">
        <f>HYPERLINK("http://mcgill.on.worldcat.org/oclc/316002330","Catalog Record")</f>
        <v>Catalog Record</v>
      </c>
      <c r="AW892" s="6" t="str">
        <f>HYPERLINK("http://www.worldcat.org/oclc/316002330","WorldCat Record")</f>
        <v>WorldCat Record</v>
      </c>
      <c r="AX892" s="3" t="s">
        <v>8633</v>
      </c>
      <c r="AY892" s="3" t="s">
        <v>8634</v>
      </c>
      <c r="AZ892" s="3" t="s">
        <v>8635</v>
      </c>
      <c r="BA892" s="3" t="s">
        <v>8635</v>
      </c>
      <c r="BB892" s="3" t="s">
        <v>8636</v>
      </c>
      <c r="BC892" s="3" t="s">
        <v>142</v>
      </c>
      <c r="BD892" s="3" t="s">
        <v>68</v>
      </c>
      <c r="BE892" s="3" t="s">
        <v>8637</v>
      </c>
      <c r="BF892" s="3" t="s">
        <v>8636</v>
      </c>
      <c r="BG892" s="3" t="s">
        <v>8638</v>
      </c>
    </row>
    <row r="893" spans="1:59" ht="57" x14ac:dyDescent="0.45">
      <c r="A893" s="2" t="s">
        <v>59</v>
      </c>
      <c r="B893" s="2" t="s">
        <v>60</v>
      </c>
      <c r="C893" s="2" t="s">
        <v>8639</v>
      </c>
      <c r="D893" s="2" t="s">
        <v>8640</v>
      </c>
      <c r="E893" s="2" t="s">
        <v>8641</v>
      </c>
      <c r="G893" s="3" t="s">
        <v>62</v>
      </c>
      <c r="I893" s="3" t="s">
        <v>62</v>
      </c>
      <c r="J893" s="3" t="s">
        <v>62</v>
      </c>
      <c r="K893" s="3" t="s">
        <v>63</v>
      </c>
      <c r="L893" s="2" t="s">
        <v>8642</v>
      </c>
      <c r="M893" s="2" t="s">
        <v>8643</v>
      </c>
      <c r="N893" s="3" t="s">
        <v>958</v>
      </c>
      <c r="P893" s="3" t="s">
        <v>65</v>
      </c>
      <c r="R893" s="3" t="s">
        <v>66</v>
      </c>
      <c r="S893" s="4">
        <v>38</v>
      </c>
      <c r="T893" s="4">
        <v>38</v>
      </c>
      <c r="U893" s="5" t="s">
        <v>8644</v>
      </c>
      <c r="V893" s="5" t="s">
        <v>8644</v>
      </c>
      <c r="W893" s="5" t="s">
        <v>67</v>
      </c>
      <c r="X893" s="5" t="s">
        <v>67</v>
      </c>
      <c r="Y893" s="4">
        <v>53</v>
      </c>
      <c r="Z893" s="4">
        <v>7</v>
      </c>
      <c r="AA893" s="4">
        <v>8</v>
      </c>
      <c r="AB893" s="4">
        <v>2</v>
      </c>
      <c r="AC893" s="4">
        <v>3</v>
      </c>
      <c r="AD893" s="4">
        <v>9</v>
      </c>
      <c r="AE893" s="4">
        <v>10</v>
      </c>
      <c r="AF893" s="4">
        <v>1</v>
      </c>
      <c r="AG893" s="4">
        <v>2</v>
      </c>
      <c r="AH893" s="4">
        <v>5</v>
      </c>
      <c r="AI893" s="4">
        <v>5</v>
      </c>
      <c r="AJ893" s="4">
        <v>5</v>
      </c>
      <c r="AK893" s="4">
        <v>6</v>
      </c>
      <c r="AL893" s="4">
        <v>4</v>
      </c>
      <c r="AM893" s="4">
        <v>4</v>
      </c>
      <c r="AN893" s="4">
        <v>0</v>
      </c>
      <c r="AO893" s="4">
        <v>0</v>
      </c>
      <c r="AP893" s="4">
        <v>5</v>
      </c>
      <c r="AQ893" s="4">
        <v>6</v>
      </c>
      <c r="AR893" s="3" t="s">
        <v>62</v>
      </c>
      <c r="AS893" s="3" t="s">
        <v>62</v>
      </c>
      <c r="AT893" s="3" t="s">
        <v>62</v>
      </c>
      <c r="AV893" s="6" t="str">
        <f>HYPERLINK("http://mcgill.on.worldcat.org/oclc/38396864","Catalog Record")</f>
        <v>Catalog Record</v>
      </c>
      <c r="AW893" s="6" t="str">
        <f>HYPERLINK("http://www.worldcat.org/oclc/38396864","WorldCat Record")</f>
        <v>WorldCat Record</v>
      </c>
      <c r="AX893" s="3" t="s">
        <v>8645</v>
      </c>
      <c r="AY893" s="3" t="s">
        <v>8646</v>
      </c>
      <c r="AZ893" s="3" t="s">
        <v>8647</v>
      </c>
      <c r="BA893" s="3" t="s">
        <v>8647</v>
      </c>
      <c r="BB893" s="3" t="s">
        <v>8648</v>
      </c>
      <c r="BC893" s="3" t="s">
        <v>142</v>
      </c>
      <c r="BD893" s="3" t="s">
        <v>68</v>
      </c>
      <c r="BE893" s="3" t="s">
        <v>8649</v>
      </c>
      <c r="BF893" s="3" t="s">
        <v>8648</v>
      </c>
      <c r="BG893" s="3" t="s">
        <v>8650</v>
      </c>
    </row>
    <row r="894" spans="1:59" ht="57" x14ac:dyDescent="0.45">
      <c r="A894" s="2" t="s">
        <v>59</v>
      </c>
      <c r="B894" s="2" t="s">
        <v>60</v>
      </c>
      <c r="C894" s="2" t="s">
        <v>8651</v>
      </c>
      <c r="D894" s="2" t="s">
        <v>8652</v>
      </c>
      <c r="E894" s="2" t="s">
        <v>8653</v>
      </c>
      <c r="G894" s="3" t="s">
        <v>62</v>
      </c>
      <c r="I894" s="3" t="s">
        <v>61</v>
      </c>
      <c r="J894" s="3" t="s">
        <v>62</v>
      </c>
      <c r="K894" s="3" t="s">
        <v>63</v>
      </c>
      <c r="M894" s="2" t="s">
        <v>8284</v>
      </c>
      <c r="N894" s="3" t="s">
        <v>106</v>
      </c>
      <c r="P894" s="3" t="s">
        <v>65</v>
      </c>
      <c r="Q894" s="2" t="s">
        <v>7366</v>
      </c>
      <c r="R894" s="3" t="s">
        <v>66</v>
      </c>
      <c r="S894" s="4">
        <v>22</v>
      </c>
      <c r="T894" s="4">
        <v>52</v>
      </c>
      <c r="U894" s="5" t="s">
        <v>8654</v>
      </c>
      <c r="V894" s="5" t="s">
        <v>85</v>
      </c>
      <c r="W894" s="5" t="s">
        <v>67</v>
      </c>
      <c r="X894" s="5" t="s">
        <v>67</v>
      </c>
      <c r="Y894" s="4">
        <v>370</v>
      </c>
      <c r="Z894" s="4">
        <v>28</v>
      </c>
      <c r="AA894" s="4">
        <v>32</v>
      </c>
      <c r="AB894" s="4">
        <v>2</v>
      </c>
      <c r="AC894" s="4">
        <v>6</v>
      </c>
      <c r="AD894" s="4">
        <v>94</v>
      </c>
      <c r="AE894" s="4">
        <v>97</v>
      </c>
      <c r="AF894" s="4">
        <v>1</v>
      </c>
      <c r="AG894" s="4">
        <v>4</v>
      </c>
      <c r="AH894" s="4">
        <v>81</v>
      </c>
      <c r="AI894" s="4">
        <v>82</v>
      </c>
      <c r="AJ894" s="4">
        <v>17</v>
      </c>
      <c r="AK894" s="4">
        <v>20</v>
      </c>
      <c r="AL894" s="4">
        <v>43</v>
      </c>
      <c r="AM894" s="4">
        <v>43</v>
      </c>
      <c r="AN894" s="4">
        <v>0</v>
      </c>
      <c r="AO894" s="4">
        <v>0</v>
      </c>
      <c r="AP894" s="4">
        <v>21</v>
      </c>
      <c r="AQ894" s="4">
        <v>23</v>
      </c>
      <c r="AR894" s="3" t="s">
        <v>62</v>
      </c>
      <c r="AS894" s="3" t="s">
        <v>62</v>
      </c>
      <c r="AT894" s="3" t="s">
        <v>61</v>
      </c>
      <c r="AU894" s="6" t="str">
        <f>HYPERLINK("http://catalog.hathitrust.org/Record/000316100","HathiTrust Record")</f>
        <v>HathiTrust Record</v>
      </c>
      <c r="AV894" s="6" t="str">
        <f>HYPERLINK("http://mcgill.on.worldcat.org/oclc/8629683","Catalog Record")</f>
        <v>Catalog Record</v>
      </c>
      <c r="AW894" s="6" t="str">
        <f>HYPERLINK("http://www.worldcat.org/oclc/8629683","WorldCat Record")</f>
        <v>WorldCat Record</v>
      </c>
      <c r="AX894" s="3" t="s">
        <v>8655</v>
      </c>
      <c r="AY894" s="3" t="s">
        <v>8656</v>
      </c>
      <c r="AZ894" s="3" t="s">
        <v>8657</v>
      </c>
      <c r="BA894" s="3" t="s">
        <v>8657</v>
      </c>
      <c r="BB894" s="3" t="s">
        <v>8658</v>
      </c>
      <c r="BC894" s="3" t="s">
        <v>142</v>
      </c>
      <c r="BD894" s="3" t="s">
        <v>68</v>
      </c>
      <c r="BE894" s="3" t="s">
        <v>8659</v>
      </c>
      <c r="BF894" s="3" t="s">
        <v>8658</v>
      </c>
      <c r="BG894" s="3" t="s">
        <v>8660</v>
      </c>
    </row>
    <row r="895" spans="1:59" ht="57" x14ac:dyDescent="0.45">
      <c r="A895" s="2" t="s">
        <v>59</v>
      </c>
      <c r="B895" s="2" t="s">
        <v>60</v>
      </c>
      <c r="C895" s="2" t="s">
        <v>8651</v>
      </c>
      <c r="D895" s="2" t="s">
        <v>8652</v>
      </c>
      <c r="E895" s="2" t="s">
        <v>8653</v>
      </c>
      <c r="G895" s="3" t="s">
        <v>62</v>
      </c>
      <c r="I895" s="3" t="s">
        <v>61</v>
      </c>
      <c r="J895" s="3" t="s">
        <v>62</v>
      </c>
      <c r="K895" s="3" t="s">
        <v>63</v>
      </c>
      <c r="M895" s="2" t="s">
        <v>8284</v>
      </c>
      <c r="N895" s="3" t="s">
        <v>106</v>
      </c>
      <c r="P895" s="3" t="s">
        <v>65</v>
      </c>
      <c r="Q895" s="2" t="s">
        <v>7366</v>
      </c>
      <c r="R895" s="3" t="s">
        <v>66</v>
      </c>
      <c r="S895" s="4">
        <v>30</v>
      </c>
      <c r="T895" s="4">
        <v>52</v>
      </c>
      <c r="U895" s="5" t="s">
        <v>85</v>
      </c>
      <c r="V895" s="5" t="s">
        <v>85</v>
      </c>
      <c r="W895" s="5" t="s">
        <v>67</v>
      </c>
      <c r="X895" s="5" t="s">
        <v>67</v>
      </c>
      <c r="Y895" s="4">
        <v>370</v>
      </c>
      <c r="Z895" s="4">
        <v>28</v>
      </c>
      <c r="AA895" s="4">
        <v>32</v>
      </c>
      <c r="AB895" s="4">
        <v>2</v>
      </c>
      <c r="AC895" s="4">
        <v>6</v>
      </c>
      <c r="AD895" s="4">
        <v>94</v>
      </c>
      <c r="AE895" s="4">
        <v>97</v>
      </c>
      <c r="AF895" s="4">
        <v>1</v>
      </c>
      <c r="AG895" s="4">
        <v>4</v>
      </c>
      <c r="AH895" s="4">
        <v>81</v>
      </c>
      <c r="AI895" s="4">
        <v>82</v>
      </c>
      <c r="AJ895" s="4">
        <v>17</v>
      </c>
      <c r="AK895" s="4">
        <v>20</v>
      </c>
      <c r="AL895" s="4">
        <v>43</v>
      </c>
      <c r="AM895" s="4">
        <v>43</v>
      </c>
      <c r="AN895" s="4">
        <v>0</v>
      </c>
      <c r="AO895" s="4">
        <v>0</v>
      </c>
      <c r="AP895" s="4">
        <v>21</v>
      </c>
      <c r="AQ895" s="4">
        <v>23</v>
      </c>
      <c r="AR895" s="3" t="s">
        <v>62</v>
      </c>
      <c r="AS895" s="3" t="s">
        <v>62</v>
      </c>
      <c r="AT895" s="3" t="s">
        <v>61</v>
      </c>
      <c r="AU895" s="6" t="str">
        <f>HYPERLINK("http://catalog.hathitrust.org/Record/000316100","HathiTrust Record")</f>
        <v>HathiTrust Record</v>
      </c>
      <c r="AV895" s="6" t="str">
        <f>HYPERLINK("http://mcgill.on.worldcat.org/oclc/8629683","Catalog Record")</f>
        <v>Catalog Record</v>
      </c>
      <c r="AW895" s="6" t="str">
        <f>HYPERLINK("http://www.worldcat.org/oclc/8629683","WorldCat Record")</f>
        <v>WorldCat Record</v>
      </c>
      <c r="AX895" s="3" t="s">
        <v>8655</v>
      </c>
      <c r="AY895" s="3" t="s">
        <v>8656</v>
      </c>
      <c r="AZ895" s="3" t="s">
        <v>8657</v>
      </c>
      <c r="BA895" s="3" t="s">
        <v>8657</v>
      </c>
      <c r="BB895" s="3" t="s">
        <v>8661</v>
      </c>
      <c r="BC895" s="3" t="s">
        <v>142</v>
      </c>
      <c r="BD895" s="3" t="s">
        <v>68</v>
      </c>
      <c r="BE895" s="3" t="s">
        <v>8659</v>
      </c>
      <c r="BF895" s="3" t="s">
        <v>8661</v>
      </c>
      <c r="BG895" s="3" t="s">
        <v>8662</v>
      </c>
    </row>
    <row r="896" spans="1:59" ht="85.5" x14ac:dyDescent="0.45">
      <c r="A896" s="2" t="s">
        <v>59</v>
      </c>
      <c r="B896" s="2" t="s">
        <v>5257</v>
      </c>
      <c r="C896" s="2" t="s">
        <v>8663</v>
      </c>
      <c r="D896" s="2" t="s">
        <v>8664</v>
      </c>
      <c r="E896" s="2" t="s">
        <v>8665</v>
      </c>
      <c r="G896" s="3" t="s">
        <v>62</v>
      </c>
      <c r="I896" s="3" t="s">
        <v>62</v>
      </c>
      <c r="J896" s="3" t="s">
        <v>62</v>
      </c>
      <c r="K896" s="3" t="s">
        <v>63</v>
      </c>
      <c r="M896" s="2" t="s">
        <v>8666</v>
      </c>
      <c r="N896" s="3" t="s">
        <v>894</v>
      </c>
      <c r="P896" s="3" t="s">
        <v>65</v>
      </c>
      <c r="Q896" s="2" t="s">
        <v>8667</v>
      </c>
      <c r="R896" s="3" t="s">
        <v>66</v>
      </c>
      <c r="S896" s="4">
        <v>0</v>
      </c>
      <c r="T896" s="4">
        <v>0</v>
      </c>
      <c r="W896" s="5" t="s">
        <v>67</v>
      </c>
      <c r="X896" s="5" t="s">
        <v>67</v>
      </c>
      <c r="Y896" s="4">
        <v>89</v>
      </c>
      <c r="Z896" s="4">
        <v>8</v>
      </c>
      <c r="AA896" s="4">
        <v>10</v>
      </c>
      <c r="AB896" s="4">
        <v>1</v>
      </c>
      <c r="AC896" s="4">
        <v>3</v>
      </c>
      <c r="AD896" s="4">
        <v>31</v>
      </c>
      <c r="AE896" s="4">
        <v>32</v>
      </c>
      <c r="AF896" s="4">
        <v>0</v>
      </c>
      <c r="AG896" s="4">
        <v>1</v>
      </c>
      <c r="AH896" s="4">
        <v>30</v>
      </c>
      <c r="AI896" s="4">
        <v>30</v>
      </c>
      <c r="AJ896" s="4">
        <v>4</v>
      </c>
      <c r="AK896" s="4">
        <v>5</v>
      </c>
      <c r="AL896" s="4">
        <v>14</v>
      </c>
      <c r="AM896" s="4">
        <v>14</v>
      </c>
      <c r="AN896" s="4">
        <v>0</v>
      </c>
      <c r="AO896" s="4">
        <v>0</v>
      </c>
      <c r="AP896" s="4">
        <v>4</v>
      </c>
      <c r="AQ896" s="4">
        <v>5</v>
      </c>
      <c r="AR896" s="3" t="s">
        <v>62</v>
      </c>
      <c r="AS896" s="3" t="s">
        <v>62</v>
      </c>
      <c r="AT896" s="3" t="s">
        <v>62</v>
      </c>
      <c r="AV896" s="6" t="str">
        <f>HYPERLINK("http://mcgill.on.worldcat.org/oclc/682891250","Catalog Record")</f>
        <v>Catalog Record</v>
      </c>
      <c r="AW896" s="6" t="str">
        <f>HYPERLINK("http://www.worldcat.org/oclc/682891250","WorldCat Record")</f>
        <v>WorldCat Record</v>
      </c>
      <c r="AX896" s="3" t="s">
        <v>8668</v>
      </c>
      <c r="AY896" s="3" t="s">
        <v>8669</v>
      </c>
      <c r="AZ896" s="3" t="s">
        <v>8670</v>
      </c>
      <c r="BA896" s="3" t="s">
        <v>8670</v>
      </c>
      <c r="BB896" s="3" t="s">
        <v>8671</v>
      </c>
      <c r="BC896" s="3" t="s">
        <v>142</v>
      </c>
      <c r="BD896" s="3" t="s">
        <v>68</v>
      </c>
      <c r="BE896" s="3" t="s">
        <v>8672</v>
      </c>
      <c r="BF896" s="3" t="s">
        <v>8671</v>
      </c>
      <c r="BG896" s="3" t="s">
        <v>8673</v>
      </c>
    </row>
    <row r="897" spans="1:59" ht="71.25" x14ac:dyDescent="0.45">
      <c r="A897" s="2" t="s">
        <v>59</v>
      </c>
      <c r="B897" s="2" t="s">
        <v>60</v>
      </c>
      <c r="C897" s="2" t="s">
        <v>8674</v>
      </c>
      <c r="D897" s="2" t="s">
        <v>8675</v>
      </c>
      <c r="E897" s="2" t="s">
        <v>8676</v>
      </c>
      <c r="G897" s="3" t="s">
        <v>62</v>
      </c>
      <c r="I897" s="3" t="s">
        <v>62</v>
      </c>
      <c r="J897" s="3" t="s">
        <v>62</v>
      </c>
      <c r="K897" s="3" t="s">
        <v>63</v>
      </c>
      <c r="M897" s="2" t="s">
        <v>8677</v>
      </c>
      <c r="N897" s="3" t="s">
        <v>84</v>
      </c>
      <c r="P897" s="3" t="s">
        <v>65</v>
      </c>
      <c r="Q897" s="2" t="s">
        <v>8678</v>
      </c>
      <c r="R897" s="3" t="s">
        <v>66</v>
      </c>
      <c r="S897" s="4">
        <v>37</v>
      </c>
      <c r="T897" s="4">
        <v>37</v>
      </c>
      <c r="U897" s="5" t="s">
        <v>7551</v>
      </c>
      <c r="V897" s="5" t="s">
        <v>7551</v>
      </c>
      <c r="W897" s="5" t="s">
        <v>67</v>
      </c>
      <c r="X897" s="5" t="s">
        <v>67</v>
      </c>
      <c r="Y897" s="4">
        <v>192</v>
      </c>
      <c r="Z897" s="4">
        <v>10</v>
      </c>
      <c r="AA897" s="4">
        <v>10</v>
      </c>
      <c r="AB897" s="4">
        <v>4</v>
      </c>
      <c r="AC897" s="4">
        <v>4</v>
      </c>
      <c r="AD897" s="4">
        <v>56</v>
      </c>
      <c r="AE897" s="4">
        <v>56</v>
      </c>
      <c r="AF897" s="4">
        <v>1</v>
      </c>
      <c r="AG897" s="4">
        <v>1</v>
      </c>
      <c r="AH897" s="4">
        <v>51</v>
      </c>
      <c r="AI897" s="4">
        <v>51</v>
      </c>
      <c r="AJ897" s="4">
        <v>3</v>
      </c>
      <c r="AK897" s="4">
        <v>3</v>
      </c>
      <c r="AL897" s="4">
        <v>30</v>
      </c>
      <c r="AM897" s="4">
        <v>30</v>
      </c>
      <c r="AN897" s="4">
        <v>0</v>
      </c>
      <c r="AO897" s="4">
        <v>0</v>
      </c>
      <c r="AP897" s="4">
        <v>6</v>
      </c>
      <c r="AQ897" s="4">
        <v>6</v>
      </c>
      <c r="AR897" s="3" t="s">
        <v>62</v>
      </c>
      <c r="AS897" s="3" t="s">
        <v>62</v>
      </c>
      <c r="AT897" s="3" t="s">
        <v>61</v>
      </c>
      <c r="AU897" s="6" t="str">
        <f>HYPERLINK("http://catalog.hathitrust.org/Record/002568711","HathiTrust Record")</f>
        <v>HathiTrust Record</v>
      </c>
      <c r="AV897" s="6" t="str">
        <f>HYPERLINK("http://mcgill.on.worldcat.org/oclc/25471977","Catalog Record")</f>
        <v>Catalog Record</v>
      </c>
      <c r="AW897" s="6" t="str">
        <f>HYPERLINK("http://www.worldcat.org/oclc/25471977","WorldCat Record")</f>
        <v>WorldCat Record</v>
      </c>
      <c r="AX897" s="3" t="s">
        <v>8679</v>
      </c>
      <c r="AY897" s="3" t="s">
        <v>8680</v>
      </c>
      <c r="AZ897" s="3" t="s">
        <v>8681</v>
      </c>
      <c r="BA897" s="3" t="s">
        <v>8681</v>
      </c>
      <c r="BB897" s="3" t="s">
        <v>8682</v>
      </c>
      <c r="BC897" s="3" t="s">
        <v>142</v>
      </c>
      <c r="BD897" s="3" t="s">
        <v>68</v>
      </c>
      <c r="BE897" s="3" t="s">
        <v>8683</v>
      </c>
      <c r="BF897" s="3" t="s">
        <v>8682</v>
      </c>
      <c r="BG897" s="3" t="s">
        <v>8684</v>
      </c>
    </row>
    <row r="898" spans="1:59" ht="57" x14ac:dyDescent="0.45">
      <c r="A898" s="2" t="s">
        <v>59</v>
      </c>
      <c r="B898" s="2" t="s">
        <v>60</v>
      </c>
      <c r="C898" s="2" t="s">
        <v>8685</v>
      </c>
      <c r="D898" s="2" t="s">
        <v>8686</v>
      </c>
      <c r="E898" s="2" t="s">
        <v>8687</v>
      </c>
      <c r="G898" s="3" t="s">
        <v>62</v>
      </c>
      <c r="I898" s="3" t="s">
        <v>62</v>
      </c>
      <c r="J898" s="3" t="s">
        <v>62</v>
      </c>
      <c r="K898" s="3" t="s">
        <v>63</v>
      </c>
      <c r="L898" s="2" t="s">
        <v>8688</v>
      </c>
      <c r="M898" s="2" t="s">
        <v>7710</v>
      </c>
      <c r="N898" s="3" t="s">
        <v>2417</v>
      </c>
      <c r="P898" s="3" t="s">
        <v>65</v>
      </c>
      <c r="Q898" s="2" t="s">
        <v>7366</v>
      </c>
      <c r="R898" s="3" t="s">
        <v>66</v>
      </c>
      <c r="S898" s="4">
        <v>12</v>
      </c>
      <c r="T898" s="4">
        <v>12</v>
      </c>
      <c r="U898" s="5" t="s">
        <v>7321</v>
      </c>
      <c r="V898" s="5" t="s">
        <v>7321</v>
      </c>
      <c r="W898" s="5" t="s">
        <v>67</v>
      </c>
      <c r="X898" s="5" t="s">
        <v>67</v>
      </c>
      <c r="Y898" s="4">
        <v>352</v>
      </c>
      <c r="Z898" s="4">
        <v>22</v>
      </c>
      <c r="AA898" s="4">
        <v>24</v>
      </c>
      <c r="AB898" s="4">
        <v>2</v>
      </c>
      <c r="AC898" s="4">
        <v>4</v>
      </c>
      <c r="AD898" s="4">
        <v>79</v>
      </c>
      <c r="AE898" s="4">
        <v>81</v>
      </c>
      <c r="AF898" s="4">
        <v>1</v>
      </c>
      <c r="AG898" s="4">
        <v>3</v>
      </c>
      <c r="AH898" s="4">
        <v>71</v>
      </c>
      <c r="AI898" s="4">
        <v>72</v>
      </c>
      <c r="AJ898" s="4">
        <v>13</v>
      </c>
      <c r="AK898" s="4">
        <v>15</v>
      </c>
      <c r="AL898" s="4">
        <v>36</v>
      </c>
      <c r="AM898" s="4">
        <v>36</v>
      </c>
      <c r="AN898" s="4">
        <v>0</v>
      </c>
      <c r="AO898" s="4">
        <v>0</v>
      </c>
      <c r="AP898" s="4">
        <v>17</v>
      </c>
      <c r="AQ898" s="4">
        <v>19</v>
      </c>
      <c r="AR898" s="3" t="s">
        <v>62</v>
      </c>
      <c r="AS898" s="3" t="s">
        <v>62</v>
      </c>
      <c r="AT898" s="3" t="s">
        <v>61</v>
      </c>
      <c r="AU898" s="6" t="str">
        <f>HYPERLINK("http://catalog.hathitrust.org/Record/001077679","HathiTrust Record")</f>
        <v>HathiTrust Record</v>
      </c>
      <c r="AV898" s="6" t="str">
        <f>HYPERLINK("http://mcgill.on.worldcat.org/oclc/15318065","Catalog Record")</f>
        <v>Catalog Record</v>
      </c>
      <c r="AW898" s="6" t="str">
        <f>HYPERLINK("http://www.worldcat.org/oclc/15318065","WorldCat Record")</f>
        <v>WorldCat Record</v>
      </c>
      <c r="AX898" s="3" t="s">
        <v>8689</v>
      </c>
      <c r="AY898" s="3" t="s">
        <v>8690</v>
      </c>
      <c r="AZ898" s="3" t="s">
        <v>8691</v>
      </c>
      <c r="BA898" s="3" t="s">
        <v>8691</v>
      </c>
      <c r="BB898" s="3" t="s">
        <v>8692</v>
      </c>
      <c r="BC898" s="3" t="s">
        <v>142</v>
      </c>
      <c r="BD898" s="3" t="s">
        <v>68</v>
      </c>
      <c r="BE898" s="3" t="s">
        <v>8693</v>
      </c>
      <c r="BF898" s="3" t="s">
        <v>8692</v>
      </c>
      <c r="BG898" s="3" t="s">
        <v>8694</v>
      </c>
    </row>
    <row r="899" spans="1:59" ht="57" x14ac:dyDescent="0.45">
      <c r="A899" s="2" t="s">
        <v>59</v>
      </c>
      <c r="B899" s="2" t="s">
        <v>60</v>
      </c>
      <c r="C899" s="2" t="s">
        <v>8695</v>
      </c>
      <c r="D899" s="2" t="s">
        <v>8696</v>
      </c>
      <c r="E899" s="2" t="s">
        <v>8697</v>
      </c>
      <c r="G899" s="3" t="s">
        <v>62</v>
      </c>
      <c r="I899" s="3" t="s">
        <v>62</v>
      </c>
      <c r="J899" s="3" t="s">
        <v>62</v>
      </c>
      <c r="K899" s="3" t="s">
        <v>63</v>
      </c>
      <c r="L899" s="2" t="s">
        <v>8698</v>
      </c>
      <c r="M899" s="2" t="s">
        <v>8699</v>
      </c>
      <c r="N899" s="3" t="s">
        <v>1478</v>
      </c>
      <c r="P899" s="3" t="s">
        <v>65</v>
      </c>
      <c r="Q899" s="2" t="s">
        <v>8700</v>
      </c>
      <c r="R899" s="3" t="s">
        <v>66</v>
      </c>
      <c r="S899" s="4">
        <v>30</v>
      </c>
      <c r="T899" s="4">
        <v>30</v>
      </c>
      <c r="U899" s="5" t="s">
        <v>8701</v>
      </c>
      <c r="V899" s="5" t="s">
        <v>8701</v>
      </c>
      <c r="W899" s="5" t="s">
        <v>67</v>
      </c>
      <c r="X899" s="5" t="s">
        <v>67</v>
      </c>
      <c r="Y899" s="4">
        <v>234</v>
      </c>
      <c r="Z899" s="4">
        <v>12</v>
      </c>
      <c r="AA899" s="4">
        <v>14</v>
      </c>
      <c r="AB899" s="4">
        <v>1</v>
      </c>
      <c r="AC899" s="4">
        <v>3</v>
      </c>
      <c r="AD899" s="4">
        <v>78</v>
      </c>
      <c r="AE899" s="4">
        <v>80</v>
      </c>
      <c r="AF899" s="4">
        <v>0</v>
      </c>
      <c r="AG899" s="4">
        <v>2</v>
      </c>
      <c r="AH899" s="4">
        <v>72</v>
      </c>
      <c r="AI899" s="4">
        <v>73</v>
      </c>
      <c r="AJ899" s="4">
        <v>9</v>
      </c>
      <c r="AK899" s="4">
        <v>11</v>
      </c>
      <c r="AL899" s="4">
        <v>43</v>
      </c>
      <c r="AM899" s="4">
        <v>43</v>
      </c>
      <c r="AN899" s="4">
        <v>0</v>
      </c>
      <c r="AO899" s="4">
        <v>0</v>
      </c>
      <c r="AP899" s="4">
        <v>9</v>
      </c>
      <c r="AQ899" s="4">
        <v>11</v>
      </c>
      <c r="AR899" s="3" t="s">
        <v>62</v>
      </c>
      <c r="AS899" s="3" t="s">
        <v>62</v>
      </c>
      <c r="AT899" s="3" t="s">
        <v>61</v>
      </c>
      <c r="AU899" s="6" t="str">
        <f>HYPERLINK("http://catalog.hathitrust.org/Record/003077890","HathiTrust Record")</f>
        <v>HathiTrust Record</v>
      </c>
      <c r="AV899" s="6" t="str">
        <f>HYPERLINK("http://mcgill.on.worldcat.org/oclc/34244854","Catalog Record")</f>
        <v>Catalog Record</v>
      </c>
      <c r="AW899" s="6" t="str">
        <f>HYPERLINK("http://www.worldcat.org/oclc/34244854","WorldCat Record")</f>
        <v>WorldCat Record</v>
      </c>
      <c r="AX899" s="3" t="s">
        <v>8702</v>
      </c>
      <c r="AY899" s="3" t="s">
        <v>8703</v>
      </c>
      <c r="AZ899" s="3" t="s">
        <v>8704</v>
      </c>
      <c r="BA899" s="3" t="s">
        <v>8704</v>
      </c>
      <c r="BB899" s="3" t="s">
        <v>8705</v>
      </c>
      <c r="BC899" s="3" t="s">
        <v>142</v>
      </c>
      <c r="BD899" s="3" t="s">
        <v>68</v>
      </c>
      <c r="BE899" s="3" t="s">
        <v>8706</v>
      </c>
      <c r="BF899" s="3" t="s">
        <v>8705</v>
      </c>
      <c r="BG899" s="3" t="s">
        <v>8707</v>
      </c>
    </row>
    <row r="900" spans="1:59" ht="57" x14ac:dyDescent="0.45">
      <c r="A900" s="2" t="s">
        <v>59</v>
      </c>
      <c r="B900" s="2" t="s">
        <v>60</v>
      </c>
      <c r="C900" s="2" t="s">
        <v>8708</v>
      </c>
      <c r="D900" s="2" t="s">
        <v>8709</v>
      </c>
      <c r="E900" s="2" t="s">
        <v>8710</v>
      </c>
      <c r="G900" s="3" t="s">
        <v>62</v>
      </c>
      <c r="I900" s="3" t="s">
        <v>62</v>
      </c>
      <c r="J900" s="3" t="s">
        <v>62</v>
      </c>
      <c r="K900" s="3" t="s">
        <v>63</v>
      </c>
      <c r="L900" s="2" t="s">
        <v>8711</v>
      </c>
      <c r="M900" s="2" t="s">
        <v>8712</v>
      </c>
      <c r="N900" s="3" t="s">
        <v>125</v>
      </c>
      <c r="P900" s="3" t="s">
        <v>65</v>
      </c>
      <c r="Q900" s="2" t="s">
        <v>8713</v>
      </c>
      <c r="R900" s="3" t="s">
        <v>66</v>
      </c>
      <c r="S900" s="4">
        <v>25</v>
      </c>
      <c r="T900" s="4">
        <v>25</v>
      </c>
      <c r="U900" s="5" t="s">
        <v>8714</v>
      </c>
      <c r="V900" s="5" t="s">
        <v>8714</v>
      </c>
      <c r="W900" s="5" t="s">
        <v>67</v>
      </c>
      <c r="X900" s="5" t="s">
        <v>67</v>
      </c>
      <c r="Y900" s="4">
        <v>366</v>
      </c>
      <c r="Z900" s="4">
        <v>25</v>
      </c>
      <c r="AA900" s="4">
        <v>29</v>
      </c>
      <c r="AB900" s="4">
        <v>3</v>
      </c>
      <c r="AC900" s="4">
        <v>7</v>
      </c>
      <c r="AD900" s="4">
        <v>59</v>
      </c>
      <c r="AE900" s="4">
        <v>63</v>
      </c>
      <c r="AF900" s="4">
        <v>1</v>
      </c>
      <c r="AG900" s="4">
        <v>5</v>
      </c>
      <c r="AH900" s="4">
        <v>48</v>
      </c>
      <c r="AI900" s="4">
        <v>49</v>
      </c>
      <c r="AJ900" s="4">
        <v>13</v>
      </c>
      <c r="AK900" s="4">
        <v>17</v>
      </c>
      <c r="AL900" s="4">
        <v>22</v>
      </c>
      <c r="AM900" s="4">
        <v>22</v>
      </c>
      <c r="AN900" s="4">
        <v>0</v>
      </c>
      <c r="AO900" s="4">
        <v>0</v>
      </c>
      <c r="AP900" s="4">
        <v>17</v>
      </c>
      <c r="AQ900" s="4">
        <v>20</v>
      </c>
      <c r="AR900" s="3" t="s">
        <v>62</v>
      </c>
      <c r="AS900" s="3" t="s">
        <v>62</v>
      </c>
      <c r="AT900" s="3" t="s">
        <v>62</v>
      </c>
      <c r="AV900" s="6" t="str">
        <f>HYPERLINK("http://mcgill.on.worldcat.org/oclc/22766282","Catalog Record")</f>
        <v>Catalog Record</v>
      </c>
      <c r="AW900" s="6" t="str">
        <f>HYPERLINK("http://www.worldcat.org/oclc/22766282","WorldCat Record")</f>
        <v>WorldCat Record</v>
      </c>
      <c r="AX900" s="3" t="s">
        <v>8715</v>
      </c>
      <c r="AY900" s="3" t="s">
        <v>8716</v>
      </c>
      <c r="AZ900" s="3" t="s">
        <v>8717</v>
      </c>
      <c r="BA900" s="3" t="s">
        <v>8717</v>
      </c>
      <c r="BB900" s="3" t="s">
        <v>8718</v>
      </c>
      <c r="BC900" s="3" t="s">
        <v>142</v>
      </c>
      <c r="BD900" s="3" t="s">
        <v>68</v>
      </c>
      <c r="BE900" s="3" t="s">
        <v>8719</v>
      </c>
      <c r="BF900" s="3" t="s">
        <v>8718</v>
      </c>
      <c r="BG900" s="3" t="s">
        <v>8720</v>
      </c>
    </row>
    <row r="901" spans="1:59" ht="57" x14ac:dyDescent="0.45">
      <c r="A901" s="2" t="s">
        <v>59</v>
      </c>
      <c r="B901" s="2" t="s">
        <v>60</v>
      </c>
      <c r="C901" s="2" t="s">
        <v>8721</v>
      </c>
      <c r="D901" s="2" t="s">
        <v>8722</v>
      </c>
      <c r="E901" s="2" t="s">
        <v>8723</v>
      </c>
      <c r="G901" s="3" t="s">
        <v>62</v>
      </c>
      <c r="I901" s="3" t="s">
        <v>62</v>
      </c>
      <c r="J901" s="3" t="s">
        <v>62</v>
      </c>
      <c r="K901" s="3" t="s">
        <v>63</v>
      </c>
      <c r="L901" s="2" t="s">
        <v>8724</v>
      </c>
      <c r="M901" s="2" t="s">
        <v>8725</v>
      </c>
      <c r="N901" s="3" t="s">
        <v>1437</v>
      </c>
      <c r="P901" s="3" t="s">
        <v>65</v>
      </c>
      <c r="Q901" s="2" t="s">
        <v>8726</v>
      </c>
      <c r="R901" s="3" t="s">
        <v>66</v>
      </c>
      <c r="S901" s="4">
        <v>13</v>
      </c>
      <c r="T901" s="4">
        <v>13</v>
      </c>
      <c r="U901" s="5" t="s">
        <v>6222</v>
      </c>
      <c r="V901" s="5" t="s">
        <v>6222</v>
      </c>
      <c r="W901" s="5" t="s">
        <v>67</v>
      </c>
      <c r="X901" s="5" t="s">
        <v>67</v>
      </c>
      <c r="Y901" s="4">
        <v>174</v>
      </c>
      <c r="Z901" s="4">
        <v>13</v>
      </c>
      <c r="AA901" s="4">
        <v>13</v>
      </c>
      <c r="AB901" s="4">
        <v>2</v>
      </c>
      <c r="AC901" s="4">
        <v>2</v>
      </c>
      <c r="AD901" s="4">
        <v>59</v>
      </c>
      <c r="AE901" s="4">
        <v>59</v>
      </c>
      <c r="AF901" s="4">
        <v>1</v>
      </c>
      <c r="AG901" s="4">
        <v>1</v>
      </c>
      <c r="AH901" s="4">
        <v>54</v>
      </c>
      <c r="AI901" s="4">
        <v>54</v>
      </c>
      <c r="AJ901" s="4">
        <v>9</v>
      </c>
      <c r="AK901" s="4">
        <v>9</v>
      </c>
      <c r="AL901" s="4">
        <v>33</v>
      </c>
      <c r="AM901" s="4">
        <v>33</v>
      </c>
      <c r="AN901" s="4">
        <v>0</v>
      </c>
      <c r="AO901" s="4">
        <v>0</v>
      </c>
      <c r="AP901" s="4">
        <v>9</v>
      </c>
      <c r="AQ901" s="4">
        <v>9</v>
      </c>
      <c r="AR901" s="3" t="s">
        <v>62</v>
      </c>
      <c r="AS901" s="3" t="s">
        <v>62</v>
      </c>
      <c r="AT901" s="3" t="s">
        <v>62</v>
      </c>
      <c r="AV901" s="6" t="str">
        <f>HYPERLINK("http://mcgill.on.worldcat.org/oclc/40664312","Catalog Record")</f>
        <v>Catalog Record</v>
      </c>
      <c r="AW901" s="6" t="str">
        <f>HYPERLINK("http://www.worldcat.org/oclc/40664312","WorldCat Record")</f>
        <v>WorldCat Record</v>
      </c>
      <c r="AX901" s="3" t="s">
        <v>8727</v>
      </c>
      <c r="AY901" s="3" t="s">
        <v>8728</v>
      </c>
      <c r="AZ901" s="3" t="s">
        <v>8729</v>
      </c>
      <c r="BA901" s="3" t="s">
        <v>8729</v>
      </c>
      <c r="BB901" s="3" t="s">
        <v>8730</v>
      </c>
      <c r="BC901" s="3" t="s">
        <v>142</v>
      </c>
      <c r="BD901" s="3" t="s">
        <v>68</v>
      </c>
      <c r="BE901" s="3" t="s">
        <v>8731</v>
      </c>
      <c r="BF901" s="3" t="s">
        <v>8730</v>
      </c>
      <c r="BG901" s="3" t="s">
        <v>8732</v>
      </c>
    </row>
    <row r="902" spans="1:59" ht="57" x14ac:dyDescent="0.45">
      <c r="A902" s="2" t="s">
        <v>59</v>
      </c>
      <c r="B902" s="2" t="s">
        <v>60</v>
      </c>
      <c r="C902" s="2" t="s">
        <v>8733</v>
      </c>
      <c r="D902" s="2" t="s">
        <v>8734</v>
      </c>
      <c r="E902" s="2" t="s">
        <v>8735</v>
      </c>
      <c r="G902" s="3" t="s">
        <v>62</v>
      </c>
      <c r="I902" s="3" t="s">
        <v>62</v>
      </c>
      <c r="J902" s="3" t="s">
        <v>62</v>
      </c>
      <c r="K902" s="3" t="s">
        <v>63</v>
      </c>
      <c r="L902" s="2" t="s">
        <v>8736</v>
      </c>
      <c r="M902" s="2" t="s">
        <v>7564</v>
      </c>
      <c r="N902" s="3" t="s">
        <v>1478</v>
      </c>
      <c r="P902" s="3" t="s">
        <v>65</v>
      </c>
      <c r="Q902" s="2" t="s">
        <v>7036</v>
      </c>
      <c r="R902" s="3" t="s">
        <v>66</v>
      </c>
      <c r="S902" s="4">
        <v>17</v>
      </c>
      <c r="T902" s="4">
        <v>17</v>
      </c>
      <c r="U902" s="5" t="s">
        <v>8632</v>
      </c>
      <c r="V902" s="5" t="s">
        <v>8632</v>
      </c>
      <c r="W902" s="5" t="s">
        <v>67</v>
      </c>
      <c r="X902" s="5" t="s">
        <v>67</v>
      </c>
      <c r="Y902" s="4">
        <v>357</v>
      </c>
      <c r="Z902" s="4">
        <v>25</v>
      </c>
      <c r="AA902" s="4">
        <v>29</v>
      </c>
      <c r="AB902" s="4">
        <v>2</v>
      </c>
      <c r="AC902" s="4">
        <v>5</v>
      </c>
      <c r="AD902" s="4">
        <v>93</v>
      </c>
      <c r="AE902" s="4">
        <v>95</v>
      </c>
      <c r="AF902" s="4">
        <v>1</v>
      </c>
      <c r="AG902" s="4">
        <v>3</v>
      </c>
      <c r="AH902" s="4">
        <v>81</v>
      </c>
      <c r="AI902" s="4">
        <v>81</v>
      </c>
      <c r="AJ902" s="4">
        <v>13</v>
      </c>
      <c r="AK902" s="4">
        <v>15</v>
      </c>
      <c r="AL902" s="4">
        <v>45</v>
      </c>
      <c r="AM902" s="4">
        <v>45</v>
      </c>
      <c r="AN902" s="4">
        <v>0</v>
      </c>
      <c r="AO902" s="4">
        <v>0</v>
      </c>
      <c r="AP902" s="4">
        <v>17</v>
      </c>
      <c r="AQ902" s="4">
        <v>19</v>
      </c>
      <c r="AR902" s="3" t="s">
        <v>62</v>
      </c>
      <c r="AS902" s="3" t="s">
        <v>62</v>
      </c>
      <c r="AT902" s="3" t="s">
        <v>61</v>
      </c>
      <c r="AU902" s="6" t="str">
        <f>HYPERLINK("http://catalog.hathitrust.org/Record/003094198","HathiTrust Record")</f>
        <v>HathiTrust Record</v>
      </c>
      <c r="AV902" s="6" t="str">
        <f>HYPERLINK("http://mcgill.on.worldcat.org/oclc/32968541","Catalog Record")</f>
        <v>Catalog Record</v>
      </c>
      <c r="AW902" s="6" t="str">
        <f>HYPERLINK("http://www.worldcat.org/oclc/32968541","WorldCat Record")</f>
        <v>WorldCat Record</v>
      </c>
      <c r="AX902" s="3" t="s">
        <v>8737</v>
      </c>
      <c r="AY902" s="3" t="s">
        <v>8738</v>
      </c>
      <c r="AZ902" s="3" t="s">
        <v>8739</v>
      </c>
      <c r="BA902" s="3" t="s">
        <v>8739</v>
      </c>
      <c r="BB902" s="3" t="s">
        <v>8740</v>
      </c>
      <c r="BC902" s="3" t="s">
        <v>142</v>
      </c>
      <c r="BD902" s="3" t="s">
        <v>68</v>
      </c>
      <c r="BE902" s="3" t="s">
        <v>8741</v>
      </c>
      <c r="BF902" s="3" t="s">
        <v>8740</v>
      </c>
      <c r="BG902" s="3" t="s">
        <v>8742</v>
      </c>
    </row>
    <row r="903" spans="1:59" ht="57" x14ac:dyDescent="0.45">
      <c r="A903" s="2" t="s">
        <v>59</v>
      </c>
      <c r="B903" s="2" t="s">
        <v>60</v>
      </c>
      <c r="C903" s="2" t="s">
        <v>8743</v>
      </c>
      <c r="D903" s="2" t="s">
        <v>8744</v>
      </c>
      <c r="E903" s="2" t="s">
        <v>8745</v>
      </c>
      <c r="G903" s="3" t="s">
        <v>62</v>
      </c>
      <c r="I903" s="3" t="s">
        <v>62</v>
      </c>
      <c r="J903" s="3" t="s">
        <v>61</v>
      </c>
      <c r="K903" s="3" t="s">
        <v>63</v>
      </c>
      <c r="M903" s="2" t="s">
        <v>8746</v>
      </c>
      <c r="N903" s="3" t="s">
        <v>1437</v>
      </c>
      <c r="P903" s="3" t="s">
        <v>65</v>
      </c>
      <c r="Q903" s="2" t="s">
        <v>7244</v>
      </c>
      <c r="R903" s="3" t="s">
        <v>66</v>
      </c>
      <c r="S903" s="4">
        <v>12</v>
      </c>
      <c r="T903" s="4">
        <v>12</v>
      </c>
      <c r="U903" s="5" t="s">
        <v>8747</v>
      </c>
      <c r="V903" s="5" t="s">
        <v>8747</v>
      </c>
      <c r="W903" s="5" t="s">
        <v>67</v>
      </c>
      <c r="X903" s="5" t="s">
        <v>67</v>
      </c>
      <c r="Y903" s="4">
        <v>308</v>
      </c>
      <c r="Z903" s="4">
        <v>16</v>
      </c>
      <c r="AA903" s="4">
        <v>85</v>
      </c>
      <c r="AB903" s="4">
        <v>2</v>
      </c>
      <c r="AC903" s="4">
        <v>15</v>
      </c>
      <c r="AD903" s="4">
        <v>63</v>
      </c>
      <c r="AE903" s="4">
        <v>126</v>
      </c>
      <c r="AF903" s="4">
        <v>1</v>
      </c>
      <c r="AG903" s="4">
        <v>8</v>
      </c>
      <c r="AH903" s="4">
        <v>56</v>
      </c>
      <c r="AI903" s="4">
        <v>92</v>
      </c>
      <c r="AJ903" s="4">
        <v>9</v>
      </c>
      <c r="AK903" s="4">
        <v>24</v>
      </c>
      <c r="AL903" s="4">
        <v>35</v>
      </c>
      <c r="AM903" s="4">
        <v>46</v>
      </c>
      <c r="AN903" s="4">
        <v>0</v>
      </c>
      <c r="AO903" s="4">
        <v>0</v>
      </c>
      <c r="AP903" s="4">
        <v>12</v>
      </c>
      <c r="AQ903" s="4">
        <v>43</v>
      </c>
      <c r="AR903" s="3" t="s">
        <v>62</v>
      </c>
      <c r="AS903" s="3" t="s">
        <v>62</v>
      </c>
      <c r="AT903" s="3" t="s">
        <v>62</v>
      </c>
      <c r="AV903" s="6" t="str">
        <f>HYPERLINK("http://mcgill.on.worldcat.org/oclc/37770835","Catalog Record")</f>
        <v>Catalog Record</v>
      </c>
      <c r="AW903" s="6" t="str">
        <f>HYPERLINK("http://www.worldcat.org/oclc/37770835","WorldCat Record")</f>
        <v>WorldCat Record</v>
      </c>
      <c r="AX903" s="3" t="s">
        <v>8748</v>
      </c>
      <c r="AY903" s="3" t="s">
        <v>8749</v>
      </c>
      <c r="AZ903" s="3" t="s">
        <v>8750</v>
      </c>
      <c r="BA903" s="3" t="s">
        <v>8750</v>
      </c>
      <c r="BB903" s="3" t="s">
        <v>8751</v>
      </c>
      <c r="BC903" s="3" t="s">
        <v>142</v>
      </c>
      <c r="BD903" s="3" t="s">
        <v>68</v>
      </c>
      <c r="BE903" s="3" t="s">
        <v>8752</v>
      </c>
      <c r="BF903" s="3" t="s">
        <v>8751</v>
      </c>
      <c r="BG903" s="3" t="s">
        <v>8753</v>
      </c>
    </row>
    <row r="904" spans="1:59" ht="57" x14ac:dyDescent="0.45">
      <c r="A904" s="2" t="s">
        <v>59</v>
      </c>
      <c r="B904" s="2" t="s">
        <v>60</v>
      </c>
      <c r="C904" s="2" t="s">
        <v>8754</v>
      </c>
      <c r="D904" s="2" t="s">
        <v>8755</v>
      </c>
      <c r="E904" s="2" t="s">
        <v>8745</v>
      </c>
      <c r="G904" s="3" t="s">
        <v>62</v>
      </c>
      <c r="I904" s="3" t="s">
        <v>62</v>
      </c>
      <c r="J904" s="3" t="s">
        <v>61</v>
      </c>
      <c r="K904" s="3" t="s">
        <v>63</v>
      </c>
      <c r="M904" s="2" t="s">
        <v>8756</v>
      </c>
      <c r="N904" s="3" t="s">
        <v>894</v>
      </c>
      <c r="O904" s="2" t="s">
        <v>933</v>
      </c>
      <c r="P904" s="3" t="s">
        <v>65</v>
      </c>
      <c r="Q904" s="2" t="s">
        <v>7244</v>
      </c>
      <c r="R904" s="3" t="s">
        <v>66</v>
      </c>
      <c r="S904" s="4">
        <v>6</v>
      </c>
      <c r="T904" s="4">
        <v>6</v>
      </c>
      <c r="U904" s="5" t="s">
        <v>8757</v>
      </c>
      <c r="V904" s="5" t="s">
        <v>8757</v>
      </c>
      <c r="W904" s="5" t="s">
        <v>67</v>
      </c>
      <c r="X904" s="5" t="s">
        <v>67</v>
      </c>
      <c r="Y904" s="4">
        <v>156</v>
      </c>
      <c r="Z904" s="4">
        <v>13</v>
      </c>
      <c r="AA904" s="4">
        <v>85</v>
      </c>
      <c r="AB904" s="4">
        <v>2</v>
      </c>
      <c r="AC904" s="4">
        <v>15</v>
      </c>
      <c r="AD904" s="4">
        <v>35</v>
      </c>
      <c r="AE904" s="4">
        <v>126</v>
      </c>
      <c r="AF904" s="4">
        <v>1</v>
      </c>
      <c r="AG904" s="4">
        <v>8</v>
      </c>
      <c r="AH904" s="4">
        <v>33</v>
      </c>
      <c r="AI904" s="4">
        <v>92</v>
      </c>
      <c r="AJ904" s="4">
        <v>7</v>
      </c>
      <c r="AK904" s="4">
        <v>24</v>
      </c>
      <c r="AL904" s="4">
        <v>14</v>
      </c>
      <c r="AM904" s="4">
        <v>46</v>
      </c>
      <c r="AN904" s="4">
        <v>0</v>
      </c>
      <c r="AO904" s="4">
        <v>0</v>
      </c>
      <c r="AP904" s="4">
        <v>8</v>
      </c>
      <c r="AQ904" s="4">
        <v>43</v>
      </c>
      <c r="AR904" s="3" t="s">
        <v>62</v>
      </c>
      <c r="AS904" s="3" t="s">
        <v>62</v>
      </c>
      <c r="AT904" s="3" t="s">
        <v>62</v>
      </c>
      <c r="AV904" s="6" t="str">
        <f>HYPERLINK("http://mcgill.on.worldcat.org/oclc/658200744","Catalog Record")</f>
        <v>Catalog Record</v>
      </c>
      <c r="AW904" s="6" t="str">
        <f>HYPERLINK("http://www.worldcat.org/oclc/658200744","WorldCat Record")</f>
        <v>WorldCat Record</v>
      </c>
      <c r="AX904" s="3" t="s">
        <v>8748</v>
      </c>
      <c r="AY904" s="3" t="s">
        <v>8758</v>
      </c>
      <c r="AZ904" s="3" t="s">
        <v>8759</v>
      </c>
      <c r="BA904" s="3" t="s">
        <v>8759</v>
      </c>
      <c r="BB904" s="3" t="s">
        <v>8760</v>
      </c>
      <c r="BC904" s="3" t="s">
        <v>142</v>
      </c>
      <c r="BD904" s="3" t="s">
        <v>308</v>
      </c>
      <c r="BE904" s="3" t="s">
        <v>8761</v>
      </c>
      <c r="BF904" s="3" t="s">
        <v>8760</v>
      </c>
      <c r="BG904" s="3" t="s">
        <v>8762</v>
      </c>
    </row>
    <row r="905" spans="1:59" ht="57" x14ac:dyDescent="0.45">
      <c r="A905" s="2" t="s">
        <v>59</v>
      </c>
      <c r="B905" s="2" t="s">
        <v>60</v>
      </c>
      <c r="C905" s="2" t="s">
        <v>8763</v>
      </c>
      <c r="D905" s="2" t="s">
        <v>8764</v>
      </c>
      <c r="E905" s="2" t="s">
        <v>8765</v>
      </c>
      <c r="G905" s="3" t="s">
        <v>62</v>
      </c>
      <c r="I905" s="3" t="s">
        <v>62</v>
      </c>
      <c r="J905" s="3" t="s">
        <v>62</v>
      </c>
      <c r="K905" s="3" t="s">
        <v>63</v>
      </c>
      <c r="M905" s="2" t="s">
        <v>1781</v>
      </c>
      <c r="N905" s="3" t="s">
        <v>149</v>
      </c>
      <c r="P905" s="3" t="s">
        <v>65</v>
      </c>
      <c r="R905" s="3" t="s">
        <v>66</v>
      </c>
      <c r="S905" s="4">
        <v>2</v>
      </c>
      <c r="T905" s="4">
        <v>2</v>
      </c>
      <c r="U905" s="5" t="s">
        <v>8747</v>
      </c>
      <c r="V905" s="5" t="s">
        <v>8747</v>
      </c>
      <c r="W905" s="5" t="s">
        <v>67</v>
      </c>
      <c r="X905" s="5" t="s">
        <v>67</v>
      </c>
      <c r="Y905" s="4">
        <v>119</v>
      </c>
      <c r="Z905" s="4">
        <v>11</v>
      </c>
      <c r="AA905" s="4">
        <v>96</v>
      </c>
      <c r="AB905" s="4">
        <v>2</v>
      </c>
      <c r="AC905" s="4">
        <v>17</v>
      </c>
      <c r="AD905" s="4">
        <v>27</v>
      </c>
      <c r="AE905" s="4">
        <v>108</v>
      </c>
      <c r="AF905" s="4">
        <v>1</v>
      </c>
      <c r="AG905" s="4">
        <v>8</v>
      </c>
      <c r="AH905" s="4">
        <v>24</v>
      </c>
      <c r="AI905" s="4">
        <v>71</v>
      </c>
      <c r="AJ905" s="4">
        <v>7</v>
      </c>
      <c r="AK905" s="4">
        <v>23</v>
      </c>
      <c r="AL905" s="4">
        <v>12</v>
      </c>
      <c r="AM905" s="4">
        <v>34</v>
      </c>
      <c r="AN905" s="4">
        <v>0</v>
      </c>
      <c r="AO905" s="4">
        <v>0</v>
      </c>
      <c r="AP905" s="4">
        <v>8</v>
      </c>
      <c r="AQ905" s="4">
        <v>44</v>
      </c>
      <c r="AR905" s="3" t="s">
        <v>62</v>
      </c>
      <c r="AS905" s="3" t="s">
        <v>62</v>
      </c>
      <c r="AT905" s="3" t="s">
        <v>62</v>
      </c>
      <c r="AV905" s="6" t="str">
        <f>HYPERLINK("http://mcgill.on.worldcat.org/oclc/632084892","Catalog Record")</f>
        <v>Catalog Record</v>
      </c>
      <c r="AW905" s="6" t="str">
        <f>HYPERLINK("http://www.worldcat.org/oclc/632084892","WorldCat Record")</f>
        <v>WorldCat Record</v>
      </c>
      <c r="AX905" s="3" t="s">
        <v>8766</v>
      </c>
      <c r="AY905" s="3" t="s">
        <v>8767</v>
      </c>
      <c r="AZ905" s="3" t="s">
        <v>8768</v>
      </c>
      <c r="BA905" s="3" t="s">
        <v>8768</v>
      </c>
      <c r="BB905" s="3" t="s">
        <v>8769</v>
      </c>
      <c r="BC905" s="3" t="s">
        <v>142</v>
      </c>
      <c r="BD905" s="3" t="s">
        <v>68</v>
      </c>
      <c r="BE905" s="3" t="s">
        <v>8770</v>
      </c>
      <c r="BF905" s="3" t="s">
        <v>8769</v>
      </c>
      <c r="BG905" s="3" t="s">
        <v>8771</v>
      </c>
    </row>
    <row r="906" spans="1:59" ht="57" x14ac:dyDescent="0.45">
      <c r="A906" s="2" t="s">
        <v>59</v>
      </c>
      <c r="B906" s="2" t="s">
        <v>60</v>
      </c>
      <c r="C906" s="2" t="s">
        <v>8772</v>
      </c>
      <c r="D906" s="2" t="s">
        <v>8773</v>
      </c>
      <c r="E906" s="2" t="s">
        <v>8774</v>
      </c>
      <c r="F906" s="3" t="s">
        <v>2402</v>
      </c>
      <c r="G906" s="3" t="s">
        <v>62</v>
      </c>
      <c r="I906" s="3" t="s">
        <v>62</v>
      </c>
      <c r="J906" s="3" t="s">
        <v>62</v>
      </c>
      <c r="K906" s="3" t="s">
        <v>63</v>
      </c>
      <c r="L906" s="2" t="s">
        <v>8775</v>
      </c>
      <c r="M906" s="2" t="s">
        <v>8776</v>
      </c>
      <c r="N906" s="3" t="s">
        <v>820</v>
      </c>
      <c r="P906" s="3" t="s">
        <v>65</v>
      </c>
      <c r="Q906" s="2" t="s">
        <v>7024</v>
      </c>
      <c r="R906" s="3" t="s">
        <v>66</v>
      </c>
      <c r="S906" s="4">
        <v>3</v>
      </c>
      <c r="T906" s="4">
        <v>3</v>
      </c>
      <c r="U906" s="5" t="s">
        <v>7065</v>
      </c>
      <c r="V906" s="5" t="s">
        <v>7065</v>
      </c>
      <c r="W906" s="5" t="s">
        <v>67</v>
      </c>
      <c r="X906" s="5" t="s">
        <v>67</v>
      </c>
      <c r="Y906" s="4">
        <v>97</v>
      </c>
      <c r="Z906" s="4">
        <v>9</v>
      </c>
      <c r="AA906" s="4">
        <v>11</v>
      </c>
      <c r="AB906" s="4">
        <v>2</v>
      </c>
      <c r="AC906" s="4">
        <v>2</v>
      </c>
      <c r="AD906" s="4">
        <v>15</v>
      </c>
      <c r="AE906" s="4">
        <v>16</v>
      </c>
      <c r="AF906" s="4">
        <v>1</v>
      </c>
      <c r="AG906" s="4">
        <v>1</v>
      </c>
      <c r="AH906" s="4">
        <v>13</v>
      </c>
      <c r="AI906" s="4">
        <v>14</v>
      </c>
      <c r="AJ906" s="4">
        <v>4</v>
      </c>
      <c r="AK906" s="4">
        <v>5</v>
      </c>
      <c r="AL906" s="4">
        <v>5</v>
      </c>
      <c r="AM906" s="4">
        <v>6</v>
      </c>
      <c r="AN906" s="4">
        <v>0</v>
      </c>
      <c r="AO906" s="4">
        <v>0</v>
      </c>
      <c r="AP906" s="4">
        <v>5</v>
      </c>
      <c r="AQ906" s="4">
        <v>6</v>
      </c>
      <c r="AR906" s="3" t="s">
        <v>62</v>
      </c>
      <c r="AS906" s="3" t="s">
        <v>62</v>
      </c>
      <c r="AT906" s="3" t="s">
        <v>62</v>
      </c>
      <c r="AV906" s="6" t="str">
        <f>HYPERLINK("http://mcgill.on.worldcat.org/oclc/182656773","Catalog Record")</f>
        <v>Catalog Record</v>
      </c>
      <c r="AW906" s="6" t="str">
        <f>HYPERLINK("http://www.worldcat.org/oclc/182656773","WorldCat Record")</f>
        <v>WorldCat Record</v>
      </c>
      <c r="AX906" s="3" t="s">
        <v>8777</v>
      </c>
      <c r="AY906" s="3" t="s">
        <v>8778</v>
      </c>
      <c r="AZ906" s="3" t="s">
        <v>8779</v>
      </c>
      <c r="BA906" s="3" t="s">
        <v>8779</v>
      </c>
      <c r="BB906" s="3" t="s">
        <v>8780</v>
      </c>
      <c r="BC906" s="3" t="s">
        <v>142</v>
      </c>
      <c r="BD906" s="3" t="s">
        <v>68</v>
      </c>
      <c r="BE906" s="3" t="s">
        <v>8781</v>
      </c>
      <c r="BF906" s="3" t="s">
        <v>8780</v>
      </c>
      <c r="BG906" s="3" t="s">
        <v>8782</v>
      </c>
    </row>
    <row r="907" spans="1:59" ht="85.5" x14ac:dyDescent="0.45">
      <c r="A907" s="2" t="s">
        <v>59</v>
      </c>
      <c r="B907" s="2" t="s">
        <v>5257</v>
      </c>
      <c r="C907" s="2" t="s">
        <v>8783</v>
      </c>
      <c r="D907" s="2" t="s">
        <v>8784</v>
      </c>
      <c r="E907" s="2" t="s">
        <v>8785</v>
      </c>
      <c r="G907" s="3" t="s">
        <v>62</v>
      </c>
      <c r="I907" s="3" t="s">
        <v>62</v>
      </c>
      <c r="J907" s="3" t="s">
        <v>62</v>
      </c>
      <c r="K907" s="3" t="s">
        <v>63</v>
      </c>
      <c r="M907" s="2" t="s">
        <v>7996</v>
      </c>
      <c r="N907" s="3" t="s">
        <v>894</v>
      </c>
      <c r="P907" s="3" t="s">
        <v>65</v>
      </c>
      <c r="Q907" s="2" t="s">
        <v>8786</v>
      </c>
      <c r="R907" s="3" t="s">
        <v>66</v>
      </c>
      <c r="S907" s="4">
        <v>0</v>
      </c>
      <c r="T907" s="4">
        <v>0</v>
      </c>
      <c r="W907" s="5" t="s">
        <v>67</v>
      </c>
      <c r="X907" s="5" t="s">
        <v>67</v>
      </c>
      <c r="Y907" s="4">
        <v>49</v>
      </c>
      <c r="Z907" s="4">
        <v>8</v>
      </c>
      <c r="AA907" s="4">
        <v>102</v>
      </c>
      <c r="AB907" s="4">
        <v>1</v>
      </c>
      <c r="AC907" s="4">
        <v>17</v>
      </c>
      <c r="AD907" s="4">
        <v>16</v>
      </c>
      <c r="AE907" s="4">
        <v>101</v>
      </c>
      <c r="AF907" s="4">
        <v>0</v>
      </c>
      <c r="AG907" s="4">
        <v>8</v>
      </c>
      <c r="AH907" s="4">
        <v>13</v>
      </c>
      <c r="AI907" s="4">
        <v>65</v>
      </c>
      <c r="AJ907" s="4">
        <v>5</v>
      </c>
      <c r="AK907" s="4">
        <v>21</v>
      </c>
      <c r="AL907" s="4">
        <v>9</v>
      </c>
      <c r="AM907" s="4">
        <v>32</v>
      </c>
      <c r="AN907" s="4">
        <v>0</v>
      </c>
      <c r="AO907" s="4">
        <v>0</v>
      </c>
      <c r="AP907" s="4">
        <v>5</v>
      </c>
      <c r="AQ907" s="4">
        <v>43</v>
      </c>
      <c r="AR907" s="3" t="s">
        <v>62</v>
      </c>
      <c r="AS907" s="3" t="s">
        <v>62</v>
      </c>
      <c r="AT907" s="3" t="s">
        <v>62</v>
      </c>
      <c r="AV907" s="6" t="str">
        <f>HYPERLINK("http://mcgill.on.worldcat.org/oclc/726151298","Catalog Record")</f>
        <v>Catalog Record</v>
      </c>
      <c r="AW907" s="6" t="str">
        <f>HYPERLINK("http://www.worldcat.org/oclc/726151298","WorldCat Record")</f>
        <v>WorldCat Record</v>
      </c>
      <c r="AX907" s="3" t="s">
        <v>8787</v>
      </c>
      <c r="AY907" s="3" t="s">
        <v>8788</v>
      </c>
      <c r="AZ907" s="3" t="s">
        <v>8789</v>
      </c>
      <c r="BA907" s="3" t="s">
        <v>8789</v>
      </c>
      <c r="BB907" s="3" t="s">
        <v>8790</v>
      </c>
      <c r="BC907" s="3" t="s">
        <v>142</v>
      </c>
      <c r="BD907" s="3" t="s">
        <v>68</v>
      </c>
      <c r="BE907" s="3" t="s">
        <v>8791</v>
      </c>
      <c r="BF907" s="3" t="s">
        <v>8790</v>
      </c>
      <c r="BG907" s="3" t="s">
        <v>8792</v>
      </c>
    </row>
    <row r="908" spans="1:59" ht="57" x14ac:dyDescent="0.45">
      <c r="A908" s="2" t="s">
        <v>59</v>
      </c>
      <c r="B908" s="2" t="s">
        <v>60</v>
      </c>
      <c r="C908" s="2" t="s">
        <v>8793</v>
      </c>
      <c r="D908" s="2" t="s">
        <v>8794</v>
      </c>
      <c r="E908" s="2" t="s">
        <v>8795</v>
      </c>
      <c r="G908" s="3" t="s">
        <v>62</v>
      </c>
      <c r="I908" s="3" t="s">
        <v>62</v>
      </c>
      <c r="J908" s="3" t="s">
        <v>62</v>
      </c>
      <c r="K908" s="3" t="s">
        <v>63</v>
      </c>
      <c r="M908" s="2" t="s">
        <v>8796</v>
      </c>
      <c r="N908" s="3" t="s">
        <v>157</v>
      </c>
      <c r="P908" s="3" t="s">
        <v>65</v>
      </c>
      <c r="Q908" s="2" t="s">
        <v>8797</v>
      </c>
      <c r="R908" s="3" t="s">
        <v>66</v>
      </c>
      <c r="S908" s="4">
        <v>4</v>
      </c>
      <c r="T908" s="4">
        <v>4</v>
      </c>
      <c r="U908" s="5" t="s">
        <v>4940</v>
      </c>
      <c r="V908" s="5" t="s">
        <v>4940</v>
      </c>
      <c r="W908" s="5" t="s">
        <v>67</v>
      </c>
      <c r="X908" s="5" t="s">
        <v>67</v>
      </c>
      <c r="Y908" s="4">
        <v>233</v>
      </c>
      <c r="Z908" s="4">
        <v>20</v>
      </c>
      <c r="AA908" s="4">
        <v>24</v>
      </c>
      <c r="AB908" s="4">
        <v>2</v>
      </c>
      <c r="AC908" s="4">
        <v>3</v>
      </c>
      <c r="AD908" s="4">
        <v>39</v>
      </c>
      <c r="AE908" s="4">
        <v>43</v>
      </c>
      <c r="AF908" s="4">
        <v>0</v>
      </c>
      <c r="AG908" s="4">
        <v>1</v>
      </c>
      <c r="AH908" s="4">
        <v>31</v>
      </c>
      <c r="AI908" s="4">
        <v>32</v>
      </c>
      <c r="AJ908" s="4">
        <v>12</v>
      </c>
      <c r="AK908" s="4">
        <v>14</v>
      </c>
      <c r="AL908" s="4">
        <v>11</v>
      </c>
      <c r="AM908" s="4">
        <v>11</v>
      </c>
      <c r="AN908" s="4">
        <v>0</v>
      </c>
      <c r="AO908" s="4">
        <v>0</v>
      </c>
      <c r="AP908" s="4">
        <v>14</v>
      </c>
      <c r="AQ908" s="4">
        <v>17</v>
      </c>
      <c r="AR908" s="3" t="s">
        <v>62</v>
      </c>
      <c r="AS908" s="3" t="s">
        <v>62</v>
      </c>
      <c r="AT908" s="3" t="s">
        <v>62</v>
      </c>
      <c r="AV908" s="6" t="str">
        <f>HYPERLINK("http://mcgill.on.worldcat.org/oclc/8800172","Catalog Record")</f>
        <v>Catalog Record</v>
      </c>
      <c r="AW908" s="6" t="str">
        <f>HYPERLINK("http://www.worldcat.org/oclc/8800172","WorldCat Record")</f>
        <v>WorldCat Record</v>
      </c>
      <c r="AX908" s="3" t="s">
        <v>8798</v>
      </c>
      <c r="AY908" s="3" t="s">
        <v>8799</v>
      </c>
      <c r="AZ908" s="3" t="s">
        <v>8800</v>
      </c>
      <c r="BA908" s="3" t="s">
        <v>8800</v>
      </c>
      <c r="BB908" s="3" t="s">
        <v>8801</v>
      </c>
      <c r="BC908" s="3" t="s">
        <v>142</v>
      </c>
      <c r="BD908" s="3" t="s">
        <v>68</v>
      </c>
      <c r="BE908" s="3" t="s">
        <v>8802</v>
      </c>
      <c r="BF908" s="3" t="s">
        <v>8801</v>
      </c>
      <c r="BG908" s="3" t="s">
        <v>8803</v>
      </c>
    </row>
    <row r="909" spans="1:59" ht="57" x14ac:dyDescent="0.45">
      <c r="A909" s="2" t="s">
        <v>59</v>
      </c>
      <c r="B909" s="2" t="s">
        <v>60</v>
      </c>
      <c r="C909" s="2" t="s">
        <v>8804</v>
      </c>
      <c r="D909" s="2" t="s">
        <v>8805</v>
      </c>
      <c r="E909" s="2" t="s">
        <v>8806</v>
      </c>
      <c r="G909" s="3" t="s">
        <v>62</v>
      </c>
      <c r="I909" s="3" t="s">
        <v>62</v>
      </c>
      <c r="J909" s="3" t="s">
        <v>62</v>
      </c>
      <c r="K909" s="3" t="s">
        <v>63</v>
      </c>
      <c r="L909" s="2" t="s">
        <v>8807</v>
      </c>
      <c r="M909" s="2" t="s">
        <v>5224</v>
      </c>
      <c r="N909" s="3" t="s">
        <v>1239</v>
      </c>
      <c r="P909" s="3" t="s">
        <v>65</v>
      </c>
      <c r="Q909" s="2" t="s">
        <v>7024</v>
      </c>
      <c r="R909" s="3" t="s">
        <v>66</v>
      </c>
      <c r="S909" s="4">
        <v>31</v>
      </c>
      <c r="T909" s="4">
        <v>31</v>
      </c>
      <c r="U909" s="5" t="s">
        <v>123</v>
      </c>
      <c r="V909" s="5" t="s">
        <v>123</v>
      </c>
      <c r="W909" s="5" t="s">
        <v>67</v>
      </c>
      <c r="X909" s="5" t="s">
        <v>67</v>
      </c>
      <c r="Y909" s="4">
        <v>551</v>
      </c>
      <c r="Z909" s="4">
        <v>32</v>
      </c>
      <c r="AA909" s="4">
        <v>35</v>
      </c>
      <c r="AB909" s="4">
        <v>4</v>
      </c>
      <c r="AC909" s="4">
        <v>7</v>
      </c>
      <c r="AD909" s="4">
        <v>97</v>
      </c>
      <c r="AE909" s="4">
        <v>99</v>
      </c>
      <c r="AF909" s="4">
        <v>2</v>
      </c>
      <c r="AG909" s="4">
        <v>4</v>
      </c>
      <c r="AH909" s="4">
        <v>85</v>
      </c>
      <c r="AI909" s="4">
        <v>86</v>
      </c>
      <c r="AJ909" s="4">
        <v>15</v>
      </c>
      <c r="AK909" s="4">
        <v>17</v>
      </c>
      <c r="AL909" s="4">
        <v>40</v>
      </c>
      <c r="AM909" s="4">
        <v>40</v>
      </c>
      <c r="AN909" s="4">
        <v>1</v>
      </c>
      <c r="AO909" s="4">
        <v>1</v>
      </c>
      <c r="AP909" s="4">
        <v>23</v>
      </c>
      <c r="AQ909" s="4">
        <v>25</v>
      </c>
      <c r="AR909" s="3" t="s">
        <v>62</v>
      </c>
      <c r="AS909" s="3" t="s">
        <v>62</v>
      </c>
      <c r="AT909" s="3" t="s">
        <v>61</v>
      </c>
      <c r="AU909" s="6" t="str">
        <f>HYPERLINK("http://catalog.hathitrust.org/Record/001942998","HathiTrust Record")</f>
        <v>HathiTrust Record</v>
      </c>
      <c r="AV909" s="6" t="str">
        <f>HYPERLINK("http://mcgill.on.worldcat.org/oclc/19777439","Catalog Record")</f>
        <v>Catalog Record</v>
      </c>
      <c r="AW909" s="6" t="str">
        <f>HYPERLINK("http://www.worldcat.org/oclc/19777439","WorldCat Record")</f>
        <v>WorldCat Record</v>
      </c>
      <c r="AX909" s="3" t="s">
        <v>8808</v>
      </c>
      <c r="AY909" s="3" t="s">
        <v>8809</v>
      </c>
      <c r="AZ909" s="3" t="s">
        <v>8810</v>
      </c>
      <c r="BA909" s="3" t="s">
        <v>8810</v>
      </c>
      <c r="BB909" s="3" t="s">
        <v>8811</v>
      </c>
      <c r="BC909" s="3" t="s">
        <v>142</v>
      </c>
      <c r="BD909" s="3" t="s">
        <v>68</v>
      </c>
      <c r="BE909" s="3" t="s">
        <v>8812</v>
      </c>
      <c r="BF909" s="3" t="s">
        <v>8811</v>
      </c>
      <c r="BG909" s="3" t="s">
        <v>8813</v>
      </c>
    </row>
    <row r="910" spans="1:59" ht="57" x14ac:dyDescent="0.45">
      <c r="A910" s="2" t="s">
        <v>59</v>
      </c>
      <c r="B910" s="2" t="s">
        <v>60</v>
      </c>
      <c r="C910" s="2" t="s">
        <v>8814</v>
      </c>
      <c r="D910" s="2" t="s">
        <v>8815</v>
      </c>
      <c r="E910" s="2" t="s">
        <v>8816</v>
      </c>
      <c r="G910" s="3" t="s">
        <v>62</v>
      </c>
      <c r="I910" s="3" t="s">
        <v>62</v>
      </c>
      <c r="J910" s="3" t="s">
        <v>62</v>
      </c>
      <c r="K910" s="3" t="s">
        <v>63</v>
      </c>
      <c r="L910" s="2" t="s">
        <v>8817</v>
      </c>
      <c r="M910" s="2" t="s">
        <v>8818</v>
      </c>
      <c r="N910" s="3" t="s">
        <v>820</v>
      </c>
      <c r="P910" s="3" t="s">
        <v>65</v>
      </c>
      <c r="R910" s="3" t="s">
        <v>66</v>
      </c>
      <c r="S910" s="4">
        <v>13</v>
      </c>
      <c r="T910" s="4">
        <v>13</v>
      </c>
      <c r="U910" s="5" t="s">
        <v>6272</v>
      </c>
      <c r="V910" s="5" t="s">
        <v>6272</v>
      </c>
      <c r="W910" s="5" t="s">
        <v>67</v>
      </c>
      <c r="X910" s="5" t="s">
        <v>67</v>
      </c>
      <c r="Y910" s="4">
        <v>126</v>
      </c>
      <c r="Z910" s="4">
        <v>15</v>
      </c>
      <c r="AA910" s="4">
        <v>15</v>
      </c>
      <c r="AB910" s="4">
        <v>2</v>
      </c>
      <c r="AC910" s="4">
        <v>2</v>
      </c>
      <c r="AD910" s="4">
        <v>44</v>
      </c>
      <c r="AE910" s="4">
        <v>44</v>
      </c>
      <c r="AF910" s="4">
        <v>1</v>
      </c>
      <c r="AG910" s="4">
        <v>1</v>
      </c>
      <c r="AH910" s="4">
        <v>41</v>
      </c>
      <c r="AI910" s="4">
        <v>41</v>
      </c>
      <c r="AJ910" s="4">
        <v>11</v>
      </c>
      <c r="AK910" s="4">
        <v>11</v>
      </c>
      <c r="AL910" s="4">
        <v>24</v>
      </c>
      <c r="AM910" s="4">
        <v>24</v>
      </c>
      <c r="AN910" s="4">
        <v>0</v>
      </c>
      <c r="AO910" s="4">
        <v>0</v>
      </c>
      <c r="AP910" s="4">
        <v>12</v>
      </c>
      <c r="AQ910" s="4">
        <v>12</v>
      </c>
      <c r="AR910" s="3" t="s">
        <v>62</v>
      </c>
      <c r="AS910" s="3" t="s">
        <v>62</v>
      </c>
      <c r="AT910" s="3" t="s">
        <v>62</v>
      </c>
      <c r="AV910" s="6" t="str">
        <f>HYPERLINK("http://mcgill.on.worldcat.org/oclc/167490949","Catalog Record")</f>
        <v>Catalog Record</v>
      </c>
      <c r="AW910" s="6" t="str">
        <f>HYPERLINK("http://www.worldcat.org/oclc/167490949","WorldCat Record")</f>
        <v>WorldCat Record</v>
      </c>
      <c r="AX910" s="3" t="s">
        <v>8819</v>
      </c>
      <c r="AY910" s="3" t="s">
        <v>8820</v>
      </c>
      <c r="AZ910" s="3" t="s">
        <v>8821</v>
      </c>
      <c r="BA910" s="3" t="s">
        <v>8821</v>
      </c>
      <c r="BB910" s="3" t="s">
        <v>8822</v>
      </c>
      <c r="BC910" s="3" t="s">
        <v>142</v>
      </c>
      <c r="BD910" s="3" t="s">
        <v>68</v>
      </c>
      <c r="BE910" s="3" t="s">
        <v>8823</v>
      </c>
      <c r="BF910" s="3" t="s">
        <v>8822</v>
      </c>
      <c r="BG910" s="3" t="s">
        <v>8824</v>
      </c>
    </row>
    <row r="911" spans="1:59" ht="57" x14ac:dyDescent="0.45">
      <c r="A911" s="2" t="s">
        <v>59</v>
      </c>
      <c r="B911" s="2" t="s">
        <v>60</v>
      </c>
      <c r="C911" s="2" t="s">
        <v>8825</v>
      </c>
      <c r="D911" s="2" t="s">
        <v>8826</v>
      </c>
      <c r="E911" s="2" t="s">
        <v>8827</v>
      </c>
      <c r="G911" s="3" t="s">
        <v>62</v>
      </c>
      <c r="I911" s="3" t="s">
        <v>62</v>
      </c>
      <c r="J911" s="3" t="s">
        <v>62</v>
      </c>
      <c r="K911" s="3" t="s">
        <v>63</v>
      </c>
      <c r="L911" s="2" t="s">
        <v>8828</v>
      </c>
      <c r="M911" s="2" t="s">
        <v>8829</v>
      </c>
      <c r="N911" s="3" t="s">
        <v>894</v>
      </c>
      <c r="P911" s="3" t="s">
        <v>65</v>
      </c>
      <c r="Q911" s="2" t="s">
        <v>8830</v>
      </c>
      <c r="R911" s="3" t="s">
        <v>66</v>
      </c>
      <c r="S911" s="4">
        <v>1</v>
      </c>
      <c r="T911" s="4">
        <v>1</v>
      </c>
      <c r="U911" s="5" t="s">
        <v>7065</v>
      </c>
      <c r="V911" s="5" t="s">
        <v>7065</v>
      </c>
      <c r="W911" s="5" t="s">
        <v>67</v>
      </c>
      <c r="X911" s="5" t="s">
        <v>67</v>
      </c>
      <c r="Y911" s="4">
        <v>75</v>
      </c>
      <c r="Z911" s="4">
        <v>12</v>
      </c>
      <c r="AA911" s="4">
        <v>18</v>
      </c>
      <c r="AB911" s="4">
        <v>2</v>
      </c>
      <c r="AC911" s="4">
        <v>4</v>
      </c>
      <c r="AD911" s="4">
        <v>33</v>
      </c>
      <c r="AE911" s="4">
        <v>40</v>
      </c>
      <c r="AF911" s="4">
        <v>1</v>
      </c>
      <c r="AG911" s="4">
        <v>1</v>
      </c>
      <c r="AH911" s="4">
        <v>28</v>
      </c>
      <c r="AI911" s="4">
        <v>33</v>
      </c>
      <c r="AJ911" s="4">
        <v>8</v>
      </c>
      <c r="AK911" s="4">
        <v>9</v>
      </c>
      <c r="AL911" s="4">
        <v>14</v>
      </c>
      <c r="AM911" s="4">
        <v>16</v>
      </c>
      <c r="AN911" s="4">
        <v>0</v>
      </c>
      <c r="AO911" s="4">
        <v>0</v>
      </c>
      <c r="AP911" s="4">
        <v>9</v>
      </c>
      <c r="AQ911" s="4">
        <v>12</v>
      </c>
      <c r="AR911" s="3" t="s">
        <v>62</v>
      </c>
      <c r="AS911" s="3" t="s">
        <v>62</v>
      </c>
      <c r="AT911" s="3" t="s">
        <v>62</v>
      </c>
      <c r="AV911" s="6" t="str">
        <f>HYPERLINK("http://mcgill.on.worldcat.org/oclc/666406476","Catalog Record")</f>
        <v>Catalog Record</v>
      </c>
      <c r="AW911" s="6" t="str">
        <f>HYPERLINK("http://www.worldcat.org/oclc/666406476","WorldCat Record")</f>
        <v>WorldCat Record</v>
      </c>
      <c r="AX911" s="3" t="s">
        <v>8831</v>
      </c>
      <c r="AY911" s="3" t="s">
        <v>8832</v>
      </c>
      <c r="AZ911" s="3" t="s">
        <v>8833</v>
      </c>
      <c r="BA911" s="3" t="s">
        <v>8833</v>
      </c>
      <c r="BB911" s="3" t="s">
        <v>8834</v>
      </c>
      <c r="BC911" s="3" t="s">
        <v>142</v>
      </c>
      <c r="BD911" s="3" t="s">
        <v>68</v>
      </c>
      <c r="BE911" s="3" t="s">
        <v>8835</v>
      </c>
      <c r="BF911" s="3" t="s">
        <v>8834</v>
      </c>
      <c r="BG911" s="3" t="s">
        <v>8836</v>
      </c>
    </row>
    <row r="912" spans="1:59" ht="57" x14ac:dyDescent="0.45">
      <c r="A912" s="2" t="s">
        <v>59</v>
      </c>
      <c r="B912" s="2" t="s">
        <v>60</v>
      </c>
      <c r="C912" s="2" t="s">
        <v>8837</v>
      </c>
      <c r="D912" s="2" t="s">
        <v>8838</v>
      </c>
      <c r="E912" s="2" t="s">
        <v>8839</v>
      </c>
      <c r="G912" s="3" t="s">
        <v>62</v>
      </c>
      <c r="I912" s="3" t="s">
        <v>61</v>
      </c>
      <c r="J912" s="3" t="s">
        <v>62</v>
      </c>
      <c r="K912" s="3" t="s">
        <v>63</v>
      </c>
      <c r="L912" s="2" t="s">
        <v>8840</v>
      </c>
      <c r="M912" s="2" t="s">
        <v>7564</v>
      </c>
      <c r="N912" s="3" t="s">
        <v>1478</v>
      </c>
      <c r="P912" s="3" t="s">
        <v>65</v>
      </c>
      <c r="Q912" s="2" t="s">
        <v>7036</v>
      </c>
      <c r="R912" s="3" t="s">
        <v>66</v>
      </c>
      <c r="S912" s="4">
        <v>21</v>
      </c>
      <c r="T912" s="4">
        <v>43</v>
      </c>
      <c r="U912" s="5" t="s">
        <v>8841</v>
      </c>
      <c r="V912" s="5" t="s">
        <v>8842</v>
      </c>
      <c r="W912" s="5" t="s">
        <v>67</v>
      </c>
      <c r="X912" s="5" t="s">
        <v>67</v>
      </c>
      <c r="Y912" s="4">
        <v>492</v>
      </c>
      <c r="Z912" s="4">
        <v>23</v>
      </c>
      <c r="AA912" s="4">
        <v>31</v>
      </c>
      <c r="AB912" s="4">
        <v>3</v>
      </c>
      <c r="AC912" s="4">
        <v>9</v>
      </c>
      <c r="AD912" s="4">
        <v>103</v>
      </c>
      <c r="AE912" s="4">
        <v>111</v>
      </c>
      <c r="AF912" s="4">
        <v>2</v>
      </c>
      <c r="AG912" s="4">
        <v>6</v>
      </c>
      <c r="AH912" s="4">
        <v>90</v>
      </c>
      <c r="AI912" s="4">
        <v>94</v>
      </c>
      <c r="AJ912" s="4">
        <v>14</v>
      </c>
      <c r="AK912" s="4">
        <v>18</v>
      </c>
      <c r="AL912" s="4">
        <v>52</v>
      </c>
      <c r="AM912" s="4">
        <v>53</v>
      </c>
      <c r="AN912" s="4">
        <v>0</v>
      </c>
      <c r="AO912" s="4">
        <v>0</v>
      </c>
      <c r="AP912" s="4">
        <v>19</v>
      </c>
      <c r="AQ912" s="4">
        <v>23</v>
      </c>
      <c r="AR912" s="3" t="s">
        <v>62</v>
      </c>
      <c r="AS912" s="3" t="s">
        <v>62</v>
      </c>
      <c r="AT912" s="3" t="s">
        <v>61</v>
      </c>
      <c r="AU912" s="6" t="str">
        <f>HYPERLINK("http://catalog.hathitrust.org/Record/003048251","HathiTrust Record")</f>
        <v>HathiTrust Record</v>
      </c>
      <c r="AV912" s="6" t="str">
        <f>HYPERLINK("http://mcgill.on.worldcat.org/oclc/32166549","Catalog Record")</f>
        <v>Catalog Record</v>
      </c>
      <c r="AW912" s="6" t="str">
        <f>HYPERLINK("http://www.worldcat.org/oclc/32166549","WorldCat Record")</f>
        <v>WorldCat Record</v>
      </c>
      <c r="AX912" s="3" t="s">
        <v>8843</v>
      </c>
      <c r="AY912" s="3" t="s">
        <v>8844</v>
      </c>
      <c r="AZ912" s="3" t="s">
        <v>8845</v>
      </c>
      <c r="BA912" s="3" t="s">
        <v>8845</v>
      </c>
      <c r="BB912" s="3" t="s">
        <v>8846</v>
      </c>
      <c r="BC912" s="3" t="s">
        <v>142</v>
      </c>
      <c r="BD912" s="3" t="s">
        <v>68</v>
      </c>
      <c r="BE912" s="3" t="s">
        <v>8847</v>
      </c>
      <c r="BF912" s="3" t="s">
        <v>8846</v>
      </c>
      <c r="BG912" s="3" t="s">
        <v>8848</v>
      </c>
    </row>
    <row r="913" spans="1:59" ht="57" x14ac:dyDescent="0.45">
      <c r="A913" s="2" t="s">
        <v>59</v>
      </c>
      <c r="B913" s="2" t="s">
        <v>60</v>
      </c>
      <c r="C913" s="2" t="s">
        <v>8837</v>
      </c>
      <c r="D913" s="2" t="s">
        <v>8838</v>
      </c>
      <c r="E913" s="2" t="s">
        <v>8839</v>
      </c>
      <c r="G913" s="3" t="s">
        <v>62</v>
      </c>
      <c r="I913" s="3" t="s">
        <v>61</v>
      </c>
      <c r="J913" s="3" t="s">
        <v>62</v>
      </c>
      <c r="K913" s="3" t="s">
        <v>63</v>
      </c>
      <c r="L913" s="2" t="s">
        <v>8840</v>
      </c>
      <c r="M913" s="2" t="s">
        <v>7564</v>
      </c>
      <c r="N913" s="3" t="s">
        <v>1478</v>
      </c>
      <c r="P913" s="3" t="s">
        <v>65</v>
      </c>
      <c r="Q913" s="2" t="s">
        <v>7036</v>
      </c>
      <c r="R913" s="3" t="s">
        <v>66</v>
      </c>
      <c r="S913" s="4">
        <v>22</v>
      </c>
      <c r="T913" s="4">
        <v>43</v>
      </c>
      <c r="U913" s="5" t="s">
        <v>8842</v>
      </c>
      <c r="V913" s="5" t="s">
        <v>8842</v>
      </c>
      <c r="W913" s="5" t="s">
        <v>67</v>
      </c>
      <c r="X913" s="5" t="s">
        <v>67</v>
      </c>
      <c r="Y913" s="4">
        <v>492</v>
      </c>
      <c r="Z913" s="4">
        <v>23</v>
      </c>
      <c r="AA913" s="4">
        <v>31</v>
      </c>
      <c r="AB913" s="4">
        <v>3</v>
      </c>
      <c r="AC913" s="4">
        <v>9</v>
      </c>
      <c r="AD913" s="4">
        <v>103</v>
      </c>
      <c r="AE913" s="4">
        <v>111</v>
      </c>
      <c r="AF913" s="4">
        <v>2</v>
      </c>
      <c r="AG913" s="4">
        <v>6</v>
      </c>
      <c r="AH913" s="4">
        <v>90</v>
      </c>
      <c r="AI913" s="4">
        <v>94</v>
      </c>
      <c r="AJ913" s="4">
        <v>14</v>
      </c>
      <c r="AK913" s="4">
        <v>18</v>
      </c>
      <c r="AL913" s="4">
        <v>52</v>
      </c>
      <c r="AM913" s="4">
        <v>53</v>
      </c>
      <c r="AN913" s="4">
        <v>0</v>
      </c>
      <c r="AO913" s="4">
        <v>0</v>
      </c>
      <c r="AP913" s="4">
        <v>19</v>
      </c>
      <c r="AQ913" s="4">
        <v>23</v>
      </c>
      <c r="AR913" s="3" t="s">
        <v>62</v>
      </c>
      <c r="AS913" s="3" t="s">
        <v>62</v>
      </c>
      <c r="AT913" s="3" t="s">
        <v>61</v>
      </c>
      <c r="AU913" s="6" t="str">
        <f>HYPERLINK("http://catalog.hathitrust.org/Record/003048251","HathiTrust Record")</f>
        <v>HathiTrust Record</v>
      </c>
      <c r="AV913" s="6" t="str">
        <f>HYPERLINK("http://mcgill.on.worldcat.org/oclc/32166549","Catalog Record")</f>
        <v>Catalog Record</v>
      </c>
      <c r="AW913" s="6" t="str">
        <f>HYPERLINK("http://www.worldcat.org/oclc/32166549","WorldCat Record")</f>
        <v>WorldCat Record</v>
      </c>
      <c r="AX913" s="3" t="s">
        <v>8843</v>
      </c>
      <c r="AY913" s="3" t="s">
        <v>8844</v>
      </c>
      <c r="AZ913" s="3" t="s">
        <v>8845</v>
      </c>
      <c r="BA913" s="3" t="s">
        <v>8845</v>
      </c>
      <c r="BB913" s="3" t="s">
        <v>8849</v>
      </c>
      <c r="BC913" s="3" t="s">
        <v>142</v>
      </c>
      <c r="BD913" s="3" t="s">
        <v>68</v>
      </c>
      <c r="BE913" s="3" t="s">
        <v>8847</v>
      </c>
      <c r="BF913" s="3" t="s">
        <v>8849</v>
      </c>
      <c r="BG913" s="3" t="s">
        <v>8850</v>
      </c>
    </row>
    <row r="914" spans="1:59" ht="57" x14ac:dyDescent="0.45">
      <c r="A914" s="2" t="s">
        <v>59</v>
      </c>
      <c r="B914" s="2" t="s">
        <v>60</v>
      </c>
      <c r="C914" s="2" t="s">
        <v>8851</v>
      </c>
      <c r="D914" s="2" t="s">
        <v>8852</v>
      </c>
      <c r="E914" s="2" t="s">
        <v>8853</v>
      </c>
      <c r="G914" s="3" t="s">
        <v>62</v>
      </c>
      <c r="I914" s="3" t="s">
        <v>61</v>
      </c>
      <c r="J914" s="3" t="s">
        <v>62</v>
      </c>
      <c r="K914" s="3" t="s">
        <v>63</v>
      </c>
      <c r="M914" s="2" t="s">
        <v>3996</v>
      </c>
      <c r="N914" s="3" t="s">
        <v>1059</v>
      </c>
      <c r="P914" s="3" t="s">
        <v>65</v>
      </c>
      <c r="Q914" s="2" t="s">
        <v>7036</v>
      </c>
      <c r="R914" s="3" t="s">
        <v>66</v>
      </c>
      <c r="S914" s="4">
        <v>13</v>
      </c>
      <c r="T914" s="4">
        <v>21</v>
      </c>
      <c r="U914" s="5" t="s">
        <v>372</v>
      </c>
      <c r="V914" s="5" t="s">
        <v>372</v>
      </c>
      <c r="W914" s="5" t="s">
        <v>67</v>
      </c>
      <c r="X914" s="5" t="s">
        <v>67</v>
      </c>
      <c r="Y914" s="4">
        <v>328</v>
      </c>
      <c r="Z914" s="4">
        <v>18</v>
      </c>
      <c r="AA914" s="4">
        <v>32</v>
      </c>
      <c r="AB914" s="4">
        <v>2</v>
      </c>
      <c r="AC914" s="4">
        <v>8</v>
      </c>
      <c r="AD914" s="4">
        <v>79</v>
      </c>
      <c r="AE914" s="4">
        <v>92</v>
      </c>
      <c r="AF914" s="4">
        <v>1</v>
      </c>
      <c r="AG914" s="4">
        <v>4</v>
      </c>
      <c r="AH914" s="4">
        <v>71</v>
      </c>
      <c r="AI914" s="4">
        <v>77</v>
      </c>
      <c r="AJ914" s="4">
        <v>12</v>
      </c>
      <c r="AK914" s="4">
        <v>19</v>
      </c>
      <c r="AL914" s="4">
        <v>36</v>
      </c>
      <c r="AM914" s="4">
        <v>38</v>
      </c>
      <c r="AN914" s="4">
        <v>0</v>
      </c>
      <c r="AO914" s="4">
        <v>0</v>
      </c>
      <c r="AP914" s="4">
        <v>16</v>
      </c>
      <c r="AQ914" s="4">
        <v>25</v>
      </c>
      <c r="AR914" s="3" t="s">
        <v>62</v>
      </c>
      <c r="AS914" s="3" t="s">
        <v>62</v>
      </c>
      <c r="AT914" s="3" t="s">
        <v>62</v>
      </c>
      <c r="AV914" s="6" t="str">
        <f>HYPERLINK("http://mcgill.on.worldcat.org/oclc/64453540","Catalog Record")</f>
        <v>Catalog Record</v>
      </c>
      <c r="AW914" s="6" t="str">
        <f>HYPERLINK("http://www.worldcat.org/oclc/64453540","WorldCat Record")</f>
        <v>WorldCat Record</v>
      </c>
      <c r="AX914" s="3" t="s">
        <v>8854</v>
      </c>
      <c r="AY914" s="3" t="s">
        <v>8855</v>
      </c>
      <c r="AZ914" s="3" t="s">
        <v>8856</v>
      </c>
      <c r="BA914" s="3" t="s">
        <v>8856</v>
      </c>
      <c r="BB914" s="3" t="s">
        <v>8857</v>
      </c>
      <c r="BC914" s="3" t="s">
        <v>142</v>
      </c>
      <c r="BD914" s="3" t="s">
        <v>68</v>
      </c>
      <c r="BE914" s="3" t="s">
        <v>8858</v>
      </c>
      <c r="BF914" s="3" t="s">
        <v>8857</v>
      </c>
      <c r="BG914" s="3" t="s">
        <v>8859</v>
      </c>
    </row>
    <row r="915" spans="1:59" ht="57" x14ac:dyDescent="0.45">
      <c r="A915" s="2" t="s">
        <v>59</v>
      </c>
      <c r="B915" s="2" t="s">
        <v>60</v>
      </c>
      <c r="C915" s="2" t="s">
        <v>8851</v>
      </c>
      <c r="D915" s="2" t="s">
        <v>8852</v>
      </c>
      <c r="E915" s="2" t="s">
        <v>8853</v>
      </c>
      <c r="G915" s="3" t="s">
        <v>62</v>
      </c>
      <c r="I915" s="3" t="s">
        <v>61</v>
      </c>
      <c r="J915" s="3" t="s">
        <v>62</v>
      </c>
      <c r="K915" s="3" t="s">
        <v>63</v>
      </c>
      <c r="M915" s="2" t="s">
        <v>3996</v>
      </c>
      <c r="N915" s="3" t="s">
        <v>1059</v>
      </c>
      <c r="P915" s="3" t="s">
        <v>65</v>
      </c>
      <c r="Q915" s="2" t="s">
        <v>7036</v>
      </c>
      <c r="R915" s="3" t="s">
        <v>66</v>
      </c>
      <c r="S915" s="4">
        <v>8</v>
      </c>
      <c r="T915" s="4">
        <v>21</v>
      </c>
      <c r="U915" s="5" t="s">
        <v>8860</v>
      </c>
      <c r="V915" s="5" t="s">
        <v>372</v>
      </c>
      <c r="W915" s="5" t="s">
        <v>67</v>
      </c>
      <c r="X915" s="5" t="s">
        <v>67</v>
      </c>
      <c r="Y915" s="4">
        <v>328</v>
      </c>
      <c r="Z915" s="4">
        <v>18</v>
      </c>
      <c r="AA915" s="4">
        <v>32</v>
      </c>
      <c r="AB915" s="4">
        <v>2</v>
      </c>
      <c r="AC915" s="4">
        <v>8</v>
      </c>
      <c r="AD915" s="4">
        <v>79</v>
      </c>
      <c r="AE915" s="4">
        <v>92</v>
      </c>
      <c r="AF915" s="4">
        <v>1</v>
      </c>
      <c r="AG915" s="4">
        <v>4</v>
      </c>
      <c r="AH915" s="4">
        <v>71</v>
      </c>
      <c r="AI915" s="4">
        <v>77</v>
      </c>
      <c r="AJ915" s="4">
        <v>12</v>
      </c>
      <c r="AK915" s="4">
        <v>19</v>
      </c>
      <c r="AL915" s="4">
        <v>36</v>
      </c>
      <c r="AM915" s="4">
        <v>38</v>
      </c>
      <c r="AN915" s="4">
        <v>0</v>
      </c>
      <c r="AO915" s="4">
        <v>0</v>
      </c>
      <c r="AP915" s="4">
        <v>16</v>
      </c>
      <c r="AQ915" s="4">
        <v>25</v>
      </c>
      <c r="AR915" s="3" t="s">
        <v>62</v>
      </c>
      <c r="AS915" s="3" t="s">
        <v>62</v>
      </c>
      <c r="AT915" s="3" t="s">
        <v>62</v>
      </c>
      <c r="AV915" s="6" t="str">
        <f>HYPERLINK("http://mcgill.on.worldcat.org/oclc/64453540","Catalog Record")</f>
        <v>Catalog Record</v>
      </c>
      <c r="AW915" s="6" t="str">
        <f>HYPERLINK("http://www.worldcat.org/oclc/64453540","WorldCat Record")</f>
        <v>WorldCat Record</v>
      </c>
      <c r="AX915" s="3" t="s">
        <v>8854</v>
      </c>
      <c r="AY915" s="3" t="s">
        <v>8855</v>
      </c>
      <c r="AZ915" s="3" t="s">
        <v>8856</v>
      </c>
      <c r="BA915" s="3" t="s">
        <v>8856</v>
      </c>
      <c r="BB915" s="3" t="s">
        <v>8861</v>
      </c>
      <c r="BC915" s="3" t="s">
        <v>142</v>
      </c>
      <c r="BD915" s="3" t="s">
        <v>68</v>
      </c>
      <c r="BE915" s="3" t="s">
        <v>8858</v>
      </c>
      <c r="BF915" s="3" t="s">
        <v>8861</v>
      </c>
      <c r="BG915" s="3" t="s">
        <v>8862</v>
      </c>
    </row>
    <row r="916" spans="1:59" ht="57" x14ac:dyDescent="0.45">
      <c r="A916" s="2" t="s">
        <v>59</v>
      </c>
      <c r="B916" s="2" t="s">
        <v>60</v>
      </c>
      <c r="C916" s="2" t="s">
        <v>8863</v>
      </c>
      <c r="D916" s="2" t="s">
        <v>8864</v>
      </c>
      <c r="E916" s="2" t="s">
        <v>8865</v>
      </c>
      <c r="G916" s="3" t="s">
        <v>62</v>
      </c>
      <c r="I916" s="3" t="s">
        <v>62</v>
      </c>
      <c r="J916" s="3" t="s">
        <v>62</v>
      </c>
      <c r="K916" s="3" t="s">
        <v>63</v>
      </c>
      <c r="L916" s="2" t="s">
        <v>8866</v>
      </c>
      <c r="M916" s="2" t="s">
        <v>8867</v>
      </c>
      <c r="N916" s="3" t="s">
        <v>1097</v>
      </c>
      <c r="P916" s="3" t="s">
        <v>65</v>
      </c>
      <c r="Q916" s="2" t="s">
        <v>8868</v>
      </c>
      <c r="R916" s="3" t="s">
        <v>66</v>
      </c>
      <c r="S916" s="4">
        <v>12</v>
      </c>
      <c r="T916" s="4">
        <v>12</v>
      </c>
      <c r="U916" s="5" t="s">
        <v>8869</v>
      </c>
      <c r="V916" s="5" t="s">
        <v>8869</v>
      </c>
      <c r="W916" s="5" t="s">
        <v>67</v>
      </c>
      <c r="X916" s="5" t="s">
        <v>67</v>
      </c>
      <c r="Y916" s="4">
        <v>194</v>
      </c>
      <c r="Z916" s="4">
        <v>14</v>
      </c>
      <c r="AA916" s="4">
        <v>39</v>
      </c>
      <c r="AB916" s="4">
        <v>2</v>
      </c>
      <c r="AC916" s="4">
        <v>7</v>
      </c>
      <c r="AD916" s="4">
        <v>61</v>
      </c>
      <c r="AE916" s="4">
        <v>73</v>
      </c>
      <c r="AF916" s="4">
        <v>1</v>
      </c>
      <c r="AG916" s="4">
        <v>2</v>
      </c>
      <c r="AH916" s="4">
        <v>56</v>
      </c>
      <c r="AI916" s="4">
        <v>60</v>
      </c>
      <c r="AJ916" s="4">
        <v>9</v>
      </c>
      <c r="AK916" s="4">
        <v>11</v>
      </c>
      <c r="AL916" s="4">
        <v>31</v>
      </c>
      <c r="AM916" s="4">
        <v>33</v>
      </c>
      <c r="AN916" s="4">
        <v>0</v>
      </c>
      <c r="AO916" s="4">
        <v>0</v>
      </c>
      <c r="AP916" s="4">
        <v>10</v>
      </c>
      <c r="AQ916" s="4">
        <v>18</v>
      </c>
      <c r="AR916" s="3" t="s">
        <v>62</v>
      </c>
      <c r="AS916" s="3" t="s">
        <v>62</v>
      </c>
      <c r="AT916" s="3" t="s">
        <v>62</v>
      </c>
      <c r="AV916" s="6" t="str">
        <f>HYPERLINK("http://mcgill.on.worldcat.org/oclc/55633767","Catalog Record")</f>
        <v>Catalog Record</v>
      </c>
      <c r="AW916" s="6" t="str">
        <f>HYPERLINK("http://www.worldcat.org/oclc/55633767","WorldCat Record")</f>
        <v>WorldCat Record</v>
      </c>
      <c r="AX916" s="3" t="s">
        <v>8870</v>
      </c>
      <c r="AY916" s="3" t="s">
        <v>8871</v>
      </c>
      <c r="AZ916" s="3" t="s">
        <v>8872</v>
      </c>
      <c r="BA916" s="3" t="s">
        <v>8872</v>
      </c>
      <c r="BB916" s="3" t="s">
        <v>8873</v>
      </c>
      <c r="BC916" s="3" t="s">
        <v>142</v>
      </c>
      <c r="BD916" s="3" t="s">
        <v>68</v>
      </c>
      <c r="BE916" s="3" t="s">
        <v>8874</v>
      </c>
      <c r="BF916" s="3" t="s">
        <v>8873</v>
      </c>
      <c r="BG916" s="3" t="s">
        <v>8875</v>
      </c>
    </row>
    <row r="917" spans="1:59" ht="57" x14ac:dyDescent="0.45">
      <c r="A917" s="2" t="s">
        <v>59</v>
      </c>
      <c r="B917" s="2" t="s">
        <v>60</v>
      </c>
      <c r="C917" s="2" t="s">
        <v>8876</v>
      </c>
      <c r="D917" s="2" t="s">
        <v>8877</v>
      </c>
      <c r="E917" s="2" t="s">
        <v>8878</v>
      </c>
      <c r="G917" s="3" t="s">
        <v>62</v>
      </c>
      <c r="I917" s="3" t="s">
        <v>62</v>
      </c>
      <c r="J917" s="3" t="s">
        <v>62</v>
      </c>
      <c r="K917" s="3" t="s">
        <v>63</v>
      </c>
      <c r="L917" s="2" t="s">
        <v>8866</v>
      </c>
      <c r="M917" s="2" t="s">
        <v>7538</v>
      </c>
      <c r="N917" s="3" t="s">
        <v>918</v>
      </c>
      <c r="P917" s="3" t="s">
        <v>65</v>
      </c>
      <c r="Q917" s="2" t="s">
        <v>7392</v>
      </c>
      <c r="R917" s="3" t="s">
        <v>66</v>
      </c>
      <c r="S917" s="4">
        <v>15</v>
      </c>
      <c r="T917" s="4">
        <v>15</v>
      </c>
      <c r="U917" s="5" t="s">
        <v>8879</v>
      </c>
      <c r="V917" s="5" t="s">
        <v>8879</v>
      </c>
      <c r="W917" s="5" t="s">
        <v>67</v>
      </c>
      <c r="X917" s="5" t="s">
        <v>67</v>
      </c>
      <c r="Y917" s="4">
        <v>370</v>
      </c>
      <c r="Z917" s="4">
        <v>24</v>
      </c>
      <c r="AA917" s="4">
        <v>43</v>
      </c>
      <c r="AB917" s="4">
        <v>2</v>
      </c>
      <c r="AC917" s="4">
        <v>8</v>
      </c>
      <c r="AD917" s="4">
        <v>72</v>
      </c>
      <c r="AE917" s="4">
        <v>95</v>
      </c>
      <c r="AF917" s="4">
        <v>1</v>
      </c>
      <c r="AG917" s="4">
        <v>4</v>
      </c>
      <c r="AH917" s="4">
        <v>59</v>
      </c>
      <c r="AI917" s="4">
        <v>72</v>
      </c>
      <c r="AJ917" s="4">
        <v>14</v>
      </c>
      <c r="AK917" s="4">
        <v>21</v>
      </c>
      <c r="AL917" s="4">
        <v>29</v>
      </c>
      <c r="AM917" s="4">
        <v>37</v>
      </c>
      <c r="AN917" s="4">
        <v>0</v>
      </c>
      <c r="AO917" s="4">
        <v>0</v>
      </c>
      <c r="AP917" s="4">
        <v>17</v>
      </c>
      <c r="AQ917" s="4">
        <v>29</v>
      </c>
      <c r="AR917" s="3" t="s">
        <v>62</v>
      </c>
      <c r="AS917" s="3" t="s">
        <v>62</v>
      </c>
      <c r="AT917" s="3" t="s">
        <v>62</v>
      </c>
      <c r="AV917" s="6" t="str">
        <f>HYPERLINK("http://mcgill.on.worldcat.org/oclc/51477876","Catalog Record")</f>
        <v>Catalog Record</v>
      </c>
      <c r="AW917" s="6" t="str">
        <f>HYPERLINK("http://www.worldcat.org/oclc/51477876","WorldCat Record")</f>
        <v>WorldCat Record</v>
      </c>
      <c r="AX917" s="3" t="s">
        <v>8880</v>
      </c>
      <c r="AY917" s="3" t="s">
        <v>8881</v>
      </c>
      <c r="AZ917" s="3" t="s">
        <v>8882</v>
      </c>
      <c r="BA917" s="3" t="s">
        <v>8882</v>
      </c>
      <c r="BB917" s="3" t="s">
        <v>8883</v>
      </c>
      <c r="BC917" s="3" t="s">
        <v>142</v>
      </c>
      <c r="BD917" s="3" t="s">
        <v>68</v>
      </c>
      <c r="BE917" s="3" t="s">
        <v>8884</v>
      </c>
      <c r="BF917" s="3" t="s">
        <v>8883</v>
      </c>
      <c r="BG917" s="3" t="s">
        <v>8885</v>
      </c>
    </row>
    <row r="918" spans="1:59" ht="57" x14ac:dyDescent="0.45">
      <c r="A918" s="2" t="s">
        <v>59</v>
      </c>
      <c r="B918" s="2" t="s">
        <v>60</v>
      </c>
      <c r="C918" s="2" t="s">
        <v>8886</v>
      </c>
      <c r="D918" s="2" t="s">
        <v>8887</v>
      </c>
      <c r="E918" s="2" t="s">
        <v>8888</v>
      </c>
      <c r="G918" s="3" t="s">
        <v>62</v>
      </c>
      <c r="I918" s="3" t="s">
        <v>62</v>
      </c>
      <c r="J918" s="3" t="s">
        <v>62</v>
      </c>
      <c r="K918" s="3" t="s">
        <v>63</v>
      </c>
      <c r="L918" s="2" t="s">
        <v>8889</v>
      </c>
      <c r="M918" s="2" t="s">
        <v>8890</v>
      </c>
      <c r="N918" s="3" t="s">
        <v>970</v>
      </c>
      <c r="P918" s="3" t="s">
        <v>65</v>
      </c>
      <c r="Q918" s="2" t="s">
        <v>8868</v>
      </c>
      <c r="R918" s="3" t="s">
        <v>66</v>
      </c>
      <c r="S918" s="4">
        <v>4</v>
      </c>
      <c r="T918" s="4">
        <v>4</v>
      </c>
      <c r="U918" s="5" t="s">
        <v>7065</v>
      </c>
      <c r="V918" s="5" t="s">
        <v>7065</v>
      </c>
      <c r="W918" s="5" t="s">
        <v>67</v>
      </c>
      <c r="X918" s="5" t="s">
        <v>67</v>
      </c>
      <c r="Y918" s="4">
        <v>233</v>
      </c>
      <c r="Z918" s="4">
        <v>16</v>
      </c>
      <c r="AA918" s="4">
        <v>35</v>
      </c>
      <c r="AB918" s="4">
        <v>3</v>
      </c>
      <c r="AC918" s="4">
        <v>5</v>
      </c>
      <c r="AD918" s="4">
        <v>72</v>
      </c>
      <c r="AE918" s="4">
        <v>90</v>
      </c>
      <c r="AF918" s="4">
        <v>1</v>
      </c>
      <c r="AG918" s="4">
        <v>1</v>
      </c>
      <c r="AH918" s="4">
        <v>64</v>
      </c>
      <c r="AI918" s="4">
        <v>75</v>
      </c>
      <c r="AJ918" s="4">
        <v>13</v>
      </c>
      <c r="AK918" s="4">
        <v>16</v>
      </c>
      <c r="AL918" s="4">
        <v>33</v>
      </c>
      <c r="AM918" s="4">
        <v>39</v>
      </c>
      <c r="AN918" s="4">
        <v>0</v>
      </c>
      <c r="AO918" s="4">
        <v>0</v>
      </c>
      <c r="AP918" s="4">
        <v>13</v>
      </c>
      <c r="AQ918" s="4">
        <v>22</v>
      </c>
      <c r="AR918" s="3" t="s">
        <v>62</v>
      </c>
      <c r="AS918" s="3" t="s">
        <v>62</v>
      </c>
      <c r="AT918" s="3" t="s">
        <v>61</v>
      </c>
      <c r="AU918" s="6" t="str">
        <f>HYPERLINK("http://catalog.hathitrust.org/Record/004289430","HathiTrust Record")</f>
        <v>HathiTrust Record</v>
      </c>
      <c r="AV918" s="6" t="str">
        <f>HYPERLINK("http://mcgill.on.worldcat.org/oclc/48473896","Catalog Record")</f>
        <v>Catalog Record</v>
      </c>
      <c r="AW918" s="6" t="str">
        <f>HYPERLINK("http://www.worldcat.org/oclc/48473896","WorldCat Record")</f>
        <v>WorldCat Record</v>
      </c>
      <c r="AX918" s="3" t="s">
        <v>8891</v>
      </c>
      <c r="AY918" s="3" t="s">
        <v>8892</v>
      </c>
      <c r="AZ918" s="3" t="s">
        <v>8893</v>
      </c>
      <c r="BA918" s="3" t="s">
        <v>8893</v>
      </c>
      <c r="BB918" s="3" t="s">
        <v>8894</v>
      </c>
      <c r="BC918" s="3" t="s">
        <v>142</v>
      </c>
      <c r="BD918" s="3" t="s">
        <v>68</v>
      </c>
      <c r="BE918" s="3" t="s">
        <v>8895</v>
      </c>
      <c r="BF918" s="3" t="s">
        <v>8894</v>
      </c>
      <c r="BG918" s="3" t="s">
        <v>8896</v>
      </c>
    </row>
    <row r="919" spans="1:59" ht="57" x14ac:dyDescent="0.45">
      <c r="A919" s="2" t="s">
        <v>59</v>
      </c>
      <c r="B919" s="2" t="s">
        <v>60</v>
      </c>
      <c r="C919" s="2" t="s">
        <v>8897</v>
      </c>
      <c r="D919" s="2" t="s">
        <v>8898</v>
      </c>
      <c r="E919" s="2" t="s">
        <v>8899</v>
      </c>
      <c r="G919" s="3" t="s">
        <v>62</v>
      </c>
      <c r="I919" s="3" t="s">
        <v>62</v>
      </c>
      <c r="J919" s="3" t="s">
        <v>62</v>
      </c>
      <c r="K919" s="3" t="s">
        <v>63</v>
      </c>
      <c r="M919" s="2" t="s">
        <v>8900</v>
      </c>
      <c r="N919" s="3" t="s">
        <v>116</v>
      </c>
      <c r="P919" s="3" t="s">
        <v>65</v>
      </c>
      <c r="Q919" s="2" t="s">
        <v>7539</v>
      </c>
      <c r="R919" s="3" t="s">
        <v>66</v>
      </c>
      <c r="S919" s="4">
        <v>5</v>
      </c>
      <c r="T919" s="4">
        <v>5</v>
      </c>
      <c r="U919" s="5" t="s">
        <v>7135</v>
      </c>
      <c r="V919" s="5" t="s">
        <v>7135</v>
      </c>
      <c r="W919" s="5" t="s">
        <v>67</v>
      </c>
      <c r="X919" s="5" t="s">
        <v>67</v>
      </c>
      <c r="Y919" s="4">
        <v>128</v>
      </c>
      <c r="Z919" s="4">
        <v>19</v>
      </c>
      <c r="AA919" s="4">
        <v>19</v>
      </c>
      <c r="AB919" s="4">
        <v>2</v>
      </c>
      <c r="AC919" s="4">
        <v>2</v>
      </c>
      <c r="AD919" s="4">
        <v>59</v>
      </c>
      <c r="AE919" s="4">
        <v>59</v>
      </c>
      <c r="AF919" s="4">
        <v>1</v>
      </c>
      <c r="AG919" s="4">
        <v>1</v>
      </c>
      <c r="AH919" s="4">
        <v>52</v>
      </c>
      <c r="AI919" s="4">
        <v>52</v>
      </c>
      <c r="AJ919" s="4">
        <v>11</v>
      </c>
      <c r="AK919" s="4">
        <v>11</v>
      </c>
      <c r="AL919" s="4">
        <v>30</v>
      </c>
      <c r="AM919" s="4">
        <v>30</v>
      </c>
      <c r="AN919" s="4">
        <v>0</v>
      </c>
      <c r="AO919" s="4">
        <v>0</v>
      </c>
      <c r="AP919" s="4">
        <v>13</v>
      </c>
      <c r="AQ919" s="4">
        <v>13</v>
      </c>
      <c r="AR919" s="3" t="s">
        <v>62</v>
      </c>
      <c r="AS919" s="3" t="s">
        <v>62</v>
      </c>
      <c r="AT919" s="3" t="s">
        <v>62</v>
      </c>
      <c r="AV919" s="6" t="str">
        <f>HYPERLINK("http://mcgill.on.worldcat.org/oclc/843861982","Catalog Record")</f>
        <v>Catalog Record</v>
      </c>
      <c r="AW919" s="6" t="str">
        <f>HYPERLINK("http://www.worldcat.org/oclc/843861982","WorldCat Record")</f>
        <v>WorldCat Record</v>
      </c>
      <c r="AX919" s="3" t="s">
        <v>8901</v>
      </c>
      <c r="AY919" s="3" t="s">
        <v>8902</v>
      </c>
      <c r="AZ919" s="3" t="s">
        <v>8903</v>
      </c>
      <c r="BA919" s="3" t="s">
        <v>8903</v>
      </c>
      <c r="BB919" s="3" t="s">
        <v>8904</v>
      </c>
      <c r="BC919" s="3" t="s">
        <v>142</v>
      </c>
      <c r="BD919" s="3" t="s">
        <v>68</v>
      </c>
      <c r="BE919" s="3" t="s">
        <v>8905</v>
      </c>
      <c r="BF919" s="3" t="s">
        <v>8904</v>
      </c>
      <c r="BG919" s="3" t="s">
        <v>8906</v>
      </c>
    </row>
    <row r="920" spans="1:59" ht="57" x14ac:dyDescent="0.45">
      <c r="A920" s="2" t="s">
        <v>59</v>
      </c>
      <c r="B920" s="2" t="s">
        <v>60</v>
      </c>
      <c r="C920" s="2" t="s">
        <v>8907</v>
      </c>
      <c r="D920" s="2" t="s">
        <v>8908</v>
      </c>
      <c r="E920" s="2" t="s">
        <v>8909</v>
      </c>
      <c r="G920" s="3" t="s">
        <v>62</v>
      </c>
      <c r="I920" s="3" t="s">
        <v>62</v>
      </c>
      <c r="J920" s="3" t="s">
        <v>62</v>
      </c>
      <c r="K920" s="3" t="s">
        <v>63</v>
      </c>
      <c r="M920" s="2" t="s">
        <v>8910</v>
      </c>
      <c r="N920" s="3" t="s">
        <v>149</v>
      </c>
      <c r="P920" s="3" t="s">
        <v>65</v>
      </c>
      <c r="R920" s="3" t="s">
        <v>66</v>
      </c>
      <c r="S920" s="4">
        <v>4</v>
      </c>
      <c r="T920" s="4">
        <v>4</v>
      </c>
      <c r="U920" s="5" t="s">
        <v>8911</v>
      </c>
      <c r="V920" s="5" t="s">
        <v>8911</v>
      </c>
      <c r="W920" s="5" t="s">
        <v>67</v>
      </c>
      <c r="X920" s="5" t="s">
        <v>67</v>
      </c>
      <c r="Y920" s="4">
        <v>143</v>
      </c>
      <c r="Z920" s="4">
        <v>10</v>
      </c>
      <c r="AA920" s="4">
        <v>93</v>
      </c>
      <c r="AB920" s="4">
        <v>2</v>
      </c>
      <c r="AC920" s="4">
        <v>19</v>
      </c>
      <c r="AD920" s="4">
        <v>54</v>
      </c>
      <c r="AE920" s="4">
        <v>133</v>
      </c>
      <c r="AF920" s="4">
        <v>0</v>
      </c>
      <c r="AG920" s="4">
        <v>8</v>
      </c>
      <c r="AH920" s="4">
        <v>51</v>
      </c>
      <c r="AI920" s="4">
        <v>88</v>
      </c>
      <c r="AJ920" s="4">
        <v>8</v>
      </c>
      <c r="AK920" s="4">
        <v>25</v>
      </c>
      <c r="AL920" s="4">
        <v>32</v>
      </c>
      <c r="AM920" s="4">
        <v>47</v>
      </c>
      <c r="AN920" s="4">
        <v>0</v>
      </c>
      <c r="AO920" s="4">
        <v>0</v>
      </c>
      <c r="AP920" s="4">
        <v>8</v>
      </c>
      <c r="AQ920" s="4">
        <v>52</v>
      </c>
      <c r="AR920" s="3" t="s">
        <v>62</v>
      </c>
      <c r="AS920" s="3" t="s">
        <v>62</v>
      </c>
      <c r="AT920" s="3" t="s">
        <v>62</v>
      </c>
      <c r="AV920" s="6" t="str">
        <f>HYPERLINK("http://mcgill.on.worldcat.org/oclc/259266346","Catalog Record")</f>
        <v>Catalog Record</v>
      </c>
      <c r="AW920" s="6" t="str">
        <f>HYPERLINK("http://www.worldcat.org/oclc/259266346","WorldCat Record")</f>
        <v>WorldCat Record</v>
      </c>
      <c r="AX920" s="3" t="s">
        <v>8912</v>
      </c>
      <c r="AY920" s="3" t="s">
        <v>8913</v>
      </c>
      <c r="AZ920" s="3" t="s">
        <v>8914</v>
      </c>
      <c r="BA920" s="3" t="s">
        <v>8914</v>
      </c>
      <c r="BB920" s="3" t="s">
        <v>8915</v>
      </c>
      <c r="BC920" s="3" t="s">
        <v>142</v>
      </c>
      <c r="BD920" s="3" t="s">
        <v>68</v>
      </c>
      <c r="BE920" s="3" t="s">
        <v>8916</v>
      </c>
      <c r="BF920" s="3" t="s">
        <v>8915</v>
      </c>
      <c r="BG920" s="3" t="s">
        <v>8917</v>
      </c>
    </row>
    <row r="921" spans="1:59" ht="57" x14ac:dyDescent="0.45">
      <c r="A921" s="2" t="s">
        <v>59</v>
      </c>
      <c r="B921" s="2" t="s">
        <v>60</v>
      </c>
      <c r="C921" s="2" t="s">
        <v>8918</v>
      </c>
      <c r="D921" s="2" t="s">
        <v>8919</v>
      </c>
      <c r="E921" s="2" t="s">
        <v>8920</v>
      </c>
      <c r="G921" s="3" t="s">
        <v>62</v>
      </c>
      <c r="I921" s="3" t="s">
        <v>62</v>
      </c>
      <c r="J921" s="3" t="s">
        <v>62</v>
      </c>
      <c r="K921" s="3" t="s">
        <v>63</v>
      </c>
      <c r="L921" s="2" t="s">
        <v>8921</v>
      </c>
      <c r="M921" s="2" t="s">
        <v>8922</v>
      </c>
      <c r="N921" s="3" t="s">
        <v>894</v>
      </c>
      <c r="P921" s="3" t="s">
        <v>65</v>
      </c>
      <c r="Q921" s="2" t="s">
        <v>8923</v>
      </c>
      <c r="R921" s="3" t="s">
        <v>66</v>
      </c>
      <c r="S921" s="4">
        <v>1</v>
      </c>
      <c r="T921" s="4">
        <v>1</v>
      </c>
      <c r="U921" s="5" t="s">
        <v>8924</v>
      </c>
      <c r="V921" s="5" t="s">
        <v>8924</v>
      </c>
      <c r="W921" s="5" t="s">
        <v>67</v>
      </c>
      <c r="X921" s="5" t="s">
        <v>67</v>
      </c>
      <c r="Y921" s="4">
        <v>218</v>
      </c>
      <c r="Z921" s="4">
        <v>16</v>
      </c>
      <c r="AA921" s="4">
        <v>107</v>
      </c>
      <c r="AB921" s="4">
        <v>2</v>
      </c>
      <c r="AC921" s="4">
        <v>18</v>
      </c>
      <c r="AD921" s="4">
        <v>73</v>
      </c>
      <c r="AE921" s="4">
        <v>124</v>
      </c>
      <c r="AF921" s="4">
        <v>1</v>
      </c>
      <c r="AG921" s="4">
        <v>8</v>
      </c>
      <c r="AH921" s="4">
        <v>67</v>
      </c>
      <c r="AI921" s="4">
        <v>89</v>
      </c>
      <c r="AJ921" s="4">
        <v>10</v>
      </c>
      <c r="AK921" s="4">
        <v>22</v>
      </c>
      <c r="AL921" s="4">
        <v>37</v>
      </c>
      <c r="AM921" s="4">
        <v>43</v>
      </c>
      <c r="AN921" s="4">
        <v>0</v>
      </c>
      <c r="AO921" s="4">
        <v>0</v>
      </c>
      <c r="AP921" s="4">
        <v>12</v>
      </c>
      <c r="AQ921" s="4">
        <v>44</v>
      </c>
      <c r="AR921" s="3" t="s">
        <v>62</v>
      </c>
      <c r="AS921" s="3" t="s">
        <v>62</v>
      </c>
      <c r="AT921" s="3" t="s">
        <v>62</v>
      </c>
      <c r="AV921" s="6" t="str">
        <f>HYPERLINK("http://mcgill.on.worldcat.org/oclc/714505178","Catalog Record")</f>
        <v>Catalog Record</v>
      </c>
      <c r="AW921" s="6" t="str">
        <f>HYPERLINK("http://www.worldcat.org/oclc/714505178","WorldCat Record")</f>
        <v>WorldCat Record</v>
      </c>
      <c r="AX921" s="3" t="s">
        <v>8925</v>
      </c>
      <c r="AY921" s="3" t="s">
        <v>8926</v>
      </c>
      <c r="AZ921" s="3" t="s">
        <v>8927</v>
      </c>
      <c r="BA921" s="3" t="s">
        <v>8927</v>
      </c>
      <c r="BB921" s="3" t="s">
        <v>8928</v>
      </c>
      <c r="BC921" s="3" t="s">
        <v>142</v>
      </c>
      <c r="BD921" s="3" t="s">
        <v>68</v>
      </c>
      <c r="BE921" s="3" t="s">
        <v>8929</v>
      </c>
      <c r="BF921" s="3" t="s">
        <v>8928</v>
      </c>
      <c r="BG921" s="3" t="s">
        <v>8930</v>
      </c>
    </row>
    <row r="922" spans="1:59" ht="57" x14ac:dyDescent="0.45">
      <c r="A922" s="2" t="s">
        <v>59</v>
      </c>
      <c r="B922" s="2" t="s">
        <v>60</v>
      </c>
      <c r="C922" s="2" t="s">
        <v>8931</v>
      </c>
      <c r="D922" s="2" t="s">
        <v>8932</v>
      </c>
      <c r="E922" s="2" t="s">
        <v>8933</v>
      </c>
      <c r="G922" s="3" t="s">
        <v>62</v>
      </c>
      <c r="I922" s="3" t="s">
        <v>62</v>
      </c>
      <c r="J922" s="3" t="s">
        <v>62</v>
      </c>
      <c r="K922" s="3" t="s">
        <v>63</v>
      </c>
      <c r="L922" s="2" t="s">
        <v>8934</v>
      </c>
      <c r="M922" s="2" t="s">
        <v>8935</v>
      </c>
      <c r="N922" s="3" t="s">
        <v>918</v>
      </c>
      <c r="P922" s="3" t="s">
        <v>65</v>
      </c>
      <c r="Q922" s="2" t="s">
        <v>8936</v>
      </c>
      <c r="R922" s="3" t="s">
        <v>66</v>
      </c>
      <c r="S922" s="4">
        <v>21</v>
      </c>
      <c r="T922" s="4">
        <v>21</v>
      </c>
      <c r="U922" s="5" t="s">
        <v>8747</v>
      </c>
      <c r="V922" s="5" t="s">
        <v>8747</v>
      </c>
      <c r="W922" s="5" t="s">
        <v>67</v>
      </c>
      <c r="X922" s="5" t="s">
        <v>67</v>
      </c>
      <c r="Y922" s="4">
        <v>182</v>
      </c>
      <c r="Z922" s="4">
        <v>13</v>
      </c>
      <c r="AA922" s="4">
        <v>21</v>
      </c>
      <c r="AB922" s="4">
        <v>2</v>
      </c>
      <c r="AC922" s="4">
        <v>5</v>
      </c>
      <c r="AD922" s="4">
        <v>45</v>
      </c>
      <c r="AE922" s="4">
        <v>54</v>
      </c>
      <c r="AF922" s="4">
        <v>1</v>
      </c>
      <c r="AG922" s="4">
        <v>2</v>
      </c>
      <c r="AH922" s="4">
        <v>39</v>
      </c>
      <c r="AI922" s="4">
        <v>45</v>
      </c>
      <c r="AJ922" s="4">
        <v>9</v>
      </c>
      <c r="AK922" s="4">
        <v>12</v>
      </c>
      <c r="AL922" s="4">
        <v>25</v>
      </c>
      <c r="AM922" s="4">
        <v>28</v>
      </c>
      <c r="AN922" s="4">
        <v>0</v>
      </c>
      <c r="AO922" s="4">
        <v>0</v>
      </c>
      <c r="AP922" s="4">
        <v>10</v>
      </c>
      <c r="AQ922" s="4">
        <v>14</v>
      </c>
      <c r="AR922" s="3" t="s">
        <v>62</v>
      </c>
      <c r="AS922" s="3" t="s">
        <v>62</v>
      </c>
      <c r="AT922" s="3" t="s">
        <v>62</v>
      </c>
      <c r="AV922" s="6" t="str">
        <f>HYPERLINK("http://mcgill.on.worldcat.org/oclc/50270580","Catalog Record")</f>
        <v>Catalog Record</v>
      </c>
      <c r="AW922" s="6" t="str">
        <f>HYPERLINK("http://www.worldcat.org/oclc/50270580","WorldCat Record")</f>
        <v>WorldCat Record</v>
      </c>
      <c r="AX922" s="3" t="s">
        <v>8937</v>
      </c>
      <c r="AY922" s="3" t="s">
        <v>8938</v>
      </c>
      <c r="AZ922" s="3" t="s">
        <v>8939</v>
      </c>
      <c r="BA922" s="3" t="s">
        <v>8939</v>
      </c>
      <c r="BB922" s="3" t="s">
        <v>8940</v>
      </c>
      <c r="BC922" s="3" t="s">
        <v>142</v>
      </c>
      <c r="BD922" s="3" t="s">
        <v>68</v>
      </c>
      <c r="BE922" s="3" t="s">
        <v>8941</v>
      </c>
      <c r="BF922" s="3" t="s">
        <v>8940</v>
      </c>
      <c r="BG922" s="3" t="s">
        <v>8942</v>
      </c>
    </row>
    <row r="923" spans="1:59" ht="57" x14ac:dyDescent="0.45">
      <c r="A923" s="2" t="s">
        <v>59</v>
      </c>
      <c r="B923" s="2" t="s">
        <v>60</v>
      </c>
      <c r="C923" s="2" t="s">
        <v>8943</v>
      </c>
      <c r="D923" s="2" t="s">
        <v>8944</v>
      </c>
      <c r="E923" s="2" t="s">
        <v>8945</v>
      </c>
      <c r="G923" s="3" t="s">
        <v>62</v>
      </c>
      <c r="I923" s="3" t="s">
        <v>62</v>
      </c>
      <c r="J923" s="3" t="s">
        <v>62</v>
      </c>
      <c r="K923" s="3" t="s">
        <v>63</v>
      </c>
      <c r="M923" s="2" t="s">
        <v>8946</v>
      </c>
      <c r="N923" s="3" t="s">
        <v>1155</v>
      </c>
      <c r="P923" s="3" t="s">
        <v>65</v>
      </c>
      <c r="R923" s="3" t="s">
        <v>66</v>
      </c>
      <c r="S923" s="4">
        <v>3</v>
      </c>
      <c r="T923" s="4">
        <v>3</v>
      </c>
      <c r="U923" s="5" t="s">
        <v>8947</v>
      </c>
      <c r="V923" s="5" t="s">
        <v>8947</v>
      </c>
      <c r="W923" s="5" t="s">
        <v>67</v>
      </c>
      <c r="X923" s="5" t="s">
        <v>67</v>
      </c>
      <c r="Y923" s="4">
        <v>168</v>
      </c>
      <c r="Z923" s="4">
        <v>17</v>
      </c>
      <c r="AA923" s="4">
        <v>104</v>
      </c>
      <c r="AB923" s="4">
        <v>2</v>
      </c>
      <c r="AC923" s="4">
        <v>14</v>
      </c>
      <c r="AD923" s="4">
        <v>45</v>
      </c>
      <c r="AE923" s="4">
        <v>108</v>
      </c>
      <c r="AF923" s="4">
        <v>1</v>
      </c>
      <c r="AG923" s="4">
        <v>8</v>
      </c>
      <c r="AH923" s="4">
        <v>41</v>
      </c>
      <c r="AI923" s="4">
        <v>72</v>
      </c>
      <c r="AJ923" s="4">
        <v>10</v>
      </c>
      <c r="AK923" s="4">
        <v>24</v>
      </c>
      <c r="AL923" s="4">
        <v>20</v>
      </c>
      <c r="AM923" s="4">
        <v>35</v>
      </c>
      <c r="AN923" s="4">
        <v>0</v>
      </c>
      <c r="AO923" s="4">
        <v>0</v>
      </c>
      <c r="AP923" s="4">
        <v>11</v>
      </c>
      <c r="AQ923" s="4">
        <v>45</v>
      </c>
      <c r="AR923" s="3" t="s">
        <v>62</v>
      </c>
      <c r="AS923" s="3" t="s">
        <v>62</v>
      </c>
      <c r="AT923" s="3" t="s">
        <v>62</v>
      </c>
      <c r="AV923" s="6" t="str">
        <f>HYPERLINK("http://mcgill.on.worldcat.org/oclc/753630349","Catalog Record")</f>
        <v>Catalog Record</v>
      </c>
      <c r="AW923" s="6" t="str">
        <f>HYPERLINK("http://www.worldcat.org/oclc/753630349","WorldCat Record")</f>
        <v>WorldCat Record</v>
      </c>
      <c r="AX923" s="3" t="s">
        <v>8948</v>
      </c>
      <c r="AY923" s="3" t="s">
        <v>8949</v>
      </c>
      <c r="AZ923" s="3" t="s">
        <v>8950</v>
      </c>
      <c r="BA923" s="3" t="s">
        <v>8950</v>
      </c>
      <c r="BB923" s="3" t="s">
        <v>8951</v>
      </c>
      <c r="BC923" s="3" t="s">
        <v>142</v>
      </c>
      <c r="BD923" s="3" t="s">
        <v>68</v>
      </c>
      <c r="BE923" s="3" t="s">
        <v>8952</v>
      </c>
      <c r="BF923" s="3" t="s">
        <v>8951</v>
      </c>
      <c r="BG923" s="3" t="s">
        <v>8953</v>
      </c>
    </row>
    <row r="924" spans="1:59" ht="57" x14ac:dyDescent="0.45">
      <c r="A924" s="2" t="s">
        <v>59</v>
      </c>
      <c r="B924" s="2" t="s">
        <v>60</v>
      </c>
      <c r="C924" s="2" t="s">
        <v>8954</v>
      </c>
      <c r="D924" s="2" t="s">
        <v>8955</v>
      </c>
      <c r="E924" s="2" t="s">
        <v>8956</v>
      </c>
      <c r="G924" s="3" t="s">
        <v>62</v>
      </c>
      <c r="I924" s="3" t="s">
        <v>62</v>
      </c>
      <c r="J924" s="3" t="s">
        <v>62</v>
      </c>
      <c r="K924" s="3" t="s">
        <v>63</v>
      </c>
      <c r="M924" s="2" t="s">
        <v>8957</v>
      </c>
      <c r="N924" s="3" t="s">
        <v>1155</v>
      </c>
      <c r="P924" s="3" t="s">
        <v>65</v>
      </c>
      <c r="Q924" s="2" t="s">
        <v>8958</v>
      </c>
      <c r="R924" s="3" t="s">
        <v>66</v>
      </c>
      <c r="S924" s="4">
        <v>2</v>
      </c>
      <c r="T924" s="4">
        <v>2</v>
      </c>
      <c r="U924" s="5" t="s">
        <v>8318</v>
      </c>
      <c r="V924" s="5" t="s">
        <v>8318</v>
      </c>
      <c r="W924" s="5" t="s">
        <v>67</v>
      </c>
      <c r="X924" s="5" t="s">
        <v>67</v>
      </c>
      <c r="Y924" s="4">
        <v>131</v>
      </c>
      <c r="Z924" s="4">
        <v>21</v>
      </c>
      <c r="AA924" s="4">
        <v>54</v>
      </c>
      <c r="AB924" s="4">
        <v>2</v>
      </c>
      <c r="AC924" s="4">
        <v>5</v>
      </c>
      <c r="AD924" s="4">
        <v>52</v>
      </c>
      <c r="AE924" s="4">
        <v>72</v>
      </c>
      <c r="AF924" s="4">
        <v>0</v>
      </c>
      <c r="AG924" s="4">
        <v>1</v>
      </c>
      <c r="AH924" s="4">
        <v>45</v>
      </c>
      <c r="AI924" s="4">
        <v>55</v>
      </c>
      <c r="AJ924" s="4">
        <v>10</v>
      </c>
      <c r="AK924" s="4">
        <v>15</v>
      </c>
      <c r="AL924" s="4">
        <v>28</v>
      </c>
      <c r="AM924" s="4">
        <v>34</v>
      </c>
      <c r="AN924" s="4">
        <v>0</v>
      </c>
      <c r="AO924" s="4">
        <v>0</v>
      </c>
      <c r="AP924" s="4">
        <v>13</v>
      </c>
      <c r="AQ924" s="4">
        <v>23</v>
      </c>
      <c r="AR924" s="3" t="s">
        <v>62</v>
      </c>
      <c r="AS924" s="3" t="s">
        <v>62</v>
      </c>
      <c r="AT924" s="3" t="s">
        <v>62</v>
      </c>
      <c r="AV924" s="6" t="str">
        <f>HYPERLINK("http://mcgill.on.worldcat.org/oclc/786273282","Catalog Record")</f>
        <v>Catalog Record</v>
      </c>
      <c r="AW924" s="6" t="str">
        <f>HYPERLINK("http://www.worldcat.org/oclc/786273282","WorldCat Record")</f>
        <v>WorldCat Record</v>
      </c>
      <c r="AX924" s="3" t="s">
        <v>8959</v>
      </c>
      <c r="AY924" s="3" t="s">
        <v>8960</v>
      </c>
      <c r="AZ924" s="3" t="s">
        <v>8961</v>
      </c>
      <c r="BA924" s="3" t="s">
        <v>8961</v>
      </c>
      <c r="BB924" s="3" t="s">
        <v>8962</v>
      </c>
      <c r="BC924" s="3" t="s">
        <v>142</v>
      </c>
      <c r="BD924" s="3" t="s">
        <v>68</v>
      </c>
      <c r="BE924" s="3" t="s">
        <v>8963</v>
      </c>
      <c r="BF924" s="3" t="s">
        <v>8962</v>
      </c>
      <c r="BG924" s="3" t="s">
        <v>8964</v>
      </c>
    </row>
    <row r="925" spans="1:59" ht="57" x14ac:dyDescent="0.45">
      <c r="A925" s="2" t="s">
        <v>59</v>
      </c>
      <c r="B925" s="2" t="s">
        <v>60</v>
      </c>
      <c r="C925" s="2" t="s">
        <v>8965</v>
      </c>
      <c r="D925" s="2" t="s">
        <v>8966</v>
      </c>
      <c r="E925" s="2" t="s">
        <v>8967</v>
      </c>
      <c r="G925" s="3" t="s">
        <v>62</v>
      </c>
      <c r="I925" s="3" t="s">
        <v>62</v>
      </c>
      <c r="J925" s="3" t="s">
        <v>62</v>
      </c>
      <c r="K925" s="3" t="s">
        <v>63</v>
      </c>
      <c r="L925" s="2" t="s">
        <v>8968</v>
      </c>
      <c r="M925" s="2" t="s">
        <v>8969</v>
      </c>
      <c r="N925" s="3" t="s">
        <v>1155</v>
      </c>
      <c r="P925" s="3" t="s">
        <v>110</v>
      </c>
      <c r="Q925" s="2" t="s">
        <v>8970</v>
      </c>
      <c r="R925" s="3" t="s">
        <v>66</v>
      </c>
      <c r="S925" s="4">
        <v>1</v>
      </c>
      <c r="T925" s="4">
        <v>1</v>
      </c>
      <c r="U925" s="5" t="s">
        <v>4904</v>
      </c>
      <c r="V925" s="5" t="s">
        <v>4904</v>
      </c>
      <c r="W925" s="5" t="s">
        <v>67</v>
      </c>
      <c r="X925" s="5" t="s">
        <v>67</v>
      </c>
      <c r="Y925" s="4">
        <v>4</v>
      </c>
      <c r="Z925" s="4">
        <v>2</v>
      </c>
      <c r="AA925" s="4">
        <v>11</v>
      </c>
      <c r="AB925" s="4">
        <v>1</v>
      </c>
      <c r="AC925" s="4">
        <v>8</v>
      </c>
      <c r="AD925" s="4">
        <v>1</v>
      </c>
      <c r="AE925" s="4">
        <v>7</v>
      </c>
      <c r="AF925" s="4">
        <v>0</v>
      </c>
      <c r="AG925" s="4">
        <v>4</v>
      </c>
      <c r="AH925" s="4">
        <v>0</v>
      </c>
      <c r="AI925" s="4">
        <v>3</v>
      </c>
      <c r="AJ925" s="4">
        <v>1</v>
      </c>
      <c r="AK925" s="4">
        <v>6</v>
      </c>
      <c r="AL925" s="4">
        <v>0</v>
      </c>
      <c r="AM925" s="4">
        <v>0</v>
      </c>
      <c r="AN925" s="4">
        <v>0</v>
      </c>
      <c r="AO925" s="4">
        <v>0</v>
      </c>
      <c r="AP925" s="4">
        <v>1</v>
      </c>
      <c r="AQ925" s="4">
        <v>6</v>
      </c>
      <c r="AR925" s="3" t="s">
        <v>62</v>
      </c>
      <c r="AS925" s="3" t="s">
        <v>62</v>
      </c>
      <c r="AT925" s="3" t="s">
        <v>62</v>
      </c>
      <c r="AV925" s="6" t="str">
        <f>HYPERLINK("http://mcgill.on.worldcat.org/oclc/813835091","Catalog Record")</f>
        <v>Catalog Record</v>
      </c>
      <c r="AW925" s="6" t="str">
        <f>HYPERLINK("http://www.worldcat.org/oclc/813835091","WorldCat Record")</f>
        <v>WorldCat Record</v>
      </c>
      <c r="AX925" s="3" t="s">
        <v>8971</v>
      </c>
      <c r="AY925" s="3" t="s">
        <v>8972</v>
      </c>
      <c r="AZ925" s="3" t="s">
        <v>8973</v>
      </c>
      <c r="BA925" s="3" t="s">
        <v>8973</v>
      </c>
      <c r="BB925" s="3" t="s">
        <v>8974</v>
      </c>
      <c r="BC925" s="3" t="s">
        <v>142</v>
      </c>
      <c r="BD925" s="3" t="s">
        <v>68</v>
      </c>
      <c r="BE925" s="3" t="s">
        <v>8975</v>
      </c>
      <c r="BF925" s="3" t="s">
        <v>8974</v>
      </c>
      <c r="BG925" s="3" t="s">
        <v>8976</v>
      </c>
    </row>
    <row r="926" spans="1:59" ht="57" x14ac:dyDescent="0.45">
      <c r="A926" s="2" t="s">
        <v>59</v>
      </c>
      <c r="B926" s="2" t="s">
        <v>60</v>
      </c>
      <c r="C926" s="2" t="s">
        <v>8977</v>
      </c>
      <c r="D926" s="2" t="s">
        <v>8978</v>
      </c>
      <c r="E926" s="2" t="s">
        <v>8979</v>
      </c>
      <c r="G926" s="3" t="s">
        <v>62</v>
      </c>
      <c r="I926" s="3" t="s">
        <v>62</v>
      </c>
      <c r="J926" s="3" t="s">
        <v>62</v>
      </c>
      <c r="K926" s="3" t="s">
        <v>63</v>
      </c>
      <c r="M926" s="2" t="s">
        <v>8980</v>
      </c>
      <c r="N926" s="3" t="s">
        <v>181</v>
      </c>
      <c r="P926" s="3" t="s">
        <v>110</v>
      </c>
      <c r="Q926" s="2" t="s">
        <v>8981</v>
      </c>
      <c r="R926" s="3" t="s">
        <v>66</v>
      </c>
      <c r="S926" s="4">
        <v>5</v>
      </c>
      <c r="T926" s="4">
        <v>5</v>
      </c>
      <c r="U926" s="5" t="s">
        <v>8982</v>
      </c>
      <c r="V926" s="5" t="s">
        <v>8982</v>
      </c>
      <c r="W926" s="5" t="s">
        <v>67</v>
      </c>
      <c r="X926" s="5" t="s">
        <v>67</v>
      </c>
      <c r="Y926" s="4">
        <v>11</v>
      </c>
      <c r="Z926" s="4">
        <v>5</v>
      </c>
      <c r="AA926" s="4">
        <v>12</v>
      </c>
      <c r="AB926" s="4">
        <v>1</v>
      </c>
      <c r="AC926" s="4">
        <v>5</v>
      </c>
      <c r="AD926" s="4">
        <v>6</v>
      </c>
      <c r="AE926" s="4">
        <v>11</v>
      </c>
      <c r="AF926" s="4">
        <v>0</v>
      </c>
      <c r="AG926" s="4">
        <v>3</v>
      </c>
      <c r="AH926" s="4">
        <v>5</v>
      </c>
      <c r="AI926" s="4">
        <v>7</v>
      </c>
      <c r="AJ926" s="4">
        <v>4</v>
      </c>
      <c r="AK926" s="4">
        <v>8</v>
      </c>
      <c r="AL926" s="4">
        <v>2</v>
      </c>
      <c r="AM926" s="4">
        <v>2</v>
      </c>
      <c r="AN926" s="4">
        <v>0</v>
      </c>
      <c r="AO926" s="4">
        <v>0</v>
      </c>
      <c r="AP926" s="4">
        <v>4</v>
      </c>
      <c r="AQ926" s="4">
        <v>8</v>
      </c>
      <c r="AR926" s="3" t="s">
        <v>62</v>
      </c>
      <c r="AS926" s="3" t="s">
        <v>62</v>
      </c>
      <c r="AT926" s="3" t="s">
        <v>62</v>
      </c>
      <c r="AV926" s="6" t="str">
        <f>HYPERLINK("http://mcgill.on.worldcat.org/oclc/941806296","Catalog Record")</f>
        <v>Catalog Record</v>
      </c>
      <c r="AW926" s="6" t="str">
        <f>HYPERLINK("http://www.worldcat.org/oclc/941806296","WorldCat Record")</f>
        <v>WorldCat Record</v>
      </c>
      <c r="AX926" s="3" t="s">
        <v>8983</v>
      </c>
      <c r="AY926" s="3" t="s">
        <v>8984</v>
      </c>
      <c r="AZ926" s="3" t="s">
        <v>8985</v>
      </c>
      <c r="BA926" s="3" t="s">
        <v>8985</v>
      </c>
      <c r="BB926" s="3" t="s">
        <v>8986</v>
      </c>
      <c r="BC926" s="3" t="s">
        <v>142</v>
      </c>
      <c r="BD926" s="3" t="s">
        <v>68</v>
      </c>
      <c r="BE926" s="3" t="s">
        <v>8987</v>
      </c>
      <c r="BF926" s="3" t="s">
        <v>8986</v>
      </c>
      <c r="BG926" s="3" t="s">
        <v>8988</v>
      </c>
    </row>
    <row r="927" spans="1:59" ht="57" x14ac:dyDescent="0.45">
      <c r="A927" s="2" t="s">
        <v>59</v>
      </c>
      <c r="B927" s="2" t="s">
        <v>60</v>
      </c>
      <c r="C927" s="2" t="s">
        <v>8989</v>
      </c>
      <c r="D927" s="2" t="s">
        <v>8990</v>
      </c>
      <c r="E927" s="2" t="s">
        <v>8991</v>
      </c>
      <c r="G927" s="3" t="s">
        <v>62</v>
      </c>
      <c r="I927" s="3" t="s">
        <v>62</v>
      </c>
      <c r="J927" s="3" t="s">
        <v>62</v>
      </c>
      <c r="K927" s="3" t="s">
        <v>63</v>
      </c>
      <c r="L927" s="2" t="s">
        <v>8992</v>
      </c>
      <c r="M927" s="2" t="s">
        <v>8993</v>
      </c>
      <c r="N927" s="3" t="s">
        <v>945</v>
      </c>
      <c r="P927" s="3" t="s">
        <v>65</v>
      </c>
      <c r="R927" s="3" t="s">
        <v>66</v>
      </c>
      <c r="S927" s="4">
        <v>5</v>
      </c>
      <c r="T927" s="4">
        <v>5</v>
      </c>
      <c r="U927" s="5" t="s">
        <v>8994</v>
      </c>
      <c r="V927" s="5" t="s">
        <v>8994</v>
      </c>
      <c r="W927" s="5" t="s">
        <v>67</v>
      </c>
      <c r="X927" s="5" t="s">
        <v>67</v>
      </c>
      <c r="Y927" s="4">
        <v>164</v>
      </c>
      <c r="Z927" s="4">
        <v>17</v>
      </c>
      <c r="AA927" s="4">
        <v>23</v>
      </c>
      <c r="AB927" s="4">
        <v>2</v>
      </c>
      <c r="AC927" s="4">
        <v>5</v>
      </c>
      <c r="AD927" s="4">
        <v>67</v>
      </c>
      <c r="AE927" s="4">
        <v>72</v>
      </c>
      <c r="AF927" s="4">
        <v>1</v>
      </c>
      <c r="AG927" s="4">
        <v>2</v>
      </c>
      <c r="AH927" s="4">
        <v>61</v>
      </c>
      <c r="AI927" s="4">
        <v>63</v>
      </c>
      <c r="AJ927" s="4">
        <v>14</v>
      </c>
      <c r="AK927" s="4">
        <v>16</v>
      </c>
      <c r="AL927" s="4">
        <v>36</v>
      </c>
      <c r="AM927" s="4">
        <v>37</v>
      </c>
      <c r="AN927" s="4">
        <v>0</v>
      </c>
      <c r="AO927" s="4">
        <v>0</v>
      </c>
      <c r="AP927" s="4">
        <v>14</v>
      </c>
      <c r="AQ927" s="4">
        <v>18</v>
      </c>
      <c r="AR927" s="3" t="s">
        <v>62</v>
      </c>
      <c r="AS927" s="3" t="s">
        <v>62</v>
      </c>
      <c r="AT927" s="3" t="s">
        <v>61</v>
      </c>
      <c r="AU927" s="6" t="str">
        <f>HYPERLINK("http://catalog.hathitrust.org/Record/005654055","HathiTrust Record")</f>
        <v>HathiTrust Record</v>
      </c>
      <c r="AV927" s="6" t="str">
        <f>HYPERLINK("http://mcgill.on.worldcat.org/oclc/85689604","Catalog Record")</f>
        <v>Catalog Record</v>
      </c>
      <c r="AW927" s="6" t="str">
        <f>HYPERLINK("http://www.worldcat.org/oclc/85689604","WorldCat Record")</f>
        <v>WorldCat Record</v>
      </c>
      <c r="AX927" s="3" t="s">
        <v>8995</v>
      </c>
      <c r="AY927" s="3" t="s">
        <v>8996</v>
      </c>
      <c r="AZ927" s="3" t="s">
        <v>8997</v>
      </c>
      <c r="BA927" s="3" t="s">
        <v>8997</v>
      </c>
      <c r="BB927" s="3" t="s">
        <v>8998</v>
      </c>
      <c r="BC927" s="3" t="s">
        <v>142</v>
      </c>
      <c r="BD927" s="3" t="s">
        <v>68</v>
      </c>
      <c r="BE927" s="3" t="s">
        <v>8999</v>
      </c>
      <c r="BF927" s="3" t="s">
        <v>8998</v>
      </c>
      <c r="BG927" s="3" t="s">
        <v>9000</v>
      </c>
    </row>
    <row r="928" spans="1:59" ht="85.5" x14ac:dyDescent="0.45">
      <c r="A928" s="2" t="s">
        <v>59</v>
      </c>
      <c r="B928" s="2" t="s">
        <v>5257</v>
      </c>
      <c r="C928" s="2" t="s">
        <v>9001</v>
      </c>
      <c r="D928" s="2" t="s">
        <v>9002</v>
      </c>
      <c r="E928" s="2" t="s">
        <v>9003</v>
      </c>
      <c r="G928" s="3" t="s">
        <v>62</v>
      </c>
      <c r="I928" s="3" t="s">
        <v>62</v>
      </c>
      <c r="J928" s="3" t="s">
        <v>62</v>
      </c>
      <c r="K928" s="3" t="s">
        <v>63</v>
      </c>
      <c r="L928" s="2" t="s">
        <v>9004</v>
      </c>
      <c r="M928" s="2" t="s">
        <v>9005</v>
      </c>
      <c r="N928" s="3" t="s">
        <v>894</v>
      </c>
      <c r="P928" s="3" t="s">
        <v>65</v>
      </c>
      <c r="R928" s="3" t="s">
        <v>66</v>
      </c>
      <c r="S928" s="4">
        <v>0</v>
      </c>
      <c r="T928" s="4">
        <v>0</v>
      </c>
      <c r="W928" s="5" t="s">
        <v>67</v>
      </c>
      <c r="X928" s="5" t="s">
        <v>67</v>
      </c>
      <c r="Y928" s="4">
        <v>66</v>
      </c>
      <c r="Z928" s="4">
        <v>9</v>
      </c>
      <c r="AA928" s="4">
        <v>87</v>
      </c>
      <c r="AB928" s="4">
        <v>1</v>
      </c>
      <c r="AC928" s="4">
        <v>17</v>
      </c>
      <c r="AD928" s="4">
        <v>28</v>
      </c>
      <c r="AE928" s="4">
        <v>94</v>
      </c>
      <c r="AF928" s="4">
        <v>0</v>
      </c>
      <c r="AG928" s="4">
        <v>8</v>
      </c>
      <c r="AH928" s="4">
        <v>27</v>
      </c>
      <c r="AI928" s="4">
        <v>61</v>
      </c>
      <c r="AJ928" s="4">
        <v>6</v>
      </c>
      <c r="AK928" s="4">
        <v>22</v>
      </c>
      <c r="AL928" s="4">
        <v>17</v>
      </c>
      <c r="AM928" s="4">
        <v>31</v>
      </c>
      <c r="AN928" s="4">
        <v>0</v>
      </c>
      <c r="AO928" s="4">
        <v>0</v>
      </c>
      <c r="AP928" s="4">
        <v>6</v>
      </c>
      <c r="AQ928" s="4">
        <v>42</v>
      </c>
      <c r="AR928" s="3" t="s">
        <v>62</v>
      </c>
      <c r="AS928" s="3" t="s">
        <v>62</v>
      </c>
      <c r="AT928" s="3" t="s">
        <v>62</v>
      </c>
      <c r="AV928" s="6" t="str">
        <f>HYPERLINK("http://mcgill.on.worldcat.org/oclc/557407812","Catalog Record")</f>
        <v>Catalog Record</v>
      </c>
      <c r="AW928" s="6" t="str">
        <f>HYPERLINK("http://www.worldcat.org/oclc/557407812","WorldCat Record")</f>
        <v>WorldCat Record</v>
      </c>
      <c r="AX928" s="3" t="s">
        <v>9006</v>
      </c>
      <c r="AY928" s="3" t="s">
        <v>9007</v>
      </c>
      <c r="AZ928" s="3" t="s">
        <v>9008</v>
      </c>
      <c r="BA928" s="3" t="s">
        <v>9008</v>
      </c>
      <c r="BB928" s="3" t="s">
        <v>9009</v>
      </c>
      <c r="BC928" s="3" t="s">
        <v>142</v>
      </c>
      <c r="BD928" s="3" t="s">
        <v>68</v>
      </c>
      <c r="BE928" s="3" t="s">
        <v>9010</v>
      </c>
      <c r="BF928" s="3" t="s">
        <v>9009</v>
      </c>
      <c r="BG928" s="3" t="s">
        <v>9011</v>
      </c>
    </row>
    <row r="929" spans="1:59" ht="57" x14ac:dyDescent="0.45">
      <c r="A929" s="2" t="s">
        <v>59</v>
      </c>
      <c r="B929" s="2" t="s">
        <v>60</v>
      </c>
      <c r="C929" s="2" t="s">
        <v>9012</v>
      </c>
      <c r="D929" s="2" t="s">
        <v>9013</v>
      </c>
      <c r="E929" s="2" t="s">
        <v>9014</v>
      </c>
      <c r="G929" s="3" t="s">
        <v>62</v>
      </c>
      <c r="I929" s="3" t="s">
        <v>62</v>
      </c>
      <c r="J929" s="3" t="s">
        <v>62</v>
      </c>
      <c r="K929" s="3" t="s">
        <v>63</v>
      </c>
      <c r="L929" s="2" t="s">
        <v>9015</v>
      </c>
      <c r="M929" s="2" t="s">
        <v>9016</v>
      </c>
      <c r="N929" s="3" t="s">
        <v>1059</v>
      </c>
      <c r="P929" s="3" t="s">
        <v>65</v>
      </c>
      <c r="Q929" s="2" t="s">
        <v>7221</v>
      </c>
      <c r="R929" s="3" t="s">
        <v>66</v>
      </c>
      <c r="S929" s="4">
        <v>15</v>
      </c>
      <c r="T929" s="4">
        <v>15</v>
      </c>
      <c r="U929" s="5" t="s">
        <v>8994</v>
      </c>
      <c r="V929" s="5" t="s">
        <v>8994</v>
      </c>
      <c r="W929" s="5" t="s">
        <v>67</v>
      </c>
      <c r="X929" s="5" t="s">
        <v>67</v>
      </c>
      <c r="Y929" s="4">
        <v>204</v>
      </c>
      <c r="Z929" s="4">
        <v>18</v>
      </c>
      <c r="AA929" s="4">
        <v>24</v>
      </c>
      <c r="AB929" s="4">
        <v>2</v>
      </c>
      <c r="AC929" s="4">
        <v>7</v>
      </c>
      <c r="AD929" s="4">
        <v>64</v>
      </c>
      <c r="AE929" s="4">
        <v>69</v>
      </c>
      <c r="AF929" s="4">
        <v>1</v>
      </c>
      <c r="AG929" s="4">
        <v>2</v>
      </c>
      <c r="AH929" s="4">
        <v>57</v>
      </c>
      <c r="AI929" s="4">
        <v>60</v>
      </c>
      <c r="AJ929" s="4">
        <v>13</v>
      </c>
      <c r="AK929" s="4">
        <v>15</v>
      </c>
      <c r="AL929" s="4">
        <v>29</v>
      </c>
      <c r="AM929" s="4">
        <v>31</v>
      </c>
      <c r="AN929" s="4">
        <v>0</v>
      </c>
      <c r="AO929" s="4">
        <v>0</v>
      </c>
      <c r="AP929" s="4">
        <v>15</v>
      </c>
      <c r="AQ929" s="4">
        <v>17</v>
      </c>
      <c r="AR929" s="3" t="s">
        <v>62</v>
      </c>
      <c r="AS929" s="3" t="s">
        <v>62</v>
      </c>
      <c r="AT929" s="3" t="s">
        <v>62</v>
      </c>
      <c r="AV929" s="6" t="str">
        <f>HYPERLINK("http://mcgill.on.worldcat.org/oclc/63705787","Catalog Record")</f>
        <v>Catalog Record</v>
      </c>
      <c r="AW929" s="6" t="str">
        <f>HYPERLINK("http://www.worldcat.org/oclc/63705787","WorldCat Record")</f>
        <v>WorldCat Record</v>
      </c>
      <c r="AX929" s="3" t="s">
        <v>9017</v>
      </c>
      <c r="AY929" s="3" t="s">
        <v>9018</v>
      </c>
      <c r="AZ929" s="3" t="s">
        <v>9019</v>
      </c>
      <c r="BA929" s="3" t="s">
        <v>9019</v>
      </c>
      <c r="BB929" s="3" t="s">
        <v>9020</v>
      </c>
      <c r="BC929" s="3" t="s">
        <v>142</v>
      </c>
      <c r="BD929" s="3" t="s">
        <v>68</v>
      </c>
      <c r="BE929" s="3" t="s">
        <v>9021</v>
      </c>
      <c r="BF929" s="3" t="s">
        <v>9020</v>
      </c>
      <c r="BG929" s="3" t="s">
        <v>9022</v>
      </c>
    </row>
    <row r="930" spans="1:59" ht="57" x14ac:dyDescent="0.45">
      <c r="A930" s="2" t="s">
        <v>59</v>
      </c>
      <c r="B930" s="2" t="s">
        <v>60</v>
      </c>
      <c r="C930" s="2" t="s">
        <v>9023</v>
      </c>
      <c r="D930" s="2" t="s">
        <v>9024</v>
      </c>
      <c r="E930" s="2" t="s">
        <v>9025</v>
      </c>
      <c r="G930" s="3" t="s">
        <v>62</v>
      </c>
      <c r="I930" s="3" t="s">
        <v>62</v>
      </c>
      <c r="J930" s="3" t="s">
        <v>62</v>
      </c>
      <c r="K930" s="3" t="s">
        <v>63</v>
      </c>
      <c r="L930" s="2" t="s">
        <v>9026</v>
      </c>
      <c r="M930" s="2" t="s">
        <v>9027</v>
      </c>
      <c r="N930" s="3" t="s">
        <v>116</v>
      </c>
      <c r="P930" s="3" t="s">
        <v>65</v>
      </c>
      <c r="Q930" s="2" t="s">
        <v>9028</v>
      </c>
      <c r="R930" s="3" t="s">
        <v>66</v>
      </c>
      <c r="S930" s="4">
        <v>3</v>
      </c>
      <c r="T930" s="4">
        <v>3</v>
      </c>
      <c r="U930" s="5" t="s">
        <v>8747</v>
      </c>
      <c r="V930" s="5" t="s">
        <v>8747</v>
      </c>
      <c r="W930" s="5" t="s">
        <v>67</v>
      </c>
      <c r="X930" s="5" t="s">
        <v>67</v>
      </c>
      <c r="Y930" s="4">
        <v>91</v>
      </c>
      <c r="Z930" s="4">
        <v>15</v>
      </c>
      <c r="AA930" s="4">
        <v>21</v>
      </c>
      <c r="AB930" s="4">
        <v>1</v>
      </c>
      <c r="AC930" s="4">
        <v>4</v>
      </c>
      <c r="AD930" s="4">
        <v>32</v>
      </c>
      <c r="AE930" s="4">
        <v>43</v>
      </c>
      <c r="AF930" s="4">
        <v>0</v>
      </c>
      <c r="AG930" s="4">
        <v>1</v>
      </c>
      <c r="AH930" s="4">
        <v>26</v>
      </c>
      <c r="AI930" s="4">
        <v>36</v>
      </c>
      <c r="AJ930" s="4">
        <v>10</v>
      </c>
      <c r="AK930" s="4">
        <v>13</v>
      </c>
      <c r="AL930" s="4">
        <v>16</v>
      </c>
      <c r="AM930" s="4">
        <v>22</v>
      </c>
      <c r="AN930" s="4">
        <v>0</v>
      </c>
      <c r="AO930" s="4">
        <v>0</v>
      </c>
      <c r="AP930" s="4">
        <v>11</v>
      </c>
      <c r="AQ930" s="4">
        <v>14</v>
      </c>
      <c r="AR930" s="3" t="s">
        <v>62</v>
      </c>
      <c r="AS930" s="3" t="s">
        <v>62</v>
      </c>
      <c r="AT930" s="3" t="s">
        <v>62</v>
      </c>
      <c r="AV930" s="6" t="str">
        <f>HYPERLINK("http://mcgill.on.worldcat.org/oclc/834431294","Catalog Record")</f>
        <v>Catalog Record</v>
      </c>
      <c r="AW930" s="6" t="str">
        <f>HYPERLINK("http://www.worldcat.org/oclc/834431294","WorldCat Record")</f>
        <v>WorldCat Record</v>
      </c>
      <c r="AX930" s="3" t="s">
        <v>9029</v>
      </c>
      <c r="AY930" s="3" t="s">
        <v>9030</v>
      </c>
      <c r="AZ930" s="3" t="s">
        <v>9031</v>
      </c>
      <c r="BA930" s="3" t="s">
        <v>9031</v>
      </c>
      <c r="BB930" s="3" t="s">
        <v>9032</v>
      </c>
      <c r="BC930" s="3" t="s">
        <v>142</v>
      </c>
      <c r="BD930" s="3" t="s">
        <v>68</v>
      </c>
      <c r="BE930" s="3" t="s">
        <v>9033</v>
      </c>
      <c r="BF930" s="3" t="s">
        <v>9032</v>
      </c>
      <c r="BG930" s="3" t="s">
        <v>9034</v>
      </c>
    </row>
    <row r="931" spans="1:59" ht="57" x14ac:dyDescent="0.45">
      <c r="A931" s="2" t="s">
        <v>59</v>
      </c>
      <c r="B931" s="2" t="s">
        <v>60</v>
      </c>
      <c r="C931" s="2" t="s">
        <v>9035</v>
      </c>
      <c r="D931" s="2" t="s">
        <v>9036</v>
      </c>
      <c r="E931" s="2" t="s">
        <v>9037</v>
      </c>
      <c r="G931" s="3" t="s">
        <v>62</v>
      </c>
      <c r="I931" s="3" t="s">
        <v>62</v>
      </c>
      <c r="J931" s="3" t="s">
        <v>62</v>
      </c>
      <c r="K931" s="3" t="s">
        <v>63</v>
      </c>
      <c r="L931" s="2" t="s">
        <v>9038</v>
      </c>
      <c r="M931" s="2" t="s">
        <v>9039</v>
      </c>
      <c r="N931" s="3" t="s">
        <v>945</v>
      </c>
      <c r="P931" s="3" t="s">
        <v>65</v>
      </c>
      <c r="Q931" s="2" t="s">
        <v>6198</v>
      </c>
      <c r="R931" s="3" t="s">
        <v>66</v>
      </c>
      <c r="S931" s="4">
        <v>1</v>
      </c>
      <c r="T931" s="4">
        <v>1</v>
      </c>
      <c r="U931" s="5" t="s">
        <v>8994</v>
      </c>
      <c r="V931" s="5" t="s">
        <v>8994</v>
      </c>
      <c r="W931" s="5" t="s">
        <v>67</v>
      </c>
      <c r="X931" s="5" t="s">
        <v>67</v>
      </c>
      <c r="Y931" s="4">
        <v>120</v>
      </c>
      <c r="Z931" s="4">
        <v>13</v>
      </c>
      <c r="AA931" s="4">
        <v>14</v>
      </c>
      <c r="AB931" s="4">
        <v>1</v>
      </c>
      <c r="AC931" s="4">
        <v>1</v>
      </c>
      <c r="AD931" s="4">
        <v>10</v>
      </c>
      <c r="AE931" s="4">
        <v>11</v>
      </c>
      <c r="AF931" s="4">
        <v>0</v>
      </c>
      <c r="AG931" s="4">
        <v>0</v>
      </c>
      <c r="AH931" s="4">
        <v>6</v>
      </c>
      <c r="AI931" s="4">
        <v>6</v>
      </c>
      <c r="AJ931" s="4">
        <v>5</v>
      </c>
      <c r="AK931" s="4">
        <v>5</v>
      </c>
      <c r="AL931" s="4">
        <v>2</v>
      </c>
      <c r="AM931" s="4">
        <v>2</v>
      </c>
      <c r="AN931" s="4">
        <v>0</v>
      </c>
      <c r="AO931" s="4">
        <v>0</v>
      </c>
      <c r="AP931" s="4">
        <v>8</v>
      </c>
      <c r="AQ931" s="4">
        <v>9</v>
      </c>
      <c r="AR931" s="3" t="s">
        <v>62</v>
      </c>
      <c r="AS931" s="3" t="s">
        <v>62</v>
      </c>
      <c r="AT931" s="3" t="s">
        <v>62</v>
      </c>
      <c r="AV931" s="6" t="str">
        <f>HYPERLINK("http://mcgill.on.worldcat.org/oclc/195632036","Catalog Record")</f>
        <v>Catalog Record</v>
      </c>
      <c r="AW931" s="6" t="str">
        <f>HYPERLINK("http://www.worldcat.org/oclc/195632036","WorldCat Record")</f>
        <v>WorldCat Record</v>
      </c>
      <c r="AX931" s="3" t="s">
        <v>9040</v>
      </c>
      <c r="AY931" s="3" t="s">
        <v>9041</v>
      </c>
      <c r="AZ931" s="3" t="s">
        <v>9042</v>
      </c>
      <c r="BA931" s="3" t="s">
        <v>9042</v>
      </c>
      <c r="BB931" s="3" t="s">
        <v>9043</v>
      </c>
      <c r="BC931" s="3" t="s">
        <v>142</v>
      </c>
      <c r="BD931" s="3" t="s">
        <v>68</v>
      </c>
      <c r="BE931" s="3" t="s">
        <v>9044</v>
      </c>
      <c r="BF931" s="3" t="s">
        <v>9043</v>
      </c>
      <c r="BG931" s="3" t="s">
        <v>9045</v>
      </c>
    </row>
    <row r="932" spans="1:59" ht="57" x14ac:dyDescent="0.45">
      <c r="A932" s="2" t="s">
        <v>59</v>
      </c>
      <c r="B932" s="2" t="s">
        <v>60</v>
      </c>
      <c r="C932" s="2" t="s">
        <v>9046</v>
      </c>
      <c r="D932" s="2" t="s">
        <v>9047</v>
      </c>
      <c r="E932" s="2" t="s">
        <v>9048</v>
      </c>
      <c r="G932" s="3" t="s">
        <v>62</v>
      </c>
      <c r="I932" s="3" t="s">
        <v>62</v>
      </c>
      <c r="J932" s="3" t="s">
        <v>62</v>
      </c>
      <c r="K932" s="3" t="s">
        <v>63</v>
      </c>
      <c r="L932" s="2" t="s">
        <v>9049</v>
      </c>
      <c r="M932" s="2" t="s">
        <v>4069</v>
      </c>
      <c r="N932" s="3" t="s">
        <v>116</v>
      </c>
      <c r="P932" s="3" t="s">
        <v>65</v>
      </c>
      <c r="Q932" s="2" t="s">
        <v>7024</v>
      </c>
      <c r="R932" s="3" t="s">
        <v>66</v>
      </c>
      <c r="S932" s="4">
        <v>6</v>
      </c>
      <c r="T932" s="4">
        <v>6</v>
      </c>
      <c r="U932" s="5" t="s">
        <v>7408</v>
      </c>
      <c r="V932" s="5" t="s">
        <v>7408</v>
      </c>
      <c r="W932" s="5" t="s">
        <v>67</v>
      </c>
      <c r="X932" s="5" t="s">
        <v>67</v>
      </c>
      <c r="Y932" s="4">
        <v>165</v>
      </c>
      <c r="Z932" s="4">
        <v>23</v>
      </c>
      <c r="AA932" s="4">
        <v>25</v>
      </c>
      <c r="AB932" s="4">
        <v>2</v>
      </c>
      <c r="AC932" s="4">
        <v>4</v>
      </c>
      <c r="AD932" s="4">
        <v>41</v>
      </c>
      <c r="AE932" s="4">
        <v>42</v>
      </c>
      <c r="AF932" s="4">
        <v>1</v>
      </c>
      <c r="AG932" s="4">
        <v>2</v>
      </c>
      <c r="AH932" s="4">
        <v>35</v>
      </c>
      <c r="AI932" s="4">
        <v>35</v>
      </c>
      <c r="AJ932" s="4">
        <v>11</v>
      </c>
      <c r="AK932" s="4">
        <v>12</v>
      </c>
      <c r="AL932" s="4">
        <v>16</v>
      </c>
      <c r="AM932" s="4">
        <v>16</v>
      </c>
      <c r="AN932" s="4">
        <v>0</v>
      </c>
      <c r="AO932" s="4">
        <v>0</v>
      </c>
      <c r="AP932" s="4">
        <v>13</v>
      </c>
      <c r="AQ932" s="4">
        <v>14</v>
      </c>
      <c r="AR932" s="3" t="s">
        <v>62</v>
      </c>
      <c r="AS932" s="3" t="s">
        <v>62</v>
      </c>
      <c r="AT932" s="3" t="s">
        <v>62</v>
      </c>
      <c r="AV932" s="6" t="str">
        <f>HYPERLINK("http://mcgill.on.worldcat.org/oclc/820780980","Catalog Record")</f>
        <v>Catalog Record</v>
      </c>
      <c r="AW932" s="6" t="str">
        <f>HYPERLINK("http://www.worldcat.org/oclc/820780980","WorldCat Record")</f>
        <v>WorldCat Record</v>
      </c>
      <c r="AX932" s="3" t="s">
        <v>9050</v>
      </c>
      <c r="AY932" s="3" t="s">
        <v>9051</v>
      </c>
      <c r="AZ932" s="3" t="s">
        <v>9052</v>
      </c>
      <c r="BA932" s="3" t="s">
        <v>9052</v>
      </c>
      <c r="BB932" s="3" t="s">
        <v>9053</v>
      </c>
      <c r="BC932" s="3" t="s">
        <v>142</v>
      </c>
      <c r="BD932" s="3" t="s">
        <v>308</v>
      </c>
      <c r="BE932" s="3" t="s">
        <v>9054</v>
      </c>
      <c r="BF932" s="3" t="s">
        <v>9053</v>
      </c>
      <c r="BG932" s="3" t="s">
        <v>9055</v>
      </c>
    </row>
    <row r="933" spans="1:59" ht="71.25" x14ac:dyDescent="0.45">
      <c r="A933" s="2" t="s">
        <v>59</v>
      </c>
      <c r="B933" s="2" t="s">
        <v>60</v>
      </c>
      <c r="C933" s="2" t="s">
        <v>9056</v>
      </c>
      <c r="D933" s="2" t="s">
        <v>9057</v>
      </c>
      <c r="E933" s="2" t="s">
        <v>9058</v>
      </c>
      <c r="G933" s="3" t="s">
        <v>62</v>
      </c>
      <c r="I933" s="3" t="s">
        <v>62</v>
      </c>
      <c r="J933" s="3" t="s">
        <v>62</v>
      </c>
      <c r="K933" s="3" t="s">
        <v>63</v>
      </c>
      <c r="M933" s="2" t="s">
        <v>9059</v>
      </c>
      <c r="N933" s="3" t="s">
        <v>1253</v>
      </c>
      <c r="P933" s="3" t="s">
        <v>65</v>
      </c>
      <c r="Q933" s="2" t="s">
        <v>7972</v>
      </c>
      <c r="R933" s="3" t="s">
        <v>66</v>
      </c>
      <c r="S933" s="4">
        <v>35</v>
      </c>
      <c r="T933" s="4">
        <v>35</v>
      </c>
      <c r="U933" s="5" t="s">
        <v>741</v>
      </c>
      <c r="V933" s="5" t="s">
        <v>741</v>
      </c>
      <c r="W933" s="5" t="s">
        <v>67</v>
      </c>
      <c r="X933" s="5" t="s">
        <v>67</v>
      </c>
      <c r="Y933" s="4">
        <v>404</v>
      </c>
      <c r="Z933" s="4">
        <v>15</v>
      </c>
      <c r="AA933" s="4">
        <v>18</v>
      </c>
      <c r="AB933" s="4">
        <v>1</v>
      </c>
      <c r="AC933" s="4">
        <v>2</v>
      </c>
      <c r="AD933" s="4">
        <v>87</v>
      </c>
      <c r="AE933" s="4">
        <v>90</v>
      </c>
      <c r="AF933" s="4">
        <v>0</v>
      </c>
      <c r="AG933" s="4">
        <v>1</v>
      </c>
      <c r="AH933" s="4">
        <v>79</v>
      </c>
      <c r="AI933" s="4">
        <v>81</v>
      </c>
      <c r="AJ933" s="4">
        <v>11</v>
      </c>
      <c r="AK933" s="4">
        <v>14</v>
      </c>
      <c r="AL933" s="4">
        <v>43</v>
      </c>
      <c r="AM933" s="4">
        <v>43</v>
      </c>
      <c r="AN933" s="4">
        <v>0</v>
      </c>
      <c r="AO933" s="4">
        <v>0</v>
      </c>
      <c r="AP933" s="4">
        <v>13</v>
      </c>
      <c r="AQ933" s="4">
        <v>16</v>
      </c>
      <c r="AR933" s="3" t="s">
        <v>62</v>
      </c>
      <c r="AS933" s="3" t="s">
        <v>62</v>
      </c>
      <c r="AT933" s="3" t="s">
        <v>61</v>
      </c>
      <c r="AU933" s="6" t="str">
        <f>HYPERLINK("http://catalog.hathitrust.org/Record/004537825","HathiTrust Record")</f>
        <v>HathiTrust Record</v>
      </c>
      <c r="AV933" s="6" t="str">
        <f>HYPERLINK("http://mcgill.on.worldcat.org/oclc/36163363","Catalog Record")</f>
        <v>Catalog Record</v>
      </c>
      <c r="AW933" s="6" t="str">
        <f>HYPERLINK("http://www.worldcat.org/oclc/36163363","WorldCat Record")</f>
        <v>WorldCat Record</v>
      </c>
      <c r="AX933" s="3" t="s">
        <v>9060</v>
      </c>
      <c r="AY933" s="3" t="s">
        <v>9061</v>
      </c>
      <c r="AZ933" s="3" t="s">
        <v>9062</v>
      </c>
      <c r="BA933" s="3" t="s">
        <v>9062</v>
      </c>
      <c r="BB933" s="3" t="s">
        <v>9063</v>
      </c>
      <c r="BC933" s="3" t="s">
        <v>142</v>
      </c>
      <c r="BD933" s="3" t="s">
        <v>68</v>
      </c>
      <c r="BE933" s="3" t="s">
        <v>9064</v>
      </c>
      <c r="BF933" s="3" t="s">
        <v>9063</v>
      </c>
      <c r="BG933" s="3" t="s">
        <v>9065</v>
      </c>
    </row>
    <row r="934" spans="1:59" ht="57" x14ac:dyDescent="0.45">
      <c r="A934" s="2" t="s">
        <v>59</v>
      </c>
      <c r="B934" s="2" t="s">
        <v>60</v>
      </c>
      <c r="C934" s="2" t="s">
        <v>9066</v>
      </c>
      <c r="D934" s="2" t="s">
        <v>9067</v>
      </c>
      <c r="E934" s="2" t="s">
        <v>9068</v>
      </c>
      <c r="G934" s="3" t="s">
        <v>62</v>
      </c>
      <c r="I934" s="3" t="s">
        <v>62</v>
      </c>
      <c r="J934" s="3" t="s">
        <v>62</v>
      </c>
      <c r="K934" s="3" t="s">
        <v>63</v>
      </c>
      <c r="M934" s="2" t="s">
        <v>9069</v>
      </c>
      <c r="N934" s="3" t="s">
        <v>894</v>
      </c>
      <c r="P934" s="3" t="s">
        <v>65</v>
      </c>
      <c r="R934" s="3" t="s">
        <v>66</v>
      </c>
      <c r="S934" s="4">
        <v>3</v>
      </c>
      <c r="T934" s="4">
        <v>3</v>
      </c>
      <c r="U934" s="5" t="s">
        <v>8747</v>
      </c>
      <c r="V934" s="5" t="s">
        <v>8747</v>
      </c>
      <c r="W934" s="5" t="s">
        <v>67</v>
      </c>
      <c r="X934" s="5" t="s">
        <v>67</v>
      </c>
      <c r="Y934" s="4">
        <v>57</v>
      </c>
      <c r="Z934" s="4">
        <v>5</v>
      </c>
      <c r="AA934" s="4">
        <v>17</v>
      </c>
      <c r="AB934" s="4">
        <v>2</v>
      </c>
      <c r="AC934" s="4">
        <v>7</v>
      </c>
      <c r="AD934" s="4">
        <v>17</v>
      </c>
      <c r="AE934" s="4">
        <v>35</v>
      </c>
      <c r="AF934" s="4">
        <v>1</v>
      </c>
      <c r="AG934" s="4">
        <v>2</v>
      </c>
      <c r="AH934" s="4">
        <v>15</v>
      </c>
      <c r="AI934" s="4">
        <v>27</v>
      </c>
      <c r="AJ934" s="4">
        <v>4</v>
      </c>
      <c r="AK934" s="4">
        <v>9</v>
      </c>
      <c r="AL934" s="4">
        <v>9</v>
      </c>
      <c r="AM934" s="4">
        <v>14</v>
      </c>
      <c r="AN934" s="4">
        <v>0</v>
      </c>
      <c r="AO934" s="4">
        <v>0</v>
      </c>
      <c r="AP934" s="4">
        <v>4</v>
      </c>
      <c r="AQ934" s="4">
        <v>11</v>
      </c>
      <c r="AR934" s="3" t="s">
        <v>62</v>
      </c>
      <c r="AS934" s="3" t="s">
        <v>62</v>
      </c>
      <c r="AT934" s="3" t="s">
        <v>62</v>
      </c>
      <c r="AV934" s="6" t="str">
        <f>HYPERLINK("http://mcgill.on.worldcat.org/oclc/617382266","Catalog Record")</f>
        <v>Catalog Record</v>
      </c>
      <c r="AW934" s="6" t="str">
        <f>HYPERLINK("http://www.worldcat.org/oclc/617382266","WorldCat Record")</f>
        <v>WorldCat Record</v>
      </c>
      <c r="AX934" s="3" t="s">
        <v>9070</v>
      </c>
      <c r="AY934" s="3" t="s">
        <v>9071</v>
      </c>
      <c r="AZ934" s="3" t="s">
        <v>9072</v>
      </c>
      <c r="BA934" s="3" t="s">
        <v>9072</v>
      </c>
      <c r="BB934" s="3" t="s">
        <v>9073</v>
      </c>
      <c r="BC934" s="3" t="s">
        <v>142</v>
      </c>
      <c r="BD934" s="3" t="s">
        <v>68</v>
      </c>
      <c r="BE934" s="3" t="s">
        <v>9074</v>
      </c>
      <c r="BF934" s="3" t="s">
        <v>9073</v>
      </c>
      <c r="BG934" s="3" t="s">
        <v>9075</v>
      </c>
    </row>
    <row r="935" spans="1:59" ht="57" x14ac:dyDescent="0.45">
      <c r="A935" s="2" t="s">
        <v>59</v>
      </c>
      <c r="B935" s="2" t="s">
        <v>60</v>
      </c>
      <c r="C935" s="2" t="s">
        <v>9076</v>
      </c>
      <c r="D935" s="2" t="s">
        <v>9077</v>
      </c>
      <c r="E935" s="2" t="s">
        <v>9078</v>
      </c>
      <c r="G935" s="3" t="s">
        <v>62</v>
      </c>
      <c r="I935" s="3" t="s">
        <v>62</v>
      </c>
      <c r="J935" s="3" t="s">
        <v>62</v>
      </c>
      <c r="K935" s="3" t="s">
        <v>63</v>
      </c>
      <c r="L935" s="2" t="s">
        <v>9079</v>
      </c>
      <c r="M935" s="2" t="s">
        <v>3135</v>
      </c>
      <c r="N935" s="3" t="s">
        <v>945</v>
      </c>
      <c r="O935" s="2" t="s">
        <v>933</v>
      </c>
      <c r="P935" s="3" t="s">
        <v>65</v>
      </c>
      <c r="Q935" s="2" t="s">
        <v>7024</v>
      </c>
      <c r="R935" s="3" t="s">
        <v>66</v>
      </c>
      <c r="S935" s="4">
        <v>8</v>
      </c>
      <c r="T935" s="4">
        <v>8</v>
      </c>
      <c r="U935" s="5" t="s">
        <v>7408</v>
      </c>
      <c r="V935" s="5" t="s">
        <v>7408</v>
      </c>
      <c r="W935" s="5" t="s">
        <v>67</v>
      </c>
      <c r="X935" s="5" t="s">
        <v>67</v>
      </c>
      <c r="Y935" s="4">
        <v>214</v>
      </c>
      <c r="Z935" s="4">
        <v>14</v>
      </c>
      <c r="AA935" s="4">
        <v>34</v>
      </c>
      <c r="AB935" s="4">
        <v>2</v>
      </c>
      <c r="AC935" s="4">
        <v>6</v>
      </c>
      <c r="AD935" s="4">
        <v>34</v>
      </c>
      <c r="AE935" s="4">
        <v>70</v>
      </c>
      <c r="AF935" s="4">
        <v>1</v>
      </c>
      <c r="AG935" s="4">
        <v>3</v>
      </c>
      <c r="AH935" s="4">
        <v>29</v>
      </c>
      <c r="AI935" s="4">
        <v>58</v>
      </c>
      <c r="AJ935" s="4">
        <v>8</v>
      </c>
      <c r="AK935" s="4">
        <v>15</v>
      </c>
      <c r="AL935" s="4">
        <v>15</v>
      </c>
      <c r="AM935" s="4">
        <v>28</v>
      </c>
      <c r="AN935" s="4">
        <v>0</v>
      </c>
      <c r="AO935" s="4">
        <v>0</v>
      </c>
      <c r="AP935" s="4">
        <v>10</v>
      </c>
      <c r="AQ935" s="4">
        <v>21</v>
      </c>
      <c r="AR935" s="3" t="s">
        <v>62</v>
      </c>
      <c r="AS935" s="3" t="s">
        <v>62</v>
      </c>
      <c r="AT935" s="3" t="s">
        <v>62</v>
      </c>
      <c r="AV935" s="6" t="str">
        <f>HYPERLINK("http://mcgill.on.worldcat.org/oclc/74967108","Catalog Record")</f>
        <v>Catalog Record</v>
      </c>
      <c r="AW935" s="6" t="str">
        <f>HYPERLINK("http://www.worldcat.org/oclc/74967108","WorldCat Record")</f>
        <v>WorldCat Record</v>
      </c>
      <c r="AX935" s="3" t="s">
        <v>9080</v>
      </c>
      <c r="AY935" s="3" t="s">
        <v>9081</v>
      </c>
      <c r="AZ935" s="3" t="s">
        <v>9082</v>
      </c>
      <c r="BA935" s="3" t="s">
        <v>9082</v>
      </c>
      <c r="BB935" s="3" t="s">
        <v>9083</v>
      </c>
      <c r="BC935" s="3" t="s">
        <v>142</v>
      </c>
      <c r="BD935" s="3" t="s">
        <v>308</v>
      </c>
      <c r="BE935" s="3" t="s">
        <v>9084</v>
      </c>
      <c r="BF935" s="3" t="s">
        <v>9083</v>
      </c>
      <c r="BG935" s="3" t="s">
        <v>9085</v>
      </c>
    </row>
    <row r="936" spans="1:59" ht="57" x14ac:dyDescent="0.45">
      <c r="A936" s="2" t="s">
        <v>59</v>
      </c>
      <c r="B936" s="2" t="s">
        <v>60</v>
      </c>
      <c r="C936" s="2" t="s">
        <v>9086</v>
      </c>
      <c r="D936" s="2" t="s">
        <v>9087</v>
      </c>
      <c r="E936" s="2" t="s">
        <v>9088</v>
      </c>
      <c r="G936" s="3" t="s">
        <v>62</v>
      </c>
      <c r="I936" s="3" t="s">
        <v>62</v>
      </c>
      <c r="J936" s="3" t="s">
        <v>62</v>
      </c>
      <c r="K936" s="3" t="s">
        <v>63</v>
      </c>
      <c r="M936" s="2" t="s">
        <v>9089</v>
      </c>
      <c r="N936" s="3" t="s">
        <v>625</v>
      </c>
      <c r="P936" s="3" t="s">
        <v>65</v>
      </c>
      <c r="Q936" s="2" t="s">
        <v>4130</v>
      </c>
      <c r="R936" s="3" t="s">
        <v>66</v>
      </c>
      <c r="S936" s="4">
        <v>64</v>
      </c>
      <c r="T936" s="4">
        <v>64</v>
      </c>
      <c r="U936" s="5" t="s">
        <v>6222</v>
      </c>
      <c r="V936" s="5" t="s">
        <v>6222</v>
      </c>
      <c r="W936" s="5" t="s">
        <v>67</v>
      </c>
      <c r="X936" s="5" t="s">
        <v>67</v>
      </c>
      <c r="Y936" s="4">
        <v>309</v>
      </c>
      <c r="Z936" s="4">
        <v>24</v>
      </c>
      <c r="AA936" s="4">
        <v>28</v>
      </c>
      <c r="AB936" s="4">
        <v>1</v>
      </c>
      <c r="AC936" s="4">
        <v>5</v>
      </c>
      <c r="AD936" s="4">
        <v>80</v>
      </c>
      <c r="AE936" s="4">
        <v>83</v>
      </c>
      <c r="AF936" s="4">
        <v>0</v>
      </c>
      <c r="AG936" s="4">
        <v>3</v>
      </c>
      <c r="AH936" s="4">
        <v>68</v>
      </c>
      <c r="AI936" s="4">
        <v>69</v>
      </c>
      <c r="AJ936" s="4">
        <v>13</v>
      </c>
      <c r="AK936" s="4">
        <v>16</v>
      </c>
      <c r="AL936" s="4">
        <v>38</v>
      </c>
      <c r="AM936" s="4">
        <v>38</v>
      </c>
      <c r="AN936" s="4">
        <v>0</v>
      </c>
      <c r="AO936" s="4">
        <v>0</v>
      </c>
      <c r="AP936" s="4">
        <v>19</v>
      </c>
      <c r="AQ936" s="4">
        <v>22</v>
      </c>
      <c r="AR936" s="3" t="s">
        <v>62</v>
      </c>
      <c r="AS936" s="3" t="s">
        <v>62</v>
      </c>
      <c r="AT936" s="3" t="s">
        <v>61</v>
      </c>
      <c r="AU936" s="6" t="str">
        <f>HYPERLINK("http://catalog.hathitrust.org/Record/000396912","HathiTrust Record")</f>
        <v>HathiTrust Record</v>
      </c>
      <c r="AV936" s="6" t="str">
        <f>HYPERLINK("http://mcgill.on.worldcat.org/oclc/12724177","Catalog Record")</f>
        <v>Catalog Record</v>
      </c>
      <c r="AW936" s="6" t="str">
        <f>HYPERLINK("http://www.worldcat.org/oclc/12724177","WorldCat Record")</f>
        <v>WorldCat Record</v>
      </c>
      <c r="AX936" s="3" t="s">
        <v>9090</v>
      </c>
      <c r="AY936" s="3" t="s">
        <v>9091</v>
      </c>
      <c r="AZ936" s="3" t="s">
        <v>9092</v>
      </c>
      <c r="BA936" s="3" t="s">
        <v>9092</v>
      </c>
      <c r="BB936" s="3" t="s">
        <v>9093</v>
      </c>
      <c r="BC936" s="3" t="s">
        <v>142</v>
      </c>
      <c r="BD936" s="3" t="s">
        <v>68</v>
      </c>
      <c r="BE936" s="3" t="s">
        <v>9094</v>
      </c>
      <c r="BF936" s="3" t="s">
        <v>9093</v>
      </c>
      <c r="BG936" s="3" t="s">
        <v>9095</v>
      </c>
    </row>
    <row r="937" spans="1:59" ht="57" x14ac:dyDescent="0.45">
      <c r="A937" s="2" t="s">
        <v>59</v>
      </c>
      <c r="B937" s="2" t="s">
        <v>60</v>
      </c>
      <c r="C937" s="2" t="s">
        <v>9096</v>
      </c>
      <c r="D937" s="2" t="s">
        <v>9097</v>
      </c>
      <c r="E937" s="2" t="s">
        <v>9098</v>
      </c>
      <c r="G937" s="3" t="s">
        <v>62</v>
      </c>
      <c r="I937" s="3" t="s">
        <v>62</v>
      </c>
      <c r="J937" s="3" t="s">
        <v>62</v>
      </c>
      <c r="K937" s="3" t="s">
        <v>63</v>
      </c>
      <c r="L937" s="2" t="s">
        <v>9099</v>
      </c>
      <c r="M937" s="2" t="s">
        <v>9100</v>
      </c>
      <c r="N937" s="3" t="s">
        <v>1155</v>
      </c>
      <c r="P937" s="3" t="s">
        <v>65</v>
      </c>
      <c r="R937" s="3" t="s">
        <v>66</v>
      </c>
      <c r="S937" s="4">
        <v>0</v>
      </c>
      <c r="T937" s="4">
        <v>0</v>
      </c>
      <c r="W937" s="5" t="s">
        <v>67</v>
      </c>
      <c r="X937" s="5" t="s">
        <v>67</v>
      </c>
      <c r="Y937" s="4">
        <v>100</v>
      </c>
      <c r="Z937" s="4">
        <v>17</v>
      </c>
      <c r="AA937" s="4">
        <v>29</v>
      </c>
      <c r="AB937" s="4">
        <v>1</v>
      </c>
      <c r="AC937" s="4">
        <v>3</v>
      </c>
      <c r="AD937" s="4">
        <v>51</v>
      </c>
      <c r="AE937" s="4">
        <v>76</v>
      </c>
      <c r="AF937" s="4">
        <v>0</v>
      </c>
      <c r="AG937" s="4">
        <v>0</v>
      </c>
      <c r="AH937" s="4">
        <v>46</v>
      </c>
      <c r="AI937" s="4">
        <v>65</v>
      </c>
      <c r="AJ937" s="4">
        <v>13</v>
      </c>
      <c r="AK937" s="4">
        <v>13</v>
      </c>
      <c r="AL937" s="4">
        <v>25</v>
      </c>
      <c r="AM937" s="4">
        <v>35</v>
      </c>
      <c r="AN937" s="4">
        <v>0</v>
      </c>
      <c r="AO937" s="4">
        <v>0</v>
      </c>
      <c r="AP937" s="4">
        <v>14</v>
      </c>
      <c r="AQ937" s="4">
        <v>20</v>
      </c>
      <c r="AR937" s="3" t="s">
        <v>62</v>
      </c>
      <c r="AS937" s="3" t="s">
        <v>62</v>
      </c>
      <c r="AT937" s="3" t="s">
        <v>62</v>
      </c>
      <c r="AV937" s="6" t="str">
        <f>HYPERLINK("http://mcgill.on.worldcat.org/oclc/748329989","Catalog Record")</f>
        <v>Catalog Record</v>
      </c>
      <c r="AW937" s="6" t="str">
        <f>HYPERLINK("http://www.worldcat.org/oclc/748329989","WorldCat Record")</f>
        <v>WorldCat Record</v>
      </c>
      <c r="AX937" s="3" t="s">
        <v>9101</v>
      </c>
      <c r="AY937" s="3" t="s">
        <v>9102</v>
      </c>
      <c r="AZ937" s="3" t="s">
        <v>9103</v>
      </c>
      <c r="BA937" s="3" t="s">
        <v>9103</v>
      </c>
      <c r="BB937" s="3" t="s">
        <v>9104</v>
      </c>
      <c r="BC937" s="3" t="s">
        <v>142</v>
      </c>
      <c r="BD937" s="3" t="s">
        <v>68</v>
      </c>
      <c r="BE937" s="3" t="s">
        <v>9105</v>
      </c>
      <c r="BF937" s="3" t="s">
        <v>9104</v>
      </c>
      <c r="BG937" s="3" t="s">
        <v>9106</v>
      </c>
    </row>
    <row r="938" spans="1:59" ht="57" x14ac:dyDescent="0.45">
      <c r="A938" s="2" t="s">
        <v>59</v>
      </c>
      <c r="B938" s="2" t="s">
        <v>60</v>
      </c>
      <c r="C938" s="2" t="s">
        <v>9107</v>
      </c>
      <c r="D938" s="2" t="s">
        <v>9108</v>
      </c>
      <c r="E938" s="2" t="s">
        <v>9109</v>
      </c>
      <c r="G938" s="3" t="s">
        <v>62</v>
      </c>
      <c r="I938" s="3" t="s">
        <v>62</v>
      </c>
      <c r="J938" s="3" t="s">
        <v>62</v>
      </c>
      <c r="K938" s="3" t="s">
        <v>63</v>
      </c>
      <c r="L938" s="2" t="s">
        <v>9110</v>
      </c>
      <c r="M938" s="2" t="s">
        <v>4951</v>
      </c>
      <c r="N938" s="3" t="s">
        <v>625</v>
      </c>
      <c r="P938" s="3" t="s">
        <v>65</v>
      </c>
      <c r="Q938" s="2" t="s">
        <v>7700</v>
      </c>
      <c r="R938" s="3" t="s">
        <v>66</v>
      </c>
      <c r="S938" s="4">
        <v>5</v>
      </c>
      <c r="T938" s="4">
        <v>5</v>
      </c>
      <c r="U938" s="5" t="s">
        <v>9111</v>
      </c>
      <c r="V938" s="5" t="s">
        <v>9111</v>
      </c>
      <c r="W938" s="5" t="s">
        <v>67</v>
      </c>
      <c r="X938" s="5" t="s">
        <v>67</v>
      </c>
      <c r="Y938" s="4">
        <v>606</v>
      </c>
      <c r="Z938" s="4">
        <v>28</v>
      </c>
      <c r="AA938" s="4">
        <v>32</v>
      </c>
      <c r="AB938" s="4">
        <v>3</v>
      </c>
      <c r="AC938" s="4">
        <v>6</v>
      </c>
      <c r="AD938" s="4">
        <v>109</v>
      </c>
      <c r="AE938" s="4">
        <v>113</v>
      </c>
      <c r="AF938" s="4">
        <v>1</v>
      </c>
      <c r="AG938" s="4">
        <v>3</v>
      </c>
      <c r="AH938" s="4">
        <v>98</v>
      </c>
      <c r="AI938" s="4">
        <v>100</v>
      </c>
      <c r="AJ938" s="4">
        <v>16</v>
      </c>
      <c r="AK938" s="4">
        <v>18</v>
      </c>
      <c r="AL938" s="4">
        <v>47</v>
      </c>
      <c r="AM938" s="4">
        <v>47</v>
      </c>
      <c r="AN938" s="4">
        <v>0</v>
      </c>
      <c r="AO938" s="4">
        <v>0</v>
      </c>
      <c r="AP938" s="4">
        <v>21</v>
      </c>
      <c r="AQ938" s="4">
        <v>24</v>
      </c>
      <c r="AR938" s="3" t="s">
        <v>62</v>
      </c>
      <c r="AS938" s="3" t="s">
        <v>62</v>
      </c>
      <c r="AT938" s="3" t="s">
        <v>62</v>
      </c>
      <c r="AV938" s="6" t="str">
        <f>HYPERLINK("http://mcgill.on.worldcat.org/oclc/12752382","Catalog Record")</f>
        <v>Catalog Record</v>
      </c>
      <c r="AW938" s="6" t="str">
        <f>HYPERLINK("http://www.worldcat.org/oclc/12752382","WorldCat Record")</f>
        <v>WorldCat Record</v>
      </c>
      <c r="AX938" s="3" t="s">
        <v>9112</v>
      </c>
      <c r="AY938" s="3" t="s">
        <v>9113</v>
      </c>
      <c r="AZ938" s="3" t="s">
        <v>9114</v>
      </c>
      <c r="BA938" s="3" t="s">
        <v>9114</v>
      </c>
      <c r="BB938" s="3" t="s">
        <v>9115</v>
      </c>
      <c r="BC938" s="3" t="s">
        <v>142</v>
      </c>
      <c r="BD938" s="3" t="s">
        <v>68</v>
      </c>
      <c r="BE938" s="3" t="s">
        <v>9116</v>
      </c>
      <c r="BF938" s="3" t="s">
        <v>9115</v>
      </c>
      <c r="BG938" s="3" t="s">
        <v>9117</v>
      </c>
    </row>
    <row r="939" spans="1:59" ht="57" x14ac:dyDescent="0.45">
      <c r="A939" s="2" t="s">
        <v>59</v>
      </c>
      <c r="B939" s="2" t="s">
        <v>60</v>
      </c>
      <c r="C939" s="2" t="s">
        <v>9118</v>
      </c>
      <c r="D939" s="2" t="s">
        <v>9119</v>
      </c>
      <c r="E939" s="2" t="s">
        <v>9120</v>
      </c>
      <c r="G939" s="3" t="s">
        <v>62</v>
      </c>
      <c r="I939" s="3" t="s">
        <v>62</v>
      </c>
      <c r="J939" s="3" t="s">
        <v>62</v>
      </c>
      <c r="K939" s="3" t="s">
        <v>63</v>
      </c>
      <c r="L939" s="2" t="s">
        <v>7377</v>
      </c>
      <c r="M939" s="2" t="s">
        <v>9121</v>
      </c>
      <c r="N939" s="3" t="s">
        <v>542</v>
      </c>
      <c r="P939" s="3" t="s">
        <v>65</v>
      </c>
      <c r="Q939" s="2" t="s">
        <v>7392</v>
      </c>
      <c r="R939" s="3" t="s">
        <v>66</v>
      </c>
      <c r="S939" s="4">
        <v>18</v>
      </c>
      <c r="T939" s="4">
        <v>18</v>
      </c>
      <c r="U939" s="5" t="s">
        <v>9122</v>
      </c>
      <c r="V939" s="5" t="s">
        <v>9122</v>
      </c>
      <c r="W939" s="5" t="s">
        <v>67</v>
      </c>
      <c r="X939" s="5" t="s">
        <v>67</v>
      </c>
      <c r="Y939" s="4">
        <v>440</v>
      </c>
      <c r="Z939" s="4">
        <v>30</v>
      </c>
      <c r="AA939" s="4">
        <v>34</v>
      </c>
      <c r="AB939" s="4">
        <v>2</v>
      </c>
      <c r="AC939" s="4">
        <v>4</v>
      </c>
      <c r="AD939" s="4">
        <v>84</v>
      </c>
      <c r="AE939" s="4">
        <v>89</v>
      </c>
      <c r="AF939" s="4">
        <v>1</v>
      </c>
      <c r="AG939" s="4">
        <v>2</v>
      </c>
      <c r="AH939" s="4">
        <v>72</v>
      </c>
      <c r="AI939" s="4">
        <v>75</v>
      </c>
      <c r="AJ939" s="4">
        <v>14</v>
      </c>
      <c r="AK939" s="4">
        <v>15</v>
      </c>
      <c r="AL939" s="4">
        <v>40</v>
      </c>
      <c r="AM939" s="4">
        <v>42</v>
      </c>
      <c r="AN939" s="4">
        <v>0</v>
      </c>
      <c r="AO939" s="4">
        <v>0</v>
      </c>
      <c r="AP939" s="4">
        <v>20</v>
      </c>
      <c r="AQ939" s="4">
        <v>21</v>
      </c>
      <c r="AR939" s="3" t="s">
        <v>62</v>
      </c>
      <c r="AS939" s="3" t="s">
        <v>62</v>
      </c>
      <c r="AT939" s="3" t="s">
        <v>62</v>
      </c>
      <c r="AV939" s="6" t="str">
        <f>HYPERLINK("http://mcgill.on.worldcat.org/oclc/43985524","Catalog Record")</f>
        <v>Catalog Record</v>
      </c>
      <c r="AW939" s="6" t="str">
        <f>HYPERLINK("http://www.worldcat.org/oclc/43985524","WorldCat Record")</f>
        <v>WorldCat Record</v>
      </c>
      <c r="AX939" s="3" t="s">
        <v>9123</v>
      </c>
      <c r="AY939" s="3" t="s">
        <v>9124</v>
      </c>
      <c r="AZ939" s="3" t="s">
        <v>9125</v>
      </c>
      <c r="BA939" s="3" t="s">
        <v>9125</v>
      </c>
      <c r="BB939" s="3" t="s">
        <v>9126</v>
      </c>
      <c r="BC939" s="3" t="s">
        <v>142</v>
      </c>
      <c r="BD939" s="3" t="s">
        <v>68</v>
      </c>
      <c r="BE939" s="3" t="s">
        <v>9127</v>
      </c>
      <c r="BF939" s="3" t="s">
        <v>9126</v>
      </c>
      <c r="BG939" s="3" t="s">
        <v>9128</v>
      </c>
    </row>
    <row r="940" spans="1:59" ht="57" x14ac:dyDescent="0.45">
      <c r="A940" s="2" t="s">
        <v>59</v>
      </c>
      <c r="B940" s="2" t="s">
        <v>60</v>
      </c>
      <c r="C940" s="2" t="s">
        <v>9129</v>
      </c>
      <c r="D940" s="2" t="s">
        <v>9130</v>
      </c>
      <c r="E940" s="2" t="s">
        <v>9131</v>
      </c>
      <c r="G940" s="3" t="s">
        <v>62</v>
      </c>
      <c r="I940" s="3" t="s">
        <v>62</v>
      </c>
      <c r="J940" s="3" t="s">
        <v>62</v>
      </c>
      <c r="K940" s="3" t="s">
        <v>63</v>
      </c>
      <c r="L940" s="2" t="s">
        <v>9132</v>
      </c>
      <c r="M940" s="2" t="s">
        <v>9133</v>
      </c>
      <c r="N940" s="3" t="s">
        <v>1437</v>
      </c>
      <c r="P940" s="3" t="s">
        <v>65</v>
      </c>
      <c r="Q940" s="2" t="s">
        <v>9134</v>
      </c>
      <c r="R940" s="3" t="s">
        <v>66</v>
      </c>
      <c r="S940" s="4">
        <v>15</v>
      </c>
      <c r="T940" s="4">
        <v>15</v>
      </c>
      <c r="U940" s="5" t="s">
        <v>782</v>
      </c>
      <c r="V940" s="5" t="s">
        <v>782</v>
      </c>
      <c r="W940" s="5" t="s">
        <v>67</v>
      </c>
      <c r="X940" s="5" t="s">
        <v>67</v>
      </c>
      <c r="Y940" s="4">
        <v>164</v>
      </c>
      <c r="Z940" s="4">
        <v>14</v>
      </c>
      <c r="AA940" s="4">
        <v>14</v>
      </c>
      <c r="AB940" s="4">
        <v>1</v>
      </c>
      <c r="AC940" s="4">
        <v>1</v>
      </c>
      <c r="AD940" s="4">
        <v>57</v>
      </c>
      <c r="AE940" s="4">
        <v>57</v>
      </c>
      <c r="AF940" s="4">
        <v>0</v>
      </c>
      <c r="AG940" s="4">
        <v>0</v>
      </c>
      <c r="AH940" s="4">
        <v>52</v>
      </c>
      <c r="AI940" s="4">
        <v>52</v>
      </c>
      <c r="AJ940" s="4">
        <v>8</v>
      </c>
      <c r="AK940" s="4">
        <v>8</v>
      </c>
      <c r="AL940" s="4">
        <v>25</v>
      </c>
      <c r="AM940" s="4">
        <v>25</v>
      </c>
      <c r="AN940" s="4">
        <v>0</v>
      </c>
      <c r="AO940" s="4">
        <v>0</v>
      </c>
      <c r="AP940" s="4">
        <v>11</v>
      </c>
      <c r="AQ940" s="4">
        <v>11</v>
      </c>
      <c r="AR940" s="3" t="s">
        <v>62</v>
      </c>
      <c r="AS940" s="3" t="s">
        <v>62</v>
      </c>
      <c r="AT940" s="3" t="s">
        <v>62</v>
      </c>
      <c r="AV940" s="6" t="str">
        <f>HYPERLINK("http://mcgill.on.worldcat.org/oclc/37755204","Catalog Record")</f>
        <v>Catalog Record</v>
      </c>
      <c r="AW940" s="6" t="str">
        <f>HYPERLINK("http://www.worldcat.org/oclc/37755204","WorldCat Record")</f>
        <v>WorldCat Record</v>
      </c>
      <c r="AX940" s="3" t="s">
        <v>9135</v>
      </c>
      <c r="AY940" s="3" t="s">
        <v>9136</v>
      </c>
      <c r="AZ940" s="3" t="s">
        <v>9137</v>
      </c>
      <c r="BA940" s="3" t="s">
        <v>9137</v>
      </c>
      <c r="BB940" s="3" t="s">
        <v>9138</v>
      </c>
      <c r="BC940" s="3" t="s">
        <v>142</v>
      </c>
      <c r="BD940" s="3" t="s">
        <v>68</v>
      </c>
      <c r="BE940" s="3" t="s">
        <v>9139</v>
      </c>
      <c r="BF940" s="3" t="s">
        <v>9138</v>
      </c>
      <c r="BG940" s="3" t="s">
        <v>9140</v>
      </c>
    </row>
    <row r="941" spans="1:59" ht="57" x14ac:dyDescent="0.45">
      <c r="A941" s="2" t="s">
        <v>59</v>
      </c>
      <c r="B941" s="2" t="s">
        <v>60</v>
      </c>
      <c r="C941" s="2" t="s">
        <v>9141</v>
      </c>
      <c r="D941" s="2" t="s">
        <v>9142</v>
      </c>
      <c r="E941" s="2" t="s">
        <v>9143</v>
      </c>
      <c r="G941" s="3" t="s">
        <v>62</v>
      </c>
      <c r="I941" s="3" t="s">
        <v>62</v>
      </c>
      <c r="J941" s="3" t="s">
        <v>62</v>
      </c>
      <c r="K941" s="3" t="s">
        <v>63</v>
      </c>
      <c r="L941" s="2" t="s">
        <v>9144</v>
      </c>
      <c r="M941" s="2" t="s">
        <v>2976</v>
      </c>
      <c r="N941" s="3" t="s">
        <v>149</v>
      </c>
      <c r="P941" s="3" t="s">
        <v>65</v>
      </c>
      <c r="Q941" s="2" t="s">
        <v>2655</v>
      </c>
      <c r="R941" s="3" t="s">
        <v>66</v>
      </c>
      <c r="S941" s="4">
        <v>8</v>
      </c>
      <c r="T941" s="4">
        <v>8</v>
      </c>
      <c r="U941" s="5" t="s">
        <v>8341</v>
      </c>
      <c r="V941" s="5" t="s">
        <v>8341</v>
      </c>
      <c r="W941" s="5" t="s">
        <v>67</v>
      </c>
      <c r="X941" s="5" t="s">
        <v>67</v>
      </c>
      <c r="Y941" s="4">
        <v>175</v>
      </c>
      <c r="Z941" s="4">
        <v>21</v>
      </c>
      <c r="AA941" s="4">
        <v>25</v>
      </c>
      <c r="AB941" s="4">
        <v>1</v>
      </c>
      <c r="AC941" s="4">
        <v>5</v>
      </c>
      <c r="AD941" s="4">
        <v>45</v>
      </c>
      <c r="AE941" s="4">
        <v>47</v>
      </c>
      <c r="AF941" s="4">
        <v>0</v>
      </c>
      <c r="AG941" s="4">
        <v>2</v>
      </c>
      <c r="AH941" s="4">
        <v>38</v>
      </c>
      <c r="AI941" s="4">
        <v>39</v>
      </c>
      <c r="AJ941" s="4">
        <v>13</v>
      </c>
      <c r="AK941" s="4">
        <v>15</v>
      </c>
      <c r="AL941" s="4">
        <v>21</v>
      </c>
      <c r="AM941" s="4">
        <v>21</v>
      </c>
      <c r="AN941" s="4">
        <v>0</v>
      </c>
      <c r="AO941" s="4">
        <v>0</v>
      </c>
      <c r="AP941" s="4">
        <v>15</v>
      </c>
      <c r="AQ941" s="4">
        <v>17</v>
      </c>
      <c r="AR941" s="3" t="s">
        <v>62</v>
      </c>
      <c r="AS941" s="3" t="s">
        <v>62</v>
      </c>
      <c r="AT941" s="3" t="s">
        <v>62</v>
      </c>
      <c r="AV941" s="6" t="str">
        <f>HYPERLINK("http://mcgill.on.worldcat.org/oclc/659418621","Catalog Record")</f>
        <v>Catalog Record</v>
      </c>
      <c r="AW941" s="6" t="str">
        <f>HYPERLINK("http://www.worldcat.org/oclc/659418621","WorldCat Record")</f>
        <v>WorldCat Record</v>
      </c>
      <c r="AX941" s="3" t="s">
        <v>9145</v>
      </c>
      <c r="AY941" s="3" t="s">
        <v>9146</v>
      </c>
      <c r="AZ941" s="3" t="s">
        <v>9147</v>
      </c>
      <c r="BA941" s="3" t="s">
        <v>9147</v>
      </c>
      <c r="BB941" s="3" t="s">
        <v>9148</v>
      </c>
      <c r="BC941" s="3" t="s">
        <v>142</v>
      </c>
      <c r="BD941" s="3" t="s">
        <v>68</v>
      </c>
      <c r="BE941" s="3" t="s">
        <v>9149</v>
      </c>
      <c r="BF941" s="3" t="s">
        <v>9148</v>
      </c>
      <c r="BG941" s="3" t="s">
        <v>9150</v>
      </c>
    </row>
    <row r="942" spans="1:59" ht="57" x14ac:dyDescent="0.45">
      <c r="A942" s="2" t="s">
        <v>59</v>
      </c>
      <c r="B942" s="2" t="s">
        <v>60</v>
      </c>
      <c r="C942" s="2" t="s">
        <v>9151</v>
      </c>
      <c r="D942" s="2" t="s">
        <v>9152</v>
      </c>
      <c r="E942" s="2" t="s">
        <v>9153</v>
      </c>
      <c r="G942" s="3" t="s">
        <v>62</v>
      </c>
      <c r="I942" s="3" t="s">
        <v>62</v>
      </c>
      <c r="J942" s="3" t="s">
        <v>62</v>
      </c>
      <c r="K942" s="3" t="s">
        <v>63</v>
      </c>
      <c r="L942" s="2" t="s">
        <v>9154</v>
      </c>
      <c r="M942" s="2" t="s">
        <v>9155</v>
      </c>
      <c r="N942" s="3" t="s">
        <v>1855</v>
      </c>
      <c r="P942" s="3" t="s">
        <v>65</v>
      </c>
      <c r="Q942" s="2" t="s">
        <v>9156</v>
      </c>
      <c r="R942" s="3" t="s">
        <v>66</v>
      </c>
      <c r="S942" s="4">
        <v>11</v>
      </c>
      <c r="T942" s="4">
        <v>11</v>
      </c>
      <c r="U942" s="5" t="s">
        <v>9157</v>
      </c>
      <c r="V942" s="5" t="s">
        <v>9157</v>
      </c>
      <c r="W942" s="5" t="s">
        <v>67</v>
      </c>
      <c r="X942" s="5" t="s">
        <v>67</v>
      </c>
      <c r="Y942" s="4">
        <v>28</v>
      </c>
      <c r="Z942" s="4">
        <v>2</v>
      </c>
      <c r="AA942" s="4">
        <v>2</v>
      </c>
      <c r="AB942" s="4">
        <v>1</v>
      </c>
      <c r="AC942" s="4">
        <v>1</v>
      </c>
      <c r="AD942" s="4">
        <v>5</v>
      </c>
      <c r="AE942" s="4">
        <v>5</v>
      </c>
      <c r="AF942" s="4">
        <v>0</v>
      </c>
      <c r="AG942" s="4">
        <v>0</v>
      </c>
      <c r="AH942" s="4">
        <v>5</v>
      </c>
      <c r="AI942" s="4">
        <v>5</v>
      </c>
      <c r="AJ942" s="4">
        <v>1</v>
      </c>
      <c r="AK942" s="4">
        <v>1</v>
      </c>
      <c r="AL942" s="4">
        <v>2</v>
      </c>
      <c r="AM942" s="4">
        <v>2</v>
      </c>
      <c r="AN942" s="4">
        <v>0</v>
      </c>
      <c r="AO942" s="4">
        <v>0</v>
      </c>
      <c r="AP942" s="4">
        <v>1</v>
      </c>
      <c r="AQ942" s="4">
        <v>1</v>
      </c>
      <c r="AR942" s="3" t="s">
        <v>62</v>
      </c>
      <c r="AS942" s="3" t="s">
        <v>62</v>
      </c>
      <c r="AT942" s="3" t="s">
        <v>62</v>
      </c>
      <c r="AV942" s="6" t="str">
        <f>HYPERLINK("http://mcgill.on.worldcat.org/oclc/62697212","Catalog Record")</f>
        <v>Catalog Record</v>
      </c>
      <c r="AW942" s="6" t="str">
        <f>HYPERLINK("http://www.worldcat.org/oclc/62697212","WorldCat Record")</f>
        <v>WorldCat Record</v>
      </c>
      <c r="AX942" s="3" t="s">
        <v>9158</v>
      </c>
      <c r="AY942" s="3" t="s">
        <v>9159</v>
      </c>
      <c r="AZ942" s="3" t="s">
        <v>9160</v>
      </c>
      <c r="BA942" s="3" t="s">
        <v>9160</v>
      </c>
      <c r="BB942" s="3" t="s">
        <v>9161</v>
      </c>
      <c r="BC942" s="3" t="s">
        <v>142</v>
      </c>
      <c r="BD942" s="3" t="s">
        <v>68</v>
      </c>
      <c r="BE942" s="3" t="s">
        <v>9162</v>
      </c>
      <c r="BF942" s="3" t="s">
        <v>9161</v>
      </c>
      <c r="BG942" s="3" t="s">
        <v>9163</v>
      </c>
    </row>
    <row r="943" spans="1:59" ht="57" x14ac:dyDescent="0.45">
      <c r="A943" s="2" t="s">
        <v>59</v>
      </c>
      <c r="B943" s="2" t="s">
        <v>60</v>
      </c>
      <c r="C943" s="2" t="s">
        <v>9164</v>
      </c>
      <c r="D943" s="2" t="s">
        <v>9165</v>
      </c>
      <c r="E943" s="2" t="s">
        <v>9166</v>
      </c>
      <c r="G943" s="3" t="s">
        <v>62</v>
      </c>
      <c r="I943" s="3" t="s">
        <v>62</v>
      </c>
      <c r="J943" s="3" t="s">
        <v>61</v>
      </c>
      <c r="K943" s="3" t="s">
        <v>63</v>
      </c>
      <c r="L943" s="2" t="s">
        <v>6928</v>
      </c>
      <c r="M943" s="2" t="s">
        <v>9167</v>
      </c>
      <c r="N943" s="3" t="s">
        <v>1097</v>
      </c>
      <c r="P943" s="3" t="s">
        <v>65</v>
      </c>
      <c r="R943" s="3" t="s">
        <v>66</v>
      </c>
      <c r="S943" s="4">
        <v>27</v>
      </c>
      <c r="T943" s="4">
        <v>27</v>
      </c>
      <c r="U943" s="5" t="s">
        <v>8632</v>
      </c>
      <c r="V943" s="5" t="s">
        <v>8632</v>
      </c>
      <c r="W943" s="5" t="s">
        <v>67</v>
      </c>
      <c r="X943" s="5" t="s">
        <v>67</v>
      </c>
      <c r="Y943" s="4">
        <v>227</v>
      </c>
      <c r="Z943" s="4">
        <v>17</v>
      </c>
      <c r="AA943" s="4">
        <v>33</v>
      </c>
      <c r="AB943" s="4">
        <v>2</v>
      </c>
      <c r="AC943" s="4">
        <v>8</v>
      </c>
      <c r="AD943" s="4">
        <v>30</v>
      </c>
      <c r="AE943" s="4">
        <v>58</v>
      </c>
      <c r="AF943" s="4">
        <v>1</v>
      </c>
      <c r="AG943" s="4">
        <v>4</v>
      </c>
      <c r="AH943" s="4">
        <v>22</v>
      </c>
      <c r="AI943" s="4">
        <v>44</v>
      </c>
      <c r="AJ943" s="4">
        <v>5</v>
      </c>
      <c r="AK943" s="4">
        <v>12</v>
      </c>
      <c r="AL943" s="4">
        <v>18</v>
      </c>
      <c r="AM943" s="4">
        <v>28</v>
      </c>
      <c r="AN943" s="4">
        <v>0</v>
      </c>
      <c r="AO943" s="4">
        <v>0</v>
      </c>
      <c r="AP943" s="4">
        <v>9</v>
      </c>
      <c r="AQ943" s="4">
        <v>18</v>
      </c>
      <c r="AR943" s="3" t="s">
        <v>62</v>
      </c>
      <c r="AS943" s="3" t="s">
        <v>62</v>
      </c>
      <c r="AT943" s="3" t="s">
        <v>62</v>
      </c>
      <c r="AV943" s="6" t="str">
        <f>HYPERLINK("http://mcgill.on.worldcat.org/oclc/52381492","Catalog Record")</f>
        <v>Catalog Record</v>
      </c>
      <c r="AW943" s="6" t="str">
        <f>HYPERLINK("http://www.worldcat.org/oclc/52381492","WorldCat Record")</f>
        <v>WorldCat Record</v>
      </c>
      <c r="AX943" s="3" t="s">
        <v>9168</v>
      </c>
      <c r="AY943" s="3" t="s">
        <v>9169</v>
      </c>
      <c r="AZ943" s="3" t="s">
        <v>9170</v>
      </c>
      <c r="BA943" s="3" t="s">
        <v>9170</v>
      </c>
      <c r="BB943" s="3" t="s">
        <v>9171</v>
      </c>
      <c r="BC943" s="3" t="s">
        <v>142</v>
      </c>
      <c r="BD943" s="3" t="s">
        <v>68</v>
      </c>
      <c r="BE943" s="3" t="s">
        <v>9172</v>
      </c>
      <c r="BF943" s="3" t="s">
        <v>9171</v>
      </c>
      <c r="BG943" s="3" t="s">
        <v>9173</v>
      </c>
    </row>
    <row r="944" spans="1:59" ht="57" x14ac:dyDescent="0.45">
      <c r="A944" s="2" t="s">
        <v>59</v>
      </c>
      <c r="B944" s="2" t="s">
        <v>60</v>
      </c>
      <c r="C944" s="2" t="s">
        <v>9174</v>
      </c>
      <c r="D944" s="2" t="s">
        <v>9175</v>
      </c>
      <c r="E944" s="2" t="s">
        <v>9176</v>
      </c>
      <c r="G944" s="3" t="s">
        <v>62</v>
      </c>
      <c r="I944" s="3" t="s">
        <v>62</v>
      </c>
      <c r="J944" s="3" t="s">
        <v>61</v>
      </c>
      <c r="K944" s="3" t="s">
        <v>63</v>
      </c>
      <c r="L944" s="2" t="s">
        <v>6928</v>
      </c>
      <c r="M944" s="2" t="s">
        <v>9177</v>
      </c>
      <c r="N944" s="3" t="s">
        <v>149</v>
      </c>
      <c r="O944" s="2" t="s">
        <v>933</v>
      </c>
      <c r="P944" s="3" t="s">
        <v>65</v>
      </c>
      <c r="R944" s="3" t="s">
        <v>66</v>
      </c>
      <c r="S944" s="4">
        <v>16</v>
      </c>
      <c r="T944" s="4">
        <v>16</v>
      </c>
      <c r="U944" s="5" t="s">
        <v>4863</v>
      </c>
      <c r="V944" s="5" t="s">
        <v>4863</v>
      </c>
      <c r="W944" s="5" t="s">
        <v>67</v>
      </c>
      <c r="X944" s="5" t="s">
        <v>67</v>
      </c>
      <c r="Y944" s="4">
        <v>216</v>
      </c>
      <c r="Z944" s="4">
        <v>15</v>
      </c>
      <c r="AA944" s="4">
        <v>33</v>
      </c>
      <c r="AB944" s="4">
        <v>1</v>
      </c>
      <c r="AC944" s="4">
        <v>8</v>
      </c>
      <c r="AD944" s="4">
        <v>38</v>
      </c>
      <c r="AE944" s="4">
        <v>58</v>
      </c>
      <c r="AF944" s="4">
        <v>0</v>
      </c>
      <c r="AG944" s="4">
        <v>4</v>
      </c>
      <c r="AH944" s="4">
        <v>30</v>
      </c>
      <c r="AI944" s="4">
        <v>44</v>
      </c>
      <c r="AJ944" s="4">
        <v>7</v>
      </c>
      <c r="AK944" s="4">
        <v>12</v>
      </c>
      <c r="AL944" s="4">
        <v>17</v>
      </c>
      <c r="AM944" s="4">
        <v>28</v>
      </c>
      <c r="AN944" s="4">
        <v>0</v>
      </c>
      <c r="AO944" s="4">
        <v>0</v>
      </c>
      <c r="AP944" s="4">
        <v>11</v>
      </c>
      <c r="AQ944" s="4">
        <v>18</v>
      </c>
      <c r="AR944" s="3" t="s">
        <v>62</v>
      </c>
      <c r="AS944" s="3" t="s">
        <v>62</v>
      </c>
      <c r="AT944" s="3" t="s">
        <v>62</v>
      </c>
      <c r="AV944" s="6" t="str">
        <f>HYPERLINK("http://mcgill.on.worldcat.org/oclc/436027624","Catalog Record")</f>
        <v>Catalog Record</v>
      </c>
      <c r="AW944" s="6" t="str">
        <f>HYPERLINK("http://www.worldcat.org/oclc/436027624","WorldCat Record")</f>
        <v>WorldCat Record</v>
      </c>
      <c r="AX944" s="3" t="s">
        <v>9168</v>
      </c>
      <c r="AY944" s="3" t="s">
        <v>9178</v>
      </c>
      <c r="AZ944" s="3" t="s">
        <v>9179</v>
      </c>
      <c r="BA944" s="3" t="s">
        <v>9179</v>
      </c>
      <c r="BB944" s="3" t="s">
        <v>9180</v>
      </c>
      <c r="BC944" s="3" t="s">
        <v>142</v>
      </c>
      <c r="BD944" s="3" t="s">
        <v>68</v>
      </c>
      <c r="BE944" s="3" t="s">
        <v>9181</v>
      </c>
      <c r="BF944" s="3" t="s">
        <v>9180</v>
      </c>
      <c r="BG944" s="3" t="s">
        <v>9182</v>
      </c>
    </row>
    <row r="945" spans="1:59" ht="57" x14ac:dyDescent="0.45">
      <c r="A945" s="2" t="s">
        <v>59</v>
      </c>
      <c r="B945" s="2" t="s">
        <v>60</v>
      </c>
      <c r="C945" s="2" t="s">
        <v>9183</v>
      </c>
      <c r="D945" s="2" t="s">
        <v>9184</v>
      </c>
      <c r="E945" s="2" t="s">
        <v>9185</v>
      </c>
      <c r="F945" s="3" t="s">
        <v>2402</v>
      </c>
      <c r="G945" s="3" t="s">
        <v>62</v>
      </c>
      <c r="I945" s="3" t="s">
        <v>62</v>
      </c>
      <c r="J945" s="3" t="s">
        <v>62</v>
      </c>
      <c r="K945" s="3" t="s">
        <v>63</v>
      </c>
      <c r="L945" s="2" t="s">
        <v>9186</v>
      </c>
      <c r="M945" s="2" t="s">
        <v>9187</v>
      </c>
      <c r="N945" s="3" t="s">
        <v>894</v>
      </c>
      <c r="P945" s="3" t="s">
        <v>65</v>
      </c>
      <c r="Q945" s="2" t="s">
        <v>9188</v>
      </c>
      <c r="R945" s="3" t="s">
        <v>66</v>
      </c>
      <c r="S945" s="4">
        <v>7</v>
      </c>
      <c r="T945" s="4">
        <v>7</v>
      </c>
      <c r="U945" s="5" t="s">
        <v>9189</v>
      </c>
      <c r="V945" s="5" t="s">
        <v>9189</v>
      </c>
      <c r="W945" s="5" t="s">
        <v>67</v>
      </c>
      <c r="X945" s="5" t="s">
        <v>67</v>
      </c>
      <c r="Y945" s="4">
        <v>86</v>
      </c>
      <c r="Z945" s="4">
        <v>8</v>
      </c>
      <c r="AA945" s="4">
        <v>12</v>
      </c>
      <c r="AB945" s="4">
        <v>1</v>
      </c>
      <c r="AC945" s="4">
        <v>3</v>
      </c>
      <c r="AD945" s="4">
        <v>19</v>
      </c>
      <c r="AE945" s="4">
        <v>23</v>
      </c>
      <c r="AF945" s="4">
        <v>0</v>
      </c>
      <c r="AG945" s="4">
        <v>1</v>
      </c>
      <c r="AH945" s="4">
        <v>17</v>
      </c>
      <c r="AI945" s="4">
        <v>19</v>
      </c>
      <c r="AJ945" s="4">
        <v>6</v>
      </c>
      <c r="AK945" s="4">
        <v>7</v>
      </c>
      <c r="AL945" s="4">
        <v>7</v>
      </c>
      <c r="AM945" s="4">
        <v>8</v>
      </c>
      <c r="AN945" s="4">
        <v>0</v>
      </c>
      <c r="AO945" s="4">
        <v>0</v>
      </c>
      <c r="AP945" s="4">
        <v>7</v>
      </c>
      <c r="AQ945" s="4">
        <v>9</v>
      </c>
      <c r="AR945" s="3" t="s">
        <v>62</v>
      </c>
      <c r="AS945" s="3" t="s">
        <v>62</v>
      </c>
      <c r="AT945" s="3" t="s">
        <v>62</v>
      </c>
      <c r="AV945" s="6" t="str">
        <f>HYPERLINK("http://mcgill.on.worldcat.org/oclc/746293837","Catalog Record")</f>
        <v>Catalog Record</v>
      </c>
      <c r="AW945" s="6" t="str">
        <f>HYPERLINK("http://www.worldcat.org/oclc/746293837","WorldCat Record")</f>
        <v>WorldCat Record</v>
      </c>
      <c r="AX945" s="3" t="s">
        <v>9190</v>
      </c>
      <c r="AY945" s="3" t="s">
        <v>9191</v>
      </c>
      <c r="AZ945" s="3" t="s">
        <v>9192</v>
      </c>
      <c r="BA945" s="3" t="s">
        <v>9192</v>
      </c>
      <c r="BB945" s="3" t="s">
        <v>9193</v>
      </c>
      <c r="BC945" s="3" t="s">
        <v>142</v>
      </c>
      <c r="BD945" s="3" t="s">
        <v>68</v>
      </c>
      <c r="BE945" s="3" t="s">
        <v>9194</v>
      </c>
      <c r="BF945" s="3" t="s">
        <v>9193</v>
      </c>
      <c r="BG945" s="3" t="s">
        <v>9195</v>
      </c>
    </row>
    <row r="946" spans="1:59" ht="57" x14ac:dyDescent="0.45">
      <c r="A946" s="2" t="s">
        <v>59</v>
      </c>
      <c r="B946" s="2" t="s">
        <v>60</v>
      </c>
      <c r="C946" s="2" t="s">
        <v>9196</v>
      </c>
      <c r="D946" s="2" t="s">
        <v>9197</v>
      </c>
      <c r="E946" s="2" t="s">
        <v>9198</v>
      </c>
      <c r="G946" s="3" t="s">
        <v>62</v>
      </c>
      <c r="I946" s="3" t="s">
        <v>62</v>
      </c>
      <c r="J946" s="3" t="s">
        <v>62</v>
      </c>
      <c r="K946" s="3" t="s">
        <v>63</v>
      </c>
      <c r="L946" s="2" t="s">
        <v>9199</v>
      </c>
      <c r="M946" s="2" t="s">
        <v>9200</v>
      </c>
      <c r="N946" s="3" t="s">
        <v>529</v>
      </c>
      <c r="O946" s="2" t="s">
        <v>168</v>
      </c>
      <c r="P946" s="3" t="s">
        <v>65</v>
      </c>
      <c r="Q946" s="2" t="s">
        <v>7204</v>
      </c>
      <c r="R946" s="3" t="s">
        <v>66</v>
      </c>
      <c r="S946" s="4">
        <v>34</v>
      </c>
      <c r="T946" s="4">
        <v>34</v>
      </c>
      <c r="U946" s="5" t="s">
        <v>8632</v>
      </c>
      <c r="V946" s="5" t="s">
        <v>8632</v>
      </c>
      <c r="W946" s="5" t="s">
        <v>67</v>
      </c>
      <c r="X946" s="5" t="s">
        <v>67</v>
      </c>
      <c r="Y946" s="4">
        <v>171</v>
      </c>
      <c r="Z946" s="4">
        <v>11</v>
      </c>
      <c r="AA946" s="4">
        <v>15</v>
      </c>
      <c r="AB946" s="4">
        <v>1</v>
      </c>
      <c r="AC946" s="4">
        <v>3</v>
      </c>
      <c r="AD946" s="4">
        <v>39</v>
      </c>
      <c r="AE946" s="4">
        <v>41</v>
      </c>
      <c r="AF946" s="4">
        <v>0</v>
      </c>
      <c r="AG946" s="4">
        <v>2</v>
      </c>
      <c r="AH946" s="4">
        <v>32</v>
      </c>
      <c r="AI946" s="4">
        <v>33</v>
      </c>
      <c r="AJ946" s="4">
        <v>7</v>
      </c>
      <c r="AK946" s="4">
        <v>9</v>
      </c>
      <c r="AL946" s="4">
        <v>17</v>
      </c>
      <c r="AM946" s="4">
        <v>17</v>
      </c>
      <c r="AN946" s="4">
        <v>0</v>
      </c>
      <c r="AO946" s="4">
        <v>0</v>
      </c>
      <c r="AP946" s="4">
        <v>9</v>
      </c>
      <c r="AQ946" s="4">
        <v>10</v>
      </c>
      <c r="AR946" s="3" t="s">
        <v>62</v>
      </c>
      <c r="AS946" s="3" t="s">
        <v>62</v>
      </c>
      <c r="AT946" s="3" t="s">
        <v>62</v>
      </c>
      <c r="AV946" s="6" t="str">
        <f>HYPERLINK("http://mcgill.on.worldcat.org/oclc/11727099","Catalog Record")</f>
        <v>Catalog Record</v>
      </c>
      <c r="AW946" s="6" t="str">
        <f>HYPERLINK("http://www.worldcat.org/oclc/11727099","WorldCat Record")</f>
        <v>WorldCat Record</v>
      </c>
      <c r="AX946" s="3" t="s">
        <v>9201</v>
      </c>
      <c r="AY946" s="3" t="s">
        <v>9202</v>
      </c>
      <c r="AZ946" s="3" t="s">
        <v>9203</v>
      </c>
      <c r="BA946" s="3" t="s">
        <v>9203</v>
      </c>
      <c r="BB946" s="3" t="s">
        <v>9204</v>
      </c>
      <c r="BC946" s="3" t="s">
        <v>142</v>
      </c>
      <c r="BD946" s="3" t="s">
        <v>68</v>
      </c>
      <c r="BE946" s="3" t="s">
        <v>9205</v>
      </c>
      <c r="BF946" s="3" t="s">
        <v>9204</v>
      </c>
      <c r="BG946" s="3" t="s">
        <v>9206</v>
      </c>
    </row>
    <row r="947" spans="1:59" ht="57" x14ac:dyDescent="0.45">
      <c r="A947" s="2" t="s">
        <v>59</v>
      </c>
      <c r="B947" s="2" t="s">
        <v>60</v>
      </c>
      <c r="C947" s="2" t="s">
        <v>9207</v>
      </c>
      <c r="D947" s="2" t="s">
        <v>9208</v>
      </c>
      <c r="E947" s="2" t="s">
        <v>9209</v>
      </c>
      <c r="G947" s="3" t="s">
        <v>62</v>
      </c>
      <c r="I947" s="3" t="s">
        <v>62</v>
      </c>
      <c r="J947" s="3" t="s">
        <v>62</v>
      </c>
      <c r="K947" s="3" t="s">
        <v>63</v>
      </c>
      <c r="L947" s="2" t="s">
        <v>9210</v>
      </c>
      <c r="M947" s="2" t="s">
        <v>9211</v>
      </c>
      <c r="N947" s="3" t="s">
        <v>1059</v>
      </c>
      <c r="P947" s="3" t="s">
        <v>65</v>
      </c>
      <c r="Q947" s="2" t="s">
        <v>9212</v>
      </c>
      <c r="R947" s="3" t="s">
        <v>66</v>
      </c>
      <c r="S947" s="4">
        <v>6</v>
      </c>
      <c r="T947" s="4">
        <v>6</v>
      </c>
      <c r="U947" s="5" t="s">
        <v>9213</v>
      </c>
      <c r="V947" s="5" t="s">
        <v>9213</v>
      </c>
      <c r="W947" s="5" t="s">
        <v>67</v>
      </c>
      <c r="X947" s="5" t="s">
        <v>67</v>
      </c>
      <c r="Y947" s="4">
        <v>284</v>
      </c>
      <c r="Z947" s="4">
        <v>17</v>
      </c>
      <c r="AA947" s="4">
        <v>22</v>
      </c>
      <c r="AB947" s="4">
        <v>2</v>
      </c>
      <c r="AC947" s="4">
        <v>6</v>
      </c>
      <c r="AD947" s="4">
        <v>80</v>
      </c>
      <c r="AE947" s="4">
        <v>83</v>
      </c>
      <c r="AF947" s="4">
        <v>1</v>
      </c>
      <c r="AG947" s="4">
        <v>4</v>
      </c>
      <c r="AH947" s="4">
        <v>74</v>
      </c>
      <c r="AI947" s="4">
        <v>75</v>
      </c>
      <c r="AJ947" s="4">
        <v>14</v>
      </c>
      <c r="AK947" s="4">
        <v>17</v>
      </c>
      <c r="AL947" s="4">
        <v>39</v>
      </c>
      <c r="AM947" s="4">
        <v>39</v>
      </c>
      <c r="AN947" s="4">
        <v>0</v>
      </c>
      <c r="AO947" s="4">
        <v>0</v>
      </c>
      <c r="AP947" s="4">
        <v>14</v>
      </c>
      <c r="AQ947" s="4">
        <v>16</v>
      </c>
      <c r="AR947" s="3" t="s">
        <v>62</v>
      </c>
      <c r="AS947" s="3" t="s">
        <v>62</v>
      </c>
      <c r="AT947" s="3" t="s">
        <v>62</v>
      </c>
      <c r="AV947" s="6" t="str">
        <f>HYPERLINK("http://mcgill.on.worldcat.org/oclc/63705775","Catalog Record")</f>
        <v>Catalog Record</v>
      </c>
      <c r="AW947" s="6" t="str">
        <f>HYPERLINK("http://www.worldcat.org/oclc/63705775","WorldCat Record")</f>
        <v>WorldCat Record</v>
      </c>
      <c r="AX947" s="3" t="s">
        <v>9214</v>
      </c>
      <c r="AY947" s="3" t="s">
        <v>9215</v>
      </c>
      <c r="AZ947" s="3" t="s">
        <v>9216</v>
      </c>
      <c r="BA947" s="3" t="s">
        <v>9216</v>
      </c>
      <c r="BB947" s="3" t="s">
        <v>9217</v>
      </c>
      <c r="BC947" s="3" t="s">
        <v>142</v>
      </c>
      <c r="BD947" s="3" t="s">
        <v>68</v>
      </c>
      <c r="BE947" s="3" t="s">
        <v>9218</v>
      </c>
      <c r="BF947" s="3" t="s">
        <v>9217</v>
      </c>
      <c r="BG947" s="3" t="s">
        <v>9219</v>
      </c>
    </row>
    <row r="948" spans="1:59" ht="57" x14ac:dyDescent="0.45">
      <c r="A948" s="2" t="s">
        <v>59</v>
      </c>
      <c r="B948" s="2" t="s">
        <v>412</v>
      </c>
      <c r="C948" s="2" t="s">
        <v>9220</v>
      </c>
      <c r="D948" s="2" t="s">
        <v>9221</v>
      </c>
      <c r="E948" s="2" t="s">
        <v>9222</v>
      </c>
      <c r="G948" s="3" t="s">
        <v>62</v>
      </c>
      <c r="I948" s="3" t="s">
        <v>62</v>
      </c>
      <c r="J948" s="3" t="s">
        <v>62</v>
      </c>
      <c r="K948" s="3" t="s">
        <v>63</v>
      </c>
      <c r="L948" s="2" t="s">
        <v>9223</v>
      </c>
      <c r="M948" s="2" t="s">
        <v>9224</v>
      </c>
      <c r="N948" s="3" t="s">
        <v>1855</v>
      </c>
      <c r="P948" s="3" t="s">
        <v>65</v>
      </c>
      <c r="Q948" s="2" t="s">
        <v>9225</v>
      </c>
      <c r="R948" s="3" t="s">
        <v>66</v>
      </c>
      <c r="S948" s="4">
        <v>11</v>
      </c>
      <c r="T948" s="4">
        <v>11</v>
      </c>
      <c r="U948" s="5" t="s">
        <v>8632</v>
      </c>
      <c r="V948" s="5" t="s">
        <v>8632</v>
      </c>
      <c r="W948" s="5" t="s">
        <v>67</v>
      </c>
      <c r="X948" s="5" t="s">
        <v>67</v>
      </c>
      <c r="Y948" s="4">
        <v>136</v>
      </c>
      <c r="Z948" s="4">
        <v>7</v>
      </c>
      <c r="AA948" s="4">
        <v>12</v>
      </c>
      <c r="AB948" s="4">
        <v>1</v>
      </c>
      <c r="AC948" s="4">
        <v>3</v>
      </c>
      <c r="AD948" s="4">
        <v>37</v>
      </c>
      <c r="AE948" s="4">
        <v>62</v>
      </c>
      <c r="AF948" s="4">
        <v>0</v>
      </c>
      <c r="AG948" s="4">
        <v>2</v>
      </c>
      <c r="AH948" s="4">
        <v>34</v>
      </c>
      <c r="AI948" s="4">
        <v>57</v>
      </c>
      <c r="AJ948" s="4">
        <v>4</v>
      </c>
      <c r="AK948" s="4">
        <v>9</v>
      </c>
      <c r="AL948" s="4">
        <v>23</v>
      </c>
      <c r="AM948" s="4">
        <v>35</v>
      </c>
      <c r="AN948" s="4">
        <v>0</v>
      </c>
      <c r="AO948" s="4">
        <v>0</v>
      </c>
      <c r="AP948" s="4">
        <v>5</v>
      </c>
      <c r="AQ948" s="4">
        <v>10</v>
      </c>
      <c r="AR948" s="3" t="s">
        <v>62</v>
      </c>
      <c r="AS948" s="3" t="s">
        <v>62</v>
      </c>
      <c r="AT948" s="3" t="s">
        <v>62</v>
      </c>
      <c r="AV948" s="6" t="str">
        <f>HYPERLINK("http://mcgill.on.worldcat.org/oclc/70077072","Catalog Record")</f>
        <v>Catalog Record</v>
      </c>
      <c r="AW948" s="6" t="str">
        <f>HYPERLINK("http://www.worldcat.org/oclc/70077072","WorldCat Record")</f>
        <v>WorldCat Record</v>
      </c>
      <c r="AX948" s="3" t="s">
        <v>9226</v>
      </c>
      <c r="AY948" s="3" t="s">
        <v>9227</v>
      </c>
      <c r="AZ948" s="3" t="s">
        <v>9228</v>
      </c>
      <c r="BA948" s="3" t="s">
        <v>9228</v>
      </c>
      <c r="BB948" s="3" t="s">
        <v>9229</v>
      </c>
      <c r="BC948" s="3" t="s">
        <v>142</v>
      </c>
      <c r="BD948" s="3" t="s">
        <v>68</v>
      </c>
      <c r="BE948" s="3" t="s">
        <v>9230</v>
      </c>
      <c r="BF948" s="3" t="s">
        <v>9229</v>
      </c>
      <c r="BG948" s="3" t="s">
        <v>9231</v>
      </c>
    </row>
    <row r="949" spans="1:59" ht="57" x14ac:dyDescent="0.45">
      <c r="A949" s="2" t="s">
        <v>59</v>
      </c>
      <c r="B949" s="2" t="s">
        <v>60</v>
      </c>
      <c r="C949" s="2" t="s">
        <v>9232</v>
      </c>
      <c r="D949" s="2" t="s">
        <v>9233</v>
      </c>
      <c r="E949" s="2" t="s">
        <v>9234</v>
      </c>
      <c r="G949" s="3" t="s">
        <v>62</v>
      </c>
      <c r="I949" s="3" t="s">
        <v>62</v>
      </c>
      <c r="J949" s="3" t="s">
        <v>62</v>
      </c>
      <c r="K949" s="3" t="s">
        <v>63</v>
      </c>
      <c r="M949" s="2" t="s">
        <v>9235</v>
      </c>
      <c r="N949" s="3" t="s">
        <v>894</v>
      </c>
      <c r="P949" s="3" t="s">
        <v>65</v>
      </c>
      <c r="Q949" s="2" t="s">
        <v>9236</v>
      </c>
      <c r="R949" s="3" t="s">
        <v>66</v>
      </c>
      <c r="S949" s="4">
        <v>1</v>
      </c>
      <c r="T949" s="4">
        <v>1</v>
      </c>
      <c r="U949" s="5" t="s">
        <v>733</v>
      </c>
      <c r="V949" s="5" t="s">
        <v>733</v>
      </c>
      <c r="W949" s="5" t="s">
        <v>67</v>
      </c>
      <c r="X949" s="5" t="s">
        <v>67</v>
      </c>
      <c r="Y949" s="4">
        <v>40</v>
      </c>
      <c r="Z949" s="4">
        <v>7</v>
      </c>
      <c r="AA949" s="4">
        <v>8</v>
      </c>
      <c r="AB949" s="4">
        <v>1</v>
      </c>
      <c r="AC949" s="4">
        <v>2</v>
      </c>
      <c r="AD949" s="4">
        <v>20</v>
      </c>
      <c r="AE949" s="4">
        <v>21</v>
      </c>
      <c r="AF949" s="4">
        <v>0</v>
      </c>
      <c r="AG949" s="4">
        <v>1</v>
      </c>
      <c r="AH949" s="4">
        <v>18</v>
      </c>
      <c r="AI949" s="4">
        <v>18</v>
      </c>
      <c r="AJ949" s="4">
        <v>5</v>
      </c>
      <c r="AK949" s="4">
        <v>6</v>
      </c>
      <c r="AL949" s="4">
        <v>8</v>
      </c>
      <c r="AM949" s="4">
        <v>8</v>
      </c>
      <c r="AN949" s="4">
        <v>0</v>
      </c>
      <c r="AO949" s="4">
        <v>0</v>
      </c>
      <c r="AP949" s="4">
        <v>6</v>
      </c>
      <c r="AQ949" s="4">
        <v>7</v>
      </c>
      <c r="AR949" s="3" t="s">
        <v>62</v>
      </c>
      <c r="AS949" s="3" t="s">
        <v>62</v>
      </c>
      <c r="AT949" s="3" t="s">
        <v>62</v>
      </c>
      <c r="AV949" s="6" t="str">
        <f>HYPERLINK("http://mcgill.on.worldcat.org/oclc/746296348","Catalog Record")</f>
        <v>Catalog Record</v>
      </c>
      <c r="AW949" s="6" t="str">
        <f>HYPERLINK("http://www.worldcat.org/oclc/746296348","WorldCat Record")</f>
        <v>WorldCat Record</v>
      </c>
      <c r="AX949" s="3" t="s">
        <v>9237</v>
      </c>
      <c r="AY949" s="3" t="s">
        <v>9238</v>
      </c>
      <c r="AZ949" s="3" t="s">
        <v>9239</v>
      </c>
      <c r="BA949" s="3" t="s">
        <v>9239</v>
      </c>
      <c r="BB949" s="3" t="s">
        <v>9240</v>
      </c>
      <c r="BC949" s="3" t="s">
        <v>142</v>
      </c>
      <c r="BD949" s="3" t="s">
        <v>68</v>
      </c>
      <c r="BE949" s="3" t="s">
        <v>9241</v>
      </c>
      <c r="BF949" s="3" t="s">
        <v>9240</v>
      </c>
      <c r="BG949" s="3" t="s">
        <v>9242</v>
      </c>
    </row>
    <row r="950" spans="1:59" ht="57" x14ac:dyDescent="0.45">
      <c r="A950" s="2" t="s">
        <v>59</v>
      </c>
      <c r="B950" s="2" t="s">
        <v>60</v>
      </c>
      <c r="C950" s="2" t="s">
        <v>9243</v>
      </c>
      <c r="D950" s="2" t="s">
        <v>9244</v>
      </c>
      <c r="E950" s="2" t="s">
        <v>9245</v>
      </c>
      <c r="G950" s="3" t="s">
        <v>62</v>
      </c>
      <c r="I950" s="3" t="s">
        <v>62</v>
      </c>
      <c r="J950" s="3" t="s">
        <v>62</v>
      </c>
      <c r="K950" s="3" t="s">
        <v>63</v>
      </c>
      <c r="M950" s="2" t="s">
        <v>9246</v>
      </c>
      <c r="N950" s="3" t="s">
        <v>84</v>
      </c>
      <c r="P950" s="3" t="s">
        <v>65</v>
      </c>
      <c r="R950" s="3" t="s">
        <v>66</v>
      </c>
      <c r="S950" s="4">
        <v>6</v>
      </c>
      <c r="T950" s="4">
        <v>6</v>
      </c>
      <c r="U950" s="5" t="s">
        <v>85</v>
      </c>
      <c r="V950" s="5" t="s">
        <v>85</v>
      </c>
      <c r="W950" s="5" t="s">
        <v>67</v>
      </c>
      <c r="X950" s="5" t="s">
        <v>67</v>
      </c>
      <c r="Y950" s="4">
        <v>207</v>
      </c>
      <c r="Z950" s="4">
        <v>19</v>
      </c>
      <c r="AA950" s="4">
        <v>99</v>
      </c>
      <c r="AB950" s="4">
        <v>1</v>
      </c>
      <c r="AC950" s="4">
        <v>17</v>
      </c>
      <c r="AD950" s="4">
        <v>80</v>
      </c>
      <c r="AE950" s="4">
        <v>132</v>
      </c>
      <c r="AF950" s="4">
        <v>0</v>
      </c>
      <c r="AG950" s="4">
        <v>8</v>
      </c>
      <c r="AH950" s="4">
        <v>72</v>
      </c>
      <c r="AI950" s="4">
        <v>96</v>
      </c>
      <c r="AJ950" s="4">
        <v>14</v>
      </c>
      <c r="AK950" s="4">
        <v>24</v>
      </c>
      <c r="AL950" s="4">
        <v>40</v>
      </c>
      <c r="AM950" s="4">
        <v>49</v>
      </c>
      <c r="AN950" s="4">
        <v>0</v>
      </c>
      <c r="AO950" s="4">
        <v>0</v>
      </c>
      <c r="AP950" s="4">
        <v>16</v>
      </c>
      <c r="AQ950" s="4">
        <v>46</v>
      </c>
      <c r="AR950" s="3" t="s">
        <v>62</v>
      </c>
      <c r="AS950" s="3" t="s">
        <v>62</v>
      </c>
      <c r="AT950" s="3" t="s">
        <v>61</v>
      </c>
      <c r="AU950" s="6" t="str">
        <f>HYPERLINK("http://catalog.hathitrust.org/Record/002702602","HathiTrust Record")</f>
        <v>HathiTrust Record</v>
      </c>
      <c r="AV950" s="6" t="str">
        <f>HYPERLINK("http://mcgill.on.worldcat.org/oclc/26159314","Catalog Record")</f>
        <v>Catalog Record</v>
      </c>
      <c r="AW950" s="6" t="str">
        <f>HYPERLINK("http://www.worldcat.org/oclc/26159314","WorldCat Record")</f>
        <v>WorldCat Record</v>
      </c>
      <c r="AX950" s="3" t="s">
        <v>9247</v>
      </c>
      <c r="AY950" s="3" t="s">
        <v>9248</v>
      </c>
      <c r="AZ950" s="3" t="s">
        <v>9249</v>
      </c>
      <c r="BA950" s="3" t="s">
        <v>9249</v>
      </c>
      <c r="BB950" s="3" t="s">
        <v>9250</v>
      </c>
      <c r="BC950" s="3" t="s">
        <v>142</v>
      </c>
      <c r="BD950" s="3" t="s">
        <v>68</v>
      </c>
      <c r="BE950" s="3" t="s">
        <v>9251</v>
      </c>
      <c r="BF950" s="3" t="s">
        <v>9250</v>
      </c>
      <c r="BG950" s="3" t="s">
        <v>9252</v>
      </c>
    </row>
    <row r="951" spans="1:59" ht="57" x14ac:dyDescent="0.45">
      <c r="A951" s="2" t="s">
        <v>59</v>
      </c>
      <c r="B951" s="2" t="s">
        <v>60</v>
      </c>
      <c r="C951" s="2" t="s">
        <v>9253</v>
      </c>
      <c r="D951" s="2" t="s">
        <v>9254</v>
      </c>
      <c r="E951" s="2" t="s">
        <v>9255</v>
      </c>
      <c r="G951" s="3" t="s">
        <v>62</v>
      </c>
      <c r="I951" s="3" t="s">
        <v>62</v>
      </c>
      <c r="J951" s="3" t="s">
        <v>62</v>
      </c>
      <c r="K951" s="3" t="s">
        <v>63</v>
      </c>
      <c r="M951" s="2" t="s">
        <v>9256</v>
      </c>
      <c r="N951" s="3" t="s">
        <v>1437</v>
      </c>
      <c r="P951" s="3" t="s">
        <v>65</v>
      </c>
      <c r="Q951" s="2" t="s">
        <v>9257</v>
      </c>
      <c r="R951" s="3" t="s">
        <v>66</v>
      </c>
      <c r="S951" s="4">
        <v>19</v>
      </c>
      <c r="T951" s="4">
        <v>19</v>
      </c>
      <c r="U951" s="5" t="s">
        <v>8632</v>
      </c>
      <c r="V951" s="5" t="s">
        <v>8632</v>
      </c>
      <c r="W951" s="5" t="s">
        <v>67</v>
      </c>
      <c r="X951" s="5" t="s">
        <v>67</v>
      </c>
      <c r="Y951" s="4">
        <v>196</v>
      </c>
      <c r="Z951" s="4">
        <v>17</v>
      </c>
      <c r="AA951" s="4">
        <v>17</v>
      </c>
      <c r="AB951" s="4">
        <v>2</v>
      </c>
      <c r="AC951" s="4">
        <v>2</v>
      </c>
      <c r="AD951" s="4">
        <v>73</v>
      </c>
      <c r="AE951" s="4">
        <v>87</v>
      </c>
      <c r="AF951" s="4">
        <v>1</v>
      </c>
      <c r="AG951" s="4">
        <v>1</v>
      </c>
      <c r="AH951" s="4">
        <v>65</v>
      </c>
      <c r="AI951" s="4">
        <v>78</v>
      </c>
      <c r="AJ951" s="4">
        <v>12</v>
      </c>
      <c r="AK951" s="4">
        <v>12</v>
      </c>
      <c r="AL951" s="4">
        <v>37</v>
      </c>
      <c r="AM951" s="4">
        <v>45</v>
      </c>
      <c r="AN951" s="4">
        <v>0</v>
      </c>
      <c r="AO951" s="4">
        <v>0</v>
      </c>
      <c r="AP951" s="4">
        <v>13</v>
      </c>
      <c r="AQ951" s="4">
        <v>13</v>
      </c>
      <c r="AR951" s="3" t="s">
        <v>62</v>
      </c>
      <c r="AS951" s="3" t="s">
        <v>62</v>
      </c>
      <c r="AT951" s="3" t="s">
        <v>61</v>
      </c>
      <c r="AU951" s="6" t="str">
        <f>HYPERLINK("http://catalog.hathitrust.org/Record/003998641","HathiTrust Record")</f>
        <v>HathiTrust Record</v>
      </c>
      <c r="AV951" s="6" t="str">
        <f>HYPERLINK("http://mcgill.on.worldcat.org/oclc/40151427","Catalog Record")</f>
        <v>Catalog Record</v>
      </c>
      <c r="AW951" s="6" t="str">
        <f>HYPERLINK("http://www.worldcat.org/oclc/40151427","WorldCat Record")</f>
        <v>WorldCat Record</v>
      </c>
      <c r="AX951" s="3" t="s">
        <v>9258</v>
      </c>
      <c r="AY951" s="3" t="s">
        <v>9259</v>
      </c>
      <c r="AZ951" s="3" t="s">
        <v>9260</v>
      </c>
      <c r="BA951" s="3" t="s">
        <v>9260</v>
      </c>
      <c r="BB951" s="3" t="s">
        <v>9261</v>
      </c>
      <c r="BC951" s="3" t="s">
        <v>142</v>
      </c>
      <c r="BD951" s="3" t="s">
        <v>68</v>
      </c>
      <c r="BE951" s="3" t="s">
        <v>9262</v>
      </c>
      <c r="BF951" s="3" t="s">
        <v>9261</v>
      </c>
      <c r="BG951" s="3" t="s">
        <v>9263</v>
      </c>
    </row>
    <row r="952" spans="1:59" ht="57" x14ac:dyDescent="0.45">
      <c r="A952" s="2" t="s">
        <v>59</v>
      </c>
      <c r="B952" s="2" t="s">
        <v>60</v>
      </c>
      <c r="C952" s="2" t="s">
        <v>9264</v>
      </c>
      <c r="D952" s="2" t="s">
        <v>9265</v>
      </c>
      <c r="E952" s="2" t="s">
        <v>9266</v>
      </c>
      <c r="G952" s="3" t="s">
        <v>62</v>
      </c>
      <c r="I952" s="3" t="s">
        <v>62</v>
      </c>
      <c r="J952" s="3" t="s">
        <v>62</v>
      </c>
      <c r="K952" s="3" t="s">
        <v>63</v>
      </c>
      <c r="M952" s="2" t="s">
        <v>9267</v>
      </c>
      <c r="N952" s="3" t="s">
        <v>167</v>
      </c>
      <c r="P952" s="3" t="s">
        <v>65</v>
      </c>
      <c r="Q952" s="2" t="s">
        <v>9268</v>
      </c>
      <c r="R952" s="3" t="s">
        <v>66</v>
      </c>
      <c r="S952" s="4">
        <v>18</v>
      </c>
      <c r="T952" s="4">
        <v>18</v>
      </c>
      <c r="U952" s="5" t="s">
        <v>8632</v>
      </c>
      <c r="V952" s="5" t="s">
        <v>8632</v>
      </c>
      <c r="W952" s="5" t="s">
        <v>67</v>
      </c>
      <c r="X952" s="5" t="s">
        <v>67</v>
      </c>
      <c r="Y952" s="4">
        <v>133</v>
      </c>
      <c r="Z952" s="4">
        <v>8</v>
      </c>
      <c r="AA952" s="4">
        <v>9</v>
      </c>
      <c r="AB952" s="4">
        <v>1</v>
      </c>
      <c r="AC952" s="4">
        <v>2</v>
      </c>
      <c r="AD952" s="4">
        <v>23</v>
      </c>
      <c r="AE952" s="4">
        <v>24</v>
      </c>
      <c r="AF952" s="4">
        <v>0</v>
      </c>
      <c r="AG952" s="4">
        <v>1</v>
      </c>
      <c r="AH952" s="4">
        <v>20</v>
      </c>
      <c r="AI952" s="4">
        <v>20</v>
      </c>
      <c r="AJ952" s="4">
        <v>6</v>
      </c>
      <c r="AK952" s="4">
        <v>7</v>
      </c>
      <c r="AL952" s="4">
        <v>10</v>
      </c>
      <c r="AM952" s="4">
        <v>10</v>
      </c>
      <c r="AN952" s="4">
        <v>0</v>
      </c>
      <c r="AO952" s="4">
        <v>0</v>
      </c>
      <c r="AP952" s="4">
        <v>6</v>
      </c>
      <c r="AQ952" s="4">
        <v>7</v>
      </c>
      <c r="AR952" s="3" t="s">
        <v>62</v>
      </c>
      <c r="AS952" s="3" t="s">
        <v>62</v>
      </c>
      <c r="AT952" s="3" t="s">
        <v>62</v>
      </c>
      <c r="AV952" s="6" t="str">
        <f>HYPERLINK("http://mcgill.on.worldcat.org/oclc/42794080","Catalog Record")</f>
        <v>Catalog Record</v>
      </c>
      <c r="AW952" s="6" t="str">
        <f>HYPERLINK("http://www.worldcat.org/oclc/42794080","WorldCat Record")</f>
        <v>WorldCat Record</v>
      </c>
      <c r="AX952" s="3" t="s">
        <v>9269</v>
      </c>
      <c r="AY952" s="3" t="s">
        <v>9270</v>
      </c>
      <c r="AZ952" s="3" t="s">
        <v>9271</v>
      </c>
      <c r="BA952" s="3" t="s">
        <v>9271</v>
      </c>
      <c r="BB952" s="3" t="s">
        <v>9272</v>
      </c>
      <c r="BC952" s="3" t="s">
        <v>142</v>
      </c>
      <c r="BD952" s="3" t="s">
        <v>68</v>
      </c>
      <c r="BE952" s="3" t="s">
        <v>9273</v>
      </c>
      <c r="BF952" s="3" t="s">
        <v>9272</v>
      </c>
      <c r="BG952" s="3" t="s">
        <v>9274</v>
      </c>
    </row>
    <row r="953" spans="1:59" ht="71.25" x14ac:dyDescent="0.45">
      <c r="A953" s="2" t="s">
        <v>59</v>
      </c>
      <c r="B953" s="2" t="s">
        <v>60</v>
      </c>
      <c r="C953" s="2" t="s">
        <v>9275</v>
      </c>
      <c r="D953" s="2" t="s">
        <v>9276</v>
      </c>
      <c r="E953" s="2" t="s">
        <v>9277</v>
      </c>
      <c r="G953" s="3" t="s">
        <v>62</v>
      </c>
      <c r="I953" s="3" t="s">
        <v>62</v>
      </c>
      <c r="J953" s="3" t="s">
        <v>62</v>
      </c>
      <c r="K953" s="3" t="s">
        <v>63</v>
      </c>
      <c r="L953" s="2" t="s">
        <v>9278</v>
      </c>
      <c r="M953" s="2" t="s">
        <v>9279</v>
      </c>
      <c r="N953" s="3" t="s">
        <v>195</v>
      </c>
      <c r="P953" s="3" t="s">
        <v>65</v>
      </c>
      <c r="R953" s="3" t="s">
        <v>66</v>
      </c>
      <c r="S953" s="4">
        <v>15</v>
      </c>
      <c r="T953" s="4">
        <v>15</v>
      </c>
      <c r="U953" s="5" t="s">
        <v>9280</v>
      </c>
      <c r="V953" s="5" t="s">
        <v>9280</v>
      </c>
      <c r="W953" s="5" t="s">
        <v>67</v>
      </c>
      <c r="X953" s="5" t="s">
        <v>67</v>
      </c>
      <c r="Y953" s="4">
        <v>149</v>
      </c>
      <c r="Z953" s="4">
        <v>10</v>
      </c>
      <c r="AA953" s="4">
        <v>13</v>
      </c>
      <c r="AB953" s="4">
        <v>1</v>
      </c>
      <c r="AC953" s="4">
        <v>2</v>
      </c>
      <c r="AD953" s="4">
        <v>37</v>
      </c>
      <c r="AE953" s="4">
        <v>39</v>
      </c>
      <c r="AF953" s="4">
        <v>0</v>
      </c>
      <c r="AG953" s="4">
        <v>1</v>
      </c>
      <c r="AH953" s="4">
        <v>32</v>
      </c>
      <c r="AI953" s="4">
        <v>33</v>
      </c>
      <c r="AJ953" s="4">
        <v>7</v>
      </c>
      <c r="AK953" s="4">
        <v>9</v>
      </c>
      <c r="AL953" s="4">
        <v>18</v>
      </c>
      <c r="AM953" s="4">
        <v>18</v>
      </c>
      <c r="AN953" s="4">
        <v>0</v>
      </c>
      <c r="AO953" s="4">
        <v>0</v>
      </c>
      <c r="AP953" s="4">
        <v>7</v>
      </c>
      <c r="AQ953" s="4">
        <v>9</v>
      </c>
      <c r="AR953" s="3" t="s">
        <v>62</v>
      </c>
      <c r="AS953" s="3" t="s">
        <v>62</v>
      </c>
      <c r="AT953" s="3" t="s">
        <v>61</v>
      </c>
      <c r="AU953" s="6" t="str">
        <f>HYPERLINK("http://catalog.hathitrust.org/Record/009801082","HathiTrust Record")</f>
        <v>HathiTrust Record</v>
      </c>
      <c r="AV953" s="6" t="str">
        <f>HYPERLINK("http://mcgill.on.worldcat.org/oclc/28494029","Catalog Record")</f>
        <v>Catalog Record</v>
      </c>
      <c r="AW953" s="6" t="str">
        <f>HYPERLINK("http://www.worldcat.org/oclc/28494029","WorldCat Record")</f>
        <v>WorldCat Record</v>
      </c>
      <c r="AX953" s="3" t="s">
        <v>9281</v>
      </c>
      <c r="AY953" s="3" t="s">
        <v>9282</v>
      </c>
      <c r="AZ953" s="3" t="s">
        <v>9283</v>
      </c>
      <c r="BA953" s="3" t="s">
        <v>9283</v>
      </c>
      <c r="BB953" s="3" t="s">
        <v>9284</v>
      </c>
      <c r="BC953" s="3" t="s">
        <v>142</v>
      </c>
      <c r="BD953" s="3" t="s">
        <v>68</v>
      </c>
      <c r="BE953" s="3" t="s">
        <v>9285</v>
      </c>
      <c r="BF953" s="3" t="s">
        <v>9284</v>
      </c>
      <c r="BG953" s="3" t="s">
        <v>9286</v>
      </c>
    </row>
    <row r="954" spans="1:59" ht="57" x14ac:dyDescent="0.45">
      <c r="A954" s="2" t="s">
        <v>59</v>
      </c>
      <c r="B954" s="2" t="s">
        <v>60</v>
      </c>
      <c r="C954" s="2" t="s">
        <v>9287</v>
      </c>
      <c r="D954" s="2" t="s">
        <v>9288</v>
      </c>
      <c r="E954" s="2" t="s">
        <v>9289</v>
      </c>
      <c r="G954" s="3" t="s">
        <v>62</v>
      </c>
      <c r="I954" s="3" t="s">
        <v>62</v>
      </c>
      <c r="J954" s="3" t="s">
        <v>62</v>
      </c>
      <c r="K954" s="3" t="s">
        <v>63</v>
      </c>
      <c r="M954" s="2" t="s">
        <v>893</v>
      </c>
      <c r="N954" s="3" t="s">
        <v>894</v>
      </c>
      <c r="P954" s="3" t="s">
        <v>65</v>
      </c>
      <c r="Q954" s="2" t="s">
        <v>9290</v>
      </c>
      <c r="R954" s="3" t="s">
        <v>66</v>
      </c>
      <c r="S954" s="4">
        <v>9</v>
      </c>
      <c r="T954" s="4">
        <v>9</v>
      </c>
      <c r="U954" s="5" t="s">
        <v>1501</v>
      </c>
      <c r="V954" s="5" t="s">
        <v>1501</v>
      </c>
      <c r="W954" s="5" t="s">
        <v>67</v>
      </c>
      <c r="X954" s="5" t="s">
        <v>67</v>
      </c>
      <c r="Y954" s="4">
        <v>167</v>
      </c>
      <c r="Z954" s="4">
        <v>15</v>
      </c>
      <c r="AA954" s="4">
        <v>18</v>
      </c>
      <c r="AB954" s="4">
        <v>2</v>
      </c>
      <c r="AC954" s="4">
        <v>5</v>
      </c>
      <c r="AD954" s="4">
        <v>58</v>
      </c>
      <c r="AE954" s="4">
        <v>60</v>
      </c>
      <c r="AF954" s="4">
        <v>1</v>
      </c>
      <c r="AG954" s="4">
        <v>3</v>
      </c>
      <c r="AH954" s="4">
        <v>54</v>
      </c>
      <c r="AI954" s="4">
        <v>55</v>
      </c>
      <c r="AJ954" s="4">
        <v>9</v>
      </c>
      <c r="AK954" s="4">
        <v>11</v>
      </c>
      <c r="AL954" s="4">
        <v>30</v>
      </c>
      <c r="AM954" s="4">
        <v>30</v>
      </c>
      <c r="AN954" s="4">
        <v>0</v>
      </c>
      <c r="AO954" s="4">
        <v>0</v>
      </c>
      <c r="AP954" s="4">
        <v>10</v>
      </c>
      <c r="AQ954" s="4">
        <v>12</v>
      </c>
      <c r="AR954" s="3" t="s">
        <v>62</v>
      </c>
      <c r="AS954" s="3" t="s">
        <v>62</v>
      </c>
      <c r="AT954" s="3" t="s">
        <v>62</v>
      </c>
      <c r="AV954" s="6" t="str">
        <f>HYPERLINK("http://mcgill.on.worldcat.org/oclc/730054583","Catalog Record")</f>
        <v>Catalog Record</v>
      </c>
      <c r="AW954" s="6" t="str">
        <f>HYPERLINK("http://www.worldcat.org/oclc/730054583","WorldCat Record")</f>
        <v>WorldCat Record</v>
      </c>
      <c r="AX954" s="3" t="s">
        <v>9291</v>
      </c>
      <c r="AY954" s="3" t="s">
        <v>9292</v>
      </c>
      <c r="AZ954" s="3" t="s">
        <v>9293</v>
      </c>
      <c r="BA954" s="3" t="s">
        <v>9293</v>
      </c>
      <c r="BB954" s="3" t="s">
        <v>9294</v>
      </c>
      <c r="BC954" s="3" t="s">
        <v>142</v>
      </c>
      <c r="BD954" s="3" t="s">
        <v>68</v>
      </c>
      <c r="BE954" s="3" t="s">
        <v>9295</v>
      </c>
      <c r="BF954" s="3" t="s">
        <v>9294</v>
      </c>
      <c r="BG954" s="3" t="s">
        <v>9296</v>
      </c>
    </row>
    <row r="955" spans="1:59" ht="57" x14ac:dyDescent="0.45">
      <c r="A955" s="2" t="s">
        <v>59</v>
      </c>
      <c r="B955" s="2" t="s">
        <v>60</v>
      </c>
      <c r="C955" s="2" t="s">
        <v>9297</v>
      </c>
      <c r="D955" s="2" t="s">
        <v>9298</v>
      </c>
      <c r="E955" s="2" t="s">
        <v>9299</v>
      </c>
      <c r="G955" s="3" t="s">
        <v>62</v>
      </c>
      <c r="I955" s="3" t="s">
        <v>62</v>
      </c>
      <c r="J955" s="3" t="s">
        <v>62</v>
      </c>
      <c r="K955" s="3" t="s">
        <v>63</v>
      </c>
      <c r="L955" s="2" t="s">
        <v>9300</v>
      </c>
      <c r="M955" s="2" t="s">
        <v>4047</v>
      </c>
      <c r="N955" s="3" t="s">
        <v>945</v>
      </c>
      <c r="P955" s="3" t="s">
        <v>65</v>
      </c>
      <c r="Q955" s="2" t="s">
        <v>4293</v>
      </c>
      <c r="R955" s="3" t="s">
        <v>66</v>
      </c>
      <c r="S955" s="4">
        <v>13</v>
      </c>
      <c r="T955" s="4">
        <v>13</v>
      </c>
      <c r="U955" s="5" t="s">
        <v>9301</v>
      </c>
      <c r="V955" s="5" t="s">
        <v>9301</v>
      </c>
      <c r="W955" s="5" t="s">
        <v>67</v>
      </c>
      <c r="X955" s="5" t="s">
        <v>67</v>
      </c>
      <c r="Y955" s="4">
        <v>238</v>
      </c>
      <c r="Z955" s="4">
        <v>20</v>
      </c>
      <c r="AA955" s="4">
        <v>58</v>
      </c>
      <c r="AB955" s="4">
        <v>2</v>
      </c>
      <c r="AC955" s="4">
        <v>15</v>
      </c>
      <c r="AD955" s="4">
        <v>58</v>
      </c>
      <c r="AE955" s="4">
        <v>93</v>
      </c>
      <c r="AF955" s="4">
        <v>1</v>
      </c>
      <c r="AG955" s="4">
        <v>7</v>
      </c>
      <c r="AH955" s="4">
        <v>51</v>
      </c>
      <c r="AI955" s="4">
        <v>58</v>
      </c>
      <c r="AJ955" s="4">
        <v>13</v>
      </c>
      <c r="AK955" s="4">
        <v>22</v>
      </c>
      <c r="AL955" s="4">
        <v>25</v>
      </c>
      <c r="AM955" s="4">
        <v>27</v>
      </c>
      <c r="AN955" s="4">
        <v>0</v>
      </c>
      <c r="AO955" s="4">
        <v>0</v>
      </c>
      <c r="AP955" s="4">
        <v>17</v>
      </c>
      <c r="AQ955" s="4">
        <v>45</v>
      </c>
      <c r="AR955" s="3" t="s">
        <v>62</v>
      </c>
      <c r="AS955" s="3" t="s">
        <v>62</v>
      </c>
      <c r="AT955" s="3" t="s">
        <v>62</v>
      </c>
      <c r="AV955" s="6" t="str">
        <f>HYPERLINK("http://mcgill.on.worldcat.org/oclc/70483442","Catalog Record")</f>
        <v>Catalog Record</v>
      </c>
      <c r="AW955" s="6" t="str">
        <f>HYPERLINK("http://www.worldcat.org/oclc/70483442","WorldCat Record")</f>
        <v>WorldCat Record</v>
      </c>
      <c r="AX955" s="3" t="s">
        <v>9302</v>
      </c>
      <c r="AY955" s="3" t="s">
        <v>9303</v>
      </c>
      <c r="AZ955" s="3" t="s">
        <v>9304</v>
      </c>
      <c r="BA955" s="3" t="s">
        <v>9304</v>
      </c>
      <c r="BB955" s="3" t="s">
        <v>9305</v>
      </c>
      <c r="BC955" s="3" t="s">
        <v>142</v>
      </c>
      <c r="BD955" s="3" t="s">
        <v>68</v>
      </c>
      <c r="BE955" s="3" t="s">
        <v>9306</v>
      </c>
      <c r="BF955" s="3" t="s">
        <v>9305</v>
      </c>
      <c r="BG955" s="3" t="s">
        <v>9307</v>
      </c>
    </row>
    <row r="956" spans="1:59" ht="71.25" x14ac:dyDescent="0.45">
      <c r="A956" s="2" t="s">
        <v>59</v>
      </c>
      <c r="B956" s="2" t="s">
        <v>60</v>
      </c>
      <c r="C956" s="2" t="s">
        <v>9308</v>
      </c>
      <c r="D956" s="2" t="s">
        <v>9309</v>
      </c>
      <c r="E956" s="2" t="s">
        <v>9310</v>
      </c>
      <c r="G956" s="3" t="s">
        <v>62</v>
      </c>
      <c r="I956" s="3" t="s">
        <v>62</v>
      </c>
      <c r="J956" s="3" t="s">
        <v>62</v>
      </c>
      <c r="K956" s="3" t="s">
        <v>63</v>
      </c>
      <c r="L956" s="2" t="s">
        <v>9311</v>
      </c>
      <c r="M956" s="2" t="s">
        <v>1713</v>
      </c>
      <c r="N956" s="3" t="s">
        <v>1155</v>
      </c>
      <c r="P956" s="3" t="s">
        <v>65</v>
      </c>
      <c r="Q956" s="2" t="s">
        <v>9312</v>
      </c>
      <c r="R956" s="3" t="s">
        <v>66</v>
      </c>
      <c r="S956" s="4">
        <v>0</v>
      </c>
      <c r="T956" s="4">
        <v>0</v>
      </c>
      <c r="W956" s="5" t="s">
        <v>67</v>
      </c>
      <c r="X956" s="5" t="s">
        <v>67</v>
      </c>
      <c r="Y956" s="4">
        <v>100</v>
      </c>
      <c r="Z956" s="4">
        <v>12</v>
      </c>
      <c r="AA956" s="4">
        <v>12</v>
      </c>
      <c r="AB956" s="4">
        <v>1</v>
      </c>
      <c r="AC956" s="4">
        <v>1</v>
      </c>
      <c r="AD956" s="4">
        <v>45</v>
      </c>
      <c r="AE956" s="4">
        <v>45</v>
      </c>
      <c r="AF956" s="4">
        <v>0</v>
      </c>
      <c r="AG956" s="4">
        <v>0</v>
      </c>
      <c r="AH956" s="4">
        <v>42</v>
      </c>
      <c r="AI956" s="4">
        <v>42</v>
      </c>
      <c r="AJ956" s="4">
        <v>9</v>
      </c>
      <c r="AK956" s="4">
        <v>9</v>
      </c>
      <c r="AL956" s="4">
        <v>28</v>
      </c>
      <c r="AM956" s="4">
        <v>28</v>
      </c>
      <c r="AN956" s="4">
        <v>0</v>
      </c>
      <c r="AO956" s="4">
        <v>0</v>
      </c>
      <c r="AP956" s="4">
        <v>9</v>
      </c>
      <c r="AQ956" s="4">
        <v>9</v>
      </c>
      <c r="AR956" s="3" t="s">
        <v>62</v>
      </c>
      <c r="AS956" s="3" t="s">
        <v>62</v>
      </c>
      <c r="AT956" s="3" t="s">
        <v>62</v>
      </c>
      <c r="AV956" s="6" t="str">
        <f>HYPERLINK("http://mcgill.on.worldcat.org/oclc/711989048","Catalog Record")</f>
        <v>Catalog Record</v>
      </c>
      <c r="AW956" s="6" t="str">
        <f>HYPERLINK("http://www.worldcat.org/oclc/711989048","WorldCat Record")</f>
        <v>WorldCat Record</v>
      </c>
      <c r="AX956" s="3" t="s">
        <v>9313</v>
      </c>
      <c r="AY956" s="3" t="s">
        <v>9314</v>
      </c>
      <c r="AZ956" s="3" t="s">
        <v>9315</v>
      </c>
      <c r="BA956" s="3" t="s">
        <v>9315</v>
      </c>
      <c r="BB956" s="3" t="s">
        <v>9316</v>
      </c>
      <c r="BC956" s="3" t="s">
        <v>142</v>
      </c>
      <c r="BD956" s="3" t="s">
        <v>68</v>
      </c>
      <c r="BE956" s="3" t="s">
        <v>9317</v>
      </c>
      <c r="BF956" s="3" t="s">
        <v>9316</v>
      </c>
      <c r="BG956" s="3" t="s">
        <v>9318</v>
      </c>
    </row>
    <row r="957" spans="1:59" ht="57" x14ac:dyDescent="0.45">
      <c r="A957" s="2" t="s">
        <v>59</v>
      </c>
      <c r="B957" s="2" t="s">
        <v>412</v>
      </c>
      <c r="C957" s="2" t="s">
        <v>9319</v>
      </c>
      <c r="D957" s="2" t="s">
        <v>9320</v>
      </c>
      <c r="E957" s="2" t="s">
        <v>9321</v>
      </c>
      <c r="G957" s="3" t="s">
        <v>62</v>
      </c>
      <c r="I957" s="3" t="s">
        <v>62</v>
      </c>
      <c r="J957" s="3" t="s">
        <v>61</v>
      </c>
      <c r="K957" s="3" t="s">
        <v>63</v>
      </c>
      <c r="L957" s="2" t="s">
        <v>9322</v>
      </c>
      <c r="M957" s="2" t="s">
        <v>5224</v>
      </c>
      <c r="N957" s="3" t="s">
        <v>1239</v>
      </c>
      <c r="P957" s="3" t="s">
        <v>65</v>
      </c>
      <c r="Q957" s="2" t="s">
        <v>7024</v>
      </c>
      <c r="R957" s="3" t="s">
        <v>66</v>
      </c>
      <c r="S957" s="4">
        <v>59</v>
      </c>
      <c r="T957" s="4">
        <v>59</v>
      </c>
      <c r="U957" s="5" t="s">
        <v>8632</v>
      </c>
      <c r="V957" s="5" t="s">
        <v>8632</v>
      </c>
      <c r="W957" s="5" t="s">
        <v>67</v>
      </c>
      <c r="X957" s="5" t="s">
        <v>67</v>
      </c>
      <c r="Y957" s="4">
        <v>545</v>
      </c>
      <c r="Z957" s="4">
        <v>24</v>
      </c>
      <c r="AA957" s="4">
        <v>47</v>
      </c>
      <c r="AB957" s="4">
        <v>2</v>
      </c>
      <c r="AC957" s="4">
        <v>10</v>
      </c>
      <c r="AD957" s="4">
        <v>97</v>
      </c>
      <c r="AE957" s="4">
        <v>121</v>
      </c>
      <c r="AF957" s="4">
        <v>1</v>
      </c>
      <c r="AG957" s="4">
        <v>6</v>
      </c>
      <c r="AH957" s="4">
        <v>85</v>
      </c>
      <c r="AI957" s="4">
        <v>96</v>
      </c>
      <c r="AJ957" s="4">
        <v>15</v>
      </c>
      <c r="AK957" s="4">
        <v>23</v>
      </c>
      <c r="AL957" s="4">
        <v>45</v>
      </c>
      <c r="AM957" s="4">
        <v>49</v>
      </c>
      <c r="AN957" s="4">
        <v>0</v>
      </c>
      <c r="AO957" s="4">
        <v>0</v>
      </c>
      <c r="AP957" s="4">
        <v>21</v>
      </c>
      <c r="AQ957" s="4">
        <v>34</v>
      </c>
      <c r="AR957" s="3" t="s">
        <v>62</v>
      </c>
      <c r="AS957" s="3" t="s">
        <v>62</v>
      </c>
      <c r="AT957" s="3" t="s">
        <v>62</v>
      </c>
      <c r="AV957" s="6" t="str">
        <f>HYPERLINK("http://mcgill.on.worldcat.org/oclc/18869767","Catalog Record")</f>
        <v>Catalog Record</v>
      </c>
      <c r="AW957" s="6" t="str">
        <f>HYPERLINK("http://www.worldcat.org/oclc/18869767","WorldCat Record")</f>
        <v>WorldCat Record</v>
      </c>
      <c r="AX957" s="3" t="s">
        <v>9323</v>
      </c>
      <c r="AY957" s="3" t="s">
        <v>9324</v>
      </c>
      <c r="AZ957" s="3" t="s">
        <v>9325</v>
      </c>
      <c r="BA957" s="3" t="s">
        <v>9325</v>
      </c>
      <c r="BB957" s="3" t="s">
        <v>9326</v>
      </c>
      <c r="BC957" s="3" t="s">
        <v>142</v>
      </c>
      <c r="BD957" s="3" t="s">
        <v>68</v>
      </c>
      <c r="BE957" s="3" t="s">
        <v>9327</v>
      </c>
      <c r="BF957" s="3" t="s">
        <v>9326</v>
      </c>
      <c r="BG957" s="3" t="s">
        <v>9328</v>
      </c>
    </row>
    <row r="958" spans="1:59" ht="57" x14ac:dyDescent="0.45">
      <c r="A958" s="2" t="s">
        <v>59</v>
      </c>
      <c r="B958" s="2" t="s">
        <v>60</v>
      </c>
      <c r="C958" s="2" t="s">
        <v>9329</v>
      </c>
      <c r="D958" s="2" t="s">
        <v>9330</v>
      </c>
      <c r="E958" s="2" t="s">
        <v>9331</v>
      </c>
      <c r="G958" s="3" t="s">
        <v>62</v>
      </c>
      <c r="I958" s="3" t="s">
        <v>62</v>
      </c>
      <c r="J958" s="3" t="s">
        <v>62</v>
      </c>
      <c r="K958" s="3" t="s">
        <v>63</v>
      </c>
      <c r="M958" s="2" t="s">
        <v>3135</v>
      </c>
      <c r="N958" s="3" t="s">
        <v>945</v>
      </c>
      <c r="P958" s="3" t="s">
        <v>65</v>
      </c>
      <c r="Q958" s="2" t="s">
        <v>9332</v>
      </c>
      <c r="R958" s="3" t="s">
        <v>66</v>
      </c>
      <c r="S958" s="4">
        <v>23</v>
      </c>
      <c r="T958" s="4">
        <v>23</v>
      </c>
      <c r="U958" s="5" t="s">
        <v>8318</v>
      </c>
      <c r="V958" s="5" t="s">
        <v>8318</v>
      </c>
      <c r="W958" s="5" t="s">
        <v>67</v>
      </c>
      <c r="X958" s="5" t="s">
        <v>67</v>
      </c>
      <c r="Y958" s="4">
        <v>149</v>
      </c>
      <c r="Z958" s="4">
        <v>8</v>
      </c>
      <c r="AA958" s="4">
        <v>9</v>
      </c>
      <c r="AB958" s="4">
        <v>2</v>
      </c>
      <c r="AC958" s="4">
        <v>3</v>
      </c>
      <c r="AD958" s="4">
        <v>46</v>
      </c>
      <c r="AE958" s="4">
        <v>47</v>
      </c>
      <c r="AF958" s="4">
        <v>1</v>
      </c>
      <c r="AG958" s="4">
        <v>2</v>
      </c>
      <c r="AH958" s="4">
        <v>39</v>
      </c>
      <c r="AI958" s="4">
        <v>40</v>
      </c>
      <c r="AJ958" s="4">
        <v>7</v>
      </c>
      <c r="AK958" s="4">
        <v>8</v>
      </c>
      <c r="AL958" s="4">
        <v>27</v>
      </c>
      <c r="AM958" s="4">
        <v>27</v>
      </c>
      <c r="AN958" s="4">
        <v>0</v>
      </c>
      <c r="AO958" s="4">
        <v>0</v>
      </c>
      <c r="AP958" s="4">
        <v>7</v>
      </c>
      <c r="AQ958" s="4">
        <v>8</v>
      </c>
      <c r="AR958" s="3" t="s">
        <v>62</v>
      </c>
      <c r="AS958" s="3" t="s">
        <v>62</v>
      </c>
      <c r="AT958" s="3" t="s">
        <v>62</v>
      </c>
      <c r="AV958" s="6" t="str">
        <f>HYPERLINK("http://mcgill.on.worldcat.org/oclc/80019877","Catalog Record")</f>
        <v>Catalog Record</v>
      </c>
      <c r="AW958" s="6" t="str">
        <f>HYPERLINK("http://www.worldcat.org/oclc/80019877","WorldCat Record")</f>
        <v>WorldCat Record</v>
      </c>
      <c r="AX958" s="3" t="s">
        <v>9333</v>
      </c>
      <c r="AY958" s="3" t="s">
        <v>9334</v>
      </c>
      <c r="AZ958" s="3" t="s">
        <v>9335</v>
      </c>
      <c r="BA958" s="3" t="s">
        <v>9335</v>
      </c>
      <c r="BB958" s="3" t="s">
        <v>9336</v>
      </c>
      <c r="BC958" s="3" t="s">
        <v>142</v>
      </c>
      <c r="BD958" s="3" t="s">
        <v>68</v>
      </c>
      <c r="BE958" s="3" t="s">
        <v>9337</v>
      </c>
      <c r="BF958" s="3" t="s">
        <v>9336</v>
      </c>
      <c r="BG958" s="3" t="s">
        <v>9338</v>
      </c>
    </row>
    <row r="959" spans="1:59" ht="57" x14ac:dyDescent="0.45">
      <c r="A959" s="2" t="s">
        <v>59</v>
      </c>
      <c r="B959" s="2" t="s">
        <v>60</v>
      </c>
      <c r="C959" s="2" t="s">
        <v>9339</v>
      </c>
      <c r="D959" s="2" t="s">
        <v>9340</v>
      </c>
      <c r="E959" s="2" t="s">
        <v>9341</v>
      </c>
      <c r="G959" s="3" t="s">
        <v>62</v>
      </c>
      <c r="I959" s="3" t="s">
        <v>62</v>
      </c>
      <c r="J959" s="3" t="s">
        <v>62</v>
      </c>
      <c r="K959" s="3" t="s">
        <v>63</v>
      </c>
      <c r="M959" s="2" t="s">
        <v>7023</v>
      </c>
      <c r="N959" s="3" t="s">
        <v>1155</v>
      </c>
      <c r="P959" s="3" t="s">
        <v>65</v>
      </c>
      <c r="Q959" s="2" t="s">
        <v>9342</v>
      </c>
      <c r="R959" s="3" t="s">
        <v>66</v>
      </c>
      <c r="S959" s="4">
        <v>9</v>
      </c>
      <c r="T959" s="4">
        <v>9</v>
      </c>
      <c r="U959" s="5" t="s">
        <v>9343</v>
      </c>
      <c r="V959" s="5" t="s">
        <v>9343</v>
      </c>
      <c r="W959" s="5" t="s">
        <v>67</v>
      </c>
      <c r="X959" s="5" t="s">
        <v>67</v>
      </c>
      <c r="Y959" s="4">
        <v>53</v>
      </c>
      <c r="Z959" s="4">
        <v>4</v>
      </c>
      <c r="AA959" s="4">
        <v>6</v>
      </c>
      <c r="AB959" s="4">
        <v>1</v>
      </c>
      <c r="AC959" s="4">
        <v>2</v>
      </c>
      <c r="AD959" s="4">
        <v>14</v>
      </c>
      <c r="AE959" s="4">
        <v>16</v>
      </c>
      <c r="AF959" s="4">
        <v>0</v>
      </c>
      <c r="AG959" s="4">
        <v>1</v>
      </c>
      <c r="AH959" s="4">
        <v>13</v>
      </c>
      <c r="AI959" s="4">
        <v>14</v>
      </c>
      <c r="AJ959" s="4">
        <v>3</v>
      </c>
      <c r="AK959" s="4">
        <v>5</v>
      </c>
      <c r="AL959" s="4">
        <v>8</v>
      </c>
      <c r="AM959" s="4">
        <v>8</v>
      </c>
      <c r="AN959" s="4">
        <v>0</v>
      </c>
      <c r="AO959" s="4">
        <v>0</v>
      </c>
      <c r="AP959" s="4">
        <v>3</v>
      </c>
      <c r="AQ959" s="4">
        <v>5</v>
      </c>
      <c r="AR959" s="3" t="s">
        <v>62</v>
      </c>
      <c r="AS959" s="3" t="s">
        <v>62</v>
      </c>
      <c r="AT959" s="3" t="s">
        <v>62</v>
      </c>
      <c r="AV959" s="6" t="str">
        <f>HYPERLINK("http://mcgill.on.worldcat.org/oclc/758397357","Catalog Record")</f>
        <v>Catalog Record</v>
      </c>
      <c r="AW959" s="6" t="str">
        <f>HYPERLINK("http://www.worldcat.org/oclc/758397357","WorldCat Record")</f>
        <v>WorldCat Record</v>
      </c>
      <c r="AX959" s="3" t="s">
        <v>9344</v>
      </c>
      <c r="AY959" s="3" t="s">
        <v>9345</v>
      </c>
      <c r="AZ959" s="3" t="s">
        <v>9346</v>
      </c>
      <c r="BA959" s="3" t="s">
        <v>9346</v>
      </c>
      <c r="BB959" s="3" t="s">
        <v>9347</v>
      </c>
      <c r="BC959" s="3" t="s">
        <v>142</v>
      </c>
      <c r="BD959" s="3" t="s">
        <v>68</v>
      </c>
      <c r="BE959" s="3" t="s">
        <v>9348</v>
      </c>
      <c r="BF959" s="3" t="s">
        <v>9347</v>
      </c>
      <c r="BG959" s="3" t="s">
        <v>9349</v>
      </c>
    </row>
    <row r="960" spans="1:59" ht="71.25" x14ac:dyDescent="0.45">
      <c r="A960" s="2" t="s">
        <v>59</v>
      </c>
      <c r="B960" s="2" t="s">
        <v>60</v>
      </c>
      <c r="C960" s="2" t="s">
        <v>9351</v>
      </c>
      <c r="D960" s="2" t="s">
        <v>9352</v>
      </c>
      <c r="E960" s="2" t="s">
        <v>9353</v>
      </c>
      <c r="G960" s="3" t="s">
        <v>62</v>
      </c>
      <c r="I960" s="3" t="s">
        <v>62</v>
      </c>
      <c r="J960" s="3" t="s">
        <v>62</v>
      </c>
      <c r="K960" s="3" t="s">
        <v>63</v>
      </c>
      <c r="L960" s="2" t="s">
        <v>9354</v>
      </c>
      <c r="M960" s="2" t="s">
        <v>3578</v>
      </c>
      <c r="N960" s="3" t="s">
        <v>1478</v>
      </c>
      <c r="P960" s="3" t="s">
        <v>65</v>
      </c>
      <c r="Q960" s="2" t="s">
        <v>9355</v>
      </c>
      <c r="R960" s="3" t="s">
        <v>66</v>
      </c>
      <c r="S960" s="4">
        <v>8</v>
      </c>
      <c r="T960" s="4">
        <v>8</v>
      </c>
      <c r="U960" s="5" t="s">
        <v>9356</v>
      </c>
      <c r="V960" s="5" t="s">
        <v>9356</v>
      </c>
      <c r="W960" s="5" t="s">
        <v>67</v>
      </c>
      <c r="X960" s="5" t="s">
        <v>67</v>
      </c>
      <c r="Y960" s="4">
        <v>145</v>
      </c>
      <c r="Z960" s="4">
        <v>11</v>
      </c>
      <c r="AA960" s="4">
        <v>11</v>
      </c>
      <c r="AB960" s="4">
        <v>2</v>
      </c>
      <c r="AC960" s="4">
        <v>2</v>
      </c>
      <c r="AD960" s="4">
        <v>37</v>
      </c>
      <c r="AE960" s="4">
        <v>37</v>
      </c>
      <c r="AF960" s="4">
        <v>1</v>
      </c>
      <c r="AG960" s="4">
        <v>1</v>
      </c>
      <c r="AH960" s="4">
        <v>31</v>
      </c>
      <c r="AI960" s="4">
        <v>31</v>
      </c>
      <c r="AJ960" s="4">
        <v>7</v>
      </c>
      <c r="AK960" s="4">
        <v>7</v>
      </c>
      <c r="AL960" s="4">
        <v>18</v>
      </c>
      <c r="AM960" s="4">
        <v>18</v>
      </c>
      <c r="AN960" s="4">
        <v>0</v>
      </c>
      <c r="AO960" s="4">
        <v>0</v>
      </c>
      <c r="AP960" s="4">
        <v>8</v>
      </c>
      <c r="AQ960" s="4">
        <v>8</v>
      </c>
      <c r="AR960" s="3" t="s">
        <v>62</v>
      </c>
      <c r="AS960" s="3" t="s">
        <v>62</v>
      </c>
      <c r="AT960" s="3" t="s">
        <v>62</v>
      </c>
      <c r="AV960" s="6" t="str">
        <f>HYPERLINK("http://mcgill.on.worldcat.org/oclc/35206277","Catalog Record")</f>
        <v>Catalog Record</v>
      </c>
      <c r="AW960" s="6" t="str">
        <f>HYPERLINK("http://www.worldcat.org/oclc/35206277","WorldCat Record")</f>
        <v>WorldCat Record</v>
      </c>
      <c r="AX960" s="3" t="s">
        <v>9357</v>
      </c>
      <c r="AY960" s="3" t="s">
        <v>9358</v>
      </c>
      <c r="AZ960" s="3" t="s">
        <v>9359</v>
      </c>
      <c r="BA960" s="3" t="s">
        <v>9359</v>
      </c>
      <c r="BB960" s="3" t="s">
        <v>9360</v>
      </c>
      <c r="BC960" s="3" t="s">
        <v>142</v>
      </c>
      <c r="BD960" s="3" t="s">
        <v>68</v>
      </c>
      <c r="BE960" s="3" t="s">
        <v>9361</v>
      </c>
      <c r="BF960" s="3" t="s">
        <v>9360</v>
      </c>
      <c r="BG960" s="3" t="s">
        <v>9362</v>
      </c>
    </row>
    <row r="961" spans="1:59" ht="57" x14ac:dyDescent="0.45">
      <c r="A961" s="2" t="s">
        <v>59</v>
      </c>
      <c r="B961" s="2" t="s">
        <v>60</v>
      </c>
      <c r="C961" s="2" t="s">
        <v>9363</v>
      </c>
      <c r="D961" s="2" t="s">
        <v>9364</v>
      </c>
      <c r="E961" s="2" t="s">
        <v>9365</v>
      </c>
      <c r="G961" s="3" t="s">
        <v>62</v>
      </c>
      <c r="I961" s="3" t="s">
        <v>62</v>
      </c>
      <c r="J961" s="3" t="s">
        <v>62</v>
      </c>
      <c r="K961" s="3" t="s">
        <v>63</v>
      </c>
      <c r="L961" s="2" t="s">
        <v>9366</v>
      </c>
      <c r="M961" s="2" t="s">
        <v>9367</v>
      </c>
      <c r="N961" s="3" t="s">
        <v>958</v>
      </c>
      <c r="P961" s="3" t="s">
        <v>110</v>
      </c>
      <c r="Q961" s="2" t="s">
        <v>9368</v>
      </c>
      <c r="R961" s="3" t="s">
        <v>66</v>
      </c>
      <c r="S961" s="4">
        <v>26</v>
      </c>
      <c r="T961" s="4">
        <v>26</v>
      </c>
      <c r="U961" s="5" t="s">
        <v>9157</v>
      </c>
      <c r="V961" s="5" t="s">
        <v>9157</v>
      </c>
      <c r="W961" s="5" t="s">
        <v>67</v>
      </c>
      <c r="X961" s="5" t="s">
        <v>67</v>
      </c>
      <c r="Y961" s="4">
        <v>7</v>
      </c>
      <c r="Z961" s="4">
        <v>5</v>
      </c>
      <c r="AA961" s="4">
        <v>28</v>
      </c>
      <c r="AB961" s="4">
        <v>1</v>
      </c>
      <c r="AC961" s="4">
        <v>6</v>
      </c>
      <c r="AD961" s="4">
        <v>4</v>
      </c>
      <c r="AE961" s="4">
        <v>19</v>
      </c>
      <c r="AF961" s="4">
        <v>0</v>
      </c>
      <c r="AG961" s="4">
        <v>3</v>
      </c>
      <c r="AH961" s="4">
        <v>2</v>
      </c>
      <c r="AI961" s="4">
        <v>7</v>
      </c>
      <c r="AJ961" s="4">
        <v>3</v>
      </c>
      <c r="AK961" s="4">
        <v>13</v>
      </c>
      <c r="AL961" s="4">
        <v>0</v>
      </c>
      <c r="AM961" s="4">
        <v>1</v>
      </c>
      <c r="AN961" s="4">
        <v>0</v>
      </c>
      <c r="AO961" s="4">
        <v>0</v>
      </c>
      <c r="AP961" s="4">
        <v>4</v>
      </c>
      <c r="AQ961" s="4">
        <v>17</v>
      </c>
      <c r="AR961" s="3" t="s">
        <v>61</v>
      </c>
      <c r="AS961" s="3" t="s">
        <v>62</v>
      </c>
      <c r="AT961" s="3" t="s">
        <v>62</v>
      </c>
      <c r="AV961" s="6" t="str">
        <f>HYPERLINK("http://mcgill.on.worldcat.org/oclc/428083266","Catalog Record")</f>
        <v>Catalog Record</v>
      </c>
      <c r="AW961" s="6" t="str">
        <f>HYPERLINK("http://www.worldcat.org/oclc/428083266","WorldCat Record")</f>
        <v>WorldCat Record</v>
      </c>
      <c r="AX961" s="3" t="s">
        <v>9369</v>
      </c>
      <c r="AY961" s="3" t="s">
        <v>9370</v>
      </c>
      <c r="AZ961" s="3" t="s">
        <v>9371</v>
      </c>
      <c r="BA961" s="3" t="s">
        <v>9371</v>
      </c>
      <c r="BB961" s="3" t="s">
        <v>9372</v>
      </c>
      <c r="BC961" s="3" t="s">
        <v>142</v>
      </c>
      <c r="BD961" s="3" t="s">
        <v>68</v>
      </c>
      <c r="BE961" s="3" t="s">
        <v>9373</v>
      </c>
      <c r="BF961" s="3" t="s">
        <v>9372</v>
      </c>
      <c r="BG961" s="3" t="s">
        <v>9374</v>
      </c>
    </row>
    <row r="962" spans="1:59" ht="57" x14ac:dyDescent="0.45">
      <c r="A962" s="2" t="s">
        <v>59</v>
      </c>
      <c r="B962" s="2" t="s">
        <v>412</v>
      </c>
      <c r="C962" s="2" t="s">
        <v>9375</v>
      </c>
      <c r="D962" s="2" t="s">
        <v>9376</v>
      </c>
      <c r="E962" s="2" t="s">
        <v>9377</v>
      </c>
      <c r="G962" s="3" t="s">
        <v>62</v>
      </c>
      <c r="I962" s="3" t="s">
        <v>62</v>
      </c>
      <c r="J962" s="3" t="s">
        <v>61</v>
      </c>
      <c r="K962" s="3" t="s">
        <v>63</v>
      </c>
      <c r="L962" s="2" t="s">
        <v>9378</v>
      </c>
      <c r="M962" s="2" t="s">
        <v>9379</v>
      </c>
      <c r="N962" s="3" t="s">
        <v>1212</v>
      </c>
      <c r="P962" s="3" t="s">
        <v>65</v>
      </c>
      <c r="Q962" s="2" t="s">
        <v>2549</v>
      </c>
      <c r="R962" s="3" t="s">
        <v>66</v>
      </c>
      <c r="S962" s="4">
        <v>33</v>
      </c>
      <c r="T962" s="4">
        <v>33</v>
      </c>
      <c r="U962" s="5" t="s">
        <v>9380</v>
      </c>
      <c r="V962" s="5" t="s">
        <v>9380</v>
      </c>
      <c r="W962" s="5" t="s">
        <v>67</v>
      </c>
      <c r="X962" s="5" t="s">
        <v>67</v>
      </c>
      <c r="Y962" s="4">
        <v>308</v>
      </c>
      <c r="Z962" s="4">
        <v>27</v>
      </c>
      <c r="AA962" s="4">
        <v>39</v>
      </c>
      <c r="AB962" s="4">
        <v>3</v>
      </c>
      <c r="AC962" s="4">
        <v>6</v>
      </c>
      <c r="AD962" s="4">
        <v>54</v>
      </c>
      <c r="AE962" s="4">
        <v>100</v>
      </c>
      <c r="AF962" s="4">
        <v>2</v>
      </c>
      <c r="AG962" s="4">
        <v>5</v>
      </c>
      <c r="AH962" s="4">
        <v>42</v>
      </c>
      <c r="AI962" s="4">
        <v>83</v>
      </c>
      <c r="AJ962" s="4">
        <v>13</v>
      </c>
      <c r="AK962" s="4">
        <v>22</v>
      </c>
      <c r="AL962" s="4">
        <v>27</v>
      </c>
      <c r="AM962" s="4">
        <v>46</v>
      </c>
      <c r="AN962" s="4">
        <v>0</v>
      </c>
      <c r="AO962" s="4">
        <v>0</v>
      </c>
      <c r="AP962" s="4">
        <v>18</v>
      </c>
      <c r="AQ962" s="4">
        <v>29</v>
      </c>
      <c r="AR962" s="3" t="s">
        <v>62</v>
      </c>
      <c r="AS962" s="3" t="s">
        <v>62</v>
      </c>
      <c r="AT962" s="3" t="s">
        <v>61</v>
      </c>
      <c r="AU962" s="6" t="str">
        <f>HYPERLINK("http://catalog.hathitrust.org/Record/004092879","HathiTrust Record")</f>
        <v>HathiTrust Record</v>
      </c>
      <c r="AV962" s="6" t="str">
        <f>HYPERLINK("http://mcgill.on.worldcat.org/oclc/43763288","Catalog Record")</f>
        <v>Catalog Record</v>
      </c>
      <c r="AW962" s="6" t="str">
        <f>HYPERLINK("http://www.worldcat.org/oclc/43763288","WorldCat Record")</f>
        <v>WorldCat Record</v>
      </c>
      <c r="AX962" s="3" t="s">
        <v>9381</v>
      </c>
      <c r="AY962" s="3" t="s">
        <v>9382</v>
      </c>
      <c r="AZ962" s="3" t="s">
        <v>9383</v>
      </c>
      <c r="BA962" s="3" t="s">
        <v>9383</v>
      </c>
      <c r="BB962" s="3" t="s">
        <v>9384</v>
      </c>
      <c r="BC962" s="3" t="s">
        <v>142</v>
      </c>
      <c r="BD962" s="3" t="s">
        <v>308</v>
      </c>
      <c r="BE962" s="3" t="s">
        <v>9385</v>
      </c>
      <c r="BF962" s="3" t="s">
        <v>9384</v>
      </c>
      <c r="BG962" s="3" t="s">
        <v>9386</v>
      </c>
    </row>
    <row r="963" spans="1:59" ht="57" x14ac:dyDescent="0.45">
      <c r="A963" s="2" t="s">
        <v>59</v>
      </c>
      <c r="B963" s="2" t="s">
        <v>60</v>
      </c>
      <c r="C963" s="2" t="s">
        <v>9387</v>
      </c>
      <c r="D963" s="2" t="s">
        <v>9388</v>
      </c>
      <c r="E963" s="2" t="s">
        <v>9389</v>
      </c>
      <c r="G963" s="3" t="s">
        <v>62</v>
      </c>
      <c r="I963" s="3" t="s">
        <v>62</v>
      </c>
      <c r="J963" s="3" t="s">
        <v>61</v>
      </c>
      <c r="K963" s="3" t="s">
        <v>63</v>
      </c>
      <c r="L963" s="2" t="s">
        <v>9378</v>
      </c>
      <c r="M963" s="2" t="s">
        <v>9390</v>
      </c>
      <c r="N963" s="3" t="s">
        <v>1059</v>
      </c>
      <c r="P963" s="3" t="s">
        <v>65</v>
      </c>
      <c r="Q963" s="2" t="s">
        <v>9391</v>
      </c>
      <c r="R963" s="3" t="s">
        <v>66</v>
      </c>
      <c r="S963" s="4">
        <v>20</v>
      </c>
      <c r="T963" s="4">
        <v>20</v>
      </c>
      <c r="U963" s="5" t="s">
        <v>9392</v>
      </c>
      <c r="V963" s="5" t="s">
        <v>9392</v>
      </c>
      <c r="W963" s="5" t="s">
        <v>67</v>
      </c>
      <c r="X963" s="5" t="s">
        <v>67</v>
      </c>
      <c r="Y963" s="4">
        <v>261</v>
      </c>
      <c r="Z963" s="4">
        <v>21</v>
      </c>
      <c r="AA963" s="4">
        <v>39</v>
      </c>
      <c r="AB963" s="4">
        <v>2</v>
      </c>
      <c r="AC963" s="4">
        <v>6</v>
      </c>
      <c r="AD963" s="4">
        <v>79</v>
      </c>
      <c r="AE963" s="4">
        <v>100</v>
      </c>
      <c r="AF963" s="4">
        <v>1</v>
      </c>
      <c r="AG963" s="4">
        <v>5</v>
      </c>
      <c r="AH963" s="4">
        <v>71</v>
      </c>
      <c r="AI963" s="4">
        <v>83</v>
      </c>
      <c r="AJ963" s="4">
        <v>16</v>
      </c>
      <c r="AK963" s="4">
        <v>22</v>
      </c>
      <c r="AL963" s="4">
        <v>39</v>
      </c>
      <c r="AM963" s="4">
        <v>46</v>
      </c>
      <c r="AN963" s="4">
        <v>0</v>
      </c>
      <c r="AO963" s="4">
        <v>0</v>
      </c>
      <c r="AP963" s="4">
        <v>18</v>
      </c>
      <c r="AQ963" s="4">
        <v>29</v>
      </c>
      <c r="AR963" s="3" t="s">
        <v>62</v>
      </c>
      <c r="AS963" s="3" t="s">
        <v>62</v>
      </c>
      <c r="AT963" s="3" t="s">
        <v>61</v>
      </c>
      <c r="AU963" s="6" t="str">
        <f>HYPERLINK("http://catalog.hathitrust.org/Record/005414834","HathiTrust Record")</f>
        <v>HathiTrust Record</v>
      </c>
      <c r="AV963" s="6" t="str">
        <f>HYPERLINK("http://mcgill.on.worldcat.org/oclc/70276497","Catalog Record")</f>
        <v>Catalog Record</v>
      </c>
      <c r="AW963" s="6" t="str">
        <f>HYPERLINK("http://www.worldcat.org/oclc/70276497","WorldCat Record")</f>
        <v>WorldCat Record</v>
      </c>
      <c r="AX963" s="3" t="s">
        <v>9381</v>
      </c>
      <c r="AY963" s="3" t="s">
        <v>9393</v>
      </c>
      <c r="AZ963" s="3" t="s">
        <v>9394</v>
      </c>
      <c r="BA963" s="3" t="s">
        <v>9394</v>
      </c>
      <c r="BB963" s="3" t="s">
        <v>9395</v>
      </c>
      <c r="BC963" s="3" t="s">
        <v>142</v>
      </c>
      <c r="BD963" s="3" t="s">
        <v>68</v>
      </c>
      <c r="BE963" s="3" t="s">
        <v>9396</v>
      </c>
      <c r="BF963" s="3" t="s">
        <v>9395</v>
      </c>
      <c r="BG963" s="3" t="s">
        <v>9397</v>
      </c>
    </row>
    <row r="964" spans="1:59" ht="57" x14ac:dyDescent="0.45">
      <c r="A964" s="2" t="s">
        <v>59</v>
      </c>
      <c r="B964" s="2" t="s">
        <v>412</v>
      </c>
      <c r="C964" s="2" t="s">
        <v>9398</v>
      </c>
      <c r="D964" s="2" t="s">
        <v>9399</v>
      </c>
      <c r="E964" s="2" t="s">
        <v>9400</v>
      </c>
      <c r="G964" s="3" t="s">
        <v>62</v>
      </c>
      <c r="I964" s="3" t="s">
        <v>62</v>
      </c>
      <c r="J964" s="3" t="s">
        <v>62</v>
      </c>
      <c r="K964" s="3" t="s">
        <v>63</v>
      </c>
      <c r="L964" s="2" t="s">
        <v>9378</v>
      </c>
      <c r="M964" s="2" t="s">
        <v>9401</v>
      </c>
      <c r="N964" s="3" t="s">
        <v>1478</v>
      </c>
      <c r="P964" s="3" t="s">
        <v>65</v>
      </c>
      <c r="Q964" s="2" t="s">
        <v>7366</v>
      </c>
      <c r="R964" s="3" t="s">
        <v>66</v>
      </c>
      <c r="S964" s="4">
        <v>55</v>
      </c>
      <c r="T964" s="4">
        <v>55</v>
      </c>
      <c r="U964" s="5" t="s">
        <v>9402</v>
      </c>
      <c r="V964" s="5" t="s">
        <v>9402</v>
      </c>
      <c r="W964" s="5" t="s">
        <v>67</v>
      </c>
      <c r="X964" s="5" t="s">
        <v>67</v>
      </c>
      <c r="Y964" s="4">
        <v>321</v>
      </c>
      <c r="Z964" s="4">
        <v>13</v>
      </c>
      <c r="AA964" s="4">
        <v>15</v>
      </c>
      <c r="AB964" s="4">
        <v>2</v>
      </c>
      <c r="AC964" s="4">
        <v>2</v>
      </c>
      <c r="AD964" s="4">
        <v>79</v>
      </c>
      <c r="AE964" s="4">
        <v>82</v>
      </c>
      <c r="AF964" s="4">
        <v>1</v>
      </c>
      <c r="AG964" s="4">
        <v>1</v>
      </c>
      <c r="AH964" s="4">
        <v>73</v>
      </c>
      <c r="AI964" s="4">
        <v>75</v>
      </c>
      <c r="AJ964" s="4">
        <v>9</v>
      </c>
      <c r="AK964" s="4">
        <v>11</v>
      </c>
      <c r="AL964" s="4">
        <v>40</v>
      </c>
      <c r="AM964" s="4">
        <v>40</v>
      </c>
      <c r="AN964" s="4">
        <v>0</v>
      </c>
      <c r="AO964" s="4">
        <v>0</v>
      </c>
      <c r="AP964" s="4">
        <v>9</v>
      </c>
      <c r="AQ964" s="4">
        <v>11</v>
      </c>
      <c r="AR964" s="3" t="s">
        <v>62</v>
      </c>
      <c r="AS964" s="3" t="s">
        <v>62</v>
      </c>
      <c r="AT964" s="3" t="s">
        <v>61</v>
      </c>
      <c r="AU964" s="6" t="str">
        <f>HYPERLINK("http://catalog.hathitrust.org/Record/003102025","HathiTrust Record")</f>
        <v>HathiTrust Record</v>
      </c>
      <c r="AV964" s="6" t="str">
        <f>HYPERLINK("http://mcgill.on.worldcat.org/oclc/33443522","Catalog Record")</f>
        <v>Catalog Record</v>
      </c>
      <c r="AW964" s="6" t="str">
        <f>HYPERLINK("http://www.worldcat.org/oclc/33443522","WorldCat Record")</f>
        <v>WorldCat Record</v>
      </c>
      <c r="AX964" s="3" t="s">
        <v>9403</v>
      </c>
      <c r="AY964" s="3" t="s">
        <v>9404</v>
      </c>
      <c r="AZ964" s="3" t="s">
        <v>9405</v>
      </c>
      <c r="BA964" s="3" t="s">
        <v>9405</v>
      </c>
      <c r="BB964" s="3" t="s">
        <v>9406</v>
      </c>
      <c r="BC964" s="3" t="s">
        <v>142</v>
      </c>
      <c r="BD964" s="3" t="s">
        <v>68</v>
      </c>
      <c r="BE964" s="3" t="s">
        <v>9407</v>
      </c>
      <c r="BF964" s="3" t="s">
        <v>9406</v>
      </c>
      <c r="BG964" s="3" t="s">
        <v>9408</v>
      </c>
    </row>
    <row r="965" spans="1:59" ht="57" x14ac:dyDescent="0.45">
      <c r="A965" s="2" t="s">
        <v>59</v>
      </c>
      <c r="B965" s="2" t="s">
        <v>60</v>
      </c>
      <c r="C965" s="2" t="s">
        <v>9409</v>
      </c>
      <c r="D965" s="2" t="s">
        <v>9410</v>
      </c>
      <c r="E965" s="2" t="s">
        <v>9411</v>
      </c>
      <c r="G965" s="3" t="s">
        <v>62</v>
      </c>
      <c r="I965" s="3" t="s">
        <v>62</v>
      </c>
      <c r="J965" s="3" t="s">
        <v>62</v>
      </c>
      <c r="K965" s="3" t="s">
        <v>63</v>
      </c>
      <c r="M965" s="2" t="s">
        <v>8776</v>
      </c>
      <c r="N965" s="3" t="s">
        <v>820</v>
      </c>
      <c r="P965" s="3" t="s">
        <v>65</v>
      </c>
      <c r="Q965" s="2" t="s">
        <v>9412</v>
      </c>
      <c r="R965" s="3" t="s">
        <v>66</v>
      </c>
      <c r="S965" s="4">
        <v>8</v>
      </c>
      <c r="T965" s="4">
        <v>8</v>
      </c>
      <c r="U965" s="5" t="s">
        <v>4131</v>
      </c>
      <c r="V965" s="5" t="s">
        <v>4131</v>
      </c>
      <c r="W965" s="5" t="s">
        <v>67</v>
      </c>
      <c r="X965" s="5" t="s">
        <v>67</v>
      </c>
      <c r="Y965" s="4">
        <v>137</v>
      </c>
      <c r="Z965" s="4">
        <v>13</v>
      </c>
      <c r="AA965" s="4">
        <v>14</v>
      </c>
      <c r="AB965" s="4">
        <v>1</v>
      </c>
      <c r="AC965" s="4">
        <v>2</v>
      </c>
      <c r="AD965" s="4">
        <v>56</v>
      </c>
      <c r="AE965" s="4">
        <v>57</v>
      </c>
      <c r="AF965" s="4">
        <v>0</v>
      </c>
      <c r="AG965" s="4">
        <v>1</v>
      </c>
      <c r="AH965" s="4">
        <v>51</v>
      </c>
      <c r="AI965" s="4">
        <v>52</v>
      </c>
      <c r="AJ965" s="4">
        <v>8</v>
      </c>
      <c r="AK965" s="4">
        <v>9</v>
      </c>
      <c r="AL965" s="4">
        <v>33</v>
      </c>
      <c r="AM965" s="4">
        <v>33</v>
      </c>
      <c r="AN965" s="4">
        <v>0</v>
      </c>
      <c r="AO965" s="4">
        <v>0</v>
      </c>
      <c r="AP965" s="4">
        <v>8</v>
      </c>
      <c r="AQ965" s="4">
        <v>9</v>
      </c>
      <c r="AR965" s="3" t="s">
        <v>62</v>
      </c>
      <c r="AS965" s="3" t="s">
        <v>62</v>
      </c>
      <c r="AT965" s="3" t="s">
        <v>62</v>
      </c>
      <c r="AV965" s="6" t="str">
        <f>HYPERLINK("http://mcgill.on.worldcat.org/oclc/232327374","Catalog Record")</f>
        <v>Catalog Record</v>
      </c>
      <c r="AW965" s="6" t="str">
        <f>HYPERLINK("http://www.worldcat.org/oclc/232327374","WorldCat Record")</f>
        <v>WorldCat Record</v>
      </c>
      <c r="AX965" s="3" t="s">
        <v>9413</v>
      </c>
      <c r="AY965" s="3" t="s">
        <v>9414</v>
      </c>
      <c r="AZ965" s="3" t="s">
        <v>9415</v>
      </c>
      <c r="BA965" s="3" t="s">
        <v>9415</v>
      </c>
      <c r="BB965" s="3" t="s">
        <v>9416</v>
      </c>
      <c r="BC965" s="3" t="s">
        <v>142</v>
      </c>
      <c r="BD965" s="3" t="s">
        <v>68</v>
      </c>
      <c r="BE965" s="3" t="s">
        <v>9417</v>
      </c>
      <c r="BF965" s="3" t="s">
        <v>9416</v>
      </c>
      <c r="BG965" s="3" t="s">
        <v>9418</v>
      </c>
    </row>
    <row r="966" spans="1:59" ht="57" x14ac:dyDescent="0.45">
      <c r="A966" s="2" t="s">
        <v>59</v>
      </c>
      <c r="B966" s="2" t="s">
        <v>60</v>
      </c>
      <c r="C966" s="2" t="s">
        <v>9419</v>
      </c>
      <c r="D966" s="2" t="s">
        <v>9420</v>
      </c>
      <c r="E966" s="2" t="s">
        <v>9421</v>
      </c>
      <c r="G966" s="3" t="s">
        <v>62</v>
      </c>
      <c r="I966" s="3" t="s">
        <v>62</v>
      </c>
      <c r="J966" s="3" t="s">
        <v>62</v>
      </c>
      <c r="K966" s="3" t="s">
        <v>63</v>
      </c>
      <c r="L966" s="2" t="s">
        <v>9422</v>
      </c>
      <c r="M966" s="2" t="s">
        <v>9423</v>
      </c>
      <c r="N966" s="3" t="s">
        <v>1478</v>
      </c>
      <c r="P966" s="3" t="s">
        <v>65</v>
      </c>
      <c r="Q966" s="2" t="s">
        <v>9424</v>
      </c>
      <c r="R966" s="3" t="s">
        <v>66</v>
      </c>
      <c r="S966" s="4">
        <v>12</v>
      </c>
      <c r="T966" s="4">
        <v>12</v>
      </c>
      <c r="U966" s="5" t="s">
        <v>1439</v>
      </c>
      <c r="V966" s="5" t="s">
        <v>1439</v>
      </c>
      <c r="W966" s="5" t="s">
        <v>67</v>
      </c>
      <c r="X966" s="5" t="s">
        <v>67</v>
      </c>
      <c r="Y966" s="4">
        <v>202</v>
      </c>
      <c r="Z966" s="4">
        <v>11</v>
      </c>
      <c r="AA966" s="4">
        <v>14</v>
      </c>
      <c r="AB966" s="4">
        <v>1</v>
      </c>
      <c r="AC966" s="4">
        <v>4</v>
      </c>
      <c r="AD966" s="4">
        <v>72</v>
      </c>
      <c r="AE966" s="4">
        <v>77</v>
      </c>
      <c r="AF966" s="4">
        <v>0</v>
      </c>
      <c r="AG966" s="4">
        <v>3</v>
      </c>
      <c r="AH966" s="4">
        <v>65</v>
      </c>
      <c r="AI966" s="4">
        <v>68</v>
      </c>
      <c r="AJ966" s="4">
        <v>8</v>
      </c>
      <c r="AK966" s="4">
        <v>11</v>
      </c>
      <c r="AL966" s="4">
        <v>34</v>
      </c>
      <c r="AM966" s="4">
        <v>36</v>
      </c>
      <c r="AN966" s="4">
        <v>0</v>
      </c>
      <c r="AO966" s="4">
        <v>0</v>
      </c>
      <c r="AP966" s="4">
        <v>9</v>
      </c>
      <c r="AQ966" s="4">
        <v>11</v>
      </c>
      <c r="AR966" s="3" t="s">
        <v>62</v>
      </c>
      <c r="AS966" s="3" t="s">
        <v>62</v>
      </c>
      <c r="AT966" s="3" t="s">
        <v>61</v>
      </c>
      <c r="AU966" s="6" t="str">
        <f>HYPERLINK("http://catalog.hathitrust.org/Record/003163481","HathiTrust Record")</f>
        <v>HathiTrust Record</v>
      </c>
      <c r="AV966" s="6" t="str">
        <f>HYPERLINK("http://mcgill.on.worldcat.org/oclc/32167977","Catalog Record")</f>
        <v>Catalog Record</v>
      </c>
      <c r="AW966" s="6" t="str">
        <f>HYPERLINK("http://www.worldcat.org/oclc/32167977","WorldCat Record")</f>
        <v>WorldCat Record</v>
      </c>
      <c r="AX966" s="3" t="s">
        <v>9425</v>
      </c>
      <c r="AY966" s="3" t="s">
        <v>9426</v>
      </c>
      <c r="AZ966" s="3" t="s">
        <v>9427</v>
      </c>
      <c r="BA966" s="3" t="s">
        <v>9427</v>
      </c>
      <c r="BB966" s="3" t="s">
        <v>9428</v>
      </c>
      <c r="BC966" s="3" t="s">
        <v>142</v>
      </c>
      <c r="BD966" s="3" t="s">
        <v>68</v>
      </c>
      <c r="BE966" s="3" t="s">
        <v>9429</v>
      </c>
      <c r="BF966" s="3" t="s">
        <v>9428</v>
      </c>
      <c r="BG966" s="3" t="s">
        <v>9430</v>
      </c>
    </row>
    <row r="967" spans="1:59" ht="57" x14ac:dyDescent="0.45">
      <c r="A967" s="2" t="s">
        <v>59</v>
      </c>
      <c r="B967" s="2" t="s">
        <v>60</v>
      </c>
      <c r="C967" s="2" t="s">
        <v>9431</v>
      </c>
      <c r="D967" s="2" t="s">
        <v>9432</v>
      </c>
      <c r="E967" s="2" t="s">
        <v>9433</v>
      </c>
      <c r="G967" s="3" t="s">
        <v>62</v>
      </c>
      <c r="I967" s="3" t="s">
        <v>62</v>
      </c>
      <c r="J967" s="3" t="s">
        <v>62</v>
      </c>
      <c r="K967" s="3" t="s">
        <v>63</v>
      </c>
      <c r="L967" s="2" t="s">
        <v>9434</v>
      </c>
      <c r="M967" s="2" t="s">
        <v>4141</v>
      </c>
      <c r="N967" s="3" t="s">
        <v>542</v>
      </c>
      <c r="P967" s="3" t="s">
        <v>65</v>
      </c>
      <c r="Q967" s="2" t="s">
        <v>3411</v>
      </c>
      <c r="R967" s="3" t="s">
        <v>66</v>
      </c>
      <c r="S967" s="4">
        <v>3</v>
      </c>
      <c r="T967" s="4">
        <v>3</v>
      </c>
      <c r="U967" s="5" t="s">
        <v>9435</v>
      </c>
      <c r="V967" s="5" t="s">
        <v>9435</v>
      </c>
      <c r="W967" s="5" t="s">
        <v>67</v>
      </c>
      <c r="X967" s="5" t="s">
        <v>67</v>
      </c>
      <c r="Y967" s="4">
        <v>190</v>
      </c>
      <c r="Z967" s="4">
        <v>11</v>
      </c>
      <c r="AA967" s="4">
        <v>20</v>
      </c>
      <c r="AB967" s="4">
        <v>1</v>
      </c>
      <c r="AC967" s="4">
        <v>8</v>
      </c>
      <c r="AD967" s="4">
        <v>48</v>
      </c>
      <c r="AE967" s="4">
        <v>57</v>
      </c>
      <c r="AF967" s="4">
        <v>0</v>
      </c>
      <c r="AG967" s="4">
        <v>4</v>
      </c>
      <c r="AH967" s="4">
        <v>46</v>
      </c>
      <c r="AI967" s="4">
        <v>51</v>
      </c>
      <c r="AJ967" s="4">
        <v>8</v>
      </c>
      <c r="AK967" s="4">
        <v>13</v>
      </c>
      <c r="AL967" s="4">
        <v>30</v>
      </c>
      <c r="AM967" s="4">
        <v>31</v>
      </c>
      <c r="AN967" s="4">
        <v>0</v>
      </c>
      <c r="AO967" s="4">
        <v>0</v>
      </c>
      <c r="AP967" s="4">
        <v>8</v>
      </c>
      <c r="AQ967" s="4">
        <v>13</v>
      </c>
      <c r="AR967" s="3" t="s">
        <v>62</v>
      </c>
      <c r="AS967" s="3" t="s">
        <v>62</v>
      </c>
      <c r="AT967" s="3" t="s">
        <v>61</v>
      </c>
      <c r="AU967" s="6" t="str">
        <f>HYPERLINK("http://catalog.hathitrust.org/Record/008325160","HathiTrust Record")</f>
        <v>HathiTrust Record</v>
      </c>
      <c r="AV967" s="6" t="str">
        <f>HYPERLINK("http://mcgill.on.worldcat.org/oclc/44118166","Catalog Record")</f>
        <v>Catalog Record</v>
      </c>
      <c r="AW967" s="6" t="str">
        <f>HYPERLINK("http://www.worldcat.org/oclc/44118166","WorldCat Record")</f>
        <v>WorldCat Record</v>
      </c>
      <c r="AX967" s="3" t="s">
        <v>9436</v>
      </c>
      <c r="AY967" s="3" t="s">
        <v>9437</v>
      </c>
      <c r="AZ967" s="3" t="s">
        <v>9438</v>
      </c>
      <c r="BA967" s="3" t="s">
        <v>9438</v>
      </c>
      <c r="BB967" s="3" t="s">
        <v>9439</v>
      </c>
      <c r="BC967" s="3" t="s">
        <v>142</v>
      </c>
      <c r="BD967" s="3" t="s">
        <v>68</v>
      </c>
      <c r="BE967" s="3" t="s">
        <v>9440</v>
      </c>
      <c r="BF967" s="3" t="s">
        <v>9439</v>
      </c>
      <c r="BG967" s="3" t="s">
        <v>9441</v>
      </c>
    </row>
    <row r="968" spans="1:59" ht="57" x14ac:dyDescent="0.45">
      <c r="A968" s="2" t="s">
        <v>59</v>
      </c>
      <c r="B968" s="2" t="s">
        <v>60</v>
      </c>
      <c r="C968" s="2" t="s">
        <v>9442</v>
      </c>
      <c r="D968" s="2" t="s">
        <v>9443</v>
      </c>
      <c r="E968" s="2" t="s">
        <v>9444</v>
      </c>
      <c r="G968" s="3" t="s">
        <v>62</v>
      </c>
      <c r="I968" s="3" t="s">
        <v>62</v>
      </c>
      <c r="J968" s="3" t="s">
        <v>62</v>
      </c>
      <c r="K968" s="3" t="s">
        <v>63</v>
      </c>
      <c r="M968" s="2" t="s">
        <v>9445</v>
      </c>
      <c r="N968" s="3" t="s">
        <v>1478</v>
      </c>
      <c r="P968" s="3" t="s">
        <v>65</v>
      </c>
      <c r="Q968" s="2" t="s">
        <v>9446</v>
      </c>
      <c r="R968" s="3" t="s">
        <v>66</v>
      </c>
      <c r="S968" s="4">
        <v>33</v>
      </c>
      <c r="T968" s="4">
        <v>33</v>
      </c>
      <c r="U968" s="5" t="s">
        <v>9157</v>
      </c>
      <c r="V968" s="5" t="s">
        <v>9157</v>
      </c>
      <c r="W968" s="5" t="s">
        <v>67</v>
      </c>
      <c r="X968" s="5" t="s">
        <v>67</v>
      </c>
      <c r="Y968" s="4">
        <v>179</v>
      </c>
      <c r="Z968" s="4">
        <v>16</v>
      </c>
      <c r="AA968" s="4">
        <v>96</v>
      </c>
      <c r="AB968" s="4">
        <v>2</v>
      </c>
      <c r="AC968" s="4">
        <v>17</v>
      </c>
      <c r="AD968" s="4">
        <v>54</v>
      </c>
      <c r="AE968" s="4">
        <v>117</v>
      </c>
      <c r="AF968" s="4">
        <v>1</v>
      </c>
      <c r="AG968" s="4">
        <v>8</v>
      </c>
      <c r="AH968" s="4">
        <v>48</v>
      </c>
      <c r="AI968" s="4">
        <v>81</v>
      </c>
      <c r="AJ968" s="4">
        <v>11</v>
      </c>
      <c r="AK968" s="4">
        <v>22</v>
      </c>
      <c r="AL968" s="4">
        <v>31</v>
      </c>
      <c r="AM968" s="4">
        <v>43</v>
      </c>
      <c r="AN968" s="4">
        <v>0</v>
      </c>
      <c r="AO968" s="4">
        <v>0</v>
      </c>
      <c r="AP968" s="4">
        <v>10</v>
      </c>
      <c r="AQ968" s="4">
        <v>42</v>
      </c>
      <c r="AR968" s="3" t="s">
        <v>62</v>
      </c>
      <c r="AS968" s="3" t="s">
        <v>62</v>
      </c>
      <c r="AT968" s="3" t="s">
        <v>62</v>
      </c>
      <c r="AV968" s="6" t="str">
        <f>HYPERLINK("http://mcgill.on.worldcat.org/oclc/32133156","Catalog Record")</f>
        <v>Catalog Record</v>
      </c>
      <c r="AW968" s="6" t="str">
        <f>HYPERLINK("http://www.worldcat.org/oclc/32133156","WorldCat Record")</f>
        <v>WorldCat Record</v>
      </c>
      <c r="AX968" s="3" t="s">
        <v>9447</v>
      </c>
      <c r="AY968" s="3" t="s">
        <v>9448</v>
      </c>
      <c r="AZ968" s="3" t="s">
        <v>9449</v>
      </c>
      <c r="BA968" s="3" t="s">
        <v>9449</v>
      </c>
      <c r="BB968" s="3" t="s">
        <v>9450</v>
      </c>
      <c r="BC968" s="3" t="s">
        <v>142</v>
      </c>
      <c r="BD968" s="3" t="s">
        <v>68</v>
      </c>
      <c r="BE968" s="3" t="s">
        <v>9451</v>
      </c>
      <c r="BF968" s="3" t="s">
        <v>9450</v>
      </c>
      <c r="BG968" s="3" t="s">
        <v>9452</v>
      </c>
    </row>
    <row r="969" spans="1:59" ht="57" x14ac:dyDescent="0.45">
      <c r="A969" s="2" t="s">
        <v>59</v>
      </c>
      <c r="B969" s="2" t="s">
        <v>60</v>
      </c>
      <c r="C969" s="2" t="s">
        <v>9453</v>
      </c>
      <c r="D969" s="2" t="s">
        <v>9454</v>
      </c>
      <c r="E969" s="2" t="s">
        <v>9455</v>
      </c>
      <c r="G969" s="3" t="s">
        <v>62</v>
      </c>
      <c r="I969" s="3" t="s">
        <v>62</v>
      </c>
      <c r="J969" s="3" t="s">
        <v>62</v>
      </c>
      <c r="K969" s="3" t="s">
        <v>63</v>
      </c>
      <c r="M969" s="2" t="s">
        <v>9456</v>
      </c>
      <c r="N969" s="3" t="s">
        <v>208</v>
      </c>
      <c r="P969" s="3" t="s">
        <v>110</v>
      </c>
      <c r="Q969" s="2" t="s">
        <v>9457</v>
      </c>
      <c r="R969" s="3" t="s">
        <v>66</v>
      </c>
      <c r="S969" s="4">
        <v>0</v>
      </c>
      <c r="T969" s="4">
        <v>0</v>
      </c>
      <c r="W969" s="5" t="s">
        <v>67</v>
      </c>
      <c r="X969" s="5" t="s">
        <v>67</v>
      </c>
      <c r="Y969" s="4">
        <v>9</v>
      </c>
      <c r="Z969" s="4">
        <v>5</v>
      </c>
      <c r="AA969" s="4">
        <v>9</v>
      </c>
      <c r="AB969" s="4">
        <v>1</v>
      </c>
      <c r="AC969" s="4">
        <v>4</v>
      </c>
      <c r="AD969" s="4">
        <v>6</v>
      </c>
      <c r="AE969" s="4">
        <v>9</v>
      </c>
      <c r="AF969" s="4">
        <v>0</v>
      </c>
      <c r="AG969" s="4">
        <v>2</v>
      </c>
      <c r="AH969" s="4">
        <v>5</v>
      </c>
      <c r="AI969" s="4">
        <v>7</v>
      </c>
      <c r="AJ969" s="4">
        <v>4</v>
      </c>
      <c r="AK969" s="4">
        <v>7</v>
      </c>
      <c r="AL969" s="4">
        <v>2</v>
      </c>
      <c r="AM969" s="4">
        <v>2</v>
      </c>
      <c r="AN969" s="4">
        <v>0</v>
      </c>
      <c r="AO969" s="4">
        <v>0</v>
      </c>
      <c r="AP969" s="4">
        <v>4</v>
      </c>
      <c r="AQ969" s="4">
        <v>6</v>
      </c>
      <c r="AR969" s="3" t="s">
        <v>62</v>
      </c>
      <c r="AS969" s="3" t="s">
        <v>62</v>
      </c>
      <c r="AT969" s="3" t="s">
        <v>62</v>
      </c>
      <c r="AV969" s="6" t="str">
        <f>HYPERLINK("http://mcgill.on.worldcat.org/oclc/914472947","Catalog Record")</f>
        <v>Catalog Record</v>
      </c>
      <c r="AW969" s="6" t="str">
        <f>HYPERLINK("http://www.worldcat.org/oclc/914472947","WorldCat Record")</f>
        <v>WorldCat Record</v>
      </c>
      <c r="AX969" s="3" t="s">
        <v>9458</v>
      </c>
      <c r="AY969" s="3" t="s">
        <v>9459</v>
      </c>
      <c r="AZ969" s="3" t="s">
        <v>9460</v>
      </c>
      <c r="BA969" s="3" t="s">
        <v>9460</v>
      </c>
      <c r="BB969" s="3" t="s">
        <v>9461</v>
      </c>
      <c r="BC969" s="3" t="s">
        <v>142</v>
      </c>
      <c r="BD969" s="3" t="s">
        <v>68</v>
      </c>
      <c r="BE969" s="3" t="s">
        <v>9462</v>
      </c>
      <c r="BF969" s="3" t="s">
        <v>9461</v>
      </c>
      <c r="BG969" s="3" t="s">
        <v>9463</v>
      </c>
    </row>
    <row r="970" spans="1:59" ht="57" x14ac:dyDescent="0.45">
      <c r="A970" s="2" t="s">
        <v>59</v>
      </c>
      <c r="B970" s="2" t="s">
        <v>60</v>
      </c>
      <c r="C970" s="2" t="s">
        <v>9464</v>
      </c>
      <c r="D970" s="2" t="s">
        <v>9465</v>
      </c>
      <c r="E970" s="2" t="s">
        <v>9466</v>
      </c>
      <c r="G970" s="3" t="s">
        <v>62</v>
      </c>
      <c r="I970" s="3" t="s">
        <v>62</v>
      </c>
      <c r="J970" s="3" t="s">
        <v>62</v>
      </c>
      <c r="K970" s="3" t="s">
        <v>63</v>
      </c>
      <c r="L970" s="2" t="s">
        <v>9467</v>
      </c>
      <c r="M970" s="2" t="s">
        <v>8202</v>
      </c>
      <c r="N970" s="3" t="s">
        <v>1688</v>
      </c>
      <c r="P970" s="3" t="s">
        <v>65</v>
      </c>
      <c r="R970" s="3" t="s">
        <v>66</v>
      </c>
      <c r="S970" s="4">
        <v>4</v>
      </c>
      <c r="T970" s="4">
        <v>4</v>
      </c>
      <c r="U970" s="5" t="s">
        <v>9468</v>
      </c>
      <c r="V970" s="5" t="s">
        <v>9468</v>
      </c>
      <c r="W970" s="5" t="s">
        <v>67</v>
      </c>
      <c r="X970" s="5" t="s">
        <v>67</v>
      </c>
      <c r="Y970" s="4">
        <v>69</v>
      </c>
      <c r="Z970" s="4">
        <v>11</v>
      </c>
      <c r="AA970" s="4">
        <v>80</v>
      </c>
      <c r="AB970" s="4">
        <v>2</v>
      </c>
      <c r="AC970" s="4">
        <v>14</v>
      </c>
      <c r="AD970" s="4">
        <v>22</v>
      </c>
      <c r="AE970" s="4">
        <v>104</v>
      </c>
      <c r="AF970" s="4">
        <v>1</v>
      </c>
      <c r="AG970" s="4">
        <v>8</v>
      </c>
      <c r="AH970" s="4">
        <v>18</v>
      </c>
      <c r="AI970" s="4">
        <v>69</v>
      </c>
      <c r="AJ970" s="4">
        <v>8</v>
      </c>
      <c r="AK970" s="4">
        <v>22</v>
      </c>
      <c r="AL970" s="4">
        <v>10</v>
      </c>
      <c r="AM970" s="4">
        <v>34</v>
      </c>
      <c r="AN970" s="4">
        <v>0</v>
      </c>
      <c r="AO970" s="4">
        <v>0</v>
      </c>
      <c r="AP970" s="4">
        <v>8</v>
      </c>
      <c r="AQ970" s="4">
        <v>42</v>
      </c>
      <c r="AR970" s="3" t="s">
        <v>62</v>
      </c>
      <c r="AS970" s="3" t="s">
        <v>62</v>
      </c>
      <c r="AT970" s="3" t="s">
        <v>62</v>
      </c>
      <c r="AV970" s="6" t="str">
        <f>HYPERLINK("http://mcgill.on.worldcat.org/oclc/885231603","Catalog Record")</f>
        <v>Catalog Record</v>
      </c>
      <c r="AW970" s="6" t="str">
        <f>HYPERLINK("http://www.worldcat.org/oclc/885231603","WorldCat Record")</f>
        <v>WorldCat Record</v>
      </c>
      <c r="AX970" s="3" t="s">
        <v>9469</v>
      </c>
      <c r="AY970" s="3" t="s">
        <v>9470</v>
      </c>
      <c r="AZ970" s="3" t="s">
        <v>9471</v>
      </c>
      <c r="BA970" s="3" t="s">
        <v>9471</v>
      </c>
      <c r="BB970" s="3" t="s">
        <v>9472</v>
      </c>
      <c r="BC970" s="3" t="s">
        <v>142</v>
      </c>
      <c r="BD970" s="3" t="s">
        <v>308</v>
      </c>
      <c r="BE970" s="3" t="s">
        <v>9473</v>
      </c>
      <c r="BF970" s="3" t="s">
        <v>9472</v>
      </c>
      <c r="BG970" s="3" t="s">
        <v>9474</v>
      </c>
    </row>
    <row r="971" spans="1:59" ht="57" x14ac:dyDescent="0.45">
      <c r="A971" s="2" t="s">
        <v>59</v>
      </c>
      <c r="B971" s="2" t="s">
        <v>412</v>
      </c>
      <c r="C971" s="2" t="s">
        <v>9475</v>
      </c>
      <c r="D971" s="2" t="s">
        <v>9476</v>
      </c>
      <c r="E971" s="2" t="s">
        <v>9477</v>
      </c>
      <c r="G971" s="3" t="s">
        <v>62</v>
      </c>
      <c r="I971" s="3" t="s">
        <v>62</v>
      </c>
      <c r="J971" s="3" t="s">
        <v>62</v>
      </c>
      <c r="K971" s="3" t="s">
        <v>63</v>
      </c>
      <c r="M971" s="2" t="s">
        <v>9478</v>
      </c>
      <c r="N971" s="3" t="s">
        <v>970</v>
      </c>
      <c r="P971" s="3" t="s">
        <v>65</v>
      </c>
      <c r="Q971" s="2" t="s">
        <v>9479</v>
      </c>
      <c r="R971" s="3" t="s">
        <v>66</v>
      </c>
      <c r="S971" s="4">
        <v>42</v>
      </c>
      <c r="T971" s="4">
        <v>42</v>
      </c>
      <c r="U971" s="5" t="s">
        <v>9480</v>
      </c>
      <c r="V971" s="5" t="s">
        <v>9480</v>
      </c>
      <c r="W971" s="5" t="s">
        <v>67</v>
      </c>
      <c r="X971" s="5" t="s">
        <v>67</v>
      </c>
      <c r="Y971" s="4">
        <v>583</v>
      </c>
      <c r="Z971" s="4">
        <v>26</v>
      </c>
      <c r="AA971" s="4">
        <v>36</v>
      </c>
      <c r="AB971" s="4">
        <v>2</v>
      </c>
      <c r="AC971" s="4">
        <v>10</v>
      </c>
      <c r="AD971" s="4">
        <v>93</v>
      </c>
      <c r="AE971" s="4">
        <v>110</v>
      </c>
      <c r="AF971" s="4">
        <v>1</v>
      </c>
      <c r="AG971" s="4">
        <v>5</v>
      </c>
      <c r="AH971" s="4">
        <v>80</v>
      </c>
      <c r="AI971" s="4">
        <v>94</v>
      </c>
      <c r="AJ971" s="4">
        <v>12</v>
      </c>
      <c r="AK971" s="4">
        <v>17</v>
      </c>
      <c r="AL971" s="4">
        <v>45</v>
      </c>
      <c r="AM971" s="4">
        <v>50</v>
      </c>
      <c r="AN971" s="4">
        <v>0</v>
      </c>
      <c r="AO971" s="4">
        <v>0</v>
      </c>
      <c r="AP971" s="4">
        <v>17</v>
      </c>
      <c r="AQ971" s="4">
        <v>23</v>
      </c>
      <c r="AR971" s="3" t="s">
        <v>62</v>
      </c>
      <c r="AS971" s="3" t="s">
        <v>62</v>
      </c>
      <c r="AT971" s="3" t="s">
        <v>62</v>
      </c>
      <c r="AV971" s="6" t="str">
        <f>HYPERLINK("http://mcgill.on.worldcat.org/oclc/45879779","Catalog Record")</f>
        <v>Catalog Record</v>
      </c>
      <c r="AW971" s="6" t="str">
        <f>HYPERLINK("http://www.worldcat.org/oclc/45879779","WorldCat Record")</f>
        <v>WorldCat Record</v>
      </c>
      <c r="AX971" s="3" t="s">
        <v>9481</v>
      </c>
      <c r="AY971" s="3" t="s">
        <v>9482</v>
      </c>
      <c r="AZ971" s="3" t="s">
        <v>9483</v>
      </c>
      <c r="BA971" s="3" t="s">
        <v>9483</v>
      </c>
      <c r="BB971" s="3" t="s">
        <v>9484</v>
      </c>
      <c r="BC971" s="3" t="s">
        <v>142</v>
      </c>
      <c r="BD971" s="3" t="s">
        <v>308</v>
      </c>
      <c r="BE971" s="3" t="s">
        <v>9485</v>
      </c>
      <c r="BF971" s="3" t="s">
        <v>9484</v>
      </c>
      <c r="BG971" s="3" t="s">
        <v>9486</v>
      </c>
    </row>
    <row r="972" spans="1:59" ht="57" x14ac:dyDescent="0.45">
      <c r="A972" s="2" t="s">
        <v>59</v>
      </c>
      <c r="B972" s="2" t="s">
        <v>60</v>
      </c>
      <c r="C972" s="2" t="s">
        <v>9487</v>
      </c>
      <c r="D972" s="2" t="s">
        <v>9488</v>
      </c>
      <c r="E972" s="2" t="s">
        <v>9489</v>
      </c>
      <c r="G972" s="3" t="s">
        <v>62</v>
      </c>
      <c r="I972" s="3" t="s">
        <v>62</v>
      </c>
      <c r="J972" s="3" t="s">
        <v>62</v>
      </c>
      <c r="K972" s="3" t="s">
        <v>63</v>
      </c>
      <c r="M972" s="2" t="s">
        <v>1178</v>
      </c>
      <c r="N972" s="3" t="s">
        <v>894</v>
      </c>
      <c r="P972" s="3" t="s">
        <v>65</v>
      </c>
      <c r="Q972" s="2" t="s">
        <v>9490</v>
      </c>
      <c r="R972" s="3" t="s">
        <v>66</v>
      </c>
      <c r="S972" s="4">
        <v>0</v>
      </c>
      <c r="T972" s="4">
        <v>0</v>
      </c>
      <c r="W972" s="5" t="s">
        <v>67</v>
      </c>
      <c r="X972" s="5" t="s">
        <v>67</v>
      </c>
      <c r="Y972" s="4">
        <v>81</v>
      </c>
      <c r="Z972" s="4">
        <v>9</v>
      </c>
      <c r="AA972" s="4">
        <v>87</v>
      </c>
      <c r="AB972" s="4">
        <v>1</v>
      </c>
      <c r="AC972" s="4">
        <v>18</v>
      </c>
      <c r="AD972" s="4">
        <v>37</v>
      </c>
      <c r="AE972" s="4">
        <v>112</v>
      </c>
      <c r="AF972" s="4">
        <v>0</v>
      </c>
      <c r="AG972" s="4">
        <v>8</v>
      </c>
      <c r="AH972" s="4">
        <v>34</v>
      </c>
      <c r="AI972" s="4">
        <v>77</v>
      </c>
      <c r="AJ972" s="4">
        <v>7</v>
      </c>
      <c r="AK972" s="4">
        <v>20</v>
      </c>
      <c r="AL972" s="4">
        <v>21</v>
      </c>
      <c r="AM972" s="4">
        <v>41</v>
      </c>
      <c r="AN972" s="4">
        <v>0</v>
      </c>
      <c r="AO972" s="4">
        <v>0</v>
      </c>
      <c r="AP972" s="4">
        <v>7</v>
      </c>
      <c r="AQ972" s="4">
        <v>41</v>
      </c>
      <c r="AR972" s="3" t="s">
        <v>62</v>
      </c>
      <c r="AS972" s="3" t="s">
        <v>62</v>
      </c>
      <c r="AT972" s="3" t="s">
        <v>62</v>
      </c>
      <c r="AV972" s="6" t="str">
        <f>HYPERLINK("http://mcgill.on.worldcat.org/oclc/717301119","Catalog Record")</f>
        <v>Catalog Record</v>
      </c>
      <c r="AW972" s="6" t="str">
        <f>HYPERLINK("http://www.worldcat.org/oclc/717301119","WorldCat Record")</f>
        <v>WorldCat Record</v>
      </c>
      <c r="AX972" s="3" t="s">
        <v>9491</v>
      </c>
      <c r="AY972" s="3" t="s">
        <v>9492</v>
      </c>
      <c r="AZ972" s="3" t="s">
        <v>9493</v>
      </c>
      <c r="BA972" s="3" t="s">
        <v>9493</v>
      </c>
      <c r="BB972" s="3" t="s">
        <v>9494</v>
      </c>
      <c r="BC972" s="3" t="s">
        <v>142</v>
      </c>
      <c r="BD972" s="3" t="s">
        <v>68</v>
      </c>
      <c r="BE972" s="3" t="s">
        <v>9495</v>
      </c>
      <c r="BF972" s="3" t="s">
        <v>9494</v>
      </c>
      <c r="BG972" s="3" t="s">
        <v>9496</v>
      </c>
    </row>
    <row r="973" spans="1:59" ht="85.5" x14ac:dyDescent="0.45">
      <c r="A973" s="2" t="s">
        <v>59</v>
      </c>
      <c r="B973" s="2" t="s">
        <v>5257</v>
      </c>
      <c r="C973" s="2" t="s">
        <v>9497</v>
      </c>
      <c r="D973" s="2" t="s">
        <v>9498</v>
      </c>
      <c r="E973" s="2" t="s">
        <v>9499</v>
      </c>
      <c r="G973" s="3" t="s">
        <v>62</v>
      </c>
      <c r="I973" s="3" t="s">
        <v>62</v>
      </c>
      <c r="J973" s="3" t="s">
        <v>62</v>
      </c>
      <c r="K973" s="3" t="s">
        <v>63</v>
      </c>
      <c r="M973" s="2" t="s">
        <v>9500</v>
      </c>
      <c r="N973" s="3" t="s">
        <v>149</v>
      </c>
      <c r="P973" s="3" t="s">
        <v>110</v>
      </c>
      <c r="Q973" s="2" t="s">
        <v>9501</v>
      </c>
      <c r="R973" s="3" t="s">
        <v>66</v>
      </c>
      <c r="S973" s="4">
        <v>0</v>
      </c>
      <c r="T973" s="4">
        <v>0</v>
      </c>
      <c r="W973" s="5" t="s">
        <v>67</v>
      </c>
      <c r="X973" s="5" t="s">
        <v>67</v>
      </c>
      <c r="Y973" s="4">
        <v>7</v>
      </c>
      <c r="Z973" s="4">
        <v>2</v>
      </c>
      <c r="AA973" s="4">
        <v>12</v>
      </c>
      <c r="AB973" s="4">
        <v>1</v>
      </c>
      <c r="AC973" s="4">
        <v>8</v>
      </c>
      <c r="AD973" s="4">
        <v>3</v>
      </c>
      <c r="AE973" s="4">
        <v>11</v>
      </c>
      <c r="AF973" s="4">
        <v>0</v>
      </c>
      <c r="AG973" s="4">
        <v>5</v>
      </c>
      <c r="AH973" s="4">
        <v>2</v>
      </c>
      <c r="AI973" s="4">
        <v>5</v>
      </c>
      <c r="AJ973" s="4">
        <v>1</v>
      </c>
      <c r="AK973" s="4">
        <v>7</v>
      </c>
      <c r="AL973" s="4">
        <v>1</v>
      </c>
      <c r="AM973" s="4">
        <v>1</v>
      </c>
      <c r="AN973" s="4">
        <v>0</v>
      </c>
      <c r="AO973" s="4">
        <v>0</v>
      </c>
      <c r="AP973" s="4">
        <v>1</v>
      </c>
      <c r="AQ973" s="4">
        <v>8</v>
      </c>
      <c r="AR973" s="3" t="s">
        <v>62</v>
      </c>
      <c r="AS973" s="3" t="s">
        <v>62</v>
      </c>
      <c r="AT973" s="3" t="s">
        <v>62</v>
      </c>
      <c r="AV973" s="6" t="str">
        <f>HYPERLINK("http://mcgill.on.worldcat.org/oclc/666251828","Catalog Record")</f>
        <v>Catalog Record</v>
      </c>
      <c r="AW973" s="6" t="str">
        <f>HYPERLINK("http://www.worldcat.org/oclc/666251828","WorldCat Record")</f>
        <v>WorldCat Record</v>
      </c>
      <c r="AX973" s="3" t="s">
        <v>9502</v>
      </c>
      <c r="AY973" s="3" t="s">
        <v>9503</v>
      </c>
      <c r="AZ973" s="3" t="s">
        <v>9504</v>
      </c>
      <c r="BA973" s="3" t="s">
        <v>9504</v>
      </c>
      <c r="BB973" s="3" t="s">
        <v>9505</v>
      </c>
      <c r="BC973" s="3" t="s">
        <v>142</v>
      </c>
      <c r="BD973" s="3" t="s">
        <v>68</v>
      </c>
      <c r="BE973" s="3" t="s">
        <v>9506</v>
      </c>
      <c r="BF973" s="3" t="s">
        <v>9505</v>
      </c>
      <c r="BG973" s="3" t="s">
        <v>9507</v>
      </c>
    </row>
    <row r="974" spans="1:59" ht="71.25" x14ac:dyDescent="0.45">
      <c r="A974" s="2" t="s">
        <v>59</v>
      </c>
      <c r="B974" s="2" t="s">
        <v>412</v>
      </c>
      <c r="C974" s="2" t="s">
        <v>9508</v>
      </c>
      <c r="D974" s="2" t="s">
        <v>9509</v>
      </c>
      <c r="E974" s="2" t="s">
        <v>9510</v>
      </c>
      <c r="G974" s="3" t="s">
        <v>62</v>
      </c>
      <c r="I974" s="3" t="s">
        <v>62</v>
      </c>
      <c r="J974" s="3" t="s">
        <v>62</v>
      </c>
      <c r="K974" s="3" t="s">
        <v>63</v>
      </c>
      <c r="L974" s="2" t="s">
        <v>9511</v>
      </c>
      <c r="M974" s="2" t="s">
        <v>9512</v>
      </c>
      <c r="N974" s="3" t="s">
        <v>149</v>
      </c>
      <c r="O974" s="2" t="s">
        <v>168</v>
      </c>
      <c r="P974" s="3" t="s">
        <v>65</v>
      </c>
      <c r="R974" s="3" t="s">
        <v>66</v>
      </c>
      <c r="S974" s="4">
        <v>1</v>
      </c>
      <c r="T974" s="4">
        <v>1</v>
      </c>
      <c r="U974" s="5" t="s">
        <v>328</v>
      </c>
      <c r="V974" s="5" t="s">
        <v>328</v>
      </c>
      <c r="W974" s="5" t="s">
        <v>67</v>
      </c>
      <c r="X974" s="5" t="s">
        <v>67</v>
      </c>
      <c r="Y974" s="4">
        <v>31</v>
      </c>
      <c r="Z974" s="4">
        <v>6</v>
      </c>
      <c r="AA974" s="4">
        <v>7</v>
      </c>
      <c r="AB974" s="4">
        <v>2</v>
      </c>
      <c r="AC974" s="4">
        <v>2</v>
      </c>
      <c r="AD974" s="4">
        <v>7</v>
      </c>
      <c r="AE974" s="4">
        <v>7</v>
      </c>
      <c r="AF974" s="4">
        <v>1</v>
      </c>
      <c r="AG974" s="4">
        <v>1</v>
      </c>
      <c r="AH974" s="4">
        <v>5</v>
      </c>
      <c r="AI974" s="4">
        <v>5</v>
      </c>
      <c r="AJ974" s="4">
        <v>3</v>
      </c>
      <c r="AK974" s="4">
        <v>3</v>
      </c>
      <c r="AL974" s="4">
        <v>4</v>
      </c>
      <c r="AM974" s="4">
        <v>4</v>
      </c>
      <c r="AN974" s="4">
        <v>0</v>
      </c>
      <c r="AO974" s="4">
        <v>0</v>
      </c>
      <c r="AP974" s="4">
        <v>3</v>
      </c>
      <c r="AQ974" s="4">
        <v>3</v>
      </c>
      <c r="AR974" s="3" t="s">
        <v>62</v>
      </c>
      <c r="AS974" s="3" t="s">
        <v>62</v>
      </c>
      <c r="AT974" s="3" t="s">
        <v>62</v>
      </c>
      <c r="AV974" s="6" t="str">
        <f>HYPERLINK("http://mcgill.on.worldcat.org/oclc/652546521","Catalog Record")</f>
        <v>Catalog Record</v>
      </c>
      <c r="AW974" s="6" t="str">
        <f>HYPERLINK("http://www.worldcat.org/oclc/652546521","WorldCat Record")</f>
        <v>WorldCat Record</v>
      </c>
      <c r="AX974" s="3" t="s">
        <v>9513</v>
      </c>
      <c r="AY974" s="3" t="s">
        <v>9514</v>
      </c>
      <c r="AZ974" s="3" t="s">
        <v>9515</v>
      </c>
      <c r="BA974" s="3" t="s">
        <v>9515</v>
      </c>
      <c r="BB974" s="3" t="s">
        <v>9516</v>
      </c>
      <c r="BC974" s="3" t="s">
        <v>142</v>
      </c>
      <c r="BD974" s="3" t="s">
        <v>68</v>
      </c>
      <c r="BE974" s="3" t="s">
        <v>9517</v>
      </c>
      <c r="BF974" s="3" t="s">
        <v>9516</v>
      </c>
      <c r="BG974" s="3" t="s">
        <v>9518</v>
      </c>
    </row>
    <row r="975" spans="1:59" ht="57" x14ac:dyDescent="0.45">
      <c r="A975" s="2" t="s">
        <v>59</v>
      </c>
      <c r="B975" s="2" t="s">
        <v>412</v>
      </c>
      <c r="C975" s="2" t="s">
        <v>9519</v>
      </c>
      <c r="D975" s="2" t="s">
        <v>9520</v>
      </c>
      <c r="E975" s="2" t="s">
        <v>9521</v>
      </c>
      <c r="G975" s="3" t="s">
        <v>62</v>
      </c>
      <c r="I975" s="3" t="s">
        <v>62</v>
      </c>
      <c r="J975" s="3" t="s">
        <v>62</v>
      </c>
      <c r="K975" s="3" t="s">
        <v>63</v>
      </c>
      <c r="M975" s="2" t="s">
        <v>6067</v>
      </c>
      <c r="N975" s="3" t="s">
        <v>894</v>
      </c>
      <c r="P975" s="3" t="s">
        <v>65</v>
      </c>
      <c r="Q975" s="2" t="s">
        <v>9522</v>
      </c>
      <c r="R975" s="3" t="s">
        <v>66</v>
      </c>
      <c r="S975" s="4">
        <v>7</v>
      </c>
      <c r="T975" s="4">
        <v>7</v>
      </c>
      <c r="U975" s="5" t="s">
        <v>9523</v>
      </c>
      <c r="V975" s="5" t="s">
        <v>9523</v>
      </c>
      <c r="W975" s="5" t="s">
        <v>67</v>
      </c>
      <c r="X975" s="5" t="s">
        <v>67</v>
      </c>
      <c r="Y975" s="4">
        <v>145</v>
      </c>
      <c r="Z975" s="4">
        <v>20</v>
      </c>
      <c r="AA975" s="4">
        <v>88</v>
      </c>
      <c r="AB975" s="4">
        <v>2</v>
      </c>
      <c r="AC975" s="4">
        <v>14</v>
      </c>
      <c r="AD975" s="4">
        <v>53</v>
      </c>
      <c r="AE975" s="4">
        <v>113</v>
      </c>
      <c r="AF975" s="4">
        <v>1</v>
      </c>
      <c r="AG975" s="4">
        <v>8</v>
      </c>
      <c r="AH975" s="4">
        <v>44</v>
      </c>
      <c r="AI975" s="4">
        <v>75</v>
      </c>
      <c r="AJ975" s="4">
        <v>13</v>
      </c>
      <c r="AK975" s="4">
        <v>23</v>
      </c>
      <c r="AL975" s="4">
        <v>25</v>
      </c>
      <c r="AM975" s="4">
        <v>40</v>
      </c>
      <c r="AN975" s="4">
        <v>0</v>
      </c>
      <c r="AO975" s="4">
        <v>0</v>
      </c>
      <c r="AP975" s="4">
        <v>16</v>
      </c>
      <c r="AQ975" s="4">
        <v>45</v>
      </c>
      <c r="AR975" s="3" t="s">
        <v>62</v>
      </c>
      <c r="AS975" s="3" t="s">
        <v>62</v>
      </c>
      <c r="AT975" s="3" t="s">
        <v>62</v>
      </c>
      <c r="AV975" s="6" t="str">
        <f>HYPERLINK("http://mcgill.on.worldcat.org/oclc/704895980","Catalog Record")</f>
        <v>Catalog Record</v>
      </c>
      <c r="AW975" s="6" t="str">
        <f>HYPERLINK("http://www.worldcat.org/oclc/704895980","WorldCat Record")</f>
        <v>WorldCat Record</v>
      </c>
      <c r="AX975" s="3" t="s">
        <v>9524</v>
      </c>
      <c r="AY975" s="3" t="s">
        <v>9525</v>
      </c>
      <c r="AZ975" s="3" t="s">
        <v>9526</v>
      </c>
      <c r="BA975" s="3" t="s">
        <v>9526</v>
      </c>
      <c r="BB975" s="3" t="s">
        <v>9527</v>
      </c>
      <c r="BC975" s="3" t="s">
        <v>142</v>
      </c>
      <c r="BD975" s="3" t="s">
        <v>68</v>
      </c>
      <c r="BE975" s="3" t="s">
        <v>9528</v>
      </c>
      <c r="BF975" s="3" t="s">
        <v>9527</v>
      </c>
      <c r="BG975" s="3" t="s">
        <v>9529</v>
      </c>
    </row>
    <row r="976" spans="1:59" ht="57" x14ac:dyDescent="0.45">
      <c r="A976" s="2" t="s">
        <v>59</v>
      </c>
      <c r="B976" s="2" t="s">
        <v>60</v>
      </c>
      <c r="C976" s="2" t="s">
        <v>9530</v>
      </c>
      <c r="D976" s="2" t="s">
        <v>9531</v>
      </c>
      <c r="E976" s="2" t="s">
        <v>9532</v>
      </c>
      <c r="G976" s="3" t="s">
        <v>62</v>
      </c>
      <c r="I976" s="3" t="s">
        <v>62</v>
      </c>
      <c r="J976" s="3" t="s">
        <v>62</v>
      </c>
      <c r="K976" s="3" t="s">
        <v>63</v>
      </c>
      <c r="M976" s="2" t="s">
        <v>1881</v>
      </c>
      <c r="N976" s="3" t="s">
        <v>1253</v>
      </c>
      <c r="P976" s="3" t="s">
        <v>65</v>
      </c>
      <c r="Q976" s="2" t="s">
        <v>7036</v>
      </c>
      <c r="R976" s="3" t="s">
        <v>66</v>
      </c>
      <c r="S976" s="4">
        <v>60</v>
      </c>
      <c r="T976" s="4">
        <v>60</v>
      </c>
      <c r="U976" s="5" t="s">
        <v>6370</v>
      </c>
      <c r="V976" s="5" t="s">
        <v>6370</v>
      </c>
      <c r="W976" s="5" t="s">
        <v>67</v>
      </c>
      <c r="X976" s="5" t="s">
        <v>67</v>
      </c>
      <c r="Y976" s="4">
        <v>396</v>
      </c>
      <c r="Z976" s="4">
        <v>30</v>
      </c>
      <c r="AA976" s="4">
        <v>39</v>
      </c>
      <c r="AB976" s="4">
        <v>4</v>
      </c>
      <c r="AC976" s="4">
        <v>11</v>
      </c>
      <c r="AD976" s="4">
        <v>106</v>
      </c>
      <c r="AE976" s="4">
        <v>111</v>
      </c>
      <c r="AF976" s="4">
        <v>2</v>
      </c>
      <c r="AG976" s="4">
        <v>6</v>
      </c>
      <c r="AH976" s="4">
        <v>90</v>
      </c>
      <c r="AI976" s="4">
        <v>91</v>
      </c>
      <c r="AJ976" s="4">
        <v>15</v>
      </c>
      <c r="AK976" s="4">
        <v>19</v>
      </c>
      <c r="AL976" s="4">
        <v>48</v>
      </c>
      <c r="AM976" s="4">
        <v>48</v>
      </c>
      <c r="AN976" s="4">
        <v>0</v>
      </c>
      <c r="AO976" s="4">
        <v>0</v>
      </c>
      <c r="AP976" s="4">
        <v>22</v>
      </c>
      <c r="AQ976" s="4">
        <v>26</v>
      </c>
      <c r="AR976" s="3" t="s">
        <v>62</v>
      </c>
      <c r="AS976" s="3" t="s">
        <v>62</v>
      </c>
      <c r="AT976" s="3" t="s">
        <v>61</v>
      </c>
      <c r="AU976" s="6" t="str">
        <f>HYPERLINK("http://catalog.hathitrust.org/Record/003944828","HathiTrust Record")</f>
        <v>HathiTrust Record</v>
      </c>
      <c r="AV976" s="6" t="str">
        <f>HYPERLINK("http://mcgill.on.worldcat.org/oclc/36074346","Catalog Record")</f>
        <v>Catalog Record</v>
      </c>
      <c r="AW976" s="6" t="str">
        <f>HYPERLINK("http://www.worldcat.org/oclc/36074346","WorldCat Record")</f>
        <v>WorldCat Record</v>
      </c>
      <c r="AX976" s="3" t="s">
        <v>9533</v>
      </c>
      <c r="AY976" s="3" t="s">
        <v>9534</v>
      </c>
      <c r="AZ976" s="3" t="s">
        <v>9535</v>
      </c>
      <c r="BA976" s="3" t="s">
        <v>9535</v>
      </c>
      <c r="BB976" s="3" t="s">
        <v>9536</v>
      </c>
      <c r="BC976" s="3" t="s">
        <v>142</v>
      </c>
      <c r="BD976" s="3" t="s">
        <v>68</v>
      </c>
      <c r="BE976" s="3" t="s">
        <v>9537</v>
      </c>
      <c r="BF976" s="3" t="s">
        <v>9536</v>
      </c>
      <c r="BG976" s="3" t="s">
        <v>9538</v>
      </c>
    </row>
    <row r="977" spans="1:59" ht="57" x14ac:dyDescent="0.45">
      <c r="A977" s="2" t="s">
        <v>59</v>
      </c>
      <c r="B977" s="2" t="s">
        <v>412</v>
      </c>
      <c r="C977" s="2" t="s">
        <v>9539</v>
      </c>
      <c r="D977" s="2" t="s">
        <v>9540</v>
      </c>
      <c r="E977" s="2" t="s">
        <v>9541</v>
      </c>
      <c r="G977" s="3" t="s">
        <v>62</v>
      </c>
      <c r="I977" s="3" t="s">
        <v>62</v>
      </c>
      <c r="J977" s="3" t="s">
        <v>62</v>
      </c>
      <c r="K977" s="3" t="s">
        <v>63</v>
      </c>
      <c r="M977" s="2" t="s">
        <v>9542</v>
      </c>
      <c r="N977" s="3" t="s">
        <v>1155</v>
      </c>
      <c r="P977" s="3" t="s">
        <v>65</v>
      </c>
      <c r="Q977" s="2" t="s">
        <v>7948</v>
      </c>
      <c r="R977" s="3" t="s">
        <v>66</v>
      </c>
      <c r="S977" s="4">
        <v>6</v>
      </c>
      <c r="T977" s="4">
        <v>6</v>
      </c>
      <c r="U977" s="5" t="s">
        <v>9543</v>
      </c>
      <c r="V977" s="5" t="s">
        <v>9543</v>
      </c>
      <c r="W977" s="5" t="s">
        <v>67</v>
      </c>
      <c r="X977" s="5" t="s">
        <v>67</v>
      </c>
      <c r="Y977" s="4">
        <v>119</v>
      </c>
      <c r="Z977" s="4">
        <v>18</v>
      </c>
      <c r="AA977" s="4">
        <v>90</v>
      </c>
      <c r="AB977" s="4">
        <v>2</v>
      </c>
      <c r="AC977" s="4">
        <v>18</v>
      </c>
      <c r="AD977" s="4">
        <v>43</v>
      </c>
      <c r="AE977" s="4">
        <v>108</v>
      </c>
      <c r="AF977" s="4">
        <v>1</v>
      </c>
      <c r="AG977" s="4">
        <v>8</v>
      </c>
      <c r="AH977" s="4">
        <v>37</v>
      </c>
      <c r="AI977" s="4">
        <v>76</v>
      </c>
      <c r="AJ977" s="4">
        <v>12</v>
      </c>
      <c r="AK977" s="4">
        <v>23</v>
      </c>
      <c r="AL977" s="4">
        <v>20</v>
      </c>
      <c r="AM977" s="4">
        <v>36</v>
      </c>
      <c r="AN977" s="4">
        <v>0</v>
      </c>
      <c r="AO977" s="4">
        <v>0</v>
      </c>
      <c r="AP977" s="4">
        <v>12</v>
      </c>
      <c r="AQ977" s="4">
        <v>41</v>
      </c>
      <c r="AR977" s="3" t="s">
        <v>62</v>
      </c>
      <c r="AS977" s="3" t="s">
        <v>62</v>
      </c>
      <c r="AT977" s="3" t="s">
        <v>62</v>
      </c>
      <c r="AV977" s="6" t="str">
        <f>HYPERLINK("http://mcgill.on.worldcat.org/oclc/795575211","Catalog Record")</f>
        <v>Catalog Record</v>
      </c>
      <c r="AW977" s="6" t="str">
        <f>HYPERLINK("http://www.worldcat.org/oclc/795575211","WorldCat Record")</f>
        <v>WorldCat Record</v>
      </c>
      <c r="AX977" s="3" t="s">
        <v>9544</v>
      </c>
      <c r="AY977" s="3" t="s">
        <v>9545</v>
      </c>
      <c r="AZ977" s="3" t="s">
        <v>9546</v>
      </c>
      <c r="BA977" s="3" t="s">
        <v>9546</v>
      </c>
      <c r="BB977" s="3" t="s">
        <v>9547</v>
      </c>
      <c r="BC977" s="3" t="s">
        <v>142</v>
      </c>
      <c r="BD977" s="3" t="s">
        <v>68</v>
      </c>
      <c r="BE977" s="3" t="s">
        <v>9548</v>
      </c>
      <c r="BF977" s="3" t="s">
        <v>9547</v>
      </c>
      <c r="BG977" s="3" t="s">
        <v>9549</v>
      </c>
    </row>
    <row r="978" spans="1:59" ht="57" x14ac:dyDescent="0.45">
      <c r="A978" s="2" t="s">
        <v>59</v>
      </c>
      <c r="B978" s="2" t="s">
        <v>412</v>
      </c>
      <c r="C978" s="2" t="s">
        <v>9550</v>
      </c>
      <c r="D978" s="2" t="s">
        <v>9551</v>
      </c>
      <c r="E978" s="2" t="s">
        <v>9552</v>
      </c>
      <c r="G978" s="3" t="s">
        <v>62</v>
      </c>
      <c r="I978" s="3" t="s">
        <v>62</v>
      </c>
      <c r="J978" s="3" t="s">
        <v>62</v>
      </c>
      <c r="K978" s="3" t="s">
        <v>63</v>
      </c>
      <c r="M978" s="2" t="s">
        <v>9553</v>
      </c>
      <c r="N978" s="3" t="s">
        <v>820</v>
      </c>
      <c r="P978" s="3" t="s">
        <v>65</v>
      </c>
      <c r="Q978" s="2" t="s">
        <v>9554</v>
      </c>
      <c r="R978" s="3" t="s">
        <v>66</v>
      </c>
      <c r="S978" s="4">
        <v>31</v>
      </c>
      <c r="T978" s="4">
        <v>31</v>
      </c>
      <c r="U978" s="5" t="s">
        <v>9523</v>
      </c>
      <c r="V978" s="5" t="s">
        <v>9523</v>
      </c>
      <c r="W978" s="5" t="s">
        <v>67</v>
      </c>
      <c r="X978" s="5" t="s">
        <v>67</v>
      </c>
      <c r="Y978" s="4">
        <v>211</v>
      </c>
      <c r="Z978" s="4">
        <v>26</v>
      </c>
      <c r="AA978" s="4">
        <v>107</v>
      </c>
      <c r="AB978" s="4">
        <v>3</v>
      </c>
      <c r="AC978" s="4">
        <v>18</v>
      </c>
      <c r="AD978" s="4">
        <v>72</v>
      </c>
      <c r="AE978" s="4">
        <v>125</v>
      </c>
      <c r="AF978" s="4">
        <v>1</v>
      </c>
      <c r="AG978" s="4">
        <v>8</v>
      </c>
      <c r="AH978" s="4">
        <v>62</v>
      </c>
      <c r="AI978" s="4">
        <v>87</v>
      </c>
      <c r="AJ978" s="4">
        <v>14</v>
      </c>
      <c r="AK978" s="4">
        <v>23</v>
      </c>
      <c r="AL978" s="4">
        <v>36</v>
      </c>
      <c r="AM978" s="4">
        <v>48</v>
      </c>
      <c r="AN978" s="4">
        <v>0</v>
      </c>
      <c r="AO978" s="4">
        <v>0</v>
      </c>
      <c r="AP978" s="4">
        <v>18</v>
      </c>
      <c r="AQ978" s="4">
        <v>47</v>
      </c>
      <c r="AR978" s="3" t="s">
        <v>62</v>
      </c>
      <c r="AS978" s="3" t="s">
        <v>62</v>
      </c>
      <c r="AT978" s="3" t="s">
        <v>61</v>
      </c>
      <c r="AU978" s="6" t="str">
        <f>HYPERLINK("http://catalog.hathitrust.org/Record/005690447","HathiTrust Record")</f>
        <v>HathiTrust Record</v>
      </c>
      <c r="AV978" s="6" t="str">
        <f>HYPERLINK("http://mcgill.on.worldcat.org/oclc/159822073","Catalog Record")</f>
        <v>Catalog Record</v>
      </c>
      <c r="AW978" s="6" t="str">
        <f>HYPERLINK("http://www.worldcat.org/oclc/159822073","WorldCat Record")</f>
        <v>WorldCat Record</v>
      </c>
      <c r="AX978" s="3" t="s">
        <v>9555</v>
      </c>
      <c r="AY978" s="3" t="s">
        <v>9556</v>
      </c>
      <c r="AZ978" s="3" t="s">
        <v>9557</v>
      </c>
      <c r="BA978" s="3" t="s">
        <v>9557</v>
      </c>
      <c r="BB978" s="3" t="s">
        <v>9558</v>
      </c>
      <c r="BC978" s="3" t="s">
        <v>142</v>
      </c>
      <c r="BD978" s="3" t="s">
        <v>308</v>
      </c>
      <c r="BE978" s="3" t="s">
        <v>9559</v>
      </c>
      <c r="BF978" s="3" t="s">
        <v>9558</v>
      </c>
      <c r="BG978" s="3" t="s">
        <v>9560</v>
      </c>
    </row>
    <row r="979" spans="1:59" ht="57" x14ac:dyDescent="0.45">
      <c r="A979" s="2" t="s">
        <v>59</v>
      </c>
      <c r="B979" s="2" t="s">
        <v>412</v>
      </c>
      <c r="C979" s="2" t="s">
        <v>9561</v>
      </c>
      <c r="D979" s="2" t="s">
        <v>9562</v>
      </c>
      <c r="E979" s="2" t="s">
        <v>9563</v>
      </c>
      <c r="G979" s="3" t="s">
        <v>62</v>
      </c>
      <c r="I979" s="3" t="s">
        <v>62</v>
      </c>
      <c r="J979" s="3" t="s">
        <v>62</v>
      </c>
      <c r="K979" s="3" t="s">
        <v>63</v>
      </c>
      <c r="L979" s="2" t="s">
        <v>9564</v>
      </c>
      <c r="M979" s="2" t="s">
        <v>9565</v>
      </c>
      <c r="N979" s="3" t="s">
        <v>945</v>
      </c>
      <c r="P979" s="3" t="s">
        <v>65</v>
      </c>
      <c r="Q979" s="2" t="s">
        <v>9566</v>
      </c>
      <c r="R979" s="3" t="s">
        <v>66</v>
      </c>
      <c r="S979" s="4">
        <v>13</v>
      </c>
      <c r="T979" s="4">
        <v>13</v>
      </c>
      <c r="U979" s="5" t="s">
        <v>7295</v>
      </c>
      <c r="V979" s="5" t="s">
        <v>7295</v>
      </c>
      <c r="W979" s="5" t="s">
        <v>67</v>
      </c>
      <c r="X979" s="5" t="s">
        <v>67</v>
      </c>
      <c r="Y979" s="4">
        <v>214</v>
      </c>
      <c r="Z979" s="4">
        <v>19</v>
      </c>
      <c r="AA979" s="4">
        <v>105</v>
      </c>
      <c r="AB979" s="4">
        <v>2</v>
      </c>
      <c r="AC979" s="4">
        <v>17</v>
      </c>
      <c r="AD979" s="4">
        <v>69</v>
      </c>
      <c r="AE979" s="4">
        <v>128</v>
      </c>
      <c r="AF979" s="4">
        <v>1</v>
      </c>
      <c r="AG979" s="4">
        <v>8</v>
      </c>
      <c r="AH979" s="4">
        <v>59</v>
      </c>
      <c r="AI979" s="4">
        <v>90</v>
      </c>
      <c r="AJ979" s="4">
        <v>12</v>
      </c>
      <c r="AK979" s="4">
        <v>24</v>
      </c>
      <c r="AL979" s="4">
        <v>36</v>
      </c>
      <c r="AM979" s="4">
        <v>46</v>
      </c>
      <c r="AN979" s="4">
        <v>0</v>
      </c>
      <c r="AO979" s="4">
        <v>0</v>
      </c>
      <c r="AP979" s="4">
        <v>14</v>
      </c>
      <c r="AQ979" s="4">
        <v>45</v>
      </c>
      <c r="AR979" s="3" t="s">
        <v>62</v>
      </c>
      <c r="AS979" s="3" t="s">
        <v>62</v>
      </c>
      <c r="AT979" s="3" t="s">
        <v>61</v>
      </c>
      <c r="AU979" s="6" t="str">
        <f>HYPERLINK("http://catalog.hathitrust.org/Record/005427638","HathiTrust Record")</f>
        <v>HathiTrust Record</v>
      </c>
      <c r="AV979" s="6" t="str">
        <f>HYPERLINK("http://mcgill.on.worldcat.org/oclc/73741838","Catalog Record")</f>
        <v>Catalog Record</v>
      </c>
      <c r="AW979" s="6" t="str">
        <f>HYPERLINK("http://www.worldcat.org/oclc/73741838","WorldCat Record")</f>
        <v>WorldCat Record</v>
      </c>
      <c r="AX979" s="3" t="s">
        <v>9567</v>
      </c>
      <c r="AY979" s="3" t="s">
        <v>9568</v>
      </c>
      <c r="AZ979" s="3" t="s">
        <v>9569</v>
      </c>
      <c r="BA979" s="3" t="s">
        <v>9569</v>
      </c>
      <c r="BB979" s="3" t="s">
        <v>9570</v>
      </c>
      <c r="BC979" s="3" t="s">
        <v>142</v>
      </c>
      <c r="BD979" s="3" t="s">
        <v>68</v>
      </c>
      <c r="BE979" s="3" t="s">
        <v>9571</v>
      </c>
      <c r="BF979" s="3" t="s">
        <v>9570</v>
      </c>
      <c r="BG979" s="3" t="s">
        <v>9572</v>
      </c>
    </row>
    <row r="980" spans="1:59" ht="57" x14ac:dyDescent="0.45">
      <c r="A980" s="2" t="s">
        <v>59</v>
      </c>
      <c r="B980" s="2" t="s">
        <v>60</v>
      </c>
      <c r="C980" s="2" t="s">
        <v>9573</v>
      </c>
      <c r="D980" s="2" t="s">
        <v>9574</v>
      </c>
      <c r="E980" s="2" t="s">
        <v>9575</v>
      </c>
      <c r="G980" s="3" t="s">
        <v>62</v>
      </c>
      <c r="I980" s="3" t="s">
        <v>62</v>
      </c>
      <c r="J980" s="3" t="s">
        <v>62</v>
      </c>
      <c r="K980" s="3" t="s">
        <v>63</v>
      </c>
      <c r="L980" s="2" t="s">
        <v>9576</v>
      </c>
      <c r="M980" s="2" t="s">
        <v>9577</v>
      </c>
      <c r="N980" s="3" t="s">
        <v>1097</v>
      </c>
      <c r="P980" s="3" t="s">
        <v>65</v>
      </c>
      <c r="R980" s="3" t="s">
        <v>66</v>
      </c>
      <c r="S980" s="4">
        <v>24</v>
      </c>
      <c r="T980" s="4">
        <v>24</v>
      </c>
      <c r="U980" s="5" t="s">
        <v>9578</v>
      </c>
      <c r="V980" s="5" t="s">
        <v>9578</v>
      </c>
      <c r="W980" s="5" t="s">
        <v>67</v>
      </c>
      <c r="X980" s="5" t="s">
        <v>67</v>
      </c>
      <c r="Y980" s="4">
        <v>179</v>
      </c>
      <c r="Z980" s="4">
        <v>19</v>
      </c>
      <c r="AA980" s="4">
        <v>20</v>
      </c>
      <c r="AB980" s="4">
        <v>2</v>
      </c>
      <c r="AC980" s="4">
        <v>2</v>
      </c>
      <c r="AD980" s="4">
        <v>45</v>
      </c>
      <c r="AE980" s="4">
        <v>47</v>
      </c>
      <c r="AF980" s="4">
        <v>1</v>
      </c>
      <c r="AG980" s="4">
        <v>1</v>
      </c>
      <c r="AH980" s="4">
        <v>35</v>
      </c>
      <c r="AI980" s="4">
        <v>37</v>
      </c>
      <c r="AJ980" s="4">
        <v>10</v>
      </c>
      <c r="AK980" s="4">
        <v>11</v>
      </c>
      <c r="AL980" s="4">
        <v>17</v>
      </c>
      <c r="AM980" s="4">
        <v>18</v>
      </c>
      <c r="AN980" s="4">
        <v>0</v>
      </c>
      <c r="AO980" s="4">
        <v>0</v>
      </c>
      <c r="AP980" s="4">
        <v>15</v>
      </c>
      <c r="AQ980" s="4">
        <v>16</v>
      </c>
      <c r="AR980" s="3" t="s">
        <v>62</v>
      </c>
      <c r="AS980" s="3" t="s">
        <v>62</v>
      </c>
      <c r="AT980" s="3" t="s">
        <v>61</v>
      </c>
      <c r="AU980" s="6" t="str">
        <f>HYPERLINK("http://catalog.hathitrust.org/Record/004345597","HathiTrust Record")</f>
        <v>HathiTrust Record</v>
      </c>
      <c r="AV980" s="6" t="str">
        <f>HYPERLINK("http://mcgill.on.worldcat.org/oclc/52594765","Catalog Record")</f>
        <v>Catalog Record</v>
      </c>
      <c r="AW980" s="6" t="str">
        <f>HYPERLINK("http://www.worldcat.org/oclc/52594765","WorldCat Record")</f>
        <v>WorldCat Record</v>
      </c>
      <c r="AX980" s="3" t="s">
        <v>9579</v>
      </c>
      <c r="AY980" s="3" t="s">
        <v>9580</v>
      </c>
      <c r="AZ980" s="3" t="s">
        <v>9581</v>
      </c>
      <c r="BA980" s="3" t="s">
        <v>9581</v>
      </c>
      <c r="BB980" s="3" t="s">
        <v>9582</v>
      </c>
      <c r="BC980" s="3" t="s">
        <v>142</v>
      </c>
      <c r="BD980" s="3" t="s">
        <v>68</v>
      </c>
      <c r="BE980" s="3" t="s">
        <v>9583</v>
      </c>
      <c r="BF980" s="3" t="s">
        <v>9582</v>
      </c>
      <c r="BG980" s="3" t="s">
        <v>9584</v>
      </c>
    </row>
    <row r="981" spans="1:59" ht="71.25" x14ac:dyDescent="0.45">
      <c r="A981" s="2" t="s">
        <v>59</v>
      </c>
      <c r="B981" s="2" t="s">
        <v>60</v>
      </c>
      <c r="C981" s="2" t="s">
        <v>9585</v>
      </c>
      <c r="D981" s="2" t="s">
        <v>9586</v>
      </c>
      <c r="E981" s="2" t="s">
        <v>9587</v>
      </c>
      <c r="G981" s="3" t="s">
        <v>62</v>
      </c>
      <c r="I981" s="3" t="s">
        <v>62</v>
      </c>
      <c r="J981" s="3" t="s">
        <v>62</v>
      </c>
      <c r="K981" s="3" t="s">
        <v>63</v>
      </c>
      <c r="L981" s="2" t="s">
        <v>9588</v>
      </c>
      <c r="M981" s="2" t="s">
        <v>9589</v>
      </c>
      <c r="N981" s="3" t="s">
        <v>1688</v>
      </c>
      <c r="P981" s="3" t="s">
        <v>65</v>
      </c>
      <c r="Q981" s="2" t="s">
        <v>9590</v>
      </c>
      <c r="R981" s="3" t="s">
        <v>66</v>
      </c>
      <c r="S981" s="4">
        <v>5</v>
      </c>
      <c r="T981" s="4">
        <v>5</v>
      </c>
      <c r="U981" s="5" t="s">
        <v>9543</v>
      </c>
      <c r="V981" s="5" t="s">
        <v>9543</v>
      </c>
      <c r="W981" s="5" t="s">
        <v>67</v>
      </c>
      <c r="X981" s="5" t="s">
        <v>67</v>
      </c>
      <c r="Y981" s="4">
        <v>120</v>
      </c>
      <c r="Z981" s="4">
        <v>15</v>
      </c>
      <c r="AA981" s="4">
        <v>54</v>
      </c>
      <c r="AB981" s="4">
        <v>2</v>
      </c>
      <c r="AC981" s="4">
        <v>8</v>
      </c>
      <c r="AD981" s="4">
        <v>43</v>
      </c>
      <c r="AE981" s="4">
        <v>65</v>
      </c>
      <c r="AF981" s="4">
        <v>1</v>
      </c>
      <c r="AG981" s="4">
        <v>4</v>
      </c>
      <c r="AH981" s="4">
        <v>38</v>
      </c>
      <c r="AI981" s="4">
        <v>46</v>
      </c>
      <c r="AJ981" s="4">
        <v>10</v>
      </c>
      <c r="AK981" s="4">
        <v>18</v>
      </c>
      <c r="AL981" s="4">
        <v>23</v>
      </c>
      <c r="AM981" s="4">
        <v>25</v>
      </c>
      <c r="AN981" s="4">
        <v>0</v>
      </c>
      <c r="AO981" s="4">
        <v>0</v>
      </c>
      <c r="AP981" s="4">
        <v>11</v>
      </c>
      <c r="AQ981" s="4">
        <v>25</v>
      </c>
      <c r="AR981" s="3" t="s">
        <v>62</v>
      </c>
      <c r="AS981" s="3" t="s">
        <v>62</v>
      </c>
      <c r="AT981" s="3" t="s">
        <v>62</v>
      </c>
      <c r="AV981" s="6" t="str">
        <f>HYPERLINK("http://mcgill.on.worldcat.org/oclc/773023797","Catalog Record")</f>
        <v>Catalog Record</v>
      </c>
      <c r="AW981" s="6" t="str">
        <f>HYPERLINK("http://www.worldcat.org/oclc/773023797","WorldCat Record")</f>
        <v>WorldCat Record</v>
      </c>
      <c r="AX981" s="3" t="s">
        <v>9591</v>
      </c>
      <c r="AY981" s="3" t="s">
        <v>9592</v>
      </c>
      <c r="AZ981" s="3" t="s">
        <v>9593</v>
      </c>
      <c r="BA981" s="3" t="s">
        <v>9593</v>
      </c>
      <c r="BB981" s="3" t="s">
        <v>9594</v>
      </c>
      <c r="BC981" s="3" t="s">
        <v>142</v>
      </c>
      <c r="BD981" s="3" t="s">
        <v>68</v>
      </c>
      <c r="BE981" s="3" t="s">
        <v>9595</v>
      </c>
      <c r="BF981" s="3" t="s">
        <v>9594</v>
      </c>
      <c r="BG981" s="3" t="s">
        <v>9596</v>
      </c>
    </row>
    <row r="982" spans="1:59" ht="57" x14ac:dyDescent="0.45">
      <c r="A982" s="2" t="s">
        <v>59</v>
      </c>
      <c r="B982" s="2" t="s">
        <v>412</v>
      </c>
      <c r="C982" s="2" t="s">
        <v>9597</v>
      </c>
      <c r="D982" s="2" t="s">
        <v>9598</v>
      </c>
      <c r="E982" s="2" t="s">
        <v>9599</v>
      </c>
      <c r="G982" s="3" t="s">
        <v>62</v>
      </c>
      <c r="I982" s="3" t="s">
        <v>62</v>
      </c>
      <c r="J982" s="3" t="s">
        <v>62</v>
      </c>
      <c r="K982" s="3" t="s">
        <v>63</v>
      </c>
      <c r="M982" s="2" t="s">
        <v>9600</v>
      </c>
      <c r="N982" s="3" t="s">
        <v>1212</v>
      </c>
      <c r="P982" s="3" t="s">
        <v>65</v>
      </c>
      <c r="R982" s="3" t="s">
        <v>66</v>
      </c>
      <c r="S982" s="4">
        <v>15</v>
      </c>
      <c r="T982" s="4">
        <v>15</v>
      </c>
      <c r="U982" s="5" t="s">
        <v>9601</v>
      </c>
      <c r="V982" s="5" t="s">
        <v>9601</v>
      </c>
      <c r="W982" s="5" t="s">
        <v>67</v>
      </c>
      <c r="X982" s="5" t="s">
        <v>67</v>
      </c>
      <c r="Y982" s="4">
        <v>330</v>
      </c>
      <c r="Z982" s="4">
        <v>15</v>
      </c>
      <c r="AA982" s="4">
        <v>25</v>
      </c>
      <c r="AB982" s="4">
        <v>2</v>
      </c>
      <c r="AC982" s="4">
        <v>10</v>
      </c>
      <c r="AD982" s="4">
        <v>90</v>
      </c>
      <c r="AE982" s="4">
        <v>104</v>
      </c>
      <c r="AF982" s="4">
        <v>1</v>
      </c>
      <c r="AG982" s="4">
        <v>6</v>
      </c>
      <c r="AH982" s="4">
        <v>83</v>
      </c>
      <c r="AI982" s="4">
        <v>92</v>
      </c>
      <c r="AJ982" s="4">
        <v>13</v>
      </c>
      <c r="AK982" s="4">
        <v>17</v>
      </c>
      <c r="AL982" s="4">
        <v>47</v>
      </c>
      <c r="AM982" s="4">
        <v>52</v>
      </c>
      <c r="AN982" s="4">
        <v>0</v>
      </c>
      <c r="AO982" s="4">
        <v>0</v>
      </c>
      <c r="AP982" s="4">
        <v>13</v>
      </c>
      <c r="AQ982" s="4">
        <v>17</v>
      </c>
      <c r="AR982" s="3" t="s">
        <v>62</v>
      </c>
      <c r="AS982" s="3" t="s">
        <v>62</v>
      </c>
      <c r="AT982" s="3" t="s">
        <v>61</v>
      </c>
      <c r="AU982" s="6" t="str">
        <f>HYPERLINK("http://catalog.hathitrust.org/Record/004115604","HathiTrust Record")</f>
        <v>HathiTrust Record</v>
      </c>
      <c r="AV982" s="6" t="str">
        <f>HYPERLINK("http://mcgill.on.worldcat.org/oclc/43095839","Catalog Record")</f>
        <v>Catalog Record</v>
      </c>
      <c r="AW982" s="6" t="str">
        <f>HYPERLINK("http://www.worldcat.org/oclc/43095839","WorldCat Record")</f>
        <v>WorldCat Record</v>
      </c>
      <c r="AX982" s="3" t="s">
        <v>9602</v>
      </c>
      <c r="AY982" s="3" t="s">
        <v>9603</v>
      </c>
      <c r="AZ982" s="3" t="s">
        <v>9604</v>
      </c>
      <c r="BA982" s="3" t="s">
        <v>9604</v>
      </c>
      <c r="BB982" s="3" t="s">
        <v>9605</v>
      </c>
      <c r="BC982" s="3" t="s">
        <v>142</v>
      </c>
      <c r="BD982" s="3" t="s">
        <v>68</v>
      </c>
      <c r="BE982" s="3" t="s">
        <v>9606</v>
      </c>
      <c r="BF982" s="3" t="s">
        <v>9605</v>
      </c>
      <c r="BG982" s="3" t="s">
        <v>9607</v>
      </c>
    </row>
    <row r="983" spans="1:59" ht="57" x14ac:dyDescent="0.45">
      <c r="A983" s="2" t="s">
        <v>59</v>
      </c>
      <c r="B983" s="2" t="s">
        <v>412</v>
      </c>
      <c r="C983" s="2" t="s">
        <v>9608</v>
      </c>
      <c r="D983" s="2" t="s">
        <v>9609</v>
      </c>
      <c r="E983" s="2" t="s">
        <v>9610</v>
      </c>
      <c r="G983" s="3" t="s">
        <v>62</v>
      </c>
      <c r="I983" s="3" t="s">
        <v>62</v>
      </c>
      <c r="J983" s="3" t="s">
        <v>61</v>
      </c>
      <c r="K983" s="3" t="s">
        <v>63</v>
      </c>
      <c r="L983" s="2" t="s">
        <v>9611</v>
      </c>
      <c r="M983" s="2" t="s">
        <v>9612</v>
      </c>
      <c r="N983" s="3" t="s">
        <v>1253</v>
      </c>
      <c r="P983" s="3" t="s">
        <v>65</v>
      </c>
      <c r="Q983" s="2" t="s">
        <v>9613</v>
      </c>
      <c r="R983" s="3" t="s">
        <v>66</v>
      </c>
      <c r="S983" s="4">
        <v>23</v>
      </c>
      <c r="T983" s="4">
        <v>23</v>
      </c>
      <c r="U983" s="5" t="s">
        <v>1554</v>
      </c>
      <c r="V983" s="5" t="s">
        <v>1554</v>
      </c>
      <c r="W983" s="5" t="s">
        <v>67</v>
      </c>
      <c r="X983" s="5" t="s">
        <v>67</v>
      </c>
      <c r="Y983" s="4">
        <v>338</v>
      </c>
      <c r="Z983" s="4">
        <v>17</v>
      </c>
      <c r="AA983" s="4">
        <v>111</v>
      </c>
      <c r="AB983" s="4">
        <v>2</v>
      </c>
      <c r="AC983" s="4">
        <v>17</v>
      </c>
      <c r="AD983" s="4">
        <v>68</v>
      </c>
      <c r="AE983" s="4">
        <v>142</v>
      </c>
      <c r="AF983" s="4">
        <v>1</v>
      </c>
      <c r="AG983" s="4">
        <v>8</v>
      </c>
      <c r="AH983" s="4">
        <v>59</v>
      </c>
      <c r="AI983" s="4">
        <v>100</v>
      </c>
      <c r="AJ983" s="4">
        <v>12</v>
      </c>
      <c r="AK983" s="4">
        <v>25</v>
      </c>
      <c r="AL983" s="4">
        <v>30</v>
      </c>
      <c r="AM983" s="4">
        <v>53</v>
      </c>
      <c r="AN983" s="4">
        <v>0</v>
      </c>
      <c r="AO983" s="4">
        <v>0</v>
      </c>
      <c r="AP983" s="4">
        <v>13</v>
      </c>
      <c r="AQ983" s="4">
        <v>49</v>
      </c>
      <c r="AR983" s="3" t="s">
        <v>62</v>
      </c>
      <c r="AS983" s="3" t="s">
        <v>62</v>
      </c>
      <c r="AT983" s="3" t="s">
        <v>61</v>
      </c>
      <c r="AU983" s="6" t="str">
        <f>HYPERLINK("http://catalog.hathitrust.org/Record/007135326","HathiTrust Record")</f>
        <v>HathiTrust Record</v>
      </c>
      <c r="AV983" s="6" t="str">
        <f>HYPERLINK("http://mcgill.on.worldcat.org/oclc/36485825","Catalog Record")</f>
        <v>Catalog Record</v>
      </c>
      <c r="AW983" s="6" t="str">
        <f>HYPERLINK("http://www.worldcat.org/oclc/36485825","WorldCat Record")</f>
        <v>WorldCat Record</v>
      </c>
      <c r="AX983" s="3" t="s">
        <v>9614</v>
      </c>
      <c r="AY983" s="3" t="s">
        <v>9615</v>
      </c>
      <c r="AZ983" s="3" t="s">
        <v>9616</v>
      </c>
      <c r="BA983" s="3" t="s">
        <v>9616</v>
      </c>
      <c r="BB983" s="3" t="s">
        <v>9617</v>
      </c>
      <c r="BC983" s="3" t="s">
        <v>142</v>
      </c>
      <c r="BD983" s="3" t="s">
        <v>68</v>
      </c>
      <c r="BE983" s="3" t="s">
        <v>9618</v>
      </c>
      <c r="BF983" s="3" t="s">
        <v>9617</v>
      </c>
      <c r="BG983" s="3" t="s">
        <v>9619</v>
      </c>
    </row>
    <row r="984" spans="1:59" ht="57" x14ac:dyDescent="0.45">
      <c r="A984" s="2" t="s">
        <v>59</v>
      </c>
      <c r="B984" s="2" t="s">
        <v>60</v>
      </c>
      <c r="C984" s="2" t="s">
        <v>9620</v>
      </c>
      <c r="D984" s="2" t="s">
        <v>9621</v>
      </c>
      <c r="E984" s="2" t="s">
        <v>9622</v>
      </c>
      <c r="G984" s="3" t="s">
        <v>62</v>
      </c>
      <c r="I984" s="3" t="s">
        <v>62</v>
      </c>
      <c r="J984" s="3" t="s">
        <v>62</v>
      </c>
      <c r="K984" s="3" t="s">
        <v>63</v>
      </c>
      <c r="M984" s="2" t="s">
        <v>9623</v>
      </c>
      <c r="N984" s="3" t="s">
        <v>1097</v>
      </c>
      <c r="P984" s="3" t="s">
        <v>65</v>
      </c>
      <c r="Q984" s="2" t="s">
        <v>9624</v>
      </c>
      <c r="R984" s="3" t="s">
        <v>66</v>
      </c>
      <c r="S984" s="4">
        <v>9</v>
      </c>
      <c r="T984" s="4">
        <v>9</v>
      </c>
      <c r="U984" s="5" t="s">
        <v>9625</v>
      </c>
      <c r="V984" s="5" t="s">
        <v>9625</v>
      </c>
      <c r="W984" s="5" t="s">
        <v>67</v>
      </c>
      <c r="X984" s="5" t="s">
        <v>67</v>
      </c>
      <c r="Y984" s="4">
        <v>160</v>
      </c>
      <c r="Z984" s="4">
        <v>15</v>
      </c>
      <c r="AA984" s="4">
        <v>102</v>
      </c>
      <c r="AB984" s="4">
        <v>2</v>
      </c>
      <c r="AC984" s="4">
        <v>17</v>
      </c>
      <c r="AD984" s="4">
        <v>44</v>
      </c>
      <c r="AE984" s="4">
        <v>109</v>
      </c>
      <c r="AF984" s="4">
        <v>1</v>
      </c>
      <c r="AG984" s="4">
        <v>8</v>
      </c>
      <c r="AH984" s="4">
        <v>37</v>
      </c>
      <c r="AI984" s="4">
        <v>73</v>
      </c>
      <c r="AJ984" s="4">
        <v>12</v>
      </c>
      <c r="AK984" s="4">
        <v>23</v>
      </c>
      <c r="AL984" s="4">
        <v>22</v>
      </c>
      <c r="AM984" s="4">
        <v>34</v>
      </c>
      <c r="AN984" s="4">
        <v>0</v>
      </c>
      <c r="AO984" s="4">
        <v>0</v>
      </c>
      <c r="AP984" s="4">
        <v>13</v>
      </c>
      <c r="AQ984" s="4">
        <v>45</v>
      </c>
      <c r="AR984" s="3" t="s">
        <v>62</v>
      </c>
      <c r="AS984" s="3" t="s">
        <v>62</v>
      </c>
      <c r="AT984" s="3" t="s">
        <v>61</v>
      </c>
      <c r="AU984" s="6" t="str">
        <f>HYPERLINK("http://catalog.hathitrust.org/Record/007144297","HathiTrust Record")</f>
        <v>HathiTrust Record</v>
      </c>
      <c r="AV984" s="6" t="str">
        <f>HYPERLINK("http://mcgill.on.worldcat.org/oclc/53793575","Catalog Record")</f>
        <v>Catalog Record</v>
      </c>
      <c r="AW984" s="6" t="str">
        <f>HYPERLINK("http://www.worldcat.org/oclc/53793575","WorldCat Record")</f>
        <v>WorldCat Record</v>
      </c>
      <c r="AX984" s="3" t="s">
        <v>9626</v>
      </c>
      <c r="AY984" s="3" t="s">
        <v>9627</v>
      </c>
      <c r="AZ984" s="3" t="s">
        <v>9628</v>
      </c>
      <c r="BA984" s="3" t="s">
        <v>9628</v>
      </c>
      <c r="BB984" s="3" t="s">
        <v>9629</v>
      </c>
      <c r="BC984" s="3" t="s">
        <v>142</v>
      </c>
      <c r="BD984" s="3" t="s">
        <v>68</v>
      </c>
      <c r="BE984" s="3" t="s">
        <v>9630</v>
      </c>
      <c r="BF984" s="3" t="s">
        <v>9629</v>
      </c>
      <c r="BG984" s="3" t="s">
        <v>9631</v>
      </c>
    </row>
    <row r="985" spans="1:59" ht="57" x14ac:dyDescent="0.45">
      <c r="A985" s="2" t="s">
        <v>59</v>
      </c>
      <c r="B985" s="2" t="s">
        <v>60</v>
      </c>
      <c r="C985" s="2" t="s">
        <v>9632</v>
      </c>
      <c r="D985" s="2" t="s">
        <v>9633</v>
      </c>
      <c r="E985" s="2" t="s">
        <v>9634</v>
      </c>
      <c r="G985" s="3" t="s">
        <v>62</v>
      </c>
      <c r="I985" s="3" t="s">
        <v>62</v>
      </c>
      <c r="J985" s="3" t="s">
        <v>62</v>
      </c>
      <c r="K985" s="3" t="s">
        <v>63</v>
      </c>
      <c r="M985" s="2" t="s">
        <v>9635</v>
      </c>
      <c r="N985" s="3" t="s">
        <v>918</v>
      </c>
      <c r="P985" s="3" t="s">
        <v>65</v>
      </c>
      <c r="Q985" s="2" t="s">
        <v>9636</v>
      </c>
      <c r="R985" s="3" t="s">
        <v>66</v>
      </c>
      <c r="S985" s="4">
        <v>24</v>
      </c>
      <c r="T985" s="4">
        <v>24</v>
      </c>
      <c r="U985" s="5" t="s">
        <v>8644</v>
      </c>
      <c r="V985" s="5" t="s">
        <v>8644</v>
      </c>
      <c r="W985" s="5" t="s">
        <v>67</v>
      </c>
      <c r="X985" s="5" t="s">
        <v>67</v>
      </c>
      <c r="Y985" s="4">
        <v>205</v>
      </c>
      <c r="Z985" s="4">
        <v>12</v>
      </c>
      <c r="AA985" s="4">
        <v>92</v>
      </c>
      <c r="AB985" s="4">
        <v>2</v>
      </c>
      <c r="AC985" s="4">
        <v>17</v>
      </c>
      <c r="AD985" s="4">
        <v>58</v>
      </c>
      <c r="AE985" s="4">
        <v>113</v>
      </c>
      <c r="AF985" s="4">
        <v>1</v>
      </c>
      <c r="AG985" s="4">
        <v>8</v>
      </c>
      <c r="AH985" s="4">
        <v>51</v>
      </c>
      <c r="AI985" s="4">
        <v>77</v>
      </c>
      <c r="AJ985" s="4">
        <v>8</v>
      </c>
      <c r="AK985" s="4">
        <v>21</v>
      </c>
      <c r="AL985" s="4">
        <v>24</v>
      </c>
      <c r="AM985" s="4">
        <v>39</v>
      </c>
      <c r="AN985" s="4">
        <v>0</v>
      </c>
      <c r="AO985" s="4">
        <v>0</v>
      </c>
      <c r="AP985" s="4">
        <v>10</v>
      </c>
      <c r="AQ985" s="4">
        <v>44</v>
      </c>
      <c r="AR985" s="3" t="s">
        <v>62</v>
      </c>
      <c r="AS985" s="3" t="s">
        <v>62</v>
      </c>
      <c r="AT985" s="3" t="s">
        <v>62</v>
      </c>
      <c r="AV985" s="6" t="str">
        <f>HYPERLINK("http://mcgill.on.worldcat.org/oclc/51460820","Catalog Record")</f>
        <v>Catalog Record</v>
      </c>
      <c r="AW985" s="6" t="str">
        <f>HYPERLINK("http://www.worldcat.org/oclc/51460820","WorldCat Record")</f>
        <v>WorldCat Record</v>
      </c>
      <c r="AX985" s="3" t="s">
        <v>9637</v>
      </c>
      <c r="AY985" s="3" t="s">
        <v>9638</v>
      </c>
      <c r="AZ985" s="3" t="s">
        <v>9639</v>
      </c>
      <c r="BA985" s="3" t="s">
        <v>9639</v>
      </c>
      <c r="BB985" s="3" t="s">
        <v>9640</v>
      </c>
      <c r="BC985" s="3" t="s">
        <v>142</v>
      </c>
      <c r="BD985" s="3" t="s">
        <v>68</v>
      </c>
      <c r="BE985" s="3" t="s">
        <v>9641</v>
      </c>
      <c r="BF985" s="3" t="s">
        <v>9640</v>
      </c>
      <c r="BG985" s="3" t="s">
        <v>9642</v>
      </c>
    </row>
    <row r="986" spans="1:59" ht="57" x14ac:dyDescent="0.45">
      <c r="A986" s="2" t="s">
        <v>59</v>
      </c>
      <c r="B986" s="2" t="s">
        <v>60</v>
      </c>
      <c r="C986" s="2" t="s">
        <v>9643</v>
      </c>
      <c r="D986" s="2" t="s">
        <v>9644</v>
      </c>
      <c r="E986" s="2" t="s">
        <v>9645</v>
      </c>
      <c r="G986" s="3" t="s">
        <v>62</v>
      </c>
      <c r="I986" s="3" t="s">
        <v>62</v>
      </c>
      <c r="J986" s="3" t="s">
        <v>62</v>
      </c>
      <c r="K986" s="3" t="s">
        <v>63</v>
      </c>
      <c r="L986" s="2" t="s">
        <v>7219</v>
      </c>
      <c r="M986" s="2" t="s">
        <v>9646</v>
      </c>
      <c r="N986" s="3" t="s">
        <v>820</v>
      </c>
      <c r="P986" s="3" t="s">
        <v>65</v>
      </c>
      <c r="R986" s="3" t="s">
        <v>66</v>
      </c>
      <c r="S986" s="4">
        <v>7</v>
      </c>
      <c r="T986" s="4">
        <v>7</v>
      </c>
      <c r="U986" s="5" t="s">
        <v>9625</v>
      </c>
      <c r="V986" s="5" t="s">
        <v>9625</v>
      </c>
      <c r="W986" s="5" t="s">
        <v>67</v>
      </c>
      <c r="X986" s="5" t="s">
        <v>67</v>
      </c>
      <c r="Y986" s="4">
        <v>417</v>
      </c>
      <c r="Z986" s="4">
        <v>23</v>
      </c>
      <c r="AA986" s="4">
        <v>25</v>
      </c>
      <c r="AB986" s="4">
        <v>2</v>
      </c>
      <c r="AC986" s="4">
        <v>4</v>
      </c>
      <c r="AD986" s="4">
        <v>105</v>
      </c>
      <c r="AE986" s="4">
        <v>110</v>
      </c>
      <c r="AF986" s="4">
        <v>1</v>
      </c>
      <c r="AG986" s="4">
        <v>3</v>
      </c>
      <c r="AH986" s="4">
        <v>94</v>
      </c>
      <c r="AI986" s="4">
        <v>98</v>
      </c>
      <c r="AJ986" s="4">
        <v>16</v>
      </c>
      <c r="AK986" s="4">
        <v>18</v>
      </c>
      <c r="AL986" s="4">
        <v>49</v>
      </c>
      <c r="AM986" s="4">
        <v>50</v>
      </c>
      <c r="AN986" s="4">
        <v>0</v>
      </c>
      <c r="AO986" s="4">
        <v>0</v>
      </c>
      <c r="AP986" s="4">
        <v>20</v>
      </c>
      <c r="AQ986" s="4">
        <v>22</v>
      </c>
      <c r="AR986" s="3" t="s">
        <v>62</v>
      </c>
      <c r="AS986" s="3" t="s">
        <v>62</v>
      </c>
      <c r="AT986" s="3" t="s">
        <v>61</v>
      </c>
      <c r="AU986" s="6" t="str">
        <f>HYPERLINK("http://catalog.hathitrust.org/Record/005583686","HathiTrust Record")</f>
        <v>HathiTrust Record</v>
      </c>
      <c r="AV986" s="6" t="str">
        <f>HYPERLINK("http://mcgill.on.worldcat.org/oclc/123349739","Catalog Record")</f>
        <v>Catalog Record</v>
      </c>
      <c r="AW986" s="6" t="str">
        <f>HYPERLINK("http://www.worldcat.org/oclc/123349739","WorldCat Record")</f>
        <v>WorldCat Record</v>
      </c>
      <c r="AX986" s="3" t="s">
        <v>9647</v>
      </c>
      <c r="AY986" s="3" t="s">
        <v>9648</v>
      </c>
      <c r="AZ986" s="3" t="s">
        <v>9649</v>
      </c>
      <c r="BA986" s="3" t="s">
        <v>9649</v>
      </c>
      <c r="BB986" s="3" t="s">
        <v>9650</v>
      </c>
      <c r="BC986" s="3" t="s">
        <v>142</v>
      </c>
      <c r="BD986" s="3" t="s">
        <v>68</v>
      </c>
      <c r="BE986" s="3" t="s">
        <v>9651</v>
      </c>
      <c r="BF986" s="3" t="s">
        <v>9650</v>
      </c>
      <c r="BG986" s="3" t="s">
        <v>9652</v>
      </c>
    </row>
    <row r="987" spans="1:59" ht="57" x14ac:dyDescent="0.45">
      <c r="A987" s="2" t="s">
        <v>59</v>
      </c>
      <c r="B987" s="2" t="s">
        <v>60</v>
      </c>
      <c r="C987" s="2" t="s">
        <v>9653</v>
      </c>
      <c r="D987" s="2" t="s">
        <v>9654</v>
      </c>
      <c r="E987" s="2" t="s">
        <v>9655</v>
      </c>
      <c r="G987" s="3" t="s">
        <v>62</v>
      </c>
      <c r="I987" s="3" t="s">
        <v>62</v>
      </c>
      <c r="J987" s="3" t="s">
        <v>62</v>
      </c>
      <c r="K987" s="3" t="s">
        <v>63</v>
      </c>
      <c r="M987" s="2" t="s">
        <v>9656</v>
      </c>
      <c r="N987" s="3" t="s">
        <v>1437</v>
      </c>
      <c r="P987" s="3" t="s">
        <v>65</v>
      </c>
      <c r="Q987" s="2" t="s">
        <v>7244</v>
      </c>
      <c r="R987" s="3" t="s">
        <v>66</v>
      </c>
      <c r="S987" s="4">
        <v>16</v>
      </c>
      <c r="T987" s="4">
        <v>16</v>
      </c>
      <c r="U987" s="5" t="s">
        <v>7845</v>
      </c>
      <c r="V987" s="5" t="s">
        <v>7845</v>
      </c>
      <c r="W987" s="5" t="s">
        <v>67</v>
      </c>
      <c r="X987" s="5" t="s">
        <v>67</v>
      </c>
      <c r="Y987" s="4">
        <v>439</v>
      </c>
      <c r="Z987" s="4">
        <v>25</v>
      </c>
      <c r="AA987" s="4">
        <v>30</v>
      </c>
      <c r="AB987" s="4">
        <v>2</v>
      </c>
      <c r="AC987" s="4">
        <v>6</v>
      </c>
      <c r="AD987" s="4">
        <v>95</v>
      </c>
      <c r="AE987" s="4">
        <v>99</v>
      </c>
      <c r="AF987" s="4">
        <v>1</v>
      </c>
      <c r="AG987" s="4">
        <v>4</v>
      </c>
      <c r="AH987" s="4">
        <v>77</v>
      </c>
      <c r="AI987" s="4">
        <v>78</v>
      </c>
      <c r="AJ987" s="4">
        <v>15</v>
      </c>
      <c r="AK987" s="4">
        <v>18</v>
      </c>
      <c r="AL987" s="4">
        <v>46</v>
      </c>
      <c r="AM987" s="4">
        <v>46</v>
      </c>
      <c r="AN987" s="4">
        <v>0</v>
      </c>
      <c r="AO987" s="4">
        <v>0</v>
      </c>
      <c r="AP987" s="4">
        <v>22</v>
      </c>
      <c r="AQ987" s="4">
        <v>25</v>
      </c>
      <c r="AR987" s="3" t="s">
        <v>62</v>
      </c>
      <c r="AS987" s="3" t="s">
        <v>62</v>
      </c>
      <c r="AT987" s="3" t="s">
        <v>62</v>
      </c>
      <c r="AV987" s="6" t="str">
        <f>HYPERLINK("http://mcgill.on.worldcat.org/oclc/38067616","Catalog Record")</f>
        <v>Catalog Record</v>
      </c>
      <c r="AW987" s="6" t="str">
        <f>HYPERLINK("http://www.worldcat.org/oclc/38067616","WorldCat Record")</f>
        <v>WorldCat Record</v>
      </c>
      <c r="AX987" s="3" t="s">
        <v>9657</v>
      </c>
      <c r="AY987" s="3" t="s">
        <v>9658</v>
      </c>
      <c r="AZ987" s="3" t="s">
        <v>9659</v>
      </c>
      <c r="BA987" s="3" t="s">
        <v>9659</v>
      </c>
      <c r="BB987" s="3" t="s">
        <v>9660</v>
      </c>
      <c r="BC987" s="3" t="s">
        <v>142</v>
      </c>
      <c r="BD987" s="3" t="s">
        <v>68</v>
      </c>
      <c r="BE987" s="3" t="s">
        <v>9661</v>
      </c>
      <c r="BF987" s="3" t="s">
        <v>9660</v>
      </c>
      <c r="BG987" s="3" t="s">
        <v>9662</v>
      </c>
    </row>
    <row r="988" spans="1:59" ht="57" x14ac:dyDescent="0.45">
      <c r="A988" s="2" t="s">
        <v>59</v>
      </c>
      <c r="B988" s="2" t="s">
        <v>60</v>
      </c>
      <c r="C988" s="2" t="s">
        <v>9663</v>
      </c>
      <c r="D988" s="2" t="s">
        <v>9664</v>
      </c>
      <c r="E988" s="2" t="s">
        <v>9665</v>
      </c>
      <c r="G988" s="3" t="s">
        <v>62</v>
      </c>
      <c r="I988" s="3" t="s">
        <v>62</v>
      </c>
      <c r="J988" s="3" t="s">
        <v>62</v>
      </c>
      <c r="K988" s="3" t="s">
        <v>63</v>
      </c>
      <c r="L988" s="2" t="s">
        <v>9666</v>
      </c>
      <c r="M988" s="2" t="s">
        <v>9667</v>
      </c>
      <c r="N988" s="3" t="s">
        <v>894</v>
      </c>
      <c r="P988" s="3" t="s">
        <v>65</v>
      </c>
      <c r="R988" s="3" t="s">
        <v>66</v>
      </c>
      <c r="S988" s="4">
        <v>0</v>
      </c>
      <c r="T988" s="4">
        <v>0</v>
      </c>
      <c r="W988" s="5" t="s">
        <v>67</v>
      </c>
      <c r="X988" s="5" t="s">
        <v>67</v>
      </c>
      <c r="Y988" s="4">
        <v>172</v>
      </c>
      <c r="Z988" s="4">
        <v>13</v>
      </c>
      <c r="AA988" s="4">
        <v>81</v>
      </c>
      <c r="AB988" s="4">
        <v>1</v>
      </c>
      <c r="AC988" s="4">
        <v>14</v>
      </c>
      <c r="AD988" s="4">
        <v>69</v>
      </c>
      <c r="AE988" s="4">
        <v>127</v>
      </c>
      <c r="AF988" s="4">
        <v>0</v>
      </c>
      <c r="AG988" s="4">
        <v>8</v>
      </c>
      <c r="AH988" s="4">
        <v>64</v>
      </c>
      <c r="AI988" s="4">
        <v>92</v>
      </c>
      <c r="AJ988" s="4">
        <v>10</v>
      </c>
      <c r="AK988" s="4">
        <v>23</v>
      </c>
      <c r="AL988" s="4">
        <v>35</v>
      </c>
      <c r="AM988" s="4">
        <v>47</v>
      </c>
      <c r="AN988" s="4">
        <v>0</v>
      </c>
      <c r="AO988" s="4">
        <v>0</v>
      </c>
      <c r="AP988" s="4">
        <v>11</v>
      </c>
      <c r="AQ988" s="4">
        <v>43</v>
      </c>
      <c r="AR988" s="3" t="s">
        <v>62</v>
      </c>
      <c r="AS988" s="3" t="s">
        <v>62</v>
      </c>
      <c r="AT988" s="3" t="s">
        <v>62</v>
      </c>
      <c r="AV988" s="6" t="str">
        <f>HYPERLINK("http://mcgill.on.worldcat.org/oclc/711048214","Catalog Record")</f>
        <v>Catalog Record</v>
      </c>
      <c r="AW988" s="6" t="str">
        <f>HYPERLINK("http://www.worldcat.org/oclc/711048214","WorldCat Record")</f>
        <v>WorldCat Record</v>
      </c>
      <c r="AX988" s="3" t="s">
        <v>9668</v>
      </c>
      <c r="AY988" s="3" t="s">
        <v>9669</v>
      </c>
      <c r="AZ988" s="3" t="s">
        <v>9670</v>
      </c>
      <c r="BA988" s="3" t="s">
        <v>9670</v>
      </c>
      <c r="BB988" s="3" t="s">
        <v>9671</v>
      </c>
      <c r="BC988" s="3" t="s">
        <v>142</v>
      </c>
      <c r="BD988" s="3" t="s">
        <v>68</v>
      </c>
      <c r="BE988" s="3" t="s">
        <v>9672</v>
      </c>
      <c r="BF988" s="3" t="s">
        <v>9671</v>
      </c>
      <c r="BG988" s="3" t="s">
        <v>9673</v>
      </c>
    </row>
    <row r="989" spans="1:59" ht="57" x14ac:dyDescent="0.45">
      <c r="A989" s="2" t="s">
        <v>59</v>
      </c>
      <c r="B989" s="2" t="s">
        <v>60</v>
      </c>
      <c r="C989" s="2" t="s">
        <v>9674</v>
      </c>
      <c r="D989" s="2" t="s">
        <v>9675</v>
      </c>
      <c r="E989" s="2" t="s">
        <v>9676</v>
      </c>
      <c r="G989" s="3" t="s">
        <v>62</v>
      </c>
      <c r="I989" s="3" t="s">
        <v>62</v>
      </c>
      <c r="J989" s="3" t="s">
        <v>62</v>
      </c>
      <c r="K989" s="3" t="s">
        <v>63</v>
      </c>
      <c r="L989" s="2" t="s">
        <v>9677</v>
      </c>
      <c r="M989" s="2" t="s">
        <v>8226</v>
      </c>
      <c r="N989" s="3" t="s">
        <v>1855</v>
      </c>
      <c r="P989" s="3" t="s">
        <v>65</v>
      </c>
      <c r="Q989" s="2" t="s">
        <v>9678</v>
      </c>
      <c r="R989" s="3" t="s">
        <v>66</v>
      </c>
      <c r="S989" s="4">
        <v>5</v>
      </c>
      <c r="T989" s="4">
        <v>5</v>
      </c>
      <c r="U989" s="5" t="s">
        <v>8465</v>
      </c>
      <c r="V989" s="5" t="s">
        <v>8465</v>
      </c>
      <c r="W989" s="5" t="s">
        <v>67</v>
      </c>
      <c r="X989" s="5" t="s">
        <v>67</v>
      </c>
      <c r="Y989" s="4">
        <v>174</v>
      </c>
      <c r="Z989" s="4">
        <v>9</v>
      </c>
      <c r="AA989" s="4">
        <v>103</v>
      </c>
      <c r="AB989" s="4">
        <v>2</v>
      </c>
      <c r="AC989" s="4">
        <v>17</v>
      </c>
      <c r="AD989" s="4">
        <v>49</v>
      </c>
      <c r="AE989" s="4">
        <v>121</v>
      </c>
      <c r="AF989" s="4">
        <v>1</v>
      </c>
      <c r="AG989" s="4">
        <v>8</v>
      </c>
      <c r="AH989" s="4">
        <v>44</v>
      </c>
      <c r="AI989" s="4">
        <v>84</v>
      </c>
      <c r="AJ989" s="4">
        <v>8</v>
      </c>
      <c r="AK989" s="4">
        <v>23</v>
      </c>
      <c r="AL989" s="4">
        <v>22</v>
      </c>
      <c r="AM989" s="4">
        <v>40</v>
      </c>
      <c r="AN989" s="4">
        <v>0</v>
      </c>
      <c r="AO989" s="4">
        <v>0</v>
      </c>
      <c r="AP989" s="4">
        <v>8</v>
      </c>
      <c r="AQ989" s="4">
        <v>44</v>
      </c>
      <c r="AR989" s="3" t="s">
        <v>62</v>
      </c>
      <c r="AS989" s="3" t="s">
        <v>62</v>
      </c>
      <c r="AT989" s="3" t="s">
        <v>62</v>
      </c>
      <c r="AV989" s="6" t="str">
        <f>HYPERLINK("http://mcgill.on.worldcat.org/oclc/58843172","Catalog Record")</f>
        <v>Catalog Record</v>
      </c>
      <c r="AW989" s="6" t="str">
        <f>HYPERLINK("http://www.worldcat.org/oclc/58843172","WorldCat Record")</f>
        <v>WorldCat Record</v>
      </c>
      <c r="AX989" s="3" t="s">
        <v>9679</v>
      </c>
      <c r="AY989" s="3" t="s">
        <v>9680</v>
      </c>
      <c r="AZ989" s="3" t="s">
        <v>9681</v>
      </c>
      <c r="BA989" s="3" t="s">
        <v>9681</v>
      </c>
      <c r="BB989" s="3" t="s">
        <v>9682</v>
      </c>
      <c r="BC989" s="3" t="s">
        <v>142</v>
      </c>
      <c r="BD989" s="3" t="s">
        <v>68</v>
      </c>
      <c r="BE989" s="3" t="s">
        <v>9683</v>
      </c>
      <c r="BF989" s="3" t="s">
        <v>9682</v>
      </c>
      <c r="BG989" s="3" t="s">
        <v>9684</v>
      </c>
    </row>
    <row r="990" spans="1:59" ht="57" x14ac:dyDescent="0.45">
      <c r="A990" s="2" t="s">
        <v>59</v>
      </c>
      <c r="B990" s="2" t="s">
        <v>412</v>
      </c>
      <c r="C990" s="2" t="s">
        <v>9685</v>
      </c>
      <c r="D990" s="2" t="s">
        <v>9686</v>
      </c>
      <c r="E990" s="2" t="s">
        <v>9687</v>
      </c>
      <c r="G990" s="3" t="s">
        <v>62</v>
      </c>
      <c r="I990" s="3" t="s">
        <v>62</v>
      </c>
      <c r="J990" s="3" t="s">
        <v>62</v>
      </c>
      <c r="K990" s="3" t="s">
        <v>63</v>
      </c>
      <c r="L990" s="2" t="s">
        <v>9688</v>
      </c>
      <c r="M990" s="2" t="s">
        <v>9689</v>
      </c>
      <c r="N990" s="3" t="s">
        <v>195</v>
      </c>
      <c r="P990" s="3" t="s">
        <v>65</v>
      </c>
      <c r="Q990" s="2" t="s">
        <v>8713</v>
      </c>
      <c r="R990" s="3" t="s">
        <v>66</v>
      </c>
      <c r="S990" s="4">
        <v>21</v>
      </c>
      <c r="T990" s="4">
        <v>21</v>
      </c>
      <c r="U990" s="5" t="s">
        <v>8465</v>
      </c>
      <c r="V990" s="5" t="s">
        <v>8465</v>
      </c>
      <c r="W990" s="5" t="s">
        <v>67</v>
      </c>
      <c r="X990" s="5" t="s">
        <v>67</v>
      </c>
      <c r="Y990" s="4">
        <v>330</v>
      </c>
      <c r="Z990" s="4">
        <v>26</v>
      </c>
      <c r="AA990" s="4">
        <v>28</v>
      </c>
      <c r="AB990" s="4">
        <v>2</v>
      </c>
      <c r="AC990" s="4">
        <v>4</v>
      </c>
      <c r="AD990" s="4">
        <v>39</v>
      </c>
      <c r="AE990" s="4">
        <v>41</v>
      </c>
      <c r="AF990" s="4">
        <v>1</v>
      </c>
      <c r="AG990" s="4">
        <v>3</v>
      </c>
      <c r="AH990" s="4">
        <v>29</v>
      </c>
      <c r="AI990" s="4">
        <v>29</v>
      </c>
      <c r="AJ990" s="4">
        <v>11</v>
      </c>
      <c r="AK990" s="4">
        <v>13</v>
      </c>
      <c r="AL990" s="4">
        <v>14</v>
      </c>
      <c r="AM990" s="4">
        <v>14</v>
      </c>
      <c r="AN990" s="4">
        <v>0</v>
      </c>
      <c r="AO990" s="4">
        <v>0</v>
      </c>
      <c r="AP990" s="4">
        <v>16</v>
      </c>
      <c r="AQ990" s="4">
        <v>17</v>
      </c>
      <c r="AR990" s="3" t="s">
        <v>62</v>
      </c>
      <c r="AS990" s="3" t="s">
        <v>62</v>
      </c>
      <c r="AT990" s="3" t="s">
        <v>62</v>
      </c>
      <c r="AV990" s="6" t="str">
        <f>HYPERLINK("http://mcgill.on.worldcat.org/oclc/31052678","Catalog Record")</f>
        <v>Catalog Record</v>
      </c>
      <c r="AW990" s="6" t="str">
        <f>HYPERLINK("http://www.worldcat.org/oclc/31052678","WorldCat Record")</f>
        <v>WorldCat Record</v>
      </c>
      <c r="AX990" s="3" t="s">
        <v>9690</v>
      </c>
      <c r="AY990" s="3" t="s">
        <v>9691</v>
      </c>
      <c r="AZ990" s="3" t="s">
        <v>9692</v>
      </c>
      <c r="BA990" s="3" t="s">
        <v>9692</v>
      </c>
      <c r="BB990" s="3" t="s">
        <v>9693</v>
      </c>
      <c r="BC990" s="3" t="s">
        <v>142</v>
      </c>
      <c r="BD990" s="3" t="s">
        <v>68</v>
      </c>
      <c r="BE990" s="3" t="s">
        <v>9694</v>
      </c>
      <c r="BF990" s="3" t="s">
        <v>9693</v>
      </c>
      <c r="BG990" s="3" t="s">
        <v>9695</v>
      </c>
    </row>
    <row r="991" spans="1:59" ht="57" x14ac:dyDescent="0.45">
      <c r="A991" s="2" t="s">
        <v>59</v>
      </c>
      <c r="B991" s="2" t="s">
        <v>60</v>
      </c>
      <c r="C991" s="2" t="s">
        <v>9696</v>
      </c>
      <c r="D991" s="2" t="s">
        <v>9697</v>
      </c>
      <c r="E991" s="2" t="s">
        <v>9698</v>
      </c>
      <c r="G991" s="3" t="s">
        <v>62</v>
      </c>
      <c r="I991" s="3" t="s">
        <v>62</v>
      </c>
      <c r="J991" s="3" t="s">
        <v>62</v>
      </c>
      <c r="K991" s="3" t="s">
        <v>63</v>
      </c>
      <c r="L991" s="2" t="s">
        <v>9699</v>
      </c>
      <c r="M991" s="2" t="s">
        <v>9700</v>
      </c>
      <c r="N991" s="3" t="s">
        <v>945</v>
      </c>
      <c r="P991" s="3" t="s">
        <v>65</v>
      </c>
      <c r="Q991" s="2" t="s">
        <v>7244</v>
      </c>
      <c r="R991" s="3" t="s">
        <v>66</v>
      </c>
      <c r="S991" s="4">
        <v>6</v>
      </c>
      <c r="T991" s="4">
        <v>6</v>
      </c>
      <c r="U991" s="5" t="s">
        <v>9701</v>
      </c>
      <c r="V991" s="5" t="s">
        <v>9701</v>
      </c>
      <c r="W991" s="5" t="s">
        <v>67</v>
      </c>
      <c r="X991" s="5" t="s">
        <v>67</v>
      </c>
      <c r="Y991" s="4">
        <v>176</v>
      </c>
      <c r="Z991" s="4">
        <v>15</v>
      </c>
      <c r="AA991" s="4">
        <v>79</v>
      </c>
      <c r="AB991" s="4">
        <v>3</v>
      </c>
      <c r="AC991" s="4">
        <v>14</v>
      </c>
      <c r="AD991" s="4">
        <v>50</v>
      </c>
      <c r="AE991" s="4">
        <v>107</v>
      </c>
      <c r="AF991" s="4">
        <v>2</v>
      </c>
      <c r="AG991" s="4">
        <v>8</v>
      </c>
      <c r="AH991" s="4">
        <v>42</v>
      </c>
      <c r="AI991" s="4">
        <v>72</v>
      </c>
      <c r="AJ991" s="4">
        <v>10</v>
      </c>
      <c r="AK991" s="4">
        <v>21</v>
      </c>
      <c r="AL991" s="4">
        <v>21</v>
      </c>
      <c r="AM991" s="4">
        <v>37</v>
      </c>
      <c r="AN991" s="4">
        <v>1</v>
      </c>
      <c r="AO991" s="4">
        <v>1</v>
      </c>
      <c r="AP991" s="4">
        <v>14</v>
      </c>
      <c r="AQ991" s="4">
        <v>42</v>
      </c>
      <c r="AR991" s="3" t="s">
        <v>62</v>
      </c>
      <c r="AS991" s="3" t="s">
        <v>62</v>
      </c>
      <c r="AT991" s="3" t="s">
        <v>61</v>
      </c>
      <c r="AU991" s="6" t="str">
        <f>HYPERLINK("http://catalog.hathitrust.org/Record/005632746","HathiTrust Record")</f>
        <v>HathiTrust Record</v>
      </c>
      <c r="AV991" s="6" t="str">
        <f>HYPERLINK("http://mcgill.on.worldcat.org/oclc/124031821","Catalog Record")</f>
        <v>Catalog Record</v>
      </c>
      <c r="AW991" s="6" t="str">
        <f>HYPERLINK("http://www.worldcat.org/oclc/124031821","WorldCat Record")</f>
        <v>WorldCat Record</v>
      </c>
      <c r="AX991" s="3" t="s">
        <v>9702</v>
      </c>
      <c r="AY991" s="3" t="s">
        <v>9703</v>
      </c>
      <c r="AZ991" s="3" t="s">
        <v>9704</v>
      </c>
      <c r="BA991" s="3" t="s">
        <v>9704</v>
      </c>
      <c r="BB991" s="3" t="s">
        <v>9705</v>
      </c>
      <c r="BC991" s="3" t="s">
        <v>142</v>
      </c>
      <c r="BD991" s="3" t="s">
        <v>68</v>
      </c>
      <c r="BE991" s="3" t="s">
        <v>9706</v>
      </c>
      <c r="BF991" s="3" t="s">
        <v>9705</v>
      </c>
      <c r="BG991" s="3" t="s">
        <v>9707</v>
      </c>
    </row>
    <row r="992" spans="1:59" ht="57" x14ac:dyDescent="0.45">
      <c r="A992" s="2" t="s">
        <v>59</v>
      </c>
      <c r="B992" s="2" t="s">
        <v>412</v>
      </c>
      <c r="C992" s="2" t="s">
        <v>9708</v>
      </c>
      <c r="D992" s="2" t="s">
        <v>9709</v>
      </c>
      <c r="E992" s="2" t="s">
        <v>9710</v>
      </c>
      <c r="G992" s="3" t="s">
        <v>62</v>
      </c>
      <c r="I992" s="3" t="s">
        <v>62</v>
      </c>
      <c r="J992" s="3" t="s">
        <v>62</v>
      </c>
      <c r="K992" s="3" t="s">
        <v>63</v>
      </c>
      <c r="L992" s="2" t="s">
        <v>9711</v>
      </c>
      <c r="M992" s="2" t="s">
        <v>9712</v>
      </c>
      <c r="N992" s="3" t="s">
        <v>1155</v>
      </c>
      <c r="P992" s="3" t="s">
        <v>65</v>
      </c>
      <c r="Q992" s="2" t="s">
        <v>7282</v>
      </c>
      <c r="R992" s="3" t="s">
        <v>66</v>
      </c>
      <c r="S992" s="4">
        <v>2</v>
      </c>
      <c r="T992" s="4">
        <v>2</v>
      </c>
      <c r="U992" s="5" t="s">
        <v>7749</v>
      </c>
      <c r="V992" s="5" t="s">
        <v>7749</v>
      </c>
      <c r="W992" s="5" t="s">
        <v>67</v>
      </c>
      <c r="X992" s="5" t="s">
        <v>67</v>
      </c>
      <c r="Y992" s="4">
        <v>81</v>
      </c>
      <c r="Z992" s="4">
        <v>7</v>
      </c>
      <c r="AA992" s="4">
        <v>8</v>
      </c>
      <c r="AB992" s="4">
        <v>1</v>
      </c>
      <c r="AC992" s="4">
        <v>2</v>
      </c>
      <c r="AD992" s="4">
        <v>23</v>
      </c>
      <c r="AE992" s="4">
        <v>24</v>
      </c>
      <c r="AF992" s="4">
        <v>0</v>
      </c>
      <c r="AG992" s="4">
        <v>1</v>
      </c>
      <c r="AH992" s="4">
        <v>21</v>
      </c>
      <c r="AI992" s="4">
        <v>21</v>
      </c>
      <c r="AJ992" s="4">
        <v>5</v>
      </c>
      <c r="AK992" s="4">
        <v>6</v>
      </c>
      <c r="AL992" s="4">
        <v>9</v>
      </c>
      <c r="AM992" s="4">
        <v>9</v>
      </c>
      <c r="AN992" s="4">
        <v>0</v>
      </c>
      <c r="AO992" s="4">
        <v>0</v>
      </c>
      <c r="AP992" s="4">
        <v>6</v>
      </c>
      <c r="AQ992" s="4">
        <v>7</v>
      </c>
      <c r="AR992" s="3" t="s">
        <v>62</v>
      </c>
      <c r="AS992" s="3" t="s">
        <v>62</v>
      </c>
      <c r="AT992" s="3" t="s">
        <v>62</v>
      </c>
      <c r="AV992" s="6" t="str">
        <f>HYPERLINK("http://mcgill.on.worldcat.org/oclc/793079778","Catalog Record")</f>
        <v>Catalog Record</v>
      </c>
      <c r="AW992" s="6" t="str">
        <f>HYPERLINK("http://www.worldcat.org/oclc/793079778","WorldCat Record")</f>
        <v>WorldCat Record</v>
      </c>
      <c r="AX992" s="3" t="s">
        <v>9713</v>
      </c>
      <c r="AY992" s="3" t="s">
        <v>9714</v>
      </c>
      <c r="AZ992" s="3" t="s">
        <v>9715</v>
      </c>
      <c r="BA992" s="3" t="s">
        <v>9715</v>
      </c>
      <c r="BB992" s="3" t="s">
        <v>9716</v>
      </c>
      <c r="BC992" s="3" t="s">
        <v>142</v>
      </c>
      <c r="BD992" s="3" t="s">
        <v>68</v>
      </c>
      <c r="BE992" s="3" t="s">
        <v>9717</v>
      </c>
      <c r="BF992" s="3" t="s">
        <v>9716</v>
      </c>
      <c r="BG992" s="3" t="s">
        <v>9718</v>
      </c>
    </row>
    <row r="993" spans="1:59" ht="71.25" x14ac:dyDescent="0.45">
      <c r="A993" s="2" t="s">
        <v>59</v>
      </c>
      <c r="B993" s="2" t="s">
        <v>60</v>
      </c>
      <c r="C993" s="2" t="s">
        <v>9719</v>
      </c>
      <c r="D993" s="2" t="s">
        <v>9720</v>
      </c>
      <c r="E993" s="2" t="s">
        <v>9721</v>
      </c>
      <c r="G993" s="3" t="s">
        <v>62</v>
      </c>
      <c r="I993" s="3" t="s">
        <v>62</v>
      </c>
      <c r="J993" s="3" t="s">
        <v>62</v>
      </c>
      <c r="K993" s="3" t="s">
        <v>63</v>
      </c>
      <c r="M993" s="2" t="s">
        <v>3915</v>
      </c>
      <c r="N993" s="3" t="s">
        <v>1155</v>
      </c>
      <c r="P993" s="3" t="s">
        <v>65</v>
      </c>
      <c r="R993" s="3" t="s">
        <v>66</v>
      </c>
      <c r="S993" s="4">
        <v>1</v>
      </c>
      <c r="T993" s="4">
        <v>1</v>
      </c>
      <c r="U993" s="5" t="s">
        <v>9722</v>
      </c>
      <c r="V993" s="5" t="s">
        <v>9722</v>
      </c>
      <c r="W993" s="5" t="s">
        <v>67</v>
      </c>
      <c r="X993" s="5" t="s">
        <v>67</v>
      </c>
      <c r="Y993" s="4">
        <v>92</v>
      </c>
      <c r="Z993" s="4">
        <v>14</v>
      </c>
      <c r="AA993" s="4">
        <v>20</v>
      </c>
      <c r="AB993" s="4">
        <v>2</v>
      </c>
      <c r="AC993" s="4">
        <v>4</v>
      </c>
      <c r="AD993" s="4">
        <v>38</v>
      </c>
      <c r="AE993" s="4">
        <v>47</v>
      </c>
      <c r="AF993" s="4">
        <v>1</v>
      </c>
      <c r="AG993" s="4">
        <v>1</v>
      </c>
      <c r="AH993" s="4">
        <v>32</v>
      </c>
      <c r="AI993" s="4">
        <v>39</v>
      </c>
      <c r="AJ993" s="4">
        <v>10</v>
      </c>
      <c r="AK993" s="4">
        <v>14</v>
      </c>
      <c r="AL993" s="4">
        <v>16</v>
      </c>
      <c r="AM993" s="4">
        <v>19</v>
      </c>
      <c r="AN993" s="4">
        <v>0</v>
      </c>
      <c r="AO993" s="4">
        <v>0</v>
      </c>
      <c r="AP993" s="4">
        <v>11</v>
      </c>
      <c r="AQ993" s="4">
        <v>15</v>
      </c>
      <c r="AR993" s="3" t="s">
        <v>62</v>
      </c>
      <c r="AS993" s="3" t="s">
        <v>62</v>
      </c>
      <c r="AT993" s="3" t="s">
        <v>62</v>
      </c>
      <c r="AV993" s="6" t="str">
        <f>HYPERLINK("http://mcgill.on.worldcat.org/oclc/758973655","Catalog Record")</f>
        <v>Catalog Record</v>
      </c>
      <c r="AW993" s="6" t="str">
        <f>HYPERLINK("http://www.worldcat.org/oclc/758973655","WorldCat Record")</f>
        <v>WorldCat Record</v>
      </c>
      <c r="AX993" s="3" t="s">
        <v>9723</v>
      </c>
      <c r="AY993" s="3" t="s">
        <v>9724</v>
      </c>
      <c r="AZ993" s="3" t="s">
        <v>9725</v>
      </c>
      <c r="BA993" s="3" t="s">
        <v>9725</v>
      </c>
      <c r="BB993" s="3" t="s">
        <v>9726</v>
      </c>
      <c r="BC993" s="3" t="s">
        <v>142</v>
      </c>
      <c r="BD993" s="3" t="s">
        <v>68</v>
      </c>
      <c r="BE993" s="3" t="s">
        <v>9727</v>
      </c>
      <c r="BF993" s="3" t="s">
        <v>9726</v>
      </c>
      <c r="BG993" s="3" t="s">
        <v>9728</v>
      </c>
    </row>
    <row r="994" spans="1:59" ht="57" x14ac:dyDescent="0.45">
      <c r="A994" s="2" t="s">
        <v>59</v>
      </c>
      <c r="B994" s="2" t="s">
        <v>60</v>
      </c>
      <c r="C994" s="2" t="s">
        <v>9729</v>
      </c>
      <c r="D994" s="2" t="s">
        <v>9730</v>
      </c>
      <c r="E994" s="2" t="s">
        <v>9731</v>
      </c>
      <c r="G994" s="3" t="s">
        <v>62</v>
      </c>
      <c r="I994" s="3" t="s">
        <v>62</v>
      </c>
      <c r="J994" s="3" t="s">
        <v>62</v>
      </c>
      <c r="K994" s="3" t="s">
        <v>63</v>
      </c>
      <c r="L994" s="2" t="s">
        <v>9732</v>
      </c>
      <c r="M994" s="2" t="s">
        <v>2501</v>
      </c>
      <c r="N994" s="3" t="s">
        <v>894</v>
      </c>
      <c r="P994" s="3" t="s">
        <v>65</v>
      </c>
      <c r="Q994" s="2" t="s">
        <v>9733</v>
      </c>
      <c r="R994" s="3" t="s">
        <v>66</v>
      </c>
      <c r="S994" s="4">
        <v>0</v>
      </c>
      <c r="T994" s="4">
        <v>0</v>
      </c>
      <c r="W994" s="5" t="s">
        <v>67</v>
      </c>
      <c r="X994" s="5" t="s">
        <v>67</v>
      </c>
      <c r="Y994" s="4">
        <v>27</v>
      </c>
      <c r="Z994" s="4">
        <v>7</v>
      </c>
      <c r="AA994" s="4">
        <v>8</v>
      </c>
      <c r="AB994" s="4">
        <v>1</v>
      </c>
      <c r="AC994" s="4">
        <v>2</v>
      </c>
      <c r="AD994" s="4">
        <v>12</v>
      </c>
      <c r="AE994" s="4">
        <v>13</v>
      </c>
      <c r="AF994" s="4">
        <v>0</v>
      </c>
      <c r="AG994" s="4">
        <v>1</v>
      </c>
      <c r="AH994" s="4">
        <v>10</v>
      </c>
      <c r="AI994" s="4">
        <v>10</v>
      </c>
      <c r="AJ994" s="4">
        <v>5</v>
      </c>
      <c r="AK994" s="4">
        <v>6</v>
      </c>
      <c r="AL994" s="4">
        <v>6</v>
      </c>
      <c r="AM994" s="4">
        <v>6</v>
      </c>
      <c r="AN994" s="4">
        <v>0</v>
      </c>
      <c r="AO994" s="4">
        <v>0</v>
      </c>
      <c r="AP994" s="4">
        <v>5</v>
      </c>
      <c r="AQ994" s="4">
        <v>6</v>
      </c>
      <c r="AR994" s="3" t="s">
        <v>62</v>
      </c>
      <c r="AS994" s="3" t="s">
        <v>62</v>
      </c>
      <c r="AT994" s="3" t="s">
        <v>62</v>
      </c>
      <c r="AV994" s="6" t="str">
        <f>HYPERLINK("http://mcgill.on.worldcat.org/oclc/690539672","Catalog Record")</f>
        <v>Catalog Record</v>
      </c>
      <c r="AW994" s="6" t="str">
        <f>HYPERLINK("http://www.worldcat.org/oclc/690539672","WorldCat Record")</f>
        <v>WorldCat Record</v>
      </c>
      <c r="AX994" s="3" t="s">
        <v>9734</v>
      </c>
      <c r="AY994" s="3" t="s">
        <v>9735</v>
      </c>
      <c r="AZ994" s="3" t="s">
        <v>9736</v>
      </c>
      <c r="BA994" s="3" t="s">
        <v>9736</v>
      </c>
      <c r="BB994" s="3" t="s">
        <v>9737</v>
      </c>
      <c r="BC994" s="3" t="s">
        <v>142</v>
      </c>
      <c r="BD994" s="3" t="s">
        <v>68</v>
      </c>
      <c r="BE994" s="3" t="s">
        <v>9738</v>
      </c>
      <c r="BF994" s="3" t="s">
        <v>9737</v>
      </c>
      <c r="BG994" s="3" t="s">
        <v>9739</v>
      </c>
    </row>
    <row r="995" spans="1:59" ht="57" x14ac:dyDescent="0.45">
      <c r="A995" s="2" t="s">
        <v>59</v>
      </c>
      <c r="B995" s="2" t="s">
        <v>60</v>
      </c>
      <c r="C995" s="2" t="s">
        <v>9740</v>
      </c>
      <c r="D995" s="2" t="s">
        <v>9741</v>
      </c>
      <c r="E995" s="2" t="s">
        <v>9742</v>
      </c>
      <c r="G995" s="3" t="s">
        <v>62</v>
      </c>
      <c r="I995" s="3" t="s">
        <v>62</v>
      </c>
      <c r="J995" s="3" t="s">
        <v>62</v>
      </c>
      <c r="K995" s="3" t="s">
        <v>63</v>
      </c>
      <c r="M995" s="2" t="s">
        <v>9743</v>
      </c>
      <c r="N995" s="3" t="s">
        <v>958</v>
      </c>
      <c r="P995" s="3" t="s">
        <v>65</v>
      </c>
      <c r="R995" s="3" t="s">
        <v>66</v>
      </c>
      <c r="S995" s="4">
        <v>17</v>
      </c>
      <c r="T995" s="4">
        <v>17</v>
      </c>
      <c r="U995" s="5" t="s">
        <v>9744</v>
      </c>
      <c r="V995" s="5" t="s">
        <v>9744</v>
      </c>
      <c r="W995" s="5" t="s">
        <v>67</v>
      </c>
      <c r="X995" s="5" t="s">
        <v>67</v>
      </c>
      <c r="Y995" s="4">
        <v>90</v>
      </c>
      <c r="Z995" s="4">
        <v>14</v>
      </c>
      <c r="AA995" s="4">
        <v>17</v>
      </c>
      <c r="AB995" s="4">
        <v>1</v>
      </c>
      <c r="AC995" s="4">
        <v>3</v>
      </c>
      <c r="AD995" s="4">
        <v>24</v>
      </c>
      <c r="AE995" s="4">
        <v>27</v>
      </c>
      <c r="AF995" s="4">
        <v>0</v>
      </c>
      <c r="AG995" s="4">
        <v>2</v>
      </c>
      <c r="AH995" s="4">
        <v>20</v>
      </c>
      <c r="AI995" s="4">
        <v>22</v>
      </c>
      <c r="AJ995" s="4">
        <v>7</v>
      </c>
      <c r="AK995" s="4">
        <v>10</v>
      </c>
      <c r="AL995" s="4">
        <v>11</v>
      </c>
      <c r="AM995" s="4">
        <v>11</v>
      </c>
      <c r="AN995" s="4">
        <v>0</v>
      </c>
      <c r="AO995" s="4">
        <v>0</v>
      </c>
      <c r="AP995" s="4">
        <v>8</v>
      </c>
      <c r="AQ995" s="4">
        <v>11</v>
      </c>
      <c r="AR995" s="3" t="s">
        <v>62</v>
      </c>
      <c r="AS995" s="3" t="s">
        <v>62</v>
      </c>
      <c r="AT995" s="3" t="s">
        <v>61</v>
      </c>
      <c r="AU995" s="6" t="str">
        <f>HYPERLINK("http://catalog.hathitrust.org/Record/003905923","HathiTrust Record")</f>
        <v>HathiTrust Record</v>
      </c>
      <c r="AV995" s="6" t="str">
        <f>HYPERLINK("http://mcgill.on.worldcat.org/oclc/32865129","Catalog Record")</f>
        <v>Catalog Record</v>
      </c>
      <c r="AW995" s="6" t="str">
        <f>HYPERLINK("http://www.worldcat.org/oclc/32865129","WorldCat Record")</f>
        <v>WorldCat Record</v>
      </c>
      <c r="AX995" s="3" t="s">
        <v>9745</v>
      </c>
      <c r="AY995" s="3" t="s">
        <v>9746</v>
      </c>
      <c r="AZ995" s="3" t="s">
        <v>9747</v>
      </c>
      <c r="BA995" s="3" t="s">
        <v>9747</v>
      </c>
      <c r="BB995" s="3" t="s">
        <v>9748</v>
      </c>
      <c r="BC995" s="3" t="s">
        <v>142</v>
      </c>
      <c r="BD995" s="3" t="s">
        <v>68</v>
      </c>
      <c r="BE995" s="3" t="s">
        <v>9749</v>
      </c>
      <c r="BF995" s="3" t="s">
        <v>9748</v>
      </c>
      <c r="BG995" s="3" t="s">
        <v>9750</v>
      </c>
    </row>
    <row r="996" spans="1:59" ht="57" x14ac:dyDescent="0.45">
      <c r="A996" s="2" t="s">
        <v>59</v>
      </c>
      <c r="B996" s="2" t="s">
        <v>60</v>
      </c>
      <c r="C996" s="2" t="s">
        <v>9751</v>
      </c>
      <c r="D996" s="2" t="s">
        <v>9752</v>
      </c>
      <c r="E996" s="2" t="s">
        <v>9753</v>
      </c>
      <c r="G996" s="3" t="s">
        <v>62</v>
      </c>
      <c r="I996" s="3" t="s">
        <v>62</v>
      </c>
      <c r="J996" s="3" t="s">
        <v>62</v>
      </c>
      <c r="K996" s="3" t="s">
        <v>63</v>
      </c>
      <c r="L996" s="2" t="s">
        <v>9754</v>
      </c>
      <c r="M996" s="2" t="s">
        <v>9755</v>
      </c>
      <c r="N996" s="3" t="s">
        <v>1155</v>
      </c>
      <c r="P996" s="3" t="s">
        <v>65</v>
      </c>
      <c r="Q996" s="2" t="s">
        <v>7221</v>
      </c>
      <c r="R996" s="3" t="s">
        <v>66</v>
      </c>
      <c r="S996" s="4">
        <v>2</v>
      </c>
      <c r="T996" s="4">
        <v>2</v>
      </c>
      <c r="U996" s="5" t="s">
        <v>9756</v>
      </c>
      <c r="V996" s="5" t="s">
        <v>9756</v>
      </c>
      <c r="W996" s="5" t="s">
        <v>67</v>
      </c>
      <c r="X996" s="5" t="s">
        <v>67</v>
      </c>
      <c r="Y996" s="4">
        <v>143</v>
      </c>
      <c r="Z996" s="4">
        <v>19</v>
      </c>
      <c r="AA996" s="4">
        <v>82</v>
      </c>
      <c r="AB996" s="4">
        <v>2</v>
      </c>
      <c r="AC996" s="4">
        <v>15</v>
      </c>
      <c r="AD996" s="4">
        <v>40</v>
      </c>
      <c r="AE996" s="4">
        <v>113</v>
      </c>
      <c r="AF996" s="4">
        <v>1</v>
      </c>
      <c r="AG996" s="4">
        <v>8</v>
      </c>
      <c r="AH996" s="4">
        <v>32</v>
      </c>
      <c r="AI996" s="4">
        <v>78</v>
      </c>
      <c r="AJ996" s="4">
        <v>13</v>
      </c>
      <c r="AK996" s="4">
        <v>24</v>
      </c>
      <c r="AL996" s="4">
        <v>15</v>
      </c>
      <c r="AM996" s="4">
        <v>36</v>
      </c>
      <c r="AN996" s="4">
        <v>0</v>
      </c>
      <c r="AO996" s="4">
        <v>0</v>
      </c>
      <c r="AP996" s="4">
        <v>14</v>
      </c>
      <c r="AQ996" s="4">
        <v>44</v>
      </c>
      <c r="AR996" s="3" t="s">
        <v>62</v>
      </c>
      <c r="AS996" s="3" t="s">
        <v>62</v>
      </c>
      <c r="AT996" s="3" t="s">
        <v>62</v>
      </c>
      <c r="AV996" s="6" t="str">
        <f>HYPERLINK("http://mcgill.on.worldcat.org/oclc/659750830","Catalog Record")</f>
        <v>Catalog Record</v>
      </c>
      <c r="AW996" s="6" t="str">
        <f>HYPERLINK("http://www.worldcat.org/oclc/659750830","WorldCat Record")</f>
        <v>WorldCat Record</v>
      </c>
      <c r="AX996" s="3" t="s">
        <v>9757</v>
      </c>
      <c r="AY996" s="3" t="s">
        <v>9758</v>
      </c>
      <c r="AZ996" s="3" t="s">
        <v>9759</v>
      </c>
      <c r="BA996" s="3" t="s">
        <v>9759</v>
      </c>
      <c r="BB996" s="3" t="s">
        <v>9760</v>
      </c>
      <c r="BC996" s="3" t="s">
        <v>142</v>
      </c>
      <c r="BD996" s="3" t="s">
        <v>68</v>
      </c>
      <c r="BE996" s="3" t="s">
        <v>9761</v>
      </c>
      <c r="BF996" s="3" t="s">
        <v>9760</v>
      </c>
      <c r="BG996" s="3" t="s">
        <v>9762</v>
      </c>
    </row>
    <row r="997" spans="1:59" ht="57" x14ac:dyDescent="0.45">
      <c r="A997" s="2" t="s">
        <v>59</v>
      </c>
      <c r="B997" s="2" t="s">
        <v>60</v>
      </c>
      <c r="C997" s="2" t="s">
        <v>9763</v>
      </c>
      <c r="D997" s="2" t="s">
        <v>9764</v>
      </c>
      <c r="E997" s="2" t="s">
        <v>9765</v>
      </c>
      <c r="G997" s="3" t="s">
        <v>62</v>
      </c>
      <c r="I997" s="3" t="s">
        <v>62</v>
      </c>
      <c r="J997" s="3" t="s">
        <v>62</v>
      </c>
      <c r="K997" s="3" t="s">
        <v>63</v>
      </c>
      <c r="M997" s="2" t="s">
        <v>9766</v>
      </c>
      <c r="N997" s="3" t="s">
        <v>542</v>
      </c>
      <c r="P997" s="3" t="s">
        <v>65</v>
      </c>
      <c r="R997" s="3" t="s">
        <v>66</v>
      </c>
      <c r="S997" s="4">
        <v>13</v>
      </c>
      <c r="T997" s="4">
        <v>13</v>
      </c>
      <c r="U997" s="5" t="s">
        <v>9767</v>
      </c>
      <c r="V997" s="5" t="s">
        <v>9767</v>
      </c>
      <c r="W997" s="5" t="s">
        <v>67</v>
      </c>
      <c r="X997" s="5" t="s">
        <v>67</v>
      </c>
      <c r="Y997" s="4">
        <v>246</v>
      </c>
      <c r="Z997" s="4">
        <v>14</v>
      </c>
      <c r="AA997" s="4">
        <v>15</v>
      </c>
      <c r="AB997" s="4">
        <v>2</v>
      </c>
      <c r="AC997" s="4">
        <v>2</v>
      </c>
      <c r="AD997" s="4">
        <v>82</v>
      </c>
      <c r="AE997" s="4">
        <v>83</v>
      </c>
      <c r="AF997" s="4">
        <v>1</v>
      </c>
      <c r="AG997" s="4">
        <v>1</v>
      </c>
      <c r="AH997" s="4">
        <v>75</v>
      </c>
      <c r="AI997" s="4">
        <v>75</v>
      </c>
      <c r="AJ997" s="4">
        <v>12</v>
      </c>
      <c r="AK997" s="4">
        <v>12</v>
      </c>
      <c r="AL997" s="4">
        <v>45</v>
      </c>
      <c r="AM997" s="4">
        <v>45</v>
      </c>
      <c r="AN997" s="4">
        <v>0</v>
      </c>
      <c r="AO997" s="4">
        <v>0</v>
      </c>
      <c r="AP997" s="4">
        <v>12</v>
      </c>
      <c r="AQ997" s="4">
        <v>13</v>
      </c>
      <c r="AR997" s="3" t="s">
        <v>62</v>
      </c>
      <c r="AS997" s="3" t="s">
        <v>62</v>
      </c>
      <c r="AT997" s="3" t="s">
        <v>61</v>
      </c>
      <c r="AU997" s="6" t="str">
        <f>HYPERLINK("http://catalog.hathitrust.org/Record/003563528","HathiTrust Record")</f>
        <v>HathiTrust Record</v>
      </c>
      <c r="AV997" s="6" t="str">
        <f>HYPERLINK("http://mcgill.on.worldcat.org/oclc/45845425","Catalog Record")</f>
        <v>Catalog Record</v>
      </c>
      <c r="AW997" s="6" t="str">
        <f>HYPERLINK("http://www.worldcat.org/oclc/45845425","WorldCat Record")</f>
        <v>WorldCat Record</v>
      </c>
      <c r="AX997" s="3" t="s">
        <v>9768</v>
      </c>
      <c r="AY997" s="3" t="s">
        <v>9769</v>
      </c>
      <c r="AZ997" s="3" t="s">
        <v>9770</v>
      </c>
      <c r="BA997" s="3" t="s">
        <v>9770</v>
      </c>
      <c r="BB997" s="3" t="s">
        <v>9771</v>
      </c>
      <c r="BC997" s="3" t="s">
        <v>142</v>
      </c>
      <c r="BD997" s="3" t="s">
        <v>68</v>
      </c>
      <c r="BE997" s="3" t="s">
        <v>9772</v>
      </c>
      <c r="BF997" s="3" t="s">
        <v>9771</v>
      </c>
      <c r="BG997" s="3" t="s">
        <v>9773</v>
      </c>
    </row>
    <row r="998" spans="1:59" ht="57" x14ac:dyDescent="0.45">
      <c r="A998" s="2" t="s">
        <v>59</v>
      </c>
      <c r="B998" s="2" t="s">
        <v>60</v>
      </c>
      <c r="C998" s="2" t="s">
        <v>9774</v>
      </c>
      <c r="D998" s="2" t="s">
        <v>9775</v>
      </c>
      <c r="E998" s="2" t="s">
        <v>9776</v>
      </c>
      <c r="G998" s="3" t="s">
        <v>62</v>
      </c>
      <c r="I998" s="3" t="s">
        <v>62</v>
      </c>
      <c r="J998" s="3" t="s">
        <v>62</v>
      </c>
      <c r="K998" s="3" t="s">
        <v>63</v>
      </c>
      <c r="M998" s="2" t="s">
        <v>1854</v>
      </c>
      <c r="N998" s="3" t="s">
        <v>1855</v>
      </c>
      <c r="P998" s="3" t="s">
        <v>65</v>
      </c>
      <c r="Q998" s="2" t="s">
        <v>7036</v>
      </c>
      <c r="R998" s="3" t="s">
        <v>66</v>
      </c>
      <c r="S998" s="4">
        <v>14</v>
      </c>
      <c r="T998" s="4">
        <v>14</v>
      </c>
      <c r="U998" s="5" t="s">
        <v>9777</v>
      </c>
      <c r="V998" s="5" t="s">
        <v>9777</v>
      </c>
      <c r="W998" s="5" t="s">
        <v>67</v>
      </c>
      <c r="X998" s="5" t="s">
        <v>67</v>
      </c>
      <c r="Y998" s="4">
        <v>306</v>
      </c>
      <c r="Z998" s="4">
        <v>20</v>
      </c>
      <c r="AA998" s="4">
        <v>25</v>
      </c>
      <c r="AB998" s="4">
        <v>2</v>
      </c>
      <c r="AC998" s="4">
        <v>7</v>
      </c>
      <c r="AD998" s="4">
        <v>85</v>
      </c>
      <c r="AE998" s="4">
        <v>88</v>
      </c>
      <c r="AF998" s="4">
        <v>1</v>
      </c>
      <c r="AG998" s="4">
        <v>4</v>
      </c>
      <c r="AH998" s="4">
        <v>75</v>
      </c>
      <c r="AI998" s="4">
        <v>76</v>
      </c>
      <c r="AJ998" s="4">
        <v>17</v>
      </c>
      <c r="AK998" s="4">
        <v>20</v>
      </c>
      <c r="AL998" s="4">
        <v>39</v>
      </c>
      <c r="AM998" s="4">
        <v>39</v>
      </c>
      <c r="AN998" s="4">
        <v>0</v>
      </c>
      <c r="AO998" s="4">
        <v>0</v>
      </c>
      <c r="AP998" s="4">
        <v>18</v>
      </c>
      <c r="AQ998" s="4">
        <v>20</v>
      </c>
      <c r="AR998" s="3" t="s">
        <v>62</v>
      </c>
      <c r="AS998" s="3" t="s">
        <v>62</v>
      </c>
      <c r="AT998" s="3" t="s">
        <v>61</v>
      </c>
      <c r="AU998" s="6" t="str">
        <f>HYPERLINK("http://catalog.hathitrust.org/Record/005093858","HathiTrust Record")</f>
        <v>HathiTrust Record</v>
      </c>
      <c r="AV998" s="6" t="str">
        <f>HYPERLINK("http://mcgill.on.worldcat.org/oclc/60418319","Catalog Record")</f>
        <v>Catalog Record</v>
      </c>
      <c r="AW998" s="6" t="str">
        <f>HYPERLINK("http://www.worldcat.org/oclc/60418319","WorldCat Record")</f>
        <v>WorldCat Record</v>
      </c>
      <c r="AX998" s="3" t="s">
        <v>9778</v>
      </c>
      <c r="AY998" s="3" t="s">
        <v>9779</v>
      </c>
      <c r="AZ998" s="3" t="s">
        <v>9780</v>
      </c>
      <c r="BA998" s="3" t="s">
        <v>9780</v>
      </c>
      <c r="BB998" s="3" t="s">
        <v>9781</v>
      </c>
      <c r="BC998" s="3" t="s">
        <v>142</v>
      </c>
      <c r="BD998" s="3" t="s">
        <v>68</v>
      </c>
      <c r="BE998" s="3" t="s">
        <v>9782</v>
      </c>
      <c r="BF998" s="3" t="s">
        <v>9781</v>
      </c>
      <c r="BG998" s="3" t="s">
        <v>9783</v>
      </c>
    </row>
    <row r="999" spans="1:59" ht="57" x14ac:dyDescent="0.45">
      <c r="A999" s="2" t="s">
        <v>59</v>
      </c>
      <c r="B999" s="2" t="s">
        <v>60</v>
      </c>
      <c r="C999" s="2" t="s">
        <v>9784</v>
      </c>
      <c r="D999" s="2" t="s">
        <v>9785</v>
      </c>
      <c r="E999" s="2" t="s">
        <v>9786</v>
      </c>
      <c r="G999" s="3" t="s">
        <v>62</v>
      </c>
      <c r="I999" s="3" t="s">
        <v>62</v>
      </c>
      <c r="J999" s="3" t="s">
        <v>62</v>
      </c>
      <c r="K999" s="3" t="s">
        <v>63</v>
      </c>
      <c r="L999" s="2" t="s">
        <v>9787</v>
      </c>
      <c r="M999" s="2" t="s">
        <v>9788</v>
      </c>
      <c r="N999" s="3" t="s">
        <v>1097</v>
      </c>
      <c r="P999" s="3" t="s">
        <v>65</v>
      </c>
      <c r="Q999" s="2" t="s">
        <v>9789</v>
      </c>
      <c r="R999" s="3" t="s">
        <v>66</v>
      </c>
      <c r="S999" s="4">
        <v>21</v>
      </c>
      <c r="T999" s="4">
        <v>21</v>
      </c>
      <c r="U999" s="5" t="s">
        <v>9790</v>
      </c>
      <c r="V999" s="5" t="s">
        <v>9790</v>
      </c>
      <c r="W999" s="5" t="s">
        <v>67</v>
      </c>
      <c r="X999" s="5" t="s">
        <v>67</v>
      </c>
      <c r="Y999" s="4">
        <v>323</v>
      </c>
      <c r="Z999" s="4">
        <v>18</v>
      </c>
      <c r="AA999" s="4">
        <v>21</v>
      </c>
      <c r="AB999" s="4">
        <v>2</v>
      </c>
      <c r="AC999" s="4">
        <v>4</v>
      </c>
      <c r="AD999" s="4">
        <v>71</v>
      </c>
      <c r="AE999" s="4">
        <v>73</v>
      </c>
      <c r="AF999" s="4">
        <v>1</v>
      </c>
      <c r="AG999" s="4">
        <v>2</v>
      </c>
      <c r="AH999" s="4">
        <v>63</v>
      </c>
      <c r="AI999" s="4">
        <v>63</v>
      </c>
      <c r="AJ999" s="4">
        <v>12</v>
      </c>
      <c r="AK999" s="4">
        <v>14</v>
      </c>
      <c r="AL999" s="4">
        <v>39</v>
      </c>
      <c r="AM999" s="4">
        <v>39</v>
      </c>
      <c r="AN999" s="4">
        <v>0</v>
      </c>
      <c r="AO999" s="4">
        <v>0</v>
      </c>
      <c r="AP999" s="4">
        <v>13</v>
      </c>
      <c r="AQ999" s="4">
        <v>14</v>
      </c>
      <c r="AR999" s="3" t="s">
        <v>62</v>
      </c>
      <c r="AS999" s="3" t="s">
        <v>62</v>
      </c>
      <c r="AT999" s="3" t="s">
        <v>61</v>
      </c>
      <c r="AU999" s="6" t="str">
        <f>HYPERLINK("http://catalog.hathitrust.org/Record/004764594","HathiTrust Record")</f>
        <v>HathiTrust Record</v>
      </c>
      <c r="AV999" s="6" t="str">
        <f>HYPERLINK("http://mcgill.on.worldcat.org/oclc/55794831","Catalog Record")</f>
        <v>Catalog Record</v>
      </c>
      <c r="AW999" s="6" t="str">
        <f>HYPERLINK("http://www.worldcat.org/oclc/55794831","WorldCat Record")</f>
        <v>WorldCat Record</v>
      </c>
      <c r="AX999" s="3" t="s">
        <v>9791</v>
      </c>
      <c r="AY999" s="3" t="s">
        <v>9792</v>
      </c>
      <c r="AZ999" s="3" t="s">
        <v>9793</v>
      </c>
      <c r="BA999" s="3" t="s">
        <v>9793</v>
      </c>
      <c r="BB999" s="3" t="s">
        <v>9794</v>
      </c>
      <c r="BC999" s="3" t="s">
        <v>142</v>
      </c>
      <c r="BD999" s="3" t="s">
        <v>68</v>
      </c>
      <c r="BE999" s="3" t="s">
        <v>9795</v>
      </c>
      <c r="BF999" s="3" t="s">
        <v>9794</v>
      </c>
      <c r="BG999" s="3" t="s">
        <v>9796</v>
      </c>
    </row>
    <row r="1000" spans="1:59" ht="57" x14ac:dyDescent="0.45">
      <c r="A1000" s="2" t="s">
        <v>59</v>
      </c>
      <c r="B1000" s="2" t="s">
        <v>412</v>
      </c>
      <c r="C1000" s="2" t="s">
        <v>9797</v>
      </c>
      <c r="D1000" s="2" t="s">
        <v>9798</v>
      </c>
      <c r="E1000" s="2" t="s">
        <v>9799</v>
      </c>
      <c r="G1000" s="3" t="s">
        <v>62</v>
      </c>
      <c r="I1000" s="3" t="s">
        <v>62</v>
      </c>
      <c r="J1000" s="3" t="s">
        <v>62</v>
      </c>
      <c r="K1000" s="3" t="s">
        <v>63</v>
      </c>
      <c r="L1000" s="2" t="s">
        <v>9800</v>
      </c>
      <c r="M1000" s="2" t="s">
        <v>1109</v>
      </c>
      <c r="N1000" s="3" t="s">
        <v>568</v>
      </c>
      <c r="P1000" s="3" t="s">
        <v>65</v>
      </c>
      <c r="Q1000" s="2" t="s">
        <v>7024</v>
      </c>
      <c r="R1000" s="3" t="s">
        <v>66</v>
      </c>
      <c r="S1000" s="4">
        <v>51</v>
      </c>
      <c r="T1000" s="4">
        <v>51</v>
      </c>
      <c r="U1000" s="5" t="s">
        <v>8576</v>
      </c>
      <c r="V1000" s="5" t="s">
        <v>8576</v>
      </c>
      <c r="W1000" s="5" t="s">
        <v>67</v>
      </c>
      <c r="X1000" s="5" t="s">
        <v>67</v>
      </c>
      <c r="Y1000" s="4">
        <v>651</v>
      </c>
      <c r="Z1000" s="4">
        <v>47</v>
      </c>
      <c r="AA1000" s="4">
        <v>55</v>
      </c>
      <c r="AB1000" s="4">
        <v>3</v>
      </c>
      <c r="AC1000" s="4">
        <v>10</v>
      </c>
      <c r="AD1000" s="4">
        <v>111</v>
      </c>
      <c r="AE1000" s="4">
        <v>116</v>
      </c>
      <c r="AF1000" s="4">
        <v>2</v>
      </c>
      <c r="AG1000" s="4">
        <v>6</v>
      </c>
      <c r="AH1000" s="4">
        <v>88</v>
      </c>
      <c r="AI1000" s="4">
        <v>89</v>
      </c>
      <c r="AJ1000" s="4">
        <v>19</v>
      </c>
      <c r="AK1000" s="4">
        <v>23</v>
      </c>
      <c r="AL1000" s="4">
        <v>42</v>
      </c>
      <c r="AM1000" s="4">
        <v>42</v>
      </c>
      <c r="AN1000" s="4">
        <v>0</v>
      </c>
      <c r="AO1000" s="4">
        <v>0</v>
      </c>
      <c r="AP1000" s="4">
        <v>33</v>
      </c>
      <c r="AQ1000" s="4">
        <v>37</v>
      </c>
      <c r="AR1000" s="3" t="s">
        <v>62</v>
      </c>
      <c r="AS1000" s="3" t="s">
        <v>62</v>
      </c>
      <c r="AT1000" s="3" t="s">
        <v>61</v>
      </c>
      <c r="AU1000" s="6" t="str">
        <f>HYPERLINK("http://catalog.hathitrust.org/Record/000858174","HathiTrust Record")</f>
        <v>HathiTrust Record</v>
      </c>
      <c r="AV1000" s="6" t="str">
        <f>HYPERLINK("http://mcgill.on.worldcat.org/oclc/14933511","Catalog Record")</f>
        <v>Catalog Record</v>
      </c>
      <c r="AW1000" s="6" t="str">
        <f>HYPERLINK("http://www.worldcat.org/oclc/14933511","WorldCat Record")</f>
        <v>WorldCat Record</v>
      </c>
      <c r="AX1000" s="3" t="s">
        <v>9801</v>
      </c>
      <c r="AY1000" s="3" t="s">
        <v>9802</v>
      </c>
      <c r="AZ1000" s="3" t="s">
        <v>9803</v>
      </c>
      <c r="BA1000" s="3" t="s">
        <v>9803</v>
      </c>
      <c r="BB1000" s="3" t="s">
        <v>9804</v>
      </c>
      <c r="BC1000" s="3" t="s">
        <v>142</v>
      </c>
      <c r="BD1000" s="3" t="s">
        <v>68</v>
      </c>
      <c r="BE1000" s="3" t="s">
        <v>9805</v>
      </c>
      <c r="BF1000" s="3" t="s">
        <v>9804</v>
      </c>
      <c r="BG1000" s="3" t="s">
        <v>9806</v>
      </c>
    </row>
    <row r="1001" spans="1:59" ht="57" x14ac:dyDescent="0.45">
      <c r="A1001" s="2" t="s">
        <v>59</v>
      </c>
      <c r="B1001" s="2" t="s">
        <v>60</v>
      </c>
      <c r="C1001" s="2" t="s">
        <v>9807</v>
      </c>
      <c r="D1001" s="2" t="s">
        <v>9808</v>
      </c>
      <c r="E1001" s="2" t="s">
        <v>9809</v>
      </c>
      <c r="G1001" s="3" t="s">
        <v>62</v>
      </c>
      <c r="I1001" s="3" t="s">
        <v>62</v>
      </c>
      <c r="J1001" s="3" t="s">
        <v>62</v>
      </c>
      <c r="K1001" s="3" t="s">
        <v>63</v>
      </c>
      <c r="M1001" s="2" t="s">
        <v>2739</v>
      </c>
      <c r="N1001" s="3" t="s">
        <v>149</v>
      </c>
      <c r="P1001" s="3" t="s">
        <v>65</v>
      </c>
      <c r="Q1001" s="2" t="s">
        <v>9810</v>
      </c>
      <c r="R1001" s="3" t="s">
        <v>66</v>
      </c>
      <c r="S1001" s="4">
        <v>1</v>
      </c>
      <c r="T1001" s="4">
        <v>1</v>
      </c>
      <c r="U1001" s="5" t="s">
        <v>9811</v>
      </c>
      <c r="V1001" s="5" t="s">
        <v>9811</v>
      </c>
      <c r="W1001" s="5" t="s">
        <v>67</v>
      </c>
      <c r="X1001" s="5" t="s">
        <v>67</v>
      </c>
      <c r="Y1001" s="4">
        <v>99</v>
      </c>
      <c r="Z1001" s="4">
        <v>7</v>
      </c>
      <c r="AA1001" s="4">
        <v>88</v>
      </c>
      <c r="AB1001" s="4">
        <v>1</v>
      </c>
      <c r="AC1001" s="4">
        <v>17</v>
      </c>
      <c r="AD1001" s="4">
        <v>29</v>
      </c>
      <c r="AE1001" s="4">
        <v>111</v>
      </c>
      <c r="AF1001" s="4">
        <v>0</v>
      </c>
      <c r="AG1001" s="4">
        <v>8</v>
      </c>
      <c r="AH1001" s="4">
        <v>27</v>
      </c>
      <c r="AI1001" s="4">
        <v>75</v>
      </c>
      <c r="AJ1001" s="4">
        <v>5</v>
      </c>
      <c r="AK1001" s="4">
        <v>23</v>
      </c>
      <c r="AL1001" s="4">
        <v>16</v>
      </c>
      <c r="AM1001" s="4">
        <v>38</v>
      </c>
      <c r="AN1001" s="4">
        <v>0</v>
      </c>
      <c r="AO1001" s="4">
        <v>0</v>
      </c>
      <c r="AP1001" s="4">
        <v>6</v>
      </c>
      <c r="AQ1001" s="4">
        <v>44</v>
      </c>
      <c r="AR1001" s="3" t="s">
        <v>62</v>
      </c>
      <c r="AS1001" s="3" t="s">
        <v>62</v>
      </c>
      <c r="AT1001" s="3" t="s">
        <v>62</v>
      </c>
      <c r="AV1001" s="6" t="str">
        <f>HYPERLINK("http://mcgill.on.worldcat.org/oclc/642204948","Catalog Record")</f>
        <v>Catalog Record</v>
      </c>
      <c r="AW1001" s="6" t="str">
        <f>HYPERLINK("http://www.worldcat.org/oclc/642204948","WorldCat Record")</f>
        <v>WorldCat Record</v>
      </c>
      <c r="AX1001" s="3" t="s">
        <v>9812</v>
      </c>
      <c r="AY1001" s="3" t="s">
        <v>9813</v>
      </c>
      <c r="AZ1001" s="3" t="s">
        <v>9814</v>
      </c>
      <c r="BA1001" s="3" t="s">
        <v>9814</v>
      </c>
      <c r="BB1001" s="3" t="s">
        <v>9815</v>
      </c>
      <c r="BC1001" s="3" t="s">
        <v>142</v>
      </c>
      <c r="BD1001" s="3" t="s">
        <v>68</v>
      </c>
      <c r="BE1001" s="3" t="s">
        <v>9816</v>
      </c>
      <c r="BF1001" s="3" t="s">
        <v>9815</v>
      </c>
      <c r="BG1001" s="3" t="s">
        <v>9817</v>
      </c>
    </row>
    <row r="1002" spans="1:59" ht="57" x14ac:dyDescent="0.45">
      <c r="A1002" s="2" t="s">
        <v>59</v>
      </c>
      <c r="B1002" s="2" t="s">
        <v>60</v>
      </c>
      <c r="C1002" s="2" t="s">
        <v>9818</v>
      </c>
      <c r="D1002" s="2" t="s">
        <v>9819</v>
      </c>
      <c r="E1002" s="2" t="s">
        <v>9820</v>
      </c>
      <c r="F1002" s="3" t="s">
        <v>9821</v>
      </c>
      <c r="G1002" s="3" t="s">
        <v>62</v>
      </c>
      <c r="I1002" s="3" t="s">
        <v>62</v>
      </c>
      <c r="J1002" s="3" t="s">
        <v>61</v>
      </c>
      <c r="K1002" s="3" t="s">
        <v>63</v>
      </c>
      <c r="M1002" s="2" t="s">
        <v>9822</v>
      </c>
      <c r="N1002" s="3" t="s">
        <v>116</v>
      </c>
      <c r="P1002" s="3" t="s">
        <v>65</v>
      </c>
      <c r="R1002" s="3" t="s">
        <v>66</v>
      </c>
      <c r="S1002" s="4">
        <v>0</v>
      </c>
      <c r="T1002" s="4">
        <v>0</v>
      </c>
      <c r="W1002" s="5" t="s">
        <v>2406</v>
      </c>
      <c r="X1002" s="5" t="s">
        <v>2406</v>
      </c>
      <c r="Y1002" s="4">
        <v>38</v>
      </c>
      <c r="Z1002" s="4">
        <v>4</v>
      </c>
      <c r="AA1002" s="4">
        <v>77</v>
      </c>
      <c r="AB1002" s="4">
        <v>2</v>
      </c>
      <c r="AC1002" s="4">
        <v>15</v>
      </c>
      <c r="AD1002" s="4">
        <v>8</v>
      </c>
      <c r="AE1002" s="4">
        <v>83</v>
      </c>
      <c r="AF1002" s="4">
        <v>1</v>
      </c>
      <c r="AG1002" s="4">
        <v>8</v>
      </c>
      <c r="AH1002" s="4">
        <v>7</v>
      </c>
      <c r="AI1002" s="4">
        <v>51</v>
      </c>
      <c r="AJ1002" s="4">
        <v>3</v>
      </c>
      <c r="AK1002" s="4">
        <v>20</v>
      </c>
      <c r="AL1002" s="4">
        <v>2</v>
      </c>
      <c r="AM1002" s="4">
        <v>22</v>
      </c>
      <c r="AN1002" s="4">
        <v>0</v>
      </c>
      <c r="AO1002" s="4">
        <v>0</v>
      </c>
      <c r="AP1002" s="4">
        <v>3</v>
      </c>
      <c r="AQ1002" s="4">
        <v>40</v>
      </c>
      <c r="AR1002" s="3" t="s">
        <v>62</v>
      </c>
      <c r="AS1002" s="3" t="s">
        <v>62</v>
      </c>
      <c r="AT1002" s="3" t="s">
        <v>62</v>
      </c>
      <c r="AV1002" s="6" t="str">
        <f>HYPERLINK("http://mcgill.on.worldcat.org/oclc/754733741","Catalog Record")</f>
        <v>Catalog Record</v>
      </c>
      <c r="AW1002" s="6" t="str">
        <f>HYPERLINK("http://www.worldcat.org/oclc/754733741","WorldCat Record")</f>
        <v>WorldCat Record</v>
      </c>
      <c r="AX1002" s="3" t="s">
        <v>9823</v>
      </c>
      <c r="AY1002" s="3" t="s">
        <v>9824</v>
      </c>
      <c r="AZ1002" s="3" t="s">
        <v>9825</v>
      </c>
      <c r="BA1002" s="3" t="s">
        <v>9825</v>
      </c>
      <c r="BB1002" s="3" t="s">
        <v>9826</v>
      </c>
      <c r="BC1002" s="3" t="s">
        <v>142</v>
      </c>
      <c r="BD1002" s="3" t="s">
        <v>68</v>
      </c>
      <c r="BE1002" s="3" t="s">
        <v>9827</v>
      </c>
      <c r="BF1002" s="3" t="s">
        <v>9826</v>
      </c>
      <c r="BG1002" s="3" t="s">
        <v>9828</v>
      </c>
    </row>
    <row r="1003" spans="1:59" ht="57" x14ac:dyDescent="0.45">
      <c r="A1003" s="2" t="s">
        <v>59</v>
      </c>
      <c r="B1003" s="2" t="s">
        <v>60</v>
      </c>
      <c r="C1003" s="2" t="s">
        <v>9829</v>
      </c>
      <c r="D1003" s="2" t="s">
        <v>9830</v>
      </c>
      <c r="E1003" s="2" t="s">
        <v>9831</v>
      </c>
      <c r="F1003" s="3" t="s">
        <v>9832</v>
      </c>
      <c r="G1003" s="3" t="s">
        <v>62</v>
      </c>
      <c r="I1003" s="3" t="s">
        <v>62</v>
      </c>
      <c r="J1003" s="3" t="s">
        <v>61</v>
      </c>
      <c r="K1003" s="3" t="s">
        <v>63</v>
      </c>
      <c r="M1003" s="2" t="s">
        <v>9833</v>
      </c>
      <c r="N1003" s="3" t="s">
        <v>116</v>
      </c>
      <c r="P1003" s="3" t="s">
        <v>65</v>
      </c>
      <c r="R1003" s="3" t="s">
        <v>66</v>
      </c>
      <c r="S1003" s="4">
        <v>1</v>
      </c>
      <c r="T1003" s="4">
        <v>1</v>
      </c>
      <c r="U1003" s="5" t="s">
        <v>8043</v>
      </c>
      <c r="V1003" s="5" t="s">
        <v>8043</v>
      </c>
      <c r="W1003" s="5" t="s">
        <v>67</v>
      </c>
      <c r="X1003" s="5" t="s">
        <v>67</v>
      </c>
      <c r="Y1003" s="4">
        <v>44</v>
      </c>
      <c r="Z1003" s="4">
        <v>7</v>
      </c>
      <c r="AA1003" s="4">
        <v>77</v>
      </c>
      <c r="AB1003" s="4">
        <v>2</v>
      </c>
      <c r="AC1003" s="4">
        <v>15</v>
      </c>
      <c r="AD1003" s="4">
        <v>9</v>
      </c>
      <c r="AE1003" s="4">
        <v>83</v>
      </c>
      <c r="AF1003" s="4">
        <v>1</v>
      </c>
      <c r="AG1003" s="4">
        <v>8</v>
      </c>
      <c r="AH1003" s="4">
        <v>7</v>
      </c>
      <c r="AI1003" s="4">
        <v>51</v>
      </c>
      <c r="AJ1003" s="4">
        <v>4</v>
      </c>
      <c r="AK1003" s="4">
        <v>20</v>
      </c>
      <c r="AL1003" s="4">
        <v>2</v>
      </c>
      <c r="AM1003" s="4">
        <v>22</v>
      </c>
      <c r="AN1003" s="4">
        <v>0</v>
      </c>
      <c r="AO1003" s="4">
        <v>0</v>
      </c>
      <c r="AP1003" s="4">
        <v>5</v>
      </c>
      <c r="AQ1003" s="4">
        <v>40</v>
      </c>
      <c r="AR1003" s="3" t="s">
        <v>62</v>
      </c>
      <c r="AS1003" s="3" t="s">
        <v>62</v>
      </c>
      <c r="AT1003" s="3" t="s">
        <v>62</v>
      </c>
      <c r="AV1003" s="6" t="str">
        <f>HYPERLINK("http://mcgill.on.worldcat.org/oclc/754733745","Catalog Record")</f>
        <v>Catalog Record</v>
      </c>
      <c r="AW1003" s="6" t="str">
        <f>HYPERLINK("http://www.worldcat.org/oclc/754733745","WorldCat Record")</f>
        <v>WorldCat Record</v>
      </c>
      <c r="AX1003" s="3" t="s">
        <v>9823</v>
      </c>
      <c r="AY1003" s="3" t="s">
        <v>9834</v>
      </c>
      <c r="AZ1003" s="3" t="s">
        <v>9835</v>
      </c>
      <c r="BA1003" s="3" t="s">
        <v>9835</v>
      </c>
      <c r="BB1003" s="3" t="s">
        <v>9836</v>
      </c>
      <c r="BC1003" s="3" t="s">
        <v>142</v>
      </c>
      <c r="BD1003" s="3" t="s">
        <v>68</v>
      </c>
      <c r="BE1003" s="3" t="s">
        <v>9837</v>
      </c>
      <c r="BF1003" s="3" t="s">
        <v>9836</v>
      </c>
      <c r="BG1003" s="3" t="s">
        <v>9838</v>
      </c>
    </row>
    <row r="1004" spans="1:59" ht="71.25" x14ac:dyDescent="0.45">
      <c r="A1004" s="2" t="s">
        <v>59</v>
      </c>
      <c r="B1004" s="2" t="s">
        <v>60</v>
      </c>
      <c r="C1004" s="2" t="s">
        <v>9839</v>
      </c>
      <c r="D1004" s="2" t="s">
        <v>9840</v>
      </c>
      <c r="E1004" s="2" t="s">
        <v>9841</v>
      </c>
      <c r="G1004" s="3" t="s">
        <v>62</v>
      </c>
      <c r="I1004" s="3" t="s">
        <v>62</v>
      </c>
      <c r="J1004" s="3" t="s">
        <v>62</v>
      </c>
      <c r="K1004" s="3" t="s">
        <v>63</v>
      </c>
      <c r="L1004" s="2" t="s">
        <v>9842</v>
      </c>
      <c r="M1004" s="2" t="s">
        <v>9843</v>
      </c>
      <c r="N1004" s="3" t="s">
        <v>195</v>
      </c>
      <c r="P1004" s="3" t="s">
        <v>65</v>
      </c>
      <c r="R1004" s="3" t="s">
        <v>66</v>
      </c>
      <c r="S1004" s="4">
        <v>14</v>
      </c>
      <c r="T1004" s="4">
        <v>14</v>
      </c>
      <c r="U1004" s="5" t="s">
        <v>3744</v>
      </c>
      <c r="V1004" s="5" t="s">
        <v>3744</v>
      </c>
      <c r="W1004" s="5" t="s">
        <v>67</v>
      </c>
      <c r="X1004" s="5" t="s">
        <v>67</v>
      </c>
      <c r="Y1004" s="4">
        <v>102</v>
      </c>
      <c r="Z1004" s="4">
        <v>4</v>
      </c>
      <c r="AA1004" s="4">
        <v>9</v>
      </c>
      <c r="AB1004" s="4">
        <v>1</v>
      </c>
      <c r="AC1004" s="4">
        <v>2</v>
      </c>
      <c r="AD1004" s="4">
        <v>42</v>
      </c>
      <c r="AE1004" s="4">
        <v>51</v>
      </c>
      <c r="AF1004" s="4">
        <v>0</v>
      </c>
      <c r="AG1004" s="4">
        <v>1</v>
      </c>
      <c r="AH1004" s="4">
        <v>39</v>
      </c>
      <c r="AI1004" s="4">
        <v>46</v>
      </c>
      <c r="AJ1004" s="4">
        <v>3</v>
      </c>
      <c r="AK1004" s="4">
        <v>7</v>
      </c>
      <c r="AL1004" s="4">
        <v>24</v>
      </c>
      <c r="AM1004" s="4">
        <v>28</v>
      </c>
      <c r="AN1004" s="4">
        <v>0</v>
      </c>
      <c r="AO1004" s="4">
        <v>0</v>
      </c>
      <c r="AP1004" s="4">
        <v>3</v>
      </c>
      <c r="AQ1004" s="4">
        <v>6</v>
      </c>
      <c r="AR1004" s="3" t="s">
        <v>62</v>
      </c>
      <c r="AS1004" s="3" t="s">
        <v>62</v>
      </c>
      <c r="AT1004" s="3" t="s">
        <v>62</v>
      </c>
      <c r="AV1004" s="6" t="str">
        <f>HYPERLINK("http://mcgill.on.worldcat.org/oclc/28850919","Catalog Record")</f>
        <v>Catalog Record</v>
      </c>
      <c r="AW1004" s="6" t="str">
        <f>HYPERLINK("http://www.worldcat.org/oclc/28850919","WorldCat Record")</f>
        <v>WorldCat Record</v>
      </c>
      <c r="AX1004" s="3" t="s">
        <v>9844</v>
      </c>
      <c r="AY1004" s="3" t="s">
        <v>9845</v>
      </c>
      <c r="AZ1004" s="3" t="s">
        <v>9846</v>
      </c>
      <c r="BA1004" s="3" t="s">
        <v>9846</v>
      </c>
      <c r="BB1004" s="3" t="s">
        <v>9847</v>
      </c>
      <c r="BC1004" s="3" t="s">
        <v>142</v>
      </c>
      <c r="BD1004" s="3" t="s">
        <v>308</v>
      </c>
      <c r="BE1004" s="3" t="s">
        <v>9848</v>
      </c>
      <c r="BF1004" s="3" t="s">
        <v>9847</v>
      </c>
      <c r="BG1004" s="3" t="s">
        <v>9849</v>
      </c>
    </row>
    <row r="1005" spans="1:59" ht="57" x14ac:dyDescent="0.45">
      <c r="A1005" s="2" t="s">
        <v>59</v>
      </c>
      <c r="B1005" s="2" t="s">
        <v>60</v>
      </c>
      <c r="C1005" s="2" t="s">
        <v>9850</v>
      </c>
      <c r="D1005" s="2" t="s">
        <v>9851</v>
      </c>
      <c r="E1005" s="2" t="s">
        <v>9852</v>
      </c>
      <c r="G1005" s="3" t="s">
        <v>62</v>
      </c>
      <c r="I1005" s="3" t="s">
        <v>62</v>
      </c>
      <c r="J1005" s="3" t="s">
        <v>62</v>
      </c>
      <c r="K1005" s="3" t="s">
        <v>63</v>
      </c>
      <c r="M1005" s="2" t="s">
        <v>9853</v>
      </c>
      <c r="N1005" s="3" t="s">
        <v>1437</v>
      </c>
      <c r="P1005" s="3" t="s">
        <v>65</v>
      </c>
      <c r="R1005" s="3" t="s">
        <v>66</v>
      </c>
      <c r="S1005" s="4">
        <v>24</v>
      </c>
      <c r="T1005" s="4">
        <v>24</v>
      </c>
      <c r="U1005" s="5" t="s">
        <v>9854</v>
      </c>
      <c r="V1005" s="5" t="s">
        <v>9854</v>
      </c>
      <c r="W1005" s="5" t="s">
        <v>67</v>
      </c>
      <c r="X1005" s="5" t="s">
        <v>67</v>
      </c>
      <c r="Y1005" s="4">
        <v>252</v>
      </c>
      <c r="Z1005" s="4">
        <v>16</v>
      </c>
      <c r="AA1005" s="4">
        <v>23</v>
      </c>
      <c r="AB1005" s="4">
        <v>2</v>
      </c>
      <c r="AC1005" s="4">
        <v>7</v>
      </c>
      <c r="AD1005" s="4">
        <v>84</v>
      </c>
      <c r="AE1005" s="4">
        <v>89</v>
      </c>
      <c r="AF1005" s="4">
        <v>1</v>
      </c>
      <c r="AG1005" s="4">
        <v>3</v>
      </c>
      <c r="AH1005" s="4">
        <v>77</v>
      </c>
      <c r="AI1005" s="4">
        <v>79</v>
      </c>
      <c r="AJ1005" s="4">
        <v>12</v>
      </c>
      <c r="AK1005" s="4">
        <v>15</v>
      </c>
      <c r="AL1005" s="4">
        <v>44</v>
      </c>
      <c r="AM1005" s="4">
        <v>44</v>
      </c>
      <c r="AN1005" s="4">
        <v>0</v>
      </c>
      <c r="AO1005" s="4">
        <v>0</v>
      </c>
      <c r="AP1005" s="4">
        <v>13</v>
      </c>
      <c r="AQ1005" s="4">
        <v>17</v>
      </c>
      <c r="AR1005" s="3" t="s">
        <v>62</v>
      </c>
      <c r="AS1005" s="3" t="s">
        <v>62</v>
      </c>
      <c r="AT1005" s="3" t="s">
        <v>61</v>
      </c>
      <c r="AU1005" s="6" t="str">
        <f>HYPERLINK("http://catalog.hathitrust.org/Record/004006261","HathiTrust Record")</f>
        <v>HathiTrust Record</v>
      </c>
      <c r="AV1005" s="6" t="str">
        <f>HYPERLINK("http://mcgill.on.worldcat.org/oclc/39261804","Catalog Record")</f>
        <v>Catalog Record</v>
      </c>
      <c r="AW1005" s="6" t="str">
        <f>HYPERLINK("http://www.worldcat.org/oclc/39261804","WorldCat Record")</f>
        <v>WorldCat Record</v>
      </c>
      <c r="AX1005" s="3" t="s">
        <v>9855</v>
      </c>
      <c r="AY1005" s="3" t="s">
        <v>9856</v>
      </c>
      <c r="AZ1005" s="3" t="s">
        <v>9857</v>
      </c>
      <c r="BA1005" s="3" t="s">
        <v>9857</v>
      </c>
      <c r="BB1005" s="3" t="s">
        <v>9858</v>
      </c>
      <c r="BC1005" s="3" t="s">
        <v>142</v>
      </c>
      <c r="BD1005" s="3" t="s">
        <v>68</v>
      </c>
      <c r="BE1005" s="3" t="s">
        <v>9859</v>
      </c>
      <c r="BF1005" s="3" t="s">
        <v>9858</v>
      </c>
      <c r="BG1005" s="3" t="s">
        <v>9860</v>
      </c>
    </row>
    <row r="1006" spans="1:59" ht="57" x14ac:dyDescent="0.45">
      <c r="A1006" s="2" t="s">
        <v>59</v>
      </c>
      <c r="B1006" s="2" t="s">
        <v>60</v>
      </c>
      <c r="C1006" s="2" t="s">
        <v>9861</v>
      </c>
      <c r="D1006" s="2" t="s">
        <v>9862</v>
      </c>
      <c r="E1006" s="2" t="s">
        <v>9863</v>
      </c>
      <c r="G1006" s="3" t="s">
        <v>62</v>
      </c>
      <c r="I1006" s="3" t="s">
        <v>62</v>
      </c>
      <c r="J1006" s="3" t="s">
        <v>62</v>
      </c>
      <c r="K1006" s="3" t="s">
        <v>63</v>
      </c>
      <c r="L1006" s="2" t="s">
        <v>9864</v>
      </c>
      <c r="M1006" s="2" t="s">
        <v>9865</v>
      </c>
      <c r="N1006" s="3" t="s">
        <v>529</v>
      </c>
      <c r="P1006" s="3" t="s">
        <v>65</v>
      </c>
      <c r="Q1006" s="2" t="s">
        <v>9866</v>
      </c>
      <c r="R1006" s="3" t="s">
        <v>66</v>
      </c>
      <c r="S1006" s="4">
        <v>78</v>
      </c>
      <c r="T1006" s="4">
        <v>78</v>
      </c>
      <c r="U1006" s="5" t="s">
        <v>9867</v>
      </c>
      <c r="V1006" s="5" t="s">
        <v>9867</v>
      </c>
      <c r="W1006" s="5" t="s">
        <v>67</v>
      </c>
      <c r="X1006" s="5" t="s">
        <v>67</v>
      </c>
      <c r="Y1006" s="4">
        <v>305</v>
      </c>
      <c r="Z1006" s="4">
        <v>23</v>
      </c>
      <c r="AA1006" s="4">
        <v>25</v>
      </c>
      <c r="AB1006" s="4">
        <v>2</v>
      </c>
      <c r="AC1006" s="4">
        <v>4</v>
      </c>
      <c r="AD1006" s="4">
        <v>99</v>
      </c>
      <c r="AE1006" s="4">
        <v>101</v>
      </c>
      <c r="AF1006" s="4">
        <v>1</v>
      </c>
      <c r="AG1006" s="4">
        <v>3</v>
      </c>
      <c r="AH1006" s="4">
        <v>87</v>
      </c>
      <c r="AI1006" s="4">
        <v>88</v>
      </c>
      <c r="AJ1006" s="4">
        <v>16</v>
      </c>
      <c r="AK1006" s="4">
        <v>18</v>
      </c>
      <c r="AL1006" s="4">
        <v>43</v>
      </c>
      <c r="AM1006" s="4">
        <v>43</v>
      </c>
      <c r="AN1006" s="4">
        <v>0</v>
      </c>
      <c r="AO1006" s="4">
        <v>0</v>
      </c>
      <c r="AP1006" s="4">
        <v>20</v>
      </c>
      <c r="AQ1006" s="4">
        <v>21</v>
      </c>
      <c r="AR1006" s="3" t="s">
        <v>62</v>
      </c>
      <c r="AS1006" s="3" t="s">
        <v>62</v>
      </c>
      <c r="AT1006" s="3" t="s">
        <v>62</v>
      </c>
      <c r="AV1006" s="6" t="str">
        <f>HYPERLINK("http://mcgill.on.worldcat.org/oclc/14068530","Catalog Record")</f>
        <v>Catalog Record</v>
      </c>
      <c r="AW1006" s="6" t="str">
        <f>HYPERLINK("http://www.worldcat.org/oclc/14068530","WorldCat Record")</f>
        <v>WorldCat Record</v>
      </c>
      <c r="AX1006" s="3" t="s">
        <v>9868</v>
      </c>
      <c r="AY1006" s="3" t="s">
        <v>9869</v>
      </c>
      <c r="AZ1006" s="3" t="s">
        <v>9870</v>
      </c>
      <c r="BA1006" s="3" t="s">
        <v>9870</v>
      </c>
      <c r="BB1006" s="3" t="s">
        <v>9871</v>
      </c>
      <c r="BC1006" s="3" t="s">
        <v>142</v>
      </c>
      <c r="BD1006" s="3" t="s">
        <v>68</v>
      </c>
      <c r="BE1006" s="3" t="s">
        <v>9872</v>
      </c>
      <c r="BF1006" s="3" t="s">
        <v>9871</v>
      </c>
      <c r="BG1006" s="3" t="s">
        <v>9873</v>
      </c>
    </row>
    <row r="1007" spans="1:59" ht="57" x14ac:dyDescent="0.45">
      <c r="A1007" s="2" t="s">
        <v>59</v>
      </c>
      <c r="B1007" s="2" t="s">
        <v>60</v>
      </c>
      <c r="C1007" s="2" t="s">
        <v>9874</v>
      </c>
      <c r="D1007" s="2" t="s">
        <v>9875</v>
      </c>
      <c r="E1007" s="2" t="s">
        <v>9876</v>
      </c>
      <c r="G1007" s="3" t="s">
        <v>62</v>
      </c>
      <c r="I1007" s="3" t="s">
        <v>62</v>
      </c>
      <c r="J1007" s="3" t="s">
        <v>62</v>
      </c>
      <c r="K1007" s="3" t="s">
        <v>63</v>
      </c>
      <c r="M1007" s="2" t="s">
        <v>9877</v>
      </c>
      <c r="N1007" s="3" t="s">
        <v>568</v>
      </c>
      <c r="P1007" s="3" t="s">
        <v>65</v>
      </c>
      <c r="Q1007" s="2" t="s">
        <v>9878</v>
      </c>
      <c r="R1007" s="3" t="s">
        <v>66</v>
      </c>
      <c r="S1007" s="4">
        <v>32</v>
      </c>
      <c r="T1007" s="4">
        <v>32</v>
      </c>
      <c r="U1007" s="5" t="s">
        <v>445</v>
      </c>
      <c r="V1007" s="5" t="s">
        <v>445</v>
      </c>
      <c r="W1007" s="5" t="s">
        <v>67</v>
      </c>
      <c r="X1007" s="5" t="s">
        <v>67</v>
      </c>
      <c r="Y1007" s="4">
        <v>266</v>
      </c>
      <c r="Z1007" s="4">
        <v>25</v>
      </c>
      <c r="AA1007" s="4">
        <v>102</v>
      </c>
      <c r="AB1007" s="4">
        <v>2</v>
      </c>
      <c r="AC1007" s="4">
        <v>18</v>
      </c>
      <c r="AD1007" s="4">
        <v>82</v>
      </c>
      <c r="AE1007" s="4">
        <v>125</v>
      </c>
      <c r="AF1007" s="4">
        <v>1</v>
      </c>
      <c r="AG1007" s="4">
        <v>8</v>
      </c>
      <c r="AH1007" s="4">
        <v>67</v>
      </c>
      <c r="AI1007" s="4">
        <v>86</v>
      </c>
      <c r="AJ1007" s="4">
        <v>16</v>
      </c>
      <c r="AK1007" s="4">
        <v>23</v>
      </c>
      <c r="AL1007" s="4">
        <v>40</v>
      </c>
      <c r="AM1007" s="4">
        <v>48</v>
      </c>
      <c r="AN1007" s="4">
        <v>0</v>
      </c>
      <c r="AO1007" s="4">
        <v>0</v>
      </c>
      <c r="AP1007" s="4">
        <v>22</v>
      </c>
      <c r="AQ1007" s="4">
        <v>47</v>
      </c>
      <c r="AR1007" s="3" t="s">
        <v>62</v>
      </c>
      <c r="AS1007" s="3" t="s">
        <v>62</v>
      </c>
      <c r="AT1007" s="3" t="s">
        <v>61</v>
      </c>
      <c r="AU1007" s="6" t="str">
        <f>HYPERLINK("http://catalog.hathitrust.org/Record/000880090","HathiTrust Record")</f>
        <v>HathiTrust Record</v>
      </c>
      <c r="AV1007" s="6" t="str">
        <f>HYPERLINK("http://mcgill.on.worldcat.org/oclc/15630076","Catalog Record")</f>
        <v>Catalog Record</v>
      </c>
      <c r="AW1007" s="6" t="str">
        <f>HYPERLINK("http://www.worldcat.org/oclc/15630076","WorldCat Record")</f>
        <v>WorldCat Record</v>
      </c>
      <c r="AX1007" s="3" t="s">
        <v>9879</v>
      </c>
      <c r="AY1007" s="3" t="s">
        <v>9880</v>
      </c>
      <c r="AZ1007" s="3" t="s">
        <v>9881</v>
      </c>
      <c r="BA1007" s="3" t="s">
        <v>9881</v>
      </c>
      <c r="BB1007" s="3" t="s">
        <v>9882</v>
      </c>
      <c r="BC1007" s="3" t="s">
        <v>142</v>
      </c>
      <c r="BD1007" s="3" t="s">
        <v>68</v>
      </c>
      <c r="BE1007" s="3" t="s">
        <v>9883</v>
      </c>
      <c r="BF1007" s="3" t="s">
        <v>9882</v>
      </c>
      <c r="BG1007" s="3" t="s">
        <v>9884</v>
      </c>
    </row>
    <row r="1008" spans="1:59" ht="57" x14ac:dyDescent="0.45">
      <c r="A1008" s="2" t="s">
        <v>59</v>
      </c>
      <c r="B1008" s="2" t="s">
        <v>60</v>
      </c>
      <c r="C1008" s="2" t="s">
        <v>9885</v>
      </c>
      <c r="D1008" s="2" t="s">
        <v>9886</v>
      </c>
      <c r="E1008" s="2" t="s">
        <v>9887</v>
      </c>
      <c r="G1008" s="3" t="s">
        <v>62</v>
      </c>
      <c r="I1008" s="3" t="s">
        <v>62</v>
      </c>
      <c r="J1008" s="3" t="s">
        <v>62</v>
      </c>
      <c r="K1008" s="3" t="s">
        <v>63</v>
      </c>
      <c r="L1008" s="2" t="s">
        <v>9888</v>
      </c>
      <c r="M1008" s="2" t="s">
        <v>9889</v>
      </c>
      <c r="N1008" s="3" t="s">
        <v>1465</v>
      </c>
      <c r="P1008" s="3" t="s">
        <v>65</v>
      </c>
      <c r="R1008" s="3" t="s">
        <v>66</v>
      </c>
      <c r="S1008" s="4">
        <v>1</v>
      </c>
      <c r="T1008" s="4">
        <v>1</v>
      </c>
      <c r="U1008" s="5" t="s">
        <v>7065</v>
      </c>
      <c r="V1008" s="5" t="s">
        <v>7065</v>
      </c>
      <c r="W1008" s="5" t="s">
        <v>67</v>
      </c>
      <c r="X1008" s="5" t="s">
        <v>67</v>
      </c>
      <c r="Y1008" s="4">
        <v>204</v>
      </c>
      <c r="Z1008" s="4">
        <v>20</v>
      </c>
      <c r="AA1008" s="4">
        <v>26</v>
      </c>
      <c r="AB1008" s="4">
        <v>3</v>
      </c>
      <c r="AC1008" s="4">
        <v>7</v>
      </c>
      <c r="AD1008" s="4">
        <v>76</v>
      </c>
      <c r="AE1008" s="4">
        <v>82</v>
      </c>
      <c r="AF1008" s="4">
        <v>1</v>
      </c>
      <c r="AG1008" s="4">
        <v>3</v>
      </c>
      <c r="AH1008" s="4">
        <v>68</v>
      </c>
      <c r="AI1008" s="4">
        <v>71</v>
      </c>
      <c r="AJ1008" s="4">
        <v>14</v>
      </c>
      <c r="AK1008" s="4">
        <v>18</v>
      </c>
      <c r="AL1008" s="4">
        <v>40</v>
      </c>
      <c r="AM1008" s="4">
        <v>41</v>
      </c>
      <c r="AN1008" s="4">
        <v>0</v>
      </c>
      <c r="AO1008" s="4">
        <v>0</v>
      </c>
      <c r="AP1008" s="4">
        <v>15</v>
      </c>
      <c r="AQ1008" s="4">
        <v>19</v>
      </c>
      <c r="AR1008" s="3" t="s">
        <v>62</v>
      </c>
      <c r="AS1008" s="3" t="s">
        <v>62</v>
      </c>
      <c r="AT1008" s="3" t="s">
        <v>62</v>
      </c>
      <c r="AV1008" s="6" t="str">
        <f>HYPERLINK("http://mcgill.on.worldcat.org/oclc/457772168","Catalog Record")</f>
        <v>Catalog Record</v>
      </c>
      <c r="AW1008" s="6" t="str">
        <f>HYPERLINK("http://www.worldcat.org/oclc/457772168","WorldCat Record")</f>
        <v>WorldCat Record</v>
      </c>
      <c r="AX1008" s="3" t="s">
        <v>9890</v>
      </c>
      <c r="AY1008" s="3" t="s">
        <v>9891</v>
      </c>
      <c r="AZ1008" s="3" t="s">
        <v>9892</v>
      </c>
      <c r="BA1008" s="3" t="s">
        <v>9892</v>
      </c>
      <c r="BB1008" s="3" t="s">
        <v>9893</v>
      </c>
      <c r="BC1008" s="3" t="s">
        <v>142</v>
      </c>
      <c r="BD1008" s="3" t="s">
        <v>68</v>
      </c>
      <c r="BE1008" s="3" t="s">
        <v>9894</v>
      </c>
      <c r="BF1008" s="3" t="s">
        <v>9893</v>
      </c>
      <c r="BG1008" s="3" t="s">
        <v>9895</v>
      </c>
    </row>
    <row r="1009" spans="1:59" ht="57" x14ac:dyDescent="0.45">
      <c r="A1009" s="2" t="s">
        <v>59</v>
      </c>
      <c r="B1009" s="2" t="s">
        <v>60</v>
      </c>
      <c r="C1009" s="2" t="s">
        <v>9896</v>
      </c>
      <c r="D1009" s="2" t="s">
        <v>9897</v>
      </c>
      <c r="E1009" s="2" t="s">
        <v>9898</v>
      </c>
      <c r="G1009" s="3" t="s">
        <v>62</v>
      </c>
      <c r="I1009" s="3" t="s">
        <v>62</v>
      </c>
      <c r="J1009" s="3" t="s">
        <v>62</v>
      </c>
      <c r="K1009" s="3" t="s">
        <v>63</v>
      </c>
      <c r="L1009" s="2" t="s">
        <v>9899</v>
      </c>
      <c r="M1009" s="2" t="s">
        <v>1881</v>
      </c>
      <c r="N1009" s="3" t="s">
        <v>1253</v>
      </c>
      <c r="P1009" s="3" t="s">
        <v>65</v>
      </c>
      <c r="Q1009" s="2" t="s">
        <v>7244</v>
      </c>
      <c r="R1009" s="3" t="s">
        <v>66</v>
      </c>
      <c r="S1009" s="4">
        <v>33</v>
      </c>
      <c r="T1009" s="4">
        <v>33</v>
      </c>
      <c r="U1009" s="5" t="s">
        <v>9900</v>
      </c>
      <c r="V1009" s="5" t="s">
        <v>9900</v>
      </c>
      <c r="W1009" s="5" t="s">
        <v>67</v>
      </c>
      <c r="X1009" s="5" t="s">
        <v>67</v>
      </c>
      <c r="Y1009" s="4">
        <v>419</v>
      </c>
      <c r="Z1009" s="4">
        <v>28</v>
      </c>
      <c r="AA1009" s="4">
        <v>34</v>
      </c>
      <c r="AB1009" s="4">
        <v>3</v>
      </c>
      <c r="AC1009" s="4">
        <v>8</v>
      </c>
      <c r="AD1009" s="4">
        <v>96</v>
      </c>
      <c r="AE1009" s="4">
        <v>101</v>
      </c>
      <c r="AF1009" s="4">
        <v>2</v>
      </c>
      <c r="AG1009" s="4">
        <v>5</v>
      </c>
      <c r="AH1009" s="4">
        <v>79</v>
      </c>
      <c r="AI1009" s="4">
        <v>81</v>
      </c>
      <c r="AJ1009" s="4">
        <v>15</v>
      </c>
      <c r="AK1009" s="4">
        <v>18</v>
      </c>
      <c r="AL1009" s="4">
        <v>41</v>
      </c>
      <c r="AM1009" s="4">
        <v>41</v>
      </c>
      <c r="AN1009" s="4">
        <v>0</v>
      </c>
      <c r="AO1009" s="4">
        <v>0</v>
      </c>
      <c r="AP1009" s="4">
        <v>24</v>
      </c>
      <c r="AQ1009" s="4">
        <v>27</v>
      </c>
      <c r="AR1009" s="3" t="s">
        <v>62</v>
      </c>
      <c r="AS1009" s="3" t="s">
        <v>62</v>
      </c>
      <c r="AT1009" s="3" t="s">
        <v>62</v>
      </c>
      <c r="AV1009" s="6" t="str">
        <f>HYPERLINK("http://mcgill.on.worldcat.org/oclc/36458564","Catalog Record")</f>
        <v>Catalog Record</v>
      </c>
      <c r="AW1009" s="6" t="str">
        <f>HYPERLINK("http://www.worldcat.org/oclc/36458564","WorldCat Record")</f>
        <v>WorldCat Record</v>
      </c>
      <c r="AX1009" s="3" t="s">
        <v>9901</v>
      </c>
      <c r="AY1009" s="3" t="s">
        <v>9902</v>
      </c>
      <c r="AZ1009" s="3" t="s">
        <v>9903</v>
      </c>
      <c r="BA1009" s="3" t="s">
        <v>9903</v>
      </c>
      <c r="BB1009" s="3" t="s">
        <v>9904</v>
      </c>
      <c r="BC1009" s="3" t="s">
        <v>142</v>
      </c>
      <c r="BD1009" s="3" t="s">
        <v>68</v>
      </c>
      <c r="BE1009" s="3" t="s">
        <v>9905</v>
      </c>
      <c r="BF1009" s="3" t="s">
        <v>9904</v>
      </c>
      <c r="BG1009" s="3" t="s">
        <v>9906</v>
      </c>
    </row>
    <row r="1010" spans="1:59" ht="57" x14ac:dyDescent="0.45">
      <c r="A1010" s="2" t="s">
        <v>59</v>
      </c>
      <c r="B1010" s="2" t="s">
        <v>60</v>
      </c>
      <c r="C1010" s="2" t="s">
        <v>9907</v>
      </c>
      <c r="D1010" s="2" t="s">
        <v>9908</v>
      </c>
      <c r="E1010" s="2" t="s">
        <v>9909</v>
      </c>
      <c r="G1010" s="3" t="s">
        <v>62</v>
      </c>
      <c r="I1010" s="3" t="s">
        <v>62</v>
      </c>
      <c r="J1010" s="3" t="s">
        <v>62</v>
      </c>
      <c r="K1010" s="3" t="s">
        <v>63</v>
      </c>
      <c r="L1010" s="2" t="s">
        <v>9910</v>
      </c>
      <c r="M1010" s="2" t="s">
        <v>9911</v>
      </c>
      <c r="N1010" s="3" t="s">
        <v>208</v>
      </c>
      <c r="P1010" s="3" t="s">
        <v>65</v>
      </c>
      <c r="Q1010" s="2" t="s">
        <v>9188</v>
      </c>
      <c r="R1010" s="3" t="s">
        <v>66</v>
      </c>
      <c r="S1010" s="4">
        <v>2</v>
      </c>
      <c r="T1010" s="4">
        <v>2</v>
      </c>
      <c r="U1010" s="5" t="s">
        <v>9543</v>
      </c>
      <c r="V1010" s="5" t="s">
        <v>9543</v>
      </c>
      <c r="W1010" s="5" t="s">
        <v>67</v>
      </c>
      <c r="X1010" s="5" t="s">
        <v>67</v>
      </c>
      <c r="Y1010" s="4">
        <v>54</v>
      </c>
      <c r="Z1010" s="4">
        <v>4</v>
      </c>
      <c r="AA1010" s="4">
        <v>4</v>
      </c>
      <c r="AB1010" s="4">
        <v>1</v>
      </c>
      <c r="AC1010" s="4">
        <v>1</v>
      </c>
      <c r="AD1010" s="4">
        <v>18</v>
      </c>
      <c r="AE1010" s="4">
        <v>18</v>
      </c>
      <c r="AF1010" s="4">
        <v>0</v>
      </c>
      <c r="AG1010" s="4">
        <v>0</v>
      </c>
      <c r="AH1010" s="4">
        <v>18</v>
      </c>
      <c r="AI1010" s="4">
        <v>18</v>
      </c>
      <c r="AJ1010" s="4">
        <v>2</v>
      </c>
      <c r="AK1010" s="4">
        <v>2</v>
      </c>
      <c r="AL1010" s="4">
        <v>11</v>
      </c>
      <c r="AM1010" s="4">
        <v>11</v>
      </c>
      <c r="AN1010" s="4">
        <v>0</v>
      </c>
      <c r="AO1010" s="4">
        <v>0</v>
      </c>
      <c r="AP1010" s="4">
        <v>2</v>
      </c>
      <c r="AQ1010" s="4">
        <v>2</v>
      </c>
      <c r="AR1010" s="3" t="s">
        <v>62</v>
      </c>
      <c r="AS1010" s="3" t="s">
        <v>62</v>
      </c>
      <c r="AT1010" s="3" t="s">
        <v>62</v>
      </c>
      <c r="AV1010" s="6" t="str">
        <f>HYPERLINK("http://mcgill.on.worldcat.org/oclc/926095496","Catalog Record")</f>
        <v>Catalog Record</v>
      </c>
      <c r="AW1010" s="6" t="str">
        <f>HYPERLINK("http://www.worldcat.org/oclc/926095496","WorldCat Record")</f>
        <v>WorldCat Record</v>
      </c>
      <c r="AX1010" s="3" t="s">
        <v>9912</v>
      </c>
      <c r="AY1010" s="3" t="s">
        <v>9913</v>
      </c>
      <c r="AZ1010" s="3" t="s">
        <v>9914</v>
      </c>
      <c r="BA1010" s="3" t="s">
        <v>9914</v>
      </c>
      <c r="BB1010" s="3" t="s">
        <v>9915</v>
      </c>
      <c r="BC1010" s="3" t="s">
        <v>142</v>
      </c>
      <c r="BD1010" s="3" t="s">
        <v>68</v>
      </c>
      <c r="BE1010" s="3" t="s">
        <v>9916</v>
      </c>
      <c r="BF1010" s="3" t="s">
        <v>9915</v>
      </c>
      <c r="BG1010" s="3" t="s">
        <v>9917</v>
      </c>
    </row>
    <row r="1011" spans="1:59" ht="57" x14ac:dyDescent="0.45">
      <c r="A1011" s="2" t="s">
        <v>59</v>
      </c>
      <c r="B1011" s="2" t="s">
        <v>412</v>
      </c>
      <c r="C1011" s="2" t="s">
        <v>9918</v>
      </c>
      <c r="D1011" s="2" t="s">
        <v>9919</v>
      </c>
      <c r="E1011" s="2" t="s">
        <v>9920</v>
      </c>
      <c r="G1011" s="3" t="s">
        <v>62</v>
      </c>
      <c r="I1011" s="3" t="s">
        <v>62</v>
      </c>
      <c r="J1011" s="3" t="s">
        <v>62</v>
      </c>
      <c r="K1011" s="3" t="s">
        <v>63</v>
      </c>
      <c r="L1011" s="2" t="s">
        <v>9921</v>
      </c>
      <c r="M1011" s="2" t="s">
        <v>9922</v>
      </c>
      <c r="N1011" s="3" t="s">
        <v>807</v>
      </c>
      <c r="P1011" s="3" t="s">
        <v>65</v>
      </c>
      <c r="Q1011" s="2" t="s">
        <v>8700</v>
      </c>
      <c r="R1011" s="3" t="s">
        <v>66</v>
      </c>
      <c r="S1011" s="4">
        <v>25</v>
      </c>
      <c r="T1011" s="4">
        <v>25</v>
      </c>
      <c r="U1011" s="5" t="s">
        <v>9923</v>
      </c>
      <c r="V1011" s="5" t="s">
        <v>9923</v>
      </c>
      <c r="W1011" s="5" t="s">
        <v>67</v>
      </c>
      <c r="X1011" s="5" t="s">
        <v>67</v>
      </c>
      <c r="Y1011" s="4">
        <v>331</v>
      </c>
      <c r="Z1011" s="4">
        <v>15</v>
      </c>
      <c r="AA1011" s="4">
        <v>19</v>
      </c>
      <c r="AB1011" s="4">
        <v>2</v>
      </c>
      <c r="AC1011" s="4">
        <v>5</v>
      </c>
      <c r="AD1011" s="4">
        <v>87</v>
      </c>
      <c r="AE1011" s="4">
        <v>91</v>
      </c>
      <c r="AF1011" s="4">
        <v>1</v>
      </c>
      <c r="AG1011" s="4">
        <v>4</v>
      </c>
      <c r="AH1011" s="4">
        <v>81</v>
      </c>
      <c r="AI1011" s="4">
        <v>83</v>
      </c>
      <c r="AJ1011" s="4">
        <v>11</v>
      </c>
      <c r="AK1011" s="4">
        <v>14</v>
      </c>
      <c r="AL1011" s="4">
        <v>46</v>
      </c>
      <c r="AM1011" s="4">
        <v>46</v>
      </c>
      <c r="AN1011" s="4">
        <v>0</v>
      </c>
      <c r="AO1011" s="4">
        <v>0</v>
      </c>
      <c r="AP1011" s="4">
        <v>11</v>
      </c>
      <c r="AQ1011" s="4">
        <v>13</v>
      </c>
      <c r="AR1011" s="3" t="s">
        <v>62</v>
      </c>
      <c r="AS1011" s="3" t="s">
        <v>62</v>
      </c>
      <c r="AT1011" s="3" t="s">
        <v>61</v>
      </c>
      <c r="AU1011" s="6" t="str">
        <f>HYPERLINK("http://catalog.hathitrust.org/Record/007109297","HathiTrust Record")</f>
        <v>HathiTrust Record</v>
      </c>
      <c r="AV1011" s="6" t="str">
        <f>HYPERLINK("http://mcgill.on.worldcat.org/oclc/23047632","Catalog Record")</f>
        <v>Catalog Record</v>
      </c>
      <c r="AW1011" s="6" t="str">
        <f>HYPERLINK("http://www.worldcat.org/oclc/23047632","WorldCat Record")</f>
        <v>WorldCat Record</v>
      </c>
      <c r="AX1011" s="3" t="s">
        <v>9924</v>
      </c>
      <c r="AY1011" s="3" t="s">
        <v>9925</v>
      </c>
      <c r="AZ1011" s="3" t="s">
        <v>9926</v>
      </c>
      <c r="BA1011" s="3" t="s">
        <v>9926</v>
      </c>
      <c r="BB1011" s="3" t="s">
        <v>9927</v>
      </c>
      <c r="BC1011" s="3" t="s">
        <v>142</v>
      </c>
      <c r="BD1011" s="3" t="s">
        <v>68</v>
      </c>
      <c r="BE1011" s="3" t="s">
        <v>9928</v>
      </c>
      <c r="BF1011" s="3" t="s">
        <v>9927</v>
      </c>
      <c r="BG1011" s="3" t="s">
        <v>9929</v>
      </c>
    </row>
    <row r="1012" spans="1:59" ht="57" x14ac:dyDescent="0.45">
      <c r="A1012" s="2" t="s">
        <v>59</v>
      </c>
      <c r="B1012" s="2" t="s">
        <v>412</v>
      </c>
      <c r="C1012" s="2" t="s">
        <v>9930</v>
      </c>
      <c r="D1012" s="2" t="s">
        <v>9931</v>
      </c>
      <c r="E1012" s="2" t="s">
        <v>9932</v>
      </c>
      <c r="G1012" s="3" t="s">
        <v>62</v>
      </c>
      <c r="I1012" s="3" t="s">
        <v>62</v>
      </c>
      <c r="J1012" s="3" t="s">
        <v>62</v>
      </c>
      <c r="K1012" s="3" t="s">
        <v>63</v>
      </c>
      <c r="L1012" s="2" t="s">
        <v>9933</v>
      </c>
      <c r="M1012" s="2" t="s">
        <v>9656</v>
      </c>
      <c r="N1012" s="3" t="s">
        <v>1437</v>
      </c>
      <c r="P1012" s="3" t="s">
        <v>65</v>
      </c>
      <c r="Q1012" s="2" t="s">
        <v>7392</v>
      </c>
      <c r="R1012" s="3" t="s">
        <v>66</v>
      </c>
      <c r="S1012" s="4">
        <v>20</v>
      </c>
      <c r="T1012" s="4">
        <v>20</v>
      </c>
      <c r="U1012" s="5" t="s">
        <v>9777</v>
      </c>
      <c r="V1012" s="5" t="s">
        <v>9777</v>
      </c>
      <c r="W1012" s="5" t="s">
        <v>67</v>
      </c>
      <c r="X1012" s="5" t="s">
        <v>67</v>
      </c>
      <c r="Y1012" s="4">
        <v>407</v>
      </c>
      <c r="Z1012" s="4">
        <v>24</v>
      </c>
      <c r="AA1012" s="4">
        <v>27</v>
      </c>
      <c r="AB1012" s="4">
        <v>2</v>
      </c>
      <c r="AC1012" s="4">
        <v>5</v>
      </c>
      <c r="AD1012" s="4">
        <v>82</v>
      </c>
      <c r="AE1012" s="4">
        <v>85</v>
      </c>
      <c r="AF1012" s="4">
        <v>1</v>
      </c>
      <c r="AG1012" s="4">
        <v>3</v>
      </c>
      <c r="AH1012" s="4">
        <v>73</v>
      </c>
      <c r="AI1012" s="4">
        <v>75</v>
      </c>
      <c r="AJ1012" s="4">
        <v>12</v>
      </c>
      <c r="AK1012" s="4">
        <v>14</v>
      </c>
      <c r="AL1012" s="4">
        <v>36</v>
      </c>
      <c r="AM1012" s="4">
        <v>36</v>
      </c>
      <c r="AN1012" s="4">
        <v>0</v>
      </c>
      <c r="AO1012" s="4">
        <v>0</v>
      </c>
      <c r="AP1012" s="4">
        <v>16</v>
      </c>
      <c r="AQ1012" s="4">
        <v>18</v>
      </c>
      <c r="AR1012" s="3" t="s">
        <v>62</v>
      </c>
      <c r="AS1012" s="3" t="s">
        <v>62</v>
      </c>
      <c r="AT1012" s="3" t="s">
        <v>62</v>
      </c>
      <c r="AV1012" s="6" t="str">
        <f>HYPERLINK("http://mcgill.on.worldcat.org/oclc/37157654","Catalog Record")</f>
        <v>Catalog Record</v>
      </c>
      <c r="AW1012" s="6" t="str">
        <f>HYPERLINK("http://www.worldcat.org/oclc/37157654","WorldCat Record")</f>
        <v>WorldCat Record</v>
      </c>
      <c r="AX1012" s="3" t="s">
        <v>9934</v>
      </c>
      <c r="AY1012" s="3" t="s">
        <v>9935</v>
      </c>
      <c r="AZ1012" s="3" t="s">
        <v>9936</v>
      </c>
      <c r="BA1012" s="3" t="s">
        <v>9936</v>
      </c>
      <c r="BB1012" s="3" t="s">
        <v>9937</v>
      </c>
      <c r="BC1012" s="3" t="s">
        <v>142</v>
      </c>
      <c r="BD1012" s="3" t="s">
        <v>68</v>
      </c>
      <c r="BE1012" s="3" t="s">
        <v>9938</v>
      </c>
      <c r="BF1012" s="3" t="s">
        <v>9937</v>
      </c>
      <c r="BG1012" s="3" t="s">
        <v>9939</v>
      </c>
    </row>
    <row r="1013" spans="1:59" ht="57" x14ac:dyDescent="0.45">
      <c r="A1013" s="2" t="s">
        <v>59</v>
      </c>
      <c r="B1013" s="2" t="s">
        <v>60</v>
      </c>
      <c r="C1013" s="2" t="s">
        <v>9940</v>
      </c>
      <c r="D1013" s="2" t="s">
        <v>9941</v>
      </c>
      <c r="E1013" s="2" t="s">
        <v>9942</v>
      </c>
      <c r="G1013" s="3" t="s">
        <v>62</v>
      </c>
      <c r="I1013" s="3" t="s">
        <v>62</v>
      </c>
      <c r="J1013" s="3" t="s">
        <v>62</v>
      </c>
      <c r="K1013" s="3" t="s">
        <v>63</v>
      </c>
      <c r="L1013" s="2" t="s">
        <v>9943</v>
      </c>
      <c r="M1013" s="2" t="s">
        <v>9944</v>
      </c>
      <c r="N1013" s="3" t="s">
        <v>1465</v>
      </c>
      <c r="P1013" s="3" t="s">
        <v>65</v>
      </c>
      <c r="Q1013" s="2" t="s">
        <v>7036</v>
      </c>
      <c r="R1013" s="3" t="s">
        <v>66</v>
      </c>
      <c r="S1013" s="4">
        <v>14</v>
      </c>
      <c r="T1013" s="4">
        <v>14</v>
      </c>
      <c r="U1013" s="5" t="s">
        <v>9777</v>
      </c>
      <c r="V1013" s="5" t="s">
        <v>9777</v>
      </c>
      <c r="W1013" s="5" t="s">
        <v>67</v>
      </c>
      <c r="X1013" s="5" t="s">
        <v>67</v>
      </c>
      <c r="Y1013" s="4">
        <v>358</v>
      </c>
      <c r="Z1013" s="4">
        <v>24</v>
      </c>
      <c r="AA1013" s="4">
        <v>30</v>
      </c>
      <c r="AB1013" s="4">
        <v>3</v>
      </c>
      <c r="AC1013" s="4">
        <v>9</v>
      </c>
      <c r="AD1013" s="4">
        <v>92</v>
      </c>
      <c r="AE1013" s="4">
        <v>95</v>
      </c>
      <c r="AF1013" s="4">
        <v>1</v>
      </c>
      <c r="AG1013" s="4">
        <v>4</v>
      </c>
      <c r="AH1013" s="4">
        <v>83</v>
      </c>
      <c r="AI1013" s="4">
        <v>84</v>
      </c>
      <c r="AJ1013" s="4">
        <v>13</v>
      </c>
      <c r="AK1013" s="4">
        <v>16</v>
      </c>
      <c r="AL1013" s="4">
        <v>45</v>
      </c>
      <c r="AM1013" s="4">
        <v>45</v>
      </c>
      <c r="AN1013" s="4">
        <v>0</v>
      </c>
      <c r="AO1013" s="4">
        <v>0</v>
      </c>
      <c r="AP1013" s="4">
        <v>17</v>
      </c>
      <c r="AQ1013" s="4">
        <v>19</v>
      </c>
      <c r="AR1013" s="3" t="s">
        <v>62</v>
      </c>
      <c r="AS1013" s="3" t="s">
        <v>62</v>
      </c>
      <c r="AT1013" s="3" t="s">
        <v>62</v>
      </c>
      <c r="AV1013" s="6" t="str">
        <f>HYPERLINK("http://mcgill.on.worldcat.org/oclc/229445930","Catalog Record")</f>
        <v>Catalog Record</v>
      </c>
      <c r="AW1013" s="6" t="str">
        <f>HYPERLINK("http://www.worldcat.org/oclc/229445930","WorldCat Record")</f>
        <v>WorldCat Record</v>
      </c>
      <c r="AX1013" s="3" t="s">
        <v>9945</v>
      </c>
      <c r="AY1013" s="3" t="s">
        <v>9946</v>
      </c>
      <c r="AZ1013" s="3" t="s">
        <v>9947</v>
      </c>
      <c r="BA1013" s="3" t="s">
        <v>9947</v>
      </c>
      <c r="BB1013" s="3" t="s">
        <v>9948</v>
      </c>
      <c r="BC1013" s="3" t="s">
        <v>142</v>
      </c>
      <c r="BD1013" s="3" t="s">
        <v>68</v>
      </c>
      <c r="BE1013" s="3" t="s">
        <v>9949</v>
      </c>
      <c r="BF1013" s="3" t="s">
        <v>9948</v>
      </c>
      <c r="BG1013" s="3" t="s">
        <v>9950</v>
      </c>
    </row>
    <row r="1014" spans="1:59" ht="57" x14ac:dyDescent="0.45">
      <c r="A1014" s="2" t="s">
        <v>59</v>
      </c>
      <c r="B1014" s="2" t="s">
        <v>60</v>
      </c>
      <c r="C1014" s="2" t="s">
        <v>9951</v>
      </c>
      <c r="D1014" s="2" t="s">
        <v>9952</v>
      </c>
      <c r="E1014" s="2" t="s">
        <v>9953</v>
      </c>
      <c r="G1014" s="3" t="s">
        <v>62</v>
      </c>
      <c r="I1014" s="3" t="s">
        <v>62</v>
      </c>
      <c r="J1014" s="3" t="s">
        <v>62</v>
      </c>
      <c r="K1014" s="3" t="s">
        <v>63</v>
      </c>
      <c r="M1014" s="2" t="s">
        <v>9954</v>
      </c>
      <c r="N1014" s="3" t="s">
        <v>2417</v>
      </c>
      <c r="P1014" s="3" t="s">
        <v>65</v>
      </c>
      <c r="Q1014" s="2" t="s">
        <v>7036</v>
      </c>
      <c r="R1014" s="3" t="s">
        <v>66</v>
      </c>
      <c r="S1014" s="4">
        <v>21</v>
      </c>
      <c r="T1014" s="4">
        <v>21</v>
      </c>
      <c r="U1014" s="5" t="s">
        <v>9955</v>
      </c>
      <c r="V1014" s="5" t="s">
        <v>9955</v>
      </c>
      <c r="W1014" s="5" t="s">
        <v>67</v>
      </c>
      <c r="X1014" s="5" t="s">
        <v>67</v>
      </c>
      <c r="Y1014" s="4">
        <v>597</v>
      </c>
      <c r="Z1014" s="4">
        <v>35</v>
      </c>
      <c r="AA1014" s="4">
        <v>47</v>
      </c>
      <c r="AB1014" s="4">
        <v>3</v>
      </c>
      <c r="AC1014" s="4">
        <v>12</v>
      </c>
      <c r="AD1014" s="4">
        <v>117</v>
      </c>
      <c r="AE1014" s="4">
        <v>123</v>
      </c>
      <c r="AF1014" s="4">
        <v>2</v>
      </c>
      <c r="AG1014" s="4">
        <v>6</v>
      </c>
      <c r="AH1014" s="4">
        <v>97</v>
      </c>
      <c r="AI1014" s="4">
        <v>98</v>
      </c>
      <c r="AJ1014" s="4">
        <v>19</v>
      </c>
      <c r="AK1014" s="4">
        <v>22</v>
      </c>
      <c r="AL1014" s="4">
        <v>50</v>
      </c>
      <c r="AM1014" s="4">
        <v>50</v>
      </c>
      <c r="AN1014" s="4">
        <v>0</v>
      </c>
      <c r="AO1014" s="4">
        <v>0</v>
      </c>
      <c r="AP1014" s="4">
        <v>27</v>
      </c>
      <c r="AQ1014" s="4">
        <v>32</v>
      </c>
      <c r="AR1014" s="3" t="s">
        <v>62</v>
      </c>
      <c r="AS1014" s="3" t="s">
        <v>62</v>
      </c>
      <c r="AT1014" s="3" t="s">
        <v>61</v>
      </c>
      <c r="AU1014" s="6" t="str">
        <f>HYPERLINK("http://catalog.hathitrust.org/Record/000922291","HathiTrust Record")</f>
        <v>HathiTrust Record</v>
      </c>
      <c r="AV1014" s="6" t="str">
        <f>HYPERLINK("http://mcgill.on.worldcat.org/oclc/16525607","Catalog Record")</f>
        <v>Catalog Record</v>
      </c>
      <c r="AW1014" s="6" t="str">
        <f>HYPERLINK("http://www.worldcat.org/oclc/16525607","WorldCat Record")</f>
        <v>WorldCat Record</v>
      </c>
      <c r="AX1014" s="3" t="s">
        <v>9956</v>
      </c>
      <c r="AY1014" s="3" t="s">
        <v>9957</v>
      </c>
      <c r="AZ1014" s="3" t="s">
        <v>9958</v>
      </c>
      <c r="BA1014" s="3" t="s">
        <v>9958</v>
      </c>
      <c r="BB1014" s="3" t="s">
        <v>9959</v>
      </c>
      <c r="BC1014" s="3" t="s">
        <v>142</v>
      </c>
      <c r="BD1014" s="3" t="s">
        <v>68</v>
      </c>
      <c r="BE1014" s="3" t="s">
        <v>9960</v>
      </c>
      <c r="BF1014" s="3" t="s">
        <v>9959</v>
      </c>
      <c r="BG1014" s="3" t="s">
        <v>9961</v>
      </c>
    </row>
    <row r="1015" spans="1:59" ht="57" x14ac:dyDescent="0.45">
      <c r="A1015" s="2" t="s">
        <v>59</v>
      </c>
      <c r="B1015" s="2" t="s">
        <v>60</v>
      </c>
      <c r="C1015" s="2" t="s">
        <v>9962</v>
      </c>
      <c r="D1015" s="2" t="s">
        <v>9963</v>
      </c>
      <c r="E1015" s="2" t="s">
        <v>9964</v>
      </c>
      <c r="G1015" s="3" t="s">
        <v>62</v>
      </c>
      <c r="I1015" s="3" t="s">
        <v>62</v>
      </c>
      <c r="J1015" s="3" t="s">
        <v>62</v>
      </c>
      <c r="K1015" s="3" t="s">
        <v>63</v>
      </c>
      <c r="M1015" s="2" t="s">
        <v>9965</v>
      </c>
      <c r="N1015" s="3" t="s">
        <v>625</v>
      </c>
      <c r="P1015" s="3" t="s">
        <v>65</v>
      </c>
      <c r="Q1015" s="2" t="s">
        <v>9966</v>
      </c>
      <c r="R1015" s="3" t="s">
        <v>66</v>
      </c>
      <c r="S1015" s="4">
        <v>15</v>
      </c>
      <c r="T1015" s="4">
        <v>15</v>
      </c>
      <c r="U1015" s="5" t="s">
        <v>4465</v>
      </c>
      <c r="V1015" s="5" t="s">
        <v>4465</v>
      </c>
      <c r="W1015" s="5" t="s">
        <v>67</v>
      </c>
      <c r="X1015" s="5" t="s">
        <v>67</v>
      </c>
      <c r="Y1015" s="4">
        <v>303</v>
      </c>
      <c r="Z1015" s="4">
        <v>20</v>
      </c>
      <c r="AA1015" s="4">
        <v>22</v>
      </c>
      <c r="AB1015" s="4">
        <v>1</v>
      </c>
      <c r="AC1015" s="4">
        <v>3</v>
      </c>
      <c r="AD1015" s="4">
        <v>75</v>
      </c>
      <c r="AE1015" s="4">
        <v>77</v>
      </c>
      <c r="AF1015" s="4">
        <v>0</v>
      </c>
      <c r="AG1015" s="4">
        <v>2</v>
      </c>
      <c r="AH1015" s="4">
        <v>65</v>
      </c>
      <c r="AI1015" s="4">
        <v>65</v>
      </c>
      <c r="AJ1015" s="4">
        <v>11</v>
      </c>
      <c r="AK1015" s="4">
        <v>13</v>
      </c>
      <c r="AL1015" s="4">
        <v>34</v>
      </c>
      <c r="AM1015" s="4">
        <v>34</v>
      </c>
      <c r="AN1015" s="4">
        <v>0</v>
      </c>
      <c r="AO1015" s="4">
        <v>0</v>
      </c>
      <c r="AP1015" s="4">
        <v>14</v>
      </c>
      <c r="AQ1015" s="4">
        <v>15</v>
      </c>
      <c r="AR1015" s="3" t="s">
        <v>62</v>
      </c>
      <c r="AS1015" s="3" t="s">
        <v>62</v>
      </c>
      <c r="AT1015" s="3" t="s">
        <v>62</v>
      </c>
      <c r="AV1015" s="6" t="str">
        <f>HYPERLINK("http://mcgill.on.worldcat.org/oclc/12419992","Catalog Record")</f>
        <v>Catalog Record</v>
      </c>
      <c r="AW1015" s="6" t="str">
        <f>HYPERLINK("http://www.worldcat.org/oclc/12419992","WorldCat Record")</f>
        <v>WorldCat Record</v>
      </c>
      <c r="AX1015" s="3" t="s">
        <v>9967</v>
      </c>
      <c r="AY1015" s="3" t="s">
        <v>9968</v>
      </c>
      <c r="AZ1015" s="3" t="s">
        <v>9969</v>
      </c>
      <c r="BA1015" s="3" t="s">
        <v>9969</v>
      </c>
      <c r="BB1015" s="3" t="s">
        <v>9970</v>
      </c>
      <c r="BC1015" s="3" t="s">
        <v>142</v>
      </c>
      <c r="BD1015" s="3" t="s">
        <v>68</v>
      </c>
      <c r="BE1015" s="3" t="s">
        <v>9971</v>
      </c>
      <c r="BF1015" s="3" t="s">
        <v>9970</v>
      </c>
      <c r="BG1015" s="3" t="s">
        <v>9972</v>
      </c>
    </row>
    <row r="1016" spans="1:59" ht="57" x14ac:dyDescent="0.45">
      <c r="A1016" s="2" t="s">
        <v>59</v>
      </c>
      <c r="B1016" s="2" t="s">
        <v>60</v>
      </c>
      <c r="C1016" s="2" t="s">
        <v>9973</v>
      </c>
      <c r="D1016" s="2" t="s">
        <v>9974</v>
      </c>
      <c r="E1016" s="2" t="s">
        <v>9975</v>
      </c>
      <c r="G1016" s="3" t="s">
        <v>62</v>
      </c>
      <c r="I1016" s="3" t="s">
        <v>62</v>
      </c>
      <c r="J1016" s="3" t="s">
        <v>62</v>
      </c>
      <c r="K1016" s="3" t="s">
        <v>63</v>
      </c>
      <c r="M1016" s="2" t="s">
        <v>9976</v>
      </c>
      <c r="N1016" s="3" t="s">
        <v>116</v>
      </c>
      <c r="P1016" s="3" t="s">
        <v>65</v>
      </c>
      <c r="Q1016" s="2" t="s">
        <v>9977</v>
      </c>
      <c r="R1016" s="3" t="s">
        <v>66</v>
      </c>
      <c r="S1016" s="4">
        <v>4</v>
      </c>
      <c r="T1016" s="4">
        <v>4</v>
      </c>
      <c r="U1016" s="5" t="s">
        <v>6222</v>
      </c>
      <c r="V1016" s="5" t="s">
        <v>6222</v>
      </c>
      <c r="W1016" s="5" t="s">
        <v>67</v>
      </c>
      <c r="X1016" s="5" t="s">
        <v>67</v>
      </c>
      <c r="Y1016" s="4">
        <v>104</v>
      </c>
      <c r="Z1016" s="4">
        <v>14</v>
      </c>
      <c r="AA1016" s="4">
        <v>14</v>
      </c>
      <c r="AB1016" s="4">
        <v>1</v>
      </c>
      <c r="AC1016" s="4">
        <v>1</v>
      </c>
      <c r="AD1016" s="4">
        <v>43</v>
      </c>
      <c r="AE1016" s="4">
        <v>43</v>
      </c>
      <c r="AF1016" s="4">
        <v>0</v>
      </c>
      <c r="AG1016" s="4">
        <v>0</v>
      </c>
      <c r="AH1016" s="4">
        <v>38</v>
      </c>
      <c r="AI1016" s="4">
        <v>38</v>
      </c>
      <c r="AJ1016" s="4">
        <v>8</v>
      </c>
      <c r="AK1016" s="4">
        <v>8</v>
      </c>
      <c r="AL1016" s="4">
        <v>24</v>
      </c>
      <c r="AM1016" s="4">
        <v>24</v>
      </c>
      <c r="AN1016" s="4">
        <v>0</v>
      </c>
      <c r="AO1016" s="4">
        <v>0</v>
      </c>
      <c r="AP1016" s="4">
        <v>10</v>
      </c>
      <c r="AQ1016" s="4">
        <v>10</v>
      </c>
      <c r="AR1016" s="3" t="s">
        <v>62</v>
      </c>
      <c r="AS1016" s="3" t="s">
        <v>62</v>
      </c>
      <c r="AT1016" s="3" t="s">
        <v>62</v>
      </c>
      <c r="AV1016" s="6" t="str">
        <f>HYPERLINK("http://mcgill.on.worldcat.org/oclc/816317946","Catalog Record")</f>
        <v>Catalog Record</v>
      </c>
      <c r="AW1016" s="6" t="str">
        <f>HYPERLINK("http://www.worldcat.org/oclc/816317946","WorldCat Record")</f>
        <v>WorldCat Record</v>
      </c>
      <c r="AX1016" s="3" t="s">
        <v>9978</v>
      </c>
      <c r="AY1016" s="3" t="s">
        <v>9979</v>
      </c>
      <c r="AZ1016" s="3" t="s">
        <v>9980</v>
      </c>
      <c r="BA1016" s="3" t="s">
        <v>9980</v>
      </c>
      <c r="BB1016" s="3" t="s">
        <v>9981</v>
      </c>
      <c r="BC1016" s="3" t="s">
        <v>142</v>
      </c>
      <c r="BD1016" s="3" t="s">
        <v>68</v>
      </c>
      <c r="BE1016" s="3" t="s">
        <v>9982</v>
      </c>
      <c r="BF1016" s="3" t="s">
        <v>9981</v>
      </c>
      <c r="BG1016" s="3" t="s">
        <v>9983</v>
      </c>
    </row>
    <row r="1017" spans="1:59" ht="57" x14ac:dyDescent="0.45">
      <c r="A1017" s="2" t="s">
        <v>59</v>
      </c>
      <c r="B1017" s="2" t="s">
        <v>60</v>
      </c>
      <c r="C1017" s="2" t="s">
        <v>9984</v>
      </c>
      <c r="D1017" s="2" t="s">
        <v>9985</v>
      </c>
      <c r="E1017" s="2" t="s">
        <v>9986</v>
      </c>
      <c r="G1017" s="3" t="s">
        <v>62</v>
      </c>
      <c r="I1017" s="3" t="s">
        <v>62</v>
      </c>
      <c r="J1017" s="3" t="s">
        <v>62</v>
      </c>
      <c r="K1017" s="3" t="s">
        <v>63</v>
      </c>
      <c r="L1017" s="2" t="s">
        <v>9987</v>
      </c>
      <c r="M1017" s="2" t="s">
        <v>9988</v>
      </c>
      <c r="N1017" s="3" t="s">
        <v>1155</v>
      </c>
      <c r="P1017" s="3" t="s">
        <v>65</v>
      </c>
      <c r="R1017" s="3" t="s">
        <v>66</v>
      </c>
      <c r="S1017" s="4">
        <v>2</v>
      </c>
      <c r="T1017" s="4">
        <v>2</v>
      </c>
      <c r="U1017" s="5" t="s">
        <v>733</v>
      </c>
      <c r="V1017" s="5" t="s">
        <v>733</v>
      </c>
      <c r="W1017" s="5" t="s">
        <v>67</v>
      </c>
      <c r="X1017" s="5" t="s">
        <v>67</v>
      </c>
      <c r="Y1017" s="4">
        <v>39</v>
      </c>
      <c r="Z1017" s="4">
        <v>3</v>
      </c>
      <c r="AA1017" s="4">
        <v>73</v>
      </c>
      <c r="AB1017" s="4">
        <v>1</v>
      </c>
      <c r="AC1017" s="4">
        <v>14</v>
      </c>
      <c r="AD1017" s="4">
        <v>5</v>
      </c>
      <c r="AE1017" s="4">
        <v>74</v>
      </c>
      <c r="AF1017" s="4">
        <v>0</v>
      </c>
      <c r="AG1017" s="4">
        <v>8</v>
      </c>
      <c r="AH1017" s="4">
        <v>4</v>
      </c>
      <c r="AI1017" s="4">
        <v>42</v>
      </c>
      <c r="AJ1017" s="4">
        <v>2</v>
      </c>
      <c r="AK1017" s="4">
        <v>17</v>
      </c>
      <c r="AL1017" s="4">
        <v>2</v>
      </c>
      <c r="AM1017" s="4">
        <v>19</v>
      </c>
      <c r="AN1017" s="4">
        <v>0</v>
      </c>
      <c r="AO1017" s="4">
        <v>0</v>
      </c>
      <c r="AP1017" s="4">
        <v>2</v>
      </c>
      <c r="AQ1017" s="4">
        <v>38</v>
      </c>
      <c r="AR1017" s="3" t="s">
        <v>62</v>
      </c>
      <c r="AS1017" s="3" t="s">
        <v>62</v>
      </c>
      <c r="AT1017" s="3" t="s">
        <v>62</v>
      </c>
      <c r="AV1017" s="6" t="str">
        <f>HYPERLINK("http://mcgill.on.worldcat.org/oclc/772000710","Catalog Record")</f>
        <v>Catalog Record</v>
      </c>
      <c r="AW1017" s="6" t="str">
        <f>HYPERLINK("http://www.worldcat.org/oclc/772000710","WorldCat Record")</f>
        <v>WorldCat Record</v>
      </c>
      <c r="AX1017" s="3" t="s">
        <v>9989</v>
      </c>
      <c r="AY1017" s="3" t="s">
        <v>9990</v>
      </c>
      <c r="AZ1017" s="3" t="s">
        <v>9991</v>
      </c>
      <c r="BA1017" s="3" t="s">
        <v>9991</v>
      </c>
      <c r="BB1017" s="3" t="s">
        <v>9992</v>
      </c>
      <c r="BC1017" s="3" t="s">
        <v>142</v>
      </c>
      <c r="BD1017" s="3" t="s">
        <v>68</v>
      </c>
      <c r="BE1017" s="3" t="s">
        <v>9993</v>
      </c>
      <c r="BF1017" s="3" t="s">
        <v>9992</v>
      </c>
      <c r="BG1017" s="3" t="s">
        <v>9994</v>
      </c>
    </row>
    <row r="1018" spans="1:59" ht="57" x14ac:dyDescent="0.45">
      <c r="A1018" s="2" t="s">
        <v>59</v>
      </c>
      <c r="B1018" s="2" t="s">
        <v>60</v>
      </c>
      <c r="C1018" s="2" t="s">
        <v>9995</v>
      </c>
      <c r="D1018" s="2" t="s">
        <v>9996</v>
      </c>
      <c r="E1018" s="2" t="s">
        <v>9997</v>
      </c>
      <c r="G1018" s="3" t="s">
        <v>62</v>
      </c>
      <c r="I1018" s="3" t="s">
        <v>62</v>
      </c>
      <c r="J1018" s="3" t="s">
        <v>62</v>
      </c>
      <c r="K1018" s="3" t="s">
        <v>63</v>
      </c>
      <c r="M1018" s="2" t="s">
        <v>8031</v>
      </c>
      <c r="N1018" s="3" t="s">
        <v>149</v>
      </c>
      <c r="P1018" s="3" t="s">
        <v>65</v>
      </c>
      <c r="R1018" s="3" t="s">
        <v>66</v>
      </c>
      <c r="S1018" s="4">
        <v>0</v>
      </c>
      <c r="T1018" s="4">
        <v>0</v>
      </c>
      <c r="W1018" s="5" t="s">
        <v>67</v>
      </c>
      <c r="X1018" s="5" t="s">
        <v>67</v>
      </c>
      <c r="Y1018" s="4">
        <v>108</v>
      </c>
      <c r="Z1018" s="4">
        <v>17</v>
      </c>
      <c r="AA1018" s="4">
        <v>24</v>
      </c>
      <c r="AB1018" s="4">
        <v>2</v>
      </c>
      <c r="AC1018" s="4">
        <v>6</v>
      </c>
      <c r="AD1018" s="4">
        <v>59</v>
      </c>
      <c r="AE1018" s="4">
        <v>65</v>
      </c>
      <c r="AF1018" s="4">
        <v>1</v>
      </c>
      <c r="AG1018" s="4">
        <v>3</v>
      </c>
      <c r="AH1018" s="4">
        <v>53</v>
      </c>
      <c r="AI1018" s="4">
        <v>56</v>
      </c>
      <c r="AJ1018" s="4">
        <v>12</v>
      </c>
      <c r="AK1018" s="4">
        <v>17</v>
      </c>
      <c r="AL1018" s="4">
        <v>32</v>
      </c>
      <c r="AM1018" s="4">
        <v>33</v>
      </c>
      <c r="AN1018" s="4">
        <v>0</v>
      </c>
      <c r="AO1018" s="4">
        <v>0</v>
      </c>
      <c r="AP1018" s="4">
        <v>13</v>
      </c>
      <c r="AQ1018" s="4">
        <v>17</v>
      </c>
      <c r="AR1018" s="3" t="s">
        <v>62</v>
      </c>
      <c r="AS1018" s="3" t="s">
        <v>62</v>
      </c>
      <c r="AT1018" s="3" t="s">
        <v>62</v>
      </c>
      <c r="AV1018" s="6" t="str">
        <f>HYPERLINK("http://mcgill.on.worldcat.org/oclc/294885553","Catalog Record")</f>
        <v>Catalog Record</v>
      </c>
      <c r="AW1018" s="6" t="str">
        <f>HYPERLINK("http://www.worldcat.org/oclc/294885553","WorldCat Record")</f>
        <v>WorldCat Record</v>
      </c>
      <c r="AX1018" s="3" t="s">
        <v>9998</v>
      </c>
      <c r="AY1018" s="3" t="s">
        <v>9999</v>
      </c>
      <c r="AZ1018" s="3" t="s">
        <v>10000</v>
      </c>
      <c r="BA1018" s="3" t="s">
        <v>10000</v>
      </c>
      <c r="BB1018" s="3" t="s">
        <v>10001</v>
      </c>
      <c r="BC1018" s="3" t="s">
        <v>142</v>
      </c>
      <c r="BD1018" s="3" t="s">
        <v>68</v>
      </c>
      <c r="BE1018" s="3" t="s">
        <v>10002</v>
      </c>
      <c r="BF1018" s="3" t="s">
        <v>10001</v>
      </c>
      <c r="BG1018" s="3" t="s">
        <v>10003</v>
      </c>
    </row>
    <row r="1019" spans="1:59" ht="57" x14ac:dyDescent="0.45">
      <c r="A1019" s="2" t="s">
        <v>59</v>
      </c>
      <c r="B1019" s="2" t="s">
        <v>60</v>
      </c>
      <c r="C1019" s="2" t="s">
        <v>10004</v>
      </c>
      <c r="D1019" s="2" t="s">
        <v>10005</v>
      </c>
      <c r="E1019" s="2" t="s">
        <v>10006</v>
      </c>
      <c r="G1019" s="3" t="s">
        <v>62</v>
      </c>
      <c r="I1019" s="3" t="s">
        <v>62</v>
      </c>
      <c r="J1019" s="3" t="s">
        <v>62</v>
      </c>
      <c r="K1019" s="3" t="s">
        <v>63</v>
      </c>
      <c r="L1019" s="2" t="s">
        <v>10007</v>
      </c>
      <c r="M1019" s="2" t="s">
        <v>10008</v>
      </c>
      <c r="N1019" s="3" t="s">
        <v>1059</v>
      </c>
      <c r="P1019" s="3" t="s">
        <v>65</v>
      </c>
      <c r="R1019" s="3" t="s">
        <v>66</v>
      </c>
      <c r="S1019" s="4">
        <v>6</v>
      </c>
      <c r="T1019" s="4">
        <v>6</v>
      </c>
      <c r="U1019" s="5" t="s">
        <v>10009</v>
      </c>
      <c r="V1019" s="5" t="s">
        <v>10009</v>
      </c>
      <c r="W1019" s="5" t="s">
        <v>67</v>
      </c>
      <c r="X1019" s="5" t="s">
        <v>67</v>
      </c>
      <c r="Y1019" s="4">
        <v>310</v>
      </c>
      <c r="Z1019" s="4">
        <v>21</v>
      </c>
      <c r="AA1019" s="4">
        <v>31</v>
      </c>
      <c r="AB1019" s="4">
        <v>2</v>
      </c>
      <c r="AC1019" s="4">
        <v>7</v>
      </c>
      <c r="AD1019" s="4">
        <v>81</v>
      </c>
      <c r="AE1019" s="4">
        <v>90</v>
      </c>
      <c r="AF1019" s="4">
        <v>1</v>
      </c>
      <c r="AG1019" s="4">
        <v>4</v>
      </c>
      <c r="AH1019" s="4">
        <v>71</v>
      </c>
      <c r="AI1019" s="4">
        <v>73</v>
      </c>
      <c r="AJ1019" s="4">
        <v>15</v>
      </c>
      <c r="AK1019" s="4">
        <v>19</v>
      </c>
      <c r="AL1019" s="4">
        <v>36</v>
      </c>
      <c r="AM1019" s="4">
        <v>38</v>
      </c>
      <c r="AN1019" s="4">
        <v>0</v>
      </c>
      <c r="AO1019" s="4">
        <v>0</v>
      </c>
      <c r="AP1019" s="4">
        <v>18</v>
      </c>
      <c r="AQ1019" s="4">
        <v>25</v>
      </c>
      <c r="AR1019" s="3" t="s">
        <v>62</v>
      </c>
      <c r="AS1019" s="3" t="s">
        <v>62</v>
      </c>
      <c r="AT1019" s="3" t="s">
        <v>61</v>
      </c>
      <c r="AU1019" s="6" t="str">
        <f>HYPERLINK("http://catalog.hathitrust.org/Record/005104199","HathiTrust Record")</f>
        <v>HathiTrust Record</v>
      </c>
      <c r="AV1019" s="6" t="str">
        <f>HYPERLINK("http://mcgill.on.worldcat.org/oclc/60835667","Catalog Record")</f>
        <v>Catalog Record</v>
      </c>
      <c r="AW1019" s="6" t="str">
        <f>HYPERLINK("http://www.worldcat.org/oclc/60835667","WorldCat Record")</f>
        <v>WorldCat Record</v>
      </c>
      <c r="AX1019" s="3" t="s">
        <v>10010</v>
      </c>
      <c r="AY1019" s="3" t="s">
        <v>10011</v>
      </c>
      <c r="AZ1019" s="3" t="s">
        <v>10012</v>
      </c>
      <c r="BA1019" s="3" t="s">
        <v>10012</v>
      </c>
      <c r="BB1019" s="3" t="s">
        <v>10013</v>
      </c>
      <c r="BC1019" s="3" t="s">
        <v>142</v>
      </c>
      <c r="BD1019" s="3" t="s">
        <v>68</v>
      </c>
      <c r="BE1019" s="3" t="s">
        <v>10014</v>
      </c>
      <c r="BF1019" s="3" t="s">
        <v>10013</v>
      </c>
      <c r="BG1019" s="3" t="s">
        <v>10015</v>
      </c>
    </row>
    <row r="1020" spans="1:59" ht="57" x14ac:dyDescent="0.45">
      <c r="A1020" s="2" t="s">
        <v>59</v>
      </c>
      <c r="B1020" s="2" t="s">
        <v>60</v>
      </c>
      <c r="C1020" s="2" t="s">
        <v>10016</v>
      </c>
      <c r="D1020" s="2" t="s">
        <v>10017</v>
      </c>
      <c r="E1020" s="2" t="s">
        <v>10018</v>
      </c>
      <c r="G1020" s="3" t="s">
        <v>62</v>
      </c>
      <c r="I1020" s="3" t="s">
        <v>62</v>
      </c>
      <c r="J1020" s="3" t="s">
        <v>62</v>
      </c>
      <c r="K1020" s="3" t="s">
        <v>63</v>
      </c>
      <c r="L1020" s="2" t="s">
        <v>10019</v>
      </c>
      <c r="M1020" s="2" t="s">
        <v>10020</v>
      </c>
      <c r="N1020" s="3" t="s">
        <v>542</v>
      </c>
      <c r="P1020" s="3" t="s">
        <v>65</v>
      </c>
      <c r="Q1020" s="2" t="s">
        <v>10021</v>
      </c>
      <c r="R1020" s="3" t="s">
        <v>66</v>
      </c>
      <c r="S1020" s="4">
        <v>8</v>
      </c>
      <c r="T1020" s="4">
        <v>8</v>
      </c>
      <c r="U1020" s="5" t="s">
        <v>10009</v>
      </c>
      <c r="V1020" s="5" t="s">
        <v>10009</v>
      </c>
      <c r="W1020" s="5" t="s">
        <v>67</v>
      </c>
      <c r="X1020" s="5" t="s">
        <v>67</v>
      </c>
      <c r="Y1020" s="4">
        <v>117</v>
      </c>
      <c r="Z1020" s="4">
        <v>9</v>
      </c>
      <c r="AA1020" s="4">
        <v>9</v>
      </c>
      <c r="AB1020" s="4">
        <v>2</v>
      </c>
      <c r="AC1020" s="4">
        <v>2</v>
      </c>
      <c r="AD1020" s="4">
        <v>48</v>
      </c>
      <c r="AE1020" s="4">
        <v>48</v>
      </c>
      <c r="AF1020" s="4">
        <v>1</v>
      </c>
      <c r="AG1020" s="4">
        <v>1</v>
      </c>
      <c r="AH1020" s="4">
        <v>43</v>
      </c>
      <c r="AI1020" s="4">
        <v>43</v>
      </c>
      <c r="AJ1020" s="4">
        <v>7</v>
      </c>
      <c r="AK1020" s="4">
        <v>7</v>
      </c>
      <c r="AL1020" s="4">
        <v>23</v>
      </c>
      <c r="AM1020" s="4">
        <v>23</v>
      </c>
      <c r="AN1020" s="4">
        <v>0</v>
      </c>
      <c r="AO1020" s="4">
        <v>0</v>
      </c>
      <c r="AP1020" s="4">
        <v>7</v>
      </c>
      <c r="AQ1020" s="4">
        <v>7</v>
      </c>
      <c r="AR1020" s="3" t="s">
        <v>62</v>
      </c>
      <c r="AS1020" s="3" t="s">
        <v>62</v>
      </c>
      <c r="AT1020" s="3" t="s">
        <v>62</v>
      </c>
      <c r="AV1020" s="6" t="str">
        <f>HYPERLINK("http://mcgill.on.worldcat.org/oclc/43978134","Catalog Record")</f>
        <v>Catalog Record</v>
      </c>
      <c r="AW1020" s="6" t="str">
        <f>HYPERLINK("http://www.worldcat.org/oclc/43978134","WorldCat Record")</f>
        <v>WorldCat Record</v>
      </c>
      <c r="AX1020" s="3" t="s">
        <v>10022</v>
      </c>
      <c r="AY1020" s="3" t="s">
        <v>10023</v>
      </c>
      <c r="AZ1020" s="3" t="s">
        <v>10024</v>
      </c>
      <c r="BA1020" s="3" t="s">
        <v>10024</v>
      </c>
      <c r="BB1020" s="3" t="s">
        <v>10025</v>
      </c>
      <c r="BC1020" s="3" t="s">
        <v>142</v>
      </c>
      <c r="BD1020" s="3" t="s">
        <v>68</v>
      </c>
      <c r="BE1020" s="3" t="s">
        <v>10026</v>
      </c>
      <c r="BF1020" s="3" t="s">
        <v>10025</v>
      </c>
      <c r="BG1020" s="3" t="s">
        <v>10027</v>
      </c>
    </row>
    <row r="1021" spans="1:59" ht="57" x14ac:dyDescent="0.45">
      <c r="A1021" s="2" t="s">
        <v>59</v>
      </c>
      <c r="B1021" s="2" t="s">
        <v>60</v>
      </c>
      <c r="C1021" s="2" t="s">
        <v>10028</v>
      </c>
      <c r="D1021" s="2" t="s">
        <v>10029</v>
      </c>
      <c r="E1021" s="2" t="s">
        <v>10030</v>
      </c>
      <c r="G1021" s="3" t="s">
        <v>62</v>
      </c>
      <c r="I1021" s="3" t="s">
        <v>62</v>
      </c>
      <c r="J1021" s="3" t="s">
        <v>62</v>
      </c>
      <c r="K1021" s="3" t="s">
        <v>63</v>
      </c>
      <c r="M1021" s="2" t="s">
        <v>10031</v>
      </c>
      <c r="N1021" s="3" t="s">
        <v>125</v>
      </c>
      <c r="P1021" s="3" t="s">
        <v>65</v>
      </c>
      <c r="R1021" s="3" t="s">
        <v>66</v>
      </c>
      <c r="S1021" s="4">
        <v>24</v>
      </c>
      <c r="T1021" s="4">
        <v>24</v>
      </c>
      <c r="U1021" s="5" t="s">
        <v>10032</v>
      </c>
      <c r="V1021" s="5" t="s">
        <v>10032</v>
      </c>
      <c r="W1021" s="5" t="s">
        <v>67</v>
      </c>
      <c r="X1021" s="5" t="s">
        <v>67</v>
      </c>
      <c r="Y1021" s="4">
        <v>272</v>
      </c>
      <c r="Z1021" s="4">
        <v>22</v>
      </c>
      <c r="AA1021" s="4">
        <v>24</v>
      </c>
      <c r="AB1021" s="4">
        <v>3</v>
      </c>
      <c r="AC1021" s="4">
        <v>5</v>
      </c>
      <c r="AD1021" s="4">
        <v>75</v>
      </c>
      <c r="AE1021" s="4">
        <v>76</v>
      </c>
      <c r="AF1021" s="4">
        <v>1</v>
      </c>
      <c r="AG1021" s="4">
        <v>2</v>
      </c>
      <c r="AH1021" s="4">
        <v>66</v>
      </c>
      <c r="AI1021" s="4">
        <v>66</v>
      </c>
      <c r="AJ1021" s="4">
        <v>15</v>
      </c>
      <c r="AK1021" s="4">
        <v>16</v>
      </c>
      <c r="AL1021" s="4">
        <v>34</v>
      </c>
      <c r="AM1021" s="4">
        <v>34</v>
      </c>
      <c r="AN1021" s="4">
        <v>0</v>
      </c>
      <c r="AO1021" s="4">
        <v>0</v>
      </c>
      <c r="AP1021" s="4">
        <v>16</v>
      </c>
      <c r="AQ1021" s="4">
        <v>17</v>
      </c>
      <c r="AR1021" s="3" t="s">
        <v>62</v>
      </c>
      <c r="AS1021" s="3" t="s">
        <v>62</v>
      </c>
      <c r="AT1021" s="3" t="s">
        <v>62</v>
      </c>
      <c r="AV1021" s="6" t="str">
        <f>HYPERLINK("http://mcgill.on.worldcat.org/oclc/20992890","Catalog Record")</f>
        <v>Catalog Record</v>
      </c>
      <c r="AW1021" s="6" t="str">
        <f>HYPERLINK("http://www.worldcat.org/oclc/20992890","WorldCat Record")</f>
        <v>WorldCat Record</v>
      </c>
      <c r="AX1021" s="3" t="s">
        <v>10033</v>
      </c>
      <c r="AY1021" s="3" t="s">
        <v>10034</v>
      </c>
      <c r="AZ1021" s="3" t="s">
        <v>10035</v>
      </c>
      <c r="BA1021" s="3" t="s">
        <v>10035</v>
      </c>
      <c r="BB1021" s="3" t="s">
        <v>10036</v>
      </c>
      <c r="BC1021" s="3" t="s">
        <v>142</v>
      </c>
      <c r="BD1021" s="3" t="s">
        <v>68</v>
      </c>
      <c r="BE1021" s="3" t="s">
        <v>10037</v>
      </c>
      <c r="BF1021" s="3" t="s">
        <v>10036</v>
      </c>
      <c r="BG1021" s="3" t="s">
        <v>10038</v>
      </c>
    </row>
    <row r="1022" spans="1:59" ht="57" x14ac:dyDescent="0.45">
      <c r="A1022" s="2" t="s">
        <v>59</v>
      </c>
      <c r="B1022" s="2" t="s">
        <v>60</v>
      </c>
      <c r="C1022" s="2" t="s">
        <v>10039</v>
      </c>
      <c r="D1022" s="2" t="s">
        <v>10040</v>
      </c>
      <c r="E1022" s="2" t="s">
        <v>10041</v>
      </c>
      <c r="G1022" s="3" t="s">
        <v>62</v>
      </c>
      <c r="I1022" s="3" t="s">
        <v>62</v>
      </c>
      <c r="J1022" s="3" t="s">
        <v>62</v>
      </c>
      <c r="K1022" s="3" t="s">
        <v>63</v>
      </c>
      <c r="L1022" s="2" t="s">
        <v>10042</v>
      </c>
      <c r="M1022" s="2" t="s">
        <v>10043</v>
      </c>
      <c r="N1022" s="3" t="s">
        <v>529</v>
      </c>
      <c r="P1022" s="3" t="s">
        <v>65</v>
      </c>
      <c r="Q1022" s="2" t="s">
        <v>7700</v>
      </c>
      <c r="R1022" s="3" t="s">
        <v>66</v>
      </c>
      <c r="S1022" s="4">
        <v>12</v>
      </c>
      <c r="T1022" s="4">
        <v>12</v>
      </c>
      <c r="U1022" s="5" t="s">
        <v>10009</v>
      </c>
      <c r="V1022" s="5" t="s">
        <v>10009</v>
      </c>
      <c r="W1022" s="5" t="s">
        <v>67</v>
      </c>
      <c r="X1022" s="5" t="s">
        <v>67</v>
      </c>
      <c r="Y1022" s="4">
        <v>381</v>
      </c>
      <c r="Z1022" s="4">
        <v>30</v>
      </c>
      <c r="AA1022" s="4">
        <v>34</v>
      </c>
      <c r="AB1022" s="4">
        <v>2</v>
      </c>
      <c r="AC1022" s="4">
        <v>4</v>
      </c>
      <c r="AD1022" s="4">
        <v>97</v>
      </c>
      <c r="AE1022" s="4">
        <v>100</v>
      </c>
      <c r="AF1022" s="4">
        <v>1</v>
      </c>
      <c r="AG1022" s="4">
        <v>3</v>
      </c>
      <c r="AH1022" s="4">
        <v>87</v>
      </c>
      <c r="AI1022" s="4">
        <v>89</v>
      </c>
      <c r="AJ1022" s="4">
        <v>15</v>
      </c>
      <c r="AK1022" s="4">
        <v>18</v>
      </c>
      <c r="AL1022" s="4">
        <v>44</v>
      </c>
      <c r="AM1022" s="4">
        <v>44</v>
      </c>
      <c r="AN1022" s="4">
        <v>0</v>
      </c>
      <c r="AO1022" s="4">
        <v>0</v>
      </c>
      <c r="AP1022" s="4">
        <v>20</v>
      </c>
      <c r="AQ1022" s="4">
        <v>23</v>
      </c>
      <c r="AR1022" s="3" t="s">
        <v>62</v>
      </c>
      <c r="AS1022" s="3" t="s">
        <v>62</v>
      </c>
      <c r="AT1022" s="3" t="s">
        <v>61</v>
      </c>
      <c r="AU1022" s="6" t="str">
        <f>HYPERLINK("http://catalog.hathitrust.org/Record/000394121","HathiTrust Record")</f>
        <v>HathiTrust Record</v>
      </c>
      <c r="AV1022" s="6" t="str">
        <f>HYPERLINK("http://mcgill.on.worldcat.org/oclc/12052291","Catalog Record")</f>
        <v>Catalog Record</v>
      </c>
      <c r="AW1022" s="6" t="str">
        <f>HYPERLINK("http://www.worldcat.org/oclc/12052291","WorldCat Record")</f>
        <v>WorldCat Record</v>
      </c>
      <c r="AX1022" s="3" t="s">
        <v>10044</v>
      </c>
      <c r="AY1022" s="3" t="s">
        <v>10045</v>
      </c>
      <c r="AZ1022" s="3" t="s">
        <v>10046</v>
      </c>
      <c r="BA1022" s="3" t="s">
        <v>10046</v>
      </c>
      <c r="BB1022" s="3" t="s">
        <v>10047</v>
      </c>
      <c r="BC1022" s="3" t="s">
        <v>142</v>
      </c>
      <c r="BD1022" s="3" t="s">
        <v>68</v>
      </c>
      <c r="BE1022" s="3" t="s">
        <v>10048</v>
      </c>
      <c r="BF1022" s="3" t="s">
        <v>10047</v>
      </c>
      <c r="BG1022" s="3" t="s">
        <v>10049</v>
      </c>
    </row>
    <row r="1023" spans="1:59" ht="57" x14ac:dyDescent="0.45">
      <c r="A1023" s="2" t="s">
        <v>59</v>
      </c>
      <c r="B1023" s="2" t="s">
        <v>60</v>
      </c>
      <c r="C1023" s="2" t="s">
        <v>10050</v>
      </c>
      <c r="D1023" s="2" t="s">
        <v>10051</v>
      </c>
      <c r="E1023" s="2" t="s">
        <v>10052</v>
      </c>
      <c r="G1023" s="3" t="s">
        <v>62</v>
      </c>
      <c r="I1023" s="3" t="s">
        <v>62</v>
      </c>
      <c r="J1023" s="3" t="s">
        <v>62</v>
      </c>
      <c r="K1023" s="3" t="s">
        <v>63</v>
      </c>
      <c r="M1023" s="2" t="s">
        <v>10053</v>
      </c>
      <c r="N1023" s="3" t="s">
        <v>208</v>
      </c>
      <c r="P1023" s="3" t="s">
        <v>65</v>
      </c>
      <c r="R1023" s="3" t="s">
        <v>66</v>
      </c>
      <c r="S1023" s="4">
        <v>3</v>
      </c>
      <c r="T1023" s="4">
        <v>3</v>
      </c>
      <c r="U1023" s="5" t="s">
        <v>10054</v>
      </c>
      <c r="V1023" s="5" t="s">
        <v>10054</v>
      </c>
      <c r="W1023" s="5" t="s">
        <v>67</v>
      </c>
      <c r="X1023" s="5" t="s">
        <v>67</v>
      </c>
      <c r="Y1023" s="4">
        <v>101</v>
      </c>
      <c r="Z1023" s="4">
        <v>9</v>
      </c>
      <c r="AA1023" s="4">
        <v>12</v>
      </c>
      <c r="AB1023" s="4">
        <v>1</v>
      </c>
      <c r="AC1023" s="4">
        <v>3</v>
      </c>
      <c r="AD1023" s="4">
        <v>48</v>
      </c>
      <c r="AE1023" s="4">
        <v>54</v>
      </c>
      <c r="AF1023" s="4">
        <v>0</v>
      </c>
      <c r="AG1023" s="4">
        <v>0</v>
      </c>
      <c r="AH1023" s="4">
        <v>44</v>
      </c>
      <c r="AI1023" s="4">
        <v>50</v>
      </c>
      <c r="AJ1023" s="4">
        <v>7</v>
      </c>
      <c r="AK1023" s="4">
        <v>8</v>
      </c>
      <c r="AL1023" s="4">
        <v>27</v>
      </c>
      <c r="AM1023" s="4">
        <v>30</v>
      </c>
      <c r="AN1023" s="4">
        <v>0</v>
      </c>
      <c r="AO1023" s="4">
        <v>0</v>
      </c>
      <c r="AP1023" s="4">
        <v>7</v>
      </c>
      <c r="AQ1023" s="4">
        <v>8</v>
      </c>
      <c r="AR1023" s="3" t="s">
        <v>62</v>
      </c>
      <c r="AS1023" s="3" t="s">
        <v>62</v>
      </c>
      <c r="AT1023" s="3" t="s">
        <v>62</v>
      </c>
      <c r="AV1023" s="6" t="str">
        <f>HYPERLINK("http://mcgill.on.worldcat.org/oclc/904011217","Catalog Record")</f>
        <v>Catalog Record</v>
      </c>
      <c r="AW1023" s="6" t="str">
        <f>HYPERLINK("http://www.worldcat.org/oclc/904011217","WorldCat Record")</f>
        <v>WorldCat Record</v>
      </c>
      <c r="AX1023" s="3" t="s">
        <v>10055</v>
      </c>
      <c r="AY1023" s="3" t="s">
        <v>10056</v>
      </c>
      <c r="AZ1023" s="3" t="s">
        <v>10057</v>
      </c>
      <c r="BA1023" s="3" t="s">
        <v>10057</v>
      </c>
      <c r="BB1023" s="3" t="s">
        <v>10058</v>
      </c>
      <c r="BC1023" s="3" t="s">
        <v>142</v>
      </c>
      <c r="BD1023" s="3" t="s">
        <v>68</v>
      </c>
      <c r="BE1023" s="3" t="s">
        <v>10059</v>
      </c>
      <c r="BF1023" s="3" t="s">
        <v>10058</v>
      </c>
      <c r="BG1023" s="3" t="s">
        <v>10060</v>
      </c>
    </row>
    <row r="1024" spans="1:59" ht="57" x14ac:dyDescent="0.45">
      <c r="A1024" s="2" t="s">
        <v>59</v>
      </c>
      <c r="B1024" s="2" t="s">
        <v>60</v>
      </c>
      <c r="C1024" s="2" t="s">
        <v>10061</v>
      </c>
      <c r="D1024" s="2" t="s">
        <v>10062</v>
      </c>
      <c r="E1024" s="2" t="s">
        <v>10063</v>
      </c>
      <c r="G1024" s="3" t="s">
        <v>62</v>
      </c>
      <c r="I1024" s="3" t="s">
        <v>62</v>
      </c>
      <c r="J1024" s="3" t="s">
        <v>62</v>
      </c>
      <c r="K1024" s="3" t="s">
        <v>63</v>
      </c>
      <c r="M1024" s="2" t="s">
        <v>10064</v>
      </c>
      <c r="N1024" s="3" t="s">
        <v>958</v>
      </c>
      <c r="P1024" s="3" t="s">
        <v>65</v>
      </c>
      <c r="Q1024" s="2" t="s">
        <v>7036</v>
      </c>
      <c r="R1024" s="3" t="s">
        <v>66</v>
      </c>
      <c r="S1024" s="4">
        <v>26</v>
      </c>
      <c r="T1024" s="4">
        <v>26</v>
      </c>
      <c r="U1024" s="5" t="s">
        <v>5826</v>
      </c>
      <c r="V1024" s="5" t="s">
        <v>5826</v>
      </c>
      <c r="W1024" s="5" t="s">
        <v>67</v>
      </c>
      <c r="X1024" s="5" t="s">
        <v>67</v>
      </c>
      <c r="Y1024" s="4">
        <v>385</v>
      </c>
      <c r="Z1024" s="4">
        <v>22</v>
      </c>
      <c r="AA1024" s="4">
        <v>26</v>
      </c>
      <c r="AB1024" s="4">
        <v>2</v>
      </c>
      <c r="AC1024" s="4">
        <v>5</v>
      </c>
      <c r="AD1024" s="4">
        <v>102</v>
      </c>
      <c r="AE1024" s="4">
        <v>106</v>
      </c>
      <c r="AF1024" s="4">
        <v>1</v>
      </c>
      <c r="AG1024" s="4">
        <v>3</v>
      </c>
      <c r="AH1024" s="4">
        <v>86</v>
      </c>
      <c r="AI1024" s="4">
        <v>89</v>
      </c>
      <c r="AJ1024" s="4">
        <v>12</v>
      </c>
      <c r="AK1024" s="4">
        <v>15</v>
      </c>
      <c r="AL1024" s="4">
        <v>49</v>
      </c>
      <c r="AM1024" s="4">
        <v>50</v>
      </c>
      <c r="AN1024" s="4">
        <v>0</v>
      </c>
      <c r="AO1024" s="4">
        <v>0</v>
      </c>
      <c r="AP1024" s="4">
        <v>18</v>
      </c>
      <c r="AQ1024" s="4">
        <v>21</v>
      </c>
      <c r="AR1024" s="3" t="s">
        <v>62</v>
      </c>
      <c r="AS1024" s="3" t="s">
        <v>62</v>
      </c>
      <c r="AT1024" s="3" t="s">
        <v>62</v>
      </c>
      <c r="AV1024" s="6" t="str">
        <f>HYPERLINK("http://mcgill.on.worldcat.org/oclc/31133189","Catalog Record")</f>
        <v>Catalog Record</v>
      </c>
      <c r="AW1024" s="6" t="str">
        <f>HYPERLINK("http://www.worldcat.org/oclc/31133189","WorldCat Record")</f>
        <v>WorldCat Record</v>
      </c>
      <c r="AX1024" s="3" t="s">
        <v>10065</v>
      </c>
      <c r="AY1024" s="3" t="s">
        <v>10066</v>
      </c>
      <c r="AZ1024" s="3" t="s">
        <v>10067</v>
      </c>
      <c r="BA1024" s="3" t="s">
        <v>10067</v>
      </c>
      <c r="BB1024" s="3" t="s">
        <v>10068</v>
      </c>
      <c r="BC1024" s="3" t="s">
        <v>142</v>
      </c>
      <c r="BD1024" s="3" t="s">
        <v>68</v>
      </c>
      <c r="BE1024" s="3" t="s">
        <v>10069</v>
      </c>
      <c r="BF1024" s="3" t="s">
        <v>10068</v>
      </c>
      <c r="BG1024" s="3" t="s">
        <v>10070</v>
      </c>
    </row>
    <row r="1025" spans="1:59" ht="85.5" x14ac:dyDescent="0.45">
      <c r="A1025" s="2" t="s">
        <v>59</v>
      </c>
      <c r="B1025" s="2" t="s">
        <v>5257</v>
      </c>
      <c r="C1025" s="2" t="s">
        <v>10071</v>
      </c>
      <c r="D1025" s="2" t="s">
        <v>10072</v>
      </c>
      <c r="E1025" s="2" t="s">
        <v>10073</v>
      </c>
      <c r="G1025" s="3" t="s">
        <v>62</v>
      </c>
      <c r="I1025" s="3" t="s">
        <v>62</v>
      </c>
      <c r="J1025" s="3" t="s">
        <v>62</v>
      </c>
      <c r="K1025" s="3" t="s">
        <v>63</v>
      </c>
      <c r="M1025" s="2" t="s">
        <v>10074</v>
      </c>
      <c r="N1025" s="3" t="s">
        <v>894</v>
      </c>
      <c r="P1025" s="3" t="s">
        <v>65</v>
      </c>
      <c r="Q1025" s="2" t="s">
        <v>10075</v>
      </c>
      <c r="R1025" s="3" t="s">
        <v>66</v>
      </c>
      <c r="S1025" s="4">
        <v>0</v>
      </c>
      <c r="T1025" s="4">
        <v>0</v>
      </c>
      <c r="W1025" s="5" t="s">
        <v>67</v>
      </c>
      <c r="X1025" s="5" t="s">
        <v>67</v>
      </c>
      <c r="Y1025" s="4">
        <v>117</v>
      </c>
      <c r="Z1025" s="4">
        <v>16</v>
      </c>
      <c r="AA1025" s="4">
        <v>86</v>
      </c>
      <c r="AB1025" s="4">
        <v>2</v>
      </c>
      <c r="AC1025" s="4">
        <v>14</v>
      </c>
      <c r="AD1025" s="4">
        <v>44</v>
      </c>
      <c r="AE1025" s="4">
        <v>101</v>
      </c>
      <c r="AF1025" s="4">
        <v>1</v>
      </c>
      <c r="AG1025" s="4">
        <v>8</v>
      </c>
      <c r="AH1025" s="4">
        <v>39</v>
      </c>
      <c r="AI1025" s="4">
        <v>67</v>
      </c>
      <c r="AJ1025" s="4">
        <v>11</v>
      </c>
      <c r="AK1025" s="4">
        <v>22</v>
      </c>
      <c r="AL1025" s="4">
        <v>22</v>
      </c>
      <c r="AM1025" s="4">
        <v>34</v>
      </c>
      <c r="AN1025" s="4">
        <v>0</v>
      </c>
      <c r="AO1025" s="4">
        <v>0</v>
      </c>
      <c r="AP1025" s="4">
        <v>11</v>
      </c>
      <c r="AQ1025" s="4">
        <v>42</v>
      </c>
      <c r="AR1025" s="3" t="s">
        <v>62</v>
      </c>
      <c r="AS1025" s="3" t="s">
        <v>62</v>
      </c>
      <c r="AT1025" s="3" t="s">
        <v>62</v>
      </c>
      <c r="AV1025" s="6" t="str">
        <f>HYPERLINK("http://mcgill.on.worldcat.org/oclc/715286255","Catalog Record")</f>
        <v>Catalog Record</v>
      </c>
      <c r="AW1025" s="6" t="str">
        <f>HYPERLINK("http://www.worldcat.org/oclc/715286255","WorldCat Record")</f>
        <v>WorldCat Record</v>
      </c>
      <c r="AX1025" s="3" t="s">
        <v>10076</v>
      </c>
      <c r="AY1025" s="3" t="s">
        <v>10077</v>
      </c>
      <c r="AZ1025" s="3" t="s">
        <v>10078</v>
      </c>
      <c r="BA1025" s="3" t="s">
        <v>10078</v>
      </c>
      <c r="BB1025" s="3" t="s">
        <v>10079</v>
      </c>
      <c r="BC1025" s="3" t="s">
        <v>142</v>
      </c>
      <c r="BD1025" s="3" t="s">
        <v>68</v>
      </c>
      <c r="BE1025" s="3" t="s">
        <v>10080</v>
      </c>
      <c r="BF1025" s="3" t="s">
        <v>10079</v>
      </c>
      <c r="BG1025" s="3" t="s">
        <v>10081</v>
      </c>
    </row>
    <row r="1026" spans="1:59" ht="57" x14ac:dyDescent="0.45">
      <c r="A1026" s="2" t="s">
        <v>59</v>
      </c>
      <c r="B1026" s="2" t="s">
        <v>412</v>
      </c>
      <c r="C1026" s="2" t="s">
        <v>10082</v>
      </c>
      <c r="D1026" s="2" t="s">
        <v>10083</v>
      </c>
      <c r="E1026" s="2" t="s">
        <v>10084</v>
      </c>
      <c r="G1026" s="3" t="s">
        <v>62</v>
      </c>
      <c r="I1026" s="3" t="s">
        <v>62</v>
      </c>
      <c r="J1026" s="3" t="s">
        <v>62</v>
      </c>
      <c r="K1026" s="3" t="s">
        <v>63</v>
      </c>
      <c r="L1026" s="2" t="s">
        <v>10085</v>
      </c>
      <c r="M1026" s="2" t="s">
        <v>9542</v>
      </c>
      <c r="N1026" s="3" t="s">
        <v>1155</v>
      </c>
      <c r="P1026" s="3" t="s">
        <v>65</v>
      </c>
      <c r="Q1026" s="2" t="s">
        <v>3363</v>
      </c>
      <c r="R1026" s="3" t="s">
        <v>66</v>
      </c>
      <c r="S1026" s="4">
        <v>5</v>
      </c>
      <c r="T1026" s="4">
        <v>5</v>
      </c>
      <c r="U1026" s="5" t="s">
        <v>6370</v>
      </c>
      <c r="V1026" s="5" t="s">
        <v>6370</v>
      </c>
      <c r="W1026" s="5" t="s">
        <v>67</v>
      </c>
      <c r="X1026" s="5" t="s">
        <v>67</v>
      </c>
      <c r="Y1026" s="4">
        <v>112</v>
      </c>
      <c r="Z1026" s="4">
        <v>7</v>
      </c>
      <c r="AA1026" s="4">
        <v>76</v>
      </c>
      <c r="AB1026" s="4">
        <v>2</v>
      </c>
      <c r="AC1026" s="4">
        <v>14</v>
      </c>
      <c r="AD1026" s="4">
        <v>17</v>
      </c>
      <c r="AE1026" s="4">
        <v>80</v>
      </c>
      <c r="AF1026" s="4">
        <v>1</v>
      </c>
      <c r="AG1026" s="4">
        <v>8</v>
      </c>
      <c r="AH1026" s="4">
        <v>13</v>
      </c>
      <c r="AI1026" s="4">
        <v>48</v>
      </c>
      <c r="AJ1026" s="4">
        <v>4</v>
      </c>
      <c r="AK1026" s="4">
        <v>18</v>
      </c>
      <c r="AL1026" s="4">
        <v>8</v>
      </c>
      <c r="AM1026" s="4">
        <v>25</v>
      </c>
      <c r="AN1026" s="4">
        <v>0</v>
      </c>
      <c r="AO1026" s="4">
        <v>0</v>
      </c>
      <c r="AP1026" s="4">
        <v>5</v>
      </c>
      <c r="AQ1026" s="4">
        <v>38</v>
      </c>
      <c r="AR1026" s="3" t="s">
        <v>62</v>
      </c>
      <c r="AS1026" s="3" t="s">
        <v>62</v>
      </c>
      <c r="AT1026" s="3" t="s">
        <v>62</v>
      </c>
      <c r="AV1026" s="6" t="str">
        <f>HYPERLINK("http://mcgill.on.worldcat.org/oclc/765881824","Catalog Record")</f>
        <v>Catalog Record</v>
      </c>
      <c r="AW1026" s="6" t="str">
        <f>HYPERLINK("http://www.worldcat.org/oclc/765881824","WorldCat Record")</f>
        <v>WorldCat Record</v>
      </c>
      <c r="AX1026" s="3" t="s">
        <v>10086</v>
      </c>
      <c r="AY1026" s="3" t="s">
        <v>10087</v>
      </c>
      <c r="AZ1026" s="3" t="s">
        <v>10088</v>
      </c>
      <c r="BA1026" s="3" t="s">
        <v>10088</v>
      </c>
      <c r="BB1026" s="3" t="s">
        <v>10089</v>
      </c>
      <c r="BC1026" s="3" t="s">
        <v>142</v>
      </c>
      <c r="BD1026" s="3" t="s">
        <v>68</v>
      </c>
      <c r="BE1026" s="3" t="s">
        <v>10090</v>
      </c>
      <c r="BF1026" s="3" t="s">
        <v>10089</v>
      </c>
      <c r="BG1026" s="3" t="s">
        <v>10091</v>
      </c>
    </row>
    <row r="1027" spans="1:59" ht="57" x14ac:dyDescent="0.45">
      <c r="A1027" s="2" t="s">
        <v>59</v>
      </c>
      <c r="B1027" s="2" t="s">
        <v>60</v>
      </c>
      <c r="C1027" s="2" t="s">
        <v>10092</v>
      </c>
      <c r="D1027" s="2" t="s">
        <v>10093</v>
      </c>
      <c r="E1027" s="2" t="s">
        <v>10094</v>
      </c>
      <c r="G1027" s="3" t="s">
        <v>62</v>
      </c>
      <c r="I1027" s="3" t="s">
        <v>62</v>
      </c>
      <c r="J1027" s="3" t="s">
        <v>62</v>
      </c>
      <c r="K1027" s="3" t="s">
        <v>63</v>
      </c>
      <c r="M1027" s="2" t="s">
        <v>9646</v>
      </c>
      <c r="N1027" s="3" t="s">
        <v>820</v>
      </c>
      <c r="P1027" s="3" t="s">
        <v>65</v>
      </c>
      <c r="R1027" s="3" t="s">
        <v>66</v>
      </c>
      <c r="S1027" s="4">
        <v>2</v>
      </c>
      <c r="T1027" s="4">
        <v>2</v>
      </c>
      <c r="U1027" s="5" t="s">
        <v>10054</v>
      </c>
      <c r="V1027" s="5" t="s">
        <v>10054</v>
      </c>
      <c r="W1027" s="5" t="s">
        <v>67</v>
      </c>
      <c r="X1027" s="5" t="s">
        <v>67</v>
      </c>
      <c r="Y1027" s="4">
        <v>212</v>
      </c>
      <c r="Z1027" s="4">
        <v>16</v>
      </c>
      <c r="AA1027" s="4">
        <v>101</v>
      </c>
      <c r="AB1027" s="4">
        <v>2</v>
      </c>
      <c r="AC1027" s="4">
        <v>17</v>
      </c>
      <c r="AD1027" s="4">
        <v>72</v>
      </c>
      <c r="AE1027" s="4">
        <v>131</v>
      </c>
      <c r="AF1027" s="4">
        <v>1</v>
      </c>
      <c r="AG1027" s="4">
        <v>8</v>
      </c>
      <c r="AH1027" s="4">
        <v>66</v>
      </c>
      <c r="AI1027" s="4">
        <v>95</v>
      </c>
      <c r="AJ1027" s="4">
        <v>12</v>
      </c>
      <c r="AK1027" s="4">
        <v>25</v>
      </c>
      <c r="AL1027" s="4">
        <v>31</v>
      </c>
      <c r="AM1027" s="4">
        <v>47</v>
      </c>
      <c r="AN1027" s="4">
        <v>0</v>
      </c>
      <c r="AO1027" s="4">
        <v>0</v>
      </c>
      <c r="AP1027" s="4">
        <v>12</v>
      </c>
      <c r="AQ1027" s="4">
        <v>46</v>
      </c>
      <c r="AR1027" s="3" t="s">
        <v>62</v>
      </c>
      <c r="AS1027" s="3" t="s">
        <v>62</v>
      </c>
      <c r="AT1027" s="3" t="s">
        <v>61</v>
      </c>
      <c r="AU1027" s="6" t="str">
        <f>HYPERLINK("http://catalog.hathitrust.org/Record/005614777","HathiTrust Record")</f>
        <v>HathiTrust Record</v>
      </c>
      <c r="AV1027" s="6" t="str">
        <f>HYPERLINK("http://mcgill.on.worldcat.org/oclc/144768354","Catalog Record")</f>
        <v>Catalog Record</v>
      </c>
      <c r="AW1027" s="6" t="str">
        <f>HYPERLINK("http://www.worldcat.org/oclc/144768354","WorldCat Record")</f>
        <v>WorldCat Record</v>
      </c>
      <c r="AX1027" s="3" t="s">
        <v>10095</v>
      </c>
      <c r="AY1027" s="3" t="s">
        <v>10096</v>
      </c>
      <c r="AZ1027" s="3" t="s">
        <v>10097</v>
      </c>
      <c r="BA1027" s="3" t="s">
        <v>10097</v>
      </c>
      <c r="BB1027" s="3" t="s">
        <v>10098</v>
      </c>
      <c r="BC1027" s="3" t="s">
        <v>142</v>
      </c>
      <c r="BD1027" s="3" t="s">
        <v>68</v>
      </c>
      <c r="BE1027" s="3" t="s">
        <v>10099</v>
      </c>
      <c r="BF1027" s="3" t="s">
        <v>10098</v>
      </c>
      <c r="BG1027" s="3" t="s">
        <v>10100</v>
      </c>
    </row>
    <row r="1028" spans="1:59" ht="57" x14ac:dyDescent="0.45">
      <c r="A1028" s="2" t="s">
        <v>59</v>
      </c>
      <c r="B1028" s="2" t="s">
        <v>60</v>
      </c>
      <c r="C1028" s="2" t="s">
        <v>10101</v>
      </c>
      <c r="D1028" s="2" t="s">
        <v>10102</v>
      </c>
      <c r="E1028" s="2" t="s">
        <v>10103</v>
      </c>
      <c r="G1028" s="3" t="s">
        <v>62</v>
      </c>
      <c r="I1028" s="3" t="s">
        <v>62</v>
      </c>
      <c r="J1028" s="3" t="s">
        <v>62</v>
      </c>
      <c r="K1028" s="3" t="s">
        <v>63</v>
      </c>
      <c r="M1028" s="2" t="s">
        <v>10104</v>
      </c>
      <c r="N1028" s="3" t="s">
        <v>945</v>
      </c>
      <c r="P1028" s="3" t="s">
        <v>65</v>
      </c>
      <c r="Q1028" s="2" t="s">
        <v>10105</v>
      </c>
      <c r="R1028" s="3" t="s">
        <v>66</v>
      </c>
      <c r="S1028" s="4">
        <v>17</v>
      </c>
      <c r="T1028" s="4">
        <v>17</v>
      </c>
      <c r="U1028" s="5" t="s">
        <v>4058</v>
      </c>
      <c r="V1028" s="5" t="s">
        <v>4058</v>
      </c>
      <c r="W1028" s="5" t="s">
        <v>67</v>
      </c>
      <c r="X1028" s="5" t="s">
        <v>67</v>
      </c>
      <c r="Y1028" s="4">
        <v>176</v>
      </c>
      <c r="Z1028" s="4">
        <v>17</v>
      </c>
      <c r="AA1028" s="4">
        <v>110</v>
      </c>
      <c r="AB1028" s="4">
        <v>2</v>
      </c>
      <c r="AC1028" s="4">
        <v>17</v>
      </c>
      <c r="AD1028" s="4">
        <v>61</v>
      </c>
      <c r="AE1028" s="4">
        <v>125</v>
      </c>
      <c r="AF1028" s="4">
        <v>1</v>
      </c>
      <c r="AG1028" s="4">
        <v>8</v>
      </c>
      <c r="AH1028" s="4">
        <v>56</v>
      </c>
      <c r="AI1028" s="4">
        <v>88</v>
      </c>
      <c r="AJ1028" s="4">
        <v>12</v>
      </c>
      <c r="AK1028" s="4">
        <v>25</v>
      </c>
      <c r="AL1028" s="4">
        <v>29</v>
      </c>
      <c r="AM1028" s="4">
        <v>42</v>
      </c>
      <c r="AN1028" s="4">
        <v>0</v>
      </c>
      <c r="AO1028" s="4">
        <v>0</v>
      </c>
      <c r="AP1028" s="4">
        <v>13</v>
      </c>
      <c r="AQ1028" s="4">
        <v>46</v>
      </c>
      <c r="AR1028" s="3" t="s">
        <v>62</v>
      </c>
      <c r="AS1028" s="3" t="s">
        <v>62</v>
      </c>
      <c r="AT1028" s="3" t="s">
        <v>61</v>
      </c>
      <c r="AU1028" s="6" t="str">
        <f>HYPERLINK("http://catalog.hathitrust.org/Record/005427183","HathiTrust Record")</f>
        <v>HathiTrust Record</v>
      </c>
      <c r="AV1028" s="6" t="str">
        <f>HYPERLINK("http://mcgill.on.worldcat.org/oclc/70687425","Catalog Record")</f>
        <v>Catalog Record</v>
      </c>
      <c r="AW1028" s="6" t="str">
        <f>HYPERLINK("http://www.worldcat.org/oclc/70687425","WorldCat Record")</f>
        <v>WorldCat Record</v>
      </c>
      <c r="AX1028" s="3" t="s">
        <v>10106</v>
      </c>
      <c r="AY1028" s="3" t="s">
        <v>10107</v>
      </c>
      <c r="AZ1028" s="3" t="s">
        <v>10108</v>
      </c>
      <c r="BA1028" s="3" t="s">
        <v>10108</v>
      </c>
      <c r="BB1028" s="3" t="s">
        <v>10109</v>
      </c>
      <c r="BC1028" s="3" t="s">
        <v>142</v>
      </c>
      <c r="BD1028" s="3" t="s">
        <v>308</v>
      </c>
      <c r="BE1028" s="3" t="s">
        <v>10110</v>
      </c>
      <c r="BF1028" s="3" t="s">
        <v>10109</v>
      </c>
      <c r="BG1028" s="3" t="s">
        <v>10111</v>
      </c>
    </row>
    <row r="1029" spans="1:59" ht="57" x14ac:dyDescent="0.45">
      <c r="A1029" s="2" t="s">
        <v>59</v>
      </c>
      <c r="B1029" s="2" t="s">
        <v>60</v>
      </c>
      <c r="C1029" s="2" t="s">
        <v>10112</v>
      </c>
      <c r="D1029" s="2" t="s">
        <v>10113</v>
      </c>
      <c r="E1029" s="2" t="s">
        <v>10114</v>
      </c>
      <c r="G1029" s="3" t="s">
        <v>62</v>
      </c>
      <c r="I1029" s="3" t="s">
        <v>62</v>
      </c>
      <c r="J1029" s="3" t="s">
        <v>62</v>
      </c>
      <c r="K1029" s="3" t="s">
        <v>63</v>
      </c>
      <c r="M1029" s="2" t="s">
        <v>10115</v>
      </c>
      <c r="N1029" s="3" t="s">
        <v>894</v>
      </c>
      <c r="P1029" s="3" t="s">
        <v>65</v>
      </c>
      <c r="Q1029" s="2" t="s">
        <v>9636</v>
      </c>
      <c r="R1029" s="3" t="s">
        <v>66</v>
      </c>
      <c r="S1029" s="4">
        <v>3</v>
      </c>
      <c r="T1029" s="4">
        <v>3</v>
      </c>
      <c r="U1029" s="5" t="s">
        <v>10116</v>
      </c>
      <c r="V1029" s="5" t="s">
        <v>10116</v>
      </c>
      <c r="W1029" s="5" t="s">
        <v>67</v>
      </c>
      <c r="X1029" s="5" t="s">
        <v>67</v>
      </c>
      <c r="Y1029" s="4">
        <v>58</v>
      </c>
      <c r="Z1029" s="4">
        <v>6</v>
      </c>
      <c r="AA1029" s="4">
        <v>77</v>
      </c>
      <c r="AB1029" s="4">
        <v>1</v>
      </c>
      <c r="AC1029" s="4">
        <v>14</v>
      </c>
      <c r="AD1029" s="4">
        <v>24</v>
      </c>
      <c r="AE1029" s="4">
        <v>89</v>
      </c>
      <c r="AF1029" s="4">
        <v>0</v>
      </c>
      <c r="AG1029" s="4">
        <v>8</v>
      </c>
      <c r="AH1029" s="4">
        <v>22</v>
      </c>
      <c r="AI1029" s="4">
        <v>56</v>
      </c>
      <c r="AJ1029" s="4">
        <v>5</v>
      </c>
      <c r="AK1029" s="4">
        <v>19</v>
      </c>
      <c r="AL1029" s="4">
        <v>13</v>
      </c>
      <c r="AM1029" s="4">
        <v>28</v>
      </c>
      <c r="AN1029" s="4">
        <v>0</v>
      </c>
      <c r="AO1029" s="4">
        <v>0</v>
      </c>
      <c r="AP1029" s="4">
        <v>5</v>
      </c>
      <c r="AQ1029" s="4">
        <v>40</v>
      </c>
      <c r="AR1029" s="3" t="s">
        <v>62</v>
      </c>
      <c r="AS1029" s="3" t="s">
        <v>62</v>
      </c>
      <c r="AT1029" s="3" t="s">
        <v>62</v>
      </c>
      <c r="AV1029" s="6" t="str">
        <f>HYPERLINK("http://mcgill.on.worldcat.org/oclc/704120484","Catalog Record")</f>
        <v>Catalog Record</v>
      </c>
      <c r="AW1029" s="6" t="str">
        <f>HYPERLINK("http://www.worldcat.org/oclc/704120484","WorldCat Record")</f>
        <v>WorldCat Record</v>
      </c>
      <c r="AX1029" s="3" t="s">
        <v>10117</v>
      </c>
      <c r="AY1029" s="3" t="s">
        <v>10118</v>
      </c>
      <c r="AZ1029" s="3" t="s">
        <v>10119</v>
      </c>
      <c r="BA1029" s="3" t="s">
        <v>10119</v>
      </c>
      <c r="BB1029" s="3" t="s">
        <v>10120</v>
      </c>
      <c r="BC1029" s="3" t="s">
        <v>142</v>
      </c>
      <c r="BD1029" s="3" t="s">
        <v>68</v>
      </c>
      <c r="BE1029" s="3" t="s">
        <v>10121</v>
      </c>
      <c r="BF1029" s="3" t="s">
        <v>10120</v>
      </c>
      <c r="BG1029" s="3" t="s">
        <v>10122</v>
      </c>
    </row>
    <row r="1030" spans="1:59" ht="57" x14ac:dyDescent="0.45">
      <c r="A1030" s="2" t="s">
        <v>59</v>
      </c>
      <c r="B1030" s="2" t="s">
        <v>60</v>
      </c>
      <c r="C1030" s="2" t="s">
        <v>10123</v>
      </c>
      <c r="D1030" s="2" t="s">
        <v>10124</v>
      </c>
      <c r="E1030" s="2" t="s">
        <v>10125</v>
      </c>
      <c r="G1030" s="3" t="s">
        <v>62</v>
      </c>
      <c r="I1030" s="3" t="s">
        <v>62</v>
      </c>
      <c r="J1030" s="3" t="s">
        <v>62</v>
      </c>
      <c r="K1030" s="3" t="s">
        <v>63</v>
      </c>
      <c r="M1030" s="2" t="s">
        <v>10126</v>
      </c>
      <c r="N1030" s="3" t="s">
        <v>1059</v>
      </c>
      <c r="P1030" s="3" t="s">
        <v>65</v>
      </c>
      <c r="Q1030" s="2" t="s">
        <v>7036</v>
      </c>
      <c r="R1030" s="3" t="s">
        <v>66</v>
      </c>
      <c r="S1030" s="4">
        <v>18</v>
      </c>
      <c r="T1030" s="4">
        <v>18</v>
      </c>
      <c r="U1030" s="5" t="s">
        <v>4058</v>
      </c>
      <c r="V1030" s="5" t="s">
        <v>4058</v>
      </c>
      <c r="W1030" s="5" t="s">
        <v>67</v>
      </c>
      <c r="X1030" s="5" t="s">
        <v>67</v>
      </c>
      <c r="Y1030" s="4">
        <v>294</v>
      </c>
      <c r="Z1030" s="4">
        <v>21</v>
      </c>
      <c r="AA1030" s="4">
        <v>24</v>
      </c>
      <c r="AB1030" s="4">
        <v>2</v>
      </c>
      <c r="AC1030" s="4">
        <v>4</v>
      </c>
      <c r="AD1030" s="4">
        <v>81</v>
      </c>
      <c r="AE1030" s="4">
        <v>84</v>
      </c>
      <c r="AF1030" s="4">
        <v>1</v>
      </c>
      <c r="AG1030" s="4">
        <v>3</v>
      </c>
      <c r="AH1030" s="4">
        <v>72</v>
      </c>
      <c r="AI1030" s="4">
        <v>72</v>
      </c>
      <c r="AJ1030" s="4">
        <v>14</v>
      </c>
      <c r="AK1030" s="4">
        <v>16</v>
      </c>
      <c r="AL1030" s="4">
        <v>39</v>
      </c>
      <c r="AM1030" s="4">
        <v>39</v>
      </c>
      <c r="AN1030" s="4">
        <v>0</v>
      </c>
      <c r="AO1030" s="4">
        <v>0</v>
      </c>
      <c r="AP1030" s="4">
        <v>16</v>
      </c>
      <c r="AQ1030" s="4">
        <v>18</v>
      </c>
      <c r="AR1030" s="3" t="s">
        <v>62</v>
      </c>
      <c r="AS1030" s="3" t="s">
        <v>62</v>
      </c>
      <c r="AT1030" s="3" t="s">
        <v>62</v>
      </c>
      <c r="AV1030" s="6" t="str">
        <f>HYPERLINK("http://mcgill.on.worldcat.org/oclc/70660089","Catalog Record")</f>
        <v>Catalog Record</v>
      </c>
      <c r="AW1030" s="6" t="str">
        <f>HYPERLINK("http://www.worldcat.org/oclc/70660089","WorldCat Record")</f>
        <v>WorldCat Record</v>
      </c>
      <c r="AX1030" s="3" t="s">
        <v>10127</v>
      </c>
      <c r="AY1030" s="3" t="s">
        <v>10128</v>
      </c>
      <c r="AZ1030" s="3" t="s">
        <v>10129</v>
      </c>
      <c r="BA1030" s="3" t="s">
        <v>10129</v>
      </c>
      <c r="BB1030" s="3" t="s">
        <v>10130</v>
      </c>
      <c r="BC1030" s="3" t="s">
        <v>142</v>
      </c>
      <c r="BD1030" s="3" t="s">
        <v>308</v>
      </c>
      <c r="BE1030" s="3" t="s">
        <v>10131</v>
      </c>
      <c r="BF1030" s="3" t="s">
        <v>10130</v>
      </c>
      <c r="BG1030" s="3" t="s">
        <v>10132</v>
      </c>
    </row>
    <row r="1031" spans="1:59" ht="57" x14ac:dyDescent="0.45">
      <c r="A1031" s="2" t="s">
        <v>59</v>
      </c>
      <c r="B1031" s="2" t="s">
        <v>60</v>
      </c>
      <c r="C1031" s="2" t="s">
        <v>10133</v>
      </c>
      <c r="D1031" s="2" t="s">
        <v>10134</v>
      </c>
      <c r="E1031" s="2" t="s">
        <v>10135</v>
      </c>
      <c r="G1031" s="3" t="s">
        <v>62</v>
      </c>
      <c r="I1031" s="3" t="s">
        <v>62</v>
      </c>
      <c r="J1031" s="3" t="s">
        <v>62</v>
      </c>
      <c r="K1031" s="3" t="s">
        <v>63</v>
      </c>
      <c r="M1031" s="2" t="s">
        <v>10136</v>
      </c>
      <c r="N1031" s="3" t="s">
        <v>195</v>
      </c>
      <c r="P1031" s="3" t="s">
        <v>65</v>
      </c>
      <c r="Q1031" s="2" t="s">
        <v>10137</v>
      </c>
      <c r="R1031" s="3" t="s">
        <v>66</v>
      </c>
      <c r="S1031" s="4">
        <v>31</v>
      </c>
      <c r="T1031" s="4">
        <v>31</v>
      </c>
      <c r="U1031" s="5" t="s">
        <v>9777</v>
      </c>
      <c r="V1031" s="5" t="s">
        <v>9777</v>
      </c>
      <c r="W1031" s="5" t="s">
        <v>67</v>
      </c>
      <c r="X1031" s="5" t="s">
        <v>67</v>
      </c>
      <c r="Y1031" s="4">
        <v>222</v>
      </c>
      <c r="Z1031" s="4">
        <v>16</v>
      </c>
      <c r="AA1031" s="4">
        <v>96</v>
      </c>
      <c r="AB1031" s="4">
        <v>2</v>
      </c>
      <c r="AC1031" s="4">
        <v>17</v>
      </c>
      <c r="AD1031" s="4">
        <v>67</v>
      </c>
      <c r="AE1031" s="4">
        <v>120</v>
      </c>
      <c r="AF1031" s="4">
        <v>1</v>
      </c>
      <c r="AG1031" s="4">
        <v>8</v>
      </c>
      <c r="AH1031" s="4">
        <v>58</v>
      </c>
      <c r="AI1031" s="4">
        <v>83</v>
      </c>
      <c r="AJ1031" s="4">
        <v>13</v>
      </c>
      <c r="AK1031" s="4">
        <v>23</v>
      </c>
      <c r="AL1031" s="4">
        <v>35</v>
      </c>
      <c r="AM1031" s="4">
        <v>41</v>
      </c>
      <c r="AN1031" s="4">
        <v>0</v>
      </c>
      <c r="AO1031" s="4">
        <v>0</v>
      </c>
      <c r="AP1031" s="4">
        <v>14</v>
      </c>
      <c r="AQ1031" s="4">
        <v>46</v>
      </c>
      <c r="AR1031" s="3" t="s">
        <v>62</v>
      </c>
      <c r="AS1031" s="3" t="s">
        <v>62</v>
      </c>
      <c r="AT1031" s="3" t="s">
        <v>61</v>
      </c>
      <c r="AU1031" s="6" t="str">
        <f>HYPERLINK("http://catalog.hathitrust.org/Record/002967577","HathiTrust Record")</f>
        <v>HathiTrust Record</v>
      </c>
      <c r="AV1031" s="6" t="str">
        <f>HYPERLINK("http://mcgill.on.worldcat.org/oclc/27388726","Catalog Record")</f>
        <v>Catalog Record</v>
      </c>
      <c r="AW1031" s="6" t="str">
        <f>HYPERLINK("http://www.worldcat.org/oclc/27388726","WorldCat Record")</f>
        <v>WorldCat Record</v>
      </c>
      <c r="AX1031" s="3" t="s">
        <v>10138</v>
      </c>
      <c r="AY1031" s="3" t="s">
        <v>10139</v>
      </c>
      <c r="AZ1031" s="3" t="s">
        <v>10140</v>
      </c>
      <c r="BA1031" s="3" t="s">
        <v>10140</v>
      </c>
      <c r="BB1031" s="3" t="s">
        <v>10141</v>
      </c>
      <c r="BC1031" s="3" t="s">
        <v>142</v>
      </c>
      <c r="BD1031" s="3" t="s">
        <v>68</v>
      </c>
      <c r="BE1031" s="3" t="s">
        <v>10142</v>
      </c>
      <c r="BF1031" s="3" t="s">
        <v>10141</v>
      </c>
      <c r="BG1031" s="3" t="s">
        <v>10143</v>
      </c>
    </row>
    <row r="1032" spans="1:59" ht="57" x14ac:dyDescent="0.45">
      <c r="A1032" s="2" t="s">
        <v>59</v>
      </c>
      <c r="B1032" s="2" t="s">
        <v>60</v>
      </c>
      <c r="C1032" s="2" t="s">
        <v>10144</v>
      </c>
      <c r="D1032" s="2" t="s">
        <v>10145</v>
      </c>
      <c r="E1032" s="2" t="s">
        <v>10146</v>
      </c>
      <c r="G1032" s="3" t="s">
        <v>62</v>
      </c>
      <c r="I1032" s="3" t="s">
        <v>62</v>
      </c>
      <c r="J1032" s="3" t="s">
        <v>62</v>
      </c>
      <c r="K1032" s="3" t="s">
        <v>63</v>
      </c>
      <c r="L1032" s="2" t="s">
        <v>10147</v>
      </c>
      <c r="M1032" s="2" t="s">
        <v>10148</v>
      </c>
      <c r="N1032" s="3" t="s">
        <v>945</v>
      </c>
      <c r="P1032" s="3" t="s">
        <v>65</v>
      </c>
      <c r="Q1032" s="2" t="s">
        <v>9188</v>
      </c>
      <c r="R1032" s="3" t="s">
        <v>66</v>
      </c>
      <c r="S1032" s="4">
        <v>18</v>
      </c>
      <c r="T1032" s="4">
        <v>18</v>
      </c>
      <c r="U1032" s="5" t="s">
        <v>4058</v>
      </c>
      <c r="V1032" s="5" t="s">
        <v>4058</v>
      </c>
      <c r="W1032" s="5" t="s">
        <v>67</v>
      </c>
      <c r="X1032" s="5" t="s">
        <v>67</v>
      </c>
      <c r="Y1032" s="4">
        <v>240</v>
      </c>
      <c r="Z1032" s="4">
        <v>23</v>
      </c>
      <c r="AA1032" s="4">
        <v>26</v>
      </c>
      <c r="AB1032" s="4">
        <v>3</v>
      </c>
      <c r="AC1032" s="4">
        <v>5</v>
      </c>
      <c r="AD1032" s="4">
        <v>40</v>
      </c>
      <c r="AE1032" s="4">
        <v>42</v>
      </c>
      <c r="AF1032" s="4">
        <v>2</v>
      </c>
      <c r="AG1032" s="4">
        <v>4</v>
      </c>
      <c r="AH1032" s="4">
        <v>35</v>
      </c>
      <c r="AI1032" s="4">
        <v>36</v>
      </c>
      <c r="AJ1032" s="4">
        <v>8</v>
      </c>
      <c r="AK1032" s="4">
        <v>10</v>
      </c>
      <c r="AL1032" s="4">
        <v>21</v>
      </c>
      <c r="AM1032" s="4">
        <v>21</v>
      </c>
      <c r="AN1032" s="4">
        <v>0</v>
      </c>
      <c r="AO1032" s="4">
        <v>0</v>
      </c>
      <c r="AP1032" s="4">
        <v>11</v>
      </c>
      <c r="AQ1032" s="4">
        <v>13</v>
      </c>
      <c r="AR1032" s="3" t="s">
        <v>62</v>
      </c>
      <c r="AS1032" s="3" t="s">
        <v>62</v>
      </c>
      <c r="AT1032" s="3" t="s">
        <v>62</v>
      </c>
      <c r="AV1032" s="6" t="str">
        <f>HYPERLINK("http://mcgill.on.worldcat.org/oclc/137247491","Catalog Record")</f>
        <v>Catalog Record</v>
      </c>
      <c r="AW1032" s="6" t="str">
        <f>HYPERLINK("http://www.worldcat.org/oclc/137247491","WorldCat Record")</f>
        <v>WorldCat Record</v>
      </c>
      <c r="AX1032" s="3" t="s">
        <v>10149</v>
      </c>
      <c r="AY1032" s="3" t="s">
        <v>10150</v>
      </c>
      <c r="AZ1032" s="3" t="s">
        <v>10151</v>
      </c>
      <c r="BA1032" s="3" t="s">
        <v>10151</v>
      </c>
      <c r="BB1032" s="3" t="s">
        <v>10152</v>
      </c>
      <c r="BC1032" s="3" t="s">
        <v>142</v>
      </c>
      <c r="BD1032" s="3" t="s">
        <v>308</v>
      </c>
      <c r="BE1032" s="3" t="s">
        <v>10153</v>
      </c>
      <c r="BF1032" s="3" t="s">
        <v>10152</v>
      </c>
      <c r="BG1032" s="3" t="s">
        <v>10154</v>
      </c>
    </row>
    <row r="1033" spans="1:59" ht="57" x14ac:dyDescent="0.45">
      <c r="A1033" s="2" t="s">
        <v>59</v>
      </c>
      <c r="B1033" s="2" t="s">
        <v>60</v>
      </c>
      <c r="C1033" s="2" t="s">
        <v>10155</v>
      </c>
      <c r="D1033" s="2" t="s">
        <v>10156</v>
      </c>
      <c r="E1033" s="2" t="s">
        <v>10157</v>
      </c>
      <c r="G1033" s="3" t="s">
        <v>62</v>
      </c>
      <c r="I1033" s="3" t="s">
        <v>62</v>
      </c>
      <c r="J1033" s="3" t="s">
        <v>62</v>
      </c>
      <c r="K1033" s="3" t="s">
        <v>63</v>
      </c>
      <c r="L1033" s="2" t="s">
        <v>10158</v>
      </c>
      <c r="M1033" s="2" t="s">
        <v>3996</v>
      </c>
      <c r="N1033" s="3" t="s">
        <v>1059</v>
      </c>
      <c r="P1033" s="3" t="s">
        <v>65</v>
      </c>
      <c r="Q1033" s="2" t="s">
        <v>7244</v>
      </c>
      <c r="R1033" s="3" t="s">
        <v>66</v>
      </c>
      <c r="S1033" s="4">
        <v>6</v>
      </c>
      <c r="T1033" s="4">
        <v>6</v>
      </c>
      <c r="U1033" s="5" t="s">
        <v>10159</v>
      </c>
      <c r="V1033" s="5" t="s">
        <v>10159</v>
      </c>
      <c r="W1033" s="5" t="s">
        <v>67</v>
      </c>
      <c r="X1033" s="5" t="s">
        <v>67</v>
      </c>
      <c r="Y1033" s="4">
        <v>199</v>
      </c>
      <c r="Z1033" s="4">
        <v>17</v>
      </c>
      <c r="AA1033" s="4">
        <v>22</v>
      </c>
      <c r="AB1033" s="4">
        <v>1</v>
      </c>
      <c r="AC1033" s="4">
        <v>4</v>
      </c>
      <c r="AD1033" s="4">
        <v>56</v>
      </c>
      <c r="AE1033" s="4">
        <v>60</v>
      </c>
      <c r="AF1033" s="4">
        <v>0</v>
      </c>
      <c r="AG1033" s="4">
        <v>2</v>
      </c>
      <c r="AH1033" s="4">
        <v>49</v>
      </c>
      <c r="AI1033" s="4">
        <v>51</v>
      </c>
      <c r="AJ1033" s="4">
        <v>12</v>
      </c>
      <c r="AK1033" s="4">
        <v>15</v>
      </c>
      <c r="AL1033" s="4">
        <v>25</v>
      </c>
      <c r="AM1033" s="4">
        <v>25</v>
      </c>
      <c r="AN1033" s="4">
        <v>0</v>
      </c>
      <c r="AO1033" s="4">
        <v>0</v>
      </c>
      <c r="AP1033" s="4">
        <v>15</v>
      </c>
      <c r="AQ1033" s="4">
        <v>18</v>
      </c>
      <c r="AR1033" s="3" t="s">
        <v>62</v>
      </c>
      <c r="AS1033" s="3" t="s">
        <v>62</v>
      </c>
      <c r="AT1033" s="3" t="s">
        <v>62</v>
      </c>
      <c r="AV1033" s="6" t="str">
        <f>HYPERLINK("http://mcgill.on.worldcat.org/oclc/68192574","Catalog Record")</f>
        <v>Catalog Record</v>
      </c>
      <c r="AW1033" s="6" t="str">
        <f>HYPERLINK("http://www.worldcat.org/oclc/68192574","WorldCat Record")</f>
        <v>WorldCat Record</v>
      </c>
      <c r="AX1033" s="3" t="s">
        <v>10160</v>
      </c>
      <c r="AY1033" s="3" t="s">
        <v>10161</v>
      </c>
      <c r="AZ1033" s="3" t="s">
        <v>10162</v>
      </c>
      <c r="BA1033" s="3" t="s">
        <v>10162</v>
      </c>
      <c r="BB1033" s="3" t="s">
        <v>10163</v>
      </c>
      <c r="BC1033" s="3" t="s">
        <v>142</v>
      </c>
      <c r="BD1033" s="3" t="s">
        <v>68</v>
      </c>
      <c r="BE1033" s="3" t="s">
        <v>10164</v>
      </c>
      <c r="BF1033" s="3" t="s">
        <v>10163</v>
      </c>
      <c r="BG1033" s="3" t="s">
        <v>10165</v>
      </c>
    </row>
    <row r="1034" spans="1:59" ht="57" x14ac:dyDescent="0.45">
      <c r="A1034" s="2" t="s">
        <v>59</v>
      </c>
      <c r="B1034" s="2" t="s">
        <v>60</v>
      </c>
      <c r="C1034" s="2" t="s">
        <v>10166</v>
      </c>
      <c r="D1034" s="2" t="s">
        <v>10167</v>
      </c>
      <c r="E1034" s="2" t="s">
        <v>10168</v>
      </c>
      <c r="G1034" s="3" t="s">
        <v>62</v>
      </c>
      <c r="I1034" s="3" t="s">
        <v>62</v>
      </c>
      <c r="J1034" s="3" t="s">
        <v>62</v>
      </c>
      <c r="K1034" s="3" t="s">
        <v>63</v>
      </c>
      <c r="L1034" s="2" t="s">
        <v>10169</v>
      </c>
      <c r="M1034" s="2" t="s">
        <v>10170</v>
      </c>
      <c r="N1034" s="3" t="s">
        <v>149</v>
      </c>
      <c r="P1034" s="3" t="s">
        <v>65</v>
      </c>
      <c r="Q1034" s="2" t="s">
        <v>10171</v>
      </c>
      <c r="R1034" s="3" t="s">
        <v>66</v>
      </c>
      <c r="S1034" s="4">
        <v>1</v>
      </c>
      <c r="T1034" s="4">
        <v>1</v>
      </c>
      <c r="U1034" s="5" t="s">
        <v>10172</v>
      </c>
      <c r="V1034" s="5" t="s">
        <v>10172</v>
      </c>
      <c r="W1034" s="5" t="s">
        <v>67</v>
      </c>
      <c r="X1034" s="5" t="s">
        <v>67</v>
      </c>
      <c r="Y1034" s="4">
        <v>53</v>
      </c>
      <c r="Z1034" s="4">
        <v>7</v>
      </c>
      <c r="AA1034" s="4">
        <v>9</v>
      </c>
      <c r="AB1034" s="4">
        <v>2</v>
      </c>
      <c r="AC1034" s="4">
        <v>4</v>
      </c>
      <c r="AD1034" s="4">
        <v>10</v>
      </c>
      <c r="AE1034" s="4">
        <v>12</v>
      </c>
      <c r="AF1034" s="4">
        <v>1</v>
      </c>
      <c r="AG1034" s="4">
        <v>3</v>
      </c>
      <c r="AH1034" s="4">
        <v>5</v>
      </c>
      <c r="AI1034" s="4">
        <v>6</v>
      </c>
      <c r="AJ1034" s="4">
        <v>3</v>
      </c>
      <c r="AK1034" s="4">
        <v>5</v>
      </c>
      <c r="AL1034" s="4">
        <v>2</v>
      </c>
      <c r="AM1034" s="4">
        <v>2</v>
      </c>
      <c r="AN1034" s="4">
        <v>0</v>
      </c>
      <c r="AO1034" s="4">
        <v>0</v>
      </c>
      <c r="AP1034" s="4">
        <v>6</v>
      </c>
      <c r="AQ1034" s="4">
        <v>8</v>
      </c>
      <c r="AR1034" s="3" t="s">
        <v>62</v>
      </c>
      <c r="AS1034" s="3" t="s">
        <v>62</v>
      </c>
      <c r="AT1034" s="3" t="s">
        <v>62</v>
      </c>
      <c r="AV1034" s="6" t="str">
        <f>HYPERLINK("http://mcgill.on.worldcat.org/oclc/617565352","Catalog Record")</f>
        <v>Catalog Record</v>
      </c>
      <c r="AW1034" s="6" t="str">
        <f>HYPERLINK("http://www.worldcat.org/oclc/617565352","WorldCat Record")</f>
        <v>WorldCat Record</v>
      </c>
      <c r="AX1034" s="3" t="s">
        <v>10173</v>
      </c>
      <c r="AY1034" s="3" t="s">
        <v>10174</v>
      </c>
      <c r="AZ1034" s="3" t="s">
        <v>10175</v>
      </c>
      <c r="BA1034" s="3" t="s">
        <v>10175</v>
      </c>
      <c r="BB1034" s="3" t="s">
        <v>10176</v>
      </c>
      <c r="BC1034" s="3" t="s">
        <v>142</v>
      </c>
      <c r="BD1034" s="3" t="s">
        <v>68</v>
      </c>
      <c r="BE1034" s="3" t="s">
        <v>10177</v>
      </c>
      <c r="BF1034" s="3" t="s">
        <v>10176</v>
      </c>
      <c r="BG1034" s="3" t="s">
        <v>10178</v>
      </c>
    </row>
    <row r="1035" spans="1:59" ht="57" x14ac:dyDescent="0.45">
      <c r="A1035" s="2" t="s">
        <v>59</v>
      </c>
      <c r="B1035" s="2" t="s">
        <v>60</v>
      </c>
      <c r="C1035" s="2" t="s">
        <v>10179</v>
      </c>
      <c r="D1035" s="2" t="s">
        <v>10180</v>
      </c>
      <c r="E1035" s="2" t="s">
        <v>10181</v>
      </c>
      <c r="G1035" s="3" t="s">
        <v>62</v>
      </c>
      <c r="I1035" s="3" t="s">
        <v>62</v>
      </c>
      <c r="J1035" s="3" t="s">
        <v>62</v>
      </c>
      <c r="K1035" s="3" t="s">
        <v>63</v>
      </c>
      <c r="M1035" s="2" t="s">
        <v>9944</v>
      </c>
      <c r="N1035" s="3" t="s">
        <v>1465</v>
      </c>
      <c r="P1035" s="3" t="s">
        <v>65</v>
      </c>
      <c r="R1035" s="3" t="s">
        <v>66</v>
      </c>
      <c r="S1035" s="4">
        <v>4</v>
      </c>
      <c r="T1035" s="4">
        <v>4</v>
      </c>
      <c r="U1035" s="5" t="s">
        <v>10159</v>
      </c>
      <c r="V1035" s="5" t="s">
        <v>10159</v>
      </c>
      <c r="W1035" s="5" t="s">
        <v>67</v>
      </c>
      <c r="X1035" s="5" t="s">
        <v>67</v>
      </c>
      <c r="Y1035" s="4">
        <v>273</v>
      </c>
      <c r="Z1035" s="4">
        <v>21</v>
      </c>
      <c r="AA1035" s="4">
        <v>87</v>
      </c>
      <c r="AB1035" s="4">
        <v>3</v>
      </c>
      <c r="AC1035" s="4">
        <v>16</v>
      </c>
      <c r="AD1035" s="4">
        <v>65</v>
      </c>
      <c r="AE1035" s="4">
        <v>115</v>
      </c>
      <c r="AF1035" s="4">
        <v>1</v>
      </c>
      <c r="AG1035" s="4">
        <v>8</v>
      </c>
      <c r="AH1035" s="4">
        <v>57</v>
      </c>
      <c r="AI1035" s="4">
        <v>80</v>
      </c>
      <c r="AJ1035" s="4">
        <v>12</v>
      </c>
      <c r="AK1035" s="4">
        <v>23</v>
      </c>
      <c r="AL1035" s="4">
        <v>32</v>
      </c>
      <c r="AM1035" s="4">
        <v>41</v>
      </c>
      <c r="AN1035" s="4">
        <v>0</v>
      </c>
      <c r="AO1035" s="4">
        <v>0</v>
      </c>
      <c r="AP1035" s="4">
        <v>14</v>
      </c>
      <c r="AQ1035" s="4">
        <v>44</v>
      </c>
      <c r="AR1035" s="3" t="s">
        <v>62</v>
      </c>
      <c r="AS1035" s="3" t="s">
        <v>62</v>
      </c>
      <c r="AT1035" s="3" t="s">
        <v>62</v>
      </c>
      <c r="AV1035" s="6" t="str">
        <f>HYPERLINK("http://mcgill.on.worldcat.org/oclc/297146904","Catalog Record")</f>
        <v>Catalog Record</v>
      </c>
      <c r="AW1035" s="6" t="str">
        <f>HYPERLINK("http://www.worldcat.org/oclc/297146904","WorldCat Record")</f>
        <v>WorldCat Record</v>
      </c>
      <c r="AX1035" s="3" t="s">
        <v>10182</v>
      </c>
      <c r="AY1035" s="3" t="s">
        <v>10183</v>
      </c>
      <c r="AZ1035" s="3" t="s">
        <v>10184</v>
      </c>
      <c r="BA1035" s="3" t="s">
        <v>10184</v>
      </c>
      <c r="BB1035" s="3" t="s">
        <v>10185</v>
      </c>
      <c r="BC1035" s="3" t="s">
        <v>142</v>
      </c>
      <c r="BD1035" s="3" t="s">
        <v>68</v>
      </c>
      <c r="BE1035" s="3" t="s">
        <v>10186</v>
      </c>
      <c r="BF1035" s="3" t="s">
        <v>10185</v>
      </c>
      <c r="BG1035" s="3" t="s">
        <v>10187</v>
      </c>
    </row>
    <row r="1036" spans="1:59" ht="57" x14ac:dyDescent="0.45">
      <c r="A1036" s="2" t="s">
        <v>59</v>
      </c>
      <c r="B1036" s="2" t="s">
        <v>412</v>
      </c>
      <c r="C1036" s="2" t="s">
        <v>10188</v>
      </c>
      <c r="D1036" s="2" t="s">
        <v>10189</v>
      </c>
      <c r="E1036" s="2" t="s">
        <v>10190</v>
      </c>
      <c r="G1036" s="3" t="s">
        <v>62</v>
      </c>
      <c r="I1036" s="3" t="s">
        <v>62</v>
      </c>
      <c r="J1036" s="3" t="s">
        <v>62</v>
      </c>
      <c r="K1036" s="3" t="s">
        <v>63</v>
      </c>
      <c r="M1036" s="2" t="s">
        <v>10191</v>
      </c>
      <c r="N1036" s="3" t="s">
        <v>1478</v>
      </c>
      <c r="P1036" s="3" t="s">
        <v>65</v>
      </c>
      <c r="R1036" s="3" t="s">
        <v>66</v>
      </c>
      <c r="S1036" s="4">
        <v>24</v>
      </c>
      <c r="T1036" s="4">
        <v>24</v>
      </c>
      <c r="U1036" s="5" t="s">
        <v>10159</v>
      </c>
      <c r="V1036" s="5" t="s">
        <v>10159</v>
      </c>
      <c r="W1036" s="5" t="s">
        <v>67</v>
      </c>
      <c r="X1036" s="5" t="s">
        <v>67</v>
      </c>
      <c r="Y1036" s="4">
        <v>180</v>
      </c>
      <c r="Z1036" s="4">
        <v>7</v>
      </c>
      <c r="AA1036" s="4">
        <v>8</v>
      </c>
      <c r="AB1036" s="4">
        <v>2</v>
      </c>
      <c r="AC1036" s="4">
        <v>3</v>
      </c>
      <c r="AD1036" s="4">
        <v>57</v>
      </c>
      <c r="AE1036" s="4">
        <v>58</v>
      </c>
      <c r="AF1036" s="4">
        <v>1</v>
      </c>
      <c r="AG1036" s="4">
        <v>2</v>
      </c>
      <c r="AH1036" s="4">
        <v>54</v>
      </c>
      <c r="AI1036" s="4">
        <v>54</v>
      </c>
      <c r="AJ1036" s="4">
        <v>6</v>
      </c>
      <c r="AK1036" s="4">
        <v>7</v>
      </c>
      <c r="AL1036" s="4">
        <v>24</v>
      </c>
      <c r="AM1036" s="4">
        <v>24</v>
      </c>
      <c r="AN1036" s="4">
        <v>0</v>
      </c>
      <c r="AO1036" s="4">
        <v>0</v>
      </c>
      <c r="AP1036" s="4">
        <v>6</v>
      </c>
      <c r="AQ1036" s="4">
        <v>7</v>
      </c>
      <c r="AR1036" s="3" t="s">
        <v>62</v>
      </c>
      <c r="AS1036" s="3" t="s">
        <v>62</v>
      </c>
      <c r="AT1036" s="3" t="s">
        <v>61</v>
      </c>
      <c r="AU1036" s="6" t="str">
        <f>HYPERLINK("http://catalog.hathitrust.org/Record/003948681","HathiTrust Record")</f>
        <v>HathiTrust Record</v>
      </c>
      <c r="AV1036" s="6" t="str">
        <f>HYPERLINK("http://mcgill.on.worldcat.org/oclc/35096113","Catalog Record")</f>
        <v>Catalog Record</v>
      </c>
      <c r="AW1036" s="6" t="str">
        <f>HYPERLINK("http://www.worldcat.org/oclc/35096113","WorldCat Record")</f>
        <v>WorldCat Record</v>
      </c>
      <c r="AX1036" s="3" t="s">
        <v>10192</v>
      </c>
      <c r="AY1036" s="3" t="s">
        <v>10193</v>
      </c>
      <c r="AZ1036" s="3" t="s">
        <v>10194</v>
      </c>
      <c r="BA1036" s="3" t="s">
        <v>10194</v>
      </c>
      <c r="BB1036" s="3" t="s">
        <v>10195</v>
      </c>
      <c r="BC1036" s="3" t="s">
        <v>142</v>
      </c>
      <c r="BD1036" s="3" t="s">
        <v>308</v>
      </c>
      <c r="BE1036" s="3" t="s">
        <v>10196</v>
      </c>
      <c r="BF1036" s="3" t="s">
        <v>10195</v>
      </c>
      <c r="BG1036" s="3" t="s">
        <v>10197</v>
      </c>
    </row>
    <row r="1037" spans="1:59" ht="57" x14ac:dyDescent="0.45">
      <c r="A1037" s="2" t="s">
        <v>59</v>
      </c>
      <c r="B1037" s="2" t="s">
        <v>60</v>
      </c>
      <c r="C1037" s="2" t="s">
        <v>10198</v>
      </c>
      <c r="D1037" s="2" t="s">
        <v>10199</v>
      </c>
      <c r="E1037" s="2" t="s">
        <v>10200</v>
      </c>
      <c r="G1037" s="3" t="s">
        <v>62</v>
      </c>
      <c r="I1037" s="3" t="s">
        <v>62</v>
      </c>
      <c r="J1037" s="3" t="s">
        <v>62</v>
      </c>
      <c r="K1037" s="3" t="s">
        <v>63</v>
      </c>
      <c r="L1037" s="2" t="s">
        <v>10201</v>
      </c>
      <c r="M1037" s="2" t="s">
        <v>10202</v>
      </c>
      <c r="N1037" s="3" t="s">
        <v>116</v>
      </c>
      <c r="P1037" s="3" t="s">
        <v>65</v>
      </c>
      <c r="Q1037" s="2" t="s">
        <v>10203</v>
      </c>
      <c r="R1037" s="3" t="s">
        <v>66</v>
      </c>
      <c r="S1037" s="4">
        <v>5</v>
      </c>
      <c r="T1037" s="4">
        <v>5</v>
      </c>
      <c r="U1037" s="5" t="s">
        <v>10204</v>
      </c>
      <c r="V1037" s="5" t="s">
        <v>10204</v>
      </c>
      <c r="W1037" s="5" t="s">
        <v>67</v>
      </c>
      <c r="X1037" s="5" t="s">
        <v>67</v>
      </c>
      <c r="Y1037" s="4">
        <v>82</v>
      </c>
      <c r="Z1037" s="4">
        <v>6</v>
      </c>
      <c r="AA1037" s="4">
        <v>38</v>
      </c>
      <c r="AB1037" s="4">
        <v>1</v>
      </c>
      <c r="AC1037" s="4">
        <v>5</v>
      </c>
      <c r="AD1037" s="4">
        <v>14</v>
      </c>
      <c r="AE1037" s="4">
        <v>30</v>
      </c>
      <c r="AF1037" s="4">
        <v>0</v>
      </c>
      <c r="AG1037" s="4">
        <v>1</v>
      </c>
      <c r="AH1037" s="4">
        <v>12</v>
      </c>
      <c r="AI1037" s="4">
        <v>18</v>
      </c>
      <c r="AJ1037" s="4">
        <v>3</v>
      </c>
      <c r="AK1037" s="4">
        <v>7</v>
      </c>
      <c r="AL1037" s="4">
        <v>5</v>
      </c>
      <c r="AM1037" s="4">
        <v>9</v>
      </c>
      <c r="AN1037" s="4">
        <v>0</v>
      </c>
      <c r="AO1037" s="4">
        <v>0</v>
      </c>
      <c r="AP1037" s="4">
        <v>4</v>
      </c>
      <c r="AQ1037" s="4">
        <v>12</v>
      </c>
      <c r="AR1037" s="3" t="s">
        <v>62</v>
      </c>
      <c r="AS1037" s="3" t="s">
        <v>62</v>
      </c>
      <c r="AT1037" s="3" t="s">
        <v>62</v>
      </c>
      <c r="AV1037" s="6" t="str">
        <f>HYPERLINK("http://mcgill.on.worldcat.org/oclc/811600504","Catalog Record")</f>
        <v>Catalog Record</v>
      </c>
      <c r="AW1037" s="6" t="str">
        <f>HYPERLINK("http://www.worldcat.org/oclc/811600504","WorldCat Record")</f>
        <v>WorldCat Record</v>
      </c>
      <c r="AX1037" s="3" t="s">
        <v>10205</v>
      </c>
      <c r="AY1037" s="3" t="s">
        <v>10206</v>
      </c>
      <c r="AZ1037" s="3" t="s">
        <v>10207</v>
      </c>
      <c r="BA1037" s="3" t="s">
        <v>10207</v>
      </c>
      <c r="BB1037" s="3" t="s">
        <v>10208</v>
      </c>
      <c r="BC1037" s="3" t="s">
        <v>142</v>
      </c>
      <c r="BD1037" s="3" t="s">
        <v>68</v>
      </c>
      <c r="BE1037" s="3" t="s">
        <v>10209</v>
      </c>
      <c r="BF1037" s="3" t="s">
        <v>10208</v>
      </c>
      <c r="BG1037" s="3" t="s">
        <v>10210</v>
      </c>
    </row>
    <row r="1038" spans="1:59" ht="57" x14ac:dyDescent="0.45">
      <c r="A1038" s="2" t="s">
        <v>59</v>
      </c>
      <c r="B1038" s="2" t="s">
        <v>60</v>
      </c>
      <c r="C1038" s="2" t="s">
        <v>10211</v>
      </c>
      <c r="D1038" s="2" t="s">
        <v>10212</v>
      </c>
      <c r="E1038" s="2" t="s">
        <v>10213</v>
      </c>
      <c r="G1038" s="3" t="s">
        <v>62</v>
      </c>
      <c r="I1038" s="3" t="s">
        <v>62</v>
      </c>
      <c r="J1038" s="3" t="s">
        <v>62</v>
      </c>
      <c r="K1038" s="3" t="s">
        <v>63</v>
      </c>
      <c r="M1038" s="2" t="s">
        <v>9988</v>
      </c>
      <c r="N1038" s="3" t="s">
        <v>1155</v>
      </c>
      <c r="P1038" s="3" t="s">
        <v>65</v>
      </c>
      <c r="R1038" s="3" t="s">
        <v>66</v>
      </c>
      <c r="S1038" s="4">
        <v>0</v>
      </c>
      <c r="T1038" s="4">
        <v>0</v>
      </c>
      <c r="W1038" s="5" t="s">
        <v>67</v>
      </c>
      <c r="X1038" s="5" t="s">
        <v>67</v>
      </c>
      <c r="Y1038" s="4">
        <v>28</v>
      </c>
      <c r="Z1038" s="4">
        <v>6</v>
      </c>
      <c r="AA1038" s="4">
        <v>74</v>
      </c>
      <c r="AB1038" s="4">
        <v>1</v>
      </c>
      <c r="AC1038" s="4">
        <v>14</v>
      </c>
      <c r="AD1038" s="4">
        <v>9</v>
      </c>
      <c r="AE1038" s="4">
        <v>77</v>
      </c>
      <c r="AF1038" s="4">
        <v>0</v>
      </c>
      <c r="AG1038" s="4">
        <v>8</v>
      </c>
      <c r="AH1038" s="4">
        <v>8</v>
      </c>
      <c r="AI1038" s="4">
        <v>46</v>
      </c>
      <c r="AJ1038" s="4">
        <v>4</v>
      </c>
      <c r="AK1038" s="4">
        <v>17</v>
      </c>
      <c r="AL1038" s="4">
        <v>4</v>
      </c>
      <c r="AM1038" s="4">
        <v>22</v>
      </c>
      <c r="AN1038" s="4">
        <v>0</v>
      </c>
      <c r="AO1038" s="4">
        <v>0</v>
      </c>
      <c r="AP1038" s="4">
        <v>4</v>
      </c>
      <c r="AQ1038" s="4">
        <v>38</v>
      </c>
      <c r="AR1038" s="3" t="s">
        <v>62</v>
      </c>
      <c r="AS1038" s="3" t="s">
        <v>62</v>
      </c>
      <c r="AT1038" s="3" t="s">
        <v>62</v>
      </c>
      <c r="AV1038" s="6" t="str">
        <f>HYPERLINK("http://mcgill.on.worldcat.org/oclc/772000748","Catalog Record")</f>
        <v>Catalog Record</v>
      </c>
      <c r="AW1038" s="6" t="str">
        <f>HYPERLINK("http://www.worldcat.org/oclc/772000748","WorldCat Record")</f>
        <v>WorldCat Record</v>
      </c>
      <c r="AX1038" s="3" t="s">
        <v>10214</v>
      </c>
      <c r="AY1038" s="3" t="s">
        <v>10215</v>
      </c>
      <c r="AZ1038" s="3" t="s">
        <v>10216</v>
      </c>
      <c r="BA1038" s="3" t="s">
        <v>10216</v>
      </c>
      <c r="BB1038" s="3" t="s">
        <v>10217</v>
      </c>
      <c r="BC1038" s="3" t="s">
        <v>142</v>
      </c>
      <c r="BD1038" s="3" t="s">
        <v>68</v>
      </c>
      <c r="BE1038" s="3" t="s">
        <v>10218</v>
      </c>
      <c r="BF1038" s="3" t="s">
        <v>10217</v>
      </c>
      <c r="BG1038" s="3" t="s">
        <v>10219</v>
      </c>
    </row>
    <row r="1039" spans="1:59" ht="57" x14ac:dyDescent="0.45">
      <c r="A1039" s="2" t="s">
        <v>59</v>
      </c>
      <c r="B1039" s="2" t="s">
        <v>60</v>
      </c>
      <c r="C1039" s="2" t="s">
        <v>10220</v>
      </c>
      <c r="D1039" s="2" t="s">
        <v>10221</v>
      </c>
      <c r="E1039" s="2" t="s">
        <v>10222</v>
      </c>
      <c r="G1039" s="3" t="s">
        <v>62</v>
      </c>
      <c r="I1039" s="3" t="s">
        <v>62</v>
      </c>
      <c r="J1039" s="3" t="s">
        <v>62</v>
      </c>
      <c r="K1039" s="3" t="s">
        <v>63</v>
      </c>
      <c r="L1039" s="2" t="s">
        <v>10223</v>
      </c>
      <c r="M1039" s="2" t="s">
        <v>10224</v>
      </c>
      <c r="N1039" s="3" t="s">
        <v>1155</v>
      </c>
      <c r="P1039" s="3" t="s">
        <v>65</v>
      </c>
      <c r="R1039" s="3" t="s">
        <v>66</v>
      </c>
      <c r="S1039" s="4">
        <v>2</v>
      </c>
      <c r="T1039" s="4">
        <v>2</v>
      </c>
      <c r="U1039" s="5" t="s">
        <v>6222</v>
      </c>
      <c r="V1039" s="5" t="s">
        <v>6222</v>
      </c>
      <c r="W1039" s="5" t="s">
        <v>67</v>
      </c>
      <c r="X1039" s="5" t="s">
        <v>67</v>
      </c>
      <c r="Y1039" s="4">
        <v>122</v>
      </c>
      <c r="Z1039" s="4">
        <v>13</v>
      </c>
      <c r="AA1039" s="4">
        <v>47</v>
      </c>
      <c r="AB1039" s="4">
        <v>1</v>
      </c>
      <c r="AC1039" s="4">
        <v>6</v>
      </c>
      <c r="AD1039" s="4">
        <v>44</v>
      </c>
      <c r="AE1039" s="4">
        <v>60</v>
      </c>
      <c r="AF1039" s="4">
        <v>0</v>
      </c>
      <c r="AG1039" s="4">
        <v>2</v>
      </c>
      <c r="AH1039" s="4">
        <v>37</v>
      </c>
      <c r="AI1039" s="4">
        <v>42</v>
      </c>
      <c r="AJ1039" s="4">
        <v>7</v>
      </c>
      <c r="AK1039" s="4">
        <v>13</v>
      </c>
      <c r="AL1039" s="4">
        <v>20</v>
      </c>
      <c r="AM1039" s="4">
        <v>23</v>
      </c>
      <c r="AN1039" s="4">
        <v>0</v>
      </c>
      <c r="AO1039" s="4">
        <v>0</v>
      </c>
      <c r="AP1039" s="4">
        <v>9</v>
      </c>
      <c r="AQ1039" s="4">
        <v>20</v>
      </c>
      <c r="AR1039" s="3" t="s">
        <v>62</v>
      </c>
      <c r="AS1039" s="3" t="s">
        <v>62</v>
      </c>
      <c r="AT1039" s="3" t="s">
        <v>62</v>
      </c>
      <c r="AV1039" s="6" t="str">
        <f>HYPERLINK("http://mcgill.on.worldcat.org/oclc/666235261","Catalog Record")</f>
        <v>Catalog Record</v>
      </c>
      <c r="AW1039" s="6" t="str">
        <f>HYPERLINK("http://www.worldcat.org/oclc/666235261","WorldCat Record")</f>
        <v>WorldCat Record</v>
      </c>
      <c r="AX1039" s="3" t="s">
        <v>10225</v>
      </c>
      <c r="AY1039" s="3" t="s">
        <v>10226</v>
      </c>
      <c r="AZ1039" s="3" t="s">
        <v>10227</v>
      </c>
      <c r="BA1039" s="3" t="s">
        <v>10227</v>
      </c>
      <c r="BB1039" s="3" t="s">
        <v>10228</v>
      </c>
      <c r="BC1039" s="3" t="s">
        <v>142</v>
      </c>
      <c r="BD1039" s="3" t="s">
        <v>68</v>
      </c>
      <c r="BE1039" s="3" t="s">
        <v>10229</v>
      </c>
      <c r="BF1039" s="3" t="s">
        <v>10228</v>
      </c>
      <c r="BG1039" s="3" t="s">
        <v>10230</v>
      </c>
    </row>
    <row r="1040" spans="1:59" ht="57" x14ac:dyDescent="0.45">
      <c r="A1040" s="2" t="s">
        <v>59</v>
      </c>
      <c r="B1040" s="2" t="s">
        <v>60</v>
      </c>
      <c r="C1040" s="2" t="s">
        <v>10231</v>
      </c>
      <c r="D1040" s="2" t="s">
        <v>10232</v>
      </c>
      <c r="E1040" s="2" t="s">
        <v>10233</v>
      </c>
      <c r="G1040" s="3" t="s">
        <v>62</v>
      </c>
      <c r="I1040" s="3" t="s">
        <v>62</v>
      </c>
      <c r="J1040" s="3" t="s">
        <v>62</v>
      </c>
      <c r="K1040" s="3" t="s">
        <v>63</v>
      </c>
      <c r="L1040" s="2" t="s">
        <v>7219</v>
      </c>
      <c r="M1040" s="2" t="s">
        <v>10234</v>
      </c>
      <c r="N1040" s="3" t="s">
        <v>1155</v>
      </c>
      <c r="O1040" s="2" t="s">
        <v>168</v>
      </c>
      <c r="P1040" s="3" t="s">
        <v>65</v>
      </c>
      <c r="Q1040" s="2" t="s">
        <v>7221</v>
      </c>
      <c r="R1040" s="3" t="s">
        <v>66</v>
      </c>
      <c r="S1040" s="4">
        <v>3</v>
      </c>
      <c r="T1040" s="4">
        <v>3</v>
      </c>
      <c r="U1040" s="5" t="s">
        <v>10159</v>
      </c>
      <c r="V1040" s="5" t="s">
        <v>10159</v>
      </c>
      <c r="W1040" s="5" t="s">
        <v>67</v>
      </c>
      <c r="X1040" s="5" t="s">
        <v>67</v>
      </c>
      <c r="Y1040" s="4">
        <v>135</v>
      </c>
      <c r="Z1040" s="4">
        <v>15</v>
      </c>
      <c r="AA1040" s="4">
        <v>25</v>
      </c>
      <c r="AB1040" s="4">
        <v>2</v>
      </c>
      <c r="AC1040" s="4">
        <v>8</v>
      </c>
      <c r="AD1040" s="4">
        <v>33</v>
      </c>
      <c r="AE1040" s="4">
        <v>44</v>
      </c>
      <c r="AF1040" s="4">
        <v>1</v>
      </c>
      <c r="AG1040" s="4">
        <v>4</v>
      </c>
      <c r="AH1040" s="4">
        <v>28</v>
      </c>
      <c r="AI1040" s="4">
        <v>35</v>
      </c>
      <c r="AJ1040" s="4">
        <v>9</v>
      </c>
      <c r="AK1040" s="4">
        <v>13</v>
      </c>
      <c r="AL1040" s="4">
        <v>14</v>
      </c>
      <c r="AM1040" s="4">
        <v>15</v>
      </c>
      <c r="AN1040" s="4">
        <v>0</v>
      </c>
      <c r="AO1040" s="4">
        <v>0</v>
      </c>
      <c r="AP1040" s="4">
        <v>10</v>
      </c>
      <c r="AQ1040" s="4">
        <v>15</v>
      </c>
      <c r="AR1040" s="3" t="s">
        <v>62</v>
      </c>
      <c r="AS1040" s="3" t="s">
        <v>62</v>
      </c>
      <c r="AT1040" s="3" t="s">
        <v>62</v>
      </c>
      <c r="AV1040" s="6" t="str">
        <f>HYPERLINK("http://mcgill.on.worldcat.org/oclc/548660308","Catalog Record")</f>
        <v>Catalog Record</v>
      </c>
      <c r="AW1040" s="6" t="str">
        <f>HYPERLINK("http://www.worldcat.org/oclc/548660308","WorldCat Record")</f>
        <v>WorldCat Record</v>
      </c>
      <c r="AX1040" s="3" t="s">
        <v>10235</v>
      </c>
      <c r="AY1040" s="3" t="s">
        <v>10236</v>
      </c>
      <c r="AZ1040" s="3" t="s">
        <v>10237</v>
      </c>
      <c r="BA1040" s="3" t="s">
        <v>10237</v>
      </c>
      <c r="BB1040" s="3" t="s">
        <v>10238</v>
      </c>
      <c r="BC1040" s="3" t="s">
        <v>142</v>
      </c>
      <c r="BD1040" s="3" t="s">
        <v>68</v>
      </c>
      <c r="BE1040" s="3" t="s">
        <v>10239</v>
      </c>
      <c r="BF1040" s="3" t="s">
        <v>10238</v>
      </c>
      <c r="BG1040" s="3" t="s">
        <v>10240</v>
      </c>
    </row>
    <row r="1041" spans="1:59" ht="57" x14ac:dyDescent="0.45">
      <c r="A1041" s="2" t="s">
        <v>59</v>
      </c>
      <c r="B1041" s="2" t="s">
        <v>60</v>
      </c>
      <c r="C1041" s="2" t="s">
        <v>10241</v>
      </c>
      <c r="D1041" s="2" t="s">
        <v>10242</v>
      </c>
      <c r="E1041" s="2" t="s">
        <v>10243</v>
      </c>
      <c r="G1041" s="3" t="s">
        <v>62</v>
      </c>
      <c r="I1041" s="3" t="s">
        <v>62</v>
      </c>
      <c r="J1041" s="3" t="s">
        <v>62</v>
      </c>
      <c r="K1041" s="3" t="s">
        <v>63</v>
      </c>
      <c r="M1041" s="2" t="s">
        <v>10244</v>
      </c>
      <c r="N1041" s="3" t="s">
        <v>894</v>
      </c>
      <c r="P1041" s="3" t="s">
        <v>65</v>
      </c>
      <c r="Q1041" s="2" t="s">
        <v>10245</v>
      </c>
      <c r="R1041" s="3" t="s">
        <v>66</v>
      </c>
      <c r="S1041" s="4">
        <v>2</v>
      </c>
      <c r="T1041" s="4">
        <v>2</v>
      </c>
      <c r="U1041" s="5" t="s">
        <v>10246</v>
      </c>
      <c r="V1041" s="5" t="s">
        <v>10246</v>
      </c>
      <c r="W1041" s="5" t="s">
        <v>67</v>
      </c>
      <c r="X1041" s="5" t="s">
        <v>67</v>
      </c>
      <c r="Y1041" s="4">
        <v>54</v>
      </c>
      <c r="Z1041" s="4">
        <v>12</v>
      </c>
      <c r="AA1041" s="4">
        <v>48</v>
      </c>
      <c r="AB1041" s="4">
        <v>1</v>
      </c>
      <c r="AC1041" s="4">
        <v>10</v>
      </c>
      <c r="AD1041" s="4">
        <v>27</v>
      </c>
      <c r="AE1041" s="4">
        <v>43</v>
      </c>
      <c r="AF1041" s="4">
        <v>0</v>
      </c>
      <c r="AG1041" s="4">
        <v>3</v>
      </c>
      <c r="AH1041" s="4">
        <v>24</v>
      </c>
      <c r="AI1041" s="4">
        <v>31</v>
      </c>
      <c r="AJ1041" s="4">
        <v>7</v>
      </c>
      <c r="AK1041" s="4">
        <v>11</v>
      </c>
      <c r="AL1041" s="4">
        <v>15</v>
      </c>
      <c r="AM1041" s="4">
        <v>19</v>
      </c>
      <c r="AN1041" s="4">
        <v>0</v>
      </c>
      <c r="AO1041" s="4">
        <v>0</v>
      </c>
      <c r="AP1041" s="4">
        <v>9</v>
      </c>
      <c r="AQ1041" s="4">
        <v>19</v>
      </c>
      <c r="AR1041" s="3" t="s">
        <v>62</v>
      </c>
      <c r="AS1041" s="3" t="s">
        <v>62</v>
      </c>
      <c r="AT1041" s="3" t="s">
        <v>62</v>
      </c>
      <c r="AV1041" s="6" t="str">
        <f>HYPERLINK("http://mcgill.on.worldcat.org/oclc/732499574","Catalog Record")</f>
        <v>Catalog Record</v>
      </c>
      <c r="AW1041" s="6" t="str">
        <f>HYPERLINK("http://www.worldcat.org/oclc/732499574","WorldCat Record")</f>
        <v>WorldCat Record</v>
      </c>
      <c r="AX1041" s="3" t="s">
        <v>10247</v>
      </c>
      <c r="AY1041" s="3" t="s">
        <v>10248</v>
      </c>
      <c r="AZ1041" s="3" t="s">
        <v>10249</v>
      </c>
      <c r="BA1041" s="3" t="s">
        <v>10249</v>
      </c>
      <c r="BB1041" s="3" t="s">
        <v>10250</v>
      </c>
      <c r="BC1041" s="3" t="s">
        <v>142</v>
      </c>
      <c r="BD1041" s="3" t="s">
        <v>68</v>
      </c>
      <c r="BE1041" s="3" t="s">
        <v>10251</v>
      </c>
      <c r="BF1041" s="3" t="s">
        <v>10250</v>
      </c>
      <c r="BG1041" s="3" t="s">
        <v>10252</v>
      </c>
    </row>
    <row r="1042" spans="1:59" ht="57" x14ac:dyDescent="0.45">
      <c r="A1042" s="2" t="s">
        <v>59</v>
      </c>
      <c r="B1042" s="2" t="s">
        <v>60</v>
      </c>
      <c r="C1042" s="2" t="s">
        <v>10253</v>
      </c>
      <c r="D1042" s="2" t="s">
        <v>10254</v>
      </c>
      <c r="E1042" s="2" t="s">
        <v>10255</v>
      </c>
      <c r="G1042" s="3" t="s">
        <v>62</v>
      </c>
      <c r="I1042" s="3" t="s">
        <v>62</v>
      </c>
      <c r="J1042" s="3" t="s">
        <v>62</v>
      </c>
      <c r="K1042" s="3" t="s">
        <v>63</v>
      </c>
      <c r="M1042" s="2" t="s">
        <v>10256</v>
      </c>
      <c r="N1042" s="3" t="s">
        <v>1688</v>
      </c>
      <c r="P1042" s="3" t="s">
        <v>65</v>
      </c>
      <c r="Q1042" s="2" t="s">
        <v>10257</v>
      </c>
      <c r="R1042" s="3" t="s">
        <v>66</v>
      </c>
      <c r="S1042" s="4">
        <v>2</v>
      </c>
      <c r="T1042" s="4">
        <v>2</v>
      </c>
      <c r="U1042" s="5" t="s">
        <v>10258</v>
      </c>
      <c r="V1042" s="5" t="s">
        <v>10258</v>
      </c>
      <c r="W1042" s="5" t="s">
        <v>67</v>
      </c>
      <c r="X1042" s="5" t="s">
        <v>67</v>
      </c>
      <c r="Y1042" s="4">
        <v>45</v>
      </c>
      <c r="Z1042" s="4">
        <v>4</v>
      </c>
      <c r="AA1042" s="4">
        <v>75</v>
      </c>
      <c r="AB1042" s="4">
        <v>1</v>
      </c>
      <c r="AC1042" s="4">
        <v>16</v>
      </c>
      <c r="AD1042" s="4">
        <v>9</v>
      </c>
      <c r="AE1042" s="4">
        <v>98</v>
      </c>
      <c r="AF1042" s="4">
        <v>0</v>
      </c>
      <c r="AG1042" s="4">
        <v>8</v>
      </c>
      <c r="AH1042" s="4">
        <v>9</v>
      </c>
      <c r="AI1042" s="4">
        <v>67</v>
      </c>
      <c r="AJ1042" s="4">
        <v>3</v>
      </c>
      <c r="AK1042" s="4">
        <v>20</v>
      </c>
      <c r="AL1042" s="4">
        <v>4</v>
      </c>
      <c r="AM1042" s="4">
        <v>33</v>
      </c>
      <c r="AN1042" s="4">
        <v>0</v>
      </c>
      <c r="AO1042" s="4">
        <v>0</v>
      </c>
      <c r="AP1042" s="4">
        <v>3</v>
      </c>
      <c r="AQ1042" s="4">
        <v>39</v>
      </c>
      <c r="AR1042" s="3" t="s">
        <v>62</v>
      </c>
      <c r="AS1042" s="3" t="s">
        <v>62</v>
      </c>
      <c r="AT1042" s="3" t="s">
        <v>62</v>
      </c>
      <c r="AV1042" s="6" t="str">
        <f>HYPERLINK("http://mcgill.on.worldcat.org/oclc/792875909","Catalog Record")</f>
        <v>Catalog Record</v>
      </c>
      <c r="AW1042" s="6" t="str">
        <f>HYPERLINK("http://www.worldcat.org/oclc/792875909","WorldCat Record")</f>
        <v>WorldCat Record</v>
      </c>
      <c r="AX1042" s="3" t="s">
        <v>10259</v>
      </c>
      <c r="AY1042" s="3" t="s">
        <v>10260</v>
      </c>
      <c r="AZ1042" s="3" t="s">
        <v>10261</v>
      </c>
      <c r="BA1042" s="3" t="s">
        <v>10261</v>
      </c>
      <c r="BB1042" s="3" t="s">
        <v>10262</v>
      </c>
      <c r="BC1042" s="3" t="s">
        <v>142</v>
      </c>
      <c r="BD1042" s="3" t="s">
        <v>68</v>
      </c>
      <c r="BE1042" s="3" t="s">
        <v>10263</v>
      </c>
      <c r="BF1042" s="3" t="s">
        <v>10262</v>
      </c>
      <c r="BG1042" s="3" t="s">
        <v>10264</v>
      </c>
    </row>
    <row r="1043" spans="1:59" ht="57" x14ac:dyDescent="0.45">
      <c r="A1043" s="2" t="s">
        <v>59</v>
      </c>
      <c r="B1043" s="2" t="s">
        <v>412</v>
      </c>
      <c r="C1043" s="2" t="s">
        <v>10265</v>
      </c>
      <c r="D1043" s="2" t="s">
        <v>10266</v>
      </c>
      <c r="E1043" s="2" t="s">
        <v>10267</v>
      </c>
      <c r="G1043" s="3" t="s">
        <v>62</v>
      </c>
      <c r="I1043" s="3" t="s">
        <v>62</v>
      </c>
      <c r="J1043" s="3" t="s">
        <v>62</v>
      </c>
      <c r="K1043" s="3" t="s">
        <v>63</v>
      </c>
      <c r="M1043" s="2" t="s">
        <v>10268</v>
      </c>
      <c r="N1043" s="3" t="s">
        <v>1855</v>
      </c>
      <c r="P1043" s="3" t="s">
        <v>65</v>
      </c>
      <c r="Q1043" s="2" t="s">
        <v>10269</v>
      </c>
      <c r="R1043" s="3" t="s">
        <v>66</v>
      </c>
      <c r="S1043" s="4">
        <v>25</v>
      </c>
      <c r="T1043" s="4">
        <v>25</v>
      </c>
      <c r="U1043" s="5" t="s">
        <v>6356</v>
      </c>
      <c r="V1043" s="5" t="s">
        <v>6356</v>
      </c>
      <c r="W1043" s="5" t="s">
        <v>67</v>
      </c>
      <c r="X1043" s="5" t="s">
        <v>67</v>
      </c>
      <c r="Y1043" s="4">
        <v>152</v>
      </c>
      <c r="Z1043" s="4">
        <v>15</v>
      </c>
      <c r="AA1043" s="4">
        <v>51</v>
      </c>
      <c r="AB1043" s="4">
        <v>2</v>
      </c>
      <c r="AC1043" s="4">
        <v>14</v>
      </c>
      <c r="AD1043" s="4">
        <v>50</v>
      </c>
      <c r="AE1043" s="4">
        <v>102</v>
      </c>
      <c r="AF1043" s="4">
        <v>1</v>
      </c>
      <c r="AG1043" s="4">
        <v>9</v>
      </c>
      <c r="AH1043" s="4">
        <v>40</v>
      </c>
      <c r="AI1043" s="4">
        <v>71</v>
      </c>
      <c r="AJ1043" s="4">
        <v>10</v>
      </c>
      <c r="AK1043" s="4">
        <v>24</v>
      </c>
      <c r="AL1043" s="4">
        <v>24</v>
      </c>
      <c r="AM1043" s="4">
        <v>34</v>
      </c>
      <c r="AN1043" s="4">
        <v>0</v>
      </c>
      <c r="AO1043" s="4">
        <v>0</v>
      </c>
      <c r="AP1043" s="4">
        <v>13</v>
      </c>
      <c r="AQ1043" s="4">
        <v>41</v>
      </c>
      <c r="AR1043" s="3" t="s">
        <v>62</v>
      </c>
      <c r="AS1043" s="3" t="s">
        <v>62</v>
      </c>
      <c r="AT1043" s="3" t="s">
        <v>62</v>
      </c>
      <c r="AV1043" s="6" t="str">
        <f>HYPERLINK("http://mcgill.on.worldcat.org/oclc/57557334","Catalog Record")</f>
        <v>Catalog Record</v>
      </c>
      <c r="AW1043" s="6" t="str">
        <f>HYPERLINK("http://www.worldcat.org/oclc/57557334","WorldCat Record")</f>
        <v>WorldCat Record</v>
      </c>
      <c r="AX1043" s="3" t="s">
        <v>10270</v>
      </c>
      <c r="AY1043" s="3" t="s">
        <v>10271</v>
      </c>
      <c r="AZ1043" s="3" t="s">
        <v>10272</v>
      </c>
      <c r="BA1043" s="3" t="s">
        <v>10272</v>
      </c>
      <c r="BB1043" s="3" t="s">
        <v>10273</v>
      </c>
      <c r="BC1043" s="3" t="s">
        <v>142</v>
      </c>
      <c r="BD1043" s="3" t="s">
        <v>68</v>
      </c>
      <c r="BE1043" s="3" t="s">
        <v>10274</v>
      </c>
      <c r="BF1043" s="3" t="s">
        <v>10273</v>
      </c>
      <c r="BG1043" s="3" t="s">
        <v>10275</v>
      </c>
    </row>
    <row r="1044" spans="1:59" ht="57" x14ac:dyDescent="0.45">
      <c r="A1044" s="2" t="s">
        <v>59</v>
      </c>
      <c r="B1044" s="2" t="s">
        <v>60</v>
      </c>
      <c r="C1044" s="2" t="s">
        <v>10276</v>
      </c>
      <c r="D1044" s="2" t="s">
        <v>10277</v>
      </c>
      <c r="E1044" s="2" t="s">
        <v>10278</v>
      </c>
      <c r="G1044" s="3" t="s">
        <v>62</v>
      </c>
      <c r="I1044" s="3" t="s">
        <v>62</v>
      </c>
      <c r="J1044" s="3" t="s">
        <v>62</v>
      </c>
      <c r="K1044" s="3" t="s">
        <v>63</v>
      </c>
      <c r="M1044" s="2" t="s">
        <v>10279</v>
      </c>
      <c r="N1044" s="3" t="s">
        <v>1253</v>
      </c>
      <c r="P1044" s="3" t="s">
        <v>65</v>
      </c>
      <c r="R1044" s="3" t="s">
        <v>66</v>
      </c>
      <c r="S1044" s="4">
        <v>3</v>
      </c>
      <c r="T1044" s="4">
        <v>3</v>
      </c>
      <c r="U1044" s="5" t="s">
        <v>10280</v>
      </c>
      <c r="V1044" s="5" t="s">
        <v>10280</v>
      </c>
      <c r="W1044" s="5" t="s">
        <v>67</v>
      </c>
      <c r="X1044" s="5" t="s">
        <v>67</v>
      </c>
      <c r="Y1044" s="4">
        <v>211</v>
      </c>
      <c r="Z1044" s="4">
        <v>12</v>
      </c>
      <c r="AA1044" s="4">
        <v>15</v>
      </c>
      <c r="AB1044" s="4">
        <v>2</v>
      </c>
      <c r="AC1044" s="4">
        <v>5</v>
      </c>
      <c r="AD1044" s="4">
        <v>71</v>
      </c>
      <c r="AE1044" s="4">
        <v>71</v>
      </c>
      <c r="AF1044" s="4">
        <v>1</v>
      </c>
      <c r="AG1044" s="4">
        <v>1</v>
      </c>
      <c r="AH1044" s="4">
        <v>63</v>
      </c>
      <c r="AI1044" s="4">
        <v>63</v>
      </c>
      <c r="AJ1044" s="4">
        <v>7</v>
      </c>
      <c r="AK1044" s="4">
        <v>7</v>
      </c>
      <c r="AL1044" s="4">
        <v>39</v>
      </c>
      <c r="AM1044" s="4">
        <v>39</v>
      </c>
      <c r="AN1044" s="4">
        <v>0</v>
      </c>
      <c r="AO1044" s="4">
        <v>0</v>
      </c>
      <c r="AP1044" s="4">
        <v>9</v>
      </c>
      <c r="AQ1044" s="4">
        <v>9</v>
      </c>
      <c r="AR1044" s="3" t="s">
        <v>62</v>
      </c>
      <c r="AS1044" s="3" t="s">
        <v>62</v>
      </c>
      <c r="AT1044" s="3" t="s">
        <v>61</v>
      </c>
      <c r="AU1044" s="6" t="str">
        <f>HYPERLINK("http://catalog.hathitrust.org/Record/007134025","HathiTrust Record")</f>
        <v>HathiTrust Record</v>
      </c>
      <c r="AV1044" s="6" t="str">
        <f>HYPERLINK("http://mcgill.on.worldcat.org/oclc/35848980","Catalog Record")</f>
        <v>Catalog Record</v>
      </c>
      <c r="AW1044" s="6" t="str">
        <f>HYPERLINK("http://www.worldcat.org/oclc/35848980","WorldCat Record")</f>
        <v>WorldCat Record</v>
      </c>
      <c r="AX1044" s="3" t="s">
        <v>10281</v>
      </c>
      <c r="AY1044" s="3" t="s">
        <v>10282</v>
      </c>
      <c r="AZ1044" s="3" t="s">
        <v>10283</v>
      </c>
      <c r="BA1044" s="3" t="s">
        <v>10283</v>
      </c>
      <c r="BB1044" s="3" t="s">
        <v>10284</v>
      </c>
      <c r="BC1044" s="3" t="s">
        <v>142</v>
      </c>
      <c r="BD1044" s="3" t="s">
        <v>68</v>
      </c>
      <c r="BE1044" s="3" t="s">
        <v>10285</v>
      </c>
      <c r="BF1044" s="3" t="s">
        <v>10284</v>
      </c>
      <c r="BG1044" s="3" t="s">
        <v>10286</v>
      </c>
    </row>
    <row r="1045" spans="1:59" ht="57" x14ac:dyDescent="0.45">
      <c r="A1045" s="2" t="s">
        <v>59</v>
      </c>
      <c r="B1045" s="2" t="s">
        <v>60</v>
      </c>
      <c r="C1045" s="2" t="s">
        <v>10287</v>
      </c>
      <c r="D1045" s="2" t="s">
        <v>10288</v>
      </c>
      <c r="E1045" s="2" t="s">
        <v>10289</v>
      </c>
      <c r="G1045" s="3" t="s">
        <v>62</v>
      </c>
      <c r="I1045" s="3" t="s">
        <v>62</v>
      </c>
      <c r="J1045" s="3" t="s">
        <v>62</v>
      </c>
      <c r="K1045" s="3" t="s">
        <v>63</v>
      </c>
      <c r="M1045" s="2" t="s">
        <v>10290</v>
      </c>
      <c r="N1045" s="3" t="s">
        <v>84</v>
      </c>
      <c r="P1045" s="3" t="s">
        <v>65</v>
      </c>
      <c r="R1045" s="3" t="s">
        <v>66</v>
      </c>
      <c r="S1045" s="4">
        <v>25</v>
      </c>
      <c r="T1045" s="4">
        <v>25</v>
      </c>
      <c r="U1045" s="5" t="s">
        <v>10291</v>
      </c>
      <c r="V1045" s="5" t="s">
        <v>10291</v>
      </c>
      <c r="W1045" s="5" t="s">
        <v>67</v>
      </c>
      <c r="X1045" s="5" t="s">
        <v>67</v>
      </c>
      <c r="Y1045" s="4">
        <v>33</v>
      </c>
      <c r="Z1045" s="4">
        <v>2</v>
      </c>
      <c r="AA1045" s="4">
        <v>2</v>
      </c>
      <c r="AB1045" s="4">
        <v>1</v>
      </c>
      <c r="AC1045" s="4">
        <v>1</v>
      </c>
      <c r="AD1045" s="4">
        <v>5</v>
      </c>
      <c r="AE1045" s="4">
        <v>5</v>
      </c>
      <c r="AF1045" s="4">
        <v>0</v>
      </c>
      <c r="AG1045" s="4">
        <v>0</v>
      </c>
      <c r="AH1045" s="4">
        <v>5</v>
      </c>
      <c r="AI1045" s="4">
        <v>5</v>
      </c>
      <c r="AJ1045" s="4">
        <v>1</v>
      </c>
      <c r="AK1045" s="4">
        <v>1</v>
      </c>
      <c r="AL1045" s="4">
        <v>2</v>
      </c>
      <c r="AM1045" s="4">
        <v>2</v>
      </c>
      <c r="AN1045" s="4">
        <v>0</v>
      </c>
      <c r="AO1045" s="4">
        <v>0</v>
      </c>
      <c r="AP1045" s="4">
        <v>1</v>
      </c>
      <c r="AQ1045" s="4">
        <v>1</v>
      </c>
      <c r="AR1045" s="3" t="s">
        <v>62</v>
      </c>
      <c r="AS1045" s="3" t="s">
        <v>62</v>
      </c>
      <c r="AT1045" s="3" t="s">
        <v>62</v>
      </c>
      <c r="AV1045" s="6" t="str">
        <f>HYPERLINK("http://mcgill.on.worldcat.org/oclc/26592974","Catalog Record")</f>
        <v>Catalog Record</v>
      </c>
      <c r="AW1045" s="6" t="str">
        <f>HYPERLINK("http://www.worldcat.org/oclc/26592974","WorldCat Record")</f>
        <v>WorldCat Record</v>
      </c>
      <c r="AX1045" s="3" t="s">
        <v>10292</v>
      </c>
      <c r="AY1045" s="3" t="s">
        <v>10293</v>
      </c>
      <c r="AZ1045" s="3" t="s">
        <v>10294</v>
      </c>
      <c r="BA1045" s="3" t="s">
        <v>10294</v>
      </c>
      <c r="BB1045" s="3" t="s">
        <v>10295</v>
      </c>
      <c r="BC1045" s="3" t="s">
        <v>142</v>
      </c>
      <c r="BD1045" s="3" t="s">
        <v>68</v>
      </c>
      <c r="BF1045" s="3" t="s">
        <v>10295</v>
      </c>
      <c r="BG1045" s="3" t="s">
        <v>10296</v>
      </c>
    </row>
    <row r="1046" spans="1:59" ht="57" x14ac:dyDescent="0.45">
      <c r="A1046" s="2" t="s">
        <v>59</v>
      </c>
      <c r="B1046" s="2" t="s">
        <v>412</v>
      </c>
      <c r="C1046" s="2" t="s">
        <v>10297</v>
      </c>
      <c r="D1046" s="2" t="s">
        <v>10298</v>
      </c>
      <c r="E1046" s="2" t="s">
        <v>10299</v>
      </c>
      <c r="G1046" s="3" t="s">
        <v>62</v>
      </c>
      <c r="I1046" s="3" t="s">
        <v>62</v>
      </c>
      <c r="J1046" s="3" t="s">
        <v>62</v>
      </c>
      <c r="K1046" s="3" t="s">
        <v>63</v>
      </c>
      <c r="L1046" s="2" t="s">
        <v>7377</v>
      </c>
      <c r="M1046" s="2" t="s">
        <v>4988</v>
      </c>
      <c r="N1046" s="3" t="s">
        <v>1437</v>
      </c>
      <c r="P1046" s="3" t="s">
        <v>65</v>
      </c>
      <c r="Q1046" s="2" t="s">
        <v>7244</v>
      </c>
      <c r="R1046" s="3" t="s">
        <v>66</v>
      </c>
      <c r="S1046" s="4">
        <v>24</v>
      </c>
      <c r="T1046" s="4">
        <v>24</v>
      </c>
      <c r="U1046" s="5" t="s">
        <v>6222</v>
      </c>
      <c r="V1046" s="5" t="s">
        <v>6222</v>
      </c>
      <c r="W1046" s="5" t="s">
        <v>67</v>
      </c>
      <c r="X1046" s="5" t="s">
        <v>67</v>
      </c>
      <c r="Y1046" s="4">
        <v>369</v>
      </c>
      <c r="Z1046" s="4">
        <v>20</v>
      </c>
      <c r="AA1046" s="4">
        <v>26</v>
      </c>
      <c r="AB1046" s="4">
        <v>2</v>
      </c>
      <c r="AC1046" s="4">
        <v>7</v>
      </c>
      <c r="AD1046" s="4">
        <v>89</v>
      </c>
      <c r="AE1046" s="4">
        <v>94</v>
      </c>
      <c r="AF1046" s="4">
        <v>1</v>
      </c>
      <c r="AG1046" s="4">
        <v>5</v>
      </c>
      <c r="AH1046" s="4">
        <v>80</v>
      </c>
      <c r="AI1046" s="4">
        <v>81</v>
      </c>
      <c r="AJ1046" s="4">
        <v>10</v>
      </c>
      <c r="AK1046" s="4">
        <v>14</v>
      </c>
      <c r="AL1046" s="4">
        <v>40</v>
      </c>
      <c r="AM1046" s="4">
        <v>40</v>
      </c>
      <c r="AN1046" s="4">
        <v>0</v>
      </c>
      <c r="AO1046" s="4">
        <v>0</v>
      </c>
      <c r="AP1046" s="4">
        <v>16</v>
      </c>
      <c r="AQ1046" s="4">
        <v>20</v>
      </c>
      <c r="AR1046" s="3" t="s">
        <v>62</v>
      </c>
      <c r="AS1046" s="3" t="s">
        <v>62</v>
      </c>
      <c r="AT1046" s="3" t="s">
        <v>62</v>
      </c>
      <c r="AV1046" s="6" t="str">
        <f>HYPERLINK("http://mcgill.on.worldcat.org/oclc/37401030","Catalog Record")</f>
        <v>Catalog Record</v>
      </c>
      <c r="AW1046" s="6" t="str">
        <f>HYPERLINK("http://www.worldcat.org/oclc/37401030","WorldCat Record")</f>
        <v>WorldCat Record</v>
      </c>
      <c r="AX1046" s="3" t="s">
        <v>10300</v>
      </c>
      <c r="AY1046" s="3" t="s">
        <v>10301</v>
      </c>
      <c r="AZ1046" s="3" t="s">
        <v>10302</v>
      </c>
      <c r="BA1046" s="3" t="s">
        <v>10302</v>
      </c>
      <c r="BB1046" s="3" t="s">
        <v>10303</v>
      </c>
      <c r="BC1046" s="3" t="s">
        <v>142</v>
      </c>
      <c r="BD1046" s="3" t="s">
        <v>68</v>
      </c>
      <c r="BE1046" s="3" t="s">
        <v>10304</v>
      </c>
      <c r="BF1046" s="3" t="s">
        <v>10303</v>
      </c>
      <c r="BG1046" s="3" t="s">
        <v>10305</v>
      </c>
    </row>
    <row r="1047" spans="1:59" ht="57" x14ac:dyDescent="0.45">
      <c r="A1047" s="2" t="s">
        <v>59</v>
      </c>
      <c r="B1047" s="2" t="s">
        <v>60</v>
      </c>
      <c r="C1047" s="2" t="s">
        <v>10306</v>
      </c>
      <c r="D1047" s="2" t="s">
        <v>10307</v>
      </c>
      <c r="E1047" s="2" t="s">
        <v>10308</v>
      </c>
      <c r="G1047" s="3" t="s">
        <v>62</v>
      </c>
      <c r="I1047" s="3" t="s">
        <v>62</v>
      </c>
      <c r="J1047" s="3" t="s">
        <v>62</v>
      </c>
      <c r="K1047" s="3" t="s">
        <v>63</v>
      </c>
      <c r="L1047" s="2" t="s">
        <v>7377</v>
      </c>
      <c r="M1047" s="2" t="s">
        <v>3398</v>
      </c>
      <c r="N1047" s="3" t="s">
        <v>894</v>
      </c>
      <c r="P1047" s="3" t="s">
        <v>65</v>
      </c>
      <c r="R1047" s="3" t="s">
        <v>66</v>
      </c>
      <c r="S1047" s="4">
        <v>2</v>
      </c>
      <c r="T1047" s="4">
        <v>2</v>
      </c>
      <c r="U1047" s="5" t="s">
        <v>8270</v>
      </c>
      <c r="V1047" s="5" t="s">
        <v>8270</v>
      </c>
      <c r="W1047" s="5" t="s">
        <v>67</v>
      </c>
      <c r="X1047" s="5" t="s">
        <v>67</v>
      </c>
      <c r="Y1047" s="4">
        <v>126</v>
      </c>
      <c r="Z1047" s="4">
        <v>18</v>
      </c>
      <c r="AA1047" s="4">
        <v>20</v>
      </c>
      <c r="AB1047" s="4">
        <v>1</v>
      </c>
      <c r="AC1047" s="4">
        <v>3</v>
      </c>
      <c r="AD1047" s="4">
        <v>31</v>
      </c>
      <c r="AE1047" s="4">
        <v>32</v>
      </c>
      <c r="AF1047" s="4">
        <v>0</v>
      </c>
      <c r="AG1047" s="4">
        <v>1</v>
      </c>
      <c r="AH1047" s="4">
        <v>26</v>
      </c>
      <c r="AI1047" s="4">
        <v>26</v>
      </c>
      <c r="AJ1047" s="4">
        <v>9</v>
      </c>
      <c r="AK1047" s="4">
        <v>10</v>
      </c>
      <c r="AL1047" s="4">
        <v>13</v>
      </c>
      <c r="AM1047" s="4">
        <v>13</v>
      </c>
      <c r="AN1047" s="4">
        <v>0</v>
      </c>
      <c r="AO1047" s="4">
        <v>0</v>
      </c>
      <c r="AP1047" s="4">
        <v>11</v>
      </c>
      <c r="AQ1047" s="4">
        <v>11</v>
      </c>
      <c r="AR1047" s="3" t="s">
        <v>62</v>
      </c>
      <c r="AS1047" s="3" t="s">
        <v>62</v>
      </c>
      <c r="AT1047" s="3" t="s">
        <v>62</v>
      </c>
      <c r="AV1047" s="6" t="str">
        <f>HYPERLINK("http://mcgill.on.worldcat.org/oclc/664352348","Catalog Record")</f>
        <v>Catalog Record</v>
      </c>
      <c r="AW1047" s="6" t="str">
        <f>HYPERLINK("http://www.worldcat.org/oclc/664352348","WorldCat Record")</f>
        <v>WorldCat Record</v>
      </c>
      <c r="AX1047" s="3" t="s">
        <v>10309</v>
      </c>
      <c r="AY1047" s="3" t="s">
        <v>10310</v>
      </c>
      <c r="AZ1047" s="3" t="s">
        <v>10311</v>
      </c>
      <c r="BA1047" s="3" t="s">
        <v>10311</v>
      </c>
      <c r="BB1047" s="3" t="s">
        <v>10312</v>
      </c>
      <c r="BC1047" s="3" t="s">
        <v>142</v>
      </c>
      <c r="BD1047" s="3" t="s">
        <v>308</v>
      </c>
      <c r="BE1047" s="3" t="s">
        <v>10313</v>
      </c>
      <c r="BF1047" s="3" t="s">
        <v>10312</v>
      </c>
      <c r="BG1047" s="3" t="s">
        <v>10314</v>
      </c>
    </row>
    <row r="1048" spans="1:59" ht="57" x14ac:dyDescent="0.45">
      <c r="A1048" s="2" t="s">
        <v>59</v>
      </c>
      <c r="B1048" s="2" t="s">
        <v>60</v>
      </c>
      <c r="C1048" s="2" t="s">
        <v>10315</v>
      </c>
      <c r="D1048" s="2" t="s">
        <v>10316</v>
      </c>
      <c r="E1048" s="2" t="s">
        <v>10317</v>
      </c>
      <c r="G1048" s="3" t="s">
        <v>62</v>
      </c>
      <c r="I1048" s="3" t="s">
        <v>61</v>
      </c>
      <c r="J1048" s="3" t="s">
        <v>62</v>
      </c>
      <c r="K1048" s="3" t="s">
        <v>63</v>
      </c>
      <c r="M1048" s="2" t="s">
        <v>10318</v>
      </c>
      <c r="N1048" s="3" t="s">
        <v>125</v>
      </c>
      <c r="P1048" s="3" t="s">
        <v>65</v>
      </c>
      <c r="Q1048" s="2" t="s">
        <v>7244</v>
      </c>
      <c r="R1048" s="3" t="s">
        <v>66</v>
      </c>
      <c r="S1048" s="4">
        <v>52</v>
      </c>
      <c r="T1048" s="4">
        <v>76</v>
      </c>
      <c r="U1048" s="5" t="s">
        <v>10319</v>
      </c>
      <c r="V1048" s="5" t="s">
        <v>10320</v>
      </c>
      <c r="W1048" s="5" t="s">
        <v>67</v>
      </c>
      <c r="X1048" s="5" t="s">
        <v>67</v>
      </c>
      <c r="Y1048" s="4">
        <v>636</v>
      </c>
      <c r="Z1048" s="4">
        <v>44</v>
      </c>
      <c r="AA1048" s="4">
        <v>48</v>
      </c>
      <c r="AB1048" s="4">
        <v>2</v>
      </c>
      <c r="AC1048" s="4">
        <v>6</v>
      </c>
      <c r="AD1048" s="4">
        <v>121</v>
      </c>
      <c r="AE1048" s="4">
        <v>124</v>
      </c>
      <c r="AF1048" s="4">
        <v>1</v>
      </c>
      <c r="AG1048" s="4">
        <v>4</v>
      </c>
      <c r="AH1048" s="4">
        <v>98</v>
      </c>
      <c r="AI1048" s="4">
        <v>99</v>
      </c>
      <c r="AJ1048" s="4">
        <v>21</v>
      </c>
      <c r="AK1048" s="4">
        <v>24</v>
      </c>
      <c r="AL1048" s="4">
        <v>52</v>
      </c>
      <c r="AM1048" s="4">
        <v>52</v>
      </c>
      <c r="AN1048" s="4">
        <v>0</v>
      </c>
      <c r="AO1048" s="4">
        <v>0</v>
      </c>
      <c r="AP1048" s="4">
        <v>33</v>
      </c>
      <c r="AQ1048" s="4">
        <v>35</v>
      </c>
      <c r="AR1048" s="3" t="s">
        <v>62</v>
      </c>
      <c r="AS1048" s="3" t="s">
        <v>62</v>
      </c>
      <c r="AT1048" s="3" t="s">
        <v>61</v>
      </c>
      <c r="AU1048" s="6" t="str">
        <f>HYPERLINK("http://catalog.hathitrust.org/Record/002859883","HathiTrust Record")</f>
        <v>HathiTrust Record</v>
      </c>
      <c r="AV1048" s="6" t="str">
        <f>HYPERLINK("http://mcgill.on.worldcat.org/oclc/20132516","Catalog Record")</f>
        <v>Catalog Record</v>
      </c>
      <c r="AW1048" s="6" t="str">
        <f>HYPERLINK("http://www.worldcat.org/oclc/20132516","WorldCat Record")</f>
        <v>WorldCat Record</v>
      </c>
      <c r="AX1048" s="3" t="s">
        <v>10321</v>
      </c>
      <c r="AY1048" s="3" t="s">
        <v>10322</v>
      </c>
      <c r="AZ1048" s="3" t="s">
        <v>10323</v>
      </c>
      <c r="BA1048" s="3" t="s">
        <v>10323</v>
      </c>
      <c r="BB1048" s="3" t="s">
        <v>10324</v>
      </c>
      <c r="BC1048" s="3" t="s">
        <v>142</v>
      </c>
      <c r="BD1048" s="3" t="s">
        <v>68</v>
      </c>
      <c r="BE1048" s="3" t="s">
        <v>10325</v>
      </c>
      <c r="BF1048" s="3" t="s">
        <v>10324</v>
      </c>
      <c r="BG1048" s="3" t="s">
        <v>10326</v>
      </c>
    </row>
    <row r="1049" spans="1:59" ht="57" x14ac:dyDescent="0.45">
      <c r="A1049" s="2" t="s">
        <v>59</v>
      </c>
      <c r="B1049" s="2" t="s">
        <v>60</v>
      </c>
      <c r="C1049" s="2" t="s">
        <v>10315</v>
      </c>
      <c r="D1049" s="2" t="s">
        <v>10316</v>
      </c>
      <c r="E1049" s="2" t="s">
        <v>10317</v>
      </c>
      <c r="G1049" s="3" t="s">
        <v>62</v>
      </c>
      <c r="I1049" s="3" t="s">
        <v>61</v>
      </c>
      <c r="J1049" s="3" t="s">
        <v>62</v>
      </c>
      <c r="K1049" s="3" t="s">
        <v>63</v>
      </c>
      <c r="M1049" s="2" t="s">
        <v>10318</v>
      </c>
      <c r="N1049" s="3" t="s">
        <v>125</v>
      </c>
      <c r="P1049" s="3" t="s">
        <v>65</v>
      </c>
      <c r="Q1049" s="2" t="s">
        <v>7244</v>
      </c>
      <c r="R1049" s="3" t="s">
        <v>66</v>
      </c>
      <c r="S1049" s="4">
        <v>24</v>
      </c>
      <c r="T1049" s="4">
        <v>76</v>
      </c>
      <c r="U1049" s="5" t="s">
        <v>10320</v>
      </c>
      <c r="V1049" s="5" t="s">
        <v>10320</v>
      </c>
      <c r="W1049" s="5" t="s">
        <v>67</v>
      </c>
      <c r="X1049" s="5" t="s">
        <v>67</v>
      </c>
      <c r="Y1049" s="4">
        <v>636</v>
      </c>
      <c r="Z1049" s="4">
        <v>44</v>
      </c>
      <c r="AA1049" s="4">
        <v>48</v>
      </c>
      <c r="AB1049" s="4">
        <v>2</v>
      </c>
      <c r="AC1049" s="4">
        <v>6</v>
      </c>
      <c r="AD1049" s="4">
        <v>121</v>
      </c>
      <c r="AE1049" s="4">
        <v>124</v>
      </c>
      <c r="AF1049" s="4">
        <v>1</v>
      </c>
      <c r="AG1049" s="4">
        <v>4</v>
      </c>
      <c r="AH1049" s="4">
        <v>98</v>
      </c>
      <c r="AI1049" s="4">
        <v>99</v>
      </c>
      <c r="AJ1049" s="4">
        <v>21</v>
      </c>
      <c r="AK1049" s="4">
        <v>24</v>
      </c>
      <c r="AL1049" s="4">
        <v>52</v>
      </c>
      <c r="AM1049" s="4">
        <v>52</v>
      </c>
      <c r="AN1049" s="4">
        <v>0</v>
      </c>
      <c r="AO1049" s="4">
        <v>0</v>
      </c>
      <c r="AP1049" s="4">
        <v>33</v>
      </c>
      <c r="AQ1049" s="4">
        <v>35</v>
      </c>
      <c r="AR1049" s="3" t="s">
        <v>62</v>
      </c>
      <c r="AS1049" s="3" t="s">
        <v>62</v>
      </c>
      <c r="AT1049" s="3" t="s">
        <v>61</v>
      </c>
      <c r="AU1049" s="6" t="str">
        <f>HYPERLINK("http://catalog.hathitrust.org/Record/002859883","HathiTrust Record")</f>
        <v>HathiTrust Record</v>
      </c>
      <c r="AV1049" s="6" t="str">
        <f>HYPERLINK("http://mcgill.on.worldcat.org/oclc/20132516","Catalog Record")</f>
        <v>Catalog Record</v>
      </c>
      <c r="AW1049" s="6" t="str">
        <f>HYPERLINK("http://www.worldcat.org/oclc/20132516","WorldCat Record")</f>
        <v>WorldCat Record</v>
      </c>
      <c r="AX1049" s="3" t="s">
        <v>10321</v>
      </c>
      <c r="AY1049" s="3" t="s">
        <v>10322</v>
      </c>
      <c r="AZ1049" s="3" t="s">
        <v>10323</v>
      </c>
      <c r="BA1049" s="3" t="s">
        <v>10323</v>
      </c>
      <c r="BB1049" s="3" t="s">
        <v>10327</v>
      </c>
      <c r="BC1049" s="3" t="s">
        <v>142</v>
      </c>
      <c r="BD1049" s="3" t="s">
        <v>308</v>
      </c>
      <c r="BE1049" s="3" t="s">
        <v>10325</v>
      </c>
      <c r="BF1049" s="3" t="s">
        <v>10327</v>
      </c>
      <c r="BG1049" s="3" t="s">
        <v>10328</v>
      </c>
    </row>
    <row r="1050" spans="1:59" ht="57" x14ac:dyDescent="0.45">
      <c r="A1050" s="2" t="s">
        <v>59</v>
      </c>
      <c r="B1050" s="2" t="s">
        <v>412</v>
      </c>
      <c r="C1050" s="2" t="s">
        <v>10329</v>
      </c>
      <c r="D1050" s="2" t="s">
        <v>10330</v>
      </c>
      <c r="E1050" s="2" t="s">
        <v>10331</v>
      </c>
      <c r="G1050" s="3" t="s">
        <v>62</v>
      </c>
      <c r="I1050" s="3" t="s">
        <v>62</v>
      </c>
      <c r="J1050" s="3" t="s">
        <v>62</v>
      </c>
      <c r="K1050" s="3" t="s">
        <v>63</v>
      </c>
      <c r="M1050" s="2" t="s">
        <v>1973</v>
      </c>
      <c r="N1050" s="3" t="s">
        <v>1855</v>
      </c>
      <c r="P1050" s="3" t="s">
        <v>65</v>
      </c>
      <c r="R1050" s="3" t="s">
        <v>66</v>
      </c>
      <c r="S1050" s="4">
        <v>18</v>
      </c>
      <c r="T1050" s="4">
        <v>18</v>
      </c>
      <c r="U1050" s="5" t="s">
        <v>7295</v>
      </c>
      <c r="V1050" s="5" t="s">
        <v>7295</v>
      </c>
      <c r="W1050" s="5" t="s">
        <v>67</v>
      </c>
      <c r="X1050" s="5" t="s">
        <v>67</v>
      </c>
      <c r="Y1050" s="4">
        <v>256</v>
      </c>
      <c r="Z1050" s="4">
        <v>19</v>
      </c>
      <c r="AA1050" s="4">
        <v>82</v>
      </c>
      <c r="AB1050" s="4">
        <v>2</v>
      </c>
      <c r="AC1050" s="4">
        <v>15</v>
      </c>
      <c r="AD1050" s="4">
        <v>79</v>
      </c>
      <c r="AE1050" s="4">
        <v>128</v>
      </c>
      <c r="AF1050" s="4">
        <v>1</v>
      </c>
      <c r="AG1050" s="4">
        <v>8</v>
      </c>
      <c r="AH1050" s="4">
        <v>69</v>
      </c>
      <c r="AI1050" s="4">
        <v>93</v>
      </c>
      <c r="AJ1050" s="4">
        <v>11</v>
      </c>
      <c r="AK1050" s="4">
        <v>24</v>
      </c>
      <c r="AL1050" s="4">
        <v>37</v>
      </c>
      <c r="AM1050" s="4">
        <v>47</v>
      </c>
      <c r="AN1050" s="4">
        <v>0</v>
      </c>
      <c r="AO1050" s="4">
        <v>0</v>
      </c>
      <c r="AP1050" s="4">
        <v>15</v>
      </c>
      <c r="AQ1050" s="4">
        <v>43</v>
      </c>
      <c r="AR1050" s="3" t="s">
        <v>62</v>
      </c>
      <c r="AS1050" s="3" t="s">
        <v>62</v>
      </c>
      <c r="AT1050" s="3" t="s">
        <v>62</v>
      </c>
      <c r="AV1050" s="6" t="str">
        <f>HYPERLINK("http://mcgill.on.worldcat.org/oclc/55847228","Catalog Record")</f>
        <v>Catalog Record</v>
      </c>
      <c r="AW1050" s="6" t="str">
        <f>HYPERLINK("http://www.worldcat.org/oclc/55847228","WorldCat Record")</f>
        <v>WorldCat Record</v>
      </c>
      <c r="AX1050" s="3" t="s">
        <v>10332</v>
      </c>
      <c r="AY1050" s="3" t="s">
        <v>10333</v>
      </c>
      <c r="AZ1050" s="3" t="s">
        <v>10334</v>
      </c>
      <c r="BA1050" s="3" t="s">
        <v>10334</v>
      </c>
      <c r="BB1050" s="3" t="s">
        <v>10335</v>
      </c>
      <c r="BC1050" s="3" t="s">
        <v>142</v>
      </c>
      <c r="BD1050" s="3" t="s">
        <v>68</v>
      </c>
      <c r="BE1050" s="3" t="s">
        <v>10336</v>
      </c>
      <c r="BF1050" s="3" t="s">
        <v>10335</v>
      </c>
      <c r="BG1050" s="3" t="s">
        <v>10337</v>
      </c>
    </row>
    <row r="1051" spans="1:59" ht="57" x14ac:dyDescent="0.45">
      <c r="A1051" s="2" t="s">
        <v>59</v>
      </c>
      <c r="B1051" s="2" t="s">
        <v>412</v>
      </c>
      <c r="C1051" s="2" t="s">
        <v>10338</v>
      </c>
      <c r="D1051" s="2" t="s">
        <v>10339</v>
      </c>
      <c r="E1051" s="2" t="s">
        <v>10340</v>
      </c>
      <c r="G1051" s="3" t="s">
        <v>62</v>
      </c>
      <c r="I1051" s="3" t="s">
        <v>62</v>
      </c>
      <c r="J1051" s="3" t="s">
        <v>62</v>
      </c>
      <c r="K1051" s="3" t="s">
        <v>63</v>
      </c>
      <c r="M1051" s="2" t="s">
        <v>7564</v>
      </c>
      <c r="N1051" s="3" t="s">
        <v>1478</v>
      </c>
      <c r="P1051" s="3" t="s">
        <v>65</v>
      </c>
      <c r="Q1051" s="2" t="s">
        <v>7244</v>
      </c>
      <c r="R1051" s="3" t="s">
        <v>66</v>
      </c>
      <c r="S1051" s="4">
        <v>21</v>
      </c>
      <c r="T1051" s="4">
        <v>21</v>
      </c>
      <c r="U1051" s="5" t="s">
        <v>6222</v>
      </c>
      <c r="V1051" s="5" t="s">
        <v>6222</v>
      </c>
      <c r="W1051" s="5" t="s">
        <v>67</v>
      </c>
      <c r="X1051" s="5" t="s">
        <v>67</v>
      </c>
      <c r="Y1051" s="4">
        <v>410</v>
      </c>
      <c r="Z1051" s="4">
        <v>27</v>
      </c>
      <c r="AA1051" s="4">
        <v>31</v>
      </c>
      <c r="AB1051" s="4">
        <v>3</v>
      </c>
      <c r="AC1051" s="4">
        <v>6</v>
      </c>
      <c r="AD1051" s="4">
        <v>105</v>
      </c>
      <c r="AE1051" s="4">
        <v>108</v>
      </c>
      <c r="AF1051" s="4">
        <v>2</v>
      </c>
      <c r="AG1051" s="4">
        <v>4</v>
      </c>
      <c r="AH1051" s="4">
        <v>87</v>
      </c>
      <c r="AI1051" s="4">
        <v>87</v>
      </c>
      <c r="AJ1051" s="4">
        <v>13</v>
      </c>
      <c r="AK1051" s="4">
        <v>15</v>
      </c>
      <c r="AL1051" s="4">
        <v>51</v>
      </c>
      <c r="AM1051" s="4">
        <v>51</v>
      </c>
      <c r="AN1051" s="4">
        <v>0</v>
      </c>
      <c r="AO1051" s="4">
        <v>0</v>
      </c>
      <c r="AP1051" s="4">
        <v>24</v>
      </c>
      <c r="AQ1051" s="4">
        <v>27</v>
      </c>
      <c r="AR1051" s="3" t="s">
        <v>62</v>
      </c>
      <c r="AS1051" s="3" t="s">
        <v>62</v>
      </c>
      <c r="AT1051" s="3" t="s">
        <v>62</v>
      </c>
      <c r="AV1051" s="6" t="str">
        <f>HYPERLINK("http://mcgill.on.worldcat.org/oclc/32393724","Catalog Record")</f>
        <v>Catalog Record</v>
      </c>
      <c r="AW1051" s="6" t="str">
        <f>HYPERLINK("http://www.worldcat.org/oclc/32393724","WorldCat Record")</f>
        <v>WorldCat Record</v>
      </c>
      <c r="AX1051" s="3" t="s">
        <v>10341</v>
      </c>
      <c r="AY1051" s="3" t="s">
        <v>10342</v>
      </c>
      <c r="AZ1051" s="3" t="s">
        <v>10343</v>
      </c>
      <c r="BA1051" s="3" t="s">
        <v>10343</v>
      </c>
      <c r="BB1051" s="3" t="s">
        <v>10344</v>
      </c>
      <c r="BC1051" s="3" t="s">
        <v>142</v>
      </c>
      <c r="BD1051" s="3" t="s">
        <v>68</v>
      </c>
      <c r="BE1051" s="3" t="s">
        <v>10345</v>
      </c>
      <c r="BF1051" s="3" t="s">
        <v>10344</v>
      </c>
      <c r="BG1051" s="3" t="s">
        <v>10346</v>
      </c>
    </row>
    <row r="1052" spans="1:59" ht="57" x14ac:dyDescent="0.45">
      <c r="A1052" s="2" t="s">
        <v>59</v>
      </c>
      <c r="B1052" s="2" t="s">
        <v>60</v>
      </c>
      <c r="C1052" s="2" t="s">
        <v>10347</v>
      </c>
      <c r="D1052" s="2" t="s">
        <v>10348</v>
      </c>
      <c r="E1052" s="2" t="s">
        <v>10349</v>
      </c>
      <c r="G1052" s="3" t="s">
        <v>62</v>
      </c>
      <c r="I1052" s="3" t="s">
        <v>62</v>
      </c>
      <c r="J1052" s="3" t="s">
        <v>62</v>
      </c>
      <c r="K1052" s="3" t="s">
        <v>63</v>
      </c>
      <c r="L1052" s="2" t="s">
        <v>10350</v>
      </c>
      <c r="M1052" s="2" t="s">
        <v>1650</v>
      </c>
      <c r="N1052" s="3" t="s">
        <v>84</v>
      </c>
      <c r="P1052" s="3" t="s">
        <v>65</v>
      </c>
      <c r="Q1052" s="2" t="s">
        <v>7565</v>
      </c>
      <c r="R1052" s="3" t="s">
        <v>66</v>
      </c>
      <c r="S1052" s="4">
        <v>38</v>
      </c>
      <c r="T1052" s="4">
        <v>38</v>
      </c>
      <c r="U1052" s="5" t="s">
        <v>855</v>
      </c>
      <c r="V1052" s="5" t="s">
        <v>855</v>
      </c>
      <c r="W1052" s="5" t="s">
        <v>67</v>
      </c>
      <c r="X1052" s="5" t="s">
        <v>67</v>
      </c>
      <c r="Y1052" s="4">
        <v>493</v>
      </c>
      <c r="Z1052" s="4">
        <v>37</v>
      </c>
      <c r="AA1052" s="4">
        <v>41</v>
      </c>
      <c r="AB1052" s="4">
        <v>4</v>
      </c>
      <c r="AC1052" s="4">
        <v>8</v>
      </c>
      <c r="AD1052" s="4">
        <v>92</v>
      </c>
      <c r="AE1052" s="4">
        <v>96</v>
      </c>
      <c r="AF1052" s="4">
        <v>2</v>
      </c>
      <c r="AG1052" s="4">
        <v>5</v>
      </c>
      <c r="AH1052" s="4">
        <v>75</v>
      </c>
      <c r="AI1052" s="4">
        <v>77</v>
      </c>
      <c r="AJ1052" s="4">
        <v>15</v>
      </c>
      <c r="AK1052" s="4">
        <v>18</v>
      </c>
      <c r="AL1052" s="4">
        <v>40</v>
      </c>
      <c r="AM1052" s="4">
        <v>40</v>
      </c>
      <c r="AN1052" s="4">
        <v>0</v>
      </c>
      <c r="AO1052" s="4">
        <v>0</v>
      </c>
      <c r="AP1052" s="4">
        <v>23</v>
      </c>
      <c r="AQ1052" s="4">
        <v>25</v>
      </c>
      <c r="AR1052" s="3" t="s">
        <v>62</v>
      </c>
      <c r="AS1052" s="3" t="s">
        <v>62</v>
      </c>
      <c r="AT1052" s="3" t="s">
        <v>62</v>
      </c>
      <c r="AV1052" s="6" t="str">
        <f>HYPERLINK("http://mcgill.on.worldcat.org/oclc/24540035","Catalog Record")</f>
        <v>Catalog Record</v>
      </c>
      <c r="AW1052" s="6" t="str">
        <f>HYPERLINK("http://www.worldcat.org/oclc/24540035","WorldCat Record")</f>
        <v>WorldCat Record</v>
      </c>
      <c r="AX1052" s="3" t="s">
        <v>10351</v>
      </c>
      <c r="AY1052" s="3" t="s">
        <v>10352</v>
      </c>
      <c r="AZ1052" s="3" t="s">
        <v>10353</v>
      </c>
      <c r="BA1052" s="3" t="s">
        <v>10353</v>
      </c>
      <c r="BB1052" s="3" t="s">
        <v>10354</v>
      </c>
      <c r="BC1052" s="3" t="s">
        <v>142</v>
      </c>
      <c r="BD1052" s="3" t="s">
        <v>68</v>
      </c>
      <c r="BE1052" s="3" t="s">
        <v>10355</v>
      </c>
      <c r="BF1052" s="3" t="s">
        <v>10354</v>
      </c>
      <c r="BG1052" s="3" t="s">
        <v>10356</v>
      </c>
    </row>
    <row r="1053" spans="1:59" ht="57" x14ac:dyDescent="0.45">
      <c r="A1053" s="2" t="s">
        <v>59</v>
      </c>
      <c r="B1053" s="2" t="s">
        <v>60</v>
      </c>
      <c r="C1053" s="2" t="s">
        <v>10357</v>
      </c>
      <c r="D1053" s="2" t="s">
        <v>10358</v>
      </c>
      <c r="E1053" s="2" t="s">
        <v>10359</v>
      </c>
      <c r="G1053" s="3" t="s">
        <v>62</v>
      </c>
      <c r="I1053" s="3" t="s">
        <v>62</v>
      </c>
      <c r="J1053" s="3" t="s">
        <v>62</v>
      </c>
      <c r="K1053" s="3" t="s">
        <v>63</v>
      </c>
      <c r="L1053" s="2" t="s">
        <v>10360</v>
      </c>
      <c r="M1053" s="2" t="s">
        <v>4998</v>
      </c>
      <c r="N1053" s="3" t="s">
        <v>807</v>
      </c>
      <c r="P1053" s="3" t="s">
        <v>65</v>
      </c>
      <c r="Q1053" s="2" t="s">
        <v>7565</v>
      </c>
      <c r="R1053" s="3" t="s">
        <v>66</v>
      </c>
      <c r="S1053" s="4">
        <v>21</v>
      </c>
      <c r="T1053" s="4">
        <v>21</v>
      </c>
      <c r="U1053" s="5" t="s">
        <v>6222</v>
      </c>
      <c r="V1053" s="5" t="s">
        <v>6222</v>
      </c>
      <c r="W1053" s="5" t="s">
        <v>67</v>
      </c>
      <c r="X1053" s="5" t="s">
        <v>67</v>
      </c>
      <c r="Y1053" s="4">
        <v>473</v>
      </c>
      <c r="Z1053" s="4">
        <v>28</v>
      </c>
      <c r="AA1053" s="4">
        <v>35</v>
      </c>
      <c r="AB1053" s="4">
        <v>2</v>
      </c>
      <c r="AC1053" s="4">
        <v>7</v>
      </c>
      <c r="AD1053" s="4">
        <v>97</v>
      </c>
      <c r="AE1053" s="4">
        <v>107</v>
      </c>
      <c r="AF1053" s="4">
        <v>1</v>
      </c>
      <c r="AG1053" s="4">
        <v>4</v>
      </c>
      <c r="AH1053" s="4">
        <v>82</v>
      </c>
      <c r="AI1053" s="4">
        <v>89</v>
      </c>
      <c r="AJ1053" s="4">
        <v>16</v>
      </c>
      <c r="AK1053" s="4">
        <v>20</v>
      </c>
      <c r="AL1053" s="4">
        <v>43</v>
      </c>
      <c r="AM1053" s="4">
        <v>46</v>
      </c>
      <c r="AN1053" s="4">
        <v>0</v>
      </c>
      <c r="AO1053" s="4">
        <v>0</v>
      </c>
      <c r="AP1053" s="4">
        <v>22</v>
      </c>
      <c r="AQ1053" s="4">
        <v>26</v>
      </c>
      <c r="AR1053" s="3" t="s">
        <v>62</v>
      </c>
      <c r="AS1053" s="3" t="s">
        <v>62</v>
      </c>
      <c r="AT1053" s="3" t="s">
        <v>61</v>
      </c>
      <c r="AU1053" s="6" t="str">
        <f>HYPERLINK("http://catalog.hathitrust.org/Record/002859958","HathiTrust Record")</f>
        <v>HathiTrust Record</v>
      </c>
      <c r="AV1053" s="6" t="str">
        <f>HYPERLINK("http://mcgill.on.worldcat.org/oclc/24144110","Catalog Record")</f>
        <v>Catalog Record</v>
      </c>
      <c r="AW1053" s="6" t="str">
        <f>HYPERLINK("http://www.worldcat.org/oclc/24144110","WorldCat Record")</f>
        <v>WorldCat Record</v>
      </c>
      <c r="AX1053" s="3" t="s">
        <v>10361</v>
      </c>
      <c r="AY1053" s="3" t="s">
        <v>10362</v>
      </c>
      <c r="AZ1053" s="3" t="s">
        <v>10363</v>
      </c>
      <c r="BA1053" s="3" t="s">
        <v>10363</v>
      </c>
      <c r="BB1053" s="3" t="s">
        <v>10364</v>
      </c>
      <c r="BC1053" s="3" t="s">
        <v>142</v>
      </c>
      <c r="BD1053" s="3" t="s">
        <v>68</v>
      </c>
      <c r="BE1053" s="3" t="s">
        <v>10365</v>
      </c>
      <c r="BF1053" s="3" t="s">
        <v>10364</v>
      </c>
      <c r="BG1053" s="3" t="s">
        <v>10366</v>
      </c>
    </row>
    <row r="1054" spans="1:59" ht="57" x14ac:dyDescent="0.45">
      <c r="A1054" s="2" t="s">
        <v>59</v>
      </c>
      <c r="B1054" s="2" t="s">
        <v>412</v>
      </c>
      <c r="C1054" s="2" t="s">
        <v>10367</v>
      </c>
      <c r="D1054" s="2" t="s">
        <v>10368</v>
      </c>
      <c r="E1054" s="2" t="s">
        <v>10369</v>
      </c>
      <c r="G1054" s="3" t="s">
        <v>62</v>
      </c>
      <c r="I1054" s="3" t="s">
        <v>62</v>
      </c>
      <c r="J1054" s="3" t="s">
        <v>62</v>
      </c>
      <c r="K1054" s="3" t="s">
        <v>63</v>
      </c>
      <c r="M1054" s="2" t="s">
        <v>6141</v>
      </c>
      <c r="N1054" s="3" t="s">
        <v>894</v>
      </c>
      <c r="P1054" s="3" t="s">
        <v>65</v>
      </c>
      <c r="Q1054" s="2" t="s">
        <v>10370</v>
      </c>
      <c r="R1054" s="3" t="s">
        <v>66</v>
      </c>
      <c r="S1054" s="4">
        <v>3</v>
      </c>
      <c r="T1054" s="4">
        <v>3</v>
      </c>
      <c r="W1054" s="5" t="s">
        <v>67</v>
      </c>
      <c r="X1054" s="5" t="s">
        <v>67</v>
      </c>
      <c r="Y1054" s="4">
        <v>75</v>
      </c>
      <c r="Z1054" s="4">
        <v>7</v>
      </c>
      <c r="AA1054" s="4">
        <v>75</v>
      </c>
      <c r="AB1054" s="4">
        <v>1</v>
      </c>
      <c r="AC1054" s="4">
        <v>15</v>
      </c>
      <c r="AD1054" s="4">
        <v>32</v>
      </c>
      <c r="AE1054" s="4">
        <v>104</v>
      </c>
      <c r="AF1054" s="4">
        <v>0</v>
      </c>
      <c r="AG1054" s="4">
        <v>8</v>
      </c>
      <c r="AH1054" s="4">
        <v>31</v>
      </c>
      <c r="AI1054" s="4">
        <v>71</v>
      </c>
      <c r="AJ1054" s="4">
        <v>5</v>
      </c>
      <c r="AK1054" s="4">
        <v>19</v>
      </c>
      <c r="AL1054" s="4">
        <v>19</v>
      </c>
      <c r="AM1054" s="4">
        <v>38</v>
      </c>
      <c r="AN1054" s="4">
        <v>0</v>
      </c>
      <c r="AO1054" s="4">
        <v>0</v>
      </c>
      <c r="AP1054" s="4">
        <v>5</v>
      </c>
      <c r="AQ1054" s="4">
        <v>38</v>
      </c>
      <c r="AR1054" s="3" t="s">
        <v>62</v>
      </c>
      <c r="AS1054" s="3" t="s">
        <v>62</v>
      </c>
      <c r="AT1054" s="3" t="s">
        <v>62</v>
      </c>
      <c r="AV1054" s="6" t="str">
        <f>HYPERLINK("http://mcgill.on.worldcat.org/oclc/495781654","Catalog Record")</f>
        <v>Catalog Record</v>
      </c>
      <c r="AW1054" s="6" t="str">
        <f>HYPERLINK("http://www.worldcat.org/oclc/495781654","WorldCat Record")</f>
        <v>WorldCat Record</v>
      </c>
      <c r="AX1054" s="3" t="s">
        <v>10371</v>
      </c>
      <c r="AY1054" s="3" t="s">
        <v>10372</v>
      </c>
      <c r="AZ1054" s="3" t="s">
        <v>10373</v>
      </c>
      <c r="BA1054" s="3" t="s">
        <v>10373</v>
      </c>
      <c r="BB1054" s="3" t="s">
        <v>10374</v>
      </c>
      <c r="BC1054" s="3" t="s">
        <v>142</v>
      </c>
      <c r="BD1054" s="3" t="s">
        <v>308</v>
      </c>
      <c r="BE1054" s="3" t="s">
        <v>10375</v>
      </c>
      <c r="BF1054" s="3" t="s">
        <v>10374</v>
      </c>
      <c r="BG1054" s="3" t="s">
        <v>10376</v>
      </c>
    </row>
    <row r="1055" spans="1:59" ht="57" x14ac:dyDescent="0.45">
      <c r="A1055" s="2" t="s">
        <v>59</v>
      </c>
      <c r="B1055" s="2" t="s">
        <v>60</v>
      </c>
      <c r="C1055" s="2" t="s">
        <v>10377</v>
      </c>
      <c r="D1055" s="2" t="s">
        <v>10378</v>
      </c>
      <c r="E1055" s="2" t="s">
        <v>10379</v>
      </c>
      <c r="G1055" s="3" t="s">
        <v>62</v>
      </c>
      <c r="I1055" s="3" t="s">
        <v>62</v>
      </c>
      <c r="J1055" s="3" t="s">
        <v>62</v>
      </c>
      <c r="K1055" s="3" t="s">
        <v>63</v>
      </c>
      <c r="M1055" s="2" t="s">
        <v>10380</v>
      </c>
      <c r="N1055" s="3" t="s">
        <v>970</v>
      </c>
      <c r="P1055" s="3" t="s">
        <v>110</v>
      </c>
      <c r="Q1055" s="2" t="s">
        <v>10381</v>
      </c>
      <c r="R1055" s="3" t="s">
        <v>66</v>
      </c>
      <c r="S1055" s="4">
        <v>5</v>
      </c>
      <c r="T1055" s="4">
        <v>5</v>
      </c>
      <c r="U1055" s="5" t="s">
        <v>10382</v>
      </c>
      <c r="V1055" s="5" t="s">
        <v>10382</v>
      </c>
      <c r="W1055" s="5" t="s">
        <v>67</v>
      </c>
      <c r="X1055" s="5" t="s">
        <v>67</v>
      </c>
      <c r="Y1055" s="4">
        <v>24</v>
      </c>
      <c r="Z1055" s="4">
        <v>7</v>
      </c>
      <c r="AA1055" s="4">
        <v>11</v>
      </c>
      <c r="AB1055" s="4">
        <v>2</v>
      </c>
      <c r="AC1055" s="4">
        <v>4</v>
      </c>
      <c r="AD1055" s="4">
        <v>7</v>
      </c>
      <c r="AE1055" s="4">
        <v>10</v>
      </c>
      <c r="AF1055" s="4">
        <v>0</v>
      </c>
      <c r="AG1055" s="4">
        <v>2</v>
      </c>
      <c r="AH1055" s="4">
        <v>6</v>
      </c>
      <c r="AI1055" s="4">
        <v>8</v>
      </c>
      <c r="AJ1055" s="4">
        <v>4</v>
      </c>
      <c r="AK1055" s="4">
        <v>7</v>
      </c>
      <c r="AL1055" s="4">
        <v>2</v>
      </c>
      <c r="AM1055" s="4">
        <v>2</v>
      </c>
      <c r="AN1055" s="4">
        <v>0</v>
      </c>
      <c r="AO1055" s="4">
        <v>0</v>
      </c>
      <c r="AP1055" s="4">
        <v>4</v>
      </c>
      <c r="AQ1055" s="4">
        <v>7</v>
      </c>
      <c r="AR1055" s="3" t="s">
        <v>62</v>
      </c>
      <c r="AS1055" s="3" t="s">
        <v>62</v>
      </c>
      <c r="AT1055" s="3" t="s">
        <v>61</v>
      </c>
      <c r="AU1055" s="6" t="str">
        <f>HYPERLINK("http://catalog.hathitrust.org/Record/006954585","HathiTrust Record")</f>
        <v>HathiTrust Record</v>
      </c>
      <c r="AV1055" s="6" t="str">
        <f>HYPERLINK("http://mcgill.on.worldcat.org/oclc/49381586","Catalog Record")</f>
        <v>Catalog Record</v>
      </c>
      <c r="AW1055" s="6" t="str">
        <f>HYPERLINK("http://www.worldcat.org/oclc/49381586","WorldCat Record")</f>
        <v>WorldCat Record</v>
      </c>
      <c r="AX1055" s="3" t="s">
        <v>10383</v>
      </c>
      <c r="AY1055" s="3" t="s">
        <v>10384</v>
      </c>
      <c r="AZ1055" s="3" t="s">
        <v>10385</v>
      </c>
      <c r="BA1055" s="3" t="s">
        <v>10385</v>
      </c>
      <c r="BB1055" s="3" t="s">
        <v>10386</v>
      </c>
      <c r="BC1055" s="3" t="s">
        <v>142</v>
      </c>
      <c r="BD1055" s="3" t="s">
        <v>68</v>
      </c>
      <c r="BE1055" s="3" t="s">
        <v>10387</v>
      </c>
      <c r="BF1055" s="3" t="s">
        <v>10386</v>
      </c>
      <c r="BG1055" s="3" t="s">
        <v>10388</v>
      </c>
    </row>
    <row r="1056" spans="1:59" ht="57" x14ac:dyDescent="0.45">
      <c r="A1056" s="2" t="s">
        <v>59</v>
      </c>
      <c r="B1056" s="2" t="s">
        <v>60</v>
      </c>
      <c r="C1056" s="2" t="s">
        <v>10389</v>
      </c>
      <c r="D1056" s="2" t="s">
        <v>10390</v>
      </c>
      <c r="E1056" s="2" t="s">
        <v>10391</v>
      </c>
      <c r="G1056" s="3" t="s">
        <v>62</v>
      </c>
      <c r="I1056" s="3" t="s">
        <v>62</v>
      </c>
      <c r="J1056" s="3" t="s">
        <v>62</v>
      </c>
      <c r="K1056" s="3" t="s">
        <v>63</v>
      </c>
      <c r="L1056" s="2" t="s">
        <v>10392</v>
      </c>
      <c r="M1056" s="2" t="s">
        <v>10393</v>
      </c>
      <c r="N1056" s="3" t="s">
        <v>116</v>
      </c>
      <c r="P1056" s="3" t="s">
        <v>65</v>
      </c>
      <c r="Q1056" s="2" t="s">
        <v>10394</v>
      </c>
      <c r="R1056" s="3" t="s">
        <v>66</v>
      </c>
      <c r="S1056" s="4">
        <v>1</v>
      </c>
      <c r="T1056" s="4">
        <v>1</v>
      </c>
      <c r="U1056" s="5" t="s">
        <v>10395</v>
      </c>
      <c r="V1056" s="5" t="s">
        <v>10395</v>
      </c>
      <c r="W1056" s="5" t="s">
        <v>67</v>
      </c>
      <c r="X1056" s="5" t="s">
        <v>67</v>
      </c>
      <c r="Y1056" s="4">
        <v>45</v>
      </c>
      <c r="Z1056" s="4">
        <v>6</v>
      </c>
      <c r="AA1056" s="4">
        <v>7</v>
      </c>
      <c r="AB1056" s="4">
        <v>1</v>
      </c>
      <c r="AC1056" s="4">
        <v>1</v>
      </c>
      <c r="AD1056" s="4">
        <v>16</v>
      </c>
      <c r="AE1056" s="4">
        <v>17</v>
      </c>
      <c r="AF1056" s="4">
        <v>0</v>
      </c>
      <c r="AG1056" s="4">
        <v>0</v>
      </c>
      <c r="AH1056" s="4">
        <v>15</v>
      </c>
      <c r="AI1056" s="4">
        <v>15</v>
      </c>
      <c r="AJ1056" s="4">
        <v>4</v>
      </c>
      <c r="AK1056" s="4">
        <v>4</v>
      </c>
      <c r="AL1056" s="4">
        <v>7</v>
      </c>
      <c r="AM1056" s="4">
        <v>7</v>
      </c>
      <c r="AN1056" s="4">
        <v>0</v>
      </c>
      <c r="AO1056" s="4">
        <v>0</v>
      </c>
      <c r="AP1056" s="4">
        <v>4</v>
      </c>
      <c r="AQ1056" s="4">
        <v>5</v>
      </c>
      <c r="AR1056" s="3" t="s">
        <v>62</v>
      </c>
      <c r="AS1056" s="3" t="s">
        <v>62</v>
      </c>
      <c r="AT1056" s="3" t="s">
        <v>62</v>
      </c>
      <c r="AV1056" s="6" t="str">
        <f>HYPERLINK("http://mcgill.on.worldcat.org/oclc/809454937","Catalog Record")</f>
        <v>Catalog Record</v>
      </c>
      <c r="AW1056" s="6" t="str">
        <f>HYPERLINK("http://www.worldcat.org/oclc/809454937","WorldCat Record")</f>
        <v>WorldCat Record</v>
      </c>
      <c r="AX1056" s="3" t="s">
        <v>10396</v>
      </c>
      <c r="AY1056" s="3" t="s">
        <v>10397</v>
      </c>
      <c r="AZ1056" s="3" t="s">
        <v>10398</v>
      </c>
      <c r="BA1056" s="3" t="s">
        <v>10398</v>
      </c>
      <c r="BB1056" s="3" t="s">
        <v>10399</v>
      </c>
      <c r="BC1056" s="3" t="s">
        <v>142</v>
      </c>
      <c r="BD1056" s="3" t="s">
        <v>68</v>
      </c>
      <c r="BE1056" s="3" t="s">
        <v>10400</v>
      </c>
      <c r="BF1056" s="3" t="s">
        <v>10399</v>
      </c>
      <c r="BG1056" s="3" t="s">
        <v>10401</v>
      </c>
    </row>
    <row r="1057" spans="1:59" ht="57" x14ac:dyDescent="0.45">
      <c r="A1057" s="2" t="s">
        <v>59</v>
      </c>
      <c r="B1057" s="2" t="s">
        <v>60</v>
      </c>
      <c r="C1057" s="2" t="s">
        <v>10402</v>
      </c>
      <c r="D1057" s="2" t="s">
        <v>10403</v>
      </c>
      <c r="E1057" s="2" t="s">
        <v>10404</v>
      </c>
      <c r="G1057" s="3" t="s">
        <v>62</v>
      </c>
      <c r="I1057" s="3" t="s">
        <v>62</v>
      </c>
      <c r="J1057" s="3" t="s">
        <v>62</v>
      </c>
      <c r="K1057" s="3" t="s">
        <v>63</v>
      </c>
      <c r="L1057" s="2" t="s">
        <v>10405</v>
      </c>
      <c r="M1057" s="2" t="s">
        <v>8957</v>
      </c>
      <c r="N1057" s="3" t="s">
        <v>1155</v>
      </c>
      <c r="P1057" s="3" t="s">
        <v>65</v>
      </c>
      <c r="R1057" s="3" t="s">
        <v>66</v>
      </c>
      <c r="S1057" s="4">
        <v>1</v>
      </c>
      <c r="T1057" s="4">
        <v>1</v>
      </c>
      <c r="U1057" s="5" t="s">
        <v>10406</v>
      </c>
      <c r="V1057" s="5" t="s">
        <v>10406</v>
      </c>
      <c r="W1057" s="5" t="s">
        <v>67</v>
      </c>
      <c r="X1057" s="5" t="s">
        <v>67</v>
      </c>
      <c r="Y1057" s="4">
        <v>110</v>
      </c>
      <c r="Z1057" s="4">
        <v>17</v>
      </c>
      <c r="AA1057" s="4">
        <v>50</v>
      </c>
      <c r="AB1057" s="4">
        <v>2</v>
      </c>
      <c r="AC1057" s="4">
        <v>5</v>
      </c>
      <c r="AD1057" s="4">
        <v>47</v>
      </c>
      <c r="AE1057" s="4">
        <v>67</v>
      </c>
      <c r="AF1057" s="4">
        <v>1</v>
      </c>
      <c r="AG1057" s="4">
        <v>2</v>
      </c>
      <c r="AH1057" s="4">
        <v>42</v>
      </c>
      <c r="AI1057" s="4">
        <v>52</v>
      </c>
      <c r="AJ1057" s="4">
        <v>12</v>
      </c>
      <c r="AK1057" s="4">
        <v>17</v>
      </c>
      <c r="AL1057" s="4">
        <v>20</v>
      </c>
      <c r="AM1057" s="4">
        <v>25</v>
      </c>
      <c r="AN1057" s="4">
        <v>0</v>
      </c>
      <c r="AO1057" s="4">
        <v>0</v>
      </c>
      <c r="AP1057" s="4">
        <v>12</v>
      </c>
      <c r="AQ1057" s="4">
        <v>22</v>
      </c>
      <c r="AR1057" s="3" t="s">
        <v>62</v>
      </c>
      <c r="AS1057" s="3" t="s">
        <v>62</v>
      </c>
      <c r="AT1057" s="3" t="s">
        <v>62</v>
      </c>
      <c r="AV1057" s="6" t="str">
        <f>HYPERLINK("http://mcgill.on.worldcat.org/oclc/748328721","Catalog Record")</f>
        <v>Catalog Record</v>
      </c>
      <c r="AW1057" s="6" t="str">
        <f>HYPERLINK("http://www.worldcat.org/oclc/748328721","WorldCat Record")</f>
        <v>WorldCat Record</v>
      </c>
      <c r="AX1057" s="3" t="s">
        <v>10407</v>
      </c>
      <c r="AY1057" s="3" t="s">
        <v>10408</v>
      </c>
      <c r="AZ1057" s="3" t="s">
        <v>10409</v>
      </c>
      <c r="BA1057" s="3" t="s">
        <v>10409</v>
      </c>
      <c r="BB1057" s="3" t="s">
        <v>10410</v>
      </c>
      <c r="BC1057" s="3" t="s">
        <v>142</v>
      </c>
      <c r="BD1057" s="3" t="s">
        <v>68</v>
      </c>
      <c r="BE1057" s="3" t="s">
        <v>10411</v>
      </c>
      <c r="BF1057" s="3" t="s">
        <v>10410</v>
      </c>
      <c r="BG1057" s="3" t="s">
        <v>10412</v>
      </c>
    </row>
    <row r="1058" spans="1:59" ht="57" x14ac:dyDescent="0.45">
      <c r="A1058" s="2" t="s">
        <v>59</v>
      </c>
      <c r="B1058" s="2" t="s">
        <v>60</v>
      </c>
      <c r="C1058" s="2" t="s">
        <v>10413</v>
      </c>
      <c r="D1058" s="2" t="s">
        <v>10414</v>
      </c>
      <c r="E1058" s="2" t="s">
        <v>10415</v>
      </c>
      <c r="G1058" s="3" t="s">
        <v>62</v>
      </c>
      <c r="I1058" s="3" t="s">
        <v>62</v>
      </c>
      <c r="J1058" s="3" t="s">
        <v>62</v>
      </c>
      <c r="K1058" s="3" t="s">
        <v>63</v>
      </c>
      <c r="M1058" s="2" t="s">
        <v>10416</v>
      </c>
      <c r="N1058" s="3" t="s">
        <v>116</v>
      </c>
      <c r="P1058" s="3" t="s">
        <v>110</v>
      </c>
      <c r="Q1058" s="2" t="s">
        <v>10417</v>
      </c>
      <c r="R1058" s="3" t="s">
        <v>66</v>
      </c>
      <c r="S1058" s="4">
        <v>0</v>
      </c>
      <c r="T1058" s="4">
        <v>0</v>
      </c>
      <c r="W1058" s="5" t="s">
        <v>67</v>
      </c>
      <c r="X1058" s="5" t="s">
        <v>67</v>
      </c>
      <c r="Y1058" s="4">
        <v>13</v>
      </c>
      <c r="Z1058" s="4">
        <v>5</v>
      </c>
      <c r="AA1058" s="4">
        <v>10</v>
      </c>
      <c r="AB1058" s="4">
        <v>1</v>
      </c>
      <c r="AC1058" s="4">
        <v>2</v>
      </c>
      <c r="AD1058" s="4">
        <v>8</v>
      </c>
      <c r="AE1058" s="4">
        <v>12</v>
      </c>
      <c r="AF1058" s="4">
        <v>0</v>
      </c>
      <c r="AG1058" s="4">
        <v>1</v>
      </c>
      <c r="AH1058" s="4">
        <v>7</v>
      </c>
      <c r="AI1058" s="4">
        <v>10</v>
      </c>
      <c r="AJ1058" s="4">
        <v>4</v>
      </c>
      <c r="AK1058" s="4">
        <v>8</v>
      </c>
      <c r="AL1058" s="4">
        <v>3</v>
      </c>
      <c r="AM1058" s="4">
        <v>3</v>
      </c>
      <c r="AN1058" s="4">
        <v>0</v>
      </c>
      <c r="AO1058" s="4">
        <v>0</v>
      </c>
      <c r="AP1058" s="4">
        <v>4</v>
      </c>
      <c r="AQ1058" s="4">
        <v>8</v>
      </c>
      <c r="AR1058" s="3" t="s">
        <v>62</v>
      </c>
      <c r="AS1058" s="3" t="s">
        <v>62</v>
      </c>
      <c r="AT1058" s="3" t="s">
        <v>62</v>
      </c>
      <c r="AV1058" s="6" t="str">
        <f>HYPERLINK("http://mcgill.on.worldcat.org/oclc/860837534","Catalog Record")</f>
        <v>Catalog Record</v>
      </c>
      <c r="AW1058" s="6" t="str">
        <f>HYPERLINK("http://www.worldcat.org/oclc/860837534","WorldCat Record")</f>
        <v>WorldCat Record</v>
      </c>
      <c r="AX1058" s="3" t="s">
        <v>10418</v>
      </c>
      <c r="AY1058" s="3" t="s">
        <v>10419</v>
      </c>
      <c r="AZ1058" s="3" t="s">
        <v>10420</v>
      </c>
      <c r="BA1058" s="3" t="s">
        <v>10420</v>
      </c>
      <c r="BB1058" s="3" t="s">
        <v>10421</v>
      </c>
      <c r="BC1058" s="3" t="s">
        <v>142</v>
      </c>
      <c r="BD1058" s="3" t="s">
        <v>68</v>
      </c>
      <c r="BE1058" s="3" t="s">
        <v>10422</v>
      </c>
      <c r="BF1058" s="3" t="s">
        <v>10421</v>
      </c>
      <c r="BG1058" s="3" t="s">
        <v>10423</v>
      </c>
    </row>
    <row r="1059" spans="1:59" ht="57" x14ac:dyDescent="0.45">
      <c r="A1059" s="2" t="s">
        <v>59</v>
      </c>
      <c r="B1059" s="2" t="s">
        <v>412</v>
      </c>
      <c r="C1059" s="2" t="s">
        <v>10424</v>
      </c>
      <c r="D1059" s="2" t="s">
        <v>10425</v>
      </c>
      <c r="E1059" s="2" t="s">
        <v>10426</v>
      </c>
      <c r="G1059" s="3" t="s">
        <v>62</v>
      </c>
      <c r="I1059" s="3" t="s">
        <v>62</v>
      </c>
      <c r="J1059" s="3" t="s">
        <v>62</v>
      </c>
      <c r="K1059" s="3" t="s">
        <v>63</v>
      </c>
      <c r="L1059" s="2" t="s">
        <v>10427</v>
      </c>
      <c r="M1059" s="2" t="s">
        <v>1314</v>
      </c>
      <c r="N1059" s="3" t="s">
        <v>181</v>
      </c>
      <c r="P1059" s="3" t="s">
        <v>65</v>
      </c>
      <c r="Q1059" s="2" t="s">
        <v>10428</v>
      </c>
      <c r="R1059" s="3" t="s">
        <v>66</v>
      </c>
      <c r="S1059" s="4">
        <v>1</v>
      </c>
      <c r="T1059" s="4">
        <v>1</v>
      </c>
      <c r="U1059" s="5" t="s">
        <v>10429</v>
      </c>
      <c r="V1059" s="5" t="s">
        <v>10429</v>
      </c>
      <c r="W1059" s="5" t="s">
        <v>67</v>
      </c>
      <c r="X1059" s="5" t="s">
        <v>67</v>
      </c>
      <c r="Y1059" s="4">
        <v>42</v>
      </c>
      <c r="Z1059" s="4">
        <v>8</v>
      </c>
      <c r="AA1059" s="4">
        <v>77</v>
      </c>
      <c r="AB1059" s="4">
        <v>1</v>
      </c>
      <c r="AC1059" s="4">
        <v>14</v>
      </c>
      <c r="AD1059" s="4">
        <v>17</v>
      </c>
      <c r="AE1059" s="4">
        <v>95</v>
      </c>
      <c r="AF1059" s="4">
        <v>0</v>
      </c>
      <c r="AG1059" s="4">
        <v>8</v>
      </c>
      <c r="AH1059" s="4">
        <v>15</v>
      </c>
      <c r="AI1059" s="4">
        <v>64</v>
      </c>
      <c r="AJ1059" s="4">
        <v>6</v>
      </c>
      <c r="AK1059" s="4">
        <v>22</v>
      </c>
      <c r="AL1059" s="4">
        <v>8</v>
      </c>
      <c r="AM1059" s="4">
        <v>31</v>
      </c>
      <c r="AN1059" s="4">
        <v>0</v>
      </c>
      <c r="AO1059" s="4">
        <v>0</v>
      </c>
      <c r="AP1059" s="4">
        <v>6</v>
      </c>
      <c r="AQ1059" s="4">
        <v>39</v>
      </c>
      <c r="AR1059" s="3" t="s">
        <v>62</v>
      </c>
      <c r="AS1059" s="3" t="s">
        <v>62</v>
      </c>
      <c r="AT1059" s="3" t="s">
        <v>62</v>
      </c>
      <c r="AV1059" s="6" t="str">
        <f>HYPERLINK("http://mcgill.on.worldcat.org/oclc/918150165","Catalog Record")</f>
        <v>Catalog Record</v>
      </c>
      <c r="AW1059" s="6" t="str">
        <f>HYPERLINK("http://www.worldcat.org/oclc/918150165","WorldCat Record")</f>
        <v>WorldCat Record</v>
      </c>
      <c r="AX1059" s="3" t="s">
        <v>10430</v>
      </c>
      <c r="AY1059" s="3" t="s">
        <v>10431</v>
      </c>
      <c r="AZ1059" s="3" t="s">
        <v>10432</v>
      </c>
      <c r="BA1059" s="3" t="s">
        <v>10432</v>
      </c>
      <c r="BB1059" s="3" t="s">
        <v>10433</v>
      </c>
      <c r="BC1059" s="3" t="s">
        <v>142</v>
      </c>
      <c r="BD1059" s="3" t="s">
        <v>68</v>
      </c>
      <c r="BE1059" s="3" t="s">
        <v>10434</v>
      </c>
      <c r="BF1059" s="3" t="s">
        <v>10433</v>
      </c>
      <c r="BG1059" s="3" t="s">
        <v>10435</v>
      </c>
    </row>
    <row r="1060" spans="1:59" ht="85.5" x14ac:dyDescent="0.45">
      <c r="A1060" s="2" t="s">
        <v>59</v>
      </c>
      <c r="B1060" s="2" t="s">
        <v>5257</v>
      </c>
      <c r="C1060" s="2" t="s">
        <v>10436</v>
      </c>
      <c r="D1060" s="2" t="s">
        <v>10437</v>
      </c>
      <c r="E1060" s="2" t="s">
        <v>10438</v>
      </c>
      <c r="G1060" s="3" t="s">
        <v>62</v>
      </c>
      <c r="I1060" s="3" t="s">
        <v>62</v>
      </c>
      <c r="J1060" s="3" t="s">
        <v>62</v>
      </c>
      <c r="K1060" s="3" t="s">
        <v>63</v>
      </c>
      <c r="L1060" s="2" t="s">
        <v>10439</v>
      </c>
      <c r="M1060" s="2" t="s">
        <v>10440</v>
      </c>
      <c r="N1060" s="3" t="s">
        <v>894</v>
      </c>
      <c r="P1060" s="3" t="s">
        <v>65</v>
      </c>
      <c r="Q1060" s="2" t="s">
        <v>10441</v>
      </c>
      <c r="R1060" s="3" t="s">
        <v>66</v>
      </c>
      <c r="S1060" s="4">
        <v>0</v>
      </c>
      <c r="T1060" s="4">
        <v>0</v>
      </c>
      <c r="W1060" s="5" t="s">
        <v>67</v>
      </c>
      <c r="X1060" s="5" t="s">
        <v>67</v>
      </c>
      <c r="Y1060" s="4">
        <v>32</v>
      </c>
      <c r="Z1060" s="4">
        <v>6</v>
      </c>
      <c r="AA1060" s="4">
        <v>34</v>
      </c>
      <c r="AB1060" s="4">
        <v>1</v>
      </c>
      <c r="AC1060" s="4">
        <v>9</v>
      </c>
      <c r="AD1060" s="4">
        <v>13</v>
      </c>
      <c r="AE1060" s="4">
        <v>28</v>
      </c>
      <c r="AF1060" s="4">
        <v>0</v>
      </c>
      <c r="AG1060" s="4">
        <v>3</v>
      </c>
      <c r="AH1060" s="4">
        <v>12</v>
      </c>
      <c r="AI1060" s="4">
        <v>18</v>
      </c>
      <c r="AJ1060" s="4">
        <v>4</v>
      </c>
      <c r="AK1060" s="4">
        <v>7</v>
      </c>
      <c r="AL1060" s="4">
        <v>7</v>
      </c>
      <c r="AM1060" s="4">
        <v>12</v>
      </c>
      <c r="AN1060" s="4">
        <v>0</v>
      </c>
      <c r="AO1060" s="4">
        <v>0</v>
      </c>
      <c r="AP1060" s="4">
        <v>4</v>
      </c>
      <c r="AQ1060" s="4">
        <v>12</v>
      </c>
      <c r="AR1060" s="3" t="s">
        <v>62</v>
      </c>
      <c r="AS1060" s="3" t="s">
        <v>62</v>
      </c>
      <c r="AT1060" s="3" t="s">
        <v>62</v>
      </c>
      <c r="AV1060" s="6" t="str">
        <f>HYPERLINK("http://mcgill.on.worldcat.org/oclc/703623780","Catalog Record")</f>
        <v>Catalog Record</v>
      </c>
      <c r="AW1060" s="6" t="str">
        <f>HYPERLINK("http://www.worldcat.org/oclc/703623780","WorldCat Record")</f>
        <v>WorldCat Record</v>
      </c>
      <c r="AX1060" s="3" t="s">
        <v>10442</v>
      </c>
      <c r="AY1060" s="3" t="s">
        <v>10443</v>
      </c>
      <c r="AZ1060" s="3" t="s">
        <v>10444</v>
      </c>
      <c r="BA1060" s="3" t="s">
        <v>10444</v>
      </c>
      <c r="BB1060" s="3" t="s">
        <v>10445</v>
      </c>
      <c r="BC1060" s="3" t="s">
        <v>142</v>
      </c>
      <c r="BD1060" s="3" t="s">
        <v>68</v>
      </c>
      <c r="BE1060" s="3" t="s">
        <v>10446</v>
      </c>
      <c r="BF1060" s="3" t="s">
        <v>10445</v>
      </c>
      <c r="BG1060" s="3" t="s">
        <v>10447</v>
      </c>
    </row>
    <row r="1061" spans="1:59" ht="57" x14ac:dyDescent="0.45">
      <c r="A1061" s="2" t="s">
        <v>59</v>
      </c>
      <c r="B1061" s="2" t="s">
        <v>60</v>
      </c>
      <c r="C1061" s="2" t="s">
        <v>10448</v>
      </c>
      <c r="D1061" s="2" t="s">
        <v>10449</v>
      </c>
      <c r="E1061" s="2" t="s">
        <v>10450</v>
      </c>
      <c r="G1061" s="3" t="s">
        <v>62</v>
      </c>
      <c r="I1061" s="3" t="s">
        <v>62</v>
      </c>
      <c r="J1061" s="3" t="s">
        <v>62</v>
      </c>
      <c r="K1061" s="3" t="s">
        <v>63</v>
      </c>
      <c r="M1061" s="2" t="s">
        <v>4384</v>
      </c>
      <c r="N1061" s="3" t="s">
        <v>181</v>
      </c>
      <c r="P1061" s="3" t="s">
        <v>65</v>
      </c>
      <c r="Q1061" s="2" t="s">
        <v>10451</v>
      </c>
      <c r="R1061" s="3" t="s">
        <v>66</v>
      </c>
      <c r="S1061" s="4">
        <v>0</v>
      </c>
      <c r="T1061" s="4">
        <v>0</v>
      </c>
      <c r="W1061" s="5" t="s">
        <v>67</v>
      </c>
      <c r="X1061" s="5" t="s">
        <v>67</v>
      </c>
      <c r="Y1061" s="4">
        <v>40</v>
      </c>
      <c r="Z1061" s="4">
        <v>4</v>
      </c>
      <c r="AA1061" s="4">
        <v>9</v>
      </c>
      <c r="AB1061" s="4">
        <v>1</v>
      </c>
      <c r="AC1061" s="4">
        <v>4</v>
      </c>
      <c r="AD1061" s="4">
        <v>15</v>
      </c>
      <c r="AE1061" s="4">
        <v>26</v>
      </c>
      <c r="AF1061" s="4">
        <v>0</v>
      </c>
      <c r="AG1061" s="4">
        <v>0</v>
      </c>
      <c r="AH1061" s="4">
        <v>14</v>
      </c>
      <c r="AI1061" s="4">
        <v>25</v>
      </c>
      <c r="AJ1061" s="4">
        <v>2</v>
      </c>
      <c r="AK1061" s="4">
        <v>4</v>
      </c>
      <c r="AL1061" s="4">
        <v>9</v>
      </c>
      <c r="AM1061" s="4">
        <v>16</v>
      </c>
      <c r="AN1061" s="4">
        <v>0</v>
      </c>
      <c r="AO1061" s="4">
        <v>0</v>
      </c>
      <c r="AP1061" s="4">
        <v>2</v>
      </c>
      <c r="AQ1061" s="4">
        <v>4</v>
      </c>
      <c r="AR1061" s="3" t="s">
        <v>62</v>
      </c>
      <c r="AS1061" s="3" t="s">
        <v>62</v>
      </c>
      <c r="AT1061" s="3" t="s">
        <v>62</v>
      </c>
      <c r="AV1061" s="6" t="str">
        <f>HYPERLINK("http://mcgill.on.worldcat.org/oclc/928750417","Catalog Record")</f>
        <v>Catalog Record</v>
      </c>
      <c r="AW1061" s="6" t="str">
        <f>HYPERLINK("http://www.worldcat.org/oclc/928750417","WorldCat Record")</f>
        <v>WorldCat Record</v>
      </c>
      <c r="AX1061" s="3" t="s">
        <v>10452</v>
      </c>
      <c r="AY1061" s="3" t="s">
        <v>10453</v>
      </c>
      <c r="AZ1061" s="3" t="s">
        <v>10454</v>
      </c>
      <c r="BA1061" s="3" t="s">
        <v>10454</v>
      </c>
      <c r="BB1061" s="3" t="s">
        <v>10455</v>
      </c>
      <c r="BC1061" s="3" t="s">
        <v>142</v>
      </c>
      <c r="BD1061" s="3" t="s">
        <v>68</v>
      </c>
      <c r="BE1061" s="3" t="s">
        <v>10456</v>
      </c>
      <c r="BF1061" s="3" t="s">
        <v>10455</v>
      </c>
      <c r="BG1061" s="3" t="s">
        <v>10457</v>
      </c>
    </row>
    <row r="1062" spans="1:59" ht="57" x14ac:dyDescent="0.45">
      <c r="A1062" s="2" t="s">
        <v>59</v>
      </c>
      <c r="B1062" s="2" t="s">
        <v>60</v>
      </c>
      <c r="C1062" s="2" t="s">
        <v>10458</v>
      </c>
      <c r="D1062" s="2" t="s">
        <v>10459</v>
      </c>
      <c r="E1062" s="2" t="s">
        <v>10460</v>
      </c>
      <c r="G1062" s="3" t="s">
        <v>62</v>
      </c>
      <c r="I1062" s="3" t="s">
        <v>62</v>
      </c>
      <c r="J1062" s="3" t="s">
        <v>62</v>
      </c>
      <c r="K1062" s="3" t="s">
        <v>63</v>
      </c>
      <c r="L1062" s="2" t="s">
        <v>10461</v>
      </c>
      <c r="M1062" s="2" t="s">
        <v>10462</v>
      </c>
      <c r="N1062" s="3" t="s">
        <v>149</v>
      </c>
      <c r="P1062" s="3" t="s">
        <v>65</v>
      </c>
      <c r="Q1062" s="2" t="s">
        <v>2655</v>
      </c>
      <c r="R1062" s="3" t="s">
        <v>66</v>
      </c>
      <c r="S1062" s="4">
        <v>3</v>
      </c>
      <c r="T1062" s="4">
        <v>3</v>
      </c>
      <c r="U1062" s="5" t="s">
        <v>10463</v>
      </c>
      <c r="V1062" s="5" t="s">
        <v>10463</v>
      </c>
      <c r="W1062" s="5" t="s">
        <v>67</v>
      </c>
      <c r="X1062" s="5" t="s">
        <v>67</v>
      </c>
      <c r="Y1062" s="4">
        <v>192</v>
      </c>
      <c r="Z1062" s="4">
        <v>17</v>
      </c>
      <c r="AA1062" s="4">
        <v>21</v>
      </c>
      <c r="AB1062" s="4">
        <v>1</v>
      </c>
      <c r="AC1062" s="4">
        <v>5</v>
      </c>
      <c r="AD1062" s="4">
        <v>62</v>
      </c>
      <c r="AE1062" s="4">
        <v>65</v>
      </c>
      <c r="AF1062" s="4">
        <v>0</v>
      </c>
      <c r="AG1062" s="4">
        <v>3</v>
      </c>
      <c r="AH1062" s="4">
        <v>57</v>
      </c>
      <c r="AI1062" s="4">
        <v>58</v>
      </c>
      <c r="AJ1062" s="4">
        <v>12</v>
      </c>
      <c r="AK1062" s="4">
        <v>14</v>
      </c>
      <c r="AL1062" s="4">
        <v>31</v>
      </c>
      <c r="AM1062" s="4">
        <v>31</v>
      </c>
      <c r="AN1062" s="4">
        <v>5</v>
      </c>
      <c r="AO1062" s="4">
        <v>5</v>
      </c>
      <c r="AP1062" s="4">
        <v>13</v>
      </c>
      <c r="AQ1062" s="4">
        <v>15</v>
      </c>
      <c r="AR1062" s="3" t="s">
        <v>62</v>
      </c>
      <c r="AS1062" s="3" t="s">
        <v>62</v>
      </c>
      <c r="AT1062" s="3" t="s">
        <v>61</v>
      </c>
      <c r="AU1062" s="6" t="str">
        <f>HYPERLINK("http://catalog.hathitrust.org/Record/008983109","HathiTrust Record")</f>
        <v>HathiTrust Record</v>
      </c>
      <c r="AV1062" s="6" t="str">
        <f>HYPERLINK("http://mcgill.on.worldcat.org/oclc/613313278","Catalog Record")</f>
        <v>Catalog Record</v>
      </c>
      <c r="AW1062" s="6" t="str">
        <f>HYPERLINK("http://www.worldcat.org/oclc/613313278","WorldCat Record")</f>
        <v>WorldCat Record</v>
      </c>
      <c r="AX1062" s="3" t="s">
        <v>10464</v>
      </c>
      <c r="AY1062" s="3" t="s">
        <v>10465</v>
      </c>
      <c r="AZ1062" s="3" t="s">
        <v>10466</v>
      </c>
      <c r="BA1062" s="3" t="s">
        <v>10466</v>
      </c>
      <c r="BB1062" s="3" t="s">
        <v>10467</v>
      </c>
      <c r="BC1062" s="3" t="s">
        <v>142</v>
      </c>
      <c r="BD1062" s="3" t="s">
        <v>308</v>
      </c>
      <c r="BE1062" s="3" t="s">
        <v>10468</v>
      </c>
      <c r="BF1062" s="3" t="s">
        <v>10467</v>
      </c>
      <c r="BG1062" s="3" t="s">
        <v>10469</v>
      </c>
    </row>
    <row r="1063" spans="1:59" ht="57" x14ac:dyDescent="0.45">
      <c r="A1063" s="2" t="s">
        <v>59</v>
      </c>
      <c r="B1063" s="2" t="s">
        <v>60</v>
      </c>
      <c r="C1063" s="2" t="s">
        <v>10470</v>
      </c>
      <c r="D1063" s="2" t="s">
        <v>10471</v>
      </c>
      <c r="E1063" s="2" t="s">
        <v>10472</v>
      </c>
      <c r="G1063" s="3" t="s">
        <v>62</v>
      </c>
      <c r="I1063" s="3" t="s">
        <v>62</v>
      </c>
      <c r="J1063" s="3" t="s">
        <v>62</v>
      </c>
      <c r="K1063" s="3" t="s">
        <v>63</v>
      </c>
      <c r="L1063" s="2" t="s">
        <v>10473</v>
      </c>
      <c r="M1063" s="2" t="s">
        <v>1881</v>
      </c>
      <c r="N1063" s="3" t="s">
        <v>1253</v>
      </c>
      <c r="P1063" s="3" t="s">
        <v>65</v>
      </c>
      <c r="Q1063" s="2" t="s">
        <v>7036</v>
      </c>
      <c r="R1063" s="3" t="s">
        <v>66</v>
      </c>
      <c r="S1063" s="4">
        <v>41</v>
      </c>
      <c r="T1063" s="4">
        <v>41</v>
      </c>
      <c r="U1063" s="5" t="s">
        <v>10474</v>
      </c>
      <c r="V1063" s="5" t="s">
        <v>10474</v>
      </c>
      <c r="W1063" s="5" t="s">
        <v>67</v>
      </c>
      <c r="X1063" s="5" t="s">
        <v>67</v>
      </c>
      <c r="Y1063" s="4">
        <v>465</v>
      </c>
      <c r="Z1063" s="4">
        <v>24</v>
      </c>
      <c r="AA1063" s="4">
        <v>33</v>
      </c>
      <c r="AB1063" s="4">
        <v>3</v>
      </c>
      <c r="AC1063" s="4">
        <v>10</v>
      </c>
      <c r="AD1063" s="4">
        <v>99</v>
      </c>
      <c r="AE1063" s="4">
        <v>105</v>
      </c>
      <c r="AF1063" s="4">
        <v>2</v>
      </c>
      <c r="AG1063" s="4">
        <v>6</v>
      </c>
      <c r="AH1063" s="4">
        <v>85</v>
      </c>
      <c r="AI1063" s="4">
        <v>87</v>
      </c>
      <c r="AJ1063" s="4">
        <v>14</v>
      </c>
      <c r="AK1063" s="4">
        <v>18</v>
      </c>
      <c r="AL1063" s="4">
        <v>50</v>
      </c>
      <c r="AM1063" s="4">
        <v>51</v>
      </c>
      <c r="AN1063" s="4">
        <v>0</v>
      </c>
      <c r="AO1063" s="4">
        <v>0</v>
      </c>
      <c r="AP1063" s="4">
        <v>19</v>
      </c>
      <c r="AQ1063" s="4">
        <v>23</v>
      </c>
      <c r="AR1063" s="3" t="s">
        <v>62</v>
      </c>
      <c r="AS1063" s="3" t="s">
        <v>62</v>
      </c>
      <c r="AT1063" s="3" t="s">
        <v>61</v>
      </c>
      <c r="AU1063" s="6" t="str">
        <f>HYPERLINK("http://catalog.hathitrust.org/Record/003136236","HathiTrust Record")</f>
        <v>HathiTrust Record</v>
      </c>
      <c r="AV1063" s="6" t="str">
        <f>HYPERLINK("http://mcgill.on.worldcat.org/oclc/34723756","Catalog Record")</f>
        <v>Catalog Record</v>
      </c>
      <c r="AW1063" s="6" t="str">
        <f>HYPERLINK("http://www.worldcat.org/oclc/34723756","WorldCat Record")</f>
        <v>WorldCat Record</v>
      </c>
      <c r="AX1063" s="3" t="s">
        <v>10475</v>
      </c>
      <c r="AY1063" s="3" t="s">
        <v>10476</v>
      </c>
      <c r="AZ1063" s="3" t="s">
        <v>10477</v>
      </c>
      <c r="BA1063" s="3" t="s">
        <v>10477</v>
      </c>
      <c r="BB1063" s="3" t="s">
        <v>10478</v>
      </c>
      <c r="BC1063" s="3" t="s">
        <v>142</v>
      </c>
      <c r="BD1063" s="3" t="s">
        <v>68</v>
      </c>
      <c r="BE1063" s="3" t="s">
        <v>10479</v>
      </c>
      <c r="BF1063" s="3" t="s">
        <v>10478</v>
      </c>
      <c r="BG1063" s="3" t="s">
        <v>10480</v>
      </c>
    </row>
    <row r="1064" spans="1:59" ht="57" x14ac:dyDescent="0.45">
      <c r="A1064" s="2" t="s">
        <v>59</v>
      </c>
      <c r="B1064" s="2" t="s">
        <v>60</v>
      </c>
      <c r="C1064" s="2" t="s">
        <v>10481</v>
      </c>
      <c r="D1064" s="2" t="s">
        <v>10482</v>
      </c>
      <c r="E1064" s="2" t="s">
        <v>10483</v>
      </c>
      <c r="G1064" s="3" t="s">
        <v>62</v>
      </c>
      <c r="I1064" s="3" t="s">
        <v>62</v>
      </c>
      <c r="J1064" s="3" t="s">
        <v>62</v>
      </c>
      <c r="K1064" s="3" t="s">
        <v>63</v>
      </c>
      <c r="L1064" s="2" t="s">
        <v>10484</v>
      </c>
      <c r="M1064" s="2" t="s">
        <v>10485</v>
      </c>
      <c r="N1064" s="3" t="s">
        <v>807</v>
      </c>
      <c r="P1064" s="3" t="s">
        <v>110</v>
      </c>
      <c r="Q1064" s="2" t="s">
        <v>10486</v>
      </c>
      <c r="R1064" s="3" t="s">
        <v>66</v>
      </c>
      <c r="S1064" s="4">
        <v>7</v>
      </c>
      <c r="T1064" s="4">
        <v>7</v>
      </c>
      <c r="U1064" s="5" t="s">
        <v>2378</v>
      </c>
      <c r="V1064" s="5" t="s">
        <v>2378</v>
      </c>
      <c r="W1064" s="5" t="s">
        <v>67</v>
      </c>
      <c r="X1064" s="5" t="s">
        <v>67</v>
      </c>
      <c r="Y1064" s="4">
        <v>23</v>
      </c>
      <c r="Z1064" s="4">
        <v>11</v>
      </c>
      <c r="AA1064" s="4">
        <v>14</v>
      </c>
      <c r="AB1064" s="4">
        <v>2</v>
      </c>
      <c r="AC1064" s="4">
        <v>4</v>
      </c>
      <c r="AD1064" s="4">
        <v>7</v>
      </c>
      <c r="AE1064" s="4">
        <v>11</v>
      </c>
      <c r="AF1064" s="4">
        <v>1</v>
      </c>
      <c r="AG1064" s="4">
        <v>3</v>
      </c>
      <c r="AH1064" s="4">
        <v>3</v>
      </c>
      <c r="AI1064" s="4">
        <v>5</v>
      </c>
      <c r="AJ1064" s="4">
        <v>5</v>
      </c>
      <c r="AK1064" s="4">
        <v>8</v>
      </c>
      <c r="AL1064" s="4">
        <v>1</v>
      </c>
      <c r="AM1064" s="4">
        <v>2</v>
      </c>
      <c r="AN1064" s="4">
        <v>0</v>
      </c>
      <c r="AO1064" s="4">
        <v>0</v>
      </c>
      <c r="AP1064" s="4">
        <v>6</v>
      </c>
      <c r="AQ1064" s="4">
        <v>8</v>
      </c>
      <c r="AR1064" s="3" t="s">
        <v>62</v>
      </c>
      <c r="AS1064" s="3" t="s">
        <v>62</v>
      </c>
      <c r="AT1064" s="3" t="s">
        <v>62</v>
      </c>
      <c r="AV1064" s="6" t="str">
        <f>HYPERLINK("http://mcgill.on.worldcat.org/oclc/31668162","Catalog Record")</f>
        <v>Catalog Record</v>
      </c>
      <c r="AW1064" s="6" t="str">
        <f>HYPERLINK("http://www.worldcat.org/oclc/31668162","WorldCat Record")</f>
        <v>WorldCat Record</v>
      </c>
      <c r="AX1064" s="3" t="s">
        <v>10487</v>
      </c>
      <c r="AY1064" s="3" t="s">
        <v>10488</v>
      </c>
      <c r="AZ1064" s="3" t="s">
        <v>10489</v>
      </c>
      <c r="BA1064" s="3" t="s">
        <v>10489</v>
      </c>
      <c r="BB1064" s="3" t="s">
        <v>10490</v>
      </c>
      <c r="BC1064" s="3" t="s">
        <v>142</v>
      </c>
      <c r="BD1064" s="3" t="s">
        <v>68</v>
      </c>
      <c r="BE1064" s="3" t="s">
        <v>10491</v>
      </c>
      <c r="BF1064" s="3" t="s">
        <v>10490</v>
      </c>
      <c r="BG1064" s="3" t="s">
        <v>10492</v>
      </c>
    </row>
    <row r="1065" spans="1:59" ht="57" x14ac:dyDescent="0.45">
      <c r="A1065" s="2" t="s">
        <v>59</v>
      </c>
      <c r="B1065" s="2" t="s">
        <v>60</v>
      </c>
      <c r="C1065" s="2" t="s">
        <v>10493</v>
      </c>
      <c r="D1065" s="2" t="s">
        <v>10494</v>
      </c>
      <c r="E1065" s="2" t="s">
        <v>10495</v>
      </c>
      <c r="G1065" s="3" t="s">
        <v>62</v>
      </c>
      <c r="I1065" s="3" t="s">
        <v>62</v>
      </c>
      <c r="J1065" s="3" t="s">
        <v>62</v>
      </c>
      <c r="K1065" s="3" t="s">
        <v>63</v>
      </c>
      <c r="L1065" s="2" t="s">
        <v>10496</v>
      </c>
      <c r="M1065" s="2" t="s">
        <v>10497</v>
      </c>
      <c r="N1065" s="3" t="s">
        <v>149</v>
      </c>
      <c r="P1065" s="3" t="s">
        <v>65</v>
      </c>
      <c r="Q1065" s="2" t="s">
        <v>10498</v>
      </c>
      <c r="R1065" s="3" t="s">
        <v>66</v>
      </c>
      <c r="S1065" s="4">
        <v>6</v>
      </c>
      <c r="T1065" s="4">
        <v>6</v>
      </c>
      <c r="U1065" s="5" t="s">
        <v>10499</v>
      </c>
      <c r="V1065" s="5" t="s">
        <v>10499</v>
      </c>
      <c r="W1065" s="5" t="s">
        <v>67</v>
      </c>
      <c r="X1065" s="5" t="s">
        <v>67</v>
      </c>
      <c r="Y1065" s="4">
        <v>27</v>
      </c>
      <c r="Z1065" s="4">
        <v>2</v>
      </c>
      <c r="AA1065" s="4">
        <v>3</v>
      </c>
      <c r="AB1065" s="4">
        <v>1</v>
      </c>
      <c r="AC1065" s="4">
        <v>2</v>
      </c>
      <c r="AD1065" s="4">
        <v>8</v>
      </c>
      <c r="AE1065" s="4">
        <v>8</v>
      </c>
      <c r="AF1065" s="4">
        <v>0</v>
      </c>
      <c r="AG1065" s="4">
        <v>0</v>
      </c>
      <c r="AH1065" s="4">
        <v>7</v>
      </c>
      <c r="AI1065" s="4">
        <v>7</v>
      </c>
      <c r="AJ1065" s="4">
        <v>1</v>
      </c>
      <c r="AK1065" s="4">
        <v>1</v>
      </c>
      <c r="AL1065" s="4">
        <v>5</v>
      </c>
      <c r="AM1065" s="4">
        <v>5</v>
      </c>
      <c r="AN1065" s="4">
        <v>0</v>
      </c>
      <c r="AO1065" s="4">
        <v>0</v>
      </c>
      <c r="AP1065" s="4">
        <v>1</v>
      </c>
      <c r="AQ1065" s="4">
        <v>1</v>
      </c>
      <c r="AR1065" s="3" t="s">
        <v>62</v>
      </c>
      <c r="AS1065" s="3" t="s">
        <v>62</v>
      </c>
      <c r="AT1065" s="3" t="s">
        <v>62</v>
      </c>
      <c r="AV1065" s="6" t="str">
        <f>HYPERLINK("http://mcgill.on.worldcat.org/oclc/679931926","Catalog Record")</f>
        <v>Catalog Record</v>
      </c>
      <c r="AW1065" s="6" t="str">
        <f>HYPERLINK("http://www.worldcat.org/oclc/679931926","WorldCat Record")</f>
        <v>WorldCat Record</v>
      </c>
      <c r="AX1065" s="3" t="s">
        <v>10500</v>
      </c>
      <c r="AY1065" s="3" t="s">
        <v>10501</v>
      </c>
      <c r="AZ1065" s="3" t="s">
        <v>10502</v>
      </c>
      <c r="BA1065" s="3" t="s">
        <v>10502</v>
      </c>
      <c r="BB1065" s="3" t="s">
        <v>10503</v>
      </c>
      <c r="BC1065" s="3" t="s">
        <v>142</v>
      </c>
      <c r="BD1065" s="3" t="s">
        <v>68</v>
      </c>
      <c r="BE1065" s="3" t="s">
        <v>10504</v>
      </c>
      <c r="BF1065" s="3" t="s">
        <v>10503</v>
      </c>
      <c r="BG1065" s="3" t="s">
        <v>10505</v>
      </c>
    </row>
    <row r="1066" spans="1:59" ht="57" x14ac:dyDescent="0.45">
      <c r="A1066" s="2" t="s">
        <v>59</v>
      </c>
      <c r="B1066" s="2" t="s">
        <v>60</v>
      </c>
      <c r="C1066" s="2" t="s">
        <v>10506</v>
      </c>
      <c r="D1066" s="2" t="s">
        <v>10507</v>
      </c>
      <c r="E1066" s="2" t="s">
        <v>10508</v>
      </c>
      <c r="G1066" s="3" t="s">
        <v>62</v>
      </c>
      <c r="I1066" s="3" t="s">
        <v>62</v>
      </c>
      <c r="J1066" s="3" t="s">
        <v>62</v>
      </c>
      <c r="K1066" s="3" t="s">
        <v>63</v>
      </c>
      <c r="M1066" s="2" t="s">
        <v>3135</v>
      </c>
      <c r="N1066" s="3" t="s">
        <v>945</v>
      </c>
      <c r="P1066" s="3" t="s">
        <v>65</v>
      </c>
      <c r="Q1066" s="2" t="s">
        <v>7036</v>
      </c>
      <c r="R1066" s="3" t="s">
        <v>66</v>
      </c>
      <c r="S1066" s="4">
        <v>7</v>
      </c>
      <c r="T1066" s="4">
        <v>7</v>
      </c>
      <c r="U1066" s="5" t="s">
        <v>7065</v>
      </c>
      <c r="V1066" s="5" t="s">
        <v>7065</v>
      </c>
      <c r="W1066" s="5" t="s">
        <v>67</v>
      </c>
      <c r="X1066" s="5" t="s">
        <v>67</v>
      </c>
      <c r="Y1066" s="4">
        <v>196</v>
      </c>
      <c r="Z1066" s="4">
        <v>16</v>
      </c>
      <c r="AA1066" s="4">
        <v>21</v>
      </c>
      <c r="AB1066" s="4">
        <v>2</v>
      </c>
      <c r="AC1066" s="4">
        <v>6</v>
      </c>
      <c r="AD1066" s="4">
        <v>75</v>
      </c>
      <c r="AE1066" s="4">
        <v>79</v>
      </c>
      <c r="AF1066" s="4">
        <v>1</v>
      </c>
      <c r="AG1066" s="4">
        <v>4</v>
      </c>
      <c r="AH1066" s="4">
        <v>66</v>
      </c>
      <c r="AI1066" s="4">
        <v>67</v>
      </c>
      <c r="AJ1066" s="4">
        <v>13</v>
      </c>
      <c r="AK1066" s="4">
        <v>17</v>
      </c>
      <c r="AL1066" s="4">
        <v>42</v>
      </c>
      <c r="AM1066" s="4">
        <v>42</v>
      </c>
      <c r="AN1066" s="4">
        <v>0</v>
      </c>
      <c r="AO1066" s="4">
        <v>0</v>
      </c>
      <c r="AP1066" s="4">
        <v>14</v>
      </c>
      <c r="AQ1066" s="4">
        <v>17</v>
      </c>
      <c r="AR1066" s="3" t="s">
        <v>62</v>
      </c>
      <c r="AS1066" s="3" t="s">
        <v>62</v>
      </c>
      <c r="AT1066" s="3" t="s">
        <v>61</v>
      </c>
      <c r="AU1066" s="6" t="str">
        <f>HYPERLINK("http://catalog.hathitrust.org/Record/005954146","HathiTrust Record")</f>
        <v>HathiTrust Record</v>
      </c>
      <c r="AV1066" s="6" t="str">
        <f>HYPERLINK("http://mcgill.on.worldcat.org/oclc/137222775","Catalog Record")</f>
        <v>Catalog Record</v>
      </c>
      <c r="AW1066" s="6" t="str">
        <f>HYPERLINK("http://www.worldcat.org/oclc/137222775","WorldCat Record")</f>
        <v>WorldCat Record</v>
      </c>
      <c r="AX1066" s="3" t="s">
        <v>10509</v>
      </c>
      <c r="AY1066" s="3" t="s">
        <v>10510</v>
      </c>
      <c r="AZ1066" s="3" t="s">
        <v>10511</v>
      </c>
      <c r="BA1066" s="3" t="s">
        <v>10511</v>
      </c>
      <c r="BB1066" s="3" t="s">
        <v>10512</v>
      </c>
      <c r="BC1066" s="3" t="s">
        <v>142</v>
      </c>
      <c r="BD1066" s="3" t="s">
        <v>68</v>
      </c>
      <c r="BE1066" s="3" t="s">
        <v>10513</v>
      </c>
      <c r="BF1066" s="3" t="s">
        <v>10512</v>
      </c>
      <c r="BG1066" s="3" t="s">
        <v>10514</v>
      </c>
    </row>
    <row r="1067" spans="1:59" ht="57" x14ac:dyDescent="0.45">
      <c r="A1067" s="2" t="s">
        <v>59</v>
      </c>
      <c r="B1067" s="2" t="s">
        <v>60</v>
      </c>
      <c r="C1067" s="2" t="s">
        <v>10515</v>
      </c>
      <c r="D1067" s="2" t="s">
        <v>10516</v>
      </c>
      <c r="E1067" s="2" t="s">
        <v>10517</v>
      </c>
      <c r="G1067" s="3" t="s">
        <v>62</v>
      </c>
      <c r="I1067" s="3" t="s">
        <v>62</v>
      </c>
      <c r="J1067" s="3" t="s">
        <v>62</v>
      </c>
      <c r="K1067" s="3" t="s">
        <v>63</v>
      </c>
      <c r="L1067" s="2" t="s">
        <v>10518</v>
      </c>
      <c r="M1067" s="2" t="s">
        <v>7378</v>
      </c>
      <c r="N1067" s="3" t="s">
        <v>542</v>
      </c>
      <c r="P1067" s="3" t="s">
        <v>65</v>
      </c>
      <c r="Q1067" s="2" t="s">
        <v>7036</v>
      </c>
      <c r="R1067" s="3" t="s">
        <v>66</v>
      </c>
      <c r="S1067" s="4">
        <v>30</v>
      </c>
      <c r="T1067" s="4">
        <v>30</v>
      </c>
      <c r="U1067" s="5" t="s">
        <v>9402</v>
      </c>
      <c r="V1067" s="5" t="s">
        <v>9402</v>
      </c>
      <c r="W1067" s="5" t="s">
        <v>67</v>
      </c>
      <c r="X1067" s="5" t="s">
        <v>67</v>
      </c>
      <c r="Y1067" s="4">
        <v>467</v>
      </c>
      <c r="Z1067" s="4">
        <v>28</v>
      </c>
      <c r="AA1067" s="4">
        <v>39</v>
      </c>
      <c r="AB1067" s="4">
        <v>2</v>
      </c>
      <c r="AC1067" s="4">
        <v>8</v>
      </c>
      <c r="AD1067" s="4">
        <v>98</v>
      </c>
      <c r="AE1067" s="4">
        <v>105</v>
      </c>
      <c r="AF1067" s="4">
        <v>1</v>
      </c>
      <c r="AG1067" s="4">
        <v>4</v>
      </c>
      <c r="AH1067" s="4">
        <v>86</v>
      </c>
      <c r="AI1067" s="4">
        <v>90</v>
      </c>
      <c r="AJ1067" s="4">
        <v>16</v>
      </c>
      <c r="AK1067" s="4">
        <v>21</v>
      </c>
      <c r="AL1067" s="4">
        <v>50</v>
      </c>
      <c r="AM1067" s="4">
        <v>51</v>
      </c>
      <c r="AN1067" s="4">
        <v>0</v>
      </c>
      <c r="AO1067" s="4">
        <v>0</v>
      </c>
      <c r="AP1067" s="4">
        <v>20</v>
      </c>
      <c r="AQ1067" s="4">
        <v>24</v>
      </c>
      <c r="AR1067" s="3" t="s">
        <v>62</v>
      </c>
      <c r="AS1067" s="3" t="s">
        <v>62</v>
      </c>
      <c r="AT1067" s="3" t="s">
        <v>61</v>
      </c>
      <c r="AU1067" s="6" t="str">
        <f>HYPERLINK("http://catalog.hathitrust.org/Record/004165927","HathiTrust Record")</f>
        <v>HathiTrust Record</v>
      </c>
      <c r="AV1067" s="6" t="str">
        <f>HYPERLINK("http://mcgill.on.worldcat.org/oclc/45854346","Catalog Record")</f>
        <v>Catalog Record</v>
      </c>
      <c r="AW1067" s="6" t="str">
        <f>HYPERLINK("http://www.worldcat.org/oclc/45854346","WorldCat Record")</f>
        <v>WorldCat Record</v>
      </c>
      <c r="AX1067" s="3" t="s">
        <v>10519</v>
      </c>
      <c r="AY1067" s="3" t="s">
        <v>10520</v>
      </c>
      <c r="AZ1067" s="3" t="s">
        <v>10521</v>
      </c>
      <c r="BA1067" s="3" t="s">
        <v>10521</v>
      </c>
      <c r="BB1067" s="3" t="s">
        <v>10522</v>
      </c>
      <c r="BC1067" s="3" t="s">
        <v>142</v>
      </c>
      <c r="BD1067" s="3" t="s">
        <v>68</v>
      </c>
      <c r="BE1067" s="3" t="s">
        <v>10523</v>
      </c>
      <c r="BF1067" s="3" t="s">
        <v>10522</v>
      </c>
      <c r="BG1067" s="3" t="s">
        <v>10524</v>
      </c>
    </row>
    <row r="1068" spans="1:59" ht="57" x14ac:dyDescent="0.45">
      <c r="A1068" s="2" t="s">
        <v>59</v>
      </c>
      <c r="B1068" s="2" t="s">
        <v>60</v>
      </c>
      <c r="C1068" s="2" t="s">
        <v>10525</v>
      </c>
      <c r="D1068" s="2" t="s">
        <v>10526</v>
      </c>
      <c r="E1068" s="2" t="s">
        <v>10527</v>
      </c>
      <c r="G1068" s="3" t="s">
        <v>62</v>
      </c>
      <c r="I1068" s="3" t="s">
        <v>62</v>
      </c>
      <c r="J1068" s="3" t="s">
        <v>62</v>
      </c>
      <c r="K1068" s="3" t="s">
        <v>63</v>
      </c>
      <c r="L1068" s="2" t="s">
        <v>10528</v>
      </c>
      <c r="M1068" s="2" t="s">
        <v>6999</v>
      </c>
      <c r="N1068" s="3" t="s">
        <v>149</v>
      </c>
      <c r="P1068" s="3" t="s">
        <v>65</v>
      </c>
      <c r="Q1068" s="2" t="s">
        <v>7123</v>
      </c>
      <c r="R1068" s="3" t="s">
        <v>66</v>
      </c>
      <c r="S1068" s="4">
        <v>6</v>
      </c>
      <c r="T1068" s="4">
        <v>6</v>
      </c>
      <c r="U1068" s="5" t="s">
        <v>10499</v>
      </c>
      <c r="V1068" s="5" t="s">
        <v>10499</v>
      </c>
      <c r="W1068" s="5" t="s">
        <v>67</v>
      </c>
      <c r="X1068" s="5" t="s">
        <v>67</v>
      </c>
      <c r="Y1068" s="4">
        <v>137</v>
      </c>
      <c r="Z1068" s="4">
        <v>15</v>
      </c>
      <c r="AA1068" s="4">
        <v>23</v>
      </c>
      <c r="AB1068" s="4">
        <v>3</v>
      </c>
      <c r="AC1068" s="4">
        <v>8</v>
      </c>
      <c r="AD1068" s="4">
        <v>41</v>
      </c>
      <c r="AE1068" s="4">
        <v>51</v>
      </c>
      <c r="AF1068" s="4">
        <v>1</v>
      </c>
      <c r="AG1068" s="4">
        <v>4</v>
      </c>
      <c r="AH1068" s="4">
        <v>36</v>
      </c>
      <c r="AI1068" s="4">
        <v>43</v>
      </c>
      <c r="AJ1068" s="4">
        <v>12</v>
      </c>
      <c r="AK1068" s="4">
        <v>17</v>
      </c>
      <c r="AL1068" s="4">
        <v>20</v>
      </c>
      <c r="AM1068" s="4">
        <v>23</v>
      </c>
      <c r="AN1068" s="4">
        <v>0</v>
      </c>
      <c r="AO1068" s="4">
        <v>0</v>
      </c>
      <c r="AP1068" s="4">
        <v>12</v>
      </c>
      <c r="AQ1068" s="4">
        <v>16</v>
      </c>
      <c r="AR1068" s="3" t="s">
        <v>62</v>
      </c>
      <c r="AS1068" s="3" t="s">
        <v>62</v>
      </c>
      <c r="AT1068" s="3" t="s">
        <v>62</v>
      </c>
      <c r="AV1068" s="6" t="str">
        <f>HYPERLINK("http://mcgill.on.worldcat.org/oclc/461274514","Catalog Record")</f>
        <v>Catalog Record</v>
      </c>
      <c r="AW1068" s="6" t="str">
        <f>HYPERLINK("http://www.worldcat.org/oclc/461274514","WorldCat Record")</f>
        <v>WorldCat Record</v>
      </c>
      <c r="AX1068" s="3" t="s">
        <v>10529</v>
      </c>
      <c r="AY1068" s="3" t="s">
        <v>10530</v>
      </c>
      <c r="AZ1068" s="3" t="s">
        <v>10531</v>
      </c>
      <c r="BA1068" s="3" t="s">
        <v>10531</v>
      </c>
      <c r="BB1068" s="3" t="s">
        <v>10532</v>
      </c>
      <c r="BC1068" s="3" t="s">
        <v>142</v>
      </c>
      <c r="BD1068" s="3" t="s">
        <v>68</v>
      </c>
      <c r="BE1068" s="3" t="s">
        <v>10533</v>
      </c>
      <c r="BF1068" s="3" t="s">
        <v>10532</v>
      </c>
      <c r="BG1068" s="3" t="s">
        <v>10534</v>
      </c>
    </row>
    <row r="1069" spans="1:59" ht="57" x14ac:dyDescent="0.45">
      <c r="A1069" s="2" t="s">
        <v>59</v>
      </c>
      <c r="B1069" s="2" t="s">
        <v>60</v>
      </c>
      <c r="C1069" s="2" t="s">
        <v>10535</v>
      </c>
      <c r="D1069" s="2" t="s">
        <v>10536</v>
      </c>
      <c r="E1069" s="2" t="s">
        <v>10537</v>
      </c>
      <c r="G1069" s="3" t="s">
        <v>62</v>
      </c>
      <c r="I1069" s="3" t="s">
        <v>62</v>
      </c>
      <c r="J1069" s="3" t="s">
        <v>62</v>
      </c>
      <c r="K1069" s="3" t="s">
        <v>63</v>
      </c>
      <c r="L1069" s="2" t="s">
        <v>10538</v>
      </c>
      <c r="M1069" s="2" t="s">
        <v>10539</v>
      </c>
      <c r="N1069" s="3" t="s">
        <v>1212</v>
      </c>
      <c r="P1069" s="3" t="s">
        <v>65</v>
      </c>
      <c r="Q1069" s="2" t="s">
        <v>7392</v>
      </c>
      <c r="R1069" s="3" t="s">
        <v>66</v>
      </c>
      <c r="S1069" s="4">
        <v>9</v>
      </c>
      <c r="T1069" s="4">
        <v>9</v>
      </c>
      <c r="U1069" s="5" t="s">
        <v>1690</v>
      </c>
      <c r="V1069" s="5" t="s">
        <v>1690</v>
      </c>
      <c r="W1069" s="5" t="s">
        <v>67</v>
      </c>
      <c r="X1069" s="5" t="s">
        <v>67</v>
      </c>
      <c r="Y1069" s="4">
        <v>391</v>
      </c>
      <c r="Z1069" s="4">
        <v>34</v>
      </c>
      <c r="AA1069" s="4">
        <v>40</v>
      </c>
      <c r="AB1069" s="4">
        <v>3</v>
      </c>
      <c r="AC1069" s="4">
        <v>9</v>
      </c>
      <c r="AD1069" s="4">
        <v>84</v>
      </c>
      <c r="AE1069" s="4">
        <v>88</v>
      </c>
      <c r="AF1069" s="4">
        <v>2</v>
      </c>
      <c r="AG1069" s="4">
        <v>6</v>
      </c>
      <c r="AH1069" s="4">
        <v>69</v>
      </c>
      <c r="AI1069" s="4">
        <v>70</v>
      </c>
      <c r="AJ1069" s="4">
        <v>14</v>
      </c>
      <c r="AK1069" s="4">
        <v>18</v>
      </c>
      <c r="AL1069" s="4">
        <v>37</v>
      </c>
      <c r="AM1069" s="4">
        <v>37</v>
      </c>
      <c r="AN1069" s="4">
        <v>0</v>
      </c>
      <c r="AO1069" s="4">
        <v>0</v>
      </c>
      <c r="AP1069" s="4">
        <v>23</v>
      </c>
      <c r="AQ1069" s="4">
        <v>26</v>
      </c>
      <c r="AR1069" s="3" t="s">
        <v>62</v>
      </c>
      <c r="AS1069" s="3" t="s">
        <v>62</v>
      </c>
      <c r="AT1069" s="3" t="s">
        <v>61</v>
      </c>
      <c r="AU1069" s="6" t="str">
        <f>HYPERLINK("http://catalog.hathitrust.org/Record/004137605","HathiTrust Record")</f>
        <v>HathiTrust Record</v>
      </c>
      <c r="AV1069" s="6" t="str">
        <f>HYPERLINK("http://mcgill.on.worldcat.org/oclc/42786317","Catalog Record")</f>
        <v>Catalog Record</v>
      </c>
      <c r="AW1069" s="6" t="str">
        <f>HYPERLINK("http://www.worldcat.org/oclc/42786317","WorldCat Record")</f>
        <v>WorldCat Record</v>
      </c>
      <c r="AX1069" s="3" t="s">
        <v>10540</v>
      </c>
      <c r="AY1069" s="3" t="s">
        <v>10541</v>
      </c>
      <c r="AZ1069" s="3" t="s">
        <v>10542</v>
      </c>
      <c r="BA1069" s="3" t="s">
        <v>10542</v>
      </c>
      <c r="BB1069" s="3" t="s">
        <v>10543</v>
      </c>
      <c r="BC1069" s="3" t="s">
        <v>142</v>
      </c>
      <c r="BD1069" s="3" t="s">
        <v>308</v>
      </c>
      <c r="BE1069" s="3" t="s">
        <v>10544</v>
      </c>
      <c r="BF1069" s="3" t="s">
        <v>10543</v>
      </c>
      <c r="BG1069" s="3" t="s">
        <v>10545</v>
      </c>
    </row>
    <row r="1070" spans="1:59" ht="57" x14ac:dyDescent="0.45">
      <c r="A1070" s="2" t="s">
        <v>59</v>
      </c>
      <c r="B1070" s="2" t="s">
        <v>60</v>
      </c>
      <c r="C1070" s="2" t="s">
        <v>10546</v>
      </c>
      <c r="D1070" s="2" t="s">
        <v>10547</v>
      </c>
      <c r="E1070" s="2" t="s">
        <v>10548</v>
      </c>
      <c r="G1070" s="3" t="s">
        <v>62</v>
      </c>
      <c r="I1070" s="3" t="s">
        <v>62</v>
      </c>
      <c r="J1070" s="3" t="s">
        <v>62</v>
      </c>
      <c r="K1070" s="3" t="s">
        <v>63</v>
      </c>
      <c r="M1070" s="2" t="s">
        <v>8008</v>
      </c>
      <c r="N1070" s="3" t="s">
        <v>1097</v>
      </c>
      <c r="P1070" s="3" t="s">
        <v>65</v>
      </c>
      <c r="Q1070" s="2" t="s">
        <v>10549</v>
      </c>
      <c r="R1070" s="3" t="s">
        <v>66</v>
      </c>
      <c r="S1070" s="4">
        <v>24</v>
      </c>
      <c r="T1070" s="4">
        <v>24</v>
      </c>
      <c r="U1070" s="5" t="s">
        <v>10474</v>
      </c>
      <c r="V1070" s="5" t="s">
        <v>10474</v>
      </c>
      <c r="W1070" s="5" t="s">
        <v>67</v>
      </c>
      <c r="X1070" s="5" t="s">
        <v>67</v>
      </c>
      <c r="Y1070" s="4">
        <v>179</v>
      </c>
      <c r="Z1070" s="4">
        <v>18</v>
      </c>
      <c r="AA1070" s="4">
        <v>105</v>
      </c>
      <c r="AB1070" s="4">
        <v>2</v>
      </c>
      <c r="AC1070" s="4">
        <v>17</v>
      </c>
      <c r="AD1070" s="4">
        <v>57</v>
      </c>
      <c r="AE1070" s="4">
        <v>120</v>
      </c>
      <c r="AF1070" s="4">
        <v>1</v>
      </c>
      <c r="AG1070" s="4">
        <v>8</v>
      </c>
      <c r="AH1070" s="4">
        <v>50</v>
      </c>
      <c r="AI1070" s="4">
        <v>82</v>
      </c>
      <c r="AJ1070" s="4">
        <v>12</v>
      </c>
      <c r="AK1070" s="4">
        <v>25</v>
      </c>
      <c r="AL1070" s="4">
        <v>25</v>
      </c>
      <c r="AM1070" s="4">
        <v>38</v>
      </c>
      <c r="AN1070" s="4">
        <v>0</v>
      </c>
      <c r="AO1070" s="4">
        <v>0</v>
      </c>
      <c r="AP1070" s="4">
        <v>14</v>
      </c>
      <c r="AQ1070" s="4">
        <v>47</v>
      </c>
      <c r="AR1070" s="3" t="s">
        <v>62</v>
      </c>
      <c r="AS1070" s="3" t="s">
        <v>62</v>
      </c>
      <c r="AT1070" s="3" t="s">
        <v>62</v>
      </c>
      <c r="AV1070" s="6" t="str">
        <f>HYPERLINK("http://mcgill.on.worldcat.org/oclc/55644930","Catalog Record")</f>
        <v>Catalog Record</v>
      </c>
      <c r="AW1070" s="6" t="str">
        <f>HYPERLINK("http://www.worldcat.org/oclc/55644930","WorldCat Record")</f>
        <v>WorldCat Record</v>
      </c>
      <c r="AX1070" s="3" t="s">
        <v>10550</v>
      </c>
      <c r="AY1070" s="3" t="s">
        <v>10551</v>
      </c>
      <c r="AZ1070" s="3" t="s">
        <v>10552</v>
      </c>
      <c r="BA1070" s="3" t="s">
        <v>10552</v>
      </c>
      <c r="BB1070" s="3" t="s">
        <v>10553</v>
      </c>
      <c r="BC1070" s="3" t="s">
        <v>142</v>
      </c>
      <c r="BD1070" s="3" t="s">
        <v>68</v>
      </c>
      <c r="BE1070" s="3" t="s">
        <v>10554</v>
      </c>
      <c r="BF1070" s="3" t="s">
        <v>10553</v>
      </c>
      <c r="BG1070" s="3" t="s">
        <v>10555</v>
      </c>
    </row>
    <row r="1071" spans="1:59" ht="57" x14ac:dyDescent="0.45">
      <c r="A1071" s="2" t="s">
        <v>59</v>
      </c>
      <c r="B1071" s="2" t="s">
        <v>60</v>
      </c>
      <c r="C1071" s="2" t="s">
        <v>10556</v>
      </c>
      <c r="D1071" s="2" t="s">
        <v>10557</v>
      </c>
      <c r="E1071" s="2" t="s">
        <v>10558</v>
      </c>
      <c r="G1071" s="3" t="s">
        <v>62</v>
      </c>
      <c r="I1071" s="3" t="s">
        <v>62</v>
      </c>
      <c r="J1071" s="3" t="s">
        <v>62</v>
      </c>
      <c r="K1071" s="3" t="s">
        <v>63</v>
      </c>
      <c r="L1071" s="2" t="s">
        <v>10559</v>
      </c>
      <c r="M1071" s="2" t="s">
        <v>10560</v>
      </c>
      <c r="N1071" s="3" t="s">
        <v>1465</v>
      </c>
      <c r="P1071" s="3" t="s">
        <v>65</v>
      </c>
      <c r="Q1071" s="2" t="s">
        <v>7948</v>
      </c>
      <c r="R1071" s="3" t="s">
        <v>66</v>
      </c>
      <c r="S1071" s="4">
        <v>3</v>
      </c>
      <c r="T1071" s="4">
        <v>3</v>
      </c>
      <c r="U1071" s="5" t="s">
        <v>8070</v>
      </c>
      <c r="V1071" s="5" t="s">
        <v>8070</v>
      </c>
      <c r="W1071" s="5" t="s">
        <v>67</v>
      </c>
      <c r="X1071" s="5" t="s">
        <v>67</v>
      </c>
      <c r="Y1071" s="4">
        <v>101</v>
      </c>
      <c r="Z1071" s="4">
        <v>7</v>
      </c>
      <c r="AA1071" s="4">
        <v>100</v>
      </c>
      <c r="AB1071" s="4">
        <v>1</v>
      </c>
      <c r="AC1071" s="4">
        <v>17</v>
      </c>
      <c r="AD1071" s="4">
        <v>41</v>
      </c>
      <c r="AE1071" s="4">
        <v>116</v>
      </c>
      <c r="AF1071" s="4">
        <v>0</v>
      </c>
      <c r="AG1071" s="4">
        <v>8</v>
      </c>
      <c r="AH1071" s="4">
        <v>38</v>
      </c>
      <c r="AI1071" s="4">
        <v>80</v>
      </c>
      <c r="AJ1071" s="4">
        <v>6</v>
      </c>
      <c r="AK1071" s="4">
        <v>23</v>
      </c>
      <c r="AL1071" s="4">
        <v>25</v>
      </c>
      <c r="AM1071" s="4">
        <v>41</v>
      </c>
      <c r="AN1071" s="4">
        <v>0</v>
      </c>
      <c r="AO1071" s="4">
        <v>0</v>
      </c>
      <c r="AP1071" s="4">
        <v>6</v>
      </c>
      <c r="AQ1071" s="4">
        <v>45</v>
      </c>
      <c r="AR1071" s="3" t="s">
        <v>62</v>
      </c>
      <c r="AS1071" s="3" t="s">
        <v>62</v>
      </c>
      <c r="AT1071" s="3" t="s">
        <v>62</v>
      </c>
      <c r="AV1071" s="6" t="str">
        <f>HYPERLINK("http://mcgill.on.worldcat.org/oclc/430816170","Catalog Record")</f>
        <v>Catalog Record</v>
      </c>
      <c r="AW1071" s="6" t="str">
        <f>HYPERLINK("http://www.worldcat.org/oclc/430816170","WorldCat Record")</f>
        <v>WorldCat Record</v>
      </c>
      <c r="AX1071" s="3" t="s">
        <v>10561</v>
      </c>
      <c r="AY1071" s="3" t="s">
        <v>10562</v>
      </c>
      <c r="AZ1071" s="3" t="s">
        <v>10563</v>
      </c>
      <c r="BA1071" s="3" t="s">
        <v>10563</v>
      </c>
      <c r="BB1071" s="3" t="s">
        <v>10564</v>
      </c>
      <c r="BC1071" s="3" t="s">
        <v>142</v>
      </c>
      <c r="BD1071" s="3" t="s">
        <v>68</v>
      </c>
      <c r="BE1071" s="3" t="s">
        <v>10565</v>
      </c>
      <c r="BF1071" s="3" t="s">
        <v>10564</v>
      </c>
      <c r="BG1071" s="3" t="s">
        <v>10566</v>
      </c>
    </row>
    <row r="1072" spans="1:59" ht="57" x14ac:dyDescent="0.45">
      <c r="A1072" s="2" t="s">
        <v>59</v>
      </c>
      <c r="B1072" s="2" t="s">
        <v>60</v>
      </c>
      <c r="C1072" s="2" t="s">
        <v>10567</v>
      </c>
      <c r="D1072" s="2" t="s">
        <v>10568</v>
      </c>
      <c r="E1072" s="2" t="s">
        <v>10569</v>
      </c>
      <c r="G1072" s="3" t="s">
        <v>62</v>
      </c>
      <c r="I1072" s="3" t="s">
        <v>62</v>
      </c>
      <c r="J1072" s="3" t="s">
        <v>62</v>
      </c>
      <c r="K1072" s="3" t="s">
        <v>63</v>
      </c>
      <c r="L1072" s="2" t="s">
        <v>10570</v>
      </c>
      <c r="M1072" s="2" t="s">
        <v>10571</v>
      </c>
      <c r="N1072" s="3" t="s">
        <v>1155</v>
      </c>
      <c r="P1072" s="3" t="s">
        <v>65</v>
      </c>
      <c r="Q1072" s="2" t="s">
        <v>10572</v>
      </c>
      <c r="R1072" s="3" t="s">
        <v>66</v>
      </c>
      <c r="S1072" s="4">
        <v>1</v>
      </c>
      <c r="T1072" s="4">
        <v>1</v>
      </c>
      <c r="U1072" s="5" t="s">
        <v>684</v>
      </c>
      <c r="V1072" s="5" t="s">
        <v>684</v>
      </c>
      <c r="W1072" s="5" t="s">
        <v>67</v>
      </c>
      <c r="X1072" s="5" t="s">
        <v>67</v>
      </c>
      <c r="Y1072" s="4">
        <v>84</v>
      </c>
      <c r="Z1072" s="4">
        <v>5</v>
      </c>
      <c r="AA1072" s="4">
        <v>6</v>
      </c>
      <c r="AB1072" s="4">
        <v>1</v>
      </c>
      <c r="AC1072" s="4">
        <v>1</v>
      </c>
      <c r="AD1072" s="4">
        <v>12</v>
      </c>
      <c r="AE1072" s="4">
        <v>17</v>
      </c>
      <c r="AF1072" s="4">
        <v>0</v>
      </c>
      <c r="AG1072" s="4">
        <v>0</v>
      </c>
      <c r="AH1072" s="4">
        <v>11</v>
      </c>
      <c r="AI1072" s="4">
        <v>16</v>
      </c>
      <c r="AJ1072" s="4">
        <v>4</v>
      </c>
      <c r="AK1072" s="4">
        <v>5</v>
      </c>
      <c r="AL1072" s="4">
        <v>4</v>
      </c>
      <c r="AM1072" s="4">
        <v>7</v>
      </c>
      <c r="AN1072" s="4">
        <v>0</v>
      </c>
      <c r="AO1072" s="4">
        <v>0</v>
      </c>
      <c r="AP1072" s="4">
        <v>4</v>
      </c>
      <c r="AQ1072" s="4">
        <v>5</v>
      </c>
      <c r="AR1072" s="3" t="s">
        <v>62</v>
      </c>
      <c r="AS1072" s="3" t="s">
        <v>62</v>
      </c>
      <c r="AT1072" s="3" t="s">
        <v>62</v>
      </c>
      <c r="AV1072" s="6" t="str">
        <f>HYPERLINK("http://mcgill.on.worldcat.org/oclc/717300822","Catalog Record")</f>
        <v>Catalog Record</v>
      </c>
      <c r="AW1072" s="6" t="str">
        <f>HYPERLINK("http://www.worldcat.org/oclc/717300822","WorldCat Record")</f>
        <v>WorldCat Record</v>
      </c>
      <c r="AX1072" s="3" t="s">
        <v>10573</v>
      </c>
      <c r="AY1072" s="3" t="s">
        <v>10574</v>
      </c>
      <c r="AZ1072" s="3" t="s">
        <v>10575</v>
      </c>
      <c r="BA1072" s="3" t="s">
        <v>10575</v>
      </c>
      <c r="BB1072" s="3" t="s">
        <v>10576</v>
      </c>
      <c r="BC1072" s="3" t="s">
        <v>142</v>
      </c>
      <c r="BD1072" s="3" t="s">
        <v>68</v>
      </c>
      <c r="BE1072" s="3" t="s">
        <v>10577</v>
      </c>
      <c r="BF1072" s="3" t="s">
        <v>10576</v>
      </c>
      <c r="BG1072" s="3" t="s">
        <v>10578</v>
      </c>
    </row>
    <row r="1073" spans="1:59" ht="57" x14ac:dyDescent="0.45">
      <c r="A1073" s="2" t="s">
        <v>59</v>
      </c>
      <c r="B1073" s="2" t="s">
        <v>60</v>
      </c>
      <c r="C1073" s="2" t="s">
        <v>10579</v>
      </c>
      <c r="D1073" s="2" t="s">
        <v>10580</v>
      </c>
      <c r="E1073" s="2" t="s">
        <v>10581</v>
      </c>
      <c r="G1073" s="3" t="s">
        <v>62</v>
      </c>
      <c r="I1073" s="3" t="s">
        <v>62</v>
      </c>
      <c r="J1073" s="3" t="s">
        <v>62</v>
      </c>
      <c r="K1073" s="3" t="s">
        <v>63</v>
      </c>
      <c r="L1073" s="2" t="s">
        <v>10582</v>
      </c>
      <c r="M1073" s="2" t="s">
        <v>8328</v>
      </c>
      <c r="N1073" s="3" t="s">
        <v>1465</v>
      </c>
      <c r="P1073" s="3" t="s">
        <v>65</v>
      </c>
      <c r="R1073" s="3" t="s">
        <v>66</v>
      </c>
      <c r="S1073" s="4">
        <v>10</v>
      </c>
      <c r="T1073" s="4">
        <v>10</v>
      </c>
      <c r="U1073" s="5" t="s">
        <v>10054</v>
      </c>
      <c r="V1073" s="5" t="s">
        <v>10054</v>
      </c>
      <c r="W1073" s="5" t="s">
        <v>67</v>
      </c>
      <c r="X1073" s="5" t="s">
        <v>67</v>
      </c>
      <c r="Y1073" s="4">
        <v>128</v>
      </c>
      <c r="Z1073" s="4">
        <v>22</v>
      </c>
      <c r="AA1073" s="4">
        <v>108</v>
      </c>
      <c r="AB1073" s="4">
        <v>2</v>
      </c>
      <c r="AC1073" s="4">
        <v>18</v>
      </c>
      <c r="AD1073" s="4">
        <v>53</v>
      </c>
      <c r="AE1073" s="4">
        <v>124</v>
      </c>
      <c r="AF1073" s="4">
        <v>0</v>
      </c>
      <c r="AG1073" s="4">
        <v>8</v>
      </c>
      <c r="AH1073" s="4">
        <v>44</v>
      </c>
      <c r="AI1073" s="4">
        <v>85</v>
      </c>
      <c r="AJ1073" s="4">
        <v>13</v>
      </c>
      <c r="AK1073" s="4">
        <v>25</v>
      </c>
      <c r="AL1073" s="4">
        <v>30</v>
      </c>
      <c r="AM1073" s="4">
        <v>46</v>
      </c>
      <c r="AN1073" s="4">
        <v>0</v>
      </c>
      <c r="AO1073" s="4">
        <v>0</v>
      </c>
      <c r="AP1073" s="4">
        <v>14</v>
      </c>
      <c r="AQ1073" s="4">
        <v>47</v>
      </c>
      <c r="AR1073" s="3" t="s">
        <v>62</v>
      </c>
      <c r="AS1073" s="3" t="s">
        <v>62</v>
      </c>
      <c r="AT1073" s="3" t="s">
        <v>62</v>
      </c>
      <c r="AV1073" s="6" t="str">
        <f>HYPERLINK("http://mcgill.on.worldcat.org/oclc/432982924","Catalog Record")</f>
        <v>Catalog Record</v>
      </c>
      <c r="AW1073" s="6" t="str">
        <f>HYPERLINK("http://www.worldcat.org/oclc/432982924","WorldCat Record")</f>
        <v>WorldCat Record</v>
      </c>
      <c r="AX1073" s="3" t="s">
        <v>10583</v>
      </c>
      <c r="AY1073" s="3" t="s">
        <v>10584</v>
      </c>
      <c r="AZ1073" s="3" t="s">
        <v>10585</v>
      </c>
      <c r="BA1073" s="3" t="s">
        <v>10585</v>
      </c>
      <c r="BB1073" s="3" t="s">
        <v>10586</v>
      </c>
      <c r="BC1073" s="3" t="s">
        <v>142</v>
      </c>
      <c r="BD1073" s="3" t="s">
        <v>68</v>
      </c>
      <c r="BE1073" s="3" t="s">
        <v>10587</v>
      </c>
      <c r="BF1073" s="3" t="s">
        <v>10586</v>
      </c>
      <c r="BG1073" s="3" t="s">
        <v>10588</v>
      </c>
    </row>
    <row r="1074" spans="1:59" ht="57" x14ac:dyDescent="0.45">
      <c r="A1074" s="2" t="s">
        <v>59</v>
      </c>
      <c r="B1074" s="2" t="s">
        <v>60</v>
      </c>
      <c r="C1074" s="2" t="s">
        <v>10589</v>
      </c>
      <c r="D1074" s="2" t="s">
        <v>10590</v>
      </c>
      <c r="E1074" s="2" t="s">
        <v>10591</v>
      </c>
      <c r="G1074" s="3" t="s">
        <v>62</v>
      </c>
      <c r="I1074" s="3" t="s">
        <v>62</v>
      </c>
      <c r="J1074" s="3" t="s">
        <v>62</v>
      </c>
      <c r="K1074" s="3" t="s">
        <v>63</v>
      </c>
      <c r="M1074" s="2" t="s">
        <v>10592</v>
      </c>
      <c r="N1074" s="3" t="s">
        <v>116</v>
      </c>
      <c r="P1074" s="3" t="s">
        <v>65</v>
      </c>
      <c r="Q1074" s="2" t="s">
        <v>10593</v>
      </c>
      <c r="R1074" s="3" t="s">
        <v>66</v>
      </c>
      <c r="S1074" s="4">
        <v>7</v>
      </c>
      <c r="T1074" s="4">
        <v>7</v>
      </c>
      <c r="U1074" s="5" t="s">
        <v>5826</v>
      </c>
      <c r="V1074" s="5" t="s">
        <v>5826</v>
      </c>
      <c r="W1074" s="5" t="s">
        <v>67</v>
      </c>
      <c r="X1074" s="5" t="s">
        <v>67</v>
      </c>
      <c r="Y1074" s="4">
        <v>81</v>
      </c>
      <c r="Z1074" s="4">
        <v>31</v>
      </c>
      <c r="AA1074" s="4">
        <v>48</v>
      </c>
      <c r="AB1074" s="4">
        <v>2</v>
      </c>
      <c r="AC1074" s="4">
        <v>10</v>
      </c>
      <c r="AD1074" s="4">
        <v>44</v>
      </c>
      <c r="AE1074" s="4">
        <v>57</v>
      </c>
      <c r="AF1074" s="4">
        <v>1</v>
      </c>
      <c r="AG1074" s="4">
        <v>5</v>
      </c>
      <c r="AH1074" s="4">
        <v>31</v>
      </c>
      <c r="AI1074" s="4">
        <v>36</v>
      </c>
      <c r="AJ1074" s="4">
        <v>15</v>
      </c>
      <c r="AK1074" s="4">
        <v>19</v>
      </c>
      <c r="AL1074" s="4">
        <v>15</v>
      </c>
      <c r="AM1074" s="4">
        <v>18</v>
      </c>
      <c r="AN1074" s="4">
        <v>0</v>
      </c>
      <c r="AO1074" s="4">
        <v>0</v>
      </c>
      <c r="AP1074" s="4">
        <v>21</v>
      </c>
      <c r="AQ1074" s="4">
        <v>29</v>
      </c>
      <c r="AR1074" s="3" t="s">
        <v>62</v>
      </c>
      <c r="AS1074" s="3" t="s">
        <v>62</v>
      </c>
      <c r="AT1074" s="3" t="s">
        <v>62</v>
      </c>
      <c r="AV1074" s="6" t="str">
        <f>HYPERLINK("http://mcgill.on.worldcat.org/oclc/843180929","Catalog Record")</f>
        <v>Catalog Record</v>
      </c>
      <c r="AW1074" s="6" t="str">
        <f>HYPERLINK("http://www.worldcat.org/oclc/843180929","WorldCat Record")</f>
        <v>WorldCat Record</v>
      </c>
      <c r="AX1074" s="3" t="s">
        <v>10594</v>
      </c>
      <c r="AY1074" s="3" t="s">
        <v>10595</v>
      </c>
      <c r="AZ1074" s="3" t="s">
        <v>10596</v>
      </c>
      <c r="BA1074" s="3" t="s">
        <v>10596</v>
      </c>
      <c r="BB1074" s="3" t="s">
        <v>10597</v>
      </c>
      <c r="BC1074" s="3" t="s">
        <v>142</v>
      </c>
      <c r="BD1074" s="3" t="s">
        <v>68</v>
      </c>
      <c r="BE1074" s="3" t="s">
        <v>10598</v>
      </c>
      <c r="BF1074" s="3" t="s">
        <v>10597</v>
      </c>
      <c r="BG1074" s="3" t="s">
        <v>10599</v>
      </c>
    </row>
    <row r="1075" spans="1:59" ht="57" x14ac:dyDescent="0.45">
      <c r="A1075" s="2" t="s">
        <v>59</v>
      </c>
      <c r="B1075" s="2" t="s">
        <v>60</v>
      </c>
      <c r="C1075" s="2" t="s">
        <v>10600</v>
      </c>
      <c r="D1075" s="2" t="s">
        <v>10601</v>
      </c>
      <c r="E1075" s="2" t="s">
        <v>10602</v>
      </c>
      <c r="G1075" s="3" t="s">
        <v>62</v>
      </c>
      <c r="I1075" s="3" t="s">
        <v>62</v>
      </c>
      <c r="J1075" s="3" t="s">
        <v>62</v>
      </c>
      <c r="K1075" s="3" t="s">
        <v>63</v>
      </c>
      <c r="L1075" s="2" t="s">
        <v>10603</v>
      </c>
      <c r="M1075" s="2" t="s">
        <v>10604</v>
      </c>
      <c r="N1075" s="3" t="s">
        <v>1855</v>
      </c>
      <c r="P1075" s="3" t="s">
        <v>65</v>
      </c>
      <c r="Q1075" s="2" t="s">
        <v>10605</v>
      </c>
      <c r="R1075" s="3" t="s">
        <v>66</v>
      </c>
      <c r="S1075" s="4">
        <v>5</v>
      </c>
      <c r="T1075" s="4">
        <v>5</v>
      </c>
      <c r="U1075" s="5" t="s">
        <v>8465</v>
      </c>
      <c r="V1075" s="5" t="s">
        <v>8465</v>
      </c>
      <c r="W1075" s="5" t="s">
        <v>67</v>
      </c>
      <c r="X1075" s="5" t="s">
        <v>67</v>
      </c>
      <c r="Y1075" s="4">
        <v>136</v>
      </c>
      <c r="Z1075" s="4">
        <v>6</v>
      </c>
      <c r="AA1075" s="4">
        <v>88</v>
      </c>
      <c r="AB1075" s="4">
        <v>1</v>
      </c>
      <c r="AC1075" s="4">
        <v>17</v>
      </c>
      <c r="AD1075" s="4">
        <v>55</v>
      </c>
      <c r="AE1075" s="4">
        <v>113</v>
      </c>
      <c r="AF1075" s="4">
        <v>0</v>
      </c>
      <c r="AG1075" s="4">
        <v>8</v>
      </c>
      <c r="AH1075" s="4">
        <v>54</v>
      </c>
      <c r="AI1075" s="4">
        <v>82</v>
      </c>
      <c r="AJ1075" s="4">
        <v>4</v>
      </c>
      <c r="AK1075" s="4">
        <v>17</v>
      </c>
      <c r="AL1075" s="4">
        <v>36</v>
      </c>
      <c r="AM1075" s="4">
        <v>45</v>
      </c>
      <c r="AN1075" s="4">
        <v>0</v>
      </c>
      <c r="AO1075" s="4">
        <v>0</v>
      </c>
      <c r="AP1075" s="4">
        <v>4</v>
      </c>
      <c r="AQ1075" s="4">
        <v>38</v>
      </c>
      <c r="AR1075" s="3" t="s">
        <v>62</v>
      </c>
      <c r="AS1075" s="3" t="s">
        <v>62</v>
      </c>
      <c r="AT1075" s="3" t="s">
        <v>61</v>
      </c>
      <c r="AU1075" s="6" t="str">
        <f>HYPERLINK("http://catalog.hathitrust.org/Record/005222375","HathiTrust Record")</f>
        <v>HathiTrust Record</v>
      </c>
      <c r="AV1075" s="6" t="str">
        <f>HYPERLINK("http://mcgill.on.worldcat.org/oclc/61478456","Catalog Record")</f>
        <v>Catalog Record</v>
      </c>
      <c r="AW1075" s="6" t="str">
        <f>HYPERLINK("http://www.worldcat.org/oclc/61478456","WorldCat Record")</f>
        <v>WorldCat Record</v>
      </c>
      <c r="AX1075" s="3" t="s">
        <v>10606</v>
      </c>
      <c r="AY1075" s="3" t="s">
        <v>10607</v>
      </c>
      <c r="AZ1075" s="3" t="s">
        <v>10608</v>
      </c>
      <c r="BA1075" s="3" t="s">
        <v>10608</v>
      </c>
      <c r="BB1075" s="3" t="s">
        <v>10609</v>
      </c>
      <c r="BC1075" s="3" t="s">
        <v>142</v>
      </c>
      <c r="BD1075" s="3" t="s">
        <v>68</v>
      </c>
      <c r="BE1075" s="3" t="s">
        <v>10610</v>
      </c>
      <c r="BF1075" s="3" t="s">
        <v>10609</v>
      </c>
      <c r="BG1075" s="3" t="s">
        <v>10611</v>
      </c>
    </row>
    <row r="1076" spans="1:59" ht="57" x14ac:dyDescent="0.45">
      <c r="A1076" s="2" t="s">
        <v>59</v>
      </c>
      <c r="B1076" s="2" t="s">
        <v>60</v>
      </c>
      <c r="C1076" s="2" t="s">
        <v>10612</v>
      </c>
      <c r="D1076" s="2" t="s">
        <v>10613</v>
      </c>
      <c r="E1076" s="2" t="s">
        <v>10614</v>
      </c>
      <c r="G1076" s="3" t="s">
        <v>62</v>
      </c>
      <c r="I1076" s="3" t="s">
        <v>62</v>
      </c>
      <c r="J1076" s="3" t="s">
        <v>62</v>
      </c>
      <c r="K1076" s="3" t="s">
        <v>63</v>
      </c>
      <c r="M1076" s="2" t="s">
        <v>10615</v>
      </c>
      <c r="N1076" s="3" t="s">
        <v>1465</v>
      </c>
      <c r="P1076" s="3" t="s">
        <v>65</v>
      </c>
      <c r="Q1076" s="2" t="s">
        <v>10616</v>
      </c>
      <c r="R1076" s="3" t="s">
        <v>66</v>
      </c>
      <c r="S1076" s="4">
        <v>12</v>
      </c>
      <c r="T1076" s="4">
        <v>12</v>
      </c>
      <c r="U1076" s="5" t="s">
        <v>9578</v>
      </c>
      <c r="V1076" s="5" t="s">
        <v>9578</v>
      </c>
      <c r="W1076" s="5" t="s">
        <v>67</v>
      </c>
      <c r="X1076" s="5" t="s">
        <v>67</v>
      </c>
      <c r="Y1076" s="4">
        <v>99</v>
      </c>
      <c r="Z1076" s="4">
        <v>9</v>
      </c>
      <c r="AA1076" s="4">
        <v>102</v>
      </c>
      <c r="AB1076" s="4">
        <v>2</v>
      </c>
      <c r="AC1076" s="4">
        <v>17</v>
      </c>
      <c r="AD1076" s="4">
        <v>35</v>
      </c>
      <c r="AE1076" s="4">
        <v>114</v>
      </c>
      <c r="AF1076" s="4">
        <v>1</v>
      </c>
      <c r="AG1076" s="4">
        <v>8</v>
      </c>
      <c r="AH1076" s="4">
        <v>31</v>
      </c>
      <c r="AI1076" s="4">
        <v>79</v>
      </c>
      <c r="AJ1076" s="4">
        <v>7</v>
      </c>
      <c r="AK1076" s="4">
        <v>22</v>
      </c>
      <c r="AL1076" s="4">
        <v>21</v>
      </c>
      <c r="AM1076" s="4">
        <v>40</v>
      </c>
      <c r="AN1076" s="4">
        <v>0</v>
      </c>
      <c r="AO1076" s="4">
        <v>0</v>
      </c>
      <c r="AP1076" s="4">
        <v>7</v>
      </c>
      <c r="AQ1076" s="4">
        <v>43</v>
      </c>
      <c r="AR1076" s="3" t="s">
        <v>62</v>
      </c>
      <c r="AS1076" s="3" t="s">
        <v>62</v>
      </c>
      <c r="AT1076" s="3" t="s">
        <v>61</v>
      </c>
      <c r="AU1076" s="6" t="str">
        <f>HYPERLINK("http://catalog.hathitrust.org/Record/006837023","HathiTrust Record")</f>
        <v>HathiTrust Record</v>
      </c>
      <c r="AV1076" s="6" t="str">
        <f>HYPERLINK("http://mcgill.on.worldcat.org/oclc/316098662","Catalog Record")</f>
        <v>Catalog Record</v>
      </c>
      <c r="AW1076" s="6" t="str">
        <f>HYPERLINK("http://www.worldcat.org/oclc/316098662","WorldCat Record")</f>
        <v>WorldCat Record</v>
      </c>
      <c r="AX1076" s="3" t="s">
        <v>10617</v>
      </c>
      <c r="AY1076" s="3" t="s">
        <v>10618</v>
      </c>
      <c r="AZ1076" s="3" t="s">
        <v>10619</v>
      </c>
      <c r="BA1076" s="3" t="s">
        <v>10619</v>
      </c>
      <c r="BB1076" s="3" t="s">
        <v>10620</v>
      </c>
      <c r="BC1076" s="3" t="s">
        <v>142</v>
      </c>
      <c r="BD1076" s="3" t="s">
        <v>308</v>
      </c>
      <c r="BE1076" s="3" t="s">
        <v>10621</v>
      </c>
      <c r="BF1076" s="3" t="s">
        <v>10620</v>
      </c>
      <c r="BG1076" s="3" t="s">
        <v>10622</v>
      </c>
    </row>
    <row r="1077" spans="1:59" ht="57" x14ac:dyDescent="0.45">
      <c r="A1077" s="2" t="s">
        <v>59</v>
      </c>
      <c r="B1077" s="2" t="s">
        <v>60</v>
      </c>
      <c r="C1077" s="2" t="s">
        <v>10623</v>
      </c>
      <c r="D1077" s="2" t="s">
        <v>10624</v>
      </c>
      <c r="E1077" s="2" t="s">
        <v>10625</v>
      </c>
      <c r="F1077" s="3" t="s">
        <v>10626</v>
      </c>
      <c r="G1077" s="3" t="s">
        <v>62</v>
      </c>
      <c r="I1077" s="3" t="s">
        <v>62</v>
      </c>
      <c r="J1077" s="3" t="s">
        <v>62</v>
      </c>
      <c r="K1077" s="3" t="s">
        <v>63</v>
      </c>
      <c r="L1077" s="2" t="s">
        <v>10627</v>
      </c>
      <c r="M1077" s="2" t="s">
        <v>1905</v>
      </c>
      <c r="N1077" s="3" t="s">
        <v>149</v>
      </c>
      <c r="P1077" s="3" t="s">
        <v>65</v>
      </c>
      <c r="R1077" s="3" t="s">
        <v>66</v>
      </c>
      <c r="S1077" s="4">
        <v>18</v>
      </c>
      <c r="T1077" s="4">
        <v>18</v>
      </c>
      <c r="U1077" s="5" t="s">
        <v>2059</v>
      </c>
      <c r="V1077" s="5" t="s">
        <v>2059</v>
      </c>
      <c r="W1077" s="5" t="s">
        <v>67</v>
      </c>
      <c r="X1077" s="5" t="s">
        <v>67</v>
      </c>
      <c r="Y1077" s="4">
        <v>189</v>
      </c>
      <c r="Z1077" s="4">
        <v>12</v>
      </c>
      <c r="AA1077" s="4">
        <v>14</v>
      </c>
      <c r="AB1077" s="4">
        <v>2</v>
      </c>
      <c r="AC1077" s="4">
        <v>3</v>
      </c>
      <c r="AD1077" s="4">
        <v>38</v>
      </c>
      <c r="AE1077" s="4">
        <v>40</v>
      </c>
      <c r="AF1077" s="4">
        <v>0</v>
      </c>
      <c r="AG1077" s="4">
        <v>1</v>
      </c>
      <c r="AH1077" s="4">
        <v>34</v>
      </c>
      <c r="AI1077" s="4">
        <v>35</v>
      </c>
      <c r="AJ1077" s="4">
        <v>6</v>
      </c>
      <c r="AK1077" s="4">
        <v>7</v>
      </c>
      <c r="AL1077" s="4">
        <v>16</v>
      </c>
      <c r="AM1077" s="4">
        <v>16</v>
      </c>
      <c r="AN1077" s="4">
        <v>0</v>
      </c>
      <c r="AO1077" s="4">
        <v>0</v>
      </c>
      <c r="AP1077" s="4">
        <v>7</v>
      </c>
      <c r="AQ1077" s="4">
        <v>9</v>
      </c>
      <c r="AR1077" s="3" t="s">
        <v>62</v>
      </c>
      <c r="AS1077" s="3" t="s">
        <v>62</v>
      </c>
      <c r="AT1077" s="3" t="s">
        <v>62</v>
      </c>
      <c r="AV1077" s="6" t="str">
        <f>HYPERLINK("http://mcgill.on.worldcat.org/oclc/460059744","Catalog Record")</f>
        <v>Catalog Record</v>
      </c>
      <c r="AW1077" s="6" t="str">
        <f>HYPERLINK("http://www.worldcat.org/oclc/460059744","WorldCat Record")</f>
        <v>WorldCat Record</v>
      </c>
      <c r="AX1077" s="3" t="s">
        <v>10628</v>
      </c>
      <c r="AY1077" s="3" t="s">
        <v>10629</v>
      </c>
      <c r="AZ1077" s="3" t="s">
        <v>10630</v>
      </c>
      <c r="BA1077" s="3" t="s">
        <v>10630</v>
      </c>
      <c r="BB1077" s="3" t="s">
        <v>10631</v>
      </c>
      <c r="BC1077" s="3" t="s">
        <v>142</v>
      </c>
      <c r="BD1077" s="3" t="s">
        <v>68</v>
      </c>
      <c r="BE1077" s="3" t="s">
        <v>10632</v>
      </c>
      <c r="BF1077" s="3" t="s">
        <v>10631</v>
      </c>
      <c r="BG1077" s="3" t="s">
        <v>10633</v>
      </c>
    </row>
    <row r="1078" spans="1:59" ht="57" x14ac:dyDescent="0.45">
      <c r="A1078" s="2" t="s">
        <v>59</v>
      </c>
      <c r="B1078" s="2" t="s">
        <v>60</v>
      </c>
      <c r="C1078" s="2" t="s">
        <v>10634</v>
      </c>
      <c r="D1078" s="2" t="s">
        <v>10635</v>
      </c>
      <c r="E1078" s="2" t="s">
        <v>10636</v>
      </c>
      <c r="G1078" s="3" t="s">
        <v>62</v>
      </c>
      <c r="I1078" s="3" t="s">
        <v>62</v>
      </c>
      <c r="J1078" s="3" t="s">
        <v>62</v>
      </c>
      <c r="K1078" s="3" t="s">
        <v>63</v>
      </c>
      <c r="L1078" s="2" t="s">
        <v>10637</v>
      </c>
      <c r="M1078" s="2" t="s">
        <v>3447</v>
      </c>
      <c r="N1078" s="3" t="s">
        <v>1059</v>
      </c>
      <c r="P1078" s="3" t="s">
        <v>65</v>
      </c>
      <c r="Q1078" s="2" t="s">
        <v>10638</v>
      </c>
      <c r="R1078" s="3" t="s">
        <v>66</v>
      </c>
      <c r="S1078" s="4">
        <v>5</v>
      </c>
      <c r="T1078" s="4">
        <v>5</v>
      </c>
      <c r="U1078" s="5" t="s">
        <v>10639</v>
      </c>
      <c r="V1078" s="5" t="s">
        <v>10639</v>
      </c>
      <c r="W1078" s="5" t="s">
        <v>67</v>
      </c>
      <c r="X1078" s="5" t="s">
        <v>67</v>
      </c>
      <c r="Y1078" s="4">
        <v>142</v>
      </c>
      <c r="Z1078" s="4">
        <v>12</v>
      </c>
      <c r="AA1078" s="4">
        <v>102</v>
      </c>
      <c r="AB1078" s="4">
        <v>1</v>
      </c>
      <c r="AC1078" s="4">
        <v>18</v>
      </c>
      <c r="AD1078" s="4">
        <v>45</v>
      </c>
      <c r="AE1078" s="4">
        <v>118</v>
      </c>
      <c r="AF1078" s="4">
        <v>0</v>
      </c>
      <c r="AG1078" s="4">
        <v>8</v>
      </c>
      <c r="AH1078" s="4">
        <v>40</v>
      </c>
      <c r="AI1078" s="4">
        <v>81</v>
      </c>
      <c r="AJ1078" s="4">
        <v>7</v>
      </c>
      <c r="AK1078" s="4">
        <v>22</v>
      </c>
      <c r="AL1078" s="4">
        <v>21</v>
      </c>
      <c r="AM1078" s="4">
        <v>40</v>
      </c>
      <c r="AN1078" s="4">
        <v>0</v>
      </c>
      <c r="AO1078" s="4">
        <v>0</v>
      </c>
      <c r="AP1078" s="4">
        <v>11</v>
      </c>
      <c r="AQ1078" s="4">
        <v>44</v>
      </c>
      <c r="AR1078" s="3" t="s">
        <v>62</v>
      </c>
      <c r="AS1078" s="3" t="s">
        <v>62</v>
      </c>
      <c r="AT1078" s="3" t="s">
        <v>61</v>
      </c>
      <c r="AU1078" s="6" t="str">
        <f>HYPERLINK("http://catalog.hathitrust.org/Record/007155619","HathiTrust Record")</f>
        <v>HathiTrust Record</v>
      </c>
      <c r="AV1078" s="6" t="str">
        <f>HYPERLINK("http://mcgill.on.worldcat.org/oclc/63125857","Catalog Record")</f>
        <v>Catalog Record</v>
      </c>
      <c r="AW1078" s="6" t="str">
        <f>HYPERLINK("http://www.worldcat.org/oclc/63125857","WorldCat Record")</f>
        <v>WorldCat Record</v>
      </c>
      <c r="AX1078" s="3" t="s">
        <v>10640</v>
      </c>
      <c r="AY1078" s="3" t="s">
        <v>10641</v>
      </c>
      <c r="AZ1078" s="3" t="s">
        <v>10642</v>
      </c>
      <c r="BA1078" s="3" t="s">
        <v>10642</v>
      </c>
      <c r="BB1078" s="3" t="s">
        <v>10643</v>
      </c>
      <c r="BC1078" s="3" t="s">
        <v>142</v>
      </c>
      <c r="BD1078" s="3" t="s">
        <v>68</v>
      </c>
      <c r="BE1078" s="3" t="s">
        <v>10644</v>
      </c>
      <c r="BF1078" s="3" t="s">
        <v>10643</v>
      </c>
      <c r="BG1078" s="3" t="s">
        <v>10645</v>
      </c>
    </row>
    <row r="1079" spans="1:59" ht="57" x14ac:dyDescent="0.45">
      <c r="A1079" s="2" t="s">
        <v>59</v>
      </c>
      <c r="B1079" s="2" t="s">
        <v>60</v>
      </c>
      <c r="C1079" s="2" t="s">
        <v>10646</v>
      </c>
      <c r="D1079" s="2" t="s">
        <v>10647</v>
      </c>
      <c r="E1079" s="2" t="s">
        <v>10648</v>
      </c>
      <c r="G1079" s="3" t="s">
        <v>62</v>
      </c>
      <c r="I1079" s="3" t="s">
        <v>62</v>
      </c>
      <c r="J1079" s="3" t="s">
        <v>62</v>
      </c>
      <c r="K1079" s="3" t="s">
        <v>63</v>
      </c>
      <c r="M1079" s="2" t="s">
        <v>9755</v>
      </c>
      <c r="N1079" s="3" t="s">
        <v>1155</v>
      </c>
      <c r="P1079" s="3" t="s">
        <v>65</v>
      </c>
      <c r="Q1079" s="2" t="s">
        <v>10649</v>
      </c>
      <c r="R1079" s="3" t="s">
        <v>66</v>
      </c>
      <c r="S1079" s="4">
        <v>0</v>
      </c>
      <c r="T1079" s="4">
        <v>0</v>
      </c>
      <c r="W1079" s="5" t="s">
        <v>67</v>
      </c>
      <c r="X1079" s="5" t="s">
        <v>67</v>
      </c>
      <c r="Y1079" s="4">
        <v>85</v>
      </c>
      <c r="Z1079" s="4">
        <v>9</v>
      </c>
      <c r="AA1079" s="4">
        <v>17</v>
      </c>
      <c r="AB1079" s="4">
        <v>1</v>
      </c>
      <c r="AC1079" s="4">
        <v>2</v>
      </c>
      <c r="AD1079" s="4">
        <v>42</v>
      </c>
      <c r="AE1079" s="4">
        <v>49</v>
      </c>
      <c r="AF1079" s="4">
        <v>0</v>
      </c>
      <c r="AG1079" s="4">
        <v>0</v>
      </c>
      <c r="AH1079" s="4">
        <v>42</v>
      </c>
      <c r="AI1079" s="4">
        <v>47</v>
      </c>
      <c r="AJ1079" s="4">
        <v>6</v>
      </c>
      <c r="AK1079" s="4">
        <v>8</v>
      </c>
      <c r="AL1079" s="4">
        <v>27</v>
      </c>
      <c r="AM1079" s="4">
        <v>30</v>
      </c>
      <c r="AN1079" s="4">
        <v>0</v>
      </c>
      <c r="AO1079" s="4">
        <v>0</v>
      </c>
      <c r="AP1079" s="4">
        <v>6</v>
      </c>
      <c r="AQ1079" s="4">
        <v>9</v>
      </c>
      <c r="AR1079" s="3" t="s">
        <v>62</v>
      </c>
      <c r="AS1079" s="3" t="s">
        <v>62</v>
      </c>
      <c r="AT1079" s="3" t="s">
        <v>62</v>
      </c>
      <c r="AV1079" s="6" t="str">
        <f>HYPERLINK("http://mcgill.on.worldcat.org/oclc/733755716","Catalog Record")</f>
        <v>Catalog Record</v>
      </c>
      <c r="AW1079" s="6" t="str">
        <f>HYPERLINK("http://www.worldcat.org/oclc/733755716","WorldCat Record")</f>
        <v>WorldCat Record</v>
      </c>
      <c r="AX1079" s="3" t="s">
        <v>10650</v>
      </c>
      <c r="AY1079" s="3" t="s">
        <v>10651</v>
      </c>
      <c r="AZ1079" s="3" t="s">
        <v>10652</v>
      </c>
      <c r="BA1079" s="3" t="s">
        <v>10652</v>
      </c>
      <c r="BB1079" s="3" t="s">
        <v>10653</v>
      </c>
      <c r="BC1079" s="3" t="s">
        <v>142</v>
      </c>
      <c r="BD1079" s="3" t="s">
        <v>68</v>
      </c>
      <c r="BE1079" s="3" t="s">
        <v>10654</v>
      </c>
      <c r="BF1079" s="3" t="s">
        <v>10653</v>
      </c>
      <c r="BG1079" s="3" t="s">
        <v>10655</v>
      </c>
    </row>
    <row r="1080" spans="1:59" ht="57" x14ac:dyDescent="0.45">
      <c r="A1080" s="2" t="s">
        <v>59</v>
      </c>
      <c r="B1080" s="2" t="s">
        <v>60</v>
      </c>
      <c r="C1080" s="2" t="s">
        <v>10656</v>
      </c>
      <c r="D1080" s="2" t="s">
        <v>10657</v>
      </c>
      <c r="E1080" s="2" t="s">
        <v>10658</v>
      </c>
      <c r="G1080" s="3" t="s">
        <v>62</v>
      </c>
      <c r="I1080" s="3" t="s">
        <v>62</v>
      </c>
      <c r="J1080" s="3" t="s">
        <v>62</v>
      </c>
      <c r="K1080" s="3" t="s">
        <v>63</v>
      </c>
      <c r="M1080" s="2" t="s">
        <v>1009</v>
      </c>
      <c r="N1080" s="3" t="s">
        <v>894</v>
      </c>
      <c r="P1080" s="3" t="s">
        <v>65</v>
      </c>
      <c r="Q1080" s="2" t="s">
        <v>10659</v>
      </c>
      <c r="R1080" s="3" t="s">
        <v>66</v>
      </c>
      <c r="S1080" s="4">
        <v>0</v>
      </c>
      <c r="T1080" s="4">
        <v>0</v>
      </c>
      <c r="W1080" s="5" t="s">
        <v>67</v>
      </c>
      <c r="X1080" s="5" t="s">
        <v>67</v>
      </c>
      <c r="Y1080" s="4">
        <v>94</v>
      </c>
      <c r="Z1080" s="4">
        <v>10</v>
      </c>
      <c r="AA1080" s="4">
        <v>78</v>
      </c>
      <c r="AB1080" s="4">
        <v>1</v>
      </c>
      <c r="AC1080" s="4">
        <v>15</v>
      </c>
      <c r="AD1080" s="4">
        <v>42</v>
      </c>
      <c r="AE1080" s="4">
        <v>113</v>
      </c>
      <c r="AF1080" s="4">
        <v>0</v>
      </c>
      <c r="AG1080" s="4">
        <v>8</v>
      </c>
      <c r="AH1080" s="4">
        <v>40</v>
      </c>
      <c r="AI1080" s="4">
        <v>81</v>
      </c>
      <c r="AJ1080" s="4">
        <v>6</v>
      </c>
      <c r="AK1080" s="4">
        <v>20</v>
      </c>
      <c r="AL1080" s="4">
        <v>26</v>
      </c>
      <c r="AM1080" s="4">
        <v>43</v>
      </c>
      <c r="AN1080" s="4">
        <v>0</v>
      </c>
      <c r="AO1080" s="4">
        <v>0</v>
      </c>
      <c r="AP1080" s="4">
        <v>6</v>
      </c>
      <c r="AQ1080" s="4">
        <v>39</v>
      </c>
      <c r="AR1080" s="3" t="s">
        <v>62</v>
      </c>
      <c r="AS1080" s="3" t="s">
        <v>62</v>
      </c>
      <c r="AT1080" s="3" t="s">
        <v>62</v>
      </c>
      <c r="AV1080" s="6" t="str">
        <f>HYPERLINK("http://mcgill.on.worldcat.org/oclc/503308080","Catalog Record")</f>
        <v>Catalog Record</v>
      </c>
      <c r="AW1080" s="6" t="str">
        <f>HYPERLINK("http://www.worldcat.org/oclc/503308080","WorldCat Record")</f>
        <v>WorldCat Record</v>
      </c>
      <c r="AX1080" s="3" t="s">
        <v>10660</v>
      </c>
      <c r="AY1080" s="3" t="s">
        <v>10661</v>
      </c>
      <c r="AZ1080" s="3" t="s">
        <v>10662</v>
      </c>
      <c r="BA1080" s="3" t="s">
        <v>10662</v>
      </c>
      <c r="BB1080" s="3" t="s">
        <v>10663</v>
      </c>
      <c r="BC1080" s="3" t="s">
        <v>142</v>
      </c>
      <c r="BD1080" s="3" t="s">
        <v>68</v>
      </c>
      <c r="BE1080" s="3" t="s">
        <v>10664</v>
      </c>
      <c r="BF1080" s="3" t="s">
        <v>10663</v>
      </c>
      <c r="BG1080" s="3" t="s">
        <v>10665</v>
      </c>
    </row>
    <row r="1081" spans="1:59" ht="57" x14ac:dyDescent="0.45">
      <c r="A1081" s="2" t="s">
        <v>59</v>
      </c>
      <c r="B1081" s="2" t="s">
        <v>60</v>
      </c>
      <c r="C1081" s="2" t="s">
        <v>10666</v>
      </c>
      <c r="D1081" s="2" t="s">
        <v>10667</v>
      </c>
      <c r="E1081" s="2" t="s">
        <v>10668</v>
      </c>
      <c r="G1081" s="3" t="s">
        <v>62</v>
      </c>
      <c r="I1081" s="3" t="s">
        <v>62</v>
      </c>
      <c r="J1081" s="3" t="s">
        <v>62</v>
      </c>
      <c r="K1081" s="3" t="s">
        <v>63</v>
      </c>
      <c r="L1081" s="2" t="s">
        <v>10669</v>
      </c>
      <c r="M1081" s="2" t="s">
        <v>1713</v>
      </c>
      <c r="N1081" s="3" t="s">
        <v>1155</v>
      </c>
      <c r="P1081" s="3" t="s">
        <v>65</v>
      </c>
      <c r="R1081" s="3" t="s">
        <v>66</v>
      </c>
      <c r="S1081" s="4">
        <v>0</v>
      </c>
      <c r="T1081" s="4">
        <v>0</v>
      </c>
      <c r="W1081" s="5" t="s">
        <v>67</v>
      </c>
      <c r="X1081" s="5" t="s">
        <v>67</v>
      </c>
      <c r="Y1081" s="4">
        <v>132</v>
      </c>
      <c r="Z1081" s="4">
        <v>13</v>
      </c>
      <c r="AA1081" s="4">
        <v>101</v>
      </c>
      <c r="AB1081" s="4">
        <v>1</v>
      </c>
      <c r="AC1081" s="4">
        <v>14</v>
      </c>
      <c r="AD1081" s="4">
        <v>60</v>
      </c>
      <c r="AE1081" s="4">
        <v>119</v>
      </c>
      <c r="AF1081" s="4">
        <v>0</v>
      </c>
      <c r="AG1081" s="4">
        <v>8</v>
      </c>
      <c r="AH1081" s="4">
        <v>56</v>
      </c>
      <c r="AI1081" s="4">
        <v>83</v>
      </c>
      <c r="AJ1081" s="4">
        <v>9</v>
      </c>
      <c r="AK1081" s="4">
        <v>22</v>
      </c>
      <c r="AL1081" s="4">
        <v>32</v>
      </c>
      <c r="AM1081" s="4">
        <v>46</v>
      </c>
      <c r="AN1081" s="4">
        <v>0</v>
      </c>
      <c r="AO1081" s="4">
        <v>0</v>
      </c>
      <c r="AP1081" s="4">
        <v>10</v>
      </c>
      <c r="AQ1081" s="4">
        <v>43</v>
      </c>
      <c r="AR1081" s="3" t="s">
        <v>62</v>
      </c>
      <c r="AS1081" s="3" t="s">
        <v>62</v>
      </c>
      <c r="AT1081" s="3" t="s">
        <v>62</v>
      </c>
      <c r="AV1081" s="6" t="str">
        <f>HYPERLINK("http://mcgill.on.worldcat.org/oclc/746489225","Catalog Record")</f>
        <v>Catalog Record</v>
      </c>
      <c r="AW1081" s="6" t="str">
        <f>HYPERLINK("http://www.worldcat.org/oclc/746489225","WorldCat Record")</f>
        <v>WorldCat Record</v>
      </c>
      <c r="AX1081" s="3" t="s">
        <v>10670</v>
      </c>
      <c r="AY1081" s="3" t="s">
        <v>10671</v>
      </c>
      <c r="AZ1081" s="3" t="s">
        <v>10672</v>
      </c>
      <c r="BA1081" s="3" t="s">
        <v>10672</v>
      </c>
      <c r="BB1081" s="3" t="s">
        <v>10673</v>
      </c>
      <c r="BC1081" s="3" t="s">
        <v>142</v>
      </c>
      <c r="BD1081" s="3" t="s">
        <v>68</v>
      </c>
      <c r="BE1081" s="3" t="s">
        <v>10674</v>
      </c>
      <c r="BF1081" s="3" t="s">
        <v>10673</v>
      </c>
      <c r="BG1081" s="3" t="s">
        <v>10675</v>
      </c>
    </row>
    <row r="1082" spans="1:59" ht="57" x14ac:dyDescent="0.45">
      <c r="A1082" s="2" t="s">
        <v>59</v>
      </c>
      <c r="B1082" s="2" t="s">
        <v>60</v>
      </c>
      <c r="C1082" s="2" t="s">
        <v>10676</v>
      </c>
      <c r="D1082" s="2" t="s">
        <v>10677</v>
      </c>
      <c r="E1082" s="2" t="s">
        <v>10678</v>
      </c>
      <c r="G1082" s="3" t="s">
        <v>62</v>
      </c>
      <c r="I1082" s="3" t="s">
        <v>62</v>
      </c>
      <c r="J1082" s="3" t="s">
        <v>62</v>
      </c>
      <c r="K1082" s="3" t="s">
        <v>63</v>
      </c>
      <c r="L1082" s="2" t="s">
        <v>10679</v>
      </c>
      <c r="M1082" s="2" t="s">
        <v>10680</v>
      </c>
      <c r="N1082" s="3" t="s">
        <v>807</v>
      </c>
      <c r="P1082" s="3" t="s">
        <v>65</v>
      </c>
      <c r="Q1082" s="2" t="s">
        <v>8700</v>
      </c>
      <c r="R1082" s="3" t="s">
        <v>66</v>
      </c>
      <c r="S1082" s="4">
        <v>12</v>
      </c>
      <c r="T1082" s="4">
        <v>12</v>
      </c>
      <c r="U1082" s="5" t="s">
        <v>10681</v>
      </c>
      <c r="V1082" s="5" t="s">
        <v>10681</v>
      </c>
      <c r="W1082" s="5" t="s">
        <v>67</v>
      </c>
      <c r="X1082" s="5" t="s">
        <v>67</v>
      </c>
      <c r="Y1082" s="4">
        <v>113</v>
      </c>
      <c r="Z1082" s="4">
        <v>5</v>
      </c>
      <c r="AA1082" s="4">
        <v>6</v>
      </c>
      <c r="AB1082" s="4">
        <v>1</v>
      </c>
      <c r="AC1082" s="4">
        <v>2</v>
      </c>
      <c r="AD1082" s="4">
        <v>48</v>
      </c>
      <c r="AE1082" s="4">
        <v>49</v>
      </c>
      <c r="AF1082" s="4">
        <v>0</v>
      </c>
      <c r="AG1082" s="4">
        <v>1</v>
      </c>
      <c r="AH1082" s="4">
        <v>46</v>
      </c>
      <c r="AI1082" s="4">
        <v>47</v>
      </c>
      <c r="AJ1082" s="4">
        <v>3</v>
      </c>
      <c r="AK1082" s="4">
        <v>4</v>
      </c>
      <c r="AL1082" s="4">
        <v>31</v>
      </c>
      <c r="AM1082" s="4">
        <v>31</v>
      </c>
      <c r="AN1082" s="4">
        <v>0</v>
      </c>
      <c r="AO1082" s="4">
        <v>0</v>
      </c>
      <c r="AP1082" s="4">
        <v>3</v>
      </c>
      <c r="AQ1082" s="4">
        <v>4</v>
      </c>
      <c r="AR1082" s="3" t="s">
        <v>62</v>
      </c>
      <c r="AS1082" s="3" t="s">
        <v>62</v>
      </c>
      <c r="AT1082" s="3" t="s">
        <v>61</v>
      </c>
      <c r="AU1082" s="6" t="str">
        <f>HYPERLINK("http://catalog.hathitrust.org/Record/002511033","HathiTrust Record")</f>
        <v>HathiTrust Record</v>
      </c>
      <c r="AV1082" s="6" t="str">
        <f>HYPERLINK("http://mcgill.on.worldcat.org/oclc/24066781","Catalog Record")</f>
        <v>Catalog Record</v>
      </c>
      <c r="AW1082" s="6" t="str">
        <f>HYPERLINK("http://www.worldcat.org/oclc/24066781","WorldCat Record")</f>
        <v>WorldCat Record</v>
      </c>
      <c r="AX1082" s="3" t="s">
        <v>10682</v>
      </c>
      <c r="AY1082" s="3" t="s">
        <v>10683</v>
      </c>
      <c r="AZ1082" s="3" t="s">
        <v>10684</v>
      </c>
      <c r="BA1082" s="3" t="s">
        <v>10684</v>
      </c>
      <c r="BB1082" s="3" t="s">
        <v>10685</v>
      </c>
      <c r="BC1082" s="3" t="s">
        <v>142</v>
      </c>
      <c r="BD1082" s="3" t="s">
        <v>308</v>
      </c>
      <c r="BE1082" s="3" t="s">
        <v>10686</v>
      </c>
      <c r="BF1082" s="3" t="s">
        <v>10685</v>
      </c>
      <c r="BG1082" s="3" t="s">
        <v>10687</v>
      </c>
    </row>
    <row r="1083" spans="1:59" ht="57" x14ac:dyDescent="0.45">
      <c r="A1083" s="2" t="s">
        <v>59</v>
      </c>
      <c r="B1083" s="2" t="s">
        <v>60</v>
      </c>
      <c r="C1083" s="2" t="s">
        <v>10688</v>
      </c>
      <c r="D1083" s="2" t="s">
        <v>10689</v>
      </c>
      <c r="E1083" s="2" t="s">
        <v>10690</v>
      </c>
      <c r="G1083" s="3" t="s">
        <v>62</v>
      </c>
      <c r="I1083" s="3" t="s">
        <v>62</v>
      </c>
      <c r="J1083" s="3" t="s">
        <v>62</v>
      </c>
      <c r="K1083" s="3" t="s">
        <v>63</v>
      </c>
      <c r="M1083" s="2" t="s">
        <v>10691</v>
      </c>
      <c r="N1083" s="3" t="s">
        <v>1155</v>
      </c>
      <c r="P1083" s="3" t="s">
        <v>65</v>
      </c>
      <c r="Q1083" s="2" t="s">
        <v>10692</v>
      </c>
      <c r="R1083" s="3" t="s">
        <v>66</v>
      </c>
      <c r="S1083" s="4">
        <v>1</v>
      </c>
      <c r="T1083" s="4">
        <v>1</v>
      </c>
      <c r="U1083" s="5" t="s">
        <v>10693</v>
      </c>
      <c r="V1083" s="5" t="s">
        <v>10693</v>
      </c>
      <c r="W1083" s="5" t="s">
        <v>67</v>
      </c>
      <c r="X1083" s="5" t="s">
        <v>67</v>
      </c>
      <c r="Y1083" s="4">
        <v>74</v>
      </c>
      <c r="Z1083" s="4">
        <v>4</v>
      </c>
      <c r="AA1083" s="4">
        <v>4</v>
      </c>
      <c r="AB1083" s="4">
        <v>1</v>
      </c>
      <c r="AC1083" s="4">
        <v>1</v>
      </c>
      <c r="AD1083" s="4">
        <v>21</v>
      </c>
      <c r="AE1083" s="4">
        <v>21</v>
      </c>
      <c r="AF1083" s="4">
        <v>0</v>
      </c>
      <c r="AG1083" s="4">
        <v>0</v>
      </c>
      <c r="AH1083" s="4">
        <v>21</v>
      </c>
      <c r="AI1083" s="4">
        <v>21</v>
      </c>
      <c r="AJ1083" s="4">
        <v>3</v>
      </c>
      <c r="AK1083" s="4">
        <v>3</v>
      </c>
      <c r="AL1083" s="4">
        <v>12</v>
      </c>
      <c r="AM1083" s="4">
        <v>12</v>
      </c>
      <c r="AN1083" s="4">
        <v>0</v>
      </c>
      <c r="AO1083" s="4">
        <v>0</v>
      </c>
      <c r="AP1083" s="4">
        <v>3</v>
      </c>
      <c r="AQ1083" s="4">
        <v>3</v>
      </c>
      <c r="AR1083" s="3" t="s">
        <v>62</v>
      </c>
      <c r="AS1083" s="3" t="s">
        <v>62</v>
      </c>
      <c r="AT1083" s="3" t="s">
        <v>62</v>
      </c>
      <c r="AV1083" s="6" t="str">
        <f>HYPERLINK("http://mcgill.on.worldcat.org/oclc/654314129","Catalog Record")</f>
        <v>Catalog Record</v>
      </c>
      <c r="AW1083" s="6" t="str">
        <f>HYPERLINK("http://www.worldcat.org/oclc/654314129","WorldCat Record")</f>
        <v>WorldCat Record</v>
      </c>
      <c r="AX1083" s="3" t="s">
        <v>10694</v>
      </c>
      <c r="AY1083" s="3" t="s">
        <v>10695</v>
      </c>
      <c r="AZ1083" s="3" t="s">
        <v>10696</v>
      </c>
      <c r="BA1083" s="3" t="s">
        <v>10696</v>
      </c>
      <c r="BB1083" s="3" t="s">
        <v>10697</v>
      </c>
      <c r="BC1083" s="3" t="s">
        <v>142</v>
      </c>
      <c r="BD1083" s="3" t="s">
        <v>68</v>
      </c>
      <c r="BE1083" s="3" t="s">
        <v>10698</v>
      </c>
      <c r="BF1083" s="3" t="s">
        <v>10697</v>
      </c>
      <c r="BG1083" s="3" t="s">
        <v>10699</v>
      </c>
    </row>
    <row r="1084" spans="1:59" ht="57" x14ac:dyDescent="0.45">
      <c r="A1084" s="2" t="s">
        <v>59</v>
      </c>
      <c r="B1084" s="2" t="s">
        <v>60</v>
      </c>
      <c r="C1084" s="2" t="s">
        <v>10700</v>
      </c>
      <c r="D1084" s="2" t="s">
        <v>10701</v>
      </c>
      <c r="E1084" s="2" t="s">
        <v>10702</v>
      </c>
      <c r="G1084" s="3" t="s">
        <v>62</v>
      </c>
      <c r="I1084" s="3" t="s">
        <v>62</v>
      </c>
      <c r="J1084" s="3" t="s">
        <v>62</v>
      </c>
      <c r="K1084" s="3" t="s">
        <v>63</v>
      </c>
      <c r="M1084" s="2" t="s">
        <v>10703</v>
      </c>
      <c r="N1084" s="3" t="s">
        <v>1688</v>
      </c>
      <c r="P1084" s="3" t="s">
        <v>65</v>
      </c>
      <c r="Q1084" s="2" t="s">
        <v>10704</v>
      </c>
      <c r="R1084" s="3" t="s">
        <v>66</v>
      </c>
      <c r="S1084" s="4">
        <v>0</v>
      </c>
      <c r="T1084" s="4">
        <v>0</v>
      </c>
      <c r="W1084" s="5" t="s">
        <v>67</v>
      </c>
      <c r="X1084" s="5" t="s">
        <v>67</v>
      </c>
      <c r="Y1084" s="4">
        <v>7</v>
      </c>
      <c r="Z1084" s="4">
        <v>1</v>
      </c>
      <c r="AA1084" s="4">
        <v>2</v>
      </c>
      <c r="AB1084" s="4">
        <v>1</v>
      </c>
      <c r="AC1084" s="4">
        <v>1</v>
      </c>
      <c r="AD1084" s="4">
        <v>2</v>
      </c>
      <c r="AE1084" s="4">
        <v>5</v>
      </c>
      <c r="AF1084" s="4">
        <v>0</v>
      </c>
      <c r="AG1084" s="4">
        <v>0</v>
      </c>
      <c r="AH1084" s="4">
        <v>2</v>
      </c>
      <c r="AI1084" s="4">
        <v>5</v>
      </c>
      <c r="AJ1084" s="4">
        <v>0</v>
      </c>
      <c r="AK1084" s="4">
        <v>1</v>
      </c>
      <c r="AL1084" s="4">
        <v>2</v>
      </c>
      <c r="AM1084" s="4">
        <v>4</v>
      </c>
      <c r="AN1084" s="4">
        <v>0</v>
      </c>
      <c r="AO1084" s="4">
        <v>0</v>
      </c>
      <c r="AP1084" s="4">
        <v>0</v>
      </c>
      <c r="AQ1084" s="4">
        <v>1</v>
      </c>
      <c r="AR1084" s="3" t="s">
        <v>62</v>
      </c>
      <c r="AS1084" s="3" t="s">
        <v>62</v>
      </c>
      <c r="AT1084" s="3" t="s">
        <v>62</v>
      </c>
      <c r="AV1084" s="6" t="str">
        <f>HYPERLINK("http://mcgill.on.worldcat.org/oclc/885379540","Catalog Record")</f>
        <v>Catalog Record</v>
      </c>
      <c r="AW1084" s="6" t="str">
        <f>HYPERLINK("http://www.worldcat.org/oclc/885379540","WorldCat Record")</f>
        <v>WorldCat Record</v>
      </c>
      <c r="AX1084" s="3" t="s">
        <v>10705</v>
      </c>
      <c r="AY1084" s="3" t="s">
        <v>10706</v>
      </c>
      <c r="AZ1084" s="3" t="s">
        <v>10707</v>
      </c>
      <c r="BA1084" s="3" t="s">
        <v>10707</v>
      </c>
      <c r="BB1084" s="3" t="s">
        <v>10708</v>
      </c>
      <c r="BC1084" s="3" t="s">
        <v>142</v>
      </c>
      <c r="BD1084" s="3" t="s">
        <v>68</v>
      </c>
      <c r="BE1084" s="3" t="s">
        <v>10709</v>
      </c>
      <c r="BF1084" s="3" t="s">
        <v>10708</v>
      </c>
      <c r="BG1084" s="3" t="s">
        <v>10710</v>
      </c>
    </row>
    <row r="1085" spans="1:59" ht="57" x14ac:dyDescent="0.45">
      <c r="A1085" s="2" t="s">
        <v>59</v>
      </c>
      <c r="B1085" s="2" t="s">
        <v>60</v>
      </c>
      <c r="C1085" s="2" t="s">
        <v>10711</v>
      </c>
      <c r="D1085" s="2" t="s">
        <v>10712</v>
      </c>
      <c r="E1085" s="2" t="s">
        <v>10713</v>
      </c>
      <c r="G1085" s="3" t="s">
        <v>62</v>
      </c>
      <c r="I1085" s="3" t="s">
        <v>62</v>
      </c>
      <c r="J1085" s="3" t="s">
        <v>62</v>
      </c>
      <c r="K1085" s="3" t="s">
        <v>63</v>
      </c>
      <c r="M1085" s="2" t="s">
        <v>10714</v>
      </c>
      <c r="N1085" s="3" t="s">
        <v>1918</v>
      </c>
      <c r="P1085" s="3" t="s">
        <v>65</v>
      </c>
      <c r="Q1085" s="2" t="s">
        <v>10715</v>
      </c>
      <c r="R1085" s="3" t="s">
        <v>66</v>
      </c>
      <c r="S1085" s="4">
        <v>0</v>
      </c>
      <c r="T1085" s="4">
        <v>0</v>
      </c>
      <c r="W1085" s="5" t="s">
        <v>67</v>
      </c>
      <c r="X1085" s="5" t="s">
        <v>67</v>
      </c>
      <c r="Y1085" s="4">
        <v>21</v>
      </c>
      <c r="Z1085" s="4">
        <v>3</v>
      </c>
      <c r="AA1085" s="4">
        <v>3</v>
      </c>
      <c r="AB1085" s="4">
        <v>1</v>
      </c>
      <c r="AC1085" s="4">
        <v>1</v>
      </c>
      <c r="AD1085" s="4">
        <v>13</v>
      </c>
      <c r="AE1085" s="4">
        <v>13</v>
      </c>
      <c r="AF1085" s="4">
        <v>0</v>
      </c>
      <c r="AG1085" s="4">
        <v>0</v>
      </c>
      <c r="AH1085" s="4">
        <v>12</v>
      </c>
      <c r="AI1085" s="4">
        <v>12</v>
      </c>
      <c r="AJ1085" s="4">
        <v>2</v>
      </c>
      <c r="AK1085" s="4">
        <v>2</v>
      </c>
      <c r="AL1085" s="4">
        <v>11</v>
      </c>
      <c r="AM1085" s="4">
        <v>11</v>
      </c>
      <c r="AN1085" s="4">
        <v>0</v>
      </c>
      <c r="AO1085" s="4">
        <v>0</v>
      </c>
      <c r="AP1085" s="4">
        <v>2</v>
      </c>
      <c r="AQ1085" s="4">
        <v>2</v>
      </c>
      <c r="AR1085" s="3" t="s">
        <v>62</v>
      </c>
      <c r="AS1085" s="3" t="s">
        <v>62</v>
      </c>
      <c r="AT1085" s="3" t="s">
        <v>62</v>
      </c>
      <c r="AV1085" s="6" t="str">
        <f>HYPERLINK("http://mcgill.on.worldcat.org/oclc/989622537","Catalog Record")</f>
        <v>Catalog Record</v>
      </c>
      <c r="AW1085" s="6" t="str">
        <f>HYPERLINK("http://www.worldcat.org/oclc/989622537","WorldCat Record")</f>
        <v>WorldCat Record</v>
      </c>
      <c r="AX1085" s="3" t="s">
        <v>10716</v>
      </c>
      <c r="AY1085" s="3" t="s">
        <v>10717</v>
      </c>
      <c r="AZ1085" s="3" t="s">
        <v>10718</v>
      </c>
      <c r="BA1085" s="3" t="s">
        <v>10718</v>
      </c>
      <c r="BB1085" s="3" t="s">
        <v>10719</v>
      </c>
      <c r="BC1085" s="3" t="s">
        <v>142</v>
      </c>
      <c r="BD1085" s="3" t="s">
        <v>68</v>
      </c>
      <c r="BE1085" s="3" t="s">
        <v>10720</v>
      </c>
      <c r="BF1085" s="3" t="s">
        <v>10719</v>
      </c>
      <c r="BG1085" s="3" t="s">
        <v>10721</v>
      </c>
    </row>
    <row r="1086" spans="1:59" ht="57" x14ac:dyDescent="0.45">
      <c r="A1086" s="2" t="s">
        <v>59</v>
      </c>
      <c r="B1086" s="2" t="s">
        <v>60</v>
      </c>
      <c r="C1086" s="2" t="s">
        <v>10722</v>
      </c>
      <c r="D1086" s="2" t="s">
        <v>10723</v>
      </c>
      <c r="E1086" s="2" t="s">
        <v>10724</v>
      </c>
      <c r="G1086" s="3" t="s">
        <v>62</v>
      </c>
      <c r="I1086" s="3" t="s">
        <v>62</v>
      </c>
      <c r="J1086" s="3" t="s">
        <v>62</v>
      </c>
      <c r="K1086" s="3" t="s">
        <v>63</v>
      </c>
      <c r="M1086" s="2" t="s">
        <v>10725</v>
      </c>
      <c r="N1086" s="3" t="s">
        <v>542</v>
      </c>
      <c r="P1086" s="3" t="s">
        <v>65</v>
      </c>
      <c r="Q1086" s="2" t="s">
        <v>10726</v>
      </c>
      <c r="R1086" s="3" t="s">
        <v>66</v>
      </c>
      <c r="S1086" s="4">
        <v>1</v>
      </c>
      <c r="T1086" s="4">
        <v>1</v>
      </c>
      <c r="U1086" s="5" t="s">
        <v>10727</v>
      </c>
      <c r="V1086" s="5" t="s">
        <v>10727</v>
      </c>
      <c r="W1086" s="5" t="s">
        <v>67</v>
      </c>
      <c r="X1086" s="5" t="s">
        <v>67</v>
      </c>
      <c r="Y1086" s="4">
        <v>233</v>
      </c>
      <c r="Z1086" s="4">
        <v>11</v>
      </c>
      <c r="AA1086" s="4">
        <v>13</v>
      </c>
      <c r="AB1086" s="4">
        <v>2</v>
      </c>
      <c r="AC1086" s="4">
        <v>4</v>
      </c>
      <c r="AD1086" s="4">
        <v>61</v>
      </c>
      <c r="AE1086" s="4">
        <v>64</v>
      </c>
      <c r="AF1086" s="4">
        <v>0</v>
      </c>
      <c r="AG1086" s="4">
        <v>2</v>
      </c>
      <c r="AH1086" s="4">
        <v>55</v>
      </c>
      <c r="AI1086" s="4">
        <v>57</v>
      </c>
      <c r="AJ1086" s="4">
        <v>7</v>
      </c>
      <c r="AK1086" s="4">
        <v>9</v>
      </c>
      <c r="AL1086" s="4">
        <v>33</v>
      </c>
      <c r="AM1086" s="4">
        <v>34</v>
      </c>
      <c r="AN1086" s="4">
        <v>0</v>
      </c>
      <c r="AO1086" s="4">
        <v>0</v>
      </c>
      <c r="AP1086" s="4">
        <v>8</v>
      </c>
      <c r="AQ1086" s="4">
        <v>9</v>
      </c>
      <c r="AR1086" s="3" t="s">
        <v>62</v>
      </c>
      <c r="AS1086" s="3" t="s">
        <v>62</v>
      </c>
      <c r="AT1086" s="3" t="s">
        <v>62</v>
      </c>
      <c r="AV1086" s="6" t="str">
        <f>HYPERLINK("http://mcgill.on.worldcat.org/oclc/45505991","Catalog Record")</f>
        <v>Catalog Record</v>
      </c>
      <c r="AW1086" s="6" t="str">
        <f>HYPERLINK("http://www.worldcat.org/oclc/45505991","WorldCat Record")</f>
        <v>WorldCat Record</v>
      </c>
      <c r="AX1086" s="3" t="s">
        <v>10728</v>
      </c>
      <c r="AY1086" s="3" t="s">
        <v>10729</v>
      </c>
      <c r="AZ1086" s="3" t="s">
        <v>10730</v>
      </c>
      <c r="BA1086" s="3" t="s">
        <v>10730</v>
      </c>
      <c r="BB1086" s="3" t="s">
        <v>10731</v>
      </c>
      <c r="BC1086" s="3" t="s">
        <v>142</v>
      </c>
      <c r="BD1086" s="3" t="s">
        <v>68</v>
      </c>
      <c r="BE1086" s="3" t="s">
        <v>10732</v>
      </c>
      <c r="BF1086" s="3" t="s">
        <v>10731</v>
      </c>
      <c r="BG1086" s="3" t="s">
        <v>10733</v>
      </c>
    </row>
    <row r="1087" spans="1:59" ht="57" x14ac:dyDescent="0.45">
      <c r="A1087" s="2" t="s">
        <v>59</v>
      </c>
      <c r="B1087" s="2" t="s">
        <v>60</v>
      </c>
      <c r="C1087" s="2" t="s">
        <v>10734</v>
      </c>
      <c r="D1087" s="2" t="s">
        <v>10735</v>
      </c>
      <c r="E1087" s="2" t="s">
        <v>10736</v>
      </c>
      <c r="G1087" s="3" t="s">
        <v>62</v>
      </c>
      <c r="I1087" s="3" t="s">
        <v>62</v>
      </c>
      <c r="J1087" s="3" t="s">
        <v>61</v>
      </c>
      <c r="K1087" s="3" t="s">
        <v>63</v>
      </c>
      <c r="L1087" s="2" t="s">
        <v>10737</v>
      </c>
      <c r="M1087" s="2" t="s">
        <v>7935</v>
      </c>
      <c r="N1087" s="3" t="s">
        <v>149</v>
      </c>
      <c r="O1087" s="2" t="s">
        <v>10738</v>
      </c>
      <c r="P1087" s="3" t="s">
        <v>65</v>
      </c>
      <c r="Q1087" s="2" t="s">
        <v>10572</v>
      </c>
      <c r="R1087" s="3" t="s">
        <v>66</v>
      </c>
      <c r="S1087" s="4">
        <v>3</v>
      </c>
      <c r="T1087" s="4">
        <v>3</v>
      </c>
      <c r="U1087" s="5" t="s">
        <v>10739</v>
      </c>
      <c r="V1087" s="5" t="s">
        <v>10739</v>
      </c>
      <c r="W1087" s="5" t="s">
        <v>67</v>
      </c>
      <c r="X1087" s="5" t="s">
        <v>67</v>
      </c>
      <c r="Y1087" s="4">
        <v>68</v>
      </c>
      <c r="Z1087" s="4">
        <v>5</v>
      </c>
      <c r="AA1087" s="4">
        <v>13</v>
      </c>
      <c r="AB1087" s="4">
        <v>1</v>
      </c>
      <c r="AC1087" s="4">
        <v>2</v>
      </c>
      <c r="AD1087" s="4">
        <v>30</v>
      </c>
      <c r="AE1087" s="4">
        <v>63</v>
      </c>
      <c r="AF1087" s="4">
        <v>0</v>
      </c>
      <c r="AG1087" s="4">
        <v>1</v>
      </c>
      <c r="AH1087" s="4">
        <v>28</v>
      </c>
      <c r="AI1087" s="4">
        <v>58</v>
      </c>
      <c r="AJ1087" s="4">
        <v>4</v>
      </c>
      <c r="AK1087" s="4">
        <v>11</v>
      </c>
      <c r="AL1087" s="4">
        <v>19</v>
      </c>
      <c r="AM1087" s="4">
        <v>29</v>
      </c>
      <c r="AN1087" s="4">
        <v>0</v>
      </c>
      <c r="AO1087" s="4">
        <v>0</v>
      </c>
      <c r="AP1087" s="4">
        <v>4</v>
      </c>
      <c r="AQ1087" s="4">
        <v>11</v>
      </c>
      <c r="AR1087" s="3" t="s">
        <v>62</v>
      </c>
      <c r="AS1087" s="3" t="s">
        <v>62</v>
      </c>
      <c r="AT1087" s="3" t="s">
        <v>62</v>
      </c>
      <c r="AV1087" s="6" t="str">
        <f>HYPERLINK("http://mcgill.on.worldcat.org/oclc/319064273","Catalog Record")</f>
        <v>Catalog Record</v>
      </c>
      <c r="AW1087" s="6" t="str">
        <f>HYPERLINK("http://www.worldcat.org/oclc/319064273","WorldCat Record")</f>
        <v>WorldCat Record</v>
      </c>
      <c r="AX1087" s="3" t="s">
        <v>10740</v>
      </c>
      <c r="AY1087" s="3" t="s">
        <v>10741</v>
      </c>
      <c r="AZ1087" s="3" t="s">
        <v>10742</v>
      </c>
      <c r="BA1087" s="3" t="s">
        <v>10742</v>
      </c>
      <c r="BB1087" s="3" t="s">
        <v>10743</v>
      </c>
      <c r="BC1087" s="3" t="s">
        <v>142</v>
      </c>
      <c r="BD1087" s="3" t="s">
        <v>68</v>
      </c>
      <c r="BE1087" s="3" t="s">
        <v>10744</v>
      </c>
      <c r="BF1087" s="3" t="s">
        <v>10743</v>
      </c>
      <c r="BG1087" s="3" t="s">
        <v>10745</v>
      </c>
    </row>
    <row r="1088" spans="1:59" ht="57" x14ac:dyDescent="0.45">
      <c r="A1088" s="2" t="s">
        <v>59</v>
      </c>
      <c r="B1088" s="2" t="s">
        <v>60</v>
      </c>
      <c r="C1088" s="2" t="s">
        <v>10746</v>
      </c>
      <c r="D1088" s="2" t="s">
        <v>10747</v>
      </c>
      <c r="E1088" s="2" t="s">
        <v>10748</v>
      </c>
      <c r="G1088" s="3" t="s">
        <v>62</v>
      </c>
      <c r="I1088" s="3" t="s">
        <v>62</v>
      </c>
      <c r="J1088" s="3" t="s">
        <v>62</v>
      </c>
      <c r="K1088" s="3" t="s">
        <v>63</v>
      </c>
      <c r="L1088" s="2" t="s">
        <v>10749</v>
      </c>
      <c r="M1088" s="2" t="s">
        <v>10750</v>
      </c>
      <c r="N1088" s="3" t="s">
        <v>1604</v>
      </c>
      <c r="P1088" s="3" t="s">
        <v>110</v>
      </c>
      <c r="Q1088" s="2" t="s">
        <v>10751</v>
      </c>
      <c r="R1088" s="3" t="s">
        <v>66</v>
      </c>
      <c r="S1088" s="4">
        <v>5</v>
      </c>
      <c r="T1088" s="4">
        <v>5</v>
      </c>
      <c r="U1088" s="5" t="s">
        <v>10752</v>
      </c>
      <c r="V1088" s="5" t="s">
        <v>10752</v>
      </c>
      <c r="W1088" s="5" t="s">
        <v>67</v>
      </c>
      <c r="X1088" s="5" t="s">
        <v>67</v>
      </c>
      <c r="Y1088" s="4">
        <v>52</v>
      </c>
      <c r="Z1088" s="4">
        <v>9</v>
      </c>
      <c r="AA1088" s="4">
        <v>17</v>
      </c>
      <c r="AB1088" s="4">
        <v>2</v>
      </c>
      <c r="AC1088" s="4">
        <v>8</v>
      </c>
      <c r="AD1088" s="4">
        <v>29</v>
      </c>
      <c r="AE1088" s="4">
        <v>36</v>
      </c>
      <c r="AF1088" s="4">
        <v>1</v>
      </c>
      <c r="AG1088" s="4">
        <v>4</v>
      </c>
      <c r="AH1088" s="4">
        <v>24</v>
      </c>
      <c r="AI1088" s="4">
        <v>29</v>
      </c>
      <c r="AJ1088" s="4">
        <v>6</v>
      </c>
      <c r="AK1088" s="4">
        <v>11</v>
      </c>
      <c r="AL1088" s="4">
        <v>18</v>
      </c>
      <c r="AM1088" s="4">
        <v>20</v>
      </c>
      <c r="AN1088" s="4">
        <v>0</v>
      </c>
      <c r="AO1088" s="4">
        <v>0</v>
      </c>
      <c r="AP1088" s="4">
        <v>7</v>
      </c>
      <c r="AQ1088" s="4">
        <v>11</v>
      </c>
      <c r="AR1088" s="3" t="s">
        <v>62</v>
      </c>
      <c r="AS1088" s="3" t="s">
        <v>62</v>
      </c>
      <c r="AT1088" s="3" t="s">
        <v>61</v>
      </c>
      <c r="AU1088" s="6" t="str">
        <f>HYPERLINK("http://catalog.hathitrust.org/Record/007129424","HathiTrust Record")</f>
        <v>HathiTrust Record</v>
      </c>
      <c r="AV1088" s="6" t="str">
        <f>HYPERLINK("http://mcgill.on.worldcat.org/oclc/33865105","Catalog Record")</f>
        <v>Catalog Record</v>
      </c>
      <c r="AW1088" s="6" t="str">
        <f>HYPERLINK("http://www.worldcat.org/oclc/33865105","WorldCat Record")</f>
        <v>WorldCat Record</v>
      </c>
      <c r="AX1088" s="3" t="s">
        <v>10753</v>
      </c>
      <c r="AY1088" s="3" t="s">
        <v>10754</v>
      </c>
      <c r="AZ1088" s="3" t="s">
        <v>10755</v>
      </c>
      <c r="BA1088" s="3" t="s">
        <v>10755</v>
      </c>
      <c r="BB1088" s="3" t="s">
        <v>10756</v>
      </c>
      <c r="BC1088" s="3" t="s">
        <v>142</v>
      </c>
      <c r="BD1088" s="3" t="s">
        <v>308</v>
      </c>
      <c r="BE1088" s="3" t="s">
        <v>10757</v>
      </c>
      <c r="BF1088" s="3" t="s">
        <v>10756</v>
      </c>
      <c r="BG1088" s="3" t="s">
        <v>10758</v>
      </c>
    </row>
    <row r="1089" spans="1:59" ht="57" x14ac:dyDescent="0.45">
      <c r="A1089" s="2" t="s">
        <v>59</v>
      </c>
      <c r="B1089" s="2" t="s">
        <v>60</v>
      </c>
      <c r="C1089" s="2" t="s">
        <v>10759</v>
      </c>
      <c r="D1089" s="2" t="s">
        <v>10760</v>
      </c>
      <c r="E1089" s="2" t="s">
        <v>10761</v>
      </c>
      <c r="G1089" s="3" t="s">
        <v>62</v>
      </c>
      <c r="I1089" s="3" t="s">
        <v>62</v>
      </c>
      <c r="J1089" s="3" t="s">
        <v>62</v>
      </c>
      <c r="K1089" s="3" t="s">
        <v>63</v>
      </c>
      <c r="L1089" s="2" t="s">
        <v>6630</v>
      </c>
      <c r="M1089" s="2" t="s">
        <v>10762</v>
      </c>
      <c r="N1089" s="3" t="s">
        <v>1239</v>
      </c>
      <c r="P1089" s="3" t="s">
        <v>110</v>
      </c>
      <c r="Q1089" s="2" t="s">
        <v>10763</v>
      </c>
      <c r="R1089" s="3" t="s">
        <v>66</v>
      </c>
      <c r="S1089" s="4">
        <v>33</v>
      </c>
      <c r="T1089" s="4">
        <v>33</v>
      </c>
      <c r="U1089" s="5" t="s">
        <v>10764</v>
      </c>
      <c r="V1089" s="5" t="s">
        <v>10764</v>
      </c>
      <c r="W1089" s="5" t="s">
        <v>67</v>
      </c>
      <c r="X1089" s="5" t="s">
        <v>67</v>
      </c>
      <c r="Y1089" s="4">
        <v>164</v>
      </c>
      <c r="Z1089" s="4">
        <v>16</v>
      </c>
      <c r="AA1089" s="4">
        <v>23</v>
      </c>
      <c r="AB1089" s="4">
        <v>1</v>
      </c>
      <c r="AC1089" s="4">
        <v>7</v>
      </c>
      <c r="AD1089" s="4">
        <v>70</v>
      </c>
      <c r="AE1089" s="4">
        <v>75</v>
      </c>
      <c r="AF1089" s="4">
        <v>0</v>
      </c>
      <c r="AG1089" s="4">
        <v>4</v>
      </c>
      <c r="AH1089" s="4">
        <v>63</v>
      </c>
      <c r="AI1089" s="4">
        <v>65</v>
      </c>
      <c r="AJ1089" s="4">
        <v>10</v>
      </c>
      <c r="AK1089" s="4">
        <v>15</v>
      </c>
      <c r="AL1089" s="4">
        <v>44</v>
      </c>
      <c r="AM1089" s="4">
        <v>44</v>
      </c>
      <c r="AN1089" s="4">
        <v>0</v>
      </c>
      <c r="AO1089" s="4">
        <v>0</v>
      </c>
      <c r="AP1089" s="4">
        <v>12</v>
      </c>
      <c r="AQ1089" s="4">
        <v>16</v>
      </c>
      <c r="AR1089" s="3" t="s">
        <v>62</v>
      </c>
      <c r="AS1089" s="3" t="s">
        <v>62</v>
      </c>
      <c r="AT1089" s="3" t="s">
        <v>62</v>
      </c>
      <c r="AV1089" s="6" t="str">
        <f>HYPERLINK("http://mcgill.on.worldcat.org/oclc/19873282","Catalog Record")</f>
        <v>Catalog Record</v>
      </c>
      <c r="AW1089" s="6" t="str">
        <f>HYPERLINK("http://www.worldcat.org/oclc/19873282","WorldCat Record")</f>
        <v>WorldCat Record</v>
      </c>
      <c r="AX1089" s="3" t="s">
        <v>10765</v>
      </c>
      <c r="AY1089" s="3" t="s">
        <v>10766</v>
      </c>
      <c r="AZ1089" s="3" t="s">
        <v>10767</v>
      </c>
      <c r="BA1089" s="3" t="s">
        <v>10767</v>
      </c>
      <c r="BB1089" s="3" t="s">
        <v>10768</v>
      </c>
      <c r="BC1089" s="3" t="s">
        <v>142</v>
      </c>
      <c r="BD1089" s="3" t="s">
        <v>68</v>
      </c>
      <c r="BE1089" s="3" t="s">
        <v>10769</v>
      </c>
      <c r="BF1089" s="3" t="s">
        <v>10768</v>
      </c>
      <c r="BG1089" s="3" t="s">
        <v>10770</v>
      </c>
    </row>
    <row r="1090" spans="1:59" ht="57" x14ac:dyDescent="0.45">
      <c r="A1090" s="2" t="s">
        <v>59</v>
      </c>
      <c r="B1090" s="2" t="s">
        <v>60</v>
      </c>
      <c r="C1090" s="2" t="s">
        <v>10771</v>
      </c>
      <c r="D1090" s="2" t="s">
        <v>10772</v>
      </c>
      <c r="E1090" s="2" t="s">
        <v>10773</v>
      </c>
      <c r="G1090" s="3" t="s">
        <v>62</v>
      </c>
      <c r="I1090" s="3" t="s">
        <v>62</v>
      </c>
      <c r="J1090" s="3" t="s">
        <v>62</v>
      </c>
      <c r="K1090" s="3" t="s">
        <v>63</v>
      </c>
      <c r="L1090" s="2" t="s">
        <v>10774</v>
      </c>
      <c r="M1090" s="2" t="s">
        <v>10775</v>
      </c>
      <c r="N1090" s="3" t="s">
        <v>149</v>
      </c>
      <c r="P1090" s="3" t="s">
        <v>110</v>
      </c>
      <c r="Q1090" s="2" t="s">
        <v>10776</v>
      </c>
      <c r="R1090" s="3" t="s">
        <v>66</v>
      </c>
      <c r="S1090" s="4">
        <v>7</v>
      </c>
      <c r="T1090" s="4">
        <v>7</v>
      </c>
      <c r="U1090" s="5" t="s">
        <v>10777</v>
      </c>
      <c r="V1090" s="5" t="s">
        <v>10777</v>
      </c>
      <c r="W1090" s="5" t="s">
        <v>67</v>
      </c>
      <c r="X1090" s="5" t="s">
        <v>67</v>
      </c>
      <c r="Y1090" s="4">
        <v>27</v>
      </c>
      <c r="Z1090" s="4">
        <v>7</v>
      </c>
      <c r="AA1090" s="4">
        <v>15</v>
      </c>
      <c r="AB1090" s="4">
        <v>1</v>
      </c>
      <c r="AC1090" s="4">
        <v>6</v>
      </c>
      <c r="AD1090" s="4">
        <v>16</v>
      </c>
      <c r="AE1090" s="4">
        <v>24</v>
      </c>
      <c r="AF1090" s="4">
        <v>0</v>
      </c>
      <c r="AG1090" s="4">
        <v>4</v>
      </c>
      <c r="AH1090" s="4">
        <v>15</v>
      </c>
      <c r="AI1090" s="4">
        <v>19</v>
      </c>
      <c r="AJ1090" s="4">
        <v>5</v>
      </c>
      <c r="AK1090" s="4">
        <v>10</v>
      </c>
      <c r="AL1090" s="4">
        <v>9</v>
      </c>
      <c r="AM1090" s="4">
        <v>10</v>
      </c>
      <c r="AN1090" s="4">
        <v>0</v>
      </c>
      <c r="AO1090" s="4">
        <v>0</v>
      </c>
      <c r="AP1090" s="4">
        <v>5</v>
      </c>
      <c r="AQ1090" s="4">
        <v>11</v>
      </c>
      <c r="AR1090" s="3" t="s">
        <v>62</v>
      </c>
      <c r="AS1090" s="3" t="s">
        <v>62</v>
      </c>
      <c r="AT1090" s="3" t="s">
        <v>62</v>
      </c>
      <c r="AV1090" s="6" t="str">
        <f>HYPERLINK("http://mcgill.on.worldcat.org/oclc/603567935","Catalog Record")</f>
        <v>Catalog Record</v>
      </c>
      <c r="AW1090" s="6" t="str">
        <f>HYPERLINK("http://www.worldcat.org/oclc/603567935","WorldCat Record")</f>
        <v>WorldCat Record</v>
      </c>
      <c r="AX1090" s="3" t="s">
        <v>10778</v>
      </c>
      <c r="AY1090" s="3" t="s">
        <v>10779</v>
      </c>
      <c r="AZ1090" s="3" t="s">
        <v>10780</v>
      </c>
      <c r="BA1090" s="3" t="s">
        <v>10780</v>
      </c>
      <c r="BB1090" s="3" t="s">
        <v>10781</v>
      </c>
      <c r="BC1090" s="3" t="s">
        <v>142</v>
      </c>
      <c r="BD1090" s="3" t="s">
        <v>308</v>
      </c>
      <c r="BE1090" s="3" t="s">
        <v>10782</v>
      </c>
      <c r="BF1090" s="3" t="s">
        <v>10781</v>
      </c>
      <c r="BG1090" s="3" t="s">
        <v>10783</v>
      </c>
    </row>
    <row r="1091" spans="1:59" ht="57" x14ac:dyDescent="0.45">
      <c r="A1091" s="2" t="s">
        <v>59</v>
      </c>
      <c r="B1091" s="2" t="s">
        <v>60</v>
      </c>
      <c r="C1091" s="2" t="s">
        <v>10784</v>
      </c>
      <c r="D1091" s="2" t="s">
        <v>10785</v>
      </c>
      <c r="E1091" s="2" t="s">
        <v>10786</v>
      </c>
      <c r="G1091" s="3" t="s">
        <v>62</v>
      </c>
      <c r="I1091" s="3" t="s">
        <v>61</v>
      </c>
      <c r="J1091" s="3" t="s">
        <v>62</v>
      </c>
      <c r="K1091" s="3" t="s">
        <v>63</v>
      </c>
      <c r="L1091" s="2" t="s">
        <v>6465</v>
      </c>
      <c r="M1091" s="2" t="s">
        <v>10787</v>
      </c>
      <c r="N1091" s="3" t="s">
        <v>1239</v>
      </c>
      <c r="P1091" s="3" t="s">
        <v>65</v>
      </c>
      <c r="Q1091" s="2" t="s">
        <v>10788</v>
      </c>
      <c r="R1091" s="3" t="s">
        <v>66</v>
      </c>
      <c r="S1091" s="4">
        <v>19</v>
      </c>
      <c r="T1091" s="4">
        <v>36</v>
      </c>
      <c r="U1091" s="5" t="s">
        <v>10789</v>
      </c>
      <c r="V1091" s="5" t="s">
        <v>10789</v>
      </c>
      <c r="W1091" s="5" t="s">
        <v>67</v>
      </c>
      <c r="X1091" s="5" t="s">
        <v>67</v>
      </c>
      <c r="Y1091" s="4">
        <v>254</v>
      </c>
      <c r="Z1091" s="4">
        <v>37</v>
      </c>
      <c r="AA1091" s="4">
        <v>40</v>
      </c>
      <c r="AB1091" s="4">
        <v>3</v>
      </c>
      <c r="AC1091" s="4">
        <v>5</v>
      </c>
      <c r="AD1091" s="4">
        <v>74</v>
      </c>
      <c r="AE1091" s="4">
        <v>79</v>
      </c>
      <c r="AF1091" s="4">
        <v>2</v>
      </c>
      <c r="AG1091" s="4">
        <v>4</v>
      </c>
      <c r="AH1091" s="4">
        <v>55</v>
      </c>
      <c r="AI1091" s="4">
        <v>58</v>
      </c>
      <c r="AJ1091" s="4">
        <v>17</v>
      </c>
      <c r="AK1091" s="4">
        <v>20</v>
      </c>
      <c r="AL1091" s="4">
        <v>29</v>
      </c>
      <c r="AM1091" s="4">
        <v>30</v>
      </c>
      <c r="AN1091" s="4">
        <v>0</v>
      </c>
      <c r="AO1091" s="4">
        <v>0</v>
      </c>
      <c r="AP1091" s="4">
        <v>28</v>
      </c>
      <c r="AQ1091" s="4">
        <v>30</v>
      </c>
      <c r="AR1091" s="3" t="s">
        <v>62</v>
      </c>
      <c r="AS1091" s="3" t="s">
        <v>62</v>
      </c>
      <c r="AT1091" s="3" t="s">
        <v>61</v>
      </c>
      <c r="AU1091" s="6" t="str">
        <f>HYPERLINK("http://catalog.hathitrust.org/Record/001100286","HathiTrust Record")</f>
        <v>HathiTrust Record</v>
      </c>
      <c r="AV1091" s="6" t="str">
        <f>HYPERLINK("http://mcgill.on.worldcat.org/oclc/47195629","Catalog Record")</f>
        <v>Catalog Record</v>
      </c>
      <c r="AW1091" s="6" t="str">
        <f>HYPERLINK("http://www.worldcat.org/oclc/47195629","WorldCat Record")</f>
        <v>WorldCat Record</v>
      </c>
      <c r="AX1091" s="3" t="s">
        <v>10790</v>
      </c>
      <c r="AY1091" s="3" t="s">
        <v>10791</v>
      </c>
      <c r="AZ1091" s="3" t="s">
        <v>10792</v>
      </c>
      <c r="BA1091" s="3" t="s">
        <v>10792</v>
      </c>
      <c r="BB1091" s="3" t="s">
        <v>10793</v>
      </c>
      <c r="BC1091" s="3" t="s">
        <v>142</v>
      </c>
      <c r="BD1091" s="3" t="s">
        <v>68</v>
      </c>
      <c r="BE1091" s="3" t="s">
        <v>10794</v>
      </c>
      <c r="BF1091" s="3" t="s">
        <v>10793</v>
      </c>
      <c r="BG1091" s="3" t="s">
        <v>10795</v>
      </c>
    </row>
    <row r="1092" spans="1:59" ht="57" x14ac:dyDescent="0.45">
      <c r="A1092" s="2" t="s">
        <v>59</v>
      </c>
      <c r="B1092" s="2" t="s">
        <v>60</v>
      </c>
      <c r="C1092" s="2" t="s">
        <v>10784</v>
      </c>
      <c r="D1092" s="2" t="s">
        <v>10785</v>
      </c>
      <c r="E1092" s="2" t="s">
        <v>10786</v>
      </c>
      <c r="G1092" s="3" t="s">
        <v>62</v>
      </c>
      <c r="I1092" s="3" t="s">
        <v>61</v>
      </c>
      <c r="J1092" s="3" t="s">
        <v>62</v>
      </c>
      <c r="K1092" s="3" t="s">
        <v>63</v>
      </c>
      <c r="L1092" s="2" t="s">
        <v>6465</v>
      </c>
      <c r="M1092" s="2" t="s">
        <v>10787</v>
      </c>
      <c r="N1092" s="3" t="s">
        <v>1239</v>
      </c>
      <c r="P1092" s="3" t="s">
        <v>65</v>
      </c>
      <c r="Q1092" s="2" t="s">
        <v>10788</v>
      </c>
      <c r="R1092" s="3" t="s">
        <v>66</v>
      </c>
      <c r="S1092" s="4">
        <v>17</v>
      </c>
      <c r="T1092" s="4">
        <v>36</v>
      </c>
      <c r="U1092" s="5" t="s">
        <v>10796</v>
      </c>
      <c r="V1092" s="5" t="s">
        <v>10789</v>
      </c>
      <c r="W1092" s="5" t="s">
        <v>67</v>
      </c>
      <c r="X1092" s="5" t="s">
        <v>67</v>
      </c>
      <c r="Y1092" s="4">
        <v>254</v>
      </c>
      <c r="Z1092" s="4">
        <v>37</v>
      </c>
      <c r="AA1092" s="4">
        <v>40</v>
      </c>
      <c r="AB1092" s="4">
        <v>3</v>
      </c>
      <c r="AC1092" s="4">
        <v>5</v>
      </c>
      <c r="AD1092" s="4">
        <v>74</v>
      </c>
      <c r="AE1092" s="4">
        <v>79</v>
      </c>
      <c r="AF1092" s="4">
        <v>2</v>
      </c>
      <c r="AG1092" s="4">
        <v>4</v>
      </c>
      <c r="AH1092" s="4">
        <v>55</v>
      </c>
      <c r="AI1092" s="4">
        <v>58</v>
      </c>
      <c r="AJ1092" s="4">
        <v>17</v>
      </c>
      <c r="AK1092" s="4">
        <v>20</v>
      </c>
      <c r="AL1092" s="4">
        <v>29</v>
      </c>
      <c r="AM1092" s="4">
        <v>30</v>
      </c>
      <c r="AN1092" s="4">
        <v>0</v>
      </c>
      <c r="AO1092" s="4">
        <v>0</v>
      </c>
      <c r="AP1092" s="4">
        <v>28</v>
      </c>
      <c r="AQ1092" s="4">
        <v>30</v>
      </c>
      <c r="AR1092" s="3" t="s">
        <v>62</v>
      </c>
      <c r="AS1092" s="3" t="s">
        <v>62</v>
      </c>
      <c r="AT1092" s="3" t="s">
        <v>61</v>
      </c>
      <c r="AU1092" s="6" t="str">
        <f>HYPERLINK("http://catalog.hathitrust.org/Record/001100286","HathiTrust Record")</f>
        <v>HathiTrust Record</v>
      </c>
      <c r="AV1092" s="6" t="str">
        <f>HYPERLINK("http://mcgill.on.worldcat.org/oclc/47195629","Catalog Record")</f>
        <v>Catalog Record</v>
      </c>
      <c r="AW1092" s="6" t="str">
        <f>HYPERLINK("http://www.worldcat.org/oclc/47195629","WorldCat Record")</f>
        <v>WorldCat Record</v>
      </c>
      <c r="AX1092" s="3" t="s">
        <v>10790</v>
      </c>
      <c r="AY1092" s="3" t="s">
        <v>10791</v>
      </c>
      <c r="AZ1092" s="3" t="s">
        <v>10792</v>
      </c>
      <c r="BA1092" s="3" t="s">
        <v>10792</v>
      </c>
      <c r="BB1092" s="3" t="s">
        <v>10797</v>
      </c>
      <c r="BC1092" s="3" t="s">
        <v>142</v>
      </c>
      <c r="BD1092" s="3" t="s">
        <v>68</v>
      </c>
      <c r="BE1092" s="3" t="s">
        <v>10794</v>
      </c>
      <c r="BF1092" s="3" t="s">
        <v>10797</v>
      </c>
      <c r="BG1092" s="3" t="s">
        <v>10798</v>
      </c>
    </row>
    <row r="1093" spans="1:59" ht="57" x14ac:dyDescent="0.45">
      <c r="A1093" s="2" t="s">
        <v>59</v>
      </c>
      <c r="B1093" s="2" t="s">
        <v>60</v>
      </c>
      <c r="C1093" s="2" t="s">
        <v>10799</v>
      </c>
      <c r="D1093" s="2" t="s">
        <v>10800</v>
      </c>
      <c r="E1093" s="2" t="s">
        <v>10801</v>
      </c>
      <c r="G1093" s="3" t="s">
        <v>62</v>
      </c>
      <c r="I1093" s="3" t="s">
        <v>62</v>
      </c>
      <c r="J1093" s="3" t="s">
        <v>62</v>
      </c>
      <c r="K1093" s="3" t="s">
        <v>63</v>
      </c>
      <c r="M1093" s="2" t="s">
        <v>10802</v>
      </c>
      <c r="N1093" s="3" t="s">
        <v>1073</v>
      </c>
      <c r="P1093" s="3" t="s">
        <v>65</v>
      </c>
      <c r="Q1093" s="2" t="s">
        <v>10803</v>
      </c>
      <c r="R1093" s="3" t="s">
        <v>66</v>
      </c>
      <c r="S1093" s="4">
        <v>14</v>
      </c>
      <c r="T1093" s="4">
        <v>14</v>
      </c>
      <c r="U1093" s="5" t="s">
        <v>10804</v>
      </c>
      <c r="V1093" s="5" t="s">
        <v>10804</v>
      </c>
      <c r="W1093" s="5" t="s">
        <v>67</v>
      </c>
      <c r="X1093" s="5" t="s">
        <v>67</v>
      </c>
      <c r="Y1093" s="4">
        <v>321</v>
      </c>
      <c r="Z1093" s="4">
        <v>25</v>
      </c>
      <c r="AA1093" s="4">
        <v>27</v>
      </c>
      <c r="AB1093" s="4">
        <v>3</v>
      </c>
      <c r="AC1093" s="4">
        <v>5</v>
      </c>
      <c r="AD1093" s="4">
        <v>101</v>
      </c>
      <c r="AE1093" s="4">
        <v>103</v>
      </c>
      <c r="AF1093" s="4">
        <v>2</v>
      </c>
      <c r="AG1093" s="4">
        <v>4</v>
      </c>
      <c r="AH1093" s="4">
        <v>90</v>
      </c>
      <c r="AI1093" s="4">
        <v>90</v>
      </c>
      <c r="AJ1093" s="4">
        <v>19</v>
      </c>
      <c r="AK1093" s="4">
        <v>21</v>
      </c>
      <c r="AL1093" s="4">
        <v>49</v>
      </c>
      <c r="AM1093" s="4">
        <v>49</v>
      </c>
      <c r="AN1093" s="4">
        <v>0</v>
      </c>
      <c r="AO1093" s="4">
        <v>0</v>
      </c>
      <c r="AP1093" s="4">
        <v>20</v>
      </c>
      <c r="AQ1093" s="4">
        <v>22</v>
      </c>
      <c r="AR1093" s="3" t="s">
        <v>62</v>
      </c>
      <c r="AS1093" s="3" t="s">
        <v>62</v>
      </c>
      <c r="AT1093" s="3" t="s">
        <v>61</v>
      </c>
      <c r="AU1093" s="6" t="str">
        <f>HYPERLINK("http://catalog.hathitrust.org/Record/000699728","HathiTrust Record")</f>
        <v>HathiTrust Record</v>
      </c>
      <c r="AV1093" s="6" t="str">
        <f>HYPERLINK("http://mcgill.on.worldcat.org/oclc/2067995","Catalog Record")</f>
        <v>Catalog Record</v>
      </c>
      <c r="AW1093" s="6" t="str">
        <f>HYPERLINK("http://www.worldcat.org/oclc/2067995","WorldCat Record")</f>
        <v>WorldCat Record</v>
      </c>
      <c r="AX1093" s="3" t="s">
        <v>10805</v>
      </c>
      <c r="AY1093" s="3" t="s">
        <v>10806</v>
      </c>
      <c r="AZ1093" s="3" t="s">
        <v>10807</v>
      </c>
      <c r="BA1093" s="3" t="s">
        <v>10807</v>
      </c>
      <c r="BB1093" s="3" t="s">
        <v>10808</v>
      </c>
      <c r="BC1093" s="3" t="s">
        <v>142</v>
      </c>
      <c r="BD1093" s="3" t="s">
        <v>68</v>
      </c>
      <c r="BE1093" s="3" t="s">
        <v>10809</v>
      </c>
      <c r="BF1093" s="3" t="s">
        <v>10808</v>
      </c>
      <c r="BG1093" s="3" t="s">
        <v>10810</v>
      </c>
    </row>
    <row r="1094" spans="1:59" ht="71.25" x14ac:dyDescent="0.45">
      <c r="A1094" s="2" t="s">
        <v>59</v>
      </c>
      <c r="B1094" s="2" t="s">
        <v>60</v>
      </c>
      <c r="C1094" s="2" t="s">
        <v>10811</v>
      </c>
      <c r="D1094" s="2" t="s">
        <v>10812</v>
      </c>
      <c r="E1094" s="2" t="s">
        <v>10813</v>
      </c>
      <c r="G1094" s="3" t="s">
        <v>62</v>
      </c>
      <c r="I1094" s="3" t="s">
        <v>62</v>
      </c>
      <c r="J1094" s="3" t="s">
        <v>62</v>
      </c>
      <c r="K1094" s="3" t="s">
        <v>63</v>
      </c>
      <c r="L1094" s="2" t="s">
        <v>10814</v>
      </c>
      <c r="M1094" s="2" t="s">
        <v>10815</v>
      </c>
      <c r="N1094" s="3" t="s">
        <v>945</v>
      </c>
      <c r="P1094" s="3" t="s">
        <v>65</v>
      </c>
      <c r="Q1094" s="2" t="s">
        <v>10816</v>
      </c>
      <c r="R1094" s="3" t="s">
        <v>66</v>
      </c>
      <c r="S1094" s="4">
        <v>5</v>
      </c>
      <c r="T1094" s="4">
        <v>5</v>
      </c>
      <c r="U1094" s="5" t="s">
        <v>10817</v>
      </c>
      <c r="V1094" s="5" t="s">
        <v>10817</v>
      </c>
      <c r="W1094" s="5" t="s">
        <v>67</v>
      </c>
      <c r="X1094" s="5" t="s">
        <v>67</v>
      </c>
      <c r="Y1094" s="4">
        <v>69</v>
      </c>
      <c r="Z1094" s="4">
        <v>6</v>
      </c>
      <c r="AA1094" s="4">
        <v>94</v>
      </c>
      <c r="AB1094" s="4">
        <v>1</v>
      </c>
      <c r="AC1094" s="4">
        <v>17</v>
      </c>
      <c r="AD1094" s="4">
        <v>37</v>
      </c>
      <c r="AE1094" s="4">
        <v>111</v>
      </c>
      <c r="AF1094" s="4">
        <v>0</v>
      </c>
      <c r="AG1094" s="4">
        <v>8</v>
      </c>
      <c r="AH1094" s="4">
        <v>34</v>
      </c>
      <c r="AI1094" s="4">
        <v>74</v>
      </c>
      <c r="AJ1094" s="4">
        <v>4</v>
      </c>
      <c r="AK1094" s="4">
        <v>21</v>
      </c>
      <c r="AL1094" s="4">
        <v>26</v>
      </c>
      <c r="AM1094" s="4">
        <v>38</v>
      </c>
      <c r="AN1094" s="4">
        <v>0</v>
      </c>
      <c r="AO1094" s="4">
        <v>0</v>
      </c>
      <c r="AP1094" s="4">
        <v>4</v>
      </c>
      <c r="AQ1094" s="4">
        <v>42</v>
      </c>
      <c r="AR1094" s="3" t="s">
        <v>62</v>
      </c>
      <c r="AS1094" s="3" t="s">
        <v>62</v>
      </c>
      <c r="AT1094" s="3" t="s">
        <v>62</v>
      </c>
      <c r="AV1094" s="6" t="str">
        <f>HYPERLINK("http://mcgill.on.worldcat.org/oclc/173182451","Catalog Record")</f>
        <v>Catalog Record</v>
      </c>
      <c r="AW1094" s="6" t="str">
        <f>HYPERLINK("http://www.worldcat.org/oclc/173182451","WorldCat Record")</f>
        <v>WorldCat Record</v>
      </c>
      <c r="AX1094" s="3" t="s">
        <v>10818</v>
      </c>
      <c r="AY1094" s="3" t="s">
        <v>10819</v>
      </c>
      <c r="AZ1094" s="3" t="s">
        <v>10820</v>
      </c>
      <c r="BA1094" s="3" t="s">
        <v>10820</v>
      </c>
      <c r="BB1094" s="3" t="s">
        <v>10821</v>
      </c>
      <c r="BC1094" s="3" t="s">
        <v>142</v>
      </c>
      <c r="BD1094" s="3" t="s">
        <v>68</v>
      </c>
      <c r="BE1094" s="3" t="s">
        <v>10822</v>
      </c>
      <c r="BF1094" s="3" t="s">
        <v>10821</v>
      </c>
      <c r="BG1094" s="3" t="s">
        <v>10823</v>
      </c>
    </row>
    <row r="1095" spans="1:59" ht="85.5" x14ac:dyDescent="0.45">
      <c r="A1095" s="2" t="s">
        <v>59</v>
      </c>
      <c r="B1095" s="2" t="s">
        <v>60</v>
      </c>
      <c r="C1095" s="2" t="s">
        <v>10824</v>
      </c>
      <c r="D1095" s="2" t="s">
        <v>10825</v>
      </c>
      <c r="E1095" s="2" t="s">
        <v>10826</v>
      </c>
      <c r="G1095" s="3" t="s">
        <v>62</v>
      </c>
      <c r="I1095" s="3" t="s">
        <v>62</v>
      </c>
      <c r="J1095" s="3" t="s">
        <v>62</v>
      </c>
      <c r="K1095" s="3" t="s">
        <v>63</v>
      </c>
      <c r="L1095" s="2" t="s">
        <v>10827</v>
      </c>
      <c r="M1095" s="2" t="s">
        <v>10828</v>
      </c>
      <c r="N1095" s="3" t="s">
        <v>894</v>
      </c>
      <c r="P1095" s="3" t="s">
        <v>65</v>
      </c>
      <c r="Q1095" s="2" t="s">
        <v>10829</v>
      </c>
      <c r="R1095" s="3" t="s">
        <v>66</v>
      </c>
      <c r="S1095" s="4">
        <v>0</v>
      </c>
      <c r="T1095" s="4">
        <v>0</v>
      </c>
      <c r="W1095" s="5" t="s">
        <v>67</v>
      </c>
      <c r="X1095" s="5" t="s">
        <v>67</v>
      </c>
      <c r="Y1095" s="4">
        <v>38</v>
      </c>
      <c r="Z1095" s="4">
        <v>6</v>
      </c>
      <c r="AA1095" s="4">
        <v>88</v>
      </c>
      <c r="AB1095" s="4">
        <v>1</v>
      </c>
      <c r="AC1095" s="4">
        <v>17</v>
      </c>
      <c r="AD1095" s="4">
        <v>20</v>
      </c>
      <c r="AE1095" s="4">
        <v>106</v>
      </c>
      <c r="AF1095" s="4">
        <v>0</v>
      </c>
      <c r="AG1095" s="4">
        <v>8</v>
      </c>
      <c r="AH1095" s="4">
        <v>18</v>
      </c>
      <c r="AI1095" s="4">
        <v>70</v>
      </c>
      <c r="AJ1095" s="4">
        <v>4</v>
      </c>
      <c r="AK1095" s="4">
        <v>21</v>
      </c>
      <c r="AL1095" s="4">
        <v>12</v>
      </c>
      <c r="AM1095" s="4">
        <v>35</v>
      </c>
      <c r="AN1095" s="4">
        <v>0</v>
      </c>
      <c r="AO1095" s="4">
        <v>0</v>
      </c>
      <c r="AP1095" s="4">
        <v>4</v>
      </c>
      <c r="AQ1095" s="4">
        <v>43</v>
      </c>
      <c r="AR1095" s="3" t="s">
        <v>62</v>
      </c>
      <c r="AS1095" s="3" t="s">
        <v>62</v>
      </c>
      <c r="AT1095" s="3" t="s">
        <v>62</v>
      </c>
      <c r="AV1095" s="6" t="str">
        <f>HYPERLINK("http://mcgill.on.worldcat.org/oclc/691928397","Catalog Record")</f>
        <v>Catalog Record</v>
      </c>
      <c r="AW1095" s="6" t="str">
        <f>HYPERLINK("http://www.worldcat.org/oclc/691928397","WorldCat Record")</f>
        <v>WorldCat Record</v>
      </c>
      <c r="AX1095" s="3" t="s">
        <v>10830</v>
      </c>
      <c r="AY1095" s="3" t="s">
        <v>10831</v>
      </c>
      <c r="AZ1095" s="3" t="s">
        <v>10832</v>
      </c>
      <c r="BA1095" s="3" t="s">
        <v>10832</v>
      </c>
      <c r="BB1095" s="3" t="s">
        <v>10833</v>
      </c>
      <c r="BC1095" s="3" t="s">
        <v>142</v>
      </c>
      <c r="BD1095" s="3" t="s">
        <v>68</v>
      </c>
      <c r="BE1095" s="3" t="s">
        <v>10834</v>
      </c>
      <c r="BF1095" s="3" t="s">
        <v>10833</v>
      </c>
      <c r="BG1095" s="3" t="s">
        <v>10835</v>
      </c>
    </row>
    <row r="1096" spans="1:59" ht="128.25" x14ac:dyDescent="0.45">
      <c r="A1096" s="2" t="s">
        <v>59</v>
      </c>
      <c r="B1096" s="2" t="s">
        <v>60</v>
      </c>
      <c r="C1096" s="2" t="s">
        <v>10836</v>
      </c>
      <c r="D1096" s="2" t="s">
        <v>10837</v>
      </c>
      <c r="E1096" s="2" t="s">
        <v>10838</v>
      </c>
      <c r="G1096" s="3" t="s">
        <v>62</v>
      </c>
      <c r="I1096" s="3" t="s">
        <v>62</v>
      </c>
      <c r="J1096" s="3" t="s">
        <v>62</v>
      </c>
      <c r="K1096" s="3" t="s">
        <v>63</v>
      </c>
      <c r="L1096" s="2" t="s">
        <v>10839</v>
      </c>
      <c r="M1096" s="2" t="s">
        <v>8202</v>
      </c>
      <c r="N1096" s="3" t="s">
        <v>1688</v>
      </c>
      <c r="P1096" s="3" t="s">
        <v>65</v>
      </c>
      <c r="Q1096" s="2" t="s">
        <v>10840</v>
      </c>
      <c r="R1096" s="3" t="s">
        <v>66</v>
      </c>
      <c r="S1096" s="4">
        <v>0</v>
      </c>
      <c r="T1096" s="4">
        <v>0</v>
      </c>
      <c r="W1096" s="5" t="s">
        <v>67</v>
      </c>
      <c r="X1096" s="5" t="s">
        <v>67</v>
      </c>
      <c r="Y1096" s="4">
        <v>42</v>
      </c>
      <c r="Z1096" s="4">
        <v>4</v>
      </c>
      <c r="AA1096" s="4">
        <v>71</v>
      </c>
      <c r="AB1096" s="4">
        <v>1</v>
      </c>
      <c r="AC1096" s="4">
        <v>14</v>
      </c>
      <c r="AD1096" s="4">
        <v>21</v>
      </c>
      <c r="AE1096" s="4">
        <v>88</v>
      </c>
      <c r="AF1096" s="4">
        <v>0</v>
      </c>
      <c r="AG1096" s="4">
        <v>8</v>
      </c>
      <c r="AH1096" s="4">
        <v>20</v>
      </c>
      <c r="AI1096" s="4">
        <v>60</v>
      </c>
      <c r="AJ1096" s="4">
        <v>2</v>
      </c>
      <c r="AK1096" s="4">
        <v>18</v>
      </c>
      <c r="AL1096" s="4">
        <v>15</v>
      </c>
      <c r="AM1096" s="4">
        <v>30</v>
      </c>
      <c r="AN1096" s="4">
        <v>0</v>
      </c>
      <c r="AO1096" s="4">
        <v>0</v>
      </c>
      <c r="AP1096" s="4">
        <v>2</v>
      </c>
      <c r="AQ1096" s="4">
        <v>35</v>
      </c>
      <c r="AR1096" s="3" t="s">
        <v>62</v>
      </c>
      <c r="AS1096" s="3" t="s">
        <v>62</v>
      </c>
      <c r="AT1096" s="3" t="s">
        <v>62</v>
      </c>
      <c r="AV1096" s="6" t="str">
        <f>HYPERLINK("http://mcgill.on.worldcat.org/oclc/879601296","Catalog Record")</f>
        <v>Catalog Record</v>
      </c>
      <c r="AW1096" s="6" t="str">
        <f>HYPERLINK("http://www.worldcat.org/oclc/879601296","WorldCat Record")</f>
        <v>WorldCat Record</v>
      </c>
      <c r="AX1096" s="3" t="s">
        <v>10841</v>
      </c>
      <c r="AY1096" s="3" t="s">
        <v>10842</v>
      </c>
      <c r="AZ1096" s="3" t="s">
        <v>10843</v>
      </c>
      <c r="BA1096" s="3" t="s">
        <v>10843</v>
      </c>
      <c r="BB1096" s="3" t="s">
        <v>10844</v>
      </c>
      <c r="BC1096" s="3" t="s">
        <v>142</v>
      </c>
      <c r="BD1096" s="3" t="s">
        <v>68</v>
      </c>
      <c r="BE1096" s="3" t="s">
        <v>10845</v>
      </c>
      <c r="BF1096" s="3" t="s">
        <v>10844</v>
      </c>
      <c r="BG1096" s="3" t="s">
        <v>10846</v>
      </c>
    </row>
    <row r="1097" spans="1:59" ht="99.75" x14ac:dyDescent="0.45">
      <c r="A1097" s="2" t="s">
        <v>59</v>
      </c>
      <c r="B1097" s="2" t="s">
        <v>60</v>
      </c>
      <c r="C1097" s="2" t="s">
        <v>10847</v>
      </c>
      <c r="D1097" s="2" t="s">
        <v>10848</v>
      </c>
      <c r="E1097" s="2" t="s">
        <v>10849</v>
      </c>
      <c r="G1097" s="3" t="s">
        <v>62</v>
      </c>
      <c r="I1097" s="3" t="s">
        <v>62</v>
      </c>
      <c r="J1097" s="3" t="s">
        <v>62</v>
      </c>
      <c r="K1097" s="3" t="s">
        <v>63</v>
      </c>
      <c r="L1097" s="2" t="s">
        <v>10850</v>
      </c>
      <c r="M1097" s="2" t="s">
        <v>5581</v>
      </c>
      <c r="N1097" s="3" t="s">
        <v>181</v>
      </c>
      <c r="P1097" s="3" t="s">
        <v>65</v>
      </c>
      <c r="Q1097" s="2" t="s">
        <v>10851</v>
      </c>
      <c r="R1097" s="3" t="s">
        <v>66</v>
      </c>
      <c r="S1097" s="4">
        <v>0</v>
      </c>
      <c r="T1097" s="4">
        <v>0</v>
      </c>
      <c r="W1097" s="5" t="s">
        <v>67</v>
      </c>
      <c r="X1097" s="5" t="s">
        <v>67</v>
      </c>
      <c r="Y1097" s="4">
        <v>41</v>
      </c>
      <c r="Z1097" s="4">
        <v>4</v>
      </c>
      <c r="AA1097" s="4">
        <v>72</v>
      </c>
      <c r="AB1097" s="4">
        <v>1</v>
      </c>
      <c r="AC1097" s="4">
        <v>14</v>
      </c>
      <c r="AD1097" s="4">
        <v>18</v>
      </c>
      <c r="AE1097" s="4">
        <v>86</v>
      </c>
      <c r="AF1097" s="4">
        <v>0</v>
      </c>
      <c r="AG1097" s="4">
        <v>8</v>
      </c>
      <c r="AH1097" s="4">
        <v>17</v>
      </c>
      <c r="AI1097" s="4">
        <v>57</v>
      </c>
      <c r="AJ1097" s="4">
        <v>2</v>
      </c>
      <c r="AK1097" s="4">
        <v>17</v>
      </c>
      <c r="AL1097" s="4">
        <v>13</v>
      </c>
      <c r="AM1097" s="4">
        <v>29</v>
      </c>
      <c r="AN1097" s="4">
        <v>0</v>
      </c>
      <c r="AO1097" s="4">
        <v>0</v>
      </c>
      <c r="AP1097" s="4">
        <v>2</v>
      </c>
      <c r="AQ1097" s="4">
        <v>36</v>
      </c>
      <c r="AR1097" s="3" t="s">
        <v>62</v>
      </c>
      <c r="AS1097" s="3" t="s">
        <v>62</v>
      </c>
      <c r="AT1097" s="3" t="s">
        <v>62</v>
      </c>
      <c r="AV1097" s="6" t="str">
        <f>HYPERLINK("http://mcgill.on.worldcat.org/oclc/949870363","Catalog Record")</f>
        <v>Catalog Record</v>
      </c>
      <c r="AW1097" s="6" t="str">
        <f>HYPERLINK("http://www.worldcat.org/oclc/949870363","WorldCat Record")</f>
        <v>WorldCat Record</v>
      </c>
      <c r="AX1097" s="3" t="s">
        <v>10852</v>
      </c>
      <c r="AY1097" s="3" t="s">
        <v>10853</v>
      </c>
      <c r="AZ1097" s="3" t="s">
        <v>10854</v>
      </c>
      <c r="BA1097" s="3" t="s">
        <v>10854</v>
      </c>
      <c r="BB1097" s="3" t="s">
        <v>10855</v>
      </c>
      <c r="BC1097" s="3" t="s">
        <v>142</v>
      </c>
      <c r="BD1097" s="3" t="s">
        <v>68</v>
      </c>
      <c r="BE1097" s="3" t="s">
        <v>10856</v>
      </c>
      <c r="BF1097" s="3" t="s">
        <v>10855</v>
      </c>
      <c r="BG1097" s="3" t="s">
        <v>10857</v>
      </c>
    </row>
    <row r="1098" spans="1:59" ht="57" x14ac:dyDescent="0.45">
      <c r="A1098" s="2" t="s">
        <v>59</v>
      </c>
      <c r="B1098" s="2" t="s">
        <v>60</v>
      </c>
      <c r="C1098" s="2" t="s">
        <v>10858</v>
      </c>
      <c r="D1098" s="2" t="s">
        <v>10859</v>
      </c>
      <c r="E1098" s="2" t="s">
        <v>10860</v>
      </c>
      <c r="G1098" s="3" t="s">
        <v>62</v>
      </c>
      <c r="I1098" s="3" t="s">
        <v>61</v>
      </c>
      <c r="J1098" s="3" t="s">
        <v>62</v>
      </c>
      <c r="K1098" s="3" t="s">
        <v>63</v>
      </c>
      <c r="L1098" s="2" t="s">
        <v>10861</v>
      </c>
      <c r="M1098" s="2" t="s">
        <v>10862</v>
      </c>
      <c r="N1098" s="3" t="s">
        <v>555</v>
      </c>
      <c r="P1098" s="3" t="s">
        <v>110</v>
      </c>
      <c r="Q1098" s="2" t="s">
        <v>496</v>
      </c>
      <c r="R1098" s="3" t="s">
        <v>66</v>
      </c>
      <c r="S1098" s="4">
        <v>2</v>
      </c>
      <c r="T1098" s="4">
        <v>2</v>
      </c>
      <c r="U1098" s="5" t="s">
        <v>10863</v>
      </c>
      <c r="V1098" s="5" t="s">
        <v>10863</v>
      </c>
      <c r="W1098" s="5" t="s">
        <v>67</v>
      </c>
      <c r="X1098" s="5" t="s">
        <v>67</v>
      </c>
      <c r="Y1098" s="4">
        <v>164</v>
      </c>
      <c r="Z1098" s="4">
        <v>25</v>
      </c>
      <c r="AA1098" s="4">
        <v>25</v>
      </c>
      <c r="AB1098" s="4">
        <v>1</v>
      </c>
      <c r="AC1098" s="4">
        <v>1</v>
      </c>
      <c r="AD1098" s="4">
        <v>69</v>
      </c>
      <c r="AE1098" s="4">
        <v>69</v>
      </c>
      <c r="AF1098" s="4">
        <v>0</v>
      </c>
      <c r="AG1098" s="4">
        <v>0</v>
      </c>
      <c r="AH1098" s="4">
        <v>57</v>
      </c>
      <c r="AI1098" s="4">
        <v>57</v>
      </c>
      <c r="AJ1098" s="4">
        <v>15</v>
      </c>
      <c r="AK1098" s="4">
        <v>15</v>
      </c>
      <c r="AL1098" s="4">
        <v>34</v>
      </c>
      <c r="AM1098" s="4">
        <v>34</v>
      </c>
      <c r="AN1098" s="4">
        <v>0</v>
      </c>
      <c r="AO1098" s="4">
        <v>0</v>
      </c>
      <c r="AP1098" s="4">
        <v>18</v>
      </c>
      <c r="AQ1098" s="4">
        <v>18</v>
      </c>
      <c r="AR1098" s="3" t="s">
        <v>62</v>
      </c>
      <c r="AS1098" s="3" t="s">
        <v>62</v>
      </c>
      <c r="AT1098" s="3" t="s">
        <v>61</v>
      </c>
      <c r="AU1098" s="6" t="str">
        <f>HYPERLINK("http://catalog.hathitrust.org/Record/001434783","HathiTrust Record")</f>
        <v>HathiTrust Record</v>
      </c>
      <c r="AV1098" s="6" t="str">
        <f>HYPERLINK("http://mcgill.on.worldcat.org/oclc/803176","Catalog Record")</f>
        <v>Catalog Record</v>
      </c>
      <c r="AW1098" s="6" t="str">
        <f>HYPERLINK("http://www.worldcat.org/oclc/803176","WorldCat Record")</f>
        <v>WorldCat Record</v>
      </c>
      <c r="AX1098" s="3" t="s">
        <v>10864</v>
      </c>
      <c r="AY1098" s="3" t="s">
        <v>10865</v>
      </c>
      <c r="AZ1098" s="3" t="s">
        <v>10866</v>
      </c>
      <c r="BA1098" s="3" t="s">
        <v>10866</v>
      </c>
      <c r="BB1098" s="3" t="s">
        <v>10867</v>
      </c>
      <c r="BC1098" s="3" t="s">
        <v>142</v>
      </c>
      <c r="BD1098" s="3" t="s">
        <v>68</v>
      </c>
      <c r="BF1098" s="3" t="s">
        <v>10867</v>
      </c>
      <c r="BG1098" s="3" t="s">
        <v>10868</v>
      </c>
    </row>
    <row r="1099" spans="1:59" ht="57" x14ac:dyDescent="0.45">
      <c r="A1099" s="2" t="s">
        <v>59</v>
      </c>
      <c r="B1099" s="2" t="s">
        <v>60</v>
      </c>
      <c r="C1099" s="2" t="s">
        <v>10858</v>
      </c>
      <c r="D1099" s="2" t="s">
        <v>10859</v>
      </c>
      <c r="E1099" s="2" t="s">
        <v>10860</v>
      </c>
      <c r="G1099" s="3" t="s">
        <v>62</v>
      </c>
      <c r="I1099" s="3" t="s">
        <v>61</v>
      </c>
      <c r="J1099" s="3" t="s">
        <v>62</v>
      </c>
      <c r="K1099" s="3" t="s">
        <v>63</v>
      </c>
      <c r="L1099" s="2" t="s">
        <v>10861</v>
      </c>
      <c r="M1099" s="2" t="s">
        <v>10862</v>
      </c>
      <c r="N1099" s="3" t="s">
        <v>555</v>
      </c>
      <c r="P1099" s="3" t="s">
        <v>110</v>
      </c>
      <c r="Q1099" s="2" t="s">
        <v>496</v>
      </c>
      <c r="R1099" s="3" t="s">
        <v>66</v>
      </c>
      <c r="S1099" s="4">
        <v>0</v>
      </c>
      <c r="T1099" s="4">
        <v>2</v>
      </c>
      <c r="V1099" s="5" t="s">
        <v>10863</v>
      </c>
      <c r="W1099" s="5" t="s">
        <v>67</v>
      </c>
      <c r="X1099" s="5" t="s">
        <v>67</v>
      </c>
      <c r="Y1099" s="4">
        <v>164</v>
      </c>
      <c r="Z1099" s="4">
        <v>25</v>
      </c>
      <c r="AA1099" s="4">
        <v>25</v>
      </c>
      <c r="AB1099" s="4">
        <v>1</v>
      </c>
      <c r="AC1099" s="4">
        <v>1</v>
      </c>
      <c r="AD1099" s="4">
        <v>69</v>
      </c>
      <c r="AE1099" s="4">
        <v>69</v>
      </c>
      <c r="AF1099" s="4">
        <v>0</v>
      </c>
      <c r="AG1099" s="4">
        <v>0</v>
      </c>
      <c r="AH1099" s="4">
        <v>57</v>
      </c>
      <c r="AI1099" s="4">
        <v>57</v>
      </c>
      <c r="AJ1099" s="4">
        <v>15</v>
      </c>
      <c r="AK1099" s="4">
        <v>15</v>
      </c>
      <c r="AL1099" s="4">
        <v>34</v>
      </c>
      <c r="AM1099" s="4">
        <v>34</v>
      </c>
      <c r="AN1099" s="4">
        <v>0</v>
      </c>
      <c r="AO1099" s="4">
        <v>0</v>
      </c>
      <c r="AP1099" s="4">
        <v>18</v>
      </c>
      <c r="AQ1099" s="4">
        <v>18</v>
      </c>
      <c r="AR1099" s="3" t="s">
        <v>62</v>
      </c>
      <c r="AS1099" s="3" t="s">
        <v>62</v>
      </c>
      <c r="AT1099" s="3" t="s">
        <v>61</v>
      </c>
      <c r="AU1099" s="6" t="str">
        <f>HYPERLINK("http://catalog.hathitrust.org/Record/001434783","HathiTrust Record")</f>
        <v>HathiTrust Record</v>
      </c>
      <c r="AV1099" s="6" t="str">
        <f>HYPERLINK("http://mcgill.on.worldcat.org/oclc/803176","Catalog Record")</f>
        <v>Catalog Record</v>
      </c>
      <c r="AW1099" s="6" t="str">
        <f>HYPERLINK("http://www.worldcat.org/oclc/803176","WorldCat Record")</f>
        <v>WorldCat Record</v>
      </c>
      <c r="AX1099" s="3" t="s">
        <v>10864</v>
      </c>
      <c r="AY1099" s="3" t="s">
        <v>10865</v>
      </c>
      <c r="AZ1099" s="3" t="s">
        <v>10866</v>
      </c>
      <c r="BA1099" s="3" t="s">
        <v>10866</v>
      </c>
      <c r="BB1099" s="3" t="s">
        <v>10869</v>
      </c>
      <c r="BC1099" s="3" t="s">
        <v>142</v>
      </c>
      <c r="BD1099" s="3" t="s">
        <v>68</v>
      </c>
      <c r="BF1099" s="3" t="s">
        <v>10869</v>
      </c>
      <c r="BG1099" s="3" t="s">
        <v>10870</v>
      </c>
    </row>
    <row r="1100" spans="1:59" ht="57" x14ac:dyDescent="0.45">
      <c r="A1100" s="2" t="s">
        <v>59</v>
      </c>
      <c r="B1100" s="2" t="s">
        <v>60</v>
      </c>
      <c r="C1100" s="2" t="s">
        <v>10871</v>
      </c>
      <c r="D1100" s="2" t="s">
        <v>10872</v>
      </c>
      <c r="E1100" s="2" t="s">
        <v>10873</v>
      </c>
      <c r="G1100" s="3" t="s">
        <v>62</v>
      </c>
      <c r="I1100" s="3" t="s">
        <v>62</v>
      </c>
      <c r="J1100" s="3" t="s">
        <v>62</v>
      </c>
      <c r="K1100" s="3" t="s">
        <v>63</v>
      </c>
      <c r="L1100" s="2" t="s">
        <v>4313</v>
      </c>
      <c r="M1100" s="2" t="s">
        <v>10874</v>
      </c>
      <c r="N1100" s="3" t="s">
        <v>894</v>
      </c>
      <c r="P1100" s="3" t="s">
        <v>65</v>
      </c>
      <c r="R1100" s="3" t="s">
        <v>66</v>
      </c>
      <c r="S1100" s="4">
        <v>3</v>
      </c>
      <c r="T1100" s="4">
        <v>3</v>
      </c>
      <c r="U1100" s="5" t="s">
        <v>3950</v>
      </c>
      <c r="V1100" s="5" t="s">
        <v>3950</v>
      </c>
      <c r="W1100" s="5" t="s">
        <v>67</v>
      </c>
      <c r="X1100" s="5" t="s">
        <v>67</v>
      </c>
      <c r="Y1100" s="4">
        <v>302</v>
      </c>
      <c r="Z1100" s="4">
        <v>22</v>
      </c>
      <c r="AA1100" s="4">
        <v>22</v>
      </c>
      <c r="AB1100" s="4">
        <v>2</v>
      </c>
      <c r="AC1100" s="4">
        <v>2</v>
      </c>
      <c r="AD1100" s="4">
        <v>81</v>
      </c>
      <c r="AE1100" s="4">
        <v>81</v>
      </c>
      <c r="AF1100" s="4">
        <v>0</v>
      </c>
      <c r="AG1100" s="4">
        <v>0</v>
      </c>
      <c r="AH1100" s="4">
        <v>71</v>
      </c>
      <c r="AI1100" s="4">
        <v>71</v>
      </c>
      <c r="AJ1100" s="4">
        <v>13</v>
      </c>
      <c r="AK1100" s="4">
        <v>13</v>
      </c>
      <c r="AL1100" s="4">
        <v>40</v>
      </c>
      <c r="AM1100" s="4">
        <v>40</v>
      </c>
      <c r="AN1100" s="4">
        <v>0</v>
      </c>
      <c r="AO1100" s="4">
        <v>0</v>
      </c>
      <c r="AP1100" s="4">
        <v>17</v>
      </c>
      <c r="AQ1100" s="4">
        <v>17</v>
      </c>
      <c r="AR1100" s="3" t="s">
        <v>62</v>
      </c>
      <c r="AS1100" s="3" t="s">
        <v>62</v>
      </c>
      <c r="AT1100" s="3" t="s">
        <v>62</v>
      </c>
      <c r="AV1100" s="6" t="str">
        <f>HYPERLINK("http://mcgill.on.worldcat.org/oclc/693517120","Catalog Record")</f>
        <v>Catalog Record</v>
      </c>
      <c r="AW1100" s="6" t="str">
        <f>HYPERLINK("http://www.worldcat.org/oclc/693517120","WorldCat Record")</f>
        <v>WorldCat Record</v>
      </c>
      <c r="AX1100" s="3" t="s">
        <v>10875</v>
      </c>
      <c r="AY1100" s="3" t="s">
        <v>10876</v>
      </c>
      <c r="AZ1100" s="3" t="s">
        <v>10877</v>
      </c>
      <c r="BA1100" s="3" t="s">
        <v>10877</v>
      </c>
      <c r="BB1100" s="3" t="s">
        <v>10878</v>
      </c>
      <c r="BC1100" s="3" t="s">
        <v>142</v>
      </c>
      <c r="BD1100" s="3" t="s">
        <v>68</v>
      </c>
      <c r="BE1100" s="3" t="s">
        <v>10879</v>
      </c>
      <c r="BF1100" s="3" t="s">
        <v>10878</v>
      </c>
      <c r="BG1100" s="3" t="s">
        <v>10880</v>
      </c>
    </row>
    <row r="1101" spans="1:59" ht="57" x14ac:dyDescent="0.45">
      <c r="A1101" s="2" t="s">
        <v>59</v>
      </c>
      <c r="B1101" s="2" t="s">
        <v>60</v>
      </c>
      <c r="C1101" s="2" t="s">
        <v>10881</v>
      </c>
      <c r="D1101" s="2" t="s">
        <v>10882</v>
      </c>
      <c r="E1101" s="2" t="s">
        <v>10883</v>
      </c>
      <c r="G1101" s="3" t="s">
        <v>62</v>
      </c>
      <c r="I1101" s="3" t="s">
        <v>62</v>
      </c>
      <c r="J1101" s="3" t="s">
        <v>62</v>
      </c>
      <c r="K1101" s="3" t="s">
        <v>63</v>
      </c>
      <c r="M1101" s="2" t="s">
        <v>10884</v>
      </c>
      <c r="N1101" s="3" t="s">
        <v>116</v>
      </c>
      <c r="O1101" s="2" t="s">
        <v>168</v>
      </c>
      <c r="P1101" s="3" t="s">
        <v>65</v>
      </c>
      <c r="Q1101" s="2" t="s">
        <v>3949</v>
      </c>
      <c r="R1101" s="3" t="s">
        <v>66</v>
      </c>
      <c r="S1101" s="4">
        <v>0</v>
      </c>
      <c r="T1101" s="4">
        <v>0</v>
      </c>
      <c r="W1101" s="5" t="s">
        <v>67</v>
      </c>
      <c r="X1101" s="5" t="s">
        <v>67</v>
      </c>
      <c r="Y1101" s="4">
        <v>278</v>
      </c>
      <c r="Z1101" s="4">
        <v>22</v>
      </c>
      <c r="AA1101" s="4">
        <v>27</v>
      </c>
      <c r="AB1101" s="4">
        <v>1</v>
      </c>
      <c r="AC1101" s="4">
        <v>4</v>
      </c>
      <c r="AD1101" s="4">
        <v>72</v>
      </c>
      <c r="AE1101" s="4">
        <v>78</v>
      </c>
      <c r="AF1101" s="4">
        <v>0</v>
      </c>
      <c r="AG1101" s="4">
        <v>1</v>
      </c>
      <c r="AH1101" s="4">
        <v>61</v>
      </c>
      <c r="AI1101" s="4">
        <v>65</v>
      </c>
      <c r="AJ1101" s="4">
        <v>13</v>
      </c>
      <c r="AK1101" s="4">
        <v>15</v>
      </c>
      <c r="AL1101" s="4">
        <v>39</v>
      </c>
      <c r="AM1101" s="4">
        <v>42</v>
      </c>
      <c r="AN1101" s="4">
        <v>0</v>
      </c>
      <c r="AO1101" s="4">
        <v>0</v>
      </c>
      <c r="AP1101" s="4">
        <v>17</v>
      </c>
      <c r="AQ1101" s="4">
        <v>18</v>
      </c>
      <c r="AR1101" s="3" t="s">
        <v>62</v>
      </c>
      <c r="AS1101" s="3" t="s">
        <v>62</v>
      </c>
      <c r="AT1101" s="3" t="s">
        <v>62</v>
      </c>
      <c r="AV1101" s="6" t="str">
        <f>HYPERLINK("http://mcgill.on.worldcat.org/oclc/843973137","Catalog Record")</f>
        <v>Catalog Record</v>
      </c>
      <c r="AW1101" s="6" t="str">
        <f>HYPERLINK("http://www.worldcat.org/oclc/843973137","WorldCat Record")</f>
        <v>WorldCat Record</v>
      </c>
      <c r="AX1101" s="3" t="s">
        <v>10885</v>
      </c>
      <c r="AY1101" s="3" t="s">
        <v>10886</v>
      </c>
      <c r="AZ1101" s="3" t="s">
        <v>10887</v>
      </c>
      <c r="BA1101" s="3" t="s">
        <v>10887</v>
      </c>
      <c r="BB1101" s="3" t="s">
        <v>10888</v>
      </c>
      <c r="BC1101" s="3" t="s">
        <v>142</v>
      </c>
      <c r="BD1101" s="3" t="s">
        <v>68</v>
      </c>
      <c r="BE1101" s="3" t="s">
        <v>10889</v>
      </c>
      <c r="BF1101" s="3" t="s">
        <v>10888</v>
      </c>
      <c r="BG1101" s="3" t="s">
        <v>10890</v>
      </c>
    </row>
    <row r="1102" spans="1:59" ht="57" x14ac:dyDescent="0.45">
      <c r="A1102" s="2" t="s">
        <v>59</v>
      </c>
      <c r="B1102" s="2" t="s">
        <v>60</v>
      </c>
      <c r="C1102" s="2" t="s">
        <v>10891</v>
      </c>
      <c r="D1102" s="2" t="s">
        <v>10892</v>
      </c>
      <c r="E1102" s="2" t="s">
        <v>10893</v>
      </c>
      <c r="G1102" s="3" t="s">
        <v>62</v>
      </c>
      <c r="I1102" s="3" t="s">
        <v>62</v>
      </c>
      <c r="J1102" s="3" t="s">
        <v>62</v>
      </c>
      <c r="K1102" s="3" t="s">
        <v>63</v>
      </c>
      <c r="M1102" s="2" t="s">
        <v>7010</v>
      </c>
      <c r="N1102" s="3" t="s">
        <v>149</v>
      </c>
      <c r="P1102" s="3" t="s">
        <v>65</v>
      </c>
      <c r="Q1102" s="2" t="s">
        <v>10894</v>
      </c>
      <c r="R1102" s="3" t="s">
        <v>66</v>
      </c>
      <c r="S1102" s="4">
        <v>1</v>
      </c>
      <c r="T1102" s="4">
        <v>1</v>
      </c>
      <c r="U1102" s="5" t="s">
        <v>10895</v>
      </c>
      <c r="V1102" s="5" t="s">
        <v>10895</v>
      </c>
      <c r="W1102" s="5" t="s">
        <v>67</v>
      </c>
      <c r="X1102" s="5" t="s">
        <v>67</v>
      </c>
      <c r="Y1102" s="4">
        <v>131</v>
      </c>
      <c r="Z1102" s="4">
        <v>12</v>
      </c>
      <c r="AA1102" s="4">
        <v>15</v>
      </c>
      <c r="AB1102" s="4">
        <v>1</v>
      </c>
      <c r="AC1102" s="4">
        <v>2</v>
      </c>
      <c r="AD1102" s="4">
        <v>70</v>
      </c>
      <c r="AE1102" s="4">
        <v>74</v>
      </c>
      <c r="AF1102" s="4">
        <v>0</v>
      </c>
      <c r="AG1102" s="4">
        <v>1</v>
      </c>
      <c r="AH1102" s="4">
        <v>67</v>
      </c>
      <c r="AI1102" s="4">
        <v>70</v>
      </c>
      <c r="AJ1102" s="4">
        <v>8</v>
      </c>
      <c r="AK1102" s="4">
        <v>9</v>
      </c>
      <c r="AL1102" s="4">
        <v>42</v>
      </c>
      <c r="AM1102" s="4">
        <v>42</v>
      </c>
      <c r="AN1102" s="4">
        <v>0</v>
      </c>
      <c r="AO1102" s="4">
        <v>0</v>
      </c>
      <c r="AP1102" s="4">
        <v>8</v>
      </c>
      <c r="AQ1102" s="4">
        <v>10</v>
      </c>
      <c r="AR1102" s="3" t="s">
        <v>62</v>
      </c>
      <c r="AS1102" s="3" t="s">
        <v>62</v>
      </c>
      <c r="AT1102" s="3" t="s">
        <v>62</v>
      </c>
      <c r="AV1102" s="6" t="str">
        <f>HYPERLINK("http://mcgill.on.worldcat.org/oclc/609871859","Catalog Record")</f>
        <v>Catalog Record</v>
      </c>
      <c r="AW1102" s="6" t="str">
        <f>HYPERLINK("http://www.worldcat.org/oclc/609871859","WorldCat Record")</f>
        <v>WorldCat Record</v>
      </c>
      <c r="AX1102" s="3" t="s">
        <v>10896</v>
      </c>
      <c r="AY1102" s="3" t="s">
        <v>10897</v>
      </c>
      <c r="AZ1102" s="3" t="s">
        <v>10898</v>
      </c>
      <c r="BA1102" s="3" t="s">
        <v>10898</v>
      </c>
      <c r="BB1102" s="3" t="s">
        <v>10899</v>
      </c>
      <c r="BC1102" s="3" t="s">
        <v>142</v>
      </c>
      <c r="BD1102" s="3" t="s">
        <v>68</v>
      </c>
      <c r="BE1102" s="3" t="s">
        <v>10900</v>
      </c>
      <c r="BF1102" s="3" t="s">
        <v>10899</v>
      </c>
      <c r="BG1102" s="3" t="s">
        <v>10901</v>
      </c>
    </row>
    <row r="1103" spans="1:59" ht="57" x14ac:dyDescent="0.45">
      <c r="A1103" s="2" t="s">
        <v>59</v>
      </c>
      <c r="B1103" s="2" t="s">
        <v>60</v>
      </c>
      <c r="C1103" s="2" t="s">
        <v>10902</v>
      </c>
      <c r="D1103" s="2" t="s">
        <v>10903</v>
      </c>
      <c r="E1103" s="2" t="s">
        <v>10904</v>
      </c>
      <c r="G1103" s="3" t="s">
        <v>62</v>
      </c>
      <c r="I1103" s="3" t="s">
        <v>62</v>
      </c>
      <c r="J1103" s="3" t="s">
        <v>61</v>
      </c>
      <c r="K1103" s="3" t="s">
        <v>63</v>
      </c>
      <c r="L1103" s="2" t="s">
        <v>10905</v>
      </c>
      <c r="M1103" s="2" t="s">
        <v>10906</v>
      </c>
      <c r="N1103" s="3" t="s">
        <v>1253</v>
      </c>
      <c r="O1103" s="2" t="s">
        <v>10907</v>
      </c>
      <c r="P1103" s="3" t="s">
        <v>65</v>
      </c>
      <c r="Q1103" s="2" t="s">
        <v>10908</v>
      </c>
      <c r="R1103" s="3" t="s">
        <v>66</v>
      </c>
      <c r="S1103" s="4">
        <v>31</v>
      </c>
      <c r="T1103" s="4">
        <v>31</v>
      </c>
      <c r="U1103" s="5" t="s">
        <v>2491</v>
      </c>
      <c r="V1103" s="5" t="s">
        <v>2491</v>
      </c>
      <c r="W1103" s="5" t="s">
        <v>67</v>
      </c>
      <c r="X1103" s="5" t="s">
        <v>67</v>
      </c>
      <c r="Y1103" s="4">
        <v>266</v>
      </c>
      <c r="Z1103" s="4">
        <v>11</v>
      </c>
      <c r="AA1103" s="4">
        <v>71</v>
      </c>
      <c r="AB1103" s="4">
        <v>2</v>
      </c>
      <c r="AC1103" s="4">
        <v>11</v>
      </c>
      <c r="AD1103" s="4">
        <v>81</v>
      </c>
      <c r="AE1103" s="4">
        <v>152</v>
      </c>
      <c r="AF1103" s="4">
        <v>1</v>
      </c>
      <c r="AG1103" s="4">
        <v>6</v>
      </c>
      <c r="AH1103" s="4">
        <v>76</v>
      </c>
      <c r="AI1103" s="4">
        <v>114</v>
      </c>
      <c r="AJ1103" s="4">
        <v>8</v>
      </c>
      <c r="AK1103" s="4">
        <v>27</v>
      </c>
      <c r="AL1103" s="4">
        <v>44</v>
      </c>
      <c r="AM1103" s="4">
        <v>59</v>
      </c>
      <c r="AN1103" s="4">
        <v>0</v>
      </c>
      <c r="AO1103" s="4">
        <v>0</v>
      </c>
      <c r="AP1103" s="4">
        <v>8</v>
      </c>
      <c r="AQ1103" s="4">
        <v>47</v>
      </c>
      <c r="AR1103" s="3" t="s">
        <v>62</v>
      </c>
      <c r="AS1103" s="3" t="s">
        <v>62</v>
      </c>
      <c r="AT1103" s="3" t="s">
        <v>61</v>
      </c>
      <c r="AU1103" s="6" t="str">
        <f>HYPERLINK("http://catalog.hathitrust.org/Record/003146118","HathiTrust Record")</f>
        <v>HathiTrust Record</v>
      </c>
      <c r="AV1103" s="6" t="str">
        <f>HYPERLINK("http://mcgill.on.worldcat.org/oclc/35178602","Catalog Record")</f>
        <v>Catalog Record</v>
      </c>
      <c r="AW1103" s="6" t="str">
        <f>HYPERLINK("http://www.worldcat.org/oclc/35178602","WorldCat Record")</f>
        <v>WorldCat Record</v>
      </c>
      <c r="AX1103" s="3" t="s">
        <v>10909</v>
      </c>
      <c r="AY1103" s="3" t="s">
        <v>10910</v>
      </c>
      <c r="AZ1103" s="3" t="s">
        <v>10911</v>
      </c>
      <c r="BA1103" s="3" t="s">
        <v>10911</v>
      </c>
      <c r="BB1103" s="3" t="s">
        <v>10912</v>
      </c>
      <c r="BC1103" s="3" t="s">
        <v>142</v>
      </c>
      <c r="BD1103" s="3" t="s">
        <v>308</v>
      </c>
      <c r="BE1103" s="3" t="s">
        <v>10913</v>
      </c>
      <c r="BF1103" s="3" t="s">
        <v>10912</v>
      </c>
      <c r="BG1103" s="3" t="s">
        <v>10914</v>
      </c>
    </row>
    <row r="1104" spans="1:59" ht="57" x14ac:dyDescent="0.45">
      <c r="A1104" s="2" t="s">
        <v>59</v>
      </c>
      <c r="B1104" s="2" t="s">
        <v>60</v>
      </c>
      <c r="C1104" s="2" t="s">
        <v>10915</v>
      </c>
      <c r="D1104" s="2" t="s">
        <v>10916</v>
      </c>
      <c r="E1104" s="2" t="s">
        <v>10917</v>
      </c>
      <c r="G1104" s="3" t="s">
        <v>62</v>
      </c>
      <c r="I1104" s="3" t="s">
        <v>62</v>
      </c>
      <c r="J1104" s="3" t="s">
        <v>62</v>
      </c>
      <c r="K1104" s="3" t="s">
        <v>63</v>
      </c>
      <c r="L1104" s="2" t="s">
        <v>2559</v>
      </c>
      <c r="M1104" s="2" t="s">
        <v>10918</v>
      </c>
      <c r="N1104" s="3" t="s">
        <v>1437</v>
      </c>
      <c r="P1104" s="3" t="s">
        <v>65</v>
      </c>
      <c r="R1104" s="3" t="s">
        <v>66</v>
      </c>
      <c r="S1104" s="4">
        <v>14</v>
      </c>
      <c r="T1104" s="4">
        <v>14</v>
      </c>
      <c r="U1104" s="5" t="s">
        <v>10919</v>
      </c>
      <c r="V1104" s="5" t="s">
        <v>10919</v>
      </c>
      <c r="W1104" s="5" t="s">
        <v>67</v>
      </c>
      <c r="X1104" s="5" t="s">
        <v>67</v>
      </c>
      <c r="Y1104" s="4">
        <v>293</v>
      </c>
      <c r="Z1104" s="4">
        <v>24</v>
      </c>
      <c r="AA1104" s="4">
        <v>31</v>
      </c>
      <c r="AB1104" s="4">
        <v>2</v>
      </c>
      <c r="AC1104" s="4">
        <v>7</v>
      </c>
      <c r="AD1104" s="4">
        <v>97</v>
      </c>
      <c r="AE1104" s="4">
        <v>109</v>
      </c>
      <c r="AF1104" s="4">
        <v>1</v>
      </c>
      <c r="AG1104" s="4">
        <v>5</v>
      </c>
      <c r="AH1104" s="4">
        <v>85</v>
      </c>
      <c r="AI1104" s="4">
        <v>93</v>
      </c>
      <c r="AJ1104" s="4">
        <v>14</v>
      </c>
      <c r="AK1104" s="4">
        <v>19</v>
      </c>
      <c r="AL1104" s="4">
        <v>49</v>
      </c>
      <c r="AM1104" s="4">
        <v>54</v>
      </c>
      <c r="AN1104" s="4">
        <v>0</v>
      </c>
      <c r="AO1104" s="4">
        <v>0</v>
      </c>
      <c r="AP1104" s="4">
        <v>19</v>
      </c>
      <c r="AQ1104" s="4">
        <v>24</v>
      </c>
      <c r="AR1104" s="3" t="s">
        <v>62</v>
      </c>
      <c r="AS1104" s="3" t="s">
        <v>62</v>
      </c>
      <c r="AT1104" s="3" t="s">
        <v>62</v>
      </c>
      <c r="AV1104" s="6" t="str">
        <f>HYPERLINK("http://mcgill.on.worldcat.org/oclc/37748608","Catalog Record")</f>
        <v>Catalog Record</v>
      </c>
      <c r="AW1104" s="6" t="str">
        <f>HYPERLINK("http://www.worldcat.org/oclc/37748608","WorldCat Record")</f>
        <v>WorldCat Record</v>
      </c>
      <c r="AX1104" s="3" t="s">
        <v>10920</v>
      </c>
      <c r="AY1104" s="3" t="s">
        <v>10921</v>
      </c>
      <c r="AZ1104" s="3" t="s">
        <v>10922</v>
      </c>
      <c r="BA1104" s="3" t="s">
        <v>10922</v>
      </c>
      <c r="BB1104" s="3" t="s">
        <v>10923</v>
      </c>
      <c r="BC1104" s="3" t="s">
        <v>142</v>
      </c>
      <c r="BD1104" s="3" t="s">
        <v>68</v>
      </c>
      <c r="BE1104" s="3" t="s">
        <v>10924</v>
      </c>
      <c r="BF1104" s="3" t="s">
        <v>10923</v>
      </c>
      <c r="BG1104" s="3" t="s">
        <v>10925</v>
      </c>
    </row>
    <row r="1105" spans="1:59" ht="57" x14ac:dyDescent="0.45">
      <c r="A1105" s="2" t="s">
        <v>59</v>
      </c>
      <c r="B1105" s="2" t="s">
        <v>60</v>
      </c>
      <c r="C1105" s="2" t="s">
        <v>10926</v>
      </c>
      <c r="D1105" s="2" t="s">
        <v>10927</v>
      </c>
      <c r="E1105" s="2" t="s">
        <v>10928</v>
      </c>
      <c r="F1105" s="3" t="s">
        <v>86</v>
      </c>
      <c r="G1105" s="3" t="s">
        <v>61</v>
      </c>
      <c r="I1105" s="3" t="s">
        <v>62</v>
      </c>
      <c r="J1105" s="3" t="s">
        <v>62</v>
      </c>
      <c r="K1105" s="3" t="s">
        <v>63</v>
      </c>
      <c r="L1105" s="2" t="s">
        <v>10929</v>
      </c>
      <c r="M1105" s="2" t="s">
        <v>10930</v>
      </c>
      <c r="N1105" s="3" t="s">
        <v>1604</v>
      </c>
      <c r="P1105" s="3" t="s">
        <v>65</v>
      </c>
      <c r="Q1105" s="2" t="s">
        <v>10908</v>
      </c>
      <c r="R1105" s="3" t="s">
        <v>66</v>
      </c>
      <c r="S1105" s="4">
        <v>5</v>
      </c>
      <c r="T1105" s="4">
        <v>41</v>
      </c>
      <c r="U1105" s="5" t="s">
        <v>9392</v>
      </c>
      <c r="V1105" s="5" t="s">
        <v>10863</v>
      </c>
      <c r="W1105" s="5" t="s">
        <v>67</v>
      </c>
      <c r="X1105" s="5" t="s">
        <v>67</v>
      </c>
      <c r="Y1105" s="4">
        <v>266</v>
      </c>
      <c r="Z1105" s="4">
        <v>19</v>
      </c>
      <c r="AA1105" s="4">
        <v>23</v>
      </c>
      <c r="AB1105" s="4">
        <v>1</v>
      </c>
      <c r="AC1105" s="4">
        <v>5</v>
      </c>
      <c r="AD1105" s="4">
        <v>94</v>
      </c>
      <c r="AE1105" s="4">
        <v>96</v>
      </c>
      <c r="AF1105" s="4">
        <v>0</v>
      </c>
      <c r="AG1105" s="4">
        <v>1</v>
      </c>
      <c r="AH1105" s="4">
        <v>86</v>
      </c>
      <c r="AI1105" s="4">
        <v>87</v>
      </c>
      <c r="AJ1105" s="4">
        <v>14</v>
      </c>
      <c r="AK1105" s="4">
        <v>15</v>
      </c>
      <c r="AL1105" s="4">
        <v>49</v>
      </c>
      <c r="AM1105" s="4">
        <v>49</v>
      </c>
      <c r="AN1105" s="4">
        <v>0</v>
      </c>
      <c r="AO1105" s="4">
        <v>0</v>
      </c>
      <c r="AP1105" s="4">
        <v>15</v>
      </c>
      <c r="AQ1105" s="4">
        <v>15</v>
      </c>
      <c r="AR1105" s="3" t="s">
        <v>62</v>
      </c>
      <c r="AS1105" s="3" t="s">
        <v>62</v>
      </c>
      <c r="AT1105" s="3" t="s">
        <v>61</v>
      </c>
      <c r="AU1105" s="6" t="str">
        <f>HYPERLINK("http://catalog.hathitrust.org/Record/007129979","HathiTrust Record")</f>
        <v>HathiTrust Record</v>
      </c>
      <c r="AV1105" s="6" t="str">
        <f>HYPERLINK("http://mcgill.on.worldcat.org/oclc/28677376","Catalog Record")</f>
        <v>Catalog Record</v>
      </c>
      <c r="AW1105" s="6" t="str">
        <f>HYPERLINK("http://www.worldcat.org/oclc/28677376","WorldCat Record")</f>
        <v>WorldCat Record</v>
      </c>
      <c r="AX1105" s="3" t="s">
        <v>10931</v>
      </c>
      <c r="AY1105" s="3" t="s">
        <v>10932</v>
      </c>
      <c r="AZ1105" s="3" t="s">
        <v>10933</v>
      </c>
      <c r="BA1105" s="3" t="s">
        <v>10933</v>
      </c>
      <c r="BB1105" s="3" t="s">
        <v>10934</v>
      </c>
      <c r="BC1105" s="3" t="s">
        <v>142</v>
      </c>
      <c r="BD1105" s="3" t="s">
        <v>68</v>
      </c>
      <c r="BE1105" s="3" t="s">
        <v>10935</v>
      </c>
      <c r="BF1105" s="3" t="s">
        <v>10934</v>
      </c>
      <c r="BG1105" s="3" t="s">
        <v>10936</v>
      </c>
    </row>
    <row r="1106" spans="1:59" ht="57" x14ac:dyDescent="0.45">
      <c r="A1106" s="2" t="s">
        <v>59</v>
      </c>
      <c r="B1106" s="2" t="s">
        <v>60</v>
      </c>
      <c r="C1106" s="2" t="s">
        <v>10926</v>
      </c>
      <c r="D1106" s="2" t="s">
        <v>10927</v>
      </c>
      <c r="E1106" s="2" t="s">
        <v>10928</v>
      </c>
      <c r="F1106" s="3" t="s">
        <v>90</v>
      </c>
      <c r="G1106" s="3" t="s">
        <v>61</v>
      </c>
      <c r="I1106" s="3" t="s">
        <v>62</v>
      </c>
      <c r="J1106" s="3" t="s">
        <v>62</v>
      </c>
      <c r="K1106" s="3" t="s">
        <v>63</v>
      </c>
      <c r="L1106" s="2" t="s">
        <v>10929</v>
      </c>
      <c r="M1106" s="2" t="s">
        <v>10930</v>
      </c>
      <c r="N1106" s="3" t="s">
        <v>1604</v>
      </c>
      <c r="P1106" s="3" t="s">
        <v>65</v>
      </c>
      <c r="Q1106" s="2" t="s">
        <v>10908</v>
      </c>
      <c r="R1106" s="3" t="s">
        <v>66</v>
      </c>
      <c r="S1106" s="4">
        <v>9</v>
      </c>
      <c r="T1106" s="4">
        <v>41</v>
      </c>
      <c r="U1106" s="5" t="s">
        <v>2491</v>
      </c>
      <c r="V1106" s="5" t="s">
        <v>10863</v>
      </c>
      <c r="W1106" s="5" t="s">
        <v>67</v>
      </c>
      <c r="X1106" s="5" t="s">
        <v>67</v>
      </c>
      <c r="Y1106" s="4">
        <v>266</v>
      </c>
      <c r="Z1106" s="4">
        <v>19</v>
      </c>
      <c r="AA1106" s="4">
        <v>23</v>
      </c>
      <c r="AB1106" s="4">
        <v>1</v>
      </c>
      <c r="AC1106" s="4">
        <v>5</v>
      </c>
      <c r="AD1106" s="4">
        <v>94</v>
      </c>
      <c r="AE1106" s="4">
        <v>96</v>
      </c>
      <c r="AF1106" s="4">
        <v>0</v>
      </c>
      <c r="AG1106" s="4">
        <v>1</v>
      </c>
      <c r="AH1106" s="4">
        <v>86</v>
      </c>
      <c r="AI1106" s="4">
        <v>87</v>
      </c>
      <c r="AJ1106" s="4">
        <v>14</v>
      </c>
      <c r="AK1106" s="4">
        <v>15</v>
      </c>
      <c r="AL1106" s="4">
        <v>49</v>
      </c>
      <c r="AM1106" s="4">
        <v>49</v>
      </c>
      <c r="AN1106" s="4">
        <v>0</v>
      </c>
      <c r="AO1106" s="4">
        <v>0</v>
      </c>
      <c r="AP1106" s="4">
        <v>15</v>
      </c>
      <c r="AQ1106" s="4">
        <v>15</v>
      </c>
      <c r="AR1106" s="3" t="s">
        <v>62</v>
      </c>
      <c r="AS1106" s="3" t="s">
        <v>62</v>
      </c>
      <c r="AT1106" s="3" t="s">
        <v>61</v>
      </c>
      <c r="AU1106" s="6" t="str">
        <f>HYPERLINK("http://catalog.hathitrust.org/Record/007129979","HathiTrust Record")</f>
        <v>HathiTrust Record</v>
      </c>
      <c r="AV1106" s="6" t="str">
        <f>HYPERLINK("http://mcgill.on.worldcat.org/oclc/28677376","Catalog Record")</f>
        <v>Catalog Record</v>
      </c>
      <c r="AW1106" s="6" t="str">
        <f>HYPERLINK("http://www.worldcat.org/oclc/28677376","WorldCat Record")</f>
        <v>WorldCat Record</v>
      </c>
      <c r="AX1106" s="3" t="s">
        <v>10931</v>
      </c>
      <c r="AY1106" s="3" t="s">
        <v>10932</v>
      </c>
      <c r="AZ1106" s="3" t="s">
        <v>10933</v>
      </c>
      <c r="BA1106" s="3" t="s">
        <v>10933</v>
      </c>
      <c r="BB1106" s="3" t="s">
        <v>10937</v>
      </c>
      <c r="BC1106" s="3" t="s">
        <v>142</v>
      </c>
      <c r="BD1106" s="3" t="s">
        <v>68</v>
      </c>
      <c r="BE1106" s="3" t="s">
        <v>10935</v>
      </c>
      <c r="BF1106" s="3" t="s">
        <v>10937</v>
      </c>
      <c r="BG1106" s="3" t="s">
        <v>10938</v>
      </c>
    </row>
    <row r="1107" spans="1:59" ht="57" x14ac:dyDescent="0.45">
      <c r="A1107" s="2" t="s">
        <v>59</v>
      </c>
      <c r="B1107" s="2" t="s">
        <v>60</v>
      </c>
      <c r="C1107" s="2" t="s">
        <v>10926</v>
      </c>
      <c r="D1107" s="2" t="s">
        <v>10927</v>
      </c>
      <c r="E1107" s="2" t="s">
        <v>10928</v>
      </c>
      <c r="F1107" s="3" t="s">
        <v>87</v>
      </c>
      <c r="G1107" s="3" t="s">
        <v>61</v>
      </c>
      <c r="I1107" s="3" t="s">
        <v>62</v>
      </c>
      <c r="J1107" s="3" t="s">
        <v>62</v>
      </c>
      <c r="K1107" s="3" t="s">
        <v>63</v>
      </c>
      <c r="L1107" s="2" t="s">
        <v>10929</v>
      </c>
      <c r="M1107" s="2" t="s">
        <v>10930</v>
      </c>
      <c r="N1107" s="3" t="s">
        <v>1604</v>
      </c>
      <c r="P1107" s="3" t="s">
        <v>65</v>
      </c>
      <c r="Q1107" s="2" t="s">
        <v>10908</v>
      </c>
      <c r="R1107" s="3" t="s">
        <v>66</v>
      </c>
      <c r="S1107" s="4">
        <v>17</v>
      </c>
      <c r="T1107" s="4">
        <v>41</v>
      </c>
      <c r="U1107" s="5" t="s">
        <v>2491</v>
      </c>
      <c r="V1107" s="5" t="s">
        <v>10863</v>
      </c>
      <c r="W1107" s="5" t="s">
        <v>67</v>
      </c>
      <c r="X1107" s="5" t="s">
        <v>67</v>
      </c>
      <c r="Y1107" s="4">
        <v>266</v>
      </c>
      <c r="Z1107" s="4">
        <v>19</v>
      </c>
      <c r="AA1107" s="4">
        <v>23</v>
      </c>
      <c r="AB1107" s="4">
        <v>1</v>
      </c>
      <c r="AC1107" s="4">
        <v>5</v>
      </c>
      <c r="AD1107" s="4">
        <v>94</v>
      </c>
      <c r="AE1107" s="4">
        <v>96</v>
      </c>
      <c r="AF1107" s="4">
        <v>0</v>
      </c>
      <c r="AG1107" s="4">
        <v>1</v>
      </c>
      <c r="AH1107" s="4">
        <v>86</v>
      </c>
      <c r="AI1107" s="4">
        <v>87</v>
      </c>
      <c r="AJ1107" s="4">
        <v>14</v>
      </c>
      <c r="AK1107" s="4">
        <v>15</v>
      </c>
      <c r="AL1107" s="4">
        <v>49</v>
      </c>
      <c r="AM1107" s="4">
        <v>49</v>
      </c>
      <c r="AN1107" s="4">
        <v>0</v>
      </c>
      <c r="AO1107" s="4">
        <v>0</v>
      </c>
      <c r="AP1107" s="4">
        <v>15</v>
      </c>
      <c r="AQ1107" s="4">
        <v>15</v>
      </c>
      <c r="AR1107" s="3" t="s">
        <v>62</v>
      </c>
      <c r="AS1107" s="3" t="s">
        <v>62</v>
      </c>
      <c r="AT1107" s="3" t="s">
        <v>61</v>
      </c>
      <c r="AU1107" s="6" t="str">
        <f>HYPERLINK("http://catalog.hathitrust.org/Record/007129979","HathiTrust Record")</f>
        <v>HathiTrust Record</v>
      </c>
      <c r="AV1107" s="6" t="str">
        <f>HYPERLINK("http://mcgill.on.worldcat.org/oclc/28677376","Catalog Record")</f>
        <v>Catalog Record</v>
      </c>
      <c r="AW1107" s="6" t="str">
        <f>HYPERLINK("http://www.worldcat.org/oclc/28677376","WorldCat Record")</f>
        <v>WorldCat Record</v>
      </c>
      <c r="AX1107" s="3" t="s">
        <v>10931</v>
      </c>
      <c r="AY1107" s="3" t="s">
        <v>10932</v>
      </c>
      <c r="AZ1107" s="3" t="s">
        <v>10933</v>
      </c>
      <c r="BA1107" s="3" t="s">
        <v>10933</v>
      </c>
      <c r="BB1107" s="3" t="s">
        <v>10939</v>
      </c>
      <c r="BC1107" s="3" t="s">
        <v>142</v>
      </c>
      <c r="BD1107" s="3" t="s">
        <v>308</v>
      </c>
      <c r="BE1107" s="3" t="s">
        <v>10935</v>
      </c>
      <c r="BF1107" s="3" t="s">
        <v>10939</v>
      </c>
      <c r="BG1107" s="3" t="s">
        <v>10940</v>
      </c>
    </row>
    <row r="1108" spans="1:59" ht="57" x14ac:dyDescent="0.45">
      <c r="A1108" s="2" t="s">
        <v>59</v>
      </c>
      <c r="B1108" s="2" t="s">
        <v>60</v>
      </c>
      <c r="C1108" s="2" t="s">
        <v>10926</v>
      </c>
      <c r="D1108" s="2" t="s">
        <v>10927</v>
      </c>
      <c r="E1108" s="2" t="s">
        <v>10928</v>
      </c>
      <c r="F1108" s="3" t="s">
        <v>88</v>
      </c>
      <c r="G1108" s="3" t="s">
        <v>61</v>
      </c>
      <c r="I1108" s="3" t="s">
        <v>62</v>
      </c>
      <c r="J1108" s="3" t="s">
        <v>62</v>
      </c>
      <c r="K1108" s="3" t="s">
        <v>63</v>
      </c>
      <c r="L1108" s="2" t="s">
        <v>10929</v>
      </c>
      <c r="M1108" s="2" t="s">
        <v>10930</v>
      </c>
      <c r="N1108" s="3" t="s">
        <v>1604</v>
      </c>
      <c r="P1108" s="3" t="s">
        <v>65</v>
      </c>
      <c r="Q1108" s="2" t="s">
        <v>10908</v>
      </c>
      <c r="R1108" s="3" t="s">
        <v>66</v>
      </c>
      <c r="S1108" s="4">
        <v>10</v>
      </c>
      <c r="T1108" s="4">
        <v>41</v>
      </c>
      <c r="U1108" s="5" t="s">
        <v>10863</v>
      </c>
      <c r="V1108" s="5" t="s">
        <v>10863</v>
      </c>
      <c r="W1108" s="5" t="s">
        <v>67</v>
      </c>
      <c r="X1108" s="5" t="s">
        <v>67</v>
      </c>
      <c r="Y1108" s="4">
        <v>266</v>
      </c>
      <c r="Z1108" s="4">
        <v>19</v>
      </c>
      <c r="AA1108" s="4">
        <v>23</v>
      </c>
      <c r="AB1108" s="4">
        <v>1</v>
      </c>
      <c r="AC1108" s="4">
        <v>5</v>
      </c>
      <c r="AD1108" s="4">
        <v>94</v>
      </c>
      <c r="AE1108" s="4">
        <v>96</v>
      </c>
      <c r="AF1108" s="4">
        <v>0</v>
      </c>
      <c r="AG1108" s="4">
        <v>1</v>
      </c>
      <c r="AH1108" s="4">
        <v>86</v>
      </c>
      <c r="AI1108" s="4">
        <v>87</v>
      </c>
      <c r="AJ1108" s="4">
        <v>14</v>
      </c>
      <c r="AK1108" s="4">
        <v>15</v>
      </c>
      <c r="AL1108" s="4">
        <v>49</v>
      </c>
      <c r="AM1108" s="4">
        <v>49</v>
      </c>
      <c r="AN1108" s="4">
        <v>0</v>
      </c>
      <c r="AO1108" s="4">
        <v>0</v>
      </c>
      <c r="AP1108" s="4">
        <v>15</v>
      </c>
      <c r="AQ1108" s="4">
        <v>15</v>
      </c>
      <c r="AR1108" s="3" t="s">
        <v>62</v>
      </c>
      <c r="AS1108" s="3" t="s">
        <v>62</v>
      </c>
      <c r="AT1108" s="3" t="s">
        <v>61</v>
      </c>
      <c r="AU1108" s="6" t="str">
        <f>HYPERLINK("http://catalog.hathitrust.org/Record/007129979","HathiTrust Record")</f>
        <v>HathiTrust Record</v>
      </c>
      <c r="AV1108" s="6" t="str">
        <f>HYPERLINK("http://mcgill.on.worldcat.org/oclc/28677376","Catalog Record")</f>
        <v>Catalog Record</v>
      </c>
      <c r="AW1108" s="6" t="str">
        <f>HYPERLINK("http://www.worldcat.org/oclc/28677376","WorldCat Record")</f>
        <v>WorldCat Record</v>
      </c>
      <c r="AX1108" s="3" t="s">
        <v>10931</v>
      </c>
      <c r="AY1108" s="3" t="s">
        <v>10932</v>
      </c>
      <c r="AZ1108" s="3" t="s">
        <v>10933</v>
      </c>
      <c r="BA1108" s="3" t="s">
        <v>10933</v>
      </c>
      <c r="BB1108" s="3" t="s">
        <v>10941</v>
      </c>
      <c r="BC1108" s="3" t="s">
        <v>142</v>
      </c>
      <c r="BD1108" s="3" t="s">
        <v>68</v>
      </c>
      <c r="BE1108" s="3" t="s">
        <v>10935</v>
      </c>
      <c r="BF1108" s="3" t="s">
        <v>10941</v>
      </c>
      <c r="BG1108" s="3" t="s">
        <v>10942</v>
      </c>
    </row>
    <row r="1109" spans="1:59" ht="57" x14ac:dyDescent="0.45">
      <c r="A1109" s="2" t="s">
        <v>59</v>
      </c>
      <c r="B1109" s="2" t="s">
        <v>60</v>
      </c>
      <c r="C1109" s="2" t="s">
        <v>10943</v>
      </c>
      <c r="D1109" s="2" t="s">
        <v>10944</v>
      </c>
      <c r="E1109" s="2" t="s">
        <v>10945</v>
      </c>
      <c r="G1109" s="3" t="s">
        <v>62</v>
      </c>
      <c r="I1109" s="3" t="s">
        <v>62</v>
      </c>
      <c r="J1109" s="3" t="s">
        <v>62</v>
      </c>
      <c r="K1109" s="3" t="s">
        <v>63</v>
      </c>
      <c r="L1109" s="2" t="s">
        <v>10946</v>
      </c>
      <c r="M1109" s="2" t="s">
        <v>10947</v>
      </c>
      <c r="N1109" s="3" t="s">
        <v>1253</v>
      </c>
      <c r="O1109" s="2" t="s">
        <v>10948</v>
      </c>
      <c r="P1109" s="3" t="s">
        <v>110</v>
      </c>
      <c r="Q1109" s="2" t="s">
        <v>10949</v>
      </c>
      <c r="R1109" s="3" t="s">
        <v>66</v>
      </c>
      <c r="S1109" s="4">
        <v>5</v>
      </c>
      <c r="T1109" s="4">
        <v>5</v>
      </c>
      <c r="U1109" s="5" t="s">
        <v>10950</v>
      </c>
      <c r="V1109" s="5" t="s">
        <v>10950</v>
      </c>
      <c r="W1109" s="5" t="s">
        <v>67</v>
      </c>
      <c r="X1109" s="5" t="s">
        <v>67</v>
      </c>
      <c r="Y1109" s="4">
        <v>87</v>
      </c>
      <c r="Z1109" s="4">
        <v>8</v>
      </c>
      <c r="AA1109" s="4">
        <v>16</v>
      </c>
      <c r="AB1109" s="4">
        <v>2</v>
      </c>
      <c r="AC1109" s="4">
        <v>9</v>
      </c>
      <c r="AD1109" s="4">
        <v>42</v>
      </c>
      <c r="AE1109" s="4">
        <v>48</v>
      </c>
      <c r="AF1109" s="4">
        <v>1</v>
      </c>
      <c r="AG1109" s="4">
        <v>6</v>
      </c>
      <c r="AH1109" s="4">
        <v>37</v>
      </c>
      <c r="AI1109" s="4">
        <v>39</v>
      </c>
      <c r="AJ1109" s="4">
        <v>7</v>
      </c>
      <c r="AK1109" s="4">
        <v>12</v>
      </c>
      <c r="AL1109" s="4">
        <v>28</v>
      </c>
      <c r="AM1109" s="4">
        <v>28</v>
      </c>
      <c r="AN1109" s="4">
        <v>0</v>
      </c>
      <c r="AO1109" s="4">
        <v>0</v>
      </c>
      <c r="AP1109" s="4">
        <v>7</v>
      </c>
      <c r="AQ1109" s="4">
        <v>12</v>
      </c>
      <c r="AR1109" s="3" t="s">
        <v>62</v>
      </c>
      <c r="AS1109" s="3" t="s">
        <v>62</v>
      </c>
      <c r="AT1109" s="3" t="s">
        <v>61</v>
      </c>
      <c r="AU1109" s="6" t="str">
        <f>HYPERLINK("http://catalog.hathitrust.org/Record/003194297","HathiTrust Record")</f>
        <v>HathiTrust Record</v>
      </c>
      <c r="AV1109" s="6" t="str">
        <f>HYPERLINK("http://mcgill.on.worldcat.org/oclc/37891476","Catalog Record")</f>
        <v>Catalog Record</v>
      </c>
      <c r="AW1109" s="6" t="str">
        <f>HYPERLINK("http://www.worldcat.org/oclc/37891476","WorldCat Record")</f>
        <v>WorldCat Record</v>
      </c>
      <c r="AX1109" s="3" t="s">
        <v>10951</v>
      </c>
      <c r="AY1109" s="3" t="s">
        <v>10952</v>
      </c>
      <c r="AZ1109" s="3" t="s">
        <v>10953</v>
      </c>
      <c r="BA1109" s="3" t="s">
        <v>10953</v>
      </c>
      <c r="BB1109" s="3" t="s">
        <v>10954</v>
      </c>
      <c r="BC1109" s="3" t="s">
        <v>142</v>
      </c>
      <c r="BD1109" s="3" t="s">
        <v>68</v>
      </c>
      <c r="BE1109" s="3" t="s">
        <v>10955</v>
      </c>
      <c r="BF1109" s="3" t="s">
        <v>10954</v>
      </c>
      <c r="BG1109" s="3" t="s">
        <v>10956</v>
      </c>
    </row>
    <row r="1110" spans="1:59" ht="57" x14ac:dyDescent="0.45">
      <c r="A1110" s="2" t="s">
        <v>59</v>
      </c>
      <c r="B1110" s="2" t="s">
        <v>60</v>
      </c>
      <c r="C1110" s="2" t="s">
        <v>10957</v>
      </c>
      <c r="D1110" s="2" t="s">
        <v>10958</v>
      </c>
      <c r="E1110" s="2" t="s">
        <v>10959</v>
      </c>
      <c r="G1110" s="3" t="s">
        <v>62</v>
      </c>
      <c r="I1110" s="3" t="s">
        <v>62</v>
      </c>
      <c r="J1110" s="3" t="s">
        <v>62</v>
      </c>
      <c r="K1110" s="3" t="s">
        <v>63</v>
      </c>
      <c r="L1110" s="2" t="s">
        <v>10960</v>
      </c>
      <c r="M1110" s="2" t="s">
        <v>10961</v>
      </c>
      <c r="N1110" s="3" t="s">
        <v>1688</v>
      </c>
      <c r="P1110" s="3" t="s">
        <v>65</v>
      </c>
      <c r="R1110" s="3" t="s">
        <v>66</v>
      </c>
      <c r="S1110" s="4">
        <v>8</v>
      </c>
      <c r="T1110" s="4">
        <v>8</v>
      </c>
      <c r="U1110" s="5" t="s">
        <v>10962</v>
      </c>
      <c r="V1110" s="5" t="s">
        <v>10962</v>
      </c>
      <c r="W1110" s="5" t="s">
        <v>67</v>
      </c>
      <c r="X1110" s="5" t="s">
        <v>67</v>
      </c>
      <c r="Y1110" s="4">
        <v>497</v>
      </c>
      <c r="Z1110" s="4">
        <v>30</v>
      </c>
      <c r="AA1110" s="4">
        <v>45</v>
      </c>
      <c r="AB1110" s="4">
        <v>2</v>
      </c>
      <c r="AC1110" s="4">
        <v>9</v>
      </c>
      <c r="AD1110" s="4">
        <v>94</v>
      </c>
      <c r="AE1110" s="4">
        <v>115</v>
      </c>
      <c r="AF1110" s="4">
        <v>1</v>
      </c>
      <c r="AG1110" s="4">
        <v>4</v>
      </c>
      <c r="AH1110" s="4">
        <v>80</v>
      </c>
      <c r="AI1110" s="4">
        <v>94</v>
      </c>
      <c r="AJ1110" s="4">
        <v>12</v>
      </c>
      <c r="AK1110" s="4">
        <v>20</v>
      </c>
      <c r="AL1110" s="4">
        <v>48</v>
      </c>
      <c r="AM1110" s="4">
        <v>54</v>
      </c>
      <c r="AN1110" s="4">
        <v>0</v>
      </c>
      <c r="AO1110" s="4">
        <v>0</v>
      </c>
      <c r="AP1110" s="4">
        <v>19</v>
      </c>
      <c r="AQ1110" s="4">
        <v>29</v>
      </c>
      <c r="AR1110" s="3" t="s">
        <v>62</v>
      </c>
      <c r="AS1110" s="3" t="s">
        <v>62</v>
      </c>
      <c r="AT1110" s="3" t="s">
        <v>62</v>
      </c>
      <c r="AV1110" s="6" t="str">
        <f>HYPERLINK("http://mcgill.on.worldcat.org/oclc/868427422","Catalog Record")</f>
        <v>Catalog Record</v>
      </c>
      <c r="AW1110" s="6" t="str">
        <f>HYPERLINK("http://www.worldcat.org/oclc/868427422","WorldCat Record")</f>
        <v>WorldCat Record</v>
      </c>
      <c r="AX1110" s="3" t="s">
        <v>10963</v>
      </c>
      <c r="AY1110" s="3" t="s">
        <v>10964</v>
      </c>
      <c r="AZ1110" s="3" t="s">
        <v>10965</v>
      </c>
      <c r="BA1110" s="3" t="s">
        <v>10965</v>
      </c>
      <c r="BB1110" s="3" t="s">
        <v>10966</v>
      </c>
      <c r="BC1110" s="3" t="s">
        <v>142</v>
      </c>
      <c r="BD1110" s="3" t="s">
        <v>308</v>
      </c>
      <c r="BE1110" s="3" t="s">
        <v>10967</v>
      </c>
      <c r="BF1110" s="3" t="s">
        <v>10966</v>
      </c>
      <c r="BG1110" s="3" t="s">
        <v>10968</v>
      </c>
    </row>
    <row r="1111" spans="1:59" ht="57" x14ac:dyDescent="0.45">
      <c r="A1111" s="2" t="s">
        <v>59</v>
      </c>
      <c r="B1111" s="2" t="s">
        <v>60</v>
      </c>
      <c r="C1111" s="2" t="s">
        <v>10969</v>
      </c>
      <c r="D1111" s="2" t="s">
        <v>10970</v>
      </c>
      <c r="E1111" s="2" t="s">
        <v>10971</v>
      </c>
      <c r="G1111" s="3" t="s">
        <v>62</v>
      </c>
      <c r="I1111" s="3" t="s">
        <v>62</v>
      </c>
      <c r="J1111" s="3" t="s">
        <v>62</v>
      </c>
      <c r="K1111" s="3" t="s">
        <v>63</v>
      </c>
      <c r="L1111" s="2" t="s">
        <v>10972</v>
      </c>
      <c r="M1111" s="2" t="s">
        <v>4303</v>
      </c>
      <c r="N1111" s="3" t="s">
        <v>116</v>
      </c>
      <c r="P1111" s="3" t="s">
        <v>65</v>
      </c>
      <c r="Q1111" s="2" t="s">
        <v>10973</v>
      </c>
      <c r="R1111" s="3" t="s">
        <v>66</v>
      </c>
      <c r="S1111" s="4">
        <v>0</v>
      </c>
      <c r="T1111" s="4">
        <v>0</v>
      </c>
      <c r="W1111" s="5" t="s">
        <v>67</v>
      </c>
      <c r="X1111" s="5" t="s">
        <v>67</v>
      </c>
      <c r="Y1111" s="4">
        <v>70</v>
      </c>
      <c r="Z1111" s="4">
        <v>7</v>
      </c>
      <c r="AA1111" s="4">
        <v>77</v>
      </c>
      <c r="AB1111" s="4">
        <v>1</v>
      </c>
      <c r="AC1111" s="4">
        <v>16</v>
      </c>
      <c r="AD1111" s="4">
        <v>27</v>
      </c>
      <c r="AE1111" s="4">
        <v>103</v>
      </c>
      <c r="AF1111" s="4">
        <v>0</v>
      </c>
      <c r="AG1111" s="4">
        <v>8</v>
      </c>
      <c r="AH1111" s="4">
        <v>25</v>
      </c>
      <c r="AI1111" s="4">
        <v>71</v>
      </c>
      <c r="AJ1111" s="4">
        <v>4</v>
      </c>
      <c r="AK1111" s="4">
        <v>20</v>
      </c>
      <c r="AL1111" s="4">
        <v>18</v>
      </c>
      <c r="AM1111" s="4">
        <v>37</v>
      </c>
      <c r="AN1111" s="4">
        <v>0</v>
      </c>
      <c r="AO1111" s="4">
        <v>0</v>
      </c>
      <c r="AP1111" s="4">
        <v>4</v>
      </c>
      <c r="AQ1111" s="4">
        <v>39</v>
      </c>
      <c r="AR1111" s="3" t="s">
        <v>62</v>
      </c>
      <c r="AS1111" s="3" t="s">
        <v>62</v>
      </c>
      <c r="AT1111" s="3" t="s">
        <v>62</v>
      </c>
      <c r="AV1111" s="6" t="str">
        <f>HYPERLINK("http://mcgill.on.worldcat.org/oclc/798062009","Catalog Record")</f>
        <v>Catalog Record</v>
      </c>
      <c r="AW1111" s="6" t="str">
        <f>HYPERLINK("http://www.worldcat.org/oclc/798062009","WorldCat Record")</f>
        <v>WorldCat Record</v>
      </c>
      <c r="AX1111" s="3" t="s">
        <v>10974</v>
      </c>
      <c r="AY1111" s="3" t="s">
        <v>10975</v>
      </c>
      <c r="AZ1111" s="3" t="s">
        <v>10976</v>
      </c>
      <c r="BA1111" s="3" t="s">
        <v>10976</v>
      </c>
      <c r="BB1111" s="3" t="s">
        <v>10977</v>
      </c>
      <c r="BC1111" s="3" t="s">
        <v>142</v>
      </c>
      <c r="BD1111" s="3" t="s">
        <v>68</v>
      </c>
      <c r="BE1111" s="3" t="s">
        <v>10978</v>
      </c>
      <c r="BF1111" s="3" t="s">
        <v>10977</v>
      </c>
      <c r="BG1111" s="3" t="s">
        <v>10979</v>
      </c>
    </row>
    <row r="1112" spans="1:59" ht="57" x14ac:dyDescent="0.45">
      <c r="A1112" s="2" t="s">
        <v>59</v>
      </c>
      <c r="B1112" s="2" t="s">
        <v>60</v>
      </c>
      <c r="C1112" s="2" t="s">
        <v>10980</v>
      </c>
      <c r="D1112" s="2" t="s">
        <v>10981</v>
      </c>
      <c r="E1112" s="2" t="s">
        <v>10982</v>
      </c>
      <c r="G1112" s="3" t="s">
        <v>62</v>
      </c>
      <c r="I1112" s="3" t="s">
        <v>62</v>
      </c>
      <c r="J1112" s="3" t="s">
        <v>62</v>
      </c>
      <c r="K1112" s="3" t="s">
        <v>63</v>
      </c>
      <c r="M1112" s="2" t="s">
        <v>10983</v>
      </c>
      <c r="N1112" s="3" t="s">
        <v>958</v>
      </c>
      <c r="P1112" s="3" t="s">
        <v>114</v>
      </c>
      <c r="Q1112" s="2" t="s">
        <v>10984</v>
      </c>
      <c r="R1112" s="3" t="s">
        <v>66</v>
      </c>
      <c r="S1112" s="4">
        <v>1</v>
      </c>
      <c r="T1112" s="4">
        <v>1</v>
      </c>
      <c r="U1112" s="5" t="s">
        <v>10985</v>
      </c>
      <c r="V1112" s="5" t="s">
        <v>10985</v>
      </c>
      <c r="W1112" s="5" t="s">
        <v>67</v>
      </c>
      <c r="X1112" s="5" t="s">
        <v>67</v>
      </c>
      <c r="Y1112" s="4">
        <v>38</v>
      </c>
      <c r="Z1112" s="4">
        <v>3</v>
      </c>
      <c r="AA1112" s="4">
        <v>3</v>
      </c>
      <c r="AB1112" s="4">
        <v>1</v>
      </c>
      <c r="AC1112" s="4">
        <v>1</v>
      </c>
      <c r="AD1112" s="4">
        <v>14</v>
      </c>
      <c r="AE1112" s="4">
        <v>14</v>
      </c>
      <c r="AF1112" s="4">
        <v>0</v>
      </c>
      <c r="AG1112" s="4">
        <v>0</v>
      </c>
      <c r="AH1112" s="4">
        <v>13</v>
      </c>
      <c r="AI1112" s="4">
        <v>13</v>
      </c>
      <c r="AJ1112" s="4">
        <v>1</v>
      </c>
      <c r="AK1112" s="4">
        <v>1</v>
      </c>
      <c r="AL1112" s="4">
        <v>10</v>
      </c>
      <c r="AM1112" s="4">
        <v>10</v>
      </c>
      <c r="AN1112" s="4">
        <v>0</v>
      </c>
      <c r="AO1112" s="4">
        <v>0</v>
      </c>
      <c r="AP1112" s="4">
        <v>1</v>
      </c>
      <c r="AQ1112" s="4">
        <v>1</v>
      </c>
      <c r="AR1112" s="3" t="s">
        <v>62</v>
      </c>
      <c r="AS1112" s="3" t="s">
        <v>62</v>
      </c>
      <c r="AT1112" s="3" t="s">
        <v>62</v>
      </c>
      <c r="AV1112" s="6" t="str">
        <f>HYPERLINK("http://mcgill.on.worldcat.org/oclc/35204647","Catalog Record")</f>
        <v>Catalog Record</v>
      </c>
      <c r="AW1112" s="6" t="str">
        <f>HYPERLINK("http://www.worldcat.org/oclc/35204647","WorldCat Record")</f>
        <v>WorldCat Record</v>
      </c>
      <c r="AX1112" s="3" t="s">
        <v>10986</v>
      </c>
      <c r="AY1112" s="3" t="s">
        <v>10987</v>
      </c>
      <c r="AZ1112" s="3" t="s">
        <v>10988</v>
      </c>
      <c r="BA1112" s="3" t="s">
        <v>10988</v>
      </c>
      <c r="BB1112" s="3" t="s">
        <v>10989</v>
      </c>
      <c r="BC1112" s="3" t="s">
        <v>142</v>
      </c>
      <c r="BD1112" s="3" t="s">
        <v>68</v>
      </c>
      <c r="BE1112" s="3" t="s">
        <v>10990</v>
      </c>
      <c r="BF1112" s="3" t="s">
        <v>10989</v>
      </c>
      <c r="BG1112" s="3" t="s">
        <v>10991</v>
      </c>
    </row>
    <row r="1113" spans="1:59" ht="57" x14ac:dyDescent="0.45">
      <c r="A1113" s="2" t="s">
        <v>59</v>
      </c>
      <c r="B1113" s="2" t="s">
        <v>60</v>
      </c>
      <c r="C1113" s="2" t="s">
        <v>10992</v>
      </c>
      <c r="D1113" s="2" t="s">
        <v>10993</v>
      </c>
      <c r="E1113" s="2" t="s">
        <v>10994</v>
      </c>
      <c r="G1113" s="3" t="s">
        <v>62</v>
      </c>
      <c r="I1113" s="3" t="s">
        <v>62</v>
      </c>
      <c r="J1113" s="3" t="s">
        <v>62</v>
      </c>
      <c r="K1113" s="3" t="s">
        <v>63</v>
      </c>
      <c r="L1113" s="2" t="s">
        <v>10995</v>
      </c>
      <c r="M1113" s="2" t="s">
        <v>10996</v>
      </c>
      <c r="N1113" s="3" t="s">
        <v>1855</v>
      </c>
      <c r="P1113" s="3" t="s">
        <v>65</v>
      </c>
      <c r="Q1113" s="2" t="s">
        <v>10997</v>
      </c>
      <c r="R1113" s="3" t="s">
        <v>66</v>
      </c>
      <c r="S1113" s="4">
        <v>5</v>
      </c>
      <c r="T1113" s="4">
        <v>5</v>
      </c>
      <c r="U1113" s="5" t="s">
        <v>10777</v>
      </c>
      <c r="V1113" s="5" t="s">
        <v>10777</v>
      </c>
      <c r="W1113" s="5" t="s">
        <v>67</v>
      </c>
      <c r="X1113" s="5" t="s">
        <v>67</v>
      </c>
      <c r="Y1113" s="4">
        <v>96</v>
      </c>
      <c r="Z1113" s="4">
        <v>7</v>
      </c>
      <c r="AA1113" s="4">
        <v>93</v>
      </c>
      <c r="AB1113" s="4">
        <v>1</v>
      </c>
      <c r="AC1113" s="4">
        <v>17</v>
      </c>
      <c r="AD1113" s="4">
        <v>55</v>
      </c>
      <c r="AE1113" s="4">
        <v>118</v>
      </c>
      <c r="AF1113" s="4">
        <v>0</v>
      </c>
      <c r="AG1113" s="4">
        <v>8</v>
      </c>
      <c r="AH1113" s="4">
        <v>54</v>
      </c>
      <c r="AI1113" s="4">
        <v>84</v>
      </c>
      <c r="AJ1113" s="4">
        <v>5</v>
      </c>
      <c r="AK1113" s="4">
        <v>21</v>
      </c>
      <c r="AL1113" s="4">
        <v>37</v>
      </c>
      <c r="AM1113" s="4">
        <v>45</v>
      </c>
      <c r="AN1113" s="4">
        <v>0</v>
      </c>
      <c r="AO1113" s="4">
        <v>0</v>
      </c>
      <c r="AP1113" s="4">
        <v>5</v>
      </c>
      <c r="AQ1113" s="4">
        <v>42</v>
      </c>
      <c r="AR1113" s="3" t="s">
        <v>62</v>
      </c>
      <c r="AS1113" s="3" t="s">
        <v>62</v>
      </c>
      <c r="AT1113" s="3" t="s">
        <v>62</v>
      </c>
      <c r="AV1113" s="6" t="str">
        <f>HYPERLINK("http://mcgill.on.worldcat.org/oclc/57010034","Catalog Record")</f>
        <v>Catalog Record</v>
      </c>
      <c r="AW1113" s="6" t="str">
        <f>HYPERLINK("http://www.worldcat.org/oclc/57010034","WorldCat Record")</f>
        <v>WorldCat Record</v>
      </c>
      <c r="AX1113" s="3" t="s">
        <v>10998</v>
      </c>
      <c r="AY1113" s="3" t="s">
        <v>10999</v>
      </c>
      <c r="AZ1113" s="3" t="s">
        <v>11000</v>
      </c>
      <c r="BA1113" s="3" t="s">
        <v>11000</v>
      </c>
      <c r="BB1113" s="3" t="s">
        <v>11001</v>
      </c>
      <c r="BC1113" s="3" t="s">
        <v>142</v>
      </c>
      <c r="BD1113" s="3" t="s">
        <v>308</v>
      </c>
      <c r="BE1113" s="3" t="s">
        <v>11002</v>
      </c>
      <c r="BF1113" s="3" t="s">
        <v>11001</v>
      </c>
      <c r="BG1113" s="3" t="s">
        <v>11003</v>
      </c>
    </row>
    <row r="1114" spans="1:59" ht="57" x14ac:dyDescent="0.45">
      <c r="A1114" s="2" t="s">
        <v>59</v>
      </c>
      <c r="B1114" s="2" t="s">
        <v>60</v>
      </c>
      <c r="C1114" s="2" t="s">
        <v>11004</v>
      </c>
      <c r="D1114" s="2" t="s">
        <v>11005</v>
      </c>
      <c r="E1114" s="2" t="s">
        <v>11006</v>
      </c>
      <c r="G1114" s="3" t="s">
        <v>62</v>
      </c>
      <c r="I1114" s="3" t="s">
        <v>62</v>
      </c>
      <c r="J1114" s="3" t="s">
        <v>62</v>
      </c>
      <c r="K1114" s="3" t="s">
        <v>63</v>
      </c>
      <c r="L1114" s="2" t="s">
        <v>11007</v>
      </c>
      <c r="M1114" s="2" t="s">
        <v>11008</v>
      </c>
      <c r="N1114" s="3" t="s">
        <v>1253</v>
      </c>
      <c r="P1114" s="3" t="s">
        <v>65</v>
      </c>
      <c r="Q1114" s="2" t="s">
        <v>11009</v>
      </c>
      <c r="R1114" s="3" t="s">
        <v>66</v>
      </c>
      <c r="S1114" s="4">
        <v>5</v>
      </c>
      <c r="T1114" s="4">
        <v>5</v>
      </c>
      <c r="U1114" s="5" t="s">
        <v>11010</v>
      </c>
      <c r="V1114" s="5" t="s">
        <v>11010</v>
      </c>
      <c r="W1114" s="5" t="s">
        <v>67</v>
      </c>
      <c r="X1114" s="5" t="s">
        <v>67</v>
      </c>
      <c r="Y1114" s="4">
        <v>80</v>
      </c>
      <c r="Z1114" s="4">
        <v>5</v>
      </c>
      <c r="AA1114" s="4">
        <v>5</v>
      </c>
      <c r="AB1114" s="4">
        <v>1</v>
      </c>
      <c r="AC1114" s="4">
        <v>1</v>
      </c>
      <c r="AD1114" s="4">
        <v>40</v>
      </c>
      <c r="AE1114" s="4">
        <v>40</v>
      </c>
      <c r="AF1114" s="4">
        <v>0</v>
      </c>
      <c r="AG1114" s="4">
        <v>0</v>
      </c>
      <c r="AH1114" s="4">
        <v>37</v>
      </c>
      <c r="AI1114" s="4">
        <v>37</v>
      </c>
      <c r="AJ1114" s="4">
        <v>3</v>
      </c>
      <c r="AK1114" s="4">
        <v>3</v>
      </c>
      <c r="AL1114" s="4">
        <v>28</v>
      </c>
      <c r="AM1114" s="4">
        <v>28</v>
      </c>
      <c r="AN1114" s="4">
        <v>0</v>
      </c>
      <c r="AO1114" s="4">
        <v>0</v>
      </c>
      <c r="AP1114" s="4">
        <v>3</v>
      </c>
      <c r="AQ1114" s="4">
        <v>3</v>
      </c>
      <c r="AR1114" s="3" t="s">
        <v>62</v>
      </c>
      <c r="AS1114" s="3" t="s">
        <v>62</v>
      </c>
      <c r="AT1114" s="3" t="s">
        <v>61</v>
      </c>
      <c r="AU1114" s="6" t="str">
        <f>HYPERLINK("http://catalog.hathitrust.org/Record/003997694","HathiTrust Record")</f>
        <v>HathiTrust Record</v>
      </c>
      <c r="AV1114" s="6" t="str">
        <f>HYPERLINK("http://mcgill.on.worldcat.org/oclc/39071657","Catalog Record")</f>
        <v>Catalog Record</v>
      </c>
      <c r="AW1114" s="6" t="str">
        <f>HYPERLINK("http://www.worldcat.org/oclc/39071657","WorldCat Record")</f>
        <v>WorldCat Record</v>
      </c>
      <c r="AX1114" s="3" t="s">
        <v>11011</v>
      </c>
      <c r="AY1114" s="3" t="s">
        <v>11012</v>
      </c>
      <c r="AZ1114" s="3" t="s">
        <v>11013</v>
      </c>
      <c r="BA1114" s="3" t="s">
        <v>11013</v>
      </c>
      <c r="BB1114" s="3" t="s">
        <v>11014</v>
      </c>
      <c r="BC1114" s="3" t="s">
        <v>142</v>
      </c>
      <c r="BD1114" s="3" t="s">
        <v>68</v>
      </c>
      <c r="BE1114" s="3" t="s">
        <v>11015</v>
      </c>
      <c r="BF1114" s="3" t="s">
        <v>11014</v>
      </c>
      <c r="BG1114" s="3" t="s">
        <v>11016</v>
      </c>
    </row>
    <row r="1115" spans="1:59" ht="57" x14ac:dyDescent="0.45">
      <c r="A1115" s="2" t="s">
        <v>59</v>
      </c>
      <c r="B1115" s="2" t="s">
        <v>60</v>
      </c>
      <c r="C1115" s="2" t="s">
        <v>11017</v>
      </c>
      <c r="D1115" s="2" t="s">
        <v>11018</v>
      </c>
      <c r="E1115" s="2" t="s">
        <v>11019</v>
      </c>
      <c r="G1115" s="3" t="s">
        <v>62</v>
      </c>
      <c r="I1115" s="3" t="s">
        <v>62</v>
      </c>
      <c r="J1115" s="3" t="s">
        <v>62</v>
      </c>
      <c r="K1115" s="3" t="s">
        <v>63</v>
      </c>
      <c r="L1115" s="2" t="s">
        <v>11020</v>
      </c>
      <c r="M1115" s="2" t="s">
        <v>11021</v>
      </c>
      <c r="N1115" s="3" t="s">
        <v>529</v>
      </c>
      <c r="P1115" s="3" t="s">
        <v>65</v>
      </c>
      <c r="R1115" s="3" t="s">
        <v>66</v>
      </c>
      <c r="S1115" s="4">
        <v>15</v>
      </c>
      <c r="T1115" s="4">
        <v>15</v>
      </c>
      <c r="U1115" s="5" t="s">
        <v>11022</v>
      </c>
      <c r="V1115" s="5" t="s">
        <v>11022</v>
      </c>
      <c r="W1115" s="5" t="s">
        <v>67</v>
      </c>
      <c r="X1115" s="5" t="s">
        <v>67</v>
      </c>
      <c r="Y1115" s="4">
        <v>43</v>
      </c>
      <c r="Z1115" s="4">
        <v>7</v>
      </c>
      <c r="AA1115" s="4">
        <v>24</v>
      </c>
      <c r="AB1115" s="4">
        <v>1</v>
      </c>
      <c r="AC1115" s="4">
        <v>4</v>
      </c>
      <c r="AD1115" s="4">
        <v>11</v>
      </c>
      <c r="AE1115" s="4">
        <v>117</v>
      </c>
      <c r="AF1115" s="4">
        <v>0</v>
      </c>
      <c r="AG1115" s="4">
        <v>3</v>
      </c>
      <c r="AH1115" s="4">
        <v>5</v>
      </c>
      <c r="AI1115" s="4">
        <v>104</v>
      </c>
      <c r="AJ1115" s="4">
        <v>4</v>
      </c>
      <c r="AK1115" s="4">
        <v>17</v>
      </c>
      <c r="AL1115" s="4">
        <v>2</v>
      </c>
      <c r="AM1115" s="4">
        <v>55</v>
      </c>
      <c r="AN1115" s="4">
        <v>0</v>
      </c>
      <c r="AO1115" s="4">
        <v>0</v>
      </c>
      <c r="AP1115" s="4">
        <v>6</v>
      </c>
      <c r="AQ1115" s="4">
        <v>19</v>
      </c>
      <c r="AR1115" s="3" t="s">
        <v>62</v>
      </c>
      <c r="AS1115" s="3" t="s">
        <v>62</v>
      </c>
      <c r="AT1115" s="3" t="s">
        <v>61</v>
      </c>
      <c r="AU1115" s="6" t="str">
        <f>HYPERLINK("http://catalog.hathitrust.org/Record/000415432","HathiTrust Record")</f>
        <v>HathiTrust Record</v>
      </c>
      <c r="AV1115" s="6" t="str">
        <f>HYPERLINK("http://mcgill.on.worldcat.org/oclc/71506492","Catalog Record")</f>
        <v>Catalog Record</v>
      </c>
      <c r="AW1115" s="6" t="str">
        <f>HYPERLINK("http://www.worldcat.org/oclc/71506492","WorldCat Record")</f>
        <v>WorldCat Record</v>
      </c>
      <c r="AX1115" s="3" t="s">
        <v>11023</v>
      </c>
      <c r="AY1115" s="3" t="s">
        <v>11024</v>
      </c>
      <c r="AZ1115" s="3" t="s">
        <v>11025</v>
      </c>
      <c r="BA1115" s="3" t="s">
        <v>11025</v>
      </c>
      <c r="BB1115" s="3" t="s">
        <v>11026</v>
      </c>
      <c r="BC1115" s="3" t="s">
        <v>142</v>
      </c>
      <c r="BD1115" s="3" t="s">
        <v>68</v>
      </c>
      <c r="BE1115" s="3" t="s">
        <v>11027</v>
      </c>
      <c r="BF1115" s="3" t="s">
        <v>11026</v>
      </c>
      <c r="BG1115" s="3" t="s">
        <v>11028</v>
      </c>
    </row>
    <row r="1116" spans="1:59" ht="57" x14ac:dyDescent="0.45">
      <c r="A1116" s="2" t="s">
        <v>59</v>
      </c>
      <c r="B1116" s="2" t="s">
        <v>60</v>
      </c>
      <c r="C1116" s="2" t="s">
        <v>11029</v>
      </c>
      <c r="D1116" s="2" t="s">
        <v>11030</v>
      </c>
      <c r="E1116" s="2" t="s">
        <v>11031</v>
      </c>
      <c r="G1116" s="3" t="s">
        <v>62</v>
      </c>
      <c r="I1116" s="3" t="s">
        <v>62</v>
      </c>
      <c r="J1116" s="3" t="s">
        <v>62</v>
      </c>
      <c r="K1116" s="3" t="s">
        <v>63</v>
      </c>
      <c r="L1116" s="2" t="s">
        <v>11032</v>
      </c>
      <c r="M1116" s="2" t="s">
        <v>2631</v>
      </c>
      <c r="N1116" s="3" t="s">
        <v>116</v>
      </c>
      <c r="P1116" s="3" t="s">
        <v>65</v>
      </c>
      <c r="Q1116" s="2" t="s">
        <v>11033</v>
      </c>
      <c r="R1116" s="3" t="s">
        <v>66</v>
      </c>
      <c r="S1116" s="4">
        <v>4</v>
      </c>
      <c r="T1116" s="4">
        <v>4</v>
      </c>
      <c r="U1116" s="5" t="s">
        <v>250</v>
      </c>
      <c r="V1116" s="5" t="s">
        <v>250</v>
      </c>
      <c r="W1116" s="5" t="s">
        <v>67</v>
      </c>
      <c r="X1116" s="5" t="s">
        <v>67</v>
      </c>
      <c r="Y1116" s="4">
        <v>119</v>
      </c>
      <c r="Z1116" s="4">
        <v>16</v>
      </c>
      <c r="AA1116" s="4">
        <v>79</v>
      </c>
      <c r="AB1116" s="4">
        <v>1</v>
      </c>
      <c r="AC1116" s="4">
        <v>14</v>
      </c>
      <c r="AD1116" s="4">
        <v>58</v>
      </c>
      <c r="AE1116" s="4">
        <v>111</v>
      </c>
      <c r="AF1116" s="4">
        <v>0</v>
      </c>
      <c r="AG1116" s="4">
        <v>8</v>
      </c>
      <c r="AH1116" s="4">
        <v>54</v>
      </c>
      <c r="AI1116" s="4">
        <v>80</v>
      </c>
      <c r="AJ1116" s="4">
        <v>11</v>
      </c>
      <c r="AK1116" s="4">
        <v>22</v>
      </c>
      <c r="AL1116" s="4">
        <v>30</v>
      </c>
      <c r="AM1116" s="4">
        <v>43</v>
      </c>
      <c r="AN1116" s="4">
        <v>0</v>
      </c>
      <c r="AO1116" s="4">
        <v>0</v>
      </c>
      <c r="AP1116" s="4">
        <v>12</v>
      </c>
      <c r="AQ1116" s="4">
        <v>41</v>
      </c>
      <c r="AR1116" s="3" t="s">
        <v>62</v>
      </c>
      <c r="AS1116" s="3" t="s">
        <v>62</v>
      </c>
      <c r="AT1116" s="3" t="s">
        <v>62</v>
      </c>
      <c r="AV1116" s="6" t="str">
        <f>HYPERLINK("http://mcgill.on.worldcat.org/oclc/793221676","Catalog Record")</f>
        <v>Catalog Record</v>
      </c>
      <c r="AW1116" s="6" t="str">
        <f>HYPERLINK("http://www.worldcat.org/oclc/793221676","WorldCat Record")</f>
        <v>WorldCat Record</v>
      </c>
      <c r="AX1116" s="3" t="s">
        <v>11034</v>
      </c>
      <c r="AY1116" s="3" t="s">
        <v>11035</v>
      </c>
      <c r="AZ1116" s="3" t="s">
        <v>11036</v>
      </c>
      <c r="BA1116" s="3" t="s">
        <v>11036</v>
      </c>
      <c r="BB1116" s="3" t="s">
        <v>11037</v>
      </c>
      <c r="BC1116" s="3" t="s">
        <v>142</v>
      </c>
      <c r="BD1116" s="3" t="s">
        <v>68</v>
      </c>
      <c r="BE1116" s="3" t="s">
        <v>11038</v>
      </c>
      <c r="BF1116" s="3" t="s">
        <v>11037</v>
      </c>
      <c r="BG1116" s="3" t="s">
        <v>11039</v>
      </c>
    </row>
    <row r="1117" spans="1:59" ht="57" x14ac:dyDescent="0.45">
      <c r="A1117" s="2" t="s">
        <v>59</v>
      </c>
      <c r="B1117" s="2" t="s">
        <v>60</v>
      </c>
      <c r="C1117" s="2" t="s">
        <v>11040</v>
      </c>
      <c r="D1117" s="2" t="s">
        <v>11041</v>
      </c>
      <c r="E1117" s="2" t="s">
        <v>11042</v>
      </c>
      <c r="G1117" s="3" t="s">
        <v>62</v>
      </c>
      <c r="I1117" s="3" t="s">
        <v>62</v>
      </c>
      <c r="J1117" s="3" t="s">
        <v>62</v>
      </c>
      <c r="K1117" s="3" t="s">
        <v>63</v>
      </c>
      <c r="L1117" s="2" t="s">
        <v>11043</v>
      </c>
      <c r="M1117" s="2" t="s">
        <v>11044</v>
      </c>
      <c r="N1117" s="3" t="s">
        <v>149</v>
      </c>
      <c r="P1117" s="3" t="s">
        <v>65</v>
      </c>
      <c r="R1117" s="3" t="s">
        <v>66</v>
      </c>
      <c r="S1117" s="4">
        <v>0</v>
      </c>
      <c r="T1117" s="4">
        <v>0</v>
      </c>
      <c r="W1117" s="5" t="s">
        <v>67</v>
      </c>
      <c r="X1117" s="5" t="s">
        <v>67</v>
      </c>
      <c r="Y1117" s="4">
        <v>141</v>
      </c>
      <c r="Z1117" s="4">
        <v>15</v>
      </c>
      <c r="AA1117" s="4">
        <v>33</v>
      </c>
      <c r="AB1117" s="4">
        <v>1</v>
      </c>
      <c r="AC1117" s="4">
        <v>5</v>
      </c>
      <c r="AD1117" s="4">
        <v>76</v>
      </c>
      <c r="AE1117" s="4">
        <v>106</v>
      </c>
      <c r="AF1117" s="4">
        <v>0</v>
      </c>
      <c r="AG1117" s="4">
        <v>1</v>
      </c>
      <c r="AH1117" s="4">
        <v>72</v>
      </c>
      <c r="AI1117" s="4">
        <v>94</v>
      </c>
      <c r="AJ1117" s="4">
        <v>12</v>
      </c>
      <c r="AK1117" s="4">
        <v>16</v>
      </c>
      <c r="AL1117" s="4">
        <v>39</v>
      </c>
      <c r="AM1117" s="4">
        <v>50</v>
      </c>
      <c r="AN1117" s="4">
        <v>0</v>
      </c>
      <c r="AO1117" s="4">
        <v>0</v>
      </c>
      <c r="AP1117" s="4">
        <v>12</v>
      </c>
      <c r="AQ1117" s="4">
        <v>22</v>
      </c>
      <c r="AR1117" s="3" t="s">
        <v>62</v>
      </c>
      <c r="AS1117" s="3" t="s">
        <v>62</v>
      </c>
      <c r="AT1117" s="3" t="s">
        <v>62</v>
      </c>
      <c r="AV1117" s="6" t="str">
        <f>HYPERLINK("http://mcgill.on.worldcat.org/oclc/467927393","Catalog Record")</f>
        <v>Catalog Record</v>
      </c>
      <c r="AW1117" s="6" t="str">
        <f>HYPERLINK("http://www.worldcat.org/oclc/467927393","WorldCat Record")</f>
        <v>WorldCat Record</v>
      </c>
      <c r="AX1117" s="3" t="s">
        <v>11045</v>
      </c>
      <c r="AY1117" s="3" t="s">
        <v>11046</v>
      </c>
      <c r="AZ1117" s="3" t="s">
        <v>11047</v>
      </c>
      <c r="BA1117" s="3" t="s">
        <v>11047</v>
      </c>
      <c r="BB1117" s="3" t="s">
        <v>11048</v>
      </c>
      <c r="BC1117" s="3" t="s">
        <v>142</v>
      </c>
      <c r="BD1117" s="3" t="s">
        <v>68</v>
      </c>
      <c r="BE1117" s="3" t="s">
        <v>11049</v>
      </c>
      <c r="BF1117" s="3" t="s">
        <v>11048</v>
      </c>
      <c r="BG1117" s="3" t="s">
        <v>11050</v>
      </c>
    </row>
    <row r="1118" spans="1:59" ht="85.5" x14ac:dyDescent="0.45">
      <c r="A1118" s="2" t="s">
        <v>59</v>
      </c>
      <c r="B1118" s="2" t="s">
        <v>60</v>
      </c>
      <c r="C1118" s="2" t="s">
        <v>11051</v>
      </c>
      <c r="D1118" s="2" t="s">
        <v>11052</v>
      </c>
      <c r="E1118" s="2" t="s">
        <v>11053</v>
      </c>
      <c r="G1118" s="3" t="s">
        <v>62</v>
      </c>
      <c r="I1118" s="3" t="s">
        <v>62</v>
      </c>
      <c r="J1118" s="3" t="s">
        <v>62</v>
      </c>
      <c r="K1118" s="3" t="s">
        <v>63</v>
      </c>
      <c r="M1118" s="2" t="s">
        <v>11054</v>
      </c>
      <c r="N1118" s="3" t="s">
        <v>5180</v>
      </c>
      <c r="P1118" s="3" t="s">
        <v>182</v>
      </c>
      <c r="Q1118" s="2" t="s">
        <v>11055</v>
      </c>
      <c r="R1118" s="3" t="s">
        <v>66</v>
      </c>
      <c r="S1118" s="4">
        <v>0</v>
      </c>
      <c r="T1118" s="4">
        <v>0</v>
      </c>
      <c r="W1118" s="5" t="s">
        <v>67</v>
      </c>
      <c r="X1118" s="5" t="s">
        <v>67</v>
      </c>
      <c r="Y1118" s="4">
        <v>18</v>
      </c>
      <c r="Z1118" s="4">
        <v>2</v>
      </c>
      <c r="AA1118" s="4">
        <v>2</v>
      </c>
      <c r="AB1118" s="4">
        <v>1</v>
      </c>
      <c r="AC1118" s="4">
        <v>1</v>
      </c>
      <c r="AD1118" s="4">
        <v>10</v>
      </c>
      <c r="AE1118" s="4">
        <v>10</v>
      </c>
      <c r="AF1118" s="4">
        <v>0</v>
      </c>
      <c r="AG1118" s="4">
        <v>0</v>
      </c>
      <c r="AH1118" s="4">
        <v>10</v>
      </c>
      <c r="AI1118" s="4">
        <v>10</v>
      </c>
      <c r="AJ1118" s="4">
        <v>1</v>
      </c>
      <c r="AK1118" s="4">
        <v>1</v>
      </c>
      <c r="AL1118" s="4">
        <v>8</v>
      </c>
      <c r="AM1118" s="4">
        <v>8</v>
      </c>
      <c r="AN1118" s="4">
        <v>0</v>
      </c>
      <c r="AO1118" s="4">
        <v>0</v>
      </c>
      <c r="AP1118" s="4">
        <v>1</v>
      </c>
      <c r="AQ1118" s="4">
        <v>1</v>
      </c>
      <c r="AR1118" s="3" t="s">
        <v>62</v>
      </c>
      <c r="AS1118" s="3" t="s">
        <v>62</v>
      </c>
      <c r="AT1118" s="3" t="s">
        <v>62</v>
      </c>
      <c r="AV1118" s="6" t="str">
        <f>HYPERLINK("http://mcgill.on.worldcat.org/oclc/1056198276","Catalog Record")</f>
        <v>Catalog Record</v>
      </c>
      <c r="AW1118" s="6" t="str">
        <f>HYPERLINK("http://www.worldcat.org/oclc/1056198276","WorldCat Record")</f>
        <v>WorldCat Record</v>
      </c>
      <c r="AX1118" s="3" t="s">
        <v>11056</v>
      </c>
      <c r="AY1118" s="3" t="s">
        <v>11057</v>
      </c>
      <c r="AZ1118" s="3" t="s">
        <v>11058</v>
      </c>
      <c r="BA1118" s="3" t="s">
        <v>11058</v>
      </c>
      <c r="BB1118" s="3" t="s">
        <v>11059</v>
      </c>
      <c r="BC1118" s="3" t="s">
        <v>142</v>
      </c>
      <c r="BD1118" s="3" t="s">
        <v>68</v>
      </c>
      <c r="BE1118" s="3" t="s">
        <v>11060</v>
      </c>
      <c r="BF1118" s="3" t="s">
        <v>11059</v>
      </c>
      <c r="BG1118" s="3" t="s">
        <v>11061</v>
      </c>
    </row>
    <row r="1119" spans="1:59" ht="99.75" x14ac:dyDescent="0.45">
      <c r="A1119" s="2" t="s">
        <v>59</v>
      </c>
      <c r="B1119" s="2" t="s">
        <v>60</v>
      </c>
      <c r="C1119" s="2" t="s">
        <v>11062</v>
      </c>
      <c r="D1119" s="2" t="s">
        <v>11063</v>
      </c>
      <c r="E1119" s="2" t="s">
        <v>11064</v>
      </c>
      <c r="G1119" s="3" t="s">
        <v>62</v>
      </c>
      <c r="I1119" s="3" t="s">
        <v>62</v>
      </c>
      <c r="J1119" s="3" t="s">
        <v>62</v>
      </c>
      <c r="K1119" s="3" t="s">
        <v>63</v>
      </c>
      <c r="L1119" s="2" t="s">
        <v>11065</v>
      </c>
      <c r="M1119" s="2" t="s">
        <v>11066</v>
      </c>
      <c r="N1119" s="3" t="s">
        <v>918</v>
      </c>
      <c r="P1119" s="3" t="s">
        <v>182</v>
      </c>
      <c r="Q1119" s="2" t="s">
        <v>11067</v>
      </c>
      <c r="R1119" s="3" t="s">
        <v>66</v>
      </c>
      <c r="S1119" s="4">
        <v>1</v>
      </c>
      <c r="T1119" s="4">
        <v>1</v>
      </c>
      <c r="U1119" s="5" t="s">
        <v>2342</v>
      </c>
      <c r="V1119" s="5" t="s">
        <v>2342</v>
      </c>
      <c r="W1119" s="5" t="s">
        <v>67</v>
      </c>
      <c r="X1119" s="5" t="s">
        <v>67</v>
      </c>
      <c r="Y1119" s="4">
        <v>56</v>
      </c>
      <c r="Z1119" s="4">
        <v>4</v>
      </c>
      <c r="AA1119" s="4">
        <v>5</v>
      </c>
      <c r="AB1119" s="4">
        <v>1</v>
      </c>
      <c r="AC1119" s="4">
        <v>1</v>
      </c>
      <c r="AD1119" s="4">
        <v>28</v>
      </c>
      <c r="AE1119" s="4">
        <v>31</v>
      </c>
      <c r="AF1119" s="4">
        <v>0</v>
      </c>
      <c r="AG1119" s="4">
        <v>0</v>
      </c>
      <c r="AH1119" s="4">
        <v>27</v>
      </c>
      <c r="AI1119" s="4">
        <v>30</v>
      </c>
      <c r="AJ1119" s="4">
        <v>2</v>
      </c>
      <c r="AK1119" s="4">
        <v>3</v>
      </c>
      <c r="AL1119" s="4">
        <v>22</v>
      </c>
      <c r="AM1119" s="4">
        <v>23</v>
      </c>
      <c r="AN1119" s="4">
        <v>0</v>
      </c>
      <c r="AO1119" s="4">
        <v>0</v>
      </c>
      <c r="AP1119" s="4">
        <v>2</v>
      </c>
      <c r="AQ1119" s="4">
        <v>3</v>
      </c>
      <c r="AR1119" s="3" t="s">
        <v>62</v>
      </c>
      <c r="AS1119" s="3" t="s">
        <v>62</v>
      </c>
      <c r="AT1119" s="3" t="s">
        <v>61</v>
      </c>
      <c r="AU1119" s="6" t="str">
        <f>HYPERLINK("http://catalog.hathitrust.org/Record/004725180","HathiTrust Record")</f>
        <v>HathiTrust Record</v>
      </c>
      <c r="AV1119" s="6" t="str">
        <f>HYPERLINK("http://mcgill.on.worldcat.org/oclc/54785718","Catalog Record")</f>
        <v>Catalog Record</v>
      </c>
      <c r="AW1119" s="6" t="str">
        <f>HYPERLINK("http://www.worldcat.org/oclc/54785718","WorldCat Record")</f>
        <v>WorldCat Record</v>
      </c>
      <c r="AX1119" s="3" t="s">
        <v>11068</v>
      </c>
      <c r="AY1119" s="3" t="s">
        <v>11069</v>
      </c>
      <c r="AZ1119" s="3" t="s">
        <v>11070</v>
      </c>
      <c r="BA1119" s="3" t="s">
        <v>11070</v>
      </c>
      <c r="BB1119" s="3" t="s">
        <v>11071</v>
      </c>
      <c r="BC1119" s="3" t="s">
        <v>142</v>
      </c>
      <c r="BD1119" s="3" t="s">
        <v>68</v>
      </c>
      <c r="BE1119" s="3" t="s">
        <v>11072</v>
      </c>
      <c r="BF1119" s="3" t="s">
        <v>11071</v>
      </c>
      <c r="BG1119" s="3" t="s">
        <v>11073</v>
      </c>
    </row>
    <row r="1120" spans="1:59" ht="85.5" x14ac:dyDescent="0.45">
      <c r="A1120" s="2" t="s">
        <v>59</v>
      </c>
      <c r="B1120" s="2" t="s">
        <v>60</v>
      </c>
      <c r="C1120" s="2" t="s">
        <v>11074</v>
      </c>
      <c r="D1120" s="2" t="s">
        <v>11075</v>
      </c>
      <c r="E1120" s="2" t="s">
        <v>11076</v>
      </c>
      <c r="F1120" s="3" t="s">
        <v>87</v>
      </c>
      <c r="G1120" s="3" t="s">
        <v>61</v>
      </c>
      <c r="I1120" s="3" t="s">
        <v>62</v>
      </c>
      <c r="J1120" s="3" t="s">
        <v>62</v>
      </c>
      <c r="K1120" s="3" t="s">
        <v>63</v>
      </c>
      <c r="L1120" s="2" t="s">
        <v>11077</v>
      </c>
      <c r="M1120" s="2" t="s">
        <v>11078</v>
      </c>
      <c r="N1120" s="3" t="s">
        <v>1155</v>
      </c>
      <c r="P1120" s="3" t="s">
        <v>182</v>
      </c>
      <c r="Q1120" s="2" t="s">
        <v>11079</v>
      </c>
      <c r="R1120" s="3" t="s">
        <v>66</v>
      </c>
      <c r="S1120" s="4">
        <v>1</v>
      </c>
      <c r="T1120" s="4">
        <v>2</v>
      </c>
      <c r="U1120" s="5" t="s">
        <v>11080</v>
      </c>
      <c r="V1120" s="5" t="s">
        <v>11080</v>
      </c>
      <c r="W1120" s="5" t="s">
        <v>67</v>
      </c>
      <c r="X1120" s="5" t="s">
        <v>67</v>
      </c>
      <c r="Y1120" s="4">
        <v>41</v>
      </c>
      <c r="Z1120" s="4">
        <v>3</v>
      </c>
      <c r="AA1120" s="4">
        <v>3</v>
      </c>
      <c r="AB1120" s="4">
        <v>1</v>
      </c>
      <c r="AC1120" s="4">
        <v>1</v>
      </c>
      <c r="AD1120" s="4">
        <v>21</v>
      </c>
      <c r="AE1120" s="4">
        <v>21</v>
      </c>
      <c r="AF1120" s="4">
        <v>0</v>
      </c>
      <c r="AG1120" s="4">
        <v>0</v>
      </c>
      <c r="AH1120" s="4">
        <v>20</v>
      </c>
      <c r="AI1120" s="4">
        <v>20</v>
      </c>
      <c r="AJ1120" s="4">
        <v>1</v>
      </c>
      <c r="AK1120" s="4">
        <v>1</v>
      </c>
      <c r="AL1120" s="4">
        <v>17</v>
      </c>
      <c r="AM1120" s="4">
        <v>17</v>
      </c>
      <c r="AN1120" s="4">
        <v>0</v>
      </c>
      <c r="AO1120" s="4">
        <v>0</v>
      </c>
      <c r="AP1120" s="4">
        <v>1</v>
      </c>
      <c r="AQ1120" s="4">
        <v>1</v>
      </c>
      <c r="AR1120" s="3" t="s">
        <v>62</v>
      </c>
      <c r="AS1120" s="3" t="s">
        <v>62</v>
      </c>
      <c r="AT1120" s="3" t="s">
        <v>62</v>
      </c>
      <c r="AV1120" s="6" t="str">
        <f>HYPERLINK("http://mcgill.on.worldcat.org/oclc/829746809","Catalog Record")</f>
        <v>Catalog Record</v>
      </c>
      <c r="AW1120" s="6" t="str">
        <f>HYPERLINK("http://www.worldcat.org/oclc/829746809","WorldCat Record")</f>
        <v>WorldCat Record</v>
      </c>
      <c r="AX1120" s="3" t="s">
        <v>11081</v>
      </c>
      <c r="AY1120" s="3" t="s">
        <v>11082</v>
      </c>
      <c r="AZ1120" s="3" t="s">
        <v>11083</v>
      </c>
      <c r="BA1120" s="3" t="s">
        <v>11083</v>
      </c>
      <c r="BB1120" s="3" t="s">
        <v>11084</v>
      </c>
      <c r="BC1120" s="3" t="s">
        <v>142</v>
      </c>
      <c r="BD1120" s="3" t="s">
        <v>68</v>
      </c>
      <c r="BE1120" s="3" t="s">
        <v>11085</v>
      </c>
      <c r="BF1120" s="3" t="s">
        <v>11084</v>
      </c>
      <c r="BG1120" s="3" t="s">
        <v>11086</v>
      </c>
    </row>
    <row r="1121" spans="1:59" ht="85.5" x14ac:dyDescent="0.45">
      <c r="A1121" s="2" t="s">
        <v>59</v>
      </c>
      <c r="B1121" s="2" t="s">
        <v>60</v>
      </c>
      <c r="C1121" s="2" t="s">
        <v>11074</v>
      </c>
      <c r="D1121" s="2" t="s">
        <v>11075</v>
      </c>
      <c r="E1121" s="2" t="s">
        <v>11076</v>
      </c>
      <c r="F1121" s="3" t="s">
        <v>90</v>
      </c>
      <c r="G1121" s="3" t="s">
        <v>61</v>
      </c>
      <c r="I1121" s="3" t="s">
        <v>62</v>
      </c>
      <c r="J1121" s="3" t="s">
        <v>62</v>
      </c>
      <c r="K1121" s="3" t="s">
        <v>63</v>
      </c>
      <c r="L1121" s="2" t="s">
        <v>11077</v>
      </c>
      <c r="M1121" s="2" t="s">
        <v>11078</v>
      </c>
      <c r="N1121" s="3" t="s">
        <v>1155</v>
      </c>
      <c r="P1121" s="3" t="s">
        <v>182</v>
      </c>
      <c r="Q1121" s="2" t="s">
        <v>11079</v>
      </c>
      <c r="R1121" s="3" t="s">
        <v>66</v>
      </c>
      <c r="S1121" s="4">
        <v>1</v>
      </c>
      <c r="T1121" s="4">
        <v>2</v>
      </c>
      <c r="U1121" s="5" t="s">
        <v>11080</v>
      </c>
      <c r="V1121" s="5" t="s">
        <v>11080</v>
      </c>
      <c r="W1121" s="5" t="s">
        <v>67</v>
      </c>
      <c r="X1121" s="5" t="s">
        <v>67</v>
      </c>
      <c r="Y1121" s="4">
        <v>41</v>
      </c>
      <c r="Z1121" s="4">
        <v>3</v>
      </c>
      <c r="AA1121" s="4">
        <v>3</v>
      </c>
      <c r="AB1121" s="4">
        <v>1</v>
      </c>
      <c r="AC1121" s="4">
        <v>1</v>
      </c>
      <c r="AD1121" s="4">
        <v>21</v>
      </c>
      <c r="AE1121" s="4">
        <v>21</v>
      </c>
      <c r="AF1121" s="4">
        <v>0</v>
      </c>
      <c r="AG1121" s="4">
        <v>0</v>
      </c>
      <c r="AH1121" s="4">
        <v>20</v>
      </c>
      <c r="AI1121" s="4">
        <v>20</v>
      </c>
      <c r="AJ1121" s="4">
        <v>1</v>
      </c>
      <c r="AK1121" s="4">
        <v>1</v>
      </c>
      <c r="AL1121" s="4">
        <v>17</v>
      </c>
      <c r="AM1121" s="4">
        <v>17</v>
      </c>
      <c r="AN1121" s="4">
        <v>0</v>
      </c>
      <c r="AO1121" s="4">
        <v>0</v>
      </c>
      <c r="AP1121" s="4">
        <v>1</v>
      </c>
      <c r="AQ1121" s="4">
        <v>1</v>
      </c>
      <c r="AR1121" s="3" t="s">
        <v>62</v>
      </c>
      <c r="AS1121" s="3" t="s">
        <v>62</v>
      </c>
      <c r="AT1121" s="3" t="s">
        <v>62</v>
      </c>
      <c r="AV1121" s="6" t="str">
        <f>HYPERLINK("http://mcgill.on.worldcat.org/oclc/829746809","Catalog Record")</f>
        <v>Catalog Record</v>
      </c>
      <c r="AW1121" s="6" t="str">
        <f>HYPERLINK("http://www.worldcat.org/oclc/829746809","WorldCat Record")</f>
        <v>WorldCat Record</v>
      </c>
      <c r="AX1121" s="3" t="s">
        <v>11081</v>
      </c>
      <c r="AY1121" s="3" t="s">
        <v>11082</v>
      </c>
      <c r="AZ1121" s="3" t="s">
        <v>11083</v>
      </c>
      <c r="BA1121" s="3" t="s">
        <v>11083</v>
      </c>
      <c r="BB1121" s="3" t="s">
        <v>11087</v>
      </c>
      <c r="BC1121" s="3" t="s">
        <v>142</v>
      </c>
      <c r="BD1121" s="3" t="s">
        <v>68</v>
      </c>
      <c r="BE1121" s="3" t="s">
        <v>11085</v>
      </c>
      <c r="BF1121" s="3" t="s">
        <v>11087</v>
      </c>
      <c r="BG1121" s="3" t="s">
        <v>11088</v>
      </c>
    </row>
    <row r="1122" spans="1:59" ht="57" x14ac:dyDescent="0.45">
      <c r="A1122" s="2" t="s">
        <v>59</v>
      </c>
      <c r="B1122" s="2" t="s">
        <v>60</v>
      </c>
      <c r="C1122" s="2" t="s">
        <v>11089</v>
      </c>
      <c r="D1122" s="2" t="s">
        <v>11090</v>
      </c>
      <c r="E1122" s="2" t="s">
        <v>11091</v>
      </c>
      <c r="G1122" s="3" t="s">
        <v>62</v>
      </c>
      <c r="I1122" s="3" t="s">
        <v>62</v>
      </c>
      <c r="J1122" s="3" t="s">
        <v>62</v>
      </c>
      <c r="K1122" s="3" t="s">
        <v>63</v>
      </c>
      <c r="L1122" s="2" t="s">
        <v>11092</v>
      </c>
      <c r="M1122" s="2" t="s">
        <v>11093</v>
      </c>
      <c r="N1122" s="3" t="s">
        <v>195</v>
      </c>
      <c r="P1122" s="3" t="s">
        <v>65</v>
      </c>
      <c r="Q1122" s="2" t="s">
        <v>11094</v>
      </c>
      <c r="R1122" s="3" t="s">
        <v>66</v>
      </c>
      <c r="S1122" s="4">
        <v>4</v>
      </c>
      <c r="T1122" s="4">
        <v>4</v>
      </c>
      <c r="U1122" s="5" t="s">
        <v>11095</v>
      </c>
      <c r="V1122" s="5" t="s">
        <v>11095</v>
      </c>
      <c r="W1122" s="5" t="s">
        <v>67</v>
      </c>
      <c r="X1122" s="5" t="s">
        <v>67</v>
      </c>
      <c r="Y1122" s="4">
        <v>8</v>
      </c>
      <c r="Z1122" s="4">
        <v>1</v>
      </c>
      <c r="AA1122" s="4">
        <v>91</v>
      </c>
      <c r="AB1122" s="4">
        <v>1</v>
      </c>
      <c r="AC1122" s="4">
        <v>17</v>
      </c>
      <c r="AD1122" s="4">
        <v>2</v>
      </c>
      <c r="AE1122" s="4">
        <v>119</v>
      </c>
      <c r="AF1122" s="4">
        <v>0</v>
      </c>
      <c r="AG1122" s="4">
        <v>8</v>
      </c>
      <c r="AH1122" s="4">
        <v>2</v>
      </c>
      <c r="AI1122" s="4">
        <v>86</v>
      </c>
      <c r="AJ1122" s="4">
        <v>0</v>
      </c>
      <c r="AK1122" s="4">
        <v>19</v>
      </c>
      <c r="AL1122" s="4">
        <v>2</v>
      </c>
      <c r="AM1122" s="4">
        <v>47</v>
      </c>
      <c r="AN1122" s="4">
        <v>0</v>
      </c>
      <c r="AO1122" s="4">
        <v>0</v>
      </c>
      <c r="AP1122" s="4">
        <v>0</v>
      </c>
      <c r="AQ1122" s="4">
        <v>40</v>
      </c>
      <c r="AR1122" s="3" t="s">
        <v>62</v>
      </c>
      <c r="AS1122" s="3" t="s">
        <v>62</v>
      </c>
      <c r="AT1122" s="3" t="s">
        <v>61</v>
      </c>
      <c r="AU1122" s="6" t="str">
        <f>HYPERLINK("http://catalog.hathitrust.org/Record/003328295","HathiTrust Record")</f>
        <v>HathiTrust Record</v>
      </c>
      <c r="AV1122" s="6" t="str">
        <f>HYPERLINK("http://mcgill.on.worldcat.org/oclc/60228959","Catalog Record")</f>
        <v>Catalog Record</v>
      </c>
      <c r="AW1122" s="6" t="str">
        <f>HYPERLINK("http://www.worldcat.org/oclc/60228959","WorldCat Record")</f>
        <v>WorldCat Record</v>
      </c>
      <c r="AX1122" s="3" t="s">
        <v>11096</v>
      </c>
      <c r="AY1122" s="3" t="s">
        <v>11097</v>
      </c>
      <c r="AZ1122" s="3" t="s">
        <v>11098</v>
      </c>
      <c r="BA1122" s="3" t="s">
        <v>11098</v>
      </c>
      <c r="BB1122" s="3" t="s">
        <v>11099</v>
      </c>
      <c r="BC1122" s="3" t="s">
        <v>142</v>
      </c>
      <c r="BD1122" s="3" t="s">
        <v>68</v>
      </c>
      <c r="BE1122" s="3" t="s">
        <v>11100</v>
      </c>
      <c r="BF1122" s="3" t="s">
        <v>11099</v>
      </c>
      <c r="BG1122" s="3" t="s">
        <v>11101</v>
      </c>
    </row>
    <row r="1123" spans="1:59" ht="57" x14ac:dyDescent="0.45">
      <c r="A1123" s="2" t="s">
        <v>59</v>
      </c>
      <c r="B1123" s="2" t="s">
        <v>60</v>
      </c>
      <c r="C1123" s="2" t="s">
        <v>11102</v>
      </c>
      <c r="D1123" s="2" t="s">
        <v>11103</v>
      </c>
      <c r="E1123" s="2" t="s">
        <v>11104</v>
      </c>
      <c r="G1123" s="3" t="s">
        <v>62</v>
      </c>
      <c r="I1123" s="3" t="s">
        <v>62</v>
      </c>
      <c r="J1123" s="3" t="s">
        <v>62</v>
      </c>
      <c r="K1123" s="3" t="s">
        <v>63</v>
      </c>
      <c r="L1123" s="2" t="s">
        <v>11105</v>
      </c>
      <c r="M1123" s="2" t="s">
        <v>11106</v>
      </c>
      <c r="N1123" s="3" t="s">
        <v>149</v>
      </c>
      <c r="P1123" s="3" t="s">
        <v>110</v>
      </c>
      <c r="Q1123" s="2" t="s">
        <v>11107</v>
      </c>
      <c r="R1123" s="3" t="s">
        <v>66</v>
      </c>
      <c r="S1123" s="4">
        <v>3</v>
      </c>
      <c r="T1123" s="4">
        <v>3</v>
      </c>
      <c r="U1123" s="5" t="s">
        <v>11108</v>
      </c>
      <c r="V1123" s="5" t="s">
        <v>11108</v>
      </c>
      <c r="W1123" s="5" t="s">
        <v>67</v>
      </c>
      <c r="X1123" s="5" t="s">
        <v>67</v>
      </c>
      <c r="Y1123" s="4">
        <v>16</v>
      </c>
      <c r="Z1123" s="4">
        <v>4</v>
      </c>
      <c r="AA1123" s="4">
        <v>8</v>
      </c>
      <c r="AB1123" s="4">
        <v>1</v>
      </c>
      <c r="AC1123" s="4">
        <v>4</v>
      </c>
      <c r="AD1123" s="4">
        <v>10</v>
      </c>
      <c r="AE1123" s="4">
        <v>13</v>
      </c>
      <c r="AF1123" s="4">
        <v>0</v>
      </c>
      <c r="AG1123" s="4">
        <v>2</v>
      </c>
      <c r="AH1123" s="4">
        <v>8</v>
      </c>
      <c r="AI1123" s="4">
        <v>9</v>
      </c>
      <c r="AJ1123" s="4">
        <v>2</v>
      </c>
      <c r="AK1123" s="4">
        <v>5</v>
      </c>
      <c r="AL1123" s="4">
        <v>7</v>
      </c>
      <c r="AM1123" s="4">
        <v>7</v>
      </c>
      <c r="AN1123" s="4">
        <v>0</v>
      </c>
      <c r="AO1123" s="4">
        <v>0</v>
      </c>
      <c r="AP1123" s="4">
        <v>3</v>
      </c>
      <c r="AQ1123" s="4">
        <v>6</v>
      </c>
      <c r="AR1123" s="3" t="s">
        <v>62</v>
      </c>
      <c r="AS1123" s="3" t="s">
        <v>62</v>
      </c>
      <c r="AT1123" s="3" t="s">
        <v>62</v>
      </c>
      <c r="AV1123" s="6" t="str">
        <f>HYPERLINK("http://mcgill.on.worldcat.org/oclc/670472091","Catalog Record")</f>
        <v>Catalog Record</v>
      </c>
      <c r="AW1123" s="6" t="str">
        <f>HYPERLINK("http://www.worldcat.org/oclc/670472091","WorldCat Record")</f>
        <v>WorldCat Record</v>
      </c>
      <c r="AX1123" s="3" t="s">
        <v>11109</v>
      </c>
      <c r="AY1123" s="3" t="s">
        <v>11110</v>
      </c>
      <c r="AZ1123" s="3" t="s">
        <v>11111</v>
      </c>
      <c r="BA1123" s="3" t="s">
        <v>11111</v>
      </c>
      <c r="BB1123" s="3" t="s">
        <v>11112</v>
      </c>
      <c r="BC1123" s="3" t="s">
        <v>142</v>
      </c>
      <c r="BD1123" s="3" t="s">
        <v>308</v>
      </c>
      <c r="BE1123" s="3" t="s">
        <v>11113</v>
      </c>
      <c r="BF1123" s="3" t="s">
        <v>11112</v>
      </c>
      <c r="BG1123" s="3" t="s">
        <v>11114</v>
      </c>
    </row>
    <row r="1124" spans="1:59" ht="57" x14ac:dyDescent="0.45">
      <c r="A1124" s="2" t="s">
        <v>59</v>
      </c>
      <c r="B1124" s="2" t="s">
        <v>60</v>
      </c>
      <c r="C1124" s="2" t="s">
        <v>11115</v>
      </c>
      <c r="D1124" s="2" t="s">
        <v>11116</v>
      </c>
      <c r="E1124" s="2" t="s">
        <v>11117</v>
      </c>
      <c r="G1124" s="3" t="s">
        <v>62</v>
      </c>
      <c r="I1124" s="3" t="s">
        <v>62</v>
      </c>
      <c r="J1124" s="3" t="s">
        <v>62</v>
      </c>
      <c r="K1124" s="3" t="s">
        <v>63</v>
      </c>
      <c r="L1124" s="2" t="s">
        <v>11118</v>
      </c>
      <c r="M1124" s="2" t="s">
        <v>11119</v>
      </c>
      <c r="N1124" s="3" t="s">
        <v>1155</v>
      </c>
      <c r="O1124" s="2" t="s">
        <v>168</v>
      </c>
      <c r="P1124" s="3" t="s">
        <v>65</v>
      </c>
      <c r="R1124" s="3" t="s">
        <v>66</v>
      </c>
      <c r="S1124" s="4">
        <v>0</v>
      </c>
      <c r="T1124" s="4">
        <v>0</v>
      </c>
      <c r="W1124" s="5" t="s">
        <v>67</v>
      </c>
      <c r="X1124" s="5" t="s">
        <v>67</v>
      </c>
      <c r="Y1124" s="4">
        <v>241</v>
      </c>
      <c r="Z1124" s="4">
        <v>24</v>
      </c>
      <c r="AA1124" s="4">
        <v>109</v>
      </c>
      <c r="AB1124" s="4">
        <v>2</v>
      </c>
      <c r="AC1124" s="4">
        <v>15</v>
      </c>
      <c r="AD1124" s="4">
        <v>77</v>
      </c>
      <c r="AE1124" s="4">
        <v>131</v>
      </c>
      <c r="AF1124" s="4">
        <v>1</v>
      </c>
      <c r="AG1124" s="4">
        <v>8</v>
      </c>
      <c r="AH1124" s="4">
        <v>67</v>
      </c>
      <c r="AI1124" s="4">
        <v>91</v>
      </c>
      <c r="AJ1124" s="4">
        <v>16</v>
      </c>
      <c r="AK1124" s="4">
        <v>25</v>
      </c>
      <c r="AL1124" s="4">
        <v>36</v>
      </c>
      <c r="AM1124" s="4">
        <v>44</v>
      </c>
      <c r="AN1124" s="4">
        <v>0</v>
      </c>
      <c r="AO1124" s="4">
        <v>0</v>
      </c>
      <c r="AP1124" s="4">
        <v>19</v>
      </c>
      <c r="AQ1124" s="4">
        <v>49</v>
      </c>
      <c r="AR1124" s="3" t="s">
        <v>62</v>
      </c>
      <c r="AS1124" s="3" t="s">
        <v>62</v>
      </c>
      <c r="AT1124" s="3" t="s">
        <v>62</v>
      </c>
      <c r="AV1124" s="6" t="str">
        <f>HYPERLINK("http://mcgill.on.worldcat.org/oclc/741540914","Catalog Record")</f>
        <v>Catalog Record</v>
      </c>
      <c r="AW1124" s="6" t="str">
        <f>HYPERLINK("http://www.worldcat.org/oclc/741540914","WorldCat Record")</f>
        <v>WorldCat Record</v>
      </c>
      <c r="AX1124" s="3" t="s">
        <v>11120</v>
      </c>
      <c r="AY1124" s="3" t="s">
        <v>11121</v>
      </c>
      <c r="AZ1124" s="3" t="s">
        <v>11122</v>
      </c>
      <c r="BA1124" s="3" t="s">
        <v>11122</v>
      </c>
      <c r="BB1124" s="3" t="s">
        <v>11123</v>
      </c>
      <c r="BC1124" s="3" t="s">
        <v>142</v>
      </c>
      <c r="BD1124" s="3" t="s">
        <v>68</v>
      </c>
      <c r="BE1124" s="3" t="s">
        <v>11124</v>
      </c>
      <c r="BF1124" s="3" t="s">
        <v>11123</v>
      </c>
      <c r="BG1124" s="3" t="s">
        <v>11125</v>
      </c>
    </row>
    <row r="1125" spans="1:59" ht="57" x14ac:dyDescent="0.45">
      <c r="A1125" s="2" t="s">
        <v>59</v>
      </c>
      <c r="B1125" s="2" t="s">
        <v>60</v>
      </c>
      <c r="C1125" s="2" t="s">
        <v>11126</v>
      </c>
      <c r="D1125" s="2" t="s">
        <v>11127</v>
      </c>
      <c r="E1125" s="2" t="s">
        <v>11128</v>
      </c>
      <c r="G1125" s="3" t="s">
        <v>62</v>
      </c>
      <c r="I1125" s="3" t="s">
        <v>62</v>
      </c>
      <c r="J1125" s="3" t="s">
        <v>62</v>
      </c>
      <c r="K1125" s="3" t="s">
        <v>63</v>
      </c>
      <c r="M1125" s="2" t="s">
        <v>11129</v>
      </c>
      <c r="N1125" s="3" t="s">
        <v>1253</v>
      </c>
      <c r="P1125" s="3" t="s">
        <v>65</v>
      </c>
      <c r="R1125" s="3" t="s">
        <v>66</v>
      </c>
      <c r="S1125" s="4">
        <v>18</v>
      </c>
      <c r="T1125" s="4">
        <v>18</v>
      </c>
      <c r="U1125" s="5" t="s">
        <v>11130</v>
      </c>
      <c r="V1125" s="5" t="s">
        <v>11130</v>
      </c>
      <c r="W1125" s="5" t="s">
        <v>67</v>
      </c>
      <c r="X1125" s="5" t="s">
        <v>67</v>
      </c>
      <c r="Y1125" s="4">
        <v>116</v>
      </c>
      <c r="Z1125" s="4">
        <v>10</v>
      </c>
      <c r="AA1125" s="4">
        <v>88</v>
      </c>
      <c r="AB1125" s="4">
        <v>1</v>
      </c>
      <c r="AC1125" s="4">
        <v>17</v>
      </c>
      <c r="AD1125" s="4">
        <v>53</v>
      </c>
      <c r="AE1125" s="4">
        <v>107</v>
      </c>
      <c r="AF1125" s="4">
        <v>0</v>
      </c>
      <c r="AG1125" s="4">
        <v>8</v>
      </c>
      <c r="AH1125" s="4">
        <v>51</v>
      </c>
      <c r="AI1125" s="4">
        <v>75</v>
      </c>
      <c r="AJ1125" s="4">
        <v>7</v>
      </c>
      <c r="AK1125" s="4">
        <v>20</v>
      </c>
      <c r="AL1125" s="4">
        <v>30</v>
      </c>
      <c r="AM1125" s="4">
        <v>37</v>
      </c>
      <c r="AN1125" s="4">
        <v>0</v>
      </c>
      <c r="AO1125" s="4">
        <v>0</v>
      </c>
      <c r="AP1125" s="4">
        <v>7</v>
      </c>
      <c r="AQ1125" s="4">
        <v>41</v>
      </c>
      <c r="AR1125" s="3" t="s">
        <v>62</v>
      </c>
      <c r="AS1125" s="3" t="s">
        <v>62</v>
      </c>
      <c r="AT1125" s="3" t="s">
        <v>61</v>
      </c>
      <c r="AU1125" s="6" t="str">
        <f>HYPERLINK("http://catalog.hathitrust.org/Record/003952011","HathiTrust Record")</f>
        <v>HathiTrust Record</v>
      </c>
      <c r="AV1125" s="6" t="str">
        <f>HYPERLINK("http://mcgill.on.worldcat.org/oclc/37835919","Catalog Record")</f>
        <v>Catalog Record</v>
      </c>
      <c r="AW1125" s="6" t="str">
        <f>HYPERLINK("http://www.worldcat.org/oclc/37835919","WorldCat Record")</f>
        <v>WorldCat Record</v>
      </c>
      <c r="AX1125" s="3" t="s">
        <v>11131</v>
      </c>
      <c r="AY1125" s="3" t="s">
        <v>11132</v>
      </c>
      <c r="AZ1125" s="3" t="s">
        <v>11133</v>
      </c>
      <c r="BA1125" s="3" t="s">
        <v>11133</v>
      </c>
      <c r="BB1125" s="3" t="s">
        <v>11134</v>
      </c>
      <c r="BC1125" s="3" t="s">
        <v>142</v>
      </c>
      <c r="BD1125" s="3" t="s">
        <v>68</v>
      </c>
      <c r="BE1125" s="3" t="s">
        <v>11135</v>
      </c>
      <c r="BF1125" s="3" t="s">
        <v>11134</v>
      </c>
      <c r="BG1125" s="3" t="s">
        <v>11136</v>
      </c>
    </row>
    <row r="1126" spans="1:59" ht="85.5" x14ac:dyDescent="0.45">
      <c r="A1126" s="2" t="s">
        <v>59</v>
      </c>
      <c r="B1126" s="2" t="s">
        <v>60</v>
      </c>
      <c r="C1126" s="2" t="s">
        <v>11137</v>
      </c>
      <c r="D1126" s="2" t="s">
        <v>11138</v>
      </c>
      <c r="E1126" s="2" t="s">
        <v>11139</v>
      </c>
      <c r="G1126" s="3" t="s">
        <v>62</v>
      </c>
      <c r="I1126" s="3" t="s">
        <v>62</v>
      </c>
      <c r="J1126" s="3" t="s">
        <v>62</v>
      </c>
      <c r="K1126" s="3" t="s">
        <v>63</v>
      </c>
      <c r="L1126" s="2" t="s">
        <v>6821</v>
      </c>
      <c r="M1126" s="2" t="s">
        <v>11140</v>
      </c>
      <c r="N1126" s="3" t="s">
        <v>149</v>
      </c>
      <c r="P1126" s="3" t="s">
        <v>110</v>
      </c>
      <c r="Q1126" s="2" t="s">
        <v>11141</v>
      </c>
      <c r="R1126" s="3" t="s">
        <v>66</v>
      </c>
      <c r="S1126" s="4">
        <v>0</v>
      </c>
      <c r="T1126" s="4">
        <v>0</v>
      </c>
      <c r="W1126" s="5" t="s">
        <v>67</v>
      </c>
      <c r="X1126" s="5" t="s">
        <v>67</v>
      </c>
      <c r="Y1126" s="4">
        <v>101</v>
      </c>
      <c r="Z1126" s="4">
        <v>11</v>
      </c>
      <c r="AA1126" s="4">
        <v>20</v>
      </c>
      <c r="AB1126" s="4">
        <v>1</v>
      </c>
      <c r="AC1126" s="4">
        <v>6</v>
      </c>
      <c r="AD1126" s="4">
        <v>60</v>
      </c>
      <c r="AE1126" s="4">
        <v>69</v>
      </c>
      <c r="AF1126" s="4">
        <v>0</v>
      </c>
      <c r="AG1126" s="4">
        <v>4</v>
      </c>
      <c r="AH1126" s="4">
        <v>57</v>
      </c>
      <c r="AI1126" s="4">
        <v>62</v>
      </c>
      <c r="AJ1126" s="4">
        <v>8</v>
      </c>
      <c r="AK1126" s="4">
        <v>15</v>
      </c>
      <c r="AL1126" s="4">
        <v>39</v>
      </c>
      <c r="AM1126" s="4">
        <v>40</v>
      </c>
      <c r="AN1126" s="4">
        <v>0</v>
      </c>
      <c r="AO1126" s="4">
        <v>0</v>
      </c>
      <c r="AP1126" s="4">
        <v>8</v>
      </c>
      <c r="AQ1126" s="4">
        <v>15</v>
      </c>
      <c r="AR1126" s="3" t="s">
        <v>62</v>
      </c>
      <c r="AS1126" s="3" t="s">
        <v>62</v>
      </c>
      <c r="AT1126" s="3" t="s">
        <v>62</v>
      </c>
      <c r="AV1126" s="6" t="str">
        <f>HYPERLINK("http://mcgill.on.worldcat.org/oclc/501381747","Catalog Record")</f>
        <v>Catalog Record</v>
      </c>
      <c r="AW1126" s="6" t="str">
        <f>HYPERLINK("http://www.worldcat.org/oclc/501381747","WorldCat Record")</f>
        <v>WorldCat Record</v>
      </c>
      <c r="AX1126" s="3" t="s">
        <v>11142</v>
      </c>
      <c r="AY1126" s="3" t="s">
        <v>11143</v>
      </c>
      <c r="AZ1126" s="3" t="s">
        <v>11144</v>
      </c>
      <c r="BA1126" s="3" t="s">
        <v>11144</v>
      </c>
      <c r="BB1126" s="3" t="s">
        <v>11145</v>
      </c>
      <c r="BC1126" s="3" t="s">
        <v>142</v>
      </c>
      <c r="BD1126" s="3" t="s">
        <v>68</v>
      </c>
      <c r="BE1126" s="3" t="s">
        <v>11146</v>
      </c>
      <c r="BF1126" s="3" t="s">
        <v>11145</v>
      </c>
      <c r="BG1126" s="3" t="s">
        <v>11147</v>
      </c>
    </row>
    <row r="1127" spans="1:59" ht="57" x14ac:dyDescent="0.45">
      <c r="A1127" s="2" t="s">
        <v>59</v>
      </c>
      <c r="B1127" s="2" t="s">
        <v>60</v>
      </c>
      <c r="C1127" s="2" t="s">
        <v>11148</v>
      </c>
      <c r="D1127" s="2" t="s">
        <v>11149</v>
      </c>
      <c r="E1127" s="2" t="s">
        <v>11150</v>
      </c>
      <c r="G1127" s="3" t="s">
        <v>62</v>
      </c>
      <c r="I1127" s="3" t="s">
        <v>61</v>
      </c>
      <c r="J1127" s="3" t="s">
        <v>62</v>
      </c>
      <c r="K1127" s="3" t="s">
        <v>3960</v>
      </c>
      <c r="L1127" s="2" t="s">
        <v>6821</v>
      </c>
      <c r="M1127" s="2" t="s">
        <v>11151</v>
      </c>
      <c r="N1127" s="3" t="s">
        <v>84</v>
      </c>
      <c r="P1127" s="3" t="s">
        <v>65</v>
      </c>
      <c r="R1127" s="3" t="s">
        <v>66</v>
      </c>
      <c r="S1127" s="4">
        <v>8</v>
      </c>
      <c r="T1127" s="4">
        <v>22</v>
      </c>
      <c r="U1127" s="5" t="s">
        <v>11152</v>
      </c>
      <c r="V1127" s="5" t="s">
        <v>11153</v>
      </c>
      <c r="W1127" s="5" t="s">
        <v>67</v>
      </c>
      <c r="X1127" s="5" t="s">
        <v>67</v>
      </c>
      <c r="Y1127" s="4">
        <v>373</v>
      </c>
      <c r="Z1127" s="4">
        <v>25</v>
      </c>
      <c r="AA1127" s="4">
        <v>32</v>
      </c>
      <c r="AB1127" s="4">
        <v>2</v>
      </c>
      <c r="AC1127" s="4">
        <v>3</v>
      </c>
      <c r="AD1127" s="4">
        <v>88</v>
      </c>
      <c r="AE1127" s="4">
        <v>112</v>
      </c>
      <c r="AF1127" s="4">
        <v>1</v>
      </c>
      <c r="AG1127" s="4">
        <v>1</v>
      </c>
      <c r="AH1127" s="4">
        <v>73</v>
      </c>
      <c r="AI1127" s="4">
        <v>95</v>
      </c>
      <c r="AJ1127" s="4">
        <v>12</v>
      </c>
      <c r="AK1127" s="4">
        <v>14</v>
      </c>
      <c r="AL1127" s="4">
        <v>45</v>
      </c>
      <c r="AM1127" s="4">
        <v>54</v>
      </c>
      <c r="AN1127" s="4">
        <v>0</v>
      </c>
      <c r="AO1127" s="4">
        <v>0</v>
      </c>
      <c r="AP1127" s="4">
        <v>18</v>
      </c>
      <c r="AQ1127" s="4">
        <v>20</v>
      </c>
      <c r="AR1127" s="3" t="s">
        <v>62</v>
      </c>
      <c r="AS1127" s="3" t="s">
        <v>62</v>
      </c>
      <c r="AT1127" s="3" t="s">
        <v>62</v>
      </c>
      <c r="AV1127" s="6" t="str">
        <f>HYPERLINK("http://mcgill.on.worldcat.org/oclc/25026110","Catalog Record")</f>
        <v>Catalog Record</v>
      </c>
      <c r="AW1127" s="6" t="str">
        <f>HYPERLINK("http://www.worldcat.org/oclc/25026110","WorldCat Record")</f>
        <v>WorldCat Record</v>
      </c>
      <c r="AX1127" s="3" t="s">
        <v>11154</v>
      </c>
      <c r="AY1127" s="3" t="s">
        <v>11155</v>
      </c>
      <c r="AZ1127" s="3" t="s">
        <v>11156</v>
      </c>
      <c r="BA1127" s="3" t="s">
        <v>11156</v>
      </c>
      <c r="BB1127" s="3" t="s">
        <v>11157</v>
      </c>
      <c r="BC1127" s="3" t="s">
        <v>142</v>
      </c>
      <c r="BD1127" s="3" t="s">
        <v>68</v>
      </c>
      <c r="BE1127" s="3" t="s">
        <v>11158</v>
      </c>
      <c r="BF1127" s="3" t="s">
        <v>11157</v>
      </c>
      <c r="BG1127" s="3" t="s">
        <v>11159</v>
      </c>
    </row>
    <row r="1128" spans="1:59" ht="57" x14ac:dyDescent="0.45">
      <c r="A1128" s="2" t="s">
        <v>59</v>
      </c>
      <c r="B1128" s="2" t="s">
        <v>60</v>
      </c>
      <c r="C1128" s="2" t="s">
        <v>11148</v>
      </c>
      <c r="D1128" s="2" t="s">
        <v>11149</v>
      </c>
      <c r="E1128" s="2" t="s">
        <v>11150</v>
      </c>
      <c r="G1128" s="3" t="s">
        <v>62</v>
      </c>
      <c r="I1128" s="3" t="s">
        <v>61</v>
      </c>
      <c r="J1128" s="3" t="s">
        <v>62</v>
      </c>
      <c r="K1128" s="3" t="s">
        <v>3960</v>
      </c>
      <c r="L1128" s="2" t="s">
        <v>6821</v>
      </c>
      <c r="M1128" s="2" t="s">
        <v>11151</v>
      </c>
      <c r="N1128" s="3" t="s">
        <v>84</v>
      </c>
      <c r="P1128" s="3" t="s">
        <v>65</v>
      </c>
      <c r="R1128" s="3" t="s">
        <v>66</v>
      </c>
      <c r="S1128" s="4">
        <v>14</v>
      </c>
      <c r="T1128" s="4">
        <v>22</v>
      </c>
      <c r="U1128" s="5" t="s">
        <v>11153</v>
      </c>
      <c r="V1128" s="5" t="s">
        <v>11153</v>
      </c>
      <c r="W1128" s="5" t="s">
        <v>67</v>
      </c>
      <c r="X1128" s="5" t="s">
        <v>67</v>
      </c>
      <c r="Y1128" s="4">
        <v>373</v>
      </c>
      <c r="Z1128" s="4">
        <v>25</v>
      </c>
      <c r="AA1128" s="4">
        <v>32</v>
      </c>
      <c r="AB1128" s="4">
        <v>2</v>
      </c>
      <c r="AC1128" s="4">
        <v>3</v>
      </c>
      <c r="AD1128" s="4">
        <v>88</v>
      </c>
      <c r="AE1128" s="4">
        <v>112</v>
      </c>
      <c r="AF1128" s="4">
        <v>1</v>
      </c>
      <c r="AG1128" s="4">
        <v>1</v>
      </c>
      <c r="AH1128" s="4">
        <v>73</v>
      </c>
      <c r="AI1128" s="4">
        <v>95</v>
      </c>
      <c r="AJ1128" s="4">
        <v>12</v>
      </c>
      <c r="AK1128" s="4">
        <v>14</v>
      </c>
      <c r="AL1128" s="4">
        <v>45</v>
      </c>
      <c r="AM1128" s="4">
        <v>54</v>
      </c>
      <c r="AN1128" s="4">
        <v>0</v>
      </c>
      <c r="AO1128" s="4">
        <v>0</v>
      </c>
      <c r="AP1128" s="4">
        <v>18</v>
      </c>
      <c r="AQ1128" s="4">
        <v>20</v>
      </c>
      <c r="AR1128" s="3" t="s">
        <v>62</v>
      </c>
      <c r="AS1128" s="3" t="s">
        <v>62</v>
      </c>
      <c r="AT1128" s="3" t="s">
        <v>62</v>
      </c>
      <c r="AV1128" s="6" t="str">
        <f>HYPERLINK("http://mcgill.on.worldcat.org/oclc/25026110","Catalog Record")</f>
        <v>Catalog Record</v>
      </c>
      <c r="AW1128" s="6" t="str">
        <f>HYPERLINK("http://www.worldcat.org/oclc/25026110","WorldCat Record")</f>
        <v>WorldCat Record</v>
      </c>
      <c r="AX1128" s="3" t="s">
        <v>11154</v>
      </c>
      <c r="AY1128" s="3" t="s">
        <v>11155</v>
      </c>
      <c r="AZ1128" s="3" t="s">
        <v>11156</v>
      </c>
      <c r="BA1128" s="3" t="s">
        <v>11156</v>
      </c>
      <c r="BB1128" s="3" t="s">
        <v>11160</v>
      </c>
      <c r="BC1128" s="3" t="s">
        <v>142</v>
      </c>
      <c r="BD1128" s="3" t="s">
        <v>68</v>
      </c>
      <c r="BE1128" s="3" t="s">
        <v>11158</v>
      </c>
      <c r="BF1128" s="3" t="s">
        <v>11160</v>
      </c>
      <c r="BG1128" s="3" t="s">
        <v>11161</v>
      </c>
    </row>
    <row r="1129" spans="1:59" ht="57" x14ac:dyDescent="0.45">
      <c r="A1129" s="2" t="s">
        <v>59</v>
      </c>
      <c r="B1129" s="2" t="s">
        <v>60</v>
      </c>
      <c r="C1129" s="2" t="s">
        <v>11162</v>
      </c>
      <c r="D1129" s="2" t="s">
        <v>11163</v>
      </c>
      <c r="E1129" s="2" t="s">
        <v>11164</v>
      </c>
      <c r="G1129" s="3" t="s">
        <v>62</v>
      </c>
      <c r="I1129" s="3" t="s">
        <v>62</v>
      </c>
      <c r="J1129" s="3" t="s">
        <v>62</v>
      </c>
      <c r="K1129" s="3" t="s">
        <v>63</v>
      </c>
      <c r="L1129" s="2" t="s">
        <v>6821</v>
      </c>
      <c r="M1129" s="2" t="s">
        <v>11165</v>
      </c>
      <c r="N1129" s="3" t="s">
        <v>149</v>
      </c>
      <c r="O1129" s="2" t="s">
        <v>11166</v>
      </c>
      <c r="P1129" s="3" t="s">
        <v>65</v>
      </c>
      <c r="R1129" s="3" t="s">
        <v>66</v>
      </c>
      <c r="S1129" s="4">
        <v>10</v>
      </c>
      <c r="T1129" s="4">
        <v>10</v>
      </c>
      <c r="U1129" s="5" t="s">
        <v>9625</v>
      </c>
      <c r="V1129" s="5" t="s">
        <v>9625</v>
      </c>
      <c r="W1129" s="5" t="s">
        <v>67</v>
      </c>
      <c r="X1129" s="5" t="s">
        <v>67</v>
      </c>
      <c r="Y1129" s="4">
        <v>375</v>
      </c>
      <c r="Z1129" s="4">
        <v>23</v>
      </c>
      <c r="AA1129" s="4">
        <v>25</v>
      </c>
      <c r="AB1129" s="4">
        <v>2</v>
      </c>
      <c r="AC1129" s="4">
        <v>2</v>
      </c>
      <c r="AD1129" s="4">
        <v>76</v>
      </c>
      <c r="AE1129" s="4">
        <v>79</v>
      </c>
      <c r="AF1129" s="4">
        <v>0</v>
      </c>
      <c r="AG1129" s="4">
        <v>0</v>
      </c>
      <c r="AH1129" s="4">
        <v>70</v>
      </c>
      <c r="AI1129" s="4">
        <v>72</v>
      </c>
      <c r="AJ1129" s="4">
        <v>8</v>
      </c>
      <c r="AK1129" s="4">
        <v>10</v>
      </c>
      <c r="AL1129" s="4">
        <v>40</v>
      </c>
      <c r="AM1129" s="4">
        <v>40</v>
      </c>
      <c r="AN1129" s="4">
        <v>0</v>
      </c>
      <c r="AO1129" s="4">
        <v>0</v>
      </c>
      <c r="AP1129" s="4">
        <v>12</v>
      </c>
      <c r="AQ1129" s="4">
        <v>14</v>
      </c>
      <c r="AR1129" s="3" t="s">
        <v>62</v>
      </c>
      <c r="AS1129" s="3" t="s">
        <v>62</v>
      </c>
      <c r="AT1129" s="3" t="s">
        <v>62</v>
      </c>
      <c r="AV1129" s="6" t="str">
        <f>HYPERLINK("http://mcgill.on.worldcat.org/oclc/526809468","Catalog Record")</f>
        <v>Catalog Record</v>
      </c>
      <c r="AW1129" s="6" t="str">
        <f>HYPERLINK("http://www.worldcat.org/oclc/526809468","WorldCat Record")</f>
        <v>WorldCat Record</v>
      </c>
      <c r="AX1129" s="3" t="s">
        <v>11167</v>
      </c>
      <c r="AY1129" s="3" t="s">
        <v>11168</v>
      </c>
      <c r="AZ1129" s="3" t="s">
        <v>11169</v>
      </c>
      <c r="BA1129" s="3" t="s">
        <v>11169</v>
      </c>
      <c r="BB1129" s="3" t="s">
        <v>11170</v>
      </c>
      <c r="BC1129" s="3" t="s">
        <v>142</v>
      </c>
      <c r="BD1129" s="3" t="s">
        <v>68</v>
      </c>
      <c r="BE1129" s="3" t="s">
        <v>11171</v>
      </c>
      <c r="BF1129" s="3" t="s">
        <v>11170</v>
      </c>
      <c r="BG1129" s="3" t="s">
        <v>11172</v>
      </c>
    </row>
    <row r="1130" spans="1:59" ht="57" x14ac:dyDescent="0.45">
      <c r="A1130" s="2" t="s">
        <v>59</v>
      </c>
      <c r="B1130" s="2" t="s">
        <v>60</v>
      </c>
      <c r="C1130" s="2" t="s">
        <v>11173</v>
      </c>
      <c r="D1130" s="2" t="s">
        <v>11174</v>
      </c>
      <c r="E1130" s="2" t="s">
        <v>11175</v>
      </c>
      <c r="G1130" s="3" t="s">
        <v>62</v>
      </c>
      <c r="I1130" s="3" t="s">
        <v>61</v>
      </c>
      <c r="J1130" s="3" t="s">
        <v>62</v>
      </c>
      <c r="K1130" s="3" t="s">
        <v>63</v>
      </c>
      <c r="L1130" s="2" t="s">
        <v>6821</v>
      </c>
      <c r="M1130" s="2" t="s">
        <v>11176</v>
      </c>
      <c r="N1130" s="3" t="s">
        <v>495</v>
      </c>
      <c r="P1130" s="3" t="s">
        <v>110</v>
      </c>
      <c r="Q1130" s="2" t="s">
        <v>11177</v>
      </c>
      <c r="R1130" s="3" t="s">
        <v>66</v>
      </c>
      <c r="S1130" s="4">
        <v>28</v>
      </c>
      <c r="T1130" s="4">
        <v>50</v>
      </c>
      <c r="U1130" s="5" t="s">
        <v>11178</v>
      </c>
      <c r="V1130" s="5" t="s">
        <v>11178</v>
      </c>
      <c r="W1130" s="5" t="s">
        <v>67</v>
      </c>
      <c r="X1130" s="5" t="s">
        <v>67</v>
      </c>
      <c r="Y1130" s="4">
        <v>365</v>
      </c>
      <c r="Z1130" s="4">
        <v>35</v>
      </c>
      <c r="AA1130" s="4">
        <v>55</v>
      </c>
      <c r="AB1130" s="4">
        <v>3</v>
      </c>
      <c r="AC1130" s="4">
        <v>16</v>
      </c>
      <c r="AD1130" s="4">
        <v>114</v>
      </c>
      <c r="AE1130" s="4">
        <v>134</v>
      </c>
      <c r="AF1130" s="4">
        <v>1</v>
      </c>
      <c r="AG1130" s="4">
        <v>7</v>
      </c>
      <c r="AH1130" s="4">
        <v>93</v>
      </c>
      <c r="AI1130" s="4">
        <v>105</v>
      </c>
      <c r="AJ1130" s="4">
        <v>20</v>
      </c>
      <c r="AK1130" s="4">
        <v>28</v>
      </c>
      <c r="AL1130" s="4">
        <v>52</v>
      </c>
      <c r="AM1130" s="4">
        <v>57</v>
      </c>
      <c r="AN1130" s="4">
        <v>0</v>
      </c>
      <c r="AO1130" s="4">
        <v>0</v>
      </c>
      <c r="AP1130" s="4">
        <v>28</v>
      </c>
      <c r="AQ1130" s="4">
        <v>38</v>
      </c>
      <c r="AR1130" s="3" t="s">
        <v>62</v>
      </c>
      <c r="AS1130" s="3" t="s">
        <v>62</v>
      </c>
      <c r="AT1130" s="3" t="s">
        <v>61</v>
      </c>
      <c r="AU1130" s="6" t="str">
        <f>HYPERLINK("http://catalog.hathitrust.org/Record/004426804","HathiTrust Record")</f>
        <v>HathiTrust Record</v>
      </c>
      <c r="AV1130" s="6" t="str">
        <f>HYPERLINK("http://mcgill.on.worldcat.org/oclc/1501586","Catalog Record")</f>
        <v>Catalog Record</v>
      </c>
      <c r="AW1130" s="6" t="str">
        <f>HYPERLINK("http://www.worldcat.org/oclc/1501586","WorldCat Record")</f>
        <v>WorldCat Record</v>
      </c>
      <c r="AX1130" s="3" t="s">
        <v>11179</v>
      </c>
      <c r="AY1130" s="3" t="s">
        <v>11180</v>
      </c>
      <c r="AZ1130" s="3" t="s">
        <v>11181</v>
      </c>
      <c r="BA1130" s="3" t="s">
        <v>11181</v>
      </c>
      <c r="BB1130" s="3" t="s">
        <v>11182</v>
      </c>
      <c r="BC1130" s="3" t="s">
        <v>142</v>
      </c>
      <c r="BD1130" s="3" t="s">
        <v>68</v>
      </c>
      <c r="BE1130" s="3" t="s">
        <v>11183</v>
      </c>
      <c r="BF1130" s="3" t="s">
        <v>11182</v>
      </c>
      <c r="BG1130" s="3" t="s">
        <v>11184</v>
      </c>
    </row>
    <row r="1131" spans="1:59" ht="57" x14ac:dyDescent="0.45">
      <c r="A1131" s="2" t="s">
        <v>59</v>
      </c>
      <c r="B1131" s="2" t="s">
        <v>60</v>
      </c>
      <c r="C1131" s="2" t="s">
        <v>11173</v>
      </c>
      <c r="D1131" s="2" t="s">
        <v>11174</v>
      </c>
      <c r="E1131" s="2" t="s">
        <v>11175</v>
      </c>
      <c r="G1131" s="3" t="s">
        <v>62</v>
      </c>
      <c r="I1131" s="3" t="s">
        <v>61</v>
      </c>
      <c r="J1131" s="3" t="s">
        <v>62</v>
      </c>
      <c r="K1131" s="3" t="s">
        <v>63</v>
      </c>
      <c r="L1131" s="2" t="s">
        <v>6821</v>
      </c>
      <c r="M1131" s="2" t="s">
        <v>11176</v>
      </c>
      <c r="N1131" s="3" t="s">
        <v>495</v>
      </c>
      <c r="P1131" s="3" t="s">
        <v>110</v>
      </c>
      <c r="Q1131" s="2" t="s">
        <v>11177</v>
      </c>
      <c r="R1131" s="3" t="s">
        <v>66</v>
      </c>
      <c r="S1131" s="4">
        <v>22</v>
      </c>
      <c r="T1131" s="4">
        <v>50</v>
      </c>
      <c r="U1131" s="5" t="s">
        <v>2966</v>
      </c>
      <c r="V1131" s="5" t="s">
        <v>11178</v>
      </c>
      <c r="W1131" s="5" t="s">
        <v>67</v>
      </c>
      <c r="X1131" s="5" t="s">
        <v>67</v>
      </c>
      <c r="Y1131" s="4">
        <v>365</v>
      </c>
      <c r="Z1131" s="4">
        <v>35</v>
      </c>
      <c r="AA1131" s="4">
        <v>55</v>
      </c>
      <c r="AB1131" s="4">
        <v>3</v>
      </c>
      <c r="AC1131" s="4">
        <v>16</v>
      </c>
      <c r="AD1131" s="4">
        <v>114</v>
      </c>
      <c r="AE1131" s="4">
        <v>134</v>
      </c>
      <c r="AF1131" s="4">
        <v>1</v>
      </c>
      <c r="AG1131" s="4">
        <v>7</v>
      </c>
      <c r="AH1131" s="4">
        <v>93</v>
      </c>
      <c r="AI1131" s="4">
        <v>105</v>
      </c>
      <c r="AJ1131" s="4">
        <v>20</v>
      </c>
      <c r="AK1131" s="4">
        <v>28</v>
      </c>
      <c r="AL1131" s="4">
        <v>52</v>
      </c>
      <c r="AM1131" s="4">
        <v>57</v>
      </c>
      <c r="AN1131" s="4">
        <v>0</v>
      </c>
      <c r="AO1131" s="4">
        <v>0</v>
      </c>
      <c r="AP1131" s="4">
        <v>28</v>
      </c>
      <c r="AQ1131" s="4">
        <v>38</v>
      </c>
      <c r="AR1131" s="3" t="s">
        <v>62</v>
      </c>
      <c r="AS1131" s="3" t="s">
        <v>62</v>
      </c>
      <c r="AT1131" s="3" t="s">
        <v>61</v>
      </c>
      <c r="AU1131" s="6" t="str">
        <f>HYPERLINK("http://catalog.hathitrust.org/Record/004426804","HathiTrust Record")</f>
        <v>HathiTrust Record</v>
      </c>
      <c r="AV1131" s="6" t="str">
        <f>HYPERLINK("http://mcgill.on.worldcat.org/oclc/1501586","Catalog Record")</f>
        <v>Catalog Record</v>
      </c>
      <c r="AW1131" s="6" t="str">
        <f>HYPERLINK("http://www.worldcat.org/oclc/1501586","WorldCat Record")</f>
        <v>WorldCat Record</v>
      </c>
      <c r="AX1131" s="3" t="s">
        <v>11179</v>
      </c>
      <c r="AY1131" s="3" t="s">
        <v>11180</v>
      </c>
      <c r="AZ1131" s="3" t="s">
        <v>11181</v>
      </c>
      <c r="BA1131" s="3" t="s">
        <v>11181</v>
      </c>
      <c r="BB1131" s="3" t="s">
        <v>11185</v>
      </c>
      <c r="BC1131" s="3" t="s">
        <v>142</v>
      </c>
      <c r="BD1131" s="3" t="s">
        <v>68</v>
      </c>
      <c r="BE1131" s="3" t="s">
        <v>11183</v>
      </c>
      <c r="BF1131" s="3" t="s">
        <v>11185</v>
      </c>
      <c r="BG1131" s="3" t="s">
        <v>11186</v>
      </c>
    </row>
    <row r="1132" spans="1:59" ht="57" x14ac:dyDescent="0.45">
      <c r="A1132" s="2" t="s">
        <v>59</v>
      </c>
      <c r="B1132" s="2" t="s">
        <v>60</v>
      </c>
      <c r="C1132" s="2" t="s">
        <v>11187</v>
      </c>
      <c r="D1132" s="2" t="s">
        <v>11188</v>
      </c>
      <c r="E1132" s="2" t="s">
        <v>11189</v>
      </c>
      <c r="G1132" s="3" t="s">
        <v>62</v>
      </c>
      <c r="I1132" s="3" t="s">
        <v>62</v>
      </c>
      <c r="J1132" s="3" t="s">
        <v>62</v>
      </c>
      <c r="K1132" s="3" t="s">
        <v>63</v>
      </c>
      <c r="L1132" s="2" t="s">
        <v>6821</v>
      </c>
      <c r="M1132" s="2" t="s">
        <v>11190</v>
      </c>
      <c r="N1132" s="3" t="s">
        <v>122</v>
      </c>
      <c r="O1132" s="2" t="s">
        <v>11166</v>
      </c>
      <c r="P1132" s="3" t="s">
        <v>65</v>
      </c>
      <c r="R1132" s="3" t="s">
        <v>66</v>
      </c>
      <c r="S1132" s="4">
        <v>54</v>
      </c>
      <c r="T1132" s="4">
        <v>54</v>
      </c>
      <c r="U1132" s="5" t="s">
        <v>11191</v>
      </c>
      <c r="V1132" s="5" t="s">
        <v>11191</v>
      </c>
      <c r="W1132" s="5" t="s">
        <v>67</v>
      </c>
      <c r="X1132" s="5" t="s">
        <v>67</v>
      </c>
      <c r="Y1132" s="4">
        <v>566</v>
      </c>
      <c r="Z1132" s="4">
        <v>34</v>
      </c>
      <c r="AA1132" s="4">
        <v>47</v>
      </c>
      <c r="AB1132" s="4">
        <v>2</v>
      </c>
      <c r="AC1132" s="4">
        <v>5</v>
      </c>
      <c r="AD1132" s="4">
        <v>117</v>
      </c>
      <c r="AE1132" s="4">
        <v>132</v>
      </c>
      <c r="AF1132" s="4">
        <v>1</v>
      </c>
      <c r="AG1132" s="4">
        <v>2</v>
      </c>
      <c r="AH1132" s="4">
        <v>100</v>
      </c>
      <c r="AI1132" s="4">
        <v>107</v>
      </c>
      <c r="AJ1132" s="4">
        <v>16</v>
      </c>
      <c r="AK1132" s="4">
        <v>19</v>
      </c>
      <c r="AL1132" s="4">
        <v>57</v>
      </c>
      <c r="AM1132" s="4">
        <v>61</v>
      </c>
      <c r="AN1132" s="4">
        <v>0</v>
      </c>
      <c r="AO1132" s="4">
        <v>0</v>
      </c>
      <c r="AP1132" s="4">
        <v>23</v>
      </c>
      <c r="AQ1132" s="4">
        <v>30</v>
      </c>
      <c r="AR1132" s="3" t="s">
        <v>62</v>
      </c>
      <c r="AS1132" s="3" t="s">
        <v>62</v>
      </c>
      <c r="AT1132" s="3" t="s">
        <v>62</v>
      </c>
      <c r="AV1132" s="6" t="str">
        <f>HYPERLINK("http://mcgill.on.worldcat.org/oclc/2798791","Catalog Record")</f>
        <v>Catalog Record</v>
      </c>
      <c r="AW1132" s="6" t="str">
        <f>HYPERLINK("http://www.worldcat.org/oclc/2798791","WorldCat Record")</f>
        <v>WorldCat Record</v>
      </c>
      <c r="AX1132" s="3" t="s">
        <v>11192</v>
      </c>
      <c r="AY1132" s="3" t="s">
        <v>11193</v>
      </c>
      <c r="AZ1132" s="3" t="s">
        <v>11194</v>
      </c>
      <c r="BA1132" s="3" t="s">
        <v>11194</v>
      </c>
      <c r="BB1132" s="3" t="s">
        <v>11195</v>
      </c>
      <c r="BC1132" s="3" t="s">
        <v>142</v>
      </c>
      <c r="BD1132" s="3" t="s">
        <v>68</v>
      </c>
      <c r="BE1132" s="3" t="s">
        <v>11196</v>
      </c>
      <c r="BF1132" s="3" t="s">
        <v>11195</v>
      </c>
      <c r="BG1132" s="3" t="s">
        <v>11197</v>
      </c>
    </row>
    <row r="1133" spans="1:59" ht="57" x14ac:dyDescent="0.45">
      <c r="A1133" s="2" t="s">
        <v>59</v>
      </c>
      <c r="B1133" s="2" t="s">
        <v>60</v>
      </c>
      <c r="C1133" s="2" t="s">
        <v>11198</v>
      </c>
      <c r="D1133" s="2" t="s">
        <v>11199</v>
      </c>
      <c r="E1133" s="2" t="s">
        <v>11200</v>
      </c>
      <c r="G1133" s="3" t="s">
        <v>62</v>
      </c>
      <c r="I1133" s="3" t="s">
        <v>61</v>
      </c>
      <c r="J1133" s="3" t="s">
        <v>62</v>
      </c>
      <c r="K1133" s="3" t="s">
        <v>63</v>
      </c>
      <c r="L1133" s="2" t="s">
        <v>6821</v>
      </c>
      <c r="M1133" s="2" t="s">
        <v>11201</v>
      </c>
      <c r="N1133" s="3" t="s">
        <v>3160</v>
      </c>
      <c r="P1133" s="3" t="s">
        <v>110</v>
      </c>
      <c r="R1133" s="3" t="s">
        <v>66</v>
      </c>
      <c r="S1133" s="4">
        <v>11</v>
      </c>
      <c r="T1133" s="4">
        <v>17</v>
      </c>
      <c r="U1133" s="5" t="s">
        <v>11202</v>
      </c>
      <c r="V1133" s="5" t="s">
        <v>11202</v>
      </c>
      <c r="W1133" s="5" t="s">
        <v>67</v>
      </c>
      <c r="X1133" s="5" t="s">
        <v>67</v>
      </c>
      <c r="Y1133" s="4">
        <v>293</v>
      </c>
      <c r="Z1133" s="4">
        <v>28</v>
      </c>
      <c r="AA1133" s="4">
        <v>43</v>
      </c>
      <c r="AB1133" s="4">
        <v>2</v>
      </c>
      <c r="AC1133" s="4">
        <v>12</v>
      </c>
      <c r="AD1133" s="4">
        <v>102</v>
      </c>
      <c r="AE1133" s="4">
        <v>112</v>
      </c>
      <c r="AF1133" s="4">
        <v>1</v>
      </c>
      <c r="AG1133" s="4">
        <v>6</v>
      </c>
      <c r="AH1133" s="4">
        <v>85</v>
      </c>
      <c r="AI1133" s="4">
        <v>89</v>
      </c>
      <c r="AJ1133" s="4">
        <v>18</v>
      </c>
      <c r="AK1133" s="4">
        <v>23</v>
      </c>
      <c r="AL1133" s="4">
        <v>46</v>
      </c>
      <c r="AM1133" s="4">
        <v>48</v>
      </c>
      <c r="AN1133" s="4">
        <v>0</v>
      </c>
      <c r="AO1133" s="4">
        <v>0</v>
      </c>
      <c r="AP1133" s="4">
        <v>23</v>
      </c>
      <c r="AQ1133" s="4">
        <v>30</v>
      </c>
      <c r="AR1133" s="3" t="s">
        <v>62</v>
      </c>
      <c r="AS1133" s="3" t="s">
        <v>62</v>
      </c>
      <c r="AT1133" s="3" t="s">
        <v>61</v>
      </c>
      <c r="AU1133" s="6" t="str">
        <f>HYPERLINK("http://catalog.hathitrust.org/Record/000735228","HathiTrust Record")</f>
        <v>HathiTrust Record</v>
      </c>
      <c r="AV1133" s="6" t="str">
        <f>HYPERLINK("http://mcgill.on.worldcat.org/oclc/8494768","Catalog Record")</f>
        <v>Catalog Record</v>
      </c>
      <c r="AW1133" s="6" t="str">
        <f>HYPERLINK("http://www.worldcat.org/oclc/8494768","WorldCat Record")</f>
        <v>WorldCat Record</v>
      </c>
      <c r="AX1133" s="3" t="s">
        <v>11203</v>
      </c>
      <c r="AY1133" s="3" t="s">
        <v>11204</v>
      </c>
      <c r="AZ1133" s="3" t="s">
        <v>11205</v>
      </c>
      <c r="BA1133" s="3" t="s">
        <v>11205</v>
      </c>
      <c r="BB1133" s="3" t="s">
        <v>11206</v>
      </c>
      <c r="BC1133" s="3" t="s">
        <v>142</v>
      </c>
      <c r="BD1133" s="3" t="s">
        <v>68</v>
      </c>
      <c r="BE1133" s="3" t="s">
        <v>11207</v>
      </c>
      <c r="BF1133" s="3" t="s">
        <v>11206</v>
      </c>
      <c r="BG1133" s="3" t="s">
        <v>11208</v>
      </c>
    </row>
    <row r="1134" spans="1:59" ht="57" x14ac:dyDescent="0.45">
      <c r="A1134" s="2" t="s">
        <v>59</v>
      </c>
      <c r="B1134" s="2" t="s">
        <v>60</v>
      </c>
      <c r="C1134" s="2" t="s">
        <v>11198</v>
      </c>
      <c r="D1134" s="2" t="s">
        <v>11199</v>
      </c>
      <c r="E1134" s="2" t="s">
        <v>11200</v>
      </c>
      <c r="G1134" s="3" t="s">
        <v>62</v>
      </c>
      <c r="I1134" s="3" t="s">
        <v>61</v>
      </c>
      <c r="J1134" s="3" t="s">
        <v>62</v>
      </c>
      <c r="K1134" s="3" t="s">
        <v>63</v>
      </c>
      <c r="L1134" s="2" t="s">
        <v>6821</v>
      </c>
      <c r="M1134" s="2" t="s">
        <v>11201</v>
      </c>
      <c r="N1134" s="3" t="s">
        <v>3160</v>
      </c>
      <c r="P1134" s="3" t="s">
        <v>110</v>
      </c>
      <c r="R1134" s="3" t="s">
        <v>66</v>
      </c>
      <c r="S1134" s="4">
        <v>6</v>
      </c>
      <c r="T1134" s="4">
        <v>17</v>
      </c>
      <c r="U1134" s="5" t="s">
        <v>75</v>
      </c>
      <c r="V1134" s="5" t="s">
        <v>11202</v>
      </c>
      <c r="W1134" s="5" t="s">
        <v>67</v>
      </c>
      <c r="X1134" s="5" t="s">
        <v>67</v>
      </c>
      <c r="Y1134" s="4">
        <v>293</v>
      </c>
      <c r="Z1134" s="4">
        <v>28</v>
      </c>
      <c r="AA1134" s="4">
        <v>43</v>
      </c>
      <c r="AB1134" s="4">
        <v>2</v>
      </c>
      <c r="AC1134" s="4">
        <v>12</v>
      </c>
      <c r="AD1134" s="4">
        <v>102</v>
      </c>
      <c r="AE1134" s="4">
        <v>112</v>
      </c>
      <c r="AF1134" s="4">
        <v>1</v>
      </c>
      <c r="AG1134" s="4">
        <v>6</v>
      </c>
      <c r="AH1134" s="4">
        <v>85</v>
      </c>
      <c r="AI1134" s="4">
        <v>89</v>
      </c>
      <c r="AJ1134" s="4">
        <v>18</v>
      </c>
      <c r="AK1134" s="4">
        <v>23</v>
      </c>
      <c r="AL1134" s="4">
        <v>46</v>
      </c>
      <c r="AM1134" s="4">
        <v>48</v>
      </c>
      <c r="AN1134" s="4">
        <v>0</v>
      </c>
      <c r="AO1134" s="4">
        <v>0</v>
      </c>
      <c r="AP1134" s="4">
        <v>23</v>
      </c>
      <c r="AQ1134" s="4">
        <v>30</v>
      </c>
      <c r="AR1134" s="3" t="s">
        <v>62</v>
      </c>
      <c r="AS1134" s="3" t="s">
        <v>62</v>
      </c>
      <c r="AT1134" s="3" t="s">
        <v>61</v>
      </c>
      <c r="AU1134" s="6" t="str">
        <f>HYPERLINK("http://catalog.hathitrust.org/Record/000735228","HathiTrust Record")</f>
        <v>HathiTrust Record</v>
      </c>
      <c r="AV1134" s="6" t="str">
        <f>HYPERLINK("http://mcgill.on.worldcat.org/oclc/8494768","Catalog Record")</f>
        <v>Catalog Record</v>
      </c>
      <c r="AW1134" s="6" t="str">
        <f>HYPERLINK("http://www.worldcat.org/oclc/8494768","WorldCat Record")</f>
        <v>WorldCat Record</v>
      </c>
      <c r="AX1134" s="3" t="s">
        <v>11203</v>
      </c>
      <c r="AY1134" s="3" t="s">
        <v>11204</v>
      </c>
      <c r="AZ1134" s="3" t="s">
        <v>11205</v>
      </c>
      <c r="BA1134" s="3" t="s">
        <v>11205</v>
      </c>
      <c r="BB1134" s="3" t="s">
        <v>11209</v>
      </c>
      <c r="BC1134" s="3" t="s">
        <v>142</v>
      </c>
      <c r="BD1134" s="3" t="s">
        <v>68</v>
      </c>
      <c r="BE1134" s="3" t="s">
        <v>11207</v>
      </c>
      <c r="BF1134" s="3" t="s">
        <v>11209</v>
      </c>
      <c r="BG1134" s="3" t="s">
        <v>11210</v>
      </c>
    </row>
    <row r="1135" spans="1:59" ht="71.25" x14ac:dyDescent="0.45">
      <c r="A1135" s="2" t="s">
        <v>59</v>
      </c>
      <c r="B1135" s="2" t="s">
        <v>60</v>
      </c>
      <c r="C1135" s="2" t="s">
        <v>11211</v>
      </c>
      <c r="D1135" s="2" t="s">
        <v>11212</v>
      </c>
      <c r="E1135" s="2" t="s">
        <v>11213</v>
      </c>
      <c r="G1135" s="3" t="s">
        <v>62</v>
      </c>
      <c r="I1135" s="3" t="s">
        <v>62</v>
      </c>
      <c r="J1135" s="3" t="s">
        <v>62</v>
      </c>
      <c r="K1135" s="3" t="s">
        <v>63</v>
      </c>
      <c r="L1135" s="2" t="s">
        <v>11214</v>
      </c>
      <c r="M1135" s="2" t="s">
        <v>11215</v>
      </c>
      <c r="N1135" s="3" t="s">
        <v>5180</v>
      </c>
      <c r="P1135" s="3" t="s">
        <v>65</v>
      </c>
      <c r="Q1135" s="2" t="s">
        <v>11216</v>
      </c>
      <c r="R1135" s="3" t="s">
        <v>66</v>
      </c>
      <c r="S1135" s="4">
        <v>0</v>
      </c>
      <c r="T1135" s="4">
        <v>0</v>
      </c>
      <c r="W1135" s="5" t="s">
        <v>67</v>
      </c>
      <c r="X1135" s="5" t="s">
        <v>67</v>
      </c>
      <c r="Y1135" s="4">
        <v>133</v>
      </c>
      <c r="Z1135" s="4">
        <v>6</v>
      </c>
      <c r="AA1135" s="4">
        <v>74</v>
      </c>
      <c r="AB1135" s="4">
        <v>1</v>
      </c>
      <c r="AC1135" s="4">
        <v>15</v>
      </c>
      <c r="AD1135" s="4">
        <v>46</v>
      </c>
      <c r="AE1135" s="4">
        <v>108</v>
      </c>
      <c r="AF1135" s="4">
        <v>0</v>
      </c>
      <c r="AG1135" s="4">
        <v>8</v>
      </c>
      <c r="AH1135" s="4">
        <v>42</v>
      </c>
      <c r="AI1135" s="4">
        <v>75</v>
      </c>
      <c r="AJ1135" s="4">
        <v>3</v>
      </c>
      <c r="AK1135" s="4">
        <v>19</v>
      </c>
      <c r="AL1135" s="4">
        <v>36</v>
      </c>
      <c r="AM1135" s="4">
        <v>45</v>
      </c>
      <c r="AN1135" s="4">
        <v>0</v>
      </c>
      <c r="AO1135" s="4">
        <v>0</v>
      </c>
      <c r="AP1135" s="4">
        <v>4</v>
      </c>
      <c r="AQ1135" s="4">
        <v>39</v>
      </c>
      <c r="AR1135" s="3" t="s">
        <v>62</v>
      </c>
      <c r="AS1135" s="3" t="s">
        <v>62</v>
      </c>
      <c r="AT1135" s="3" t="s">
        <v>62</v>
      </c>
      <c r="AV1135" s="6" t="str">
        <f>HYPERLINK("http://mcgill.on.worldcat.org/oclc/987766961","Catalog Record")</f>
        <v>Catalog Record</v>
      </c>
      <c r="AW1135" s="6" t="str">
        <f>HYPERLINK("http://www.worldcat.org/oclc/987766961","WorldCat Record")</f>
        <v>WorldCat Record</v>
      </c>
      <c r="AX1135" s="3" t="s">
        <v>11217</v>
      </c>
      <c r="AY1135" s="3" t="s">
        <v>11218</v>
      </c>
      <c r="AZ1135" s="3" t="s">
        <v>11219</v>
      </c>
      <c r="BA1135" s="3" t="s">
        <v>11219</v>
      </c>
      <c r="BB1135" s="3" t="s">
        <v>11220</v>
      </c>
      <c r="BC1135" s="3" t="s">
        <v>142</v>
      </c>
      <c r="BD1135" s="3" t="s">
        <v>68</v>
      </c>
      <c r="BE1135" s="3" t="s">
        <v>11221</v>
      </c>
      <c r="BF1135" s="3" t="s">
        <v>11220</v>
      </c>
      <c r="BG1135" s="3" t="s">
        <v>11222</v>
      </c>
    </row>
    <row r="1136" spans="1:59" ht="57" x14ac:dyDescent="0.45">
      <c r="A1136" s="2" t="s">
        <v>59</v>
      </c>
      <c r="B1136" s="2" t="s">
        <v>60</v>
      </c>
      <c r="C1136" s="2" t="s">
        <v>11223</v>
      </c>
      <c r="D1136" s="2" t="s">
        <v>11224</v>
      </c>
      <c r="E1136" s="2" t="s">
        <v>11225</v>
      </c>
      <c r="G1136" s="3" t="s">
        <v>62</v>
      </c>
      <c r="I1136" s="3" t="s">
        <v>61</v>
      </c>
      <c r="J1136" s="3" t="s">
        <v>62</v>
      </c>
      <c r="K1136" s="3" t="s">
        <v>63</v>
      </c>
      <c r="L1136" s="2" t="s">
        <v>11214</v>
      </c>
      <c r="M1136" s="2" t="s">
        <v>11226</v>
      </c>
      <c r="N1136" s="3" t="s">
        <v>208</v>
      </c>
      <c r="P1136" s="3" t="s">
        <v>65</v>
      </c>
      <c r="Q1136" s="2" t="s">
        <v>11227</v>
      </c>
      <c r="R1136" s="3" t="s">
        <v>66</v>
      </c>
      <c r="S1136" s="4">
        <v>1</v>
      </c>
      <c r="T1136" s="4">
        <v>1</v>
      </c>
      <c r="U1136" s="5" t="s">
        <v>11228</v>
      </c>
      <c r="V1136" s="5" t="s">
        <v>11228</v>
      </c>
      <c r="W1136" s="5" t="s">
        <v>67</v>
      </c>
      <c r="X1136" s="5" t="s">
        <v>67</v>
      </c>
      <c r="Y1136" s="4">
        <v>32</v>
      </c>
      <c r="Z1136" s="4">
        <v>6</v>
      </c>
      <c r="AA1136" s="4">
        <v>6</v>
      </c>
      <c r="AB1136" s="4">
        <v>1</v>
      </c>
      <c r="AC1136" s="4">
        <v>1</v>
      </c>
      <c r="AD1136" s="4">
        <v>16</v>
      </c>
      <c r="AE1136" s="4">
        <v>16</v>
      </c>
      <c r="AF1136" s="4">
        <v>0</v>
      </c>
      <c r="AG1136" s="4">
        <v>0</v>
      </c>
      <c r="AH1136" s="4">
        <v>15</v>
      </c>
      <c r="AI1136" s="4">
        <v>15</v>
      </c>
      <c r="AJ1136" s="4">
        <v>2</v>
      </c>
      <c r="AK1136" s="4">
        <v>2</v>
      </c>
      <c r="AL1136" s="4">
        <v>10</v>
      </c>
      <c r="AM1136" s="4">
        <v>10</v>
      </c>
      <c r="AN1136" s="4">
        <v>0</v>
      </c>
      <c r="AO1136" s="4">
        <v>0</v>
      </c>
      <c r="AP1136" s="4">
        <v>2</v>
      </c>
      <c r="AQ1136" s="4">
        <v>2</v>
      </c>
      <c r="AR1136" s="3" t="s">
        <v>62</v>
      </c>
      <c r="AS1136" s="3" t="s">
        <v>62</v>
      </c>
      <c r="AT1136" s="3" t="s">
        <v>62</v>
      </c>
      <c r="AV1136" s="6" t="str">
        <f>HYPERLINK("http://mcgill.on.worldcat.org/oclc/927513856","Catalog Record")</f>
        <v>Catalog Record</v>
      </c>
      <c r="AW1136" s="6" t="str">
        <f>HYPERLINK("http://www.worldcat.org/oclc/927513856","WorldCat Record")</f>
        <v>WorldCat Record</v>
      </c>
      <c r="AX1136" s="3" t="s">
        <v>11229</v>
      </c>
      <c r="AY1136" s="3" t="s">
        <v>11230</v>
      </c>
      <c r="AZ1136" s="3" t="s">
        <v>11231</v>
      </c>
      <c r="BA1136" s="3" t="s">
        <v>11231</v>
      </c>
      <c r="BB1136" s="3" t="s">
        <v>11232</v>
      </c>
      <c r="BC1136" s="3" t="s">
        <v>142</v>
      </c>
      <c r="BD1136" s="3" t="s">
        <v>68</v>
      </c>
      <c r="BE1136" s="3" t="s">
        <v>11233</v>
      </c>
      <c r="BF1136" s="3" t="s">
        <v>11232</v>
      </c>
      <c r="BG1136" s="3" t="s">
        <v>11234</v>
      </c>
    </row>
    <row r="1137" spans="1:59" ht="71.25" x14ac:dyDescent="0.45">
      <c r="A1137" s="2" t="s">
        <v>59</v>
      </c>
      <c r="B1137" s="2" t="s">
        <v>60</v>
      </c>
      <c r="C1137" s="2" t="s">
        <v>11223</v>
      </c>
      <c r="D1137" s="2" t="s">
        <v>11224</v>
      </c>
      <c r="E1137" s="2" t="s">
        <v>11235</v>
      </c>
      <c r="G1137" s="3" t="s">
        <v>62</v>
      </c>
      <c r="I1137" s="3" t="s">
        <v>61</v>
      </c>
      <c r="J1137" s="3" t="s">
        <v>62</v>
      </c>
      <c r="K1137" s="3" t="s">
        <v>63</v>
      </c>
      <c r="L1137" s="2" t="s">
        <v>11236</v>
      </c>
      <c r="M1137" s="2" t="s">
        <v>11237</v>
      </c>
      <c r="N1137" s="3" t="s">
        <v>208</v>
      </c>
      <c r="P1137" s="3" t="s">
        <v>65</v>
      </c>
      <c r="Q1137" s="2" t="s">
        <v>11238</v>
      </c>
      <c r="R1137" s="3" t="s">
        <v>66</v>
      </c>
      <c r="S1137" s="4">
        <v>0</v>
      </c>
      <c r="T1137" s="4">
        <v>0</v>
      </c>
      <c r="W1137" s="5" t="s">
        <v>67</v>
      </c>
      <c r="X1137" s="5" t="s">
        <v>67</v>
      </c>
      <c r="Y1137" s="4">
        <v>50</v>
      </c>
      <c r="Z1137" s="4">
        <v>5</v>
      </c>
      <c r="AA1137" s="4">
        <v>5</v>
      </c>
      <c r="AB1137" s="4">
        <v>1</v>
      </c>
      <c r="AC1137" s="4">
        <v>1</v>
      </c>
      <c r="AD1137" s="4">
        <v>27</v>
      </c>
      <c r="AE1137" s="4">
        <v>27</v>
      </c>
      <c r="AF1137" s="4">
        <v>0</v>
      </c>
      <c r="AG1137" s="4">
        <v>0</v>
      </c>
      <c r="AH1137" s="4">
        <v>26</v>
      </c>
      <c r="AI1137" s="4">
        <v>26</v>
      </c>
      <c r="AJ1137" s="4">
        <v>4</v>
      </c>
      <c r="AK1137" s="4">
        <v>4</v>
      </c>
      <c r="AL1137" s="4">
        <v>18</v>
      </c>
      <c r="AM1137" s="4">
        <v>18</v>
      </c>
      <c r="AN1137" s="4">
        <v>0</v>
      </c>
      <c r="AO1137" s="4">
        <v>0</v>
      </c>
      <c r="AP1137" s="4">
        <v>4</v>
      </c>
      <c r="AQ1137" s="4">
        <v>4</v>
      </c>
      <c r="AR1137" s="3" t="s">
        <v>62</v>
      </c>
      <c r="AS1137" s="3" t="s">
        <v>62</v>
      </c>
      <c r="AT1137" s="3" t="s">
        <v>62</v>
      </c>
      <c r="AV1137" s="6" t="str">
        <f>HYPERLINK("http://mcgill.on.worldcat.org/oclc/905524178","Catalog Record")</f>
        <v>Catalog Record</v>
      </c>
      <c r="AW1137" s="6" t="str">
        <f>HYPERLINK("http://www.worldcat.org/oclc/905524178","WorldCat Record")</f>
        <v>WorldCat Record</v>
      </c>
      <c r="AX1137" s="3" t="s">
        <v>11239</v>
      </c>
      <c r="AY1137" s="3" t="s">
        <v>11240</v>
      </c>
      <c r="AZ1137" s="3" t="s">
        <v>11241</v>
      </c>
      <c r="BA1137" s="3" t="s">
        <v>11241</v>
      </c>
      <c r="BB1137" s="3" t="s">
        <v>11242</v>
      </c>
      <c r="BC1137" s="3" t="s">
        <v>142</v>
      </c>
      <c r="BD1137" s="3" t="s">
        <v>68</v>
      </c>
      <c r="BE1137" s="3" t="s">
        <v>11243</v>
      </c>
      <c r="BF1137" s="3" t="s">
        <v>11242</v>
      </c>
      <c r="BG1137" s="3" t="s">
        <v>11244</v>
      </c>
    </row>
    <row r="1138" spans="1:59" ht="71.25" x14ac:dyDescent="0.45">
      <c r="A1138" s="2" t="s">
        <v>59</v>
      </c>
      <c r="B1138" s="2" t="s">
        <v>60</v>
      </c>
      <c r="C1138" s="2" t="s">
        <v>11223</v>
      </c>
      <c r="D1138" s="2" t="s">
        <v>11224</v>
      </c>
      <c r="E1138" s="2" t="s">
        <v>11235</v>
      </c>
      <c r="G1138" s="3" t="s">
        <v>62</v>
      </c>
      <c r="I1138" s="3" t="s">
        <v>61</v>
      </c>
      <c r="J1138" s="3" t="s">
        <v>62</v>
      </c>
      <c r="K1138" s="3" t="s">
        <v>63</v>
      </c>
      <c r="L1138" s="2" t="s">
        <v>11236</v>
      </c>
      <c r="M1138" s="2" t="s">
        <v>11237</v>
      </c>
      <c r="N1138" s="3" t="s">
        <v>208</v>
      </c>
      <c r="P1138" s="3" t="s">
        <v>65</v>
      </c>
      <c r="Q1138" s="2" t="s">
        <v>11238</v>
      </c>
      <c r="R1138" s="3" t="s">
        <v>66</v>
      </c>
      <c r="S1138" s="4">
        <v>0</v>
      </c>
      <c r="T1138" s="4">
        <v>0</v>
      </c>
      <c r="W1138" s="5" t="s">
        <v>67</v>
      </c>
      <c r="X1138" s="5" t="s">
        <v>67</v>
      </c>
      <c r="Y1138" s="4">
        <v>50</v>
      </c>
      <c r="Z1138" s="4">
        <v>5</v>
      </c>
      <c r="AA1138" s="4">
        <v>5</v>
      </c>
      <c r="AB1138" s="4">
        <v>1</v>
      </c>
      <c r="AC1138" s="4">
        <v>1</v>
      </c>
      <c r="AD1138" s="4">
        <v>27</v>
      </c>
      <c r="AE1138" s="4">
        <v>27</v>
      </c>
      <c r="AF1138" s="4">
        <v>0</v>
      </c>
      <c r="AG1138" s="4">
        <v>0</v>
      </c>
      <c r="AH1138" s="4">
        <v>26</v>
      </c>
      <c r="AI1138" s="4">
        <v>26</v>
      </c>
      <c r="AJ1138" s="4">
        <v>4</v>
      </c>
      <c r="AK1138" s="4">
        <v>4</v>
      </c>
      <c r="AL1138" s="4">
        <v>18</v>
      </c>
      <c r="AM1138" s="4">
        <v>18</v>
      </c>
      <c r="AN1138" s="4">
        <v>0</v>
      </c>
      <c r="AO1138" s="4">
        <v>0</v>
      </c>
      <c r="AP1138" s="4">
        <v>4</v>
      </c>
      <c r="AQ1138" s="4">
        <v>4</v>
      </c>
      <c r="AR1138" s="3" t="s">
        <v>62</v>
      </c>
      <c r="AS1138" s="3" t="s">
        <v>62</v>
      </c>
      <c r="AT1138" s="3" t="s">
        <v>62</v>
      </c>
      <c r="AV1138" s="6" t="str">
        <f>HYPERLINK("http://mcgill.on.worldcat.org/oclc/905524178","Catalog Record")</f>
        <v>Catalog Record</v>
      </c>
      <c r="AW1138" s="6" t="str">
        <f>HYPERLINK("http://www.worldcat.org/oclc/905524178","WorldCat Record")</f>
        <v>WorldCat Record</v>
      </c>
      <c r="AX1138" s="3" t="s">
        <v>11239</v>
      </c>
      <c r="AY1138" s="3" t="s">
        <v>11240</v>
      </c>
      <c r="AZ1138" s="3" t="s">
        <v>11241</v>
      </c>
      <c r="BA1138" s="3" t="s">
        <v>11241</v>
      </c>
      <c r="BB1138" s="3" t="s">
        <v>11245</v>
      </c>
      <c r="BC1138" s="3" t="s">
        <v>142</v>
      </c>
      <c r="BD1138" s="3" t="s">
        <v>68</v>
      </c>
      <c r="BE1138" s="3" t="s">
        <v>11243</v>
      </c>
      <c r="BF1138" s="3" t="s">
        <v>11245</v>
      </c>
      <c r="BG1138" s="3" t="s">
        <v>11246</v>
      </c>
    </row>
    <row r="1139" spans="1:59" ht="57" x14ac:dyDescent="0.45">
      <c r="A1139" s="2" t="s">
        <v>59</v>
      </c>
      <c r="B1139" s="2" t="s">
        <v>60</v>
      </c>
      <c r="C1139" s="2" t="s">
        <v>11223</v>
      </c>
      <c r="D1139" s="2" t="s">
        <v>11224</v>
      </c>
      <c r="E1139" s="2" t="s">
        <v>11225</v>
      </c>
      <c r="G1139" s="3" t="s">
        <v>62</v>
      </c>
      <c r="I1139" s="3" t="s">
        <v>61</v>
      </c>
      <c r="J1139" s="3" t="s">
        <v>62</v>
      </c>
      <c r="K1139" s="3" t="s">
        <v>63</v>
      </c>
      <c r="L1139" s="2" t="s">
        <v>11214</v>
      </c>
      <c r="M1139" s="2" t="s">
        <v>11226</v>
      </c>
      <c r="N1139" s="3" t="s">
        <v>208</v>
      </c>
      <c r="P1139" s="3" t="s">
        <v>65</v>
      </c>
      <c r="Q1139" s="2" t="s">
        <v>11227</v>
      </c>
      <c r="R1139" s="3" t="s">
        <v>66</v>
      </c>
      <c r="S1139" s="4">
        <v>0</v>
      </c>
      <c r="T1139" s="4">
        <v>1</v>
      </c>
      <c r="V1139" s="5" t="s">
        <v>11228</v>
      </c>
      <c r="W1139" s="5" t="s">
        <v>67</v>
      </c>
      <c r="X1139" s="5" t="s">
        <v>67</v>
      </c>
      <c r="Y1139" s="4">
        <v>32</v>
      </c>
      <c r="Z1139" s="4">
        <v>6</v>
      </c>
      <c r="AA1139" s="4">
        <v>6</v>
      </c>
      <c r="AB1139" s="4">
        <v>1</v>
      </c>
      <c r="AC1139" s="4">
        <v>1</v>
      </c>
      <c r="AD1139" s="4">
        <v>16</v>
      </c>
      <c r="AE1139" s="4">
        <v>16</v>
      </c>
      <c r="AF1139" s="4">
        <v>0</v>
      </c>
      <c r="AG1139" s="4">
        <v>0</v>
      </c>
      <c r="AH1139" s="4">
        <v>15</v>
      </c>
      <c r="AI1139" s="4">
        <v>15</v>
      </c>
      <c r="AJ1139" s="4">
        <v>2</v>
      </c>
      <c r="AK1139" s="4">
        <v>2</v>
      </c>
      <c r="AL1139" s="4">
        <v>10</v>
      </c>
      <c r="AM1139" s="4">
        <v>10</v>
      </c>
      <c r="AN1139" s="4">
        <v>0</v>
      </c>
      <c r="AO1139" s="4">
        <v>0</v>
      </c>
      <c r="AP1139" s="4">
        <v>2</v>
      </c>
      <c r="AQ1139" s="4">
        <v>2</v>
      </c>
      <c r="AR1139" s="3" t="s">
        <v>62</v>
      </c>
      <c r="AS1139" s="3" t="s">
        <v>62</v>
      </c>
      <c r="AT1139" s="3" t="s">
        <v>62</v>
      </c>
      <c r="AV1139" s="6" t="str">
        <f>HYPERLINK("http://mcgill.on.worldcat.org/oclc/927513856","Catalog Record")</f>
        <v>Catalog Record</v>
      </c>
      <c r="AW1139" s="6" t="str">
        <f>HYPERLINK("http://www.worldcat.org/oclc/927513856","WorldCat Record")</f>
        <v>WorldCat Record</v>
      </c>
      <c r="AX1139" s="3" t="s">
        <v>11229</v>
      </c>
      <c r="AY1139" s="3" t="s">
        <v>11230</v>
      </c>
      <c r="AZ1139" s="3" t="s">
        <v>11231</v>
      </c>
      <c r="BA1139" s="3" t="s">
        <v>11231</v>
      </c>
      <c r="BB1139" s="3" t="s">
        <v>11247</v>
      </c>
      <c r="BC1139" s="3" t="s">
        <v>142</v>
      </c>
      <c r="BD1139" s="3" t="s">
        <v>68</v>
      </c>
      <c r="BE1139" s="3" t="s">
        <v>11233</v>
      </c>
      <c r="BF1139" s="3" t="s">
        <v>11247</v>
      </c>
      <c r="BG1139" s="3" t="s">
        <v>11248</v>
      </c>
    </row>
    <row r="1140" spans="1:59" ht="57" x14ac:dyDescent="0.45">
      <c r="A1140" s="2" t="s">
        <v>59</v>
      </c>
      <c r="B1140" s="2" t="s">
        <v>60</v>
      </c>
      <c r="C1140" s="2" t="s">
        <v>11249</v>
      </c>
      <c r="D1140" s="2" t="s">
        <v>11250</v>
      </c>
      <c r="E1140" s="2" t="s">
        <v>11251</v>
      </c>
      <c r="G1140" s="3" t="s">
        <v>62</v>
      </c>
      <c r="I1140" s="3" t="s">
        <v>61</v>
      </c>
      <c r="J1140" s="3" t="s">
        <v>62</v>
      </c>
      <c r="K1140" s="3" t="s">
        <v>63</v>
      </c>
      <c r="L1140" s="2" t="s">
        <v>11214</v>
      </c>
      <c r="M1140" s="2" t="s">
        <v>11252</v>
      </c>
      <c r="N1140" s="3" t="s">
        <v>181</v>
      </c>
      <c r="P1140" s="3" t="s">
        <v>65</v>
      </c>
      <c r="Q1140" s="2" t="s">
        <v>11253</v>
      </c>
      <c r="R1140" s="3" t="s">
        <v>66</v>
      </c>
      <c r="S1140" s="4">
        <v>0</v>
      </c>
      <c r="T1140" s="4">
        <v>0</v>
      </c>
      <c r="W1140" s="5" t="s">
        <v>67</v>
      </c>
      <c r="X1140" s="5" t="s">
        <v>67</v>
      </c>
      <c r="Y1140" s="4">
        <v>115</v>
      </c>
      <c r="Z1140" s="4">
        <v>9</v>
      </c>
      <c r="AA1140" s="4">
        <v>9</v>
      </c>
      <c r="AB1140" s="4">
        <v>1</v>
      </c>
      <c r="AC1140" s="4">
        <v>1</v>
      </c>
      <c r="AD1140" s="4">
        <v>55</v>
      </c>
      <c r="AE1140" s="4">
        <v>55</v>
      </c>
      <c r="AF1140" s="4">
        <v>0</v>
      </c>
      <c r="AG1140" s="4">
        <v>0</v>
      </c>
      <c r="AH1140" s="4">
        <v>50</v>
      </c>
      <c r="AI1140" s="4">
        <v>50</v>
      </c>
      <c r="AJ1140" s="4">
        <v>6</v>
      </c>
      <c r="AK1140" s="4">
        <v>6</v>
      </c>
      <c r="AL1140" s="4">
        <v>33</v>
      </c>
      <c r="AM1140" s="4">
        <v>33</v>
      </c>
      <c r="AN1140" s="4">
        <v>0</v>
      </c>
      <c r="AO1140" s="4">
        <v>0</v>
      </c>
      <c r="AP1140" s="4">
        <v>7</v>
      </c>
      <c r="AQ1140" s="4">
        <v>7</v>
      </c>
      <c r="AR1140" s="3" t="s">
        <v>62</v>
      </c>
      <c r="AS1140" s="3" t="s">
        <v>62</v>
      </c>
      <c r="AT1140" s="3" t="s">
        <v>62</v>
      </c>
      <c r="AV1140" s="6" t="str">
        <f>HYPERLINK("http://mcgill.on.worldcat.org/oclc/921865810","Catalog Record")</f>
        <v>Catalog Record</v>
      </c>
      <c r="AW1140" s="6" t="str">
        <f>HYPERLINK("http://www.worldcat.org/oclc/921865810","WorldCat Record")</f>
        <v>WorldCat Record</v>
      </c>
      <c r="AX1140" s="3" t="s">
        <v>11254</v>
      </c>
      <c r="AY1140" s="3" t="s">
        <v>11255</v>
      </c>
      <c r="AZ1140" s="3" t="s">
        <v>11256</v>
      </c>
      <c r="BA1140" s="3" t="s">
        <v>11256</v>
      </c>
      <c r="BB1140" s="3" t="s">
        <v>11257</v>
      </c>
      <c r="BC1140" s="3" t="s">
        <v>142</v>
      </c>
      <c r="BD1140" s="3" t="s">
        <v>68</v>
      </c>
      <c r="BE1140" s="3" t="s">
        <v>11258</v>
      </c>
      <c r="BF1140" s="3" t="s">
        <v>11257</v>
      </c>
      <c r="BG1140" s="3" t="s">
        <v>11259</v>
      </c>
    </row>
    <row r="1141" spans="1:59" ht="57" x14ac:dyDescent="0.45">
      <c r="A1141" s="2" t="s">
        <v>59</v>
      </c>
      <c r="B1141" s="2" t="s">
        <v>60</v>
      </c>
      <c r="C1141" s="2" t="s">
        <v>11249</v>
      </c>
      <c r="D1141" s="2" t="s">
        <v>11250</v>
      </c>
      <c r="E1141" s="2" t="s">
        <v>11251</v>
      </c>
      <c r="G1141" s="3" t="s">
        <v>62</v>
      </c>
      <c r="I1141" s="3" t="s">
        <v>61</v>
      </c>
      <c r="J1141" s="3" t="s">
        <v>62</v>
      </c>
      <c r="K1141" s="3" t="s">
        <v>63</v>
      </c>
      <c r="L1141" s="2" t="s">
        <v>11214</v>
      </c>
      <c r="M1141" s="2" t="s">
        <v>11252</v>
      </c>
      <c r="N1141" s="3" t="s">
        <v>181</v>
      </c>
      <c r="P1141" s="3" t="s">
        <v>65</v>
      </c>
      <c r="Q1141" s="2" t="s">
        <v>11253</v>
      </c>
      <c r="R1141" s="3" t="s">
        <v>66</v>
      </c>
      <c r="S1141" s="4">
        <v>0</v>
      </c>
      <c r="T1141" s="4">
        <v>0</v>
      </c>
      <c r="W1141" s="5" t="s">
        <v>67</v>
      </c>
      <c r="X1141" s="5" t="s">
        <v>67</v>
      </c>
      <c r="Y1141" s="4">
        <v>115</v>
      </c>
      <c r="Z1141" s="4">
        <v>9</v>
      </c>
      <c r="AA1141" s="4">
        <v>9</v>
      </c>
      <c r="AB1141" s="4">
        <v>1</v>
      </c>
      <c r="AC1141" s="4">
        <v>1</v>
      </c>
      <c r="AD1141" s="4">
        <v>55</v>
      </c>
      <c r="AE1141" s="4">
        <v>55</v>
      </c>
      <c r="AF1141" s="4">
        <v>0</v>
      </c>
      <c r="AG1141" s="4">
        <v>0</v>
      </c>
      <c r="AH1141" s="4">
        <v>50</v>
      </c>
      <c r="AI1141" s="4">
        <v>50</v>
      </c>
      <c r="AJ1141" s="4">
        <v>6</v>
      </c>
      <c r="AK1141" s="4">
        <v>6</v>
      </c>
      <c r="AL1141" s="4">
        <v>33</v>
      </c>
      <c r="AM1141" s="4">
        <v>33</v>
      </c>
      <c r="AN1141" s="4">
        <v>0</v>
      </c>
      <c r="AO1141" s="4">
        <v>0</v>
      </c>
      <c r="AP1141" s="4">
        <v>7</v>
      </c>
      <c r="AQ1141" s="4">
        <v>7</v>
      </c>
      <c r="AR1141" s="3" t="s">
        <v>62</v>
      </c>
      <c r="AS1141" s="3" t="s">
        <v>62</v>
      </c>
      <c r="AT1141" s="3" t="s">
        <v>62</v>
      </c>
      <c r="AV1141" s="6" t="str">
        <f>HYPERLINK("http://mcgill.on.worldcat.org/oclc/921865810","Catalog Record")</f>
        <v>Catalog Record</v>
      </c>
      <c r="AW1141" s="6" t="str">
        <f>HYPERLINK("http://www.worldcat.org/oclc/921865810","WorldCat Record")</f>
        <v>WorldCat Record</v>
      </c>
      <c r="AX1141" s="3" t="s">
        <v>11254</v>
      </c>
      <c r="AY1141" s="3" t="s">
        <v>11255</v>
      </c>
      <c r="AZ1141" s="3" t="s">
        <v>11256</v>
      </c>
      <c r="BA1141" s="3" t="s">
        <v>11256</v>
      </c>
      <c r="BB1141" s="3" t="s">
        <v>11260</v>
      </c>
      <c r="BC1141" s="3" t="s">
        <v>142</v>
      </c>
      <c r="BD1141" s="3" t="s">
        <v>68</v>
      </c>
      <c r="BE1141" s="3" t="s">
        <v>11258</v>
      </c>
      <c r="BF1141" s="3" t="s">
        <v>11260</v>
      </c>
      <c r="BG1141" s="3" t="s">
        <v>11261</v>
      </c>
    </row>
    <row r="1142" spans="1:59" ht="57" x14ac:dyDescent="0.45">
      <c r="A1142" s="2" t="s">
        <v>59</v>
      </c>
      <c r="B1142" s="2" t="s">
        <v>60</v>
      </c>
      <c r="C1142" s="2" t="s">
        <v>11262</v>
      </c>
      <c r="D1142" s="2" t="s">
        <v>11263</v>
      </c>
      <c r="E1142" s="2" t="s">
        <v>11264</v>
      </c>
      <c r="G1142" s="3" t="s">
        <v>62</v>
      </c>
      <c r="I1142" s="3" t="s">
        <v>62</v>
      </c>
      <c r="J1142" s="3" t="s">
        <v>62</v>
      </c>
      <c r="K1142" s="3" t="s">
        <v>63</v>
      </c>
      <c r="L1142" s="2" t="s">
        <v>11265</v>
      </c>
      <c r="M1142" s="2" t="s">
        <v>11266</v>
      </c>
      <c r="N1142" s="3" t="s">
        <v>918</v>
      </c>
      <c r="P1142" s="3" t="s">
        <v>65</v>
      </c>
      <c r="Q1142" s="2" t="s">
        <v>11267</v>
      </c>
      <c r="R1142" s="3" t="s">
        <v>66</v>
      </c>
      <c r="S1142" s="4">
        <v>45</v>
      </c>
      <c r="T1142" s="4">
        <v>45</v>
      </c>
      <c r="U1142" s="5" t="s">
        <v>626</v>
      </c>
      <c r="V1142" s="5" t="s">
        <v>626</v>
      </c>
      <c r="W1142" s="5" t="s">
        <v>67</v>
      </c>
      <c r="X1142" s="5" t="s">
        <v>67</v>
      </c>
      <c r="Y1142" s="4">
        <v>337</v>
      </c>
      <c r="Z1142" s="4">
        <v>28</v>
      </c>
      <c r="AA1142" s="4">
        <v>69</v>
      </c>
      <c r="AB1142" s="4">
        <v>1</v>
      </c>
      <c r="AC1142" s="4">
        <v>16</v>
      </c>
      <c r="AD1142" s="4">
        <v>101</v>
      </c>
      <c r="AE1142" s="4">
        <v>133</v>
      </c>
      <c r="AF1142" s="4">
        <v>0</v>
      </c>
      <c r="AG1142" s="4">
        <v>7</v>
      </c>
      <c r="AH1142" s="4">
        <v>87</v>
      </c>
      <c r="AI1142" s="4">
        <v>91</v>
      </c>
      <c r="AJ1142" s="4">
        <v>15</v>
      </c>
      <c r="AK1142" s="4">
        <v>26</v>
      </c>
      <c r="AL1142" s="4">
        <v>51</v>
      </c>
      <c r="AM1142" s="4">
        <v>51</v>
      </c>
      <c r="AN1142" s="4">
        <v>0</v>
      </c>
      <c r="AO1142" s="4">
        <v>0</v>
      </c>
      <c r="AP1142" s="4">
        <v>19</v>
      </c>
      <c r="AQ1142" s="4">
        <v>49</v>
      </c>
      <c r="AR1142" s="3" t="s">
        <v>62</v>
      </c>
      <c r="AS1142" s="3" t="s">
        <v>62</v>
      </c>
      <c r="AT1142" s="3" t="s">
        <v>62</v>
      </c>
      <c r="AV1142" s="6" t="str">
        <f>HYPERLINK("http://mcgill.on.worldcat.org/oclc/51607500","Catalog Record")</f>
        <v>Catalog Record</v>
      </c>
      <c r="AW1142" s="6" t="str">
        <f>HYPERLINK("http://www.worldcat.org/oclc/51607500","WorldCat Record")</f>
        <v>WorldCat Record</v>
      </c>
      <c r="AX1142" s="3" t="s">
        <v>11268</v>
      </c>
      <c r="AY1142" s="3" t="s">
        <v>11269</v>
      </c>
      <c r="AZ1142" s="3" t="s">
        <v>11270</v>
      </c>
      <c r="BA1142" s="3" t="s">
        <v>11270</v>
      </c>
      <c r="BB1142" s="3" t="s">
        <v>11271</v>
      </c>
      <c r="BC1142" s="3" t="s">
        <v>142</v>
      </c>
      <c r="BD1142" s="3" t="s">
        <v>68</v>
      </c>
      <c r="BE1142" s="3" t="s">
        <v>11272</v>
      </c>
      <c r="BF1142" s="3" t="s">
        <v>11271</v>
      </c>
      <c r="BG1142" s="3" t="s">
        <v>11273</v>
      </c>
    </row>
    <row r="1143" spans="1:59" ht="57" x14ac:dyDescent="0.45">
      <c r="A1143" s="2" t="s">
        <v>59</v>
      </c>
      <c r="B1143" s="2" t="s">
        <v>60</v>
      </c>
      <c r="C1143" s="2" t="s">
        <v>11274</v>
      </c>
      <c r="D1143" s="2" t="s">
        <v>11275</v>
      </c>
      <c r="E1143" s="2" t="s">
        <v>11276</v>
      </c>
      <c r="G1143" s="3" t="s">
        <v>62</v>
      </c>
      <c r="I1143" s="3" t="s">
        <v>62</v>
      </c>
      <c r="J1143" s="3" t="s">
        <v>62</v>
      </c>
      <c r="K1143" s="3" t="s">
        <v>63</v>
      </c>
      <c r="L1143" s="2" t="s">
        <v>11277</v>
      </c>
      <c r="M1143" s="2" t="s">
        <v>11278</v>
      </c>
      <c r="N1143" s="3" t="s">
        <v>181</v>
      </c>
      <c r="P1143" s="3" t="s">
        <v>65</v>
      </c>
      <c r="R1143" s="3" t="s">
        <v>66</v>
      </c>
      <c r="S1143" s="4">
        <v>0</v>
      </c>
      <c r="T1143" s="4">
        <v>0</v>
      </c>
      <c r="W1143" s="5" t="s">
        <v>67</v>
      </c>
      <c r="X1143" s="5" t="s">
        <v>67</v>
      </c>
      <c r="Y1143" s="4">
        <v>95</v>
      </c>
      <c r="Z1143" s="4">
        <v>10</v>
      </c>
      <c r="AA1143" s="4">
        <v>16</v>
      </c>
      <c r="AB1143" s="4">
        <v>1</v>
      </c>
      <c r="AC1143" s="4">
        <v>5</v>
      </c>
      <c r="AD1143" s="4">
        <v>42</v>
      </c>
      <c r="AE1143" s="4">
        <v>52</v>
      </c>
      <c r="AF1143" s="4">
        <v>0</v>
      </c>
      <c r="AG1143" s="4">
        <v>2</v>
      </c>
      <c r="AH1143" s="4">
        <v>38</v>
      </c>
      <c r="AI1143" s="4">
        <v>45</v>
      </c>
      <c r="AJ1143" s="4">
        <v>7</v>
      </c>
      <c r="AK1143" s="4">
        <v>11</v>
      </c>
      <c r="AL1143" s="4">
        <v>33</v>
      </c>
      <c r="AM1143" s="4">
        <v>38</v>
      </c>
      <c r="AN1143" s="4">
        <v>0</v>
      </c>
      <c r="AO1143" s="4">
        <v>0</v>
      </c>
      <c r="AP1143" s="4">
        <v>7</v>
      </c>
      <c r="AQ1143" s="4">
        <v>10</v>
      </c>
      <c r="AR1143" s="3" t="s">
        <v>62</v>
      </c>
      <c r="AS1143" s="3" t="s">
        <v>62</v>
      </c>
      <c r="AT1143" s="3" t="s">
        <v>62</v>
      </c>
      <c r="AV1143" s="6" t="str">
        <f>HYPERLINK("http://mcgill.on.worldcat.org/oclc/946462379","Catalog Record")</f>
        <v>Catalog Record</v>
      </c>
      <c r="AW1143" s="6" t="str">
        <f>HYPERLINK("http://www.worldcat.org/oclc/946462379","WorldCat Record")</f>
        <v>WorldCat Record</v>
      </c>
      <c r="AX1143" s="3" t="s">
        <v>11279</v>
      </c>
      <c r="AY1143" s="3" t="s">
        <v>11280</v>
      </c>
      <c r="AZ1143" s="3" t="s">
        <v>11281</v>
      </c>
      <c r="BA1143" s="3" t="s">
        <v>11281</v>
      </c>
      <c r="BB1143" s="3" t="s">
        <v>11282</v>
      </c>
      <c r="BC1143" s="3" t="s">
        <v>142</v>
      </c>
      <c r="BD1143" s="3" t="s">
        <v>68</v>
      </c>
      <c r="BE1143" s="3" t="s">
        <v>11283</v>
      </c>
      <c r="BF1143" s="3" t="s">
        <v>11282</v>
      </c>
      <c r="BG1143" s="3" t="s">
        <v>11284</v>
      </c>
    </row>
    <row r="1144" spans="1:59" ht="57" x14ac:dyDescent="0.45">
      <c r="A1144" s="2" t="s">
        <v>59</v>
      </c>
      <c r="B1144" s="2" t="s">
        <v>60</v>
      </c>
      <c r="C1144" s="2" t="s">
        <v>11285</v>
      </c>
      <c r="D1144" s="2" t="s">
        <v>11286</v>
      </c>
      <c r="E1144" s="2" t="s">
        <v>11287</v>
      </c>
      <c r="G1144" s="3" t="s">
        <v>62</v>
      </c>
      <c r="I1144" s="3" t="s">
        <v>62</v>
      </c>
      <c r="J1144" s="3" t="s">
        <v>62</v>
      </c>
      <c r="K1144" s="3" t="s">
        <v>63</v>
      </c>
      <c r="M1144" s="2" t="s">
        <v>11288</v>
      </c>
      <c r="N1144" s="3" t="s">
        <v>149</v>
      </c>
      <c r="P1144" s="3" t="s">
        <v>110</v>
      </c>
      <c r="Q1144" s="2" t="s">
        <v>11289</v>
      </c>
      <c r="R1144" s="3" t="s">
        <v>66</v>
      </c>
      <c r="S1144" s="4">
        <v>0</v>
      </c>
      <c r="T1144" s="4">
        <v>0</v>
      </c>
      <c r="W1144" s="5" t="s">
        <v>67</v>
      </c>
      <c r="X1144" s="5" t="s">
        <v>67</v>
      </c>
      <c r="Y1144" s="4">
        <v>61</v>
      </c>
      <c r="Z1144" s="4">
        <v>9</v>
      </c>
      <c r="AA1144" s="4">
        <v>15</v>
      </c>
      <c r="AB1144" s="4">
        <v>1</v>
      </c>
      <c r="AC1144" s="4">
        <v>6</v>
      </c>
      <c r="AD1144" s="4">
        <v>46</v>
      </c>
      <c r="AE1144" s="4">
        <v>50</v>
      </c>
      <c r="AF1144" s="4">
        <v>0</v>
      </c>
      <c r="AG1144" s="4">
        <v>3</v>
      </c>
      <c r="AH1144" s="4">
        <v>44</v>
      </c>
      <c r="AI1144" s="4">
        <v>46</v>
      </c>
      <c r="AJ1144" s="4">
        <v>7</v>
      </c>
      <c r="AK1144" s="4">
        <v>11</v>
      </c>
      <c r="AL1144" s="4">
        <v>31</v>
      </c>
      <c r="AM1144" s="4">
        <v>31</v>
      </c>
      <c r="AN1144" s="4">
        <v>0</v>
      </c>
      <c r="AO1144" s="4">
        <v>0</v>
      </c>
      <c r="AP1144" s="4">
        <v>7</v>
      </c>
      <c r="AQ1144" s="4">
        <v>10</v>
      </c>
      <c r="AR1144" s="3" t="s">
        <v>62</v>
      </c>
      <c r="AS1144" s="3" t="s">
        <v>62</v>
      </c>
      <c r="AT1144" s="3" t="s">
        <v>62</v>
      </c>
      <c r="AV1144" s="6" t="str">
        <f>HYPERLINK("http://mcgill.on.worldcat.org/oclc/680229740","Catalog Record")</f>
        <v>Catalog Record</v>
      </c>
      <c r="AW1144" s="6" t="str">
        <f>HYPERLINK("http://www.worldcat.org/oclc/680229740","WorldCat Record")</f>
        <v>WorldCat Record</v>
      </c>
      <c r="AX1144" s="3" t="s">
        <v>11290</v>
      </c>
      <c r="AY1144" s="3" t="s">
        <v>11291</v>
      </c>
      <c r="AZ1144" s="3" t="s">
        <v>11292</v>
      </c>
      <c r="BA1144" s="3" t="s">
        <v>11292</v>
      </c>
      <c r="BB1144" s="3" t="s">
        <v>11293</v>
      </c>
      <c r="BC1144" s="3" t="s">
        <v>142</v>
      </c>
      <c r="BD1144" s="3" t="s">
        <v>68</v>
      </c>
      <c r="BE1144" s="3" t="s">
        <v>11294</v>
      </c>
      <c r="BF1144" s="3" t="s">
        <v>11293</v>
      </c>
      <c r="BG1144" s="3" t="s">
        <v>11295</v>
      </c>
    </row>
    <row r="1145" spans="1:59" ht="57" x14ac:dyDescent="0.45">
      <c r="A1145" s="2" t="s">
        <v>59</v>
      </c>
      <c r="B1145" s="2" t="s">
        <v>60</v>
      </c>
      <c r="C1145" s="2" t="s">
        <v>11296</v>
      </c>
      <c r="D1145" s="2" t="s">
        <v>11297</v>
      </c>
      <c r="E1145" s="2" t="s">
        <v>11298</v>
      </c>
      <c r="G1145" s="3" t="s">
        <v>62</v>
      </c>
      <c r="I1145" s="3" t="s">
        <v>61</v>
      </c>
      <c r="J1145" s="3" t="s">
        <v>61</v>
      </c>
      <c r="K1145" s="3" t="s">
        <v>63</v>
      </c>
      <c r="L1145" s="2" t="s">
        <v>11299</v>
      </c>
      <c r="M1145" s="2" t="s">
        <v>11300</v>
      </c>
      <c r="N1145" s="3" t="s">
        <v>84</v>
      </c>
      <c r="P1145" s="3" t="s">
        <v>65</v>
      </c>
      <c r="R1145" s="3" t="s">
        <v>66</v>
      </c>
      <c r="S1145" s="4">
        <v>28</v>
      </c>
      <c r="T1145" s="4">
        <v>72</v>
      </c>
      <c r="U1145" s="5" t="s">
        <v>11301</v>
      </c>
      <c r="V1145" s="5" t="s">
        <v>11301</v>
      </c>
      <c r="W1145" s="5" t="s">
        <v>67</v>
      </c>
      <c r="X1145" s="5" t="s">
        <v>67</v>
      </c>
      <c r="Y1145" s="4">
        <v>264</v>
      </c>
      <c r="Z1145" s="4">
        <v>18</v>
      </c>
      <c r="AA1145" s="4">
        <v>48</v>
      </c>
      <c r="AB1145" s="4">
        <v>2</v>
      </c>
      <c r="AC1145" s="4">
        <v>7</v>
      </c>
      <c r="AD1145" s="4">
        <v>92</v>
      </c>
      <c r="AE1145" s="4">
        <v>133</v>
      </c>
      <c r="AF1145" s="4">
        <v>1</v>
      </c>
      <c r="AG1145" s="4">
        <v>3</v>
      </c>
      <c r="AH1145" s="4">
        <v>83</v>
      </c>
      <c r="AI1145" s="4">
        <v>111</v>
      </c>
      <c r="AJ1145" s="4">
        <v>13</v>
      </c>
      <c r="AK1145" s="4">
        <v>22</v>
      </c>
      <c r="AL1145" s="4">
        <v>46</v>
      </c>
      <c r="AM1145" s="4">
        <v>57</v>
      </c>
      <c r="AN1145" s="4">
        <v>0</v>
      </c>
      <c r="AO1145" s="4">
        <v>0</v>
      </c>
      <c r="AP1145" s="4">
        <v>15</v>
      </c>
      <c r="AQ1145" s="4">
        <v>32</v>
      </c>
      <c r="AR1145" s="3" t="s">
        <v>62</v>
      </c>
      <c r="AS1145" s="3" t="s">
        <v>62</v>
      </c>
      <c r="AT1145" s="3" t="s">
        <v>62</v>
      </c>
      <c r="AV1145" s="6" t="str">
        <f>HYPERLINK("http://mcgill.on.worldcat.org/oclc/27157000","Catalog Record")</f>
        <v>Catalog Record</v>
      </c>
      <c r="AW1145" s="6" t="str">
        <f>HYPERLINK("http://www.worldcat.org/oclc/27157000","WorldCat Record")</f>
        <v>WorldCat Record</v>
      </c>
      <c r="AX1145" s="3" t="s">
        <v>11302</v>
      </c>
      <c r="AY1145" s="3" t="s">
        <v>11303</v>
      </c>
      <c r="AZ1145" s="3" t="s">
        <v>11304</v>
      </c>
      <c r="BA1145" s="3" t="s">
        <v>11304</v>
      </c>
      <c r="BB1145" s="3" t="s">
        <v>11305</v>
      </c>
      <c r="BC1145" s="3" t="s">
        <v>142</v>
      </c>
      <c r="BD1145" s="3" t="s">
        <v>68</v>
      </c>
      <c r="BE1145" s="3" t="s">
        <v>11306</v>
      </c>
      <c r="BF1145" s="3" t="s">
        <v>11305</v>
      </c>
      <c r="BG1145" s="3" t="s">
        <v>11307</v>
      </c>
    </row>
    <row r="1146" spans="1:59" ht="57" x14ac:dyDescent="0.45">
      <c r="A1146" s="2" t="s">
        <v>59</v>
      </c>
      <c r="B1146" s="2" t="s">
        <v>60</v>
      </c>
      <c r="C1146" s="2" t="s">
        <v>11296</v>
      </c>
      <c r="D1146" s="2" t="s">
        <v>11297</v>
      </c>
      <c r="E1146" s="2" t="s">
        <v>11298</v>
      </c>
      <c r="G1146" s="3" t="s">
        <v>62</v>
      </c>
      <c r="I1146" s="3" t="s">
        <v>61</v>
      </c>
      <c r="J1146" s="3" t="s">
        <v>61</v>
      </c>
      <c r="K1146" s="3" t="s">
        <v>63</v>
      </c>
      <c r="L1146" s="2" t="s">
        <v>11299</v>
      </c>
      <c r="M1146" s="2" t="s">
        <v>11300</v>
      </c>
      <c r="N1146" s="3" t="s">
        <v>84</v>
      </c>
      <c r="P1146" s="3" t="s">
        <v>65</v>
      </c>
      <c r="R1146" s="3" t="s">
        <v>66</v>
      </c>
      <c r="S1146" s="4">
        <v>44</v>
      </c>
      <c r="T1146" s="4">
        <v>72</v>
      </c>
      <c r="U1146" s="5" t="s">
        <v>11308</v>
      </c>
      <c r="V1146" s="5" t="s">
        <v>11301</v>
      </c>
      <c r="W1146" s="5" t="s">
        <v>67</v>
      </c>
      <c r="X1146" s="5" t="s">
        <v>67</v>
      </c>
      <c r="Y1146" s="4">
        <v>264</v>
      </c>
      <c r="Z1146" s="4">
        <v>18</v>
      </c>
      <c r="AA1146" s="4">
        <v>48</v>
      </c>
      <c r="AB1146" s="4">
        <v>2</v>
      </c>
      <c r="AC1146" s="4">
        <v>7</v>
      </c>
      <c r="AD1146" s="4">
        <v>92</v>
      </c>
      <c r="AE1146" s="4">
        <v>133</v>
      </c>
      <c r="AF1146" s="4">
        <v>1</v>
      </c>
      <c r="AG1146" s="4">
        <v>3</v>
      </c>
      <c r="AH1146" s="4">
        <v>83</v>
      </c>
      <c r="AI1146" s="4">
        <v>111</v>
      </c>
      <c r="AJ1146" s="4">
        <v>13</v>
      </c>
      <c r="AK1146" s="4">
        <v>22</v>
      </c>
      <c r="AL1146" s="4">
        <v>46</v>
      </c>
      <c r="AM1146" s="4">
        <v>57</v>
      </c>
      <c r="AN1146" s="4">
        <v>0</v>
      </c>
      <c r="AO1146" s="4">
        <v>0</v>
      </c>
      <c r="AP1146" s="4">
        <v>15</v>
      </c>
      <c r="AQ1146" s="4">
        <v>32</v>
      </c>
      <c r="AR1146" s="3" t="s">
        <v>62</v>
      </c>
      <c r="AS1146" s="3" t="s">
        <v>62</v>
      </c>
      <c r="AT1146" s="3" t="s">
        <v>62</v>
      </c>
      <c r="AV1146" s="6" t="str">
        <f>HYPERLINK("http://mcgill.on.worldcat.org/oclc/27157000","Catalog Record")</f>
        <v>Catalog Record</v>
      </c>
      <c r="AW1146" s="6" t="str">
        <f>HYPERLINK("http://www.worldcat.org/oclc/27157000","WorldCat Record")</f>
        <v>WorldCat Record</v>
      </c>
      <c r="AX1146" s="3" t="s">
        <v>11302</v>
      </c>
      <c r="AY1146" s="3" t="s">
        <v>11303</v>
      </c>
      <c r="AZ1146" s="3" t="s">
        <v>11304</v>
      </c>
      <c r="BA1146" s="3" t="s">
        <v>11304</v>
      </c>
      <c r="BB1146" s="3" t="s">
        <v>11309</v>
      </c>
      <c r="BC1146" s="3" t="s">
        <v>142</v>
      </c>
      <c r="BD1146" s="3" t="s">
        <v>68</v>
      </c>
      <c r="BE1146" s="3" t="s">
        <v>11306</v>
      </c>
      <c r="BF1146" s="3" t="s">
        <v>11309</v>
      </c>
      <c r="BG1146" s="3" t="s">
        <v>11310</v>
      </c>
    </row>
    <row r="1147" spans="1:59" ht="57" x14ac:dyDescent="0.45">
      <c r="A1147" s="2" t="s">
        <v>59</v>
      </c>
      <c r="B1147" s="2" t="s">
        <v>60</v>
      </c>
      <c r="C1147" s="2" t="s">
        <v>11311</v>
      </c>
      <c r="D1147" s="2" t="s">
        <v>11312</v>
      </c>
      <c r="E1147" s="2" t="s">
        <v>11298</v>
      </c>
      <c r="G1147" s="3" t="s">
        <v>62</v>
      </c>
      <c r="I1147" s="3" t="s">
        <v>61</v>
      </c>
      <c r="J1147" s="3" t="s">
        <v>61</v>
      </c>
      <c r="K1147" s="3" t="s">
        <v>63</v>
      </c>
      <c r="L1147" s="2" t="s">
        <v>11313</v>
      </c>
      <c r="M1147" s="2" t="s">
        <v>11314</v>
      </c>
      <c r="N1147" s="3" t="s">
        <v>1437</v>
      </c>
      <c r="O1147" s="2" t="s">
        <v>933</v>
      </c>
      <c r="P1147" s="3" t="s">
        <v>65</v>
      </c>
      <c r="R1147" s="3" t="s">
        <v>66</v>
      </c>
      <c r="S1147" s="4">
        <v>42</v>
      </c>
      <c r="T1147" s="4">
        <v>84</v>
      </c>
      <c r="U1147" s="5" t="s">
        <v>11315</v>
      </c>
      <c r="V1147" s="5" t="s">
        <v>11315</v>
      </c>
      <c r="W1147" s="5" t="s">
        <v>67</v>
      </c>
      <c r="X1147" s="5" t="s">
        <v>67</v>
      </c>
      <c r="Y1147" s="4">
        <v>318</v>
      </c>
      <c r="Z1147" s="4">
        <v>32</v>
      </c>
      <c r="AA1147" s="4">
        <v>48</v>
      </c>
      <c r="AB1147" s="4">
        <v>2</v>
      </c>
      <c r="AC1147" s="4">
        <v>7</v>
      </c>
      <c r="AD1147" s="4">
        <v>98</v>
      </c>
      <c r="AE1147" s="4">
        <v>133</v>
      </c>
      <c r="AF1147" s="4">
        <v>1</v>
      </c>
      <c r="AG1147" s="4">
        <v>3</v>
      </c>
      <c r="AH1147" s="4">
        <v>86</v>
      </c>
      <c r="AI1147" s="4">
        <v>111</v>
      </c>
      <c r="AJ1147" s="4">
        <v>18</v>
      </c>
      <c r="AK1147" s="4">
        <v>22</v>
      </c>
      <c r="AL1147" s="4">
        <v>46</v>
      </c>
      <c r="AM1147" s="4">
        <v>57</v>
      </c>
      <c r="AN1147" s="4">
        <v>0</v>
      </c>
      <c r="AO1147" s="4">
        <v>0</v>
      </c>
      <c r="AP1147" s="4">
        <v>24</v>
      </c>
      <c r="AQ1147" s="4">
        <v>32</v>
      </c>
      <c r="AR1147" s="3" t="s">
        <v>62</v>
      </c>
      <c r="AS1147" s="3" t="s">
        <v>62</v>
      </c>
      <c r="AT1147" s="3" t="s">
        <v>61</v>
      </c>
      <c r="AU1147" s="6" t="str">
        <f>HYPERLINK("http://catalog.hathitrust.org/Record/003985326","HathiTrust Record")</f>
        <v>HathiTrust Record</v>
      </c>
      <c r="AV1147" s="6" t="str">
        <f>HYPERLINK("http://mcgill.on.worldcat.org/oclc/41961014","Catalog Record")</f>
        <v>Catalog Record</v>
      </c>
      <c r="AW1147" s="6" t="str">
        <f>HYPERLINK("http://www.worldcat.org/oclc/41961014","WorldCat Record")</f>
        <v>WorldCat Record</v>
      </c>
      <c r="AX1147" s="3" t="s">
        <v>11302</v>
      </c>
      <c r="AY1147" s="3" t="s">
        <v>11316</v>
      </c>
      <c r="AZ1147" s="3" t="s">
        <v>11317</v>
      </c>
      <c r="BA1147" s="3" t="s">
        <v>11317</v>
      </c>
      <c r="BB1147" s="3" t="s">
        <v>11318</v>
      </c>
      <c r="BC1147" s="3" t="s">
        <v>142</v>
      </c>
      <c r="BD1147" s="3" t="s">
        <v>68</v>
      </c>
      <c r="BE1147" s="3" t="s">
        <v>11319</v>
      </c>
      <c r="BF1147" s="3" t="s">
        <v>11318</v>
      </c>
      <c r="BG1147" s="3" t="s">
        <v>11320</v>
      </c>
    </row>
    <row r="1148" spans="1:59" ht="57" x14ac:dyDescent="0.45">
      <c r="A1148" s="2" t="s">
        <v>59</v>
      </c>
      <c r="B1148" s="2" t="s">
        <v>60</v>
      </c>
      <c r="C1148" s="2" t="s">
        <v>11311</v>
      </c>
      <c r="D1148" s="2" t="s">
        <v>11312</v>
      </c>
      <c r="E1148" s="2" t="s">
        <v>11298</v>
      </c>
      <c r="G1148" s="3" t="s">
        <v>62</v>
      </c>
      <c r="I1148" s="3" t="s">
        <v>61</v>
      </c>
      <c r="J1148" s="3" t="s">
        <v>61</v>
      </c>
      <c r="K1148" s="3" t="s">
        <v>63</v>
      </c>
      <c r="L1148" s="2" t="s">
        <v>11313</v>
      </c>
      <c r="M1148" s="2" t="s">
        <v>11314</v>
      </c>
      <c r="N1148" s="3" t="s">
        <v>1437</v>
      </c>
      <c r="O1148" s="2" t="s">
        <v>933</v>
      </c>
      <c r="P1148" s="3" t="s">
        <v>65</v>
      </c>
      <c r="R1148" s="3" t="s">
        <v>66</v>
      </c>
      <c r="S1148" s="4">
        <v>42</v>
      </c>
      <c r="T1148" s="4">
        <v>84</v>
      </c>
      <c r="U1148" s="5" t="s">
        <v>11321</v>
      </c>
      <c r="V1148" s="5" t="s">
        <v>11315</v>
      </c>
      <c r="W1148" s="5" t="s">
        <v>67</v>
      </c>
      <c r="X1148" s="5" t="s">
        <v>67</v>
      </c>
      <c r="Y1148" s="4">
        <v>318</v>
      </c>
      <c r="Z1148" s="4">
        <v>32</v>
      </c>
      <c r="AA1148" s="4">
        <v>48</v>
      </c>
      <c r="AB1148" s="4">
        <v>2</v>
      </c>
      <c r="AC1148" s="4">
        <v>7</v>
      </c>
      <c r="AD1148" s="4">
        <v>98</v>
      </c>
      <c r="AE1148" s="4">
        <v>133</v>
      </c>
      <c r="AF1148" s="4">
        <v>1</v>
      </c>
      <c r="AG1148" s="4">
        <v>3</v>
      </c>
      <c r="AH1148" s="4">
        <v>86</v>
      </c>
      <c r="AI1148" s="4">
        <v>111</v>
      </c>
      <c r="AJ1148" s="4">
        <v>18</v>
      </c>
      <c r="AK1148" s="4">
        <v>22</v>
      </c>
      <c r="AL1148" s="4">
        <v>46</v>
      </c>
      <c r="AM1148" s="4">
        <v>57</v>
      </c>
      <c r="AN1148" s="4">
        <v>0</v>
      </c>
      <c r="AO1148" s="4">
        <v>0</v>
      </c>
      <c r="AP1148" s="4">
        <v>24</v>
      </c>
      <c r="AQ1148" s="4">
        <v>32</v>
      </c>
      <c r="AR1148" s="3" t="s">
        <v>62</v>
      </c>
      <c r="AS1148" s="3" t="s">
        <v>62</v>
      </c>
      <c r="AT1148" s="3" t="s">
        <v>61</v>
      </c>
      <c r="AU1148" s="6" t="str">
        <f>HYPERLINK("http://catalog.hathitrust.org/Record/003985326","HathiTrust Record")</f>
        <v>HathiTrust Record</v>
      </c>
      <c r="AV1148" s="6" t="str">
        <f>HYPERLINK("http://mcgill.on.worldcat.org/oclc/41961014","Catalog Record")</f>
        <v>Catalog Record</v>
      </c>
      <c r="AW1148" s="6" t="str">
        <f>HYPERLINK("http://www.worldcat.org/oclc/41961014","WorldCat Record")</f>
        <v>WorldCat Record</v>
      </c>
      <c r="AX1148" s="3" t="s">
        <v>11302</v>
      </c>
      <c r="AY1148" s="3" t="s">
        <v>11316</v>
      </c>
      <c r="AZ1148" s="3" t="s">
        <v>11317</v>
      </c>
      <c r="BA1148" s="3" t="s">
        <v>11317</v>
      </c>
      <c r="BB1148" s="3" t="s">
        <v>11322</v>
      </c>
      <c r="BC1148" s="3" t="s">
        <v>142</v>
      </c>
      <c r="BD1148" s="3" t="s">
        <v>68</v>
      </c>
      <c r="BE1148" s="3" t="s">
        <v>11319</v>
      </c>
      <c r="BF1148" s="3" t="s">
        <v>11322</v>
      </c>
      <c r="BG1148" s="3" t="s">
        <v>11323</v>
      </c>
    </row>
    <row r="1149" spans="1:59" ht="57" x14ac:dyDescent="0.45">
      <c r="A1149" s="2" t="s">
        <v>59</v>
      </c>
      <c r="B1149" s="2" t="s">
        <v>60</v>
      </c>
      <c r="C1149" s="2" t="s">
        <v>11324</v>
      </c>
      <c r="D1149" s="2" t="s">
        <v>11325</v>
      </c>
      <c r="E1149" s="2" t="s">
        <v>11326</v>
      </c>
      <c r="G1149" s="3" t="s">
        <v>62</v>
      </c>
      <c r="I1149" s="3" t="s">
        <v>62</v>
      </c>
      <c r="J1149" s="3" t="s">
        <v>62</v>
      </c>
      <c r="K1149" s="3" t="s">
        <v>63</v>
      </c>
      <c r="L1149" s="2" t="s">
        <v>3196</v>
      </c>
      <c r="M1149" s="2" t="s">
        <v>11327</v>
      </c>
      <c r="N1149" s="3" t="s">
        <v>958</v>
      </c>
      <c r="P1149" s="3" t="s">
        <v>65</v>
      </c>
      <c r="R1149" s="3" t="s">
        <v>66</v>
      </c>
      <c r="S1149" s="4">
        <v>16</v>
      </c>
      <c r="T1149" s="4">
        <v>16</v>
      </c>
      <c r="U1149" s="5" t="s">
        <v>11328</v>
      </c>
      <c r="V1149" s="5" t="s">
        <v>11328</v>
      </c>
      <c r="W1149" s="5" t="s">
        <v>67</v>
      </c>
      <c r="X1149" s="5" t="s">
        <v>67</v>
      </c>
      <c r="Y1149" s="4">
        <v>471</v>
      </c>
      <c r="Z1149" s="4">
        <v>29</v>
      </c>
      <c r="AA1149" s="4">
        <v>34</v>
      </c>
      <c r="AB1149" s="4">
        <v>1</v>
      </c>
      <c r="AC1149" s="4">
        <v>2</v>
      </c>
      <c r="AD1149" s="4">
        <v>92</v>
      </c>
      <c r="AE1149" s="4">
        <v>114</v>
      </c>
      <c r="AF1149" s="4">
        <v>0</v>
      </c>
      <c r="AG1149" s="4">
        <v>1</v>
      </c>
      <c r="AH1149" s="4">
        <v>82</v>
      </c>
      <c r="AI1149" s="4">
        <v>99</v>
      </c>
      <c r="AJ1149" s="4">
        <v>10</v>
      </c>
      <c r="AK1149" s="4">
        <v>15</v>
      </c>
      <c r="AL1149" s="4">
        <v>42</v>
      </c>
      <c r="AM1149" s="4">
        <v>55</v>
      </c>
      <c r="AN1149" s="4">
        <v>0</v>
      </c>
      <c r="AO1149" s="4">
        <v>0</v>
      </c>
      <c r="AP1149" s="4">
        <v>17</v>
      </c>
      <c r="AQ1149" s="4">
        <v>22</v>
      </c>
      <c r="AR1149" s="3" t="s">
        <v>62</v>
      </c>
      <c r="AS1149" s="3" t="s">
        <v>62</v>
      </c>
      <c r="AT1149" s="3" t="s">
        <v>62</v>
      </c>
      <c r="AV1149" s="6" t="str">
        <f>HYPERLINK("http://mcgill.on.worldcat.org/oclc/31295073","Catalog Record")</f>
        <v>Catalog Record</v>
      </c>
      <c r="AW1149" s="6" t="str">
        <f>HYPERLINK("http://www.worldcat.org/oclc/31295073","WorldCat Record")</f>
        <v>WorldCat Record</v>
      </c>
      <c r="AX1149" s="3" t="s">
        <v>11329</v>
      </c>
      <c r="AY1149" s="3" t="s">
        <v>11330</v>
      </c>
      <c r="AZ1149" s="3" t="s">
        <v>11331</v>
      </c>
      <c r="BA1149" s="3" t="s">
        <v>11331</v>
      </c>
      <c r="BB1149" s="3" t="s">
        <v>11332</v>
      </c>
      <c r="BC1149" s="3" t="s">
        <v>142</v>
      </c>
      <c r="BD1149" s="3" t="s">
        <v>68</v>
      </c>
      <c r="BE1149" s="3" t="s">
        <v>11333</v>
      </c>
      <c r="BF1149" s="3" t="s">
        <v>11332</v>
      </c>
      <c r="BG1149" s="3" t="s">
        <v>11334</v>
      </c>
    </row>
    <row r="1150" spans="1:59" ht="57" x14ac:dyDescent="0.45">
      <c r="A1150" s="2" t="s">
        <v>59</v>
      </c>
      <c r="B1150" s="2" t="s">
        <v>60</v>
      </c>
      <c r="C1150" s="2" t="s">
        <v>11335</v>
      </c>
      <c r="D1150" s="2" t="s">
        <v>11336</v>
      </c>
      <c r="E1150" s="2" t="s">
        <v>11337</v>
      </c>
      <c r="G1150" s="3" t="s">
        <v>62</v>
      </c>
      <c r="I1150" s="3" t="s">
        <v>62</v>
      </c>
      <c r="J1150" s="3" t="s">
        <v>62</v>
      </c>
      <c r="K1150" s="3" t="s">
        <v>63</v>
      </c>
      <c r="M1150" s="2" t="s">
        <v>11338</v>
      </c>
      <c r="N1150" s="3" t="s">
        <v>1918</v>
      </c>
      <c r="P1150" s="3" t="s">
        <v>110</v>
      </c>
      <c r="Q1150" s="2" t="s">
        <v>11339</v>
      </c>
      <c r="R1150" s="3" t="s">
        <v>66</v>
      </c>
      <c r="S1150" s="4">
        <v>0</v>
      </c>
      <c r="T1150" s="4">
        <v>0</v>
      </c>
      <c r="W1150" s="5" t="s">
        <v>67</v>
      </c>
      <c r="X1150" s="5" t="s">
        <v>67</v>
      </c>
      <c r="Y1150" s="4">
        <v>46</v>
      </c>
      <c r="Z1150" s="4">
        <v>5</v>
      </c>
      <c r="AA1150" s="4">
        <v>7</v>
      </c>
      <c r="AB1150" s="4">
        <v>1</v>
      </c>
      <c r="AC1150" s="4">
        <v>2</v>
      </c>
      <c r="AD1150" s="4">
        <v>34</v>
      </c>
      <c r="AE1150" s="4">
        <v>36</v>
      </c>
      <c r="AF1150" s="4">
        <v>0</v>
      </c>
      <c r="AG1150" s="4">
        <v>1</v>
      </c>
      <c r="AH1150" s="4">
        <v>31</v>
      </c>
      <c r="AI1150" s="4">
        <v>32</v>
      </c>
      <c r="AJ1150" s="4">
        <v>3</v>
      </c>
      <c r="AK1150" s="4">
        <v>5</v>
      </c>
      <c r="AL1150" s="4">
        <v>25</v>
      </c>
      <c r="AM1150" s="4">
        <v>25</v>
      </c>
      <c r="AN1150" s="4">
        <v>0</v>
      </c>
      <c r="AO1150" s="4">
        <v>0</v>
      </c>
      <c r="AP1150" s="4">
        <v>4</v>
      </c>
      <c r="AQ1150" s="4">
        <v>5</v>
      </c>
      <c r="AR1150" s="3" t="s">
        <v>62</v>
      </c>
      <c r="AS1150" s="3" t="s">
        <v>62</v>
      </c>
      <c r="AT1150" s="3" t="s">
        <v>62</v>
      </c>
      <c r="AV1150" s="6" t="str">
        <f>HYPERLINK("http://mcgill.on.worldcat.org/oclc/1004550324","Catalog Record")</f>
        <v>Catalog Record</v>
      </c>
      <c r="AW1150" s="6" t="str">
        <f>HYPERLINK("http://www.worldcat.org/oclc/1004550324","WorldCat Record")</f>
        <v>WorldCat Record</v>
      </c>
      <c r="AX1150" s="3" t="s">
        <v>11340</v>
      </c>
      <c r="AY1150" s="3" t="s">
        <v>11341</v>
      </c>
      <c r="AZ1150" s="3" t="s">
        <v>11342</v>
      </c>
      <c r="BA1150" s="3" t="s">
        <v>11342</v>
      </c>
      <c r="BB1150" s="3" t="s">
        <v>11343</v>
      </c>
      <c r="BC1150" s="3" t="s">
        <v>142</v>
      </c>
      <c r="BD1150" s="3" t="s">
        <v>68</v>
      </c>
      <c r="BE1150" s="3" t="s">
        <v>11344</v>
      </c>
      <c r="BF1150" s="3" t="s">
        <v>11343</v>
      </c>
      <c r="BG1150" s="3" t="s">
        <v>11345</v>
      </c>
    </row>
    <row r="1151" spans="1:59" ht="57" x14ac:dyDescent="0.45">
      <c r="A1151" s="2" t="s">
        <v>59</v>
      </c>
      <c r="B1151" s="2" t="s">
        <v>60</v>
      </c>
      <c r="C1151" s="2" t="s">
        <v>11346</v>
      </c>
      <c r="D1151" s="2" t="s">
        <v>11347</v>
      </c>
      <c r="E1151" s="2" t="s">
        <v>11348</v>
      </c>
      <c r="G1151" s="3" t="s">
        <v>62</v>
      </c>
      <c r="I1151" s="3" t="s">
        <v>62</v>
      </c>
      <c r="J1151" s="3" t="s">
        <v>62</v>
      </c>
      <c r="K1151" s="3" t="s">
        <v>63</v>
      </c>
      <c r="L1151" s="2" t="s">
        <v>11349</v>
      </c>
      <c r="M1151" s="2" t="s">
        <v>11350</v>
      </c>
      <c r="N1151" s="3" t="s">
        <v>970</v>
      </c>
      <c r="P1151" s="3" t="s">
        <v>65</v>
      </c>
      <c r="Q1151" s="2" t="s">
        <v>11351</v>
      </c>
      <c r="R1151" s="3" t="s">
        <v>66</v>
      </c>
      <c r="S1151" s="4">
        <v>21</v>
      </c>
      <c r="T1151" s="4">
        <v>21</v>
      </c>
      <c r="U1151" s="5" t="s">
        <v>2853</v>
      </c>
      <c r="V1151" s="5" t="s">
        <v>2853</v>
      </c>
      <c r="W1151" s="5" t="s">
        <v>67</v>
      </c>
      <c r="X1151" s="5" t="s">
        <v>67</v>
      </c>
      <c r="Y1151" s="4">
        <v>431</v>
      </c>
      <c r="Z1151" s="4">
        <v>17</v>
      </c>
      <c r="AA1151" s="4">
        <v>69</v>
      </c>
      <c r="AB1151" s="4">
        <v>1</v>
      </c>
      <c r="AC1151" s="4">
        <v>16</v>
      </c>
      <c r="AD1151" s="4">
        <v>64</v>
      </c>
      <c r="AE1151" s="4">
        <v>131</v>
      </c>
      <c r="AF1151" s="4">
        <v>0</v>
      </c>
      <c r="AG1151" s="4">
        <v>8</v>
      </c>
      <c r="AH1151" s="4">
        <v>58</v>
      </c>
      <c r="AI1151" s="4">
        <v>91</v>
      </c>
      <c r="AJ1151" s="4">
        <v>7</v>
      </c>
      <c r="AK1151" s="4">
        <v>25</v>
      </c>
      <c r="AL1151" s="4">
        <v>33</v>
      </c>
      <c r="AM1151" s="4">
        <v>52</v>
      </c>
      <c r="AN1151" s="4">
        <v>0</v>
      </c>
      <c r="AO1151" s="4">
        <v>0</v>
      </c>
      <c r="AP1151" s="4">
        <v>10</v>
      </c>
      <c r="AQ1151" s="4">
        <v>49</v>
      </c>
      <c r="AR1151" s="3" t="s">
        <v>62</v>
      </c>
      <c r="AS1151" s="3" t="s">
        <v>62</v>
      </c>
      <c r="AT1151" s="3" t="s">
        <v>62</v>
      </c>
      <c r="AV1151" s="6" t="str">
        <f>HYPERLINK("http://mcgill.on.worldcat.org/oclc/48417246","Catalog Record")</f>
        <v>Catalog Record</v>
      </c>
      <c r="AW1151" s="6" t="str">
        <f>HYPERLINK("http://www.worldcat.org/oclc/48417246","WorldCat Record")</f>
        <v>WorldCat Record</v>
      </c>
      <c r="AX1151" s="3" t="s">
        <v>11352</v>
      </c>
      <c r="AY1151" s="3" t="s">
        <v>11353</v>
      </c>
      <c r="AZ1151" s="3" t="s">
        <v>11354</v>
      </c>
      <c r="BA1151" s="3" t="s">
        <v>11354</v>
      </c>
      <c r="BB1151" s="3" t="s">
        <v>11355</v>
      </c>
      <c r="BC1151" s="3" t="s">
        <v>142</v>
      </c>
      <c r="BD1151" s="3" t="s">
        <v>68</v>
      </c>
      <c r="BE1151" s="3" t="s">
        <v>11356</v>
      </c>
      <c r="BF1151" s="3" t="s">
        <v>11355</v>
      </c>
      <c r="BG1151" s="3" t="s">
        <v>11357</v>
      </c>
    </row>
    <row r="1152" spans="1:59" ht="57" x14ac:dyDescent="0.45">
      <c r="A1152" s="2" t="s">
        <v>59</v>
      </c>
      <c r="B1152" s="2" t="s">
        <v>60</v>
      </c>
      <c r="C1152" s="2" t="s">
        <v>11358</v>
      </c>
      <c r="D1152" s="2" t="s">
        <v>11359</v>
      </c>
      <c r="E1152" s="2" t="s">
        <v>11360</v>
      </c>
      <c r="G1152" s="3" t="s">
        <v>62</v>
      </c>
      <c r="I1152" s="3" t="s">
        <v>62</v>
      </c>
      <c r="J1152" s="3" t="s">
        <v>62</v>
      </c>
      <c r="K1152" s="3" t="s">
        <v>63</v>
      </c>
      <c r="L1152" s="2" t="s">
        <v>11361</v>
      </c>
      <c r="M1152" s="2" t="s">
        <v>11362</v>
      </c>
      <c r="N1152" s="3" t="s">
        <v>480</v>
      </c>
      <c r="P1152" s="3" t="s">
        <v>110</v>
      </c>
      <c r="Q1152" s="2" t="s">
        <v>11363</v>
      </c>
      <c r="R1152" s="3" t="s">
        <v>66</v>
      </c>
      <c r="S1152" s="4">
        <v>11</v>
      </c>
      <c r="T1152" s="4">
        <v>11</v>
      </c>
      <c r="U1152" s="5" t="s">
        <v>11364</v>
      </c>
      <c r="V1152" s="5" t="s">
        <v>11364</v>
      </c>
      <c r="W1152" s="5" t="s">
        <v>67</v>
      </c>
      <c r="X1152" s="5" t="s">
        <v>67</v>
      </c>
      <c r="Y1152" s="4">
        <v>165</v>
      </c>
      <c r="Z1152" s="4">
        <v>14</v>
      </c>
      <c r="AA1152" s="4">
        <v>23</v>
      </c>
      <c r="AB1152" s="4">
        <v>3</v>
      </c>
      <c r="AC1152" s="4">
        <v>8</v>
      </c>
      <c r="AD1152" s="4">
        <v>69</v>
      </c>
      <c r="AE1152" s="4">
        <v>77</v>
      </c>
      <c r="AF1152" s="4">
        <v>1</v>
      </c>
      <c r="AG1152" s="4">
        <v>6</v>
      </c>
      <c r="AH1152" s="4">
        <v>61</v>
      </c>
      <c r="AI1152" s="4">
        <v>65</v>
      </c>
      <c r="AJ1152" s="4">
        <v>11</v>
      </c>
      <c r="AK1152" s="4">
        <v>18</v>
      </c>
      <c r="AL1152" s="4">
        <v>37</v>
      </c>
      <c r="AM1152" s="4">
        <v>38</v>
      </c>
      <c r="AN1152" s="4">
        <v>0</v>
      </c>
      <c r="AO1152" s="4">
        <v>0</v>
      </c>
      <c r="AP1152" s="4">
        <v>12</v>
      </c>
      <c r="AQ1152" s="4">
        <v>19</v>
      </c>
      <c r="AR1152" s="3" t="s">
        <v>62</v>
      </c>
      <c r="AS1152" s="3" t="s">
        <v>62</v>
      </c>
      <c r="AT1152" s="3" t="s">
        <v>61</v>
      </c>
      <c r="AU1152" s="6" t="str">
        <f>HYPERLINK("http://catalog.hathitrust.org/Record/000707724","HathiTrust Record")</f>
        <v>HathiTrust Record</v>
      </c>
      <c r="AV1152" s="6" t="str">
        <f>HYPERLINK("http://mcgill.on.worldcat.org/oclc/5184326","Catalog Record")</f>
        <v>Catalog Record</v>
      </c>
      <c r="AW1152" s="6" t="str">
        <f>HYPERLINK("http://www.worldcat.org/oclc/5184326","WorldCat Record")</f>
        <v>WorldCat Record</v>
      </c>
      <c r="AX1152" s="3" t="s">
        <v>11365</v>
      </c>
      <c r="AY1152" s="3" t="s">
        <v>11366</v>
      </c>
      <c r="AZ1152" s="3" t="s">
        <v>11367</v>
      </c>
      <c r="BA1152" s="3" t="s">
        <v>11367</v>
      </c>
      <c r="BB1152" s="3" t="s">
        <v>11368</v>
      </c>
      <c r="BC1152" s="3" t="s">
        <v>142</v>
      </c>
      <c r="BD1152" s="3" t="s">
        <v>68</v>
      </c>
      <c r="BE1152" s="3" t="s">
        <v>11369</v>
      </c>
      <c r="BF1152" s="3" t="s">
        <v>11368</v>
      </c>
      <c r="BG1152" s="3" t="s">
        <v>11370</v>
      </c>
    </row>
    <row r="1153" spans="1:59" ht="57" x14ac:dyDescent="0.45">
      <c r="A1153" s="2" t="s">
        <v>59</v>
      </c>
      <c r="B1153" s="2" t="s">
        <v>60</v>
      </c>
      <c r="C1153" s="2" t="s">
        <v>11371</v>
      </c>
      <c r="D1153" s="2" t="s">
        <v>11372</v>
      </c>
      <c r="E1153" s="2" t="s">
        <v>11373</v>
      </c>
      <c r="G1153" s="3" t="s">
        <v>62</v>
      </c>
      <c r="I1153" s="3" t="s">
        <v>62</v>
      </c>
      <c r="J1153" s="3" t="s">
        <v>62</v>
      </c>
      <c r="K1153" s="3" t="s">
        <v>63</v>
      </c>
      <c r="L1153" s="2" t="s">
        <v>11374</v>
      </c>
      <c r="M1153" s="2" t="s">
        <v>11375</v>
      </c>
      <c r="N1153" s="3" t="s">
        <v>116</v>
      </c>
      <c r="P1153" s="3" t="s">
        <v>182</v>
      </c>
      <c r="Q1153" s="2" t="s">
        <v>11376</v>
      </c>
      <c r="R1153" s="3" t="s">
        <v>66</v>
      </c>
      <c r="S1153" s="4">
        <v>0</v>
      </c>
      <c r="T1153" s="4">
        <v>0</v>
      </c>
      <c r="W1153" s="5" t="s">
        <v>67</v>
      </c>
      <c r="X1153" s="5" t="s">
        <v>67</v>
      </c>
      <c r="Y1153" s="4">
        <v>9</v>
      </c>
      <c r="Z1153" s="4">
        <v>1</v>
      </c>
      <c r="AA1153" s="4">
        <v>1</v>
      </c>
      <c r="AB1153" s="4">
        <v>1</v>
      </c>
      <c r="AC1153" s="4">
        <v>1</v>
      </c>
      <c r="AD1153" s="4">
        <v>5</v>
      </c>
      <c r="AE1153" s="4">
        <v>5</v>
      </c>
      <c r="AF1153" s="4">
        <v>0</v>
      </c>
      <c r="AG1153" s="4">
        <v>0</v>
      </c>
      <c r="AH1153" s="4">
        <v>4</v>
      </c>
      <c r="AI1153" s="4">
        <v>4</v>
      </c>
      <c r="AJ1153" s="4">
        <v>0</v>
      </c>
      <c r="AK1153" s="4">
        <v>0</v>
      </c>
      <c r="AL1153" s="4">
        <v>4</v>
      </c>
      <c r="AM1153" s="4">
        <v>4</v>
      </c>
      <c r="AN1153" s="4">
        <v>0</v>
      </c>
      <c r="AO1153" s="4">
        <v>0</v>
      </c>
      <c r="AP1153" s="4">
        <v>0</v>
      </c>
      <c r="AQ1153" s="4">
        <v>0</v>
      </c>
      <c r="AR1153" s="3" t="s">
        <v>62</v>
      </c>
      <c r="AS1153" s="3" t="s">
        <v>62</v>
      </c>
      <c r="AT1153" s="3" t="s">
        <v>62</v>
      </c>
      <c r="AV1153" s="6" t="str">
        <f>HYPERLINK("http://mcgill.on.worldcat.org/oclc/841181217","Catalog Record")</f>
        <v>Catalog Record</v>
      </c>
      <c r="AW1153" s="6" t="str">
        <f>HYPERLINK("http://www.worldcat.org/oclc/841181217","WorldCat Record")</f>
        <v>WorldCat Record</v>
      </c>
      <c r="AX1153" s="3" t="s">
        <v>11377</v>
      </c>
      <c r="AY1153" s="3" t="s">
        <v>11378</v>
      </c>
      <c r="AZ1153" s="3" t="s">
        <v>11379</v>
      </c>
      <c r="BA1153" s="3" t="s">
        <v>11379</v>
      </c>
      <c r="BB1153" s="3" t="s">
        <v>11380</v>
      </c>
      <c r="BC1153" s="3" t="s">
        <v>142</v>
      </c>
      <c r="BD1153" s="3" t="s">
        <v>68</v>
      </c>
      <c r="BE1153" s="3" t="s">
        <v>11381</v>
      </c>
      <c r="BF1153" s="3" t="s">
        <v>11380</v>
      </c>
      <c r="BG1153" s="3" t="s">
        <v>11382</v>
      </c>
    </row>
    <row r="1154" spans="1:59" ht="57" x14ac:dyDescent="0.45">
      <c r="A1154" s="2" t="s">
        <v>59</v>
      </c>
      <c r="B1154" s="2" t="s">
        <v>60</v>
      </c>
      <c r="C1154" s="2" t="s">
        <v>11383</v>
      </c>
      <c r="D1154" s="2" t="s">
        <v>11384</v>
      </c>
      <c r="E1154" s="2" t="s">
        <v>11385</v>
      </c>
      <c r="G1154" s="3" t="s">
        <v>62</v>
      </c>
      <c r="I1154" s="3" t="s">
        <v>62</v>
      </c>
      <c r="J1154" s="3" t="s">
        <v>62</v>
      </c>
      <c r="K1154" s="3" t="s">
        <v>63</v>
      </c>
      <c r="L1154" s="2" t="s">
        <v>11386</v>
      </c>
      <c r="M1154" s="2" t="s">
        <v>11387</v>
      </c>
      <c r="N1154" s="3" t="s">
        <v>1155</v>
      </c>
      <c r="P1154" s="3" t="s">
        <v>110</v>
      </c>
      <c r="Q1154" s="2" t="s">
        <v>11388</v>
      </c>
      <c r="R1154" s="3" t="s">
        <v>66</v>
      </c>
      <c r="S1154" s="4">
        <v>1</v>
      </c>
      <c r="T1154" s="4">
        <v>1</v>
      </c>
      <c r="U1154" s="5" t="s">
        <v>11328</v>
      </c>
      <c r="V1154" s="5" t="s">
        <v>11328</v>
      </c>
      <c r="W1154" s="5" t="s">
        <v>67</v>
      </c>
      <c r="X1154" s="5" t="s">
        <v>67</v>
      </c>
      <c r="Y1154" s="4">
        <v>77</v>
      </c>
      <c r="Z1154" s="4">
        <v>10</v>
      </c>
      <c r="AA1154" s="4">
        <v>19</v>
      </c>
      <c r="AB1154" s="4">
        <v>1</v>
      </c>
      <c r="AC1154" s="4">
        <v>7</v>
      </c>
      <c r="AD1154" s="4">
        <v>53</v>
      </c>
      <c r="AE1154" s="4">
        <v>58</v>
      </c>
      <c r="AF1154" s="4">
        <v>0</v>
      </c>
      <c r="AG1154" s="4">
        <v>3</v>
      </c>
      <c r="AH1154" s="4">
        <v>50</v>
      </c>
      <c r="AI1154" s="4">
        <v>52</v>
      </c>
      <c r="AJ1154" s="4">
        <v>6</v>
      </c>
      <c r="AK1154" s="4">
        <v>10</v>
      </c>
      <c r="AL1154" s="4">
        <v>36</v>
      </c>
      <c r="AM1154" s="4">
        <v>36</v>
      </c>
      <c r="AN1154" s="4">
        <v>0</v>
      </c>
      <c r="AO1154" s="4">
        <v>0</v>
      </c>
      <c r="AP1154" s="4">
        <v>7</v>
      </c>
      <c r="AQ1154" s="4">
        <v>11</v>
      </c>
      <c r="AR1154" s="3" t="s">
        <v>62</v>
      </c>
      <c r="AS1154" s="3" t="s">
        <v>62</v>
      </c>
      <c r="AT1154" s="3" t="s">
        <v>62</v>
      </c>
      <c r="AV1154" s="6" t="str">
        <f>HYPERLINK("http://mcgill.on.worldcat.org/oclc/688495046","Catalog Record")</f>
        <v>Catalog Record</v>
      </c>
      <c r="AW1154" s="6" t="str">
        <f>HYPERLINK("http://www.worldcat.org/oclc/688495046","WorldCat Record")</f>
        <v>WorldCat Record</v>
      </c>
      <c r="AX1154" s="3" t="s">
        <v>11389</v>
      </c>
      <c r="AY1154" s="3" t="s">
        <v>11390</v>
      </c>
      <c r="AZ1154" s="3" t="s">
        <v>11391</v>
      </c>
      <c r="BA1154" s="3" t="s">
        <v>11391</v>
      </c>
      <c r="BB1154" s="3" t="s">
        <v>11392</v>
      </c>
      <c r="BC1154" s="3" t="s">
        <v>142</v>
      </c>
      <c r="BD1154" s="3" t="s">
        <v>68</v>
      </c>
      <c r="BE1154" s="3" t="s">
        <v>11393</v>
      </c>
      <c r="BF1154" s="3" t="s">
        <v>11392</v>
      </c>
      <c r="BG1154" s="3" t="s">
        <v>11394</v>
      </c>
    </row>
    <row r="1155" spans="1:59" ht="57" x14ac:dyDescent="0.45">
      <c r="A1155" s="2" t="s">
        <v>59</v>
      </c>
      <c r="B1155" s="2" t="s">
        <v>60</v>
      </c>
      <c r="C1155" s="2" t="s">
        <v>11395</v>
      </c>
      <c r="D1155" s="2" t="s">
        <v>11396</v>
      </c>
      <c r="E1155" s="2" t="s">
        <v>11397</v>
      </c>
      <c r="G1155" s="3" t="s">
        <v>62</v>
      </c>
      <c r="I1155" s="3" t="s">
        <v>62</v>
      </c>
      <c r="J1155" s="3" t="s">
        <v>62</v>
      </c>
      <c r="K1155" s="3" t="s">
        <v>63</v>
      </c>
      <c r="L1155" s="2" t="s">
        <v>11398</v>
      </c>
      <c r="M1155" s="2" t="s">
        <v>11399</v>
      </c>
      <c r="N1155" s="3" t="s">
        <v>1155</v>
      </c>
      <c r="P1155" s="3" t="s">
        <v>110</v>
      </c>
      <c r="R1155" s="3" t="s">
        <v>66</v>
      </c>
      <c r="S1155" s="4">
        <v>0</v>
      </c>
      <c r="T1155" s="4">
        <v>0</v>
      </c>
      <c r="W1155" s="5" t="s">
        <v>67</v>
      </c>
      <c r="X1155" s="5" t="s">
        <v>67</v>
      </c>
      <c r="Y1155" s="4">
        <v>44</v>
      </c>
      <c r="Z1155" s="4">
        <v>5</v>
      </c>
      <c r="AA1155" s="4">
        <v>6</v>
      </c>
      <c r="AB1155" s="4">
        <v>1</v>
      </c>
      <c r="AC1155" s="4">
        <v>1</v>
      </c>
      <c r="AD1155" s="4">
        <v>34</v>
      </c>
      <c r="AE1155" s="4">
        <v>35</v>
      </c>
      <c r="AF1155" s="4">
        <v>0</v>
      </c>
      <c r="AG1155" s="4">
        <v>0</v>
      </c>
      <c r="AH1155" s="4">
        <v>33</v>
      </c>
      <c r="AI1155" s="4">
        <v>34</v>
      </c>
      <c r="AJ1155" s="4">
        <v>3</v>
      </c>
      <c r="AK1155" s="4">
        <v>4</v>
      </c>
      <c r="AL1155" s="4">
        <v>23</v>
      </c>
      <c r="AM1155" s="4">
        <v>23</v>
      </c>
      <c r="AN1155" s="4">
        <v>0</v>
      </c>
      <c r="AO1155" s="4">
        <v>0</v>
      </c>
      <c r="AP1155" s="4">
        <v>3</v>
      </c>
      <c r="AQ1155" s="4">
        <v>4</v>
      </c>
      <c r="AR1155" s="3" t="s">
        <v>62</v>
      </c>
      <c r="AS1155" s="3" t="s">
        <v>62</v>
      </c>
      <c r="AT1155" s="3" t="s">
        <v>62</v>
      </c>
      <c r="AV1155" s="6" t="str">
        <f>HYPERLINK("http://mcgill.on.worldcat.org/oclc/775064239","Catalog Record")</f>
        <v>Catalog Record</v>
      </c>
      <c r="AW1155" s="6" t="str">
        <f>HYPERLINK("http://www.worldcat.org/oclc/775064239","WorldCat Record")</f>
        <v>WorldCat Record</v>
      </c>
      <c r="AX1155" s="3" t="s">
        <v>11400</v>
      </c>
      <c r="AY1155" s="3" t="s">
        <v>11401</v>
      </c>
      <c r="AZ1155" s="3" t="s">
        <v>11402</v>
      </c>
      <c r="BA1155" s="3" t="s">
        <v>11402</v>
      </c>
      <c r="BB1155" s="3" t="s">
        <v>11403</v>
      </c>
      <c r="BC1155" s="3" t="s">
        <v>142</v>
      </c>
      <c r="BD1155" s="3" t="s">
        <v>68</v>
      </c>
      <c r="BE1155" s="3" t="s">
        <v>11404</v>
      </c>
      <c r="BF1155" s="3" t="s">
        <v>11403</v>
      </c>
      <c r="BG1155" s="3" t="s">
        <v>11405</v>
      </c>
    </row>
    <row r="1156" spans="1:59" ht="57" x14ac:dyDescent="0.45">
      <c r="A1156" s="2" t="s">
        <v>59</v>
      </c>
      <c r="B1156" s="2" t="s">
        <v>60</v>
      </c>
      <c r="C1156" s="2" t="s">
        <v>11406</v>
      </c>
      <c r="D1156" s="2" t="s">
        <v>11407</v>
      </c>
      <c r="E1156" s="2" t="s">
        <v>11408</v>
      </c>
      <c r="G1156" s="3" t="s">
        <v>62</v>
      </c>
      <c r="I1156" s="3" t="s">
        <v>62</v>
      </c>
      <c r="J1156" s="3" t="s">
        <v>62</v>
      </c>
      <c r="K1156" s="3" t="s">
        <v>63</v>
      </c>
      <c r="L1156" s="2" t="s">
        <v>11409</v>
      </c>
      <c r="M1156" s="2" t="s">
        <v>11410</v>
      </c>
      <c r="N1156" s="3" t="s">
        <v>625</v>
      </c>
      <c r="P1156" s="3" t="s">
        <v>110</v>
      </c>
      <c r="Q1156" s="2" t="s">
        <v>11411</v>
      </c>
      <c r="R1156" s="3" t="s">
        <v>66</v>
      </c>
      <c r="S1156" s="4">
        <v>12</v>
      </c>
      <c r="T1156" s="4">
        <v>12</v>
      </c>
      <c r="U1156" s="5" t="s">
        <v>6272</v>
      </c>
      <c r="V1156" s="5" t="s">
        <v>6272</v>
      </c>
      <c r="W1156" s="5" t="s">
        <v>67</v>
      </c>
      <c r="X1156" s="5" t="s">
        <v>67</v>
      </c>
      <c r="Y1156" s="4">
        <v>3</v>
      </c>
      <c r="Z1156" s="4">
        <v>1</v>
      </c>
      <c r="AA1156" s="4">
        <v>1</v>
      </c>
      <c r="AB1156" s="4">
        <v>1</v>
      </c>
      <c r="AC1156" s="4">
        <v>1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3" t="s">
        <v>62</v>
      </c>
      <c r="AS1156" s="3" t="s">
        <v>62</v>
      </c>
      <c r="AT1156" s="3" t="s">
        <v>62</v>
      </c>
      <c r="AV1156" s="6" t="str">
        <f>HYPERLINK("http://mcgill.on.worldcat.org/oclc/427248153","Catalog Record")</f>
        <v>Catalog Record</v>
      </c>
      <c r="AW1156" s="6" t="str">
        <f>HYPERLINK("http://www.worldcat.org/oclc/427248153","WorldCat Record")</f>
        <v>WorldCat Record</v>
      </c>
      <c r="AX1156" s="3" t="s">
        <v>11412</v>
      </c>
      <c r="AY1156" s="3" t="s">
        <v>11413</v>
      </c>
      <c r="AZ1156" s="3" t="s">
        <v>11414</v>
      </c>
      <c r="BA1156" s="3" t="s">
        <v>11414</v>
      </c>
      <c r="BB1156" s="3" t="s">
        <v>11415</v>
      </c>
      <c r="BC1156" s="3" t="s">
        <v>142</v>
      </c>
      <c r="BD1156" s="3" t="s">
        <v>68</v>
      </c>
      <c r="BE1156" s="3" t="s">
        <v>11416</v>
      </c>
      <c r="BF1156" s="3" t="s">
        <v>11415</v>
      </c>
      <c r="BG1156" s="3" t="s">
        <v>11417</v>
      </c>
    </row>
    <row r="1157" spans="1:59" ht="71.25" x14ac:dyDescent="0.45">
      <c r="A1157" s="2" t="s">
        <v>59</v>
      </c>
      <c r="B1157" s="2" t="s">
        <v>60</v>
      </c>
      <c r="C1157" s="2" t="s">
        <v>11418</v>
      </c>
      <c r="D1157" s="2" t="s">
        <v>11419</v>
      </c>
      <c r="E1157" s="2" t="s">
        <v>11420</v>
      </c>
      <c r="G1157" s="3" t="s">
        <v>62</v>
      </c>
      <c r="I1157" s="3" t="s">
        <v>62</v>
      </c>
      <c r="J1157" s="3" t="s">
        <v>62</v>
      </c>
      <c r="K1157" s="3" t="s">
        <v>63</v>
      </c>
      <c r="L1157" s="2" t="s">
        <v>11421</v>
      </c>
      <c r="M1157" s="2" t="s">
        <v>11422</v>
      </c>
      <c r="N1157" s="3" t="s">
        <v>894</v>
      </c>
      <c r="P1157" s="3" t="s">
        <v>65</v>
      </c>
      <c r="Q1157" s="2" t="s">
        <v>11423</v>
      </c>
      <c r="R1157" s="3" t="s">
        <v>66</v>
      </c>
      <c r="S1157" s="4">
        <v>1</v>
      </c>
      <c r="T1157" s="4">
        <v>1</v>
      </c>
      <c r="U1157" s="5" t="s">
        <v>11424</v>
      </c>
      <c r="V1157" s="5" t="s">
        <v>11424</v>
      </c>
      <c r="W1157" s="5" t="s">
        <v>67</v>
      </c>
      <c r="X1157" s="5" t="s">
        <v>67</v>
      </c>
      <c r="Y1157" s="4">
        <v>175</v>
      </c>
      <c r="Z1157" s="4">
        <v>19</v>
      </c>
      <c r="AA1157" s="4">
        <v>21</v>
      </c>
      <c r="AB1157" s="4">
        <v>1</v>
      </c>
      <c r="AC1157" s="4">
        <v>3</v>
      </c>
      <c r="AD1157" s="4">
        <v>73</v>
      </c>
      <c r="AE1157" s="4">
        <v>73</v>
      </c>
      <c r="AF1157" s="4">
        <v>0</v>
      </c>
      <c r="AG1157" s="4">
        <v>0</v>
      </c>
      <c r="AH1157" s="4">
        <v>66</v>
      </c>
      <c r="AI1157" s="4">
        <v>66</v>
      </c>
      <c r="AJ1157" s="4">
        <v>14</v>
      </c>
      <c r="AK1157" s="4">
        <v>14</v>
      </c>
      <c r="AL1157" s="4">
        <v>36</v>
      </c>
      <c r="AM1157" s="4">
        <v>36</v>
      </c>
      <c r="AN1157" s="4">
        <v>0</v>
      </c>
      <c r="AO1157" s="4">
        <v>0</v>
      </c>
      <c r="AP1157" s="4">
        <v>17</v>
      </c>
      <c r="AQ1157" s="4">
        <v>17</v>
      </c>
      <c r="AR1157" s="3" t="s">
        <v>62</v>
      </c>
      <c r="AS1157" s="3" t="s">
        <v>62</v>
      </c>
      <c r="AT1157" s="3" t="s">
        <v>62</v>
      </c>
      <c r="AV1157" s="6" t="str">
        <f>HYPERLINK("http://mcgill.on.worldcat.org/oclc/639162563","Catalog Record")</f>
        <v>Catalog Record</v>
      </c>
      <c r="AW1157" s="6" t="str">
        <f>HYPERLINK("http://www.worldcat.org/oclc/639162563","WorldCat Record")</f>
        <v>WorldCat Record</v>
      </c>
      <c r="AX1157" s="3" t="s">
        <v>11425</v>
      </c>
      <c r="AY1157" s="3" t="s">
        <v>11426</v>
      </c>
      <c r="AZ1157" s="3" t="s">
        <v>11427</v>
      </c>
      <c r="BA1157" s="3" t="s">
        <v>11427</v>
      </c>
      <c r="BB1157" s="3" t="s">
        <v>11428</v>
      </c>
      <c r="BC1157" s="3" t="s">
        <v>142</v>
      </c>
      <c r="BD1157" s="3" t="s">
        <v>68</v>
      </c>
      <c r="BE1157" s="3" t="s">
        <v>11429</v>
      </c>
      <c r="BF1157" s="3" t="s">
        <v>11428</v>
      </c>
      <c r="BG1157" s="3" t="s">
        <v>11430</v>
      </c>
    </row>
    <row r="1158" spans="1:59" ht="71.25" x14ac:dyDescent="0.45">
      <c r="A1158" s="2" t="s">
        <v>59</v>
      </c>
      <c r="B1158" s="2" t="s">
        <v>60</v>
      </c>
      <c r="C1158" s="2" t="s">
        <v>11431</v>
      </c>
      <c r="D1158" s="2" t="s">
        <v>11432</v>
      </c>
      <c r="E1158" s="2" t="s">
        <v>11433</v>
      </c>
      <c r="G1158" s="3" t="s">
        <v>62</v>
      </c>
      <c r="I1158" s="3" t="s">
        <v>62</v>
      </c>
      <c r="J1158" s="3" t="s">
        <v>62</v>
      </c>
      <c r="K1158" s="3" t="s">
        <v>63</v>
      </c>
      <c r="L1158" s="2" t="s">
        <v>11434</v>
      </c>
      <c r="M1158" s="2" t="s">
        <v>11435</v>
      </c>
      <c r="N1158" s="3" t="s">
        <v>1059</v>
      </c>
      <c r="P1158" s="3" t="s">
        <v>110</v>
      </c>
      <c r="Q1158" s="2" t="s">
        <v>11436</v>
      </c>
      <c r="R1158" s="3" t="s">
        <v>66</v>
      </c>
      <c r="S1158" s="4">
        <v>8</v>
      </c>
      <c r="T1158" s="4">
        <v>8</v>
      </c>
      <c r="U1158" s="5" t="s">
        <v>6272</v>
      </c>
      <c r="V1158" s="5" t="s">
        <v>6272</v>
      </c>
      <c r="W1158" s="5" t="s">
        <v>67</v>
      </c>
      <c r="X1158" s="5" t="s">
        <v>67</v>
      </c>
      <c r="Y1158" s="4">
        <v>118</v>
      </c>
      <c r="Z1158" s="4">
        <v>15</v>
      </c>
      <c r="AA1158" s="4">
        <v>23</v>
      </c>
      <c r="AB1158" s="4">
        <v>2</v>
      </c>
      <c r="AC1158" s="4">
        <v>8</v>
      </c>
      <c r="AD1158" s="4">
        <v>67</v>
      </c>
      <c r="AE1158" s="4">
        <v>73</v>
      </c>
      <c r="AF1158" s="4">
        <v>1</v>
      </c>
      <c r="AG1158" s="4">
        <v>5</v>
      </c>
      <c r="AH1158" s="4">
        <v>59</v>
      </c>
      <c r="AI1158" s="4">
        <v>61</v>
      </c>
      <c r="AJ1158" s="4">
        <v>11</v>
      </c>
      <c r="AK1158" s="4">
        <v>16</v>
      </c>
      <c r="AL1158" s="4">
        <v>39</v>
      </c>
      <c r="AM1158" s="4">
        <v>39</v>
      </c>
      <c r="AN1158" s="4">
        <v>0</v>
      </c>
      <c r="AO1158" s="4">
        <v>0</v>
      </c>
      <c r="AP1158" s="4">
        <v>13</v>
      </c>
      <c r="AQ1158" s="4">
        <v>18</v>
      </c>
      <c r="AR1158" s="3" t="s">
        <v>62</v>
      </c>
      <c r="AS1158" s="3" t="s">
        <v>62</v>
      </c>
      <c r="AT1158" s="3" t="s">
        <v>61</v>
      </c>
      <c r="AU1158" s="6" t="str">
        <f>HYPERLINK("http://catalog.hathitrust.org/Record/005232323","HathiTrust Record")</f>
        <v>HathiTrust Record</v>
      </c>
      <c r="AV1158" s="6" t="str">
        <f>HYPERLINK("http://mcgill.on.worldcat.org/oclc/66629788","Catalog Record")</f>
        <v>Catalog Record</v>
      </c>
      <c r="AW1158" s="6" t="str">
        <f>HYPERLINK("http://www.worldcat.org/oclc/66629788","WorldCat Record")</f>
        <v>WorldCat Record</v>
      </c>
      <c r="AX1158" s="3" t="s">
        <v>11437</v>
      </c>
      <c r="AY1158" s="3" t="s">
        <v>11438</v>
      </c>
      <c r="AZ1158" s="3" t="s">
        <v>11439</v>
      </c>
      <c r="BA1158" s="3" t="s">
        <v>11439</v>
      </c>
      <c r="BB1158" s="3" t="s">
        <v>11440</v>
      </c>
      <c r="BC1158" s="3" t="s">
        <v>142</v>
      </c>
      <c r="BD1158" s="3" t="s">
        <v>68</v>
      </c>
      <c r="BE1158" s="3" t="s">
        <v>11441</v>
      </c>
      <c r="BF1158" s="3" t="s">
        <v>11440</v>
      </c>
      <c r="BG1158" s="3" t="s">
        <v>11442</v>
      </c>
    </row>
    <row r="1159" spans="1:59" ht="71.25" x14ac:dyDescent="0.45">
      <c r="A1159" s="2" t="s">
        <v>59</v>
      </c>
      <c r="B1159" s="2" t="s">
        <v>60</v>
      </c>
      <c r="C1159" s="2" t="s">
        <v>11443</v>
      </c>
      <c r="D1159" s="2" t="s">
        <v>11444</v>
      </c>
      <c r="E1159" s="2" t="s">
        <v>11445</v>
      </c>
      <c r="G1159" s="3" t="s">
        <v>62</v>
      </c>
      <c r="I1159" s="3" t="s">
        <v>62</v>
      </c>
      <c r="J1159" s="3" t="s">
        <v>62</v>
      </c>
      <c r="K1159" s="3" t="s">
        <v>63</v>
      </c>
      <c r="L1159" s="2" t="s">
        <v>11434</v>
      </c>
      <c r="M1159" s="2" t="s">
        <v>11446</v>
      </c>
      <c r="N1159" s="3" t="s">
        <v>149</v>
      </c>
      <c r="P1159" s="3" t="s">
        <v>110</v>
      </c>
      <c r="R1159" s="3" t="s">
        <v>66</v>
      </c>
      <c r="S1159" s="4">
        <v>2</v>
      </c>
      <c r="T1159" s="4">
        <v>2</v>
      </c>
      <c r="U1159" s="5" t="s">
        <v>11202</v>
      </c>
      <c r="V1159" s="5" t="s">
        <v>11202</v>
      </c>
      <c r="W1159" s="5" t="s">
        <v>67</v>
      </c>
      <c r="X1159" s="5" t="s">
        <v>67</v>
      </c>
      <c r="Y1159" s="4">
        <v>81</v>
      </c>
      <c r="Z1159" s="4">
        <v>12</v>
      </c>
      <c r="AA1159" s="4">
        <v>17</v>
      </c>
      <c r="AB1159" s="4">
        <v>1</v>
      </c>
      <c r="AC1159" s="4">
        <v>5</v>
      </c>
      <c r="AD1159" s="4">
        <v>59</v>
      </c>
      <c r="AE1159" s="4">
        <v>63</v>
      </c>
      <c r="AF1159" s="4">
        <v>0</v>
      </c>
      <c r="AG1159" s="4">
        <v>3</v>
      </c>
      <c r="AH1159" s="4">
        <v>56</v>
      </c>
      <c r="AI1159" s="4">
        <v>58</v>
      </c>
      <c r="AJ1159" s="4">
        <v>7</v>
      </c>
      <c r="AK1159" s="4">
        <v>11</v>
      </c>
      <c r="AL1159" s="4">
        <v>39</v>
      </c>
      <c r="AM1159" s="4">
        <v>39</v>
      </c>
      <c r="AN1159" s="4">
        <v>0</v>
      </c>
      <c r="AO1159" s="4">
        <v>0</v>
      </c>
      <c r="AP1159" s="4">
        <v>9</v>
      </c>
      <c r="AQ1159" s="4">
        <v>12</v>
      </c>
      <c r="AR1159" s="3" t="s">
        <v>62</v>
      </c>
      <c r="AS1159" s="3" t="s">
        <v>62</v>
      </c>
      <c r="AT1159" s="3" t="s">
        <v>62</v>
      </c>
      <c r="AV1159" s="6" t="str">
        <f>HYPERLINK("http://mcgill.on.worldcat.org/oclc/607472978","Catalog Record")</f>
        <v>Catalog Record</v>
      </c>
      <c r="AW1159" s="6" t="str">
        <f>HYPERLINK("http://www.worldcat.org/oclc/607472978","WorldCat Record")</f>
        <v>WorldCat Record</v>
      </c>
      <c r="AX1159" s="3" t="s">
        <v>11447</v>
      </c>
      <c r="AY1159" s="3" t="s">
        <v>11448</v>
      </c>
      <c r="AZ1159" s="3" t="s">
        <v>11449</v>
      </c>
      <c r="BA1159" s="3" t="s">
        <v>11449</v>
      </c>
      <c r="BB1159" s="3" t="s">
        <v>11450</v>
      </c>
      <c r="BC1159" s="3" t="s">
        <v>142</v>
      </c>
      <c r="BD1159" s="3" t="s">
        <v>68</v>
      </c>
      <c r="BE1159" s="3" t="s">
        <v>11451</v>
      </c>
      <c r="BF1159" s="3" t="s">
        <v>11450</v>
      </c>
      <c r="BG1159" s="3" t="s">
        <v>11452</v>
      </c>
    </row>
    <row r="1160" spans="1:59" ht="71.25" x14ac:dyDescent="0.45">
      <c r="A1160" s="2" t="s">
        <v>59</v>
      </c>
      <c r="B1160" s="2" t="s">
        <v>60</v>
      </c>
      <c r="C1160" s="2" t="s">
        <v>11453</v>
      </c>
      <c r="D1160" s="2" t="s">
        <v>11454</v>
      </c>
      <c r="E1160" s="2" t="s">
        <v>11455</v>
      </c>
      <c r="G1160" s="3" t="s">
        <v>62</v>
      </c>
      <c r="I1160" s="3" t="s">
        <v>61</v>
      </c>
      <c r="J1160" s="3" t="s">
        <v>62</v>
      </c>
      <c r="K1160" s="3" t="s">
        <v>63</v>
      </c>
      <c r="L1160" s="2" t="s">
        <v>11456</v>
      </c>
      <c r="M1160" s="2" t="s">
        <v>11457</v>
      </c>
      <c r="N1160" s="3" t="s">
        <v>807</v>
      </c>
      <c r="P1160" s="3" t="s">
        <v>65</v>
      </c>
      <c r="Q1160" s="2" t="s">
        <v>11458</v>
      </c>
      <c r="R1160" s="3" t="s">
        <v>66</v>
      </c>
      <c r="S1160" s="4">
        <v>17</v>
      </c>
      <c r="T1160" s="4">
        <v>28</v>
      </c>
      <c r="U1160" s="5" t="s">
        <v>11459</v>
      </c>
      <c r="V1160" s="5" t="s">
        <v>497</v>
      </c>
      <c r="W1160" s="5" t="s">
        <v>67</v>
      </c>
      <c r="X1160" s="5" t="s">
        <v>67</v>
      </c>
      <c r="Y1160" s="4">
        <v>139</v>
      </c>
      <c r="Z1160" s="4">
        <v>12</v>
      </c>
      <c r="AA1160" s="4">
        <v>12</v>
      </c>
      <c r="AB1160" s="4">
        <v>1</v>
      </c>
      <c r="AC1160" s="4">
        <v>1</v>
      </c>
      <c r="AD1160" s="4">
        <v>33</v>
      </c>
      <c r="AE1160" s="4">
        <v>33</v>
      </c>
      <c r="AF1160" s="4">
        <v>0</v>
      </c>
      <c r="AG1160" s="4">
        <v>0</v>
      </c>
      <c r="AH1160" s="4">
        <v>29</v>
      </c>
      <c r="AI1160" s="4">
        <v>29</v>
      </c>
      <c r="AJ1160" s="4">
        <v>7</v>
      </c>
      <c r="AK1160" s="4">
        <v>7</v>
      </c>
      <c r="AL1160" s="4">
        <v>20</v>
      </c>
      <c r="AM1160" s="4">
        <v>20</v>
      </c>
      <c r="AN1160" s="4">
        <v>0</v>
      </c>
      <c r="AO1160" s="4">
        <v>0</v>
      </c>
      <c r="AP1160" s="4">
        <v>8</v>
      </c>
      <c r="AQ1160" s="4">
        <v>8</v>
      </c>
      <c r="AR1160" s="3" t="s">
        <v>62</v>
      </c>
      <c r="AS1160" s="3" t="s">
        <v>62</v>
      </c>
      <c r="AT1160" s="3" t="s">
        <v>62</v>
      </c>
      <c r="AV1160" s="6" t="str">
        <f>HYPERLINK("http://mcgill.on.worldcat.org/oclc/24753303","Catalog Record")</f>
        <v>Catalog Record</v>
      </c>
      <c r="AW1160" s="6" t="str">
        <f>HYPERLINK("http://www.worldcat.org/oclc/24753303","WorldCat Record")</f>
        <v>WorldCat Record</v>
      </c>
      <c r="AX1160" s="3" t="s">
        <v>11460</v>
      </c>
      <c r="AY1160" s="3" t="s">
        <v>11461</v>
      </c>
      <c r="AZ1160" s="3" t="s">
        <v>11462</v>
      </c>
      <c r="BA1160" s="3" t="s">
        <v>11462</v>
      </c>
      <c r="BB1160" s="3" t="s">
        <v>11463</v>
      </c>
      <c r="BC1160" s="3" t="s">
        <v>142</v>
      </c>
      <c r="BD1160" s="3" t="s">
        <v>68</v>
      </c>
      <c r="BE1160" s="3" t="s">
        <v>11464</v>
      </c>
      <c r="BF1160" s="3" t="s">
        <v>11463</v>
      </c>
      <c r="BG1160" s="3" t="s">
        <v>11465</v>
      </c>
    </row>
    <row r="1161" spans="1:59" ht="71.25" x14ac:dyDescent="0.45">
      <c r="A1161" s="2" t="s">
        <v>59</v>
      </c>
      <c r="B1161" s="2" t="s">
        <v>60</v>
      </c>
      <c r="C1161" s="2" t="s">
        <v>11453</v>
      </c>
      <c r="D1161" s="2" t="s">
        <v>11454</v>
      </c>
      <c r="E1161" s="2" t="s">
        <v>11455</v>
      </c>
      <c r="G1161" s="3" t="s">
        <v>62</v>
      </c>
      <c r="I1161" s="3" t="s">
        <v>61</v>
      </c>
      <c r="J1161" s="3" t="s">
        <v>62</v>
      </c>
      <c r="K1161" s="3" t="s">
        <v>63</v>
      </c>
      <c r="L1161" s="2" t="s">
        <v>11456</v>
      </c>
      <c r="M1161" s="2" t="s">
        <v>11457</v>
      </c>
      <c r="N1161" s="3" t="s">
        <v>807</v>
      </c>
      <c r="P1161" s="3" t="s">
        <v>65</v>
      </c>
      <c r="Q1161" s="2" t="s">
        <v>11458</v>
      </c>
      <c r="R1161" s="3" t="s">
        <v>66</v>
      </c>
      <c r="S1161" s="4">
        <v>11</v>
      </c>
      <c r="T1161" s="4">
        <v>28</v>
      </c>
      <c r="U1161" s="5" t="s">
        <v>497</v>
      </c>
      <c r="V1161" s="5" t="s">
        <v>497</v>
      </c>
      <c r="W1161" s="5" t="s">
        <v>67</v>
      </c>
      <c r="X1161" s="5" t="s">
        <v>67</v>
      </c>
      <c r="Y1161" s="4">
        <v>139</v>
      </c>
      <c r="Z1161" s="4">
        <v>12</v>
      </c>
      <c r="AA1161" s="4">
        <v>12</v>
      </c>
      <c r="AB1161" s="4">
        <v>1</v>
      </c>
      <c r="AC1161" s="4">
        <v>1</v>
      </c>
      <c r="AD1161" s="4">
        <v>33</v>
      </c>
      <c r="AE1161" s="4">
        <v>33</v>
      </c>
      <c r="AF1161" s="4">
        <v>0</v>
      </c>
      <c r="AG1161" s="4">
        <v>0</v>
      </c>
      <c r="AH1161" s="4">
        <v>29</v>
      </c>
      <c r="AI1161" s="4">
        <v>29</v>
      </c>
      <c r="AJ1161" s="4">
        <v>7</v>
      </c>
      <c r="AK1161" s="4">
        <v>7</v>
      </c>
      <c r="AL1161" s="4">
        <v>20</v>
      </c>
      <c r="AM1161" s="4">
        <v>20</v>
      </c>
      <c r="AN1161" s="4">
        <v>0</v>
      </c>
      <c r="AO1161" s="4">
        <v>0</v>
      </c>
      <c r="AP1161" s="4">
        <v>8</v>
      </c>
      <c r="AQ1161" s="4">
        <v>8</v>
      </c>
      <c r="AR1161" s="3" t="s">
        <v>62</v>
      </c>
      <c r="AS1161" s="3" t="s">
        <v>62</v>
      </c>
      <c r="AT1161" s="3" t="s">
        <v>62</v>
      </c>
      <c r="AV1161" s="6" t="str">
        <f>HYPERLINK("http://mcgill.on.worldcat.org/oclc/24753303","Catalog Record")</f>
        <v>Catalog Record</v>
      </c>
      <c r="AW1161" s="6" t="str">
        <f>HYPERLINK("http://www.worldcat.org/oclc/24753303","WorldCat Record")</f>
        <v>WorldCat Record</v>
      </c>
      <c r="AX1161" s="3" t="s">
        <v>11460</v>
      </c>
      <c r="AY1161" s="3" t="s">
        <v>11461</v>
      </c>
      <c r="AZ1161" s="3" t="s">
        <v>11462</v>
      </c>
      <c r="BA1161" s="3" t="s">
        <v>11462</v>
      </c>
      <c r="BB1161" s="3" t="s">
        <v>11466</v>
      </c>
      <c r="BC1161" s="3" t="s">
        <v>142</v>
      </c>
      <c r="BD1161" s="3" t="s">
        <v>68</v>
      </c>
      <c r="BE1161" s="3" t="s">
        <v>11464</v>
      </c>
      <c r="BF1161" s="3" t="s">
        <v>11466</v>
      </c>
      <c r="BG1161" s="3" t="s">
        <v>11467</v>
      </c>
    </row>
    <row r="1162" spans="1:59" ht="57" x14ac:dyDescent="0.45">
      <c r="A1162" s="2" t="s">
        <v>59</v>
      </c>
      <c r="B1162" s="2" t="s">
        <v>60</v>
      </c>
      <c r="C1162" s="2" t="s">
        <v>11468</v>
      </c>
      <c r="D1162" s="2" t="s">
        <v>11469</v>
      </c>
      <c r="E1162" s="2" t="s">
        <v>11470</v>
      </c>
      <c r="G1162" s="3" t="s">
        <v>62</v>
      </c>
      <c r="I1162" s="3" t="s">
        <v>62</v>
      </c>
      <c r="J1162" s="3" t="s">
        <v>62</v>
      </c>
      <c r="K1162" s="3" t="s">
        <v>63</v>
      </c>
      <c r="L1162" s="2" t="s">
        <v>11471</v>
      </c>
      <c r="M1162" s="2" t="s">
        <v>11472</v>
      </c>
      <c r="N1162" s="3" t="s">
        <v>1155</v>
      </c>
      <c r="P1162" s="3" t="s">
        <v>65</v>
      </c>
      <c r="Q1162" s="2" t="s">
        <v>11473</v>
      </c>
      <c r="R1162" s="3" t="s">
        <v>66</v>
      </c>
      <c r="S1162" s="4">
        <v>0</v>
      </c>
      <c r="T1162" s="4">
        <v>0</v>
      </c>
      <c r="W1162" s="5" t="s">
        <v>67</v>
      </c>
      <c r="X1162" s="5" t="s">
        <v>67</v>
      </c>
      <c r="Y1162" s="4">
        <v>92</v>
      </c>
      <c r="Z1162" s="4">
        <v>10</v>
      </c>
      <c r="AA1162" s="4">
        <v>89</v>
      </c>
      <c r="AB1162" s="4">
        <v>1</v>
      </c>
      <c r="AC1162" s="4">
        <v>17</v>
      </c>
      <c r="AD1162" s="4">
        <v>46</v>
      </c>
      <c r="AE1162" s="4">
        <v>130</v>
      </c>
      <c r="AF1162" s="4">
        <v>0</v>
      </c>
      <c r="AG1162" s="4">
        <v>8</v>
      </c>
      <c r="AH1162" s="4">
        <v>41</v>
      </c>
      <c r="AI1162" s="4">
        <v>90</v>
      </c>
      <c r="AJ1162" s="4">
        <v>7</v>
      </c>
      <c r="AK1162" s="4">
        <v>24</v>
      </c>
      <c r="AL1162" s="4">
        <v>27</v>
      </c>
      <c r="AM1162" s="4">
        <v>50</v>
      </c>
      <c r="AN1162" s="4">
        <v>0</v>
      </c>
      <c r="AO1162" s="4">
        <v>0</v>
      </c>
      <c r="AP1162" s="4">
        <v>8</v>
      </c>
      <c r="AQ1162" s="4">
        <v>47</v>
      </c>
      <c r="AR1162" s="3" t="s">
        <v>62</v>
      </c>
      <c r="AS1162" s="3" t="s">
        <v>62</v>
      </c>
      <c r="AT1162" s="3" t="s">
        <v>62</v>
      </c>
      <c r="AV1162" s="6" t="str">
        <f>HYPERLINK("http://mcgill.on.worldcat.org/oclc/794592504","Catalog Record")</f>
        <v>Catalog Record</v>
      </c>
      <c r="AW1162" s="6" t="str">
        <f>HYPERLINK("http://www.worldcat.org/oclc/794592504","WorldCat Record")</f>
        <v>WorldCat Record</v>
      </c>
      <c r="AX1162" s="3" t="s">
        <v>11474</v>
      </c>
      <c r="AY1162" s="3" t="s">
        <v>11475</v>
      </c>
      <c r="AZ1162" s="3" t="s">
        <v>11476</v>
      </c>
      <c r="BA1162" s="3" t="s">
        <v>11476</v>
      </c>
      <c r="BB1162" s="3" t="s">
        <v>11477</v>
      </c>
      <c r="BC1162" s="3" t="s">
        <v>142</v>
      </c>
      <c r="BD1162" s="3" t="s">
        <v>68</v>
      </c>
      <c r="BE1162" s="3" t="s">
        <v>11478</v>
      </c>
      <c r="BF1162" s="3" t="s">
        <v>11477</v>
      </c>
      <c r="BG1162" s="3" t="s">
        <v>11479</v>
      </c>
    </row>
    <row r="1163" spans="1:59" ht="57" x14ac:dyDescent="0.45">
      <c r="A1163" s="2" t="s">
        <v>59</v>
      </c>
      <c r="B1163" s="2" t="s">
        <v>60</v>
      </c>
      <c r="C1163" s="2" t="s">
        <v>11480</v>
      </c>
      <c r="D1163" s="2" t="s">
        <v>11481</v>
      </c>
      <c r="E1163" s="2" t="s">
        <v>11482</v>
      </c>
      <c r="G1163" s="3" t="s">
        <v>62</v>
      </c>
      <c r="I1163" s="3" t="s">
        <v>62</v>
      </c>
      <c r="J1163" s="3" t="s">
        <v>62</v>
      </c>
      <c r="K1163" s="3" t="s">
        <v>63</v>
      </c>
      <c r="L1163" s="2" t="s">
        <v>11483</v>
      </c>
      <c r="M1163" s="2" t="s">
        <v>11484</v>
      </c>
      <c r="N1163" s="3" t="s">
        <v>1918</v>
      </c>
      <c r="O1163" s="2" t="s">
        <v>11485</v>
      </c>
      <c r="P1163" s="3" t="s">
        <v>65</v>
      </c>
      <c r="R1163" s="3" t="s">
        <v>66</v>
      </c>
      <c r="S1163" s="4">
        <v>2</v>
      </c>
      <c r="T1163" s="4">
        <v>2</v>
      </c>
      <c r="U1163" s="5" t="s">
        <v>11328</v>
      </c>
      <c r="V1163" s="5" t="s">
        <v>11328</v>
      </c>
      <c r="W1163" s="5" t="s">
        <v>67</v>
      </c>
      <c r="X1163" s="5" t="s">
        <v>67</v>
      </c>
      <c r="Y1163" s="4">
        <v>156</v>
      </c>
      <c r="Z1163" s="4">
        <v>13</v>
      </c>
      <c r="AA1163" s="4">
        <v>17</v>
      </c>
      <c r="AB1163" s="4">
        <v>1</v>
      </c>
      <c r="AC1163" s="4">
        <v>3</v>
      </c>
      <c r="AD1163" s="4">
        <v>48</v>
      </c>
      <c r="AE1163" s="4">
        <v>52</v>
      </c>
      <c r="AF1163" s="4">
        <v>0</v>
      </c>
      <c r="AG1163" s="4">
        <v>0</v>
      </c>
      <c r="AH1163" s="4">
        <v>44</v>
      </c>
      <c r="AI1163" s="4">
        <v>48</v>
      </c>
      <c r="AJ1163" s="4">
        <v>9</v>
      </c>
      <c r="AK1163" s="4">
        <v>10</v>
      </c>
      <c r="AL1163" s="4">
        <v>29</v>
      </c>
      <c r="AM1163" s="4">
        <v>30</v>
      </c>
      <c r="AN1163" s="4">
        <v>0</v>
      </c>
      <c r="AO1163" s="4">
        <v>0</v>
      </c>
      <c r="AP1163" s="4">
        <v>9</v>
      </c>
      <c r="AQ1163" s="4">
        <v>10</v>
      </c>
      <c r="AR1163" s="3" t="s">
        <v>62</v>
      </c>
      <c r="AS1163" s="3" t="s">
        <v>62</v>
      </c>
      <c r="AT1163" s="3" t="s">
        <v>62</v>
      </c>
      <c r="AV1163" s="6" t="str">
        <f>HYPERLINK("http://mcgill.on.worldcat.org/oclc/951563188","Catalog Record")</f>
        <v>Catalog Record</v>
      </c>
      <c r="AW1163" s="6" t="str">
        <f>HYPERLINK("http://www.worldcat.org/oclc/951563188","WorldCat Record")</f>
        <v>WorldCat Record</v>
      </c>
      <c r="AX1163" s="3" t="s">
        <v>11486</v>
      </c>
      <c r="AY1163" s="3" t="s">
        <v>11487</v>
      </c>
      <c r="AZ1163" s="3" t="s">
        <v>11488</v>
      </c>
      <c r="BA1163" s="3" t="s">
        <v>11488</v>
      </c>
      <c r="BB1163" s="3" t="s">
        <v>11489</v>
      </c>
      <c r="BC1163" s="3" t="s">
        <v>142</v>
      </c>
      <c r="BD1163" s="3" t="s">
        <v>68</v>
      </c>
      <c r="BE1163" s="3" t="s">
        <v>11490</v>
      </c>
      <c r="BF1163" s="3" t="s">
        <v>11489</v>
      </c>
      <c r="BG1163" s="3" t="s">
        <v>11491</v>
      </c>
    </row>
    <row r="1164" spans="1:59" ht="57" x14ac:dyDescent="0.45">
      <c r="A1164" s="2" t="s">
        <v>59</v>
      </c>
      <c r="B1164" s="2" t="s">
        <v>60</v>
      </c>
      <c r="C1164" s="2" t="s">
        <v>11492</v>
      </c>
      <c r="D1164" s="2" t="s">
        <v>11493</v>
      </c>
      <c r="E1164" s="2" t="s">
        <v>11494</v>
      </c>
      <c r="G1164" s="3" t="s">
        <v>62</v>
      </c>
      <c r="I1164" s="3" t="s">
        <v>62</v>
      </c>
      <c r="J1164" s="3" t="s">
        <v>62</v>
      </c>
      <c r="K1164" s="3" t="s">
        <v>63</v>
      </c>
      <c r="M1164" s="2" t="s">
        <v>11495</v>
      </c>
      <c r="N1164" s="3" t="s">
        <v>1239</v>
      </c>
      <c r="O1164" s="2" t="s">
        <v>168</v>
      </c>
      <c r="P1164" s="3" t="s">
        <v>65</v>
      </c>
      <c r="R1164" s="3" t="s">
        <v>66</v>
      </c>
      <c r="S1164" s="4">
        <v>31</v>
      </c>
      <c r="T1164" s="4">
        <v>31</v>
      </c>
      <c r="U1164" s="5" t="s">
        <v>6838</v>
      </c>
      <c r="V1164" s="5" t="s">
        <v>6838</v>
      </c>
      <c r="W1164" s="5" t="s">
        <v>67</v>
      </c>
      <c r="X1164" s="5" t="s">
        <v>67</v>
      </c>
      <c r="Y1164" s="4">
        <v>319</v>
      </c>
      <c r="Z1164" s="4">
        <v>24</v>
      </c>
      <c r="AA1164" s="4">
        <v>105</v>
      </c>
      <c r="AB1164" s="4">
        <v>2</v>
      </c>
      <c r="AC1164" s="4">
        <v>17</v>
      </c>
      <c r="AD1164" s="4">
        <v>114</v>
      </c>
      <c r="AE1164" s="4">
        <v>149</v>
      </c>
      <c r="AF1164" s="4">
        <v>1</v>
      </c>
      <c r="AG1164" s="4">
        <v>8</v>
      </c>
      <c r="AH1164" s="4">
        <v>102</v>
      </c>
      <c r="AI1164" s="4">
        <v>110</v>
      </c>
      <c r="AJ1164" s="4">
        <v>16</v>
      </c>
      <c r="AK1164" s="4">
        <v>27</v>
      </c>
      <c r="AL1164" s="4">
        <v>56</v>
      </c>
      <c r="AM1164" s="4">
        <v>57</v>
      </c>
      <c r="AN1164" s="4">
        <v>0</v>
      </c>
      <c r="AO1164" s="4">
        <v>0</v>
      </c>
      <c r="AP1164" s="4">
        <v>18</v>
      </c>
      <c r="AQ1164" s="4">
        <v>49</v>
      </c>
      <c r="AR1164" s="3" t="s">
        <v>62</v>
      </c>
      <c r="AS1164" s="3" t="s">
        <v>62</v>
      </c>
      <c r="AT1164" s="3" t="s">
        <v>61</v>
      </c>
      <c r="AU1164" s="6" t="str">
        <f>HYPERLINK("http://catalog.hathitrust.org/Record/001831748","HathiTrust Record")</f>
        <v>HathiTrust Record</v>
      </c>
      <c r="AV1164" s="6" t="str">
        <f>HYPERLINK("http://mcgill.on.worldcat.org/oclc/19553699","Catalog Record")</f>
        <v>Catalog Record</v>
      </c>
      <c r="AW1164" s="6" t="str">
        <f>HYPERLINK("http://www.worldcat.org/oclc/19553699","WorldCat Record")</f>
        <v>WorldCat Record</v>
      </c>
      <c r="AX1164" s="3" t="s">
        <v>11496</v>
      </c>
      <c r="AY1164" s="3" t="s">
        <v>11497</v>
      </c>
      <c r="AZ1164" s="3" t="s">
        <v>11498</v>
      </c>
      <c r="BA1164" s="3" t="s">
        <v>11498</v>
      </c>
      <c r="BB1164" s="3" t="s">
        <v>11499</v>
      </c>
      <c r="BC1164" s="3" t="s">
        <v>142</v>
      </c>
      <c r="BD1164" s="3" t="s">
        <v>68</v>
      </c>
      <c r="BE1164" s="3" t="s">
        <v>11500</v>
      </c>
      <c r="BF1164" s="3" t="s">
        <v>11499</v>
      </c>
      <c r="BG1164" s="3" t="s">
        <v>11501</v>
      </c>
    </row>
    <row r="1165" spans="1:59" ht="57" x14ac:dyDescent="0.45">
      <c r="A1165" s="2" t="s">
        <v>59</v>
      </c>
      <c r="B1165" s="2" t="s">
        <v>60</v>
      </c>
      <c r="C1165" s="2" t="s">
        <v>11502</v>
      </c>
      <c r="D1165" s="2" t="s">
        <v>11503</v>
      </c>
      <c r="E1165" s="2" t="s">
        <v>11504</v>
      </c>
      <c r="G1165" s="3" t="s">
        <v>62</v>
      </c>
      <c r="I1165" s="3" t="s">
        <v>62</v>
      </c>
      <c r="J1165" s="3" t="s">
        <v>62</v>
      </c>
      <c r="K1165" s="3" t="s">
        <v>63</v>
      </c>
      <c r="L1165" s="2" t="s">
        <v>11505</v>
      </c>
      <c r="M1165" s="2" t="s">
        <v>11484</v>
      </c>
      <c r="N1165" s="3" t="s">
        <v>1918</v>
      </c>
      <c r="O1165" s="2" t="s">
        <v>11485</v>
      </c>
      <c r="P1165" s="3" t="s">
        <v>65</v>
      </c>
      <c r="R1165" s="3" t="s">
        <v>66</v>
      </c>
      <c r="S1165" s="4">
        <v>0</v>
      </c>
      <c r="T1165" s="4">
        <v>0</v>
      </c>
      <c r="W1165" s="5" t="s">
        <v>67</v>
      </c>
      <c r="X1165" s="5" t="s">
        <v>67</v>
      </c>
      <c r="Y1165" s="4">
        <v>72</v>
      </c>
      <c r="Z1165" s="4">
        <v>4</v>
      </c>
      <c r="AA1165" s="4">
        <v>8</v>
      </c>
      <c r="AB1165" s="4">
        <v>1</v>
      </c>
      <c r="AC1165" s="4">
        <v>3</v>
      </c>
      <c r="AD1165" s="4">
        <v>35</v>
      </c>
      <c r="AE1165" s="4">
        <v>42</v>
      </c>
      <c r="AF1165" s="4">
        <v>0</v>
      </c>
      <c r="AG1165" s="4">
        <v>0</v>
      </c>
      <c r="AH1165" s="4">
        <v>33</v>
      </c>
      <c r="AI1165" s="4">
        <v>39</v>
      </c>
      <c r="AJ1165" s="4">
        <v>2</v>
      </c>
      <c r="AK1165" s="4">
        <v>4</v>
      </c>
      <c r="AL1165" s="4">
        <v>25</v>
      </c>
      <c r="AM1165" s="4">
        <v>28</v>
      </c>
      <c r="AN1165" s="4">
        <v>0</v>
      </c>
      <c r="AO1165" s="4">
        <v>0</v>
      </c>
      <c r="AP1165" s="4">
        <v>2</v>
      </c>
      <c r="AQ1165" s="4">
        <v>4</v>
      </c>
      <c r="AR1165" s="3" t="s">
        <v>62</v>
      </c>
      <c r="AS1165" s="3" t="s">
        <v>62</v>
      </c>
      <c r="AT1165" s="3" t="s">
        <v>62</v>
      </c>
      <c r="AV1165" s="6" t="str">
        <f>HYPERLINK("http://mcgill.on.worldcat.org/oclc/952226360","Catalog Record")</f>
        <v>Catalog Record</v>
      </c>
      <c r="AW1165" s="6" t="str">
        <f>HYPERLINK("http://www.worldcat.org/oclc/952226360","WorldCat Record")</f>
        <v>WorldCat Record</v>
      </c>
      <c r="AX1165" s="3" t="s">
        <v>11506</v>
      </c>
      <c r="AY1165" s="3" t="s">
        <v>11507</v>
      </c>
      <c r="AZ1165" s="3" t="s">
        <v>11508</v>
      </c>
      <c r="BA1165" s="3" t="s">
        <v>11508</v>
      </c>
      <c r="BB1165" s="3" t="s">
        <v>11509</v>
      </c>
      <c r="BC1165" s="3" t="s">
        <v>142</v>
      </c>
      <c r="BD1165" s="3" t="s">
        <v>68</v>
      </c>
      <c r="BE1165" s="3" t="s">
        <v>11510</v>
      </c>
      <c r="BF1165" s="3" t="s">
        <v>11509</v>
      </c>
      <c r="BG1165" s="3" t="s">
        <v>11511</v>
      </c>
    </row>
    <row r="1166" spans="1:59" ht="57" x14ac:dyDescent="0.45">
      <c r="A1166" s="2" t="s">
        <v>59</v>
      </c>
      <c r="B1166" s="2" t="s">
        <v>60</v>
      </c>
      <c r="C1166" s="2" t="s">
        <v>11512</v>
      </c>
      <c r="D1166" s="2" t="s">
        <v>11513</v>
      </c>
      <c r="E1166" s="2" t="s">
        <v>11514</v>
      </c>
      <c r="G1166" s="3" t="s">
        <v>62</v>
      </c>
      <c r="I1166" s="3" t="s">
        <v>62</v>
      </c>
      <c r="J1166" s="3" t="s">
        <v>62</v>
      </c>
      <c r="K1166" s="3" t="s">
        <v>63</v>
      </c>
      <c r="L1166" s="2" t="s">
        <v>11515</v>
      </c>
      <c r="M1166" s="2" t="s">
        <v>11516</v>
      </c>
      <c r="N1166" s="3" t="s">
        <v>208</v>
      </c>
      <c r="P1166" s="3" t="s">
        <v>65</v>
      </c>
      <c r="Q1166" s="2" t="s">
        <v>11517</v>
      </c>
      <c r="R1166" s="3" t="s">
        <v>66</v>
      </c>
      <c r="S1166" s="4">
        <v>0</v>
      </c>
      <c r="T1166" s="4">
        <v>0</v>
      </c>
      <c r="W1166" s="5" t="s">
        <v>67</v>
      </c>
      <c r="X1166" s="5" t="s">
        <v>67</v>
      </c>
      <c r="Y1166" s="4">
        <v>134</v>
      </c>
      <c r="Z1166" s="4">
        <v>13</v>
      </c>
      <c r="AA1166" s="4">
        <v>45</v>
      </c>
      <c r="AB1166" s="4">
        <v>1</v>
      </c>
      <c r="AC1166" s="4">
        <v>4</v>
      </c>
      <c r="AD1166" s="4">
        <v>40</v>
      </c>
      <c r="AE1166" s="4">
        <v>59</v>
      </c>
      <c r="AF1166" s="4">
        <v>0</v>
      </c>
      <c r="AG1166" s="4">
        <v>1</v>
      </c>
      <c r="AH1166" s="4">
        <v>37</v>
      </c>
      <c r="AI1166" s="4">
        <v>45</v>
      </c>
      <c r="AJ1166" s="4">
        <v>8</v>
      </c>
      <c r="AK1166" s="4">
        <v>12</v>
      </c>
      <c r="AL1166" s="4">
        <v>23</v>
      </c>
      <c r="AM1166" s="4">
        <v>28</v>
      </c>
      <c r="AN1166" s="4">
        <v>0</v>
      </c>
      <c r="AO1166" s="4">
        <v>0</v>
      </c>
      <c r="AP1166" s="4">
        <v>8</v>
      </c>
      <c r="AQ1166" s="4">
        <v>18</v>
      </c>
      <c r="AR1166" s="3" t="s">
        <v>62</v>
      </c>
      <c r="AS1166" s="3" t="s">
        <v>62</v>
      </c>
      <c r="AT1166" s="3" t="s">
        <v>62</v>
      </c>
      <c r="AV1166" s="6" t="str">
        <f>HYPERLINK("http://mcgill.on.worldcat.org/oclc/905380340","Catalog Record")</f>
        <v>Catalog Record</v>
      </c>
      <c r="AW1166" s="6" t="str">
        <f>HYPERLINK("http://www.worldcat.org/oclc/905380340","WorldCat Record")</f>
        <v>WorldCat Record</v>
      </c>
      <c r="AX1166" s="3" t="s">
        <v>11518</v>
      </c>
      <c r="AY1166" s="3" t="s">
        <v>11519</v>
      </c>
      <c r="AZ1166" s="3" t="s">
        <v>11520</v>
      </c>
      <c r="BA1166" s="3" t="s">
        <v>11520</v>
      </c>
      <c r="BB1166" s="3" t="s">
        <v>11521</v>
      </c>
      <c r="BC1166" s="3" t="s">
        <v>142</v>
      </c>
      <c r="BD1166" s="3" t="s">
        <v>68</v>
      </c>
      <c r="BE1166" s="3" t="s">
        <v>11522</v>
      </c>
      <c r="BF1166" s="3" t="s">
        <v>11521</v>
      </c>
      <c r="BG1166" s="3" t="s">
        <v>11523</v>
      </c>
    </row>
    <row r="1167" spans="1:59" ht="57" x14ac:dyDescent="0.45">
      <c r="A1167" s="2" t="s">
        <v>59</v>
      </c>
      <c r="B1167" s="2" t="s">
        <v>60</v>
      </c>
      <c r="C1167" s="2" t="s">
        <v>11524</v>
      </c>
      <c r="D1167" s="2" t="s">
        <v>11525</v>
      </c>
      <c r="E1167" s="2" t="s">
        <v>11526</v>
      </c>
      <c r="G1167" s="3" t="s">
        <v>62</v>
      </c>
      <c r="I1167" s="3" t="s">
        <v>62</v>
      </c>
      <c r="J1167" s="3" t="s">
        <v>62</v>
      </c>
      <c r="K1167" s="3" t="s">
        <v>63</v>
      </c>
      <c r="L1167" s="2" t="s">
        <v>11527</v>
      </c>
      <c r="M1167" s="2" t="s">
        <v>11528</v>
      </c>
      <c r="N1167" s="3" t="s">
        <v>208</v>
      </c>
      <c r="P1167" s="3" t="s">
        <v>110</v>
      </c>
      <c r="Q1167" s="2" t="s">
        <v>11436</v>
      </c>
      <c r="R1167" s="3" t="s">
        <v>66</v>
      </c>
      <c r="S1167" s="4">
        <v>0</v>
      </c>
      <c r="T1167" s="4">
        <v>0</v>
      </c>
      <c r="W1167" s="5" t="s">
        <v>67</v>
      </c>
      <c r="X1167" s="5" t="s">
        <v>67</v>
      </c>
      <c r="Y1167" s="4">
        <v>46</v>
      </c>
      <c r="Z1167" s="4">
        <v>4</v>
      </c>
      <c r="AA1167" s="4">
        <v>6</v>
      </c>
      <c r="AB1167" s="4">
        <v>1</v>
      </c>
      <c r="AC1167" s="4">
        <v>3</v>
      </c>
      <c r="AD1167" s="4">
        <v>29</v>
      </c>
      <c r="AE1167" s="4">
        <v>30</v>
      </c>
      <c r="AF1167" s="4">
        <v>0</v>
      </c>
      <c r="AG1167" s="4">
        <v>1</v>
      </c>
      <c r="AH1167" s="4">
        <v>27</v>
      </c>
      <c r="AI1167" s="4">
        <v>28</v>
      </c>
      <c r="AJ1167" s="4">
        <v>2</v>
      </c>
      <c r="AK1167" s="4">
        <v>3</v>
      </c>
      <c r="AL1167" s="4">
        <v>23</v>
      </c>
      <c r="AM1167" s="4">
        <v>23</v>
      </c>
      <c r="AN1167" s="4">
        <v>0</v>
      </c>
      <c r="AO1167" s="4">
        <v>0</v>
      </c>
      <c r="AP1167" s="4">
        <v>2</v>
      </c>
      <c r="AQ1167" s="4">
        <v>3</v>
      </c>
      <c r="AR1167" s="3" t="s">
        <v>62</v>
      </c>
      <c r="AS1167" s="3" t="s">
        <v>62</v>
      </c>
      <c r="AT1167" s="3" t="s">
        <v>62</v>
      </c>
      <c r="AV1167" s="6" t="str">
        <f>HYPERLINK("http://mcgill.on.worldcat.org/oclc/910076294","Catalog Record")</f>
        <v>Catalog Record</v>
      </c>
      <c r="AW1167" s="6" t="str">
        <f>HYPERLINK("http://www.worldcat.org/oclc/910076294","WorldCat Record")</f>
        <v>WorldCat Record</v>
      </c>
      <c r="AX1167" s="3" t="s">
        <v>11529</v>
      </c>
      <c r="AY1167" s="3" t="s">
        <v>11530</v>
      </c>
      <c r="AZ1167" s="3" t="s">
        <v>11531</v>
      </c>
      <c r="BA1167" s="3" t="s">
        <v>11531</v>
      </c>
      <c r="BB1167" s="3" t="s">
        <v>11532</v>
      </c>
      <c r="BC1167" s="3" t="s">
        <v>142</v>
      </c>
      <c r="BD1167" s="3" t="s">
        <v>68</v>
      </c>
      <c r="BE1167" s="3" t="s">
        <v>11533</v>
      </c>
      <c r="BF1167" s="3" t="s">
        <v>11532</v>
      </c>
      <c r="BG1167" s="3" t="s">
        <v>11534</v>
      </c>
    </row>
    <row r="1168" spans="1:59" ht="57" x14ac:dyDescent="0.45">
      <c r="A1168" s="2" t="s">
        <v>59</v>
      </c>
      <c r="B1168" s="2" t="s">
        <v>60</v>
      </c>
      <c r="C1168" s="2" t="s">
        <v>11535</v>
      </c>
      <c r="D1168" s="2" t="s">
        <v>11536</v>
      </c>
      <c r="E1168" s="2" t="s">
        <v>11537</v>
      </c>
      <c r="G1168" s="3" t="s">
        <v>62</v>
      </c>
      <c r="I1168" s="3" t="s">
        <v>62</v>
      </c>
      <c r="J1168" s="3" t="s">
        <v>62</v>
      </c>
      <c r="K1168" s="3" t="s">
        <v>63</v>
      </c>
      <c r="L1168" s="2" t="s">
        <v>11538</v>
      </c>
      <c r="M1168" s="2" t="s">
        <v>11539</v>
      </c>
      <c r="N1168" s="3" t="s">
        <v>106</v>
      </c>
      <c r="P1168" s="3" t="s">
        <v>65</v>
      </c>
      <c r="R1168" s="3" t="s">
        <v>66</v>
      </c>
      <c r="S1168" s="4">
        <v>25</v>
      </c>
      <c r="T1168" s="4">
        <v>25</v>
      </c>
      <c r="U1168" s="5" t="s">
        <v>11540</v>
      </c>
      <c r="V1168" s="5" t="s">
        <v>11540</v>
      </c>
      <c r="W1168" s="5" t="s">
        <v>67</v>
      </c>
      <c r="X1168" s="5" t="s">
        <v>67</v>
      </c>
      <c r="Y1168" s="4">
        <v>460</v>
      </c>
      <c r="Z1168" s="4">
        <v>31</v>
      </c>
      <c r="AA1168" s="4">
        <v>36</v>
      </c>
      <c r="AB1168" s="4">
        <v>3</v>
      </c>
      <c r="AC1168" s="4">
        <v>6</v>
      </c>
      <c r="AD1168" s="4">
        <v>116</v>
      </c>
      <c r="AE1168" s="4">
        <v>123</v>
      </c>
      <c r="AF1168" s="4">
        <v>2</v>
      </c>
      <c r="AG1168" s="4">
        <v>5</v>
      </c>
      <c r="AH1168" s="4">
        <v>100</v>
      </c>
      <c r="AI1168" s="4">
        <v>103</v>
      </c>
      <c r="AJ1168" s="4">
        <v>16</v>
      </c>
      <c r="AK1168" s="4">
        <v>20</v>
      </c>
      <c r="AL1168" s="4">
        <v>53</v>
      </c>
      <c r="AM1168" s="4">
        <v>55</v>
      </c>
      <c r="AN1168" s="4">
        <v>0</v>
      </c>
      <c r="AO1168" s="4">
        <v>0</v>
      </c>
      <c r="AP1168" s="4">
        <v>24</v>
      </c>
      <c r="AQ1168" s="4">
        <v>28</v>
      </c>
      <c r="AR1168" s="3" t="s">
        <v>62</v>
      </c>
      <c r="AS1168" s="3" t="s">
        <v>62</v>
      </c>
      <c r="AT1168" s="3" t="s">
        <v>61</v>
      </c>
      <c r="AU1168" s="6" t="str">
        <f>HYPERLINK("http://catalog.hathitrust.org/Record/000162769","HathiTrust Record")</f>
        <v>HathiTrust Record</v>
      </c>
      <c r="AV1168" s="6" t="str">
        <f>HYPERLINK("http://mcgill.on.worldcat.org/oclc/9464361","Catalog Record")</f>
        <v>Catalog Record</v>
      </c>
      <c r="AW1168" s="6" t="str">
        <f>HYPERLINK("http://www.worldcat.org/oclc/9464361","WorldCat Record")</f>
        <v>WorldCat Record</v>
      </c>
      <c r="AX1168" s="3" t="s">
        <v>11541</v>
      </c>
      <c r="AY1168" s="3" t="s">
        <v>11542</v>
      </c>
      <c r="AZ1168" s="3" t="s">
        <v>11543</v>
      </c>
      <c r="BA1168" s="3" t="s">
        <v>11543</v>
      </c>
      <c r="BB1168" s="3" t="s">
        <v>11544</v>
      </c>
      <c r="BC1168" s="3" t="s">
        <v>142</v>
      </c>
      <c r="BD1168" s="3" t="s">
        <v>308</v>
      </c>
      <c r="BE1168" s="3" t="s">
        <v>11545</v>
      </c>
      <c r="BF1168" s="3" t="s">
        <v>11544</v>
      </c>
      <c r="BG1168" s="3" t="s">
        <v>11546</v>
      </c>
    </row>
    <row r="1169" spans="1:59" ht="71.25" x14ac:dyDescent="0.45">
      <c r="A1169" s="2" t="s">
        <v>59</v>
      </c>
      <c r="B1169" s="2" t="s">
        <v>60</v>
      </c>
      <c r="C1169" s="2" t="s">
        <v>11547</v>
      </c>
      <c r="D1169" s="2" t="s">
        <v>11548</v>
      </c>
      <c r="E1169" s="2" t="s">
        <v>11549</v>
      </c>
      <c r="G1169" s="3" t="s">
        <v>62</v>
      </c>
      <c r="I1169" s="3" t="s">
        <v>61</v>
      </c>
      <c r="J1169" s="3" t="s">
        <v>62</v>
      </c>
      <c r="K1169" s="3" t="s">
        <v>63</v>
      </c>
      <c r="L1169" s="2" t="s">
        <v>11550</v>
      </c>
      <c r="M1169" s="2" t="s">
        <v>11551</v>
      </c>
      <c r="N1169" s="3" t="s">
        <v>1239</v>
      </c>
      <c r="P1169" s="3" t="s">
        <v>65</v>
      </c>
      <c r="Q1169" s="2" t="s">
        <v>11552</v>
      </c>
      <c r="R1169" s="3" t="s">
        <v>66</v>
      </c>
      <c r="S1169" s="4">
        <v>30</v>
      </c>
      <c r="T1169" s="4">
        <v>44</v>
      </c>
      <c r="U1169" s="5" t="s">
        <v>10895</v>
      </c>
      <c r="V1169" s="5" t="s">
        <v>497</v>
      </c>
      <c r="W1169" s="5" t="s">
        <v>67</v>
      </c>
      <c r="X1169" s="5" t="s">
        <v>67</v>
      </c>
      <c r="Y1169" s="4">
        <v>379</v>
      </c>
      <c r="Z1169" s="4">
        <v>35</v>
      </c>
      <c r="AA1169" s="4">
        <v>42</v>
      </c>
      <c r="AB1169" s="4">
        <v>2</v>
      </c>
      <c r="AC1169" s="4">
        <v>7</v>
      </c>
      <c r="AD1169" s="4">
        <v>108</v>
      </c>
      <c r="AE1169" s="4">
        <v>112</v>
      </c>
      <c r="AF1169" s="4">
        <v>1</v>
      </c>
      <c r="AG1169" s="4">
        <v>3</v>
      </c>
      <c r="AH1169" s="4">
        <v>94</v>
      </c>
      <c r="AI1169" s="4">
        <v>96</v>
      </c>
      <c r="AJ1169" s="4">
        <v>19</v>
      </c>
      <c r="AK1169" s="4">
        <v>21</v>
      </c>
      <c r="AL1169" s="4">
        <v>51</v>
      </c>
      <c r="AM1169" s="4">
        <v>51</v>
      </c>
      <c r="AN1169" s="4">
        <v>0</v>
      </c>
      <c r="AO1169" s="4">
        <v>0</v>
      </c>
      <c r="AP1169" s="4">
        <v>25</v>
      </c>
      <c r="AQ1169" s="4">
        <v>28</v>
      </c>
      <c r="AR1169" s="3" t="s">
        <v>62</v>
      </c>
      <c r="AS1169" s="3" t="s">
        <v>62</v>
      </c>
      <c r="AT1169" s="3" t="s">
        <v>62</v>
      </c>
      <c r="AV1169" s="6" t="str">
        <f>HYPERLINK("http://mcgill.on.worldcat.org/oclc/18291999","Catalog Record")</f>
        <v>Catalog Record</v>
      </c>
      <c r="AW1169" s="6" t="str">
        <f>HYPERLINK("http://www.worldcat.org/oclc/18291999","WorldCat Record")</f>
        <v>WorldCat Record</v>
      </c>
      <c r="AX1169" s="3" t="s">
        <v>11553</v>
      </c>
      <c r="AY1169" s="3" t="s">
        <v>11554</v>
      </c>
      <c r="AZ1169" s="3" t="s">
        <v>11555</v>
      </c>
      <c r="BA1169" s="3" t="s">
        <v>11555</v>
      </c>
      <c r="BB1169" s="3" t="s">
        <v>11556</v>
      </c>
      <c r="BC1169" s="3" t="s">
        <v>142</v>
      </c>
      <c r="BD1169" s="3" t="s">
        <v>68</v>
      </c>
      <c r="BE1169" s="3" t="s">
        <v>11557</v>
      </c>
      <c r="BF1169" s="3" t="s">
        <v>11556</v>
      </c>
      <c r="BG1169" s="3" t="s">
        <v>11558</v>
      </c>
    </row>
    <row r="1170" spans="1:59" ht="71.25" x14ac:dyDescent="0.45">
      <c r="A1170" s="2" t="s">
        <v>59</v>
      </c>
      <c r="B1170" s="2" t="s">
        <v>60</v>
      </c>
      <c r="C1170" s="2" t="s">
        <v>11547</v>
      </c>
      <c r="D1170" s="2" t="s">
        <v>11548</v>
      </c>
      <c r="E1170" s="2" t="s">
        <v>11549</v>
      </c>
      <c r="G1170" s="3" t="s">
        <v>62</v>
      </c>
      <c r="I1170" s="3" t="s">
        <v>61</v>
      </c>
      <c r="J1170" s="3" t="s">
        <v>62</v>
      </c>
      <c r="K1170" s="3" t="s">
        <v>63</v>
      </c>
      <c r="L1170" s="2" t="s">
        <v>11550</v>
      </c>
      <c r="M1170" s="2" t="s">
        <v>11551</v>
      </c>
      <c r="N1170" s="3" t="s">
        <v>1239</v>
      </c>
      <c r="P1170" s="3" t="s">
        <v>65</v>
      </c>
      <c r="Q1170" s="2" t="s">
        <v>11552</v>
      </c>
      <c r="R1170" s="3" t="s">
        <v>66</v>
      </c>
      <c r="S1170" s="4">
        <v>14</v>
      </c>
      <c r="T1170" s="4">
        <v>44</v>
      </c>
      <c r="U1170" s="5" t="s">
        <v>497</v>
      </c>
      <c r="V1170" s="5" t="s">
        <v>497</v>
      </c>
      <c r="W1170" s="5" t="s">
        <v>67</v>
      </c>
      <c r="X1170" s="5" t="s">
        <v>67</v>
      </c>
      <c r="Y1170" s="4">
        <v>379</v>
      </c>
      <c r="Z1170" s="4">
        <v>35</v>
      </c>
      <c r="AA1170" s="4">
        <v>42</v>
      </c>
      <c r="AB1170" s="4">
        <v>2</v>
      </c>
      <c r="AC1170" s="4">
        <v>7</v>
      </c>
      <c r="AD1170" s="4">
        <v>108</v>
      </c>
      <c r="AE1170" s="4">
        <v>112</v>
      </c>
      <c r="AF1170" s="4">
        <v>1</v>
      </c>
      <c r="AG1170" s="4">
        <v>3</v>
      </c>
      <c r="AH1170" s="4">
        <v>94</v>
      </c>
      <c r="AI1170" s="4">
        <v>96</v>
      </c>
      <c r="AJ1170" s="4">
        <v>19</v>
      </c>
      <c r="AK1170" s="4">
        <v>21</v>
      </c>
      <c r="AL1170" s="4">
        <v>51</v>
      </c>
      <c r="AM1170" s="4">
        <v>51</v>
      </c>
      <c r="AN1170" s="4">
        <v>0</v>
      </c>
      <c r="AO1170" s="4">
        <v>0</v>
      </c>
      <c r="AP1170" s="4">
        <v>25</v>
      </c>
      <c r="AQ1170" s="4">
        <v>28</v>
      </c>
      <c r="AR1170" s="3" t="s">
        <v>62</v>
      </c>
      <c r="AS1170" s="3" t="s">
        <v>62</v>
      </c>
      <c r="AT1170" s="3" t="s">
        <v>62</v>
      </c>
      <c r="AV1170" s="6" t="str">
        <f>HYPERLINK("http://mcgill.on.worldcat.org/oclc/18291999","Catalog Record")</f>
        <v>Catalog Record</v>
      </c>
      <c r="AW1170" s="6" t="str">
        <f>HYPERLINK("http://www.worldcat.org/oclc/18291999","WorldCat Record")</f>
        <v>WorldCat Record</v>
      </c>
      <c r="AX1170" s="3" t="s">
        <v>11553</v>
      </c>
      <c r="AY1170" s="3" t="s">
        <v>11554</v>
      </c>
      <c r="AZ1170" s="3" t="s">
        <v>11555</v>
      </c>
      <c r="BA1170" s="3" t="s">
        <v>11555</v>
      </c>
      <c r="BB1170" s="3" t="s">
        <v>11559</v>
      </c>
      <c r="BC1170" s="3" t="s">
        <v>142</v>
      </c>
      <c r="BD1170" s="3" t="s">
        <v>68</v>
      </c>
      <c r="BE1170" s="3" t="s">
        <v>11557</v>
      </c>
      <c r="BF1170" s="3" t="s">
        <v>11559</v>
      </c>
      <c r="BG1170" s="3" t="s">
        <v>11560</v>
      </c>
    </row>
    <row r="1171" spans="1:59" ht="57" x14ac:dyDescent="0.45">
      <c r="A1171" s="2" t="s">
        <v>59</v>
      </c>
      <c r="B1171" s="2" t="s">
        <v>60</v>
      </c>
      <c r="C1171" s="2" t="s">
        <v>11561</v>
      </c>
      <c r="D1171" s="2" t="s">
        <v>11562</v>
      </c>
      <c r="E1171" s="2" t="s">
        <v>11563</v>
      </c>
      <c r="G1171" s="3" t="s">
        <v>62</v>
      </c>
      <c r="I1171" s="3" t="s">
        <v>62</v>
      </c>
      <c r="J1171" s="3" t="s">
        <v>62</v>
      </c>
      <c r="K1171" s="3" t="s">
        <v>63</v>
      </c>
      <c r="L1171" s="2" t="s">
        <v>11564</v>
      </c>
      <c r="M1171" s="2" t="s">
        <v>11565</v>
      </c>
      <c r="N1171" s="3" t="s">
        <v>894</v>
      </c>
      <c r="P1171" s="3" t="s">
        <v>110</v>
      </c>
      <c r="Q1171" s="2" t="s">
        <v>11566</v>
      </c>
      <c r="R1171" s="3" t="s">
        <v>66</v>
      </c>
      <c r="S1171" s="4">
        <v>1</v>
      </c>
      <c r="T1171" s="4">
        <v>1</v>
      </c>
      <c r="U1171" s="5" t="s">
        <v>497</v>
      </c>
      <c r="V1171" s="5" t="s">
        <v>497</v>
      </c>
      <c r="W1171" s="5" t="s">
        <v>67</v>
      </c>
      <c r="X1171" s="5" t="s">
        <v>67</v>
      </c>
      <c r="Y1171" s="4">
        <v>11</v>
      </c>
      <c r="Z1171" s="4">
        <v>3</v>
      </c>
      <c r="AA1171" s="4">
        <v>7</v>
      </c>
      <c r="AB1171" s="4">
        <v>1</v>
      </c>
      <c r="AC1171" s="4">
        <v>4</v>
      </c>
      <c r="AD1171" s="4">
        <v>4</v>
      </c>
      <c r="AE1171" s="4">
        <v>8</v>
      </c>
      <c r="AF1171" s="4">
        <v>0</v>
      </c>
      <c r="AG1171" s="4">
        <v>3</v>
      </c>
      <c r="AH1171" s="4">
        <v>3</v>
      </c>
      <c r="AI1171" s="4">
        <v>5</v>
      </c>
      <c r="AJ1171" s="4">
        <v>2</v>
      </c>
      <c r="AK1171" s="4">
        <v>6</v>
      </c>
      <c r="AL1171" s="4">
        <v>1</v>
      </c>
      <c r="AM1171" s="4">
        <v>1</v>
      </c>
      <c r="AN1171" s="4">
        <v>0</v>
      </c>
      <c r="AO1171" s="4">
        <v>0</v>
      </c>
      <c r="AP1171" s="4">
        <v>2</v>
      </c>
      <c r="AQ1171" s="4">
        <v>6</v>
      </c>
      <c r="AR1171" s="3" t="s">
        <v>62</v>
      </c>
      <c r="AS1171" s="3" t="s">
        <v>62</v>
      </c>
      <c r="AT1171" s="3" t="s">
        <v>62</v>
      </c>
      <c r="AV1171" s="6" t="str">
        <f>HYPERLINK("http://mcgill.on.worldcat.org/oclc/785726249","Catalog Record")</f>
        <v>Catalog Record</v>
      </c>
      <c r="AW1171" s="6" t="str">
        <f>HYPERLINK("http://www.worldcat.org/oclc/785726249","WorldCat Record")</f>
        <v>WorldCat Record</v>
      </c>
      <c r="AX1171" s="3" t="s">
        <v>11567</v>
      </c>
      <c r="AY1171" s="3" t="s">
        <v>11568</v>
      </c>
      <c r="AZ1171" s="3" t="s">
        <v>11569</v>
      </c>
      <c r="BA1171" s="3" t="s">
        <v>11569</v>
      </c>
      <c r="BB1171" s="3" t="s">
        <v>11570</v>
      </c>
      <c r="BC1171" s="3" t="s">
        <v>142</v>
      </c>
      <c r="BD1171" s="3" t="s">
        <v>68</v>
      </c>
      <c r="BE1171" s="3" t="s">
        <v>11571</v>
      </c>
      <c r="BF1171" s="3" t="s">
        <v>11570</v>
      </c>
      <c r="BG1171" s="3" t="s">
        <v>11572</v>
      </c>
    </row>
    <row r="1172" spans="1:59" ht="57" x14ac:dyDescent="0.45">
      <c r="A1172" s="2" t="s">
        <v>59</v>
      </c>
      <c r="B1172" s="2" t="s">
        <v>60</v>
      </c>
      <c r="C1172" s="2" t="s">
        <v>11573</v>
      </c>
      <c r="D1172" s="2" t="s">
        <v>11574</v>
      </c>
      <c r="E1172" s="2" t="s">
        <v>11575</v>
      </c>
      <c r="G1172" s="3" t="s">
        <v>62</v>
      </c>
      <c r="I1172" s="3" t="s">
        <v>62</v>
      </c>
      <c r="J1172" s="3" t="s">
        <v>62</v>
      </c>
      <c r="K1172" s="3" t="s">
        <v>63</v>
      </c>
      <c r="M1172" s="2" t="s">
        <v>11576</v>
      </c>
      <c r="N1172" s="3" t="s">
        <v>3160</v>
      </c>
      <c r="P1172" s="3" t="s">
        <v>65</v>
      </c>
      <c r="Q1172" s="2" t="s">
        <v>11577</v>
      </c>
      <c r="R1172" s="3" t="s">
        <v>66</v>
      </c>
      <c r="S1172" s="4">
        <v>8</v>
      </c>
      <c r="T1172" s="4">
        <v>8</v>
      </c>
      <c r="U1172" s="5" t="s">
        <v>11578</v>
      </c>
      <c r="V1172" s="5" t="s">
        <v>11578</v>
      </c>
      <c r="W1172" s="5" t="s">
        <v>67</v>
      </c>
      <c r="X1172" s="5" t="s">
        <v>67</v>
      </c>
      <c r="Y1172" s="4">
        <v>62</v>
      </c>
      <c r="Z1172" s="4">
        <v>5</v>
      </c>
      <c r="AA1172" s="4">
        <v>5</v>
      </c>
      <c r="AB1172" s="4">
        <v>1</v>
      </c>
      <c r="AC1172" s="4">
        <v>1</v>
      </c>
      <c r="AD1172" s="4">
        <v>29</v>
      </c>
      <c r="AE1172" s="4">
        <v>29</v>
      </c>
      <c r="AF1172" s="4">
        <v>0</v>
      </c>
      <c r="AG1172" s="4">
        <v>0</v>
      </c>
      <c r="AH1172" s="4">
        <v>27</v>
      </c>
      <c r="AI1172" s="4">
        <v>27</v>
      </c>
      <c r="AJ1172" s="4">
        <v>4</v>
      </c>
      <c r="AK1172" s="4">
        <v>4</v>
      </c>
      <c r="AL1172" s="4">
        <v>19</v>
      </c>
      <c r="AM1172" s="4">
        <v>19</v>
      </c>
      <c r="AN1172" s="4">
        <v>0</v>
      </c>
      <c r="AO1172" s="4">
        <v>0</v>
      </c>
      <c r="AP1172" s="4">
        <v>4</v>
      </c>
      <c r="AQ1172" s="4">
        <v>4</v>
      </c>
      <c r="AR1172" s="3" t="s">
        <v>62</v>
      </c>
      <c r="AS1172" s="3" t="s">
        <v>62</v>
      </c>
      <c r="AT1172" s="3" t="s">
        <v>62</v>
      </c>
      <c r="AV1172" s="6" t="str">
        <f>HYPERLINK("http://mcgill.on.worldcat.org/oclc/8092880","Catalog Record")</f>
        <v>Catalog Record</v>
      </c>
      <c r="AW1172" s="6" t="str">
        <f>HYPERLINK("http://www.worldcat.org/oclc/8092880","WorldCat Record")</f>
        <v>WorldCat Record</v>
      </c>
      <c r="AX1172" s="3" t="s">
        <v>11579</v>
      </c>
      <c r="AY1172" s="3" t="s">
        <v>11580</v>
      </c>
      <c r="AZ1172" s="3" t="s">
        <v>11581</v>
      </c>
      <c r="BA1172" s="3" t="s">
        <v>11581</v>
      </c>
      <c r="BB1172" s="3" t="s">
        <v>11582</v>
      </c>
      <c r="BC1172" s="3" t="s">
        <v>142</v>
      </c>
      <c r="BD1172" s="3" t="s">
        <v>68</v>
      </c>
      <c r="BF1172" s="3" t="s">
        <v>11582</v>
      </c>
      <c r="BG1172" s="3" t="s">
        <v>11583</v>
      </c>
    </row>
    <row r="1173" spans="1:59" ht="71.25" x14ac:dyDescent="0.45">
      <c r="A1173" s="2" t="s">
        <v>59</v>
      </c>
      <c r="B1173" s="2" t="s">
        <v>60</v>
      </c>
      <c r="C1173" s="2" t="s">
        <v>11584</v>
      </c>
      <c r="D1173" s="2" t="s">
        <v>11585</v>
      </c>
      <c r="E1173" s="2" t="s">
        <v>11586</v>
      </c>
      <c r="G1173" s="3" t="s">
        <v>62</v>
      </c>
      <c r="I1173" s="3" t="s">
        <v>62</v>
      </c>
      <c r="J1173" s="3" t="s">
        <v>62</v>
      </c>
      <c r="K1173" s="3" t="s">
        <v>63</v>
      </c>
      <c r="L1173" s="2" t="s">
        <v>11587</v>
      </c>
      <c r="M1173" s="2" t="s">
        <v>11588</v>
      </c>
      <c r="N1173" s="3" t="s">
        <v>970</v>
      </c>
      <c r="P1173" s="3" t="s">
        <v>65</v>
      </c>
      <c r="Q1173" s="2" t="s">
        <v>11589</v>
      </c>
      <c r="R1173" s="3" t="s">
        <v>66</v>
      </c>
      <c r="S1173" s="4">
        <v>1</v>
      </c>
      <c r="T1173" s="4">
        <v>1</v>
      </c>
      <c r="U1173" s="5" t="s">
        <v>11590</v>
      </c>
      <c r="V1173" s="5" t="s">
        <v>11590</v>
      </c>
      <c r="W1173" s="5" t="s">
        <v>67</v>
      </c>
      <c r="X1173" s="5" t="s">
        <v>67</v>
      </c>
      <c r="Y1173" s="4">
        <v>45</v>
      </c>
      <c r="Z1173" s="4">
        <v>3</v>
      </c>
      <c r="AA1173" s="4">
        <v>3</v>
      </c>
      <c r="AB1173" s="4">
        <v>1</v>
      </c>
      <c r="AC1173" s="4">
        <v>1</v>
      </c>
      <c r="AD1173" s="4">
        <v>32</v>
      </c>
      <c r="AE1173" s="4">
        <v>35</v>
      </c>
      <c r="AF1173" s="4">
        <v>0</v>
      </c>
      <c r="AG1173" s="4">
        <v>0</v>
      </c>
      <c r="AH1173" s="4">
        <v>31</v>
      </c>
      <c r="AI1173" s="4">
        <v>34</v>
      </c>
      <c r="AJ1173" s="4">
        <v>1</v>
      </c>
      <c r="AK1173" s="4">
        <v>1</v>
      </c>
      <c r="AL1173" s="4">
        <v>23</v>
      </c>
      <c r="AM1173" s="4">
        <v>24</v>
      </c>
      <c r="AN1173" s="4">
        <v>0</v>
      </c>
      <c r="AO1173" s="4">
        <v>0</v>
      </c>
      <c r="AP1173" s="4">
        <v>1</v>
      </c>
      <c r="AQ1173" s="4">
        <v>1</v>
      </c>
      <c r="AR1173" s="3" t="s">
        <v>62</v>
      </c>
      <c r="AS1173" s="3" t="s">
        <v>62</v>
      </c>
      <c r="AT1173" s="3" t="s">
        <v>61</v>
      </c>
      <c r="AU1173" s="6" t="str">
        <f>HYPERLINK("http://catalog.hathitrust.org/Record/003860461","HathiTrust Record")</f>
        <v>HathiTrust Record</v>
      </c>
      <c r="AV1173" s="6" t="str">
        <f>HYPERLINK("http://mcgill.on.worldcat.org/oclc/52332202","Catalog Record")</f>
        <v>Catalog Record</v>
      </c>
      <c r="AW1173" s="6" t="str">
        <f>HYPERLINK("http://www.worldcat.org/oclc/52332202","WorldCat Record")</f>
        <v>WorldCat Record</v>
      </c>
      <c r="AX1173" s="3" t="s">
        <v>11591</v>
      </c>
      <c r="AY1173" s="3" t="s">
        <v>11592</v>
      </c>
      <c r="AZ1173" s="3" t="s">
        <v>11593</v>
      </c>
      <c r="BA1173" s="3" t="s">
        <v>11593</v>
      </c>
      <c r="BB1173" s="3" t="s">
        <v>11594</v>
      </c>
      <c r="BC1173" s="3" t="s">
        <v>142</v>
      </c>
      <c r="BD1173" s="3" t="s">
        <v>68</v>
      </c>
      <c r="BF1173" s="3" t="s">
        <v>11594</v>
      </c>
      <c r="BG1173" s="3" t="s">
        <v>11595</v>
      </c>
    </row>
    <row r="1174" spans="1:59" ht="57" x14ac:dyDescent="0.45">
      <c r="A1174" s="2" t="s">
        <v>59</v>
      </c>
      <c r="B1174" s="2" t="s">
        <v>60</v>
      </c>
      <c r="C1174" s="2" t="s">
        <v>11596</v>
      </c>
      <c r="D1174" s="2" t="s">
        <v>11597</v>
      </c>
      <c r="E1174" s="2" t="s">
        <v>11598</v>
      </c>
      <c r="G1174" s="3" t="s">
        <v>62</v>
      </c>
      <c r="I1174" s="3" t="s">
        <v>62</v>
      </c>
      <c r="J1174" s="3" t="s">
        <v>62</v>
      </c>
      <c r="K1174" s="3" t="s">
        <v>63</v>
      </c>
      <c r="L1174" s="2" t="s">
        <v>651</v>
      </c>
      <c r="M1174" s="2" t="s">
        <v>1713</v>
      </c>
      <c r="N1174" s="3" t="s">
        <v>1155</v>
      </c>
      <c r="P1174" s="3" t="s">
        <v>65</v>
      </c>
      <c r="R1174" s="3" t="s">
        <v>66</v>
      </c>
      <c r="S1174" s="4">
        <v>8</v>
      </c>
      <c r="T1174" s="4">
        <v>8</v>
      </c>
      <c r="U1174" s="5" t="s">
        <v>11599</v>
      </c>
      <c r="V1174" s="5" t="s">
        <v>11599</v>
      </c>
      <c r="W1174" s="5" t="s">
        <v>67</v>
      </c>
      <c r="X1174" s="5" t="s">
        <v>67</v>
      </c>
      <c r="Y1174" s="4">
        <v>305</v>
      </c>
      <c r="Z1174" s="4">
        <v>33</v>
      </c>
      <c r="AA1174" s="4">
        <v>112</v>
      </c>
      <c r="AB1174" s="4">
        <v>3</v>
      </c>
      <c r="AC1174" s="4">
        <v>16</v>
      </c>
      <c r="AD1174" s="4">
        <v>79</v>
      </c>
      <c r="AE1174" s="4">
        <v>129</v>
      </c>
      <c r="AF1174" s="4">
        <v>1</v>
      </c>
      <c r="AG1174" s="4">
        <v>8</v>
      </c>
      <c r="AH1174" s="4">
        <v>66</v>
      </c>
      <c r="AI1174" s="4">
        <v>91</v>
      </c>
      <c r="AJ1174" s="4">
        <v>18</v>
      </c>
      <c r="AK1174" s="4">
        <v>25</v>
      </c>
      <c r="AL1174" s="4">
        <v>37</v>
      </c>
      <c r="AM1174" s="4">
        <v>50</v>
      </c>
      <c r="AN1174" s="4">
        <v>0</v>
      </c>
      <c r="AO1174" s="4">
        <v>0</v>
      </c>
      <c r="AP1174" s="4">
        <v>23</v>
      </c>
      <c r="AQ1174" s="4">
        <v>47</v>
      </c>
      <c r="AR1174" s="3" t="s">
        <v>62</v>
      </c>
      <c r="AS1174" s="3" t="s">
        <v>62</v>
      </c>
      <c r="AT1174" s="3" t="s">
        <v>62</v>
      </c>
      <c r="AV1174" s="6" t="str">
        <f>HYPERLINK("http://mcgill.on.worldcat.org/oclc/742234560","Catalog Record")</f>
        <v>Catalog Record</v>
      </c>
      <c r="AW1174" s="6" t="str">
        <f>HYPERLINK("http://www.worldcat.org/oclc/742234560","WorldCat Record")</f>
        <v>WorldCat Record</v>
      </c>
      <c r="AX1174" s="3" t="s">
        <v>11600</v>
      </c>
      <c r="AY1174" s="3" t="s">
        <v>11601</v>
      </c>
      <c r="AZ1174" s="3" t="s">
        <v>11602</v>
      </c>
      <c r="BA1174" s="3" t="s">
        <v>11602</v>
      </c>
      <c r="BB1174" s="3" t="s">
        <v>11603</v>
      </c>
      <c r="BC1174" s="3" t="s">
        <v>142</v>
      </c>
      <c r="BD1174" s="3" t="s">
        <v>68</v>
      </c>
      <c r="BE1174" s="3" t="s">
        <v>11604</v>
      </c>
      <c r="BF1174" s="3" t="s">
        <v>11603</v>
      </c>
      <c r="BG1174" s="3" t="s">
        <v>11605</v>
      </c>
    </row>
    <row r="1175" spans="1:59" ht="57" x14ac:dyDescent="0.45">
      <c r="A1175" s="2" t="s">
        <v>59</v>
      </c>
      <c r="B1175" s="2" t="s">
        <v>60</v>
      </c>
      <c r="C1175" s="2" t="s">
        <v>11606</v>
      </c>
      <c r="D1175" s="2" t="s">
        <v>11607</v>
      </c>
      <c r="E1175" s="2" t="s">
        <v>11608</v>
      </c>
      <c r="G1175" s="3" t="s">
        <v>62</v>
      </c>
      <c r="I1175" s="3" t="s">
        <v>62</v>
      </c>
      <c r="J1175" s="3" t="s">
        <v>62</v>
      </c>
      <c r="K1175" s="3" t="s">
        <v>63</v>
      </c>
      <c r="L1175" s="2" t="s">
        <v>11609</v>
      </c>
      <c r="M1175" s="2" t="s">
        <v>11610</v>
      </c>
      <c r="N1175" s="3" t="s">
        <v>542</v>
      </c>
      <c r="P1175" s="3" t="s">
        <v>65</v>
      </c>
      <c r="R1175" s="3" t="s">
        <v>66</v>
      </c>
      <c r="S1175" s="4">
        <v>33</v>
      </c>
      <c r="T1175" s="4">
        <v>33</v>
      </c>
      <c r="U1175" s="5" t="s">
        <v>11611</v>
      </c>
      <c r="V1175" s="5" t="s">
        <v>11611</v>
      </c>
      <c r="W1175" s="5" t="s">
        <v>67</v>
      </c>
      <c r="X1175" s="5" t="s">
        <v>67</v>
      </c>
      <c r="Y1175" s="4">
        <v>510</v>
      </c>
      <c r="Z1175" s="4">
        <v>36</v>
      </c>
      <c r="AA1175" s="4">
        <v>55</v>
      </c>
      <c r="AB1175" s="4">
        <v>5</v>
      </c>
      <c r="AC1175" s="4">
        <v>7</v>
      </c>
      <c r="AD1175" s="4">
        <v>103</v>
      </c>
      <c r="AE1175" s="4">
        <v>115</v>
      </c>
      <c r="AF1175" s="4">
        <v>1</v>
      </c>
      <c r="AG1175" s="4">
        <v>1</v>
      </c>
      <c r="AH1175" s="4">
        <v>91</v>
      </c>
      <c r="AI1175" s="4">
        <v>97</v>
      </c>
      <c r="AJ1175" s="4">
        <v>12</v>
      </c>
      <c r="AK1175" s="4">
        <v>15</v>
      </c>
      <c r="AL1175" s="4">
        <v>51</v>
      </c>
      <c r="AM1175" s="4">
        <v>53</v>
      </c>
      <c r="AN1175" s="4">
        <v>0</v>
      </c>
      <c r="AO1175" s="4">
        <v>0</v>
      </c>
      <c r="AP1175" s="4">
        <v>18</v>
      </c>
      <c r="AQ1175" s="4">
        <v>24</v>
      </c>
      <c r="AR1175" s="3" t="s">
        <v>62</v>
      </c>
      <c r="AS1175" s="3" t="s">
        <v>62</v>
      </c>
      <c r="AT1175" s="3" t="s">
        <v>61</v>
      </c>
      <c r="AU1175" s="6" t="str">
        <f>HYPERLINK("http://catalog.hathitrust.org/Record/004176747","HathiTrust Record")</f>
        <v>HathiTrust Record</v>
      </c>
      <c r="AV1175" s="6" t="str">
        <f>HYPERLINK("http://mcgill.on.worldcat.org/oclc/45392730","Catalog Record")</f>
        <v>Catalog Record</v>
      </c>
      <c r="AW1175" s="6" t="str">
        <f>HYPERLINK("http://www.worldcat.org/oclc/45392730","WorldCat Record")</f>
        <v>WorldCat Record</v>
      </c>
      <c r="AX1175" s="3" t="s">
        <v>11612</v>
      </c>
      <c r="AY1175" s="3" t="s">
        <v>11613</v>
      </c>
      <c r="AZ1175" s="3" t="s">
        <v>11614</v>
      </c>
      <c r="BA1175" s="3" t="s">
        <v>11614</v>
      </c>
      <c r="BB1175" s="3" t="s">
        <v>11615</v>
      </c>
      <c r="BC1175" s="3" t="s">
        <v>142</v>
      </c>
      <c r="BD1175" s="3" t="s">
        <v>68</v>
      </c>
      <c r="BE1175" s="3" t="s">
        <v>11616</v>
      </c>
      <c r="BF1175" s="3" t="s">
        <v>11615</v>
      </c>
      <c r="BG1175" s="3" t="s">
        <v>11617</v>
      </c>
    </row>
    <row r="1176" spans="1:59" ht="57" x14ac:dyDescent="0.45">
      <c r="A1176" s="2" t="s">
        <v>59</v>
      </c>
      <c r="B1176" s="2" t="s">
        <v>60</v>
      </c>
      <c r="C1176" s="2" t="s">
        <v>11618</v>
      </c>
      <c r="D1176" s="2" t="s">
        <v>11619</v>
      </c>
      <c r="E1176" s="2" t="s">
        <v>11620</v>
      </c>
      <c r="G1176" s="3" t="s">
        <v>62</v>
      </c>
      <c r="I1176" s="3" t="s">
        <v>62</v>
      </c>
      <c r="J1176" s="3" t="s">
        <v>62</v>
      </c>
      <c r="K1176" s="3" t="s">
        <v>63</v>
      </c>
      <c r="L1176" s="2" t="s">
        <v>11621</v>
      </c>
      <c r="M1176" s="2" t="s">
        <v>11622</v>
      </c>
      <c r="N1176" s="3" t="s">
        <v>1688</v>
      </c>
      <c r="P1176" s="3" t="s">
        <v>65</v>
      </c>
      <c r="Q1176" s="2" t="s">
        <v>11623</v>
      </c>
      <c r="R1176" s="3" t="s">
        <v>66</v>
      </c>
      <c r="S1176" s="4">
        <v>2</v>
      </c>
      <c r="T1176" s="4">
        <v>2</v>
      </c>
      <c r="U1176" s="5" t="s">
        <v>11624</v>
      </c>
      <c r="V1176" s="5" t="s">
        <v>11624</v>
      </c>
      <c r="W1176" s="5" t="s">
        <v>67</v>
      </c>
      <c r="X1176" s="5" t="s">
        <v>67</v>
      </c>
      <c r="Y1176" s="4">
        <v>121</v>
      </c>
      <c r="Z1176" s="4">
        <v>16</v>
      </c>
      <c r="AA1176" s="4">
        <v>17</v>
      </c>
      <c r="AB1176" s="4">
        <v>1</v>
      </c>
      <c r="AC1176" s="4">
        <v>2</v>
      </c>
      <c r="AD1176" s="4">
        <v>40</v>
      </c>
      <c r="AE1176" s="4">
        <v>41</v>
      </c>
      <c r="AF1176" s="4">
        <v>0</v>
      </c>
      <c r="AG1176" s="4">
        <v>1</v>
      </c>
      <c r="AH1176" s="4">
        <v>35</v>
      </c>
      <c r="AI1176" s="4">
        <v>36</v>
      </c>
      <c r="AJ1176" s="4">
        <v>9</v>
      </c>
      <c r="AK1176" s="4">
        <v>10</v>
      </c>
      <c r="AL1176" s="4">
        <v>19</v>
      </c>
      <c r="AM1176" s="4">
        <v>19</v>
      </c>
      <c r="AN1176" s="4">
        <v>0</v>
      </c>
      <c r="AO1176" s="4">
        <v>0</v>
      </c>
      <c r="AP1176" s="4">
        <v>11</v>
      </c>
      <c r="AQ1176" s="4">
        <v>12</v>
      </c>
      <c r="AR1176" s="3" t="s">
        <v>62</v>
      </c>
      <c r="AS1176" s="3" t="s">
        <v>62</v>
      </c>
      <c r="AT1176" s="3" t="s">
        <v>62</v>
      </c>
      <c r="AV1176" s="6" t="str">
        <f>HYPERLINK("http://mcgill.on.worldcat.org/oclc/849822602","Catalog Record")</f>
        <v>Catalog Record</v>
      </c>
      <c r="AW1176" s="6" t="str">
        <f>HYPERLINK("http://www.worldcat.org/oclc/849822602","WorldCat Record")</f>
        <v>WorldCat Record</v>
      </c>
      <c r="AX1176" s="3" t="s">
        <v>11625</v>
      </c>
      <c r="AY1176" s="3" t="s">
        <v>11626</v>
      </c>
      <c r="AZ1176" s="3" t="s">
        <v>11627</v>
      </c>
      <c r="BA1176" s="3" t="s">
        <v>11627</v>
      </c>
      <c r="BB1176" s="3" t="s">
        <v>11628</v>
      </c>
      <c r="BC1176" s="3" t="s">
        <v>142</v>
      </c>
      <c r="BD1176" s="3" t="s">
        <v>68</v>
      </c>
      <c r="BE1176" s="3" t="s">
        <v>11629</v>
      </c>
      <c r="BF1176" s="3" t="s">
        <v>11628</v>
      </c>
      <c r="BG1176" s="3" t="s">
        <v>11630</v>
      </c>
    </row>
    <row r="1177" spans="1:59" ht="57" x14ac:dyDescent="0.45">
      <c r="A1177" s="2" t="s">
        <v>59</v>
      </c>
      <c r="B1177" s="2" t="s">
        <v>60</v>
      </c>
      <c r="C1177" s="2" t="s">
        <v>11631</v>
      </c>
      <c r="D1177" s="2" t="s">
        <v>11632</v>
      </c>
      <c r="E1177" s="2" t="s">
        <v>11633</v>
      </c>
      <c r="G1177" s="3" t="s">
        <v>62</v>
      </c>
      <c r="I1177" s="3" t="s">
        <v>62</v>
      </c>
      <c r="J1177" s="3" t="s">
        <v>62</v>
      </c>
      <c r="K1177" s="3" t="s">
        <v>63</v>
      </c>
      <c r="L1177" s="2" t="s">
        <v>11634</v>
      </c>
      <c r="M1177" s="2" t="s">
        <v>11635</v>
      </c>
      <c r="N1177" s="3" t="s">
        <v>1437</v>
      </c>
      <c r="P1177" s="3" t="s">
        <v>110</v>
      </c>
      <c r="R1177" s="3" t="s">
        <v>66</v>
      </c>
      <c r="S1177" s="4">
        <v>2</v>
      </c>
      <c r="T1177" s="4">
        <v>2</v>
      </c>
      <c r="U1177" s="5" t="s">
        <v>11636</v>
      </c>
      <c r="V1177" s="5" t="s">
        <v>11636</v>
      </c>
      <c r="W1177" s="5" t="s">
        <v>67</v>
      </c>
      <c r="X1177" s="5" t="s">
        <v>67</v>
      </c>
      <c r="Y1177" s="4">
        <v>10</v>
      </c>
      <c r="Z1177" s="4">
        <v>5</v>
      </c>
      <c r="AA1177" s="4">
        <v>12</v>
      </c>
      <c r="AB1177" s="4">
        <v>1</v>
      </c>
      <c r="AC1177" s="4">
        <v>7</v>
      </c>
      <c r="AD1177" s="4">
        <v>5</v>
      </c>
      <c r="AE1177" s="4">
        <v>13</v>
      </c>
      <c r="AF1177" s="4">
        <v>0</v>
      </c>
      <c r="AG1177" s="4">
        <v>4</v>
      </c>
      <c r="AH1177" s="4">
        <v>4</v>
      </c>
      <c r="AI1177" s="4">
        <v>8</v>
      </c>
      <c r="AJ1177" s="4">
        <v>2</v>
      </c>
      <c r="AK1177" s="4">
        <v>7</v>
      </c>
      <c r="AL1177" s="4">
        <v>2</v>
      </c>
      <c r="AM1177" s="4">
        <v>5</v>
      </c>
      <c r="AN1177" s="4">
        <v>0</v>
      </c>
      <c r="AO1177" s="4">
        <v>0</v>
      </c>
      <c r="AP1177" s="4">
        <v>3</v>
      </c>
      <c r="AQ1177" s="4">
        <v>7</v>
      </c>
      <c r="AR1177" s="3" t="s">
        <v>62</v>
      </c>
      <c r="AS1177" s="3" t="s">
        <v>62</v>
      </c>
      <c r="AT1177" s="3" t="s">
        <v>62</v>
      </c>
      <c r="AV1177" s="6" t="str">
        <f>HYPERLINK("http://mcgill.on.worldcat.org/oclc/57561938","Catalog Record")</f>
        <v>Catalog Record</v>
      </c>
      <c r="AW1177" s="6" t="str">
        <f>HYPERLINK("http://www.worldcat.org/oclc/57561938","WorldCat Record")</f>
        <v>WorldCat Record</v>
      </c>
      <c r="AX1177" s="3" t="s">
        <v>11637</v>
      </c>
      <c r="AY1177" s="3" t="s">
        <v>11638</v>
      </c>
      <c r="AZ1177" s="3" t="s">
        <v>11639</v>
      </c>
      <c r="BA1177" s="3" t="s">
        <v>11639</v>
      </c>
      <c r="BB1177" s="3" t="s">
        <v>11640</v>
      </c>
      <c r="BC1177" s="3" t="s">
        <v>142</v>
      </c>
      <c r="BD1177" s="3" t="s">
        <v>68</v>
      </c>
      <c r="BE1177" s="3" t="s">
        <v>11641</v>
      </c>
      <c r="BF1177" s="3" t="s">
        <v>11640</v>
      </c>
      <c r="BG1177" s="3" t="s">
        <v>11642</v>
      </c>
    </row>
    <row r="1178" spans="1:59" ht="57" x14ac:dyDescent="0.45">
      <c r="A1178" s="2" t="s">
        <v>59</v>
      </c>
      <c r="B1178" s="2" t="s">
        <v>60</v>
      </c>
      <c r="C1178" s="2" t="s">
        <v>11643</v>
      </c>
      <c r="D1178" s="2" t="s">
        <v>11644</v>
      </c>
      <c r="E1178" s="2" t="s">
        <v>11645</v>
      </c>
      <c r="G1178" s="3" t="s">
        <v>62</v>
      </c>
      <c r="I1178" s="3" t="s">
        <v>61</v>
      </c>
      <c r="J1178" s="3" t="s">
        <v>62</v>
      </c>
      <c r="K1178" s="3" t="s">
        <v>63</v>
      </c>
      <c r="M1178" s="2" t="s">
        <v>1854</v>
      </c>
      <c r="N1178" s="3" t="s">
        <v>1855</v>
      </c>
      <c r="O1178" s="2" t="s">
        <v>168</v>
      </c>
      <c r="P1178" s="3" t="s">
        <v>65</v>
      </c>
      <c r="R1178" s="3" t="s">
        <v>66</v>
      </c>
      <c r="S1178" s="4">
        <v>16</v>
      </c>
      <c r="T1178" s="4">
        <v>32</v>
      </c>
      <c r="U1178" s="5" t="s">
        <v>11646</v>
      </c>
      <c r="V1178" s="5" t="s">
        <v>11647</v>
      </c>
      <c r="W1178" s="5" t="s">
        <v>67</v>
      </c>
      <c r="X1178" s="5" t="s">
        <v>67</v>
      </c>
      <c r="Y1178" s="4">
        <v>649</v>
      </c>
      <c r="Z1178" s="4">
        <v>49</v>
      </c>
      <c r="AA1178" s="4">
        <v>58</v>
      </c>
      <c r="AB1178" s="4">
        <v>5</v>
      </c>
      <c r="AC1178" s="4">
        <v>9</v>
      </c>
      <c r="AD1178" s="4">
        <v>129</v>
      </c>
      <c r="AE1178" s="4">
        <v>137</v>
      </c>
      <c r="AF1178" s="4">
        <v>2</v>
      </c>
      <c r="AG1178" s="4">
        <v>5</v>
      </c>
      <c r="AH1178" s="4">
        <v>104</v>
      </c>
      <c r="AI1178" s="4">
        <v>106</v>
      </c>
      <c r="AJ1178" s="4">
        <v>22</v>
      </c>
      <c r="AK1178" s="4">
        <v>27</v>
      </c>
      <c r="AL1178" s="4">
        <v>54</v>
      </c>
      <c r="AM1178" s="4">
        <v>55</v>
      </c>
      <c r="AN1178" s="4">
        <v>0</v>
      </c>
      <c r="AO1178" s="4">
        <v>0</v>
      </c>
      <c r="AP1178" s="4">
        <v>33</v>
      </c>
      <c r="AQ1178" s="4">
        <v>39</v>
      </c>
      <c r="AR1178" s="3" t="s">
        <v>62</v>
      </c>
      <c r="AS1178" s="3" t="s">
        <v>62</v>
      </c>
      <c r="AT1178" s="3" t="s">
        <v>62</v>
      </c>
      <c r="AV1178" s="6" t="str">
        <f>HYPERLINK("http://mcgill.on.worldcat.org/oclc/56012671","Catalog Record")</f>
        <v>Catalog Record</v>
      </c>
      <c r="AW1178" s="6" t="str">
        <f>HYPERLINK("http://www.worldcat.org/oclc/56012671","WorldCat Record")</f>
        <v>WorldCat Record</v>
      </c>
      <c r="AX1178" s="3" t="s">
        <v>11648</v>
      </c>
      <c r="AY1178" s="3" t="s">
        <v>11649</v>
      </c>
      <c r="AZ1178" s="3" t="s">
        <v>11650</v>
      </c>
      <c r="BA1178" s="3" t="s">
        <v>11650</v>
      </c>
      <c r="BB1178" s="3" t="s">
        <v>11651</v>
      </c>
      <c r="BC1178" s="3" t="s">
        <v>142</v>
      </c>
      <c r="BD1178" s="3" t="s">
        <v>68</v>
      </c>
      <c r="BE1178" s="3" t="s">
        <v>11652</v>
      </c>
      <c r="BF1178" s="3" t="s">
        <v>11651</v>
      </c>
      <c r="BG1178" s="3" t="s">
        <v>11653</v>
      </c>
    </row>
    <row r="1179" spans="1:59" ht="57" x14ac:dyDescent="0.45">
      <c r="A1179" s="2" t="s">
        <v>59</v>
      </c>
      <c r="B1179" s="2" t="s">
        <v>60</v>
      </c>
      <c r="C1179" s="2" t="s">
        <v>11643</v>
      </c>
      <c r="D1179" s="2" t="s">
        <v>11644</v>
      </c>
      <c r="E1179" s="2" t="s">
        <v>11645</v>
      </c>
      <c r="G1179" s="3" t="s">
        <v>62</v>
      </c>
      <c r="I1179" s="3" t="s">
        <v>61</v>
      </c>
      <c r="J1179" s="3" t="s">
        <v>62</v>
      </c>
      <c r="K1179" s="3" t="s">
        <v>63</v>
      </c>
      <c r="M1179" s="2" t="s">
        <v>1854</v>
      </c>
      <c r="N1179" s="3" t="s">
        <v>1855</v>
      </c>
      <c r="O1179" s="2" t="s">
        <v>168</v>
      </c>
      <c r="P1179" s="3" t="s">
        <v>65</v>
      </c>
      <c r="R1179" s="3" t="s">
        <v>66</v>
      </c>
      <c r="S1179" s="4">
        <v>16</v>
      </c>
      <c r="T1179" s="4">
        <v>32</v>
      </c>
      <c r="U1179" s="5" t="s">
        <v>11647</v>
      </c>
      <c r="V1179" s="5" t="s">
        <v>11647</v>
      </c>
      <c r="W1179" s="5" t="s">
        <v>67</v>
      </c>
      <c r="X1179" s="5" t="s">
        <v>67</v>
      </c>
      <c r="Y1179" s="4">
        <v>649</v>
      </c>
      <c r="Z1179" s="4">
        <v>49</v>
      </c>
      <c r="AA1179" s="4">
        <v>58</v>
      </c>
      <c r="AB1179" s="4">
        <v>5</v>
      </c>
      <c r="AC1179" s="4">
        <v>9</v>
      </c>
      <c r="AD1179" s="4">
        <v>129</v>
      </c>
      <c r="AE1179" s="4">
        <v>137</v>
      </c>
      <c r="AF1179" s="4">
        <v>2</v>
      </c>
      <c r="AG1179" s="4">
        <v>5</v>
      </c>
      <c r="AH1179" s="4">
        <v>104</v>
      </c>
      <c r="AI1179" s="4">
        <v>106</v>
      </c>
      <c r="AJ1179" s="4">
        <v>22</v>
      </c>
      <c r="AK1179" s="4">
        <v>27</v>
      </c>
      <c r="AL1179" s="4">
        <v>54</v>
      </c>
      <c r="AM1179" s="4">
        <v>55</v>
      </c>
      <c r="AN1179" s="4">
        <v>0</v>
      </c>
      <c r="AO1179" s="4">
        <v>0</v>
      </c>
      <c r="AP1179" s="4">
        <v>33</v>
      </c>
      <c r="AQ1179" s="4">
        <v>39</v>
      </c>
      <c r="AR1179" s="3" t="s">
        <v>62</v>
      </c>
      <c r="AS1179" s="3" t="s">
        <v>62</v>
      </c>
      <c r="AT1179" s="3" t="s">
        <v>62</v>
      </c>
      <c r="AV1179" s="6" t="str">
        <f>HYPERLINK("http://mcgill.on.worldcat.org/oclc/56012671","Catalog Record")</f>
        <v>Catalog Record</v>
      </c>
      <c r="AW1179" s="6" t="str">
        <f>HYPERLINK("http://www.worldcat.org/oclc/56012671","WorldCat Record")</f>
        <v>WorldCat Record</v>
      </c>
      <c r="AX1179" s="3" t="s">
        <v>11648</v>
      </c>
      <c r="AY1179" s="3" t="s">
        <v>11649</v>
      </c>
      <c r="AZ1179" s="3" t="s">
        <v>11650</v>
      </c>
      <c r="BA1179" s="3" t="s">
        <v>11650</v>
      </c>
      <c r="BB1179" s="3" t="s">
        <v>11654</v>
      </c>
      <c r="BC1179" s="3" t="s">
        <v>142</v>
      </c>
      <c r="BD1179" s="3" t="s">
        <v>68</v>
      </c>
      <c r="BE1179" s="3" t="s">
        <v>11652</v>
      </c>
      <c r="BF1179" s="3" t="s">
        <v>11654</v>
      </c>
      <c r="BG1179" s="3" t="s">
        <v>11655</v>
      </c>
    </row>
    <row r="1180" spans="1:59" ht="57" x14ac:dyDescent="0.45">
      <c r="A1180" s="2" t="s">
        <v>59</v>
      </c>
      <c r="B1180" s="2" t="s">
        <v>60</v>
      </c>
      <c r="C1180" s="2" t="s">
        <v>11656</v>
      </c>
      <c r="D1180" s="2" t="s">
        <v>11657</v>
      </c>
      <c r="E1180" s="2" t="s">
        <v>11658</v>
      </c>
      <c r="G1180" s="3" t="s">
        <v>62</v>
      </c>
      <c r="I1180" s="3" t="s">
        <v>62</v>
      </c>
      <c r="J1180" s="3" t="s">
        <v>62</v>
      </c>
      <c r="K1180" s="3" t="s">
        <v>63</v>
      </c>
      <c r="L1180" s="2" t="s">
        <v>11659</v>
      </c>
      <c r="M1180" s="2" t="s">
        <v>11660</v>
      </c>
      <c r="N1180" s="3" t="s">
        <v>149</v>
      </c>
      <c r="P1180" s="3" t="s">
        <v>65</v>
      </c>
      <c r="Q1180" s="2" t="s">
        <v>11661</v>
      </c>
      <c r="R1180" s="3" t="s">
        <v>66</v>
      </c>
      <c r="S1180" s="4">
        <v>2</v>
      </c>
      <c r="T1180" s="4">
        <v>2</v>
      </c>
      <c r="U1180" s="5" t="s">
        <v>11662</v>
      </c>
      <c r="V1180" s="5" t="s">
        <v>11662</v>
      </c>
      <c r="W1180" s="5" t="s">
        <v>67</v>
      </c>
      <c r="X1180" s="5" t="s">
        <v>67</v>
      </c>
      <c r="Y1180" s="4">
        <v>268</v>
      </c>
      <c r="Z1180" s="4">
        <v>25</v>
      </c>
      <c r="AA1180" s="4">
        <v>90</v>
      </c>
      <c r="AB1180" s="4">
        <v>2</v>
      </c>
      <c r="AC1180" s="4">
        <v>15</v>
      </c>
      <c r="AD1180" s="4">
        <v>98</v>
      </c>
      <c r="AE1180" s="4">
        <v>141</v>
      </c>
      <c r="AF1180" s="4">
        <v>1</v>
      </c>
      <c r="AG1180" s="4">
        <v>8</v>
      </c>
      <c r="AH1180" s="4">
        <v>87</v>
      </c>
      <c r="AI1180" s="4">
        <v>103</v>
      </c>
      <c r="AJ1180" s="4">
        <v>15</v>
      </c>
      <c r="AK1180" s="4">
        <v>26</v>
      </c>
      <c r="AL1180" s="4">
        <v>49</v>
      </c>
      <c r="AM1180" s="4">
        <v>54</v>
      </c>
      <c r="AN1180" s="4">
        <v>0</v>
      </c>
      <c r="AO1180" s="4">
        <v>0</v>
      </c>
      <c r="AP1180" s="4">
        <v>19</v>
      </c>
      <c r="AQ1180" s="4">
        <v>48</v>
      </c>
      <c r="AR1180" s="3" t="s">
        <v>62</v>
      </c>
      <c r="AS1180" s="3" t="s">
        <v>62</v>
      </c>
      <c r="AT1180" s="3" t="s">
        <v>62</v>
      </c>
      <c r="AV1180" s="6" t="str">
        <f>HYPERLINK("http://mcgill.on.worldcat.org/oclc/320798593","Catalog Record")</f>
        <v>Catalog Record</v>
      </c>
      <c r="AW1180" s="6" t="str">
        <f>HYPERLINK("http://www.worldcat.org/oclc/320798593","WorldCat Record")</f>
        <v>WorldCat Record</v>
      </c>
      <c r="AX1180" s="3" t="s">
        <v>11663</v>
      </c>
      <c r="AY1180" s="3" t="s">
        <v>11664</v>
      </c>
      <c r="AZ1180" s="3" t="s">
        <v>11665</v>
      </c>
      <c r="BA1180" s="3" t="s">
        <v>11665</v>
      </c>
      <c r="BB1180" s="3" t="s">
        <v>11666</v>
      </c>
      <c r="BC1180" s="3" t="s">
        <v>142</v>
      </c>
      <c r="BD1180" s="3" t="s">
        <v>68</v>
      </c>
      <c r="BE1180" s="3" t="s">
        <v>11667</v>
      </c>
      <c r="BF1180" s="3" t="s">
        <v>11666</v>
      </c>
      <c r="BG1180" s="3" t="s">
        <v>11668</v>
      </c>
    </row>
    <row r="1181" spans="1:59" ht="57" x14ac:dyDescent="0.45">
      <c r="A1181" s="2" t="s">
        <v>59</v>
      </c>
      <c r="B1181" s="2" t="s">
        <v>60</v>
      </c>
      <c r="C1181" s="2" t="s">
        <v>11669</v>
      </c>
      <c r="D1181" s="2" t="s">
        <v>11670</v>
      </c>
      <c r="E1181" s="2" t="s">
        <v>11671</v>
      </c>
      <c r="G1181" s="3" t="s">
        <v>62</v>
      </c>
      <c r="I1181" s="3" t="s">
        <v>62</v>
      </c>
      <c r="J1181" s="3" t="s">
        <v>62</v>
      </c>
      <c r="K1181" s="3" t="s">
        <v>63</v>
      </c>
      <c r="M1181" s="2" t="s">
        <v>11672</v>
      </c>
      <c r="N1181" s="3" t="s">
        <v>149</v>
      </c>
      <c r="P1181" s="3" t="s">
        <v>65</v>
      </c>
      <c r="R1181" s="3" t="s">
        <v>66</v>
      </c>
      <c r="S1181" s="4">
        <v>1</v>
      </c>
      <c r="T1181" s="4">
        <v>1</v>
      </c>
      <c r="U1181" s="5" t="s">
        <v>11673</v>
      </c>
      <c r="V1181" s="5" t="s">
        <v>11673</v>
      </c>
      <c r="W1181" s="5" t="s">
        <v>67</v>
      </c>
      <c r="X1181" s="5" t="s">
        <v>67</v>
      </c>
      <c r="Y1181" s="4">
        <v>121</v>
      </c>
      <c r="Z1181" s="4">
        <v>14</v>
      </c>
      <c r="AA1181" s="4">
        <v>98</v>
      </c>
      <c r="AB1181" s="4">
        <v>1</v>
      </c>
      <c r="AC1181" s="4">
        <v>17</v>
      </c>
      <c r="AD1181" s="4">
        <v>58</v>
      </c>
      <c r="AE1181" s="4">
        <v>124</v>
      </c>
      <c r="AF1181" s="4">
        <v>0</v>
      </c>
      <c r="AG1181" s="4">
        <v>8</v>
      </c>
      <c r="AH1181" s="4">
        <v>54</v>
      </c>
      <c r="AI1181" s="4">
        <v>88</v>
      </c>
      <c r="AJ1181" s="4">
        <v>10</v>
      </c>
      <c r="AK1181" s="4">
        <v>25</v>
      </c>
      <c r="AL1181" s="4">
        <v>33</v>
      </c>
      <c r="AM1181" s="4">
        <v>47</v>
      </c>
      <c r="AN1181" s="4">
        <v>0</v>
      </c>
      <c r="AO1181" s="4">
        <v>0</v>
      </c>
      <c r="AP1181" s="4">
        <v>12</v>
      </c>
      <c r="AQ1181" s="4">
        <v>46</v>
      </c>
      <c r="AR1181" s="3" t="s">
        <v>62</v>
      </c>
      <c r="AS1181" s="3" t="s">
        <v>62</v>
      </c>
      <c r="AT1181" s="3" t="s">
        <v>62</v>
      </c>
      <c r="AV1181" s="6" t="str">
        <f>HYPERLINK("http://mcgill.on.worldcat.org/oclc/461896836","Catalog Record")</f>
        <v>Catalog Record</v>
      </c>
      <c r="AW1181" s="6" t="str">
        <f>HYPERLINK("http://www.worldcat.org/oclc/461896836","WorldCat Record")</f>
        <v>WorldCat Record</v>
      </c>
      <c r="AX1181" s="3" t="s">
        <v>11674</v>
      </c>
      <c r="AY1181" s="3" t="s">
        <v>11675</v>
      </c>
      <c r="AZ1181" s="3" t="s">
        <v>11676</v>
      </c>
      <c r="BA1181" s="3" t="s">
        <v>11676</v>
      </c>
      <c r="BB1181" s="3" t="s">
        <v>11677</v>
      </c>
      <c r="BC1181" s="3" t="s">
        <v>142</v>
      </c>
      <c r="BD1181" s="3" t="s">
        <v>68</v>
      </c>
      <c r="BE1181" s="3" t="s">
        <v>11678</v>
      </c>
      <c r="BF1181" s="3" t="s">
        <v>11677</v>
      </c>
      <c r="BG1181" s="3" t="s">
        <v>11679</v>
      </c>
    </row>
    <row r="1182" spans="1:59" ht="57" x14ac:dyDescent="0.45">
      <c r="A1182" s="2" t="s">
        <v>59</v>
      </c>
      <c r="B1182" s="2" t="s">
        <v>60</v>
      </c>
      <c r="C1182" s="2" t="s">
        <v>11680</v>
      </c>
      <c r="D1182" s="2" t="s">
        <v>11681</v>
      </c>
      <c r="E1182" s="2" t="s">
        <v>11682</v>
      </c>
      <c r="G1182" s="3" t="s">
        <v>62</v>
      </c>
      <c r="I1182" s="3" t="s">
        <v>62</v>
      </c>
      <c r="J1182" s="3" t="s">
        <v>62</v>
      </c>
      <c r="K1182" s="3" t="s">
        <v>63</v>
      </c>
      <c r="L1182" s="2" t="s">
        <v>11683</v>
      </c>
      <c r="M1182" s="2" t="s">
        <v>3828</v>
      </c>
      <c r="N1182" s="3" t="s">
        <v>820</v>
      </c>
      <c r="P1182" s="3" t="s">
        <v>65</v>
      </c>
      <c r="Q1182" s="2" t="s">
        <v>11684</v>
      </c>
      <c r="R1182" s="3" t="s">
        <v>66</v>
      </c>
      <c r="S1182" s="4">
        <v>10</v>
      </c>
      <c r="T1182" s="4">
        <v>10</v>
      </c>
      <c r="U1182" s="5" t="s">
        <v>869</v>
      </c>
      <c r="V1182" s="5" t="s">
        <v>869</v>
      </c>
      <c r="W1182" s="5" t="s">
        <v>67</v>
      </c>
      <c r="X1182" s="5" t="s">
        <v>67</v>
      </c>
      <c r="Y1182" s="4">
        <v>314</v>
      </c>
      <c r="Z1182" s="4">
        <v>36</v>
      </c>
      <c r="AA1182" s="4">
        <v>109</v>
      </c>
      <c r="AB1182" s="4">
        <v>3</v>
      </c>
      <c r="AC1182" s="4">
        <v>18</v>
      </c>
      <c r="AD1182" s="4">
        <v>91</v>
      </c>
      <c r="AE1182" s="4">
        <v>140</v>
      </c>
      <c r="AF1182" s="4">
        <v>1</v>
      </c>
      <c r="AG1182" s="4">
        <v>8</v>
      </c>
      <c r="AH1182" s="4">
        <v>75</v>
      </c>
      <c r="AI1182" s="4">
        <v>98</v>
      </c>
      <c r="AJ1182" s="4">
        <v>15</v>
      </c>
      <c r="AK1182" s="4">
        <v>27</v>
      </c>
      <c r="AL1182" s="4">
        <v>40</v>
      </c>
      <c r="AM1182" s="4">
        <v>51</v>
      </c>
      <c r="AN1182" s="4">
        <v>0</v>
      </c>
      <c r="AO1182" s="4">
        <v>0</v>
      </c>
      <c r="AP1182" s="4">
        <v>25</v>
      </c>
      <c r="AQ1182" s="4">
        <v>52</v>
      </c>
      <c r="AR1182" s="3" t="s">
        <v>62</v>
      </c>
      <c r="AS1182" s="3" t="s">
        <v>62</v>
      </c>
      <c r="AT1182" s="3" t="s">
        <v>61</v>
      </c>
      <c r="AU1182" s="6" t="str">
        <f>HYPERLINK("http://catalog.hathitrust.org/Record/005865030","HathiTrust Record")</f>
        <v>HathiTrust Record</v>
      </c>
      <c r="AV1182" s="6" t="str">
        <f>HYPERLINK("http://mcgill.on.worldcat.org/oclc/182731824","Catalog Record")</f>
        <v>Catalog Record</v>
      </c>
      <c r="AW1182" s="6" t="str">
        <f>HYPERLINK("http://www.worldcat.org/oclc/182731824","WorldCat Record")</f>
        <v>WorldCat Record</v>
      </c>
      <c r="AX1182" s="3" t="s">
        <v>11685</v>
      </c>
      <c r="AY1182" s="3" t="s">
        <v>11686</v>
      </c>
      <c r="AZ1182" s="3" t="s">
        <v>11687</v>
      </c>
      <c r="BA1182" s="3" t="s">
        <v>11687</v>
      </c>
      <c r="BB1182" s="3" t="s">
        <v>11688</v>
      </c>
      <c r="BC1182" s="3" t="s">
        <v>142</v>
      </c>
      <c r="BD1182" s="3" t="s">
        <v>308</v>
      </c>
      <c r="BE1182" s="3" t="s">
        <v>11689</v>
      </c>
      <c r="BF1182" s="3" t="s">
        <v>11688</v>
      </c>
      <c r="BG1182" s="3" t="s">
        <v>11690</v>
      </c>
    </row>
    <row r="1183" spans="1:59" ht="57" x14ac:dyDescent="0.45">
      <c r="A1183" s="2" t="s">
        <v>59</v>
      </c>
      <c r="B1183" s="2" t="s">
        <v>60</v>
      </c>
      <c r="C1183" s="2" t="s">
        <v>11691</v>
      </c>
      <c r="D1183" s="2" t="s">
        <v>11692</v>
      </c>
      <c r="E1183" s="2" t="s">
        <v>11693</v>
      </c>
      <c r="G1183" s="3" t="s">
        <v>62</v>
      </c>
      <c r="I1183" s="3" t="s">
        <v>62</v>
      </c>
      <c r="J1183" s="3" t="s">
        <v>61</v>
      </c>
      <c r="K1183" s="3" t="s">
        <v>63</v>
      </c>
      <c r="L1183" s="2" t="s">
        <v>11694</v>
      </c>
      <c r="M1183" s="2" t="s">
        <v>11695</v>
      </c>
      <c r="N1183" s="3" t="s">
        <v>1478</v>
      </c>
      <c r="O1183" s="2" t="s">
        <v>11696</v>
      </c>
      <c r="P1183" s="3" t="s">
        <v>65</v>
      </c>
      <c r="R1183" s="3" t="s">
        <v>66</v>
      </c>
      <c r="S1183" s="4">
        <v>30</v>
      </c>
      <c r="T1183" s="4">
        <v>30</v>
      </c>
      <c r="U1183" s="5" t="s">
        <v>11647</v>
      </c>
      <c r="V1183" s="5" t="s">
        <v>11647</v>
      </c>
      <c r="W1183" s="5" t="s">
        <v>67</v>
      </c>
      <c r="X1183" s="5" t="s">
        <v>67</v>
      </c>
      <c r="Y1183" s="4">
        <v>396</v>
      </c>
      <c r="Z1183" s="4">
        <v>29</v>
      </c>
      <c r="AA1183" s="4">
        <v>44</v>
      </c>
      <c r="AB1183" s="4">
        <v>2</v>
      </c>
      <c r="AC1183" s="4">
        <v>6</v>
      </c>
      <c r="AD1183" s="4">
        <v>97</v>
      </c>
      <c r="AE1183" s="4">
        <v>131</v>
      </c>
      <c r="AF1183" s="4">
        <v>1</v>
      </c>
      <c r="AG1183" s="4">
        <v>4</v>
      </c>
      <c r="AH1183" s="4">
        <v>81</v>
      </c>
      <c r="AI1183" s="4">
        <v>107</v>
      </c>
      <c r="AJ1183" s="4">
        <v>19</v>
      </c>
      <c r="AK1183" s="4">
        <v>25</v>
      </c>
      <c r="AL1183" s="4">
        <v>45</v>
      </c>
      <c r="AM1183" s="4">
        <v>58</v>
      </c>
      <c r="AN1183" s="4">
        <v>0</v>
      </c>
      <c r="AO1183" s="4">
        <v>0</v>
      </c>
      <c r="AP1183" s="4">
        <v>26</v>
      </c>
      <c r="AQ1183" s="4">
        <v>34</v>
      </c>
      <c r="AR1183" s="3" t="s">
        <v>62</v>
      </c>
      <c r="AS1183" s="3" t="s">
        <v>62</v>
      </c>
      <c r="AT1183" s="3" t="s">
        <v>62</v>
      </c>
      <c r="AV1183" s="6" t="str">
        <f>HYPERLINK("http://mcgill.on.worldcat.org/oclc/32738541","Catalog Record")</f>
        <v>Catalog Record</v>
      </c>
      <c r="AW1183" s="6" t="str">
        <f>HYPERLINK("http://www.worldcat.org/oclc/32738541","WorldCat Record")</f>
        <v>WorldCat Record</v>
      </c>
      <c r="AX1183" s="3" t="s">
        <v>11697</v>
      </c>
      <c r="AY1183" s="3" t="s">
        <v>11698</v>
      </c>
      <c r="AZ1183" s="3" t="s">
        <v>11699</v>
      </c>
      <c r="BA1183" s="3" t="s">
        <v>11699</v>
      </c>
      <c r="BB1183" s="3" t="s">
        <v>11700</v>
      </c>
      <c r="BC1183" s="3" t="s">
        <v>142</v>
      </c>
      <c r="BD1183" s="3" t="s">
        <v>68</v>
      </c>
      <c r="BE1183" s="3" t="s">
        <v>11701</v>
      </c>
      <c r="BF1183" s="3" t="s">
        <v>11700</v>
      </c>
      <c r="BG1183" s="3" t="s">
        <v>11702</v>
      </c>
    </row>
    <row r="1184" spans="1:59" ht="57" x14ac:dyDescent="0.45">
      <c r="A1184" s="2" t="s">
        <v>59</v>
      </c>
      <c r="B1184" s="2" t="s">
        <v>60</v>
      </c>
      <c r="C1184" s="2" t="s">
        <v>11703</v>
      </c>
      <c r="D1184" s="2" t="s">
        <v>11704</v>
      </c>
      <c r="E1184" s="2" t="s">
        <v>11705</v>
      </c>
      <c r="G1184" s="3" t="s">
        <v>62</v>
      </c>
      <c r="I1184" s="3" t="s">
        <v>62</v>
      </c>
      <c r="J1184" s="3" t="s">
        <v>62</v>
      </c>
      <c r="K1184" s="3" t="s">
        <v>63</v>
      </c>
      <c r="L1184" s="2" t="s">
        <v>651</v>
      </c>
      <c r="M1184" s="2" t="s">
        <v>11706</v>
      </c>
      <c r="N1184" s="3" t="s">
        <v>84</v>
      </c>
      <c r="P1184" s="3" t="s">
        <v>65</v>
      </c>
      <c r="R1184" s="3" t="s">
        <v>66</v>
      </c>
      <c r="S1184" s="4">
        <v>59</v>
      </c>
      <c r="T1184" s="4">
        <v>59</v>
      </c>
      <c r="U1184" s="5" t="s">
        <v>11707</v>
      </c>
      <c r="V1184" s="5" t="s">
        <v>11707</v>
      </c>
      <c r="W1184" s="5" t="s">
        <v>67</v>
      </c>
      <c r="X1184" s="5" t="s">
        <v>67</v>
      </c>
      <c r="Y1184" s="4">
        <v>48</v>
      </c>
      <c r="Z1184" s="4">
        <v>39</v>
      </c>
      <c r="AA1184" s="4">
        <v>68</v>
      </c>
      <c r="AB1184" s="4">
        <v>2</v>
      </c>
      <c r="AC1184" s="4">
        <v>6</v>
      </c>
      <c r="AD1184" s="4">
        <v>23</v>
      </c>
      <c r="AE1184" s="4">
        <v>105</v>
      </c>
      <c r="AF1184" s="4">
        <v>1</v>
      </c>
      <c r="AG1184" s="4">
        <v>3</v>
      </c>
      <c r="AH1184" s="4">
        <v>8</v>
      </c>
      <c r="AI1184" s="4">
        <v>74</v>
      </c>
      <c r="AJ1184" s="4">
        <v>12</v>
      </c>
      <c r="AK1184" s="4">
        <v>26</v>
      </c>
      <c r="AL1184" s="4">
        <v>1</v>
      </c>
      <c r="AM1184" s="4">
        <v>39</v>
      </c>
      <c r="AN1184" s="4">
        <v>0</v>
      </c>
      <c r="AO1184" s="4">
        <v>0</v>
      </c>
      <c r="AP1184" s="4">
        <v>20</v>
      </c>
      <c r="AQ1184" s="4">
        <v>38</v>
      </c>
      <c r="AR1184" s="3" t="s">
        <v>61</v>
      </c>
      <c r="AS1184" s="3" t="s">
        <v>62</v>
      </c>
      <c r="AT1184" s="3" t="s">
        <v>62</v>
      </c>
      <c r="AV1184" s="6" t="str">
        <f>HYPERLINK("http://mcgill.on.worldcat.org/oclc/26854828","Catalog Record")</f>
        <v>Catalog Record</v>
      </c>
      <c r="AW1184" s="6" t="str">
        <f>HYPERLINK("http://www.worldcat.org/oclc/26854828","WorldCat Record")</f>
        <v>WorldCat Record</v>
      </c>
      <c r="AX1184" s="3" t="s">
        <v>11708</v>
      </c>
      <c r="AY1184" s="3" t="s">
        <v>11709</v>
      </c>
      <c r="AZ1184" s="3" t="s">
        <v>11710</v>
      </c>
      <c r="BA1184" s="3" t="s">
        <v>11710</v>
      </c>
      <c r="BB1184" s="3" t="s">
        <v>11711</v>
      </c>
      <c r="BC1184" s="3" t="s">
        <v>142</v>
      </c>
      <c r="BD1184" s="3" t="s">
        <v>68</v>
      </c>
      <c r="BE1184" s="3" t="s">
        <v>11712</v>
      </c>
      <c r="BF1184" s="3" t="s">
        <v>11711</v>
      </c>
      <c r="BG1184" s="3" t="s">
        <v>11713</v>
      </c>
    </row>
    <row r="1185" spans="1:59" ht="57" x14ac:dyDescent="0.45">
      <c r="A1185" s="2" t="s">
        <v>59</v>
      </c>
      <c r="B1185" s="2" t="s">
        <v>60</v>
      </c>
      <c r="C1185" s="2" t="s">
        <v>11714</v>
      </c>
      <c r="D1185" s="2" t="s">
        <v>11715</v>
      </c>
      <c r="E1185" s="2" t="s">
        <v>11716</v>
      </c>
      <c r="G1185" s="3" t="s">
        <v>62</v>
      </c>
      <c r="I1185" s="3" t="s">
        <v>62</v>
      </c>
      <c r="J1185" s="3" t="s">
        <v>62</v>
      </c>
      <c r="K1185" s="3" t="s">
        <v>63</v>
      </c>
      <c r="L1185" s="2" t="s">
        <v>11717</v>
      </c>
      <c r="M1185" s="2" t="s">
        <v>11718</v>
      </c>
      <c r="N1185" s="3" t="s">
        <v>1212</v>
      </c>
      <c r="P1185" s="3" t="s">
        <v>65</v>
      </c>
      <c r="Q1185" s="2" t="s">
        <v>11719</v>
      </c>
      <c r="R1185" s="3" t="s">
        <v>66</v>
      </c>
      <c r="S1185" s="4">
        <v>24</v>
      </c>
      <c r="T1185" s="4">
        <v>24</v>
      </c>
      <c r="U1185" s="5" t="s">
        <v>11720</v>
      </c>
      <c r="V1185" s="5" t="s">
        <v>11720</v>
      </c>
      <c r="W1185" s="5" t="s">
        <v>67</v>
      </c>
      <c r="X1185" s="5" t="s">
        <v>67</v>
      </c>
      <c r="Y1185" s="4">
        <v>340</v>
      </c>
      <c r="Z1185" s="4">
        <v>22</v>
      </c>
      <c r="AA1185" s="4">
        <v>126</v>
      </c>
      <c r="AB1185" s="4">
        <v>1</v>
      </c>
      <c r="AC1185" s="4">
        <v>21</v>
      </c>
      <c r="AD1185" s="4">
        <v>95</v>
      </c>
      <c r="AE1185" s="4">
        <v>152</v>
      </c>
      <c r="AF1185" s="4">
        <v>0</v>
      </c>
      <c r="AG1185" s="4">
        <v>8</v>
      </c>
      <c r="AH1185" s="4">
        <v>85</v>
      </c>
      <c r="AI1185" s="4">
        <v>103</v>
      </c>
      <c r="AJ1185" s="4">
        <v>12</v>
      </c>
      <c r="AK1185" s="4">
        <v>28</v>
      </c>
      <c r="AL1185" s="4">
        <v>47</v>
      </c>
      <c r="AM1185" s="4">
        <v>54</v>
      </c>
      <c r="AN1185" s="4">
        <v>0</v>
      </c>
      <c r="AO1185" s="4">
        <v>0</v>
      </c>
      <c r="AP1185" s="4">
        <v>15</v>
      </c>
      <c r="AQ1185" s="4">
        <v>56</v>
      </c>
      <c r="AR1185" s="3" t="s">
        <v>62</v>
      </c>
      <c r="AS1185" s="3" t="s">
        <v>62</v>
      </c>
      <c r="AT1185" s="3" t="s">
        <v>62</v>
      </c>
      <c r="AV1185" s="6" t="str">
        <f>HYPERLINK("http://mcgill.on.worldcat.org/oclc/42726281","Catalog Record")</f>
        <v>Catalog Record</v>
      </c>
      <c r="AW1185" s="6" t="str">
        <f>HYPERLINK("http://www.worldcat.org/oclc/42726281","WorldCat Record")</f>
        <v>WorldCat Record</v>
      </c>
      <c r="AX1185" s="3" t="s">
        <v>11721</v>
      </c>
      <c r="AY1185" s="3" t="s">
        <v>11722</v>
      </c>
      <c r="AZ1185" s="3" t="s">
        <v>11723</v>
      </c>
      <c r="BA1185" s="3" t="s">
        <v>11723</v>
      </c>
      <c r="BB1185" s="3" t="s">
        <v>11724</v>
      </c>
      <c r="BC1185" s="3" t="s">
        <v>142</v>
      </c>
      <c r="BD1185" s="3" t="s">
        <v>68</v>
      </c>
      <c r="BE1185" s="3" t="s">
        <v>11725</v>
      </c>
      <c r="BF1185" s="3" t="s">
        <v>11724</v>
      </c>
      <c r="BG1185" s="3" t="s">
        <v>11726</v>
      </c>
    </row>
    <row r="1186" spans="1:59" ht="57" x14ac:dyDescent="0.45">
      <c r="A1186" s="2" t="s">
        <v>59</v>
      </c>
      <c r="B1186" s="2" t="s">
        <v>60</v>
      </c>
      <c r="C1186" s="2" t="s">
        <v>11727</v>
      </c>
      <c r="D1186" s="2" t="s">
        <v>11728</v>
      </c>
      <c r="E1186" s="2" t="s">
        <v>11729</v>
      </c>
      <c r="G1186" s="3" t="s">
        <v>62</v>
      </c>
      <c r="I1186" s="3" t="s">
        <v>62</v>
      </c>
      <c r="J1186" s="3" t="s">
        <v>62</v>
      </c>
      <c r="K1186" s="3" t="s">
        <v>63</v>
      </c>
      <c r="L1186" s="2" t="s">
        <v>11730</v>
      </c>
      <c r="M1186" s="2" t="s">
        <v>11731</v>
      </c>
      <c r="N1186" s="3" t="s">
        <v>195</v>
      </c>
      <c r="P1186" s="3" t="s">
        <v>65</v>
      </c>
      <c r="R1186" s="3" t="s">
        <v>66</v>
      </c>
      <c r="S1186" s="4">
        <v>29</v>
      </c>
      <c r="T1186" s="4">
        <v>29</v>
      </c>
      <c r="U1186" s="5" t="s">
        <v>11732</v>
      </c>
      <c r="V1186" s="5" t="s">
        <v>11732</v>
      </c>
      <c r="W1186" s="5" t="s">
        <v>67</v>
      </c>
      <c r="X1186" s="5" t="s">
        <v>67</v>
      </c>
      <c r="Y1186" s="4">
        <v>798</v>
      </c>
      <c r="Z1186" s="4">
        <v>43</v>
      </c>
      <c r="AA1186" s="4">
        <v>108</v>
      </c>
      <c r="AB1186" s="4">
        <v>2</v>
      </c>
      <c r="AC1186" s="4">
        <v>17</v>
      </c>
      <c r="AD1186" s="4">
        <v>131</v>
      </c>
      <c r="AE1186" s="4">
        <v>157</v>
      </c>
      <c r="AF1186" s="4">
        <v>1</v>
      </c>
      <c r="AG1186" s="4">
        <v>8</v>
      </c>
      <c r="AH1186" s="4">
        <v>108</v>
      </c>
      <c r="AI1186" s="4">
        <v>113</v>
      </c>
      <c r="AJ1186" s="4">
        <v>19</v>
      </c>
      <c r="AK1186" s="4">
        <v>28</v>
      </c>
      <c r="AL1186" s="4">
        <v>56</v>
      </c>
      <c r="AM1186" s="4">
        <v>58</v>
      </c>
      <c r="AN1186" s="4">
        <v>0</v>
      </c>
      <c r="AO1186" s="4">
        <v>0</v>
      </c>
      <c r="AP1186" s="4">
        <v>32</v>
      </c>
      <c r="AQ1186" s="4">
        <v>53</v>
      </c>
      <c r="AR1186" s="3" t="s">
        <v>62</v>
      </c>
      <c r="AS1186" s="3" t="s">
        <v>62</v>
      </c>
      <c r="AT1186" s="3" t="s">
        <v>61</v>
      </c>
      <c r="AU1186" s="6" t="str">
        <f>HYPERLINK("http://catalog.hathitrust.org/Record/002700637","HathiTrust Record")</f>
        <v>HathiTrust Record</v>
      </c>
      <c r="AV1186" s="6" t="str">
        <f>HYPERLINK("http://mcgill.on.worldcat.org/oclc/26761785","Catalog Record")</f>
        <v>Catalog Record</v>
      </c>
      <c r="AW1186" s="6" t="str">
        <f>HYPERLINK("http://www.worldcat.org/oclc/26761785","WorldCat Record")</f>
        <v>WorldCat Record</v>
      </c>
      <c r="AX1186" s="3" t="s">
        <v>11733</v>
      </c>
      <c r="AY1186" s="3" t="s">
        <v>11734</v>
      </c>
      <c r="AZ1186" s="3" t="s">
        <v>11735</v>
      </c>
      <c r="BA1186" s="3" t="s">
        <v>11735</v>
      </c>
      <c r="BB1186" s="3" t="s">
        <v>11736</v>
      </c>
      <c r="BC1186" s="3" t="s">
        <v>142</v>
      </c>
      <c r="BD1186" s="3" t="s">
        <v>68</v>
      </c>
      <c r="BE1186" s="3" t="s">
        <v>11737</v>
      </c>
      <c r="BF1186" s="3" t="s">
        <v>11736</v>
      </c>
      <c r="BG1186" s="3" t="s">
        <v>11738</v>
      </c>
    </row>
    <row r="1187" spans="1:59" ht="57" x14ac:dyDescent="0.45">
      <c r="A1187" s="2" t="s">
        <v>59</v>
      </c>
      <c r="B1187" s="2" t="s">
        <v>60</v>
      </c>
      <c r="C1187" s="2" t="s">
        <v>11739</v>
      </c>
      <c r="D1187" s="2" t="s">
        <v>11740</v>
      </c>
      <c r="E1187" s="2" t="s">
        <v>11741</v>
      </c>
      <c r="G1187" s="3" t="s">
        <v>62</v>
      </c>
      <c r="I1187" s="3" t="s">
        <v>62</v>
      </c>
      <c r="J1187" s="3" t="s">
        <v>62</v>
      </c>
      <c r="K1187" s="3" t="s">
        <v>63</v>
      </c>
      <c r="L1187" s="2" t="s">
        <v>11742</v>
      </c>
      <c r="M1187" s="2" t="s">
        <v>11743</v>
      </c>
      <c r="N1187" s="3" t="s">
        <v>181</v>
      </c>
      <c r="P1187" s="3" t="s">
        <v>65</v>
      </c>
      <c r="R1187" s="3" t="s">
        <v>66</v>
      </c>
      <c r="S1187" s="4">
        <v>0</v>
      </c>
      <c r="T1187" s="4">
        <v>0</v>
      </c>
      <c r="W1187" s="5" t="s">
        <v>67</v>
      </c>
      <c r="X1187" s="5" t="s">
        <v>67</v>
      </c>
      <c r="Y1187" s="4">
        <v>221</v>
      </c>
      <c r="Z1187" s="4">
        <v>14</v>
      </c>
      <c r="AA1187" s="4">
        <v>77</v>
      </c>
      <c r="AB1187" s="4">
        <v>2</v>
      </c>
      <c r="AC1187" s="4">
        <v>14</v>
      </c>
      <c r="AD1187" s="4">
        <v>58</v>
      </c>
      <c r="AE1187" s="4">
        <v>115</v>
      </c>
      <c r="AF1187" s="4">
        <v>1</v>
      </c>
      <c r="AG1187" s="4">
        <v>8</v>
      </c>
      <c r="AH1187" s="4">
        <v>54</v>
      </c>
      <c r="AI1187" s="4">
        <v>85</v>
      </c>
      <c r="AJ1187" s="4">
        <v>5</v>
      </c>
      <c r="AK1187" s="4">
        <v>20</v>
      </c>
      <c r="AL1187" s="4">
        <v>36</v>
      </c>
      <c r="AM1187" s="4">
        <v>47</v>
      </c>
      <c r="AN1187" s="4">
        <v>0</v>
      </c>
      <c r="AO1187" s="4">
        <v>0</v>
      </c>
      <c r="AP1187" s="4">
        <v>6</v>
      </c>
      <c r="AQ1187" s="4">
        <v>37</v>
      </c>
      <c r="AR1187" s="3" t="s">
        <v>62</v>
      </c>
      <c r="AS1187" s="3" t="s">
        <v>62</v>
      </c>
      <c r="AT1187" s="3" t="s">
        <v>62</v>
      </c>
      <c r="AV1187" s="6" t="str">
        <f>HYPERLINK("http://mcgill.on.worldcat.org/oclc/945028669","Catalog Record")</f>
        <v>Catalog Record</v>
      </c>
      <c r="AW1187" s="6" t="str">
        <f>HYPERLINK("http://www.worldcat.org/oclc/945028669","WorldCat Record")</f>
        <v>WorldCat Record</v>
      </c>
      <c r="AX1187" s="3" t="s">
        <v>11744</v>
      </c>
      <c r="AY1187" s="3" t="s">
        <v>11745</v>
      </c>
      <c r="AZ1187" s="3" t="s">
        <v>11746</v>
      </c>
      <c r="BA1187" s="3" t="s">
        <v>11746</v>
      </c>
      <c r="BB1187" s="3" t="s">
        <v>11747</v>
      </c>
      <c r="BC1187" s="3" t="s">
        <v>142</v>
      </c>
      <c r="BD1187" s="3" t="s">
        <v>68</v>
      </c>
      <c r="BE1187" s="3" t="s">
        <v>11748</v>
      </c>
      <c r="BF1187" s="3" t="s">
        <v>11747</v>
      </c>
      <c r="BG1187" s="3" t="s">
        <v>11749</v>
      </c>
    </row>
    <row r="1188" spans="1:59" ht="71.25" x14ac:dyDescent="0.45">
      <c r="A1188" s="2" t="s">
        <v>59</v>
      </c>
      <c r="B1188" s="2" t="s">
        <v>60</v>
      </c>
      <c r="C1188" s="2" t="s">
        <v>11750</v>
      </c>
      <c r="D1188" s="2" t="s">
        <v>11751</v>
      </c>
      <c r="E1188" s="2" t="s">
        <v>11752</v>
      </c>
      <c r="G1188" s="3" t="s">
        <v>62</v>
      </c>
      <c r="I1188" s="3" t="s">
        <v>61</v>
      </c>
      <c r="J1188" s="3" t="s">
        <v>62</v>
      </c>
      <c r="K1188" s="3" t="s">
        <v>63</v>
      </c>
      <c r="L1188" s="2" t="s">
        <v>11753</v>
      </c>
      <c r="M1188" s="2" t="s">
        <v>11754</v>
      </c>
      <c r="N1188" s="3" t="s">
        <v>1478</v>
      </c>
      <c r="P1188" s="3" t="s">
        <v>65</v>
      </c>
      <c r="Q1188" s="2" t="s">
        <v>11755</v>
      </c>
      <c r="R1188" s="3" t="s">
        <v>66</v>
      </c>
      <c r="S1188" s="4">
        <v>47</v>
      </c>
      <c r="T1188" s="4">
        <v>96</v>
      </c>
      <c r="U1188" s="5" t="s">
        <v>869</v>
      </c>
      <c r="V1188" s="5" t="s">
        <v>11756</v>
      </c>
      <c r="W1188" s="5" t="s">
        <v>67</v>
      </c>
      <c r="X1188" s="5" t="s">
        <v>67</v>
      </c>
      <c r="Y1188" s="4">
        <v>104</v>
      </c>
      <c r="Z1188" s="4">
        <v>8</v>
      </c>
      <c r="AA1188" s="4">
        <v>9</v>
      </c>
      <c r="AB1188" s="4">
        <v>1</v>
      </c>
      <c r="AC1188" s="4">
        <v>2</v>
      </c>
      <c r="AD1188" s="4">
        <v>9</v>
      </c>
      <c r="AE1188" s="4">
        <v>10</v>
      </c>
      <c r="AF1188" s="4">
        <v>0</v>
      </c>
      <c r="AG1188" s="4">
        <v>1</v>
      </c>
      <c r="AH1188" s="4">
        <v>8</v>
      </c>
      <c r="AI1188" s="4">
        <v>8</v>
      </c>
      <c r="AJ1188" s="4">
        <v>3</v>
      </c>
      <c r="AK1188" s="4">
        <v>4</v>
      </c>
      <c r="AL1188" s="4">
        <v>2</v>
      </c>
      <c r="AM1188" s="4">
        <v>2</v>
      </c>
      <c r="AN1188" s="4">
        <v>0</v>
      </c>
      <c r="AO1188" s="4">
        <v>0</v>
      </c>
      <c r="AP1188" s="4">
        <v>3</v>
      </c>
      <c r="AQ1188" s="4">
        <v>3</v>
      </c>
      <c r="AR1188" s="3" t="s">
        <v>62</v>
      </c>
      <c r="AS1188" s="3" t="s">
        <v>62</v>
      </c>
      <c r="AT1188" s="3" t="s">
        <v>62</v>
      </c>
      <c r="AV1188" s="6" t="str">
        <f>HYPERLINK("http://mcgill.on.worldcat.org/oclc/36323880","Catalog Record")</f>
        <v>Catalog Record</v>
      </c>
      <c r="AW1188" s="6" t="str">
        <f>HYPERLINK("http://www.worldcat.org/oclc/36323880","WorldCat Record")</f>
        <v>WorldCat Record</v>
      </c>
      <c r="AX1188" s="3" t="s">
        <v>11757</v>
      </c>
      <c r="AY1188" s="3" t="s">
        <v>11758</v>
      </c>
      <c r="AZ1188" s="3" t="s">
        <v>11759</v>
      </c>
      <c r="BA1188" s="3" t="s">
        <v>11759</v>
      </c>
      <c r="BB1188" s="3" t="s">
        <v>11760</v>
      </c>
      <c r="BC1188" s="3" t="s">
        <v>142</v>
      </c>
      <c r="BD1188" s="3" t="s">
        <v>308</v>
      </c>
      <c r="BE1188" s="3" t="s">
        <v>11761</v>
      </c>
      <c r="BF1188" s="3" t="s">
        <v>11760</v>
      </c>
      <c r="BG1188" s="3" t="s">
        <v>11762</v>
      </c>
    </row>
    <row r="1189" spans="1:59" ht="71.25" x14ac:dyDescent="0.45">
      <c r="A1189" s="2" t="s">
        <v>59</v>
      </c>
      <c r="B1189" s="2" t="s">
        <v>60</v>
      </c>
      <c r="C1189" s="2" t="s">
        <v>11750</v>
      </c>
      <c r="D1189" s="2" t="s">
        <v>11751</v>
      </c>
      <c r="E1189" s="2" t="s">
        <v>11752</v>
      </c>
      <c r="G1189" s="3" t="s">
        <v>62</v>
      </c>
      <c r="I1189" s="3" t="s">
        <v>61</v>
      </c>
      <c r="J1189" s="3" t="s">
        <v>62</v>
      </c>
      <c r="K1189" s="3" t="s">
        <v>63</v>
      </c>
      <c r="L1189" s="2" t="s">
        <v>11753</v>
      </c>
      <c r="M1189" s="2" t="s">
        <v>11754</v>
      </c>
      <c r="N1189" s="3" t="s">
        <v>1478</v>
      </c>
      <c r="P1189" s="3" t="s">
        <v>65</v>
      </c>
      <c r="Q1189" s="2" t="s">
        <v>11755</v>
      </c>
      <c r="R1189" s="3" t="s">
        <v>66</v>
      </c>
      <c r="S1189" s="4">
        <v>49</v>
      </c>
      <c r="T1189" s="4">
        <v>96</v>
      </c>
      <c r="U1189" s="5" t="s">
        <v>11756</v>
      </c>
      <c r="V1189" s="5" t="s">
        <v>11756</v>
      </c>
      <c r="W1189" s="5" t="s">
        <v>67</v>
      </c>
      <c r="X1189" s="5" t="s">
        <v>67</v>
      </c>
      <c r="Y1189" s="4">
        <v>104</v>
      </c>
      <c r="Z1189" s="4">
        <v>8</v>
      </c>
      <c r="AA1189" s="4">
        <v>9</v>
      </c>
      <c r="AB1189" s="4">
        <v>1</v>
      </c>
      <c r="AC1189" s="4">
        <v>2</v>
      </c>
      <c r="AD1189" s="4">
        <v>9</v>
      </c>
      <c r="AE1189" s="4">
        <v>10</v>
      </c>
      <c r="AF1189" s="4">
        <v>0</v>
      </c>
      <c r="AG1189" s="4">
        <v>1</v>
      </c>
      <c r="AH1189" s="4">
        <v>8</v>
      </c>
      <c r="AI1189" s="4">
        <v>8</v>
      </c>
      <c r="AJ1189" s="4">
        <v>3</v>
      </c>
      <c r="AK1189" s="4">
        <v>4</v>
      </c>
      <c r="AL1189" s="4">
        <v>2</v>
      </c>
      <c r="AM1189" s="4">
        <v>2</v>
      </c>
      <c r="AN1189" s="4">
        <v>0</v>
      </c>
      <c r="AO1189" s="4">
        <v>0</v>
      </c>
      <c r="AP1189" s="4">
        <v>3</v>
      </c>
      <c r="AQ1189" s="4">
        <v>3</v>
      </c>
      <c r="AR1189" s="3" t="s">
        <v>62</v>
      </c>
      <c r="AS1189" s="3" t="s">
        <v>62</v>
      </c>
      <c r="AT1189" s="3" t="s">
        <v>62</v>
      </c>
      <c r="AV1189" s="6" t="str">
        <f>HYPERLINK("http://mcgill.on.worldcat.org/oclc/36323880","Catalog Record")</f>
        <v>Catalog Record</v>
      </c>
      <c r="AW1189" s="6" t="str">
        <f>HYPERLINK("http://www.worldcat.org/oclc/36323880","WorldCat Record")</f>
        <v>WorldCat Record</v>
      </c>
      <c r="AX1189" s="3" t="s">
        <v>11757</v>
      </c>
      <c r="AY1189" s="3" t="s">
        <v>11758</v>
      </c>
      <c r="AZ1189" s="3" t="s">
        <v>11759</v>
      </c>
      <c r="BA1189" s="3" t="s">
        <v>11759</v>
      </c>
      <c r="BB1189" s="3" t="s">
        <v>11763</v>
      </c>
      <c r="BC1189" s="3" t="s">
        <v>142</v>
      </c>
      <c r="BD1189" s="3" t="s">
        <v>68</v>
      </c>
      <c r="BE1189" s="3" t="s">
        <v>11761</v>
      </c>
      <c r="BF1189" s="3" t="s">
        <v>11763</v>
      </c>
      <c r="BG1189" s="3" t="s">
        <v>11764</v>
      </c>
    </row>
    <row r="1190" spans="1:59" ht="71.25" x14ac:dyDescent="0.45">
      <c r="A1190" s="2" t="s">
        <v>59</v>
      </c>
      <c r="B1190" s="2" t="s">
        <v>60</v>
      </c>
      <c r="C1190" s="2" t="s">
        <v>11765</v>
      </c>
      <c r="D1190" s="2" t="s">
        <v>11766</v>
      </c>
      <c r="E1190" s="2" t="s">
        <v>11767</v>
      </c>
      <c r="G1190" s="3" t="s">
        <v>62</v>
      </c>
      <c r="I1190" s="3" t="s">
        <v>61</v>
      </c>
      <c r="J1190" s="3" t="s">
        <v>62</v>
      </c>
      <c r="K1190" s="3" t="s">
        <v>63</v>
      </c>
      <c r="L1190" s="2" t="s">
        <v>11768</v>
      </c>
      <c r="M1190" s="2" t="s">
        <v>11769</v>
      </c>
      <c r="N1190" s="3" t="s">
        <v>167</v>
      </c>
      <c r="P1190" s="3" t="s">
        <v>65</v>
      </c>
      <c r="Q1190" s="2" t="s">
        <v>11458</v>
      </c>
      <c r="R1190" s="3" t="s">
        <v>66</v>
      </c>
      <c r="S1190" s="4">
        <v>23</v>
      </c>
      <c r="T1190" s="4">
        <v>72</v>
      </c>
      <c r="U1190" s="5" t="s">
        <v>11624</v>
      </c>
      <c r="V1190" s="5" t="s">
        <v>11624</v>
      </c>
      <c r="W1190" s="5" t="s">
        <v>67</v>
      </c>
      <c r="X1190" s="5" t="s">
        <v>67</v>
      </c>
      <c r="Y1190" s="4">
        <v>419</v>
      </c>
      <c r="Z1190" s="4">
        <v>28</v>
      </c>
      <c r="AA1190" s="4">
        <v>31</v>
      </c>
      <c r="AB1190" s="4">
        <v>2</v>
      </c>
      <c r="AC1190" s="4">
        <v>3</v>
      </c>
      <c r="AD1190" s="4">
        <v>106</v>
      </c>
      <c r="AE1190" s="4">
        <v>109</v>
      </c>
      <c r="AF1190" s="4">
        <v>1</v>
      </c>
      <c r="AG1190" s="4">
        <v>2</v>
      </c>
      <c r="AH1190" s="4">
        <v>93</v>
      </c>
      <c r="AI1190" s="4">
        <v>94</v>
      </c>
      <c r="AJ1190" s="4">
        <v>15</v>
      </c>
      <c r="AK1190" s="4">
        <v>16</v>
      </c>
      <c r="AL1190" s="4">
        <v>50</v>
      </c>
      <c r="AM1190" s="4">
        <v>50</v>
      </c>
      <c r="AN1190" s="4">
        <v>0</v>
      </c>
      <c r="AO1190" s="4">
        <v>0</v>
      </c>
      <c r="AP1190" s="4">
        <v>20</v>
      </c>
      <c r="AQ1190" s="4">
        <v>23</v>
      </c>
      <c r="AR1190" s="3" t="s">
        <v>62</v>
      </c>
      <c r="AS1190" s="3" t="s">
        <v>62</v>
      </c>
      <c r="AT1190" s="3" t="s">
        <v>62</v>
      </c>
      <c r="AV1190" s="6" t="str">
        <f>HYPERLINK("http://mcgill.on.worldcat.org/oclc/40734785","Catalog Record")</f>
        <v>Catalog Record</v>
      </c>
      <c r="AW1190" s="6" t="str">
        <f>HYPERLINK("http://www.worldcat.org/oclc/40734785","WorldCat Record")</f>
        <v>WorldCat Record</v>
      </c>
      <c r="AX1190" s="3" t="s">
        <v>11770</v>
      </c>
      <c r="AY1190" s="3" t="s">
        <v>11771</v>
      </c>
      <c r="AZ1190" s="3" t="s">
        <v>11772</v>
      </c>
      <c r="BA1190" s="3" t="s">
        <v>11772</v>
      </c>
      <c r="BB1190" s="3" t="s">
        <v>11773</v>
      </c>
      <c r="BC1190" s="3" t="s">
        <v>142</v>
      </c>
      <c r="BD1190" s="3" t="s">
        <v>68</v>
      </c>
      <c r="BE1190" s="3" t="s">
        <v>11774</v>
      </c>
      <c r="BF1190" s="3" t="s">
        <v>11773</v>
      </c>
      <c r="BG1190" s="3" t="s">
        <v>11775</v>
      </c>
    </row>
    <row r="1191" spans="1:59" ht="71.25" x14ac:dyDescent="0.45">
      <c r="A1191" s="2" t="s">
        <v>59</v>
      </c>
      <c r="B1191" s="2" t="s">
        <v>60</v>
      </c>
      <c r="C1191" s="2" t="s">
        <v>11765</v>
      </c>
      <c r="D1191" s="2" t="s">
        <v>11766</v>
      </c>
      <c r="E1191" s="2" t="s">
        <v>11767</v>
      </c>
      <c r="G1191" s="3" t="s">
        <v>62</v>
      </c>
      <c r="I1191" s="3" t="s">
        <v>61</v>
      </c>
      <c r="J1191" s="3" t="s">
        <v>62</v>
      </c>
      <c r="K1191" s="3" t="s">
        <v>63</v>
      </c>
      <c r="L1191" s="2" t="s">
        <v>11768</v>
      </c>
      <c r="M1191" s="2" t="s">
        <v>11769</v>
      </c>
      <c r="N1191" s="3" t="s">
        <v>167</v>
      </c>
      <c r="P1191" s="3" t="s">
        <v>65</v>
      </c>
      <c r="Q1191" s="2" t="s">
        <v>11458</v>
      </c>
      <c r="R1191" s="3" t="s">
        <v>66</v>
      </c>
      <c r="S1191" s="4">
        <v>49</v>
      </c>
      <c r="T1191" s="4">
        <v>72</v>
      </c>
      <c r="U1191" s="5" t="s">
        <v>10895</v>
      </c>
      <c r="V1191" s="5" t="s">
        <v>11624</v>
      </c>
      <c r="W1191" s="5" t="s">
        <v>67</v>
      </c>
      <c r="X1191" s="5" t="s">
        <v>67</v>
      </c>
      <c r="Y1191" s="4">
        <v>419</v>
      </c>
      <c r="Z1191" s="4">
        <v>28</v>
      </c>
      <c r="AA1191" s="4">
        <v>31</v>
      </c>
      <c r="AB1191" s="4">
        <v>2</v>
      </c>
      <c r="AC1191" s="4">
        <v>3</v>
      </c>
      <c r="AD1191" s="4">
        <v>106</v>
      </c>
      <c r="AE1191" s="4">
        <v>109</v>
      </c>
      <c r="AF1191" s="4">
        <v>1</v>
      </c>
      <c r="AG1191" s="4">
        <v>2</v>
      </c>
      <c r="AH1191" s="4">
        <v>93</v>
      </c>
      <c r="AI1191" s="4">
        <v>94</v>
      </c>
      <c r="AJ1191" s="4">
        <v>15</v>
      </c>
      <c r="AK1191" s="4">
        <v>16</v>
      </c>
      <c r="AL1191" s="4">
        <v>50</v>
      </c>
      <c r="AM1191" s="4">
        <v>50</v>
      </c>
      <c r="AN1191" s="4">
        <v>0</v>
      </c>
      <c r="AO1191" s="4">
        <v>0</v>
      </c>
      <c r="AP1191" s="4">
        <v>20</v>
      </c>
      <c r="AQ1191" s="4">
        <v>23</v>
      </c>
      <c r="AR1191" s="3" t="s">
        <v>62</v>
      </c>
      <c r="AS1191" s="3" t="s">
        <v>62</v>
      </c>
      <c r="AT1191" s="3" t="s">
        <v>62</v>
      </c>
      <c r="AV1191" s="6" t="str">
        <f>HYPERLINK("http://mcgill.on.worldcat.org/oclc/40734785","Catalog Record")</f>
        <v>Catalog Record</v>
      </c>
      <c r="AW1191" s="6" t="str">
        <f>HYPERLINK("http://www.worldcat.org/oclc/40734785","WorldCat Record")</f>
        <v>WorldCat Record</v>
      </c>
      <c r="AX1191" s="3" t="s">
        <v>11770</v>
      </c>
      <c r="AY1191" s="3" t="s">
        <v>11771</v>
      </c>
      <c r="AZ1191" s="3" t="s">
        <v>11772</v>
      </c>
      <c r="BA1191" s="3" t="s">
        <v>11772</v>
      </c>
      <c r="BB1191" s="3" t="s">
        <v>11776</v>
      </c>
      <c r="BC1191" s="3" t="s">
        <v>142</v>
      </c>
      <c r="BD1191" s="3" t="s">
        <v>68</v>
      </c>
      <c r="BE1191" s="3" t="s">
        <v>11774</v>
      </c>
      <c r="BF1191" s="3" t="s">
        <v>11776</v>
      </c>
      <c r="BG1191" s="3" t="s">
        <v>11777</v>
      </c>
    </row>
    <row r="1192" spans="1:59" ht="71.25" x14ac:dyDescent="0.45">
      <c r="A1192" s="2" t="s">
        <v>59</v>
      </c>
      <c r="B1192" s="2" t="s">
        <v>60</v>
      </c>
      <c r="C1192" s="2" t="s">
        <v>11778</v>
      </c>
      <c r="D1192" s="2" t="s">
        <v>11779</v>
      </c>
      <c r="E1192" s="2" t="s">
        <v>11780</v>
      </c>
      <c r="G1192" s="3" t="s">
        <v>62</v>
      </c>
      <c r="I1192" s="3" t="s">
        <v>62</v>
      </c>
      <c r="J1192" s="3" t="s">
        <v>62</v>
      </c>
      <c r="K1192" s="3" t="s">
        <v>63</v>
      </c>
      <c r="L1192" s="2" t="s">
        <v>11781</v>
      </c>
      <c r="M1192" s="2" t="s">
        <v>11782</v>
      </c>
      <c r="N1192" s="3" t="s">
        <v>1688</v>
      </c>
      <c r="O1192" s="2" t="s">
        <v>3280</v>
      </c>
      <c r="P1192" s="3" t="s">
        <v>65</v>
      </c>
      <c r="Q1192" s="2" t="s">
        <v>11458</v>
      </c>
      <c r="R1192" s="3" t="s">
        <v>66</v>
      </c>
      <c r="S1192" s="4">
        <v>3</v>
      </c>
      <c r="T1192" s="4">
        <v>3</v>
      </c>
      <c r="U1192" s="5" t="s">
        <v>11636</v>
      </c>
      <c r="V1192" s="5" t="s">
        <v>11636</v>
      </c>
      <c r="W1192" s="5" t="s">
        <v>67</v>
      </c>
      <c r="X1192" s="5" t="s">
        <v>67</v>
      </c>
      <c r="Y1192" s="4">
        <v>176</v>
      </c>
      <c r="Z1192" s="4">
        <v>23</v>
      </c>
      <c r="AA1192" s="4">
        <v>54</v>
      </c>
      <c r="AB1192" s="4">
        <v>2</v>
      </c>
      <c r="AC1192" s="4">
        <v>5</v>
      </c>
      <c r="AD1192" s="4">
        <v>59</v>
      </c>
      <c r="AE1192" s="4">
        <v>72</v>
      </c>
      <c r="AF1192" s="4">
        <v>0</v>
      </c>
      <c r="AG1192" s="4">
        <v>1</v>
      </c>
      <c r="AH1192" s="4">
        <v>52</v>
      </c>
      <c r="AI1192" s="4">
        <v>54</v>
      </c>
      <c r="AJ1192" s="4">
        <v>14</v>
      </c>
      <c r="AK1192" s="4">
        <v>17</v>
      </c>
      <c r="AL1192" s="4">
        <v>28</v>
      </c>
      <c r="AM1192" s="4">
        <v>31</v>
      </c>
      <c r="AN1192" s="4">
        <v>0</v>
      </c>
      <c r="AO1192" s="4">
        <v>0</v>
      </c>
      <c r="AP1192" s="4">
        <v>16</v>
      </c>
      <c r="AQ1192" s="4">
        <v>25</v>
      </c>
      <c r="AR1192" s="3" t="s">
        <v>62</v>
      </c>
      <c r="AS1192" s="3" t="s">
        <v>62</v>
      </c>
      <c r="AT1192" s="3" t="s">
        <v>62</v>
      </c>
      <c r="AV1192" s="6" t="str">
        <f>HYPERLINK("http://mcgill.on.worldcat.org/oclc/853505929","Catalog Record")</f>
        <v>Catalog Record</v>
      </c>
      <c r="AW1192" s="6" t="str">
        <f>HYPERLINK("http://www.worldcat.org/oclc/853505929","WorldCat Record")</f>
        <v>WorldCat Record</v>
      </c>
      <c r="AX1192" s="3" t="s">
        <v>11783</v>
      </c>
      <c r="AY1192" s="3" t="s">
        <v>11784</v>
      </c>
      <c r="AZ1192" s="3" t="s">
        <v>11785</v>
      </c>
      <c r="BA1192" s="3" t="s">
        <v>11785</v>
      </c>
      <c r="BB1192" s="3" t="s">
        <v>11786</v>
      </c>
      <c r="BC1192" s="3" t="s">
        <v>142</v>
      </c>
      <c r="BD1192" s="3" t="s">
        <v>68</v>
      </c>
      <c r="BE1192" s="3" t="s">
        <v>11787</v>
      </c>
      <c r="BF1192" s="3" t="s">
        <v>11786</v>
      </c>
      <c r="BG1192" s="3" t="s">
        <v>11788</v>
      </c>
    </row>
    <row r="1193" spans="1:59" ht="57" x14ac:dyDescent="0.45">
      <c r="A1193" s="2" t="s">
        <v>59</v>
      </c>
      <c r="B1193" s="2" t="s">
        <v>60</v>
      </c>
      <c r="C1193" s="2" t="s">
        <v>11789</v>
      </c>
      <c r="D1193" s="2" t="s">
        <v>11790</v>
      </c>
      <c r="E1193" s="2" t="s">
        <v>11791</v>
      </c>
      <c r="G1193" s="3" t="s">
        <v>62</v>
      </c>
      <c r="I1193" s="3" t="s">
        <v>62</v>
      </c>
      <c r="J1193" s="3" t="s">
        <v>62</v>
      </c>
      <c r="K1193" s="3" t="s">
        <v>63</v>
      </c>
      <c r="M1193" s="2" t="s">
        <v>11792</v>
      </c>
      <c r="N1193" s="3" t="s">
        <v>149</v>
      </c>
      <c r="P1193" s="3" t="s">
        <v>65</v>
      </c>
      <c r="Q1193" s="2" t="s">
        <v>11793</v>
      </c>
      <c r="R1193" s="3" t="s">
        <v>66</v>
      </c>
      <c r="S1193" s="4">
        <v>11</v>
      </c>
      <c r="T1193" s="4">
        <v>11</v>
      </c>
      <c r="U1193" s="5" t="s">
        <v>11794</v>
      </c>
      <c r="V1193" s="5" t="s">
        <v>11794</v>
      </c>
      <c r="W1193" s="5" t="s">
        <v>67</v>
      </c>
      <c r="X1193" s="5" t="s">
        <v>67</v>
      </c>
      <c r="Y1193" s="4">
        <v>364</v>
      </c>
      <c r="Z1193" s="4">
        <v>36</v>
      </c>
      <c r="AA1193" s="4">
        <v>36</v>
      </c>
      <c r="AB1193" s="4">
        <v>1</v>
      </c>
      <c r="AC1193" s="4">
        <v>1</v>
      </c>
      <c r="AD1193" s="4">
        <v>91</v>
      </c>
      <c r="AE1193" s="4">
        <v>91</v>
      </c>
      <c r="AF1193" s="4">
        <v>0</v>
      </c>
      <c r="AG1193" s="4">
        <v>0</v>
      </c>
      <c r="AH1193" s="4">
        <v>76</v>
      </c>
      <c r="AI1193" s="4">
        <v>76</v>
      </c>
      <c r="AJ1193" s="4">
        <v>14</v>
      </c>
      <c r="AK1193" s="4">
        <v>14</v>
      </c>
      <c r="AL1193" s="4">
        <v>38</v>
      </c>
      <c r="AM1193" s="4">
        <v>38</v>
      </c>
      <c r="AN1193" s="4">
        <v>0</v>
      </c>
      <c r="AO1193" s="4">
        <v>0</v>
      </c>
      <c r="AP1193" s="4">
        <v>22</v>
      </c>
      <c r="AQ1193" s="4">
        <v>22</v>
      </c>
      <c r="AR1193" s="3" t="s">
        <v>62</v>
      </c>
      <c r="AS1193" s="3" t="s">
        <v>62</v>
      </c>
      <c r="AT1193" s="3" t="s">
        <v>62</v>
      </c>
      <c r="AV1193" s="6" t="str">
        <f>HYPERLINK("http://mcgill.on.worldcat.org/oclc/456178314","Catalog Record")</f>
        <v>Catalog Record</v>
      </c>
      <c r="AW1193" s="6" t="str">
        <f>HYPERLINK("http://www.worldcat.org/oclc/456178314","WorldCat Record")</f>
        <v>WorldCat Record</v>
      </c>
      <c r="AX1193" s="3" t="s">
        <v>11795</v>
      </c>
      <c r="AY1193" s="3" t="s">
        <v>11796</v>
      </c>
      <c r="AZ1193" s="3" t="s">
        <v>11797</v>
      </c>
      <c r="BA1193" s="3" t="s">
        <v>11797</v>
      </c>
      <c r="BB1193" s="3" t="s">
        <v>11798</v>
      </c>
      <c r="BC1193" s="3" t="s">
        <v>142</v>
      </c>
      <c r="BD1193" s="3" t="s">
        <v>68</v>
      </c>
      <c r="BE1193" s="3" t="s">
        <v>11799</v>
      </c>
      <c r="BF1193" s="3" t="s">
        <v>11798</v>
      </c>
      <c r="BG1193" s="3" t="s">
        <v>11800</v>
      </c>
    </row>
    <row r="1194" spans="1:59" ht="57" x14ac:dyDescent="0.45">
      <c r="A1194" s="2" t="s">
        <v>59</v>
      </c>
      <c r="B1194" s="2" t="s">
        <v>60</v>
      </c>
      <c r="C1194" s="2" t="s">
        <v>11801</v>
      </c>
      <c r="D1194" s="2" t="s">
        <v>11802</v>
      </c>
      <c r="E1194" s="2" t="s">
        <v>11803</v>
      </c>
      <c r="G1194" s="3" t="s">
        <v>62</v>
      </c>
      <c r="I1194" s="3" t="s">
        <v>62</v>
      </c>
      <c r="J1194" s="3" t="s">
        <v>62</v>
      </c>
      <c r="K1194" s="3" t="s">
        <v>63</v>
      </c>
      <c r="M1194" s="2" t="s">
        <v>3925</v>
      </c>
      <c r="N1194" s="3" t="s">
        <v>149</v>
      </c>
      <c r="P1194" s="3" t="s">
        <v>65</v>
      </c>
      <c r="Q1194" s="2" t="s">
        <v>11804</v>
      </c>
      <c r="R1194" s="3" t="s">
        <v>66</v>
      </c>
      <c r="S1194" s="4">
        <v>2</v>
      </c>
      <c r="T1194" s="4">
        <v>2</v>
      </c>
      <c r="U1194" s="5" t="s">
        <v>11805</v>
      </c>
      <c r="V1194" s="5" t="s">
        <v>11805</v>
      </c>
      <c r="W1194" s="5" t="s">
        <v>67</v>
      </c>
      <c r="X1194" s="5" t="s">
        <v>67</v>
      </c>
      <c r="Y1194" s="4">
        <v>80</v>
      </c>
      <c r="Z1194" s="4">
        <v>12</v>
      </c>
      <c r="AA1194" s="4">
        <v>96</v>
      </c>
      <c r="AB1194" s="4">
        <v>1</v>
      </c>
      <c r="AC1194" s="4">
        <v>17</v>
      </c>
      <c r="AD1194" s="4">
        <v>39</v>
      </c>
      <c r="AE1194" s="4">
        <v>113</v>
      </c>
      <c r="AF1194" s="4">
        <v>0</v>
      </c>
      <c r="AG1194" s="4">
        <v>8</v>
      </c>
      <c r="AH1194" s="4">
        <v>32</v>
      </c>
      <c r="AI1194" s="4">
        <v>76</v>
      </c>
      <c r="AJ1194" s="4">
        <v>10</v>
      </c>
      <c r="AK1194" s="4">
        <v>23</v>
      </c>
      <c r="AL1194" s="4">
        <v>19</v>
      </c>
      <c r="AM1194" s="4">
        <v>38</v>
      </c>
      <c r="AN1194" s="4">
        <v>0</v>
      </c>
      <c r="AO1194" s="4">
        <v>0</v>
      </c>
      <c r="AP1194" s="4">
        <v>11</v>
      </c>
      <c r="AQ1194" s="4">
        <v>44</v>
      </c>
      <c r="AR1194" s="3" t="s">
        <v>62</v>
      </c>
      <c r="AS1194" s="3" t="s">
        <v>62</v>
      </c>
      <c r="AT1194" s="3" t="s">
        <v>62</v>
      </c>
      <c r="AV1194" s="6" t="str">
        <f>HYPERLINK("http://mcgill.on.worldcat.org/oclc/528665961","Catalog Record")</f>
        <v>Catalog Record</v>
      </c>
      <c r="AW1194" s="6" t="str">
        <f>HYPERLINK("http://www.worldcat.org/oclc/528665961","WorldCat Record")</f>
        <v>WorldCat Record</v>
      </c>
      <c r="AX1194" s="3" t="s">
        <v>11806</v>
      </c>
      <c r="AY1194" s="3" t="s">
        <v>11807</v>
      </c>
      <c r="AZ1194" s="3" t="s">
        <v>11808</v>
      </c>
      <c r="BA1194" s="3" t="s">
        <v>11808</v>
      </c>
      <c r="BB1194" s="3" t="s">
        <v>11809</v>
      </c>
      <c r="BC1194" s="3" t="s">
        <v>142</v>
      </c>
      <c r="BD1194" s="3" t="s">
        <v>68</v>
      </c>
      <c r="BE1194" s="3" t="s">
        <v>11810</v>
      </c>
      <c r="BF1194" s="3" t="s">
        <v>11809</v>
      </c>
      <c r="BG1194" s="3" t="s">
        <v>11811</v>
      </c>
    </row>
    <row r="1195" spans="1:59" ht="57" x14ac:dyDescent="0.45">
      <c r="A1195" s="2" t="s">
        <v>59</v>
      </c>
      <c r="B1195" s="2" t="s">
        <v>60</v>
      </c>
      <c r="C1195" s="2" t="s">
        <v>11812</v>
      </c>
      <c r="D1195" s="2" t="s">
        <v>11813</v>
      </c>
      <c r="E1195" s="2" t="s">
        <v>11814</v>
      </c>
      <c r="F1195" s="3" t="s">
        <v>11815</v>
      </c>
      <c r="G1195" s="3" t="s">
        <v>61</v>
      </c>
      <c r="I1195" s="3" t="s">
        <v>62</v>
      </c>
      <c r="J1195" s="3" t="s">
        <v>62</v>
      </c>
      <c r="K1195" s="3" t="s">
        <v>63</v>
      </c>
      <c r="M1195" s="2" t="s">
        <v>11816</v>
      </c>
      <c r="N1195" s="3" t="s">
        <v>1604</v>
      </c>
      <c r="P1195" s="3" t="s">
        <v>65</v>
      </c>
      <c r="R1195" s="3" t="s">
        <v>66</v>
      </c>
      <c r="S1195" s="4">
        <v>0</v>
      </c>
      <c r="T1195" s="4">
        <v>95</v>
      </c>
      <c r="V1195" s="5" t="s">
        <v>11817</v>
      </c>
      <c r="W1195" s="5" t="s">
        <v>67</v>
      </c>
      <c r="X1195" s="5" t="s">
        <v>67</v>
      </c>
      <c r="Y1195" s="4">
        <v>16</v>
      </c>
      <c r="Z1195" s="4">
        <v>1</v>
      </c>
      <c r="AA1195" s="4">
        <v>8</v>
      </c>
      <c r="AB1195" s="4">
        <v>1</v>
      </c>
      <c r="AC1195" s="4">
        <v>4</v>
      </c>
      <c r="AD1195" s="4">
        <v>1</v>
      </c>
      <c r="AE1195" s="4">
        <v>46</v>
      </c>
      <c r="AF1195" s="4">
        <v>0</v>
      </c>
      <c r="AG1195" s="4">
        <v>3</v>
      </c>
      <c r="AH1195" s="4">
        <v>1</v>
      </c>
      <c r="AI1195" s="4">
        <v>41</v>
      </c>
      <c r="AJ1195" s="4">
        <v>0</v>
      </c>
      <c r="AK1195" s="4">
        <v>6</v>
      </c>
      <c r="AL1195" s="4">
        <v>1</v>
      </c>
      <c r="AM1195" s="4">
        <v>28</v>
      </c>
      <c r="AN1195" s="4">
        <v>0</v>
      </c>
      <c r="AO1195" s="4">
        <v>0</v>
      </c>
      <c r="AP1195" s="4">
        <v>0</v>
      </c>
      <c r="AQ1195" s="4">
        <v>6</v>
      </c>
      <c r="AR1195" s="3" t="s">
        <v>62</v>
      </c>
      <c r="AS1195" s="3" t="s">
        <v>62</v>
      </c>
      <c r="AT1195" s="3" t="s">
        <v>62</v>
      </c>
      <c r="AV1195" s="6" t="str">
        <f t="shared" ref="AV1195:AV1202" si="14">HYPERLINK("http://mcgill.on.worldcat.org/oclc/428022524","Catalog Record")</f>
        <v>Catalog Record</v>
      </c>
      <c r="AW1195" s="6" t="str">
        <f t="shared" ref="AW1195:AW1202" si="15">HYPERLINK("http://www.worldcat.org/oclc/428022524","WorldCat Record")</f>
        <v>WorldCat Record</v>
      </c>
      <c r="AX1195" s="3" t="s">
        <v>11818</v>
      </c>
      <c r="AY1195" s="3" t="s">
        <v>11819</v>
      </c>
      <c r="AZ1195" s="3" t="s">
        <v>11820</v>
      </c>
      <c r="BA1195" s="3" t="s">
        <v>11820</v>
      </c>
      <c r="BB1195" s="3" t="s">
        <v>11821</v>
      </c>
      <c r="BC1195" s="3" t="s">
        <v>142</v>
      </c>
      <c r="BD1195" s="3" t="s">
        <v>68</v>
      </c>
      <c r="BE1195" s="3" t="s">
        <v>11822</v>
      </c>
      <c r="BF1195" s="3" t="s">
        <v>11821</v>
      </c>
      <c r="BG1195" s="3" t="s">
        <v>11823</v>
      </c>
    </row>
    <row r="1196" spans="1:59" ht="57" x14ac:dyDescent="0.45">
      <c r="A1196" s="2" t="s">
        <v>59</v>
      </c>
      <c r="B1196" s="2" t="s">
        <v>60</v>
      </c>
      <c r="C1196" s="2" t="s">
        <v>11812</v>
      </c>
      <c r="D1196" s="2" t="s">
        <v>11813</v>
      </c>
      <c r="E1196" s="2" t="s">
        <v>11814</v>
      </c>
      <c r="F1196" s="3" t="s">
        <v>11824</v>
      </c>
      <c r="G1196" s="3" t="s">
        <v>61</v>
      </c>
      <c r="I1196" s="3" t="s">
        <v>62</v>
      </c>
      <c r="J1196" s="3" t="s">
        <v>62</v>
      </c>
      <c r="K1196" s="3" t="s">
        <v>63</v>
      </c>
      <c r="M1196" s="2" t="s">
        <v>11816</v>
      </c>
      <c r="N1196" s="3" t="s">
        <v>1604</v>
      </c>
      <c r="P1196" s="3" t="s">
        <v>65</v>
      </c>
      <c r="R1196" s="3" t="s">
        <v>66</v>
      </c>
      <c r="S1196" s="4">
        <v>9</v>
      </c>
      <c r="T1196" s="4">
        <v>95</v>
      </c>
      <c r="U1196" s="5" t="s">
        <v>11825</v>
      </c>
      <c r="V1196" s="5" t="s">
        <v>11817</v>
      </c>
      <c r="W1196" s="5" t="s">
        <v>67</v>
      </c>
      <c r="X1196" s="5" t="s">
        <v>67</v>
      </c>
      <c r="Y1196" s="4">
        <v>16</v>
      </c>
      <c r="Z1196" s="4">
        <v>1</v>
      </c>
      <c r="AA1196" s="4">
        <v>8</v>
      </c>
      <c r="AB1196" s="4">
        <v>1</v>
      </c>
      <c r="AC1196" s="4">
        <v>4</v>
      </c>
      <c r="AD1196" s="4">
        <v>1</v>
      </c>
      <c r="AE1196" s="4">
        <v>46</v>
      </c>
      <c r="AF1196" s="4">
        <v>0</v>
      </c>
      <c r="AG1196" s="4">
        <v>3</v>
      </c>
      <c r="AH1196" s="4">
        <v>1</v>
      </c>
      <c r="AI1196" s="4">
        <v>41</v>
      </c>
      <c r="AJ1196" s="4">
        <v>0</v>
      </c>
      <c r="AK1196" s="4">
        <v>6</v>
      </c>
      <c r="AL1196" s="4">
        <v>1</v>
      </c>
      <c r="AM1196" s="4">
        <v>28</v>
      </c>
      <c r="AN1196" s="4">
        <v>0</v>
      </c>
      <c r="AO1196" s="4">
        <v>0</v>
      </c>
      <c r="AP1196" s="4">
        <v>0</v>
      </c>
      <c r="AQ1196" s="4">
        <v>6</v>
      </c>
      <c r="AR1196" s="3" t="s">
        <v>62</v>
      </c>
      <c r="AS1196" s="3" t="s">
        <v>62</v>
      </c>
      <c r="AT1196" s="3" t="s">
        <v>62</v>
      </c>
      <c r="AV1196" s="6" t="str">
        <f t="shared" si="14"/>
        <v>Catalog Record</v>
      </c>
      <c r="AW1196" s="6" t="str">
        <f t="shared" si="15"/>
        <v>WorldCat Record</v>
      </c>
      <c r="AX1196" s="3" t="s">
        <v>11818</v>
      </c>
      <c r="AY1196" s="3" t="s">
        <v>11819</v>
      </c>
      <c r="AZ1196" s="3" t="s">
        <v>11820</v>
      </c>
      <c r="BA1196" s="3" t="s">
        <v>11820</v>
      </c>
      <c r="BB1196" s="3" t="s">
        <v>11826</v>
      </c>
      <c r="BC1196" s="3" t="s">
        <v>142</v>
      </c>
      <c r="BD1196" s="3" t="s">
        <v>68</v>
      </c>
      <c r="BE1196" s="3" t="s">
        <v>11822</v>
      </c>
      <c r="BF1196" s="3" t="s">
        <v>11826</v>
      </c>
      <c r="BG1196" s="3" t="s">
        <v>11827</v>
      </c>
    </row>
    <row r="1197" spans="1:59" ht="57" x14ac:dyDescent="0.45">
      <c r="A1197" s="2" t="s">
        <v>59</v>
      </c>
      <c r="B1197" s="2" t="s">
        <v>60</v>
      </c>
      <c r="C1197" s="2" t="s">
        <v>11812</v>
      </c>
      <c r="D1197" s="2" t="s">
        <v>11813</v>
      </c>
      <c r="E1197" s="2" t="s">
        <v>11814</v>
      </c>
      <c r="F1197" s="3" t="s">
        <v>11828</v>
      </c>
      <c r="G1197" s="3" t="s">
        <v>61</v>
      </c>
      <c r="I1197" s="3" t="s">
        <v>62</v>
      </c>
      <c r="J1197" s="3" t="s">
        <v>62</v>
      </c>
      <c r="K1197" s="3" t="s">
        <v>63</v>
      </c>
      <c r="M1197" s="2" t="s">
        <v>11816</v>
      </c>
      <c r="N1197" s="3" t="s">
        <v>1604</v>
      </c>
      <c r="P1197" s="3" t="s">
        <v>65</v>
      </c>
      <c r="R1197" s="3" t="s">
        <v>66</v>
      </c>
      <c r="S1197" s="4">
        <v>19</v>
      </c>
      <c r="T1197" s="4">
        <v>95</v>
      </c>
      <c r="U1197" s="5" t="s">
        <v>11829</v>
      </c>
      <c r="V1197" s="5" t="s">
        <v>11817</v>
      </c>
      <c r="W1197" s="5" t="s">
        <v>67</v>
      </c>
      <c r="X1197" s="5" t="s">
        <v>67</v>
      </c>
      <c r="Y1197" s="4">
        <v>16</v>
      </c>
      <c r="Z1197" s="4">
        <v>1</v>
      </c>
      <c r="AA1197" s="4">
        <v>8</v>
      </c>
      <c r="AB1197" s="4">
        <v>1</v>
      </c>
      <c r="AC1197" s="4">
        <v>4</v>
      </c>
      <c r="AD1197" s="4">
        <v>1</v>
      </c>
      <c r="AE1197" s="4">
        <v>46</v>
      </c>
      <c r="AF1197" s="4">
        <v>0</v>
      </c>
      <c r="AG1197" s="4">
        <v>3</v>
      </c>
      <c r="AH1197" s="4">
        <v>1</v>
      </c>
      <c r="AI1197" s="4">
        <v>41</v>
      </c>
      <c r="AJ1197" s="4">
        <v>0</v>
      </c>
      <c r="AK1197" s="4">
        <v>6</v>
      </c>
      <c r="AL1197" s="4">
        <v>1</v>
      </c>
      <c r="AM1197" s="4">
        <v>28</v>
      </c>
      <c r="AN1197" s="4">
        <v>0</v>
      </c>
      <c r="AO1197" s="4">
        <v>0</v>
      </c>
      <c r="AP1197" s="4">
        <v>0</v>
      </c>
      <c r="AQ1197" s="4">
        <v>6</v>
      </c>
      <c r="AR1197" s="3" t="s">
        <v>62</v>
      </c>
      <c r="AS1197" s="3" t="s">
        <v>62</v>
      </c>
      <c r="AT1197" s="3" t="s">
        <v>62</v>
      </c>
      <c r="AV1197" s="6" t="str">
        <f t="shared" si="14"/>
        <v>Catalog Record</v>
      </c>
      <c r="AW1197" s="6" t="str">
        <f t="shared" si="15"/>
        <v>WorldCat Record</v>
      </c>
      <c r="AX1197" s="3" t="s">
        <v>11818</v>
      </c>
      <c r="AY1197" s="3" t="s">
        <v>11819</v>
      </c>
      <c r="AZ1197" s="3" t="s">
        <v>11820</v>
      </c>
      <c r="BA1197" s="3" t="s">
        <v>11820</v>
      </c>
      <c r="BB1197" s="3" t="s">
        <v>11830</v>
      </c>
      <c r="BC1197" s="3" t="s">
        <v>142</v>
      </c>
      <c r="BD1197" s="3" t="s">
        <v>68</v>
      </c>
      <c r="BE1197" s="3" t="s">
        <v>11822</v>
      </c>
      <c r="BF1197" s="3" t="s">
        <v>11830</v>
      </c>
      <c r="BG1197" s="3" t="s">
        <v>11831</v>
      </c>
    </row>
    <row r="1198" spans="1:59" ht="57" x14ac:dyDescent="0.45">
      <c r="A1198" s="2" t="s">
        <v>59</v>
      </c>
      <c r="B1198" s="2" t="s">
        <v>60</v>
      </c>
      <c r="C1198" s="2" t="s">
        <v>11812</v>
      </c>
      <c r="D1198" s="2" t="s">
        <v>11813</v>
      </c>
      <c r="E1198" s="2" t="s">
        <v>11814</v>
      </c>
      <c r="F1198" s="3" t="s">
        <v>11832</v>
      </c>
      <c r="G1198" s="3" t="s">
        <v>61</v>
      </c>
      <c r="I1198" s="3" t="s">
        <v>62</v>
      </c>
      <c r="J1198" s="3" t="s">
        <v>62</v>
      </c>
      <c r="K1198" s="3" t="s">
        <v>63</v>
      </c>
      <c r="M1198" s="2" t="s">
        <v>11816</v>
      </c>
      <c r="N1198" s="3" t="s">
        <v>1604</v>
      </c>
      <c r="P1198" s="3" t="s">
        <v>65</v>
      </c>
      <c r="R1198" s="3" t="s">
        <v>66</v>
      </c>
      <c r="S1198" s="4">
        <v>8</v>
      </c>
      <c r="T1198" s="4">
        <v>95</v>
      </c>
      <c r="U1198" s="5" t="s">
        <v>11833</v>
      </c>
      <c r="V1198" s="5" t="s">
        <v>11817</v>
      </c>
      <c r="W1198" s="5" t="s">
        <v>67</v>
      </c>
      <c r="X1198" s="5" t="s">
        <v>67</v>
      </c>
      <c r="Y1198" s="4">
        <v>16</v>
      </c>
      <c r="Z1198" s="4">
        <v>1</v>
      </c>
      <c r="AA1198" s="4">
        <v>8</v>
      </c>
      <c r="AB1198" s="4">
        <v>1</v>
      </c>
      <c r="AC1198" s="4">
        <v>4</v>
      </c>
      <c r="AD1198" s="4">
        <v>1</v>
      </c>
      <c r="AE1198" s="4">
        <v>46</v>
      </c>
      <c r="AF1198" s="4">
        <v>0</v>
      </c>
      <c r="AG1198" s="4">
        <v>3</v>
      </c>
      <c r="AH1198" s="4">
        <v>1</v>
      </c>
      <c r="AI1198" s="4">
        <v>41</v>
      </c>
      <c r="AJ1198" s="4">
        <v>0</v>
      </c>
      <c r="AK1198" s="4">
        <v>6</v>
      </c>
      <c r="AL1198" s="4">
        <v>1</v>
      </c>
      <c r="AM1198" s="4">
        <v>28</v>
      </c>
      <c r="AN1198" s="4">
        <v>0</v>
      </c>
      <c r="AO1198" s="4">
        <v>0</v>
      </c>
      <c r="AP1198" s="4">
        <v>0</v>
      </c>
      <c r="AQ1198" s="4">
        <v>6</v>
      </c>
      <c r="AR1198" s="3" t="s">
        <v>62</v>
      </c>
      <c r="AS1198" s="3" t="s">
        <v>62</v>
      </c>
      <c r="AT1198" s="3" t="s">
        <v>62</v>
      </c>
      <c r="AV1198" s="6" t="str">
        <f t="shared" si="14"/>
        <v>Catalog Record</v>
      </c>
      <c r="AW1198" s="6" t="str">
        <f t="shared" si="15"/>
        <v>WorldCat Record</v>
      </c>
      <c r="AX1198" s="3" t="s">
        <v>11818</v>
      </c>
      <c r="AY1198" s="3" t="s">
        <v>11819</v>
      </c>
      <c r="AZ1198" s="3" t="s">
        <v>11820</v>
      </c>
      <c r="BA1198" s="3" t="s">
        <v>11820</v>
      </c>
      <c r="BB1198" s="3" t="s">
        <v>11834</v>
      </c>
      <c r="BC1198" s="3" t="s">
        <v>142</v>
      </c>
      <c r="BD1198" s="3" t="s">
        <v>68</v>
      </c>
      <c r="BE1198" s="3" t="s">
        <v>11822</v>
      </c>
      <c r="BF1198" s="3" t="s">
        <v>11834</v>
      </c>
      <c r="BG1198" s="3" t="s">
        <v>11835</v>
      </c>
    </row>
    <row r="1199" spans="1:59" ht="57" x14ac:dyDescent="0.45">
      <c r="A1199" s="2" t="s">
        <v>59</v>
      </c>
      <c r="B1199" s="2" t="s">
        <v>60</v>
      </c>
      <c r="C1199" s="2" t="s">
        <v>11812</v>
      </c>
      <c r="D1199" s="2" t="s">
        <v>11813</v>
      </c>
      <c r="E1199" s="2" t="s">
        <v>11814</v>
      </c>
      <c r="F1199" s="3" t="s">
        <v>11836</v>
      </c>
      <c r="G1199" s="3" t="s">
        <v>61</v>
      </c>
      <c r="I1199" s="3" t="s">
        <v>62</v>
      </c>
      <c r="J1199" s="3" t="s">
        <v>62</v>
      </c>
      <c r="K1199" s="3" t="s">
        <v>63</v>
      </c>
      <c r="M1199" s="2" t="s">
        <v>11816</v>
      </c>
      <c r="N1199" s="3" t="s">
        <v>1604</v>
      </c>
      <c r="P1199" s="3" t="s">
        <v>65</v>
      </c>
      <c r="R1199" s="3" t="s">
        <v>66</v>
      </c>
      <c r="S1199" s="4">
        <v>14</v>
      </c>
      <c r="T1199" s="4">
        <v>95</v>
      </c>
      <c r="U1199" s="5" t="s">
        <v>11829</v>
      </c>
      <c r="V1199" s="5" t="s">
        <v>11817</v>
      </c>
      <c r="W1199" s="5" t="s">
        <v>67</v>
      </c>
      <c r="X1199" s="5" t="s">
        <v>67</v>
      </c>
      <c r="Y1199" s="4">
        <v>16</v>
      </c>
      <c r="Z1199" s="4">
        <v>1</v>
      </c>
      <c r="AA1199" s="4">
        <v>8</v>
      </c>
      <c r="AB1199" s="4">
        <v>1</v>
      </c>
      <c r="AC1199" s="4">
        <v>4</v>
      </c>
      <c r="AD1199" s="4">
        <v>1</v>
      </c>
      <c r="AE1199" s="4">
        <v>46</v>
      </c>
      <c r="AF1199" s="4">
        <v>0</v>
      </c>
      <c r="AG1199" s="4">
        <v>3</v>
      </c>
      <c r="AH1199" s="4">
        <v>1</v>
      </c>
      <c r="AI1199" s="4">
        <v>41</v>
      </c>
      <c r="AJ1199" s="4">
        <v>0</v>
      </c>
      <c r="AK1199" s="4">
        <v>6</v>
      </c>
      <c r="AL1199" s="4">
        <v>1</v>
      </c>
      <c r="AM1199" s="4">
        <v>28</v>
      </c>
      <c r="AN1199" s="4">
        <v>0</v>
      </c>
      <c r="AO1199" s="4">
        <v>0</v>
      </c>
      <c r="AP1199" s="4">
        <v>0</v>
      </c>
      <c r="AQ1199" s="4">
        <v>6</v>
      </c>
      <c r="AR1199" s="3" t="s">
        <v>62</v>
      </c>
      <c r="AS1199" s="3" t="s">
        <v>62</v>
      </c>
      <c r="AT1199" s="3" t="s">
        <v>62</v>
      </c>
      <c r="AV1199" s="6" t="str">
        <f t="shared" si="14"/>
        <v>Catalog Record</v>
      </c>
      <c r="AW1199" s="6" t="str">
        <f t="shared" si="15"/>
        <v>WorldCat Record</v>
      </c>
      <c r="AX1199" s="3" t="s">
        <v>11818</v>
      </c>
      <c r="AY1199" s="3" t="s">
        <v>11819</v>
      </c>
      <c r="AZ1199" s="3" t="s">
        <v>11820</v>
      </c>
      <c r="BA1199" s="3" t="s">
        <v>11820</v>
      </c>
      <c r="BB1199" s="3" t="s">
        <v>11837</v>
      </c>
      <c r="BC1199" s="3" t="s">
        <v>142</v>
      </c>
      <c r="BD1199" s="3" t="s">
        <v>68</v>
      </c>
      <c r="BE1199" s="3" t="s">
        <v>11822</v>
      </c>
      <c r="BF1199" s="3" t="s">
        <v>11837</v>
      </c>
      <c r="BG1199" s="3" t="s">
        <v>11838</v>
      </c>
    </row>
    <row r="1200" spans="1:59" ht="57" x14ac:dyDescent="0.45">
      <c r="A1200" s="2" t="s">
        <v>59</v>
      </c>
      <c r="B1200" s="2" t="s">
        <v>60</v>
      </c>
      <c r="C1200" s="2" t="s">
        <v>11812</v>
      </c>
      <c r="D1200" s="2" t="s">
        <v>11813</v>
      </c>
      <c r="E1200" s="2" t="s">
        <v>11814</v>
      </c>
      <c r="F1200" s="3" t="s">
        <v>11839</v>
      </c>
      <c r="G1200" s="3" t="s">
        <v>61</v>
      </c>
      <c r="I1200" s="3" t="s">
        <v>62</v>
      </c>
      <c r="J1200" s="3" t="s">
        <v>62</v>
      </c>
      <c r="K1200" s="3" t="s">
        <v>63</v>
      </c>
      <c r="M1200" s="2" t="s">
        <v>11816</v>
      </c>
      <c r="N1200" s="3" t="s">
        <v>1604</v>
      </c>
      <c r="P1200" s="3" t="s">
        <v>65</v>
      </c>
      <c r="R1200" s="3" t="s">
        <v>66</v>
      </c>
      <c r="S1200" s="4">
        <v>12</v>
      </c>
      <c r="T1200" s="4">
        <v>95</v>
      </c>
      <c r="U1200" s="5" t="s">
        <v>11817</v>
      </c>
      <c r="V1200" s="5" t="s">
        <v>11817</v>
      </c>
      <c r="W1200" s="5" t="s">
        <v>67</v>
      </c>
      <c r="X1200" s="5" t="s">
        <v>67</v>
      </c>
      <c r="Y1200" s="4">
        <v>16</v>
      </c>
      <c r="Z1200" s="4">
        <v>1</v>
      </c>
      <c r="AA1200" s="4">
        <v>8</v>
      </c>
      <c r="AB1200" s="4">
        <v>1</v>
      </c>
      <c r="AC1200" s="4">
        <v>4</v>
      </c>
      <c r="AD1200" s="4">
        <v>1</v>
      </c>
      <c r="AE1200" s="4">
        <v>46</v>
      </c>
      <c r="AF1200" s="4">
        <v>0</v>
      </c>
      <c r="AG1200" s="4">
        <v>3</v>
      </c>
      <c r="AH1200" s="4">
        <v>1</v>
      </c>
      <c r="AI1200" s="4">
        <v>41</v>
      </c>
      <c r="AJ1200" s="4">
        <v>0</v>
      </c>
      <c r="AK1200" s="4">
        <v>6</v>
      </c>
      <c r="AL1200" s="4">
        <v>1</v>
      </c>
      <c r="AM1200" s="4">
        <v>28</v>
      </c>
      <c r="AN1200" s="4">
        <v>0</v>
      </c>
      <c r="AO1200" s="4">
        <v>0</v>
      </c>
      <c r="AP1200" s="4">
        <v>0</v>
      </c>
      <c r="AQ1200" s="4">
        <v>6</v>
      </c>
      <c r="AR1200" s="3" t="s">
        <v>62</v>
      </c>
      <c r="AS1200" s="3" t="s">
        <v>62</v>
      </c>
      <c r="AT1200" s="3" t="s">
        <v>62</v>
      </c>
      <c r="AV1200" s="6" t="str">
        <f t="shared" si="14"/>
        <v>Catalog Record</v>
      </c>
      <c r="AW1200" s="6" t="str">
        <f t="shared" si="15"/>
        <v>WorldCat Record</v>
      </c>
      <c r="AX1200" s="3" t="s">
        <v>11818</v>
      </c>
      <c r="AY1200" s="3" t="s">
        <v>11819</v>
      </c>
      <c r="AZ1200" s="3" t="s">
        <v>11820</v>
      </c>
      <c r="BA1200" s="3" t="s">
        <v>11820</v>
      </c>
      <c r="BB1200" s="3" t="s">
        <v>11840</v>
      </c>
      <c r="BC1200" s="3" t="s">
        <v>142</v>
      </c>
      <c r="BD1200" s="3" t="s">
        <v>68</v>
      </c>
      <c r="BE1200" s="3" t="s">
        <v>11822</v>
      </c>
      <c r="BF1200" s="3" t="s">
        <v>11840</v>
      </c>
      <c r="BG1200" s="3" t="s">
        <v>11841</v>
      </c>
    </row>
    <row r="1201" spans="1:59" ht="57" x14ac:dyDescent="0.45">
      <c r="A1201" s="2" t="s">
        <v>59</v>
      </c>
      <c r="B1201" s="2" t="s">
        <v>60</v>
      </c>
      <c r="C1201" s="2" t="s">
        <v>11812</v>
      </c>
      <c r="D1201" s="2" t="s">
        <v>11813</v>
      </c>
      <c r="E1201" s="2" t="s">
        <v>11814</v>
      </c>
      <c r="F1201" s="3" t="s">
        <v>11842</v>
      </c>
      <c r="G1201" s="3" t="s">
        <v>61</v>
      </c>
      <c r="I1201" s="3" t="s">
        <v>62</v>
      </c>
      <c r="J1201" s="3" t="s">
        <v>62</v>
      </c>
      <c r="K1201" s="3" t="s">
        <v>63</v>
      </c>
      <c r="M1201" s="2" t="s">
        <v>11816</v>
      </c>
      <c r="N1201" s="3" t="s">
        <v>1604</v>
      </c>
      <c r="P1201" s="3" t="s">
        <v>65</v>
      </c>
      <c r="R1201" s="3" t="s">
        <v>66</v>
      </c>
      <c r="S1201" s="4">
        <v>14</v>
      </c>
      <c r="T1201" s="4">
        <v>95</v>
      </c>
      <c r="U1201" s="5" t="s">
        <v>11843</v>
      </c>
      <c r="V1201" s="5" t="s">
        <v>11817</v>
      </c>
      <c r="W1201" s="5" t="s">
        <v>67</v>
      </c>
      <c r="X1201" s="5" t="s">
        <v>67</v>
      </c>
      <c r="Y1201" s="4">
        <v>16</v>
      </c>
      <c r="Z1201" s="4">
        <v>1</v>
      </c>
      <c r="AA1201" s="4">
        <v>8</v>
      </c>
      <c r="AB1201" s="4">
        <v>1</v>
      </c>
      <c r="AC1201" s="4">
        <v>4</v>
      </c>
      <c r="AD1201" s="4">
        <v>1</v>
      </c>
      <c r="AE1201" s="4">
        <v>46</v>
      </c>
      <c r="AF1201" s="4">
        <v>0</v>
      </c>
      <c r="AG1201" s="4">
        <v>3</v>
      </c>
      <c r="AH1201" s="4">
        <v>1</v>
      </c>
      <c r="AI1201" s="4">
        <v>41</v>
      </c>
      <c r="AJ1201" s="4">
        <v>0</v>
      </c>
      <c r="AK1201" s="4">
        <v>6</v>
      </c>
      <c r="AL1201" s="4">
        <v>1</v>
      </c>
      <c r="AM1201" s="4">
        <v>28</v>
      </c>
      <c r="AN1201" s="4">
        <v>0</v>
      </c>
      <c r="AO1201" s="4">
        <v>0</v>
      </c>
      <c r="AP1201" s="4">
        <v>0</v>
      </c>
      <c r="AQ1201" s="4">
        <v>6</v>
      </c>
      <c r="AR1201" s="3" t="s">
        <v>62</v>
      </c>
      <c r="AS1201" s="3" t="s">
        <v>62</v>
      </c>
      <c r="AT1201" s="3" t="s">
        <v>62</v>
      </c>
      <c r="AV1201" s="6" t="str">
        <f t="shared" si="14"/>
        <v>Catalog Record</v>
      </c>
      <c r="AW1201" s="6" t="str">
        <f t="shared" si="15"/>
        <v>WorldCat Record</v>
      </c>
      <c r="AX1201" s="3" t="s">
        <v>11818</v>
      </c>
      <c r="AY1201" s="3" t="s">
        <v>11819</v>
      </c>
      <c r="AZ1201" s="3" t="s">
        <v>11820</v>
      </c>
      <c r="BA1201" s="3" t="s">
        <v>11820</v>
      </c>
      <c r="BB1201" s="3" t="s">
        <v>11844</v>
      </c>
      <c r="BC1201" s="3" t="s">
        <v>142</v>
      </c>
      <c r="BD1201" s="3" t="s">
        <v>68</v>
      </c>
      <c r="BE1201" s="3" t="s">
        <v>11822</v>
      </c>
      <c r="BF1201" s="3" t="s">
        <v>11844</v>
      </c>
      <c r="BG1201" s="3" t="s">
        <v>11845</v>
      </c>
    </row>
    <row r="1202" spans="1:59" ht="57" x14ac:dyDescent="0.45">
      <c r="A1202" s="2" t="s">
        <v>59</v>
      </c>
      <c r="B1202" s="2" t="s">
        <v>60</v>
      </c>
      <c r="C1202" s="2" t="s">
        <v>11812</v>
      </c>
      <c r="D1202" s="2" t="s">
        <v>11813</v>
      </c>
      <c r="E1202" s="2" t="s">
        <v>11814</v>
      </c>
      <c r="F1202" s="3" t="s">
        <v>11846</v>
      </c>
      <c r="G1202" s="3" t="s">
        <v>61</v>
      </c>
      <c r="I1202" s="3" t="s">
        <v>62</v>
      </c>
      <c r="J1202" s="3" t="s">
        <v>62</v>
      </c>
      <c r="K1202" s="3" t="s">
        <v>63</v>
      </c>
      <c r="M1202" s="2" t="s">
        <v>11816</v>
      </c>
      <c r="N1202" s="3" t="s">
        <v>1604</v>
      </c>
      <c r="P1202" s="3" t="s">
        <v>65</v>
      </c>
      <c r="R1202" s="3" t="s">
        <v>66</v>
      </c>
      <c r="S1202" s="4">
        <v>19</v>
      </c>
      <c r="T1202" s="4">
        <v>95</v>
      </c>
      <c r="U1202" s="5" t="s">
        <v>11829</v>
      </c>
      <c r="V1202" s="5" t="s">
        <v>11817</v>
      </c>
      <c r="W1202" s="5" t="s">
        <v>67</v>
      </c>
      <c r="X1202" s="5" t="s">
        <v>67</v>
      </c>
      <c r="Y1202" s="4">
        <v>16</v>
      </c>
      <c r="Z1202" s="4">
        <v>1</v>
      </c>
      <c r="AA1202" s="4">
        <v>8</v>
      </c>
      <c r="AB1202" s="4">
        <v>1</v>
      </c>
      <c r="AC1202" s="4">
        <v>4</v>
      </c>
      <c r="AD1202" s="4">
        <v>1</v>
      </c>
      <c r="AE1202" s="4">
        <v>46</v>
      </c>
      <c r="AF1202" s="4">
        <v>0</v>
      </c>
      <c r="AG1202" s="4">
        <v>3</v>
      </c>
      <c r="AH1202" s="4">
        <v>1</v>
      </c>
      <c r="AI1202" s="4">
        <v>41</v>
      </c>
      <c r="AJ1202" s="4">
        <v>0</v>
      </c>
      <c r="AK1202" s="4">
        <v>6</v>
      </c>
      <c r="AL1202" s="4">
        <v>1</v>
      </c>
      <c r="AM1202" s="4">
        <v>28</v>
      </c>
      <c r="AN1202" s="4">
        <v>0</v>
      </c>
      <c r="AO1202" s="4">
        <v>0</v>
      </c>
      <c r="AP1202" s="4">
        <v>0</v>
      </c>
      <c r="AQ1202" s="4">
        <v>6</v>
      </c>
      <c r="AR1202" s="3" t="s">
        <v>62</v>
      </c>
      <c r="AS1202" s="3" t="s">
        <v>62</v>
      </c>
      <c r="AT1202" s="3" t="s">
        <v>62</v>
      </c>
      <c r="AV1202" s="6" t="str">
        <f t="shared" si="14"/>
        <v>Catalog Record</v>
      </c>
      <c r="AW1202" s="6" t="str">
        <f t="shared" si="15"/>
        <v>WorldCat Record</v>
      </c>
      <c r="AX1202" s="3" t="s">
        <v>11818</v>
      </c>
      <c r="AY1202" s="3" t="s">
        <v>11819</v>
      </c>
      <c r="AZ1202" s="3" t="s">
        <v>11820</v>
      </c>
      <c r="BA1202" s="3" t="s">
        <v>11820</v>
      </c>
      <c r="BB1202" s="3" t="s">
        <v>11847</v>
      </c>
      <c r="BC1202" s="3" t="s">
        <v>142</v>
      </c>
      <c r="BD1202" s="3" t="s">
        <v>68</v>
      </c>
      <c r="BE1202" s="3" t="s">
        <v>11822</v>
      </c>
      <c r="BF1202" s="3" t="s">
        <v>11847</v>
      </c>
      <c r="BG1202" s="3" t="s">
        <v>11848</v>
      </c>
    </row>
    <row r="1203" spans="1:59" ht="57" x14ac:dyDescent="0.45">
      <c r="A1203" s="2" t="s">
        <v>59</v>
      </c>
      <c r="B1203" s="2" t="s">
        <v>60</v>
      </c>
      <c r="C1203" s="2" t="s">
        <v>11849</v>
      </c>
      <c r="D1203" s="2" t="s">
        <v>11850</v>
      </c>
      <c r="E1203" s="2" t="s">
        <v>11851</v>
      </c>
      <c r="G1203" s="3" t="s">
        <v>62</v>
      </c>
      <c r="I1203" s="3" t="s">
        <v>62</v>
      </c>
      <c r="J1203" s="3" t="s">
        <v>62</v>
      </c>
      <c r="K1203" s="3" t="s">
        <v>63</v>
      </c>
      <c r="L1203" s="2" t="s">
        <v>651</v>
      </c>
      <c r="M1203" s="2" t="s">
        <v>11852</v>
      </c>
      <c r="N1203" s="3" t="s">
        <v>970</v>
      </c>
      <c r="P1203" s="3" t="s">
        <v>65</v>
      </c>
      <c r="R1203" s="3" t="s">
        <v>66</v>
      </c>
      <c r="S1203" s="4">
        <v>49</v>
      </c>
      <c r="T1203" s="4">
        <v>49</v>
      </c>
      <c r="U1203" s="5" t="s">
        <v>11853</v>
      </c>
      <c r="V1203" s="5" t="s">
        <v>11853</v>
      </c>
      <c r="W1203" s="5" t="s">
        <v>67</v>
      </c>
      <c r="X1203" s="5" t="s">
        <v>67</v>
      </c>
      <c r="Y1203" s="4">
        <v>923</v>
      </c>
      <c r="Z1203" s="4">
        <v>72</v>
      </c>
      <c r="AA1203" s="4">
        <v>79</v>
      </c>
      <c r="AB1203" s="4">
        <v>6</v>
      </c>
      <c r="AC1203" s="4">
        <v>9</v>
      </c>
      <c r="AD1203" s="4">
        <v>122</v>
      </c>
      <c r="AE1203" s="4">
        <v>127</v>
      </c>
      <c r="AF1203" s="4">
        <v>1</v>
      </c>
      <c r="AG1203" s="4">
        <v>2</v>
      </c>
      <c r="AH1203" s="4">
        <v>95</v>
      </c>
      <c r="AI1203" s="4">
        <v>98</v>
      </c>
      <c r="AJ1203" s="4">
        <v>21</v>
      </c>
      <c r="AK1203" s="4">
        <v>22</v>
      </c>
      <c r="AL1203" s="4">
        <v>50</v>
      </c>
      <c r="AM1203" s="4">
        <v>51</v>
      </c>
      <c r="AN1203" s="4">
        <v>0</v>
      </c>
      <c r="AO1203" s="4">
        <v>0</v>
      </c>
      <c r="AP1203" s="4">
        <v>36</v>
      </c>
      <c r="AQ1203" s="4">
        <v>38</v>
      </c>
      <c r="AR1203" s="3" t="s">
        <v>62</v>
      </c>
      <c r="AS1203" s="3" t="s">
        <v>62</v>
      </c>
      <c r="AT1203" s="3" t="s">
        <v>62</v>
      </c>
      <c r="AV1203" s="6" t="str">
        <f>HYPERLINK("http://mcgill.on.worldcat.org/oclc/46936001","Catalog Record")</f>
        <v>Catalog Record</v>
      </c>
      <c r="AW1203" s="6" t="str">
        <f>HYPERLINK("http://www.worldcat.org/oclc/46936001","WorldCat Record")</f>
        <v>WorldCat Record</v>
      </c>
      <c r="AX1203" s="3" t="s">
        <v>11854</v>
      </c>
      <c r="AY1203" s="3" t="s">
        <v>11855</v>
      </c>
      <c r="AZ1203" s="3" t="s">
        <v>11856</v>
      </c>
      <c r="BA1203" s="3" t="s">
        <v>11856</v>
      </c>
      <c r="BB1203" s="3" t="s">
        <v>11857</v>
      </c>
      <c r="BC1203" s="3" t="s">
        <v>142</v>
      </c>
      <c r="BD1203" s="3" t="s">
        <v>68</v>
      </c>
      <c r="BE1203" s="3" t="s">
        <v>11858</v>
      </c>
      <c r="BF1203" s="3" t="s">
        <v>11857</v>
      </c>
      <c r="BG1203" s="3" t="s">
        <v>11859</v>
      </c>
    </row>
    <row r="1204" spans="1:59" ht="71.25" x14ac:dyDescent="0.45">
      <c r="A1204" s="2" t="s">
        <v>59</v>
      </c>
      <c r="B1204" s="2" t="s">
        <v>60</v>
      </c>
      <c r="C1204" s="2" t="s">
        <v>11860</v>
      </c>
      <c r="D1204" s="2" t="s">
        <v>11861</v>
      </c>
      <c r="E1204" s="2" t="s">
        <v>11862</v>
      </c>
      <c r="G1204" s="3" t="s">
        <v>62</v>
      </c>
      <c r="I1204" s="3" t="s">
        <v>62</v>
      </c>
      <c r="J1204" s="3" t="s">
        <v>62</v>
      </c>
      <c r="K1204" s="3" t="s">
        <v>63</v>
      </c>
      <c r="L1204" s="2" t="s">
        <v>11863</v>
      </c>
      <c r="M1204" s="2" t="s">
        <v>11864</v>
      </c>
      <c r="N1204" s="3" t="s">
        <v>1253</v>
      </c>
      <c r="P1204" s="3" t="s">
        <v>65</v>
      </c>
      <c r="R1204" s="3" t="s">
        <v>66</v>
      </c>
      <c r="S1204" s="4">
        <v>32</v>
      </c>
      <c r="T1204" s="4">
        <v>32</v>
      </c>
      <c r="U1204" s="5" t="s">
        <v>11707</v>
      </c>
      <c r="V1204" s="5" t="s">
        <v>11707</v>
      </c>
      <c r="W1204" s="5" t="s">
        <v>67</v>
      </c>
      <c r="X1204" s="5" t="s">
        <v>67</v>
      </c>
      <c r="Y1204" s="4">
        <v>257</v>
      </c>
      <c r="Z1204" s="4">
        <v>16</v>
      </c>
      <c r="AA1204" s="4">
        <v>24</v>
      </c>
      <c r="AB1204" s="4">
        <v>1</v>
      </c>
      <c r="AC1204" s="4">
        <v>5</v>
      </c>
      <c r="AD1204" s="4">
        <v>83</v>
      </c>
      <c r="AE1204" s="4">
        <v>101</v>
      </c>
      <c r="AF1204" s="4">
        <v>0</v>
      </c>
      <c r="AG1204" s="4">
        <v>2</v>
      </c>
      <c r="AH1204" s="4">
        <v>76</v>
      </c>
      <c r="AI1204" s="4">
        <v>90</v>
      </c>
      <c r="AJ1204" s="4">
        <v>8</v>
      </c>
      <c r="AK1204" s="4">
        <v>13</v>
      </c>
      <c r="AL1204" s="4">
        <v>43</v>
      </c>
      <c r="AM1204" s="4">
        <v>50</v>
      </c>
      <c r="AN1204" s="4">
        <v>0</v>
      </c>
      <c r="AO1204" s="4">
        <v>0</v>
      </c>
      <c r="AP1204" s="4">
        <v>12</v>
      </c>
      <c r="AQ1204" s="4">
        <v>17</v>
      </c>
      <c r="AR1204" s="3" t="s">
        <v>62</v>
      </c>
      <c r="AS1204" s="3" t="s">
        <v>62</v>
      </c>
      <c r="AT1204" s="3" t="s">
        <v>62</v>
      </c>
      <c r="AV1204" s="6" t="str">
        <f>HYPERLINK("http://mcgill.on.worldcat.org/oclc/36407665","Catalog Record")</f>
        <v>Catalog Record</v>
      </c>
      <c r="AW1204" s="6" t="str">
        <f>HYPERLINK("http://www.worldcat.org/oclc/36407665","WorldCat Record")</f>
        <v>WorldCat Record</v>
      </c>
      <c r="AX1204" s="3" t="s">
        <v>11865</v>
      </c>
      <c r="AY1204" s="3" t="s">
        <v>11866</v>
      </c>
      <c r="AZ1204" s="3" t="s">
        <v>11867</v>
      </c>
      <c r="BA1204" s="3" t="s">
        <v>11867</v>
      </c>
      <c r="BB1204" s="3" t="s">
        <v>11868</v>
      </c>
      <c r="BC1204" s="3" t="s">
        <v>142</v>
      </c>
      <c r="BD1204" s="3" t="s">
        <v>68</v>
      </c>
      <c r="BE1204" s="3" t="s">
        <v>11869</v>
      </c>
      <c r="BF1204" s="3" t="s">
        <v>11868</v>
      </c>
      <c r="BG1204" s="3" t="s">
        <v>11870</v>
      </c>
    </row>
    <row r="1205" spans="1:59" ht="71.25" x14ac:dyDescent="0.45">
      <c r="A1205" s="2" t="s">
        <v>59</v>
      </c>
      <c r="B1205" s="2" t="s">
        <v>60</v>
      </c>
      <c r="C1205" s="2" t="s">
        <v>11871</v>
      </c>
      <c r="D1205" s="2" t="s">
        <v>11872</v>
      </c>
      <c r="E1205" s="2" t="s">
        <v>11873</v>
      </c>
      <c r="G1205" s="3" t="s">
        <v>62</v>
      </c>
      <c r="I1205" s="3" t="s">
        <v>62</v>
      </c>
      <c r="J1205" s="3" t="s">
        <v>62</v>
      </c>
      <c r="K1205" s="3" t="s">
        <v>63</v>
      </c>
      <c r="L1205" s="2" t="s">
        <v>11874</v>
      </c>
      <c r="M1205" s="2" t="s">
        <v>11875</v>
      </c>
      <c r="N1205" s="3" t="s">
        <v>894</v>
      </c>
      <c r="O1205" s="2" t="s">
        <v>168</v>
      </c>
      <c r="P1205" s="3" t="s">
        <v>65</v>
      </c>
      <c r="R1205" s="3" t="s">
        <v>66</v>
      </c>
      <c r="S1205" s="4">
        <v>0</v>
      </c>
      <c r="T1205" s="4">
        <v>0</v>
      </c>
      <c r="W1205" s="5" t="s">
        <v>67</v>
      </c>
      <c r="X1205" s="5" t="s">
        <v>67</v>
      </c>
      <c r="Y1205" s="4">
        <v>181</v>
      </c>
      <c r="Z1205" s="4">
        <v>22</v>
      </c>
      <c r="AA1205" s="4">
        <v>26</v>
      </c>
      <c r="AB1205" s="4">
        <v>2</v>
      </c>
      <c r="AC1205" s="4">
        <v>5</v>
      </c>
      <c r="AD1205" s="4">
        <v>79</v>
      </c>
      <c r="AE1205" s="4">
        <v>83</v>
      </c>
      <c r="AF1205" s="4">
        <v>0</v>
      </c>
      <c r="AG1205" s="4">
        <v>1</v>
      </c>
      <c r="AH1205" s="4">
        <v>72</v>
      </c>
      <c r="AI1205" s="4">
        <v>74</v>
      </c>
      <c r="AJ1205" s="4">
        <v>13</v>
      </c>
      <c r="AK1205" s="4">
        <v>15</v>
      </c>
      <c r="AL1205" s="4">
        <v>37</v>
      </c>
      <c r="AM1205" s="4">
        <v>39</v>
      </c>
      <c r="AN1205" s="4">
        <v>0</v>
      </c>
      <c r="AO1205" s="4">
        <v>0</v>
      </c>
      <c r="AP1205" s="4">
        <v>16</v>
      </c>
      <c r="AQ1205" s="4">
        <v>18</v>
      </c>
      <c r="AR1205" s="3" t="s">
        <v>62</v>
      </c>
      <c r="AS1205" s="3" t="s">
        <v>62</v>
      </c>
      <c r="AT1205" s="3" t="s">
        <v>62</v>
      </c>
      <c r="AV1205" s="6" t="str">
        <f>HYPERLINK("http://mcgill.on.worldcat.org/oclc/657600108","Catalog Record")</f>
        <v>Catalog Record</v>
      </c>
      <c r="AW1205" s="6" t="str">
        <f>HYPERLINK("http://www.worldcat.org/oclc/657600108","WorldCat Record")</f>
        <v>WorldCat Record</v>
      </c>
      <c r="AX1205" s="3" t="s">
        <v>11876</v>
      </c>
      <c r="AY1205" s="3" t="s">
        <v>11877</v>
      </c>
      <c r="AZ1205" s="3" t="s">
        <v>11878</v>
      </c>
      <c r="BA1205" s="3" t="s">
        <v>11878</v>
      </c>
      <c r="BB1205" s="3" t="s">
        <v>11879</v>
      </c>
      <c r="BC1205" s="3" t="s">
        <v>142</v>
      </c>
      <c r="BD1205" s="3" t="s">
        <v>68</v>
      </c>
      <c r="BE1205" s="3" t="s">
        <v>11880</v>
      </c>
      <c r="BF1205" s="3" t="s">
        <v>11879</v>
      </c>
      <c r="BG1205" s="3" t="s">
        <v>11881</v>
      </c>
    </row>
    <row r="1206" spans="1:59" ht="57" x14ac:dyDescent="0.45">
      <c r="A1206" s="2" t="s">
        <v>59</v>
      </c>
      <c r="B1206" s="2" t="s">
        <v>60</v>
      </c>
      <c r="C1206" s="2" t="s">
        <v>11882</v>
      </c>
      <c r="D1206" s="2" t="s">
        <v>11883</v>
      </c>
      <c r="E1206" s="2" t="s">
        <v>11884</v>
      </c>
      <c r="G1206" s="3" t="s">
        <v>62</v>
      </c>
      <c r="I1206" s="3" t="s">
        <v>62</v>
      </c>
      <c r="J1206" s="3" t="s">
        <v>62</v>
      </c>
      <c r="K1206" s="3" t="s">
        <v>63</v>
      </c>
      <c r="L1206" s="2" t="s">
        <v>11885</v>
      </c>
      <c r="M1206" s="2" t="s">
        <v>11886</v>
      </c>
      <c r="N1206" s="3" t="s">
        <v>894</v>
      </c>
      <c r="P1206" s="3" t="s">
        <v>65</v>
      </c>
      <c r="Q1206" s="2" t="s">
        <v>11887</v>
      </c>
      <c r="R1206" s="3" t="s">
        <v>66</v>
      </c>
      <c r="S1206" s="4">
        <v>0</v>
      </c>
      <c r="T1206" s="4">
        <v>0</v>
      </c>
      <c r="W1206" s="5" t="s">
        <v>67</v>
      </c>
      <c r="X1206" s="5" t="s">
        <v>67</v>
      </c>
      <c r="Y1206" s="4">
        <v>84</v>
      </c>
      <c r="Z1206" s="4">
        <v>10</v>
      </c>
      <c r="AA1206" s="4">
        <v>87</v>
      </c>
      <c r="AB1206" s="4">
        <v>1</v>
      </c>
      <c r="AC1206" s="4">
        <v>17</v>
      </c>
      <c r="AD1206" s="4">
        <v>37</v>
      </c>
      <c r="AE1206" s="4">
        <v>106</v>
      </c>
      <c r="AF1206" s="4">
        <v>0</v>
      </c>
      <c r="AG1206" s="4">
        <v>8</v>
      </c>
      <c r="AH1206" s="4">
        <v>34</v>
      </c>
      <c r="AI1206" s="4">
        <v>70</v>
      </c>
      <c r="AJ1206" s="4">
        <v>6</v>
      </c>
      <c r="AK1206" s="4">
        <v>21</v>
      </c>
      <c r="AL1206" s="4">
        <v>19</v>
      </c>
      <c r="AM1206" s="4">
        <v>34</v>
      </c>
      <c r="AN1206" s="4">
        <v>0</v>
      </c>
      <c r="AO1206" s="4">
        <v>0</v>
      </c>
      <c r="AP1206" s="4">
        <v>7</v>
      </c>
      <c r="AQ1206" s="4">
        <v>42</v>
      </c>
      <c r="AR1206" s="3" t="s">
        <v>62</v>
      </c>
      <c r="AS1206" s="3" t="s">
        <v>62</v>
      </c>
      <c r="AT1206" s="3" t="s">
        <v>62</v>
      </c>
      <c r="AV1206" s="6" t="str">
        <f>HYPERLINK("http://mcgill.on.worldcat.org/oclc/667873235","Catalog Record")</f>
        <v>Catalog Record</v>
      </c>
      <c r="AW1206" s="6" t="str">
        <f>HYPERLINK("http://www.worldcat.org/oclc/667873235","WorldCat Record")</f>
        <v>WorldCat Record</v>
      </c>
      <c r="AX1206" s="3" t="s">
        <v>11888</v>
      </c>
      <c r="AY1206" s="3" t="s">
        <v>11889</v>
      </c>
      <c r="AZ1206" s="3" t="s">
        <v>11890</v>
      </c>
      <c r="BA1206" s="3" t="s">
        <v>11890</v>
      </c>
      <c r="BB1206" s="3" t="s">
        <v>11891</v>
      </c>
      <c r="BC1206" s="3" t="s">
        <v>142</v>
      </c>
      <c r="BD1206" s="3" t="s">
        <v>68</v>
      </c>
      <c r="BE1206" s="3" t="s">
        <v>11892</v>
      </c>
      <c r="BF1206" s="3" t="s">
        <v>11891</v>
      </c>
      <c r="BG1206" s="3" t="s">
        <v>11893</v>
      </c>
    </row>
    <row r="1207" spans="1:59" ht="57" x14ac:dyDescent="0.45">
      <c r="A1207" s="2" t="s">
        <v>59</v>
      </c>
      <c r="B1207" s="2" t="s">
        <v>60</v>
      </c>
      <c r="C1207" s="2" t="s">
        <v>11894</v>
      </c>
      <c r="D1207" s="2" t="s">
        <v>11895</v>
      </c>
      <c r="E1207" s="2" t="s">
        <v>11896</v>
      </c>
      <c r="G1207" s="3" t="s">
        <v>62</v>
      </c>
      <c r="I1207" s="3" t="s">
        <v>62</v>
      </c>
      <c r="J1207" s="3" t="s">
        <v>61</v>
      </c>
      <c r="K1207" s="3" t="s">
        <v>63</v>
      </c>
      <c r="L1207" s="2" t="s">
        <v>11897</v>
      </c>
      <c r="M1207" s="2" t="s">
        <v>11898</v>
      </c>
      <c r="N1207" s="3" t="s">
        <v>3160</v>
      </c>
      <c r="O1207" s="2" t="s">
        <v>11899</v>
      </c>
      <c r="P1207" s="3" t="s">
        <v>65</v>
      </c>
      <c r="R1207" s="3" t="s">
        <v>66</v>
      </c>
      <c r="S1207" s="4">
        <v>36</v>
      </c>
      <c r="T1207" s="4">
        <v>36</v>
      </c>
      <c r="U1207" s="5" t="s">
        <v>11900</v>
      </c>
      <c r="V1207" s="5" t="s">
        <v>11900</v>
      </c>
      <c r="W1207" s="5" t="s">
        <v>67</v>
      </c>
      <c r="X1207" s="5" t="s">
        <v>67</v>
      </c>
      <c r="Y1207" s="4">
        <v>124</v>
      </c>
      <c r="Z1207" s="4">
        <v>11</v>
      </c>
      <c r="AA1207" s="4">
        <v>57</v>
      </c>
      <c r="AB1207" s="4">
        <v>1</v>
      </c>
      <c r="AC1207" s="4">
        <v>9</v>
      </c>
      <c r="AD1207" s="4">
        <v>33</v>
      </c>
      <c r="AE1207" s="4">
        <v>146</v>
      </c>
      <c r="AF1207" s="4">
        <v>0</v>
      </c>
      <c r="AG1207" s="4">
        <v>6</v>
      </c>
      <c r="AH1207" s="4">
        <v>28</v>
      </c>
      <c r="AI1207" s="4">
        <v>113</v>
      </c>
      <c r="AJ1207" s="4">
        <v>7</v>
      </c>
      <c r="AK1207" s="4">
        <v>22</v>
      </c>
      <c r="AL1207" s="4">
        <v>18</v>
      </c>
      <c r="AM1207" s="4">
        <v>60</v>
      </c>
      <c r="AN1207" s="4">
        <v>0</v>
      </c>
      <c r="AO1207" s="4">
        <v>0</v>
      </c>
      <c r="AP1207" s="4">
        <v>8</v>
      </c>
      <c r="AQ1207" s="4">
        <v>41</v>
      </c>
      <c r="AR1207" s="3" t="s">
        <v>62</v>
      </c>
      <c r="AS1207" s="3" t="s">
        <v>62</v>
      </c>
      <c r="AT1207" s="3" t="s">
        <v>61</v>
      </c>
      <c r="AU1207" s="6" t="str">
        <f>HYPERLINK("http://catalog.hathitrust.org/Record/007117033","HathiTrust Record")</f>
        <v>HathiTrust Record</v>
      </c>
      <c r="AV1207" s="6" t="str">
        <f>HYPERLINK("http://mcgill.on.worldcat.org/oclc/7884104","Catalog Record")</f>
        <v>Catalog Record</v>
      </c>
      <c r="AW1207" s="6" t="str">
        <f>HYPERLINK("http://www.worldcat.org/oclc/7884104","WorldCat Record")</f>
        <v>WorldCat Record</v>
      </c>
      <c r="AX1207" s="3" t="s">
        <v>11901</v>
      </c>
      <c r="AY1207" s="3" t="s">
        <v>11902</v>
      </c>
      <c r="AZ1207" s="3" t="s">
        <v>11903</v>
      </c>
      <c r="BA1207" s="3" t="s">
        <v>11903</v>
      </c>
      <c r="BB1207" s="3" t="s">
        <v>11904</v>
      </c>
      <c r="BC1207" s="3" t="s">
        <v>142</v>
      </c>
      <c r="BD1207" s="3" t="s">
        <v>68</v>
      </c>
      <c r="BE1207" s="3" t="s">
        <v>11905</v>
      </c>
      <c r="BF1207" s="3" t="s">
        <v>11904</v>
      </c>
      <c r="BG1207" s="3" t="s">
        <v>11906</v>
      </c>
    </row>
    <row r="1208" spans="1:59" ht="57" x14ac:dyDescent="0.45">
      <c r="A1208" s="2" t="s">
        <v>59</v>
      </c>
      <c r="B1208" s="2" t="s">
        <v>60</v>
      </c>
      <c r="C1208" s="2" t="s">
        <v>11907</v>
      </c>
      <c r="D1208" s="2" t="s">
        <v>11908</v>
      </c>
      <c r="E1208" s="2" t="s">
        <v>11909</v>
      </c>
      <c r="G1208" s="3" t="s">
        <v>62</v>
      </c>
      <c r="I1208" s="3" t="s">
        <v>62</v>
      </c>
      <c r="J1208" s="3" t="s">
        <v>62</v>
      </c>
      <c r="K1208" s="3" t="s">
        <v>63</v>
      </c>
      <c r="M1208" s="2" t="s">
        <v>11910</v>
      </c>
      <c r="N1208" s="3" t="s">
        <v>149</v>
      </c>
      <c r="P1208" s="3" t="s">
        <v>65</v>
      </c>
      <c r="Q1208" s="2" t="s">
        <v>11911</v>
      </c>
      <c r="R1208" s="3" t="s">
        <v>66</v>
      </c>
      <c r="S1208" s="4">
        <v>7</v>
      </c>
      <c r="T1208" s="4">
        <v>7</v>
      </c>
      <c r="U1208" s="5" t="s">
        <v>11912</v>
      </c>
      <c r="V1208" s="5" t="s">
        <v>11912</v>
      </c>
      <c r="W1208" s="5" t="s">
        <v>67</v>
      </c>
      <c r="X1208" s="5" t="s">
        <v>67</v>
      </c>
      <c r="Y1208" s="4">
        <v>124</v>
      </c>
      <c r="Z1208" s="4">
        <v>16</v>
      </c>
      <c r="AA1208" s="4">
        <v>80</v>
      </c>
      <c r="AB1208" s="4">
        <v>1</v>
      </c>
      <c r="AC1208" s="4">
        <v>14</v>
      </c>
      <c r="AD1208" s="4">
        <v>62</v>
      </c>
      <c r="AE1208" s="4">
        <v>120</v>
      </c>
      <c r="AF1208" s="4">
        <v>0</v>
      </c>
      <c r="AG1208" s="4">
        <v>8</v>
      </c>
      <c r="AH1208" s="4">
        <v>57</v>
      </c>
      <c r="AI1208" s="4">
        <v>86</v>
      </c>
      <c r="AJ1208" s="4">
        <v>12</v>
      </c>
      <c r="AK1208" s="4">
        <v>23</v>
      </c>
      <c r="AL1208" s="4">
        <v>33</v>
      </c>
      <c r="AM1208" s="4">
        <v>47</v>
      </c>
      <c r="AN1208" s="4">
        <v>0</v>
      </c>
      <c r="AO1208" s="4">
        <v>0</v>
      </c>
      <c r="AP1208" s="4">
        <v>14</v>
      </c>
      <c r="AQ1208" s="4">
        <v>43</v>
      </c>
      <c r="AR1208" s="3" t="s">
        <v>62</v>
      </c>
      <c r="AS1208" s="3" t="s">
        <v>62</v>
      </c>
      <c r="AT1208" s="3" t="s">
        <v>62</v>
      </c>
      <c r="AV1208" s="6" t="str">
        <f>HYPERLINK("http://mcgill.on.worldcat.org/oclc/503308127","Catalog Record")</f>
        <v>Catalog Record</v>
      </c>
      <c r="AW1208" s="6" t="str">
        <f>HYPERLINK("http://www.worldcat.org/oclc/503308127","WorldCat Record")</f>
        <v>WorldCat Record</v>
      </c>
      <c r="AX1208" s="3" t="s">
        <v>11913</v>
      </c>
      <c r="AY1208" s="3" t="s">
        <v>11914</v>
      </c>
      <c r="AZ1208" s="3" t="s">
        <v>11915</v>
      </c>
      <c r="BA1208" s="3" t="s">
        <v>11915</v>
      </c>
      <c r="BB1208" s="3" t="s">
        <v>11916</v>
      </c>
      <c r="BC1208" s="3" t="s">
        <v>142</v>
      </c>
      <c r="BD1208" s="3" t="s">
        <v>68</v>
      </c>
      <c r="BE1208" s="3" t="s">
        <v>11917</v>
      </c>
      <c r="BF1208" s="3" t="s">
        <v>11916</v>
      </c>
      <c r="BG1208" s="3" t="s">
        <v>11918</v>
      </c>
    </row>
    <row r="1209" spans="1:59" ht="71.25" x14ac:dyDescent="0.45">
      <c r="A1209" s="2" t="s">
        <v>59</v>
      </c>
      <c r="B1209" s="2" t="s">
        <v>60</v>
      </c>
      <c r="C1209" s="2" t="s">
        <v>11919</v>
      </c>
      <c r="D1209" s="2" t="s">
        <v>11920</v>
      </c>
      <c r="E1209" s="2" t="s">
        <v>11921</v>
      </c>
      <c r="G1209" s="3" t="s">
        <v>62</v>
      </c>
      <c r="I1209" s="3" t="s">
        <v>62</v>
      </c>
      <c r="J1209" s="3" t="s">
        <v>62</v>
      </c>
      <c r="K1209" s="3" t="s">
        <v>63</v>
      </c>
      <c r="M1209" s="2" t="s">
        <v>6999</v>
      </c>
      <c r="N1209" s="3" t="s">
        <v>149</v>
      </c>
      <c r="P1209" s="3" t="s">
        <v>65</v>
      </c>
      <c r="Q1209" s="2" t="s">
        <v>3053</v>
      </c>
      <c r="R1209" s="3" t="s">
        <v>66</v>
      </c>
      <c r="S1209" s="4">
        <v>0</v>
      </c>
      <c r="T1209" s="4">
        <v>0</v>
      </c>
      <c r="W1209" s="5" t="s">
        <v>67</v>
      </c>
      <c r="X1209" s="5" t="s">
        <v>67</v>
      </c>
      <c r="Y1209" s="4">
        <v>115</v>
      </c>
      <c r="Z1209" s="4">
        <v>13</v>
      </c>
      <c r="AA1209" s="4">
        <v>17</v>
      </c>
      <c r="AB1209" s="4">
        <v>1</v>
      </c>
      <c r="AC1209" s="4">
        <v>4</v>
      </c>
      <c r="AD1209" s="4">
        <v>61</v>
      </c>
      <c r="AE1209" s="4">
        <v>64</v>
      </c>
      <c r="AF1209" s="4">
        <v>0</v>
      </c>
      <c r="AG1209" s="4">
        <v>1</v>
      </c>
      <c r="AH1209" s="4">
        <v>58</v>
      </c>
      <c r="AI1209" s="4">
        <v>61</v>
      </c>
      <c r="AJ1209" s="4">
        <v>11</v>
      </c>
      <c r="AK1209" s="4">
        <v>12</v>
      </c>
      <c r="AL1209" s="4">
        <v>36</v>
      </c>
      <c r="AM1209" s="4">
        <v>38</v>
      </c>
      <c r="AN1209" s="4">
        <v>0</v>
      </c>
      <c r="AO1209" s="4">
        <v>0</v>
      </c>
      <c r="AP1209" s="4">
        <v>11</v>
      </c>
      <c r="AQ1209" s="4">
        <v>12</v>
      </c>
      <c r="AR1209" s="3" t="s">
        <v>62</v>
      </c>
      <c r="AS1209" s="3" t="s">
        <v>62</v>
      </c>
      <c r="AT1209" s="3" t="s">
        <v>62</v>
      </c>
      <c r="AV1209" s="6" t="str">
        <f>HYPERLINK("http://mcgill.on.worldcat.org/oclc/298778539","Catalog Record")</f>
        <v>Catalog Record</v>
      </c>
      <c r="AW1209" s="6" t="str">
        <f>HYPERLINK("http://www.worldcat.org/oclc/298778539","WorldCat Record")</f>
        <v>WorldCat Record</v>
      </c>
      <c r="AX1209" s="3" t="s">
        <v>11922</v>
      </c>
      <c r="AY1209" s="3" t="s">
        <v>11923</v>
      </c>
      <c r="AZ1209" s="3" t="s">
        <v>11924</v>
      </c>
      <c r="BA1209" s="3" t="s">
        <v>11924</v>
      </c>
      <c r="BB1209" s="3" t="s">
        <v>11925</v>
      </c>
      <c r="BC1209" s="3" t="s">
        <v>142</v>
      </c>
      <c r="BD1209" s="3" t="s">
        <v>68</v>
      </c>
      <c r="BE1209" s="3" t="s">
        <v>11926</v>
      </c>
      <c r="BF1209" s="3" t="s">
        <v>11925</v>
      </c>
      <c r="BG1209" s="3" t="s">
        <v>11927</v>
      </c>
    </row>
    <row r="1210" spans="1:59" ht="57" x14ac:dyDescent="0.45">
      <c r="A1210" s="2" t="s">
        <v>59</v>
      </c>
      <c r="B1210" s="2" t="s">
        <v>60</v>
      </c>
      <c r="C1210" s="2" t="s">
        <v>11928</v>
      </c>
      <c r="D1210" s="2" t="s">
        <v>11929</v>
      </c>
      <c r="E1210" s="2" t="s">
        <v>11930</v>
      </c>
      <c r="G1210" s="3" t="s">
        <v>62</v>
      </c>
      <c r="I1210" s="3" t="s">
        <v>62</v>
      </c>
      <c r="J1210" s="3" t="s">
        <v>62</v>
      </c>
      <c r="K1210" s="3" t="s">
        <v>63</v>
      </c>
      <c r="L1210" s="2" t="s">
        <v>11931</v>
      </c>
      <c r="M1210" s="2" t="s">
        <v>11932</v>
      </c>
      <c r="N1210" s="3" t="s">
        <v>894</v>
      </c>
      <c r="P1210" s="3" t="s">
        <v>65</v>
      </c>
      <c r="R1210" s="3" t="s">
        <v>66</v>
      </c>
      <c r="S1210" s="4">
        <v>1</v>
      </c>
      <c r="T1210" s="4">
        <v>1</v>
      </c>
      <c r="U1210" s="5" t="s">
        <v>11933</v>
      </c>
      <c r="V1210" s="5" t="s">
        <v>11933</v>
      </c>
      <c r="W1210" s="5" t="s">
        <v>67</v>
      </c>
      <c r="X1210" s="5" t="s">
        <v>67</v>
      </c>
      <c r="Y1210" s="4">
        <v>232</v>
      </c>
      <c r="Z1210" s="4">
        <v>14</v>
      </c>
      <c r="AA1210" s="4">
        <v>91</v>
      </c>
      <c r="AB1210" s="4">
        <v>2</v>
      </c>
      <c r="AC1210" s="4">
        <v>17</v>
      </c>
      <c r="AD1210" s="4">
        <v>78</v>
      </c>
      <c r="AE1210" s="4">
        <v>133</v>
      </c>
      <c r="AF1210" s="4">
        <v>1</v>
      </c>
      <c r="AG1210" s="4">
        <v>8</v>
      </c>
      <c r="AH1210" s="4">
        <v>73</v>
      </c>
      <c r="AI1210" s="4">
        <v>97</v>
      </c>
      <c r="AJ1210" s="4">
        <v>11</v>
      </c>
      <c r="AK1210" s="4">
        <v>23</v>
      </c>
      <c r="AL1210" s="4">
        <v>44</v>
      </c>
      <c r="AM1210" s="4">
        <v>53</v>
      </c>
      <c r="AN1210" s="4">
        <v>0</v>
      </c>
      <c r="AO1210" s="4">
        <v>0</v>
      </c>
      <c r="AP1210" s="4">
        <v>12</v>
      </c>
      <c r="AQ1210" s="4">
        <v>44</v>
      </c>
      <c r="AR1210" s="3" t="s">
        <v>62</v>
      </c>
      <c r="AS1210" s="3" t="s">
        <v>62</v>
      </c>
      <c r="AT1210" s="3" t="s">
        <v>62</v>
      </c>
      <c r="AV1210" s="6" t="str">
        <f>HYPERLINK("http://mcgill.on.worldcat.org/oclc/650827402","Catalog Record")</f>
        <v>Catalog Record</v>
      </c>
      <c r="AW1210" s="6" t="str">
        <f>HYPERLINK("http://www.worldcat.org/oclc/650827402","WorldCat Record")</f>
        <v>WorldCat Record</v>
      </c>
      <c r="AX1210" s="3" t="s">
        <v>11934</v>
      </c>
      <c r="AY1210" s="3" t="s">
        <v>11935</v>
      </c>
      <c r="AZ1210" s="3" t="s">
        <v>11936</v>
      </c>
      <c r="BA1210" s="3" t="s">
        <v>11936</v>
      </c>
      <c r="BB1210" s="3" t="s">
        <v>11937</v>
      </c>
      <c r="BC1210" s="3" t="s">
        <v>142</v>
      </c>
      <c r="BD1210" s="3" t="s">
        <v>68</v>
      </c>
      <c r="BE1210" s="3" t="s">
        <v>11938</v>
      </c>
      <c r="BF1210" s="3" t="s">
        <v>11937</v>
      </c>
      <c r="BG1210" s="3" t="s">
        <v>11939</v>
      </c>
    </row>
    <row r="1211" spans="1:59" ht="57" x14ac:dyDescent="0.45">
      <c r="A1211" s="2" t="s">
        <v>59</v>
      </c>
      <c r="B1211" s="2" t="s">
        <v>60</v>
      </c>
      <c r="C1211" s="2" t="s">
        <v>11940</v>
      </c>
      <c r="D1211" s="2" t="s">
        <v>11941</v>
      </c>
      <c r="E1211" s="2" t="s">
        <v>11942</v>
      </c>
      <c r="G1211" s="3" t="s">
        <v>62</v>
      </c>
      <c r="I1211" s="3" t="s">
        <v>62</v>
      </c>
      <c r="J1211" s="3" t="s">
        <v>62</v>
      </c>
      <c r="K1211" s="3" t="s">
        <v>63</v>
      </c>
      <c r="L1211" s="2" t="s">
        <v>11943</v>
      </c>
      <c r="M1211" s="2" t="s">
        <v>11944</v>
      </c>
      <c r="N1211" s="3" t="s">
        <v>793</v>
      </c>
      <c r="P1211" s="3" t="s">
        <v>65</v>
      </c>
      <c r="Q1211" s="2" t="s">
        <v>11945</v>
      </c>
      <c r="R1211" s="3" t="s">
        <v>66</v>
      </c>
      <c r="S1211" s="4">
        <v>34</v>
      </c>
      <c r="T1211" s="4">
        <v>34</v>
      </c>
      <c r="U1211" s="5" t="s">
        <v>5583</v>
      </c>
      <c r="V1211" s="5" t="s">
        <v>5583</v>
      </c>
      <c r="W1211" s="5" t="s">
        <v>67</v>
      </c>
      <c r="X1211" s="5" t="s">
        <v>67</v>
      </c>
      <c r="Y1211" s="4">
        <v>669</v>
      </c>
      <c r="Z1211" s="4">
        <v>48</v>
      </c>
      <c r="AA1211" s="4">
        <v>52</v>
      </c>
      <c r="AB1211" s="4">
        <v>3</v>
      </c>
      <c r="AC1211" s="4">
        <v>7</v>
      </c>
      <c r="AD1211" s="4">
        <v>128</v>
      </c>
      <c r="AE1211" s="4">
        <v>131</v>
      </c>
      <c r="AF1211" s="4">
        <v>2</v>
      </c>
      <c r="AG1211" s="4">
        <v>5</v>
      </c>
      <c r="AH1211" s="4">
        <v>103</v>
      </c>
      <c r="AI1211" s="4">
        <v>104</v>
      </c>
      <c r="AJ1211" s="4">
        <v>17</v>
      </c>
      <c r="AK1211" s="4">
        <v>20</v>
      </c>
      <c r="AL1211" s="4">
        <v>55</v>
      </c>
      <c r="AM1211" s="4">
        <v>55</v>
      </c>
      <c r="AN1211" s="4">
        <v>0</v>
      </c>
      <c r="AO1211" s="4">
        <v>0</v>
      </c>
      <c r="AP1211" s="4">
        <v>34</v>
      </c>
      <c r="AQ1211" s="4">
        <v>37</v>
      </c>
      <c r="AR1211" s="3" t="s">
        <v>62</v>
      </c>
      <c r="AS1211" s="3" t="s">
        <v>62</v>
      </c>
      <c r="AT1211" s="3" t="s">
        <v>61</v>
      </c>
      <c r="AU1211" s="6" t="str">
        <f>HYPERLINK("http://catalog.hathitrust.org/Record/001386006","HathiTrust Record")</f>
        <v>HathiTrust Record</v>
      </c>
      <c r="AV1211" s="6" t="str">
        <f>HYPERLINK("http://mcgill.on.worldcat.org/oclc/329588","Catalog Record")</f>
        <v>Catalog Record</v>
      </c>
      <c r="AW1211" s="6" t="str">
        <f>HYPERLINK("http://www.worldcat.org/oclc/329588","WorldCat Record")</f>
        <v>WorldCat Record</v>
      </c>
      <c r="AX1211" s="3" t="s">
        <v>11946</v>
      </c>
      <c r="AY1211" s="3" t="s">
        <v>11947</v>
      </c>
      <c r="AZ1211" s="3" t="s">
        <v>11948</v>
      </c>
      <c r="BA1211" s="3" t="s">
        <v>11948</v>
      </c>
      <c r="BB1211" s="3" t="s">
        <v>11949</v>
      </c>
      <c r="BC1211" s="3" t="s">
        <v>142</v>
      </c>
      <c r="BD1211" s="3" t="s">
        <v>308</v>
      </c>
      <c r="BE1211" s="3" t="s">
        <v>11950</v>
      </c>
      <c r="BF1211" s="3" t="s">
        <v>11949</v>
      </c>
      <c r="BG1211" s="3" t="s">
        <v>11951</v>
      </c>
    </row>
    <row r="1212" spans="1:59" ht="57" x14ac:dyDescent="0.45">
      <c r="A1212" s="2" t="s">
        <v>59</v>
      </c>
      <c r="B1212" s="2" t="s">
        <v>60</v>
      </c>
      <c r="C1212" s="2" t="s">
        <v>11952</v>
      </c>
      <c r="D1212" s="2" t="s">
        <v>11953</v>
      </c>
      <c r="E1212" s="2" t="s">
        <v>11954</v>
      </c>
      <c r="G1212" s="3" t="s">
        <v>62</v>
      </c>
      <c r="I1212" s="3" t="s">
        <v>62</v>
      </c>
      <c r="J1212" s="3" t="s">
        <v>62</v>
      </c>
      <c r="K1212" s="3" t="s">
        <v>63</v>
      </c>
      <c r="L1212" s="2" t="s">
        <v>11955</v>
      </c>
      <c r="M1212" s="2" t="s">
        <v>11956</v>
      </c>
      <c r="N1212" s="3" t="s">
        <v>1212</v>
      </c>
      <c r="P1212" s="3" t="s">
        <v>65</v>
      </c>
      <c r="Q1212" s="2" t="s">
        <v>11957</v>
      </c>
      <c r="R1212" s="3" t="s">
        <v>66</v>
      </c>
      <c r="S1212" s="4">
        <v>17</v>
      </c>
      <c r="T1212" s="4">
        <v>17</v>
      </c>
      <c r="U1212" s="5" t="s">
        <v>5583</v>
      </c>
      <c r="V1212" s="5" t="s">
        <v>5583</v>
      </c>
      <c r="W1212" s="5" t="s">
        <v>67</v>
      </c>
      <c r="X1212" s="5" t="s">
        <v>67</v>
      </c>
      <c r="Y1212" s="4">
        <v>288</v>
      </c>
      <c r="Z1212" s="4">
        <v>21</v>
      </c>
      <c r="AA1212" s="4">
        <v>22</v>
      </c>
      <c r="AB1212" s="4">
        <v>1</v>
      </c>
      <c r="AC1212" s="4">
        <v>2</v>
      </c>
      <c r="AD1212" s="4">
        <v>102</v>
      </c>
      <c r="AE1212" s="4">
        <v>103</v>
      </c>
      <c r="AF1212" s="4">
        <v>0</v>
      </c>
      <c r="AG1212" s="4">
        <v>1</v>
      </c>
      <c r="AH1212" s="4">
        <v>92</v>
      </c>
      <c r="AI1212" s="4">
        <v>93</v>
      </c>
      <c r="AJ1212" s="4">
        <v>14</v>
      </c>
      <c r="AK1212" s="4">
        <v>15</v>
      </c>
      <c r="AL1212" s="4">
        <v>54</v>
      </c>
      <c r="AM1212" s="4">
        <v>54</v>
      </c>
      <c r="AN1212" s="4">
        <v>0</v>
      </c>
      <c r="AO1212" s="4">
        <v>0</v>
      </c>
      <c r="AP1212" s="4">
        <v>15</v>
      </c>
      <c r="AQ1212" s="4">
        <v>16</v>
      </c>
      <c r="AR1212" s="3" t="s">
        <v>62</v>
      </c>
      <c r="AS1212" s="3" t="s">
        <v>62</v>
      </c>
      <c r="AT1212" s="3" t="s">
        <v>62</v>
      </c>
      <c r="AV1212" s="6" t="str">
        <f>HYPERLINK("http://mcgill.on.worldcat.org/oclc/43615833","Catalog Record")</f>
        <v>Catalog Record</v>
      </c>
      <c r="AW1212" s="6" t="str">
        <f>HYPERLINK("http://www.worldcat.org/oclc/43615833","WorldCat Record")</f>
        <v>WorldCat Record</v>
      </c>
      <c r="AX1212" s="3" t="s">
        <v>11958</v>
      </c>
      <c r="AY1212" s="3" t="s">
        <v>11959</v>
      </c>
      <c r="AZ1212" s="3" t="s">
        <v>11960</v>
      </c>
      <c r="BA1212" s="3" t="s">
        <v>11960</v>
      </c>
      <c r="BB1212" s="3" t="s">
        <v>11961</v>
      </c>
      <c r="BC1212" s="3" t="s">
        <v>142</v>
      </c>
      <c r="BD1212" s="3" t="s">
        <v>68</v>
      </c>
      <c r="BE1212" s="3" t="s">
        <v>11962</v>
      </c>
      <c r="BF1212" s="3" t="s">
        <v>11961</v>
      </c>
      <c r="BG1212" s="3" t="s">
        <v>11963</v>
      </c>
    </row>
    <row r="1213" spans="1:59" ht="71.25" x14ac:dyDescent="0.45">
      <c r="A1213" s="2" t="s">
        <v>59</v>
      </c>
      <c r="B1213" s="2" t="s">
        <v>60</v>
      </c>
      <c r="C1213" s="2" t="s">
        <v>11964</v>
      </c>
      <c r="D1213" s="2" t="s">
        <v>11965</v>
      </c>
      <c r="E1213" s="2" t="s">
        <v>11966</v>
      </c>
      <c r="G1213" s="3" t="s">
        <v>62</v>
      </c>
      <c r="I1213" s="3" t="s">
        <v>62</v>
      </c>
      <c r="J1213" s="3" t="s">
        <v>62</v>
      </c>
      <c r="K1213" s="3" t="s">
        <v>63</v>
      </c>
      <c r="L1213" s="2" t="s">
        <v>11967</v>
      </c>
      <c r="M1213" s="2" t="s">
        <v>11968</v>
      </c>
      <c r="N1213" s="3" t="s">
        <v>125</v>
      </c>
      <c r="O1213" s="2" t="s">
        <v>10948</v>
      </c>
      <c r="P1213" s="3" t="s">
        <v>110</v>
      </c>
      <c r="Q1213" s="2" t="s">
        <v>11969</v>
      </c>
      <c r="R1213" s="3" t="s">
        <v>66</v>
      </c>
      <c r="S1213" s="4">
        <v>3</v>
      </c>
      <c r="T1213" s="4">
        <v>3</v>
      </c>
      <c r="U1213" s="5" t="s">
        <v>5274</v>
      </c>
      <c r="V1213" s="5" t="s">
        <v>5274</v>
      </c>
      <c r="W1213" s="5" t="s">
        <v>67</v>
      </c>
      <c r="X1213" s="5" t="s">
        <v>67</v>
      </c>
      <c r="Y1213" s="4">
        <v>93</v>
      </c>
      <c r="Z1213" s="4">
        <v>7</v>
      </c>
      <c r="AA1213" s="4">
        <v>17</v>
      </c>
      <c r="AB1213" s="4">
        <v>1</v>
      </c>
      <c r="AC1213" s="4">
        <v>9</v>
      </c>
      <c r="AD1213" s="4">
        <v>40</v>
      </c>
      <c r="AE1213" s="4">
        <v>45</v>
      </c>
      <c r="AF1213" s="4">
        <v>0</v>
      </c>
      <c r="AG1213" s="4">
        <v>3</v>
      </c>
      <c r="AH1213" s="4">
        <v>37</v>
      </c>
      <c r="AI1213" s="4">
        <v>39</v>
      </c>
      <c r="AJ1213" s="4">
        <v>5</v>
      </c>
      <c r="AK1213" s="4">
        <v>10</v>
      </c>
      <c r="AL1213" s="4">
        <v>28</v>
      </c>
      <c r="AM1213" s="4">
        <v>28</v>
      </c>
      <c r="AN1213" s="4">
        <v>0</v>
      </c>
      <c r="AO1213" s="4">
        <v>0</v>
      </c>
      <c r="AP1213" s="4">
        <v>5</v>
      </c>
      <c r="AQ1213" s="4">
        <v>9</v>
      </c>
      <c r="AR1213" s="3" t="s">
        <v>62</v>
      </c>
      <c r="AS1213" s="3" t="s">
        <v>62</v>
      </c>
      <c r="AT1213" s="3" t="s">
        <v>61</v>
      </c>
      <c r="AU1213" s="6" t="str">
        <f>HYPERLINK("http://catalog.hathitrust.org/Record/002210918","HathiTrust Record")</f>
        <v>HathiTrust Record</v>
      </c>
      <c r="AV1213" s="6" t="str">
        <f>HYPERLINK("http://mcgill.on.worldcat.org/oclc/22689230","Catalog Record")</f>
        <v>Catalog Record</v>
      </c>
      <c r="AW1213" s="6" t="str">
        <f>HYPERLINK("http://www.worldcat.org/oclc/22689230","WorldCat Record")</f>
        <v>WorldCat Record</v>
      </c>
      <c r="AX1213" s="3" t="s">
        <v>11970</v>
      </c>
      <c r="AY1213" s="3" t="s">
        <v>11971</v>
      </c>
      <c r="AZ1213" s="3" t="s">
        <v>11972</v>
      </c>
      <c r="BA1213" s="3" t="s">
        <v>11972</v>
      </c>
      <c r="BB1213" s="3" t="s">
        <v>11973</v>
      </c>
      <c r="BC1213" s="3" t="s">
        <v>142</v>
      </c>
      <c r="BD1213" s="3" t="s">
        <v>308</v>
      </c>
      <c r="BE1213" s="3" t="s">
        <v>11974</v>
      </c>
      <c r="BF1213" s="3" t="s">
        <v>11973</v>
      </c>
      <c r="BG1213" s="3" t="s">
        <v>11975</v>
      </c>
    </row>
    <row r="1214" spans="1:59" ht="57" x14ac:dyDescent="0.45">
      <c r="A1214" s="2" t="s">
        <v>59</v>
      </c>
      <c r="B1214" s="2" t="s">
        <v>60</v>
      </c>
      <c r="C1214" s="2" t="s">
        <v>11976</v>
      </c>
      <c r="D1214" s="2" t="s">
        <v>11977</v>
      </c>
      <c r="E1214" s="2" t="s">
        <v>11978</v>
      </c>
      <c r="G1214" s="3" t="s">
        <v>62</v>
      </c>
      <c r="I1214" s="3" t="s">
        <v>62</v>
      </c>
      <c r="J1214" s="3" t="s">
        <v>62</v>
      </c>
      <c r="K1214" s="3" t="s">
        <v>63</v>
      </c>
      <c r="L1214" s="2" t="s">
        <v>11979</v>
      </c>
      <c r="M1214" s="2" t="s">
        <v>11980</v>
      </c>
      <c r="N1214" s="3" t="s">
        <v>583</v>
      </c>
      <c r="P1214" s="3" t="s">
        <v>65</v>
      </c>
      <c r="R1214" s="3" t="s">
        <v>66</v>
      </c>
      <c r="S1214" s="4">
        <v>24</v>
      </c>
      <c r="T1214" s="4">
        <v>24</v>
      </c>
      <c r="U1214" s="5" t="s">
        <v>5583</v>
      </c>
      <c r="V1214" s="5" t="s">
        <v>5583</v>
      </c>
      <c r="W1214" s="5" t="s">
        <v>67</v>
      </c>
      <c r="X1214" s="5" t="s">
        <v>67</v>
      </c>
      <c r="Y1214" s="4">
        <v>490</v>
      </c>
      <c r="Z1214" s="4">
        <v>26</v>
      </c>
      <c r="AA1214" s="4">
        <v>31</v>
      </c>
      <c r="AB1214" s="4">
        <v>2</v>
      </c>
      <c r="AC1214" s="4">
        <v>4</v>
      </c>
      <c r="AD1214" s="4">
        <v>117</v>
      </c>
      <c r="AE1214" s="4">
        <v>121</v>
      </c>
      <c r="AF1214" s="4">
        <v>1</v>
      </c>
      <c r="AG1214" s="4">
        <v>3</v>
      </c>
      <c r="AH1214" s="4">
        <v>104</v>
      </c>
      <c r="AI1214" s="4">
        <v>104</v>
      </c>
      <c r="AJ1214" s="4">
        <v>17</v>
      </c>
      <c r="AK1214" s="4">
        <v>20</v>
      </c>
      <c r="AL1214" s="4">
        <v>56</v>
      </c>
      <c r="AM1214" s="4">
        <v>56</v>
      </c>
      <c r="AN1214" s="4">
        <v>0</v>
      </c>
      <c r="AO1214" s="4">
        <v>0</v>
      </c>
      <c r="AP1214" s="4">
        <v>20</v>
      </c>
      <c r="AQ1214" s="4">
        <v>22</v>
      </c>
      <c r="AR1214" s="3" t="s">
        <v>62</v>
      </c>
      <c r="AS1214" s="3" t="s">
        <v>62</v>
      </c>
      <c r="AT1214" s="3" t="s">
        <v>61</v>
      </c>
      <c r="AU1214" s="6" t="str">
        <f>HYPERLINK("http://catalog.hathitrust.org/Record/000135506","HathiTrust Record")</f>
        <v>HathiTrust Record</v>
      </c>
      <c r="AV1214" s="6" t="str">
        <f>HYPERLINK("http://mcgill.on.worldcat.org/oclc/3844527","Catalog Record")</f>
        <v>Catalog Record</v>
      </c>
      <c r="AW1214" s="6" t="str">
        <f>HYPERLINK("http://www.worldcat.org/oclc/3844527","WorldCat Record")</f>
        <v>WorldCat Record</v>
      </c>
      <c r="AX1214" s="3" t="s">
        <v>11981</v>
      </c>
      <c r="AY1214" s="3" t="s">
        <v>11982</v>
      </c>
      <c r="AZ1214" s="3" t="s">
        <v>11983</v>
      </c>
      <c r="BA1214" s="3" t="s">
        <v>11983</v>
      </c>
      <c r="BB1214" s="3" t="s">
        <v>11984</v>
      </c>
      <c r="BC1214" s="3" t="s">
        <v>142</v>
      </c>
      <c r="BD1214" s="3" t="s">
        <v>68</v>
      </c>
      <c r="BE1214" s="3" t="s">
        <v>11985</v>
      </c>
      <c r="BF1214" s="3" t="s">
        <v>11984</v>
      </c>
      <c r="BG1214" s="3" t="s">
        <v>11986</v>
      </c>
    </row>
    <row r="1215" spans="1:59" ht="57" x14ac:dyDescent="0.45">
      <c r="A1215" s="2" t="s">
        <v>59</v>
      </c>
      <c r="B1215" s="2" t="s">
        <v>60</v>
      </c>
      <c r="C1215" s="2" t="s">
        <v>11987</v>
      </c>
      <c r="D1215" s="2" t="s">
        <v>11988</v>
      </c>
      <c r="E1215" s="2" t="s">
        <v>11989</v>
      </c>
      <c r="G1215" s="3" t="s">
        <v>62</v>
      </c>
      <c r="I1215" s="3" t="s">
        <v>62</v>
      </c>
      <c r="J1215" s="3" t="s">
        <v>62</v>
      </c>
      <c r="K1215" s="3" t="s">
        <v>63</v>
      </c>
      <c r="L1215" s="2" t="s">
        <v>11990</v>
      </c>
      <c r="M1215" s="2" t="s">
        <v>11991</v>
      </c>
      <c r="N1215" s="3" t="s">
        <v>1478</v>
      </c>
      <c r="P1215" s="3" t="s">
        <v>65</v>
      </c>
      <c r="Q1215" s="2" t="s">
        <v>11992</v>
      </c>
      <c r="R1215" s="3" t="s">
        <v>66</v>
      </c>
      <c r="S1215" s="4">
        <v>10</v>
      </c>
      <c r="T1215" s="4">
        <v>10</v>
      </c>
      <c r="U1215" s="5" t="s">
        <v>11301</v>
      </c>
      <c r="V1215" s="5" t="s">
        <v>11301</v>
      </c>
      <c r="W1215" s="5" t="s">
        <v>67</v>
      </c>
      <c r="X1215" s="5" t="s">
        <v>67</v>
      </c>
      <c r="Y1215" s="4">
        <v>140</v>
      </c>
      <c r="Z1215" s="4">
        <v>10</v>
      </c>
      <c r="AA1215" s="4">
        <v>10</v>
      </c>
      <c r="AB1215" s="4">
        <v>1</v>
      </c>
      <c r="AC1215" s="4">
        <v>1</v>
      </c>
      <c r="AD1215" s="4">
        <v>70</v>
      </c>
      <c r="AE1215" s="4">
        <v>70</v>
      </c>
      <c r="AF1215" s="4">
        <v>0</v>
      </c>
      <c r="AG1215" s="4">
        <v>0</v>
      </c>
      <c r="AH1215" s="4">
        <v>66</v>
      </c>
      <c r="AI1215" s="4">
        <v>66</v>
      </c>
      <c r="AJ1215" s="4">
        <v>8</v>
      </c>
      <c r="AK1215" s="4">
        <v>8</v>
      </c>
      <c r="AL1215" s="4">
        <v>40</v>
      </c>
      <c r="AM1215" s="4">
        <v>40</v>
      </c>
      <c r="AN1215" s="4">
        <v>0</v>
      </c>
      <c r="AO1215" s="4">
        <v>0</v>
      </c>
      <c r="AP1215" s="4">
        <v>8</v>
      </c>
      <c r="AQ1215" s="4">
        <v>8</v>
      </c>
      <c r="AR1215" s="3" t="s">
        <v>62</v>
      </c>
      <c r="AS1215" s="3" t="s">
        <v>62</v>
      </c>
      <c r="AT1215" s="3" t="s">
        <v>61</v>
      </c>
      <c r="AU1215" s="6" t="str">
        <f>HYPERLINK("http://catalog.hathitrust.org/Record/003146510","HathiTrust Record")</f>
        <v>HathiTrust Record</v>
      </c>
      <c r="AV1215" s="6" t="str">
        <f>HYPERLINK("http://mcgill.on.worldcat.org/oclc/36216747","Catalog Record")</f>
        <v>Catalog Record</v>
      </c>
      <c r="AW1215" s="6" t="str">
        <f>HYPERLINK("http://www.worldcat.org/oclc/36216747","WorldCat Record")</f>
        <v>WorldCat Record</v>
      </c>
      <c r="AX1215" s="3" t="s">
        <v>11993</v>
      </c>
      <c r="AY1215" s="3" t="s">
        <v>11994</v>
      </c>
      <c r="AZ1215" s="3" t="s">
        <v>11995</v>
      </c>
      <c r="BA1215" s="3" t="s">
        <v>11995</v>
      </c>
      <c r="BB1215" s="3" t="s">
        <v>11996</v>
      </c>
      <c r="BC1215" s="3" t="s">
        <v>142</v>
      </c>
      <c r="BD1215" s="3" t="s">
        <v>68</v>
      </c>
      <c r="BE1215" s="3" t="s">
        <v>11997</v>
      </c>
      <c r="BF1215" s="3" t="s">
        <v>11996</v>
      </c>
      <c r="BG1215" s="3" t="s">
        <v>11998</v>
      </c>
    </row>
    <row r="1216" spans="1:59" ht="71.25" x14ac:dyDescent="0.45">
      <c r="A1216" s="2" t="s">
        <v>59</v>
      </c>
      <c r="B1216" s="2" t="s">
        <v>60</v>
      </c>
      <c r="C1216" s="2" t="s">
        <v>11999</v>
      </c>
      <c r="D1216" s="2" t="s">
        <v>12000</v>
      </c>
      <c r="E1216" s="2" t="s">
        <v>12001</v>
      </c>
      <c r="G1216" s="3" t="s">
        <v>62</v>
      </c>
      <c r="I1216" s="3" t="s">
        <v>62</v>
      </c>
      <c r="J1216" s="3" t="s">
        <v>62</v>
      </c>
      <c r="K1216" s="3" t="s">
        <v>63</v>
      </c>
      <c r="L1216" s="2" t="s">
        <v>12002</v>
      </c>
      <c r="M1216" s="2" t="s">
        <v>12003</v>
      </c>
      <c r="N1216" s="3" t="s">
        <v>195</v>
      </c>
      <c r="P1216" s="3" t="s">
        <v>114</v>
      </c>
      <c r="R1216" s="3" t="s">
        <v>66</v>
      </c>
      <c r="S1216" s="4">
        <v>4</v>
      </c>
      <c r="T1216" s="4">
        <v>4</v>
      </c>
      <c r="U1216" s="5" t="s">
        <v>12004</v>
      </c>
      <c r="V1216" s="5" t="s">
        <v>12004</v>
      </c>
      <c r="W1216" s="5" t="s">
        <v>67</v>
      </c>
      <c r="X1216" s="5" t="s">
        <v>67</v>
      </c>
      <c r="Y1216" s="4">
        <v>44</v>
      </c>
      <c r="Z1216" s="4">
        <v>4</v>
      </c>
      <c r="AA1216" s="4">
        <v>4</v>
      </c>
      <c r="AB1216" s="4">
        <v>1</v>
      </c>
      <c r="AC1216" s="4">
        <v>1</v>
      </c>
      <c r="AD1216" s="4">
        <v>28</v>
      </c>
      <c r="AE1216" s="4">
        <v>28</v>
      </c>
      <c r="AF1216" s="4">
        <v>0</v>
      </c>
      <c r="AG1216" s="4">
        <v>0</v>
      </c>
      <c r="AH1216" s="4">
        <v>27</v>
      </c>
      <c r="AI1216" s="4">
        <v>27</v>
      </c>
      <c r="AJ1216" s="4">
        <v>1</v>
      </c>
      <c r="AK1216" s="4">
        <v>1</v>
      </c>
      <c r="AL1216" s="4">
        <v>21</v>
      </c>
      <c r="AM1216" s="4">
        <v>21</v>
      </c>
      <c r="AN1216" s="4">
        <v>0</v>
      </c>
      <c r="AO1216" s="4">
        <v>0</v>
      </c>
      <c r="AP1216" s="4">
        <v>1</v>
      </c>
      <c r="AQ1216" s="4">
        <v>1</v>
      </c>
      <c r="AR1216" s="3" t="s">
        <v>62</v>
      </c>
      <c r="AS1216" s="3" t="s">
        <v>62</v>
      </c>
      <c r="AT1216" s="3" t="s">
        <v>61</v>
      </c>
      <c r="AU1216" s="6" t="str">
        <f>HYPERLINK("http://catalog.hathitrust.org/Record/003088474","HathiTrust Record")</f>
        <v>HathiTrust Record</v>
      </c>
      <c r="AV1216" s="6" t="str">
        <f>HYPERLINK("http://mcgill.on.worldcat.org/oclc/30976721","Catalog Record")</f>
        <v>Catalog Record</v>
      </c>
      <c r="AW1216" s="6" t="str">
        <f>HYPERLINK("http://www.worldcat.org/oclc/30976721","WorldCat Record")</f>
        <v>WorldCat Record</v>
      </c>
      <c r="AX1216" s="3" t="s">
        <v>12005</v>
      </c>
      <c r="AY1216" s="3" t="s">
        <v>12006</v>
      </c>
      <c r="AZ1216" s="3" t="s">
        <v>12007</v>
      </c>
      <c r="BA1216" s="3" t="s">
        <v>12007</v>
      </c>
      <c r="BB1216" s="3" t="s">
        <v>12008</v>
      </c>
      <c r="BC1216" s="3" t="s">
        <v>142</v>
      </c>
      <c r="BD1216" s="3" t="s">
        <v>68</v>
      </c>
      <c r="BE1216" s="3" t="s">
        <v>12009</v>
      </c>
      <c r="BF1216" s="3" t="s">
        <v>12008</v>
      </c>
      <c r="BG1216" s="3" t="s">
        <v>12010</v>
      </c>
    </row>
    <row r="1217" spans="1:59" ht="57" x14ac:dyDescent="0.45">
      <c r="A1217" s="2" t="s">
        <v>59</v>
      </c>
      <c r="B1217" s="2" t="s">
        <v>60</v>
      </c>
      <c r="C1217" s="2" t="s">
        <v>12011</v>
      </c>
      <c r="D1217" s="2" t="s">
        <v>12012</v>
      </c>
      <c r="E1217" s="2" t="s">
        <v>12013</v>
      </c>
      <c r="G1217" s="3" t="s">
        <v>62</v>
      </c>
      <c r="I1217" s="3" t="s">
        <v>62</v>
      </c>
      <c r="J1217" s="3" t="s">
        <v>62</v>
      </c>
      <c r="K1217" s="3" t="s">
        <v>63</v>
      </c>
      <c r="L1217" s="2" t="s">
        <v>12014</v>
      </c>
      <c r="M1217" s="2" t="s">
        <v>12015</v>
      </c>
      <c r="N1217" s="3" t="s">
        <v>195</v>
      </c>
      <c r="P1217" s="3" t="s">
        <v>114</v>
      </c>
      <c r="Q1217" s="2" t="s">
        <v>12016</v>
      </c>
      <c r="R1217" s="3" t="s">
        <v>66</v>
      </c>
      <c r="S1217" s="4">
        <v>9</v>
      </c>
      <c r="T1217" s="4">
        <v>9</v>
      </c>
      <c r="U1217" s="5" t="s">
        <v>6930</v>
      </c>
      <c r="V1217" s="5" t="s">
        <v>6930</v>
      </c>
      <c r="W1217" s="5" t="s">
        <v>67</v>
      </c>
      <c r="X1217" s="5" t="s">
        <v>67</v>
      </c>
      <c r="Y1217" s="4">
        <v>65</v>
      </c>
      <c r="Z1217" s="4">
        <v>3</v>
      </c>
      <c r="AA1217" s="4">
        <v>3</v>
      </c>
      <c r="AB1217" s="4">
        <v>1</v>
      </c>
      <c r="AC1217" s="4">
        <v>1</v>
      </c>
      <c r="AD1217" s="4">
        <v>20</v>
      </c>
      <c r="AE1217" s="4">
        <v>20</v>
      </c>
      <c r="AF1217" s="4">
        <v>0</v>
      </c>
      <c r="AG1217" s="4">
        <v>0</v>
      </c>
      <c r="AH1217" s="4">
        <v>19</v>
      </c>
      <c r="AI1217" s="4">
        <v>19</v>
      </c>
      <c r="AJ1217" s="4">
        <v>1</v>
      </c>
      <c r="AK1217" s="4">
        <v>1</v>
      </c>
      <c r="AL1217" s="4">
        <v>17</v>
      </c>
      <c r="AM1217" s="4">
        <v>17</v>
      </c>
      <c r="AN1217" s="4">
        <v>0</v>
      </c>
      <c r="AO1217" s="4">
        <v>0</v>
      </c>
      <c r="AP1217" s="4">
        <v>1</v>
      </c>
      <c r="AQ1217" s="4">
        <v>1</v>
      </c>
      <c r="AR1217" s="3" t="s">
        <v>62</v>
      </c>
      <c r="AS1217" s="3" t="s">
        <v>62</v>
      </c>
      <c r="AT1217" s="3" t="s">
        <v>61</v>
      </c>
      <c r="AU1217" s="6" t="str">
        <f>HYPERLINK("http://catalog.hathitrust.org/Record/003517236","HathiTrust Record")</f>
        <v>HathiTrust Record</v>
      </c>
      <c r="AV1217" s="6" t="str">
        <f>HYPERLINK("http://mcgill.on.worldcat.org/oclc/30688738","Catalog Record")</f>
        <v>Catalog Record</v>
      </c>
      <c r="AW1217" s="6" t="str">
        <f>HYPERLINK("http://www.worldcat.org/oclc/30688738","WorldCat Record")</f>
        <v>WorldCat Record</v>
      </c>
      <c r="AX1217" s="3" t="s">
        <v>12017</v>
      </c>
      <c r="AY1217" s="3" t="s">
        <v>12018</v>
      </c>
      <c r="AZ1217" s="3" t="s">
        <v>12019</v>
      </c>
      <c r="BA1217" s="3" t="s">
        <v>12019</v>
      </c>
      <c r="BB1217" s="3" t="s">
        <v>12020</v>
      </c>
      <c r="BC1217" s="3" t="s">
        <v>142</v>
      </c>
      <c r="BD1217" s="3" t="s">
        <v>308</v>
      </c>
      <c r="BE1217" s="3" t="s">
        <v>12021</v>
      </c>
      <c r="BF1217" s="3" t="s">
        <v>12020</v>
      </c>
      <c r="BG1217" s="3" t="s">
        <v>12022</v>
      </c>
    </row>
    <row r="1218" spans="1:59" ht="71.25" x14ac:dyDescent="0.45">
      <c r="A1218" s="2" t="s">
        <v>59</v>
      </c>
      <c r="B1218" s="2" t="s">
        <v>60</v>
      </c>
      <c r="C1218" s="2" t="s">
        <v>12023</v>
      </c>
      <c r="D1218" s="2" t="s">
        <v>12024</v>
      </c>
      <c r="E1218" s="2" t="s">
        <v>12025</v>
      </c>
      <c r="G1218" s="3" t="s">
        <v>62</v>
      </c>
      <c r="I1218" s="3" t="s">
        <v>62</v>
      </c>
      <c r="J1218" s="3" t="s">
        <v>62</v>
      </c>
      <c r="K1218" s="3" t="s">
        <v>63</v>
      </c>
      <c r="L1218" s="2" t="s">
        <v>12026</v>
      </c>
      <c r="M1218" s="2" t="s">
        <v>12027</v>
      </c>
      <c r="N1218" s="3" t="s">
        <v>5180</v>
      </c>
      <c r="P1218" s="3" t="s">
        <v>326</v>
      </c>
      <c r="Q1218" s="2" t="s">
        <v>12028</v>
      </c>
      <c r="R1218" s="3" t="s">
        <v>66</v>
      </c>
      <c r="S1218" s="4">
        <v>0</v>
      </c>
      <c r="T1218" s="4">
        <v>0</v>
      </c>
      <c r="W1218" s="5" t="s">
        <v>67</v>
      </c>
      <c r="X1218" s="5" t="s">
        <v>67</v>
      </c>
      <c r="Y1218" s="4">
        <v>30</v>
      </c>
      <c r="Z1218" s="4">
        <v>3</v>
      </c>
      <c r="AA1218" s="4">
        <v>6</v>
      </c>
      <c r="AB1218" s="4">
        <v>1</v>
      </c>
      <c r="AC1218" s="4">
        <v>4</v>
      </c>
      <c r="AD1218" s="4">
        <v>22</v>
      </c>
      <c r="AE1218" s="4">
        <v>28</v>
      </c>
      <c r="AF1218" s="4">
        <v>0</v>
      </c>
      <c r="AG1218" s="4">
        <v>1</v>
      </c>
      <c r="AH1218" s="4">
        <v>21</v>
      </c>
      <c r="AI1218" s="4">
        <v>26</v>
      </c>
      <c r="AJ1218" s="4">
        <v>2</v>
      </c>
      <c r="AK1218" s="4">
        <v>3</v>
      </c>
      <c r="AL1218" s="4">
        <v>17</v>
      </c>
      <c r="AM1218" s="4">
        <v>20</v>
      </c>
      <c r="AN1218" s="4">
        <v>0</v>
      </c>
      <c r="AO1218" s="4">
        <v>0</v>
      </c>
      <c r="AP1218" s="4">
        <v>2</v>
      </c>
      <c r="AQ1218" s="4">
        <v>2</v>
      </c>
      <c r="AR1218" s="3" t="s">
        <v>62</v>
      </c>
      <c r="AS1218" s="3" t="s">
        <v>62</v>
      </c>
      <c r="AT1218" s="3" t="s">
        <v>62</v>
      </c>
      <c r="AV1218" s="6" t="str">
        <f>HYPERLINK("http://mcgill.on.worldcat.org/oclc/1045483429","Catalog Record")</f>
        <v>Catalog Record</v>
      </c>
      <c r="AW1218" s="6" t="str">
        <f>HYPERLINK("http://www.worldcat.org/oclc/1045483429","WorldCat Record")</f>
        <v>WorldCat Record</v>
      </c>
      <c r="AX1218" s="3" t="s">
        <v>12029</v>
      </c>
      <c r="AY1218" s="3" t="s">
        <v>12030</v>
      </c>
      <c r="AZ1218" s="3" t="s">
        <v>12031</v>
      </c>
      <c r="BA1218" s="3" t="s">
        <v>12031</v>
      </c>
      <c r="BB1218" s="3" t="s">
        <v>12032</v>
      </c>
      <c r="BC1218" s="3" t="s">
        <v>142</v>
      </c>
      <c r="BD1218" s="3" t="s">
        <v>68</v>
      </c>
      <c r="BE1218" s="3" t="s">
        <v>12033</v>
      </c>
      <c r="BF1218" s="3" t="s">
        <v>12032</v>
      </c>
      <c r="BG1218" s="3" t="s">
        <v>12034</v>
      </c>
    </row>
    <row r="1219" spans="1:59" ht="57" x14ac:dyDescent="0.45">
      <c r="A1219" s="2" t="s">
        <v>59</v>
      </c>
      <c r="B1219" s="2" t="s">
        <v>60</v>
      </c>
      <c r="C1219" s="2" t="s">
        <v>12035</v>
      </c>
      <c r="D1219" s="2" t="s">
        <v>12036</v>
      </c>
      <c r="E1219" s="2" t="s">
        <v>12037</v>
      </c>
      <c r="G1219" s="3" t="s">
        <v>62</v>
      </c>
      <c r="I1219" s="3" t="s">
        <v>62</v>
      </c>
      <c r="J1219" s="3" t="s">
        <v>62</v>
      </c>
      <c r="K1219" s="3" t="s">
        <v>63</v>
      </c>
      <c r="M1219" s="2" t="s">
        <v>12038</v>
      </c>
      <c r="N1219" s="3" t="s">
        <v>125</v>
      </c>
      <c r="P1219" s="3" t="s">
        <v>65</v>
      </c>
      <c r="R1219" s="3" t="s">
        <v>66</v>
      </c>
      <c r="S1219" s="4">
        <v>42</v>
      </c>
      <c r="T1219" s="4">
        <v>42</v>
      </c>
      <c r="U1219" s="5" t="s">
        <v>12039</v>
      </c>
      <c r="V1219" s="5" t="s">
        <v>12039</v>
      </c>
      <c r="W1219" s="5" t="s">
        <v>67</v>
      </c>
      <c r="X1219" s="5" t="s">
        <v>67</v>
      </c>
      <c r="Y1219" s="4">
        <v>375</v>
      </c>
      <c r="Z1219" s="4">
        <v>27</v>
      </c>
      <c r="AA1219" s="4">
        <v>44</v>
      </c>
      <c r="AB1219" s="4">
        <v>2</v>
      </c>
      <c r="AC1219" s="4">
        <v>7</v>
      </c>
      <c r="AD1219" s="4">
        <v>103</v>
      </c>
      <c r="AE1219" s="4">
        <v>121</v>
      </c>
      <c r="AF1219" s="4">
        <v>1</v>
      </c>
      <c r="AG1219" s="4">
        <v>3</v>
      </c>
      <c r="AH1219" s="4">
        <v>88</v>
      </c>
      <c r="AI1219" s="4">
        <v>98</v>
      </c>
      <c r="AJ1219" s="4">
        <v>17</v>
      </c>
      <c r="AK1219" s="4">
        <v>24</v>
      </c>
      <c r="AL1219" s="4">
        <v>51</v>
      </c>
      <c r="AM1219" s="4">
        <v>55</v>
      </c>
      <c r="AN1219" s="4">
        <v>0</v>
      </c>
      <c r="AO1219" s="4">
        <v>1</v>
      </c>
      <c r="AP1219" s="4">
        <v>20</v>
      </c>
      <c r="AQ1219" s="4">
        <v>30</v>
      </c>
      <c r="AR1219" s="3" t="s">
        <v>62</v>
      </c>
      <c r="AS1219" s="3" t="s">
        <v>62</v>
      </c>
      <c r="AT1219" s="3" t="s">
        <v>62</v>
      </c>
      <c r="AV1219" s="6" t="str">
        <f>HYPERLINK("http://mcgill.on.worldcat.org/oclc/22489346","Catalog Record")</f>
        <v>Catalog Record</v>
      </c>
      <c r="AW1219" s="6" t="str">
        <f>HYPERLINK("http://www.worldcat.org/oclc/22489346","WorldCat Record")</f>
        <v>WorldCat Record</v>
      </c>
      <c r="AX1219" s="3" t="s">
        <v>12040</v>
      </c>
      <c r="AY1219" s="3" t="s">
        <v>12041</v>
      </c>
      <c r="AZ1219" s="3" t="s">
        <v>12042</v>
      </c>
      <c r="BA1219" s="3" t="s">
        <v>12042</v>
      </c>
      <c r="BB1219" s="3" t="s">
        <v>12043</v>
      </c>
      <c r="BC1219" s="3" t="s">
        <v>142</v>
      </c>
      <c r="BD1219" s="3" t="s">
        <v>68</v>
      </c>
      <c r="BE1219" s="3" t="s">
        <v>12044</v>
      </c>
      <c r="BF1219" s="3" t="s">
        <v>12043</v>
      </c>
      <c r="BG1219" s="3" t="s">
        <v>12045</v>
      </c>
    </row>
    <row r="1220" spans="1:59" ht="57" x14ac:dyDescent="0.45">
      <c r="A1220" s="2" t="s">
        <v>59</v>
      </c>
      <c r="B1220" s="2" t="s">
        <v>60</v>
      </c>
      <c r="C1220" s="2" t="s">
        <v>12046</v>
      </c>
      <c r="D1220" s="2" t="s">
        <v>12047</v>
      </c>
      <c r="E1220" s="2" t="s">
        <v>12048</v>
      </c>
      <c r="G1220" s="3" t="s">
        <v>62</v>
      </c>
      <c r="I1220" s="3" t="s">
        <v>62</v>
      </c>
      <c r="J1220" s="3" t="s">
        <v>62</v>
      </c>
      <c r="K1220" s="3" t="s">
        <v>63</v>
      </c>
      <c r="L1220" s="2" t="s">
        <v>12049</v>
      </c>
      <c r="M1220" s="2" t="s">
        <v>12050</v>
      </c>
      <c r="N1220" s="3" t="s">
        <v>918</v>
      </c>
      <c r="P1220" s="3" t="s">
        <v>65</v>
      </c>
      <c r="Q1220" s="2" t="s">
        <v>12051</v>
      </c>
      <c r="R1220" s="3" t="s">
        <v>66</v>
      </c>
      <c r="S1220" s="4">
        <v>1</v>
      </c>
      <c r="T1220" s="4">
        <v>1</v>
      </c>
      <c r="U1220" s="5" t="s">
        <v>12052</v>
      </c>
      <c r="V1220" s="5" t="s">
        <v>12052</v>
      </c>
      <c r="W1220" s="5" t="s">
        <v>67</v>
      </c>
      <c r="X1220" s="5" t="s">
        <v>67</v>
      </c>
      <c r="Y1220" s="4">
        <v>193</v>
      </c>
      <c r="Z1220" s="4">
        <v>22</v>
      </c>
      <c r="AA1220" s="4">
        <v>107</v>
      </c>
      <c r="AB1220" s="4">
        <v>2</v>
      </c>
      <c r="AC1220" s="4">
        <v>21</v>
      </c>
      <c r="AD1220" s="4">
        <v>97</v>
      </c>
      <c r="AE1220" s="4">
        <v>148</v>
      </c>
      <c r="AF1220" s="4">
        <v>1</v>
      </c>
      <c r="AG1220" s="4">
        <v>9</v>
      </c>
      <c r="AH1220" s="4">
        <v>86</v>
      </c>
      <c r="AI1220" s="4">
        <v>101</v>
      </c>
      <c r="AJ1220" s="4">
        <v>17</v>
      </c>
      <c r="AK1220" s="4">
        <v>28</v>
      </c>
      <c r="AL1220" s="4">
        <v>50</v>
      </c>
      <c r="AM1220" s="4">
        <v>55</v>
      </c>
      <c r="AN1220" s="4">
        <v>0</v>
      </c>
      <c r="AO1220" s="4">
        <v>0</v>
      </c>
      <c r="AP1220" s="4">
        <v>17</v>
      </c>
      <c r="AQ1220" s="4">
        <v>55</v>
      </c>
      <c r="AR1220" s="3" t="s">
        <v>61</v>
      </c>
      <c r="AS1220" s="3" t="s">
        <v>62</v>
      </c>
      <c r="AT1220" s="3" t="s">
        <v>62</v>
      </c>
      <c r="AV1220" s="6" t="str">
        <f>HYPERLINK("http://mcgill.on.worldcat.org/oclc/53162044","Catalog Record")</f>
        <v>Catalog Record</v>
      </c>
      <c r="AW1220" s="6" t="str">
        <f>HYPERLINK("http://www.worldcat.org/oclc/53162044","WorldCat Record")</f>
        <v>WorldCat Record</v>
      </c>
      <c r="AX1220" s="3" t="s">
        <v>12053</v>
      </c>
      <c r="AY1220" s="3" t="s">
        <v>12054</v>
      </c>
      <c r="AZ1220" s="3" t="s">
        <v>12055</v>
      </c>
      <c r="BA1220" s="3" t="s">
        <v>12055</v>
      </c>
      <c r="BB1220" s="3" t="s">
        <v>12056</v>
      </c>
      <c r="BC1220" s="3" t="s">
        <v>142</v>
      </c>
      <c r="BD1220" s="3" t="s">
        <v>68</v>
      </c>
      <c r="BE1220" s="3" t="s">
        <v>12057</v>
      </c>
      <c r="BF1220" s="3" t="s">
        <v>12056</v>
      </c>
      <c r="BG1220" s="3" t="s">
        <v>12058</v>
      </c>
    </row>
    <row r="1221" spans="1:59" ht="57" x14ac:dyDescent="0.45">
      <c r="A1221" s="2" t="s">
        <v>59</v>
      </c>
      <c r="B1221" s="2" t="s">
        <v>60</v>
      </c>
      <c r="C1221" s="2" t="s">
        <v>12059</v>
      </c>
      <c r="D1221" s="2" t="s">
        <v>12060</v>
      </c>
      <c r="E1221" s="2" t="s">
        <v>12061</v>
      </c>
      <c r="G1221" s="3" t="s">
        <v>62</v>
      </c>
      <c r="I1221" s="3" t="s">
        <v>62</v>
      </c>
      <c r="J1221" s="3" t="s">
        <v>62</v>
      </c>
      <c r="K1221" s="3" t="s">
        <v>63</v>
      </c>
      <c r="L1221" s="2" t="s">
        <v>12062</v>
      </c>
      <c r="M1221" s="2" t="s">
        <v>8957</v>
      </c>
      <c r="N1221" s="3" t="s">
        <v>1155</v>
      </c>
      <c r="O1221" s="2" t="s">
        <v>168</v>
      </c>
      <c r="P1221" s="3" t="s">
        <v>65</v>
      </c>
      <c r="Q1221" s="2" t="s">
        <v>12063</v>
      </c>
      <c r="R1221" s="3" t="s">
        <v>66</v>
      </c>
      <c r="S1221" s="4">
        <v>0</v>
      </c>
      <c r="T1221" s="4">
        <v>0</v>
      </c>
      <c r="W1221" s="5" t="s">
        <v>67</v>
      </c>
      <c r="X1221" s="5" t="s">
        <v>67</v>
      </c>
      <c r="Y1221" s="4">
        <v>92</v>
      </c>
      <c r="Z1221" s="4">
        <v>12</v>
      </c>
      <c r="AA1221" s="4">
        <v>45</v>
      </c>
      <c r="AB1221" s="4">
        <v>1</v>
      </c>
      <c r="AC1221" s="4">
        <v>5</v>
      </c>
      <c r="AD1221" s="4">
        <v>45</v>
      </c>
      <c r="AE1221" s="4">
        <v>66</v>
      </c>
      <c r="AF1221" s="4">
        <v>0</v>
      </c>
      <c r="AG1221" s="4">
        <v>1</v>
      </c>
      <c r="AH1221" s="4">
        <v>42</v>
      </c>
      <c r="AI1221" s="4">
        <v>52</v>
      </c>
      <c r="AJ1221" s="4">
        <v>9</v>
      </c>
      <c r="AK1221" s="4">
        <v>14</v>
      </c>
      <c r="AL1221" s="4">
        <v>25</v>
      </c>
      <c r="AM1221" s="4">
        <v>33</v>
      </c>
      <c r="AN1221" s="4">
        <v>0</v>
      </c>
      <c r="AO1221" s="4">
        <v>0</v>
      </c>
      <c r="AP1221" s="4">
        <v>9</v>
      </c>
      <c r="AQ1221" s="4">
        <v>19</v>
      </c>
      <c r="AR1221" s="3" t="s">
        <v>62</v>
      </c>
      <c r="AS1221" s="3" t="s">
        <v>62</v>
      </c>
      <c r="AT1221" s="3" t="s">
        <v>62</v>
      </c>
      <c r="AV1221" s="6" t="str">
        <f>HYPERLINK("http://mcgill.on.worldcat.org/oclc/769987256","Catalog Record")</f>
        <v>Catalog Record</v>
      </c>
      <c r="AW1221" s="6" t="str">
        <f>HYPERLINK("http://www.worldcat.org/oclc/769987256","WorldCat Record")</f>
        <v>WorldCat Record</v>
      </c>
      <c r="AX1221" s="3" t="s">
        <v>12064</v>
      </c>
      <c r="AY1221" s="3" t="s">
        <v>12065</v>
      </c>
      <c r="AZ1221" s="3" t="s">
        <v>12066</v>
      </c>
      <c r="BA1221" s="3" t="s">
        <v>12066</v>
      </c>
      <c r="BB1221" s="3" t="s">
        <v>12067</v>
      </c>
      <c r="BC1221" s="3" t="s">
        <v>142</v>
      </c>
      <c r="BD1221" s="3" t="s">
        <v>68</v>
      </c>
      <c r="BE1221" s="3" t="s">
        <v>12068</v>
      </c>
      <c r="BF1221" s="3" t="s">
        <v>12067</v>
      </c>
      <c r="BG1221" s="3" t="s">
        <v>12069</v>
      </c>
    </row>
    <row r="1222" spans="1:59" ht="57" x14ac:dyDescent="0.45">
      <c r="A1222" s="2" t="s">
        <v>59</v>
      </c>
      <c r="B1222" s="2" t="s">
        <v>60</v>
      </c>
      <c r="C1222" s="2" t="s">
        <v>12070</v>
      </c>
      <c r="D1222" s="2" t="s">
        <v>12071</v>
      </c>
      <c r="E1222" s="2" t="s">
        <v>12072</v>
      </c>
      <c r="G1222" s="3" t="s">
        <v>62</v>
      </c>
      <c r="I1222" s="3" t="s">
        <v>62</v>
      </c>
      <c r="J1222" s="3" t="s">
        <v>62</v>
      </c>
      <c r="K1222" s="3" t="s">
        <v>63</v>
      </c>
      <c r="L1222" s="2" t="s">
        <v>12073</v>
      </c>
      <c r="M1222" s="2" t="s">
        <v>996</v>
      </c>
      <c r="N1222" s="3" t="s">
        <v>167</v>
      </c>
      <c r="P1222" s="3" t="s">
        <v>65</v>
      </c>
      <c r="R1222" s="3" t="s">
        <v>66</v>
      </c>
      <c r="S1222" s="4">
        <v>22</v>
      </c>
      <c r="T1222" s="4">
        <v>22</v>
      </c>
      <c r="U1222" s="5" t="s">
        <v>3268</v>
      </c>
      <c r="V1222" s="5" t="s">
        <v>3268</v>
      </c>
      <c r="W1222" s="5" t="s">
        <v>67</v>
      </c>
      <c r="X1222" s="5" t="s">
        <v>67</v>
      </c>
      <c r="Y1222" s="4">
        <v>317</v>
      </c>
      <c r="Z1222" s="4">
        <v>37</v>
      </c>
      <c r="AA1222" s="4">
        <v>131</v>
      </c>
      <c r="AB1222" s="4">
        <v>4</v>
      </c>
      <c r="AC1222" s="4">
        <v>22</v>
      </c>
      <c r="AD1222" s="4">
        <v>105</v>
      </c>
      <c r="AE1222" s="4">
        <v>154</v>
      </c>
      <c r="AF1222" s="4">
        <v>2</v>
      </c>
      <c r="AG1222" s="4">
        <v>9</v>
      </c>
      <c r="AH1222" s="4">
        <v>89</v>
      </c>
      <c r="AI1222" s="4">
        <v>106</v>
      </c>
      <c r="AJ1222" s="4">
        <v>21</v>
      </c>
      <c r="AK1222" s="4">
        <v>29</v>
      </c>
      <c r="AL1222" s="4">
        <v>50</v>
      </c>
      <c r="AM1222" s="4">
        <v>53</v>
      </c>
      <c r="AN1222" s="4">
        <v>0</v>
      </c>
      <c r="AO1222" s="4">
        <v>0</v>
      </c>
      <c r="AP1222" s="4">
        <v>24</v>
      </c>
      <c r="AQ1222" s="4">
        <v>57</v>
      </c>
      <c r="AR1222" s="3" t="s">
        <v>62</v>
      </c>
      <c r="AS1222" s="3" t="s">
        <v>62</v>
      </c>
      <c r="AT1222" s="3" t="s">
        <v>62</v>
      </c>
      <c r="AV1222" s="6" t="str">
        <f>HYPERLINK("http://mcgill.on.worldcat.org/oclc/40255932","Catalog Record")</f>
        <v>Catalog Record</v>
      </c>
      <c r="AW1222" s="6" t="str">
        <f>HYPERLINK("http://www.worldcat.org/oclc/40255932","WorldCat Record")</f>
        <v>WorldCat Record</v>
      </c>
      <c r="AX1222" s="3" t="s">
        <v>12074</v>
      </c>
      <c r="AY1222" s="3" t="s">
        <v>12075</v>
      </c>
      <c r="AZ1222" s="3" t="s">
        <v>12076</v>
      </c>
      <c r="BA1222" s="3" t="s">
        <v>12076</v>
      </c>
      <c r="BB1222" s="3" t="s">
        <v>12077</v>
      </c>
      <c r="BC1222" s="3" t="s">
        <v>142</v>
      </c>
      <c r="BD1222" s="3" t="s">
        <v>68</v>
      </c>
      <c r="BE1222" s="3" t="s">
        <v>12078</v>
      </c>
      <c r="BF1222" s="3" t="s">
        <v>12077</v>
      </c>
      <c r="BG1222" s="3" t="s">
        <v>12079</v>
      </c>
    </row>
    <row r="1223" spans="1:59" ht="57" x14ac:dyDescent="0.45">
      <c r="A1223" s="2" t="s">
        <v>59</v>
      </c>
      <c r="B1223" s="2" t="s">
        <v>60</v>
      </c>
      <c r="C1223" s="2" t="s">
        <v>12080</v>
      </c>
      <c r="D1223" s="2" t="s">
        <v>12081</v>
      </c>
      <c r="E1223" s="2" t="s">
        <v>12082</v>
      </c>
      <c r="G1223" s="3" t="s">
        <v>62</v>
      </c>
      <c r="I1223" s="3" t="s">
        <v>61</v>
      </c>
      <c r="J1223" s="3" t="s">
        <v>62</v>
      </c>
      <c r="K1223" s="3" t="s">
        <v>63</v>
      </c>
      <c r="L1223" s="2" t="s">
        <v>12083</v>
      </c>
      <c r="M1223" s="2" t="s">
        <v>12084</v>
      </c>
      <c r="N1223" s="3" t="s">
        <v>127</v>
      </c>
      <c r="P1223" s="3" t="s">
        <v>65</v>
      </c>
      <c r="R1223" s="3" t="s">
        <v>66</v>
      </c>
      <c r="S1223" s="4">
        <v>3</v>
      </c>
      <c r="T1223" s="4">
        <v>35</v>
      </c>
      <c r="U1223" s="5" t="s">
        <v>12085</v>
      </c>
      <c r="V1223" s="5" t="s">
        <v>12086</v>
      </c>
      <c r="W1223" s="5" t="s">
        <v>67</v>
      </c>
      <c r="X1223" s="5" t="s">
        <v>67</v>
      </c>
      <c r="Y1223" s="4">
        <v>724</v>
      </c>
      <c r="Z1223" s="4">
        <v>56</v>
      </c>
      <c r="AA1223" s="4">
        <v>61</v>
      </c>
      <c r="AB1223" s="4">
        <v>3</v>
      </c>
      <c r="AC1223" s="4">
        <v>6</v>
      </c>
      <c r="AD1223" s="4">
        <v>122</v>
      </c>
      <c r="AE1223" s="4">
        <v>127</v>
      </c>
      <c r="AF1223" s="4">
        <v>1</v>
      </c>
      <c r="AG1223" s="4">
        <v>4</v>
      </c>
      <c r="AH1223" s="4">
        <v>97</v>
      </c>
      <c r="AI1223" s="4">
        <v>98</v>
      </c>
      <c r="AJ1223" s="4">
        <v>18</v>
      </c>
      <c r="AK1223" s="4">
        <v>20</v>
      </c>
      <c r="AL1223" s="4">
        <v>55</v>
      </c>
      <c r="AM1223" s="4">
        <v>55</v>
      </c>
      <c r="AN1223" s="4">
        <v>0</v>
      </c>
      <c r="AO1223" s="4">
        <v>0</v>
      </c>
      <c r="AP1223" s="4">
        <v>31</v>
      </c>
      <c r="AQ1223" s="4">
        <v>35</v>
      </c>
      <c r="AR1223" s="3" t="s">
        <v>62</v>
      </c>
      <c r="AS1223" s="3" t="s">
        <v>62</v>
      </c>
      <c r="AT1223" s="3" t="s">
        <v>61</v>
      </c>
      <c r="AU1223" s="6" t="str">
        <f t="shared" ref="AU1223:AU1230" si="16">HYPERLINK("http://catalog.hathitrust.org/Record/001898912","HathiTrust Record")</f>
        <v>HathiTrust Record</v>
      </c>
      <c r="AV1223" s="6" t="str">
        <f t="shared" ref="AV1223:AV1230" si="17">HYPERLINK("http://mcgill.on.worldcat.org/oclc/306884","Catalog Record")</f>
        <v>Catalog Record</v>
      </c>
      <c r="AW1223" s="6" t="str">
        <f t="shared" ref="AW1223:AW1230" si="18">HYPERLINK("http://www.worldcat.org/oclc/306884","WorldCat Record")</f>
        <v>WorldCat Record</v>
      </c>
      <c r="AX1223" s="3" t="s">
        <v>12087</v>
      </c>
      <c r="AY1223" s="3" t="s">
        <v>12088</v>
      </c>
      <c r="AZ1223" s="3" t="s">
        <v>12089</v>
      </c>
      <c r="BA1223" s="3" t="s">
        <v>12089</v>
      </c>
      <c r="BB1223" s="3" t="s">
        <v>12090</v>
      </c>
      <c r="BC1223" s="3" t="s">
        <v>142</v>
      </c>
      <c r="BD1223" s="3" t="s">
        <v>68</v>
      </c>
      <c r="BF1223" s="3" t="s">
        <v>12090</v>
      </c>
      <c r="BG1223" s="3" t="s">
        <v>12091</v>
      </c>
    </row>
    <row r="1224" spans="1:59" ht="57" x14ac:dyDescent="0.45">
      <c r="A1224" s="2" t="s">
        <v>59</v>
      </c>
      <c r="B1224" s="2" t="s">
        <v>60</v>
      </c>
      <c r="C1224" s="2" t="s">
        <v>12080</v>
      </c>
      <c r="D1224" s="2" t="s">
        <v>12081</v>
      </c>
      <c r="E1224" s="2" t="s">
        <v>12082</v>
      </c>
      <c r="G1224" s="3" t="s">
        <v>62</v>
      </c>
      <c r="I1224" s="3" t="s">
        <v>61</v>
      </c>
      <c r="J1224" s="3" t="s">
        <v>62</v>
      </c>
      <c r="K1224" s="3" t="s">
        <v>63</v>
      </c>
      <c r="L1224" s="2" t="s">
        <v>12083</v>
      </c>
      <c r="M1224" s="2" t="s">
        <v>12084</v>
      </c>
      <c r="N1224" s="3" t="s">
        <v>127</v>
      </c>
      <c r="P1224" s="3" t="s">
        <v>65</v>
      </c>
      <c r="R1224" s="3" t="s">
        <v>66</v>
      </c>
      <c r="S1224" s="4">
        <v>4</v>
      </c>
      <c r="T1224" s="4">
        <v>35</v>
      </c>
      <c r="U1224" s="5" t="s">
        <v>12092</v>
      </c>
      <c r="V1224" s="5" t="s">
        <v>12086</v>
      </c>
      <c r="W1224" s="5" t="s">
        <v>67</v>
      </c>
      <c r="X1224" s="5" t="s">
        <v>67</v>
      </c>
      <c r="Y1224" s="4">
        <v>724</v>
      </c>
      <c r="Z1224" s="4">
        <v>56</v>
      </c>
      <c r="AA1224" s="4">
        <v>61</v>
      </c>
      <c r="AB1224" s="4">
        <v>3</v>
      </c>
      <c r="AC1224" s="4">
        <v>6</v>
      </c>
      <c r="AD1224" s="4">
        <v>122</v>
      </c>
      <c r="AE1224" s="4">
        <v>127</v>
      </c>
      <c r="AF1224" s="4">
        <v>1</v>
      </c>
      <c r="AG1224" s="4">
        <v>4</v>
      </c>
      <c r="AH1224" s="4">
        <v>97</v>
      </c>
      <c r="AI1224" s="4">
        <v>98</v>
      </c>
      <c r="AJ1224" s="4">
        <v>18</v>
      </c>
      <c r="AK1224" s="4">
        <v>20</v>
      </c>
      <c r="AL1224" s="4">
        <v>55</v>
      </c>
      <c r="AM1224" s="4">
        <v>55</v>
      </c>
      <c r="AN1224" s="4">
        <v>0</v>
      </c>
      <c r="AO1224" s="4">
        <v>0</v>
      </c>
      <c r="AP1224" s="4">
        <v>31</v>
      </c>
      <c r="AQ1224" s="4">
        <v>35</v>
      </c>
      <c r="AR1224" s="3" t="s">
        <v>62</v>
      </c>
      <c r="AS1224" s="3" t="s">
        <v>62</v>
      </c>
      <c r="AT1224" s="3" t="s">
        <v>61</v>
      </c>
      <c r="AU1224" s="6" t="str">
        <f t="shared" si="16"/>
        <v>HathiTrust Record</v>
      </c>
      <c r="AV1224" s="6" t="str">
        <f t="shared" si="17"/>
        <v>Catalog Record</v>
      </c>
      <c r="AW1224" s="6" t="str">
        <f t="shared" si="18"/>
        <v>WorldCat Record</v>
      </c>
      <c r="AX1224" s="3" t="s">
        <v>12087</v>
      </c>
      <c r="AY1224" s="3" t="s">
        <v>12088</v>
      </c>
      <c r="AZ1224" s="3" t="s">
        <v>12089</v>
      </c>
      <c r="BA1224" s="3" t="s">
        <v>12089</v>
      </c>
      <c r="BB1224" s="3" t="s">
        <v>12093</v>
      </c>
      <c r="BC1224" s="3" t="s">
        <v>142</v>
      </c>
      <c r="BD1224" s="3" t="s">
        <v>68</v>
      </c>
      <c r="BF1224" s="3" t="s">
        <v>12093</v>
      </c>
      <c r="BG1224" s="3" t="s">
        <v>12094</v>
      </c>
    </row>
    <row r="1225" spans="1:59" ht="57" x14ac:dyDescent="0.45">
      <c r="A1225" s="2" t="s">
        <v>59</v>
      </c>
      <c r="B1225" s="2" t="s">
        <v>60</v>
      </c>
      <c r="C1225" s="2" t="s">
        <v>12080</v>
      </c>
      <c r="D1225" s="2" t="s">
        <v>12081</v>
      </c>
      <c r="E1225" s="2" t="s">
        <v>12082</v>
      </c>
      <c r="G1225" s="3" t="s">
        <v>62</v>
      </c>
      <c r="I1225" s="3" t="s">
        <v>61</v>
      </c>
      <c r="J1225" s="3" t="s">
        <v>62</v>
      </c>
      <c r="K1225" s="3" t="s">
        <v>63</v>
      </c>
      <c r="L1225" s="2" t="s">
        <v>12083</v>
      </c>
      <c r="M1225" s="2" t="s">
        <v>12084</v>
      </c>
      <c r="N1225" s="3" t="s">
        <v>127</v>
      </c>
      <c r="P1225" s="3" t="s">
        <v>65</v>
      </c>
      <c r="R1225" s="3" t="s">
        <v>66</v>
      </c>
      <c r="S1225" s="4">
        <v>17</v>
      </c>
      <c r="T1225" s="4">
        <v>35</v>
      </c>
      <c r="U1225" s="5" t="s">
        <v>12086</v>
      </c>
      <c r="V1225" s="5" t="s">
        <v>12086</v>
      </c>
      <c r="W1225" s="5" t="s">
        <v>67</v>
      </c>
      <c r="X1225" s="5" t="s">
        <v>67</v>
      </c>
      <c r="Y1225" s="4">
        <v>724</v>
      </c>
      <c r="Z1225" s="4">
        <v>56</v>
      </c>
      <c r="AA1225" s="4">
        <v>61</v>
      </c>
      <c r="AB1225" s="4">
        <v>3</v>
      </c>
      <c r="AC1225" s="4">
        <v>6</v>
      </c>
      <c r="AD1225" s="4">
        <v>122</v>
      </c>
      <c r="AE1225" s="4">
        <v>127</v>
      </c>
      <c r="AF1225" s="4">
        <v>1</v>
      </c>
      <c r="AG1225" s="4">
        <v>4</v>
      </c>
      <c r="AH1225" s="4">
        <v>97</v>
      </c>
      <c r="AI1225" s="4">
        <v>98</v>
      </c>
      <c r="AJ1225" s="4">
        <v>18</v>
      </c>
      <c r="AK1225" s="4">
        <v>20</v>
      </c>
      <c r="AL1225" s="4">
        <v>55</v>
      </c>
      <c r="AM1225" s="4">
        <v>55</v>
      </c>
      <c r="AN1225" s="4">
        <v>0</v>
      </c>
      <c r="AO1225" s="4">
        <v>0</v>
      </c>
      <c r="AP1225" s="4">
        <v>31</v>
      </c>
      <c r="AQ1225" s="4">
        <v>35</v>
      </c>
      <c r="AR1225" s="3" t="s">
        <v>62</v>
      </c>
      <c r="AS1225" s="3" t="s">
        <v>62</v>
      </c>
      <c r="AT1225" s="3" t="s">
        <v>61</v>
      </c>
      <c r="AU1225" s="6" t="str">
        <f t="shared" si="16"/>
        <v>HathiTrust Record</v>
      </c>
      <c r="AV1225" s="6" t="str">
        <f t="shared" si="17"/>
        <v>Catalog Record</v>
      </c>
      <c r="AW1225" s="6" t="str">
        <f t="shared" si="18"/>
        <v>WorldCat Record</v>
      </c>
      <c r="AX1225" s="3" t="s">
        <v>12087</v>
      </c>
      <c r="AY1225" s="3" t="s">
        <v>12088</v>
      </c>
      <c r="AZ1225" s="3" t="s">
        <v>12089</v>
      </c>
      <c r="BA1225" s="3" t="s">
        <v>12089</v>
      </c>
      <c r="BB1225" s="3" t="s">
        <v>12095</v>
      </c>
      <c r="BC1225" s="3" t="s">
        <v>142</v>
      </c>
      <c r="BD1225" s="3" t="s">
        <v>68</v>
      </c>
      <c r="BF1225" s="3" t="s">
        <v>12095</v>
      </c>
      <c r="BG1225" s="3" t="s">
        <v>12096</v>
      </c>
    </row>
    <row r="1226" spans="1:59" ht="57" x14ac:dyDescent="0.45">
      <c r="A1226" s="2" t="s">
        <v>59</v>
      </c>
      <c r="B1226" s="2" t="s">
        <v>60</v>
      </c>
      <c r="C1226" s="2" t="s">
        <v>12080</v>
      </c>
      <c r="D1226" s="2" t="s">
        <v>12081</v>
      </c>
      <c r="E1226" s="2" t="s">
        <v>12082</v>
      </c>
      <c r="G1226" s="3" t="s">
        <v>62</v>
      </c>
      <c r="I1226" s="3" t="s">
        <v>61</v>
      </c>
      <c r="J1226" s="3" t="s">
        <v>62</v>
      </c>
      <c r="K1226" s="3" t="s">
        <v>63</v>
      </c>
      <c r="L1226" s="2" t="s">
        <v>12083</v>
      </c>
      <c r="M1226" s="2" t="s">
        <v>12084</v>
      </c>
      <c r="N1226" s="3" t="s">
        <v>127</v>
      </c>
      <c r="P1226" s="3" t="s">
        <v>65</v>
      </c>
      <c r="R1226" s="3" t="s">
        <v>66</v>
      </c>
      <c r="S1226" s="4">
        <v>0</v>
      </c>
      <c r="T1226" s="4">
        <v>35</v>
      </c>
      <c r="V1226" s="5" t="s">
        <v>12086</v>
      </c>
      <c r="W1226" s="5" t="s">
        <v>67</v>
      </c>
      <c r="X1226" s="5" t="s">
        <v>67</v>
      </c>
      <c r="Y1226" s="4">
        <v>724</v>
      </c>
      <c r="Z1226" s="4">
        <v>56</v>
      </c>
      <c r="AA1226" s="4">
        <v>61</v>
      </c>
      <c r="AB1226" s="4">
        <v>3</v>
      </c>
      <c r="AC1226" s="4">
        <v>6</v>
      </c>
      <c r="AD1226" s="4">
        <v>122</v>
      </c>
      <c r="AE1226" s="4">
        <v>127</v>
      </c>
      <c r="AF1226" s="4">
        <v>1</v>
      </c>
      <c r="AG1226" s="4">
        <v>4</v>
      </c>
      <c r="AH1226" s="4">
        <v>97</v>
      </c>
      <c r="AI1226" s="4">
        <v>98</v>
      </c>
      <c r="AJ1226" s="4">
        <v>18</v>
      </c>
      <c r="AK1226" s="4">
        <v>20</v>
      </c>
      <c r="AL1226" s="4">
        <v>55</v>
      </c>
      <c r="AM1226" s="4">
        <v>55</v>
      </c>
      <c r="AN1226" s="4">
        <v>0</v>
      </c>
      <c r="AO1226" s="4">
        <v>0</v>
      </c>
      <c r="AP1226" s="4">
        <v>31</v>
      </c>
      <c r="AQ1226" s="4">
        <v>35</v>
      </c>
      <c r="AR1226" s="3" t="s">
        <v>62</v>
      </c>
      <c r="AS1226" s="3" t="s">
        <v>62</v>
      </c>
      <c r="AT1226" s="3" t="s">
        <v>61</v>
      </c>
      <c r="AU1226" s="6" t="str">
        <f t="shared" si="16"/>
        <v>HathiTrust Record</v>
      </c>
      <c r="AV1226" s="6" t="str">
        <f t="shared" si="17"/>
        <v>Catalog Record</v>
      </c>
      <c r="AW1226" s="6" t="str">
        <f t="shared" si="18"/>
        <v>WorldCat Record</v>
      </c>
      <c r="AX1226" s="3" t="s">
        <v>12087</v>
      </c>
      <c r="AY1226" s="3" t="s">
        <v>12088</v>
      </c>
      <c r="AZ1226" s="3" t="s">
        <v>12089</v>
      </c>
      <c r="BA1226" s="3" t="s">
        <v>12089</v>
      </c>
      <c r="BB1226" s="3" t="s">
        <v>12097</v>
      </c>
      <c r="BC1226" s="3" t="s">
        <v>142</v>
      </c>
      <c r="BD1226" s="3" t="s">
        <v>68</v>
      </c>
      <c r="BF1226" s="3" t="s">
        <v>12097</v>
      </c>
      <c r="BG1226" s="3" t="s">
        <v>12098</v>
      </c>
    </row>
    <row r="1227" spans="1:59" ht="57" x14ac:dyDescent="0.45">
      <c r="A1227" s="2" t="s">
        <v>59</v>
      </c>
      <c r="B1227" s="2" t="s">
        <v>60</v>
      </c>
      <c r="C1227" s="2" t="s">
        <v>12080</v>
      </c>
      <c r="D1227" s="2" t="s">
        <v>12081</v>
      </c>
      <c r="E1227" s="2" t="s">
        <v>12082</v>
      </c>
      <c r="G1227" s="3" t="s">
        <v>62</v>
      </c>
      <c r="I1227" s="3" t="s">
        <v>61</v>
      </c>
      <c r="J1227" s="3" t="s">
        <v>62</v>
      </c>
      <c r="K1227" s="3" t="s">
        <v>63</v>
      </c>
      <c r="L1227" s="2" t="s">
        <v>12083</v>
      </c>
      <c r="M1227" s="2" t="s">
        <v>12084</v>
      </c>
      <c r="N1227" s="3" t="s">
        <v>127</v>
      </c>
      <c r="P1227" s="3" t="s">
        <v>65</v>
      </c>
      <c r="R1227" s="3" t="s">
        <v>66</v>
      </c>
      <c r="S1227" s="4">
        <v>0</v>
      </c>
      <c r="T1227" s="4">
        <v>35</v>
      </c>
      <c r="V1227" s="5" t="s">
        <v>12086</v>
      </c>
      <c r="W1227" s="5" t="s">
        <v>67</v>
      </c>
      <c r="X1227" s="5" t="s">
        <v>67</v>
      </c>
      <c r="Y1227" s="4">
        <v>724</v>
      </c>
      <c r="Z1227" s="4">
        <v>56</v>
      </c>
      <c r="AA1227" s="4">
        <v>61</v>
      </c>
      <c r="AB1227" s="4">
        <v>3</v>
      </c>
      <c r="AC1227" s="4">
        <v>6</v>
      </c>
      <c r="AD1227" s="4">
        <v>122</v>
      </c>
      <c r="AE1227" s="4">
        <v>127</v>
      </c>
      <c r="AF1227" s="4">
        <v>1</v>
      </c>
      <c r="AG1227" s="4">
        <v>4</v>
      </c>
      <c r="AH1227" s="4">
        <v>97</v>
      </c>
      <c r="AI1227" s="4">
        <v>98</v>
      </c>
      <c r="AJ1227" s="4">
        <v>18</v>
      </c>
      <c r="AK1227" s="4">
        <v>20</v>
      </c>
      <c r="AL1227" s="4">
        <v>55</v>
      </c>
      <c r="AM1227" s="4">
        <v>55</v>
      </c>
      <c r="AN1227" s="4">
        <v>0</v>
      </c>
      <c r="AO1227" s="4">
        <v>0</v>
      </c>
      <c r="AP1227" s="4">
        <v>31</v>
      </c>
      <c r="AQ1227" s="4">
        <v>35</v>
      </c>
      <c r="AR1227" s="3" t="s">
        <v>62</v>
      </c>
      <c r="AS1227" s="3" t="s">
        <v>62</v>
      </c>
      <c r="AT1227" s="3" t="s">
        <v>61</v>
      </c>
      <c r="AU1227" s="6" t="str">
        <f t="shared" si="16"/>
        <v>HathiTrust Record</v>
      </c>
      <c r="AV1227" s="6" t="str">
        <f t="shared" si="17"/>
        <v>Catalog Record</v>
      </c>
      <c r="AW1227" s="6" t="str">
        <f t="shared" si="18"/>
        <v>WorldCat Record</v>
      </c>
      <c r="AX1227" s="3" t="s">
        <v>12087</v>
      </c>
      <c r="AY1227" s="3" t="s">
        <v>12088</v>
      </c>
      <c r="AZ1227" s="3" t="s">
        <v>12089</v>
      </c>
      <c r="BA1227" s="3" t="s">
        <v>12089</v>
      </c>
      <c r="BB1227" s="3" t="s">
        <v>12099</v>
      </c>
      <c r="BC1227" s="3" t="s">
        <v>142</v>
      </c>
      <c r="BD1227" s="3" t="s">
        <v>68</v>
      </c>
      <c r="BF1227" s="3" t="s">
        <v>12099</v>
      </c>
      <c r="BG1227" s="3" t="s">
        <v>12100</v>
      </c>
    </row>
    <row r="1228" spans="1:59" ht="57" x14ac:dyDescent="0.45">
      <c r="A1228" s="2" t="s">
        <v>59</v>
      </c>
      <c r="B1228" s="2" t="s">
        <v>60</v>
      </c>
      <c r="C1228" s="2" t="s">
        <v>12080</v>
      </c>
      <c r="D1228" s="2" t="s">
        <v>12081</v>
      </c>
      <c r="E1228" s="2" t="s">
        <v>12082</v>
      </c>
      <c r="G1228" s="3" t="s">
        <v>62</v>
      </c>
      <c r="I1228" s="3" t="s">
        <v>61</v>
      </c>
      <c r="J1228" s="3" t="s">
        <v>62</v>
      </c>
      <c r="K1228" s="3" t="s">
        <v>63</v>
      </c>
      <c r="L1228" s="2" t="s">
        <v>12083</v>
      </c>
      <c r="M1228" s="2" t="s">
        <v>12084</v>
      </c>
      <c r="N1228" s="3" t="s">
        <v>127</v>
      </c>
      <c r="P1228" s="3" t="s">
        <v>65</v>
      </c>
      <c r="R1228" s="3" t="s">
        <v>66</v>
      </c>
      <c r="S1228" s="4">
        <v>4</v>
      </c>
      <c r="T1228" s="4">
        <v>35</v>
      </c>
      <c r="U1228" s="5" t="s">
        <v>12101</v>
      </c>
      <c r="V1228" s="5" t="s">
        <v>12086</v>
      </c>
      <c r="W1228" s="5" t="s">
        <v>67</v>
      </c>
      <c r="X1228" s="5" t="s">
        <v>67</v>
      </c>
      <c r="Y1228" s="4">
        <v>724</v>
      </c>
      <c r="Z1228" s="4">
        <v>56</v>
      </c>
      <c r="AA1228" s="4">
        <v>61</v>
      </c>
      <c r="AB1228" s="4">
        <v>3</v>
      </c>
      <c r="AC1228" s="4">
        <v>6</v>
      </c>
      <c r="AD1228" s="4">
        <v>122</v>
      </c>
      <c r="AE1228" s="4">
        <v>127</v>
      </c>
      <c r="AF1228" s="4">
        <v>1</v>
      </c>
      <c r="AG1228" s="4">
        <v>4</v>
      </c>
      <c r="AH1228" s="4">
        <v>97</v>
      </c>
      <c r="AI1228" s="4">
        <v>98</v>
      </c>
      <c r="AJ1228" s="4">
        <v>18</v>
      </c>
      <c r="AK1228" s="4">
        <v>20</v>
      </c>
      <c r="AL1228" s="4">
        <v>55</v>
      </c>
      <c r="AM1228" s="4">
        <v>55</v>
      </c>
      <c r="AN1228" s="4">
        <v>0</v>
      </c>
      <c r="AO1228" s="4">
        <v>0</v>
      </c>
      <c r="AP1228" s="4">
        <v>31</v>
      </c>
      <c r="AQ1228" s="4">
        <v>35</v>
      </c>
      <c r="AR1228" s="3" t="s">
        <v>62</v>
      </c>
      <c r="AS1228" s="3" t="s">
        <v>62</v>
      </c>
      <c r="AT1228" s="3" t="s">
        <v>61</v>
      </c>
      <c r="AU1228" s="6" t="str">
        <f t="shared" si="16"/>
        <v>HathiTrust Record</v>
      </c>
      <c r="AV1228" s="6" t="str">
        <f t="shared" si="17"/>
        <v>Catalog Record</v>
      </c>
      <c r="AW1228" s="6" t="str">
        <f t="shared" si="18"/>
        <v>WorldCat Record</v>
      </c>
      <c r="AX1228" s="3" t="s">
        <v>12087</v>
      </c>
      <c r="AY1228" s="3" t="s">
        <v>12088</v>
      </c>
      <c r="AZ1228" s="3" t="s">
        <v>12089</v>
      </c>
      <c r="BA1228" s="3" t="s">
        <v>12089</v>
      </c>
      <c r="BB1228" s="3" t="s">
        <v>12102</v>
      </c>
      <c r="BC1228" s="3" t="s">
        <v>142</v>
      </c>
      <c r="BD1228" s="3" t="s">
        <v>68</v>
      </c>
      <c r="BF1228" s="3" t="s">
        <v>12102</v>
      </c>
      <c r="BG1228" s="3" t="s">
        <v>12103</v>
      </c>
    </row>
    <row r="1229" spans="1:59" ht="57" x14ac:dyDescent="0.45">
      <c r="A1229" s="2" t="s">
        <v>59</v>
      </c>
      <c r="B1229" s="2" t="s">
        <v>60</v>
      </c>
      <c r="C1229" s="2" t="s">
        <v>12080</v>
      </c>
      <c r="D1229" s="2" t="s">
        <v>12081</v>
      </c>
      <c r="E1229" s="2" t="s">
        <v>12082</v>
      </c>
      <c r="G1229" s="3" t="s">
        <v>62</v>
      </c>
      <c r="I1229" s="3" t="s">
        <v>61</v>
      </c>
      <c r="J1229" s="3" t="s">
        <v>62</v>
      </c>
      <c r="K1229" s="3" t="s">
        <v>63</v>
      </c>
      <c r="L1229" s="2" t="s">
        <v>12083</v>
      </c>
      <c r="M1229" s="2" t="s">
        <v>12084</v>
      </c>
      <c r="N1229" s="3" t="s">
        <v>127</v>
      </c>
      <c r="P1229" s="3" t="s">
        <v>65</v>
      </c>
      <c r="R1229" s="3" t="s">
        <v>66</v>
      </c>
      <c r="S1229" s="4">
        <v>0</v>
      </c>
      <c r="T1229" s="4">
        <v>35</v>
      </c>
      <c r="V1229" s="5" t="s">
        <v>12086</v>
      </c>
      <c r="W1229" s="5" t="s">
        <v>67</v>
      </c>
      <c r="X1229" s="5" t="s">
        <v>67</v>
      </c>
      <c r="Y1229" s="4">
        <v>724</v>
      </c>
      <c r="Z1229" s="4">
        <v>56</v>
      </c>
      <c r="AA1229" s="4">
        <v>61</v>
      </c>
      <c r="AB1229" s="4">
        <v>3</v>
      </c>
      <c r="AC1229" s="4">
        <v>6</v>
      </c>
      <c r="AD1229" s="4">
        <v>122</v>
      </c>
      <c r="AE1229" s="4">
        <v>127</v>
      </c>
      <c r="AF1229" s="4">
        <v>1</v>
      </c>
      <c r="AG1229" s="4">
        <v>4</v>
      </c>
      <c r="AH1229" s="4">
        <v>97</v>
      </c>
      <c r="AI1229" s="4">
        <v>98</v>
      </c>
      <c r="AJ1229" s="4">
        <v>18</v>
      </c>
      <c r="AK1229" s="4">
        <v>20</v>
      </c>
      <c r="AL1229" s="4">
        <v>55</v>
      </c>
      <c r="AM1229" s="4">
        <v>55</v>
      </c>
      <c r="AN1229" s="4">
        <v>0</v>
      </c>
      <c r="AO1229" s="4">
        <v>0</v>
      </c>
      <c r="AP1229" s="4">
        <v>31</v>
      </c>
      <c r="AQ1229" s="4">
        <v>35</v>
      </c>
      <c r="AR1229" s="3" t="s">
        <v>62</v>
      </c>
      <c r="AS1229" s="3" t="s">
        <v>62</v>
      </c>
      <c r="AT1229" s="3" t="s">
        <v>61</v>
      </c>
      <c r="AU1229" s="6" t="str">
        <f t="shared" si="16"/>
        <v>HathiTrust Record</v>
      </c>
      <c r="AV1229" s="6" t="str">
        <f t="shared" si="17"/>
        <v>Catalog Record</v>
      </c>
      <c r="AW1229" s="6" t="str">
        <f t="shared" si="18"/>
        <v>WorldCat Record</v>
      </c>
      <c r="AX1229" s="3" t="s">
        <v>12087</v>
      </c>
      <c r="AY1229" s="3" t="s">
        <v>12088</v>
      </c>
      <c r="AZ1229" s="3" t="s">
        <v>12089</v>
      </c>
      <c r="BA1229" s="3" t="s">
        <v>12089</v>
      </c>
      <c r="BB1229" s="3" t="s">
        <v>12104</v>
      </c>
      <c r="BC1229" s="3" t="s">
        <v>142</v>
      </c>
      <c r="BD1229" s="3" t="s">
        <v>68</v>
      </c>
      <c r="BF1229" s="3" t="s">
        <v>12104</v>
      </c>
      <c r="BG1229" s="3" t="s">
        <v>12105</v>
      </c>
    </row>
    <row r="1230" spans="1:59" ht="57" x14ac:dyDescent="0.45">
      <c r="A1230" s="2" t="s">
        <v>59</v>
      </c>
      <c r="B1230" s="2" t="s">
        <v>60</v>
      </c>
      <c r="C1230" s="2" t="s">
        <v>12080</v>
      </c>
      <c r="D1230" s="2" t="s">
        <v>12081</v>
      </c>
      <c r="E1230" s="2" t="s">
        <v>12082</v>
      </c>
      <c r="G1230" s="3" t="s">
        <v>62</v>
      </c>
      <c r="I1230" s="3" t="s">
        <v>61</v>
      </c>
      <c r="J1230" s="3" t="s">
        <v>62</v>
      </c>
      <c r="K1230" s="3" t="s">
        <v>63</v>
      </c>
      <c r="L1230" s="2" t="s">
        <v>12083</v>
      </c>
      <c r="M1230" s="2" t="s">
        <v>12084</v>
      </c>
      <c r="N1230" s="3" t="s">
        <v>127</v>
      </c>
      <c r="P1230" s="3" t="s">
        <v>65</v>
      </c>
      <c r="R1230" s="3" t="s">
        <v>66</v>
      </c>
      <c r="S1230" s="4">
        <v>7</v>
      </c>
      <c r="T1230" s="4">
        <v>35</v>
      </c>
      <c r="U1230" s="5" t="s">
        <v>12106</v>
      </c>
      <c r="V1230" s="5" t="s">
        <v>12086</v>
      </c>
      <c r="W1230" s="5" t="s">
        <v>67</v>
      </c>
      <c r="X1230" s="5" t="s">
        <v>67</v>
      </c>
      <c r="Y1230" s="4">
        <v>724</v>
      </c>
      <c r="Z1230" s="4">
        <v>56</v>
      </c>
      <c r="AA1230" s="4">
        <v>61</v>
      </c>
      <c r="AB1230" s="4">
        <v>3</v>
      </c>
      <c r="AC1230" s="4">
        <v>6</v>
      </c>
      <c r="AD1230" s="4">
        <v>122</v>
      </c>
      <c r="AE1230" s="4">
        <v>127</v>
      </c>
      <c r="AF1230" s="4">
        <v>1</v>
      </c>
      <c r="AG1230" s="4">
        <v>4</v>
      </c>
      <c r="AH1230" s="4">
        <v>97</v>
      </c>
      <c r="AI1230" s="4">
        <v>98</v>
      </c>
      <c r="AJ1230" s="4">
        <v>18</v>
      </c>
      <c r="AK1230" s="4">
        <v>20</v>
      </c>
      <c r="AL1230" s="4">
        <v>55</v>
      </c>
      <c r="AM1230" s="4">
        <v>55</v>
      </c>
      <c r="AN1230" s="4">
        <v>0</v>
      </c>
      <c r="AO1230" s="4">
        <v>0</v>
      </c>
      <c r="AP1230" s="4">
        <v>31</v>
      </c>
      <c r="AQ1230" s="4">
        <v>35</v>
      </c>
      <c r="AR1230" s="3" t="s">
        <v>62</v>
      </c>
      <c r="AS1230" s="3" t="s">
        <v>62</v>
      </c>
      <c r="AT1230" s="3" t="s">
        <v>61</v>
      </c>
      <c r="AU1230" s="6" t="str">
        <f t="shared" si="16"/>
        <v>HathiTrust Record</v>
      </c>
      <c r="AV1230" s="6" t="str">
        <f t="shared" si="17"/>
        <v>Catalog Record</v>
      </c>
      <c r="AW1230" s="6" t="str">
        <f t="shared" si="18"/>
        <v>WorldCat Record</v>
      </c>
      <c r="AX1230" s="3" t="s">
        <v>12087</v>
      </c>
      <c r="AY1230" s="3" t="s">
        <v>12088</v>
      </c>
      <c r="AZ1230" s="3" t="s">
        <v>12089</v>
      </c>
      <c r="BA1230" s="3" t="s">
        <v>12089</v>
      </c>
      <c r="BB1230" s="3" t="s">
        <v>12107</v>
      </c>
      <c r="BC1230" s="3" t="s">
        <v>142</v>
      </c>
      <c r="BD1230" s="3" t="s">
        <v>68</v>
      </c>
      <c r="BF1230" s="3" t="s">
        <v>12107</v>
      </c>
      <c r="BG1230" s="3" t="s">
        <v>12108</v>
      </c>
    </row>
    <row r="1231" spans="1:59" ht="85.5" x14ac:dyDescent="0.45">
      <c r="A1231" s="2" t="s">
        <v>59</v>
      </c>
      <c r="B1231" s="2" t="s">
        <v>5257</v>
      </c>
      <c r="C1231" s="2" t="s">
        <v>12109</v>
      </c>
      <c r="D1231" s="2" t="s">
        <v>12110</v>
      </c>
      <c r="E1231" s="2" t="s">
        <v>12111</v>
      </c>
      <c r="G1231" s="3" t="s">
        <v>62</v>
      </c>
      <c r="I1231" s="3" t="s">
        <v>61</v>
      </c>
      <c r="J1231" s="3" t="s">
        <v>61</v>
      </c>
      <c r="K1231" s="3" t="s">
        <v>63</v>
      </c>
      <c r="M1231" s="2" t="s">
        <v>12112</v>
      </c>
      <c r="N1231" s="3" t="s">
        <v>113</v>
      </c>
      <c r="P1231" s="3" t="s">
        <v>65</v>
      </c>
      <c r="Q1231" s="2" t="s">
        <v>12113</v>
      </c>
      <c r="R1231" s="3" t="s">
        <v>66</v>
      </c>
      <c r="S1231" s="4">
        <v>3</v>
      </c>
      <c r="T1231" s="4">
        <v>25</v>
      </c>
      <c r="U1231" s="5" t="s">
        <v>12114</v>
      </c>
      <c r="V1231" s="5" t="s">
        <v>782</v>
      </c>
      <c r="W1231" s="5" t="s">
        <v>67</v>
      </c>
      <c r="X1231" s="5" t="s">
        <v>67</v>
      </c>
      <c r="Y1231" s="4">
        <v>1068</v>
      </c>
      <c r="Z1231" s="4">
        <v>77</v>
      </c>
      <c r="AA1231" s="4">
        <v>95</v>
      </c>
      <c r="AB1231" s="4">
        <v>4</v>
      </c>
      <c r="AC1231" s="4">
        <v>7</v>
      </c>
      <c r="AD1231" s="4">
        <v>142</v>
      </c>
      <c r="AE1231" s="4">
        <v>150</v>
      </c>
      <c r="AF1231" s="4">
        <v>2</v>
      </c>
      <c r="AG1231" s="4">
        <v>4</v>
      </c>
      <c r="AH1231" s="4">
        <v>102</v>
      </c>
      <c r="AI1231" s="4">
        <v>105</v>
      </c>
      <c r="AJ1231" s="4">
        <v>23</v>
      </c>
      <c r="AK1231" s="4">
        <v>26</v>
      </c>
      <c r="AL1231" s="4">
        <v>58</v>
      </c>
      <c r="AM1231" s="4">
        <v>58</v>
      </c>
      <c r="AN1231" s="4">
        <v>0</v>
      </c>
      <c r="AO1231" s="4">
        <v>0</v>
      </c>
      <c r="AP1231" s="4">
        <v>43</v>
      </c>
      <c r="AQ1231" s="4">
        <v>49</v>
      </c>
      <c r="AR1231" s="3" t="s">
        <v>62</v>
      </c>
      <c r="AS1231" s="3" t="s">
        <v>62</v>
      </c>
      <c r="AT1231" s="3" t="s">
        <v>61</v>
      </c>
      <c r="AU1231" s="6" t="str">
        <f>HYPERLINK("http://catalog.hathitrust.org/Record/001180720","HathiTrust Record")</f>
        <v>HathiTrust Record</v>
      </c>
      <c r="AV1231" s="6" t="str">
        <f>HYPERLINK("http://mcgill.on.worldcat.org/oclc/178038","Catalog Record")</f>
        <v>Catalog Record</v>
      </c>
      <c r="AW1231" s="6" t="str">
        <f>HYPERLINK("http://www.worldcat.org/oclc/178038","WorldCat Record")</f>
        <v>WorldCat Record</v>
      </c>
      <c r="AX1231" s="3" t="s">
        <v>12115</v>
      </c>
      <c r="AY1231" s="3" t="s">
        <v>12116</v>
      </c>
      <c r="AZ1231" s="3" t="s">
        <v>12117</v>
      </c>
      <c r="BA1231" s="3" t="s">
        <v>12117</v>
      </c>
      <c r="BB1231" s="3" t="s">
        <v>12118</v>
      </c>
      <c r="BC1231" s="3" t="s">
        <v>142</v>
      </c>
      <c r="BD1231" s="3" t="s">
        <v>68</v>
      </c>
      <c r="BF1231" s="3" t="s">
        <v>12118</v>
      </c>
      <c r="BG1231" s="3" t="s">
        <v>12119</v>
      </c>
    </row>
    <row r="1232" spans="1:59" ht="57" x14ac:dyDescent="0.45">
      <c r="A1232" s="2" t="s">
        <v>59</v>
      </c>
      <c r="B1232" s="2" t="s">
        <v>60</v>
      </c>
      <c r="C1232" s="2" t="s">
        <v>12109</v>
      </c>
      <c r="D1232" s="2" t="s">
        <v>12110</v>
      </c>
      <c r="E1232" s="2" t="s">
        <v>12111</v>
      </c>
      <c r="G1232" s="3" t="s">
        <v>62</v>
      </c>
      <c r="I1232" s="3" t="s">
        <v>61</v>
      </c>
      <c r="J1232" s="3" t="s">
        <v>61</v>
      </c>
      <c r="K1232" s="3" t="s">
        <v>63</v>
      </c>
      <c r="M1232" s="2" t="s">
        <v>12112</v>
      </c>
      <c r="N1232" s="3" t="s">
        <v>113</v>
      </c>
      <c r="P1232" s="3" t="s">
        <v>65</v>
      </c>
      <c r="Q1232" s="2" t="s">
        <v>12113</v>
      </c>
      <c r="R1232" s="3" t="s">
        <v>66</v>
      </c>
      <c r="S1232" s="4">
        <v>6</v>
      </c>
      <c r="T1232" s="4">
        <v>25</v>
      </c>
      <c r="U1232" s="5" t="s">
        <v>12120</v>
      </c>
      <c r="V1232" s="5" t="s">
        <v>782</v>
      </c>
      <c r="W1232" s="5" t="s">
        <v>67</v>
      </c>
      <c r="X1232" s="5" t="s">
        <v>67</v>
      </c>
      <c r="Y1232" s="4">
        <v>1068</v>
      </c>
      <c r="Z1232" s="4">
        <v>77</v>
      </c>
      <c r="AA1232" s="4">
        <v>95</v>
      </c>
      <c r="AB1232" s="4">
        <v>4</v>
      </c>
      <c r="AC1232" s="4">
        <v>7</v>
      </c>
      <c r="AD1232" s="4">
        <v>142</v>
      </c>
      <c r="AE1232" s="4">
        <v>150</v>
      </c>
      <c r="AF1232" s="4">
        <v>2</v>
      </c>
      <c r="AG1232" s="4">
        <v>4</v>
      </c>
      <c r="AH1232" s="4">
        <v>102</v>
      </c>
      <c r="AI1232" s="4">
        <v>105</v>
      </c>
      <c r="AJ1232" s="4">
        <v>23</v>
      </c>
      <c r="AK1232" s="4">
        <v>26</v>
      </c>
      <c r="AL1232" s="4">
        <v>58</v>
      </c>
      <c r="AM1232" s="4">
        <v>58</v>
      </c>
      <c r="AN1232" s="4">
        <v>0</v>
      </c>
      <c r="AO1232" s="4">
        <v>0</v>
      </c>
      <c r="AP1232" s="4">
        <v>43</v>
      </c>
      <c r="AQ1232" s="4">
        <v>49</v>
      </c>
      <c r="AR1232" s="3" t="s">
        <v>62</v>
      </c>
      <c r="AS1232" s="3" t="s">
        <v>62</v>
      </c>
      <c r="AT1232" s="3" t="s">
        <v>61</v>
      </c>
      <c r="AU1232" s="6" t="str">
        <f>HYPERLINK("http://catalog.hathitrust.org/Record/001180720","HathiTrust Record")</f>
        <v>HathiTrust Record</v>
      </c>
      <c r="AV1232" s="6" t="str">
        <f>HYPERLINK("http://mcgill.on.worldcat.org/oclc/178038","Catalog Record")</f>
        <v>Catalog Record</v>
      </c>
      <c r="AW1232" s="6" t="str">
        <f>HYPERLINK("http://www.worldcat.org/oclc/178038","WorldCat Record")</f>
        <v>WorldCat Record</v>
      </c>
      <c r="AX1232" s="3" t="s">
        <v>12115</v>
      </c>
      <c r="AY1232" s="3" t="s">
        <v>12116</v>
      </c>
      <c r="AZ1232" s="3" t="s">
        <v>12117</v>
      </c>
      <c r="BA1232" s="3" t="s">
        <v>12117</v>
      </c>
      <c r="BB1232" s="3" t="s">
        <v>12121</v>
      </c>
      <c r="BC1232" s="3" t="s">
        <v>142</v>
      </c>
      <c r="BD1232" s="3" t="s">
        <v>68</v>
      </c>
      <c r="BF1232" s="3" t="s">
        <v>12121</v>
      </c>
      <c r="BG1232" s="3" t="s">
        <v>12122</v>
      </c>
    </row>
    <row r="1233" spans="1:59" ht="57" x14ac:dyDescent="0.45">
      <c r="A1233" s="2" t="s">
        <v>59</v>
      </c>
      <c r="B1233" s="2" t="s">
        <v>60</v>
      </c>
      <c r="C1233" s="2" t="s">
        <v>12109</v>
      </c>
      <c r="D1233" s="2" t="s">
        <v>12110</v>
      </c>
      <c r="E1233" s="2" t="s">
        <v>12111</v>
      </c>
      <c r="G1233" s="3" t="s">
        <v>62</v>
      </c>
      <c r="I1233" s="3" t="s">
        <v>61</v>
      </c>
      <c r="J1233" s="3" t="s">
        <v>61</v>
      </c>
      <c r="K1233" s="3" t="s">
        <v>63</v>
      </c>
      <c r="M1233" s="2" t="s">
        <v>12112</v>
      </c>
      <c r="N1233" s="3" t="s">
        <v>113</v>
      </c>
      <c r="P1233" s="3" t="s">
        <v>65</v>
      </c>
      <c r="Q1233" s="2" t="s">
        <v>12113</v>
      </c>
      <c r="R1233" s="3" t="s">
        <v>66</v>
      </c>
      <c r="S1233" s="4">
        <v>5</v>
      </c>
      <c r="T1233" s="4">
        <v>25</v>
      </c>
      <c r="U1233" s="5" t="s">
        <v>782</v>
      </c>
      <c r="V1233" s="5" t="s">
        <v>782</v>
      </c>
      <c r="W1233" s="5" t="s">
        <v>67</v>
      </c>
      <c r="X1233" s="5" t="s">
        <v>67</v>
      </c>
      <c r="Y1233" s="4">
        <v>1068</v>
      </c>
      <c r="Z1233" s="4">
        <v>77</v>
      </c>
      <c r="AA1233" s="4">
        <v>95</v>
      </c>
      <c r="AB1233" s="4">
        <v>4</v>
      </c>
      <c r="AC1233" s="4">
        <v>7</v>
      </c>
      <c r="AD1233" s="4">
        <v>142</v>
      </c>
      <c r="AE1233" s="4">
        <v>150</v>
      </c>
      <c r="AF1233" s="4">
        <v>2</v>
      </c>
      <c r="AG1233" s="4">
        <v>4</v>
      </c>
      <c r="AH1233" s="4">
        <v>102</v>
      </c>
      <c r="AI1233" s="4">
        <v>105</v>
      </c>
      <c r="AJ1233" s="4">
        <v>23</v>
      </c>
      <c r="AK1233" s="4">
        <v>26</v>
      </c>
      <c r="AL1233" s="4">
        <v>58</v>
      </c>
      <c r="AM1233" s="4">
        <v>58</v>
      </c>
      <c r="AN1233" s="4">
        <v>0</v>
      </c>
      <c r="AO1233" s="4">
        <v>0</v>
      </c>
      <c r="AP1233" s="4">
        <v>43</v>
      </c>
      <c r="AQ1233" s="4">
        <v>49</v>
      </c>
      <c r="AR1233" s="3" t="s">
        <v>62</v>
      </c>
      <c r="AS1233" s="3" t="s">
        <v>62</v>
      </c>
      <c r="AT1233" s="3" t="s">
        <v>61</v>
      </c>
      <c r="AU1233" s="6" t="str">
        <f>HYPERLINK("http://catalog.hathitrust.org/Record/001180720","HathiTrust Record")</f>
        <v>HathiTrust Record</v>
      </c>
      <c r="AV1233" s="6" t="str">
        <f>HYPERLINK("http://mcgill.on.worldcat.org/oclc/178038","Catalog Record")</f>
        <v>Catalog Record</v>
      </c>
      <c r="AW1233" s="6" t="str">
        <f>HYPERLINK("http://www.worldcat.org/oclc/178038","WorldCat Record")</f>
        <v>WorldCat Record</v>
      </c>
      <c r="AX1233" s="3" t="s">
        <v>12115</v>
      </c>
      <c r="AY1233" s="3" t="s">
        <v>12116</v>
      </c>
      <c r="AZ1233" s="3" t="s">
        <v>12117</v>
      </c>
      <c r="BA1233" s="3" t="s">
        <v>12117</v>
      </c>
      <c r="BB1233" s="3" t="s">
        <v>12123</v>
      </c>
      <c r="BC1233" s="3" t="s">
        <v>142</v>
      </c>
      <c r="BD1233" s="3" t="s">
        <v>68</v>
      </c>
      <c r="BF1233" s="3" t="s">
        <v>12123</v>
      </c>
      <c r="BG1233" s="3" t="s">
        <v>12124</v>
      </c>
    </row>
    <row r="1234" spans="1:59" ht="57" x14ac:dyDescent="0.45">
      <c r="A1234" s="2" t="s">
        <v>59</v>
      </c>
      <c r="B1234" s="2" t="s">
        <v>60</v>
      </c>
      <c r="C1234" s="2" t="s">
        <v>12109</v>
      </c>
      <c r="D1234" s="2" t="s">
        <v>12110</v>
      </c>
      <c r="E1234" s="2" t="s">
        <v>12111</v>
      </c>
      <c r="G1234" s="3" t="s">
        <v>62</v>
      </c>
      <c r="I1234" s="3" t="s">
        <v>61</v>
      </c>
      <c r="J1234" s="3" t="s">
        <v>61</v>
      </c>
      <c r="K1234" s="3" t="s">
        <v>63</v>
      </c>
      <c r="M1234" s="2" t="s">
        <v>12112</v>
      </c>
      <c r="N1234" s="3" t="s">
        <v>113</v>
      </c>
      <c r="P1234" s="3" t="s">
        <v>65</v>
      </c>
      <c r="Q1234" s="2" t="s">
        <v>12113</v>
      </c>
      <c r="R1234" s="3" t="s">
        <v>66</v>
      </c>
      <c r="S1234" s="4">
        <v>11</v>
      </c>
      <c r="T1234" s="4">
        <v>25</v>
      </c>
      <c r="U1234" s="5" t="s">
        <v>12125</v>
      </c>
      <c r="V1234" s="5" t="s">
        <v>782</v>
      </c>
      <c r="W1234" s="5" t="s">
        <v>67</v>
      </c>
      <c r="X1234" s="5" t="s">
        <v>67</v>
      </c>
      <c r="Y1234" s="4">
        <v>1068</v>
      </c>
      <c r="Z1234" s="4">
        <v>77</v>
      </c>
      <c r="AA1234" s="4">
        <v>95</v>
      </c>
      <c r="AB1234" s="4">
        <v>4</v>
      </c>
      <c r="AC1234" s="4">
        <v>7</v>
      </c>
      <c r="AD1234" s="4">
        <v>142</v>
      </c>
      <c r="AE1234" s="4">
        <v>150</v>
      </c>
      <c r="AF1234" s="4">
        <v>2</v>
      </c>
      <c r="AG1234" s="4">
        <v>4</v>
      </c>
      <c r="AH1234" s="4">
        <v>102</v>
      </c>
      <c r="AI1234" s="4">
        <v>105</v>
      </c>
      <c r="AJ1234" s="4">
        <v>23</v>
      </c>
      <c r="AK1234" s="4">
        <v>26</v>
      </c>
      <c r="AL1234" s="4">
        <v>58</v>
      </c>
      <c r="AM1234" s="4">
        <v>58</v>
      </c>
      <c r="AN1234" s="4">
        <v>0</v>
      </c>
      <c r="AO1234" s="4">
        <v>0</v>
      </c>
      <c r="AP1234" s="4">
        <v>43</v>
      </c>
      <c r="AQ1234" s="4">
        <v>49</v>
      </c>
      <c r="AR1234" s="3" t="s">
        <v>62</v>
      </c>
      <c r="AS1234" s="3" t="s">
        <v>62</v>
      </c>
      <c r="AT1234" s="3" t="s">
        <v>61</v>
      </c>
      <c r="AU1234" s="6" t="str">
        <f>HYPERLINK("http://catalog.hathitrust.org/Record/001180720","HathiTrust Record")</f>
        <v>HathiTrust Record</v>
      </c>
      <c r="AV1234" s="6" t="str">
        <f>HYPERLINK("http://mcgill.on.worldcat.org/oclc/178038","Catalog Record")</f>
        <v>Catalog Record</v>
      </c>
      <c r="AW1234" s="6" t="str">
        <f>HYPERLINK("http://www.worldcat.org/oclc/178038","WorldCat Record")</f>
        <v>WorldCat Record</v>
      </c>
      <c r="AX1234" s="3" t="s">
        <v>12115</v>
      </c>
      <c r="AY1234" s="3" t="s">
        <v>12116</v>
      </c>
      <c r="AZ1234" s="3" t="s">
        <v>12117</v>
      </c>
      <c r="BA1234" s="3" t="s">
        <v>12117</v>
      </c>
      <c r="BB1234" s="3" t="s">
        <v>12126</v>
      </c>
      <c r="BC1234" s="3" t="s">
        <v>142</v>
      </c>
      <c r="BD1234" s="3" t="s">
        <v>68</v>
      </c>
      <c r="BF1234" s="3" t="s">
        <v>12126</v>
      </c>
      <c r="BG1234" s="3" t="s">
        <v>12127</v>
      </c>
    </row>
    <row r="1235" spans="1:59" ht="57" x14ac:dyDescent="0.45">
      <c r="A1235" s="2" t="s">
        <v>59</v>
      </c>
      <c r="B1235" s="2" t="s">
        <v>60</v>
      </c>
      <c r="C1235" s="2" t="s">
        <v>12128</v>
      </c>
      <c r="D1235" s="2" t="s">
        <v>12129</v>
      </c>
      <c r="E1235" s="2" t="s">
        <v>12130</v>
      </c>
      <c r="G1235" s="3" t="s">
        <v>62</v>
      </c>
      <c r="I1235" s="3" t="s">
        <v>62</v>
      </c>
      <c r="J1235" s="3" t="s">
        <v>62</v>
      </c>
      <c r="K1235" s="3" t="s">
        <v>63</v>
      </c>
      <c r="L1235" s="2" t="s">
        <v>12131</v>
      </c>
      <c r="M1235" s="2" t="s">
        <v>12132</v>
      </c>
      <c r="N1235" s="3" t="s">
        <v>1478</v>
      </c>
      <c r="P1235" s="3" t="s">
        <v>65</v>
      </c>
      <c r="R1235" s="3" t="s">
        <v>66</v>
      </c>
      <c r="S1235" s="4">
        <v>16</v>
      </c>
      <c r="T1235" s="4">
        <v>16</v>
      </c>
      <c r="U1235" s="5" t="s">
        <v>421</v>
      </c>
      <c r="V1235" s="5" t="s">
        <v>421</v>
      </c>
      <c r="W1235" s="5" t="s">
        <v>67</v>
      </c>
      <c r="X1235" s="5" t="s">
        <v>67</v>
      </c>
      <c r="Y1235" s="4">
        <v>433</v>
      </c>
      <c r="Z1235" s="4">
        <v>23</v>
      </c>
      <c r="AA1235" s="4">
        <v>103</v>
      </c>
      <c r="AB1235" s="4">
        <v>2</v>
      </c>
      <c r="AC1235" s="4">
        <v>17</v>
      </c>
      <c r="AD1235" s="4">
        <v>112</v>
      </c>
      <c r="AE1235" s="4">
        <v>146</v>
      </c>
      <c r="AF1235" s="4">
        <v>1</v>
      </c>
      <c r="AG1235" s="4">
        <v>8</v>
      </c>
      <c r="AH1235" s="4">
        <v>100</v>
      </c>
      <c r="AI1235" s="4">
        <v>110</v>
      </c>
      <c r="AJ1235" s="4">
        <v>17</v>
      </c>
      <c r="AK1235" s="4">
        <v>26</v>
      </c>
      <c r="AL1235" s="4">
        <v>54</v>
      </c>
      <c r="AM1235" s="4">
        <v>57</v>
      </c>
      <c r="AN1235" s="4">
        <v>0</v>
      </c>
      <c r="AO1235" s="4">
        <v>0</v>
      </c>
      <c r="AP1235" s="4">
        <v>19</v>
      </c>
      <c r="AQ1235" s="4">
        <v>47</v>
      </c>
      <c r="AR1235" s="3" t="s">
        <v>62</v>
      </c>
      <c r="AS1235" s="3" t="s">
        <v>62</v>
      </c>
      <c r="AT1235" s="3" t="s">
        <v>61</v>
      </c>
      <c r="AU1235" s="6" t="str">
        <f>HYPERLINK("http://catalog.hathitrust.org/Record/003092718","HathiTrust Record")</f>
        <v>HathiTrust Record</v>
      </c>
      <c r="AV1235" s="6" t="str">
        <f>HYPERLINK("http://mcgill.on.worldcat.org/oclc/33080147","Catalog Record")</f>
        <v>Catalog Record</v>
      </c>
      <c r="AW1235" s="6" t="str">
        <f>HYPERLINK("http://www.worldcat.org/oclc/33080147","WorldCat Record")</f>
        <v>WorldCat Record</v>
      </c>
      <c r="AX1235" s="3" t="s">
        <v>12133</v>
      </c>
      <c r="AY1235" s="3" t="s">
        <v>12134</v>
      </c>
      <c r="AZ1235" s="3" t="s">
        <v>12135</v>
      </c>
      <c r="BA1235" s="3" t="s">
        <v>12135</v>
      </c>
      <c r="BB1235" s="3" t="s">
        <v>12136</v>
      </c>
      <c r="BC1235" s="3" t="s">
        <v>142</v>
      </c>
      <c r="BD1235" s="3" t="s">
        <v>68</v>
      </c>
      <c r="BE1235" s="3" t="s">
        <v>12137</v>
      </c>
      <c r="BF1235" s="3" t="s">
        <v>12136</v>
      </c>
      <c r="BG1235" s="3" t="s">
        <v>12138</v>
      </c>
    </row>
    <row r="1236" spans="1:59" ht="57" x14ac:dyDescent="0.45">
      <c r="A1236" s="2" t="s">
        <v>59</v>
      </c>
      <c r="B1236" s="2" t="s">
        <v>60</v>
      </c>
      <c r="C1236" s="2" t="s">
        <v>12139</v>
      </c>
      <c r="D1236" s="2" t="s">
        <v>12140</v>
      </c>
      <c r="E1236" s="2" t="s">
        <v>12141</v>
      </c>
      <c r="G1236" s="3" t="s">
        <v>62</v>
      </c>
      <c r="I1236" s="3" t="s">
        <v>62</v>
      </c>
      <c r="J1236" s="3" t="s">
        <v>62</v>
      </c>
      <c r="K1236" s="3" t="s">
        <v>63</v>
      </c>
      <c r="L1236" s="2" t="s">
        <v>12142</v>
      </c>
      <c r="M1236" s="2" t="s">
        <v>12143</v>
      </c>
      <c r="N1236" s="3" t="s">
        <v>807</v>
      </c>
      <c r="P1236" s="3" t="s">
        <v>65</v>
      </c>
      <c r="R1236" s="3" t="s">
        <v>66</v>
      </c>
      <c r="S1236" s="4">
        <v>56</v>
      </c>
      <c r="T1236" s="4">
        <v>56</v>
      </c>
      <c r="U1236" s="5" t="s">
        <v>822</v>
      </c>
      <c r="V1236" s="5" t="s">
        <v>822</v>
      </c>
      <c r="W1236" s="5" t="s">
        <v>67</v>
      </c>
      <c r="X1236" s="5" t="s">
        <v>67</v>
      </c>
      <c r="Y1236" s="4">
        <v>409</v>
      </c>
      <c r="Z1236" s="4">
        <v>24</v>
      </c>
      <c r="AA1236" s="4">
        <v>85</v>
      </c>
      <c r="AB1236" s="4">
        <v>1</v>
      </c>
      <c r="AC1236" s="4">
        <v>15</v>
      </c>
      <c r="AD1236" s="4">
        <v>112</v>
      </c>
      <c r="AE1236" s="4">
        <v>144</v>
      </c>
      <c r="AF1236" s="4">
        <v>0</v>
      </c>
      <c r="AG1236" s="4">
        <v>8</v>
      </c>
      <c r="AH1236" s="4">
        <v>99</v>
      </c>
      <c r="AI1236" s="4">
        <v>106</v>
      </c>
      <c r="AJ1236" s="4">
        <v>15</v>
      </c>
      <c r="AK1236" s="4">
        <v>23</v>
      </c>
      <c r="AL1236" s="4">
        <v>54</v>
      </c>
      <c r="AM1236" s="4">
        <v>56</v>
      </c>
      <c r="AN1236" s="4">
        <v>0</v>
      </c>
      <c r="AO1236" s="4">
        <v>0</v>
      </c>
      <c r="AP1236" s="4">
        <v>22</v>
      </c>
      <c r="AQ1236" s="4">
        <v>47</v>
      </c>
      <c r="AR1236" s="3" t="s">
        <v>62</v>
      </c>
      <c r="AS1236" s="3" t="s">
        <v>62</v>
      </c>
      <c r="AT1236" s="3" t="s">
        <v>61</v>
      </c>
      <c r="AU1236" s="6" t="str">
        <f>HYPERLINK("http://catalog.hathitrust.org/Record/002521698","HathiTrust Record")</f>
        <v>HathiTrust Record</v>
      </c>
      <c r="AV1236" s="6" t="str">
        <f>HYPERLINK("http://mcgill.on.worldcat.org/oclc/23462965","Catalog Record")</f>
        <v>Catalog Record</v>
      </c>
      <c r="AW1236" s="6" t="str">
        <f>HYPERLINK("http://www.worldcat.org/oclc/23462965","WorldCat Record")</f>
        <v>WorldCat Record</v>
      </c>
      <c r="AX1236" s="3" t="s">
        <v>12144</v>
      </c>
      <c r="AY1236" s="3" t="s">
        <v>12145</v>
      </c>
      <c r="AZ1236" s="3" t="s">
        <v>12146</v>
      </c>
      <c r="BA1236" s="3" t="s">
        <v>12146</v>
      </c>
      <c r="BB1236" s="3" t="s">
        <v>12147</v>
      </c>
      <c r="BC1236" s="3" t="s">
        <v>142</v>
      </c>
      <c r="BD1236" s="3" t="s">
        <v>308</v>
      </c>
      <c r="BE1236" s="3" t="s">
        <v>12148</v>
      </c>
      <c r="BF1236" s="3" t="s">
        <v>12147</v>
      </c>
      <c r="BG1236" s="3" t="s">
        <v>12149</v>
      </c>
    </row>
    <row r="1237" spans="1:59" ht="57" x14ac:dyDescent="0.45">
      <c r="A1237" s="2" t="s">
        <v>59</v>
      </c>
      <c r="B1237" s="2" t="s">
        <v>60</v>
      </c>
      <c r="C1237" s="2" t="s">
        <v>12150</v>
      </c>
      <c r="D1237" s="2" t="s">
        <v>12151</v>
      </c>
      <c r="E1237" s="2" t="s">
        <v>12152</v>
      </c>
      <c r="G1237" s="3" t="s">
        <v>62</v>
      </c>
      <c r="I1237" s="3" t="s">
        <v>62</v>
      </c>
      <c r="J1237" s="3" t="s">
        <v>62</v>
      </c>
      <c r="K1237" s="3" t="s">
        <v>63</v>
      </c>
      <c r="M1237" s="2" t="s">
        <v>3266</v>
      </c>
      <c r="N1237" s="3" t="s">
        <v>1478</v>
      </c>
      <c r="P1237" s="3" t="s">
        <v>65</v>
      </c>
      <c r="Q1237" s="2" t="s">
        <v>12153</v>
      </c>
      <c r="R1237" s="3" t="s">
        <v>66</v>
      </c>
      <c r="S1237" s="4">
        <v>21</v>
      </c>
      <c r="T1237" s="4">
        <v>21</v>
      </c>
      <c r="U1237" s="5" t="s">
        <v>12154</v>
      </c>
      <c r="V1237" s="5" t="s">
        <v>12154</v>
      </c>
      <c r="W1237" s="5" t="s">
        <v>67</v>
      </c>
      <c r="X1237" s="5" t="s">
        <v>67</v>
      </c>
      <c r="Y1237" s="4">
        <v>146</v>
      </c>
      <c r="Z1237" s="4">
        <v>12</v>
      </c>
      <c r="AA1237" s="4">
        <v>17</v>
      </c>
      <c r="AB1237" s="4">
        <v>1</v>
      </c>
      <c r="AC1237" s="4">
        <v>5</v>
      </c>
      <c r="AD1237" s="4">
        <v>67</v>
      </c>
      <c r="AE1237" s="4">
        <v>71</v>
      </c>
      <c r="AF1237" s="4">
        <v>0</v>
      </c>
      <c r="AG1237" s="4">
        <v>2</v>
      </c>
      <c r="AH1237" s="4">
        <v>62</v>
      </c>
      <c r="AI1237" s="4">
        <v>65</v>
      </c>
      <c r="AJ1237" s="4">
        <v>8</v>
      </c>
      <c r="AK1237" s="4">
        <v>11</v>
      </c>
      <c r="AL1237" s="4">
        <v>41</v>
      </c>
      <c r="AM1237" s="4">
        <v>42</v>
      </c>
      <c r="AN1237" s="4">
        <v>0</v>
      </c>
      <c r="AO1237" s="4">
        <v>0</v>
      </c>
      <c r="AP1237" s="4">
        <v>9</v>
      </c>
      <c r="AQ1237" s="4">
        <v>12</v>
      </c>
      <c r="AR1237" s="3" t="s">
        <v>62</v>
      </c>
      <c r="AS1237" s="3" t="s">
        <v>62</v>
      </c>
      <c r="AT1237" s="3" t="s">
        <v>61</v>
      </c>
      <c r="AU1237" s="6" t="str">
        <f>HYPERLINK("http://catalog.hathitrust.org/Record/003031034","HathiTrust Record")</f>
        <v>HathiTrust Record</v>
      </c>
      <c r="AV1237" s="6" t="str">
        <f>HYPERLINK("http://mcgill.on.worldcat.org/oclc/33079697","Catalog Record")</f>
        <v>Catalog Record</v>
      </c>
      <c r="AW1237" s="6" t="str">
        <f>HYPERLINK("http://www.worldcat.org/oclc/33079697","WorldCat Record")</f>
        <v>WorldCat Record</v>
      </c>
      <c r="AX1237" s="3" t="s">
        <v>12155</v>
      </c>
      <c r="AY1237" s="3" t="s">
        <v>12156</v>
      </c>
      <c r="AZ1237" s="3" t="s">
        <v>12157</v>
      </c>
      <c r="BA1237" s="3" t="s">
        <v>12157</v>
      </c>
      <c r="BB1237" s="3" t="s">
        <v>12158</v>
      </c>
      <c r="BC1237" s="3" t="s">
        <v>142</v>
      </c>
      <c r="BD1237" s="3" t="s">
        <v>68</v>
      </c>
      <c r="BE1237" s="3" t="s">
        <v>12159</v>
      </c>
      <c r="BF1237" s="3" t="s">
        <v>12158</v>
      </c>
      <c r="BG1237" s="3" t="s">
        <v>12160</v>
      </c>
    </row>
    <row r="1238" spans="1:59" ht="57" x14ac:dyDescent="0.45">
      <c r="A1238" s="2" t="s">
        <v>59</v>
      </c>
      <c r="B1238" s="2" t="s">
        <v>60</v>
      </c>
      <c r="C1238" s="2" t="s">
        <v>12161</v>
      </c>
      <c r="D1238" s="2" t="s">
        <v>12162</v>
      </c>
      <c r="E1238" s="2" t="s">
        <v>12163</v>
      </c>
      <c r="G1238" s="3" t="s">
        <v>62</v>
      </c>
      <c r="I1238" s="3" t="s">
        <v>62</v>
      </c>
      <c r="J1238" s="3" t="s">
        <v>62</v>
      </c>
      <c r="K1238" s="3" t="s">
        <v>63</v>
      </c>
      <c r="L1238" s="2" t="s">
        <v>12164</v>
      </c>
      <c r="M1238" s="2" t="s">
        <v>12165</v>
      </c>
      <c r="N1238" s="3" t="s">
        <v>529</v>
      </c>
      <c r="P1238" s="3" t="s">
        <v>65</v>
      </c>
      <c r="Q1238" s="2" t="s">
        <v>12166</v>
      </c>
      <c r="R1238" s="3" t="s">
        <v>66</v>
      </c>
      <c r="S1238" s="4">
        <v>7</v>
      </c>
      <c r="T1238" s="4">
        <v>7</v>
      </c>
      <c r="U1238" s="5" t="s">
        <v>12167</v>
      </c>
      <c r="V1238" s="5" t="s">
        <v>12167</v>
      </c>
      <c r="W1238" s="5" t="s">
        <v>67</v>
      </c>
      <c r="X1238" s="5" t="s">
        <v>67</v>
      </c>
      <c r="Y1238" s="4">
        <v>236</v>
      </c>
      <c r="Z1238" s="4">
        <v>21</v>
      </c>
      <c r="AA1238" s="4">
        <v>99</v>
      </c>
      <c r="AB1238" s="4">
        <v>1</v>
      </c>
      <c r="AC1238" s="4">
        <v>17</v>
      </c>
      <c r="AD1238" s="4">
        <v>106</v>
      </c>
      <c r="AE1238" s="4">
        <v>144</v>
      </c>
      <c r="AF1238" s="4">
        <v>0</v>
      </c>
      <c r="AG1238" s="4">
        <v>8</v>
      </c>
      <c r="AH1238" s="4">
        <v>96</v>
      </c>
      <c r="AI1238" s="4">
        <v>107</v>
      </c>
      <c r="AJ1238" s="4">
        <v>15</v>
      </c>
      <c r="AK1238" s="4">
        <v>26</v>
      </c>
      <c r="AL1238" s="4">
        <v>54</v>
      </c>
      <c r="AM1238" s="4">
        <v>56</v>
      </c>
      <c r="AN1238" s="4">
        <v>0</v>
      </c>
      <c r="AO1238" s="4">
        <v>0</v>
      </c>
      <c r="AP1238" s="4">
        <v>18</v>
      </c>
      <c r="AQ1238" s="4">
        <v>47</v>
      </c>
      <c r="AR1238" s="3" t="s">
        <v>62</v>
      </c>
      <c r="AS1238" s="3" t="s">
        <v>62</v>
      </c>
      <c r="AT1238" s="3" t="s">
        <v>62</v>
      </c>
      <c r="AV1238" s="6" t="str">
        <f>HYPERLINK("http://mcgill.on.worldcat.org/oclc/12052696","Catalog Record")</f>
        <v>Catalog Record</v>
      </c>
      <c r="AW1238" s="6" t="str">
        <f>HYPERLINK("http://www.worldcat.org/oclc/12052696","WorldCat Record")</f>
        <v>WorldCat Record</v>
      </c>
      <c r="AX1238" s="3" t="s">
        <v>12168</v>
      </c>
      <c r="AY1238" s="3" t="s">
        <v>12169</v>
      </c>
      <c r="AZ1238" s="3" t="s">
        <v>12170</v>
      </c>
      <c r="BA1238" s="3" t="s">
        <v>12170</v>
      </c>
      <c r="BB1238" s="3" t="s">
        <v>12171</v>
      </c>
      <c r="BC1238" s="3" t="s">
        <v>142</v>
      </c>
      <c r="BD1238" s="3" t="s">
        <v>68</v>
      </c>
      <c r="BE1238" s="3" t="s">
        <v>12172</v>
      </c>
      <c r="BF1238" s="3" t="s">
        <v>12171</v>
      </c>
      <c r="BG1238" s="3" t="s">
        <v>12173</v>
      </c>
    </row>
    <row r="1239" spans="1:59" ht="57" x14ac:dyDescent="0.45">
      <c r="A1239" s="2" t="s">
        <v>59</v>
      </c>
      <c r="B1239" s="2" t="s">
        <v>60</v>
      </c>
      <c r="C1239" s="2" t="s">
        <v>12174</v>
      </c>
      <c r="D1239" s="2" t="s">
        <v>12175</v>
      </c>
      <c r="E1239" s="2" t="s">
        <v>12176</v>
      </c>
      <c r="F1239" s="3" t="s">
        <v>86</v>
      </c>
      <c r="G1239" s="3" t="s">
        <v>61</v>
      </c>
      <c r="I1239" s="3" t="s">
        <v>62</v>
      </c>
      <c r="J1239" s="3" t="s">
        <v>62</v>
      </c>
      <c r="K1239" s="3" t="s">
        <v>63</v>
      </c>
      <c r="M1239" s="2" t="s">
        <v>4047</v>
      </c>
      <c r="N1239" s="3" t="s">
        <v>945</v>
      </c>
      <c r="P1239" s="3" t="s">
        <v>65</v>
      </c>
      <c r="Q1239" s="2" t="s">
        <v>12177</v>
      </c>
      <c r="R1239" s="3" t="s">
        <v>66</v>
      </c>
      <c r="S1239" s="4">
        <v>2</v>
      </c>
      <c r="T1239" s="4">
        <v>4</v>
      </c>
      <c r="U1239" s="5" t="s">
        <v>124</v>
      </c>
      <c r="V1239" s="5" t="s">
        <v>124</v>
      </c>
      <c r="W1239" s="5" t="s">
        <v>67</v>
      </c>
      <c r="X1239" s="5" t="s">
        <v>67</v>
      </c>
      <c r="Y1239" s="4">
        <v>47</v>
      </c>
      <c r="Z1239" s="4">
        <v>2</v>
      </c>
      <c r="AA1239" s="4">
        <v>2</v>
      </c>
      <c r="AB1239" s="4">
        <v>1</v>
      </c>
      <c r="AC1239" s="4">
        <v>1</v>
      </c>
      <c r="AD1239" s="4">
        <v>12</v>
      </c>
      <c r="AE1239" s="4">
        <v>12</v>
      </c>
      <c r="AF1239" s="4">
        <v>0</v>
      </c>
      <c r="AG1239" s="4">
        <v>0</v>
      </c>
      <c r="AH1239" s="4">
        <v>12</v>
      </c>
      <c r="AI1239" s="4">
        <v>12</v>
      </c>
      <c r="AJ1239" s="4">
        <v>1</v>
      </c>
      <c r="AK1239" s="4">
        <v>1</v>
      </c>
      <c r="AL1239" s="4">
        <v>10</v>
      </c>
      <c r="AM1239" s="4">
        <v>10</v>
      </c>
      <c r="AN1239" s="4">
        <v>0</v>
      </c>
      <c r="AO1239" s="4">
        <v>0</v>
      </c>
      <c r="AP1239" s="4">
        <v>1</v>
      </c>
      <c r="AQ1239" s="4">
        <v>1</v>
      </c>
      <c r="AR1239" s="3" t="s">
        <v>62</v>
      </c>
      <c r="AS1239" s="3" t="s">
        <v>62</v>
      </c>
      <c r="AT1239" s="3" t="s">
        <v>62</v>
      </c>
      <c r="AV1239" s="6" t="str">
        <f>HYPERLINK("http://mcgill.on.worldcat.org/oclc/86037968","Catalog Record")</f>
        <v>Catalog Record</v>
      </c>
      <c r="AW1239" s="6" t="str">
        <f>HYPERLINK("http://www.worldcat.org/oclc/86037968","WorldCat Record")</f>
        <v>WorldCat Record</v>
      </c>
      <c r="AX1239" s="3" t="s">
        <v>12178</v>
      </c>
      <c r="AY1239" s="3" t="s">
        <v>12179</v>
      </c>
      <c r="AZ1239" s="3" t="s">
        <v>12180</v>
      </c>
      <c r="BA1239" s="3" t="s">
        <v>12180</v>
      </c>
      <c r="BB1239" s="3" t="s">
        <v>12181</v>
      </c>
      <c r="BC1239" s="3" t="s">
        <v>142</v>
      </c>
      <c r="BD1239" s="3" t="s">
        <v>68</v>
      </c>
      <c r="BE1239" s="3" t="s">
        <v>12182</v>
      </c>
      <c r="BF1239" s="3" t="s">
        <v>12181</v>
      </c>
      <c r="BG1239" s="3" t="s">
        <v>12183</v>
      </c>
    </row>
    <row r="1240" spans="1:59" ht="57" x14ac:dyDescent="0.45">
      <c r="A1240" s="2" t="s">
        <v>59</v>
      </c>
      <c r="B1240" s="2" t="s">
        <v>60</v>
      </c>
      <c r="C1240" s="2" t="s">
        <v>12174</v>
      </c>
      <c r="D1240" s="2" t="s">
        <v>12175</v>
      </c>
      <c r="E1240" s="2" t="s">
        <v>12176</v>
      </c>
      <c r="F1240" s="3" t="s">
        <v>90</v>
      </c>
      <c r="G1240" s="3" t="s">
        <v>61</v>
      </c>
      <c r="I1240" s="3" t="s">
        <v>62</v>
      </c>
      <c r="J1240" s="3" t="s">
        <v>62</v>
      </c>
      <c r="K1240" s="3" t="s">
        <v>63</v>
      </c>
      <c r="M1240" s="2" t="s">
        <v>4047</v>
      </c>
      <c r="N1240" s="3" t="s">
        <v>945</v>
      </c>
      <c r="P1240" s="3" t="s">
        <v>65</v>
      </c>
      <c r="Q1240" s="2" t="s">
        <v>12177</v>
      </c>
      <c r="R1240" s="3" t="s">
        <v>66</v>
      </c>
      <c r="S1240" s="4">
        <v>0</v>
      </c>
      <c r="T1240" s="4">
        <v>4</v>
      </c>
      <c r="V1240" s="5" t="s">
        <v>124</v>
      </c>
      <c r="W1240" s="5" t="s">
        <v>67</v>
      </c>
      <c r="X1240" s="5" t="s">
        <v>67</v>
      </c>
      <c r="Y1240" s="4">
        <v>47</v>
      </c>
      <c r="Z1240" s="4">
        <v>2</v>
      </c>
      <c r="AA1240" s="4">
        <v>2</v>
      </c>
      <c r="AB1240" s="4">
        <v>1</v>
      </c>
      <c r="AC1240" s="4">
        <v>1</v>
      </c>
      <c r="AD1240" s="4">
        <v>12</v>
      </c>
      <c r="AE1240" s="4">
        <v>12</v>
      </c>
      <c r="AF1240" s="4">
        <v>0</v>
      </c>
      <c r="AG1240" s="4">
        <v>0</v>
      </c>
      <c r="AH1240" s="4">
        <v>12</v>
      </c>
      <c r="AI1240" s="4">
        <v>12</v>
      </c>
      <c r="AJ1240" s="4">
        <v>1</v>
      </c>
      <c r="AK1240" s="4">
        <v>1</v>
      </c>
      <c r="AL1240" s="4">
        <v>10</v>
      </c>
      <c r="AM1240" s="4">
        <v>10</v>
      </c>
      <c r="AN1240" s="4">
        <v>0</v>
      </c>
      <c r="AO1240" s="4">
        <v>0</v>
      </c>
      <c r="AP1240" s="4">
        <v>1</v>
      </c>
      <c r="AQ1240" s="4">
        <v>1</v>
      </c>
      <c r="AR1240" s="3" t="s">
        <v>62</v>
      </c>
      <c r="AS1240" s="3" t="s">
        <v>62</v>
      </c>
      <c r="AT1240" s="3" t="s">
        <v>62</v>
      </c>
      <c r="AV1240" s="6" t="str">
        <f>HYPERLINK("http://mcgill.on.worldcat.org/oclc/86037968","Catalog Record")</f>
        <v>Catalog Record</v>
      </c>
      <c r="AW1240" s="6" t="str">
        <f>HYPERLINK("http://www.worldcat.org/oclc/86037968","WorldCat Record")</f>
        <v>WorldCat Record</v>
      </c>
      <c r="AX1240" s="3" t="s">
        <v>12178</v>
      </c>
      <c r="AY1240" s="3" t="s">
        <v>12179</v>
      </c>
      <c r="AZ1240" s="3" t="s">
        <v>12180</v>
      </c>
      <c r="BA1240" s="3" t="s">
        <v>12180</v>
      </c>
      <c r="BB1240" s="3" t="s">
        <v>12184</v>
      </c>
      <c r="BC1240" s="3" t="s">
        <v>142</v>
      </c>
      <c r="BD1240" s="3" t="s">
        <v>68</v>
      </c>
      <c r="BE1240" s="3" t="s">
        <v>12182</v>
      </c>
      <c r="BF1240" s="3" t="s">
        <v>12184</v>
      </c>
      <c r="BG1240" s="3" t="s">
        <v>12185</v>
      </c>
    </row>
    <row r="1241" spans="1:59" ht="57" x14ac:dyDescent="0.45">
      <c r="A1241" s="2" t="s">
        <v>59</v>
      </c>
      <c r="B1241" s="2" t="s">
        <v>60</v>
      </c>
      <c r="C1241" s="2" t="s">
        <v>12174</v>
      </c>
      <c r="D1241" s="2" t="s">
        <v>12175</v>
      </c>
      <c r="E1241" s="2" t="s">
        <v>12176</v>
      </c>
      <c r="F1241" s="3" t="s">
        <v>87</v>
      </c>
      <c r="G1241" s="3" t="s">
        <v>61</v>
      </c>
      <c r="I1241" s="3" t="s">
        <v>62</v>
      </c>
      <c r="J1241" s="3" t="s">
        <v>62</v>
      </c>
      <c r="K1241" s="3" t="s">
        <v>63</v>
      </c>
      <c r="M1241" s="2" t="s">
        <v>4047</v>
      </c>
      <c r="N1241" s="3" t="s">
        <v>945</v>
      </c>
      <c r="P1241" s="3" t="s">
        <v>65</v>
      </c>
      <c r="Q1241" s="2" t="s">
        <v>12177</v>
      </c>
      <c r="R1241" s="3" t="s">
        <v>66</v>
      </c>
      <c r="S1241" s="4">
        <v>2</v>
      </c>
      <c r="T1241" s="4">
        <v>4</v>
      </c>
      <c r="U1241" s="5" t="s">
        <v>124</v>
      </c>
      <c r="V1241" s="5" t="s">
        <v>124</v>
      </c>
      <c r="W1241" s="5" t="s">
        <v>67</v>
      </c>
      <c r="X1241" s="5" t="s">
        <v>67</v>
      </c>
      <c r="Y1241" s="4">
        <v>47</v>
      </c>
      <c r="Z1241" s="4">
        <v>2</v>
      </c>
      <c r="AA1241" s="4">
        <v>2</v>
      </c>
      <c r="AB1241" s="4">
        <v>1</v>
      </c>
      <c r="AC1241" s="4">
        <v>1</v>
      </c>
      <c r="AD1241" s="4">
        <v>12</v>
      </c>
      <c r="AE1241" s="4">
        <v>12</v>
      </c>
      <c r="AF1241" s="4">
        <v>0</v>
      </c>
      <c r="AG1241" s="4">
        <v>0</v>
      </c>
      <c r="AH1241" s="4">
        <v>12</v>
      </c>
      <c r="AI1241" s="4">
        <v>12</v>
      </c>
      <c r="AJ1241" s="4">
        <v>1</v>
      </c>
      <c r="AK1241" s="4">
        <v>1</v>
      </c>
      <c r="AL1241" s="4">
        <v>10</v>
      </c>
      <c r="AM1241" s="4">
        <v>10</v>
      </c>
      <c r="AN1241" s="4">
        <v>0</v>
      </c>
      <c r="AO1241" s="4">
        <v>0</v>
      </c>
      <c r="AP1241" s="4">
        <v>1</v>
      </c>
      <c r="AQ1241" s="4">
        <v>1</v>
      </c>
      <c r="AR1241" s="3" t="s">
        <v>62</v>
      </c>
      <c r="AS1241" s="3" t="s">
        <v>62</v>
      </c>
      <c r="AT1241" s="3" t="s">
        <v>62</v>
      </c>
      <c r="AV1241" s="6" t="str">
        <f>HYPERLINK("http://mcgill.on.worldcat.org/oclc/86037968","Catalog Record")</f>
        <v>Catalog Record</v>
      </c>
      <c r="AW1241" s="6" t="str">
        <f>HYPERLINK("http://www.worldcat.org/oclc/86037968","WorldCat Record")</f>
        <v>WorldCat Record</v>
      </c>
      <c r="AX1241" s="3" t="s">
        <v>12178</v>
      </c>
      <c r="AY1241" s="3" t="s">
        <v>12179</v>
      </c>
      <c r="AZ1241" s="3" t="s">
        <v>12180</v>
      </c>
      <c r="BA1241" s="3" t="s">
        <v>12180</v>
      </c>
      <c r="BB1241" s="3" t="s">
        <v>12186</v>
      </c>
      <c r="BC1241" s="3" t="s">
        <v>142</v>
      </c>
      <c r="BD1241" s="3" t="s">
        <v>68</v>
      </c>
      <c r="BE1241" s="3" t="s">
        <v>12182</v>
      </c>
      <c r="BF1241" s="3" t="s">
        <v>12186</v>
      </c>
      <c r="BG1241" s="3" t="s">
        <v>12187</v>
      </c>
    </row>
    <row r="1242" spans="1:59" ht="57" x14ac:dyDescent="0.45">
      <c r="A1242" s="2" t="s">
        <v>59</v>
      </c>
      <c r="B1242" s="2" t="s">
        <v>60</v>
      </c>
      <c r="C1242" s="2" t="s">
        <v>12188</v>
      </c>
      <c r="D1242" s="2" t="s">
        <v>12189</v>
      </c>
      <c r="E1242" s="2" t="s">
        <v>12190</v>
      </c>
      <c r="G1242" s="3" t="s">
        <v>62</v>
      </c>
      <c r="I1242" s="3" t="s">
        <v>62</v>
      </c>
      <c r="J1242" s="3" t="s">
        <v>62</v>
      </c>
      <c r="K1242" s="3" t="s">
        <v>63</v>
      </c>
      <c r="L1242" s="2" t="s">
        <v>12191</v>
      </c>
      <c r="M1242" s="2" t="s">
        <v>1781</v>
      </c>
      <c r="N1242" s="3" t="s">
        <v>149</v>
      </c>
      <c r="P1242" s="3" t="s">
        <v>65</v>
      </c>
      <c r="Q1242" s="2" t="s">
        <v>12192</v>
      </c>
      <c r="R1242" s="3" t="s">
        <v>66</v>
      </c>
      <c r="S1242" s="4">
        <v>2</v>
      </c>
      <c r="T1242" s="4">
        <v>2</v>
      </c>
      <c r="U1242" s="5" t="s">
        <v>4276</v>
      </c>
      <c r="V1242" s="5" t="s">
        <v>4276</v>
      </c>
      <c r="W1242" s="5" t="s">
        <v>67</v>
      </c>
      <c r="X1242" s="5" t="s">
        <v>67</v>
      </c>
      <c r="Y1242" s="4">
        <v>179</v>
      </c>
      <c r="Z1242" s="4">
        <v>23</v>
      </c>
      <c r="AA1242" s="4">
        <v>101</v>
      </c>
      <c r="AB1242" s="4">
        <v>3</v>
      </c>
      <c r="AC1242" s="4">
        <v>18</v>
      </c>
      <c r="AD1242" s="4">
        <v>72</v>
      </c>
      <c r="AE1242" s="4">
        <v>125</v>
      </c>
      <c r="AF1242" s="4">
        <v>1</v>
      </c>
      <c r="AG1242" s="4">
        <v>8</v>
      </c>
      <c r="AH1242" s="4">
        <v>63</v>
      </c>
      <c r="AI1242" s="4">
        <v>87</v>
      </c>
      <c r="AJ1242" s="4">
        <v>12</v>
      </c>
      <c r="AK1242" s="4">
        <v>26</v>
      </c>
      <c r="AL1242" s="4">
        <v>38</v>
      </c>
      <c r="AM1242" s="4">
        <v>47</v>
      </c>
      <c r="AN1242" s="4">
        <v>0</v>
      </c>
      <c r="AO1242" s="4">
        <v>0</v>
      </c>
      <c r="AP1242" s="4">
        <v>16</v>
      </c>
      <c r="AQ1242" s="4">
        <v>48</v>
      </c>
      <c r="AR1242" s="3" t="s">
        <v>62</v>
      </c>
      <c r="AS1242" s="3" t="s">
        <v>62</v>
      </c>
      <c r="AT1242" s="3" t="s">
        <v>62</v>
      </c>
      <c r="AV1242" s="6" t="str">
        <f>HYPERLINK("http://mcgill.on.worldcat.org/oclc/432982954","Catalog Record")</f>
        <v>Catalog Record</v>
      </c>
      <c r="AW1242" s="6" t="str">
        <f>HYPERLINK("http://www.worldcat.org/oclc/432982954","WorldCat Record")</f>
        <v>WorldCat Record</v>
      </c>
      <c r="AX1242" s="3" t="s">
        <v>12193</v>
      </c>
      <c r="AY1242" s="3" t="s">
        <v>12194</v>
      </c>
      <c r="AZ1242" s="3" t="s">
        <v>12195</v>
      </c>
      <c r="BA1242" s="3" t="s">
        <v>12195</v>
      </c>
      <c r="BB1242" s="3" t="s">
        <v>12196</v>
      </c>
      <c r="BC1242" s="3" t="s">
        <v>142</v>
      </c>
      <c r="BD1242" s="3" t="s">
        <v>68</v>
      </c>
      <c r="BE1242" s="3" t="s">
        <v>12197</v>
      </c>
      <c r="BF1242" s="3" t="s">
        <v>12196</v>
      </c>
      <c r="BG1242" s="3" t="s">
        <v>12198</v>
      </c>
    </row>
    <row r="1243" spans="1:59" ht="57" x14ac:dyDescent="0.45">
      <c r="A1243" s="2" t="s">
        <v>59</v>
      </c>
      <c r="B1243" s="2" t="s">
        <v>60</v>
      </c>
      <c r="C1243" s="2" t="s">
        <v>12199</v>
      </c>
      <c r="D1243" s="2" t="s">
        <v>12200</v>
      </c>
      <c r="E1243" s="2" t="s">
        <v>12201</v>
      </c>
      <c r="G1243" s="3" t="s">
        <v>62</v>
      </c>
      <c r="I1243" s="3" t="s">
        <v>61</v>
      </c>
      <c r="J1243" s="3" t="s">
        <v>62</v>
      </c>
      <c r="K1243" s="3" t="s">
        <v>63</v>
      </c>
      <c r="L1243" s="2" t="s">
        <v>11349</v>
      </c>
      <c r="M1243" s="2" t="s">
        <v>12202</v>
      </c>
      <c r="N1243" s="3" t="s">
        <v>625</v>
      </c>
      <c r="O1243" s="2" t="s">
        <v>3255</v>
      </c>
      <c r="P1243" s="3" t="s">
        <v>65</v>
      </c>
      <c r="R1243" s="3" t="s">
        <v>66</v>
      </c>
      <c r="S1243" s="4">
        <v>14</v>
      </c>
      <c r="T1243" s="4">
        <v>55</v>
      </c>
      <c r="U1243" s="5" t="s">
        <v>5605</v>
      </c>
      <c r="V1243" s="5" t="s">
        <v>5605</v>
      </c>
      <c r="W1243" s="5" t="s">
        <v>67</v>
      </c>
      <c r="X1243" s="5" t="s">
        <v>67</v>
      </c>
      <c r="Y1243" s="4">
        <v>504</v>
      </c>
      <c r="Z1243" s="4">
        <v>32</v>
      </c>
      <c r="AA1243" s="4">
        <v>44</v>
      </c>
      <c r="AB1243" s="4">
        <v>2</v>
      </c>
      <c r="AC1243" s="4">
        <v>7</v>
      </c>
      <c r="AD1243" s="4">
        <v>114</v>
      </c>
      <c r="AE1243" s="4">
        <v>131</v>
      </c>
      <c r="AF1243" s="4">
        <v>1</v>
      </c>
      <c r="AG1243" s="4">
        <v>4</v>
      </c>
      <c r="AH1243" s="4">
        <v>95</v>
      </c>
      <c r="AI1243" s="4">
        <v>107</v>
      </c>
      <c r="AJ1243" s="4">
        <v>18</v>
      </c>
      <c r="AK1243" s="4">
        <v>23</v>
      </c>
      <c r="AL1243" s="4">
        <v>52</v>
      </c>
      <c r="AM1243" s="4">
        <v>55</v>
      </c>
      <c r="AN1243" s="4">
        <v>0</v>
      </c>
      <c r="AO1243" s="4">
        <v>0</v>
      </c>
      <c r="AP1243" s="4">
        <v>28</v>
      </c>
      <c r="AQ1243" s="4">
        <v>34</v>
      </c>
      <c r="AR1243" s="3" t="s">
        <v>62</v>
      </c>
      <c r="AS1243" s="3" t="s">
        <v>62</v>
      </c>
      <c r="AT1243" s="3" t="s">
        <v>61</v>
      </c>
      <c r="AU1243" s="6" t="str">
        <f>HYPERLINK("http://catalog.hathitrust.org/Record/000537448","HathiTrust Record")</f>
        <v>HathiTrust Record</v>
      </c>
      <c r="AV1243" s="6" t="str">
        <f>HYPERLINK("http://mcgill.on.worldcat.org/oclc/13360870","Catalog Record")</f>
        <v>Catalog Record</v>
      </c>
      <c r="AW1243" s="6" t="str">
        <f>HYPERLINK("http://www.worldcat.org/oclc/13360870","WorldCat Record")</f>
        <v>WorldCat Record</v>
      </c>
      <c r="AX1243" s="3" t="s">
        <v>12203</v>
      </c>
      <c r="AY1243" s="3" t="s">
        <v>12204</v>
      </c>
      <c r="AZ1243" s="3" t="s">
        <v>12205</v>
      </c>
      <c r="BA1243" s="3" t="s">
        <v>12205</v>
      </c>
      <c r="BB1243" s="3" t="s">
        <v>12206</v>
      </c>
      <c r="BC1243" s="3" t="s">
        <v>142</v>
      </c>
      <c r="BD1243" s="3" t="s">
        <v>68</v>
      </c>
      <c r="BE1243" s="3" t="s">
        <v>12207</v>
      </c>
      <c r="BF1243" s="3" t="s">
        <v>12206</v>
      </c>
      <c r="BG1243" s="3" t="s">
        <v>12208</v>
      </c>
    </row>
    <row r="1244" spans="1:59" ht="57" x14ac:dyDescent="0.45">
      <c r="A1244" s="2" t="s">
        <v>59</v>
      </c>
      <c r="B1244" s="2" t="s">
        <v>60</v>
      </c>
      <c r="C1244" s="2" t="s">
        <v>12199</v>
      </c>
      <c r="D1244" s="2" t="s">
        <v>12200</v>
      </c>
      <c r="E1244" s="2" t="s">
        <v>12201</v>
      </c>
      <c r="G1244" s="3" t="s">
        <v>62</v>
      </c>
      <c r="I1244" s="3" t="s">
        <v>61</v>
      </c>
      <c r="J1244" s="3" t="s">
        <v>62</v>
      </c>
      <c r="K1244" s="3" t="s">
        <v>63</v>
      </c>
      <c r="L1244" s="2" t="s">
        <v>11349</v>
      </c>
      <c r="M1244" s="2" t="s">
        <v>12202</v>
      </c>
      <c r="N1244" s="3" t="s">
        <v>625</v>
      </c>
      <c r="O1244" s="2" t="s">
        <v>3255</v>
      </c>
      <c r="P1244" s="3" t="s">
        <v>65</v>
      </c>
      <c r="R1244" s="3" t="s">
        <v>66</v>
      </c>
      <c r="S1244" s="4">
        <v>0</v>
      </c>
      <c r="T1244" s="4">
        <v>55</v>
      </c>
      <c r="V1244" s="5" t="s">
        <v>5605</v>
      </c>
      <c r="W1244" s="5" t="s">
        <v>67</v>
      </c>
      <c r="X1244" s="5" t="s">
        <v>67</v>
      </c>
      <c r="Y1244" s="4">
        <v>504</v>
      </c>
      <c r="Z1244" s="4">
        <v>32</v>
      </c>
      <c r="AA1244" s="4">
        <v>44</v>
      </c>
      <c r="AB1244" s="4">
        <v>2</v>
      </c>
      <c r="AC1244" s="4">
        <v>7</v>
      </c>
      <c r="AD1244" s="4">
        <v>114</v>
      </c>
      <c r="AE1244" s="4">
        <v>131</v>
      </c>
      <c r="AF1244" s="4">
        <v>1</v>
      </c>
      <c r="AG1244" s="4">
        <v>4</v>
      </c>
      <c r="AH1244" s="4">
        <v>95</v>
      </c>
      <c r="AI1244" s="4">
        <v>107</v>
      </c>
      <c r="AJ1244" s="4">
        <v>18</v>
      </c>
      <c r="AK1244" s="4">
        <v>23</v>
      </c>
      <c r="AL1244" s="4">
        <v>52</v>
      </c>
      <c r="AM1244" s="4">
        <v>55</v>
      </c>
      <c r="AN1244" s="4">
        <v>0</v>
      </c>
      <c r="AO1244" s="4">
        <v>0</v>
      </c>
      <c r="AP1244" s="4">
        <v>28</v>
      </c>
      <c r="AQ1244" s="4">
        <v>34</v>
      </c>
      <c r="AR1244" s="3" t="s">
        <v>62</v>
      </c>
      <c r="AS1244" s="3" t="s">
        <v>62</v>
      </c>
      <c r="AT1244" s="3" t="s">
        <v>61</v>
      </c>
      <c r="AU1244" s="6" t="str">
        <f>HYPERLINK("http://catalog.hathitrust.org/Record/000537448","HathiTrust Record")</f>
        <v>HathiTrust Record</v>
      </c>
      <c r="AV1244" s="6" t="str">
        <f>HYPERLINK("http://mcgill.on.worldcat.org/oclc/13360870","Catalog Record")</f>
        <v>Catalog Record</v>
      </c>
      <c r="AW1244" s="6" t="str">
        <f>HYPERLINK("http://www.worldcat.org/oclc/13360870","WorldCat Record")</f>
        <v>WorldCat Record</v>
      </c>
      <c r="AX1244" s="3" t="s">
        <v>12203</v>
      </c>
      <c r="AY1244" s="3" t="s">
        <v>12204</v>
      </c>
      <c r="AZ1244" s="3" t="s">
        <v>12205</v>
      </c>
      <c r="BA1244" s="3" t="s">
        <v>12205</v>
      </c>
      <c r="BB1244" s="3" t="s">
        <v>12209</v>
      </c>
      <c r="BC1244" s="3" t="s">
        <v>142</v>
      </c>
      <c r="BD1244" s="3" t="s">
        <v>68</v>
      </c>
      <c r="BE1244" s="3" t="s">
        <v>12207</v>
      </c>
      <c r="BF1244" s="3" t="s">
        <v>12209</v>
      </c>
      <c r="BG1244" s="3" t="s">
        <v>12210</v>
      </c>
    </row>
    <row r="1245" spans="1:59" ht="57" x14ac:dyDescent="0.45">
      <c r="A1245" s="2" t="s">
        <v>59</v>
      </c>
      <c r="B1245" s="2" t="s">
        <v>60</v>
      </c>
      <c r="C1245" s="2" t="s">
        <v>12199</v>
      </c>
      <c r="D1245" s="2" t="s">
        <v>12200</v>
      </c>
      <c r="E1245" s="2" t="s">
        <v>12201</v>
      </c>
      <c r="G1245" s="3" t="s">
        <v>62</v>
      </c>
      <c r="I1245" s="3" t="s">
        <v>61</v>
      </c>
      <c r="J1245" s="3" t="s">
        <v>62</v>
      </c>
      <c r="K1245" s="3" t="s">
        <v>63</v>
      </c>
      <c r="L1245" s="2" t="s">
        <v>11349</v>
      </c>
      <c r="M1245" s="2" t="s">
        <v>12202</v>
      </c>
      <c r="N1245" s="3" t="s">
        <v>625</v>
      </c>
      <c r="O1245" s="2" t="s">
        <v>3255</v>
      </c>
      <c r="P1245" s="3" t="s">
        <v>65</v>
      </c>
      <c r="R1245" s="3" t="s">
        <v>66</v>
      </c>
      <c r="S1245" s="4">
        <v>18</v>
      </c>
      <c r="T1245" s="4">
        <v>55</v>
      </c>
      <c r="U1245" s="5" t="s">
        <v>12211</v>
      </c>
      <c r="V1245" s="5" t="s">
        <v>5605</v>
      </c>
      <c r="W1245" s="5" t="s">
        <v>67</v>
      </c>
      <c r="X1245" s="5" t="s">
        <v>67</v>
      </c>
      <c r="Y1245" s="4">
        <v>504</v>
      </c>
      <c r="Z1245" s="4">
        <v>32</v>
      </c>
      <c r="AA1245" s="4">
        <v>44</v>
      </c>
      <c r="AB1245" s="4">
        <v>2</v>
      </c>
      <c r="AC1245" s="4">
        <v>7</v>
      </c>
      <c r="AD1245" s="4">
        <v>114</v>
      </c>
      <c r="AE1245" s="4">
        <v>131</v>
      </c>
      <c r="AF1245" s="4">
        <v>1</v>
      </c>
      <c r="AG1245" s="4">
        <v>4</v>
      </c>
      <c r="AH1245" s="4">
        <v>95</v>
      </c>
      <c r="AI1245" s="4">
        <v>107</v>
      </c>
      <c r="AJ1245" s="4">
        <v>18</v>
      </c>
      <c r="AK1245" s="4">
        <v>23</v>
      </c>
      <c r="AL1245" s="4">
        <v>52</v>
      </c>
      <c r="AM1245" s="4">
        <v>55</v>
      </c>
      <c r="AN1245" s="4">
        <v>0</v>
      </c>
      <c r="AO1245" s="4">
        <v>0</v>
      </c>
      <c r="AP1245" s="4">
        <v>28</v>
      </c>
      <c r="AQ1245" s="4">
        <v>34</v>
      </c>
      <c r="AR1245" s="3" t="s">
        <v>62</v>
      </c>
      <c r="AS1245" s="3" t="s">
        <v>62</v>
      </c>
      <c r="AT1245" s="3" t="s">
        <v>61</v>
      </c>
      <c r="AU1245" s="6" t="str">
        <f>HYPERLINK("http://catalog.hathitrust.org/Record/000537448","HathiTrust Record")</f>
        <v>HathiTrust Record</v>
      </c>
      <c r="AV1245" s="6" t="str">
        <f>HYPERLINK("http://mcgill.on.worldcat.org/oclc/13360870","Catalog Record")</f>
        <v>Catalog Record</v>
      </c>
      <c r="AW1245" s="6" t="str">
        <f>HYPERLINK("http://www.worldcat.org/oclc/13360870","WorldCat Record")</f>
        <v>WorldCat Record</v>
      </c>
      <c r="AX1245" s="3" t="s">
        <v>12203</v>
      </c>
      <c r="AY1245" s="3" t="s">
        <v>12204</v>
      </c>
      <c r="AZ1245" s="3" t="s">
        <v>12205</v>
      </c>
      <c r="BA1245" s="3" t="s">
        <v>12205</v>
      </c>
      <c r="BB1245" s="3" t="s">
        <v>12212</v>
      </c>
      <c r="BC1245" s="3" t="s">
        <v>142</v>
      </c>
      <c r="BD1245" s="3" t="s">
        <v>68</v>
      </c>
      <c r="BE1245" s="3" t="s">
        <v>12207</v>
      </c>
      <c r="BF1245" s="3" t="s">
        <v>12212</v>
      </c>
      <c r="BG1245" s="3" t="s">
        <v>12213</v>
      </c>
    </row>
    <row r="1246" spans="1:59" ht="57" x14ac:dyDescent="0.45">
      <c r="A1246" s="2" t="s">
        <v>59</v>
      </c>
      <c r="B1246" s="2" t="s">
        <v>60</v>
      </c>
      <c r="C1246" s="2" t="s">
        <v>12199</v>
      </c>
      <c r="D1246" s="2" t="s">
        <v>12200</v>
      </c>
      <c r="E1246" s="2" t="s">
        <v>12201</v>
      </c>
      <c r="G1246" s="3" t="s">
        <v>62</v>
      </c>
      <c r="I1246" s="3" t="s">
        <v>61</v>
      </c>
      <c r="J1246" s="3" t="s">
        <v>62</v>
      </c>
      <c r="K1246" s="3" t="s">
        <v>63</v>
      </c>
      <c r="L1246" s="2" t="s">
        <v>11349</v>
      </c>
      <c r="M1246" s="2" t="s">
        <v>12202</v>
      </c>
      <c r="N1246" s="3" t="s">
        <v>625</v>
      </c>
      <c r="O1246" s="2" t="s">
        <v>3255</v>
      </c>
      <c r="P1246" s="3" t="s">
        <v>65</v>
      </c>
      <c r="R1246" s="3" t="s">
        <v>66</v>
      </c>
      <c r="S1246" s="4">
        <v>7</v>
      </c>
      <c r="T1246" s="4">
        <v>55</v>
      </c>
      <c r="U1246" s="5" t="s">
        <v>12214</v>
      </c>
      <c r="V1246" s="5" t="s">
        <v>5605</v>
      </c>
      <c r="W1246" s="5" t="s">
        <v>67</v>
      </c>
      <c r="X1246" s="5" t="s">
        <v>67</v>
      </c>
      <c r="Y1246" s="4">
        <v>504</v>
      </c>
      <c r="Z1246" s="4">
        <v>32</v>
      </c>
      <c r="AA1246" s="4">
        <v>44</v>
      </c>
      <c r="AB1246" s="4">
        <v>2</v>
      </c>
      <c r="AC1246" s="4">
        <v>7</v>
      </c>
      <c r="AD1246" s="4">
        <v>114</v>
      </c>
      <c r="AE1246" s="4">
        <v>131</v>
      </c>
      <c r="AF1246" s="4">
        <v>1</v>
      </c>
      <c r="AG1246" s="4">
        <v>4</v>
      </c>
      <c r="AH1246" s="4">
        <v>95</v>
      </c>
      <c r="AI1246" s="4">
        <v>107</v>
      </c>
      <c r="AJ1246" s="4">
        <v>18</v>
      </c>
      <c r="AK1246" s="4">
        <v>23</v>
      </c>
      <c r="AL1246" s="4">
        <v>52</v>
      </c>
      <c r="AM1246" s="4">
        <v>55</v>
      </c>
      <c r="AN1246" s="4">
        <v>0</v>
      </c>
      <c r="AO1246" s="4">
        <v>0</v>
      </c>
      <c r="AP1246" s="4">
        <v>28</v>
      </c>
      <c r="AQ1246" s="4">
        <v>34</v>
      </c>
      <c r="AR1246" s="3" t="s">
        <v>62</v>
      </c>
      <c r="AS1246" s="3" t="s">
        <v>62</v>
      </c>
      <c r="AT1246" s="3" t="s">
        <v>61</v>
      </c>
      <c r="AU1246" s="6" t="str">
        <f>HYPERLINK("http://catalog.hathitrust.org/Record/000537448","HathiTrust Record")</f>
        <v>HathiTrust Record</v>
      </c>
      <c r="AV1246" s="6" t="str">
        <f>HYPERLINK("http://mcgill.on.worldcat.org/oclc/13360870","Catalog Record")</f>
        <v>Catalog Record</v>
      </c>
      <c r="AW1246" s="6" t="str">
        <f>HYPERLINK("http://www.worldcat.org/oclc/13360870","WorldCat Record")</f>
        <v>WorldCat Record</v>
      </c>
      <c r="AX1246" s="3" t="s">
        <v>12203</v>
      </c>
      <c r="AY1246" s="3" t="s">
        <v>12204</v>
      </c>
      <c r="AZ1246" s="3" t="s">
        <v>12205</v>
      </c>
      <c r="BA1246" s="3" t="s">
        <v>12205</v>
      </c>
      <c r="BB1246" s="3" t="s">
        <v>12215</v>
      </c>
      <c r="BC1246" s="3" t="s">
        <v>142</v>
      </c>
      <c r="BD1246" s="3" t="s">
        <v>68</v>
      </c>
      <c r="BE1246" s="3" t="s">
        <v>12207</v>
      </c>
      <c r="BF1246" s="3" t="s">
        <v>12215</v>
      </c>
      <c r="BG1246" s="3" t="s">
        <v>12216</v>
      </c>
    </row>
    <row r="1247" spans="1:59" ht="57" x14ac:dyDescent="0.45">
      <c r="A1247" s="2" t="s">
        <v>59</v>
      </c>
      <c r="B1247" s="2" t="s">
        <v>60</v>
      </c>
      <c r="C1247" s="2" t="s">
        <v>12199</v>
      </c>
      <c r="D1247" s="2" t="s">
        <v>12200</v>
      </c>
      <c r="E1247" s="2" t="s">
        <v>12201</v>
      </c>
      <c r="G1247" s="3" t="s">
        <v>62</v>
      </c>
      <c r="I1247" s="3" t="s">
        <v>61</v>
      </c>
      <c r="J1247" s="3" t="s">
        <v>62</v>
      </c>
      <c r="K1247" s="3" t="s">
        <v>63</v>
      </c>
      <c r="L1247" s="2" t="s">
        <v>11349</v>
      </c>
      <c r="M1247" s="2" t="s">
        <v>12202</v>
      </c>
      <c r="N1247" s="3" t="s">
        <v>625</v>
      </c>
      <c r="O1247" s="2" t="s">
        <v>3255</v>
      </c>
      <c r="P1247" s="3" t="s">
        <v>65</v>
      </c>
      <c r="R1247" s="3" t="s">
        <v>66</v>
      </c>
      <c r="S1247" s="4">
        <v>16</v>
      </c>
      <c r="T1247" s="4">
        <v>55</v>
      </c>
      <c r="U1247" s="5" t="s">
        <v>12217</v>
      </c>
      <c r="V1247" s="5" t="s">
        <v>5605</v>
      </c>
      <c r="W1247" s="5" t="s">
        <v>67</v>
      </c>
      <c r="X1247" s="5" t="s">
        <v>67</v>
      </c>
      <c r="Y1247" s="4">
        <v>504</v>
      </c>
      <c r="Z1247" s="4">
        <v>32</v>
      </c>
      <c r="AA1247" s="4">
        <v>44</v>
      </c>
      <c r="AB1247" s="4">
        <v>2</v>
      </c>
      <c r="AC1247" s="4">
        <v>7</v>
      </c>
      <c r="AD1247" s="4">
        <v>114</v>
      </c>
      <c r="AE1247" s="4">
        <v>131</v>
      </c>
      <c r="AF1247" s="4">
        <v>1</v>
      </c>
      <c r="AG1247" s="4">
        <v>4</v>
      </c>
      <c r="AH1247" s="4">
        <v>95</v>
      </c>
      <c r="AI1247" s="4">
        <v>107</v>
      </c>
      <c r="AJ1247" s="4">
        <v>18</v>
      </c>
      <c r="AK1247" s="4">
        <v>23</v>
      </c>
      <c r="AL1247" s="4">
        <v>52</v>
      </c>
      <c r="AM1247" s="4">
        <v>55</v>
      </c>
      <c r="AN1247" s="4">
        <v>0</v>
      </c>
      <c r="AO1247" s="4">
        <v>0</v>
      </c>
      <c r="AP1247" s="4">
        <v>28</v>
      </c>
      <c r="AQ1247" s="4">
        <v>34</v>
      </c>
      <c r="AR1247" s="3" t="s">
        <v>62</v>
      </c>
      <c r="AS1247" s="3" t="s">
        <v>62</v>
      </c>
      <c r="AT1247" s="3" t="s">
        <v>61</v>
      </c>
      <c r="AU1247" s="6" t="str">
        <f>HYPERLINK("http://catalog.hathitrust.org/Record/000537448","HathiTrust Record")</f>
        <v>HathiTrust Record</v>
      </c>
      <c r="AV1247" s="6" t="str">
        <f>HYPERLINK("http://mcgill.on.worldcat.org/oclc/13360870","Catalog Record")</f>
        <v>Catalog Record</v>
      </c>
      <c r="AW1247" s="6" t="str">
        <f>HYPERLINK("http://www.worldcat.org/oclc/13360870","WorldCat Record")</f>
        <v>WorldCat Record</v>
      </c>
      <c r="AX1247" s="3" t="s">
        <v>12203</v>
      </c>
      <c r="AY1247" s="3" t="s">
        <v>12204</v>
      </c>
      <c r="AZ1247" s="3" t="s">
        <v>12205</v>
      </c>
      <c r="BA1247" s="3" t="s">
        <v>12205</v>
      </c>
      <c r="BB1247" s="3" t="s">
        <v>12218</v>
      </c>
      <c r="BC1247" s="3" t="s">
        <v>142</v>
      </c>
      <c r="BD1247" s="3" t="s">
        <v>68</v>
      </c>
      <c r="BE1247" s="3" t="s">
        <v>12207</v>
      </c>
      <c r="BF1247" s="3" t="s">
        <v>12218</v>
      </c>
      <c r="BG1247" s="3" t="s">
        <v>12219</v>
      </c>
    </row>
    <row r="1248" spans="1:59" ht="57" x14ac:dyDescent="0.45">
      <c r="A1248" s="2" t="s">
        <v>59</v>
      </c>
      <c r="B1248" s="2" t="s">
        <v>60</v>
      </c>
      <c r="C1248" s="2" t="s">
        <v>12220</v>
      </c>
      <c r="D1248" s="2" t="s">
        <v>12221</v>
      </c>
      <c r="E1248" s="2" t="s">
        <v>12222</v>
      </c>
      <c r="G1248" s="3" t="s">
        <v>62</v>
      </c>
      <c r="I1248" s="3" t="s">
        <v>61</v>
      </c>
      <c r="J1248" s="3" t="s">
        <v>62</v>
      </c>
      <c r="K1248" s="3" t="s">
        <v>63</v>
      </c>
      <c r="L1248" s="2" t="s">
        <v>11349</v>
      </c>
      <c r="M1248" s="2" t="s">
        <v>12223</v>
      </c>
      <c r="N1248" s="3" t="s">
        <v>1073</v>
      </c>
      <c r="P1248" s="3" t="s">
        <v>65</v>
      </c>
      <c r="R1248" s="3" t="s">
        <v>66</v>
      </c>
      <c r="S1248" s="4">
        <v>1</v>
      </c>
      <c r="T1248" s="4">
        <v>3</v>
      </c>
      <c r="U1248" s="5" t="s">
        <v>445</v>
      </c>
      <c r="V1248" s="5" t="s">
        <v>445</v>
      </c>
      <c r="W1248" s="5" t="s">
        <v>67</v>
      </c>
      <c r="X1248" s="5" t="s">
        <v>67</v>
      </c>
      <c r="Y1248" s="4">
        <v>132</v>
      </c>
      <c r="Z1248" s="4">
        <v>20</v>
      </c>
      <c r="AA1248" s="4">
        <v>36</v>
      </c>
      <c r="AB1248" s="4">
        <v>1</v>
      </c>
      <c r="AC1248" s="4">
        <v>3</v>
      </c>
      <c r="AD1248" s="4">
        <v>56</v>
      </c>
      <c r="AE1248" s="4">
        <v>82</v>
      </c>
      <c r="AF1248" s="4">
        <v>0</v>
      </c>
      <c r="AG1248" s="4">
        <v>2</v>
      </c>
      <c r="AH1248" s="4">
        <v>46</v>
      </c>
      <c r="AI1248" s="4">
        <v>63</v>
      </c>
      <c r="AJ1248" s="4">
        <v>15</v>
      </c>
      <c r="AK1248" s="4">
        <v>21</v>
      </c>
      <c r="AL1248" s="4">
        <v>24</v>
      </c>
      <c r="AM1248" s="4">
        <v>33</v>
      </c>
      <c r="AN1248" s="4">
        <v>0</v>
      </c>
      <c r="AO1248" s="4">
        <v>0</v>
      </c>
      <c r="AP1248" s="4">
        <v>18</v>
      </c>
      <c r="AQ1248" s="4">
        <v>28</v>
      </c>
      <c r="AR1248" s="3" t="s">
        <v>62</v>
      </c>
      <c r="AS1248" s="3" t="s">
        <v>62</v>
      </c>
      <c r="AT1248" s="3" t="s">
        <v>61</v>
      </c>
      <c r="AU1248" s="6" t="str">
        <f>HYPERLINK("http://catalog.hathitrust.org/Record/000173016","HathiTrust Record")</f>
        <v>HathiTrust Record</v>
      </c>
      <c r="AV1248" s="6" t="str">
        <f>HYPERLINK("http://mcgill.on.worldcat.org/oclc/2794724","Catalog Record")</f>
        <v>Catalog Record</v>
      </c>
      <c r="AW1248" s="6" t="str">
        <f>HYPERLINK("http://www.worldcat.org/oclc/2794724","WorldCat Record")</f>
        <v>WorldCat Record</v>
      </c>
      <c r="AX1248" s="3" t="s">
        <v>12224</v>
      </c>
      <c r="AY1248" s="3" t="s">
        <v>12225</v>
      </c>
      <c r="AZ1248" s="3" t="s">
        <v>12226</v>
      </c>
      <c r="BA1248" s="3" t="s">
        <v>12226</v>
      </c>
      <c r="BB1248" s="3" t="s">
        <v>12227</v>
      </c>
      <c r="BC1248" s="3" t="s">
        <v>142</v>
      </c>
      <c r="BD1248" s="3" t="s">
        <v>68</v>
      </c>
      <c r="BE1248" s="3" t="s">
        <v>12228</v>
      </c>
      <c r="BF1248" s="3" t="s">
        <v>12227</v>
      </c>
      <c r="BG1248" s="3" t="s">
        <v>12229</v>
      </c>
    </row>
    <row r="1249" spans="1:59" ht="57" x14ac:dyDescent="0.45">
      <c r="A1249" s="2" t="s">
        <v>59</v>
      </c>
      <c r="B1249" s="2" t="s">
        <v>60</v>
      </c>
      <c r="C1249" s="2" t="s">
        <v>12220</v>
      </c>
      <c r="D1249" s="2" t="s">
        <v>12221</v>
      </c>
      <c r="E1249" s="2" t="s">
        <v>12222</v>
      </c>
      <c r="G1249" s="3" t="s">
        <v>62</v>
      </c>
      <c r="I1249" s="3" t="s">
        <v>61</v>
      </c>
      <c r="J1249" s="3" t="s">
        <v>62</v>
      </c>
      <c r="K1249" s="3" t="s">
        <v>63</v>
      </c>
      <c r="L1249" s="2" t="s">
        <v>11349</v>
      </c>
      <c r="M1249" s="2" t="s">
        <v>12223</v>
      </c>
      <c r="N1249" s="3" t="s">
        <v>1073</v>
      </c>
      <c r="P1249" s="3" t="s">
        <v>65</v>
      </c>
      <c r="R1249" s="3" t="s">
        <v>66</v>
      </c>
      <c r="S1249" s="4">
        <v>2</v>
      </c>
      <c r="T1249" s="4">
        <v>3</v>
      </c>
      <c r="U1249" s="5" t="s">
        <v>12214</v>
      </c>
      <c r="V1249" s="5" t="s">
        <v>445</v>
      </c>
      <c r="W1249" s="5" t="s">
        <v>67</v>
      </c>
      <c r="X1249" s="5" t="s">
        <v>67</v>
      </c>
      <c r="Y1249" s="4">
        <v>132</v>
      </c>
      <c r="Z1249" s="4">
        <v>20</v>
      </c>
      <c r="AA1249" s="4">
        <v>36</v>
      </c>
      <c r="AB1249" s="4">
        <v>1</v>
      </c>
      <c r="AC1249" s="4">
        <v>3</v>
      </c>
      <c r="AD1249" s="4">
        <v>56</v>
      </c>
      <c r="AE1249" s="4">
        <v>82</v>
      </c>
      <c r="AF1249" s="4">
        <v>0</v>
      </c>
      <c r="AG1249" s="4">
        <v>2</v>
      </c>
      <c r="AH1249" s="4">
        <v>46</v>
      </c>
      <c r="AI1249" s="4">
        <v>63</v>
      </c>
      <c r="AJ1249" s="4">
        <v>15</v>
      </c>
      <c r="AK1249" s="4">
        <v>21</v>
      </c>
      <c r="AL1249" s="4">
        <v>24</v>
      </c>
      <c r="AM1249" s="4">
        <v>33</v>
      </c>
      <c r="AN1249" s="4">
        <v>0</v>
      </c>
      <c r="AO1249" s="4">
        <v>0</v>
      </c>
      <c r="AP1249" s="4">
        <v>18</v>
      </c>
      <c r="AQ1249" s="4">
        <v>28</v>
      </c>
      <c r="AR1249" s="3" t="s">
        <v>62</v>
      </c>
      <c r="AS1249" s="3" t="s">
        <v>62</v>
      </c>
      <c r="AT1249" s="3" t="s">
        <v>61</v>
      </c>
      <c r="AU1249" s="6" t="str">
        <f>HYPERLINK("http://catalog.hathitrust.org/Record/000173016","HathiTrust Record")</f>
        <v>HathiTrust Record</v>
      </c>
      <c r="AV1249" s="6" t="str">
        <f>HYPERLINK("http://mcgill.on.worldcat.org/oclc/2794724","Catalog Record")</f>
        <v>Catalog Record</v>
      </c>
      <c r="AW1249" s="6" t="str">
        <f>HYPERLINK("http://www.worldcat.org/oclc/2794724","WorldCat Record")</f>
        <v>WorldCat Record</v>
      </c>
      <c r="AX1249" s="3" t="s">
        <v>12224</v>
      </c>
      <c r="AY1249" s="3" t="s">
        <v>12225</v>
      </c>
      <c r="AZ1249" s="3" t="s">
        <v>12226</v>
      </c>
      <c r="BA1249" s="3" t="s">
        <v>12226</v>
      </c>
      <c r="BB1249" s="3" t="s">
        <v>12230</v>
      </c>
      <c r="BC1249" s="3" t="s">
        <v>142</v>
      </c>
      <c r="BD1249" s="3" t="s">
        <v>68</v>
      </c>
      <c r="BE1249" s="3" t="s">
        <v>12228</v>
      </c>
      <c r="BF1249" s="3" t="s">
        <v>12230</v>
      </c>
      <c r="BG1249" s="3" t="s">
        <v>12231</v>
      </c>
    </row>
    <row r="1250" spans="1:59" ht="57" x14ac:dyDescent="0.45">
      <c r="A1250" s="2" t="s">
        <v>59</v>
      </c>
      <c r="B1250" s="2" t="s">
        <v>60</v>
      </c>
      <c r="C1250" s="2" t="s">
        <v>12232</v>
      </c>
      <c r="D1250" s="2" t="s">
        <v>12233</v>
      </c>
      <c r="E1250" s="2" t="s">
        <v>12234</v>
      </c>
      <c r="G1250" s="3" t="s">
        <v>62</v>
      </c>
      <c r="I1250" s="3" t="s">
        <v>62</v>
      </c>
      <c r="J1250" s="3" t="s">
        <v>62</v>
      </c>
      <c r="K1250" s="3" t="s">
        <v>63</v>
      </c>
      <c r="L1250" s="2" t="s">
        <v>12235</v>
      </c>
      <c r="M1250" s="2" t="s">
        <v>7600</v>
      </c>
      <c r="N1250" s="3" t="s">
        <v>894</v>
      </c>
      <c r="P1250" s="3" t="s">
        <v>65</v>
      </c>
      <c r="R1250" s="3" t="s">
        <v>66</v>
      </c>
      <c r="S1250" s="4">
        <v>1</v>
      </c>
      <c r="T1250" s="4">
        <v>1</v>
      </c>
      <c r="U1250" s="5" t="s">
        <v>12236</v>
      </c>
      <c r="V1250" s="5" t="s">
        <v>12236</v>
      </c>
      <c r="W1250" s="5" t="s">
        <v>67</v>
      </c>
      <c r="X1250" s="5" t="s">
        <v>67</v>
      </c>
      <c r="Y1250" s="4">
        <v>175</v>
      </c>
      <c r="Z1250" s="4">
        <v>23</v>
      </c>
      <c r="AA1250" s="4">
        <v>90</v>
      </c>
      <c r="AB1250" s="4">
        <v>1</v>
      </c>
      <c r="AC1250" s="4">
        <v>15</v>
      </c>
      <c r="AD1250" s="4">
        <v>69</v>
      </c>
      <c r="AE1250" s="4">
        <v>132</v>
      </c>
      <c r="AF1250" s="4">
        <v>0</v>
      </c>
      <c r="AG1250" s="4">
        <v>8</v>
      </c>
      <c r="AH1250" s="4">
        <v>60</v>
      </c>
      <c r="AI1250" s="4">
        <v>91</v>
      </c>
      <c r="AJ1250" s="4">
        <v>14</v>
      </c>
      <c r="AK1250" s="4">
        <v>25</v>
      </c>
      <c r="AL1250" s="4">
        <v>31</v>
      </c>
      <c r="AM1250" s="4">
        <v>47</v>
      </c>
      <c r="AN1250" s="4">
        <v>0</v>
      </c>
      <c r="AO1250" s="4">
        <v>0</v>
      </c>
      <c r="AP1250" s="4">
        <v>19</v>
      </c>
      <c r="AQ1250" s="4">
        <v>50</v>
      </c>
      <c r="AR1250" s="3" t="s">
        <v>62</v>
      </c>
      <c r="AS1250" s="3" t="s">
        <v>62</v>
      </c>
      <c r="AT1250" s="3" t="s">
        <v>62</v>
      </c>
      <c r="AV1250" s="6" t="str">
        <f>HYPERLINK("http://mcgill.on.worldcat.org/oclc/665137685","Catalog Record")</f>
        <v>Catalog Record</v>
      </c>
      <c r="AW1250" s="6" t="str">
        <f>HYPERLINK("http://www.worldcat.org/oclc/665137685","WorldCat Record")</f>
        <v>WorldCat Record</v>
      </c>
      <c r="AX1250" s="3" t="s">
        <v>12237</v>
      </c>
      <c r="AY1250" s="3" t="s">
        <v>12238</v>
      </c>
      <c r="AZ1250" s="3" t="s">
        <v>12239</v>
      </c>
      <c r="BA1250" s="3" t="s">
        <v>12239</v>
      </c>
      <c r="BB1250" s="3" t="s">
        <v>12240</v>
      </c>
      <c r="BC1250" s="3" t="s">
        <v>142</v>
      </c>
      <c r="BD1250" s="3" t="s">
        <v>68</v>
      </c>
      <c r="BE1250" s="3" t="s">
        <v>12241</v>
      </c>
      <c r="BF1250" s="3" t="s">
        <v>12240</v>
      </c>
      <c r="BG1250" s="3" t="s">
        <v>12242</v>
      </c>
    </row>
    <row r="1251" spans="1:59" ht="57" x14ac:dyDescent="0.45">
      <c r="A1251" s="2" t="s">
        <v>59</v>
      </c>
      <c r="B1251" s="2" t="s">
        <v>60</v>
      </c>
      <c r="C1251" s="2" t="s">
        <v>12243</v>
      </c>
      <c r="D1251" s="2" t="s">
        <v>12244</v>
      </c>
      <c r="E1251" s="2" t="s">
        <v>12245</v>
      </c>
      <c r="G1251" s="3" t="s">
        <v>62</v>
      </c>
      <c r="I1251" s="3" t="s">
        <v>62</v>
      </c>
      <c r="J1251" s="3" t="s">
        <v>62</v>
      </c>
      <c r="K1251" s="3" t="s">
        <v>63</v>
      </c>
      <c r="L1251" s="2" t="s">
        <v>2738</v>
      </c>
      <c r="M1251" s="2" t="s">
        <v>12246</v>
      </c>
      <c r="N1251" s="3" t="s">
        <v>116</v>
      </c>
      <c r="P1251" s="3" t="s">
        <v>65</v>
      </c>
      <c r="Q1251" s="2" t="s">
        <v>12247</v>
      </c>
      <c r="R1251" s="3" t="s">
        <v>66</v>
      </c>
      <c r="S1251" s="4">
        <v>0</v>
      </c>
      <c r="T1251" s="4">
        <v>0</v>
      </c>
      <c r="W1251" s="5" t="s">
        <v>67</v>
      </c>
      <c r="X1251" s="5" t="s">
        <v>67</v>
      </c>
      <c r="Y1251" s="4">
        <v>170</v>
      </c>
      <c r="Z1251" s="4">
        <v>20</v>
      </c>
      <c r="AA1251" s="4">
        <v>28</v>
      </c>
      <c r="AB1251" s="4">
        <v>2</v>
      </c>
      <c r="AC1251" s="4">
        <v>7</v>
      </c>
      <c r="AD1251" s="4">
        <v>79</v>
      </c>
      <c r="AE1251" s="4">
        <v>91</v>
      </c>
      <c r="AF1251" s="4">
        <v>1</v>
      </c>
      <c r="AG1251" s="4">
        <v>3</v>
      </c>
      <c r="AH1251" s="4">
        <v>72</v>
      </c>
      <c r="AI1251" s="4">
        <v>80</v>
      </c>
      <c r="AJ1251" s="4">
        <v>15</v>
      </c>
      <c r="AK1251" s="4">
        <v>18</v>
      </c>
      <c r="AL1251" s="4">
        <v>45</v>
      </c>
      <c r="AM1251" s="4">
        <v>48</v>
      </c>
      <c r="AN1251" s="4">
        <v>0</v>
      </c>
      <c r="AO1251" s="4">
        <v>0</v>
      </c>
      <c r="AP1251" s="4">
        <v>16</v>
      </c>
      <c r="AQ1251" s="4">
        <v>19</v>
      </c>
      <c r="AR1251" s="3" t="s">
        <v>62</v>
      </c>
      <c r="AS1251" s="3" t="s">
        <v>62</v>
      </c>
      <c r="AT1251" s="3" t="s">
        <v>62</v>
      </c>
      <c r="AV1251" s="6" t="str">
        <f>HYPERLINK("http://mcgill.on.worldcat.org/oclc/776874645","Catalog Record")</f>
        <v>Catalog Record</v>
      </c>
      <c r="AW1251" s="6" t="str">
        <f>HYPERLINK("http://www.worldcat.org/oclc/776874645","WorldCat Record")</f>
        <v>WorldCat Record</v>
      </c>
      <c r="AX1251" s="3" t="s">
        <v>12248</v>
      </c>
      <c r="AY1251" s="3" t="s">
        <v>12249</v>
      </c>
      <c r="AZ1251" s="3" t="s">
        <v>12250</v>
      </c>
      <c r="BA1251" s="3" t="s">
        <v>12250</v>
      </c>
      <c r="BB1251" s="3" t="s">
        <v>12251</v>
      </c>
      <c r="BC1251" s="3" t="s">
        <v>142</v>
      </c>
      <c r="BD1251" s="3" t="s">
        <v>68</v>
      </c>
      <c r="BE1251" s="3" t="s">
        <v>12252</v>
      </c>
      <c r="BF1251" s="3" t="s">
        <v>12251</v>
      </c>
      <c r="BG1251" s="3" t="s">
        <v>12253</v>
      </c>
    </row>
    <row r="1252" spans="1:59" ht="57" x14ac:dyDescent="0.45">
      <c r="A1252" s="2" t="s">
        <v>59</v>
      </c>
      <c r="B1252" s="2" t="s">
        <v>60</v>
      </c>
      <c r="C1252" s="2" t="s">
        <v>12254</v>
      </c>
      <c r="D1252" s="2" t="s">
        <v>12255</v>
      </c>
      <c r="E1252" s="2" t="s">
        <v>12256</v>
      </c>
      <c r="G1252" s="3" t="s">
        <v>62</v>
      </c>
      <c r="I1252" s="3" t="s">
        <v>62</v>
      </c>
      <c r="J1252" s="3" t="s">
        <v>62</v>
      </c>
      <c r="K1252" s="3" t="s">
        <v>63</v>
      </c>
      <c r="L1252" s="2" t="s">
        <v>12257</v>
      </c>
      <c r="M1252" s="2" t="s">
        <v>4998</v>
      </c>
      <c r="N1252" s="3" t="s">
        <v>807</v>
      </c>
      <c r="P1252" s="3" t="s">
        <v>65</v>
      </c>
      <c r="Q1252" s="2" t="s">
        <v>11957</v>
      </c>
      <c r="R1252" s="3" t="s">
        <v>66</v>
      </c>
      <c r="S1252" s="4">
        <v>25</v>
      </c>
      <c r="T1252" s="4">
        <v>25</v>
      </c>
      <c r="U1252" s="5" t="s">
        <v>4276</v>
      </c>
      <c r="V1252" s="5" t="s">
        <v>4276</v>
      </c>
      <c r="W1252" s="5" t="s">
        <v>67</v>
      </c>
      <c r="X1252" s="5" t="s">
        <v>67</v>
      </c>
      <c r="Y1252" s="4">
        <v>404</v>
      </c>
      <c r="Z1252" s="4">
        <v>38</v>
      </c>
      <c r="AA1252" s="4">
        <v>42</v>
      </c>
      <c r="AB1252" s="4">
        <v>2</v>
      </c>
      <c r="AC1252" s="4">
        <v>6</v>
      </c>
      <c r="AD1252" s="4">
        <v>118</v>
      </c>
      <c r="AE1252" s="4">
        <v>121</v>
      </c>
      <c r="AF1252" s="4">
        <v>0</v>
      </c>
      <c r="AG1252" s="4">
        <v>3</v>
      </c>
      <c r="AH1252" s="4">
        <v>99</v>
      </c>
      <c r="AI1252" s="4">
        <v>100</v>
      </c>
      <c r="AJ1252" s="4">
        <v>19</v>
      </c>
      <c r="AK1252" s="4">
        <v>22</v>
      </c>
      <c r="AL1252" s="4">
        <v>56</v>
      </c>
      <c r="AM1252" s="4">
        <v>56</v>
      </c>
      <c r="AN1252" s="4">
        <v>0</v>
      </c>
      <c r="AO1252" s="4">
        <v>0</v>
      </c>
      <c r="AP1252" s="4">
        <v>29</v>
      </c>
      <c r="AQ1252" s="4">
        <v>31</v>
      </c>
      <c r="AR1252" s="3" t="s">
        <v>62</v>
      </c>
      <c r="AS1252" s="3" t="s">
        <v>62</v>
      </c>
      <c r="AT1252" s="3" t="s">
        <v>61</v>
      </c>
      <c r="AU1252" s="6" t="str">
        <f>HYPERLINK("http://catalog.hathitrust.org/Record/002461182","HathiTrust Record")</f>
        <v>HathiTrust Record</v>
      </c>
      <c r="AV1252" s="6" t="str">
        <f>HYPERLINK("http://mcgill.on.worldcat.org/oclc/22451463","Catalog Record")</f>
        <v>Catalog Record</v>
      </c>
      <c r="AW1252" s="6" t="str">
        <f>HYPERLINK("http://www.worldcat.org/oclc/22451463","WorldCat Record")</f>
        <v>WorldCat Record</v>
      </c>
      <c r="AX1252" s="3" t="s">
        <v>12258</v>
      </c>
      <c r="AY1252" s="3" t="s">
        <v>12259</v>
      </c>
      <c r="AZ1252" s="3" t="s">
        <v>12260</v>
      </c>
      <c r="BA1252" s="3" t="s">
        <v>12260</v>
      </c>
      <c r="BB1252" s="3" t="s">
        <v>12261</v>
      </c>
      <c r="BC1252" s="3" t="s">
        <v>142</v>
      </c>
      <c r="BD1252" s="3" t="s">
        <v>68</v>
      </c>
      <c r="BE1252" s="3" t="s">
        <v>12262</v>
      </c>
      <c r="BF1252" s="3" t="s">
        <v>12261</v>
      </c>
      <c r="BG1252" s="3" t="s">
        <v>12263</v>
      </c>
    </row>
    <row r="1253" spans="1:59" ht="57" x14ac:dyDescent="0.45">
      <c r="A1253" s="2" t="s">
        <v>59</v>
      </c>
      <c r="B1253" s="2" t="s">
        <v>60</v>
      </c>
      <c r="C1253" s="2" t="s">
        <v>12264</v>
      </c>
      <c r="D1253" s="2" t="s">
        <v>12265</v>
      </c>
      <c r="E1253" s="2" t="s">
        <v>12266</v>
      </c>
      <c r="G1253" s="3" t="s">
        <v>62</v>
      </c>
      <c r="I1253" s="3" t="s">
        <v>62</v>
      </c>
      <c r="J1253" s="3" t="s">
        <v>62</v>
      </c>
      <c r="K1253" s="3" t="s">
        <v>63</v>
      </c>
      <c r="L1253" s="2" t="s">
        <v>12267</v>
      </c>
      <c r="M1253" s="2" t="s">
        <v>12268</v>
      </c>
      <c r="N1253" s="3" t="s">
        <v>2417</v>
      </c>
      <c r="P1253" s="3" t="s">
        <v>65</v>
      </c>
      <c r="Q1253" s="2" t="s">
        <v>12269</v>
      </c>
      <c r="R1253" s="3" t="s">
        <v>66</v>
      </c>
      <c r="S1253" s="4">
        <v>29</v>
      </c>
      <c r="T1253" s="4">
        <v>29</v>
      </c>
      <c r="U1253" s="5" t="s">
        <v>12270</v>
      </c>
      <c r="V1253" s="5" t="s">
        <v>12270</v>
      </c>
      <c r="W1253" s="5" t="s">
        <v>67</v>
      </c>
      <c r="X1253" s="5" t="s">
        <v>67</v>
      </c>
      <c r="Y1253" s="4">
        <v>194</v>
      </c>
      <c r="Z1253" s="4">
        <v>20</v>
      </c>
      <c r="AA1253" s="4">
        <v>84</v>
      </c>
      <c r="AB1253" s="4">
        <v>2</v>
      </c>
      <c r="AC1253" s="4">
        <v>15</v>
      </c>
      <c r="AD1253" s="4">
        <v>90</v>
      </c>
      <c r="AE1253" s="4">
        <v>135</v>
      </c>
      <c r="AF1253" s="4">
        <v>0</v>
      </c>
      <c r="AG1253" s="4">
        <v>8</v>
      </c>
      <c r="AH1253" s="4">
        <v>80</v>
      </c>
      <c r="AI1253" s="4">
        <v>99</v>
      </c>
      <c r="AJ1253" s="4">
        <v>15</v>
      </c>
      <c r="AK1253" s="4">
        <v>25</v>
      </c>
      <c r="AL1253" s="4">
        <v>46</v>
      </c>
      <c r="AM1253" s="4">
        <v>53</v>
      </c>
      <c r="AN1253" s="4">
        <v>0</v>
      </c>
      <c r="AO1253" s="4">
        <v>0</v>
      </c>
      <c r="AP1253" s="4">
        <v>17</v>
      </c>
      <c r="AQ1253" s="4">
        <v>46</v>
      </c>
      <c r="AR1253" s="3" t="s">
        <v>62</v>
      </c>
      <c r="AS1253" s="3" t="s">
        <v>62</v>
      </c>
      <c r="AT1253" s="3" t="s">
        <v>62</v>
      </c>
      <c r="AV1253" s="6" t="str">
        <f>HYPERLINK("http://mcgill.on.worldcat.org/oclc/17260482","Catalog Record")</f>
        <v>Catalog Record</v>
      </c>
      <c r="AW1253" s="6" t="str">
        <f>HYPERLINK("http://www.worldcat.org/oclc/17260482","WorldCat Record")</f>
        <v>WorldCat Record</v>
      </c>
      <c r="AX1253" s="3" t="s">
        <v>12271</v>
      </c>
      <c r="AY1253" s="3" t="s">
        <v>12272</v>
      </c>
      <c r="AZ1253" s="3" t="s">
        <v>12273</v>
      </c>
      <c r="BA1253" s="3" t="s">
        <v>12273</v>
      </c>
      <c r="BB1253" s="3" t="s">
        <v>12274</v>
      </c>
      <c r="BC1253" s="3" t="s">
        <v>142</v>
      </c>
      <c r="BD1253" s="3" t="s">
        <v>68</v>
      </c>
      <c r="BE1253" s="3" t="s">
        <v>12275</v>
      </c>
      <c r="BF1253" s="3" t="s">
        <v>12274</v>
      </c>
      <c r="BG1253" s="3" t="s">
        <v>12276</v>
      </c>
    </row>
    <row r="1254" spans="1:59" ht="57" x14ac:dyDescent="0.45">
      <c r="A1254" s="2" t="s">
        <v>59</v>
      </c>
      <c r="B1254" s="2" t="s">
        <v>60</v>
      </c>
      <c r="C1254" s="2" t="s">
        <v>12277</v>
      </c>
      <c r="D1254" s="2" t="s">
        <v>12278</v>
      </c>
      <c r="E1254" s="2" t="s">
        <v>12279</v>
      </c>
      <c r="G1254" s="3" t="s">
        <v>62</v>
      </c>
      <c r="I1254" s="3" t="s">
        <v>62</v>
      </c>
      <c r="J1254" s="3" t="s">
        <v>62</v>
      </c>
      <c r="K1254" s="3" t="s">
        <v>63</v>
      </c>
      <c r="L1254" s="2" t="s">
        <v>12280</v>
      </c>
      <c r="M1254" s="2" t="s">
        <v>12281</v>
      </c>
      <c r="N1254" s="3" t="s">
        <v>149</v>
      </c>
      <c r="P1254" s="3" t="s">
        <v>182</v>
      </c>
      <c r="Q1254" s="2" t="s">
        <v>12282</v>
      </c>
      <c r="R1254" s="3" t="s">
        <v>66</v>
      </c>
      <c r="S1254" s="4">
        <v>0</v>
      </c>
      <c r="T1254" s="4">
        <v>0</v>
      </c>
      <c r="W1254" s="5" t="s">
        <v>67</v>
      </c>
      <c r="X1254" s="5" t="s">
        <v>67</v>
      </c>
      <c r="Y1254" s="4">
        <v>24</v>
      </c>
      <c r="Z1254" s="4">
        <v>3</v>
      </c>
      <c r="AA1254" s="4">
        <v>3</v>
      </c>
      <c r="AB1254" s="4">
        <v>1</v>
      </c>
      <c r="AC1254" s="4">
        <v>1</v>
      </c>
      <c r="AD1254" s="4">
        <v>15</v>
      </c>
      <c r="AE1254" s="4">
        <v>15</v>
      </c>
      <c r="AF1254" s="4">
        <v>0</v>
      </c>
      <c r="AG1254" s="4">
        <v>0</v>
      </c>
      <c r="AH1254" s="4">
        <v>14</v>
      </c>
      <c r="AI1254" s="4">
        <v>14</v>
      </c>
      <c r="AJ1254" s="4">
        <v>1</v>
      </c>
      <c r="AK1254" s="4">
        <v>1</v>
      </c>
      <c r="AL1254" s="4">
        <v>13</v>
      </c>
      <c r="AM1254" s="4">
        <v>13</v>
      </c>
      <c r="AN1254" s="4">
        <v>0</v>
      </c>
      <c r="AO1254" s="4">
        <v>0</v>
      </c>
      <c r="AP1254" s="4">
        <v>1</v>
      </c>
      <c r="AQ1254" s="4">
        <v>1</v>
      </c>
      <c r="AR1254" s="3" t="s">
        <v>62</v>
      </c>
      <c r="AS1254" s="3" t="s">
        <v>62</v>
      </c>
      <c r="AT1254" s="3" t="s">
        <v>62</v>
      </c>
      <c r="AV1254" s="6" t="str">
        <f>HYPERLINK("http://mcgill.on.worldcat.org/oclc/656502031","Catalog Record")</f>
        <v>Catalog Record</v>
      </c>
      <c r="AW1254" s="6" t="str">
        <f>HYPERLINK("http://www.worldcat.org/oclc/656502031","WorldCat Record")</f>
        <v>WorldCat Record</v>
      </c>
      <c r="AX1254" s="3" t="s">
        <v>12283</v>
      </c>
      <c r="AY1254" s="3" t="s">
        <v>12284</v>
      </c>
      <c r="AZ1254" s="3" t="s">
        <v>12285</v>
      </c>
      <c r="BA1254" s="3" t="s">
        <v>12285</v>
      </c>
      <c r="BB1254" s="3" t="s">
        <v>12286</v>
      </c>
      <c r="BC1254" s="3" t="s">
        <v>142</v>
      </c>
      <c r="BD1254" s="3" t="s">
        <v>68</v>
      </c>
      <c r="BE1254" s="3" t="s">
        <v>12287</v>
      </c>
      <c r="BF1254" s="3" t="s">
        <v>12286</v>
      </c>
      <c r="BG1254" s="3" t="s">
        <v>12288</v>
      </c>
    </row>
    <row r="1255" spans="1:59" ht="57" x14ac:dyDescent="0.45">
      <c r="A1255" s="2" t="s">
        <v>59</v>
      </c>
      <c r="B1255" s="2" t="s">
        <v>60</v>
      </c>
      <c r="C1255" s="2" t="s">
        <v>12289</v>
      </c>
      <c r="D1255" s="2" t="s">
        <v>12290</v>
      </c>
      <c r="E1255" s="2" t="s">
        <v>12291</v>
      </c>
      <c r="G1255" s="3" t="s">
        <v>62</v>
      </c>
      <c r="I1255" s="3" t="s">
        <v>62</v>
      </c>
      <c r="J1255" s="3" t="s">
        <v>62</v>
      </c>
      <c r="K1255" s="3" t="s">
        <v>63</v>
      </c>
      <c r="L1255" s="2" t="s">
        <v>12292</v>
      </c>
      <c r="M1255" s="2" t="s">
        <v>12293</v>
      </c>
      <c r="N1255" s="3" t="s">
        <v>1918</v>
      </c>
      <c r="P1255" s="3" t="s">
        <v>65</v>
      </c>
      <c r="R1255" s="3" t="s">
        <v>66</v>
      </c>
      <c r="S1255" s="4">
        <v>0</v>
      </c>
      <c r="T1255" s="4">
        <v>0</v>
      </c>
      <c r="W1255" s="5" t="s">
        <v>67</v>
      </c>
      <c r="X1255" s="5" t="s">
        <v>67</v>
      </c>
      <c r="Y1255" s="4">
        <v>112</v>
      </c>
      <c r="Z1255" s="4">
        <v>8</v>
      </c>
      <c r="AA1255" s="4">
        <v>11</v>
      </c>
      <c r="AB1255" s="4">
        <v>2</v>
      </c>
      <c r="AC1255" s="4">
        <v>4</v>
      </c>
      <c r="AD1255" s="4">
        <v>44</v>
      </c>
      <c r="AE1255" s="4">
        <v>50</v>
      </c>
      <c r="AF1255" s="4">
        <v>1</v>
      </c>
      <c r="AG1255" s="4">
        <v>1</v>
      </c>
      <c r="AH1255" s="4">
        <v>39</v>
      </c>
      <c r="AI1255" s="4">
        <v>43</v>
      </c>
      <c r="AJ1255" s="4">
        <v>4</v>
      </c>
      <c r="AK1255" s="4">
        <v>4</v>
      </c>
      <c r="AL1255" s="4">
        <v>30</v>
      </c>
      <c r="AM1255" s="4">
        <v>32</v>
      </c>
      <c r="AN1255" s="4">
        <v>0</v>
      </c>
      <c r="AO1255" s="4">
        <v>0</v>
      </c>
      <c r="AP1255" s="4">
        <v>6</v>
      </c>
      <c r="AQ1255" s="4">
        <v>7</v>
      </c>
      <c r="AR1255" s="3" t="s">
        <v>62</v>
      </c>
      <c r="AS1255" s="3" t="s">
        <v>62</v>
      </c>
      <c r="AT1255" s="3" t="s">
        <v>62</v>
      </c>
      <c r="AV1255" s="6" t="str">
        <f>HYPERLINK("http://mcgill.on.worldcat.org/oclc/952139207","Catalog Record")</f>
        <v>Catalog Record</v>
      </c>
      <c r="AW1255" s="6" t="str">
        <f>HYPERLINK("http://www.worldcat.org/oclc/952139207","WorldCat Record")</f>
        <v>WorldCat Record</v>
      </c>
      <c r="AX1255" s="3" t="s">
        <v>12294</v>
      </c>
      <c r="AY1255" s="3" t="s">
        <v>12295</v>
      </c>
      <c r="AZ1255" s="3" t="s">
        <v>12296</v>
      </c>
      <c r="BA1255" s="3" t="s">
        <v>12296</v>
      </c>
      <c r="BB1255" s="3" t="s">
        <v>12297</v>
      </c>
      <c r="BC1255" s="3" t="s">
        <v>142</v>
      </c>
      <c r="BD1255" s="3" t="s">
        <v>68</v>
      </c>
      <c r="BE1255" s="3" t="s">
        <v>12298</v>
      </c>
      <c r="BF1255" s="3" t="s">
        <v>12297</v>
      </c>
      <c r="BG1255" s="3" t="s">
        <v>12299</v>
      </c>
    </row>
    <row r="1256" spans="1:59" ht="57" x14ac:dyDescent="0.45">
      <c r="A1256" s="2" t="s">
        <v>59</v>
      </c>
      <c r="B1256" s="2" t="s">
        <v>60</v>
      </c>
      <c r="C1256" s="2" t="s">
        <v>12300</v>
      </c>
      <c r="D1256" s="2" t="s">
        <v>12301</v>
      </c>
      <c r="E1256" s="2" t="s">
        <v>12302</v>
      </c>
      <c r="G1256" s="3" t="s">
        <v>62</v>
      </c>
      <c r="I1256" s="3" t="s">
        <v>61</v>
      </c>
      <c r="J1256" s="3" t="s">
        <v>62</v>
      </c>
      <c r="K1256" s="3" t="s">
        <v>63</v>
      </c>
      <c r="M1256" s="2" t="s">
        <v>2906</v>
      </c>
      <c r="N1256" s="3" t="s">
        <v>1604</v>
      </c>
      <c r="P1256" s="3" t="s">
        <v>65</v>
      </c>
      <c r="R1256" s="3" t="s">
        <v>66</v>
      </c>
      <c r="S1256" s="4">
        <v>7</v>
      </c>
      <c r="T1256" s="4">
        <v>16</v>
      </c>
      <c r="U1256" s="5" t="s">
        <v>12303</v>
      </c>
      <c r="V1256" s="5" t="s">
        <v>12304</v>
      </c>
      <c r="W1256" s="5" t="s">
        <v>67</v>
      </c>
      <c r="X1256" s="5" t="s">
        <v>67</v>
      </c>
      <c r="Y1256" s="4">
        <v>432</v>
      </c>
      <c r="Z1256" s="4">
        <v>27</v>
      </c>
      <c r="AA1256" s="4">
        <v>30</v>
      </c>
      <c r="AB1256" s="4">
        <v>1</v>
      </c>
      <c r="AC1256" s="4">
        <v>3</v>
      </c>
      <c r="AD1256" s="4">
        <v>113</v>
      </c>
      <c r="AE1256" s="4">
        <v>116</v>
      </c>
      <c r="AF1256" s="4">
        <v>0</v>
      </c>
      <c r="AG1256" s="4">
        <v>2</v>
      </c>
      <c r="AH1256" s="4">
        <v>103</v>
      </c>
      <c r="AI1256" s="4">
        <v>105</v>
      </c>
      <c r="AJ1256" s="4">
        <v>15</v>
      </c>
      <c r="AK1256" s="4">
        <v>18</v>
      </c>
      <c r="AL1256" s="4">
        <v>54</v>
      </c>
      <c r="AM1256" s="4">
        <v>54</v>
      </c>
      <c r="AN1256" s="4">
        <v>0</v>
      </c>
      <c r="AO1256" s="4">
        <v>0</v>
      </c>
      <c r="AP1256" s="4">
        <v>17</v>
      </c>
      <c r="AQ1256" s="4">
        <v>19</v>
      </c>
      <c r="AR1256" s="3" t="s">
        <v>62</v>
      </c>
      <c r="AS1256" s="3" t="s">
        <v>62</v>
      </c>
      <c r="AT1256" s="3" t="s">
        <v>61</v>
      </c>
      <c r="AU1256" s="6" t="str">
        <f>HYPERLINK("http://catalog.hathitrust.org/Record/002810105","HathiTrust Record")</f>
        <v>HathiTrust Record</v>
      </c>
      <c r="AV1256" s="6" t="str">
        <f>HYPERLINK("http://mcgill.on.worldcat.org/oclc/28721435","Catalog Record")</f>
        <v>Catalog Record</v>
      </c>
      <c r="AW1256" s="6" t="str">
        <f>HYPERLINK("http://www.worldcat.org/oclc/28721435","WorldCat Record")</f>
        <v>WorldCat Record</v>
      </c>
      <c r="AX1256" s="3" t="s">
        <v>12305</v>
      </c>
      <c r="AY1256" s="3" t="s">
        <v>12306</v>
      </c>
      <c r="AZ1256" s="3" t="s">
        <v>12307</v>
      </c>
      <c r="BA1256" s="3" t="s">
        <v>12307</v>
      </c>
      <c r="BB1256" s="3" t="s">
        <v>12308</v>
      </c>
      <c r="BC1256" s="3" t="s">
        <v>142</v>
      </c>
      <c r="BD1256" s="3" t="s">
        <v>68</v>
      </c>
      <c r="BE1256" s="3" t="s">
        <v>12309</v>
      </c>
      <c r="BF1256" s="3" t="s">
        <v>12308</v>
      </c>
      <c r="BG1256" s="3" t="s">
        <v>12310</v>
      </c>
    </row>
    <row r="1257" spans="1:59" ht="57" x14ac:dyDescent="0.45">
      <c r="A1257" s="2" t="s">
        <v>59</v>
      </c>
      <c r="B1257" s="2" t="s">
        <v>60</v>
      </c>
      <c r="C1257" s="2" t="s">
        <v>12300</v>
      </c>
      <c r="D1257" s="2" t="s">
        <v>12301</v>
      </c>
      <c r="E1257" s="2" t="s">
        <v>12302</v>
      </c>
      <c r="G1257" s="3" t="s">
        <v>62</v>
      </c>
      <c r="I1257" s="3" t="s">
        <v>61</v>
      </c>
      <c r="J1257" s="3" t="s">
        <v>62</v>
      </c>
      <c r="K1257" s="3" t="s">
        <v>63</v>
      </c>
      <c r="M1257" s="2" t="s">
        <v>2906</v>
      </c>
      <c r="N1257" s="3" t="s">
        <v>1604</v>
      </c>
      <c r="P1257" s="3" t="s">
        <v>65</v>
      </c>
      <c r="R1257" s="3" t="s">
        <v>66</v>
      </c>
      <c r="S1257" s="4">
        <v>9</v>
      </c>
      <c r="T1257" s="4">
        <v>16</v>
      </c>
      <c r="U1257" s="5" t="s">
        <v>12304</v>
      </c>
      <c r="V1257" s="5" t="s">
        <v>12304</v>
      </c>
      <c r="W1257" s="5" t="s">
        <v>67</v>
      </c>
      <c r="X1257" s="5" t="s">
        <v>67</v>
      </c>
      <c r="Y1257" s="4">
        <v>432</v>
      </c>
      <c r="Z1257" s="4">
        <v>27</v>
      </c>
      <c r="AA1257" s="4">
        <v>30</v>
      </c>
      <c r="AB1257" s="4">
        <v>1</v>
      </c>
      <c r="AC1257" s="4">
        <v>3</v>
      </c>
      <c r="AD1257" s="4">
        <v>113</v>
      </c>
      <c r="AE1257" s="4">
        <v>116</v>
      </c>
      <c r="AF1257" s="4">
        <v>0</v>
      </c>
      <c r="AG1257" s="4">
        <v>2</v>
      </c>
      <c r="AH1257" s="4">
        <v>103</v>
      </c>
      <c r="AI1257" s="4">
        <v>105</v>
      </c>
      <c r="AJ1257" s="4">
        <v>15</v>
      </c>
      <c r="AK1257" s="4">
        <v>18</v>
      </c>
      <c r="AL1257" s="4">
        <v>54</v>
      </c>
      <c r="AM1257" s="4">
        <v>54</v>
      </c>
      <c r="AN1257" s="4">
        <v>0</v>
      </c>
      <c r="AO1257" s="4">
        <v>0</v>
      </c>
      <c r="AP1257" s="4">
        <v>17</v>
      </c>
      <c r="AQ1257" s="4">
        <v>19</v>
      </c>
      <c r="AR1257" s="3" t="s">
        <v>62</v>
      </c>
      <c r="AS1257" s="3" t="s">
        <v>62</v>
      </c>
      <c r="AT1257" s="3" t="s">
        <v>61</v>
      </c>
      <c r="AU1257" s="6" t="str">
        <f>HYPERLINK("http://catalog.hathitrust.org/Record/002810105","HathiTrust Record")</f>
        <v>HathiTrust Record</v>
      </c>
      <c r="AV1257" s="6" t="str">
        <f>HYPERLINK("http://mcgill.on.worldcat.org/oclc/28721435","Catalog Record")</f>
        <v>Catalog Record</v>
      </c>
      <c r="AW1257" s="6" t="str">
        <f>HYPERLINK("http://www.worldcat.org/oclc/28721435","WorldCat Record")</f>
        <v>WorldCat Record</v>
      </c>
      <c r="AX1257" s="3" t="s">
        <v>12305</v>
      </c>
      <c r="AY1257" s="3" t="s">
        <v>12306</v>
      </c>
      <c r="AZ1257" s="3" t="s">
        <v>12307</v>
      </c>
      <c r="BA1257" s="3" t="s">
        <v>12307</v>
      </c>
      <c r="BB1257" s="3" t="s">
        <v>12311</v>
      </c>
      <c r="BC1257" s="3" t="s">
        <v>142</v>
      </c>
      <c r="BD1257" s="3" t="s">
        <v>68</v>
      </c>
      <c r="BE1257" s="3" t="s">
        <v>12309</v>
      </c>
      <c r="BF1257" s="3" t="s">
        <v>12311</v>
      </c>
      <c r="BG1257" s="3" t="s">
        <v>12312</v>
      </c>
    </row>
    <row r="1258" spans="1:59" ht="57" x14ac:dyDescent="0.45">
      <c r="A1258" s="2" t="s">
        <v>59</v>
      </c>
      <c r="B1258" s="2" t="s">
        <v>60</v>
      </c>
      <c r="C1258" s="2" t="s">
        <v>12313</v>
      </c>
      <c r="D1258" s="2" t="s">
        <v>12314</v>
      </c>
      <c r="E1258" s="2" t="s">
        <v>12315</v>
      </c>
      <c r="G1258" s="3" t="s">
        <v>62</v>
      </c>
      <c r="I1258" s="3" t="s">
        <v>62</v>
      </c>
      <c r="J1258" s="3" t="s">
        <v>62</v>
      </c>
      <c r="K1258" s="3" t="s">
        <v>63</v>
      </c>
      <c r="L1258" s="2" t="s">
        <v>12316</v>
      </c>
      <c r="M1258" s="2" t="s">
        <v>12317</v>
      </c>
      <c r="N1258" s="3" t="s">
        <v>1478</v>
      </c>
      <c r="P1258" s="3" t="s">
        <v>65</v>
      </c>
      <c r="R1258" s="3" t="s">
        <v>66</v>
      </c>
      <c r="S1258" s="4">
        <v>1</v>
      </c>
      <c r="T1258" s="4">
        <v>1</v>
      </c>
      <c r="U1258" s="5" t="s">
        <v>12318</v>
      </c>
      <c r="V1258" s="5" t="s">
        <v>12318</v>
      </c>
      <c r="W1258" s="5" t="s">
        <v>67</v>
      </c>
      <c r="X1258" s="5" t="s">
        <v>67</v>
      </c>
      <c r="Y1258" s="4">
        <v>226</v>
      </c>
      <c r="Z1258" s="4">
        <v>12</v>
      </c>
      <c r="AA1258" s="4">
        <v>91</v>
      </c>
      <c r="AB1258" s="4">
        <v>1</v>
      </c>
      <c r="AC1258" s="4">
        <v>17</v>
      </c>
      <c r="AD1258" s="4">
        <v>95</v>
      </c>
      <c r="AE1258" s="4">
        <v>141</v>
      </c>
      <c r="AF1258" s="4">
        <v>0</v>
      </c>
      <c r="AG1258" s="4">
        <v>8</v>
      </c>
      <c r="AH1258" s="4">
        <v>89</v>
      </c>
      <c r="AI1258" s="4">
        <v>105</v>
      </c>
      <c r="AJ1258" s="4">
        <v>9</v>
      </c>
      <c r="AK1258" s="4">
        <v>24</v>
      </c>
      <c r="AL1258" s="4">
        <v>52</v>
      </c>
      <c r="AM1258" s="4">
        <v>56</v>
      </c>
      <c r="AN1258" s="4">
        <v>0</v>
      </c>
      <c r="AO1258" s="4">
        <v>0</v>
      </c>
      <c r="AP1258" s="4">
        <v>10</v>
      </c>
      <c r="AQ1258" s="4">
        <v>45</v>
      </c>
      <c r="AR1258" s="3" t="s">
        <v>62</v>
      </c>
      <c r="AS1258" s="3" t="s">
        <v>62</v>
      </c>
      <c r="AT1258" s="3" t="s">
        <v>61</v>
      </c>
      <c r="AU1258" s="6" t="str">
        <f>HYPERLINK("http://catalog.hathitrust.org/Record/003096098","HathiTrust Record")</f>
        <v>HathiTrust Record</v>
      </c>
      <c r="AV1258" s="6" t="str">
        <f>HYPERLINK("http://mcgill.on.worldcat.org/oclc/32697765","Catalog Record")</f>
        <v>Catalog Record</v>
      </c>
      <c r="AW1258" s="6" t="str">
        <f>HYPERLINK("http://www.worldcat.org/oclc/32697765","WorldCat Record")</f>
        <v>WorldCat Record</v>
      </c>
      <c r="AX1258" s="3" t="s">
        <v>12319</v>
      </c>
      <c r="AY1258" s="3" t="s">
        <v>12320</v>
      </c>
      <c r="AZ1258" s="3" t="s">
        <v>12321</v>
      </c>
      <c r="BA1258" s="3" t="s">
        <v>12321</v>
      </c>
      <c r="BB1258" s="3" t="s">
        <v>12322</v>
      </c>
      <c r="BC1258" s="3" t="s">
        <v>142</v>
      </c>
      <c r="BD1258" s="3" t="s">
        <v>68</v>
      </c>
      <c r="BE1258" s="3" t="s">
        <v>12323</v>
      </c>
      <c r="BF1258" s="3" t="s">
        <v>12322</v>
      </c>
      <c r="BG1258" s="3" t="s">
        <v>12324</v>
      </c>
    </row>
    <row r="1259" spans="1:59" ht="57" x14ac:dyDescent="0.45">
      <c r="A1259" s="2" t="s">
        <v>59</v>
      </c>
      <c r="B1259" s="2" t="s">
        <v>60</v>
      </c>
      <c r="C1259" s="2" t="s">
        <v>12325</v>
      </c>
      <c r="D1259" s="2" t="s">
        <v>12326</v>
      </c>
      <c r="E1259" s="2" t="s">
        <v>12327</v>
      </c>
      <c r="G1259" s="3" t="s">
        <v>62</v>
      </c>
      <c r="I1259" s="3" t="s">
        <v>62</v>
      </c>
      <c r="J1259" s="3" t="s">
        <v>62</v>
      </c>
      <c r="K1259" s="3" t="s">
        <v>63</v>
      </c>
      <c r="L1259" s="2" t="s">
        <v>12328</v>
      </c>
      <c r="M1259" s="2" t="s">
        <v>12329</v>
      </c>
      <c r="N1259" s="3" t="s">
        <v>1073</v>
      </c>
      <c r="P1259" s="3" t="s">
        <v>110</v>
      </c>
      <c r="Q1259" s="2" t="s">
        <v>12330</v>
      </c>
      <c r="R1259" s="3" t="s">
        <v>66</v>
      </c>
      <c r="S1259" s="4">
        <v>6</v>
      </c>
      <c r="T1259" s="4">
        <v>6</v>
      </c>
      <c r="U1259" s="5" t="s">
        <v>12331</v>
      </c>
      <c r="V1259" s="5" t="s">
        <v>12331</v>
      </c>
      <c r="W1259" s="5" t="s">
        <v>67</v>
      </c>
      <c r="X1259" s="5" t="s">
        <v>67</v>
      </c>
      <c r="Y1259" s="4">
        <v>109</v>
      </c>
      <c r="Z1259" s="4">
        <v>19</v>
      </c>
      <c r="AA1259" s="4">
        <v>19</v>
      </c>
      <c r="AB1259" s="4">
        <v>2</v>
      </c>
      <c r="AC1259" s="4">
        <v>2</v>
      </c>
      <c r="AD1259" s="4">
        <v>67</v>
      </c>
      <c r="AE1259" s="4">
        <v>67</v>
      </c>
      <c r="AF1259" s="4">
        <v>1</v>
      </c>
      <c r="AG1259" s="4">
        <v>1</v>
      </c>
      <c r="AH1259" s="4">
        <v>58</v>
      </c>
      <c r="AI1259" s="4">
        <v>58</v>
      </c>
      <c r="AJ1259" s="4">
        <v>16</v>
      </c>
      <c r="AK1259" s="4">
        <v>16</v>
      </c>
      <c r="AL1259" s="4">
        <v>36</v>
      </c>
      <c r="AM1259" s="4">
        <v>36</v>
      </c>
      <c r="AN1259" s="4">
        <v>0</v>
      </c>
      <c r="AO1259" s="4">
        <v>0</v>
      </c>
      <c r="AP1259" s="4">
        <v>16</v>
      </c>
      <c r="AQ1259" s="4">
        <v>16</v>
      </c>
      <c r="AR1259" s="3" t="s">
        <v>62</v>
      </c>
      <c r="AS1259" s="3" t="s">
        <v>62</v>
      </c>
      <c r="AT1259" s="3" t="s">
        <v>61</v>
      </c>
      <c r="AU1259" s="6" t="str">
        <f>HYPERLINK("http://catalog.hathitrust.org/Record/000740199","HathiTrust Record")</f>
        <v>HathiTrust Record</v>
      </c>
      <c r="AV1259" s="6" t="str">
        <f>HYPERLINK("http://mcgill.on.worldcat.org/oclc/2389555","Catalog Record")</f>
        <v>Catalog Record</v>
      </c>
      <c r="AW1259" s="6" t="str">
        <f>HYPERLINK("http://www.worldcat.org/oclc/2389555","WorldCat Record")</f>
        <v>WorldCat Record</v>
      </c>
      <c r="AX1259" s="3" t="s">
        <v>12332</v>
      </c>
      <c r="AY1259" s="3" t="s">
        <v>12333</v>
      </c>
      <c r="AZ1259" s="3" t="s">
        <v>12334</v>
      </c>
      <c r="BA1259" s="3" t="s">
        <v>12334</v>
      </c>
      <c r="BB1259" s="3" t="s">
        <v>12335</v>
      </c>
      <c r="BC1259" s="3" t="s">
        <v>142</v>
      </c>
      <c r="BD1259" s="3" t="s">
        <v>68</v>
      </c>
      <c r="BE1259" s="3" t="s">
        <v>12336</v>
      </c>
      <c r="BF1259" s="3" t="s">
        <v>12335</v>
      </c>
      <c r="BG1259" s="3" t="s">
        <v>12337</v>
      </c>
    </row>
    <row r="1260" spans="1:59" ht="57" x14ac:dyDescent="0.45">
      <c r="A1260" s="2" t="s">
        <v>59</v>
      </c>
      <c r="B1260" s="2" t="s">
        <v>60</v>
      </c>
      <c r="C1260" s="2" t="s">
        <v>12356</v>
      </c>
      <c r="D1260" s="2" t="s">
        <v>12357</v>
      </c>
      <c r="E1260" s="2" t="s">
        <v>12358</v>
      </c>
      <c r="G1260" s="3" t="s">
        <v>62</v>
      </c>
      <c r="I1260" s="3" t="s">
        <v>61</v>
      </c>
      <c r="J1260" s="3" t="s">
        <v>62</v>
      </c>
      <c r="K1260" s="3" t="s">
        <v>63</v>
      </c>
      <c r="L1260" s="2" t="s">
        <v>12359</v>
      </c>
      <c r="M1260" s="2" t="s">
        <v>12360</v>
      </c>
      <c r="N1260" s="3" t="s">
        <v>72</v>
      </c>
      <c r="P1260" s="3" t="s">
        <v>65</v>
      </c>
      <c r="R1260" s="3" t="s">
        <v>66</v>
      </c>
      <c r="S1260" s="4">
        <v>0</v>
      </c>
      <c r="T1260" s="4">
        <v>1</v>
      </c>
      <c r="V1260" s="5" t="s">
        <v>12361</v>
      </c>
      <c r="W1260" s="5" t="s">
        <v>67</v>
      </c>
      <c r="X1260" s="5" t="s">
        <v>67</v>
      </c>
      <c r="Y1260" s="4">
        <v>733</v>
      </c>
      <c r="Z1260" s="4">
        <v>39</v>
      </c>
      <c r="AA1260" s="4">
        <v>51</v>
      </c>
      <c r="AB1260" s="4">
        <v>3</v>
      </c>
      <c r="AC1260" s="4">
        <v>7</v>
      </c>
      <c r="AD1260" s="4">
        <v>119</v>
      </c>
      <c r="AE1260" s="4">
        <v>125</v>
      </c>
      <c r="AF1260" s="4">
        <v>1</v>
      </c>
      <c r="AG1260" s="4">
        <v>5</v>
      </c>
      <c r="AH1260" s="4">
        <v>100</v>
      </c>
      <c r="AI1260" s="4">
        <v>101</v>
      </c>
      <c r="AJ1260" s="4">
        <v>18</v>
      </c>
      <c r="AK1260" s="4">
        <v>22</v>
      </c>
      <c r="AL1260" s="4">
        <v>53</v>
      </c>
      <c r="AM1260" s="4">
        <v>53</v>
      </c>
      <c r="AN1260" s="4">
        <v>0</v>
      </c>
      <c r="AO1260" s="4">
        <v>0</v>
      </c>
      <c r="AP1260" s="4">
        <v>27</v>
      </c>
      <c r="AQ1260" s="4">
        <v>32</v>
      </c>
      <c r="AR1260" s="3" t="s">
        <v>62</v>
      </c>
      <c r="AS1260" s="3" t="s">
        <v>62</v>
      </c>
      <c r="AT1260" s="3" t="s">
        <v>62</v>
      </c>
      <c r="AU1260" s="6" t="str">
        <f>HYPERLINK("http://catalog.hathitrust.org/Record/000965260","HathiTrust Record")</f>
        <v>HathiTrust Record</v>
      </c>
      <c r="AV1260" s="6" t="str">
        <f>HYPERLINK("http://mcgill.on.worldcat.org/oclc/306850","Catalog Record")</f>
        <v>Catalog Record</v>
      </c>
      <c r="AW1260" s="6" t="str">
        <f>HYPERLINK("http://www.worldcat.org/oclc/306850","WorldCat Record")</f>
        <v>WorldCat Record</v>
      </c>
      <c r="AX1260" s="3" t="s">
        <v>12362</v>
      </c>
      <c r="AY1260" s="3" t="s">
        <v>12363</v>
      </c>
      <c r="AZ1260" s="3" t="s">
        <v>12364</v>
      </c>
      <c r="BA1260" s="3" t="s">
        <v>12364</v>
      </c>
      <c r="BB1260" s="3" t="s">
        <v>12365</v>
      </c>
      <c r="BC1260" s="3" t="s">
        <v>142</v>
      </c>
      <c r="BD1260" s="3" t="s">
        <v>68</v>
      </c>
      <c r="BF1260" s="3" t="s">
        <v>12365</v>
      </c>
      <c r="BG1260" s="3" t="s">
        <v>12366</v>
      </c>
    </row>
    <row r="1261" spans="1:59" ht="57" x14ac:dyDescent="0.45">
      <c r="A1261" s="2" t="s">
        <v>59</v>
      </c>
      <c r="B1261" s="2" t="s">
        <v>60</v>
      </c>
      <c r="C1261" s="2" t="s">
        <v>12356</v>
      </c>
      <c r="D1261" s="2" t="s">
        <v>12357</v>
      </c>
      <c r="E1261" s="2" t="s">
        <v>12358</v>
      </c>
      <c r="G1261" s="3" t="s">
        <v>62</v>
      </c>
      <c r="I1261" s="3" t="s">
        <v>61</v>
      </c>
      <c r="J1261" s="3" t="s">
        <v>62</v>
      </c>
      <c r="K1261" s="3" t="s">
        <v>63</v>
      </c>
      <c r="L1261" s="2" t="s">
        <v>12359</v>
      </c>
      <c r="M1261" s="2" t="s">
        <v>12360</v>
      </c>
      <c r="N1261" s="3" t="s">
        <v>72</v>
      </c>
      <c r="P1261" s="3" t="s">
        <v>65</v>
      </c>
      <c r="R1261" s="3" t="s">
        <v>66</v>
      </c>
      <c r="S1261" s="4">
        <v>0</v>
      </c>
      <c r="T1261" s="4">
        <v>1</v>
      </c>
      <c r="V1261" s="5" t="s">
        <v>12361</v>
      </c>
      <c r="W1261" s="5" t="s">
        <v>67</v>
      </c>
      <c r="X1261" s="5" t="s">
        <v>67</v>
      </c>
      <c r="Y1261" s="4">
        <v>733</v>
      </c>
      <c r="Z1261" s="4">
        <v>39</v>
      </c>
      <c r="AA1261" s="4">
        <v>51</v>
      </c>
      <c r="AB1261" s="4">
        <v>3</v>
      </c>
      <c r="AC1261" s="4">
        <v>7</v>
      </c>
      <c r="AD1261" s="4">
        <v>119</v>
      </c>
      <c r="AE1261" s="4">
        <v>125</v>
      </c>
      <c r="AF1261" s="4">
        <v>1</v>
      </c>
      <c r="AG1261" s="4">
        <v>5</v>
      </c>
      <c r="AH1261" s="4">
        <v>100</v>
      </c>
      <c r="AI1261" s="4">
        <v>101</v>
      </c>
      <c r="AJ1261" s="4">
        <v>18</v>
      </c>
      <c r="AK1261" s="4">
        <v>22</v>
      </c>
      <c r="AL1261" s="4">
        <v>53</v>
      </c>
      <c r="AM1261" s="4">
        <v>53</v>
      </c>
      <c r="AN1261" s="4">
        <v>0</v>
      </c>
      <c r="AO1261" s="4">
        <v>0</v>
      </c>
      <c r="AP1261" s="4">
        <v>27</v>
      </c>
      <c r="AQ1261" s="4">
        <v>32</v>
      </c>
      <c r="AR1261" s="3" t="s">
        <v>62</v>
      </c>
      <c r="AS1261" s="3" t="s">
        <v>62</v>
      </c>
      <c r="AT1261" s="3" t="s">
        <v>62</v>
      </c>
      <c r="AU1261" s="6" t="str">
        <f>HYPERLINK("http://catalog.hathitrust.org/Record/000965260","HathiTrust Record")</f>
        <v>HathiTrust Record</v>
      </c>
      <c r="AV1261" s="6" t="str">
        <f>HYPERLINK("http://mcgill.on.worldcat.org/oclc/306850","Catalog Record")</f>
        <v>Catalog Record</v>
      </c>
      <c r="AW1261" s="6" t="str">
        <f>HYPERLINK("http://www.worldcat.org/oclc/306850","WorldCat Record")</f>
        <v>WorldCat Record</v>
      </c>
      <c r="AX1261" s="3" t="s">
        <v>12362</v>
      </c>
      <c r="AY1261" s="3" t="s">
        <v>12363</v>
      </c>
      <c r="AZ1261" s="3" t="s">
        <v>12364</v>
      </c>
      <c r="BA1261" s="3" t="s">
        <v>12364</v>
      </c>
      <c r="BB1261" s="3" t="s">
        <v>12367</v>
      </c>
      <c r="BC1261" s="3" t="s">
        <v>142</v>
      </c>
      <c r="BD1261" s="3" t="s">
        <v>68</v>
      </c>
      <c r="BF1261" s="3" t="s">
        <v>12367</v>
      </c>
      <c r="BG1261" s="3" t="s">
        <v>12368</v>
      </c>
    </row>
    <row r="1262" spans="1:59" ht="57" x14ac:dyDescent="0.45">
      <c r="A1262" s="2" t="s">
        <v>59</v>
      </c>
      <c r="B1262" s="2" t="s">
        <v>60</v>
      </c>
      <c r="C1262" s="2" t="s">
        <v>12356</v>
      </c>
      <c r="D1262" s="2" t="s">
        <v>12357</v>
      </c>
      <c r="E1262" s="2" t="s">
        <v>12358</v>
      </c>
      <c r="G1262" s="3" t="s">
        <v>62</v>
      </c>
      <c r="I1262" s="3" t="s">
        <v>61</v>
      </c>
      <c r="J1262" s="3" t="s">
        <v>62</v>
      </c>
      <c r="K1262" s="3" t="s">
        <v>63</v>
      </c>
      <c r="L1262" s="2" t="s">
        <v>12359</v>
      </c>
      <c r="M1262" s="2" t="s">
        <v>12360</v>
      </c>
      <c r="N1262" s="3" t="s">
        <v>72</v>
      </c>
      <c r="P1262" s="3" t="s">
        <v>65</v>
      </c>
      <c r="R1262" s="3" t="s">
        <v>66</v>
      </c>
      <c r="S1262" s="4">
        <v>1</v>
      </c>
      <c r="T1262" s="4">
        <v>1</v>
      </c>
      <c r="U1262" s="5" t="s">
        <v>12361</v>
      </c>
      <c r="V1262" s="5" t="s">
        <v>12361</v>
      </c>
      <c r="W1262" s="5" t="s">
        <v>67</v>
      </c>
      <c r="X1262" s="5" t="s">
        <v>67</v>
      </c>
      <c r="Y1262" s="4">
        <v>733</v>
      </c>
      <c r="Z1262" s="4">
        <v>39</v>
      </c>
      <c r="AA1262" s="4">
        <v>51</v>
      </c>
      <c r="AB1262" s="4">
        <v>3</v>
      </c>
      <c r="AC1262" s="4">
        <v>7</v>
      </c>
      <c r="AD1262" s="4">
        <v>119</v>
      </c>
      <c r="AE1262" s="4">
        <v>125</v>
      </c>
      <c r="AF1262" s="4">
        <v>1</v>
      </c>
      <c r="AG1262" s="4">
        <v>5</v>
      </c>
      <c r="AH1262" s="4">
        <v>100</v>
      </c>
      <c r="AI1262" s="4">
        <v>101</v>
      </c>
      <c r="AJ1262" s="4">
        <v>18</v>
      </c>
      <c r="AK1262" s="4">
        <v>22</v>
      </c>
      <c r="AL1262" s="4">
        <v>53</v>
      </c>
      <c r="AM1262" s="4">
        <v>53</v>
      </c>
      <c r="AN1262" s="4">
        <v>0</v>
      </c>
      <c r="AO1262" s="4">
        <v>0</v>
      </c>
      <c r="AP1262" s="4">
        <v>27</v>
      </c>
      <c r="AQ1262" s="4">
        <v>32</v>
      </c>
      <c r="AR1262" s="3" t="s">
        <v>62</v>
      </c>
      <c r="AS1262" s="3" t="s">
        <v>62</v>
      </c>
      <c r="AT1262" s="3" t="s">
        <v>62</v>
      </c>
      <c r="AU1262" s="6" t="str">
        <f>HYPERLINK("http://catalog.hathitrust.org/Record/000965260","HathiTrust Record")</f>
        <v>HathiTrust Record</v>
      </c>
      <c r="AV1262" s="6" t="str">
        <f>HYPERLINK("http://mcgill.on.worldcat.org/oclc/306850","Catalog Record")</f>
        <v>Catalog Record</v>
      </c>
      <c r="AW1262" s="6" t="str">
        <f>HYPERLINK("http://www.worldcat.org/oclc/306850","WorldCat Record")</f>
        <v>WorldCat Record</v>
      </c>
      <c r="AX1262" s="3" t="s">
        <v>12362</v>
      </c>
      <c r="AY1262" s="3" t="s">
        <v>12363</v>
      </c>
      <c r="AZ1262" s="3" t="s">
        <v>12364</v>
      </c>
      <c r="BA1262" s="3" t="s">
        <v>12364</v>
      </c>
      <c r="BB1262" s="3" t="s">
        <v>12369</v>
      </c>
      <c r="BC1262" s="3" t="s">
        <v>142</v>
      </c>
      <c r="BD1262" s="3" t="s">
        <v>68</v>
      </c>
      <c r="BF1262" s="3" t="s">
        <v>12369</v>
      </c>
      <c r="BG1262" s="3" t="s">
        <v>12370</v>
      </c>
    </row>
    <row r="1263" spans="1:59" ht="57" x14ac:dyDescent="0.45">
      <c r="A1263" s="2" t="s">
        <v>59</v>
      </c>
      <c r="B1263" s="2" t="s">
        <v>60</v>
      </c>
      <c r="C1263" s="2" t="s">
        <v>12356</v>
      </c>
      <c r="D1263" s="2" t="s">
        <v>12357</v>
      </c>
      <c r="E1263" s="2" t="s">
        <v>12358</v>
      </c>
      <c r="G1263" s="3" t="s">
        <v>62</v>
      </c>
      <c r="I1263" s="3" t="s">
        <v>61</v>
      </c>
      <c r="J1263" s="3" t="s">
        <v>62</v>
      </c>
      <c r="K1263" s="3" t="s">
        <v>63</v>
      </c>
      <c r="L1263" s="2" t="s">
        <v>12359</v>
      </c>
      <c r="M1263" s="2" t="s">
        <v>12360</v>
      </c>
      <c r="N1263" s="3" t="s">
        <v>72</v>
      </c>
      <c r="P1263" s="3" t="s">
        <v>65</v>
      </c>
      <c r="R1263" s="3" t="s">
        <v>66</v>
      </c>
      <c r="S1263" s="4">
        <v>0</v>
      </c>
      <c r="T1263" s="4">
        <v>1</v>
      </c>
      <c r="V1263" s="5" t="s">
        <v>12361</v>
      </c>
      <c r="W1263" s="5" t="s">
        <v>67</v>
      </c>
      <c r="X1263" s="5" t="s">
        <v>67</v>
      </c>
      <c r="Y1263" s="4">
        <v>733</v>
      </c>
      <c r="Z1263" s="4">
        <v>39</v>
      </c>
      <c r="AA1263" s="4">
        <v>51</v>
      </c>
      <c r="AB1263" s="4">
        <v>3</v>
      </c>
      <c r="AC1263" s="4">
        <v>7</v>
      </c>
      <c r="AD1263" s="4">
        <v>119</v>
      </c>
      <c r="AE1263" s="4">
        <v>125</v>
      </c>
      <c r="AF1263" s="4">
        <v>1</v>
      </c>
      <c r="AG1263" s="4">
        <v>5</v>
      </c>
      <c r="AH1263" s="4">
        <v>100</v>
      </c>
      <c r="AI1263" s="4">
        <v>101</v>
      </c>
      <c r="AJ1263" s="4">
        <v>18</v>
      </c>
      <c r="AK1263" s="4">
        <v>22</v>
      </c>
      <c r="AL1263" s="4">
        <v>53</v>
      </c>
      <c r="AM1263" s="4">
        <v>53</v>
      </c>
      <c r="AN1263" s="4">
        <v>0</v>
      </c>
      <c r="AO1263" s="4">
        <v>0</v>
      </c>
      <c r="AP1263" s="4">
        <v>27</v>
      </c>
      <c r="AQ1263" s="4">
        <v>32</v>
      </c>
      <c r="AR1263" s="3" t="s">
        <v>62</v>
      </c>
      <c r="AS1263" s="3" t="s">
        <v>62</v>
      </c>
      <c r="AT1263" s="3" t="s">
        <v>62</v>
      </c>
      <c r="AU1263" s="6" t="str">
        <f>HYPERLINK("http://catalog.hathitrust.org/Record/000965260","HathiTrust Record")</f>
        <v>HathiTrust Record</v>
      </c>
      <c r="AV1263" s="6" t="str">
        <f>HYPERLINK("http://mcgill.on.worldcat.org/oclc/306850","Catalog Record")</f>
        <v>Catalog Record</v>
      </c>
      <c r="AW1263" s="6" t="str">
        <f>HYPERLINK("http://www.worldcat.org/oclc/306850","WorldCat Record")</f>
        <v>WorldCat Record</v>
      </c>
      <c r="AX1263" s="3" t="s">
        <v>12362</v>
      </c>
      <c r="AY1263" s="3" t="s">
        <v>12363</v>
      </c>
      <c r="AZ1263" s="3" t="s">
        <v>12364</v>
      </c>
      <c r="BA1263" s="3" t="s">
        <v>12364</v>
      </c>
      <c r="BB1263" s="3" t="s">
        <v>12371</v>
      </c>
      <c r="BC1263" s="3" t="s">
        <v>142</v>
      </c>
      <c r="BD1263" s="3" t="s">
        <v>68</v>
      </c>
      <c r="BF1263" s="3" t="s">
        <v>12371</v>
      </c>
      <c r="BG1263" s="3" t="s">
        <v>12372</v>
      </c>
    </row>
    <row r="1264" spans="1:59" ht="57" x14ac:dyDescent="0.45">
      <c r="A1264" s="2" t="s">
        <v>59</v>
      </c>
      <c r="B1264" s="2" t="s">
        <v>60</v>
      </c>
      <c r="C1264" s="2" t="s">
        <v>12373</v>
      </c>
      <c r="D1264" s="2" t="s">
        <v>12374</v>
      </c>
      <c r="E1264" s="2" t="s">
        <v>12375</v>
      </c>
      <c r="G1264" s="3" t="s">
        <v>62</v>
      </c>
      <c r="I1264" s="3" t="s">
        <v>62</v>
      </c>
      <c r="J1264" s="3" t="s">
        <v>62</v>
      </c>
      <c r="K1264" s="3" t="s">
        <v>63</v>
      </c>
      <c r="M1264" s="2" t="s">
        <v>12376</v>
      </c>
      <c r="N1264" s="3" t="s">
        <v>542</v>
      </c>
      <c r="P1264" s="3" t="s">
        <v>65</v>
      </c>
      <c r="R1264" s="3" t="s">
        <v>66</v>
      </c>
      <c r="S1264" s="4">
        <v>5</v>
      </c>
      <c r="T1264" s="4">
        <v>5</v>
      </c>
      <c r="U1264" s="5" t="s">
        <v>12377</v>
      </c>
      <c r="V1264" s="5" t="s">
        <v>12377</v>
      </c>
      <c r="W1264" s="5" t="s">
        <v>67</v>
      </c>
      <c r="X1264" s="5" t="s">
        <v>67</v>
      </c>
      <c r="Y1264" s="4">
        <v>172</v>
      </c>
      <c r="Z1264" s="4">
        <v>11</v>
      </c>
      <c r="AA1264" s="4">
        <v>13</v>
      </c>
      <c r="AB1264" s="4">
        <v>3</v>
      </c>
      <c r="AC1264" s="4">
        <v>5</v>
      </c>
      <c r="AD1264" s="4">
        <v>73</v>
      </c>
      <c r="AE1264" s="4">
        <v>76</v>
      </c>
      <c r="AF1264" s="4">
        <v>1</v>
      </c>
      <c r="AG1264" s="4">
        <v>3</v>
      </c>
      <c r="AH1264" s="4">
        <v>69</v>
      </c>
      <c r="AI1264" s="4">
        <v>71</v>
      </c>
      <c r="AJ1264" s="4">
        <v>9</v>
      </c>
      <c r="AK1264" s="4">
        <v>11</v>
      </c>
      <c r="AL1264" s="4">
        <v>39</v>
      </c>
      <c r="AM1264" s="4">
        <v>40</v>
      </c>
      <c r="AN1264" s="4">
        <v>0</v>
      </c>
      <c r="AO1264" s="4">
        <v>0</v>
      </c>
      <c r="AP1264" s="4">
        <v>9</v>
      </c>
      <c r="AQ1264" s="4">
        <v>11</v>
      </c>
      <c r="AR1264" s="3" t="s">
        <v>62</v>
      </c>
      <c r="AS1264" s="3" t="s">
        <v>62</v>
      </c>
      <c r="AT1264" s="3" t="s">
        <v>61</v>
      </c>
      <c r="AU1264" s="6" t="str">
        <f>HYPERLINK("http://catalog.hathitrust.org/Record/003556972","HathiTrust Record")</f>
        <v>HathiTrust Record</v>
      </c>
      <c r="AV1264" s="6" t="str">
        <f>HYPERLINK("http://mcgill.on.worldcat.org/oclc/45172830","Catalog Record")</f>
        <v>Catalog Record</v>
      </c>
      <c r="AW1264" s="6" t="str">
        <f>HYPERLINK("http://www.worldcat.org/oclc/45172830","WorldCat Record")</f>
        <v>WorldCat Record</v>
      </c>
      <c r="AX1264" s="3" t="s">
        <v>12378</v>
      </c>
      <c r="AY1264" s="3" t="s">
        <v>12379</v>
      </c>
      <c r="AZ1264" s="3" t="s">
        <v>12380</v>
      </c>
      <c r="BA1264" s="3" t="s">
        <v>12380</v>
      </c>
      <c r="BB1264" s="3" t="s">
        <v>12381</v>
      </c>
      <c r="BC1264" s="3" t="s">
        <v>142</v>
      </c>
      <c r="BD1264" s="3" t="s">
        <v>68</v>
      </c>
      <c r="BE1264" s="3" t="s">
        <v>12382</v>
      </c>
      <c r="BF1264" s="3" t="s">
        <v>12381</v>
      </c>
      <c r="BG1264" s="3" t="s">
        <v>12383</v>
      </c>
    </row>
    <row r="1265" spans="1:59" ht="57" x14ac:dyDescent="0.45">
      <c r="A1265" s="2" t="s">
        <v>59</v>
      </c>
      <c r="B1265" s="2" t="s">
        <v>60</v>
      </c>
      <c r="C1265" s="2" t="s">
        <v>12384</v>
      </c>
      <c r="D1265" s="2" t="s">
        <v>12385</v>
      </c>
      <c r="E1265" s="2" t="s">
        <v>12386</v>
      </c>
      <c r="G1265" s="3" t="s">
        <v>62</v>
      </c>
      <c r="I1265" s="3" t="s">
        <v>62</v>
      </c>
      <c r="J1265" s="3" t="s">
        <v>62</v>
      </c>
      <c r="K1265" s="3" t="s">
        <v>63</v>
      </c>
      <c r="M1265" s="2" t="s">
        <v>12387</v>
      </c>
      <c r="N1265" s="3" t="s">
        <v>1918</v>
      </c>
      <c r="O1265" s="2" t="s">
        <v>12388</v>
      </c>
      <c r="P1265" s="3" t="s">
        <v>110</v>
      </c>
      <c r="Q1265" s="2" t="s">
        <v>12389</v>
      </c>
      <c r="R1265" s="3" t="s">
        <v>66</v>
      </c>
      <c r="S1265" s="4">
        <v>0</v>
      </c>
      <c r="T1265" s="4">
        <v>0</v>
      </c>
      <c r="W1265" s="5" t="s">
        <v>67</v>
      </c>
      <c r="X1265" s="5" t="s">
        <v>67</v>
      </c>
      <c r="Y1265" s="4">
        <v>3</v>
      </c>
      <c r="Z1265" s="4">
        <v>1</v>
      </c>
      <c r="AA1265" s="4">
        <v>8</v>
      </c>
      <c r="AB1265" s="4">
        <v>1</v>
      </c>
      <c r="AC1265" s="4">
        <v>8</v>
      </c>
      <c r="AD1265" s="4">
        <v>0</v>
      </c>
      <c r="AE1265" s="4">
        <v>5</v>
      </c>
      <c r="AF1265" s="4">
        <v>0</v>
      </c>
      <c r="AG1265" s="4">
        <v>5</v>
      </c>
      <c r="AH1265" s="4">
        <v>0</v>
      </c>
      <c r="AI1265" s="4">
        <v>1</v>
      </c>
      <c r="AJ1265" s="4">
        <v>0</v>
      </c>
      <c r="AK1265" s="4">
        <v>3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4</v>
      </c>
      <c r="AR1265" s="3" t="s">
        <v>62</v>
      </c>
      <c r="AS1265" s="3" t="s">
        <v>62</v>
      </c>
      <c r="AT1265" s="3" t="s">
        <v>62</v>
      </c>
      <c r="AV1265" s="6" t="str">
        <f>HYPERLINK("http://mcgill.on.worldcat.org/oclc/1002119707","Catalog Record")</f>
        <v>Catalog Record</v>
      </c>
      <c r="AW1265" s="6" t="str">
        <f>HYPERLINK("http://www.worldcat.org/oclc/1002119707","WorldCat Record")</f>
        <v>WorldCat Record</v>
      </c>
      <c r="AX1265" s="3" t="s">
        <v>12390</v>
      </c>
      <c r="AY1265" s="3" t="s">
        <v>12391</v>
      </c>
      <c r="AZ1265" s="3" t="s">
        <v>12392</v>
      </c>
      <c r="BA1265" s="3" t="s">
        <v>12392</v>
      </c>
      <c r="BB1265" s="3" t="s">
        <v>12393</v>
      </c>
      <c r="BC1265" s="3" t="s">
        <v>142</v>
      </c>
      <c r="BD1265" s="3" t="s">
        <v>68</v>
      </c>
      <c r="BE1265" s="3" t="s">
        <v>12394</v>
      </c>
      <c r="BF1265" s="3" t="s">
        <v>12393</v>
      </c>
      <c r="BG1265" s="3" t="s">
        <v>12395</v>
      </c>
    </row>
    <row r="1266" spans="1:59" ht="57" x14ac:dyDescent="0.45">
      <c r="A1266" s="2" t="s">
        <v>927</v>
      </c>
      <c r="B1266" s="2" t="s">
        <v>928</v>
      </c>
      <c r="C1266" s="2" t="s">
        <v>12396</v>
      </c>
      <c r="D1266" s="2" t="s">
        <v>12397</v>
      </c>
      <c r="E1266" s="2" t="s">
        <v>12398</v>
      </c>
      <c r="G1266" s="3" t="s">
        <v>62</v>
      </c>
      <c r="I1266" s="3" t="s">
        <v>62</v>
      </c>
      <c r="J1266" s="3" t="s">
        <v>62</v>
      </c>
      <c r="K1266" s="3" t="s">
        <v>63</v>
      </c>
      <c r="L1266" s="2" t="s">
        <v>12399</v>
      </c>
      <c r="M1266" s="2" t="s">
        <v>9187</v>
      </c>
      <c r="N1266" s="3" t="s">
        <v>894</v>
      </c>
      <c r="O1266" s="2" t="s">
        <v>168</v>
      </c>
      <c r="P1266" s="3" t="s">
        <v>65</v>
      </c>
      <c r="Q1266" s="2" t="s">
        <v>984</v>
      </c>
      <c r="R1266" s="3" t="s">
        <v>66</v>
      </c>
      <c r="S1266" s="4">
        <v>0</v>
      </c>
      <c r="T1266" s="4">
        <v>0</v>
      </c>
      <c r="W1266" s="5" t="s">
        <v>67</v>
      </c>
      <c r="X1266" s="5" t="s">
        <v>67</v>
      </c>
      <c r="Y1266" s="4">
        <v>280</v>
      </c>
      <c r="Z1266" s="4">
        <v>18</v>
      </c>
      <c r="AA1266" s="4">
        <v>47</v>
      </c>
      <c r="AB1266" s="4">
        <v>2</v>
      </c>
      <c r="AC1266" s="4">
        <v>11</v>
      </c>
      <c r="AD1266" s="4">
        <v>50</v>
      </c>
      <c r="AE1266" s="4">
        <v>88</v>
      </c>
      <c r="AF1266" s="4">
        <v>1</v>
      </c>
      <c r="AG1266" s="4">
        <v>6</v>
      </c>
      <c r="AH1266" s="4">
        <v>45</v>
      </c>
      <c r="AI1266" s="4">
        <v>67</v>
      </c>
      <c r="AJ1266" s="4">
        <v>7</v>
      </c>
      <c r="AK1266" s="4">
        <v>20</v>
      </c>
      <c r="AL1266" s="4">
        <v>25</v>
      </c>
      <c r="AM1266" s="4">
        <v>34</v>
      </c>
      <c r="AN1266" s="4">
        <v>0</v>
      </c>
      <c r="AO1266" s="4">
        <v>0</v>
      </c>
      <c r="AP1266" s="4">
        <v>10</v>
      </c>
      <c r="AQ1266" s="4">
        <v>30</v>
      </c>
      <c r="AR1266" s="3" t="s">
        <v>62</v>
      </c>
      <c r="AS1266" s="3" t="s">
        <v>62</v>
      </c>
      <c r="AT1266" s="3" t="s">
        <v>62</v>
      </c>
      <c r="AV1266" s="6" t="str">
        <f>HYPERLINK("http://mcgill.on.worldcat.org/oclc/668193476","Catalog Record")</f>
        <v>Catalog Record</v>
      </c>
      <c r="AW1266" s="6" t="str">
        <f>HYPERLINK("http://www.worldcat.org/oclc/668193476","WorldCat Record")</f>
        <v>WorldCat Record</v>
      </c>
      <c r="AX1266" s="3" t="s">
        <v>12400</v>
      </c>
      <c r="AY1266" s="3" t="s">
        <v>12401</v>
      </c>
      <c r="AZ1266" s="3" t="s">
        <v>12402</v>
      </c>
      <c r="BA1266" s="3" t="s">
        <v>12402</v>
      </c>
      <c r="BB1266" s="3" t="s">
        <v>12403</v>
      </c>
      <c r="BC1266" s="3" t="s">
        <v>142</v>
      </c>
      <c r="BD1266" s="3" t="s">
        <v>68</v>
      </c>
      <c r="BE1266" s="3" t="s">
        <v>12404</v>
      </c>
      <c r="BF1266" s="3" t="s">
        <v>12403</v>
      </c>
      <c r="BG1266" s="3" t="s">
        <v>12405</v>
      </c>
    </row>
    <row r="1267" spans="1:59" ht="57" x14ac:dyDescent="0.45">
      <c r="A1267" s="2" t="s">
        <v>927</v>
      </c>
      <c r="B1267" s="2" t="s">
        <v>928</v>
      </c>
      <c r="C1267" s="2" t="s">
        <v>12406</v>
      </c>
      <c r="D1267" s="2" t="s">
        <v>12407</v>
      </c>
      <c r="E1267" s="2" t="s">
        <v>12408</v>
      </c>
      <c r="F1267" s="3" t="s">
        <v>87</v>
      </c>
      <c r="G1267" s="3" t="s">
        <v>61</v>
      </c>
      <c r="I1267" s="3" t="s">
        <v>62</v>
      </c>
      <c r="J1267" s="3" t="s">
        <v>62</v>
      </c>
      <c r="K1267" s="3" t="s">
        <v>63</v>
      </c>
      <c r="M1267" s="2" t="s">
        <v>12409</v>
      </c>
      <c r="N1267" s="3" t="s">
        <v>1465</v>
      </c>
      <c r="P1267" s="3" t="s">
        <v>65</v>
      </c>
      <c r="R1267" s="3" t="s">
        <v>66</v>
      </c>
      <c r="S1267" s="4">
        <v>1</v>
      </c>
      <c r="T1267" s="4">
        <v>2</v>
      </c>
      <c r="U1267" s="5" t="s">
        <v>12410</v>
      </c>
      <c r="V1267" s="5" t="s">
        <v>12411</v>
      </c>
      <c r="W1267" s="5" t="s">
        <v>67</v>
      </c>
      <c r="X1267" s="5" t="s">
        <v>67</v>
      </c>
      <c r="Y1267" s="4">
        <v>347</v>
      </c>
      <c r="Z1267" s="4">
        <v>21</v>
      </c>
      <c r="AA1267" s="4">
        <v>97</v>
      </c>
      <c r="AB1267" s="4">
        <v>3</v>
      </c>
      <c r="AC1267" s="4">
        <v>16</v>
      </c>
      <c r="AD1267" s="4">
        <v>50</v>
      </c>
      <c r="AE1267" s="4">
        <v>131</v>
      </c>
      <c r="AF1267" s="4">
        <v>1</v>
      </c>
      <c r="AG1267" s="4">
        <v>8</v>
      </c>
      <c r="AH1267" s="4">
        <v>45</v>
      </c>
      <c r="AI1267" s="4">
        <v>90</v>
      </c>
      <c r="AJ1267" s="4">
        <v>7</v>
      </c>
      <c r="AK1267" s="4">
        <v>25</v>
      </c>
      <c r="AL1267" s="4">
        <v>27</v>
      </c>
      <c r="AM1267" s="4">
        <v>48</v>
      </c>
      <c r="AN1267" s="4">
        <v>0</v>
      </c>
      <c r="AO1267" s="4">
        <v>0</v>
      </c>
      <c r="AP1267" s="4">
        <v>10</v>
      </c>
      <c r="AQ1267" s="4">
        <v>51</v>
      </c>
      <c r="AR1267" s="3" t="s">
        <v>62</v>
      </c>
      <c r="AS1267" s="3" t="s">
        <v>62</v>
      </c>
      <c r="AT1267" s="3" t="s">
        <v>61</v>
      </c>
      <c r="AU1267" s="6" t="str">
        <f>HYPERLINK("http://catalog.hathitrust.org/Record/012271602","HathiTrust Record")</f>
        <v>HathiTrust Record</v>
      </c>
      <c r="AV1267" s="6" t="str">
        <f>HYPERLINK("http://mcgill.on.worldcat.org/oclc/299710048","Catalog Record")</f>
        <v>Catalog Record</v>
      </c>
      <c r="AW1267" s="6" t="str">
        <f>HYPERLINK("http://www.worldcat.org/oclc/299710048","WorldCat Record")</f>
        <v>WorldCat Record</v>
      </c>
      <c r="AX1267" s="3" t="s">
        <v>12412</v>
      </c>
      <c r="AY1267" s="3" t="s">
        <v>12413</v>
      </c>
      <c r="AZ1267" s="3" t="s">
        <v>12414</v>
      </c>
      <c r="BA1267" s="3" t="s">
        <v>12414</v>
      </c>
      <c r="BB1267" s="3" t="s">
        <v>12415</v>
      </c>
      <c r="BC1267" s="3" t="s">
        <v>142</v>
      </c>
      <c r="BD1267" s="3" t="s">
        <v>68</v>
      </c>
      <c r="BE1267" s="3" t="s">
        <v>12416</v>
      </c>
      <c r="BF1267" s="3" t="s">
        <v>12415</v>
      </c>
      <c r="BG1267" s="3" t="s">
        <v>12417</v>
      </c>
    </row>
    <row r="1268" spans="1:59" ht="57" x14ac:dyDescent="0.45">
      <c r="A1268" s="2" t="s">
        <v>927</v>
      </c>
      <c r="B1268" s="2" t="s">
        <v>928</v>
      </c>
      <c r="C1268" s="2" t="s">
        <v>12406</v>
      </c>
      <c r="D1268" s="2" t="s">
        <v>12407</v>
      </c>
      <c r="E1268" s="2" t="s">
        <v>12408</v>
      </c>
      <c r="F1268" s="3" t="s">
        <v>90</v>
      </c>
      <c r="G1268" s="3" t="s">
        <v>61</v>
      </c>
      <c r="I1268" s="3" t="s">
        <v>62</v>
      </c>
      <c r="J1268" s="3" t="s">
        <v>62</v>
      </c>
      <c r="K1268" s="3" t="s">
        <v>63</v>
      </c>
      <c r="M1268" s="2" t="s">
        <v>12409</v>
      </c>
      <c r="N1268" s="3" t="s">
        <v>1465</v>
      </c>
      <c r="P1268" s="3" t="s">
        <v>65</v>
      </c>
      <c r="R1268" s="3" t="s">
        <v>66</v>
      </c>
      <c r="S1268" s="4">
        <v>1</v>
      </c>
      <c r="T1268" s="4">
        <v>2</v>
      </c>
      <c r="U1268" s="5" t="s">
        <v>12411</v>
      </c>
      <c r="V1268" s="5" t="s">
        <v>12411</v>
      </c>
      <c r="W1268" s="5" t="s">
        <v>67</v>
      </c>
      <c r="X1268" s="5" t="s">
        <v>67</v>
      </c>
      <c r="Y1268" s="4">
        <v>347</v>
      </c>
      <c r="Z1268" s="4">
        <v>21</v>
      </c>
      <c r="AA1268" s="4">
        <v>97</v>
      </c>
      <c r="AB1268" s="4">
        <v>3</v>
      </c>
      <c r="AC1268" s="4">
        <v>16</v>
      </c>
      <c r="AD1268" s="4">
        <v>50</v>
      </c>
      <c r="AE1268" s="4">
        <v>131</v>
      </c>
      <c r="AF1268" s="4">
        <v>1</v>
      </c>
      <c r="AG1268" s="4">
        <v>8</v>
      </c>
      <c r="AH1268" s="4">
        <v>45</v>
      </c>
      <c r="AI1268" s="4">
        <v>90</v>
      </c>
      <c r="AJ1268" s="4">
        <v>7</v>
      </c>
      <c r="AK1268" s="4">
        <v>25</v>
      </c>
      <c r="AL1268" s="4">
        <v>27</v>
      </c>
      <c r="AM1268" s="4">
        <v>48</v>
      </c>
      <c r="AN1268" s="4">
        <v>0</v>
      </c>
      <c r="AO1268" s="4">
        <v>0</v>
      </c>
      <c r="AP1268" s="4">
        <v>10</v>
      </c>
      <c r="AQ1268" s="4">
        <v>51</v>
      </c>
      <c r="AR1268" s="3" t="s">
        <v>62</v>
      </c>
      <c r="AS1268" s="3" t="s">
        <v>62</v>
      </c>
      <c r="AT1268" s="3" t="s">
        <v>61</v>
      </c>
      <c r="AU1268" s="6" t="str">
        <f>HYPERLINK("http://catalog.hathitrust.org/Record/012271602","HathiTrust Record")</f>
        <v>HathiTrust Record</v>
      </c>
      <c r="AV1268" s="6" t="str">
        <f>HYPERLINK("http://mcgill.on.worldcat.org/oclc/299710048","Catalog Record")</f>
        <v>Catalog Record</v>
      </c>
      <c r="AW1268" s="6" t="str">
        <f>HYPERLINK("http://www.worldcat.org/oclc/299710048","WorldCat Record")</f>
        <v>WorldCat Record</v>
      </c>
      <c r="AX1268" s="3" t="s">
        <v>12412</v>
      </c>
      <c r="AY1268" s="3" t="s">
        <v>12413</v>
      </c>
      <c r="AZ1268" s="3" t="s">
        <v>12414</v>
      </c>
      <c r="BA1268" s="3" t="s">
        <v>12414</v>
      </c>
      <c r="BB1268" s="3" t="s">
        <v>12418</v>
      </c>
      <c r="BC1268" s="3" t="s">
        <v>142</v>
      </c>
      <c r="BD1268" s="3" t="s">
        <v>68</v>
      </c>
      <c r="BE1268" s="3" t="s">
        <v>12416</v>
      </c>
      <c r="BF1268" s="3" t="s">
        <v>12418</v>
      </c>
      <c r="BG1268" s="3" t="s">
        <v>12419</v>
      </c>
    </row>
    <row r="1269" spans="1:59" ht="57" x14ac:dyDescent="0.45">
      <c r="A1269" s="2" t="s">
        <v>59</v>
      </c>
      <c r="B1269" s="2" t="s">
        <v>12420</v>
      </c>
      <c r="C1269" s="2" t="s">
        <v>12421</v>
      </c>
      <c r="D1269" s="2" t="s">
        <v>12422</v>
      </c>
      <c r="E1269" s="2" t="s">
        <v>12423</v>
      </c>
      <c r="G1269" s="3" t="s">
        <v>62</v>
      </c>
      <c r="I1269" s="3" t="s">
        <v>62</v>
      </c>
      <c r="J1269" s="3" t="s">
        <v>62</v>
      </c>
      <c r="K1269" s="3" t="s">
        <v>63</v>
      </c>
      <c r="M1269" s="2" t="s">
        <v>12424</v>
      </c>
      <c r="N1269" s="3" t="s">
        <v>116</v>
      </c>
      <c r="P1269" s="3" t="s">
        <v>65</v>
      </c>
      <c r="Q1269" s="2" t="s">
        <v>12051</v>
      </c>
      <c r="R1269" s="3" t="s">
        <v>66</v>
      </c>
      <c r="S1269" s="4">
        <v>1</v>
      </c>
      <c r="T1269" s="4">
        <v>1</v>
      </c>
      <c r="U1269" s="5" t="s">
        <v>12425</v>
      </c>
      <c r="V1269" s="5" t="s">
        <v>12425</v>
      </c>
      <c r="W1269" s="5" t="s">
        <v>67</v>
      </c>
      <c r="X1269" s="5" t="s">
        <v>67</v>
      </c>
      <c r="Y1269" s="4">
        <v>226</v>
      </c>
      <c r="Z1269" s="4">
        <v>26</v>
      </c>
      <c r="AA1269" s="4">
        <v>98</v>
      </c>
      <c r="AB1269" s="4">
        <v>2</v>
      </c>
      <c r="AC1269" s="4">
        <v>17</v>
      </c>
      <c r="AD1269" s="4">
        <v>59</v>
      </c>
      <c r="AE1269" s="4">
        <v>123</v>
      </c>
      <c r="AF1269" s="4">
        <v>1</v>
      </c>
      <c r="AG1269" s="4">
        <v>8</v>
      </c>
      <c r="AH1269" s="4">
        <v>50</v>
      </c>
      <c r="AI1269" s="4">
        <v>82</v>
      </c>
      <c r="AJ1269" s="4">
        <v>8</v>
      </c>
      <c r="AK1269" s="4">
        <v>23</v>
      </c>
      <c r="AL1269" s="4">
        <v>29</v>
      </c>
      <c r="AM1269" s="4">
        <v>47</v>
      </c>
      <c r="AN1269" s="4">
        <v>0</v>
      </c>
      <c r="AO1269" s="4">
        <v>0</v>
      </c>
      <c r="AP1269" s="4">
        <v>13</v>
      </c>
      <c r="AQ1269" s="4">
        <v>48</v>
      </c>
      <c r="AR1269" s="3" t="s">
        <v>61</v>
      </c>
      <c r="AS1269" s="3" t="s">
        <v>62</v>
      </c>
      <c r="AT1269" s="3" t="s">
        <v>62</v>
      </c>
      <c r="AV1269" s="6" t="str">
        <f>HYPERLINK("http://mcgill.on.worldcat.org/oclc/809408651","Catalog Record")</f>
        <v>Catalog Record</v>
      </c>
      <c r="AW1269" s="6" t="str">
        <f>HYPERLINK("http://www.worldcat.org/oclc/809408651","WorldCat Record")</f>
        <v>WorldCat Record</v>
      </c>
      <c r="AX1269" s="3" t="s">
        <v>12426</v>
      </c>
      <c r="AY1269" s="3" t="s">
        <v>12427</v>
      </c>
      <c r="AZ1269" s="3" t="s">
        <v>12428</v>
      </c>
      <c r="BA1269" s="3" t="s">
        <v>12428</v>
      </c>
      <c r="BB1269" s="3" t="s">
        <v>12429</v>
      </c>
      <c r="BC1269" s="3" t="s">
        <v>142</v>
      </c>
      <c r="BD1269" s="3" t="s">
        <v>68</v>
      </c>
      <c r="BE1269" s="3" t="s">
        <v>12430</v>
      </c>
      <c r="BF1269" s="3" t="s">
        <v>12429</v>
      </c>
      <c r="BG1269" s="3" t="s">
        <v>12431</v>
      </c>
    </row>
    <row r="1270" spans="1:59" ht="57" x14ac:dyDescent="0.45">
      <c r="A1270" s="2" t="s">
        <v>59</v>
      </c>
      <c r="B1270" s="2" t="s">
        <v>60</v>
      </c>
      <c r="C1270" s="2" t="s">
        <v>12432</v>
      </c>
      <c r="D1270" s="2" t="s">
        <v>12433</v>
      </c>
      <c r="E1270" s="2" t="s">
        <v>12434</v>
      </c>
      <c r="G1270" s="3" t="s">
        <v>62</v>
      </c>
      <c r="I1270" s="3" t="s">
        <v>62</v>
      </c>
      <c r="J1270" s="3" t="s">
        <v>62</v>
      </c>
      <c r="K1270" s="3" t="s">
        <v>63</v>
      </c>
      <c r="L1270" s="2" t="s">
        <v>12435</v>
      </c>
      <c r="M1270" s="2" t="s">
        <v>12436</v>
      </c>
      <c r="N1270" s="3" t="s">
        <v>1253</v>
      </c>
      <c r="O1270" s="2" t="s">
        <v>420</v>
      </c>
      <c r="P1270" s="3" t="s">
        <v>65</v>
      </c>
      <c r="R1270" s="3" t="s">
        <v>66</v>
      </c>
      <c r="S1270" s="4">
        <v>5</v>
      </c>
      <c r="T1270" s="4">
        <v>5</v>
      </c>
      <c r="U1270" s="5" t="s">
        <v>12437</v>
      </c>
      <c r="V1270" s="5" t="s">
        <v>12437</v>
      </c>
      <c r="W1270" s="5" t="s">
        <v>67</v>
      </c>
      <c r="X1270" s="5" t="s">
        <v>67</v>
      </c>
      <c r="Y1270" s="4">
        <v>385</v>
      </c>
      <c r="Z1270" s="4">
        <v>19</v>
      </c>
      <c r="AA1270" s="4">
        <v>35</v>
      </c>
      <c r="AB1270" s="4">
        <v>2</v>
      </c>
      <c r="AC1270" s="4">
        <v>7</v>
      </c>
      <c r="AD1270" s="4">
        <v>81</v>
      </c>
      <c r="AE1270" s="4">
        <v>119</v>
      </c>
      <c r="AF1270" s="4">
        <v>1</v>
      </c>
      <c r="AG1270" s="4">
        <v>5</v>
      </c>
      <c r="AH1270" s="4">
        <v>71</v>
      </c>
      <c r="AI1270" s="4">
        <v>99</v>
      </c>
      <c r="AJ1270" s="4">
        <v>11</v>
      </c>
      <c r="AK1270" s="4">
        <v>20</v>
      </c>
      <c r="AL1270" s="4">
        <v>37</v>
      </c>
      <c r="AM1270" s="4">
        <v>50</v>
      </c>
      <c r="AN1270" s="4">
        <v>0</v>
      </c>
      <c r="AO1270" s="4">
        <v>0</v>
      </c>
      <c r="AP1270" s="4">
        <v>13</v>
      </c>
      <c r="AQ1270" s="4">
        <v>26</v>
      </c>
      <c r="AR1270" s="3" t="s">
        <v>62</v>
      </c>
      <c r="AS1270" s="3" t="s">
        <v>62</v>
      </c>
      <c r="AT1270" s="3" t="s">
        <v>62</v>
      </c>
      <c r="AV1270" s="6" t="str">
        <f>HYPERLINK("http://mcgill.on.worldcat.org/oclc/36534355","Catalog Record")</f>
        <v>Catalog Record</v>
      </c>
      <c r="AW1270" s="6" t="str">
        <f>HYPERLINK("http://www.worldcat.org/oclc/36534355","WorldCat Record")</f>
        <v>WorldCat Record</v>
      </c>
      <c r="AX1270" s="3" t="s">
        <v>12438</v>
      </c>
      <c r="AY1270" s="3" t="s">
        <v>12439</v>
      </c>
      <c r="AZ1270" s="3" t="s">
        <v>12440</v>
      </c>
      <c r="BA1270" s="3" t="s">
        <v>12440</v>
      </c>
      <c r="BB1270" s="3" t="s">
        <v>12441</v>
      </c>
      <c r="BC1270" s="3" t="s">
        <v>142</v>
      </c>
      <c r="BD1270" s="3" t="s">
        <v>68</v>
      </c>
      <c r="BE1270" s="3" t="s">
        <v>12442</v>
      </c>
      <c r="BF1270" s="3" t="s">
        <v>12441</v>
      </c>
      <c r="BG1270" s="3" t="s">
        <v>12443</v>
      </c>
    </row>
    <row r="1271" spans="1:59" ht="57" x14ac:dyDescent="0.45">
      <c r="A1271" s="2" t="s">
        <v>59</v>
      </c>
      <c r="B1271" s="2" t="s">
        <v>60</v>
      </c>
      <c r="C1271" s="2" t="s">
        <v>12444</v>
      </c>
      <c r="D1271" s="2" t="s">
        <v>12445</v>
      </c>
      <c r="E1271" s="2" t="s">
        <v>12446</v>
      </c>
      <c r="G1271" s="3" t="s">
        <v>62</v>
      </c>
      <c r="I1271" s="3" t="s">
        <v>62</v>
      </c>
      <c r="J1271" s="3" t="s">
        <v>62</v>
      </c>
      <c r="K1271" s="3" t="s">
        <v>63</v>
      </c>
      <c r="M1271" s="2" t="s">
        <v>12447</v>
      </c>
      <c r="N1271" s="3" t="s">
        <v>970</v>
      </c>
      <c r="O1271" s="2" t="s">
        <v>12448</v>
      </c>
      <c r="P1271" s="3" t="s">
        <v>114</v>
      </c>
      <c r="Q1271" s="2" t="s">
        <v>12449</v>
      </c>
      <c r="R1271" s="3" t="s">
        <v>66</v>
      </c>
      <c r="S1271" s="4">
        <v>8</v>
      </c>
      <c r="T1271" s="4">
        <v>8</v>
      </c>
      <c r="U1271" s="5" t="s">
        <v>12450</v>
      </c>
      <c r="V1271" s="5" t="s">
        <v>12450</v>
      </c>
      <c r="W1271" s="5" t="s">
        <v>67</v>
      </c>
      <c r="X1271" s="5" t="s">
        <v>67</v>
      </c>
      <c r="Y1271" s="4">
        <v>53</v>
      </c>
      <c r="Z1271" s="4">
        <v>2</v>
      </c>
      <c r="AA1271" s="4">
        <v>2</v>
      </c>
      <c r="AB1271" s="4">
        <v>1</v>
      </c>
      <c r="AC1271" s="4">
        <v>1</v>
      </c>
      <c r="AD1271" s="4">
        <v>18</v>
      </c>
      <c r="AE1271" s="4">
        <v>18</v>
      </c>
      <c r="AF1271" s="4">
        <v>0</v>
      </c>
      <c r="AG1271" s="4">
        <v>0</v>
      </c>
      <c r="AH1271" s="4">
        <v>18</v>
      </c>
      <c r="AI1271" s="4">
        <v>18</v>
      </c>
      <c r="AJ1271" s="4">
        <v>1</v>
      </c>
      <c r="AK1271" s="4">
        <v>1</v>
      </c>
      <c r="AL1271" s="4">
        <v>16</v>
      </c>
      <c r="AM1271" s="4">
        <v>16</v>
      </c>
      <c r="AN1271" s="4">
        <v>5</v>
      </c>
      <c r="AO1271" s="4">
        <v>5</v>
      </c>
      <c r="AP1271" s="4">
        <v>1</v>
      </c>
      <c r="AQ1271" s="4">
        <v>1</v>
      </c>
      <c r="AR1271" s="3" t="s">
        <v>62</v>
      </c>
      <c r="AS1271" s="3" t="s">
        <v>62</v>
      </c>
      <c r="AT1271" s="3" t="s">
        <v>61</v>
      </c>
      <c r="AU1271" s="6" t="str">
        <f>HYPERLINK("http://catalog.hathitrust.org/Record/010621163","HathiTrust Record")</f>
        <v>HathiTrust Record</v>
      </c>
      <c r="AV1271" s="6" t="str">
        <f>HYPERLINK("http://mcgill.on.worldcat.org/oclc/50780445","Catalog Record")</f>
        <v>Catalog Record</v>
      </c>
      <c r="AW1271" s="6" t="str">
        <f>HYPERLINK("http://www.worldcat.org/oclc/50780445","WorldCat Record")</f>
        <v>WorldCat Record</v>
      </c>
      <c r="AX1271" s="3" t="s">
        <v>12451</v>
      </c>
      <c r="AY1271" s="3" t="s">
        <v>12452</v>
      </c>
      <c r="AZ1271" s="3" t="s">
        <v>12453</v>
      </c>
      <c r="BA1271" s="3" t="s">
        <v>12453</v>
      </c>
      <c r="BB1271" s="3" t="s">
        <v>12454</v>
      </c>
      <c r="BC1271" s="3" t="s">
        <v>142</v>
      </c>
      <c r="BD1271" s="3" t="s">
        <v>308</v>
      </c>
      <c r="BE1271" s="3" t="s">
        <v>12455</v>
      </c>
      <c r="BF1271" s="3" t="s">
        <v>12454</v>
      </c>
      <c r="BG1271" s="3" t="s">
        <v>12456</v>
      </c>
    </row>
    <row r="1272" spans="1:59" ht="57" x14ac:dyDescent="0.45">
      <c r="A1272" s="2" t="s">
        <v>59</v>
      </c>
      <c r="B1272" s="2" t="s">
        <v>60</v>
      </c>
      <c r="C1272" s="2" t="s">
        <v>12457</v>
      </c>
      <c r="D1272" s="2" t="s">
        <v>12458</v>
      </c>
      <c r="E1272" s="2" t="s">
        <v>12459</v>
      </c>
      <c r="G1272" s="3" t="s">
        <v>62</v>
      </c>
      <c r="I1272" s="3" t="s">
        <v>62</v>
      </c>
      <c r="J1272" s="3" t="s">
        <v>62</v>
      </c>
      <c r="K1272" s="3" t="s">
        <v>63</v>
      </c>
      <c r="L1272" s="2" t="s">
        <v>12460</v>
      </c>
      <c r="M1272" s="2" t="s">
        <v>12461</v>
      </c>
      <c r="N1272" s="3" t="s">
        <v>1155</v>
      </c>
      <c r="P1272" s="3" t="s">
        <v>65</v>
      </c>
      <c r="R1272" s="3" t="s">
        <v>66</v>
      </c>
      <c r="S1272" s="4">
        <v>0</v>
      </c>
      <c r="T1272" s="4">
        <v>0</v>
      </c>
      <c r="W1272" s="5" t="s">
        <v>67</v>
      </c>
      <c r="X1272" s="5" t="s">
        <v>67</v>
      </c>
      <c r="Y1272" s="4">
        <v>110</v>
      </c>
      <c r="Z1272" s="4">
        <v>10</v>
      </c>
      <c r="AA1272" s="4">
        <v>11</v>
      </c>
      <c r="AB1272" s="4">
        <v>1</v>
      </c>
      <c r="AC1272" s="4">
        <v>2</v>
      </c>
      <c r="AD1272" s="4">
        <v>42</v>
      </c>
      <c r="AE1272" s="4">
        <v>43</v>
      </c>
      <c r="AF1272" s="4">
        <v>0</v>
      </c>
      <c r="AG1272" s="4">
        <v>1</v>
      </c>
      <c r="AH1272" s="4">
        <v>41</v>
      </c>
      <c r="AI1272" s="4">
        <v>42</v>
      </c>
      <c r="AJ1272" s="4">
        <v>7</v>
      </c>
      <c r="AK1272" s="4">
        <v>8</v>
      </c>
      <c r="AL1272" s="4">
        <v>26</v>
      </c>
      <c r="AM1272" s="4">
        <v>26</v>
      </c>
      <c r="AN1272" s="4">
        <v>0</v>
      </c>
      <c r="AO1272" s="4">
        <v>0</v>
      </c>
      <c r="AP1272" s="4">
        <v>7</v>
      </c>
      <c r="AQ1272" s="4">
        <v>8</v>
      </c>
      <c r="AR1272" s="3" t="s">
        <v>62</v>
      </c>
      <c r="AS1272" s="3" t="s">
        <v>62</v>
      </c>
      <c r="AT1272" s="3" t="s">
        <v>62</v>
      </c>
      <c r="AV1272" s="6" t="str">
        <f>HYPERLINK("http://mcgill.on.worldcat.org/oclc/811001248","Catalog Record")</f>
        <v>Catalog Record</v>
      </c>
      <c r="AW1272" s="6" t="str">
        <f>HYPERLINK("http://www.worldcat.org/oclc/811001248","WorldCat Record")</f>
        <v>WorldCat Record</v>
      </c>
      <c r="AX1272" s="3" t="s">
        <v>12462</v>
      </c>
      <c r="AY1272" s="3" t="s">
        <v>12463</v>
      </c>
      <c r="AZ1272" s="3" t="s">
        <v>12464</v>
      </c>
      <c r="BA1272" s="3" t="s">
        <v>12464</v>
      </c>
      <c r="BB1272" s="3" t="s">
        <v>12465</v>
      </c>
      <c r="BC1272" s="3" t="s">
        <v>142</v>
      </c>
      <c r="BD1272" s="3" t="s">
        <v>68</v>
      </c>
      <c r="BE1272" s="3" t="s">
        <v>12466</v>
      </c>
      <c r="BF1272" s="3" t="s">
        <v>12465</v>
      </c>
      <c r="BG1272" s="3" t="s">
        <v>12467</v>
      </c>
    </row>
    <row r="1273" spans="1:59" ht="57" x14ac:dyDescent="0.45">
      <c r="A1273" s="2" t="s">
        <v>59</v>
      </c>
      <c r="B1273" s="2" t="s">
        <v>60</v>
      </c>
      <c r="C1273" s="2" t="s">
        <v>12468</v>
      </c>
      <c r="D1273" s="2" t="s">
        <v>12469</v>
      </c>
      <c r="E1273" s="2" t="s">
        <v>12470</v>
      </c>
      <c r="G1273" s="3" t="s">
        <v>62</v>
      </c>
      <c r="I1273" s="3" t="s">
        <v>62</v>
      </c>
      <c r="J1273" s="3" t="s">
        <v>62</v>
      </c>
      <c r="K1273" s="3" t="s">
        <v>63</v>
      </c>
      <c r="L1273" s="2" t="s">
        <v>12471</v>
      </c>
      <c r="M1273" s="2" t="s">
        <v>12472</v>
      </c>
      <c r="N1273" s="3" t="s">
        <v>1239</v>
      </c>
      <c r="P1273" s="3" t="s">
        <v>110</v>
      </c>
      <c r="Q1273" s="2" t="s">
        <v>12473</v>
      </c>
      <c r="R1273" s="3" t="s">
        <v>66</v>
      </c>
      <c r="S1273" s="4">
        <v>13</v>
      </c>
      <c r="T1273" s="4">
        <v>13</v>
      </c>
      <c r="U1273" s="5" t="s">
        <v>12474</v>
      </c>
      <c r="V1273" s="5" t="s">
        <v>12474</v>
      </c>
      <c r="W1273" s="5" t="s">
        <v>67</v>
      </c>
      <c r="X1273" s="5" t="s">
        <v>67</v>
      </c>
      <c r="Y1273" s="4">
        <v>33</v>
      </c>
      <c r="Z1273" s="4">
        <v>27</v>
      </c>
      <c r="AA1273" s="4">
        <v>34</v>
      </c>
      <c r="AB1273" s="4">
        <v>16</v>
      </c>
      <c r="AC1273" s="4">
        <v>16</v>
      </c>
      <c r="AD1273" s="4">
        <v>14</v>
      </c>
      <c r="AE1273" s="4">
        <v>17</v>
      </c>
      <c r="AF1273" s="4">
        <v>7</v>
      </c>
      <c r="AG1273" s="4">
        <v>7</v>
      </c>
      <c r="AH1273" s="4">
        <v>5</v>
      </c>
      <c r="AI1273" s="4">
        <v>5</v>
      </c>
      <c r="AJ1273" s="4">
        <v>9</v>
      </c>
      <c r="AK1273" s="4">
        <v>10</v>
      </c>
      <c r="AL1273" s="4">
        <v>2</v>
      </c>
      <c r="AM1273" s="4">
        <v>2</v>
      </c>
      <c r="AN1273" s="4">
        <v>3</v>
      </c>
      <c r="AO1273" s="4">
        <v>3</v>
      </c>
      <c r="AP1273" s="4">
        <v>11</v>
      </c>
      <c r="AQ1273" s="4">
        <v>14</v>
      </c>
      <c r="AR1273" s="3" t="s">
        <v>61</v>
      </c>
      <c r="AS1273" s="3" t="s">
        <v>62</v>
      </c>
      <c r="AT1273" s="3" t="s">
        <v>61</v>
      </c>
      <c r="AU1273" s="6" t="str">
        <f>HYPERLINK("http://catalog.hathitrust.org/Record/102275932","HathiTrust Record")</f>
        <v>HathiTrust Record</v>
      </c>
      <c r="AV1273" s="6" t="str">
        <f>HYPERLINK("http://mcgill.on.worldcat.org/oclc/19628984","Catalog Record")</f>
        <v>Catalog Record</v>
      </c>
      <c r="AW1273" s="6" t="str">
        <f>HYPERLINK("http://www.worldcat.org/oclc/19628984","WorldCat Record")</f>
        <v>WorldCat Record</v>
      </c>
      <c r="AX1273" s="3" t="s">
        <v>12475</v>
      </c>
      <c r="AY1273" s="3" t="s">
        <v>12476</v>
      </c>
      <c r="AZ1273" s="3" t="s">
        <v>12477</v>
      </c>
      <c r="BA1273" s="3" t="s">
        <v>12477</v>
      </c>
      <c r="BB1273" s="3" t="s">
        <v>12478</v>
      </c>
      <c r="BC1273" s="3" t="s">
        <v>142</v>
      </c>
      <c r="BD1273" s="3" t="s">
        <v>68</v>
      </c>
      <c r="BE1273" s="3" t="s">
        <v>12479</v>
      </c>
      <c r="BF1273" s="3" t="s">
        <v>12478</v>
      </c>
      <c r="BG1273" s="3" t="s">
        <v>12480</v>
      </c>
    </row>
    <row r="1274" spans="1:59" ht="57" x14ac:dyDescent="0.45">
      <c r="A1274" s="2" t="s">
        <v>59</v>
      </c>
      <c r="B1274" s="2" t="s">
        <v>60</v>
      </c>
      <c r="C1274" s="2" t="s">
        <v>12481</v>
      </c>
      <c r="D1274" s="2" t="s">
        <v>12482</v>
      </c>
      <c r="E1274" s="2" t="s">
        <v>12483</v>
      </c>
      <c r="G1274" s="3" t="s">
        <v>62</v>
      </c>
      <c r="I1274" s="3" t="s">
        <v>61</v>
      </c>
      <c r="J1274" s="3" t="s">
        <v>62</v>
      </c>
      <c r="K1274" s="3" t="s">
        <v>63</v>
      </c>
      <c r="L1274" s="2" t="s">
        <v>12484</v>
      </c>
      <c r="M1274" s="2" t="s">
        <v>12485</v>
      </c>
      <c r="N1274" s="3" t="s">
        <v>866</v>
      </c>
      <c r="P1274" s="3" t="s">
        <v>65</v>
      </c>
      <c r="R1274" s="3" t="s">
        <v>66</v>
      </c>
      <c r="S1274" s="4">
        <v>8</v>
      </c>
      <c r="T1274" s="4">
        <v>8</v>
      </c>
      <c r="U1274" s="5" t="s">
        <v>12486</v>
      </c>
      <c r="V1274" s="5" t="s">
        <v>12486</v>
      </c>
      <c r="W1274" s="5" t="s">
        <v>67</v>
      </c>
      <c r="X1274" s="5" t="s">
        <v>67</v>
      </c>
      <c r="Y1274" s="4">
        <v>630</v>
      </c>
      <c r="Z1274" s="4">
        <v>30</v>
      </c>
      <c r="AA1274" s="4">
        <v>39</v>
      </c>
      <c r="AB1274" s="4">
        <v>5</v>
      </c>
      <c r="AC1274" s="4">
        <v>8</v>
      </c>
      <c r="AD1274" s="4">
        <v>112</v>
      </c>
      <c r="AE1274" s="4">
        <v>119</v>
      </c>
      <c r="AF1274" s="4">
        <v>2</v>
      </c>
      <c r="AG1274" s="4">
        <v>5</v>
      </c>
      <c r="AH1274" s="4">
        <v>96</v>
      </c>
      <c r="AI1274" s="4">
        <v>100</v>
      </c>
      <c r="AJ1274" s="4">
        <v>16</v>
      </c>
      <c r="AK1274" s="4">
        <v>20</v>
      </c>
      <c r="AL1274" s="4">
        <v>52</v>
      </c>
      <c r="AM1274" s="4">
        <v>52</v>
      </c>
      <c r="AN1274" s="4">
        <v>0</v>
      </c>
      <c r="AO1274" s="4">
        <v>0</v>
      </c>
      <c r="AP1274" s="4">
        <v>22</v>
      </c>
      <c r="AQ1274" s="4">
        <v>27</v>
      </c>
      <c r="AR1274" s="3" t="s">
        <v>62</v>
      </c>
      <c r="AS1274" s="3" t="s">
        <v>62</v>
      </c>
      <c r="AT1274" s="3" t="s">
        <v>62</v>
      </c>
      <c r="AU1274" s="6" t="str">
        <f>HYPERLINK("http://catalog.hathitrust.org/Record/001180739","HathiTrust Record")</f>
        <v>HathiTrust Record</v>
      </c>
      <c r="AV1274" s="6" t="str">
        <f>HYPERLINK("http://mcgill.on.worldcat.org/oclc/306846","Catalog Record")</f>
        <v>Catalog Record</v>
      </c>
      <c r="AW1274" s="6" t="str">
        <f>HYPERLINK("http://www.worldcat.org/oclc/306846","WorldCat Record")</f>
        <v>WorldCat Record</v>
      </c>
      <c r="AX1274" s="3" t="s">
        <v>12487</v>
      </c>
      <c r="AY1274" s="3" t="s">
        <v>12488</v>
      </c>
      <c r="AZ1274" s="3" t="s">
        <v>12489</v>
      </c>
      <c r="BA1274" s="3" t="s">
        <v>12489</v>
      </c>
      <c r="BB1274" s="3" t="s">
        <v>12490</v>
      </c>
      <c r="BC1274" s="3" t="s">
        <v>142</v>
      </c>
      <c r="BD1274" s="3" t="s">
        <v>68</v>
      </c>
      <c r="BF1274" s="3" t="s">
        <v>12490</v>
      </c>
      <c r="BG1274" s="3" t="s">
        <v>12491</v>
      </c>
    </row>
    <row r="1275" spans="1:59" ht="57" x14ac:dyDescent="0.45">
      <c r="A1275" s="2" t="s">
        <v>59</v>
      </c>
      <c r="B1275" s="2" t="s">
        <v>60</v>
      </c>
      <c r="C1275" s="2" t="s">
        <v>12492</v>
      </c>
      <c r="D1275" s="2" t="s">
        <v>12493</v>
      </c>
      <c r="E1275" s="2" t="s">
        <v>12494</v>
      </c>
      <c r="G1275" s="3" t="s">
        <v>62</v>
      </c>
      <c r="I1275" s="3" t="s">
        <v>62</v>
      </c>
      <c r="J1275" s="3" t="s">
        <v>62</v>
      </c>
      <c r="K1275" s="3" t="s">
        <v>63</v>
      </c>
      <c r="L1275" s="2" t="s">
        <v>12495</v>
      </c>
      <c r="M1275" s="2" t="s">
        <v>12496</v>
      </c>
      <c r="N1275" s="3" t="s">
        <v>807</v>
      </c>
      <c r="P1275" s="3" t="s">
        <v>110</v>
      </c>
      <c r="Q1275" s="2" t="s">
        <v>496</v>
      </c>
      <c r="R1275" s="3" t="s">
        <v>66</v>
      </c>
      <c r="S1275" s="4">
        <v>5</v>
      </c>
      <c r="T1275" s="4">
        <v>5</v>
      </c>
      <c r="U1275" s="5" t="s">
        <v>12497</v>
      </c>
      <c r="V1275" s="5" t="s">
        <v>12497</v>
      </c>
      <c r="W1275" s="5" t="s">
        <v>67</v>
      </c>
      <c r="X1275" s="5" t="s">
        <v>67</v>
      </c>
      <c r="Y1275" s="4">
        <v>4</v>
      </c>
      <c r="Z1275" s="4">
        <v>3</v>
      </c>
      <c r="AA1275" s="4">
        <v>16</v>
      </c>
      <c r="AB1275" s="4">
        <v>1</v>
      </c>
      <c r="AC1275" s="4">
        <v>8</v>
      </c>
      <c r="AD1275" s="4">
        <v>2</v>
      </c>
      <c r="AE1275" s="4">
        <v>17</v>
      </c>
      <c r="AF1275" s="4">
        <v>0</v>
      </c>
      <c r="AG1275" s="4">
        <v>4</v>
      </c>
      <c r="AH1275" s="4">
        <v>2</v>
      </c>
      <c r="AI1275" s="4">
        <v>12</v>
      </c>
      <c r="AJ1275" s="4">
        <v>1</v>
      </c>
      <c r="AK1275" s="4">
        <v>9</v>
      </c>
      <c r="AL1275" s="4">
        <v>0</v>
      </c>
      <c r="AM1275" s="4">
        <v>5</v>
      </c>
      <c r="AN1275" s="4">
        <v>0</v>
      </c>
      <c r="AO1275" s="4">
        <v>0</v>
      </c>
      <c r="AP1275" s="4">
        <v>2</v>
      </c>
      <c r="AQ1275" s="4">
        <v>11</v>
      </c>
      <c r="AR1275" s="3" t="s">
        <v>62</v>
      </c>
      <c r="AS1275" s="3" t="s">
        <v>62</v>
      </c>
      <c r="AT1275" s="3" t="s">
        <v>62</v>
      </c>
      <c r="AV1275" s="6" t="str">
        <f>HYPERLINK("http://mcgill.on.worldcat.org/oclc/270795905","Catalog Record")</f>
        <v>Catalog Record</v>
      </c>
      <c r="AW1275" s="6" t="str">
        <f>HYPERLINK("http://www.worldcat.org/oclc/270795905","WorldCat Record")</f>
        <v>WorldCat Record</v>
      </c>
      <c r="AX1275" s="3" t="s">
        <v>12498</v>
      </c>
      <c r="AY1275" s="3" t="s">
        <v>12499</v>
      </c>
      <c r="AZ1275" s="3" t="s">
        <v>12500</v>
      </c>
      <c r="BA1275" s="3" t="s">
        <v>12500</v>
      </c>
      <c r="BB1275" s="3" t="s">
        <v>12501</v>
      </c>
      <c r="BC1275" s="3" t="s">
        <v>142</v>
      </c>
      <c r="BD1275" s="3" t="s">
        <v>68</v>
      </c>
      <c r="BF1275" s="3" t="s">
        <v>12501</v>
      </c>
      <c r="BG1275" s="3" t="s">
        <v>12502</v>
      </c>
    </row>
    <row r="1276" spans="1:59" ht="57" x14ac:dyDescent="0.45">
      <c r="A1276" s="2" t="s">
        <v>59</v>
      </c>
      <c r="B1276" s="2" t="s">
        <v>60</v>
      </c>
      <c r="C1276" s="2" t="s">
        <v>12503</v>
      </c>
      <c r="D1276" s="2" t="s">
        <v>12504</v>
      </c>
      <c r="E1276" s="2" t="s">
        <v>12505</v>
      </c>
      <c r="G1276" s="3" t="s">
        <v>62</v>
      </c>
      <c r="I1276" s="3" t="s">
        <v>62</v>
      </c>
      <c r="J1276" s="3" t="s">
        <v>62</v>
      </c>
      <c r="K1276" s="3" t="s">
        <v>63</v>
      </c>
      <c r="L1276" s="2" t="s">
        <v>12506</v>
      </c>
      <c r="M1276" s="2" t="s">
        <v>12507</v>
      </c>
      <c r="N1276" s="3" t="s">
        <v>555</v>
      </c>
      <c r="P1276" s="3" t="s">
        <v>110</v>
      </c>
      <c r="Q1276" s="2" t="s">
        <v>12508</v>
      </c>
      <c r="R1276" s="3" t="s">
        <v>66</v>
      </c>
      <c r="S1276" s="4">
        <v>4</v>
      </c>
      <c r="T1276" s="4">
        <v>4</v>
      </c>
      <c r="U1276" s="5" t="s">
        <v>11010</v>
      </c>
      <c r="V1276" s="5" t="s">
        <v>11010</v>
      </c>
      <c r="W1276" s="5" t="s">
        <v>67</v>
      </c>
      <c r="X1276" s="5" t="s">
        <v>67</v>
      </c>
      <c r="Y1276" s="4">
        <v>19</v>
      </c>
      <c r="Z1276" s="4">
        <v>2</v>
      </c>
      <c r="AA1276" s="4">
        <v>9</v>
      </c>
      <c r="AB1276" s="4">
        <v>1</v>
      </c>
      <c r="AC1276" s="4">
        <v>6</v>
      </c>
      <c r="AD1276" s="4">
        <v>6</v>
      </c>
      <c r="AE1276" s="4">
        <v>12</v>
      </c>
      <c r="AF1276" s="4">
        <v>0</v>
      </c>
      <c r="AG1276" s="4">
        <v>4</v>
      </c>
      <c r="AH1276" s="4">
        <v>5</v>
      </c>
      <c r="AI1276" s="4">
        <v>8</v>
      </c>
      <c r="AJ1276" s="4">
        <v>1</v>
      </c>
      <c r="AK1276" s="4">
        <v>6</v>
      </c>
      <c r="AL1276" s="4">
        <v>2</v>
      </c>
      <c r="AM1276" s="4">
        <v>2</v>
      </c>
      <c r="AN1276" s="4">
        <v>0</v>
      </c>
      <c r="AO1276" s="4">
        <v>0</v>
      </c>
      <c r="AP1276" s="4">
        <v>1</v>
      </c>
      <c r="AQ1276" s="4">
        <v>6</v>
      </c>
      <c r="AR1276" s="3" t="s">
        <v>62</v>
      </c>
      <c r="AS1276" s="3" t="s">
        <v>62</v>
      </c>
      <c r="AT1276" s="3" t="s">
        <v>62</v>
      </c>
      <c r="AV1276" s="6" t="str">
        <f>HYPERLINK("http://mcgill.on.worldcat.org/oclc/1364941","Catalog Record")</f>
        <v>Catalog Record</v>
      </c>
      <c r="AW1276" s="6" t="str">
        <f>HYPERLINK("http://www.worldcat.org/oclc/1364941","WorldCat Record")</f>
        <v>WorldCat Record</v>
      </c>
      <c r="AX1276" s="3" t="s">
        <v>12509</v>
      </c>
      <c r="AY1276" s="3" t="s">
        <v>12510</v>
      </c>
      <c r="AZ1276" s="3" t="s">
        <v>12511</v>
      </c>
      <c r="BA1276" s="3" t="s">
        <v>12511</v>
      </c>
      <c r="BB1276" s="3" t="s">
        <v>12512</v>
      </c>
      <c r="BC1276" s="3" t="s">
        <v>142</v>
      </c>
      <c r="BD1276" s="3" t="s">
        <v>68</v>
      </c>
      <c r="BF1276" s="3" t="s">
        <v>12512</v>
      </c>
      <c r="BG1276" s="3" t="s">
        <v>12513</v>
      </c>
    </row>
    <row r="1277" spans="1:59" ht="57" x14ac:dyDescent="0.45">
      <c r="A1277" s="2" t="s">
        <v>59</v>
      </c>
      <c r="B1277" s="2" t="s">
        <v>60</v>
      </c>
      <c r="C1277" s="2" t="s">
        <v>12514</v>
      </c>
      <c r="D1277" s="2" t="s">
        <v>12515</v>
      </c>
      <c r="E1277" s="2" t="s">
        <v>12516</v>
      </c>
      <c r="G1277" s="3" t="s">
        <v>62</v>
      </c>
      <c r="I1277" s="3" t="s">
        <v>62</v>
      </c>
      <c r="J1277" s="3" t="s">
        <v>62</v>
      </c>
      <c r="K1277" s="3" t="s">
        <v>63</v>
      </c>
      <c r="L1277" s="2" t="s">
        <v>12517</v>
      </c>
      <c r="M1277" s="2" t="s">
        <v>12518</v>
      </c>
      <c r="N1277" s="3" t="s">
        <v>444</v>
      </c>
      <c r="P1277" s="3" t="s">
        <v>65</v>
      </c>
      <c r="Q1277" s="2" t="s">
        <v>12519</v>
      </c>
      <c r="R1277" s="3" t="s">
        <v>66</v>
      </c>
      <c r="S1277" s="4">
        <v>15</v>
      </c>
      <c r="T1277" s="4">
        <v>15</v>
      </c>
      <c r="U1277" s="5" t="s">
        <v>12520</v>
      </c>
      <c r="V1277" s="5" t="s">
        <v>12520</v>
      </c>
      <c r="W1277" s="5" t="s">
        <v>67</v>
      </c>
      <c r="X1277" s="5" t="s">
        <v>67</v>
      </c>
      <c r="Y1277" s="4">
        <v>339</v>
      </c>
      <c r="Z1277" s="4">
        <v>10</v>
      </c>
      <c r="AA1277" s="4">
        <v>39</v>
      </c>
      <c r="AB1277" s="4">
        <v>1</v>
      </c>
      <c r="AC1277" s="4">
        <v>9</v>
      </c>
      <c r="AD1277" s="4">
        <v>88</v>
      </c>
      <c r="AE1277" s="4">
        <v>132</v>
      </c>
      <c r="AF1277" s="4">
        <v>0</v>
      </c>
      <c r="AG1277" s="4">
        <v>7</v>
      </c>
      <c r="AH1277" s="4">
        <v>80</v>
      </c>
      <c r="AI1277" s="4">
        <v>106</v>
      </c>
      <c r="AJ1277" s="4">
        <v>8</v>
      </c>
      <c r="AK1277" s="4">
        <v>24</v>
      </c>
      <c r="AL1277" s="4">
        <v>46</v>
      </c>
      <c r="AM1277" s="4">
        <v>56</v>
      </c>
      <c r="AN1277" s="4">
        <v>0</v>
      </c>
      <c r="AO1277" s="4">
        <v>0</v>
      </c>
      <c r="AP1277" s="4">
        <v>9</v>
      </c>
      <c r="AQ1277" s="4">
        <v>34</v>
      </c>
      <c r="AR1277" s="3" t="s">
        <v>62</v>
      </c>
      <c r="AS1277" s="3" t="s">
        <v>62</v>
      </c>
      <c r="AT1277" s="3" t="s">
        <v>61</v>
      </c>
      <c r="AU1277" s="6" t="str">
        <f>HYPERLINK("http://catalog.hathitrust.org/Record/001180864","HathiTrust Record")</f>
        <v>HathiTrust Record</v>
      </c>
      <c r="AV1277" s="6" t="str">
        <f>HYPERLINK("http://mcgill.on.worldcat.org/oclc/652655","Catalog Record")</f>
        <v>Catalog Record</v>
      </c>
      <c r="AW1277" s="6" t="str">
        <f>HYPERLINK("http://www.worldcat.org/oclc/652655","WorldCat Record")</f>
        <v>WorldCat Record</v>
      </c>
      <c r="AX1277" s="3" t="s">
        <v>12521</v>
      </c>
      <c r="AY1277" s="3" t="s">
        <v>12522</v>
      </c>
      <c r="AZ1277" s="3" t="s">
        <v>12523</v>
      </c>
      <c r="BA1277" s="3" t="s">
        <v>12523</v>
      </c>
      <c r="BB1277" s="3" t="s">
        <v>12524</v>
      </c>
      <c r="BC1277" s="3" t="s">
        <v>142</v>
      </c>
      <c r="BD1277" s="3" t="s">
        <v>68</v>
      </c>
      <c r="BF1277" s="3" t="s">
        <v>12524</v>
      </c>
      <c r="BG1277" s="3" t="s">
        <v>12525</v>
      </c>
    </row>
    <row r="1278" spans="1:59" ht="57" x14ac:dyDescent="0.45">
      <c r="A1278" s="2" t="s">
        <v>59</v>
      </c>
      <c r="B1278" s="2" t="s">
        <v>60</v>
      </c>
      <c r="C1278" s="2" t="s">
        <v>12526</v>
      </c>
      <c r="D1278" s="2" t="s">
        <v>12527</v>
      </c>
      <c r="E1278" s="2" t="s">
        <v>12528</v>
      </c>
      <c r="G1278" s="3" t="s">
        <v>62</v>
      </c>
      <c r="I1278" s="3" t="s">
        <v>62</v>
      </c>
      <c r="J1278" s="3" t="s">
        <v>62</v>
      </c>
      <c r="K1278" s="3" t="s">
        <v>63</v>
      </c>
      <c r="L1278" s="2" t="s">
        <v>12529</v>
      </c>
      <c r="M1278" s="2" t="s">
        <v>12530</v>
      </c>
      <c r="N1278" s="3" t="s">
        <v>1059</v>
      </c>
      <c r="P1278" s="3" t="s">
        <v>65</v>
      </c>
      <c r="R1278" s="3" t="s">
        <v>66</v>
      </c>
      <c r="S1278" s="4">
        <v>6</v>
      </c>
      <c r="T1278" s="4">
        <v>6</v>
      </c>
      <c r="U1278" s="5" t="s">
        <v>1578</v>
      </c>
      <c r="V1278" s="5" t="s">
        <v>1578</v>
      </c>
      <c r="W1278" s="5" t="s">
        <v>67</v>
      </c>
      <c r="X1278" s="5" t="s">
        <v>67</v>
      </c>
      <c r="Y1278" s="4">
        <v>226</v>
      </c>
      <c r="Z1278" s="4">
        <v>24</v>
      </c>
      <c r="AA1278" s="4">
        <v>86</v>
      </c>
      <c r="AB1278" s="4">
        <v>2</v>
      </c>
      <c r="AC1278" s="4">
        <v>15</v>
      </c>
      <c r="AD1278" s="4">
        <v>51</v>
      </c>
      <c r="AE1278" s="4">
        <v>110</v>
      </c>
      <c r="AF1278" s="4">
        <v>1</v>
      </c>
      <c r="AG1278" s="4">
        <v>8</v>
      </c>
      <c r="AH1278" s="4">
        <v>43</v>
      </c>
      <c r="AI1278" s="4">
        <v>75</v>
      </c>
      <c r="AJ1278" s="4">
        <v>14</v>
      </c>
      <c r="AK1278" s="4">
        <v>22</v>
      </c>
      <c r="AL1278" s="4">
        <v>21</v>
      </c>
      <c r="AM1278" s="4">
        <v>36</v>
      </c>
      <c r="AN1278" s="4">
        <v>0</v>
      </c>
      <c r="AO1278" s="4">
        <v>0</v>
      </c>
      <c r="AP1278" s="4">
        <v>16</v>
      </c>
      <c r="AQ1278" s="4">
        <v>43</v>
      </c>
      <c r="AR1278" s="3" t="s">
        <v>62</v>
      </c>
      <c r="AS1278" s="3" t="s">
        <v>62</v>
      </c>
      <c r="AT1278" s="3" t="s">
        <v>61</v>
      </c>
      <c r="AU1278" s="6" t="str">
        <f>HYPERLINK("http://catalog.hathitrust.org/Record/006952516","HathiTrust Record")</f>
        <v>HathiTrust Record</v>
      </c>
      <c r="AV1278" s="6" t="str">
        <f>HYPERLINK("http://mcgill.on.worldcat.org/oclc/62281534","Catalog Record")</f>
        <v>Catalog Record</v>
      </c>
      <c r="AW1278" s="6" t="str">
        <f>HYPERLINK("http://www.worldcat.org/oclc/62281534","WorldCat Record")</f>
        <v>WorldCat Record</v>
      </c>
      <c r="AX1278" s="3" t="s">
        <v>12531</v>
      </c>
      <c r="AY1278" s="3" t="s">
        <v>12532</v>
      </c>
      <c r="AZ1278" s="3" t="s">
        <v>12533</v>
      </c>
      <c r="BA1278" s="3" t="s">
        <v>12533</v>
      </c>
      <c r="BB1278" s="3" t="s">
        <v>12534</v>
      </c>
      <c r="BC1278" s="3" t="s">
        <v>142</v>
      </c>
      <c r="BD1278" s="3" t="s">
        <v>68</v>
      </c>
      <c r="BE1278" s="3" t="s">
        <v>12535</v>
      </c>
      <c r="BF1278" s="3" t="s">
        <v>12534</v>
      </c>
      <c r="BG1278" s="3" t="s">
        <v>12536</v>
      </c>
    </row>
    <row r="1279" spans="1:59" ht="57" x14ac:dyDescent="0.45">
      <c r="A1279" s="2" t="s">
        <v>59</v>
      </c>
      <c r="B1279" s="2" t="s">
        <v>60</v>
      </c>
      <c r="C1279" s="2" t="s">
        <v>12537</v>
      </c>
      <c r="D1279" s="2" t="s">
        <v>12538</v>
      </c>
      <c r="E1279" s="2" t="s">
        <v>12539</v>
      </c>
      <c r="G1279" s="3" t="s">
        <v>62</v>
      </c>
      <c r="I1279" s="3" t="s">
        <v>62</v>
      </c>
      <c r="J1279" s="3" t="s">
        <v>62</v>
      </c>
      <c r="K1279" s="3" t="s">
        <v>63</v>
      </c>
      <c r="L1279" s="2" t="s">
        <v>12529</v>
      </c>
      <c r="M1279" s="2" t="s">
        <v>12540</v>
      </c>
      <c r="N1279" s="3" t="s">
        <v>958</v>
      </c>
      <c r="P1279" s="3" t="s">
        <v>65</v>
      </c>
      <c r="R1279" s="3" t="s">
        <v>66</v>
      </c>
      <c r="S1279" s="4">
        <v>13</v>
      </c>
      <c r="T1279" s="4">
        <v>13</v>
      </c>
      <c r="U1279" s="5" t="s">
        <v>12541</v>
      </c>
      <c r="V1279" s="5" t="s">
        <v>12541</v>
      </c>
      <c r="W1279" s="5" t="s">
        <v>67</v>
      </c>
      <c r="X1279" s="5" t="s">
        <v>67</v>
      </c>
      <c r="Y1279" s="4">
        <v>784</v>
      </c>
      <c r="Z1279" s="4">
        <v>31</v>
      </c>
      <c r="AA1279" s="4">
        <v>126</v>
      </c>
      <c r="AB1279" s="4">
        <v>2</v>
      </c>
      <c r="AC1279" s="4">
        <v>17</v>
      </c>
      <c r="AD1279" s="4">
        <v>96</v>
      </c>
      <c r="AE1279" s="4">
        <v>139</v>
      </c>
      <c r="AF1279" s="4">
        <v>1</v>
      </c>
      <c r="AG1279" s="4">
        <v>8</v>
      </c>
      <c r="AH1279" s="4">
        <v>80</v>
      </c>
      <c r="AI1279" s="4">
        <v>94</v>
      </c>
      <c r="AJ1279" s="4">
        <v>13</v>
      </c>
      <c r="AK1279" s="4">
        <v>25</v>
      </c>
      <c r="AL1279" s="4">
        <v>36</v>
      </c>
      <c r="AM1279" s="4">
        <v>45</v>
      </c>
      <c r="AN1279" s="4">
        <v>0</v>
      </c>
      <c r="AO1279" s="4">
        <v>0</v>
      </c>
      <c r="AP1279" s="4">
        <v>23</v>
      </c>
      <c r="AQ1279" s="4">
        <v>53</v>
      </c>
      <c r="AR1279" s="3" t="s">
        <v>62</v>
      </c>
      <c r="AS1279" s="3" t="s">
        <v>62</v>
      </c>
      <c r="AT1279" s="3" t="s">
        <v>61</v>
      </c>
      <c r="AU1279" s="6" t="str">
        <f>HYPERLINK("http://catalog.hathitrust.org/Record/003045076","HathiTrust Record")</f>
        <v>HathiTrust Record</v>
      </c>
      <c r="AV1279" s="6" t="str">
        <f>HYPERLINK("http://mcgill.on.worldcat.org/oclc/32203810","Catalog Record")</f>
        <v>Catalog Record</v>
      </c>
      <c r="AW1279" s="6" t="str">
        <f>HYPERLINK("http://www.worldcat.org/oclc/32203810","WorldCat Record")</f>
        <v>WorldCat Record</v>
      </c>
      <c r="AX1279" s="3" t="s">
        <v>12542</v>
      </c>
      <c r="AY1279" s="3" t="s">
        <v>12543</v>
      </c>
      <c r="AZ1279" s="3" t="s">
        <v>12544</v>
      </c>
      <c r="BA1279" s="3" t="s">
        <v>12544</v>
      </c>
      <c r="BB1279" s="3" t="s">
        <v>12545</v>
      </c>
      <c r="BC1279" s="3" t="s">
        <v>142</v>
      </c>
      <c r="BD1279" s="3" t="s">
        <v>68</v>
      </c>
      <c r="BE1279" s="3" t="s">
        <v>12546</v>
      </c>
      <c r="BF1279" s="3" t="s">
        <v>12545</v>
      </c>
      <c r="BG1279" s="3" t="s">
        <v>12547</v>
      </c>
    </row>
    <row r="1280" spans="1:59" ht="57" x14ac:dyDescent="0.45">
      <c r="A1280" s="2" t="s">
        <v>59</v>
      </c>
      <c r="B1280" s="2" t="s">
        <v>60</v>
      </c>
      <c r="C1280" s="2" t="s">
        <v>12548</v>
      </c>
      <c r="D1280" s="2" t="s">
        <v>12549</v>
      </c>
      <c r="E1280" s="2" t="s">
        <v>12550</v>
      </c>
      <c r="G1280" s="3" t="s">
        <v>62</v>
      </c>
      <c r="I1280" s="3" t="s">
        <v>62</v>
      </c>
      <c r="J1280" s="3" t="s">
        <v>62</v>
      </c>
      <c r="K1280" s="3" t="s">
        <v>63</v>
      </c>
      <c r="L1280" s="2" t="s">
        <v>12551</v>
      </c>
      <c r="M1280" s="2" t="s">
        <v>12552</v>
      </c>
      <c r="N1280" s="3" t="s">
        <v>248</v>
      </c>
      <c r="P1280" s="3" t="s">
        <v>65</v>
      </c>
      <c r="R1280" s="3" t="s">
        <v>66</v>
      </c>
      <c r="S1280" s="4">
        <v>15</v>
      </c>
      <c r="T1280" s="4">
        <v>15</v>
      </c>
      <c r="U1280" s="5" t="s">
        <v>12553</v>
      </c>
      <c r="V1280" s="5" t="s">
        <v>12553</v>
      </c>
      <c r="W1280" s="5" t="s">
        <v>67</v>
      </c>
      <c r="X1280" s="5" t="s">
        <v>67</v>
      </c>
      <c r="Y1280" s="4">
        <v>927</v>
      </c>
      <c r="Z1280" s="4">
        <v>60</v>
      </c>
      <c r="AA1280" s="4">
        <v>70</v>
      </c>
      <c r="AB1280" s="4">
        <v>3</v>
      </c>
      <c r="AC1280" s="4">
        <v>8</v>
      </c>
      <c r="AD1280" s="4">
        <v>135</v>
      </c>
      <c r="AE1280" s="4">
        <v>145</v>
      </c>
      <c r="AF1280" s="4">
        <v>2</v>
      </c>
      <c r="AG1280" s="4">
        <v>6</v>
      </c>
      <c r="AH1280" s="4">
        <v>103</v>
      </c>
      <c r="AI1280" s="4">
        <v>107</v>
      </c>
      <c r="AJ1280" s="4">
        <v>21</v>
      </c>
      <c r="AK1280" s="4">
        <v>26</v>
      </c>
      <c r="AL1280" s="4">
        <v>54</v>
      </c>
      <c r="AM1280" s="4">
        <v>55</v>
      </c>
      <c r="AN1280" s="4">
        <v>0</v>
      </c>
      <c r="AO1280" s="4">
        <v>0</v>
      </c>
      <c r="AP1280" s="4">
        <v>37</v>
      </c>
      <c r="AQ1280" s="4">
        <v>45</v>
      </c>
      <c r="AR1280" s="3" t="s">
        <v>62</v>
      </c>
      <c r="AS1280" s="3" t="s">
        <v>62</v>
      </c>
      <c r="AT1280" s="3" t="s">
        <v>61</v>
      </c>
      <c r="AU1280" s="6" t="str">
        <f>HYPERLINK("http://catalog.hathitrust.org/Record/001180740","HathiTrust Record")</f>
        <v>HathiTrust Record</v>
      </c>
      <c r="AV1280" s="6" t="str">
        <f>HYPERLINK("http://mcgill.on.worldcat.org/oclc/231993","Catalog Record")</f>
        <v>Catalog Record</v>
      </c>
      <c r="AW1280" s="6" t="str">
        <f>HYPERLINK("http://www.worldcat.org/oclc/231993","WorldCat Record")</f>
        <v>WorldCat Record</v>
      </c>
      <c r="AX1280" s="3" t="s">
        <v>12554</v>
      </c>
      <c r="AY1280" s="3" t="s">
        <v>12555</v>
      </c>
      <c r="AZ1280" s="3" t="s">
        <v>12556</v>
      </c>
      <c r="BA1280" s="3" t="s">
        <v>12556</v>
      </c>
      <c r="BB1280" s="3" t="s">
        <v>12557</v>
      </c>
      <c r="BC1280" s="3" t="s">
        <v>142</v>
      </c>
      <c r="BD1280" s="3" t="s">
        <v>68</v>
      </c>
      <c r="BE1280" s="3" t="s">
        <v>12558</v>
      </c>
      <c r="BF1280" s="3" t="s">
        <v>12557</v>
      </c>
      <c r="BG1280" s="3" t="s">
        <v>12559</v>
      </c>
    </row>
    <row r="1281" spans="1:59" ht="57" x14ac:dyDescent="0.45">
      <c r="A1281" s="2" t="s">
        <v>59</v>
      </c>
      <c r="B1281" s="2" t="s">
        <v>60</v>
      </c>
      <c r="C1281" s="2" t="s">
        <v>12560</v>
      </c>
      <c r="D1281" s="2" t="s">
        <v>12561</v>
      </c>
      <c r="E1281" s="2" t="s">
        <v>12562</v>
      </c>
      <c r="G1281" s="3" t="s">
        <v>62</v>
      </c>
      <c r="I1281" s="3" t="s">
        <v>62</v>
      </c>
      <c r="J1281" s="3" t="s">
        <v>62</v>
      </c>
      <c r="K1281" s="3" t="s">
        <v>63</v>
      </c>
      <c r="L1281" s="2" t="s">
        <v>12563</v>
      </c>
      <c r="M1281" s="2" t="s">
        <v>12564</v>
      </c>
      <c r="N1281" s="3" t="s">
        <v>116</v>
      </c>
      <c r="O1281" s="2" t="s">
        <v>1748</v>
      </c>
      <c r="P1281" s="3" t="s">
        <v>65</v>
      </c>
      <c r="R1281" s="3" t="s">
        <v>66</v>
      </c>
      <c r="S1281" s="4">
        <v>2</v>
      </c>
      <c r="T1281" s="4">
        <v>2</v>
      </c>
      <c r="U1281" s="5" t="s">
        <v>12565</v>
      </c>
      <c r="V1281" s="5" t="s">
        <v>12565</v>
      </c>
      <c r="W1281" s="5" t="s">
        <v>67</v>
      </c>
      <c r="X1281" s="5" t="s">
        <v>67</v>
      </c>
      <c r="Y1281" s="4">
        <v>788</v>
      </c>
      <c r="Z1281" s="4">
        <v>48</v>
      </c>
      <c r="AA1281" s="4">
        <v>58</v>
      </c>
      <c r="AB1281" s="4">
        <v>3</v>
      </c>
      <c r="AC1281" s="4">
        <v>9</v>
      </c>
      <c r="AD1281" s="4">
        <v>82</v>
      </c>
      <c r="AE1281" s="4">
        <v>91</v>
      </c>
      <c r="AF1281" s="4">
        <v>0</v>
      </c>
      <c r="AG1281" s="4">
        <v>2</v>
      </c>
      <c r="AH1281" s="4">
        <v>73</v>
      </c>
      <c r="AI1281" s="4">
        <v>78</v>
      </c>
      <c r="AJ1281" s="4">
        <v>10</v>
      </c>
      <c r="AK1281" s="4">
        <v>12</v>
      </c>
      <c r="AL1281" s="4">
        <v>40</v>
      </c>
      <c r="AM1281" s="4">
        <v>42</v>
      </c>
      <c r="AN1281" s="4">
        <v>0</v>
      </c>
      <c r="AO1281" s="4">
        <v>0</v>
      </c>
      <c r="AP1281" s="4">
        <v>16</v>
      </c>
      <c r="AQ1281" s="4">
        <v>19</v>
      </c>
      <c r="AR1281" s="3" t="s">
        <v>62</v>
      </c>
      <c r="AS1281" s="3" t="s">
        <v>62</v>
      </c>
      <c r="AT1281" s="3" t="s">
        <v>62</v>
      </c>
      <c r="AV1281" s="6" t="str">
        <f>HYPERLINK("http://mcgill.on.worldcat.org/oclc/820531290","Catalog Record")</f>
        <v>Catalog Record</v>
      </c>
      <c r="AW1281" s="6" t="str">
        <f>HYPERLINK("http://www.worldcat.org/oclc/820531290","WorldCat Record")</f>
        <v>WorldCat Record</v>
      </c>
      <c r="AX1281" s="3" t="s">
        <v>12566</v>
      </c>
      <c r="AY1281" s="3" t="s">
        <v>12567</v>
      </c>
      <c r="AZ1281" s="3" t="s">
        <v>12568</v>
      </c>
      <c r="BA1281" s="3" t="s">
        <v>12568</v>
      </c>
      <c r="BB1281" s="3" t="s">
        <v>12569</v>
      </c>
      <c r="BC1281" s="3" t="s">
        <v>142</v>
      </c>
      <c r="BD1281" s="3" t="s">
        <v>68</v>
      </c>
      <c r="BE1281" s="3" t="s">
        <v>12570</v>
      </c>
      <c r="BF1281" s="3" t="s">
        <v>12569</v>
      </c>
      <c r="BG1281" s="3" t="s">
        <v>12571</v>
      </c>
    </row>
    <row r="1282" spans="1:59" ht="57" x14ac:dyDescent="0.45">
      <c r="A1282" s="2" t="s">
        <v>59</v>
      </c>
      <c r="B1282" s="2" t="s">
        <v>60</v>
      </c>
      <c r="C1282" s="2" t="s">
        <v>12572</v>
      </c>
      <c r="D1282" s="2" t="s">
        <v>12573</v>
      </c>
      <c r="E1282" s="2" t="s">
        <v>12574</v>
      </c>
      <c r="G1282" s="3" t="s">
        <v>62</v>
      </c>
      <c r="I1282" s="3" t="s">
        <v>62</v>
      </c>
      <c r="J1282" s="3" t="s">
        <v>62</v>
      </c>
      <c r="K1282" s="3" t="s">
        <v>63</v>
      </c>
      <c r="L1282" s="2" t="s">
        <v>12575</v>
      </c>
      <c r="M1282" s="2" t="s">
        <v>12576</v>
      </c>
      <c r="N1282" s="3" t="s">
        <v>167</v>
      </c>
      <c r="P1282" s="3" t="s">
        <v>65</v>
      </c>
      <c r="R1282" s="3" t="s">
        <v>66</v>
      </c>
      <c r="S1282" s="4">
        <v>47</v>
      </c>
      <c r="T1282" s="4">
        <v>47</v>
      </c>
      <c r="U1282" s="5" t="s">
        <v>464</v>
      </c>
      <c r="V1282" s="5" t="s">
        <v>464</v>
      </c>
      <c r="W1282" s="5" t="s">
        <v>67</v>
      </c>
      <c r="X1282" s="5" t="s">
        <v>67</v>
      </c>
      <c r="Y1282" s="4">
        <v>778</v>
      </c>
      <c r="Z1282" s="4">
        <v>49</v>
      </c>
      <c r="AA1282" s="4">
        <v>74</v>
      </c>
      <c r="AB1282" s="4">
        <v>2</v>
      </c>
      <c r="AC1282" s="4">
        <v>5</v>
      </c>
      <c r="AD1282" s="4">
        <v>131</v>
      </c>
      <c r="AE1282" s="4">
        <v>139</v>
      </c>
      <c r="AF1282" s="4">
        <v>1</v>
      </c>
      <c r="AG1282" s="4">
        <v>3</v>
      </c>
      <c r="AH1282" s="4">
        <v>108</v>
      </c>
      <c r="AI1282" s="4">
        <v>110</v>
      </c>
      <c r="AJ1282" s="4">
        <v>21</v>
      </c>
      <c r="AK1282" s="4">
        <v>24</v>
      </c>
      <c r="AL1282" s="4">
        <v>55</v>
      </c>
      <c r="AM1282" s="4">
        <v>55</v>
      </c>
      <c r="AN1282" s="4">
        <v>0</v>
      </c>
      <c r="AO1282" s="4">
        <v>0</v>
      </c>
      <c r="AP1282" s="4">
        <v>31</v>
      </c>
      <c r="AQ1282" s="4">
        <v>38</v>
      </c>
      <c r="AR1282" s="3" t="s">
        <v>62</v>
      </c>
      <c r="AS1282" s="3" t="s">
        <v>62</v>
      </c>
      <c r="AT1282" s="3" t="s">
        <v>62</v>
      </c>
      <c r="AV1282" s="6" t="str">
        <f>HYPERLINK("http://mcgill.on.worldcat.org/oclc/39714053","Catalog Record")</f>
        <v>Catalog Record</v>
      </c>
      <c r="AW1282" s="6" t="str">
        <f>HYPERLINK("http://www.worldcat.org/oclc/39714053","WorldCat Record")</f>
        <v>WorldCat Record</v>
      </c>
      <c r="AX1282" s="3" t="s">
        <v>12577</v>
      </c>
      <c r="AY1282" s="3" t="s">
        <v>12578</v>
      </c>
      <c r="AZ1282" s="3" t="s">
        <v>12579</v>
      </c>
      <c r="BA1282" s="3" t="s">
        <v>12579</v>
      </c>
      <c r="BB1282" s="3" t="s">
        <v>12580</v>
      </c>
      <c r="BC1282" s="3" t="s">
        <v>142</v>
      </c>
      <c r="BD1282" s="3" t="s">
        <v>68</v>
      </c>
      <c r="BE1282" s="3" t="s">
        <v>12581</v>
      </c>
      <c r="BF1282" s="3" t="s">
        <v>12580</v>
      </c>
      <c r="BG1282" s="3" t="s">
        <v>12582</v>
      </c>
    </row>
    <row r="1283" spans="1:59" ht="57" x14ac:dyDescent="0.45">
      <c r="A1283" s="2" t="s">
        <v>59</v>
      </c>
      <c r="B1283" s="2" t="s">
        <v>60</v>
      </c>
      <c r="C1283" s="2" t="s">
        <v>12583</v>
      </c>
      <c r="D1283" s="2" t="s">
        <v>12584</v>
      </c>
      <c r="E1283" s="2" t="s">
        <v>12585</v>
      </c>
      <c r="G1283" s="3" t="s">
        <v>62</v>
      </c>
      <c r="I1283" s="3" t="s">
        <v>62</v>
      </c>
      <c r="J1283" s="3" t="s">
        <v>61</v>
      </c>
      <c r="K1283" s="3" t="s">
        <v>63</v>
      </c>
      <c r="L1283" s="2" t="s">
        <v>12586</v>
      </c>
      <c r="M1283" s="2" t="s">
        <v>12587</v>
      </c>
      <c r="N1283" s="3" t="s">
        <v>1465</v>
      </c>
      <c r="O1283" s="2" t="s">
        <v>906</v>
      </c>
      <c r="P1283" s="3" t="s">
        <v>65</v>
      </c>
      <c r="R1283" s="3" t="s">
        <v>66</v>
      </c>
      <c r="S1283" s="4">
        <v>12</v>
      </c>
      <c r="T1283" s="4">
        <v>12</v>
      </c>
      <c r="U1283" s="5" t="s">
        <v>12588</v>
      </c>
      <c r="V1283" s="5" t="s">
        <v>12588</v>
      </c>
      <c r="W1283" s="5" t="s">
        <v>67</v>
      </c>
      <c r="X1283" s="5" t="s">
        <v>67</v>
      </c>
      <c r="Y1283" s="4">
        <v>513</v>
      </c>
      <c r="Z1283" s="4">
        <v>40</v>
      </c>
      <c r="AA1283" s="4">
        <v>83</v>
      </c>
      <c r="AB1283" s="4">
        <v>2</v>
      </c>
      <c r="AC1283" s="4">
        <v>15</v>
      </c>
      <c r="AD1283" s="4">
        <v>81</v>
      </c>
      <c r="AE1283" s="4">
        <v>147</v>
      </c>
      <c r="AF1283" s="4">
        <v>1</v>
      </c>
      <c r="AG1283" s="4">
        <v>7</v>
      </c>
      <c r="AH1283" s="4">
        <v>65</v>
      </c>
      <c r="AI1283" s="4">
        <v>111</v>
      </c>
      <c r="AJ1283" s="4">
        <v>13</v>
      </c>
      <c r="AK1283" s="4">
        <v>25</v>
      </c>
      <c r="AL1283" s="4">
        <v>38</v>
      </c>
      <c r="AM1283" s="4">
        <v>60</v>
      </c>
      <c r="AN1283" s="4">
        <v>0</v>
      </c>
      <c r="AO1283" s="4">
        <v>0</v>
      </c>
      <c r="AP1283" s="4">
        <v>23</v>
      </c>
      <c r="AQ1283" s="4">
        <v>44</v>
      </c>
      <c r="AR1283" s="3" t="s">
        <v>62</v>
      </c>
      <c r="AS1283" s="3" t="s">
        <v>62</v>
      </c>
      <c r="AT1283" s="3" t="s">
        <v>62</v>
      </c>
      <c r="AV1283" s="6" t="str">
        <f>HYPERLINK("http://mcgill.on.worldcat.org/oclc/427611115","Catalog Record")</f>
        <v>Catalog Record</v>
      </c>
      <c r="AW1283" s="6" t="str">
        <f>HYPERLINK("http://www.worldcat.org/oclc/427611115","WorldCat Record")</f>
        <v>WorldCat Record</v>
      </c>
      <c r="AX1283" s="3" t="s">
        <v>12589</v>
      </c>
      <c r="AY1283" s="3" t="s">
        <v>12590</v>
      </c>
      <c r="AZ1283" s="3" t="s">
        <v>12591</v>
      </c>
      <c r="BA1283" s="3" t="s">
        <v>12591</v>
      </c>
      <c r="BB1283" s="3" t="s">
        <v>12592</v>
      </c>
      <c r="BC1283" s="3" t="s">
        <v>142</v>
      </c>
      <c r="BD1283" s="3" t="s">
        <v>68</v>
      </c>
      <c r="BE1283" s="3" t="s">
        <v>12593</v>
      </c>
      <c r="BF1283" s="3" t="s">
        <v>12592</v>
      </c>
      <c r="BG1283" s="3" t="s">
        <v>12594</v>
      </c>
    </row>
    <row r="1284" spans="1:59" ht="57" x14ac:dyDescent="0.45">
      <c r="A1284" s="2" t="s">
        <v>59</v>
      </c>
      <c r="B1284" s="2" t="s">
        <v>60</v>
      </c>
      <c r="C1284" s="2" t="s">
        <v>12595</v>
      </c>
      <c r="D1284" s="2" t="s">
        <v>12596</v>
      </c>
      <c r="E1284" s="2" t="s">
        <v>12597</v>
      </c>
      <c r="G1284" s="3" t="s">
        <v>62</v>
      </c>
      <c r="I1284" s="3" t="s">
        <v>62</v>
      </c>
      <c r="J1284" s="3" t="s">
        <v>62</v>
      </c>
      <c r="K1284" s="3" t="s">
        <v>63</v>
      </c>
      <c r="L1284" s="2" t="s">
        <v>12598</v>
      </c>
      <c r="M1284" s="2" t="s">
        <v>12599</v>
      </c>
      <c r="N1284" s="3" t="s">
        <v>970</v>
      </c>
      <c r="O1284" s="2" t="s">
        <v>12600</v>
      </c>
      <c r="P1284" s="3" t="s">
        <v>110</v>
      </c>
      <c r="R1284" s="3" t="s">
        <v>66</v>
      </c>
      <c r="S1284" s="4">
        <v>8</v>
      </c>
      <c r="T1284" s="4">
        <v>8</v>
      </c>
      <c r="U1284" s="5" t="s">
        <v>250</v>
      </c>
      <c r="V1284" s="5" t="s">
        <v>250</v>
      </c>
      <c r="W1284" s="5" t="s">
        <v>67</v>
      </c>
      <c r="X1284" s="5" t="s">
        <v>67</v>
      </c>
      <c r="Y1284" s="4">
        <v>24</v>
      </c>
      <c r="Z1284" s="4">
        <v>21</v>
      </c>
      <c r="AA1284" s="4">
        <v>22</v>
      </c>
      <c r="AB1284" s="4">
        <v>10</v>
      </c>
      <c r="AC1284" s="4">
        <v>11</v>
      </c>
      <c r="AD1284" s="4">
        <v>14</v>
      </c>
      <c r="AE1284" s="4">
        <v>15</v>
      </c>
      <c r="AF1284" s="4">
        <v>6</v>
      </c>
      <c r="AG1284" s="4">
        <v>7</v>
      </c>
      <c r="AH1284" s="4">
        <v>5</v>
      </c>
      <c r="AI1284" s="4">
        <v>5</v>
      </c>
      <c r="AJ1284" s="4">
        <v>10</v>
      </c>
      <c r="AK1284" s="4">
        <v>10</v>
      </c>
      <c r="AL1284" s="4">
        <v>2</v>
      </c>
      <c r="AM1284" s="4">
        <v>2</v>
      </c>
      <c r="AN1284" s="4">
        <v>0</v>
      </c>
      <c r="AO1284" s="4">
        <v>0</v>
      </c>
      <c r="AP1284" s="4">
        <v>11</v>
      </c>
      <c r="AQ1284" s="4">
        <v>12</v>
      </c>
      <c r="AR1284" s="3" t="s">
        <v>61</v>
      </c>
      <c r="AS1284" s="3" t="s">
        <v>62</v>
      </c>
      <c r="AT1284" s="3" t="s">
        <v>62</v>
      </c>
      <c r="AV1284" s="6" t="str">
        <f>HYPERLINK("http://mcgill.on.worldcat.org/oclc/50622610","Catalog Record")</f>
        <v>Catalog Record</v>
      </c>
      <c r="AW1284" s="6" t="str">
        <f>HYPERLINK("http://www.worldcat.org/oclc/50622610","WorldCat Record")</f>
        <v>WorldCat Record</v>
      </c>
      <c r="AX1284" s="3" t="s">
        <v>12601</v>
      </c>
      <c r="AY1284" s="3" t="s">
        <v>12602</v>
      </c>
      <c r="AZ1284" s="3" t="s">
        <v>12603</v>
      </c>
      <c r="BA1284" s="3" t="s">
        <v>12603</v>
      </c>
      <c r="BB1284" s="3" t="s">
        <v>12604</v>
      </c>
      <c r="BC1284" s="3" t="s">
        <v>142</v>
      </c>
      <c r="BD1284" s="3" t="s">
        <v>68</v>
      </c>
      <c r="BE1284" s="3" t="s">
        <v>12605</v>
      </c>
      <c r="BF1284" s="3" t="s">
        <v>12604</v>
      </c>
      <c r="BG1284" s="3" t="s">
        <v>12606</v>
      </c>
    </row>
    <row r="1285" spans="1:59" ht="57" x14ac:dyDescent="0.45">
      <c r="A1285" s="2" t="s">
        <v>59</v>
      </c>
      <c r="B1285" s="2" t="s">
        <v>60</v>
      </c>
      <c r="C1285" s="2" t="s">
        <v>12607</v>
      </c>
      <c r="D1285" s="2" t="s">
        <v>12608</v>
      </c>
      <c r="E1285" s="2" t="s">
        <v>12609</v>
      </c>
      <c r="G1285" s="3" t="s">
        <v>62</v>
      </c>
      <c r="I1285" s="3" t="s">
        <v>62</v>
      </c>
      <c r="J1285" s="3" t="s">
        <v>62</v>
      </c>
      <c r="K1285" s="3" t="s">
        <v>63</v>
      </c>
      <c r="L1285" s="2" t="s">
        <v>12598</v>
      </c>
      <c r="M1285" s="2" t="s">
        <v>12610</v>
      </c>
      <c r="N1285" s="3" t="s">
        <v>1059</v>
      </c>
      <c r="O1285" s="2" t="s">
        <v>12600</v>
      </c>
      <c r="P1285" s="3" t="s">
        <v>110</v>
      </c>
      <c r="Q1285" s="2" t="s">
        <v>12611</v>
      </c>
      <c r="R1285" s="3" t="s">
        <v>66</v>
      </c>
      <c r="S1285" s="4">
        <v>5</v>
      </c>
      <c r="T1285" s="4">
        <v>5</v>
      </c>
      <c r="U1285" s="5" t="s">
        <v>12497</v>
      </c>
      <c r="V1285" s="5" t="s">
        <v>12497</v>
      </c>
      <c r="W1285" s="5" t="s">
        <v>67</v>
      </c>
      <c r="X1285" s="5" t="s">
        <v>67</v>
      </c>
      <c r="Y1285" s="4">
        <v>16</v>
      </c>
      <c r="Z1285" s="4">
        <v>11</v>
      </c>
      <c r="AA1285" s="4">
        <v>14</v>
      </c>
      <c r="AB1285" s="4">
        <v>3</v>
      </c>
      <c r="AC1285" s="4">
        <v>5</v>
      </c>
      <c r="AD1285" s="4">
        <v>7</v>
      </c>
      <c r="AE1285" s="4">
        <v>13</v>
      </c>
      <c r="AF1285" s="4">
        <v>1</v>
      </c>
      <c r="AG1285" s="4">
        <v>3</v>
      </c>
      <c r="AH1285" s="4">
        <v>2</v>
      </c>
      <c r="AI1285" s="4">
        <v>5</v>
      </c>
      <c r="AJ1285" s="4">
        <v>4</v>
      </c>
      <c r="AK1285" s="4">
        <v>5</v>
      </c>
      <c r="AL1285" s="4">
        <v>1</v>
      </c>
      <c r="AM1285" s="4">
        <v>4</v>
      </c>
      <c r="AN1285" s="4">
        <v>3</v>
      </c>
      <c r="AO1285" s="4">
        <v>3</v>
      </c>
      <c r="AP1285" s="4">
        <v>3</v>
      </c>
      <c r="AQ1285" s="4">
        <v>5</v>
      </c>
      <c r="AR1285" s="3" t="s">
        <v>61</v>
      </c>
      <c r="AS1285" s="3" t="s">
        <v>62</v>
      </c>
      <c r="AT1285" s="3" t="s">
        <v>61</v>
      </c>
      <c r="AU1285" s="6" t="str">
        <f>HYPERLINK("http://catalog.hathitrust.org/Record/010621059","HathiTrust Record")</f>
        <v>HathiTrust Record</v>
      </c>
      <c r="AV1285" s="6" t="str">
        <f>HYPERLINK("http://mcgill.on.worldcat.org/oclc/64503583","Catalog Record")</f>
        <v>Catalog Record</v>
      </c>
      <c r="AW1285" s="6" t="str">
        <f>HYPERLINK("http://www.worldcat.org/oclc/64503583","WorldCat Record")</f>
        <v>WorldCat Record</v>
      </c>
      <c r="AX1285" s="3" t="s">
        <v>12612</v>
      </c>
      <c r="AY1285" s="3" t="s">
        <v>12613</v>
      </c>
      <c r="AZ1285" s="3" t="s">
        <v>12614</v>
      </c>
      <c r="BA1285" s="3" t="s">
        <v>12614</v>
      </c>
      <c r="BB1285" s="3" t="s">
        <v>12615</v>
      </c>
      <c r="BC1285" s="3" t="s">
        <v>142</v>
      </c>
      <c r="BD1285" s="3" t="s">
        <v>68</v>
      </c>
      <c r="BE1285" s="3" t="s">
        <v>12616</v>
      </c>
      <c r="BF1285" s="3" t="s">
        <v>12615</v>
      </c>
      <c r="BG1285" s="3" t="s">
        <v>12617</v>
      </c>
    </row>
    <row r="1286" spans="1:59" ht="57" x14ac:dyDescent="0.45">
      <c r="A1286" s="2" t="s">
        <v>59</v>
      </c>
      <c r="B1286" s="2" t="s">
        <v>60</v>
      </c>
      <c r="C1286" s="2" t="s">
        <v>12618</v>
      </c>
      <c r="D1286" s="2" t="s">
        <v>12619</v>
      </c>
      <c r="E1286" s="2" t="s">
        <v>12620</v>
      </c>
      <c r="G1286" s="3" t="s">
        <v>62</v>
      </c>
      <c r="I1286" s="3" t="s">
        <v>62</v>
      </c>
      <c r="J1286" s="3" t="s">
        <v>61</v>
      </c>
      <c r="K1286" s="3" t="s">
        <v>63</v>
      </c>
      <c r="L1286" s="2" t="s">
        <v>12621</v>
      </c>
      <c r="M1286" s="2" t="s">
        <v>12622</v>
      </c>
      <c r="N1286" s="3" t="s">
        <v>248</v>
      </c>
      <c r="P1286" s="3" t="s">
        <v>65</v>
      </c>
      <c r="Q1286" s="2" t="s">
        <v>12623</v>
      </c>
      <c r="R1286" s="3" t="s">
        <v>66</v>
      </c>
      <c r="S1286" s="4">
        <v>16</v>
      </c>
      <c r="T1286" s="4">
        <v>16</v>
      </c>
      <c r="U1286" s="5" t="s">
        <v>12624</v>
      </c>
      <c r="V1286" s="5" t="s">
        <v>12624</v>
      </c>
      <c r="W1286" s="5" t="s">
        <v>67</v>
      </c>
      <c r="X1286" s="5" t="s">
        <v>67</v>
      </c>
      <c r="Y1286" s="4">
        <v>649</v>
      </c>
      <c r="Z1286" s="4">
        <v>38</v>
      </c>
      <c r="AA1286" s="4">
        <v>65</v>
      </c>
      <c r="AB1286" s="4">
        <v>4</v>
      </c>
      <c r="AC1286" s="4">
        <v>6</v>
      </c>
      <c r="AD1286" s="4">
        <v>101</v>
      </c>
      <c r="AE1286" s="4">
        <v>137</v>
      </c>
      <c r="AF1286" s="4">
        <v>2</v>
      </c>
      <c r="AG1286" s="4">
        <v>4</v>
      </c>
      <c r="AH1286" s="4">
        <v>78</v>
      </c>
      <c r="AI1286" s="4">
        <v>100</v>
      </c>
      <c r="AJ1286" s="4">
        <v>16</v>
      </c>
      <c r="AK1286" s="4">
        <v>23</v>
      </c>
      <c r="AL1286" s="4">
        <v>45</v>
      </c>
      <c r="AM1286" s="4">
        <v>55</v>
      </c>
      <c r="AN1286" s="4">
        <v>0</v>
      </c>
      <c r="AO1286" s="4">
        <v>2</v>
      </c>
      <c r="AP1286" s="4">
        <v>27</v>
      </c>
      <c r="AQ1286" s="4">
        <v>44</v>
      </c>
      <c r="AR1286" s="3" t="s">
        <v>62</v>
      </c>
      <c r="AS1286" s="3" t="s">
        <v>62</v>
      </c>
      <c r="AT1286" s="3" t="s">
        <v>61</v>
      </c>
      <c r="AU1286" s="6" t="str">
        <f>HYPERLINK("http://catalog.hathitrust.org/Record/001180742","HathiTrust Record")</f>
        <v>HathiTrust Record</v>
      </c>
      <c r="AV1286" s="6" t="str">
        <f>HYPERLINK("http://mcgill.on.worldcat.org/oclc/710713","Catalog Record")</f>
        <v>Catalog Record</v>
      </c>
      <c r="AW1286" s="6" t="str">
        <f>HYPERLINK("http://www.worldcat.org/oclc/710713","WorldCat Record")</f>
        <v>WorldCat Record</v>
      </c>
      <c r="AX1286" s="3" t="s">
        <v>12625</v>
      </c>
      <c r="AY1286" s="3" t="s">
        <v>12626</v>
      </c>
      <c r="AZ1286" s="3" t="s">
        <v>12627</v>
      </c>
      <c r="BA1286" s="3" t="s">
        <v>12627</v>
      </c>
      <c r="BB1286" s="3" t="s">
        <v>12628</v>
      </c>
      <c r="BC1286" s="3" t="s">
        <v>142</v>
      </c>
      <c r="BD1286" s="3" t="s">
        <v>68</v>
      </c>
      <c r="BF1286" s="3" t="s">
        <v>12628</v>
      </c>
      <c r="BG1286" s="3" t="s">
        <v>12629</v>
      </c>
    </row>
    <row r="1287" spans="1:59" ht="57" x14ac:dyDescent="0.45">
      <c r="A1287" s="2" t="s">
        <v>59</v>
      </c>
      <c r="B1287" s="2" t="s">
        <v>60</v>
      </c>
      <c r="C1287" s="2" t="s">
        <v>12630</v>
      </c>
      <c r="D1287" s="2" t="s">
        <v>12631</v>
      </c>
      <c r="E1287" s="2" t="s">
        <v>12632</v>
      </c>
      <c r="G1287" s="3" t="s">
        <v>62</v>
      </c>
      <c r="I1287" s="3" t="s">
        <v>61</v>
      </c>
      <c r="J1287" s="3" t="s">
        <v>61</v>
      </c>
      <c r="K1287" s="3" t="s">
        <v>63</v>
      </c>
      <c r="L1287" s="2" t="s">
        <v>12621</v>
      </c>
      <c r="M1287" s="2" t="s">
        <v>12633</v>
      </c>
      <c r="N1287" s="3" t="s">
        <v>419</v>
      </c>
      <c r="P1287" s="3" t="s">
        <v>65</v>
      </c>
      <c r="Q1287" s="2" t="s">
        <v>12623</v>
      </c>
      <c r="R1287" s="3" t="s">
        <v>66</v>
      </c>
      <c r="S1287" s="4">
        <v>0</v>
      </c>
      <c r="T1287" s="4">
        <v>43</v>
      </c>
      <c r="V1287" s="5" t="s">
        <v>73</v>
      </c>
      <c r="W1287" s="5" t="s">
        <v>67</v>
      </c>
      <c r="X1287" s="5" t="s">
        <v>67</v>
      </c>
      <c r="Y1287" s="4">
        <v>244</v>
      </c>
      <c r="Z1287" s="4">
        <v>23</v>
      </c>
      <c r="AA1287" s="4">
        <v>65</v>
      </c>
      <c r="AB1287" s="4">
        <v>1</v>
      </c>
      <c r="AC1287" s="4">
        <v>6</v>
      </c>
      <c r="AD1287" s="4">
        <v>58</v>
      </c>
      <c r="AE1287" s="4">
        <v>137</v>
      </c>
      <c r="AF1287" s="4">
        <v>0</v>
      </c>
      <c r="AG1287" s="4">
        <v>4</v>
      </c>
      <c r="AH1287" s="4">
        <v>46</v>
      </c>
      <c r="AI1287" s="4">
        <v>100</v>
      </c>
      <c r="AJ1287" s="4">
        <v>8</v>
      </c>
      <c r="AK1287" s="4">
        <v>23</v>
      </c>
      <c r="AL1287" s="4">
        <v>27</v>
      </c>
      <c r="AM1287" s="4">
        <v>55</v>
      </c>
      <c r="AN1287" s="4">
        <v>0</v>
      </c>
      <c r="AO1287" s="4">
        <v>2</v>
      </c>
      <c r="AP1287" s="4">
        <v>12</v>
      </c>
      <c r="AQ1287" s="4">
        <v>44</v>
      </c>
      <c r="AR1287" s="3" t="s">
        <v>62</v>
      </c>
      <c r="AS1287" s="3" t="s">
        <v>62</v>
      </c>
      <c r="AT1287" s="3" t="s">
        <v>61</v>
      </c>
      <c r="AU1287" s="6" t="str">
        <f>HYPERLINK("http://catalog.hathitrust.org/Record/002991906","HathiTrust Record")</f>
        <v>HathiTrust Record</v>
      </c>
      <c r="AV1287" s="6" t="str">
        <f>HYPERLINK("http://mcgill.on.worldcat.org/oclc/306700","Catalog Record")</f>
        <v>Catalog Record</v>
      </c>
      <c r="AW1287" s="6" t="str">
        <f>HYPERLINK("http://www.worldcat.org/oclc/306700","WorldCat Record")</f>
        <v>WorldCat Record</v>
      </c>
      <c r="AX1287" s="3" t="s">
        <v>12625</v>
      </c>
      <c r="AY1287" s="3" t="s">
        <v>12634</v>
      </c>
      <c r="AZ1287" s="3" t="s">
        <v>12635</v>
      </c>
      <c r="BA1287" s="3" t="s">
        <v>12635</v>
      </c>
      <c r="BB1287" s="3" t="s">
        <v>12636</v>
      </c>
      <c r="BC1287" s="3" t="s">
        <v>142</v>
      </c>
      <c r="BD1287" s="3" t="s">
        <v>68</v>
      </c>
      <c r="BE1287" s="3" t="s">
        <v>12637</v>
      </c>
      <c r="BF1287" s="3" t="s">
        <v>12636</v>
      </c>
      <c r="BG1287" s="3" t="s">
        <v>12638</v>
      </c>
    </row>
    <row r="1288" spans="1:59" ht="57" x14ac:dyDescent="0.45">
      <c r="A1288" s="2" t="s">
        <v>59</v>
      </c>
      <c r="B1288" s="2" t="s">
        <v>60</v>
      </c>
      <c r="C1288" s="2" t="s">
        <v>12630</v>
      </c>
      <c r="D1288" s="2" t="s">
        <v>12631</v>
      </c>
      <c r="E1288" s="2" t="s">
        <v>12632</v>
      </c>
      <c r="G1288" s="3" t="s">
        <v>62</v>
      </c>
      <c r="I1288" s="3" t="s">
        <v>61</v>
      </c>
      <c r="J1288" s="3" t="s">
        <v>61</v>
      </c>
      <c r="K1288" s="3" t="s">
        <v>63</v>
      </c>
      <c r="L1288" s="2" t="s">
        <v>12621</v>
      </c>
      <c r="M1288" s="2" t="s">
        <v>12633</v>
      </c>
      <c r="N1288" s="3" t="s">
        <v>419</v>
      </c>
      <c r="P1288" s="3" t="s">
        <v>65</v>
      </c>
      <c r="Q1288" s="2" t="s">
        <v>12623</v>
      </c>
      <c r="R1288" s="3" t="s">
        <v>66</v>
      </c>
      <c r="S1288" s="4">
        <v>17</v>
      </c>
      <c r="T1288" s="4">
        <v>43</v>
      </c>
      <c r="U1288" s="5" t="s">
        <v>12639</v>
      </c>
      <c r="V1288" s="5" t="s">
        <v>73</v>
      </c>
      <c r="W1288" s="5" t="s">
        <v>67</v>
      </c>
      <c r="X1288" s="5" t="s">
        <v>67</v>
      </c>
      <c r="Y1288" s="4">
        <v>244</v>
      </c>
      <c r="Z1288" s="4">
        <v>23</v>
      </c>
      <c r="AA1288" s="4">
        <v>65</v>
      </c>
      <c r="AB1288" s="4">
        <v>1</v>
      </c>
      <c r="AC1288" s="4">
        <v>6</v>
      </c>
      <c r="AD1288" s="4">
        <v>58</v>
      </c>
      <c r="AE1288" s="4">
        <v>137</v>
      </c>
      <c r="AF1288" s="4">
        <v>0</v>
      </c>
      <c r="AG1288" s="4">
        <v>4</v>
      </c>
      <c r="AH1288" s="4">
        <v>46</v>
      </c>
      <c r="AI1288" s="4">
        <v>100</v>
      </c>
      <c r="AJ1288" s="4">
        <v>8</v>
      </c>
      <c r="AK1288" s="4">
        <v>23</v>
      </c>
      <c r="AL1288" s="4">
        <v>27</v>
      </c>
      <c r="AM1288" s="4">
        <v>55</v>
      </c>
      <c r="AN1288" s="4">
        <v>0</v>
      </c>
      <c r="AO1288" s="4">
        <v>2</v>
      </c>
      <c r="AP1288" s="4">
        <v>12</v>
      </c>
      <c r="AQ1288" s="4">
        <v>44</v>
      </c>
      <c r="AR1288" s="3" t="s">
        <v>62</v>
      </c>
      <c r="AS1288" s="3" t="s">
        <v>62</v>
      </c>
      <c r="AT1288" s="3" t="s">
        <v>61</v>
      </c>
      <c r="AU1288" s="6" t="str">
        <f>HYPERLINK("http://catalog.hathitrust.org/Record/002991906","HathiTrust Record")</f>
        <v>HathiTrust Record</v>
      </c>
      <c r="AV1288" s="6" t="str">
        <f>HYPERLINK("http://mcgill.on.worldcat.org/oclc/306700","Catalog Record")</f>
        <v>Catalog Record</v>
      </c>
      <c r="AW1288" s="6" t="str">
        <f>HYPERLINK("http://www.worldcat.org/oclc/306700","WorldCat Record")</f>
        <v>WorldCat Record</v>
      </c>
      <c r="AX1288" s="3" t="s">
        <v>12625</v>
      </c>
      <c r="AY1288" s="3" t="s">
        <v>12634</v>
      </c>
      <c r="AZ1288" s="3" t="s">
        <v>12635</v>
      </c>
      <c r="BA1288" s="3" t="s">
        <v>12635</v>
      </c>
      <c r="BB1288" s="3" t="s">
        <v>12640</v>
      </c>
      <c r="BC1288" s="3" t="s">
        <v>142</v>
      </c>
      <c r="BD1288" s="3" t="s">
        <v>68</v>
      </c>
      <c r="BE1288" s="3" t="s">
        <v>12637</v>
      </c>
      <c r="BF1288" s="3" t="s">
        <v>12640</v>
      </c>
      <c r="BG1288" s="3" t="s">
        <v>12641</v>
      </c>
    </row>
    <row r="1289" spans="1:59" ht="57" x14ac:dyDescent="0.45">
      <c r="A1289" s="2" t="s">
        <v>59</v>
      </c>
      <c r="B1289" s="2" t="s">
        <v>60</v>
      </c>
      <c r="C1289" s="2" t="s">
        <v>12630</v>
      </c>
      <c r="D1289" s="2" t="s">
        <v>12631</v>
      </c>
      <c r="E1289" s="2" t="s">
        <v>12632</v>
      </c>
      <c r="G1289" s="3" t="s">
        <v>62</v>
      </c>
      <c r="I1289" s="3" t="s">
        <v>61</v>
      </c>
      <c r="J1289" s="3" t="s">
        <v>61</v>
      </c>
      <c r="K1289" s="3" t="s">
        <v>63</v>
      </c>
      <c r="L1289" s="2" t="s">
        <v>12621</v>
      </c>
      <c r="M1289" s="2" t="s">
        <v>12633</v>
      </c>
      <c r="N1289" s="3" t="s">
        <v>419</v>
      </c>
      <c r="P1289" s="3" t="s">
        <v>65</v>
      </c>
      <c r="Q1289" s="2" t="s">
        <v>12623</v>
      </c>
      <c r="R1289" s="3" t="s">
        <v>66</v>
      </c>
      <c r="S1289" s="4">
        <v>0</v>
      </c>
      <c r="T1289" s="4">
        <v>43</v>
      </c>
      <c r="V1289" s="5" t="s">
        <v>73</v>
      </c>
      <c r="W1289" s="5" t="s">
        <v>67</v>
      </c>
      <c r="X1289" s="5" t="s">
        <v>67</v>
      </c>
      <c r="Y1289" s="4">
        <v>244</v>
      </c>
      <c r="Z1289" s="4">
        <v>23</v>
      </c>
      <c r="AA1289" s="4">
        <v>65</v>
      </c>
      <c r="AB1289" s="4">
        <v>1</v>
      </c>
      <c r="AC1289" s="4">
        <v>6</v>
      </c>
      <c r="AD1289" s="4">
        <v>58</v>
      </c>
      <c r="AE1289" s="4">
        <v>137</v>
      </c>
      <c r="AF1289" s="4">
        <v>0</v>
      </c>
      <c r="AG1289" s="4">
        <v>4</v>
      </c>
      <c r="AH1289" s="4">
        <v>46</v>
      </c>
      <c r="AI1289" s="4">
        <v>100</v>
      </c>
      <c r="AJ1289" s="4">
        <v>8</v>
      </c>
      <c r="AK1289" s="4">
        <v>23</v>
      </c>
      <c r="AL1289" s="4">
        <v>27</v>
      </c>
      <c r="AM1289" s="4">
        <v>55</v>
      </c>
      <c r="AN1289" s="4">
        <v>0</v>
      </c>
      <c r="AO1289" s="4">
        <v>2</v>
      </c>
      <c r="AP1289" s="4">
        <v>12</v>
      </c>
      <c r="AQ1289" s="4">
        <v>44</v>
      </c>
      <c r="AR1289" s="3" t="s">
        <v>62</v>
      </c>
      <c r="AS1289" s="3" t="s">
        <v>62</v>
      </c>
      <c r="AT1289" s="3" t="s">
        <v>61</v>
      </c>
      <c r="AU1289" s="6" t="str">
        <f>HYPERLINK("http://catalog.hathitrust.org/Record/002991906","HathiTrust Record")</f>
        <v>HathiTrust Record</v>
      </c>
      <c r="AV1289" s="6" t="str">
        <f>HYPERLINK("http://mcgill.on.worldcat.org/oclc/306700","Catalog Record")</f>
        <v>Catalog Record</v>
      </c>
      <c r="AW1289" s="6" t="str">
        <f>HYPERLINK("http://www.worldcat.org/oclc/306700","WorldCat Record")</f>
        <v>WorldCat Record</v>
      </c>
      <c r="AX1289" s="3" t="s">
        <v>12625</v>
      </c>
      <c r="AY1289" s="3" t="s">
        <v>12634</v>
      </c>
      <c r="AZ1289" s="3" t="s">
        <v>12635</v>
      </c>
      <c r="BA1289" s="3" t="s">
        <v>12635</v>
      </c>
      <c r="BB1289" s="3" t="s">
        <v>12642</v>
      </c>
      <c r="BC1289" s="3" t="s">
        <v>142</v>
      </c>
      <c r="BD1289" s="3" t="s">
        <v>68</v>
      </c>
      <c r="BE1289" s="3" t="s">
        <v>12637</v>
      </c>
      <c r="BF1289" s="3" t="s">
        <v>12642</v>
      </c>
      <c r="BG1289" s="3" t="s">
        <v>12643</v>
      </c>
    </row>
    <row r="1290" spans="1:59" ht="57" x14ac:dyDescent="0.45">
      <c r="A1290" s="2" t="s">
        <v>59</v>
      </c>
      <c r="B1290" s="2" t="s">
        <v>60</v>
      </c>
      <c r="C1290" s="2" t="s">
        <v>12630</v>
      </c>
      <c r="D1290" s="2" t="s">
        <v>12631</v>
      </c>
      <c r="E1290" s="2" t="s">
        <v>12632</v>
      </c>
      <c r="G1290" s="3" t="s">
        <v>62</v>
      </c>
      <c r="I1290" s="3" t="s">
        <v>61</v>
      </c>
      <c r="J1290" s="3" t="s">
        <v>61</v>
      </c>
      <c r="K1290" s="3" t="s">
        <v>63</v>
      </c>
      <c r="L1290" s="2" t="s">
        <v>12621</v>
      </c>
      <c r="M1290" s="2" t="s">
        <v>12633</v>
      </c>
      <c r="N1290" s="3" t="s">
        <v>419</v>
      </c>
      <c r="P1290" s="3" t="s">
        <v>65</v>
      </c>
      <c r="Q1290" s="2" t="s">
        <v>12623</v>
      </c>
      <c r="R1290" s="3" t="s">
        <v>66</v>
      </c>
      <c r="S1290" s="4">
        <v>19</v>
      </c>
      <c r="T1290" s="4">
        <v>43</v>
      </c>
      <c r="U1290" s="5" t="s">
        <v>73</v>
      </c>
      <c r="V1290" s="5" t="s">
        <v>73</v>
      </c>
      <c r="W1290" s="5" t="s">
        <v>67</v>
      </c>
      <c r="X1290" s="5" t="s">
        <v>67</v>
      </c>
      <c r="Y1290" s="4">
        <v>244</v>
      </c>
      <c r="Z1290" s="4">
        <v>23</v>
      </c>
      <c r="AA1290" s="4">
        <v>65</v>
      </c>
      <c r="AB1290" s="4">
        <v>1</v>
      </c>
      <c r="AC1290" s="4">
        <v>6</v>
      </c>
      <c r="AD1290" s="4">
        <v>58</v>
      </c>
      <c r="AE1290" s="4">
        <v>137</v>
      </c>
      <c r="AF1290" s="4">
        <v>0</v>
      </c>
      <c r="AG1290" s="4">
        <v>4</v>
      </c>
      <c r="AH1290" s="4">
        <v>46</v>
      </c>
      <c r="AI1290" s="4">
        <v>100</v>
      </c>
      <c r="AJ1290" s="4">
        <v>8</v>
      </c>
      <c r="AK1290" s="4">
        <v>23</v>
      </c>
      <c r="AL1290" s="4">
        <v>27</v>
      </c>
      <c r="AM1290" s="4">
        <v>55</v>
      </c>
      <c r="AN1290" s="4">
        <v>0</v>
      </c>
      <c r="AO1290" s="4">
        <v>2</v>
      </c>
      <c r="AP1290" s="4">
        <v>12</v>
      </c>
      <c r="AQ1290" s="4">
        <v>44</v>
      </c>
      <c r="AR1290" s="3" t="s">
        <v>62</v>
      </c>
      <c r="AS1290" s="3" t="s">
        <v>62</v>
      </c>
      <c r="AT1290" s="3" t="s">
        <v>61</v>
      </c>
      <c r="AU1290" s="6" t="str">
        <f>HYPERLINK("http://catalog.hathitrust.org/Record/002991906","HathiTrust Record")</f>
        <v>HathiTrust Record</v>
      </c>
      <c r="AV1290" s="6" t="str">
        <f>HYPERLINK("http://mcgill.on.worldcat.org/oclc/306700","Catalog Record")</f>
        <v>Catalog Record</v>
      </c>
      <c r="AW1290" s="6" t="str">
        <f>HYPERLINK("http://www.worldcat.org/oclc/306700","WorldCat Record")</f>
        <v>WorldCat Record</v>
      </c>
      <c r="AX1290" s="3" t="s">
        <v>12625</v>
      </c>
      <c r="AY1290" s="3" t="s">
        <v>12634</v>
      </c>
      <c r="AZ1290" s="3" t="s">
        <v>12635</v>
      </c>
      <c r="BA1290" s="3" t="s">
        <v>12635</v>
      </c>
      <c r="BB1290" s="3" t="s">
        <v>12644</v>
      </c>
      <c r="BC1290" s="3" t="s">
        <v>142</v>
      </c>
      <c r="BD1290" s="3" t="s">
        <v>68</v>
      </c>
      <c r="BE1290" s="3" t="s">
        <v>12637</v>
      </c>
      <c r="BF1290" s="3" t="s">
        <v>12644</v>
      </c>
      <c r="BG1290" s="3" t="s">
        <v>12645</v>
      </c>
    </row>
    <row r="1291" spans="1:59" ht="57" x14ac:dyDescent="0.45">
      <c r="A1291" s="2" t="s">
        <v>59</v>
      </c>
      <c r="B1291" s="2" t="s">
        <v>60</v>
      </c>
      <c r="C1291" s="2" t="s">
        <v>12630</v>
      </c>
      <c r="D1291" s="2" t="s">
        <v>12631</v>
      </c>
      <c r="E1291" s="2" t="s">
        <v>12632</v>
      </c>
      <c r="G1291" s="3" t="s">
        <v>62</v>
      </c>
      <c r="I1291" s="3" t="s">
        <v>61</v>
      </c>
      <c r="J1291" s="3" t="s">
        <v>61</v>
      </c>
      <c r="K1291" s="3" t="s">
        <v>63</v>
      </c>
      <c r="L1291" s="2" t="s">
        <v>12621</v>
      </c>
      <c r="M1291" s="2" t="s">
        <v>12633</v>
      </c>
      <c r="N1291" s="3" t="s">
        <v>419</v>
      </c>
      <c r="P1291" s="3" t="s">
        <v>65</v>
      </c>
      <c r="Q1291" s="2" t="s">
        <v>12623</v>
      </c>
      <c r="R1291" s="3" t="s">
        <v>66</v>
      </c>
      <c r="S1291" s="4">
        <v>7</v>
      </c>
      <c r="T1291" s="4">
        <v>43</v>
      </c>
      <c r="U1291" s="5" t="s">
        <v>12646</v>
      </c>
      <c r="V1291" s="5" t="s">
        <v>73</v>
      </c>
      <c r="W1291" s="5" t="s">
        <v>67</v>
      </c>
      <c r="X1291" s="5" t="s">
        <v>67</v>
      </c>
      <c r="Y1291" s="4">
        <v>244</v>
      </c>
      <c r="Z1291" s="4">
        <v>23</v>
      </c>
      <c r="AA1291" s="4">
        <v>65</v>
      </c>
      <c r="AB1291" s="4">
        <v>1</v>
      </c>
      <c r="AC1291" s="4">
        <v>6</v>
      </c>
      <c r="AD1291" s="4">
        <v>58</v>
      </c>
      <c r="AE1291" s="4">
        <v>137</v>
      </c>
      <c r="AF1291" s="4">
        <v>0</v>
      </c>
      <c r="AG1291" s="4">
        <v>4</v>
      </c>
      <c r="AH1291" s="4">
        <v>46</v>
      </c>
      <c r="AI1291" s="4">
        <v>100</v>
      </c>
      <c r="AJ1291" s="4">
        <v>8</v>
      </c>
      <c r="AK1291" s="4">
        <v>23</v>
      </c>
      <c r="AL1291" s="4">
        <v>27</v>
      </c>
      <c r="AM1291" s="4">
        <v>55</v>
      </c>
      <c r="AN1291" s="4">
        <v>0</v>
      </c>
      <c r="AO1291" s="4">
        <v>2</v>
      </c>
      <c r="AP1291" s="4">
        <v>12</v>
      </c>
      <c r="AQ1291" s="4">
        <v>44</v>
      </c>
      <c r="AR1291" s="3" t="s">
        <v>62</v>
      </c>
      <c r="AS1291" s="3" t="s">
        <v>62</v>
      </c>
      <c r="AT1291" s="3" t="s">
        <v>61</v>
      </c>
      <c r="AU1291" s="6" t="str">
        <f>HYPERLINK("http://catalog.hathitrust.org/Record/002991906","HathiTrust Record")</f>
        <v>HathiTrust Record</v>
      </c>
      <c r="AV1291" s="6" t="str">
        <f>HYPERLINK("http://mcgill.on.worldcat.org/oclc/306700","Catalog Record")</f>
        <v>Catalog Record</v>
      </c>
      <c r="AW1291" s="6" t="str">
        <f>HYPERLINK("http://www.worldcat.org/oclc/306700","WorldCat Record")</f>
        <v>WorldCat Record</v>
      </c>
      <c r="AX1291" s="3" t="s">
        <v>12625</v>
      </c>
      <c r="AY1291" s="3" t="s">
        <v>12634</v>
      </c>
      <c r="AZ1291" s="3" t="s">
        <v>12635</v>
      </c>
      <c r="BA1291" s="3" t="s">
        <v>12635</v>
      </c>
      <c r="BB1291" s="3" t="s">
        <v>12647</v>
      </c>
      <c r="BC1291" s="3" t="s">
        <v>142</v>
      </c>
      <c r="BD1291" s="3" t="s">
        <v>68</v>
      </c>
      <c r="BE1291" s="3" t="s">
        <v>12637</v>
      </c>
      <c r="BF1291" s="3" t="s">
        <v>12647</v>
      </c>
      <c r="BG1291" s="3" t="s">
        <v>12648</v>
      </c>
    </row>
    <row r="1292" spans="1:59" ht="71.25" x14ac:dyDescent="0.45">
      <c r="A1292" s="2" t="s">
        <v>59</v>
      </c>
      <c r="B1292" s="2" t="s">
        <v>60</v>
      </c>
      <c r="C1292" s="2" t="s">
        <v>12649</v>
      </c>
      <c r="D1292" s="2" t="s">
        <v>12650</v>
      </c>
      <c r="E1292" s="2" t="s">
        <v>12651</v>
      </c>
      <c r="G1292" s="3" t="s">
        <v>62</v>
      </c>
      <c r="I1292" s="3" t="s">
        <v>62</v>
      </c>
      <c r="J1292" s="3" t="s">
        <v>62</v>
      </c>
      <c r="K1292" s="3" t="s">
        <v>63</v>
      </c>
      <c r="L1292" s="2" t="s">
        <v>12652</v>
      </c>
      <c r="M1292" s="2" t="s">
        <v>12653</v>
      </c>
      <c r="N1292" s="3" t="s">
        <v>555</v>
      </c>
      <c r="P1292" s="3" t="s">
        <v>65</v>
      </c>
      <c r="Q1292" s="2" t="s">
        <v>12654</v>
      </c>
      <c r="R1292" s="3" t="s">
        <v>66</v>
      </c>
      <c r="S1292" s="4">
        <v>3</v>
      </c>
      <c r="T1292" s="4">
        <v>3</v>
      </c>
      <c r="U1292" s="5" t="s">
        <v>12655</v>
      </c>
      <c r="V1292" s="5" t="s">
        <v>12655</v>
      </c>
      <c r="W1292" s="5" t="s">
        <v>67</v>
      </c>
      <c r="X1292" s="5" t="s">
        <v>67</v>
      </c>
      <c r="Y1292" s="4">
        <v>1</v>
      </c>
      <c r="Z1292" s="4">
        <v>1</v>
      </c>
      <c r="AA1292" s="4">
        <v>1</v>
      </c>
      <c r="AB1292" s="4">
        <v>1</v>
      </c>
      <c r="AC1292" s="4">
        <v>1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3" t="s">
        <v>61</v>
      </c>
      <c r="AS1292" s="3" t="s">
        <v>62</v>
      </c>
      <c r="AT1292" s="3" t="s">
        <v>62</v>
      </c>
      <c r="AV1292" s="6" t="str">
        <f>HYPERLINK("http://mcgill.on.worldcat.org/oclc/61535953","Catalog Record")</f>
        <v>Catalog Record</v>
      </c>
      <c r="AW1292" s="6" t="str">
        <f>HYPERLINK("http://www.worldcat.org/oclc/61535953","WorldCat Record")</f>
        <v>WorldCat Record</v>
      </c>
      <c r="AX1292" s="3" t="s">
        <v>12656</v>
      </c>
      <c r="AY1292" s="3" t="s">
        <v>12657</v>
      </c>
      <c r="AZ1292" s="3" t="s">
        <v>12658</v>
      </c>
      <c r="BA1292" s="3" t="s">
        <v>12658</v>
      </c>
      <c r="BB1292" s="3" t="s">
        <v>12659</v>
      </c>
      <c r="BC1292" s="3" t="s">
        <v>142</v>
      </c>
      <c r="BD1292" s="3" t="s">
        <v>68</v>
      </c>
      <c r="BF1292" s="3" t="s">
        <v>12659</v>
      </c>
      <c r="BG1292" s="3" t="s">
        <v>12660</v>
      </c>
    </row>
    <row r="1293" spans="1:59" ht="42.75" x14ac:dyDescent="0.45">
      <c r="A1293" s="2" t="s">
        <v>80</v>
      </c>
      <c r="B1293" s="2" t="s">
        <v>12661</v>
      </c>
      <c r="C1293" s="2" t="s">
        <v>12662</v>
      </c>
      <c r="D1293" s="2" t="s">
        <v>12663</v>
      </c>
      <c r="E1293" s="2" t="s">
        <v>12664</v>
      </c>
      <c r="G1293" s="3" t="s">
        <v>62</v>
      </c>
      <c r="I1293" s="3" t="s">
        <v>61</v>
      </c>
      <c r="J1293" s="3" t="s">
        <v>62</v>
      </c>
      <c r="K1293" s="3" t="s">
        <v>63</v>
      </c>
      <c r="M1293" s="2" t="s">
        <v>12665</v>
      </c>
      <c r="N1293" s="3" t="s">
        <v>793</v>
      </c>
      <c r="P1293" s="3" t="s">
        <v>65</v>
      </c>
      <c r="R1293" s="3" t="s">
        <v>66</v>
      </c>
      <c r="S1293" s="4">
        <v>0</v>
      </c>
      <c r="T1293" s="4">
        <v>1</v>
      </c>
      <c r="V1293" s="5" t="s">
        <v>12666</v>
      </c>
      <c r="W1293" s="5" t="s">
        <v>67</v>
      </c>
      <c r="X1293" s="5" t="s">
        <v>67</v>
      </c>
      <c r="Y1293" s="4">
        <v>369</v>
      </c>
      <c r="Z1293" s="4">
        <v>28</v>
      </c>
      <c r="AA1293" s="4">
        <v>28</v>
      </c>
      <c r="AB1293" s="4">
        <v>1</v>
      </c>
      <c r="AC1293" s="4">
        <v>1</v>
      </c>
      <c r="AD1293" s="4">
        <v>71</v>
      </c>
      <c r="AE1293" s="4">
        <v>71</v>
      </c>
      <c r="AF1293" s="4">
        <v>0</v>
      </c>
      <c r="AG1293" s="4">
        <v>0</v>
      </c>
      <c r="AH1293" s="4">
        <v>57</v>
      </c>
      <c r="AI1293" s="4">
        <v>57</v>
      </c>
      <c r="AJ1293" s="4">
        <v>13</v>
      </c>
      <c r="AK1293" s="4">
        <v>13</v>
      </c>
      <c r="AL1293" s="4">
        <v>33</v>
      </c>
      <c r="AM1293" s="4">
        <v>33</v>
      </c>
      <c r="AN1293" s="4">
        <v>0</v>
      </c>
      <c r="AO1293" s="4">
        <v>0</v>
      </c>
      <c r="AP1293" s="4">
        <v>19</v>
      </c>
      <c r="AQ1293" s="4">
        <v>19</v>
      </c>
      <c r="AR1293" s="3" t="s">
        <v>62</v>
      </c>
      <c r="AS1293" s="3" t="s">
        <v>62</v>
      </c>
      <c r="AT1293" s="3" t="s">
        <v>62</v>
      </c>
      <c r="AV1293" s="6" t="str">
        <f>HYPERLINK("http://mcgill.on.worldcat.org/oclc/481258","Catalog Record")</f>
        <v>Catalog Record</v>
      </c>
      <c r="AW1293" s="6" t="str">
        <f>HYPERLINK("http://www.worldcat.org/oclc/481258","WorldCat Record")</f>
        <v>WorldCat Record</v>
      </c>
      <c r="AX1293" s="3" t="s">
        <v>12667</v>
      </c>
      <c r="AY1293" s="3" t="s">
        <v>12668</v>
      </c>
      <c r="AZ1293" s="3" t="s">
        <v>12669</v>
      </c>
      <c r="BA1293" s="3" t="s">
        <v>12669</v>
      </c>
      <c r="BB1293" s="3" t="s">
        <v>12670</v>
      </c>
      <c r="BC1293" s="3" t="s">
        <v>142</v>
      </c>
      <c r="BD1293" s="3" t="s">
        <v>68</v>
      </c>
      <c r="BE1293" s="3" t="s">
        <v>12671</v>
      </c>
      <c r="BF1293" s="3" t="s">
        <v>12670</v>
      </c>
      <c r="BG1293" s="3" t="s">
        <v>12672</v>
      </c>
    </row>
    <row r="1294" spans="1:59" ht="57" x14ac:dyDescent="0.45">
      <c r="A1294" s="2" t="s">
        <v>59</v>
      </c>
      <c r="B1294" s="2" t="s">
        <v>60</v>
      </c>
      <c r="C1294" s="2" t="s">
        <v>12662</v>
      </c>
      <c r="D1294" s="2" t="s">
        <v>12663</v>
      </c>
      <c r="E1294" s="2" t="s">
        <v>12664</v>
      </c>
      <c r="G1294" s="3" t="s">
        <v>62</v>
      </c>
      <c r="I1294" s="3" t="s">
        <v>61</v>
      </c>
      <c r="J1294" s="3" t="s">
        <v>62</v>
      </c>
      <c r="K1294" s="3" t="s">
        <v>63</v>
      </c>
      <c r="M1294" s="2" t="s">
        <v>12665</v>
      </c>
      <c r="N1294" s="3" t="s">
        <v>793</v>
      </c>
      <c r="P1294" s="3" t="s">
        <v>65</v>
      </c>
      <c r="R1294" s="3" t="s">
        <v>66</v>
      </c>
      <c r="S1294" s="4">
        <v>1</v>
      </c>
      <c r="T1294" s="4">
        <v>1</v>
      </c>
      <c r="U1294" s="5" t="s">
        <v>12666</v>
      </c>
      <c r="V1294" s="5" t="s">
        <v>12666</v>
      </c>
      <c r="W1294" s="5" t="s">
        <v>67</v>
      </c>
      <c r="X1294" s="5" t="s">
        <v>67</v>
      </c>
      <c r="Y1294" s="4">
        <v>369</v>
      </c>
      <c r="Z1294" s="4">
        <v>28</v>
      </c>
      <c r="AA1294" s="4">
        <v>28</v>
      </c>
      <c r="AB1294" s="4">
        <v>1</v>
      </c>
      <c r="AC1294" s="4">
        <v>1</v>
      </c>
      <c r="AD1294" s="4">
        <v>71</v>
      </c>
      <c r="AE1294" s="4">
        <v>71</v>
      </c>
      <c r="AF1294" s="4">
        <v>0</v>
      </c>
      <c r="AG1294" s="4">
        <v>0</v>
      </c>
      <c r="AH1294" s="4">
        <v>57</v>
      </c>
      <c r="AI1294" s="4">
        <v>57</v>
      </c>
      <c r="AJ1294" s="4">
        <v>13</v>
      </c>
      <c r="AK1294" s="4">
        <v>13</v>
      </c>
      <c r="AL1294" s="4">
        <v>33</v>
      </c>
      <c r="AM1294" s="4">
        <v>33</v>
      </c>
      <c r="AN1294" s="4">
        <v>0</v>
      </c>
      <c r="AO1294" s="4">
        <v>0</v>
      </c>
      <c r="AP1294" s="4">
        <v>19</v>
      </c>
      <c r="AQ1294" s="4">
        <v>19</v>
      </c>
      <c r="AR1294" s="3" t="s">
        <v>62</v>
      </c>
      <c r="AS1294" s="3" t="s">
        <v>62</v>
      </c>
      <c r="AT1294" s="3" t="s">
        <v>62</v>
      </c>
      <c r="AV1294" s="6" t="str">
        <f>HYPERLINK("http://mcgill.on.worldcat.org/oclc/481258","Catalog Record")</f>
        <v>Catalog Record</v>
      </c>
      <c r="AW1294" s="6" t="str">
        <f>HYPERLINK("http://www.worldcat.org/oclc/481258","WorldCat Record")</f>
        <v>WorldCat Record</v>
      </c>
      <c r="AX1294" s="3" t="s">
        <v>12667</v>
      </c>
      <c r="AY1294" s="3" t="s">
        <v>12668</v>
      </c>
      <c r="AZ1294" s="3" t="s">
        <v>12669</v>
      </c>
      <c r="BA1294" s="3" t="s">
        <v>12669</v>
      </c>
      <c r="BB1294" s="3" t="s">
        <v>12673</v>
      </c>
      <c r="BC1294" s="3" t="s">
        <v>142</v>
      </c>
      <c r="BD1294" s="3" t="s">
        <v>68</v>
      </c>
      <c r="BE1294" s="3" t="s">
        <v>12671</v>
      </c>
      <c r="BF1294" s="3" t="s">
        <v>12673</v>
      </c>
      <c r="BG1294" s="3" t="s">
        <v>12674</v>
      </c>
    </row>
    <row r="1295" spans="1:59" ht="57" x14ac:dyDescent="0.45">
      <c r="A1295" s="2" t="s">
        <v>59</v>
      </c>
      <c r="B1295" s="2" t="s">
        <v>60</v>
      </c>
      <c r="C1295" s="2" t="s">
        <v>12675</v>
      </c>
      <c r="D1295" s="2" t="s">
        <v>12676</v>
      </c>
      <c r="E1295" s="2" t="s">
        <v>12677</v>
      </c>
      <c r="G1295" s="3" t="s">
        <v>62</v>
      </c>
      <c r="I1295" s="3" t="s">
        <v>61</v>
      </c>
      <c r="J1295" s="3" t="s">
        <v>62</v>
      </c>
      <c r="K1295" s="3" t="s">
        <v>63</v>
      </c>
      <c r="M1295" s="2" t="s">
        <v>12678</v>
      </c>
      <c r="N1295" s="3" t="s">
        <v>1059</v>
      </c>
      <c r="P1295" s="3" t="s">
        <v>65</v>
      </c>
      <c r="R1295" s="3" t="s">
        <v>66</v>
      </c>
      <c r="S1295" s="4">
        <v>5</v>
      </c>
      <c r="T1295" s="4">
        <v>19</v>
      </c>
      <c r="U1295" s="5" t="s">
        <v>9744</v>
      </c>
      <c r="V1295" s="5" t="s">
        <v>12679</v>
      </c>
      <c r="W1295" s="5" t="s">
        <v>67</v>
      </c>
      <c r="X1295" s="5" t="s">
        <v>67</v>
      </c>
      <c r="Y1295" s="4">
        <v>352</v>
      </c>
      <c r="Z1295" s="4">
        <v>23</v>
      </c>
      <c r="AA1295" s="4">
        <v>34</v>
      </c>
      <c r="AB1295" s="4">
        <v>2</v>
      </c>
      <c r="AC1295" s="4">
        <v>8</v>
      </c>
      <c r="AD1295" s="4">
        <v>103</v>
      </c>
      <c r="AE1295" s="4">
        <v>112</v>
      </c>
      <c r="AF1295" s="4">
        <v>1</v>
      </c>
      <c r="AG1295" s="4">
        <v>5</v>
      </c>
      <c r="AH1295" s="4">
        <v>92</v>
      </c>
      <c r="AI1295" s="4">
        <v>93</v>
      </c>
      <c r="AJ1295" s="4">
        <v>14</v>
      </c>
      <c r="AK1295" s="4">
        <v>20</v>
      </c>
      <c r="AL1295" s="4">
        <v>47</v>
      </c>
      <c r="AM1295" s="4">
        <v>47</v>
      </c>
      <c r="AN1295" s="4">
        <v>0</v>
      </c>
      <c r="AO1295" s="4">
        <v>0</v>
      </c>
      <c r="AP1295" s="4">
        <v>19</v>
      </c>
      <c r="AQ1295" s="4">
        <v>27</v>
      </c>
      <c r="AR1295" s="3" t="s">
        <v>62</v>
      </c>
      <c r="AS1295" s="3" t="s">
        <v>62</v>
      </c>
      <c r="AT1295" s="3" t="s">
        <v>61</v>
      </c>
      <c r="AU1295" s="6" t="str">
        <f>HYPERLINK("http://catalog.hathitrust.org/Record/005043481","HathiTrust Record")</f>
        <v>HathiTrust Record</v>
      </c>
      <c r="AV1295" s="6" t="str">
        <f>HYPERLINK("http://mcgill.on.worldcat.org/oclc/57531461","Catalog Record")</f>
        <v>Catalog Record</v>
      </c>
      <c r="AW1295" s="6" t="str">
        <f>HYPERLINK("http://www.worldcat.org/oclc/57531461","WorldCat Record")</f>
        <v>WorldCat Record</v>
      </c>
      <c r="AX1295" s="3" t="s">
        <v>12680</v>
      </c>
      <c r="AY1295" s="3" t="s">
        <v>12681</v>
      </c>
      <c r="AZ1295" s="3" t="s">
        <v>12682</v>
      </c>
      <c r="BA1295" s="3" t="s">
        <v>12682</v>
      </c>
      <c r="BB1295" s="3" t="s">
        <v>12683</v>
      </c>
      <c r="BC1295" s="3" t="s">
        <v>142</v>
      </c>
      <c r="BD1295" s="3" t="s">
        <v>68</v>
      </c>
      <c r="BE1295" s="3" t="s">
        <v>12684</v>
      </c>
      <c r="BF1295" s="3" t="s">
        <v>12683</v>
      </c>
      <c r="BG1295" s="3" t="s">
        <v>12685</v>
      </c>
    </row>
    <row r="1296" spans="1:59" ht="57" x14ac:dyDescent="0.45">
      <c r="A1296" s="2" t="s">
        <v>59</v>
      </c>
      <c r="B1296" s="2" t="s">
        <v>60</v>
      </c>
      <c r="C1296" s="2" t="s">
        <v>12675</v>
      </c>
      <c r="D1296" s="2" t="s">
        <v>12676</v>
      </c>
      <c r="E1296" s="2" t="s">
        <v>12677</v>
      </c>
      <c r="G1296" s="3" t="s">
        <v>62</v>
      </c>
      <c r="I1296" s="3" t="s">
        <v>61</v>
      </c>
      <c r="J1296" s="3" t="s">
        <v>62</v>
      </c>
      <c r="K1296" s="3" t="s">
        <v>63</v>
      </c>
      <c r="M1296" s="2" t="s">
        <v>12678</v>
      </c>
      <c r="N1296" s="3" t="s">
        <v>1059</v>
      </c>
      <c r="P1296" s="3" t="s">
        <v>65</v>
      </c>
      <c r="R1296" s="3" t="s">
        <v>66</v>
      </c>
      <c r="S1296" s="4">
        <v>14</v>
      </c>
      <c r="T1296" s="4">
        <v>19</v>
      </c>
      <c r="U1296" s="5" t="s">
        <v>12679</v>
      </c>
      <c r="V1296" s="5" t="s">
        <v>12679</v>
      </c>
      <c r="W1296" s="5" t="s">
        <v>67</v>
      </c>
      <c r="X1296" s="5" t="s">
        <v>67</v>
      </c>
      <c r="Y1296" s="4">
        <v>352</v>
      </c>
      <c r="Z1296" s="4">
        <v>23</v>
      </c>
      <c r="AA1296" s="4">
        <v>34</v>
      </c>
      <c r="AB1296" s="4">
        <v>2</v>
      </c>
      <c r="AC1296" s="4">
        <v>8</v>
      </c>
      <c r="AD1296" s="4">
        <v>103</v>
      </c>
      <c r="AE1296" s="4">
        <v>112</v>
      </c>
      <c r="AF1296" s="4">
        <v>1</v>
      </c>
      <c r="AG1296" s="4">
        <v>5</v>
      </c>
      <c r="AH1296" s="4">
        <v>92</v>
      </c>
      <c r="AI1296" s="4">
        <v>93</v>
      </c>
      <c r="AJ1296" s="4">
        <v>14</v>
      </c>
      <c r="AK1296" s="4">
        <v>20</v>
      </c>
      <c r="AL1296" s="4">
        <v>47</v>
      </c>
      <c r="AM1296" s="4">
        <v>47</v>
      </c>
      <c r="AN1296" s="4">
        <v>0</v>
      </c>
      <c r="AO1296" s="4">
        <v>0</v>
      </c>
      <c r="AP1296" s="4">
        <v>19</v>
      </c>
      <c r="AQ1296" s="4">
        <v>27</v>
      </c>
      <c r="AR1296" s="3" t="s">
        <v>62</v>
      </c>
      <c r="AS1296" s="3" t="s">
        <v>62</v>
      </c>
      <c r="AT1296" s="3" t="s">
        <v>61</v>
      </c>
      <c r="AU1296" s="6" t="str">
        <f>HYPERLINK("http://catalog.hathitrust.org/Record/005043481","HathiTrust Record")</f>
        <v>HathiTrust Record</v>
      </c>
      <c r="AV1296" s="6" t="str">
        <f>HYPERLINK("http://mcgill.on.worldcat.org/oclc/57531461","Catalog Record")</f>
        <v>Catalog Record</v>
      </c>
      <c r="AW1296" s="6" t="str">
        <f>HYPERLINK("http://www.worldcat.org/oclc/57531461","WorldCat Record")</f>
        <v>WorldCat Record</v>
      </c>
      <c r="AX1296" s="3" t="s">
        <v>12680</v>
      </c>
      <c r="AY1296" s="3" t="s">
        <v>12681</v>
      </c>
      <c r="AZ1296" s="3" t="s">
        <v>12682</v>
      </c>
      <c r="BA1296" s="3" t="s">
        <v>12682</v>
      </c>
      <c r="BB1296" s="3" t="s">
        <v>12686</v>
      </c>
      <c r="BC1296" s="3" t="s">
        <v>142</v>
      </c>
      <c r="BD1296" s="3" t="s">
        <v>68</v>
      </c>
      <c r="BE1296" s="3" t="s">
        <v>12684</v>
      </c>
      <c r="BF1296" s="3" t="s">
        <v>12686</v>
      </c>
      <c r="BG1296" s="3" t="s">
        <v>12687</v>
      </c>
    </row>
    <row r="1297" spans="1:59" ht="57" x14ac:dyDescent="0.45">
      <c r="A1297" s="2" t="s">
        <v>59</v>
      </c>
      <c r="B1297" s="2" t="s">
        <v>60</v>
      </c>
      <c r="C1297" s="2" t="s">
        <v>12688</v>
      </c>
      <c r="D1297" s="2" t="s">
        <v>12689</v>
      </c>
      <c r="E1297" s="2" t="s">
        <v>12690</v>
      </c>
      <c r="G1297" s="3" t="s">
        <v>62</v>
      </c>
      <c r="I1297" s="3" t="s">
        <v>62</v>
      </c>
      <c r="J1297" s="3" t="s">
        <v>61</v>
      </c>
      <c r="K1297" s="3" t="s">
        <v>63</v>
      </c>
      <c r="M1297" s="2" t="s">
        <v>12691</v>
      </c>
      <c r="N1297" s="3" t="s">
        <v>918</v>
      </c>
      <c r="O1297" s="2" t="s">
        <v>420</v>
      </c>
      <c r="P1297" s="3" t="s">
        <v>65</v>
      </c>
      <c r="R1297" s="3" t="s">
        <v>66</v>
      </c>
      <c r="S1297" s="4">
        <v>17</v>
      </c>
      <c r="T1297" s="4">
        <v>17</v>
      </c>
      <c r="U1297" s="5" t="s">
        <v>12692</v>
      </c>
      <c r="V1297" s="5" t="s">
        <v>12692</v>
      </c>
      <c r="W1297" s="5" t="s">
        <v>67</v>
      </c>
      <c r="X1297" s="5" t="s">
        <v>67</v>
      </c>
      <c r="Y1297" s="4">
        <v>165</v>
      </c>
      <c r="Z1297" s="4">
        <v>19</v>
      </c>
      <c r="AA1297" s="4">
        <v>84</v>
      </c>
      <c r="AB1297" s="4">
        <v>1</v>
      </c>
      <c r="AC1297" s="4">
        <v>16</v>
      </c>
      <c r="AD1297" s="4">
        <v>40</v>
      </c>
      <c r="AE1297" s="4">
        <v>130</v>
      </c>
      <c r="AF1297" s="4">
        <v>0</v>
      </c>
      <c r="AG1297" s="4">
        <v>7</v>
      </c>
      <c r="AH1297" s="4">
        <v>35</v>
      </c>
      <c r="AI1297" s="4">
        <v>98</v>
      </c>
      <c r="AJ1297" s="4">
        <v>7</v>
      </c>
      <c r="AK1297" s="4">
        <v>26</v>
      </c>
      <c r="AL1297" s="4">
        <v>19</v>
      </c>
      <c r="AM1297" s="4">
        <v>48</v>
      </c>
      <c r="AN1297" s="4">
        <v>0</v>
      </c>
      <c r="AO1297" s="4">
        <v>0</v>
      </c>
      <c r="AP1297" s="4">
        <v>10</v>
      </c>
      <c r="AQ1297" s="4">
        <v>41</v>
      </c>
      <c r="AR1297" s="3" t="s">
        <v>62</v>
      </c>
      <c r="AS1297" s="3" t="s">
        <v>62</v>
      </c>
      <c r="AT1297" s="3" t="s">
        <v>61</v>
      </c>
      <c r="AU1297" s="6" t="str">
        <f>HYPERLINK("http://catalog.hathitrust.org/Record/004264308","HathiTrust Record")</f>
        <v>HathiTrust Record</v>
      </c>
      <c r="AV1297" s="6" t="str">
        <f>HYPERLINK("http://mcgill.on.worldcat.org/oclc/49664449","Catalog Record")</f>
        <v>Catalog Record</v>
      </c>
      <c r="AW1297" s="6" t="str">
        <f>HYPERLINK("http://www.worldcat.org/oclc/49664449","WorldCat Record")</f>
        <v>WorldCat Record</v>
      </c>
      <c r="AX1297" s="3" t="s">
        <v>12693</v>
      </c>
      <c r="AY1297" s="3" t="s">
        <v>12694</v>
      </c>
      <c r="AZ1297" s="3" t="s">
        <v>12695</v>
      </c>
      <c r="BA1297" s="3" t="s">
        <v>12695</v>
      </c>
      <c r="BB1297" s="3" t="s">
        <v>12696</v>
      </c>
      <c r="BC1297" s="3" t="s">
        <v>142</v>
      </c>
      <c r="BD1297" s="3" t="s">
        <v>68</v>
      </c>
      <c r="BE1297" s="3" t="s">
        <v>12697</v>
      </c>
      <c r="BF1297" s="3" t="s">
        <v>12696</v>
      </c>
      <c r="BG1297" s="3" t="s">
        <v>12698</v>
      </c>
    </row>
    <row r="1298" spans="1:59" ht="57" x14ac:dyDescent="0.45">
      <c r="A1298" s="2" t="s">
        <v>59</v>
      </c>
      <c r="B1298" s="2" t="s">
        <v>60</v>
      </c>
      <c r="C1298" s="2" t="s">
        <v>12699</v>
      </c>
      <c r="D1298" s="2" t="s">
        <v>12700</v>
      </c>
      <c r="E1298" s="2" t="s">
        <v>12690</v>
      </c>
      <c r="G1298" s="3" t="s">
        <v>62</v>
      </c>
      <c r="I1298" s="3" t="s">
        <v>61</v>
      </c>
      <c r="J1298" s="3" t="s">
        <v>61</v>
      </c>
      <c r="K1298" s="3" t="s">
        <v>63</v>
      </c>
      <c r="M1298" s="2" t="s">
        <v>12701</v>
      </c>
      <c r="N1298" s="3" t="s">
        <v>945</v>
      </c>
      <c r="O1298" s="2" t="s">
        <v>919</v>
      </c>
      <c r="P1298" s="3" t="s">
        <v>65</v>
      </c>
      <c r="R1298" s="3" t="s">
        <v>66</v>
      </c>
      <c r="S1298" s="4">
        <v>9</v>
      </c>
      <c r="T1298" s="4">
        <v>68</v>
      </c>
      <c r="U1298" s="5" t="s">
        <v>12702</v>
      </c>
      <c r="V1298" s="5" t="s">
        <v>12703</v>
      </c>
      <c r="W1298" s="5" t="s">
        <v>67</v>
      </c>
      <c r="X1298" s="5" t="s">
        <v>67</v>
      </c>
      <c r="Y1298" s="4">
        <v>188</v>
      </c>
      <c r="Z1298" s="4">
        <v>29</v>
      </c>
      <c r="AA1298" s="4">
        <v>84</v>
      </c>
      <c r="AB1298" s="4">
        <v>2</v>
      </c>
      <c r="AC1298" s="4">
        <v>16</v>
      </c>
      <c r="AD1298" s="4">
        <v>45</v>
      </c>
      <c r="AE1298" s="4">
        <v>130</v>
      </c>
      <c r="AF1298" s="4">
        <v>1</v>
      </c>
      <c r="AG1298" s="4">
        <v>7</v>
      </c>
      <c r="AH1298" s="4">
        <v>32</v>
      </c>
      <c r="AI1298" s="4">
        <v>98</v>
      </c>
      <c r="AJ1298" s="4">
        <v>12</v>
      </c>
      <c r="AK1298" s="4">
        <v>26</v>
      </c>
      <c r="AL1298" s="4">
        <v>17</v>
      </c>
      <c r="AM1298" s="4">
        <v>48</v>
      </c>
      <c r="AN1298" s="4">
        <v>0</v>
      </c>
      <c r="AO1298" s="4">
        <v>0</v>
      </c>
      <c r="AP1298" s="4">
        <v>18</v>
      </c>
      <c r="AQ1298" s="4">
        <v>41</v>
      </c>
      <c r="AR1298" s="3" t="s">
        <v>62</v>
      </c>
      <c r="AS1298" s="3" t="s">
        <v>62</v>
      </c>
      <c r="AT1298" s="3" t="s">
        <v>62</v>
      </c>
      <c r="AV1298" s="6" t="str">
        <f>HYPERLINK("http://mcgill.on.worldcat.org/oclc/64585900","Catalog Record")</f>
        <v>Catalog Record</v>
      </c>
      <c r="AW1298" s="6" t="str">
        <f>HYPERLINK("http://www.worldcat.org/oclc/64585900","WorldCat Record")</f>
        <v>WorldCat Record</v>
      </c>
      <c r="AX1298" s="3" t="s">
        <v>12693</v>
      </c>
      <c r="AY1298" s="3" t="s">
        <v>12704</v>
      </c>
      <c r="AZ1298" s="3" t="s">
        <v>12705</v>
      </c>
      <c r="BA1298" s="3" t="s">
        <v>12705</v>
      </c>
      <c r="BB1298" s="3" t="s">
        <v>12706</v>
      </c>
      <c r="BC1298" s="3" t="s">
        <v>142</v>
      </c>
      <c r="BD1298" s="3" t="s">
        <v>68</v>
      </c>
      <c r="BE1298" s="3" t="s">
        <v>12707</v>
      </c>
      <c r="BF1298" s="3" t="s">
        <v>12706</v>
      </c>
      <c r="BG1298" s="3" t="s">
        <v>12708</v>
      </c>
    </row>
    <row r="1299" spans="1:59" ht="57" x14ac:dyDescent="0.45">
      <c r="A1299" s="2" t="s">
        <v>59</v>
      </c>
      <c r="B1299" s="2" t="s">
        <v>60</v>
      </c>
      <c r="C1299" s="2" t="s">
        <v>12699</v>
      </c>
      <c r="D1299" s="2" t="s">
        <v>12700</v>
      </c>
      <c r="E1299" s="2" t="s">
        <v>12690</v>
      </c>
      <c r="G1299" s="3" t="s">
        <v>62</v>
      </c>
      <c r="I1299" s="3" t="s">
        <v>61</v>
      </c>
      <c r="J1299" s="3" t="s">
        <v>61</v>
      </c>
      <c r="K1299" s="3" t="s">
        <v>63</v>
      </c>
      <c r="M1299" s="2" t="s">
        <v>12701</v>
      </c>
      <c r="N1299" s="3" t="s">
        <v>945</v>
      </c>
      <c r="O1299" s="2" t="s">
        <v>919</v>
      </c>
      <c r="P1299" s="3" t="s">
        <v>65</v>
      </c>
      <c r="R1299" s="3" t="s">
        <v>66</v>
      </c>
      <c r="S1299" s="4">
        <v>16</v>
      </c>
      <c r="T1299" s="4">
        <v>68</v>
      </c>
      <c r="U1299" s="5" t="s">
        <v>12703</v>
      </c>
      <c r="V1299" s="5" t="s">
        <v>12703</v>
      </c>
      <c r="W1299" s="5" t="s">
        <v>67</v>
      </c>
      <c r="X1299" s="5" t="s">
        <v>67</v>
      </c>
      <c r="Y1299" s="4">
        <v>188</v>
      </c>
      <c r="Z1299" s="4">
        <v>29</v>
      </c>
      <c r="AA1299" s="4">
        <v>84</v>
      </c>
      <c r="AB1299" s="4">
        <v>2</v>
      </c>
      <c r="AC1299" s="4">
        <v>16</v>
      </c>
      <c r="AD1299" s="4">
        <v>45</v>
      </c>
      <c r="AE1299" s="4">
        <v>130</v>
      </c>
      <c r="AF1299" s="4">
        <v>1</v>
      </c>
      <c r="AG1299" s="4">
        <v>7</v>
      </c>
      <c r="AH1299" s="4">
        <v>32</v>
      </c>
      <c r="AI1299" s="4">
        <v>98</v>
      </c>
      <c r="AJ1299" s="4">
        <v>12</v>
      </c>
      <c r="AK1299" s="4">
        <v>26</v>
      </c>
      <c r="AL1299" s="4">
        <v>17</v>
      </c>
      <c r="AM1299" s="4">
        <v>48</v>
      </c>
      <c r="AN1299" s="4">
        <v>0</v>
      </c>
      <c r="AO1299" s="4">
        <v>0</v>
      </c>
      <c r="AP1299" s="4">
        <v>18</v>
      </c>
      <c r="AQ1299" s="4">
        <v>41</v>
      </c>
      <c r="AR1299" s="3" t="s">
        <v>62</v>
      </c>
      <c r="AS1299" s="3" t="s">
        <v>62</v>
      </c>
      <c r="AT1299" s="3" t="s">
        <v>62</v>
      </c>
      <c r="AV1299" s="6" t="str">
        <f>HYPERLINK("http://mcgill.on.worldcat.org/oclc/64585900","Catalog Record")</f>
        <v>Catalog Record</v>
      </c>
      <c r="AW1299" s="6" t="str">
        <f>HYPERLINK("http://www.worldcat.org/oclc/64585900","WorldCat Record")</f>
        <v>WorldCat Record</v>
      </c>
      <c r="AX1299" s="3" t="s">
        <v>12693</v>
      </c>
      <c r="AY1299" s="3" t="s">
        <v>12704</v>
      </c>
      <c r="AZ1299" s="3" t="s">
        <v>12705</v>
      </c>
      <c r="BA1299" s="3" t="s">
        <v>12705</v>
      </c>
      <c r="BB1299" s="3" t="s">
        <v>12709</v>
      </c>
      <c r="BC1299" s="3" t="s">
        <v>142</v>
      </c>
      <c r="BD1299" s="3" t="s">
        <v>68</v>
      </c>
      <c r="BE1299" s="3" t="s">
        <v>12707</v>
      </c>
      <c r="BF1299" s="3" t="s">
        <v>12709</v>
      </c>
      <c r="BG1299" s="3" t="s">
        <v>12710</v>
      </c>
    </row>
    <row r="1300" spans="1:59" ht="57" x14ac:dyDescent="0.45">
      <c r="A1300" s="2" t="s">
        <v>59</v>
      </c>
      <c r="B1300" s="2" t="s">
        <v>60</v>
      </c>
      <c r="C1300" s="2" t="s">
        <v>12699</v>
      </c>
      <c r="D1300" s="2" t="s">
        <v>12700</v>
      </c>
      <c r="E1300" s="2" t="s">
        <v>12690</v>
      </c>
      <c r="G1300" s="3" t="s">
        <v>62</v>
      </c>
      <c r="I1300" s="3" t="s">
        <v>61</v>
      </c>
      <c r="J1300" s="3" t="s">
        <v>61</v>
      </c>
      <c r="K1300" s="3" t="s">
        <v>63</v>
      </c>
      <c r="M1300" s="2" t="s">
        <v>12701</v>
      </c>
      <c r="N1300" s="3" t="s">
        <v>945</v>
      </c>
      <c r="O1300" s="2" t="s">
        <v>919</v>
      </c>
      <c r="P1300" s="3" t="s">
        <v>65</v>
      </c>
      <c r="R1300" s="3" t="s">
        <v>66</v>
      </c>
      <c r="S1300" s="4">
        <v>43</v>
      </c>
      <c r="T1300" s="4">
        <v>68</v>
      </c>
      <c r="U1300" s="5" t="s">
        <v>12711</v>
      </c>
      <c r="V1300" s="5" t="s">
        <v>12703</v>
      </c>
      <c r="W1300" s="5" t="s">
        <v>67</v>
      </c>
      <c r="X1300" s="5" t="s">
        <v>67</v>
      </c>
      <c r="Y1300" s="4">
        <v>188</v>
      </c>
      <c r="Z1300" s="4">
        <v>29</v>
      </c>
      <c r="AA1300" s="4">
        <v>84</v>
      </c>
      <c r="AB1300" s="4">
        <v>2</v>
      </c>
      <c r="AC1300" s="4">
        <v>16</v>
      </c>
      <c r="AD1300" s="4">
        <v>45</v>
      </c>
      <c r="AE1300" s="4">
        <v>130</v>
      </c>
      <c r="AF1300" s="4">
        <v>1</v>
      </c>
      <c r="AG1300" s="4">
        <v>7</v>
      </c>
      <c r="AH1300" s="4">
        <v>32</v>
      </c>
      <c r="AI1300" s="4">
        <v>98</v>
      </c>
      <c r="AJ1300" s="4">
        <v>12</v>
      </c>
      <c r="AK1300" s="4">
        <v>26</v>
      </c>
      <c r="AL1300" s="4">
        <v>17</v>
      </c>
      <c r="AM1300" s="4">
        <v>48</v>
      </c>
      <c r="AN1300" s="4">
        <v>0</v>
      </c>
      <c r="AO1300" s="4">
        <v>0</v>
      </c>
      <c r="AP1300" s="4">
        <v>18</v>
      </c>
      <c r="AQ1300" s="4">
        <v>41</v>
      </c>
      <c r="AR1300" s="3" t="s">
        <v>62</v>
      </c>
      <c r="AS1300" s="3" t="s">
        <v>62</v>
      </c>
      <c r="AT1300" s="3" t="s">
        <v>62</v>
      </c>
      <c r="AV1300" s="6" t="str">
        <f>HYPERLINK("http://mcgill.on.worldcat.org/oclc/64585900","Catalog Record")</f>
        <v>Catalog Record</v>
      </c>
      <c r="AW1300" s="6" t="str">
        <f>HYPERLINK("http://www.worldcat.org/oclc/64585900","WorldCat Record")</f>
        <v>WorldCat Record</v>
      </c>
      <c r="AX1300" s="3" t="s">
        <v>12693</v>
      </c>
      <c r="AY1300" s="3" t="s">
        <v>12704</v>
      </c>
      <c r="AZ1300" s="3" t="s">
        <v>12705</v>
      </c>
      <c r="BA1300" s="3" t="s">
        <v>12705</v>
      </c>
      <c r="BB1300" s="3" t="s">
        <v>12712</v>
      </c>
      <c r="BC1300" s="3" t="s">
        <v>142</v>
      </c>
      <c r="BD1300" s="3" t="s">
        <v>68</v>
      </c>
      <c r="BE1300" s="3" t="s">
        <v>12707</v>
      </c>
      <c r="BF1300" s="3" t="s">
        <v>12712</v>
      </c>
      <c r="BG1300" s="3" t="s">
        <v>12713</v>
      </c>
    </row>
    <row r="1301" spans="1:59" ht="57" x14ac:dyDescent="0.45">
      <c r="A1301" s="2" t="s">
        <v>59</v>
      </c>
      <c r="B1301" s="2" t="s">
        <v>60</v>
      </c>
      <c r="C1301" s="2" t="s">
        <v>12714</v>
      </c>
      <c r="D1301" s="2" t="s">
        <v>12715</v>
      </c>
      <c r="E1301" s="2" t="s">
        <v>12690</v>
      </c>
      <c r="G1301" s="3" t="s">
        <v>62</v>
      </c>
      <c r="I1301" s="3" t="s">
        <v>61</v>
      </c>
      <c r="J1301" s="3" t="s">
        <v>61</v>
      </c>
      <c r="K1301" s="3" t="s">
        <v>63</v>
      </c>
      <c r="M1301" s="2" t="s">
        <v>12716</v>
      </c>
      <c r="N1301" s="3" t="s">
        <v>894</v>
      </c>
      <c r="O1301" s="2" t="s">
        <v>4282</v>
      </c>
      <c r="P1301" s="3" t="s">
        <v>65</v>
      </c>
      <c r="R1301" s="3" t="s">
        <v>66</v>
      </c>
      <c r="S1301" s="4">
        <v>79</v>
      </c>
      <c r="T1301" s="4">
        <v>216</v>
      </c>
      <c r="U1301" s="5" t="s">
        <v>10159</v>
      </c>
      <c r="V1301" s="5" t="s">
        <v>10159</v>
      </c>
      <c r="W1301" s="5" t="s">
        <v>67</v>
      </c>
      <c r="X1301" s="5" t="s">
        <v>67</v>
      </c>
      <c r="Y1301" s="4">
        <v>147</v>
      </c>
      <c r="Z1301" s="4">
        <v>23</v>
      </c>
      <c r="AA1301" s="4">
        <v>84</v>
      </c>
      <c r="AB1301" s="4">
        <v>1</v>
      </c>
      <c r="AC1301" s="4">
        <v>16</v>
      </c>
      <c r="AD1301" s="4">
        <v>31</v>
      </c>
      <c r="AE1301" s="4">
        <v>130</v>
      </c>
      <c r="AF1301" s="4">
        <v>0</v>
      </c>
      <c r="AG1301" s="4">
        <v>7</v>
      </c>
      <c r="AH1301" s="4">
        <v>25</v>
      </c>
      <c r="AI1301" s="4">
        <v>98</v>
      </c>
      <c r="AJ1301" s="4">
        <v>7</v>
      </c>
      <c r="AK1301" s="4">
        <v>26</v>
      </c>
      <c r="AL1301" s="4">
        <v>13</v>
      </c>
      <c r="AM1301" s="4">
        <v>48</v>
      </c>
      <c r="AN1301" s="4">
        <v>0</v>
      </c>
      <c r="AO1301" s="4">
        <v>0</v>
      </c>
      <c r="AP1301" s="4">
        <v>11</v>
      </c>
      <c r="AQ1301" s="4">
        <v>41</v>
      </c>
      <c r="AR1301" s="3" t="s">
        <v>62</v>
      </c>
      <c r="AS1301" s="3" t="s">
        <v>62</v>
      </c>
      <c r="AT1301" s="3" t="s">
        <v>62</v>
      </c>
      <c r="AV1301" s="6" t="str">
        <f>HYPERLINK("http://mcgill.on.worldcat.org/oclc/477256845","Catalog Record")</f>
        <v>Catalog Record</v>
      </c>
      <c r="AW1301" s="6" t="str">
        <f>HYPERLINK("http://www.worldcat.org/oclc/477256845","WorldCat Record")</f>
        <v>WorldCat Record</v>
      </c>
      <c r="AX1301" s="3" t="s">
        <v>12693</v>
      </c>
      <c r="AY1301" s="3" t="s">
        <v>12717</v>
      </c>
      <c r="AZ1301" s="3" t="s">
        <v>12718</v>
      </c>
      <c r="BA1301" s="3" t="s">
        <v>12718</v>
      </c>
      <c r="BB1301" s="3" t="s">
        <v>12719</v>
      </c>
      <c r="BC1301" s="3" t="s">
        <v>142</v>
      </c>
      <c r="BD1301" s="3" t="s">
        <v>68</v>
      </c>
      <c r="BE1301" s="3" t="s">
        <v>12720</v>
      </c>
      <c r="BF1301" s="3" t="s">
        <v>12719</v>
      </c>
      <c r="BG1301" s="3" t="s">
        <v>12721</v>
      </c>
    </row>
    <row r="1302" spans="1:59" ht="57" x14ac:dyDescent="0.45">
      <c r="A1302" s="2" t="s">
        <v>59</v>
      </c>
      <c r="B1302" s="2" t="s">
        <v>60</v>
      </c>
      <c r="C1302" s="2" t="s">
        <v>12714</v>
      </c>
      <c r="D1302" s="2" t="s">
        <v>12715</v>
      </c>
      <c r="E1302" s="2" t="s">
        <v>12690</v>
      </c>
      <c r="G1302" s="3" t="s">
        <v>62</v>
      </c>
      <c r="I1302" s="3" t="s">
        <v>61</v>
      </c>
      <c r="J1302" s="3" t="s">
        <v>61</v>
      </c>
      <c r="K1302" s="3" t="s">
        <v>63</v>
      </c>
      <c r="M1302" s="2" t="s">
        <v>12716</v>
      </c>
      <c r="N1302" s="3" t="s">
        <v>894</v>
      </c>
      <c r="O1302" s="2" t="s">
        <v>4282</v>
      </c>
      <c r="P1302" s="3" t="s">
        <v>65</v>
      </c>
      <c r="R1302" s="3" t="s">
        <v>66</v>
      </c>
      <c r="S1302" s="4">
        <v>137</v>
      </c>
      <c r="T1302" s="4">
        <v>216</v>
      </c>
      <c r="U1302" s="5" t="s">
        <v>12722</v>
      </c>
      <c r="V1302" s="5" t="s">
        <v>10159</v>
      </c>
      <c r="W1302" s="5" t="s">
        <v>67</v>
      </c>
      <c r="X1302" s="5" t="s">
        <v>67</v>
      </c>
      <c r="Y1302" s="4">
        <v>147</v>
      </c>
      <c r="Z1302" s="4">
        <v>23</v>
      </c>
      <c r="AA1302" s="4">
        <v>84</v>
      </c>
      <c r="AB1302" s="4">
        <v>1</v>
      </c>
      <c r="AC1302" s="4">
        <v>16</v>
      </c>
      <c r="AD1302" s="4">
        <v>31</v>
      </c>
      <c r="AE1302" s="4">
        <v>130</v>
      </c>
      <c r="AF1302" s="4">
        <v>0</v>
      </c>
      <c r="AG1302" s="4">
        <v>7</v>
      </c>
      <c r="AH1302" s="4">
        <v>25</v>
      </c>
      <c r="AI1302" s="4">
        <v>98</v>
      </c>
      <c r="AJ1302" s="4">
        <v>7</v>
      </c>
      <c r="AK1302" s="4">
        <v>26</v>
      </c>
      <c r="AL1302" s="4">
        <v>13</v>
      </c>
      <c r="AM1302" s="4">
        <v>48</v>
      </c>
      <c r="AN1302" s="4">
        <v>0</v>
      </c>
      <c r="AO1302" s="4">
        <v>0</v>
      </c>
      <c r="AP1302" s="4">
        <v>11</v>
      </c>
      <c r="AQ1302" s="4">
        <v>41</v>
      </c>
      <c r="AR1302" s="3" t="s">
        <v>62</v>
      </c>
      <c r="AS1302" s="3" t="s">
        <v>62</v>
      </c>
      <c r="AT1302" s="3" t="s">
        <v>62</v>
      </c>
      <c r="AV1302" s="6" t="str">
        <f>HYPERLINK("http://mcgill.on.worldcat.org/oclc/477256845","Catalog Record")</f>
        <v>Catalog Record</v>
      </c>
      <c r="AW1302" s="6" t="str">
        <f>HYPERLINK("http://www.worldcat.org/oclc/477256845","WorldCat Record")</f>
        <v>WorldCat Record</v>
      </c>
      <c r="AX1302" s="3" t="s">
        <v>12693</v>
      </c>
      <c r="AY1302" s="3" t="s">
        <v>12717</v>
      </c>
      <c r="AZ1302" s="3" t="s">
        <v>12718</v>
      </c>
      <c r="BA1302" s="3" t="s">
        <v>12718</v>
      </c>
      <c r="BB1302" s="3" t="s">
        <v>12723</v>
      </c>
      <c r="BC1302" s="3" t="s">
        <v>142</v>
      </c>
      <c r="BD1302" s="3" t="s">
        <v>68</v>
      </c>
      <c r="BE1302" s="3" t="s">
        <v>12720</v>
      </c>
      <c r="BF1302" s="3" t="s">
        <v>12723</v>
      </c>
      <c r="BG1302" s="3" t="s">
        <v>12724</v>
      </c>
    </row>
    <row r="1303" spans="1:59" ht="57" x14ac:dyDescent="0.45">
      <c r="A1303" s="2" t="s">
        <v>59</v>
      </c>
      <c r="B1303" s="2" t="s">
        <v>60</v>
      </c>
      <c r="C1303" s="2" t="s">
        <v>12725</v>
      </c>
      <c r="D1303" s="2" t="s">
        <v>12726</v>
      </c>
      <c r="E1303" s="2" t="s">
        <v>12727</v>
      </c>
      <c r="G1303" s="3" t="s">
        <v>62</v>
      </c>
      <c r="I1303" s="3" t="s">
        <v>62</v>
      </c>
      <c r="J1303" s="3" t="s">
        <v>62</v>
      </c>
      <c r="K1303" s="3" t="s">
        <v>63</v>
      </c>
      <c r="M1303" s="2" t="s">
        <v>12728</v>
      </c>
      <c r="N1303" s="3" t="s">
        <v>1155</v>
      </c>
      <c r="P1303" s="3" t="s">
        <v>65</v>
      </c>
      <c r="R1303" s="3" t="s">
        <v>66</v>
      </c>
      <c r="S1303" s="4">
        <v>1</v>
      </c>
      <c r="T1303" s="4">
        <v>1</v>
      </c>
      <c r="U1303" s="5" t="s">
        <v>12729</v>
      </c>
      <c r="V1303" s="5" t="s">
        <v>12729</v>
      </c>
      <c r="W1303" s="5" t="s">
        <v>67</v>
      </c>
      <c r="X1303" s="5" t="s">
        <v>67</v>
      </c>
      <c r="Y1303" s="4">
        <v>16</v>
      </c>
      <c r="Z1303" s="4">
        <v>1</v>
      </c>
      <c r="AA1303" s="4">
        <v>2</v>
      </c>
      <c r="AB1303" s="4">
        <v>1</v>
      </c>
      <c r="AC1303" s="4">
        <v>1</v>
      </c>
      <c r="AD1303" s="4">
        <v>0</v>
      </c>
      <c r="AE1303" s="4">
        <v>14</v>
      </c>
      <c r="AF1303" s="4">
        <v>0</v>
      </c>
      <c r="AG1303" s="4">
        <v>0</v>
      </c>
      <c r="AH1303" s="4">
        <v>0</v>
      </c>
      <c r="AI1303" s="4">
        <v>14</v>
      </c>
      <c r="AJ1303" s="4">
        <v>0</v>
      </c>
      <c r="AK1303" s="4">
        <v>1</v>
      </c>
      <c r="AL1303" s="4">
        <v>0</v>
      </c>
      <c r="AM1303" s="4">
        <v>6</v>
      </c>
      <c r="AN1303" s="4">
        <v>0</v>
      </c>
      <c r="AO1303" s="4">
        <v>0</v>
      </c>
      <c r="AP1303" s="4">
        <v>0</v>
      </c>
      <c r="AQ1303" s="4">
        <v>1</v>
      </c>
      <c r="AR1303" s="3" t="s">
        <v>62</v>
      </c>
      <c r="AS1303" s="3" t="s">
        <v>62</v>
      </c>
      <c r="AT1303" s="3" t="s">
        <v>62</v>
      </c>
      <c r="AV1303" s="6" t="str">
        <f>HYPERLINK("http://mcgill.on.worldcat.org/oclc/769191353","Catalog Record")</f>
        <v>Catalog Record</v>
      </c>
      <c r="AW1303" s="6" t="str">
        <f>HYPERLINK("http://www.worldcat.org/oclc/769191353","WorldCat Record")</f>
        <v>WorldCat Record</v>
      </c>
      <c r="AX1303" s="3" t="s">
        <v>12730</v>
      </c>
      <c r="AY1303" s="3" t="s">
        <v>12731</v>
      </c>
      <c r="AZ1303" s="3" t="s">
        <v>12732</v>
      </c>
      <c r="BA1303" s="3" t="s">
        <v>12732</v>
      </c>
      <c r="BB1303" s="3" t="s">
        <v>12733</v>
      </c>
      <c r="BC1303" s="3" t="s">
        <v>142</v>
      </c>
      <c r="BD1303" s="3" t="s">
        <v>68</v>
      </c>
      <c r="BE1303" s="3" t="s">
        <v>12734</v>
      </c>
      <c r="BF1303" s="3" t="s">
        <v>12733</v>
      </c>
      <c r="BG1303" s="3" t="s">
        <v>12735</v>
      </c>
    </row>
    <row r="1304" spans="1:59" ht="57" x14ac:dyDescent="0.45">
      <c r="A1304" s="2" t="s">
        <v>59</v>
      </c>
      <c r="B1304" s="2" t="s">
        <v>60</v>
      </c>
      <c r="C1304" s="2" t="s">
        <v>12736</v>
      </c>
      <c r="D1304" s="2" t="s">
        <v>12737</v>
      </c>
      <c r="E1304" s="2" t="s">
        <v>12738</v>
      </c>
      <c r="F1304" s="3" t="s">
        <v>88</v>
      </c>
      <c r="G1304" s="3" t="s">
        <v>61</v>
      </c>
      <c r="I1304" s="3" t="s">
        <v>62</v>
      </c>
      <c r="J1304" s="3" t="s">
        <v>62</v>
      </c>
      <c r="K1304" s="3" t="s">
        <v>63</v>
      </c>
      <c r="M1304" s="2" t="s">
        <v>12739</v>
      </c>
      <c r="N1304" s="3" t="s">
        <v>149</v>
      </c>
      <c r="P1304" s="3" t="s">
        <v>65</v>
      </c>
      <c r="Q1304" s="2" t="s">
        <v>12740</v>
      </c>
      <c r="R1304" s="3" t="s">
        <v>66</v>
      </c>
      <c r="S1304" s="4">
        <v>0</v>
      </c>
      <c r="T1304" s="4">
        <v>4</v>
      </c>
      <c r="V1304" s="5" t="s">
        <v>12741</v>
      </c>
      <c r="W1304" s="5" t="s">
        <v>67</v>
      </c>
      <c r="X1304" s="5" t="s">
        <v>67</v>
      </c>
      <c r="Y1304" s="4">
        <v>68</v>
      </c>
      <c r="Z1304" s="4">
        <v>4</v>
      </c>
      <c r="AA1304" s="4">
        <v>8</v>
      </c>
      <c r="AB1304" s="4">
        <v>1</v>
      </c>
      <c r="AC1304" s="4">
        <v>2</v>
      </c>
      <c r="AD1304" s="4">
        <v>18</v>
      </c>
      <c r="AE1304" s="4">
        <v>27</v>
      </c>
      <c r="AF1304" s="4">
        <v>0</v>
      </c>
      <c r="AG1304" s="4">
        <v>1</v>
      </c>
      <c r="AH1304" s="4">
        <v>16</v>
      </c>
      <c r="AI1304" s="4">
        <v>22</v>
      </c>
      <c r="AJ1304" s="4">
        <v>3</v>
      </c>
      <c r="AK1304" s="4">
        <v>6</v>
      </c>
      <c r="AL1304" s="4">
        <v>8</v>
      </c>
      <c r="AM1304" s="4">
        <v>13</v>
      </c>
      <c r="AN1304" s="4">
        <v>0</v>
      </c>
      <c r="AO1304" s="4">
        <v>0</v>
      </c>
      <c r="AP1304" s="4">
        <v>3</v>
      </c>
      <c r="AQ1304" s="4">
        <v>7</v>
      </c>
      <c r="AR1304" s="3" t="s">
        <v>62</v>
      </c>
      <c r="AS1304" s="3" t="s">
        <v>62</v>
      </c>
      <c r="AT1304" s="3" t="s">
        <v>61</v>
      </c>
      <c r="AU1304" s="6" t="str">
        <f>HYPERLINK("http://catalog.hathitrust.org/Record/010621060","HathiTrust Record")</f>
        <v>HathiTrust Record</v>
      </c>
      <c r="AV1304" s="6" t="str">
        <f>HYPERLINK("http://mcgill.on.worldcat.org/oclc/618984533","Catalog Record")</f>
        <v>Catalog Record</v>
      </c>
      <c r="AW1304" s="6" t="str">
        <f>HYPERLINK("http://www.worldcat.org/oclc/618984533","WorldCat Record")</f>
        <v>WorldCat Record</v>
      </c>
      <c r="AX1304" s="3" t="s">
        <v>12742</v>
      </c>
      <c r="AY1304" s="3" t="s">
        <v>12743</v>
      </c>
      <c r="AZ1304" s="3" t="s">
        <v>12744</v>
      </c>
      <c r="BA1304" s="3" t="s">
        <v>12744</v>
      </c>
      <c r="BB1304" s="3" t="s">
        <v>12745</v>
      </c>
      <c r="BC1304" s="3" t="s">
        <v>142</v>
      </c>
      <c r="BD1304" s="3" t="s">
        <v>68</v>
      </c>
      <c r="BE1304" s="3" t="s">
        <v>12746</v>
      </c>
      <c r="BF1304" s="3" t="s">
        <v>12745</v>
      </c>
      <c r="BG1304" s="3" t="s">
        <v>12747</v>
      </c>
    </row>
    <row r="1305" spans="1:59" ht="57" x14ac:dyDescent="0.45">
      <c r="A1305" s="2" t="s">
        <v>59</v>
      </c>
      <c r="B1305" s="2" t="s">
        <v>60</v>
      </c>
      <c r="C1305" s="2" t="s">
        <v>12736</v>
      </c>
      <c r="D1305" s="2" t="s">
        <v>12737</v>
      </c>
      <c r="E1305" s="2" t="s">
        <v>12738</v>
      </c>
      <c r="F1305" s="3" t="s">
        <v>90</v>
      </c>
      <c r="G1305" s="3" t="s">
        <v>61</v>
      </c>
      <c r="I1305" s="3" t="s">
        <v>62</v>
      </c>
      <c r="J1305" s="3" t="s">
        <v>62</v>
      </c>
      <c r="K1305" s="3" t="s">
        <v>63</v>
      </c>
      <c r="M1305" s="2" t="s">
        <v>12739</v>
      </c>
      <c r="N1305" s="3" t="s">
        <v>149</v>
      </c>
      <c r="P1305" s="3" t="s">
        <v>65</v>
      </c>
      <c r="Q1305" s="2" t="s">
        <v>12740</v>
      </c>
      <c r="R1305" s="3" t="s">
        <v>66</v>
      </c>
      <c r="S1305" s="4">
        <v>2</v>
      </c>
      <c r="T1305" s="4">
        <v>4</v>
      </c>
      <c r="U1305" s="5" t="s">
        <v>12748</v>
      </c>
      <c r="V1305" s="5" t="s">
        <v>12741</v>
      </c>
      <c r="W1305" s="5" t="s">
        <v>67</v>
      </c>
      <c r="X1305" s="5" t="s">
        <v>67</v>
      </c>
      <c r="Y1305" s="4">
        <v>68</v>
      </c>
      <c r="Z1305" s="4">
        <v>4</v>
      </c>
      <c r="AA1305" s="4">
        <v>8</v>
      </c>
      <c r="AB1305" s="4">
        <v>1</v>
      </c>
      <c r="AC1305" s="4">
        <v>2</v>
      </c>
      <c r="AD1305" s="4">
        <v>18</v>
      </c>
      <c r="AE1305" s="4">
        <v>27</v>
      </c>
      <c r="AF1305" s="4">
        <v>0</v>
      </c>
      <c r="AG1305" s="4">
        <v>1</v>
      </c>
      <c r="AH1305" s="4">
        <v>16</v>
      </c>
      <c r="AI1305" s="4">
        <v>22</v>
      </c>
      <c r="AJ1305" s="4">
        <v>3</v>
      </c>
      <c r="AK1305" s="4">
        <v>6</v>
      </c>
      <c r="AL1305" s="4">
        <v>8</v>
      </c>
      <c r="AM1305" s="4">
        <v>13</v>
      </c>
      <c r="AN1305" s="4">
        <v>0</v>
      </c>
      <c r="AO1305" s="4">
        <v>0</v>
      </c>
      <c r="AP1305" s="4">
        <v>3</v>
      </c>
      <c r="AQ1305" s="4">
        <v>7</v>
      </c>
      <c r="AR1305" s="3" t="s">
        <v>62</v>
      </c>
      <c r="AS1305" s="3" t="s">
        <v>62</v>
      </c>
      <c r="AT1305" s="3" t="s">
        <v>61</v>
      </c>
      <c r="AU1305" s="6" t="str">
        <f>HYPERLINK("http://catalog.hathitrust.org/Record/010621060","HathiTrust Record")</f>
        <v>HathiTrust Record</v>
      </c>
      <c r="AV1305" s="6" t="str">
        <f>HYPERLINK("http://mcgill.on.worldcat.org/oclc/618984533","Catalog Record")</f>
        <v>Catalog Record</v>
      </c>
      <c r="AW1305" s="6" t="str">
        <f>HYPERLINK("http://www.worldcat.org/oclc/618984533","WorldCat Record")</f>
        <v>WorldCat Record</v>
      </c>
      <c r="AX1305" s="3" t="s">
        <v>12742</v>
      </c>
      <c r="AY1305" s="3" t="s">
        <v>12743</v>
      </c>
      <c r="AZ1305" s="3" t="s">
        <v>12744</v>
      </c>
      <c r="BA1305" s="3" t="s">
        <v>12744</v>
      </c>
      <c r="BB1305" s="3" t="s">
        <v>12749</v>
      </c>
      <c r="BC1305" s="3" t="s">
        <v>142</v>
      </c>
      <c r="BD1305" s="3" t="s">
        <v>68</v>
      </c>
      <c r="BE1305" s="3" t="s">
        <v>12746</v>
      </c>
      <c r="BF1305" s="3" t="s">
        <v>12749</v>
      </c>
      <c r="BG1305" s="3" t="s">
        <v>12750</v>
      </c>
    </row>
    <row r="1306" spans="1:59" ht="57" x14ac:dyDescent="0.45">
      <c r="A1306" s="2" t="s">
        <v>59</v>
      </c>
      <c r="B1306" s="2" t="s">
        <v>60</v>
      </c>
      <c r="C1306" s="2" t="s">
        <v>12736</v>
      </c>
      <c r="D1306" s="2" t="s">
        <v>12737</v>
      </c>
      <c r="E1306" s="2" t="s">
        <v>12738</v>
      </c>
      <c r="F1306" s="3" t="s">
        <v>86</v>
      </c>
      <c r="G1306" s="3" t="s">
        <v>61</v>
      </c>
      <c r="I1306" s="3" t="s">
        <v>62</v>
      </c>
      <c r="J1306" s="3" t="s">
        <v>62</v>
      </c>
      <c r="K1306" s="3" t="s">
        <v>63</v>
      </c>
      <c r="M1306" s="2" t="s">
        <v>12739</v>
      </c>
      <c r="N1306" s="3" t="s">
        <v>149</v>
      </c>
      <c r="P1306" s="3" t="s">
        <v>65</v>
      </c>
      <c r="Q1306" s="2" t="s">
        <v>12740</v>
      </c>
      <c r="R1306" s="3" t="s">
        <v>66</v>
      </c>
      <c r="S1306" s="4">
        <v>1</v>
      </c>
      <c r="T1306" s="4">
        <v>4</v>
      </c>
      <c r="U1306" s="5" t="s">
        <v>12741</v>
      </c>
      <c r="V1306" s="5" t="s">
        <v>12741</v>
      </c>
      <c r="W1306" s="5" t="s">
        <v>67</v>
      </c>
      <c r="X1306" s="5" t="s">
        <v>67</v>
      </c>
      <c r="Y1306" s="4">
        <v>68</v>
      </c>
      <c r="Z1306" s="4">
        <v>4</v>
      </c>
      <c r="AA1306" s="4">
        <v>8</v>
      </c>
      <c r="AB1306" s="4">
        <v>1</v>
      </c>
      <c r="AC1306" s="4">
        <v>2</v>
      </c>
      <c r="AD1306" s="4">
        <v>18</v>
      </c>
      <c r="AE1306" s="4">
        <v>27</v>
      </c>
      <c r="AF1306" s="4">
        <v>0</v>
      </c>
      <c r="AG1306" s="4">
        <v>1</v>
      </c>
      <c r="AH1306" s="4">
        <v>16</v>
      </c>
      <c r="AI1306" s="4">
        <v>22</v>
      </c>
      <c r="AJ1306" s="4">
        <v>3</v>
      </c>
      <c r="AK1306" s="4">
        <v>6</v>
      </c>
      <c r="AL1306" s="4">
        <v>8</v>
      </c>
      <c r="AM1306" s="4">
        <v>13</v>
      </c>
      <c r="AN1306" s="4">
        <v>0</v>
      </c>
      <c r="AO1306" s="4">
        <v>0</v>
      </c>
      <c r="AP1306" s="4">
        <v>3</v>
      </c>
      <c r="AQ1306" s="4">
        <v>7</v>
      </c>
      <c r="AR1306" s="3" t="s">
        <v>62</v>
      </c>
      <c r="AS1306" s="3" t="s">
        <v>62</v>
      </c>
      <c r="AT1306" s="3" t="s">
        <v>61</v>
      </c>
      <c r="AU1306" s="6" t="str">
        <f>HYPERLINK("http://catalog.hathitrust.org/Record/010621060","HathiTrust Record")</f>
        <v>HathiTrust Record</v>
      </c>
      <c r="AV1306" s="6" t="str">
        <f>HYPERLINK("http://mcgill.on.worldcat.org/oclc/618984533","Catalog Record")</f>
        <v>Catalog Record</v>
      </c>
      <c r="AW1306" s="6" t="str">
        <f>HYPERLINK("http://www.worldcat.org/oclc/618984533","WorldCat Record")</f>
        <v>WorldCat Record</v>
      </c>
      <c r="AX1306" s="3" t="s">
        <v>12742</v>
      </c>
      <c r="AY1306" s="3" t="s">
        <v>12743</v>
      </c>
      <c r="AZ1306" s="3" t="s">
        <v>12744</v>
      </c>
      <c r="BA1306" s="3" t="s">
        <v>12744</v>
      </c>
      <c r="BB1306" s="3" t="s">
        <v>12751</v>
      </c>
      <c r="BC1306" s="3" t="s">
        <v>142</v>
      </c>
      <c r="BD1306" s="3" t="s">
        <v>68</v>
      </c>
      <c r="BE1306" s="3" t="s">
        <v>12746</v>
      </c>
      <c r="BF1306" s="3" t="s">
        <v>12751</v>
      </c>
      <c r="BG1306" s="3" t="s">
        <v>12752</v>
      </c>
    </row>
    <row r="1307" spans="1:59" ht="57" x14ac:dyDescent="0.45">
      <c r="A1307" s="2" t="s">
        <v>59</v>
      </c>
      <c r="B1307" s="2" t="s">
        <v>60</v>
      </c>
      <c r="C1307" s="2" t="s">
        <v>12736</v>
      </c>
      <c r="D1307" s="2" t="s">
        <v>12737</v>
      </c>
      <c r="E1307" s="2" t="s">
        <v>12738</v>
      </c>
      <c r="F1307" s="3" t="s">
        <v>87</v>
      </c>
      <c r="G1307" s="3" t="s">
        <v>61</v>
      </c>
      <c r="I1307" s="3" t="s">
        <v>62</v>
      </c>
      <c r="J1307" s="3" t="s">
        <v>62</v>
      </c>
      <c r="K1307" s="3" t="s">
        <v>63</v>
      </c>
      <c r="M1307" s="2" t="s">
        <v>12739</v>
      </c>
      <c r="N1307" s="3" t="s">
        <v>149</v>
      </c>
      <c r="P1307" s="3" t="s">
        <v>65</v>
      </c>
      <c r="Q1307" s="2" t="s">
        <v>12740</v>
      </c>
      <c r="R1307" s="3" t="s">
        <v>66</v>
      </c>
      <c r="S1307" s="4">
        <v>1</v>
      </c>
      <c r="T1307" s="4">
        <v>4</v>
      </c>
      <c r="U1307" s="5" t="s">
        <v>12748</v>
      </c>
      <c r="V1307" s="5" t="s">
        <v>12741</v>
      </c>
      <c r="W1307" s="5" t="s">
        <v>67</v>
      </c>
      <c r="X1307" s="5" t="s">
        <v>67</v>
      </c>
      <c r="Y1307" s="4">
        <v>68</v>
      </c>
      <c r="Z1307" s="4">
        <v>4</v>
      </c>
      <c r="AA1307" s="4">
        <v>8</v>
      </c>
      <c r="AB1307" s="4">
        <v>1</v>
      </c>
      <c r="AC1307" s="4">
        <v>2</v>
      </c>
      <c r="AD1307" s="4">
        <v>18</v>
      </c>
      <c r="AE1307" s="4">
        <v>27</v>
      </c>
      <c r="AF1307" s="4">
        <v>0</v>
      </c>
      <c r="AG1307" s="4">
        <v>1</v>
      </c>
      <c r="AH1307" s="4">
        <v>16</v>
      </c>
      <c r="AI1307" s="4">
        <v>22</v>
      </c>
      <c r="AJ1307" s="4">
        <v>3</v>
      </c>
      <c r="AK1307" s="4">
        <v>6</v>
      </c>
      <c r="AL1307" s="4">
        <v>8</v>
      </c>
      <c r="AM1307" s="4">
        <v>13</v>
      </c>
      <c r="AN1307" s="4">
        <v>0</v>
      </c>
      <c r="AO1307" s="4">
        <v>0</v>
      </c>
      <c r="AP1307" s="4">
        <v>3</v>
      </c>
      <c r="AQ1307" s="4">
        <v>7</v>
      </c>
      <c r="AR1307" s="3" t="s">
        <v>62</v>
      </c>
      <c r="AS1307" s="3" t="s">
        <v>62</v>
      </c>
      <c r="AT1307" s="3" t="s">
        <v>61</v>
      </c>
      <c r="AU1307" s="6" t="str">
        <f>HYPERLINK("http://catalog.hathitrust.org/Record/010621060","HathiTrust Record")</f>
        <v>HathiTrust Record</v>
      </c>
      <c r="AV1307" s="6" t="str">
        <f>HYPERLINK("http://mcgill.on.worldcat.org/oclc/618984533","Catalog Record")</f>
        <v>Catalog Record</v>
      </c>
      <c r="AW1307" s="6" t="str">
        <f>HYPERLINK("http://www.worldcat.org/oclc/618984533","WorldCat Record")</f>
        <v>WorldCat Record</v>
      </c>
      <c r="AX1307" s="3" t="s">
        <v>12742</v>
      </c>
      <c r="AY1307" s="3" t="s">
        <v>12743</v>
      </c>
      <c r="AZ1307" s="3" t="s">
        <v>12744</v>
      </c>
      <c r="BA1307" s="3" t="s">
        <v>12744</v>
      </c>
      <c r="BB1307" s="3" t="s">
        <v>12753</v>
      </c>
      <c r="BC1307" s="3" t="s">
        <v>142</v>
      </c>
      <c r="BD1307" s="3" t="s">
        <v>68</v>
      </c>
      <c r="BE1307" s="3" t="s">
        <v>12746</v>
      </c>
      <c r="BF1307" s="3" t="s">
        <v>12753</v>
      </c>
      <c r="BG1307" s="3" t="s">
        <v>12754</v>
      </c>
    </row>
    <row r="1308" spans="1:59" ht="57" x14ac:dyDescent="0.45">
      <c r="A1308" s="2" t="s">
        <v>59</v>
      </c>
      <c r="B1308" s="2" t="s">
        <v>60</v>
      </c>
      <c r="C1308" s="2" t="s">
        <v>12755</v>
      </c>
      <c r="D1308" s="2" t="s">
        <v>12756</v>
      </c>
      <c r="E1308" s="2" t="s">
        <v>12757</v>
      </c>
      <c r="G1308" s="3" t="s">
        <v>62</v>
      </c>
      <c r="I1308" s="3" t="s">
        <v>62</v>
      </c>
      <c r="J1308" s="3" t="s">
        <v>62</v>
      </c>
      <c r="K1308" s="3" t="s">
        <v>63</v>
      </c>
      <c r="M1308" s="2" t="s">
        <v>12758</v>
      </c>
      <c r="N1308" s="3" t="s">
        <v>1239</v>
      </c>
      <c r="O1308" s="2" t="s">
        <v>906</v>
      </c>
      <c r="P1308" s="3" t="s">
        <v>65</v>
      </c>
      <c r="R1308" s="3" t="s">
        <v>66</v>
      </c>
      <c r="S1308" s="4">
        <v>20</v>
      </c>
      <c r="T1308" s="4">
        <v>20</v>
      </c>
      <c r="U1308" s="5" t="s">
        <v>12703</v>
      </c>
      <c r="V1308" s="5" t="s">
        <v>12703</v>
      </c>
      <c r="W1308" s="5" t="s">
        <v>67</v>
      </c>
      <c r="X1308" s="5" t="s">
        <v>67</v>
      </c>
      <c r="Y1308" s="4">
        <v>192</v>
      </c>
      <c r="Z1308" s="4">
        <v>12</v>
      </c>
      <c r="AA1308" s="4">
        <v>32</v>
      </c>
      <c r="AB1308" s="4">
        <v>1</v>
      </c>
      <c r="AC1308" s="4">
        <v>8</v>
      </c>
      <c r="AD1308" s="4">
        <v>41</v>
      </c>
      <c r="AE1308" s="4">
        <v>102</v>
      </c>
      <c r="AF1308" s="4">
        <v>0</v>
      </c>
      <c r="AG1308" s="4">
        <v>5</v>
      </c>
      <c r="AH1308" s="4">
        <v>38</v>
      </c>
      <c r="AI1308" s="4">
        <v>87</v>
      </c>
      <c r="AJ1308" s="4">
        <v>8</v>
      </c>
      <c r="AK1308" s="4">
        <v>23</v>
      </c>
      <c r="AL1308" s="4">
        <v>13</v>
      </c>
      <c r="AM1308" s="4">
        <v>41</v>
      </c>
      <c r="AN1308" s="4">
        <v>0</v>
      </c>
      <c r="AO1308" s="4">
        <v>0</v>
      </c>
      <c r="AP1308" s="4">
        <v>11</v>
      </c>
      <c r="AQ1308" s="4">
        <v>27</v>
      </c>
      <c r="AR1308" s="3" t="s">
        <v>62</v>
      </c>
      <c r="AS1308" s="3" t="s">
        <v>62</v>
      </c>
      <c r="AT1308" s="3" t="s">
        <v>62</v>
      </c>
      <c r="AV1308" s="6" t="str">
        <f>HYPERLINK("http://mcgill.on.worldcat.org/oclc/25025532","Catalog Record")</f>
        <v>Catalog Record</v>
      </c>
      <c r="AW1308" s="6" t="str">
        <f>HYPERLINK("http://www.worldcat.org/oclc/25025532","WorldCat Record")</f>
        <v>WorldCat Record</v>
      </c>
      <c r="AX1308" s="3" t="s">
        <v>12759</v>
      </c>
      <c r="AY1308" s="3" t="s">
        <v>12760</v>
      </c>
      <c r="AZ1308" s="3" t="s">
        <v>12761</v>
      </c>
      <c r="BA1308" s="3" t="s">
        <v>12761</v>
      </c>
      <c r="BB1308" s="3" t="s">
        <v>12762</v>
      </c>
      <c r="BC1308" s="3" t="s">
        <v>142</v>
      </c>
      <c r="BD1308" s="3" t="s">
        <v>68</v>
      </c>
      <c r="BE1308" s="3" t="s">
        <v>12763</v>
      </c>
      <c r="BF1308" s="3" t="s">
        <v>12762</v>
      </c>
      <c r="BG1308" s="3" t="s">
        <v>12764</v>
      </c>
    </row>
    <row r="1309" spans="1:59" ht="57" x14ac:dyDescent="0.45">
      <c r="A1309" s="2" t="s">
        <v>59</v>
      </c>
      <c r="B1309" s="2" t="s">
        <v>60</v>
      </c>
      <c r="C1309" s="2" t="s">
        <v>12765</v>
      </c>
      <c r="D1309" s="2" t="s">
        <v>12766</v>
      </c>
      <c r="E1309" s="2" t="s">
        <v>12767</v>
      </c>
      <c r="G1309" s="3" t="s">
        <v>62</v>
      </c>
      <c r="I1309" s="3" t="s">
        <v>62</v>
      </c>
      <c r="J1309" s="3" t="s">
        <v>62</v>
      </c>
      <c r="K1309" s="3" t="s">
        <v>63</v>
      </c>
      <c r="M1309" s="2" t="s">
        <v>12768</v>
      </c>
      <c r="N1309" s="3" t="s">
        <v>1478</v>
      </c>
      <c r="P1309" s="3" t="s">
        <v>65</v>
      </c>
      <c r="R1309" s="3" t="s">
        <v>66</v>
      </c>
      <c r="S1309" s="4">
        <v>21</v>
      </c>
      <c r="T1309" s="4">
        <v>21</v>
      </c>
      <c r="U1309" s="5" t="s">
        <v>12769</v>
      </c>
      <c r="V1309" s="5" t="s">
        <v>12769</v>
      </c>
      <c r="W1309" s="5" t="s">
        <v>67</v>
      </c>
      <c r="X1309" s="5" t="s">
        <v>67</v>
      </c>
      <c r="Y1309" s="4">
        <v>348</v>
      </c>
      <c r="Z1309" s="4">
        <v>19</v>
      </c>
      <c r="AA1309" s="4">
        <v>24</v>
      </c>
      <c r="AB1309" s="4">
        <v>3</v>
      </c>
      <c r="AC1309" s="4">
        <v>8</v>
      </c>
      <c r="AD1309" s="4">
        <v>75</v>
      </c>
      <c r="AE1309" s="4">
        <v>78</v>
      </c>
      <c r="AF1309" s="4">
        <v>2</v>
      </c>
      <c r="AG1309" s="4">
        <v>5</v>
      </c>
      <c r="AH1309" s="4">
        <v>66</v>
      </c>
      <c r="AI1309" s="4">
        <v>67</v>
      </c>
      <c r="AJ1309" s="4">
        <v>12</v>
      </c>
      <c r="AK1309" s="4">
        <v>15</v>
      </c>
      <c r="AL1309" s="4">
        <v>40</v>
      </c>
      <c r="AM1309" s="4">
        <v>40</v>
      </c>
      <c r="AN1309" s="4">
        <v>0</v>
      </c>
      <c r="AO1309" s="4">
        <v>0</v>
      </c>
      <c r="AP1309" s="4">
        <v>15</v>
      </c>
      <c r="AQ1309" s="4">
        <v>17</v>
      </c>
      <c r="AR1309" s="3" t="s">
        <v>62</v>
      </c>
      <c r="AS1309" s="3" t="s">
        <v>62</v>
      </c>
      <c r="AT1309" s="3" t="s">
        <v>62</v>
      </c>
      <c r="AV1309" s="6" t="str">
        <f>HYPERLINK("http://mcgill.on.worldcat.org/oclc/34553534","Catalog Record")</f>
        <v>Catalog Record</v>
      </c>
      <c r="AW1309" s="6" t="str">
        <f>HYPERLINK("http://www.worldcat.org/oclc/34553534","WorldCat Record")</f>
        <v>WorldCat Record</v>
      </c>
      <c r="AX1309" s="3" t="s">
        <v>12770</v>
      </c>
      <c r="AY1309" s="3" t="s">
        <v>12771</v>
      </c>
      <c r="AZ1309" s="3" t="s">
        <v>12772</v>
      </c>
      <c r="BA1309" s="3" t="s">
        <v>12772</v>
      </c>
      <c r="BB1309" s="3" t="s">
        <v>12773</v>
      </c>
      <c r="BC1309" s="3" t="s">
        <v>142</v>
      </c>
      <c r="BD1309" s="3" t="s">
        <v>68</v>
      </c>
      <c r="BE1309" s="3" t="s">
        <v>12774</v>
      </c>
      <c r="BF1309" s="3" t="s">
        <v>12773</v>
      </c>
      <c r="BG1309" s="3" t="s">
        <v>12775</v>
      </c>
    </row>
    <row r="1310" spans="1:59" ht="57" x14ac:dyDescent="0.45">
      <c r="A1310" s="2" t="s">
        <v>59</v>
      </c>
      <c r="B1310" s="2" t="s">
        <v>60</v>
      </c>
      <c r="C1310" s="2" t="s">
        <v>12776</v>
      </c>
      <c r="D1310" s="2" t="s">
        <v>12777</v>
      </c>
      <c r="E1310" s="2" t="s">
        <v>12778</v>
      </c>
      <c r="G1310" s="3" t="s">
        <v>62</v>
      </c>
      <c r="I1310" s="3" t="s">
        <v>62</v>
      </c>
      <c r="J1310" s="3" t="s">
        <v>62</v>
      </c>
      <c r="K1310" s="3" t="s">
        <v>63</v>
      </c>
      <c r="M1310" s="2" t="s">
        <v>12779</v>
      </c>
      <c r="N1310" s="3" t="s">
        <v>1437</v>
      </c>
      <c r="P1310" s="3" t="s">
        <v>65</v>
      </c>
      <c r="R1310" s="3" t="s">
        <v>66</v>
      </c>
      <c r="S1310" s="4">
        <v>7</v>
      </c>
      <c r="T1310" s="4">
        <v>7</v>
      </c>
      <c r="U1310" s="5" t="s">
        <v>12780</v>
      </c>
      <c r="V1310" s="5" t="s">
        <v>12780</v>
      </c>
      <c r="W1310" s="5" t="s">
        <v>67</v>
      </c>
      <c r="X1310" s="5" t="s">
        <v>67</v>
      </c>
      <c r="Y1310" s="4">
        <v>131</v>
      </c>
      <c r="Z1310" s="4">
        <v>5</v>
      </c>
      <c r="AA1310" s="4">
        <v>5</v>
      </c>
      <c r="AB1310" s="4">
        <v>2</v>
      </c>
      <c r="AC1310" s="4">
        <v>2</v>
      </c>
      <c r="AD1310" s="4">
        <v>41</v>
      </c>
      <c r="AE1310" s="4">
        <v>41</v>
      </c>
      <c r="AF1310" s="4">
        <v>1</v>
      </c>
      <c r="AG1310" s="4">
        <v>1</v>
      </c>
      <c r="AH1310" s="4">
        <v>35</v>
      </c>
      <c r="AI1310" s="4">
        <v>35</v>
      </c>
      <c r="AJ1310" s="4">
        <v>2</v>
      </c>
      <c r="AK1310" s="4">
        <v>2</v>
      </c>
      <c r="AL1310" s="4">
        <v>23</v>
      </c>
      <c r="AM1310" s="4">
        <v>23</v>
      </c>
      <c r="AN1310" s="4">
        <v>0</v>
      </c>
      <c r="AO1310" s="4">
        <v>0</v>
      </c>
      <c r="AP1310" s="4">
        <v>4</v>
      </c>
      <c r="AQ1310" s="4">
        <v>4</v>
      </c>
      <c r="AR1310" s="3" t="s">
        <v>62</v>
      </c>
      <c r="AS1310" s="3" t="s">
        <v>62</v>
      </c>
      <c r="AT1310" s="3" t="s">
        <v>62</v>
      </c>
      <c r="AV1310" s="6" t="str">
        <f>HYPERLINK("http://mcgill.on.worldcat.org/oclc/38092136","Catalog Record")</f>
        <v>Catalog Record</v>
      </c>
      <c r="AW1310" s="6" t="str">
        <f>HYPERLINK("http://www.worldcat.org/oclc/38092136","WorldCat Record")</f>
        <v>WorldCat Record</v>
      </c>
      <c r="AX1310" s="3" t="s">
        <v>12781</v>
      </c>
      <c r="AY1310" s="3" t="s">
        <v>12782</v>
      </c>
      <c r="AZ1310" s="3" t="s">
        <v>12783</v>
      </c>
      <c r="BA1310" s="3" t="s">
        <v>12783</v>
      </c>
      <c r="BB1310" s="3" t="s">
        <v>12784</v>
      </c>
      <c r="BC1310" s="3" t="s">
        <v>142</v>
      </c>
      <c r="BD1310" s="3" t="s">
        <v>68</v>
      </c>
      <c r="BE1310" s="3" t="s">
        <v>12785</v>
      </c>
      <c r="BF1310" s="3" t="s">
        <v>12784</v>
      </c>
      <c r="BG1310" s="3" t="s">
        <v>12786</v>
      </c>
    </row>
    <row r="1311" spans="1:59" ht="57" x14ac:dyDescent="0.45">
      <c r="A1311" s="2" t="s">
        <v>59</v>
      </c>
      <c r="B1311" s="2" t="s">
        <v>60</v>
      </c>
      <c r="C1311" s="2" t="s">
        <v>12787</v>
      </c>
      <c r="D1311" s="2" t="s">
        <v>12788</v>
      </c>
      <c r="E1311" s="2" t="s">
        <v>12789</v>
      </c>
      <c r="G1311" s="3" t="s">
        <v>62</v>
      </c>
      <c r="I1311" s="3" t="s">
        <v>62</v>
      </c>
      <c r="J1311" s="3" t="s">
        <v>62</v>
      </c>
      <c r="K1311" s="3" t="s">
        <v>63</v>
      </c>
      <c r="M1311" s="2" t="s">
        <v>12790</v>
      </c>
      <c r="N1311" s="3" t="s">
        <v>116</v>
      </c>
      <c r="P1311" s="3" t="s">
        <v>110</v>
      </c>
      <c r="R1311" s="3" t="s">
        <v>66</v>
      </c>
      <c r="S1311" s="4">
        <v>0</v>
      </c>
      <c r="T1311" s="4">
        <v>0</v>
      </c>
      <c r="W1311" s="5" t="s">
        <v>67</v>
      </c>
      <c r="X1311" s="5" t="s">
        <v>67</v>
      </c>
      <c r="Y1311" s="4">
        <v>41</v>
      </c>
      <c r="Z1311" s="4">
        <v>25</v>
      </c>
      <c r="AA1311" s="4">
        <v>99</v>
      </c>
      <c r="AB1311" s="4">
        <v>21</v>
      </c>
      <c r="AC1311" s="4">
        <v>28</v>
      </c>
      <c r="AD1311" s="4">
        <v>10</v>
      </c>
      <c r="AE1311" s="4">
        <v>92</v>
      </c>
      <c r="AF1311" s="4">
        <v>6</v>
      </c>
      <c r="AG1311" s="4">
        <v>9</v>
      </c>
      <c r="AH1311" s="4">
        <v>3</v>
      </c>
      <c r="AI1311" s="4">
        <v>53</v>
      </c>
      <c r="AJ1311" s="4">
        <v>6</v>
      </c>
      <c r="AK1311" s="4">
        <v>22</v>
      </c>
      <c r="AL1311" s="4">
        <v>0</v>
      </c>
      <c r="AM1311" s="4">
        <v>26</v>
      </c>
      <c r="AN1311" s="4">
        <v>0</v>
      </c>
      <c r="AO1311" s="4">
        <v>0</v>
      </c>
      <c r="AP1311" s="4">
        <v>8</v>
      </c>
      <c r="AQ1311" s="4">
        <v>47</v>
      </c>
      <c r="AR1311" s="3" t="s">
        <v>61</v>
      </c>
      <c r="AS1311" s="3" t="s">
        <v>62</v>
      </c>
      <c r="AT1311" s="3" t="s">
        <v>62</v>
      </c>
      <c r="AV1311" s="6" t="str">
        <f>HYPERLINK("http://mcgill.on.worldcat.org/oclc/820618249","Catalog Record")</f>
        <v>Catalog Record</v>
      </c>
      <c r="AW1311" s="6" t="str">
        <f>HYPERLINK("http://www.worldcat.org/oclc/820618249","WorldCat Record")</f>
        <v>WorldCat Record</v>
      </c>
      <c r="AX1311" s="3" t="s">
        <v>12791</v>
      </c>
      <c r="AY1311" s="3" t="s">
        <v>12792</v>
      </c>
      <c r="AZ1311" s="3" t="s">
        <v>12793</v>
      </c>
      <c r="BA1311" s="3" t="s">
        <v>12793</v>
      </c>
      <c r="BB1311" s="3" t="s">
        <v>12794</v>
      </c>
      <c r="BC1311" s="3" t="s">
        <v>142</v>
      </c>
      <c r="BD1311" s="3" t="s">
        <v>68</v>
      </c>
      <c r="BE1311" s="3" t="s">
        <v>12795</v>
      </c>
      <c r="BF1311" s="3" t="s">
        <v>12794</v>
      </c>
      <c r="BG1311" s="3" t="s">
        <v>12796</v>
      </c>
    </row>
    <row r="1312" spans="1:59" ht="57" x14ac:dyDescent="0.45">
      <c r="A1312" s="2" t="s">
        <v>59</v>
      </c>
      <c r="B1312" s="2" t="s">
        <v>60</v>
      </c>
      <c r="C1312" s="2" t="s">
        <v>12797</v>
      </c>
      <c r="D1312" s="2" t="s">
        <v>12798</v>
      </c>
      <c r="E1312" s="2" t="s">
        <v>12799</v>
      </c>
      <c r="G1312" s="3" t="s">
        <v>62</v>
      </c>
      <c r="I1312" s="3" t="s">
        <v>62</v>
      </c>
      <c r="J1312" s="3" t="s">
        <v>62</v>
      </c>
      <c r="K1312" s="3" t="s">
        <v>63</v>
      </c>
      <c r="M1312" s="2" t="s">
        <v>12800</v>
      </c>
      <c r="N1312" s="3" t="s">
        <v>149</v>
      </c>
      <c r="P1312" s="3" t="s">
        <v>65</v>
      </c>
      <c r="R1312" s="3" t="s">
        <v>66</v>
      </c>
      <c r="S1312" s="4">
        <v>5</v>
      </c>
      <c r="T1312" s="4">
        <v>5</v>
      </c>
      <c r="U1312" s="5" t="s">
        <v>519</v>
      </c>
      <c r="V1312" s="5" t="s">
        <v>519</v>
      </c>
      <c r="W1312" s="5" t="s">
        <v>67</v>
      </c>
      <c r="X1312" s="5" t="s">
        <v>67</v>
      </c>
      <c r="Y1312" s="4">
        <v>166</v>
      </c>
      <c r="Z1312" s="4">
        <v>18</v>
      </c>
      <c r="AA1312" s="4">
        <v>27</v>
      </c>
      <c r="AB1312" s="4">
        <v>2</v>
      </c>
      <c r="AC1312" s="4">
        <v>6</v>
      </c>
      <c r="AD1312" s="4">
        <v>70</v>
      </c>
      <c r="AE1312" s="4">
        <v>79</v>
      </c>
      <c r="AF1312" s="4">
        <v>1</v>
      </c>
      <c r="AG1312" s="4">
        <v>2</v>
      </c>
      <c r="AH1312" s="4">
        <v>64</v>
      </c>
      <c r="AI1312" s="4">
        <v>70</v>
      </c>
      <c r="AJ1312" s="4">
        <v>14</v>
      </c>
      <c r="AK1312" s="4">
        <v>17</v>
      </c>
      <c r="AL1312" s="4">
        <v>36</v>
      </c>
      <c r="AM1312" s="4">
        <v>39</v>
      </c>
      <c r="AN1312" s="4">
        <v>0</v>
      </c>
      <c r="AO1312" s="4">
        <v>0</v>
      </c>
      <c r="AP1312" s="4">
        <v>15</v>
      </c>
      <c r="AQ1312" s="4">
        <v>18</v>
      </c>
      <c r="AR1312" s="3" t="s">
        <v>62</v>
      </c>
      <c r="AS1312" s="3" t="s">
        <v>62</v>
      </c>
      <c r="AT1312" s="3" t="s">
        <v>62</v>
      </c>
      <c r="AV1312" s="6" t="str">
        <f>HYPERLINK("http://mcgill.on.worldcat.org/oclc/555673125","Catalog Record")</f>
        <v>Catalog Record</v>
      </c>
      <c r="AW1312" s="6" t="str">
        <f>HYPERLINK("http://www.worldcat.org/oclc/555673125","WorldCat Record")</f>
        <v>WorldCat Record</v>
      </c>
      <c r="AX1312" s="3" t="s">
        <v>12801</v>
      </c>
      <c r="AY1312" s="3" t="s">
        <v>12802</v>
      </c>
      <c r="AZ1312" s="3" t="s">
        <v>12803</v>
      </c>
      <c r="BA1312" s="3" t="s">
        <v>12803</v>
      </c>
      <c r="BB1312" s="3" t="s">
        <v>12804</v>
      </c>
      <c r="BC1312" s="3" t="s">
        <v>142</v>
      </c>
      <c r="BD1312" s="3" t="s">
        <v>68</v>
      </c>
      <c r="BE1312" s="3" t="s">
        <v>12805</v>
      </c>
      <c r="BF1312" s="3" t="s">
        <v>12804</v>
      </c>
      <c r="BG1312" s="3" t="s">
        <v>12806</v>
      </c>
    </row>
    <row r="1313" spans="1:59" ht="57" x14ac:dyDescent="0.45">
      <c r="A1313" s="2" t="s">
        <v>59</v>
      </c>
      <c r="B1313" s="2" t="s">
        <v>60</v>
      </c>
      <c r="C1313" s="2" t="s">
        <v>12807</v>
      </c>
      <c r="D1313" s="2" t="s">
        <v>12808</v>
      </c>
      <c r="E1313" s="2" t="s">
        <v>12809</v>
      </c>
      <c r="G1313" s="3" t="s">
        <v>62</v>
      </c>
      <c r="I1313" s="3" t="s">
        <v>62</v>
      </c>
      <c r="J1313" s="3" t="s">
        <v>62</v>
      </c>
      <c r="K1313" s="3" t="s">
        <v>63</v>
      </c>
      <c r="M1313" s="2" t="s">
        <v>12810</v>
      </c>
      <c r="N1313" s="3" t="s">
        <v>1688</v>
      </c>
      <c r="P1313" s="3" t="s">
        <v>65</v>
      </c>
      <c r="Q1313" s="2" t="s">
        <v>12811</v>
      </c>
      <c r="R1313" s="3" t="s">
        <v>66</v>
      </c>
      <c r="S1313" s="4">
        <v>1</v>
      </c>
      <c r="T1313" s="4">
        <v>1</v>
      </c>
      <c r="U1313" s="5" t="s">
        <v>12812</v>
      </c>
      <c r="V1313" s="5" t="s">
        <v>12812</v>
      </c>
      <c r="W1313" s="5" t="s">
        <v>67</v>
      </c>
      <c r="X1313" s="5" t="s">
        <v>67</v>
      </c>
      <c r="Y1313" s="4">
        <v>79</v>
      </c>
      <c r="Z1313" s="4">
        <v>10</v>
      </c>
      <c r="AA1313" s="4">
        <v>12</v>
      </c>
      <c r="AB1313" s="4">
        <v>1</v>
      </c>
      <c r="AC1313" s="4">
        <v>3</v>
      </c>
      <c r="AD1313" s="4">
        <v>41</v>
      </c>
      <c r="AE1313" s="4">
        <v>41</v>
      </c>
      <c r="AF1313" s="4">
        <v>0</v>
      </c>
      <c r="AG1313" s="4">
        <v>0</v>
      </c>
      <c r="AH1313" s="4">
        <v>39</v>
      </c>
      <c r="AI1313" s="4">
        <v>39</v>
      </c>
      <c r="AJ1313" s="4">
        <v>7</v>
      </c>
      <c r="AK1313" s="4">
        <v>7</v>
      </c>
      <c r="AL1313" s="4">
        <v>22</v>
      </c>
      <c r="AM1313" s="4">
        <v>22</v>
      </c>
      <c r="AN1313" s="4">
        <v>0</v>
      </c>
      <c r="AO1313" s="4">
        <v>0</v>
      </c>
      <c r="AP1313" s="4">
        <v>8</v>
      </c>
      <c r="AQ1313" s="4">
        <v>8</v>
      </c>
      <c r="AR1313" s="3" t="s">
        <v>62</v>
      </c>
      <c r="AS1313" s="3" t="s">
        <v>62</v>
      </c>
      <c r="AT1313" s="3" t="s">
        <v>62</v>
      </c>
      <c r="AV1313" s="6" t="str">
        <f>HYPERLINK("http://mcgill.on.worldcat.org/oclc/851417629","Catalog Record")</f>
        <v>Catalog Record</v>
      </c>
      <c r="AW1313" s="6" t="str">
        <f>HYPERLINK("http://www.worldcat.org/oclc/851417629","WorldCat Record")</f>
        <v>WorldCat Record</v>
      </c>
      <c r="AX1313" s="3" t="s">
        <v>12813</v>
      </c>
      <c r="AY1313" s="3" t="s">
        <v>12814</v>
      </c>
      <c r="AZ1313" s="3" t="s">
        <v>12815</v>
      </c>
      <c r="BA1313" s="3" t="s">
        <v>12815</v>
      </c>
      <c r="BB1313" s="3" t="s">
        <v>12816</v>
      </c>
      <c r="BC1313" s="3" t="s">
        <v>142</v>
      </c>
      <c r="BD1313" s="3" t="s">
        <v>68</v>
      </c>
      <c r="BE1313" s="3" t="s">
        <v>12817</v>
      </c>
      <c r="BF1313" s="3" t="s">
        <v>12816</v>
      </c>
      <c r="BG1313" s="3" t="s">
        <v>12818</v>
      </c>
    </row>
    <row r="1314" spans="1:59" ht="57" x14ac:dyDescent="0.45">
      <c r="A1314" s="2" t="s">
        <v>59</v>
      </c>
      <c r="B1314" s="2" t="s">
        <v>60</v>
      </c>
      <c r="C1314" s="2" t="s">
        <v>12819</v>
      </c>
      <c r="D1314" s="2" t="s">
        <v>12820</v>
      </c>
      <c r="E1314" s="2" t="s">
        <v>12821</v>
      </c>
      <c r="G1314" s="3" t="s">
        <v>62</v>
      </c>
      <c r="I1314" s="3" t="s">
        <v>62</v>
      </c>
      <c r="J1314" s="3" t="s">
        <v>62</v>
      </c>
      <c r="K1314" s="3" t="s">
        <v>63</v>
      </c>
      <c r="L1314" s="2" t="s">
        <v>12822</v>
      </c>
      <c r="M1314" s="2" t="s">
        <v>969</v>
      </c>
      <c r="N1314" s="3" t="s">
        <v>970</v>
      </c>
      <c r="P1314" s="3" t="s">
        <v>65</v>
      </c>
      <c r="Q1314" s="2" t="s">
        <v>12823</v>
      </c>
      <c r="R1314" s="3" t="s">
        <v>66</v>
      </c>
      <c r="S1314" s="4">
        <v>21</v>
      </c>
      <c r="T1314" s="4">
        <v>21</v>
      </c>
      <c r="U1314" s="5" t="s">
        <v>3137</v>
      </c>
      <c r="V1314" s="5" t="s">
        <v>3137</v>
      </c>
      <c r="W1314" s="5" t="s">
        <v>67</v>
      </c>
      <c r="X1314" s="5" t="s">
        <v>67</v>
      </c>
      <c r="Y1314" s="4">
        <v>355</v>
      </c>
      <c r="Z1314" s="4">
        <v>16</v>
      </c>
      <c r="AA1314" s="4">
        <v>73</v>
      </c>
      <c r="AB1314" s="4">
        <v>2</v>
      </c>
      <c r="AC1314" s="4">
        <v>17</v>
      </c>
      <c r="AD1314" s="4">
        <v>63</v>
      </c>
      <c r="AE1314" s="4">
        <v>129</v>
      </c>
      <c r="AF1314" s="4">
        <v>1</v>
      </c>
      <c r="AG1314" s="4">
        <v>8</v>
      </c>
      <c r="AH1314" s="4">
        <v>56</v>
      </c>
      <c r="AI1314" s="4">
        <v>85</v>
      </c>
      <c r="AJ1314" s="4">
        <v>10</v>
      </c>
      <c r="AK1314" s="4">
        <v>25</v>
      </c>
      <c r="AL1314" s="4">
        <v>33</v>
      </c>
      <c r="AM1314" s="4">
        <v>44</v>
      </c>
      <c r="AN1314" s="4">
        <v>0</v>
      </c>
      <c r="AO1314" s="4">
        <v>0</v>
      </c>
      <c r="AP1314" s="4">
        <v>12</v>
      </c>
      <c r="AQ1314" s="4">
        <v>52</v>
      </c>
      <c r="AR1314" s="3" t="s">
        <v>62</v>
      </c>
      <c r="AS1314" s="3" t="s">
        <v>62</v>
      </c>
      <c r="AT1314" s="3" t="s">
        <v>62</v>
      </c>
      <c r="AV1314" s="6" t="str">
        <f>HYPERLINK("http://mcgill.on.worldcat.org/oclc/49594683","Catalog Record")</f>
        <v>Catalog Record</v>
      </c>
      <c r="AW1314" s="6" t="str">
        <f>HYPERLINK("http://www.worldcat.org/oclc/49594683","WorldCat Record")</f>
        <v>WorldCat Record</v>
      </c>
      <c r="AX1314" s="3" t="s">
        <v>12824</v>
      </c>
      <c r="AY1314" s="3" t="s">
        <v>12825</v>
      </c>
      <c r="AZ1314" s="3" t="s">
        <v>12826</v>
      </c>
      <c r="BA1314" s="3" t="s">
        <v>12826</v>
      </c>
      <c r="BB1314" s="3" t="s">
        <v>12827</v>
      </c>
      <c r="BC1314" s="3" t="s">
        <v>142</v>
      </c>
      <c r="BD1314" s="3" t="s">
        <v>68</v>
      </c>
      <c r="BE1314" s="3" t="s">
        <v>12828</v>
      </c>
      <c r="BF1314" s="3" t="s">
        <v>12827</v>
      </c>
      <c r="BG1314" s="3" t="s">
        <v>12829</v>
      </c>
    </row>
    <row r="1315" spans="1:59" ht="57" x14ac:dyDescent="0.45">
      <c r="A1315" s="2" t="s">
        <v>59</v>
      </c>
      <c r="B1315" s="2" t="s">
        <v>60</v>
      </c>
      <c r="C1315" s="2" t="s">
        <v>12830</v>
      </c>
      <c r="D1315" s="2" t="s">
        <v>12831</v>
      </c>
      <c r="E1315" s="2" t="s">
        <v>12832</v>
      </c>
      <c r="G1315" s="3" t="s">
        <v>62</v>
      </c>
      <c r="I1315" s="3" t="s">
        <v>62</v>
      </c>
      <c r="J1315" s="3" t="s">
        <v>61</v>
      </c>
      <c r="K1315" s="3" t="s">
        <v>63</v>
      </c>
      <c r="L1315" s="2" t="s">
        <v>12833</v>
      </c>
      <c r="M1315" s="2" t="s">
        <v>12834</v>
      </c>
      <c r="N1315" s="3" t="s">
        <v>894</v>
      </c>
      <c r="O1315" s="2" t="s">
        <v>933</v>
      </c>
      <c r="P1315" s="3" t="s">
        <v>65</v>
      </c>
      <c r="R1315" s="3" t="s">
        <v>66</v>
      </c>
      <c r="S1315" s="4">
        <v>0</v>
      </c>
      <c r="T1315" s="4">
        <v>0</v>
      </c>
      <c r="W1315" s="5" t="s">
        <v>67</v>
      </c>
      <c r="X1315" s="5" t="s">
        <v>67</v>
      </c>
      <c r="Y1315" s="4">
        <v>145</v>
      </c>
      <c r="Z1315" s="4">
        <v>8</v>
      </c>
      <c r="AA1315" s="4">
        <v>26</v>
      </c>
      <c r="AB1315" s="4">
        <v>1</v>
      </c>
      <c r="AC1315" s="4">
        <v>8</v>
      </c>
      <c r="AD1315" s="4">
        <v>18</v>
      </c>
      <c r="AE1315" s="4">
        <v>77</v>
      </c>
      <c r="AF1315" s="4">
        <v>0</v>
      </c>
      <c r="AG1315" s="4">
        <v>5</v>
      </c>
      <c r="AH1315" s="4">
        <v>15</v>
      </c>
      <c r="AI1315" s="4">
        <v>66</v>
      </c>
      <c r="AJ1315" s="4">
        <v>5</v>
      </c>
      <c r="AK1315" s="4">
        <v>13</v>
      </c>
      <c r="AL1315" s="4">
        <v>6</v>
      </c>
      <c r="AM1315" s="4">
        <v>28</v>
      </c>
      <c r="AN1315" s="4">
        <v>0</v>
      </c>
      <c r="AO1315" s="4">
        <v>0</v>
      </c>
      <c r="AP1315" s="4">
        <v>6</v>
      </c>
      <c r="AQ1315" s="4">
        <v>17</v>
      </c>
      <c r="AR1315" s="3" t="s">
        <v>62</v>
      </c>
      <c r="AS1315" s="3" t="s">
        <v>62</v>
      </c>
      <c r="AT1315" s="3" t="s">
        <v>62</v>
      </c>
      <c r="AV1315" s="6" t="str">
        <f>HYPERLINK("http://mcgill.on.worldcat.org/oclc/456170121","Catalog Record")</f>
        <v>Catalog Record</v>
      </c>
      <c r="AW1315" s="6" t="str">
        <f>HYPERLINK("http://www.worldcat.org/oclc/456170121","WorldCat Record")</f>
        <v>WorldCat Record</v>
      </c>
      <c r="AX1315" s="3" t="s">
        <v>12835</v>
      </c>
      <c r="AY1315" s="3" t="s">
        <v>12836</v>
      </c>
      <c r="AZ1315" s="3" t="s">
        <v>12837</v>
      </c>
      <c r="BA1315" s="3" t="s">
        <v>12837</v>
      </c>
      <c r="BB1315" s="3" t="s">
        <v>12838</v>
      </c>
      <c r="BC1315" s="3" t="s">
        <v>142</v>
      </c>
      <c r="BD1315" s="3" t="s">
        <v>68</v>
      </c>
      <c r="BE1315" s="3" t="s">
        <v>12839</v>
      </c>
      <c r="BF1315" s="3" t="s">
        <v>12838</v>
      </c>
      <c r="BG1315" s="3" t="s">
        <v>12840</v>
      </c>
    </row>
    <row r="1316" spans="1:59" ht="57" x14ac:dyDescent="0.45">
      <c r="A1316" s="2" t="s">
        <v>59</v>
      </c>
      <c r="B1316" s="2" t="s">
        <v>60</v>
      </c>
      <c r="C1316" s="2" t="s">
        <v>12841</v>
      </c>
      <c r="D1316" s="2" t="s">
        <v>12842</v>
      </c>
      <c r="E1316" s="2" t="s">
        <v>12843</v>
      </c>
      <c r="G1316" s="3" t="s">
        <v>62</v>
      </c>
      <c r="I1316" s="3" t="s">
        <v>62</v>
      </c>
      <c r="J1316" s="3" t="s">
        <v>62</v>
      </c>
      <c r="K1316" s="3" t="s">
        <v>63</v>
      </c>
      <c r="L1316" s="2" t="s">
        <v>12844</v>
      </c>
      <c r="M1316" s="2" t="s">
        <v>12845</v>
      </c>
      <c r="N1316" s="3" t="s">
        <v>918</v>
      </c>
      <c r="P1316" s="3" t="s">
        <v>65</v>
      </c>
      <c r="R1316" s="3" t="s">
        <v>66</v>
      </c>
      <c r="S1316" s="4">
        <v>36</v>
      </c>
      <c r="T1316" s="4">
        <v>36</v>
      </c>
      <c r="U1316" s="5" t="s">
        <v>5826</v>
      </c>
      <c r="V1316" s="5" t="s">
        <v>5826</v>
      </c>
      <c r="W1316" s="5" t="s">
        <v>67</v>
      </c>
      <c r="X1316" s="5" t="s">
        <v>67</v>
      </c>
      <c r="Y1316" s="4">
        <v>181</v>
      </c>
      <c r="Z1316" s="4">
        <v>18</v>
      </c>
      <c r="AA1316" s="4">
        <v>20</v>
      </c>
      <c r="AB1316" s="4">
        <v>1</v>
      </c>
      <c r="AC1316" s="4">
        <v>3</v>
      </c>
      <c r="AD1316" s="4">
        <v>66</v>
      </c>
      <c r="AE1316" s="4">
        <v>68</v>
      </c>
      <c r="AF1316" s="4">
        <v>0</v>
      </c>
      <c r="AG1316" s="4">
        <v>2</v>
      </c>
      <c r="AH1316" s="4">
        <v>60</v>
      </c>
      <c r="AI1316" s="4">
        <v>60</v>
      </c>
      <c r="AJ1316" s="4">
        <v>13</v>
      </c>
      <c r="AK1316" s="4">
        <v>15</v>
      </c>
      <c r="AL1316" s="4">
        <v>29</v>
      </c>
      <c r="AM1316" s="4">
        <v>29</v>
      </c>
      <c r="AN1316" s="4">
        <v>0</v>
      </c>
      <c r="AO1316" s="4">
        <v>0</v>
      </c>
      <c r="AP1316" s="4">
        <v>14</v>
      </c>
      <c r="AQ1316" s="4">
        <v>15</v>
      </c>
      <c r="AR1316" s="3" t="s">
        <v>62</v>
      </c>
      <c r="AS1316" s="3" t="s">
        <v>62</v>
      </c>
      <c r="AT1316" s="3" t="s">
        <v>61</v>
      </c>
      <c r="AU1316" s="6" t="str">
        <f>HYPERLINK("http://catalog.hathitrust.org/Record/004353770","HathiTrust Record")</f>
        <v>HathiTrust Record</v>
      </c>
      <c r="AV1316" s="6" t="str">
        <f>HYPERLINK("http://mcgill.on.worldcat.org/oclc/51871729","Catalog Record")</f>
        <v>Catalog Record</v>
      </c>
      <c r="AW1316" s="6" t="str">
        <f>HYPERLINK("http://www.worldcat.org/oclc/51871729","WorldCat Record")</f>
        <v>WorldCat Record</v>
      </c>
      <c r="AX1316" s="3" t="s">
        <v>12846</v>
      </c>
      <c r="AY1316" s="3" t="s">
        <v>12847</v>
      </c>
      <c r="AZ1316" s="3" t="s">
        <v>12848</v>
      </c>
      <c r="BA1316" s="3" t="s">
        <v>12848</v>
      </c>
      <c r="BB1316" s="3" t="s">
        <v>12849</v>
      </c>
      <c r="BC1316" s="3" t="s">
        <v>142</v>
      </c>
      <c r="BD1316" s="3" t="s">
        <v>68</v>
      </c>
      <c r="BE1316" s="3" t="s">
        <v>12850</v>
      </c>
      <c r="BF1316" s="3" t="s">
        <v>12849</v>
      </c>
      <c r="BG1316" s="3" t="s">
        <v>12851</v>
      </c>
    </row>
    <row r="1317" spans="1:59" ht="57" x14ac:dyDescent="0.45">
      <c r="A1317" s="2" t="s">
        <v>59</v>
      </c>
      <c r="B1317" s="2" t="s">
        <v>60</v>
      </c>
      <c r="C1317" s="2" t="s">
        <v>12852</v>
      </c>
      <c r="D1317" s="2" t="s">
        <v>12853</v>
      </c>
      <c r="E1317" s="2" t="s">
        <v>12854</v>
      </c>
      <c r="G1317" s="3" t="s">
        <v>62</v>
      </c>
      <c r="I1317" s="3" t="s">
        <v>62</v>
      </c>
      <c r="J1317" s="3" t="s">
        <v>62</v>
      </c>
      <c r="K1317" s="3" t="s">
        <v>63</v>
      </c>
      <c r="L1317" s="2" t="s">
        <v>12855</v>
      </c>
      <c r="M1317" s="2" t="s">
        <v>12856</v>
      </c>
      <c r="N1317" s="3" t="s">
        <v>1155</v>
      </c>
      <c r="P1317" s="3" t="s">
        <v>65</v>
      </c>
      <c r="Q1317" s="2" t="s">
        <v>12857</v>
      </c>
      <c r="R1317" s="3" t="s">
        <v>66</v>
      </c>
      <c r="S1317" s="4">
        <v>3</v>
      </c>
      <c r="T1317" s="4">
        <v>3</v>
      </c>
      <c r="U1317" s="5" t="s">
        <v>12858</v>
      </c>
      <c r="V1317" s="5" t="s">
        <v>12858</v>
      </c>
      <c r="W1317" s="5" t="s">
        <v>67</v>
      </c>
      <c r="X1317" s="5" t="s">
        <v>67</v>
      </c>
      <c r="Y1317" s="4">
        <v>364</v>
      </c>
      <c r="Z1317" s="4">
        <v>26</v>
      </c>
      <c r="AA1317" s="4">
        <v>58</v>
      </c>
      <c r="AB1317" s="4">
        <v>2</v>
      </c>
      <c r="AC1317" s="4">
        <v>7</v>
      </c>
      <c r="AD1317" s="4">
        <v>86</v>
      </c>
      <c r="AE1317" s="4">
        <v>98</v>
      </c>
      <c r="AF1317" s="4">
        <v>1</v>
      </c>
      <c r="AG1317" s="4">
        <v>3</v>
      </c>
      <c r="AH1317" s="4">
        <v>75</v>
      </c>
      <c r="AI1317" s="4">
        <v>78</v>
      </c>
      <c r="AJ1317" s="4">
        <v>16</v>
      </c>
      <c r="AK1317" s="4">
        <v>20</v>
      </c>
      <c r="AL1317" s="4">
        <v>41</v>
      </c>
      <c r="AM1317" s="4">
        <v>41</v>
      </c>
      <c r="AN1317" s="4">
        <v>0</v>
      </c>
      <c r="AO1317" s="4">
        <v>0</v>
      </c>
      <c r="AP1317" s="4">
        <v>20</v>
      </c>
      <c r="AQ1317" s="4">
        <v>28</v>
      </c>
      <c r="AR1317" s="3" t="s">
        <v>62</v>
      </c>
      <c r="AS1317" s="3" t="s">
        <v>62</v>
      </c>
      <c r="AT1317" s="3" t="s">
        <v>62</v>
      </c>
      <c r="AV1317" s="6" t="str">
        <f>HYPERLINK("http://mcgill.on.worldcat.org/oclc/707962928","Catalog Record")</f>
        <v>Catalog Record</v>
      </c>
      <c r="AW1317" s="6" t="str">
        <f>HYPERLINK("http://www.worldcat.org/oclc/707962928","WorldCat Record")</f>
        <v>WorldCat Record</v>
      </c>
      <c r="AX1317" s="3" t="s">
        <v>12859</v>
      </c>
      <c r="AY1317" s="3" t="s">
        <v>12860</v>
      </c>
      <c r="AZ1317" s="3" t="s">
        <v>12861</v>
      </c>
      <c r="BA1317" s="3" t="s">
        <v>12861</v>
      </c>
      <c r="BB1317" s="3" t="s">
        <v>12862</v>
      </c>
      <c r="BC1317" s="3" t="s">
        <v>142</v>
      </c>
      <c r="BD1317" s="3" t="s">
        <v>68</v>
      </c>
      <c r="BE1317" s="3" t="s">
        <v>12863</v>
      </c>
      <c r="BF1317" s="3" t="s">
        <v>12862</v>
      </c>
      <c r="BG1317" s="3" t="s">
        <v>12864</v>
      </c>
    </row>
    <row r="1318" spans="1:59" ht="57" x14ac:dyDescent="0.45">
      <c r="A1318" s="2" t="s">
        <v>59</v>
      </c>
      <c r="B1318" s="2" t="s">
        <v>60</v>
      </c>
      <c r="C1318" s="2" t="s">
        <v>12865</v>
      </c>
      <c r="D1318" s="2" t="s">
        <v>12866</v>
      </c>
      <c r="E1318" s="2" t="s">
        <v>12867</v>
      </c>
      <c r="G1318" s="3" t="s">
        <v>62</v>
      </c>
      <c r="I1318" s="3" t="s">
        <v>61</v>
      </c>
      <c r="J1318" s="3" t="s">
        <v>61</v>
      </c>
      <c r="K1318" s="3" t="s">
        <v>63</v>
      </c>
      <c r="L1318" s="2" t="s">
        <v>12868</v>
      </c>
      <c r="M1318" s="2" t="s">
        <v>12869</v>
      </c>
      <c r="N1318" s="3" t="s">
        <v>820</v>
      </c>
      <c r="O1318" s="2" t="s">
        <v>4282</v>
      </c>
      <c r="P1318" s="3" t="s">
        <v>65</v>
      </c>
      <c r="R1318" s="3" t="s">
        <v>66</v>
      </c>
      <c r="S1318" s="4">
        <v>6</v>
      </c>
      <c r="T1318" s="4">
        <v>12</v>
      </c>
      <c r="U1318" s="5" t="s">
        <v>12870</v>
      </c>
      <c r="V1318" s="5" t="s">
        <v>12870</v>
      </c>
      <c r="W1318" s="5" t="s">
        <v>67</v>
      </c>
      <c r="X1318" s="5" t="s">
        <v>67</v>
      </c>
      <c r="Y1318" s="4">
        <v>77</v>
      </c>
      <c r="Z1318" s="4">
        <v>5</v>
      </c>
      <c r="AA1318" s="4">
        <v>35</v>
      </c>
      <c r="AB1318" s="4">
        <v>1</v>
      </c>
      <c r="AC1318" s="4">
        <v>6</v>
      </c>
      <c r="AD1318" s="4">
        <v>8</v>
      </c>
      <c r="AE1318" s="4">
        <v>42</v>
      </c>
      <c r="AF1318" s="4">
        <v>0</v>
      </c>
      <c r="AG1318" s="4">
        <v>5</v>
      </c>
      <c r="AH1318" s="4">
        <v>8</v>
      </c>
      <c r="AI1318" s="4">
        <v>34</v>
      </c>
      <c r="AJ1318" s="4">
        <v>3</v>
      </c>
      <c r="AK1318" s="4">
        <v>14</v>
      </c>
      <c r="AL1318" s="4">
        <v>3</v>
      </c>
      <c r="AM1318" s="4">
        <v>12</v>
      </c>
      <c r="AN1318" s="4">
        <v>0</v>
      </c>
      <c r="AO1318" s="4">
        <v>0</v>
      </c>
      <c r="AP1318" s="4">
        <v>3</v>
      </c>
      <c r="AQ1318" s="4">
        <v>17</v>
      </c>
      <c r="AR1318" s="3" t="s">
        <v>62</v>
      </c>
      <c r="AS1318" s="3" t="s">
        <v>62</v>
      </c>
      <c r="AT1318" s="3" t="s">
        <v>62</v>
      </c>
      <c r="AV1318" s="6" t="str">
        <f>HYPERLINK("http://mcgill.on.worldcat.org/oclc/122956321","Catalog Record")</f>
        <v>Catalog Record</v>
      </c>
      <c r="AW1318" s="6" t="str">
        <f>HYPERLINK("http://www.worldcat.org/oclc/122956321","WorldCat Record")</f>
        <v>WorldCat Record</v>
      </c>
      <c r="AX1318" s="3" t="s">
        <v>12871</v>
      </c>
      <c r="AY1318" s="3" t="s">
        <v>12872</v>
      </c>
      <c r="AZ1318" s="3" t="s">
        <v>12873</v>
      </c>
      <c r="BA1318" s="3" t="s">
        <v>12873</v>
      </c>
      <c r="BB1318" s="3" t="s">
        <v>12874</v>
      </c>
      <c r="BC1318" s="3" t="s">
        <v>142</v>
      </c>
      <c r="BD1318" s="3" t="s">
        <v>68</v>
      </c>
      <c r="BE1318" s="3" t="s">
        <v>12875</v>
      </c>
      <c r="BF1318" s="3" t="s">
        <v>12874</v>
      </c>
      <c r="BG1318" s="3" t="s">
        <v>12876</v>
      </c>
    </row>
    <row r="1319" spans="1:59" ht="57" x14ac:dyDescent="0.45">
      <c r="A1319" s="2" t="s">
        <v>59</v>
      </c>
      <c r="B1319" s="2" t="s">
        <v>60</v>
      </c>
      <c r="C1319" s="2" t="s">
        <v>12865</v>
      </c>
      <c r="D1319" s="2" t="s">
        <v>12866</v>
      </c>
      <c r="E1319" s="2" t="s">
        <v>12867</v>
      </c>
      <c r="G1319" s="3" t="s">
        <v>62</v>
      </c>
      <c r="I1319" s="3" t="s">
        <v>61</v>
      </c>
      <c r="J1319" s="3" t="s">
        <v>61</v>
      </c>
      <c r="K1319" s="3" t="s">
        <v>63</v>
      </c>
      <c r="L1319" s="2" t="s">
        <v>12868</v>
      </c>
      <c r="M1319" s="2" t="s">
        <v>12869</v>
      </c>
      <c r="N1319" s="3" t="s">
        <v>820</v>
      </c>
      <c r="O1319" s="2" t="s">
        <v>4282</v>
      </c>
      <c r="P1319" s="3" t="s">
        <v>65</v>
      </c>
      <c r="R1319" s="3" t="s">
        <v>66</v>
      </c>
      <c r="S1319" s="4">
        <v>6</v>
      </c>
      <c r="T1319" s="4">
        <v>12</v>
      </c>
      <c r="U1319" s="5" t="s">
        <v>3590</v>
      </c>
      <c r="V1319" s="5" t="s">
        <v>12870</v>
      </c>
      <c r="W1319" s="5" t="s">
        <v>67</v>
      </c>
      <c r="X1319" s="5" t="s">
        <v>67</v>
      </c>
      <c r="Y1319" s="4">
        <v>77</v>
      </c>
      <c r="Z1319" s="4">
        <v>5</v>
      </c>
      <c r="AA1319" s="4">
        <v>35</v>
      </c>
      <c r="AB1319" s="4">
        <v>1</v>
      </c>
      <c r="AC1319" s="4">
        <v>6</v>
      </c>
      <c r="AD1319" s="4">
        <v>8</v>
      </c>
      <c r="AE1319" s="4">
        <v>42</v>
      </c>
      <c r="AF1319" s="4">
        <v>0</v>
      </c>
      <c r="AG1319" s="4">
        <v>5</v>
      </c>
      <c r="AH1319" s="4">
        <v>8</v>
      </c>
      <c r="AI1319" s="4">
        <v>34</v>
      </c>
      <c r="AJ1319" s="4">
        <v>3</v>
      </c>
      <c r="AK1319" s="4">
        <v>14</v>
      </c>
      <c r="AL1319" s="4">
        <v>3</v>
      </c>
      <c r="AM1319" s="4">
        <v>12</v>
      </c>
      <c r="AN1319" s="4">
        <v>0</v>
      </c>
      <c r="AO1319" s="4">
        <v>0</v>
      </c>
      <c r="AP1319" s="4">
        <v>3</v>
      </c>
      <c r="AQ1319" s="4">
        <v>17</v>
      </c>
      <c r="AR1319" s="3" t="s">
        <v>62</v>
      </c>
      <c r="AS1319" s="3" t="s">
        <v>62</v>
      </c>
      <c r="AT1319" s="3" t="s">
        <v>62</v>
      </c>
      <c r="AV1319" s="6" t="str">
        <f>HYPERLINK("http://mcgill.on.worldcat.org/oclc/122956321","Catalog Record")</f>
        <v>Catalog Record</v>
      </c>
      <c r="AW1319" s="6" t="str">
        <f>HYPERLINK("http://www.worldcat.org/oclc/122956321","WorldCat Record")</f>
        <v>WorldCat Record</v>
      </c>
      <c r="AX1319" s="3" t="s">
        <v>12871</v>
      </c>
      <c r="AY1319" s="3" t="s">
        <v>12872</v>
      </c>
      <c r="AZ1319" s="3" t="s">
        <v>12873</v>
      </c>
      <c r="BA1319" s="3" t="s">
        <v>12873</v>
      </c>
      <c r="BB1319" s="3" t="s">
        <v>12877</v>
      </c>
      <c r="BC1319" s="3" t="s">
        <v>142</v>
      </c>
      <c r="BD1319" s="3" t="s">
        <v>68</v>
      </c>
      <c r="BE1319" s="3" t="s">
        <v>12875</v>
      </c>
      <c r="BF1319" s="3" t="s">
        <v>12877</v>
      </c>
      <c r="BG1319" s="3" t="s">
        <v>12878</v>
      </c>
    </row>
    <row r="1320" spans="1:59" ht="57" x14ac:dyDescent="0.45">
      <c r="A1320" s="2" t="s">
        <v>59</v>
      </c>
      <c r="B1320" s="2" t="s">
        <v>60</v>
      </c>
      <c r="C1320" s="2" t="s">
        <v>12879</v>
      </c>
      <c r="D1320" s="2" t="s">
        <v>12880</v>
      </c>
      <c r="E1320" s="2" t="s">
        <v>12881</v>
      </c>
      <c r="G1320" s="3" t="s">
        <v>62</v>
      </c>
      <c r="I1320" s="3" t="s">
        <v>62</v>
      </c>
      <c r="J1320" s="3" t="s">
        <v>62</v>
      </c>
      <c r="K1320" s="3" t="s">
        <v>63</v>
      </c>
      <c r="M1320" s="2" t="s">
        <v>12882</v>
      </c>
      <c r="N1320" s="3" t="s">
        <v>167</v>
      </c>
      <c r="P1320" s="3" t="s">
        <v>65</v>
      </c>
      <c r="Q1320" s="2" t="s">
        <v>12883</v>
      </c>
      <c r="R1320" s="3" t="s">
        <v>66</v>
      </c>
      <c r="S1320" s="4">
        <v>5</v>
      </c>
      <c r="T1320" s="4">
        <v>5</v>
      </c>
      <c r="U1320" s="5" t="s">
        <v>2668</v>
      </c>
      <c r="V1320" s="5" t="s">
        <v>2668</v>
      </c>
      <c r="W1320" s="5" t="s">
        <v>67</v>
      </c>
      <c r="X1320" s="5" t="s">
        <v>67</v>
      </c>
      <c r="Y1320" s="4">
        <v>189</v>
      </c>
      <c r="Z1320" s="4">
        <v>9</v>
      </c>
      <c r="AA1320" s="4">
        <v>10</v>
      </c>
      <c r="AB1320" s="4">
        <v>1</v>
      </c>
      <c r="AC1320" s="4">
        <v>2</v>
      </c>
      <c r="AD1320" s="4">
        <v>75</v>
      </c>
      <c r="AE1320" s="4">
        <v>76</v>
      </c>
      <c r="AF1320" s="4">
        <v>0</v>
      </c>
      <c r="AG1320" s="4">
        <v>1</v>
      </c>
      <c r="AH1320" s="4">
        <v>72</v>
      </c>
      <c r="AI1320" s="4">
        <v>73</v>
      </c>
      <c r="AJ1320" s="4">
        <v>6</v>
      </c>
      <c r="AK1320" s="4">
        <v>7</v>
      </c>
      <c r="AL1320" s="4">
        <v>43</v>
      </c>
      <c r="AM1320" s="4">
        <v>43</v>
      </c>
      <c r="AN1320" s="4">
        <v>0</v>
      </c>
      <c r="AO1320" s="4">
        <v>0</v>
      </c>
      <c r="AP1320" s="4">
        <v>6</v>
      </c>
      <c r="AQ1320" s="4">
        <v>7</v>
      </c>
      <c r="AR1320" s="3" t="s">
        <v>62</v>
      </c>
      <c r="AS1320" s="3" t="s">
        <v>62</v>
      </c>
      <c r="AT1320" s="3" t="s">
        <v>61</v>
      </c>
      <c r="AU1320" s="6" t="str">
        <f>HYPERLINK("http://catalog.hathitrust.org/Record/003495018","HathiTrust Record")</f>
        <v>HathiTrust Record</v>
      </c>
      <c r="AV1320" s="6" t="str">
        <f>HYPERLINK("http://mcgill.on.worldcat.org/oclc/43114946","Catalog Record")</f>
        <v>Catalog Record</v>
      </c>
      <c r="AW1320" s="6" t="str">
        <f>HYPERLINK("http://www.worldcat.org/oclc/43114946","WorldCat Record")</f>
        <v>WorldCat Record</v>
      </c>
      <c r="AX1320" s="3" t="s">
        <v>12884</v>
      </c>
      <c r="AY1320" s="3" t="s">
        <v>12885</v>
      </c>
      <c r="AZ1320" s="3" t="s">
        <v>12886</v>
      </c>
      <c r="BA1320" s="3" t="s">
        <v>12886</v>
      </c>
      <c r="BB1320" s="3" t="s">
        <v>12887</v>
      </c>
      <c r="BC1320" s="3" t="s">
        <v>142</v>
      </c>
      <c r="BD1320" s="3" t="s">
        <v>68</v>
      </c>
      <c r="BE1320" s="3" t="s">
        <v>12888</v>
      </c>
      <c r="BF1320" s="3" t="s">
        <v>12887</v>
      </c>
      <c r="BG1320" s="3" t="s">
        <v>12889</v>
      </c>
    </row>
    <row r="1321" spans="1:59" ht="57" x14ac:dyDescent="0.45">
      <c r="A1321" s="2" t="s">
        <v>59</v>
      </c>
      <c r="B1321" s="2" t="s">
        <v>60</v>
      </c>
      <c r="C1321" s="2" t="s">
        <v>12890</v>
      </c>
      <c r="D1321" s="2" t="s">
        <v>12891</v>
      </c>
      <c r="E1321" s="2" t="s">
        <v>12892</v>
      </c>
      <c r="G1321" s="3" t="s">
        <v>62</v>
      </c>
      <c r="I1321" s="3" t="s">
        <v>62</v>
      </c>
      <c r="J1321" s="3" t="s">
        <v>62</v>
      </c>
      <c r="K1321" s="3" t="s">
        <v>63</v>
      </c>
      <c r="L1321" s="2" t="s">
        <v>12893</v>
      </c>
      <c r="M1321" s="2" t="s">
        <v>12894</v>
      </c>
      <c r="N1321" s="3" t="s">
        <v>116</v>
      </c>
      <c r="P1321" s="3" t="s">
        <v>65</v>
      </c>
      <c r="Q1321" s="2" t="s">
        <v>12895</v>
      </c>
      <c r="R1321" s="3" t="s">
        <v>66</v>
      </c>
      <c r="S1321" s="4">
        <v>17</v>
      </c>
      <c r="T1321" s="4">
        <v>17</v>
      </c>
      <c r="U1321" s="5" t="s">
        <v>12896</v>
      </c>
      <c r="V1321" s="5" t="s">
        <v>12896</v>
      </c>
      <c r="W1321" s="5" t="s">
        <v>67</v>
      </c>
      <c r="X1321" s="5" t="s">
        <v>67</v>
      </c>
      <c r="Y1321" s="4">
        <v>353</v>
      </c>
      <c r="Z1321" s="4">
        <v>33</v>
      </c>
      <c r="AA1321" s="4">
        <v>83</v>
      </c>
      <c r="AB1321" s="4">
        <v>3</v>
      </c>
      <c r="AC1321" s="4">
        <v>12</v>
      </c>
      <c r="AD1321" s="4">
        <v>98</v>
      </c>
      <c r="AE1321" s="4">
        <v>132</v>
      </c>
      <c r="AF1321" s="4">
        <v>1</v>
      </c>
      <c r="AG1321" s="4">
        <v>5</v>
      </c>
      <c r="AH1321" s="4">
        <v>86</v>
      </c>
      <c r="AI1321" s="4">
        <v>103</v>
      </c>
      <c r="AJ1321" s="4">
        <v>14</v>
      </c>
      <c r="AK1321" s="4">
        <v>22</v>
      </c>
      <c r="AL1321" s="4">
        <v>47</v>
      </c>
      <c r="AM1321" s="4">
        <v>54</v>
      </c>
      <c r="AN1321" s="4">
        <v>0</v>
      </c>
      <c r="AO1321" s="4">
        <v>0</v>
      </c>
      <c r="AP1321" s="4">
        <v>20</v>
      </c>
      <c r="AQ1321" s="4">
        <v>37</v>
      </c>
      <c r="AR1321" s="3" t="s">
        <v>62</v>
      </c>
      <c r="AS1321" s="3" t="s">
        <v>62</v>
      </c>
      <c r="AT1321" s="3" t="s">
        <v>62</v>
      </c>
      <c r="AV1321" s="6" t="str">
        <f>HYPERLINK("http://mcgill.on.worldcat.org/oclc/788269737","Catalog Record")</f>
        <v>Catalog Record</v>
      </c>
      <c r="AW1321" s="6" t="str">
        <f>HYPERLINK("http://www.worldcat.org/oclc/788269737","WorldCat Record")</f>
        <v>WorldCat Record</v>
      </c>
      <c r="AX1321" s="3" t="s">
        <v>12897</v>
      </c>
      <c r="AY1321" s="3" t="s">
        <v>12898</v>
      </c>
      <c r="AZ1321" s="3" t="s">
        <v>12899</v>
      </c>
      <c r="BA1321" s="3" t="s">
        <v>12899</v>
      </c>
      <c r="BB1321" s="3" t="s">
        <v>12900</v>
      </c>
      <c r="BC1321" s="3" t="s">
        <v>142</v>
      </c>
      <c r="BD1321" s="3" t="s">
        <v>68</v>
      </c>
      <c r="BE1321" s="3" t="s">
        <v>12901</v>
      </c>
      <c r="BF1321" s="3" t="s">
        <v>12900</v>
      </c>
      <c r="BG1321" s="3" t="s">
        <v>12902</v>
      </c>
    </row>
    <row r="1322" spans="1:59" ht="57" x14ac:dyDescent="0.45">
      <c r="A1322" s="2" t="s">
        <v>59</v>
      </c>
      <c r="B1322" s="2" t="s">
        <v>60</v>
      </c>
      <c r="C1322" s="2" t="s">
        <v>12903</v>
      </c>
      <c r="D1322" s="2" t="s">
        <v>12904</v>
      </c>
      <c r="E1322" s="2" t="s">
        <v>12905</v>
      </c>
      <c r="G1322" s="3" t="s">
        <v>62</v>
      </c>
      <c r="I1322" s="3" t="s">
        <v>62</v>
      </c>
      <c r="J1322" s="3" t="s">
        <v>62</v>
      </c>
      <c r="K1322" s="3" t="s">
        <v>63</v>
      </c>
      <c r="L1322" s="2" t="s">
        <v>12906</v>
      </c>
      <c r="M1322" s="2" t="s">
        <v>12907</v>
      </c>
      <c r="N1322" s="3" t="s">
        <v>1253</v>
      </c>
      <c r="P1322" s="3" t="s">
        <v>65</v>
      </c>
      <c r="R1322" s="3" t="s">
        <v>66</v>
      </c>
      <c r="S1322" s="4">
        <v>37</v>
      </c>
      <c r="T1322" s="4">
        <v>37</v>
      </c>
      <c r="U1322" s="5" t="s">
        <v>10159</v>
      </c>
      <c r="V1322" s="5" t="s">
        <v>10159</v>
      </c>
      <c r="W1322" s="5" t="s">
        <v>67</v>
      </c>
      <c r="X1322" s="5" t="s">
        <v>67</v>
      </c>
      <c r="Y1322" s="4">
        <v>335</v>
      </c>
      <c r="Z1322" s="4">
        <v>27</v>
      </c>
      <c r="AA1322" s="4">
        <v>32</v>
      </c>
      <c r="AB1322" s="4">
        <v>2</v>
      </c>
      <c r="AC1322" s="4">
        <v>7</v>
      </c>
      <c r="AD1322" s="4">
        <v>80</v>
      </c>
      <c r="AE1322" s="4">
        <v>83</v>
      </c>
      <c r="AF1322" s="4">
        <v>1</v>
      </c>
      <c r="AG1322" s="4">
        <v>3</v>
      </c>
      <c r="AH1322" s="4">
        <v>72</v>
      </c>
      <c r="AI1322" s="4">
        <v>74</v>
      </c>
      <c r="AJ1322" s="4">
        <v>14</v>
      </c>
      <c r="AK1322" s="4">
        <v>16</v>
      </c>
      <c r="AL1322" s="4">
        <v>33</v>
      </c>
      <c r="AM1322" s="4">
        <v>33</v>
      </c>
      <c r="AN1322" s="4">
        <v>0</v>
      </c>
      <c r="AO1322" s="4">
        <v>0</v>
      </c>
      <c r="AP1322" s="4">
        <v>15</v>
      </c>
      <c r="AQ1322" s="4">
        <v>17</v>
      </c>
      <c r="AR1322" s="3" t="s">
        <v>62</v>
      </c>
      <c r="AS1322" s="3" t="s">
        <v>62</v>
      </c>
      <c r="AT1322" s="3" t="s">
        <v>61</v>
      </c>
      <c r="AU1322" s="6" t="str">
        <f>HYPERLINK("http://catalog.hathitrust.org/Record/003159039","HathiTrust Record")</f>
        <v>HathiTrust Record</v>
      </c>
      <c r="AV1322" s="6" t="str">
        <f>HYPERLINK("http://mcgill.on.worldcat.org/oclc/35637521","Catalog Record")</f>
        <v>Catalog Record</v>
      </c>
      <c r="AW1322" s="6" t="str">
        <f>HYPERLINK("http://www.worldcat.org/oclc/35637521","WorldCat Record")</f>
        <v>WorldCat Record</v>
      </c>
      <c r="AX1322" s="3" t="s">
        <v>12908</v>
      </c>
      <c r="AY1322" s="3" t="s">
        <v>12909</v>
      </c>
      <c r="AZ1322" s="3" t="s">
        <v>12910</v>
      </c>
      <c r="BA1322" s="3" t="s">
        <v>12910</v>
      </c>
      <c r="BB1322" s="3" t="s">
        <v>12911</v>
      </c>
      <c r="BC1322" s="3" t="s">
        <v>142</v>
      </c>
      <c r="BD1322" s="3" t="s">
        <v>68</v>
      </c>
      <c r="BE1322" s="3" t="s">
        <v>12912</v>
      </c>
      <c r="BF1322" s="3" t="s">
        <v>12911</v>
      </c>
      <c r="BG1322" s="3" t="s">
        <v>12913</v>
      </c>
    </row>
    <row r="1323" spans="1:59" ht="57" x14ac:dyDescent="0.45">
      <c r="A1323" s="2" t="s">
        <v>59</v>
      </c>
      <c r="B1323" s="2" t="s">
        <v>60</v>
      </c>
      <c r="C1323" s="2" t="s">
        <v>12914</v>
      </c>
      <c r="D1323" s="2" t="s">
        <v>12915</v>
      </c>
      <c r="E1323" s="2" t="s">
        <v>12916</v>
      </c>
      <c r="G1323" s="3" t="s">
        <v>62</v>
      </c>
      <c r="I1323" s="3" t="s">
        <v>62</v>
      </c>
      <c r="J1323" s="3" t="s">
        <v>62</v>
      </c>
      <c r="K1323" s="3" t="s">
        <v>63</v>
      </c>
      <c r="L1323" s="2" t="s">
        <v>12917</v>
      </c>
      <c r="M1323" s="2" t="s">
        <v>12918</v>
      </c>
      <c r="N1323" s="3" t="s">
        <v>72</v>
      </c>
      <c r="P1323" s="3" t="s">
        <v>110</v>
      </c>
      <c r="Q1323" s="2" t="s">
        <v>12919</v>
      </c>
      <c r="R1323" s="3" t="s">
        <v>66</v>
      </c>
      <c r="S1323" s="4">
        <v>6</v>
      </c>
      <c r="T1323" s="4">
        <v>6</v>
      </c>
      <c r="U1323" s="5" t="s">
        <v>12497</v>
      </c>
      <c r="V1323" s="5" t="s">
        <v>12497</v>
      </c>
      <c r="W1323" s="5" t="s">
        <v>67</v>
      </c>
      <c r="X1323" s="5" t="s">
        <v>67</v>
      </c>
      <c r="Y1323" s="4">
        <v>13</v>
      </c>
      <c r="Z1323" s="4">
        <v>4</v>
      </c>
      <c r="AA1323" s="4">
        <v>13</v>
      </c>
      <c r="AB1323" s="4">
        <v>1</v>
      </c>
      <c r="AC1323" s="4">
        <v>7</v>
      </c>
      <c r="AD1323" s="4">
        <v>4</v>
      </c>
      <c r="AE1323" s="4">
        <v>9</v>
      </c>
      <c r="AF1323" s="4">
        <v>0</v>
      </c>
      <c r="AG1323" s="4">
        <v>3</v>
      </c>
      <c r="AH1323" s="4">
        <v>1</v>
      </c>
      <c r="AI1323" s="4">
        <v>3</v>
      </c>
      <c r="AJ1323" s="4">
        <v>2</v>
      </c>
      <c r="AK1323" s="4">
        <v>6</v>
      </c>
      <c r="AL1323" s="4">
        <v>1</v>
      </c>
      <c r="AM1323" s="4">
        <v>1</v>
      </c>
      <c r="AN1323" s="4">
        <v>0</v>
      </c>
      <c r="AO1323" s="4">
        <v>0</v>
      </c>
      <c r="AP1323" s="4">
        <v>2</v>
      </c>
      <c r="AQ1323" s="4">
        <v>6</v>
      </c>
      <c r="AR1323" s="3" t="s">
        <v>62</v>
      </c>
      <c r="AS1323" s="3" t="s">
        <v>62</v>
      </c>
      <c r="AT1323" s="3" t="s">
        <v>62</v>
      </c>
      <c r="AV1323" s="6" t="str">
        <f>HYPERLINK("http://mcgill.on.worldcat.org/oclc/12850854","Catalog Record")</f>
        <v>Catalog Record</v>
      </c>
      <c r="AW1323" s="6" t="str">
        <f>HYPERLINK("http://www.worldcat.org/oclc/12850854","WorldCat Record")</f>
        <v>WorldCat Record</v>
      </c>
      <c r="AX1323" s="3" t="s">
        <v>12920</v>
      </c>
      <c r="AY1323" s="3" t="s">
        <v>12921</v>
      </c>
      <c r="AZ1323" s="3" t="s">
        <v>12922</v>
      </c>
      <c r="BA1323" s="3" t="s">
        <v>12922</v>
      </c>
      <c r="BB1323" s="3" t="s">
        <v>12923</v>
      </c>
      <c r="BC1323" s="3" t="s">
        <v>142</v>
      </c>
      <c r="BD1323" s="3" t="s">
        <v>68</v>
      </c>
      <c r="BF1323" s="3" t="s">
        <v>12923</v>
      </c>
      <c r="BG1323" s="3" t="s">
        <v>12924</v>
      </c>
    </row>
    <row r="1324" spans="1:59" ht="57" x14ac:dyDescent="0.45">
      <c r="A1324" s="2" t="s">
        <v>59</v>
      </c>
      <c r="B1324" s="2" t="s">
        <v>60</v>
      </c>
      <c r="C1324" s="2" t="s">
        <v>12925</v>
      </c>
      <c r="D1324" s="2" t="s">
        <v>12926</v>
      </c>
      <c r="E1324" s="2" t="s">
        <v>12927</v>
      </c>
      <c r="G1324" s="3" t="s">
        <v>62</v>
      </c>
      <c r="I1324" s="3" t="s">
        <v>62</v>
      </c>
      <c r="J1324" s="3" t="s">
        <v>62</v>
      </c>
      <c r="K1324" s="3" t="s">
        <v>63</v>
      </c>
      <c r="L1324" s="2" t="s">
        <v>12928</v>
      </c>
      <c r="M1324" s="2" t="s">
        <v>12929</v>
      </c>
      <c r="N1324" s="3" t="s">
        <v>555</v>
      </c>
      <c r="P1324" s="3" t="s">
        <v>110</v>
      </c>
      <c r="Q1324" s="2" t="s">
        <v>12930</v>
      </c>
      <c r="R1324" s="3" t="s">
        <v>66</v>
      </c>
      <c r="S1324" s="4">
        <v>3</v>
      </c>
      <c r="T1324" s="4">
        <v>3</v>
      </c>
      <c r="U1324" s="5" t="s">
        <v>6609</v>
      </c>
      <c r="V1324" s="5" t="s">
        <v>6609</v>
      </c>
      <c r="W1324" s="5" t="s">
        <v>67</v>
      </c>
      <c r="X1324" s="5" t="s">
        <v>67</v>
      </c>
      <c r="Y1324" s="4">
        <v>5</v>
      </c>
      <c r="Z1324" s="4">
        <v>5</v>
      </c>
      <c r="AA1324" s="4">
        <v>11</v>
      </c>
      <c r="AB1324" s="4">
        <v>1</v>
      </c>
      <c r="AC1324" s="4">
        <v>5</v>
      </c>
      <c r="AD1324" s="4">
        <v>3</v>
      </c>
      <c r="AE1324" s="4">
        <v>8</v>
      </c>
      <c r="AF1324" s="4">
        <v>0</v>
      </c>
      <c r="AG1324" s="4">
        <v>3</v>
      </c>
      <c r="AH1324" s="4">
        <v>2</v>
      </c>
      <c r="AI1324" s="4">
        <v>3</v>
      </c>
      <c r="AJ1324" s="4">
        <v>2</v>
      </c>
      <c r="AK1324" s="4">
        <v>6</v>
      </c>
      <c r="AL1324" s="4">
        <v>0</v>
      </c>
      <c r="AM1324" s="4">
        <v>0</v>
      </c>
      <c r="AN1324" s="4">
        <v>0</v>
      </c>
      <c r="AO1324" s="4">
        <v>0</v>
      </c>
      <c r="AP1324" s="4">
        <v>3</v>
      </c>
      <c r="AQ1324" s="4">
        <v>6</v>
      </c>
      <c r="AR1324" s="3" t="s">
        <v>61</v>
      </c>
      <c r="AS1324" s="3" t="s">
        <v>62</v>
      </c>
      <c r="AT1324" s="3" t="s">
        <v>62</v>
      </c>
      <c r="AV1324" s="6" t="str">
        <f>HYPERLINK("http://mcgill.on.worldcat.org/oclc/427310811","Catalog Record")</f>
        <v>Catalog Record</v>
      </c>
      <c r="AW1324" s="6" t="str">
        <f>HYPERLINK("http://www.worldcat.org/oclc/427310811","WorldCat Record")</f>
        <v>WorldCat Record</v>
      </c>
      <c r="AX1324" s="3" t="s">
        <v>12931</v>
      </c>
      <c r="AY1324" s="3" t="s">
        <v>12932</v>
      </c>
      <c r="AZ1324" s="3" t="s">
        <v>12933</v>
      </c>
      <c r="BA1324" s="3" t="s">
        <v>12933</v>
      </c>
      <c r="BB1324" s="3" t="s">
        <v>12934</v>
      </c>
      <c r="BC1324" s="3" t="s">
        <v>142</v>
      </c>
      <c r="BD1324" s="3" t="s">
        <v>68</v>
      </c>
      <c r="BE1324" s="3" t="s">
        <v>12935</v>
      </c>
      <c r="BF1324" s="3" t="s">
        <v>12934</v>
      </c>
      <c r="BG1324" s="3" t="s">
        <v>12936</v>
      </c>
    </row>
    <row r="1325" spans="1:59" ht="57" x14ac:dyDescent="0.45">
      <c r="A1325" s="2" t="s">
        <v>59</v>
      </c>
      <c r="B1325" s="2" t="s">
        <v>60</v>
      </c>
      <c r="C1325" s="2" t="s">
        <v>12937</v>
      </c>
      <c r="D1325" s="2" t="s">
        <v>12938</v>
      </c>
      <c r="E1325" s="2" t="s">
        <v>12939</v>
      </c>
      <c r="G1325" s="3" t="s">
        <v>62</v>
      </c>
      <c r="I1325" s="3" t="s">
        <v>62</v>
      </c>
      <c r="J1325" s="3" t="s">
        <v>62</v>
      </c>
      <c r="K1325" s="3" t="s">
        <v>63</v>
      </c>
      <c r="L1325" s="2" t="s">
        <v>12940</v>
      </c>
      <c r="M1325" s="2" t="s">
        <v>3184</v>
      </c>
      <c r="N1325" s="3" t="s">
        <v>125</v>
      </c>
      <c r="O1325" s="2" t="s">
        <v>933</v>
      </c>
      <c r="P1325" s="3" t="s">
        <v>65</v>
      </c>
      <c r="Q1325" s="2" t="s">
        <v>12941</v>
      </c>
      <c r="R1325" s="3" t="s">
        <v>66</v>
      </c>
      <c r="S1325" s="4">
        <v>53</v>
      </c>
      <c r="T1325" s="4">
        <v>53</v>
      </c>
      <c r="U1325" s="5" t="s">
        <v>12942</v>
      </c>
      <c r="V1325" s="5" t="s">
        <v>12942</v>
      </c>
      <c r="W1325" s="5" t="s">
        <v>67</v>
      </c>
      <c r="X1325" s="5" t="s">
        <v>67</v>
      </c>
      <c r="Y1325" s="4">
        <v>552</v>
      </c>
      <c r="Z1325" s="4">
        <v>29</v>
      </c>
      <c r="AA1325" s="4">
        <v>117</v>
      </c>
      <c r="AB1325" s="4">
        <v>1</v>
      </c>
      <c r="AC1325" s="4">
        <v>20</v>
      </c>
      <c r="AD1325" s="4">
        <v>85</v>
      </c>
      <c r="AE1325" s="4">
        <v>160</v>
      </c>
      <c r="AF1325" s="4">
        <v>0</v>
      </c>
      <c r="AG1325" s="4">
        <v>9</v>
      </c>
      <c r="AH1325" s="4">
        <v>72</v>
      </c>
      <c r="AI1325" s="4">
        <v>108</v>
      </c>
      <c r="AJ1325" s="4">
        <v>13</v>
      </c>
      <c r="AK1325" s="4">
        <v>28</v>
      </c>
      <c r="AL1325" s="4">
        <v>41</v>
      </c>
      <c r="AM1325" s="4">
        <v>56</v>
      </c>
      <c r="AN1325" s="4">
        <v>0</v>
      </c>
      <c r="AO1325" s="4">
        <v>0</v>
      </c>
      <c r="AP1325" s="4">
        <v>20</v>
      </c>
      <c r="AQ1325" s="4">
        <v>60</v>
      </c>
      <c r="AR1325" s="3" t="s">
        <v>62</v>
      </c>
      <c r="AS1325" s="3" t="s">
        <v>62</v>
      </c>
      <c r="AT1325" s="3" t="s">
        <v>62</v>
      </c>
      <c r="AV1325" s="6" t="str">
        <f>HYPERLINK("http://mcgill.on.worldcat.org/oclc/20420742","Catalog Record")</f>
        <v>Catalog Record</v>
      </c>
      <c r="AW1325" s="6" t="str">
        <f>HYPERLINK("http://www.worldcat.org/oclc/20420742","WorldCat Record")</f>
        <v>WorldCat Record</v>
      </c>
      <c r="AX1325" s="3" t="s">
        <v>12943</v>
      </c>
      <c r="AY1325" s="3" t="s">
        <v>12944</v>
      </c>
      <c r="AZ1325" s="3" t="s">
        <v>12945</v>
      </c>
      <c r="BA1325" s="3" t="s">
        <v>12945</v>
      </c>
      <c r="BB1325" s="3" t="s">
        <v>12946</v>
      </c>
      <c r="BC1325" s="3" t="s">
        <v>142</v>
      </c>
      <c r="BD1325" s="3" t="s">
        <v>68</v>
      </c>
      <c r="BE1325" s="3" t="s">
        <v>12947</v>
      </c>
      <c r="BF1325" s="3" t="s">
        <v>12946</v>
      </c>
      <c r="BG1325" s="3" t="s">
        <v>12948</v>
      </c>
    </row>
    <row r="1326" spans="1:59" ht="57" x14ac:dyDescent="0.45">
      <c r="A1326" s="2" t="s">
        <v>59</v>
      </c>
      <c r="B1326" s="2" t="s">
        <v>60</v>
      </c>
      <c r="C1326" s="2" t="s">
        <v>12949</v>
      </c>
      <c r="D1326" s="2" t="s">
        <v>12950</v>
      </c>
      <c r="E1326" s="2" t="s">
        <v>12951</v>
      </c>
      <c r="G1326" s="3" t="s">
        <v>62</v>
      </c>
      <c r="I1326" s="3" t="s">
        <v>62</v>
      </c>
      <c r="J1326" s="3" t="s">
        <v>62</v>
      </c>
      <c r="K1326" s="3" t="s">
        <v>63</v>
      </c>
      <c r="L1326" s="2" t="s">
        <v>12952</v>
      </c>
      <c r="M1326" s="2" t="s">
        <v>12953</v>
      </c>
      <c r="N1326" s="3" t="s">
        <v>1059</v>
      </c>
      <c r="P1326" s="3" t="s">
        <v>65</v>
      </c>
      <c r="R1326" s="3" t="s">
        <v>66</v>
      </c>
      <c r="S1326" s="4">
        <v>34</v>
      </c>
      <c r="T1326" s="4">
        <v>34</v>
      </c>
      <c r="U1326" s="5" t="s">
        <v>12954</v>
      </c>
      <c r="V1326" s="5" t="s">
        <v>12954</v>
      </c>
      <c r="W1326" s="5" t="s">
        <v>67</v>
      </c>
      <c r="X1326" s="5" t="s">
        <v>67</v>
      </c>
      <c r="Y1326" s="4">
        <v>630</v>
      </c>
      <c r="Z1326" s="4">
        <v>35</v>
      </c>
      <c r="AA1326" s="4">
        <v>117</v>
      </c>
      <c r="AB1326" s="4">
        <v>3</v>
      </c>
      <c r="AC1326" s="4">
        <v>18</v>
      </c>
      <c r="AD1326" s="4">
        <v>116</v>
      </c>
      <c r="AE1326" s="4">
        <v>156</v>
      </c>
      <c r="AF1326" s="4">
        <v>2</v>
      </c>
      <c r="AG1326" s="4">
        <v>8</v>
      </c>
      <c r="AH1326" s="4">
        <v>105</v>
      </c>
      <c r="AI1326" s="4">
        <v>113</v>
      </c>
      <c r="AJ1326" s="4">
        <v>15</v>
      </c>
      <c r="AK1326" s="4">
        <v>26</v>
      </c>
      <c r="AL1326" s="4">
        <v>54</v>
      </c>
      <c r="AM1326" s="4">
        <v>60</v>
      </c>
      <c r="AN1326" s="4">
        <v>0</v>
      </c>
      <c r="AO1326" s="4">
        <v>0</v>
      </c>
      <c r="AP1326" s="4">
        <v>20</v>
      </c>
      <c r="AQ1326" s="4">
        <v>51</v>
      </c>
      <c r="AR1326" s="3" t="s">
        <v>62</v>
      </c>
      <c r="AS1326" s="3" t="s">
        <v>62</v>
      </c>
      <c r="AT1326" s="3" t="s">
        <v>61</v>
      </c>
      <c r="AU1326" s="6" t="str">
        <f>HYPERLINK("http://catalog.hathitrust.org/Record/005262624","HathiTrust Record")</f>
        <v>HathiTrust Record</v>
      </c>
      <c r="AV1326" s="6" t="str">
        <f>HYPERLINK("http://mcgill.on.worldcat.org/oclc/62766731","Catalog Record")</f>
        <v>Catalog Record</v>
      </c>
      <c r="AW1326" s="6" t="str">
        <f>HYPERLINK("http://www.worldcat.org/oclc/62766731","WorldCat Record")</f>
        <v>WorldCat Record</v>
      </c>
      <c r="AX1326" s="3" t="s">
        <v>12955</v>
      </c>
      <c r="AY1326" s="3" t="s">
        <v>12956</v>
      </c>
      <c r="AZ1326" s="3" t="s">
        <v>12957</v>
      </c>
      <c r="BA1326" s="3" t="s">
        <v>12957</v>
      </c>
      <c r="BB1326" s="3" t="s">
        <v>12958</v>
      </c>
      <c r="BC1326" s="3" t="s">
        <v>142</v>
      </c>
      <c r="BD1326" s="3" t="s">
        <v>308</v>
      </c>
      <c r="BE1326" s="3" t="s">
        <v>12959</v>
      </c>
      <c r="BF1326" s="3" t="s">
        <v>12958</v>
      </c>
      <c r="BG1326" s="3" t="s">
        <v>12960</v>
      </c>
    </row>
    <row r="1327" spans="1:59" ht="57" x14ac:dyDescent="0.45">
      <c r="A1327" s="2" t="s">
        <v>59</v>
      </c>
      <c r="B1327" s="2" t="s">
        <v>60</v>
      </c>
      <c r="C1327" s="2" t="s">
        <v>12961</v>
      </c>
      <c r="D1327" s="2" t="s">
        <v>12962</v>
      </c>
      <c r="E1327" s="2" t="s">
        <v>12963</v>
      </c>
      <c r="G1327" s="3" t="s">
        <v>62</v>
      </c>
      <c r="I1327" s="3" t="s">
        <v>62</v>
      </c>
      <c r="J1327" s="3" t="s">
        <v>62</v>
      </c>
      <c r="K1327" s="3" t="s">
        <v>63</v>
      </c>
      <c r="L1327" s="2" t="s">
        <v>12964</v>
      </c>
      <c r="M1327" s="2" t="s">
        <v>12965</v>
      </c>
      <c r="N1327" s="3" t="s">
        <v>542</v>
      </c>
      <c r="O1327" s="2" t="s">
        <v>168</v>
      </c>
      <c r="P1327" s="3" t="s">
        <v>65</v>
      </c>
      <c r="R1327" s="3" t="s">
        <v>66</v>
      </c>
      <c r="S1327" s="4">
        <v>7</v>
      </c>
      <c r="T1327" s="4">
        <v>7</v>
      </c>
      <c r="U1327" s="5" t="s">
        <v>9744</v>
      </c>
      <c r="V1327" s="5" t="s">
        <v>9744</v>
      </c>
      <c r="W1327" s="5" t="s">
        <v>67</v>
      </c>
      <c r="X1327" s="5" t="s">
        <v>67</v>
      </c>
      <c r="Y1327" s="4">
        <v>936</v>
      </c>
      <c r="Z1327" s="4">
        <v>34</v>
      </c>
      <c r="AA1327" s="4">
        <v>55</v>
      </c>
      <c r="AB1327" s="4">
        <v>2</v>
      </c>
      <c r="AC1327" s="4">
        <v>4</v>
      </c>
      <c r="AD1327" s="4">
        <v>111</v>
      </c>
      <c r="AE1327" s="4">
        <v>119</v>
      </c>
      <c r="AF1327" s="4">
        <v>0</v>
      </c>
      <c r="AG1327" s="4">
        <v>1</v>
      </c>
      <c r="AH1327" s="4">
        <v>99</v>
      </c>
      <c r="AI1327" s="4">
        <v>102</v>
      </c>
      <c r="AJ1327" s="4">
        <v>14</v>
      </c>
      <c r="AK1327" s="4">
        <v>16</v>
      </c>
      <c r="AL1327" s="4">
        <v>54</v>
      </c>
      <c r="AM1327" s="4">
        <v>54</v>
      </c>
      <c r="AN1327" s="4">
        <v>0</v>
      </c>
      <c r="AO1327" s="4">
        <v>0</v>
      </c>
      <c r="AP1327" s="4">
        <v>20</v>
      </c>
      <c r="AQ1327" s="4">
        <v>24</v>
      </c>
      <c r="AR1327" s="3" t="s">
        <v>62</v>
      </c>
      <c r="AS1327" s="3" t="s">
        <v>62</v>
      </c>
      <c r="AT1327" s="3" t="s">
        <v>62</v>
      </c>
      <c r="AV1327" s="6" t="str">
        <f>HYPERLINK("http://mcgill.on.worldcat.org/oclc/47894375","Catalog Record")</f>
        <v>Catalog Record</v>
      </c>
      <c r="AW1327" s="6" t="str">
        <f>HYPERLINK("http://www.worldcat.org/oclc/47894375","WorldCat Record")</f>
        <v>WorldCat Record</v>
      </c>
      <c r="AX1327" s="3" t="s">
        <v>12966</v>
      </c>
      <c r="AY1327" s="3" t="s">
        <v>12967</v>
      </c>
      <c r="AZ1327" s="3" t="s">
        <v>12968</v>
      </c>
      <c r="BA1327" s="3" t="s">
        <v>12968</v>
      </c>
      <c r="BB1327" s="3" t="s">
        <v>12969</v>
      </c>
      <c r="BC1327" s="3" t="s">
        <v>142</v>
      </c>
      <c r="BD1327" s="3" t="s">
        <v>68</v>
      </c>
      <c r="BE1327" s="3" t="s">
        <v>12970</v>
      </c>
      <c r="BF1327" s="3" t="s">
        <v>12969</v>
      </c>
      <c r="BG1327" s="3" t="s">
        <v>12971</v>
      </c>
    </row>
    <row r="1328" spans="1:59" ht="57" x14ac:dyDescent="0.45">
      <c r="A1328" s="2" t="s">
        <v>59</v>
      </c>
      <c r="B1328" s="2" t="s">
        <v>60</v>
      </c>
      <c r="C1328" s="2" t="s">
        <v>12972</v>
      </c>
      <c r="D1328" s="2" t="s">
        <v>12973</v>
      </c>
      <c r="E1328" s="2" t="s">
        <v>12974</v>
      </c>
      <c r="G1328" s="3" t="s">
        <v>62</v>
      </c>
      <c r="I1328" s="3" t="s">
        <v>62</v>
      </c>
      <c r="J1328" s="3" t="s">
        <v>62</v>
      </c>
      <c r="K1328" s="3" t="s">
        <v>63</v>
      </c>
      <c r="L1328" s="2" t="s">
        <v>12975</v>
      </c>
      <c r="M1328" s="2" t="s">
        <v>12976</v>
      </c>
      <c r="N1328" s="3" t="s">
        <v>495</v>
      </c>
      <c r="P1328" s="3" t="s">
        <v>65</v>
      </c>
      <c r="Q1328" s="2" t="s">
        <v>12977</v>
      </c>
      <c r="R1328" s="3" t="s">
        <v>66</v>
      </c>
      <c r="S1328" s="4">
        <v>10</v>
      </c>
      <c r="T1328" s="4">
        <v>10</v>
      </c>
      <c r="U1328" s="5" t="s">
        <v>4782</v>
      </c>
      <c r="V1328" s="5" t="s">
        <v>4782</v>
      </c>
      <c r="W1328" s="5" t="s">
        <v>67</v>
      </c>
      <c r="X1328" s="5" t="s">
        <v>67</v>
      </c>
      <c r="Y1328" s="4">
        <v>437</v>
      </c>
      <c r="Z1328" s="4">
        <v>25</v>
      </c>
      <c r="AA1328" s="4">
        <v>28</v>
      </c>
      <c r="AB1328" s="4">
        <v>3</v>
      </c>
      <c r="AC1328" s="4">
        <v>6</v>
      </c>
      <c r="AD1328" s="4">
        <v>92</v>
      </c>
      <c r="AE1328" s="4">
        <v>96</v>
      </c>
      <c r="AF1328" s="4">
        <v>1</v>
      </c>
      <c r="AG1328" s="4">
        <v>4</v>
      </c>
      <c r="AH1328" s="4">
        <v>84</v>
      </c>
      <c r="AI1328" s="4">
        <v>86</v>
      </c>
      <c r="AJ1328" s="4">
        <v>15</v>
      </c>
      <c r="AK1328" s="4">
        <v>18</v>
      </c>
      <c r="AL1328" s="4">
        <v>36</v>
      </c>
      <c r="AM1328" s="4">
        <v>36</v>
      </c>
      <c r="AN1328" s="4">
        <v>0</v>
      </c>
      <c r="AO1328" s="4">
        <v>0</v>
      </c>
      <c r="AP1328" s="4">
        <v>17</v>
      </c>
      <c r="AQ1328" s="4">
        <v>19</v>
      </c>
      <c r="AR1328" s="3" t="s">
        <v>62</v>
      </c>
      <c r="AS1328" s="3" t="s">
        <v>62</v>
      </c>
      <c r="AT1328" s="3" t="s">
        <v>61</v>
      </c>
      <c r="AU1328" s="6" t="str">
        <f>HYPERLINK("http://catalog.hathitrust.org/Record/000042215","HathiTrust Record")</f>
        <v>HathiTrust Record</v>
      </c>
      <c r="AV1328" s="6" t="str">
        <f>HYPERLINK("http://mcgill.on.worldcat.org/oclc/1176700","Catalog Record")</f>
        <v>Catalog Record</v>
      </c>
      <c r="AW1328" s="6" t="str">
        <f>HYPERLINK("http://www.worldcat.org/oclc/1176700","WorldCat Record")</f>
        <v>WorldCat Record</v>
      </c>
      <c r="AX1328" s="3" t="s">
        <v>12978</v>
      </c>
      <c r="AY1328" s="3" t="s">
        <v>12979</v>
      </c>
      <c r="AZ1328" s="3" t="s">
        <v>12980</v>
      </c>
      <c r="BA1328" s="3" t="s">
        <v>12980</v>
      </c>
      <c r="BB1328" s="3" t="s">
        <v>12981</v>
      </c>
      <c r="BC1328" s="3" t="s">
        <v>142</v>
      </c>
      <c r="BD1328" s="3" t="s">
        <v>68</v>
      </c>
      <c r="BE1328" s="3" t="s">
        <v>12982</v>
      </c>
      <c r="BF1328" s="3" t="s">
        <v>12981</v>
      </c>
      <c r="BG1328" s="3" t="s">
        <v>12983</v>
      </c>
    </row>
    <row r="1329" spans="1:59" ht="57" x14ac:dyDescent="0.45">
      <c r="A1329" s="2" t="s">
        <v>59</v>
      </c>
      <c r="B1329" s="2" t="s">
        <v>60</v>
      </c>
      <c r="C1329" s="2" t="s">
        <v>12984</v>
      </c>
      <c r="D1329" s="2" t="s">
        <v>12985</v>
      </c>
      <c r="E1329" s="2" t="s">
        <v>12986</v>
      </c>
      <c r="G1329" s="3" t="s">
        <v>62</v>
      </c>
      <c r="I1329" s="3" t="s">
        <v>62</v>
      </c>
      <c r="J1329" s="3" t="s">
        <v>62</v>
      </c>
      <c r="K1329" s="3" t="s">
        <v>63</v>
      </c>
      <c r="L1329" s="2" t="s">
        <v>12987</v>
      </c>
      <c r="M1329" s="2" t="s">
        <v>12988</v>
      </c>
      <c r="N1329" s="3" t="s">
        <v>1465</v>
      </c>
      <c r="O1329" s="2" t="s">
        <v>933</v>
      </c>
      <c r="P1329" s="3" t="s">
        <v>65</v>
      </c>
      <c r="R1329" s="3" t="s">
        <v>66</v>
      </c>
      <c r="S1329" s="4">
        <v>9</v>
      </c>
      <c r="T1329" s="4">
        <v>9</v>
      </c>
      <c r="U1329" s="5" t="s">
        <v>12989</v>
      </c>
      <c r="V1329" s="5" t="s">
        <v>12989</v>
      </c>
      <c r="W1329" s="5" t="s">
        <v>67</v>
      </c>
      <c r="X1329" s="5" t="s">
        <v>67</v>
      </c>
      <c r="Y1329" s="4">
        <v>318</v>
      </c>
      <c r="Z1329" s="4">
        <v>31</v>
      </c>
      <c r="AA1329" s="4">
        <v>34</v>
      </c>
      <c r="AB1329" s="4">
        <v>2</v>
      </c>
      <c r="AC1329" s="4">
        <v>5</v>
      </c>
      <c r="AD1329" s="4">
        <v>80</v>
      </c>
      <c r="AE1329" s="4">
        <v>83</v>
      </c>
      <c r="AF1329" s="4">
        <v>1</v>
      </c>
      <c r="AG1329" s="4">
        <v>4</v>
      </c>
      <c r="AH1329" s="4">
        <v>68</v>
      </c>
      <c r="AI1329" s="4">
        <v>69</v>
      </c>
      <c r="AJ1329" s="4">
        <v>15</v>
      </c>
      <c r="AK1329" s="4">
        <v>18</v>
      </c>
      <c r="AL1329" s="4">
        <v>39</v>
      </c>
      <c r="AM1329" s="4">
        <v>39</v>
      </c>
      <c r="AN1329" s="4">
        <v>0</v>
      </c>
      <c r="AO1329" s="4">
        <v>0</v>
      </c>
      <c r="AP1329" s="4">
        <v>21</v>
      </c>
      <c r="AQ1329" s="4">
        <v>24</v>
      </c>
      <c r="AR1329" s="3" t="s">
        <v>62</v>
      </c>
      <c r="AS1329" s="3" t="s">
        <v>62</v>
      </c>
      <c r="AT1329" s="3" t="s">
        <v>62</v>
      </c>
      <c r="AV1329" s="6" t="str">
        <f>HYPERLINK("http://mcgill.on.worldcat.org/oclc/246887627","Catalog Record")</f>
        <v>Catalog Record</v>
      </c>
      <c r="AW1329" s="6" t="str">
        <f>HYPERLINK("http://www.worldcat.org/oclc/246887627","WorldCat Record")</f>
        <v>WorldCat Record</v>
      </c>
      <c r="AX1329" s="3" t="s">
        <v>12990</v>
      </c>
      <c r="AY1329" s="3" t="s">
        <v>12991</v>
      </c>
      <c r="AZ1329" s="3" t="s">
        <v>12992</v>
      </c>
      <c r="BA1329" s="3" t="s">
        <v>12992</v>
      </c>
      <c r="BB1329" s="3" t="s">
        <v>12993</v>
      </c>
      <c r="BC1329" s="3" t="s">
        <v>142</v>
      </c>
      <c r="BD1329" s="3" t="s">
        <v>68</v>
      </c>
      <c r="BE1329" s="3" t="s">
        <v>12994</v>
      </c>
      <c r="BF1329" s="3" t="s">
        <v>12993</v>
      </c>
      <c r="BG1329" s="3" t="s">
        <v>12995</v>
      </c>
    </row>
    <row r="1330" spans="1:59" ht="57" x14ac:dyDescent="0.45">
      <c r="A1330" s="2" t="s">
        <v>59</v>
      </c>
      <c r="B1330" s="2" t="s">
        <v>60</v>
      </c>
      <c r="C1330" s="2" t="s">
        <v>12996</v>
      </c>
      <c r="D1330" s="2" t="s">
        <v>12997</v>
      </c>
      <c r="E1330" s="2" t="s">
        <v>12998</v>
      </c>
      <c r="G1330" s="3" t="s">
        <v>62</v>
      </c>
      <c r="I1330" s="3" t="s">
        <v>62</v>
      </c>
      <c r="J1330" s="3" t="s">
        <v>62</v>
      </c>
      <c r="K1330" s="3" t="s">
        <v>63</v>
      </c>
      <c r="M1330" s="2" t="s">
        <v>12999</v>
      </c>
      <c r="N1330" s="3" t="s">
        <v>116</v>
      </c>
      <c r="P1330" s="3" t="s">
        <v>65</v>
      </c>
      <c r="Q1330" s="2" t="s">
        <v>13000</v>
      </c>
      <c r="R1330" s="3" t="s">
        <v>66</v>
      </c>
      <c r="S1330" s="4">
        <v>4</v>
      </c>
      <c r="T1330" s="4">
        <v>4</v>
      </c>
      <c r="U1330" s="5" t="s">
        <v>13001</v>
      </c>
      <c r="V1330" s="5" t="s">
        <v>13001</v>
      </c>
      <c r="W1330" s="5" t="s">
        <v>67</v>
      </c>
      <c r="X1330" s="5" t="s">
        <v>67</v>
      </c>
      <c r="Y1330" s="4">
        <v>212</v>
      </c>
      <c r="Z1330" s="4">
        <v>22</v>
      </c>
      <c r="AA1330" s="4">
        <v>86</v>
      </c>
      <c r="AB1330" s="4">
        <v>3</v>
      </c>
      <c r="AC1330" s="4">
        <v>16</v>
      </c>
      <c r="AD1330" s="4">
        <v>58</v>
      </c>
      <c r="AE1330" s="4">
        <v>122</v>
      </c>
      <c r="AF1330" s="4">
        <v>1</v>
      </c>
      <c r="AG1330" s="4">
        <v>8</v>
      </c>
      <c r="AH1330" s="4">
        <v>50</v>
      </c>
      <c r="AI1330" s="4">
        <v>85</v>
      </c>
      <c r="AJ1330" s="4">
        <v>13</v>
      </c>
      <c r="AK1330" s="4">
        <v>25</v>
      </c>
      <c r="AL1330" s="4">
        <v>29</v>
      </c>
      <c r="AM1330" s="4">
        <v>41</v>
      </c>
      <c r="AN1330" s="4">
        <v>0</v>
      </c>
      <c r="AO1330" s="4">
        <v>0</v>
      </c>
      <c r="AP1330" s="4">
        <v>14</v>
      </c>
      <c r="AQ1330" s="4">
        <v>46</v>
      </c>
      <c r="AR1330" s="3" t="s">
        <v>62</v>
      </c>
      <c r="AS1330" s="3" t="s">
        <v>62</v>
      </c>
      <c r="AT1330" s="3" t="s">
        <v>62</v>
      </c>
      <c r="AV1330" s="6" t="str">
        <f>HYPERLINK("http://mcgill.on.worldcat.org/oclc/764307324","Catalog Record")</f>
        <v>Catalog Record</v>
      </c>
      <c r="AW1330" s="6" t="str">
        <f>HYPERLINK("http://www.worldcat.org/oclc/764307324","WorldCat Record")</f>
        <v>WorldCat Record</v>
      </c>
      <c r="AX1330" s="3" t="s">
        <v>13002</v>
      </c>
      <c r="AY1330" s="3" t="s">
        <v>13003</v>
      </c>
      <c r="AZ1330" s="3" t="s">
        <v>13004</v>
      </c>
      <c r="BA1330" s="3" t="s">
        <v>13004</v>
      </c>
      <c r="BB1330" s="3" t="s">
        <v>13005</v>
      </c>
      <c r="BC1330" s="3" t="s">
        <v>142</v>
      </c>
      <c r="BD1330" s="3" t="s">
        <v>68</v>
      </c>
      <c r="BE1330" s="3" t="s">
        <v>13006</v>
      </c>
      <c r="BF1330" s="3" t="s">
        <v>13005</v>
      </c>
      <c r="BG1330" s="3" t="s">
        <v>13007</v>
      </c>
    </row>
    <row r="1331" spans="1:59" ht="57" x14ac:dyDescent="0.45">
      <c r="A1331" s="2" t="s">
        <v>59</v>
      </c>
      <c r="B1331" s="2" t="s">
        <v>60</v>
      </c>
      <c r="C1331" s="2" t="s">
        <v>13008</v>
      </c>
      <c r="D1331" s="2" t="s">
        <v>13009</v>
      </c>
      <c r="E1331" s="2" t="s">
        <v>13010</v>
      </c>
      <c r="G1331" s="3" t="s">
        <v>62</v>
      </c>
      <c r="I1331" s="3" t="s">
        <v>62</v>
      </c>
      <c r="J1331" s="3" t="s">
        <v>61</v>
      </c>
      <c r="K1331" s="3" t="s">
        <v>63</v>
      </c>
      <c r="M1331" s="2" t="s">
        <v>13011</v>
      </c>
      <c r="N1331" s="3" t="s">
        <v>149</v>
      </c>
      <c r="O1331" s="2" t="s">
        <v>933</v>
      </c>
      <c r="P1331" s="3" t="s">
        <v>65</v>
      </c>
      <c r="R1331" s="3" t="s">
        <v>66</v>
      </c>
      <c r="S1331" s="4">
        <v>3</v>
      </c>
      <c r="T1331" s="4">
        <v>3</v>
      </c>
      <c r="U1331" s="5" t="s">
        <v>8465</v>
      </c>
      <c r="V1331" s="5" t="s">
        <v>8465</v>
      </c>
      <c r="W1331" s="5" t="s">
        <v>67</v>
      </c>
      <c r="X1331" s="5" t="s">
        <v>67</v>
      </c>
      <c r="Y1331" s="4">
        <v>264</v>
      </c>
      <c r="Z1331" s="4">
        <v>18</v>
      </c>
      <c r="AA1331" s="4">
        <v>111</v>
      </c>
      <c r="AB1331" s="4">
        <v>3</v>
      </c>
      <c r="AC1331" s="4">
        <v>20</v>
      </c>
      <c r="AD1331" s="4">
        <v>64</v>
      </c>
      <c r="AE1331" s="4">
        <v>153</v>
      </c>
      <c r="AF1331" s="4">
        <v>1</v>
      </c>
      <c r="AG1331" s="4">
        <v>8</v>
      </c>
      <c r="AH1331" s="4">
        <v>57</v>
      </c>
      <c r="AI1331" s="4">
        <v>111</v>
      </c>
      <c r="AJ1331" s="4">
        <v>9</v>
      </c>
      <c r="AK1331" s="4">
        <v>26</v>
      </c>
      <c r="AL1331" s="4">
        <v>33</v>
      </c>
      <c r="AM1331" s="4">
        <v>55</v>
      </c>
      <c r="AN1331" s="4">
        <v>0</v>
      </c>
      <c r="AO1331" s="4">
        <v>0</v>
      </c>
      <c r="AP1331" s="4">
        <v>11</v>
      </c>
      <c r="AQ1331" s="4">
        <v>53</v>
      </c>
      <c r="AR1331" s="3" t="s">
        <v>62</v>
      </c>
      <c r="AS1331" s="3" t="s">
        <v>62</v>
      </c>
      <c r="AT1331" s="3" t="s">
        <v>62</v>
      </c>
      <c r="AV1331" s="6" t="str">
        <f>HYPERLINK("http://mcgill.on.worldcat.org/oclc/262887674","Catalog Record")</f>
        <v>Catalog Record</v>
      </c>
      <c r="AW1331" s="6" t="str">
        <f>HYPERLINK("http://www.worldcat.org/oclc/262887674","WorldCat Record")</f>
        <v>WorldCat Record</v>
      </c>
      <c r="AX1331" s="3" t="s">
        <v>13012</v>
      </c>
      <c r="AY1331" s="3" t="s">
        <v>13013</v>
      </c>
      <c r="AZ1331" s="3" t="s">
        <v>13014</v>
      </c>
      <c r="BA1331" s="3" t="s">
        <v>13014</v>
      </c>
      <c r="BB1331" s="3" t="s">
        <v>13015</v>
      </c>
      <c r="BC1331" s="3" t="s">
        <v>142</v>
      </c>
      <c r="BD1331" s="3" t="s">
        <v>68</v>
      </c>
      <c r="BE1331" s="3" t="s">
        <v>13016</v>
      </c>
      <c r="BF1331" s="3" t="s">
        <v>13015</v>
      </c>
      <c r="BG1331" s="3" t="s">
        <v>13017</v>
      </c>
    </row>
    <row r="1332" spans="1:59" ht="57" x14ac:dyDescent="0.45">
      <c r="A1332" s="2" t="s">
        <v>59</v>
      </c>
      <c r="B1332" s="2" t="s">
        <v>60</v>
      </c>
      <c r="C1332" s="2" t="s">
        <v>13018</v>
      </c>
      <c r="D1332" s="2" t="s">
        <v>13019</v>
      </c>
      <c r="E1332" s="2" t="s">
        <v>13020</v>
      </c>
      <c r="G1332" s="3" t="s">
        <v>62</v>
      </c>
      <c r="I1332" s="3" t="s">
        <v>62</v>
      </c>
      <c r="J1332" s="3" t="s">
        <v>62</v>
      </c>
      <c r="K1332" s="3" t="s">
        <v>63</v>
      </c>
      <c r="L1332" s="2" t="s">
        <v>13021</v>
      </c>
      <c r="N1332" s="3" t="s">
        <v>1253</v>
      </c>
      <c r="P1332" s="3" t="s">
        <v>65</v>
      </c>
      <c r="Q1332" s="2" t="s">
        <v>13022</v>
      </c>
      <c r="R1332" s="3" t="s">
        <v>66</v>
      </c>
      <c r="S1332" s="4">
        <v>12</v>
      </c>
      <c r="T1332" s="4">
        <v>12</v>
      </c>
      <c r="U1332" s="5" t="s">
        <v>13023</v>
      </c>
      <c r="V1332" s="5" t="s">
        <v>13023</v>
      </c>
      <c r="W1332" s="5" t="s">
        <v>67</v>
      </c>
      <c r="X1332" s="5" t="s">
        <v>67</v>
      </c>
      <c r="Y1332" s="4">
        <v>224</v>
      </c>
      <c r="Z1332" s="4">
        <v>17</v>
      </c>
      <c r="AA1332" s="4">
        <v>27</v>
      </c>
      <c r="AB1332" s="4">
        <v>2</v>
      </c>
      <c r="AC1332" s="4">
        <v>7</v>
      </c>
      <c r="AD1332" s="4">
        <v>83</v>
      </c>
      <c r="AE1332" s="4">
        <v>88</v>
      </c>
      <c r="AF1332" s="4">
        <v>1</v>
      </c>
      <c r="AG1332" s="4">
        <v>4</v>
      </c>
      <c r="AH1332" s="4">
        <v>74</v>
      </c>
      <c r="AI1332" s="4">
        <v>74</v>
      </c>
      <c r="AJ1332" s="4">
        <v>14</v>
      </c>
      <c r="AK1332" s="4">
        <v>16</v>
      </c>
      <c r="AL1332" s="4">
        <v>46</v>
      </c>
      <c r="AM1332" s="4">
        <v>46</v>
      </c>
      <c r="AN1332" s="4">
        <v>0</v>
      </c>
      <c r="AO1332" s="4">
        <v>0</v>
      </c>
      <c r="AP1332" s="4">
        <v>15</v>
      </c>
      <c r="AQ1332" s="4">
        <v>19</v>
      </c>
      <c r="AR1332" s="3" t="s">
        <v>62</v>
      </c>
      <c r="AS1332" s="3" t="s">
        <v>62</v>
      </c>
      <c r="AT1332" s="3" t="s">
        <v>61</v>
      </c>
      <c r="AU1332" s="6" t="str">
        <f>HYPERLINK("http://catalog.hathitrust.org/Record/003945921","HathiTrust Record")</f>
        <v>HathiTrust Record</v>
      </c>
      <c r="AV1332" s="6" t="str">
        <f>HYPERLINK("http://mcgill.on.worldcat.org/oclc/37026236","Catalog Record")</f>
        <v>Catalog Record</v>
      </c>
      <c r="AW1332" s="6" t="str">
        <f>HYPERLINK("http://www.worldcat.org/oclc/37026236","WorldCat Record")</f>
        <v>WorldCat Record</v>
      </c>
      <c r="AX1332" s="3" t="s">
        <v>13024</v>
      </c>
      <c r="AY1332" s="3" t="s">
        <v>13025</v>
      </c>
      <c r="AZ1332" s="3" t="s">
        <v>13026</v>
      </c>
      <c r="BA1332" s="3" t="s">
        <v>13026</v>
      </c>
      <c r="BB1332" s="3" t="s">
        <v>13027</v>
      </c>
      <c r="BC1332" s="3" t="s">
        <v>142</v>
      </c>
      <c r="BD1332" s="3" t="s">
        <v>68</v>
      </c>
      <c r="BE1332" s="3" t="s">
        <v>13028</v>
      </c>
      <c r="BF1332" s="3" t="s">
        <v>13027</v>
      </c>
      <c r="BG1332" s="3" t="s">
        <v>13029</v>
      </c>
    </row>
    <row r="1333" spans="1:59" ht="57" x14ac:dyDescent="0.45">
      <c r="A1333" s="2" t="s">
        <v>59</v>
      </c>
      <c r="B1333" s="2" t="s">
        <v>60</v>
      </c>
      <c r="C1333" s="2" t="s">
        <v>13030</v>
      </c>
      <c r="D1333" s="2" t="s">
        <v>13031</v>
      </c>
      <c r="E1333" s="2" t="s">
        <v>13032</v>
      </c>
      <c r="G1333" s="3" t="s">
        <v>62</v>
      </c>
      <c r="I1333" s="3" t="s">
        <v>62</v>
      </c>
      <c r="J1333" s="3" t="s">
        <v>62</v>
      </c>
      <c r="K1333" s="3" t="s">
        <v>63</v>
      </c>
      <c r="L1333" s="2" t="s">
        <v>13033</v>
      </c>
      <c r="M1333" s="2" t="s">
        <v>13034</v>
      </c>
      <c r="N1333" s="3" t="s">
        <v>625</v>
      </c>
      <c r="P1333" s="3" t="s">
        <v>65</v>
      </c>
      <c r="R1333" s="3" t="s">
        <v>66</v>
      </c>
      <c r="S1333" s="4">
        <v>54</v>
      </c>
      <c r="T1333" s="4">
        <v>54</v>
      </c>
      <c r="U1333" s="5" t="s">
        <v>13035</v>
      </c>
      <c r="V1333" s="5" t="s">
        <v>13035</v>
      </c>
      <c r="W1333" s="5" t="s">
        <v>67</v>
      </c>
      <c r="X1333" s="5" t="s">
        <v>67</v>
      </c>
      <c r="Y1333" s="4">
        <v>863</v>
      </c>
      <c r="Z1333" s="4">
        <v>51</v>
      </c>
      <c r="AA1333" s="4">
        <v>58</v>
      </c>
      <c r="AB1333" s="4">
        <v>3</v>
      </c>
      <c r="AC1333" s="4">
        <v>7</v>
      </c>
      <c r="AD1333" s="4">
        <v>139</v>
      </c>
      <c r="AE1333" s="4">
        <v>143</v>
      </c>
      <c r="AF1333" s="4">
        <v>2</v>
      </c>
      <c r="AG1333" s="4">
        <v>5</v>
      </c>
      <c r="AH1333" s="4">
        <v>113</v>
      </c>
      <c r="AI1333" s="4">
        <v>114</v>
      </c>
      <c r="AJ1333" s="4">
        <v>21</v>
      </c>
      <c r="AK1333" s="4">
        <v>24</v>
      </c>
      <c r="AL1333" s="4">
        <v>59</v>
      </c>
      <c r="AM1333" s="4">
        <v>59</v>
      </c>
      <c r="AN1333" s="4">
        <v>0</v>
      </c>
      <c r="AO1333" s="4">
        <v>0</v>
      </c>
      <c r="AP1333" s="4">
        <v>35</v>
      </c>
      <c r="AQ1333" s="4">
        <v>38</v>
      </c>
      <c r="AR1333" s="3" t="s">
        <v>62</v>
      </c>
      <c r="AS1333" s="3" t="s">
        <v>62</v>
      </c>
      <c r="AT1333" s="3" t="s">
        <v>62</v>
      </c>
      <c r="AV1333" s="6" t="str">
        <f>HYPERLINK("http://mcgill.on.worldcat.org/oclc/13426478","Catalog Record")</f>
        <v>Catalog Record</v>
      </c>
      <c r="AW1333" s="6" t="str">
        <f>HYPERLINK("http://www.worldcat.org/oclc/13426478","WorldCat Record")</f>
        <v>WorldCat Record</v>
      </c>
      <c r="AX1333" s="3" t="s">
        <v>13036</v>
      </c>
      <c r="AY1333" s="3" t="s">
        <v>13037</v>
      </c>
      <c r="AZ1333" s="3" t="s">
        <v>13038</v>
      </c>
      <c r="BA1333" s="3" t="s">
        <v>13038</v>
      </c>
      <c r="BB1333" s="3" t="s">
        <v>13039</v>
      </c>
      <c r="BC1333" s="3" t="s">
        <v>142</v>
      </c>
      <c r="BD1333" s="3" t="s">
        <v>68</v>
      </c>
      <c r="BE1333" s="3" t="s">
        <v>13040</v>
      </c>
      <c r="BF1333" s="3" t="s">
        <v>13039</v>
      </c>
      <c r="BG1333" s="3" t="s">
        <v>13041</v>
      </c>
    </row>
    <row r="1334" spans="1:59" ht="57" x14ac:dyDescent="0.45">
      <c r="A1334" s="2" t="s">
        <v>59</v>
      </c>
      <c r="B1334" s="2" t="s">
        <v>60</v>
      </c>
      <c r="C1334" s="2" t="s">
        <v>13042</v>
      </c>
      <c r="D1334" s="2" t="s">
        <v>13043</v>
      </c>
      <c r="E1334" s="2" t="s">
        <v>13044</v>
      </c>
      <c r="G1334" s="3" t="s">
        <v>62</v>
      </c>
      <c r="I1334" s="3" t="s">
        <v>62</v>
      </c>
      <c r="J1334" s="3" t="s">
        <v>62</v>
      </c>
      <c r="K1334" s="3" t="s">
        <v>63</v>
      </c>
      <c r="L1334" s="2" t="s">
        <v>13045</v>
      </c>
      <c r="M1334" s="2" t="s">
        <v>13046</v>
      </c>
      <c r="N1334" s="3" t="s">
        <v>1073</v>
      </c>
      <c r="P1334" s="3" t="s">
        <v>65</v>
      </c>
      <c r="R1334" s="3" t="s">
        <v>66</v>
      </c>
      <c r="S1334" s="4">
        <v>9</v>
      </c>
      <c r="T1334" s="4">
        <v>9</v>
      </c>
      <c r="U1334" s="5" t="s">
        <v>13047</v>
      </c>
      <c r="V1334" s="5" t="s">
        <v>13047</v>
      </c>
      <c r="W1334" s="5" t="s">
        <v>67</v>
      </c>
      <c r="X1334" s="5" t="s">
        <v>67</v>
      </c>
      <c r="Y1334" s="4">
        <v>304</v>
      </c>
      <c r="Z1334" s="4">
        <v>8</v>
      </c>
      <c r="AA1334" s="4">
        <v>12</v>
      </c>
      <c r="AB1334" s="4">
        <v>2</v>
      </c>
      <c r="AC1334" s="4">
        <v>2</v>
      </c>
      <c r="AD1334" s="4">
        <v>55</v>
      </c>
      <c r="AE1334" s="4">
        <v>59</v>
      </c>
      <c r="AF1334" s="4">
        <v>1</v>
      </c>
      <c r="AG1334" s="4">
        <v>1</v>
      </c>
      <c r="AH1334" s="4">
        <v>51</v>
      </c>
      <c r="AI1334" s="4">
        <v>53</v>
      </c>
      <c r="AJ1334" s="4">
        <v>5</v>
      </c>
      <c r="AK1334" s="4">
        <v>9</v>
      </c>
      <c r="AL1334" s="4">
        <v>26</v>
      </c>
      <c r="AM1334" s="4">
        <v>26</v>
      </c>
      <c r="AN1334" s="4">
        <v>0</v>
      </c>
      <c r="AO1334" s="4">
        <v>0</v>
      </c>
      <c r="AP1334" s="4">
        <v>6</v>
      </c>
      <c r="AQ1334" s="4">
        <v>10</v>
      </c>
      <c r="AR1334" s="3" t="s">
        <v>62</v>
      </c>
      <c r="AS1334" s="3" t="s">
        <v>62</v>
      </c>
      <c r="AT1334" s="3" t="s">
        <v>61</v>
      </c>
      <c r="AU1334" s="6" t="str">
        <f>HYPERLINK("http://catalog.hathitrust.org/Record/000034007","HathiTrust Record")</f>
        <v>HathiTrust Record</v>
      </c>
      <c r="AV1334" s="6" t="str">
        <f>HYPERLINK("http://mcgill.on.worldcat.org/oclc/1582843","Catalog Record")</f>
        <v>Catalog Record</v>
      </c>
      <c r="AW1334" s="6" t="str">
        <f>HYPERLINK("http://www.worldcat.org/oclc/1582843","WorldCat Record")</f>
        <v>WorldCat Record</v>
      </c>
      <c r="AX1334" s="3" t="s">
        <v>13048</v>
      </c>
      <c r="AY1334" s="3" t="s">
        <v>13049</v>
      </c>
      <c r="AZ1334" s="3" t="s">
        <v>13050</v>
      </c>
      <c r="BA1334" s="3" t="s">
        <v>13050</v>
      </c>
      <c r="BB1334" s="3" t="s">
        <v>13051</v>
      </c>
      <c r="BC1334" s="3" t="s">
        <v>142</v>
      </c>
      <c r="BD1334" s="3" t="s">
        <v>68</v>
      </c>
      <c r="BE1334" s="3" t="s">
        <v>13052</v>
      </c>
      <c r="BF1334" s="3" t="s">
        <v>13051</v>
      </c>
      <c r="BG1334" s="3" t="s">
        <v>13053</v>
      </c>
    </row>
    <row r="1335" spans="1:59" ht="57" x14ac:dyDescent="0.45">
      <c r="A1335" s="2" t="s">
        <v>59</v>
      </c>
      <c r="B1335" s="2" t="s">
        <v>60</v>
      </c>
      <c r="C1335" s="2" t="s">
        <v>13054</v>
      </c>
      <c r="D1335" s="2" t="s">
        <v>13055</v>
      </c>
      <c r="E1335" s="2" t="s">
        <v>13056</v>
      </c>
      <c r="G1335" s="3" t="s">
        <v>62</v>
      </c>
      <c r="I1335" s="3" t="s">
        <v>62</v>
      </c>
      <c r="J1335" s="3" t="s">
        <v>62</v>
      </c>
      <c r="K1335" s="3" t="s">
        <v>63</v>
      </c>
      <c r="L1335" s="2" t="s">
        <v>13057</v>
      </c>
      <c r="M1335" s="2" t="s">
        <v>13058</v>
      </c>
      <c r="N1335" s="3" t="s">
        <v>125</v>
      </c>
      <c r="P1335" s="3" t="s">
        <v>65</v>
      </c>
      <c r="R1335" s="3" t="s">
        <v>66</v>
      </c>
      <c r="S1335" s="4">
        <v>22</v>
      </c>
      <c r="T1335" s="4">
        <v>22</v>
      </c>
      <c r="U1335" s="5" t="s">
        <v>12655</v>
      </c>
      <c r="V1335" s="5" t="s">
        <v>12655</v>
      </c>
      <c r="W1335" s="5" t="s">
        <v>67</v>
      </c>
      <c r="X1335" s="5" t="s">
        <v>67</v>
      </c>
      <c r="Y1335" s="4">
        <v>418</v>
      </c>
      <c r="Z1335" s="4">
        <v>31</v>
      </c>
      <c r="AA1335" s="4">
        <v>34</v>
      </c>
      <c r="AB1335" s="4">
        <v>2</v>
      </c>
      <c r="AC1335" s="4">
        <v>4</v>
      </c>
      <c r="AD1335" s="4">
        <v>97</v>
      </c>
      <c r="AE1335" s="4">
        <v>101</v>
      </c>
      <c r="AF1335" s="4">
        <v>1</v>
      </c>
      <c r="AG1335" s="4">
        <v>3</v>
      </c>
      <c r="AH1335" s="4">
        <v>81</v>
      </c>
      <c r="AI1335" s="4">
        <v>83</v>
      </c>
      <c r="AJ1335" s="4">
        <v>17</v>
      </c>
      <c r="AK1335" s="4">
        <v>19</v>
      </c>
      <c r="AL1335" s="4">
        <v>41</v>
      </c>
      <c r="AM1335" s="4">
        <v>42</v>
      </c>
      <c r="AN1335" s="4">
        <v>0</v>
      </c>
      <c r="AO1335" s="4">
        <v>0</v>
      </c>
      <c r="AP1335" s="4">
        <v>26</v>
      </c>
      <c r="AQ1335" s="4">
        <v>28</v>
      </c>
      <c r="AR1335" s="3" t="s">
        <v>62</v>
      </c>
      <c r="AS1335" s="3" t="s">
        <v>62</v>
      </c>
      <c r="AT1335" s="3" t="s">
        <v>62</v>
      </c>
      <c r="AV1335" s="6" t="str">
        <f>HYPERLINK("http://mcgill.on.worldcat.org/oclc/20259203","Catalog Record")</f>
        <v>Catalog Record</v>
      </c>
      <c r="AW1335" s="6" t="str">
        <f>HYPERLINK("http://www.worldcat.org/oclc/20259203","WorldCat Record")</f>
        <v>WorldCat Record</v>
      </c>
      <c r="AX1335" s="3" t="s">
        <v>13059</v>
      </c>
      <c r="AY1335" s="3" t="s">
        <v>13060</v>
      </c>
      <c r="AZ1335" s="3" t="s">
        <v>13061</v>
      </c>
      <c r="BA1335" s="3" t="s">
        <v>13061</v>
      </c>
      <c r="BB1335" s="3" t="s">
        <v>13062</v>
      </c>
      <c r="BC1335" s="3" t="s">
        <v>142</v>
      </c>
      <c r="BD1335" s="3" t="s">
        <v>68</v>
      </c>
      <c r="BE1335" s="3" t="s">
        <v>13063</v>
      </c>
      <c r="BF1335" s="3" t="s">
        <v>13062</v>
      </c>
      <c r="BG1335" s="3" t="s">
        <v>13064</v>
      </c>
    </row>
    <row r="1336" spans="1:59" ht="57" x14ac:dyDescent="0.45">
      <c r="A1336" s="2" t="s">
        <v>59</v>
      </c>
      <c r="B1336" s="2" t="s">
        <v>60</v>
      </c>
      <c r="C1336" s="2" t="s">
        <v>13065</v>
      </c>
      <c r="D1336" s="2" t="s">
        <v>13066</v>
      </c>
      <c r="E1336" s="2" t="s">
        <v>13067</v>
      </c>
      <c r="G1336" s="3" t="s">
        <v>62</v>
      </c>
      <c r="I1336" s="3" t="s">
        <v>61</v>
      </c>
      <c r="J1336" s="3" t="s">
        <v>61</v>
      </c>
      <c r="K1336" s="3" t="s">
        <v>63</v>
      </c>
      <c r="L1336" s="2" t="s">
        <v>13068</v>
      </c>
      <c r="M1336" s="2" t="s">
        <v>13069</v>
      </c>
      <c r="N1336" s="3" t="s">
        <v>289</v>
      </c>
      <c r="P1336" s="3" t="s">
        <v>65</v>
      </c>
      <c r="R1336" s="3" t="s">
        <v>66</v>
      </c>
      <c r="S1336" s="4">
        <v>23</v>
      </c>
      <c r="T1336" s="4">
        <v>23</v>
      </c>
      <c r="U1336" s="5" t="s">
        <v>13070</v>
      </c>
      <c r="V1336" s="5" t="s">
        <v>13070</v>
      </c>
      <c r="W1336" s="5" t="s">
        <v>67</v>
      </c>
      <c r="X1336" s="5" t="s">
        <v>67</v>
      </c>
      <c r="Y1336" s="4">
        <v>451</v>
      </c>
      <c r="Z1336" s="4">
        <v>54</v>
      </c>
      <c r="AA1336" s="4">
        <v>161</v>
      </c>
      <c r="AB1336" s="4">
        <v>1</v>
      </c>
      <c r="AC1336" s="4">
        <v>21</v>
      </c>
      <c r="AD1336" s="4">
        <v>104</v>
      </c>
      <c r="AE1336" s="4">
        <v>158</v>
      </c>
      <c r="AF1336" s="4">
        <v>0</v>
      </c>
      <c r="AG1336" s="4">
        <v>8</v>
      </c>
      <c r="AH1336" s="4">
        <v>82</v>
      </c>
      <c r="AI1336" s="4">
        <v>104</v>
      </c>
      <c r="AJ1336" s="4">
        <v>15</v>
      </c>
      <c r="AK1336" s="4">
        <v>29</v>
      </c>
      <c r="AL1336" s="4">
        <v>46</v>
      </c>
      <c r="AM1336" s="4">
        <v>55</v>
      </c>
      <c r="AN1336" s="4">
        <v>0</v>
      </c>
      <c r="AO1336" s="4">
        <v>1</v>
      </c>
      <c r="AP1336" s="4">
        <v>28</v>
      </c>
      <c r="AQ1336" s="4">
        <v>61</v>
      </c>
      <c r="AR1336" s="3" t="s">
        <v>61</v>
      </c>
      <c r="AS1336" s="3" t="s">
        <v>62</v>
      </c>
      <c r="AT1336" s="3" t="s">
        <v>61</v>
      </c>
      <c r="AU1336" s="6" t="str">
        <f>HYPERLINK("http://catalog.hathitrust.org/Record/001180766","HathiTrust Record")</f>
        <v>HathiTrust Record</v>
      </c>
      <c r="AV1336" s="6" t="str">
        <f>HYPERLINK("http://mcgill.on.worldcat.org/oclc/4128437","Catalog Record")</f>
        <v>Catalog Record</v>
      </c>
      <c r="AW1336" s="6" t="str">
        <f>HYPERLINK("http://www.worldcat.org/oclc/4128437","WorldCat Record")</f>
        <v>WorldCat Record</v>
      </c>
      <c r="AX1336" s="3" t="s">
        <v>13071</v>
      </c>
      <c r="AY1336" s="3" t="s">
        <v>13072</v>
      </c>
      <c r="AZ1336" s="3" t="s">
        <v>13073</v>
      </c>
      <c r="BA1336" s="3" t="s">
        <v>13073</v>
      </c>
      <c r="BB1336" s="3" t="s">
        <v>13074</v>
      </c>
      <c r="BC1336" s="3" t="s">
        <v>142</v>
      </c>
      <c r="BD1336" s="3" t="s">
        <v>68</v>
      </c>
      <c r="BE1336" s="3" t="s">
        <v>13075</v>
      </c>
      <c r="BF1336" s="3" t="s">
        <v>13074</v>
      </c>
      <c r="BG1336" s="3" t="s">
        <v>13076</v>
      </c>
    </row>
    <row r="1337" spans="1:59" ht="57" x14ac:dyDescent="0.45">
      <c r="A1337" s="2" t="s">
        <v>59</v>
      </c>
      <c r="B1337" s="2" t="s">
        <v>60</v>
      </c>
      <c r="C1337" s="2" t="s">
        <v>13077</v>
      </c>
      <c r="D1337" s="2" t="s">
        <v>13078</v>
      </c>
      <c r="E1337" s="2" t="s">
        <v>13079</v>
      </c>
      <c r="G1337" s="3" t="s">
        <v>62</v>
      </c>
      <c r="I1337" s="3" t="s">
        <v>61</v>
      </c>
      <c r="J1337" s="3" t="s">
        <v>61</v>
      </c>
      <c r="K1337" s="3" t="s">
        <v>63</v>
      </c>
      <c r="L1337" s="2" t="s">
        <v>13068</v>
      </c>
      <c r="M1337" s="2" t="s">
        <v>13080</v>
      </c>
      <c r="N1337" s="3" t="s">
        <v>135</v>
      </c>
      <c r="P1337" s="3" t="s">
        <v>65</v>
      </c>
      <c r="Q1337" s="2" t="s">
        <v>13081</v>
      </c>
      <c r="R1337" s="3" t="s">
        <v>66</v>
      </c>
      <c r="S1337" s="4">
        <v>7</v>
      </c>
      <c r="T1337" s="4">
        <v>67</v>
      </c>
      <c r="U1337" s="5" t="s">
        <v>13082</v>
      </c>
      <c r="V1337" s="5" t="s">
        <v>13083</v>
      </c>
      <c r="W1337" s="5" t="s">
        <v>67</v>
      </c>
      <c r="X1337" s="5" t="s">
        <v>67</v>
      </c>
      <c r="Y1337" s="4">
        <v>220</v>
      </c>
      <c r="Z1337" s="4">
        <v>32</v>
      </c>
      <c r="AA1337" s="4">
        <v>161</v>
      </c>
      <c r="AB1337" s="4">
        <v>1</v>
      </c>
      <c r="AC1337" s="4">
        <v>21</v>
      </c>
      <c r="AD1337" s="4">
        <v>47</v>
      </c>
      <c r="AE1337" s="4">
        <v>158</v>
      </c>
      <c r="AF1337" s="4">
        <v>0</v>
      </c>
      <c r="AG1337" s="4">
        <v>8</v>
      </c>
      <c r="AH1337" s="4">
        <v>36</v>
      </c>
      <c r="AI1337" s="4">
        <v>104</v>
      </c>
      <c r="AJ1337" s="4">
        <v>11</v>
      </c>
      <c r="AK1337" s="4">
        <v>29</v>
      </c>
      <c r="AL1337" s="4">
        <v>17</v>
      </c>
      <c r="AM1337" s="4">
        <v>55</v>
      </c>
      <c r="AN1337" s="4">
        <v>0</v>
      </c>
      <c r="AO1337" s="4">
        <v>1</v>
      </c>
      <c r="AP1337" s="4">
        <v>18</v>
      </c>
      <c r="AQ1337" s="4">
        <v>61</v>
      </c>
      <c r="AR1337" s="3" t="s">
        <v>61</v>
      </c>
      <c r="AS1337" s="3" t="s">
        <v>62</v>
      </c>
      <c r="AT1337" s="3" t="s">
        <v>62</v>
      </c>
      <c r="AV1337" s="6" t="str">
        <f>HYPERLINK("http://mcgill.on.worldcat.org/oclc/5966053","Catalog Record")</f>
        <v>Catalog Record</v>
      </c>
      <c r="AW1337" s="6" t="str">
        <f>HYPERLINK("http://www.worldcat.org/oclc/5966053","WorldCat Record")</f>
        <v>WorldCat Record</v>
      </c>
      <c r="AX1337" s="3" t="s">
        <v>13071</v>
      </c>
      <c r="AY1337" s="3" t="s">
        <v>13084</v>
      </c>
      <c r="AZ1337" s="3" t="s">
        <v>13085</v>
      </c>
      <c r="BA1337" s="3" t="s">
        <v>13085</v>
      </c>
      <c r="BB1337" s="3" t="s">
        <v>13086</v>
      </c>
      <c r="BC1337" s="3" t="s">
        <v>142</v>
      </c>
      <c r="BD1337" s="3" t="s">
        <v>68</v>
      </c>
      <c r="BE1337" s="3" t="s">
        <v>13087</v>
      </c>
      <c r="BF1337" s="3" t="s">
        <v>13086</v>
      </c>
      <c r="BG1337" s="3" t="s">
        <v>13088</v>
      </c>
    </row>
    <row r="1338" spans="1:59" ht="57" x14ac:dyDescent="0.45">
      <c r="A1338" s="2" t="s">
        <v>59</v>
      </c>
      <c r="B1338" s="2" t="s">
        <v>60</v>
      </c>
      <c r="C1338" s="2" t="s">
        <v>13077</v>
      </c>
      <c r="D1338" s="2" t="s">
        <v>13078</v>
      </c>
      <c r="E1338" s="2" t="s">
        <v>13079</v>
      </c>
      <c r="G1338" s="3" t="s">
        <v>62</v>
      </c>
      <c r="I1338" s="3" t="s">
        <v>61</v>
      </c>
      <c r="J1338" s="3" t="s">
        <v>61</v>
      </c>
      <c r="K1338" s="3" t="s">
        <v>63</v>
      </c>
      <c r="L1338" s="2" t="s">
        <v>13068</v>
      </c>
      <c r="M1338" s="2" t="s">
        <v>13080</v>
      </c>
      <c r="N1338" s="3" t="s">
        <v>135</v>
      </c>
      <c r="P1338" s="3" t="s">
        <v>65</v>
      </c>
      <c r="Q1338" s="2" t="s">
        <v>13081</v>
      </c>
      <c r="R1338" s="3" t="s">
        <v>66</v>
      </c>
      <c r="S1338" s="4">
        <v>60</v>
      </c>
      <c r="T1338" s="4">
        <v>67</v>
      </c>
      <c r="U1338" s="5" t="s">
        <v>13083</v>
      </c>
      <c r="V1338" s="5" t="s">
        <v>13083</v>
      </c>
      <c r="W1338" s="5" t="s">
        <v>67</v>
      </c>
      <c r="X1338" s="5" t="s">
        <v>67</v>
      </c>
      <c r="Y1338" s="4">
        <v>220</v>
      </c>
      <c r="Z1338" s="4">
        <v>32</v>
      </c>
      <c r="AA1338" s="4">
        <v>161</v>
      </c>
      <c r="AB1338" s="4">
        <v>1</v>
      </c>
      <c r="AC1338" s="4">
        <v>21</v>
      </c>
      <c r="AD1338" s="4">
        <v>47</v>
      </c>
      <c r="AE1338" s="4">
        <v>158</v>
      </c>
      <c r="AF1338" s="4">
        <v>0</v>
      </c>
      <c r="AG1338" s="4">
        <v>8</v>
      </c>
      <c r="AH1338" s="4">
        <v>36</v>
      </c>
      <c r="AI1338" s="4">
        <v>104</v>
      </c>
      <c r="AJ1338" s="4">
        <v>11</v>
      </c>
      <c r="AK1338" s="4">
        <v>29</v>
      </c>
      <c r="AL1338" s="4">
        <v>17</v>
      </c>
      <c r="AM1338" s="4">
        <v>55</v>
      </c>
      <c r="AN1338" s="4">
        <v>0</v>
      </c>
      <c r="AO1338" s="4">
        <v>1</v>
      </c>
      <c r="AP1338" s="4">
        <v>18</v>
      </c>
      <c r="AQ1338" s="4">
        <v>61</v>
      </c>
      <c r="AR1338" s="3" t="s">
        <v>61</v>
      </c>
      <c r="AS1338" s="3" t="s">
        <v>62</v>
      </c>
      <c r="AT1338" s="3" t="s">
        <v>62</v>
      </c>
      <c r="AV1338" s="6" t="str">
        <f>HYPERLINK("http://mcgill.on.worldcat.org/oclc/5966053","Catalog Record")</f>
        <v>Catalog Record</v>
      </c>
      <c r="AW1338" s="6" t="str">
        <f>HYPERLINK("http://www.worldcat.org/oclc/5966053","WorldCat Record")</f>
        <v>WorldCat Record</v>
      </c>
      <c r="AX1338" s="3" t="s">
        <v>13071</v>
      </c>
      <c r="AY1338" s="3" t="s">
        <v>13084</v>
      </c>
      <c r="AZ1338" s="3" t="s">
        <v>13085</v>
      </c>
      <c r="BA1338" s="3" t="s">
        <v>13085</v>
      </c>
      <c r="BB1338" s="3" t="s">
        <v>13089</v>
      </c>
      <c r="BC1338" s="3" t="s">
        <v>142</v>
      </c>
      <c r="BD1338" s="3" t="s">
        <v>68</v>
      </c>
      <c r="BE1338" s="3" t="s">
        <v>13087</v>
      </c>
      <c r="BF1338" s="3" t="s">
        <v>13089</v>
      </c>
      <c r="BG1338" s="3" t="s">
        <v>13090</v>
      </c>
    </row>
    <row r="1339" spans="1:59" ht="57" x14ac:dyDescent="0.45">
      <c r="A1339" s="2" t="s">
        <v>59</v>
      </c>
      <c r="B1339" s="2" t="s">
        <v>60</v>
      </c>
      <c r="C1339" s="2" t="s">
        <v>13091</v>
      </c>
      <c r="D1339" s="2" t="s">
        <v>13092</v>
      </c>
      <c r="E1339" s="2" t="s">
        <v>13093</v>
      </c>
      <c r="G1339" s="3" t="s">
        <v>62</v>
      </c>
      <c r="I1339" s="3" t="s">
        <v>61</v>
      </c>
      <c r="J1339" s="3" t="s">
        <v>61</v>
      </c>
      <c r="K1339" s="3" t="s">
        <v>63</v>
      </c>
      <c r="L1339" s="2" t="s">
        <v>13068</v>
      </c>
      <c r="M1339" s="2" t="s">
        <v>13094</v>
      </c>
      <c r="N1339" s="3" t="s">
        <v>820</v>
      </c>
      <c r="O1339" s="2" t="s">
        <v>933</v>
      </c>
      <c r="P1339" s="3" t="s">
        <v>65</v>
      </c>
      <c r="R1339" s="3" t="s">
        <v>66</v>
      </c>
      <c r="S1339" s="4">
        <v>14</v>
      </c>
      <c r="T1339" s="4">
        <v>23</v>
      </c>
      <c r="U1339" s="5" t="s">
        <v>13095</v>
      </c>
      <c r="V1339" s="5" t="s">
        <v>13095</v>
      </c>
      <c r="W1339" s="5" t="s">
        <v>67</v>
      </c>
      <c r="X1339" s="5" t="s">
        <v>67</v>
      </c>
      <c r="Y1339" s="4">
        <v>171</v>
      </c>
      <c r="Z1339" s="4">
        <v>46</v>
      </c>
      <c r="AA1339" s="4">
        <v>161</v>
      </c>
      <c r="AB1339" s="4">
        <v>3</v>
      </c>
      <c r="AC1339" s="4">
        <v>21</v>
      </c>
      <c r="AD1339" s="4">
        <v>42</v>
      </c>
      <c r="AE1339" s="4">
        <v>158</v>
      </c>
      <c r="AF1339" s="4">
        <v>1</v>
      </c>
      <c r="AG1339" s="4">
        <v>8</v>
      </c>
      <c r="AH1339" s="4">
        <v>24</v>
      </c>
      <c r="AI1339" s="4">
        <v>104</v>
      </c>
      <c r="AJ1339" s="4">
        <v>14</v>
      </c>
      <c r="AK1339" s="4">
        <v>29</v>
      </c>
      <c r="AL1339" s="4">
        <v>13</v>
      </c>
      <c r="AM1339" s="4">
        <v>55</v>
      </c>
      <c r="AN1339" s="4">
        <v>0</v>
      </c>
      <c r="AO1339" s="4">
        <v>1</v>
      </c>
      <c r="AP1339" s="4">
        <v>22</v>
      </c>
      <c r="AQ1339" s="4">
        <v>61</v>
      </c>
      <c r="AR1339" s="3" t="s">
        <v>61</v>
      </c>
      <c r="AS1339" s="3" t="s">
        <v>62</v>
      </c>
      <c r="AT1339" s="3" t="s">
        <v>62</v>
      </c>
      <c r="AV1339" s="6" t="str">
        <f>HYPERLINK("http://mcgill.on.worldcat.org/oclc/227928741","Catalog Record")</f>
        <v>Catalog Record</v>
      </c>
      <c r="AW1339" s="6" t="str">
        <f>HYPERLINK("http://www.worldcat.org/oclc/227928741","WorldCat Record")</f>
        <v>WorldCat Record</v>
      </c>
      <c r="AX1339" s="3" t="s">
        <v>13071</v>
      </c>
      <c r="AY1339" s="3" t="s">
        <v>13096</v>
      </c>
      <c r="AZ1339" s="3" t="s">
        <v>13097</v>
      </c>
      <c r="BA1339" s="3" t="s">
        <v>13097</v>
      </c>
      <c r="BB1339" s="3" t="s">
        <v>13098</v>
      </c>
      <c r="BC1339" s="3" t="s">
        <v>142</v>
      </c>
      <c r="BD1339" s="3" t="s">
        <v>68</v>
      </c>
      <c r="BE1339" s="3" t="s">
        <v>13099</v>
      </c>
      <c r="BF1339" s="3" t="s">
        <v>13098</v>
      </c>
      <c r="BG1339" s="3" t="s">
        <v>13100</v>
      </c>
    </row>
    <row r="1340" spans="1:59" ht="57" x14ac:dyDescent="0.45">
      <c r="A1340" s="2" t="s">
        <v>59</v>
      </c>
      <c r="B1340" s="2" t="s">
        <v>60</v>
      </c>
      <c r="C1340" s="2" t="s">
        <v>13091</v>
      </c>
      <c r="D1340" s="2" t="s">
        <v>13092</v>
      </c>
      <c r="E1340" s="2" t="s">
        <v>13093</v>
      </c>
      <c r="G1340" s="3" t="s">
        <v>62</v>
      </c>
      <c r="I1340" s="3" t="s">
        <v>61</v>
      </c>
      <c r="J1340" s="3" t="s">
        <v>61</v>
      </c>
      <c r="K1340" s="3" t="s">
        <v>63</v>
      </c>
      <c r="L1340" s="2" t="s">
        <v>13068</v>
      </c>
      <c r="M1340" s="2" t="s">
        <v>13094</v>
      </c>
      <c r="N1340" s="3" t="s">
        <v>820</v>
      </c>
      <c r="O1340" s="2" t="s">
        <v>933</v>
      </c>
      <c r="P1340" s="3" t="s">
        <v>65</v>
      </c>
      <c r="R1340" s="3" t="s">
        <v>66</v>
      </c>
      <c r="S1340" s="4">
        <v>9</v>
      </c>
      <c r="T1340" s="4">
        <v>23</v>
      </c>
      <c r="U1340" s="5" t="s">
        <v>13101</v>
      </c>
      <c r="V1340" s="5" t="s">
        <v>13095</v>
      </c>
      <c r="W1340" s="5" t="s">
        <v>67</v>
      </c>
      <c r="X1340" s="5" t="s">
        <v>67</v>
      </c>
      <c r="Y1340" s="4">
        <v>171</v>
      </c>
      <c r="Z1340" s="4">
        <v>46</v>
      </c>
      <c r="AA1340" s="4">
        <v>161</v>
      </c>
      <c r="AB1340" s="4">
        <v>3</v>
      </c>
      <c r="AC1340" s="4">
        <v>21</v>
      </c>
      <c r="AD1340" s="4">
        <v>42</v>
      </c>
      <c r="AE1340" s="4">
        <v>158</v>
      </c>
      <c r="AF1340" s="4">
        <v>1</v>
      </c>
      <c r="AG1340" s="4">
        <v>8</v>
      </c>
      <c r="AH1340" s="4">
        <v>24</v>
      </c>
      <c r="AI1340" s="4">
        <v>104</v>
      </c>
      <c r="AJ1340" s="4">
        <v>14</v>
      </c>
      <c r="AK1340" s="4">
        <v>29</v>
      </c>
      <c r="AL1340" s="4">
        <v>13</v>
      </c>
      <c r="AM1340" s="4">
        <v>55</v>
      </c>
      <c r="AN1340" s="4">
        <v>0</v>
      </c>
      <c r="AO1340" s="4">
        <v>1</v>
      </c>
      <c r="AP1340" s="4">
        <v>22</v>
      </c>
      <c r="AQ1340" s="4">
        <v>61</v>
      </c>
      <c r="AR1340" s="3" t="s">
        <v>61</v>
      </c>
      <c r="AS1340" s="3" t="s">
        <v>62</v>
      </c>
      <c r="AT1340" s="3" t="s">
        <v>62</v>
      </c>
      <c r="AV1340" s="6" t="str">
        <f>HYPERLINK("http://mcgill.on.worldcat.org/oclc/227928741","Catalog Record")</f>
        <v>Catalog Record</v>
      </c>
      <c r="AW1340" s="6" t="str">
        <f>HYPERLINK("http://www.worldcat.org/oclc/227928741","WorldCat Record")</f>
        <v>WorldCat Record</v>
      </c>
      <c r="AX1340" s="3" t="s">
        <v>13071</v>
      </c>
      <c r="AY1340" s="3" t="s">
        <v>13096</v>
      </c>
      <c r="AZ1340" s="3" t="s">
        <v>13097</v>
      </c>
      <c r="BA1340" s="3" t="s">
        <v>13097</v>
      </c>
      <c r="BB1340" s="3" t="s">
        <v>13102</v>
      </c>
      <c r="BC1340" s="3" t="s">
        <v>142</v>
      </c>
      <c r="BD1340" s="3" t="s">
        <v>68</v>
      </c>
      <c r="BE1340" s="3" t="s">
        <v>13099</v>
      </c>
      <c r="BF1340" s="3" t="s">
        <v>13102</v>
      </c>
      <c r="BG1340" s="3" t="s">
        <v>13103</v>
      </c>
    </row>
    <row r="1341" spans="1:59" ht="57" x14ac:dyDescent="0.45">
      <c r="A1341" s="2" t="s">
        <v>59</v>
      </c>
      <c r="B1341" s="2" t="s">
        <v>60</v>
      </c>
      <c r="C1341" s="2" t="s">
        <v>13104</v>
      </c>
      <c r="D1341" s="2" t="s">
        <v>13105</v>
      </c>
      <c r="E1341" s="2" t="s">
        <v>13106</v>
      </c>
      <c r="G1341" s="3" t="s">
        <v>62</v>
      </c>
      <c r="I1341" s="3" t="s">
        <v>61</v>
      </c>
      <c r="J1341" s="3" t="s">
        <v>61</v>
      </c>
      <c r="K1341" s="3" t="s">
        <v>63</v>
      </c>
      <c r="L1341" s="2" t="s">
        <v>13068</v>
      </c>
      <c r="M1341" s="2" t="s">
        <v>13107</v>
      </c>
      <c r="N1341" s="3" t="s">
        <v>13108</v>
      </c>
      <c r="P1341" s="3" t="s">
        <v>65</v>
      </c>
      <c r="Q1341" s="2" t="s">
        <v>13109</v>
      </c>
      <c r="R1341" s="3" t="s">
        <v>66</v>
      </c>
      <c r="S1341" s="4">
        <v>16</v>
      </c>
      <c r="T1341" s="4">
        <v>32</v>
      </c>
      <c r="U1341" s="5" t="s">
        <v>13110</v>
      </c>
      <c r="V1341" s="5" t="s">
        <v>13110</v>
      </c>
      <c r="W1341" s="5" t="s">
        <v>67</v>
      </c>
      <c r="X1341" s="5" t="s">
        <v>67</v>
      </c>
      <c r="Y1341" s="4">
        <v>175</v>
      </c>
      <c r="Z1341" s="4">
        <v>34</v>
      </c>
      <c r="AA1341" s="4">
        <v>134</v>
      </c>
      <c r="AB1341" s="4">
        <v>2</v>
      </c>
      <c r="AC1341" s="4">
        <v>20</v>
      </c>
      <c r="AD1341" s="4">
        <v>73</v>
      </c>
      <c r="AE1341" s="4">
        <v>162</v>
      </c>
      <c r="AF1341" s="4">
        <v>1</v>
      </c>
      <c r="AG1341" s="4">
        <v>9</v>
      </c>
      <c r="AH1341" s="4">
        <v>57</v>
      </c>
      <c r="AI1341" s="4">
        <v>106</v>
      </c>
      <c r="AJ1341" s="4">
        <v>18</v>
      </c>
      <c r="AK1341" s="4">
        <v>30</v>
      </c>
      <c r="AL1341" s="4">
        <v>32</v>
      </c>
      <c r="AM1341" s="4">
        <v>57</v>
      </c>
      <c r="AN1341" s="4">
        <v>0</v>
      </c>
      <c r="AO1341" s="4">
        <v>0</v>
      </c>
      <c r="AP1341" s="4">
        <v>23</v>
      </c>
      <c r="AQ1341" s="4">
        <v>62</v>
      </c>
      <c r="AR1341" s="3" t="s">
        <v>62</v>
      </c>
      <c r="AS1341" s="3" t="s">
        <v>62</v>
      </c>
      <c r="AT1341" s="3" t="s">
        <v>61</v>
      </c>
      <c r="AU1341" s="6" t="str">
        <f>HYPERLINK("http://catalog.hathitrust.org/Record/001180765","HathiTrust Record")</f>
        <v>HathiTrust Record</v>
      </c>
      <c r="AV1341" s="6" t="str">
        <f>HYPERLINK("http://mcgill.on.worldcat.org/oclc/3227158","Catalog Record")</f>
        <v>Catalog Record</v>
      </c>
      <c r="AW1341" s="6" t="str">
        <f>HYPERLINK("http://www.worldcat.org/oclc/3227158","WorldCat Record")</f>
        <v>WorldCat Record</v>
      </c>
      <c r="AX1341" s="3" t="s">
        <v>13111</v>
      </c>
      <c r="AY1341" s="3" t="s">
        <v>13112</v>
      </c>
      <c r="AZ1341" s="3" t="s">
        <v>13113</v>
      </c>
      <c r="BA1341" s="3" t="s">
        <v>13113</v>
      </c>
      <c r="BB1341" s="3" t="s">
        <v>13114</v>
      </c>
      <c r="BC1341" s="3" t="s">
        <v>142</v>
      </c>
      <c r="BD1341" s="3" t="s">
        <v>68</v>
      </c>
      <c r="BF1341" s="3" t="s">
        <v>13114</v>
      </c>
      <c r="BG1341" s="3" t="s">
        <v>13115</v>
      </c>
    </row>
    <row r="1342" spans="1:59" ht="57" x14ac:dyDescent="0.45">
      <c r="A1342" s="2" t="s">
        <v>59</v>
      </c>
      <c r="B1342" s="2" t="s">
        <v>60</v>
      </c>
      <c r="C1342" s="2" t="s">
        <v>13104</v>
      </c>
      <c r="D1342" s="2" t="s">
        <v>13105</v>
      </c>
      <c r="E1342" s="2" t="s">
        <v>13106</v>
      </c>
      <c r="G1342" s="3" t="s">
        <v>62</v>
      </c>
      <c r="I1342" s="3" t="s">
        <v>61</v>
      </c>
      <c r="J1342" s="3" t="s">
        <v>61</v>
      </c>
      <c r="K1342" s="3" t="s">
        <v>63</v>
      </c>
      <c r="L1342" s="2" t="s">
        <v>13068</v>
      </c>
      <c r="M1342" s="2" t="s">
        <v>13107</v>
      </c>
      <c r="N1342" s="3" t="s">
        <v>13108</v>
      </c>
      <c r="P1342" s="3" t="s">
        <v>65</v>
      </c>
      <c r="Q1342" s="2" t="s">
        <v>13109</v>
      </c>
      <c r="R1342" s="3" t="s">
        <v>66</v>
      </c>
      <c r="S1342" s="4">
        <v>16</v>
      </c>
      <c r="T1342" s="4">
        <v>32</v>
      </c>
      <c r="U1342" s="5" t="s">
        <v>5192</v>
      </c>
      <c r="V1342" s="5" t="s">
        <v>13110</v>
      </c>
      <c r="W1342" s="5" t="s">
        <v>67</v>
      </c>
      <c r="X1342" s="5" t="s">
        <v>67</v>
      </c>
      <c r="Y1342" s="4">
        <v>175</v>
      </c>
      <c r="Z1342" s="4">
        <v>34</v>
      </c>
      <c r="AA1342" s="4">
        <v>134</v>
      </c>
      <c r="AB1342" s="4">
        <v>2</v>
      </c>
      <c r="AC1342" s="4">
        <v>20</v>
      </c>
      <c r="AD1342" s="4">
        <v>73</v>
      </c>
      <c r="AE1342" s="4">
        <v>162</v>
      </c>
      <c r="AF1342" s="4">
        <v>1</v>
      </c>
      <c r="AG1342" s="4">
        <v>9</v>
      </c>
      <c r="AH1342" s="4">
        <v>57</v>
      </c>
      <c r="AI1342" s="4">
        <v>106</v>
      </c>
      <c r="AJ1342" s="4">
        <v>18</v>
      </c>
      <c r="AK1342" s="4">
        <v>30</v>
      </c>
      <c r="AL1342" s="4">
        <v>32</v>
      </c>
      <c r="AM1342" s="4">
        <v>57</v>
      </c>
      <c r="AN1342" s="4">
        <v>0</v>
      </c>
      <c r="AO1342" s="4">
        <v>0</v>
      </c>
      <c r="AP1342" s="4">
        <v>23</v>
      </c>
      <c r="AQ1342" s="4">
        <v>62</v>
      </c>
      <c r="AR1342" s="3" t="s">
        <v>62</v>
      </c>
      <c r="AS1342" s="3" t="s">
        <v>62</v>
      </c>
      <c r="AT1342" s="3" t="s">
        <v>61</v>
      </c>
      <c r="AU1342" s="6" t="str">
        <f>HYPERLINK("http://catalog.hathitrust.org/Record/001180765","HathiTrust Record")</f>
        <v>HathiTrust Record</v>
      </c>
      <c r="AV1342" s="6" t="str">
        <f>HYPERLINK("http://mcgill.on.worldcat.org/oclc/3227158","Catalog Record")</f>
        <v>Catalog Record</v>
      </c>
      <c r="AW1342" s="6" t="str">
        <f>HYPERLINK("http://www.worldcat.org/oclc/3227158","WorldCat Record")</f>
        <v>WorldCat Record</v>
      </c>
      <c r="AX1342" s="3" t="s">
        <v>13111</v>
      </c>
      <c r="AY1342" s="3" t="s">
        <v>13112</v>
      </c>
      <c r="AZ1342" s="3" t="s">
        <v>13113</v>
      </c>
      <c r="BA1342" s="3" t="s">
        <v>13113</v>
      </c>
      <c r="BB1342" s="3" t="s">
        <v>13116</v>
      </c>
      <c r="BC1342" s="3" t="s">
        <v>142</v>
      </c>
      <c r="BD1342" s="3" t="s">
        <v>68</v>
      </c>
      <c r="BF1342" s="3" t="s">
        <v>13116</v>
      </c>
      <c r="BG1342" s="3" t="s">
        <v>13117</v>
      </c>
    </row>
    <row r="1343" spans="1:59" ht="57" x14ac:dyDescent="0.45">
      <c r="A1343" s="2" t="s">
        <v>59</v>
      </c>
      <c r="B1343" s="2" t="s">
        <v>60</v>
      </c>
      <c r="C1343" s="2" t="s">
        <v>13118</v>
      </c>
      <c r="D1343" s="2" t="s">
        <v>13119</v>
      </c>
      <c r="E1343" s="2" t="s">
        <v>13120</v>
      </c>
      <c r="G1343" s="3" t="s">
        <v>62</v>
      </c>
      <c r="I1343" s="3" t="s">
        <v>62</v>
      </c>
      <c r="J1343" s="3" t="s">
        <v>61</v>
      </c>
      <c r="K1343" s="3" t="s">
        <v>63</v>
      </c>
      <c r="L1343" s="2" t="s">
        <v>13068</v>
      </c>
      <c r="M1343" s="2" t="s">
        <v>13121</v>
      </c>
      <c r="N1343" s="3" t="s">
        <v>945</v>
      </c>
      <c r="O1343" s="2" t="s">
        <v>13122</v>
      </c>
      <c r="P1343" s="3" t="s">
        <v>65</v>
      </c>
      <c r="Q1343" s="2" t="s">
        <v>13123</v>
      </c>
      <c r="R1343" s="3" t="s">
        <v>66</v>
      </c>
      <c r="S1343" s="4">
        <v>24</v>
      </c>
      <c r="T1343" s="4">
        <v>24</v>
      </c>
      <c r="U1343" s="5" t="s">
        <v>5337</v>
      </c>
      <c r="V1343" s="5" t="s">
        <v>5337</v>
      </c>
      <c r="W1343" s="5" t="s">
        <v>67</v>
      </c>
      <c r="X1343" s="5" t="s">
        <v>67</v>
      </c>
      <c r="Y1343" s="4">
        <v>139</v>
      </c>
      <c r="Z1343" s="4">
        <v>9</v>
      </c>
      <c r="AA1343" s="4">
        <v>134</v>
      </c>
      <c r="AB1343" s="4">
        <v>1</v>
      </c>
      <c r="AC1343" s="4">
        <v>20</v>
      </c>
      <c r="AD1343" s="4">
        <v>47</v>
      </c>
      <c r="AE1343" s="4">
        <v>162</v>
      </c>
      <c r="AF1343" s="4">
        <v>0</v>
      </c>
      <c r="AG1343" s="4">
        <v>9</v>
      </c>
      <c r="AH1343" s="4">
        <v>45</v>
      </c>
      <c r="AI1343" s="4">
        <v>106</v>
      </c>
      <c r="AJ1343" s="4">
        <v>5</v>
      </c>
      <c r="AK1343" s="4">
        <v>30</v>
      </c>
      <c r="AL1343" s="4">
        <v>23</v>
      </c>
      <c r="AM1343" s="4">
        <v>57</v>
      </c>
      <c r="AN1343" s="4">
        <v>0</v>
      </c>
      <c r="AO1343" s="4">
        <v>0</v>
      </c>
      <c r="AP1343" s="4">
        <v>6</v>
      </c>
      <c r="AQ1343" s="4">
        <v>62</v>
      </c>
      <c r="AR1343" s="3" t="s">
        <v>62</v>
      </c>
      <c r="AS1343" s="3" t="s">
        <v>62</v>
      </c>
      <c r="AT1343" s="3" t="s">
        <v>61</v>
      </c>
      <c r="AU1343" s="6" t="str">
        <f>HYPERLINK("http://catalog.hathitrust.org/Record/007147912","HathiTrust Record")</f>
        <v>HathiTrust Record</v>
      </c>
      <c r="AV1343" s="6" t="str">
        <f>HYPERLINK("http://mcgill.on.worldcat.org/oclc/78893263","Catalog Record")</f>
        <v>Catalog Record</v>
      </c>
      <c r="AW1343" s="6" t="str">
        <f>HYPERLINK("http://www.worldcat.org/oclc/78893263","WorldCat Record")</f>
        <v>WorldCat Record</v>
      </c>
      <c r="AX1343" s="3" t="s">
        <v>13111</v>
      </c>
      <c r="AY1343" s="3" t="s">
        <v>13124</v>
      </c>
      <c r="AZ1343" s="3" t="s">
        <v>13125</v>
      </c>
      <c r="BA1343" s="3" t="s">
        <v>13125</v>
      </c>
      <c r="BB1343" s="3" t="s">
        <v>13126</v>
      </c>
      <c r="BC1343" s="3" t="s">
        <v>142</v>
      </c>
      <c r="BD1343" s="3" t="s">
        <v>308</v>
      </c>
      <c r="BE1343" s="3" t="s">
        <v>13127</v>
      </c>
      <c r="BF1343" s="3" t="s">
        <v>13126</v>
      </c>
      <c r="BG1343" s="3" t="s">
        <v>13128</v>
      </c>
    </row>
    <row r="1344" spans="1:59" ht="57" x14ac:dyDescent="0.45">
      <c r="A1344" s="2" t="s">
        <v>59</v>
      </c>
      <c r="B1344" s="2" t="s">
        <v>60</v>
      </c>
      <c r="C1344" s="2" t="s">
        <v>13129</v>
      </c>
      <c r="D1344" s="2" t="s">
        <v>13130</v>
      </c>
      <c r="E1344" s="2" t="s">
        <v>13131</v>
      </c>
      <c r="G1344" s="3" t="s">
        <v>62</v>
      </c>
      <c r="I1344" s="3" t="s">
        <v>61</v>
      </c>
      <c r="J1344" s="3" t="s">
        <v>62</v>
      </c>
      <c r="K1344" s="3" t="s">
        <v>63</v>
      </c>
      <c r="L1344" s="2" t="s">
        <v>13068</v>
      </c>
      <c r="M1344" s="2" t="s">
        <v>13132</v>
      </c>
      <c r="N1344" s="3" t="s">
        <v>13133</v>
      </c>
      <c r="P1344" s="3" t="s">
        <v>65</v>
      </c>
      <c r="R1344" s="3" t="s">
        <v>66</v>
      </c>
      <c r="S1344" s="4">
        <v>0</v>
      </c>
      <c r="T1344" s="4">
        <v>4</v>
      </c>
      <c r="V1344" s="5" t="s">
        <v>13134</v>
      </c>
      <c r="W1344" s="5" t="s">
        <v>67</v>
      </c>
      <c r="X1344" s="5" t="s">
        <v>67</v>
      </c>
      <c r="Y1344" s="4">
        <v>3</v>
      </c>
      <c r="Z1344" s="4">
        <v>2</v>
      </c>
      <c r="AA1344" s="4">
        <v>14</v>
      </c>
      <c r="AB1344" s="4">
        <v>1</v>
      </c>
      <c r="AC1344" s="4">
        <v>3</v>
      </c>
      <c r="AD1344" s="4">
        <v>2</v>
      </c>
      <c r="AE1344" s="4">
        <v>18</v>
      </c>
      <c r="AF1344" s="4">
        <v>0</v>
      </c>
      <c r="AG1344" s="4">
        <v>2</v>
      </c>
      <c r="AH1344" s="4">
        <v>2</v>
      </c>
      <c r="AI1344" s="4">
        <v>13</v>
      </c>
      <c r="AJ1344" s="4">
        <v>0</v>
      </c>
      <c r="AK1344" s="4">
        <v>7</v>
      </c>
      <c r="AL1344" s="4">
        <v>1</v>
      </c>
      <c r="AM1344" s="4">
        <v>6</v>
      </c>
      <c r="AN1344" s="4">
        <v>0</v>
      </c>
      <c r="AO1344" s="4">
        <v>0</v>
      </c>
      <c r="AP1344" s="4">
        <v>1</v>
      </c>
      <c r="AQ1344" s="4">
        <v>8</v>
      </c>
      <c r="AR1344" s="3" t="s">
        <v>61</v>
      </c>
      <c r="AS1344" s="3" t="s">
        <v>62</v>
      </c>
      <c r="AT1344" s="3" t="s">
        <v>62</v>
      </c>
      <c r="AV1344" s="6" t="str">
        <f>HYPERLINK("http://mcgill.on.worldcat.org/oclc/271431176","Catalog Record")</f>
        <v>Catalog Record</v>
      </c>
      <c r="AW1344" s="6" t="str">
        <f>HYPERLINK("http://www.worldcat.org/oclc/271431176","WorldCat Record")</f>
        <v>WorldCat Record</v>
      </c>
      <c r="AX1344" s="3" t="s">
        <v>13135</v>
      </c>
      <c r="AY1344" s="3" t="s">
        <v>13136</v>
      </c>
      <c r="AZ1344" s="3" t="s">
        <v>13137</v>
      </c>
      <c r="BA1344" s="3" t="s">
        <v>13137</v>
      </c>
      <c r="BB1344" s="3" t="s">
        <v>13138</v>
      </c>
      <c r="BC1344" s="3" t="s">
        <v>142</v>
      </c>
      <c r="BD1344" s="3" t="s">
        <v>68</v>
      </c>
      <c r="BF1344" s="3" t="s">
        <v>13138</v>
      </c>
      <c r="BG1344" s="3" t="s">
        <v>13139</v>
      </c>
    </row>
    <row r="1345" spans="1:59" ht="57" x14ac:dyDescent="0.45">
      <c r="A1345" s="2" t="s">
        <v>59</v>
      </c>
      <c r="B1345" s="2" t="s">
        <v>60</v>
      </c>
      <c r="C1345" s="2" t="s">
        <v>13129</v>
      </c>
      <c r="D1345" s="2" t="s">
        <v>13130</v>
      </c>
      <c r="E1345" s="2" t="s">
        <v>13131</v>
      </c>
      <c r="G1345" s="3" t="s">
        <v>62</v>
      </c>
      <c r="I1345" s="3" t="s">
        <v>61</v>
      </c>
      <c r="J1345" s="3" t="s">
        <v>62</v>
      </c>
      <c r="K1345" s="3" t="s">
        <v>63</v>
      </c>
      <c r="L1345" s="2" t="s">
        <v>13068</v>
      </c>
      <c r="M1345" s="2" t="s">
        <v>13132</v>
      </c>
      <c r="N1345" s="3" t="s">
        <v>13133</v>
      </c>
      <c r="P1345" s="3" t="s">
        <v>65</v>
      </c>
      <c r="R1345" s="3" t="s">
        <v>66</v>
      </c>
      <c r="S1345" s="4">
        <v>4</v>
      </c>
      <c r="T1345" s="4">
        <v>4</v>
      </c>
      <c r="U1345" s="5" t="s">
        <v>13134</v>
      </c>
      <c r="V1345" s="5" t="s">
        <v>13134</v>
      </c>
      <c r="W1345" s="5" t="s">
        <v>67</v>
      </c>
      <c r="X1345" s="5" t="s">
        <v>67</v>
      </c>
      <c r="Y1345" s="4">
        <v>3</v>
      </c>
      <c r="Z1345" s="4">
        <v>2</v>
      </c>
      <c r="AA1345" s="4">
        <v>14</v>
      </c>
      <c r="AB1345" s="4">
        <v>1</v>
      </c>
      <c r="AC1345" s="4">
        <v>3</v>
      </c>
      <c r="AD1345" s="4">
        <v>2</v>
      </c>
      <c r="AE1345" s="4">
        <v>18</v>
      </c>
      <c r="AF1345" s="4">
        <v>0</v>
      </c>
      <c r="AG1345" s="4">
        <v>2</v>
      </c>
      <c r="AH1345" s="4">
        <v>2</v>
      </c>
      <c r="AI1345" s="4">
        <v>13</v>
      </c>
      <c r="AJ1345" s="4">
        <v>0</v>
      </c>
      <c r="AK1345" s="4">
        <v>7</v>
      </c>
      <c r="AL1345" s="4">
        <v>1</v>
      </c>
      <c r="AM1345" s="4">
        <v>6</v>
      </c>
      <c r="AN1345" s="4">
        <v>0</v>
      </c>
      <c r="AO1345" s="4">
        <v>0</v>
      </c>
      <c r="AP1345" s="4">
        <v>1</v>
      </c>
      <c r="AQ1345" s="4">
        <v>8</v>
      </c>
      <c r="AR1345" s="3" t="s">
        <v>61</v>
      </c>
      <c r="AS1345" s="3" t="s">
        <v>62</v>
      </c>
      <c r="AT1345" s="3" t="s">
        <v>62</v>
      </c>
      <c r="AV1345" s="6" t="str">
        <f>HYPERLINK("http://mcgill.on.worldcat.org/oclc/271431176","Catalog Record")</f>
        <v>Catalog Record</v>
      </c>
      <c r="AW1345" s="6" t="str">
        <f>HYPERLINK("http://www.worldcat.org/oclc/271431176","WorldCat Record")</f>
        <v>WorldCat Record</v>
      </c>
      <c r="AX1345" s="3" t="s">
        <v>13135</v>
      </c>
      <c r="AY1345" s="3" t="s">
        <v>13136</v>
      </c>
      <c r="AZ1345" s="3" t="s">
        <v>13137</v>
      </c>
      <c r="BA1345" s="3" t="s">
        <v>13137</v>
      </c>
      <c r="BB1345" s="3" t="s">
        <v>13140</v>
      </c>
      <c r="BC1345" s="3" t="s">
        <v>142</v>
      </c>
      <c r="BD1345" s="3" t="s">
        <v>68</v>
      </c>
      <c r="BF1345" s="3" t="s">
        <v>13140</v>
      </c>
      <c r="BG1345" s="3" t="s">
        <v>13141</v>
      </c>
    </row>
    <row r="1346" spans="1:59" ht="57" x14ac:dyDescent="0.45">
      <c r="A1346" s="2" t="s">
        <v>59</v>
      </c>
      <c r="B1346" s="2" t="s">
        <v>60</v>
      </c>
      <c r="C1346" s="2" t="s">
        <v>13142</v>
      </c>
      <c r="D1346" s="2" t="s">
        <v>13143</v>
      </c>
      <c r="E1346" s="2" t="s">
        <v>13144</v>
      </c>
      <c r="G1346" s="3" t="s">
        <v>62</v>
      </c>
      <c r="I1346" s="3" t="s">
        <v>62</v>
      </c>
      <c r="J1346" s="3" t="s">
        <v>62</v>
      </c>
      <c r="K1346" s="3" t="s">
        <v>63</v>
      </c>
      <c r="M1346" s="2" t="s">
        <v>13145</v>
      </c>
      <c r="N1346" s="3" t="s">
        <v>894</v>
      </c>
      <c r="P1346" s="3" t="s">
        <v>65</v>
      </c>
      <c r="R1346" s="3" t="s">
        <v>66</v>
      </c>
      <c r="S1346" s="4">
        <v>7</v>
      </c>
      <c r="T1346" s="4">
        <v>7</v>
      </c>
      <c r="U1346" s="5" t="s">
        <v>13146</v>
      </c>
      <c r="V1346" s="5" t="s">
        <v>13146</v>
      </c>
      <c r="W1346" s="5" t="s">
        <v>67</v>
      </c>
      <c r="X1346" s="5" t="s">
        <v>67</v>
      </c>
      <c r="Y1346" s="4">
        <v>40</v>
      </c>
      <c r="Z1346" s="4">
        <v>19</v>
      </c>
      <c r="AA1346" s="4">
        <v>23</v>
      </c>
      <c r="AB1346" s="4">
        <v>1</v>
      </c>
      <c r="AC1346" s="4">
        <v>4</v>
      </c>
      <c r="AD1346" s="4">
        <v>18</v>
      </c>
      <c r="AE1346" s="4">
        <v>21</v>
      </c>
      <c r="AF1346" s="4">
        <v>0</v>
      </c>
      <c r="AG1346" s="4">
        <v>3</v>
      </c>
      <c r="AH1346" s="4">
        <v>12</v>
      </c>
      <c r="AI1346" s="4">
        <v>12</v>
      </c>
      <c r="AJ1346" s="4">
        <v>11</v>
      </c>
      <c r="AK1346" s="4">
        <v>14</v>
      </c>
      <c r="AL1346" s="4">
        <v>5</v>
      </c>
      <c r="AM1346" s="4">
        <v>5</v>
      </c>
      <c r="AN1346" s="4">
        <v>0</v>
      </c>
      <c r="AO1346" s="4">
        <v>0</v>
      </c>
      <c r="AP1346" s="4">
        <v>12</v>
      </c>
      <c r="AQ1346" s="4">
        <v>14</v>
      </c>
      <c r="AR1346" s="3" t="s">
        <v>61</v>
      </c>
      <c r="AS1346" s="3" t="s">
        <v>62</v>
      </c>
      <c r="AT1346" s="3" t="s">
        <v>62</v>
      </c>
      <c r="AV1346" s="6" t="str">
        <f>HYPERLINK("http://mcgill.on.worldcat.org/oclc/726556277","Catalog Record")</f>
        <v>Catalog Record</v>
      </c>
      <c r="AW1346" s="6" t="str">
        <f>HYPERLINK("http://www.worldcat.org/oclc/726556277","WorldCat Record")</f>
        <v>WorldCat Record</v>
      </c>
      <c r="AX1346" s="3" t="s">
        <v>13147</v>
      </c>
      <c r="AY1346" s="3" t="s">
        <v>13148</v>
      </c>
      <c r="AZ1346" s="3" t="s">
        <v>13149</v>
      </c>
      <c r="BA1346" s="3" t="s">
        <v>13149</v>
      </c>
      <c r="BB1346" s="3" t="s">
        <v>13150</v>
      </c>
      <c r="BC1346" s="3" t="s">
        <v>142</v>
      </c>
      <c r="BD1346" s="3" t="s">
        <v>68</v>
      </c>
      <c r="BE1346" s="3" t="s">
        <v>13151</v>
      </c>
      <c r="BF1346" s="3" t="s">
        <v>13150</v>
      </c>
      <c r="BG1346" s="3" t="s">
        <v>13152</v>
      </c>
    </row>
    <row r="1347" spans="1:59" ht="57" x14ac:dyDescent="0.45">
      <c r="A1347" s="2" t="s">
        <v>59</v>
      </c>
      <c r="B1347" s="2" t="s">
        <v>60</v>
      </c>
      <c r="C1347" s="2" t="s">
        <v>13153</v>
      </c>
      <c r="D1347" s="2" t="s">
        <v>13154</v>
      </c>
      <c r="E1347" s="2" t="s">
        <v>13155</v>
      </c>
      <c r="G1347" s="3" t="s">
        <v>62</v>
      </c>
      <c r="I1347" s="3" t="s">
        <v>62</v>
      </c>
      <c r="J1347" s="3" t="s">
        <v>62</v>
      </c>
      <c r="K1347" s="3" t="s">
        <v>63</v>
      </c>
      <c r="M1347" s="2" t="s">
        <v>13156</v>
      </c>
      <c r="N1347" s="3" t="s">
        <v>1688</v>
      </c>
      <c r="P1347" s="3" t="s">
        <v>65</v>
      </c>
      <c r="R1347" s="3" t="s">
        <v>66</v>
      </c>
      <c r="S1347" s="4">
        <v>1</v>
      </c>
      <c r="T1347" s="4">
        <v>1</v>
      </c>
      <c r="U1347" s="5" t="s">
        <v>13157</v>
      </c>
      <c r="V1347" s="5" t="s">
        <v>13157</v>
      </c>
      <c r="W1347" s="5" t="s">
        <v>13158</v>
      </c>
      <c r="X1347" s="5" t="s">
        <v>13158</v>
      </c>
      <c r="Y1347" s="4">
        <v>310</v>
      </c>
      <c r="Z1347" s="4">
        <v>19</v>
      </c>
      <c r="AA1347" s="4">
        <v>96</v>
      </c>
      <c r="AB1347" s="4">
        <v>3</v>
      </c>
      <c r="AC1347" s="4">
        <v>15</v>
      </c>
      <c r="AD1347" s="4">
        <v>66</v>
      </c>
      <c r="AE1347" s="4">
        <v>129</v>
      </c>
      <c r="AF1347" s="4">
        <v>1</v>
      </c>
      <c r="AG1347" s="4">
        <v>8</v>
      </c>
      <c r="AH1347" s="4">
        <v>60</v>
      </c>
      <c r="AI1347" s="4">
        <v>89</v>
      </c>
      <c r="AJ1347" s="4">
        <v>7</v>
      </c>
      <c r="AK1347" s="4">
        <v>23</v>
      </c>
      <c r="AL1347" s="4">
        <v>40</v>
      </c>
      <c r="AM1347" s="4">
        <v>51</v>
      </c>
      <c r="AN1347" s="4">
        <v>0</v>
      </c>
      <c r="AO1347" s="4">
        <v>0</v>
      </c>
      <c r="AP1347" s="4">
        <v>7</v>
      </c>
      <c r="AQ1347" s="4">
        <v>46</v>
      </c>
      <c r="AR1347" s="3" t="s">
        <v>62</v>
      </c>
      <c r="AS1347" s="3" t="s">
        <v>62</v>
      </c>
      <c r="AT1347" s="3" t="s">
        <v>62</v>
      </c>
      <c r="AV1347" s="6" t="str">
        <f>HYPERLINK("http://mcgill.on.worldcat.org/oclc/846846818","Catalog Record")</f>
        <v>Catalog Record</v>
      </c>
      <c r="AW1347" s="6" t="str">
        <f>HYPERLINK("http://www.worldcat.org/oclc/846846818","WorldCat Record")</f>
        <v>WorldCat Record</v>
      </c>
      <c r="AX1347" s="3" t="s">
        <v>13159</v>
      </c>
      <c r="AY1347" s="3" t="s">
        <v>13160</v>
      </c>
      <c r="AZ1347" s="3" t="s">
        <v>13161</v>
      </c>
      <c r="BA1347" s="3" t="s">
        <v>13161</v>
      </c>
      <c r="BB1347" s="3" t="s">
        <v>13162</v>
      </c>
      <c r="BC1347" s="3" t="s">
        <v>142</v>
      </c>
      <c r="BD1347" s="3" t="s">
        <v>68</v>
      </c>
      <c r="BE1347" s="3" t="s">
        <v>13163</v>
      </c>
      <c r="BF1347" s="3" t="s">
        <v>13162</v>
      </c>
      <c r="BG1347" s="3" t="s">
        <v>13164</v>
      </c>
    </row>
    <row r="1348" spans="1:59" ht="57" x14ac:dyDescent="0.45">
      <c r="A1348" s="2" t="s">
        <v>59</v>
      </c>
      <c r="B1348" s="2" t="s">
        <v>60</v>
      </c>
      <c r="C1348" s="2" t="s">
        <v>13167</v>
      </c>
      <c r="D1348" s="2" t="s">
        <v>13168</v>
      </c>
      <c r="E1348" s="2" t="s">
        <v>13169</v>
      </c>
      <c r="G1348" s="3" t="s">
        <v>62</v>
      </c>
      <c r="I1348" s="3" t="s">
        <v>62</v>
      </c>
      <c r="J1348" s="3" t="s">
        <v>62</v>
      </c>
      <c r="K1348" s="3" t="s">
        <v>63</v>
      </c>
      <c r="L1348" s="2" t="s">
        <v>13170</v>
      </c>
      <c r="M1348" s="2" t="s">
        <v>13171</v>
      </c>
      <c r="N1348" s="3" t="s">
        <v>208</v>
      </c>
      <c r="P1348" s="3" t="s">
        <v>65</v>
      </c>
      <c r="Q1348" s="2" t="s">
        <v>13172</v>
      </c>
      <c r="R1348" s="3" t="s">
        <v>66</v>
      </c>
      <c r="S1348" s="4">
        <v>1</v>
      </c>
      <c r="T1348" s="4">
        <v>1</v>
      </c>
      <c r="U1348" s="5" t="s">
        <v>10032</v>
      </c>
      <c r="V1348" s="5" t="s">
        <v>10032</v>
      </c>
      <c r="W1348" s="5" t="s">
        <v>67</v>
      </c>
      <c r="X1348" s="5" t="s">
        <v>67</v>
      </c>
      <c r="Y1348" s="4">
        <v>84</v>
      </c>
      <c r="Z1348" s="4">
        <v>9</v>
      </c>
      <c r="AA1348" s="4">
        <v>14</v>
      </c>
      <c r="AB1348" s="4">
        <v>1</v>
      </c>
      <c r="AC1348" s="4">
        <v>5</v>
      </c>
      <c r="AD1348" s="4">
        <v>37</v>
      </c>
      <c r="AE1348" s="4">
        <v>45</v>
      </c>
      <c r="AF1348" s="4">
        <v>0</v>
      </c>
      <c r="AG1348" s="4">
        <v>2</v>
      </c>
      <c r="AH1348" s="4">
        <v>36</v>
      </c>
      <c r="AI1348" s="4">
        <v>41</v>
      </c>
      <c r="AJ1348" s="4">
        <v>6</v>
      </c>
      <c r="AK1348" s="4">
        <v>9</v>
      </c>
      <c r="AL1348" s="4">
        <v>21</v>
      </c>
      <c r="AM1348" s="4">
        <v>24</v>
      </c>
      <c r="AN1348" s="4">
        <v>0</v>
      </c>
      <c r="AO1348" s="4">
        <v>0</v>
      </c>
      <c r="AP1348" s="4">
        <v>6</v>
      </c>
      <c r="AQ1348" s="4">
        <v>8</v>
      </c>
      <c r="AR1348" s="3" t="s">
        <v>62</v>
      </c>
      <c r="AS1348" s="3" t="s">
        <v>62</v>
      </c>
      <c r="AT1348" s="3" t="s">
        <v>62</v>
      </c>
      <c r="AV1348" s="6" t="str">
        <f>HYPERLINK("http://mcgill.on.worldcat.org/oclc/890377356","Catalog Record")</f>
        <v>Catalog Record</v>
      </c>
      <c r="AW1348" s="6" t="str">
        <f>HYPERLINK("http://www.worldcat.org/oclc/890377356","WorldCat Record")</f>
        <v>WorldCat Record</v>
      </c>
      <c r="AX1348" s="3" t="s">
        <v>13173</v>
      </c>
      <c r="AY1348" s="3" t="s">
        <v>13174</v>
      </c>
      <c r="AZ1348" s="3" t="s">
        <v>13175</v>
      </c>
      <c r="BA1348" s="3" t="s">
        <v>13175</v>
      </c>
      <c r="BB1348" s="3" t="s">
        <v>13176</v>
      </c>
      <c r="BC1348" s="3" t="s">
        <v>142</v>
      </c>
      <c r="BD1348" s="3" t="s">
        <v>68</v>
      </c>
      <c r="BE1348" s="3" t="s">
        <v>13177</v>
      </c>
      <c r="BF1348" s="3" t="s">
        <v>13176</v>
      </c>
      <c r="BG1348" s="3" t="s">
        <v>13178</v>
      </c>
    </row>
    <row r="1349" spans="1:59" ht="57" x14ac:dyDescent="0.45">
      <c r="A1349" s="2" t="s">
        <v>59</v>
      </c>
      <c r="B1349" s="2" t="s">
        <v>60</v>
      </c>
      <c r="C1349" s="2" t="s">
        <v>13179</v>
      </c>
      <c r="D1349" s="2" t="s">
        <v>13180</v>
      </c>
      <c r="E1349" s="2" t="s">
        <v>13181</v>
      </c>
      <c r="G1349" s="3" t="s">
        <v>62</v>
      </c>
      <c r="I1349" s="3" t="s">
        <v>62</v>
      </c>
      <c r="J1349" s="3" t="s">
        <v>62</v>
      </c>
      <c r="K1349" s="3" t="s">
        <v>63</v>
      </c>
      <c r="L1349" s="2" t="s">
        <v>13182</v>
      </c>
      <c r="M1349" s="2" t="s">
        <v>11910</v>
      </c>
      <c r="N1349" s="3" t="s">
        <v>149</v>
      </c>
      <c r="P1349" s="3" t="s">
        <v>65</v>
      </c>
      <c r="Q1349" s="2" t="s">
        <v>13183</v>
      </c>
      <c r="R1349" s="3" t="s">
        <v>66</v>
      </c>
      <c r="S1349" s="4">
        <v>0</v>
      </c>
      <c r="T1349" s="4">
        <v>0</v>
      </c>
      <c r="W1349" s="5" t="s">
        <v>67</v>
      </c>
      <c r="X1349" s="5" t="s">
        <v>67</v>
      </c>
      <c r="Y1349" s="4">
        <v>184</v>
      </c>
      <c r="Z1349" s="4">
        <v>23</v>
      </c>
      <c r="AA1349" s="4">
        <v>86</v>
      </c>
      <c r="AB1349" s="4">
        <v>2</v>
      </c>
      <c r="AC1349" s="4">
        <v>14</v>
      </c>
      <c r="AD1349" s="4">
        <v>77</v>
      </c>
      <c r="AE1349" s="4">
        <v>127</v>
      </c>
      <c r="AF1349" s="4">
        <v>1</v>
      </c>
      <c r="AG1349" s="4">
        <v>8</v>
      </c>
      <c r="AH1349" s="4">
        <v>69</v>
      </c>
      <c r="AI1349" s="4">
        <v>91</v>
      </c>
      <c r="AJ1349" s="4">
        <v>18</v>
      </c>
      <c r="AK1349" s="4">
        <v>26</v>
      </c>
      <c r="AL1349" s="4">
        <v>33</v>
      </c>
      <c r="AM1349" s="4">
        <v>46</v>
      </c>
      <c r="AN1349" s="4">
        <v>0</v>
      </c>
      <c r="AO1349" s="4">
        <v>0</v>
      </c>
      <c r="AP1349" s="4">
        <v>19</v>
      </c>
      <c r="AQ1349" s="4">
        <v>47</v>
      </c>
      <c r="AR1349" s="3" t="s">
        <v>62</v>
      </c>
      <c r="AS1349" s="3" t="s">
        <v>62</v>
      </c>
      <c r="AT1349" s="3" t="s">
        <v>62</v>
      </c>
      <c r="AV1349" s="6" t="str">
        <f>HYPERLINK("http://mcgill.on.worldcat.org/oclc/613311533","Catalog Record")</f>
        <v>Catalog Record</v>
      </c>
      <c r="AW1349" s="6" t="str">
        <f>HYPERLINK("http://www.worldcat.org/oclc/613311533","WorldCat Record")</f>
        <v>WorldCat Record</v>
      </c>
      <c r="AX1349" s="3" t="s">
        <v>13184</v>
      </c>
      <c r="AY1349" s="3" t="s">
        <v>13185</v>
      </c>
      <c r="AZ1349" s="3" t="s">
        <v>13186</v>
      </c>
      <c r="BA1349" s="3" t="s">
        <v>13186</v>
      </c>
      <c r="BB1349" s="3" t="s">
        <v>13187</v>
      </c>
      <c r="BC1349" s="3" t="s">
        <v>142</v>
      </c>
      <c r="BD1349" s="3" t="s">
        <v>68</v>
      </c>
      <c r="BE1349" s="3" t="s">
        <v>13188</v>
      </c>
      <c r="BF1349" s="3" t="s">
        <v>13187</v>
      </c>
      <c r="BG1349" s="3" t="s">
        <v>13189</v>
      </c>
    </row>
    <row r="1350" spans="1:59" ht="57" x14ac:dyDescent="0.45">
      <c r="A1350" s="2" t="s">
        <v>59</v>
      </c>
      <c r="B1350" s="2" t="s">
        <v>60</v>
      </c>
      <c r="C1350" s="2" t="s">
        <v>13190</v>
      </c>
      <c r="D1350" s="2" t="s">
        <v>13191</v>
      </c>
      <c r="E1350" s="2" t="s">
        <v>13192</v>
      </c>
      <c r="G1350" s="3" t="s">
        <v>62</v>
      </c>
      <c r="I1350" s="3" t="s">
        <v>62</v>
      </c>
      <c r="J1350" s="3" t="s">
        <v>62</v>
      </c>
      <c r="K1350" s="3" t="s">
        <v>63</v>
      </c>
      <c r="L1350" s="2" t="s">
        <v>13193</v>
      </c>
      <c r="M1350" s="2" t="s">
        <v>13194</v>
      </c>
      <c r="N1350" s="3" t="s">
        <v>894</v>
      </c>
      <c r="P1350" s="3" t="s">
        <v>65</v>
      </c>
      <c r="R1350" s="3" t="s">
        <v>66</v>
      </c>
      <c r="S1350" s="4">
        <v>5</v>
      </c>
      <c r="T1350" s="4">
        <v>5</v>
      </c>
      <c r="U1350" s="5" t="s">
        <v>12989</v>
      </c>
      <c r="V1350" s="5" t="s">
        <v>12989</v>
      </c>
      <c r="W1350" s="5" t="s">
        <v>67</v>
      </c>
      <c r="X1350" s="5" t="s">
        <v>67</v>
      </c>
      <c r="Y1350" s="4">
        <v>316</v>
      </c>
      <c r="Z1350" s="4">
        <v>29</v>
      </c>
      <c r="AA1350" s="4">
        <v>38</v>
      </c>
      <c r="AB1350" s="4">
        <v>2</v>
      </c>
      <c r="AC1350" s="4">
        <v>4</v>
      </c>
      <c r="AD1350" s="4">
        <v>89</v>
      </c>
      <c r="AE1350" s="4">
        <v>101</v>
      </c>
      <c r="AF1350" s="4">
        <v>1</v>
      </c>
      <c r="AG1350" s="4">
        <v>2</v>
      </c>
      <c r="AH1350" s="4">
        <v>77</v>
      </c>
      <c r="AI1350" s="4">
        <v>86</v>
      </c>
      <c r="AJ1350" s="4">
        <v>14</v>
      </c>
      <c r="AK1350" s="4">
        <v>17</v>
      </c>
      <c r="AL1350" s="4">
        <v>41</v>
      </c>
      <c r="AM1350" s="4">
        <v>45</v>
      </c>
      <c r="AN1350" s="4">
        <v>0</v>
      </c>
      <c r="AO1350" s="4">
        <v>0</v>
      </c>
      <c r="AP1350" s="4">
        <v>20</v>
      </c>
      <c r="AQ1350" s="4">
        <v>23</v>
      </c>
      <c r="AR1350" s="3" t="s">
        <v>62</v>
      </c>
      <c r="AS1350" s="3" t="s">
        <v>62</v>
      </c>
      <c r="AT1350" s="3" t="s">
        <v>62</v>
      </c>
      <c r="AV1350" s="6" t="str">
        <f>HYPERLINK("http://mcgill.on.worldcat.org/oclc/657602601","Catalog Record")</f>
        <v>Catalog Record</v>
      </c>
      <c r="AW1350" s="6" t="str">
        <f>HYPERLINK("http://www.worldcat.org/oclc/657602601","WorldCat Record")</f>
        <v>WorldCat Record</v>
      </c>
      <c r="AX1350" s="3" t="s">
        <v>13195</v>
      </c>
      <c r="AY1350" s="3" t="s">
        <v>13196</v>
      </c>
      <c r="AZ1350" s="3" t="s">
        <v>13197</v>
      </c>
      <c r="BA1350" s="3" t="s">
        <v>13197</v>
      </c>
      <c r="BB1350" s="3" t="s">
        <v>13198</v>
      </c>
      <c r="BC1350" s="3" t="s">
        <v>142</v>
      </c>
      <c r="BD1350" s="3" t="s">
        <v>68</v>
      </c>
      <c r="BE1350" s="3" t="s">
        <v>13199</v>
      </c>
      <c r="BF1350" s="3" t="s">
        <v>13198</v>
      </c>
      <c r="BG1350" s="3" t="s">
        <v>13200</v>
      </c>
    </row>
    <row r="1351" spans="1:59" ht="57" x14ac:dyDescent="0.45">
      <c r="A1351" s="2" t="s">
        <v>59</v>
      </c>
      <c r="B1351" s="2" t="s">
        <v>60</v>
      </c>
      <c r="C1351" s="2" t="s">
        <v>13201</v>
      </c>
      <c r="D1351" s="2" t="s">
        <v>13202</v>
      </c>
      <c r="E1351" s="2" t="s">
        <v>13203</v>
      </c>
      <c r="G1351" s="3" t="s">
        <v>62</v>
      </c>
      <c r="I1351" s="3" t="s">
        <v>62</v>
      </c>
      <c r="J1351" s="3" t="s">
        <v>62</v>
      </c>
      <c r="K1351" s="3" t="s">
        <v>63</v>
      </c>
      <c r="L1351" s="2" t="s">
        <v>13204</v>
      </c>
      <c r="M1351" s="2" t="s">
        <v>13205</v>
      </c>
      <c r="N1351" s="3" t="s">
        <v>542</v>
      </c>
      <c r="P1351" s="3" t="s">
        <v>65</v>
      </c>
      <c r="R1351" s="3" t="s">
        <v>66</v>
      </c>
      <c r="S1351" s="4">
        <v>24</v>
      </c>
      <c r="T1351" s="4">
        <v>24</v>
      </c>
      <c r="U1351" s="5" t="s">
        <v>13206</v>
      </c>
      <c r="V1351" s="5" t="s">
        <v>13206</v>
      </c>
      <c r="W1351" s="5" t="s">
        <v>67</v>
      </c>
      <c r="X1351" s="5" t="s">
        <v>67</v>
      </c>
      <c r="Y1351" s="4">
        <v>393</v>
      </c>
      <c r="Z1351" s="4">
        <v>33</v>
      </c>
      <c r="AA1351" s="4">
        <v>35</v>
      </c>
      <c r="AB1351" s="4">
        <v>3</v>
      </c>
      <c r="AC1351" s="4">
        <v>5</v>
      </c>
      <c r="AD1351" s="4">
        <v>106</v>
      </c>
      <c r="AE1351" s="4">
        <v>109</v>
      </c>
      <c r="AF1351" s="4">
        <v>1</v>
      </c>
      <c r="AG1351" s="4">
        <v>3</v>
      </c>
      <c r="AH1351" s="4">
        <v>88</v>
      </c>
      <c r="AI1351" s="4">
        <v>90</v>
      </c>
      <c r="AJ1351" s="4">
        <v>16</v>
      </c>
      <c r="AK1351" s="4">
        <v>18</v>
      </c>
      <c r="AL1351" s="4">
        <v>45</v>
      </c>
      <c r="AM1351" s="4">
        <v>46</v>
      </c>
      <c r="AN1351" s="4">
        <v>0</v>
      </c>
      <c r="AO1351" s="4">
        <v>0</v>
      </c>
      <c r="AP1351" s="4">
        <v>26</v>
      </c>
      <c r="AQ1351" s="4">
        <v>28</v>
      </c>
      <c r="AR1351" s="3" t="s">
        <v>62</v>
      </c>
      <c r="AS1351" s="3" t="s">
        <v>62</v>
      </c>
      <c r="AT1351" s="3" t="s">
        <v>62</v>
      </c>
      <c r="AV1351" s="6" t="str">
        <f>HYPERLINK("http://mcgill.on.worldcat.org/oclc/46694668","Catalog Record")</f>
        <v>Catalog Record</v>
      </c>
      <c r="AW1351" s="6" t="str">
        <f>HYPERLINK("http://www.worldcat.org/oclc/46694668","WorldCat Record")</f>
        <v>WorldCat Record</v>
      </c>
      <c r="AX1351" s="3" t="s">
        <v>13207</v>
      </c>
      <c r="AY1351" s="3" t="s">
        <v>13208</v>
      </c>
      <c r="AZ1351" s="3" t="s">
        <v>13209</v>
      </c>
      <c r="BA1351" s="3" t="s">
        <v>13209</v>
      </c>
      <c r="BB1351" s="3" t="s">
        <v>13210</v>
      </c>
      <c r="BC1351" s="3" t="s">
        <v>142</v>
      </c>
      <c r="BD1351" s="3" t="s">
        <v>68</v>
      </c>
      <c r="BE1351" s="3" t="s">
        <v>13211</v>
      </c>
      <c r="BF1351" s="3" t="s">
        <v>13210</v>
      </c>
      <c r="BG1351" s="3" t="s">
        <v>13212</v>
      </c>
    </row>
    <row r="1352" spans="1:59" ht="57" x14ac:dyDescent="0.45">
      <c r="A1352" s="2" t="s">
        <v>59</v>
      </c>
      <c r="B1352" s="2" t="s">
        <v>60</v>
      </c>
      <c r="C1352" s="2" t="s">
        <v>13213</v>
      </c>
      <c r="D1352" s="2" t="s">
        <v>13214</v>
      </c>
      <c r="E1352" s="2" t="s">
        <v>13215</v>
      </c>
      <c r="G1352" s="3" t="s">
        <v>62</v>
      </c>
      <c r="I1352" s="3" t="s">
        <v>62</v>
      </c>
      <c r="J1352" s="3" t="s">
        <v>62</v>
      </c>
      <c r="K1352" s="3" t="s">
        <v>63</v>
      </c>
      <c r="L1352" s="2" t="s">
        <v>13216</v>
      </c>
      <c r="M1352" s="2" t="s">
        <v>13217</v>
      </c>
      <c r="N1352" s="3" t="s">
        <v>1465</v>
      </c>
      <c r="P1352" s="3" t="s">
        <v>65</v>
      </c>
      <c r="R1352" s="3" t="s">
        <v>66</v>
      </c>
      <c r="S1352" s="4">
        <v>4</v>
      </c>
      <c r="T1352" s="4">
        <v>4</v>
      </c>
      <c r="U1352" s="5" t="s">
        <v>13218</v>
      </c>
      <c r="V1352" s="5" t="s">
        <v>13218</v>
      </c>
      <c r="W1352" s="5" t="s">
        <v>67</v>
      </c>
      <c r="X1352" s="5" t="s">
        <v>67</v>
      </c>
      <c r="Y1352" s="4">
        <v>110</v>
      </c>
      <c r="Z1352" s="4">
        <v>9</v>
      </c>
      <c r="AA1352" s="4">
        <v>14</v>
      </c>
      <c r="AB1352" s="4">
        <v>2</v>
      </c>
      <c r="AC1352" s="4">
        <v>6</v>
      </c>
      <c r="AD1352" s="4">
        <v>23</v>
      </c>
      <c r="AE1352" s="4">
        <v>25</v>
      </c>
      <c r="AF1352" s="4">
        <v>0</v>
      </c>
      <c r="AG1352" s="4">
        <v>1</v>
      </c>
      <c r="AH1352" s="4">
        <v>20</v>
      </c>
      <c r="AI1352" s="4">
        <v>20</v>
      </c>
      <c r="AJ1352" s="4">
        <v>5</v>
      </c>
      <c r="AK1352" s="4">
        <v>7</v>
      </c>
      <c r="AL1352" s="4">
        <v>14</v>
      </c>
      <c r="AM1352" s="4">
        <v>14</v>
      </c>
      <c r="AN1352" s="4">
        <v>0</v>
      </c>
      <c r="AO1352" s="4">
        <v>0</v>
      </c>
      <c r="AP1352" s="4">
        <v>6</v>
      </c>
      <c r="AQ1352" s="4">
        <v>8</v>
      </c>
      <c r="AR1352" s="3" t="s">
        <v>62</v>
      </c>
      <c r="AS1352" s="3" t="s">
        <v>62</v>
      </c>
      <c r="AT1352" s="3" t="s">
        <v>62</v>
      </c>
      <c r="AV1352" s="6" t="str">
        <f>HYPERLINK("http://mcgill.on.worldcat.org/oclc/456182996","Catalog Record")</f>
        <v>Catalog Record</v>
      </c>
      <c r="AW1352" s="6" t="str">
        <f>HYPERLINK("http://www.worldcat.org/oclc/456182996","WorldCat Record")</f>
        <v>WorldCat Record</v>
      </c>
      <c r="AX1352" s="3" t="s">
        <v>13219</v>
      </c>
      <c r="AY1352" s="3" t="s">
        <v>13220</v>
      </c>
      <c r="AZ1352" s="3" t="s">
        <v>13221</v>
      </c>
      <c r="BA1352" s="3" t="s">
        <v>13221</v>
      </c>
      <c r="BB1352" s="3" t="s">
        <v>13222</v>
      </c>
      <c r="BC1352" s="3" t="s">
        <v>142</v>
      </c>
      <c r="BD1352" s="3" t="s">
        <v>68</v>
      </c>
      <c r="BE1352" s="3" t="s">
        <v>13223</v>
      </c>
      <c r="BF1352" s="3" t="s">
        <v>13222</v>
      </c>
      <c r="BG1352" s="3" t="s">
        <v>13224</v>
      </c>
    </row>
    <row r="1353" spans="1:59" ht="57" x14ac:dyDescent="0.45">
      <c r="A1353" s="2" t="s">
        <v>59</v>
      </c>
      <c r="B1353" s="2" t="s">
        <v>60</v>
      </c>
      <c r="C1353" s="2" t="s">
        <v>13225</v>
      </c>
      <c r="D1353" s="2" t="s">
        <v>13226</v>
      </c>
      <c r="E1353" s="2" t="s">
        <v>13227</v>
      </c>
      <c r="G1353" s="3" t="s">
        <v>62</v>
      </c>
      <c r="I1353" s="3" t="s">
        <v>62</v>
      </c>
      <c r="J1353" s="3" t="s">
        <v>62</v>
      </c>
      <c r="K1353" s="3" t="s">
        <v>63</v>
      </c>
      <c r="L1353" s="2" t="s">
        <v>13228</v>
      </c>
      <c r="M1353" s="2" t="s">
        <v>13229</v>
      </c>
      <c r="N1353" s="3" t="s">
        <v>167</v>
      </c>
      <c r="P1353" s="3" t="s">
        <v>65</v>
      </c>
      <c r="R1353" s="3" t="s">
        <v>66</v>
      </c>
      <c r="S1353" s="4">
        <v>18</v>
      </c>
      <c r="T1353" s="4">
        <v>18</v>
      </c>
      <c r="U1353" s="5" t="s">
        <v>13230</v>
      </c>
      <c r="V1353" s="5" t="s">
        <v>13230</v>
      </c>
      <c r="W1353" s="5" t="s">
        <v>67</v>
      </c>
      <c r="X1353" s="5" t="s">
        <v>67</v>
      </c>
      <c r="Y1353" s="4">
        <v>700</v>
      </c>
      <c r="Z1353" s="4">
        <v>38</v>
      </c>
      <c r="AA1353" s="4">
        <v>98</v>
      </c>
      <c r="AB1353" s="4">
        <v>2</v>
      </c>
      <c r="AC1353" s="4">
        <v>17</v>
      </c>
      <c r="AD1353" s="4">
        <v>114</v>
      </c>
      <c r="AE1353" s="4">
        <v>152</v>
      </c>
      <c r="AF1353" s="4">
        <v>1</v>
      </c>
      <c r="AG1353" s="4">
        <v>8</v>
      </c>
      <c r="AH1353" s="4">
        <v>97</v>
      </c>
      <c r="AI1353" s="4">
        <v>106</v>
      </c>
      <c r="AJ1353" s="4">
        <v>19</v>
      </c>
      <c r="AK1353" s="4">
        <v>30</v>
      </c>
      <c r="AL1353" s="4">
        <v>50</v>
      </c>
      <c r="AM1353" s="4">
        <v>53</v>
      </c>
      <c r="AN1353" s="4">
        <v>0</v>
      </c>
      <c r="AO1353" s="4">
        <v>0</v>
      </c>
      <c r="AP1353" s="4">
        <v>23</v>
      </c>
      <c r="AQ1353" s="4">
        <v>54</v>
      </c>
      <c r="AR1353" s="3" t="s">
        <v>62</v>
      </c>
      <c r="AS1353" s="3" t="s">
        <v>62</v>
      </c>
      <c r="AT1353" s="3" t="s">
        <v>62</v>
      </c>
      <c r="AV1353" s="6" t="str">
        <f>HYPERLINK("http://mcgill.on.worldcat.org/oclc/39763899","Catalog Record")</f>
        <v>Catalog Record</v>
      </c>
      <c r="AW1353" s="6" t="str">
        <f>HYPERLINK("http://www.worldcat.org/oclc/39763899","WorldCat Record")</f>
        <v>WorldCat Record</v>
      </c>
      <c r="AX1353" s="3" t="s">
        <v>13231</v>
      </c>
      <c r="AY1353" s="3" t="s">
        <v>13232</v>
      </c>
      <c r="AZ1353" s="3" t="s">
        <v>13233</v>
      </c>
      <c r="BA1353" s="3" t="s">
        <v>13233</v>
      </c>
      <c r="BB1353" s="3" t="s">
        <v>13234</v>
      </c>
      <c r="BC1353" s="3" t="s">
        <v>142</v>
      </c>
      <c r="BD1353" s="3" t="s">
        <v>68</v>
      </c>
      <c r="BE1353" s="3" t="s">
        <v>13235</v>
      </c>
      <c r="BF1353" s="3" t="s">
        <v>13234</v>
      </c>
      <c r="BG1353" s="3" t="s">
        <v>13236</v>
      </c>
    </row>
    <row r="1354" spans="1:59" ht="57" x14ac:dyDescent="0.45">
      <c r="A1354" s="2" t="s">
        <v>59</v>
      </c>
      <c r="B1354" s="2" t="s">
        <v>60</v>
      </c>
      <c r="C1354" s="2" t="s">
        <v>13237</v>
      </c>
      <c r="D1354" s="2" t="s">
        <v>13238</v>
      </c>
      <c r="E1354" s="2" t="s">
        <v>13239</v>
      </c>
      <c r="G1354" s="3" t="s">
        <v>62</v>
      </c>
      <c r="I1354" s="3" t="s">
        <v>62</v>
      </c>
      <c r="J1354" s="3" t="s">
        <v>62</v>
      </c>
      <c r="K1354" s="3" t="s">
        <v>63</v>
      </c>
      <c r="M1354" s="2" t="s">
        <v>13240</v>
      </c>
      <c r="N1354" s="3" t="s">
        <v>116</v>
      </c>
      <c r="P1354" s="3" t="s">
        <v>65</v>
      </c>
      <c r="R1354" s="3" t="s">
        <v>66</v>
      </c>
      <c r="S1354" s="4">
        <v>0</v>
      </c>
      <c r="T1354" s="4">
        <v>0</v>
      </c>
      <c r="W1354" s="5" t="s">
        <v>67</v>
      </c>
      <c r="X1354" s="5" t="s">
        <v>67</v>
      </c>
      <c r="Y1354" s="4">
        <v>97</v>
      </c>
      <c r="Z1354" s="4">
        <v>15</v>
      </c>
      <c r="AA1354" s="4">
        <v>19</v>
      </c>
      <c r="AB1354" s="4">
        <v>3</v>
      </c>
      <c r="AC1354" s="4">
        <v>6</v>
      </c>
      <c r="AD1354" s="4">
        <v>41</v>
      </c>
      <c r="AE1354" s="4">
        <v>44</v>
      </c>
      <c r="AF1354" s="4">
        <v>1</v>
      </c>
      <c r="AG1354" s="4">
        <v>3</v>
      </c>
      <c r="AH1354" s="4">
        <v>34</v>
      </c>
      <c r="AI1354" s="4">
        <v>35</v>
      </c>
      <c r="AJ1354" s="4">
        <v>10</v>
      </c>
      <c r="AK1354" s="4">
        <v>12</v>
      </c>
      <c r="AL1354" s="4">
        <v>23</v>
      </c>
      <c r="AM1354" s="4">
        <v>23</v>
      </c>
      <c r="AN1354" s="4">
        <v>0</v>
      </c>
      <c r="AO1354" s="4">
        <v>0</v>
      </c>
      <c r="AP1354" s="4">
        <v>10</v>
      </c>
      <c r="AQ1354" s="4">
        <v>13</v>
      </c>
      <c r="AR1354" s="3" t="s">
        <v>62</v>
      </c>
      <c r="AS1354" s="3" t="s">
        <v>62</v>
      </c>
      <c r="AT1354" s="3" t="s">
        <v>62</v>
      </c>
      <c r="AV1354" s="6" t="str">
        <f>HYPERLINK("http://mcgill.on.worldcat.org/oclc/830992442","Catalog Record")</f>
        <v>Catalog Record</v>
      </c>
      <c r="AW1354" s="6" t="str">
        <f>HYPERLINK("http://www.worldcat.org/oclc/830992442","WorldCat Record")</f>
        <v>WorldCat Record</v>
      </c>
      <c r="AX1354" s="3" t="s">
        <v>13241</v>
      </c>
      <c r="AY1354" s="3" t="s">
        <v>13242</v>
      </c>
      <c r="AZ1354" s="3" t="s">
        <v>13243</v>
      </c>
      <c r="BA1354" s="3" t="s">
        <v>13243</v>
      </c>
      <c r="BB1354" s="3" t="s">
        <v>13244</v>
      </c>
      <c r="BC1354" s="3" t="s">
        <v>142</v>
      </c>
      <c r="BD1354" s="3" t="s">
        <v>68</v>
      </c>
      <c r="BE1354" s="3" t="s">
        <v>13245</v>
      </c>
      <c r="BF1354" s="3" t="s">
        <v>13244</v>
      </c>
      <c r="BG1354" s="3" t="s">
        <v>13246</v>
      </c>
    </row>
    <row r="1355" spans="1:59" ht="57" x14ac:dyDescent="0.45">
      <c r="A1355" s="2" t="s">
        <v>59</v>
      </c>
      <c r="B1355" s="2" t="s">
        <v>60</v>
      </c>
      <c r="C1355" s="2" t="s">
        <v>13247</v>
      </c>
      <c r="D1355" s="2" t="s">
        <v>13248</v>
      </c>
      <c r="E1355" s="2" t="s">
        <v>13249</v>
      </c>
      <c r="G1355" s="3" t="s">
        <v>62</v>
      </c>
      <c r="I1355" s="3" t="s">
        <v>62</v>
      </c>
      <c r="J1355" s="3" t="s">
        <v>61</v>
      </c>
      <c r="K1355" s="3" t="s">
        <v>63</v>
      </c>
      <c r="L1355" s="2" t="s">
        <v>13250</v>
      </c>
      <c r="M1355" s="2" t="s">
        <v>13251</v>
      </c>
      <c r="N1355" s="3" t="s">
        <v>149</v>
      </c>
      <c r="P1355" s="3" t="s">
        <v>65</v>
      </c>
      <c r="R1355" s="3" t="s">
        <v>66</v>
      </c>
      <c r="S1355" s="4">
        <v>11</v>
      </c>
      <c r="T1355" s="4">
        <v>11</v>
      </c>
      <c r="U1355" s="5" t="s">
        <v>13252</v>
      </c>
      <c r="V1355" s="5" t="s">
        <v>13252</v>
      </c>
      <c r="W1355" s="5" t="s">
        <v>67</v>
      </c>
      <c r="X1355" s="5" t="s">
        <v>67</v>
      </c>
      <c r="Y1355" s="4">
        <v>222</v>
      </c>
      <c r="Z1355" s="4">
        <v>32</v>
      </c>
      <c r="AA1355" s="4">
        <v>39</v>
      </c>
      <c r="AB1355" s="4">
        <v>2</v>
      </c>
      <c r="AC1355" s="4">
        <v>6</v>
      </c>
      <c r="AD1355" s="4">
        <v>78</v>
      </c>
      <c r="AE1355" s="4">
        <v>90</v>
      </c>
      <c r="AF1355" s="4">
        <v>1</v>
      </c>
      <c r="AG1355" s="4">
        <v>4</v>
      </c>
      <c r="AH1355" s="4">
        <v>63</v>
      </c>
      <c r="AI1355" s="4">
        <v>71</v>
      </c>
      <c r="AJ1355" s="4">
        <v>16</v>
      </c>
      <c r="AK1355" s="4">
        <v>18</v>
      </c>
      <c r="AL1355" s="4">
        <v>36</v>
      </c>
      <c r="AM1355" s="4">
        <v>43</v>
      </c>
      <c r="AN1355" s="4">
        <v>0</v>
      </c>
      <c r="AO1355" s="4">
        <v>0</v>
      </c>
      <c r="AP1355" s="4">
        <v>23</v>
      </c>
      <c r="AQ1355" s="4">
        <v>26</v>
      </c>
      <c r="AR1355" s="3" t="s">
        <v>62</v>
      </c>
      <c r="AS1355" s="3" t="s">
        <v>62</v>
      </c>
      <c r="AT1355" s="3" t="s">
        <v>62</v>
      </c>
      <c r="AV1355" s="6" t="str">
        <f>HYPERLINK("http://mcgill.on.worldcat.org/oclc/648480673","Catalog Record")</f>
        <v>Catalog Record</v>
      </c>
      <c r="AW1355" s="6" t="str">
        <f>HYPERLINK("http://www.worldcat.org/oclc/648480673","WorldCat Record")</f>
        <v>WorldCat Record</v>
      </c>
      <c r="AX1355" s="3" t="s">
        <v>13253</v>
      </c>
      <c r="AY1355" s="3" t="s">
        <v>13254</v>
      </c>
      <c r="AZ1355" s="3" t="s">
        <v>13255</v>
      </c>
      <c r="BA1355" s="3" t="s">
        <v>13255</v>
      </c>
      <c r="BB1355" s="3" t="s">
        <v>13256</v>
      </c>
      <c r="BC1355" s="3" t="s">
        <v>142</v>
      </c>
      <c r="BD1355" s="3" t="s">
        <v>68</v>
      </c>
      <c r="BE1355" s="3" t="s">
        <v>13257</v>
      </c>
      <c r="BF1355" s="3" t="s">
        <v>13256</v>
      </c>
      <c r="BG1355" s="3" t="s">
        <v>13258</v>
      </c>
    </row>
    <row r="1356" spans="1:59" ht="57" x14ac:dyDescent="0.45">
      <c r="A1356" s="2" t="s">
        <v>59</v>
      </c>
      <c r="B1356" s="2" t="s">
        <v>60</v>
      </c>
      <c r="C1356" s="2" t="s">
        <v>13259</v>
      </c>
      <c r="D1356" s="2" t="s">
        <v>13260</v>
      </c>
      <c r="E1356" s="2" t="s">
        <v>13249</v>
      </c>
      <c r="G1356" s="3" t="s">
        <v>62</v>
      </c>
      <c r="I1356" s="3" t="s">
        <v>62</v>
      </c>
      <c r="J1356" s="3" t="s">
        <v>61</v>
      </c>
      <c r="K1356" s="3" t="s">
        <v>63</v>
      </c>
      <c r="L1356" s="2" t="s">
        <v>13261</v>
      </c>
      <c r="M1356" s="2" t="s">
        <v>13262</v>
      </c>
      <c r="N1356" s="3" t="s">
        <v>181</v>
      </c>
      <c r="O1356" s="2" t="s">
        <v>3280</v>
      </c>
      <c r="P1356" s="3" t="s">
        <v>65</v>
      </c>
      <c r="Q1356" s="2" t="s">
        <v>13263</v>
      </c>
      <c r="R1356" s="3" t="s">
        <v>66</v>
      </c>
      <c r="S1356" s="4">
        <v>2</v>
      </c>
      <c r="T1356" s="4">
        <v>2</v>
      </c>
      <c r="U1356" s="5" t="s">
        <v>8318</v>
      </c>
      <c r="V1356" s="5" t="s">
        <v>8318</v>
      </c>
      <c r="W1356" s="5" t="s">
        <v>67</v>
      </c>
      <c r="X1356" s="5" t="s">
        <v>67</v>
      </c>
      <c r="Y1356" s="4">
        <v>119</v>
      </c>
      <c r="Z1356" s="4">
        <v>15</v>
      </c>
      <c r="AA1356" s="4">
        <v>39</v>
      </c>
      <c r="AB1356" s="4">
        <v>1</v>
      </c>
      <c r="AC1356" s="4">
        <v>6</v>
      </c>
      <c r="AD1356" s="4">
        <v>36</v>
      </c>
      <c r="AE1356" s="4">
        <v>90</v>
      </c>
      <c r="AF1356" s="4">
        <v>0</v>
      </c>
      <c r="AG1356" s="4">
        <v>4</v>
      </c>
      <c r="AH1356" s="4">
        <v>33</v>
      </c>
      <c r="AI1356" s="4">
        <v>71</v>
      </c>
      <c r="AJ1356" s="4">
        <v>7</v>
      </c>
      <c r="AK1356" s="4">
        <v>18</v>
      </c>
      <c r="AL1356" s="4">
        <v>21</v>
      </c>
      <c r="AM1356" s="4">
        <v>43</v>
      </c>
      <c r="AN1356" s="4">
        <v>0</v>
      </c>
      <c r="AO1356" s="4">
        <v>0</v>
      </c>
      <c r="AP1356" s="4">
        <v>8</v>
      </c>
      <c r="AQ1356" s="4">
        <v>26</v>
      </c>
      <c r="AR1356" s="3" t="s">
        <v>62</v>
      </c>
      <c r="AS1356" s="3" t="s">
        <v>62</v>
      </c>
      <c r="AT1356" s="3" t="s">
        <v>62</v>
      </c>
      <c r="AV1356" s="6" t="str">
        <f>HYPERLINK("http://mcgill.on.worldcat.org/oclc/927166011","Catalog Record")</f>
        <v>Catalog Record</v>
      </c>
      <c r="AW1356" s="6" t="str">
        <f>HYPERLINK("http://www.worldcat.org/oclc/927166011","WorldCat Record")</f>
        <v>WorldCat Record</v>
      </c>
      <c r="AX1356" s="3" t="s">
        <v>13253</v>
      </c>
      <c r="AY1356" s="3" t="s">
        <v>13264</v>
      </c>
      <c r="AZ1356" s="3" t="s">
        <v>13265</v>
      </c>
      <c r="BA1356" s="3" t="s">
        <v>13265</v>
      </c>
      <c r="BB1356" s="3" t="s">
        <v>13266</v>
      </c>
      <c r="BC1356" s="3" t="s">
        <v>142</v>
      </c>
      <c r="BD1356" s="3" t="s">
        <v>68</v>
      </c>
      <c r="BE1356" s="3" t="s">
        <v>13267</v>
      </c>
      <c r="BF1356" s="3" t="s">
        <v>13266</v>
      </c>
      <c r="BG1356" s="3" t="s">
        <v>13268</v>
      </c>
    </row>
    <row r="1357" spans="1:59" ht="57" x14ac:dyDescent="0.45">
      <c r="A1357" s="2" t="s">
        <v>59</v>
      </c>
      <c r="B1357" s="2" t="s">
        <v>60</v>
      </c>
      <c r="C1357" s="2" t="s">
        <v>13269</v>
      </c>
      <c r="D1357" s="2" t="s">
        <v>13270</v>
      </c>
      <c r="E1357" s="2" t="s">
        <v>13271</v>
      </c>
      <c r="G1357" s="3" t="s">
        <v>62</v>
      </c>
      <c r="I1357" s="3" t="s">
        <v>62</v>
      </c>
      <c r="J1357" s="3" t="s">
        <v>62</v>
      </c>
      <c r="K1357" s="3" t="s">
        <v>63</v>
      </c>
      <c r="M1357" s="2" t="s">
        <v>13272</v>
      </c>
      <c r="N1357" s="3" t="s">
        <v>894</v>
      </c>
      <c r="P1357" s="3" t="s">
        <v>65</v>
      </c>
      <c r="Q1357" s="2" t="s">
        <v>13273</v>
      </c>
      <c r="R1357" s="3" t="s">
        <v>66</v>
      </c>
      <c r="S1357" s="4">
        <v>1</v>
      </c>
      <c r="T1357" s="4">
        <v>1</v>
      </c>
      <c r="U1357" s="5" t="s">
        <v>2109</v>
      </c>
      <c r="V1357" s="5" t="s">
        <v>2109</v>
      </c>
      <c r="W1357" s="5" t="s">
        <v>67</v>
      </c>
      <c r="X1357" s="5" t="s">
        <v>67</v>
      </c>
      <c r="Y1357" s="4">
        <v>124</v>
      </c>
      <c r="Z1357" s="4">
        <v>17</v>
      </c>
      <c r="AA1357" s="4">
        <v>17</v>
      </c>
      <c r="AB1357" s="4">
        <v>1</v>
      </c>
      <c r="AC1357" s="4">
        <v>1</v>
      </c>
      <c r="AD1357" s="4">
        <v>60</v>
      </c>
      <c r="AE1357" s="4">
        <v>60</v>
      </c>
      <c r="AF1357" s="4">
        <v>0</v>
      </c>
      <c r="AG1357" s="4">
        <v>0</v>
      </c>
      <c r="AH1357" s="4">
        <v>57</v>
      </c>
      <c r="AI1357" s="4">
        <v>57</v>
      </c>
      <c r="AJ1357" s="4">
        <v>13</v>
      </c>
      <c r="AK1357" s="4">
        <v>13</v>
      </c>
      <c r="AL1357" s="4">
        <v>32</v>
      </c>
      <c r="AM1357" s="4">
        <v>32</v>
      </c>
      <c r="AN1357" s="4">
        <v>0</v>
      </c>
      <c r="AO1357" s="4">
        <v>0</v>
      </c>
      <c r="AP1357" s="4">
        <v>13</v>
      </c>
      <c r="AQ1357" s="4">
        <v>13</v>
      </c>
      <c r="AR1357" s="3" t="s">
        <v>62</v>
      </c>
      <c r="AS1357" s="3" t="s">
        <v>62</v>
      </c>
      <c r="AT1357" s="3" t="s">
        <v>62</v>
      </c>
      <c r="AV1357" s="6" t="str">
        <f>HYPERLINK("http://mcgill.on.worldcat.org/oclc/713834646","Catalog Record")</f>
        <v>Catalog Record</v>
      </c>
      <c r="AW1357" s="6" t="str">
        <f>HYPERLINK("http://www.worldcat.org/oclc/713834646","WorldCat Record")</f>
        <v>WorldCat Record</v>
      </c>
      <c r="AX1357" s="3" t="s">
        <v>13274</v>
      </c>
      <c r="AY1357" s="3" t="s">
        <v>13275</v>
      </c>
      <c r="AZ1357" s="3" t="s">
        <v>13276</v>
      </c>
      <c r="BA1357" s="3" t="s">
        <v>13276</v>
      </c>
      <c r="BB1357" s="3" t="s">
        <v>13277</v>
      </c>
      <c r="BC1357" s="3" t="s">
        <v>142</v>
      </c>
      <c r="BD1357" s="3" t="s">
        <v>68</v>
      </c>
      <c r="BE1357" s="3" t="s">
        <v>13278</v>
      </c>
      <c r="BF1357" s="3" t="s">
        <v>13277</v>
      </c>
      <c r="BG1357" s="3" t="s">
        <v>13279</v>
      </c>
    </row>
    <row r="1358" spans="1:59" ht="57" x14ac:dyDescent="0.45">
      <c r="A1358" s="2" t="s">
        <v>59</v>
      </c>
      <c r="B1358" s="2" t="s">
        <v>60</v>
      </c>
      <c r="C1358" s="2" t="s">
        <v>13280</v>
      </c>
      <c r="D1358" s="2" t="s">
        <v>13281</v>
      </c>
      <c r="E1358" s="2" t="s">
        <v>13282</v>
      </c>
      <c r="G1358" s="3" t="s">
        <v>62</v>
      </c>
      <c r="I1358" s="3" t="s">
        <v>62</v>
      </c>
      <c r="J1358" s="3" t="s">
        <v>61</v>
      </c>
      <c r="K1358" s="3" t="s">
        <v>63</v>
      </c>
      <c r="L1358" s="2" t="s">
        <v>13283</v>
      </c>
      <c r="M1358" s="2" t="s">
        <v>13284</v>
      </c>
      <c r="N1358" s="3" t="s">
        <v>1437</v>
      </c>
      <c r="P1358" s="3" t="s">
        <v>65</v>
      </c>
      <c r="R1358" s="3" t="s">
        <v>66</v>
      </c>
      <c r="S1358" s="4">
        <v>26</v>
      </c>
      <c r="T1358" s="4">
        <v>26</v>
      </c>
      <c r="U1358" s="5" t="s">
        <v>13285</v>
      </c>
      <c r="V1358" s="5" t="s">
        <v>13285</v>
      </c>
      <c r="W1358" s="5" t="s">
        <v>67</v>
      </c>
      <c r="X1358" s="5" t="s">
        <v>67</v>
      </c>
      <c r="Y1358" s="4">
        <v>57</v>
      </c>
      <c r="Z1358" s="4">
        <v>43</v>
      </c>
      <c r="AA1358" s="4">
        <v>49</v>
      </c>
      <c r="AB1358" s="4">
        <v>3</v>
      </c>
      <c r="AC1358" s="4">
        <v>5</v>
      </c>
      <c r="AD1358" s="4">
        <v>30</v>
      </c>
      <c r="AE1358" s="4">
        <v>105</v>
      </c>
      <c r="AF1358" s="4">
        <v>1</v>
      </c>
      <c r="AG1358" s="4">
        <v>3</v>
      </c>
      <c r="AH1358" s="4">
        <v>15</v>
      </c>
      <c r="AI1358" s="4">
        <v>87</v>
      </c>
      <c r="AJ1358" s="4">
        <v>18</v>
      </c>
      <c r="AK1358" s="4">
        <v>21</v>
      </c>
      <c r="AL1358" s="4">
        <v>7</v>
      </c>
      <c r="AM1358" s="4">
        <v>47</v>
      </c>
      <c r="AN1358" s="4">
        <v>0</v>
      </c>
      <c r="AO1358" s="4">
        <v>0</v>
      </c>
      <c r="AP1358" s="4">
        <v>20</v>
      </c>
      <c r="AQ1358" s="4">
        <v>24</v>
      </c>
      <c r="AR1358" s="3" t="s">
        <v>61</v>
      </c>
      <c r="AS1358" s="3" t="s">
        <v>62</v>
      </c>
      <c r="AT1358" s="3" t="s">
        <v>62</v>
      </c>
      <c r="AV1358" s="6" t="str">
        <f>HYPERLINK("http://mcgill.on.worldcat.org/oclc/38753690","Catalog Record")</f>
        <v>Catalog Record</v>
      </c>
      <c r="AW1358" s="6" t="str">
        <f>HYPERLINK("http://www.worldcat.org/oclc/38753690","WorldCat Record")</f>
        <v>WorldCat Record</v>
      </c>
      <c r="AX1358" s="3" t="s">
        <v>13286</v>
      </c>
      <c r="AY1358" s="3" t="s">
        <v>13287</v>
      </c>
      <c r="AZ1358" s="3" t="s">
        <v>13288</v>
      </c>
      <c r="BA1358" s="3" t="s">
        <v>13288</v>
      </c>
      <c r="BB1358" s="3" t="s">
        <v>13289</v>
      </c>
      <c r="BC1358" s="3" t="s">
        <v>142</v>
      </c>
      <c r="BD1358" s="3" t="s">
        <v>68</v>
      </c>
      <c r="BE1358" s="3" t="s">
        <v>13290</v>
      </c>
      <c r="BF1358" s="3" t="s">
        <v>13289</v>
      </c>
      <c r="BG1358" s="3" t="s">
        <v>13291</v>
      </c>
    </row>
    <row r="1359" spans="1:59" ht="57" x14ac:dyDescent="0.45">
      <c r="A1359" s="2" t="s">
        <v>59</v>
      </c>
      <c r="B1359" s="2" t="s">
        <v>60</v>
      </c>
      <c r="C1359" s="2" t="s">
        <v>13292</v>
      </c>
      <c r="D1359" s="2" t="s">
        <v>13293</v>
      </c>
      <c r="E1359" s="2" t="s">
        <v>13294</v>
      </c>
      <c r="G1359" s="3" t="s">
        <v>62</v>
      </c>
      <c r="I1359" s="3" t="s">
        <v>62</v>
      </c>
      <c r="J1359" s="3" t="s">
        <v>62</v>
      </c>
      <c r="K1359" s="3" t="s">
        <v>63</v>
      </c>
      <c r="L1359" s="2" t="s">
        <v>13283</v>
      </c>
      <c r="M1359" s="2" t="s">
        <v>13295</v>
      </c>
      <c r="N1359" s="3" t="s">
        <v>894</v>
      </c>
      <c r="P1359" s="3" t="s">
        <v>65</v>
      </c>
      <c r="R1359" s="3" t="s">
        <v>66</v>
      </c>
      <c r="S1359" s="4">
        <v>13</v>
      </c>
      <c r="T1359" s="4">
        <v>13</v>
      </c>
      <c r="U1359" s="5" t="s">
        <v>13035</v>
      </c>
      <c r="V1359" s="5" t="s">
        <v>13035</v>
      </c>
      <c r="W1359" s="5" t="s">
        <v>67</v>
      </c>
      <c r="X1359" s="5" t="s">
        <v>67</v>
      </c>
      <c r="Y1359" s="4">
        <v>135</v>
      </c>
      <c r="Z1359" s="4">
        <v>15</v>
      </c>
      <c r="AA1359" s="4">
        <v>16</v>
      </c>
      <c r="AB1359" s="4">
        <v>2</v>
      </c>
      <c r="AC1359" s="4">
        <v>3</v>
      </c>
      <c r="AD1359" s="4">
        <v>56</v>
      </c>
      <c r="AE1359" s="4">
        <v>57</v>
      </c>
      <c r="AF1359" s="4">
        <v>1</v>
      </c>
      <c r="AG1359" s="4">
        <v>2</v>
      </c>
      <c r="AH1359" s="4">
        <v>51</v>
      </c>
      <c r="AI1359" s="4">
        <v>51</v>
      </c>
      <c r="AJ1359" s="4">
        <v>8</v>
      </c>
      <c r="AK1359" s="4">
        <v>8</v>
      </c>
      <c r="AL1359" s="4">
        <v>32</v>
      </c>
      <c r="AM1359" s="4">
        <v>32</v>
      </c>
      <c r="AN1359" s="4">
        <v>0</v>
      </c>
      <c r="AO1359" s="4">
        <v>0</v>
      </c>
      <c r="AP1359" s="4">
        <v>10</v>
      </c>
      <c r="AQ1359" s="4">
        <v>11</v>
      </c>
      <c r="AR1359" s="3" t="s">
        <v>62</v>
      </c>
      <c r="AS1359" s="3" t="s">
        <v>62</v>
      </c>
      <c r="AT1359" s="3" t="s">
        <v>62</v>
      </c>
      <c r="AV1359" s="6" t="str">
        <f>HYPERLINK("http://mcgill.on.worldcat.org/oclc/668990505","Catalog Record")</f>
        <v>Catalog Record</v>
      </c>
      <c r="AW1359" s="6" t="str">
        <f>HYPERLINK("http://www.worldcat.org/oclc/668990505","WorldCat Record")</f>
        <v>WorldCat Record</v>
      </c>
      <c r="AX1359" s="3" t="s">
        <v>13296</v>
      </c>
      <c r="AY1359" s="3" t="s">
        <v>13297</v>
      </c>
      <c r="AZ1359" s="3" t="s">
        <v>13298</v>
      </c>
      <c r="BA1359" s="3" t="s">
        <v>13298</v>
      </c>
      <c r="BB1359" s="3" t="s">
        <v>13299</v>
      </c>
      <c r="BC1359" s="3" t="s">
        <v>142</v>
      </c>
      <c r="BD1359" s="3" t="s">
        <v>68</v>
      </c>
      <c r="BE1359" s="3" t="s">
        <v>13300</v>
      </c>
      <c r="BF1359" s="3" t="s">
        <v>13299</v>
      </c>
      <c r="BG1359" s="3" t="s">
        <v>13301</v>
      </c>
    </row>
    <row r="1360" spans="1:59" ht="57" x14ac:dyDescent="0.45">
      <c r="A1360" s="2" t="s">
        <v>59</v>
      </c>
      <c r="B1360" s="2" t="s">
        <v>60</v>
      </c>
      <c r="C1360" s="2" t="s">
        <v>13302</v>
      </c>
      <c r="D1360" s="2" t="s">
        <v>13303</v>
      </c>
      <c r="E1360" s="2" t="s">
        <v>13304</v>
      </c>
      <c r="G1360" s="3" t="s">
        <v>62</v>
      </c>
      <c r="I1360" s="3" t="s">
        <v>61</v>
      </c>
      <c r="J1360" s="3" t="s">
        <v>62</v>
      </c>
      <c r="K1360" s="3" t="s">
        <v>63</v>
      </c>
      <c r="L1360" s="2" t="s">
        <v>13305</v>
      </c>
      <c r="M1360" s="2" t="s">
        <v>13306</v>
      </c>
      <c r="N1360" s="3" t="s">
        <v>2417</v>
      </c>
      <c r="P1360" s="3" t="s">
        <v>65</v>
      </c>
      <c r="R1360" s="3" t="s">
        <v>66</v>
      </c>
      <c r="S1360" s="4">
        <v>20</v>
      </c>
      <c r="T1360" s="4">
        <v>49</v>
      </c>
      <c r="U1360" s="5" t="s">
        <v>13035</v>
      </c>
      <c r="V1360" s="5" t="s">
        <v>13035</v>
      </c>
      <c r="W1360" s="5" t="s">
        <v>67</v>
      </c>
      <c r="X1360" s="5" t="s">
        <v>67</v>
      </c>
      <c r="Y1360" s="4">
        <v>785</v>
      </c>
      <c r="Z1360" s="4">
        <v>93</v>
      </c>
      <c r="AA1360" s="4">
        <v>107</v>
      </c>
      <c r="AB1360" s="4">
        <v>3</v>
      </c>
      <c r="AC1360" s="4">
        <v>11</v>
      </c>
      <c r="AD1360" s="4">
        <v>138</v>
      </c>
      <c r="AE1360" s="4">
        <v>150</v>
      </c>
      <c r="AF1360" s="4">
        <v>1</v>
      </c>
      <c r="AG1360" s="4">
        <v>7</v>
      </c>
      <c r="AH1360" s="4">
        <v>105</v>
      </c>
      <c r="AI1360" s="4">
        <v>108</v>
      </c>
      <c r="AJ1360" s="4">
        <v>23</v>
      </c>
      <c r="AK1360" s="4">
        <v>30</v>
      </c>
      <c r="AL1360" s="4">
        <v>55</v>
      </c>
      <c r="AM1360" s="4">
        <v>55</v>
      </c>
      <c r="AN1360" s="4">
        <v>0</v>
      </c>
      <c r="AO1360" s="4">
        <v>0</v>
      </c>
      <c r="AP1360" s="4">
        <v>39</v>
      </c>
      <c r="AQ1360" s="4">
        <v>50</v>
      </c>
      <c r="AR1360" s="3" t="s">
        <v>61</v>
      </c>
      <c r="AS1360" s="3" t="s">
        <v>62</v>
      </c>
      <c r="AT1360" s="3" t="s">
        <v>61</v>
      </c>
      <c r="AU1360" s="6" t="str">
        <f>HYPERLINK("http://catalog.hathitrust.org/Record/004480519","HathiTrust Record")</f>
        <v>HathiTrust Record</v>
      </c>
      <c r="AV1360" s="6" t="str">
        <f>HYPERLINK("http://mcgill.on.worldcat.org/oclc/18839288","Catalog Record")</f>
        <v>Catalog Record</v>
      </c>
      <c r="AW1360" s="6" t="str">
        <f>HYPERLINK("http://www.worldcat.org/oclc/18839288","WorldCat Record")</f>
        <v>WorldCat Record</v>
      </c>
      <c r="AX1360" s="3" t="s">
        <v>13307</v>
      </c>
      <c r="AY1360" s="3" t="s">
        <v>13308</v>
      </c>
      <c r="AZ1360" s="3" t="s">
        <v>13309</v>
      </c>
      <c r="BA1360" s="3" t="s">
        <v>13309</v>
      </c>
      <c r="BB1360" s="3" t="s">
        <v>13310</v>
      </c>
      <c r="BC1360" s="3" t="s">
        <v>142</v>
      </c>
      <c r="BD1360" s="3" t="s">
        <v>68</v>
      </c>
      <c r="BE1360" s="3" t="s">
        <v>13311</v>
      </c>
      <c r="BF1360" s="3" t="s">
        <v>13310</v>
      </c>
      <c r="BG1360" s="3" t="s">
        <v>13312</v>
      </c>
    </row>
    <row r="1361" spans="1:59" ht="71.25" x14ac:dyDescent="0.45">
      <c r="A1361" s="2" t="s">
        <v>13313</v>
      </c>
      <c r="B1361" s="2" t="s">
        <v>13314</v>
      </c>
      <c r="C1361" s="2" t="s">
        <v>13302</v>
      </c>
      <c r="D1361" s="2" t="s">
        <v>13303</v>
      </c>
      <c r="E1361" s="2" t="s">
        <v>13304</v>
      </c>
      <c r="G1361" s="3" t="s">
        <v>62</v>
      </c>
      <c r="I1361" s="3" t="s">
        <v>61</v>
      </c>
      <c r="J1361" s="3" t="s">
        <v>62</v>
      </c>
      <c r="K1361" s="3" t="s">
        <v>63</v>
      </c>
      <c r="L1361" s="2" t="s">
        <v>13305</v>
      </c>
      <c r="M1361" s="2" t="s">
        <v>13306</v>
      </c>
      <c r="N1361" s="3" t="s">
        <v>2417</v>
      </c>
      <c r="P1361" s="3" t="s">
        <v>65</v>
      </c>
      <c r="R1361" s="3" t="s">
        <v>66</v>
      </c>
      <c r="S1361" s="4">
        <v>29</v>
      </c>
      <c r="T1361" s="4">
        <v>49</v>
      </c>
      <c r="U1361" s="5" t="s">
        <v>71</v>
      </c>
      <c r="V1361" s="5" t="s">
        <v>13035</v>
      </c>
      <c r="W1361" s="5" t="s">
        <v>67</v>
      </c>
      <c r="X1361" s="5" t="s">
        <v>67</v>
      </c>
      <c r="Y1361" s="4">
        <v>785</v>
      </c>
      <c r="Z1361" s="4">
        <v>93</v>
      </c>
      <c r="AA1361" s="4">
        <v>107</v>
      </c>
      <c r="AB1361" s="4">
        <v>3</v>
      </c>
      <c r="AC1361" s="4">
        <v>11</v>
      </c>
      <c r="AD1361" s="4">
        <v>138</v>
      </c>
      <c r="AE1361" s="4">
        <v>150</v>
      </c>
      <c r="AF1361" s="4">
        <v>1</v>
      </c>
      <c r="AG1361" s="4">
        <v>7</v>
      </c>
      <c r="AH1361" s="4">
        <v>105</v>
      </c>
      <c r="AI1361" s="4">
        <v>108</v>
      </c>
      <c r="AJ1361" s="4">
        <v>23</v>
      </c>
      <c r="AK1361" s="4">
        <v>30</v>
      </c>
      <c r="AL1361" s="4">
        <v>55</v>
      </c>
      <c r="AM1361" s="4">
        <v>55</v>
      </c>
      <c r="AN1361" s="4">
        <v>0</v>
      </c>
      <c r="AO1361" s="4">
        <v>0</v>
      </c>
      <c r="AP1361" s="4">
        <v>39</v>
      </c>
      <c r="AQ1361" s="4">
        <v>50</v>
      </c>
      <c r="AR1361" s="3" t="s">
        <v>61</v>
      </c>
      <c r="AS1361" s="3" t="s">
        <v>62</v>
      </c>
      <c r="AT1361" s="3" t="s">
        <v>61</v>
      </c>
      <c r="AU1361" s="6" t="str">
        <f>HYPERLINK("http://catalog.hathitrust.org/Record/004480519","HathiTrust Record")</f>
        <v>HathiTrust Record</v>
      </c>
      <c r="AV1361" s="6" t="str">
        <f>HYPERLINK("http://mcgill.on.worldcat.org/oclc/18839288","Catalog Record")</f>
        <v>Catalog Record</v>
      </c>
      <c r="AW1361" s="6" t="str">
        <f>HYPERLINK("http://www.worldcat.org/oclc/18839288","WorldCat Record")</f>
        <v>WorldCat Record</v>
      </c>
      <c r="AX1361" s="3" t="s">
        <v>13307</v>
      </c>
      <c r="AY1361" s="3" t="s">
        <v>13308</v>
      </c>
      <c r="AZ1361" s="3" t="s">
        <v>13309</v>
      </c>
      <c r="BA1361" s="3" t="s">
        <v>13309</v>
      </c>
      <c r="BB1361" s="3" t="s">
        <v>13315</v>
      </c>
      <c r="BC1361" s="3" t="s">
        <v>142</v>
      </c>
      <c r="BD1361" s="3" t="s">
        <v>68</v>
      </c>
      <c r="BE1361" s="3" t="s">
        <v>13311</v>
      </c>
      <c r="BF1361" s="3" t="s">
        <v>13315</v>
      </c>
      <c r="BG1361" s="3" t="s">
        <v>13316</v>
      </c>
    </row>
    <row r="1362" spans="1:59" ht="57" x14ac:dyDescent="0.45">
      <c r="A1362" s="2" t="s">
        <v>59</v>
      </c>
      <c r="B1362" s="2" t="s">
        <v>60</v>
      </c>
      <c r="C1362" s="2" t="s">
        <v>13317</v>
      </c>
      <c r="D1362" s="2" t="s">
        <v>13318</v>
      </c>
      <c r="E1362" s="2" t="s">
        <v>13319</v>
      </c>
      <c r="G1362" s="3" t="s">
        <v>62</v>
      </c>
      <c r="I1362" s="3" t="s">
        <v>61</v>
      </c>
      <c r="J1362" s="3" t="s">
        <v>61</v>
      </c>
      <c r="K1362" s="3" t="s">
        <v>63</v>
      </c>
      <c r="L1362" s="2" t="s">
        <v>13305</v>
      </c>
      <c r="M1362" s="2" t="s">
        <v>13320</v>
      </c>
      <c r="N1362" s="3" t="s">
        <v>113</v>
      </c>
      <c r="P1362" s="3" t="s">
        <v>65</v>
      </c>
      <c r="R1362" s="3" t="s">
        <v>66</v>
      </c>
      <c r="S1362" s="4">
        <v>44</v>
      </c>
      <c r="T1362" s="4">
        <v>56</v>
      </c>
      <c r="U1362" s="5" t="s">
        <v>13321</v>
      </c>
      <c r="V1362" s="5" t="s">
        <v>13322</v>
      </c>
      <c r="W1362" s="5" t="s">
        <v>67</v>
      </c>
      <c r="X1362" s="5" t="s">
        <v>67</v>
      </c>
      <c r="Y1362" s="4">
        <v>843</v>
      </c>
      <c r="Z1362" s="4">
        <v>33</v>
      </c>
      <c r="AA1362" s="4">
        <v>121</v>
      </c>
      <c r="AB1362" s="4">
        <v>2</v>
      </c>
      <c r="AC1362" s="4">
        <v>14</v>
      </c>
      <c r="AD1362" s="4">
        <v>106</v>
      </c>
      <c r="AE1362" s="4">
        <v>154</v>
      </c>
      <c r="AF1362" s="4">
        <v>1</v>
      </c>
      <c r="AG1362" s="4">
        <v>5</v>
      </c>
      <c r="AH1362" s="4">
        <v>88</v>
      </c>
      <c r="AI1362" s="4">
        <v>111</v>
      </c>
      <c r="AJ1362" s="4">
        <v>15</v>
      </c>
      <c r="AK1362" s="4">
        <v>27</v>
      </c>
      <c r="AL1362" s="4">
        <v>48</v>
      </c>
      <c r="AM1362" s="4">
        <v>59</v>
      </c>
      <c r="AN1362" s="4">
        <v>0</v>
      </c>
      <c r="AO1362" s="4">
        <v>0</v>
      </c>
      <c r="AP1362" s="4">
        <v>21</v>
      </c>
      <c r="AQ1362" s="4">
        <v>50</v>
      </c>
      <c r="AR1362" s="3" t="s">
        <v>62</v>
      </c>
      <c r="AS1362" s="3" t="s">
        <v>62</v>
      </c>
      <c r="AT1362" s="3" t="s">
        <v>61</v>
      </c>
      <c r="AU1362" s="6" t="str">
        <f>HYPERLINK("http://catalog.hathitrust.org/Record/001180774","HathiTrust Record")</f>
        <v>HathiTrust Record</v>
      </c>
      <c r="AV1362" s="6" t="str">
        <f>HYPERLINK("http://mcgill.on.worldcat.org/oclc/308404","Catalog Record")</f>
        <v>Catalog Record</v>
      </c>
      <c r="AW1362" s="6" t="str">
        <f>HYPERLINK("http://www.worldcat.org/oclc/308404","WorldCat Record")</f>
        <v>WorldCat Record</v>
      </c>
      <c r="AX1362" s="3" t="s">
        <v>13323</v>
      </c>
      <c r="AY1362" s="3" t="s">
        <v>13324</v>
      </c>
      <c r="AZ1362" s="3" t="s">
        <v>13325</v>
      </c>
      <c r="BA1362" s="3" t="s">
        <v>13325</v>
      </c>
      <c r="BB1362" s="3" t="s">
        <v>13326</v>
      </c>
      <c r="BC1362" s="3" t="s">
        <v>142</v>
      </c>
      <c r="BD1362" s="3" t="s">
        <v>68</v>
      </c>
      <c r="BF1362" s="3" t="s">
        <v>13326</v>
      </c>
      <c r="BG1362" s="3" t="s">
        <v>13327</v>
      </c>
    </row>
    <row r="1363" spans="1:59" ht="57" x14ac:dyDescent="0.45">
      <c r="A1363" s="2" t="s">
        <v>59</v>
      </c>
      <c r="B1363" s="2" t="s">
        <v>60</v>
      </c>
      <c r="C1363" s="2" t="s">
        <v>13317</v>
      </c>
      <c r="D1363" s="2" t="s">
        <v>13318</v>
      </c>
      <c r="E1363" s="2" t="s">
        <v>13319</v>
      </c>
      <c r="G1363" s="3" t="s">
        <v>62</v>
      </c>
      <c r="I1363" s="3" t="s">
        <v>61</v>
      </c>
      <c r="J1363" s="3" t="s">
        <v>61</v>
      </c>
      <c r="K1363" s="3" t="s">
        <v>63</v>
      </c>
      <c r="L1363" s="2" t="s">
        <v>13305</v>
      </c>
      <c r="M1363" s="2" t="s">
        <v>13320</v>
      </c>
      <c r="N1363" s="3" t="s">
        <v>113</v>
      </c>
      <c r="P1363" s="3" t="s">
        <v>65</v>
      </c>
      <c r="R1363" s="3" t="s">
        <v>66</v>
      </c>
      <c r="S1363" s="4">
        <v>12</v>
      </c>
      <c r="T1363" s="4">
        <v>56</v>
      </c>
      <c r="U1363" s="5" t="s">
        <v>13322</v>
      </c>
      <c r="V1363" s="5" t="s">
        <v>13322</v>
      </c>
      <c r="W1363" s="5" t="s">
        <v>67</v>
      </c>
      <c r="X1363" s="5" t="s">
        <v>67</v>
      </c>
      <c r="Y1363" s="4">
        <v>843</v>
      </c>
      <c r="Z1363" s="4">
        <v>33</v>
      </c>
      <c r="AA1363" s="4">
        <v>121</v>
      </c>
      <c r="AB1363" s="4">
        <v>2</v>
      </c>
      <c r="AC1363" s="4">
        <v>14</v>
      </c>
      <c r="AD1363" s="4">
        <v>106</v>
      </c>
      <c r="AE1363" s="4">
        <v>154</v>
      </c>
      <c r="AF1363" s="4">
        <v>1</v>
      </c>
      <c r="AG1363" s="4">
        <v>5</v>
      </c>
      <c r="AH1363" s="4">
        <v>88</v>
      </c>
      <c r="AI1363" s="4">
        <v>111</v>
      </c>
      <c r="AJ1363" s="4">
        <v>15</v>
      </c>
      <c r="AK1363" s="4">
        <v>27</v>
      </c>
      <c r="AL1363" s="4">
        <v>48</v>
      </c>
      <c r="AM1363" s="4">
        <v>59</v>
      </c>
      <c r="AN1363" s="4">
        <v>0</v>
      </c>
      <c r="AO1363" s="4">
        <v>0</v>
      </c>
      <c r="AP1363" s="4">
        <v>21</v>
      </c>
      <c r="AQ1363" s="4">
        <v>50</v>
      </c>
      <c r="AR1363" s="3" t="s">
        <v>62</v>
      </c>
      <c r="AS1363" s="3" t="s">
        <v>62</v>
      </c>
      <c r="AT1363" s="3" t="s">
        <v>61</v>
      </c>
      <c r="AU1363" s="6" t="str">
        <f>HYPERLINK("http://catalog.hathitrust.org/Record/001180774","HathiTrust Record")</f>
        <v>HathiTrust Record</v>
      </c>
      <c r="AV1363" s="6" t="str">
        <f>HYPERLINK("http://mcgill.on.worldcat.org/oclc/308404","Catalog Record")</f>
        <v>Catalog Record</v>
      </c>
      <c r="AW1363" s="6" t="str">
        <f>HYPERLINK("http://www.worldcat.org/oclc/308404","WorldCat Record")</f>
        <v>WorldCat Record</v>
      </c>
      <c r="AX1363" s="3" t="s">
        <v>13323</v>
      </c>
      <c r="AY1363" s="3" t="s">
        <v>13324</v>
      </c>
      <c r="AZ1363" s="3" t="s">
        <v>13325</v>
      </c>
      <c r="BA1363" s="3" t="s">
        <v>13325</v>
      </c>
      <c r="BB1363" s="3" t="s">
        <v>13328</v>
      </c>
      <c r="BC1363" s="3" t="s">
        <v>142</v>
      </c>
      <c r="BD1363" s="3" t="s">
        <v>68</v>
      </c>
      <c r="BF1363" s="3" t="s">
        <v>13328</v>
      </c>
      <c r="BG1363" s="3" t="s">
        <v>13329</v>
      </c>
    </row>
    <row r="1364" spans="1:59" ht="57" x14ac:dyDescent="0.45">
      <c r="A1364" s="2" t="s">
        <v>59</v>
      </c>
      <c r="B1364" s="2" t="s">
        <v>60</v>
      </c>
      <c r="C1364" s="2" t="s">
        <v>13330</v>
      </c>
      <c r="D1364" s="2" t="s">
        <v>13331</v>
      </c>
      <c r="E1364" s="2" t="s">
        <v>13332</v>
      </c>
      <c r="G1364" s="3" t="s">
        <v>62</v>
      </c>
      <c r="I1364" s="3" t="s">
        <v>61</v>
      </c>
      <c r="J1364" s="3" t="s">
        <v>61</v>
      </c>
      <c r="K1364" s="3" t="s">
        <v>63</v>
      </c>
      <c r="L1364" s="2" t="s">
        <v>13305</v>
      </c>
      <c r="M1364" s="2" t="s">
        <v>13333</v>
      </c>
      <c r="N1364" s="3" t="s">
        <v>113</v>
      </c>
      <c r="P1364" s="3" t="s">
        <v>65</v>
      </c>
      <c r="Q1364" s="2" t="s">
        <v>13334</v>
      </c>
      <c r="R1364" s="3" t="s">
        <v>66</v>
      </c>
      <c r="S1364" s="4">
        <v>67</v>
      </c>
      <c r="T1364" s="4">
        <v>251</v>
      </c>
      <c r="U1364" s="5" t="s">
        <v>10429</v>
      </c>
      <c r="V1364" s="5" t="s">
        <v>1526</v>
      </c>
      <c r="W1364" s="5" t="s">
        <v>67</v>
      </c>
      <c r="X1364" s="5" t="s">
        <v>67</v>
      </c>
      <c r="Y1364" s="4">
        <v>978</v>
      </c>
      <c r="Z1364" s="4">
        <v>75</v>
      </c>
      <c r="AA1364" s="4">
        <v>121</v>
      </c>
      <c r="AB1364" s="4">
        <v>6</v>
      </c>
      <c r="AC1364" s="4">
        <v>14</v>
      </c>
      <c r="AD1364" s="4">
        <v>111</v>
      </c>
      <c r="AE1364" s="4">
        <v>154</v>
      </c>
      <c r="AF1364" s="4">
        <v>2</v>
      </c>
      <c r="AG1364" s="4">
        <v>5</v>
      </c>
      <c r="AH1364" s="4">
        <v>88</v>
      </c>
      <c r="AI1364" s="4">
        <v>111</v>
      </c>
      <c r="AJ1364" s="4">
        <v>18</v>
      </c>
      <c r="AK1364" s="4">
        <v>27</v>
      </c>
      <c r="AL1364" s="4">
        <v>48</v>
      </c>
      <c r="AM1364" s="4">
        <v>59</v>
      </c>
      <c r="AN1364" s="4">
        <v>0</v>
      </c>
      <c r="AO1364" s="4">
        <v>0</v>
      </c>
      <c r="AP1364" s="4">
        <v>30</v>
      </c>
      <c r="AQ1364" s="4">
        <v>50</v>
      </c>
      <c r="AR1364" s="3" t="s">
        <v>62</v>
      </c>
      <c r="AS1364" s="3" t="s">
        <v>62</v>
      </c>
      <c r="AT1364" s="3" t="s">
        <v>61</v>
      </c>
      <c r="AU1364" s="6" t="str">
        <f>HYPERLINK("http://catalog.hathitrust.org/Record/001180773","HathiTrust Record")</f>
        <v>HathiTrust Record</v>
      </c>
      <c r="AV1364" s="6" t="str">
        <f>HYPERLINK("http://mcgill.on.worldcat.org/oclc/203688","Catalog Record")</f>
        <v>Catalog Record</v>
      </c>
      <c r="AW1364" s="6" t="str">
        <f>HYPERLINK("http://www.worldcat.org/oclc/203688","WorldCat Record")</f>
        <v>WorldCat Record</v>
      </c>
      <c r="AX1364" s="3" t="s">
        <v>13323</v>
      </c>
      <c r="AY1364" s="3" t="s">
        <v>13335</v>
      </c>
      <c r="AZ1364" s="3" t="s">
        <v>13336</v>
      </c>
      <c r="BA1364" s="3" t="s">
        <v>13336</v>
      </c>
      <c r="BB1364" s="3" t="s">
        <v>13337</v>
      </c>
      <c r="BC1364" s="3" t="s">
        <v>142</v>
      </c>
      <c r="BD1364" s="3" t="s">
        <v>68</v>
      </c>
      <c r="BE1364" s="3" t="s">
        <v>13338</v>
      </c>
      <c r="BF1364" s="3" t="s">
        <v>13337</v>
      </c>
      <c r="BG1364" s="3" t="s">
        <v>13339</v>
      </c>
    </row>
    <row r="1365" spans="1:59" ht="57" x14ac:dyDescent="0.45">
      <c r="A1365" s="2" t="s">
        <v>59</v>
      </c>
      <c r="B1365" s="2" t="s">
        <v>60</v>
      </c>
      <c r="C1365" s="2" t="s">
        <v>13330</v>
      </c>
      <c r="D1365" s="2" t="s">
        <v>13331</v>
      </c>
      <c r="E1365" s="2" t="s">
        <v>13332</v>
      </c>
      <c r="G1365" s="3" t="s">
        <v>62</v>
      </c>
      <c r="I1365" s="3" t="s">
        <v>61</v>
      </c>
      <c r="J1365" s="3" t="s">
        <v>61</v>
      </c>
      <c r="K1365" s="3" t="s">
        <v>63</v>
      </c>
      <c r="L1365" s="2" t="s">
        <v>13305</v>
      </c>
      <c r="M1365" s="2" t="s">
        <v>13333</v>
      </c>
      <c r="N1365" s="3" t="s">
        <v>113</v>
      </c>
      <c r="P1365" s="3" t="s">
        <v>65</v>
      </c>
      <c r="Q1365" s="2" t="s">
        <v>13334</v>
      </c>
      <c r="R1365" s="3" t="s">
        <v>66</v>
      </c>
      <c r="S1365" s="4">
        <v>76</v>
      </c>
      <c r="T1365" s="4">
        <v>251</v>
      </c>
      <c r="U1365" s="5" t="s">
        <v>971</v>
      </c>
      <c r="V1365" s="5" t="s">
        <v>1526</v>
      </c>
      <c r="W1365" s="5" t="s">
        <v>67</v>
      </c>
      <c r="X1365" s="5" t="s">
        <v>67</v>
      </c>
      <c r="Y1365" s="4">
        <v>978</v>
      </c>
      <c r="Z1365" s="4">
        <v>75</v>
      </c>
      <c r="AA1365" s="4">
        <v>121</v>
      </c>
      <c r="AB1365" s="4">
        <v>6</v>
      </c>
      <c r="AC1365" s="4">
        <v>14</v>
      </c>
      <c r="AD1365" s="4">
        <v>111</v>
      </c>
      <c r="AE1365" s="4">
        <v>154</v>
      </c>
      <c r="AF1365" s="4">
        <v>2</v>
      </c>
      <c r="AG1365" s="4">
        <v>5</v>
      </c>
      <c r="AH1365" s="4">
        <v>88</v>
      </c>
      <c r="AI1365" s="4">
        <v>111</v>
      </c>
      <c r="AJ1365" s="4">
        <v>18</v>
      </c>
      <c r="AK1365" s="4">
        <v>27</v>
      </c>
      <c r="AL1365" s="4">
        <v>48</v>
      </c>
      <c r="AM1365" s="4">
        <v>59</v>
      </c>
      <c r="AN1365" s="4">
        <v>0</v>
      </c>
      <c r="AO1365" s="4">
        <v>0</v>
      </c>
      <c r="AP1365" s="4">
        <v>30</v>
      </c>
      <c r="AQ1365" s="4">
        <v>50</v>
      </c>
      <c r="AR1365" s="3" t="s">
        <v>62</v>
      </c>
      <c r="AS1365" s="3" t="s">
        <v>62</v>
      </c>
      <c r="AT1365" s="3" t="s">
        <v>61</v>
      </c>
      <c r="AU1365" s="6" t="str">
        <f>HYPERLINK("http://catalog.hathitrust.org/Record/001180773","HathiTrust Record")</f>
        <v>HathiTrust Record</v>
      </c>
      <c r="AV1365" s="6" t="str">
        <f>HYPERLINK("http://mcgill.on.worldcat.org/oclc/203688","Catalog Record")</f>
        <v>Catalog Record</v>
      </c>
      <c r="AW1365" s="6" t="str">
        <f>HYPERLINK("http://www.worldcat.org/oclc/203688","WorldCat Record")</f>
        <v>WorldCat Record</v>
      </c>
      <c r="AX1365" s="3" t="s">
        <v>13323</v>
      </c>
      <c r="AY1365" s="3" t="s">
        <v>13335</v>
      </c>
      <c r="AZ1365" s="3" t="s">
        <v>13336</v>
      </c>
      <c r="BA1365" s="3" t="s">
        <v>13336</v>
      </c>
      <c r="BB1365" s="3" t="s">
        <v>13340</v>
      </c>
      <c r="BC1365" s="3" t="s">
        <v>142</v>
      </c>
      <c r="BD1365" s="3" t="s">
        <v>308</v>
      </c>
      <c r="BE1365" s="3" t="s">
        <v>13338</v>
      </c>
      <c r="BF1365" s="3" t="s">
        <v>13340</v>
      </c>
      <c r="BG1365" s="3" t="s">
        <v>13341</v>
      </c>
    </row>
    <row r="1366" spans="1:59" ht="57" x14ac:dyDescent="0.45">
      <c r="A1366" s="2" t="s">
        <v>59</v>
      </c>
      <c r="B1366" s="2" t="s">
        <v>60</v>
      </c>
      <c r="C1366" s="2" t="s">
        <v>13330</v>
      </c>
      <c r="D1366" s="2" t="s">
        <v>13331</v>
      </c>
      <c r="E1366" s="2" t="s">
        <v>13332</v>
      </c>
      <c r="G1366" s="3" t="s">
        <v>62</v>
      </c>
      <c r="I1366" s="3" t="s">
        <v>61</v>
      </c>
      <c r="J1366" s="3" t="s">
        <v>61</v>
      </c>
      <c r="K1366" s="3" t="s">
        <v>63</v>
      </c>
      <c r="L1366" s="2" t="s">
        <v>13305</v>
      </c>
      <c r="M1366" s="2" t="s">
        <v>13333</v>
      </c>
      <c r="N1366" s="3" t="s">
        <v>113</v>
      </c>
      <c r="P1366" s="3" t="s">
        <v>65</v>
      </c>
      <c r="Q1366" s="2" t="s">
        <v>13334</v>
      </c>
      <c r="R1366" s="3" t="s">
        <v>66</v>
      </c>
      <c r="S1366" s="4">
        <v>67</v>
      </c>
      <c r="T1366" s="4">
        <v>251</v>
      </c>
      <c r="U1366" s="5" t="s">
        <v>13342</v>
      </c>
      <c r="V1366" s="5" t="s">
        <v>1526</v>
      </c>
      <c r="W1366" s="5" t="s">
        <v>67</v>
      </c>
      <c r="X1366" s="5" t="s">
        <v>67</v>
      </c>
      <c r="Y1366" s="4">
        <v>978</v>
      </c>
      <c r="Z1366" s="4">
        <v>75</v>
      </c>
      <c r="AA1366" s="4">
        <v>121</v>
      </c>
      <c r="AB1366" s="4">
        <v>6</v>
      </c>
      <c r="AC1366" s="4">
        <v>14</v>
      </c>
      <c r="AD1366" s="4">
        <v>111</v>
      </c>
      <c r="AE1366" s="4">
        <v>154</v>
      </c>
      <c r="AF1366" s="4">
        <v>2</v>
      </c>
      <c r="AG1366" s="4">
        <v>5</v>
      </c>
      <c r="AH1366" s="4">
        <v>88</v>
      </c>
      <c r="AI1366" s="4">
        <v>111</v>
      </c>
      <c r="AJ1366" s="4">
        <v>18</v>
      </c>
      <c r="AK1366" s="4">
        <v>27</v>
      </c>
      <c r="AL1366" s="4">
        <v>48</v>
      </c>
      <c r="AM1366" s="4">
        <v>59</v>
      </c>
      <c r="AN1366" s="4">
        <v>0</v>
      </c>
      <c r="AO1366" s="4">
        <v>0</v>
      </c>
      <c r="AP1366" s="4">
        <v>30</v>
      </c>
      <c r="AQ1366" s="4">
        <v>50</v>
      </c>
      <c r="AR1366" s="3" t="s">
        <v>62</v>
      </c>
      <c r="AS1366" s="3" t="s">
        <v>62</v>
      </c>
      <c r="AT1366" s="3" t="s">
        <v>61</v>
      </c>
      <c r="AU1366" s="6" t="str">
        <f>HYPERLINK("http://catalog.hathitrust.org/Record/001180773","HathiTrust Record")</f>
        <v>HathiTrust Record</v>
      </c>
      <c r="AV1366" s="6" t="str">
        <f>HYPERLINK("http://mcgill.on.worldcat.org/oclc/203688","Catalog Record")</f>
        <v>Catalog Record</v>
      </c>
      <c r="AW1366" s="6" t="str">
        <f>HYPERLINK("http://www.worldcat.org/oclc/203688","WorldCat Record")</f>
        <v>WorldCat Record</v>
      </c>
      <c r="AX1366" s="3" t="s">
        <v>13323</v>
      </c>
      <c r="AY1366" s="3" t="s">
        <v>13335</v>
      </c>
      <c r="AZ1366" s="3" t="s">
        <v>13336</v>
      </c>
      <c r="BA1366" s="3" t="s">
        <v>13336</v>
      </c>
      <c r="BB1366" s="3" t="s">
        <v>13343</v>
      </c>
      <c r="BC1366" s="3" t="s">
        <v>142</v>
      </c>
      <c r="BD1366" s="3" t="s">
        <v>68</v>
      </c>
      <c r="BE1366" s="3" t="s">
        <v>13338</v>
      </c>
      <c r="BF1366" s="3" t="s">
        <v>13343</v>
      </c>
      <c r="BG1366" s="3" t="s">
        <v>13344</v>
      </c>
    </row>
    <row r="1367" spans="1:59" ht="57" x14ac:dyDescent="0.45">
      <c r="A1367" s="2" t="s">
        <v>59</v>
      </c>
      <c r="B1367" s="2" t="s">
        <v>60</v>
      </c>
      <c r="C1367" s="2" t="s">
        <v>13330</v>
      </c>
      <c r="D1367" s="2" t="s">
        <v>13331</v>
      </c>
      <c r="E1367" s="2" t="s">
        <v>13332</v>
      </c>
      <c r="G1367" s="3" t="s">
        <v>62</v>
      </c>
      <c r="I1367" s="3" t="s">
        <v>61</v>
      </c>
      <c r="J1367" s="3" t="s">
        <v>61</v>
      </c>
      <c r="K1367" s="3" t="s">
        <v>63</v>
      </c>
      <c r="L1367" s="2" t="s">
        <v>13305</v>
      </c>
      <c r="M1367" s="2" t="s">
        <v>13333</v>
      </c>
      <c r="N1367" s="3" t="s">
        <v>113</v>
      </c>
      <c r="P1367" s="3" t="s">
        <v>65</v>
      </c>
      <c r="Q1367" s="2" t="s">
        <v>13334</v>
      </c>
      <c r="R1367" s="3" t="s">
        <v>66</v>
      </c>
      <c r="S1367" s="4">
        <v>30</v>
      </c>
      <c r="T1367" s="4">
        <v>251</v>
      </c>
      <c r="U1367" s="5" t="s">
        <v>13345</v>
      </c>
      <c r="V1367" s="5" t="s">
        <v>1526</v>
      </c>
      <c r="W1367" s="5" t="s">
        <v>67</v>
      </c>
      <c r="X1367" s="5" t="s">
        <v>67</v>
      </c>
      <c r="Y1367" s="4">
        <v>978</v>
      </c>
      <c r="Z1367" s="4">
        <v>75</v>
      </c>
      <c r="AA1367" s="4">
        <v>121</v>
      </c>
      <c r="AB1367" s="4">
        <v>6</v>
      </c>
      <c r="AC1367" s="4">
        <v>14</v>
      </c>
      <c r="AD1367" s="4">
        <v>111</v>
      </c>
      <c r="AE1367" s="4">
        <v>154</v>
      </c>
      <c r="AF1367" s="4">
        <v>2</v>
      </c>
      <c r="AG1367" s="4">
        <v>5</v>
      </c>
      <c r="AH1367" s="4">
        <v>88</v>
      </c>
      <c r="AI1367" s="4">
        <v>111</v>
      </c>
      <c r="AJ1367" s="4">
        <v>18</v>
      </c>
      <c r="AK1367" s="4">
        <v>27</v>
      </c>
      <c r="AL1367" s="4">
        <v>48</v>
      </c>
      <c r="AM1367" s="4">
        <v>59</v>
      </c>
      <c r="AN1367" s="4">
        <v>0</v>
      </c>
      <c r="AO1367" s="4">
        <v>0</v>
      </c>
      <c r="AP1367" s="4">
        <v>30</v>
      </c>
      <c r="AQ1367" s="4">
        <v>50</v>
      </c>
      <c r="AR1367" s="3" t="s">
        <v>62</v>
      </c>
      <c r="AS1367" s="3" t="s">
        <v>62</v>
      </c>
      <c r="AT1367" s="3" t="s">
        <v>61</v>
      </c>
      <c r="AU1367" s="6" t="str">
        <f>HYPERLINK("http://catalog.hathitrust.org/Record/001180773","HathiTrust Record")</f>
        <v>HathiTrust Record</v>
      </c>
      <c r="AV1367" s="6" t="str">
        <f>HYPERLINK("http://mcgill.on.worldcat.org/oclc/203688","Catalog Record")</f>
        <v>Catalog Record</v>
      </c>
      <c r="AW1367" s="6" t="str">
        <f>HYPERLINK("http://www.worldcat.org/oclc/203688","WorldCat Record")</f>
        <v>WorldCat Record</v>
      </c>
      <c r="AX1367" s="3" t="s">
        <v>13323</v>
      </c>
      <c r="AY1367" s="3" t="s">
        <v>13335</v>
      </c>
      <c r="AZ1367" s="3" t="s">
        <v>13336</v>
      </c>
      <c r="BA1367" s="3" t="s">
        <v>13336</v>
      </c>
      <c r="BB1367" s="3" t="s">
        <v>13346</v>
      </c>
      <c r="BC1367" s="3" t="s">
        <v>142</v>
      </c>
      <c r="BD1367" s="3" t="s">
        <v>68</v>
      </c>
      <c r="BE1367" s="3" t="s">
        <v>13338</v>
      </c>
      <c r="BF1367" s="3" t="s">
        <v>13346</v>
      </c>
      <c r="BG1367" s="3" t="s">
        <v>13347</v>
      </c>
    </row>
    <row r="1368" spans="1:59" ht="57" x14ac:dyDescent="0.45">
      <c r="A1368" s="2" t="s">
        <v>59</v>
      </c>
      <c r="B1368" s="2" t="s">
        <v>60</v>
      </c>
      <c r="C1368" s="2" t="s">
        <v>13330</v>
      </c>
      <c r="D1368" s="2" t="s">
        <v>13331</v>
      </c>
      <c r="E1368" s="2" t="s">
        <v>13332</v>
      </c>
      <c r="G1368" s="3" t="s">
        <v>62</v>
      </c>
      <c r="I1368" s="3" t="s">
        <v>61</v>
      </c>
      <c r="J1368" s="3" t="s">
        <v>61</v>
      </c>
      <c r="K1368" s="3" t="s">
        <v>63</v>
      </c>
      <c r="L1368" s="2" t="s">
        <v>13305</v>
      </c>
      <c r="M1368" s="2" t="s">
        <v>13333</v>
      </c>
      <c r="N1368" s="3" t="s">
        <v>113</v>
      </c>
      <c r="P1368" s="3" t="s">
        <v>65</v>
      </c>
      <c r="Q1368" s="2" t="s">
        <v>13334</v>
      </c>
      <c r="R1368" s="3" t="s">
        <v>66</v>
      </c>
      <c r="S1368" s="4">
        <v>11</v>
      </c>
      <c r="T1368" s="4">
        <v>251</v>
      </c>
      <c r="U1368" s="5" t="s">
        <v>1526</v>
      </c>
      <c r="V1368" s="5" t="s">
        <v>1526</v>
      </c>
      <c r="W1368" s="5" t="s">
        <v>67</v>
      </c>
      <c r="X1368" s="5" t="s">
        <v>67</v>
      </c>
      <c r="Y1368" s="4">
        <v>978</v>
      </c>
      <c r="Z1368" s="4">
        <v>75</v>
      </c>
      <c r="AA1368" s="4">
        <v>121</v>
      </c>
      <c r="AB1368" s="4">
        <v>6</v>
      </c>
      <c r="AC1368" s="4">
        <v>14</v>
      </c>
      <c r="AD1368" s="4">
        <v>111</v>
      </c>
      <c r="AE1368" s="4">
        <v>154</v>
      </c>
      <c r="AF1368" s="4">
        <v>2</v>
      </c>
      <c r="AG1368" s="4">
        <v>5</v>
      </c>
      <c r="AH1368" s="4">
        <v>88</v>
      </c>
      <c r="AI1368" s="4">
        <v>111</v>
      </c>
      <c r="AJ1368" s="4">
        <v>18</v>
      </c>
      <c r="AK1368" s="4">
        <v>27</v>
      </c>
      <c r="AL1368" s="4">
        <v>48</v>
      </c>
      <c r="AM1368" s="4">
        <v>59</v>
      </c>
      <c r="AN1368" s="4">
        <v>0</v>
      </c>
      <c r="AO1368" s="4">
        <v>0</v>
      </c>
      <c r="AP1368" s="4">
        <v>30</v>
      </c>
      <c r="AQ1368" s="4">
        <v>50</v>
      </c>
      <c r="AR1368" s="3" t="s">
        <v>62</v>
      </c>
      <c r="AS1368" s="3" t="s">
        <v>62</v>
      </c>
      <c r="AT1368" s="3" t="s">
        <v>61</v>
      </c>
      <c r="AU1368" s="6" t="str">
        <f>HYPERLINK("http://catalog.hathitrust.org/Record/001180773","HathiTrust Record")</f>
        <v>HathiTrust Record</v>
      </c>
      <c r="AV1368" s="6" t="str">
        <f>HYPERLINK("http://mcgill.on.worldcat.org/oclc/203688","Catalog Record")</f>
        <v>Catalog Record</v>
      </c>
      <c r="AW1368" s="6" t="str">
        <f>HYPERLINK("http://www.worldcat.org/oclc/203688","WorldCat Record")</f>
        <v>WorldCat Record</v>
      </c>
      <c r="AX1368" s="3" t="s">
        <v>13323</v>
      </c>
      <c r="AY1368" s="3" t="s">
        <v>13335</v>
      </c>
      <c r="AZ1368" s="3" t="s">
        <v>13336</v>
      </c>
      <c r="BA1368" s="3" t="s">
        <v>13336</v>
      </c>
      <c r="BB1368" s="3" t="s">
        <v>13348</v>
      </c>
      <c r="BC1368" s="3" t="s">
        <v>142</v>
      </c>
      <c r="BD1368" s="3" t="s">
        <v>68</v>
      </c>
      <c r="BE1368" s="3" t="s">
        <v>13338</v>
      </c>
      <c r="BF1368" s="3" t="s">
        <v>13348</v>
      </c>
      <c r="BG1368" s="3" t="s">
        <v>13349</v>
      </c>
    </row>
    <row r="1369" spans="1:59" ht="57" x14ac:dyDescent="0.45">
      <c r="A1369" s="2" t="s">
        <v>59</v>
      </c>
      <c r="B1369" s="2" t="s">
        <v>60</v>
      </c>
      <c r="C1369" s="2" t="s">
        <v>13350</v>
      </c>
      <c r="D1369" s="2" t="s">
        <v>13351</v>
      </c>
      <c r="E1369" s="2" t="s">
        <v>13352</v>
      </c>
      <c r="G1369" s="3" t="s">
        <v>62</v>
      </c>
      <c r="I1369" s="3" t="s">
        <v>61</v>
      </c>
      <c r="J1369" s="3" t="s">
        <v>62</v>
      </c>
      <c r="K1369" s="3" t="s">
        <v>63</v>
      </c>
      <c r="L1369" s="2" t="s">
        <v>13353</v>
      </c>
      <c r="M1369" s="2" t="s">
        <v>13354</v>
      </c>
      <c r="N1369" s="3" t="s">
        <v>127</v>
      </c>
      <c r="O1369" s="2" t="s">
        <v>1748</v>
      </c>
      <c r="P1369" s="3" t="s">
        <v>65</v>
      </c>
      <c r="R1369" s="3" t="s">
        <v>66</v>
      </c>
      <c r="S1369" s="4">
        <v>21</v>
      </c>
      <c r="T1369" s="4">
        <v>21</v>
      </c>
      <c r="U1369" s="5" t="s">
        <v>13035</v>
      </c>
      <c r="V1369" s="5" t="s">
        <v>13035</v>
      </c>
      <c r="W1369" s="5" t="s">
        <v>67</v>
      </c>
      <c r="X1369" s="5" t="s">
        <v>67</v>
      </c>
      <c r="Y1369" s="4">
        <v>504</v>
      </c>
      <c r="Z1369" s="4">
        <v>55</v>
      </c>
      <c r="AA1369" s="4">
        <v>55</v>
      </c>
      <c r="AB1369" s="4">
        <v>2</v>
      </c>
      <c r="AC1369" s="4">
        <v>2</v>
      </c>
      <c r="AD1369" s="4">
        <v>111</v>
      </c>
      <c r="AE1369" s="4">
        <v>112</v>
      </c>
      <c r="AF1369" s="4">
        <v>1</v>
      </c>
      <c r="AG1369" s="4">
        <v>1</v>
      </c>
      <c r="AH1369" s="4">
        <v>83</v>
      </c>
      <c r="AI1369" s="4">
        <v>84</v>
      </c>
      <c r="AJ1369" s="4">
        <v>21</v>
      </c>
      <c r="AK1369" s="4">
        <v>21</v>
      </c>
      <c r="AL1369" s="4">
        <v>48</v>
      </c>
      <c r="AM1369" s="4">
        <v>49</v>
      </c>
      <c r="AN1369" s="4">
        <v>0</v>
      </c>
      <c r="AO1369" s="4">
        <v>0</v>
      </c>
      <c r="AP1369" s="4">
        <v>35</v>
      </c>
      <c r="AQ1369" s="4">
        <v>35</v>
      </c>
      <c r="AR1369" s="3" t="s">
        <v>62</v>
      </c>
      <c r="AS1369" s="3" t="s">
        <v>62</v>
      </c>
      <c r="AT1369" s="3" t="s">
        <v>61</v>
      </c>
      <c r="AU1369" s="6" t="str">
        <f>HYPERLINK("http://catalog.hathitrust.org/Record/001193094","HathiTrust Record")</f>
        <v>HathiTrust Record</v>
      </c>
      <c r="AV1369" s="6" t="str">
        <f>HYPERLINK("http://mcgill.on.worldcat.org/oclc/306657","Catalog Record")</f>
        <v>Catalog Record</v>
      </c>
      <c r="AW1369" s="6" t="str">
        <f>HYPERLINK("http://www.worldcat.org/oclc/306657","WorldCat Record")</f>
        <v>WorldCat Record</v>
      </c>
      <c r="AX1369" s="3" t="s">
        <v>13355</v>
      </c>
      <c r="AY1369" s="3" t="s">
        <v>13356</v>
      </c>
      <c r="AZ1369" s="3" t="s">
        <v>13357</v>
      </c>
      <c r="BA1369" s="3" t="s">
        <v>13357</v>
      </c>
      <c r="BB1369" s="3" t="s">
        <v>13358</v>
      </c>
      <c r="BC1369" s="3" t="s">
        <v>142</v>
      </c>
      <c r="BD1369" s="3" t="s">
        <v>68</v>
      </c>
      <c r="BF1369" s="3" t="s">
        <v>13358</v>
      </c>
      <c r="BG1369" s="3" t="s">
        <v>13359</v>
      </c>
    </row>
    <row r="1370" spans="1:59" ht="71.25" x14ac:dyDescent="0.45">
      <c r="A1370" s="2" t="s">
        <v>59</v>
      </c>
      <c r="B1370" s="2" t="s">
        <v>13360</v>
      </c>
      <c r="C1370" s="2" t="s">
        <v>13361</v>
      </c>
      <c r="D1370" s="2" t="s">
        <v>13362</v>
      </c>
      <c r="E1370" s="2" t="s">
        <v>13363</v>
      </c>
      <c r="G1370" s="3" t="s">
        <v>62</v>
      </c>
      <c r="I1370" s="3" t="s">
        <v>61</v>
      </c>
      <c r="J1370" s="3" t="s">
        <v>61</v>
      </c>
      <c r="K1370" s="3" t="s">
        <v>63</v>
      </c>
      <c r="L1370" s="2" t="s">
        <v>13364</v>
      </c>
      <c r="M1370" s="2" t="s">
        <v>13365</v>
      </c>
      <c r="N1370" s="3" t="s">
        <v>135</v>
      </c>
      <c r="O1370" s="2" t="s">
        <v>13366</v>
      </c>
      <c r="P1370" s="3" t="s">
        <v>65</v>
      </c>
      <c r="R1370" s="3" t="s">
        <v>66</v>
      </c>
      <c r="S1370" s="4">
        <v>17</v>
      </c>
      <c r="T1370" s="4">
        <v>311</v>
      </c>
      <c r="U1370" s="5" t="s">
        <v>12154</v>
      </c>
      <c r="V1370" s="5" t="s">
        <v>13367</v>
      </c>
      <c r="W1370" s="5" t="s">
        <v>67</v>
      </c>
      <c r="X1370" s="5" t="s">
        <v>67</v>
      </c>
      <c r="Y1370" s="4">
        <v>1708</v>
      </c>
      <c r="Z1370" s="4">
        <v>91</v>
      </c>
      <c r="AA1370" s="4">
        <v>178</v>
      </c>
      <c r="AB1370" s="4">
        <v>3</v>
      </c>
      <c r="AC1370" s="4">
        <v>19</v>
      </c>
      <c r="AD1370" s="4">
        <v>138</v>
      </c>
      <c r="AE1370" s="4">
        <v>176</v>
      </c>
      <c r="AF1370" s="4">
        <v>1</v>
      </c>
      <c r="AG1370" s="4">
        <v>8</v>
      </c>
      <c r="AH1370" s="4">
        <v>105</v>
      </c>
      <c r="AI1370" s="4">
        <v>118</v>
      </c>
      <c r="AJ1370" s="4">
        <v>21</v>
      </c>
      <c r="AK1370" s="4">
        <v>30</v>
      </c>
      <c r="AL1370" s="4">
        <v>56</v>
      </c>
      <c r="AM1370" s="4">
        <v>65</v>
      </c>
      <c r="AN1370" s="4">
        <v>0</v>
      </c>
      <c r="AO1370" s="4">
        <v>0</v>
      </c>
      <c r="AP1370" s="4">
        <v>36</v>
      </c>
      <c r="AQ1370" s="4">
        <v>60</v>
      </c>
      <c r="AR1370" s="3" t="s">
        <v>62</v>
      </c>
      <c r="AS1370" s="3" t="s">
        <v>62</v>
      </c>
      <c r="AT1370" s="3" t="s">
        <v>61</v>
      </c>
      <c r="AU1370" s="6" t="str">
        <f t="shared" ref="AU1370:AU1376" si="19">HYPERLINK("http://catalog.hathitrust.org/Record/001180775","HathiTrust Record")</f>
        <v>HathiTrust Record</v>
      </c>
      <c r="AV1370" s="6" t="str">
        <f t="shared" ref="AV1370:AV1376" si="20">HYPERLINK("http://mcgill.on.worldcat.org/oclc/305387","Catalog Record")</f>
        <v>Catalog Record</v>
      </c>
      <c r="AW1370" s="6" t="str">
        <f t="shared" ref="AW1370:AW1376" si="21">HYPERLINK("http://www.worldcat.org/oclc/305387","WorldCat Record")</f>
        <v>WorldCat Record</v>
      </c>
      <c r="AX1370" s="3" t="s">
        <v>13368</v>
      </c>
      <c r="AY1370" s="3" t="s">
        <v>13369</v>
      </c>
      <c r="AZ1370" s="3" t="s">
        <v>13370</v>
      </c>
      <c r="BA1370" s="3" t="s">
        <v>13370</v>
      </c>
      <c r="BB1370" s="3" t="s">
        <v>13371</v>
      </c>
      <c r="BC1370" s="3" t="s">
        <v>142</v>
      </c>
      <c r="BD1370" s="3" t="s">
        <v>68</v>
      </c>
      <c r="BF1370" s="3" t="s">
        <v>13371</v>
      </c>
      <c r="BG1370" s="3" t="s">
        <v>13372</v>
      </c>
    </row>
    <row r="1371" spans="1:59" ht="57" x14ac:dyDescent="0.45">
      <c r="A1371" s="2" t="s">
        <v>59</v>
      </c>
      <c r="B1371" s="2" t="s">
        <v>60</v>
      </c>
      <c r="C1371" s="2" t="s">
        <v>13373</v>
      </c>
      <c r="D1371" s="2" t="s">
        <v>13374</v>
      </c>
      <c r="E1371" s="2" t="s">
        <v>13363</v>
      </c>
      <c r="G1371" s="3" t="s">
        <v>62</v>
      </c>
      <c r="I1371" s="3" t="s">
        <v>61</v>
      </c>
      <c r="J1371" s="3" t="s">
        <v>61</v>
      </c>
      <c r="K1371" s="3" t="s">
        <v>63</v>
      </c>
      <c r="L1371" s="2" t="s">
        <v>13364</v>
      </c>
      <c r="M1371" s="2" t="s">
        <v>13365</v>
      </c>
      <c r="N1371" s="3" t="s">
        <v>135</v>
      </c>
      <c r="O1371" s="2" t="s">
        <v>13366</v>
      </c>
      <c r="P1371" s="3" t="s">
        <v>65</v>
      </c>
      <c r="R1371" s="3" t="s">
        <v>66</v>
      </c>
      <c r="S1371" s="4">
        <v>86</v>
      </c>
      <c r="T1371" s="4">
        <v>311</v>
      </c>
      <c r="U1371" s="5" t="s">
        <v>1526</v>
      </c>
      <c r="V1371" s="5" t="s">
        <v>13367</v>
      </c>
      <c r="W1371" s="5" t="s">
        <v>67</v>
      </c>
      <c r="X1371" s="5" t="s">
        <v>67</v>
      </c>
      <c r="Y1371" s="4">
        <v>1708</v>
      </c>
      <c r="Z1371" s="4">
        <v>91</v>
      </c>
      <c r="AA1371" s="4">
        <v>178</v>
      </c>
      <c r="AB1371" s="4">
        <v>3</v>
      </c>
      <c r="AC1371" s="4">
        <v>19</v>
      </c>
      <c r="AD1371" s="4">
        <v>138</v>
      </c>
      <c r="AE1371" s="4">
        <v>176</v>
      </c>
      <c r="AF1371" s="4">
        <v>1</v>
      </c>
      <c r="AG1371" s="4">
        <v>8</v>
      </c>
      <c r="AH1371" s="4">
        <v>105</v>
      </c>
      <c r="AI1371" s="4">
        <v>118</v>
      </c>
      <c r="AJ1371" s="4">
        <v>21</v>
      </c>
      <c r="AK1371" s="4">
        <v>30</v>
      </c>
      <c r="AL1371" s="4">
        <v>56</v>
      </c>
      <c r="AM1371" s="4">
        <v>65</v>
      </c>
      <c r="AN1371" s="4">
        <v>0</v>
      </c>
      <c r="AO1371" s="4">
        <v>0</v>
      </c>
      <c r="AP1371" s="4">
        <v>36</v>
      </c>
      <c r="AQ1371" s="4">
        <v>60</v>
      </c>
      <c r="AR1371" s="3" t="s">
        <v>62</v>
      </c>
      <c r="AS1371" s="3" t="s">
        <v>62</v>
      </c>
      <c r="AT1371" s="3" t="s">
        <v>61</v>
      </c>
      <c r="AU1371" s="6" t="str">
        <f t="shared" si="19"/>
        <v>HathiTrust Record</v>
      </c>
      <c r="AV1371" s="6" t="str">
        <f t="shared" si="20"/>
        <v>Catalog Record</v>
      </c>
      <c r="AW1371" s="6" t="str">
        <f t="shared" si="21"/>
        <v>WorldCat Record</v>
      </c>
      <c r="AX1371" s="3" t="s">
        <v>13368</v>
      </c>
      <c r="AY1371" s="3" t="s">
        <v>13369</v>
      </c>
      <c r="AZ1371" s="3" t="s">
        <v>13370</v>
      </c>
      <c r="BA1371" s="3" t="s">
        <v>13370</v>
      </c>
      <c r="BB1371" s="3" t="s">
        <v>13375</v>
      </c>
      <c r="BC1371" s="3" t="s">
        <v>142</v>
      </c>
      <c r="BD1371" s="3" t="s">
        <v>68</v>
      </c>
      <c r="BF1371" s="3" t="s">
        <v>13375</v>
      </c>
      <c r="BG1371" s="3" t="s">
        <v>13376</v>
      </c>
    </row>
    <row r="1372" spans="1:59" ht="71.25" x14ac:dyDescent="0.45">
      <c r="A1372" s="2" t="s">
        <v>59</v>
      </c>
      <c r="B1372" s="2" t="s">
        <v>13360</v>
      </c>
      <c r="C1372" s="2" t="s">
        <v>13373</v>
      </c>
      <c r="D1372" s="2" t="s">
        <v>13374</v>
      </c>
      <c r="E1372" s="2" t="s">
        <v>13363</v>
      </c>
      <c r="G1372" s="3" t="s">
        <v>62</v>
      </c>
      <c r="I1372" s="3" t="s">
        <v>61</v>
      </c>
      <c r="J1372" s="3" t="s">
        <v>61</v>
      </c>
      <c r="K1372" s="3" t="s">
        <v>63</v>
      </c>
      <c r="L1372" s="2" t="s">
        <v>13364</v>
      </c>
      <c r="M1372" s="2" t="s">
        <v>13365</v>
      </c>
      <c r="N1372" s="3" t="s">
        <v>135</v>
      </c>
      <c r="O1372" s="2" t="s">
        <v>13366</v>
      </c>
      <c r="P1372" s="3" t="s">
        <v>65</v>
      </c>
      <c r="R1372" s="3" t="s">
        <v>66</v>
      </c>
      <c r="S1372" s="4">
        <v>29</v>
      </c>
      <c r="T1372" s="4">
        <v>311</v>
      </c>
      <c r="U1372" s="5" t="s">
        <v>13377</v>
      </c>
      <c r="V1372" s="5" t="s">
        <v>13367</v>
      </c>
      <c r="W1372" s="5" t="s">
        <v>67</v>
      </c>
      <c r="X1372" s="5" t="s">
        <v>67</v>
      </c>
      <c r="Y1372" s="4">
        <v>1708</v>
      </c>
      <c r="Z1372" s="4">
        <v>91</v>
      </c>
      <c r="AA1372" s="4">
        <v>178</v>
      </c>
      <c r="AB1372" s="4">
        <v>3</v>
      </c>
      <c r="AC1372" s="4">
        <v>19</v>
      </c>
      <c r="AD1372" s="4">
        <v>138</v>
      </c>
      <c r="AE1372" s="4">
        <v>176</v>
      </c>
      <c r="AF1372" s="4">
        <v>1</v>
      </c>
      <c r="AG1372" s="4">
        <v>8</v>
      </c>
      <c r="AH1372" s="4">
        <v>105</v>
      </c>
      <c r="AI1372" s="4">
        <v>118</v>
      </c>
      <c r="AJ1372" s="4">
        <v>21</v>
      </c>
      <c r="AK1372" s="4">
        <v>30</v>
      </c>
      <c r="AL1372" s="4">
        <v>56</v>
      </c>
      <c r="AM1372" s="4">
        <v>65</v>
      </c>
      <c r="AN1372" s="4">
        <v>0</v>
      </c>
      <c r="AO1372" s="4">
        <v>0</v>
      </c>
      <c r="AP1372" s="4">
        <v>36</v>
      </c>
      <c r="AQ1372" s="4">
        <v>60</v>
      </c>
      <c r="AR1372" s="3" t="s">
        <v>62</v>
      </c>
      <c r="AS1372" s="3" t="s">
        <v>62</v>
      </c>
      <c r="AT1372" s="3" t="s">
        <v>61</v>
      </c>
      <c r="AU1372" s="6" t="str">
        <f t="shared" si="19"/>
        <v>HathiTrust Record</v>
      </c>
      <c r="AV1372" s="6" t="str">
        <f t="shared" si="20"/>
        <v>Catalog Record</v>
      </c>
      <c r="AW1372" s="6" t="str">
        <f t="shared" si="21"/>
        <v>WorldCat Record</v>
      </c>
      <c r="AX1372" s="3" t="s">
        <v>13368</v>
      </c>
      <c r="AY1372" s="3" t="s">
        <v>13369</v>
      </c>
      <c r="AZ1372" s="3" t="s">
        <v>13370</v>
      </c>
      <c r="BA1372" s="3" t="s">
        <v>13370</v>
      </c>
      <c r="BB1372" s="3" t="s">
        <v>13378</v>
      </c>
      <c r="BC1372" s="3" t="s">
        <v>142</v>
      </c>
      <c r="BD1372" s="3" t="s">
        <v>68</v>
      </c>
      <c r="BF1372" s="3" t="s">
        <v>13378</v>
      </c>
      <c r="BG1372" s="3" t="s">
        <v>13379</v>
      </c>
    </row>
    <row r="1373" spans="1:59" ht="57" x14ac:dyDescent="0.45">
      <c r="A1373" s="2" t="s">
        <v>59</v>
      </c>
      <c r="B1373" s="2" t="s">
        <v>60</v>
      </c>
      <c r="C1373" s="2" t="s">
        <v>13373</v>
      </c>
      <c r="D1373" s="2" t="s">
        <v>13374</v>
      </c>
      <c r="E1373" s="2" t="s">
        <v>13363</v>
      </c>
      <c r="G1373" s="3" t="s">
        <v>62</v>
      </c>
      <c r="I1373" s="3" t="s">
        <v>61</v>
      </c>
      <c r="J1373" s="3" t="s">
        <v>61</v>
      </c>
      <c r="K1373" s="3" t="s">
        <v>63</v>
      </c>
      <c r="L1373" s="2" t="s">
        <v>13364</v>
      </c>
      <c r="M1373" s="2" t="s">
        <v>13365</v>
      </c>
      <c r="N1373" s="3" t="s">
        <v>135</v>
      </c>
      <c r="O1373" s="2" t="s">
        <v>13366</v>
      </c>
      <c r="P1373" s="3" t="s">
        <v>65</v>
      </c>
      <c r="R1373" s="3" t="s">
        <v>66</v>
      </c>
      <c r="S1373" s="4">
        <v>48</v>
      </c>
      <c r="T1373" s="4">
        <v>311</v>
      </c>
      <c r="U1373" s="5" t="s">
        <v>7053</v>
      </c>
      <c r="V1373" s="5" t="s">
        <v>13367</v>
      </c>
      <c r="W1373" s="5" t="s">
        <v>67</v>
      </c>
      <c r="X1373" s="5" t="s">
        <v>67</v>
      </c>
      <c r="Y1373" s="4">
        <v>1708</v>
      </c>
      <c r="Z1373" s="4">
        <v>91</v>
      </c>
      <c r="AA1373" s="4">
        <v>178</v>
      </c>
      <c r="AB1373" s="4">
        <v>3</v>
      </c>
      <c r="AC1373" s="4">
        <v>19</v>
      </c>
      <c r="AD1373" s="4">
        <v>138</v>
      </c>
      <c r="AE1373" s="4">
        <v>176</v>
      </c>
      <c r="AF1373" s="4">
        <v>1</v>
      </c>
      <c r="AG1373" s="4">
        <v>8</v>
      </c>
      <c r="AH1373" s="4">
        <v>105</v>
      </c>
      <c r="AI1373" s="4">
        <v>118</v>
      </c>
      <c r="AJ1373" s="4">
        <v>21</v>
      </c>
      <c r="AK1373" s="4">
        <v>30</v>
      </c>
      <c r="AL1373" s="4">
        <v>56</v>
      </c>
      <c r="AM1373" s="4">
        <v>65</v>
      </c>
      <c r="AN1373" s="4">
        <v>0</v>
      </c>
      <c r="AO1373" s="4">
        <v>0</v>
      </c>
      <c r="AP1373" s="4">
        <v>36</v>
      </c>
      <c r="AQ1373" s="4">
        <v>60</v>
      </c>
      <c r="AR1373" s="3" t="s">
        <v>62</v>
      </c>
      <c r="AS1373" s="3" t="s">
        <v>62</v>
      </c>
      <c r="AT1373" s="3" t="s">
        <v>61</v>
      </c>
      <c r="AU1373" s="6" t="str">
        <f t="shared" si="19"/>
        <v>HathiTrust Record</v>
      </c>
      <c r="AV1373" s="6" t="str">
        <f t="shared" si="20"/>
        <v>Catalog Record</v>
      </c>
      <c r="AW1373" s="6" t="str">
        <f t="shared" si="21"/>
        <v>WorldCat Record</v>
      </c>
      <c r="AX1373" s="3" t="s">
        <v>13368</v>
      </c>
      <c r="AY1373" s="3" t="s">
        <v>13369</v>
      </c>
      <c r="AZ1373" s="3" t="s">
        <v>13370</v>
      </c>
      <c r="BA1373" s="3" t="s">
        <v>13370</v>
      </c>
      <c r="BB1373" s="3" t="s">
        <v>13380</v>
      </c>
      <c r="BC1373" s="3" t="s">
        <v>142</v>
      </c>
      <c r="BD1373" s="3" t="s">
        <v>68</v>
      </c>
      <c r="BF1373" s="3" t="s">
        <v>13380</v>
      </c>
      <c r="BG1373" s="3" t="s">
        <v>13381</v>
      </c>
    </row>
    <row r="1374" spans="1:59" ht="57" x14ac:dyDescent="0.45">
      <c r="A1374" s="2" t="s">
        <v>59</v>
      </c>
      <c r="B1374" s="2" t="s">
        <v>412</v>
      </c>
      <c r="C1374" s="2" t="s">
        <v>13373</v>
      </c>
      <c r="D1374" s="2" t="s">
        <v>13374</v>
      </c>
      <c r="E1374" s="2" t="s">
        <v>13363</v>
      </c>
      <c r="G1374" s="3" t="s">
        <v>62</v>
      </c>
      <c r="I1374" s="3" t="s">
        <v>61</v>
      </c>
      <c r="J1374" s="3" t="s">
        <v>61</v>
      </c>
      <c r="K1374" s="3" t="s">
        <v>63</v>
      </c>
      <c r="L1374" s="2" t="s">
        <v>13364</v>
      </c>
      <c r="M1374" s="2" t="s">
        <v>13365</v>
      </c>
      <c r="N1374" s="3" t="s">
        <v>135</v>
      </c>
      <c r="O1374" s="2" t="s">
        <v>13366</v>
      </c>
      <c r="P1374" s="3" t="s">
        <v>65</v>
      </c>
      <c r="R1374" s="3" t="s">
        <v>66</v>
      </c>
      <c r="S1374" s="4">
        <v>11</v>
      </c>
      <c r="T1374" s="4">
        <v>311</v>
      </c>
      <c r="U1374" s="5" t="s">
        <v>13382</v>
      </c>
      <c r="V1374" s="5" t="s">
        <v>13367</v>
      </c>
      <c r="W1374" s="5" t="s">
        <v>67</v>
      </c>
      <c r="X1374" s="5" t="s">
        <v>67</v>
      </c>
      <c r="Y1374" s="4">
        <v>1708</v>
      </c>
      <c r="Z1374" s="4">
        <v>91</v>
      </c>
      <c r="AA1374" s="4">
        <v>178</v>
      </c>
      <c r="AB1374" s="4">
        <v>3</v>
      </c>
      <c r="AC1374" s="4">
        <v>19</v>
      </c>
      <c r="AD1374" s="4">
        <v>138</v>
      </c>
      <c r="AE1374" s="4">
        <v>176</v>
      </c>
      <c r="AF1374" s="4">
        <v>1</v>
      </c>
      <c r="AG1374" s="4">
        <v>8</v>
      </c>
      <c r="AH1374" s="4">
        <v>105</v>
      </c>
      <c r="AI1374" s="4">
        <v>118</v>
      </c>
      <c r="AJ1374" s="4">
        <v>21</v>
      </c>
      <c r="AK1374" s="4">
        <v>30</v>
      </c>
      <c r="AL1374" s="4">
        <v>56</v>
      </c>
      <c r="AM1374" s="4">
        <v>65</v>
      </c>
      <c r="AN1374" s="4">
        <v>0</v>
      </c>
      <c r="AO1374" s="4">
        <v>0</v>
      </c>
      <c r="AP1374" s="4">
        <v>36</v>
      </c>
      <c r="AQ1374" s="4">
        <v>60</v>
      </c>
      <c r="AR1374" s="3" t="s">
        <v>62</v>
      </c>
      <c r="AS1374" s="3" t="s">
        <v>62</v>
      </c>
      <c r="AT1374" s="3" t="s">
        <v>61</v>
      </c>
      <c r="AU1374" s="6" t="str">
        <f t="shared" si="19"/>
        <v>HathiTrust Record</v>
      </c>
      <c r="AV1374" s="6" t="str">
        <f t="shared" si="20"/>
        <v>Catalog Record</v>
      </c>
      <c r="AW1374" s="6" t="str">
        <f t="shared" si="21"/>
        <v>WorldCat Record</v>
      </c>
      <c r="AX1374" s="3" t="s">
        <v>13368</v>
      </c>
      <c r="AY1374" s="3" t="s">
        <v>13369</v>
      </c>
      <c r="AZ1374" s="3" t="s">
        <v>13370</v>
      </c>
      <c r="BA1374" s="3" t="s">
        <v>13370</v>
      </c>
      <c r="BB1374" s="3" t="s">
        <v>13383</v>
      </c>
      <c r="BC1374" s="3" t="s">
        <v>142</v>
      </c>
      <c r="BD1374" s="3" t="s">
        <v>68</v>
      </c>
      <c r="BF1374" s="3" t="s">
        <v>13383</v>
      </c>
      <c r="BG1374" s="3" t="s">
        <v>13384</v>
      </c>
    </row>
    <row r="1375" spans="1:59" ht="57" x14ac:dyDescent="0.45">
      <c r="A1375" s="2" t="s">
        <v>59</v>
      </c>
      <c r="B1375" s="2" t="s">
        <v>60</v>
      </c>
      <c r="C1375" s="2" t="s">
        <v>13373</v>
      </c>
      <c r="D1375" s="2" t="s">
        <v>13374</v>
      </c>
      <c r="E1375" s="2" t="s">
        <v>13363</v>
      </c>
      <c r="G1375" s="3" t="s">
        <v>62</v>
      </c>
      <c r="I1375" s="3" t="s">
        <v>61</v>
      </c>
      <c r="J1375" s="3" t="s">
        <v>61</v>
      </c>
      <c r="K1375" s="3" t="s">
        <v>63</v>
      </c>
      <c r="L1375" s="2" t="s">
        <v>13364</v>
      </c>
      <c r="M1375" s="2" t="s">
        <v>13365</v>
      </c>
      <c r="N1375" s="3" t="s">
        <v>135</v>
      </c>
      <c r="O1375" s="2" t="s">
        <v>13366</v>
      </c>
      <c r="P1375" s="3" t="s">
        <v>65</v>
      </c>
      <c r="R1375" s="3" t="s">
        <v>66</v>
      </c>
      <c r="S1375" s="4">
        <v>70</v>
      </c>
      <c r="T1375" s="4">
        <v>311</v>
      </c>
      <c r="U1375" s="5" t="s">
        <v>13385</v>
      </c>
      <c r="V1375" s="5" t="s">
        <v>13367</v>
      </c>
      <c r="W1375" s="5" t="s">
        <v>67</v>
      </c>
      <c r="X1375" s="5" t="s">
        <v>67</v>
      </c>
      <c r="Y1375" s="4">
        <v>1708</v>
      </c>
      <c r="Z1375" s="4">
        <v>91</v>
      </c>
      <c r="AA1375" s="4">
        <v>178</v>
      </c>
      <c r="AB1375" s="4">
        <v>3</v>
      </c>
      <c r="AC1375" s="4">
        <v>19</v>
      </c>
      <c r="AD1375" s="4">
        <v>138</v>
      </c>
      <c r="AE1375" s="4">
        <v>176</v>
      </c>
      <c r="AF1375" s="4">
        <v>1</v>
      </c>
      <c r="AG1375" s="4">
        <v>8</v>
      </c>
      <c r="AH1375" s="4">
        <v>105</v>
      </c>
      <c r="AI1375" s="4">
        <v>118</v>
      </c>
      <c r="AJ1375" s="4">
        <v>21</v>
      </c>
      <c r="AK1375" s="4">
        <v>30</v>
      </c>
      <c r="AL1375" s="4">
        <v>56</v>
      </c>
      <c r="AM1375" s="4">
        <v>65</v>
      </c>
      <c r="AN1375" s="4">
        <v>0</v>
      </c>
      <c r="AO1375" s="4">
        <v>0</v>
      </c>
      <c r="AP1375" s="4">
        <v>36</v>
      </c>
      <c r="AQ1375" s="4">
        <v>60</v>
      </c>
      <c r="AR1375" s="3" t="s">
        <v>62</v>
      </c>
      <c r="AS1375" s="3" t="s">
        <v>62</v>
      </c>
      <c r="AT1375" s="3" t="s">
        <v>61</v>
      </c>
      <c r="AU1375" s="6" t="str">
        <f t="shared" si="19"/>
        <v>HathiTrust Record</v>
      </c>
      <c r="AV1375" s="6" t="str">
        <f t="shared" si="20"/>
        <v>Catalog Record</v>
      </c>
      <c r="AW1375" s="6" t="str">
        <f t="shared" si="21"/>
        <v>WorldCat Record</v>
      </c>
      <c r="AX1375" s="3" t="s">
        <v>13368</v>
      </c>
      <c r="AY1375" s="3" t="s">
        <v>13369</v>
      </c>
      <c r="AZ1375" s="3" t="s">
        <v>13370</v>
      </c>
      <c r="BA1375" s="3" t="s">
        <v>13370</v>
      </c>
      <c r="BB1375" s="3" t="s">
        <v>13386</v>
      </c>
      <c r="BC1375" s="3" t="s">
        <v>142</v>
      </c>
      <c r="BD1375" s="3" t="s">
        <v>68</v>
      </c>
      <c r="BF1375" s="3" t="s">
        <v>13386</v>
      </c>
      <c r="BG1375" s="3" t="s">
        <v>13387</v>
      </c>
    </row>
    <row r="1376" spans="1:59" ht="57" x14ac:dyDescent="0.45">
      <c r="A1376" s="2" t="s">
        <v>59</v>
      </c>
      <c r="B1376" s="2" t="s">
        <v>60</v>
      </c>
      <c r="C1376" s="2" t="s">
        <v>13373</v>
      </c>
      <c r="D1376" s="2" t="s">
        <v>13374</v>
      </c>
      <c r="E1376" s="2" t="s">
        <v>13363</v>
      </c>
      <c r="G1376" s="3" t="s">
        <v>62</v>
      </c>
      <c r="I1376" s="3" t="s">
        <v>61</v>
      </c>
      <c r="J1376" s="3" t="s">
        <v>61</v>
      </c>
      <c r="K1376" s="3" t="s">
        <v>63</v>
      </c>
      <c r="L1376" s="2" t="s">
        <v>13364</v>
      </c>
      <c r="M1376" s="2" t="s">
        <v>13365</v>
      </c>
      <c r="N1376" s="3" t="s">
        <v>135</v>
      </c>
      <c r="O1376" s="2" t="s">
        <v>13366</v>
      </c>
      <c r="P1376" s="3" t="s">
        <v>65</v>
      </c>
      <c r="R1376" s="3" t="s">
        <v>66</v>
      </c>
      <c r="S1376" s="4">
        <v>44</v>
      </c>
      <c r="T1376" s="4">
        <v>311</v>
      </c>
      <c r="U1376" s="5" t="s">
        <v>13367</v>
      </c>
      <c r="V1376" s="5" t="s">
        <v>13367</v>
      </c>
      <c r="W1376" s="5" t="s">
        <v>67</v>
      </c>
      <c r="X1376" s="5" t="s">
        <v>67</v>
      </c>
      <c r="Y1376" s="4">
        <v>1708</v>
      </c>
      <c r="Z1376" s="4">
        <v>91</v>
      </c>
      <c r="AA1376" s="4">
        <v>178</v>
      </c>
      <c r="AB1376" s="4">
        <v>3</v>
      </c>
      <c r="AC1376" s="4">
        <v>19</v>
      </c>
      <c r="AD1376" s="4">
        <v>138</v>
      </c>
      <c r="AE1376" s="4">
        <v>176</v>
      </c>
      <c r="AF1376" s="4">
        <v>1</v>
      </c>
      <c r="AG1376" s="4">
        <v>8</v>
      </c>
      <c r="AH1376" s="4">
        <v>105</v>
      </c>
      <c r="AI1376" s="4">
        <v>118</v>
      </c>
      <c r="AJ1376" s="4">
        <v>21</v>
      </c>
      <c r="AK1376" s="4">
        <v>30</v>
      </c>
      <c r="AL1376" s="4">
        <v>56</v>
      </c>
      <c r="AM1376" s="4">
        <v>65</v>
      </c>
      <c r="AN1376" s="4">
        <v>0</v>
      </c>
      <c r="AO1376" s="4">
        <v>0</v>
      </c>
      <c r="AP1376" s="4">
        <v>36</v>
      </c>
      <c r="AQ1376" s="4">
        <v>60</v>
      </c>
      <c r="AR1376" s="3" t="s">
        <v>62</v>
      </c>
      <c r="AS1376" s="3" t="s">
        <v>62</v>
      </c>
      <c r="AT1376" s="3" t="s">
        <v>61</v>
      </c>
      <c r="AU1376" s="6" t="str">
        <f t="shared" si="19"/>
        <v>HathiTrust Record</v>
      </c>
      <c r="AV1376" s="6" t="str">
        <f t="shared" si="20"/>
        <v>Catalog Record</v>
      </c>
      <c r="AW1376" s="6" t="str">
        <f t="shared" si="21"/>
        <v>WorldCat Record</v>
      </c>
      <c r="AX1376" s="3" t="s">
        <v>13368</v>
      </c>
      <c r="AY1376" s="3" t="s">
        <v>13369</v>
      </c>
      <c r="AZ1376" s="3" t="s">
        <v>13370</v>
      </c>
      <c r="BA1376" s="3" t="s">
        <v>13370</v>
      </c>
      <c r="BB1376" s="3" t="s">
        <v>13388</v>
      </c>
      <c r="BC1376" s="3" t="s">
        <v>142</v>
      </c>
      <c r="BD1376" s="3" t="s">
        <v>68</v>
      </c>
      <c r="BF1376" s="3" t="s">
        <v>13388</v>
      </c>
      <c r="BG1376" s="3" t="s">
        <v>13389</v>
      </c>
    </row>
    <row r="1377" spans="1:59" ht="57" x14ac:dyDescent="0.45">
      <c r="A1377" s="2" t="s">
        <v>59</v>
      </c>
      <c r="B1377" s="2" t="s">
        <v>60</v>
      </c>
      <c r="C1377" s="2" t="s">
        <v>13390</v>
      </c>
      <c r="D1377" s="2" t="s">
        <v>13391</v>
      </c>
      <c r="E1377" s="2" t="s">
        <v>13392</v>
      </c>
      <c r="G1377" s="3" t="s">
        <v>62</v>
      </c>
      <c r="I1377" s="3" t="s">
        <v>62</v>
      </c>
      <c r="J1377" s="3" t="s">
        <v>61</v>
      </c>
      <c r="K1377" s="3" t="s">
        <v>63</v>
      </c>
      <c r="L1377" s="2" t="s">
        <v>13305</v>
      </c>
      <c r="M1377" s="2" t="s">
        <v>13393</v>
      </c>
      <c r="N1377" s="3" t="s">
        <v>1604</v>
      </c>
      <c r="O1377" s="2" t="s">
        <v>13394</v>
      </c>
      <c r="P1377" s="3" t="s">
        <v>65</v>
      </c>
      <c r="R1377" s="3" t="s">
        <v>66</v>
      </c>
      <c r="S1377" s="4">
        <v>53</v>
      </c>
      <c r="T1377" s="4">
        <v>53</v>
      </c>
      <c r="U1377" s="5" t="s">
        <v>13035</v>
      </c>
      <c r="V1377" s="5" t="s">
        <v>13035</v>
      </c>
      <c r="W1377" s="5" t="s">
        <v>67</v>
      </c>
      <c r="X1377" s="5" t="s">
        <v>67</v>
      </c>
      <c r="Y1377" s="4">
        <v>631</v>
      </c>
      <c r="Z1377" s="4">
        <v>48</v>
      </c>
      <c r="AA1377" s="4">
        <v>178</v>
      </c>
      <c r="AB1377" s="4">
        <v>2</v>
      </c>
      <c r="AC1377" s="4">
        <v>19</v>
      </c>
      <c r="AD1377" s="4">
        <v>93</v>
      </c>
      <c r="AE1377" s="4">
        <v>176</v>
      </c>
      <c r="AF1377" s="4">
        <v>0</v>
      </c>
      <c r="AG1377" s="4">
        <v>8</v>
      </c>
      <c r="AH1377" s="4">
        <v>74</v>
      </c>
      <c r="AI1377" s="4">
        <v>118</v>
      </c>
      <c r="AJ1377" s="4">
        <v>10</v>
      </c>
      <c r="AK1377" s="4">
        <v>30</v>
      </c>
      <c r="AL1377" s="4">
        <v>47</v>
      </c>
      <c r="AM1377" s="4">
        <v>65</v>
      </c>
      <c r="AN1377" s="4">
        <v>0</v>
      </c>
      <c r="AO1377" s="4">
        <v>0</v>
      </c>
      <c r="AP1377" s="4">
        <v>19</v>
      </c>
      <c r="AQ1377" s="4">
        <v>60</v>
      </c>
      <c r="AR1377" s="3" t="s">
        <v>62</v>
      </c>
      <c r="AS1377" s="3" t="s">
        <v>62</v>
      </c>
      <c r="AT1377" s="3" t="s">
        <v>61</v>
      </c>
      <c r="AU1377" s="6" t="str">
        <f>HYPERLINK("http://catalog.hathitrust.org/Record/005594774","HathiTrust Record")</f>
        <v>HathiTrust Record</v>
      </c>
      <c r="AV1377" s="6" t="str">
        <f>HYPERLINK("http://mcgill.on.worldcat.org/oclc/30734000","Catalog Record")</f>
        <v>Catalog Record</v>
      </c>
      <c r="AW1377" s="6" t="str">
        <f>HYPERLINK("http://www.worldcat.org/oclc/30734000","WorldCat Record")</f>
        <v>WorldCat Record</v>
      </c>
      <c r="AX1377" s="3" t="s">
        <v>13368</v>
      </c>
      <c r="AY1377" s="3" t="s">
        <v>13395</v>
      </c>
      <c r="AZ1377" s="3" t="s">
        <v>13396</v>
      </c>
      <c r="BA1377" s="3" t="s">
        <v>13396</v>
      </c>
      <c r="BB1377" s="3" t="s">
        <v>13397</v>
      </c>
      <c r="BC1377" s="3" t="s">
        <v>142</v>
      </c>
      <c r="BD1377" s="3" t="s">
        <v>68</v>
      </c>
      <c r="BE1377" s="3" t="s">
        <v>13398</v>
      </c>
      <c r="BF1377" s="3" t="s">
        <v>13397</v>
      </c>
      <c r="BG1377" s="3" t="s">
        <v>13399</v>
      </c>
    </row>
    <row r="1378" spans="1:59" ht="57" x14ac:dyDescent="0.45">
      <c r="A1378" s="2" t="s">
        <v>59</v>
      </c>
      <c r="B1378" s="2" t="s">
        <v>60</v>
      </c>
      <c r="C1378" s="2" t="s">
        <v>13400</v>
      </c>
      <c r="D1378" s="2" t="s">
        <v>13401</v>
      </c>
      <c r="E1378" s="2" t="s">
        <v>13402</v>
      </c>
      <c r="G1378" s="3" t="s">
        <v>62</v>
      </c>
      <c r="I1378" s="3" t="s">
        <v>62</v>
      </c>
      <c r="J1378" s="3" t="s">
        <v>61</v>
      </c>
      <c r="K1378" s="3" t="s">
        <v>63</v>
      </c>
      <c r="L1378" s="2" t="s">
        <v>13305</v>
      </c>
      <c r="M1378" s="2" t="s">
        <v>13403</v>
      </c>
      <c r="N1378" s="3" t="s">
        <v>918</v>
      </c>
      <c r="O1378" s="2" t="s">
        <v>13404</v>
      </c>
      <c r="P1378" s="3" t="s">
        <v>65</v>
      </c>
      <c r="R1378" s="3" t="s">
        <v>66</v>
      </c>
      <c r="S1378" s="4">
        <v>66</v>
      </c>
      <c r="T1378" s="4">
        <v>66</v>
      </c>
      <c r="U1378" s="5" t="s">
        <v>12351</v>
      </c>
      <c r="V1378" s="5" t="s">
        <v>12351</v>
      </c>
      <c r="W1378" s="5" t="s">
        <v>67</v>
      </c>
      <c r="X1378" s="5" t="s">
        <v>67</v>
      </c>
      <c r="Y1378" s="4">
        <v>430</v>
      </c>
      <c r="Z1378" s="4">
        <v>39</v>
      </c>
      <c r="AA1378" s="4">
        <v>178</v>
      </c>
      <c r="AB1378" s="4">
        <v>3</v>
      </c>
      <c r="AC1378" s="4">
        <v>19</v>
      </c>
      <c r="AD1378" s="4">
        <v>65</v>
      </c>
      <c r="AE1378" s="4">
        <v>176</v>
      </c>
      <c r="AF1378" s="4">
        <v>0</v>
      </c>
      <c r="AG1378" s="4">
        <v>8</v>
      </c>
      <c r="AH1378" s="4">
        <v>55</v>
      </c>
      <c r="AI1378" s="4">
        <v>118</v>
      </c>
      <c r="AJ1378" s="4">
        <v>10</v>
      </c>
      <c r="AK1378" s="4">
        <v>30</v>
      </c>
      <c r="AL1378" s="4">
        <v>31</v>
      </c>
      <c r="AM1378" s="4">
        <v>65</v>
      </c>
      <c r="AN1378" s="4">
        <v>0</v>
      </c>
      <c r="AO1378" s="4">
        <v>0</v>
      </c>
      <c r="AP1378" s="4">
        <v>18</v>
      </c>
      <c r="AQ1378" s="4">
        <v>60</v>
      </c>
      <c r="AR1378" s="3" t="s">
        <v>62</v>
      </c>
      <c r="AS1378" s="3" t="s">
        <v>62</v>
      </c>
      <c r="AT1378" s="3" t="s">
        <v>61</v>
      </c>
      <c r="AU1378" s="6" t="str">
        <f>HYPERLINK("http://catalog.hathitrust.org/Record/007143921","HathiTrust Record")</f>
        <v>HathiTrust Record</v>
      </c>
      <c r="AV1378" s="6" t="str">
        <f>HYPERLINK("http://mcgill.on.worldcat.org/oclc/52373416","Catalog Record")</f>
        <v>Catalog Record</v>
      </c>
      <c r="AW1378" s="6" t="str">
        <f>HYPERLINK("http://www.worldcat.org/oclc/52373416","WorldCat Record")</f>
        <v>WorldCat Record</v>
      </c>
      <c r="AX1378" s="3" t="s">
        <v>13368</v>
      </c>
      <c r="AY1378" s="3" t="s">
        <v>13405</v>
      </c>
      <c r="AZ1378" s="3" t="s">
        <v>13406</v>
      </c>
      <c r="BA1378" s="3" t="s">
        <v>13406</v>
      </c>
      <c r="BB1378" s="3" t="s">
        <v>13407</v>
      </c>
      <c r="BC1378" s="3" t="s">
        <v>142</v>
      </c>
      <c r="BD1378" s="3" t="s">
        <v>68</v>
      </c>
      <c r="BE1378" s="3" t="s">
        <v>13408</v>
      </c>
      <c r="BF1378" s="3" t="s">
        <v>13407</v>
      </c>
      <c r="BG1378" s="3" t="s">
        <v>13409</v>
      </c>
    </row>
    <row r="1379" spans="1:59" ht="57" x14ac:dyDescent="0.45">
      <c r="A1379" s="2" t="s">
        <v>59</v>
      </c>
      <c r="B1379" s="2" t="s">
        <v>60</v>
      </c>
      <c r="C1379" s="2" t="s">
        <v>13410</v>
      </c>
      <c r="D1379" s="2" t="s">
        <v>13411</v>
      </c>
      <c r="E1379" s="2" t="s">
        <v>13412</v>
      </c>
      <c r="G1379" s="3" t="s">
        <v>62</v>
      </c>
      <c r="I1379" s="3" t="s">
        <v>61</v>
      </c>
      <c r="J1379" s="3" t="s">
        <v>62</v>
      </c>
      <c r="K1379" s="3" t="s">
        <v>63</v>
      </c>
      <c r="L1379" s="2" t="s">
        <v>13305</v>
      </c>
      <c r="M1379" s="2" t="s">
        <v>13413</v>
      </c>
      <c r="N1379" s="3" t="s">
        <v>127</v>
      </c>
      <c r="P1379" s="3" t="s">
        <v>110</v>
      </c>
      <c r="Q1379" s="2" t="s">
        <v>13414</v>
      </c>
      <c r="R1379" s="3" t="s">
        <v>66</v>
      </c>
      <c r="S1379" s="4">
        <v>20</v>
      </c>
      <c r="T1379" s="4">
        <v>31</v>
      </c>
      <c r="U1379" s="5" t="s">
        <v>4265</v>
      </c>
      <c r="V1379" s="5" t="s">
        <v>4265</v>
      </c>
      <c r="W1379" s="5" t="s">
        <v>67</v>
      </c>
      <c r="X1379" s="5" t="s">
        <v>67</v>
      </c>
      <c r="Y1379" s="4">
        <v>4</v>
      </c>
      <c r="Z1379" s="4">
        <v>4</v>
      </c>
      <c r="AA1379" s="4">
        <v>15</v>
      </c>
      <c r="AB1379" s="4">
        <v>1</v>
      </c>
      <c r="AC1379" s="4">
        <v>6</v>
      </c>
      <c r="AD1379" s="4">
        <v>2</v>
      </c>
      <c r="AE1379" s="4">
        <v>8</v>
      </c>
      <c r="AF1379" s="4">
        <v>0</v>
      </c>
      <c r="AG1379" s="4">
        <v>2</v>
      </c>
      <c r="AH1379" s="4">
        <v>2</v>
      </c>
      <c r="AI1379" s="4">
        <v>4</v>
      </c>
      <c r="AJ1379" s="4">
        <v>2</v>
      </c>
      <c r="AK1379" s="4">
        <v>8</v>
      </c>
      <c r="AL1379" s="4">
        <v>1</v>
      </c>
      <c r="AM1379" s="4">
        <v>1</v>
      </c>
      <c r="AN1379" s="4">
        <v>0</v>
      </c>
      <c r="AO1379" s="4">
        <v>0</v>
      </c>
      <c r="AP1379" s="4">
        <v>2</v>
      </c>
      <c r="AQ1379" s="4">
        <v>8</v>
      </c>
      <c r="AR1379" s="3" t="s">
        <v>61</v>
      </c>
      <c r="AS1379" s="3" t="s">
        <v>62</v>
      </c>
      <c r="AT1379" s="3" t="s">
        <v>62</v>
      </c>
      <c r="AV1379" s="6" t="str">
        <f>HYPERLINK("http://mcgill.on.worldcat.org/oclc/427286965","Catalog Record")</f>
        <v>Catalog Record</v>
      </c>
      <c r="AW1379" s="6" t="str">
        <f>HYPERLINK("http://www.worldcat.org/oclc/427286965","WorldCat Record")</f>
        <v>WorldCat Record</v>
      </c>
      <c r="AX1379" s="3" t="s">
        <v>13415</v>
      </c>
      <c r="AY1379" s="3" t="s">
        <v>13416</v>
      </c>
      <c r="AZ1379" s="3" t="s">
        <v>13417</v>
      </c>
      <c r="BA1379" s="3" t="s">
        <v>13417</v>
      </c>
      <c r="BB1379" s="3" t="s">
        <v>13418</v>
      </c>
      <c r="BC1379" s="3" t="s">
        <v>142</v>
      </c>
      <c r="BD1379" s="3" t="s">
        <v>68</v>
      </c>
      <c r="BF1379" s="3" t="s">
        <v>13418</v>
      </c>
      <c r="BG1379" s="3" t="s">
        <v>13419</v>
      </c>
    </row>
    <row r="1380" spans="1:59" ht="57" x14ac:dyDescent="0.45">
      <c r="A1380" s="2" t="s">
        <v>59</v>
      </c>
      <c r="B1380" s="2" t="s">
        <v>60</v>
      </c>
      <c r="C1380" s="2" t="s">
        <v>13410</v>
      </c>
      <c r="D1380" s="2" t="s">
        <v>13411</v>
      </c>
      <c r="E1380" s="2" t="s">
        <v>13412</v>
      </c>
      <c r="G1380" s="3" t="s">
        <v>62</v>
      </c>
      <c r="I1380" s="3" t="s">
        <v>61</v>
      </c>
      <c r="J1380" s="3" t="s">
        <v>62</v>
      </c>
      <c r="K1380" s="3" t="s">
        <v>63</v>
      </c>
      <c r="L1380" s="2" t="s">
        <v>13305</v>
      </c>
      <c r="M1380" s="2" t="s">
        <v>13413</v>
      </c>
      <c r="N1380" s="3" t="s">
        <v>127</v>
      </c>
      <c r="P1380" s="3" t="s">
        <v>110</v>
      </c>
      <c r="Q1380" s="2" t="s">
        <v>13414</v>
      </c>
      <c r="R1380" s="3" t="s">
        <v>66</v>
      </c>
      <c r="S1380" s="4">
        <v>11</v>
      </c>
      <c r="T1380" s="4">
        <v>31</v>
      </c>
      <c r="U1380" s="5" t="s">
        <v>13420</v>
      </c>
      <c r="V1380" s="5" t="s">
        <v>4265</v>
      </c>
      <c r="W1380" s="5" t="s">
        <v>67</v>
      </c>
      <c r="X1380" s="5" t="s">
        <v>67</v>
      </c>
      <c r="Y1380" s="4">
        <v>4</v>
      </c>
      <c r="Z1380" s="4">
        <v>4</v>
      </c>
      <c r="AA1380" s="4">
        <v>15</v>
      </c>
      <c r="AB1380" s="4">
        <v>1</v>
      </c>
      <c r="AC1380" s="4">
        <v>6</v>
      </c>
      <c r="AD1380" s="4">
        <v>2</v>
      </c>
      <c r="AE1380" s="4">
        <v>8</v>
      </c>
      <c r="AF1380" s="4">
        <v>0</v>
      </c>
      <c r="AG1380" s="4">
        <v>2</v>
      </c>
      <c r="AH1380" s="4">
        <v>2</v>
      </c>
      <c r="AI1380" s="4">
        <v>4</v>
      </c>
      <c r="AJ1380" s="4">
        <v>2</v>
      </c>
      <c r="AK1380" s="4">
        <v>8</v>
      </c>
      <c r="AL1380" s="4">
        <v>1</v>
      </c>
      <c r="AM1380" s="4">
        <v>1</v>
      </c>
      <c r="AN1380" s="4">
        <v>0</v>
      </c>
      <c r="AO1380" s="4">
        <v>0</v>
      </c>
      <c r="AP1380" s="4">
        <v>2</v>
      </c>
      <c r="AQ1380" s="4">
        <v>8</v>
      </c>
      <c r="AR1380" s="3" t="s">
        <v>61</v>
      </c>
      <c r="AS1380" s="3" t="s">
        <v>62</v>
      </c>
      <c r="AT1380" s="3" t="s">
        <v>62</v>
      </c>
      <c r="AV1380" s="6" t="str">
        <f>HYPERLINK("http://mcgill.on.worldcat.org/oclc/427286965","Catalog Record")</f>
        <v>Catalog Record</v>
      </c>
      <c r="AW1380" s="6" t="str">
        <f>HYPERLINK("http://www.worldcat.org/oclc/427286965","WorldCat Record")</f>
        <v>WorldCat Record</v>
      </c>
      <c r="AX1380" s="3" t="s">
        <v>13415</v>
      </c>
      <c r="AY1380" s="3" t="s">
        <v>13416</v>
      </c>
      <c r="AZ1380" s="3" t="s">
        <v>13417</v>
      </c>
      <c r="BA1380" s="3" t="s">
        <v>13417</v>
      </c>
      <c r="BB1380" s="3" t="s">
        <v>13421</v>
      </c>
      <c r="BC1380" s="3" t="s">
        <v>142</v>
      </c>
      <c r="BD1380" s="3" t="s">
        <v>68</v>
      </c>
      <c r="BF1380" s="3" t="s">
        <v>13421</v>
      </c>
      <c r="BG1380" s="3" t="s">
        <v>13422</v>
      </c>
    </row>
    <row r="1381" spans="1:59" ht="57" x14ac:dyDescent="0.45">
      <c r="A1381" s="2" t="s">
        <v>59</v>
      </c>
      <c r="B1381" s="2" t="s">
        <v>60</v>
      </c>
      <c r="C1381" s="2" t="s">
        <v>13423</v>
      </c>
      <c r="D1381" s="2" t="s">
        <v>13424</v>
      </c>
      <c r="E1381" s="2" t="s">
        <v>13425</v>
      </c>
      <c r="G1381" s="3" t="s">
        <v>62</v>
      </c>
      <c r="I1381" s="3" t="s">
        <v>62</v>
      </c>
      <c r="J1381" s="3" t="s">
        <v>62</v>
      </c>
      <c r="K1381" s="3" t="s">
        <v>63</v>
      </c>
      <c r="L1381" s="2" t="s">
        <v>13426</v>
      </c>
      <c r="M1381" s="2" t="s">
        <v>13251</v>
      </c>
      <c r="N1381" s="3" t="s">
        <v>149</v>
      </c>
      <c r="P1381" s="3" t="s">
        <v>65</v>
      </c>
      <c r="R1381" s="3" t="s">
        <v>66</v>
      </c>
      <c r="S1381" s="4">
        <v>4</v>
      </c>
      <c r="T1381" s="4">
        <v>4</v>
      </c>
      <c r="U1381" s="5" t="s">
        <v>13427</v>
      </c>
      <c r="V1381" s="5" t="s">
        <v>13427</v>
      </c>
      <c r="W1381" s="5" t="s">
        <v>67</v>
      </c>
      <c r="X1381" s="5" t="s">
        <v>67</v>
      </c>
      <c r="Y1381" s="4">
        <v>256</v>
      </c>
      <c r="Z1381" s="4">
        <v>28</v>
      </c>
      <c r="AA1381" s="4">
        <v>39</v>
      </c>
      <c r="AB1381" s="4">
        <v>2</v>
      </c>
      <c r="AC1381" s="4">
        <v>10</v>
      </c>
      <c r="AD1381" s="4">
        <v>76</v>
      </c>
      <c r="AE1381" s="4">
        <v>85</v>
      </c>
      <c r="AF1381" s="4">
        <v>1</v>
      </c>
      <c r="AG1381" s="4">
        <v>6</v>
      </c>
      <c r="AH1381" s="4">
        <v>68</v>
      </c>
      <c r="AI1381" s="4">
        <v>71</v>
      </c>
      <c r="AJ1381" s="4">
        <v>14</v>
      </c>
      <c r="AK1381" s="4">
        <v>19</v>
      </c>
      <c r="AL1381" s="4">
        <v>34</v>
      </c>
      <c r="AM1381" s="4">
        <v>35</v>
      </c>
      <c r="AN1381" s="4">
        <v>0</v>
      </c>
      <c r="AO1381" s="4">
        <v>0</v>
      </c>
      <c r="AP1381" s="4">
        <v>18</v>
      </c>
      <c r="AQ1381" s="4">
        <v>24</v>
      </c>
      <c r="AR1381" s="3" t="s">
        <v>62</v>
      </c>
      <c r="AS1381" s="3" t="s">
        <v>62</v>
      </c>
      <c r="AT1381" s="3" t="s">
        <v>62</v>
      </c>
      <c r="AV1381" s="6" t="str">
        <f>HYPERLINK("http://mcgill.on.worldcat.org/oclc/463454430","Catalog Record")</f>
        <v>Catalog Record</v>
      </c>
      <c r="AW1381" s="6" t="str">
        <f>HYPERLINK("http://www.worldcat.org/oclc/463454430","WorldCat Record")</f>
        <v>WorldCat Record</v>
      </c>
      <c r="AX1381" s="3" t="s">
        <v>13428</v>
      </c>
      <c r="AY1381" s="3" t="s">
        <v>13429</v>
      </c>
      <c r="AZ1381" s="3" t="s">
        <v>13430</v>
      </c>
      <c r="BA1381" s="3" t="s">
        <v>13430</v>
      </c>
      <c r="BB1381" s="3" t="s">
        <v>13431</v>
      </c>
      <c r="BC1381" s="3" t="s">
        <v>142</v>
      </c>
      <c r="BD1381" s="3" t="s">
        <v>68</v>
      </c>
      <c r="BE1381" s="3" t="s">
        <v>13432</v>
      </c>
      <c r="BF1381" s="3" t="s">
        <v>13431</v>
      </c>
      <c r="BG1381" s="3" t="s">
        <v>13433</v>
      </c>
    </row>
    <row r="1382" spans="1:59" ht="57" x14ac:dyDescent="0.45">
      <c r="A1382" s="2" t="s">
        <v>59</v>
      </c>
      <c r="B1382" s="2" t="s">
        <v>60</v>
      </c>
      <c r="C1382" s="2" t="s">
        <v>13434</v>
      </c>
      <c r="D1382" s="2" t="s">
        <v>13435</v>
      </c>
      <c r="E1382" s="2" t="s">
        <v>13436</v>
      </c>
      <c r="G1382" s="3" t="s">
        <v>62</v>
      </c>
      <c r="I1382" s="3" t="s">
        <v>62</v>
      </c>
      <c r="J1382" s="3" t="s">
        <v>62</v>
      </c>
      <c r="K1382" s="3" t="s">
        <v>63</v>
      </c>
      <c r="L1382" s="2" t="s">
        <v>13437</v>
      </c>
      <c r="M1382" s="2" t="s">
        <v>13438</v>
      </c>
      <c r="N1382" s="3" t="s">
        <v>1059</v>
      </c>
      <c r="P1382" s="3" t="s">
        <v>65</v>
      </c>
      <c r="Q1382" s="2" t="s">
        <v>13439</v>
      </c>
      <c r="R1382" s="3" t="s">
        <v>66</v>
      </c>
      <c r="S1382" s="4">
        <v>7</v>
      </c>
      <c r="T1382" s="4">
        <v>7</v>
      </c>
      <c r="U1382" s="5" t="s">
        <v>9625</v>
      </c>
      <c r="V1382" s="5" t="s">
        <v>9625</v>
      </c>
      <c r="W1382" s="5" t="s">
        <v>67</v>
      </c>
      <c r="X1382" s="5" t="s">
        <v>67</v>
      </c>
      <c r="Y1382" s="4">
        <v>105</v>
      </c>
      <c r="Z1382" s="4">
        <v>4</v>
      </c>
      <c r="AA1382" s="4">
        <v>6</v>
      </c>
      <c r="AB1382" s="4">
        <v>1</v>
      </c>
      <c r="AC1382" s="4">
        <v>3</v>
      </c>
      <c r="AD1382" s="4">
        <v>12</v>
      </c>
      <c r="AE1382" s="4">
        <v>12</v>
      </c>
      <c r="AF1382" s="4">
        <v>0</v>
      </c>
      <c r="AG1382" s="4">
        <v>0</v>
      </c>
      <c r="AH1382" s="4">
        <v>11</v>
      </c>
      <c r="AI1382" s="4">
        <v>11</v>
      </c>
      <c r="AJ1382" s="4">
        <v>3</v>
      </c>
      <c r="AK1382" s="4">
        <v>3</v>
      </c>
      <c r="AL1382" s="4">
        <v>7</v>
      </c>
      <c r="AM1382" s="4">
        <v>7</v>
      </c>
      <c r="AN1382" s="4">
        <v>0</v>
      </c>
      <c r="AO1382" s="4">
        <v>0</v>
      </c>
      <c r="AP1382" s="4">
        <v>3</v>
      </c>
      <c r="AQ1382" s="4">
        <v>3</v>
      </c>
      <c r="AR1382" s="3" t="s">
        <v>62</v>
      </c>
      <c r="AS1382" s="3" t="s">
        <v>62</v>
      </c>
      <c r="AT1382" s="3" t="s">
        <v>61</v>
      </c>
      <c r="AU1382" s="6" t="str">
        <f>HYPERLINK("http://catalog.hathitrust.org/Record/006952602","HathiTrust Record")</f>
        <v>HathiTrust Record</v>
      </c>
      <c r="AV1382" s="6" t="str">
        <f>HYPERLINK("http://mcgill.on.worldcat.org/oclc/63703089","Catalog Record")</f>
        <v>Catalog Record</v>
      </c>
      <c r="AW1382" s="6" t="str">
        <f>HYPERLINK("http://www.worldcat.org/oclc/63703089","WorldCat Record")</f>
        <v>WorldCat Record</v>
      </c>
      <c r="AX1382" s="3" t="s">
        <v>13440</v>
      </c>
      <c r="AY1382" s="3" t="s">
        <v>13441</v>
      </c>
      <c r="AZ1382" s="3" t="s">
        <v>13442</v>
      </c>
      <c r="BA1382" s="3" t="s">
        <v>13442</v>
      </c>
      <c r="BB1382" s="3" t="s">
        <v>13443</v>
      </c>
      <c r="BC1382" s="3" t="s">
        <v>142</v>
      </c>
      <c r="BD1382" s="3" t="s">
        <v>68</v>
      </c>
      <c r="BE1382" s="3" t="s">
        <v>13444</v>
      </c>
      <c r="BF1382" s="3" t="s">
        <v>13443</v>
      </c>
      <c r="BG1382" s="3" t="s">
        <v>13445</v>
      </c>
    </row>
    <row r="1383" spans="1:59" ht="57" x14ac:dyDescent="0.45">
      <c r="A1383" s="2" t="s">
        <v>59</v>
      </c>
      <c r="B1383" s="2" t="s">
        <v>60</v>
      </c>
      <c r="C1383" s="2" t="s">
        <v>13446</v>
      </c>
      <c r="D1383" s="2" t="s">
        <v>13447</v>
      </c>
      <c r="E1383" s="2" t="s">
        <v>13448</v>
      </c>
      <c r="G1383" s="3" t="s">
        <v>62</v>
      </c>
      <c r="I1383" s="3" t="s">
        <v>61</v>
      </c>
      <c r="J1383" s="3" t="s">
        <v>62</v>
      </c>
      <c r="K1383" s="3" t="s">
        <v>63</v>
      </c>
      <c r="L1383" s="2" t="s">
        <v>13449</v>
      </c>
      <c r="M1383" s="2" t="s">
        <v>13450</v>
      </c>
      <c r="N1383" s="3" t="s">
        <v>1437</v>
      </c>
      <c r="P1383" s="3" t="s">
        <v>65</v>
      </c>
      <c r="R1383" s="3" t="s">
        <v>66</v>
      </c>
      <c r="S1383" s="4">
        <v>28</v>
      </c>
      <c r="T1383" s="4">
        <v>28</v>
      </c>
      <c r="U1383" s="5" t="s">
        <v>13451</v>
      </c>
      <c r="V1383" s="5" t="s">
        <v>13451</v>
      </c>
      <c r="W1383" s="5" t="s">
        <v>67</v>
      </c>
      <c r="X1383" s="5" t="s">
        <v>67</v>
      </c>
      <c r="Y1383" s="4">
        <v>411</v>
      </c>
      <c r="Z1383" s="4">
        <v>22</v>
      </c>
      <c r="AA1383" s="4">
        <v>23</v>
      </c>
      <c r="AB1383" s="4">
        <v>2</v>
      </c>
      <c r="AC1383" s="4">
        <v>2</v>
      </c>
      <c r="AD1383" s="4">
        <v>86</v>
      </c>
      <c r="AE1383" s="4">
        <v>86</v>
      </c>
      <c r="AF1383" s="4">
        <v>1</v>
      </c>
      <c r="AG1383" s="4">
        <v>1</v>
      </c>
      <c r="AH1383" s="4">
        <v>75</v>
      </c>
      <c r="AI1383" s="4">
        <v>75</v>
      </c>
      <c r="AJ1383" s="4">
        <v>15</v>
      </c>
      <c r="AK1383" s="4">
        <v>15</v>
      </c>
      <c r="AL1383" s="4">
        <v>43</v>
      </c>
      <c r="AM1383" s="4">
        <v>43</v>
      </c>
      <c r="AN1383" s="4">
        <v>0</v>
      </c>
      <c r="AO1383" s="4">
        <v>0</v>
      </c>
      <c r="AP1383" s="4">
        <v>19</v>
      </c>
      <c r="AQ1383" s="4">
        <v>19</v>
      </c>
      <c r="AR1383" s="3" t="s">
        <v>62</v>
      </c>
      <c r="AS1383" s="3" t="s">
        <v>62</v>
      </c>
      <c r="AT1383" s="3" t="s">
        <v>61</v>
      </c>
      <c r="AU1383" s="6" t="str">
        <f>HYPERLINK("http://catalog.hathitrust.org/Record/007140944","HathiTrust Record")</f>
        <v>HathiTrust Record</v>
      </c>
      <c r="AV1383" s="6" t="str">
        <f>HYPERLINK("http://mcgill.on.worldcat.org/oclc/40140163","Catalog Record")</f>
        <v>Catalog Record</v>
      </c>
      <c r="AW1383" s="6" t="str">
        <f>HYPERLINK("http://www.worldcat.org/oclc/40140163","WorldCat Record")</f>
        <v>WorldCat Record</v>
      </c>
      <c r="AX1383" s="3" t="s">
        <v>13452</v>
      </c>
      <c r="AY1383" s="3" t="s">
        <v>13453</v>
      </c>
      <c r="AZ1383" s="3" t="s">
        <v>13454</v>
      </c>
      <c r="BA1383" s="3" t="s">
        <v>13454</v>
      </c>
      <c r="BB1383" s="3" t="s">
        <v>13455</v>
      </c>
      <c r="BC1383" s="3" t="s">
        <v>142</v>
      </c>
      <c r="BD1383" s="3" t="s">
        <v>68</v>
      </c>
      <c r="BE1383" s="3" t="s">
        <v>13456</v>
      </c>
      <c r="BF1383" s="3" t="s">
        <v>13455</v>
      </c>
      <c r="BG1383" s="3" t="s">
        <v>13457</v>
      </c>
    </row>
    <row r="1384" spans="1:59" ht="57" x14ac:dyDescent="0.45">
      <c r="A1384" s="2" t="s">
        <v>59</v>
      </c>
      <c r="B1384" s="2" t="s">
        <v>60</v>
      </c>
      <c r="C1384" s="2" t="s">
        <v>13446</v>
      </c>
      <c r="D1384" s="2" t="s">
        <v>13447</v>
      </c>
      <c r="E1384" s="2" t="s">
        <v>13448</v>
      </c>
      <c r="G1384" s="3" t="s">
        <v>62</v>
      </c>
      <c r="I1384" s="3" t="s">
        <v>61</v>
      </c>
      <c r="J1384" s="3" t="s">
        <v>62</v>
      </c>
      <c r="K1384" s="3" t="s">
        <v>63</v>
      </c>
      <c r="L1384" s="2" t="s">
        <v>13449</v>
      </c>
      <c r="M1384" s="2" t="s">
        <v>13450</v>
      </c>
      <c r="N1384" s="3" t="s">
        <v>1437</v>
      </c>
      <c r="P1384" s="3" t="s">
        <v>65</v>
      </c>
      <c r="R1384" s="3" t="s">
        <v>66</v>
      </c>
      <c r="S1384" s="4">
        <v>0</v>
      </c>
      <c r="T1384" s="4">
        <v>28</v>
      </c>
      <c r="V1384" s="5" t="s">
        <v>13451</v>
      </c>
      <c r="W1384" s="5" t="s">
        <v>67</v>
      </c>
      <c r="X1384" s="5" t="s">
        <v>67</v>
      </c>
      <c r="Y1384" s="4">
        <v>411</v>
      </c>
      <c r="Z1384" s="4">
        <v>22</v>
      </c>
      <c r="AA1384" s="4">
        <v>23</v>
      </c>
      <c r="AB1384" s="4">
        <v>2</v>
      </c>
      <c r="AC1384" s="4">
        <v>2</v>
      </c>
      <c r="AD1384" s="4">
        <v>86</v>
      </c>
      <c r="AE1384" s="4">
        <v>86</v>
      </c>
      <c r="AF1384" s="4">
        <v>1</v>
      </c>
      <c r="AG1384" s="4">
        <v>1</v>
      </c>
      <c r="AH1384" s="4">
        <v>75</v>
      </c>
      <c r="AI1384" s="4">
        <v>75</v>
      </c>
      <c r="AJ1384" s="4">
        <v>15</v>
      </c>
      <c r="AK1384" s="4">
        <v>15</v>
      </c>
      <c r="AL1384" s="4">
        <v>43</v>
      </c>
      <c r="AM1384" s="4">
        <v>43</v>
      </c>
      <c r="AN1384" s="4">
        <v>0</v>
      </c>
      <c r="AO1384" s="4">
        <v>0</v>
      </c>
      <c r="AP1384" s="4">
        <v>19</v>
      </c>
      <c r="AQ1384" s="4">
        <v>19</v>
      </c>
      <c r="AR1384" s="3" t="s">
        <v>62</v>
      </c>
      <c r="AS1384" s="3" t="s">
        <v>62</v>
      </c>
      <c r="AT1384" s="3" t="s">
        <v>61</v>
      </c>
      <c r="AU1384" s="6" t="str">
        <f>HYPERLINK("http://catalog.hathitrust.org/Record/007140944","HathiTrust Record")</f>
        <v>HathiTrust Record</v>
      </c>
      <c r="AV1384" s="6" t="str">
        <f>HYPERLINK("http://mcgill.on.worldcat.org/oclc/40140163","Catalog Record")</f>
        <v>Catalog Record</v>
      </c>
      <c r="AW1384" s="6" t="str">
        <f>HYPERLINK("http://www.worldcat.org/oclc/40140163","WorldCat Record")</f>
        <v>WorldCat Record</v>
      </c>
      <c r="AX1384" s="3" t="s">
        <v>13452</v>
      </c>
      <c r="AY1384" s="3" t="s">
        <v>13453</v>
      </c>
      <c r="AZ1384" s="3" t="s">
        <v>13454</v>
      </c>
      <c r="BA1384" s="3" t="s">
        <v>13454</v>
      </c>
      <c r="BB1384" s="3" t="s">
        <v>13458</v>
      </c>
      <c r="BC1384" s="3" t="s">
        <v>142</v>
      </c>
      <c r="BD1384" s="3" t="s">
        <v>68</v>
      </c>
      <c r="BE1384" s="3" t="s">
        <v>13456</v>
      </c>
      <c r="BF1384" s="3" t="s">
        <v>13458</v>
      </c>
      <c r="BG1384" s="3" t="s">
        <v>13459</v>
      </c>
    </row>
    <row r="1385" spans="1:59" ht="57" x14ac:dyDescent="0.45">
      <c r="A1385" s="2" t="s">
        <v>59</v>
      </c>
      <c r="B1385" s="2" t="s">
        <v>60</v>
      </c>
      <c r="C1385" s="2" t="s">
        <v>13460</v>
      </c>
      <c r="D1385" s="2" t="s">
        <v>13461</v>
      </c>
      <c r="E1385" s="2" t="s">
        <v>13462</v>
      </c>
      <c r="G1385" s="3" t="s">
        <v>62</v>
      </c>
      <c r="I1385" s="3" t="s">
        <v>62</v>
      </c>
      <c r="J1385" s="3" t="s">
        <v>62</v>
      </c>
      <c r="K1385" s="3" t="s">
        <v>63</v>
      </c>
      <c r="L1385" s="2" t="s">
        <v>13449</v>
      </c>
      <c r="M1385" s="2" t="s">
        <v>13463</v>
      </c>
      <c r="N1385" s="3" t="s">
        <v>1478</v>
      </c>
      <c r="P1385" s="3" t="s">
        <v>65</v>
      </c>
      <c r="Q1385" s="2" t="s">
        <v>13464</v>
      </c>
      <c r="R1385" s="3" t="s">
        <v>66</v>
      </c>
      <c r="S1385" s="4">
        <v>33</v>
      </c>
      <c r="T1385" s="4">
        <v>33</v>
      </c>
      <c r="U1385" s="5" t="s">
        <v>4265</v>
      </c>
      <c r="V1385" s="5" t="s">
        <v>4265</v>
      </c>
      <c r="W1385" s="5" t="s">
        <v>67</v>
      </c>
      <c r="X1385" s="5" t="s">
        <v>67</v>
      </c>
      <c r="Y1385" s="4">
        <v>356</v>
      </c>
      <c r="Z1385" s="4">
        <v>26</v>
      </c>
      <c r="AA1385" s="4">
        <v>26</v>
      </c>
      <c r="AB1385" s="4">
        <v>3</v>
      </c>
      <c r="AC1385" s="4">
        <v>3</v>
      </c>
      <c r="AD1385" s="4">
        <v>102</v>
      </c>
      <c r="AE1385" s="4">
        <v>102</v>
      </c>
      <c r="AF1385" s="4">
        <v>1</v>
      </c>
      <c r="AG1385" s="4">
        <v>1</v>
      </c>
      <c r="AH1385" s="4">
        <v>90</v>
      </c>
      <c r="AI1385" s="4">
        <v>90</v>
      </c>
      <c r="AJ1385" s="4">
        <v>13</v>
      </c>
      <c r="AK1385" s="4">
        <v>13</v>
      </c>
      <c r="AL1385" s="4">
        <v>50</v>
      </c>
      <c r="AM1385" s="4">
        <v>50</v>
      </c>
      <c r="AN1385" s="4">
        <v>0</v>
      </c>
      <c r="AO1385" s="4">
        <v>0</v>
      </c>
      <c r="AP1385" s="4">
        <v>17</v>
      </c>
      <c r="AQ1385" s="4">
        <v>17</v>
      </c>
      <c r="AR1385" s="3" t="s">
        <v>62</v>
      </c>
      <c r="AS1385" s="3" t="s">
        <v>62</v>
      </c>
      <c r="AT1385" s="3" t="s">
        <v>62</v>
      </c>
      <c r="AV1385" s="6" t="str">
        <f>HYPERLINK("http://mcgill.on.worldcat.org/oclc/34576748","Catalog Record")</f>
        <v>Catalog Record</v>
      </c>
      <c r="AW1385" s="6" t="str">
        <f>HYPERLINK("http://www.worldcat.org/oclc/34576748","WorldCat Record")</f>
        <v>WorldCat Record</v>
      </c>
      <c r="AX1385" s="3" t="s">
        <v>13465</v>
      </c>
      <c r="AY1385" s="3" t="s">
        <v>13466</v>
      </c>
      <c r="AZ1385" s="3" t="s">
        <v>13467</v>
      </c>
      <c r="BA1385" s="3" t="s">
        <v>13467</v>
      </c>
      <c r="BB1385" s="3" t="s">
        <v>13468</v>
      </c>
      <c r="BC1385" s="3" t="s">
        <v>142</v>
      </c>
      <c r="BD1385" s="3" t="s">
        <v>308</v>
      </c>
      <c r="BE1385" s="3" t="s">
        <v>13469</v>
      </c>
      <c r="BF1385" s="3" t="s">
        <v>13468</v>
      </c>
      <c r="BG1385" s="3" t="s">
        <v>13470</v>
      </c>
    </row>
    <row r="1386" spans="1:59" ht="57" x14ac:dyDescent="0.45">
      <c r="A1386" s="2" t="s">
        <v>59</v>
      </c>
      <c r="B1386" s="2" t="s">
        <v>60</v>
      </c>
      <c r="C1386" s="2" t="s">
        <v>13471</v>
      </c>
      <c r="D1386" s="2" t="s">
        <v>13472</v>
      </c>
      <c r="E1386" s="2" t="s">
        <v>13473</v>
      </c>
      <c r="G1386" s="3" t="s">
        <v>62</v>
      </c>
      <c r="I1386" s="3" t="s">
        <v>62</v>
      </c>
      <c r="J1386" s="3" t="s">
        <v>62</v>
      </c>
      <c r="K1386" s="3" t="s">
        <v>63</v>
      </c>
      <c r="L1386" s="2" t="s">
        <v>13449</v>
      </c>
      <c r="M1386" s="2" t="s">
        <v>13474</v>
      </c>
      <c r="N1386" s="3" t="s">
        <v>84</v>
      </c>
      <c r="P1386" s="3" t="s">
        <v>65</v>
      </c>
      <c r="Q1386" s="2" t="s">
        <v>13475</v>
      </c>
      <c r="R1386" s="3" t="s">
        <v>66</v>
      </c>
      <c r="S1386" s="4">
        <v>26</v>
      </c>
      <c r="T1386" s="4">
        <v>26</v>
      </c>
      <c r="U1386" s="5" t="s">
        <v>10032</v>
      </c>
      <c r="V1386" s="5" t="s">
        <v>10032</v>
      </c>
      <c r="W1386" s="5" t="s">
        <v>67</v>
      </c>
      <c r="X1386" s="5" t="s">
        <v>67</v>
      </c>
      <c r="Y1386" s="4">
        <v>442</v>
      </c>
      <c r="Z1386" s="4">
        <v>26</v>
      </c>
      <c r="AA1386" s="4">
        <v>28</v>
      </c>
      <c r="AB1386" s="4">
        <v>2</v>
      </c>
      <c r="AC1386" s="4">
        <v>4</v>
      </c>
      <c r="AD1386" s="4">
        <v>112</v>
      </c>
      <c r="AE1386" s="4">
        <v>114</v>
      </c>
      <c r="AF1386" s="4">
        <v>1</v>
      </c>
      <c r="AG1386" s="4">
        <v>3</v>
      </c>
      <c r="AH1386" s="4">
        <v>97</v>
      </c>
      <c r="AI1386" s="4">
        <v>97</v>
      </c>
      <c r="AJ1386" s="4">
        <v>16</v>
      </c>
      <c r="AK1386" s="4">
        <v>18</v>
      </c>
      <c r="AL1386" s="4">
        <v>49</v>
      </c>
      <c r="AM1386" s="4">
        <v>49</v>
      </c>
      <c r="AN1386" s="4">
        <v>0</v>
      </c>
      <c r="AO1386" s="4">
        <v>0</v>
      </c>
      <c r="AP1386" s="4">
        <v>23</v>
      </c>
      <c r="AQ1386" s="4">
        <v>24</v>
      </c>
      <c r="AR1386" s="3" t="s">
        <v>62</v>
      </c>
      <c r="AS1386" s="3" t="s">
        <v>62</v>
      </c>
      <c r="AT1386" s="3" t="s">
        <v>62</v>
      </c>
      <c r="AV1386" s="6" t="str">
        <f>HYPERLINK("http://mcgill.on.worldcat.org/oclc/24626778","Catalog Record")</f>
        <v>Catalog Record</v>
      </c>
      <c r="AW1386" s="6" t="str">
        <f>HYPERLINK("http://www.worldcat.org/oclc/24626778","WorldCat Record")</f>
        <v>WorldCat Record</v>
      </c>
      <c r="AX1386" s="3" t="s">
        <v>13476</v>
      </c>
      <c r="AY1386" s="3" t="s">
        <v>13477</v>
      </c>
      <c r="AZ1386" s="3" t="s">
        <v>13478</v>
      </c>
      <c r="BA1386" s="3" t="s">
        <v>13478</v>
      </c>
      <c r="BB1386" s="3" t="s">
        <v>13479</v>
      </c>
      <c r="BC1386" s="3" t="s">
        <v>142</v>
      </c>
      <c r="BD1386" s="3" t="s">
        <v>68</v>
      </c>
      <c r="BE1386" s="3" t="s">
        <v>13480</v>
      </c>
      <c r="BF1386" s="3" t="s">
        <v>13479</v>
      </c>
      <c r="BG1386" s="3" t="s">
        <v>13481</v>
      </c>
    </row>
    <row r="1387" spans="1:59" ht="57" x14ac:dyDescent="0.45">
      <c r="A1387" s="2" t="s">
        <v>59</v>
      </c>
      <c r="B1387" s="2" t="s">
        <v>60</v>
      </c>
      <c r="C1387" s="2" t="s">
        <v>13482</v>
      </c>
      <c r="D1387" s="2" t="s">
        <v>13483</v>
      </c>
      <c r="E1387" s="2" t="s">
        <v>13484</v>
      </c>
      <c r="G1387" s="3" t="s">
        <v>62</v>
      </c>
      <c r="I1387" s="3" t="s">
        <v>62</v>
      </c>
      <c r="J1387" s="3" t="s">
        <v>61</v>
      </c>
      <c r="K1387" s="3" t="s">
        <v>63</v>
      </c>
      <c r="L1387" s="2" t="s">
        <v>13485</v>
      </c>
      <c r="M1387" s="2" t="s">
        <v>13486</v>
      </c>
      <c r="N1387" s="3" t="s">
        <v>106</v>
      </c>
      <c r="P1387" s="3" t="s">
        <v>65</v>
      </c>
      <c r="R1387" s="3" t="s">
        <v>66</v>
      </c>
      <c r="S1387" s="4">
        <v>13</v>
      </c>
      <c r="T1387" s="4">
        <v>13</v>
      </c>
      <c r="U1387" s="5" t="s">
        <v>12541</v>
      </c>
      <c r="V1387" s="5" t="s">
        <v>12541</v>
      </c>
      <c r="W1387" s="5" t="s">
        <v>67</v>
      </c>
      <c r="X1387" s="5" t="s">
        <v>67</v>
      </c>
      <c r="Y1387" s="4">
        <v>546</v>
      </c>
      <c r="Z1387" s="4">
        <v>32</v>
      </c>
      <c r="AA1387" s="4">
        <v>53</v>
      </c>
      <c r="AB1387" s="4">
        <v>2</v>
      </c>
      <c r="AC1387" s="4">
        <v>7</v>
      </c>
      <c r="AD1387" s="4">
        <v>104</v>
      </c>
      <c r="AE1387" s="4">
        <v>137</v>
      </c>
      <c r="AF1387" s="4">
        <v>1</v>
      </c>
      <c r="AG1387" s="4">
        <v>6</v>
      </c>
      <c r="AH1387" s="4">
        <v>88</v>
      </c>
      <c r="AI1387" s="4">
        <v>109</v>
      </c>
      <c r="AJ1387" s="4">
        <v>19</v>
      </c>
      <c r="AK1387" s="4">
        <v>26</v>
      </c>
      <c r="AL1387" s="4">
        <v>45</v>
      </c>
      <c r="AM1387" s="4">
        <v>56</v>
      </c>
      <c r="AN1387" s="4">
        <v>5</v>
      </c>
      <c r="AO1387" s="4">
        <v>6</v>
      </c>
      <c r="AP1387" s="4">
        <v>26</v>
      </c>
      <c r="AQ1387" s="4">
        <v>38</v>
      </c>
      <c r="AR1387" s="3" t="s">
        <v>62</v>
      </c>
      <c r="AS1387" s="3" t="s">
        <v>62</v>
      </c>
      <c r="AT1387" s="3" t="s">
        <v>61</v>
      </c>
      <c r="AU1387" s="6" t="str">
        <f>HYPERLINK("http://catalog.hathitrust.org/Record/000316220","HathiTrust Record")</f>
        <v>HathiTrust Record</v>
      </c>
      <c r="AV1387" s="6" t="str">
        <f>HYPERLINK("http://mcgill.on.worldcat.org/oclc/9853990","Catalog Record")</f>
        <v>Catalog Record</v>
      </c>
      <c r="AW1387" s="6" t="str">
        <f>HYPERLINK("http://www.worldcat.org/oclc/9853990","WorldCat Record")</f>
        <v>WorldCat Record</v>
      </c>
      <c r="AX1387" s="3" t="s">
        <v>13487</v>
      </c>
      <c r="AY1387" s="3" t="s">
        <v>13488</v>
      </c>
      <c r="AZ1387" s="3" t="s">
        <v>13489</v>
      </c>
      <c r="BA1387" s="3" t="s">
        <v>13489</v>
      </c>
      <c r="BB1387" s="3" t="s">
        <v>13490</v>
      </c>
      <c r="BC1387" s="3" t="s">
        <v>142</v>
      </c>
      <c r="BD1387" s="3" t="s">
        <v>68</v>
      </c>
      <c r="BE1387" s="3" t="s">
        <v>13491</v>
      </c>
      <c r="BF1387" s="3" t="s">
        <v>13490</v>
      </c>
      <c r="BG1387" s="3" t="s">
        <v>13492</v>
      </c>
    </row>
    <row r="1388" spans="1:59" ht="57" x14ac:dyDescent="0.45">
      <c r="A1388" s="2" t="s">
        <v>59</v>
      </c>
      <c r="B1388" s="2" t="s">
        <v>60</v>
      </c>
      <c r="C1388" s="2" t="s">
        <v>13493</v>
      </c>
      <c r="D1388" s="2" t="s">
        <v>13494</v>
      </c>
      <c r="E1388" s="2" t="s">
        <v>13495</v>
      </c>
      <c r="G1388" s="3" t="s">
        <v>62</v>
      </c>
      <c r="I1388" s="3" t="s">
        <v>62</v>
      </c>
      <c r="J1388" s="3" t="s">
        <v>61</v>
      </c>
      <c r="K1388" s="3" t="s">
        <v>63</v>
      </c>
      <c r="L1388" s="2" t="s">
        <v>13485</v>
      </c>
      <c r="M1388" s="2" t="s">
        <v>13496</v>
      </c>
      <c r="N1388" s="3" t="s">
        <v>149</v>
      </c>
      <c r="O1388" s="2" t="s">
        <v>4282</v>
      </c>
      <c r="P1388" s="3" t="s">
        <v>65</v>
      </c>
      <c r="R1388" s="3" t="s">
        <v>66</v>
      </c>
      <c r="S1388" s="4">
        <v>6</v>
      </c>
      <c r="T1388" s="4">
        <v>6</v>
      </c>
      <c r="U1388" s="5" t="s">
        <v>13497</v>
      </c>
      <c r="V1388" s="5" t="s">
        <v>13497</v>
      </c>
      <c r="W1388" s="5" t="s">
        <v>67</v>
      </c>
      <c r="X1388" s="5" t="s">
        <v>67</v>
      </c>
      <c r="Y1388" s="4">
        <v>256</v>
      </c>
      <c r="Z1388" s="4">
        <v>15</v>
      </c>
      <c r="AA1388" s="4">
        <v>37</v>
      </c>
      <c r="AB1388" s="4">
        <v>2</v>
      </c>
      <c r="AC1388" s="4">
        <v>10</v>
      </c>
      <c r="AD1388" s="4">
        <v>39</v>
      </c>
      <c r="AE1388" s="4">
        <v>94</v>
      </c>
      <c r="AF1388" s="4">
        <v>1</v>
      </c>
      <c r="AG1388" s="4">
        <v>6</v>
      </c>
      <c r="AH1388" s="4">
        <v>33</v>
      </c>
      <c r="AI1388" s="4">
        <v>78</v>
      </c>
      <c r="AJ1388" s="4">
        <v>8</v>
      </c>
      <c r="AK1388" s="4">
        <v>18</v>
      </c>
      <c r="AL1388" s="4">
        <v>19</v>
      </c>
      <c r="AM1388" s="4">
        <v>37</v>
      </c>
      <c r="AN1388" s="4">
        <v>0</v>
      </c>
      <c r="AO1388" s="4">
        <v>0</v>
      </c>
      <c r="AP1388" s="4">
        <v>11</v>
      </c>
      <c r="AQ1388" s="4">
        <v>26</v>
      </c>
      <c r="AR1388" s="3" t="s">
        <v>62</v>
      </c>
      <c r="AS1388" s="3" t="s">
        <v>62</v>
      </c>
      <c r="AT1388" s="3" t="s">
        <v>62</v>
      </c>
      <c r="AV1388" s="6" t="str">
        <f>HYPERLINK("http://mcgill.on.worldcat.org/oclc/465369629","Catalog Record")</f>
        <v>Catalog Record</v>
      </c>
      <c r="AW1388" s="6" t="str">
        <f>HYPERLINK("http://www.worldcat.org/oclc/465369629","WorldCat Record")</f>
        <v>WorldCat Record</v>
      </c>
      <c r="AX1388" s="3" t="s">
        <v>13498</v>
      </c>
      <c r="AY1388" s="3" t="s">
        <v>13499</v>
      </c>
      <c r="AZ1388" s="3" t="s">
        <v>13500</v>
      </c>
      <c r="BA1388" s="3" t="s">
        <v>13500</v>
      </c>
      <c r="BB1388" s="3" t="s">
        <v>13501</v>
      </c>
      <c r="BC1388" s="3" t="s">
        <v>142</v>
      </c>
      <c r="BD1388" s="3" t="s">
        <v>68</v>
      </c>
      <c r="BE1388" s="3" t="s">
        <v>13502</v>
      </c>
      <c r="BF1388" s="3" t="s">
        <v>13501</v>
      </c>
      <c r="BG1388" s="3" t="s">
        <v>13503</v>
      </c>
    </row>
    <row r="1389" spans="1:59" ht="57" x14ac:dyDescent="0.45">
      <c r="A1389" s="2" t="s">
        <v>59</v>
      </c>
      <c r="B1389" s="2" t="s">
        <v>60</v>
      </c>
      <c r="C1389" s="2" t="s">
        <v>13504</v>
      </c>
      <c r="D1389" s="2" t="s">
        <v>13505</v>
      </c>
      <c r="E1389" s="2" t="s">
        <v>13506</v>
      </c>
      <c r="G1389" s="3" t="s">
        <v>62</v>
      </c>
      <c r="I1389" s="3" t="s">
        <v>62</v>
      </c>
      <c r="J1389" s="3" t="s">
        <v>62</v>
      </c>
      <c r="K1389" s="3" t="s">
        <v>63</v>
      </c>
      <c r="L1389" s="2" t="s">
        <v>13507</v>
      </c>
      <c r="M1389" s="2" t="s">
        <v>13508</v>
      </c>
      <c r="N1389" s="3" t="s">
        <v>894</v>
      </c>
      <c r="P1389" s="3" t="s">
        <v>65</v>
      </c>
      <c r="R1389" s="3" t="s">
        <v>66</v>
      </c>
      <c r="S1389" s="4">
        <v>3</v>
      </c>
      <c r="T1389" s="4">
        <v>3</v>
      </c>
      <c r="U1389" s="5" t="s">
        <v>13509</v>
      </c>
      <c r="V1389" s="5" t="s">
        <v>13509</v>
      </c>
      <c r="W1389" s="5" t="s">
        <v>67</v>
      </c>
      <c r="X1389" s="5" t="s">
        <v>67</v>
      </c>
      <c r="Y1389" s="4">
        <v>268</v>
      </c>
      <c r="Z1389" s="4">
        <v>21</v>
      </c>
      <c r="AA1389" s="4">
        <v>88</v>
      </c>
      <c r="AB1389" s="4">
        <v>1</v>
      </c>
      <c r="AC1389" s="4">
        <v>14</v>
      </c>
      <c r="AD1389" s="4">
        <v>81</v>
      </c>
      <c r="AE1389" s="4">
        <v>130</v>
      </c>
      <c r="AF1389" s="4">
        <v>0</v>
      </c>
      <c r="AG1389" s="4">
        <v>8</v>
      </c>
      <c r="AH1389" s="4">
        <v>73</v>
      </c>
      <c r="AI1389" s="4">
        <v>94</v>
      </c>
      <c r="AJ1389" s="4">
        <v>13</v>
      </c>
      <c r="AK1389" s="4">
        <v>25</v>
      </c>
      <c r="AL1389" s="4">
        <v>41</v>
      </c>
      <c r="AM1389" s="4">
        <v>49</v>
      </c>
      <c r="AN1389" s="4">
        <v>0</v>
      </c>
      <c r="AO1389" s="4">
        <v>0</v>
      </c>
      <c r="AP1389" s="4">
        <v>16</v>
      </c>
      <c r="AQ1389" s="4">
        <v>47</v>
      </c>
      <c r="AR1389" s="3" t="s">
        <v>62</v>
      </c>
      <c r="AS1389" s="3" t="s">
        <v>62</v>
      </c>
      <c r="AT1389" s="3" t="s">
        <v>62</v>
      </c>
      <c r="AV1389" s="6" t="str">
        <f>HYPERLINK("http://mcgill.on.worldcat.org/oclc/670480336","Catalog Record")</f>
        <v>Catalog Record</v>
      </c>
      <c r="AW1389" s="6" t="str">
        <f>HYPERLINK("http://www.worldcat.org/oclc/670480336","WorldCat Record")</f>
        <v>WorldCat Record</v>
      </c>
      <c r="AX1389" s="3" t="s">
        <v>13510</v>
      </c>
      <c r="AY1389" s="3" t="s">
        <v>13511</v>
      </c>
      <c r="AZ1389" s="3" t="s">
        <v>13512</v>
      </c>
      <c r="BA1389" s="3" t="s">
        <v>13512</v>
      </c>
      <c r="BB1389" s="3" t="s">
        <v>13513</v>
      </c>
      <c r="BC1389" s="3" t="s">
        <v>142</v>
      </c>
      <c r="BD1389" s="3" t="s">
        <v>68</v>
      </c>
      <c r="BE1389" s="3" t="s">
        <v>13514</v>
      </c>
      <c r="BF1389" s="3" t="s">
        <v>13513</v>
      </c>
      <c r="BG1389" s="3" t="s">
        <v>13515</v>
      </c>
    </row>
    <row r="1390" spans="1:59" ht="57" x14ac:dyDescent="0.45">
      <c r="A1390" s="2" t="s">
        <v>59</v>
      </c>
      <c r="B1390" s="2" t="s">
        <v>60</v>
      </c>
      <c r="C1390" s="2" t="s">
        <v>13516</v>
      </c>
      <c r="D1390" s="2" t="s">
        <v>13517</v>
      </c>
      <c r="E1390" s="2" t="s">
        <v>13518</v>
      </c>
      <c r="G1390" s="3" t="s">
        <v>62</v>
      </c>
      <c r="I1390" s="3" t="s">
        <v>62</v>
      </c>
      <c r="J1390" s="3" t="s">
        <v>62</v>
      </c>
      <c r="K1390" s="3" t="s">
        <v>63</v>
      </c>
      <c r="L1390" s="2" t="s">
        <v>13519</v>
      </c>
      <c r="M1390" s="2" t="s">
        <v>13520</v>
      </c>
      <c r="N1390" s="3" t="s">
        <v>970</v>
      </c>
      <c r="P1390" s="3" t="s">
        <v>65</v>
      </c>
      <c r="R1390" s="3" t="s">
        <v>66</v>
      </c>
      <c r="S1390" s="4">
        <v>5</v>
      </c>
      <c r="T1390" s="4">
        <v>5</v>
      </c>
      <c r="U1390" s="5" t="s">
        <v>13521</v>
      </c>
      <c r="V1390" s="5" t="s">
        <v>13521</v>
      </c>
      <c r="W1390" s="5" t="s">
        <v>67</v>
      </c>
      <c r="X1390" s="5" t="s">
        <v>67</v>
      </c>
      <c r="Y1390" s="4">
        <v>497</v>
      </c>
      <c r="Z1390" s="4">
        <v>29</v>
      </c>
      <c r="AA1390" s="4">
        <v>35</v>
      </c>
      <c r="AB1390" s="4">
        <v>2</v>
      </c>
      <c r="AC1390" s="4">
        <v>6</v>
      </c>
      <c r="AD1390" s="4">
        <v>104</v>
      </c>
      <c r="AE1390" s="4">
        <v>107</v>
      </c>
      <c r="AF1390" s="4">
        <v>1</v>
      </c>
      <c r="AG1390" s="4">
        <v>3</v>
      </c>
      <c r="AH1390" s="4">
        <v>92</v>
      </c>
      <c r="AI1390" s="4">
        <v>94</v>
      </c>
      <c r="AJ1390" s="4">
        <v>14</v>
      </c>
      <c r="AK1390" s="4">
        <v>16</v>
      </c>
      <c r="AL1390" s="4">
        <v>46</v>
      </c>
      <c r="AM1390" s="4">
        <v>47</v>
      </c>
      <c r="AN1390" s="4">
        <v>0</v>
      </c>
      <c r="AO1390" s="4">
        <v>0</v>
      </c>
      <c r="AP1390" s="4">
        <v>17</v>
      </c>
      <c r="AQ1390" s="4">
        <v>19</v>
      </c>
      <c r="AR1390" s="3" t="s">
        <v>62</v>
      </c>
      <c r="AS1390" s="3" t="s">
        <v>62</v>
      </c>
      <c r="AT1390" s="3" t="s">
        <v>61</v>
      </c>
      <c r="AU1390" s="6" t="str">
        <f>HYPERLINK("http://catalog.hathitrust.org/Record/004238311","HathiTrust Record")</f>
        <v>HathiTrust Record</v>
      </c>
      <c r="AV1390" s="6" t="str">
        <f>HYPERLINK("http://mcgill.on.worldcat.org/oclc/48249156","Catalog Record")</f>
        <v>Catalog Record</v>
      </c>
      <c r="AW1390" s="6" t="str">
        <f>HYPERLINK("http://www.worldcat.org/oclc/48249156","WorldCat Record")</f>
        <v>WorldCat Record</v>
      </c>
      <c r="AX1390" s="3" t="s">
        <v>13522</v>
      </c>
      <c r="AY1390" s="3" t="s">
        <v>13523</v>
      </c>
      <c r="AZ1390" s="3" t="s">
        <v>13524</v>
      </c>
      <c r="BA1390" s="3" t="s">
        <v>13524</v>
      </c>
      <c r="BB1390" s="3" t="s">
        <v>13525</v>
      </c>
      <c r="BC1390" s="3" t="s">
        <v>142</v>
      </c>
      <c r="BD1390" s="3" t="s">
        <v>68</v>
      </c>
      <c r="BE1390" s="3" t="s">
        <v>13526</v>
      </c>
      <c r="BF1390" s="3" t="s">
        <v>13525</v>
      </c>
      <c r="BG1390" s="3" t="s">
        <v>13527</v>
      </c>
    </row>
    <row r="1391" spans="1:59" ht="57" x14ac:dyDescent="0.45">
      <c r="A1391" s="2" t="s">
        <v>59</v>
      </c>
      <c r="B1391" s="2" t="s">
        <v>60</v>
      </c>
      <c r="C1391" s="2" t="s">
        <v>13528</v>
      </c>
      <c r="D1391" s="2" t="s">
        <v>13529</v>
      </c>
      <c r="E1391" s="2" t="s">
        <v>13530</v>
      </c>
      <c r="G1391" s="3" t="s">
        <v>62</v>
      </c>
      <c r="I1391" s="3" t="s">
        <v>62</v>
      </c>
      <c r="J1391" s="3" t="s">
        <v>62</v>
      </c>
      <c r="K1391" s="3" t="s">
        <v>63</v>
      </c>
      <c r="M1391" s="2" t="s">
        <v>13531</v>
      </c>
      <c r="N1391" s="3" t="s">
        <v>970</v>
      </c>
      <c r="P1391" s="3" t="s">
        <v>65</v>
      </c>
      <c r="R1391" s="3" t="s">
        <v>66</v>
      </c>
      <c r="S1391" s="4">
        <v>6</v>
      </c>
      <c r="T1391" s="4">
        <v>6</v>
      </c>
      <c r="U1391" s="5" t="s">
        <v>723</v>
      </c>
      <c r="V1391" s="5" t="s">
        <v>723</v>
      </c>
      <c r="W1391" s="5" t="s">
        <v>67</v>
      </c>
      <c r="X1391" s="5" t="s">
        <v>67</v>
      </c>
      <c r="Y1391" s="4">
        <v>282</v>
      </c>
      <c r="Z1391" s="4">
        <v>16</v>
      </c>
      <c r="AA1391" s="4">
        <v>17</v>
      </c>
      <c r="AB1391" s="4">
        <v>3</v>
      </c>
      <c r="AC1391" s="4">
        <v>4</v>
      </c>
      <c r="AD1391" s="4">
        <v>64</v>
      </c>
      <c r="AE1391" s="4">
        <v>65</v>
      </c>
      <c r="AF1391" s="4">
        <v>1</v>
      </c>
      <c r="AG1391" s="4">
        <v>2</v>
      </c>
      <c r="AH1391" s="4">
        <v>59</v>
      </c>
      <c r="AI1391" s="4">
        <v>60</v>
      </c>
      <c r="AJ1391" s="4">
        <v>10</v>
      </c>
      <c r="AK1391" s="4">
        <v>11</v>
      </c>
      <c r="AL1391" s="4">
        <v>31</v>
      </c>
      <c r="AM1391" s="4">
        <v>31</v>
      </c>
      <c r="AN1391" s="4">
        <v>0</v>
      </c>
      <c r="AO1391" s="4">
        <v>0</v>
      </c>
      <c r="AP1391" s="4">
        <v>12</v>
      </c>
      <c r="AQ1391" s="4">
        <v>13</v>
      </c>
      <c r="AR1391" s="3" t="s">
        <v>62</v>
      </c>
      <c r="AS1391" s="3" t="s">
        <v>62</v>
      </c>
      <c r="AT1391" s="3" t="s">
        <v>62</v>
      </c>
      <c r="AV1391" s="6" t="str">
        <f>HYPERLINK("http://mcgill.on.worldcat.org/oclc/48835353","Catalog Record")</f>
        <v>Catalog Record</v>
      </c>
      <c r="AW1391" s="6" t="str">
        <f>HYPERLINK("http://www.worldcat.org/oclc/48835353","WorldCat Record")</f>
        <v>WorldCat Record</v>
      </c>
      <c r="AX1391" s="3" t="s">
        <v>13532</v>
      </c>
      <c r="AY1391" s="3" t="s">
        <v>13533</v>
      </c>
      <c r="AZ1391" s="3" t="s">
        <v>13534</v>
      </c>
      <c r="BA1391" s="3" t="s">
        <v>13534</v>
      </c>
      <c r="BB1391" s="3" t="s">
        <v>13535</v>
      </c>
      <c r="BC1391" s="3" t="s">
        <v>142</v>
      </c>
      <c r="BD1391" s="3" t="s">
        <v>68</v>
      </c>
      <c r="BE1391" s="3" t="s">
        <v>13536</v>
      </c>
      <c r="BF1391" s="3" t="s">
        <v>13535</v>
      </c>
      <c r="BG1391" s="3" t="s">
        <v>13537</v>
      </c>
    </row>
    <row r="1392" spans="1:59" ht="57" x14ac:dyDescent="0.45">
      <c r="A1392" s="2" t="s">
        <v>59</v>
      </c>
      <c r="B1392" s="2" t="s">
        <v>60</v>
      </c>
      <c r="C1392" s="2" t="s">
        <v>13538</v>
      </c>
      <c r="D1392" s="2" t="s">
        <v>13539</v>
      </c>
      <c r="E1392" s="2" t="s">
        <v>13540</v>
      </c>
      <c r="G1392" s="3" t="s">
        <v>62</v>
      </c>
      <c r="I1392" s="3" t="s">
        <v>62</v>
      </c>
      <c r="J1392" s="3" t="s">
        <v>62</v>
      </c>
      <c r="K1392" s="3" t="s">
        <v>63</v>
      </c>
      <c r="M1392" s="2" t="s">
        <v>13541</v>
      </c>
      <c r="N1392" s="3" t="s">
        <v>894</v>
      </c>
      <c r="P1392" s="3" t="s">
        <v>65</v>
      </c>
      <c r="R1392" s="3" t="s">
        <v>66</v>
      </c>
      <c r="S1392" s="4">
        <v>16</v>
      </c>
      <c r="T1392" s="4">
        <v>16</v>
      </c>
      <c r="U1392" s="5" t="s">
        <v>1526</v>
      </c>
      <c r="V1392" s="5" t="s">
        <v>1526</v>
      </c>
      <c r="W1392" s="5" t="s">
        <v>67</v>
      </c>
      <c r="X1392" s="5" t="s">
        <v>67</v>
      </c>
      <c r="Y1392" s="4">
        <v>310</v>
      </c>
      <c r="Z1392" s="4">
        <v>26</v>
      </c>
      <c r="AA1392" s="4">
        <v>99</v>
      </c>
      <c r="AB1392" s="4">
        <v>1</v>
      </c>
      <c r="AC1392" s="4">
        <v>18</v>
      </c>
      <c r="AD1392" s="4">
        <v>98</v>
      </c>
      <c r="AE1392" s="4">
        <v>145</v>
      </c>
      <c r="AF1392" s="4">
        <v>0</v>
      </c>
      <c r="AG1392" s="4">
        <v>8</v>
      </c>
      <c r="AH1392" s="4">
        <v>88</v>
      </c>
      <c r="AI1392" s="4">
        <v>106</v>
      </c>
      <c r="AJ1392" s="4">
        <v>17</v>
      </c>
      <c r="AK1392" s="4">
        <v>26</v>
      </c>
      <c r="AL1392" s="4">
        <v>47</v>
      </c>
      <c r="AM1392" s="4">
        <v>56</v>
      </c>
      <c r="AN1392" s="4">
        <v>0</v>
      </c>
      <c r="AO1392" s="4">
        <v>0</v>
      </c>
      <c r="AP1392" s="4">
        <v>22</v>
      </c>
      <c r="AQ1392" s="4">
        <v>49</v>
      </c>
      <c r="AR1392" s="3" t="s">
        <v>62</v>
      </c>
      <c r="AS1392" s="3" t="s">
        <v>62</v>
      </c>
      <c r="AT1392" s="3" t="s">
        <v>61</v>
      </c>
      <c r="AU1392" s="6" t="str">
        <f>HYPERLINK("http://catalog.hathitrust.org/Record/011278446","HathiTrust Record")</f>
        <v>HathiTrust Record</v>
      </c>
      <c r="AV1392" s="6" t="str">
        <f>HYPERLINK("http://mcgill.on.worldcat.org/oclc/664555771","Catalog Record")</f>
        <v>Catalog Record</v>
      </c>
      <c r="AW1392" s="6" t="str">
        <f>HYPERLINK("http://www.worldcat.org/oclc/664555771","WorldCat Record")</f>
        <v>WorldCat Record</v>
      </c>
      <c r="AX1392" s="3" t="s">
        <v>13542</v>
      </c>
      <c r="AY1392" s="3" t="s">
        <v>13543</v>
      </c>
      <c r="AZ1392" s="3" t="s">
        <v>13544</v>
      </c>
      <c r="BA1392" s="3" t="s">
        <v>13544</v>
      </c>
      <c r="BB1392" s="3" t="s">
        <v>13545</v>
      </c>
      <c r="BC1392" s="3" t="s">
        <v>142</v>
      </c>
      <c r="BD1392" s="3" t="s">
        <v>68</v>
      </c>
      <c r="BE1392" s="3" t="s">
        <v>13546</v>
      </c>
      <c r="BF1392" s="3" t="s">
        <v>13545</v>
      </c>
      <c r="BG1392" s="3" t="s">
        <v>13547</v>
      </c>
    </row>
    <row r="1393" spans="1:59" ht="57" x14ac:dyDescent="0.45">
      <c r="A1393" s="2" t="s">
        <v>59</v>
      </c>
      <c r="B1393" s="2" t="s">
        <v>60</v>
      </c>
      <c r="C1393" s="2" t="s">
        <v>13548</v>
      </c>
      <c r="D1393" s="2" t="s">
        <v>13549</v>
      </c>
      <c r="E1393" s="2" t="s">
        <v>13550</v>
      </c>
      <c r="G1393" s="3" t="s">
        <v>62</v>
      </c>
      <c r="I1393" s="3" t="s">
        <v>62</v>
      </c>
      <c r="J1393" s="3" t="s">
        <v>62</v>
      </c>
      <c r="K1393" s="3" t="s">
        <v>63</v>
      </c>
      <c r="M1393" s="2" t="s">
        <v>13551</v>
      </c>
      <c r="N1393" s="3" t="s">
        <v>1465</v>
      </c>
      <c r="P1393" s="3" t="s">
        <v>65</v>
      </c>
      <c r="R1393" s="3" t="s">
        <v>66</v>
      </c>
      <c r="S1393" s="4">
        <v>9</v>
      </c>
      <c r="T1393" s="4">
        <v>9</v>
      </c>
      <c r="U1393" s="5" t="s">
        <v>13552</v>
      </c>
      <c r="V1393" s="5" t="s">
        <v>13552</v>
      </c>
      <c r="W1393" s="5" t="s">
        <v>67</v>
      </c>
      <c r="X1393" s="5" t="s">
        <v>67</v>
      </c>
      <c r="Y1393" s="4">
        <v>363</v>
      </c>
      <c r="Z1393" s="4">
        <v>28</v>
      </c>
      <c r="AA1393" s="4">
        <v>35</v>
      </c>
      <c r="AB1393" s="4">
        <v>3</v>
      </c>
      <c r="AC1393" s="4">
        <v>9</v>
      </c>
      <c r="AD1393" s="4">
        <v>100</v>
      </c>
      <c r="AE1393" s="4">
        <v>104</v>
      </c>
      <c r="AF1393" s="4">
        <v>1</v>
      </c>
      <c r="AG1393" s="4">
        <v>5</v>
      </c>
      <c r="AH1393" s="4">
        <v>90</v>
      </c>
      <c r="AI1393" s="4">
        <v>91</v>
      </c>
      <c r="AJ1393" s="4">
        <v>17</v>
      </c>
      <c r="AK1393" s="4">
        <v>21</v>
      </c>
      <c r="AL1393" s="4">
        <v>45</v>
      </c>
      <c r="AM1393" s="4">
        <v>45</v>
      </c>
      <c r="AN1393" s="4">
        <v>0</v>
      </c>
      <c r="AO1393" s="4">
        <v>0</v>
      </c>
      <c r="AP1393" s="4">
        <v>21</v>
      </c>
      <c r="AQ1393" s="4">
        <v>24</v>
      </c>
      <c r="AR1393" s="3" t="s">
        <v>62</v>
      </c>
      <c r="AS1393" s="3" t="s">
        <v>62</v>
      </c>
      <c r="AT1393" s="3" t="s">
        <v>62</v>
      </c>
      <c r="AV1393" s="6" t="str">
        <f>HYPERLINK("http://mcgill.on.worldcat.org/oclc/244417933","Catalog Record")</f>
        <v>Catalog Record</v>
      </c>
      <c r="AW1393" s="6" t="str">
        <f>HYPERLINK("http://www.worldcat.org/oclc/244417933","WorldCat Record")</f>
        <v>WorldCat Record</v>
      </c>
      <c r="AX1393" s="3" t="s">
        <v>13553</v>
      </c>
      <c r="AY1393" s="3" t="s">
        <v>13554</v>
      </c>
      <c r="AZ1393" s="3" t="s">
        <v>13555</v>
      </c>
      <c r="BA1393" s="3" t="s">
        <v>13555</v>
      </c>
      <c r="BB1393" s="3" t="s">
        <v>13556</v>
      </c>
      <c r="BC1393" s="3" t="s">
        <v>142</v>
      </c>
      <c r="BD1393" s="3" t="s">
        <v>308</v>
      </c>
      <c r="BE1393" s="3" t="s">
        <v>13557</v>
      </c>
      <c r="BF1393" s="3" t="s">
        <v>13556</v>
      </c>
      <c r="BG1393" s="3" t="s">
        <v>13558</v>
      </c>
    </row>
    <row r="1394" spans="1:59" ht="57" x14ac:dyDescent="0.45">
      <c r="A1394" s="2" t="s">
        <v>59</v>
      </c>
      <c r="B1394" s="2" t="s">
        <v>60</v>
      </c>
      <c r="C1394" s="2" t="s">
        <v>13559</v>
      </c>
      <c r="D1394" s="2" t="s">
        <v>13560</v>
      </c>
      <c r="E1394" s="2" t="s">
        <v>13561</v>
      </c>
      <c r="G1394" s="3" t="s">
        <v>62</v>
      </c>
      <c r="I1394" s="3" t="s">
        <v>62</v>
      </c>
      <c r="J1394" s="3" t="s">
        <v>62</v>
      </c>
      <c r="K1394" s="3" t="s">
        <v>63</v>
      </c>
      <c r="M1394" s="2" t="s">
        <v>13562</v>
      </c>
      <c r="N1394" s="3" t="s">
        <v>181</v>
      </c>
      <c r="P1394" s="3" t="s">
        <v>65</v>
      </c>
      <c r="R1394" s="3" t="s">
        <v>66</v>
      </c>
      <c r="S1394" s="4">
        <v>1</v>
      </c>
      <c r="T1394" s="4">
        <v>1</v>
      </c>
      <c r="W1394" s="5" t="s">
        <v>67</v>
      </c>
      <c r="X1394" s="5" t="s">
        <v>67</v>
      </c>
      <c r="Y1394" s="4">
        <v>13</v>
      </c>
      <c r="Z1394" s="4">
        <v>1</v>
      </c>
      <c r="AA1394" s="4">
        <v>1</v>
      </c>
      <c r="AB1394" s="4">
        <v>1</v>
      </c>
      <c r="AC1394" s="4">
        <v>1</v>
      </c>
      <c r="AD1394" s="4">
        <v>3</v>
      </c>
      <c r="AE1394" s="4">
        <v>3</v>
      </c>
      <c r="AF1394" s="4">
        <v>0</v>
      </c>
      <c r="AG1394" s="4">
        <v>0</v>
      </c>
      <c r="AH1394" s="4">
        <v>3</v>
      </c>
      <c r="AI1394" s="4">
        <v>3</v>
      </c>
      <c r="AJ1394" s="4">
        <v>0</v>
      </c>
      <c r="AK1394" s="4">
        <v>0</v>
      </c>
      <c r="AL1394" s="4">
        <v>2</v>
      </c>
      <c r="AM1394" s="4">
        <v>2</v>
      </c>
      <c r="AN1394" s="4">
        <v>0</v>
      </c>
      <c r="AO1394" s="4">
        <v>0</v>
      </c>
      <c r="AP1394" s="4">
        <v>0</v>
      </c>
      <c r="AQ1394" s="4">
        <v>0</v>
      </c>
      <c r="AR1394" s="3" t="s">
        <v>62</v>
      </c>
      <c r="AS1394" s="3" t="s">
        <v>62</v>
      </c>
      <c r="AT1394" s="3" t="s">
        <v>62</v>
      </c>
      <c r="AV1394" s="6" t="str">
        <f>HYPERLINK("http://mcgill.on.worldcat.org/oclc/953151311","Catalog Record")</f>
        <v>Catalog Record</v>
      </c>
      <c r="AW1394" s="6" t="str">
        <f>HYPERLINK("http://www.worldcat.org/oclc/953151311","WorldCat Record")</f>
        <v>WorldCat Record</v>
      </c>
      <c r="AX1394" s="3" t="s">
        <v>13563</v>
      </c>
      <c r="AY1394" s="3" t="s">
        <v>13564</v>
      </c>
      <c r="AZ1394" s="3" t="s">
        <v>13565</v>
      </c>
      <c r="BA1394" s="3" t="s">
        <v>13565</v>
      </c>
      <c r="BB1394" s="3" t="s">
        <v>13566</v>
      </c>
      <c r="BC1394" s="3" t="s">
        <v>142</v>
      </c>
      <c r="BD1394" s="3" t="s">
        <v>308</v>
      </c>
      <c r="BE1394" s="3" t="s">
        <v>13567</v>
      </c>
      <c r="BF1394" s="3" t="s">
        <v>13566</v>
      </c>
      <c r="BG1394" s="3" t="s">
        <v>13568</v>
      </c>
    </row>
    <row r="1395" spans="1:59" ht="57" x14ac:dyDescent="0.45">
      <c r="A1395" s="2" t="s">
        <v>59</v>
      </c>
      <c r="B1395" s="2" t="s">
        <v>60</v>
      </c>
      <c r="C1395" s="2" t="s">
        <v>13569</v>
      </c>
      <c r="D1395" s="2" t="s">
        <v>13570</v>
      </c>
      <c r="E1395" s="2" t="s">
        <v>13571</v>
      </c>
      <c r="G1395" s="3" t="s">
        <v>62</v>
      </c>
      <c r="I1395" s="3" t="s">
        <v>62</v>
      </c>
      <c r="J1395" s="3" t="s">
        <v>62</v>
      </c>
      <c r="K1395" s="3" t="s">
        <v>63</v>
      </c>
      <c r="M1395" s="2" t="s">
        <v>1189</v>
      </c>
      <c r="N1395" s="3" t="s">
        <v>149</v>
      </c>
      <c r="P1395" s="3" t="s">
        <v>65</v>
      </c>
      <c r="Q1395" s="2" t="s">
        <v>12823</v>
      </c>
      <c r="R1395" s="3" t="s">
        <v>66</v>
      </c>
      <c r="S1395" s="4">
        <v>8</v>
      </c>
      <c r="T1395" s="4">
        <v>8</v>
      </c>
      <c r="U1395" s="5" t="s">
        <v>6557</v>
      </c>
      <c r="V1395" s="5" t="s">
        <v>6557</v>
      </c>
      <c r="W1395" s="5" t="s">
        <v>67</v>
      </c>
      <c r="X1395" s="5" t="s">
        <v>67</v>
      </c>
      <c r="Y1395" s="4">
        <v>188</v>
      </c>
      <c r="Z1395" s="4">
        <v>5</v>
      </c>
      <c r="AA1395" s="4">
        <v>87</v>
      </c>
      <c r="AB1395" s="4">
        <v>1</v>
      </c>
      <c r="AC1395" s="4">
        <v>15</v>
      </c>
      <c r="AD1395" s="4">
        <v>58</v>
      </c>
      <c r="AE1395" s="4">
        <v>138</v>
      </c>
      <c r="AF1395" s="4">
        <v>0</v>
      </c>
      <c r="AG1395" s="4">
        <v>8</v>
      </c>
      <c r="AH1395" s="4">
        <v>58</v>
      </c>
      <c r="AI1395" s="4">
        <v>102</v>
      </c>
      <c r="AJ1395" s="4">
        <v>3</v>
      </c>
      <c r="AK1395" s="4">
        <v>24</v>
      </c>
      <c r="AL1395" s="4">
        <v>33</v>
      </c>
      <c r="AM1395" s="4">
        <v>52</v>
      </c>
      <c r="AN1395" s="4">
        <v>0</v>
      </c>
      <c r="AO1395" s="4">
        <v>0</v>
      </c>
      <c r="AP1395" s="4">
        <v>3</v>
      </c>
      <c r="AQ1395" s="4">
        <v>46</v>
      </c>
      <c r="AR1395" s="3" t="s">
        <v>62</v>
      </c>
      <c r="AS1395" s="3" t="s">
        <v>62</v>
      </c>
      <c r="AT1395" s="3" t="s">
        <v>62</v>
      </c>
      <c r="AV1395" s="6" t="str">
        <f>HYPERLINK("http://mcgill.on.worldcat.org/oclc/647976684","Catalog Record")</f>
        <v>Catalog Record</v>
      </c>
      <c r="AW1395" s="6" t="str">
        <f>HYPERLINK("http://www.worldcat.org/oclc/647976684","WorldCat Record")</f>
        <v>WorldCat Record</v>
      </c>
      <c r="AX1395" s="3" t="s">
        <v>13572</v>
      </c>
      <c r="AY1395" s="3" t="s">
        <v>13573</v>
      </c>
      <c r="AZ1395" s="3" t="s">
        <v>13574</v>
      </c>
      <c r="BA1395" s="3" t="s">
        <v>13574</v>
      </c>
      <c r="BB1395" s="3" t="s">
        <v>13575</v>
      </c>
      <c r="BC1395" s="3" t="s">
        <v>142</v>
      </c>
      <c r="BD1395" s="3" t="s">
        <v>68</v>
      </c>
      <c r="BE1395" s="3" t="s">
        <v>13576</v>
      </c>
      <c r="BF1395" s="3" t="s">
        <v>13575</v>
      </c>
      <c r="BG1395" s="3" t="s">
        <v>13577</v>
      </c>
    </row>
    <row r="1396" spans="1:59" ht="57" x14ac:dyDescent="0.45">
      <c r="A1396" s="2" t="s">
        <v>59</v>
      </c>
      <c r="B1396" s="2" t="s">
        <v>60</v>
      </c>
      <c r="C1396" s="2" t="s">
        <v>13578</v>
      </c>
      <c r="D1396" s="2" t="s">
        <v>13579</v>
      </c>
      <c r="E1396" s="2" t="s">
        <v>13580</v>
      </c>
      <c r="G1396" s="3" t="s">
        <v>62</v>
      </c>
      <c r="I1396" s="3" t="s">
        <v>62</v>
      </c>
      <c r="J1396" s="3" t="s">
        <v>62</v>
      </c>
      <c r="K1396" s="3" t="s">
        <v>63</v>
      </c>
      <c r="M1396" s="2" t="s">
        <v>13581</v>
      </c>
      <c r="N1396" s="3" t="s">
        <v>1918</v>
      </c>
      <c r="P1396" s="3" t="s">
        <v>65</v>
      </c>
      <c r="R1396" s="3" t="s">
        <v>66</v>
      </c>
      <c r="S1396" s="4">
        <v>1</v>
      </c>
      <c r="T1396" s="4">
        <v>1</v>
      </c>
      <c r="U1396" s="5" t="s">
        <v>13582</v>
      </c>
      <c r="V1396" s="5" t="s">
        <v>13582</v>
      </c>
      <c r="W1396" s="5" t="s">
        <v>67</v>
      </c>
      <c r="X1396" s="5" t="s">
        <v>67</v>
      </c>
      <c r="Y1396" s="4">
        <v>23</v>
      </c>
      <c r="Z1396" s="4">
        <v>4</v>
      </c>
      <c r="AA1396" s="4">
        <v>67</v>
      </c>
      <c r="AB1396" s="4">
        <v>1</v>
      </c>
      <c r="AC1396" s="4">
        <v>14</v>
      </c>
      <c r="AD1396" s="4">
        <v>11</v>
      </c>
      <c r="AE1396" s="4">
        <v>76</v>
      </c>
      <c r="AF1396" s="4">
        <v>0</v>
      </c>
      <c r="AG1396" s="4">
        <v>8</v>
      </c>
      <c r="AH1396" s="4">
        <v>11</v>
      </c>
      <c r="AI1396" s="4">
        <v>47</v>
      </c>
      <c r="AJ1396" s="4">
        <v>3</v>
      </c>
      <c r="AK1396" s="4">
        <v>16</v>
      </c>
      <c r="AL1396" s="4">
        <v>7</v>
      </c>
      <c r="AM1396" s="4">
        <v>25</v>
      </c>
      <c r="AN1396" s="4">
        <v>0</v>
      </c>
      <c r="AO1396" s="4">
        <v>0</v>
      </c>
      <c r="AP1396" s="4">
        <v>3</v>
      </c>
      <c r="AQ1396" s="4">
        <v>35</v>
      </c>
      <c r="AR1396" s="3" t="s">
        <v>62</v>
      </c>
      <c r="AS1396" s="3" t="s">
        <v>62</v>
      </c>
      <c r="AT1396" s="3" t="s">
        <v>62</v>
      </c>
      <c r="AV1396" s="6" t="str">
        <f>HYPERLINK("http://mcgill.on.worldcat.org/oclc/972255533","Catalog Record")</f>
        <v>Catalog Record</v>
      </c>
      <c r="AW1396" s="6" t="str">
        <f>HYPERLINK("http://www.worldcat.org/oclc/972255533","WorldCat Record")</f>
        <v>WorldCat Record</v>
      </c>
      <c r="AX1396" s="3" t="s">
        <v>13583</v>
      </c>
      <c r="AY1396" s="3" t="s">
        <v>13584</v>
      </c>
      <c r="AZ1396" s="3" t="s">
        <v>13585</v>
      </c>
      <c r="BA1396" s="3" t="s">
        <v>13585</v>
      </c>
      <c r="BB1396" s="3" t="s">
        <v>13586</v>
      </c>
      <c r="BC1396" s="3" t="s">
        <v>142</v>
      </c>
      <c r="BD1396" s="3" t="s">
        <v>68</v>
      </c>
      <c r="BE1396" s="3" t="s">
        <v>13587</v>
      </c>
      <c r="BF1396" s="3" t="s">
        <v>13586</v>
      </c>
      <c r="BG1396" s="3" t="s">
        <v>13588</v>
      </c>
    </row>
    <row r="1397" spans="1:59" ht="57" x14ac:dyDescent="0.45">
      <c r="A1397" s="2" t="s">
        <v>59</v>
      </c>
      <c r="B1397" s="2" t="s">
        <v>60</v>
      </c>
      <c r="C1397" s="2" t="s">
        <v>13589</v>
      </c>
      <c r="D1397" s="2" t="s">
        <v>13590</v>
      </c>
      <c r="E1397" s="2" t="s">
        <v>13591</v>
      </c>
      <c r="G1397" s="3" t="s">
        <v>62</v>
      </c>
      <c r="I1397" s="3" t="s">
        <v>62</v>
      </c>
      <c r="J1397" s="3" t="s">
        <v>62</v>
      </c>
      <c r="K1397" s="3" t="s">
        <v>63</v>
      </c>
      <c r="M1397" s="2" t="s">
        <v>13592</v>
      </c>
      <c r="N1397" s="3" t="s">
        <v>894</v>
      </c>
      <c r="P1397" s="3" t="s">
        <v>65</v>
      </c>
      <c r="R1397" s="3" t="s">
        <v>66</v>
      </c>
      <c r="S1397" s="4">
        <v>0</v>
      </c>
      <c r="T1397" s="4">
        <v>0</v>
      </c>
      <c r="W1397" s="5" t="s">
        <v>67</v>
      </c>
      <c r="X1397" s="5" t="s">
        <v>67</v>
      </c>
      <c r="Y1397" s="4">
        <v>135</v>
      </c>
      <c r="Z1397" s="4">
        <v>18</v>
      </c>
      <c r="AA1397" s="4">
        <v>19</v>
      </c>
      <c r="AB1397" s="4">
        <v>2</v>
      </c>
      <c r="AC1397" s="4">
        <v>2</v>
      </c>
      <c r="AD1397" s="4">
        <v>61</v>
      </c>
      <c r="AE1397" s="4">
        <v>61</v>
      </c>
      <c r="AF1397" s="4">
        <v>1</v>
      </c>
      <c r="AG1397" s="4">
        <v>1</v>
      </c>
      <c r="AH1397" s="4">
        <v>54</v>
      </c>
      <c r="AI1397" s="4">
        <v>54</v>
      </c>
      <c r="AJ1397" s="4">
        <v>14</v>
      </c>
      <c r="AK1397" s="4">
        <v>14</v>
      </c>
      <c r="AL1397" s="4">
        <v>31</v>
      </c>
      <c r="AM1397" s="4">
        <v>31</v>
      </c>
      <c r="AN1397" s="4">
        <v>0</v>
      </c>
      <c r="AO1397" s="4">
        <v>0</v>
      </c>
      <c r="AP1397" s="4">
        <v>15</v>
      </c>
      <c r="AQ1397" s="4">
        <v>15</v>
      </c>
      <c r="AR1397" s="3" t="s">
        <v>62</v>
      </c>
      <c r="AS1397" s="3" t="s">
        <v>62</v>
      </c>
      <c r="AT1397" s="3" t="s">
        <v>62</v>
      </c>
      <c r="AV1397" s="6" t="str">
        <f>HYPERLINK("http://mcgill.on.worldcat.org/oclc/663822338","Catalog Record")</f>
        <v>Catalog Record</v>
      </c>
      <c r="AW1397" s="6" t="str">
        <f>HYPERLINK("http://www.worldcat.org/oclc/663822338","WorldCat Record")</f>
        <v>WorldCat Record</v>
      </c>
      <c r="AX1397" s="3" t="s">
        <v>13593</v>
      </c>
      <c r="AY1397" s="3" t="s">
        <v>13594</v>
      </c>
      <c r="AZ1397" s="3" t="s">
        <v>13595</v>
      </c>
      <c r="BA1397" s="3" t="s">
        <v>13595</v>
      </c>
      <c r="BB1397" s="3" t="s">
        <v>13596</v>
      </c>
      <c r="BC1397" s="3" t="s">
        <v>142</v>
      </c>
      <c r="BD1397" s="3" t="s">
        <v>68</v>
      </c>
      <c r="BE1397" s="3" t="s">
        <v>13597</v>
      </c>
      <c r="BF1397" s="3" t="s">
        <v>13596</v>
      </c>
      <c r="BG1397" s="3" t="s">
        <v>13598</v>
      </c>
    </row>
    <row r="1398" spans="1:59" ht="57" x14ac:dyDescent="0.45">
      <c r="A1398" s="2" t="s">
        <v>59</v>
      </c>
      <c r="B1398" s="2" t="s">
        <v>60</v>
      </c>
      <c r="C1398" s="2" t="s">
        <v>13599</v>
      </c>
      <c r="D1398" s="2" t="s">
        <v>13600</v>
      </c>
      <c r="E1398" s="2" t="s">
        <v>13601</v>
      </c>
      <c r="G1398" s="3" t="s">
        <v>62</v>
      </c>
      <c r="I1398" s="3" t="s">
        <v>62</v>
      </c>
      <c r="J1398" s="3" t="s">
        <v>62</v>
      </c>
      <c r="K1398" s="3" t="s">
        <v>63</v>
      </c>
      <c r="M1398" s="2" t="s">
        <v>13602</v>
      </c>
      <c r="N1398" s="3" t="s">
        <v>918</v>
      </c>
      <c r="P1398" s="3" t="s">
        <v>65</v>
      </c>
      <c r="Q1398" s="2" t="s">
        <v>13603</v>
      </c>
      <c r="R1398" s="3" t="s">
        <v>66</v>
      </c>
      <c r="S1398" s="4">
        <v>4</v>
      </c>
      <c r="T1398" s="4">
        <v>4</v>
      </c>
      <c r="U1398" s="5" t="s">
        <v>12780</v>
      </c>
      <c r="V1398" s="5" t="s">
        <v>12780</v>
      </c>
      <c r="W1398" s="5" t="s">
        <v>67</v>
      </c>
      <c r="X1398" s="5" t="s">
        <v>67</v>
      </c>
      <c r="Y1398" s="4">
        <v>270</v>
      </c>
      <c r="Z1398" s="4">
        <v>22</v>
      </c>
      <c r="AA1398" s="4">
        <v>113</v>
      </c>
      <c r="AB1398" s="4">
        <v>2</v>
      </c>
      <c r="AC1398" s="4">
        <v>18</v>
      </c>
      <c r="AD1398" s="4">
        <v>78</v>
      </c>
      <c r="AE1398" s="4">
        <v>137</v>
      </c>
      <c r="AF1398" s="4">
        <v>1</v>
      </c>
      <c r="AG1398" s="4">
        <v>8</v>
      </c>
      <c r="AH1398" s="4">
        <v>66</v>
      </c>
      <c r="AI1398" s="4">
        <v>95</v>
      </c>
      <c r="AJ1398" s="4">
        <v>14</v>
      </c>
      <c r="AK1398" s="4">
        <v>25</v>
      </c>
      <c r="AL1398" s="4">
        <v>39</v>
      </c>
      <c r="AM1398" s="4">
        <v>52</v>
      </c>
      <c r="AN1398" s="4">
        <v>0</v>
      </c>
      <c r="AO1398" s="4">
        <v>0</v>
      </c>
      <c r="AP1398" s="4">
        <v>18</v>
      </c>
      <c r="AQ1398" s="4">
        <v>51</v>
      </c>
      <c r="AR1398" s="3" t="s">
        <v>62</v>
      </c>
      <c r="AS1398" s="3" t="s">
        <v>62</v>
      </c>
      <c r="AT1398" s="3" t="s">
        <v>61</v>
      </c>
      <c r="AU1398" s="6" t="str">
        <f>HYPERLINK("http://catalog.hathitrust.org/Record/003850348","HathiTrust Record")</f>
        <v>HathiTrust Record</v>
      </c>
      <c r="AV1398" s="6" t="str">
        <f>HYPERLINK("http://mcgill.on.worldcat.org/oclc/53831906","Catalog Record")</f>
        <v>Catalog Record</v>
      </c>
      <c r="AW1398" s="6" t="str">
        <f>HYPERLINK("http://www.worldcat.org/oclc/53831906","WorldCat Record")</f>
        <v>WorldCat Record</v>
      </c>
      <c r="AX1398" s="3" t="s">
        <v>13604</v>
      </c>
      <c r="AY1398" s="3" t="s">
        <v>13605</v>
      </c>
      <c r="AZ1398" s="3" t="s">
        <v>13606</v>
      </c>
      <c r="BA1398" s="3" t="s">
        <v>13606</v>
      </c>
      <c r="BB1398" s="3" t="s">
        <v>13607</v>
      </c>
      <c r="BC1398" s="3" t="s">
        <v>142</v>
      </c>
      <c r="BD1398" s="3" t="s">
        <v>68</v>
      </c>
      <c r="BE1398" s="3" t="s">
        <v>13608</v>
      </c>
      <c r="BF1398" s="3" t="s">
        <v>13607</v>
      </c>
      <c r="BG1398" s="3" t="s">
        <v>13609</v>
      </c>
    </row>
    <row r="1399" spans="1:59" ht="57" x14ac:dyDescent="0.45">
      <c r="A1399" s="2" t="s">
        <v>59</v>
      </c>
      <c r="B1399" s="2" t="s">
        <v>60</v>
      </c>
      <c r="C1399" s="2" t="s">
        <v>13610</v>
      </c>
      <c r="D1399" s="2" t="s">
        <v>13611</v>
      </c>
      <c r="E1399" s="2" t="s">
        <v>13612</v>
      </c>
      <c r="G1399" s="3" t="s">
        <v>62</v>
      </c>
      <c r="I1399" s="3" t="s">
        <v>62</v>
      </c>
      <c r="J1399" s="3" t="s">
        <v>62</v>
      </c>
      <c r="K1399" s="3" t="s">
        <v>63</v>
      </c>
      <c r="L1399" s="2" t="s">
        <v>13613</v>
      </c>
      <c r="M1399" s="2" t="s">
        <v>13614</v>
      </c>
      <c r="N1399" s="3" t="s">
        <v>1855</v>
      </c>
      <c r="P1399" s="3" t="s">
        <v>65</v>
      </c>
      <c r="R1399" s="3" t="s">
        <v>66</v>
      </c>
      <c r="S1399" s="4">
        <v>19</v>
      </c>
      <c r="T1399" s="4">
        <v>19</v>
      </c>
      <c r="U1399" s="5" t="s">
        <v>13615</v>
      </c>
      <c r="V1399" s="5" t="s">
        <v>13615</v>
      </c>
      <c r="W1399" s="5" t="s">
        <v>67</v>
      </c>
      <c r="X1399" s="5" t="s">
        <v>67</v>
      </c>
      <c r="Y1399" s="4">
        <v>230</v>
      </c>
      <c r="Z1399" s="4">
        <v>20</v>
      </c>
      <c r="AA1399" s="4">
        <v>23</v>
      </c>
      <c r="AB1399" s="4">
        <v>2</v>
      </c>
      <c r="AC1399" s="4">
        <v>5</v>
      </c>
      <c r="AD1399" s="4">
        <v>68</v>
      </c>
      <c r="AE1399" s="4">
        <v>70</v>
      </c>
      <c r="AF1399" s="4">
        <v>1</v>
      </c>
      <c r="AG1399" s="4">
        <v>3</v>
      </c>
      <c r="AH1399" s="4">
        <v>57</v>
      </c>
      <c r="AI1399" s="4">
        <v>58</v>
      </c>
      <c r="AJ1399" s="4">
        <v>11</v>
      </c>
      <c r="AK1399" s="4">
        <v>13</v>
      </c>
      <c r="AL1399" s="4">
        <v>35</v>
      </c>
      <c r="AM1399" s="4">
        <v>35</v>
      </c>
      <c r="AN1399" s="4">
        <v>0</v>
      </c>
      <c r="AO1399" s="4">
        <v>0</v>
      </c>
      <c r="AP1399" s="4">
        <v>15</v>
      </c>
      <c r="AQ1399" s="4">
        <v>16</v>
      </c>
      <c r="AR1399" s="3" t="s">
        <v>62</v>
      </c>
      <c r="AS1399" s="3" t="s">
        <v>62</v>
      </c>
      <c r="AT1399" s="3" t="s">
        <v>61</v>
      </c>
      <c r="AU1399" s="6" t="str">
        <f>HYPERLINK("http://catalog.hathitrust.org/Record/005122653","HathiTrust Record")</f>
        <v>HathiTrust Record</v>
      </c>
      <c r="AV1399" s="6" t="str">
        <f>HYPERLINK("http://mcgill.on.worldcat.org/oclc/61217673","Catalog Record")</f>
        <v>Catalog Record</v>
      </c>
      <c r="AW1399" s="6" t="str">
        <f>HYPERLINK("http://www.worldcat.org/oclc/61217673","WorldCat Record")</f>
        <v>WorldCat Record</v>
      </c>
      <c r="AX1399" s="3" t="s">
        <v>13616</v>
      </c>
      <c r="AY1399" s="3" t="s">
        <v>13617</v>
      </c>
      <c r="AZ1399" s="3" t="s">
        <v>13618</v>
      </c>
      <c r="BA1399" s="3" t="s">
        <v>13618</v>
      </c>
      <c r="BB1399" s="3" t="s">
        <v>13619</v>
      </c>
      <c r="BC1399" s="3" t="s">
        <v>142</v>
      </c>
      <c r="BD1399" s="3" t="s">
        <v>68</v>
      </c>
      <c r="BE1399" s="3" t="s">
        <v>13620</v>
      </c>
      <c r="BF1399" s="3" t="s">
        <v>13619</v>
      </c>
      <c r="BG1399" s="3" t="s">
        <v>13621</v>
      </c>
    </row>
    <row r="1400" spans="1:59" ht="57" x14ac:dyDescent="0.45">
      <c r="A1400" s="2" t="s">
        <v>59</v>
      </c>
      <c r="B1400" s="2" t="s">
        <v>60</v>
      </c>
      <c r="C1400" s="2" t="s">
        <v>13622</v>
      </c>
      <c r="D1400" s="2" t="s">
        <v>13623</v>
      </c>
      <c r="E1400" s="2" t="s">
        <v>13624</v>
      </c>
      <c r="G1400" s="3" t="s">
        <v>62</v>
      </c>
      <c r="I1400" s="3" t="s">
        <v>62</v>
      </c>
      <c r="J1400" s="3" t="s">
        <v>62</v>
      </c>
      <c r="K1400" s="3" t="s">
        <v>63</v>
      </c>
      <c r="L1400" s="2" t="s">
        <v>13625</v>
      </c>
      <c r="M1400" s="2" t="s">
        <v>13626</v>
      </c>
      <c r="N1400" s="3" t="s">
        <v>1855</v>
      </c>
      <c r="P1400" s="3" t="s">
        <v>65</v>
      </c>
      <c r="Q1400" s="2" t="s">
        <v>13627</v>
      </c>
      <c r="R1400" s="3" t="s">
        <v>66</v>
      </c>
      <c r="S1400" s="4">
        <v>3</v>
      </c>
      <c r="T1400" s="4">
        <v>3</v>
      </c>
      <c r="U1400" s="5" t="s">
        <v>12655</v>
      </c>
      <c r="V1400" s="5" t="s">
        <v>12655</v>
      </c>
      <c r="W1400" s="5" t="s">
        <v>67</v>
      </c>
      <c r="X1400" s="5" t="s">
        <v>67</v>
      </c>
      <c r="Y1400" s="4">
        <v>223</v>
      </c>
      <c r="Z1400" s="4">
        <v>23</v>
      </c>
      <c r="AA1400" s="4">
        <v>29</v>
      </c>
      <c r="AB1400" s="4">
        <v>2</v>
      </c>
      <c r="AC1400" s="4">
        <v>7</v>
      </c>
      <c r="AD1400" s="4">
        <v>77</v>
      </c>
      <c r="AE1400" s="4">
        <v>84</v>
      </c>
      <c r="AF1400" s="4">
        <v>1</v>
      </c>
      <c r="AG1400" s="4">
        <v>3</v>
      </c>
      <c r="AH1400" s="4">
        <v>69</v>
      </c>
      <c r="AI1400" s="4">
        <v>74</v>
      </c>
      <c r="AJ1400" s="4">
        <v>15</v>
      </c>
      <c r="AK1400" s="4">
        <v>17</v>
      </c>
      <c r="AL1400" s="4">
        <v>37</v>
      </c>
      <c r="AM1400" s="4">
        <v>39</v>
      </c>
      <c r="AN1400" s="4">
        <v>0</v>
      </c>
      <c r="AO1400" s="4">
        <v>0</v>
      </c>
      <c r="AP1400" s="4">
        <v>17</v>
      </c>
      <c r="AQ1400" s="4">
        <v>19</v>
      </c>
      <c r="AR1400" s="3" t="s">
        <v>62</v>
      </c>
      <c r="AS1400" s="3" t="s">
        <v>62</v>
      </c>
      <c r="AT1400" s="3" t="s">
        <v>62</v>
      </c>
      <c r="AV1400" s="6" t="str">
        <f>HYPERLINK("http://mcgill.on.worldcat.org/oclc/57465506","Catalog Record")</f>
        <v>Catalog Record</v>
      </c>
      <c r="AW1400" s="6" t="str">
        <f>HYPERLINK("http://www.worldcat.org/oclc/57465506","WorldCat Record")</f>
        <v>WorldCat Record</v>
      </c>
      <c r="AX1400" s="3" t="s">
        <v>13628</v>
      </c>
      <c r="AY1400" s="3" t="s">
        <v>13629</v>
      </c>
      <c r="AZ1400" s="3" t="s">
        <v>13630</v>
      </c>
      <c r="BA1400" s="3" t="s">
        <v>13630</v>
      </c>
      <c r="BB1400" s="3" t="s">
        <v>13631</v>
      </c>
      <c r="BC1400" s="3" t="s">
        <v>142</v>
      </c>
      <c r="BD1400" s="3" t="s">
        <v>68</v>
      </c>
      <c r="BE1400" s="3" t="s">
        <v>13632</v>
      </c>
      <c r="BF1400" s="3" t="s">
        <v>13631</v>
      </c>
      <c r="BG1400" s="3" t="s">
        <v>13633</v>
      </c>
    </row>
    <row r="1401" spans="1:59" ht="57" x14ac:dyDescent="0.45">
      <c r="A1401" s="2" t="s">
        <v>59</v>
      </c>
      <c r="B1401" s="2" t="s">
        <v>60</v>
      </c>
      <c r="C1401" s="2" t="s">
        <v>13634</v>
      </c>
      <c r="D1401" s="2" t="s">
        <v>13635</v>
      </c>
      <c r="E1401" s="2" t="s">
        <v>13636</v>
      </c>
      <c r="G1401" s="3" t="s">
        <v>62</v>
      </c>
      <c r="I1401" s="3" t="s">
        <v>62</v>
      </c>
      <c r="J1401" s="3" t="s">
        <v>62</v>
      </c>
      <c r="K1401" s="3" t="s">
        <v>63</v>
      </c>
      <c r="L1401" s="2" t="s">
        <v>13637</v>
      </c>
      <c r="M1401" s="2" t="s">
        <v>13251</v>
      </c>
      <c r="N1401" s="3" t="s">
        <v>149</v>
      </c>
      <c r="P1401" s="3" t="s">
        <v>65</v>
      </c>
      <c r="R1401" s="3" t="s">
        <v>66</v>
      </c>
      <c r="S1401" s="4">
        <v>6</v>
      </c>
      <c r="T1401" s="4">
        <v>6</v>
      </c>
      <c r="U1401" s="5" t="s">
        <v>13509</v>
      </c>
      <c r="V1401" s="5" t="s">
        <v>13509</v>
      </c>
      <c r="W1401" s="5" t="s">
        <v>67</v>
      </c>
      <c r="X1401" s="5" t="s">
        <v>67</v>
      </c>
      <c r="Y1401" s="4">
        <v>176</v>
      </c>
      <c r="Z1401" s="4">
        <v>26</v>
      </c>
      <c r="AA1401" s="4">
        <v>28</v>
      </c>
      <c r="AB1401" s="4">
        <v>2</v>
      </c>
      <c r="AC1401" s="4">
        <v>4</v>
      </c>
      <c r="AD1401" s="4">
        <v>56</v>
      </c>
      <c r="AE1401" s="4">
        <v>57</v>
      </c>
      <c r="AF1401" s="4">
        <v>1</v>
      </c>
      <c r="AG1401" s="4">
        <v>2</v>
      </c>
      <c r="AH1401" s="4">
        <v>49</v>
      </c>
      <c r="AI1401" s="4">
        <v>49</v>
      </c>
      <c r="AJ1401" s="4">
        <v>12</v>
      </c>
      <c r="AK1401" s="4">
        <v>12</v>
      </c>
      <c r="AL1401" s="4">
        <v>26</v>
      </c>
      <c r="AM1401" s="4">
        <v>26</v>
      </c>
      <c r="AN1401" s="4">
        <v>0</v>
      </c>
      <c r="AO1401" s="4">
        <v>0</v>
      </c>
      <c r="AP1401" s="4">
        <v>15</v>
      </c>
      <c r="AQ1401" s="4">
        <v>16</v>
      </c>
      <c r="AR1401" s="3" t="s">
        <v>62</v>
      </c>
      <c r="AS1401" s="3" t="s">
        <v>62</v>
      </c>
      <c r="AT1401" s="3" t="s">
        <v>62</v>
      </c>
      <c r="AV1401" s="6" t="str">
        <f>HYPERLINK("http://mcgill.on.worldcat.org/oclc/640916511","Catalog Record")</f>
        <v>Catalog Record</v>
      </c>
      <c r="AW1401" s="6" t="str">
        <f>HYPERLINK("http://www.worldcat.org/oclc/640916511","WorldCat Record")</f>
        <v>WorldCat Record</v>
      </c>
      <c r="AX1401" s="3" t="s">
        <v>13638</v>
      </c>
      <c r="AY1401" s="3" t="s">
        <v>13639</v>
      </c>
      <c r="AZ1401" s="3" t="s">
        <v>13640</v>
      </c>
      <c r="BA1401" s="3" t="s">
        <v>13640</v>
      </c>
      <c r="BB1401" s="3" t="s">
        <v>13641</v>
      </c>
      <c r="BC1401" s="3" t="s">
        <v>142</v>
      </c>
      <c r="BD1401" s="3" t="s">
        <v>68</v>
      </c>
      <c r="BE1401" s="3" t="s">
        <v>13642</v>
      </c>
      <c r="BF1401" s="3" t="s">
        <v>13641</v>
      </c>
      <c r="BG1401" s="3" t="s">
        <v>13643</v>
      </c>
    </row>
    <row r="1402" spans="1:59" ht="57" x14ac:dyDescent="0.45">
      <c r="A1402" s="2" t="s">
        <v>59</v>
      </c>
      <c r="B1402" s="2" t="s">
        <v>60</v>
      </c>
      <c r="C1402" s="2" t="s">
        <v>13644</v>
      </c>
      <c r="D1402" s="2" t="s">
        <v>13645</v>
      </c>
      <c r="E1402" s="2" t="s">
        <v>13646</v>
      </c>
      <c r="G1402" s="3" t="s">
        <v>62</v>
      </c>
      <c r="I1402" s="3" t="s">
        <v>62</v>
      </c>
      <c r="J1402" s="3" t="s">
        <v>62</v>
      </c>
      <c r="K1402" s="3" t="s">
        <v>63</v>
      </c>
      <c r="M1402" s="2" t="s">
        <v>2329</v>
      </c>
      <c r="N1402" s="3" t="s">
        <v>918</v>
      </c>
      <c r="P1402" s="3" t="s">
        <v>65</v>
      </c>
      <c r="Q1402" s="2" t="s">
        <v>13647</v>
      </c>
      <c r="R1402" s="3" t="s">
        <v>66</v>
      </c>
      <c r="S1402" s="4">
        <v>27</v>
      </c>
      <c r="T1402" s="4">
        <v>27</v>
      </c>
      <c r="U1402" s="5" t="s">
        <v>12354</v>
      </c>
      <c r="V1402" s="5" t="s">
        <v>12354</v>
      </c>
      <c r="W1402" s="5" t="s">
        <v>67</v>
      </c>
      <c r="X1402" s="5" t="s">
        <v>67</v>
      </c>
      <c r="Y1402" s="4">
        <v>502</v>
      </c>
      <c r="Z1402" s="4">
        <v>38</v>
      </c>
      <c r="AA1402" s="4">
        <v>104</v>
      </c>
      <c r="AB1402" s="4">
        <v>1</v>
      </c>
      <c r="AC1402" s="4">
        <v>16</v>
      </c>
      <c r="AD1402" s="4">
        <v>125</v>
      </c>
      <c r="AE1402" s="4">
        <v>153</v>
      </c>
      <c r="AF1402" s="4">
        <v>1</v>
      </c>
      <c r="AG1402" s="4">
        <v>9</v>
      </c>
      <c r="AH1402" s="4">
        <v>107</v>
      </c>
      <c r="AI1402" s="4">
        <v>112</v>
      </c>
      <c r="AJ1402" s="4">
        <v>18</v>
      </c>
      <c r="AK1402" s="4">
        <v>27</v>
      </c>
      <c r="AL1402" s="4">
        <v>57</v>
      </c>
      <c r="AM1402" s="4">
        <v>59</v>
      </c>
      <c r="AN1402" s="4">
        <v>0</v>
      </c>
      <c r="AO1402" s="4">
        <v>0</v>
      </c>
      <c r="AP1402" s="4">
        <v>27</v>
      </c>
      <c r="AQ1402" s="4">
        <v>51</v>
      </c>
      <c r="AR1402" s="3" t="s">
        <v>62</v>
      </c>
      <c r="AS1402" s="3" t="s">
        <v>62</v>
      </c>
      <c r="AT1402" s="3" t="s">
        <v>61</v>
      </c>
      <c r="AU1402" s="6" t="str">
        <f>HYPERLINK("http://catalog.hathitrust.org/Record/004318284","HathiTrust Record")</f>
        <v>HathiTrust Record</v>
      </c>
      <c r="AV1402" s="6" t="str">
        <f>HYPERLINK("http://mcgill.on.worldcat.org/oclc/50252046","Catalog Record")</f>
        <v>Catalog Record</v>
      </c>
      <c r="AW1402" s="6" t="str">
        <f>HYPERLINK("http://www.worldcat.org/oclc/50252046","WorldCat Record")</f>
        <v>WorldCat Record</v>
      </c>
      <c r="AX1402" s="3" t="s">
        <v>13648</v>
      </c>
      <c r="AY1402" s="3" t="s">
        <v>13649</v>
      </c>
      <c r="AZ1402" s="3" t="s">
        <v>13650</v>
      </c>
      <c r="BA1402" s="3" t="s">
        <v>13650</v>
      </c>
      <c r="BB1402" s="3" t="s">
        <v>13651</v>
      </c>
      <c r="BC1402" s="3" t="s">
        <v>142</v>
      </c>
      <c r="BD1402" s="3" t="s">
        <v>308</v>
      </c>
      <c r="BE1402" s="3" t="s">
        <v>13652</v>
      </c>
      <c r="BF1402" s="3" t="s">
        <v>13651</v>
      </c>
      <c r="BG1402" s="3" t="s">
        <v>13653</v>
      </c>
    </row>
    <row r="1403" spans="1:59" ht="57" x14ac:dyDescent="0.45">
      <c r="A1403" s="2" t="s">
        <v>59</v>
      </c>
      <c r="B1403" s="2" t="s">
        <v>60</v>
      </c>
      <c r="C1403" s="2" t="s">
        <v>13654</v>
      </c>
      <c r="D1403" s="2" t="s">
        <v>13655</v>
      </c>
      <c r="E1403" s="2" t="s">
        <v>13656</v>
      </c>
      <c r="G1403" s="3" t="s">
        <v>62</v>
      </c>
      <c r="I1403" s="3" t="s">
        <v>62</v>
      </c>
      <c r="J1403" s="3" t="s">
        <v>62</v>
      </c>
      <c r="K1403" s="3" t="s">
        <v>63</v>
      </c>
      <c r="M1403" s="2" t="s">
        <v>13657</v>
      </c>
      <c r="N1403" s="3" t="s">
        <v>1059</v>
      </c>
      <c r="P1403" s="3" t="s">
        <v>65</v>
      </c>
      <c r="R1403" s="3" t="s">
        <v>66</v>
      </c>
      <c r="S1403" s="4">
        <v>39</v>
      </c>
      <c r="T1403" s="4">
        <v>39</v>
      </c>
      <c r="U1403" s="5" t="s">
        <v>13658</v>
      </c>
      <c r="V1403" s="5" t="s">
        <v>13658</v>
      </c>
      <c r="W1403" s="5" t="s">
        <v>67</v>
      </c>
      <c r="X1403" s="5" t="s">
        <v>67</v>
      </c>
      <c r="Y1403" s="4">
        <v>453</v>
      </c>
      <c r="Z1403" s="4">
        <v>33</v>
      </c>
      <c r="AA1403" s="4">
        <v>41</v>
      </c>
      <c r="AB1403" s="4">
        <v>2</v>
      </c>
      <c r="AC1403" s="4">
        <v>9</v>
      </c>
      <c r="AD1403" s="4">
        <v>98</v>
      </c>
      <c r="AE1403" s="4">
        <v>112</v>
      </c>
      <c r="AF1403" s="4">
        <v>1</v>
      </c>
      <c r="AG1403" s="4">
        <v>4</v>
      </c>
      <c r="AH1403" s="4">
        <v>85</v>
      </c>
      <c r="AI1403" s="4">
        <v>97</v>
      </c>
      <c r="AJ1403" s="4">
        <v>15</v>
      </c>
      <c r="AK1403" s="4">
        <v>19</v>
      </c>
      <c r="AL1403" s="4">
        <v>48</v>
      </c>
      <c r="AM1403" s="4">
        <v>55</v>
      </c>
      <c r="AN1403" s="4">
        <v>0</v>
      </c>
      <c r="AO1403" s="4">
        <v>0</v>
      </c>
      <c r="AP1403" s="4">
        <v>18</v>
      </c>
      <c r="AQ1403" s="4">
        <v>21</v>
      </c>
      <c r="AR1403" s="3" t="s">
        <v>62</v>
      </c>
      <c r="AS1403" s="3" t="s">
        <v>62</v>
      </c>
      <c r="AT1403" s="3" t="s">
        <v>62</v>
      </c>
      <c r="AV1403" s="6" t="str">
        <f>HYPERLINK("http://mcgill.on.worldcat.org/oclc/60492092","Catalog Record")</f>
        <v>Catalog Record</v>
      </c>
      <c r="AW1403" s="6" t="str">
        <f>HYPERLINK("http://www.worldcat.org/oclc/60492092","WorldCat Record")</f>
        <v>WorldCat Record</v>
      </c>
      <c r="AX1403" s="3" t="s">
        <v>13659</v>
      </c>
      <c r="AY1403" s="3" t="s">
        <v>13660</v>
      </c>
      <c r="AZ1403" s="3" t="s">
        <v>13661</v>
      </c>
      <c r="BA1403" s="3" t="s">
        <v>13661</v>
      </c>
      <c r="BB1403" s="3" t="s">
        <v>13662</v>
      </c>
      <c r="BC1403" s="3" t="s">
        <v>142</v>
      </c>
      <c r="BD1403" s="3" t="s">
        <v>308</v>
      </c>
      <c r="BE1403" s="3" t="s">
        <v>13663</v>
      </c>
      <c r="BF1403" s="3" t="s">
        <v>13662</v>
      </c>
      <c r="BG1403" s="3" t="s">
        <v>13664</v>
      </c>
    </row>
    <row r="1404" spans="1:59" ht="57" x14ac:dyDescent="0.45">
      <c r="A1404" s="2" t="s">
        <v>59</v>
      </c>
      <c r="B1404" s="2" t="s">
        <v>60</v>
      </c>
      <c r="C1404" s="2" t="s">
        <v>13665</v>
      </c>
      <c r="D1404" s="2" t="s">
        <v>13666</v>
      </c>
      <c r="E1404" s="2" t="s">
        <v>13667</v>
      </c>
      <c r="G1404" s="3" t="s">
        <v>62</v>
      </c>
      <c r="I1404" s="3" t="s">
        <v>62</v>
      </c>
      <c r="J1404" s="3" t="s">
        <v>62</v>
      </c>
      <c r="K1404" s="3" t="s">
        <v>63</v>
      </c>
      <c r="L1404" s="2" t="s">
        <v>1550</v>
      </c>
      <c r="M1404" s="2" t="s">
        <v>13668</v>
      </c>
      <c r="N1404" s="3" t="s">
        <v>970</v>
      </c>
      <c r="P1404" s="3" t="s">
        <v>65</v>
      </c>
      <c r="Q1404" s="2" t="s">
        <v>13669</v>
      </c>
      <c r="R1404" s="3" t="s">
        <v>66</v>
      </c>
      <c r="S1404" s="4">
        <v>14</v>
      </c>
      <c r="T1404" s="4">
        <v>14</v>
      </c>
      <c r="U1404" s="5" t="s">
        <v>10032</v>
      </c>
      <c r="V1404" s="5" t="s">
        <v>10032</v>
      </c>
      <c r="W1404" s="5" t="s">
        <v>67</v>
      </c>
      <c r="X1404" s="5" t="s">
        <v>67</v>
      </c>
      <c r="Y1404" s="4">
        <v>207</v>
      </c>
      <c r="Z1404" s="4">
        <v>12</v>
      </c>
      <c r="AA1404" s="4">
        <v>12</v>
      </c>
      <c r="AB1404" s="4">
        <v>1</v>
      </c>
      <c r="AC1404" s="4">
        <v>1</v>
      </c>
      <c r="AD1404" s="4">
        <v>74</v>
      </c>
      <c r="AE1404" s="4">
        <v>74</v>
      </c>
      <c r="AF1404" s="4">
        <v>0</v>
      </c>
      <c r="AG1404" s="4">
        <v>0</v>
      </c>
      <c r="AH1404" s="4">
        <v>67</v>
      </c>
      <c r="AI1404" s="4">
        <v>67</v>
      </c>
      <c r="AJ1404" s="4">
        <v>8</v>
      </c>
      <c r="AK1404" s="4">
        <v>8</v>
      </c>
      <c r="AL1404" s="4">
        <v>39</v>
      </c>
      <c r="AM1404" s="4">
        <v>39</v>
      </c>
      <c r="AN1404" s="4">
        <v>0</v>
      </c>
      <c r="AO1404" s="4">
        <v>0</v>
      </c>
      <c r="AP1404" s="4">
        <v>10</v>
      </c>
      <c r="AQ1404" s="4">
        <v>10</v>
      </c>
      <c r="AR1404" s="3" t="s">
        <v>62</v>
      </c>
      <c r="AS1404" s="3" t="s">
        <v>62</v>
      </c>
      <c r="AT1404" s="3" t="s">
        <v>61</v>
      </c>
      <c r="AU1404" s="6" t="str">
        <f>HYPERLINK("http://catalog.hathitrust.org/Record/004282189","HathiTrust Record")</f>
        <v>HathiTrust Record</v>
      </c>
      <c r="AV1404" s="6" t="str">
        <f>HYPERLINK("http://mcgill.on.worldcat.org/oclc/48655910","Catalog Record")</f>
        <v>Catalog Record</v>
      </c>
      <c r="AW1404" s="6" t="str">
        <f>HYPERLINK("http://www.worldcat.org/oclc/48655910","WorldCat Record")</f>
        <v>WorldCat Record</v>
      </c>
      <c r="AX1404" s="3" t="s">
        <v>13670</v>
      </c>
      <c r="AY1404" s="3" t="s">
        <v>13671</v>
      </c>
      <c r="AZ1404" s="3" t="s">
        <v>13672</v>
      </c>
      <c r="BA1404" s="3" t="s">
        <v>13672</v>
      </c>
      <c r="BB1404" s="3" t="s">
        <v>13673</v>
      </c>
      <c r="BC1404" s="3" t="s">
        <v>142</v>
      </c>
      <c r="BD1404" s="3" t="s">
        <v>308</v>
      </c>
      <c r="BE1404" s="3" t="s">
        <v>13674</v>
      </c>
      <c r="BF1404" s="3" t="s">
        <v>13673</v>
      </c>
      <c r="BG1404" s="3" t="s">
        <v>13675</v>
      </c>
    </row>
    <row r="1405" spans="1:59" ht="57" x14ac:dyDescent="0.45">
      <c r="A1405" s="2" t="s">
        <v>59</v>
      </c>
      <c r="B1405" s="2" t="s">
        <v>60</v>
      </c>
      <c r="C1405" s="2" t="s">
        <v>13676</v>
      </c>
      <c r="D1405" s="2" t="s">
        <v>13677</v>
      </c>
      <c r="E1405" s="2" t="s">
        <v>13678</v>
      </c>
      <c r="G1405" s="3" t="s">
        <v>62</v>
      </c>
      <c r="I1405" s="3" t="s">
        <v>62</v>
      </c>
      <c r="J1405" s="3" t="s">
        <v>62</v>
      </c>
      <c r="K1405" s="3" t="s">
        <v>63</v>
      </c>
      <c r="L1405" s="2" t="s">
        <v>13679</v>
      </c>
      <c r="M1405" s="2" t="s">
        <v>2022</v>
      </c>
      <c r="N1405" s="3" t="s">
        <v>149</v>
      </c>
      <c r="P1405" s="3" t="s">
        <v>65</v>
      </c>
      <c r="R1405" s="3" t="s">
        <v>66</v>
      </c>
      <c r="S1405" s="4">
        <v>12</v>
      </c>
      <c r="T1405" s="4">
        <v>12</v>
      </c>
      <c r="U1405" s="5" t="s">
        <v>13680</v>
      </c>
      <c r="V1405" s="5" t="s">
        <v>13680</v>
      </c>
      <c r="W1405" s="5" t="s">
        <v>67</v>
      </c>
      <c r="X1405" s="5" t="s">
        <v>67</v>
      </c>
      <c r="Y1405" s="4">
        <v>170</v>
      </c>
      <c r="Z1405" s="4">
        <v>20</v>
      </c>
      <c r="AA1405" s="4">
        <v>82</v>
      </c>
      <c r="AB1405" s="4">
        <v>4</v>
      </c>
      <c r="AC1405" s="4">
        <v>11</v>
      </c>
      <c r="AD1405" s="4">
        <v>31</v>
      </c>
      <c r="AE1405" s="4">
        <v>83</v>
      </c>
      <c r="AF1405" s="4">
        <v>1</v>
      </c>
      <c r="AG1405" s="4">
        <v>5</v>
      </c>
      <c r="AH1405" s="4">
        <v>26</v>
      </c>
      <c r="AI1405" s="4">
        <v>60</v>
      </c>
      <c r="AJ1405" s="4">
        <v>8</v>
      </c>
      <c r="AK1405" s="4">
        <v>17</v>
      </c>
      <c r="AL1405" s="4">
        <v>12</v>
      </c>
      <c r="AM1405" s="4">
        <v>30</v>
      </c>
      <c r="AN1405" s="4">
        <v>0</v>
      </c>
      <c r="AO1405" s="4">
        <v>0</v>
      </c>
      <c r="AP1405" s="4">
        <v>11</v>
      </c>
      <c r="AQ1405" s="4">
        <v>30</v>
      </c>
      <c r="AR1405" s="3" t="s">
        <v>62</v>
      </c>
      <c r="AS1405" s="3" t="s">
        <v>62</v>
      </c>
      <c r="AT1405" s="3" t="s">
        <v>61</v>
      </c>
      <c r="AU1405" s="6" t="str">
        <f>HYPERLINK("http://catalog.hathitrust.org/Record/010621125","HathiTrust Record")</f>
        <v>HathiTrust Record</v>
      </c>
      <c r="AV1405" s="6" t="str">
        <f>HYPERLINK("http://mcgill.on.worldcat.org/oclc/373560443","Catalog Record")</f>
        <v>Catalog Record</v>
      </c>
      <c r="AW1405" s="6" t="str">
        <f>HYPERLINK("http://www.worldcat.org/oclc/373560443","WorldCat Record")</f>
        <v>WorldCat Record</v>
      </c>
      <c r="AX1405" s="3" t="s">
        <v>13681</v>
      </c>
      <c r="AY1405" s="3" t="s">
        <v>13682</v>
      </c>
      <c r="AZ1405" s="3" t="s">
        <v>13683</v>
      </c>
      <c r="BA1405" s="3" t="s">
        <v>13683</v>
      </c>
      <c r="BB1405" s="3" t="s">
        <v>13684</v>
      </c>
      <c r="BC1405" s="3" t="s">
        <v>142</v>
      </c>
      <c r="BD1405" s="3" t="s">
        <v>68</v>
      </c>
      <c r="BE1405" s="3" t="s">
        <v>13685</v>
      </c>
      <c r="BF1405" s="3" t="s">
        <v>13684</v>
      </c>
      <c r="BG1405" s="3" t="s">
        <v>13686</v>
      </c>
    </row>
    <row r="1406" spans="1:59" ht="57" x14ac:dyDescent="0.45">
      <c r="A1406" s="2" t="s">
        <v>59</v>
      </c>
      <c r="B1406" s="2" t="s">
        <v>60</v>
      </c>
      <c r="C1406" s="2" t="s">
        <v>13687</v>
      </c>
      <c r="D1406" s="2" t="s">
        <v>13688</v>
      </c>
      <c r="E1406" s="2" t="s">
        <v>13689</v>
      </c>
      <c r="G1406" s="3" t="s">
        <v>62</v>
      </c>
      <c r="I1406" s="3" t="s">
        <v>62</v>
      </c>
      <c r="J1406" s="3" t="s">
        <v>62</v>
      </c>
      <c r="K1406" s="3" t="s">
        <v>63</v>
      </c>
      <c r="L1406" s="2" t="s">
        <v>13690</v>
      </c>
      <c r="M1406" s="2" t="s">
        <v>12856</v>
      </c>
      <c r="N1406" s="3" t="s">
        <v>1155</v>
      </c>
      <c r="P1406" s="3" t="s">
        <v>65</v>
      </c>
      <c r="R1406" s="3" t="s">
        <v>66</v>
      </c>
      <c r="S1406" s="4">
        <v>14</v>
      </c>
      <c r="T1406" s="4">
        <v>14</v>
      </c>
      <c r="U1406" s="5" t="s">
        <v>13691</v>
      </c>
      <c r="V1406" s="5" t="s">
        <v>13691</v>
      </c>
      <c r="W1406" s="5" t="s">
        <v>67</v>
      </c>
      <c r="X1406" s="5" t="s">
        <v>67</v>
      </c>
      <c r="Y1406" s="4">
        <v>304</v>
      </c>
      <c r="Z1406" s="4">
        <v>30</v>
      </c>
      <c r="AA1406" s="4">
        <v>37</v>
      </c>
      <c r="AB1406" s="4">
        <v>3</v>
      </c>
      <c r="AC1406" s="4">
        <v>9</v>
      </c>
      <c r="AD1406" s="4">
        <v>93</v>
      </c>
      <c r="AE1406" s="4">
        <v>97</v>
      </c>
      <c r="AF1406" s="4">
        <v>1</v>
      </c>
      <c r="AG1406" s="4">
        <v>4</v>
      </c>
      <c r="AH1406" s="4">
        <v>82</v>
      </c>
      <c r="AI1406" s="4">
        <v>83</v>
      </c>
      <c r="AJ1406" s="4">
        <v>16</v>
      </c>
      <c r="AK1406" s="4">
        <v>19</v>
      </c>
      <c r="AL1406" s="4">
        <v>45</v>
      </c>
      <c r="AM1406" s="4">
        <v>45</v>
      </c>
      <c r="AN1406" s="4">
        <v>0</v>
      </c>
      <c r="AO1406" s="4">
        <v>0</v>
      </c>
      <c r="AP1406" s="4">
        <v>21</v>
      </c>
      <c r="AQ1406" s="4">
        <v>24</v>
      </c>
      <c r="AR1406" s="3" t="s">
        <v>62</v>
      </c>
      <c r="AS1406" s="3" t="s">
        <v>62</v>
      </c>
      <c r="AT1406" s="3" t="s">
        <v>62</v>
      </c>
      <c r="AV1406" s="6" t="str">
        <f>HYPERLINK("http://mcgill.on.worldcat.org/oclc/769419861","Catalog Record")</f>
        <v>Catalog Record</v>
      </c>
      <c r="AW1406" s="6" t="str">
        <f>HYPERLINK("http://www.worldcat.org/oclc/769419861","WorldCat Record")</f>
        <v>WorldCat Record</v>
      </c>
      <c r="AX1406" s="3" t="s">
        <v>13692</v>
      </c>
      <c r="AY1406" s="3" t="s">
        <v>13693</v>
      </c>
      <c r="AZ1406" s="3" t="s">
        <v>13694</v>
      </c>
      <c r="BA1406" s="3" t="s">
        <v>13694</v>
      </c>
      <c r="BB1406" s="3" t="s">
        <v>13695</v>
      </c>
      <c r="BC1406" s="3" t="s">
        <v>142</v>
      </c>
      <c r="BD1406" s="3" t="s">
        <v>308</v>
      </c>
      <c r="BE1406" s="3" t="s">
        <v>13696</v>
      </c>
      <c r="BF1406" s="3" t="s">
        <v>13695</v>
      </c>
      <c r="BG1406" s="3" t="s">
        <v>13697</v>
      </c>
    </row>
    <row r="1407" spans="1:59" ht="57" x14ac:dyDescent="0.45">
      <c r="A1407" s="2" t="s">
        <v>59</v>
      </c>
      <c r="B1407" s="2" t="s">
        <v>60</v>
      </c>
      <c r="C1407" s="2" t="s">
        <v>13698</v>
      </c>
      <c r="D1407" s="2" t="s">
        <v>13699</v>
      </c>
      <c r="E1407" s="2" t="s">
        <v>13700</v>
      </c>
      <c r="G1407" s="3" t="s">
        <v>62</v>
      </c>
      <c r="I1407" s="3" t="s">
        <v>62</v>
      </c>
      <c r="J1407" s="3" t="s">
        <v>62</v>
      </c>
      <c r="K1407" s="3" t="s">
        <v>63</v>
      </c>
      <c r="L1407" s="2" t="s">
        <v>13701</v>
      </c>
      <c r="M1407" s="2" t="s">
        <v>13702</v>
      </c>
      <c r="N1407" s="3" t="s">
        <v>894</v>
      </c>
      <c r="P1407" s="3" t="s">
        <v>65</v>
      </c>
      <c r="R1407" s="3" t="s">
        <v>66</v>
      </c>
      <c r="S1407" s="4">
        <v>1</v>
      </c>
      <c r="T1407" s="4">
        <v>1</v>
      </c>
      <c r="U1407" s="5" t="s">
        <v>13703</v>
      </c>
      <c r="V1407" s="5" t="s">
        <v>13703</v>
      </c>
      <c r="W1407" s="5" t="s">
        <v>67</v>
      </c>
      <c r="X1407" s="5" t="s">
        <v>67</v>
      </c>
      <c r="Y1407" s="4">
        <v>284</v>
      </c>
      <c r="Z1407" s="4">
        <v>19</v>
      </c>
      <c r="AA1407" s="4">
        <v>54</v>
      </c>
      <c r="AB1407" s="4">
        <v>1</v>
      </c>
      <c r="AC1407" s="4">
        <v>9</v>
      </c>
      <c r="AD1407" s="4">
        <v>65</v>
      </c>
      <c r="AE1407" s="4">
        <v>80</v>
      </c>
      <c r="AF1407" s="4">
        <v>0</v>
      </c>
      <c r="AG1407" s="4">
        <v>3</v>
      </c>
      <c r="AH1407" s="4">
        <v>55</v>
      </c>
      <c r="AI1407" s="4">
        <v>64</v>
      </c>
      <c r="AJ1407" s="4">
        <v>9</v>
      </c>
      <c r="AK1407" s="4">
        <v>10</v>
      </c>
      <c r="AL1407" s="4">
        <v>35</v>
      </c>
      <c r="AM1407" s="4">
        <v>37</v>
      </c>
      <c r="AN1407" s="4">
        <v>0</v>
      </c>
      <c r="AO1407" s="4">
        <v>0</v>
      </c>
      <c r="AP1407" s="4">
        <v>13</v>
      </c>
      <c r="AQ1407" s="4">
        <v>20</v>
      </c>
      <c r="AR1407" s="3" t="s">
        <v>62</v>
      </c>
      <c r="AS1407" s="3" t="s">
        <v>62</v>
      </c>
      <c r="AT1407" s="3" t="s">
        <v>62</v>
      </c>
      <c r="AV1407" s="6" t="str">
        <f>HYPERLINK("http://mcgill.on.worldcat.org/oclc/712118526","Catalog Record")</f>
        <v>Catalog Record</v>
      </c>
      <c r="AW1407" s="6" t="str">
        <f>HYPERLINK("http://www.worldcat.org/oclc/712118526","WorldCat Record")</f>
        <v>WorldCat Record</v>
      </c>
      <c r="AX1407" s="3" t="s">
        <v>13704</v>
      </c>
      <c r="AY1407" s="3" t="s">
        <v>13705</v>
      </c>
      <c r="AZ1407" s="3" t="s">
        <v>13706</v>
      </c>
      <c r="BA1407" s="3" t="s">
        <v>13706</v>
      </c>
      <c r="BB1407" s="3" t="s">
        <v>13707</v>
      </c>
      <c r="BC1407" s="3" t="s">
        <v>142</v>
      </c>
      <c r="BD1407" s="3" t="s">
        <v>68</v>
      </c>
      <c r="BE1407" s="3" t="s">
        <v>13708</v>
      </c>
      <c r="BF1407" s="3" t="s">
        <v>13707</v>
      </c>
      <c r="BG1407" s="3" t="s">
        <v>13709</v>
      </c>
    </row>
    <row r="1408" spans="1:59" ht="57" x14ac:dyDescent="0.45">
      <c r="A1408" s="2" t="s">
        <v>59</v>
      </c>
      <c r="B1408" s="2" t="s">
        <v>60</v>
      </c>
      <c r="C1408" s="2" t="s">
        <v>13710</v>
      </c>
      <c r="D1408" s="2" t="s">
        <v>13711</v>
      </c>
      <c r="E1408" s="2" t="s">
        <v>13712</v>
      </c>
      <c r="G1408" s="3" t="s">
        <v>62</v>
      </c>
      <c r="I1408" s="3" t="s">
        <v>62</v>
      </c>
      <c r="J1408" s="3" t="s">
        <v>62</v>
      </c>
      <c r="K1408" s="3" t="s">
        <v>63</v>
      </c>
      <c r="L1408" s="2" t="s">
        <v>13713</v>
      </c>
      <c r="M1408" s="2" t="s">
        <v>13714</v>
      </c>
      <c r="N1408" s="3" t="s">
        <v>894</v>
      </c>
      <c r="O1408" s="2" t="s">
        <v>933</v>
      </c>
      <c r="P1408" s="3" t="s">
        <v>65</v>
      </c>
      <c r="R1408" s="3" t="s">
        <v>66</v>
      </c>
      <c r="S1408" s="4">
        <v>3</v>
      </c>
      <c r="T1408" s="4">
        <v>3</v>
      </c>
      <c r="U1408" s="5" t="s">
        <v>13715</v>
      </c>
      <c r="V1408" s="5" t="s">
        <v>13715</v>
      </c>
      <c r="W1408" s="5" t="s">
        <v>67</v>
      </c>
      <c r="X1408" s="5" t="s">
        <v>67</v>
      </c>
      <c r="Y1408" s="4">
        <v>127</v>
      </c>
      <c r="Z1408" s="4">
        <v>17</v>
      </c>
      <c r="AA1408" s="4">
        <v>35</v>
      </c>
      <c r="AB1408" s="4">
        <v>1</v>
      </c>
      <c r="AC1408" s="4">
        <v>8</v>
      </c>
      <c r="AD1408" s="4">
        <v>28</v>
      </c>
      <c r="AE1408" s="4">
        <v>63</v>
      </c>
      <c r="AF1408" s="4">
        <v>0</v>
      </c>
      <c r="AG1408" s="4">
        <v>5</v>
      </c>
      <c r="AH1408" s="4">
        <v>24</v>
      </c>
      <c r="AI1408" s="4">
        <v>50</v>
      </c>
      <c r="AJ1408" s="4">
        <v>3</v>
      </c>
      <c r="AK1408" s="4">
        <v>11</v>
      </c>
      <c r="AL1408" s="4">
        <v>12</v>
      </c>
      <c r="AM1408" s="4">
        <v>21</v>
      </c>
      <c r="AN1408" s="4">
        <v>0</v>
      </c>
      <c r="AO1408" s="4">
        <v>0</v>
      </c>
      <c r="AP1408" s="4">
        <v>7</v>
      </c>
      <c r="AQ1408" s="4">
        <v>18</v>
      </c>
      <c r="AR1408" s="3" t="s">
        <v>62</v>
      </c>
      <c r="AS1408" s="3" t="s">
        <v>62</v>
      </c>
      <c r="AT1408" s="3" t="s">
        <v>62</v>
      </c>
      <c r="AV1408" s="6" t="str">
        <f>HYPERLINK("http://mcgill.on.worldcat.org/oclc/424333845","Catalog Record")</f>
        <v>Catalog Record</v>
      </c>
      <c r="AW1408" s="6" t="str">
        <f>HYPERLINK("http://www.worldcat.org/oclc/424333845","WorldCat Record")</f>
        <v>WorldCat Record</v>
      </c>
      <c r="AX1408" s="3" t="s">
        <v>13716</v>
      </c>
      <c r="AY1408" s="3" t="s">
        <v>13717</v>
      </c>
      <c r="AZ1408" s="3" t="s">
        <v>13718</v>
      </c>
      <c r="BA1408" s="3" t="s">
        <v>13718</v>
      </c>
      <c r="BB1408" s="3" t="s">
        <v>13719</v>
      </c>
      <c r="BC1408" s="3" t="s">
        <v>142</v>
      </c>
      <c r="BD1408" s="3" t="s">
        <v>68</v>
      </c>
      <c r="BE1408" s="3" t="s">
        <v>13720</v>
      </c>
      <c r="BF1408" s="3" t="s">
        <v>13719</v>
      </c>
      <c r="BG1408" s="3" t="s">
        <v>13721</v>
      </c>
    </row>
    <row r="1409" spans="1:59" ht="57" x14ac:dyDescent="0.45">
      <c r="A1409" s="2" t="s">
        <v>59</v>
      </c>
      <c r="B1409" s="2" t="s">
        <v>60</v>
      </c>
      <c r="C1409" s="2" t="s">
        <v>13722</v>
      </c>
      <c r="D1409" s="2" t="s">
        <v>13723</v>
      </c>
      <c r="E1409" s="2" t="s">
        <v>13724</v>
      </c>
      <c r="G1409" s="3" t="s">
        <v>62</v>
      </c>
      <c r="I1409" s="3" t="s">
        <v>62</v>
      </c>
      <c r="J1409" s="3" t="s">
        <v>62</v>
      </c>
      <c r="K1409" s="3" t="s">
        <v>63</v>
      </c>
      <c r="M1409" s="2" t="s">
        <v>13725</v>
      </c>
      <c r="N1409" s="3" t="s">
        <v>945</v>
      </c>
      <c r="P1409" s="3" t="s">
        <v>65</v>
      </c>
      <c r="Q1409" s="2" t="s">
        <v>13726</v>
      </c>
      <c r="R1409" s="3" t="s">
        <v>66</v>
      </c>
      <c r="S1409" s="4">
        <v>6</v>
      </c>
      <c r="T1409" s="4">
        <v>6</v>
      </c>
      <c r="U1409" s="5" t="s">
        <v>12942</v>
      </c>
      <c r="V1409" s="5" t="s">
        <v>12942</v>
      </c>
      <c r="W1409" s="5" t="s">
        <v>67</v>
      </c>
      <c r="X1409" s="5" t="s">
        <v>67</v>
      </c>
      <c r="Y1409" s="4">
        <v>383</v>
      </c>
      <c r="Z1409" s="4">
        <v>30</v>
      </c>
      <c r="AA1409" s="4">
        <v>33</v>
      </c>
      <c r="AB1409" s="4">
        <v>2</v>
      </c>
      <c r="AC1409" s="4">
        <v>5</v>
      </c>
      <c r="AD1409" s="4">
        <v>103</v>
      </c>
      <c r="AE1409" s="4">
        <v>106</v>
      </c>
      <c r="AF1409" s="4">
        <v>1</v>
      </c>
      <c r="AG1409" s="4">
        <v>4</v>
      </c>
      <c r="AH1409" s="4">
        <v>91</v>
      </c>
      <c r="AI1409" s="4">
        <v>92</v>
      </c>
      <c r="AJ1409" s="4">
        <v>16</v>
      </c>
      <c r="AK1409" s="4">
        <v>19</v>
      </c>
      <c r="AL1409" s="4">
        <v>45</v>
      </c>
      <c r="AM1409" s="4">
        <v>45</v>
      </c>
      <c r="AN1409" s="4">
        <v>0</v>
      </c>
      <c r="AO1409" s="4">
        <v>0</v>
      </c>
      <c r="AP1409" s="4">
        <v>22</v>
      </c>
      <c r="AQ1409" s="4">
        <v>24</v>
      </c>
      <c r="AR1409" s="3" t="s">
        <v>62</v>
      </c>
      <c r="AS1409" s="3" t="s">
        <v>62</v>
      </c>
      <c r="AT1409" s="3" t="s">
        <v>61</v>
      </c>
      <c r="AU1409" s="6" t="str">
        <f>HYPERLINK("http://catalog.hathitrust.org/Record/005546329","HathiTrust Record")</f>
        <v>HathiTrust Record</v>
      </c>
      <c r="AV1409" s="6" t="str">
        <f>HYPERLINK("http://mcgill.on.worldcat.org/oclc/71004158","Catalog Record")</f>
        <v>Catalog Record</v>
      </c>
      <c r="AW1409" s="6" t="str">
        <f>HYPERLINK("http://www.worldcat.org/oclc/71004158","WorldCat Record")</f>
        <v>WorldCat Record</v>
      </c>
      <c r="AX1409" s="3" t="s">
        <v>13727</v>
      </c>
      <c r="AY1409" s="3" t="s">
        <v>13728</v>
      </c>
      <c r="AZ1409" s="3" t="s">
        <v>13729</v>
      </c>
      <c r="BA1409" s="3" t="s">
        <v>13729</v>
      </c>
      <c r="BB1409" s="3" t="s">
        <v>13730</v>
      </c>
      <c r="BC1409" s="3" t="s">
        <v>142</v>
      </c>
      <c r="BD1409" s="3" t="s">
        <v>68</v>
      </c>
      <c r="BE1409" s="3" t="s">
        <v>13731</v>
      </c>
      <c r="BF1409" s="3" t="s">
        <v>13730</v>
      </c>
      <c r="BG1409" s="3" t="s">
        <v>13732</v>
      </c>
    </row>
    <row r="1410" spans="1:59" ht="57" x14ac:dyDescent="0.45">
      <c r="A1410" s="2" t="s">
        <v>59</v>
      </c>
      <c r="B1410" s="2" t="s">
        <v>60</v>
      </c>
      <c r="C1410" s="2" t="s">
        <v>13733</v>
      </c>
      <c r="D1410" s="2" t="s">
        <v>13734</v>
      </c>
      <c r="E1410" s="2" t="s">
        <v>13735</v>
      </c>
      <c r="G1410" s="3" t="s">
        <v>62</v>
      </c>
      <c r="I1410" s="3" t="s">
        <v>61</v>
      </c>
      <c r="J1410" s="3" t="s">
        <v>62</v>
      </c>
      <c r="K1410" s="3" t="s">
        <v>63</v>
      </c>
      <c r="L1410" s="2" t="s">
        <v>13736</v>
      </c>
      <c r="M1410" s="2" t="s">
        <v>12576</v>
      </c>
      <c r="N1410" s="3" t="s">
        <v>167</v>
      </c>
      <c r="P1410" s="3" t="s">
        <v>65</v>
      </c>
      <c r="R1410" s="3" t="s">
        <v>66</v>
      </c>
      <c r="S1410" s="4">
        <v>15</v>
      </c>
      <c r="T1410" s="4">
        <v>130</v>
      </c>
      <c r="U1410" s="5" t="s">
        <v>4283</v>
      </c>
      <c r="V1410" s="5" t="s">
        <v>4283</v>
      </c>
      <c r="W1410" s="5" t="s">
        <v>67</v>
      </c>
      <c r="X1410" s="5" t="s">
        <v>67</v>
      </c>
      <c r="Y1410" s="4">
        <v>1019</v>
      </c>
      <c r="Z1410" s="4">
        <v>48</v>
      </c>
      <c r="AA1410" s="4">
        <v>55</v>
      </c>
      <c r="AB1410" s="4">
        <v>3</v>
      </c>
      <c r="AC1410" s="4">
        <v>7</v>
      </c>
      <c r="AD1410" s="4">
        <v>129</v>
      </c>
      <c r="AE1410" s="4">
        <v>139</v>
      </c>
      <c r="AF1410" s="4">
        <v>2</v>
      </c>
      <c r="AG1410" s="4">
        <v>5</v>
      </c>
      <c r="AH1410" s="4">
        <v>105</v>
      </c>
      <c r="AI1410" s="4">
        <v>110</v>
      </c>
      <c r="AJ1410" s="4">
        <v>21</v>
      </c>
      <c r="AK1410" s="4">
        <v>24</v>
      </c>
      <c r="AL1410" s="4">
        <v>50</v>
      </c>
      <c r="AM1410" s="4">
        <v>54</v>
      </c>
      <c r="AN1410" s="4">
        <v>0</v>
      </c>
      <c r="AO1410" s="4">
        <v>0</v>
      </c>
      <c r="AP1410" s="4">
        <v>34</v>
      </c>
      <c r="AQ1410" s="4">
        <v>40</v>
      </c>
      <c r="AR1410" s="3" t="s">
        <v>62</v>
      </c>
      <c r="AS1410" s="3" t="s">
        <v>62</v>
      </c>
      <c r="AT1410" s="3" t="s">
        <v>62</v>
      </c>
      <c r="AV1410" s="6" t="str">
        <f>HYPERLINK("http://mcgill.on.worldcat.org/oclc/40452957","Catalog Record")</f>
        <v>Catalog Record</v>
      </c>
      <c r="AW1410" s="6" t="str">
        <f>HYPERLINK("http://www.worldcat.org/oclc/40452957","WorldCat Record")</f>
        <v>WorldCat Record</v>
      </c>
      <c r="AX1410" s="3" t="s">
        <v>13737</v>
      </c>
      <c r="AY1410" s="3" t="s">
        <v>13738</v>
      </c>
      <c r="AZ1410" s="3" t="s">
        <v>13739</v>
      </c>
      <c r="BA1410" s="3" t="s">
        <v>13739</v>
      </c>
      <c r="BB1410" s="3" t="s">
        <v>13740</v>
      </c>
      <c r="BC1410" s="3" t="s">
        <v>142</v>
      </c>
      <c r="BD1410" s="3" t="s">
        <v>308</v>
      </c>
      <c r="BE1410" s="3" t="s">
        <v>13741</v>
      </c>
      <c r="BF1410" s="3" t="s">
        <v>13740</v>
      </c>
      <c r="BG1410" s="3" t="s">
        <v>13742</v>
      </c>
    </row>
    <row r="1411" spans="1:59" ht="57" x14ac:dyDescent="0.45">
      <c r="A1411" s="2" t="s">
        <v>59</v>
      </c>
      <c r="B1411" s="2" t="s">
        <v>60</v>
      </c>
      <c r="C1411" s="2" t="s">
        <v>13733</v>
      </c>
      <c r="D1411" s="2" t="s">
        <v>13734</v>
      </c>
      <c r="E1411" s="2" t="s">
        <v>13735</v>
      </c>
      <c r="G1411" s="3" t="s">
        <v>62</v>
      </c>
      <c r="I1411" s="3" t="s">
        <v>61</v>
      </c>
      <c r="J1411" s="3" t="s">
        <v>62</v>
      </c>
      <c r="K1411" s="3" t="s">
        <v>63</v>
      </c>
      <c r="L1411" s="2" t="s">
        <v>13736</v>
      </c>
      <c r="M1411" s="2" t="s">
        <v>12576</v>
      </c>
      <c r="N1411" s="3" t="s">
        <v>167</v>
      </c>
      <c r="P1411" s="3" t="s">
        <v>65</v>
      </c>
      <c r="R1411" s="3" t="s">
        <v>66</v>
      </c>
      <c r="S1411" s="4">
        <v>63</v>
      </c>
      <c r="T1411" s="4">
        <v>130</v>
      </c>
      <c r="U1411" s="5" t="s">
        <v>13743</v>
      </c>
      <c r="V1411" s="5" t="s">
        <v>4283</v>
      </c>
      <c r="W1411" s="5" t="s">
        <v>67</v>
      </c>
      <c r="X1411" s="5" t="s">
        <v>67</v>
      </c>
      <c r="Y1411" s="4">
        <v>1019</v>
      </c>
      <c r="Z1411" s="4">
        <v>48</v>
      </c>
      <c r="AA1411" s="4">
        <v>55</v>
      </c>
      <c r="AB1411" s="4">
        <v>3</v>
      </c>
      <c r="AC1411" s="4">
        <v>7</v>
      </c>
      <c r="AD1411" s="4">
        <v>129</v>
      </c>
      <c r="AE1411" s="4">
        <v>139</v>
      </c>
      <c r="AF1411" s="4">
        <v>2</v>
      </c>
      <c r="AG1411" s="4">
        <v>5</v>
      </c>
      <c r="AH1411" s="4">
        <v>105</v>
      </c>
      <c r="AI1411" s="4">
        <v>110</v>
      </c>
      <c r="AJ1411" s="4">
        <v>21</v>
      </c>
      <c r="AK1411" s="4">
        <v>24</v>
      </c>
      <c r="AL1411" s="4">
        <v>50</v>
      </c>
      <c r="AM1411" s="4">
        <v>54</v>
      </c>
      <c r="AN1411" s="4">
        <v>0</v>
      </c>
      <c r="AO1411" s="4">
        <v>0</v>
      </c>
      <c r="AP1411" s="4">
        <v>34</v>
      </c>
      <c r="AQ1411" s="4">
        <v>40</v>
      </c>
      <c r="AR1411" s="3" t="s">
        <v>62</v>
      </c>
      <c r="AS1411" s="3" t="s">
        <v>62</v>
      </c>
      <c r="AT1411" s="3" t="s">
        <v>62</v>
      </c>
      <c r="AV1411" s="6" t="str">
        <f>HYPERLINK("http://mcgill.on.worldcat.org/oclc/40452957","Catalog Record")</f>
        <v>Catalog Record</v>
      </c>
      <c r="AW1411" s="6" t="str">
        <f>HYPERLINK("http://www.worldcat.org/oclc/40452957","WorldCat Record")</f>
        <v>WorldCat Record</v>
      </c>
      <c r="AX1411" s="3" t="s">
        <v>13737</v>
      </c>
      <c r="AY1411" s="3" t="s">
        <v>13738</v>
      </c>
      <c r="AZ1411" s="3" t="s">
        <v>13739</v>
      </c>
      <c r="BA1411" s="3" t="s">
        <v>13739</v>
      </c>
      <c r="BB1411" s="3" t="s">
        <v>13744</v>
      </c>
      <c r="BC1411" s="3" t="s">
        <v>142</v>
      </c>
      <c r="BD1411" s="3" t="s">
        <v>308</v>
      </c>
      <c r="BE1411" s="3" t="s">
        <v>13741</v>
      </c>
      <c r="BF1411" s="3" t="s">
        <v>13744</v>
      </c>
      <c r="BG1411" s="3" t="s">
        <v>13745</v>
      </c>
    </row>
    <row r="1412" spans="1:59" ht="57" x14ac:dyDescent="0.45">
      <c r="A1412" s="2" t="s">
        <v>59</v>
      </c>
      <c r="B1412" s="2" t="s">
        <v>60</v>
      </c>
      <c r="C1412" s="2" t="s">
        <v>13733</v>
      </c>
      <c r="D1412" s="2" t="s">
        <v>13734</v>
      </c>
      <c r="E1412" s="2" t="s">
        <v>13735</v>
      </c>
      <c r="G1412" s="3" t="s">
        <v>62</v>
      </c>
      <c r="I1412" s="3" t="s">
        <v>61</v>
      </c>
      <c r="J1412" s="3" t="s">
        <v>62</v>
      </c>
      <c r="K1412" s="3" t="s">
        <v>63</v>
      </c>
      <c r="L1412" s="2" t="s">
        <v>13736</v>
      </c>
      <c r="M1412" s="2" t="s">
        <v>12576</v>
      </c>
      <c r="N1412" s="3" t="s">
        <v>167</v>
      </c>
      <c r="P1412" s="3" t="s">
        <v>65</v>
      </c>
      <c r="R1412" s="3" t="s">
        <v>66</v>
      </c>
      <c r="S1412" s="4">
        <v>6</v>
      </c>
      <c r="T1412" s="4">
        <v>130</v>
      </c>
      <c r="U1412" s="5" t="s">
        <v>13746</v>
      </c>
      <c r="V1412" s="5" t="s">
        <v>4283</v>
      </c>
      <c r="W1412" s="5" t="s">
        <v>67</v>
      </c>
      <c r="X1412" s="5" t="s">
        <v>67</v>
      </c>
      <c r="Y1412" s="4">
        <v>1019</v>
      </c>
      <c r="Z1412" s="4">
        <v>48</v>
      </c>
      <c r="AA1412" s="4">
        <v>55</v>
      </c>
      <c r="AB1412" s="4">
        <v>3</v>
      </c>
      <c r="AC1412" s="4">
        <v>7</v>
      </c>
      <c r="AD1412" s="4">
        <v>129</v>
      </c>
      <c r="AE1412" s="4">
        <v>139</v>
      </c>
      <c r="AF1412" s="4">
        <v>2</v>
      </c>
      <c r="AG1412" s="4">
        <v>5</v>
      </c>
      <c r="AH1412" s="4">
        <v>105</v>
      </c>
      <c r="AI1412" s="4">
        <v>110</v>
      </c>
      <c r="AJ1412" s="4">
        <v>21</v>
      </c>
      <c r="AK1412" s="4">
        <v>24</v>
      </c>
      <c r="AL1412" s="4">
        <v>50</v>
      </c>
      <c r="AM1412" s="4">
        <v>54</v>
      </c>
      <c r="AN1412" s="4">
        <v>0</v>
      </c>
      <c r="AO1412" s="4">
        <v>0</v>
      </c>
      <c r="AP1412" s="4">
        <v>34</v>
      </c>
      <c r="AQ1412" s="4">
        <v>40</v>
      </c>
      <c r="AR1412" s="3" t="s">
        <v>62</v>
      </c>
      <c r="AS1412" s="3" t="s">
        <v>62</v>
      </c>
      <c r="AT1412" s="3" t="s">
        <v>62</v>
      </c>
      <c r="AV1412" s="6" t="str">
        <f>HYPERLINK("http://mcgill.on.worldcat.org/oclc/40452957","Catalog Record")</f>
        <v>Catalog Record</v>
      </c>
      <c r="AW1412" s="6" t="str">
        <f>HYPERLINK("http://www.worldcat.org/oclc/40452957","WorldCat Record")</f>
        <v>WorldCat Record</v>
      </c>
      <c r="AX1412" s="3" t="s">
        <v>13737</v>
      </c>
      <c r="AY1412" s="3" t="s">
        <v>13738</v>
      </c>
      <c r="AZ1412" s="3" t="s">
        <v>13739</v>
      </c>
      <c r="BA1412" s="3" t="s">
        <v>13739</v>
      </c>
      <c r="BB1412" s="3" t="s">
        <v>13747</v>
      </c>
      <c r="BC1412" s="3" t="s">
        <v>142</v>
      </c>
      <c r="BD1412" s="3" t="s">
        <v>308</v>
      </c>
      <c r="BE1412" s="3" t="s">
        <v>13741</v>
      </c>
      <c r="BF1412" s="3" t="s">
        <v>13747</v>
      </c>
      <c r="BG1412" s="3" t="s">
        <v>13748</v>
      </c>
    </row>
    <row r="1413" spans="1:59" ht="57" x14ac:dyDescent="0.45">
      <c r="A1413" s="2" t="s">
        <v>59</v>
      </c>
      <c r="B1413" s="2" t="s">
        <v>60</v>
      </c>
      <c r="C1413" s="2" t="s">
        <v>13733</v>
      </c>
      <c r="D1413" s="2" t="s">
        <v>13734</v>
      </c>
      <c r="E1413" s="2" t="s">
        <v>13735</v>
      </c>
      <c r="G1413" s="3" t="s">
        <v>62</v>
      </c>
      <c r="I1413" s="3" t="s">
        <v>61</v>
      </c>
      <c r="J1413" s="3" t="s">
        <v>62</v>
      </c>
      <c r="K1413" s="3" t="s">
        <v>63</v>
      </c>
      <c r="L1413" s="2" t="s">
        <v>13736</v>
      </c>
      <c r="M1413" s="2" t="s">
        <v>12576</v>
      </c>
      <c r="N1413" s="3" t="s">
        <v>167</v>
      </c>
      <c r="P1413" s="3" t="s">
        <v>65</v>
      </c>
      <c r="R1413" s="3" t="s">
        <v>66</v>
      </c>
      <c r="S1413" s="4">
        <v>21</v>
      </c>
      <c r="T1413" s="4">
        <v>130</v>
      </c>
      <c r="U1413" s="5" t="s">
        <v>1381</v>
      </c>
      <c r="V1413" s="5" t="s">
        <v>4283</v>
      </c>
      <c r="W1413" s="5" t="s">
        <v>67</v>
      </c>
      <c r="X1413" s="5" t="s">
        <v>67</v>
      </c>
      <c r="Y1413" s="4">
        <v>1019</v>
      </c>
      <c r="Z1413" s="4">
        <v>48</v>
      </c>
      <c r="AA1413" s="4">
        <v>55</v>
      </c>
      <c r="AB1413" s="4">
        <v>3</v>
      </c>
      <c r="AC1413" s="4">
        <v>7</v>
      </c>
      <c r="AD1413" s="4">
        <v>129</v>
      </c>
      <c r="AE1413" s="4">
        <v>139</v>
      </c>
      <c r="AF1413" s="4">
        <v>2</v>
      </c>
      <c r="AG1413" s="4">
        <v>5</v>
      </c>
      <c r="AH1413" s="4">
        <v>105</v>
      </c>
      <c r="AI1413" s="4">
        <v>110</v>
      </c>
      <c r="AJ1413" s="4">
        <v>21</v>
      </c>
      <c r="AK1413" s="4">
        <v>24</v>
      </c>
      <c r="AL1413" s="4">
        <v>50</v>
      </c>
      <c r="AM1413" s="4">
        <v>54</v>
      </c>
      <c r="AN1413" s="4">
        <v>0</v>
      </c>
      <c r="AO1413" s="4">
        <v>0</v>
      </c>
      <c r="AP1413" s="4">
        <v>34</v>
      </c>
      <c r="AQ1413" s="4">
        <v>40</v>
      </c>
      <c r="AR1413" s="3" t="s">
        <v>62</v>
      </c>
      <c r="AS1413" s="3" t="s">
        <v>62</v>
      </c>
      <c r="AT1413" s="3" t="s">
        <v>62</v>
      </c>
      <c r="AV1413" s="6" t="str">
        <f>HYPERLINK("http://mcgill.on.worldcat.org/oclc/40452957","Catalog Record")</f>
        <v>Catalog Record</v>
      </c>
      <c r="AW1413" s="6" t="str">
        <f>HYPERLINK("http://www.worldcat.org/oclc/40452957","WorldCat Record")</f>
        <v>WorldCat Record</v>
      </c>
      <c r="AX1413" s="3" t="s">
        <v>13737</v>
      </c>
      <c r="AY1413" s="3" t="s">
        <v>13738</v>
      </c>
      <c r="AZ1413" s="3" t="s">
        <v>13739</v>
      </c>
      <c r="BA1413" s="3" t="s">
        <v>13739</v>
      </c>
      <c r="BB1413" s="3" t="s">
        <v>13749</v>
      </c>
      <c r="BC1413" s="3" t="s">
        <v>142</v>
      </c>
      <c r="BD1413" s="3" t="s">
        <v>68</v>
      </c>
      <c r="BE1413" s="3" t="s">
        <v>13741</v>
      </c>
      <c r="BF1413" s="3" t="s">
        <v>13749</v>
      </c>
      <c r="BG1413" s="3" t="s">
        <v>13750</v>
      </c>
    </row>
    <row r="1414" spans="1:59" ht="57" x14ac:dyDescent="0.45">
      <c r="A1414" s="2" t="s">
        <v>59</v>
      </c>
      <c r="B1414" s="2" t="s">
        <v>60</v>
      </c>
      <c r="C1414" s="2" t="s">
        <v>13733</v>
      </c>
      <c r="D1414" s="2" t="s">
        <v>13734</v>
      </c>
      <c r="E1414" s="2" t="s">
        <v>13735</v>
      </c>
      <c r="G1414" s="3" t="s">
        <v>62</v>
      </c>
      <c r="I1414" s="3" t="s">
        <v>61</v>
      </c>
      <c r="J1414" s="3" t="s">
        <v>62</v>
      </c>
      <c r="K1414" s="3" t="s">
        <v>63</v>
      </c>
      <c r="L1414" s="2" t="s">
        <v>13736</v>
      </c>
      <c r="M1414" s="2" t="s">
        <v>12576</v>
      </c>
      <c r="N1414" s="3" t="s">
        <v>167</v>
      </c>
      <c r="P1414" s="3" t="s">
        <v>65</v>
      </c>
      <c r="R1414" s="3" t="s">
        <v>66</v>
      </c>
      <c r="S1414" s="4">
        <v>25</v>
      </c>
      <c r="T1414" s="4">
        <v>130</v>
      </c>
      <c r="U1414" s="5" t="s">
        <v>9625</v>
      </c>
      <c r="V1414" s="5" t="s">
        <v>4283</v>
      </c>
      <c r="W1414" s="5" t="s">
        <v>67</v>
      </c>
      <c r="X1414" s="5" t="s">
        <v>67</v>
      </c>
      <c r="Y1414" s="4">
        <v>1019</v>
      </c>
      <c r="Z1414" s="4">
        <v>48</v>
      </c>
      <c r="AA1414" s="4">
        <v>55</v>
      </c>
      <c r="AB1414" s="4">
        <v>3</v>
      </c>
      <c r="AC1414" s="4">
        <v>7</v>
      </c>
      <c r="AD1414" s="4">
        <v>129</v>
      </c>
      <c r="AE1414" s="4">
        <v>139</v>
      </c>
      <c r="AF1414" s="4">
        <v>2</v>
      </c>
      <c r="AG1414" s="4">
        <v>5</v>
      </c>
      <c r="AH1414" s="4">
        <v>105</v>
      </c>
      <c r="AI1414" s="4">
        <v>110</v>
      </c>
      <c r="AJ1414" s="4">
        <v>21</v>
      </c>
      <c r="AK1414" s="4">
        <v>24</v>
      </c>
      <c r="AL1414" s="4">
        <v>50</v>
      </c>
      <c r="AM1414" s="4">
        <v>54</v>
      </c>
      <c r="AN1414" s="4">
        <v>0</v>
      </c>
      <c r="AO1414" s="4">
        <v>0</v>
      </c>
      <c r="AP1414" s="4">
        <v>34</v>
      </c>
      <c r="AQ1414" s="4">
        <v>40</v>
      </c>
      <c r="AR1414" s="3" t="s">
        <v>62</v>
      </c>
      <c r="AS1414" s="3" t="s">
        <v>62</v>
      </c>
      <c r="AT1414" s="3" t="s">
        <v>62</v>
      </c>
      <c r="AV1414" s="6" t="str">
        <f>HYPERLINK("http://mcgill.on.worldcat.org/oclc/40452957","Catalog Record")</f>
        <v>Catalog Record</v>
      </c>
      <c r="AW1414" s="6" t="str">
        <f>HYPERLINK("http://www.worldcat.org/oclc/40452957","WorldCat Record")</f>
        <v>WorldCat Record</v>
      </c>
      <c r="AX1414" s="3" t="s">
        <v>13737</v>
      </c>
      <c r="AY1414" s="3" t="s">
        <v>13738</v>
      </c>
      <c r="AZ1414" s="3" t="s">
        <v>13739</v>
      </c>
      <c r="BA1414" s="3" t="s">
        <v>13739</v>
      </c>
      <c r="BB1414" s="3" t="s">
        <v>13751</v>
      </c>
      <c r="BC1414" s="3" t="s">
        <v>142</v>
      </c>
      <c r="BD1414" s="3" t="s">
        <v>308</v>
      </c>
      <c r="BE1414" s="3" t="s">
        <v>13741</v>
      </c>
      <c r="BF1414" s="3" t="s">
        <v>13751</v>
      </c>
      <c r="BG1414" s="3" t="s">
        <v>13752</v>
      </c>
    </row>
    <row r="1415" spans="1:59" ht="57" x14ac:dyDescent="0.45">
      <c r="A1415" s="2" t="s">
        <v>59</v>
      </c>
      <c r="B1415" s="2" t="s">
        <v>60</v>
      </c>
      <c r="C1415" s="2" t="s">
        <v>13753</v>
      </c>
      <c r="D1415" s="2" t="s">
        <v>13754</v>
      </c>
      <c r="E1415" s="2" t="s">
        <v>13755</v>
      </c>
      <c r="G1415" s="3" t="s">
        <v>62</v>
      </c>
      <c r="I1415" s="3" t="s">
        <v>62</v>
      </c>
      <c r="J1415" s="3" t="s">
        <v>62</v>
      </c>
      <c r="K1415" s="3" t="s">
        <v>63</v>
      </c>
      <c r="M1415" s="2" t="s">
        <v>13756</v>
      </c>
      <c r="N1415" s="3" t="s">
        <v>1155</v>
      </c>
      <c r="P1415" s="3" t="s">
        <v>65</v>
      </c>
      <c r="R1415" s="3" t="s">
        <v>66</v>
      </c>
      <c r="S1415" s="4">
        <v>5</v>
      </c>
      <c r="T1415" s="4">
        <v>5</v>
      </c>
      <c r="U1415" s="5" t="s">
        <v>13757</v>
      </c>
      <c r="V1415" s="5" t="s">
        <v>13757</v>
      </c>
      <c r="W1415" s="5" t="s">
        <v>67</v>
      </c>
      <c r="X1415" s="5" t="s">
        <v>67</v>
      </c>
      <c r="Y1415" s="4">
        <v>115</v>
      </c>
      <c r="Z1415" s="4">
        <v>7</v>
      </c>
      <c r="AA1415" s="4">
        <v>36</v>
      </c>
      <c r="AB1415" s="4">
        <v>2</v>
      </c>
      <c r="AC1415" s="4">
        <v>11</v>
      </c>
      <c r="AD1415" s="4">
        <v>42</v>
      </c>
      <c r="AE1415" s="4">
        <v>58</v>
      </c>
      <c r="AF1415" s="4">
        <v>1</v>
      </c>
      <c r="AG1415" s="4">
        <v>4</v>
      </c>
      <c r="AH1415" s="4">
        <v>38</v>
      </c>
      <c r="AI1415" s="4">
        <v>47</v>
      </c>
      <c r="AJ1415" s="4">
        <v>6</v>
      </c>
      <c r="AK1415" s="4">
        <v>12</v>
      </c>
      <c r="AL1415" s="4">
        <v>23</v>
      </c>
      <c r="AM1415" s="4">
        <v>28</v>
      </c>
      <c r="AN1415" s="4">
        <v>0</v>
      </c>
      <c r="AO1415" s="4">
        <v>0</v>
      </c>
      <c r="AP1415" s="4">
        <v>6</v>
      </c>
      <c r="AQ1415" s="4">
        <v>15</v>
      </c>
      <c r="AR1415" s="3" t="s">
        <v>62</v>
      </c>
      <c r="AS1415" s="3" t="s">
        <v>62</v>
      </c>
      <c r="AT1415" s="3" t="s">
        <v>62</v>
      </c>
      <c r="AV1415" s="6" t="str">
        <f>HYPERLINK("http://mcgill.on.worldcat.org/oclc/746489222","Catalog Record")</f>
        <v>Catalog Record</v>
      </c>
      <c r="AW1415" s="6" t="str">
        <f>HYPERLINK("http://www.worldcat.org/oclc/746489222","WorldCat Record")</f>
        <v>WorldCat Record</v>
      </c>
      <c r="AX1415" s="3" t="s">
        <v>13758</v>
      </c>
      <c r="AY1415" s="3" t="s">
        <v>13759</v>
      </c>
      <c r="AZ1415" s="3" t="s">
        <v>13760</v>
      </c>
      <c r="BA1415" s="3" t="s">
        <v>13760</v>
      </c>
      <c r="BB1415" s="3" t="s">
        <v>13761</v>
      </c>
      <c r="BC1415" s="3" t="s">
        <v>142</v>
      </c>
      <c r="BD1415" s="3" t="s">
        <v>68</v>
      </c>
      <c r="BE1415" s="3" t="s">
        <v>13762</v>
      </c>
      <c r="BF1415" s="3" t="s">
        <v>13761</v>
      </c>
      <c r="BG1415" s="3" t="s">
        <v>13763</v>
      </c>
    </row>
    <row r="1416" spans="1:59" ht="57" x14ac:dyDescent="0.45">
      <c r="A1416" s="2" t="s">
        <v>59</v>
      </c>
      <c r="B1416" s="2" t="s">
        <v>60</v>
      </c>
      <c r="C1416" s="2" t="s">
        <v>13764</v>
      </c>
      <c r="D1416" s="2" t="s">
        <v>13765</v>
      </c>
      <c r="E1416" s="2" t="s">
        <v>13766</v>
      </c>
      <c r="G1416" s="3" t="s">
        <v>62</v>
      </c>
      <c r="I1416" s="3" t="s">
        <v>62</v>
      </c>
      <c r="J1416" s="3" t="s">
        <v>62</v>
      </c>
      <c r="K1416" s="3" t="s">
        <v>63</v>
      </c>
      <c r="M1416" s="2" t="s">
        <v>13767</v>
      </c>
      <c r="N1416" s="3" t="s">
        <v>820</v>
      </c>
      <c r="P1416" s="3" t="s">
        <v>65</v>
      </c>
      <c r="R1416" s="3" t="s">
        <v>66</v>
      </c>
      <c r="S1416" s="4">
        <v>2</v>
      </c>
      <c r="T1416" s="4">
        <v>2</v>
      </c>
      <c r="U1416" s="5" t="s">
        <v>12942</v>
      </c>
      <c r="V1416" s="5" t="s">
        <v>12942</v>
      </c>
      <c r="W1416" s="5" t="s">
        <v>67</v>
      </c>
      <c r="X1416" s="5" t="s">
        <v>67</v>
      </c>
      <c r="Y1416" s="4">
        <v>256</v>
      </c>
      <c r="Z1416" s="4">
        <v>27</v>
      </c>
      <c r="AA1416" s="4">
        <v>29</v>
      </c>
      <c r="AB1416" s="4">
        <v>2</v>
      </c>
      <c r="AC1416" s="4">
        <v>4</v>
      </c>
      <c r="AD1416" s="4">
        <v>75</v>
      </c>
      <c r="AE1416" s="4">
        <v>77</v>
      </c>
      <c r="AF1416" s="4">
        <v>1</v>
      </c>
      <c r="AG1416" s="4">
        <v>3</v>
      </c>
      <c r="AH1416" s="4">
        <v>63</v>
      </c>
      <c r="AI1416" s="4">
        <v>64</v>
      </c>
      <c r="AJ1416" s="4">
        <v>15</v>
      </c>
      <c r="AK1416" s="4">
        <v>17</v>
      </c>
      <c r="AL1416" s="4">
        <v>34</v>
      </c>
      <c r="AM1416" s="4">
        <v>34</v>
      </c>
      <c r="AN1416" s="4">
        <v>0</v>
      </c>
      <c r="AO1416" s="4">
        <v>0</v>
      </c>
      <c r="AP1416" s="4">
        <v>21</v>
      </c>
      <c r="AQ1416" s="4">
        <v>23</v>
      </c>
      <c r="AR1416" s="3" t="s">
        <v>62</v>
      </c>
      <c r="AS1416" s="3" t="s">
        <v>62</v>
      </c>
      <c r="AT1416" s="3" t="s">
        <v>61</v>
      </c>
      <c r="AU1416" s="6" t="str">
        <f>HYPERLINK("http://catalog.hathitrust.org/Record/009931913","HathiTrust Record")</f>
        <v>HathiTrust Record</v>
      </c>
      <c r="AV1416" s="6" t="str">
        <f>HYPERLINK("http://mcgill.on.worldcat.org/oclc/192109683","Catalog Record")</f>
        <v>Catalog Record</v>
      </c>
      <c r="AW1416" s="6" t="str">
        <f>HYPERLINK("http://www.worldcat.org/oclc/192109683","WorldCat Record")</f>
        <v>WorldCat Record</v>
      </c>
      <c r="AX1416" s="3" t="s">
        <v>13768</v>
      </c>
      <c r="AY1416" s="3" t="s">
        <v>13769</v>
      </c>
      <c r="AZ1416" s="3" t="s">
        <v>13770</v>
      </c>
      <c r="BA1416" s="3" t="s">
        <v>13770</v>
      </c>
      <c r="BB1416" s="3" t="s">
        <v>13771</v>
      </c>
      <c r="BC1416" s="3" t="s">
        <v>142</v>
      </c>
      <c r="BD1416" s="3" t="s">
        <v>68</v>
      </c>
      <c r="BE1416" s="3" t="s">
        <v>13772</v>
      </c>
      <c r="BF1416" s="3" t="s">
        <v>13771</v>
      </c>
      <c r="BG1416" s="3" t="s">
        <v>13773</v>
      </c>
    </row>
    <row r="1417" spans="1:59" ht="57" x14ac:dyDescent="0.45">
      <c r="A1417" s="2" t="s">
        <v>59</v>
      </c>
      <c r="B1417" s="2" t="s">
        <v>60</v>
      </c>
      <c r="C1417" s="2" t="s">
        <v>13774</v>
      </c>
      <c r="D1417" s="2" t="s">
        <v>13775</v>
      </c>
      <c r="E1417" s="2" t="s">
        <v>13776</v>
      </c>
      <c r="G1417" s="3" t="s">
        <v>62</v>
      </c>
      <c r="I1417" s="3" t="s">
        <v>62</v>
      </c>
      <c r="J1417" s="3" t="s">
        <v>62</v>
      </c>
      <c r="K1417" s="3" t="s">
        <v>63</v>
      </c>
      <c r="M1417" s="2" t="s">
        <v>13777</v>
      </c>
      <c r="N1417" s="3" t="s">
        <v>1155</v>
      </c>
      <c r="P1417" s="3" t="s">
        <v>65</v>
      </c>
      <c r="R1417" s="3" t="s">
        <v>66</v>
      </c>
      <c r="S1417" s="4">
        <v>4</v>
      </c>
      <c r="T1417" s="4">
        <v>4</v>
      </c>
      <c r="U1417" s="5" t="s">
        <v>12942</v>
      </c>
      <c r="V1417" s="5" t="s">
        <v>12942</v>
      </c>
      <c r="W1417" s="5" t="s">
        <v>67</v>
      </c>
      <c r="X1417" s="5" t="s">
        <v>67</v>
      </c>
      <c r="Y1417" s="4">
        <v>261</v>
      </c>
      <c r="Z1417" s="4">
        <v>19</v>
      </c>
      <c r="AA1417" s="4">
        <v>95</v>
      </c>
      <c r="AB1417" s="4">
        <v>2</v>
      </c>
      <c r="AC1417" s="4">
        <v>19</v>
      </c>
      <c r="AD1417" s="4">
        <v>63</v>
      </c>
      <c r="AE1417" s="4">
        <v>121</v>
      </c>
      <c r="AF1417" s="4">
        <v>1</v>
      </c>
      <c r="AG1417" s="4">
        <v>8</v>
      </c>
      <c r="AH1417" s="4">
        <v>55</v>
      </c>
      <c r="AI1417" s="4">
        <v>84</v>
      </c>
      <c r="AJ1417" s="4">
        <v>11</v>
      </c>
      <c r="AK1417" s="4">
        <v>22</v>
      </c>
      <c r="AL1417" s="4">
        <v>28</v>
      </c>
      <c r="AM1417" s="4">
        <v>41</v>
      </c>
      <c r="AN1417" s="4">
        <v>0</v>
      </c>
      <c r="AO1417" s="4">
        <v>0</v>
      </c>
      <c r="AP1417" s="4">
        <v>13</v>
      </c>
      <c r="AQ1417" s="4">
        <v>45</v>
      </c>
      <c r="AR1417" s="3" t="s">
        <v>62</v>
      </c>
      <c r="AS1417" s="3" t="s">
        <v>62</v>
      </c>
      <c r="AT1417" s="3" t="s">
        <v>62</v>
      </c>
      <c r="AV1417" s="6" t="str">
        <f>HYPERLINK("http://mcgill.on.worldcat.org/oclc/755904554","Catalog Record")</f>
        <v>Catalog Record</v>
      </c>
      <c r="AW1417" s="6" t="str">
        <f>HYPERLINK("http://www.worldcat.org/oclc/755904554","WorldCat Record")</f>
        <v>WorldCat Record</v>
      </c>
      <c r="AX1417" s="3" t="s">
        <v>13778</v>
      </c>
      <c r="AY1417" s="3" t="s">
        <v>13779</v>
      </c>
      <c r="AZ1417" s="3" t="s">
        <v>13780</v>
      </c>
      <c r="BA1417" s="3" t="s">
        <v>13780</v>
      </c>
      <c r="BB1417" s="3" t="s">
        <v>13781</v>
      </c>
      <c r="BC1417" s="3" t="s">
        <v>142</v>
      </c>
      <c r="BD1417" s="3" t="s">
        <v>68</v>
      </c>
      <c r="BE1417" s="3" t="s">
        <v>13782</v>
      </c>
      <c r="BF1417" s="3" t="s">
        <v>13781</v>
      </c>
      <c r="BG1417" s="3" t="s">
        <v>13783</v>
      </c>
    </row>
    <row r="1418" spans="1:59" ht="57" x14ac:dyDescent="0.45">
      <c r="A1418" s="2" t="s">
        <v>59</v>
      </c>
      <c r="B1418" s="2" t="s">
        <v>60</v>
      </c>
      <c r="C1418" s="2" t="s">
        <v>13784</v>
      </c>
      <c r="D1418" s="2" t="s">
        <v>13785</v>
      </c>
      <c r="E1418" s="2" t="s">
        <v>13786</v>
      </c>
      <c r="G1418" s="3" t="s">
        <v>62</v>
      </c>
      <c r="I1418" s="3" t="s">
        <v>61</v>
      </c>
      <c r="J1418" s="3" t="s">
        <v>61</v>
      </c>
      <c r="K1418" s="3" t="s">
        <v>63</v>
      </c>
      <c r="M1418" s="2" t="s">
        <v>13787</v>
      </c>
      <c r="N1418" s="3" t="s">
        <v>958</v>
      </c>
      <c r="O1418" s="2" t="s">
        <v>933</v>
      </c>
      <c r="P1418" s="3" t="s">
        <v>65</v>
      </c>
      <c r="R1418" s="3" t="s">
        <v>66</v>
      </c>
      <c r="S1418" s="4">
        <v>66</v>
      </c>
      <c r="T1418" s="4">
        <v>86</v>
      </c>
      <c r="U1418" s="5" t="s">
        <v>13788</v>
      </c>
      <c r="V1418" s="5" t="s">
        <v>13788</v>
      </c>
      <c r="W1418" s="5" t="s">
        <v>67</v>
      </c>
      <c r="X1418" s="5" t="s">
        <v>67</v>
      </c>
      <c r="Y1418" s="4">
        <v>562</v>
      </c>
      <c r="Z1418" s="4">
        <v>36</v>
      </c>
      <c r="AA1418" s="4">
        <v>48</v>
      </c>
      <c r="AB1418" s="4">
        <v>2</v>
      </c>
      <c r="AC1418" s="4">
        <v>6</v>
      </c>
      <c r="AD1418" s="4">
        <v>82</v>
      </c>
      <c r="AE1418" s="4">
        <v>120</v>
      </c>
      <c r="AF1418" s="4">
        <v>1</v>
      </c>
      <c r="AG1418" s="4">
        <v>5</v>
      </c>
      <c r="AH1418" s="4">
        <v>62</v>
      </c>
      <c r="AI1418" s="4">
        <v>94</v>
      </c>
      <c r="AJ1418" s="4">
        <v>17</v>
      </c>
      <c r="AK1418" s="4">
        <v>23</v>
      </c>
      <c r="AL1418" s="4">
        <v>29</v>
      </c>
      <c r="AM1418" s="4">
        <v>44</v>
      </c>
      <c r="AN1418" s="4">
        <v>0</v>
      </c>
      <c r="AO1418" s="4">
        <v>0</v>
      </c>
      <c r="AP1418" s="4">
        <v>29</v>
      </c>
      <c r="AQ1418" s="4">
        <v>36</v>
      </c>
      <c r="AR1418" s="3" t="s">
        <v>62</v>
      </c>
      <c r="AS1418" s="3" t="s">
        <v>62</v>
      </c>
      <c r="AT1418" s="3" t="s">
        <v>61</v>
      </c>
      <c r="AU1418" s="6" t="str">
        <f>HYPERLINK("http://catalog.hathitrust.org/Record/003044933","HathiTrust Record")</f>
        <v>HathiTrust Record</v>
      </c>
      <c r="AV1418" s="6" t="str">
        <f>HYPERLINK("http://mcgill.on.worldcat.org/oclc/31737622","Catalog Record")</f>
        <v>Catalog Record</v>
      </c>
      <c r="AW1418" s="6" t="str">
        <f>HYPERLINK("http://www.worldcat.org/oclc/31737622","WorldCat Record")</f>
        <v>WorldCat Record</v>
      </c>
      <c r="AX1418" s="3" t="s">
        <v>13789</v>
      </c>
      <c r="AY1418" s="3" t="s">
        <v>13790</v>
      </c>
      <c r="AZ1418" s="3" t="s">
        <v>13791</v>
      </c>
      <c r="BA1418" s="3" t="s">
        <v>13791</v>
      </c>
      <c r="BB1418" s="3" t="s">
        <v>13792</v>
      </c>
      <c r="BC1418" s="3" t="s">
        <v>142</v>
      </c>
      <c r="BD1418" s="3" t="s">
        <v>68</v>
      </c>
      <c r="BE1418" s="3" t="s">
        <v>13793</v>
      </c>
      <c r="BF1418" s="3" t="s">
        <v>13792</v>
      </c>
      <c r="BG1418" s="3" t="s">
        <v>13794</v>
      </c>
    </row>
    <row r="1419" spans="1:59" ht="57" x14ac:dyDescent="0.45">
      <c r="A1419" s="2" t="s">
        <v>59</v>
      </c>
      <c r="B1419" s="2" t="s">
        <v>60</v>
      </c>
      <c r="C1419" s="2" t="s">
        <v>13784</v>
      </c>
      <c r="D1419" s="2" t="s">
        <v>13785</v>
      </c>
      <c r="E1419" s="2" t="s">
        <v>13786</v>
      </c>
      <c r="G1419" s="3" t="s">
        <v>62</v>
      </c>
      <c r="I1419" s="3" t="s">
        <v>61</v>
      </c>
      <c r="J1419" s="3" t="s">
        <v>61</v>
      </c>
      <c r="K1419" s="3" t="s">
        <v>63</v>
      </c>
      <c r="M1419" s="2" t="s">
        <v>13787</v>
      </c>
      <c r="N1419" s="3" t="s">
        <v>958</v>
      </c>
      <c r="O1419" s="2" t="s">
        <v>933</v>
      </c>
      <c r="P1419" s="3" t="s">
        <v>65</v>
      </c>
      <c r="R1419" s="3" t="s">
        <v>66</v>
      </c>
      <c r="S1419" s="4">
        <v>20</v>
      </c>
      <c r="T1419" s="4">
        <v>86</v>
      </c>
      <c r="U1419" s="5" t="s">
        <v>76</v>
      </c>
      <c r="V1419" s="5" t="s">
        <v>13788</v>
      </c>
      <c r="W1419" s="5" t="s">
        <v>67</v>
      </c>
      <c r="X1419" s="5" t="s">
        <v>67</v>
      </c>
      <c r="Y1419" s="4">
        <v>562</v>
      </c>
      <c r="Z1419" s="4">
        <v>36</v>
      </c>
      <c r="AA1419" s="4">
        <v>48</v>
      </c>
      <c r="AB1419" s="4">
        <v>2</v>
      </c>
      <c r="AC1419" s="4">
        <v>6</v>
      </c>
      <c r="AD1419" s="4">
        <v>82</v>
      </c>
      <c r="AE1419" s="4">
        <v>120</v>
      </c>
      <c r="AF1419" s="4">
        <v>1</v>
      </c>
      <c r="AG1419" s="4">
        <v>5</v>
      </c>
      <c r="AH1419" s="4">
        <v>62</v>
      </c>
      <c r="AI1419" s="4">
        <v>94</v>
      </c>
      <c r="AJ1419" s="4">
        <v>17</v>
      </c>
      <c r="AK1419" s="4">
        <v>23</v>
      </c>
      <c r="AL1419" s="4">
        <v>29</v>
      </c>
      <c r="AM1419" s="4">
        <v>44</v>
      </c>
      <c r="AN1419" s="4">
        <v>0</v>
      </c>
      <c r="AO1419" s="4">
        <v>0</v>
      </c>
      <c r="AP1419" s="4">
        <v>29</v>
      </c>
      <c r="AQ1419" s="4">
        <v>36</v>
      </c>
      <c r="AR1419" s="3" t="s">
        <v>62</v>
      </c>
      <c r="AS1419" s="3" t="s">
        <v>62</v>
      </c>
      <c r="AT1419" s="3" t="s">
        <v>61</v>
      </c>
      <c r="AU1419" s="6" t="str">
        <f>HYPERLINK("http://catalog.hathitrust.org/Record/003044933","HathiTrust Record")</f>
        <v>HathiTrust Record</v>
      </c>
      <c r="AV1419" s="6" t="str">
        <f>HYPERLINK("http://mcgill.on.worldcat.org/oclc/31737622","Catalog Record")</f>
        <v>Catalog Record</v>
      </c>
      <c r="AW1419" s="6" t="str">
        <f>HYPERLINK("http://www.worldcat.org/oclc/31737622","WorldCat Record")</f>
        <v>WorldCat Record</v>
      </c>
      <c r="AX1419" s="3" t="s">
        <v>13789</v>
      </c>
      <c r="AY1419" s="3" t="s">
        <v>13790</v>
      </c>
      <c r="AZ1419" s="3" t="s">
        <v>13791</v>
      </c>
      <c r="BA1419" s="3" t="s">
        <v>13791</v>
      </c>
      <c r="BB1419" s="3" t="s">
        <v>13795</v>
      </c>
      <c r="BC1419" s="3" t="s">
        <v>142</v>
      </c>
      <c r="BD1419" s="3" t="s">
        <v>68</v>
      </c>
      <c r="BE1419" s="3" t="s">
        <v>13793</v>
      </c>
      <c r="BF1419" s="3" t="s">
        <v>13795</v>
      </c>
      <c r="BG1419" s="3" t="s">
        <v>13796</v>
      </c>
    </row>
    <row r="1420" spans="1:59" ht="57" x14ac:dyDescent="0.45">
      <c r="A1420" s="2" t="s">
        <v>59</v>
      </c>
      <c r="B1420" s="2" t="s">
        <v>60</v>
      </c>
      <c r="C1420" s="2" t="s">
        <v>13797</v>
      </c>
      <c r="D1420" s="2" t="s">
        <v>13798</v>
      </c>
      <c r="E1420" s="2" t="s">
        <v>13799</v>
      </c>
      <c r="G1420" s="3" t="s">
        <v>62</v>
      </c>
      <c r="I1420" s="3" t="s">
        <v>62</v>
      </c>
      <c r="J1420" s="3" t="s">
        <v>62</v>
      </c>
      <c r="K1420" s="3" t="s">
        <v>63</v>
      </c>
      <c r="L1420" s="2" t="s">
        <v>13800</v>
      </c>
      <c r="M1420" s="2" t="s">
        <v>13801</v>
      </c>
      <c r="N1420" s="3" t="s">
        <v>1437</v>
      </c>
      <c r="P1420" s="3" t="s">
        <v>65</v>
      </c>
      <c r="R1420" s="3" t="s">
        <v>66</v>
      </c>
      <c r="S1420" s="4">
        <v>13</v>
      </c>
      <c r="T1420" s="4">
        <v>13</v>
      </c>
      <c r="U1420" s="5" t="s">
        <v>971</v>
      </c>
      <c r="V1420" s="5" t="s">
        <v>971</v>
      </c>
      <c r="W1420" s="5" t="s">
        <v>67</v>
      </c>
      <c r="X1420" s="5" t="s">
        <v>67</v>
      </c>
      <c r="Y1420" s="4">
        <v>154</v>
      </c>
      <c r="Z1420" s="4">
        <v>5</v>
      </c>
      <c r="AA1420" s="4">
        <v>5</v>
      </c>
      <c r="AB1420" s="4">
        <v>1</v>
      </c>
      <c r="AC1420" s="4">
        <v>1</v>
      </c>
      <c r="AD1420" s="4">
        <v>63</v>
      </c>
      <c r="AE1420" s="4">
        <v>63</v>
      </c>
      <c r="AF1420" s="4">
        <v>0</v>
      </c>
      <c r="AG1420" s="4">
        <v>0</v>
      </c>
      <c r="AH1420" s="4">
        <v>62</v>
      </c>
      <c r="AI1420" s="4">
        <v>62</v>
      </c>
      <c r="AJ1420" s="4">
        <v>3</v>
      </c>
      <c r="AK1420" s="4">
        <v>3</v>
      </c>
      <c r="AL1420" s="4">
        <v>34</v>
      </c>
      <c r="AM1420" s="4">
        <v>34</v>
      </c>
      <c r="AN1420" s="4">
        <v>0</v>
      </c>
      <c r="AO1420" s="4">
        <v>0</v>
      </c>
      <c r="AP1420" s="4">
        <v>3</v>
      </c>
      <c r="AQ1420" s="4">
        <v>3</v>
      </c>
      <c r="AR1420" s="3" t="s">
        <v>62</v>
      </c>
      <c r="AS1420" s="3" t="s">
        <v>62</v>
      </c>
      <c r="AT1420" s="3" t="s">
        <v>61</v>
      </c>
      <c r="AU1420" s="6" t="str">
        <f>HYPERLINK("http://catalog.hathitrust.org/Record/003963065","HathiTrust Record")</f>
        <v>HathiTrust Record</v>
      </c>
      <c r="AV1420" s="6" t="str">
        <f>HYPERLINK("http://mcgill.on.worldcat.org/oclc/36713067","Catalog Record")</f>
        <v>Catalog Record</v>
      </c>
      <c r="AW1420" s="6" t="str">
        <f>HYPERLINK("http://www.worldcat.org/oclc/36713067","WorldCat Record")</f>
        <v>WorldCat Record</v>
      </c>
      <c r="AX1420" s="3" t="s">
        <v>13802</v>
      </c>
      <c r="AY1420" s="3" t="s">
        <v>13803</v>
      </c>
      <c r="AZ1420" s="3" t="s">
        <v>13804</v>
      </c>
      <c r="BA1420" s="3" t="s">
        <v>13804</v>
      </c>
      <c r="BB1420" s="3" t="s">
        <v>13805</v>
      </c>
      <c r="BC1420" s="3" t="s">
        <v>142</v>
      </c>
      <c r="BD1420" s="3" t="s">
        <v>308</v>
      </c>
      <c r="BE1420" s="3" t="s">
        <v>13806</v>
      </c>
      <c r="BF1420" s="3" t="s">
        <v>13805</v>
      </c>
      <c r="BG1420" s="3" t="s">
        <v>13807</v>
      </c>
    </row>
    <row r="1421" spans="1:59" ht="57" x14ac:dyDescent="0.45">
      <c r="A1421" s="2" t="s">
        <v>59</v>
      </c>
      <c r="B1421" s="2" t="s">
        <v>60</v>
      </c>
      <c r="C1421" s="2" t="s">
        <v>13808</v>
      </c>
      <c r="D1421" s="2" t="s">
        <v>13809</v>
      </c>
      <c r="E1421" s="2" t="s">
        <v>13810</v>
      </c>
      <c r="G1421" s="3" t="s">
        <v>62</v>
      </c>
      <c r="I1421" s="3" t="s">
        <v>62</v>
      </c>
      <c r="J1421" s="3" t="s">
        <v>62</v>
      </c>
      <c r="K1421" s="3" t="s">
        <v>63</v>
      </c>
      <c r="L1421" s="2" t="s">
        <v>13811</v>
      </c>
      <c r="M1421" s="2" t="s">
        <v>13812</v>
      </c>
      <c r="N1421" s="3" t="s">
        <v>542</v>
      </c>
      <c r="P1421" s="3" t="s">
        <v>65</v>
      </c>
      <c r="R1421" s="3" t="s">
        <v>66</v>
      </c>
      <c r="S1421" s="4">
        <v>15</v>
      </c>
      <c r="T1421" s="4">
        <v>15</v>
      </c>
      <c r="U1421" s="5" t="s">
        <v>12624</v>
      </c>
      <c r="V1421" s="5" t="s">
        <v>12624</v>
      </c>
      <c r="W1421" s="5" t="s">
        <v>67</v>
      </c>
      <c r="X1421" s="5" t="s">
        <v>67</v>
      </c>
      <c r="Y1421" s="4">
        <v>191</v>
      </c>
      <c r="Z1421" s="4">
        <v>8</v>
      </c>
      <c r="AA1421" s="4">
        <v>13</v>
      </c>
      <c r="AB1421" s="4">
        <v>2</v>
      </c>
      <c r="AC1421" s="4">
        <v>2</v>
      </c>
      <c r="AD1421" s="4">
        <v>17</v>
      </c>
      <c r="AE1421" s="4">
        <v>23</v>
      </c>
      <c r="AF1421" s="4">
        <v>0</v>
      </c>
      <c r="AG1421" s="4">
        <v>0</v>
      </c>
      <c r="AH1421" s="4">
        <v>16</v>
      </c>
      <c r="AI1421" s="4">
        <v>20</v>
      </c>
      <c r="AJ1421" s="4">
        <v>4</v>
      </c>
      <c r="AK1421" s="4">
        <v>5</v>
      </c>
      <c r="AL1421" s="4">
        <v>8</v>
      </c>
      <c r="AM1421" s="4">
        <v>10</v>
      </c>
      <c r="AN1421" s="4">
        <v>0</v>
      </c>
      <c r="AO1421" s="4">
        <v>0</v>
      </c>
      <c r="AP1421" s="4">
        <v>5</v>
      </c>
      <c r="AQ1421" s="4">
        <v>8</v>
      </c>
      <c r="AR1421" s="3" t="s">
        <v>62</v>
      </c>
      <c r="AS1421" s="3" t="s">
        <v>62</v>
      </c>
      <c r="AT1421" s="3" t="s">
        <v>62</v>
      </c>
      <c r="AV1421" s="6" t="str">
        <f>HYPERLINK("http://mcgill.on.worldcat.org/oclc/45604014","Catalog Record")</f>
        <v>Catalog Record</v>
      </c>
      <c r="AW1421" s="6" t="str">
        <f>HYPERLINK("http://www.worldcat.org/oclc/45604014","WorldCat Record")</f>
        <v>WorldCat Record</v>
      </c>
      <c r="AX1421" s="3" t="s">
        <v>13813</v>
      </c>
      <c r="AY1421" s="3" t="s">
        <v>13814</v>
      </c>
      <c r="AZ1421" s="3" t="s">
        <v>13815</v>
      </c>
      <c r="BA1421" s="3" t="s">
        <v>13815</v>
      </c>
      <c r="BB1421" s="3" t="s">
        <v>13816</v>
      </c>
      <c r="BC1421" s="3" t="s">
        <v>142</v>
      </c>
      <c r="BD1421" s="3" t="s">
        <v>68</v>
      </c>
      <c r="BE1421" s="3" t="s">
        <v>13817</v>
      </c>
      <c r="BF1421" s="3" t="s">
        <v>13816</v>
      </c>
      <c r="BG1421" s="3" t="s">
        <v>13818</v>
      </c>
    </row>
    <row r="1422" spans="1:59" ht="57" x14ac:dyDescent="0.45">
      <c r="A1422" s="2" t="s">
        <v>59</v>
      </c>
      <c r="B1422" s="2" t="s">
        <v>60</v>
      </c>
      <c r="C1422" s="2" t="s">
        <v>13819</v>
      </c>
      <c r="D1422" s="2" t="s">
        <v>13820</v>
      </c>
      <c r="E1422" s="2" t="s">
        <v>13821</v>
      </c>
      <c r="G1422" s="3" t="s">
        <v>62</v>
      </c>
      <c r="I1422" s="3" t="s">
        <v>62</v>
      </c>
      <c r="J1422" s="3" t="s">
        <v>62</v>
      </c>
      <c r="K1422" s="3" t="s">
        <v>63</v>
      </c>
      <c r="M1422" s="2" t="s">
        <v>2329</v>
      </c>
      <c r="N1422" s="3" t="s">
        <v>918</v>
      </c>
      <c r="P1422" s="3" t="s">
        <v>65</v>
      </c>
      <c r="Q1422" s="2" t="s">
        <v>13647</v>
      </c>
      <c r="R1422" s="3" t="s">
        <v>66</v>
      </c>
      <c r="S1422" s="4">
        <v>53</v>
      </c>
      <c r="T1422" s="4">
        <v>53</v>
      </c>
      <c r="U1422" s="5" t="s">
        <v>13822</v>
      </c>
      <c r="V1422" s="5" t="s">
        <v>13822</v>
      </c>
      <c r="W1422" s="5" t="s">
        <v>67</v>
      </c>
      <c r="X1422" s="5" t="s">
        <v>67</v>
      </c>
      <c r="Y1422" s="4">
        <v>491</v>
      </c>
      <c r="Z1422" s="4">
        <v>35</v>
      </c>
      <c r="AA1422" s="4">
        <v>102</v>
      </c>
      <c r="AB1422" s="4">
        <v>2</v>
      </c>
      <c r="AC1422" s="4">
        <v>17</v>
      </c>
      <c r="AD1422" s="4">
        <v>121</v>
      </c>
      <c r="AE1422" s="4">
        <v>152</v>
      </c>
      <c r="AF1422" s="4">
        <v>1</v>
      </c>
      <c r="AG1422" s="4">
        <v>8</v>
      </c>
      <c r="AH1422" s="4">
        <v>104</v>
      </c>
      <c r="AI1422" s="4">
        <v>112</v>
      </c>
      <c r="AJ1422" s="4">
        <v>18</v>
      </c>
      <c r="AK1422" s="4">
        <v>26</v>
      </c>
      <c r="AL1422" s="4">
        <v>55</v>
      </c>
      <c r="AM1422" s="4">
        <v>60</v>
      </c>
      <c r="AN1422" s="4">
        <v>0</v>
      </c>
      <c r="AO1422" s="4">
        <v>0</v>
      </c>
      <c r="AP1422" s="4">
        <v>26</v>
      </c>
      <c r="AQ1422" s="4">
        <v>49</v>
      </c>
      <c r="AR1422" s="3" t="s">
        <v>62</v>
      </c>
      <c r="AS1422" s="3" t="s">
        <v>62</v>
      </c>
      <c r="AT1422" s="3" t="s">
        <v>62</v>
      </c>
      <c r="AV1422" s="6" t="str">
        <f>HYPERLINK("http://mcgill.on.worldcat.org/oclc/51210540","Catalog Record")</f>
        <v>Catalog Record</v>
      </c>
      <c r="AW1422" s="6" t="str">
        <f>HYPERLINK("http://www.worldcat.org/oclc/51210540","WorldCat Record")</f>
        <v>WorldCat Record</v>
      </c>
      <c r="AX1422" s="3" t="s">
        <v>13823</v>
      </c>
      <c r="AY1422" s="3" t="s">
        <v>13824</v>
      </c>
      <c r="AZ1422" s="3" t="s">
        <v>13825</v>
      </c>
      <c r="BA1422" s="3" t="s">
        <v>13825</v>
      </c>
      <c r="BB1422" s="3" t="s">
        <v>13826</v>
      </c>
      <c r="BC1422" s="3" t="s">
        <v>142</v>
      </c>
      <c r="BD1422" s="3" t="s">
        <v>68</v>
      </c>
      <c r="BE1422" s="3" t="s">
        <v>13827</v>
      </c>
      <c r="BF1422" s="3" t="s">
        <v>13826</v>
      </c>
      <c r="BG1422" s="3" t="s">
        <v>13828</v>
      </c>
    </row>
    <row r="1423" spans="1:59" ht="57" x14ac:dyDescent="0.45">
      <c r="A1423" s="2" t="s">
        <v>59</v>
      </c>
      <c r="B1423" s="2" t="s">
        <v>60</v>
      </c>
      <c r="C1423" s="2" t="s">
        <v>13829</v>
      </c>
      <c r="D1423" s="2" t="s">
        <v>13830</v>
      </c>
      <c r="E1423" s="2" t="s">
        <v>13831</v>
      </c>
      <c r="F1423" s="3" t="s">
        <v>13832</v>
      </c>
      <c r="G1423" s="3" t="s">
        <v>62</v>
      </c>
      <c r="I1423" s="3" t="s">
        <v>62</v>
      </c>
      <c r="J1423" s="3" t="s">
        <v>62</v>
      </c>
      <c r="K1423" s="3" t="s">
        <v>63</v>
      </c>
      <c r="L1423" s="2" t="s">
        <v>13833</v>
      </c>
      <c r="M1423" s="2" t="s">
        <v>13834</v>
      </c>
      <c r="N1423" s="3" t="s">
        <v>1059</v>
      </c>
      <c r="O1423" s="2" t="s">
        <v>168</v>
      </c>
      <c r="P1423" s="3" t="s">
        <v>65</v>
      </c>
      <c r="R1423" s="3" t="s">
        <v>66</v>
      </c>
      <c r="S1423" s="4">
        <v>1</v>
      </c>
      <c r="T1423" s="4">
        <v>1</v>
      </c>
      <c r="U1423" s="5" t="s">
        <v>3533</v>
      </c>
      <c r="V1423" s="5" t="s">
        <v>3533</v>
      </c>
      <c r="W1423" s="5" t="s">
        <v>67</v>
      </c>
      <c r="X1423" s="5" t="s">
        <v>67</v>
      </c>
      <c r="Y1423" s="4">
        <v>79</v>
      </c>
      <c r="Z1423" s="4">
        <v>3</v>
      </c>
      <c r="AA1423" s="4">
        <v>15</v>
      </c>
      <c r="AB1423" s="4">
        <v>1</v>
      </c>
      <c r="AC1423" s="4">
        <v>4</v>
      </c>
      <c r="AD1423" s="4">
        <v>7</v>
      </c>
      <c r="AE1423" s="4">
        <v>32</v>
      </c>
      <c r="AF1423" s="4">
        <v>0</v>
      </c>
      <c r="AG1423" s="4">
        <v>2</v>
      </c>
      <c r="AH1423" s="4">
        <v>6</v>
      </c>
      <c r="AI1423" s="4">
        <v>27</v>
      </c>
      <c r="AJ1423" s="4">
        <v>2</v>
      </c>
      <c r="AK1423" s="4">
        <v>8</v>
      </c>
      <c r="AL1423" s="4">
        <v>1</v>
      </c>
      <c r="AM1423" s="4">
        <v>9</v>
      </c>
      <c r="AN1423" s="4">
        <v>0</v>
      </c>
      <c r="AO1423" s="4">
        <v>0</v>
      </c>
      <c r="AP1423" s="4">
        <v>2</v>
      </c>
      <c r="AQ1423" s="4">
        <v>8</v>
      </c>
      <c r="AR1423" s="3" t="s">
        <v>62</v>
      </c>
      <c r="AS1423" s="3" t="s">
        <v>62</v>
      </c>
      <c r="AT1423" s="3" t="s">
        <v>62</v>
      </c>
      <c r="AV1423" s="6" t="str">
        <f>HYPERLINK("http://mcgill.on.worldcat.org/oclc/56014567","Catalog Record")</f>
        <v>Catalog Record</v>
      </c>
      <c r="AW1423" s="6" t="str">
        <f>HYPERLINK("http://www.worldcat.org/oclc/56014567","WorldCat Record")</f>
        <v>WorldCat Record</v>
      </c>
      <c r="AX1423" s="3" t="s">
        <v>13835</v>
      </c>
      <c r="AY1423" s="3" t="s">
        <v>13836</v>
      </c>
      <c r="AZ1423" s="3" t="s">
        <v>13837</v>
      </c>
      <c r="BA1423" s="3" t="s">
        <v>13837</v>
      </c>
      <c r="BB1423" s="3" t="s">
        <v>13838</v>
      </c>
      <c r="BC1423" s="3" t="s">
        <v>142</v>
      </c>
      <c r="BD1423" s="3" t="s">
        <v>68</v>
      </c>
      <c r="BE1423" s="3" t="s">
        <v>13839</v>
      </c>
      <c r="BF1423" s="3" t="s">
        <v>13838</v>
      </c>
      <c r="BG1423" s="3" t="s">
        <v>13840</v>
      </c>
    </row>
    <row r="1424" spans="1:59" ht="57" x14ac:dyDescent="0.45">
      <c r="A1424" s="2" t="s">
        <v>59</v>
      </c>
      <c r="B1424" s="2" t="s">
        <v>60</v>
      </c>
      <c r="C1424" s="2" t="s">
        <v>13841</v>
      </c>
      <c r="D1424" s="2" t="s">
        <v>13842</v>
      </c>
      <c r="E1424" s="2" t="s">
        <v>13843</v>
      </c>
      <c r="G1424" s="3" t="s">
        <v>62</v>
      </c>
      <c r="I1424" s="3" t="s">
        <v>62</v>
      </c>
      <c r="J1424" s="3" t="s">
        <v>62</v>
      </c>
      <c r="K1424" s="3" t="s">
        <v>63</v>
      </c>
      <c r="L1424" s="2" t="s">
        <v>13844</v>
      </c>
      <c r="M1424" s="2" t="s">
        <v>13845</v>
      </c>
      <c r="N1424" s="3" t="s">
        <v>1604</v>
      </c>
      <c r="P1424" s="3" t="s">
        <v>65</v>
      </c>
      <c r="R1424" s="3" t="s">
        <v>66</v>
      </c>
      <c r="S1424" s="4">
        <v>23</v>
      </c>
      <c r="T1424" s="4">
        <v>23</v>
      </c>
      <c r="U1424" s="5" t="s">
        <v>13846</v>
      </c>
      <c r="V1424" s="5" t="s">
        <v>13846</v>
      </c>
      <c r="W1424" s="5" t="s">
        <v>67</v>
      </c>
      <c r="X1424" s="5" t="s">
        <v>67</v>
      </c>
      <c r="Y1424" s="4">
        <v>450</v>
      </c>
      <c r="Z1424" s="4">
        <v>16</v>
      </c>
      <c r="AA1424" s="4">
        <v>22</v>
      </c>
      <c r="AB1424" s="4">
        <v>2</v>
      </c>
      <c r="AC1424" s="4">
        <v>6</v>
      </c>
      <c r="AD1424" s="4">
        <v>97</v>
      </c>
      <c r="AE1424" s="4">
        <v>110</v>
      </c>
      <c r="AF1424" s="4">
        <v>1</v>
      </c>
      <c r="AG1424" s="4">
        <v>5</v>
      </c>
      <c r="AH1424" s="4">
        <v>89</v>
      </c>
      <c r="AI1424" s="4">
        <v>97</v>
      </c>
      <c r="AJ1424" s="4">
        <v>10</v>
      </c>
      <c r="AK1424" s="4">
        <v>15</v>
      </c>
      <c r="AL1424" s="4">
        <v>45</v>
      </c>
      <c r="AM1424" s="4">
        <v>49</v>
      </c>
      <c r="AN1424" s="4">
        <v>0</v>
      </c>
      <c r="AO1424" s="4">
        <v>0</v>
      </c>
      <c r="AP1424" s="4">
        <v>11</v>
      </c>
      <c r="AQ1424" s="4">
        <v>16</v>
      </c>
      <c r="AR1424" s="3" t="s">
        <v>62</v>
      </c>
      <c r="AS1424" s="3" t="s">
        <v>62</v>
      </c>
      <c r="AT1424" s="3" t="s">
        <v>61</v>
      </c>
      <c r="AU1424" s="6" t="str">
        <f>HYPERLINK("http://catalog.hathitrust.org/Record/002808509","HathiTrust Record")</f>
        <v>HathiTrust Record</v>
      </c>
      <c r="AV1424" s="6" t="str">
        <f>HYPERLINK("http://mcgill.on.worldcat.org/oclc/29386556","Catalog Record")</f>
        <v>Catalog Record</v>
      </c>
      <c r="AW1424" s="6" t="str">
        <f>HYPERLINK("http://www.worldcat.org/oclc/29386556","WorldCat Record")</f>
        <v>WorldCat Record</v>
      </c>
      <c r="AX1424" s="3" t="s">
        <v>13847</v>
      </c>
      <c r="AY1424" s="3" t="s">
        <v>13848</v>
      </c>
      <c r="AZ1424" s="3" t="s">
        <v>13849</v>
      </c>
      <c r="BA1424" s="3" t="s">
        <v>13849</v>
      </c>
      <c r="BB1424" s="3" t="s">
        <v>13850</v>
      </c>
      <c r="BC1424" s="3" t="s">
        <v>142</v>
      </c>
      <c r="BD1424" s="3" t="s">
        <v>68</v>
      </c>
      <c r="BE1424" s="3" t="s">
        <v>13851</v>
      </c>
      <c r="BF1424" s="3" t="s">
        <v>13850</v>
      </c>
      <c r="BG1424" s="3" t="s">
        <v>13852</v>
      </c>
    </row>
    <row r="1425" spans="1:59" ht="57" x14ac:dyDescent="0.45">
      <c r="A1425" s="2" t="s">
        <v>59</v>
      </c>
      <c r="B1425" s="2" t="s">
        <v>60</v>
      </c>
      <c r="C1425" s="2" t="s">
        <v>13853</v>
      </c>
      <c r="D1425" s="2" t="s">
        <v>13854</v>
      </c>
      <c r="E1425" s="2" t="s">
        <v>13855</v>
      </c>
      <c r="G1425" s="3" t="s">
        <v>62</v>
      </c>
      <c r="I1425" s="3" t="s">
        <v>62</v>
      </c>
      <c r="J1425" s="3" t="s">
        <v>62</v>
      </c>
      <c r="K1425" s="3" t="s">
        <v>63</v>
      </c>
      <c r="L1425" s="2" t="s">
        <v>13856</v>
      </c>
      <c r="M1425" s="2" t="s">
        <v>13857</v>
      </c>
      <c r="N1425" s="3" t="s">
        <v>1059</v>
      </c>
      <c r="P1425" s="3" t="s">
        <v>65</v>
      </c>
      <c r="R1425" s="3" t="s">
        <v>66</v>
      </c>
      <c r="S1425" s="4">
        <v>4</v>
      </c>
      <c r="T1425" s="4">
        <v>4</v>
      </c>
      <c r="U1425" s="5" t="s">
        <v>13858</v>
      </c>
      <c r="V1425" s="5" t="s">
        <v>13858</v>
      </c>
      <c r="W1425" s="5" t="s">
        <v>67</v>
      </c>
      <c r="X1425" s="5" t="s">
        <v>67</v>
      </c>
      <c r="Y1425" s="4">
        <v>83</v>
      </c>
      <c r="Z1425" s="4">
        <v>9</v>
      </c>
      <c r="AA1425" s="4">
        <v>19</v>
      </c>
      <c r="AB1425" s="4">
        <v>1</v>
      </c>
      <c r="AC1425" s="4">
        <v>2</v>
      </c>
      <c r="AD1425" s="4">
        <v>30</v>
      </c>
      <c r="AE1425" s="4">
        <v>57</v>
      </c>
      <c r="AF1425" s="4">
        <v>0</v>
      </c>
      <c r="AG1425" s="4">
        <v>1</v>
      </c>
      <c r="AH1425" s="4">
        <v>26</v>
      </c>
      <c r="AI1425" s="4">
        <v>50</v>
      </c>
      <c r="AJ1425" s="4">
        <v>7</v>
      </c>
      <c r="AK1425" s="4">
        <v>13</v>
      </c>
      <c r="AL1425" s="4">
        <v>16</v>
      </c>
      <c r="AM1425" s="4">
        <v>29</v>
      </c>
      <c r="AN1425" s="4">
        <v>0</v>
      </c>
      <c r="AO1425" s="4">
        <v>1</v>
      </c>
      <c r="AP1425" s="4">
        <v>8</v>
      </c>
      <c r="AQ1425" s="4">
        <v>15</v>
      </c>
      <c r="AR1425" s="3" t="s">
        <v>62</v>
      </c>
      <c r="AS1425" s="3" t="s">
        <v>62</v>
      </c>
      <c r="AT1425" s="3" t="s">
        <v>61</v>
      </c>
      <c r="AU1425" s="6" t="str">
        <f>HYPERLINK("http://catalog.hathitrust.org/Record/005699126","HathiTrust Record")</f>
        <v>HathiTrust Record</v>
      </c>
      <c r="AV1425" s="6" t="str">
        <f>HYPERLINK("http://mcgill.on.worldcat.org/oclc/85828417","Catalog Record")</f>
        <v>Catalog Record</v>
      </c>
      <c r="AW1425" s="6" t="str">
        <f>HYPERLINK("http://www.worldcat.org/oclc/85828417","WorldCat Record")</f>
        <v>WorldCat Record</v>
      </c>
      <c r="AX1425" s="3" t="s">
        <v>13859</v>
      </c>
      <c r="AY1425" s="3" t="s">
        <v>13860</v>
      </c>
      <c r="AZ1425" s="3" t="s">
        <v>13861</v>
      </c>
      <c r="BA1425" s="3" t="s">
        <v>13861</v>
      </c>
      <c r="BB1425" s="3" t="s">
        <v>13862</v>
      </c>
      <c r="BC1425" s="3" t="s">
        <v>142</v>
      </c>
      <c r="BD1425" s="3" t="s">
        <v>68</v>
      </c>
      <c r="BE1425" s="3" t="s">
        <v>13863</v>
      </c>
      <c r="BF1425" s="3" t="s">
        <v>13862</v>
      </c>
      <c r="BG1425" s="3" t="s">
        <v>13864</v>
      </c>
    </row>
    <row r="1426" spans="1:59" ht="57" x14ac:dyDescent="0.45">
      <c r="A1426" s="2" t="s">
        <v>59</v>
      </c>
      <c r="B1426" s="2" t="s">
        <v>60</v>
      </c>
      <c r="C1426" s="2" t="s">
        <v>13865</v>
      </c>
      <c r="D1426" s="2" t="s">
        <v>13866</v>
      </c>
      <c r="E1426" s="2" t="s">
        <v>13867</v>
      </c>
      <c r="G1426" s="3" t="s">
        <v>62</v>
      </c>
      <c r="I1426" s="3" t="s">
        <v>62</v>
      </c>
      <c r="J1426" s="3" t="s">
        <v>61</v>
      </c>
      <c r="K1426" s="3" t="s">
        <v>63</v>
      </c>
      <c r="L1426" s="2" t="s">
        <v>13868</v>
      </c>
      <c r="M1426" s="2" t="s">
        <v>13869</v>
      </c>
      <c r="N1426" s="3" t="s">
        <v>116</v>
      </c>
      <c r="O1426" s="2" t="s">
        <v>933</v>
      </c>
      <c r="P1426" s="3" t="s">
        <v>65</v>
      </c>
      <c r="Q1426" s="2" t="s">
        <v>13870</v>
      </c>
      <c r="R1426" s="3" t="s">
        <v>66</v>
      </c>
      <c r="S1426" s="4">
        <v>0</v>
      </c>
      <c r="T1426" s="4">
        <v>0</v>
      </c>
      <c r="W1426" s="5" t="s">
        <v>67</v>
      </c>
      <c r="X1426" s="5" t="s">
        <v>67</v>
      </c>
      <c r="Y1426" s="4">
        <v>88</v>
      </c>
      <c r="Z1426" s="4">
        <v>9</v>
      </c>
      <c r="AA1426" s="4">
        <v>23</v>
      </c>
      <c r="AB1426" s="4">
        <v>1</v>
      </c>
      <c r="AC1426" s="4">
        <v>5</v>
      </c>
      <c r="AD1426" s="4">
        <v>40</v>
      </c>
      <c r="AE1426" s="4">
        <v>82</v>
      </c>
      <c r="AF1426" s="4">
        <v>0</v>
      </c>
      <c r="AG1426" s="4">
        <v>3</v>
      </c>
      <c r="AH1426" s="4">
        <v>39</v>
      </c>
      <c r="AI1426" s="4">
        <v>75</v>
      </c>
      <c r="AJ1426" s="4">
        <v>7</v>
      </c>
      <c r="AK1426" s="4">
        <v>16</v>
      </c>
      <c r="AL1426" s="4">
        <v>19</v>
      </c>
      <c r="AM1426" s="4">
        <v>39</v>
      </c>
      <c r="AN1426" s="4">
        <v>0</v>
      </c>
      <c r="AO1426" s="4">
        <v>0</v>
      </c>
      <c r="AP1426" s="4">
        <v>8</v>
      </c>
      <c r="AQ1426" s="4">
        <v>18</v>
      </c>
      <c r="AR1426" s="3" t="s">
        <v>62</v>
      </c>
      <c r="AS1426" s="3" t="s">
        <v>62</v>
      </c>
      <c r="AT1426" s="3" t="s">
        <v>62</v>
      </c>
      <c r="AV1426" s="6" t="str">
        <f>HYPERLINK("http://mcgill.on.worldcat.org/oclc/809420868","Catalog Record")</f>
        <v>Catalog Record</v>
      </c>
      <c r="AW1426" s="6" t="str">
        <f>HYPERLINK("http://www.worldcat.org/oclc/809420868","WorldCat Record")</f>
        <v>WorldCat Record</v>
      </c>
      <c r="AX1426" s="3" t="s">
        <v>13871</v>
      </c>
      <c r="AY1426" s="3" t="s">
        <v>13872</v>
      </c>
      <c r="AZ1426" s="3" t="s">
        <v>13873</v>
      </c>
      <c r="BA1426" s="3" t="s">
        <v>13873</v>
      </c>
      <c r="BB1426" s="3" t="s">
        <v>13874</v>
      </c>
      <c r="BC1426" s="3" t="s">
        <v>142</v>
      </c>
      <c r="BD1426" s="3" t="s">
        <v>68</v>
      </c>
      <c r="BE1426" s="3" t="s">
        <v>13875</v>
      </c>
      <c r="BF1426" s="3" t="s">
        <v>13874</v>
      </c>
      <c r="BG1426" s="3" t="s">
        <v>13876</v>
      </c>
    </row>
    <row r="1427" spans="1:59" ht="57" x14ac:dyDescent="0.45">
      <c r="A1427" s="2" t="s">
        <v>59</v>
      </c>
      <c r="B1427" s="2" t="s">
        <v>60</v>
      </c>
      <c r="C1427" s="2" t="s">
        <v>13877</v>
      </c>
      <c r="D1427" s="2" t="s">
        <v>13878</v>
      </c>
      <c r="E1427" s="2" t="s">
        <v>13879</v>
      </c>
      <c r="G1427" s="3" t="s">
        <v>62</v>
      </c>
      <c r="I1427" s="3" t="s">
        <v>62</v>
      </c>
      <c r="J1427" s="3" t="s">
        <v>62</v>
      </c>
      <c r="K1427" s="3" t="s">
        <v>63</v>
      </c>
      <c r="M1427" s="2" t="s">
        <v>13880</v>
      </c>
      <c r="N1427" s="3" t="s">
        <v>894</v>
      </c>
      <c r="P1427" s="3" t="s">
        <v>65</v>
      </c>
      <c r="Q1427" s="2" t="s">
        <v>13881</v>
      </c>
      <c r="R1427" s="3" t="s">
        <v>66</v>
      </c>
      <c r="S1427" s="4">
        <v>0</v>
      </c>
      <c r="T1427" s="4">
        <v>0</v>
      </c>
      <c r="W1427" s="5" t="s">
        <v>67</v>
      </c>
      <c r="X1427" s="5" t="s">
        <v>67</v>
      </c>
      <c r="Y1427" s="4">
        <v>23</v>
      </c>
      <c r="Z1427" s="4">
        <v>5</v>
      </c>
      <c r="AA1427" s="4">
        <v>5</v>
      </c>
      <c r="AB1427" s="4">
        <v>1</v>
      </c>
      <c r="AC1427" s="4">
        <v>1</v>
      </c>
      <c r="AD1427" s="4">
        <v>10</v>
      </c>
      <c r="AE1427" s="4">
        <v>10</v>
      </c>
      <c r="AF1427" s="4">
        <v>0</v>
      </c>
      <c r="AG1427" s="4">
        <v>0</v>
      </c>
      <c r="AH1427" s="4">
        <v>8</v>
      </c>
      <c r="AI1427" s="4">
        <v>8</v>
      </c>
      <c r="AJ1427" s="4">
        <v>4</v>
      </c>
      <c r="AK1427" s="4">
        <v>4</v>
      </c>
      <c r="AL1427" s="4">
        <v>5</v>
      </c>
      <c r="AM1427" s="4">
        <v>5</v>
      </c>
      <c r="AN1427" s="4">
        <v>0</v>
      </c>
      <c r="AO1427" s="4">
        <v>0</v>
      </c>
      <c r="AP1427" s="4">
        <v>4</v>
      </c>
      <c r="AQ1427" s="4">
        <v>4</v>
      </c>
      <c r="AR1427" s="3" t="s">
        <v>62</v>
      </c>
      <c r="AS1427" s="3" t="s">
        <v>62</v>
      </c>
      <c r="AT1427" s="3" t="s">
        <v>62</v>
      </c>
      <c r="AV1427" s="6" t="str">
        <f>HYPERLINK("http://mcgill.on.worldcat.org/oclc/705930985","Catalog Record")</f>
        <v>Catalog Record</v>
      </c>
      <c r="AW1427" s="6" t="str">
        <f>HYPERLINK("http://www.worldcat.org/oclc/705930985","WorldCat Record")</f>
        <v>WorldCat Record</v>
      </c>
      <c r="AX1427" s="3" t="s">
        <v>13882</v>
      </c>
      <c r="AY1427" s="3" t="s">
        <v>13883</v>
      </c>
      <c r="AZ1427" s="3" t="s">
        <v>13884</v>
      </c>
      <c r="BA1427" s="3" t="s">
        <v>13884</v>
      </c>
      <c r="BB1427" s="3" t="s">
        <v>13885</v>
      </c>
      <c r="BC1427" s="3" t="s">
        <v>142</v>
      </c>
      <c r="BD1427" s="3" t="s">
        <v>68</v>
      </c>
      <c r="BE1427" s="3" t="s">
        <v>13886</v>
      </c>
      <c r="BF1427" s="3" t="s">
        <v>13885</v>
      </c>
      <c r="BG1427" s="3" t="s">
        <v>13887</v>
      </c>
    </row>
    <row r="1428" spans="1:59" ht="57" x14ac:dyDescent="0.45">
      <c r="A1428" s="2" t="s">
        <v>59</v>
      </c>
      <c r="B1428" s="2" t="s">
        <v>60</v>
      </c>
      <c r="C1428" s="2" t="s">
        <v>13888</v>
      </c>
      <c r="D1428" s="2" t="s">
        <v>13889</v>
      </c>
      <c r="E1428" s="2" t="s">
        <v>13890</v>
      </c>
      <c r="G1428" s="3" t="s">
        <v>62</v>
      </c>
      <c r="I1428" s="3" t="s">
        <v>62</v>
      </c>
      <c r="J1428" s="3" t="s">
        <v>62</v>
      </c>
      <c r="K1428" s="3" t="s">
        <v>63</v>
      </c>
      <c r="L1428" s="2" t="s">
        <v>13891</v>
      </c>
      <c r="M1428" s="2" t="s">
        <v>13892</v>
      </c>
      <c r="N1428" s="3" t="s">
        <v>1253</v>
      </c>
      <c r="O1428" s="2" t="s">
        <v>13893</v>
      </c>
      <c r="P1428" s="3" t="s">
        <v>65</v>
      </c>
      <c r="R1428" s="3" t="s">
        <v>66</v>
      </c>
      <c r="S1428" s="4">
        <v>15</v>
      </c>
      <c r="T1428" s="4">
        <v>15</v>
      </c>
      <c r="U1428" s="5" t="s">
        <v>12780</v>
      </c>
      <c r="V1428" s="5" t="s">
        <v>12780</v>
      </c>
      <c r="W1428" s="5" t="s">
        <v>67</v>
      </c>
      <c r="X1428" s="5" t="s">
        <v>67</v>
      </c>
      <c r="Y1428" s="4">
        <v>473</v>
      </c>
      <c r="Z1428" s="4">
        <v>16</v>
      </c>
      <c r="AA1428" s="4">
        <v>24</v>
      </c>
      <c r="AB1428" s="4">
        <v>2</v>
      </c>
      <c r="AC1428" s="4">
        <v>4</v>
      </c>
      <c r="AD1428" s="4">
        <v>82</v>
      </c>
      <c r="AE1428" s="4">
        <v>93</v>
      </c>
      <c r="AF1428" s="4">
        <v>1</v>
      </c>
      <c r="AG1428" s="4">
        <v>2</v>
      </c>
      <c r="AH1428" s="4">
        <v>77</v>
      </c>
      <c r="AI1428" s="4">
        <v>83</v>
      </c>
      <c r="AJ1428" s="4">
        <v>6</v>
      </c>
      <c r="AK1428" s="4">
        <v>9</v>
      </c>
      <c r="AL1428" s="4">
        <v>39</v>
      </c>
      <c r="AM1428" s="4">
        <v>43</v>
      </c>
      <c r="AN1428" s="4">
        <v>0</v>
      </c>
      <c r="AO1428" s="4">
        <v>0</v>
      </c>
      <c r="AP1428" s="4">
        <v>8</v>
      </c>
      <c r="AQ1428" s="4">
        <v>13</v>
      </c>
      <c r="AR1428" s="3" t="s">
        <v>62</v>
      </c>
      <c r="AS1428" s="3" t="s">
        <v>62</v>
      </c>
      <c r="AT1428" s="3" t="s">
        <v>61</v>
      </c>
      <c r="AU1428" s="6" t="str">
        <f>HYPERLINK("http://catalog.hathitrust.org/Record/003947099","HathiTrust Record")</f>
        <v>HathiTrust Record</v>
      </c>
      <c r="AV1428" s="6" t="str">
        <f>HYPERLINK("http://mcgill.on.worldcat.org/oclc/36170761","Catalog Record")</f>
        <v>Catalog Record</v>
      </c>
      <c r="AW1428" s="6" t="str">
        <f>HYPERLINK("http://www.worldcat.org/oclc/36170761","WorldCat Record")</f>
        <v>WorldCat Record</v>
      </c>
      <c r="AX1428" s="3" t="s">
        <v>13894</v>
      </c>
      <c r="AY1428" s="3" t="s">
        <v>13895</v>
      </c>
      <c r="AZ1428" s="3" t="s">
        <v>13896</v>
      </c>
      <c r="BA1428" s="3" t="s">
        <v>13896</v>
      </c>
      <c r="BB1428" s="3" t="s">
        <v>13897</v>
      </c>
      <c r="BC1428" s="3" t="s">
        <v>142</v>
      </c>
      <c r="BD1428" s="3" t="s">
        <v>68</v>
      </c>
      <c r="BE1428" s="3" t="s">
        <v>13898</v>
      </c>
      <c r="BF1428" s="3" t="s">
        <v>13897</v>
      </c>
      <c r="BG1428" s="3" t="s">
        <v>13899</v>
      </c>
    </row>
    <row r="1429" spans="1:59" ht="57" x14ac:dyDescent="0.45">
      <c r="A1429" s="2" t="s">
        <v>59</v>
      </c>
      <c r="B1429" s="2" t="s">
        <v>60</v>
      </c>
      <c r="C1429" s="2" t="s">
        <v>13900</v>
      </c>
      <c r="D1429" s="2" t="s">
        <v>13901</v>
      </c>
      <c r="E1429" s="2" t="s">
        <v>13902</v>
      </c>
      <c r="G1429" s="3" t="s">
        <v>62</v>
      </c>
      <c r="I1429" s="3" t="s">
        <v>62</v>
      </c>
      <c r="J1429" s="3" t="s">
        <v>62</v>
      </c>
      <c r="K1429" s="3" t="s">
        <v>63</v>
      </c>
      <c r="L1429" s="2" t="s">
        <v>13903</v>
      </c>
      <c r="M1429" s="2" t="s">
        <v>3423</v>
      </c>
      <c r="N1429" s="3" t="s">
        <v>1478</v>
      </c>
      <c r="P1429" s="3" t="s">
        <v>65</v>
      </c>
      <c r="R1429" s="3" t="s">
        <v>66</v>
      </c>
      <c r="S1429" s="4">
        <v>14</v>
      </c>
      <c r="T1429" s="4">
        <v>14</v>
      </c>
      <c r="U1429" s="5" t="s">
        <v>8757</v>
      </c>
      <c r="V1429" s="5" t="s">
        <v>8757</v>
      </c>
      <c r="W1429" s="5" t="s">
        <v>67</v>
      </c>
      <c r="X1429" s="5" t="s">
        <v>67</v>
      </c>
      <c r="Y1429" s="4">
        <v>386</v>
      </c>
      <c r="Z1429" s="4">
        <v>19</v>
      </c>
      <c r="AA1429" s="4">
        <v>111</v>
      </c>
      <c r="AB1429" s="4">
        <v>2</v>
      </c>
      <c r="AC1429" s="4">
        <v>21</v>
      </c>
      <c r="AD1429" s="4">
        <v>108</v>
      </c>
      <c r="AE1429" s="4">
        <v>156</v>
      </c>
      <c r="AF1429" s="4">
        <v>1</v>
      </c>
      <c r="AG1429" s="4">
        <v>9</v>
      </c>
      <c r="AH1429" s="4">
        <v>99</v>
      </c>
      <c r="AI1429" s="4">
        <v>110</v>
      </c>
      <c r="AJ1429" s="4">
        <v>15</v>
      </c>
      <c r="AK1429" s="4">
        <v>28</v>
      </c>
      <c r="AL1429" s="4">
        <v>53</v>
      </c>
      <c r="AM1429" s="4">
        <v>55</v>
      </c>
      <c r="AN1429" s="4">
        <v>0</v>
      </c>
      <c r="AO1429" s="4">
        <v>0</v>
      </c>
      <c r="AP1429" s="4">
        <v>17</v>
      </c>
      <c r="AQ1429" s="4">
        <v>57</v>
      </c>
      <c r="AR1429" s="3" t="s">
        <v>62</v>
      </c>
      <c r="AS1429" s="3" t="s">
        <v>62</v>
      </c>
      <c r="AT1429" s="3" t="s">
        <v>61</v>
      </c>
      <c r="AU1429" s="6" t="str">
        <f>HYPERLINK("http://catalog.hathitrust.org/Record/003110201","HathiTrust Record")</f>
        <v>HathiTrust Record</v>
      </c>
      <c r="AV1429" s="6" t="str">
        <f>HYPERLINK("http://mcgill.on.worldcat.org/oclc/33207502","Catalog Record")</f>
        <v>Catalog Record</v>
      </c>
      <c r="AW1429" s="6" t="str">
        <f>HYPERLINK("http://www.worldcat.org/oclc/33207502","WorldCat Record")</f>
        <v>WorldCat Record</v>
      </c>
      <c r="AX1429" s="3" t="s">
        <v>13904</v>
      </c>
      <c r="AY1429" s="3" t="s">
        <v>13905</v>
      </c>
      <c r="AZ1429" s="3" t="s">
        <v>13906</v>
      </c>
      <c r="BA1429" s="3" t="s">
        <v>13906</v>
      </c>
      <c r="BB1429" s="3" t="s">
        <v>13907</v>
      </c>
      <c r="BC1429" s="3" t="s">
        <v>142</v>
      </c>
      <c r="BD1429" s="3" t="s">
        <v>308</v>
      </c>
      <c r="BE1429" s="3" t="s">
        <v>13908</v>
      </c>
      <c r="BF1429" s="3" t="s">
        <v>13907</v>
      </c>
      <c r="BG1429" s="3" t="s">
        <v>13909</v>
      </c>
    </row>
    <row r="1430" spans="1:59" ht="57" x14ac:dyDescent="0.45">
      <c r="A1430" s="2" t="s">
        <v>59</v>
      </c>
      <c r="B1430" s="2" t="s">
        <v>60</v>
      </c>
      <c r="C1430" s="2" t="s">
        <v>13910</v>
      </c>
      <c r="D1430" s="2" t="s">
        <v>13911</v>
      </c>
      <c r="E1430" s="2" t="s">
        <v>13912</v>
      </c>
      <c r="G1430" s="3" t="s">
        <v>62</v>
      </c>
      <c r="I1430" s="3" t="s">
        <v>62</v>
      </c>
      <c r="J1430" s="3" t="s">
        <v>62</v>
      </c>
      <c r="K1430" s="3" t="s">
        <v>63</v>
      </c>
      <c r="L1430" s="2" t="s">
        <v>13913</v>
      </c>
      <c r="M1430" s="2" t="s">
        <v>13914</v>
      </c>
      <c r="N1430" s="3" t="s">
        <v>625</v>
      </c>
      <c r="P1430" s="3" t="s">
        <v>65</v>
      </c>
      <c r="Q1430" s="2" t="s">
        <v>13915</v>
      </c>
      <c r="R1430" s="3" t="s">
        <v>66</v>
      </c>
      <c r="S1430" s="4">
        <v>16</v>
      </c>
      <c r="T1430" s="4">
        <v>16</v>
      </c>
      <c r="U1430" s="5" t="s">
        <v>13916</v>
      </c>
      <c r="V1430" s="5" t="s">
        <v>13916</v>
      </c>
      <c r="W1430" s="5" t="s">
        <v>67</v>
      </c>
      <c r="X1430" s="5" t="s">
        <v>67</v>
      </c>
      <c r="Y1430" s="4">
        <v>454</v>
      </c>
      <c r="Z1430" s="4">
        <v>24</v>
      </c>
      <c r="AA1430" s="4">
        <v>27</v>
      </c>
      <c r="AB1430" s="4">
        <v>1</v>
      </c>
      <c r="AC1430" s="4">
        <v>3</v>
      </c>
      <c r="AD1430" s="4">
        <v>114</v>
      </c>
      <c r="AE1430" s="4">
        <v>119</v>
      </c>
      <c r="AF1430" s="4">
        <v>0</v>
      </c>
      <c r="AG1430" s="4">
        <v>2</v>
      </c>
      <c r="AH1430" s="4">
        <v>101</v>
      </c>
      <c r="AI1430" s="4">
        <v>105</v>
      </c>
      <c r="AJ1430" s="4">
        <v>16</v>
      </c>
      <c r="AK1430" s="4">
        <v>19</v>
      </c>
      <c r="AL1430" s="4">
        <v>56</v>
      </c>
      <c r="AM1430" s="4">
        <v>56</v>
      </c>
      <c r="AN1430" s="4">
        <v>0</v>
      </c>
      <c r="AO1430" s="4">
        <v>0</v>
      </c>
      <c r="AP1430" s="4">
        <v>19</v>
      </c>
      <c r="AQ1430" s="4">
        <v>22</v>
      </c>
      <c r="AR1430" s="3" t="s">
        <v>62</v>
      </c>
      <c r="AS1430" s="3" t="s">
        <v>62</v>
      </c>
      <c r="AT1430" s="3" t="s">
        <v>61</v>
      </c>
      <c r="AU1430" s="6" t="str">
        <f>HYPERLINK("http://catalog.hathitrust.org/Record/000583341","HathiTrust Record")</f>
        <v>HathiTrust Record</v>
      </c>
      <c r="AV1430" s="6" t="str">
        <f>HYPERLINK("http://mcgill.on.worldcat.org/oclc/12083193","Catalog Record")</f>
        <v>Catalog Record</v>
      </c>
      <c r="AW1430" s="6" t="str">
        <f>HYPERLINK("http://www.worldcat.org/oclc/12083193","WorldCat Record")</f>
        <v>WorldCat Record</v>
      </c>
      <c r="AX1430" s="3" t="s">
        <v>13917</v>
      </c>
      <c r="AY1430" s="3" t="s">
        <v>13918</v>
      </c>
      <c r="AZ1430" s="3" t="s">
        <v>13919</v>
      </c>
      <c r="BA1430" s="3" t="s">
        <v>13919</v>
      </c>
      <c r="BB1430" s="3" t="s">
        <v>13920</v>
      </c>
      <c r="BC1430" s="3" t="s">
        <v>142</v>
      </c>
      <c r="BD1430" s="3" t="s">
        <v>68</v>
      </c>
      <c r="BE1430" s="3" t="s">
        <v>13921</v>
      </c>
      <c r="BF1430" s="3" t="s">
        <v>13920</v>
      </c>
      <c r="BG1430" s="3" t="s">
        <v>13922</v>
      </c>
    </row>
    <row r="1431" spans="1:59" ht="57" x14ac:dyDescent="0.45">
      <c r="A1431" s="2" t="s">
        <v>59</v>
      </c>
      <c r="B1431" s="2" t="s">
        <v>60</v>
      </c>
      <c r="C1431" s="2" t="s">
        <v>13923</v>
      </c>
      <c r="D1431" s="2" t="s">
        <v>13924</v>
      </c>
      <c r="E1431" s="2" t="s">
        <v>13925</v>
      </c>
      <c r="G1431" s="3" t="s">
        <v>62</v>
      </c>
      <c r="I1431" s="3" t="s">
        <v>61</v>
      </c>
      <c r="J1431" s="3" t="s">
        <v>62</v>
      </c>
      <c r="K1431" s="3" t="s">
        <v>63</v>
      </c>
      <c r="L1431" s="2" t="s">
        <v>12359</v>
      </c>
      <c r="M1431" s="2" t="s">
        <v>13926</v>
      </c>
      <c r="N1431" s="3" t="s">
        <v>248</v>
      </c>
      <c r="O1431" s="2" t="s">
        <v>11899</v>
      </c>
      <c r="P1431" s="3" t="s">
        <v>65</v>
      </c>
      <c r="R1431" s="3" t="s">
        <v>66</v>
      </c>
      <c r="S1431" s="4">
        <v>3</v>
      </c>
      <c r="T1431" s="4">
        <v>17</v>
      </c>
      <c r="U1431" s="5" t="s">
        <v>12703</v>
      </c>
      <c r="V1431" s="5" t="s">
        <v>12703</v>
      </c>
      <c r="W1431" s="5" t="s">
        <v>67</v>
      </c>
      <c r="X1431" s="5" t="s">
        <v>67</v>
      </c>
      <c r="Y1431" s="4">
        <v>759</v>
      </c>
      <c r="Z1431" s="4">
        <v>35</v>
      </c>
      <c r="AA1431" s="4">
        <v>55</v>
      </c>
      <c r="AB1431" s="4">
        <v>4</v>
      </c>
      <c r="AC1431" s="4">
        <v>8</v>
      </c>
      <c r="AD1431" s="4">
        <v>115</v>
      </c>
      <c r="AE1431" s="4">
        <v>132</v>
      </c>
      <c r="AF1431" s="4">
        <v>2</v>
      </c>
      <c r="AG1431" s="4">
        <v>6</v>
      </c>
      <c r="AH1431" s="4">
        <v>94</v>
      </c>
      <c r="AI1431" s="4">
        <v>102</v>
      </c>
      <c r="AJ1431" s="4">
        <v>15</v>
      </c>
      <c r="AK1431" s="4">
        <v>25</v>
      </c>
      <c r="AL1431" s="4">
        <v>54</v>
      </c>
      <c r="AM1431" s="4">
        <v>56</v>
      </c>
      <c r="AN1431" s="4">
        <v>0</v>
      </c>
      <c r="AO1431" s="4">
        <v>0</v>
      </c>
      <c r="AP1431" s="4">
        <v>25</v>
      </c>
      <c r="AQ1431" s="4">
        <v>38</v>
      </c>
      <c r="AR1431" s="3" t="s">
        <v>62</v>
      </c>
      <c r="AS1431" s="3" t="s">
        <v>62</v>
      </c>
      <c r="AT1431" s="3" t="s">
        <v>62</v>
      </c>
      <c r="AU1431" s="6" t="str">
        <f>HYPERLINK("http://catalog.hathitrust.org/Record/001180788","HathiTrust Record")</f>
        <v>HathiTrust Record</v>
      </c>
      <c r="AV1431" s="6" t="str">
        <f>HYPERLINK("http://mcgill.on.worldcat.org/oclc/710723","Catalog Record")</f>
        <v>Catalog Record</v>
      </c>
      <c r="AW1431" s="6" t="str">
        <f>HYPERLINK("http://www.worldcat.org/oclc/710723","WorldCat Record")</f>
        <v>WorldCat Record</v>
      </c>
      <c r="AX1431" s="3" t="s">
        <v>13927</v>
      </c>
      <c r="AY1431" s="3" t="s">
        <v>13928</v>
      </c>
      <c r="AZ1431" s="3" t="s">
        <v>13929</v>
      </c>
      <c r="BA1431" s="3" t="s">
        <v>13929</v>
      </c>
      <c r="BB1431" s="3" t="s">
        <v>13930</v>
      </c>
      <c r="BC1431" s="3" t="s">
        <v>142</v>
      </c>
      <c r="BD1431" s="3" t="s">
        <v>68</v>
      </c>
      <c r="BF1431" s="3" t="s">
        <v>13930</v>
      </c>
      <c r="BG1431" s="3" t="s">
        <v>13931</v>
      </c>
    </row>
    <row r="1432" spans="1:59" ht="57" x14ac:dyDescent="0.45">
      <c r="A1432" s="2" t="s">
        <v>59</v>
      </c>
      <c r="B1432" s="2" t="s">
        <v>60</v>
      </c>
      <c r="C1432" s="2" t="s">
        <v>13923</v>
      </c>
      <c r="D1432" s="2" t="s">
        <v>13924</v>
      </c>
      <c r="E1432" s="2" t="s">
        <v>13925</v>
      </c>
      <c r="G1432" s="3" t="s">
        <v>62</v>
      </c>
      <c r="I1432" s="3" t="s">
        <v>61</v>
      </c>
      <c r="J1432" s="3" t="s">
        <v>62</v>
      </c>
      <c r="K1432" s="3" t="s">
        <v>63</v>
      </c>
      <c r="L1432" s="2" t="s">
        <v>12359</v>
      </c>
      <c r="M1432" s="2" t="s">
        <v>13926</v>
      </c>
      <c r="N1432" s="3" t="s">
        <v>248</v>
      </c>
      <c r="O1432" s="2" t="s">
        <v>11899</v>
      </c>
      <c r="P1432" s="3" t="s">
        <v>65</v>
      </c>
      <c r="R1432" s="3" t="s">
        <v>66</v>
      </c>
      <c r="S1432" s="4">
        <v>14</v>
      </c>
      <c r="T1432" s="4">
        <v>17</v>
      </c>
      <c r="U1432" s="5" t="s">
        <v>13932</v>
      </c>
      <c r="V1432" s="5" t="s">
        <v>12703</v>
      </c>
      <c r="W1432" s="5" t="s">
        <v>67</v>
      </c>
      <c r="X1432" s="5" t="s">
        <v>67</v>
      </c>
      <c r="Y1432" s="4">
        <v>759</v>
      </c>
      <c r="Z1432" s="4">
        <v>35</v>
      </c>
      <c r="AA1432" s="4">
        <v>55</v>
      </c>
      <c r="AB1432" s="4">
        <v>4</v>
      </c>
      <c r="AC1432" s="4">
        <v>8</v>
      </c>
      <c r="AD1432" s="4">
        <v>115</v>
      </c>
      <c r="AE1432" s="4">
        <v>132</v>
      </c>
      <c r="AF1432" s="4">
        <v>2</v>
      </c>
      <c r="AG1432" s="4">
        <v>6</v>
      </c>
      <c r="AH1432" s="4">
        <v>94</v>
      </c>
      <c r="AI1432" s="4">
        <v>102</v>
      </c>
      <c r="AJ1432" s="4">
        <v>15</v>
      </c>
      <c r="AK1432" s="4">
        <v>25</v>
      </c>
      <c r="AL1432" s="4">
        <v>54</v>
      </c>
      <c r="AM1432" s="4">
        <v>56</v>
      </c>
      <c r="AN1432" s="4">
        <v>0</v>
      </c>
      <c r="AO1432" s="4">
        <v>0</v>
      </c>
      <c r="AP1432" s="4">
        <v>25</v>
      </c>
      <c r="AQ1432" s="4">
        <v>38</v>
      </c>
      <c r="AR1432" s="3" t="s">
        <v>62</v>
      </c>
      <c r="AS1432" s="3" t="s">
        <v>62</v>
      </c>
      <c r="AT1432" s="3" t="s">
        <v>62</v>
      </c>
      <c r="AU1432" s="6" t="str">
        <f>HYPERLINK("http://catalog.hathitrust.org/Record/001180788","HathiTrust Record")</f>
        <v>HathiTrust Record</v>
      </c>
      <c r="AV1432" s="6" t="str">
        <f>HYPERLINK("http://mcgill.on.worldcat.org/oclc/710723","Catalog Record")</f>
        <v>Catalog Record</v>
      </c>
      <c r="AW1432" s="6" t="str">
        <f>HYPERLINK("http://www.worldcat.org/oclc/710723","WorldCat Record")</f>
        <v>WorldCat Record</v>
      </c>
      <c r="AX1432" s="3" t="s">
        <v>13927</v>
      </c>
      <c r="AY1432" s="3" t="s">
        <v>13928</v>
      </c>
      <c r="AZ1432" s="3" t="s">
        <v>13929</v>
      </c>
      <c r="BA1432" s="3" t="s">
        <v>13929</v>
      </c>
      <c r="BB1432" s="3" t="s">
        <v>13933</v>
      </c>
      <c r="BC1432" s="3" t="s">
        <v>142</v>
      </c>
      <c r="BD1432" s="3" t="s">
        <v>68</v>
      </c>
      <c r="BF1432" s="3" t="s">
        <v>13933</v>
      </c>
      <c r="BG1432" s="3" t="s">
        <v>13934</v>
      </c>
    </row>
    <row r="1433" spans="1:59" ht="57" x14ac:dyDescent="0.45">
      <c r="A1433" s="2" t="s">
        <v>59</v>
      </c>
      <c r="B1433" s="2" t="s">
        <v>60</v>
      </c>
      <c r="C1433" s="2" t="s">
        <v>13935</v>
      </c>
      <c r="D1433" s="2" t="s">
        <v>13936</v>
      </c>
      <c r="E1433" s="2" t="s">
        <v>13937</v>
      </c>
      <c r="G1433" s="3" t="s">
        <v>62</v>
      </c>
      <c r="I1433" s="3" t="s">
        <v>62</v>
      </c>
      <c r="J1433" s="3" t="s">
        <v>62</v>
      </c>
      <c r="K1433" s="3" t="s">
        <v>63</v>
      </c>
      <c r="L1433" s="2" t="s">
        <v>13938</v>
      </c>
      <c r="M1433" s="2" t="s">
        <v>13939</v>
      </c>
      <c r="N1433" s="3" t="s">
        <v>807</v>
      </c>
      <c r="P1433" s="3" t="s">
        <v>65</v>
      </c>
      <c r="Q1433" s="2" t="s">
        <v>13940</v>
      </c>
      <c r="R1433" s="3" t="s">
        <v>66</v>
      </c>
      <c r="S1433" s="4">
        <v>22</v>
      </c>
      <c r="T1433" s="4">
        <v>22</v>
      </c>
      <c r="U1433" s="5" t="s">
        <v>13420</v>
      </c>
      <c r="V1433" s="5" t="s">
        <v>13420</v>
      </c>
      <c r="W1433" s="5" t="s">
        <v>67</v>
      </c>
      <c r="X1433" s="5" t="s">
        <v>67</v>
      </c>
      <c r="Y1433" s="4">
        <v>343</v>
      </c>
      <c r="Z1433" s="4">
        <v>19</v>
      </c>
      <c r="AA1433" s="4">
        <v>21</v>
      </c>
      <c r="AB1433" s="4">
        <v>1</v>
      </c>
      <c r="AC1433" s="4">
        <v>3</v>
      </c>
      <c r="AD1433" s="4">
        <v>79</v>
      </c>
      <c r="AE1433" s="4">
        <v>81</v>
      </c>
      <c r="AF1433" s="4">
        <v>0</v>
      </c>
      <c r="AG1433" s="4">
        <v>2</v>
      </c>
      <c r="AH1433" s="4">
        <v>72</v>
      </c>
      <c r="AI1433" s="4">
        <v>73</v>
      </c>
      <c r="AJ1433" s="4">
        <v>13</v>
      </c>
      <c r="AK1433" s="4">
        <v>15</v>
      </c>
      <c r="AL1433" s="4">
        <v>35</v>
      </c>
      <c r="AM1433" s="4">
        <v>35</v>
      </c>
      <c r="AN1433" s="4">
        <v>0</v>
      </c>
      <c r="AO1433" s="4">
        <v>0</v>
      </c>
      <c r="AP1433" s="4">
        <v>14</v>
      </c>
      <c r="AQ1433" s="4">
        <v>15</v>
      </c>
      <c r="AR1433" s="3" t="s">
        <v>62</v>
      </c>
      <c r="AS1433" s="3" t="s">
        <v>62</v>
      </c>
      <c r="AT1433" s="3" t="s">
        <v>62</v>
      </c>
      <c r="AV1433" s="6" t="str">
        <f>HYPERLINK("http://mcgill.on.worldcat.org/oclc/24246812","Catalog Record")</f>
        <v>Catalog Record</v>
      </c>
      <c r="AW1433" s="6" t="str">
        <f>HYPERLINK("http://www.worldcat.org/oclc/24246812","WorldCat Record")</f>
        <v>WorldCat Record</v>
      </c>
      <c r="AX1433" s="3" t="s">
        <v>13941</v>
      </c>
      <c r="AY1433" s="3" t="s">
        <v>13942</v>
      </c>
      <c r="AZ1433" s="3" t="s">
        <v>13943</v>
      </c>
      <c r="BA1433" s="3" t="s">
        <v>13943</v>
      </c>
      <c r="BB1433" s="3" t="s">
        <v>13944</v>
      </c>
      <c r="BC1433" s="3" t="s">
        <v>142</v>
      </c>
      <c r="BD1433" s="3" t="s">
        <v>68</v>
      </c>
      <c r="BE1433" s="3" t="s">
        <v>13945</v>
      </c>
      <c r="BF1433" s="3" t="s">
        <v>13944</v>
      </c>
      <c r="BG1433" s="3" t="s">
        <v>13946</v>
      </c>
    </row>
    <row r="1434" spans="1:59" ht="57" x14ac:dyDescent="0.45">
      <c r="A1434" s="2" t="s">
        <v>59</v>
      </c>
      <c r="B1434" s="2" t="s">
        <v>60</v>
      </c>
      <c r="C1434" s="2" t="s">
        <v>13947</v>
      </c>
      <c r="D1434" s="2" t="s">
        <v>13948</v>
      </c>
      <c r="E1434" s="2" t="s">
        <v>13949</v>
      </c>
      <c r="G1434" s="3" t="s">
        <v>62</v>
      </c>
      <c r="I1434" s="3" t="s">
        <v>62</v>
      </c>
      <c r="J1434" s="3" t="s">
        <v>62</v>
      </c>
      <c r="K1434" s="3" t="s">
        <v>63</v>
      </c>
      <c r="L1434" s="2" t="s">
        <v>13938</v>
      </c>
      <c r="M1434" s="2" t="s">
        <v>3075</v>
      </c>
      <c r="N1434" s="3" t="s">
        <v>1465</v>
      </c>
      <c r="P1434" s="3" t="s">
        <v>65</v>
      </c>
      <c r="R1434" s="3" t="s">
        <v>66</v>
      </c>
      <c r="S1434" s="4">
        <v>7</v>
      </c>
      <c r="T1434" s="4">
        <v>7</v>
      </c>
      <c r="U1434" s="5" t="s">
        <v>13680</v>
      </c>
      <c r="V1434" s="5" t="s">
        <v>13680</v>
      </c>
      <c r="W1434" s="5" t="s">
        <v>67</v>
      </c>
      <c r="X1434" s="5" t="s">
        <v>67</v>
      </c>
      <c r="Y1434" s="4">
        <v>260</v>
      </c>
      <c r="Z1434" s="4">
        <v>21</v>
      </c>
      <c r="AA1434" s="4">
        <v>98</v>
      </c>
      <c r="AB1434" s="4">
        <v>3</v>
      </c>
      <c r="AC1434" s="4">
        <v>19</v>
      </c>
      <c r="AD1434" s="4">
        <v>82</v>
      </c>
      <c r="AE1434" s="4">
        <v>141</v>
      </c>
      <c r="AF1434" s="4">
        <v>1</v>
      </c>
      <c r="AG1434" s="4">
        <v>8</v>
      </c>
      <c r="AH1434" s="4">
        <v>73</v>
      </c>
      <c r="AI1434" s="4">
        <v>96</v>
      </c>
      <c r="AJ1434" s="4">
        <v>12</v>
      </c>
      <c r="AK1434" s="4">
        <v>26</v>
      </c>
      <c r="AL1434" s="4">
        <v>37</v>
      </c>
      <c r="AM1434" s="4">
        <v>47</v>
      </c>
      <c r="AN1434" s="4">
        <v>0</v>
      </c>
      <c r="AO1434" s="4">
        <v>0</v>
      </c>
      <c r="AP1434" s="4">
        <v>16</v>
      </c>
      <c r="AQ1434" s="4">
        <v>54</v>
      </c>
      <c r="AR1434" s="3" t="s">
        <v>62</v>
      </c>
      <c r="AS1434" s="3" t="s">
        <v>62</v>
      </c>
      <c r="AT1434" s="3" t="s">
        <v>62</v>
      </c>
      <c r="AV1434" s="6" t="str">
        <f>HYPERLINK("http://mcgill.on.worldcat.org/oclc/258331230","Catalog Record")</f>
        <v>Catalog Record</v>
      </c>
      <c r="AW1434" s="6" t="str">
        <f>HYPERLINK("http://www.worldcat.org/oclc/258331230","WorldCat Record")</f>
        <v>WorldCat Record</v>
      </c>
      <c r="AX1434" s="3" t="s">
        <v>13950</v>
      </c>
      <c r="AY1434" s="3" t="s">
        <v>13951</v>
      </c>
      <c r="AZ1434" s="3" t="s">
        <v>13952</v>
      </c>
      <c r="BA1434" s="3" t="s">
        <v>13952</v>
      </c>
      <c r="BB1434" s="3" t="s">
        <v>13953</v>
      </c>
      <c r="BC1434" s="3" t="s">
        <v>142</v>
      </c>
      <c r="BD1434" s="3" t="s">
        <v>68</v>
      </c>
      <c r="BE1434" s="3" t="s">
        <v>13954</v>
      </c>
      <c r="BF1434" s="3" t="s">
        <v>13953</v>
      </c>
      <c r="BG1434" s="3" t="s">
        <v>13955</v>
      </c>
    </row>
    <row r="1435" spans="1:59" ht="57" x14ac:dyDescent="0.45">
      <c r="A1435" s="2" t="s">
        <v>59</v>
      </c>
      <c r="B1435" s="2" t="s">
        <v>60</v>
      </c>
      <c r="C1435" s="2" t="s">
        <v>13956</v>
      </c>
      <c r="D1435" s="2" t="s">
        <v>13957</v>
      </c>
      <c r="E1435" s="2" t="s">
        <v>13958</v>
      </c>
      <c r="G1435" s="3" t="s">
        <v>62</v>
      </c>
      <c r="I1435" s="3" t="s">
        <v>62</v>
      </c>
      <c r="J1435" s="3" t="s">
        <v>62</v>
      </c>
      <c r="K1435" s="3" t="s">
        <v>63</v>
      </c>
      <c r="L1435" s="2" t="s">
        <v>13959</v>
      </c>
      <c r="M1435" s="2" t="s">
        <v>13960</v>
      </c>
      <c r="N1435" s="3" t="s">
        <v>149</v>
      </c>
      <c r="P1435" s="3" t="s">
        <v>65</v>
      </c>
      <c r="Q1435" s="2" t="s">
        <v>13961</v>
      </c>
      <c r="R1435" s="3" t="s">
        <v>66</v>
      </c>
      <c r="S1435" s="4">
        <v>0</v>
      </c>
      <c r="T1435" s="4">
        <v>0</v>
      </c>
      <c r="W1435" s="5" t="s">
        <v>67</v>
      </c>
      <c r="X1435" s="5" t="s">
        <v>67</v>
      </c>
      <c r="Y1435" s="4">
        <v>517</v>
      </c>
      <c r="Z1435" s="4">
        <v>30</v>
      </c>
      <c r="AA1435" s="4">
        <v>32</v>
      </c>
      <c r="AB1435" s="4">
        <v>2</v>
      </c>
      <c r="AC1435" s="4">
        <v>3</v>
      </c>
      <c r="AD1435" s="4">
        <v>106</v>
      </c>
      <c r="AE1435" s="4">
        <v>108</v>
      </c>
      <c r="AF1435" s="4">
        <v>1</v>
      </c>
      <c r="AG1435" s="4">
        <v>2</v>
      </c>
      <c r="AH1435" s="4">
        <v>93</v>
      </c>
      <c r="AI1435" s="4">
        <v>94</v>
      </c>
      <c r="AJ1435" s="4">
        <v>14</v>
      </c>
      <c r="AK1435" s="4">
        <v>15</v>
      </c>
      <c r="AL1435" s="4">
        <v>49</v>
      </c>
      <c r="AM1435" s="4">
        <v>49</v>
      </c>
      <c r="AN1435" s="4">
        <v>0</v>
      </c>
      <c r="AO1435" s="4">
        <v>0</v>
      </c>
      <c r="AP1435" s="4">
        <v>21</v>
      </c>
      <c r="AQ1435" s="4">
        <v>23</v>
      </c>
      <c r="AR1435" s="3" t="s">
        <v>62</v>
      </c>
      <c r="AS1435" s="3" t="s">
        <v>62</v>
      </c>
      <c r="AT1435" s="3" t="s">
        <v>62</v>
      </c>
      <c r="AV1435" s="6" t="str">
        <f>HYPERLINK("http://mcgill.on.worldcat.org/oclc/434126051","Catalog Record")</f>
        <v>Catalog Record</v>
      </c>
      <c r="AW1435" s="6" t="str">
        <f>HYPERLINK("http://www.worldcat.org/oclc/434126051","WorldCat Record")</f>
        <v>WorldCat Record</v>
      </c>
      <c r="AX1435" s="3" t="s">
        <v>13962</v>
      </c>
      <c r="AY1435" s="3" t="s">
        <v>13963</v>
      </c>
      <c r="AZ1435" s="3" t="s">
        <v>13964</v>
      </c>
      <c r="BA1435" s="3" t="s">
        <v>13964</v>
      </c>
      <c r="BB1435" s="3" t="s">
        <v>13965</v>
      </c>
      <c r="BC1435" s="3" t="s">
        <v>142</v>
      </c>
      <c r="BD1435" s="3" t="s">
        <v>68</v>
      </c>
      <c r="BE1435" s="3" t="s">
        <v>13966</v>
      </c>
      <c r="BF1435" s="3" t="s">
        <v>13965</v>
      </c>
      <c r="BG1435" s="3" t="s">
        <v>13967</v>
      </c>
    </row>
    <row r="1436" spans="1:59" ht="57" x14ac:dyDescent="0.45">
      <c r="A1436" s="2" t="s">
        <v>59</v>
      </c>
      <c r="B1436" s="2" t="s">
        <v>60</v>
      </c>
      <c r="C1436" s="2" t="s">
        <v>13968</v>
      </c>
      <c r="D1436" s="2" t="s">
        <v>13969</v>
      </c>
      <c r="E1436" s="2" t="s">
        <v>13970</v>
      </c>
      <c r="G1436" s="3" t="s">
        <v>62</v>
      </c>
      <c r="I1436" s="3" t="s">
        <v>62</v>
      </c>
      <c r="J1436" s="3" t="s">
        <v>62</v>
      </c>
      <c r="K1436" s="3" t="s">
        <v>63</v>
      </c>
      <c r="L1436" s="2" t="s">
        <v>13971</v>
      </c>
      <c r="M1436" s="2" t="s">
        <v>13972</v>
      </c>
      <c r="N1436" s="3" t="s">
        <v>583</v>
      </c>
      <c r="P1436" s="3" t="s">
        <v>65</v>
      </c>
      <c r="Q1436" s="2" t="s">
        <v>13973</v>
      </c>
      <c r="R1436" s="3" t="s">
        <v>66</v>
      </c>
      <c r="S1436" s="4">
        <v>9</v>
      </c>
      <c r="T1436" s="4">
        <v>9</v>
      </c>
      <c r="U1436" s="5" t="s">
        <v>12331</v>
      </c>
      <c r="V1436" s="5" t="s">
        <v>12331</v>
      </c>
      <c r="W1436" s="5" t="s">
        <v>67</v>
      </c>
      <c r="X1436" s="5" t="s">
        <v>67</v>
      </c>
      <c r="Y1436" s="4">
        <v>472</v>
      </c>
      <c r="Z1436" s="4">
        <v>26</v>
      </c>
      <c r="AA1436" s="4">
        <v>37</v>
      </c>
      <c r="AB1436" s="4">
        <v>2</v>
      </c>
      <c r="AC1436" s="4">
        <v>7</v>
      </c>
      <c r="AD1436" s="4">
        <v>95</v>
      </c>
      <c r="AE1436" s="4">
        <v>102</v>
      </c>
      <c r="AF1436" s="4">
        <v>1</v>
      </c>
      <c r="AG1436" s="4">
        <v>4</v>
      </c>
      <c r="AH1436" s="4">
        <v>78</v>
      </c>
      <c r="AI1436" s="4">
        <v>82</v>
      </c>
      <c r="AJ1436" s="4">
        <v>14</v>
      </c>
      <c r="AK1436" s="4">
        <v>21</v>
      </c>
      <c r="AL1436" s="4">
        <v>38</v>
      </c>
      <c r="AM1436" s="4">
        <v>39</v>
      </c>
      <c r="AN1436" s="4">
        <v>0</v>
      </c>
      <c r="AO1436" s="4">
        <v>0</v>
      </c>
      <c r="AP1436" s="4">
        <v>19</v>
      </c>
      <c r="AQ1436" s="4">
        <v>24</v>
      </c>
      <c r="AR1436" s="3" t="s">
        <v>62</v>
      </c>
      <c r="AS1436" s="3" t="s">
        <v>62</v>
      </c>
      <c r="AT1436" s="3" t="s">
        <v>61</v>
      </c>
      <c r="AU1436" s="6" t="str">
        <f>HYPERLINK("http://catalog.hathitrust.org/Record/000042701","HathiTrust Record")</f>
        <v>HathiTrust Record</v>
      </c>
      <c r="AV1436" s="6" t="str">
        <f>HYPERLINK("http://mcgill.on.worldcat.org/oclc/4287915","Catalog Record")</f>
        <v>Catalog Record</v>
      </c>
      <c r="AW1436" s="6" t="str">
        <f>HYPERLINK("http://www.worldcat.org/oclc/4287915","WorldCat Record")</f>
        <v>WorldCat Record</v>
      </c>
      <c r="AX1436" s="3" t="s">
        <v>13974</v>
      </c>
      <c r="AY1436" s="3" t="s">
        <v>13975</v>
      </c>
      <c r="AZ1436" s="3" t="s">
        <v>13976</v>
      </c>
      <c r="BA1436" s="3" t="s">
        <v>13976</v>
      </c>
      <c r="BB1436" s="3" t="s">
        <v>13977</v>
      </c>
      <c r="BC1436" s="3" t="s">
        <v>142</v>
      </c>
      <c r="BD1436" s="3" t="s">
        <v>68</v>
      </c>
      <c r="BE1436" s="3" t="s">
        <v>13978</v>
      </c>
      <c r="BF1436" s="3" t="s">
        <v>13977</v>
      </c>
      <c r="BG1436" s="3" t="s">
        <v>13979</v>
      </c>
    </row>
    <row r="1437" spans="1:59" ht="57" x14ac:dyDescent="0.45">
      <c r="A1437" s="2" t="s">
        <v>59</v>
      </c>
      <c r="B1437" s="2" t="s">
        <v>60</v>
      </c>
      <c r="C1437" s="2" t="s">
        <v>13980</v>
      </c>
      <c r="D1437" s="2" t="s">
        <v>13981</v>
      </c>
      <c r="E1437" s="2" t="s">
        <v>13982</v>
      </c>
      <c r="G1437" s="3" t="s">
        <v>62</v>
      </c>
      <c r="I1437" s="3" t="s">
        <v>62</v>
      </c>
      <c r="J1437" s="3" t="s">
        <v>62</v>
      </c>
      <c r="K1437" s="3" t="s">
        <v>63</v>
      </c>
      <c r="L1437" s="2" t="s">
        <v>13983</v>
      </c>
      <c r="M1437" s="2" t="s">
        <v>13984</v>
      </c>
      <c r="N1437" s="3" t="s">
        <v>1059</v>
      </c>
      <c r="P1437" s="3" t="s">
        <v>65</v>
      </c>
      <c r="Q1437" s="2" t="s">
        <v>13669</v>
      </c>
      <c r="R1437" s="3" t="s">
        <v>66</v>
      </c>
      <c r="S1437" s="4">
        <v>4</v>
      </c>
      <c r="T1437" s="4">
        <v>4</v>
      </c>
      <c r="U1437" s="5" t="s">
        <v>7845</v>
      </c>
      <c r="V1437" s="5" t="s">
        <v>7845</v>
      </c>
      <c r="W1437" s="5" t="s">
        <v>67</v>
      </c>
      <c r="X1437" s="5" t="s">
        <v>67</v>
      </c>
      <c r="Y1437" s="4">
        <v>195</v>
      </c>
      <c r="Z1437" s="4">
        <v>18</v>
      </c>
      <c r="AA1437" s="4">
        <v>21</v>
      </c>
      <c r="AB1437" s="4">
        <v>2</v>
      </c>
      <c r="AC1437" s="4">
        <v>4</v>
      </c>
      <c r="AD1437" s="4">
        <v>83</v>
      </c>
      <c r="AE1437" s="4">
        <v>86</v>
      </c>
      <c r="AF1437" s="4">
        <v>1</v>
      </c>
      <c r="AG1437" s="4">
        <v>3</v>
      </c>
      <c r="AH1437" s="4">
        <v>78</v>
      </c>
      <c r="AI1437" s="4">
        <v>80</v>
      </c>
      <c r="AJ1437" s="4">
        <v>14</v>
      </c>
      <c r="AK1437" s="4">
        <v>16</v>
      </c>
      <c r="AL1437" s="4">
        <v>39</v>
      </c>
      <c r="AM1437" s="4">
        <v>40</v>
      </c>
      <c r="AN1437" s="4">
        <v>0</v>
      </c>
      <c r="AO1437" s="4">
        <v>0</v>
      </c>
      <c r="AP1437" s="4">
        <v>15</v>
      </c>
      <c r="AQ1437" s="4">
        <v>16</v>
      </c>
      <c r="AR1437" s="3" t="s">
        <v>62</v>
      </c>
      <c r="AS1437" s="3" t="s">
        <v>62</v>
      </c>
      <c r="AT1437" s="3" t="s">
        <v>61</v>
      </c>
      <c r="AU1437" s="6" t="str">
        <f>HYPERLINK("http://catalog.hathitrust.org/Record/005290882","HathiTrust Record")</f>
        <v>HathiTrust Record</v>
      </c>
      <c r="AV1437" s="6" t="str">
        <f>HYPERLINK("http://mcgill.on.worldcat.org/oclc/70063065","Catalog Record")</f>
        <v>Catalog Record</v>
      </c>
      <c r="AW1437" s="6" t="str">
        <f>HYPERLINK("http://www.worldcat.org/oclc/70063065","WorldCat Record")</f>
        <v>WorldCat Record</v>
      </c>
      <c r="AX1437" s="3" t="s">
        <v>13985</v>
      </c>
      <c r="AY1437" s="3" t="s">
        <v>13986</v>
      </c>
      <c r="AZ1437" s="3" t="s">
        <v>13987</v>
      </c>
      <c r="BA1437" s="3" t="s">
        <v>13987</v>
      </c>
      <c r="BB1437" s="3" t="s">
        <v>13988</v>
      </c>
      <c r="BC1437" s="3" t="s">
        <v>142</v>
      </c>
      <c r="BD1437" s="3" t="s">
        <v>68</v>
      </c>
      <c r="BE1437" s="3" t="s">
        <v>13989</v>
      </c>
      <c r="BF1437" s="3" t="s">
        <v>13988</v>
      </c>
      <c r="BG1437" s="3" t="s">
        <v>13990</v>
      </c>
    </row>
    <row r="1438" spans="1:59" ht="57" x14ac:dyDescent="0.45">
      <c r="A1438" s="2" t="s">
        <v>59</v>
      </c>
      <c r="B1438" s="2" t="s">
        <v>60</v>
      </c>
      <c r="C1438" s="2" t="s">
        <v>13991</v>
      </c>
      <c r="D1438" s="2" t="s">
        <v>13992</v>
      </c>
      <c r="E1438" s="2" t="s">
        <v>13993</v>
      </c>
      <c r="G1438" s="3" t="s">
        <v>62</v>
      </c>
      <c r="I1438" s="3" t="s">
        <v>62</v>
      </c>
      <c r="J1438" s="3" t="s">
        <v>62</v>
      </c>
      <c r="K1438" s="3" t="s">
        <v>63</v>
      </c>
      <c r="L1438" s="2" t="s">
        <v>13994</v>
      </c>
      <c r="M1438" s="2" t="s">
        <v>13995</v>
      </c>
      <c r="N1438" s="3" t="s">
        <v>149</v>
      </c>
      <c r="P1438" s="3" t="s">
        <v>65</v>
      </c>
      <c r="Q1438" s="2" t="s">
        <v>13996</v>
      </c>
      <c r="R1438" s="3" t="s">
        <v>66</v>
      </c>
      <c r="S1438" s="4">
        <v>3</v>
      </c>
      <c r="T1438" s="4">
        <v>3</v>
      </c>
      <c r="U1438" s="5" t="s">
        <v>13788</v>
      </c>
      <c r="V1438" s="5" t="s">
        <v>13788</v>
      </c>
      <c r="W1438" s="5" t="s">
        <v>67</v>
      </c>
      <c r="X1438" s="5" t="s">
        <v>67</v>
      </c>
      <c r="Y1438" s="4">
        <v>227</v>
      </c>
      <c r="Z1438" s="4">
        <v>27</v>
      </c>
      <c r="AA1438" s="4">
        <v>31</v>
      </c>
      <c r="AB1438" s="4">
        <v>1</v>
      </c>
      <c r="AC1438" s="4">
        <v>4</v>
      </c>
      <c r="AD1438" s="4">
        <v>79</v>
      </c>
      <c r="AE1438" s="4">
        <v>82</v>
      </c>
      <c r="AF1438" s="4">
        <v>0</v>
      </c>
      <c r="AG1438" s="4">
        <v>1</v>
      </c>
      <c r="AH1438" s="4">
        <v>68</v>
      </c>
      <c r="AI1438" s="4">
        <v>70</v>
      </c>
      <c r="AJ1438" s="4">
        <v>19</v>
      </c>
      <c r="AK1438" s="4">
        <v>20</v>
      </c>
      <c r="AL1438" s="4">
        <v>38</v>
      </c>
      <c r="AM1438" s="4">
        <v>38</v>
      </c>
      <c r="AN1438" s="4">
        <v>0</v>
      </c>
      <c r="AO1438" s="4">
        <v>0</v>
      </c>
      <c r="AP1438" s="4">
        <v>22</v>
      </c>
      <c r="AQ1438" s="4">
        <v>24</v>
      </c>
      <c r="AR1438" s="3" t="s">
        <v>62</v>
      </c>
      <c r="AS1438" s="3" t="s">
        <v>62</v>
      </c>
      <c r="AT1438" s="3" t="s">
        <v>62</v>
      </c>
      <c r="AV1438" s="6" t="str">
        <f>HYPERLINK("http://mcgill.on.worldcat.org/oclc/610832801","Catalog Record")</f>
        <v>Catalog Record</v>
      </c>
      <c r="AW1438" s="6" t="str">
        <f>HYPERLINK("http://www.worldcat.org/oclc/610832801","WorldCat Record")</f>
        <v>WorldCat Record</v>
      </c>
      <c r="AX1438" s="3" t="s">
        <v>13997</v>
      </c>
      <c r="AY1438" s="3" t="s">
        <v>13998</v>
      </c>
      <c r="AZ1438" s="3" t="s">
        <v>13999</v>
      </c>
      <c r="BA1438" s="3" t="s">
        <v>13999</v>
      </c>
      <c r="BB1438" s="3" t="s">
        <v>14000</v>
      </c>
      <c r="BC1438" s="3" t="s">
        <v>142</v>
      </c>
      <c r="BD1438" s="3" t="s">
        <v>68</v>
      </c>
      <c r="BE1438" s="3" t="s">
        <v>14001</v>
      </c>
      <c r="BF1438" s="3" t="s">
        <v>14000</v>
      </c>
      <c r="BG1438" s="3" t="s">
        <v>14002</v>
      </c>
    </row>
    <row r="1439" spans="1:59" ht="57" x14ac:dyDescent="0.45">
      <c r="A1439" s="2" t="s">
        <v>59</v>
      </c>
      <c r="B1439" s="2" t="s">
        <v>60</v>
      </c>
      <c r="C1439" s="2" t="s">
        <v>14003</v>
      </c>
      <c r="D1439" s="2" t="s">
        <v>14004</v>
      </c>
      <c r="E1439" s="2" t="s">
        <v>14005</v>
      </c>
      <c r="G1439" s="3" t="s">
        <v>62</v>
      </c>
      <c r="I1439" s="3" t="s">
        <v>62</v>
      </c>
      <c r="J1439" s="3" t="s">
        <v>62</v>
      </c>
      <c r="K1439" s="3" t="s">
        <v>63</v>
      </c>
      <c r="M1439" s="2" t="s">
        <v>14006</v>
      </c>
      <c r="N1439" s="3" t="s">
        <v>1059</v>
      </c>
      <c r="P1439" s="3" t="s">
        <v>65</v>
      </c>
      <c r="Q1439" s="2" t="s">
        <v>14007</v>
      </c>
      <c r="R1439" s="3" t="s">
        <v>66</v>
      </c>
      <c r="S1439" s="4">
        <v>20</v>
      </c>
      <c r="T1439" s="4">
        <v>20</v>
      </c>
      <c r="U1439" s="5" t="s">
        <v>4106</v>
      </c>
      <c r="V1439" s="5" t="s">
        <v>4106</v>
      </c>
      <c r="W1439" s="5" t="s">
        <v>67</v>
      </c>
      <c r="X1439" s="5" t="s">
        <v>67</v>
      </c>
      <c r="Y1439" s="4">
        <v>173</v>
      </c>
      <c r="Z1439" s="4">
        <v>12</v>
      </c>
      <c r="AA1439" s="4">
        <v>14</v>
      </c>
      <c r="AB1439" s="4">
        <v>2</v>
      </c>
      <c r="AC1439" s="4">
        <v>4</v>
      </c>
      <c r="AD1439" s="4">
        <v>64</v>
      </c>
      <c r="AE1439" s="4">
        <v>66</v>
      </c>
      <c r="AF1439" s="4">
        <v>1</v>
      </c>
      <c r="AG1439" s="4">
        <v>3</v>
      </c>
      <c r="AH1439" s="4">
        <v>57</v>
      </c>
      <c r="AI1439" s="4">
        <v>58</v>
      </c>
      <c r="AJ1439" s="4">
        <v>9</v>
      </c>
      <c r="AK1439" s="4">
        <v>11</v>
      </c>
      <c r="AL1439" s="4">
        <v>33</v>
      </c>
      <c r="AM1439" s="4">
        <v>33</v>
      </c>
      <c r="AN1439" s="4">
        <v>0</v>
      </c>
      <c r="AO1439" s="4">
        <v>0</v>
      </c>
      <c r="AP1439" s="4">
        <v>11</v>
      </c>
      <c r="AQ1439" s="4">
        <v>13</v>
      </c>
      <c r="AR1439" s="3" t="s">
        <v>62</v>
      </c>
      <c r="AS1439" s="3" t="s">
        <v>62</v>
      </c>
      <c r="AT1439" s="3" t="s">
        <v>62</v>
      </c>
      <c r="AV1439" s="6" t="str">
        <f>HYPERLINK("http://mcgill.on.worldcat.org/oclc/60791551","Catalog Record")</f>
        <v>Catalog Record</v>
      </c>
      <c r="AW1439" s="6" t="str">
        <f>HYPERLINK("http://www.worldcat.org/oclc/60791551","WorldCat Record")</f>
        <v>WorldCat Record</v>
      </c>
      <c r="AX1439" s="3" t="s">
        <v>14008</v>
      </c>
      <c r="AY1439" s="3" t="s">
        <v>14009</v>
      </c>
      <c r="AZ1439" s="3" t="s">
        <v>14010</v>
      </c>
      <c r="BA1439" s="3" t="s">
        <v>14010</v>
      </c>
      <c r="BB1439" s="3" t="s">
        <v>14011</v>
      </c>
      <c r="BC1439" s="3" t="s">
        <v>142</v>
      </c>
      <c r="BD1439" s="3" t="s">
        <v>68</v>
      </c>
      <c r="BE1439" s="3" t="s">
        <v>14012</v>
      </c>
      <c r="BF1439" s="3" t="s">
        <v>14011</v>
      </c>
      <c r="BG1439" s="3" t="s">
        <v>14013</v>
      </c>
    </row>
    <row r="1440" spans="1:59" ht="57" x14ac:dyDescent="0.45">
      <c r="A1440" s="2" t="s">
        <v>59</v>
      </c>
      <c r="B1440" s="2" t="s">
        <v>60</v>
      </c>
      <c r="C1440" s="2" t="s">
        <v>14014</v>
      </c>
      <c r="D1440" s="2" t="s">
        <v>14015</v>
      </c>
      <c r="E1440" s="2" t="s">
        <v>14016</v>
      </c>
      <c r="G1440" s="3" t="s">
        <v>62</v>
      </c>
      <c r="I1440" s="3" t="s">
        <v>62</v>
      </c>
      <c r="J1440" s="3" t="s">
        <v>62</v>
      </c>
      <c r="K1440" s="3" t="s">
        <v>63</v>
      </c>
      <c r="M1440" s="2" t="s">
        <v>14017</v>
      </c>
      <c r="N1440" s="3" t="s">
        <v>945</v>
      </c>
      <c r="P1440" s="3" t="s">
        <v>65</v>
      </c>
      <c r="R1440" s="3" t="s">
        <v>66</v>
      </c>
      <c r="S1440" s="4">
        <v>7</v>
      </c>
      <c r="T1440" s="4">
        <v>7</v>
      </c>
      <c r="U1440" s="5" t="s">
        <v>5537</v>
      </c>
      <c r="V1440" s="5" t="s">
        <v>5537</v>
      </c>
      <c r="W1440" s="5" t="s">
        <v>67</v>
      </c>
      <c r="X1440" s="5" t="s">
        <v>67</v>
      </c>
      <c r="Y1440" s="4">
        <v>212</v>
      </c>
      <c r="Z1440" s="4">
        <v>41</v>
      </c>
      <c r="AA1440" s="4">
        <v>112</v>
      </c>
      <c r="AB1440" s="4">
        <v>3</v>
      </c>
      <c r="AC1440" s="4">
        <v>19</v>
      </c>
      <c r="AD1440" s="4">
        <v>97</v>
      </c>
      <c r="AE1440" s="4">
        <v>137</v>
      </c>
      <c r="AF1440" s="4">
        <v>2</v>
      </c>
      <c r="AG1440" s="4">
        <v>8</v>
      </c>
      <c r="AH1440" s="4">
        <v>74</v>
      </c>
      <c r="AI1440" s="4">
        <v>95</v>
      </c>
      <c r="AJ1440" s="4">
        <v>19</v>
      </c>
      <c r="AK1440" s="4">
        <v>28</v>
      </c>
      <c r="AL1440" s="4">
        <v>38</v>
      </c>
      <c r="AM1440" s="4">
        <v>48</v>
      </c>
      <c r="AN1440" s="4">
        <v>0</v>
      </c>
      <c r="AO1440" s="4">
        <v>0</v>
      </c>
      <c r="AP1440" s="4">
        <v>33</v>
      </c>
      <c r="AQ1440" s="4">
        <v>53</v>
      </c>
      <c r="AR1440" s="3" t="s">
        <v>61</v>
      </c>
      <c r="AS1440" s="3" t="s">
        <v>62</v>
      </c>
      <c r="AT1440" s="3" t="s">
        <v>61</v>
      </c>
      <c r="AU1440" s="6" t="str">
        <f>HYPERLINK("http://catalog.hathitrust.org/Record/005929500","HathiTrust Record")</f>
        <v>HathiTrust Record</v>
      </c>
      <c r="AV1440" s="6" t="str">
        <f>HYPERLINK("http://mcgill.on.worldcat.org/oclc/191889278","Catalog Record")</f>
        <v>Catalog Record</v>
      </c>
      <c r="AW1440" s="6" t="str">
        <f>HYPERLINK("http://www.worldcat.org/oclc/191889278","WorldCat Record")</f>
        <v>WorldCat Record</v>
      </c>
      <c r="AX1440" s="3" t="s">
        <v>14018</v>
      </c>
      <c r="AY1440" s="3" t="s">
        <v>14019</v>
      </c>
      <c r="AZ1440" s="3" t="s">
        <v>14020</v>
      </c>
      <c r="BA1440" s="3" t="s">
        <v>14020</v>
      </c>
      <c r="BB1440" s="3" t="s">
        <v>14021</v>
      </c>
      <c r="BC1440" s="3" t="s">
        <v>142</v>
      </c>
      <c r="BD1440" s="3" t="s">
        <v>68</v>
      </c>
      <c r="BE1440" s="3" t="s">
        <v>14022</v>
      </c>
      <c r="BF1440" s="3" t="s">
        <v>14021</v>
      </c>
      <c r="BG1440" s="3" t="s">
        <v>14023</v>
      </c>
    </row>
    <row r="1441" spans="1:59" ht="57" x14ac:dyDescent="0.45">
      <c r="A1441" s="2" t="s">
        <v>59</v>
      </c>
      <c r="B1441" s="2" t="s">
        <v>60</v>
      </c>
      <c r="C1441" s="2" t="s">
        <v>14024</v>
      </c>
      <c r="D1441" s="2" t="s">
        <v>14025</v>
      </c>
      <c r="E1441" s="2" t="s">
        <v>14026</v>
      </c>
      <c r="G1441" s="3" t="s">
        <v>62</v>
      </c>
      <c r="I1441" s="3" t="s">
        <v>62</v>
      </c>
      <c r="J1441" s="3" t="s">
        <v>62</v>
      </c>
      <c r="K1441" s="3" t="s">
        <v>63</v>
      </c>
      <c r="L1441" s="2" t="s">
        <v>14027</v>
      </c>
      <c r="M1441" s="2" t="s">
        <v>14028</v>
      </c>
      <c r="N1441" s="3" t="s">
        <v>1155</v>
      </c>
      <c r="P1441" s="3" t="s">
        <v>65</v>
      </c>
      <c r="Q1441" s="2" t="s">
        <v>14029</v>
      </c>
      <c r="R1441" s="3" t="s">
        <v>66</v>
      </c>
      <c r="S1441" s="4">
        <v>0</v>
      </c>
      <c r="T1441" s="4">
        <v>0</v>
      </c>
      <c r="W1441" s="5" t="s">
        <v>67</v>
      </c>
      <c r="X1441" s="5" t="s">
        <v>67</v>
      </c>
      <c r="Y1441" s="4">
        <v>109</v>
      </c>
      <c r="Z1441" s="4">
        <v>14</v>
      </c>
      <c r="AA1441" s="4">
        <v>17</v>
      </c>
      <c r="AB1441" s="4">
        <v>1</v>
      </c>
      <c r="AC1441" s="4">
        <v>4</v>
      </c>
      <c r="AD1441" s="4">
        <v>49</v>
      </c>
      <c r="AE1441" s="4">
        <v>50</v>
      </c>
      <c r="AF1441" s="4">
        <v>0</v>
      </c>
      <c r="AG1441" s="4">
        <v>1</v>
      </c>
      <c r="AH1441" s="4">
        <v>46</v>
      </c>
      <c r="AI1441" s="4">
        <v>47</v>
      </c>
      <c r="AJ1441" s="4">
        <v>11</v>
      </c>
      <c r="AK1441" s="4">
        <v>12</v>
      </c>
      <c r="AL1441" s="4">
        <v>29</v>
      </c>
      <c r="AM1441" s="4">
        <v>29</v>
      </c>
      <c r="AN1441" s="4">
        <v>0</v>
      </c>
      <c r="AO1441" s="4">
        <v>0</v>
      </c>
      <c r="AP1441" s="4">
        <v>11</v>
      </c>
      <c r="AQ1441" s="4">
        <v>12</v>
      </c>
      <c r="AR1441" s="3" t="s">
        <v>62</v>
      </c>
      <c r="AS1441" s="3" t="s">
        <v>62</v>
      </c>
      <c r="AT1441" s="3" t="s">
        <v>62</v>
      </c>
      <c r="AV1441" s="6" t="str">
        <f>HYPERLINK("http://mcgill.on.worldcat.org/oclc/777002185","Catalog Record")</f>
        <v>Catalog Record</v>
      </c>
      <c r="AW1441" s="6" t="str">
        <f>HYPERLINK("http://www.worldcat.org/oclc/777002185","WorldCat Record")</f>
        <v>WorldCat Record</v>
      </c>
      <c r="AX1441" s="3" t="s">
        <v>14030</v>
      </c>
      <c r="AY1441" s="3" t="s">
        <v>14031</v>
      </c>
      <c r="AZ1441" s="3" t="s">
        <v>14032</v>
      </c>
      <c r="BA1441" s="3" t="s">
        <v>14032</v>
      </c>
      <c r="BB1441" s="3" t="s">
        <v>14033</v>
      </c>
      <c r="BC1441" s="3" t="s">
        <v>142</v>
      </c>
      <c r="BD1441" s="3" t="s">
        <v>68</v>
      </c>
      <c r="BE1441" s="3" t="s">
        <v>14034</v>
      </c>
      <c r="BF1441" s="3" t="s">
        <v>14033</v>
      </c>
      <c r="BG1441" s="3" t="s">
        <v>14035</v>
      </c>
    </row>
    <row r="1442" spans="1:59" ht="57" x14ac:dyDescent="0.45">
      <c r="A1442" s="2" t="s">
        <v>59</v>
      </c>
      <c r="B1442" s="2" t="s">
        <v>60</v>
      </c>
      <c r="C1442" s="2" t="s">
        <v>14036</v>
      </c>
      <c r="D1442" s="2" t="s">
        <v>14037</v>
      </c>
      <c r="E1442" s="2" t="s">
        <v>14038</v>
      </c>
      <c r="G1442" s="3" t="s">
        <v>62</v>
      </c>
      <c r="I1442" s="3" t="s">
        <v>62</v>
      </c>
      <c r="J1442" s="3" t="s">
        <v>62</v>
      </c>
      <c r="K1442" s="3" t="s">
        <v>63</v>
      </c>
      <c r="L1442" s="2" t="s">
        <v>12435</v>
      </c>
      <c r="M1442" s="2" t="s">
        <v>14039</v>
      </c>
      <c r="N1442" s="3" t="s">
        <v>918</v>
      </c>
      <c r="O1442" s="2" t="s">
        <v>933</v>
      </c>
      <c r="P1442" s="3" t="s">
        <v>65</v>
      </c>
      <c r="R1442" s="3" t="s">
        <v>66</v>
      </c>
      <c r="S1442" s="4">
        <v>9</v>
      </c>
      <c r="T1442" s="4">
        <v>9</v>
      </c>
      <c r="U1442" s="5" t="s">
        <v>3533</v>
      </c>
      <c r="V1442" s="5" t="s">
        <v>3533</v>
      </c>
      <c r="W1442" s="5" t="s">
        <v>67</v>
      </c>
      <c r="X1442" s="5" t="s">
        <v>67</v>
      </c>
      <c r="Y1442" s="4">
        <v>185</v>
      </c>
      <c r="Z1442" s="4">
        <v>12</v>
      </c>
      <c r="AA1442" s="4">
        <v>36</v>
      </c>
      <c r="AB1442" s="4">
        <v>1</v>
      </c>
      <c r="AC1442" s="4">
        <v>7</v>
      </c>
      <c r="AD1442" s="4">
        <v>27</v>
      </c>
      <c r="AE1442" s="4">
        <v>73</v>
      </c>
      <c r="AF1442" s="4">
        <v>0</v>
      </c>
      <c r="AG1442" s="4">
        <v>4</v>
      </c>
      <c r="AH1442" s="4">
        <v>23</v>
      </c>
      <c r="AI1442" s="4">
        <v>58</v>
      </c>
      <c r="AJ1442" s="4">
        <v>6</v>
      </c>
      <c r="AK1442" s="4">
        <v>16</v>
      </c>
      <c r="AL1442" s="4">
        <v>9</v>
      </c>
      <c r="AM1442" s="4">
        <v>32</v>
      </c>
      <c r="AN1442" s="4">
        <v>0</v>
      </c>
      <c r="AO1442" s="4">
        <v>0</v>
      </c>
      <c r="AP1442" s="4">
        <v>8</v>
      </c>
      <c r="AQ1442" s="4">
        <v>23</v>
      </c>
      <c r="AR1442" s="3" t="s">
        <v>62</v>
      </c>
      <c r="AS1442" s="3" t="s">
        <v>62</v>
      </c>
      <c r="AT1442" s="3" t="s">
        <v>62</v>
      </c>
      <c r="AV1442" s="6" t="str">
        <f>HYPERLINK("http://mcgill.on.worldcat.org/oclc/50670073","Catalog Record")</f>
        <v>Catalog Record</v>
      </c>
      <c r="AW1442" s="6" t="str">
        <f>HYPERLINK("http://www.worldcat.org/oclc/50670073","WorldCat Record")</f>
        <v>WorldCat Record</v>
      </c>
      <c r="AX1442" s="3" t="s">
        <v>14040</v>
      </c>
      <c r="AY1442" s="3" t="s">
        <v>14041</v>
      </c>
      <c r="AZ1442" s="3" t="s">
        <v>14042</v>
      </c>
      <c r="BA1442" s="3" t="s">
        <v>14042</v>
      </c>
      <c r="BB1442" s="3" t="s">
        <v>14043</v>
      </c>
      <c r="BC1442" s="3" t="s">
        <v>142</v>
      </c>
      <c r="BD1442" s="3" t="s">
        <v>68</v>
      </c>
      <c r="BE1442" s="3" t="s">
        <v>14044</v>
      </c>
      <c r="BF1442" s="3" t="s">
        <v>14043</v>
      </c>
      <c r="BG1442" s="3" t="s">
        <v>14045</v>
      </c>
    </row>
    <row r="1443" spans="1:59" ht="57" x14ac:dyDescent="0.45">
      <c r="A1443" s="2" t="s">
        <v>59</v>
      </c>
      <c r="B1443" s="2" t="s">
        <v>60</v>
      </c>
      <c r="C1443" s="2" t="s">
        <v>14046</v>
      </c>
      <c r="D1443" s="2" t="s">
        <v>14047</v>
      </c>
      <c r="E1443" s="2" t="s">
        <v>14048</v>
      </c>
      <c r="G1443" s="3" t="s">
        <v>62</v>
      </c>
      <c r="I1443" s="3" t="s">
        <v>62</v>
      </c>
      <c r="J1443" s="3" t="s">
        <v>61</v>
      </c>
      <c r="K1443" s="3" t="s">
        <v>63</v>
      </c>
      <c r="L1443" s="2" t="s">
        <v>14049</v>
      </c>
      <c r="M1443" s="2" t="s">
        <v>14050</v>
      </c>
      <c r="N1443" s="3" t="s">
        <v>117</v>
      </c>
      <c r="O1443" s="2" t="s">
        <v>933</v>
      </c>
      <c r="P1443" s="3" t="s">
        <v>65</v>
      </c>
      <c r="R1443" s="3" t="s">
        <v>66</v>
      </c>
      <c r="S1443" s="4">
        <v>30</v>
      </c>
      <c r="T1443" s="4">
        <v>30</v>
      </c>
      <c r="U1443" s="5" t="s">
        <v>14051</v>
      </c>
      <c r="V1443" s="5" t="s">
        <v>14051</v>
      </c>
      <c r="W1443" s="5" t="s">
        <v>67</v>
      </c>
      <c r="X1443" s="5" t="s">
        <v>67</v>
      </c>
      <c r="Y1443" s="4">
        <v>375</v>
      </c>
      <c r="Z1443" s="4">
        <v>27</v>
      </c>
      <c r="AA1443" s="4">
        <v>54</v>
      </c>
      <c r="AB1443" s="4">
        <v>2</v>
      </c>
      <c r="AC1443" s="4">
        <v>11</v>
      </c>
      <c r="AD1443" s="4">
        <v>89</v>
      </c>
      <c r="AE1443" s="4">
        <v>145</v>
      </c>
      <c r="AF1443" s="4">
        <v>1</v>
      </c>
      <c r="AG1443" s="4">
        <v>6</v>
      </c>
      <c r="AH1443" s="4">
        <v>74</v>
      </c>
      <c r="AI1443" s="4">
        <v>113</v>
      </c>
      <c r="AJ1443" s="4">
        <v>20</v>
      </c>
      <c r="AK1443" s="4">
        <v>27</v>
      </c>
      <c r="AL1443" s="4">
        <v>37</v>
      </c>
      <c r="AM1443" s="4">
        <v>61</v>
      </c>
      <c r="AN1443" s="4">
        <v>0</v>
      </c>
      <c r="AO1443" s="4">
        <v>0</v>
      </c>
      <c r="AP1443" s="4">
        <v>23</v>
      </c>
      <c r="AQ1443" s="4">
        <v>38</v>
      </c>
      <c r="AR1443" s="3" t="s">
        <v>62</v>
      </c>
      <c r="AS1443" s="3" t="s">
        <v>62</v>
      </c>
      <c r="AT1443" s="3" t="s">
        <v>61</v>
      </c>
      <c r="AU1443" s="6" t="str">
        <f>HYPERLINK("http://catalog.hathitrust.org/Record/000696771","HathiTrust Record")</f>
        <v>HathiTrust Record</v>
      </c>
      <c r="AV1443" s="6" t="str">
        <f>HYPERLINK("http://mcgill.on.worldcat.org/oclc/8688469","Catalog Record")</f>
        <v>Catalog Record</v>
      </c>
      <c r="AW1443" s="6" t="str">
        <f>HYPERLINK("http://www.worldcat.org/oclc/8688469","WorldCat Record")</f>
        <v>WorldCat Record</v>
      </c>
      <c r="AX1443" s="3" t="s">
        <v>14052</v>
      </c>
      <c r="AY1443" s="3" t="s">
        <v>14053</v>
      </c>
      <c r="AZ1443" s="3" t="s">
        <v>14054</v>
      </c>
      <c r="BA1443" s="3" t="s">
        <v>14054</v>
      </c>
      <c r="BB1443" s="3" t="s">
        <v>14055</v>
      </c>
      <c r="BC1443" s="3" t="s">
        <v>142</v>
      </c>
      <c r="BD1443" s="3" t="s">
        <v>308</v>
      </c>
      <c r="BE1443" s="3" t="s">
        <v>14056</v>
      </c>
      <c r="BF1443" s="3" t="s">
        <v>14055</v>
      </c>
      <c r="BG1443" s="3" t="s">
        <v>14057</v>
      </c>
    </row>
    <row r="1444" spans="1:59" ht="57" x14ac:dyDescent="0.45">
      <c r="A1444" s="2" t="s">
        <v>59</v>
      </c>
      <c r="B1444" s="2" t="s">
        <v>60</v>
      </c>
      <c r="C1444" s="2" t="s">
        <v>14058</v>
      </c>
      <c r="D1444" s="2" t="s">
        <v>14059</v>
      </c>
      <c r="E1444" s="2" t="s">
        <v>14060</v>
      </c>
      <c r="G1444" s="3" t="s">
        <v>62</v>
      </c>
      <c r="I1444" s="3" t="s">
        <v>62</v>
      </c>
      <c r="J1444" s="3" t="s">
        <v>62</v>
      </c>
      <c r="K1444" s="3" t="s">
        <v>63</v>
      </c>
      <c r="L1444" s="2" t="s">
        <v>14061</v>
      </c>
      <c r="M1444" s="2" t="s">
        <v>14062</v>
      </c>
      <c r="N1444" s="3" t="s">
        <v>918</v>
      </c>
      <c r="P1444" s="3" t="s">
        <v>65</v>
      </c>
      <c r="R1444" s="3" t="s">
        <v>66</v>
      </c>
      <c r="S1444" s="4">
        <v>23</v>
      </c>
      <c r="T1444" s="4">
        <v>23</v>
      </c>
      <c r="U1444" s="5" t="s">
        <v>14063</v>
      </c>
      <c r="V1444" s="5" t="s">
        <v>14063</v>
      </c>
      <c r="W1444" s="5" t="s">
        <v>67</v>
      </c>
      <c r="X1444" s="5" t="s">
        <v>67</v>
      </c>
      <c r="Y1444" s="4">
        <v>302</v>
      </c>
      <c r="Z1444" s="4">
        <v>23</v>
      </c>
      <c r="AA1444" s="4">
        <v>28</v>
      </c>
      <c r="AB1444" s="4">
        <v>2</v>
      </c>
      <c r="AC1444" s="4">
        <v>5</v>
      </c>
      <c r="AD1444" s="4">
        <v>77</v>
      </c>
      <c r="AE1444" s="4">
        <v>82</v>
      </c>
      <c r="AF1444" s="4">
        <v>1</v>
      </c>
      <c r="AG1444" s="4">
        <v>3</v>
      </c>
      <c r="AH1444" s="4">
        <v>66</v>
      </c>
      <c r="AI1444" s="4">
        <v>69</v>
      </c>
      <c r="AJ1444" s="4">
        <v>11</v>
      </c>
      <c r="AK1444" s="4">
        <v>14</v>
      </c>
      <c r="AL1444" s="4">
        <v>37</v>
      </c>
      <c r="AM1444" s="4">
        <v>38</v>
      </c>
      <c r="AN1444" s="4">
        <v>0</v>
      </c>
      <c r="AO1444" s="4">
        <v>0</v>
      </c>
      <c r="AP1444" s="4">
        <v>18</v>
      </c>
      <c r="AQ1444" s="4">
        <v>21</v>
      </c>
      <c r="AR1444" s="3" t="s">
        <v>62</v>
      </c>
      <c r="AS1444" s="3" t="s">
        <v>62</v>
      </c>
      <c r="AT1444" s="3" t="s">
        <v>62</v>
      </c>
      <c r="AV1444" s="6" t="str">
        <f>HYPERLINK("http://mcgill.on.worldcat.org/oclc/41621567","Catalog Record")</f>
        <v>Catalog Record</v>
      </c>
      <c r="AW1444" s="6" t="str">
        <f>HYPERLINK("http://www.worldcat.org/oclc/41621567","WorldCat Record")</f>
        <v>WorldCat Record</v>
      </c>
      <c r="AX1444" s="3" t="s">
        <v>14064</v>
      </c>
      <c r="AY1444" s="3" t="s">
        <v>14065</v>
      </c>
      <c r="AZ1444" s="3" t="s">
        <v>14066</v>
      </c>
      <c r="BA1444" s="3" t="s">
        <v>14066</v>
      </c>
      <c r="BB1444" s="3" t="s">
        <v>14067</v>
      </c>
      <c r="BC1444" s="3" t="s">
        <v>142</v>
      </c>
      <c r="BD1444" s="3" t="s">
        <v>68</v>
      </c>
      <c r="BE1444" s="3" t="s">
        <v>14068</v>
      </c>
      <c r="BF1444" s="3" t="s">
        <v>14067</v>
      </c>
      <c r="BG1444" s="3" t="s">
        <v>14069</v>
      </c>
    </row>
    <row r="1445" spans="1:59" ht="57" x14ac:dyDescent="0.45">
      <c r="A1445" s="2" t="s">
        <v>59</v>
      </c>
      <c r="B1445" s="2" t="s">
        <v>60</v>
      </c>
      <c r="C1445" s="2" t="s">
        <v>14070</v>
      </c>
      <c r="D1445" s="2" t="s">
        <v>14071</v>
      </c>
      <c r="E1445" s="2" t="s">
        <v>14072</v>
      </c>
      <c r="G1445" s="3" t="s">
        <v>62</v>
      </c>
      <c r="I1445" s="3" t="s">
        <v>62</v>
      </c>
      <c r="J1445" s="3" t="s">
        <v>62</v>
      </c>
      <c r="K1445" s="3" t="s">
        <v>63</v>
      </c>
      <c r="L1445" s="2" t="s">
        <v>14073</v>
      </c>
      <c r="M1445" s="2" t="s">
        <v>14074</v>
      </c>
      <c r="N1445" s="3" t="s">
        <v>894</v>
      </c>
      <c r="P1445" s="3" t="s">
        <v>65</v>
      </c>
      <c r="Q1445" s="2" t="s">
        <v>14075</v>
      </c>
      <c r="R1445" s="3" t="s">
        <v>66</v>
      </c>
      <c r="S1445" s="4">
        <v>9</v>
      </c>
      <c r="T1445" s="4">
        <v>9</v>
      </c>
      <c r="U1445" s="5" t="s">
        <v>10863</v>
      </c>
      <c r="V1445" s="5" t="s">
        <v>10863</v>
      </c>
      <c r="W1445" s="5" t="s">
        <v>67</v>
      </c>
      <c r="X1445" s="5" t="s">
        <v>67</v>
      </c>
      <c r="Y1445" s="4">
        <v>219</v>
      </c>
      <c r="Z1445" s="4">
        <v>25</v>
      </c>
      <c r="AA1445" s="4">
        <v>34</v>
      </c>
      <c r="AB1445" s="4">
        <v>2</v>
      </c>
      <c r="AC1445" s="4">
        <v>8</v>
      </c>
      <c r="AD1445" s="4">
        <v>84</v>
      </c>
      <c r="AE1445" s="4">
        <v>92</v>
      </c>
      <c r="AF1445" s="4">
        <v>1</v>
      </c>
      <c r="AG1445" s="4">
        <v>4</v>
      </c>
      <c r="AH1445" s="4">
        <v>75</v>
      </c>
      <c r="AI1445" s="4">
        <v>78</v>
      </c>
      <c r="AJ1445" s="4">
        <v>17</v>
      </c>
      <c r="AK1445" s="4">
        <v>21</v>
      </c>
      <c r="AL1445" s="4">
        <v>42</v>
      </c>
      <c r="AM1445" s="4">
        <v>43</v>
      </c>
      <c r="AN1445" s="4">
        <v>0</v>
      </c>
      <c r="AO1445" s="4">
        <v>0</v>
      </c>
      <c r="AP1445" s="4">
        <v>19</v>
      </c>
      <c r="AQ1445" s="4">
        <v>24</v>
      </c>
      <c r="AR1445" s="3" t="s">
        <v>62</v>
      </c>
      <c r="AS1445" s="3" t="s">
        <v>62</v>
      </c>
      <c r="AT1445" s="3" t="s">
        <v>62</v>
      </c>
      <c r="AV1445" s="6" t="str">
        <f>HYPERLINK("http://mcgill.on.worldcat.org/oclc/694728808","Catalog Record")</f>
        <v>Catalog Record</v>
      </c>
      <c r="AW1445" s="6" t="str">
        <f>HYPERLINK("http://www.worldcat.org/oclc/694728808","WorldCat Record")</f>
        <v>WorldCat Record</v>
      </c>
      <c r="AX1445" s="3" t="s">
        <v>14076</v>
      </c>
      <c r="AY1445" s="3" t="s">
        <v>14077</v>
      </c>
      <c r="AZ1445" s="3" t="s">
        <v>14078</v>
      </c>
      <c r="BA1445" s="3" t="s">
        <v>14078</v>
      </c>
      <c r="BB1445" s="3" t="s">
        <v>14079</v>
      </c>
      <c r="BC1445" s="3" t="s">
        <v>142</v>
      </c>
      <c r="BD1445" s="3" t="s">
        <v>308</v>
      </c>
      <c r="BE1445" s="3" t="s">
        <v>14080</v>
      </c>
      <c r="BF1445" s="3" t="s">
        <v>14079</v>
      </c>
      <c r="BG1445" s="3" t="s">
        <v>14081</v>
      </c>
    </row>
    <row r="1446" spans="1:59" ht="57" x14ac:dyDescent="0.45">
      <c r="A1446" s="2" t="s">
        <v>59</v>
      </c>
      <c r="B1446" s="2" t="s">
        <v>60</v>
      </c>
      <c r="C1446" s="2" t="s">
        <v>14082</v>
      </c>
      <c r="D1446" s="2" t="s">
        <v>14083</v>
      </c>
      <c r="E1446" s="2" t="s">
        <v>14084</v>
      </c>
      <c r="G1446" s="3" t="s">
        <v>62</v>
      </c>
      <c r="I1446" s="3" t="s">
        <v>62</v>
      </c>
      <c r="J1446" s="3" t="s">
        <v>62</v>
      </c>
      <c r="K1446" s="3" t="s">
        <v>63</v>
      </c>
      <c r="L1446" s="2" t="s">
        <v>14085</v>
      </c>
      <c r="M1446" s="2" t="s">
        <v>14086</v>
      </c>
      <c r="N1446" s="3" t="s">
        <v>1239</v>
      </c>
      <c r="O1446" s="2" t="s">
        <v>1748</v>
      </c>
      <c r="P1446" s="3" t="s">
        <v>65</v>
      </c>
      <c r="R1446" s="3" t="s">
        <v>66</v>
      </c>
      <c r="S1446" s="4">
        <v>16</v>
      </c>
      <c r="T1446" s="4">
        <v>16</v>
      </c>
      <c r="U1446" s="5" t="s">
        <v>14087</v>
      </c>
      <c r="V1446" s="5" t="s">
        <v>14087</v>
      </c>
      <c r="W1446" s="5" t="s">
        <v>67</v>
      </c>
      <c r="X1446" s="5" t="s">
        <v>67</v>
      </c>
      <c r="Y1446" s="4">
        <v>1114</v>
      </c>
      <c r="Z1446" s="4">
        <v>53</v>
      </c>
      <c r="AA1446" s="4">
        <v>68</v>
      </c>
      <c r="AB1446" s="4">
        <v>3</v>
      </c>
      <c r="AC1446" s="4">
        <v>7</v>
      </c>
      <c r="AD1446" s="4">
        <v>114</v>
      </c>
      <c r="AE1446" s="4">
        <v>131</v>
      </c>
      <c r="AF1446" s="4">
        <v>1</v>
      </c>
      <c r="AG1446" s="4">
        <v>4</v>
      </c>
      <c r="AH1446" s="4">
        <v>95</v>
      </c>
      <c r="AI1446" s="4">
        <v>103</v>
      </c>
      <c r="AJ1446" s="4">
        <v>15</v>
      </c>
      <c r="AK1446" s="4">
        <v>24</v>
      </c>
      <c r="AL1446" s="4">
        <v>50</v>
      </c>
      <c r="AM1446" s="4">
        <v>53</v>
      </c>
      <c r="AN1446" s="4">
        <v>0</v>
      </c>
      <c r="AO1446" s="4">
        <v>0</v>
      </c>
      <c r="AP1446" s="4">
        <v>23</v>
      </c>
      <c r="AQ1446" s="4">
        <v>34</v>
      </c>
      <c r="AR1446" s="3" t="s">
        <v>62</v>
      </c>
      <c r="AS1446" s="3" t="s">
        <v>62</v>
      </c>
      <c r="AT1446" s="3" t="s">
        <v>61</v>
      </c>
      <c r="AU1446" s="6" t="str">
        <f>HYPERLINK("http://catalog.hathitrust.org/Record/001076179","HathiTrust Record")</f>
        <v>HathiTrust Record</v>
      </c>
      <c r="AV1446" s="6" t="str">
        <f>HYPERLINK("http://mcgill.on.worldcat.org/oclc/18442022","Catalog Record")</f>
        <v>Catalog Record</v>
      </c>
      <c r="AW1446" s="6" t="str">
        <f>HYPERLINK("http://www.worldcat.org/oclc/18442022","WorldCat Record")</f>
        <v>WorldCat Record</v>
      </c>
      <c r="AX1446" s="3" t="s">
        <v>14088</v>
      </c>
      <c r="AY1446" s="3" t="s">
        <v>14089</v>
      </c>
      <c r="AZ1446" s="3" t="s">
        <v>14090</v>
      </c>
      <c r="BA1446" s="3" t="s">
        <v>14090</v>
      </c>
      <c r="BB1446" s="3" t="s">
        <v>14091</v>
      </c>
      <c r="BC1446" s="3" t="s">
        <v>142</v>
      </c>
      <c r="BD1446" s="3" t="s">
        <v>68</v>
      </c>
      <c r="BE1446" s="3" t="s">
        <v>14092</v>
      </c>
      <c r="BF1446" s="3" t="s">
        <v>14091</v>
      </c>
      <c r="BG1446" s="3" t="s">
        <v>14093</v>
      </c>
    </row>
    <row r="1447" spans="1:59" ht="114" x14ac:dyDescent="0.45">
      <c r="A1447" s="2" t="s">
        <v>59</v>
      </c>
      <c r="B1447" s="2" t="s">
        <v>690</v>
      </c>
      <c r="C1447" s="2" t="s">
        <v>14094</v>
      </c>
      <c r="D1447" s="2" t="s">
        <v>14095</v>
      </c>
      <c r="E1447" s="2" t="s">
        <v>14096</v>
      </c>
      <c r="G1447" s="3" t="s">
        <v>62</v>
      </c>
      <c r="I1447" s="3" t="s">
        <v>62</v>
      </c>
      <c r="J1447" s="3" t="s">
        <v>62</v>
      </c>
      <c r="K1447" s="3" t="s">
        <v>63</v>
      </c>
      <c r="M1447" s="2" t="s">
        <v>14097</v>
      </c>
      <c r="N1447" s="3" t="s">
        <v>894</v>
      </c>
      <c r="O1447" s="2" t="s">
        <v>696</v>
      </c>
      <c r="P1447" s="3" t="s">
        <v>697</v>
      </c>
      <c r="Q1447" s="2" t="s">
        <v>14098</v>
      </c>
      <c r="R1447" s="3" t="s">
        <v>66</v>
      </c>
      <c r="S1447" s="4">
        <v>0</v>
      </c>
      <c r="T1447" s="4">
        <v>0</v>
      </c>
      <c r="W1447" s="5" t="s">
        <v>67</v>
      </c>
      <c r="X1447" s="5" t="s">
        <v>67</v>
      </c>
      <c r="Y1447" s="4">
        <v>10</v>
      </c>
      <c r="Z1447" s="4">
        <v>1</v>
      </c>
      <c r="AA1447" s="4">
        <v>1</v>
      </c>
      <c r="AB1447" s="4">
        <v>1</v>
      </c>
      <c r="AC1447" s="4">
        <v>1</v>
      </c>
      <c r="AD1447" s="4">
        <v>2</v>
      </c>
      <c r="AE1447" s="4">
        <v>2</v>
      </c>
      <c r="AF1447" s="4">
        <v>0</v>
      </c>
      <c r="AG1447" s="4">
        <v>0</v>
      </c>
      <c r="AH1447" s="4">
        <v>2</v>
      </c>
      <c r="AI1447" s="4">
        <v>2</v>
      </c>
      <c r="AJ1447" s="4">
        <v>0</v>
      </c>
      <c r="AK1447" s="4">
        <v>0</v>
      </c>
      <c r="AL1447" s="4">
        <v>1</v>
      </c>
      <c r="AM1447" s="4">
        <v>1</v>
      </c>
      <c r="AN1447" s="4">
        <v>0</v>
      </c>
      <c r="AO1447" s="4">
        <v>0</v>
      </c>
      <c r="AP1447" s="4">
        <v>0</v>
      </c>
      <c r="AQ1447" s="4">
        <v>0</v>
      </c>
      <c r="AR1447" s="3" t="s">
        <v>62</v>
      </c>
      <c r="AS1447" s="3" t="s">
        <v>62</v>
      </c>
      <c r="AT1447" s="3" t="s">
        <v>62</v>
      </c>
      <c r="AV1447" s="6" t="str">
        <f>HYPERLINK("http://mcgill.on.worldcat.org/oclc/758106555","Catalog Record")</f>
        <v>Catalog Record</v>
      </c>
      <c r="AW1447" s="6" t="str">
        <f>HYPERLINK("http://www.worldcat.org/oclc/758106555","WorldCat Record")</f>
        <v>WorldCat Record</v>
      </c>
      <c r="AX1447" s="3" t="s">
        <v>14099</v>
      </c>
      <c r="AY1447" s="3" t="s">
        <v>14100</v>
      </c>
      <c r="AZ1447" s="3" t="s">
        <v>14101</v>
      </c>
      <c r="BA1447" s="3" t="s">
        <v>14101</v>
      </c>
      <c r="BB1447" s="3" t="s">
        <v>14102</v>
      </c>
      <c r="BC1447" s="3" t="s">
        <v>142</v>
      </c>
      <c r="BD1447" s="3" t="s">
        <v>68</v>
      </c>
      <c r="BE1447" s="3" t="s">
        <v>14103</v>
      </c>
      <c r="BF1447" s="3" t="s">
        <v>14102</v>
      </c>
      <c r="BG1447" s="3" t="s">
        <v>14104</v>
      </c>
    </row>
    <row r="1448" spans="1:59" ht="57" x14ac:dyDescent="0.45">
      <c r="A1448" s="2" t="s">
        <v>59</v>
      </c>
      <c r="B1448" s="2" t="s">
        <v>60</v>
      </c>
      <c r="C1448" s="2" t="s">
        <v>14105</v>
      </c>
      <c r="D1448" s="2" t="s">
        <v>14106</v>
      </c>
      <c r="E1448" s="2" t="s">
        <v>14107</v>
      </c>
      <c r="G1448" s="3" t="s">
        <v>62</v>
      </c>
      <c r="I1448" s="3" t="s">
        <v>62</v>
      </c>
      <c r="J1448" s="3" t="s">
        <v>62</v>
      </c>
      <c r="K1448" s="3" t="s">
        <v>63</v>
      </c>
      <c r="L1448" s="2" t="s">
        <v>14108</v>
      </c>
      <c r="M1448" s="2" t="s">
        <v>14109</v>
      </c>
      <c r="N1448" s="3" t="s">
        <v>1212</v>
      </c>
      <c r="P1448" s="3" t="s">
        <v>65</v>
      </c>
      <c r="Q1448" s="2" t="s">
        <v>14110</v>
      </c>
      <c r="R1448" s="3" t="s">
        <v>66</v>
      </c>
      <c r="S1448" s="4">
        <v>11</v>
      </c>
      <c r="T1448" s="4">
        <v>11</v>
      </c>
      <c r="U1448" s="5" t="s">
        <v>14111</v>
      </c>
      <c r="V1448" s="5" t="s">
        <v>14111</v>
      </c>
      <c r="W1448" s="5" t="s">
        <v>67</v>
      </c>
      <c r="X1448" s="5" t="s">
        <v>67</v>
      </c>
      <c r="Y1448" s="4">
        <v>297</v>
      </c>
      <c r="Z1448" s="4">
        <v>22</v>
      </c>
      <c r="AA1448" s="4">
        <v>93</v>
      </c>
      <c r="AB1448" s="4">
        <v>1</v>
      </c>
      <c r="AC1448" s="4">
        <v>17</v>
      </c>
      <c r="AD1448" s="4">
        <v>104</v>
      </c>
      <c r="AE1448" s="4">
        <v>143</v>
      </c>
      <c r="AF1448" s="4">
        <v>0</v>
      </c>
      <c r="AG1448" s="4">
        <v>8</v>
      </c>
      <c r="AH1448" s="4">
        <v>91</v>
      </c>
      <c r="AI1448" s="4">
        <v>105</v>
      </c>
      <c r="AJ1448" s="4">
        <v>14</v>
      </c>
      <c r="AK1448" s="4">
        <v>25</v>
      </c>
      <c r="AL1448" s="4">
        <v>49</v>
      </c>
      <c r="AM1448" s="4">
        <v>53</v>
      </c>
      <c r="AN1448" s="4">
        <v>0</v>
      </c>
      <c r="AO1448" s="4">
        <v>0</v>
      </c>
      <c r="AP1448" s="4">
        <v>20</v>
      </c>
      <c r="AQ1448" s="4">
        <v>49</v>
      </c>
      <c r="AR1448" s="3" t="s">
        <v>62</v>
      </c>
      <c r="AS1448" s="3" t="s">
        <v>62</v>
      </c>
      <c r="AT1448" s="3" t="s">
        <v>62</v>
      </c>
      <c r="AV1448" s="6" t="str">
        <f>HYPERLINK("http://mcgill.on.worldcat.org/oclc/42717934","Catalog Record")</f>
        <v>Catalog Record</v>
      </c>
      <c r="AW1448" s="6" t="str">
        <f>HYPERLINK("http://www.worldcat.org/oclc/42717934","WorldCat Record")</f>
        <v>WorldCat Record</v>
      </c>
      <c r="AX1448" s="3" t="s">
        <v>14112</v>
      </c>
      <c r="AY1448" s="3" t="s">
        <v>14113</v>
      </c>
      <c r="AZ1448" s="3" t="s">
        <v>14114</v>
      </c>
      <c r="BA1448" s="3" t="s">
        <v>14114</v>
      </c>
      <c r="BB1448" s="3" t="s">
        <v>14115</v>
      </c>
      <c r="BC1448" s="3" t="s">
        <v>142</v>
      </c>
      <c r="BD1448" s="3" t="s">
        <v>68</v>
      </c>
      <c r="BE1448" s="3" t="s">
        <v>14116</v>
      </c>
      <c r="BF1448" s="3" t="s">
        <v>14115</v>
      </c>
      <c r="BG1448" s="3" t="s">
        <v>14117</v>
      </c>
    </row>
    <row r="1449" spans="1:59" ht="57" x14ac:dyDescent="0.45">
      <c r="A1449" s="2" t="s">
        <v>59</v>
      </c>
      <c r="B1449" s="2" t="s">
        <v>60</v>
      </c>
      <c r="C1449" s="2" t="s">
        <v>14118</v>
      </c>
      <c r="D1449" s="2" t="s">
        <v>14119</v>
      </c>
      <c r="E1449" s="2" t="s">
        <v>14120</v>
      </c>
      <c r="G1449" s="3" t="s">
        <v>62</v>
      </c>
      <c r="I1449" s="3" t="s">
        <v>62</v>
      </c>
      <c r="J1449" s="3" t="s">
        <v>62</v>
      </c>
      <c r="K1449" s="3" t="s">
        <v>63</v>
      </c>
      <c r="L1449" s="2" t="s">
        <v>14121</v>
      </c>
      <c r="M1449" s="2" t="s">
        <v>14122</v>
      </c>
      <c r="N1449" s="3" t="s">
        <v>1465</v>
      </c>
      <c r="P1449" s="3" t="s">
        <v>65</v>
      </c>
      <c r="R1449" s="3" t="s">
        <v>66</v>
      </c>
      <c r="S1449" s="4">
        <v>8</v>
      </c>
      <c r="T1449" s="4">
        <v>8</v>
      </c>
      <c r="U1449" s="5" t="s">
        <v>1393</v>
      </c>
      <c r="V1449" s="5" t="s">
        <v>1393</v>
      </c>
      <c r="W1449" s="5" t="s">
        <v>67</v>
      </c>
      <c r="X1449" s="5" t="s">
        <v>67</v>
      </c>
      <c r="Y1449" s="4">
        <v>81</v>
      </c>
      <c r="Z1449" s="4">
        <v>7</v>
      </c>
      <c r="AA1449" s="4">
        <v>23</v>
      </c>
      <c r="AB1449" s="4">
        <v>1</v>
      </c>
      <c r="AC1449" s="4">
        <v>6</v>
      </c>
      <c r="AD1449" s="4">
        <v>10</v>
      </c>
      <c r="AE1449" s="4">
        <v>31</v>
      </c>
      <c r="AF1449" s="4">
        <v>0</v>
      </c>
      <c r="AG1449" s="4">
        <v>2</v>
      </c>
      <c r="AH1449" s="4">
        <v>8</v>
      </c>
      <c r="AI1449" s="4">
        <v>23</v>
      </c>
      <c r="AJ1449" s="4">
        <v>4</v>
      </c>
      <c r="AK1449" s="4">
        <v>10</v>
      </c>
      <c r="AL1449" s="4">
        <v>2</v>
      </c>
      <c r="AM1449" s="4">
        <v>10</v>
      </c>
      <c r="AN1449" s="4">
        <v>0</v>
      </c>
      <c r="AO1449" s="4">
        <v>0</v>
      </c>
      <c r="AP1449" s="4">
        <v>5</v>
      </c>
      <c r="AQ1449" s="4">
        <v>15</v>
      </c>
      <c r="AR1449" s="3" t="s">
        <v>62</v>
      </c>
      <c r="AS1449" s="3" t="s">
        <v>62</v>
      </c>
      <c r="AT1449" s="3" t="s">
        <v>61</v>
      </c>
      <c r="AU1449" s="6" t="str">
        <f>HYPERLINK("http://catalog.hathitrust.org/Record/005964512","HathiTrust Record")</f>
        <v>HathiTrust Record</v>
      </c>
      <c r="AV1449" s="6" t="str">
        <f>HYPERLINK("http://mcgill.on.worldcat.org/oclc/255142854","Catalog Record")</f>
        <v>Catalog Record</v>
      </c>
      <c r="AW1449" s="6" t="str">
        <f>HYPERLINK("http://www.worldcat.org/oclc/255142854","WorldCat Record")</f>
        <v>WorldCat Record</v>
      </c>
      <c r="AX1449" s="3" t="s">
        <v>14123</v>
      </c>
      <c r="AY1449" s="3" t="s">
        <v>14124</v>
      </c>
      <c r="AZ1449" s="3" t="s">
        <v>14125</v>
      </c>
      <c r="BA1449" s="3" t="s">
        <v>14125</v>
      </c>
      <c r="BB1449" s="3" t="s">
        <v>14126</v>
      </c>
      <c r="BC1449" s="3" t="s">
        <v>142</v>
      </c>
      <c r="BD1449" s="3" t="s">
        <v>68</v>
      </c>
      <c r="BE1449" s="3" t="s">
        <v>14127</v>
      </c>
      <c r="BF1449" s="3" t="s">
        <v>14126</v>
      </c>
      <c r="BG1449" s="3" t="s">
        <v>14128</v>
      </c>
    </row>
    <row r="1450" spans="1:59" ht="57" x14ac:dyDescent="0.45">
      <c r="A1450" s="2" t="s">
        <v>59</v>
      </c>
      <c r="B1450" s="2" t="s">
        <v>60</v>
      </c>
      <c r="C1450" s="2" t="s">
        <v>14129</v>
      </c>
      <c r="D1450" s="2" t="s">
        <v>14130</v>
      </c>
      <c r="E1450" s="2" t="s">
        <v>14131</v>
      </c>
      <c r="G1450" s="3" t="s">
        <v>62</v>
      </c>
      <c r="I1450" s="3" t="s">
        <v>62</v>
      </c>
      <c r="J1450" s="3" t="s">
        <v>61</v>
      </c>
      <c r="K1450" s="3" t="s">
        <v>63</v>
      </c>
      <c r="L1450" s="2" t="s">
        <v>12529</v>
      </c>
      <c r="M1450" s="2" t="s">
        <v>14132</v>
      </c>
      <c r="N1450" s="3" t="s">
        <v>1155</v>
      </c>
      <c r="O1450" s="2" t="s">
        <v>420</v>
      </c>
      <c r="P1450" s="3" t="s">
        <v>65</v>
      </c>
      <c r="R1450" s="3" t="s">
        <v>66</v>
      </c>
      <c r="S1450" s="4">
        <v>2</v>
      </c>
      <c r="T1450" s="4">
        <v>2</v>
      </c>
      <c r="U1450" s="5" t="s">
        <v>14133</v>
      </c>
      <c r="V1450" s="5" t="s">
        <v>14133</v>
      </c>
      <c r="W1450" s="5" t="s">
        <v>67</v>
      </c>
      <c r="X1450" s="5" t="s">
        <v>67</v>
      </c>
      <c r="Y1450" s="4">
        <v>174</v>
      </c>
      <c r="Z1450" s="4">
        <v>20</v>
      </c>
      <c r="AA1450" s="4">
        <v>62</v>
      </c>
      <c r="AB1450" s="4">
        <v>2</v>
      </c>
      <c r="AC1450" s="4">
        <v>11</v>
      </c>
      <c r="AD1450" s="4">
        <v>31</v>
      </c>
      <c r="AE1450" s="4">
        <v>135</v>
      </c>
      <c r="AF1450" s="4">
        <v>1</v>
      </c>
      <c r="AG1450" s="4">
        <v>6</v>
      </c>
      <c r="AH1450" s="4">
        <v>23</v>
      </c>
      <c r="AI1450" s="4">
        <v>108</v>
      </c>
      <c r="AJ1450" s="4">
        <v>12</v>
      </c>
      <c r="AK1450" s="4">
        <v>26</v>
      </c>
      <c r="AL1450" s="4">
        <v>10</v>
      </c>
      <c r="AM1450" s="4">
        <v>53</v>
      </c>
      <c r="AN1450" s="4">
        <v>0</v>
      </c>
      <c r="AO1450" s="4">
        <v>0</v>
      </c>
      <c r="AP1450" s="4">
        <v>15</v>
      </c>
      <c r="AQ1450" s="4">
        <v>38</v>
      </c>
      <c r="AR1450" s="3" t="s">
        <v>62</v>
      </c>
      <c r="AS1450" s="3" t="s">
        <v>62</v>
      </c>
      <c r="AT1450" s="3" t="s">
        <v>62</v>
      </c>
      <c r="AV1450" s="6" t="str">
        <f>HYPERLINK("http://mcgill.on.worldcat.org/oclc/699379211","Catalog Record")</f>
        <v>Catalog Record</v>
      </c>
      <c r="AW1450" s="6" t="str">
        <f>HYPERLINK("http://www.worldcat.org/oclc/699379211","WorldCat Record")</f>
        <v>WorldCat Record</v>
      </c>
      <c r="AX1450" s="3" t="s">
        <v>14134</v>
      </c>
      <c r="AY1450" s="3" t="s">
        <v>14135</v>
      </c>
      <c r="AZ1450" s="3" t="s">
        <v>14136</v>
      </c>
      <c r="BA1450" s="3" t="s">
        <v>14136</v>
      </c>
      <c r="BB1450" s="3" t="s">
        <v>14137</v>
      </c>
      <c r="BC1450" s="3" t="s">
        <v>142</v>
      </c>
      <c r="BD1450" s="3" t="s">
        <v>68</v>
      </c>
      <c r="BE1450" s="3" t="s">
        <v>14138</v>
      </c>
      <c r="BF1450" s="3" t="s">
        <v>14137</v>
      </c>
      <c r="BG1450" s="3" t="s">
        <v>14139</v>
      </c>
    </row>
    <row r="1451" spans="1:59" ht="57" x14ac:dyDescent="0.45">
      <c r="A1451" s="2" t="s">
        <v>59</v>
      </c>
      <c r="B1451" s="2" t="s">
        <v>60</v>
      </c>
      <c r="C1451" s="2" t="s">
        <v>14140</v>
      </c>
      <c r="D1451" s="2" t="s">
        <v>14141</v>
      </c>
      <c r="E1451" s="2" t="s">
        <v>14142</v>
      </c>
      <c r="G1451" s="3" t="s">
        <v>62</v>
      </c>
      <c r="I1451" s="3" t="s">
        <v>61</v>
      </c>
      <c r="J1451" s="3" t="s">
        <v>61</v>
      </c>
      <c r="K1451" s="3" t="s">
        <v>63</v>
      </c>
      <c r="L1451" s="2" t="s">
        <v>14143</v>
      </c>
      <c r="M1451" s="2" t="s">
        <v>14144</v>
      </c>
      <c r="N1451" s="3" t="s">
        <v>970</v>
      </c>
      <c r="O1451" s="2" t="s">
        <v>3280</v>
      </c>
      <c r="P1451" s="3" t="s">
        <v>65</v>
      </c>
      <c r="R1451" s="3" t="s">
        <v>66</v>
      </c>
      <c r="S1451" s="4">
        <v>17</v>
      </c>
      <c r="T1451" s="4">
        <v>26</v>
      </c>
      <c r="U1451" s="5" t="s">
        <v>14145</v>
      </c>
      <c r="V1451" s="5" t="s">
        <v>481</v>
      </c>
      <c r="W1451" s="5" t="s">
        <v>67</v>
      </c>
      <c r="X1451" s="5" t="s">
        <v>67</v>
      </c>
      <c r="Y1451" s="4">
        <v>235</v>
      </c>
      <c r="Z1451" s="4">
        <v>23</v>
      </c>
      <c r="AA1451" s="4">
        <v>32</v>
      </c>
      <c r="AB1451" s="4">
        <v>3</v>
      </c>
      <c r="AC1451" s="4">
        <v>4</v>
      </c>
      <c r="AD1451" s="4">
        <v>57</v>
      </c>
      <c r="AE1451" s="4">
        <v>94</v>
      </c>
      <c r="AF1451" s="4">
        <v>2</v>
      </c>
      <c r="AG1451" s="4">
        <v>3</v>
      </c>
      <c r="AH1451" s="4">
        <v>46</v>
      </c>
      <c r="AI1451" s="4">
        <v>78</v>
      </c>
      <c r="AJ1451" s="4">
        <v>12</v>
      </c>
      <c r="AK1451" s="4">
        <v>19</v>
      </c>
      <c r="AL1451" s="4">
        <v>23</v>
      </c>
      <c r="AM1451" s="4">
        <v>40</v>
      </c>
      <c r="AN1451" s="4">
        <v>0</v>
      </c>
      <c r="AO1451" s="4">
        <v>0</v>
      </c>
      <c r="AP1451" s="4">
        <v>18</v>
      </c>
      <c r="AQ1451" s="4">
        <v>26</v>
      </c>
      <c r="AR1451" s="3" t="s">
        <v>62</v>
      </c>
      <c r="AS1451" s="3" t="s">
        <v>62</v>
      </c>
      <c r="AT1451" s="3" t="s">
        <v>61</v>
      </c>
      <c r="AU1451" s="6" t="str">
        <f>HYPERLINK("http://catalog.hathitrust.org/Record/007142143","HathiTrust Record")</f>
        <v>HathiTrust Record</v>
      </c>
      <c r="AV1451" s="6" t="str">
        <f>HYPERLINK("http://mcgill.on.worldcat.org/oclc/48943879","Catalog Record")</f>
        <v>Catalog Record</v>
      </c>
      <c r="AW1451" s="6" t="str">
        <f>HYPERLINK("http://www.worldcat.org/oclc/48943879","WorldCat Record")</f>
        <v>WorldCat Record</v>
      </c>
      <c r="AX1451" s="3" t="s">
        <v>14146</v>
      </c>
      <c r="AY1451" s="3" t="s">
        <v>14147</v>
      </c>
      <c r="AZ1451" s="3" t="s">
        <v>14148</v>
      </c>
      <c r="BA1451" s="3" t="s">
        <v>14148</v>
      </c>
      <c r="BB1451" s="3" t="s">
        <v>14149</v>
      </c>
      <c r="BC1451" s="3" t="s">
        <v>142</v>
      </c>
      <c r="BD1451" s="3" t="s">
        <v>68</v>
      </c>
      <c r="BE1451" s="3" t="s">
        <v>14150</v>
      </c>
      <c r="BF1451" s="3" t="s">
        <v>14149</v>
      </c>
      <c r="BG1451" s="3" t="s">
        <v>14151</v>
      </c>
    </row>
    <row r="1452" spans="1:59" ht="57" x14ac:dyDescent="0.45">
      <c r="A1452" s="2" t="s">
        <v>59</v>
      </c>
      <c r="B1452" s="2" t="s">
        <v>60</v>
      </c>
      <c r="C1452" s="2" t="s">
        <v>14140</v>
      </c>
      <c r="D1452" s="2" t="s">
        <v>14141</v>
      </c>
      <c r="E1452" s="2" t="s">
        <v>14142</v>
      </c>
      <c r="G1452" s="3" t="s">
        <v>62</v>
      </c>
      <c r="I1452" s="3" t="s">
        <v>61</v>
      </c>
      <c r="J1452" s="3" t="s">
        <v>61</v>
      </c>
      <c r="K1452" s="3" t="s">
        <v>63</v>
      </c>
      <c r="L1452" s="2" t="s">
        <v>14143</v>
      </c>
      <c r="M1452" s="2" t="s">
        <v>14144</v>
      </c>
      <c r="N1452" s="3" t="s">
        <v>970</v>
      </c>
      <c r="O1452" s="2" t="s">
        <v>3280</v>
      </c>
      <c r="P1452" s="3" t="s">
        <v>65</v>
      </c>
      <c r="R1452" s="3" t="s">
        <v>66</v>
      </c>
      <c r="S1452" s="4">
        <v>9</v>
      </c>
      <c r="T1452" s="4">
        <v>26</v>
      </c>
      <c r="U1452" s="5" t="s">
        <v>481</v>
      </c>
      <c r="V1452" s="5" t="s">
        <v>481</v>
      </c>
      <c r="W1452" s="5" t="s">
        <v>67</v>
      </c>
      <c r="X1452" s="5" t="s">
        <v>67</v>
      </c>
      <c r="Y1452" s="4">
        <v>235</v>
      </c>
      <c r="Z1452" s="4">
        <v>23</v>
      </c>
      <c r="AA1452" s="4">
        <v>32</v>
      </c>
      <c r="AB1452" s="4">
        <v>3</v>
      </c>
      <c r="AC1452" s="4">
        <v>4</v>
      </c>
      <c r="AD1452" s="4">
        <v>57</v>
      </c>
      <c r="AE1452" s="4">
        <v>94</v>
      </c>
      <c r="AF1452" s="4">
        <v>2</v>
      </c>
      <c r="AG1452" s="4">
        <v>3</v>
      </c>
      <c r="AH1452" s="4">
        <v>46</v>
      </c>
      <c r="AI1452" s="4">
        <v>78</v>
      </c>
      <c r="AJ1452" s="4">
        <v>12</v>
      </c>
      <c r="AK1452" s="4">
        <v>19</v>
      </c>
      <c r="AL1452" s="4">
        <v>23</v>
      </c>
      <c r="AM1452" s="4">
        <v>40</v>
      </c>
      <c r="AN1452" s="4">
        <v>0</v>
      </c>
      <c r="AO1452" s="4">
        <v>0</v>
      </c>
      <c r="AP1452" s="4">
        <v>18</v>
      </c>
      <c r="AQ1452" s="4">
        <v>26</v>
      </c>
      <c r="AR1452" s="3" t="s">
        <v>62</v>
      </c>
      <c r="AS1452" s="3" t="s">
        <v>62</v>
      </c>
      <c r="AT1452" s="3" t="s">
        <v>61</v>
      </c>
      <c r="AU1452" s="6" t="str">
        <f>HYPERLINK("http://catalog.hathitrust.org/Record/007142143","HathiTrust Record")</f>
        <v>HathiTrust Record</v>
      </c>
      <c r="AV1452" s="6" t="str">
        <f>HYPERLINK("http://mcgill.on.worldcat.org/oclc/48943879","Catalog Record")</f>
        <v>Catalog Record</v>
      </c>
      <c r="AW1452" s="6" t="str">
        <f>HYPERLINK("http://www.worldcat.org/oclc/48943879","WorldCat Record")</f>
        <v>WorldCat Record</v>
      </c>
      <c r="AX1452" s="3" t="s">
        <v>14146</v>
      </c>
      <c r="AY1452" s="3" t="s">
        <v>14147</v>
      </c>
      <c r="AZ1452" s="3" t="s">
        <v>14148</v>
      </c>
      <c r="BA1452" s="3" t="s">
        <v>14148</v>
      </c>
      <c r="BB1452" s="3" t="s">
        <v>14152</v>
      </c>
      <c r="BC1452" s="3" t="s">
        <v>142</v>
      </c>
      <c r="BD1452" s="3" t="s">
        <v>68</v>
      </c>
      <c r="BE1452" s="3" t="s">
        <v>14150</v>
      </c>
      <c r="BF1452" s="3" t="s">
        <v>14152</v>
      </c>
      <c r="BG1452" s="3" t="s">
        <v>14153</v>
      </c>
    </row>
    <row r="1453" spans="1:59" ht="57" x14ac:dyDescent="0.45">
      <c r="A1453" s="2" t="s">
        <v>59</v>
      </c>
      <c r="B1453" s="2" t="s">
        <v>60</v>
      </c>
      <c r="C1453" s="2" t="s">
        <v>14154</v>
      </c>
      <c r="D1453" s="2" t="s">
        <v>14155</v>
      </c>
      <c r="E1453" s="2" t="s">
        <v>14156</v>
      </c>
      <c r="G1453" s="3" t="s">
        <v>62</v>
      </c>
      <c r="I1453" s="3" t="s">
        <v>62</v>
      </c>
      <c r="J1453" s="3" t="s">
        <v>62</v>
      </c>
      <c r="K1453" s="3" t="s">
        <v>63</v>
      </c>
      <c r="L1453" s="2" t="s">
        <v>14157</v>
      </c>
      <c r="M1453" s="2" t="s">
        <v>14158</v>
      </c>
      <c r="N1453" s="3" t="s">
        <v>1212</v>
      </c>
      <c r="P1453" s="3" t="s">
        <v>65</v>
      </c>
      <c r="Q1453" s="2" t="s">
        <v>14159</v>
      </c>
      <c r="R1453" s="3" t="s">
        <v>66</v>
      </c>
      <c r="S1453" s="4">
        <v>23</v>
      </c>
      <c r="T1453" s="4">
        <v>23</v>
      </c>
      <c r="U1453" s="5" t="s">
        <v>6038</v>
      </c>
      <c r="V1453" s="5" t="s">
        <v>6038</v>
      </c>
      <c r="W1453" s="5" t="s">
        <v>67</v>
      </c>
      <c r="X1453" s="5" t="s">
        <v>67</v>
      </c>
      <c r="Y1453" s="4">
        <v>836</v>
      </c>
      <c r="Z1453" s="4">
        <v>30</v>
      </c>
      <c r="AA1453" s="4">
        <v>37</v>
      </c>
      <c r="AB1453" s="4">
        <v>2</v>
      </c>
      <c r="AC1453" s="4">
        <v>7</v>
      </c>
      <c r="AD1453" s="4">
        <v>119</v>
      </c>
      <c r="AE1453" s="4">
        <v>125</v>
      </c>
      <c r="AF1453" s="4">
        <v>1</v>
      </c>
      <c r="AG1453" s="4">
        <v>4</v>
      </c>
      <c r="AH1453" s="4">
        <v>103</v>
      </c>
      <c r="AI1453" s="4">
        <v>106</v>
      </c>
      <c r="AJ1453" s="4">
        <v>17</v>
      </c>
      <c r="AK1453" s="4">
        <v>19</v>
      </c>
      <c r="AL1453" s="4">
        <v>57</v>
      </c>
      <c r="AM1453" s="4">
        <v>58</v>
      </c>
      <c r="AN1453" s="4">
        <v>0</v>
      </c>
      <c r="AO1453" s="4">
        <v>0</v>
      </c>
      <c r="AP1453" s="4">
        <v>21</v>
      </c>
      <c r="AQ1453" s="4">
        <v>24</v>
      </c>
      <c r="AR1453" s="3" t="s">
        <v>62</v>
      </c>
      <c r="AS1453" s="3" t="s">
        <v>62</v>
      </c>
      <c r="AT1453" s="3" t="s">
        <v>61</v>
      </c>
      <c r="AU1453" s="6" t="str">
        <f>HYPERLINK("http://catalog.hathitrust.org/Record/004128557","HathiTrust Record")</f>
        <v>HathiTrust Record</v>
      </c>
      <c r="AV1453" s="6" t="str">
        <f>HYPERLINK("http://mcgill.on.worldcat.org/oclc/44426998","Catalog Record")</f>
        <v>Catalog Record</v>
      </c>
      <c r="AW1453" s="6" t="str">
        <f>HYPERLINK("http://www.worldcat.org/oclc/44426998","WorldCat Record")</f>
        <v>WorldCat Record</v>
      </c>
      <c r="AX1453" s="3" t="s">
        <v>14160</v>
      </c>
      <c r="AY1453" s="3" t="s">
        <v>14161</v>
      </c>
      <c r="AZ1453" s="3" t="s">
        <v>14162</v>
      </c>
      <c r="BA1453" s="3" t="s">
        <v>14162</v>
      </c>
      <c r="BB1453" s="3" t="s">
        <v>14163</v>
      </c>
      <c r="BC1453" s="3" t="s">
        <v>142</v>
      </c>
      <c r="BD1453" s="3" t="s">
        <v>68</v>
      </c>
      <c r="BE1453" s="3" t="s">
        <v>14164</v>
      </c>
      <c r="BF1453" s="3" t="s">
        <v>14163</v>
      </c>
      <c r="BG1453" s="3" t="s">
        <v>14165</v>
      </c>
    </row>
    <row r="1454" spans="1:59" ht="57" x14ac:dyDescent="0.45">
      <c r="A1454" s="2" t="s">
        <v>59</v>
      </c>
      <c r="B1454" s="2" t="s">
        <v>60</v>
      </c>
      <c r="C1454" s="2" t="s">
        <v>14166</v>
      </c>
      <c r="D1454" s="2" t="s">
        <v>14167</v>
      </c>
      <c r="E1454" s="2" t="s">
        <v>14168</v>
      </c>
      <c r="G1454" s="3" t="s">
        <v>62</v>
      </c>
      <c r="I1454" s="3" t="s">
        <v>62</v>
      </c>
      <c r="J1454" s="3" t="s">
        <v>61</v>
      </c>
      <c r="K1454" s="3" t="s">
        <v>63</v>
      </c>
      <c r="L1454" s="2" t="s">
        <v>14169</v>
      </c>
      <c r="M1454" s="2" t="s">
        <v>14170</v>
      </c>
      <c r="N1454" s="3" t="s">
        <v>84</v>
      </c>
      <c r="P1454" s="3" t="s">
        <v>65</v>
      </c>
      <c r="Q1454" s="2" t="s">
        <v>14171</v>
      </c>
      <c r="R1454" s="3" t="s">
        <v>66</v>
      </c>
      <c r="S1454" s="4">
        <v>15</v>
      </c>
      <c r="T1454" s="4">
        <v>15</v>
      </c>
      <c r="U1454" s="5" t="s">
        <v>4106</v>
      </c>
      <c r="V1454" s="5" t="s">
        <v>4106</v>
      </c>
      <c r="W1454" s="5" t="s">
        <v>67</v>
      </c>
      <c r="X1454" s="5" t="s">
        <v>67</v>
      </c>
      <c r="Y1454" s="4">
        <v>207</v>
      </c>
      <c r="Z1454" s="4">
        <v>19</v>
      </c>
      <c r="AA1454" s="4">
        <v>115</v>
      </c>
      <c r="AB1454" s="4">
        <v>1</v>
      </c>
      <c r="AC1454" s="4">
        <v>19</v>
      </c>
      <c r="AD1454" s="4">
        <v>31</v>
      </c>
      <c r="AE1454" s="4">
        <v>166</v>
      </c>
      <c r="AF1454" s="4">
        <v>0</v>
      </c>
      <c r="AG1454" s="4">
        <v>9</v>
      </c>
      <c r="AH1454" s="4">
        <v>24</v>
      </c>
      <c r="AI1454" s="4">
        <v>114</v>
      </c>
      <c r="AJ1454" s="4">
        <v>4</v>
      </c>
      <c r="AK1454" s="4">
        <v>28</v>
      </c>
      <c r="AL1454" s="4">
        <v>17</v>
      </c>
      <c r="AM1454" s="4">
        <v>59</v>
      </c>
      <c r="AN1454" s="4">
        <v>0</v>
      </c>
      <c r="AO1454" s="4">
        <v>0</v>
      </c>
      <c r="AP1454" s="4">
        <v>9</v>
      </c>
      <c r="AQ1454" s="4">
        <v>62</v>
      </c>
      <c r="AR1454" s="3" t="s">
        <v>62</v>
      </c>
      <c r="AS1454" s="3" t="s">
        <v>62</v>
      </c>
      <c r="AT1454" s="3" t="s">
        <v>61</v>
      </c>
      <c r="AU1454" s="6" t="str">
        <f>HYPERLINK("http://catalog.hathitrust.org/Record/001087187","HathiTrust Record")</f>
        <v>HathiTrust Record</v>
      </c>
      <c r="AV1454" s="6" t="str">
        <f>HYPERLINK("http://mcgill.on.worldcat.org/oclc/26735061","Catalog Record")</f>
        <v>Catalog Record</v>
      </c>
      <c r="AW1454" s="6" t="str">
        <f>HYPERLINK("http://www.worldcat.org/oclc/26735061","WorldCat Record")</f>
        <v>WorldCat Record</v>
      </c>
      <c r="AX1454" s="3" t="s">
        <v>14172</v>
      </c>
      <c r="AY1454" s="3" t="s">
        <v>14173</v>
      </c>
      <c r="AZ1454" s="3" t="s">
        <v>14174</v>
      </c>
      <c r="BA1454" s="3" t="s">
        <v>14174</v>
      </c>
      <c r="BB1454" s="3" t="s">
        <v>14175</v>
      </c>
      <c r="BC1454" s="3" t="s">
        <v>142</v>
      </c>
      <c r="BD1454" s="3" t="s">
        <v>68</v>
      </c>
      <c r="BE1454" s="3" t="s">
        <v>14176</v>
      </c>
      <c r="BF1454" s="3" t="s">
        <v>14175</v>
      </c>
      <c r="BG1454" s="3" t="s">
        <v>14177</v>
      </c>
    </row>
    <row r="1455" spans="1:59" ht="57" x14ac:dyDescent="0.45">
      <c r="A1455" s="2" t="s">
        <v>59</v>
      </c>
      <c r="B1455" s="2" t="s">
        <v>60</v>
      </c>
      <c r="C1455" s="2" t="s">
        <v>14178</v>
      </c>
      <c r="D1455" s="2" t="s">
        <v>14179</v>
      </c>
      <c r="E1455" s="2" t="s">
        <v>14180</v>
      </c>
      <c r="G1455" s="3" t="s">
        <v>62</v>
      </c>
      <c r="I1455" s="3" t="s">
        <v>61</v>
      </c>
      <c r="J1455" s="3" t="s">
        <v>62</v>
      </c>
      <c r="K1455" s="3" t="s">
        <v>63</v>
      </c>
      <c r="L1455" s="2" t="s">
        <v>14181</v>
      </c>
      <c r="M1455" s="2" t="s">
        <v>14182</v>
      </c>
      <c r="N1455" s="3" t="s">
        <v>555</v>
      </c>
      <c r="P1455" s="3" t="s">
        <v>65</v>
      </c>
      <c r="R1455" s="3" t="s">
        <v>66</v>
      </c>
      <c r="S1455" s="4">
        <v>11</v>
      </c>
      <c r="T1455" s="4">
        <v>29</v>
      </c>
      <c r="U1455" s="5" t="s">
        <v>14183</v>
      </c>
      <c r="V1455" s="5" t="s">
        <v>14183</v>
      </c>
      <c r="W1455" s="5" t="s">
        <v>67</v>
      </c>
      <c r="X1455" s="5" t="s">
        <v>67</v>
      </c>
      <c r="Y1455" s="4">
        <v>81</v>
      </c>
      <c r="Z1455" s="4">
        <v>27</v>
      </c>
      <c r="AA1455" s="4">
        <v>47</v>
      </c>
      <c r="AB1455" s="4">
        <v>3</v>
      </c>
      <c r="AC1455" s="4">
        <v>6</v>
      </c>
      <c r="AD1455" s="4">
        <v>41</v>
      </c>
      <c r="AE1455" s="4">
        <v>111</v>
      </c>
      <c r="AF1455" s="4">
        <v>1</v>
      </c>
      <c r="AG1455" s="4">
        <v>3</v>
      </c>
      <c r="AH1455" s="4">
        <v>33</v>
      </c>
      <c r="AI1455" s="4">
        <v>90</v>
      </c>
      <c r="AJ1455" s="4">
        <v>15</v>
      </c>
      <c r="AK1455" s="4">
        <v>23</v>
      </c>
      <c r="AL1455" s="4">
        <v>21</v>
      </c>
      <c r="AM1455" s="4">
        <v>48</v>
      </c>
      <c r="AN1455" s="4">
        <v>0</v>
      </c>
      <c r="AO1455" s="4">
        <v>1</v>
      </c>
      <c r="AP1455" s="4">
        <v>17</v>
      </c>
      <c r="AQ1455" s="4">
        <v>29</v>
      </c>
      <c r="AR1455" s="3" t="s">
        <v>62</v>
      </c>
      <c r="AS1455" s="3" t="s">
        <v>62</v>
      </c>
      <c r="AT1455" s="3" t="s">
        <v>61</v>
      </c>
      <c r="AU1455" s="6" t="str">
        <f>HYPERLINK("http://catalog.hathitrust.org/Record/007112771","HathiTrust Record")</f>
        <v>HathiTrust Record</v>
      </c>
      <c r="AV1455" s="6" t="str">
        <f>HYPERLINK("http://mcgill.on.worldcat.org/oclc/15766487","Catalog Record")</f>
        <v>Catalog Record</v>
      </c>
      <c r="AW1455" s="6" t="str">
        <f>HYPERLINK("http://www.worldcat.org/oclc/15766487","WorldCat Record")</f>
        <v>WorldCat Record</v>
      </c>
      <c r="AX1455" s="3" t="s">
        <v>14184</v>
      </c>
      <c r="AY1455" s="3" t="s">
        <v>14185</v>
      </c>
      <c r="AZ1455" s="3" t="s">
        <v>14186</v>
      </c>
      <c r="BA1455" s="3" t="s">
        <v>14186</v>
      </c>
      <c r="BB1455" s="3" t="s">
        <v>14187</v>
      </c>
      <c r="BC1455" s="3" t="s">
        <v>142</v>
      </c>
      <c r="BD1455" s="3" t="s">
        <v>68</v>
      </c>
      <c r="BE1455" s="3" t="s">
        <v>14188</v>
      </c>
      <c r="BF1455" s="3" t="s">
        <v>14187</v>
      </c>
      <c r="BG1455" s="3" t="s">
        <v>14189</v>
      </c>
    </row>
    <row r="1456" spans="1:59" ht="57" x14ac:dyDescent="0.45">
      <c r="A1456" s="2" t="s">
        <v>59</v>
      </c>
      <c r="B1456" s="2" t="s">
        <v>60</v>
      </c>
      <c r="C1456" s="2" t="s">
        <v>14178</v>
      </c>
      <c r="D1456" s="2" t="s">
        <v>14179</v>
      </c>
      <c r="E1456" s="2" t="s">
        <v>14180</v>
      </c>
      <c r="G1456" s="3" t="s">
        <v>62</v>
      </c>
      <c r="I1456" s="3" t="s">
        <v>61</v>
      </c>
      <c r="J1456" s="3" t="s">
        <v>62</v>
      </c>
      <c r="K1456" s="3" t="s">
        <v>63</v>
      </c>
      <c r="L1456" s="2" t="s">
        <v>14181</v>
      </c>
      <c r="M1456" s="2" t="s">
        <v>14182</v>
      </c>
      <c r="N1456" s="3" t="s">
        <v>555</v>
      </c>
      <c r="P1456" s="3" t="s">
        <v>65</v>
      </c>
      <c r="R1456" s="3" t="s">
        <v>66</v>
      </c>
      <c r="S1456" s="4">
        <v>18</v>
      </c>
      <c r="T1456" s="4">
        <v>29</v>
      </c>
      <c r="U1456" s="5" t="s">
        <v>14190</v>
      </c>
      <c r="V1456" s="5" t="s">
        <v>14183</v>
      </c>
      <c r="W1456" s="5" t="s">
        <v>67</v>
      </c>
      <c r="X1456" s="5" t="s">
        <v>67</v>
      </c>
      <c r="Y1456" s="4">
        <v>81</v>
      </c>
      <c r="Z1456" s="4">
        <v>27</v>
      </c>
      <c r="AA1456" s="4">
        <v>47</v>
      </c>
      <c r="AB1456" s="4">
        <v>3</v>
      </c>
      <c r="AC1456" s="4">
        <v>6</v>
      </c>
      <c r="AD1456" s="4">
        <v>41</v>
      </c>
      <c r="AE1456" s="4">
        <v>111</v>
      </c>
      <c r="AF1456" s="4">
        <v>1</v>
      </c>
      <c r="AG1456" s="4">
        <v>3</v>
      </c>
      <c r="AH1456" s="4">
        <v>33</v>
      </c>
      <c r="AI1456" s="4">
        <v>90</v>
      </c>
      <c r="AJ1456" s="4">
        <v>15</v>
      </c>
      <c r="AK1456" s="4">
        <v>23</v>
      </c>
      <c r="AL1456" s="4">
        <v>21</v>
      </c>
      <c r="AM1456" s="4">
        <v>48</v>
      </c>
      <c r="AN1456" s="4">
        <v>0</v>
      </c>
      <c r="AO1456" s="4">
        <v>1</v>
      </c>
      <c r="AP1456" s="4">
        <v>17</v>
      </c>
      <c r="AQ1456" s="4">
        <v>29</v>
      </c>
      <c r="AR1456" s="3" t="s">
        <v>62</v>
      </c>
      <c r="AS1456" s="3" t="s">
        <v>62</v>
      </c>
      <c r="AT1456" s="3" t="s">
        <v>61</v>
      </c>
      <c r="AU1456" s="6" t="str">
        <f>HYPERLINK("http://catalog.hathitrust.org/Record/007112771","HathiTrust Record")</f>
        <v>HathiTrust Record</v>
      </c>
      <c r="AV1456" s="6" t="str">
        <f>HYPERLINK("http://mcgill.on.worldcat.org/oclc/15766487","Catalog Record")</f>
        <v>Catalog Record</v>
      </c>
      <c r="AW1456" s="6" t="str">
        <f>HYPERLINK("http://www.worldcat.org/oclc/15766487","WorldCat Record")</f>
        <v>WorldCat Record</v>
      </c>
      <c r="AX1456" s="3" t="s">
        <v>14184</v>
      </c>
      <c r="AY1456" s="3" t="s">
        <v>14185</v>
      </c>
      <c r="AZ1456" s="3" t="s">
        <v>14186</v>
      </c>
      <c r="BA1456" s="3" t="s">
        <v>14186</v>
      </c>
      <c r="BB1456" s="3" t="s">
        <v>14191</v>
      </c>
      <c r="BC1456" s="3" t="s">
        <v>142</v>
      </c>
      <c r="BD1456" s="3" t="s">
        <v>68</v>
      </c>
      <c r="BE1456" s="3" t="s">
        <v>14188</v>
      </c>
      <c r="BF1456" s="3" t="s">
        <v>14191</v>
      </c>
      <c r="BG1456" s="3" t="s">
        <v>14192</v>
      </c>
    </row>
    <row r="1457" spans="1:59" ht="57" x14ac:dyDescent="0.45">
      <c r="A1457" s="2" t="s">
        <v>59</v>
      </c>
      <c r="B1457" s="2" t="s">
        <v>60</v>
      </c>
      <c r="C1457" s="2" t="s">
        <v>14193</v>
      </c>
      <c r="D1457" s="2" t="s">
        <v>14194</v>
      </c>
      <c r="E1457" s="2" t="s">
        <v>14195</v>
      </c>
      <c r="G1457" s="3" t="s">
        <v>62</v>
      </c>
      <c r="I1457" s="3" t="s">
        <v>62</v>
      </c>
      <c r="J1457" s="3" t="s">
        <v>62</v>
      </c>
      <c r="K1457" s="3" t="s">
        <v>63</v>
      </c>
      <c r="L1457" s="2" t="s">
        <v>14196</v>
      </c>
      <c r="M1457" s="2" t="s">
        <v>6523</v>
      </c>
      <c r="N1457" s="3" t="s">
        <v>1059</v>
      </c>
      <c r="P1457" s="3" t="s">
        <v>65</v>
      </c>
      <c r="Q1457" s="2" t="s">
        <v>14197</v>
      </c>
      <c r="R1457" s="3" t="s">
        <v>66</v>
      </c>
      <c r="S1457" s="4">
        <v>5</v>
      </c>
      <c r="T1457" s="4">
        <v>5</v>
      </c>
      <c r="U1457" s="5" t="s">
        <v>13047</v>
      </c>
      <c r="V1457" s="5" t="s">
        <v>13047</v>
      </c>
      <c r="W1457" s="5" t="s">
        <v>67</v>
      </c>
      <c r="X1457" s="5" t="s">
        <v>67</v>
      </c>
      <c r="Y1457" s="4">
        <v>159</v>
      </c>
      <c r="Z1457" s="4">
        <v>9</v>
      </c>
      <c r="AA1457" s="4">
        <v>60</v>
      </c>
      <c r="AB1457" s="4">
        <v>1</v>
      </c>
      <c r="AC1457" s="4">
        <v>17</v>
      </c>
      <c r="AD1457" s="4">
        <v>57</v>
      </c>
      <c r="AE1457" s="4">
        <v>104</v>
      </c>
      <c r="AF1457" s="4">
        <v>0</v>
      </c>
      <c r="AG1457" s="4">
        <v>8</v>
      </c>
      <c r="AH1457" s="4">
        <v>53</v>
      </c>
      <c r="AI1457" s="4">
        <v>67</v>
      </c>
      <c r="AJ1457" s="4">
        <v>7</v>
      </c>
      <c r="AK1457" s="4">
        <v>24</v>
      </c>
      <c r="AL1457" s="4">
        <v>31</v>
      </c>
      <c r="AM1457" s="4">
        <v>35</v>
      </c>
      <c r="AN1457" s="4">
        <v>0</v>
      </c>
      <c r="AO1457" s="4">
        <v>0</v>
      </c>
      <c r="AP1457" s="4">
        <v>8</v>
      </c>
      <c r="AQ1457" s="4">
        <v>47</v>
      </c>
      <c r="AR1457" s="3" t="s">
        <v>62</v>
      </c>
      <c r="AS1457" s="3" t="s">
        <v>62</v>
      </c>
      <c r="AT1457" s="3" t="s">
        <v>61</v>
      </c>
      <c r="AU1457" s="6" t="str">
        <f>HYPERLINK("http://catalog.hathitrust.org/Record/006952651","HathiTrust Record")</f>
        <v>HathiTrust Record</v>
      </c>
      <c r="AV1457" s="6" t="str">
        <f>HYPERLINK("http://mcgill.on.worldcat.org/oclc/68799785","Catalog Record")</f>
        <v>Catalog Record</v>
      </c>
      <c r="AW1457" s="6" t="str">
        <f>HYPERLINK("http://www.worldcat.org/oclc/68799785","WorldCat Record")</f>
        <v>WorldCat Record</v>
      </c>
      <c r="AX1457" s="3" t="s">
        <v>14198</v>
      </c>
      <c r="AY1457" s="3" t="s">
        <v>14199</v>
      </c>
      <c r="AZ1457" s="3" t="s">
        <v>14200</v>
      </c>
      <c r="BA1457" s="3" t="s">
        <v>14200</v>
      </c>
      <c r="BB1457" s="3" t="s">
        <v>14201</v>
      </c>
      <c r="BC1457" s="3" t="s">
        <v>142</v>
      </c>
      <c r="BD1457" s="3" t="s">
        <v>68</v>
      </c>
      <c r="BE1457" s="3" t="s">
        <v>14202</v>
      </c>
      <c r="BF1457" s="3" t="s">
        <v>14201</v>
      </c>
      <c r="BG1457" s="3" t="s">
        <v>14203</v>
      </c>
    </row>
    <row r="1458" spans="1:59" ht="57" x14ac:dyDescent="0.45">
      <c r="A1458" s="2" t="s">
        <v>59</v>
      </c>
      <c r="B1458" s="2" t="s">
        <v>60</v>
      </c>
      <c r="C1458" s="2" t="s">
        <v>14204</v>
      </c>
      <c r="D1458" s="2" t="s">
        <v>14205</v>
      </c>
      <c r="E1458" s="2" t="s">
        <v>14206</v>
      </c>
      <c r="G1458" s="3" t="s">
        <v>62</v>
      </c>
      <c r="I1458" s="3" t="s">
        <v>62</v>
      </c>
      <c r="J1458" s="3" t="s">
        <v>62</v>
      </c>
      <c r="K1458" s="3" t="s">
        <v>63</v>
      </c>
      <c r="M1458" s="2" t="s">
        <v>14207</v>
      </c>
      <c r="N1458" s="3" t="s">
        <v>116</v>
      </c>
      <c r="P1458" s="3" t="s">
        <v>65</v>
      </c>
      <c r="Q1458" s="2" t="s">
        <v>14208</v>
      </c>
      <c r="R1458" s="3" t="s">
        <v>66</v>
      </c>
      <c r="S1458" s="4">
        <v>1</v>
      </c>
      <c r="T1458" s="4">
        <v>1</v>
      </c>
      <c r="U1458" s="5" t="s">
        <v>14209</v>
      </c>
      <c r="V1458" s="5" t="s">
        <v>14209</v>
      </c>
      <c r="W1458" s="5" t="s">
        <v>67</v>
      </c>
      <c r="X1458" s="5" t="s">
        <v>67</v>
      </c>
      <c r="Y1458" s="4">
        <v>53</v>
      </c>
      <c r="Z1458" s="4">
        <v>3</v>
      </c>
      <c r="AA1458" s="4">
        <v>3</v>
      </c>
      <c r="AB1458" s="4">
        <v>1</v>
      </c>
      <c r="AC1458" s="4">
        <v>1</v>
      </c>
      <c r="AD1458" s="4">
        <v>24</v>
      </c>
      <c r="AE1458" s="4">
        <v>24</v>
      </c>
      <c r="AF1458" s="4">
        <v>0</v>
      </c>
      <c r="AG1458" s="4">
        <v>0</v>
      </c>
      <c r="AH1458" s="4">
        <v>23</v>
      </c>
      <c r="AI1458" s="4">
        <v>23</v>
      </c>
      <c r="AJ1458" s="4">
        <v>2</v>
      </c>
      <c r="AK1458" s="4">
        <v>2</v>
      </c>
      <c r="AL1458" s="4">
        <v>18</v>
      </c>
      <c r="AM1458" s="4">
        <v>18</v>
      </c>
      <c r="AN1458" s="4">
        <v>0</v>
      </c>
      <c r="AO1458" s="4">
        <v>0</v>
      </c>
      <c r="AP1458" s="4">
        <v>2</v>
      </c>
      <c r="AQ1458" s="4">
        <v>2</v>
      </c>
      <c r="AR1458" s="3" t="s">
        <v>62</v>
      </c>
      <c r="AS1458" s="3" t="s">
        <v>62</v>
      </c>
      <c r="AT1458" s="3" t="s">
        <v>62</v>
      </c>
      <c r="AV1458" s="6" t="str">
        <f>HYPERLINK("http://mcgill.on.worldcat.org/oclc/833145433","Catalog Record")</f>
        <v>Catalog Record</v>
      </c>
      <c r="AW1458" s="6" t="str">
        <f>HYPERLINK("http://www.worldcat.org/oclc/833145433","WorldCat Record")</f>
        <v>WorldCat Record</v>
      </c>
      <c r="AX1458" s="3" t="s">
        <v>14210</v>
      </c>
      <c r="AY1458" s="3" t="s">
        <v>14211</v>
      </c>
      <c r="AZ1458" s="3" t="s">
        <v>14212</v>
      </c>
      <c r="BA1458" s="3" t="s">
        <v>14212</v>
      </c>
      <c r="BB1458" s="3" t="s">
        <v>14213</v>
      </c>
      <c r="BC1458" s="3" t="s">
        <v>142</v>
      </c>
      <c r="BD1458" s="3" t="s">
        <v>68</v>
      </c>
      <c r="BE1458" s="3" t="s">
        <v>14214</v>
      </c>
      <c r="BF1458" s="3" t="s">
        <v>14213</v>
      </c>
      <c r="BG1458" s="3" t="s">
        <v>14215</v>
      </c>
    </row>
    <row r="1459" spans="1:59" ht="57" x14ac:dyDescent="0.45">
      <c r="A1459" s="2" t="s">
        <v>59</v>
      </c>
      <c r="B1459" s="2" t="s">
        <v>60</v>
      </c>
      <c r="C1459" s="2" t="s">
        <v>14216</v>
      </c>
      <c r="D1459" s="2" t="s">
        <v>14217</v>
      </c>
      <c r="E1459" s="2" t="s">
        <v>14218</v>
      </c>
      <c r="G1459" s="3" t="s">
        <v>62</v>
      </c>
      <c r="I1459" s="3" t="s">
        <v>62</v>
      </c>
      <c r="J1459" s="3" t="s">
        <v>62</v>
      </c>
      <c r="K1459" s="3" t="s">
        <v>63</v>
      </c>
      <c r="M1459" s="2" t="s">
        <v>14219</v>
      </c>
      <c r="N1459" s="3" t="s">
        <v>1253</v>
      </c>
      <c r="P1459" s="3" t="s">
        <v>65</v>
      </c>
      <c r="Q1459" s="2" t="s">
        <v>7366</v>
      </c>
      <c r="R1459" s="3" t="s">
        <v>66</v>
      </c>
      <c r="S1459" s="4">
        <v>17</v>
      </c>
      <c r="T1459" s="4">
        <v>17</v>
      </c>
      <c r="U1459" s="5" t="s">
        <v>85</v>
      </c>
      <c r="V1459" s="5" t="s">
        <v>85</v>
      </c>
      <c r="W1459" s="5" t="s">
        <v>67</v>
      </c>
      <c r="X1459" s="5" t="s">
        <v>67</v>
      </c>
      <c r="Y1459" s="4">
        <v>364</v>
      </c>
      <c r="Z1459" s="4">
        <v>26</v>
      </c>
      <c r="AA1459" s="4">
        <v>31</v>
      </c>
      <c r="AB1459" s="4">
        <v>2</v>
      </c>
      <c r="AC1459" s="4">
        <v>6</v>
      </c>
      <c r="AD1459" s="4">
        <v>111</v>
      </c>
      <c r="AE1459" s="4">
        <v>113</v>
      </c>
      <c r="AF1459" s="4">
        <v>1</v>
      </c>
      <c r="AG1459" s="4">
        <v>2</v>
      </c>
      <c r="AH1459" s="4">
        <v>95</v>
      </c>
      <c r="AI1459" s="4">
        <v>96</v>
      </c>
      <c r="AJ1459" s="4">
        <v>19</v>
      </c>
      <c r="AK1459" s="4">
        <v>20</v>
      </c>
      <c r="AL1459" s="4">
        <v>48</v>
      </c>
      <c r="AM1459" s="4">
        <v>48</v>
      </c>
      <c r="AN1459" s="4">
        <v>0</v>
      </c>
      <c r="AO1459" s="4">
        <v>0</v>
      </c>
      <c r="AP1459" s="4">
        <v>23</v>
      </c>
      <c r="AQ1459" s="4">
        <v>25</v>
      </c>
      <c r="AR1459" s="3" t="s">
        <v>62</v>
      </c>
      <c r="AS1459" s="3" t="s">
        <v>62</v>
      </c>
      <c r="AT1459" s="3" t="s">
        <v>61</v>
      </c>
      <c r="AU1459" s="6" t="str">
        <f>HYPERLINK("http://catalog.hathitrust.org/Record/003952474","HathiTrust Record")</f>
        <v>HathiTrust Record</v>
      </c>
      <c r="AV1459" s="6" t="str">
        <f>HYPERLINK("http://mcgill.on.worldcat.org/oclc/36458113","Catalog Record")</f>
        <v>Catalog Record</v>
      </c>
      <c r="AW1459" s="6" t="str">
        <f>HYPERLINK("http://www.worldcat.org/oclc/36458113","WorldCat Record")</f>
        <v>WorldCat Record</v>
      </c>
      <c r="AX1459" s="3" t="s">
        <v>14220</v>
      </c>
      <c r="AY1459" s="3" t="s">
        <v>14221</v>
      </c>
      <c r="AZ1459" s="3" t="s">
        <v>14222</v>
      </c>
      <c r="BA1459" s="3" t="s">
        <v>14222</v>
      </c>
      <c r="BB1459" s="3" t="s">
        <v>14223</v>
      </c>
      <c r="BC1459" s="3" t="s">
        <v>142</v>
      </c>
      <c r="BD1459" s="3" t="s">
        <v>68</v>
      </c>
      <c r="BE1459" s="3" t="s">
        <v>14224</v>
      </c>
      <c r="BF1459" s="3" t="s">
        <v>14223</v>
      </c>
      <c r="BG1459" s="3" t="s">
        <v>14225</v>
      </c>
    </row>
    <row r="1460" spans="1:59" ht="57" x14ac:dyDescent="0.45">
      <c r="A1460" s="2" t="s">
        <v>59</v>
      </c>
      <c r="B1460" s="2" t="s">
        <v>60</v>
      </c>
      <c r="C1460" s="2" t="s">
        <v>14226</v>
      </c>
      <c r="D1460" s="2" t="s">
        <v>14227</v>
      </c>
      <c r="E1460" s="2" t="s">
        <v>14228</v>
      </c>
      <c r="G1460" s="3" t="s">
        <v>62</v>
      </c>
      <c r="I1460" s="3" t="s">
        <v>62</v>
      </c>
      <c r="J1460" s="3" t="s">
        <v>62</v>
      </c>
      <c r="K1460" s="3" t="s">
        <v>63</v>
      </c>
      <c r="L1460" s="2" t="s">
        <v>14229</v>
      </c>
      <c r="M1460" s="2" t="s">
        <v>14230</v>
      </c>
      <c r="N1460" s="3" t="s">
        <v>894</v>
      </c>
      <c r="P1460" s="3" t="s">
        <v>65</v>
      </c>
      <c r="R1460" s="3" t="s">
        <v>66</v>
      </c>
      <c r="S1460" s="4">
        <v>2</v>
      </c>
      <c r="T1460" s="4">
        <v>2</v>
      </c>
      <c r="U1460" s="5" t="s">
        <v>14231</v>
      </c>
      <c r="V1460" s="5" t="s">
        <v>14231</v>
      </c>
      <c r="W1460" s="5" t="s">
        <v>67</v>
      </c>
      <c r="X1460" s="5" t="s">
        <v>67</v>
      </c>
      <c r="Y1460" s="4">
        <v>159</v>
      </c>
      <c r="Z1460" s="4">
        <v>21</v>
      </c>
      <c r="AA1460" s="4">
        <v>47</v>
      </c>
      <c r="AB1460" s="4">
        <v>2</v>
      </c>
      <c r="AC1460" s="4">
        <v>8</v>
      </c>
      <c r="AD1460" s="4">
        <v>65</v>
      </c>
      <c r="AE1460" s="4">
        <v>101</v>
      </c>
      <c r="AF1460" s="4">
        <v>1</v>
      </c>
      <c r="AG1460" s="4">
        <v>4</v>
      </c>
      <c r="AH1460" s="4">
        <v>59</v>
      </c>
      <c r="AI1460" s="4">
        <v>82</v>
      </c>
      <c r="AJ1460" s="4">
        <v>14</v>
      </c>
      <c r="AK1460" s="4">
        <v>19</v>
      </c>
      <c r="AL1460" s="4">
        <v>29</v>
      </c>
      <c r="AM1460" s="4">
        <v>40</v>
      </c>
      <c r="AN1460" s="4">
        <v>0</v>
      </c>
      <c r="AO1460" s="4">
        <v>0</v>
      </c>
      <c r="AP1460" s="4">
        <v>17</v>
      </c>
      <c r="AQ1460" s="4">
        <v>29</v>
      </c>
      <c r="AR1460" s="3" t="s">
        <v>62</v>
      </c>
      <c r="AS1460" s="3" t="s">
        <v>62</v>
      </c>
      <c r="AT1460" s="3" t="s">
        <v>62</v>
      </c>
      <c r="AV1460" s="6" t="str">
        <f>HYPERLINK("http://mcgill.on.worldcat.org/oclc/724657336","Catalog Record")</f>
        <v>Catalog Record</v>
      </c>
      <c r="AW1460" s="6" t="str">
        <f>HYPERLINK("http://www.worldcat.org/oclc/724657336","WorldCat Record")</f>
        <v>WorldCat Record</v>
      </c>
      <c r="AX1460" s="3" t="s">
        <v>14232</v>
      </c>
      <c r="AY1460" s="3" t="s">
        <v>14233</v>
      </c>
      <c r="AZ1460" s="3" t="s">
        <v>14234</v>
      </c>
      <c r="BA1460" s="3" t="s">
        <v>14234</v>
      </c>
      <c r="BB1460" s="3" t="s">
        <v>14235</v>
      </c>
      <c r="BC1460" s="3" t="s">
        <v>142</v>
      </c>
      <c r="BD1460" s="3" t="s">
        <v>68</v>
      </c>
      <c r="BE1460" s="3" t="s">
        <v>14236</v>
      </c>
      <c r="BF1460" s="3" t="s">
        <v>14235</v>
      </c>
      <c r="BG1460" s="3" t="s">
        <v>14237</v>
      </c>
    </row>
    <row r="1461" spans="1:59" ht="57" x14ac:dyDescent="0.45">
      <c r="A1461" s="2" t="s">
        <v>59</v>
      </c>
      <c r="B1461" s="2" t="s">
        <v>60</v>
      </c>
      <c r="C1461" s="2" t="s">
        <v>14238</v>
      </c>
      <c r="D1461" s="2" t="s">
        <v>14239</v>
      </c>
      <c r="E1461" s="2" t="s">
        <v>14240</v>
      </c>
      <c r="G1461" s="3" t="s">
        <v>62</v>
      </c>
      <c r="I1461" s="3" t="s">
        <v>62</v>
      </c>
      <c r="J1461" s="3" t="s">
        <v>62</v>
      </c>
      <c r="K1461" s="3" t="s">
        <v>63</v>
      </c>
      <c r="M1461" s="2" t="s">
        <v>14241</v>
      </c>
      <c r="N1461" s="3" t="s">
        <v>125</v>
      </c>
      <c r="P1461" s="3" t="s">
        <v>65</v>
      </c>
      <c r="Q1461" s="2" t="s">
        <v>14242</v>
      </c>
      <c r="R1461" s="3" t="s">
        <v>66</v>
      </c>
      <c r="S1461" s="4">
        <v>13</v>
      </c>
      <c r="T1461" s="4">
        <v>13</v>
      </c>
      <c r="U1461" s="5" t="s">
        <v>128</v>
      </c>
      <c r="V1461" s="5" t="s">
        <v>128</v>
      </c>
      <c r="W1461" s="5" t="s">
        <v>67</v>
      </c>
      <c r="X1461" s="5" t="s">
        <v>67</v>
      </c>
      <c r="Y1461" s="4">
        <v>470</v>
      </c>
      <c r="Z1461" s="4">
        <v>19</v>
      </c>
      <c r="AA1461" s="4">
        <v>25</v>
      </c>
      <c r="AB1461" s="4">
        <v>2</v>
      </c>
      <c r="AC1461" s="4">
        <v>7</v>
      </c>
      <c r="AD1461" s="4">
        <v>96</v>
      </c>
      <c r="AE1461" s="4">
        <v>99</v>
      </c>
      <c r="AF1461" s="4">
        <v>1</v>
      </c>
      <c r="AG1461" s="4">
        <v>3</v>
      </c>
      <c r="AH1461" s="4">
        <v>86</v>
      </c>
      <c r="AI1461" s="4">
        <v>88</v>
      </c>
      <c r="AJ1461" s="4">
        <v>13</v>
      </c>
      <c r="AK1461" s="4">
        <v>16</v>
      </c>
      <c r="AL1461" s="4">
        <v>45</v>
      </c>
      <c r="AM1461" s="4">
        <v>45</v>
      </c>
      <c r="AN1461" s="4">
        <v>0</v>
      </c>
      <c r="AO1461" s="4">
        <v>0</v>
      </c>
      <c r="AP1461" s="4">
        <v>15</v>
      </c>
      <c r="AQ1461" s="4">
        <v>17</v>
      </c>
      <c r="AR1461" s="3" t="s">
        <v>62</v>
      </c>
      <c r="AS1461" s="3" t="s">
        <v>62</v>
      </c>
      <c r="AT1461" s="3" t="s">
        <v>61</v>
      </c>
      <c r="AU1461" s="6" t="str">
        <f>HYPERLINK("http://catalog.hathitrust.org/Record/002237932","HathiTrust Record")</f>
        <v>HathiTrust Record</v>
      </c>
      <c r="AV1461" s="6" t="str">
        <f>HYPERLINK("http://mcgill.on.worldcat.org/oclc/20636246","Catalog Record")</f>
        <v>Catalog Record</v>
      </c>
      <c r="AW1461" s="6" t="str">
        <f>HYPERLINK("http://www.worldcat.org/oclc/20636246","WorldCat Record")</f>
        <v>WorldCat Record</v>
      </c>
      <c r="AX1461" s="3" t="s">
        <v>14243</v>
      </c>
      <c r="AY1461" s="3" t="s">
        <v>14244</v>
      </c>
      <c r="AZ1461" s="3" t="s">
        <v>14245</v>
      </c>
      <c r="BA1461" s="3" t="s">
        <v>14245</v>
      </c>
      <c r="BB1461" s="3" t="s">
        <v>14246</v>
      </c>
      <c r="BC1461" s="3" t="s">
        <v>142</v>
      </c>
      <c r="BD1461" s="3" t="s">
        <v>308</v>
      </c>
      <c r="BE1461" s="3" t="s">
        <v>14247</v>
      </c>
      <c r="BF1461" s="3" t="s">
        <v>14246</v>
      </c>
      <c r="BG1461" s="3" t="s">
        <v>14248</v>
      </c>
    </row>
    <row r="1462" spans="1:59" ht="57" x14ac:dyDescent="0.45">
      <c r="A1462" s="2" t="s">
        <v>59</v>
      </c>
      <c r="B1462" s="2" t="s">
        <v>60</v>
      </c>
      <c r="C1462" s="2" t="s">
        <v>14249</v>
      </c>
      <c r="D1462" s="2" t="s">
        <v>14250</v>
      </c>
      <c r="E1462" s="2" t="s">
        <v>14251</v>
      </c>
      <c r="G1462" s="3" t="s">
        <v>62</v>
      </c>
      <c r="I1462" s="3" t="s">
        <v>62</v>
      </c>
      <c r="J1462" s="3" t="s">
        <v>62</v>
      </c>
      <c r="K1462" s="3" t="s">
        <v>63</v>
      </c>
      <c r="L1462" s="2" t="s">
        <v>14252</v>
      </c>
      <c r="M1462" s="2" t="s">
        <v>14253</v>
      </c>
      <c r="N1462" s="3" t="s">
        <v>542</v>
      </c>
      <c r="P1462" s="3" t="s">
        <v>65</v>
      </c>
      <c r="R1462" s="3" t="s">
        <v>66</v>
      </c>
      <c r="S1462" s="4">
        <v>30</v>
      </c>
      <c r="T1462" s="4">
        <v>30</v>
      </c>
      <c r="U1462" s="5" t="s">
        <v>8860</v>
      </c>
      <c r="V1462" s="5" t="s">
        <v>8860</v>
      </c>
      <c r="W1462" s="5" t="s">
        <v>67</v>
      </c>
      <c r="X1462" s="5" t="s">
        <v>67</v>
      </c>
      <c r="Y1462" s="4">
        <v>457</v>
      </c>
      <c r="Z1462" s="4">
        <v>31</v>
      </c>
      <c r="AA1462" s="4">
        <v>102</v>
      </c>
      <c r="AB1462" s="4">
        <v>2</v>
      </c>
      <c r="AC1462" s="4">
        <v>17</v>
      </c>
      <c r="AD1462" s="4">
        <v>109</v>
      </c>
      <c r="AE1462" s="4">
        <v>146</v>
      </c>
      <c r="AF1462" s="4">
        <v>1</v>
      </c>
      <c r="AG1462" s="4">
        <v>8</v>
      </c>
      <c r="AH1462" s="4">
        <v>90</v>
      </c>
      <c r="AI1462" s="4">
        <v>104</v>
      </c>
      <c r="AJ1462" s="4">
        <v>17</v>
      </c>
      <c r="AK1462" s="4">
        <v>26</v>
      </c>
      <c r="AL1462" s="4">
        <v>48</v>
      </c>
      <c r="AM1462" s="4">
        <v>53</v>
      </c>
      <c r="AN1462" s="4">
        <v>0</v>
      </c>
      <c r="AO1462" s="4">
        <v>0</v>
      </c>
      <c r="AP1462" s="4">
        <v>26</v>
      </c>
      <c r="AQ1462" s="4">
        <v>52</v>
      </c>
      <c r="AR1462" s="3" t="s">
        <v>62</v>
      </c>
      <c r="AS1462" s="3" t="s">
        <v>62</v>
      </c>
      <c r="AT1462" s="3" t="s">
        <v>61</v>
      </c>
      <c r="AU1462" s="6" t="str">
        <f>HYPERLINK("http://catalog.hathitrust.org/Record/004155960","HathiTrust Record")</f>
        <v>HathiTrust Record</v>
      </c>
      <c r="AV1462" s="6" t="str">
        <f>HYPERLINK("http://mcgill.on.worldcat.org/oclc/43728884","Catalog Record")</f>
        <v>Catalog Record</v>
      </c>
      <c r="AW1462" s="6" t="str">
        <f>HYPERLINK("http://www.worldcat.org/oclc/43728884","WorldCat Record")</f>
        <v>WorldCat Record</v>
      </c>
      <c r="AX1462" s="3" t="s">
        <v>14254</v>
      </c>
      <c r="AY1462" s="3" t="s">
        <v>14255</v>
      </c>
      <c r="AZ1462" s="3" t="s">
        <v>14256</v>
      </c>
      <c r="BA1462" s="3" t="s">
        <v>14256</v>
      </c>
      <c r="BB1462" s="3" t="s">
        <v>14257</v>
      </c>
      <c r="BC1462" s="3" t="s">
        <v>142</v>
      </c>
      <c r="BD1462" s="3" t="s">
        <v>68</v>
      </c>
      <c r="BE1462" s="3" t="s">
        <v>14258</v>
      </c>
      <c r="BF1462" s="3" t="s">
        <v>14257</v>
      </c>
      <c r="BG1462" s="3" t="s">
        <v>14259</v>
      </c>
    </row>
    <row r="1463" spans="1:59" ht="57" x14ac:dyDescent="0.45">
      <c r="A1463" s="2" t="s">
        <v>59</v>
      </c>
      <c r="B1463" s="2" t="s">
        <v>60</v>
      </c>
      <c r="C1463" s="2" t="s">
        <v>14260</v>
      </c>
      <c r="D1463" s="2" t="s">
        <v>14261</v>
      </c>
      <c r="E1463" s="2" t="s">
        <v>14262</v>
      </c>
      <c r="G1463" s="3" t="s">
        <v>62</v>
      </c>
      <c r="I1463" s="3" t="s">
        <v>62</v>
      </c>
      <c r="J1463" s="3" t="s">
        <v>62</v>
      </c>
      <c r="K1463" s="3" t="s">
        <v>63</v>
      </c>
      <c r="M1463" s="2" t="s">
        <v>14263</v>
      </c>
      <c r="N1463" s="3" t="s">
        <v>820</v>
      </c>
      <c r="P1463" s="3" t="s">
        <v>65</v>
      </c>
      <c r="Q1463" s="2" t="s">
        <v>14264</v>
      </c>
      <c r="R1463" s="3" t="s">
        <v>66</v>
      </c>
      <c r="S1463" s="4">
        <v>7</v>
      </c>
      <c r="T1463" s="4">
        <v>7</v>
      </c>
      <c r="U1463" s="5" t="s">
        <v>730</v>
      </c>
      <c r="V1463" s="5" t="s">
        <v>730</v>
      </c>
      <c r="W1463" s="5" t="s">
        <v>67</v>
      </c>
      <c r="X1463" s="5" t="s">
        <v>67</v>
      </c>
      <c r="Y1463" s="4">
        <v>215</v>
      </c>
      <c r="Z1463" s="4">
        <v>17</v>
      </c>
      <c r="AA1463" s="4">
        <v>96</v>
      </c>
      <c r="AB1463" s="4">
        <v>1</v>
      </c>
      <c r="AC1463" s="4">
        <v>17</v>
      </c>
      <c r="AD1463" s="4">
        <v>75</v>
      </c>
      <c r="AE1463" s="4">
        <v>135</v>
      </c>
      <c r="AF1463" s="4">
        <v>0</v>
      </c>
      <c r="AG1463" s="4">
        <v>8</v>
      </c>
      <c r="AH1463" s="4">
        <v>72</v>
      </c>
      <c r="AI1463" s="4">
        <v>98</v>
      </c>
      <c r="AJ1463" s="4">
        <v>11</v>
      </c>
      <c r="AK1463" s="4">
        <v>24</v>
      </c>
      <c r="AL1463" s="4">
        <v>42</v>
      </c>
      <c r="AM1463" s="4">
        <v>50</v>
      </c>
      <c r="AN1463" s="4">
        <v>0</v>
      </c>
      <c r="AO1463" s="4">
        <v>0</v>
      </c>
      <c r="AP1463" s="4">
        <v>12</v>
      </c>
      <c r="AQ1463" s="4">
        <v>47</v>
      </c>
      <c r="AR1463" s="3" t="s">
        <v>62</v>
      </c>
      <c r="AS1463" s="3" t="s">
        <v>62</v>
      </c>
      <c r="AT1463" s="3" t="s">
        <v>62</v>
      </c>
      <c r="AV1463" s="6" t="str">
        <f>HYPERLINK("http://mcgill.on.worldcat.org/oclc/192045666","Catalog Record")</f>
        <v>Catalog Record</v>
      </c>
      <c r="AW1463" s="6" t="str">
        <f>HYPERLINK("http://www.worldcat.org/oclc/192045666","WorldCat Record")</f>
        <v>WorldCat Record</v>
      </c>
      <c r="AX1463" s="3" t="s">
        <v>14265</v>
      </c>
      <c r="AY1463" s="3" t="s">
        <v>14266</v>
      </c>
      <c r="AZ1463" s="3" t="s">
        <v>14267</v>
      </c>
      <c r="BA1463" s="3" t="s">
        <v>14267</v>
      </c>
      <c r="BB1463" s="3" t="s">
        <v>14268</v>
      </c>
      <c r="BC1463" s="3" t="s">
        <v>142</v>
      </c>
      <c r="BD1463" s="3" t="s">
        <v>68</v>
      </c>
      <c r="BE1463" s="3" t="s">
        <v>14269</v>
      </c>
      <c r="BF1463" s="3" t="s">
        <v>14268</v>
      </c>
      <c r="BG1463" s="3" t="s">
        <v>14270</v>
      </c>
    </row>
    <row r="1464" spans="1:59" ht="57" x14ac:dyDescent="0.45">
      <c r="A1464" s="2" t="s">
        <v>59</v>
      </c>
      <c r="B1464" s="2" t="s">
        <v>60</v>
      </c>
      <c r="C1464" s="2" t="s">
        <v>14271</v>
      </c>
      <c r="D1464" s="2" t="s">
        <v>14272</v>
      </c>
      <c r="E1464" s="2" t="s">
        <v>14273</v>
      </c>
      <c r="G1464" s="3" t="s">
        <v>62</v>
      </c>
      <c r="I1464" s="3" t="s">
        <v>61</v>
      </c>
      <c r="J1464" s="3" t="s">
        <v>62</v>
      </c>
      <c r="K1464" s="3" t="s">
        <v>63</v>
      </c>
      <c r="L1464" s="2" t="s">
        <v>14274</v>
      </c>
      <c r="M1464" s="2" t="s">
        <v>14275</v>
      </c>
      <c r="N1464" s="3" t="s">
        <v>127</v>
      </c>
      <c r="O1464" s="2" t="s">
        <v>14276</v>
      </c>
      <c r="P1464" s="3" t="s">
        <v>65</v>
      </c>
      <c r="R1464" s="3" t="s">
        <v>66</v>
      </c>
      <c r="S1464" s="4">
        <v>5</v>
      </c>
      <c r="T1464" s="4">
        <v>5</v>
      </c>
      <c r="U1464" s="5" t="s">
        <v>13047</v>
      </c>
      <c r="V1464" s="5" t="s">
        <v>13047</v>
      </c>
      <c r="W1464" s="5" t="s">
        <v>67</v>
      </c>
      <c r="X1464" s="5" t="s">
        <v>67</v>
      </c>
      <c r="Y1464" s="4">
        <v>340</v>
      </c>
      <c r="Z1464" s="4">
        <v>22</v>
      </c>
      <c r="AA1464" s="4">
        <v>31</v>
      </c>
      <c r="AB1464" s="4">
        <v>2</v>
      </c>
      <c r="AC1464" s="4">
        <v>3</v>
      </c>
      <c r="AD1464" s="4">
        <v>75</v>
      </c>
      <c r="AE1464" s="4">
        <v>85</v>
      </c>
      <c r="AF1464" s="4">
        <v>1</v>
      </c>
      <c r="AG1464" s="4">
        <v>2</v>
      </c>
      <c r="AH1464" s="4">
        <v>66</v>
      </c>
      <c r="AI1464" s="4">
        <v>73</v>
      </c>
      <c r="AJ1464" s="4">
        <v>11</v>
      </c>
      <c r="AK1464" s="4">
        <v>15</v>
      </c>
      <c r="AL1464" s="4">
        <v>35</v>
      </c>
      <c r="AM1464" s="4">
        <v>38</v>
      </c>
      <c r="AN1464" s="4">
        <v>0</v>
      </c>
      <c r="AO1464" s="4">
        <v>0</v>
      </c>
      <c r="AP1464" s="4">
        <v>15</v>
      </c>
      <c r="AQ1464" s="4">
        <v>21</v>
      </c>
      <c r="AR1464" s="3" t="s">
        <v>62</v>
      </c>
      <c r="AS1464" s="3" t="s">
        <v>62</v>
      </c>
      <c r="AT1464" s="3" t="s">
        <v>61</v>
      </c>
      <c r="AU1464" s="6" t="str">
        <f>HYPERLINK("http://catalog.hathitrust.org/Record/000000782","HathiTrust Record")</f>
        <v>HathiTrust Record</v>
      </c>
      <c r="AV1464" s="6" t="str">
        <f>HYPERLINK("http://mcgill.on.worldcat.org/oclc/66636","Catalog Record")</f>
        <v>Catalog Record</v>
      </c>
      <c r="AW1464" s="6" t="str">
        <f>HYPERLINK("http://www.worldcat.org/oclc/66636","WorldCat Record")</f>
        <v>WorldCat Record</v>
      </c>
      <c r="AX1464" s="3" t="s">
        <v>14277</v>
      </c>
      <c r="AY1464" s="3" t="s">
        <v>14278</v>
      </c>
      <c r="AZ1464" s="3" t="s">
        <v>14279</v>
      </c>
      <c r="BA1464" s="3" t="s">
        <v>14279</v>
      </c>
      <c r="BB1464" s="3" t="s">
        <v>14280</v>
      </c>
      <c r="BC1464" s="3" t="s">
        <v>142</v>
      </c>
      <c r="BD1464" s="3" t="s">
        <v>68</v>
      </c>
      <c r="BE1464" s="3" t="s">
        <v>14281</v>
      </c>
      <c r="BF1464" s="3" t="s">
        <v>14280</v>
      </c>
      <c r="BG1464" s="3" t="s">
        <v>14282</v>
      </c>
    </row>
    <row r="1465" spans="1:59" ht="57" x14ac:dyDescent="0.45">
      <c r="A1465" s="2" t="s">
        <v>59</v>
      </c>
      <c r="B1465" s="2" t="s">
        <v>412</v>
      </c>
      <c r="C1465" s="2" t="s">
        <v>14271</v>
      </c>
      <c r="D1465" s="2" t="s">
        <v>14272</v>
      </c>
      <c r="E1465" s="2" t="s">
        <v>14273</v>
      </c>
      <c r="G1465" s="3" t="s">
        <v>62</v>
      </c>
      <c r="I1465" s="3" t="s">
        <v>61</v>
      </c>
      <c r="J1465" s="3" t="s">
        <v>62</v>
      </c>
      <c r="K1465" s="3" t="s">
        <v>63</v>
      </c>
      <c r="L1465" s="2" t="s">
        <v>14274</v>
      </c>
      <c r="M1465" s="2" t="s">
        <v>14275</v>
      </c>
      <c r="N1465" s="3" t="s">
        <v>127</v>
      </c>
      <c r="O1465" s="2" t="s">
        <v>14276</v>
      </c>
      <c r="P1465" s="3" t="s">
        <v>65</v>
      </c>
      <c r="R1465" s="3" t="s">
        <v>66</v>
      </c>
      <c r="S1465" s="4">
        <v>0</v>
      </c>
      <c r="T1465" s="4">
        <v>5</v>
      </c>
      <c r="V1465" s="5" t="s">
        <v>13047</v>
      </c>
      <c r="W1465" s="5" t="s">
        <v>67</v>
      </c>
      <c r="X1465" s="5" t="s">
        <v>67</v>
      </c>
      <c r="Y1465" s="4">
        <v>340</v>
      </c>
      <c r="Z1465" s="4">
        <v>22</v>
      </c>
      <c r="AA1465" s="4">
        <v>31</v>
      </c>
      <c r="AB1465" s="4">
        <v>2</v>
      </c>
      <c r="AC1465" s="4">
        <v>3</v>
      </c>
      <c r="AD1465" s="4">
        <v>75</v>
      </c>
      <c r="AE1465" s="4">
        <v>85</v>
      </c>
      <c r="AF1465" s="4">
        <v>1</v>
      </c>
      <c r="AG1465" s="4">
        <v>2</v>
      </c>
      <c r="AH1465" s="4">
        <v>66</v>
      </c>
      <c r="AI1465" s="4">
        <v>73</v>
      </c>
      <c r="AJ1465" s="4">
        <v>11</v>
      </c>
      <c r="AK1465" s="4">
        <v>15</v>
      </c>
      <c r="AL1465" s="4">
        <v>35</v>
      </c>
      <c r="AM1465" s="4">
        <v>38</v>
      </c>
      <c r="AN1465" s="4">
        <v>0</v>
      </c>
      <c r="AO1465" s="4">
        <v>0</v>
      </c>
      <c r="AP1465" s="4">
        <v>15</v>
      </c>
      <c r="AQ1465" s="4">
        <v>21</v>
      </c>
      <c r="AR1465" s="3" t="s">
        <v>62</v>
      </c>
      <c r="AS1465" s="3" t="s">
        <v>62</v>
      </c>
      <c r="AT1465" s="3" t="s">
        <v>61</v>
      </c>
      <c r="AU1465" s="6" t="str">
        <f>HYPERLINK("http://catalog.hathitrust.org/Record/000000782","HathiTrust Record")</f>
        <v>HathiTrust Record</v>
      </c>
      <c r="AV1465" s="6" t="str">
        <f>HYPERLINK("http://mcgill.on.worldcat.org/oclc/66636","Catalog Record")</f>
        <v>Catalog Record</v>
      </c>
      <c r="AW1465" s="6" t="str">
        <f>HYPERLINK("http://www.worldcat.org/oclc/66636","WorldCat Record")</f>
        <v>WorldCat Record</v>
      </c>
      <c r="AX1465" s="3" t="s">
        <v>14277</v>
      </c>
      <c r="AY1465" s="3" t="s">
        <v>14278</v>
      </c>
      <c r="AZ1465" s="3" t="s">
        <v>14279</v>
      </c>
      <c r="BA1465" s="3" t="s">
        <v>14279</v>
      </c>
      <c r="BB1465" s="3" t="s">
        <v>14283</v>
      </c>
      <c r="BC1465" s="3" t="s">
        <v>142</v>
      </c>
      <c r="BD1465" s="3" t="s">
        <v>68</v>
      </c>
      <c r="BE1465" s="3" t="s">
        <v>14281</v>
      </c>
      <c r="BF1465" s="3" t="s">
        <v>14283</v>
      </c>
      <c r="BG1465" s="3" t="s">
        <v>14284</v>
      </c>
    </row>
    <row r="1466" spans="1:59" ht="57" x14ac:dyDescent="0.45">
      <c r="A1466" s="2" t="s">
        <v>59</v>
      </c>
      <c r="B1466" s="2" t="s">
        <v>60</v>
      </c>
      <c r="C1466" s="2" t="s">
        <v>14285</v>
      </c>
      <c r="D1466" s="2" t="s">
        <v>14286</v>
      </c>
      <c r="E1466" s="2" t="s">
        <v>14287</v>
      </c>
      <c r="G1466" s="3" t="s">
        <v>62</v>
      </c>
      <c r="I1466" s="3" t="s">
        <v>62</v>
      </c>
      <c r="J1466" s="3" t="s">
        <v>62</v>
      </c>
      <c r="K1466" s="3" t="s">
        <v>3960</v>
      </c>
      <c r="L1466" s="2" t="s">
        <v>14288</v>
      </c>
      <c r="M1466" s="2" t="s">
        <v>14289</v>
      </c>
      <c r="N1466" s="3" t="s">
        <v>113</v>
      </c>
      <c r="P1466" s="3" t="s">
        <v>65</v>
      </c>
      <c r="Q1466" s="2" t="s">
        <v>12623</v>
      </c>
      <c r="R1466" s="3" t="s">
        <v>66</v>
      </c>
      <c r="S1466" s="4">
        <v>33</v>
      </c>
      <c r="T1466" s="4">
        <v>33</v>
      </c>
      <c r="U1466" s="5" t="s">
        <v>14290</v>
      </c>
      <c r="V1466" s="5" t="s">
        <v>14290</v>
      </c>
      <c r="W1466" s="5" t="s">
        <v>67</v>
      </c>
      <c r="X1466" s="5" t="s">
        <v>67</v>
      </c>
      <c r="Y1466" s="4">
        <v>94</v>
      </c>
      <c r="Z1466" s="4">
        <v>3</v>
      </c>
      <c r="AA1466" s="4">
        <v>38</v>
      </c>
      <c r="AB1466" s="4">
        <v>1</v>
      </c>
      <c r="AC1466" s="4">
        <v>9</v>
      </c>
      <c r="AD1466" s="4">
        <v>27</v>
      </c>
      <c r="AE1466" s="4">
        <v>121</v>
      </c>
      <c r="AF1466" s="4">
        <v>0</v>
      </c>
      <c r="AG1466" s="4">
        <v>4</v>
      </c>
      <c r="AH1466" s="4">
        <v>25</v>
      </c>
      <c r="AI1466" s="4">
        <v>98</v>
      </c>
      <c r="AJ1466" s="4">
        <v>1</v>
      </c>
      <c r="AK1466" s="4">
        <v>23</v>
      </c>
      <c r="AL1466" s="4">
        <v>14</v>
      </c>
      <c r="AM1466" s="4">
        <v>57</v>
      </c>
      <c r="AN1466" s="4">
        <v>0</v>
      </c>
      <c r="AO1466" s="4">
        <v>0</v>
      </c>
      <c r="AP1466" s="4">
        <v>2</v>
      </c>
      <c r="AQ1466" s="4">
        <v>27</v>
      </c>
      <c r="AR1466" s="3" t="s">
        <v>62</v>
      </c>
      <c r="AS1466" s="3" t="s">
        <v>62</v>
      </c>
      <c r="AT1466" s="3" t="s">
        <v>61</v>
      </c>
      <c r="AU1466" s="6" t="str">
        <f>HYPERLINK("http://catalog.hathitrust.org/Record/012269743","HathiTrust Record")</f>
        <v>HathiTrust Record</v>
      </c>
      <c r="AV1466" s="6" t="str">
        <f>HYPERLINK("http://mcgill.on.worldcat.org/oclc/1707125","Catalog Record")</f>
        <v>Catalog Record</v>
      </c>
      <c r="AW1466" s="6" t="str">
        <f>HYPERLINK("http://www.worldcat.org/oclc/1707125","WorldCat Record")</f>
        <v>WorldCat Record</v>
      </c>
      <c r="AX1466" s="3" t="s">
        <v>14291</v>
      </c>
      <c r="AY1466" s="3" t="s">
        <v>14292</v>
      </c>
      <c r="AZ1466" s="3" t="s">
        <v>14293</v>
      </c>
      <c r="BA1466" s="3" t="s">
        <v>14293</v>
      </c>
      <c r="BB1466" s="3" t="s">
        <v>14294</v>
      </c>
      <c r="BC1466" s="3" t="s">
        <v>142</v>
      </c>
      <c r="BD1466" s="3" t="s">
        <v>68</v>
      </c>
      <c r="BF1466" s="3" t="s">
        <v>14294</v>
      </c>
      <c r="BG1466" s="3" t="s">
        <v>14295</v>
      </c>
    </row>
    <row r="1467" spans="1:59" ht="57" x14ac:dyDescent="0.45">
      <c r="A1467" s="2" t="s">
        <v>59</v>
      </c>
      <c r="B1467" s="2" t="s">
        <v>60</v>
      </c>
      <c r="C1467" s="2" t="s">
        <v>14296</v>
      </c>
      <c r="D1467" s="2" t="s">
        <v>14297</v>
      </c>
      <c r="E1467" s="2" t="s">
        <v>14298</v>
      </c>
      <c r="G1467" s="3" t="s">
        <v>62</v>
      </c>
      <c r="I1467" s="3" t="s">
        <v>61</v>
      </c>
      <c r="J1467" s="3" t="s">
        <v>62</v>
      </c>
      <c r="K1467" s="3" t="s">
        <v>63</v>
      </c>
      <c r="M1467" s="2" t="s">
        <v>14299</v>
      </c>
      <c r="N1467" s="3" t="s">
        <v>125</v>
      </c>
      <c r="P1467" s="3" t="s">
        <v>65</v>
      </c>
      <c r="Q1467" s="2" t="s">
        <v>14300</v>
      </c>
      <c r="R1467" s="3" t="s">
        <v>66</v>
      </c>
      <c r="S1467" s="4">
        <v>19</v>
      </c>
      <c r="T1467" s="4">
        <v>19</v>
      </c>
      <c r="U1467" s="5" t="s">
        <v>14301</v>
      </c>
      <c r="V1467" s="5" t="s">
        <v>14301</v>
      </c>
      <c r="W1467" s="5" t="s">
        <v>67</v>
      </c>
      <c r="X1467" s="5" t="s">
        <v>67</v>
      </c>
      <c r="Y1467" s="4">
        <v>416</v>
      </c>
      <c r="Z1467" s="4">
        <v>25</v>
      </c>
      <c r="AA1467" s="4">
        <v>100</v>
      </c>
      <c r="AB1467" s="4">
        <v>3</v>
      </c>
      <c r="AC1467" s="4">
        <v>19</v>
      </c>
      <c r="AD1467" s="4">
        <v>111</v>
      </c>
      <c r="AE1467" s="4">
        <v>146</v>
      </c>
      <c r="AF1467" s="4">
        <v>1</v>
      </c>
      <c r="AG1467" s="4">
        <v>8</v>
      </c>
      <c r="AH1467" s="4">
        <v>99</v>
      </c>
      <c r="AI1467" s="4">
        <v>107</v>
      </c>
      <c r="AJ1467" s="4">
        <v>16</v>
      </c>
      <c r="AK1467" s="4">
        <v>25</v>
      </c>
      <c r="AL1467" s="4">
        <v>55</v>
      </c>
      <c r="AM1467" s="4">
        <v>58</v>
      </c>
      <c r="AN1467" s="4">
        <v>0</v>
      </c>
      <c r="AO1467" s="4">
        <v>0</v>
      </c>
      <c r="AP1467" s="4">
        <v>20</v>
      </c>
      <c r="AQ1467" s="4">
        <v>48</v>
      </c>
      <c r="AR1467" s="3" t="s">
        <v>62</v>
      </c>
      <c r="AS1467" s="3" t="s">
        <v>62</v>
      </c>
      <c r="AT1467" s="3" t="s">
        <v>61</v>
      </c>
      <c r="AU1467" s="6" t="str">
        <f>HYPERLINK("http://catalog.hathitrust.org/Record/002180735","HathiTrust Record")</f>
        <v>HathiTrust Record</v>
      </c>
      <c r="AV1467" s="6" t="str">
        <f>HYPERLINK("http://mcgill.on.worldcat.org/oclc/20055637","Catalog Record")</f>
        <v>Catalog Record</v>
      </c>
      <c r="AW1467" s="6" t="str">
        <f>HYPERLINK("http://www.worldcat.org/oclc/20055637","WorldCat Record")</f>
        <v>WorldCat Record</v>
      </c>
      <c r="AX1467" s="3" t="s">
        <v>14302</v>
      </c>
      <c r="AY1467" s="3" t="s">
        <v>14303</v>
      </c>
      <c r="AZ1467" s="3" t="s">
        <v>14304</v>
      </c>
      <c r="BA1467" s="3" t="s">
        <v>14304</v>
      </c>
      <c r="BB1467" s="3" t="s">
        <v>14305</v>
      </c>
      <c r="BC1467" s="3" t="s">
        <v>142</v>
      </c>
      <c r="BD1467" s="3" t="s">
        <v>308</v>
      </c>
      <c r="BE1467" s="3" t="s">
        <v>14306</v>
      </c>
      <c r="BF1467" s="3" t="s">
        <v>14305</v>
      </c>
      <c r="BG1467" s="3" t="s">
        <v>14307</v>
      </c>
    </row>
    <row r="1468" spans="1:59" ht="57" x14ac:dyDescent="0.45">
      <c r="A1468" s="2" t="s">
        <v>80</v>
      </c>
      <c r="B1468" s="2" t="s">
        <v>14308</v>
      </c>
      <c r="C1468" s="2" t="s">
        <v>14309</v>
      </c>
      <c r="D1468" s="2" t="s">
        <v>14310</v>
      </c>
      <c r="E1468" s="2" t="s">
        <v>14298</v>
      </c>
      <c r="G1468" s="3" t="s">
        <v>62</v>
      </c>
      <c r="I1468" s="3" t="s">
        <v>61</v>
      </c>
      <c r="J1468" s="3" t="s">
        <v>62</v>
      </c>
      <c r="K1468" s="3" t="s">
        <v>63</v>
      </c>
      <c r="M1468" s="2" t="s">
        <v>14299</v>
      </c>
      <c r="N1468" s="3" t="s">
        <v>125</v>
      </c>
      <c r="P1468" s="3" t="s">
        <v>65</v>
      </c>
      <c r="Q1468" s="2" t="s">
        <v>14300</v>
      </c>
      <c r="R1468" s="3" t="s">
        <v>66</v>
      </c>
      <c r="S1468" s="4">
        <v>0</v>
      </c>
      <c r="T1468" s="4">
        <v>19</v>
      </c>
      <c r="V1468" s="5" t="s">
        <v>14301</v>
      </c>
      <c r="W1468" s="5" t="s">
        <v>67</v>
      </c>
      <c r="X1468" s="5" t="s">
        <v>67</v>
      </c>
      <c r="Y1468" s="4">
        <v>416</v>
      </c>
      <c r="Z1468" s="4">
        <v>25</v>
      </c>
      <c r="AA1468" s="4">
        <v>100</v>
      </c>
      <c r="AB1468" s="4">
        <v>3</v>
      </c>
      <c r="AC1468" s="4">
        <v>19</v>
      </c>
      <c r="AD1468" s="4">
        <v>111</v>
      </c>
      <c r="AE1468" s="4">
        <v>146</v>
      </c>
      <c r="AF1468" s="4">
        <v>1</v>
      </c>
      <c r="AG1468" s="4">
        <v>8</v>
      </c>
      <c r="AH1468" s="4">
        <v>99</v>
      </c>
      <c r="AI1468" s="4">
        <v>107</v>
      </c>
      <c r="AJ1468" s="4">
        <v>16</v>
      </c>
      <c r="AK1468" s="4">
        <v>25</v>
      </c>
      <c r="AL1468" s="4">
        <v>55</v>
      </c>
      <c r="AM1468" s="4">
        <v>58</v>
      </c>
      <c r="AN1468" s="4">
        <v>0</v>
      </c>
      <c r="AO1468" s="4">
        <v>0</v>
      </c>
      <c r="AP1468" s="4">
        <v>20</v>
      </c>
      <c r="AQ1468" s="4">
        <v>48</v>
      </c>
      <c r="AR1468" s="3" t="s">
        <v>62</v>
      </c>
      <c r="AS1468" s="3" t="s">
        <v>62</v>
      </c>
      <c r="AT1468" s="3" t="s">
        <v>61</v>
      </c>
      <c r="AU1468" s="6" t="str">
        <f>HYPERLINK("http://catalog.hathitrust.org/Record/002180735","HathiTrust Record")</f>
        <v>HathiTrust Record</v>
      </c>
      <c r="AV1468" s="6" t="str">
        <f>HYPERLINK("http://mcgill.on.worldcat.org/oclc/20055637","Catalog Record")</f>
        <v>Catalog Record</v>
      </c>
      <c r="AW1468" s="6" t="str">
        <f>HYPERLINK("http://www.worldcat.org/oclc/20055637","WorldCat Record")</f>
        <v>WorldCat Record</v>
      </c>
      <c r="AX1468" s="3" t="s">
        <v>14302</v>
      </c>
      <c r="AY1468" s="3" t="s">
        <v>14303</v>
      </c>
      <c r="AZ1468" s="3" t="s">
        <v>14304</v>
      </c>
      <c r="BA1468" s="3" t="s">
        <v>14304</v>
      </c>
      <c r="BB1468" s="3" t="s">
        <v>14311</v>
      </c>
      <c r="BC1468" s="3" t="s">
        <v>142</v>
      </c>
      <c r="BD1468" s="3" t="s">
        <v>68</v>
      </c>
      <c r="BE1468" s="3" t="s">
        <v>14306</v>
      </c>
      <c r="BF1468" s="3" t="s">
        <v>14311</v>
      </c>
      <c r="BG1468" s="3" t="s">
        <v>14312</v>
      </c>
    </row>
    <row r="1469" spans="1:59" ht="57" x14ac:dyDescent="0.45">
      <c r="A1469" s="2" t="s">
        <v>59</v>
      </c>
      <c r="B1469" s="2" t="s">
        <v>60</v>
      </c>
      <c r="C1469" s="2" t="s">
        <v>14313</v>
      </c>
      <c r="D1469" s="2" t="s">
        <v>14314</v>
      </c>
      <c r="E1469" s="2" t="s">
        <v>14315</v>
      </c>
      <c r="G1469" s="3" t="s">
        <v>62</v>
      </c>
      <c r="I1469" s="3" t="s">
        <v>61</v>
      </c>
      <c r="J1469" s="3" t="s">
        <v>62</v>
      </c>
      <c r="K1469" s="3" t="s">
        <v>63</v>
      </c>
      <c r="L1469" s="2" t="s">
        <v>14316</v>
      </c>
      <c r="M1469" s="2" t="s">
        <v>14317</v>
      </c>
      <c r="N1469" s="3" t="s">
        <v>248</v>
      </c>
      <c r="P1469" s="3" t="s">
        <v>65</v>
      </c>
      <c r="Q1469" s="2" t="s">
        <v>14318</v>
      </c>
      <c r="R1469" s="3" t="s">
        <v>66</v>
      </c>
      <c r="S1469" s="4">
        <v>9</v>
      </c>
      <c r="T1469" s="4">
        <v>50</v>
      </c>
      <c r="U1469" s="5" t="s">
        <v>14319</v>
      </c>
      <c r="V1469" s="5" t="s">
        <v>741</v>
      </c>
      <c r="W1469" s="5" t="s">
        <v>67</v>
      </c>
      <c r="X1469" s="5" t="s">
        <v>67</v>
      </c>
      <c r="Y1469" s="4">
        <v>1060</v>
      </c>
      <c r="Z1469" s="4">
        <v>45</v>
      </c>
      <c r="AA1469" s="4">
        <v>64</v>
      </c>
      <c r="AB1469" s="4">
        <v>4</v>
      </c>
      <c r="AC1469" s="4">
        <v>9</v>
      </c>
      <c r="AD1469" s="4">
        <v>122</v>
      </c>
      <c r="AE1469" s="4">
        <v>143</v>
      </c>
      <c r="AF1469" s="4">
        <v>2</v>
      </c>
      <c r="AG1469" s="4">
        <v>7</v>
      </c>
      <c r="AH1469" s="4">
        <v>96</v>
      </c>
      <c r="AI1469" s="4">
        <v>106</v>
      </c>
      <c r="AJ1469" s="4">
        <v>14</v>
      </c>
      <c r="AK1469" s="4">
        <v>25</v>
      </c>
      <c r="AL1469" s="4">
        <v>52</v>
      </c>
      <c r="AM1469" s="4">
        <v>57</v>
      </c>
      <c r="AN1469" s="4">
        <v>0</v>
      </c>
      <c r="AO1469" s="4">
        <v>0</v>
      </c>
      <c r="AP1469" s="4">
        <v>29</v>
      </c>
      <c r="AQ1469" s="4">
        <v>43</v>
      </c>
      <c r="AR1469" s="3" t="s">
        <v>62</v>
      </c>
      <c r="AS1469" s="3" t="s">
        <v>62</v>
      </c>
      <c r="AT1469" s="3" t="s">
        <v>61</v>
      </c>
      <c r="AU1469" s="6" t="str">
        <f>HYPERLINK("http://catalog.hathitrust.org/Record/001193093","HathiTrust Record")</f>
        <v>HathiTrust Record</v>
      </c>
      <c r="AV1469" s="6" t="str">
        <f>HYPERLINK("http://mcgill.on.worldcat.org/oclc/41173374","Catalog Record")</f>
        <v>Catalog Record</v>
      </c>
      <c r="AW1469" s="6" t="str">
        <f>HYPERLINK("http://www.worldcat.org/oclc/41173374","WorldCat Record")</f>
        <v>WorldCat Record</v>
      </c>
      <c r="AX1469" s="3" t="s">
        <v>14320</v>
      </c>
      <c r="AY1469" s="3" t="s">
        <v>14321</v>
      </c>
      <c r="AZ1469" s="3" t="s">
        <v>14322</v>
      </c>
      <c r="BA1469" s="3" t="s">
        <v>14322</v>
      </c>
      <c r="BB1469" s="3" t="s">
        <v>14323</v>
      </c>
      <c r="BC1469" s="3" t="s">
        <v>104</v>
      </c>
      <c r="BD1469" s="3" t="s">
        <v>68</v>
      </c>
      <c r="BF1469" s="3" t="s">
        <v>14323</v>
      </c>
      <c r="BG1469" s="3" t="s">
        <v>14324</v>
      </c>
    </row>
    <row r="1470" spans="1:59" ht="57" x14ac:dyDescent="0.45">
      <c r="A1470" s="2" t="s">
        <v>59</v>
      </c>
      <c r="B1470" s="2" t="s">
        <v>60</v>
      </c>
      <c r="C1470" s="2" t="s">
        <v>14313</v>
      </c>
      <c r="D1470" s="2" t="s">
        <v>14314</v>
      </c>
      <c r="E1470" s="2" t="s">
        <v>14315</v>
      </c>
      <c r="G1470" s="3" t="s">
        <v>62</v>
      </c>
      <c r="I1470" s="3" t="s">
        <v>61</v>
      </c>
      <c r="J1470" s="3" t="s">
        <v>62</v>
      </c>
      <c r="K1470" s="3" t="s">
        <v>63</v>
      </c>
      <c r="L1470" s="2" t="s">
        <v>14316</v>
      </c>
      <c r="M1470" s="2" t="s">
        <v>14317</v>
      </c>
      <c r="N1470" s="3" t="s">
        <v>248</v>
      </c>
      <c r="P1470" s="3" t="s">
        <v>65</v>
      </c>
      <c r="Q1470" s="2" t="s">
        <v>14318</v>
      </c>
      <c r="R1470" s="3" t="s">
        <v>66</v>
      </c>
      <c r="S1470" s="4">
        <v>14</v>
      </c>
      <c r="T1470" s="4">
        <v>50</v>
      </c>
      <c r="U1470" s="5" t="s">
        <v>14325</v>
      </c>
      <c r="V1470" s="5" t="s">
        <v>741</v>
      </c>
      <c r="W1470" s="5" t="s">
        <v>67</v>
      </c>
      <c r="X1470" s="5" t="s">
        <v>67</v>
      </c>
      <c r="Y1470" s="4">
        <v>1060</v>
      </c>
      <c r="Z1470" s="4">
        <v>45</v>
      </c>
      <c r="AA1470" s="4">
        <v>64</v>
      </c>
      <c r="AB1470" s="4">
        <v>4</v>
      </c>
      <c r="AC1470" s="4">
        <v>9</v>
      </c>
      <c r="AD1470" s="4">
        <v>122</v>
      </c>
      <c r="AE1470" s="4">
        <v>143</v>
      </c>
      <c r="AF1470" s="4">
        <v>2</v>
      </c>
      <c r="AG1470" s="4">
        <v>7</v>
      </c>
      <c r="AH1470" s="4">
        <v>96</v>
      </c>
      <c r="AI1470" s="4">
        <v>106</v>
      </c>
      <c r="AJ1470" s="4">
        <v>14</v>
      </c>
      <c r="AK1470" s="4">
        <v>25</v>
      </c>
      <c r="AL1470" s="4">
        <v>52</v>
      </c>
      <c r="AM1470" s="4">
        <v>57</v>
      </c>
      <c r="AN1470" s="4">
        <v>0</v>
      </c>
      <c r="AO1470" s="4">
        <v>0</v>
      </c>
      <c r="AP1470" s="4">
        <v>29</v>
      </c>
      <c r="AQ1470" s="4">
        <v>43</v>
      </c>
      <c r="AR1470" s="3" t="s">
        <v>62</v>
      </c>
      <c r="AS1470" s="3" t="s">
        <v>62</v>
      </c>
      <c r="AT1470" s="3" t="s">
        <v>61</v>
      </c>
      <c r="AU1470" s="6" t="str">
        <f>HYPERLINK("http://catalog.hathitrust.org/Record/001193093","HathiTrust Record")</f>
        <v>HathiTrust Record</v>
      </c>
      <c r="AV1470" s="6" t="str">
        <f>HYPERLINK("http://mcgill.on.worldcat.org/oclc/41173374","Catalog Record")</f>
        <v>Catalog Record</v>
      </c>
      <c r="AW1470" s="6" t="str">
        <f>HYPERLINK("http://www.worldcat.org/oclc/41173374","WorldCat Record")</f>
        <v>WorldCat Record</v>
      </c>
      <c r="AX1470" s="3" t="s">
        <v>14320</v>
      </c>
      <c r="AY1470" s="3" t="s">
        <v>14321</v>
      </c>
      <c r="AZ1470" s="3" t="s">
        <v>14322</v>
      </c>
      <c r="BA1470" s="3" t="s">
        <v>14322</v>
      </c>
      <c r="BB1470" s="3" t="s">
        <v>14326</v>
      </c>
      <c r="BC1470" s="3" t="s">
        <v>104</v>
      </c>
      <c r="BD1470" s="3" t="s">
        <v>68</v>
      </c>
      <c r="BF1470" s="3" t="s">
        <v>14326</v>
      </c>
      <c r="BG1470" s="3" t="s">
        <v>14327</v>
      </c>
    </row>
    <row r="1471" spans="1:59" ht="57" x14ac:dyDescent="0.45">
      <c r="A1471" s="2" t="s">
        <v>59</v>
      </c>
      <c r="B1471" s="2" t="s">
        <v>60</v>
      </c>
      <c r="C1471" s="2" t="s">
        <v>14313</v>
      </c>
      <c r="D1471" s="2" t="s">
        <v>14314</v>
      </c>
      <c r="E1471" s="2" t="s">
        <v>14315</v>
      </c>
      <c r="G1471" s="3" t="s">
        <v>62</v>
      </c>
      <c r="I1471" s="3" t="s">
        <v>61</v>
      </c>
      <c r="J1471" s="3" t="s">
        <v>62</v>
      </c>
      <c r="K1471" s="3" t="s">
        <v>63</v>
      </c>
      <c r="L1471" s="2" t="s">
        <v>14316</v>
      </c>
      <c r="M1471" s="2" t="s">
        <v>14317</v>
      </c>
      <c r="N1471" s="3" t="s">
        <v>248</v>
      </c>
      <c r="P1471" s="3" t="s">
        <v>65</v>
      </c>
      <c r="Q1471" s="2" t="s">
        <v>14318</v>
      </c>
      <c r="R1471" s="3" t="s">
        <v>66</v>
      </c>
      <c r="S1471" s="4">
        <v>24</v>
      </c>
      <c r="T1471" s="4">
        <v>50</v>
      </c>
      <c r="U1471" s="5" t="s">
        <v>741</v>
      </c>
      <c r="V1471" s="5" t="s">
        <v>741</v>
      </c>
      <c r="W1471" s="5" t="s">
        <v>67</v>
      </c>
      <c r="X1471" s="5" t="s">
        <v>67</v>
      </c>
      <c r="Y1471" s="4">
        <v>1060</v>
      </c>
      <c r="Z1471" s="4">
        <v>45</v>
      </c>
      <c r="AA1471" s="4">
        <v>64</v>
      </c>
      <c r="AB1471" s="4">
        <v>4</v>
      </c>
      <c r="AC1471" s="4">
        <v>9</v>
      </c>
      <c r="AD1471" s="4">
        <v>122</v>
      </c>
      <c r="AE1471" s="4">
        <v>143</v>
      </c>
      <c r="AF1471" s="4">
        <v>2</v>
      </c>
      <c r="AG1471" s="4">
        <v>7</v>
      </c>
      <c r="AH1471" s="4">
        <v>96</v>
      </c>
      <c r="AI1471" s="4">
        <v>106</v>
      </c>
      <c r="AJ1471" s="4">
        <v>14</v>
      </c>
      <c r="AK1471" s="4">
        <v>25</v>
      </c>
      <c r="AL1471" s="4">
        <v>52</v>
      </c>
      <c r="AM1471" s="4">
        <v>57</v>
      </c>
      <c r="AN1471" s="4">
        <v>0</v>
      </c>
      <c r="AO1471" s="4">
        <v>0</v>
      </c>
      <c r="AP1471" s="4">
        <v>29</v>
      </c>
      <c r="AQ1471" s="4">
        <v>43</v>
      </c>
      <c r="AR1471" s="3" t="s">
        <v>62</v>
      </c>
      <c r="AS1471" s="3" t="s">
        <v>62</v>
      </c>
      <c r="AT1471" s="3" t="s">
        <v>61</v>
      </c>
      <c r="AU1471" s="6" t="str">
        <f>HYPERLINK("http://catalog.hathitrust.org/Record/001193093","HathiTrust Record")</f>
        <v>HathiTrust Record</v>
      </c>
      <c r="AV1471" s="6" t="str">
        <f>HYPERLINK("http://mcgill.on.worldcat.org/oclc/41173374","Catalog Record")</f>
        <v>Catalog Record</v>
      </c>
      <c r="AW1471" s="6" t="str">
        <f>HYPERLINK("http://www.worldcat.org/oclc/41173374","WorldCat Record")</f>
        <v>WorldCat Record</v>
      </c>
      <c r="AX1471" s="3" t="s">
        <v>14320</v>
      </c>
      <c r="AY1471" s="3" t="s">
        <v>14321</v>
      </c>
      <c r="AZ1471" s="3" t="s">
        <v>14322</v>
      </c>
      <c r="BA1471" s="3" t="s">
        <v>14322</v>
      </c>
      <c r="BB1471" s="3" t="s">
        <v>14328</v>
      </c>
      <c r="BC1471" s="3" t="s">
        <v>104</v>
      </c>
      <c r="BD1471" s="3" t="s">
        <v>68</v>
      </c>
      <c r="BF1471" s="3" t="s">
        <v>14328</v>
      </c>
      <c r="BG1471" s="3" t="s">
        <v>14329</v>
      </c>
    </row>
    <row r="1472" spans="1:59" ht="57" x14ac:dyDescent="0.45">
      <c r="A1472" s="2" t="s">
        <v>59</v>
      </c>
      <c r="B1472" s="2" t="s">
        <v>60</v>
      </c>
      <c r="C1472" s="2" t="s">
        <v>14313</v>
      </c>
      <c r="D1472" s="2" t="s">
        <v>14314</v>
      </c>
      <c r="E1472" s="2" t="s">
        <v>14315</v>
      </c>
      <c r="G1472" s="3" t="s">
        <v>62</v>
      </c>
      <c r="I1472" s="3" t="s">
        <v>61</v>
      </c>
      <c r="J1472" s="3" t="s">
        <v>62</v>
      </c>
      <c r="K1472" s="3" t="s">
        <v>63</v>
      </c>
      <c r="L1472" s="2" t="s">
        <v>14316</v>
      </c>
      <c r="M1472" s="2" t="s">
        <v>14317</v>
      </c>
      <c r="N1472" s="3" t="s">
        <v>248</v>
      </c>
      <c r="P1472" s="3" t="s">
        <v>65</v>
      </c>
      <c r="Q1472" s="2" t="s">
        <v>14318</v>
      </c>
      <c r="R1472" s="3" t="s">
        <v>66</v>
      </c>
      <c r="S1472" s="4">
        <v>3</v>
      </c>
      <c r="T1472" s="4">
        <v>50</v>
      </c>
      <c r="U1472" s="5" t="s">
        <v>474</v>
      </c>
      <c r="V1472" s="5" t="s">
        <v>741</v>
      </c>
      <c r="W1472" s="5" t="s">
        <v>67</v>
      </c>
      <c r="X1472" s="5" t="s">
        <v>67</v>
      </c>
      <c r="Y1472" s="4">
        <v>1060</v>
      </c>
      <c r="Z1472" s="4">
        <v>45</v>
      </c>
      <c r="AA1472" s="4">
        <v>64</v>
      </c>
      <c r="AB1472" s="4">
        <v>4</v>
      </c>
      <c r="AC1472" s="4">
        <v>9</v>
      </c>
      <c r="AD1472" s="4">
        <v>122</v>
      </c>
      <c r="AE1472" s="4">
        <v>143</v>
      </c>
      <c r="AF1472" s="4">
        <v>2</v>
      </c>
      <c r="AG1472" s="4">
        <v>7</v>
      </c>
      <c r="AH1472" s="4">
        <v>96</v>
      </c>
      <c r="AI1472" s="4">
        <v>106</v>
      </c>
      <c r="AJ1472" s="4">
        <v>14</v>
      </c>
      <c r="AK1472" s="4">
        <v>25</v>
      </c>
      <c r="AL1472" s="4">
        <v>52</v>
      </c>
      <c r="AM1472" s="4">
        <v>57</v>
      </c>
      <c r="AN1472" s="4">
        <v>0</v>
      </c>
      <c r="AO1472" s="4">
        <v>0</v>
      </c>
      <c r="AP1472" s="4">
        <v>29</v>
      </c>
      <c r="AQ1472" s="4">
        <v>43</v>
      </c>
      <c r="AR1472" s="3" t="s">
        <v>62</v>
      </c>
      <c r="AS1472" s="3" t="s">
        <v>62</v>
      </c>
      <c r="AT1472" s="3" t="s">
        <v>61</v>
      </c>
      <c r="AU1472" s="6" t="str">
        <f>HYPERLINK("http://catalog.hathitrust.org/Record/001193093","HathiTrust Record")</f>
        <v>HathiTrust Record</v>
      </c>
      <c r="AV1472" s="6" t="str">
        <f>HYPERLINK("http://mcgill.on.worldcat.org/oclc/41173374","Catalog Record")</f>
        <v>Catalog Record</v>
      </c>
      <c r="AW1472" s="6" t="str">
        <f>HYPERLINK("http://www.worldcat.org/oclc/41173374","WorldCat Record")</f>
        <v>WorldCat Record</v>
      </c>
      <c r="AX1472" s="3" t="s">
        <v>14320</v>
      </c>
      <c r="AY1472" s="3" t="s">
        <v>14321</v>
      </c>
      <c r="AZ1472" s="3" t="s">
        <v>14322</v>
      </c>
      <c r="BA1472" s="3" t="s">
        <v>14322</v>
      </c>
      <c r="BB1472" s="3" t="s">
        <v>14330</v>
      </c>
      <c r="BC1472" s="3" t="s">
        <v>104</v>
      </c>
      <c r="BD1472" s="3" t="s">
        <v>68</v>
      </c>
      <c r="BF1472" s="3" t="s">
        <v>14330</v>
      </c>
      <c r="BG1472" s="3" t="s">
        <v>14331</v>
      </c>
    </row>
    <row r="1473" spans="1:59" ht="57" x14ac:dyDescent="0.45">
      <c r="A1473" s="2" t="s">
        <v>59</v>
      </c>
      <c r="B1473" s="2" t="s">
        <v>60</v>
      </c>
      <c r="C1473" s="2" t="s">
        <v>14332</v>
      </c>
      <c r="D1473" s="2" t="s">
        <v>14333</v>
      </c>
      <c r="E1473" s="2" t="s">
        <v>14334</v>
      </c>
      <c r="G1473" s="3" t="s">
        <v>62</v>
      </c>
      <c r="I1473" s="3" t="s">
        <v>62</v>
      </c>
      <c r="J1473" s="3" t="s">
        <v>62</v>
      </c>
      <c r="K1473" s="3" t="s">
        <v>63</v>
      </c>
      <c r="L1473" s="2" t="s">
        <v>14335</v>
      </c>
      <c r="M1473" s="2" t="s">
        <v>14336</v>
      </c>
      <c r="N1473" s="3" t="s">
        <v>2417</v>
      </c>
      <c r="O1473" s="2" t="s">
        <v>168</v>
      </c>
      <c r="P1473" s="3" t="s">
        <v>65</v>
      </c>
      <c r="R1473" s="3" t="s">
        <v>66</v>
      </c>
      <c r="S1473" s="4">
        <v>11</v>
      </c>
      <c r="T1473" s="4">
        <v>11</v>
      </c>
      <c r="U1473" s="5" t="s">
        <v>7949</v>
      </c>
      <c r="V1473" s="5" t="s">
        <v>7949</v>
      </c>
      <c r="W1473" s="5" t="s">
        <v>67</v>
      </c>
      <c r="X1473" s="5" t="s">
        <v>67</v>
      </c>
      <c r="Y1473" s="4">
        <v>269</v>
      </c>
      <c r="Z1473" s="4">
        <v>15</v>
      </c>
      <c r="AA1473" s="4">
        <v>19</v>
      </c>
      <c r="AB1473" s="4">
        <v>1</v>
      </c>
      <c r="AC1473" s="4">
        <v>5</v>
      </c>
      <c r="AD1473" s="4">
        <v>94</v>
      </c>
      <c r="AE1473" s="4">
        <v>97</v>
      </c>
      <c r="AF1473" s="4">
        <v>0</v>
      </c>
      <c r="AG1473" s="4">
        <v>3</v>
      </c>
      <c r="AH1473" s="4">
        <v>87</v>
      </c>
      <c r="AI1473" s="4">
        <v>88</v>
      </c>
      <c r="AJ1473" s="4">
        <v>12</v>
      </c>
      <c r="AK1473" s="4">
        <v>15</v>
      </c>
      <c r="AL1473" s="4">
        <v>50</v>
      </c>
      <c r="AM1473" s="4">
        <v>50</v>
      </c>
      <c r="AN1473" s="4">
        <v>0</v>
      </c>
      <c r="AO1473" s="4">
        <v>0</v>
      </c>
      <c r="AP1473" s="4">
        <v>12</v>
      </c>
      <c r="AQ1473" s="4">
        <v>14</v>
      </c>
      <c r="AR1473" s="3" t="s">
        <v>62</v>
      </c>
      <c r="AS1473" s="3" t="s">
        <v>62</v>
      </c>
      <c r="AT1473" s="3" t="s">
        <v>61</v>
      </c>
      <c r="AU1473" s="6" t="str">
        <f>HYPERLINK("http://catalog.hathitrust.org/Record/000846651","HathiTrust Record")</f>
        <v>HathiTrust Record</v>
      </c>
      <c r="AV1473" s="6" t="str">
        <f>HYPERLINK("http://mcgill.on.worldcat.org/oclc/16717028","Catalog Record")</f>
        <v>Catalog Record</v>
      </c>
      <c r="AW1473" s="6" t="str">
        <f>HYPERLINK("http://www.worldcat.org/oclc/16717028","WorldCat Record")</f>
        <v>WorldCat Record</v>
      </c>
      <c r="AX1473" s="3" t="s">
        <v>14337</v>
      </c>
      <c r="AY1473" s="3" t="s">
        <v>14338</v>
      </c>
      <c r="AZ1473" s="3" t="s">
        <v>14339</v>
      </c>
      <c r="BA1473" s="3" t="s">
        <v>14339</v>
      </c>
      <c r="BB1473" s="3" t="s">
        <v>14340</v>
      </c>
      <c r="BC1473" s="3" t="s">
        <v>142</v>
      </c>
      <c r="BD1473" s="3" t="s">
        <v>68</v>
      </c>
      <c r="BE1473" s="3" t="s">
        <v>14341</v>
      </c>
      <c r="BF1473" s="3" t="s">
        <v>14340</v>
      </c>
      <c r="BG1473" s="3" t="s">
        <v>14342</v>
      </c>
    </row>
    <row r="1474" spans="1:59" ht="57" x14ac:dyDescent="0.45">
      <c r="A1474" s="2" t="s">
        <v>59</v>
      </c>
      <c r="B1474" s="2" t="s">
        <v>60</v>
      </c>
      <c r="C1474" s="2" t="s">
        <v>14343</v>
      </c>
      <c r="D1474" s="2" t="s">
        <v>14344</v>
      </c>
      <c r="E1474" s="2" t="s">
        <v>14345</v>
      </c>
      <c r="G1474" s="3" t="s">
        <v>62</v>
      </c>
      <c r="I1474" s="3" t="s">
        <v>61</v>
      </c>
      <c r="J1474" s="3" t="s">
        <v>62</v>
      </c>
      <c r="K1474" s="3" t="s">
        <v>63</v>
      </c>
      <c r="L1474" s="2" t="s">
        <v>14346</v>
      </c>
      <c r="M1474" s="2" t="s">
        <v>14347</v>
      </c>
      <c r="N1474" s="3" t="s">
        <v>945</v>
      </c>
      <c r="P1474" s="3" t="s">
        <v>65</v>
      </c>
      <c r="R1474" s="3" t="s">
        <v>66</v>
      </c>
      <c r="S1474" s="4">
        <v>2</v>
      </c>
      <c r="T1474" s="4">
        <v>12</v>
      </c>
      <c r="U1474" s="5" t="s">
        <v>4817</v>
      </c>
      <c r="V1474" s="5" t="s">
        <v>4817</v>
      </c>
      <c r="W1474" s="5" t="s">
        <v>67</v>
      </c>
      <c r="X1474" s="5" t="s">
        <v>67</v>
      </c>
      <c r="Y1474" s="4">
        <v>541</v>
      </c>
      <c r="Z1474" s="4">
        <v>33</v>
      </c>
      <c r="AA1474" s="4">
        <v>45</v>
      </c>
      <c r="AB1474" s="4">
        <v>2</v>
      </c>
      <c r="AC1474" s="4">
        <v>7</v>
      </c>
      <c r="AD1474" s="4">
        <v>107</v>
      </c>
      <c r="AE1474" s="4">
        <v>116</v>
      </c>
      <c r="AF1474" s="4">
        <v>1</v>
      </c>
      <c r="AG1474" s="4">
        <v>5</v>
      </c>
      <c r="AH1474" s="4">
        <v>93</v>
      </c>
      <c r="AI1474" s="4">
        <v>96</v>
      </c>
      <c r="AJ1474" s="4">
        <v>12</v>
      </c>
      <c r="AK1474" s="4">
        <v>20</v>
      </c>
      <c r="AL1474" s="4">
        <v>49</v>
      </c>
      <c r="AM1474" s="4">
        <v>49</v>
      </c>
      <c r="AN1474" s="4">
        <v>0</v>
      </c>
      <c r="AO1474" s="4">
        <v>0</v>
      </c>
      <c r="AP1474" s="4">
        <v>21</v>
      </c>
      <c r="AQ1474" s="4">
        <v>29</v>
      </c>
      <c r="AR1474" s="3" t="s">
        <v>62</v>
      </c>
      <c r="AS1474" s="3" t="s">
        <v>62</v>
      </c>
      <c r="AT1474" s="3" t="s">
        <v>61</v>
      </c>
      <c r="AU1474" s="6" t="str">
        <f>HYPERLINK("http://catalog.hathitrust.org/Record/005594683","HathiTrust Record")</f>
        <v>HathiTrust Record</v>
      </c>
      <c r="AV1474" s="6" t="str">
        <f>HYPERLINK("http://mcgill.on.worldcat.org/oclc/124031823","Catalog Record")</f>
        <v>Catalog Record</v>
      </c>
      <c r="AW1474" s="6" t="str">
        <f>HYPERLINK("http://www.worldcat.org/oclc/124031823","WorldCat Record")</f>
        <v>WorldCat Record</v>
      </c>
      <c r="AX1474" s="3" t="s">
        <v>14348</v>
      </c>
      <c r="AY1474" s="3" t="s">
        <v>14349</v>
      </c>
      <c r="AZ1474" s="3" t="s">
        <v>14350</v>
      </c>
      <c r="BA1474" s="3" t="s">
        <v>14350</v>
      </c>
      <c r="BB1474" s="3" t="s">
        <v>14351</v>
      </c>
      <c r="BC1474" s="3" t="s">
        <v>142</v>
      </c>
      <c r="BD1474" s="3" t="s">
        <v>68</v>
      </c>
      <c r="BE1474" s="3" t="s">
        <v>14352</v>
      </c>
      <c r="BF1474" s="3" t="s">
        <v>14351</v>
      </c>
      <c r="BG1474" s="3" t="s">
        <v>14353</v>
      </c>
    </row>
    <row r="1475" spans="1:59" ht="57" x14ac:dyDescent="0.45">
      <c r="A1475" s="2" t="s">
        <v>59</v>
      </c>
      <c r="B1475" s="2" t="s">
        <v>60</v>
      </c>
      <c r="C1475" s="2" t="s">
        <v>14343</v>
      </c>
      <c r="D1475" s="2" t="s">
        <v>14344</v>
      </c>
      <c r="E1475" s="2" t="s">
        <v>14345</v>
      </c>
      <c r="G1475" s="3" t="s">
        <v>62</v>
      </c>
      <c r="I1475" s="3" t="s">
        <v>61</v>
      </c>
      <c r="J1475" s="3" t="s">
        <v>62</v>
      </c>
      <c r="K1475" s="3" t="s">
        <v>63</v>
      </c>
      <c r="L1475" s="2" t="s">
        <v>14346</v>
      </c>
      <c r="M1475" s="2" t="s">
        <v>14347</v>
      </c>
      <c r="N1475" s="3" t="s">
        <v>945</v>
      </c>
      <c r="P1475" s="3" t="s">
        <v>65</v>
      </c>
      <c r="R1475" s="3" t="s">
        <v>66</v>
      </c>
      <c r="S1475" s="4">
        <v>10</v>
      </c>
      <c r="T1475" s="4">
        <v>12</v>
      </c>
      <c r="U1475" s="5" t="s">
        <v>14354</v>
      </c>
      <c r="V1475" s="5" t="s">
        <v>4817</v>
      </c>
      <c r="W1475" s="5" t="s">
        <v>67</v>
      </c>
      <c r="X1475" s="5" t="s">
        <v>67</v>
      </c>
      <c r="Y1475" s="4">
        <v>541</v>
      </c>
      <c r="Z1475" s="4">
        <v>33</v>
      </c>
      <c r="AA1475" s="4">
        <v>45</v>
      </c>
      <c r="AB1475" s="4">
        <v>2</v>
      </c>
      <c r="AC1475" s="4">
        <v>7</v>
      </c>
      <c r="AD1475" s="4">
        <v>107</v>
      </c>
      <c r="AE1475" s="4">
        <v>116</v>
      </c>
      <c r="AF1475" s="4">
        <v>1</v>
      </c>
      <c r="AG1475" s="4">
        <v>5</v>
      </c>
      <c r="AH1475" s="4">
        <v>93</v>
      </c>
      <c r="AI1475" s="4">
        <v>96</v>
      </c>
      <c r="AJ1475" s="4">
        <v>12</v>
      </c>
      <c r="AK1475" s="4">
        <v>20</v>
      </c>
      <c r="AL1475" s="4">
        <v>49</v>
      </c>
      <c r="AM1475" s="4">
        <v>49</v>
      </c>
      <c r="AN1475" s="4">
        <v>0</v>
      </c>
      <c r="AO1475" s="4">
        <v>0</v>
      </c>
      <c r="AP1475" s="4">
        <v>21</v>
      </c>
      <c r="AQ1475" s="4">
        <v>29</v>
      </c>
      <c r="AR1475" s="3" t="s">
        <v>62</v>
      </c>
      <c r="AS1475" s="3" t="s">
        <v>62</v>
      </c>
      <c r="AT1475" s="3" t="s">
        <v>61</v>
      </c>
      <c r="AU1475" s="6" t="str">
        <f>HYPERLINK("http://catalog.hathitrust.org/Record/005594683","HathiTrust Record")</f>
        <v>HathiTrust Record</v>
      </c>
      <c r="AV1475" s="6" t="str">
        <f>HYPERLINK("http://mcgill.on.worldcat.org/oclc/124031823","Catalog Record")</f>
        <v>Catalog Record</v>
      </c>
      <c r="AW1475" s="6" t="str">
        <f>HYPERLINK("http://www.worldcat.org/oclc/124031823","WorldCat Record")</f>
        <v>WorldCat Record</v>
      </c>
      <c r="AX1475" s="3" t="s">
        <v>14348</v>
      </c>
      <c r="AY1475" s="3" t="s">
        <v>14349</v>
      </c>
      <c r="AZ1475" s="3" t="s">
        <v>14350</v>
      </c>
      <c r="BA1475" s="3" t="s">
        <v>14350</v>
      </c>
      <c r="BB1475" s="3" t="s">
        <v>14355</v>
      </c>
      <c r="BC1475" s="3" t="s">
        <v>142</v>
      </c>
      <c r="BD1475" s="3" t="s">
        <v>68</v>
      </c>
      <c r="BE1475" s="3" t="s">
        <v>14352</v>
      </c>
      <c r="BF1475" s="3" t="s">
        <v>14355</v>
      </c>
      <c r="BG1475" s="3" t="s">
        <v>14356</v>
      </c>
    </row>
    <row r="1476" spans="1:59" ht="57" x14ac:dyDescent="0.45">
      <c r="A1476" s="2" t="s">
        <v>59</v>
      </c>
      <c r="B1476" s="2" t="s">
        <v>60</v>
      </c>
      <c r="C1476" s="2" t="s">
        <v>14357</v>
      </c>
      <c r="D1476" s="2" t="s">
        <v>14358</v>
      </c>
      <c r="E1476" s="2" t="s">
        <v>14359</v>
      </c>
      <c r="G1476" s="3" t="s">
        <v>62</v>
      </c>
      <c r="I1476" s="3" t="s">
        <v>61</v>
      </c>
      <c r="J1476" s="3" t="s">
        <v>62</v>
      </c>
      <c r="K1476" s="3" t="s">
        <v>63</v>
      </c>
      <c r="L1476" s="2" t="s">
        <v>13305</v>
      </c>
      <c r="M1476" s="2" t="s">
        <v>14360</v>
      </c>
      <c r="N1476" s="3" t="s">
        <v>435</v>
      </c>
      <c r="P1476" s="3" t="s">
        <v>65</v>
      </c>
      <c r="R1476" s="3" t="s">
        <v>66</v>
      </c>
      <c r="S1476" s="4">
        <v>40</v>
      </c>
      <c r="T1476" s="4">
        <v>40</v>
      </c>
      <c r="U1476" s="5" t="s">
        <v>14361</v>
      </c>
      <c r="V1476" s="5" t="s">
        <v>14361</v>
      </c>
      <c r="W1476" s="5" t="s">
        <v>67</v>
      </c>
      <c r="X1476" s="5" t="s">
        <v>67</v>
      </c>
      <c r="Y1476" s="4">
        <v>1051</v>
      </c>
      <c r="Z1476" s="4">
        <v>68</v>
      </c>
      <c r="AA1476" s="4">
        <v>77</v>
      </c>
      <c r="AB1476" s="4">
        <v>4</v>
      </c>
      <c r="AC1476" s="4">
        <v>6</v>
      </c>
      <c r="AD1476" s="4">
        <v>123</v>
      </c>
      <c r="AE1476" s="4">
        <v>133</v>
      </c>
      <c r="AF1476" s="4">
        <v>2</v>
      </c>
      <c r="AG1476" s="4">
        <v>4</v>
      </c>
      <c r="AH1476" s="4">
        <v>97</v>
      </c>
      <c r="AI1476" s="4">
        <v>101</v>
      </c>
      <c r="AJ1476" s="4">
        <v>20</v>
      </c>
      <c r="AK1476" s="4">
        <v>23</v>
      </c>
      <c r="AL1476" s="4">
        <v>53</v>
      </c>
      <c r="AM1476" s="4">
        <v>56</v>
      </c>
      <c r="AN1476" s="4">
        <v>0</v>
      </c>
      <c r="AO1476" s="4">
        <v>5</v>
      </c>
      <c r="AP1476" s="4">
        <v>30</v>
      </c>
      <c r="AQ1476" s="4">
        <v>36</v>
      </c>
      <c r="AR1476" s="3" t="s">
        <v>62</v>
      </c>
      <c r="AS1476" s="3" t="s">
        <v>62</v>
      </c>
      <c r="AT1476" s="3" t="s">
        <v>61</v>
      </c>
      <c r="AU1476" s="6" t="str">
        <f>HYPERLINK("http://catalog.hathitrust.org/Record/001180813","HathiTrust Record")</f>
        <v>HathiTrust Record</v>
      </c>
      <c r="AV1476" s="6" t="str">
        <f>HYPERLINK("http://mcgill.on.worldcat.org/oclc/68442","Catalog Record")</f>
        <v>Catalog Record</v>
      </c>
      <c r="AW1476" s="6" t="str">
        <f>HYPERLINK("http://www.worldcat.org/oclc/68442","WorldCat Record")</f>
        <v>WorldCat Record</v>
      </c>
      <c r="AX1476" s="3" t="s">
        <v>14362</v>
      </c>
      <c r="AY1476" s="3" t="s">
        <v>14363</v>
      </c>
      <c r="AZ1476" s="3" t="s">
        <v>14364</v>
      </c>
      <c r="BA1476" s="3" t="s">
        <v>14364</v>
      </c>
      <c r="BB1476" s="3" t="s">
        <v>14365</v>
      </c>
      <c r="BC1476" s="3" t="s">
        <v>142</v>
      </c>
      <c r="BD1476" s="3" t="s">
        <v>68</v>
      </c>
      <c r="BF1476" s="3" t="s">
        <v>14365</v>
      </c>
      <c r="BG1476" s="3" t="s">
        <v>14366</v>
      </c>
    </row>
    <row r="1477" spans="1:59" ht="57" x14ac:dyDescent="0.45">
      <c r="A1477" s="2" t="s">
        <v>59</v>
      </c>
      <c r="B1477" s="2" t="s">
        <v>60</v>
      </c>
      <c r="C1477" s="2" t="s">
        <v>14357</v>
      </c>
      <c r="D1477" s="2" t="s">
        <v>14358</v>
      </c>
      <c r="E1477" s="2" t="s">
        <v>14359</v>
      </c>
      <c r="G1477" s="3" t="s">
        <v>62</v>
      </c>
      <c r="I1477" s="3" t="s">
        <v>61</v>
      </c>
      <c r="J1477" s="3" t="s">
        <v>62</v>
      </c>
      <c r="K1477" s="3" t="s">
        <v>63</v>
      </c>
      <c r="L1477" s="2" t="s">
        <v>13305</v>
      </c>
      <c r="M1477" s="2" t="s">
        <v>14360</v>
      </c>
      <c r="N1477" s="3" t="s">
        <v>435</v>
      </c>
      <c r="P1477" s="3" t="s">
        <v>65</v>
      </c>
      <c r="R1477" s="3" t="s">
        <v>66</v>
      </c>
      <c r="S1477" s="4">
        <v>0</v>
      </c>
      <c r="T1477" s="4">
        <v>40</v>
      </c>
      <c r="V1477" s="5" t="s">
        <v>14361</v>
      </c>
      <c r="W1477" s="5" t="s">
        <v>67</v>
      </c>
      <c r="X1477" s="5" t="s">
        <v>67</v>
      </c>
      <c r="Y1477" s="4">
        <v>1051</v>
      </c>
      <c r="Z1477" s="4">
        <v>68</v>
      </c>
      <c r="AA1477" s="4">
        <v>77</v>
      </c>
      <c r="AB1477" s="4">
        <v>4</v>
      </c>
      <c r="AC1477" s="4">
        <v>6</v>
      </c>
      <c r="AD1477" s="4">
        <v>123</v>
      </c>
      <c r="AE1477" s="4">
        <v>133</v>
      </c>
      <c r="AF1477" s="4">
        <v>2</v>
      </c>
      <c r="AG1477" s="4">
        <v>4</v>
      </c>
      <c r="AH1477" s="4">
        <v>97</v>
      </c>
      <c r="AI1477" s="4">
        <v>101</v>
      </c>
      <c r="AJ1477" s="4">
        <v>20</v>
      </c>
      <c r="AK1477" s="4">
        <v>23</v>
      </c>
      <c r="AL1477" s="4">
        <v>53</v>
      </c>
      <c r="AM1477" s="4">
        <v>56</v>
      </c>
      <c r="AN1477" s="4">
        <v>0</v>
      </c>
      <c r="AO1477" s="4">
        <v>5</v>
      </c>
      <c r="AP1477" s="4">
        <v>30</v>
      </c>
      <c r="AQ1477" s="4">
        <v>36</v>
      </c>
      <c r="AR1477" s="3" t="s">
        <v>62</v>
      </c>
      <c r="AS1477" s="3" t="s">
        <v>62</v>
      </c>
      <c r="AT1477" s="3" t="s">
        <v>61</v>
      </c>
      <c r="AU1477" s="6" t="str">
        <f>HYPERLINK("http://catalog.hathitrust.org/Record/001180813","HathiTrust Record")</f>
        <v>HathiTrust Record</v>
      </c>
      <c r="AV1477" s="6" t="str">
        <f>HYPERLINK("http://mcgill.on.worldcat.org/oclc/68442","Catalog Record")</f>
        <v>Catalog Record</v>
      </c>
      <c r="AW1477" s="6" t="str">
        <f>HYPERLINK("http://www.worldcat.org/oclc/68442","WorldCat Record")</f>
        <v>WorldCat Record</v>
      </c>
      <c r="AX1477" s="3" t="s">
        <v>14362</v>
      </c>
      <c r="AY1477" s="3" t="s">
        <v>14363</v>
      </c>
      <c r="AZ1477" s="3" t="s">
        <v>14364</v>
      </c>
      <c r="BA1477" s="3" t="s">
        <v>14364</v>
      </c>
      <c r="BB1477" s="3" t="s">
        <v>14367</v>
      </c>
      <c r="BC1477" s="3" t="s">
        <v>142</v>
      </c>
      <c r="BD1477" s="3" t="s">
        <v>68</v>
      </c>
      <c r="BF1477" s="3" t="s">
        <v>14367</v>
      </c>
      <c r="BG1477" s="3" t="s">
        <v>14368</v>
      </c>
    </row>
    <row r="1478" spans="1:59" ht="57" x14ac:dyDescent="0.45">
      <c r="A1478" s="2" t="s">
        <v>59</v>
      </c>
      <c r="B1478" s="2" t="s">
        <v>60</v>
      </c>
      <c r="C1478" s="2" t="s">
        <v>14369</v>
      </c>
      <c r="D1478" s="2" t="s">
        <v>14370</v>
      </c>
      <c r="E1478" s="2" t="s">
        <v>14371</v>
      </c>
      <c r="G1478" s="3" t="s">
        <v>62</v>
      </c>
      <c r="I1478" s="3" t="s">
        <v>62</v>
      </c>
      <c r="J1478" s="3" t="s">
        <v>62</v>
      </c>
      <c r="K1478" s="3" t="s">
        <v>63</v>
      </c>
      <c r="M1478" s="2" t="s">
        <v>14372</v>
      </c>
      <c r="N1478" s="3" t="s">
        <v>84</v>
      </c>
      <c r="P1478" s="3" t="s">
        <v>65</v>
      </c>
      <c r="Q1478" s="2" t="s">
        <v>12823</v>
      </c>
      <c r="R1478" s="3" t="s">
        <v>66</v>
      </c>
      <c r="S1478" s="4">
        <v>16</v>
      </c>
      <c r="T1478" s="4">
        <v>16</v>
      </c>
      <c r="U1478" s="5" t="s">
        <v>222</v>
      </c>
      <c r="V1478" s="5" t="s">
        <v>222</v>
      </c>
      <c r="W1478" s="5" t="s">
        <v>67</v>
      </c>
      <c r="X1478" s="5" t="s">
        <v>67</v>
      </c>
      <c r="Y1478" s="4">
        <v>321</v>
      </c>
      <c r="Z1478" s="4">
        <v>20</v>
      </c>
      <c r="AA1478" s="4">
        <v>25</v>
      </c>
      <c r="AB1478" s="4">
        <v>2</v>
      </c>
      <c r="AC1478" s="4">
        <v>7</v>
      </c>
      <c r="AD1478" s="4">
        <v>95</v>
      </c>
      <c r="AE1478" s="4">
        <v>99</v>
      </c>
      <c r="AF1478" s="4">
        <v>1</v>
      </c>
      <c r="AG1478" s="4">
        <v>3</v>
      </c>
      <c r="AH1478" s="4">
        <v>86</v>
      </c>
      <c r="AI1478" s="4">
        <v>89</v>
      </c>
      <c r="AJ1478" s="4">
        <v>16</v>
      </c>
      <c r="AK1478" s="4">
        <v>18</v>
      </c>
      <c r="AL1478" s="4">
        <v>47</v>
      </c>
      <c r="AM1478" s="4">
        <v>48</v>
      </c>
      <c r="AN1478" s="4">
        <v>0</v>
      </c>
      <c r="AO1478" s="4">
        <v>0</v>
      </c>
      <c r="AP1478" s="4">
        <v>17</v>
      </c>
      <c r="AQ1478" s="4">
        <v>18</v>
      </c>
      <c r="AR1478" s="3" t="s">
        <v>62</v>
      </c>
      <c r="AS1478" s="3" t="s">
        <v>62</v>
      </c>
      <c r="AT1478" s="3" t="s">
        <v>62</v>
      </c>
      <c r="AV1478" s="6" t="str">
        <f>HYPERLINK("http://mcgill.on.worldcat.org/oclc/24429880","Catalog Record")</f>
        <v>Catalog Record</v>
      </c>
      <c r="AW1478" s="6" t="str">
        <f>HYPERLINK("http://www.worldcat.org/oclc/24429880","WorldCat Record")</f>
        <v>WorldCat Record</v>
      </c>
      <c r="AX1478" s="3" t="s">
        <v>14373</v>
      </c>
      <c r="AY1478" s="3" t="s">
        <v>14374</v>
      </c>
      <c r="AZ1478" s="3" t="s">
        <v>14375</v>
      </c>
      <c r="BA1478" s="3" t="s">
        <v>14375</v>
      </c>
      <c r="BB1478" s="3" t="s">
        <v>14376</v>
      </c>
      <c r="BC1478" s="3" t="s">
        <v>142</v>
      </c>
      <c r="BD1478" s="3" t="s">
        <v>68</v>
      </c>
      <c r="BE1478" s="3" t="s">
        <v>14377</v>
      </c>
      <c r="BF1478" s="3" t="s">
        <v>14376</v>
      </c>
      <c r="BG1478" s="3" t="s">
        <v>14378</v>
      </c>
    </row>
    <row r="1479" spans="1:59" ht="57" x14ac:dyDescent="0.45">
      <c r="A1479" s="2" t="s">
        <v>59</v>
      </c>
      <c r="B1479" s="2" t="s">
        <v>60</v>
      </c>
      <c r="C1479" s="2" t="s">
        <v>14379</v>
      </c>
      <c r="D1479" s="2" t="s">
        <v>14380</v>
      </c>
      <c r="E1479" s="2" t="s">
        <v>14381</v>
      </c>
      <c r="G1479" s="3" t="s">
        <v>62</v>
      </c>
      <c r="I1479" s="3" t="s">
        <v>62</v>
      </c>
      <c r="J1479" s="3" t="s">
        <v>61</v>
      </c>
      <c r="K1479" s="3" t="s">
        <v>63</v>
      </c>
      <c r="M1479" s="2" t="s">
        <v>14382</v>
      </c>
      <c r="N1479" s="3" t="s">
        <v>1212</v>
      </c>
      <c r="O1479" s="2" t="s">
        <v>933</v>
      </c>
      <c r="P1479" s="3" t="s">
        <v>65</v>
      </c>
      <c r="R1479" s="3" t="s">
        <v>66</v>
      </c>
      <c r="S1479" s="4">
        <v>72</v>
      </c>
      <c r="T1479" s="4">
        <v>72</v>
      </c>
      <c r="U1479" s="5" t="s">
        <v>6557</v>
      </c>
      <c r="V1479" s="5" t="s">
        <v>6557</v>
      </c>
      <c r="W1479" s="5" t="s">
        <v>67</v>
      </c>
      <c r="X1479" s="5" t="s">
        <v>67</v>
      </c>
      <c r="Y1479" s="4">
        <v>282</v>
      </c>
      <c r="Z1479" s="4">
        <v>26</v>
      </c>
      <c r="AA1479" s="4">
        <v>53</v>
      </c>
      <c r="AB1479" s="4">
        <v>2</v>
      </c>
      <c r="AC1479" s="4">
        <v>7</v>
      </c>
      <c r="AD1479" s="4">
        <v>82</v>
      </c>
      <c r="AE1479" s="4">
        <v>126</v>
      </c>
      <c r="AF1479" s="4">
        <v>1</v>
      </c>
      <c r="AG1479" s="4">
        <v>3</v>
      </c>
      <c r="AH1479" s="4">
        <v>70</v>
      </c>
      <c r="AI1479" s="4">
        <v>99</v>
      </c>
      <c r="AJ1479" s="4">
        <v>13</v>
      </c>
      <c r="AK1479" s="4">
        <v>21</v>
      </c>
      <c r="AL1479" s="4">
        <v>37</v>
      </c>
      <c r="AM1479" s="4">
        <v>54</v>
      </c>
      <c r="AN1479" s="4">
        <v>0</v>
      </c>
      <c r="AO1479" s="4">
        <v>0</v>
      </c>
      <c r="AP1479" s="4">
        <v>19</v>
      </c>
      <c r="AQ1479" s="4">
        <v>35</v>
      </c>
      <c r="AR1479" s="3" t="s">
        <v>62</v>
      </c>
      <c r="AS1479" s="3" t="s">
        <v>62</v>
      </c>
      <c r="AT1479" s="3" t="s">
        <v>62</v>
      </c>
      <c r="AV1479" s="6" t="str">
        <f>HYPERLINK("http://mcgill.on.worldcat.org/oclc/42733601","Catalog Record")</f>
        <v>Catalog Record</v>
      </c>
      <c r="AW1479" s="6" t="str">
        <f>HYPERLINK("http://www.worldcat.org/oclc/42733601","WorldCat Record")</f>
        <v>WorldCat Record</v>
      </c>
      <c r="AX1479" s="3" t="s">
        <v>14383</v>
      </c>
      <c r="AY1479" s="3" t="s">
        <v>14384</v>
      </c>
      <c r="AZ1479" s="3" t="s">
        <v>14385</v>
      </c>
      <c r="BA1479" s="3" t="s">
        <v>14385</v>
      </c>
      <c r="BB1479" s="3" t="s">
        <v>14386</v>
      </c>
      <c r="BC1479" s="3" t="s">
        <v>142</v>
      </c>
      <c r="BD1479" s="3" t="s">
        <v>68</v>
      </c>
      <c r="BE1479" s="3" t="s">
        <v>14387</v>
      </c>
      <c r="BF1479" s="3" t="s">
        <v>14386</v>
      </c>
      <c r="BG1479" s="3" t="s">
        <v>14388</v>
      </c>
    </row>
    <row r="1480" spans="1:59" ht="57" x14ac:dyDescent="0.45">
      <c r="A1480" s="2" t="s">
        <v>59</v>
      </c>
      <c r="B1480" s="2" t="s">
        <v>60</v>
      </c>
      <c r="C1480" s="2" t="s">
        <v>14389</v>
      </c>
      <c r="D1480" s="2" t="s">
        <v>14390</v>
      </c>
      <c r="E1480" s="2" t="s">
        <v>14391</v>
      </c>
      <c r="G1480" s="3" t="s">
        <v>62</v>
      </c>
      <c r="I1480" s="3" t="s">
        <v>62</v>
      </c>
      <c r="J1480" s="3" t="s">
        <v>61</v>
      </c>
      <c r="K1480" s="3" t="s">
        <v>63</v>
      </c>
      <c r="M1480" s="2" t="s">
        <v>14392</v>
      </c>
      <c r="N1480" s="3" t="s">
        <v>1465</v>
      </c>
      <c r="O1480" s="2" t="s">
        <v>906</v>
      </c>
      <c r="P1480" s="3" t="s">
        <v>65</v>
      </c>
      <c r="R1480" s="3" t="s">
        <v>66</v>
      </c>
      <c r="S1480" s="4">
        <v>17</v>
      </c>
      <c r="T1480" s="4">
        <v>17</v>
      </c>
      <c r="U1480" s="5" t="s">
        <v>12942</v>
      </c>
      <c r="V1480" s="5" t="s">
        <v>12942</v>
      </c>
      <c r="W1480" s="5" t="s">
        <v>67</v>
      </c>
      <c r="X1480" s="5" t="s">
        <v>67</v>
      </c>
      <c r="Y1480" s="4">
        <v>112</v>
      </c>
      <c r="Z1480" s="4">
        <v>6</v>
      </c>
      <c r="AA1480" s="4">
        <v>53</v>
      </c>
      <c r="AB1480" s="4">
        <v>3</v>
      </c>
      <c r="AC1480" s="4">
        <v>7</v>
      </c>
      <c r="AD1480" s="4">
        <v>14</v>
      </c>
      <c r="AE1480" s="4">
        <v>126</v>
      </c>
      <c r="AF1480" s="4">
        <v>1</v>
      </c>
      <c r="AG1480" s="4">
        <v>3</v>
      </c>
      <c r="AH1480" s="4">
        <v>13</v>
      </c>
      <c r="AI1480" s="4">
        <v>99</v>
      </c>
      <c r="AJ1480" s="4">
        <v>4</v>
      </c>
      <c r="AK1480" s="4">
        <v>21</v>
      </c>
      <c r="AL1480" s="4">
        <v>7</v>
      </c>
      <c r="AM1480" s="4">
        <v>54</v>
      </c>
      <c r="AN1480" s="4">
        <v>0</v>
      </c>
      <c r="AO1480" s="4">
        <v>0</v>
      </c>
      <c r="AP1480" s="4">
        <v>4</v>
      </c>
      <c r="AQ1480" s="4">
        <v>35</v>
      </c>
      <c r="AR1480" s="3" t="s">
        <v>62</v>
      </c>
      <c r="AS1480" s="3" t="s">
        <v>62</v>
      </c>
      <c r="AT1480" s="3" t="s">
        <v>62</v>
      </c>
      <c r="AV1480" s="6" t="str">
        <f>HYPERLINK("http://mcgill.on.worldcat.org/oclc/427541875","Catalog Record")</f>
        <v>Catalog Record</v>
      </c>
      <c r="AW1480" s="6" t="str">
        <f>HYPERLINK("http://www.worldcat.org/oclc/427541875","WorldCat Record")</f>
        <v>WorldCat Record</v>
      </c>
      <c r="AX1480" s="3" t="s">
        <v>14383</v>
      </c>
      <c r="AY1480" s="3" t="s">
        <v>14393</v>
      </c>
      <c r="AZ1480" s="3" t="s">
        <v>14394</v>
      </c>
      <c r="BA1480" s="3" t="s">
        <v>14394</v>
      </c>
      <c r="BB1480" s="3" t="s">
        <v>14395</v>
      </c>
      <c r="BC1480" s="3" t="s">
        <v>142</v>
      </c>
      <c r="BD1480" s="3" t="s">
        <v>68</v>
      </c>
      <c r="BE1480" s="3" t="s">
        <v>14396</v>
      </c>
      <c r="BF1480" s="3" t="s">
        <v>14395</v>
      </c>
      <c r="BG1480" s="3" t="s">
        <v>14397</v>
      </c>
    </row>
    <row r="1481" spans="1:59" ht="57" x14ac:dyDescent="0.45">
      <c r="A1481" s="2" t="s">
        <v>59</v>
      </c>
      <c r="B1481" s="2" t="s">
        <v>60</v>
      </c>
      <c r="C1481" s="2" t="s">
        <v>14398</v>
      </c>
      <c r="D1481" s="2" t="s">
        <v>14399</v>
      </c>
      <c r="E1481" s="2" t="s">
        <v>14400</v>
      </c>
      <c r="G1481" s="3" t="s">
        <v>62</v>
      </c>
      <c r="I1481" s="3" t="s">
        <v>62</v>
      </c>
      <c r="J1481" s="3" t="s">
        <v>61</v>
      </c>
      <c r="K1481" s="3" t="s">
        <v>63</v>
      </c>
      <c r="L1481" s="2" t="s">
        <v>14401</v>
      </c>
      <c r="M1481" s="2" t="s">
        <v>14402</v>
      </c>
      <c r="N1481" s="3" t="s">
        <v>894</v>
      </c>
      <c r="O1481" s="2" t="s">
        <v>14403</v>
      </c>
      <c r="P1481" s="3" t="s">
        <v>65</v>
      </c>
      <c r="R1481" s="3" t="s">
        <v>66</v>
      </c>
      <c r="S1481" s="4">
        <v>0</v>
      </c>
      <c r="T1481" s="4">
        <v>0</v>
      </c>
      <c r="W1481" s="5" t="s">
        <v>67</v>
      </c>
      <c r="X1481" s="5" t="s">
        <v>67</v>
      </c>
      <c r="Y1481" s="4">
        <v>48</v>
      </c>
      <c r="Z1481" s="4">
        <v>10</v>
      </c>
      <c r="AA1481" s="4">
        <v>110</v>
      </c>
      <c r="AB1481" s="4">
        <v>2</v>
      </c>
      <c r="AC1481" s="4">
        <v>11</v>
      </c>
      <c r="AD1481" s="4">
        <v>23</v>
      </c>
      <c r="AE1481" s="4">
        <v>148</v>
      </c>
      <c r="AF1481" s="4">
        <v>1</v>
      </c>
      <c r="AG1481" s="4">
        <v>6</v>
      </c>
      <c r="AH1481" s="4">
        <v>20</v>
      </c>
      <c r="AI1481" s="4">
        <v>106</v>
      </c>
      <c r="AJ1481" s="4">
        <v>6</v>
      </c>
      <c r="AK1481" s="4">
        <v>27</v>
      </c>
      <c r="AL1481" s="4">
        <v>10</v>
      </c>
      <c r="AM1481" s="4">
        <v>58</v>
      </c>
      <c r="AN1481" s="4">
        <v>0</v>
      </c>
      <c r="AO1481" s="4">
        <v>0</v>
      </c>
      <c r="AP1481" s="4">
        <v>6</v>
      </c>
      <c r="AQ1481" s="4">
        <v>48</v>
      </c>
      <c r="AR1481" s="3" t="s">
        <v>62</v>
      </c>
      <c r="AS1481" s="3" t="s">
        <v>62</v>
      </c>
      <c r="AT1481" s="3" t="s">
        <v>62</v>
      </c>
      <c r="AV1481" s="6" t="str">
        <f>HYPERLINK("http://mcgill.on.worldcat.org/oclc/701021876","Catalog Record")</f>
        <v>Catalog Record</v>
      </c>
      <c r="AW1481" s="6" t="str">
        <f>HYPERLINK("http://www.worldcat.org/oclc/701021876","WorldCat Record")</f>
        <v>WorldCat Record</v>
      </c>
      <c r="AX1481" s="3" t="s">
        <v>14404</v>
      </c>
      <c r="AY1481" s="3" t="s">
        <v>14405</v>
      </c>
      <c r="AZ1481" s="3" t="s">
        <v>14406</v>
      </c>
      <c r="BA1481" s="3" t="s">
        <v>14406</v>
      </c>
      <c r="BB1481" s="3" t="s">
        <v>14407</v>
      </c>
      <c r="BC1481" s="3" t="s">
        <v>142</v>
      </c>
      <c r="BD1481" s="3" t="s">
        <v>68</v>
      </c>
      <c r="BE1481" s="3" t="s">
        <v>14408</v>
      </c>
      <c r="BF1481" s="3" t="s">
        <v>14407</v>
      </c>
      <c r="BG1481" s="3" t="s">
        <v>14409</v>
      </c>
    </row>
    <row r="1482" spans="1:59" ht="57" x14ac:dyDescent="0.45">
      <c r="A1482" s="2" t="s">
        <v>59</v>
      </c>
      <c r="B1482" s="2" t="s">
        <v>60</v>
      </c>
      <c r="C1482" s="2" t="s">
        <v>14410</v>
      </c>
      <c r="D1482" s="2" t="s">
        <v>14411</v>
      </c>
      <c r="E1482" s="2" t="s">
        <v>14412</v>
      </c>
      <c r="G1482" s="3" t="s">
        <v>62</v>
      </c>
      <c r="I1482" s="3" t="s">
        <v>61</v>
      </c>
      <c r="J1482" s="3" t="s">
        <v>62</v>
      </c>
      <c r="K1482" s="3" t="s">
        <v>63</v>
      </c>
      <c r="M1482" s="2" t="s">
        <v>14413</v>
      </c>
      <c r="N1482" s="3" t="s">
        <v>1478</v>
      </c>
      <c r="P1482" s="3" t="s">
        <v>65</v>
      </c>
      <c r="R1482" s="3" t="s">
        <v>66</v>
      </c>
      <c r="S1482" s="4">
        <v>20</v>
      </c>
      <c r="T1482" s="4">
        <v>26</v>
      </c>
      <c r="U1482" s="5" t="s">
        <v>14414</v>
      </c>
      <c r="V1482" s="5" t="s">
        <v>161</v>
      </c>
      <c r="W1482" s="5" t="s">
        <v>67</v>
      </c>
      <c r="X1482" s="5" t="s">
        <v>67</v>
      </c>
      <c r="Y1482" s="4">
        <v>185</v>
      </c>
      <c r="Z1482" s="4">
        <v>10</v>
      </c>
      <c r="AA1482" s="4">
        <v>11</v>
      </c>
      <c r="AB1482" s="4">
        <v>3</v>
      </c>
      <c r="AC1482" s="4">
        <v>4</v>
      </c>
      <c r="AD1482" s="4">
        <v>77</v>
      </c>
      <c r="AE1482" s="4">
        <v>78</v>
      </c>
      <c r="AF1482" s="4">
        <v>1</v>
      </c>
      <c r="AG1482" s="4">
        <v>2</v>
      </c>
      <c r="AH1482" s="4">
        <v>75</v>
      </c>
      <c r="AI1482" s="4">
        <v>75</v>
      </c>
      <c r="AJ1482" s="4">
        <v>7</v>
      </c>
      <c r="AK1482" s="4">
        <v>8</v>
      </c>
      <c r="AL1482" s="4">
        <v>43</v>
      </c>
      <c r="AM1482" s="4">
        <v>43</v>
      </c>
      <c r="AN1482" s="4">
        <v>0</v>
      </c>
      <c r="AO1482" s="4">
        <v>0</v>
      </c>
      <c r="AP1482" s="4">
        <v>7</v>
      </c>
      <c r="AQ1482" s="4">
        <v>7</v>
      </c>
      <c r="AR1482" s="3" t="s">
        <v>62</v>
      </c>
      <c r="AS1482" s="3" t="s">
        <v>62</v>
      </c>
      <c r="AT1482" s="3" t="s">
        <v>62</v>
      </c>
      <c r="AV1482" s="6" t="str">
        <f>HYPERLINK("http://mcgill.on.worldcat.org/oclc/33948812","Catalog Record")</f>
        <v>Catalog Record</v>
      </c>
      <c r="AW1482" s="6" t="str">
        <f>HYPERLINK("http://www.worldcat.org/oclc/33948812","WorldCat Record")</f>
        <v>WorldCat Record</v>
      </c>
      <c r="AX1482" s="3" t="s">
        <v>14415</v>
      </c>
      <c r="AY1482" s="3" t="s">
        <v>14416</v>
      </c>
      <c r="AZ1482" s="3" t="s">
        <v>14417</v>
      </c>
      <c r="BA1482" s="3" t="s">
        <v>14417</v>
      </c>
      <c r="BB1482" s="3" t="s">
        <v>14418</v>
      </c>
      <c r="BC1482" s="3" t="s">
        <v>142</v>
      </c>
      <c r="BD1482" s="3" t="s">
        <v>68</v>
      </c>
      <c r="BE1482" s="3" t="s">
        <v>14419</v>
      </c>
      <c r="BF1482" s="3" t="s">
        <v>14418</v>
      </c>
      <c r="BG1482" s="3" t="s">
        <v>14420</v>
      </c>
    </row>
    <row r="1483" spans="1:59" ht="57" x14ac:dyDescent="0.45">
      <c r="A1483" s="2" t="s">
        <v>59</v>
      </c>
      <c r="B1483" s="2" t="s">
        <v>60</v>
      </c>
      <c r="C1483" s="2" t="s">
        <v>14410</v>
      </c>
      <c r="D1483" s="2" t="s">
        <v>14411</v>
      </c>
      <c r="E1483" s="2" t="s">
        <v>14412</v>
      </c>
      <c r="G1483" s="3" t="s">
        <v>62</v>
      </c>
      <c r="I1483" s="3" t="s">
        <v>61</v>
      </c>
      <c r="J1483" s="3" t="s">
        <v>62</v>
      </c>
      <c r="K1483" s="3" t="s">
        <v>63</v>
      </c>
      <c r="M1483" s="2" t="s">
        <v>14413</v>
      </c>
      <c r="N1483" s="3" t="s">
        <v>1478</v>
      </c>
      <c r="P1483" s="3" t="s">
        <v>65</v>
      </c>
      <c r="R1483" s="3" t="s">
        <v>66</v>
      </c>
      <c r="S1483" s="4">
        <v>6</v>
      </c>
      <c r="T1483" s="4">
        <v>26</v>
      </c>
      <c r="U1483" s="5" t="s">
        <v>161</v>
      </c>
      <c r="V1483" s="5" t="s">
        <v>161</v>
      </c>
      <c r="W1483" s="5" t="s">
        <v>67</v>
      </c>
      <c r="X1483" s="5" t="s">
        <v>67</v>
      </c>
      <c r="Y1483" s="4">
        <v>185</v>
      </c>
      <c r="Z1483" s="4">
        <v>10</v>
      </c>
      <c r="AA1483" s="4">
        <v>11</v>
      </c>
      <c r="AB1483" s="4">
        <v>3</v>
      </c>
      <c r="AC1483" s="4">
        <v>4</v>
      </c>
      <c r="AD1483" s="4">
        <v>77</v>
      </c>
      <c r="AE1483" s="4">
        <v>78</v>
      </c>
      <c r="AF1483" s="4">
        <v>1</v>
      </c>
      <c r="AG1483" s="4">
        <v>2</v>
      </c>
      <c r="AH1483" s="4">
        <v>75</v>
      </c>
      <c r="AI1483" s="4">
        <v>75</v>
      </c>
      <c r="AJ1483" s="4">
        <v>7</v>
      </c>
      <c r="AK1483" s="4">
        <v>8</v>
      </c>
      <c r="AL1483" s="4">
        <v>43</v>
      </c>
      <c r="AM1483" s="4">
        <v>43</v>
      </c>
      <c r="AN1483" s="4">
        <v>0</v>
      </c>
      <c r="AO1483" s="4">
        <v>0</v>
      </c>
      <c r="AP1483" s="4">
        <v>7</v>
      </c>
      <c r="AQ1483" s="4">
        <v>7</v>
      </c>
      <c r="AR1483" s="3" t="s">
        <v>62</v>
      </c>
      <c r="AS1483" s="3" t="s">
        <v>62</v>
      </c>
      <c r="AT1483" s="3" t="s">
        <v>62</v>
      </c>
      <c r="AV1483" s="6" t="str">
        <f>HYPERLINK("http://mcgill.on.worldcat.org/oclc/33948812","Catalog Record")</f>
        <v>Catalog Record</v>
      </c>
      <c r="AW1483" s="6" t="str">
        <f>HYPERLINK("http://www.worldcat.org/oclc/33948812","WorldCat Record")</f>
        <v>WorldCat Record</v>
      </c>
      <c r="AX1483" s="3" t="s">
        <v>14415</v>
      </c>
      <c r="AY1483" s="3" t="s">
        <v>14416</v>
      </c>
      <c r="AZ1483" s="3" t="s">
        <v>14417</v>
      </c>
      <c r="BA1483" s="3" t="s">
        <v>14417</v>
      </c>
      <c r="BB1483" s="3" t="s">
        <v>14421</v>
      </c>
      <c r="BC1483" s="3" t="s">
        <v>142</v>
      </c>
      <c r="BD1483" s="3" t="s">
        <v>68</v>
      </c>
      <c r="BE1483" s="3" t="s">
        <v>14419</v>
      </c>
      <c r="BF1483" s="3" t="s">
        <v>14421</v>
      </c>
      <c r="BG1483" s="3" t="s">
        <v>14422</v>
      </c>
    </row>
    <row r="1484" spans="1:59" ht="71.25" x14ac:dyDescent="0.45">
      <c r="A1484" s="2" t="s">
        <v>59</v>
      </c>
      <c r="B1484" s="2" t="s">
        <v>13360</v>
      </c>
      <c r="C1484" s="2" t="s">
        <v>14423</v>
      </c>
      <c r="D1484" s="2" t="s">
        <v>14424</v>
      </c>
      <c r="E1484" s="2" t="s">
        <v>14425</v>
      </c>
      <c r="G1484" s="3" t="s">
        <v>62</v>
      </c>
      <c r="I1484" s="3" t="s">
        <v>62</v>
      </c>
      <c r="J1484" s="3" t="s">
        <v>61</v>
      </c>
      <c r="K1484" s="3" t="s">
        <v>63</v>
      </c>
      <c r="L1484" s="2" t="s">
        <v>14426</v>
      </c>
      <c r="M1484" s="2" t="s">
        <v>14427</v>
      </c>
      <c r="N1484" s="3" t="s">
        <v>208</v>
      </c>
      <c r="P1484" s="3" t="s">
        <v>65</v>
      </c>
      <c r="R1484" s="3" t="s">
        <v>66</v>
      </c>
      <c r="S1484" s="4">
        <v>4</v>
      </c>
      <c r="T1484" s="4">
        <v>4</v>
      </c>
      <c r="U1484" s="5" t="s">
        <v>723</v>
      </c>
      <c r="V1484" s="5" t="s">
        <v>723</v>
      </c>
      <c r="W1484" s="5" t="s">
        <v>67</v>
      </c>
      <c r="X1484" s="5" t="s">
        <v>67</v>
      </c>
      <c r="Y1484" s="4">
        <v>326</v>
      </c>
      <c r="Z1484" s="4">
        <v>16</v>
      </c>
      <c r="AA1484" s="4">
        <v>58</v>
      </c>
      <c r="AB1484" s="4">
        <v>2</v>
      </c>
      <c r="AC1484" s="4">
        <v>8</v>
      </c>
      <c r="AD1484" s="4">
        <v>72</v>
      </c>
      <c r="AE1484" s="4">
        <v>97</v>
      </c>
      <c r="AF1484" s="4">
        <v>1</v>
      </c>
      <c r="AG1484" s="4">
        <v>4</v>
      </c>
      <c r="AH1484" s="4">
        <v>64</v>
      </c>
      <c r="AI1484" s="4">
        <v>74</v>
      </c>
      <c r="AJ1484" s="4">
        <v>6</v>
      </c>
      <c r="AK1484" s="4">
        <v>15</v>
      </c>
      <c r="AL1484" s="4">
        <v>42</v>
      </c>
      <c r="AM1484" s="4">
        <v>45</v>
      </c>
      <c r="AN1484" s="4">
        <v>0</v>
      </c>
      <c r="AO1484" s="4">
        <v>0</v>
      </c>
      <c r="AP1484" s="4">
        <v>8</v>
      </c>
      <c r="AQ1484" s="4">
        <v>26</v>
      </c>
      <c r="AR1484" s="3" t="s">
        <v>62</v>
      </c>
      <c r="AS1484" s="3" t="s">
        <v>62</v>
      </c>
      <c r="AT1484" s="3" t="s">
        <v>62</v>
      </c>
      <c r="AV1484" s="6" t="str">
        <f>HYPERLINK("http://mcgill.on.worldcat.org/oclc/890360375","Catalog Record")</f>
        <v>Catalog Record</v>
      </c>
      <c r="AW1484" s="6" t="str">
        <f>HYPERLINK("http://www.worldcat.org/oclc/890360375","WorldCat Record")</f>
        <v>WorldCat Record</v>
      </c>
      <c r="AX1484" s="3" t="s">
        <v>14428</v>
      </c>
      <c r="AY1484" s="3" t="s">
        <v>14429</v>
      </c>
      <c r="AZ1484" s="3" t="s">
        <v>14430</v>
      </c>
      <c r="BA1484" s="3" t="s">
        <v>14430</v>
      </c>
      <c r="BB1484" s="3" t="s">
        <v>14431</v>
      </c>
      <c r="BC1484" s="3" t="s">
        <v>142</v>
      </c>
      <c r="BD1484" s="3" t="s">
        <v>308</v>
      </c>
      <c r="BE1484" s="3" t="s">
        <v>14432</v>
      </c>
      <c r="BF1484" s="3" t="s">
        <v>14431</v>
      </c>
      <c r="BG1484" s="3" t="s">
        <v>14433</v>
      </c>
    </row>
    <row r="1485" spans="1:59" ht="57" x14ac:dyDescent="0.45">
      <c r="A1485" s="2" t="s">
        <v>59</v>
      </c>
      <c r="B1485" s="2" t="s">
        <v>60</v>
      </c>
      <c r="C1485" s="2" t="s">
        <v>14434</v>
      </c>
      <c r="D1485" s="2" t="s">
        <v>14435</v>
      </c>
      <c r="E1485" s="2" t="s">
        <v>14436</v>
      </c>
      <c r="G1485" s="3" t="s">
        <v>62</v>
      </c>
      <c r="I1485" s="3" t="s">
        <v>62</v>
      </c>
      <c r="J1485" s="3" t="s">
        <v>61</v>
      </c>
      <c r="K1485" s="3" t="s">
        <v>63</v>
      </c>
      <c r="L1485" s="2" t="s">
        <v>14426</v>
      </c>
      <c r="M1485" s="2" t="s">
        <v>14437</v>
      </c>
      <c r="N1485" s="3" t="s">
        <v>181</v>
      </c>
      <c r="O1485" s="2" t="s">
        <v>14438</v>
      </c>
      <c r="P1485" s="3" t="s">
        <v>65</v>
      </c>
      <c r="R1485" s="3" t="s">
        <v>66</v>
      </c>
      <c r="S1485" s="4">
        <v>8</v>
      </c>
      <c r="T1485" s="4">
        <v>8</v>
      </c>
      <c r="U1485" s="5" t="s">
        <v>998</v>
      </c>
      <c r="V1485" s="5" t="s">
        <v>998</v>
      </c>
      <c r="W1485" s="5" t="s">
        <v>67</v>
      </c>
      <c r="X1485" s="5" t="s">
        <v>67</v>
      </c>
      <c r="Y1485" s="4">
        <v>26</v>
      </c>
      <c r="Z1485" s="4">
        <v>8</v>
      </c>
      <c r="AA1485" s="4">
        <v>58</v>
      </c>
      <c r="AB1485" s="4">
        <v>2</v>
      </c>
      <c r="AC1485" s="4">
        <v>8</v>
      </c>
      <c r="AD1485" s="4">
        <v>7</v>
      </c>
      <c r="AE1485" s="4">
        <v>97</v>
      </c>
      <c r="AF1485" s="4">
        <v>0</v>
      </c>
      <c r="AG1485" s="4">
        <v>4</v>
      </c>
      <c r="AH1485" s="4">
        <v>5</v>
      </c>
      <c r="AI1485" s="4">
        <v>74</v>
      </c>
      <c r="AJ1485" s="4">
        <v>3</v>
      </c>
      <c r="AK1485" s="4">
        <v>15</v>
      </c>
      <c r="AL1485" s="4">
        <v>3</v>
      </c>
      <c r="AM1485" s="4">
        <v>45</v>
      </c>
      <c r="AN1485" s="4">
        <v>0</v>
      </c>
      <c r="AO1485" s="4">
        <v>0</v>
      </c>
      <c r="AP1485" s="4">
        <v>5</v>
      </c>
      <c r="AQ1485" s="4">
        <v>26</v>
      </c>
      <c r="AR1485" s="3" t="s">
        <v>62</v>
      </c>
      <c r="AS1485" s="3" t="s">
        <v>62</v>
      </c>
      <c r="AT1485" s="3" t="s">
        <v>62</v>
      </c>
      <c r="AV1485" s="6" t="str">
        <f>HYPERLINK("http://mcgill.on.worldcat.org/oclc/944157471","Catalog Record")</f>
        <v>Catalog Record</v>
      </c>
      <c r="AW1485" s="6" t="str">
        <f>HYPERLINK("http://www.worldcat.org/oclc/944157471","WorldCat Record")</f>
        <v>WorldCat Record</v>
      </c>
      <c r="AX1485" s="3" t="s">
        <v>14428</v>
      </c>
      <c r="AY1485" s="3" t="s">
        <v>14439</v>
      </c>
      <c r="AZ1485" s="3" t="s">
        <v>14440</v>
      </c>
      <c r="BA1485" s="3" t="s">
        <v>14440</v>
      </c>
      <c r="BB1485" s="3" t="s">
        <v>14441</v>
      </c>
      <c r="BC1485" s="3" t="s">
        <v>142</v>
      </c>
      <c r="BD1485" s="3" t="s">
        <v>68</v>
      </c>
      <c r="BE1485" s="3" t="s">
        <v>14442</v>
      </c>
      <c r="BF1485" s="3" t="s">
        <v>14441</v>
      </c>
      <c r="BG1485" s="3" t="s">
        <v>14443</v>
      </c>
    </row>
    <row r="1486" spans="1:59" ht="57" x14ac:dyDescent="0.45">
      <c r="A1486" s="2" t="s">
        <v>59</v>
      </c>
      <c r="B1486" s="2" t="s">
        <v>60</v>
      </c>
      <c r="C1486" s="2" t="s">
        <v>14444</v>
      </c>
      <c r="D1486" s="2" t="s">
        <v>14445</v>
      </c>
      <c r="E1486" s="2" t="s">
        <v>14446</v>
      </c>
      <c r="G1486" s="3" t="s">
        <v>62</v>
      </c>
      <c r="I1486" s="3" t="s">
        <v>62</v>
      </c>
      <c r="J1486" s="3" t="s">
        <v>62</v>
      </c>
      <c r="K1486" s="3" t="s">
        <v>63</v>
      </c>
      <c r="M1486" s="2" t="s">
        <v>14447</v>
      </c>
      <c r="N1486" s="3" t="s">
        <v>2417</v>
      </c>
      <c r="P1486" s="3" t="s">
        <v>65</v>
      </c>
      <c r="Q1486" s="2" t="s">
        <v>14448</v>
      </c>
      <c r="R1486" s="3" t="s">
        <v>66</v>
      </c>
      <c r="S1486" s="4">
        <v>33</v>
      </c>
      <c r="T1486" s="4">
        <v>33</v>
      </c>
      <c r="U1486" s="5" t="s">
        <v>2173</v>
      </c>
      <c r="V1486" s="5" t="s">
        <v>2173</v>
      </c>
      <c r="W1486" s="5" t="s">
        <v>67</v>
      </c>
      <c r="X1486" s="5" t="s">
        <v>67</v>
      </c>
      <c r="Y1486" s="4">
        <v>439</v>
      </c>
      <c r="Z1486" s="4">
        <v>31</v>
      </c>
      <c r="AA1486" s="4">
        <v>40</v>
      </c>
      <c r="AB1486" s="4">
        <v>3</v>
      </c>
      <c r="AC1486" s="4">
        <v>9</v>
      </c>
      <c r="AD1486" s="4">
        <v>111</v>
      </c>
      <c r="AE1486" s="4">
        <v>122</v>
      </c>
      <c r="AF1486" s="4">
        <v>1</v>
      </c>
      <c r="AG1486" s="4">
        <v>6</v>
      </c>
      <c r="AH1486" s="4">
        <v>97</v>
      </c>
      <c r="AI1486" s="4">
        <v>101</v>
      </c>
      <c r="AJ1486" s="4">
        <v>18</v>
      </c>
      <c r="AK1486" s="4">
        <v>22</v>
      </c>
      <c r="AL1486" s="4">
        <v>50</v>
      </c>
      <c r="AM1486" s="4">
        <v>51</v>
      </c>
      <c r="AN1486" s="4">
        <v>0</v>
      </c>
      <c r="AO1486" s="4">
        <v>0</v>
      </c>
      <c r="AP1486" s="4">
        <v>24</v>
      </c>
      <c r="AQ1486" s="4">
        <v>31</v>
      </c>
      <c r="AR1486" s="3" t="s">
        <v>62</v>
      </c>
      <c r="AS1486" s="3" t="s">
        <v>62</v>
      </c>
      <c r="AT1486" s="3" t="s">
        <v>61</v>
      </c>
      <c r="AU1486" s="6" t="str">
        <f>HYPERLINK("http://catalog.hathitrust.org/Record/000924700","HathiTrust Record")</f>
        <v>HathiTrust Record</v>
      </c>
      <c r="AV1486" s="6" t="str">
        <f>HYPERLINK("http://mcgill.on.worldcat.org/oclc/17106342","Catalog Record")</f>
        <v>Catalog Record</v>
      </c>
      <c r="AW1486" s="6" t="str">
        <f>HYPERLINK("http://www.worldcat.org/oclc/17106342","WorldCat Record")</f>
        <v>WorldCat Record</v>
      </c>
      <c r="AX1486" s="3" t="s">
        <v>14449</v>
      </c>
      <c r="AY1486" s="3" t="s">
        <v>14450</v>
      </c>
      <c r="AZ1486" s="3" t="s">
        <v>14451</v>
      </c>
      <c r="BA1486" s="3" t="s">
        <v>14451</v>
      </c>
      <c r="BB1486" s="3" t="s">
        <v>14452</v>
      </c>
      <c r="BC1486" s="3" t="s">
        <v>142</v>
      </c>
      <c r="BD1486" s="3" t="s">
        <v>68</v>
      </c>
      <c r="BE1486" s="3" t="s">
        <v>14453</v>
      </c>
      <c r="BF1486" s="3" t="s">
        <v>14452</v>
      </c>
      <c r="BG1486" s="3" t="s">
        <v>14454</v>
      </c>
    </row>
    <row r="1487" spans="1:59" ht="57" x14ac:dyDescent="0.45">
      <c r="A1487" s="2" t="s">
        <v>59</v>
      </c>
      <c r="B1487" s="2" t="s">
        <v>60</v>
      </c>
      <c r="C1487" s="2" t="s">
        <v>14455</v>
      </c>
      <c r="D1487" s="2" t="s">
        <v>14456</v>
      </c>
      <c r="E1487" s="2" t="s">
        <v>14457</v>
      </c>
      <c r="F1487" s="3" t="s">
        <v>90</v>
      </c>
      <c r="G1487" s="3" t="s">
        <v>61</v>
      </c>
      <c r="I1487" s="3" t="s">
        <v>62</v>
      </c>
      <c r="J1487" s="3" t="s">
        <v>62</v>
      </c>
      <c r="K1487" s="3" t="s">
        <v>63</v>
      </c>
      <c r="M1487" s="2" t="s">
        <v>14458</v>
      </c>
      <c r="N1487" s="3" t="s">
        <v>1239</v>
      </c>
      <c r="P1487" s="3" t="s">
        <v>65</v>
      </c>
      <c r="R1487" s="3" t="s">
        <v>66</v>
      </c>
      <c r="S1487" s="4">
        <v>22</v>
      </c>
      <c r="T1487" s="4">
        <v>22</v>
      </c>
      <c r="U1487" s="5" t="s">
        <v>7845</v>
      </c>
      <c r="V1487" s="5" t="s">
        <v>7845</v>
      </c>
      <c r="W1487" s="5" t="s">
        <v>67</v>
      </c>
      <c r="X1487" s="5" t="s">
        <v>67</v>
      </c>
      <c r="Y1487" s="4">
        <v>422</v>
      </c>
      <c r="Z1487" s="4">
        <v>22</v>
      </c>
      <c r="AA1487" s="4">
        <v>29</v>
      </c>
      <c r="AB1487" s="4">
        <v>2</v>
      </c>
      <c r="AC1487" s="4">
        <v>8</v>
      </c>
      <c r="AD1487" s="4">
        <v>100</v>
      </c>
      <c r="AE1487" s="4">
        <v>104</v>
      </c>
      <c r="AF1487" s="4">
        <v>1</v>
      </c>
      <c r="AG1487" s="4">
        <v>5</v>
      </c>
      <c r="AH1487" s="4">
        <v>93</v>
      </c>
      <c r="AI1487" s="4">
        <v>94</v>
      </c>
      <c r="AJ1487" s="4">
        <v>17</v>
      </c>
      <c r="AK1487" s="4">
        <v>21</v>
      </c>
      <c r="AL1487" s="4">
        <v>45</v>
      </c>
      <c r="AM1487" s="4">
        <v>45</v>
      </c>
      <c r="AN1487" s="4">
        <v>0</v>
      </c>
      <c r="AO1487" s="4">
        <v>0</v>
      </c>
      <c r="AP1487" s="4">
        <v>17</v>
      </c>
      <c r="AQ1487" s="4">
        <v>20</v>
      </c>
      <c r="AR1487" s="3" t="s">
        <v>62</v>
      </c>
      <c r="AS1487" s="3" t="s">
        <v>62</v>
      </c>
      <c r="AT1487" s="3" t="s">
        <v>61</v>
      </c>
      <c r="AU1487" s="6" t="str">
        <f>HYPERLINK("http://catalog.hathitrust.org/Record/001818662","HathiTrust Record")</f>
        <v>HathiTrust Record</v>
      </c>
      <c r="AV1487" s="6" t="str">
        <f>HYPERLINK("http://mcgill.on.worldcat.org/oclc/18815667","Catalog Record")</f>
        <v>Catalog Record</v>
      </c>
      <c r="AW1487" s="6" t="str">
        <f>HYPERLINK("http://www.worldcat.org/oclc/18815667","WorldCat Record")</f>
        <v>WorldCat Record</v>
      </c>
      <c r="AX1487" s="3" t="s">
        <v>14459</v>
      </c>
      <c r="AY1487" s="3" t="s">
        <v>14460</v>
      </c>
      <c r="AZ1487" s="3" t="s">
        <v>14461</v>
      </c>
      <c r="BA1487" s="3" t="s">
        <v>14461</v>
      </c>
      <c r="BB1487" s="3" t="s">
        <v>14462</v>
      </c>
      <c r="BC1487" s="3" t="s">
        <v>142</v>
      </c>
      <c r="BD1487" s="3" t="s">
        <v>68</v>
      </c>
      <c r="BE1487" s="3" t="s">
        <v>14463</v>
      </c>
      <c r="BF1487" s="3" t="s">
        <v>14462</v>
      </c>
      <c r="BG1487" s="3" t="s">
        <v>14464</v>
      </c>
    </row>
    <row r="1488" spans="1:59" ht="57" x14ac:dyDescent="0.45">
      <c r="A1488" s="2" t="s">
        <v>59</v>
      </c>
      <c r="B1488" s="2" t="s">
        <v>60</v>
      </c>
      <c r="C1488" s="2" t="s">
        <v>14465</v>
      </c>
      <c r="D1488" s="2" t="s">
        <v>14466</v>
      </c>
      <c r="E1488" s="2" t="s">
        <v>14467</v>
      </c>
      <c r="G1488" s="3" t="s">
        <v>62</v>
      </c>
      <c r="I1488" s="3" t="s">
        <v>62</v>
      </c>
      <c r="J1488" s="3" t="s">
        <v>62</v>
      </c>
      <c r="K1488" s="3" t="s">
        <v>63</v>
      </c>
      <c r="M1488" s="2" t="s">
        <v>14468</v>
      </c>
      <c r="N1488" s="3" t="s">
        <v>149</v>
      </c>
      <c r="P1488" s="3" t="s">
        <v>65</v>
      </c>
      <c r="Q1488" s="2" t="s">
        <v>14208</v>
      </c>
      <c r="R1488" s="3" t="s">
        <v>66</v>
      </c>
      <c r="S1488" s="4">
        <v>0</v>
      </c>
      <c r="T1488" s="4">
        <v>0</v>
      </c>
      <c r="W1488" s="5" t="s">
        <v>67</v>
      </c>
      <c r="X1488" s="5" t="s">
        <v>67</v>
      </c>
      <c r="Y1488" s="4">
        <v>141</v>
      </c>
      <c r="Z1488" s="4">
        <v>19</v>
      </c>
      <c r="AA1488" s="4">
        <v>20</v>
      </c>
      <c r="AB1488" s="4">
        <v>2</v>
      </c>
      <c r="AC1488" s="4">
        <v>3</v>
      </c>
      <c r="AD1488" s="4">
        <v>67</v>
      </c>
      <c r="AE1488" s="4">
        <v>68</v>
      </c>
      <c r="AF1488" s="4">
        <v>1</v>
      </c>
      <c r="AG1488" s="4">
        <v>2</v>
      </c>
      <c r="AH1488" s="4">
        <v>60</v>
      </c>
      <c r="AI1488" s="4">
        <v>60</v>
      </c>
      <c r="AJ1488" s="4">
        <v>15</v>
      </c>
      <c r="AK1488" s="4">
        <v>15</v>
      </c>
      <c r="AL1488" s="4">
        <v>37</v>
      </c>
      <c r="AM1488" s="4">
        <v>37</v>
      </c>
      <c r="AN1488" s="4">
        <v>0</v>
      </c>
      <c r="AO1488" s="4">
        <v>0</v>
      </c>
      <c r="AP1488" s="4">
        <v>16</v>
      </c>
      <c r="AQ1488" s="4">
        <v>17</v>
      </c>
      <c r="AR1488" s="3" t="s">
        <v>62</v>
      </c>
      <c r="AS1488" s="3" t="s">
        <v>62</v>
      </c>
      <c r="AT1488" s="3" t="s">
        <v>62</v>
      </c>
      <c r="AV1488" s="6" t="str">
        <f>HYPERLINK("http://mcgill.on.worldcat.org/oclc/611965145","Catalog Record")</f>
        <v>Catalog Record</v>
      </c>
      <c r="AW1488" s="6" t="str">
        <f>HYPERLINK("http://www.worldcat.org/oclc/611965145","WorldCat Record")</f>
        <v>WorldCat Record</v>
      </c>
      <c r="AX1488" s="3" t="s">
        <v>14469</v>
      </c>
      <c r="AY1488" s="3" t="s">
        <v>14470</v>
      </c>
      <c r="AZ1488" s="3" t="s">
        <v>14471</v>
      </c>
      <c r="BA1488" s="3" t="s">
        <v>14471</v>
      </c>
      <c r="BB1488" s="3" t="s">
        <v>14472</v>
      </c>
      <c r="BC1488" s="3" t="s">
        <v>142</v>
      </c>
      <c r="BD1488" s="3" t="s">
        <v>68</v>
      </c>
      <c r="BE1488" s="3" t="s">
        <v>14473</v>
      </c>
      <c r="BF1488" s="3" t="s">
        <v>14472</v>
      </c>
      <c r="BG1488" s="3" t="s">
        <v>14474</v>
      </c>
    </row>
    <row r="1489" spans="1:59" ht="57" x14ac:dyDescent="0.45">
      <c r="A1489" s="2" t="s">
        <v>59</v>
      </c>
      <c r="B1489" s="2" t="s">
        <v>60</v>
      </c>
      <c r="C1489" s="2" t="s">
        <v>14475</v>
      </c>
      <c r="D1489" s="2" t="s">
        <v>14476</v>
      </c>
      <c r="E1489" s="2" t="s">
        <v>14477</v>
      </c>
      <c r="G1489" s="3" t="s">
        <v>62</v>
      </c>
      <c r="I1489" s="3" t="s">
        <v>62</v>
      </c>
      <c r="J1489" s="3" t="s">
        <v>61</v>
      </c>
      <c r="K1489" s="3" t="s">
        <v>63</v>
      </c>
      <c r="L1489" s="2" t="s">
        <v>13938</v>
      </c>
      <c r="M1489" s="2" t="s">
        <v>14478</v>
      </c>
      <c r="N1489" s="3" t="s">
        <v>1478</v>
      </c>
      <c r="O1489" s="2" t="s">
        <v>933</v>
      </c>
      <c r="P1489" s="3" t="s">
        <v>65</v>
      </c>
      <c r="R1489" s="3" t="s">
        <v>66</v>
      </c>
      <c r="S1489" s="4">
        <v>30</v>
      </c>
      <c r="T1489" s="4">
        <v>30</v>
      </c>
      <c r="U1489" s="5" t="s">
        <v>12896</v>
      </c>
      <c r="V1489" s="5" t="s">
        <v>12896</v>
      </c>
      <c r="W1489" s="5" t="s">
        <v>67</v>
      </c>
      <c r="X1489" s="5" t="s">
        <v>67</v>
      </c>
      <c r="Y1489" s="4">
        <v>315</v>
      </c>
      <c r="Z1489" s="4">
        <v>15</v>
      </c>
      <c r="AA1489" s="4">
        <v>31</v>
      </c>
      <c r="AB1489" s="4">
        <v>2</v>
      </c>
      <c r="AC1489" s="4">
        <v>6</v>
      </c>
      <c r="AD1489" s="4">
        <v>78</v>
      </c>
      <c r="AE1489" s="4">
        <v>116</v>
      </c>
      <c r="AF1489" s="4">
        <v>1</v>
      </c>
      <c r="AG1489" s="4">
        <v>4</v>
      </c>
      <c r="AH1489" s="4">
        <v>72</v>
      </c>
      <c r="AI1489" s="4">
        <v>100</v>
      </c>
      <c r="AJ1489" s="4">
        <v>10</v>
      </c>
      <c r="AK1489" s="4">
        <v>20</v>
      </c>
      <c r="AL1489" s="4">
        <v>36</v>
      </c>
      <c r="AM1489" s="4">
        <v>50</v>
      </c>
      <c r="AN1489" s="4">
        <v>0</v>
      </c>
      <c r="AO1489" s="4">
        <v>0</v>
      </c>
      <c r="AP1489" s="4">
        <v>11</v>
      </c>
      <c r="AQ1489" s="4">
        <v>25</v>
      </c>
      <c r="AR1489" s="3" t="s">
        <v>62</v>
      </c>
      <c r="AS1489" s="3" t="s">
        <v>62</v>
      </c>
      <c r="AT1489" s="3" t="s">
        <v>61</v>
      </c>
      <c r="AU1489" s="6" t="str">
        <f>HYPERLINK("http://catalog.hathitrust.org/Record/003002243","HathiTrust Record")</f>
        <v>HathiTrust Record</v>
      </c>
      <c r="AV1489" s="6" t="str">
        <f>HYPERLINK("http://mcgill.on.worldcat.org/oclc/30815851","Catalog Record")</f>
        <v>Catalog Record</v>
      </c>
      <c r="AW1489" s="6" t="str">
        <f>HYPERLINK("http://www.worldcat.org/oclc/30815851","WorldCat Record")</f>
        <v>WorldCat Record</v>
      </c>
      <c r="AX1489" s="3" t="s">
        <v>14479</v>
      </c>
      <c r="AY1489" s="3" t="s">
        <v>14480</v>
      </c>
      <c r="AZ1489" s="3" t="s">
        <v>14481</v>
      </c>
      <c r="BA1489" s="3" t="s">
        <v>14481</v>
      </c>
      <c r="BB1489" s="3" t="s">
        <v>14482</v>
      </c>
      <c r="BC1489" s="3" t="s">
        <v>142</v>
      </c>
      <c r="BD1489" s="3" t="s">
        <v>68</v>
      </c>
      <c r="BE1489" s="3" t="s">
        <v>14483</v>
      </c>
      <c r="BF1489" s="3" t="s">
        <v>14482</v>
      </c>
      <c r="BG1489" s="3" t="s">
        <v>14484</v>
      </c>
    </row>
    <row r="1490" spans="1:59" ht="57" x14ac:dyDescent="0.45">
      <c r="A1490" s="2" t="s">
        <v>59</v>
      </c>
      <c r="B1490" s="2" t="s">
        <v>60</v>
      </c>
      <c r="C1490" s="2" t="s">
        <v>14485</v>
      </c>
      <c r="D1490" s="2" t="s">
        <v>14486</v>
      </c>
      <c r="E1490" s="2" t="s">
        <v>14487</v>
      </c>
      <c r="G1490" s="3" t="s">
        <v>62</v>
      </c>
      <c r="I1490" s="3" t="s">
        <v>62</v>
      </c>
      <c r="J1490" s="3" t="s">
        <v>62</v>
      </c>
      <c r="K1490" s="3" t="s">
        <v>63</v>
      </c>
      <c r="L1490" s="2" t="s">
        <v>13938</v>
      </c>
      <c r="M1490" s="2" t="s">
        <v>12999</v>
      </c>
      <c r="N1490" s="3" t="s">
        <v>116</v>
      </c>
      <c r="O1490" s="2" t="s">
        <v>14488</v>
      </c>
      <c r="P1490" s="3" t="s">
        <v>65</v>
      </c>
      <c r="R1490" s="3" t="s">
        <v>66</v>
      </c>
      <c r="S1490" s="4">
        <v>2</v>
      </c>
      <c r="T1490" s="4">
        <v>2</v>
      </c>
      <c r="U1490" s="5" t="s">
        <v>12896</v>
      </c>
      <c r="V1490" s="5" t="s">
        <v>12896</v>
      </c>
      <c r="W1490" s="5" t="s">
        <v>67</v>
      </c>
      <c r="X1490" s="5" t="s">
        <v>67</v>
      </c>
      <c r="Y1490" s="4">
        <v>13</v>
      </c>
      <c r="Z1490" s="4">
        <v>2</v>
      </c>
      <c r="AA1490" s="4">
        <v>28</v>
      </c>
      <c r="AB1490" s="4">
        <v>1</v>
      </c>
      <c r="AC1490" s="4">
        <v>8</v>
      </c>
      <c r="AD1490" s="4">
        <v>2</v>
      </c>
      <c r="AE1490" s="4">
        <v>65</v>
      </c>
      <c r="AF1490" s="4">
        <v>0</v>
      </c>
      <c r="AG1490" s="4">
        <v>3</v>
      </c>
      <c r="AH1490" s="4">
        <v>2</v>
      </c>
      <c r="AI1490" s="4">
        <v>56</v>
      </c>
      <c r="AJ1490" s="4">
        <v>0</v>
      </c>
      <c r="AK1490" s="4">
        <v>14</v>
      </c>
      <c r="AL1490" s="4">
        <v>2</v>
      </c>
      <c r="AM1490" s="4">
        <v>33</v>
      </c>
      <c r="AN1490" s="4">
        <v>0</v>
      </c>
      <c r="AO1490" s="4">
        <v>0</v>
      </c>
      <c r="AP1490" s="4">
        <v>0</v>
      </c>
      <c r="AQ1490" s="4">
        <v>16</v>
      </c>
      <c r="AR1490" s="3" t="s">
        <v>62</v>
      </c>
      <c r="AS1490" s="3" t="s">
        <v>62</v>
      </c>
      <c r="AT1490" s="3" t="s">
        <v>62</v>
      </c>
      <c r="AV1490" s="6" t="str">
        <f>HYPERLINK("http://mcgill.on.worldcat.org/oclc/864535114","Catalog Record")</f>
        <v>Catalog Record</v>
      </c>
      <c r="AW1490" s="6" t="str">
        <f>HYPERLINK("http://www.worldcat.org/oclc/864535114","WorldCat Record")</f>
        <v>WorldCat Record</v>
      </c>
      <c r="AX1490" s="3" t="s">
        <v>14489</v>
      </c>
      <c r="AY1490" s="3" t="s">
        <v>14490</v>
      </c>
      <c r="AZ1490" s="3" t="s">
        <v>14491</v>
      </c>
      <c r="BA1490" s="3" t="s">
        <v>14491</v>
      </c>
      <c r="BB1490" s="3" t="s">
        <v>14492</v>
      </c>
      <c r="BC1490" s="3" t="s">
        <v>142</v>
      </c>
      <c r="BD1490" s="3" t="s">
        <v>68</v>
      </c>
      <c r="BE1490" s="3" t="s">
        <v>14493</v>
      </c>
      <c r="BF1490" s="3" t="s">
        <v>14492</v>
      </c>
      <c r="BG1490" s="3" t="s">
        <v>14494</v>
      </c>
    </row>
    <row r="1491" spans="1:59" ht="57" x14ac:dyDescent="0.45">
      <c r="A1491" s="2" t="s">
        <v>59</v>
      </c>
      <c r="B1491" s="2" t="s">
        <v>60</v>
      </c>
      <c r="C1491" s="2" t="s">
        <v>14495</v>
      </c>
      <c r="D1491" s="2" t="s">
        <v>14496</v>
      </c>
      <c r="E1491" s="2" t="s">
        <v>14497</v>
      </c>
      <c r="G1491" s="3" t="s">
        <v>62</v>
      </c>
      <c r="I1491" s="3" t="s">
        <v>61</v>
      </c>
      <c r="J1491" s="3" t="s">
        <v>61</v>
      </c>
      <c r="K1491" s="3" t="s">
        <v>63</v>
      </c>
      <c r="L1491" s="2" t="s">
        <v>14498</v>
      </c>
      <c r="M1491" s="2" t="s">
        <v>14499</v>
      </c>
      <c r="N1491" s="3" t="s">
        <v>135</v>
      </c>
      <c r="P1491" s="3" t="s">
        <v>65</v>
      </c>
      <c r="Q1491" s="2" t="s">
        <v>14500</v>
      </c>
      <c r="R1491" s="3" t="s">
        <v>66</v>
      </c>
      <c r="S1491" s="4">
        <v>13</v>
      </c>
      <c r="T1491" s="4">
        <v>13</v>
      </c>
      <c r="U1491" s="5" t="s">
        <v>13846</v>
      </c>
      <c r="V1491" s="5" t="s">
        <v>13846</v>
      </c>
      <c r="W1491" s="5" t="s">
        <v>67</v>
      </c>
      <c r="X1491" s="5" t="s">
        <v>67</v>
      </c>
      <c r="Y1491" s="4">
        <v>12</v>
      </c>
      <c r="Z1491" s="4">
        <v>3</v>
      </c>
      <c r="AA1491" s="4">
        <v>41</v>
      </c>
      <c r="AB1491" s="4">
        <v>1</v>
      </c>
      <c r="AC1491" s="4">
        <v>6</v>
      </c>
      <c r="AD1491" s="4">
        <v>4</v>
      </c>
      <c r="AE1491" s="4">
        <v>122</v>
      </c>
      <c r="AF1491" s="4">
        <v>0</v>
      </c>
      <c r="AG1491" s="4">
        <v>3</v>
      </c>
      <c r="AH1491" s="4">
        <v>1</v>
      </c>
      <c r="AI1491" s="4">
        <v>100</v>
      </c>
      <c r="AJ1491" s="4">
        <v>0</v>
      </c>
      <c r="AK1491" s="4">
        <v>22</v>
      </c>
      <c r="AL1491" s="4">
        <v>2</v>
      </c>
      <c r="AM1491" s="4">
        <v>55</v>
      </c>
      <c r="AN1491" s="4">
        <v>0</v>
      </c>
      <c r="AO1491" s="4">
        <v>0</v>
      </c>
      <c r="AP1491" s="4">
        <v>2</v>
      </c>
      <c r="AQ1491" s="4">
        <v>29</v>
      </c>
      <c r="AR1491" s="3" t="s">
        <v>62</v>
      </c>
      <c r="AS1491" s="3" t="s">
        <v>62</v>
      </c>
      <c r="AT1491" s="3" t="s">
        <v>62</v>
      </c>
      <c r="AV1491" s="6" t="str">
        <f>HYPERLINK("http://mcgill.on.worldcat.org/oclc/223362361","Catalog Record")</f>
        <v>Catalog Record</v>
      </c>
      <c r="AW1491" s="6" t="str">
        <f>HYPERLINK("http://www.worldcat.org/oclc/223362361","WorldCat Record")</f>
        <v>WorldCat Record</v>
      </c>
      <c r="AX1491" s="3" t="s">
        <v>14501</v>
      </c>
      <c r="AY1491" s="3" t="s">
        <v>14502</v>
      </c>
      <c r="AZ1491" s="3" t="s">
        <v>14503</v>
      </c>
      <c r="BA1491" s="3" t="s">
        <v>14503</v>
      </c>
      <c r="BB1491" s="3" t="s">
        <v>14504</v>
      </c>
      <c r="BC1491" s="3" t="s">
        <v>142</v>
      </c>
      <c r="BD1491" s="3" t="s">
        <v>68</v>
      </c>
      <c r="BE1491" s="3" t="s">
        <v>14505</v>
      </c>
      <c r="BF1491" s="3" t="s">
        <v>14504</v>
      </c>
      <c r="BG1491" s="3" t="s">
        <v>14506</v>
      </c>
    </row>
    <row r="1492" spans="1:59" ht="57" x14ac:dyDescent="0.45">
      <c r="A1492" s="2" t="s">
        <v>59</v>
      </c>
      <c r="B1492" s="2" t="s">
        <v>60</v>
      </c>
      <c r="C1492" s="2" t="s">
        <v>14495</v>
      </c>
      <c r="D1492" s="2" t="s">
        <v>14496</v>
      </c>
      <c r="E1492" s="2" t="s">
        <v>14497</v>
      </c>
      <c r="G1492" s="3" t="s">
        <v>62</v>
      </c>
      <c r="I1492" s="3" t="s">
        <v>61</v>
      </c>
      <c r="J1492" s="3" t="s">
        <v>61</v>
      </c>
      <c r="K1492" s="3" t="s">
        <v>63</v>
      </c>
      <c r="L1492" s="2" t="s">
        <v>14498</v>
      </c>
      <c r="M1492" s="2" t="s">
        <v>14499</v>
      </c>
      <c r="N1492" s="3" t="s">
        <v>135</v>
      </c>
      <c r="P1492" s="3" t="s">
        <v>65</v>
      </c>
      <c r="Q1492" s="2" t="s">
        <v>14500</v>
      </c>
      <c r="R1492" s="3" t="s">
        <v>66</v>
      </c>
      <c r="S1492" s="4">
        <v>0</v>
      </c>
      <c r="T1492" s="4">
        <v>13</v>
      </c>
      <c r="V1492" s="5" t="s">
        <v>13846</v>
      </c>
      <c r="W1492" s="5" t="s">
        <v>67</v>
      </c>
      <c r="X1492" s="5" t="s">
        <v>67</v>
      </c>
      <c r="Y1492" s="4">
        <v>12</v>
      </c>
      <c r="Z1492" s="4">
        <v>3</v>
      </c>
      <c r="AA1492" s="4">
        <v>41</v>
      </c>
      <c r="AB1492" s="4">
        <v>1</v>
      </c>
      <c r="AC1492" s="4">
        <v>6</v>
      </c>
      <c r="AD1492" s="4">
        <v>4</v>
      </c>
      <c r="AE1492" s="4">
        <v>122</v>
      </c>
      <c r="AF1492" s="4">
        <v>0</v>
      </c>
      <c r="AG1492" s="4">
        <v>3</v>
      </c>
      <c r="AH1492" s="4">
        <v>1</v>
      </c>
      <c r="AI1492" s="4">
        <v>100</v>
      </c>
      <c r="AJ1492" s="4">
        <v>0</v>
      </c>
      <c r="AK1492" s="4">
        <v>22</v>
      </c>
      <c r="AL1492" s="4">
        <v>2</v>
      </c>
      <c r="AM1492" s="4">
        <v>55</v>
      </c>
      <c r="AN1492" s="4">
        <v>0</v>
      </c>
      <c r="AO1492" s="4">
        <v>0</v>
      </c>
      <c r="AP1492" s="4">
        <v>2</v>
      </c>
      <c r="AQ1492" s="4">
        <v>29</v>
      </c>
      <c r="AR1492" s="3" t="s">
        <v>62</v>
      </c>
      <c r="AS1492" s="3" t="s">
        <v>62</v>
      </c>
      <c r="AT1492" s="3" t="s">
        <v>62</v>
      </c>
      <c r="AV1492" s="6" t="str">
        <f>HYPERLINK("http://mcgill.on.worldcat.org/oclc/223362361","Catalog Record")</f>
        <v>Catalog Record</v>
      </c>
      <c r="AW1492" s="6" t="str">
        <f>HYPERLINK("http://www.worldcat.org/oclc/223362361","WorldCat Record")</f>
        <v>WorldCat Record</v>
      </c>
      <c r="AX1492" s="3" t="s">
        <v>14501</v>
      </c>
      <c r="AY1492" s="3" t="s">
        <v>14502</v>
      </c>
      <c r="AZ1492" s="3" t="s">
        <v>14503</v>
      </c>
      <c r="BA1492" s="3" t="s">
        <v>14503</v>
      </c>
      <c r="BB1492" s="3" t="s">
        <v>14507</v>
      </c>
      <c r="BC1492" s="3" t="s">
        <v>142</v>
      </c>
      <c r="BD1492" s="3" t="s">
        <v>68</v>
      </c>
      <c r="BE1492" s="3" t="s">
        <v>14505</v>
      </c>
      <c r="BF1492" s="3" t="s">
        <v>14507</v>
      </c>
      <c r="BG1492" s="3" t="s">
        <v>14508</v>
      </c>
    </row>
    <row r="1493" spans="1:59" ht="57" x14ac:dyDescent="0.45">
      <c r="A1493" s="2" t="s">
        <v>59</v>
      </c>
      <c r="B1493" s="2" t="s">
        <v>60</v>
      </c>
      <c r="C1493" s="2" t="s">
        <v>14509</v>
      </c>
      <c r="D1493" s="2" t="s">
        <v>14510</v>
      </c>
      <c r="E1493" s="2" t="s">
        <v>14511</v>
      </c>
      <c r="G1493" s="3" t="s">
        <v>62</v>
      </c>
      <c r="I1493" s="3" t="s">
        <v>61</v>
      </c>
      <c r="J1493" s="3" t="s">
        <v>61</v>
      </c>
      <c r="K1493" s="3" t="s">
        <v>63</v>
      </c>
      <c r="L1493" s="2" t="s">
        <v>14512</v>
      </c>
      <c r="M1493" s="2" t="s">
        <v>14513</v>
      </c>
      <c r="N1493" s="3" t="s">
        <v>122</v>
      </c>
      <c r="O1493" s="2" t="s">
        <v>14514</v>
      </c>
      <c r="P1493" s="3" t="s">
        <v>65</v>
      </c>
      <c r="Q1493" s="2" t="s">
        <v>14515</v>
      </c>
      <c r="R1493" s="3" t="s">
        <v>66</v>
      </c>
      <c r="S1493" s="4">
        <v>4</v>
      </c>
      <c r="T1493" s="4">
        <v>25</v>
      </c>
      <c r="U1493" s="5" t="s">
        <v>14516</v>
      </c>
      <c r="V1493" s="5" t="s">
        <v>1381</v>
      </c>
      <c r="W1493" s="5" t="s">
        <v>67</v>
      </c>
      <c r="X1493" s="5" t="s">
        <v>67</v>
      </c>
      <c r="Y1493" s="4">
        <v>296</v>
      </c>
      <c r="Z1493" s="4">
        <v>19</v>
      </c>
      <c r="AA1493" s="4">
        <v>36</v>
      </c>
      <c r="AB1493" s="4">
        <v>2</v>
      </c>
      <c r="AC1493" s="4">
        <v>7</v>
      </c>
      <c r="AD1493" s="4">
        <v>49</v>
      </c>
      <c r="AE1493" s="4">
        <v>110</v>
      </c>
      <c r="AF1493" s="4">
        <v>1</v>
      </c>
      <c r="AG1493" s="4">
        <v>5</v>
      </c>
      <c r="AH1493" s="4">
        <v>39</v>
      </c>
      <c r="AI1493" s="4">
        <v>92</v>
      </c>
      <c r="AJ1493" s="4">
        <v>7</v>
      </c>
      <c r="AK1493" s="4">
        <v>17</v>
      </c>
      <c r="AL1493" s="4">
        <v>19</v>
      </c>
      <c r="AM1493" s="4">
        <v>45</v>
      </c>
      <c r="AN1493" s="4">
        <v>0</v>
      </c>
      <c r="AO1493" s="4">
        <v>0</v>
      </c>
      <c r="AP1493" s="4">
        <v>13</v>
      </c>
      <c r="AQ1493" s="4">
        <v>25</v>
      </c>
      <c r="AR1493" s="3" t="s">
        <v>62</v>
      </c>
      <c r="AS1493" s="3" t="s">
        <v>62</v>
      </c>
      <c r="AT1493" s="3" t="s">
        <v>62</v>
      </c>
      <c r="AV1493" s="6" t="str">
        <f>HYPERLINK("http://mcgill.on.worldcat.org/oclc/2425092","Catalog Record")</f>
        <v>Catalog Record</v>
      </c>
      <c r="AW1493" s="6" t="str">
        <f>HYPERLINK("http://www.worldcat.org/oclc/2425092","WorldCat Record")</f>
        <v>WorldCat Record</v>
      </c>
      <c r="AX1493" s="3" t="s">
        <v>14517</v>
      </c>
      <c r="AY1493" s="3" t="s">
        <v>14518</v>
      </c>
      <c r="AZ1493" s="3" t="s">
        <v>14519</v>
      </c>
      <c r="BA1493" s="3" t="s">
        <v>14519</v>
      </c>
      <c r="BB1493" s="3" t="s">
        <v>14520</v>
      </c>
      <c r="BC1493" s="3" t="s">
        <v>142</v>
      </c>
      <c r="BD1493" s="3" t="s">
        <v>68</v>
      </c>
      <c r="BE1493" s="3" t="s">
        <v>14521</v>
      </c>
      <c r="BF1493" s="3" t="s">
        <v>14520</v>
      </c>
      <c r="BG1493" s="3" t="s">
        <v>14522</v>
      </c>
    </row>
    <row r="1494" spans="1:59" ht="57" x14ac:dyDescent="0.45">
      <c r="A1494" s="2" t="s">
        <v>59</v>
      </c>
      <c r="B1494" s="2" t="s">
        <v>60</v>
      </c>
      <c r="C1494" s="2" t="s">
        <v>14509</v>
      </c>
      <c r="D1494" s="2" t="s">
        <v>14510</v>
      </c>
      <c r="E1494" s="2" t="s">
        <v>14511</v>
      </c>
      <c r="G1494" s="3" t="s">
        <v>62</v>
      </c>
      <c r="I1494" s="3" t="s">
        <v>61</v>
      </c>
      <c r="J1494" s="3" t="s">
        <v>61</v>
      </c>
      <c r="K1494" s="3" t="s">
        <v>63</v>
      </c>
      <c r="L1494" s="2" t="s">
        <v>14512</v>
      </c>
      <c r="M1494" s="2" t="s">
        <v>14513</v>
      </c>
      <c r="N1494" s="3" t="s">
        <v>122</v>
      </c>
      <c r="O1494" s="2" t="s">
        <v>14514</v>
      </c>
      <c r="P1494" s="3" t="s">
        <v>65</v>
      </c>
      <c r="Q1494" s="2" t="s">
        <v>14515</v>
      </c>
      <c r="R1494" s="3" t="s">
        <v>66</v>
      </c>
      <c r="S1494" s="4">
        <v>21</v>
      </c>
      <c r="T1494" s="4">
        <v>25</v>
      </c>
      <c r="U1494" s="5" t="s">
        <v>1381</v>
      </c>
      <c r="V1494" s="5" t="s">
        <v>1381</v>
      </c>
      <c r="W1494" s="5" t="s">
        <v>67</v>
      </c>
      <c r="X1494" s="5" t="s">
        <v>67</v>
      </c>
      <c r="Y1494" s="4">
        <v>296</v>
      </c>
      <c r="Z1494" s="4">
        <v>19</v>
      </c>
      <c r="AA1494" s="4">
        <v>36</v>
      </c>
      <c r="AB1494" s="4">
        <v>2</v>
      </c>
      <c r="AC1494" s="4">
        <v>7</v>
      </c>
      <c r="AD1494" s="4">
        <v>49</v>
      </c>
      <c r="AE1494" s="4">
        <v>110</v>
      </c>
      <c r="AF1494" s="4">
        <v>1</v>
      </c>
      <c r="AG1494" s="4">
        <v>5</v>
      </c>
      <c r="AH1494" s="4">
        <v>39</v>
      </c>
      <c r="AI1494" s="4">
        <v>92</v>
      </c>
      <c r="AJ1494" s="4">
        <v>7</v>
      </c>
      <c r="AK1494" s="4">
        <v>17</v>
      </c>
      <c r="AL1494" s="4">
        <v>19</v>
      </c>
      <c r="AM1494" s="4">
        <v>45</v>
      </c>
      <c r="AN1494" s="4">
        <v>0</v>
      </c>
      <c r="AO1494" s="4">
        <v>0</v>
      </c>
      <c r="AP1494" s="4">
        <v>13</v>
      </c>
      <c r="AQ1494" s="4">
        <v>25</v>
      </c>
      <c r="AR1494" s="3" t="s">
        <v>62</v>
      </c>
      <c r="AS1494" s="3" t="s">
        <v>62</v>
      </c>
      <c r="AT1494" s="3" t="s">
        <v>62</v>
      </c>
      <c r="AV1494" s="6" t="str">
        <f>HYPERLINK("http://mcgill.on.worldcat.org/oclc/2425092","Catalog Record")</f>
        <v>Catalog Record</v>
      </c>
      <c r="AW1494" s="6" t="str">
        <f>HYPERLINK("http://www.worldcat.org/oclc/2425092","WorldCat Record")</f>
        <v>WorldCat Record</v>
      </c>
      <c r="AX1494" s="3" t="s">
        <v>14517</v>
      </c>
      <c r="AY1494" s="3" t="s">
        <v>14518</v>
      </c>
      <c r="AZ1494" s="3" t="s">
        <v>14519</v>
      </c>
      <c r="BA1494" s="3" t="s">
        <v>14519</v>
      </c>
      <c r="BB1494" s="3" t="s">
        <v>14523</v>
      </c>
      <c r="BC1494" s="3" t="s">
        <v>142</v>
      </c>
      <c r="BD1494" s="3" t="s">
        <v>68</v>
      </c>
      <c r="BE1494" s="3" t="s">
        <v>14521</v>
      </c>
      <c r="BF1494" s="3" t="s">
        <v>14523</v>
      </c>
      <c r="BG1494" s="3" t="s">
        <v>14524</v>
      </c>
    </row>
    <row r="1495" spans="1:59" ht="57" x14ac:dyDescent="0.45">
      <c r="A1495" s="2" t="s">
        <v>59</v>
      </c>
      <c r="B1495" s="2" t="s">
        <v>60</v>
      </c>
      <c r="C1495" s="2" t="s">
        <v>14509</v>
      </c>
      <c r="D1495" s="2" t="s">
        <v>14510</v>
      </c>
      <c r="E1495" s="2" t="s">
        <v>14511</v>
      </c>
      <c r="G1495" s="3" t="s">
        <v>62</v>
      </c>
      <c r="I1495" s="3" t="s">
        <v>61</v>
      </c>
      <c r="J1495" s="3" t="s">
        <v>61</v>
      </c>
      <c r="K1495" s="3" t="s">
        <v>63</v>
      </c>
      <c r="L1495" s="2" t="s">
        <v>14512</v>
      </c>
      <c r="M1495" s="2" t="s">
        <v>14513</v>
      </c>
      <c r="N1495" s="3" t="s">
        <v>122</v>
      </c>
      <c r="O1495" s="2" t="s">
        <v>14514</v>
      </c>
      <c r="P1495" s="3" t="s">
        <v>65</v>
      </c>
      <c r="Q1495" s="2" t="s">
        <v>14515</v>
      </c>
      <c r="R1495" s="3" t="s">
        <v>66</v>
      </c>
      <c r="S1495" s="4">
        <v>0</v>
      </c>
      <c r="T1495" s="4">
        <v>25</v>
      </c>
      <c r="V1495" s="5" t="s">
        <v>1381</v>
      </c>
      <c r="W1495" s="5" t="s">
        <v>67</v>
      </c>
      <c r="X1495" s="5" t="s">
        <v>67</v>
      </c>
      <c r="Y1495" s="4">
        <v>296</v>
      </c>
      <c r="Z1495" s="4">
        <v>19</v>
      </c>
      <c r="AA1495" s="4">
        <v>36</v>
      </c>
      <c r="AB1495" s="4">
        <v>2</v>
      </c>
      <c r="AC1495" s="4">
        <v>7</v>
      </c>
      <c r="AD1495" s="4">
        <v>49</v>
      </c>
      <c r="AE1495" s="4">
        <v>110</v>
      </c>
      <c r="AF1495" s="4">
        <v>1</v>
      </c>
      <c r="AG1495" s="4">
        <v>5</v>
      </c>
      <c r="AH1495" s="4">
        <v>39</v>
      </c>
      <c r="AI1495" s="4">
        <v>92</v>
      </c>
      <c r="AJ1495" s="4">
        <v>7</v>
      </c>
      <c r="AK1495" s="4">
        <v>17</v>
      </c>
      <c r="AL1495" s="4">
        <v>19</v>
      </c>
      <c r="AM1495" s="4">
        <v>45</v>
      </c>
      <c r="AN1495" s="4">
        <v>0</v>
      </c>
      <c r="AO1495" s="4">
        <v>0</v>
      </c>
      <c r="AP1495" s="4">
        <v>13</v>
      </c>
      <c r="AQ1495" s="4">
        <v>25</v>
      </c>
      <c r="AR1495" s="3" t="s">
        <v>62</v>
      </c>
      <c r="AS1495" s="3" t="s">
        <v>62</v>
      </c>
      <c r="AT1495" s="3" t="s">
        <v>62</v>
      </c>
      <c r="AV1495" s="6" t="str">
        <f>HYPERLINK("http://mcgill.on.worldcat.org/oclc/2425092","Catalog Record")</f>
        <v>Catalog Record</v>
      </c>
      <c r="AW1495" s="6" t="str">
        <f>HYPERLINK("http://www.worldcat.org/oclc/2425092","WorldCat Record")</f>
        <v>WorldCat Record</v>
      </c>
      <c r="AX1495" s="3" t="s">
        <v>14517</v>
      </c>
      <c r="AY1495" s="3" t="s">
        <v>14518</v>
      </c>
      <c r="AZ1495" s="3" t="s">
        <v>14519</v>
      </c>
      <c r="BA1495" s="3" t="s">
        <v>14519</v>
      </c>
      <c r="BB1495" s="3" t="s">
        <v>14525</v>
      </c>
      <c r="BC1495" s="3" t="s">
        <v>142</v>
      </c>
      <c r="BD1495" s="3" t="s">
        <v>68</v>
      </c>
      <c r="BE1495" s="3" t="s">
        <v>14521</v>
      </c>
      <c r="BF1495" s="3" t="s">
        <v>14525</v>
      </c>
      <c r="BG1495" s="3" t="s">
        <v>14526</v>
      </c>
    </row>
    <row r="1496" spans="1:59" ht="71.25" x14ac:dyDescent="0.45">
      <c r="A1496" s="2" t="s">
        <v>59</v>
      </c>
      <c r="B1496" s="2" t="s">
        <v>13360</v>
      </c>
      <c r="C1496" s="2" t="s">
        <v>14527</v>
      </c>
      <c r="D1496" s="2" t="s">
        <v>14528</v>
      </c>
      <c r="E1496" s="2" t="s">
        <v>14529</v>
      </c>
      <c r="G1496" s="3" t="s">
        <v>62</v>
      </c>
      <c r="I1496" s="3" t="s">
        <v>62</v>
      </c>
      <c r="J1496" s="3" t="s">
        <v>62</v>
      </c>
      <c r="K1496" s="3" t="s">
        <v>63</v>
      </c>
      <c r="M1496" s="2" t="s">
        <v>14530</v>
      </c>
      <c r="N1496" s="3" t="s">
        <v>970</v>
      </c>
      <c r="P1496" s="3" t="s">
        <v>65</v>
      </c>
      <c r="Q1496" s="2" t="s">
        <v>14531</v>
      </c>
      <c r="R1496" s="3" t="s">
        <v>66</v>
      </c>
      <c r="S1496" s="4">
        <v>10</v>
      </c>
      <c r="T1496" s="4">
        <v>10</v>
      </c>
      <c r="U1496" s="5" t="s">
        <v>14532</v>
      </c>
      <c r="V1496" s="5" t="s">
        <v>14532</v>
      </c>
      <c r="W1496" s="5" t="s">
        <v>67</v>
      </c>
      <c r="X1496" s="5" t="s">
        <v>67</v>
      </c>
      <c r="Y1496" s="4">
        <v>135</v>
      </c>
      <c r="Z1496" s="4">
        <v>10</v>
      </c>
      <c r="AA1496" s="4">
        <v>12</v>
      </c>
      <c r="AB1496" s="4">
        <v>2</v>
      </c>
      <c r="AC1496" s="4">
        <v>4</v>
      </c>
      <c r="AD1496" s="4">
        <v>54</v>
      </c>
      <c r="AE1496" s="4">
        <v>57</v>
      </c>
      <c r="AF1496" s="4">
        <v>1</v>
      </c>
      <c r="AG1496" s="4">
        <v>3</v>
      </c>
      <c r="AH1496" s="4">
        <v>49</v>
      </c>
      <c r="AI1496" s="4">
        <v>51</v>
      </c>
      <c r="AJ1496" s="4">
        <v>6</v>
      </c>
      <c r="AK1496" s="4">
        <v>8</v>
      </c>
      <c r="AL1496" s="4">
        <v>36</v>
      </c>
      <c r="AM1496" s="4">
        <v>36</v>
      </c>
      <c r="AN1496" s="4">
        <v>0</v>
      </c>
      <c r="AO1496" s="4">
        <v>0</v>
      </c>
      <c r="AP1496" s="4">
        <v>7</v>
      </c>
      <c r="AQ1496" s="4">
        <v>8</v>
      </c>
      <c r="AR1496" s="3" t="s">
        <v>62</v>
      </c>
      <c r="AS1496" s="3" t="s">
        <v>62</v>
      </c>
      <c r="AT1496" s="3" t="s">
        <v>61</v>
      </c>
      <c r="AU1496" s="6" t="str">
        <f>HYPERLINK("http://catalog.hathitrust.org/Record/004283526","HathiTrust Record")</f>
        <v>HathiTrust Record</v>
      </c>
      <c r="AV1496" s="6" t="str">
        <f>HYPERLINK("http://mcgill.on.worldcat.org/oclc/50569090","Catalog Record")</f>
        <v>Catalog Record</v>
      </c>
      <c r="AW1496" s="6" t="str">
        <f>HYPERLINK("http://www.worldcat.org/oclc/50569090","WorldCat Record")</f>
        <v>WorldCat Record</v>
      </c>
      <c r="AX1496" s="3" t="s">
        <v>14533</v>
      </c>
      <c r="AY1496" s="3" t="s">
        <v>14534</v>
      </c>
      <c r="AZ1496" s="3" t="s">
        <v>14535</v>
      </c>
      <c r="BA1496" s="3" t="s">
        <v>14535</v>
      </c>
      <c r="BB1496" s="3" t="s">
        <v>14536</v>
      </c>
      <c r="BC1496" s="3" t="s">
        <v>142</v>
      </c>
      <c r="BD1496" s="3" t="s">
        <v>68</v>
      </c>
      <c r="BE1496" s="3" t="s">
        <v>14537</v>
      </c>
      <c r="BF1496" s="3" t="s">
        <v>14536</v>
      </c>
      <c r="BG1496" s="3" t="s">
        <v>14538</v>
      </c>
    </row>
    <row r="1497" spans="1:59" ht="57" x14ac:dyDescent="0.45">
      <c r="A1497" s="2" t="s">
        <v>59</v>
      </c>
      <c r="B1497" s="2" t="s">
        <v>60</v>
      </c>
      <c r="C1497" s="2" t="s">
        <v>14539</v>
      </c>
      <c r="D1497" s="2" t="s">
        <v>14540</v>
      </c>
      <c r="E1497" s="2" t="s">
        <v>14541</v>
      </c>
      <c r="G1497" s="3" t="s">
        <v>62</v>
      </c>
      <c r="I1497" s="3" t="s">
        <v>62</v>
      </c>
      <c r="J1497" s="3" t="s">
        <v>62</v>
      </c>
      <c r="K1497" s="3" t="s">
        <v>63</v>
      </c>
      <c r="L1497" s="2" t="s">
        <v>14542</v>
      </c>
      <c r="M1497" s="2" t="s">
        <v>12953</v>
      </c>
      <c r="N1497" s="3" t="s">
        <v>1059</v>
      </c>
      <c r="P1497" s="3" t="s">
        <v>65</v>
      </c>
      <c r="Q1497" s="2" t="s">
        <v>14543</v>
      </c>
      <c r="R1497" s="3" t="s">
        <v>66</v>
      </c>
      <c r="S1497" s="4">
        <v>26</v>
      </c>
      <c r="T1497" s="4">
        <v>26</v>
      </c>
      <c r="U1497" s="5" t="s">
        <v>7367</v>
      </c>
      <c r="V1497" s="5" t="s">
        <v>7367</v>
      </c>
      <c r="W1497" s="5" t="s">
        <v>67</v>
      </c>
      <c r="X1497" s="5" t="s">
        <v>67</v>
      </c>
      <c r="Y1497" s="4">
        <v>465</v>
      </c>
      <c r="Z1497" s="4">
        <v>38</v>
      </c>
      <c r="AA1497" s="4">
        <v>44</v>
      </c>
      <c r="AB1497" s="4">
        <v>2</v>
      </c>
      <c r="AC1497" s="4">
        <v>7</v>
      </c>
      <c r="AD1497" s="4">
        <v>122</v>
      </c>
      <c r="AE1497" s="4">
        <v>127</v>
      </c>
      <c r="AF1497" s="4">
        <v>1</v>
      </c>
      <c r="AG1497" s="4">
        <v>4</v>
      </c>
      <c r="AH1497" s="4">
        <v>103</v>
      </c>
      <c r="AI1497" s="4">
        <v>105</v>
      </c>
      <c r="AJ1497" s="4">
        <v>21</v>
      </c>
      <c r="AK1497" s="4">
        <v>24</v>
      </c>
      <c r="AL1497" s="4">
        <v>55</v>
      </c>
      <c r="AM1497" s="4">
        <v>55</v>
      </c>
      <c r="AN1497" s="4">
        <v>0</v>
      </c>
      <c r="AO1497" s="4">
        <v>0</v>
      </c>
      <c r="AP1497" s="4">
        <v>28</v>
      </c>
      <c r="AQ1497" s="4">
        <v>31</v>
      </c>
      <c r="AR1497" s="3" t="s">
        <v>62</v>
      </c>
      <c r="AS1497" s="3" t="s">
        <v>62</v>
      </c>
      <c r="AT1497" s="3" t="s">
        <v>61</v>
      </c>
      <c r="AU1497" s="6" t="str">
        <f>HYPERLINK("http://catalog.hathitrust.org/Record/005122382","HathiTrust Record")</f>
        <v>HathiTrust Record</v>
      </c>
      <c r="AV1497" s="6" t="str">
        <f>HYPERLINK("http://mcgill.on.worldcat.org/oclc/59818260","Catalog Record")</f>
        <v>Catalog Record</v>
      </c>
      <c r="AW1497" s="6" t="str">
        <f>HYPERLINK("http://www.worldcat.org/oclc/59818260","WorldCat Record")</f>
        <v>WorldCat Record</v>
      </c>
      <c r="AX1497" s="3" t="s">
        <v>14544</v>
      </c>
      <c r="AY1497" s="3" t="s">
        <v>14545</v>
      </c>
      <c r="AZ1497" s="3" t="s">
        <v>14546</v>
      </c>
      <c r="BA1497" s="3" t="s">
        <v>14546</v>
      </c>
      <c r="BB1497" s="3" t="s">
        <v>14547</v>
      </c>
      <c r="BC1497" s="3" t="s">
        <v>142</v>
      </c>
      <c r="BD1497" s="3" t="s">
        <v>308</v>
      </c>
      <c r="BE1497" s="3" t="s">
        <v>14548</v>
      </c>
      <c r="BF1497" s="3" t="s">
        <v>14547</v>
      </c>
      <c r="BG1497" s="3" t="s">
        <v>14549</v>
      </c>
    </row>
    <row r="1498" spans="1:59" ht="114" x14ac:dyDescent="0.45">
      <c r="A1498" s="2" t="s">
        <v>59</v>
      </c>
      <c r="B1498" s="2" t="s">
        <v>60</v>
      </c>
      <c r="C1498" s="2" t="s">
        <v>14550</v>
      </c>
      <c r="D1498" s="2" t="s">
        <v>14551</v>
      </c>
      <c r="E1498" s="2" t="s">
        <v>14552</v>
      </c>
      <c r="G1498" s="3" t="s">
        <v>62</v>
      </c>
      <c r="I1498" s="3" t="s">
        <v>62</v>
      </c>
      <c r="J1498" s="3" t="s">
        <v>62</v>
      </c>
      <c r="K1498" s="3" t="s">
        <v>63</v>
      </c>
      <c r="M1498" s="2" t="s">
        <v>14553</v>
      </c>
      <c r="N1498" s="3" t="s">
        <v>1918</v>
      </c>
      <c r="P1498" s="3" t="s">
        <v>110</v>
      </c>
      <c r="R1498" s="3" t="s">
        <v>66</v>
      </c>
      <c r="S1498" s="4">
        <v>0</v>
      </c>
      <c r="T1498" s="4">
        <v>0</v>
      </c>
      <c r="W1498" s="5" t="s">
        <v>67</v>
      </c>
      <c r="X1498" s="5" t="s">
        <v>67</v>
      </c>
      <c r="Y1498" s="4">
        <v>1</v>
      </c>
      <c r="Z1498" s="4">
        <v>1</v>
      </c>
      <c r="AA1498" s="4">
        <v>3</v>
      </c>
      <c r="AB1498" s="4">
        <v>1</v>
      </c>
      <c r="AC1498" s="4">
        <v>3</v>
      </c>
      <c r="AD1498" s="4">
        <v>0</v>
      </c>
      <c r="AE1498" s="4">
        <v>1</v>
      </c>
      <c r="AF1498" s="4">
        <v>0</v>
      </c>
      <c r="AG1498" s="4">
        <v>1</v>
      </c>
      <c r="AH1498" s="4">
        <v>0</v>
      </c>
      <c r="AI1498" s="4">
        <v>0</v>
      </c>
      <c r="AJ1498" s="4">
        <v>0</v>
      </c>
      <c r="AK1498" s="4">
        <v>1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3" t="s">
        <v>61</v>
      </c>
      <c r="AS1498" s="3" t="s">
        <v>62</v>
      </c>
      <c r="AT1498" s="3" t="s">
        <v>62</v>
      </c>
      <c r="AV1498" s="6" t="str">
        <f>HYPERLINK("http://mcgill.on.worldcat.org/oclc/1043763018","Catalog Record")</f>
        <v>Catalog Record</v>
      </c>
      <c r="AW1498" s="6" t="str">
        <f>HYPERLINK("http://www.worldcat.org/oclc/1043763018","WorldCat Record")</f>
        <v>WorldCat Record</v>
      </c>
      <c r="AX1498" s="3" t="s">
        <v>14554</v>
      </c>
      <c r="AY1498" s="3" t="s">
        <v>14555</v>
      </c>
      <c r="AZ1498" s="3" t="s">
        <v>14556</v>
      </c>
      <c r="BA1498" s="3" t="s">
        <v>14556</v>
      </c>
      <c r="BB1498" s="3" t="s">
        <v>14557</v>
      </c>
      <c r="BC1498" s="3" t="s">
        <v>142</v>
      </c>
      <c r="BD1498" s="3" t="s">
        <v>68</v>
      </c>
      <c r="BF1498" s="3" t="s">
        <v>14557</v>
      </c>
      <c r="BG1498" s="3" t="s">
        <v>14558</v>
      </c>
    </row>
    <row r="1499" spans="1:59" ht="57" x14ac:dyDescent="0.45">
      <c r="A1499" s="2" t="s">
        <v>59</v>
      </c>
      <c r="B1499" s="2" t="s">
        <v>60</v>
      </c>
      <c r="C1499" s="2" t="s">
        <v>14559</v>
      </c>
      <c r="D1499" s="2" t="s">
        <v>14560</v>
      </c>
      <c r="E1499" s="2" t="s">
        <v>14561</v>
      </c>
      <c r="G1499" s="3" t="s">
        <v>62</v>
      </c>
      <c r="I1499" s="3" t="s">
        <v>62</v>
      </c>
      <c r="J1499" s="3" t="s">
        <v>62</v>
      </c>
      <c r="K1499" s="3" t="s">
        <v>63</v>
      </c>
      <c r="L1499" s="2" t="s">
        <v>12529</v>
      </c>
      <c r="M1499" s="2" t="s">
        <v>3013</v>
      </c>
      <c r="N1499" s="3" t="s">
        <v>1855</v>
      </c>
      <c r="P1499" s="3" t="s">
        <v>65</v>
      </c>
      <c r="R1499" s="3" t="s">
        <v>66</v>
      </c>
      <c r="S1499" s="4">
        <v>20</v>
      </c>
      <c r="T1499" s="4">
        <v>20</v>
      </c>
      <c r="U1499" s="5" t="s">
        <v>14562</v>
      </c>
      <c r="V1499" s="5" t="s">
        <v>14562</v>
      </c>
      <c r="W1499" s="5" t="s">
        <v>67</v>
      </c>
      <c r="X1499" s="5" t="s">
        <v>67</v>
      </c>
      <c r="Y1499" s="4">
        <v>238</v>
      </c>
      <c r="Z1499" s="4">
        <v>24</v>
      </c>
      <c r="AA1499" s="4">
        <v>27</v>
      </c>
      <c r="AB1499" s="4">
        <v>2</v>
      </c>
      <c r="AC1499" s="4">
        <v>5</v>
      </c>
      <c r="AD1499" s="4">
        <v>43</v>
      </c>
      <c r="AE1499" s="4">
        <v>46</v>
      </c>
      <c r="AF1499" s="4">
        <v>1</v>
      </c>
      <c r="AG1499" s="4">
        <v>4</v>
      </c>
      <c r="AH1499" s="4">
        <v>31</v>
      </c>
      <c r="AI1499" s="4">
        <v>32</v>
      </c>
      <c r="AJ1499" s="4">
        <v>14</v>
      </c>
      <c r="AK1499" s="4">
        <v>17</v>
      </c>
      <c r="AL1499" s="4">
        <v>13</v>
      </c>
      <c r="AM1499" s="4">
        <v>13</v>
      </c>
      <c r="AN1499" s="4">
        <v>0</v>
      </c>
      <c r="AO1499" s="4">
        <v>0</v>
      </c>
      <c r="AP1499" s="4">
        <v>20</v>
      </c>
      <c r="AQ1499" s="4">
        <v>22</v>
      </c>
      <c r="AR1499" s="3" t="s">
        <v>62</v>
      </c>
      <c r="AS1499" s="3" t="s">
        <v>62</v>
      </c>
      <c r="AT1499" s="3" t="s">
        <v>62</v>
      </c>
      <c r="AV1499" s="6" t="str">
        <f>HYPERLINK("http://mcgill.on.worldcat.org/oclc/55286087","Catalog Record")</f>
        <v>Catalog Record</v>
      </c>
      <c r="AW1499" s="6" t="str">
        <f>HYPERLINK("http://www.worldcat.org/oclc/55286087","WorldCat Record")</f>
        <v>WorldCat Record</v>
      </c>
      <c r="AX1499" s="3" t="s">
        <v>14563</v>
      </c>
      <c r="AY1499" s="3" t="s">
        <v>14564</v>
      </c>
      <c r="AZ1499" s="3" t="s">
        <v>14565</v>
      </c>
      <c r="BA1499" s="3" t="s">
        <v>14565</v>
      </c>
      <c r="BB1499" s="3" t="s">
        <v>14566</v>
      </c>
      <c r="BC1499" s="3" t="s">
        <v>142</v>
      </c>
      <c r="BD1499" s="3" t="s">
        <v>68</v>
      </c>
      <c r="BE1499" s="3" t="s">
        <v>14567</v>
      </c>
      <c r="BF1499" s="3" t="s">
        <v>14566</v>
      </c>
      <c r="BG1499" s="3" t="s">
        <v>14568</v>
      </c>
    </row>
    <row r="1500" spans="1:59" ht="57" x14ac:dyDescent="0.45">
      <c r="A1500" s="2" t="s">
        <v>59</v>
      </c>
      <c r="B1500" s="2" t="s">
        <v>60</v>
      </c>
      <c r="C1500" s="2" t="s">
        <v>14569</v>
      </c>
      <c r="D1500" s="2" t="s">
        <v>14570</v>
      </c>
      <c r="E1500" s="2" t="s">
        <v>14571</v>
      </c>
      <c r="G1500" s="3" t="s">
        <v>62</v>
      </c>
      <c r="I1500" s="3" t="s">
        <v>62</v>
      </c>
      <c r="J1500" s="3" t="s">
        <v>62</v>
      </c>
      <c r="K1500" s="3" t="s">
        <v>63</v>
      </c>
      <c r="M1500" s="2" t="s">
        <v>14572</v>
      </c>
      <c r="N1500" s="3" t="s">
        <v>149</v>
      </c>
      <c r="P1500" s="3" t="s">
        <v>65</v>
      </c>
      <c r="R1500" s="3" t="s">
        <v>66</v>
      </c>
      <c r="S1500" s="4">
        <v>0</v>
      </c>
      <c r="T1500" s="4">
        <v>0</v>
      </c>
      <c r="W1500" s="5" t="s">
        <v>67</v>
      </c>
      <c r="X1500" s="5" t="s">
        <v>67</v>
      </c>
      <c r="Y1500" s="4">
        <v>143</v>
      </c>
      <c r="Z1500" s="4">
        <v>12</v>
      </c>
      <c r="AA1500" s="4">
        <v>16</v>
      </c>
      <c r="AB1500" s="4">
        <v>2</v>
      </c>
      <c r="AC1500" s="4">
        <v>4</v>
      </c>
      <c r="AD1500" s="4">
        <v>55</v>
      </c>
      <c r="AE1500" s="4">
        <v>59</v>
      </c>
      <c r="AF1500" s="4">
        <v>1</v>
      </c>
      <c r="AG1500" s="4">
        <v>2</v>
      </c>
      <c r="AH1500" s="4">
        <v>51</v>
      </c>
      <c r="AI1500" s="4">
        <v>54</v>
      </c>
      <c r="AJ1500" s="4">
        <v>8</v>
      </c>
      <c r="AK1500" s="4">
        <v>11</v>
      </c>
      <c r="AL1500" s="4">
        <v>29</v>
      </c>
      <c r="AM1500" s="4">
        <v>29</v>
      </c>
      <c r="AN1500" s="4">
        <v>0</v>
      </c>
      <c r="AO1500" s="4">
        <v>0</v>
      </c>
      <c r="AP1500" s="4">
        <v>8</v>
      </c>
      <c r="AQ1500" s="4">
        <v>11</v>
      </c>
      <c r="AR1500" s="3" t="s">
        <v>62</v>
      </c>
      <c r="AS1500" s="3" t="s">
        <v>62</v>
      </c>
      <c r="AT1500" s="3" t="s">
        <v>62</v>
      </c>
      <c r="AV1500" s="6" t="str">
        <f>HYPERLINK("http://mcgill.on.worldcat.org/oclc/431934727","Catalog Record")</f>
        <v>Catalog Record</v>
      </c>
      <c r="AW1500" s="6" t="str">
        <f>HYPERLINK("http://www.worldcat.org/oclc/431934727","WorldCat Record")</f>
        <v>WorldCat Record</v>
      </c>
      <c r="AX1500" s="3" t="s">
        <v>14573</v>
      </c>
      <c r="AY1500" s="3" t="s">
        <v>14574</v>
      </c>
      <c r="AZ1500" s="3" t="s">
        <v>14575</v>
      </c>
      <c r="BA1500" s="3" t="s">
        <v>14575</v>
      </c>
      <c r="BB1500" s="3" t="s">
        <v>14576</v>
      </c>
      <c r="BC1500" s="3" t="s">
        <v>142</v>
      </c>
      <c r="BD1500" s="3" t="s">
        <v>68</v>
      </c>
      <c r="BE1500" s="3" t="s">
        <v>14577</v>
      </c>
      <c r="BF1500" s="3" t="s">
        <v>14576</v>
      </c>
      <c r="BG1500" s="3" t="s">
        <v>14578</v>
      </c>
    </row>
    <row r="1501" spans="1:59" ht="57" x14ac:dyDescent="0.45">
      <c r="A1501" s="2" t="s">
        <v>59</v>
      </c>
      <c r="B1501" s="2" t="s">
        <v>60</v>
      </c>
      <c r="C1501" s="2" t="s">
        <v>14579</v>
      </c>
      <c r="D1501" s="2" t="s">
        <v>14580</v>
      </c>
      <c r="E1501" s="2" t="s">
        <v>14581</v>
      </c>
      <c r="G1501" s="3" t="s">
        <v>62</v>
      </c>
      <c r="I1501" s="3" t="s">
        <v>62</v>
      </c>
      <c r="J1501" s="3" t="s">
        <v>62</v>
      </c>
      <c r="K1501" s="3" t="s">
        <v>63</v>
      </c>
      <c r="M1501" s="2" t="s">
        <v>14582</v>
      </c>
      <c r="N1501" s="3" t="s">
        <v>1155</v>
      </c>
      <c r="P1501" s="3" t="s">
        <v>65</v>
      </c>
      <c r="Q1501" s="2" t="s">
        <v>14208</v>
      </c>
      <c r="R1501" s="3" t="s">
        <v>66</v>
      </c>
      <c r="S1501" s="4">
        <v>0</v>
      </c>
      <c r="T1501" s="4">
        <v>0</v>
      </c>
      <c r="W1501" s="5" t="s">
        <v>67</v>
      </c>
      <c r="X1501" s="5" t="s">
        <v>67</v>
      </c>
      <c r="Y1501" s="4">
        <v>94</v>
      </c>
      <c r="Z1501" s="4">
        <v>16</v>
      </c>
      <c r="AA1501" s="4">
        <v>16</v>
      </c>
      <c r="AB1501" s="4">
        <v>2</v>
      </c>
      <c r="AC1501" s="4">
        <v>2</v>
      </c>
      <c r="AD1501" s="4">
        <v>49</v>
      </c>
      <c r="AE1501" s="4">
        <v>49</v>
      </c>
      <c r="AF1501" s="4">
        <v>1</v>
      </c>
      <c r="AG1501" s="4">
        <v>1</v>
      </c>
      <c r="AH1501" s="4">
        <v>45</v>
      </c>
      <c r="AI1501" s="4">
        <v>45</v>
      </c>
      <c r="AJ1501" s="4">
        <v>13</v>
      </c>
      <c r="AK1501" s="4">
        <v>13</v>
      </c>
      <c r="AL1501" s="4">
        <v>27</v>
      </c>
      <c r="AM1501" s="4">
        <v>27</v>
      </c>
      <c r="AN1501" s="4">
        <v>0</v>
      </c>
      <c r="AO1501" s="4">
        <v>0</v>
      </c>
      <c r="AP1501" s="4">
        <v>14</v>
      </c>
      <c r="AQ1501" s="4">
        <v>14</v>
      </c>
      <c r="AR1501" s="3" t="s">
        <v>62</v>
      </c>
      <c r="AS1501" s="3" t="s">
        <v>62</v>
      </c>
      <c r="AT1501" s="3" t="s">
        <v>62</v>
      </c>
      <c r="AV1501" s="6" t="str">
        <f>HYPERLINK("http://mcgill.on.worldcat.org/oclc/779606985","Catalog Record")</f>
        <v>Catalog Record</v>
      </c>
      <c r="AW1501" s="6" t="str">
        <f>HYPERLINK("http://www.worldcat.org/oclc/779606985","WorldCat Record")</f>
        <v>WorldCat Record</v>
      </c>
      <c r="AX1501" s="3" t="s">
        <v>14583</v>
      </c>
      <c r="AY1501" s="3" t="s">
        <v>14584</v>
      </c>
      <c r="AZ1501" s="3" t="s">
        <v>14585</v>
      </c>
      <c r="BA1501" s="3" t="s">
        <v>14585</v>
      </c>
      <c r="BB1501" s="3" t="s">
        <v>14586</v>
      </c>
      <c r="BC1501" s="3" t="s">
        <v>142</v>
      </c>
      <c r="BD1501" s="3" t="s">
        <v>68</v>
      </c>
      <c r="BE1501" s="3" t="s">
        <v>14587</v>
      </c>
      <c r="BF1501" s="3" t="s">
        <v>14586</v>
      </c>
      <c r="BG1501" s="3" t="s">
        <v>14588</v>
      </c>
    </row>
    <row r="1502" spans="1:59" ht="57" x14ac:dyDescent="0.45">
      <c r="A1502" s="2" t="s">
        <v>59</v>
      </c>
      <c r="B1502" s="2" t="s">
        <v>60</v>
      </c>
      <c r="C1502" s="2" t="s">
        <v>14589</v>
      </c>
      <c r="D1502" s="2" t="s">
        <v>14590</v>
      </c>
      <c r="E1502" s="2" t="s">
        <v>14591</v>
      </c>
      <c r="G1502" s="3" t="s">
        <v>62</v>
      </c>
      <c r="I1502" s="3" t="s">
        <v>62</v>
      </c>
      <c r="J1502" s="3" t="s">
        <v>62</v>
      </c>
      <c r="K1502" s="3" t="s">
        <v>63</v>
      </c>
      <c r="M1502" s="2" t="s">
        <v>14592</v>
      </c>
      <c r="N1502" s="3" t="s">
        <v>84</v>
      </c>
      <c r="P1502" s="3" t="s">
        <v>65</v>
      </c>
      <c r="Q1502" s="2" t="s">
        <v>14593</v>
      </c>
      <c r="R1502" s="3" t="s">
        <v>66</v>
      </c>
      <c r="S1502" s="4">
        <v>38</v>
      </c>
      <c r="T1502" s="4">
        <v>38</v>
      </c>
      <c r="U1502" s="5" t="s">
        <v>1452</v>
      </c>
      <c r="V1502" s="5" t="s">
        <v>1452</v>
      </c>
      <c r="W1502" s="5" t="s">
        <v>67</v>
      </c>
      <c r="X1502" s="5" t="s">
        <v>67</v>
      </c>
      <c r="Y1502" s="4">
        <v>384</v>
      </c>
      <c r="Z1502" s="4">
        <v>27</v>
      </c>
      <c r="AA1502" s="4">
        <v>30</v>
      </c>
      <c r="AB1502" s="4">
        <v>3</v>
      </c>
      <c r="AC1502" s="4">
        <v>6</v>
      </c>
      <c r="AD1502" s="4">
        <v>84</v>
      </c>
      <c r="AE1502" s="4">
        <v>88</v>
      </c>
      <c r="AF1502" s="4">
        <v>2</v>
      </c>
      <c r="AG1502" s="4">
        <v>5</v>
      </c>
      <c r="AH1502" s="4">
        <v>69</v>
      </c>
      <c r="AI1502" s="4">
        <v>71</v>
      </c>
      <c r="AJ1502" s="4">
        <v>15</v>
      </c>
      <c r="AK1502" s="4">
        <v>18</v>
      </c>
      <c r="AL1502" s="4">
        <v>37</v>
      </c>
      <c r="AM1502" s="4">
        <v>38</v>
      </c>
      <c r="AN1502" s="4">
        <v>0</v>
      </c>
      <c r="AO1502" s="4">
        <v>0</v>
      </c>
      <c r="AP1502" s="4">
        <v>23</v>
      </c>
      <c r="AQ1502" s="4">
        <v>25</v>
      </c>
      <c r="AR1502" s="3" t="s">
        <v>62</v>
      </c>
      <c r="AS1502" s="3" t="s">
        <v>62</v>
      </c>
      <c r="AT1502" s="3" t="s">
        <v>61</v>
      </c>
      <c r="AU1502" s="6" t="str">
        <f>HYPERLINK("http://catalog.hathitrust.org/Record/002570725","HathiTrust Record")</f>
        <v>HathiTrust Record</v>
      </c>
      <c r="AV1502" s="6" t="str">
        <f>HYPERLINK("http://mcgill.on.worldcat.org/oclc/27236545","Catalog Record")</f>
        <v>Catalog Record</v>
      </c>
      <c r="AW1502" s="6" t="str">
        <f>HYPERLINK("http://www.worldcat.org/oclc/27236545","WorldCat Record")</f>
        <v>WorldCat Record</v>
      </c>
      <c r="AX1502" s="3" t="s">
        <v>14594</v>
      </c>
      <c r="AY1502" s="3" t="s">
        <v>14595</v>
      </c>
      <c r="AZ1502" s="3" t="s">
        <v>14596</v>
      </c>
      <c r="BA1502" s="3" t="s">
        <v>14596</v>
      </c>
      <c r="BB1502" s="3" t="s">
        <v>14597</v>
      </c>
      <c r="BC1502" s="3" t="s">
        <v>142</v>
      </c>
      <c r="BD1502" s="3" t="s">
        <v>68</v>
      </c>
      <c r="BE1502" s="3" t="s">
        <v>14598</v>
      </c>
      <c r="BF1502" s="3" t="s">
        <v>14597</v>
      </c>
      <c r="BG1502" s="3" t="s">
        <v>14599</v>
      </c>
    </row>
    <row r="1503" spans="1:59" ht="57" x14ac:dyDescent="0.45">
      <c r="A1503" s="2" t="s">
        <v>59</v>
      </c>
      <c r="B1503" s="2" t="s">
        <v>60</v>
      </c>
      <c r="C1503" s="2" t="s">
        <v>14600</v>
      </c>
      <c r="D1503" s="2" t="s">
        <v>14601</v>
      </c>
      <c r="E1503" s="2" t="s">
        <v>14602</v>
      </c>
      <c r="G1503" s="3" t="s">
        <v>62</v>
      </c>
      <c r="I1503" s="3" t="s">
        <v>62</v>
      </c>
      <c r="J1503" s="3" t="s">
        <v>62</v>
      </c>
      <c r="K1503" s="3" t="s">
        <v>63</v>
      </c>
      <c r="L1503" s="2" t="s">
        <v>14603</v>
      </c>
      <c r="M1503" s="2" t="s">
        <v>14604</v>
      </c>
      <c r="N1503" s="3" t="s">
        <v>970</v>
      </c>
      <c r="P1503" s="3" t="s">
        <v>65</v>
      </c>
      <c r="Q1503" s="2" t="s">
        <v>14605</v>
      </c>
      <c r="R1503" s="3" t="s">
        <v>66</v>
      </c>
      <c r="S1503" s="4">
        <v>16</v>
      </c>
      <c r="T1503" s="4">
        <v>16</v>
      </c>
      <c r="U1503" s="5" t="s">
        <v>14606</v>
      </c>
      <c r="V1503" s="5" t="s">
        <v>14606</v>
      </c>
      <c r="W1503" s="5" t="s">
        <v>67</v>
      </c>
      <c r="X1503" s="5" t="s">
        <v>67</v>
      </c>
      <c r="Y1503" s="4">
        <v>230</v>
      </c>
      <c r="Z1503" s="4">
        <v>19</v>
      </c>
      <c r="AA1503" s="4">
        <v>20</v>
      </c>
      <c r="AB1503" s="4">
        <v>3</v>
      </c>
      <c r="AC1503" s="4">
        <v>4</v>
      </c>
      <c r="AD1503" s="4">
        <v>70</v>
      </c>
      <c r="AE1503" s="4">
        <v>71</v>
      </c>
      <c r="AF1503" s="4">
        <v>1</v>
      </c>
      <c r="AG1503" s="4">
        <v>2</v>
      </c>
      <c r="AH1503" s="4">
        <v>61</v>
      </c>
      <c r="AI1503" s="4">
        <v>61</v>
      </c>
      <c r="AJ1503" s="4">
        <v>11</v>
      </c>
      <c r="AK1503" s="4">
        <v>12</v>
      </c>
      <c r="AL1503" s="4">
        <v>34</v>
      </c>
      <c r="AM1503" s="4">
        <v>34</v>
      </c>
      <c r="AN1503" s="4">
        <v>0</v>
      </c>
      <c r="AO1503" s="4">
        <v>0</v>
      </c>
      <c r="AP1503" s="4">
        <v>15</v>
      </c>
      <c r="AQ1503" s="4">
        <v>16</v>
      </c>
      <c r="AR1503" s="3" t="s">
        <v>62</v>
      </c>
      <c r="AS1503" s="3" t="s">
        <v>62</v>
      </c>
      <c r="AT1503" s="3" t="s">
        <v>61</v>
      </c>
      <c r="AU1503" s="6" t="str">
        <f>HYPERLINK("http://catalog.hathitrust.org/Record/004258202","HathiTrust Record")</f>
        <v>HathiTrust Record</v>
      </c>
      <c r="AV1503" s="6" t="str">
        <f>HYPERLINK("http://mcgill.on.worldcat.org/oclc/47283115","Catalog Record")</f>
        <v>Catalog Record</v>
      </c>
      <c r="AW1503" s="6" t="str">
        <f>HYPERLINK("http://www.worldcat.org/oclc/47283115","WorldCat Record")</f>
        <v>WorldCat Record</v>
      </c>
      <c r="AX1503" s="3" t="s">
        <v>14607</v>
      </c>
      <c r="AY1503" s="3" t="s">
        <v>14608</v>
      </c>
      <c r="AZ1503" s="3" t="s">
        <v>14609</v>
      </c>
      <c r="BA1503" s="3" t="s">
        <v>14609</v>
      </c>
      <c r="BB1503" s="3" t="s">
        <v>14610</v>
      </c>
      <c r="BC1503" s="3" t="s">
        <v>142</v>
      </c>
      <c r="BD1503" s="3" t="s">
        <v>68</v>
      </c>
      <c r="BE1503" s="3" t="s">
        <v>14611</v>
      </c>
      <c r="BF1503" s="3" t="s">
        <v>14610</v>
      </c>
      <c r="BG1503" s="3" t="s">
        <v>14612</v>
      </c>
    </row>
    <row r="1504" spans="1:59" ht="57" x14ac:dyDescent="0.45">
      <c r="A1504" s="2" t="s">
        <v>59</v>
      </c>
      <c r="B1504" s="2" t="s">
        <v>60</v>
      </c>
      <c r="C1504" s="2" t="s">
        <v>14613</v>
      </c>
      <c r="D1504" s="2" t="s">
        <v>14614</v>
      </c>
      <c r="E1504" s="2" t="s">
        <v>14615</v>
      </c>
      <c r="G1504" s="3" t="s">
        <v>62</v>
      </c>
      <c r="I1504" s="3" t="s">
        <v>62</v>
      </c>
      <c r="J1504" s="3" t="s">
        <v>61</v>
      </c>
      <c r="K1504" s="3" t="s">
        <v>63</v>
      </c>
      <c r="M1504" s="2" t="s">
        <v>14616</v>
      </c>
      <c r="N1504" s="3" t="s">
        <v>625</v>
      </c>
      <c r="O1504" s="2" t="s">
        <v>14488</v>
      </c>
      <c r="P1504" s="3" t="s">
        <v>65</v>
      </c>
      <c r="R1504" s="3" t="s">
        <v>66</v>
      </c>
      <c r="S1504" s="4">
        <v>19</v>
      </c>
      <c r="T1504" s="4">
        <v>19</v>
      </c>
      <c r="U1504" s="5" t="s">
        <v>14532</v>
      </c>
      <c r="V1504" s="5" t="s">
        <v>14532</v>
      </c>
      <c r="W1504" s="5" t="s">
        <v>67</v>
      </c>
      <c r="X1504" s="5" t="s">
        <v>67</v>
      </c>
      <c r="Y1504" s="4">
        <v>447</v>
      </c>
      <c r="Z1504" s="4">
        <v>25</v>
      </c>
      <c r="AA1504" s="4">
        <v>45</v>
      </c>
      <c r="AB1504" s="4">
        <v>2</v>
      </c>
      <c r="AC1504" s="4">
        <v>10</v>
      </c>
      <c r="AD1504" s="4">
        <v>93</v>
      </c>
      <c r="AE1504" s="4">
        <v>136</v>
      </c>
      <c r="AF1504" s="4">
        <v>1</v>
      </c>
      <c r="AG1504" s="4">
        <v>7</v>
      </c>
      <c r="AH1504" s="4">
        <v>79</v>
      </c>
      <c r="AI1504" s="4">
        <v>111</v>
      </c>
      <c r="AJ1504" s="4">
        <v>14</v>
      </c>
      <c r="AK1504" s="4">
        <v>26</v>
      </c>
      <c r="AL1504" s="4">
        <v>41</v>
      </c>
      <c r="AM1504" s="4">
        <v>58</v>
      </c>
      <c r="AN1504" s="4">
        <v>0</v>
      </c>
      <c r="AO1504" s="4">
        <v>0</v>
      </c>
      <c r="AP1504" s="4">
        <v>19</v>
      </c>
      <c r="AQ1504" s="4">
        <v>32</v>
      </c>
      <c r="AR1504" s="3" t="s">
        <v>62</v>
      </c>
      <c r="AS1504" s="3" t="s">
        <v>62</v>
      </c>
      <c r="AT1504" s="3" t="s">
        <v>61</v>
      </c>
      <c r="AU1504" s="6" t="str">
        <f>HYPERLINK("http://catalog.hathitrust.org/Record/000391707","HathiTrust Record")</f>
        <v>HathiTrust Record</v>
      </c>
      <c r="AV1504" s="6" t="str">
        <f>HYPERLINK("http://mcgill.on.worldcat.org/oclc/12420761","Catalog Record")</f>
        <v>Catalog Record</v>
      </c>
      <c r="AW1504" s="6" t="str">
        <f>HYPERLINK("http://www.worldcat.org/oclc/12420761","WorldCat Record")</f>
        <v>WorldCat Record</v>
      </c>
      <c r="AX1504" s="3" t="s">
        <v>14617</v>
      </c>
      <c r="AY1504" s="3" t="s">
        <v>14618</v>
      </c>
      <c r="AZ1504" s="3" t="s">
        <v>14619</v>
      </c>
      <c r="BA1504" s="3" t="s">
        <v>14619</v>
      </c>
      <c r="BB1504" s="3" t="s">
        <v>14620</v>
      </c>
      <c r="BC1504" s="3" t="s">
        <v>142</v>
      </c>
      <c r="BD1504" s="3" t="s">
        <v>68</v>
      </c>
      <c r="BE1504" s="3" t="s">
        <v>14621</v>
      </c>
      <c r="BF1504" s="3" t="s">
        <v>14620</v>
      </c>
      <c r="BG1504" s="3" t="s">
        <v>14622</v>
      </c>
    </row>
    <row r="1505" spans="1:59" ht="57" x14ac:dyDescent="0.45">
      <c r="A1505" s="2" t="s">
        <v>59</v>
      </c>
      <c r="B1505" s="2" t="s">
        <v>60</v>
      </c>
      <c r="C1505" s="2" t="s">
        <v>14623</v>
      </c>
      <c r="D1505" s="2" t="s">
        <v>14624</v>
      </c>
      <c r="E1505" s="2" t="s">
        <v>14625</v>
      </c>
      <c r="G1505" s="3" t="s">
        <v>62</v>
      </c>
      <c r="I1505" s="3" t="s">
        <v>62</v>
      </c>
      <c r="J1505" s="3" t="s">
        <v>62</v>
      </c>
      <c r="K1505" s="3" t="s">
        <v>63</v>
      </c>
      <c r="M1505" s="2" t="s">
        <v>14626</v>
      </c>
      <c r="N1505" s="3" t="s">
        <v>1604</v>
      </c>
      <c r="P1505" s="3" t="s">
        <v>65</v>
      </c>
      <c r="Q1505" s="2" t="s">
        <v>14627</v>
      </c>
      <c r="R1505" s="3" t="s">
        <v>66</v>
      </c>
      <c r="S1505" s="4">
        <v>46</v>
      </c>
      <c r="T1505" s="4">
        <v>46</v>
      </c>
      <c r="U1505" s="5" t="s">
        <v>303</v>
      </c>
      <c r="V1505" s="5" t="s">
        <v>303</v>
      </c>
      <c r="W1505" s="5" t="s">
        <v>67</v>
      </c>
      <c r="X1505" s="5" t="s">
        <v>67</v>
      </c>
      <c r="Y1505" s="4">
        <v>306</v>
      </c>
      <c r="Z1505" s="4">
        <v>19</v>
      </c>
      <c r="AA1505" s="4">
        <v>21</v>
      </c>
      <c r="AB1505" s="4">
        <v>2</v>
      </c>
      <c r="AC1505" s="4">
        <v>4</v>
      </c>
      <c r="AD1505" s="4">
        <v>110</v>
      </c>
      <c r="AE1505" s="4">
        <v>112</v>
      </c>
      <c r="AF1505" s="4">
        <v>1</v>
      </c>
      <c r="AG1505" s="4">
        <v>3</v>
      </c>
      <c r="AH1505" s="4">
        <v>99</v>
      </c>
      <c r="AI1505" s="4">
        <v>99</v>
      </c>
      <c r="AJ1505" s="4">
        <v>14</v>
      </c>
      <c r="AK1505" s="4">
        <v>16</v>
      </c>
      <c r="AL1505" s="4">
        <v>56</v>
      </c>
      <c r="AM1505" s="4">
        <v>56</v>
      </c>
      <c r="AN1505" s="4">
        <v>0</v>
      </c>
      <c r="AO1505" s="4">
        <v>0</v>
      </c>
      <c r="AP1505" s="4">
        <v>16</v>
      </c>
      <c r="AQ1505" s="4">
        <v>17</v>
      </c>
      <c r="AR1505" s="3" t="s">
        <v>62</v>
      </c>
      <c r="AS1505" s="3" t="s">
        <v>62</v>
      </c>
      <c r="AT1505" s="3" t="s">
        <v>62</v>
      </c>
      <c r="AV1505" s="6" t="str">
        <f>HYPERLINK("http://mcgill.on.worldcat.org/oclc/28213585","Catalog Record")</f>
        <v>Catalog Record</v>
      </c>
      <c r="AW1505" s="6" t="str">
        <f>HYPERLINK("http://www.worldcat.org/oclc/28213585","WorldCat Record")</f>
        <v>WorldCat Record</v>
      </c>
      <c r="AX1505" s="3" t="s">
        <v>14628</v>
      </c>
      <c r="AY1505" s="3" t="s">
        <v>14629</v>
      </c>
      <c r="AZ1505" s="3" t="s">
        <v>14630</v>
      </c>
      <c r="BA1505" s="3" t="s">
        <v>14630</v>
      </c>
      <c r="BB1505" s="3" t="s">
        <v>14631</v>
      </c>
      <c r="BC1505" s="3" t="s">
        <v>142</v>
      </c>
      <c r="BD1505" s="3" t="s">
        <v>308</v>
      </c>
      <c r="BE1505" s="3" t="s">
        <v>14632</v>
      </c>
      <c r="BF1505" s="3" t="s">
        <v>14631</v>
      </c>
      <c r="BG1505" s="3" t="s">
        <v>14633</v>
      </c>
    </row>
    <row r="1506" spans="1:59" ht="57" x14ac:dyDescent="0.45">
      <c r="A1506" s="2" t="s">
        <v>59</v>
      </c>
      <c r="B1506" s="2" t="s">
        <v>60</v>
      </c>
      <c r="C1506" s="2" t="s">
        <v>14634</v>
      </c>
      <c r="D1506" s="2" t="s">
        <v>14635</v>
      </c>
      <c r="E1506" s="2" t="s">
        <v>14636</v>
      </c>
      <c r="G1506" s="3" t="s">
        <v>62</v>
      </c>
      <c r="I1506" s="3" t="s">
        <v>62</v>
      </c>
      <c r="J1506" s="3" t="s">
        <v>62</v>
      </c>
      <c r="K1506" s="3" t="s">
        <v>63</v>
      </c>
      <c r="L1506" s="2" t="s">
        <v>14637</v>
      </c>
      <c r="M1506" s="2" t="s">
        <v>14638</v>
      </c>
      <c r="N1506" s="3" t="s">
        <v>1155</v>
      </c>
      <c r="P1506" s="3" t="s">
        <v>65</v>
      </c>
      <c r="Q1506" s="2" t="s">
        <v>14639</v>
      </c>
      <c r="R1506" s="3" t="s">
        <v>66</v>
      </c>
      <c r="S1506" s="4">
        <v>7</v>
      </c>
      <c r="T1506" s="4">
        <v>7</v>
      </c>
      <c r="U1506" s="5" t="s">
        <v>13822</v>
      </c>
      <c r="V1506" s="5" t="s">
        <v>13822</v>
      </c>
      <c r="W1506" s="5" t="s">
        <v>67</v>
      </c>
      <c r="X1506" s="5" t="s">
        <v>67</v>
      </c>
      <c r="Y1506" s="4">
        <v>233</v>
      </c>
      <c r="Z1506" s="4">
        <v>17</v>
      </c>
      <c r="AA1506" s="4">
        <v>77</v>
      </c>
      <c r="AB1506" s="4">
        <v>2</v>
      </c>
      <c r="AC1506" s="4">
        <v>15</v>
      </c>
      <c r="AD1506" s="4">
        <v>52</v>
      </c>
      <c r="AE1506" s="4">
        <v>104</v>
      </c>
      <c r="AF1506" s="4">
        <v>1</v>
      </c>
      <c r="AG1506" s="4">
        <v>8</v>
      </c>
      <c r="AH1506" s="4">
        <v>47</v>
      </c>
      <c r="AI1506" s="4">
        <v>74</v>
      </c>
      <c r="AJ1506" s="4">
        <v>9</v>
      </c>
      <c r="AK1506" s="4">
        <v>19</v>
      </c>
      <c r="AL1506" s="4">
        <v>27</v>
      </c>
      <c r="AM1506" s="4">
        <v>41</v>
      </c>
      <c r="AN1506" s="4">
        <v>0</v>
      </c>
      <c r="AO1506" s="4">
        <v>0</v>
      </c>
      <c r="AP1506" s="4">
        <v>10</v>
      </c>
      <c r="AQ1506" s="4">
        <v>38</v>
      </c>
      <c r="AR1506" s="3" t="s">
        <v>62</v>
      </c>
      <c r="AS1506" s="3" t="s">
        <v>62</v>
      </c>
      <c r="AT1506" s="3" t="s">
        <v>62</v>
      </c>
      <c r="AV1506" s="6" t="str">
        <f>HYPERLINK("http://mcgill.on.worldcat.org/oclc/746838425","Catalog Record")</f>
        <v>Catalog Record</v>
      </c>
      <c r="AW1506" s="6" t="str">
        <f>HYPERLINK("http://www.worldcat.org/oclc/746838425","WorldCat Record")</f>
        <v>WorldCat Record</v>
      </c>
      <c r="AX1506" s="3" t="s">
        <v>14640</v>
      </c>
      <c r="AY1506" s="3" t="s">
        <v>14641</v>
      </c>
      <c r="AZ1506" s="3" t="s">
        <v>14642</v>
      </c>
      <c r="BA1506" s="3" t="s">
        <v>14642</v>
      </c>
      <c r="BB1506" s="3" t="s">
        <v>14643</v>
      </c>
      <c r="BC1506" s="3" t="s">
        <v>142</v>
      </c>
      <c r="BD1506" s="3" t="s">
        <v>68</v>
      </c>
      <c r="BE1506" s="3" t="s">
        <v>14644</v>
      </c>
      <c r="BF1506" s="3" t="s">
        <v>14643</v>
      </c>
      <c r="BG1506" s="3" t="s">
        <v>14645</v>
      </c>
    </row>
    <row r="1507" spans="1:59" ht="57" x14ac:dyDescent="0.45">
      <c r="A1507" s="2" t="s">
        <v>59</v>
      </c>
      <c r="B1507" s="2" t="s">
        <v>60</v>
      </c>
      <c r="C1507" s="2" t="s">
        <v>14646</v>
      </c>
      <c r="D1507" s="2" t="s">
        <v>14647</v>
      </c>
      <c r="E1507" s="2" t="s">
        <v>14648</v>
      </c>
      <c r="F1507" s="3" t="s">
        <v>14649</v>
      </c>
      <c r="G1507" s="3" t="s">
        <v>61</v>
      </c>
      <c r="I1507" s="3" t="s">
        <v>62</v>
      </c>
      <c r="J1507" s="3" t="s">
        <v>62</v>
      </c>
      <c r="K1507" s="3" t="s">
        <v>63</v>
      </c>
      <c r="L1507" s="2" t="s">
        <v>13305</v>
      </c>
      <c r="M1507" s="2" t="s">
        <v>14650</v>
      </c>
      <c r="N1507" s="3" t="s">
        <v>1855</v>
      </c>
      <c r="P1507" s="3" t="s">
        <v>65</v>
      </c>
      <c r="R1507" s="3" t="s">
        <v>66</v>
      </c>
      <c r="S1507" s="4">
        <v>6</v>
      </c>
      <c r="T1507" s="4">
        <v>186</v>
      </c>
      <c r="U1507" s="5" t="s">
        <v>3232</v>
      </c>
      <c r="V1507" s="5" t="s">
        <v>342</v>
      </c>
      <c r="W1507" s="5" t="s">
        <v>67</v>
      </c>
      <c r="X1507" s="5" t="s">
        <v>67</v>
      </c>
      <c r="Y1507" s="4">
        <v>114</v>
      </c>
      <c r="Z1507" s="4">
        <v>12</v>
      </c>
      <c r="AA1507" s="4">
        <v>12</v>
      </c>
      <c r="AB1507" s="4">
        <v>1</v>
      </c>
      <c r="AC1507" s="4">
        <v>1</v>
      </c>
      <c r="AD1507" s="4">
        <v>40</v>
      </c>
      <c r="AE1507" s="4">
        <v>40</v>
      </c>
      <c r="AF1507" s="4">
        <v>0</v>
      </c>
      <c r="AG1507" s="4">
        <v>0</v>
      </c>
      <c r="AH1507" s="4">
        <v>34</v>
      </c>
      <c r="AI1507" s="4">
        <v>34</v>
      </c>
      <c r="AJ1507" s="4">
        <v>8</v>
      </c>
      <c r="AK1507" s="4">
        <v>8</v>
      </c>
      <c r="AL1507" s="4">
        <v>19</v>
      </c>
      <c r="AM1507" s="4">
        <v>19</v>
      </c>
      <c r="AN1507" s="4">
        <v>0</v>
      </c>
      <c r="AO1507" s="4">
        <v>0</v>
      </c>
      <c r="AP1507" s="4">
        <v>10</v>
      </c>
      <c r="AQ1507" s="4">
        <v>10</v>
      </c>
      <c r="AR1507" s="3" t="s">
        <v>62</v>
      </c>
      <c r="AS1507" s="3" t="s">
        <v>62</v>
      </c>
      <c r="AT1507" s="3" t="s">
        <v>62</v>
      </c>
      <c r="AV1507" s="6" t="str">
        <f t="shared" ref="AV1507:AV1528" si="22">HYPERLINK("http://mcgill.on.worldcat.org/oclc/63661170","Catalog Record")</f>
        <v>Catalog Record</v>
      </c>
      <c r="AW1507" s="6" t="str">
        <f t="shared" ref="AW1507:AW1528" si="23">HYPERLINK("http://www.worldcat.org/oclc/63661170","WorldCat Record")</f>
        <v>WorldCat Record</v>
      </c>
      <c r="AX1507" s="3" t="s">
        <v>14651</v>
      </c>
      <c r="AY1507" s="3" t="s">
        <v>14652</v>
      </c>
      <c r="AZ1507" s="3" t="s">
        <v>14653</v>
      </c>
      <c r="BA1507" s="3" t="s">
        <v>14653</v>
      </c>
      <c r="BB1507" s="3" t="s">
        <v>14654</v>
      </c>
      <c r="BC1507" s="3" t="s">
        <v>142</v>
      </c>
      <c r="BD1507" s="3" t="s">
        <v>68</v>
      </c>
      <c r="BE1507" s="3" t="s">
        <v>14655</v>
      </c>
      <c r="BF1507" s="3" t="s">
        <v>14654</v>
      </c>
      <c r="BG1507" s="3" t="s">
        <v>14656</v>
      </c>
    </row>
    <row r="1508" spans="1:59" ht="57" x14ac:dyDescent="0.45">
      <c r="A1508" s="2" t="s">
        <v>59</v>
      </c>
      <c r="B1508" s="2" t="s">
        <v>60</v>
      </c>
      <c r="C1508" s="2" t="s">
        <v>14646</v>
      </c>
      <c r="D1508" s="2" t="s">
        <v>14647</v>
      </c>
      <c r="E1508" s="2" t="s">
        <v>14648</v>
      </c>
      <c r="F1508" s="3" t="s">
        <v>12346</v>
      </c>
      <c r="G1508" s="3" t="s">
        <v>61</v>
      </c>
      <c r="I1508" s="3" t="s">
        <v>62</v>
      </c>
      <c r="J1508" s="3" t="s">
        <v>62</v>
      </c>
      <c r="K1508" s="3" t="s">
        <v>63</v>
      </c>
      <c r="L1508" s="2" t="s">
        <v>13305</v>
      </c>
      <c r="M1508" s="2" t="s">
        <v>14650</v>
      </c>
      <c r="N1508" s="3" t="s">
        <v>1855</v>
      </c>
      <c r="P1508" s="3" t="s">
        <v>65</v>
      </c>
      <c r="R1508" s="3" t="s">
        <v>66</v>
      </c>
      <c r="S1508" s="4">
        <v>10</v>
      </c>
      <c r="T1508" s="4">
        <v>186</v>
      </c>
      <c r="U1508" s="5" t="s">
        <v>3449</v>
      </c>
      <c r="V1508" s="5" t="s">
        <v>342</v>
      </c>
      <c r="W1508" s="5" t="s">
        <v>67</v>
      </c>
      <c r="X1508" s="5" t="s">
        <v>67</v>
      </c>
      <c r="Y1508" s="4">
        <v>114</v>
      </c>
      <c r="Z1508" s="4">
        <v>12</v>
      </c>
      <c r="AA1508" s="4">
        <v>12</v>
      </c>
      <c r="AB1508" s="4">
        <v>1</v>
      </c>
      <c r="AC1508" s="4">
        <v>1</v>
      </c>
      <c r="AD1508" s="4">
        <v>40</v>
      </c>
      <c r="AE1508" s="4">
        <v>40</v>
      </c>
      <c r="AF1508" s="4">
        <v>0</v>
      </c>
      <c r="AG1508" s="4">
        <v>0</v>
      </c>
      <c r="AH1508" s="4">
        <v>34</v>
      </c>
      <c r="AI1508" s="4">
        <v>34</v>
      </c>
      <c r="AJ1508" s="4">
        <v>8</v>
      </c>
      <c r="AK1508" s="4">
        <v>8</v>
      </c>
      <c r="AL1508" s="4">
        <v>19</v>
      </c>
      <c r="AM1508" s="4">
        <v>19</v>
      </c>
      <c r="AN1508" s="4">
        <v>0</v>
      </c>
      <c r="AO1508" s="4">
        <v>0</v>
      </c>
      <c r="AP1508" s="4">
        <v>10</v>
      </c>
      <c r="AQ1508" s="4">
        <v>10</v>
      </c>
      <c r="AR1508" s="3" t="s">
        <v>62</v>
      </c>
      <c r="AS1508" s="3" t="s">
        <v>62</v>
      </c>
      <c r="AT1508" s="3" t="s">
        <v>62</v>
      </c>
      <c r="AV1508" s="6" t="str">
        <f t="shared" si="22"/>
        <v>Catalog Record</v>
      </c>
      <c r="AW1508" s="6" t="str">
        <f t="shared" si="23"/>
        <v>WorldCat Record</v>
      </c>
      <c r="AX1508" s="3" t="s">
        <v>14651</v>
      </c>
      <c r="AY1508" s="3" t="s">
        <v>14652</v>
      </c>
      <c r="AZ1508" s="3" t="s">
        <v>14653</v>
      </c>
      <c r="BA1508" s="3" t="s">
        <v>14653</v>
      </c>
      <c r="BB1508" s="3" t="s">
        <v>14657</v>
      </c>
      <c r="BC1508" s="3" t="s">
        <v>142</v>
      </c>
      <c r="BD1508" s="3" t="s">
        <v>68</v>
      </c>
      <c r="BE1508" s="3" t="s">
        <v>14655</v>
      </c>
      <c r="BF1508" s="3" t="s">
        <v>14657</v>
      </c>
      <c r="BG1508" s="3" t="s">
        <v>14658</v>
      </c>
    </row>
    <row r="1509" spans="1:59" ht="57" x14ac:dyDescent="0.45">
      <c r="A1509" s="2" t="s">
        <v>59</v>
      </c>
      <c r="B1509" s="2" t="s">
        <v>60</v>
      </c>
      <c r="C1509" s="2" t="s">
        <v>14646</v>
      </c>
      <c r="D1509" s="2" t="s">
        <v>14647</v>
      </c>
      <c r="E1509" s="2" t="s">
        <v>14648</v>
      </c>
      <c r="F1509" s="3" t="s">
        <v>6090</v>
      </c>
      <c r="G1509" s="3" t="s">
        <v>61</v>
      </c>
      <c r="I1509" s="3" t="s">
        <v>62</v>
      </c>
      <c r="J1509" s="3" t="s">
        <v>62</v>
      </c>
      <c r="K1509" s="3" t="s">
        <v>63</v>
      </c>
      <c r="L1509" s="2" t="s">
        <v>13305</v>
      </c>
      <c r="M1509" s="2" t="s">
        <v>14650</v>
      </c>
      <c r="N1509" s="3" t="s">
        <v>1855</v>
      </c>
      <c r="P1509" s="3" t="s">
        <v>65</v>
      </c>
      <c r="R1509" s="3" t="s">
        <v>66</v>
      </c>
      <c r="S1509" s="4">
        <v>6</v>
      </c>
      <c r="T1509" s="4">
        <v>186</v>
      </c>
      <c r="U1509" s="5" t="s">
        <v>3449</v>
      </c>
      <c r="V1509" s="5" t="s">
        <v>342</v>
      </c>
      <c r="W1509" s="5" t="s">
        <v>67</v>
      </c>
      <c r="X1509" s="5" t="s">
        <v>67</v>
      </c>
      <c r="Y1509" s="4">
        <v>114</v>
      </c>
      <c r="Z1509" s="4">
        <v>12</v>
      </c>
      <c r="AA1509" s="4">
        <v>12</v>
      </c>
      <c r="AB1509" s="4">
        <v>1</v>
      </c>
      <c r="AC1509" s="4">
        <v>1</v>
      </c>
      <c r="AD1509" s="4">
        <v>40</v>
      </c>
      <c r="AE1509" s="4">
        <v>40</v>
      </c>
      <c r="AF1509" s="4">
        <v>0</v>
      </c>
      <c r="AG1509" s="4">
        <v>0</v>
      </c>
      <c r="AH1509" s="4">
        <v>34</v>
      </c>
      <c r="AI1509" s="4">
        <v>34</v>
      </c>
      <c r="AJ1509" s="4">
        <v>8</v>
      </c>
      <c r="AK1509" s="4">
        <v>8</v>
      </c>
      <c r="AL1509" s="4">
        <v>19</v>
      </c>
      <c r="AM1509" s="4">
        <v>19</v>
      </c>
      <c r="AN1509" s="4">
        <v>0</v>
      </c>
      <c r="AO1509" s="4">
        <v>0</v>
      </c>
      <c r="AP1509" s="4">
        <v>10</v>
      </c>
      <c r="AQ1509" s="4">
        <v>10</v>
      </c>
      <c r="AR1509" s="3" t="s">
        <v>62</v>
      </c>
      <c r="AS1509" s="3" t="s">
        <v>62</v>
      </c>
      <c r="AT1509" s="3" t="s">
        <v>62</v>
      </c>
      <c r="AV1509" s="6" t="str">
        <f t="shared" si="22"/>
        <v>Catalog Record</v>
      </c>
      <c r="AW1509" s="6" t="str">
        <f t="shared" si="23"/>
        <v>WorldCat Record</v>
      </c>
      <c r="AX1509" s="3" t="s">
        <v>14651</v>
      </c>
      <c r="AY1509" s="3" t="s">
        <v>14652</v>
      </c>
      <c r="AZ1509" s="3" t="s">
        <v>14653</v>
      </c>
      <c r="BA1509" s="3" t="s">
        <v>14653</v>
      </c>
      <c r="BB1509" s="3" t="s">
        <v>14659</v>
      </c>
      <c r="BC1509" s="3" t="s">
        <v>142</v>
      </c>
      <c r="BD1509" s="3" t="s">
        <v>68</v>
      </c>
      <c r="BE1509" s="3" t="s">
        <v>14655</v>
      </c>
      <c r="BF1509" s="3" t="s">
        <v>14659</v>
      </c>
      <c r="BG1509" s="3" t="s">
        <v>14660</v>
      </c>
    </row>
    <row r="1510" spans="1:59" ht="57" x14ac:dyDescent="0.45">
      <c r="A1510" s="2" t="s">
        <v>59</v>
      </c>
      <c r="B1510" s="2" t="s">
        <v>60</v>
      </c>
      <c r="C1510" s="2" t="s">
        <v>14646</v>
      </c>
      <c r="D1510" s="2" t="s">
        <v>14647</v>
      </c>
      <c r="E1510" s="2" t="s">
        <v>14648</v>
      </c>
      <c r="F1510" s="3" t="s">
        <v>12350</v>
      </c>
      <c r="G1510" s="3" t="s">
        <v>61</v>
      </c>
      <c r="I1510" s="3" t="s">
        <v>62</v>
      </c>
      <c r="J1510" s="3" t="s">
        <v>62</v>
      </c>
      <c r="K1510" s="3" t="s">
        <v>63</v>
      </c>
      <c r="L1510" s="2" t="s">
        <v>13305</v>
      </c>
      <c r="M1510" s="2" t="s">
        <v>14650</v>
      </c>
      <c r="N1510" s="3" t="s">
        <v>1855</v>
      </c>
      <c r="P1510" s="3" t="s">
        <v>65</v>
      </c>
      <c r="R1510" s="3" t="s">
        <v>66</v>
      </c>
      <c r="S1510" s="4">
        <v>10</v>
      </c>
      <c r="T1510" s="4">
        <v>186</v>
      </c>
      <c r="U1510" s="5" t="s">
        <v>3449</v>
      </c>
      <c r="V1510" s="5" t="s">
        <v>342</v>
      </c>
      <c r="W1510" s="5" t="s">
        <v>67</v>
      </c>
      <c r="X1510" s="5" t="s">
        <v>67</v>
      </c>
      <c r="Y1510" s="4">
        <v>114</v>
      </c>
      <c r="Z1510" s="4">
        <v>12</v>
      </c>
      <c r="AA1510" s="4">
        <v>12</v>
      </c>
      <c r="AB1510" s="4">
        <v>1</v>
      </c>
      <c r="AC1510" s="4">
        <v>1</v>
      </c>
      <c r="AD1510" s="4">
        <v>40</v>
      </c>
      <c r="AE1510" s="4">
        <v>40</v>
      </c>
      <c r="AF1510" s="4">
        <v>0</v>
      </c>
      <c r="AG1510" s="4">
        <v>0</v>
      </c>
      <c r="AH1510" s="4">
        <v>34</v>
      </c>
      <c r="AI1510" s="4">
        <v>34</v>
      </c>
      <c r="AJ1510" s="4">
        <v>8</v>
      </c>
      <c r="AK1510" s="4">
        <v>8</v>
      </c>
      <c r="AL1510" s="4">
        <v>19</v>
      </c>
      <c r="AM1510" s="4">
        <v>19</v>
      </c>
      <c r="AN1510" s="4">
        <v>0</v>
      </c>
      <c r="AO1510" s="4">
        <v>0</v>
      </c>
      <c r="AP1510" s="4">
        <v>10</v>
      </c>
      <c r="AQ1510" s="4">
        <v>10</v>
      </c>
      <c r="AR1510" s="3" t="s">
        <v>62</v>
      </c>
      <c r="AS1510" s="3" t="s">
        <v>62</v>
      </c>
      <c r="AT1510" s="3" t="s">
        <v>62</v>
      </c>
      <c r="AV1510" s="6" t="str">
        <f t="shared" si="22"/>
        <v>Catalog Record</v>
      </c>
      <c r="AW1510" s="6" t="str">
        <f t="shared" si="23"/>
        <v>WorldCat Record</v>
      </c>
      <c r="AX1510" s="3" t="s">
        <v>14651</v>
      </c>
      <c r="AY1510" s="3" t="s">
        <v>14652</v>
      </c>
      <c r="AZ1510" s="3" t="s">
        <v>14653</v>
      </c>
      <c r="BA1510" s="3" t="s">
        <v>14653</v>
      </c>
      <c r="BB1510" s="3" t="s">
        <v>14661</v>
      </c>
      <c r="BC1510" s="3" t="s">
        <v>142</v>
      </c>
      <c r="BD1510" s="3" t="s">
        <v>68</v>
      </c>
      <c r="BE1510" s="3" t="s">
        <v>14655</v>
      </c>
      <c r="BF1510" s="3" t="s">
        <v>14661</v>
      </c>
      <c r="BG1510" s="3" t="s">
        <v>14662</v>
      </c>
    </row>
    <row r="1511" spans="1:59" ht="57" x14ac:dyDescent="0.45">
      <c r="A1511" s="2" t="s">
        <v>59</v>
      </c>
      <c r="B1511" s="2" t="s">
        <v>60</v>
      </c>
      <c r="C1511" s="2" t="s">
        <v>14646</v>
      </c>
      <c r="D1511" s="2" t="s">
        <v>14647</v>
      </c>
      <c r="E1511" s="2" t="s">
        <v>14648</v>
      </c>
      <c r="F1511" s="3" t="s">
        <v>6097</v>
      </c>
      <c r="G1511" s="3" t="s">
        <v>61</v>
      </c>
      <c r="I1511" s="3" t="s">
        <v>62</v>
      </c>
      <c r="J1511" s="3" t="s">
        <v>62</v>
      </c>
      <c r="K1511" s="3" t="s">
        <v>63</v>
      </c>
      <c r="L1511" s="2" t="s">
        <v>13305</v>
      </c>
      <c r="M1511" s="2" t="s">
        <v>14650</v>
      </c>
      <c r="N1511" s="3" t="s">
        <v>1855</v>
      </c>
      <c r="P1511" s="3" t="s">
        <v>65</v>
      </c>
      <c r="R1511" s="3" t="s">
        <v>66</v>
      </c>
      <c r="S1511" s="4">
        <v>9</v>
      </c>
      <c r="T1511" s="4">
        <v>186</v>
      </c>
      <c r="U1511" s="5" t="s">
        <v>3449</v>
      </c>
      <c r="V1511" s="5" t="s">
        <v>342</v>
      </c>
      <c r="W1511" s="5" t="s">
        <v>67</v>
      </c>
      <c r="X1511" s="5" t="s">
        <v>67</v>
      </c>
      <c r="Y1511" s="4">
        <v>114</v>
      </c>
      <c r="Z1511" s="4">
        <v>12</v>
      </c>
      <c r="AA1511" s="4">
        <v>12</v>
      </c>
      <c r="AB1511" s="4">
        <v>1</v>
      </c>
      <c r="AC1511" s="4">
        <v>1</v>
      </c>
      <c r="AD1511" s="4">
        <v>40</v>
      </c>
      <c r="AE1511" s="4">
        <v>40</v>
      </c>
      <c r="AF1511" s="4">
        <v>0</v>
      </c>
      <c r="AG1511" s="4">
        <v>0</v>
      </c>
      <c r="AH1511" s="4">
        <v>34</v>
      </c>
      <c r="AI1511" s="4">
        <v>34</v>
      </c>
      <c r="AJ1511" s="4">
        <v>8</v>
      </c>
      <c r="AK1511" s="4">
        <v>8</v>
      </c>
      <c r="AL1511" s="4">
        <v>19</v>
      </c>
      <c r="AM1511" s="4">
        <v>19</v>
      </c>
      <c r="AN1511" s="4">
        <v>0</v>
      </c>
      <c r="AO1511" s="4">
        <v>0</v>
      </c>
      <c r="AP1511" s="4">
        <v>10</v>
      </c>
      <c r="AQ1511" s="4">
        <v>10</v>
      </c>
      <c r="AR1511" s="3" t="s">
        <v>62</v>
      </c>
      <c r="AS1511" s="3" t="s">
        <v>62</v>
      </c>
      <c r="AT1511" s="3" t="s">
        <v>62</v>
      </c>
      <c r="AV1511" s="6" t="str">
        <f t="shared" si="22"/>
        <v>Catalog Record</v>
      </c>
      <c r="AW1511" s="6" t="str">
        <f t="shared" si="23"/>
        <v>WorldCat Record</v>
      </c>
      <c r="AX1511" s="3" t="s">
        <v>14651</v>
      </c>
      <c r="AY1511" s="3" t="s">
        <v>14652</v>
      </c>
      <c r="AZ1511" s="3" t="s">
        <v>14653</v>
      </c>
      <c r="BA1511" s="3" t="s">
        <v>14653</v>
      </c>
      <c r="BB1511" s="3" t="s">
        <v>14663</v>
      </c>
      <c r="BC1511" s="3" t="s">
        <v>142</v>
      </c>
      <c r="BD1511" s="3" t="s">
        <v>68</v>
      </c>
      <c r="BE1511" s="3" t="s">
        <v>14655</v>
      </c>
      <c r="BF1511" s="3" t="s">
        <v>14663</v>
      </c>
      <c r="BG1511" s="3" t="s">
        <v>14664</v>
      </c>
    </row>
    <row r="1512" spans="1:59" ht="57" x14ac:dyDescent="0.45">
      <c r="A1512" s="2" t="s">
        <v>59</v>
      </c>
      <c r="B1512" s="2" t="s">
        <v>60</v>
      </c>
      <c r="C1512" s="2" t="s">
        <v>14646</v>
      </c>
      <c r="D1512" s="2" t="s">
        <v>14647</v>
      </c>
      <c r="E1512" s="2" t="s">
        <v>14648</v>
      </c>
      <c r="F1512" s="3" t="s">
        <v>6125</v>
      </c>
      <c r="G1512" s="3" t="s">
        <v>61</v>
      </c>
      <c r="I1512" s="3" t="s">
        <v>62</v>
      </c>
      <c r="J1512" s="3" t="s">
        <v>62</v>
      </c>
      <c r="K1512" s="3" t="s">
        <v>63</v>
      </c>
      <c r="L1512" s="2" t="s">
        <v>13305</v>
      </c>
      <c r="M1512" s="2" t="s">
        <v>14650</v>
      </c>
      <c r="N1512" s="3" t="s">
        <v>1855</v>
      </c>
      <c r="P1512" s="3" t="s">
        <v>65</v>
      </c>
      <c r="R1512" s="3" t="s">
        <v>66</v>
      </c>
      <c r="S1512" s="4">
        <v>6</v>
      </c>
      <c r="T1512" s="4">
        <v>186</v>
      </c>
      <c r="U1512" s="5" t="s">
        <v>3449</v>
      </c>
      <c r="V1512" s="5" t="s">
        <v>342</v>
      </c>
      <c r="W1512" s="5" t="s">
        <v>67</v>
      </c>
      <c r="X1512" s="5" t="s">
        <v>67</v>
      </c>
      <c r="Y1512" s="4">
        <v>114</v>
      </c>
      <c r="Z1512" s="4">
        <v>12</v>
      </c>
      <c r="AA1512" s="4">
        <v>12</v>
      </c>
      <c r="AB1512" s="4">
        <v>1</v>
      </c>
      <c r="AC1512" s="4">
        <v>1</v>
      </c>
      <c r="AD1512" s="4">
        <v>40</v>
      </c>
      <c r="AE1512" s="4">
        <v>40</v>
      </c>
      <c r="AF1512" s="4">
        <v>0</v>
      </c>
      <c r="AG1512" s="4">
        <v>0</v>
      </c>
      <c r="AH1512" s="4">
        <v>34</v>
      </c>
      <c r="AI1512" s="4">
        <v>34</v>
      </c>
      <c r="AJ1512" s="4">
        <v>8</v>
      </c>
      <c r="AK1512" s="4">
        <v>8</v>
      </c>
      <c r="AL1512" s="4">
        <v>19</v>
      </c>
      <c r="AM1512" s="4">
        <v>19</v>
      </c>
      <c r="AN1512" s="4">
        <v>0</v>
      </c>
      <c r="AO1512" s="4">
        <v>0</v>
      </c>
      <c r="AP1512" s="4">
        <v>10</v>
      </c>
      <c r="AQ1512" s="4">
        <v>10</v>
      </c>
      <c r="AR1512" s="3" t="s">
        <v>62</v>
      </c>
      <c r="AS1512" s="3" t="s">
        <v>62</v>
      </c>
      <c r="AT1512" s="3" t="s">
        <v>62</v>
      </c>
      <c r="AV1512" s="6" t="str">
        <f t="shared" si="22"/>
        <v>Catalog Record</v>
      </c>
      <c r="AW1512" s="6" t="str">
        <f t="shared" si="23"/>
        <v>WorldCat Record</v>
      </c>
      <c r="AX1512" s="3" t="s">
        <v>14651</v>
      </c>
      <c r="AY1512" s="3" t="s">
        <v>14652</v>
      </c>
      <c r="AZ1512" s="3" t="s">
        <v>14653</v>
      </c>
      <c r="BA1512" s="3" t="s">
        <v>14653</v>
      </c>
      <c r="BB1512" s="3" t="s">
        <v>14665</v>
      </c>
      <c r="BC1512" s="3" t="s">
        <v>142</v>
      </c>
      <c r="BD1512" s="3" t="s">
        <v>68</v>
      </c>
      <c r="BE1512" s="3" t="s">
        <v>14655</v>
      </c>
      <c r="BF1512" s="3" t="s">
        <v>14665</v>
      </c>
      <c r="BG1512" s="3" t="s">
        <v>14666</v>
      </c>
    </row>
    <row r="1513" spans="1:59" ht="57" x14ac:dyDescent="0.45">
      <c r="A1513" s="2" t="s">
        <v>59</v>
      </c>
      <c r="B1513" s="2" t="s">
        <v>60</v>
      </c>
      <c r="C1513" s="2" t="s">
        <v>14646</v>
      </c>
      <c r="D1513" s="2" t="s">
        <v>14647</v>
      </c>
      <c r="E1513" s="2" t="s">
        <v>14648</v>
      </c>
      <c r="F1513" s="3" t="s">
        <v>83</v>
      </c>
      <c r="G1513" s="3" t="s">
        <v>61</v>
      </c>
      <c r="I1513" s="3" t="s">
        <v>62</v>
      </c>
      <c r="J1513" s="3" t="s">
        <v>62</v>
      </c>
      <c r="K1513" s="3" t="s">
        <v>63</v>
      </c>
      <c r="L1513" s="2" t="s">
        <v>13305</v>
      </c>
      <c r="M1513" s="2" t="s">
        <v>14650</v>
      </c>
      <c r="N1513" s="3" t="s">
        <v>1855</v>
      </c>
      <c r="P1513" s="3" t="s">
        <v>65</v>
      </c>
      <c r="R1513" s="3" t="s">
        <v>66</v>
      </c>
      <c r="S1513" s="4">
        <v>9</v>
      </c>
      <c r="T1513" s="4">
        <v>186</v>
      </c>
      <c r="U1513" s="5" t="s">
        <v>3449</v>
      </c>
      <c r="V1513" s="5" t="s">
        <v>342</v>
      </c>
      <c r="W1513" s="5" t="s">
        <v>67</v>
      </c>
      <c r="X1513" s="5" t="s">
        <v>67</v>
      </c>
      <c r="Y1513" s="4">
        <v>114</v>
      </c>
      <c r="Z1513" s="4">
        <v>12</v>
      </c>
      <c r="AA1513" s="4">
        <v>12</v>
      </c>
      <c r="AB1513" s="4">
        <v>1</v>
      </c>
      <c r="AC1513" s="4">
        <v>1</v>
      </c>
      <c r="AD1513" s="4">
        <v>40</v>
      </c>
      <c r="AE1513" s="4">
        <v>40</v>
      </c>
      <c r="AF1513" s="4">
        <v>0</v>
      </c>
      <c r="AG1513" s="4">
        <v>0</v>
      </c>
      <c r="AH1513" s="4">
        <v>34</v>
      </c>
      <c r="AI1513" s="4">
        <v>34</v>
      </c>
      <c r="AJ1513" s="4">
        <v>8</v>
      </c>
      <c r="AK1513" s="4">
        <v>8</v>
      </c>
      <c r="AL1513" s="4">
        <v>19</v>
      </c>
      <c r="AM1513" s="4">
        <v>19</v>
      </c>
      <c r="AN1513" s="4">
        <v>0</v>
      </c>
      <c r="AO1513" s="4">
        <v>0</v>
      </c>
      <c r="AP1513" s="4">
        <v>10</v>
      </c>
      <c r="AQ1513" s="4">
        <v>10</v>
      </c>
      <c r="AR1513" s="3" t="s">
        <v>62</v>
      </c>
      <c r="AS1513" s="3" t="s">
        <v>62</v>
      </c>
      <c r="AT1513" s="3" t="s">
        <v>62</v>
      </c>
      <c r="AV1513" s="6" t="str">
        <f t="shared" si="22"/>
        <v>Catalog Record</v>
      </c>
      <c r="AW1513" s="6" t="str">
        <f t="shared" si="23"/>
        <v>WorldCat Record</v>
      </c>
      <c r="AX1513" s="3" t="s">
        <v>14651</v>
      </c>
      <c r="AY1513" s="3" t="s">
        <v>14652</v>
      </c>
      <c r="AZ1513" s="3" t="s">
        <v>14653</v>
      </c>
      <c r="BA1513" s="3" t="s">
        <v>14653</v>
      </c>
      <c r="BB1513" s="3" t="s">
        <v>14667</v>
      </c>
      <c r="BC1513" s="3" t="s">
        <v>142</v>
      </c>
      <c r="BD1513" s="3" t="s">
        <v>68</v>
      </c>
      <c r="BE1513" s="3" t="s">
        <v>14655</v>
      </c>
      <c r="BF1513" s="3" t="s">
        <v>14667</v>
      </c>
      <c r="BG1513" s="3" t="s">
        <v>14668</v>
      </c>
    </row>
    <row r="1514" spans="1:59" ht="57" x14ac:dyDescent="0.45">
      <c r="A1514" s="2" t="s">
        <v>59</v>
      </c>
      <c r="B1514" s="2" t="s">
        <v>60</v>
      </c>
      <c r="C1514" s="2" t="s">
        <v>14646</v>
      </c>
      <c r="D1514" s="2" t="s">
        <v>14647</v>
      </c>
      <c r="E1514" s="2" t="s">
        <v>14648</v>
      </c>
      <c r="F1514" s="3" t="s">
        <v>12343</v>
      </c>
      <c r="G1514" s="3" t="s">
        <v>61</v>
      </c>
      <c r="I1514" s="3" t="s">
        <v>62</v>
      </c>
      <c r="J1514" s="3" t="s">
        <v>62</v>
      </c>
      <c r="K1514" s="3" t="s">
        <v>63</v>
      </c>
      <c r="L1514" s="2" t="s">
        <v>13305</v>
      </c>
      <c r="M1514" s="2" t="s">
        <v>14650</v>
      </c>
      <c r="N1514" s="3" t="s">
        <v>1855</v>
      </c>
      <c r="P1514" s="3" t="s">
        <v>65</v>
      </c>
      <c r="R1514" s="3" t="s">
        <v>66</v>
      </c>
      <c r="S1514" s="4">
        <v>7</v>
      </c>
      <c r="T1514" s="4">
        <v>186</v>
      </c>
      <c r="U1514" s="5" t="s">
        <v>3449</v>
      </c>
      <c r="V1514" s="5" t="s">
        <v>342</v>
      </c>
      <c r="W1514" s="5" t="s">
        <v>67</v>
      </c>
      <c r="X1514" s="5" t="s">
        <v>67</v>
      </c>
      <c r="Y1514" s="4">
        <v>114</v>
      </c>
      <c r="Z1514" s="4">
        <v>12</v>
      </c>
      <c r="AA1514" s="4">
        <v>12</v>
      </c>
      <c r="AB1514" s="4">
        <v>1</v>
      </c>
      <c r="AC1514" s="4">
        <v>1</v>
      </c>
      <c r="AD1514" s="4">
        <v>40</v>
      </c>
      <c r="AE1514" s="4">
        <v>40</v>
      </c>
      <c r="AF1514" s="4">
        <v>0</v>
      </c>
      <c r="AG1514" s="4">
        <v>0</v>
      </c>
      <c r="AH1514" s="4">
        <v>34</v>
      </c>
      <c r="AI1514" s="4">
        <v>34</v>
      </c>
      <c r="AJ1514" s="4">
        <v>8</v>
      </c>
      <c r="AK1514" s="4">
        <v>8</v>
      </c>
      <c r="AL1514" s="4">
        <v>19</v>
      </c>
      <c r="AM1514" s="4">
        <v>19</v>
      </c>
      <c r="AN1514" s="4">
        <v>0</v>
      </c>
      <c r="AO1514" s="4">
        <v>0</v>
      </c>
      <c r="AP1514" s="4">
        <v>10</v>
      </c>
      <c r="AQ1514" s="4">
        <v>10</v>
      </c>
      <c r="AR1514" s="3" t="s">
        <v>62</v>
      </c>
      <c r="AS1514" s="3" t="s">
        <v>62</v>
      </c>
      <c r="AT1514" s="3" t="s">
        <v>62</v>
      </c>
      <c r="AV1514" s="6" t="str">
        <f t="shared" si="22"/>
        <v>Catalog Record</v>
      </c>
      <c r="AW1514" s="6" t="str">
        <f t="shared" si="23"/>
        <v>WorldCat Record</v>
      </c>
      <c r="AX1514" s="3" t="s">
        <v>14651</v>
      </c>
      <c r="AY1514" s="3" t="s">
        <v>14652</v>
      </c>
      <c r="AZ1514" s="3" t="s">
        <v>14653</v>
      </c>
      <c r="BA1514" s="3" t="s">
        <v>14653</v>
      </c>
      <c r="BB1514" s="3" t="s">
        <v>14669</v>
      </c>
      <c r="BC1514" s="3" t="s">
        <v>142</v>
      </c>
      <c r="BD1514" s="3" t="s">
        <v>68</v>
      </c>
      <c r="BE1514" s="3" t="s">
        <v>14655</v>
      </c>
      <c r="BF1514" s="3" t="s">
        <v>14669</v>
      </c>
      <c r="BG1514" s="3" t="s">
        <v>14670</v>
      </c>
    </row>
    <row r="1515" spans="1:59" ht="57" x14ac:dyDescent="0.45">
      <c r="A1515" s="2" t="s">
        <v>59</v>
      </c>
      <c r="B1515" s="2" t="s">
        <v>60</v>
      </c>
      <c r="C1515" s="2" t="s">
        <v>14646</v>
      </c>
      <c r="D1515" s="2" t="s">
        <v>14647</v>
      </c>
      <c r="E1515" s="2" t="s">
        <v>14648</v>
      </c>
      <c r="F1515" s="3" t="s">
        <v>87</v>
      </c>
      <c r="G1515" s="3" t="s">
        <v>61</v>
      </c>
      <c r="I1515" s="3" t="s">
        <v>62</v>
      </c>
      <c r="J1515" s="3" t="s">
        <v>62</v>
      </c>
      <c r="K1515" s="3" t="s">
        <v>63</v>
      </c>
      <c r="L1515" s="2" t="s">
        <v>13305</v>
      </c>
      <c r="M1515" s="2" t="s">
        <v>14650</v>
      </c>
      <c r="N1515" s="3" t="s">
        <v>1855</v>
      </c>
      <c r="P1515" s="3" t="s">
        <v>65</v>
      </c>
      <c r="R1515" s="3" t="s">
        <v>66</v>
      </c>
      <c r="S1515" s="4">
        <v>11</v>
      </c>
      <c r="T1515" s="4">
        <v>186</v>
      </c>
      <c r="U1515" s="5" t="s">
        <v>342</v>
      </c>
      <c r="V1515" s="5" t="s">
        <v>342</v>
      </c>
      <c r="W1515" s="5" t="s">
        <v>67</v>
      </c>
      <c r="X1515" s="5" t="s">
        <v>67</v>
      </c>
      <c r="Y1515" s="4">
        <v>114</v>
      </c>
      <c r="Z1515" s="4">
        <v>12</v>
      </c>
      <c r="AA1515" s="4">
        <v>12</v>
      </c>
      <c r="AB1515" s="4">
        <v>1</v>
      </c>
      <c r="AC1515" s="4">
        <v>1</v>
      </c>
      <c r="AD1515" s="4">
        <v>40</v>
      </c>
      <c r="AE1515" s="4">
        <v>40</v>
      </c>
      <c r="AF1515" s="4">
        <v>0</v>
      </c>
      <c r="AG1515" s="4">
        <v>0</v>
      </c>
      <c r="AH1515" s="4">
        <v>34</v>
      </c>
      <c r="AI1515" s="4">
        <v>34</v>
      </c>
      <c r="AJ1515" s="4">
        <v>8</v>
      </c>
      <c r="AK1515" s="4">
        <v>8</v>
      </c>
      <c r="AL1515" s="4">
        <v>19</v>
      </c>
      <c r="AM1515" s="4">
        <v>19</v>
      </c>
      <c r="AN1515" s="4">
        <v>0</v>
      </c>
      <c r="AO1515" s="4">
        <v>0</v>
      </c>
      <c r="AP1515" s="4">
        <v>10</v>
      </c>
      <c r="AQ1515" s="4">
        <v>10</v>
      </c>
      <c r="AR1515" s="3" t="s">
        <v>62</v>
      </c>
      <c r="AS1515" s="3" t="s">
        <v>62</v>
      </c>
      <c r="AT1515" s="3" t="s">
        <v>62</v>
      </c>
      <c r="AV1515" s="6" t="str">
        <f t="shared" si="22"/>
        <v>Catalog Record</v>
      </c>
      <c r="AW1515" s="6" t="str">
        <f t="shared" si="23"/>
        <v>WorldCat Record</v>
      </c>
      <c r="AX1515" s="3" t="s">
        <v>14651</v>
      </c>
      <c r="AY1515" s="3" t="s">
        <v>14652</v>
      </c>
      <c r="AZ1515" s="3" t="s">
        <v>14653</v>
      </c>
      <c r="BA1515" s="3" t="s">
        <v>14653</v>
      </c>
      <c r="BB1515" s="3" t="s">
        <v>14671</v>
      </c>
      <c r="BC1515" s="3" t="s">
        <v>142</v>
      </c>
      <c r="BD1515" s="3" t="s">
        <v>68</v>
      </c>
      <c r="BE1515" s="3" t="s">
        <v>14655</v>
      </c>
      <c r="BF1515" s="3" t="s">
        <v>14671</v>
      </c>
      <c r="BG1515" s="3" t="s">
        <v>14672</v>
      </c>
    </row>
    <row r="1516" spans="1:59" ht="57" x14ac:dyDescent="0.45">
      <c r="A1516" s="2" t="s">
        <v>59</v>
      </c>
      <c r="B1516" s="2" t="s">
        <v>60</v>
      </c>
      <c r="C1516" s="2" t="s">
        <v>14646</v>
      </c>
      <c r="D1516" s="2" t="s">
        <v>14647</v>
      </c>
      <c r="E1516" s="2" t="s">
        <v>14648</v>
      </c>
      <c r="F1516" s="3" t="s">
        <v>89</v>
      </c>
      <c r="G1516" s="3" t="s">
        <v>61</v>
      </c>
      <c r="I1516" s="3" t="s">
        <v>62</v>
      </c>
      <c r="J1516" s="3" t="s">
        <v>62</v>
      </c>
      <c r="K1516" s="3" t="s">
        <v>63</v>
      </c>
      <c r="L1516" s="2" t="s">
        <v>13305</v>
      </c>
      <c r="M1516" s="2" t="s">
        <v>14650</v>
      </c>
      <c r="N1516" s="3" t="s">
        <v>1855</v>
      </c>
      <c r="P1516" s="3" t="s">
        <v>65</v>
      </c>
      <c r="R1516" s="3" t="s">
        <v>66</v>
      </c>
      <c r="S1516" s="4">
        <v>7</v>
      </c>
      <c r="T1516" s="4">
        <v>186</v>
      </c>
      <c r="U1516" s="5" t="s">
        <v>3449</v>
      </c>
      <c r="V1516" s="5" t="s">
        <v>342</v>
      </c>
      <c r="W1516" s="5" t="s">
        <v>67</v>
      </c>
      <c r="X1516" s="5" t="s">
        <v>67</v>
      </c>
      <c r="Y1516" s="4">
        <v>114</v>
      </c>
      <c r="Z1516" s="4">
        <v>12</v>
      </c>
      <c r="AA1516" s="4">
        <v>12</v>
      </c>
      <c r="AB1516" s="4">
        <v>1</v>
      </c>
      <c r="AC1516" s="4">
        <v>1</v>
      </c>
      <c r="AD1516" s="4">
        <v>40</v>
      </c>
      <c r="AE1516" s="4">
        <v>40</v>
      </c>
      <c r="AF1516" s="4">
        <v>0</v>
      </c>
      <c r="AG1516" s="4">
        <v>0</v>
      </c>
      <c r="AH1516" s="4">
        <v>34</v>
      </c>
      <c r="AI1516" s="4">
        <v>34</v>
      </c>
      <c r="AJ1516" s="4">
        <v>8</v>
      </c>
      <c r="AK1516" s="4">
        <v>8</v>
      </c>
      <c r="AL1516" s="4">
        <v>19</v>
      </c>
      <c r="AM1516" s="4">
        <v>19</v>
      </c>
      <c r="AN1516" s="4">
        <v>0</v>
      </c>
      <c r="AO1516" s="4">
        <v>0</v>
      </c>
      <c r="AP1516" s="4">
        <v>10</v>
      </c>
      <c r="AQ1516" s="4">
        <v>10</v>
      </c>
      <c r="AR1516" s="3" t="s">
        <v>62</v>
      </c>
      <c r="AS1516" s="3" t="s">
        <v>62</v>
      </c>
      <c r="AT1516" s="3" t="s">
        <v>62</v>
      </c>
      <c r="AV1516" s="6" t="str">
        <f t="shared" si="22"/>
        <v>Catalog Record</v>
      </c>
      <c r="AW1516" s="6" t="str">
        <f t="shared" si="23"/>
        <v>WorldCat Record</v>
      </c>
      <c r="AX1516" s="3" t="s">
        <v>14651</v>
      </c>
      <c r="AY1516" s="3" t="s">
        <v>14652</v>
      </c>
      <c r="AZ1516" s="3" t="s">
        <v>14653</v>
      </c>
      <c r="BA1516" s="3" t="s">
        <v>14653</v>
      </c>
      <c r="BB1516" s="3" t="s">
        <v>14673</v>
      </c>
      <c r="BC1516" s="3" t="s">
        <v>142</v>
      </c>
      <c r="BD1516" s="3" t="s">
        <v>68</v>
      </c>
      <c r="BE1516" s="3" t="s">
        <v>14655</v>
      </c>
      <c r="BF1516" s="3" t="s">
        <v>14673</v>
      </c>
      <c r="BG1516" s="3" t="s">
        <v>14674</v>
      </c>
    </row>
    <row r="1517" spans="1:59" ht="57" x14ac:dyDescent="0.45">
      <c r="A1517" s="2" t="s">
        <v>59</v>
      </c>
      <c r="B1517" s="2" t="s">
        <v>60</v>
      </c>
      <c r="C1517" s="2" t="s">
        <v>14646</v>
      </c>
      <c r="D1517" s="2" t="s">
        <v>14647</v>
      </c>
      <c r="E1517" s="2" t="s">
        <v>14648</v>
      </c>
      <c r="F1517" s="3" t="s">
        <v>6120</v>
      </c>
      <c r="G1517" s="3" t="s">
        <v>61</v>
      </c>
      <c r="I1517" s="3" t="s">
        <v>62</v>
      </c>
      <c r="J1517" s="3" t="s">
        <v>62</v>
      </c>
      <c r="K1517" s="3" t="s">
        <v>63</v>
      </c>
      <c r="L1517" s="2" t="s">
        <v>13305</v>
      </c>
      <c r="M1517" s="2" t="s">
        <v>14650</v>
      </c>
      <c r="N1517" s="3" t="s">
        <v>1855</v>
      </c>
      <c r="P1517" s="3" t="s">
        <v>65</v>
      </c>
      <c r="R1517" s="3" t="s">
        <v>66</v>
      </c>
      <c r="S1517" s="4">
        <v>6</v>
      </c>
      <c r="T1517" s="4">
        <v>186</v>
      </c>
      <c r="U1517" s="5" t="s">
        <v>3449</v>
      </c>
      <c r="V1517" s="5" t="s">
        <v>342</v>
      </c>
      <c r="W1517" s="5" t="s">
        <v>67</v>
      </c>
      <c r="X1517" s="5" t="s">
        <v>67</v>
      </c>
      <c r="Y1517" s="4">
        <v>114</v>
      </c>
      <c r="Z1517" s="4">
        <v>12</v>
      </c>
      <c r="AA1517" s="4">
        <v>12</v>
      </c>
      <c r="AB1517" s="4">
        <v>1</v>
      </c>
      <c r="AC1517" s="4">
        <v>1</v>
      </c>
      <c r="AD1517" s="4">
        <v>40</v>
      </c>
      <c r="AE1517" s="4">
        <v>40</v>
      </c>
      <c r="AF1517" s="4">
        <v>0</v>
      </c>
      <c r="AG1517" s="4">
        <v>0</v>
      </c>
      <c r="AH1517" s="4">
        <v>34</v>
      </c>
      <c r="AI1517" s="4">
        <v>34</v>
      </c>
      <c r="AJ1517" s="4">
        <v>8</v>
      </c>
      <c r="AK1517" s="4">
        <v>8</v>
      </c>
      <c r="AL1517" s="4">
        <v>19</v>
      </c>
      <c r="AM1517" s="4">
        <v>19</v>
      </c>
      <c r="AN1517" s="4">
        <v>0</v>
      </c>
      <c r="AO1517" s="4">
        <v>0</v>
      </c>
      <c r="AP1517" s="4">
        <v>10</v>
      </c>
      <c r="AQ1517" s="4">
        <v>10</v>
      </c>
      <c r="AR1517" s="3" t="s">
        <v>62</v>
      </c>
      <c r="AS1517" s="3" t="s">
        <v>62</v>
      </c>
      <c r="AT1517" s="3" t="s">
        <v>62</v>
      </c>
      <c r="AV1517" s="6" t="str">
        <f t="shared" si="22"/>
        <v>Catalog Record</v>
      </c>
      <c r="AW1517" s="6" t="str">
        <f t="shared" si="23"/>
        <v>WorldCat Record</v>
      </c>
      <c r="AX1517" s="3" t="s">
        <v>14651</v>
      </c>
      <c r="AY1517" s="3" t="s">
        <v>14652</v>
      </c>
      <c r="AZ1517" s="3" t="s">
        <v>14653</v>
      </c>
      <c r="BA1517" s="3" t="s">
        <v>14653</v>
      </c>
      <c r="BB1517" s="3" t="s">
        <v>14675</v>
      </c>
      <c r="BC1517" s="3" t="s">
        <v>142</v>
      </c>
      <c r="BD1517" s="3" t="s">
        <v>68</v>
      </c>
      <c r="BE1517" s="3" t="s">
        <v>14655</v>
      </c>
      <c r="BF1517" s="3" t="s">
        <v>14675</v>
      </c>
      <c r="BG1517" s="3" t="s">
        <v>14676</v>
      </c>
    </row>
    <row r="1518" spans="1:59" ht="57" x14ac:dyDescent="0.45">
      <c r="A1518" s="2" t="s">
        <v>59</v>
      </c>
      <c r="B1518" s="2" t="s">
        <v>60</v>
      </c>
      <c r="C1518" s="2" t="s">
        <v>14646</v>
      </c>
      <c r="D1518" s="2" t="s">
        <v>14647</v>
      </c>
      <c r="E1518" s="2" t="s">
        <v>14648</v>
      </c>
      <c r="F1518" s="3" t="s">
        <v>12340</v>
      </c>
      <c r="G1518" s="3" t="s">
        <v>61</v>
      </c>
      <c r="I1518" s="3" t="s">
        <v>62</v>
      </c>
      <c r="J1518" s="3" t="s">
        <v>62</v>
      </c>
      <c r="K1518" s="3" t="s">
        <v>63</v>
      </c>
      <c r="L1518" s="2" t="s">
        <v>13305</v>
      </c>
      <c r="M1518" s="2" t="s">
        <v>14650</v>
      </c>
      <c r="N1518" s="3" t="s">
        <v>1855</v>
      </c>
      <c r="P1518" s="3" t="s">
        <v>65</v>
      </c>
      <c r="R1518" s="3" t="s">
        <v>66</v>
      </c>
      <c r="S1518" s="4">
        <v>9</v>
      </c>
      <c r="T1518" s="4">
        <v>186</v>
      </c>
      <c r="U1518" s="5" t="s">
        <v>3449</v>
      </c>
      <c r="V1518" s="5" t="s">
        <v>342</v>
      </c>
      <c r="W1518" s="5" t="s">
        <v>67</v>
      </c>
      <c r="X1518" s="5" t="s">
        <v>67</v>
      </c>
      <c r="Y1518" s="4">
        <v>114</v>
      </c>
      <c r="Z1518" s="4">
        <v>12</v>
      </c>
      <c r="AA1518" s="4">
        <v>12</v>
      </c>
      <c r="AB1518" s="4">
        <v>1</v>
      </c>
      <c r="AC1518" s="4">
        <v>1</v>
      </c>
      <c r="AD1518" s="4">
        <v>40</v>
      </c>
      <c r="AE1518" s="4">
        <v>40</v>
      </c>
      <c r="AF1518" s="4">
        <v>0</v>
      </c>
      <c r="AG1518" s="4">
        <v>0</v>
      </c>
      <c r="AH1518" s="4">
        <v>34</v>
      </c>
      <c r="AI1518" s="4">
        <v>34</v>
      </c>
      <c r="AJ1518" s="4">
        <v>8</v>
      </c>
      <c r="AK1518" s="4">
        <v>8</v>
      </c>
      <c r="AL1518" s="4">
        <v>19</v>
      </c>
      <c r="AM1518" s="4">
        <v>19</v>
      </c>
      <c r="AN1518" s="4">
        <v>0</v>
      </c>
      <c r="AO1518" s="4">
        <v>0</v>
      </c>
      <c r="AP1518" s="4">
        <v>10</v>
      </c>
      <c r="AQ1518" s="4">
        <v>10</v>
      </c>
      <c r="AR1518" s="3" t="s">
        <v>62</v>
      </c>
      <c r="AS1518" s="3" t="s">
        <v>62</v>
      </c>
      <c r="AT1518" s="3" t="s">
        <v>62</v>
      </c>
      <c r="AV1518" s="6" t="str">
        <f t="shared" si="22"/>
        <v>Catalog Record</v>
      </c>
      <c r="AW1518" s="6" t="str">
        <f t="shared" si="23"/>
        <v>WorldCat Record</v>
      </c>
      <c r="AX1518" s="3" t="s">
        <v>14651</v>
      </c>
      <c r="AY1518" s="3" t="s">
        <v>14652</v>
      </c>
      <c r="AZ1518" s="3" t="s">
        <v>14653</v>
      </c>
      <c r="BA1518" s="3" t="s">
        <v>14653</v>
      </c>
      <c r="BB1518" s="3" t="s">
        <v>14677</v>
      </c>
      <c r="BC1518" s="3" t="s">
        <v>142</v>
      </c>
      <c r="BD1518" s="3" t="s">
        <v>68</v>
      </c>
      <c r="BE1518" s="3" t="s">
        <v>14655</v>
      </c>
      <c r="BF1518" s="3" t="s">
        <v>14677</v>
      </c>
      <c r="BG1518" s="3" t="s">
        <v>14678</v>
      </c>
    </row>
    <row r="1519" spans="1:59" ht="57" x14ac:dyDescent="0.45">
      <c r="A1519" s="2" t="s">
        <v>59</v>
      </c>
      <c r="B1519" s="2" t="s">
        <v>60</v>
      </c>
      <c r="C1519" s="2" t="s">
        <v>14646</v>
      </c>
      <c r="D1519" s="2" t="s">
        <v>14647</v>
      </c>
      <c r="E1519" s="2" t="s">
        <v>14648</v>
      </c>
      <c r="F1519" s="3" t="s">
        <v>12347</v>
      </c>
      <c r="G1519" s="3" t="s">
        <v>61</v>
      </c>
      <c r="I1519" s="3" t="s">
        <v>62</v>
      </c>
      <c r="J1519" s="3" t="s">
        <v>62</v>
      </c>
      <c r="K1519" s="3" t="s">
        <v>63</v>
      </c>
      <c r="L1519" s="2" t="s">
        <v>13305</v>
      </c>
      <c r="M1519" s="2" t="s">
        <v>14650</v>
      </c>
      <c r="N1519" s="3" t="s">
        <v>1855</v>
      </c>
      <c r="P1519" s="3" t="s">
        <v>65</v>
      </c>
      <c r="R1519" s="3" t="s">
        <v>66</v>
      </c>
      <c r="S1519" s="4">
        <v>14</v>
      </c>
      <c r="T1519" s="4">
        <v>186</v>
      </c>
      <c r="U1519" s="5" t="s">
        <v>3449</v>
      </c>
      <c r="V1519" s="5" t="s">
        <v>342</v>
      </c>
      <c r="W1519" s="5" t="s">
        <v>67</v>
      </c>
      <c r="X1519" s="5" t="s">
        <v>67</v>
      </c>
      <c r="Y1519" s="4">
        <v>114</v>
      </c>
      <c r="Z1519" s="4">
        <v>12</v>
      </c>
      <c r="AA1519" s="4">
        <v>12</v>
      </c>
      <c r="AB1519" s="4">
        <v>1</v>
      </c>
      <c r="AC1519" s="4">
        <v>1</v>
      </c>
      <c r="AD1519" s="4">
        <v>40</v>
      </c>
      <c r="AE1519" s="4">
        <v>40</v>
      </c>
      <c r="AF1519" s="4">
        <v>0</v>
      </c>
      <c r="AG1519" s="4">
        <v>0</v>
      </c>
      <c r="AH1519" s="4">
        <v>34</v>
      </c>
      <c r="AI1519" s="4">
        <v>34</v>
      </c>
      <c r="AJ1519" s="4">
        <v>8</v>
      </c>
      <c r="AK1519" s="4">
        <v>8</v>
      </c>
      <c r="AL1519" s="4">
        <v>19</v>
      </c>
      <c r="AM1519" s="4">
        <v>19</v>
      </c>
      <c r="AN1519" s="4">
        <v>0</v>
      </c>
      <c r="AO1519" s="4">
        <v>0</v>
      </c>
      <c r="AP1519" s="4">
        <v>10</v>
      </c>
      <c r="AQ1519" s="4">
        <v>10</v>
      </c>
      <c r="AR1519" s="3" t="s">
        <v>62</v>
      </c>
      <c r="AS1519" s="3" t="s">
        <v>62</v>
      </c>
      <c r="AT1519" s="3" t="s">
        <v>62</v>
      </c>
      <c r="AV1519" s="6" t="str">
        <f t="shared" si="22"/>
        <v>Catalog Record</v>
      </c>
      <c r="AW1519" s="6" t="str">
        <f t="shared" si="23"/>
        <v>WorldCat Record</v>
      </c>
      <c r="AX1519" s="3" t="s">
        <v>14651</v>
      </c>
      <c r="AY1519" s="3" t="s">
        <v>14652</v>
      </c>
      <c r="AZ1519" s="3" t="s">
        <v>14653</v>
      </c>
      <c r="BA1519" s="3" t="s">
        <v>14653</v>
      </c>
      <c r="BB1519" s="3" t="s">
        <v>14679</v>
      </c>
      <c r="BC1519" s="3" t="s">
        <v>142</v>
      </c>
      <c r="BD1519" s="3" t="s">
        <v>68</v>
      </c>
      <c r="BE1519" s="3" t="s">
        <v>14655</v>
      </c>
      <c r="BF1519" s="3" t="s">
        <v>14679</v>
      </c>
      <c r="BG1519" s="3" t="s">
        <v>14680</v>
      </c>
    </row>
    <row r="1520" spans="1:59" ht="57" x14ac:dyDescent="0.45">
      <c r="A1520" s="2" t="s">
        <v>59</v>
      </c>
      <c r="B1520" s="2" t="s">
        <v>60</v>
      </c>
      <c r="C1520" s="2" t="s">
        <v>14646</v>
      </c>
      <c r="D1520" s="2" t="s">
        <v>14647</v>
      </c>
      <c r="E1520" s="2" t="s">
        <v>14648</v>
      </c>
      <c r="F1520" s="3" t="s">
        <v>12349</v>
      </c>
      <c r="G1520" s="3" t="s">
        <v>61</v>
      </c>
      <c r="I1520" s="3" t="s">
        <v>62</v>
      </c>
      <c r="J1520" s="3" t="s">
        <v>62</v>
      </c>
      <c r="K1520" s="3" t="s">
        <v>63</v>
      </c>
      <c r="L1520" s="2" t="s">
        <v>13305</v>
      </c>
      <c r="M1520" s="2" t="s">
        <v>14650</v>
      </c>
      <c r="N1520" s="3" t="s">
        <v>1855</v>
      </c>
      <c r="P1520" s="3" t="s">
        <v>65</v>
      </c>
      <c r="R1520" s="3" t="s">
        <v>66</v>
      </c>
      <c r="S1520" s="4">
        <v>0</v>
      </c>
      <c r="T1520" s="4">
        <v>186</v>
      </c>
      <c r="V1520" s="5" t="s">
        <v>342</v>
      </c>
      <c r="W1520" s="5" t="s">
        <v>67</v>
      </c>
      <c r="X1520" s="5" t="s">
        <v>67</v>
      </c>
      <c r="Y1520" s="4">
        <v>114</v>
      </c>
      <c r="Z1520" s="4">
        <v>12</v>
      </c>
      <c r="AA1520" s="4">
        <v>12</v>
      </c>
      <c r="AB1520" s="4">
        <v>1</v>
      </c>
      <c r="AC1520" s="4">
        <v>1</v>
      </c>
      <c r="AD1520" s="4">
        <v>40</v>
      </c>
      <c r="AE1520" s="4">
        <v>40</v>
      </c>
      <c r="AF1520" s="4">
        <v>0</v>
      </c>
      <c r="AG1520" s="4">
        <v>0</v>
      </c>
      <c r="AH1520" s="4">
        <v>34</v>
      </c>
      <c r="AI1520" s="4">
        <v>34</v>
      </c>
      <c r="AJ1520" s="4">
        <v>8</v>
      </c>
      <c r="AK1520" s="4">
        <v>8</v>
      </c>
      <c r="AL1520" s="4">
        <v>19</v>
      </c>
      <c r="AM1520" s="4">
        <v>19</v>
      </c>
      <c r="AN1520" s="4">
        <v>0</v>
      </c>
      <c r="AO1520" s="4">
        <v>0</v>
      </c>
      <c r="AP1520" s="4">
        <v>10</v>
      </c>
      <c r="AQ1520" s="4">
        <v>10</v>
      </c>
      <c r="AR1520" s="3" t="s">
        <v>62</v>
      </c>
      <c r="AS1520" s="3" t="s">
        <v>62</v>
      </c>
      <c r="AT1520" s="3" t="s">
        <v>62</v>
      </c>
      <c r="AV1520" s="6" t="str">
        <f t="shared" si="22"/>
        <v>Catalog Record</v>
      </c>
      <c r="AW1520" s="6" t="str">
        <f t="shared" si="23"/>
        <v>WorldCat Record</v>
      </c>
      <c r="AX1520" s="3" t="s">
        <v>14651</v>
      </c>
      <c r="AY1520" s="3" t="s">
        <v>14652</v>
      </c>
      <c r="AZ1520" s="3" t="s">
        <v>14653</v>
      </c>
      <c r="BA1520" s="3" t="s">
        <v>14653</v>
      </c>
      <c r="BB1520" s="3" t="s">
        <v>14681</v>
      </c>
      <c r="BC1520" s="3" t="s">
        <v>142</v>
      </c>
      <c r="BD1520" s="3" t="s">
        <v>68</v>
      </c>
      <c r="BE1520" s="3" t="s">
        <v>14655</v>
      </c>
      <c r="BF1520" s="3" t="s">
        <v>14681</v>
      </c>
      <c r="BG1520" s="3" t="s">
        <v>14682</v>
      </c>
    </row>
    <row r="1521" spans="1:59" ht="57" x14ac:dyDescent="0.45">
      <c r="A1521" s="2" t="s">
        <v>59</v>
      </c>
      <c r="B1521" s="2" t="s">
        <v>60</v>
      </c>
      <c r="C1521" s="2" t="s">
        <v>14646</v>
      </c>
      <c r="D1521" s="2" t="s">
        <v>14647</v>
      </c>
      <c r="E1521" s="2" t="s">
        <v>14648</v>
      </c>
      <c r="F1521" s="3" t="s">
        <v>86</v>
      </c>
      <c r="G1521" s="3" t="s">
        <v>61</v>
      </c>
      <c r="I1521" s="3" t="s">
        <v>62</v>
      </c>
      <c r="J1521" s="3" t="s">
        <v>62</v>
      </c>
      <c r="K1521" s="3" t="s">
        <v>63</v>
      </c>
      <c r="L1521" s="2" t="s">
        <v>13305</v>
      </c>
      <c r="M1521" s="2" t="s">
        <v>14650</v>
      </c>
      <c r="N1521" s="3" t="s">
        <v>1855</v>
      </c>
      <c r="P1521" s="3" t="s">
        <v>65</v>
      </c>
      <c r="R1521" s="3" t="s">
        <v>66</v>
      </c>
      <c r="S1521" s="4">
        <v>11</v>
      </c>
      <c r="T1521" s="4">
        <v>186</v>
      </c>
      <c r="U1521" s="5" t="s">
        <v>342</v>
      </c>
      <c r="V1521" s="5" t="s">
        <v>342</v>
      </c>
      <c r="W1521" s="5" t="s">
        <v>67</v>
      </c>
      <c r="X1521" s="5" t="s">
        <v>67</v>
      </c>
      <c r="Y1521" s="4">
        <v>114</v>
      </c>
      <c r="Z1521" s="4">
        <v>12</v>
      </c>
      <c r="AA1521" s="4">
        <v>12</v>
      </c>
      <c r="AB1521" s="4">
        <v>1</v>
      </c>
      <c r="AC1521" s="4">
        <v>1</v>
      </c>
      <c r="AD1521" s="4">
        <v>40</v>
      </c>
      <c r="AE1521" s="4">
        <v>40</v>
      </c>
      <c r="AF1521" s="4">
        <v>0</v>
      </c>
      <c r="AG1521" s="4">
        <v>0</v>
      </c>
      <c r="AH1521" s="4">
        <v>34</v>
      </c>
      <c r="AI1521" s="4">
        <v>34</v>
      </c>
      <c r="AJ1521" s="4">
        <v>8</v>
      </c>
      <c r="AK1521" s="4">
        <v>8</v>
      </c>
      <c r="AL1521" s="4">
        <v>19</v>
      </c>
      <c r="AM1521" s="4">
        <v>19</v>
      </c>
      <c r="AN1521" s="4">
        <v>0</v>
      </c>
      <c r="AO1521" s="4">
        <v>0</v>
      </c>
      <c r="AP1521" s="4">
        <v>10</v>
      </c>
      <c r="AQ1521" s="4">
        <v>10</v>
      </c>
      <c r="AR1521" s="3" t="s">
        <v>62</v>
      </c>
      <c r="AS1521" s="3" t="s">
        <v>62</v>
      </c>
      <c r="AT1521" s="3" t="s">
        <v>62</v>
      </c>
      <c r="AV1521" s="6" t="str">
        <f t="shared" si="22"/>
        <v>Catalog Record</v>
      </c>
      <c r="AW1521" s="6" t="str">
        <f t="shared" si="23"/>
        <v>WorldCat Record</v>
      </c>
      <c r="AX1521" s="3" t="s">
        <v>14651</v>
      </c>
      <c r="AY1521" s="3" t="s">
        <v>14652</v>
      </c>
      <c r="AZ1521" s="3" t="s">
        <v>14653</v>
      </c>
      <c r="BA1521" s="3" t="s">
        <v>14653</v>
      </c>
      <c r="BB1521" s="3" t="s">
        <v>14683</v>
      </c>
      <c r="BC1521" s="3" t="s">
        <v>142</v>
      </c>
      <c r="BD1521" s="3" t="s">
        <v>68</v>
      </c>
      <c r="BE1521" s="3" t="s">
        <v>14655</v>
      </c>
      <c r="BF1521" s="3" t="s">
        <v>14683</v>
      </c>
      <c r="BG1521" s="3" t="s">
        <v>14684</v>
      </c>
    </row>
    <row r="1522" spans="1:59" ht="57" x14ac:dyDescent="0.45">
      <c r="A1522" s="2" t="s">
        <v>59</v>
      </c>
      <c r="B1522" s="2" t="s">
        <v>60</v>
      </c>
      <c r="C1522" s="2" t="s">
        <v>14646</v>
      </c>
      <c r="D1522" s="2" t="s">
        <v>14647</v>
      </c>
      <c r="E1522" s="2" t="s">
        <v>14648</v>
      </c>
      <c r="F1522" s="3" t="s">
        <v>12342</v>
      </c>
      <c r="G1522" s="3" t="s">
        <v>61</v>
      </c>
      <c r="I1522" s="3" t="s">
        <v>62</v>
      </c>
      <c r="J1522" s="3" t="s">
        <v>62</v>
      </c>
      <c r="K1522" s="3" t="s">
        <v>63</v>
      </c>
      <c r="L1522" s="2" t="s">
        <v>13305</v>
      </c>
      <c r="M1522" s="2" t="s">
        <v>14650</v>
      </c>
      <c r="N1522" s="3" t="s">
        <v>1855</v>
      </c>
      <c r="P1522" s="3" t="s">
        <v>65</v>
      </c>
      <c r="R1522" s="3" t="s">
        <v>66</v>
      </c>
      <c r="S1522" s="4">
        <v>12</v>
      </c>
      <c r="T1522" s="4">
        <v>186</v>
      </c>
      <c r="U1522" s="5" t="s">
        <v>3449</v>
      </c>
      <c r="V1522" s="5" t="s">
        <v>342</v>
      </c>
      <c r="W1522" s="5" t="s">
        <v>67</v>
      </c>
      <c r="X1522" s="5" t="s">
        <v>67</v>
      </c>
      <c r="Y1522" s="4">
        <v>114</v>
      </c>
      <c r="Z1522" s="4">
        <v>12</v>
      </c>
      <c r="AA1522" s="4">
        <v>12</v>
      </c>
      <c r="AB1522" s="4">
        <v>1</v>
      </c>
      <c r="AC1522" s="4">
        <v>1</v>
      </c>
      <c r="AD1522" s="4">
        <v>40</v>
      </c>
      <c r="AE1522" s="4">
        <v>40</v>
      </c>
      <c r="AF1522" s="4">
        <v>0</v>
      </c>
      <c r="AG1522" s="4">
        <v>0</v>
      </c>
      <c r="AH1522" s="4">
        <v>34</v>
      </c>
      <c r="AI1522" s="4">
        <v>34</v>
      </c>
      <c r="AJ1522" s="4">
        <v>8</v>
      </c>
      <c r="AK1522" s="4">
        <v>8</v>
      </c>
      <c r="AL1522" s="4">
        <v>19</v>
      </c>
      <c r="AM1522" s="4">
        <v>19</v>
      </c>
      <c r="AN1522" s="4">
        <v>0</v>
      </c>
      <c r="AO1522" s="4">
        <v>0</v>
      </c>
      <c r="AP1522" s="4">
        <v>10</v>
      </c>
      <c r="AQ1522" s="4">
        <v>10</v>
      </c>
      <c r="AR1522" s="3" t="s">
        <v>62</v>
      </c>
      <c r="AS1522" s="3" t="s">
        <v>62</v>
      </c>
      <c r="AT1522" s="3" t="s">
        <v>62</v>
      </c>
      <c r="AV1522" s="6" t="str">
        <f t="shared" si="22"/>
        <v>Catalog Record</v>
      </c>
      <c r="AW1522" s="6" t="str">
        <f t="shared" si="23"/>
        <v>WorldCat Record</v>
      </c>
      <c r="AX1522" s="3" t="s">
        <v>14651</v>
      </c>
      <c r="AY1522" s="3" t="s">
        <v>14652</v>
      </c>
      <c r="AZ1522" s="3" t="s">
        <v>14653</v>
      </c>
      <c r="BA1522" s="3" t="s">
        <v>14653</v>
      </c>
      <c r="BB1522" s="3" t="s">
        <v>14685</v>
      </c>
      <c r="BC1522" s="3" t="s">
        <v>142</v>
      </c>
      <c r="BD1522" s="3" t="s">
        <v>68</v>
      </c>
      <c r="BE1522" s="3" t="s">
        <v>14655</v>
      </c>
      <c r="BF1522" s="3" t="s">
        <v>14685</v>
      </c>
      <c r="BG1522" s="3" t="s">
        <v>14686</v>
      </c>
    </row>
    <row r="1523" spans="1:59" ht="57" x14ac:dyDescent="0.45">
      <c r="A1523" s="2" t="s">
        <v>59</v>
      </c>
      <c r="B1523" s="2" t="s">
        <v>60</v>
      </c>
      <c r="C1523" s="2" t="s">
        <v>14646</v>
      </c>
      <c r="D1523" s="2" t="s">
        <v>14647</v>
      </c>
      <c r="E1523" s="2" t="s">
        <v>14648</v>
      </c>
      <c r="F1523" s="3" t="s">
        <v>12345</v>
      </c>
      <c r="G1523" s="3" t="s">
        <v>61</v>
      </c>
      <c r="I1523" s="3" t="s">
        <v>62</v>
      </c>
      <c r="J1523" s="3" t="s">
        <v>62</v>
      </c>
      <c r="K1523" s="3" t="s">
        <v>63</v>
      </c>
      <c r="L1523" s="2" t="s">
        <v>13305</v>
      </c>
      <c r="M1523" s="2" t="s">
        <v>14650</v>
      </c>
      <c r="N1523" s="3" t="s">
        <v>1855</v>
      </c>
      <c r="P1523" s="3" t="s">
        <v>65</v>
      </c>
      <c r="R1523" s="3" t="s">
        <v>66</v>
      </c>
      <c r="S1523" s="4">
        <v>6</v>
      </c>
      <c r="T1523" s="4">
        <v>186</v>
      </c>
      <c r="U1523" s="5" t="s">
        <v>3449</v>
      </c>
      <c r="V1523" s="5" t="s">
        <v>342</v>
      </c>
      <c r="W1523" s="5" t="s">
        <v>67</v>
      </c>
      <c r="X1523" s="5" t="s">
        <v>67</v>
      </c>
      <c r="Y1523" s="4">
        <v>114</v>
      </c>
      <c r="Z1523" s="4">
        <v>12</v>
      </c>
      <c r="AA1523" s="4">
        <v>12</v>
      </c>
      <c r="AB1523" s="4">
        <v>1</v>
      </c>
      <c r="AC1523" s="4">
        <v>1</v>
      </c>
      <c r="AD1523" s="4">
        <v>40</v>
      </c>
      <c r="AE1523" s="4">
        <v>40</v>
      </c>
      <c r="AF1523" s="4">
        <v>0</v>
      </c>
      <c r="AG1523" s="4">
        <v>0</v>
      </c>
      <c r="AH1523" s="4">
        <v>34</v>
      </c>
      <c r="AI1523" s="4">
        <v>34</v>
      </c>
      <c r="AJ1523" s="4">
        <v>8</v>
      </c>
      <c r="AK1523" s="4">
        <v>8</v>
      </c>
      <c r="AL1523" s="4">
        <v>19</v>
      </c>
      <c r="AM1523" s="4">
        <v>19</v>
      </c>
      <c r="AN1523" s="4">
        <v>0</v>
      </c>
      <c r="AO1523" s="4">
        <v>0</v>
      </c>
      <c r="AP1523" s="4">
        <v>10</v>
      </c>
      <c r="AQ1523" s="4">
        <v>10</v>
      </c>
      <c r="AR1523" s="3" t="s">
        <v>62</v>
      </c>
      <c r="AS1523" s="3" t="s">
        <v>62</v>
      </c>
      <c r="AT1523" s="3" t="s">
        <v>62</v>
      </c>
      <c r="AV1523" s="6" t="str">
        <f t="shared" si="22"/>
        <v>Catalog Record</v>
      </c>
      <c r="AW1523" s="6" t="str">
        <f t="shared" si="23"/>
        <v>WorldCat Record</v>
      </c>
      <c r="AX1523" s="3" t="s">
        <v>14651</v>
      </c>
      <c r="AY1523" s="3" t="s">
        <v>14652</v>
      </c>
      <c r="AZ1523" s="3" t="s">
        <v>14653</v>
      </c>
      <c r="BA1523" s="3" t="s">
        <v>14653</v>
      </c>
      <c r="BB1523" s="3" t="s">
        <v>14687</v>
      </c>
      <c r="BC1523" s="3" t="s">
        <v>142</v>
      </c>
      <c r="BD1523" s="3" t="s">
        <v>68</v>
      </c>
      <c r="BE1523" s="3" t="s">
        <v>14655</v>
      </c>
      <c r="BF1523" s="3" t="s">
        <v>14687</v>
      </c>
      <c r="BG1523" s="3" t="s">
        <v>14688</v>
      </c>
    </row>
    <row r="1524" spans="1:59" ht="57" x14ac:dyDescent="0.45">
      <c r="A1524" s="2" t="s">
        <v>59</v>
      </c>
      <c r="B1524" s="2" t="s">
        <v>60</v>
      </c>
      <c r="C1524" s="2" t="s">
        <v>14646</v>
      </c>
      <c r="D1524" s="2" t="s">
        <v>14647</v>
      </c>
      <c r="E1524" s="2" t="s">
        <v>14648</v>
      </c>
      <c r="F1524" s="3" t="s">
        <v>88</v>
      </c>
      <c r="G1524" s="3" t="s">
        <v>61</v>
      </c>
      <c r="I1524" s="3" t="s">
        <v>62</v>
      </c>
      <c r="J1524" s="3" t="s">
        <v>62</v>
      </c>
      <c r="K1524" s="3" t="s">
        <v>63</v>
      </c>
      <c r="L1524" s="2" t="s">
        <v>13305</v>
      </c>
      <c r="M1524" s="2" t="s">
        <v>14650</v>
      </c>
      <c r="N1524" s="3" t="s">
        <v>1855</v>
      </c>
      <c r="P1524" s="3" t="s">
        <v>65</v>
      </c>
      <c r="R1524" s="3" t="s">
        <v>66</v>
      </c>
      <c r="S1524" s="4">
        <v>14</v>
      </c>
      <c r="T1524" s="4">
        <v>186</v>
      </c>
      <c r="U1524" s="5" t="s">
        <v>342</v>
      </c>
      <c r="V1524" s="5" t="s">
        <v>342</v>
      </c>
      <c r="W1524" s="5" t="s">
        <v>67</v>
      </c>
      <c r="X1524" s="5" t="s">
        <v>67</v>
      </c>
      <c r="Y1524" s="4">
        <v>114</v>
      </c>
      <c r="Z1524" s="4">
        <v>12</v>
      </c>
      <c r="AA1524" s="4">
        <v>12</v>
      </c>
      <c r="AB1524" s="4">
        <v>1</v>
      </c>
      <c r="AC1524" s="4">
        <v>1</v>
      </c>
      <c r="AD1524" s="4">
        <v>40</v>
      </c>
      <c r="AE1524" s="4">
        <v>40</v>
      </c>
      <c r="AF1524" s="4">
        <v>0</v>
      </c>
      <c r="AG1524" s="4">
        <v>0</v>
      </c>
      <c r="AH1524" s="4">
        <v>34</v>
      </c>
      <c r="AI1524" s="4">
        <v>34</v>
      </c>
      <c r="AJ1524" s="4">
        <v>8</v>
      </c>
      <c r="AK1524" s="4">
        <v>8</v>
      </c>
      <c r="AL1524" s="4">
        <v>19</v>
      </c>
      <c r="AM1524" s="4">
        <v>19</v>
      </c>
      <c r="AN1524" s="4">
        <v>0</v>
      </c>
      <c r="AO1524" s="4">
        <v>0</v>
      </c>
      <c r="AP1524" s="4">
        <v>10</v>
      </c>
      <c r="AQ1524" s="4">
        <v>10</v>
      </c>
      <c r="AR1524" s="3" t="s">
        <v>62</v>
      </c>
      <c r="AS1524" s="3" t="s">
        <v>62</v>
      </c>
      <c r="AT1524" s="3" t="s">
        <v>62</v>
      </c>
      <c r="AV1524" s="6" t="str">
        <f t="shared" si="22"/>
        <v>Catalog Record</v>
      </c>
      <c r="AW1524" s="6" t="str">
        <f t="shared" si="23"/>
        <v>WorldCat Record</v>
      </c>
      <c r="AX1524" s="3" t="s">
        <v>14651</v>
      </c>
      <c r="AY1524" s="3" t="s">
        <v>14652</v>
      </c>
      <c r="AZ1524" s="3" t="s">
        <v>14653</v>
      </c>
      <c r="BA1524" s="3" t="s">
        <v>14653</v>
      </c>
      <c r="BB1524" s="3" t="s">
        <v>14689</v>
      </c>
      <c r="BC1524" s="3" t="s">
        <v>142</v>
      </c>
      <c r="BD1524" s="3" t="s">
        <v>68</v>
      </c>
      <c r="BE1524" s="3" t="s">
        <v>14655</v>
      </c>
      <c r="BF1524" s="3" t="s">
        <v>14689</v>
      </c>
      <c r="BG1524" s="3" t="s">
        <v>14690</v>
      </c>
    </row>
    <row r="1525" spans="1:59" ht="57" x14ac:dyDescent="0.45">
      <c r="A1525" s="2" t="s">
        <v>59</v>
      </c>
      <c r="B1525" s="2" t="s">
        <v>60</v>
      </c>
      <c r="C1525" s="2" t="s">
        <v>14646</v>
      </c>
      <c r="D1525" s="2" t="s">
        <v>14647</v>
      </c>
      <c r="E1525" s="2" t="s">
        <v>14648</v>
      </c>
      <c r="F1525" s="3" t="s">
        <v>90</v>
      </c>
      <c r="G1525" s="3" t="s">
        <v>61</v>
      </c>
      <c r="I1525" s="3" t="s">
        <v>62</v>
      </c>
      <c r="J1525" s="3" t="s">
        <v>62</v>
      </c>
      <c r="K1525" s="3" t="s">
        <v>63</v>
      </c>
      <c r="L1525" s="2" t="s">
        <v>13305</v>
      </c>
      <c r="M1525" s="2" t="s">
        <v>14650</v>
      </c>
      <c r="N1525" s="3" t="s">
        <v>1855</v>
      </c>
      <c r="P1525" s="3" t="s">
        <v>65</v>
      </c>
      <c r="R1525" s="3" t="s">
        <v>66</v>
      </c>
      <c r="S1525" s="4">
        <v>10</v>
      </c>
      <c r="T1525" s="4">
        <v>186</v>
      </c>
      <c r="U1525" s="5" t="s">
        <v>3449</v>
      </c>
      <c r="V1525" s="5" t="s">
        <v>342</v>
      </c>
      <c r="W1525" s="5" t="s">
        <v>67</v>
      </c>
      <c r="X1525" s="5" t="s">
        <v>67</v>
      </c>
      <c r="Y1525" s="4">
        <v>114</v>
      </c>
      <c r="Z1525" s="4">
        <v>12</v>
      </c>
      <c r="AA1525" s="4">
        <v>12</v>
      </c>
      <c r="AB1525" s="4">
        <v>1</v>
      </c>
      <c r="AC1525" s="4">
        <v>1</v>
      </c>
      <c r="AD1525" s="4">
        <v>40</v>
      </c>
      <c r="AE1525" s="4">
        <v>40</v>
      </c>
      <c r="AF1525" s="4">
        <v>0</v>
      </c>
      <c r="AG1525" s="4">
        <v>0</v>
      </c>
      <c r="AH1525" s="4">
        <v>34</v>
      </c>
      <c r="AI1525" s="4">
        <v>34</v>
      </c>
      <c r="AJ1525" s="4">
        <v>8</v>
      </c>
      <c r="AK1525" s="4">
        <v>8</v>
      </c>
      <c r="AL1525" s="4">
        <v>19</v>
      </c>
      <c r="AM1525" s="4">
        <v>19</v>
      </c>
      <c r="AN1525" s="4">
        <v>0</v>
      </c>
      <c r="AO1525" s="4">
        <v>0</v>
      </c>
      <c r="AP1525" s="4">
        <v>10</v>
      </c>
      <c r="AQ1525" s="4">
        <v>10</v>
      </c>
      <c r="AR1525" s="3" t="s">
        <v>62</v>
      </c>
      <c r="AS1525" s="3" t="s">
        <v>62</v>
      </c>
      <c r="AT1525" s="3" t="s">
        <v>62</v>
      </c>
      <c r="AV1525" s="6" t="str">
        <f t="shared" si="22"/>
        <v>Catalog Record</v>
      </c>
      <c r="AW1525" s="6" t="str">
        <f t="shared" si="23"/>
        <v>WorldCat Record</v>
      </c>
      <c r="AX1525" s="3" t="s">
        <v>14651</v>
      </c>
      <c r="AY1525" s="3" t="s">
        <v>14652</v>
      </c>
      <c r="AZ1525" s="3" t="s">
        <v>14653</v>
      </c>
      <c r="BA1525" s="3" t="s">
        <v>14653</v>
      </c>
      <c r="BB1525" s="3" t="s">
        <v>14691</v>
      </c>
      <c r="BC1525" s="3" t="s">
        <v>142</v>
      </c>
      <c r="BD1525" s="3" t="s">
        <v>68</v>
      </c>
      <c r="BE1525" s="3" t="s">
        <v>14655</v>
      </c>
      <c r="BF1525" s="3" t="s">
        <v>14691</v>
      </c>
      <c r="BG1525" s="3" t="s">
        <v>14692</v>
      </c>
    </row>
    <row r="1526" spans="1:59" ht="57" x14ac:dyDescent="0.45">
      <c r="A1526" s="2" t="s">
        <v>59</v>
      </c>
      <c r="B1526" s="2" t="s">
        <v>60</v>
      </c>
      <c r="C1526" s="2" t="s">
        <v>14646</v>
      </c>
      <c r="D1526" s="2" t="s">
        <v>14647</v>
      </c>
      <c r="E1526" s="2" t="s">
        <v>14648</v>
      </c>
      <c r="F1526" s="3" t="s">
        <v>12339</v>
      </c>
      <c r="G1526" s="3" t="s">
        <v>61</v>
      </c>
      <c r="I1526" s="3" t="s">
        <v>62</v>
      </c>
      <c r="J1526" s="3" t="s">
        <v>62</v>
      </c>
      <c r="K1526" s="3" t="s">
        <v>63</v>
      </c>
      <c r="L1526" s="2" t="s">
        <v>13305</v>
      </c>
      <c r="M1526" s="2" t="s">
        <v>14650</v>
      </c>
      <c r="N1526" s="3" t="s">
        <v>1855</v>
      </c>
      <c r="P1526" s="3" t="s">
        <v>65</v>
      </c>
      <c r="R1526" s="3" t="s">
        <v>66</v>
      </c>
      <c r="S1526" s="4">
        <v>9</v>
      </c>
      <c r="T1526" s="4">
        <v>186</v>
      </c>
      <c r="U1526" s="5" t="s">
        <v>4748</v>
      </c>
      <c r="V1526" s="5" t="s">
        <v>342</v>
      </c>
      <c r="W1526" s="5" t="s">
        <v>67</v>
      </c>
      <c r="X1526" s="5" t="s">
        <v>67</v>
      </c>
      <c r="Y1526" s="4">
        <v>114</v>
      </c>
      <c r="Z1526" s="4">
        <v>12</v>
      </c>
      <c r="AA1526" s="4">
        <v>12</v>
      </c>
      <c r="AB1526" s="4">
        <v>1</v>
      </c>
      <c r="AC1526" s="4">
        <v>1</v>
      </c>
      <c r="AD1526" s="4">
        <v>40</v>
      </c>
      <c r="AE1526" s="4">
        <v>40</v>
      </c>
      <c r="AF1526" s="4">
        <v>0</v>
      </c>
      <c r="AG1526" s="4">
        <v>0</v>
      </c>
      <c r="AH1526" s="4">
        <v>34</v>
      </c>
      <c r="AI1526" s="4">
        <v>34</v>
      </c>
      <c r="AJ1526" s="4">
        <v>8</v>
      </c>
      <c r="AK1526" s="4">
        <v>8</v>
      </c>
      <c r="AL1526" s="4">
        <v>19</v>
      </c>
      <c r="AM1526" s="4">
        <v>19</v>
      </c>
      <c r="AN1526" s="4">
        <v>0</v>
      </c>
      <c r="AO1526" s="4">
        <v>0</v>
      </c>
      <c r="AP1526" s="4">
        <v>10</v>
      </c>
      <c r="AQ1526" s="4">
        <v>10</v>
      </c>
      <c r="AR1526" s="3" t="s">
        <v>62</v>
      </c>
      <c r="AS1526" s="3" t="s">
        <v>62</v>
      </c>
      <c r="AT1526" s="3" t="s">
        <v>62</v>
      </c>
      <c r="AV1526" s="6" t="str">
        <f t="shared" si="22"/>
        <v>Catalog Record</v>
      </c>
      <c r="AW1526" s="6" t="str">
        <f t="shared" si="23"/>
        <v>WorldCat Record</v>
      </c>
      <c r="AX1526" s="3" t="s">
        <v>14651</v>
      </c>
      <c r="AY1526" s="3" t="s">
        <v>14652</v>
      </c>
      <c r="AZ1526" s="3" t="s">
        <v>14653</v>
      </c>
      <c r="BA1526" s="3" t="s">
        <v>14653</v>
      </c>
      <c r="BB1526" s="3" t="s">
        <v>14693</v>
      </c>
      <c r="BC1526" s="3" t="s">
        <v>142</v>
      </c>
      <c r="BD1526" s="3" t="s">
        <v>68</v>
      </c>
      <c r="BE1526" s="3" t="s">
        <v>14655</v>
      </c>
      <c r="BF1526" s="3" t="s">
        <v>14693</v>
      </c>
      <c r="BG1526" s="3" t="s">
        <v>14694</v>
      </c>
    </row>
    <row r="1527" spans="1:59" ht="57" x14ac:dyDescent="0.45">
      <c r="A1527" s="2" t="s">
        <v>59</v>
      </c>
      <c r="B1527" s="2" t="s">
        <v>60</v>
      </c>
      <c r="C1527" s="2" t="s">
        <v>14646</v>
      </c>
      <c r="D1527" s="2" t="s">
        <v>14647</v>
      </c>
      <c r="E1527" s="2" t="s">
        <v>14648</v>
      </c>
      <c r="F1527" s="3" t="s">
        <v>12341</v>
      </c>
      <c r="G1527" s="3" t="s">
        <v>61</v>
      </c>
      <c r="I1527" s="3" t="s">
        <v>62</v>
      </c>
      <c r="J1527" s="3" t="s">
        <v>62</v>
      </c>
      <c r="K1527" s="3" t="s">
        <v>63</v>
      </c>
      <c r="L1527" s="2" t="s">
        <v>13305</v>
      </c>
      <c r="M1527" s="2" t="s">
        <v>14650</v>
      </c>
      <c r="N1527" s="3" t="s">
        <v>1855</v>
      </c>
      <c r="P1527" s="3" t="s">
        <v>65</v>
      </c>
      <c r="R1527" s="3" t="s">
        <v>66</v>
      </c>
      <c r="S1527" s="4">
        <v>6</v>
      </c>
      <c r="T1527" s="4">
        <v>186</v>
      </c>
      <c r="U1527" s="5" t="s">
        <v>3449</v>
      </c>
      <c r="V1527" s="5" t="s">
        <v>342</v>
      </c>
      <c r="W1527" s="5" t="s">
        <v>67</v>
      </c>
      <c r="X1527" s="5" t="s">
        <v>67</v>
      </c>
      <c r="Y1527" s="4">
        <v>114</v>
      </c>
      <c r="Z1527" s="4">
        <v>12</v>
      </c>
      <c r="AA1527" s="4">
        <v>12</v>
      </c>
      <c r="AB1527" s="4">
        <v>1</v>
      </c>
      <c r="AC1527" s="4">
        <v>1</v>
      </c>
      <c r="AD1527" s="4">
        <v>40</v>
      </c>
      <c r="AE1527" s="4">
        <v>40</v>
      </c>
      <c r="AF1527" s="4">
        <v>0</v>
      </c>
      <c r="AG1527" s="4">
        <v>0</v>
      </c>
      <c r="AH1527" s="4">
        <v>34</v>
      </c>
      <c r="AI1527" s="4">
        <v>34</v>
      </c>
      <c r="AJ1527" s="4">
        <v>8</v>
      </c>
      <c r="AK1527" s="4">
        <v>8</v>
      </c>
      <c r="AL1527" s="4">
        <v>19</v>
      </c>
      <c r="AM1527" s="4">
        <v>19</v>
      </c>
      <c r="AN1527" s="4">
        <v>0</v>
      </c>
      <c r="AO1527" s="4">
        <v>0</v>
      </c>
      <c r="AP1527" s="4">
        <v>10</v>
      </c>
      <c r="AQ1527" s="4">
        <v>10</v>
      </c>
      <c r="AR1527" s="3" t="s">
        <v>62</v>
      </c>
      <c r="AS1527" s="3" t="s">
        <v>62</v>
      </c>
      <c r="AT1527" s="3" t="s">
        <v>62</v>
      </c>
      <c r="AV1527" s="6" t="str">
        <f t="shared" si="22"/>
        <v>Catalog Record</v>
      </c>
      <c r="AW1527" s="6" t="str">
        <f t="shared" si="23"/>
        <v>WorldCat Record</v>
      </c>
      <c r="AX1527" s="3" t="s">
        <v>14651</v>
      </c>
      <c r="AY1527" s="3" t="s">
        <v>14652</v>
      </c>
      <c r="AZ1527" s="3" t="s">
        <v>14653</v>
      </c>
      <c r="BA1527" s="3" t="s">
        <v>14653</v>
      </c>
      <c r="BB1527" s="3" t="s">
        <v>14695</v>
      </c>
      <c r="BC1527" s="3" t="s">
        <v>142</v>
      </c>
      <c r="BD1527" s="3" t="s">
        <v>68</v>
      </c>
      <c r="BE1527" s="3" t="s">
        <v>14655</v>
      </c>
      <c r="BF1527" s="3" t="s">
        <v>14695</v>
      </c>
      <c r="BG1527" s="3" t="s">
        <v>14696</v>
      </c>
    </row>
    <row r="1528" spans="1:59" ht="57" x14ac:dyDescent="0.45">
      <c r="A1528" s="2" t="s">
        <v>59</v>
      </c>
      <c r="B1528" s="2" t="s">
        <v>60</v>
      </c>
      <c r="C1528" s="2" t="s">
        <v>14646</v>
      </c>
      <c r="D1528" s="2" t="s">
        <v>14647</v>
      </c>
      <c r="E1528" s="2" t="s">
        <v>14648</v>
      </c>
      <c r="F1528" s="3" t="s">
        <v>12344</v>
      </c>
      <c r="G1528" s="3" t="s">
        <v>61</v>
      </c>
      <c r="I1528" s="3" t="s">
        <v>62</v>
      </c>
      <c r="J1528" s="3" t="s">
        <v>62</v>
      </c>
      <c r="K1528" s="3" t="s">
        <v>63</v>
      </c>
      <c r="L1528" s="2" t="s">
        <v>13305</v>
      </c>
      <c r="M1528" s="2" t="s">
        <v>14650</v>
      </c>
      <c r="N1528" s="3" t="s">
        <v>1855</v>
      </c>
      <c r="P1528" s="3" t="s">
        <v>65</v>
      </c>
      <c r="R1528" s="3" t="s">
        <v>66</v>
      </c>
      <c r="S1528" s="4">
        <v>8</v>
      </c>
      <c r="T1528" s="4">
        <v>186</v>
      </c>
      <c r="U1528" s="5" t="s">
        <v>4748</v>
      </c>
      <c r="V1528" s="5" t="s">
        <v>342</v>
      </c>
      <c r="W1528" s="5" t="s">
        <v>67</v>
      </c>
      <c r="X1528" s="5" t="s">
        <v>67</v>
      </c>
      <c r="Y1528" s="4">
        <v>114</v>
      </c>
      <c r="Z1528" s="4">
        <v>12</v>
      </c>
      <c r="AA1528" s="4">
        <v>12</v>
      </c>
      <c r="AB1528" s="4">
        <v>1</v>
      </c>
      <c r="AC1528" s="4">
        <v>1</v>
      </c>
      <c r="AD1528" s="4">
        <v>40</v>
      </c>
      <c r="AE1528" s="4">
        <v>40</v>
      </c>
      <c r="AF1528" s="4">
        <v>0</v>
      </c>
      <c r="AG1528" s="4">
        <v>0</v>
      </c>
      <c r="AH1528" s="4">
        <v>34</v>
      </c>
      <c r="AI1528" s="4">
        <v>34</v>
      </c>
      <c r="AJ1528" s="4">
        <v>8</v>
      </c>
      <c r="AK1528" s="4">
        <v>8</v>
      </c>
      <c r="AL1528" s="4">
        <v>19</v>
      </c>
      <c r="AM1528" s="4">
        <v>19</v>
      </c>
      <c r="AN1528" s="4">
        <v>0</v>
      </c>
      <c r="AO1528" s="4">
        <v>0</v>
      </c>
      <c r="AP1528" s="4">
        <v>10</v>
      </c>
      <c r="AQ1528" s="4">
        <v>10</v>
      </c>
      <c r="AR1528" s="3" t="s">
        <v>62</v>
      </c>
      <c r="AS1528" s="3" t="s">
        <v>62</v>
      </c>
      <c r="AT1528" s="3" t="s">
        <v>62</v>
      </c>
      <c r="AV1528" s="6" t="str">
        <f t="shared" si="22"/>
        <v>Catalog Record</v>
      </c>
      <c r="AW1528" s="6" t="str">
        <f t="shared" si="23"/>
        <v>WorldCat Record</v>
      </c>
      <c r="AX1528" s="3" t="s">
        <v>14651</v>
      </c>
      <c r="AY1528" s="3" t="s">
        <v>14652</v>
      </c>
      <c r="AZ1528" s="3" t="s">
        <v>14653</v>
      </c>
      <c r="BA1528" s="3" t="s">
        <v>14653</v>
      </c>
      <c r="BB1528" s="3" t="s">
        <v>14697</v>
      </c>
      <c r="BC1528" s="3" t="s">
        <v>142</v>
      </c>
      <c r="BD1528" s="3" t="s">
        <v>68</v>
      </c>
      <c r="BE1528" s="3" t="s">
        <v>14655</v>
      </c>
      <c r="BF1528" s="3" t="s">
        <v>14697</v>
      </c>
      <c r="BG1528" s="3" t="s">
        <v>14698</v>
      </c>
    </row>
    <row r="1529" spans="1:59" ht="57" x14ac:dyDescent="0.45">
      <c r="A1529" s="2" t="s">
        <v>59</v>
      </c>
      <c r="B1529" s="2" t="s">
        <v>60</v>
      </c>
      <c r="C1529" s="2" t="s">
        <v>14699</v>
      </c>
      <c r="D1529" s="2" t="s">
        <v>14700</v>
      </c>
      <c r="E1529" s="2" t="s">
        <v>14701</v>
      </c>
      <c r="G1529" s="3" t="s">
        <v>62</v>
      </c>
      <c r="I1529" s="3" t="s">
        <v>62</v>
      </c>
      <c r="J1529" s="3" t="s">
        <v>62</v>
      </c>
      <c r="K1529" s="3" t="s">
        <v>63</v>
      </c>
      <c r="L1529" s="2" t="s">
        <v>14702</v>
      </c>
      <c r="M1529" s="2" t="s">
        <v>14703</v>
      </c>
      <c r="N1529" s="3" t="s">
        <v>125</v>
      </c>
      <c r="P1529" s="3" t="s">
        <v>65</v>
      </c>
      <c r="R1529" s="3" t="s">
        <v>66</v>
      </c>
      <c r="S1529" s="4">
        <v>40</v>
      </c>
      <c r="T1529" s="4">
        <v>40</v>
      </c>
      <c r="U1529" s="5" t="s">
        <v>2942</v>
      </c>
      <c r="V1529" s="5" t="s">
        <v>2942</v>
      </c>
      <c r="W1529" s="5" t="s">
        <v>67</v>
      </c>
      <c r="X1529" s="5" t="s">
        <v>67</v>
      </c>
      <c r="Y1529" s="4">
        <v>147</v>
      </c>
      <c r="Z1529" s="4">
        <v>49</v>
      </c>
      <c r="AA1529" s="4">
        <v>51</v>
      </c>
      <c r="AB1529" s="4">
        <v>2</v>
      </c>
      <c r="AC1529" s="4">
        <v>4</v>
      </c>
      <c r="AD1529" s="4">
        <v>77</v>
      </c>
      <c r="AE1529" s="4">
        <v>78</v>
      </c>
      <c r="AF1529" s="4">
        <v>1</v>
      </c>
      <c r="AG1529" s="4">
        <v>2</v>
      </c>
      <c r="AH1529" s="4">
        <v>54</v>
      </c>
      <c r="AI1529" s="4">
        <v>54</v>
      </c>
      <c r="AJ1529" s="4">
        <v>19</v>
      </c>
      <c r="AK1529" s="4">
        <v>20</v>
      </c>
      <c r="AL1529" s="4">
        <v>25</v>
      </c>
      <c r="AM1529" s="4">
        <v>25</v>
      </c>
      <c r="AN1529" s="4">
        <v>0</v>
      </c>
      <c r="AO1529" s="4">
        <v>0</v>
      </c>
      <c r="AP1529" s="4">
        <v>33</v>
      </c>
      <c r="AQ1529" s="4">
        <v>34</v>
      </c>
      <c r="AR1529" s="3" t="s">
        <v>61</v>
      </c>
      <c r="AS1529" s="3" t="s">
        <v>62</v>
      </c>
      <c r="AT1529" s="3" t="s">
        <v>62</v>
      </c>
      <c r="AV1529" s="6" t="str">
        <f>HYPERLINK("http://mcgill.on.worldcat.org/oclc/23468730","Catalog Record")</f>
        <v>Catalog Record</v>
      </c>
      <c r="AW1529" s="6" t="str">
        <f>HYPERLINK("http://www.worldcat.org/oclc/23468730","WorldCat Record")</f>
        <v>WorldCat Record</v>
      </c>
      <c r="AX1529" s="3" t="s">
        <v>14704</v>
      </c>
      <c r="AY1529" s="3" t="s">
        <v>14705</v>
      </c>
      <c r="AZ1529" s="3" t="s">
        <v>14706</v>
      </c>
      <c r="BA1529" s="3" t="s">
        <v>14706</v>
      </c>
      <c r="BB1529" s="3" t="s">
        <v>14707</v>
      </c>
      <c r="BC1529" s="3" t="s">
        <v>142</v>
      </c>
      <c r="BD1529" s="3" t="s">
        <v>68</v>
      </c>
      <c r="BE1529" s="3" t="s">
        <v>14708</v>
      </c>
      <c r="BF1529" s="3" t="s">
        <v>14707</v>
      </c>
      <c r="BG1529" s="3" t="s">
        <v>14709</v>
      </c>
    </row>
    <row r="1530" spans="1:59" ht="57" x14ac:dyDescent="0.45">
      <c r="A1530" s="2" t="s">
        <v>59</v>
      </c>
      <c r="B1530" s="2" t="s">
        <v>60</v>
      </c>
      <c r="C1530" s="2" t="s">
        <v>14710</v>
      </c>
      <c r="D1530" s="2" t="s">
        <v>14711</v>
      </c>
      <c r="E1530" s="2" t="s">
        <v>14712</v>
      </c>
      <c r="G1530" s="3" t="s">
        <v>62</v>
      </c>
      <c r="I1530" s="3" t="s">
        <v>62</v>
      </c>
      <c r="J1530" s="3" t="s">
        <v>62</v>
      </c>
      <c r="K1530" s="3" t="s">
        <v>63</v>
      </c>
      <c r="L1530" s="2" t="s">
        <v>14713</v>
      </c>
      <c r="M1530" s="2" t="s">
        <v>14714</v>
      </c>
      <c r="N1530" s="3" t="s">
        <v>894</v>
      </c>
      <c r="P1530" s="3" t="s">
        <v>65</v>
      </c>
      <c r="Q1530" s="2" t="s">
        <v>14715</v>
      </c>
      <c r="R1530" s="3" t="s">
        <v>66</v>
      </c>
      <c r="S1530" s="4">
        <v>2</v>
      </c>
      <c r="T1530" s="4">
        <v>2</v>
      </c>
      <c r="U1530" s="5" t="s">
        <v>14716</v>
      </c>
      <c r="V1530" s="5" t="s">
        <v>14716</v>
      </c>
      <c r="W1530" s="5" t="s">
        <v>67</v>
      </c>
      <c r="X1530" s="5" t="s">
        <v>67</v>
      </c>
      <c r="Y1530" s="4">
        <v>165</v>
      </c>
      <c r="Z1530" s="4">
        <v>12</v>
      </c>
      <c r="AA1530" s="4">
        <v>20</v>
      </c>
      <c r="AB1530" s="4">
        <v>1</v>
      </c>
      <c r="AC1530" s="4">
        <v>6</v>
      </c>
      <c r="AD1530" s="4">
        <v>37</v>
      </c>
      <c r="AE1530" s="4">
        <v>51</v>
      </c>
      <c r="AF1530" s="4">
        <v>0</v>
      </c>
      <c r="AG1530" s="4">
        <v>2</v>
      </c>
      <c r="AH1530" s="4">
        <v>33</v>
      </c>
      <c r="AI1530" s="4">
        <v>43</v>
      </c>
      <c r="AJ1530" s="4">
        <v>6</v>
      </c>
      <c r="AK1530" s="4">
        <v>10</v>
      </c>
      <c r="AL1530" s="4">
        <v>18</v>
      </c>
      <c r="AM1530" s="4">
        <v>23</v>
      </c>
      <c r="AN1530" s="4">
        <v>0</v>
      </c>
      <c r="AO1530" s="4">
        <v>0</v>
      </c>
      <c r="AP1530" s="4">
        <v>10</v>
      </c>
      <c r="AQ1530" s="4">
        <v>14</v>
      </c>
      <c r="AR1530" s="3" t="s">
        <v>62</v>
      </c>
      <c r="AS1530" s="3" t="s">
        <v>62</v>
      </c>
      <c r="AT1530" s="3" t="s">
        <v>62</v>
      </c>
      <c r="AV1530" s="6" t="str">
        <f>HYPERLINK("http://mcgill.on.worldcat.org/oclc/495276835","Catalog Record")</f>
        <v>Catalog Record</v>
      </c>
      <c r="AW1530" s="6" t="str">
        <f>HYPERLINK("http://www.worldcat.org/oclc/495276835","WorldCat Record")</f>
        <v>WorldCat Record</v>
      </c>
      <c r="AX1530" s="3" t="s">
        <v>14717</v>
      </c>
      <c r="AY1530" s="3" t="s">
        <v>14718</v>
      </c>
      <c r="AZ1530" s="3" t="s">
        <v>14719</v>
      </c>
      <c r="BA1530" s="3" t="s">
        <v>14719</v>
      </c>
      <c r="BB1530" s="3" t="s">
        <v>14720</v>
      </c>
      <c r="BC1530" s="3" t="s">
        <v>142</v>
      </c>
      <c r="BD1530" s="3" t="s">
        <v>68</v>
      </c>
      <c r="BE1530" s="3" t="s">
        <v>14721</v>
      </c>
      <c r="BF1530" s="3" t="s">
        <v>14720</v>
      </c>
      <c r="BG1530" s="3" t="s">
        <v>14722</v>
      </c>
    </row>
    <row r="1531" spans="1:59" ht="114" x14ac:dyDescent="0.45">
      <c r="A1531" s="2" t="s">
        <v>59</v>
      </c>
      <c r="B1531" s="2" t="s">
        <v>690</v>
      </c>
      <c r="C1531" s="2" t="s">
        <v>14723</v>
      </c>
      <c r="D1531" s="2" t="s">
        <v>14724</v>
      </c>
      <c r="E1531" s="2" t="s">
        <v>14725</v>
      </c>
      <c r="G1531" s="3" t="s">
        <v>62</v>
      </c>
      <c r="I1531" s="3" t="s">
        <v>62</v>
      </c>
      <c r="J1531" s="3" t="s">
        <v>62</v>
      </c>
      <c r="K1531" s="3" t="s">
        <v>63</v>
      </c>
      <c r="L1531" s="2" t="s">
        <v>14726</v>
      </c>
      <c r="M1531" s="2" t="s">
        <v>14727</v>
      </c>
      <c r="N1531" s="3" t="s">
        <v>181</v>
      </c>
      <c r="O1531" s="2" t="s">
        <v>696</v>
      </c>
      <c r="P1531" s="3" t="s">
        <v>697</v>
      </c>
      <c r="R1531" s="3" t="s">
        <v>66</v>
      </c>
      <c r="S1531" s="4">
        <v>0</v>
      </c>
      <c r="T1531" s="4">
        <v>0</v>
      </c>
      <c r="W1531" s="5" t="s">
        <v>67</v>
      </c>
      <c r="X1531" s="5" t="s">
        <v>67</v>
      </c>
      <c r="Y1531" s="4">
        <v>4</v>
      </c>
      <c r="Z1531" s="4">
        <v>1</v>
      </c>
      <c r="AA1531" s="4">
        <v>1</v>
      </c>
      <c r="AB1531" s="4">
        <v>1</v>
      </c>
      <c r="AC1531" s="4">
        <v>1</v>
      </c>
      <c r="AD1531" s="4">
        <v>2</v>
      </c>
      <c r="AE1531" s="4">
        <v>2</v>
      </c>
      <c r="AF1531" s="4">
        <v>0</v>
      </c>
      <c r="AG1531" s="4">
        <v>0</v>
      </c>
      <c r="AH1531" s="4">
        <v>2</v>
      </c>
      <c r="AI1531" s="4">
        <v>2</v>
      </c>
      <c r="AJ1531" s="4">
        <v>0</v>
      </c>
      <c r="AK1531" s="4">
        <v>0</v>
      </c>
      <c r="AL1531" s="4">
        <v>2</v>
      </c>
      <c r="AM1531" s="4">
        <v>2</v>
      </c>
      <c r="AN1531" s="4">
        <v>0</v>
      </c>
      <c r="AO1531" s="4">
        <v>0</v>
      </c>
      <c r="AP1531" s="4">
        <v>0</v>
      </c>
      <c r="AQ1531" s="4">
        <v>0</v>
      </c>
      <c r="AR1531" s="3" t="s">
        <v>62</v>
      </c>
      <c r="AS1531" s="3" t="s">
        <v>62</v>
      </c>
      <c r="AT1531" s="3" t="s">
        <v>62</v>
      </c>
      <c r="AV1531" s="6" t="str">
        <f>HYPERLINK("http://mcgill.on.worldcat.org/oclc/967781147","Catalog Record")</f>
        <v>Catalog Record</v>
      </c>
      <c r="AW1531" s="6" t="str">
        <f>HYPERLINK("http://www.worldcat.org/oclc/967781147","WorldCat Record")</f>
        <v>WorldCat Record</v>
      </c>
      <c r="AX1531" s="3" t="s">
        <v>14728</v>
      </c>
      <c r="AY1531" s="3" t="s">
        <v>14729</v>
      </c>
      <c r="AZ1531" s="3" t="s">
        <v>14730</v>
      </c>
      <c r="BA1531" s="3" t="s">
        <v>14730</v>
      </c>
      <c r="BB1531" s="3" t="s">
        <v>14731</v>
      </c>
      <c r="BC1531" s="3" t="s">
        <v>142</v>
      </c>
      <c r="BD1531" s="3" t="s">
        <v>68</v>
      </c>
      <c r="BE1531" s="3" t="s">
        <v>14732</v>
      </c>
      <c r="BF1531" s="3" t="s">
        <v>14731</v>
      </c>
      <c r="BG1531" s="3" t="s">
        <v>14733</v>
      </c>
    </row>
    <row r="1532" spans="1:59" ht="57" x14ac:dyDescent="0.45">
      <c r="A1532" s="2" t="s">
        <v>59</v>
      </c>
      <c r="B1532" s="2" t="s">
        <v>60</v>
      </c>
      <c r="C1532" s="2" t="s">
        <v>14734</v>
      </c>
      <c r="D1532" s="2" t="s">
        <v>14735</v>
      </c>
      <c r="E1532" s="2" t="s">
        <v>14736</v>
      </c>
      <c r="G1532" s="3" t="s">
        <v>62</v>
      </c>
      <c r="I1532" s="3" t="s">
        <v>62</v>
      </c>
      <c r="J1532" s="3" t="s">
        <v>61</v>
      </c>
      <c r="K1532" s="3" t="s">
        <v>63</v>
      </c>
      <c r="L1532" s="2" t="s">
        <v>14737</v>
      </c>
      <c r="M1532" s="2" t="s">
        <v>14738</v>
      </c>
      <c r="N1532" s="3" t="s">
        <v>116</v>
      </c>
      <c r="O1532" s="2" t="s">
        <v>933</v>
      </c>
      <c r="P1532" s="3" t="s">
        <v>65</v>
      </c>
      <c r="Q1532" s="2" t="s">
        <v>14739</v>
      </c>
      <c r="R1532" s="3" t="s">
        <v>66</v>
      </c>
      <c r="S1532" s="4">
        <v>20</v>
      </c>
      <c r="T1532" s="4">
        <v>20</v>
      </c>
      <c r="U1532" s="5" t="s">
        <v>1783</v>
      </c>
      <c r="V1532" s="5" t="s">
        <v>1783</v>
      </c>
      <c r="W1532" s="5" t="s">
        <v>67</v>
      </c>
      <c r="X1532" s="5" t="s">
        <v>67</v>
      </c>
      <c r="Y1532" s="4">
        <v>254</v>
      </c>
      <c r="Z1532" s="4">
        <v>23</v>
      </c>
      <c r="AA1532" s="4">
        <v>53</v>
      </c>
      <c r="AB1532" s="4">
        <v>2</v>
      </c>
      <c r="AC1532" s="4">
        <v>9</v>
      </c>
      <c r="AD1532" s="4">
        <v>76</v>
      </c>
      <c r="AE1532" s="4">
        <v>140</v>
      </c>
      <c r="AF1532" s="4">
        <v>1</v>
      </c>
      <c r="AG1532" s="4">
        <v>5</v>
      </c>
      <c r="AH1532" s="4">
        <v>62</v>
      </c>
      <c r="AI1532" s="4">
        <v>107</v>
      </c>
      <c r="AJ1532" s="4">
        <v>13</v>
      </c>
      <c r="AK1532" s="4">
        <v>26</v>
      </c>
      <c r="AL1532" s="4">
        <v>33</v>
      </c>
      <c r="AM1532" s="4">
        <v>55</v>
      </c>
      <c r="AN1532" s="4">
        <v>0</v>
      </c>
      <c r="AO1532" s="4">
        <v>0</v>
      </c>
      <c r="AP1532" s="4">
        <v>20</v>
      </c>
      <c r="AQ1532" s="4">
        <v>43</v>
      </c>
      <c r="AR1532" s="3" t="s">
        <v>62</v>
      </c>
      <c r="AS1532" s="3" t="s">
        <v>62</v>
      </c>
      <c r="AT1532" s="3" t="s">
        <v>62</v>
      </c>
      <c r="AV1532" s="6" t="str">
        <f>HYPERLINK("http://mcgill.on.worldcat.org/oclc/793340162","Catalog Record")</f>
        <v>Catalog Record</v>
      </c>
      <c r="AW1532" s="6" t="str">
        <f>HYPERLINK("http://www.worldcat.org/oclc/793340162","WorldCat Record")</f>
        <v>WorldCat Record</v>
      </c>
      <c r="AX1532" s="3" t="s">
        <v>14740</v>
      </c>
      <c r="AY1532" s="3" t="s">
        <v>14741</v>
      </c>
      <c r="AZ1532" s="3" t="s">
        <v>14742</v>
      </c>
      <c r="BA1532" s="3" t="s">
        <v>14742</v>
      </c>
      <c r="BB1532" s="3" t="s">
        <v>14743</v>
      </c>
      <c r="BC1532" s="3" t="s">
        <v>142</v>
      </c>
      <c r="BD1532" s="3" t="s">
        <v>68</v>
      </c>
      <c r="BE1532" s="3" t="s">
        <v>14744</v>
      </c>
      <c r="BF1532" s="3" t="s">
        <v>14743</v>
      </c>
      <c r="BG1532" s="3" t="s">
        <v>14745</v>
      </c>
    </row>
    <row r="1533" spans="1:59" ht="57" x14ac:dyDescent="0.45">
      <c r="A1533" s="2" t="s">
        <v>59</v>
      </c>
      <c r="B1533" s="2" t="s">
        <v>60</v>
      </c>
      <c r="C1533" s="2" t="s">
        <v>14746</v>
      </c>
      <c r="D1533" s="2" t="s">
        <v>14747</v>
      </c>
      <c r="E1533" s="2" t="s">
        <v>14748</v>
      </c>
      <c r="G1533" s="3" t="s">
        <v>62</v>
      </c>
      <c r="I1533" s="3" t="s">
        <v>62</v>
      </c>
      <c r="J1533" s="3" t="s">
        <v>62</v>
      </c>
      <c r="K1533" s="3" t="s">
        <v>63</v>
      </c>
      <c r="L1533" s="2" t="s">
        <v>14749</v>
      </c>
      <c r="M1533" s="2" t="s">
        <v>14750</v>
      </c>
      <c r="N1533" s="3" t="s">
        <v>167</v>
      </c>
      <c r="P1533" s="3" t="s">
        <v>65</v>
      </c>
      <c r="Q1533" s="2" t="s">
        <v>14751</v>
      </c>
      <c r="R1533" s="3" t="s">
        <v>66</v>
      </c>
      <c r="S1533" s="4">
        <v>24</v>
      </c>
      <c r="T1533" s="4">
        <v>24</v>
      </c>
      <c r="U1533" s="5" t="s">
        <v>13047</v>
      </c>
      <c r="V1533" s="5" t="s">
        <v>13047</v>
      </c>
      <c r="W1533" s="5" t="s">
        <v>67</v>
      </c>
      <c r="X1533" s="5" t="s">
        <v>67</v>
      </c>
      <c r="Y1533" s="4">
        <v>335</v>
      </c>
      <c r="Z1533" s="4">
        <v>32</v>
      </c>
      <c r="AA1533" s="4">
        <v>37</v>
      </c>
      <c r="AB1533" s="4">
        <v>2</v>
      </c>
      <c r="AC1533" s="4">
        <v>6</v>
      </c>
      <c r="AD1533" s="4">
        <v>73</v>
      </c>
      <c r="AE1533" s="4">
        <v>77</v>
      </c>
      <c r="AF1533" s="4">
        <v>0</v>
      </c>
      <c r="AG1533" s="4">
        <v>1</v>
      </c>
      <c r="AH1533" s="4">
        <v>54</v>
      </c>
      <c r="AI1533" s="4">
        <v>57</v>
      </c>
      <c r="AJ1533" s="4">
        <v>13</v>
      </c>
      <c r="AK1533" s="4">
        <v>15</v>
      </c>
      <c r="AL1533" s="4">
        <v>26</v>
      </c>
      <c r="AM1533" s="4">
        <v>26</v>
      </c>
      <c r="AN1533" s="4">
        <v>0</v>
      </c>
      <c r="AO1533" s="4">
        <v>0</v>
      </c>
      <c r="AP1533" s="4">
        <v>24</v>
      </c>
      <c r="AQ1533" s="4">
        <v>26</v>
      </c>
      <c r="AR1533" s="3" t="s">
        <v>62</v>
      </c>
      <c r="AS1533" s="3" t="s">
        <v>62</v>
      </c>
      <c r="AT1533" s="3" t="s">
        <v>61</v>
      </c>
      <c r="AU1533" s="6" t="str">
        <f>HYPERLINK("http://catalog.hathitrust.org/Record/004032881","HathiTrust Record")</f>
        <v>HathiTrust Record</v>
      </c>
      <c r="AV1533" s="6" t="str">
        <f>HYPERLINK("http://mcgill.on.worldcat.org/oclc/40521298","Catalog Record")</f>
        <v>Catalog Record</v>
      </c>
      <c r="AW1533" s="6" t="str">
        <f>HYPERLINK("http://www.worldcat.org/oclc/40521298","WorldCat Record")</f>
        <v>WorldCat Record</v>
      </c>
      <c r="AX1533" s="3" t="s">
        <v>14752</v>
      </c>
      <c r="AY1533" s="3" t="s">
        <v>14753</v>
      </c>
      <c r="AZ1533" s="3" t="s">
        <v>14754</v>
      </c>
      <c r="BA1533" s="3" t="s">
        <v>14754</v>
      </c>
      <c r="BB1533" s="3" t="s">
        <v>14755</v>
      </c>
      <c r="BC1533" s="3" t="s">
        <v>142</v>
      </c>
      <c r="BD1533" s="3" t="s">
        <v>68</v>
      </c>
      <c r="BE1533" s="3" t="s">
        <v>14756</v>
      </c>
      <c r="BF1533" s="3" t="s">
        <v>14755</v>
      </c>
      <c r="BG1533" s="3" t="s">
        <v>14757</v>
      </c>
    </row>
    <row r="1534" spans="1:59" ht="57" x14ac:dyDescent="0.45">
      <c r="A1534" s="2" t="s">
        <v>59</v>
      </c>
      <c r="B1534" s="2" t="s">
        <v>60</v>
      </c>
      <c r="C1534" s="2" t="s">
        <v>14758</v>
      </c>
      <c r="D1534" s="2" t="s">
        <v>14759</v>
      </c>
      <c r="E1534" s="2" t="s">
        <v>14760</v>
      </c>
      <c r="G1534" s="3" t="s">
        <v>62</v>
      </c>
      <c r="I1534" s="3" t="s">
        <v>62</v>
      </c>
      <c r="J1534" s="3" t="s">
        <v>62</v>
      </c>
      <c r="K1534" s="3" t="s">
        <v>63</v>
      </c>
      <c r="L1534" s="2" t="s">
        <v>14761</v>
      </c>
      <c r="M1534" s="2" t="s">
        <v>14762</v>
      </c>
      <c r="N1534" s="3" t="s">
        <v>1155</v>
      </c>
      <c r="P1534" s="3" t="s">
        <v>65</v>
      </c>
      <c r="R1534" s="3" t="s">
        <v>66</v>
      </c>
      <c r="S1534" s="4">
        <v>4</v>
      </c>
      <c r="T1534" s="4">
        <v>4</v>
      </c>
      <c r="U1534" s="5" t="s">
        <v>14763</v>
      </c>
      <c r="V1534" s="5" t="s">
        <v>14763</v>
      </c>
      <c r="W1534" s="5" t="s">
        <v>67</v>
      </c>
      <c r="X1534" s="5" t="s">
        <v>67</v>
      </c>
      <c r="Y1534" s="4">
        <v>167</v>
      </c>
      <c r="Z1534" s="4">
        <v>15</v>
      </c>
      <c r="AA1534" s="4">
        <v>18</v>
      </c>
      <c r="AB1534" s="4">
        <v>2</v>
      </c>
      <c r="AC1534" s="4">
        <v>5</v>
      </c>
      <c r="AD1534" s="4">
        <v>42</v>
      </c>
      <c r="AE1534" s="4">
        <v>44</v>
      </c>
      <c r="AF1534" s="4">
        <v>1</v>
      </c>
      <c r="AG1534" s="4">
        <v>3</v>
      </c>
      <c r="AH1534" s="4">
        <v>35</v>
      </c>
      <c r="AI1534" s="4">
        <v>36</v>
      </c>
      <c r="AJ1534" s="4">
        <v>9</v>
      </c>
      <c r="AK1534" s="4">
        <v>11</v>
      </c>
      <c r="AL1534" s="4">
        <v>21</v>
      </c>
      <c r="AM1534" s="4">
        <v>21</v>
      </c>
      <c r="AN1534" s="4">
        <v>0</v>
      </c>
      <c r="AO1534" s="4">
        <v>0</v>
      </c>
      <c r="AP1534" s="4">
        <v>11</v>
      </c>
      <c r="AQ1534" s="4">
        <v>13</v>
      </c>
      <c r="AR1534" s="3" t="s">
        <v>62</v>
      </c>
      <c r="AS1534" s="3" t="s">
        <v>62</v>
      </c>
      <c r="AT1534" s="3" t="s">
        <v>62</v>
      </c>
      <c r="AV1534" s="6" t="str">
        <f>HYPERLINK("http://mcgill.on.worldcat.org/oclc/706020676","Catalog Record")</f>
        <v>Catalog Record</v>
      </c>
      <c r="AW1534" s="6" t="str">
        <f>HYPERLINK("http://www.worldcat.org/oclc/706020676","WorldCat Record")</f>
        <v>WorldCat Record</v>
      </c>
      <c r="AX1534" s="3" t="s">
        <v>14764</v>
      </c>
      <c r="AY1534" s="3" t="s">
        <v>14765</v>
      </c>
      <c r="AZ1534" s="3" t="s">
        <v>14766</v>
      </c>
      <c r="BA1534" s="3" t="s">
        <v>14766</v>
      </c>
      <c r="BB1534" s="3" t="s">
        <v>14767</v>
      </c>
      <c r="BC1534" s="3" t="s">
        <v>142</v>
      </c>
      <c r="BD1534" s="3" t="s">
        <v>68</v>
      </c>
      <c r="BE1534" s="3" t="s">
        <v>14768</v>
      </c>
      <c r="BF1534" s="3" t="s">
        <v>14767</v>
      </c>
      <c r="BG1534" s="3" t="s">
        <v>14769</v>
      </c>
    </row>
    <row r="1535" spans="1:59" ht="57" x14ac:dyDescent="0.45">
      <c r="A1535" s="2" t="s">
        <v>59</v>
      </c>
      <c r="B1535" s="2" t="s">
        <v>60</v>
      </c>
      <c r="C1535" s="2" t="s">
        <v>14770</v>
      </c>
      <c r="D1535" s="2" t="s">
        <v>14771</v>
      </c>
      <c r="E1535" s="2" t="s">
        <v>14772</v>
      </c>
      <c r="G1535" s="3" t="s">
        <v>62</v>
      </c>
      <c r="I1535" s="3" t="s">
        <v>62</v>
      </c>
      <c r="J1535" s="3" t="s">
        <v>61</v>
      </c>
      <c r="K1535" s="3" t="s">
        <v>63</v>
      </c>
      <c r="L1535" s="2" t="s">
        <v>12529</v>
      </c>
      <c r="M1535" s="2" t="s">
        <v>14773</v>
      </c>
      <c r="N1535" s="3" t="s">
        <v>894</v>
      </c>
      <c r="O1535" s="2" t="s">
        <v>933</v>
      </c>
      <c r="P1535" s="3" t="s">
        <v>65</v>
      </c>
      <c r="R1535" s="3" t="s">
        <v>66</v>
      </c>
      <c r="S1535" s="4">
        <v>11</v>
      </c>
      <c r="T1535" s="4">
        <v>11</v>
      </c>
      <c r="U1535" s="5" t="s">
        <v>14763</v>
      </c>
      <c r="V1535" s="5" t="s">
        <v>14763</v>
      </c>
      <c r="W1535" s="5" t="s">
        <v>67</v>
      </c>
      <c r="X1535" s="5" t="s">
        <v>67</v>
      </c>
      <c r="Y1535" s="4">
        <v>201</v>
      </c>
      <c r="Z1535" s="4">
        <v>20</v>
      </c>
      <c r="AA1535" s="4">
        <v>70</v>
      </c>
      <c r="AB1535" s="4">
        <v>2</v>
      </c>
      <c r="AC1535" s="4">
        <v>15</v>
      </c>
      <c r="AD1535" s="4">
        <v>43</v>
      </c>
      <c r="AE1535" s="4">
        <v>112</v>
      </c>
      <c r="AF1535" s="4">
        <v>1</v>
      </c>
      <c r="AG1535" s="4">
        <v>6</v>
      </c>
      <c r="AH1535" s="4">
        <v>35</v>
      </c>
      <c r="AI1535" s="4">
        <v>86</v>
      </c>
      <c r="AJ1535" s="4">
        <v>10</v>
      </c>
      <c r="AK1535" s="4">
        <v>20</v>
      </c>
      <c r="AL1535" s="4">
        <v>18</v>
      </c>
      <c r="AM1535" s="4">
        <v>42</v>
      </c>
      <c r="AN1535" s="4">
        <v>0</v>
      </c>
      <c r="AO1535" s="4">
        <v>0</v>
      </c>
      <c r="AP1535" s="4">
        <v>16</v>
      </c>
      <c r="AQ1535" s="4">
        <v>34</v>
      </c>
      <c r="AR1535" s="3" t="s">
        <v>62</v>
      </c>
      <c r="AS1535" s="3" t="s">
        <v>62</v>
      </c>
      <c r="AT1535" s="3" t="s">
        <v>62</v>
      </c>
      <c r="AV1535" s="6" t="str">
        <f>HYPERLINK("http://mcgill.on.worldcat.org/oclc/617425457","Catalog Record")</f>
        <v>Catalog Record</v>
      </c>
      <c r="AW1535" s="6" t="str">
        <f>HYPERLINK("http://www.worldcat.org/oclc/617425457","WorldCat Record")</f>
        <v>WorldCat Record</v>
      </c>
      <c r="AX1535" s="3" t="s">
        <v>14774</v>
      </c>
      <c r="AY1535" s="3" t="s">
        <v>14775</v>
      </c>
      <c r="AZ1535" s="3" t="s">
        <v>14776</v>
      </c>
      <c r="BA1535" s="3" t="s">
        <v>14776</v>
      </c>
      <c r="BB1535" s="3" t="s">
        <v>14777</v>
      </c>
      <c r="BC1535" s="3" t="s">
        <v>142</v>
      </c>
      <c r="BD1535" s="3" t="s">
        <v>68</v>
      </c>
      <c r="BE1535" s="3" t="s">
        <v>14778</v>
      </c>
      <c r="BF1535" s="3" t="s">
        <v>14777</v>
      </c>
      <c r="BG1535" s="3" t="s">
        <v>14779</v>
      </c>
    </row>
    <row r="1536" spans="1:59" ht="57" x14ac:dyDescent="0.45">
      <c r="A1536" s="2" t="s">
        <v>59</v>
      </c>
      <c r="B1536" s="2" t="s">
        <v>60</v>
      </c>
      <c r="C1536" s="2" t="s">
        <v>14780</v>
      </c>
      <c r="D1536" s="2" t="s">
        <v>14781</v>
      </c>
      <c r="E1536" s="2" t="s">
        <v>14782</v>
      </c>
      <c r="G1536" s="3" t="s">
        <v>62</v>
      </c>
      <c r="I1536" s="3" t="s">
        <v>62</v>
      </c>
      <c r="J1536" s="3" t="s">
        <v>62</v>
      </c>
      <c r="K1536" s="3" t="s">
        <v>63</v>
      </c>
      <c r="L1536" s="2" t="s">
        <v>14783</v>
      </c>
      <c r="M1536" s="2" t="s">
        <v>14784</v>
      </c>
      <c r="N1536" s="3" t="s">
        <v>1855</v>
      </c>
      <c r="P1536" s="3" t="s">
        <v>65</v>
      </c>
      <c r="R1536" s="3" t="s">
        <v>66</v>
      </c>
      <c r="S1536" s="4">
        <v>22</v>
      </c>
      <c r="T1536" s="4">
        <v>22</v>
      </c>
      <c r="U1536" s="5" t="s">
        <v>291</v>
      </c>
      <c r="V1536" s="5" t="s">
        <v>291</v>
      </c>
      <c r="W1536" s="5" t="s">
        <v>67</v>
      </c>
      <c r="X1536" s="5" t="s">
        <v>67</v>
      </c>
      <c r="Y1536" s="4">
        <v>199</v>
      </c>
      <c r="Z1536" s="4">
        <v>16</v>
      </c>
      <c r="AA1536" s="4">
        <v>23</v>
      </c>
      <c r="AB1536" s="4">
        <v>2</v>
      </c>
      <c r="AC1536" s="4">
        <v>5</v>
      </c>
      <c r="AD1536" s="4">
        <v>55</v>
      </c>
      <c r="AE1536" s="4">
        <v>69</v>
      </c>
      <c r="AF1536" s="4">
        <v>1</v>
      </c>
      <c r="AG1536" s="4">
        <v>4</v>
      </c>
      <c r="AH1536" s="4">
        <v>49</v>
      </c>
      <c r="AI1536" s="4">
        <v>58</v>
      </c>
      <c r="AJ1536" s="4">
        <v>11</v>
      </c>
      <c r="AK1536" s="4">
        <v>16</v>
      </c>
      <c r="AL1536" s="4">
        <v>23</v>
      </c>
      <c r="AM1536" s="4">
        <v>28</v>
      </c>
      <c r="AN1536" s="4">
        <v>0</v>
      </c>
      <c r="AO1536" s="4">
        <v>0</v>
      </c>
      <c r="AP1536" s="4">
        <v>13</v>
      </c>
      <c r="AQ1536" s="4">
        <v>18</v>
      </c>
      <c r="AR1536" s="3" t="s">
        <v>62</v>
      </c>
      <c r="AS1536" s="3" t="s">
        <v>62</v>
      </c>
      <c r="AT1536" s="3" t="s">
        <v>62</v>
      </c>
      <c r="AV1536" s="6" t="str">
        <f>HYPERLINK("http://mcgill.on.worldcat.org/oclc/55625456","Catalog Record")</f>
        <v>Catalog Record</v>
      </c>
      <c r="AW1536" s="6" t="str">
        <f>HYPERLINK("http://www.worldcat.org/oclc/55625456","WorldCat Record")</f>
        <v>WorldCat Record</v>
      </c>
      <c r="AX1536" s="3" t="s">
        <v>14785</v>
      </c>
      <c r="AY1536" s="3" t="s">
        <v>14786</v>
      </c>
      <c r="AZ1536" s="3" t="s">
        <v>14787</v>
      </c>
      <c r="BA1536" s="3" t="s">
        <v>14787</v>
      </c>
      <c r="BB1536" s="3" t="s">
        <v>14788</v>
      </c>
      <c r="BC1536" s="3" t="s">
        <v>142</v>
      </c>
      <c r="BD1536" s="3" t="s">
        <v>68</v>
      </c>
      <c r="BE1536" s="3" t="s">
        <v>14789</v>
      </c>
      <c r="BF1536" s="3" t="s">
        <v>14788</v>
      </c>
      <c r="BG1536" s="3" t="s">
        <v>14790</v>
      </c>
    </row>
    <row r="1537" spans="1:59" ht="57" x14ac:dyDescent="0.45">
      <c r="A1537" s="2" t="s">
        <v>59</v>
      </c>
      <c r="B1537" s="2" t="s">
        <v>60</v>
      </c>
      <c r="C1537" s="2" t="s">
        <v>14791</v>
      </c>
      <c r="D1537" s="2" t="s">
        <v>14792</v>
      </c>
      <c r="E1537" s="2" t="s">
        <v>14793</v>
      </c>
      <c r="G1537" s="3" t="s">
        <v>62</v>
      </c>
      <c r="I1537" s="3" t="s">
        <v>62</v>
      </c>
      <c r="J1537" s="3" t="s">
        <v>62</v>
      </c>
      <c r="K1537" s="3" t="s">
        <v>63</v>
      </c>
      <c r="M1537" s="2" t="s">
        <v>14794</v>
      </c>
      <c r="N1537" s="3" t="s">
        <v>195</v>
      </c>
      <c r="P1537" s="3" t="s">
        <v>65</v>
      </c>
      <c r="Q1537" s="2" t="s">
        <v>14795</v>
      </c>
      <c r="R1537" s="3" t="s">
        <v>66</v>
      </c>
      <c r="S1537" s="4">
        <v>12</v>
      </c>
      <c r="T1537" s="4">
        <v>12</v>
      </c>
      <c r="U1537" s="5" t="s">
        <v>13047</v>
      </c>
      <c r="V1537" s="5" t="s">
        <v>13047</v>
      </c>
      <c r="W1537" s="5" t="s">
        <v>67</v>
      </c>
      <c r="X1537" s="5" t="s">
        <v>67</v>
      </c>
      <c r="Y1537" s="4">
        <v>257</v>
      </c>
      <c r="Z1537" s="4">
        <v>13</v>
      </c>
      <c r="AA1537" s="4">
        <v>15</v>
      </c>
      <c r="AB1537" s="4">
        <v>2</v>
      </c>
      <c r="AC1537" s="4">
        <v>4</v>
      </c>
      <c r="AD1537" s="4">
        <v>99</v>
      </c>
      <c r="AE1537" s="4">
        <v>101</v>
      </c>
      <c r="AF1537" s="4">
        <v>1</v>
      </c>
      <c r="AG1537" s="4">
        <v>3</v>
      </c>
      <c r="AH1537" s="4">
        <v>95</v>
      </c>
      <c r="AI1537" s="4">
        <v>96</v>
      </c>
      <c r="AJ1537" s="4">
        <v>11</v>
      </c>
      <c r="AK1537" s="4">
        <v>13</v>
      </c>
      <c r="AL1537" s="4">
        <v>50</v>
      </c>
      <c r="AM1537" s="4">
        <v>50</v>
      </c>
      <c r="AN1537" s="4">
        <v>0</v>
      </c>
      <c r="AO1537" s="4">
        <v>0</v>
      </c>
      <c r="AP1537" s="4">
        <v>11</v>
      </c>
      <c r="AQ1537" s="4">
        <v>13</v>
      </c>
      <c r="AR1537" s="3" t="s">
        <v>62</v>
      </c>
      <c r="AS1537" s="3" t="s">
        <v>62</v>
      </c>
      <c r="AT1537" s="3" t="s">
        <v>61</v>
      </c>
      <c r="AU1537" s="6" t="str">
        <f>HYPERLINK("http://catalog.hathitrust.org/Record/002732316","HathiTrust Record")</f>
        <v>HathiTrust Record</v>
      </c>
      <c r="AV1537" s="6" t="str">
        <f>HYPERLINK("http://mcgill.on.worldcat.org/oclc/27897423","Catalog Record")</f>
        <v>Catalog Record</v>
      </c>
      <c r="AW1537" s="6" t="str">
        <f>HYPERLINK("http://www.worldcat.org/oclc/27897423","WorldCat Record")</f>
        <v>WorldCat Record</v>
      </c>
      <c r="AX1537" s="3" t="s">
        <v>14796</v>
      </c>
      <c r="AY1537" s="3" t="s">
        <v>14797</v>
      </c>
      <c r="AZ1537" s="3" t="s">
        <v>14798</v>
      </c>
      <c r="BA1537" s="3" t="s">
        <v>14798</v>
      </c>
      <c r="BB1537" s="3" t="s">
        <v>14799</v>
      </c>
      <c r="BC1537" s="3" t="s">
        <v>142</v>
      </c>
      <c r="BD1537" s="3" t="s">
        <v>68</v>
      </c>
      <c r="BE1537" s="3" t="s">
        <v>14800</v>
      </c>
      <c r="BF1537" s="3" t="s">
        <v>14799</v>
      </c>
      <c r="BG1537" s="3" t="s">
        <v>14801</v>
      </c>
    </row>
    <row r="1538" spans="1:59" ht="57" x14ac:dyDescent="0.45">
      <c r="A1538" s="2" t="s">
        <v>59</v>
      </c>
      <c r="B1538" s="2" t="s">
        <v>60</v>
      </c>
      <c r="C1538" s="2" t="s">
        <v>14802</v>
      </c>
      <c r="D1538" s="2" t="s">
        <v>14803</v>
      </c>
      <c r="E1538" s="2" t="s">
        <v>14804</v>
      </c>
      <c r="G1538" s="3" t="s">
        <v>62</v>
      </c>
      <c r="I1538" s="3" t="s">
        <v>62</v>
      </c>
      <c r="J1538" s="3" t="s">
        <v>61</v>
      </c>
      <c r="K1538" s="3" t="s">
        <v>63</v>
      </c>
      <c r="L1538" s="2" t="s">
        <v>14805</v>
      </c>
      <c r="M1538" s="2" t="s">
        <v>14806</v>
      </c>
      <c r="N1538" s="3" t="s">
        <v>1155</v>
      </c>
      <c r="P1538" s="3" t="s">
        <v>65</v>
      </c>
      <c r="R1538" s="3" t="s">
        <v>66</v>
      </c>
      <c r="S1538" s="4">
        <v>2</v>
      </c>
      <c r="T1538" s="4">
        <v>2</v>
      </c>
      <c r="U1538" s="5" t="s">
        <v>14763</v>
      </c>
      <c r="V1538" s="5" t="s">
        <v>14763</v>
      </c>
      <c r="W1538" s="5" t="s">
        <v>67</v>
      </c>
      <c r="X1538" s="5" t="s">
        <v>67</v>
      </c>
      <c r="Y1538" s="4">
        <v>148</v>
      </c>
      <c r="Z1538" s="4">
        <v>10</v>
      </c>
      <c r="AA1538" s="4">
        <v>30</v>
      </c>
      <c r="AB1538" s="4">
        <v>2</v>
      </c>
      <c r="AC1538" s="4">
        <v>9</v>
      </c>
      <c r="AD1538" s="4">
        <v>32</v>
      </c>
      <c r="AE1538" s="4">
        <v>62</v>
      </c>
      <c r="AF1538" s="4">
        <v>1</v>
      </c>
      <c r="AG1538" s="4">
        <v>4</v>
      </c>
      <c r="AH1538" s="4">
        <v>28</v>
      </c>
      <c r="AI1538" s="4">
        <v>50</v>
      </c>
      <c r="AJ1538" s="4">
        <v>4</v>
      </c>
      <c r="AK1538" s="4">
        <v>16</v>
      </c>
      <c r="AL1538" s="4">
        <v>19</v>
      </c>
      <c r="AM1538" s="4">
        <v>27</v>
      </c>
      <c r="AN1538" s="4">
        <v>0</v>
      </c>
      <c r="AO1538" s="4">
        <v>0</v>
      </c>
      <c r="AP1538" s="4">
        <v>7</v>
      </c>
      <c r="AQ1538" s="4">
        <v>19</v>
      </c>
      <c r="AR1538" s="3" t="s">
        <v>62</v>
      </c>
      <c r="AS1538" s="3" t="s">
        <v>62</v>
      </c>
      <c r="AT1538" s="3" t="s">
        <v>62</v>
      </c>
      <c r="AV1538" s="6" t="str">
        <f>HYPERLINK("http://mcgill.on.worldcat.org/oclc/748335423","Catalog Record")</f>
        <v>Catalog Record</v>
      </c>
      <c r="AW1538" s="6" t="str">
        <f>HYPERLINK("http://www.worldcat.org/oclc/748335423","WorldCat Record")</f>
        <v>WorldCat Record</v>
      </c>
      <c r="AX1538" s="3" t="s">
        <v>14807</v>
      </c>
      <c r="AY1538" s="3" t="s">
        <v>14808</v>
      </c>
      <c r="AZ1538" s="3" t="s">
        <v>14809</v>
      </c>
      <c r="BA1538" s="3" t="s">
        <v>14809</v>
      </c>
      <c r="BB1538" s="3" t="s">
        <v>14810</v>
      </c>
      <c r="BC1538" s="3" t="s">
        <v>142</v>
      </c>
      <c r="BD1538" s="3" t="s">
        <v>68</v>
      </c>
      <c r="BE1538" s="3" t="s">
        <v>14811</v>
      </c>
      <c r="BF1538" s="3" t="s">
        <v>14810</v>
      </c>
      <c r="BG1538" s="3" t="s">
        <v>14812</v>
      </c>
    </row>
    <row r="1539" spans="1:59" ht="57" x14ac:dyDescent="0.45">
      <c r="A1539" s="2" t="s">
        <v>59</v>
      </c>
      <c r="B1539" s="2" t="s">
        <v>60</v>
      </c>
      <c r="C1539" s="2" t="s">
        <v>14813</v>
      </c>
      <c r="D1539" s="2" t="s">
        <v>14814</v>
      </c>
      <c r="E1539" s="2" t="s">
        <v>14804</v>
      </c>
      <c r="G1539" s="3" t="s">
        <v>62</v>
      </c>
      <c r="I1539" s="3" t="s">
        <v>62</v>
      </c>
      <c r="J1539" s="3" t="s">
        <v>61</v>
      </c>
      <c r="K1539" s="3" t="s">
        <v>63</v>
      </c>
      <c r="L1539" s="2" t="s">
        <v>14815</v>
      </c>
      <c r="M1539" s="2" t="s">
        <v>14816</v>
      </c>
      <c r="N1539" s="3" t="s">
        <v>1918</v>
      </c>
      <c r="O1539" s="2" t="s">
        <v>3280</v>
      </c>
      <c r="P1539" s="3" t="s">
        <v>65</v>
      </c>
      <c r="R1539" s="3" t="s">
        <v>66</v>
      </c>
      <c r="S1539" s="4">
        <v>1</v>
      </c>
      <c r="T1539" s="4">
        <v>1</v>
      </c>
      <c r="W1539" s="5" t="s">
        <v>2406</v>
      </c>
      <c r="X1539" s="5" t="s">
        <v>2406</v>
      </c>
      <c r="Y1539" s="4">
        <v>59</v>
      </c>
      <c r="Z1539" s="4">
        <v>6</v>
      </c>
      <c r="AA1539" s="4">
        <v>30</v>
      </c>
      <c r="AB1539" s="4">
        <v>1</v>
      </c>
      <c r="AC1539" s="4">
        <v>9</v>
      </c>
      <c r="AD1539" s="4">
        <v>10</v>
      </c>
      <c r="AE1539" s="4">
        <v>62</v>
      </c>
      <c r="AF1539" s="4">
        <v>0</v>
      </c>
      <c r="AG1539" s="4">
        <v>4</v>
      </c>
      <c r="AH1539" s="4">
        <v>8</v>
      </c>
      <c r="AI1539" s="4">
        <v>50</v>
      </c>
      <c r="AJ1539" s="4">
        <v>2</v>
      </c>
      <c r="AK1539" s="4">
        <v>16</v>
      </c>
      <c r="AL1539" s="4">
        <v>4</v>
      </c>
      <c r="AM1539" s="4">
        <v>27</v>
      </c>
      <c r="AN1539" s="4">
        <v>0</v>
      </c>
      <c r="AO1539" s="4">
        <v>0</v>
      </c>
      <c r="AP1539" s="4">
        <v>4</v>
      </c>
      <c r="AQ1539" s="4">
        <v>19</v>
      </c>
      <c r="AR1539" s="3" t="s">
        <v>62</v>
      </c>
      <c r="AS1539" s="3" t="s">
        <v>62</v>
      </c>
      <c r="AT1539" s="3" t="s">
        <v>62</v>
      </c>
      <c r="AV1539" s="6" t="str">
        <f>HYPERLINK("http://mcgill.on.worldcat.org/oclc/975372876","Catalog Record")</f>
        <v>Catalog Record</v>
      </c>
      <c r="AW1539" s="6" t="str">
        <f>HYPERLINK("http://www.worldcat.org/oclc/975372876","WorldCat Record")</f>
        <v>WorldCat Record</v>
      </c>
      <c r="AX1539" s="3" t="s">
        <v>14807</v>
      </c>
      <c r="AY1539" s="3" t="s">
        <v>14817</v>
      </c>
      <c r="AZ1539" s="3" t="s">
        <v>14818</v>
      </c>
      <c r="BA1539" s="3" t="s">
        <v>14818</v>
      </c>
      <c r="BB1539" s="3" t="s">
        <v>14819</v>
      </c>
      <c r="BC1539" s="3" t="s">
        <v>142</v>
      </c>
      <c r="BD1539" s="3" t="s">
        <v>308</v>
      </c>
      <c r="BE1539" s="3" t="s">
        <v>14820</v>
      </c>
      <c r="BF1539" s="3" t="s">
        <v>14819</v>
      </c>
      <c r="BG1539" s="3" t="s">
        <v>14821</v>
      </c>
    </row>
    <row r="1540" spans="1:59" ht="57" x14ac:dyDescent="0.45">
      <c r="A1540" s="2" t="s">
        <v>59</v>
      </c>
      <c r="B1540" s="2" t="s">
        <v>60</v>
      </c>
      <c r="C1540" s="2" t="s">
        <v>14822</v>
      </c>
      <c r="D1540" s="2" t="s">
        <v>14823</v>
      </c>
      <c r="E1540" s="2" t="s">
        <v>14824</v>
      </c>
      <c r="G1540" s="3" t="s">
        <v>62</v>
      </c>
      <c r="I1540" s="3" t="s">
        <v>62</v>
      </c>
      <c r="J1540" s="3" t="s">
        <v>62</v>
      </c>
      <c r="K1540" s="3" t="s">
        <v>63</v>
      </c>
      <c r="M1540" s="2" t="s">
        <v>14825</v>
      </c>
      <c r="N1540" s="3" t="s">
        <v>918</v>
      </c>
      <c r="P1540" s="3" t="s">
        <v>65</v>
      </c>
      <c r="R1540" s="3" t="s">
        <v>66</v>
      </c>
      <c r="S1540" s="4">
        <v>27</v>
      </c>
      <c r="T1540" s="4">
        <v>27</v>
      </c>
      <c r="U1540" s="5" t="s">
        <v>14826</v>
      </c>
      <c r="V1540" s="5" t="s">
        <v>14826</v>
      </c>
      <c r="W1540" s="5" t="s">
        <v>67</v>
      </c>
      <c r="X1540" s="5" t="s">
        <v>67</v>
      </c>
      <c r="Y1540" s="4">
        <v>339</v>
      </c>
      <c r="Z1540" s="4">
        <v>19</v>
      </c>
      <c r="AA1540" s="4">
        <v>23</v>
      </c>
      <c r="AB1540" s="4">
        <v>1</v>
      </c>
      <c r="AC1540" s="4">
        <v>4</v>
      </c>
      <c r="AD1540" s="4">
        <v>94</v>
      </c>
      <c r="AE1540" s="4">
        <v>101</v>
      </c>
      <c r="AF1540" s="4">
        <v>0</v>
      </c>
      <c r="AG1540" s="4">
        <v>3</v>
      </c>
      <c r="AH1540" s="4">
        <v>85</v>
      </c>
      <c r="AI1540" s="4">
        <v>88</v>
      </c>
      <c r="AJ1540" s="4">
        <v>12</v>
      </c>
      <c r="AK1540" s="4">
        <v>16</v>
      </c>
      <c r="AL1540" s="4">
        <v>48</v>
      </c>
      <c r="AM1540" s="4">
        <v>50</v>
      </c>
      <c r="AN1540" s="4">
        <v>0</v>
      </c>
      <c r="AO1540" s="4">
        <v>0</v>
      </c>
      <c r="AP1540" s="4">
        <v>16</v>
      </c>
      <c r="AQ1540" s="4">
        <v>20</v>
      </c>
      <c r="AR1540" s="3" t="s">
        <v>62</v>
      </c>
      <c r="AS1540" s="3" t="s">
        <v>62</v>
      </c>
      <c r="AT1540" s="3" t="s">
        <v>62</v>
      </c>
      <c r="AV1540" s="6" t="str">
        <f>HYPERLINK("http://mcgill.on.worldcat.org/oclc/49750444","Catalog Record")</f>
        <v>Catalog Record</v>
      </c>
      <c r="AW1540" s="6" t="str">
        <f>HYPERLINK("http://www.worldcat.org/oclc/49750444","WorldCat Record")</f>
        <v>WorldCat Record</v>
      </c>
      <c r="AX1540" s="3" t="s">
        <v>14827</v>
      </c>
      <c r="AY1540" s="3" t="s">
        <v>14828</v>
      </c>
      <c r="AZ1540" s="3" t="s">
        <v>14829</v>
      </c>
      <c r="BA1540" s="3" t="s">
        <v>14829</v>
      </c>
      <c r="BB1540" s="3" t="s">
        <v>14830</v>
      </c>
      <c r="BC1540" s="3" t="s">
        <v>142</v>
      </c>
      <c r="BD1540" s="3" t="s">
        <v>68</v>
      </c>
      <c r="BE1540" s="3" t="s">
        <v>14831</v>
      </c>
      <c r="BF1540" s="3" t="s">
        <v>14830</v>
      </c>
      <c r="BG1540" s="3" t="s">
        <v>14832</v>
      </c>
    </row>
    <row r="1541" spans="1:59" ht="57" x14ac:dyDescent="0.45">
      <c r="A1541" s="2" t="s">
        <v>59</v>
      </c>
      <c r="B1541" s="2" t="s">
        <v>60</v>
      </c>
      <c r="C1541" s="2" t="s">
        <v>14833</v>
      </c>
      <c r="D1541" s="2" t="s">
        <v>14834</v>
      </c>
      <c r="E1541" s="2" t="s">
        <v>14835</v>
      </c>
      <c r="G1541" s="3" t="s">
        <v>62</v>
      </c>
      <c r="I1541" s="3" t="s">
        <v>62</v>
      </c>
      <c r="J1541" s="3" t="s">
        <v>62</v>
      </c>
      <c r="K1541" s="3" t="s">
        <v>63</v>
      </c>
      <c r="L1541" s="2" t="s">
        <v>14229</v>
      </c>
      <c r="M1541" s="2" t="s">
        <v>14836</v>
      </c>
      <c r="N1541" s="3" t="s">
        <v>1437</v>
      </c>
      <c r="P1541" s="3" t="s">
        <v>65</v>
      </c>
      <c r="R1541" s="3" t="s">
        <v>66</v>
      </c>
      <c r="S1541" s="4">
        <v>12</v>
      </c>
      <c r="T1541" s="4">
        <v>12</v>
      </c>
      <c r="U1541" s="5" t="s">
        <v>14837</v>
      </c>
      <c r="V1541" s="5" t="s">
        <v>14837</v>
      </c>
      <c r="W1541" s="5" t="s">
        <v>67</v>
      </c>
      <c r="X1541" s="5" t="s">
        <v>67</v>
      </c>
      <c r="Y1541" s="4">
        <v>257</v>
      </c>
      <c r="Z1541" s="4">
        <v>18</v>
      </c>
      <c r="AA1541" s="4">
        <v>97</v>
      </c>
      <c r="AB1541" s="4">
        <v>2</v>
      </c>
      <c r="AC1541" s="4">
        <v>18</v>
      </c>
      <c r="AD1541" s="4">
        <v>77</v>
      </c>
      <c r="AE1541" s="4">
        <v>127</v>
      </c>
      <c r="AF1541" s="4">
        <v>1</v>
      </c>
      <c r="AG1541" s="4">
        <v>8</v>
      </c>
      <c r="AH1541" s="4">
        <v>67</v>
      </c>
      <c r="AI1541" s="4">
        <v>90</v>
      </c>
      <c r="AJ1541" s="4">
        <v>12</v>
      </c>
      <c r="AK1541" s="4">
        <v>22</v>
      </c>
      <c r="AL1541" s="4">
        <v>35</v>
      </c>
      <c r="AM1541" s="4">
        <v>45</v>
      </c>
      <c r="AN1541" s="4">
        <v>0</v>
      </c>
      <c r="AO1541" s="4">
        <v>0</v>
      </c>
      <c r="AP1541" s="4">
        <v>16</v>
      </c>
      <c r="AQ1541" s="4">
        <v>45</v>
      </c>
      <c r="AR1541" s="3" t="s">
        <v>62</v>
      </c>
      <c r="AS1541" s="3" t="s">
        <v>62</v>
      </c>
      <c r="AT1541" s="3" t="s">
        <v>61</v>
      </c>
      <c r="AU1541" s="6" t="str">
        <f>HYPERLINK("http://catalog.hathitrust.org/Record/004040237","HathiTrust Record")</f>
        <v>HathiTrust Record</v>
      </c>
      <c r="AV1541" s="6" t="str">
        <f>HYPERLINK("http://mcgill.on.worldcat.org/oclc/41443825","Catalog Record")</f>
        <v>Catalog Record</v>
      </c>
      <c r="AW1541" s="6" t="str">
        <f>HYPERLINK("http://www.worldcat.org/oclc/41443825","WorldCat Record")</f>
        <v>WorldCat Record</v>
      </c>
      <c r="AX1541" s="3" t="s">
        <v>14838</v>
      </c>
      <c r="AY1541" s="3" t="s">
        <v>14839</v>
      </c>
      <c r="AZ1541" s="3" t="s">
        <v>14840</v>
      </c>
      <c r="BA1541" s="3" t="s">
        <v>14840</v>
      </c>
      <c r="BB1541" s="3" t="s">
        <v>14841</v>
      </c>
      <c r="BC1541" s="3" t="s">
        <v>142</v>
      </c>
      <c r="BD1541" s="3" t="s">
        <v>308</v>
      </c>
      <c r="BE1541" s="3" t="s">
        <v>14842</v>
      </c>
      <c r="BF1541" s="3" t="s">
        <v>14841</v>
      </c>
      <c r="BG1541" s="3" t="s">
        <v>14843</v>
      </c>
    </row>
    <row r="1542" spans="1:59" ht="57" x14ac:dyDescent="0.45">
      <c r="A1542" s="2" t="s">
        <v>59</v>
      </c>
      <c r="B1542" s="2" t="s">
        <v>60</v>
      </c>
      <c r="C1542" s="2" t="s">
        <v>14844</v>
      </c>
      <c r="D1542" s="2" t="s">
        <v>14845</v>
      </c>
      <c r="E1542" s="2" t="s">
        <v>14846</v>
      </c>
      <c r="G1542" s="3" t="s">
        <v>62</v>
      </c>
      <c r="I1542" s="3" t="s">
        <v>62</v>
      </c>
      <c r="J1542" s="3" t="s">
        <v>62</v>
      </c>
      <c r="K1542" s="3" t="s">
        <v>63</v>
      </c>
      <c r="L1542" s="2" t="s">
        <v>14847</v>
      </c>
      <c r="M1542" s="2" t="s">
        <v>11622</v>
      </c>
      <c r="N1542" s="3" t="s">
        <v>116</v>
      </c>
      <c r="P1542" s="3" t="s">
        <v>65</v>
      </c>
      <c r="R1542" s="3" t="s">
        <v>66</v>
      </c>
      <c r="S1542" s="4">
        <v>0</v>
      </c>
      <c r="T1542" s="4">
        <v>0</v>
      </c>
      <c r="W1542" s="5" t="s">
        <v>67</v>
      </c>
      <c r="X1542" s="5" t="s">
        <v>67</v>
      </c>
      <c r="Y1542" s="4">
        <v>65</v>
      </c>
      <c r="Z1542" s="4">
        <v>3</v>
      </c>
      <c r="AA1542" s="4">
        <v>20</v>
      </c>
      <c r="AB1542" s="4">
        <v>1</v>
      </c>
      <c r="AC1542" s="4">
        <v>4</v>
      </c>
      <c r="AD1542" s="4">
        <v>26</v>
      </c>
      <c r="AE1542" s="4">
        <v>38</v>
      </c>
      <c r="AF1542" s="4">
        <v>0</v>
      </c>
      <c r="AG1542" s="4">
        <v>1</v>
      </c>
      <c r="AH1542" s="4">
        <v>26</v>
      </c>
      <c r="AI1542" s="4">
        <v>33</v>
      </c>
      <c r="AJ1542" s="4">
        <v>2</v>
      </c>
      <c r="AK1542" s="4">
        <v>7</v>
      </c>
      <c r="AL1542" s="4">
        <v>16</v>
      </c>
      <c r="AM1542" s="4">
        <v>18</v>
      </c>
      <c r="AN1542" s="4">
        <v>0</v>
      </c>
      <c r="AO1542" s="4">
        <v>0</v>
      </c>
      <c r="AP1542" s="4">
        <v>2</v>
      </c>
      <c r="AQ1542" s="4">
        <v>10</v>
      </c>
      <c r="AR1542" s="3" t="s">
        <v>62</v>
      </c>
      <c r="AS1542" s="3" t="s">
        <v>62</v>
      </c>
      <c r="AT1542" s="3" t="s">
        <v>62</v>
      </c>
      <c r="AV1542" s="6" t="str">
        <f>HYPERLINK("http://mcgill.on.worldcat.org/oclc/858940258","Catalog Record")</f>
        <v>Catalog Record</v>
      </c>
      <c r="AW1542" s="6" t="str">
        <f>HYPERLINK("http://www.worldcat.org/oclc/858940258","WorldCat Record")</f>
        <v>WorldCat Record</v>
      </c>
      <c r="AX1542" s="3" t="s">
        <v>14848</v>
      </c>
      <c r="AY1542" s="3" t="s">
        <v>14849</v>
      </c>
      <c r="AZ1542" s="3" t="s">
        <v>14850</v>
      </c>
      <c r="BA1542" s="3" t="s">
        <v>14850</v>
      </c>
      <c r="BB1542" s="3" t="s">
        <v>14851</v>
      </c>
      <c r="BC1542" s="3" t="s">
        <v>142</v>
      </c>
      <c r="BD1542" s="3" t="s">
        <v>68</v>
      </c>
      <c r="BE1542" s="3" t="s">
        <v>14852</v>
      </c>
      <c r="BF1542" s="3" t="s">
        <v>14851</v>
      </c>
      <c r="BG1542" s="3" t="s">
        <v>14853</v>
      </c>
    </row>
    <row r="1543" spans="1:59" ht="57" x14ac:dyDescent="0.45">
      <c r="A1543" s="2" t="s">
        <v>59</v>
      </c>
      <c r="B1543" s="2" t="s">
        <v>60</v>
      </c>
      <c r="C1543" s="2" t="s">
        <v>14854</v>
      </c>
      <c r="D1543" s="2" t="s">
        <v>14855</v>
      </c>
      <c r="E1543" s="2" t="s">
        <v>14856</v>
      </c>
      <c r="G1543" s="3" t="s">
        <v>62</v>
      </c>
      <c r="I1543" s="3" t="s">
        <v>62</v>
      </c>
      <c r="J1543" s="3" t="s">
        <v>62</v>
      </c>
      <c r="K1543" s="3" t="s">
        <v>63</v>
      </c>
      <c r="M1543" s="2" t="s">
        <v>14857</v>
      </c>
      <c r="N1543" s="3" t="s">
        <v>5180</v>
      </c>
      <c r="P1543" s="3" t="s">
        <v>65</v>
      </c>
      <c r="R1543" s="3" t="s">
        <v>66</v>
      </c>
      <c r="S1543" s="4">
        <v>2</v>
      </c>
      <c r="T1543" s="4">
        <v>2</v>
      </c>
      <c r="U1543" s="5" t="s">
        <v>5594</v>
      </c>
      <c r="V1543" s="5" t="s">
        <v>5594</v>
      </c>
      <c r="W1543" s="5" t="s">
        <v>67</v>
      </c>
      <c r="X1543" s="5" t="s">
        <v>67</v>
      </c>
      <c r="Y1543" s="4">
        <v>115</v>
      </c>
      <c r="Z1543" s="4">
        <v>9</v>
      </c>
      <c r="AA1543" s="4">
        <v>17</v>
      </c>
      <c r="AB1543" s="4">
        <v>2</v>
      </c>
      <c r="AC1543" s="4">
        <v>7</v>
      </c>
      <c r="AD1543" s="4">
        <v>37</v>
      </c>
      <c r="AE1543" s="4">
        <v>56</v>
      </c>
      <c r="AF1543" s="4">
        <v>1</v>
      </c>
      <c r="AG1543" s="4">
        <v>3</v>
      </c>
      <c r="AH1543" s="4">
        <v>31</v>
      </c>
      <c r="AI1543" s="4">
        <v>48</v>
      </c>
      <c r="AJ1543" s="4">
        <v>5</v>
      </c>
      <c r="AK1543" s="4">
        <v>9</v>
      </c>
      <c r="AL1543" s="4">
        <v>20</v>
      </c>
      <c r="AM1543" s="4">
        <v>29</v>
      </c>
      <c r="AN1543" s="4">
        <v>0</v>
      </c>
      <c r="AO1543" s="4">
        <v>0</v>
      </c>
      <c r="AP1543" s="4">
        <v>8</v>
      </c>
      <c r="AQ1543" s="4">
        <v>13</v>
      </c>
      <c r="AR1543" s="3" t="s">
        <v>62</v>
      </c>
      <c r="AS1543" s="3" t="s">
        <v>62</v>
      </c>
      <c r="AT1543" s="3" t="s">
        <v>62</v>
      </c>
      <c r="AV1543" s="6" t="str">
        <f>HYPERLINK("http://mcgill.on.worldcat.org/oclc/957241738","Catalog Record")</f>
        <v>Catalog Record</v>
      </c>
      <c r="AW1543" s="6" t="str">
        <f>HYPERLINK("http://www.worldcat.org/oclc/957241738","WorldCat Record")</f>
        <v>WorldCat Record</v>
      </c>
      <c r="AX1543" s="3" t="s">
        <v>14858</v>
      </c>
      <c r="AY1543" s="3" t="s">
        <v>14859</v>
      </c>
      <c r="AZ1543" s="3" t="s">
        <v>14860</v>
      </c>
      <c r="BA1543" s="3" t="s">
        <v>14860</v>
      </c>
      <c r="BB1543" s="3" t="s">
        <v>14861</v>
      </c>
      <c r="BC1543" s="3" t="s">
        <v>142</v>
      </c>
      <c r="BD1543" s="3" t="s">
        <v>68</v>
      </c>
      <c r="BE1543" s="3" t="s">
        <v>14862</v>
      </c>
      <c r="BF1543" s="3" t="s">
        <v>14861</v>
      </c>
      <c r="BG1543" s="3" t="s">
        <v>14863</v>
      </c>
    </row>
    <row r="1544" spans="1:59" ht="57" x14ac:dyDescent="0.45">
      <c r="A1544" s="2" t="s">
        <v>59</v>
      </c>
      <c r="B1544" s="2" t="s">
        <v>60</v>
      </c>
      <c r="C1544" s="2" t="s">
        <v>14864</v>
      </c>
      <c r="D1544" s="2" t="s">
        <v>14865</v>
      </c>
      <c r="E1544" s="2" t="s">
        <v>14866</v>
      </c>
      <c r="G1544" s="3" t="s">
        <v>62</v>
      </c>
      <c r="I1544" s="3" t="s">
        <v>62</v>
      </c>
      <c r="J1544" s="3" t="s">
        <v>62</v>
      </c>
      <c r="K1544" s="3" t="s">
        <v>63</v>
      </c>
      <c r="M1544" s="2" t="s">
        <v>1009</v>
      </c>
      <c r="N1544" s="3" t="s">
        <v>894</v>
      </c>
      <c r="P1544" s="3" t="s">
        <v>65</v>
      </c>
      <c r="Q1544" s="2" t="s">
        <v>14867</v>
      </c>
      <c r="R1544" s="3" t="s">
        <v>66</v>
      </c>
      <c r="S1544" s="4">
        <v>2</v>
      </c>
      <c r="T1544" s="4">
        <v>2</v>
      </c>
      <c r="U1544" s="5" t="s">
        <v>13047</v>
      </c>
      <c r="V1544" s="5" t="s">
        <v>13047</v>
      </c>
      <c r="W1544" s="5" t="s">
        <v>67</v>
      </c>
      <c r="X1544" s="5" t="s">
        <v>67</v>
      </c>
      <c r="Y1544" s="4">
        <v>141</v>
      </c>
      <c r="Z1544" s="4">
        <v>12</v>
      </c>
      <c r="AA1544" s="4">
        <v>82</v>
      </c>
      <c r="AB1544" s="4">
        <v>1</v>
      </c>
      <c r="AC1544" s="4">
        <v>15</v>
      </c>
      <c r="AD1544" s="4">
        <v>44</v>
      </c>
      <c r="AE1544" s="4">
        <v>116</v>
      </c>
      <c r="AF1544" s="4">
        <v>0</v>
      </c>
      <c r="AG1544" s="4">
        <v>8</v>
      </c>
      <c r="AH1544" s="4">
        <v>38</v>
      </c>
      <c r="AI1544" s="4">
        <v>80</v>
      </c>
      <c r="AJ1544" s="4">
        <v>8</v>
      </c>
      <c r="AK1544" s="4">
        <v>23</v>
      </c>
      <c r="AL1544" s="4">
        <v>22</v>
      </c>
      <c r="AM1544" s="4">
        <v>40</v>
      </c>
      <c r="AN1544" s="4">
        <v>0</v>
      </c>
      <c r="AO1544" s="4">
        <v>0</v>
      </c>
      <c r="AP1544" s="4">
        <v>10</v>
      </c>
      <c r="AQ1544" s="4">
        <v>44</v>
      </c>
      <c r="AR1544" s="3" t="s">
        <v>62</v>
      </c>
      <c r="AS1544" s="3" t="s">
        <v>62</v>
      </c>
      <c r="AT1544" s="3" t="s">
        <v>62</v>
      </c>
      <c r="AV1544" s="6" t="str">
        <f>HYPERLINK("http://mcgill.on.worldcat.org/oclc/475450083","Catalog Record")</f>
        <v>Catalog Record</v>
      </c>
      <c r="AW1544" s="6" t="str">
        <f>HYPERLINK("http://www.worldcat.org/oclc/475450083","WorldCat Record")</f>
        <v>WorldCat Record</v>
      </c>
      <c r="AX1544" s="3" t="s">
        <v>14868</v>
      </c>
      <c r="AY1544" s="3" t="s">
        <v>14869</v>
      </c>
      <c r="AZ1544" s="3" t="s">
        <v>14870</v>
      </c>
      <c r="BA1544" s="3" t="s">
        <v>14870</v>
      </c>
      <c r="BB1544" s="3" t="s">
        <v>14871</v>
      </c>
      <c r="BC1544" s="3" t="s">
        <v>142</v>
      </c>
      <c r="BD1544" s="3" t="s">
        <v>68</v>
      </c>
      <c r="BE1544" s="3" t="s">
        <v>14872</v>
      </c>
      <c r="BF1544" s="3" t="s">
        <v>14871</v>
      </c>
      <c r="BG1544" s="3" t="s">
        <v>14873</v>
      </c>
    </row>
    <row r="1545" spans="1:59" ht="57" x14ac:dyDescent="0.45">
      <c r="A1545" s="2" t="s">
        <v>59</v>
      </c>
      <c r="B1545" s="2" t="s">
        <v>60</v>
      </c>
      <c r="C1545" s="2" t="s">
        <v>14874</v>
      </c>
      <c r="D1545" s="2" t="s">
        <v>14875</v>
      </c>
      <c r="E1545" s="2" t="s">
        <v>14876</v>
      </c>
      <c r="G1545" s="3" t="s">
        <v>62</v>
      </c>
      <c r="I1545" s="3" t="s">
        <v>62</v>
      </c>
      <c r="J1545" s="3" t="s">
        <v>62</v>
      </c>
      <c r="K1545" s="3" t="s">
        <v>63</v>
      </c>
      <c r="M1545" s="2" t="s">
        <v>14877</v>
      </c>
      <c r="N1545" s="3" t="s">
        <v>149</v>
      </c>
      <c r="P1545" s="3" t="s">
        <v>65</v>
      </c>
      <c r="R1545" s="3" t="s">
        <v>66</v>
      </c>
      <c r="S1545" s="4">
        <v>2</v>
      </c>
      <c r="T1545" s="4">
        <v>2</v>
      </c>
      <c r="U1545" s="5" t="s">
        <v>129</v>
      </c>
      <c r="V1545" s="5" t="s">
        <v>129</v>
      </c>
      <c r="W1545" s="5" t="s">
        <v>67</v>
      </c>
      <c r="X1545" s="5" t="s">
        <v>67</v>
      </c>
      <c r="Y1545" s="4">
        <v>214</v>
      </c>
      <c r="Z1545" s="4">
        <v>19</v>
      </c>
      <c r="AA1545" s="4">
        <v>88</v>
      </c>
      <c r="AB1545" s="4">
        <v>3</v>
      </c>
      <c r="AC1545" s="4">
        <v>16</v>
      </c>
      <c r="AD1545" s="4">
        <v>84</v>
      </c>
      <c r="AE1545" s="4">
        <v>139</v>
      </c>
      <c r="AF1545" s="4">
        <v>1</v>
      </c>
      <c r="AG1545" s="4">
        <v>8</v>
      </c>
      <c r="AH1545" s="4">
        <v>77</v>
      </c>
      <c r="AI1545" s="4">
        <v>101</v>
      </c>
      <c r="AJ1545" s="4">
        <v>12</v>
      </c>
      <c r="AK1545" s="4">
        <v>25</v>
      </c>
      <c r="AL1545" s="4">
        <v>41</v>
      </c>
      <c r="AM1545" s="4">
        <v>51</v>
      </c>
      <c r="AN1545" s="4">
        <v>0</v>
      </c>
      <c r="AO1545" s="4">
        <v>0</v>
      </c>
      <c r="AP1545" s="4">
        <v>14</v>
      </c>
      <c r="AQ1545" s="4">
        <v>48</v>
      </c>
      <c r="AR1545" s="3" t="s">
        <v>62</v>
      </c>
      <c r="AS1545" s="3" t="s">
        <v>62</v>
      </c>
      <c r="AT1545" s="3" t="s">
        <v>62</v>
      </c>
      <c r="AV1545" s="6" t="str">
        <f>HYPERLINK("http://mcgill.on.worldcat.org/oclc/470808582","Catalog Record")</f>
        <v>Catalog Record</v>
      </c>
      <c r="AW1545" s="6" t="str">
        <f>HYPERLINK("http://www.worldcat.org/oclc/470808582","WorldCat Record")</f>
        <v>WorldCat Record</v>
      </c>
      <c r="AX1545" s="3" t="s">
        <v>14878</v>
      </c>
      <c r="AY1545" s="3" t="s">
        <v>14879</v>
      </c>
      <c r="AZ1545" s="3" t="s">
        <v>14880</v>
      </c>
      <c r="BA1545" s="3" t="s">
        <v>14880</v>
      </c>
      <c r="BB1545" s="3" t="s">
        <v>14881</v>
      </c>
      <c r="BC1545" s="3" t="s">
        <v>142</v>
      </c>
      <c r="BD1545" s="3" t="s">
        <v>68</v>
      </c>
      <c r="BE1545" s="3" t="s">
        <v>14882</v>
      </c>
      <c r="BF1545" s="3" t="s">
        <v>14881</v>
      </c>
      <c r="BG1545" s="3" t="s">
        <v>14883</v>
      </c>
    </row>
    <row r="1546" spans="1:59" ht="57" x14ac:dyDescent="0.45">
      <c r="A1546" s="2" t="s">
        <v>59</v>
      </c>
      <c r="B1546" s="2" t="s">
        <v>60</v>
      </c>
      <c r="C1546" s="2" t="s">
        <v>14884</v>
      </c>
      <c r="D1546" s="2" t="s">
        <v>14885</v>
      </c>
      <c r="E1546" s="2" t="s">
        <v>14886</v>
      </c>
      <c r="G1546" s="3" t="s">
        <v>62</v>
      </c>
      <c r="I1546" s="3" t="s">
        <v>62</v>
      </c>
      <c r="J1546" s="3" t="s">
        <v>62</v>
      </c>
      <c r="K1546" s="3" t="s">
        <v>63</v>
      </c>
      <c r="L1546" s="2" t="s">
        <v>14887</v>
      </c>
      <c r="M1546" s="2" t="s">
        <v>14888</v>
      </c>
      <c r="N1546" s="3" t="s">
        <v>1212</v>
      </c>
      <c r="P1546" s="3" t="s">
        <v>65</v>
      </c>
      <c r="R1546" s="3" t="s">
        <v>66</v>
      </c>
      <c r="S1546" s="4">
        <v>25</v>
      </c>
      <c r="T1546" s="4">
        <v>25</v>
      </c>
      <c r="U1546" s="5" t="s">
        <v>291</v>
      </c>
      <c r="V1546" s="5" t="s">
        <v>291</v>
      </c>
      <c r="W1546" s="5" t="s">
        <v>67</v>
      </c>
      <c r="X1546" s="5" t="s">
        <v>67</v>
      </c>
      <c r="Y1546" s="4">
        <v>415</v>
      </c>
      <c r="Z1546" s="4">
        <v>21</v>
      </c>
      <c r="AA1546" s="4">
        <v>71</v>
      </c>
      <c r="AB1546" s="4">
        <v>2</v>
      </c>
      <c r="AC1546" s="4">
        <v>11</v>
      </c>
      <c r="AD1546" s="4">
        <v>100</v>
      </c>
      <c r="AE1546" s="4">
        <v>128</v>
      </c>
      <c r="AF1546" s="4">
        <v>1</v>
      </c>
      <c r="AG1546" s="4">
        <v>4</v>
      </c>
      <c r="AH1546" s="4">
        <v>91</v>
      </c>
      <c r="AI1546" s="4">
        <v>105</v>
      </c>
      <c r="AJ1546" s="4">
        <v>14</v>
      </c>
      <c r="AK1546" s="4">
        <v>22</v>
      </c>
      <c r="AL1546" s="4">
        <v>46</v>
      </c>
      <c r="AM1546" s="4">
        <v>53</v>
      </c>
      <c r="AN1546" s="4">
        <v>0</v>
      </c>
      <c r="AO1546" s="4">
        <v>0</v>
      </c>
      <c r="AP1546" s="4">
        <v>16</v>
      </c>
      <c r="AQ1546" s="4">
        <v>31</v>
      </c>
      <c r="AR1546" s="3" t="s">
        <v>62</v>
      </c>
      <c r="AS1546" s="3" t="s">
        <v>62</v>
      </c>
      <c r="AT1546" s="3" t="s">
        <v>61</v>
      </c>
      <c r="AU1546" s="6" t="str">
        <f>HYPERLINK("http://catalog.hathitrust.org/Record/004073222","HathiTrust Record")</f>
        <v>HathiTrust Record</v>
      </c>
      <c r="AV1546" s="6" t="str">
        <f>HYPERLINK("http://mcgill.on.worldcat.org/oclc/43378085","Catalog Record")</f>
        <v>Catalog Record</v>
      </c>
      <c r="AW1546" s="6" t="str">
        <f>HYPERLINK("http://www.worldcat.org/oclc/43378085","WorldCat Record")</f>
        <v>WorldCat Record</v>
      </c>
      <c r="AX1546" s="3" t="s">
        <v>14889</v>
      </c>
      <c r="AY1546" s="3" t="s">
        <v>14890</v>
      </c>
      <c r="AZ1546" s="3" t="s">
        <v>14891</v>
      </c>
      <c r="BA1546" s="3" t="s">
        <v>14891</v>
      </c>
      <c r="BB1546" s="3" t="s">
        <v>14892</v>
      </c>
      <c r="BC1546" s="3" t="s">
        <v>142</v>
      </c>
      <c r="BD1546" s="3" t="s">
        <v>68</v>
      </c>
      <c r="BE1546" s="3" t="s">
        <v>14893</v>
      </c>
      <c r="BF1546" s="3" t="s">
        <v>14892</v>
      </c>
      <c r="BG1546" s="3" t="s">
        <v>14894</v>
      </c>
    </row>
    <row r="1547" spans="1:59" ht="57" x14ac:dyDescent="0.45">
      <c r="A1547" s="2" t="s">
        <v>59</v>
      </c>
      <c r="B1547" s="2" t="s">
        <v>60</v>
      </c>
      <c r="C1547" s="2" t="s">
        <v>14895</v>
      </c>
      <c r="D1547" s="2" t="s">
        <v>14896</v>
      </c>
      <c r="E1547" s="2" t="s">
        <v>14897</v>
      </c>
      <c r="G1547" s="3" t="s">
        <v>62</v>
      </c>
      <c r="I1547" s="3" t="s">
        <v>62</v>
      </c>
      <c r="J1547" s="3" t="s">
        <v>61</v>
      </c>
      <c r="K1547" s="3" t="s">
        <v>63</v>
      </c>
      <c r="M1547" s="2" t="s">
        <v>9755</v>
      </c>
      <c r="N1547" s="3" t="s">
        <v>1155</v>
      </c>
      <c r="O1547" s="2" t="s">
        <v>933</v>
      </c>
      <c r="P1547" s="3" t="s">
        <v>65</v>
      </c>
      <c r="R1547" s="3" t="s">
        <v>66</v>
      </c>
      <c r="S1547" s="4">
        <v>3</v>
      </c>
      <c r="T1547" s="4">
        <v>3</v>
      </c>
      <c r="U1547" s="5" t="s">
        <v>14898</v>
      </c>
      <c r="V1547" s="5" t="s">
        <v>14898</v>
      </c>
      <c r="W1547" s="5" t="s">
        <v>67</v>
      </c>
      <c r="X1547" s="5" t="s">
        <v>67</v>
      </c>
      <c r="Y1547" s="4">
        <v>256</v>
      </c>
      <c r="Z1547" s="4">
        <v>24</v>
      </c>
      <c r="AA1547" s="4">
        <v>68</v>
      </c>
      <c r="AB1547" s="4">
        <v>1</v>
      </c>
      <c r="AC1547" s="4">
        <v>19</v>
      </c>
      <c r="AD1547" s="4">
        <v>80</v>
      </c>
      <c r="AE1547" s="4">
        <v>137</v>
      </c>
      <c r="AF1547" s="4">
        <v>0</v>
      </c>
      <c r="AG1547" s="4">
        <v>8</v>
      </c>
      <c r="AH1547" s="4">
        <v>72</v>
      </c>
      <c r="AI1547" s="4">
        <v>105</v>
      </c>
      <c r="AJ1547" s="4">
        <v>17</v>
      </c>
      <c r="AK1547" s="4">
        <v>24</v>
      </c>
      <c r="AL1547" s="4">
        <v>36</v>
      </c>
      <c r="AM1547" s="4">
        <v>52</v>
      </c>
      <c r="AN1547" s="4">
        <v>0</v>
      </c>
      <c r="AO1547" s="4">
        <v>0</v>
      </c>
      <c r="AP1547" s="4">
        <v>19</v>
      </c>
      <c r="AQ1547" s="4">
        <v>44</v>
      </c>
      <c r="AR1547" s="3" t="s">
        <v>62</v>
      </c>
      <c r="AS1547" s="3" t="s">
        <v>62</v>
      </c>
      <c r="AT1547" s="3" t="s">
        <v>62</v>
      </c>
      <c r="AV1547" s="6" t="str">
        <f>HYPERLINK("http://mcgill.on.worldcat.org/oclc/722452072","Catalog Record")</f>
        <v>Catalog Record</v>
      </c>
      <c r="AW1547" s="6" t="str">
        <f>HYPERLINK("http://www.worldcat.org/oclc/722452072","WorldCat Record")</f>
        <v>WorldCat Record</v>
      </c>
      <c r="AX1547" s="3" t="s">
        <v>14899</v>
      </c>
      <c r="AY1547" s="3" t="s">
        <v>14900</v>
      </c>
      <c r="AZ1547" s="3" t="s">
        <v>14901</v>
      </c>
      <c r="BA1547" s="3" t="s">
        <v>14901</v>
      </c>
      <c r="BB1547" s="3" t="s">
        <v>14902</v>
      </c>
      <c r="BC1547" s="3" t="s">
        <v>142</v>
      </c>
      <c r="BD1547" s="3" t="s">
        <v>68</v>
      </c>
      <c r="BE1547" s="3" t="s">
        <v>14903</v>
      </c>
      <c r="BF1547" s="3" t="s">
        <v>14902</v>
      </c>
      <c r="BG1547" s="3" t="s">
        <v>14904</v>
      </c>
    </row>
    <row r="1548" spans="1:59" ht="57" x14ac:dyDescent="0.45">
      <c r="A1548" s="2" t="s">
        <v>59</v>
      </c>
      <c r="B1548" s="2" t="s">
        <v>60</v>
      </c>
      <c r="C1548" s="2" t="s">
        <v>14905</v>
      </c>
      <c r="D1548" s="2" t="s">
        <v>14906</v>
      </c>
      <c r="E1548" s="2" t="s">
        <v>14907</v>
      </c>
      <c r="G1548" s="3" t="s">
        <v>61</v>
      </c>
      <c r="I1548" s="3" t="s">
        <v>62</v>
      </c>
      <c r="J1548" s="3" t="s">
        <v>62</v>
      </c>
      <c r="K1548" s="3" t="s">
        <v>63</v>
      </c>
      <c r="M1548" s="2" t="s">
        <v>14908</v>
      </c>
      <c r="N1548" s="3" t="s">
        <v>1253</v>
      </c>
      <c r="P1548" s="3" t="s">
        <v>65</v>
      </c>
      <c r="R1548" s="3" t="s">
        <v>66</v>
      </c>
      <c r="S1548" s="4">
        <v>7</v>
      </c>
      <c r="T1548" s="4">
        <v>7</v>
      </c>
      <c r="U1548" s="5" t="s">
        <v>14909</v>
      </c>
      <c r="V1548" s="5" t="s">
        <v>14909</v>
      </c>
      <c r="W1548" s="5" t="s">
        <v>67</v>
      </c>
      <c r="X1548" s="5" t="s">
        <v>67</v>
      </c>
      <c r="Y1548" s="4">
        <v>601</v>
      </c>
      <c r="Z1548" s="4">
        <v>20</v>
      </c>
      <c r="AA1548" s="4">
        <v>35</v>
      </c>
      <c r="AB1548" s="4">
        <v>1</v>
      </c>
      <c r="AC1548" s="4">
        <v>6</v>
      </c>
      <c r="AD1548" s="4">
        <v>93</v>
      </c>
      <c r="AE1548" s="4">
        <v>108</v>
      </c>
      <c r="AF1548" s="4">
        <v>0</v>
      </c>
      <c r="AG1548" s="4">
        <v>4</v>
      </c>
      <c r="AH1548" s="4">
        <v>78</v>
      </c>
      <c r="AI1548" s="4">
        <v>88</v>
      </c>
      <c r="AJ1548" s="4">
        <v>9</v>
      </c>
      <c r="AK1548" s="4">
        <v>16</v>
      </c>
      <c r="AL1548" s="4">
        <v>39</v>
      </c>
      <c r="AM1548" s="4">
        <v>43</v>
      </c>
      <c r="AN1548" s="4">
        <v>0</v>
      </c>
      <c r="AO1548" s="4">
        <v>0</v>
      </c>
      <c r="AP1548" s="4">
        <v>17</v>
      </c>
      <c r="AQ1548" s="4">
        <v>24</v>
      </c>
      <c r="AR1548" s="3" t="s">
        <v>62</v>
      </c>
      <c r="AS1548" s="3" t="s">
        <v>62</v>
      </c>
      <c r="AT1548" s="3" t="s">
        <v>61</v>
      </c>
      <c r="AU1548" s="6" t="str">
        <f>HYPERLINK("http://catalog.hathitrust.org/Record/004538665","HathiTrust Record")</f>
        <v>HathiTrust Record</v>
      </c>
      <c r="AV1548" s="6" t="str">
        <f>HYPERLINK("http://mcgill.on.worldcat.org/oclc/35103238","Catalog Record")</f>
        <v>Catalog Record</v>
      </c>
      <c r="AW1548" s="6" t="str">
        <f>HYPERLINK("http://www.worldcat.org/oclc/35103238","WorldCat Record")</f>
        <v>WorldCat Record</v>
      </c>
      <c r="AX1548" s="3" t="s">
        <v>14910</v>
      </c>
      <c r="AY1548" s="3" t="s">
        <v>14911</v>
      </c>
      <c r="AZ1548" s="3" t="s">
        <v>14912</v>
      </c>
      <c r="BA1548" s="3" t="s">
        <v>14912</v>
      </c>
      <c r="BB1548" s="3" t="s">
        <v>14913</v>
      </c>
      <c r="BC1548" s="3" t="s">
        <v>142</v>
      </c>
      <c r="BD1548" s="3" t="s">
        <v>68</v>
      </c>
      <c r="BE1548" s="3" t="s">
        <v>14914</v>
      </c>
      <c r="BF1548" s="3" t="s">
        <v>14913</v>
      </c>
      <c r="BG1548" s="3" t="s">
        <v>14915</v>
      </c>
    </row>
    <row r="1549" spans="1:59" ht="57" x14ac:dyDescent="0.45">
      <c r="A1549" s="2" t="s">
        <v>59</v>
      </c>
      <c r="B1549" s="2" t="s">
        <v>60</v>
      </c>
      <c r="C1549" s="2" t="s">
        <v>14916</v>
      </c>
      <c r="D1549" s="2" t="s">
        <v>14917</v>
      </c>
      <c r="E1549" s="2" t="s">
        <v>14918</v>
      </c>
      <c r="G1549" s="3" t="s">
        <v>62</v>
      </c>
      <c r="I1549" s="3" t="s">
        <v>62</v>
      </c>
      <c r="J1549" s="3" t="s">
        <v>62</v>
      </c>
      <c r="K1549" s="3" t="s">
        <v>63</v>
      </c>
      <c r="L1549" s="2" t="s">
        <v>14919</v>
      </c>
      <c r="M1549" s="2" t="s">
        <v>11622</v>
      </c>
      <c r="N1549" s="3" t="s">
        <v>1688</v>
      </c>
      <c r="P1549" s="3" t="s">
        <v>65</v>
      </c>
      <c r="Q1549" s="2" t="s">
        <v>14920</v>
      </c>
      <c r="R1549" s="3" t="s">
        <v>66</v>
      </c>
      <c r="S1549" s="4">
        <v>0</v>
      </c>
      <c r="T1549" s="4">
        <v>0</v>
      </c>
      <c r="W1549" s="5" t="s">
        <v>67</v>
      </c>
      <c r="X1549" s="5" t="s">
        <v>67</v>
      </c>
      <c r="Y1549" s="4">
        <v>66</v>
      </c>
      <c r="Z1549" s="4">
        <v>7</v>
      </c>
      <c r="AA1549" s="4">
        <v>8</v>
      </c>
      <c r="AB1549" s="4">
        <v>2</v>
      </c>
      <c r="AC1549" s="4">
        <v>3</v>
      </c>
      <c r="AD1549" s="4">
        <v>26</v>
      </c>
      <c r="AE1549" s="4">
        <v>27</v>
      </c>
      <c r="AF1549" s="4">
        <v>1</v>
      </c>
      <c r="AG1549" s="4">
        <v>2</v>
      </c>
      <c r="AH1549" s="4">
        <v>22</v>
      </c>
      <c r="AI1549" s="4">
        <v>23</v>
      </c>
      <c r="AJ1549" s="4">
        <v>6</v>
      </c>
      <c r="AK1549" s="4">
        <v>7</v>
      </c>
      <c r="AL1549" s="4">
        <v>17</v>
      </c>
      <c r="AM1549" s="4">
        <v>17</v>
      </c>
      <c r="AN1549" s="4">
        <v>0</v>
      </c>
      <c r="AO1549" s="4">
        <v>0</v>
      </c>
      <c r="AP1549" s="4">
        <v>6</v>
      </c>
      <c r="AQ1549" s="4">
        <v>7</v>
      </c>
      <c r="AR1549" s="3" t="s">
        <v>62</v>
      </c>
      <c r="AS1549" s="3" t="s">
        <v>62</v>
      </c>
      <c r="AT1549" s="3" t="s">
        <v>62</v>
      </c>
      <c r="AV1549" s="6" t="str">
        <f>HYPERLINK("http://mcgill.on.worldcat.org/oclc/864709597","Catalog Record")</f>
        <v>Catalog Record</v>
      </c>
      <c r="AW1549" s="6" t="str">
        <f>HYPERLINK("http://www.worldcat.org/oclc/864709597","WorldCat Record")</f>
        <v>WorldCat Record</v>
      </c>
      <c r="AX1549" s="3" t="s">
        <v>14921</v>
      </c>
      <c r="AY1549" s="3" t="s">
        <v>14922</v>
      </c>
      <c r="AZ1549" s="3" t="s">
        <v>14923</v>
      </c>
      <c r="BA1549" s="3" t="s">
        <v>14923</v>
      </c>
      <c r="BB1549" s="3" t="s">
        <v>14924</v>
      </c>
      <c r="BC1549" s="3" t="s">
        <v>142</v>
      </c>
      <c r="BD1549" s="3" t="s">
        <v>68</v>
      </c>
      <c r="BE1549" s="3" t="s">
        <v>14925</v>
      </c>
      <c r="BF1549" s="3" t="s">
        <v>14924</v>
      </c>
      <c r="BG1549" s="3" t="s">
        <v>14926</v>
      </c>
    </row>
    <row r="1550" spans="1:59" ht="57" x14ac:dyDescent="0.45">
      <c r="A1550" s="2" t="s">
        <v>59</v>
      </c>
      <c r="B1550" s="2" t="s">
        <v>60</v>
      </c>
      <c r="C1550" s="2" t="s">
        <v>14927</v>
      </c>
      <c r="D1550" s="2" t="s">
        <v>14928</v>
      </c>
      <c r="E1550" s="2" t="s">
        <v>14929</v>
      </c>
      <c r="G1550" s="3" t="s">
        <v>62</v>
      </c>
      <c r="I1550" s="3" t="s">
        <v>62</v>
      </c>
      <c r="J1550" s="3" t="s">
        <v>62</v>
      </c>
      <c r="K1550" s="3" t="s">
        <v>63</v>
      </c>
      <c r="L1550" s="2" t="s">
        <v>14930</v>
      </c>
      <c r="M1550" s="2" t="s">
        <v>14931</v>
      </c>
      <c r="N1550" s="3" t="s">
        <v>894</v>
      </c>
      <c r="O1550" s="2" t="s">
        <v>14488</v>
      </c>
      <c r="P1550" s="3" t="s">
        <v>65</v>
      </c>
      <c r="R1550" s="3" t="s">
        <v>66</v>
      </c>
      <c r="S1550" s="4">
        <v>7</v>
      </c>
      <c r="T1550" s="4">
        <v>7</v>
      </c>
      <c r="U1550" s="5" t="s">
        <v>14932</v>
      </c>
      <c r="V1550" s="5" t="s">
        <v>14932</v>
      </c>
      <c r="W1550" s="5" t="s">
        <v>67</v>
      </c>
      <c r="X1550" s="5" t="s">
        <v>67</v>
      </c>
      <c r="Y1550" s="4">
        <v>102</v>
      </c>
      <c r="Z1550" s="4">
        <v>11</v>
      </c>
      <c r="AA1550" s="4">
        <v>22</v>
      </c>
      <c r="AB1550" s="4">
        <v>1</v>
      </c>
      <c r="AC1550" s="4">
        <v>6</v>
      </c>
      <c r="AD1550" s="4">
        <v>18</v>
      </c>
      <c r="AE1550" s="4">
        <v>47</v>
      </c>
      <c r="AF1550" s="4">
        <v>0</v>
      </c>
      <c r="AG1550" s="4">
        <v>3</v>
      </c>
      <c r="AH1550" s="4">
        <v>16</v>
      </c>
      <c r="AI1550" s="4">
        <v>41</v>
      </c>
      <c r="AJ1550" s="4">
        <v>5</v>
      </c>
      <c r="AK1550" s="4">
        <v>10</v>
      </c>
      <c r="AL1550" s="4">
        <v>8</v>
      </c>
      <c r="AM1550" s="4">
        <v>21</v>
      </c>
      <c r="AN1550" s="4">
        <v>0</v>
      </c>
      <c r="AO1550" s="4">
        <v>0</v>
      </c>
      <c r="AP1550" s="4">
        <v>6</v>
      </c>
      <c r="AQ1550" s="4">
        <v>11</v>
      </c>
      <c r="AR1550" s="3" t="s">
        <v>62</v>
      </c>
      <c r="AS1550" s="3" t="s">
        <v>62</v>
      </c>
      <c r="AT1550" s="3" t="s">
        <v>62</v>
      </c>
      <c r="AV1550" s="6" t="str">
        <f>HYPERLINK("http://mcgill.on.worldcat.org/oclc/436028197","Catalog Record")</f>
        <v>Catalog Record</v>
      </c>
      <c r="AW1550" s="6" t="str">
        <f>HYPERLINK("http://www.worldcat.org/oclc/436028197","WorldCat Record")</f>
        <v>WorldCat Record</v>
      </c>
      <c r="AX1550" s="3" t="s">
        <v>14933</v>
      </c>
      <c r="AY1550" s="3" t="s">
        <v>14934</v>
      </c>
      <c r="AZ1550" s="3" t="s">
        <v>14935</v>
      </c>
      <c r="BA1550" s="3" t="s">
        <v>14935</v>
      </c>
      <c r="BB1550" s="3" t="s">
        <v>14936</v>
      </c>
      <c r="BC1550" s="3" t="s">
        <v>142</v>
      </c>
      <c r="BD1550" s="3" t="s">
        <v>308</v>
      </c>
      <c r="BE1550" s="3" t="s">
        <v>14937</v>
      </c>
      <c r="BF1550" s="3" t="s">
        <v>14936</v>
      </c>
      <c r="BG1550" s="3" t="s">
        <v>14938</v>
      </c>
    </row>
    <row r="1551" spans="1:59" ht="57" x14ac:dyDescent="0.45">
      <c r="A1551" s="2" t="s">
        <v>59</v>
      </c>
      <c r="B1551" s="2" t="s">
        <v>60</v>
      </c>
      <c r="C1551" s="2" t="s">
        <v>14939</v>
      </c>
      <c r="D1551" s="2" t="s">
        <v>14940</v>
      </c>
      <c r="E1551" s="2" t="s">
        <v>14941</v>
      </c>
      <c r="G1551" s="3" t="s">
        <v>62</v>
      </c>
      <c r="I1551" s="3" t="s">
        <v>62</v>
      </c>
      <c r="J1551" s="3" t="s">
        <v>62</v>
      </c>
      <c r="K1551" s="3" t="s">
        <v>63</v>
      </c>
      <c r="M1551" s="2" t="s">
        <v>14942</v>
      </c>
      <c r="N1551" s="3" t="s">
        <v>167</v>
      </c>
      <c r="P1551" s="3" t="s">
        <v>65</v>
      </c>
      <c r="Q1551" s="2" t="s">
        <v>3508</v>
      </c>
      <c r="R1551" s="3" t="s">
        <v>66</v>
      </c>
      <c r="S1551" s="4">
        <v>5</v>
      </c>
      <c r="T1551" s="4">
        <v>5</v>
      </c>
      <c r="U1551" s="5" t="s">
        <v>13047</v>
      </c>
      <c r="V1551" s="5" t="s">
        <v>13047</v>
      </c>
      <c r="W1551" s="5" t="s">
        <v>67</v>
      </c>
      <c r="X1551" s="5" t="s">
        <v>67</v>
      </c>
      <c r="Y1551" s="4">
        <v>222</v>
      </c>
      <c r="Z1551" s="4">
        <v>10</v>
      </c>
      <c r="AA1551" s="4">
        <v>24</v>
      </c>
      <c r="AB1551" s="4">
        <v>1</v>
      </c>
      <c r="AC1551" s="4">
        <v>8</v>
      </c>
      <c r="AD1551" s="4">
        <v>80</v>
      </c>
      <c r="AE1551" s="4">
        <v>99</v>
      </c>
      <c r="AF1551" s="4">
        <v>0</v>
      </c>
      <c r="AG1551" s="4">
        <v>3</v>
      </c>
      <c r="AH1551" s="4">
        <v>75</v>
      </c>
      <c r="AI1551" s="4">
        <v>90</v>
      </c>
      <c r="AJ1551" s="4">
        <v>7</v>
      </c>
      <c r="AK1551" s="4">
        <v>10</v>
      </c>
      <c r="AL1551" s="4">
        <v>37</v>
      </c>
      <c r="AM1551" s="4">
        <v>45</v>
      </c>
      <c r="AN1551" s="4">
        <v>0</v>
      </c>
      <c r="AO1551" s="4">
        <v>0</v>
      </c>
      <c r="AP1551" s="4">
        <v>8</v>
      </c>
      <c r="AQ1551" s="4">
        <v>14</v>
      </c>
      <c r="AR1551" s="3" t="s">
        <v>62</v>
      </c>
      <c r="AS1551" s="3" t="s">
        <v>62</v>
      </c>
      <c r="AT1551" s="3" t="s">
        <v>62</v>
      </c>
      <c r="AV1551" s="6" t="str">
        <f>HYPERLINK("http://mcgill.on.worldcat.org/oclc/39398948","Catalog Record")</f>
        <v>Catalog Record</v>
      </c>
      <c r="AW1551" s="6" t="str">
        <f>HYPERLINK("http://www.worldcat.org/oclc/39398948","WorldCat Record")</f>
        <v>WorldCat Record</v>
      </c>
      <c r="AX1551" s="3" t="s">
        <v>14943</v>
      </c>
      <c r="AY1551" s="3" t="s">
        <v>14944</v>
      </c>
      <c r="AZ1551" s="3" t="s">
        <v>14945</v>
      </c>
      <c r="BA1551" s="3" t="s">
        <v>14945</v>
      </c>
      <c r="BB1551" s="3" t="s">
        <v>14946</v>
      </c>
      <c r="BC1551" s="3" t="s">
        <v>142</v>
      </c>
      <c r="BD1551" s="3" t="s">
        <v>68</v>
      </c>
      <c r="BE1551" s="3" t="s">
        <v>14947</v>
      </c>
      <c r="BF1551" s="3" t="s">
        <v>14946</v>
      </c>
      <c r="BG1551" s="3" t="s">
        <v>14948</v>
      </c>
    </row>
    <row r="1552" spans="1:59" ht="71.25" x14ac:dyDescent="0.45">
      <c r="A1552" s="2" t="s">
        <v>59</v>
      </c>
      <c r="B1552" s="2" t="s">
        <v>60</v>
      </c>
      <c r="C1552" s="2" t="s">
        <v>14949</v>
      </c>
      <c r="D1552" s="2" t="s">
        <v>14950</v>
      </c>
      <c r="E1552" s="2" t="s">
        <v>14951</v>
      </c>
      <c r="G1552" s="3" t="s">
        <v>62</v>
      </c>
      <c r="I1552" s="3" t="s">
        <v>62</v>
      </c>
      <c r="J1552" s="3" t="s">
        <v>61</v>
      </c>
      <c r="K1552" s="3" t="s">
        <v>63</v>
      </c>
      <c r="L1552" s="2" t="s">
        <v>14952</v>
      </c>
      <c r="M1552" s="2" t="s">
        <v>14953</v>
      </c>
      <c r="N1552" s="3" t="s">
        <v>970</v>
      </c>
      <c r="O1552" s="2" t="s">
        <v>14954</v>
      </c>
      <c r="P1552" s="3" t="s">
        <v>65</v>
      </c>
      <c r="R1552" s="3" t="s">
        <v>66</v>
      </c>
      <c r="S1552" s="4">
        <v>17</v>
      </c>
      <c r="T1552" s="4">
        <v>17</v>
      </c>
      <c r="U1552" s="5" t="s">
        <v>5011</v>
      </c>
      <c r="V1552" s="5" t="s">
        <v>5011</v>
      </c>
      <c r="W1552" s="5" t="s">
        <v>67</v>
      </c>
      <c r="X1552" s="5" t="s">
        <v>67</v>
      </c>
      <c r="Y1552" s="4">
        <v>407</v>
      </c>
      <c r="Z1552" s="4">
        <v>34</v>
      </c>
      <c r="AA1552" s="4">
        <v>58</v>
      </c>
      <c r="AB1552" s="4">
        <v>2</v>
      </c>
      <c r="AC1552" s="4">
        <v>11</v>
      </c>
      <c r="AD1552" s="4">
        <v>85</v>
      </c>
      <c r="AE1552" s="4">
        <v>140</v>
      </c>
      <c r="AF1552" s="4">
        <v>1</v>
      </c>
      <c r="AG1552" s="4">
        <v>6</v>
      </c>
      <c r="AH1552" s="4">
        <v>69</v>
      </c>
      <c r="AI1552" s="4">
        <v>107</v>
      </c>
      <c r="AJ1552" s="4">
        <v>17</v>
      </c>
      <c r="AK1552" s="4">
        <v>26</v>
      </c>
      <c r="AL1552" s="4">
        <v>30</v>
      </c>
      <c r="AM1552" s="4">
        <v>55</v>
      </c>
      <c r="AN1552" s="4">
        <v>0</v>
      </c>
      <c r="AO1552" s="4">
        <v>0</v>
      </c>
      <c r="AP1552" s="4">
        <v>26</v>
      </c>
      <c r="AQ1552" s="4">
        <v>43</v>
      </c>
      <c r="AR1552" s="3" t="s">
        <v>62</v>
      </c>
      <c r="AS1552" s="3" t="s">
        <v>62</v>
      </c>
      <c r="AT1552" s="3" t="s">
        <v>62</v>
      </c>
      <c r="AV1552" s="6" t="str">
        <f>HYPERLINK("http://mcgill.on.worldcat.org/oclc/49531239","Catalog Record")</f>
        <v>Catalog Record</v>
      </c>
      <c r="AW1552" s="6" t="str">
        <f>HYPERLINK("http://www.worldcat.org/oclc/49531239","WorldCat Record")</f>
        <v>WorldCat Record</v>
      </c>
      <c r="AX1552" s="3" t="s">
        <v>14955</v>
      </c>
      <c r="AY1552" s="3" t="s">
        <v>14956</v>
      </c>
      <c r="AZ1552" s="3" t="s">
        <v>14957</v>
      </c>
      <c r="BA1552" s="3" t="s">
        <v>14957</v>
      </c>
      <c r="BB1552" s="3" t="s">
        <v>14958</v>
      </c>
      <c r="BC1552" s="3" t="s">
        <v>142</v>
      </c>
      <c r="BD1552" s="3" t="s">
        <v>68</v>
      </c>
      <c r="BE1552" s="3" t="s">
        <v>14959</v>
      </c>
      <c r="BF1552" s="3" t="s">
        <v>14958</v>
      </c>
      <c r="BG1552" s="3" t="s">
        <v>14960</v>
      </c>
    </row>
    <row r="1553" spans="1:59" ht="57" x14ac:dyDescent="0.45">
      <c r="A1553" s="2" t="s">
        <v>59</v>
      </c>
      <c r="B1553" s="2" t="s">
        <v>60</v>
      </c>
      <c r="C1553" s="2" t="s">
        <v>14961</v>
      </c>
      <c r="D1553" s="2" t="s">
        <v>14962</v>
      </c>
      <c r="E1553" s="2" t="s">
        <v>14963</v>
      </c>
      <c r="G1553" s="3" t="s">
        <v>62</v>
      </c>
      <c r="I1553" s="3" t="s">
        <v>62</v>
      </c>
      <c r="J1553" s="3" t="s">
        <v>61</v>
      </c>
      <c r="K1553" s="3" t="s">
        <v>63</v>
      </c>
      <c r="L1553" s="2" t="s">
        <v>14952</v>
      </c>
      <c r="M1553" s="2" t="s">
        <v>14964</v>
      </c>
      <c r="N1553" s="3" t="s">
        <v>894</v>
      </c>
      <c r="O1553" s="2" t="s">
        <v>906</v>
      </c>
      <c r="P1553" s="3" t="s">
        <v>65</v>
      </c>
      <c r="R1553" s="3" t="s">
        <v>66</v>
      </c>
      <c r="S1553" s="4">
        <v>11</v>
      </c>
      <c r="T1553" s="4">
        <v>11</v>
      </c>
      <c r="U1553" s="5" t="s">
        <v>14763</v>
      </c>
      <c r="V1553" s="5" t="s">
        <v>14763</v>
      </c>
      <c r="W1553" s="5" t="s">
        <v>67</v>
      </c>
      <c r="X1553" s="5" t="s">
        <v>67</v>
      </c>
      <c r="Y1553" s="4">
        <v>283</v>
      </c>
      <c r="Z1553" s="4">
        <v>20</v>
      </c>
      <c r="AA1553" s="4">
        <v>58</v>
      </c>
      <c r="AB1553" s="4">
        <v>2</v>
      </c>
      <c r="AC1553" s="4">
        <v>11</v>
      </c>
      <c r="AD1553" s="4">
        <v>62</v>
      </c>
      <c r="AE1553" s="4">
        <v>140</v>
      </c>
      <c r="AF1553" s="4">
        <v>1</v>
      </c>
      <c r="AG1553" s="4">
        <v>6</v>
      </c>
      <c r="AH1553" s="4">
        <v>53</v>
      </c>
      <c r="AI1553" s="4">
        <v>107</v>
      </c>
      <c r="AJ1553" s="4">
        <v>12</v>
      </c>
      <c r="AK1553" s="4">
        <v>26</v>
      </c>
      <c r="AL1553" s="4">
        <v>29</v>
      </c>
      <c r="AM1553" s="4">
        <v>55</v>
      </c>
      <c r="AN1553" s="4">
        <v>0</v>
      </c>
      <c r="AO1553" s="4">
        <v>0</v>
      </c>
      <c r="AP1553" s="4">
        <v>17</v>
      </c>
      <c r="AQ1553" s="4">
        <v>43</v>
      </c>
      <c r="AR1553" s="3" t="s">
        <v>62</v>
      </c>
      <c r="AS1553" s="3" t="s">
        <v>62</v>
      </c>
      <c r="AT1553" s="3" t="s">
        <v>62</v>
      </c>
      <c r="AV1553" s="6" t="str">
        <f>HYPERLINK("http://mcgill.on.worldcat.org/oclc/641528411","Catalog Record")</f>
        <v>Catalog Record</v>
      </c>
      <c r="AW1553" s="6" t="str">
        <f>HYPERLINK("http://www.worldcat.org/oclc/641528411","WorldCat Record")</f>
        <v>WorldCat Record</v>
      </c>
      <c r="AX1553" s="3" t="s">
        <v>14955</v>
      </c>
      <c r="AY1553" s="3" t="s">
        <v>14965</v>
      </c>
      <c r="AZ1553" s="3" t="s">
        <v>14966</v>
      </c>
      <c r="BA1553" s="3" t="s">
        <v>14966</v>
      </c>
      <c r="BB1553" s="3" t="s">
        <v>14967</v>
      </c>
      <c r="BC1553" s="3" t="s">
        <v>142</v>
      </c>
      <c r="BD1553" s="3" t="s">
        <v>308</v>
      </c>
      <c r="BE1553" s="3" t="s">
        <v>14968</v>
      </c>
      <c r="BF1553" s="3" t="s">
        <v>14967</v>
      </c>
      <c r="BG1553" s="3" t="s">
        <v>14969</v>
      </c>
    </row>
    <row r="1554" spans="1:59" ht="57" x14ac:dyDescent="0.45">
      <c r="A1554" s="2" t="s">
        <v>59</v>
      </c>
      <c r="B1554" s="2" t="s">
        <v>60</v>
      </c>
      <c r="C1554" s="2" t="s">
        <v>14970</v>
      </c>
      <c r="D1554" s="2" t="s">
        <v>14971</v>
      </c>
      <c r="E1554" s="2" t="s">
        <v>14972</v>
      </c>
      <c r="F1554" s="3" t="s">
        <v>88</v>
      </c>
      <c r="G1554" s="3" t="s">
        <v>61</v>
      </c>
      <c r="I1554" s="3" t="s">
        <v>62</v>
      </c>
      <c r="J1554" s="3" t="s">
        <v>62</v>
      </c>
      <c r="K1554" s="3" t="s">
        <v>63</v>
      </c>
      <c r="M1554" s="2" t="s">
        <v>14973</v>
      </c>
      <c r="N1554" s="3" t="s">
        <v>1465</v>
      </c>
      <c r="P1554" s="3" t="s">
        <v>65</v>
      </c>
      <c r="Q1554" s="2" t="s">
        <v>14974</v>
      </c>
      <c r="R1554" s="3" t="s">
        <v>66</v>
      </c>
      <c r="S1554" s="4">
        <v>1</v>
      </c>
      <c r="T1554" s="4">
        <v>8</v>
      </c>
      <c r="U1554" s="5" t="s">
        <v>14975</v>
      </c>
      <c r="V1554" s="5" t="s">
        <v>6930</v>
      </c>
      <c r="W1554" s="5" t="s">
        <v>67</v>
      </c>
      <c r="X1554" s="5" t="s">
        <v>67</v>
      </c>
      <c r="Y1554" s="4">
        <v>88</v>
      </c>
      <c r="Z1554" s="4">
        <v>4</v>
      </c>
      <c r="AA1554" s="4">
        <v>12</v>
      </c>
      <c r="AB1554" s="4">
        <v>2</v>
      </c>
      <c r="AC1554" s="4">
        <v>5</v>
      </c>
      <c r="AD1554" s="4">
        <v>18</v>
      </c>
      <c r="AE1554" s="4">
        <v>29</v>
      </c>
      <c r="AF1554" s="4">
        <v>0</v>
      </c>
      <c r="AG1554" s="4">
        <v>2</v>
      </c>
      <c r="AH1554" s="4">
        <v>17</v>
      </c>
      <c r="AI1554" s="4">
        <v>23</v>
      </c>
      <c r="AJ1554" s="4">
        <v>2</v>
      </c>
      <c r="AK1554" s="4">
        <v>8</v>
      </c>
      <c r="AL1554" s="4">
        <v>9</v>
      </c>
      <c r="AM1554" s="4">
        <v>12</v>
      </c>
      <c r="AN1554" s="4">
        <v>0</v>
      </c>
      <c r="AO1554" s="4">
        <v>0</v>
      </c>
      <c r="AP1554" s="4">
        <v>2</v>
      </c>
      <c r="AQ1554" s="4">
        <v>9</v>
      </c>
      <c r="AR1554" s="3" t="s">
        <v>62</v>
      </c>
      <c r="AS1554" s="3" t="s">
        <v>62</v>
      </c>
      <c r="AT1554" s="3" t="s">
        <v>62</v>
      </c>
      <c r="AV1554" s="6" t="str">
        <f>HYPERLINK("http://mcgill.on.worldcat.org/oclc/228363084","Catalog Record")</f>
        <v>Catalog Record</v>
      </c>
      <c r="AW1554" s="6" t="str">
        <f>HYPERLINK("http://www.worldcat.org/oclc/228363084","WorldCat Record")</f>
        <v>WorldCat Record</v>
      </c>
      <c r="AX1554" s="3" t="s">
        <v>14976</v>
      </c>
      <c r="AY1554" s="3" t="s">
        <v>14977</v>
      </c>
      <c r="AZ1554" s="3" t="s">
        <v>14978</v>
      </c>
      <c r="BA1554" s="3" t="s">
        <v>14978</v>
      </c>
      <c r="BB1554" s="3" t="s">
        <v>14979</v>
      </c>
      <c r="BC1554" s="3" t="s">
        <v>142</v>
      </c>
      <c r="BD1554" s="3" t="s">
        <v>68</v>
      </c>
      <c r="BE1554" s="3" t="s">
        <v>14980</v>
      </c>
      <c r="BF1554" s="3" t="s">
        <v>14979</v>
      </c>
      <c r="BG1554" s="3" t="s">
        <v>14981</v>
      </c>
    </row>
    <row r="1555" spans="1:59" ht="57" x14ac:dyDescent="0.45">
      <c r="A1555" s="2" t="s">
        <v>59</v>
      </c>
      <c r="B1555" s="2" t="s">
        <v>60</v>
      </c>
      <c r="C1555" s="2" t="s">
        <v>14970</v>
      </c>
      <c r="D1555" s="2" t="s">
        <v>14971</v>
      </c>
      <c r="E1555" s="2" t="s">
        <v>14972</v>
      </c>
      <c r="F1555" s="3" t="s">
        <v>87</v>
      </c>
      <c r="G1555" s="3" t="s">
        <v>61</v>
      </c>
      <c r="I1555" s="3" t="s">
        <v>62</v>
      </c>
      <c r="J1555" s="3" t="s">
        <v>62</v>
      </c>
      <c r="K1555" s="3" t="s">
        <v>63</v>
      </c>
      <c r="M1555" s="2" t="s">
        <v>14973</v>
      </c>
      <c r="N1555" s="3" t="s">
        <v>1465</v>
      </c>
      <c r="P1555" s="3" t="s">
        <v>65</v>
      </c>
      <c r="Q1555" s="2" t="s">
        <v>14974</v>
      </c>
      <c r="R1555" s="3" t="s">
        <v>66</v>
      </c>
      <c r="S1555" s="4">
        <v>3</v>
      </c>
      <c r="T1555" s="4">
        <v>8</v>
      </c>
      <c r="U1555" s="5" t="s">
        <v>14982</v>
      </c>
      <c r="V1555" s="5" t="s">
        <v>6930</v>
      </c>
      <c r="W1555" s="5" t="s">
        <v>67</v>
      </c>
      <c r="X1555" s="5" t="s">
        <v>67</v>
      </c>
      <c r="Y1555" s="4">
        <v>88</v>
      </c>
      <c r="Z1555" s="4">
        <v>4</v>
      </c>
      <c r="AA1555" s="4">
        <v>12</v>
      </c>
      <c r="AB1555" s="4">
        <v>2</v>
      </c>
      <c r="AC1555" s="4">
        <v>5</v>
      </c>
      <c r="AD1555" s="4">
        <v>18</v>
      </c>
      <c r="AE1555" s="4">
        <v>29</v>
      </c>
      <c r="AF1555" s="4">
        <v>0</v>
      </c>
      <c r="AG1555" s="4">
        <v>2</v>
      </c>
      <c r="AH1555" s="4">
        <v>17</v>
      </c>
      <c r="AI1555" s="4">
        <v>23</v>
      </c>
      <c r="AJ1555" s="4">
        <v>2</v>
      </c>
      <c r="AK1555" s="4">
        <v>8</v>
      </c>
      <c r="AL1555" s="4">
        <v>9</v>
      </c>
      <c r="AM1555" s="4">
        <v>12</v>
      </c>
      <c r="AN1555" s="4">
        <v>0</v>
      </c>
      <c r="AO1555" s="4">
        <v>0</v>
      </c>
      <c r="AP1555" s="4">
        <v>2</v>
      </c>
      <c r="AQ1555" s="4">
        <v>9</v>
      </c>
      <c r="AR1555" s="3" t="s">
        <v>62</v>
      </c>
      <c r="AS1555" s="3" t="s">
        <v>62</v>
      </c>
      <c r="AT1555" s="3" t="s">
        <v>62</v>
      </c>
      <c r="AV1555" s="6" t="str">
        <f>HYPERLINK("http://mcgill.on.worldcat.org/oclc/228363084","Catalog Record")</f>
        <v>Catalog Record</v>
      </c>
      <c r="AW1555" s="6" t="str">
        <f>HYPERLINK("http://www.worldcat.org/oclc/228363084","WorldCat Record")</f>
        <v>WorldCat Record</v>
      </c>
      <c r="AX1555" s="3" t="s">
        <v>14976</v>
      </c>
      <c r="AY1555" s="3" t="s">
        <v>14977</v>
      </c>
      <c r="AZ1555" s="3" t="s">
        <v>14978</v>
      </c>
      <c r="BA1555" s="3" t="s">
        <v>14978</v>
      </c>
      <c r="BB1555" s="3" t="s">
        <v>14983</v>
      </c>
      <c r="BC1555" s="3" t="s">
        <v>142</v>
      </c>
      <c r="BD1555" s="3" t="s">
        <v>68</v>
      </c>
      <c r="BE1555" s="3" t="s">
        <v>14980</v>
      </c>
      <c r="BF1555" s="3" t="s">
        <v>14983</v>
      </c>
      <c r="BG1555" s="3" t="s">
        <v>14984</v>
      </c>
    </row>
    <row r="1556" spans="1:59" ht="57" x14ac:dyDescent="0.45">
      <c r="A1556" s="2" t="s">
        <v>59</v>
      </c>
      <c r="B1556" s="2" t="s">
        <v>60</v>
      </c>
      <c r="C1556" s="2" t="s">
        <v>14970</v>
      </c>
      <c r="D1556" s="2" t="s">
        <v>14971</v>
      </c>
      <c r="E1556" s="2" t="s">
        <v>14972</v>
      </c>
      <c r="F1556" s="3" t="s">
        <v>90</v>
      </c>
      <c r="G1556" s="3" t="s">
        <v>61</v>
      </c>
      <c r="I1556" s="3" t="s">
        <v>62</v>
      </c>
      <c r="J1556" s="3" t="s">
        <v>62</v>
      </c>
      <c r="K1556" s="3" t="s">
        <v>63</v>
      </c>
      <c r="M1556" s="2" t="s">
        <v>14973</v>
      </c>
      <c r="N1556" s="3" t="s">
        <v>1465</v>
      </c>
      <c r="P1556" s="3" t="s">
        <v>65</v>
      </c>
      <c r="Q1556" s="2" t="s">
        <v>14974</v>
      </c>
      <c r="R1556" s="3" t="s">
        <v>66</v>
      </c>
      <c r="S1556" s="4">
        <v>3</v>
      </c>
      <c r="T1556" s="4">
        <v>8</v>
      </c>
      <c r="U1556" s="5" t="s">
        <v>6930</v>
      </c>
      <c r="V1556" s="5" t="s">
        <v>6930</v>
      </c>
      <c r="W1556" s="5" t="s">
        <v>67</v>
      </c>
      <c r="X1556" s="5" t="s">
        <v>67</v>
      </c>
      <c r="Y1556" s="4">
        <v>88</v>
      </c>
      <c r="Z1556" s="4">
        <v>4</v>
      </c>
      <c r="AA1556" s="4">
        <v>12</v>
      </c>
      <c r="AB1556" s="4">
        <v>2</v>
      </c>
      <c r="AC1556" s="4">
        <v>5</v>
      </c>
      <c r="AD1556" s="4">
        <v>18</v>
      </c>
      <c r="AE1556" s="4">
        <v>29</v>
      </c>
      <c r="AF1556" s="4">
        <v>0</v>
      </c>
      <c r="AG1556" s="4">
        <v>2</v>
      </c>
      <c r="AH1556" s="4">
        <v>17</v>
      </c>
      <c r="AI1556" s="4">
        <v>23</v>
      </c>
      <c r="AJ1556" s="4">
        <v>2</v>
      </c>
      <c r="AK1556" s="4">
        <v>8</v>
      </c>
      <c r="AL1556" s="4">
        <v>9</v>
      </c>
      <c r="AM1556" s="4">
        <v>12</v>
      </c>
      <c r="AN1556" s="4">
        <v>0</v>
      </c>
      <c r="AO1556" s="4">
        <v>0</v>
      </c>
      <c r="AP1556" s="4">
        <v>2</v>
      </c>
      <c r="AQ1556" s="4">
        <v>9</v>
      </c>
      <c r="AR1556" s="3" t="s">
        <v>62</v>
      </c>
      <c r="AS1556" s="3" t="s">
        <v>62</v>
      </c>
      <c r="AT1556" s="3" t="s">
        <v>62</v>
      </c>
      <c r="AV1556" s="6" t="str">
        <f>HYPERLINK("http://mcgill.on.worldcat.org/oclc/228363084","Catalog Record")</f>
        <v>Catalog Record</v>
      </c>
      <c r="AW1556" s="6" t="str">
        <f>HYPERLINK("http://www.worldcat.org/oclc/228363084","WorldCat Record")</f>
        <v>WorldCat Record</v>
      </c>
      <c r="AX1556" s="3" t="s">
        <v>14976</v>
      </c>
      <c r="AY1556" s="3" t="s">
        <v>14977</v>
      </c>
      <c r="AZ1556" s="3" t="s">
        <v>14978</v>
      </c>
      <c r="BA1556" s="3" t="s">
        <v>14978</v>
      </c>
      <c r="BB1556" s="3" t="s">
        <v>14985</v>
      </c>
      <c r="BC1556" s="3" t="s">
        <v>142</v>
      </c>
      <c r="BD1556" s="3" t="s">
        <v>68</v>
      </c>
      <c r="BE1556" s="3" t="s">
        <v>14980</v>
      </c>
      <c r="BF1556" s="3" t="s">
        <v>14985</v>
      </c>
      <c r="BG1556" s="3" t="s">
        <v>14986</v>
      </c>
    </row>
    <row r="1557" spans="1:59" ht="57" x14ac:dyDescent="0.45">
      <c r="A1557" s="2" t="s">
        <v>59</v>
      </c>
      <c r="B1557" s="2" t="s">
        <v>60</v>
      </c>
      <c r="C1557" s="2" t="s">
        <v>14970</v>
      </c>
      <c r="D1557" s="2" t="s">
        <v>14971</v>
      </c>
      <c r="E1557" s="2" t="s">
        <v>14972</v>
      </c>
      <c r="F1557" s="3" t="s">
        <v>86</v>
      </c>
      <c r="G1557" s="3" t="s">
        <v>61</v>
      </c>
      <c r="I1557" s="3" t="s">
        <v>62</v>
      </c>
      <c r="J1557" s="3" t="s">
        <v>62</v>
      </c>
      <c r="K1557" s="3" t="s">
        <v>63</v>
      </c>
      <c r="M1557" s="2" t="s">
        <v>14973</v>
      </c>
      <c r="N1557" s="3" t="s">
        <v>1465</v>
      </c>
      <c r="P1557" s="3" t="s">
        <v>65</v>
      </c>
      <c r="Q1557" s="2" t="s">
        <v>14974</v>
      </c>
      <c r="R1557" s="3" t="s">
        <v>66</v>
      </c>
      <c r="S1557" s="4">
        <v>1</v>
      </c>
      <c r="T1557" s="4">
        <v>8</v>
      </c>
      <c r="U1557" s="5" t="s">
        <v>14975</v>
      </c>
      <c r="V1557" s="5" t="s">
        <v>6930</v>
      </c>
      <c r="W1557" s="5" t="s">
        <v>67</v>
      </c>
      <c r="X1557" s="5" t="s">
        <v>67</v>
      </c>
      <c r="Y1557" s="4">
        <v>88</v>
      </c>
      <c r="Z1557" s="4">
        <v>4</v>
      </c>
      <c r="AA1557" s="4">
        <v>12</v>
      </c>
      <c r="AB1557" s="4">
        <v>2</v>
      </c>
      <c r="AC1557" s="4">
        <v>5</v>
      </c>
      <c r="AD1557" s="4">
        <v>18</v>
      </c>
      <c r="AE1557" s="4">
        <v>29</v>
      </c>
      <c r="AF1557" s="4">
        <v>0</v>
      </c>
      <c r="AG1557" s="4">
        <v>2</v>
      </c>
      <c r="AH1557" s="4">
        <v>17</v>
      </c>
      <c r="AI1557" s="4">
        <v>23</v>
      </c>
      <c r="AJ1557" s="4">
        <v>2</v>
      </c>
      <c r="AK1557" s="4">
        <v>8</v>
      </c>
      <c r="AL1557" s="4">
        <v>9</v>
      </c>
      <c r="AM1557" s="4">
        <v>12</v>
      </c>
      <c r="AN1557" s="4">
        <v>0</v>
      </c>
      <c r="AO1557" s="4">
        <v>0</v>
      </c>
      <c r="AP1557" s="4">
        <v>2</v>
      </c>
      <c r="AQ1557" s="4">
        <v>9</v>
      </c>
      <c r="AR1557" s="3" t="s">
        <v>62</v>
      </c>
      <c r="AS1557" s="3" t="s">
        <v>62</v>
      </c>
      <c r="AT1557" s="3" t="s">
        <v>62</v>
      </c>
      <c r="AV1557" s="6" t="str">
        <f>HYPERLINK("http://mcgill.on.worldcat.org/oclc/228363084","Catalog Record")</f>
        <v>Catalog Record</v>
      </c>
      <c r="AW1557" s="6" t="str">
        <f>HYPERLINK("http://www.worldcat.org/oclc/228363084","WorldCat Record")</f>
        <v>WorldCat Record</v>
      </c>
      <c r="AX1557" s="3" t="s">
        <v>14976</v>
      </c>
      <c r="AY1557" s="3" t="s">
        <v>14977</v>
      </c>
      <c r="AZ1557" s="3" t="s">
        <v>14978</v>
      </c>
      <c r="BA1557" s="3" t="s">
        <v>14978</v>
      </c>
      <c r="BB1557" s="3" t="s">
        <v>14987</v>
      </c>
      <c r="BC1557" s="3" t="s">
        <v>142</v>
      </c>
      <c r="BD1557" s="3" t="s">
        <v>68</v>
      </c>
      <c r="BE1557" s="3" t="s">
        <v>14980</v>
      </c>
      <c r="BF1557" s="3" t="s">
        <v>14987</v>
      </c>
      <c r="BG1557" s="3" t="s">
        <v>14988</v>
      </c>
    </row>
    <row r="1558" spans="1:59" ht="57" x14ac:dyDescent="0.45">
      <c r="A1558" s="2" t="s">
        <v>59</v>
      </c>
      <c r="B1558" s="2" t="s">
        <v>60</v>
      </c>
      <c r="C1558" s="2" t="s">
        <v>14989</v>
      </c>
      <c r="D1558" s="2" t="s">
        <v>14990</v>
      </c>
      <c r="E1558" s="2" t="s">
        <v>14991</v>
      </c>
      <c r="G1558" s="3" t="s">
        <v>62</v>
      </c>
      <c r="I1558" s="3" t="s">
        <v>62</v>
      </c>
      <c r="J1558" s="3" t="s">
        <v>62</v>
      </c>
      <c r="K1558" s="3" t="s">
        <v>63</v>
      </c>
      <c r="M1558" s="2" t="s">
        <v>14992</v>
      </c>
      <c r="N1558" s="3" t="s">
        <v>149</v>
      </c>
      <c r="P1558" s="3" t="s">
        <v>65</v>
      </c>
      <c r="Q1558" s="2" t="s">
        <v>14993</v>
      </c>
      <c r="R1558" s="3" t="s">
        <v>66</v>
      </c>
      <c r="S1558" s="4">
        <v>0</v>
      </c>
      <c r="T1558" s="4">
        <v>0</v>
      </c>
      <c r="W1558" s="5" t="s">
        <v>67</v>
      </c>
      <c r="X1558" s="5" t="s">
        <v>67</v>
      </c>
      <c r="Y1558" s="4">
        <v>134</v>
      </c>
      <c r="Z1558" s="4">
        <v>19</v>
      </c>
      <c r="AA1558" s="4">
        <v>20</v>
      </c>
      <c r="AB1558" s="4">
        <v>2</v>
      </c>
      <c r="AC1558" s="4">
        <v>3</v>
      </c>
      <c r="AD1558" s="4">
        <v>51</v>
      </c>
      <c r="AE1558" s="4">
        <v>59</v>
      </c>
      <c r="AF1558" s="4">
        <v>1</v>
      </c>
      <c r="AG1558" s="4">
        <v>1</v>
      </c>
      <c r="AH1558" s="4">
        <v>45</v>
      </c>
      <c r="AI1558" s="4">
        <v>53</v>
      </c>
      <c r="AJ1558" s="4">
        <v>11</v>
      </c>
      <c r="AK1558" s="4">
        <v>11</v>
      </c>
      <c r="AL1558" s="4">
        <v>27</v>
      </c>
      <c r="AM1558" s="4">
        <v>33</v>
      </c>
      <c r="AN1558" s="4">
        <v>0</v>
      </c>
      <c r="AO1558" s="4">
        <v>0</v>
      </c>
      <c r="AP1558" s="4">
        <v>13</v>
      </c>
      <c r="AQ1558" s="4">
        <v>13</v>
      </c>
      <c r="AR1558" s="3" t="s">
        <v>62</v>
      </c>
      <c r="AS1558" s="3" t="s">
        <v>62</v>
      </c>
      <c r="AT1558" s="3" t="s">
        <v>62</v>
      </c>
      <c r="AV1558" s="6" t="str">
        <f>HYPERLINK("http://mcgill.on.worldcat.org/oclc/670211518","Catalog Record")</f>
        <v>Catalog Record</v>
      </c>
      <c r="AW1558" s="6" t="str">
        <f>HYPERLINK("http://www.worldcat.org/oclc/670211518","WorldCat Record")</f>
        <v>WorldCat Record</v>
      </c>
      <c r="AX1558" s="3" t="s">
        <v>14994</v>
      </c>
      <c r="AY1558" s="3" t="s">
        <v>14995</v>
      </c>
      <c r="AZ1558" s="3" t="s">
        <v>14996</v>
      </c>
      <c r="BA1558" s="3" t="s">
        <v>14996</v>
      </c>
      <c r="BB1558" s="3" t="s">
        <v>14997</v>
      </c>
      <c r="BC1558" s="3" t="s">
        <v>142</v>
      </c>
      <c r="BD1558" s="3" t="s">
        <v>68</v>
      </c>
      <c r="BE1558" s="3" t="s">
        <v>14998</v>
      </c>
      <c r="BF1558" s="3" t="s">
        <v>14997</v>
      </c>
      <c r="BG1558" s="3" t="s">
        <v>14999</v>
      </c>
    </row>
    <row r="1559" spans="1:59" ht="57" x14ac:dyDescent="0.45">
      <c r="A1559" s="2" t="s">
        <v>59</v>
      </c>
      <c r="B1559" s="2" t="s">
        <v>412</v>
      </c>
      <c r="C1559" s="2" t="s">
        <v>15000</v>
      </c>
      <c r="D1559" s="2" t="s">
        <v>15001</v>
      </c>
      <c r="E1559" s="2" t="s">
        <v>15002</v>
      </c>
      <c r="G1559" s="3" t="s">
        <v>62</v>
      </c>
      <c r="I1559" s="3" t="s">
        <v>62</v>
      </c>
      <c r="J1559" s="3" t="s">
        <v>62</v>
      </c>
      <c r="K1559" s="3" t="s">
        <v>63</v>
      </c>
      <c r="M1559" s="2" t="s">
        <v>15003</v>
      </c>
      <c r="N1559" s="3" t="s">
        <v>568</v>
      </c>
      <c r="P1559" s="3" t="s">
        <v>65</v>
      </c>
      <c r="R1559" s="3" t="s">
        <v>66</v>
      </c>
      <c r="S1559" s="4">
        <v>15</v>
      </c>
      <c r="T1559" s="4">
        <v>15</v>
      </c>
      <c r="U1559" s="5" t="s">
        <v>13047</v>
      </c>
      <c r="V1559" s="5" t="s">
        <v>13047</v>
      </c>
      <c r="W1559" s="5" t="s">
        <v>67</v>
      </c>
      <c r="X1559" s="5" t="s">
        <v>67</v>
      </c>
      <c r="Y1559" s="4">
        <v>207</v>
      </c>
      <c r="Z1559" s="4">
        <v>12</v>
      </c>
      <c r="AA1559" s="4">
        <v>19</v>
      </c>
      <c r="AB1559" s="4">
        <v>2</v>
      </c>
      <c r="AC1559" s="4">
        <v>7</v>
      </c>
      <c r="AD1559" s="4">
        <v>42</v>
      </c>
      <c r="AE1559" s="4">
        <v>46</v>
      </c>
      <c r="AF1559" s="4">
        <v>1</v>
      </c>
      <c r="AG1559" s="4">
        <v>3</v>
      </c>
      <c r="AH1559" s="4">
        <v>36</v>
      </c>
      <c r="AI1559" s="4">
        <v>37</v>
      </c>
      <c r="AJ1559" s="4">
        <v>9</v>
      </c>
      <c r="AK1559" s="4">
        <v>13</v>
      </c>
      <c r="AL1559" s="4">
        <v>18</v>
      </c>
      <c r="AM1559" s="4">
        <v>18</v>
      </c>
      <c r="AN1559" s="4">
        <v>0</v>
      </c>
      <c r="AO1559" s="4">
        <v>0</v>
      </c>
      <c r="AP1559" s="4">
        <v>10</v>
      </c>
      <c r="AQ1559" s="4">
        <v>13</v>
      </c>
      <c r="AR1559" s="3" t="s">
        <v>62</v>
      </c>
      <c r="AS1559" s="3" t="s">
        <v>62</v>
      </c>
      <c r="AT1559" s="3" t="s">
        <v>62</v>
      </c>
      <c r="AV1559" s="6" t="str">
        <f>HYPERLINK("http://mcgill.on.worldcat.org/oclc/14167289","Catalog Record")</f>
        <v>Catalog Record</v>
      </c>
      <c r="AW1559" s="6" t="str">
        <f>HYPERLINK("http://www.worldcat.org/oclc/14167289","WorldCat Record")</f>
        <v>WorldCat Record</v>
      </c>
      <c r="AX1559" s="3" t="s">
        <v>15004</v>
      </c>
      <c r="AY1559" s="3" t="s">
        <v>15005</v>
      </c>
      <c r="AZ1559" s="3" t="s">
        <v>15006</v>
      </c>
      <c r="BA1559" s="3" t="s">
        <v>15006</v>
      </c>
      <c r="BB1559" s="3" t="s">
        <v>15007</v>
      </c>
      <c r="BC1559" s="3" t="s">
        <v>142</v>
      </c>
      <c r="BD1559" s="3" t="s">
        <v>68</v>
      </c>
      <c r="BE1559" s="3" t="s">
        <v>15008</v>
      </c>
      <c r="BF1559" s="3" t="s">
        <v>15007</v>
      </c>
      <c r="BG1559" s="3" t="s">
        <v>15009</v>
      </c>
    </row>
    <row r="1560" spans="1:59" ht="57" x14ac:dyDescent="0.45">
      <c r="A1560" s="2" t="s">
        <v>59</v>
      </c>
      <c r="B1560" s="2" t="s">
        <v>60</v>
      </c>
      <c r="C1560" s="2" t="s">
        <v>15010</v>
      </c>
      <c r="D1560" s="2" t="s">
        <v>15011</v>
      </c>
      <c r="E1560" s="2" t="s">
        <v>15012</v>
      </c>
      <c r="G1560" s="3" t="s">
        <v>62</v>
      </c>
      <c r="I1560" s="3" t="s">
        <v>62</v>
      </c>
      <c r="J1560" s="3" t="s">
        <v>62</v>
      </c>
      <c r="K1560" s="3" t="s">
        <v>63</v>
      </c>
      <c r="M1560" s="2" t="s">
        <v>15013</v>
      </c>
      <c r="N1560" s="3" t="s">
        <v>807</v>
      </c>
      <c r="P1560" s="3" t="s">
        <v>65</v>
      </c>
      <c r="R1560" s="3" t="s">
        <v>66</v>
      </c>
      <c r="S1560" s="4">
        <v>29</v>
      </c>
      <c r="T1560" s="4">
        <v>29</v>
      </c>
      <c r="U1560" s="5" t="s">
        <v>1749</v>
      </c>
      <c r="V1560" s="5" t="s">
        <v>1749</v>
      </c>
      <c r="W1560" s="5" t="s">
        <v>67</v>
      </c>
      <c r="X1560" s="5" t="s">
        <v>67</v>
      </c>
      <c r="Y1560" s="4">
        <v>292</v>
      </c>
      <c r="Z1560" s="4">
        <v>19</v>
      </c>
      <c r="AA1560" s="4">
        <v>26</v>
      </c>
      <c r="AB1560" s="4">
        <v>2</v>
      </c>
      <c r="AC1560" s="4">
        <v>7</v>
      </c>
      <c r="AD1560" s="4">
        <v>57</v>
      </c>
      <c r="AE1560" s="4">
        <v>63</v>
      </c>
      <c r="AF1560" s="4">
        <v>0</v>
      </c>
      <c r="AG1560" s="4">
        <v>2</v>
      </c>
      <c r="AH1560" s="4">
        <v>47</v>
      </c>
      <c r="AI1560" s="4">
        <v>50</v>
      </c>
      <c r="AJ1560" s="4">
        <v>12</v>
      </c>
      <c r="AK1560" s="4">
        <v>15</v>
      </c>
      <c r="AL1560" s="4">
        <v>30</v>
      </c>
      <c r="AM1560" s="4">
        <v>30</v>
      </c>
      <c r="AN1560" s="4">
        <v>0</v>
      </c>
      <c r="AO1560" s="4">
        <v>0</v>
      </c>
      <c r="AP1560" s="4">
        <v>16</v>
      </c>
      <c r="AQ1560" s="4">
        <v>18</v>
      </c>
      <c r="AR1560" s="3" t="s">
        <v>62</v>
      </c>
      <c r="AS1560" s="3" t="s">
        <v>62</v>
      </c>
      <c r="AT1560" s="3" t="s">
        <v>61</v>
      </c>
      <c r="AU1560" s="6" t="str">
        <f>HYPERLINK("http://catalog.hathitrust.org/Record/004513175","HathiTrust Record")</f>
        <v>HathiTrust Record</v>
      </c>
      <c r="AV1560" s="6" t="str">
        <f>HYPERLINK("http://mcgill.on.worldcat.org/oclc/21195309","Catalog Record")</f>
        <v>Catalog Record</v>
      </c>
      <c r="AW1560" s="6" t="str">
        <f>HYPERLINK("http://www.worldcat.org/oclc/21195309","WorldCat Record")</f>
        <v>WorldCat Record</v>
      </c>
      <c r="AX1560" s="3" t="s">
        <v>15014</v>
      </c>
      <c r="AY1560" s="3" t="s">
        <v>15015</v>
      </c>
      <c r="AZ1560" s="3" t="s">
        <v>15016</v>
      </c>
      <c r="BA1560" s="3" t="s">
        <v>15016</v>
      </c>
      <c r="BB1560" s="3" t="s">
        <v>15017</v>
      </c>
      <c r="BC1560" s="3" t="s">
        <v>142</v>
      </c>
      <c r="BD1560" s="3" t="s">
        <v>68</v>
      </c>
      <c r="BE1560" s="3" t="s">
        <v>15018</v>
      </c>
      <c r="BF1560" s="3" t="s">
        <v>15017</v>
      </c>
      <c r="BG1560" s="3" t="s">
        <v>15019</v>
      </c>
    </row>
    <row r="1561" spans="1:59" ht="57" x14ac:dyDescent="0.45">
      <c r="A1561" s="2" t="s">
        <v>59</v>
      </c>
      <c r="B1561" s="2" t="s">
        <v>60</v>
      </c>
      <c r="C1561" s="2" t="s">
        <v>15020</v>
      </c>
      <c r="D1561" s="2" t="s">
        <v>15021</v>
      </c>
      <c r="E1561" s="2" t="s">
        <v>15022</v>
      </c>
      <c r="G1561" s="3" t="s">
        <v>62</v>
      </c>
      <c r="I1561" s="3" t="s">
        <v>62</v>
      </c>
      <c r="J1561" s="3" t="s">
        <v>62</v>
      </c>
      <c r="K1561" s="3" t="s">
        <v>63</v>
      </c>
      <c r="L1561" s="2" t="s">
        <v>15023</v>
      </c>
      <c r="M1561" s="2" t="s">
        <v>15024</v>
      </c>
      <c r="N1561" s="3" t="s">
        <v>1465</v>
      </c>
      <c r="O1561" s="2" t="s">
        <v>933</v>
      </c>
      <c r="P1561" s="3" t="s">
        <v>65</v>
      </c>
      <c r="R1561" s="3" t="s">
        <v>66</v>
      </c>
      <c r="S1561" s="4">
        <v>5</v>
      </c>
      <c r="T1561" s="4">
        <v>5</v>
      </c>
      <c r="U1561" s="5" t="s">
        <v>14209</v>
      </c>
      <c r="V1561" s="5" t="s">
        <v>14209</v>
      </c>
      <c r="W1561" s="5" t="s">
        <v>67</v>
      </c>
      <c r="X1561" s="5" t="s">
        <v>67</v>
      </c>
      <c r="Y1561" s="4">
        <v>153</v>
      </c>
      <c r="Z1561" s="4">
        <v>16</v>
      </c>
      <c r="AA1561" s="4">
        <v>36</v>
      </c>
      <c r="AB1561" s="4">
        <v>1</v>
      </c>
      <c r="AC1561" s="4">
        <v>7</v>
      </c>
      <c r="AD1561" s="4">
        <v>47</v>
      </c>
      <c r="AE1561" s="4">
        <v>75</v>
      </c>
      <c r="AF1561" s="4">
        <v>0</v>
      </c>
      <c r="AG1561" s="4">
        <v>5</v>
      </c>
      <c r="AH1561" s="4">
        <v>40</v>
      </c>
      <c r="AI1561" s="4">
        <v>58</v>
      </c>
      <c r="AJ1561" s="4">
        <v>7</v>
      </c>
      <c r="AK1561" s="4">
        <v>18</v>
      </c>
      <c r="AL1561" s="4">
        <v>20</v>
      </c>
      <c r="AM1561" s="4">
        <v>31</v>
      </c>
      <c r="AN1561" s="4">
        <v>0</v>
      </c>
      <c r="AO1561" s="4">
        <v>0</v>
      </c>
      <c r="AP1561" s="4">
        <v>12</v>
      </c>
      <c r="AQ1561" s="4">
        <v>23</v>
      </c>
      <c r="AR1561" s="3" t="s">
        <v>62</v>
      </c>
      <c r="AS1561" s="3" t="s">
        <v>62</v>
      </c>
      <c r="AT1561" s="3" t="s">
        <v>61</v>
      </c>
      <c r="AU1561" s="6" t="str">
        <f>HYPERLINK("http://catalog.hathitrust.org/Record/009802480","HathiTrust Record")</f>
        <v>HathiTrust Record</v>
      </c>
      <c r="AV1561" s="6" t="str">
        <f>HYPERLINK("http://mcgill.on.worldcat.org/oclc/243545906","Catalog Record")</f>
        <v>Catalog Record</v>
      </c>
      <c r="AW1561" s="6" t="str">
        <f>HYPERLINK("http://www.worldcat.org/oclc/243545906","WorldCat Record")</f>
        <v>WorldCat Record</v>
      </c>
      <c r="AX1561" s="3" t="s">
        <v>15025</v>
      </c>
      <c r="AY1561" s="3" t="s">
        <v>15026</v>
      </c>
      <c r="AZ1561" s="3" t="s">
        <v>15027</v>
      </c>
      <c r="BA1561" s="3" t="s">
        <v>15027</v>
      </c>
      <c r="BB1561" s="3" t="s">
        <v>15028</v>
      </c>
      <c r="BC1561" s="3" t="s">
        <v>142</v>
      </c>
      <c r="BD1561" s="3" t="s">
        <v>68</v>
      </c>
      <c r="BE1561" s="3" t="s">
        <v>15029</v>
      </c>
      <c r="BF1561" s="3" t="s">
        <v>15028</v>
      </c>
      <c r="BG1561" s="3" t="s">
        <v>15030</v>
      </c>
    </row>
    <row r="1562" spans="1:59" ht="57" x14ac:dyDescent="0.45">
      <c r="A1562" s="2" t="s">
        <v>59</v>
      </c>
      <c r="B1562" s="2" t="s">
        <v>60</v>
      </c>
      <c r="C1562" s="2" t="s">
        <v>15031</v>
      </c>
      <c r="D1562" s="2" t="s">
        <v>15032</v>
      </c>
      <c r="E1562" s="2" t="s">
        <v>15033</v>
      </c>
      <c r="G1562" s="3" t="s">
        <v>62</v>
      </c>
      <c r="I1562" s="3" t="s">
        <v>62</v>
      </c>
      <c r="J1562" s="3" t="s">
        <v>62</v>
      </c>
      <c r="K1562" s="3" t="s">
        <v>63</v>
      </c>
      <c r="M1562" s="2" t="s">
        <v>15034</v>
      </c>
      <c r="N1562" s="3" t="s">
        <v>149</v>
      </c>
      <c r="P1562" s="3" t="s">
        <v>65</v>
      </c>
      <c r="Q1562" s="2" t="s">
        <v>15035</v>
      </c>
      <c r="R1562" s="3" t="s">
        <v>66</v>
      </c>
      <c r="S1562" s="4">
        <v>3</v>
      </c>
      <c r="T1562" s="4">
        <v>3</v>
      </c>
      <c r="U1562" s="5" t="s">
        <v>14837</v>
      </c>
      <c r="V1562" s="5" t="s">
        <v>14837</v>
      </c>
      <c r="W1562" s="5" t="s">
        <v>67</v>
      </c>
      <c r="X1562" s="5" t="s">
        <v>67</v>
      </c>
      <c r="Y1562" s="4">
        <v>124</v>
      </c>
      <c r="Z1562" s="4">
        <v>13</v>
      </c>
      <c r="AA1562" s="4">
        <v>15</v>
      </c>
      <c r="AB1562" s="4">
        <v>1</v>
      </c>
      <c r="AC1562" s="4">
        <v>3</v>
      </c>
      <c r="AD1562" s="4">
        <v>57</v>
      </c>
      <c r="AE1562" s="4">
        <v>62</v>
      </c>
      <c r="AF1562" s="4">
        <v>0</v>
      </c>
      <c r="AG1562" s="4">
        <v>1</v>
      </c>
      <c r="AH1562" s="4">
        <v>52</v>
      </c>
      <c r="AI1562" s="4">
        <v>56</v>
      </c>
      <c r="AJ1562" s="4">
        <v>10</v>
      </c>
      <c r="AK1562" s="4">
        <v>11</v>
      </c>
      <c r="AL1562" s="4">
        <v>30</v>
      </c>
      <c r="AM1562" s="4">
        <v>32</v>
      </c>
      <c r="AN1562" s="4">
        <v>0</v>
      </c>
      <c r="AO1562" s="4">
        <v>0</v>
      </c>
      <c r="AP1562" s="4">
        <v>11</v>
      </c>
      <c r="AQ1562" s="4">
        <v>12</v>
      </c>
      <c r="AR1562" s="3" t="s">
        <v>62</v>
      </c>
      <c r="AS1562" s="3" t="s">
        <v>62</v>
      </c>
      <c r="AT1562" s="3" t="s">
        <v>62</v>
      </c>
      <c r="AV1562" s="6" t="str">
        <f>HYPERLINK("http://mcgill.on.worldcat.org/oclc/642847621","Catalog Record")</f>
        <v>Catalog Record</v>
      </c>
      <c r="AW1562" s="6" t="str">
        <f>HYPERLINK("http://www.worldcat.org/oclc/642847621","WorldCat Record")</f>
        <v>WorldCat Record</v>
      </c>
      <c r="AX1562" s="3" t="s">
        <v>15036</v>
      </c>
      <c r="AY1562" s="3" t="s">
        <v>15037</v>
      </c>
      <c r="AZ1562" s="3" t="s">
        <v>15038</v>
      </c>
      <c r="BA1562" s="3" t="s">
        <v>15038</v>
      </c>
      <c r="BB1562" s="3" t="s">
        <v>15039</v>
      </c>
      <c r="BC1562" s="3" t="s">
        <v>142</v>
      </c>
      <c r="BD1562" s="3" t="s">
        <v>68</v>
      </c>
      <c r="BE1562" s="3" t="s">
        <v>15040</v>
      </c>
      <c r="BF1562" s="3" t="s">
        <v>15039</v>
      </c>
      <c r="BG1562" s="3" t="s">
        <v>15041</v>
      </c>
    </row>
    <row r="1563" spans="1:59" ht="57" x14ac:dyDescent="0.45">
      <c r="A1563" s="2" t="s">
        <v>59</v>
      </c>
      <c r="B1563" s="2" t="s">
        <v>60</v>
      </c>
      <c r="C1563" s="2" t="s">
        <v>15042</v>
      </c>
      <c r="D1563" s="2" t="s">
        <v>15043</v>
      </c>
      <c r="E1563" s="2" t="s">
        <v>15044</v>
      </c>
      <c r="G1563" s="3" t="s">
        <v>62</v>
      </c>
      <c r="I1563" s="3" t="s">
        <v>62</v>
      </c>
      <c r="J1563" s="3" t="s">
        <v>62</v>
      </c>
      <c r="K1563" s="3" t="s">
        <v>63</v>
      </c>
      <c r="L1563" s="2" t="s">
        <v>15045</v>
      </c>
      <c r="M1563" s="2" t="s">
        <v>15046</v>
      </c>
      <c r="N1563" s="3" t="s">
        <v>1478</v>
      </c>
      <c r="P1563" s="3" t="s">
        <v>65</v>
      </c>
      <c r="Q1563" s="2" t="s">
        <v>3508</v>
      </c>
      <c r="R1563" s="3" t="s">
        <v>66</v>
      </c>
      <c r="S1563" s="4">
        <v>23</v>
      </c>
      <c r="T1563" s="4">
        <v>23</v>
      </c>
      <c r="U1563" s="5" t="s">
        <v>15047</v>
      </c>
      <c r="V1563" s="5" t="s">
        <v>15047</v>
      </c>
      <c r="W1563" s="5" t="s">
        <v>67</v>
      </c>
      <c r="X1563" s="5" t="s">
        <v>67</v>
      </c>
      <c r="Y1563" s="4">
        <v>332</v>
      </c>
      <c r="Z1563" s="4">
        <v>17</v>
      </c>
      <c r="AA1563" s="4">
        <v>23</v>
      </c>
      <c r="AB1563" s="4">
        <v>2</v>
      </c>
      <c r="AC1563" s="4">
        <v>7</v>
      </c>
      <c r="AD1563" s="4">
        <v>100</v>
      </c>
      <c r="AE1563" s="4">
        <v>104</v>
      </c>
      <c r="AF1563" s="4">
        <v>1</v>
      </c>
      <c r="AG1563" s="4">
        <v>4</v>
      </c>
      <c r="AH1563" s="4">
        <v>91</v>
      </c>
      <c r="AI1563" s="4">
        <v>92</v>
      </c>
      <c r="AJ1563" s="4">
        <v>14</v>
      </c>
      <c r="AK1563" s="4">
        <v>16</v>
      </c>
      <c r="AL1563" s="4">
        <v>46</v>
      </c>
      <c r="AM1563" s="4">
        <v>46</v>
      </c>
      <c r="AN1563" s="4">
        <v>0</v>
      </c>
      <c r="AO1563" s="4">
        <v>0</v>
      </c>
      <c r="AP1563" s="4">
        <v>15</v>
      </c>
      <c r="AQ1563" s="4">
        <v>18</v>
      </c>
      <c r="AR1563" s="3" t="s">
        <v>62</v>
      </c>
      <c r="AS1563" s="3" t="s">
        <v>62</v>
      </c>
      <c r="AT1563" s="3" t="s">
        <v>61</v>
      </c>
      <c r="AU1563" s="6" t="str">
        <f>HYPERLINK("http://catalog.hathitrust.org/Record/003062269","HathiTrust Record")</f>
        <v>HathiTrust Record</v>
      </c>
      <c r="AV1563" s="6" t="str">
        <f>HYPERLINK("http://mcgill.on.worldcat.org/oclc/33360993","Catalog Record")</f>
        <v>Catalog Record</v>
      </c>
      <c r="AW1563" s="6" t="str">
        <f>HYPERLINK("http://www.worldcat.org/oclc/33360993","WorldCat Record")</f>
        <v>WorldCat Record</v>
      </c>
      <c r="AX1563" s="3" t="s">
        <v>15048</v>
      </c>
      <c r="AY1563" s="3" t="s">
        <v>15049</v>
      </c>
      <c r="AZ1563" s="3" t="s">
        <v>15050</v>
      </c>
      <c r="BA1563" s="3" t="s">
        <v>15050</v>
      </c>
      <c r="BB1563" s="3" t="s">
        <v>15051</v>
      </c>
      <c r="BC1563" s="3" t="s">
        <v>142</v>
      </c>
      <c r="BD1563" s="3" t="s">
        <v>68</v>
      </c>
      <c r="BE1563" s="3" t="s">
        <v>15052</v>
      </c>
      <c r="BF1563" s="3" t="s">
        <v>15051</v>
      </c>
      <c r="BG1563" s="3" t="s">
        <v>15053</v>
      </c>
    </row>
    <row r="1564" spans="1:59" ht="57" x14ac:dyDescent="0.45">
      <c r="A1564" s="2" t="s">
        <v>59</v>
      </c>
      <c r="B1564" s="2" t="s">
        <v>60</v>
      </c>
      <c r="C1564" s="2" t="s">
        <v>15054</v>
      </c>
      <c r="D1564" s="2" t="s">
        <v>15055</v>
      </c>
      <c r="E1564" s="2" t="s">
        <v>15056</v>
      </c>
      <c r="G1564" s="3" t="s">
        <v>62</v>
      </c>
      <c r="I1564" s="3" t="s">
        <v>62</v>
      </c>
      <c r="J1564" s="3" t="s">
        <v>62</v>
      </c>
      <c r="K1564" s="3" t="s">
        <v>63</v>
      </c>
      <c r="M1564" s="2" t="s">
        <v>15057</v>
      </c>
      <c r="N1564" s="3" t="s">
        <v>945</v>
      </c>
      <c r="P1564" s="3" t="s">
        <v>65</v>
      </c>
      <c r="Q1564" s="2" t="s">
        <v>15058</v>
      </c>
      <c r="R1564" s="3" t="s">
        <v>66</v>
      </c>
      <c r="S1564" s="4">
        <v>6</v>
      </c>
      <c r="T1564" s="4">
        <v>6</v>
      </c>
      <c r="U1564" s="5" t="s">
        <v>15059</v>
      </c>
      <c r="V1564" s="5" t="s">
        <v>15059</v>
      </c>
      <c r="W1564" s="5" t="s">
        <v>67</v>
      </c>
      <c r="X1564" s="5" t="s">
        <v>67</v>
      </c>
      <c r="Y1564" s="4">
        <v>171</v>
      </c>
      <c r="Z1564" s="4">
        <v>23</v>
      </c>
      <c r="AA1564" s="4">
        <v>26</v>
      </c>
      <c r="AB1564" s="4">
        <v>2</v>
      </c>
      <c r="AC1564" s="4">
        <v>5</v>
      </c>
      <c r="AD1564" s="4">
        <v>71</v>
      </c>
      <c r="AE1564" s="4">
        <v>74</v>
      </c>
      <c r="AF1564" s="4">
        <v>1</v>
      </c>
      <c r="AG1564" s="4">
        <v>4</v>
      </c>
      <c r="AH1564" s="4">
        <v>63</v>
      </c>
      <c r="AI1564" s="4">
        <v>64</v>
      </c>
      <c r="AJ1564" s="4">
        <v>15</v>
      </c>
      <c r="AK1564" s="4">
        <v>18</v>
      </c>
      <c r="AL1564" s="4">
        <v>28</v>
      </c>
      <c r="AM1564" s="4">
        <v>28</v>
      </c>
      <c r="AN1564" s="4">
        <v>0</v>
      </c>
      <c r="AO1564" s="4">
        <v>0</v>
      </c>
      <c r="AP1564" s="4">
        <v>17</v>
      </c>
      <c r="AQ1564" s="4">
        <v>19</v>
      </c>
      <c r="AR1564" s="3" t="s">
        <v>62</v>
      </c>
      <c r="AS1564" s="3" t="s">
        <v>62</v>
      </c>
      <c r="AT1564" s="3" t="s">
        <v>62</v>
      </c>
      <c r="AV1564" s="6" t="str">
        <f>HYPERLINK("http://mcgill.on.worldcat.org/oclc/85444112","Catalog Record")</f>
        <v>Catalog Record</v>
      </c>
      <c r="AW1564" s="6" t="str">
        <f>HYPERLINK("http://www.worldcat.org/oclc/85444112","WorldCat Record")</f>
        <v>WorldCat Record</v>
      </c>
      <c r="AX1564" s="3" t="s">
        <v>15060</v>
      </c>
      <c r="AY1564" s="3" t="s">
        <v>15061</v>
      </c>
      <c r="AZ1564" s="3" t="s">
        <v>15062</v>
      </c>
      <c r="BA1564" s="3" t="s">
        <v>15062</v>
      </c>
      <c r="BB1564" s="3" t="s">
        <v>15063</v>
      </c>
      <c r="BC1564" s="3" t="s">
        <v>142</v>
      </c>
      <c r="BD1564" s="3" t="s">
        <v>68</v>
      </c>
      <c r="BE1564" s="3" t="s">
        <v>15064</v>
      </c>
      <c r="BF1564" s="3" t="s">
        <v>15063</v>
      </c>
      <c r="BG1564" s="3" t="s">
        <v>15065</v>
      </c>
    </row>
    <row r="1565" spans="1:59" ht="57" x14ac:dyDescent="0.45">
      <c r="A1565" s="2" t="s">
        <v>59</v>
      </c>
      <c r="B1565" s="2" t="s">
        <v>60</v>
      </c>
      <c r="C1565" s="2" t="s">
        <v>15066</v>
      </c>
      <c r="D1565" s="2" t="s">
        <v>15067</v>
      </c>
      <c r="E1565" s="2" t="s">
        <v>15068</v>
      </c>
      <c r="G1565" s="3" t="s">
        <v>62</v>
      </c>
      <c r="I1565" s="3" t="s">
        <v>62</v>
      </c>
      <c r="J1565" s="3" t="s">
        <v>62</v>
      </c>
      <c r="K1565" s="3" t="s">
        <v>63</v>
      </c>
      <c r="M1565" s="2" t="s">
        <v>15069</v>
      </c>
      <c r="N1565" s="3" t="s">
        <v>958</v>
      </c>
      <c r="P1565" s="3" t="s">
        <v>65</v>
      </c>
      <c r="Q1565" s="2" t="s">
        <v>15070</v>
      </c>
      <c r="R1565" s="3" t="s">
        <v>66</v>
      </c>
      <c r="S1565" s="4">
        <v>15</v>
      </c>
      <c r="T1565" s="4">
        <v>15</v>
      </c>
      <c r="U1565" s="5" t="s">
        <v>15071</v>
      </c>
      <c r="V1565" s="5" t="s">
        <v>15071</v>
      </c>
      <c r="W1565" s="5" t="s">
        <v>67</v>
      </c>
      <c r="X1565" s="5" t="s">
        <v>67</v>
      </c>
      <c r="Y1565" s="4">
        <v>256</v>
      </c>
      <c r="Z1565" s="4">
        <v>26</v>
      </c>
      <c r="AA1565" s="4">
        <v>29</v>
      </c>
      <c r="AB1565" s="4">
        <v>2</v>
      </c>
      <c r="AC1565" s="4">
        <v>5</v>
      </c>
      <c r="AD1565" s="4">
        <v>82</v>
      </c>
      <c r="AE1565" s="4">
        <v>85</v>
      </c>
      <c r="AF1565" s="4">
        <v>1</v>
      </c>
      <c r="AG1565" s="4">
        <v>4</v>
      </c>
      <c r="AH1565" s="4">
        <v>69</v>
      </c>
      <c r="AI1565" s="4">
        <v>70</v>
      </c>
      <c r="AJ1565" s="4">
        <v>17</v>
      </c>
      <c r="AK1565" s="4">
        <v>20</v>
      </c>
      <c r="AL1565" s="4">
        <v>32</v>
      </c>
      <c r="AM1565" s="4">
        <v>32</v>
      </c>
      <c r="AN1565" s="4">
        <v>0</v>
      </c>
      <c r="AO1565" s="4">
        <v>0</v>
      </c>
      <c r="AP1565" s="4">
        <v>23</v>
      </c>
      <c r="AQ1565" s="4">
        <v>25</v>
      </c>
      <c r="AR1565" s="3" t="s">
        <v>62</v>
      </c>
      <c r="AS1565" s="3" t="s">
        <v>62</v>
      </c>
      <c r="AT1565" s="3" t="s">
        <v>61</v>
      </c>
      <c r="AU1565" s="6" t="str">
        <f>HYPERLINK("http://catalog.hathitrust.org/Record/003058670","HathiTrust Record")</f>
        <v>HathiTrust Record</v>
      </c>
      <c r="AV1565" s="6" t="str">
        <f>HYPERLINK("http://mcgill.on.worldcat.org/oclc/31410498","Catalog Record")</f>
        <v>Catalog Record</v>
      </c>
      <c r="AW1565" s="6" t="str">
        <f>HYPERLINK("http://www.worldcat.org/oclc/31410498","WorldCat Record")</f>
        <v>WorldCat Record</v>
      </c>
      <c r="AX1565" s="3" t="s">
        <v>15072</v>
      </c>
      <c r="AY1565" s="3" t="s">
        <v>15073</v>
      </c>
      <c r="AZ1565" s="3" t="s">
        <v>15074</v>
      </c>
      <c r="BA1565" s="3" t="s">
        <v>15074</v>
      </c>
      <c r="BB1565" s="3" t="s">
        <v>15075</v>
      </c>
      <c r="BC1565" s="3" t="s">
        <v>142</v>
      </c>
      <c r="BD1565" s="3" t="s">
        <v>68</v>
      </c>
      <c r="BE1565" s="3" t="s">
        <v>15076</v>
      </c>
      <c r="BF1565" s="3" t="s">
        <v>15075</v>
      </c>
      <c r="BG1565" s="3" t="s">
        <v>15077</v>
      </c>
    </row>
    <row r="1566" spans="1:59" ht="57" x14ac:dyDescent="0.45">
      <c r="A1566" s="2" t="s">
        <v>59</v>
      </c>
      <c r="B1566" s="2" t="s">
        <v>60</v>
      </c>
      <c r="C1566" s="2" t="s">
        <v>15078</v>
      </c>
      <c r="D1566" s="2" t="s">
        <v>15079</v>
      </c>
      <c r="E1566" s="2" t="s">
        <v>15080</v>
      </c>
      <c r="G1566" s="3" t="s">
        <v>62</v>
      </c>
      <c r="I1566" s="3" t="s">
        <v>62</v>
      </c>
      <c r="J1566" s="3" t="s">
        <v>62</v>
      </c>
      <c r="K1566" s="3" t="s">
        <v>63</v>
      </c>
      <c r="L1566" s="2" t="s">
        <v>15081</v>
      </c>
      <c r="M1566" s="2" t="s">
        <v>15082</v>
      </c>
      <c r="N1566" s="3" t="s">
        <v>149</v>
      </c>
      <c r="P1566" s="3" t="s">
        <v>65</v>
      </c>
      <c r="Q1566" s="2" t="s">
        <v>15083</v>
      </c>
      <c r="R1566" s="3" t="s">
        <v>66</v>
      </c>
      <c r="S1566" s="4">
        <v>1</v>
      </c>
      <c r="T1566" s="4">
        <v>1</v>
      </c>
      <c r="U1566" s="5" t="s">
        <v>15084</v>
      </c>
      <c r="V1566" s="5" t="s">
        <v>15084</v>
      </c>
      <c r="W1566" s="5" t="s">
        <v>67</v>
      </c>
      <c r="X1566" s="5" t="s">
        <v>67</v>
      </c>
      <c r="Y1566" s="4">
        <v>61</v>
      </c>
      <c r="Z1566" s="4">
        <v>6</v>
      </c>
      <c r="AA1566" s="4">
        <v>6</v>
      </c>
      <c r="AB1566" s="4">
        <v>1</v>
      </c>
      <c r="AC1566" s="4">
        <v>1</v>
      </c>
      <c r="AD1566" s="4">
        <v>27</v>
      </c>
      <c r="AE1566" s="4">
        <v>27</v>
      </c>
      <c r="AF1566" s="4">
        <v>0</v>
      </c>
      <c r="AG1566" s="4">
        <v>0</v>
      </c>
      <c r="AH1566" s="4">
        <v>24</v>
      </c>
      <c r="AI1566" s="4">
        <v>24</v>
      </c>
      <c r="AJ1566" s="4">
        <v>4</v>
      </c>
      <c r="AK1566" s="4">
        <v>4</v>
      </c>
      <c r="AL1566" s="4">
        <v>18</v>
      </c>
      <c r="AM1566" s="4">
        <v>18</v>
      </c>
      <c r="AN1566" s="4">
        <v>0</v>
      </c>
      <c r="AO1566" s="4">
        <v>0</v>
      </c>
      <c r="AP1566" s="4">
        <v>5</v>
      </c>
      <c r="AQ1566" s="4">
        <v>5</v>
      </c>
      <c r="AR1566" s="3" t="s">
        <v>62</v>
      </c>
      <c r="AS1566" s="3" t="s">
        <v>62</v>
      </c>
      <c r="AT1566" s="3" t="s">
        <v>62</v>
      </c>
      <c r="AV1566" s="6" t="str">
        <f>HYPERLINK("http://mcgill.on.worldcat.org/oclc/632166012","Catalog Record")</f>
        <v>Catalog Record</v>
      </c>
      <c r="AW1566" s="6" t="str">
        <f>HYPERLINK("http://www.worldcat.org/oclc/632166012","WorldCat Record")</f>
        <v>WorldCat Record</v>
      </c>
      <c r="AX1566" s="3" t="s">
        <v>15085</v>
      </c>
      <c r="AY1566" s="3" t="s">
        <v>15086</v>
      </c>
      <c r="AZ1566" s="3" t="s">
        <v>15087</v>
      </c>
      <c r="BA1566" s="3" t="s">
        <v>15087</v>
      </c>
      <c r="BB1566" s="3" t="s">
        <v>15088</v>
      </c>
      <c r="BC1566" s="3" t="s">
        <v>142</v>
      </c>
      <c r="BD1566" s="3" t="s">
        <v>68</v>
      </c>
      <c r="BE1566" s="3" t="s">
        <v>15089</v>
      </c>
      <c r="BF1566" s="3" t="s">
        <v>15088</v>
      </c>
      <c r="BG1566" s="3" t="s">
        <v>15090</v>
      </c>
    </row>
    <row r="1567" spans="1:59" ht="57" x14ac:dyDescent="0.45">
      <c r="A1567" s="2" t="s">
        <v>59</v>
      </c>
      <c r="B1567" s="2" t="s">
        <v>60</v>
      </c>
      <c r="C1567" s="2" t="s">
        <v>15091</v>
      </c>
      <c r="D1567" s="2" t="s">
        <v>15092</v>
      </c>
      <c r="E1567" s="2" t="s">
        <v>15093</v>
      </c>
      <c r="G1567" s="3" t="s">
        <v>62</v>
      </c>
      <c r="I1567" s="3" t="s">
        <v>62</v>
      </c>
      <c r="J1567" s="3" t="s">
        <v>62</v>
      </c>
      <c r="K1567" s="3" t="s">
        <v>63</v>
      </c>
      <c r="M1567" s="2" t="s">
        <v>3075</v>
      </c>
      <c r="N1567" s="3" t="s">
        <v>1465</v>
      </c>
      <c r="P1567" s="3" t="s">
        <v>65</v>
      </c>
      <c r="Q1567" s="2" t="s">
        <v>15094</v>
      </c>
      <c r="R1567" s="3" t="s">
        <v>66</v>
      </c>
      <c r="S1567" s="4">
        <v>2</v>
      </c>
      <c r="T1567" s="4">
        <v>2</v>
      </c>
      <c r="U1567" s="5" t="s">
        <v>3015</v>
      </c>
      <c r="V1567" s="5" t="s">
        <v>3015</v>
      </c>
      <c r="W1567" s="5" t="s">
        <v>67</v>
      </c>
      <c r="X1567" s="5" t="s">
        <v>67</v>
      </c>
      <c r="Y1567" s="4">
        <v>333</v>
      </c>
      <c r="Z1567" s="4">
        <v>23</v>
      </c>
      <c r="AA1567" s="4">
        <v>82</v>
      </c>
      <c r="AB1567" s="4">
        <v>3</v>
      </c>
      <c r="AC1567" s="4">
        <v>16</v>
      </c>
      <c r="AD1567" s="4">
        <v>86</v>
      </c>
      <c r="AE1567" s="4">
        <v>134</v>
      </c>
      <c r="AF1567" s="4">
        <v>1</v>
      </c>
      <c r="AG1567" s="4">
        <v>8</v>
      </c>
      <c r="AH1567" s="4">
        <v>76</v>
      </c>
      <c r="AI1567" s="4">
        <v>98</v>
      </c>
      <c r="AJ1567" s="4">
        <v>15</v>
      </c>
      <c r="AK1567" s="4">
        <v>23</v>
      </c>
      <c r="AL1567" s="4">
        <v>43</v>
      </c>
      <c r="AM1567" s="4">
        <v>53</v>
      </c>
      <c r="AN1567" s="4">
        <v>0</v>
      </c>
      <c r="AO1567" s="4">
        <v>0</v>
      </c>
      <c r="AP1567" s="4">
        <v>18</v>
      </c>
      <c r="AQ1567" s="4">
        <v>44</v>
      </c>
      <c r="AR1567" s="3" t="s">
        <v>62</v>
      </c>
      <c r="AS1567" s="3" t="s">
        <v>62</v>
      </c>
      <c r="AT1567" s="3" t="s">
        <v>62</v>
      </c>
      <c r="AV1567" s="6" t="str">
        <f>HYPERLINK("http://mcgill.on.worldcat.org/oclc/268957371","Catalog Record")</f>
        <v>Catalog Record</v>
      </c>
      <c r="AW1567" s="6" t="str">
        <f>HYPERLINK("http://www.worldcat.org/oclc/268957371","WorldCat Record")</f>
        <v>WorldCat Record</v>
      </c>
      <c r="AX1567" s="3" t="s">
        <v>15095</v>
      </c>
      <c r="AY1567" s="3" t="s">
        <v>15096</v>
      </c>
      <c r="AZ1567" s="3" t="s">
        <v>15097</v>
      </c>
      <c r="BA1567" s="3" t="s">
        <v>15097</v>
      </c>
      <c r="BB1567" s="3" t="s">
        <v>15098</v>
      </c>
      <c r="BC1567" s="3" t="s">
        <v>142</v>
      </c>
      <c r="BD1567" s="3" t="s">
        <v>68</v>
      </c>
      <c r="BE1567" s="3" t="s">
        <v>15099</v>
      </c>
      <c r="BF1567" s="3" t="s">
        <v>15098</v>
      </c>
      <c r="BG1567" s="3" t="s">
        <v>15100</v>
      </c>
    </row>
    <row r="1568" spans="1:59" ht="57" x14ac:dyDescent="0.45">
      <c r="A1568" s="2" t="s">
        <v>59</v>
      </c>
      <c r="B1568" s="2" t="s">
        <v>60</v>
      </c>
      <c r="C1568" s="2" t="s">
        <v>15101</v>
      </c>
      <c r="D1568" s="2" t="s">
        <v>15102</v>
      </c>
      <c r="E1568" s="2" t="s">
        <v>15103</v>
      </c>
      <c r="G1568" s="3" t="s">
        <v>62</v>
      </c>
      <c r="I1568" s="3" t="s">
        <v>62</v>
      </c>
      <c r="J1568" s="3" t="s">
        <v>62</v>
      </c>
      <c r="K1568" s="3" t="s">
        <v>63</v>
      </c>
      <c r="M1568" s="2" t="s">
        <v>15104</v>
      </c>
      <c r="N1568" s="3" t="s">
        <v>1688</v>
      </c>
      <c r="P1568" s="3" t="s">
        <v>65</v>
      </c>
      <c r="Q1568" s="2" t="s">
        <v>2536</v>
      </c>
      <c r="R1568" s="3" t="s">
        <v>66</v>
      </c>
      <c r="S1568" s="4">
        <v>0</v>
      </c>
      <c r="T1568" s="4">
        <v>0</v>
      </c>
      <c r="W1568" s="5" t="s">
        <v>67</v>
      </c>
      <c r="X1568" s="5" t="s">
        <v>67</v>
      </c>
      <c r="Y1568" s="4">
        <v>84</v>
      </c>
      <c r="Z1568" s="4">
        <v>5</v>
      </c>
      <c r="AA1568" s="4">
        <v>14</v>
      </c>
      <c r="AB1568" s="4">
        <v>1</v>
      </c>
      <c r="AC1568" s="4">
        <v>5</v>
      </c>
      <c r="AD1568" s="4">
        <v>17</v>
      </c>
      <c r="AE1568" s="4">
        <v>32</v>
      </c>
      <c r="AF1568" s="4">
        <v>0</v>
      </c>
      <c r="AG1568" s="4">
        <v>1</v>
      </c>
      <c r="AH1568" s="4">
        <v>16</v>
      </c>
      <c r="AI1568" s="4">
        <v>27</v>
      </c>
      <c r="AJ1568" s="4">
        <v>2</v>
      </c>
      <c r="AK1568" s="4">
        <v>7</v>
      </c>
      <c r="AL1568" s="4">
        <v>11</v>
      </c>
      <c r="AM1568" s="4">
        <v>17</v>
      </c>
      <c r="AN1568" s="4">
        <v>0</v>
      </c>
      <c r="AO1568" s="4">
        <v>0</v>
      </c>
      <c r="AP1568" s="4">
        <v>3</v>
      </c>
      <c r="AQ1568" s="4">
        <v>9</v>
      </c>
      <c r="AR1568" s="3" t="s">
        <v>62</v>
      </c>
      <c r="AS1568" s="3" t="s">
        <v>62</v>
      </c>
      <c r="AT1568" s="3" t="s">
        <v>62</v>
      </c>
      <c r="AV1568" s="6" t="str">
        <f>HYPERLINK("http://mcgill.on.worldcat.org/oclc/854760724","Catalog Record")</f>
        <v>Catalog Record</v>
      </c>
      <c r="AW1568" s="6" t="str">
        <f>HYPERLINK("http://www.worldcat.org/oclc/854760724","WorldCat Record")</f>
        <v>WorldCat Record</v>
      </c>
      <c r="AX1568" s="3" t="s">
        <v>15105</v>
      </c>
      <c r="AY1568" s="3" t="s">
        <v>15106</v>
      </c>
      <c r="AZ1568" s="3" t="s">
        <v>15107</v>
      </c>
      <c r="BA1568" s="3" t="s">
        <v>15107</v>
      </c>
      <c r="BB1568" s="3" t="s">
        <v>15108</v>
      </c>
      <c r="BC1568" s="3" t="s">
        <v>142</v>
      </c>
      <c r="BD1568" s="3" t="s">
        <v>68</v>
      </c>
      <c r="BE1568" s="3" t="s">
        <v>15109</v>
      </c>
      <c r="BF1568" s="3" t="s">
        <v>15108</v>
      </c>
      <c r="BG1568" s="3" t="s">
        <v>15110</v>
      </c>
    </row>
    <row r="1569" spans="1:59" ht="57" x14ac:dyDescent="0.45">
      <c r="A1569" s="2" t="s">
        <v>59</v>
      </c>
      <c r="B1569" s="2" t="s">
        <v>60</v>
      </c>
      <c r="C1569" s="2" t="s">
        <v>15111</v>
      </c>
      <c r="D1569" s="2" t="s">
        <v>15112</v>
      </c>
      <c r="E1569" s="2" t="s">
        <v>15113</v>
      </c>
      <c r="G1569" s="3" t="s">
        <v>62</v>
      </c>
      <c r="I1569" s="3" t="s">
        <v>62</v>
      </c>
      <c r="J1569" s="3" t="s">
        <v>61</v>
      </c>
      <c r="K1569" s="3" t="s">
        <v>63</v>
      </c>
      <c r="L1569" s="2" t="s">
        <v>15114</v>
      </c>
      <c r="M1569" s="2" t="s">
        <v>15115</v>
      </c>
      <c r="N1569" s="3" t="s">
        <v>149</v>
      </c>
      <c r="O1569" s="2" t="s">
        <v>15116</v>
      </c>
      <c r="P1569" s="3" t="s">
        <v>65</v>
      </c>
      <c r="R1569" s="3" t="s">
        <v>66</v>
      </c>
      <c r="S1569" s="4">
        <v>0</v>
      </c>
      <c r="T1569" s="4">
        <v>0</v>
      </c>
      <c r="W1569" s="5" t="s">
        <v>67</v>
      </c>
      <c r="X1569" s="5" t="s">
        <v>67</v>
      </c>
      <c r="Y1569" s="4">
        <v>156</v>
      </c>
      <c r="Z1569" s="4">
        <v>5</v>
      </c>
      <c r="AA1569" s="4">
        <v>33</v>
      </c>
      <c r="AB1569" s="4">
        <v>1</v>
      </c>
      <c r="AC1569" s="4">
        <v>8</v>
      </c>
      <c r="AD1569" s="4">
        <v>23</v>
      </c>
      <c r="AE1569" s="4">
        <v>114</v>
      </c>
      <c r="AF1569" s="4">
        <v>0</v>
      </c>
      <c r="AG1569" s="4">
        <v>6</v>
      </c>
      <c r="AH1569" s="4">
        <v>21</v>
      </c>
      <c r="AI1569" s="4">
        <v>93</v>
      </c>
      <c r="AJ1569" s="4">
        <v>2</v>
      </c>
      <c r="AK1569" s="4">
        <v>20</v>
      </c>
      <c r="AL1569" s="4">
        <v>13</v>
      </c>
      <c r="AM1569" s="4">
        <v>48</v>
      </c>
      <c r="AN1569" s="4">
        <v>0</v>
      </c>
      <c r="AO1569" s="4">
        <v>5</v>
      </c>
      <c r="AP1569" s="4">
        <v>3</v>
      </c>
      <c r="AQ1569" s="4">
        <v>28</v>
      </c>
      <c r="AR1569" s="3" t="s">
        <v>62</v>
      </c>
      <c r="AS1569" s="3" t="s">
        <v>62</v>
      </c>
      <c r="AT1569" s="3" t="s">
        <v>62</v>
      </c>
      <c r="AV1569" s="6" t="str">
        <f>HYPERLINK("http://mcgill.on.worldcat.org/oclc/244063422","Catalog Record")</f>
        <v>Catalog Record</v>
      </c>
      <c r="AW1569" s="6" t="str">
        <f>HYPERLINK("http://www.worldcat.org/oclc/244063422","WorldCat Record")</f>
        <v>WorldCat Record</v>
      </c>
      <c r="AX1569" s="3" t="s">
        <v>15117</v>
      </c>
      <c r="AY1569" s="3" t="s">
        <v>15118</v>
      </c>
      <c r="AZ1569" s="3" t="s">
        <v>15119</v>
      </c>
      <c r="BA1569" s="3" t="s">
        <v>15119</v>
      </c>
      <c r="BB1569" s="3" t="s">
        <v>15120</v>
      </c>
      <c r="BC1569" s="3" t="s">
        <v>142</v>
      </c>
      <c r="BD1569" s="3" t="s">
        <v>68</v>
      </c>
      <c r="BE1569" s="3" t="s">
        <v>15121</v>
      </c>
      <c r="BF1569" s="3" t="s">
        <v>15120</v>
      </c>
      <c r="BG1569" s="3" t="s">
        <v>15122</v>
      </c>
    </row>
    <row r="1570" spans="1:59" ht="57" x14ac:dyDescent="0.45">
      <c r="A1570" s="2" t="s">
        <v>59</v>
      </c>
      <c r="B1570" s="2" t="s">
        <v>60</v>
      </c>
      <c r="C1570" s="2" t="s">
        <v>15123</v>
      </c>
      <c r="D1570" s="2" t="s">
        <v>15124</v>
      </c>
      <c r="E1570" s="2" t="s">
        <v>15125</v>
      </c>
      <c r="G1570" s="3" t="s">
        <v>62</v>
      </c>
      <c r="I1570" s="3" t="s">
        <v>62</v>
      </c>
      <c r="J1570" s="3" t="s">
        <v>62</v>
      </c>
      <c r="K1570" s="3" t="s">
        <v>63</v>
      </c>
      <c r="M1570" s="2" t="s">
        <v>15126</v>
      </c>
      <c r="N1570" s="3" t="s">
        <v>167</v>
      </c>
      <c r="O1570" s="2" t="s">
        <v>3280</v>
      </c>
      <c r="P1570" s="3" t="s">
        <v>65</v>
      </c>
      <c r="Q1570" s="2" t="s">
        <v>3508</v>
      </c>
      <c r="R1570" s="3" t="s">
        <v>66</v>
      </c>
      <c r="S1570" s="4">
        <v>8</v>
      </c>
      <c r="T1570" s="4">
        <v>8</v>
      </c>
      <c r="U1570" s="5" t="s">
        <v>13047</v>
      </c>
      <c r="V1570" s="5" t="s">
        <v>13047</v>
      </c>
      <c r="W1570" s="5" t="s">
        <v>67</v>
      </c>
      <c r="X1570" s="5" t="s">
        <v>67</v>
      </c>
      <c r="Y1570" s="4">
        <v>273</v>
      </c>
      <c r="Z1570" s="4">
        <v>8</v>
      </c>
      <c r="AA1570" s="4">
        <v>23</v>
      </c>
      <c r="AB1570" s="4">
        <v>1</v>
      </c>
      <c r="AC1570" s="4">
        <v>8</v>
      </c>
      <c r="AD1570" s="4">
        <v>70</v>
      </c>
      <c r="AE1570" s="4">
        <v>98</v>
      </c>
      <c r="AF1570" s="4">
        <v>0</v>
      </c>
      <c r="AG1570" s="4">
        <v>4</v>
      </c>
      <c r="AH1570" s="4">
        <v>66</v>
      </c>
      <c r="AI1570" s="4">
        <v>87</v>
      </c>
      <c r="AJ1570" s="4">
        <v>6</v>
      </c>
      <c r="AK1570" s="4">
        <v>17</v>
      </c>
      <c r="AL1570" s="4">
        <v>31</v>
      </c>
      <c r="AM1570" s="4">
        <v>41</v>
      </c>
      <c r="AN1570" s="4">
        <v>0</v>
      </c>
      <c r="AO1570" s="4">
        <v>0</v>
      </c>
      <c r="AP1570" s="4">
        <v>7</v>
      </c>
      <c r="AQ1570" s="4">
        <v>18</v>
      </c>
      <c r="AR1570" s="3" t="s">
        <v>62</v>
      </c>
      <c r="AS1570" s="3" t="s">
        <v>62</v>
      </c>
      <c r="AT1570" s="3" t="s">
        <v>62</v>
      </c>
      <c r="AV1570" s="6" t="str">
        <f>HYPERLINK("http://mcgill.on.worldcat.org/oclc/37993596","Catalog Record")</f>
        <v>Catalog Record</v>
      </c>
      <c r="AW1570" s="6" t="str">
        <f>HYPERLINK("http://www.worldcat.org/oclc/37993596","WorldCat Record")</f>
        <v>WorldCat Record</v>
      </c>
      <c r="AX1570" s="3" t="s">
        <v>15127</v>
      </c>
      <c r="AY1570" s="3" t="s">
        <v>15128</v>
      </c>
      <c r="AZ1570" s="3" t="s">
        <v>15129</v>
      </c>
      <c r="BA1570" s="3" t="s">
        <v>15129</v>
      </c>
      <c r="BB1570" s="3" t="s">
        <v>15130</v>
      </c>
      <c r="BC1570" s="3" t="s">
        <v>142</v>
      </c>
      <c r="BD1570" s="3" t="s">
        <v>68</v>
      </c>
      <c r="BE1570" s="3" t="s">
        <v>15131</v>
      </c>
      <c r="BF1570" s="3" t="s">
        <v>15130</v>
      </c>
      <c r="BG1570" s="3" t="s">
        <v>15132</v>
      </c>
    </row>
    <row r="1571" spans="1:59" ht="57" x14ac:dyDescent="0.45">
      <c r="A1571" s="2" t="s">
        <v>59</v>
      </c>
      <c r="B1571" s="2" t="s">
        <v>60</v>
      </c>
      <c r="C1571" s="2" t="s">
        <v>15133</v>
      </c>
      <c r="D1571" s="2" t="s">
        <v>15134</v>
      </c>
      <c r="E1571" s="2" t="s">
        <v>15135</v>
      </c>
      <c r="G1571" s="3" t="s">
        <v>62</v>
      </c>
      <c r="I1571" s="3" t="s">
        <v>62</v>
      </c>
      <c r="J1571" s="3" t="s">
        <v>62</v>
      </c>
      <c r="K1571" s="3" t="s">
        <v>63</v>
      </c>
      <c r="M1571" s="2" t="s">
        <v>15136</v>
      </c>
      <c r="N1571" s="3" t="s">
        <v>945</v>
      </c>
      <c r="P1571" s="3" t="s">
        <v>65</v>
      </c>
      <c r="R1571" s="3" t="s">
        <v>66</v>
      </c>
      <c r="S1571" s="4">
        <v>8</v>
      </c>
      <c r="T1571" s="4">
        <v>8</v>
      </c>
      <c r="U1571" s="5" t="s">
        <v>15137</v>
      </c>
      <c r="V1571" s="5" t="s">
        <v>15137</v>
      </c>
      <c r="W1571" s="5" t="s">
        <v>67</v>
      </c>
      <c r="X1571" s="5" t="s">
        <v>67</v>
      </c>
      <c r="Y1571" s="4">
        <v>243</v>
      </c>
      <c r="Z1571" s="4">
        <v>21</v>
      </c>
      <c r="AA1571" s="4">
        <v>24</v>
      </c>
      <c r="AB1571" s="4">
        <v>2</v>
      </c>
      <c r="AC1571" s="4">
        <v>5</v>
      </c>
      <c r="AD1571" s="4">
        <v>50</v>
      </c>
      <c r="AE1571" s="4">
        <v>53</v>
      </c>
      <c r="AF1571" s="4">
        <v>1</v>
      </c>
      <c r="AG1571" s="4">
        <v>4</v>
      </c>
      <c r="AH1571" s="4">
        <v>40</v>
      </c>
      <c r="AI1571" s="4">
        <v>41</v>
      </c>
      <c r="AJ1571" s="4">
        <v>14</v>
      </c>
      <c r="AK1571" s="4">
        <v>17</v>
      </c>
      <c r="AL1571" s="4">
        <v>18</v>
      </c>
      <c r="AM1571" s="4">
        <v>18</v>
      </c>
      <c r="AN1571" s="4">
        <v>0</v>
      </c>
      <c r="AO1571" s="4">
        <v>0</v>
      </c>
      <c r="AP1571" s="4">
        <v>18</v>
      </c>
      <c r="AQ1571" s="4">
        <v>21</v>
      </c>
      <c r="AR1571" s="3" t="s">
        <v>62</v>
      </c>
      <c r="AS1571" s="3" t="s">
        <v>62</v>
      </c>
      <c r="AT1571" s="3" t="s">
        <v>62</v>
      </c>
      <c r="AV1571" s="6" t="str">
        <f>HYPERLINK("http://mcgill.on.worldcat.org/oclc/74987461","Catalog Record")</f>
        <v>Catalog Record</v>
      </c>
      <c r="AW1571" s="6" t="str">
        <f>HYPERLINK("http://www.worldcat.org/oclc/74987461","WorldCat Record")</f>
        <v>WorldCat Record</v>
      </c>
      <c r="AX1571" s="3" t="s">
        <v>15138</v>
      </c>
      <c r="AY1571" s="3" t="s">
        <v>15139</v>
      </c>
      <c r="AZ1571" s="3" t="s">
        <v>15140</v>
      </c>
      <c r="BA1571" s="3" t="s">
        <v>15140</v>
      </c>
      <c r="BB1571" s="3" t="s">
        <v>15141</v>
      </c>
      <c r="BC1571" s="3" t="s">
        <v>142</v>
      </c>
      <c r="BD1571" s="3" t="s">
        <v>68</v>
      </c>
      <c r="BE1571" s="3" t="s">
        <v>15142</v>
      </c>
      <c r="BF1571" s="3" t="s">
        <v>15141</v>
      </c>
      <c r="BG1571" s="3" t="s">
        <v>15143</v>
      </c>
    </row>
    <row r="1572" spans="1:59" ht="57" x14ac:dyDescent="0.45">
      <c r="A1572" s="2" t="s">
        <v>59</v>
      </c>
      <c r="B1572" s="2" t="s">
        <v>60</v>
      </c>
      <c r="C1572" s="2" t="s">
        <v>15144</v>
      </c>
      <c r="D1572" s="2" t="s">
        <v>15145</v>
      </c>
      <c r="E1572" s="2" t="s">
        <v>15146</v>
      </c>
      <c r="G1572" s="3" t="s">
        <v>62</v>
      </c>
      <c r="I1572" s="3" t="s">
        <v>62</v>
      </c>
      <c r="J1572" s="3" t="s">
        <v>62</v>
      </c>
      <c r="K1572" s="3" t="s">
        <v>63</v>
      </c>
      <c r="L1572" s="2" t="s">
        <v>15147</v>
      </c>
      <c r="M1572" s="2" t="s">
        <v>12834</v>
      </c>
      <c r="N1572" s="3" t="s">
        <v>894</v>
      </c>
      <c r="P1572" s="3" t="s">
        <v>65</v>
      </c>
      <c r="R1572" s="3" t="s">
        <v>66</v>
      </c>
      <c r="S1572" s="4">
        <v>2</v>
      </c>
      <c r="T1572" s="4">
        <v>2</v>
      </c>
      <c r="U1572" s="5" t="s">
        <v>12425</v>
      </c>
      <c r="V1572" s="5" t="s">
        <v>12425</v>
      </c>
      <c r="W1572" s="5" t="s">
        <v>67</v>
      </c>
      <c r="X1572" s="5" t="s">
        <v>67</v>
      </c>
      <c r="Y1572" s="4">
        <v>162</v>
      </c>
      <c r="Z1572" s="4">
        <v>16</v>
      </c>
      <c r="AA1572" s="4">
        <v>21</v>
      </c>
      <c r="AB1572" s="4">
        <v>2</v>
      </c>
      <c r="AC1572" s="4">
        <v>4</v>
      </c>
      <c r="AD1572" s="4">
        <v>32</v>
      </c>
      <c r="AE1572" s="4">
        <v>51</v>
      </c>
      <c r="AF1572" s="4">
        <v>1</v>
      </c>
      <c r="AG1572" s="4">
        <v>3</v>
      </c>
      <c r="AH1572" s="4">
        <v>26</v>
      </c>
      <c r="AI1572" s="4">
        <v>41</v>
      </c>
      <c r="AJ1572" s="4">
        <v>10</v>
      </c>
      <c r="AK1572" s="4">
        <v>13</v>
      </c>
      <c r="AL1572" s="4">
        <v>11</v>
      </c>
      <c r="AM1572" s="4">
        <v>20</v>
      </c>
      <c r="AN1572" s="4">
        <v>0</v>
      </c>
      <c r="AO1572" s="4">
        <v>0</v>
      </c>
      <c r="AP1572" s="4">
        <v>12</v>
      </c>
      <c r="AQ1572" s="4">
        <v>17</v>
      </c>
      <c r="AR1572" s="3" t="s">
        <v>62</v>
      </c>
      <c r="AS1572" s="3" t="s">
        <v>62</v>
      </c>
      <c r="AT1572" s="3" t="s">
        <v>62</v>
      </c>
      <c r="AV1572" s="6" t="str">
        <f>HYPERLINK("http://mcgill.on.worldcat.org/oclc/456170123","Catalog Record")</f>
        <v>Catalog Record</v>
      </c>
      <c r="AW1572" s="6" t="str">
        <f>HYPERLINK("http://www.worldcat.org/oclc/456170123","WorldCat Record")</f>
        <v>WorldCat Record</v>
      </c>
      <c r="AX1572" s="3" t="s">
        <v>15148</v>
      </c>
      <c r="AY1572" s="3" t="s">
        <v>15149</v>
      </c>
      <c r="AZ1572" s="3" t="s">
        <v>15150</v>
      </c>
      <c r="BA1572" s="3" t="s">
        <v>15150</v>
      </c>
      <c r="BB1572" s="3" t="s">
        <v>15151</v>
      </c>
      <c r="BC1572" s="3" t="s">
        <v>142</v>
      </c>
      <c r="BD1572" s="3" t="s">
        <v>68</v>
      </c>
      <c r="BE1572" s="3" t="s">
        <v>15152</v>
      </c>
      <c r="BF1572" s="3" t="s">
        <v>15151</v>
      </c>
      <c r="BG1572" s="3" t="s">
        <v>15153</v>
      </c>
    </row>
    <row r="1573" spans="1:59" ht="57" x14ac:dyDescent="0.45">
      <c r="A1573" s="2" t="s">
        <v>59</v>
      </c>
      <c r="B1573" s="2" t="s">
        <v>60</v>
      </c>
      <c r="C1573" s="2" t="s">
        <v>15154</v>
      </c>
      <c r="D1573" s="2" t="s">
        <v>15155</v>
      </c>
      <c r="E1573" s="2" t="s">
        <v>15156</v>
      </c>
      <c r="G1573" s="3" t="s">
        <v>62</v>
      </c>
      <c r="I1573" s="3" t="s">
        <v>62</v>
      </c>
      <c r="J1573" s="3" t="s">
        <v>62</v>
      </c>
      <c r="K1573" s="3" t="s">
        <v>63</v>
      </c>
      <c r="L1573" s="2" t="s">
        <v>15157</v>
      </c>
      <c r="M1573" s="2" t="s">
        <v>15158</v>
      </c>
      <c r="N1573" s="3" t="s">
        <v>958</v>
      </c>
      <c r="P1573" s="3" t="s">
        <v>65</v>
      </c>
      <c r="R1573" s="3" t="s">
        <v>66</v>
      </c>
      <c r="S1573" s="4">
        <v>1</v>
      </c>
      <c r="T1573" s="4">
        <v>1</v>
      </c>
      <c r="U1573" s="5" t="s">
        <v>5011</v>
      </c>
      <c r="V1573" s="5" t="s">
        <v>5011</v>
      </c>
      <c r="W1573" s="5" t="s">
        <v>67</v>
      </c>
      <c r="X1573" s="5" t="s">
        <v>67</v>
      </c>
      <c r="Y1573" s="4">
        <v>110</v>
      </c>
      <c r="Z1573" s="4">
        <v>10</v>
      </c>
      <c r="AA1573" s="4">
        <v>14</v>
      </c>
      <c r="AB1573" s="4">
        <v>1</v>
      </c>
      <c r="AC1573" s="4">
        <v>5</v>
      </c>
      <c r="AD1573" s="4">
        <v>31</v>
      </c>
      <c r="AE1573" s="4">
        <v>37</v>
      </c>
      <c r="AF1573" s="4">
        <v>0</v>
      </c>
      <c r="AG1573" s="4">
        <v>4</v>
      </c>
      <c r="AH1573" s="4">
        <v>27</v>
      </c>
      <c r="AI1573" s="4">
        <v>30</v>
      </c>
      <c r="AJ1573" s="4">
        <v>6</v>
      </c>
      <c r="AK1573" s="4">
        <v>10</v>
      </c>
      <c r="AL1573" s="4">
        <v>14</v>
      </c>
      <c r="AM1573" s="4">
        <v>16</v>
      </c>
      <c r="AN1573" s="4">
        <v>0</v>
      </c>
      <c r="AO1573" s="4">
        <v>0</v>
      </c>
      <c r="AP1573" s="4">
        <v>7</v>
      </c>
      <c r="AQ1573" s="4">
        <v>10</v>
      </c>
      <c r="AR1573" s="3" t="s">
        <v>62</v>
      </c>
      <c r="AS1573" s="3" t="s">
        <v>62</v>
      </c>
      <c r="AT1573" s="3" t="s">
        <v>62</v>
      </c>
      <c r="AV1573" s="6" t="str">
        <f>HYPERLINK("http://mcgill.on.worldcat.org/oclc/31012420","Catalog Record")</f>
        <v>Catalog Record</v>
      </c>
      <c r="AW1573" s="6" t="str">
        <f>HYPERLINK("http://www.worldcat.org/oclc/31012420","WorldCat Record")</f>
        <v>WorldCat Record</v>
      </c>
      <c r="AX1573" s="3" t="s">
        <v>15159</v>
      </c>
      <c r="AY1573" s="3" t="s">
        <v>15160</v>
      </c>
      <c r="AZ1573" s="3" t="s">
        <v>15161</v>
      </c>
      <c r="BA1573" s="3" t="s">
        <v>15161</v>
      </c>
      <c r="BB1573" s="3" t="s">
        <v>15162</v>
      </c>
      <c r="BC1573" s="3" t="s">
        <v>142</v>
      </c>
      <c r="BD1573" s="3" t="s">
        <v>68</v>
      </c>
      <c r="BE1573" s="3" t="s">
        <v>15163</v>
      </c>
      <c r="BF1573" s="3" t="s">
        <v>15162</v>
      </c>
      <c r="BG1573" s="3" t="s">
        <v>15164</v>
      </c>
    </row>
    <row r="1574" spans="1:59" ht="57" x14ac:dyDescent="0.45">
      <c r="A1574" s="2" t="s">
        <v>59</v>
      </c>
      <c r="B1574" s="2" t="s">
        <v>60</v>
      </c>
      <c r="C1574" s="2" t="s">
        <v>15165</v>
      </c>
      <c r="D1574" s="2" t="s">
        <v>15166</v>
      </c>
      <c r="E1574" s="2" t="s">
        <v>15167</v>
      </c>
      <c r="G1574" s="3" t="s">
        <v>62</v>
      </c>
      <c r="I1574" s="3" t="s">
        <v>62</v>
      </c>
      <c r="J1574" s="3" t="s">
        <v>61</v>
      </c>
      <c r="K1574" s="3" t="s">
        <v>63</v>
      </c>
      <c r="L1574" s="2" t="s">
        <v>15168</v>
      </c>
      <c r="M1574" s="2" t="s">
        <v>15169</v>
      </c>
      <c r="N1574" s="3" t="s">
        <v>894</v>
      </c>
      <c r="O1574" s="2" t="s">
        <v>15170</v>
      </c>
      <c r="P1574" s="3" t="s">
        <v>65</v>
      </c>
      <c r="Q1574" s="2" t="s">
        <v>15171</v>
      </c>
      <c r="R1574" s="3" t="s">
        <v>66</v>
      </c>
      <c r="S1574" s="4">
        <v>7</v>
      </c>
      <c r="T1574" s="4">
        <v>7</v>
      </c>
      <c r="U1574" s="5" t="s">
        <v>13743</v>
      </c>
      <c r="V1574" s="5" t="s">
        <v>13743</v>
      </c>
      <c r="W1574" s="5" t="s">
        <v>67</v>
      </c>
      <c r="X1574" s="5" t="s">
        <v>67</v>
      </c>
      <c r="Y1574" s="4">
        <v>95</v>
      </c>
      <c r="Z1574" s="4">
        <v>9</v>
      </c>
      <c r="AA1574" s="4">
        <v>37</v>
      </c>
      <c r="AB1574" s="4">
        <v>1</v>
      </c>
      <c r="AC1574" s="4">
        <v>9</v>
      </c>
      <c r="AD1574" s="4">
        <v>21</v>
      </c>
      <c r="AE1574" s="4">
        <v>119</v>
      </c>
      <c r="AF1574" s="4">
        <v>0</v>
      </c>
      <c r="AG1574" s="4">
        <v>6</v>
      </c>
      <c r="AH1574" s="4">
        <v>20</v>
      </c>
      <c r="AI1574" s="4">
        <v>100</v>
      </c>
      <c r="AJ1574" s="4">
        <v>4</v>
      </c>
      <c r="AK1574" s="4">
        <v>19</v>
      </c>
      <c r="AL1574" s="4">
        <v>12</v>
      </c>
      <c r="AM1574" s="4">
        <v>46</v>
      </c>
      <c r="AN1574" s="4">
        <v>0</v>
      </c>
      <c r="AO1574" s="4">
        <v>5</v>
      </c>
      <c r="AP1574" s="4">
        <v>5</v>
      </c>
      <c r="AQ1574" s="4">
        <v>27</v>
      </c>
      <c r="AR1574" s="3" t="s">
        <v>62</v>
      </c>
      <c r="AS1574" s="3" t="s">
        <v>62</v>
      </c>
      <c r="AT1574" s="3" t="s">
        <v>62</v>
      </c>
      <c r="AV1574" s="6" t="str">
        <f>HYPERLINK("http://mcgill.on.worldcat.org/oclc/426795680","Catalog Record")</f>
        <v>Catalog Record</v>
      </c>
      <c r="AW1574" s="6" t="str">
        <f>HYPERLINK("http://www.worldcat.org/oclc/426795680","WorldCat Record")</f>
        <v>WorldCat Record</v>
      </c>
      <c r="AX1574" s="3" t="s">
        <v>15172</v>
      </c>
      <c r="AY1574" s="3" t="s">
        <v>15173</v>
      </c>
      <c r="AZ1574" s="3" t="s">
        <v>15174</v>
      </c>
      <c r="BA1574" s="3" t="s">
        <v>15174</v>
      </c>
      <c r="BB1574" s="3" t="s">
        <v>15175</v>
      </c>
      <c r="BC1574" s="3" t="s">
        <v>142</v>
      </c>
      <c r="BD1574" s="3" t="s">
        <v>308</v>
      </c>
      <c r="BE1574" s="3" t="s">
        <v>15176</v>
      </c>
      <c r="BF1574" s="3" t="s">
        <v>15175</v>
      </c>
      <c r="BG1574" s="3" t="s">
        <v>15177</v>
      </c>
    </row>
    <row r="1575" spans="1:59" ht="57" x14ac:dyDescent="0.45">
      <c r="A1575" s="2" t="s">
        <v>59</v>
      </c>
      <c r="B1575" s="2" t="s">
        <v>60</v>
      </c>
      <c r="C1575" s="2" t="s">
        <v>15178</v>
      </c>
      <c r="D1575" s="2" t="s">
        <v>15179</v>
      </c>
      <c r="E1575" s="2" t="s">
        <v>15180</v>
      </c>
      <c r="G1575" s="3" t="s">
        <v>62</v>
      </c>
      <c r="I1575" s="3" t="s">
        <v>62</v>
      </c>
      <c r="J1575" s="3" t="s">
        <v>62</v>
      </c>
      <c r="K1575" s="3" t="s">
        <v>63</v>
      </c>
      <c r="M1575" s="2" t="s">
        <v>15181</v>
      </c>
      <c r="N1575" s="3" t="s">
        <v>1212</v>
      </c>
      <c r="P1575" s="3" t="s">
        <v>65</v>
      </c>
      <c r="R1575" s="3" t="s">
        <v>66</v>
      </c>
      <c r="S1575" s="4">
        <v>4</v>
      </c>
      <c r="T1575" s="4">
        <v>4</v>
      </c>
      <c r="U1575" s="5" t="s">
        <v>15182</v>
      </c>
      <c r="V1575" s="5" t="s">
        <v>15182</v>
      </c>
      <c r="W1575" s="5" t="s">
        <v>67</v>
      </c>
      <c r="X1575" s="5" t="s">
        <v>67</v>
      </c>
      <c r="Y1575" s="4">
        <v>137</v>
      </c>
      <c r="Z1575" s="4">
        <v>13</v>
      </c>
      <c r="AA1575" s="4">
        <v>15</v>
      </c>
      <c r="AB1575" s="4">
        <v>3</v>
      </c>
      <c r="AC1575" s="4">
        <v>5</v>
      </c>
      <c r="AD1575" s="4">
        <v>32</v>
      </c>
      <c r="AE1575" s="4">
        <v>34</v>
      </c>
      <c r="AF1575" s="4">
        <v>1</v>
      </c>
      <c r="AG1575" s="4">
        <v>3</v>
      </c>
      <c r="AH1575" s="4">
        <v>29</v>
      </c>
      <c r="AI1575" s="4">
        <v>30</v>
      </c>
      <c r="AJ1575" s="4">
        <v>9</v>
      </c>
      <c r="AK1575" s="4">
        <v>11</v>
      </c>
      <c r="AL1575" s="4">
        <v>15</v>
      </c>
      <c r="AM1575" s="4">
        <v>15</v>
      </c>
      <c r="AN1575" s="4">
        <v>0</v>
      </c>
      <c r="AO1575" s="4">
        <v>0</v>
      </c>
      <c r="AP1575" s="4">
        <v>10</v>
      </c>
      <c r="AQ1575" s="4">
        <v>11</v>
      </c>
      <c r="AR1575" s="3" t="s">
        <v>62</v>
      </c>
      <c r="AS1575" s="3" t="s">
        <v>62</v>
      </c>
      <c r="AT1575" s="3" t="s">
        <v>62</v>
      </c>
      <c r="AV1575" s="6" t="str">
        <f>HYPERLINK("http://mcgill.on.worldcat.org/oclc/47837376","Catalog Record")</f>
        <v>Catalog Record</v>
      </c>
      <c r="AW1575" s="6" t="str">
        <f>HYPERLINK("http://www.worldcat.org/oclc/47837376","WorldCat Record")</f>
        <v>WorldCat Record</v>
      </c>
      <c r="AX1575" s="3" t="s">
        <v>15183</v>
      </c>
      <c r="AY1575" s="3" t="s">
        <v>15184</v>
      </c>
      <c r="AZ1575" s="3" t="s">
        <v>15185</v>
      </c>
      <c r="BA1575" s="3" t="s">
        <v>15185</v>
      </c>
      <c r="BB1575" s="3" t="s">
        <v>15186</v>
      </c>
      <c r="BC1575" s="3" t="s">
        <v>142</v>
      </c>
      <c r="BD1575" s="3" t="s">
        <v>68</v>
      </c>
      <c r="BE1575" s="3" t="s">
        <v>15187</v>
      </c>
      <c r="BF1575" s="3" t="s">
        <v>15186</v>
      </c>
      <c r="BG1575" s="3" t="s">
        <v>15188</v>
      </c>
    </row>
    <row r="1576" spans="1:59" ht="85.5" x14ac:dyDescent="0.45">
      <c r="A1576" s="2" t="s">
        <v>59</v>
      </c>
      <c r="B1576" s="2" t="s">
        <v>5257</v>
      </c>
      <c r="C1576" s="2" t="s">
        <v>15189</v>
      </c>
      <c r="D1576" s="2" t="s">
        <v>15190</v>
      </c>
      <c r="E1576" s="2" t="s">
        <v>15191</v>
      </c>
      <c r="G1576" s="3" t="s">
        <v>62</v>
      </c>
      <c r="I1576" s="3" t="s">
        <v>62</v>
      </c>
      <c r="J1576" s="3" t="s">
        <v>62</v>
      </c>
      <c r="K1576" s="3" t="s">
        <v>63</v>
      </c>
      <c r="L1576" s="2" t="s">
        <v>15192</v>
      </c>
      <c r="M1576" s="2" t="s">
        <v>15193</v>
      </c>
      <c r="N1576" s="3" t="s">
        <v>149</v>
      </c>
      <c r="P1576" s="3" t="s">
        <v>65</v>
      </c>
      <c r="R1576" s="3" t="s">
        <v>66</v>
      </c>
      <c r="S1576" s="4">
        <v>0</v>
      </c>
      <c r="T1576" s="4">
        <v>0</v>
      </c>
      <c r="W1576" s="5" t="s">
        <v>67</v>
      </c>
      <c r="X1576" s="5" t="s">
        <v>67</v>
      </c>
      <c r="Y1576" s="4">
        <v>11</v>
      </c>
      <c r="Z1576" s="4">
        <v>1</v>
      </c>
      <c r="AA1576" s="4">
        <v>85</v>
      </c>
      <c r="AB1576" s="4">
        <v>1</v>
      </c>
      <c r="AC1576" s="4">
        <v>18</v>
      </c>
      <c r="AD1576" s="4">
        <v>0</v>
      </c>
      <c r="AE1576" s="4">
        <v>84</v>
      </c>
      <c r="AF1576" s="4">
        <v>0</v>
      </c>
      <c r="AG1576" s="4">
        <v>8</v>
      </c>
      <c r="AH1576" s="4">
        <v>0</v>
      </c>
      <c r="AI1576" s="4">
        <v>52</v>
      </c>
      <c r="AJ1576" s="4">
        <v>0</v>
      </c>
      <c r="AK1576" s="4">
        <v>15</v>
      </c>
      <c r="AL1576" s="4">
        <v>0</v>
      </c>
      <c r="AM1576" s="4">
        <v>27</v>
      </c>
      <c r="AN1576" s="4">
        <v>0</v>
      </c>
      <c r="AO1576" s="4">
        <v>0</v>
      </c>
      <c r="AP1576" s="4">
        <v>0</v>
      </c>
      <c r="AQ1576" s="4">
        <v>36</v>
      </c>
      <c r="AR1576" s="3" t="s">
        <v>62</v>
      </c>
      <c r="AS1576" s="3" t="s">
        <v>62</v>
      </c>
      <c r="AT1576" s="3" t="s">
        <v>62</v>
      </c>
      <c r="AV1576" s="6" t="str">
        <f>HYPERLINK("http://mcgill.on.worldcat.org/oclc/645699962","Catalog Record")</f>
        <v>Catalog Record</v>
      </c>
      <c r="AW1576" s="6" t="str">
        <f>HYPERLINK("http://www.worldcat.org/oclc/645699962","WorldCat Record")</f>
        <v>WorldCat Record</v>
      </c>
      <c r="AX1576" s="3" t="s">
        <v>15194</v>
      </c>
      <c r="AY1576" s="3" t="s">
        <v>15195</v>
      </c>
      <c r="AZ1576" s="3" t="s">
        <v>15196</v>
      </c>
      <c r="BA1576" s="3" t="s">
        <v>15196</v>
      </c>
      <c r="BB1576" s="3" t="s">
        <v>15197</v>
      </c>
      <c r="BC1576" s="3" t="s">
        <v>142</v>
      </c>
      <c r="BD1576" s="3" t="s">
        <v>68</v>
      </c>
      <c r="BE1576" s="3" t="s">
        <v>15198</v>
      </c>
      <c r="BF1576" s="3" t="s">
        <v>15197</v>
      </c>
      <c r="BG1576" s="3" t="s">
        <v>15199</v>
      </c>
    </row>
    <row r="1577" spans="1:59" ht="57" x14ac:dyDescent="0.45">
      <c r="A1577" s="2" t="s">
        <v>59</v>
      </c>
      <c r="B1577" s="2" t="s">
        <v>60</v>
      </c>
      <c r="C1577" s="2" t="s">
        <v>15200</v>
      </c>
      <c r="D1577" s="2" t="s">
        <v>15201</v>
      </c>
      <c r="E1577" s="2" t="s">
        <v>15202</v>
      </c>
      <c r="G1577" s="3" t="s">
        <v>62</v>
      </c>
      <c r="I1577" s="3" t="s">
        <v>62</v>
      </c>
      <c r="J1577" s="3" t="s">
        <v>62</v>
      </c>
      <c r="K1577" s="3" t="s">
        <v>63</v>
      </c>
      <c r="M1577" s="2" t="s">
        <v>15046</v>
      </c>
      <c r="N1577" s="3" t="s">
        <v>1478</v>
      </c>
      <c r="P1577" s="3" t="s">
        <v>65</v>
      </c>
      <c r="Q1577" s="2" t="s">
        <v>3508</v>
      </c>
      <c r="R1577" s="3" t="s">
        <v>66</v>
      </c>
      <c r="S1577" s="4">
        <v>10</v>
      </c>
      <c r="T1577" s="4">
        <v>10</v>
      </c>
      <c r="U1577" s="5" t="s">
        <v>4176</v>
      </c>
      <c r="V1577" s="5" t="s">
        <v>4176</v>
      </c>
      <c r="W1577" s="5" t="s">
        <v>67</v>
      </c>
      <c r="X1577" s="5" t="s">
        <v>67</v>
      </c>
      <c r="Y1577" s="4">
        <v>300</v>
      </c>
      <c r="Z1577" s="4">
        <v>17</v>
      </c>
      <c r="AA1577" s="4">
        <v>24</v>
      </c>
      <c r="AB1577" s="4">
        <v>2</v>
      </c>
      <c r="AC1577" s="4">
        <v>8</v>
      </c>
      <c r="AD1577" s="4">
        <v>100</v>
      </c>
      <c r="AE1577" s="4">
        <v>105</v>
      </c>
      <c r="AF1577" s="4">
        <v>1</v>
      </c>
      <c r="AG1577" s="4">
        <v>4</v>
      </c>
      <c r="AH1577" s="4">
        <v>93</v>
      </c>
      <c r="AI1577" s="4">
        <v>95</v>
      </c>
      <c r="AJ1577" s="4">
        <v>13</v>
      </c>
      <c r="AK1577" s="4">
        <v>17</v>
      </c>
      <c r="AL1577" s="4">
        <v>52</v>
      </c>
      <c r="AM1577" s="4">
        <v>52</v>
      </c>
      <c r="AN1577" s="4">
        <v>0</v>
      </c>
      <c r="AO1577" s="4">
        <v>0</v>
      </c>
      <c r="AP1577" s="4">
        <v>13</v>
      </c>
      <c r="AQ1577" s="4">
        <v>16</v>
      </c>
      <c r="AR1577" s="3" t="s">
        <v>62</v>
      </c>
      <c r="AS1577" s="3" t="s">
        <v>62</v>
      </c>
      <c r="AT1577" s="3" t="s">
        <v>61</v>
      </c>
      <c r="AU1577" s="6" t="str">
        <f>HYPERLINK("http://catalog.hathitrust.org/Record/003061995","HathiTrust Record")</f>
        <v>HathiTrust Record</v>
      </c>
      <c r="AV1577" s="6" t="str">
        <f>HYPERLINK("http://mcgill.on.worldcat.org/oclc/33079213","Catalog Record")</f>
        <v>Catalog Record</v>
      </c>
      <c r="AW1577" s="6" t="str">
        <f>HYPERLINK("http://www.worldcat.org/oclc/33079213","WorldCat Record")</f>
        <v>WorldCat Record</v>
      </c>
      <c r="AX1577" s="3" t="s">
        <v>15203</v>
      </c>
      <c r="AY1577" s="3" t="s">
        <v>15204</v>
      </c>
      <c r="AZ1577" s="3" t="s">
        <v>15205</v>
      </c>
      <c r="BA1577" s="3" t="s">
        <v>15205</v>
      </c>
      <c r="BB1577" s="3" t="s">
        <v>15206</v>
      </c>
      <c r="BC1577" s="3" t="s">
        <v>142</v>
      </c>
      <c r="BD1577" s="3" t="s">
        <v>68</v>
      </c>
      <c r="BE1577" s="3" t="s">
        <v>15207</v>
      </c>
      <c r="BF1577" s="3" t="s">
        <v>15206</v>
      </c>
      <c r="BG1577" s="3" t="s">
        <v>15208</v>
      </c>
    </row>
    <row r="1578" spans="1:59" ht="57" x14ac:dyDescent="0.45">
      <c r="A1578" s="2" t="s">
        <v>59</v>
      </c>
      <c r="B1578" s="2" t="s">
        <v>60</v>
      </c>
      <c r="C1578" s="2" t="s">
        <v>15209</v>
      </c>
      <c r="D1578" s="2" t="s">
        <v>15210</v>
      </c>
      <c r="E1578" s="2" t="s">
        <v>15211</v>
      </c>
      <c r="G1578" s="3" t="s">
        <v>62</v>
      </c>
      <c r="I1578" s="3" t="s">
        <v>62</v>
      </c>
      <c r="J1578" s="3" t="s">
        <v>62</v>
      </c>
      <c r="K1578" s="3" t="s">
        <v>63</v>
      </c>
      <c r="L1578" s="2" t="s">
        <v>15212</v>
      </c>
      <c r="M1578" s="2" t="s">
        <v>13251</v>
      </c>
      <c r="N1578" s="3" t="s">
        <v>149</v>
      </c>
      <c r="P1578" s="3" t="s">
        <v>65</v>
      </c>
      <c r="Q1578" s="2" t="s">
        <v>15213</v>
      </c>
      <c r="R1578" s="3" t="s">
        <v>66</v>
      </c>
      <c r="S1578" s="4">
        <v>2</v>
      </c>
      <c r="T1578" s="4">
        <v>2</v>
      </c>
      <c r="U1578" s="5" t="s">
        <v>15214</v>
      </c>
      <c r="V1578" s="5" t="s">
        <v>15214</v>
      </c>
      <c r="W1578" s="5" t="s">
        <v>67</v>
      </c>
      <c r="X1578" s="5" t="s">
        <v>67</v>
      </c>
      <c r="Y1578" s="4">
        <v>126</v>
      </c>
      <c r="Z1578" s="4">
        <v>13</v>
      </c>
      <c r="AA1578" s="4">
        <v>14</v>
      </c>
      <c r="AB1578" s="4">
        <v>2</v>
      </c>
      <c r="AC1578" s="4">
        <v>3</v>
      </c>
      <c r="AD1578" s="4">
        <v>48</v>
      </c>
      <c r="AE1578" s="4">
        <v>49</v>
      </c>
      <c r="AF1578" s="4">
        <v>1</v>
      </c>
      <c r="AG1578" s="4">
        <v>2</v>
      </c>
      <c r="AH1578" s="4">
        <v>43</v>
      </c>
      <c r="AI1578" s="4">
        <v>44</v>
      </c>
      <c r="AJ1578" s="4">
        <v>9</v>
      </c>
      <c r="AK1578" s="4">
        <v>10</v>
      </c>
      <c r="AL1578" s="4">
        <v>22</v>
      </c>
      <c r="AM1578" s="4">
        <v>22</v>
      </c>
      <c r="AN1578" s="4">
        <v>0</v>
      </c>
      <c r="AO1578" s="4">
        <v>0</v>
      </c>
      <c r="AP1578" s="4">
        <v>10</v>
      </c>
      <c r="AQ1578" s="4">
        <v>11</v>
      </c>
      <c r="AR1578" s="3" t="s">
        <v>62</v>
      </c>
      <c r="AS1578" s="3" t="s">
        <v>62</v>
      </c>
      <c r="AT1578" s="3" t="s">
        <v>62</v>
      </c>
      <c r="AV1578" s="6" t="str">
        <f>HYPERLINK("http://mcgill.on.worldcat.org/oclc/436358402","Catalog Record")</f>
        <v>Catalog Record</v>
      </c>
      <c r="AW1578" s="6" t="str">
        <f>HYPERLINK("http://www.worldcat.org/oclc/436358402","WorldCat Record")</f>
        <v>WorldCat Record</v>
      </c>
      <c r="AX1578" s="3" t="s">
        <v>15215</v>
      </c>
      <c r="AY1578" s="3" t="s">
        <v>15216</v>
      </c>
      <c r="AZ1578" s="3" t="s">
        <v>15217</v>
      </c>
      <c r="BA1578" s="3" t="s">
        <v>15217</v>
      </c>
      <c r="BB1578" s="3" t="s">
        <v>15218</v>
      </c>
      <c r="BC1578" s="3" t="s">
        <v>142</v>
      </c>
      <c r="BD1578" s="3" t="s">
        <v>68</v>
      </c>
      <c r="BE1578" s="3" t="s">
        <v>15219</v>
      </c>
      <c r="BF1578" s="3" t="s">
        <v>15218</v>
      </c>
      <c r="BG1578" s="3" t="s">
        <v>15220</v>
      </c>
    </row>
    <row r="1579" spans="1:59" ht="57" x14ac:dyDescent="0.45">
      <c r="A1579" s="2" t="s">
        <v>59</v>
      </c>
      <c r="B1579" s="2" t="s">
        <v>60</v>
      </c>
      <c r="C1579" s="2" t="s">
        <v>15221</v>
      </c>
      <c r="D1579" s="2" t="s">
        <v>15222</v>
      </c>
      <c r="E1579" s="2" t="s">
        <v>15223</v>
      </c>
      <c r="G1579" s="3" t="s">
        <v>62</v>
      </c>
      <c r="I1579" s="3" t="s">
        <v>62</v>
      </c>
      <c r="J1579" s="3" t="s">
        <v>62</v>
      </c>
      <c r="K1579" s="3" t="s">
        <v>63</v>
      </c>
      <c r="M1579" s="2" t="s">
        <v>2329</v>
      </c>
      <c r="N1579" s="3" t="s">
        <v>918</v>
      </c>
      <c r="P1579" s="3" t="s">
        <v>65</v>
      </c>
      <c r="Q1579" s="2" t="s">
        <v>15224</v>
      </c>
      <c r="R1579" s="3" t="s">
        <v>66</v>
      </c>
      <c r="S1579" s="4">
        <v>6</v>
      </c>
      <c r="T1579" s="4">
        <v>6</v>
      </c>
      <c r="U1579" s="5" t="s">
        <v>6177</v>
      </c>
      <c r="V1579" s="5" t="s">
        <v>6177</v>
      </c>
      <c r="W1579" s="5" t="s">
        <v>67</v>
      </c>
      <c r="X1579" s="5" t="s">
        <v>67</v>
      </c>
      <c r="Y1579" s="4">
        <v>224</v>
      </c>
      <c r="Z1579" s="4">
        <v>15</v>
      </c>
      <c r="AA1579" s="4">
        <v>95</v>
      </c>
      <c r="AB1579" s="4">
        <v>2</v>
      </c>
      <c r="AC1579" s="4">
        <v>17</v>
      </c>
      <c r="AD1579" s="4">
        <v>76</v>
      </c>
      <c r="AE1579" s="4">
        <v>130</v>
      </c>
      <c r="AF1579" s="4">
        <v>1</v>
      </c>
      <c r="AG1579" s="4">
        <v>8</v>
      </c>
      <c r="AH1579" s="4">
        <v>71</v>
      </c>
      <c r="AI1579" s="4">
        <v>93</v>
      </c>
      <c r="AJ1579" s="4">
        <v>11</v>
      </c>
      <c r="AK1579" s="4">
        <v>23</v>
      </c>
      <c r="AL1579" s="4">
        <v>37</v>
      </c>
      <c r="AM1579" s="4">
        <v>46</v>
      </c>
      <c r="AN1579" s="4">
        <v>0</v>
      </c>
      <c r="AO1579" s="4">
        <v>0</v>
      </c>
      <c r="AP1579" s="4">
        <v>13</v>
      </c>
      <c r="AQ1579" s="4">
        <v>46</v>
      </c>
      <c r="AR1579" s="3" t="s">
        <v>62</v>
      </c>
      <c r="AS1579" s="3" t="s">
        <v>62</v>
      </c>
      <c r="AT1579" s="3" t="s">
        <v>61</v>
      </c>
      <c r="AU1579" s="6" t="str">
        <f>HYPERLINK("http://catalog.hathitrust.org/Record/004337167","HathiTrust Record")</f>
        <v>HathiTrust Record</v>
      </c>
      <c r="AV1579" s="6" t="str">
        <f>HYPERLINK("http://mcgill.on.worldcat.org/oclc/51093202","Catalog Record")</f>
        <v>Catalog Record</v>
      </c>
      <c r="AW1579" s="6" t="str">
        <f>HYPERLINK("http://www.worldcat.org/oclc/51093202","WorldCat Record")</f>
        <v>WorldCat Record</v>
      </c>
      <c r="AX1579" s="3" t="s">
        <v>15225</v>
      </c>
      <c r="AY1579" s="3" t="s">
        <v>15226</v>
      </c>
      <c r="AZ1579" s="3" t="s">
        <v>15227</v>
      </c>
      <c r="BA1579" s="3" t="s">
        <v>15227</v>
      </c>
      <c r="BB1579" s="3" t="s">
        <v>15228</v>
      </c>
      <c r="BC1579" s="3" t="s">
        <v>142</v>
      </c>
      <c r="BD1579" s="3" t="s">
        <v>68</v>
      </c>
      <c r="BE1579" s="3" t="s">
        <v>15229</v>
      </c>
      <c r="BF1579" s="3" t="s">
        <v>15228</v>
      </c>
      <c r="BG1579" s="3" t="s">
        <v>15230</v>
      </c>
    </row>
    <row r="1580" spans="1:59" ht="57" x14ac:dyDescent="0.45">
      <c r="A1580" s="2" t="s">
        <v>59</v>
      </c>
      <c r="B1580" s="2" t="s">
        <v>60</v>
      </c>
      <c r="C1580" s="2" t="s">
        <v>15231</v>
      </c>
      <c r="D1580" s="2" t="s">
        <v>15232</v>
      </c>
      <c r="E1580" s="2" t="s">
        <v>15233</v>
      </c>
      <c r="G1580" s="3" t="s">
        <v>62</v>
      </c>
      <c r="I1580" s="3" t="s">
        <v>62</v>
      </c>
      <c r="J1580" s="3" t="s">
        <v>62</v>
      </c>
      <c r="K1580" s="3" t="s">
        <v>63</v>
      </c>
      <c r="L1580" s="2" t="s">
        <v>15234</v>
      </c>
      <c r="M1580" s="2" t="s">
        <v>15235</v>
      </c>
      <c r="N1580" s="3" t="s">
        <v>1212</v>
      </c>
      <c r="P1580" s="3" t="s">
        <v>65</v>
      </c>
      <c r="Q1580" s="2" t="s">
        <v>15236</v>
      </c>
      <c r="R1580" s="3" t="s">
        <v>66</v>
      </c>
      <c r="S1580" s="4">
        <v>9</v>
      </c>
      <c r="T1580" s="4">
        <v>9</v>
      </c>
      <c r="U1580" s="5" t="s">
        <v>15237</v>
      </c>
      <c r="V1580" s="5" t="s">
        <v>15237</v>
      </c>
      <c r="W1580" s="5" t="s">
        <v>67</v>
      </c>
      <c r="X1580" s="5" t="s">
        <v>67</v>
      </c>
      <c r="Y1580" s="4">
        <v>262</v>
      </c>
      <c r="Z1580" s="4">
        <v>10</v>
      </c>
      <c r="AA1580" s="4">
        <v>20</v>
      </c>
      <c r="AB1580" s="4">
        <v>1</v>
      </c>
      <c r="AC1580" s="4">
        <v>6</v>
      </c>
      <c r="AD1580" s="4">
        <v>92</v>
      </c>
      <c r="AE1580" s="4">
        <v>106</v>
      </c>
      <c r="AF1580" s="4">
        <v>0</v>
      </c>
      <c r="AG1580" s="4">
        <v>2</v>
      </c>
      <c r="AH1580" s="4">
        <v>88</v>
      </c>
      <c r="AI1580" s="4">
        <v>98</v>
      </c>
      <c r="AJ1580" s="4">
        <v>8</v>
      </c>
      <c r="AK1580" s="4">
        <v>12</v>
      </c>
      <c r="AL1580" s="4">
        <v>47</v>
      </c>
      <c r="AM1580" s="4">
        <v>51</v>
      </c>
      <c r="AN1580" s="4">
        <v>0</v>
      </c>
      <c r="AO1580" s="4">
        <v>0</v>
      </c>
      <c r="AP1580" s="4">
        <v>8</v>
      </c>
      <c r="AQ1580" s="4">
        <v>12</v>
      </c>
      <c r="AR1580" s="3" t="s">
        <v>62</v>
      </c>
      <c r="AS1580" s="3" t="s">
        <v>62</v>
      </c>
      <c r="AT1580" s="3" t="s">
        <v>61</v>
      </c>
      <c r="AU1580" s="6" t="str">
        <f>HYPERLINK("http://catalog.hathitrust.org/Record/004071984","HathiTrust Record")</f>
        <v>HathiTrust Record</v>
      </c>
      <c r="AV1580" s="6" t="str">
        <f>HYPERLINK("http://mcgill.on.worldcat.org/oclc/41674460","Catalog Record")</f>
        <v>Catalog Record</v>
      </c>
      <c r="AW1580" s="6" t="str">
        <f>HYPERLINK("http://www.worldcat.org/oclc/41674460","WorldCat Record")</f>
        <v>WorldCat Record</v>
      </c>
      <c r="AX1580" s="3" t="s">
        <v>15238</v>
      </c>
      <c r="AY1580" s="3" t="s">
        <v>15239</v>
      </c>
      <c r="AZ1580" s="3" t="s">
        <v>15240</v>
      </c>
      <c r="BA1580" s="3" t="s">
        <v>15240</v>
      </c>
      <c r="BB1580" s="3" t="s">
        <v>15241</v>
      </c>
      <c r="BC1580" s="3" t="s">
        <v>142</v>
      </c>
      <c r="BD1580" s="3" t="s">
        <v>68</v>
      </c>
      <c r="BE1580" s="3" t="s">
        <v>15242</v>
      </c>
      <c r="BF1580" s="3" t="s">
        <v>15241</v>
      </c>
      <c r="BG1580" s="3" t="s">
        <v>15243</v>
      </c>
    </row>
    <row r="1581" spans="1:59" ht="57" x14ac:dyDescent="0.45">
      <c r="A1581" s="2" t="s">
        <v>59</v>
      </c>
      <c r="B1581" s="2" t="s">
        <v>60</v>
      </c>
      <c r="C1581" s="2" t="s">
        <v>15244</v>
      </c>
      <c r="D1581" s="2" t="s">
        <v>15245</v>
      </c>
      <c r="E1581" s="2" t="s">
        <v>15246</v>
      </c>
      <c r="G1581" s="3" t="s">
        <v>62</v>
      </c>
      <c r="I1581" s="3" t="s">
        <v>62</v>
      </c>
      <c r="J1581" s="3" t="s">
        <v>62</v>
      </c>
      <c r="K1581" s="3" t="s">
        <v>63</v>
      </c>
      <c r="M1581" s="2" t="s">
        <v>5879</v>
      </c>
      <c r="N1581" s="3" t="s">
        <v>1155</v>
      </c>
      <c r="P1581" s="3" t="s">
        <v>65</v>
      </c>
      <c r="R1581" s="3" t="s">
        <v>66</v>
      </c>
      <c r="S1581" s="4">
        <v>0</v>
      </c>
      <c r="T1581" s="4">
        <v>0</v>
      </c>
      <c r="W1581" s="5" t="s">
        <v>67</v>
      </c>
      <c r="X1581" s="5" t="s">
        <v>67</v>
      </c>
      <c r="Y1581" s="4">
        <v>80</v>
      </c>
      <c r="Z1581" s="4">
        <v>8</v>
      </c>
      <c r="AA1581" s="4">
        <v>14</v>
      </c>
      <c r="AB1581" s="4">
        <v>1</v>
      </c>
      <c r="AC1581" s="4">
        <v>6</v>
      </c>
      <c r="AD1581" s="4">
        <v>13</v>
      </c>
      <c r="AE1581" s="4">
        <v>18</v>
      </c>
      <c r="AF1581" s="4">
        <v>0</v>
      </c>
      <c r="AG1581" s="4">
        <v>2</v>
      </c>
      <c r="AH1581" s="4">
        <v>11</v>
      </c>
      <c r="AI1581" s="4">
        <v>15</v>
      </c>
      <c r="AJ1581" s="4">
        <v>5</v>
      </c>
      <c r="AK1581" s="4">
        <v>7</v>
      </c>
      <c r="AL1581" s="4">
        <v>5</v>
      </c>
      <c r="AM1581" s="4">
        <v>6</v>
      </c>
      <c r="AN1581" s="4">
        <v>0</v>
      </c>
      <c r="AO1581" s="4">
        <v>0</v>
      </c>
      <c r="AP1581" s="4">
        <v>6</v>
      </c>
      <c r="AQ1581" s="4">
        <v>7</v>
      </c>
      <c r="AR1581" s="3" t="s">
        <v>62</v>
      </c>
      <c r="AS1581" s="3" t="s">
        <v>62</v>
      </c>
      <c r="AT1581" s="3" t="s">
        <v>62</v>
      </c>
      <c r="AV1581" s="6" t="str">
        <f>HYPERLINK("http://mcgill.on.worldcat.org/oclc/723723510","Catalog Record")</f>
        <v>Catalog Record</v>
      </c>
      <c r="AW1581" s="6" t="str">
        <f>HYPERLINK("http://www.worldcat.org/oclc/723723510","WorldCat Record")</f>
        <v>WorldCat Record</v>
      </c>
      <c r="AX1581" s="3" t="s">
        <v>15247</v>
      </c>
      <c r="AY1581" s="3" t="s">
        <v>15248</v>
      </c>
      <c r="AZ1581" s="3" t="s">
        <v>15249</v>
      </c>
      <c r="BA1581" s="3" t="s">
        <v>15249</v>
      </c>
      <c r="BB1581" s="3" t="s">
        <v>15250</v>
      </c>
      <c r="BC1581" s="3" t="s">
        <v>142</v>
      </c>
      <c r="BD1581" s="3" t="s">
        <v>68</v>
      </c>
      <c r="BE1581" s="3" t="s">
        <v>15251</v>
      </c>
      <c r="BF1581" s="3" t="s">
        <v>15250</v>
      </c>
      <c r="BG1581" s="3" t="s">
        <v>15252</v>
      </c>
    </row>
    <row r="1582" spans="1:59" ht="57" x14ac:dyDescent="0.45">
      <c r="A1582" s="2" t="s">
        <v>59</v>
      </c>
      <c r="B1582" s="2" t="s">
        <v>60</v>
      </c>
      <c r="C1582" s="2" t="s">
        <v>15253</v>
      </c>
      <c r="D1582" s="2" t="s">
        <v>15254</v>
      </c>
      <c r="E1582" s="2" t="s">
        <v>15255</v>
      </c>
      <c r="G1582" s="3" t="s">
        <v>62</v>
      </c>
      <c r="I1582" s="3" t="s">
        <v>62</v>
      </c>
      <c r="J1582" s="3" t="s">
        <v>62</v>
      </c>
      <c r="K1582" s="3" t="s">
        <v>63</v>
      </c>
      <c r="M1582" s="2" t="s">
        <v>15256</v>
      </c>
      <c r="N1582" s="3" t="s">
        <v>1688</v>
      </c>
      <c r="P1582" s="3" t="s">
        <v>65</v>
      </c>
      <c r="Q1582" s="2" t="s">
        <v>15257</v>
      </c>
      <c r="R1582" s="3" t="s">
        <v>66</v>
      </c>
      <c r="S1582" s="4">
        <v>0</v>
      </c>
      <c r="T1582" s="4">
        <v>0</v>
      </c>
      <c r="W1582" s="5" t="s">
        <v>67</v>
      </c>
      <c r="X1582" s="5" t="s">
        <v>67</v>
      </c>
      <c r="Y1582" s="4">
        <v>341</v>
      </c>
      <c r="Z1582" s="4">
        <v>14</v>
      </c>
      <c r="AA1582" s="4">
        <v>22</v>
      </c>
      <c r="AB1582" s="4">
        <v>2</v>
      </c>
      <c r="AC1582" s="4">
        <v>3</v>
      </c>
      <c r="AD1582" s="4">
        <v>34</v>
      </c>
      <c r="AE1582" s="4">
        <v>46</v>
      </c>
      <c r="AF1582" s="4">
        <v>0</v>
      </c>
      <c r="AG1582" s="4">
        <v>0</v>
      </c>
      <c r="AH1582" s="4">
        <v>30</v>
      </c>
      <c r="AI1582" s="4">
        <v>39</v>
      </c>
      <c r="AJ1582" s="4">
        <v>4</v>
      </c>
      <c r="AK1582" s="4">
        <v>6</v>
      </c>
      <c r="AL1582" s="4">
        <v>18</v>
      </c>
      <c r="AM1582" s="4">
        <v>24</v>
      </c>
      <c r="AN1582" s="4">
        <v>0</v>
      </c>
      <c r="AO1582" s="4">
        <v>0</v>
      </c>
      <c r="AP1582" s="4">
        <v>6</v>
      </c>
      <c r="AQ1582" s="4">
        <v>8</v>
      </c>
      <c r="AR1582" s="3" t="s">
        <v>62</v>
      </c>
      <c r="AS1582" s="3" t="s">
        <v>62</v>
      </c>
      <c r="AT1582" s="3" t="s">
        <v>62</v>
      </c>
      <c r="AV1582" s="6" t="str">
        <f>HYPERLINK("http://mcgill.on.worldcat.org/oclc/866581570","Catalog Record")</f>
        <v>Catalog Record</v>
      </c>
      <c r="AW1582" s="6" t="str">
        <f>HYPERLINK("http://www.worldcat.org/oclc/866581570","WorldCat Record")</f>
        <v>WorldCat Record</v>
      </c>
      <c r="AX1582" s="3" t="s">
        <v>15258</v>
      </c>
      <c r="AY1582" s="3" t="s">
        <v>15259</v>
      </c>
      <c r="AZ1582" s="3" t="s">
        <v>15260</v>
      </c>
      <c r="BA1582" s="3" t="s">
        <v>15260</v>
      </c>
      <c r="BB1582" s="3" t="s">
        <v>15261</v>
      </c>
      <c r="BC1582" s="3" t="s">
        <v>142</v>
      </c>
      <c r="BD1582" s="3" t="s">
        <v>68</v>
      </c>
      <c r="BE1582" s="3" t="s">
        <v>15262</v>
      </c>
      <c r="BF1582" s="3" t="s">
        <v>15261</v>
      </c>
      <c r="BG1582" s="3" t="s">
        <v>15263</v>
      </c>
    </row>
    <row r="1583" spans="1:59" ht="71.25" x14ac:dyDescent="0.45">
      <c r="A1583" s="2" t="s">
        <v>59</v>
      </c>
      <c r="B1583" s="2" t="s">
        <v>60</v>
      </c>
      <c r="C1583" s="2" t="s">
        <v>15264</v>
      </c>
      <c r="D1583" s="2" t="s">
        <v>15265</v>
      </c>
      <c r="E1583" s="2" t="s">
        <v>15266</v>
      </c>
      <c r="G1583" s="3" t="s">
        <v>62</v>
      </c>
      <c r="I1583" s="3" t="s">
        <v>62</v>
      </c>
      <c r="J1583" s="3" t="s">
        <v>62</v>
      </c>
      <c r="K1583" s="3" t="s">
        <v>63</v>
      </c>
      <c r="M1583" s="2" t="s">
        <v>15267</v>
      </c>
      <c r="N1583" s="3" t="s">
        <v>1465</v>
      </c>
      <c r="P1583" s="3" t="s">
        <v>65</v>
      </c>
      <c r="Q1583" s="2" t="s">
        <v>15268</v>
      </c>
      <c r="R1583" s="3" t="s">
        <v>66</v>
      </c>
      <c r="S1583" s="4">
        <v>4</v>
      </c>
      <c r="T1583" s="4">
        <v>4</v>
      </c>
      <c r="U1583" s="5" t="s">
        <v>13047</v>
      </c>
      <c r="V1583" s="5" t="s">
        <v>13047</v>
      </c>
      <c r="W1583" s="5" t="s">
        <v>67</v>
      </c>
      <c r="X1583" s="5" t="s">
        <v>67</v>
      </c>
      <c r="Y1583" s="4">
        <v>154</v>
      </c>
      <c r="Z1583" s="4">
        <v>17</v>
      </c>
      <c r="AA1583" s="4">
        <v>102</v>
      </c>
      <c r="AB1583" s="4">
        <v>3</v>
      </c>
      <c r="AC1583" s="4">
        <v>19</v>
      </c>
      <c r="AD1583" s="4">
        <v>66</v>
      </c>
      <c r="AE1583" s="4">
        <v>139</v>
      </c>
      <c r="AF1583" s="4">
        <v>1</v>
      </c>
      <c r="AG1583" s="4">
        <v>8</v>
      </c>
      <c r="AH1583" s="4">
        <v>58</v>
      </c>
      <c r="AI1583" s="4">
        <v>100</v>
      </c>
      <c r="AJ1583" s="4">
        <v>12</v>
      </c>
      <c r="AK1583" s="4">
        <v>25</v>
      </c>
      <c r="AL1583" s="4">
        <v>35</v>
      </c>
      <c r="AM1583" s="4">
        <v>53</v>
      </c>
      <c r="AN1583" s="4">
        <v>0</v>
      </c>
      <c r="AO1583" s="4">
        <v>0</v>
      </c>
      <c r="AP1583" s="4">
        <v>14</v>
      </c>
      <c r="AQ1583" s="4">
        <v>49</v>
      </c>
      <c r="AR1583" s="3" t="s">
        <v>62</v>
      </c>
      <c r="AS1583" s="3" t="s">
        <v>62</v>
      </c>
      <c r="AT1583" s="3" t="s">
        <v>62</v>
      </c>
      <c r="AV1583" s="6" t="str">
        <f>HYPERLINK("http://mcgill.on.worldcat.org/oclc/277068732","Catalog Record")</f>
        <v>Catalog Record</v>
      </c>
      <c r="AW1583" s="6" t="str">
        <f>HYPERLINK("http://www.worldcat.org/oclc/277068732","WorldCat Record")</f>
        <v>WorldCat Record</v>
      </c>
      <c r="AX1583" s="3" t="s">
        <v>15269</v>
      </c>
      <c r="AY1583" s="3" t="s">
        <v>15270</v>
      </c>
      <c r="AZ1583" s="3" t="s">
        <v>15271</v>
      </c>
      <c r="BA1583" s="3" t="s">
        <v>15271</v>
      </c>
      <c r="BB1583" s="3" t="s">
        <v>15272</v>
      </c>
      <c r="BC1583" s="3" t="s">
        <v>142</v>
      </c>
      <c r="BD1583" s="3" t="s">
        <v>68</v>
      </c>
      <c r="BE1583" s="3" t="s">
        <v>15273</v>
      </c>
      <c r="BF1583" s="3" t="s">
        <v>15272</v>
      </c>
      <c r="BG1583" s="3" t="s">
        <v>15274</v>
      </c>
    </row>
    <row r="1584" spans="1:59" ht="57" x14ac:dyDescent="0.45">
      <c r="A1584" s="2" t="s">
        <v>59</v>
      </c>
      <c r="B1584" s="2" t="s">
        <v>60</v>
      </c>
      <c r="C1584" s="2" t="s">
        <v>15275</v>
      </c>
      <c r="D1584" s="2" t="s">
        <v>15276</v>
      </c>
      <c r="E1584" s="2" t="s">
        <v>15277</v>
      </c>
      <c r="G1584" s="3" t="s">
        <v>62</v>
      </c>
      <c r="I1584" s="3" t="s">
        <v>61</v>
      </c>
      <c r="J1584" s="3" t="s">
        <v>62</v>
      </c>
      <c r="K1584" s="3" t="s">
        <v>63</v>
      </c>
      <c r="L1584" s="2" t="s">
        <v>15278</v>
      </c>
      <c r="M1584" s="2" t="s">
        <v>15279</v>
      </c>
      <c r="N1584" s="3" t="s">
        <v>220</v>
      </c>
      <c r="O1584" s="2" t="s">
        <v>1748</v>
      </c>
      <c r="P1584" s="3" t="s">
        <v>65</v>
      </c>
      <c r="R1584" s="3" t="s">
        <v>66</v>
      </c>
      <c r="S1584" s="4">
        <v>8</v>
      </c>
      <c r="T1584" s="4">
        <v>15</v>
      </c>
      <c r="U1584" s="5" t="s">
        <v>13047</v>
      </c>
      <c r="V1584" s="5" t="s">
        <v>13047</v>
      </c>
      <c r="W1584" s="5" t="s">
        <v>67</v>
      </c>
      <c r="X1584" s="5" t="s">
        <v>67</v>
      </c>
      <c r="Y1584" s="4">
        <v>569</v>
      </c>
      <c r="Z1584" s="4">
        <v>31</v>
      </c>
      <c r="AA1584" s="4">
        <v>33</v>
      </c>
      <c r="AB1584" s="4">
        <v>2</v>
      </c>
      <c r="AC1584" s="4">
        <v>4</v>
      </c>
      <c r="AD1584" s="4">
        <v>119</v>
      </c>
      <c r="AE1584" s="4">
        <v>122</v>
      </c>
      <c r="AF1584" s="4">
        <v>1</v>
      </c>
      <c r="AG1584" s="4">
        <v>3</v>
      </c>
      <c r="AH1584" s="4">
        <v>99</v>
      </c>
      <c r="AI1584" s="4">
        <v>101</v>
      </c>
      <c r="AJ1584" s="4">
        <v>21</v>
      </c>
      <c r="AK1584" s="4">
        <v>23</v>
      </c>
      <c r="AL1584" s="4">
        <v>55</v>
      </c>
      <c r="AM1584" s="4">
        <v>55</v>
      </c>
      <c r="AN1584" s="4">
        <v>0</v>
      </c>
      <c r="AO1584" s="4">
        <v>0</v>
      </c>
      <c r="AP1584" s="4">
        <v>26</v>
      </c>
      <c r="AQ1584" s="4">
        <v>28</v>
      </c>
      <c r="AR1584" s="3" t="s">
        <v>62</v>
      </c>
      <c r="AS1584" s="3" t="s">
        <v>62</v>
      </c>
      <c r="AT1584" s="3" t="s">
        <v>61</v>
      </c>
      <c r="AU1584" s="6" t="str">
        <f>HYPERLINK("http://catalog.hathitrust.org/Record/001180826","HathiTrust Record")</f>
        <v>HathiTrust Record</v>
      </c>
      <c r="AV1584" s="6" t="str">
        <f>HYPERLINK("http://mcgill.on.worldcat.org/oclc/130407","Catalog Record")</f>
        <v>Catalog Record</v>
      </c>
      <c r="AW1584" s="6" t="str">
        <f>HYPERLINK("http://www.worldcat.org/oclc/130407","WorldCat Record")</f>
        <v>WorldCat Record</v>
      </c>
      <c r="AX1584" s="3" t="s">
        <v>15280</v>
      </c>
      <c r="AY1584" s="3" t="s">
        <v>15281</v>
      </c>
      <c r="AZ1584" s="3" t="s">
        <v>15282</v>
      </c>
      <c r="BA1584" s="3" t="s">
        <v>15282</v>
      </c>
      <c r="BB1584" s="3" t="s">
        <v>15283</v>
      </c>
      <c r="BC1584" s="3" t="s">
        <v>142</v>
      </c>
      <c r="BD1584" s="3" t="s">
        <v>68</v>
      </c>
      <c r="BE1584" s="3" t="s">
        <v>15284</v>
      </c>
      <c r="BF1584" s="3" t="s">
        <v>15283</v>
      </c>
      <c r="BG1584" s="3" t="s">
        <v>15285</v>
      </c>
    </row>
    <row r="1585" spans="1:59" ht="57" x14ac:dyDescent="0.45">
      <c r="A1585" s="2" t="s">
        <v>59</v>
      </c>
      <c r="B1585" s="2" t="s">
        <v>60</v>
      </c>
      <c r="C1585" s="2" t="s">
        <v>15275</v>
      </c>
      <c r="D1585" s="2" t="s">
        <v>15276</v>
      </c>
      <c r="E1585" s="2" t="s">
        <v>15277</v>
      </c>
      <c r="G1585" s="3" t="s">
        <v>62</v>
      </c>
      <c r="I1585" s="3" t="s">
        <v>61</v>
      </c>
      <c r="J1585" s="3" t="s">
        <v>62</v>
      </c>
      <c r="K1585" s="3" t="s">
        <v>63</v>
      </c>
      <c r="L1585" s="2" t="s">
        <v>15278</v>
      </c>
      <c r="M1585" s="2" t="s">
        <v>15279</v>
      </c>
      <c r="N1585" s="3" t="s">
        <v>220</v>
      </c>
      <c r="O1585" s="2" t="s">
        <v>1748</v>
      </c>
      <c r="P1585" s="3" t="s">
        <v>65</v>
      </c>
      <c r="R1585" s="3" t="s">
        <v>66</v>
      </c>
      <c r="S1585" s="4">
        <v>7</v>
      </c>
      <c r="T1585" s="4">
        <v>15</v>
      </c>
      <c r="U1585" s="5" t="s">
        <v>15286</v>
      </c>
      <c r="V1585" s="5" t="s">
        <v>13047</v>
      </c>
      <c r="W1585" s="5" t="s">
        <v>67</v>
      </c>
      <c r="X1585" s="5" t="s">
        <v>67</v>
      </c>
      <c r="Y1585" s="4">
        <v>569</v>
      </c>
      <c r="Z1585" s="4">
        <v>31</v>
      </c>
      <c r="AA1585" s="4">
        <v>33</v>
      </c>
      <c r="AB1585" s="4">
        <v>2</v>
      </c>
      <c r="AC1585" s="4">
        <v>4</v>
      </c>
      <c r="AD1585" s="4">
        <v>119</v>
      </c>
      <c r="AE1585" s="4">
        <v>122</v>
      </c>
      <c r="AF1585" s="4">
        <v>1</v>
      </c>
      <c r="AG1585" s="4">
        <v>3</v>
      </c>
      <c r="AH1585" s="4">
        <v>99</v>
      </c>
      <c r="AI1585" s="4">
        <v>101</v>
      </c>
      <c r="AJ1585" s="4">
        <v>21</v>
      </c>
      <c r="AK1585" s="4">
        <v>23</v>
      </c>
      <c r="AL1585" s="4">
        <v>55</v>
      </c>
      <c r="AM1585" s="4">
        <v>55</v>
      </c>
      <c r="AN1585" s="4">
        <v>0</v>
      </c>
      <c r="AO1585" s="4">
        <v>0</v>
      </c>
      <c r="AP1585" s="4">
        <v>26</v>
      </c>
      <c r="AQ1585" s="4">
        <v>28</v>
      </c>
      <c r="AR1585" s="3" t="s">
        <v>62</v>
      </c>
      <c r="AS1585" s="3" t="s">
        <v>62</v>
      </c>
      <c r="AT1585" s="3" t="s">
        <v>61</v>
      </c>
      <c r="AU1585" s="6" t="str">
        <f>HYPERLINK("http://catalog.hathitrust.org/Record/001180826","HathiTrust Record")</f>
        <v>HathiTrust Record</v>
      </c>
      <c r="AV1585" s="6" t="str">
        <f>HYPERLINK("http://mcgill.on.worldcat.org/oclc/130407","Catalog Record")</f>
        <v>Catalog Record</v>
      </c>
      <c r="AW1585" s="6" t="str">
        <f>HYPERLINK("http://www.worldcat.org/oclc/130407","WorldCat Record")</f>
        <v>WorldCat Record</v>
      </c>
      <c r="AX1585" s="3" t="s">
        <v>15280</v>
      </c>
      <c r="AY1585" s="3" t="s">
        <v>15281</v>
      </c>
      <c r="AZ1585" s="3" t="s">
        <v>15282</v>
      </c>
      <c r="BA1585" s="3" t="s">
        <v>15282</v>
      </c>
      <c r="BB1585" s="3" t="s">
        <v>15287</v>
      </c>
      <c r="BC1585" s="3" t="s">
        <v>142</v>
      </c>
      <c r="BD1585" s="3" t="s">
        <v>68</v>
      </c>
      <c r="BE1585" s="3" t="s">
        <v>15284</v>
      </c>
      <c r="BF1585" s="3" t="s">
        <v>15287</v>
      </c>
      <c r="BG1585" s="3" t="s">
        <v>15288</v>
      </c>
    </row>
    <row r="1586" spans="1:59" ht="57" x14ac:dyDescent="0.45">
      <c r="A1586" s="2" t="s">
        <v>59</v>
      </c>
      <c r="B1586" s="2" t="s">
        <v>60</v>
      </c>
      <c r="C1586" s="2" t="s">
        <v>15289</v>
      </c>
      <c r="D1586" s="2" t="s">
        <v>15290</v>
      </c>
      <c r="E1586" s="2" t="s">
        <v>15291</v>
      </c>
      <c r="G1586" s="3" t="s">
        <v>62</v>
      </c>
      <c r="I1586" s="3" t="s">
        <v>61</v>
      </c>
      <c r="J1586" s="3" t="s">
        <v>62</v>
      </c>
      <c r="K1586" s="3" t="s">
        <v>63</v>
      </c>
      <c r="M1586" s="2" t="s">
        <v>15292</v>
      </c>
      <c r="N1586" s="3" t="s">
        <v>220</v>
      </c>
      <c r="P1586" s="3" t="s">
        <v>65</v>
      </c>
      <c r="R1586" s="3" t="s">
        <v>66</v>
      </c>
      <c r="S1586" s="4">
        <v>7</v>
      </c>
      <c r="T1586" s="4">
        <v>13</v>
      </c>
      <c r="U1586" s="5" t="s">
        <v>15293</v>
      </c>
      <c r="V1586" s="5" t="s">
        <v>13047</v>
      </c>
      <c r="W1586" s="5" t="s">
        <v>67</v>
      </c>
      <c r="X1586" s="5" t="s">
        <v>67</v>
      </c>
      <c r="Y1586" s="4">
        <v>291</v>
      </c>
      <c r="Z1586" s="4">
        <v>23</v>
      </c>
      <c r="AA1586" s="4">
        <v>24</v>
      </c>
      <c r="AB1586" s="4">
        <v>2</v>
      </c>
      <c r="AC1586" s="4">
        <v>3</v>
      </c>
      <c r="AD1586" s="4">
        <v>94</v>
      </c>
      <c r="AE1586" s="4">
        <v>95</v>
      </c>
      <c r="AF1586" s="4">
        <v>1</v>
      </c>
      <c r="AG1586" s="4">
        <v>2</v>
      </c>
      <c r="AH1586" s="4">
        <v>82</v>
      </c>
      <c r="AI1586" s="4">
        <v>83</v>
      </c>
      <c r="AJ1586" s="4">
        <v>17</v>
      </c>
      <c r="AK1586" s="4">
        <v>18</v>
      </c>
      <c r="AL1586" s="4">
        <v>46</v>
      </c>
      <c r="AM1586" s="4">
        <v>46</v>
      </c>
      <c r="AN1586" s="4">
        <v>0</v>
      </c>
      <c r="AO1586" s="4">
        <v>0</v>
      </c>
      <c r="AP1586" s="4">
        <v>18</v>
      </c>
      <c r="AQ1586" s="4">
        <v>19</v>
      </c>
      <c r="AR1586" s="3" t="s">
        <v>62</v>
      </c>
      <c r="AS1586" s="3" t="s">
        <v>62</v>
      </c>
      <c r="AT1586" s="3" t="s">
        <v>61</v>
      </c>
      <c r="AU1586" s="6" t="str">
        <f>HYPERLINK("http://catalog.hathitrust.org/Record/001180827","HathiTrust Record")</f>
        <v>HathiTrust Record</v>
      </c>
      <c r="AV1586" s="6" t="str">
        <f>HYPERLINK("http://mcgill.on.worldcat.org/oclc/219938","Catalog Record")</f>
        <v>Catalog Record</v>
      </c>
      <c r="AW1586" s="6" t="str">
        <f>HYPERLINK("http://www.worldcat.org/oclc/219938","WorldCat Record")</f>
        <v>WorldCat Record</v>
      </c>
      <c r="AX1586" s="3" t="s">
        <v>15294</v>
      </c>
      <c r="AY1586" s="3" t="s">
        <v>15295</v>
      </c>
      <c r="AZ1586" s="3" t="s">
        <v>15296</v>
      </c>
      <c r="BA1586" s="3" t="s">
        <v>15296</v>
      </c>
      <c r="BB1586" s="3" t="s">
        <v>15297</v>
      </c>
      <c r="BC1586" s="3" t="s">
        <v>142</v>
      </c>
      <c r="BD1586" s="3" t="s">
        <v>68</v>
      </c>
      <c r="BE1586" s="3" t="s">
        <v>15298</v>
      </c>
      <c r="BF1586" s="3" t="s">
        <v>15297</v>
      </c>
      <c r="BG1586" s="3" t="s">
        <v>15299</v>
      </c>
    </row>
    <row r="1587" spans="1:59" ht="57" x14ac:dyDescent="0.45">
      <c r="A1587" s="2" t="s">
        <v>59</v>
      </c>
      <c r="B1587" s="2" t="s">
        <v>60</v>
      </c>
      <c r="C1587" s="2" t="s">
        <v>15289</v>
      </c>
      <c r="D1587" s="2" t="s">
        <v>15290</v>
      </c>
      <c r="E1587" s="2" t="s">
        <v>15291</v>
      </c>
      <c r="G1587" s="3" t="s">
        <v>62</v>
      </c>
      <c r="I1587" s="3" t="s">
        <v>61</v>
      </c>
      <c r="J1587" s="3" t="s">
        <v>62</v>
      </c>
      <c r="K1587" s="3" t="s">
        <v>63</v>
      </c>
      <c r="M1587" s="2" t="s">
        <v>15292</v>
      </c>
      <c r="N1587" s="3" t="s">
        <v>220</v>
      </c>
      <c r="P1587" s="3" t="s">
        <v>65</v>
      </c>
      <c r="R1587" s="3" t="s">
        <v>66</v>
      </c>
      <c r="S1587" s="4">
        <v>6</v>
      </c>
      <c r="T1587" s="4">
        <v>13</v>
      </c>
      <c r="U1587" s="5" t="s">
        <v>13047</v>
      </c>
      <c r="V1587" s="5" t="s">
        <v>13047</v>
      </c>
      <c r="W1587" s="5" t="s">
        <v>67</v>
      </c>
      <c r="X1587" s="5" t="s">
        <v>67</v>
      </c>
      <c r="Y1587" s="4">
        <v>291</v>
      </c>
      <c r="Z1587" s="4">
        <v>23</v>
      </c>
      <c r="AA1587" s="4">
        <v>24</v>
      </c>
      <c r="AB1587" s="4">
        <v>2</v>
      </c>
      <c r="AC1587" s="4">
        <v>3</v>
      </c>
      <c r="AD1587" s="4">
        <v>94</v>
      </c>
      <c r="AE1587" s="4">
        <v>95</v>
      </c>
      <c r="AF1587" s="4">
        <v>1</v>
      </c>
      <c r="AG1587" s="4">
        <v>2</v>
      </c>
      <c r="AH1587" s="4">
        <v>82</v>
      </c>
      <c r="AI1587" s="4">
        <v>83</v>
      </c>
      <c r="AJ1587" s="4">
        <v>17</v>
      </c>
      <c r="AK1587" s="4">
        <v>18</v>
      </c>
      <c r="AL1587" s="4">
        <v>46</v>
      </c>
      <c r="AM1587" s="4">
        <v>46</v>
      </c>
      <c r="AN1587" s="4">
        <v>0</v>
      </c>
      <c r="AO1587" s="4">
        <v>0</v>
      </c>
      <c r="AP1587" s="4">
        <v>18</v>
      </c>
      <c r="AQ1587" s="4">
        <v>19</v>
      </c>
      <c r="AR1587" s="3" t="s">
        <v>62</v>
      </c>
      <c r="AS1587" s="3" t="s">
        <v>62</v>
      </c>
      <c r="AT1587" s="3" t="s">
        <v>61</v>
      </c>
      <c r="AU1587" s="6" t="str">
        <f>HYPERLINK("http://catalog.hathitrust.org/Record/001180827","HathiTrust Record")</f>
        <v>HathiTrust Record</v>
      </c>
      <c r="AV1587" s="6" t="str">
        <f>HYPERLINK("http://mcgill.on.worldcat.org/oclc/219938","Catalog Record")</f>
        <v>Catalog Record</v>
      </c>
      <c r="AW1587" s="6" t="str">
        <f>HYPERLINK("http://www.worldcat.org/oclc/219938","WorldCat Record")</f>
        <v>WorldCat Record</v>
      </c>
      <c r="AX1587" s="3" t="s">
        <v>15294</v>
      </c>
      <c r="AY1587" s="3" t="s">
        <v>15295</v>
      </c>
      <c r="AZ1587" s="3" t="s">
        <v>15296</v>
      </c>
      <c r="BA1587" s="3" t="s">
        <v>15296</v>
      </c>
      <c r="BB1587" s="3" t="s">
        <v>15300</v>
      </c>
      <c r="BC1587" s="3" t="s">
        <v>142</v>
      </c>
      <c r="BD1587" s="3" t="s">
        <v>68</v>
      </c>
      <c r="BE1587" s="3" t="s">
        <v>15298</v>
      </c>
      <c r="BF1587" s="3" t="s">
        <v>15300</v>
      </c>
      <c r="BG1587" s="3" t="s">
        <v>15301</v>
      </c>
    </row>
    <row r="1588" spans="1:59" ht="57" x14ac:dyDescent="0.45">
      <c r="A1588" s="2" t="s">
        <v>59</v>
      </c>
      <c r="B1588" s="2" t="s">
        <v>60</v>
      </c>
      <c r="C1588" s="2" t="s">
        <v>15302</v>
      </c>
      <c r="D1588" s="2" t="s">
        <v>15303</v>
      </c>
      <c r="E1588" s="2" t="s">
        <v>15304</v>
      </c>
      <c r="G1588" s="3" t="s">
        <v>62</v>
      </c>
      <c r="I1588" s="3" t="s">
        <v>62</v>
      </c>
      <c r="J1588" s="3" t="s">
        <v>62</v>
      </c>
      <c r="K1588" s="3" t="s">
        <v>63</v>
      </c>
      <c r="L1588" s="2" t="s">
        <v>15305</v>
      </c>
      <c r="M1588" s="2" t="s">
        <v>15306</v>
      </c>
      <c r="N1588" s="3" t="s">
        <v>495</v>
      </c>
      <c r="P1588" s="3" t="s">
        <v>65</v>
      </c>
      <c r="Q1588" s="2" t="s">
        <v>15307</v>
      </c>
      <c r="R1588" s="3" t="s">
        <v>66</v>
      </c>
      <c r="S1588" s="4">
        <v>17</v>
      </c>
      <c r="T1588" s="4">
        <v>17</v>
      </c>
      <c r="U1588" s="5" t="s">
        <v>13047</v>
      </c>
      <c r="V1588" s="5" t="s">
        <v>13047</v>
      </c>
      <c r="W1588" s="5" t="s">
        <v>67</v>
      </c>
      <c r="X1588" s="5" t="s">
        <v>67</v>
      </c>
      <c r="Y1588" s="4">
        <v>363</v>
      </c>
      <c r="Z1588" s="4">
        <v>26</v>
      </c>
      <c r="AA1588" s="4">
        <v>27</v>
      </c>
      <c r="AB1588" s="4">
        <v>2</v>
      </c>
      <c r="AC1588" s="4">
        <v>3</v>
      </c>
      <c r="AD1588" s="4">
        <v>107</v>
      </c>
      <c r="AE1588" s="4">
        <v>109</v>
      </c>
      <c r="AF1588" s="4">
        <v>1</v>
      </c>
      <c r="AG1588" s="4">
        <v>2</v>
      </c>
      <c r="AH1588" s="4">
        <v>93</v>
      </c>
      <c r="AI1588" s="4">
        <v>95</v>
      </c>
      <c r="AJ1588" s="4">
        <v>20</v>
      </c>
      <c r="AK1588" s="4">
        <v>21</v>
      </c>
      <c r="AL1588" s="4">
        <v>48</v>
      </c>
      <c r="AM1588" s="4">
        <v>48</v>
      </c>
      <c r="AN1588" s="4">
        <v>0</v>
      </c>
      <c r="AO1588" s="4">
        <v>0</v>
      </c>
      <c r="AP1588" s="4">
        <v>21</v>
      </c>
      <c r="AQ1588" s="4">
        <v>22</v>
      </c>
      <c r="AR1588" s="3" t="s">
        <v>62</v>
      </c>
      <c r="AS1588" s="3" t="s">
        <v>62</v>
      </c>
      <c r="AT1588" s="3" t="s">
        <v>61</v>
      </c>
      <c r="AU1588" s="6" t="str">
        <f>HYPERLINK("http://catalog.hathitrust.org/Record/000035354","HathiTrust Record")</f>
        <v>HathiTrust Record</v>
      </c>
      <c r="AV1588" s="6" t="str">
        <f>HYPERLINK("http://mcgill.on.worldcat.org/oclc/1501972","Catalog Record")</f>
        <v>Catalog Record</v>
      </c>
      <c r="AW1588" s="6" t="str">
        <f>HYPERLINK("http://www.worldcat.org/oclc/1501972","WorldCat Record")</f>
        <v>WorldCat Record</v>
      </c>
      <c r="AX1588" s="3" t="s">
        <v>15308</v>
      </c>
      <c r="AY1588" s="3" t="s">
        <v>15309</v>
      </c>
      <c r="AZ1588" s="3" t="s">
        <v>15310</v>
      </c>
      <c r="BA1588" s="3" t="s">
        <v>15310</v>
      </c>
      <c r="BB1588" s="3" t="s">
        <v>15311</v>
      </c>
      <c r="BC1588" s="3" t="s">
        <v>142</v>
      </c>
      <c r="BD1588" s="3" t="s">
        <v>68</v>
      </c>
      <c r="BE1588" s="3" t="s">
        <v>15312</v>
      </c>
      <c r="BF1588" s="3" t="s">
        <v>15311</v>
      </c>
      <c r="BG1588" s="3" t="s">
        <v>15313</v>
      </c>
    </row>
    <row r="1589" spans="1:59" ht="57" x14ac:dyDescent="0.45">
      <c r="A1589" s="2" t="s">
        <v>59</v>
      </c>
      <c r="B1589" s="2" t="s">
        <v>60</v>
      </c>
      <c r="C1589" s="2" t="s">
        <v>15314</v>
      </c>
      <c r="D1589" s="2" t="s">
        <v>15315</v>
      </c>
      <c r="E1589" s="2" t="s">
        <v>15316</v>
      </c>
      <c r="G1589" s="3" t="s">
        <v>62</v>
      </c>
      <c r="I1589" s="3" t="s">
        <v>62</v>
      </c>
      <c r="J1589" s="3" t="s">
        <v>62</v>
      </c>
      <c r="K1589" s="3" t="s">
        <v>63</v>
      </c>
      <c r="L1589" s="2" t="s">
        <v>15317</v>
      </c>
      <c r="M1589" s="2" t="s">
        <v>15318</v>
      </c>
      <c r="N1589" s="3" t="s">
        <v>958</v>
      </c>
      <c r="P1589" s="3" t="s">
        <v>65</v>
      </c>
      <c r="R1589" s="3" t="s">
        <v>66</v>
      </c>
      <c r="S1589" s="4">
        <v>34</v>
      </c>
      <c r="T1589" s="4">
        <v>34</v>
      </c>
      <c r="U1589" s="5" t="s">
        <v>13047</v>
      </c>
      <c r="V1589" s="5" t="s">
        <v>13047</v>
      </c>
      <c r="W1589" s="5" t="s">
        <v>67</v>
      </c>
      <c r="X1589" s="5" t="s">
        <v>67</v>
      </c>
      <c r="Y1589" s="4">
        <v>498</v>
      </c>
      <c r="Z1589" s="4">
        <v>21</v>
      </c>
      <c r="AA1589" s="4">
        <v>119</v>
      </c>
      <c r="AB1589" s="4">
        <v>2</v>
      </c>
      <c r="AC1589" s="4">
        <v>17</v>
      </c>
      <c r="AD1589" s="4">
        <v>110</v>
      </c>
      <c r="AE1589" s="4">
        <v>150</v>
      </c>
      <c r="AF1589" s="4">
        <v>1</v>
      </c>
      <c r="AG1589" s="4">
        <v>8</v>
      </c>
      <c r="AH1589" s="4">
        <v>99</v>
      </c>
      <c r="AI1589" s="4">
        <v>111</v>
      </c>
      <c r="AJ1589" s="4">
        <v>15</v>
      </c>
      <c r="AK1589" s="4">
        <v>23</v>
      </c>
      <c r="AL1589" s="4">
        <v>51</v>
      </c>
      <c r="AM1589" s="4">
        <v>56</v>
      </c>
      <c r="AN1589" s="4">
        <v>0</v>
      </c>
      <c r="AO1589" s="4">
        <v>0</v>
      </c>
      <c r="AP1589" s="4">
        <v>19</v>
      </c>
      <c r="AQ1589" s="4">
        <v>49</v>
      </c>
      <c r="AR1589" s="3" t="s">
        <v>62</v>
      </c>
      <c r="AS1589" s="3" t="s">
        <v>62</v>
      </c>
      <c r="AT1589" s="3" t="s">
        <v>61</v>
      </c>
      <c r="AU1589" s="6" t="str">
        <f>HYPERLINK("http://catalog.hathitrust.org/Record/002993959","HathiTrust Record")</f>
        <v>HathiTrust Record</v>
      </c>
      <c r="AV1589" s="6" t="str">
        <f>HYPERLINK("http://mcgill.on.worldcat.org/oclc/30779159","Catalog Record")</f>
        <v>Catalog Record</v>
      </c>
      <c r="AW1589" s="6" t="str">
        <f>HYPERLINK("http://www.worldcat.org/oclc/30779159","WorldCat Record")</f>
        <v>WorldCat Record</v>
      </c>
      <c r="AX1589" s="3" t="s">
        <v>15319</v>
      </c>
      <c r="AY1589" s="3" t="s">
        <v>15320</v>
      </c>
      <c r="AZ1589" s="3" t="s">
        <v>15321</v>
      </c>
      <c r="BA1589" s="3" t="s">
        <v>15321</v>
      </c>
      <c r="BB1589" s="3" t="s">
        <v>15322</v>
      </c>
      <c r="BC1589" s="3" t="s">
        <v>142</v>
      </c>
      <c r="BD1589" s="3" t="s">
        <v>68</v>
      </c>
      <c r="BE1589" s="3" t="s">
        <v>15323</v>
      </c>
      <c r="BF1589" s="3" t="s">
        <v>15322</v>
      </c>
      <c r="BG1589" s="3" t="s">
        <v>15324</v>
      </c>
    </row>
    <row r="1590" spans="1:59" ht="57" x14ac:dyDescent="0.45">
      <c r="A1590" s="2" t="s">
        <v>59</v>
      </c>
      <c r="B1590" s="2" t="s">
        <v>60</v>
      </c>
      <c r="C1590" s="2" t="s">
        <v>15325</v>
      </c>
      <c r="D1590" s="2" t="s">
        <v>15326</v>
      </c>
      <c r="E1590" s="2" t="s">
        <v>15327</v>
      </c>
      <c r="G1590" s="3" t="s">
        <v>62</v>
      </c>
      <c r="I1590" s="3" t="s">
        <v>62</v>
      </c>
      <c r="J1590" s="3" t="s">
        <v>62</v>
      </c>
      <c r="K1590" s="3" t="s">
        <v>63</v>
      </c>
      <c r="M1590" s="2" t="s">
        <v>14074</v>
      </c>
      <c r="N1590" s="3" t="s">
        <v>894</v>
      </c>
      <c r="P1590" s="3" t="s">
        <v>65</v>
      </c>
      <c r="R1590" s="3" t="s">
        <v>66</v>
      </c>
      <c r="S1590" s="4">
        <v>8</v>
      </c>
      <c r="T1590" s="4">
        <v>8</v>
      </c>
      <c r="U1590" s="5" t="s">
        <v>5262</v>
      </c>
      <c r="V1590" s="5" t="s">
        <v>5262</v>
      </c>
      <c r="W1590" s="5" t="s">
        <v>67</v>
      </c>
      <c r="X1590" s="5" t="s">
        <v>67</v>
      </c>
      <c r="Y1590" s="4">
        <v>285</v>
      </c>
      <c r="Z1590" s="4">
        <v>24</v>
      </c>
      <c r="AA1590" s="4">
        <v>28</v>
      </c>
      <c r="AB1590" s="4">
        <v>1</v>
      </c>
      <c r="AC1590" s="4">
        <v>5</v>
      </c>
      <c r="AD1590" s="4">
        <v>89</v>
      </c>
      <c r="AE1590" s="4">
        <v>93</v>
      </c>
      <c r="AF1590" s="4">
        <v>0</v>
      </c>
      <c r="AG1590" s="4">
        <v>2</v>
      </c>
      <c r="AH1590" s="4">
        <v>80</v>
      </c>
      <c r="AI1590" s="4">
        <v>83</v>
      </c>
      <c r="AJ1590" s="4">
        <v>15</v>
      </c>
      <c r="AK1590" s="4">
        <v>17</v>
      </c>
      <c r="AL1590" s="4">
        <v>44</v>
      </c>
      <c r="AM1590" s="4">
        <v>45</v>
      </c>
      <c r="AN1590" s="4">
        <v>0</v>
      </c>
      <c r="AO1590" s="4">
        <v>0</v>
      </c>
      <c r="AP1590" s="4">
        <v>19</v>
      </c>
      <c r="AQ1590" s="4">
        <v>21</v>
      </c>
      <c r="AR1590" s="3" t="s">
        <v>62</v>
      </c>
      <c r="AS1590" s="3" t="s">
        <v>62</v>
      </c>
      <c r="AT1590" s="3" t="s">
        <v>62</v>
      </c>
      <c r="AV1590" s="6" t="str">
        <f>HYPERLINK("http://mcgill.on.worldcat.org/oclc/731216190","Catalog Record")</f>
        <v>Catalog Record</v>
      </c>
      <c r="AW1590" s="6" t="str">
        <f>HYPERLINK("http://www.worldcat.org/oclc/731216190","WorldCat Record")</f>
        <v>WorldCat Record</v>
      </c>
      <c r="AX1590" s="3" t="s">
        <v>15328</v>
      </c>
      <c r="AY1590" s="3" t="s">
        <v>15329</v>
      </c>
      <c r="AZ1590" s="3" t="s">
        <v>15330</v>
      </c>
      <c r="BA1590" s="3" t="s">
        <v>15330</v>
      </c>
      <c r="BB1590" s="3" t="s">
        <v>15331</v>
      </c>
      <c r="BC1590" s="3" t="s">
        <v>142</v>
      </c>
      <c r="BD1590" s="3" t="s">
        <v>68</v>
      </c>
      <c r="BE1590" s="3" t="s">
        <v>15332</v>
      </c>
      <c r="BF1590" s="3" t="s">
        <v>15331</v>
      </c>
      <c r="BG1590" s="3" t="s">
        <v>15333</v>
      </c>
    </row>
    <row r="1591" spans="1:59" ht="71.25" x14ac:dyDescent="0.45">
      <c r="A1591" s="2" t="s">
        <v>59</v>
      </c>
      <c r="B1591" s="2" t="s">
        <v>60</v>
      </c>
      <c r="C1591" s="2" t="s">
        <v>15334</v>
      </c>
      <c r="D1591" s="2" t="s">
        <v>15335</v>
      </c>
      <c r="E1591" s="2" t="s">
        <v>15336</v>
      </c>
      <c r="G1591" s="3" t="s">
        <v>62</v>
      </c>
      <c r="I1591" s="3" t="s">
        <v>62</v>
      </c>
      <c r="J1591" s="3" t="s">
        <v>62</v>
      </c>
      <c r="K1591" s="3" t="s">
        <v>63</v>
      </c>
      <c r="M1591" s="2" t="s">
        <v>15337</v>
      </c>
      <c r="N1591" s="3" t="s">
        <v>149</v>
      </c>
      <c r="P1591" s="3" t="s">
        <v>65</v>
      </c>
      <c r="R1591" s="3" t="s">
        <v>66</v>
      </c>
      <c r="S1591" s="4">
        <v>4</v>
      </c>
      <c r="T1591" s="4">
        <v>4</v>
      </c>
      <c r="U1591" s="5" t="s">
        <v>843</v>
      </c>
      <c r="V1591" s="5" t="s">
        <v>843</v>
      </c>
      <c r="W1591" s="5" t="s">
        <v>67</v>
      </c>
      <c r="X1591" s="5" t="s">
        <v>67</v>
      </c>
      <c r="Y1591" s="4">
        <v>106</v>
      </c>
      <c r="Z1591" s="4">
        <v>9</v>
      </c>
      <c r="AA1591" s="4">
        <v>9</v>
      </c>
      <c r="AB1591" s="4">
        <v>1</v>
      </c>
      <c r="AC1591" s="4">
        <v>1</v>
      </c>
      <c r="AD1591" s="4">
        <v>41</v>
      </c>
      <c r="AE1591" s="4">
        <v>41</v>
      </c>
      <c r="AF1591" s="4">
        <v>0</v>
      </c>
      <c r="AG1591" s="4">
        <v>0</v>
      </c>
      <c r="AH1591" s="4">
        <v>38</v>
      </c>
      <c r="AI1591" s="4">
        <v>38</v>
      </c>
      <c r="AJ1591" s="4">
        <v>6</v>
      </c>
      <c r="AK1591" s="4">
        <v>6</v>
      </c>
      <c r="AL1591" s="4">
        <v>22</v>
      </c>
      <c r="AM1591" s="4">
        <v>22</v>
      </c>
      <c r="AN1591" s="4">
        <v>0</v>
      </c>
      <c r="AO1591" s="4">
        <v>0</v>
      </c>
      <c r="AP1591" s="4">
        <v>7</v>
      </c>
      <c r="AQ1591" s="4">
        <v>7</v>
      </c>
      <c r="AR1591" s="3" t="s">
        <v>62</v>
      </c>
      <c r="AS1591" s="3" t="s">
        <v>62</v>
      </c>
      <c r="AT1591" s="3" t="s">
        <v>62</v>
      </c>
      <c r="AV1591" s="6" t="str">
        <f>HYPERLINK("http://mcgill.on.worldcat.org/oclc/641998720","Catalog Record")</f>
        <v>Catalog Record</v>
      </c>
      <c r="AW1591" s="6" t="str">
        <f>HYPERLINK("http://www.worldcat.org/oclc/641998720","WorldCat Record")</f>
        <v>WorldCat Record</v>
      </c>
      <c r="AX1591" s="3" t="s">
        <v>15338</v>
      </c>
      <c r="AY1591" s="3" t="s">
        <v>15339</v>
      </c>
      <c r="AZ1591" s="3" t="s">
        <v>15340</v>
      </c>
      <c r="BA1591" s="3" t="s">
        <v>15340</v>
      </c>
      <c r="BB1591" s="3" t="s">
        <v>15341</v>
      </c>
      <c r="BC1591" s="3" t="s">
        <v>142</v>
      </c>
      <c r="BD1591" s="3" t="s">
        <v>68</v>
      </c>
      <c r="BE1591" s="3" t="s">
        <v>15342</v>
      </c>
      <c r="BF1591" s="3" t="s">
        <v>15341</v>
      </c>
      <c r="BG1591" s="3" t="s">
        <v>15343</v>
      </c>
    </row>
    <row r="1592" spans="1:59" ht="57" x14ac:dyDescent="0.45">
      <c r="A1592" s="2" t="s">
        <v>59</v>
      </c>
      <c r="B1592" s="2" t="s">
        <v>60</v>
      </c>
      <c r="C1592" s="2" t="s">
        <v>15344</v>
      </c>
      <c r="D1592" s="2" t="s">
        <v>15345</v>
      </c>
      <c r="E1592" s="2" t="s">
        <v>15346</v>
      </c>
      <c r="G1592" s="3" t="s">
        <v>62</v>
      </c>
      <c r="I1592" s="3" t="s">
        <v>62</v>
      </c>
      <c r="J1592" s="3" t="s">
        <v>62</v>
      </c>
      <c r="K1592" s="3" t="s">
        <v>63</v>
      </c>
      <c r="M1592" s="2" t="s">
        <v>15347</v>
      </c>
      <c r="N1592" s="3" t="s">
        <v>542</v>
      </c>
      <c r="P1592" s="3" t="s">
        <v>65</v>
      </c>
      <c r="Q1592" s="2" t="s">
        <v>15348</v>
      </c>
      <c r="R1592" s="3" t="s">
        <v>66</v>
      </c>
      <c r="S1592" s="4">
        <v>9</v>
      </c>
      <c r="T1592" s="4">
        <v>9</v>
      </c>
      <c r="U1592" s="5" t="s">
        <v>15349</v>
      </c>
      <c r="V1592" s="5" t="s">
        <v>15349</v>
      </c>
      <c r="W1592" s="5" t="s">
        <v>67</v>
      </c>
      <c r="X1592" s="5" t="s">
        <v>67</v>
      </c>
      <c r="Y1592" s="4">
        <v>198</v>
      </c>
      <c r="Z1592" s="4">
        <v>9</v>
      </c>
      <c r="AA1592" s="4">
        <v>18</v>
      </c>
      <c r="AB1592" s="4">
        <v>3</v>
      </c>
      <c r="AC1592" s="4">
        <v>6</v>
      </c>
      <c r="AD1592" s="4">
        <v>80</v>
      </c>
      <c r="AE1592" s="4">
        <v>87</v>
      </c>
      <c r="AF1592" s="4">
        <v>1</v>
      </c>
      <c r="AG1592" s="4">
        <v>1</v>
      </c>
      <c r="AH1592" s="4">
        <v>76</v>
      </c>
      <c r="AI1592" s="4">
        <v>80</v>
      </c>
      <c r="AJ1592" s="4">
        <v>7</v>
      </c>
      <c r="AK1592" s="4">
        <v>12</v>
      </c>
      <c r="AL1592" s="4">
        <v>45</v>
      </c>
      <c r="AM1592" s="4">
        <v>47</v>
      </c>
      <c r="AN1592" s="4">
        <v>0</v>
      </c>
      <c r="AO1592" s="4">
        <v>0</v>
      </c>
      <c r="AP1592" s="4">
        <v>7</v>
      </c>
      <c r="AQ1592" s="4">
        <v>12</v>
      </c>
      <c r="AR1592" s="3" t="s">
        <v>62</v>
      </c>
      <c r="AS1592" s="3" t="s">
        <v>62</v>
      </c>
      <c r="AT1592" s="3" t="s">
        <v>61</v>
      </c>
      <c r="AU1592" s="6" t="str">
        <f>HYPERLINK("http://catalog.hathitrust.org/Record/004198981","HathiTrust Record")</f>
        <v>HathiTrust Record</v>
      </c>
      <c r="AV1592" s="6" t="str">
        <f>HYPERLINK("http://mcgill.on.worldcat.org/oclc/43969000","Catalog Record")</f>
        <v>Catalog Record</v>
      </c>
      <c r="AW1592" s="6" t="str">
        <f>HYPERLINK("http://www.worldcat.org/oclc/43969000","WorldCat Record")</f>
        <v>WorldCat Record</v>
      </c>
      <c r="AX1592" s="3" t="s">
        <v>15350</v>
      </c>
      <c r="AY1592" s="3" t="s">
        <v>15351</v>
      </c>
      <c r="AZ1592" s="3" t="s">
        <v>15352</v>
      </c>
      <c r="BA1592" s="3" t="s">
        <v>15352</v>
      </c>
      <c r="BB1592" s="3" t="s">
        <v>15353</v>
      </c>
      <c r="BC1592" s="3" t="s">
        <v>142</v>
      </c>
      <c r="BD1592" s="3" t="s">
        <v>68</v>
      </c>
      <c r="BE1592" s="3" t="s">
        <v>15354</v>
      </c>
      <c r="BF1592" s="3" t="s">
        <v>15353</v>
      </c>
      <c r="BG1592" s="3" t="s">
        <v>15355</v>
      </c>
    </row>
    <row r="1593" spans="1:59" ht="71.25" x14ac:dyDescent="0.45">
      <c r="A1593" s="2" t="s">
        <v>59</v>
      </c>
      <c r="B1593" s="2" t="s">
        <v>60</v>
      </c>
      <c r="C1593" s="2" t="s">
        <v>15356</v>
      </c>
      <c r="D1593" s="2" t="s">
        <v>15357</v>
      </c>
      <c r="E1593" s="2" t="s">
        <v>15358</v>
      </c>
      <c r="G1593" s="3" t="s">
        <v>62</v>
      </c>
      <c r="I1593" s="3" t="s">
        <v>62</v>
      </c>
      <c r="J1593" s="3" t="s">
        <v>62</v>
      </c>
      <c r="K1593" s="3" t="s">
        <v>63</v>
      </c>
      <c r="L1593" s="2" t="s">
        <v>15359</v>
      </c>
      <c r="M1593" s="2" t="s">
        <v>15360</v>
      </c>
      <c r="N1593" s="3" t="s">
        <v>1918</v>
      </c>
      <c r="P1593" s="3" t="s">
        <v>65</v>
      </c>
      <c r="R1593" s="3" t="s">
        <v>66</v>
      </c>
      <c r="S1593" s="4">
        <v>0</v>
      </c>
      <c r="T1593" s="4">
        <v>0</v>
      </c>
      <c r="W1593" s="5" t="s">
        <v>67</v>
      </c>
      <c r="X1593" s="5" t="s">
        <v>67</v>
      </c>
      <c r="Y1593" s="4">
        <v>70</v>
      </c>
      <c r="Z1593" s="4">
        <v>5</v>
      </c>
      <c r="AA1593" s="4">
        <v>9</v>
      </c>
      <c r="AB1593" s="4">
        <v>1</v>
      </c>
      <c r="AC1593" s="4">
        <v>3</v>
      </c>
      <c r="AD1593" s="4">
        <v>34</v>
      </c>
      <c r="AE1593" s="4">
        <v>36</v>
      </c>
      <c r="AF1593" s="4">
        <v>0</v>
      </c>
      <c r="AG1593" s="4">
        <v>0</v>
      </c>
      <c r="AH1593" s="4">
        <v>31</v>
      </c>
      <c r="AI1593" s="4">
        <v>31</v>
      </c>
      <c r="AJ1593" s="4">
        <v>3</v>
      </c>
      <c r="AK1593" s="4">
        <v>4</v>
      </c>
      <c r="AL1593" s="4">
        <v>23</v>
      </c>
      <c r="AM1593" s="4">
        <v>23</v>
      </c>
      <c r="AN1593" s="4">
        <v>0</v>
      </c>
      <c r="AO1593" s="4">
        <v>0</v>
      </c>
      <c r="AP1593" s="4">
        <v>4</v>
      </c>
      <c r="AQ1593" s="4">
        <v>6</v>
      </c>
      <c r="AR1593" s="3" t="s">
        <v>62</v>
      </c>
      <c r="AS1593" s="3" t="s">
        <v>62</v>
      </c>
      <c r="AT1593" s="3" t="s">
        <v>62</v>
      </c>
      <c r="AV1593" s="6" t="str">
        <f>HYPERLINK("http://mcgill.on.worldcat.org/oclc/979568215","Catalog Record")</f>
        <v>Catalog Record</v>
      </c>
      <c r="AW1593" s="6" t="str">
        <f>HYPERLINK("http://www.worldcat.org/oclc/979568215","WorldCat Record")</f>
        <v>WorldCat Record</v>
      </c>
      <c r="AX1593" s="3" t="s">
        <v>15361</v>
      </c>
      <c r="AY1593" s="3" t="s">
        <v>15362</v>
      </c>
      <c r="AZ1593" s="3" t="s">
        <v>15363</v>
      </c>
      <c r="BA1593" s="3" t="s">
        <v>15363</v>
      </c>
      <c r="BB1593" s="3" t="s">
        <v>15364</v>
      </c>
      <c r="BC1593" s="3" t="s">
        <v>142</v>
      </c>
      <c r="BD1593" s="3" t="s">
        <v>68</v>
      </c>
      <c r="BE1593" s="3" t="s">
        <v>15365</v>
      </c>
      <c r="BF1593" s="3" t="s">
        <v>15364</v>
      </c>
      <c r="BG1593" s="3" t="s">
        <v>15366</v>
      </c>
    </row>
    <row r="1594" spans="1:59" ht="57" x14ac:dyDescent="0.45">
      <c r="A1594" s="2" t="s">
        <v>59</v>
      </c>
      <c r="B1594" s="2" t="s">
        <v>60</v>
      </c>
      <c r="C1594" s="2" t="s">
        <v>15367</v>
      </c>
      <c r="D1594" s="2" t="s">
        <v>15368</v>
      </c>
      <c r="E1594" s="2" t="s">
        <v>15369</v>
      </c>
      <c r="G1594" s="3" t="s">
        <v>62</v>
      </c>
      <c r="I1594" s="3" t="s">
        <v>62</v>
      </c>
      <c r="J1594" s="3" t="s">
        <v>62</v>
      </c>
      <c r="K1594" s="3" t="s">
        <v>63</v>
      </c>
      <c r="M1594" s="2" t="s">
        <v>15370</v>
      </c>
      <c r="N1594" s="3" t="s">
        <v>894</v>
      </c>
      <c r="P1594" s="3" t="s">
        <v>65</v>
      </c>
      <c r="R1594" s="3" t="s">
        <v>66</v>
      </c>
      <c r="S1594" s="4">
        <v>0</v>
      </c>
      <c r="T1594" s="4">
        <v>0</v>
      </c>
      <c r="W1594" s="5" t="s">
        <v>67</v>
      </c>
      <c r="X1594" s="5" t="s">
        <v>67</v>
      </c>
      <c r="Y1594" s="4">
        <v>52</v>
      </c>
      <c r="Z1594" s="4">
        <v>9</v>
      </c>
      <c r="AA1594" s="4">
        <v>73</v>
      </c>
      <c r="AB1594" s="4">
        <v>1</v>
      </c>
      <c r="AC1594" s="4">
        <v>14</v>
      </c>
      <c r="AD1594" s="4">
        <v>26</v>
      </c>
      <c r="AE1594" s="4">
        <v>90</v>
      </c>
      <c r="AF1594" s="4">
        <v>0</v>
      </c>
      <c r="AG1594" s="4">
        <v>8</v>
      </c>
      <c r="AH1594" s="4">
        <v>25</v>
      </c>
      <c r="AI1594" s="4">
        <v>60</v>
      </c>
      <c r="AJ1594" s="4">
        <v>7</v>
      </c>
      <c r="AK1594" s="4">
        <v>18</v>
      </c>
      <c r="AL1594" s="4">
        <v>16</v>
      </c>
      <c r="AM1594" s="4">
        <v>32</v>
      </c>
      <c r="AN1594" s="4">
        <v>0</v>
      </c>
      <c r="AO1594" s="4">
        <v>0</v>
      </c>
      <c r="AP1594" s="4">
        <v>8</v>
      </c>
      <c r="AQ1594" s="4">
        <v>38</v>
      </c>
      <c r="AR1594" s="3" t="s">
        <v>62</v>
      </c>
      <c r="AS1594" s="3" t="s">
        <v>62</v>
      </c>
      <c r="AT1594" s="3" t="s">
        <v>62</v>
      </c>
      <c r="AV1594" s="6" t="str">
        <f>HYPERLINK("http://mcgill.on.worldcat.org/oclc/710018857","Catalog Record")</f>
        <v>Catalog Record</v>
      </c>
      <c r="AW1594" s="6" t="str">
        <f>HYPERLINK("http://www.worldcat.org/oclc/710018857","WorldCat Record")</f>
        <v>WorldCat Record</v>
      </c>
      <c r="AX1594" s="3" t="s">
        <v>15371</v>
      </c>
      <c r="AY1594" s="3" t="s">
        <v>15372</v>
      </c>
      <c r="AZ1594" s="3" t="s">
        <v>15373</v>
      </c>
      <c r="BA1594" s="3" t="s">
        <v>15373</v>
      </c>
      <c r="BB1594" s="3" t="s">
        <v>15374</v>
      </c>
      <c r="BC1594" s="3" t="s">
        <v>142</v>
      </c>
      <c r="BD1594" s="3" t="s">
        <v>68</v>
      </c>
      <c r="BE1594" s="3" t="s">
        <v>15375</v>
      </c>
      <c r="BF1594" s="3" t="s">
        <v>15374</v>
      </c>
      <c r="BG1594" s="3" t="s">
        <v>15376</v>
      </c>
    </row>
    <row r="1595" spans="1:59" ht="57" x14ac:dyDescent="0.45">
      <c r="A1595" s="2" t="s">
        <v>59</v>
      </c>
      <c r="B1595" s="2" t="s">
        <v>60</v>
      </c>
      <c r="C1595" s="2" t="s">
        <v>15377</v>
      </c>
      <c r="D1595" s="2" t="s">
        <v>15378</v>
      </c>
      <c r="E1595" s="2" t="s">
        <v>15379</v>
      </c>
      <c r="G1595" s="3" t="s">
        <v>62</v>
      </c>
      <c r="I1595" s="3" t="s">
        <v>62</v>
      </c>
      <c r="J1595" s="3" t="s">
        <v>62</v>
      </c>
      <c r="K1595" s="3" t="s">
        <v>63</v>
      </c>
      <c r="M1595" s="2" t="s">
        <v>15380</v>
      </c>
      <c r="N1595" s="3" t="s">
        <v>116</v>
      </c>
      <c r="P1595" s="3" t="s">
        <v>65</v>
      </c>
      <c r="R1595" s="3" t="s">
        <v>66</v>
      </c>
      <c r="S1595" s="4">
        <v>1</v>
      </c>
      <c r="T1595" s="4">
        <v>1</v>
      </c>
      <c r="W1595" s="5" t="s">
        <v>67</v>
      </c>
      <c r="X1595" s="5" t="s">
        <v>67</v>
      </c>
      <c r="Y1595" s="4">
        <v>116</v>
      </c>
      <c r="Z1595" s="4">
        <v>12</v>
      </c>
      <c r="AA1595" s="4">
        <v>16</v>
      </c>
      <c r="AB1595" s="4">
        <v>1</v>
      </c>
      <c r="AC1595" s="4">
        <v>4</v>
      </c>
      <c r="AD1595" s="4">
        <v>48</v>
      </c>
      <c r="AE1595" s="4">
        <v>50</v>
      </c>
      <c r="AF1595" s="4">
        <v>0</v>
      </c>
      <c r="AG1595" s="4">
        <v>1</v>
      </c>
      <c r="AH1595" s="4">
        <v>44</v>
      </c>
      <c r="AI1595" s="4">
        <v>44</v>
      </c>
      <c r="AJ1595" s="4">
        <v>9</v>
      </c>
      <c r="AK1595" s="4">
        <v>11</v>
      </c>
      <c r="AL1595" s="4">
        <v>29</v>
      </c>
      <c r="AM1595" s="4">
        <v>29</v>
      </c>
      <c r="AN1595" s="4">
        <v>0</v>
      </c>
      <c r="AO1595" s="4">
        <v>0</v>
      </c>
      <c r="AP1595" s="4">
        <v>9</v>
      </c>
      <c r="AQ1595" s="4">
        <v>11</v>
      </c>
      <c r="AR1595" s="3" t="s">
        <v>62</v>
      </c>
      <c r="AS1595" s="3" t="s">
        <v>62</v>
      </c>
      <c r="AT1595" s="3" t="s">
        <v>62</v>
      </c>
      <c r="AV1595" s="6" t="str">
        <f>HYPERLINK("http://mcgill.on.worldcat.org/oclc/874961292","Catalog Record")</f>
        <v>Catalog Record</v>
      </c>
      <c r="AW1595" s="6" t="str">
        <f>HYPERLINK("http://www.worldcat.org/oclc/874961292","WorldCat Record")</f>
        <v>WorldCat Record</v>
      </c>
      <c r="AX1595" s="3" t="s">
        <v>15381</v>
      </c>
      <c r="AY1595" s="3" t="s">
        <v>15382</v>
      </c>
      <c r="AZ1595" s="3" t="s">
        <v>15383</v>
      </c>
      <c r="BA1595" s="3" t="s">
        <v>15383</v>
      </c>
      <c r="BB1595" s="3" t="s">
        <v>15384</v>
      </c>
      <c r="BC1595" s="3" t="s">
        <v>142</v>
      </c>
      <c r="BD1595" s="3" t="s">
        <v>308</v>
      </c>
      <c r="BE1595" s="3" t="s">
        <v>15385</v>
      </c>
      <c r="BF1595" s="3" t="s">
        <v>15384</v>
      </c>
      <c r="BG1595" s="3" t="s">
        <v>15386</v>
      </c>
    </row>
    <row r="1596" spans="1:59" ht="57" x14ac:dyDescent="0.45">
      <c r="A1596" s="2" t="s">
        <v>59</v>
      </c>
      <c r="B1596" s="2" t="s">
        <v>60</v>
      </c>
      <c r="C1596" s="2" t="s">
        <v>15387</v>
      </c>
      <c r="D1596" s="2" t="s">
        <v>15388</v>
      </c>
      <c r="E1596" s="2" t="s">
        <v>15389</v>
      </c>
      <c r="G1596" s="3" t="s">
        <v>62</v>
      </c>
      <c r="I1596" s="3" t="s">
        <v>62</v>
      </c>
      <c r="J1596" s="3" t="s">
        <v>62</v>
      </c>
      <c r="K1596" s="3" t="s">
        <v>63</v>
      </c>
      <c r="L1596" s="2" t="s">
        <v>15390</v>
      </c>
      <c r="M1596" s="2" t="s">
        <v>15391</v>
      </c>
      <c r="N1596" s="3" t="s">
        <v>1155</v>
      </c>
      <c r="O1596" s="2" t="s">
        <v>15392</v>
      </c>
      <c r="P1596" s="3" t="s">
        <v>110</v>
      </c>
      <c r="R1596" s="3" t="s">
        <v>66</v>
      </c>
      <c r="S1596" s="4">
        <v>1</v>
      </c>
      <c r="T1596" s="4">
        <v>1</v>
      </c>
      <c r="U1596" s="5" t="s">
        <v>10639</v>
      </c>
      <c r="V1596" s="5" t="s">
        <v>10639</v>
      </c>
      <c r="W1596" s="5" t="s">
        <v>67</v>
      </c>
      <c r="X1596" s="5" t="s">
        <v>67</v>
      </c>
      <c r="Y1596" s="4">
        <v>12</v>
      </c>
      <c r="Z1596" s="4">
        <v>10</v>
      </c>
      <c r="AA1596" s="4">
        <v>55</v>
      </c>
      <c r="AB1596" s="4">
        <v>6</v>
      </c>
      <c r="AC1596" s="4">
        <v>22</v>
      </c>
      <c r="AD1596" s="4">
        <v>5</v>
      </c>
      <c r="AE1596" s="4">
        <v>35</v>
      </c>
      <c r="AF1596" s="4">
        <v>2</v>
      </c>
      <c r="AG1596" s="4">
        <v>8</v>
      </c>
      <c r="AH1596" s="4">
        <v>1</v>
      </c>
      <c r="AI1596" s="4">
        <v>11</v>
      </c>
      <c r="AJ1596" s="4">
        <v>3</v>
      </c>
      <c r="AK1596" s="4">
        <v>15</v>
      </c>
      <c r="AL1596" s="4">
        <v>0</v>
      </c>
      <c r="AM1596" s="4">
        <v>3</v>
      </c>
      <c r="AN1596" s="4">
        <v>0</v>
      </c>
      <c r="AO1596" s="4">
        <v>0</v>
      </c>
      <c r="AP1596" s="4">
        <v>4</v>
      </c>
      <c r="AQ1596" s="4">
        <v>29</v>
      </c>
      <c r="AR1596" s="3" t="s">
        <v>61</v>
      </c>
      <c r="AS1596" s="3" t="s">
        <v>62</v>
      </c>
      <c r="AT1596" s="3" t="s">
        <v>62</v>
      </c>
      <c r="AV1596" s="6" t="str">
        <f>HYPERLINK("http://mcgill.on.worldcat.org/oclc/811605052","Catalog Record")</f>
        <v>Catalog Record</v>
      </c>
      <c r="AW1596" s="6" t="str">
        <f>HYPERLINK("http://www.worldcat.org/oclc/811605052","WorldCat Record")</f>
        <v>WorldCat Record</v>
      </c>
      <c r="AX1596" s="3" t="s">
        <v>15393</v>
      </c>
      <c r="AY1596" s="3" t="s">
        <v>15394</v>
      </c>
      <c r="AZ1596" s="3" t="s">
        <v>15395</v>
      </c>
      <c r="BA1596" s="3" t="s">
        <v>15395</v>
      </c>
      <c r="BB1596" s="3" t="s">
        <v>15396</v>
      </c>
      <c r="BC1596" s="3" t="s">
        <v>142</v>
      </c>
      <c r="BD1596" s="3" t="s">
        <v>68</v>
      </c>
      <c r="BE1596" s="3" t="s">
        <v>15397</v>
      </c>
      <c r="BF1596" s="3" t="s">
        <v>15396</v>
      </c>
      <c r="BG1596" s="3" t="s">
        <v>15398</v>
      </c>
    </row>
    <row r="1597" spans="1:59" ht="57" x14ac:dyDescent="0.45">
      <c r="A1597" s="2" t="s">
        <v>59</v>
      </c>
      <c r="B1597" s="2" t="s">
        <v>60</v>
      </c>
      <c r="C1597" s="2" t="s">
        <v>15399</v>
      </c>
      <c r="D1597" s="2" t="s">
        <v>15400</v>
      </c>
      <c r="E1597" s="2" t="s">
        <v>15401</v>
      </c>
      <c r="G1597" s="3" t="s">
        <v>62</v>
      </c>
      <c r="I1597" s="3" t="s">
        <v>62</v>
      </c>
      <c r="J1597" s="3" t="s">
        <v>61</v>
      </c>
      <c r="K1597" s="3" t="s">
        <v>63</v>
      </c>
      <c r="M1597" s="2" t="s">
        <v>15402</v>
      </c>
      <c r="N1597" s="3" t="s">
        <v>970</v>
      </c>
      <c r="O1597" s="2" t="s">
        <v>933</v>
      </c>
      <c r="P1597" s="3" t="s">
        <v>65</v>
      </c>
      <c r="R1597" s="3" t="s">
        <v>66</v>
      </c>
      <c r="S1597" s="4">
        <v>29</v>
      </c>
      <c r="T1597" s="4">
        <v>29</v>
      </c>
      <c r="U1597" s="5" t="s">
        <v>7295</v>
      </c>
      <c r="V1597" s="5" t="s">
        <v>7295</v>
      </c>
      <c r="W1597" s="5" t="s">
        <v>67</v>
      </c>
      <c r="X1597" s="5" t="s">
        <v>67</v>
      </c>
      <c r="Y1597" s="4">
        <v>59</v>
      </c>
      <c r="Z1597" s="4">
        <v>52</v>
      </c>
      <c r="AA1597" s="4">
        <v>70</v>
      </c>
      <c r="AB1597" s="4">
        <v>6</v>
      </c>
      <c r="AC1597" s="4">
        <v>9</v>
      </c>
      <c r="AD1597" s="4">
        <v>34</v>
      </c>
      <c r="AE1597" s="4">
        <v>44</v>
      </c>
      <c r="AF1597" s="4">
        <v>2</v>
      </c>
      <c r="AG1597" s="4">
        <v>4</v>
      </c>
      <c r="AH1597" s="4">
        <v>15</v>
      </c>
      <c r="AI1597" s="4">
        <v>18</v>
      </c>
      <c r="AJ1597" s="4">
        <v>18</v>
      </c>
      <c r="AK1597" s="4">
        <v>20</v>
      </c>
      <c r="AL1597" s="4">
        <v>3</v>
      </c>
      <c r="AM1597" s="4">
        <v>4</v>
      </c>
      <c r="AN1597" s="4">
        <v>0</v>
      </c>
      <c r="AO1597" s="4">
        <v>0</v>
      </c>
      <c r="AP1597" s="4">
        <v>28</v>
      </c>
      <c r="AQ1597" s="4">
        <v>37</v>
      </c>
      <c r="AR1597" s="3" t="s">
        <v>61</v>
      </c>
      <c r="AS1597" s="3" t="s">
        <v>62</v>
      </c>
      <c r="AT1597" s="3" t="s">
        <v>62</v>
      </c>
      <c r="AV1597" s="6" t="str">
        <f>HYPERLINK("http://mcgill.on.worldcat.org/oclc/46628187","Catalog Record")</f>
        <v>Catalog Record</v>
      </c>
      <c r="AW1597" s="6" t="str">
        <f>HYPERLINK("http://www.worldcat.org/oclc/46628187","WorldCat Record")</f>
        <v>WorldCat Record</v>
      </c>
      <c r="AX1597" s="3" t="s">
        <v>15403</v>
      </c>
      <c r="AY1597" s="3" t="s">
        <v>15404</v>
      </c>
      <c r="AZ1597" s="3" t="s">
        <v>15405</v>
      </c>
      <c r="BA1597" s="3" t="s">
        <v>15405</v>
      </c>
      <c r="BB1597" s="3" t="s">
        <v>15406</v>
      </c>
      <c r="BC1597" s="3" t="s">
        <v>142</v>
      </c>
      <c r="BD1597" s="3" t="s">
        <v>68</v>
      </c>
      <c r="BE1597" s="3" t="s">
        <v>15407</v>
      </c>
      <c r="BF1597" s="3" t="s">
        <v>15406</v>
      </c>
      <c r="BG1597" s="3" t="s">
        <v>15408</v>
      </c>
    </row>
    <row r="1598" spans="1:59" ht="57" x14ac:dyDescent="0.45">
      <c r="A1598" s="2" t="s">
        <v>59</v>
      </c>
      <c r="B1598" s="2" t="s">
        <v>60</v>
      </c>
      <c r="C1598" s="2" t="s">
        <v>15409</v>
      </c>
      <c r="D1598" s="2" t="s">
        <v>15410</v>
      </c>
      <c r="E1598" s="2" t="s">
        <v>15411</v>
      </c>
      <c r="F1598" s="3" t="s">
        <v>90</v>
      </c>
      <c r="G1598" s="3" t="s">
        <v>61</v>
      </c>
      <c r="I1598" s="3" t="s">
        <v>61</v>
      </c>
      <c r="J1598" s="3" t="s">
        <v>62</v>
      </c>
      <c r="K1598" s="3" t="s">
        <v>63</v>
      </c>
      <c r="L1598" s="2" t="s">
        <v>15412</v>
      </c>
      <c r="M1598" s="2" t="s">
        <v>15413</v>
      </c>
      <c r="N1598" s="3" t="s">
        <v>435</v>
      </c>
      <c r="P1598" s="3" t="s">
        <v>65</v>
      </c>
      <c r="R1598" s="3" t="s">
        <v>66</v>
      </c>
      <c r="S1598" s="4">
        <v>0</v>
      </c>
      <c r="T1598" s="4">
        <v>34</v>
      </c>
      <c r="V1598" s="5" t="s">
        <v>15414</v>
      </c>
      <c r="W1598" s="5" t="s">
        <v>67</v>
      </c>
      <c r="X1598" s="5" t="s">
        <v>67</v>
      </c>
      <c r="Y1598" s="4">
        <v>16</v>
      </c>
      <c r="Z1598" s="4">
        <v>16</v>
      </c>
      <c r="AA1598" s="4">
        <v>16</v>
      </c>
      <c r="AB1598" s="4">
        <v>3</v>
      </c>
      <c r="AC1598" s="4">
        <v>3</v>
      </c>
      <c r="AD1598" s="4">
        <v>9</v>
      </c>
      <c r="AE1598" s="4">
        <v>9</v>
      </c>
      <c r="AF1598" s="4">
        <v>1</v>
      </c>
      <c r="AG1598" s="4">
        <v>1</v>
      </c>
      <c r="AH1598" s="4">
        <v>5</v>
      </c>
      <c r="AI1598" s="4">
        <v>5</v>
      </c>
      <c r="AJ1598" s="4">
        <v>7</v>
      </c>
      <c r="AK1598" s="4">
        <v>7</v>
      </c>
      <c r="AL1598" s="4">
        <v>1</v>
      </c>
      <c r="AM1598" s="4">
        <v>1</v>
      </c>
      <c r="AN1598" s="4">
        <v>0</v>
      </c>
      <c r="AO1598" s="4">
        <v>0</v>
      </c>
      <c r="AP1598" s="4">
        <v>7</v>
      </c>
      <c r="AQ1598" s="4">
        <v>7</v>
      </c>
      <c r="AR1598" s="3" t="s">
        <v>61</v>
      </c>
      <c r="AS1598" s="3" t="s">
        <v>62</v>
      </c>
      <c r="AT1598" s="3" t="s">
        <v>61</v>
      </c>
      <c r="AU1598" s="6" t="str">
        <f t="shared" ref="AU1598:AU1606" si="24">HYPERLINK("http://catalog.hathitrust.org/Record/007406562","HathiTrust Record")</f>
        <v>HathiTrust Record</v>
      </c>
      <c r="AV1598" s="6" t="str">
        <f t="shared" ref="AV1598:AV1606" si="25">HYPERLINK("http://mcgill.on.worldcat.org/oclc/426948755","Catalog Record")</f>
        <v>Catalog Record</v>
      </c>
      <c r="AW1598" s="6" t="str">
        <f t="shared" ref="AW1598:AW1606" si="26">HYPERLINK("http://www.worldcat.org/oclc/426948755","WorldCat Record")</f>
        <v>WorldCat Record</v>
      </c>
      <c r="AX1598" s="3" t="s">
        <v>15415</v>
      </c>
      <c r="AY1598" s="3" t="s">
        <v>15416</v>
      </c>
      <c r="AZ1598" s="3" t="s">
        <v>15417</v>
      </c>
      <c r="BA1598" s="3" t="s">
        <v>15417</v>
      </c>
      <c r="BB1598" s="3" t="s">
        <v>15418</v>
      </c>
      <c r="BC1598" s="3" t="s">
        <v>142</v>
      </c>
      <c r="BD1598" s="3" t="s">
        <v>68</v>
      </c>
      <c r="BF1598" s="3" t="s">
        <v>15418</v>
      </c>
      <c r="BG1598" s="3" t="s">
        <v>15419</v>
      </c>
    </row>
    <row r="1599" spans="1:59" ht="57" x14ac:dyDescent="0.45">
      <c r="A1599" s="2" t="s">
        <v>59</v>
      </c>
      <c r="B1599" s="2" t="s">
        <v>60</v>
      </c>
      <c r="C1599" s="2" t="s">
        <v>15409</v>
      </c>
      <c r="D1599" s="2" t="s">
        <v>15410</v>
      </c>
      <c r="E1599" s="2" t="s">
        <v>15411</v>
      </c>
      <c r="F1599" s="3" t="s">
        <v>86</v>
      </c>
      <c r="G1599" s="3" t="s">
        <v>61</v>
      </c>
      <c r="I1599" s="3" t="s">
        <v>61</v>
      </c>
      <c r="J1599" s="3" t="s">
        <v>62</v>
      </c>
      <c r="K1599" s="3" t="s">
        <v>63</v>
      </c>
      <c r="L1599" s="2" t="s">
        <v>15412</v>
      </c>
      <c r="M1599" s="2" t="s">
        <v>15413</v>
      </c>
      <c r="N1599" s="3" t="s">
        <v>435</v>
      </c>
      <c r="P1599" s="3" t="s">
        <v>65</v>
      </c>
      <c r="R1599" s="3" t="s">
        <v>66</v>
      </c>
      <c r="S1599" s="4">
        <v>5</v>
      </c>
      <c r="T1599" s="4">
        <v>34</v>
      </c>
      <c r="U1599" s="5" t="s">
        <v>15420</v>
      </c>
      <c r="V1599" s="5" t="s">
        <v>15414</v>
      </c>
      <c r="W1599" s="5" t="s">
        <v>67</v>
      </c>
      <c r="X1599" s="5" t="s">
        <v>67</v>
      </c>
      <c r="Y1599" s="4">
        <v>16</v>
      </c>
      <c r="Z1599" s="4">
        <v>16</v>
      </c>
      <c r="AA1599" s="4">
        <v>16</v>
      </c>
      <c r="AB1599" s="4">
        <v>3</v>
      </c>
      <c r="AC1599" s="4">
        <v>3</v>
      </c>
      <c r="AD1599" s="4">
        <v>9</v>
      </c>
      <c r="AE1599" s="4">
        <v>9</v>
      </c>
      <c r="AF1599" s="4">
        <v>1</v>
      </c>
      <c r="AG1599" s="4">
        <v>1</v>
      </c>
      <c r="AH1599" s="4">
        <v>5</v>
      </c>
      <c r="AI1599" s="4">
        <v>5</v>
      </c>
      <c r="AJ1599" s="4">
        <v>7</v>
      </c>
      <c r="AK1599" s="4">
        <v>7</v>
      </c>
      <c r="AL1599" s="4">
        <v>1</v>
      </c>
      <c r="AM1599" s="4">
        <v>1</v>
      </c>
      <c r="AN1599" s="4">
        <v>0</v>
      </c>
      <c r="AO1599" s="4">
        <v>0</v>
      </c>
      <c r="AP1599" s="4">
        <v>7</v>
      </c>
      <c r="AQ1599" s="4">
        <v>7</v>
      </c>
      <c r="AR1599" s="3" t="s">
        <v>61</v>
      </c>
      <c r="AS1599" s="3" t="s">
        <v>62</v>
      </c>
      <c r="AT1599" s="3" t="s">
        <v>61</v>
      </c>
      <c r="AU1599" s="6" t="str">
        <f t="shared" si="24"/>
        <v>HathiTrust Record</v>
      </c>
      <c r="AV1599" s="6" t="str">
        <f t="shared" si="25"/>
        <v>Catalog Record</v>
      </c>
      <c r="AW1599" s="6" t="str">
        <f t="shared" si="26"/>
        <v>WorldCat Record</v>
      </c>
      <c r="AX1599" s="3" t="s">
        <v>15415</v>
      </c>
      <c r="AY1599" s="3" t="s">
        <v>15416</v>
      </c>
      <c r="AZ1599" s="3" t="s">
        <v>15417</v>
      </c>
      <c r="BA1599" s="3" t="s">
        <v>15417</v>
      </c>
      <c r="BB1599" s="3" t="s">
        <v>15421</v>
      </c>
      <c r="BC1599" s="3" t="s">
        <v>142</v>
      </c>
      <c r="BD1599" s="3" t="s">
        <v>68</v>
      </c>
      <c r="BF1599" s="3" t="s">
        <v>15421</v>
      </c>
      <c r="BG1599" s="3" t="s">
        <v>15422</v>
      </c>
    </row>
    <row r="1600" spans="1:59" ht="57" x14ac:dyDescent="0.45">
      <c r="A1600" s="2" t="s">
        <v>59</v>
      </c>
      <c r="B1600" s="2" t="s">
        <v>60</v>
      </c>
      <c r="C1600" s="2" t="s">
        <v>15409</v>
      </c>
      <c r="D1600" s="2" t="s">
        <v>15410</v>
      </c>
      <c r="E1600" s="2" t="s">
        <v>15411</v>
      </c>
      <c r="F1600" s="3" t="s">
        <v>87</v>
      </c>
      <c r="G1600" s="3" t="s">
        <v>61</v>
      </c>
      <c r="I1600" s="3" t="s">
        <v>61</v>
      </c>
      <c r="J1600" s="3" t="s">
        <v>62</v>
      </c>
      <c r="K1600" s="3" t="s">
        <v>63</v>
      </c>
      <c r="L1600" s="2" t="s">
        <v>15412</v>
      </c>
      <c r="M1600" s="2" t="s">
        <v>15413</v>
      </c>
      <c r="N1600" s="3" t="s">
        <v>435</v>
      </c>
      <c r="P1600" s="3" t="s">
        <v>65</v>
      </c>
      <c r="R1600" s="3" t="s">
        <v>66</v>
      </c>
      <c r="S1600" s="4">
        <v>7</v>
      </c>
      <c r="T1600" s="4">
        <v>34</v>
      </c>
      <c r="U1600" s="5" t="s">
        <v>76</v>
      </c>
      <c r="V1600" s="5" t="s">
        <v>15414</v>
      </c>
      <c r="W1600" s="5" t="s">
        <v>67</v>
      </c>
      <c r="X1600" s="5" t="s">
        <v>67</v>
      </c>
      <c r="Y1600" s="4">
        <v>16</v>
      </c>
      <c r="Z1600" s="4">
        <v>16</v>
      </c>
      <c r="AA1600" s="4">
        <v>16</v>
      </c>
      <c r="AB1600" s="4">
        <v>3</v>
      </c>
      <c r="AC1600" s="4">
        <v>3</v>
      </c>
      <c r="AD1600" s="4">
        <v>9</v>
      </c>
      <c r="AE1600" s="4">
        <v>9</v>
      </c>
      <c r="AF1600" s="4">
        <v>1</v>
      </c>
      <c r="AG1600" s="4">
        <v>1</v>
      </c>
      <c r="AH1600" s="4">
        <v>5</v>
      </c>
      <c r="AI1600" s="4">
        <v>5</v>
      </c>
      <c r="AJ1600" s="4">
        <v>7</v>
      </c>
      <c r="AK1600" s="4">
        <v>7</v>
      </c>
      <c r="AL1600" s="4">
        <v>1</v>
      </c>
      <c r="AM1600" s="4">
        <v>1</v>
      </c>
      <c r="AN1600" s="4">
        <v>0</v>
      </c>
      <c r="AO1600" s="4">
        <v>0</v>
      </c>
      <c r="AP1600" s="4">
        <v>7</v>
      </c>
      <c r="AQ1600" s="4">
        <v>7</v>
      </c>
      <c r="AR1600" s="3" t="s">
        <v>61</v>
      </c>
      <c r="AS1600" s="3" t="s">
        <v>62</v>
      </c>
      <c r="AT1600" s="3" t="s">
        <v>61</v>
      </c>
      <c r="AU1600" s="6" t="str">
        <f t="shared" si="24"/>
        <v>HathiTrust Record</v>
      </c>
      <c r="AV1600" s="6" t="str">
        <f t="shared" si="25"/>
        <v>Catalog Record</v>
      </c>
      <c r="AW1600" s="6" t="str">
        <f t="shared" si="26"/>
        <v>WorldCat Record</v>
      </c>
      <c r="AX1600" s="3" t="s">
        <v>15415</v>
      </c>
      <c r="AY1600" s="3" t="s">
        <v>15416</v>
      </c>
      <c r="AZ1600" s="3" t="s">
        <v>15417</v>
      </c>
      <c r="BA1600" s="3" t="s">
        <v>15417</v>
      </c>
      <c r="BB1600" s="3" t="s">
        <v>15423</v>
      </c>
      <c r="BC1600" s="3" t="s">
        <v>142</v>
      </c>
      <c r="BD1600" s="3" t="s">
        <v>68</v>
      </c>
      <c r="BF1600" s="3" t="s">
        <v>15423</v>
      </c>
      <c r="BG1600" s="3" t="s">
        <v>15424</v>
      </c>
    </row>
    <row r="1601" spans="1:59" ht="57" x14ac:dyDescent="0.45">
      <c r="A1601" s="2" t="s">
        <v>59</v>
      </c>
      <c r="B1601" s="2" t="s">
        <v>60</v>
      </c>
      <c r="C1601" s="2" t="s">
        <v>15409</v>
      </c>
      <c r="D1601" s="2" t="s">
        <v>15410</v>
      </c>
      <c r="E1601" s="2" t="s">
        <v>15411</v>
      </c>
      <c r="F1601" s="3" t="s">
        <v>90</v>
      </c>
      <c r="G1601" s="3" t="s">
        <v>61</v>
      </c>
      <c r="I1601" s="3" t="s">
        <v>61</v>
      </c>
      <c r="J1601" s="3" t="s">
        <v>62</v>
      </c>
      <c r="K1601" s="3" t="s">
        <v>63</v>
      </c>
      <c r="L1601" s="2" t="s">
        <v>15412</v>
      </c>
      <c r="M1601" s="2" t="s">
        <v>15413</v>
      </c>
      <c r="N1601" s="3" t="s">
        <v>435</v>
      </c>
      <c r="P1601" s="3" t="s">
        <v>65</v>
      </c>
      <c r="R1601" s="3" t="s">
        <v>66</v>
      </c>
      <c r="S1601" s="4">
        <v>9</v>
      </c>
      <c r="T1601" s="4">
        <v>34</v>
      </c>
      <c r="U1601" s="5" t="s">
        <v>15425</v>
      </c>
      <c r="V1601" s="5" t="s">
        <v>15414</v>
      </c>
      <c r="W1601" s="5" t="s">
        <v>67</v>
      </c>
      <c r="X1601" s="5" t="s">
        <v>67</v>
      </c>
      <c r="Y1601" s="4">
        <v>16</v>
      </c>
      <c r="Z1601" s="4">
        <v>16</v>
      </c>
      <c r="AA1601" s="4">
        <v>16</v>
      </c>
      <c r="AB1601" s="4">
        <v>3</v>
      </c>
      <c r="AC1601" s="4">
        <v>3</v>
      </c>
      <c r="AD1601" s="4">
        <v>9</v>
      </c>
      <c r="AE1601" s="4">
        <v>9</v>
      </c>
      <c r="AF1601" s="4">
        <v>1</v>
      </c>
      <c r="AG1601" s="4">
        <v>1</v>
      </c>
      <c r="AH1601" s="4">
        <v>5</v>
      </c>
      <c r="AI1601" s="4">
        <v>5</v>
      </c>
      <c r="AJ1601" s="4">
        <v>7</v>
      </c>
      <c r="AK1601" s="4">
        <v>7</v>
      </c>
      <c r="AL1601" s="4">
        <v>1</v>
      </c>
      <c r="AM1601" s="4">
        <v>1</v>
      </c>
      <c r="AN1601" s="4">
        <v>0</v>
      </c>
      <c r="AO1601" s="4">
        <v>0</v>
      </c>
      <c r="AP1601" s="4">
        <v>7</v>
      </c>
      <c r="AQ1601" s="4">
        <v>7</v>
      </c>
      <c r="AR1601" s="3" t="s">
        <v>61</v>
      </c>
      <c r="AS1601" s="3" t="s">
        <v>62</v>
      </c>
      <c r="AT1601" s="3" t="s">
        <v>61</v>
      </c>
      <c r="AU1601" s="6" t="str">
        <f t="shared" si="24"/>
        <v>HathiTrust Record</v>
      </c>
      <c r="AV1601" s="6" t="str">
        <f t="shared" si="25"/>
        <v>Catalog Record</v>
      </c>
      <c r="AW1601" s="6" t="str">
        <f t="shared" si="26"/>
        <v>WorldCat Record</v>
      </c>
      <c r="AX1601" s="3" t="s">
        <v>15415</v>
      </c>
      <c r="AY1601" s="3" t="s">
        <v>15416</v>
      </c>
      <c r="AZ1601" s="3" t="s">
        <v>15417</v>
      </c>
      <c r="BA1601" s="3" t="s">
        <v>15417</v>
      </c>
      <c r="BB1601" s="3" t="s">
        <v>15426</v>
      </c>
      <c r="BC1601" s="3" t="s">
        <v>142</v>
      </c>
      <c r="BD1601" s="3" t="s">
        <v>68</v>
      </c>
      <c r="BF1601" s="3" t="s">
        <v>15426</v>
      </c>
      <c r="BG1601" s="3" t="s">
        <v>15427</v>
      </c>
    </row>
    <row r="1602" spans="1:59" ht="57" x14ac:dyDescent="0.45">
      <c r="A1602" s="2" t="s">
        <v>59</v>
      </c>
      <c r="B1602" s="2" t="s">
        <v>60</v>
      </c>
      <c r="C1602" s="2" t="s">
        <v>15409</v>
      </c>
      <c r="D1602" s="2" t="s">
        <v>15410</v>
      </c>
      <c r="E1602" s="2" t="s">
        <v>15411</v>
      </c>
      <c r="F1602" s="3" t="s">
        <v>90</v>
      </c>
      <c r="G1602" s="3" t="s">
        <v>61</v>
      </c>
      <c r="I1602" s="3" t="s">
        <v>61</v>
      </c>
      <c r="J1602" s="3" t="s">
        <v>62</v>
      </c>
      <c r="K1602" s="3" t="s">
        <v>63</v>
      </c>
      <c r="L1602" s="2" t="s">
        <v>15412</v>
      </c>
      <c r="M1602" s="2" t="s">
        <v>15413</v>
      </c>
      <c r="N1602" s="3" t="s">
        <v>435</v>
      </c>
      <c r="P1602" s="3" t="s">
        <v>65</v>
      </c>
      <c r="R1602" s="3" t="s">
        <v>66</v>
      </c>
      <c r="S1602" s="4">
        <v>3</v>
      </c>
      <c r="T1602" s="4">
        <v>34</v>
      </c>
      <c r="U1602" s="5" t="s">
        <v>15428</v>
      </c>
      <c r="V1602" s="5" t="s">
        <v>15414</v>
      </c>
      <c r="W1602" s="5" t="s">
        <v>67</v>
      </c>
      <c r="X1602" s="5" t="s">
        <v>67</v>
      </c>
      <c r="Y1602" s="4">
        <v>16</v>
      </c>
      <c r="Z1602" s="4">
        <v>16</v>
      </c>
      <c r="AA1602" s="4">
        <v>16</v>
      </c>
      <c r="AB1602" s="4">
        <v>3</v>
      </c>
      <c r="AC1602" s="4">
        <v>3</v>
      </c>
      <c r="AD1602" s="4">
        <v>9</v>
      </c>
      <c r="AE1602" s="4">
        <v>9</v>
      </c>
      <c r="AF1602" s="4">
        <v>1</v>
      </c>
      <c r="AG1602" s="4">
        <v>1</v>
      </c>
      <c r="AH1602" s="4">
        <v>5</v>
      </c>
      <c r="AI1602" s="4">
        <v>5</v>
      </c>
      <c r="AJ1602" s="4">
        <v>7</v>
      </c>
      <c r="AK1602" s="4">
        <v>7</v>
      </c>
      <c r="AL1602" s="4">
        <v>1</v>
      </c>
      <c r="AM1602" s="4">
        <v>1</v>
      </c>
      <c r="AN1602" s="4">
        <v>0</v>
      </c>
      <c r="AO1602" s="4">
        <v>0</v>
      </c>
      <c r="AP1602" s="4">
        <v>7</v>
      </c>
      <c r="AQ1602" s="4">
        <v>7</v>
      </c>
      <c r="AR1602" s="3" t="s">
        <v>61</v>
      </c>
      <c r="AS1602" s="3" t="s">
        <v>62</v>
      </c>
      <c r="AT1602" s="3" t="s">
        <v>61</v>
      </c>
      <c r="AU1602" s="6" t="str">
        <f t="shared" si="24"/>
        <v>HathiTrust Record</v>
      </c>
      <c r="AV1602" s="6" t="str">
        <f t="shared" si="25"/>
        <v>Catalog Record</v>
      </c>
      <c r="AW1602" s="6" t="str">
        <f t="shared" si="26"/>
        <v>WorldCat Record</v>
      </c>
      <c r="AX1602" s="3" t="s">
        <v>15415</v>
      </c>
      <c r="AY1602" s="3" t="s">
        <v>15416</v>
      </c>
      <c r="AZ1602" s="3" t="s">
        <v>15417</v>
      </c>
      <c r="BA1602" s="3" t="s">
        <v>15417</v>
      </c>
      <c r="BB1602" s="3" t="s">
        <v>15429</v>
      </c>
      <c r="BC1602" s="3" t="s">
        <v>142</v>
      </c>
      <c r="BD1602" s="3" t="s">
        <v>68</v>
      </c>
      <c r="BF1602" s="3" t="s">
        <v>15429</v>
      </c>
      <c r="BG1602" s="3" t="s">
        <v>15430</v>
      </c>
    </row>
    <row r="1603" spans="1:59" ht="57" x14ac:dyDescent="0.45">
      <c r="A1603" s="2" t="s">
        <v>59</v>
      </c>
      <c r="B1603" s="2" t="s">
        <v>60</v>
      </c>
      <c r="C1603" s="2" t="s">
        <v>15409</v>
      </c>
      <c r="D1603" s="2" t="s">
        <v>15410</v>
      </c>
      <c r="E1603" s="2" t="s">
        <v>15411</v>
      </c>
      <c r="F1603" s="3" t="s">
        <v>86</v>
      </c>
      <c r="G1603" s="3" t="s">
        <v>61</v>
      </c>
      <c r="I1603" s="3" t="s">
        <v>61</v>
      </c>
      <c r="J1603" s="3" t="s">
        <v>62</v>
      </c>
      <c r="K1603" s="3" t="s">
        <v>63</v>
      </c>
      <c r="L1603" s="2" t="s">
        <v>15412</v>
      </c>
      <c r="M1603" s="2" t="s">
        <v>15413</v>
      </c>
      <c r="N1603" s="3" t="s">
        <v>435</v>
      </c>
      <c r="P1603" s="3" t="s">
        <v>65</v>
      </c>
      <c r="R1603" s="3" t="s">
        <v>66</v>
      </c>
      <c r="S1603" s="4">
        <v>0</v>
      </c>
      <c r="T1603" s="4">
        <v>34</v>
      </c>
      <c r="V1603" s="5" t="s">
        <v>15414</v>
      </c>
      <c r="W1603" s="5" t="s">
        <v>67</v>
      </c>
      <c r="X1603" s="5" t="s">
        <v>67</v>
      </c>
      <c r="Y1603" s="4">
        <v>16</v>
      </c>
      <c r="Z1603" s="4">
        <v>16</v>
      </c>
      <c r="AA1603" s="4">
        <v>16</v>
      </c>
      <c r="AB1603" s="4">
        <v>3</v>
      </c>
      <c r="AC1603" s="4">
        <v>3</v>
      </c>
      <c r="AD1603" s="4">
        <v>9</v>
      </c>
      <c r="AE1603" s="4">
        <v>9</v>
      </c>
      <c r="AF1603" s="4">
        <v>1</v>
      </c>
      <c r="AG1603" s="4">
        <v>1</v>
      </c>
      <c r="AH1603" s="4">
        <v>5</v>
      </c>
      <c r="AI1603" s="4">
        <v>5</v>
      </c>
      <c r="AJ1603" s="4">
        <v>7</v>
      </c>
      <c r="AK1603" s="4">
        <v>7</v>
      </c>
      <c r="AL1603" s="4">
        <v>1</v>
      </c>
      <c r="AM1603" s="4">
        <v>1</v>
      </c>
      <c r="AN1603" s="4">
        <v>0</v>
      </c>
      <c r="AO1603" s="4">
        <v>0</v>
      </c>
      <c r="AP1603" s="4">
        <v>7</v>
      </c>
      <c r="AQ1603" s="4">
        <v>7</v>
      </c>
      <c r="AR1603" s="3" t="s">
        <v>61</v>
      </c>
      <c r="AS1603" s="3" t="s">
        <v>62</v>
      </c>
      <c r="AT1603" s="3" t="s">
        <v>61</v>
      </c>
      <c r="AU1603" s="6" t="str">
        <f t="shared" si="24"/>
        <v>HathiTrust Record</v>
      </c>
      <c r="AV1603" s="6" t="str">
        <f t="shared" si="25"/>
        <v>Catalog Record</v>
      </c>
      <c r="AW1603" s="6" t="str">
        <f t="shared" si="26"/>
        <v>WorldCat Record</v>
      </c>
      <c r="AX1603" s="3" t="s">
        <v>15415</v>
      </c>
      <c r="AY1603" s="3" t="s">
        <v>15416</v>
      </c>
      <c r="AZ1603" s="3" t="s">
        <v>15417</v>
      </c>
      <c r="BA1603" s="3" t="s">
        <v>15417</v>
      </c>
      <c r="BB1603" s="3" t="s">
        <v>15431</v>
      </c>
      <c r="BC1603" s="3" t="s">
        <v>142</v>
      </c>
      <c r="BD1603" s="3" t="s">
        <v>68</v>
      </c>
      <c r="BF1603" s="3" t="s">
        <v>15431</v>
      </c>
      <c r="BG1603" s="3" t="s">
        <v>15432</v>
      </c>
    </row>
    <row r="1604" spans="1:59" ht="57" x14ac:dyDescent="0.45">
      <c r="A1604" s="2" t="s">
        <v>59</v>
      </c>
      <c r="B1604" s="2" t="s">
        <v>60</v>
      </c>
      <c r="C1604" s="2" t="s">
        <v>15409</v>
      </c>
      <c r="D1604" s="2" t="s">
        <v>15410</v>
      </c>
      <c r="E1604" s="2" t="s">
        <v>15411</v>
      </c>
      <c r="F1604" s="3" t="s">
        <v>87</v>
      </c>
      <c r="G1604" s="3" t="s">
        <v>61</v>
      </c>
      <c r="I1604" s="3" t="s">
        <v>61</v>
      </c>
      <c r="J1604" s="3" t="s">
        <v>62</v>
      </c>
      <c r="K1604" s="3" t="s">
        <v>63</v>
      </c>
      <c r="L1604" s="2" t="s">
        <v>15412</v>
      </c>
      <c r="M1604" s="2" t="s">
        <v>15413</v>
      </c>
      <c r="N1604" s="3" t="s">
        <v>435</v>
      </c>
      <c r="P1604" s="3" t="s">
        <v>65</v>
      </c>
      <c r="R1604" s="3" t="s">
        <v>66</v>
      </c>
      <c r="S1604" s="4">
        <v>5</v>
      </c>
      <c r="T1604" s="4">
        <v>34</v>
      </c>
      <c r="U1604" s="5" t="s">
        <v>15433</v>
      </c>
      <c r="V1604" s="5" t="s">
        <v>15414</v>
      </c>
      <c r="W1604" s="5" t="s">
        <v>67</v>
      </c>
      <c r="X1604" s="5" t="s">
        <v>67</v>
      </c>
      <c r="Y1604" s="4">
        <v>16</v>
      </c>
      <c r="Z1604" s="4">
        <v>16</v>
      </c>
      <c r="AA1604" s="4">
        <v>16</v>
      </c>
      <c r="AB1604" s="4">
        <v>3</v>
      </c>
      <c r="AC1604" s="4">
        <v>3</v>
      </c>
      <c r="AD1604" s="4">
        <v>9</v>
      </c>
      <c r="AE1604" s="4">
        <v>9</v>
      </c>
      <c r="AF1604" s="4">
        <v>1</v>
      </c>
      <c r="AG1604" s="4">
        <v>1</v>
      </c>
      <c r="AH1604" s="4">
        <v>5</v>
      </c>
      <c r="AI1604" s="4">
        <v>5</v>
      </c>
      <c r="AJ1604" s="4">
        <v>7</v>
      </c>
      <c r="AK1604" s="4">
        <v>7</v>
      </c>
      <c r="AL1604" s="4">
        <v>1</v>
      </c>
      <c r="AM1604" s="4">
        <v>1</v>
      </c>
      <c r="AN1604" s="4">
        <v>0</v>
      </c>
      <c r="AO1604" s="4">
        <v>0</v>
      </c>
      <c r="AP1604" s="4">
        <v>7</v>
      </c>
      <c r="AQ1604" s="4">
        <v>7</v>
      </c>
      <c r="AR1604" s="3" t="s">
        <v>61</v>
      </c>
      <c r="AS1604" s="3" t="s">
        <v>62</v>
      </c>
      <c r="AT1604" s="3" t="s">
        <v>61</v>
      </c>
      <c r="AU1604" s="6" t="str">
        <f t="shared" si="24"/>
        <v>HathiTrust Record</v>
      </c>
      <c r="AV1604" s="6" t="str">
        <f t="shared" si="25"/>
        <v>Catalog Record</v>
      </c>
      <c r="AW1604" s="6" t="str">
        <f t="shared" si="26"/>
        <v>WorldCat Record</v>
      </c>
      <c r="AX1604" s="3" t="s">
        <v>15415</v>
      </c>
      <c r="AY1604" s="3" t="s">
        <v>15416</v>
      </c>
      <c r="AZ1604" s="3" t="s">
        <v>15417</v>
      </c>
      <c r="BA1604" s="3" t="s">
        <v>15417</v>
      </c>
      <c r="BB1604" s="3" t="s">
        <v>15434</v>
      </c>
      <c r="BC1604" s="3" t="s">
        <v>142</v>
      </c>
      <c r="BD1604" s="3" t="s">
        <v>68</v>
      </c>
      <c r="BF1604" s="3" t="s">
        <v>15434</v>
      </c>
      <c r="BG1604" s="3" t="s">
        <v>15435</v>
      </c>
    </row>
    <row r="1605" spans="1:59" ht="57" x14ac:dyDescent="0.45">
      <c r="A1605" s="2" t="s">
        <v>59</v>
      </c>
      <c r="B1605" s="2" t="s">
        <v>60</v>
      </c>
      <c r="C1605" s="2" t="s">
        <v>15409</v>
      </c>
      <c r="D1605" s="2" t="s">
        <v>15410</v>
      </c>
      <c r="E1605" s="2" t="s">
        <v>15411</v>
      </c>
      <c r="F1605" s="3" t="s">
        <v>87</v>
      </c>
      <c r="G1605" s="3" t="s">
        <v>61</v>
      </c>
      <c r="I1605" s="3" t="s">
        <v>61</v>
      </c>
      <c r="J1605" s="3" t="s">
        <v>62</v>
      </c>
      <c r="K1605" s="3" t="s">
        <v>63</v>
      </c>
      <c r="L1605" s="2" t="s">
        <v>15412</v>
      </c>
      <c r="M1605" s="2" t="s">
        <v>15413</v>
      </c>
      <c r="N1605" s="3" t="s">
        <v>435</v>
      </c>
      <c r="P1605" s="3" t="s">
        <v>65</v>
      </c>
      <c r="R1605" s="3" t="s">
        <v>66</v>
      </c>
      <c r="S1605" s="4">
        <v>1</v>
      </c>
      <c r="T1605" s="4">
        <v>34</v>
      </c>
      <c r="U1605" s="5" t="s">
        <v>15414</v>
      </c>
      <c r="V1605" s="5" t="s">
        <v>15414</v>
      </c>
      <c r="W1605" s="5" t="s">
        <v>67</v>
      </c>
      <c r="X1605" s="5" t="s">
        <v>67</v>
      </c>
      <c r="Y1605" s="4">
        <v>16</v>
      </c>
      <c r="Z1605" s="4">
        <v>16</v>
      </c>
      <c r="AA1605" s="4">
        <v>16</v>
      </c>
      <c r="AB1605" s="4">
        <v>3</v>
      </c>
      <c r="AC1605" s="4">
        <v>3</v>
      </c>
      <c r="AD1605" s="4">
        <v>9</v>
      </c>
      <c r="AE1605" s="4">
        <v>9</v>
      </c>
      <c r="AF1605" s="4">
        <v>1</v>
      </c>
      <c r="AG1605" s="4">
        <v>1</v>
      </c>
      <c r="AH1605" s="4">
        <v>5</v>
      </c>
      <c r="AI1605" s="4">
        <v>5</v>
      </c>
      <c r="AJ1605" s="4">
        <v>7</v>
      </c>
      <c r="AK1605" s="4">
        <v>7</v>
      </c>
      <c r="AL1605" s="4">
        <v>1</v>
      </c>
      <c r="AM1605" s="4">
        <v>1</v>
      </c>
      <c r="AN1605" s="4">
        <v>0</v>
      </c>
      <c r="AO1605" s="4">
        <v>0</v>
      </c>
      <c r="AP1605" s="4">
        <v>7</v>
      </c>
      <c r="AQ1605" s="4">
        <v>7</v>
      </c>
      <c r="AR1605" s="3" t="s">
        <v>61</v>
      </c>
      <c r="AS1605" s="3" t="s">
        <v>62</v>
      </c>
      <c r="AT1605" s="3" t="s">
        <v>61</v>
      </c>
      <c r="AU1605" s="6" t="str">
        <f t="shared" si="24"/>
        <v>HathiTrust Record</v>
      </c>
      <c r="AV1605" s="6" t="str">
        <f t="shared" si="25"/>
        <v>Catalog Record</v>
      </c>
      <c r="AW1605" s="6" t="str">
        <f t="shared" si="26"/>
        <v>WorldCat Record</v>
      </c>
      <c r="AX1605" s="3" t="s">
        <v>15415</v>
      </c>
      <c r="AY1605" s="3" t="s">
        <v>15416</v>
      </c>
      <c r="AZ1605" s="3" t="s">
        <v>15417</v>
      </c>
      <c r="BA1605" s="3" t="s">
        <v>15417</v>
      </c>
      <c r="BB1605" s="3" t="s">
        <v>15436</v>
      </c>
      <c r="BC1605" s="3" t="s">
        <v>142</v>
      </c>
      <c r="BD1605" s="3" t="s">
        <v>68</v>
      </c>
      <c r="BF1605" s="3" t="s">
        <v>15436</v>
      </c>
      <c r="BG1605" s="3" t="s">
        <v>15437</v>
      </c>
    </row>
    <row r="1606" spans="1:59" ht="57" x14ac:dyDescent="0.45">
      <c r="A1606" s="2" t="s">
        <v>59</v>
      </c>
      <c r="B1606" s="2" t="s">
        <v>60</v>
      </c>
      <c r="C1606" s="2" t="s">
        <v>15409</v>
      </c>
      <c r="D1606" s="2" t="s">
        <v>15410</v>
      </c>
      <c r="E1606" s="2" t="s">
        <v>15411</v>
      </c>
      <c r="F1606" s="3" t="s">
        <v>86</v>
      </c>
      <c r="G1606" s="3" t="s">
        <v>61</v>
      </c>
      <c r="I1606" s="3" t="s">
        <v>61</v>
      </c>
      <c r="J1606" s="3" t="s">
        <v>62</v>
      </c>
      <c r="K1606" s="3" t="s">
        <v>63</v>
      </c>
      <c r="L1606" s="2" t="s">
        <v>15412</v>
      </c>
      <c r="M1606" s="2" t="s">
        <v>15413</v>
      </c>
      <c r="N1606" s="3" t="s">
        <v>435</v>
      </c>
      <c r="P1606" s="3" t="s">
        <v>65</v>
      </c>
      <c r="R1606" s="3" t="s">
        <v>66</v>
      </c>
      <c r="S1606" s="4">
        <v>4</v>
      </c>
      <c r="T1606" s="4">
        <v>34</v>
      </c>
      <c r="U1606" s="5" t="s">
        <v>15438</v>
      </c>
      <c r="V1606" s="5" t="s">
        <v>15414</v>
      </c>
      <c r="W1606" s="5" t="s">
        <v>67</v>
      </c>
      <c r="X1606" s="5" t="s">
        <v>67</v>
      </c>
      <c r="Y1606" s="4">
        <v>16</v>
      </c>
      <c r="Z1606" s="4">
        <v>16</v>
      </c>
      <c r="AA1606" s="4">
        <v>16</v>
      </c>
      <c r="AB1606" s="4">
        <v>3</v>
      </c>
      <c r="AC1606" s="4">
        <v>3</v>
      </c>
      <c r="AD1606" s="4">
        <v>9</v>
      </c>
      <c r="AE1606" s="4">
        <v>9</v>
      </c>
      <c r="AF1606" s="4">
        <v>1</v>
      </c>
      <c r="AG1606" s="4">
        <v>1</v>
      </c>
      <c r="AH1606" s="4">
        <v>5</v>
      </c>
      <c r="AI1606" s="4">
        <v>5</v>
      </c>
      <c r="AJ1606" s="4">
        <v>7</v>
      </c>
      <c r="AK1606" s="4">
        <v>7</v>
      </c>
      <c r="AL1606" s="4">
        <v>1</v>
      </c>
      <c r="AM1606" s="4">
        <v>1</v>
      </c>
      <c r="AN1606" s="4">
        <v>0</v>
      </c>
      <c r="AO1606" s="4">
        <v>0</v>
      </c>
      <c r="AP1606" s="4">
        <v>7</v>
      </c>
      <c r="AQ1606" s="4">
        <v>7</v>
      </c>
      <c r="AR1606" s="3" t="s">
        <v>61</v>
      </c>
      <c r="AS1606" s="3" t="s">
        <v>62</v>
      </c>
      <c r="AT1606" s="3" t="s">
        <v>61</v>
      </c>
      <c r="AU1606" s="6" t="str">
        <f t="shared" si="24"/>
        <v>HathiTrust Record</v>
      </c>
      <c r="AV1606" s="6" t="str">
        <f t="shared" si="25"/>
        <v>Catalog Record</v>
      </c>
      <c r="AW1606" s="6" t="str">
        <f t="shared" si="26"/>
        <v>WorldCat Record</v>
      </c>
      <c r="AX1606" s="3" t="s">
        <v>15415</v>
      </c>
      <c r="AY1606" s="3" t="s">
        <v>15416</v>
      </c>
      <c r="AZ1606" s="3" t="s">
        <v>15417</v>
      </c>
      <c r="BA1606" s="3" t="s">
        <v>15417</v>
      </c>
      <c r="BB1606" s="3" t="s">
        <v>15439</v>
      </c>
      <c r="BC1606" s="3" t="s">
        <v>142</v>
      </c>
      <c r="BD1606" s="3" t="s">
        <v>68</v>
      </c>
      <c r="BF1606" s="3" t="s">
        <v>15439</v>
      </c>
      <c r="BG1606" s="3" t="s">
        <v>15440</v>
      </c>
    </row>
    <row r="1607" spans="1:59" ht="57" x14ac:dyDescent="0.45">
      <c r="A1607" s="2" t="s">
        <v>59</v>
      </c>
      <c r="B1607" s="2" t="s">
        <v>60</v>
      </c>
      <c r="C1607" s="2" t="s">
        <v>15441</v>
      </c>
      <c r="D1607" s="2" t="s">
        <v>15442</v>
      </c>
      <c r="E1607" s="2" t="s">
        <v>15443</v>
      </c>
      <c r="G1607" s="3" t="s">
        <v>62</v>
      </c>
      <c r="I1607" s="3" t="s">
        <v>62</v>
      </c>
      <c r="J1607" s="3" t="s">
        <v>62</v>
      </c>
      <c r="K1607" s="3" t="s">
        <v>63</v>
      </c>
      <c r="M1607" s="2" t="s">
        <v>15444</v>
      </c>
      <c r="N1607" s="3" t="s">
        <v>1465</v>
      </c>
      <c r="P1607" s="3" t="s">
        <v>65</v>
      </c>
      <c r="R1607" s="3" t="s">
        <v>66</v>
      </c>
      <c r="S1607" s="4">
        <v>12</v>
      </c>
      <c r="T1607" s="4">
        <v>12</v>
      </c>
      <c r="U1607" s="5" t="s">
        <v>107</v>
      </c>
      <c r="V1607" s="5" t="s">
        <v>107</v>
      </c>
      <c r="W1607" s="5" t="s">
        <v>67</v>
      </c>
      <c r="X1607" s="5" t="s">
        <v>67</v>
      </c>
      <c r="Y1607" s="4">
        <v>133</v>
      </c>
      <c r="Z1607" s="4">
        <v>49</v>
      </c>
      <c r="AA1607" s="4">
        <v>109</v>
      </c>
      <c r="AB1607" s="4">
        <v>2</v>
      </c>
      <c r="AC1607" s="4">
        <v>17</v>
      </c>
      <c r="AD1607" s="4">
        <v>82</v>
      </c>
      <c r="AE1607" s="4">
        <v>135</v>
      </c>
      <c r="AF1607" s="4">
        <v>1</v>
      </c>
      <c r="AG1607" s="4">
        <v>8</v>
      </c>
      <c r="AH1607" s="4">
        <v>56</v>
      </c>
      <c r="AI1607" s="4">
        <v>88</v>
      </c>
      <c r="AJ1607" s="4">
        <v>23</v>
      </c>
      <c r="AK1607" s="4">
        <v>28</v>
      </c>
      <c r="AL1607" s="4">
        <v>28</v>
      </c>
      <c r="AM1607" s="4">
        <v>43</v>
      </c>
      <c r="AN1607" s="4">
        <v>5</v>
      </c>
      <c r="AO1607" s="4">
        <v>5</v>
      </c>
      <c r="AP1607" s="4">
        <v>37</v>
      </c>
      <c r="AQ1607" s="4">
        <v>57</v>
      </c>
      <c r="AR1607" s="3" t="s">
        <v>61</v>
      </c>
      <c r="AS1607" s="3" t="s">
        <v>62</v>
      </c>
      <c r="AT1607" s="3" t="s">
        <v>61</v>
      </c>
      <c r="AU1607" s="6" t="str">
        <f>HYPERLINK("http://catalog.hathitrust.org/Record/010621274","HathiTrust Record")</f>
        <v>HathiTrust Record</v>
      </c>
      <c r="AV1607" s="6" t="str">
        <f>HYPERLINK("http://mcgill.on.worldcat.org/oclc/404612757","Catalog Record")</f>
        <v>Catalog Record</v>
      </c>
      <c r="AW1607" s="6" t="str">
        <f>HYPERLINK("http://www.worldcat.org/oclc/404612757","WorldCat Record")</f>
        <v>WorldCat Record</v>
      </c>
      <c r="AX1607" s="3" t="s">
        <v>15445</v>
      </c>
      <c r="AY1607" s="3" t="s">
        <v>15446</v>
      </c>
      <c r="AZ1607" s="3" t="s">
        <v>15447</v>
      </c>
      <c r="BA1607" s="3" t="s">
        <v>15447</v>
      </c>
      <c r="BB1607" s="3" t="s">
        <v>15448</v>
      </c>
      <c r="BC1607" s="3" t="s">
        <v>142</v>
      </c>
      <c r="BD1607" s="3" t="s">
        <v>68</v>
      </c>
      <c r="BE1607" s="3" t="s">
        <v>15449</v>
      </c>
      <c r="BF1607" s="3" t="s">
        <v>15448</v>
      </c>
      <c r="BG1607" s="3" t="s">
        <v>15450</v>
      </c>
    </row>
    <row r="1608" spans="1:59" ht="57" x14ac:dyDescent="0.45">
      <c r="A1608" s="2" t="s">
        <v>59</v>
      </c>
      <c r="B1608" s="2" t="s">
        <v>60</v>
      </c>
      <c r="C1608" s="2" t="s">
        <v>15451</v>
      </c>
      <c r="D1608" s="2" t="s">
        <v>15452</v>
      </c>
      <c r="E1608" s="2" t="s">
        <v>15453</v>
      </c>
      <c r="G1608" s="3" t="s">
        <v>62</v>
      </c>
      <c r="I1608" s="3" t="s">
        <v>62</v>
      </c>
      <c r="J1608" s="3" t="s">
        <v>61</v>
      </c>
      <c r="K1608" s="3" t="s">
        <v>63</v>
      </c>
      <c r="M1608" s="2" t="s">
        <v>15454</v>
      </c>
      <c r="N1608" s="3" t="s">
        <v>1097</v>
      </c>
      <c r="P1608" s="3" t="s">
        <v>65</v>
      </c>
      <c r="R1608" s="3" t="s">
        <v>66</v>
      </c>
      <c r="S1608" s="4">
        <v>24</v>
      </c>
      <c r="T1608" s="4">
        <v>24</v>
      </c>
      <c r="U1608" s="5" t="s">
        <v>15455</v>
      </c>
      <c r="V1608" s="5" t="s">
        <v>15455</v>
      </c>
      <c r="W1608" s="5" t="s">
        <v>67</v>
      </c>
      <c r="X1608" s="5" t="s">
        <v>67</v>
      </c>
      <c r="Y1608" s="4">
        <v>121</v>
      </c>
      <c r="Z1608" s="4">
        <v>45</v>
      </c>
      <c r="AA1608" s="4">
        <v>64</v>
      </c>
      <c r="AB1608" s="4">
        <v>4</v>
      </c>
      <c r="AC1608" s="4">
        <v>10</v>
      </c>
      <c r="AD1608" s="4">
        <v>65</v>
      </c>
      <c r="AE1608" s="4">
        <v>83</v>
      </c>
      <c r="AF1608" s="4">
        <v>2</v>
      </c>
      <c r="AG1608" s="4">
        <v>7</v>
      </c>
      <c r="AH1608" s="4">
        <v>43</v>
      </c>
      <c r="AI1608" s="4">
        <v>51</v>
      </c>
      <c r="AJ1608" s="4">
        <v>17</v>
      </c>
      <c r="AK1608" s="4">
        <v>23</v>
      </c>
      <c r="AL1608" s="4">
        <v>17</v>
      </c>
      <c r="AM1608" s="4">
        <v>20</v>
      </c>
      <c r="AN1608" s="4">
        <v>0</v>
      </c>
      <c r="AO1608" s="4">
        <v>0</v>
      </c>
      <c r="AP1608" s="4">
        <v>29</v>
      </c>
      <c r="AQ1608" s="4">
        <v>40</v>
      </c>
      <c r="AR1608" s="3" t="s">
        <v>61</v>
      </c>
      <c r="AS1608" s="3" t="s">
        <v>62</v>
      </c>
      <c r="AT1608" s="3" t="s">
        <v>61</v>
      </c>
      <c r="AU1608" s="6" t="str">
        <f>HYPERLINK("http://catalog.hathitrust.org/Record/004768944","HathiTrust Record")</f>
        <v>HathiTrust Record</v>
      </c>
      <c r="AV1608" s="6" t="str">
        <f>HYPERLINK("http://mcgill.on.worldcat.org/oclc/53075314","Catalog Record")</f>
        <v>Catalog Record</v>
      </c>
      <c r="AW1608" s="6" t="str">
        <f>HYPERLINK("http://www.worldcat.org/oclc/53075314","WorldCat Record")</f>
        <v>WorldCat Record</v>
      </c>
      <c r="AX1608" s="3" t="s">
        <v>15456</v>
      </c>
      <c r="AY1608" s="3" t="s">
        <v>15457</v>
      </c>
      <c r="AZ1608" s="3" t="s">
        <v>15458</v>
      </c>
      <c r="BA1608" s="3" t="s">
        <v>15458</v>
      </c>
      <c r="BB1608" s="3" t="s">
        <v>15459</v>
      </c>
      <c r="BC1608" s="3" t="s">
        <v>142</v>
      </c>
      <c r="BD1608" s="3" t="s">
        <v>68</v>
      </c>
      <c r="BE1608" s="3" t="s">
        <v>15460</v>
      </c>
      <c r="BF1608" s="3" t="s">
        <v>15459</v>
      </c>
      <c r="BG1608" s="3" t="s">
        <v>15461</v>
      </c>
    </row>
    <row r="1609" spans="1:59" ht="57" x14ac:dyDescent="0.45">
      <c r="A1609" s="2" t="s">
        <v>59</v>
      </c>
      <c r="B1609" s="2" t="s">
        <v>60</v>
      </c>
      <c r="C1609" s="2" t="s">
        <v>15462</v>
      </c>
      <c r="D1609" s="2" t="s">
        <v>15463</v>
      </c>
      <c r="E1609" s="2" t="s">
        <v>15453</v>
      </c>
      <c r="G1609" s="3" t="s">
        <v>62</v>
      </c>
      <c r="I1609" s="3" t="s">
        <v>62</v>
      </c>
      <c r="J1609" s="3" t="s">
        <v>61</v>
      </c>
      <c r="K1609" s="3" t="s">
        <v>63</v>
      </c>
      <c r="M1609" s="2" t="s">
        <v>15464</v>
      </c>
      <c r="N1609" s="3" t="s">
        <v>1465</v>
      </c>
      <c r="O1609" s="2" t="s">
        <v>933</v>
      </c>
      <c r="P1609" s="3" t="s">
        <v>65</v>
      </c>
      <c r="R1609" s="3" t="s">
        <v>66</v>
      </c>
      <c r="S1609" s="4">
        <v>6</v>
      </c>
      <c r="T1609" s="4">
        <v>6</v>
      </c>
      <c r="U1609" s="5" t="s">
        <v>15465</v>
      </c>
      <c r="V1609" s="5" t="s">
        <v>15465</v>
      </c>
      <c r="W1609" s="5" t="s">
        <v>67</v>
      </c>
      <c r="X1609" s="5" t="s">
        <v>67</v>
      </c>
      <c r="Y1609" s="4">
        <v>69</v>
      </c>
      <c r="Z1609" s="4">
        <v>29</v>
      </c>
      <c r="AA1609" s="4">
        <v>64</v>
      </c>
      <c r="AB1609" s="4">
        <v>2</v>
      </c>
      <c r="AC1609" s="4">
        <v>10</v>
      </c>
      <c r="AD1609" s="4">
        <v>32</v>
      </c>
      <c r="AE1609" s="4">
        <v>83</v>
      </c>
      <c r="AF1609" s="4">
        <v>1</v>
      </c>
      <c r="AG1609" s="4">
        <v>7</v>
      </c>
      <c r="AH1609" s="4">
        <v>17</v>
      </c>
      <c r="AI1609" s="4">
        <v>51</v>
      </c>
      <c r="AJ1609" s="4">
        <v>11</v>
      </c>
      <c r="AK1609" s="4">
        <v>23</v>
      </c>
      <c r="AL1609" s="4">
        <v>7</v>
      </c>
      <c r="AM1609" s="4">
        <v>20</v>
      </c>
      <c r="AN1609" s="4">
        <v>0</v>
      </c>
      <c r="AO1609" s="4">
        <v>0</v>
      </c>
      <c r="AP1609" s="4">
        <v>18</v>
      </c>
      <c r="AQ1609" s="4">
        <v>40</v>
      </c>
      <c r="AR1609" s="3" t="s">
        <v>61</v>
      </c>
      <c r="AS1609" s="3" t="s">
        <v>62</v>
      </c>
      <c r="AT1609" s="3" t="s">
        <v>62</v>
      </c>
      <c r="AV1609" s="6" t="str">
        <f>HYPERLINK("http://mcgill.on.worldcat.org/oclc/302061081","Catalog Record")</f>
        <v>Catalog Record</v>
      </c>
      <c r="AW1609" s="6" t="str">
        <f>HYPERLINK("http://www.worldcat.org/oclc/302061081","WorldCat Record")</f>
        <v>WorldCat Record</v>
      </c>
      <c r="AX1609" s="3" t="s">
        <v>15456</v>
      </c>
      <c r="AY1609" s="3" t="s">
        <v>15466</v>
      </c>
      <c r="AZ1609" s="3" t="s">
        <v>15467</v>
      </c>
      <c r="BA1609" s="3" t="s">
        <v>15467</v>
      </c>
      <c r="BB1609" s="3" t="s">
        <v>15468</v>
      </c>
      <c r="BC1609" s="3" t="s">
        <v>142</v>
      </c>
      <c r="BD1609" s="3" t="s">
        <v>68</v>
      </c>
      <c r="BE1609" s="3" t="s">
        <v>15469</v>
      </c>
      <c r="BF1609" s="3" t="s">
        <v>15468</v>
      </c>
      <c r="BG1609" s="3" t="s">
        <v>15470</v>
      </c>
    </row>
    <row r="1610" spans="1:59" ht="57" x14ac:dyDescent="0.45">
      <c r="A1610" s="2" t="s">
        <v>59</v>
      </c>
      <c r="B1610" s="2" t="s">
        <v>60</v>
      </c>
      <c r="C1610" s="2" t="s">
        <v>15471</v>
      </c>
      <c r="D1610" s="2" t="s">
        <v>15472</v>
      </c>
      <c r="E1610" s="2" t="s">
        <v>15473</v>
      </c>
      <c r="G1610" s="3" t="s">
        <v>62</v>
      </c>
      <c r="I1610" s="3" t="s">
        <v>62</v>
      </c>
      <c r="J1610" s="3" t="s">
        <v>62</v>
      </c>
      <c r="K1610" s="3" t="s">
        <v>63</v>
      </c>
      <c r="L1610" s="2" t="s">
        <v>15474</v>
      </c>
      <c r="M1610" s="2" t="s">
        <v>15475</v>
      </c>
      <c r="N1610" s="3" t="s">
        <v>1155</v>
      </c>
      <c r="P1610" s="3" t="s">
        <v>110</v>
      </c>
      <c r="R1610" s="3" t="s">
        <v>66</v>
      </c>
      <c r="S1610" s="4">
        <v>1</v>
      </c>
      <c r="T1610" s="4">
        <v>1</v>
      </c>
      <c r="U1610" s="5" t="s">
        <v>15476</v>
      </c>
      <c r="V1610" s="5" t="s">
        <v>15476</v>
      </c>
      <c r="W1610" s="5" t="s">
        <v>67</v>
      </c>
      <c r="X1610" s="5" t="s">
        <v>67</v>
      </c>
      <c r="Y1610" s="4">
        <v>16</v>
      </c>
      <c r="Z1610" s="4">
        <v>8</v>
      </c>
      <c r="AA1610" s="4">
        <v>101</v>
      </c>
      <c r="AB1610" s="4">
        <v>1</v>
      </c>
      <c r="AC1610" s="4">
        <v>25</v>
      </c>
      <c r="AD1610" s="4">
        <v>11</v>
      </c>
      <c r="AE1610" s="4">
        <v>94</v>
      </c>
      <c r="AF1610" s="4">
        <v>0</v>
      </c>
      <c r="AG1610" s="4">
        <v>9</v>
      </c>
      <c r="AH1610" s="4">
        <v>10</v>
      </c>
      <c r="AI1610" s="4">
        <v>55</v>
      </c>
      <c r="AJ1610" s="4">
        <v>5</v>
      </c>
      <c r="AK1610" s="4">
        <v>23</v>
      </c>
      <c r="AL1610" s="4">
        <v>5</v>
      </c>
      <c r="AM1610" s="4">
        <v>27</v>
      </c>
      <c r="AN1610" s="4">
        <v>0</v>
      </c>
      <c r="AO1610" s="4">
        <v>0</v>
      </c>
      <c r="AP1610" s="4">
        <v>6</v>
      </c>
      <c r="AQ1610" s="4">
        <v>48</v>
      </c>
      <c r="AR1610" s="3" t="s">
        <v>61</v>
      </c>
      <c r="AS1610" s="3" t="s">
        <v>62</v>
      </c>
      <c r="AT1610" s="3" t="s">
        <v>62</v>
      </c>
      <c r="AV1610" s="6" t="str">
        <f>HYPERLINK("http://mcgill.on.worldcat.org/oclc/805892854","Catalog Record")</f>
        <v>Catalog Record</v>
      </c>
      <c r="AW1610" s="6" t="str">
        <f>HYPERLINK("http://www.worldcat.org/oclc/805892854","WorldCat Record")</f>
        <v>WorldCat Record</v>
      </c>
      <c r="AX1610" s="3" t="s">
        <v>15477</v>
      </c>
      <c r="AY1610" s="3" t="s">
        <v>15478</v>
      </c>
      <c r="AZ1610" s="3" t="s">
        <v>15479</v>
      </c>
      <c r="BA1610" s="3" t="s">
        <v>15479</v>
      </c>
      <c r="BB1610" s="3" t="s">
        <v>15480</v>
      </c>
      <c r="BC1610" s="3" t="s">
        <v>142</v>
      </c>
      <c r="BD1610" s="3" t="s">
        <v>68</v>
      </c>
      <c r="BE1610" s="3" t="s">
        <v>15481</v>
      </c>
      <c r="BF1610" s="3" t="s">
        <v>15480</v>
      </c>
      <c r="BG1610" s="3" t="s">
        <v>15482</v>
      </c>
    </row>
    <row r="1611" spans="1:59" ht="71.25" x14ac:dyDescent="0.45">
      <c r="A1611" s="2" t="s">
        <v>59</v>
      </c>
      <c r="B1611" s="2" t="s">
        <v>60</v>
      </c>
      <c r="C1611" s="2" t="s">
        <v>15483</v>
      </c>
      <c r="D1611" s="2" t="s">
        <v>15484</v>
      </c>
      <c r="E1611" s="2" t="s">
        <v>15485</v>
      </c>
      <c r="G1611" s="3" t="s">
        <v>62</v>
      </c>
      <c r="I1611" s="3" t="s">
        <v>62</v>
      </c>
      <c r="J1611" s="3" t="s">
        <v>62</v>
      </c>
      <c r="K1611" s="3" t="s">
        <v>63</v>
      </c>
      <c r="M1611" s="2" t="s">
        <v>15486</v>
      </c>
      <c r="N1611" s="3" t="s">
        <v>208</v>
      </c>
      <c r="P1611" s="3" t="s">
        <v>110</v>
      </c>
      <c r="R1611" s="3" t="s">
        <v>66</v>
      </c>
      <c r="S1611" s="4">
        <v>0</v>
      </c>
      <c r="T1611" s="4">
        <v>0</v>
      </c>
      <c r="W1611" s="5" t="s">
        <v>67</v>
      </c>
      <c r="X1611" s="5" t="s">
        <v>67</v>
      </c>
      <c r="Y1611" s="4">
        <v>6</v>
      </c>
      <c r="Z1611" s="4">
        <v>3</v>
      </c>
      <c r="AA1611" s="4">
        <v>18</v>
      </c>
      <c r="AB1611" s="4">
        <v>1</v>
      </c>
      <c r="AC1611" s="4">
        <v>11</v>
      </c>
      <c r="AD1611" s="4">
        <v>4</v>
      </c>
      <c r="AE1611" s="4">
        <v>15</v>
      </c>
      <c r="AF1611" s="4">
        <v>0</v>
      </c>
      <c r="AG1611" s="4">
        <v>6</v>
      </c>
      <c r="AH1611" s="4">
        <v>4</v>
      </c>
      <c r="AI1611" s="4">
        <v>7</v>
      </c>
      <c r="AJ1611" s="4">
        <v>2</v>
      </c>
      <c r="AK1611" s="4">
        <v>9</v>
      </c>
      <c r="AL1611" s="4">
        <v>2</v>
      </c>
      <c r="AM1611" s="4">
        <v>2</v>
      </c>
      <c r="AN1611" s="4">
        <v>0</v>
      </c>
      <c r="AO1611" s="4">
        <v>0</v>
      </c>
      <c r="AP1611" s="4">
        <v>2</v>
      </c>
      <c r="AQ1611" s="4">
        <v>9</v>
      </c>
      <c r="AR1611" s="3" t="s">
        <v>61</v>
      </c>
      <c r="AS1611" s="3" t="s">
        <v>62</v>
      </c>
      <c r="AT1611" s="3" t="s">
        <v>62</v>
      </c>
      <c r="AV1611" s="6" t="str">
        <f>HYPERLINK("http://mcgill.on.worldcat.org/oclc/928986495","Catalog Record")</f>
        <v>Catalog Record</v>
      </c>
      <c r="AW1611" s="6" t="str">
        <f>HYPERLINK("http://www.worldcat.org/oclc/928986495","WorldCat Record")</f>
        <v>WorldCat Record</v>
      </c>
      <c r="AX1611" s="3" t="s">
        <v>15487</v>
      </c>
      <c r="AY1611" s="3" t="s">
        <v>15488</v>
      </c>
      <c r="AZ1611" s="3" t="s">
        <v>15489</v>
      </c>
      <c r="BA1611" s="3" t="s">
        <v>15489</v>
      </c>
      <c r="BB1611" s="3" t="s">
        <v>15490</v>
      </c>
      <c r="BC1611" s="3" t="s">
        <v>142</v>
      </c>
      <c r="BD1611" s="3" t="s">
        <v>68</v>
      </c>
      <c r="BE1611" s="3" t="s">
        <v>15491</v>
      </c>
      <c r="BF1611" s="3" t="s">
        <v>15490</v>
      </c>
      <c r="BG1611" s="3" t="s">
        <v>15492</v>
      </c>
    </row>
    <row r="1612" spans="1:59" ht="57" x14ac:dyDescent="0.45">
      <c r="A1612" s="2" t="s">
        <v>59</v>
      </c>
      <c r="B1612" s="2" t="s">
        <v>60</v>
      </c>
      <c r="C1612" s="2" t="s">
        <v>15493</v>
      </c>
      <c r="D1612" s="2" t="s">
        <v>15494</v>
      </c>
      <c r="E1612" s="2" t="s">
        <v>15495</v>
      </c>
      <c r="G1612" s="3" t="s">
        <v>62</v>
      </c>
      <c r="I1612" s="3" t="s">
        <v>61</v>
      </c>
      <c r="J1612" s="3" t="s">
        <v>62</v>
      </c>
      <c r="K1612" s="3" t="s">
        <v>63</v>
      </c>
      <c r="M1612" s="2" t="s">
        <v>15496</v>
      </c>
      <c r="N1612" s="3" t="s">
        <v>945</v>
      </c>
      <c r="P1612" s="3" t="s">
        <v>65</v>
      </c>
      <c r="Q1612" s="2" t="s">
        <v>15497</v>
      </c>
      <c r="R1612" s="3" t="s">
        <v>66</v>
      </c>
      <c r="S1612" s="4">
        <v>17</v>
      </c>
      <c r="T1612" s="4">
        <v>47</v>
      </c>
      <c r="U1612" s="5" t="s">
        <v>111</v>
      </c>
      <c r="V1612" s="5" t="s">
        <v>15498</v>
      </c>
      <c r="W1612" s="5" t="s">
        <v>67</v>
      </c>
      <c r="X1612" s="5" t="s">
        <v>67</v>
      </c>
      <c r="Y1612" s="4">
        <v>103</v>
      </c>
      <c r="Z1612" s="4">
        <v>54</v>
      </c>
      <c r="AA1612" s="4">
        <v>114</v>
      </c>
      <c r="AB1612" s="4">
        <v>2</v>
      </c>
      <c r="AC1612" s="4">
        <v>20</v>
      </c>
      <c r="AD1612" s="4">
        <v>41</v>
      </c>
      <c r="AE1612" s="4">
        <v>102</v>
      </c>
      <c r="AF1612" s="4">
        <v>1</v>
      </c>
      <c r="AG1612" s="4">
        <v>9</v>
      </c>
      <c r="AH1612" s="4">
        <v>20</v>
      </c>
      <c r="AI1612" s="4">
        <v>54</v>
      </c>
      <c r="AJ1612" s="4">
        <v>15</v>
      </c>
      <c r="AK1612" s="4">
        <v>28</v>
      </c>
      <c r="AL1612" s="4">
        <v>11</v>
      </c>
      <c r="AM1612" s="4">
        <v>30</v>
      </c>
      <c r="AN1612" s="4">
        <v>0</v>
      </c>
      <c r="AO1612" s="4">
        <v>0</v>
      </c>
      <c r="AP1612" s="4">
        <v>29</v>
      </c>
      <c r="AQ1612" s="4">
        <v>57</v>
      </c>
      <c r="AR1612" s="3" t="s">
        <v>61</v>
      </c>
      <c r="AS1612" s="3" t="s">
        <v>62</v>
      </c>
      <c r="AT1612" s="3" t="s">
        <v>61</v>
      </c>
      <c r="AU1612" s="6" t="str">
        <f>HYPERLINK("http://catalog.hathitrust.org/Record/005579835","HathiTrust Record")</f>
        <v>HathiTrust Record</v>
      </c>
      <c r="AV1612" s="6" t="str">
        <f>HYPERLINK("http://mcgill.on.worldcat.org/oclc/173372028","Catalog Record")</f>
        <v>Catalog Record</v>
      </c>
      <c r="AW1612" s="6" t="str">
        <f>HYPERLINK("http://www.worldcat.org/oclc/173372028","WorldCat Record")</f>
        <v>WorldCat Record</v>
      </c>
      <c r="AX1612" s="3" t="s">
        <v>15499</v>
      </c>
      <c r="AY1612" s="3" t="s">
        <v>15500</v>
      </c>
      <c r="AZ1612" s="3" t="s">
        <v>15501</v>
      </c>
      <c r="BA1612" s="3" t="s">
        <v>15501</v>
      </c>
      <c r="BB1612" s="3" t="s">
        <v>15502</v>
      </c>
      <c r="BC1612" s="3" t="s">
        <v>142</v>
      </c>
      <c r="BD1612" s="3" t="s">
        <v>68</v>
      </c>
      <c r="BE1612" s="3" t="s">
        <v>15503</v>
      </c>
      <c r="BF1612" s="3" t="s">
        <v>15502</v>
      </c>
      <c r="BG1612" s="3" t="s">
        <v>15504</v>
      </c>
    </row>
    <row r="1613" spans="1:59" ht="57" x14ac:dyDescent="0.45">
      <c r="A1613" s="2" t="s">
        <v>59</v>
      </c>
      <c r="B1613" s="2" t="s">
        <v>60</v>
      </c>
      <c r="C1613" s="2" t="s">
        <v>15493</v>
      </c>
      <c r="D1613" s="2" t="s">
        <v>15494</v>
      </c>
      <c r="E1613" s="2" t="s">
        <v>15495</v>
      </c>
      <c r="G1613" s="3" t="s">
        <v>62</v>
      </c>
      <c r="I1613" s="3" t="s">
        <v>61</v>
      </c>
      <c r="J1613" s="3" t="s">
        <v>62</v>
      </c>
      <c r="K1613" s="3" t="s">
        <v>63</v>
      </c>
      <c r="M1613" s="2" t="s">
        <v>15496</v>
      </c>
      <c r="N1613" s="3" t="s">
        <v>945</v>
      </c>
      <c r="P1613" s="3" t="s">
        <v>65</v>
      </c>
      <c r="Q1613" s="2" t="s">
        <v>15497</v>
      </c>
      <c r="R1613" s="3" t="s">
        <v>66</v>
      </c>
      <c r="S1613" s="4">
        <v>30</v>
      </c>
      <c r="T1613" s="4">
        <v>47</v>
      </c>
      <c r="U1613" s="5" t="s">
        <v>15498</v>
      </c>
      <c r="V1613" s="5" t="s">
        <v>15498</v>
      </c>
      <c r="W1613" s="5" t="s">
        <v>67</v>
      </c>
      <c r="X1613" s="5" t="s">
        <v>67</v>
      </c>
      <c r="Y1613" s="4">
        <v>103</v>
      </c>
      <c r="Z1613" s="4">
        <v>54</v>
      </c>
      <c r="AA1613" s="4">
        <v>114</v>
      </c>
      <c r="AB1613" s="4">
        <v>2</v>
      </c>
      <c r="AC1613" s="4">
        <v>20</v>
      </c>
      <c r="AD1613" s="4">
        <v>41</v>
      </c>
      <c r="AE1613" s="4">
        <v>102</v>
      </c>
      <c r="AF1613" s="4">
        <v>1</v>
      </c>
      <c r="AG1613" s="4">
        <v>9</v>
      </c>
      <c r="AH1613" s="4">
        <v>20</v>
      </c>
      <c r="AI1613" s="4">
        <v>54</v>
      </c>
      <c r="AJ1613" s="4">
        <v>15</v>
      </c>
      <c r="AK1613" s="4">
        <v>28</v>
      </c>
      <c r="AL1613" s="4">
        <v>11</v>
      </c>
      <c r="AM1613" s="4">
        <v>30</v>
      </c>
      <c r="AN1613" s="4">
        <v>0</v>
      </c>
      <c r="AO1613" s="4">
        <v>0</v>
      </c>
      <c r="AP1613" s="4">
        <v>29</v>
      </c>
      <c r="AQ1613" s="4">
        <v>57</v>
      </c>
      <c r="AR1613" s="3" t="s">
        <v>61</v>
      </c>
      <c r="AS1613" s="3" t="s">
        <v>62</v>
      </c>
      <c r="AT1613" s="3" t="s">
        <v>61</v>
      </c>
      <c r="AU1613" s="6" t="str">
        <f>HYPERLINK("http://catalog.hathitrust.org/Record/005579835","HathiTrust Record")</f>
        <v>HathiTrust Record</v>
      </c>
      <c r="AV1613" s="6" t="str">
        <f>HYPERLINK("http://mcgill.on.worldcat.org/oclc/173372028","Catalog Record")</f>
        <v>Catalog Record</v>
      </c>
      <c r="AW1613" s="6" t="str">
        <f>HYPERLINK("http://www.worldcat.org/oclc/173372028","WorldCat Record")</f>
        <v>WorldCat Record</v>
      </c>
      <c r="AX1613" s="3" t="s">
        <v>15499</v>
      </c>
      <c r="AY1613" s="3" t="s">
        <v>15500</v>
      </c>
      <c r="AZ1613" s="3" t="s">
        <v>15501</v>
      </c>
      <c r="BA1613" s="3" t="s">
        <v>15501</v>
      </c>
      <c r="BB1613" s="3" t="s">
        <v>15505</v>
      </c>
      <c r="BC1613" s="3" t="s">
        <v>142</v>
      </c>
      <c r="BD1613" s="3" t="s">
        <v>68</v>
      </c>
      <c r="BE1613" s="3" t="s">
        <v>15503</v>
      </c>
      <c r="BF1613" s="3" t="s">
        <v>15505</v>
      </c>
      <c r="BG1613" s="3" t="s">
        <v>15506</v>
      </c>
    </row>
    <row r="1614" spans="1:59" ht="57" x14ac:dyDescent="0.45">
      <c r="A1614" s="2" t="s">
        <v>59</v>
      </c>
      <c r="B1614" s="2" t="s">
        <v>60</v>
      </c>
      <c r="C1614" s="2" t="s">
        <v>15507</v>
      </c>
      <c r="D1614" s="2" t="s">
        <v>15508</v>
      </c>
      <c r="E1614" s="2" t="s">
        <v>15509</v>
      </c>
      <c r="G1614" s="3" t="s">
        <v>62</v>
      </c>
      <c r="I1614" s="3" t="s">
        <v>61</v>
      </c>
      <c r="J1614" s="3" t="s">
        <v>62</v>
      </c>
      <c r="K1614" s="3" t="s">
        <v>63</v>
      </c>
      <c r="L1614" s="2" t="s">
        <v>15510</v>
      </c>
      <c r="M1614" s="2" t="s">
        <v>15511</v>
      </c>
      <c r="N1614" s="3" t="s">
        <v>340</v>
      </c>
      <c r="P1614" s="3" t="s">
        <v>65</v>
      </c>
      <c r="R1614" s="3" t="s">
        <v>66</v>
      </c>
      <c r="S1614" s="4">
        <v>0</v>
      </c>
      <c r="T1614" s="4">
        <v>14</v>
      </c>
      <c r="V1614" s="5" t="s">
        <v>3557</v>
      </c>
      <c r="W1614" s="5" t="s">
        <v>67</v>
      </c>
      <c r="X1614" s="5" t="s">
        <v>67</v>
      </c>
      <c r="Y1614" s="4">
        <v>151</v>
      </c>
      <c r="Z1614" s="4">
        <v>62</v>
      </c>
      <c r="AA1614" s="4">
        <v>85</v>
      </c>
      <c r="AB1614" s="4">
        <v>5</v>
      </c>
      <c r="AC1614" s="4">
        <v>10</v>
      </c>
      <c r="AD1614" s="4">
        <v>76</v>
      </c>
      <c r="AE1614" s="4">
        <v>97</v>
      </c>
      <c r="AF1614" s="4">
        <v>2</v>
      </c>
      <c r="AG1614" s="4">
        <v>6</v>
      </c>
      <c r="AH1614" s="4">
        <v>47</v>
      </c>
      <c r="AI1614" s="4">
        <v>58</v>
      </c>
      <c r="AJ1614" s="4">
        <v>19</v>
      </c>
      <c r="AK1614" s="4">
        <v>28</v>
      </c>
      <c r="AL1614" s="4">
        <v>28</v>
      </c>
      <c r="AM1614" s="4">
        <v>34</v>
      </c>
      <c r="AN1614" s="4">
        <v>0</v>
      </c>
      <c r="AO1614" s="4">
        <v>0</v>
      </c>
      <c r="AP1614" s="4">
        <v>37</v>
      </c>
      <c r="AQ1614" s="4">
        <v>49</v>
      </c>
      <c r="AR1614" s="3" t="s">
        <v>61</v>
      </c>
      <c r="AS1614" s="3" t="s">
        <v>62</v>
      </c>
      <c r="AT1614" s="3" t="s">
        <v>62</v>
      </c>
      <c r="AU1614" s="6" t="str">
        <f t="shared" ref="AU1614:AU1619" si="27">HYPERLINK("http://catalog.hathitrust.org/Record/001193092","HathiTrust Record")</f>
        <v>HathiTrust Record</v>
      </c>
      <c r="AV1614" s="6" t="str">
        <f t="shared" ref="AV1614:AV1619" si="28">HYPERLINK("http://mcgill.on.worldcat.org/oclc/2681923","Catalog Record")</f>
        <v>Catalog Record</v>
      </c>
      <c r="AW1614" s="6" t="str">
        <f t="shared" ref="AW1614:AW1619" si="29">HYPERLINK("http://www.worldcat.org/oclc/2681923","WorldCat Record")</f>
        <v>WorldCat Record</v>
      </c>
      <c r="AX1614" s="3" t="s">
        <v>15512</v>
      </c>
      <c r="AY1614" s="3" t="s">
        <v>15513</v>
      </c>
      <c r="AZ1614" s="3" t="s">
        <v>15514</v>
      </c>
      <c r="BA1614" s="3" t="s">
        <v>15514</v>
      </c>
      <c r="BB1614" s="3" t="s">
        <v>15515</v>
      </c>
      <c r="BC1614" s="3" t="s">
        <v>142</v>
      </c>
      <c r="BD1614" s="3" t="s">
        <v>68</v>
      </c>
      <c r="BF1614" s="3" t="s">
        <v>15515</v>
      </c>
      <c r="BG1614" s="3" t="s">
        <v>15516</v>
      </c>
    </row>
    <row r="1615" spans="1:59" ht="57" x14ac:dyDescent="0.45">
      <c r="A1615" s="2" t="s">
        <v>59</v>
      </c>
      <c r="B1615" s="2" t="s">
        <v>60</v>
      </c>
      <c r="C1615" s="2" t="s">
        <v>15507</v>
      </c>
      <c r="D1615" s="2" t="s">
        <v>15508</v>
      </c>
      <c r="E1615" s="2" t="s">
        <v>15509</v>
      </c>
      <c r="G1615" s="3" t="s">
        <v>62</v>
      </c>
      <c r="I1615" s="3" t="s">
        <v>61</v>
      </c>
      <c r="J1615" s="3" t="s">
        <v>62</v>
      </c>
      <c r="K1615" s="3" t="s">
        <v>63</v>
      </c>
      <c r="L1615" s="2" t="s">
        <v>15510</v>
      </c>
      <c r="M1615" s="2" t="s">
        <v>15511</v>
      </c>
      <c r="N1615" s="3" t="s">
        <v>340</v>
      </c>
      <c r="P1615" s="3" t="s">
        <v>65</v>
      </c>
      <c r="R1615" s="3" t="s">
        <v>66</v>
      </c>
      <c r="S1615" s="4">
        <v>6</v>
      </c>
      <c r="T1615" s="4">
        <v>14</v>
      </c>
      <c r="U1615" s="5" t="s">
        <v>15517</v>
      </c>
      <c r="V1615" s="5" t="s">
        <v>3557</v>
      </c>
      <c r="W1615" s="5" t="s">
        <v>67</v>
      </c>
      <c r="X1615" s="5" t="s">
        <v>67</v>
      </c>
      <c r="Y1615" s="4">
        <v>151</v>
      </c>
      <c r="Z1615" s="4">
        <v>62</v>
      </c>
      <c r="AA1615" s="4">
        <v>85</v>
      </c>
      <c r="AB1615" s="4">
        <v>5</v>
      </c>
      <c r="AC1615" s="4">
        <v>10</v>
      </c>
      <c r="AD1615" s="4">
        <v>76</v>
      </c>
      <c r="AE1615" s="4">
        <v>97</v>
      </c>
      <c r="AF1615" s="4">
        <v>2</v>
      </c>
      <c r="AG1615" s="4">
        <v>6</v>
      </c>
      <c r="AH1615" s="4">
        <v>47</v>
      </c>
      <c r="AI1615" s="4">
        <v>58</v>
      </c>
      <c r="AJ1615" s="4">
        <v>19</v>
      </c>
      <c r="AK1615" s="4">
        <v>28</v>
      </c>
      <c r="AL1615" s="4">
        <v>28</v>
      </c>
      <c r="AM1615" s="4">
        <v>34</v>
      </c>
      <c r="AN1615" s="4">
        <v>0</v>
      </c>
      <c r="AO1615" s="4">
        <v>0</v>
      </c>
      <c r="AP1615" s="4">
        <v>37</v>
      </c>
      <c r="AQ1615" s="4">
        <v>49</v>
      </c>
      <c r="AR1615" s="3" t="s">
        <v>61</v>
      </c>
      <c r="AS1615" s="3" t="s">
        <v>62</v>
      </c>
      <c r="AT1615" s="3" t="s">
        <v>62</v>
      </c>
      <c r="AU1615" s="6" t="str">
        <f t="shared" si="27"/>
        <v>HathiTrust Record</v>
      </c>
      <c r="AV1615" s="6" t="str">
        <f t="shared" si="28"/>
        <v>Catalog Record</v>
      </c>
      <c r="AW1615" s="6" t="str">
        <f t="shared" si="29"/>
        <v>WorldCat Record</v>
      </c>
      <c r="AX1615" s="3" t="s">
        <v>15512</v>
      </c>
      <c r="AY1615" s="3" t="s">
        <v>15513</v>
      </c>
      <c r="AZ1615" s="3" t="s">
        <v>15514</v>
      </c>
      <c r="BA1615" s="3" t="s">
        <v>15514</v>
      </c>
      <c r="BB1615" s="3" t="s">
        <v>15518</v>
      </c>
      <c r="BC1615" s="3" t="s">
        <v>142</v>
      </c>
      <c r="BD1615" s="3" t="s">
        <v>68</v>
      </c>
      <c r="BF1615" s="3" t="s">
        <v>15518</v>
      </c>
      <c r="BG1615" s="3" t="s">
        <v>15519</v>
      </c>
    </row>
    <row r="1616" spans="1:59" ht="57" x14ac:dyDescent="0.45">
      <c r="A1616" s="2" t="s">
        <v>59</v>
      </c>
      <c r="B1616" s="2" t="s">
        <v>60</v>
      </c>
      <c r="C1616" s="2" t="s">
        <v>15507</v>
      </c>
      <c r="D1616" s="2" t="s">
        <v>15508</v>
      </c>
      <c r="E1616" s="2" t="s">
        <v>15509</v>
      </c>
      <c r="G1616" s="3" t="s">
        <v>62</v>
      </c>
      <c r="I1616" s="3" t="s">
        <v>61</v>
      </c>
      <c r="J1616" s="3" t="s">
        <v>62</v>
      </c>
      <c r="K1616" s="3" t="s">
        <v>63</v>
      </c>
      <c r="L1616" s="2" t="s">
        <v>15510</v>
      </c>
      <c r="M1616" s="2" t="s">
        <v>15511</v>
      </c>
      <c r="N1616" s="3" t="s">
        <v>340</v>
      </c>
      <c r="P1616" s="3" t="s">
        <v>65</v>
      </c>
      <c r="R1616" s="3" t="s">
        <v>66</v>
      </c>
      <c r="S1616" s="4">
        <v>0</v>
      </c>
      <c r="T1616" s="4">
        <v>14</v>
      </c>
      <c r="V1616" s="5" t="s">
        <v>3557</v>
      </c>
      <c r="W1616" s="5" t="s">
        <v>67</v>
      </c>
      <c r="X1616" s="5" t="s">
        <v>67</v>
      </c>
      <c r="Y1616" s="4">
        <v>151</v>
      </c>
      <c r="Z1616" s="4">
        <v>62</v>
      </c>
      <c r="AA1616" s="4">
        <v>85</v>
      </c>
      <c r="AB1616" s="4">
        <v>5</v>
      </c>
      <c r="AC1616" s="4">
        <v>10</v>
      </c>
      <c r="AD1616" s="4">
        <v>76</v>
      </c>
      <c r="AE1616" s="4">
        <v>97</v>
      </c>
      <c r="AF1616" s="4">
        <v>2</v>
      </c>
      <c r="AG1616" s="4">
        <v>6</v>
      </c>
      <c r="AH1616" s="4">
        <v>47</v>
      </c>
      <c r="AI1616" s="4">
        <v>58</v>
      </c>
      <c r="AJ1616" s="4">
        <v>19</v>
      </c>
      <c r="AK1616" s="4">
        <v>28</v>
      </c>
      <c r="AL1616" s="4">
        <v>28</v>
      </c>
      <c r="AM1616" s="4">
        <v>34</v>
      </c>
      <c r="AN1616" s="4">
        <v>0</v>
      </c>
      <c r="AO1616" s="4">
        <v>0</v>
      </c>
      <c r="AP1616" s="4">
        <v>37</v>
      </c>
      <c r="AQ1616" s="4">
        <v>49</v>
      </c>
      <c r="AR1616" s="3" t="s">
        <v>61</v>
      </c>
      <c r="AS1616" s="3" t="s">
        <v>62</v>
      </c>
      <c r="AT1616" s="3" t="s">
        <v>62</v>
      </c>
      <c r="AU1616" s="6" t="str">
        <f t="shared" si="27"/>
        <v>HathiTrust Record</v>
      </c>
      <c r="AV1616" s="6" t="str">
        <f t="shared" si="28"/>
        <v>Catalog Record</v>
      </c>
      <c r="AW1616" s="6" t="str">
        <f t="shared" si="29"/>
        <v>WorldCat Record</v>
      </c>
      <c r="AX1616" s="3" t="s">
        <v>15512</v>
      </c>
      <c r="AY1616" s="3" t="s">
        <v>15513</v>
      </c>
      <c r="AZ1616" s="3" t="s">
        <v>15514</v>
      </c>
      <c r="BA1616" s="3" t="s">
        <v>15514</v>
      </c>
      <c r="BB1616" s="3" t="s">
        <v>15520</v>
      </c>
      <c r="BC1616" s="3" t="s">
        <v>142</v>
      </c>
      <c r="BD1616" s="3" t="s">
        <v>68</v>
      </c>
      <c r="BF1616" s="3" t="s">
        <v>15520</v>
      </c>
      <c r="BG1616" s="3" t="s">
        <v>15521</v>
      </c>
    </row>
    <row r="1617" spans="1:59" ht="57" x14ac:dyDescent="0.45">
      <c r="A1617" s="2" t="s">
        <v>59</v>
      </c>
      <c r="B1617" s="2" t="s">
        <v>60</v>
      </c>
      <c r="C1617" s="2" t="s">
        <v>15522</v>
      </c>
      <c r="D1617" s="2" t="s">
        <v>15523</v>
      </c>
      <c r="E1617" s="2" t="s">
        <v>15509</v>
      </c>
      <c r="G1617" s="3" t="s">
        <v>62</v>
      </c>
      <c r="I1617" s="3" t="s">
        <v>61</v>
      </c>
      <c r="J1617" s="3" t="s">
        <v>62</v>
      </c>
      <c r="K1617" s="3" t="s">
        <v>63</v>
      </c>
      <c r="L1617" s="2" t="s">
        <v>15510</v>
      </c>
      <c r="M1617" s="2" t="s">
        <v>15511</v>
      </c>
      <c r="N1617" s="3" t="s">
        <v>340</v>
      </c>
      <c r="P1617" s="3" t="s">
        <v>65</v>
      </c>
      <c r="R1617" s="3" t="s">
        <v>66</v>
      </c>
      <c r="S1617" s="4">
        <v>1</v>
      </c>
      <c r="T1617" s="4">
        <v>14</v>
      </c>
      <c r="U1617" s="5" t="s">
        <v>15524</v>
      </c>
      <c r="V1617" s="5" t="s">
        <v>3557</v>
      </c>
      <c r="W1617" s="5" t="s">
        <v>67</v>
      </c>
      <c r="X1617" s="5" t="s">
        <v>67</v>
      </c>
      <c r="Y1617" s="4">
        <v>151</v>
      </c>
      <c r="Z1617" s="4">
        <v>62</v>
      </c>
      <c r="AA1617" s="4">
        <v>85</v>
      </c>
      <c r="AB1617" s="4">
        <v>5</v>
      </c>
      <c r="AC1617" s="4">
        <v>10</v>
      </c>
      <c r="AD1617" s="4">
        <v>76</v>
      </c>
      <c r="AE1617" s="4">
        <v>97</v>
      </c>
      <c r="AF1617" s="4">
        <v>2</v>
      </c>
      <c r="AG1617" s="4">
        <v>6</v>
      </c>
      <c r="AH1617" s="4">
        <v>47</v>
      </c>
      <c r="AI1617" s="4">
        <v>58</v>
      </c>
      <c r="AJ1617" s="4">
        <v>19</v>
      </c>
      <c r="AK1617" s="4">
        <v>28</v>
      </c>
      <c r="AL1617" s="4">
        <v>28</v>
      </c>
      <c r="AM1617" s="4">
        <v>34</v>
      </c>
      <c r="AN1617" s="4">
        <v>0</v>
      </c>
      <c r="AO1617" s="4">
        <v>0</v>
      </c>
      <c r="AP1617" s="4">
        <v>37</v>
      </c>
      <c r="AQ1617" s="4">
        <v>49</v>
      </c>
      <c r="AR1617" s="3" t="s">
        <v>61</v>
      </c>
      <c r="AS1617" s="3" t="s">
        <v>62</v>
      </c>
      <c r="AT1617" s="3" t="s">
        <v>62</v>
      </c>
      <c r="AU1617" s="6" t="str">
        <f t="shared" si="27"/>
        <v>HathiTrust Record</v>
      </c>
      <c r="AV1617" s="6" t="str">
        <f t="shared" si="28"/>
        <v>Catalog Record</v>
      </c>
      <c r="AW1617" s="6" t="str">
        <f t="shared" si="29"/>
        <v>WorldCat Record</v>
      </c>
      <c r="AX1617" s="3" t="s">
        <v>15512</v>
      </c>
      <c r="AY1617" s="3" t="s">
        <v>15513</v>
      </c>
      <c r="AZ1617" s="3" t="s">
        <v>15514</v>
      </c>
      <c r="BA1617" s="3" t="s">
        <v>15514</v>
      </c>
      <c r="BB1617" s="3" t="s">
        <v>15525</v>
      </c>
      <c r="BC1617" s="3" t="s">
        <v>142</v>
      </c>
      <c r="BD1617" s="3" t="s">
        <v>68</v>
      </c>
      <c r="BF1617" s="3" t="s">
        <v>15525</v>
      </c>
      <c r="BG1617" s="3" t="s">
        <v>15526</v>
      </c>
    </row>
    <row r="1618" spans="1:59" ht="57" x14ac:dyDescent="0.45">
      <c r="A1618" s="2" t="s">
        <v>59</v>
      </c>
      <c r="B1618" s="2" t="s">
        <v>60</v>
      </c>
      <c r="C1618" s="2" t="s">
        <v>15522</v>
      </c>
      <c r="D1618" s="2" t="s">
        <v>15523</v>
      </c>
      <c r="E1618" s="2" t="s">
        <v>15509</v>
      </c>
      <c r="G1618" s="3" t="s">
        <v>62</v>
      </c>
      <c r="I1618" s="3" t="s">
        <v>61</v>
      </c>
      <c r="J1618" s="3" t="s">
        <v>62</v>
      </c>
      <c r="K1618" s="3" t="s">
        <v>63</v>
      </c>
      <c r="L1618" s="2" t="s">
        <v>15510</v>
      </c>
      <c r="M1618" s="2" t="s">
        <v>15511</v>
      </c>
      <c r="N1618" s="3" t="s">
        <v>340</v>
      </c>
      <c r="P1618" s="3" t="s">
        <v>65</v>
      </c>
      <c r="R1618" s="3" t="s">
        <v>66</v>
      </c>
      <c r="S1618" s="4">
        <v>5</v>
      </c>
      <c r="T1618" s="4">
        <v>14</v>
      </c>
      <c r="U1618" s="5" t="s">
        <v>10739</v>
      </c>
      <c r="V1618" s="5" t="s">
        <v>3557</v>
      </c>
      <c r="W1618" s="5" t="s">
        <v>67</v>
      </c>
      <c r="X1618" s="5" t="s">
        <v>67</v>
      </c>
      <c r="Y1618" s="4">
        <v>151</v>
      </c>
      <c r="Z1618" s="4">
        <v>62</v>
      </c>
      <c r="AA1618" s="4">
        <v>85</v>
      </c>
      <c r="AB1618" s="4">
        <v>5</v>
      </c>
      <c r="AC1618" s="4">
        <v>10</v>
      </c>
      <c r="AD1618" s="4">
        <v>76</v>
      </c>
      <c r="AE1618" s="4">
        <v>97</v>
      </c>
      <c r="AF1618" s="4">
        <v>2</v>
      </c>
      <c r="AG1618" s="4">
        <v>6</v>
      </c>
      <c r="AH1618" s="4">
        <v>47</v>
      </c>
      <c r="AI1618" s="4">
        <v>58</v>
      </c>
      <c r="AJ1618" s="4">
        <v>19</v>
      </c>
      <c r="AK1618" s="4">
        <v>28</v>
      </c>
      <c r="AL1618" s="4">
        <v>28</v>
      </c>
      <c r="AM1618" s="4">
        <v>34</v>
      </c>
      <c r="AN1618" s="4">
        <v>0</v>
      </c>
      <c r="AO1618" s="4">
        <v>0</v>
      </c>
      <c r="AP1618" s="4">
        <v>37</v>
      </c>
      <c r="AQ1618" s="4">
        <v>49</v>
      </c>
      <c r="AR1618" s="3" t="s">
        <v>61</v>
      </c>
      <c r="AS1618" s="3" t="s">
        <v>62</v>
      </c>
      <c r="AT1618" s="3" t="s">
        <v>62</v>
      </c>
      <c r="AU1618" s="6" t="str">
        <f t="shared" si="27"/>
        <v>HathiTrust Record</v>
      </c>
      <c r="AV1618" s="6" t="str">
        <f t="shared" si="28"/>
        <v>Catalog Record</v>
      </c>
      <c r="AW1618" s="6" t="str">
        <f t="shared" si="29"/>
        <v>WorldCat Record</v>
      </c>
      <c r="AX1618" s="3" t="s">
        <v>15512</v>
      </c>
      <c r="AY1618" s="3" t="s">
        <v>15513</v>
      </c>
      <c r="AZ1618" s="3" t="s">
        <v>15514</v>
      </c>
      <c r="BA1618" s="3" t="s">
        <v>15514</v>
      </c>
      <c r="BB1618" s="3" t="s">
        <v>15527</v>
      </c>
      <c r="BC1618" s="3" t="s">
        <v>142</v>
      </c>
      <c r="BD1618" s="3" t="s">
        <v>68</v>
      </c>
      <c r="BF1618" s="3" t="s">
        <v>15527</v>
      </c>
      <c r="BG1618" s="3" t="s">
        <v>15528</v>
      </c>
    </row>
    <row r="1619" spans="1:59" ht="57" x14ac:dyDescent="0.45">
      <c r="A1619" s="2" t="s">
        <v>59</v>
      </c>
      <c r="B1619" s="2" t="s">
        <v>60</v>
      </c>
      <c r="C1619" s="2" t="s">
        <v>15522</v>
      </c>
      <c r="D1619" s="2" t="s">
        <v>15523</v>
      </c>
      <c r="E1619" s="2" t="s">
        <v>15509</v>
      </c>
      <c r="G1619" s="3" t="s">
        <v>62</v>
      </c>
      <c r="I1619" s="3" t="s">
        <v>61</v>
      </c>
      <c r="J1619" s="3" t="s">
        <v>62</v>
      </c>
      <c r="K1619" s="3" t="s">
        <v>63</v>
      </c>
      <c r="L1619" s="2" t="s">
        <v>15510</v>
      </c>
      <c r="M1619" s="2" t="s">
        <v>15511</v>
      </c>
      <c r="N1619" s="3" t="s">
        <v>340</v>
      </c>
      <c r="P1619" s="3" t="s">
        <v>65</v>
      </c>
      <c r="R1619" s="3" t="s">
        <v>66</v>
      </c>
      <c r="S1619" s="4">
        <v>2</v>
      </c>
      <c r="T1619" s="4">
        <v>14</v>
      </c>
      <c r="U1619" s="5" t="s">
        <v>3557</v>
      </c>
      <c r="V1619" s="5" t="s">
        <v>3557</v>
      </c>
      <c r="W1619" s="5" t="s">
        <v>67</v>
      </c>
      <c r="X1619" s="5" t="s">
        <v>67</v>
      </c>
      <c r="Y1619" s="4">
        <v>151</v>
      </c>
      <c r="Z1619" s="4">
        <v>62</v>
      </c>
      <c r="AA1619" s="4">
        <v>85</v>
      </c>
      <c r="AB1619" s="4">
        <v>5</v>
      </c>
      <c r="AC1619" s="4">
        <v>10</v>
      </c>
      <c r="AD1619" s="4">
        <v>76</v>
      </c>
      <c r="AE1619" s="4">
        <v>97</v>
      </c>
      <c r="AF1619" s="4">
        <v>2</v>
      </c>
      <c r="AG1619" s="4">
        <v>6</v>
      </c>
      <c r="AH1619" s="4">
        <v>47</v>
      </c>
      <c r="AI1619" s="4">
        <v>58</v>
      </c>
      <c r="AJ1619" s="4">
        <v>19</v>
      </c>
      <c r="AK1619" s="4">
        <v>28</v>
      </c>
      <c r="AL1619" s="4">
        <v>28</v>
      </c>
      <c r="AM1619" s="4">
        <v>34</v>
      </c>
      <c r="AN1619" s="4">
        <v>0</v>
      </c>
      <c r="AO1619" s="4">
        <v>0</v>
      </c>
      <c r="AP1619" s="4">
        <v>37</v>
      </c>
      <c r="AQ1619" s="4">
        <v>49</v>
      </c>
      <c r="AR1619" s="3" t="s">
        <v>61</v>
      </c>
      <c r="AS1619" s="3" t="s">
        <v>62</v>
      </c>
      <c r="AT1619" s="3" t="s">
        <v>62</v>
      </c>
      <c r="AU1619" s="6" t="str">
        <f t="shared" si="27"/>
        <v>HathiTrust Record</v>
      </c>
      <c r="AV1619" s="6" t="str">
        <f t="shared" si="28"/>
        <v>Catalog Record</v>
      </c>
      <c r="AW1619" s="6" t="str">
        <f t="shared" si="29"/>
        <v>WorldCat Record</v>
      </c>
      <c r="AX1619" s="3" t="s">
        <v>15512</v>
      </c>
      <c r="AY1619" s="3" t="s">
        <v>15513</v>
      </c>
      <c r="AZ1619" s="3" t="s">
        <v>15514</v>
      </c>
      <c r="BA1619" s="3" t="s">
        <v>15514</v>
      </c>
      <c r="BB1619" s="3" t="s">
        <v>15529</v>
      </c>
      <c r="BC1619" s="3" t="s">
        <v>142</v>
      </c>
      <c r="BD1619" s="3" t="s">
        <v>68</v>
      </c>
      <c r="BF1619" s="3" t="s">
        <v>15529</v>
      </c>
      <c r="BG1619" s="3" t="s">
        <v>15530</v>
      </c>
    </row>
    <row r="1620" spans="1:59" ht="57" x14ac:dyDescent="0.45">
      <c r="A1620" s="2" t="s">
        <v>59</v>
      </c>
      <c r="B1620" s="2" t="s">
        <v>60</v>
      </c>
      <c r="C1620" s="2" t="s">
        <v>15531</v>
      </c>
      <c r="D1620" s="2" t="s">
        <v>15532</v>
      </c>
      <c r="E1620" s="2" t="s">
        <v>15533</v>
      </c>
      <c r="G1620" s="3" t="s">
        <v>62</v>
      </c>
      <c r="I1620" s="3" t="s">
        <v>61</v>
      </c>
      <c r="J1620" s="3" t="s">
        <v>61</v>
      </c>
      <c r="K1620" s="3" t="s">
        <v>63</v>
      </c>
      <c r="L1620" s="2" t="s">
        <v>15534</v>
      </c>
      <c r="M1620" s="2" t="s">
        <v>15535</v>
      </c>
      <c r="N1620" s="3" t="s">
        <v>1097</v>
      </c>
      <c r="O1620" s="2" t="s">
        <v>919</v>
      </c>
      <c r="P1620" s="3" t="s">
        <v>65</v>
      </c>
      <c r="R1620" s="3" t="s">
        <v>66</v>
      </c>
      <c r="S1620" s="4">
        <v>44</v>
      </c>
      <c r="T1620" s="4">
        <v>46</v>
      </c>
      <c r="U1620" s="5" t="s">
        <v>15536</v>
      </c>
      <c r="V1620" s="5" t="s">
        <v>7295</v>
      </c>
      <c r="W1620" s="5" t="s">
        <v>67</v>
      </c>
      <c r="X1620" s="5" t="s">
        <v>67</v>
      </c>
      <c r="Y1620" s="4">
        <v>77</v>
      </c>
      <c r="Z1620" s="4">
        <v>55</v>
      </c>
      <c r="AA1620" s="4">
        <v>143</v>
      </c>
      <c r="AB1620" s="4">
        <v>3</v>
      </c>
      <c r="AC1620" s="4">
        <v>20</v>
      </c>
      <c r="AD1620" s="4">
        <v>27</v>
      </c>
      <c r="AE1620" s="4">
        <v>129</v>
      </c>
      <c r="AF1620" s="4">
        <v>1</v>
      </c>
      <c r="AG1620" s="4">
        <v>8</v>
      </c>
      <c r="AH1620" s="4">
        <v>11</v>
      </c>
      <c r="AI1620" s="4">
        <v>81</v>
      </c>
      <c r="AJ1620" s="4">
        <v>19</v>
      </c>
      <c r="AK1620" s="4">
        <v>29</v>
      </c>
      <c r="AL1620" s="4">
        <v>2</v>
      </c>
      <c r="AM1620" s="4">
        <v>36</v>
      </c>
      <c r="AN1620" s="4">
        <v>0</v>
      </c>
      <c r="AO1620" s="4">
        <v>0</v>
      </c>
      <c r="AP1620" s="4">
        <v>25</v>
      </c>
      <c r="AQ1620" s="4">
        <v>58</v>
      </c>
      <c r="AR1620" s="3" t="s">
        <v>61</v>
      </c>
      <c r="AS1620" s="3" t="s">
        <v>62</v>
      </c>
      <c r="AT1620" s="3" t="s">
        <v>62</v>
      </c>
      <c r="AV1620" s="6" t="str">
        <f>HYPERLINK("http://mcgill.on.worldcat.org/oclc/52747808","Catalog Record")</f>
        <v>Catalog Record</v>
      </c>
      <c r="AW1620" s="6" t="str">
        <f>HYPERLINK("http://www.worldcat.org/oclc/52747808","WorldCat Record")</f>
        <v>WorldCat Record</v>
      </c>
      <c r="AX1620" s="3" t="s">
        <v>15537</v>
      </c>
      <c r="AY1620" s="3" t="s">
        <v>15538</v>
      </c>
      <c r="AZ1620" s="3" t="s">
        <v>15539</v>
      </c>
      <c r="BA1620" s="3" t="s">
        <v>15539</v>
      </c>
      <c r="BB1620" s="3" t="s">
        <v>15540</v>
      </c>
      <c r="BC1620" s="3" t="s">
        <v>142</v>
      </c>
      <c r="BD1620" s="3" t="s">
        <v>68</v>
      </c>
      <c r="BE1620" s="3" t="s">
        <v>15541</v>
      </c>
      <c r="BF1620" s="3" t="s">
        <v>15540</v>
      </c>
      <c r="BG1620" s="3" t="s">
        <v>15542</v>
      </c>
    </row>
    <row r="1621" spans="1:59" ht="57" x14ac:dyDescent="0.45">
      <c r="A1621" s="2" t="s">
        <v>59</v>
      </c>
      <c r="B1621" s="2" t="s">
        <v>60</v>
      </c>
      <c r="C1621" s="2" t="s">
        <v>15531</v>
      </c>
      <c r="D1621" s="2" t="s">
        <v>15532</v>
      </c>
      <c r="E1621" s="2" t="s">
        <v>15533</v>
      </c>
      <c r="G1621" s="3" t="s">
        <v>62</v>
      </c>
      <c r="I1621" s="3" t="s">
        <v>61</v>
      </c>
      <c r="J1621" s="3" t="s">
        <v>61</v>
      </c>
      <c r="K1621" s="3" t="s">
        <v>63</v>
      </c>
      <c r="L1621" s="2" t="s">
        <v>15534</v>
      </c>
      <c r="M1621" s="2" t="s">
        <v>15535</v>
      </c>
      <c r="N1621" s="3" t="s">
        <v>1097</v>
      </c>
      <c r="O1621" s="2" t="s">
        <v>919</v>
      </c>
      <c r="P1621" s="3" t="s">
        <v>65</v>
      </c>
      <c r="R1621" s="3" t="s">
        <v>66</v>
      </c>
      <c r="S1621" s="4">
        <v>2</v>
      </c>
      <c r="T1621" s="4">
        <v>46</v>
      </c>
      <c r="U1621" s="5" t="s">
        <v>7295</v>
      </c>
      <c r="V1621" s="5" t="s">
        <v>7295</v>
      </c>
      <c r="W1621" s="5" t="s">
        <v>67</v>
      </c>
      <c r="X1621" s="5" t="s">
        <v>67</v>
      </c>
      <c r="Y1621" s="4">
        <v>77</v>
      </c>
      <c r="Z1621" s="4">
        <v>55</v>
      </c>
      <c r="AA1621" s="4">
        <v>143</v>
      </c>
      <c r="AB1621" s="4">
        <v>3</v>
      </c>
      <c r="AC1621" s="4">
        <v>20</v>
      </c>
      <c r="AD1621" s="4">
        <v>27</v>
      </c>
      <c r="AE1621" s="4">
        <v>129</v>
      </c>
      <c r="AF1621" s="4">
        <v>1</v>
      </c>
      <c r="AG1621" s="4">
        <v>8</v>
      </c>
      <c r="AH1621" s="4">
        <v>11</v>
      </c>
      <c r="AI1621" s="4">
        <v>81</v>
      </c>
      <c r="AJ1621" s="4">
        <v>19</v>
      </c>
      <c r="AK1621" s="4">
        <v>29</v>
      </c>
      <c r="AL1621" s="4">
        <v>2</v>
      </c>
      <c r="AM1621" s="4">
        <v>36</v>
      </c>
      <c r="AN1621" s="4">
        <v>0</v>
      </c>
      <c r="AO1621" s="4">
        <v>0</v>
      </c>
      <c r="AP1621" s="4">
        <v>25</v>
      </c>
      <c r="AQ1621" s="4">
        <v>58</v>
      </c>
      <c r="AR1621" s="3" t="s">
        <v>61</v>
      </c>
      <c r="AS1621" s="3" t="s">
        <v>62</v>
      </c>
      <c r="AT1621" s="3" t="s">
        <v>62</v>
      </c>
      <c r="AV1621" s="6" t="str">
        <f>HYPERLINK("http://mcgill.on.worldcat.org/oclc/52747808","Catalog Record")</f>
        <v>Catalog Record</v>
      </c>
      <c r="AW1621" s="6" t="str">
        <f>HYPERLINK("http://www.worldcat.org/oclc/52747808","WorldCat Record")</f>
        <v>WorldCat Record</v>
      </c>
      <c r="AX1621" s="3" t="s">
        <v>15537</v>
      </c>
      <c r="AY1621" s="3" t="s">
        <v>15538</v>
      </c>
      <c r="AZ1621" s="3" t="s">
        <v>15539</v>
      </c>
      <c r="BA1621" s="3" t="s">
        <v>15539</v>
      </c>
      <c r="BB1621" s="3" t="s">
        <v>15543</v>
      </c>
      <c r="BC1621" s="3" t="s">
        <v>142</v>
      </c>
      <c r="BD1621" s="3" t="s">
        <v>68</v>
      </c>
      <c r="BE1621" s="3" t="s">
        <v>15541</v>
      </c>
      <c r="BF1621" s="3" t="s">
        <v>15543</v>
      </c>
      <c r="BG1621" s="3" t="s">
        <v>15544</v>
      </c>
    </row>
    <row r="1622" spans="1:59" ht="57" x14ac:dyDescent="0.45">
      <c r="A1622" s="2" t="s">
        <v>59</v>
      </c>
      <c r="B1622" s="2" t="s">
        <v>60</v>
      </c>
      <c r="C1622" s="2" t="s">
        <v>15545</v>
      </c>
      <c r="D1622" s="2" t="s">
        <v>15546</v>
      </c>
      <c r="E1622" s="2" t="s">
        <v>15547</v>
      </c>
      <c r="G1622" s="3" t="s">
        <v>62</v>
      </c>
      <c r="I1622" s="3" t="s">
        <v>62</v>
      </c>
      <c r="J1622" s="3" t="s">
        <v>61</v>
      </c>
      <c r="K1622" s="3" t="s">
        <v>63</v>
      </c>
      <c r="L1622" s="2" t="s">
        <v>15548</v>
      </c>
      <c r="M1622" s="2" t="s">
        <v>15549</v>
      </c>
      <c r="N1622" s="3" t="s">
        <v>1155</v>
      </c>
      <c r="O1622" s="2" t="s">
        <v>15116</v>
      </c>
      <c r="P1622" s="3" t="s">
        <v>65</v>
      </c>
      <c r="R1622" s="3" t="s">
        <v>66</v>
      </c>
      <c r="S1622" s="4">
        <v>4</v>
      </c>
      <c r="T1622" s="4">
        <v>4</v>
      </c>
      <c r="U1622" s="5" t="s">
        <v>15550</v>
      </c>
      <c r="V1622" s="5" t="s">
        <v>15550</v>
      </c>
      <c r="W1622" s="5" t="s">
        <v>67</v>
      </c>
      <c r="X1622" s="5" t="s">
        <v>67</v>
      </c>
      <c r="Y1622" s="4">
        <v>30</v>
      </c>
      <c r="Z1622" s="4">
        <v>27</v>
      </c>
      <c r="AA1622" s="4">
        <v>143</v>
      </c>
      <c r="AB1622" s="4">
        <v>1</v>
      </c>
      <c r="AC1622" s="4">
        <v>20</v>
      </c>
      <c r="AD1622" s="4">
        <v>16</v>
      </c>
      <c r="AE1622" s="4">
        <v>129</v>
      </c>
      <c r="AF1622" s="4">
        <v>0</v>
      </c>
      <c r="AG1622" s="4">
        <v>8</v>
      </c>
      <c r="AH1622" s="4">
        <v>8</v>
      </c>
      <c r="AI1622" s="4">
        <v>81</v>
      </c>
      <c r="AJ1622" s="4">
        <v>11</v>
      </c>
      <c r="AK1622" s="4">
        <v>29</v>
      </c>
      <c r="AL1622" s="4">
        <v>1</v>
      </c>
      <c r="AM1622" s="4">
        <v>36</v>
      </c>
      <c r="AN1622" s="4">
        <v>0</v>
      </c>
      <c r="AO1622" s="4">
        <v>0</v>
      </c>
      <c r="AP1622" s="4">
        <v>14</v>
      </c>
      <c r="AQ1622" s="4">
        <v>58</v>
      </c>
      <c r="AR1622" s="3" t="s">
        <v>61</v>
      </c>
      <c r="AS1622" s="3" t="s">
        <v>62</v>
      </c>
      <c r="AT1622" s="3" t="s">
        <v>62</v>
      </c>
      <c r="AV1622" s="6" t="str">
        <f>HYPERLINK("http://mcgill.on.worldcat.org/oclc/766387730","Catalog Record")</f>
        <v>Catalog Record</v>
      </c>
      <c r="AW1622" s="6" t="str">
        <f>HYPERLINK("http://www.worldcat.org/oclc/766387730","WorldCat Record")</f>
        <v>WorldCat Record</v>
      </c>
      <c r="AX1622" s="3" t="s">
        <v>15537</v>
      </c>
      <c r="AY1622" s="3" t="s">
        <v>15551</v>
      </c>
      <c r="AZ1622" s="3" t="s">
        <v>15552</v>
      </c>
      <c r="BA1622" s="3" t="s">
        <v>15552</v>
      </c>
      <c r="BB1622" s="3" t="s">
        <v>15553</v>
      </c>
      <c r="BC1622" s="3" t="s">
        <v>142</v>
      </c>
      <c r="BD1622" s="3" t="s">
        <v>68</v>
      </c>
      <c r="BE1622" s="3" t="s">
        <v>15554</v>
      </c>
      <c r="BF1622" s="3" t="s">
        <v>15553</v>
      </c>
      <c r="BG1622" s="3" t="s">
        <v>15555</v>
      </c>
    </row>
    <row r="1623" spans="1:59" ht="85.5" x14ac:dyDescent="0.45">
      <c r="A1623" s="2" t="s">
        <v>59</v>
      </c>
      <c r="B1623" s="2" t="s">
        <v>15556</v>
      </c>
      <c r="C1623" s="2" t="s">
        <v>15557</v>
      </c>
      <c r="D1623" s="2" t="s">
        <v>15558</v>
      </c>
      <c r="E1623" s="2" t="s">
        <v>15559</v>
      </c>
      <c r="G1623" s="3" t="s">
        <v>62</v>
      </c>
      <c r="I1623" s="3" t="s">
        <v>62</v>
      </c>
      <c r="J1623" s="3" t="s">
        <v>61</v>
      </c>
      <c r="K1623" s="3" t="s">
        <v>63</v>
      </c>
      <c r="M1623" s="2" t="s">
        <v>15560</v>
      </c>
      <c r="N1623" s="3" t="s">
        <v>970</v>
      </c>
      <c r="P1623" s="3" t="s">
        <v>65</v>
      </c>
      <c r="R1623" s="3" t="s">
        <v>66</v>
      </c>
      <c r="S1623" s="4">
        <v>22</v>
      </c>
      <c r="T1623" s="4">
        <v>22</v>
      </c>
      <c r="U1623" s="5" t="s">
        <v>15561</v>
      </c>
      <c r="V1623" s="5" t="s">
        <v>15561</v>
      </c>
      <c r="W1623" s="5" t="s">
        <v>67</v>
      </c>
      <c r="X1623" s="5" t="s">
        <v>67</v>
      </c>
      <c r="Y1623" s="4">
        <v>49</v>
      </c>
      <c r="Z1623" s="4">
        <v>38</v>
      </c>
      <c r="AA1623" s="4">
        <v>75</v>
      </c>
      <c r="AB1623" s="4">
        <v>3</v>
      </c>
      <c r="AC1623" s="4">
        <v>10</v>
      </c>
      <c r="AD1623" s="4">
        <v>26</v>
      </c>
      <c r="AE1623" s="4">
        <v>43</v>
      </c>
      <c r="AF1623" s="4">
        <v>1</v>
      </c>
      <c r="AG1623" s="4">
        <v>5</v>
      </c>
      <c r="AH1623" s="4">
        <v>14</v>
      </c>
      <c r="AI1623" s="4">
        <v>17</v>
      </c>
      <c r="AJ1623" s="4">
        <v>15</v>
      </c>
      <c r="AK1623" s="4">
        <v>21</v>
      </c>
      <c r="AL1623" s="4">
        <v>4</v>
      </c>
      <c r="AM1623" s="4">
        <v>5</v>
      </c>
      <c r="AN1623" s="4">
        <v>0</v>
      </c>
      <c r="AO1623" s="4">
        <v>0</v>
      </c>
      <c r="AP1623" s="4">
        <v>23</v>
      </c>
      <c r="AQ1623" s="4">
        <v>36</v>
      </c>
      <c r="AR1623" s="3" t="s">
        <v>61</v>
      </c>
      <c r="AS1623" s="3" t="s">
        <v>62</v>
      </c>
      <c r="AT1623" s="3" t="s">
        <v>62</v>
      </c>
      <c r="AV1623" s="6" t="str">
        <f>HYPERLINK("http://mcgill.on.worldcat.org/oclc/48118050","Catalog Record")</f>
        <v>Catalog Record</v>
      </c>
      <c r="AW1623" s="6" t="str">
        <f>HYPERLINK("http://www.worldcat.org/oclc/48118050","WorldCat Record")</f>
        <v>WorldCat Record</v>
      </c>
      <c r="AX1623" s="3" t="s">
        <v>15562</v>
      </c>
      <c r="AY1623" s="3" t="s">
        <v>15563</v>
      </c>
      <c r="AZ1623" s="3" t="s">
        <v>15564</v>
      </c>
      <c r="BA1623" s="3" t="s">
        <v>15564</v>
      </c>
      <c r="BB1623" s="3" t="s">
        <v>15565</v>
      </c>
      <c r="BC1623" s="3" t="s">
        <v>142</v>
      </c>
      <c r="BD1623" s="3" t="s">
        <v>68</v>
      </c>
      <c r="BE1623" s="3" t="s">
        <v>15566</v>
      </c>
      <c r="BF1623" s="3" t="s">
        <v>15565</v>
      </c>
      <c r="BG1623" s="3" t="s">
        <v>15567</v>
      </c>
    </row>
    <row r="1624" spans="1:59" ht="57" x14ac:dyDescent="0.45">
      <c r="A1624" s="2" t="s">
        <v>59</v>
      </c>
      <c r="B1624" s="2" t="s">
        <v>60</v>
      </c>
      <c r="C1624" s="2" t="s">
        <v>15568</v>
      </c>
      <c r="D1624" s="2" t="s">
        <v>15569</v>
      </c>
      <c r="E1624" s="2" t="s">
        <v>15570</v>
      </c>
      <c r="G1624" s="3" t="s">
        <v>62</v>
      </c>
      <c r="I1624" s="3" t="s">
        <v>62</v>
      </c>
      <c r="J1624" s="3" t="s">
        <v>61</v>
      </c>
      <c r="K1624" s="3" t="s">
        <v>63</v>
      </c>
      <c r="M1624" s="2" t="s">
        <v>15571</v>
      </c>
      <c r="N1624" s="3" t="s">
        <v>1465</v>
      </c>
      <c r="O1624" s="2" t="s">
        <v>906</v>
      </c>
      <c r="P1624" s="3" t="s">
        <v>65</v>
      </c>
      <c r="R1624" s="3" t="s">
        <v>66</v>
      </c>
      <c r="S1624" s="4">
        <v>14</v>
      </c>
      <c r="T1624" s="4">
        <v>14</v>
      </c>
      <c r="U1624" s="5" t="s">
        <v>15572</v>
      </c>
      <c r="V1624" s="5" t="s">
        <v>15572</v>
      </c>
      <c r="W1624" s="5" t="s">
        <v>67</v>
      </c>
      <c r="X1624" s="5" t="s">
        <v>67</v>
      </c>
      <c r="Y1624" s="4">
        <v>26</v>
      </c>
      <c r="Z1624" s="4">
        <v>18</v>
      </c>
      <c r="AA1624" s="4">
        <v>75</v>
      </c>
      <c r="AB1624" s="4">
        <v>2</v>
      </c>
      <c r="AC1624" s="4">
        <v>10</v>
      </c>
      <c r="AD1624" s="4">
        <v>11</v>
      </c>
      <c r="AE1624" s="4">
        <v>43</v>
      </c>
      <c r="AF1624" s="4">
        <v>1</v>
      </c>
      <c r="AG1624" s="4">
        <v>5</v>
      </c>
      <c r="AH1624" s="4">
        <v>4</v>
      </c>
      <c r="AI1624" s="4">
        <v>17</v>
      </c>
      <c r="AJ1624" s="4">
        <v>9</v>
      </c>
      <c r="AK1624" s="4">
        <v>21</v>
      </c>
      <c r="AL1624" s="4">
        <v>0</v>
      </c>
      <c r="AM1624" s="4">
        <v>5</v>
      </c>
      <c r="AN1624" s="4">
        <v>0</v>
      </c>
      <c r="AO1624" s="4">
        <v>0</v>
      </c>
      <c r="AP1624" s="4">
        <v>10</v>
      </c>
      <c r="AQ1624" s="4">
        <v>36</v>
      </c>
      <c r="AR1624" s="3" t="s">
        <v>61</v>
      </c>
      <c r="AS1624" s="3" t="s">
        <v>62</v>
      </c>
      <c r="AT1624" s="3" t="s">
        <v>62</v>
      </c>
      <c r="AV1624" s="6" t="str">
        <f>HYPERLINK("http://mcgill.on.worldcat.org/oclc/305105056","Catalog Record")</f>
        <v>Catalog Record</v>
      </c>
      <c r="AW1624" s="6" t="str">
        <f>HYPERLINK("http://www.worldcat.org/oclc/305105056","WorldCat Record")</f>
        <v>WorldCat Record</v>
      </c>
      <c r="AX1624" s="3" t="s">
        <v>15562</v>
      </c>
      <c r="AY1624" s="3" t="s">
        <v>15573</v>
      </c>
      <c r="AZ1624" s="3" t="s">
        <v>15574</v>
      </c>
      <c r="BA1624" s="3" t="s">
        <v>15574</v>
      </c>
      <c r="BB1624" s="3" t="s">
        <v>15575</v>
      </c>
      <c r="BC1624" s="3" t="s">
        <v>142</v>
      </c>
      <c r="BD1624" s="3" t="s">
        <v>68</v>
      </c>
      <c r="BE1624" s="3" t="s">
        <v>15576</v>
      </c>
      <c r="BF1624" s="3" t="s">
        <v>15575</v>
      </c>
      <c r="BG1624" s="3" t="s">
        <v>15577</v>
      </c>
    </row>
    <row r="1625" spans="1:59" ht="57" x14ac:dyDescent="0.45">
      <c r="A1625" s="2" t="s">
        <v>59</v>
      </c>
      <c r="B1625" s="2" t="s">
        <v>60</v>
      </c>
      <c r="C1625" s="2" t="s">
        <v>15579</v>
      </c>
      <c r="D1625" s="2" t="s">
        <v>15580</v>
      </c>
      <c r="E1625" s="2" t="s">
        <v>15581</v>
      </c>
      <c r="G1625" s="3" t="s">
        <v>62</v>
      </c>
      <c r="I1625" s="3" t="s">
        <v>62</v>
      </c>
      <c r="J1625" s="3" t="s">
        <v>62</v>
      </c>
      <c r="K1625" s="3" t="s">
        <v>63</v>
      </c>
      <c r="L1625" s="2" t="s">
        <v>15582</v>
      </c>
      <c r="M1625" s="2" t="s">
        <v>15583</v>
      </c>
      <c r="N1625" s="3" t="s">
        <v>84</v>
      </c>
      <c r="P1625" s="3" t="s">
        <v>110</v>
      </c>
      <c r="R1625" s="3" t="s">
        <v>66</v>
      </c>
      <c r="S1625" s="4">
        <v>42</v>
      </c>
      <c r="T1625" s="4">
        <v>42</v>
      </c>
      <c r="U1625" s="5" t="s">
        <v>15578</v>
      </c>
      <c r="V1625" s="5" t="s">
        <v>15578</v>
      </c>
      <c r="W1625" s="5" t="s">
        <v>67</v>
      </c>
      <c r="X1625" s="5" t="s">
        <v>67</v>
      </c>
      <c r="Y1625" s="4">
        <v>9</v>
      </c>
      <c r="Z1625" s="4">
        <v>8</v>
      </c>
      <c r="AA1625" s="4">
        <v>31</v>
      </c>
      <c r="AB1625" s="4">
        <v>2</v>
      </c>
      <c r="AC1625" s="4">
        <v>19</v>
      </c>
      <c r="AD1625" s="4">
        <v>6</v>
      </c>
      <c r="AE1625" s="4">
        <v>16</v>
      </c>
      <c r="AF1625" s="4">
        <v>1</v>
      </c>
      <c r="AG1625" s="4">
        <v>7</v>
      </c>
      <c r="AH1625" s="4">
        <v>2</v>
      </c>
      <c r="AI1625" s="4">
        <v>6</v>
      </c>
      <c r="AJ1625" s="4">
        <v>5</v>
      </c>
      <c r="AK1625" s="4">
        <v>11</v>
      </c>
      <c r="AL1625" s="4">
        <v>0</v>
      </c>
      <c r="AM1625" s="4">
        <v>2</v>
      </c>
      <c r="AN1625" s="4">
        <v>0</v>
      </c>
      <c r="AO1625" s="4">
        <v>0</v>
      </c>
      <c r="AP1625" s="4">
        <v>5</v>
      </c>
      <c r="AQ1625" s="4">
        <v>13</v>
      </c>
      <c r="AR1625" s="3" t="s">
        <v>61</v>
      </c>
      <c r="AS1625" s="3" t="s">
        <v>62</v>
      </c>
      <c r="AT1625" s="3" t="s">
        <v>62</v>
      </c>
      <c r="AV1625" s="6" t="str">
        <f>HYPERLINK("http://mcgill.on.worldcat.org/oclc/427964443","Catalog Record")</f>
        <v>Catalog Record</v>
      </c>
      <c r="AW1625" s="6" t="str">
        <f>HYPERLINK("http://www.worldcat.org/oclc/427964443","WorldCat Record")</f>
        <v>WorldCat Record</v>
      </c>
      <c r="AX1625" s="3" t="s">
        <v>15584</v>
      </c>
      <c r="AY1625" s="3" t="s">
        <v>15585</v>
      </c>
      <c r="AZ1625" s="3" t="s">
        <v>15586</v>
      </c>
      <c r="BA1625" s="3" t="s">
        <v>15586</v>
      </c>
      <c r="BB1625" s="3" t="s">
        <v>15587</v>
      </c>
      <c r="BC1625" s="3" t="s">
        <v>142</v>
      </c>
      <c r="BD1625" s="3" t="s">
        <v>68</v>
      </c>
      <c r="BE1625" s="3" t="s">
        <v>15588</v>
      </c>
      <c r="BF1625" s="3" t="s">
        <v>15587</v>
      </c>
      <c r="BG1625" s="3" t="s">
        <v>15589</v>
      </c>
    </row>
    <row r="1626" spans="1:59" ht="57" x14ac:dyDescent="0.45">
      <c r="A1626" s="2" t="s">
        <v>59</v>
      </c>
      <c r="B1626" s="2" t="s">
        <v>60</v>
      </c>
      <c r="C1626" s="2" t="s">
        <v>15590</v>
      </c>
      <c r="D1626" s="2" t="s">
        <v>15591</v>
      </c>
      <c r="E1626" s="2" t="s">
        <v>15592</v>
      </c>
      <c r="G1626" s="3" t="s">
        <v>62</v>
      </c>
      <c r="I1626" s="3" t="s">
        <v>61</v>
      </c>
      <c r="J1626" s="3" t="s">
        <v>61</v>
      </c>
      <c r="K1626" s="3" t="s">
        <v>63</v>
      </c>
      <c r="L1626" s="2" t="s">
        <v>15593</v>
      </c>
      <c r="M1626" s="2" t="s">
        <v>15594</v>
      </c>
      <c r="N1626" s="3" t="s">
        <v>1478</v>
      </c>
      <c r="O1626" s="2" t="s">
        <v>933</v>
      </c>
      <c r="P1626" s="3" t="s">
        <v>65</v>
      </c>
      <c r="R1626" s="3" t="s">
        <v>66</v>
      </c>
      <c r="S1626" s="4">
        <v>71</v>
      </c>
      <c r="T1626" s="4">
        <v>96</v>
      </c>
      <c r="U1626" s="5" t="s">
        <v>15595</v>
      </c>
      <c r="V1626" s="5" t="s">
        <v>15578</v>
      </c>
      <c r="W1626" s="5" t="s">
        <v>67</v>
      </c>
      <c r="X1626" s="5" t="s">
        <v>67</v>
      </c>
      <c r="Y1626" s="4">
        <v>41</v>
      </c>
      <c r="Z1626" s="4">
        <v>35</v>
      </c>
      <c r="AA1626" s="4">
        <v>55</v>
      </c>
      <c r="AB1626" s="4">
        <v>3</v>
      </c>
      <c r="AC1626" s="4">
        <v>8</v>
      </c>
      <c r="AD1626" s="4">
        <v>25</v>
      </c>
      <c r="AE1626" s="4">
        <v>46</v>
      </c>
      <c r="AF1626" s="4">
        <v>1</v>
      </c>
      <c r="AG1626" s="4">
        <v>6</v>
      </c>
      <c r="AH1626" s="4">
        <v>10</v>
      </c>
      <c r="AI1626" s="4">
        <v>21</v>
      </c>
      <c r="AJ1626" s="4">
        <v>13</v>
      </c>
      <c r="AK1626" s="4">
        <v>24</v>
      </c>
      <c r="AL1626" s="4">
        <v>1</v>
      </c>
      <c r="AM1626" s="4">
        <v>9</v>
      </c>
      <c r="AN1626" s="4">
        <v>0</v>
      </c>
      <c r="AO1626" s="4">
        <v>5</v>
      </c>
      <c r="AP1626" s="4">
        <v>23</v>
      </c>
      <c r="AQ1626" s="4">
        <v>34</v>
      </c>
      <c r="AR1626" s="3" t="s">
        <v>61</v>
      </c>
      <c r="AS1626" s="3" t="s">
        <v>62</v>
      </c>
      <c r="AT1626" s="3" t="s">
        <v>62</v>
      </c>
      <c r="AV1626" s="6" t="str">
        <f>HYPERLINK("http://mcgill.on.worldcat.org/oclc/35929253","Catalog Record")</f>
        <v>Catalog Record</v>
      </c>
      <c r="AW1626" s="6" t="str">
        <f>HYPERLINK("http://www.worldcat.org/oclc/35929253","WorldCat Record")</f>
        <v>WorldCat Record</v>
      </c>
      <c r="AX1626" s="3" t="s">
        <v>15596</v>
      </c>
      <c r="AY1626" s="3" t="s">
        <v>15597</v>
      </c>
      <c r="AZ1626" s="3" t="s">
        <v>15598</v>
      </c>
      <c r="BA1626" s="3" t="s">
        <v>15598</v>
      </c>
      <c r="BB1626" s="3" t="s">
        <v>15599</v>
      </c>
      <c r="BC1626" s="3" t="s">
        <v>142</v>
      </c>
      <c r="BD1626" s="3" t="s">
        <v>68</v>
      </c>
      <c r="BE1626" s="3" t="s">
        <v>15600</v>
      </c>
      <c r="BF1626" s="3" t="s">
        <v>15599</v>
      </c>
      <c r="BG1626" s="3" t="s">
        <v>15601</v>
      </c>
    </row>
    <row r="1627" spans="1:59" ht="57" x14ac:dyDescent="0.45">
      <c r="A1627" s="2" t="s">
        <v>59</v>
      </c>
      <c r="B1627" s="2" t="s">
        <v>60</v>
      </c>
      <c r="C1627" s="2" t="s">
        <v>15590</v>
      </c>
      <c r="D1627" s="2" t="s">
        <v>15591</v>
      </c>
      <c r="E1627" s="2" t="s">
        <v>15592</v>
      </c>
      <c r="G1627" s="3" t="s">
        <v>62</v>
      </c>
      <c r="I1627" s="3" t="s">
        <v>61</v>
      </c>
      <c r="J1627" s="3" t="s">
        <v>61</v>
      </c>
      <c r="K1627" s="3" t="s">
        <v>63</v>
      </c>
      <c r="L1627" s="2" t="s">
        <v>15593</v>
      </c>
      <c r="M1627" s="2" t="s">
        <v>15594</v>
      </c>
      <c r="N1627" s="3" t="s">
        <v>1478</v>
      </c>
      <c r="O1627" s="2" t="s">
        <v>933</v>
      </c>
      <c r="P1627" s="3" t="s">
        <v>65</v>
      </c>
      <c r="R1627" s="3" t="s">
        <v>66</v>
      </c>
      <c r="S1627" s="4">
        <v>25</v>
      </c>
      <c r="T1627" s="4">
        <v>96</v>
      </c>
      <c r="U1627" s="5" t="s">
        <v>15578</v>
      </c>
      <c r="V1627" s="5" t="s">
        <v>15578</v>
      </c>
      <c r="W1627" s="5" t="s">
        <v>67</v>
      </c>
      <c r="X1627" s="5" t="s">
        <v>67</v>
      </c>
      <c r="Y1627" s="4">
        <v>41</v>
      </c>
      <c r="Z1627" s="4">
        <v>35</v>
      </c>
      <c r="AA1627" s="4">
        <v>55</v>
      </c>
      <c r="AB1627" s="4">
        <v>3</v>
      </c>
      <c r="AC1627" s="4">
        <v>8</v>
      </c>
      <c r="AD1627" s="4">
        <v>25</v>
      </c>
      <c r="AE1627" s="4">
        <v>46</v>
      </c>
      <c r="AF1627" s="4">
        <v>1</v>
      </c>
      <c r="AG1627" s="4">
        <v>6</v>
      </c>
      <c r="AH1627" s="4">
        <v>10</v>
      </c>
      <c r="AI1627" s="4">
        <v>21</v>
      </c>
      <c r="AJ1627" s="4">
        <v>13</v>
      </c>
      <c r="AK1627" s="4">
        <v>24</v>
      </c>
      <c r="AL1627" s="4">
        <v>1</v>
      </c>
      <c r="AM1627" s="4">
        <v>9</v>
      </c>
      <c r="AN1627" s="4">
        <v>0</v>
      </c>
      <c r="AO1627" s="4">
        <v>5</v>
      </c>
      <c r="AP1627" s="4">
        <v>23</v>
      </c>
      <c r="AQ1627" s="4">
        <v>34</v>
      </c>
      <c r="AR1627" s="3" t="s">
        <v>61</v>
      </c>
      <c r="AS1627" s="3" t="s">
        <v>62</v>
      </c>
      <c r="AT1627" s="3" t="s">
        <v>62</v>
      </c>
      <c r="AV1627" s="6" t="str">
        <f>HYPERLINK("http://mcgill.on.worldcat.org/oclc/35929253","Catalog Record")</f>
        <v>Catalog Record</v>
      </c>
      <c r="AW1627" s="6" t="str">
        <f>HYPERLINK("http://www.worldcat.org/oclc/35929253","WorldCat Record")</f>
        <v>WorldCat Record</v>
      </c>
      <c r="AX1627" s="3" t="s">
        <v>15596</v>
      </c>
      <c r="AY1627" s="3" t="s">
        <v>15597</v>
      </c>
      <c r="AZ1627" s="3" t="s">
        <v>15598</v>
      </c>
      <c r="BA1627" s="3" t="s">
        <v>15598</v>
      </c>
      <c r="BB1627" s="3" t="s">
        <v>15602</v>
      </c>
      <c r="BC1627" s="3" t="s">
        <v>142</v>
      </c>
      <c r="BD1627" s="3" t="s">
        <v>68</v>
      </c>
      <c r="BE1627" s="3" t="s">
        <v>15600</v>
      </c>
      <c r="BF1627" s="3" t="s">
        <v>15602</v>
      </c>
      <c r="BG1627" s="3" t="s">
        <v>15603</v>
      </c>
    </row>
    <row r="1628" spans="1:59" ht="57" x14ac:dyDescent="0.45">
      <c r="A1628" s="2" t="s">
        <v>59</v>
      </c>
      <c r="B1628" s="2" t="s">
        <v>60</v>
      </c>
      <c r="C1628" s="2" t="s">
        <v>15604</v>
      </c>
      <c r="D1628" s="2" t="s">
        <v>15605</v>
      </c>
      <c r="E1628" s="2" t="s">
        <v>15606</v>
      </c>
      <c r="G1628" s="3" t="s">
        <v>62</v>
      </c>
      <c r="I1628" s="3" t="s">
        <v>62</v>
      </c>
      <c r="J1628" s="3" t="s">
        <v>62</v>
      </c>
      <c r="K1628" s="3" t="s">
        <v>63</v>
      </c>
      <c r="L1628" s="2" t="s">
        <v>15607</v>
      </c>
      <c r="M1628" s="2" t="s">
        <v>15608</v>
      </c>
      <c r="N1628" s="3" t="s">
        <v>583</v>
      </c>
      <c r="P1628" s="3" t="s">
        <v>65</v>
      </c>
      <c r="Q1628" s="2" t="s">
        <v>15609</v>
      </c>
      <c r="R1628" s="3" t="s">
        <v>66</v>
      </c>
      <c r="S1628" s="4">
        <v>65</v>
      </c>
      <c r="T1628" s="4">
        <v>65</v>
      </c>
      <c r="U1628" s="5" t="s">
        <v>8296</v>
      </c>
      <c r="V1628" s="5" t="s">
        <v>8296</v>
      </c>
      <c r="W1628" s="5" t="s">
        <v>67</v>
      </c>
      <c r="X1628" s="5" t="s">
        <v>67</v>
      </c>
      <c r="Y1628" s="4">
        <v>219</v>
      </c>
      <c r="Z1628" s="4">
        <v>89</v>
      </c>
      <c r="AA1628" s="4">
        <v>98</v>
      </c>
      <c r="AB1628" s="4">
        <v>5</v>
      </c>
      <c r="AC1628" s="4">
        <v>12</v>
      </c>
      <c r="AD1628" s="4">
        <v>99</v>
      </c>
      <c r="AE1628" s="4">
        <v>105</v>
      </c>
      <c r="AF1628" s="4">
        <v>2</v>
      </c>
      <c r="AG1628" s="4">
        <v>7</v>
      </c>
      <c r="AH1628" s="4">
        <v>63</v>
      </c>
      <c r="AI1628" s="4">
        <v>64</v>
      </c>
      <c r="AJ1628" s="4">
        <v>25</v>
      </c>
      <c r="AK1628" s="4">
        <v>28</v>
      </c>
      <c r="AL1628" s="4">
        <v>30</v>
      </c>
      <c r="AM1628" s="4">
        <v>30</v>
      </c>
      <c r="AN1628" s="4">
        <v>0</v>
      </c>
      <c r="AO1628" s="4">
        <v>0</v>
      </c>
      <c r="AP1628" s="4">
        <v>45</v>
      </c>
      <c r="AQ1628" s="4">
        <v>50</v>
      </c>
      <c r="AR1628" s="3" t="s">
        <v>61</v>
      </c>
      <c r="AS1628" s="3" t="s">
        <v>62</v>
      </c>
      <c r="AT1628" s="3" t="s">
        <v>61</v>
      </c>
      <c r="AU1628" s="6" t="str">
        <f>HYPERLINK("http://catalog.hathitrust.org/Record/002492637","HathiTrust Record")</f>
        <v>HathiTrust Record</v>
      </c>
      <c r="AV1628" s="6" t="str">
        <f>HYPERLINK("http://mcgill.on.worldcat.org/oclc/3960167","Catalog Record")</f>
        <v>Catalog Record</v>
      </c>
      <c r="AW1628" s="6" t="str">
        <f>HYPERLINK("http://www.worldcat.org/oclc/3960167","WorldCat Record")</f>
        <v>WorldCat Record</v>
      </c>
      <c r="AX1628" s="3" t="s">
        <v>15610</v>
      </c>
      <c r="AY1628" s="3" t="s">
        <v>15611</v>
      </c>
      <c r="AZ1628" s="3" t="s">
        <v>15612</v>
      </c>
      <c r="BA1628" s="3" t="s">
        <v>15612</v>
      </c>
      <c r="BB1628" s="3" t="s">
        <v>15613</v>
      </c>
      <c r="BC1628" s="3" t="s">
        <v>142</v>
      </c>
      <c r="BD1628" s="3" t="s">
        <v>68</v>
      </c>
      <c r="BE1628" s="3" t="s">
        <v>15614</v>
      </c>
      <c r="BF1628" s="3" t="s">
        <v>15613</v>
      </c>
      <c r="BG1628" s="3" t="s">
        <v>15615</v>
      </c>
    </row>
    <row r="1629" spans="1:59" ht="57" x14ac:dyDescent="0.45">
      <c r="A1629" s="2" t="s">
        <v>59</v>
      </c>
      <c r="B1629" s="2" t="s">
        <v>60</v>
      </c>
      <c r="C1629" s="2" t="s">
        <v>15616</v>
      </c>
      <c r="D1629" s="2" t="s">
        <v>15617</v>
      </c>
      <c r="E1629" s="2" t="s">
        <v>15618</v>
      </c>
      <c r="G1629" s="3" t="s">
        <v>62</v>
      </c>
      <c r="I1629" s="3" t="s">
        <v>61</v>
      </c>
      <c r="J1629" s="3" t="s">
        <v>61</v>
      </c>
      <c r="K1629" s="3" t="s">
        <v>63</v>
      </c>
      <c r="M1629" s="2" t="s">
        <v>15619</v>
      </c>
      <c r="N1629" s="3" t="s">
        <v>1478</v>
      </c>
      <c r="O1629" s="2" t="s">
        <v>933</v>
      </c>
      <c r="P1629" s="3" t="s">
        <v>65</v>
      </c>
      <c r="R1629" s="3" t="s">
        <v>66</v>
      </c>
      <c r="S1629" s="4">
        <v>47</v>
      </c>
      <c r="T1629" s="4">
        <v>116</v>
      </c>
      <c r="U1629" s="5" t="s">
        <v>15620</v>
      </c>
      <c r="V1629" s="5" t="s">
        <v>15621</v>
      </c>
      <c r="W1629" s="5" t="s">
        <v>67</v>
      </c>
      <c r="X1629" s="5" t="s">
        <v>67</v>
      </c>
      <c r="Y1629" s="4">
        <v>67</v>
      </c>
      <c r="Z1629" s="4">
        <v>50</v>
      </c>
      <c r="AA1629" s="4">
        <v>75</v>
      </c>
      <c r="AB1629" s="4">
        <v>3</v>
      </c>
      <c r="AC1629" s="4">
        <v>6</v>
      </c>
      <c r="AD1629" s="4">
        <v>42</v>
      </c>
      <c r="AE1629" s="4">
        <v>68</v>
      </c>
      <c r="AF1629" s="4">
        <v>2</v>
      </c>
      <c r="AG1629" s="4">
        <v>5</v>
      </c>
      <c r="AH1629" s="4">
        <v>18</v>
      </c>
      <c r="AI1629" s="4">
        <v>33</v>
      </c>
      <c r="AJ1629" s="4">
        <v>22</v>
      </c>
      <c r="AK1629" s="4">
        <v>25</v>
      </c>
      <c r="AL1629" s="4">
        <v>5</v>
      </c>
      <c r="AM1629" s="4">
        <v>15</v>
      </c>
      <c r="AN1629" s="4">
        <v>0</v>
      </c>
      <c r="AO1629" s="4">
        <v>0</v>
      </c>
      <c r="AP1629" s="4">
        <v>34</v>
      </c>
      <c r="AQ1629" s="4">
        <v>46</v>
      </c>
      <c r="AR1629" s="3" t="s">
        <v>62</v>
      </c>
      <c r="AS1629" s="3" t="s">
        <v>62</v>
      </c>
      <c r="AT1629" s="3" t="s">
        <v>61</v>
      </c>
      <c r="AU1629" s="6" t="str">
        <f>HYPERLINK("http://catalog.hathitrust.org/Record/003111987","HathiTrust Record")</f>
        <v>HathiTrust Record</v>
      </c>
      <c r="AV1629" s="6" t="str">
        <f>HYPERLINK("http://mcgill.on.worldcat.org/oclc/36746731","Catalog Record")</f>
        <v>Catalog Record</v>
      </c>
      <c r="AW1629" s="6" t="str">
        <f>HYPERLINK("http://www.worldcat.org/oclc/36746731","WorldCat Record")</f>
        <v>WorldCat Record</v>
      </c>
      <c r="AX1629" s="3" t="s">
        <v>15622</v>
      </c>
      <c r="AY1629" s="3" t="s">
        <v>15623</v>
      </c>
      <c r="AZ1629" s="3" t="s">
        <v>15624</v>
      </c>
      <c r="BA1629" s="3" t="s">
        <v>15624</v>
      </c>
      <c r="BB1629" s="3" t="s">
        <v>15625</v>
      </c>
      <c r="BC1629" s="3" t="s">
        <v>142</v>
      </c>
      <c r="BD1629" s="3" t="s">
        <v>68</v>
      </c>
      <c r="BE1629" s="3" t="s">
        <v>15626</v>
      </c>
      <c r="BF1629" s="3" t="s">
        <v>15625</v>
      </c>
      <c r="BG1629" s="3" t="s">
        <v>15627</v>
      </c>
    </row>
    <row r="1630" spans="1:59" ht="57" x14ac:dyDescent="0.45">
      <c r="A1630" s="2" t="s">
        <v>59</v>
      </c>
      <c r="B1630" s="2" t="s">
        <v>60</v>
      </c>
      <c r="C1630" s="2" t="s">
        <v>15616</v>
      </c>
      <c r="D1630" s="2" t="s">
        <v>15617</v>
      </c>
      <c r="E1630" s="2" t="s">
        <v>15618</v>
      </c>
      <c r="G1630" s="3" t="s">
        <v>62</v>
      </c>
      <c r="I1630" s="3" t="s">
        <v>61</v>
      </c>
      <c r="J1630" s="3" t="s">
        <v>61</v>
      </c>
      <c r="K1630" s="3" t="s">
        <v>63</v>
      </c>
      <c r="M1630" s="2" t="s">
        <v>15619</v>
      </c>
      <c r="N1630" s="3" t="s">
        <v>1478</v>
      </c>
      <c r="O1630" s="2" t="s">
        <v>933</v>
      </c>
      <c r="P1630" s="3" t="s">
        <v>65</v>
      </c>
      <c r="R1630" s="3" t="s">
        <v>66</v>
      </c>
      <c r="S1630" s="4">
        <v>38</v>
      </c>
      <c r="T1630" s="4">
        <v>116</v>
      </c>
      <c r="U1630" s="5" t="s">
        <v>15621</v>
      </c>
      <c r="V1630" s="5" t="s">
        <v>15621</v>
      </c>
      <c r="W1630" s="5" t="s">
        <v>67</v>
      </c>
      <c r="X1630" s="5" t="s">
        <v>67</v>
      </c>
      <c r="Y1630" s="4">
        <v>67</v>
      </c>
      <c r="Z1630" s="4">
        <v>50</v>
      </c>
      <c r="AA1630" s="4">
        <v>75</v>
      </c>
      <c r="AB1630" s="4">
        <v>3</v>
      </c>
      <c r="AC1630" s="4">
        <v>6</v>
      </c>
      <c r="AD1630" s="4">
        <v>42</v>
      </c>
      <c r="AE1630" s="4">
        <v>68</v>
      </c>
      <c r="AF1630" s="4">
        <v>2</v>
      </c>
      <c r="AG1630" s="4">
        <v>5</v>
      </c>
      <c r="AH1630" s="4">
        <v>18</v>
      </c>
      <c r="AI1630" s="4">
        <v>33</v>
      </c>
      <c r="AJ1630" s="4">
        <v>22</v>
      </c>
      <c r="AK1630" s="4">
        <v>25</v>
      </c>
      <c r="AL1630" s="4">
        <v>5</v>
      </c>
      <c r="AM1630" s="4">
        <v>15</v>
      </c>
      <c r="AN1630" s="4">
        <v>0</v>
      </c>
      <c r="AO1630" s="4">
        <v>0</v>
      </c>
      <c r="AP1630" s="4">
        <v>34</v>
      </c>
      <c r="AQ1630" s="4">
        <v>46</v>
      </c>
      <c r="AR1630" s="3" t="s">
        <v>62</v>
      </c>
      <c r="AS1630" s="3" t="s">
        <v>62</v>
      </c>
      <c r="AT1630" s="3" t="s">
        <v>61</v>
      </c>
      <c r="AU1630" s="6" t="str">
        <f>HYPERLINK("http://catalog.hathitrust.org/Record/003111987","HathiTrust Record")</f>
        <v>HathiTrust Record</v>
      </c>
      <c r="AV1630" s="6" t="str">
        <f>HYPERLINK("http://mcgill.on.worldcat.org/oclc/36746731","Catalog Record")</f>
        <v>Catalog Record</v>
      </c>
      <c r="AW1630" s="6" t="str">
        <f>HYPERLINK("http://www.worldcat.org/oclc/36746731","WorldCat Record")</f>
        <v>WorldCat Record</v>
      </c>
      <c r="AX1630" s="3" t="s">
        <v>15622</v>
      </c>
      <c r="AY1630" s="3" t="s">
        <v>15623</v>
      </c>
      <c r="AZ1630" s="3" t="s">
        <v>15624</v>
      </c>
      <c r="BA1630" s="3" t="s">
        <v>15624</v>
      </c>
      <c r="BB1630" s="3" t="s">
        <v>15628</v>
      </c>
      <c r="BC1630" s="3" t="s">
        <v>142</v>
      </c>
      <c r="BD1630" s="3" t="s">
        <v>68</v>
      </c>
      <c r="BE1630" s="3" t="s">
        <v>15626</v>
      </c>
      <c r="BF1630" s="3" t="s">
        <v>15628</v>
      </c>
      <c r="BG1630" s="3" t="s">
        <v>15629</v>
      </c>
    </row>
    <row r="1631" spans="1:59" ht="57" x14ac:dyDescent="0.45">
      <c r="A1631" s="2" t="s">
        <v>59</v>
      </c>
      <c r="B1631" s="2" t="s">
        <v>60</v>
      </c>
      <c r="C1631" s="2" t="s">
        <v>15616</v>
      </c>
      <c r="D1631" s="2" t="s">
        <v>15617</v>
      </c>
      <c r="E1631" s="2" t="s">
        <v>15618</v>
      </c>
      <c r="G1631" s="3" t="s">
        <v>62</v>
      </c>
      <c r="I1631" s="3" t="s">
        <v>61</v>
      </c>
      <c r="J1631" s="3" t="s">
        <v>61</v>
      </c>
      <c r="K1631" s="3" t="s">
        <v>63</v>
      </c>
      <c r="M1631" s="2" t="s">
        <v>15619</v>
      </c>
      <c r="N1631" s="3" t="s">
        <v>1478</v>
      </c>
      <c r="O1631" s="2" t="s">
        <v>933</v>
      </c>
      <c r="P1631" s="3" t="s">
        <v>65</v>
      </c>
      <c r="R1631" s="3" t="s">
        <v>66</v>
      </c>
      <c r="S1631" s="4">
        <v>31</v>
      </c>
      <c r="T1631" s="4">
        <v>116</v>
      </c>
      <c r="U1631" s="5" t="s">
        <v>15630</v>
      </c>
      <c r="V1631" s="5" t="s">
        <v>15621</v>
      </c>
      <c r="W1631" s="5" t="s">
        <v>67</v>
      </c>
      <c r="X1631" s="5" t="s">
        <v>67</v>
      </c>
      <c r="Y1631" s="4">
        <v>67</v>
      </c>
      <c r="Z1631" s="4">
        <v>50</v>
      </c>
      <c r="AA1631" s="4">
        <v>75</v>
      </c>
      <c r="AB1631" s="4">
        <v>3</v>
      </c>
      <c r="AC1631" s="4">
        <v>6</v>
      </c>
      <c r="AD1631" s="4">
        <v>42</v>
      </c>
      <c r="AE1631" s="4">
        <v>68</v>
      </c>
      <c r="AF1631" s="4">
        <v>2</v>
      </c>
      <c r="AG1631" s="4">
        <v>5</v>
      </c>
      <c r="AH1631" s="4">
        <v>18</v>
      </c>
      <c r="AI1631" s="4">
        <v>33</v>
      </c>
      <c r="AJ1631" s="4">
        <v>22</v>
      </c>
      <c r="AK1631" s="4">
        <v>25</v>
      </c>
      <c r="AL1631" s="4">
        <v>5</v>
      </c>
      <c r="AM1631" s="4">
        <v>15</v>
      </c>
      <c r="AN1631" s="4">
        <v>0</v>
      </c>
      <c r="AO1631" s="4">
        <v>0</v>
      </c>
      <c r="AP1631" s="4">
        <v>34</v>
      </c>
      <c r="AQ1631" s="4">
        <v>46</v>
      </c>
      <c r="AR1631" s="3" t="s">
        <v>62</v>
      </c>
      <c r="AS1631" s="3" t="s">
        <v>62</v>
      </c>
      <c r="AT1631" s="3" t="s">
        <v>61</v>
      </c>
      <c r="AU1631" s="6" t="str">
        <f>HYPERLINK("http://catalog.hathitrust.org/Record/003111987","HathiTrust Record")</f>
        <v>HathiTrust Record</v>
      </c>
      <c r="AV1631" s="6" t="str">
        <f>HYPERLINK("http://mcgill.on.worldcat.org/oclc/36746731","Catalog Record")</f>
        <v>Catalog Record</v>
      </c>
      <c r="AW1631" s="6" t="str">
        <f>HYPERLINK("http://www.worldcat.org/oclc/36746731","WorldCat Record")</f>
        <v>WorldCat Record</v>
      </c>
      <c r="AX1631" s="3" t="s">
        <v>15622</v>
      </c>
      <c r="AY1631" s="3" t="s">
        <v>15623</v>
      </c>
      <c r="AZ1631" s="3" t="s">
        <v>15624</v>
      </c>
      <c r="BA1631" s="3" t="s">
        <v>15624</v>
      </c>
      <c r="BB1631" s="3" t="s">
        <v>15631</v>
      </c>
      <c r="BC1631" s="3" t="s">
        <v>142</v>
      </c>
      <c r="BD1631" s="3" t="s">
        <v>68</v>
      </c>
      <c r="BE1631" s="3" t="s">
        <v>15626</v>
      </c>
      <c r="BF1631" s="3" t="s">
        <v>15631</v>
      </c>
      <c r="BG1631" s="3" t="s">
        <v>15632</v>
      </c>
    </row>
    <row r="1632" spans="1:59" ht="57" x14ac:dyDescent="0.45">
      <c r="A1632" s="2" t="s">
        <v>59</v>
      </c>
      <c r="B1632" s="2" t="s">
        <v>60</v>
      </c>
      <c r="C1632" s="2" t="s">
        <v>15633</v>
      </c>
      <c r="D1632" s="2" t="s">
        <v>15634</v>
      </c>
      <c r="E1632" s="2" t="s">
        <v>15635</v>
      </c>
      <c r="G1632" s="3" t="s">
        <v>62</v>
      </c>
      <c r="I1632" s="3" t="s">
        <v>62</v>
      </c>
      <c r="J1632" s="3" t="s">
        <v>62</v>
      </c>
      <c r="K1632" s="3" t="s">
        <v>63</v>
      </c>
      <c r="L1632" s="2" t="s">
        <v>15636</v>
      </c>
      <c r="M1632" s="2" t="s">
        <v>15637</v>
      </c>
      <c r="N1632" s="3" t="s">
        <v>3160</v>
      </c>
      <c r="P1632" s="3" t="s">
        <v>65</v>
      </c>
      <c r="Q1632" s="2" t="s">
        <v>15638</v>
      </c>
      <c r="R1632" s="3" t="s">
        <v>66</v>
      </c>
      <c r="S1632" s="4">
        <v>57</v>
      </c>
      <c r="T1632" s="4">
        <v>57</v>
      </c>
      <c r="U1632" s="5" t="s">
        <v>445</v>
      </c>
      <c r="V1632" s="5" t="s">
        <v>445</v>
      </c>
      <c r="W1632" s="5" t="s">
        <v>67</v>
      </c>
      <c r="X1632" s="5" t="s">
        <v>67</v>
      </c>
      <c r="Y1632" s="4">
        <v>329</v>
      </c>
      <c r="Z1632" s="4">
        <v>61</v>
      </c>
      <c r="AA1632" s="4">
        <v>68</v>
      </c>
      <c r="AB1632" s="4">
        <v>3</v>
      </c>
      <c r="AC1632" s="4">
        <v>6</v>
      </c>
      <c r="AD1632" s="4">
        <v>118</v>
      </c>
      <c r="AE1632" s="4">
        <v>125</v>
      </c>
      <c r="AF1632" s="4">
        <v>1</v>
      </c>
      <c r="AG1632" s="4">
        <v>4</v>
      </c>
      <c r="AH1632" s="4">
        <v>84</v>
      </c>
      <c r="AI1632" s="4">
        <v>87</v>
      </c>
      <c r="AJ1632" s="4">
        <v>21</v>
      </c>
      <c r="AK1632" s="4">
        <v>26</v>
      </c>
      <c r="AL1632" s="4">
        <v>46</v>
      </c>
      <c r="AM1632" s="4">
        <v>46</v>
      </c>
      <c r="AN1632" s="4">
        <v>0</v>
      </c>
      <c r="AO1632" s="4">
        <v>0</v>
      </c>
      <c r="AP1632" s="4">
        <v>41</v>
      </c>
      <c r="AQ1632" s="4">
        <v>47</v>
      </c>
      <c r="AR1632" s="3" t="s">
        <v>62</v>
      </c>
      <c r="AS1632" s="3" t="s">
        <v>62</v>
      </c>
      <c r="AT1632" s="3" t="s">
        <v>61</v>
      </c>
      <c r="AU1632" s="6" t="str">
        <f>HYPERLINK("http://catalog.hathitrust.org/Record/000474480","HathiTrust Record")</f>
        <v>HathiTrust Record</v>
      </c>
      <c r="AV1632" s="6" t="str">
        <f>HYPERLINK("http://mcgill.on.worldcat.org/oclc/8176628","Catalog Record")</f>
        <v>Catalog Record</v>
      </c>
      <c r="AW1632" s="6" t="str">
        <f>HYPERLINK("http://www.worldcat.org/oclc/8176628","WorldCat Record")</f>
        <v>WorldCat Record</v>
      </c>
      <c r="AX1632" s="3" t="s">
        <v>15639</v>
      </c>
      <c r="AY1632" s="3" t="s">
        <v>15640</v>
      </c>
      <c r="AZ1632" s="3" t="s">
        <v>15641</v>
      </c>
      <c r="BA1632" s="3" t="s">
        <v>15641</v>
      </c>
      <c r="BB1632" s="3" t="s">
        <v>15642</v>
      </c>
      <c r="BC1632" s="3" t="s">
        <v>142</v>
      </c>
      <c r="BD1632" s="3" t="s">
        <v>68</v>
      </c>
      <c r="BE1632" s="3" t="s">
        <v>15643</v>
      </c>
      <c r="BF1632" s="3" t="s">
        <v>15642</v>
      </c>
      <c r="BG1632" s="3" t="s">
        <v>15644</v>
      </c>
    </row>
    <row r="1633" spans="1:59" ht="57" x14ac:dyDescent="0.45">
      <c r="A1633" s="2" t="s">
        <v>59</v>
      </c>
      <c r="B1633" s="2" t="s">
        <v>60</v>
      </c>
      <c r="C1633" s="2" t="s">
        <v>15645</v>
      </c>
      <c r="D1633" s="2" t="s">
        <v>15646</v>
      </c>
      <c r="E1633" s="2" t="s">
        <v>15647</v>
      </c>
      <c r="G1633" s="3" t="s">
        <v>62</v>
      </c>
      <c r="I1633" s="3" t="s">
        <v>62</v>
      </c>
      <c r="J1633" s="3" t="s">
        <v>62</v>
      </c>
      <c r="K1633" s="3" t="s">
        <v>63</v>
      </c>
      <c r="L1633" s="2" t="s">
        <v>15648</v>
      </c>
      <c r="M1633" s="2" t="s">
        <v>15649</v>
      </c>
      <c r="N1633" s="3" t="s">
        <v>894</v>
      </c>
      <c r="P1633" s="3" t="s">
        <v>65</v>
      </c>
      <c r="Q1633" s="2" t="s">
        <v>15650</v>
      </c>
      <c r="R1633" s="3" t="s">
        <v>66</v>
      </c>
      <c r="S1633" s="4">
        <v>2</v>
      </c>
      <c r="T1633" s="4">
        <v>2</v>
      </c>
      <c r="U1633" s="5" t="s">
        <v>8576</v>
      </c>
      <c r="V1633" s="5" t="s">
        <v>8576</v>
      </c>
      <c r="W1633" s="5" t="s">
        <v>67</v>
      </c>
      <c r="X1633" s="5" t="s">
        <v>67</v>
      </c>
      <c r="Y1633" s="4">
        <v>108</v>
      </c>
      <c r="Z1633" s="4">
        <v>60</v>
      </c>
      <c r="AA1633" s="4">
        <v>60</v>
      </c>
      <c r="AB1633" s="4">
        <v>3</v>
      </c>
      <c r="AC1633" s="4">
        <v>3</v>
      </c>
      <c r="AD1633" s="4">
        <v>53</v>
      </c>
      <c r="AE1633" s="4">
        <v>53</v>
      </c>
      <c r="AF1633" s="4">
        <v>1</v>
      </c>
      <c r="AG1633" s="4">
        <v>1</v>
      </c>
      <c r="AH1633" s="4">
        <v>30</v>
      </c>
      <c r="AI1633" s="4">
        <v>30</v>
      </c>
      <c r="AJ1633" s="4">
        <v>17</v>
      </c>
      <c r="AK1633" s="4">
        <v>17</v>
      </c>
      <c r="AL1633" s="4">
        <v>16</v>
      </c>
      <c r="AM1633" s="4">
        <v>16</v>
      </c>
      <c r="AN1633" s="4">
        <v>0</v>
      </c>
      <c r="AO1633" s="4">
        <v>0</v>
      </c>
      <c r="AP1633" s="4">
        <v>32</v>
      </c>
      <c r="AQ1633" s="4">
        <v>32</v>
      </c>
      <c r="AR1633" s="3" t="s">
        <v>61</v>
      </c>
      <c r="AS1633" s="3" t="s">
        <v>62</v>
      </c>
      <c r="AT1633" s="3" t="s">
        <v>62</v>
      </c>
      <c r="AV1633" s="6" t="str">
        <f>HYPERLINK("http://mcgill.on.worldcat.org/oclc/754335419","Catalog Record")</f>
        <v>Catalog Record</v>
      </c>
      <c r="AW1633" s="6" t="str">
        <f>HYPERLINK("http://www.worldcat.org/oclc/754335419","WorldCat Record")</f>
        <v>WorldCat Record</v>
      </c>
      <c r="AX1633" s="3" t="s">
        <v>15651</v>
      </c>
      <c r="AY1633" s="3" t="s">
        <v>15652</v>
      </c>
      <c r="AZ1633" s="3" t="s">
        <v>15653</v>
      </c>
      <c r="BA1633" s="3" t="s">
        <v>15653</v>
      </c>
      <c r="BB1633" s="3" t="s">
        <v>15654</v>
      </c>
      <c r="BC1633" s="3" t="s">
        <v>142</v>
      </c>
      <c r="BD1633" s="3" t="s">
        <v>68</v>
      </c>
      <c r="BE1633" s="3" t="s">
        <v>15655</v>
      </c>
      <c r="BF1633" s="3" t="s">
        <v>15654</v>
      </c>
      <c r="BG1633" s="3" t="s">
        <v>15656</v>
      </c>
    </row>
    <row r="1634" spans="1:59" ht="57" x14ac:dyDescent="0.45">
      <c r="A1634" s="2" t="s">
        <v>59</v>
      </c>
      <c r="B1634" s="2" t="s">
        <v>60</v>
      </c>
      <c r="C1634" s="2" t="s">
        <v>15657</v>
      </c>
      <c r="D1634" s="2" t="s">
        <v>15658</v>
      </c>
      <c r="E1634" s="2" t="s">
        <v>15659</v>
      </c>
      <c r="G1634" s="3" t="s">
        <v>62</v>
      </c>
      <c r="I1634" s="3" t="s">
        <v>62</v>
      </c>
      <c r="J1634" s="3" t="s">
        <v>61</v>
      </c>
      <c r="K1634" s="3" t="s">
        <v>63</v>
      </c>
      <c r="L1634" s="2" t="s">
        <v>15660</v>
      </c>
      <c r="M1634" s="2" t="s">
        <v>15661</v>
      </c>
      <c r="N1634" s="3" t="s">
        <v>167</v>
      </c>
      <c r="P1634" s="3" t="s">
        <v>65</v>
      </c>
      <c r="R1634" s="3" t="s">
        <v>66</v>
      </c>
      <c r="S1634" s="4">
        <v>42</v>
      </c>
      <c r="T1634" s="4">
        <v>42</v>
      </c>
      <c r="U1634" s="5" t="s">
        <v>15662</v>
      </c>
      <c r="V1634" s="5" t="s">
        <v>15662</v>
      </c>
      <c r="W1634" s="5" t="s">
        <v>67</v>
      </c>
      <c r="X1634" s="5" t="s">
        <v>67</v>
      </c>
      <c r="Y1634" s="4">
        <v>135</v>
      </c>
      <c r="Z1634" s="4">
        <v>67</v>
      </c>
      <c r="AA1634" s="4">
        <v>136</v>
      </c>
      <c r="AB1634" s="4">
        <v>3</v>
      </c>
      <c r="AC1634" s="4">
        <v>17</v>
      </c>
      <c r="AD1634" s="4">
        <v>76</v>
      </c>
      <c r="AE1634" s="4">
        <v>135</v>
      </c>
      <c r="AF1634" s="4">
        <v>1</v>
      </c>
      <c r="AG1634" s="4">
        <v>8</v>
      </c>
      <c r="AH1634" s="4">
        <v>50</v>
      </c>
      <c r="AI1634" s="4">
        <v>89</v>
      </c>
      <c r="AJ1634" s="4">
        <v>22</v>
      </c>
      <c r="AK1634" s="4">
        <v>29</v>
      </c>
      <c r="AL1634" s="4">
        <v>25</v>
      </c>
      <c r="AM1634" s="4">
        <v>44</v>
      </c>
      <c r="AN1634" s="4">
        <v>0</v>
      </c>
      <c r="AO1634" s="4">
        <v>0</v>
      </c>
      <c r="AP1634" s="4">
        <v>36</v>
      </c>
      <c r="AQ1634" s="4">
        <v>56</v>
      </c>
      <c r="AR1634" s="3" t="s">
        <v>61</v>
      </c>
      <c r="AS1634" s="3" t="s">
        <v>62</v>
      </c>
      <c r="AT1634" s="3" t="s">
        <v>62</v>
      </c>
      <c r="AV1634" s="6" t="str">
        <f>HYPERLINK("http://mcgill.on.worldcat.org/oclc/43441829","Catalog Record")</f>
        <v>Catalog Record</v>
      </c>
      <c r="AW1634" s="6" t="str">
        <f>HYPERLINK("http://www.worldcat.org/oclc/43441829","WorldCat Record")</f>
        <v>WorldCat Record</v>
      </c>
      <c r="AX1634" s="3" t="s">
        <v>15663</v>
      </c>
      <c r="AY1634" s="3" t="s">
        <v>15664</v>
      </c>
      <c r="AZ1634" s="3" t="s">
        <v>15665</v>
      </c>
      <c r="BA1634" s="3" t="s">
        <v>15665</v>
      </c>
      <c r="BB1634" s="3" t="s">
        <v>15666</v>
      </c>
      <c r="BC1634" s="3" t="s">
        <v>142</v>
      </c>
      <c r="BD1634" s="3" t="s">
        <v>68</v>
      </c>
      <c r="BE1634" s="3" t="s">
        <v>15667</v>
      </c>
      <c r="BF1634" s="3" t="s">
        <v>15666</v>
      </c>
      <c r="BG1634" s="3" t="s">
        <v>15668</v>
      </c>
    </row>
    <row r="1635" spans="1:59" ht="57" x14ac:dyDescent="0.45">
      <c r="A1635" s="2" t="s">
        <v>59</v>
      </c>
      <c r="B1635" s="2" t="s">
        <v>60</v>
      </c>
      <c r="C1635" s="2" t="s">
        <v>15669</v>
      </c>
      <c r="D1635" s="2" t="s">
        <v>15670</v>
      </c>
      <c r="E1635" s="2" t="s">
        <v>15659</v>
      </c>
      <c r="G1635" s="3" t="s">
        <v>62</v>
      </c>
      <c r="I1635" s="3" t="s">
        <v>61</v>
      </c>
      <c r="J1635" s="3" t="s">
        <v>61</v>
      </c>
      <c r="K1635" s="3" t="s">
        <v>63</v>
      </c>
      <c r="L1635" s="2" t="s">
        <v>15660</v>
      </c>
      <c r="M1635" s="2" t="s">
        <v>15671</v>
      </c>
      <c r="N1635" s="3" t="s">
        <v>542</v>
      </c>
      <c r="O1635" s="2" t="s">
        <v>15672</v>
      </c>
      <c r="P1635" s="3" t="s">
        <v>65</v>
      </c>
      <c r="R1635" s="3" t="s">
        <v>66</v>
      </c>
      <c r="S1635" s="4">
        <v>72</v>
      </c>
      <c r="T1635" s="4">
        <v>84</v>
      </c>
      <c r="U1635" s="5" t="s">
        <v>5373</v>
      </c>
      <c r="V1635" s="5" t="s">
        <v>15621</v>
      </c>
      <c r="W1635" s="5" t="s">
        <v>67</v>
      </c>
      <c r="X1635" s="5" t="s">
        <v>67</v>
      </c>
      <c r="Y1635" s="4">
        <v>134</v>
      </c>
      <c r="Z1635" s="4">
        <v>58</v>
      </c>
      <c r="AA1635" s="4">
        <v>136</v>
      </c>
      <c r="AB1635" s="4">
        <v>3</v>
      </c>
      <c r="AC1635" s="4">
        <v>17</v>
      </c>
      <c r="AD1635" s="4">
        <v>66</v>
      </c>
      <c r="AE1635" s="4">
        <v>135</v>
      </c>
      <c r="AF1635" s="4">
        <v>2</v>
      </c>
      <c r="AG1635" s="4">
        <v>8</v>
      </c>
      <c r="AH1635" s="4">
        <v>44</v>
      </c>
      <c r="AI1635" s="4">
        <v>89</v>
      </c>
      <c r="AJ1635" s="4">
        <v>20</v>
      </c>
      <c r="AK1635" s="4">
        <v>29</v>
      </c>
      <c r="AL1635" s="4">
        <v>19</v>
      </c>
      <c r="AM1635" s="4">
        <v>44</v>
      </c>
      <c r="AN1635" s="4">
        <v>0</v>
      </c>
      <c r="AO1635" s="4">
        <v>0</v>
      </c>
      <c r="AP1635" s="4">
        <v>32</v>
      </c>
      <c r="AQ1635" s="4">
        <v>56</v>
      </c>
      <c r="AR1635" s="3" t="s">
        <v>61</v>
      </c>
      <c r="AS1635" s="3" t="s">
        <v>62</v>
      </c>
      <c r="AT1635" s="3" t="s">
        <v>62</v>
      </c>
      <c r="AV1635" s="6" t="str">
        <f>HYPERLINK("http://mcgill.on.worldcat.org/oclc/46629446","Catalog Record")</f>
        <v>Catalog Record</v>
      </c>
      <c r="AW1635" s="6" t="str">
        <f>HYPERLINK("http://www.worldcat.org/oclc/46629446","WorldCat Record")</f>
        <v>WorldCat Record</v>
      </c>
      <c r="AX1635" s="3" t="s">
        <v>15663</v>
      </c>
      <c r="AY1635" s="3" t="s">
        <v>15673</v>
      </c>
      <c r="AZ1635" s="3" t="s">
        <v>15674</v>
      </c>
      <c r="BA1635" s="3" t="s">
        <v>15674</v>
      </c>
      <c r="BB1635" s="3" t="s">
        <v>15675</v>
      </c>
      <c r="BC1635" s="3" t="s">
        <v>142</v>
      </c>
      <c r="BD1635" s="3" t="s">
        <v>68</v>
      </c>
      <c r="BE1635" s="3" t="s">
        <v>15676</v>
      </c>
      <c r="BF1635" s="3" t="s">
        <v>15675</v>
      </c>
      <c r="BG1635" s="3" t="s">
        <v>15677</v>
      </c>
    </row>
    <row r="1636" spans="1:59" ht="57" x14ac:dyDescent="0.45">
      <c r="A1636" s="2" t="s">
        <v>59</v>
      </c>
      <c r="B1636" s="2" t="s">
        <v>60</v>
      </c>
      <c r="C1636" s="2" t="s">
        <v>15669</v>
      </c>
      <c r="D1636" s="2" t="s">
        <v>15670</v>
      </c>
      <c r="E1636" s="2" t="s">
        <v>15659</v>
      </c>
      <c r="G1636" s="3" t="s">
        <v>62</v>
      </c>
      <c r="I1636" s="3" t="s">
        <v>61</v>
      </c>
      <c r="J1636" s="3" t="s">
        <v>61</v>
      </c>
      <c r="K1636" s="3" t="s">
        <v>63</v>
      </c>
      <c r="L1636" s="2" t="s">
        <v>15660</v>
      </c>
      <c r="M1636" s="2" t="s">
        <v>15671</v>
      </c>
      <c r="N1636" s="3" t="s">
        <v>542</v>
      </c>
      <c r="O1636" s="2" t="s">
        <v>15672</v>
      </c>
      <c r="P1636" s="3" t="s">
        <v>65</v>
      </c>
      <c r="R1636" s="3" t="s">
        <v>66</v>
      </c>
      <c r="S1636" s="4">
        <v>12</v>
      </c>
      <c r="T1636" s="4">
        <v>84</v>
      </c>
      <c r="U1636" s="5" t="s">
        <v>15621</v>
      </c>
      <c r="V1636" s="5" t="s">
        <v>15621</v>
      </c>
      <c r="W1636" s="5" t="s">
        <v>67</v>
      </c>
      <c r="X1636" s="5" t="s">
        <v>67</v>
      </c>
      <c r="Y1636" s="4">
        <v>134</v>
      </c>
      <c r="Z1636" s="4">
        <v>58</v>
      </c>
      <c r="AA1636" s="4">
        <v>136</v>
      </c>
      <c r="AB1636" s="4">
        <v>3</v>
      </c>
      <c r="AC1636" s="4">
        <v>17</v>
      </c>
      <c r="AD1636" s="4">
        <v>66</v>
      </c>
      <c r="AE1636" s="4">
        <v>135</v>
      </c>
      <c r="AF1636" s="4">
        <v>2</v>
      </c>
      <c r="AG1636" s="4">
        <v>8</v>
      </c>
      <c r="AH1636" s="4">
        <v>44</v>
      </c>
      <c r="AI1636" s="4">
        <v>89</v>
      </c>
      <c r="AJ1636" s="4">
        <v>20</v>
      </c>
      <c r="AK1636" s="4">
        <v>29</v>
      </c>
      <c r="AL1636" s="4">
        <v>19</v>
      </c>
      <c r="AM1636" s="4">
        <v>44</v>
      </c>
      <c r="AN1636" s="4">
        <v>0</v>
      </c>
      <c r="AO1636" s="4">
        <v>0</v>
      </c>
      <c r="AP1636" s="4">
        <v>32</v>
      </c>
      <c r="AQ1636" s="4">
        <v>56</v>
      </c>
      <c r="AR1636" s="3" t="s">
        <v>61</v>
      </c>
      <c r="AS1636" s="3" t="s">
        <v>62</v>
      </c>
      <c r="AT1636" s="3" t="s">
        <v>62</v>
      </c>
      <c r="AV1636" s="6" t="str">
        <f>HYPERLINK("http://mcgill.on.worldcat.org/oclc/46629446","Catalog Record")</f>
        <v>Catalog Record</v>
      </c>
      <c r="AW1636" s="6" t="str">
        <f>HYPERLINK("http://www.worldcat.org/oclc/46629446","WorldCat Record")</f>
        <v>WorldCat Record</v>
      </c>
      <c r="AX1636" s="3" t="s">
        <v>15663</v>
      </c>
      <c r="AY1636" s="3" t="s">
        <v>15673</v>
      </c>
      <c r="AZ1636" s="3" t="s">
        <v>15674</v>
      </c>
      <c r="BA1636" s="3" t="s">
        <v>15674</v>
      </c>
      <c r="BB1636" s="3" t="s">
        <v>15678</v>
      </c>
      <c r="BC1636" s="3" t="s">
        <v>142</v>
      </c>
      <c r="BD1636" s="3" t="s">
        <v>68</v>
      </c>
      <c r="BE1636" s="3" t="s">
        <v>15676</v>
      </c>
      <c r="BF1636" s="3" t="s">
        <v>15678</v>
      </c>
      <c r="BG1636" s="3" t="s">
        <v>15679</v>
      </c>
    </row>
    <row r="1637" spans="1:59" ht="57" x14ac:dyDescent="0.45">
      <c r="A1637" s="2" t="s">
        <v>59</v>
      </c>
      <c r="B1637" s="2" t="s">
        <v>60</v>
      </c>
      <c r="C1637" s="2" t="s">
        <v>15680</v>
      </c>
      <c r="D1637" s="2" t="s">
        <v>15681</v>
      </c>
      <c r="E1637" s="2" t="s">
        <v>15682</v>
      </c>
      <c r="G1637" s="3" t="s">
        <v>62</v>
      </c>
      <c r="I1637" s="3" t="s">
        <v>61</v>
      </c>
      <c r="J1637" s="3" t="s">
        <v>61</v>
      </c>
      <c r="K1637" s="3" t="s">
        <v>63</v>
      </c>
      <c r="L1637" s="2" t="s">
        <v>15683</v>
      </c>
      <c r="M1637" s="2" t="s">
        <v>15684</v>
      </c>
      <c r="N1637" s="3" t="s">
        <v>1212</v>
      </c>
      <c r="O1637" s="2" t="s">
        <v>906</v>
      </c>
      <c r="P1637" s="3" t="s">
        <v>65</v>
      </c>
      <c r="R1637" s="3" t="s">
        <v>66</v>
      </c>
      <c r="S1637" s="4">
        <v>35</v>
      </c>
      <c r="T1637" s="4">
        <v>96</v>
      </c>
      <c r="U1637" s="5" t="s">
        <v>15685</v>
      </c>
      <c r="V1637" s="5" t="s">
        <v>15686</v>
      </c>
      <c r="W1637" s="5" t="s">
        <v>67</v>
      </c>
      <c r="X1637" s="5" t="s">
        <v>67</v>
      </c>
      <c r="Y1637" s="4">
        <v>79</v>
      </c>
      <c r="Z1637" s="4">
        <v>62</v>
      </c>
      <c r="AA1637" s="4">
        <v>137</v>
      </c>
      <c r="AB1637" s="4">
        <v>4</v>
      </c>
      <c r="AC1637" s="4">
        <v>16</v>
      </c>
      <c r="AD1637" s="4">
        <v>45</v>
      </c>
      <c r="AE1637" s="4">
        <v>112</v>
      </c>
      <c r="AF1637" s="4">
        <v>2</v>
      </c>
      <c r="AG1637" s="4">
        <v>7</v>
      </c>
      <c r="AH1637" s="4">
        <v>22</v>
      </c>
      <c r="AI1637" s="4">
        <v>64</v>
      </c>
      <c r="AJ1637" s="4">
        <v>19</v>
      </c>
      <c r="AK1637" s="4">
        <v>29</v>
      </c>
      <c r="AL1637" s="4">
        <v>7</v>
      </c>
      <c r="AM1637" s="4">
        <v>36</v>
      </c>
      <c r="AN1637" s="4">
        <v>0</v>
      </c>
      <c r="AO1637" s="4">
        <v>5</v>
      </c>
      <c r="AP1637" s="4">
        <v>33</v>
      </c>
      <c r="AQ1637" s="4">
        <v>58</v>
      </c>
      <c r="AR1637" s="3" t="s">
        <v>61</v>
      </c>
      <c r="AS1637" s="3" t="s">
        <v>62</v>
      </c>
      <c r="AT1637" s="3" t="s">
        <v>62</v>
      </c>
      <c r="AV1637" s="6" t="str">
        <f>HYPERLINK("http://mcgill.on.worldcat.org/oclc/46678123","Catalog Record")</f>
        <v>Catalog Record</v>
      </c>
      <c r="AW1637" s="6" t="str">
        <f>HYPERLINK("http://www.worldcat.org/oclc/46678123","WorldCat Record")</f>
        <v>WorldCat Record</v>
      </c>
      <c r="AX1637" s="3" t="s">
        <v>15687</v>
      </c>
      <c r="AY1637" s="3" t="s">
        <v>15688</v>
      </c>
      <c r="AZ1637" s="3" t="s">
        <v>15689</v>
      </c>
      <c r="BA1637" s="3" t="s">
        <v>15689</v>
      </c>
      <c r="BB1637" s="3" t="s">
        <v>15690</v>
      </c>
      <c r="BC1637" s="3" t="s">
        <v>142</v>
      </c>
      <c r="BD1637" s="3" t="s">
        <v>68</v>
      </c>
      <c r="BE1637" s="3" t="s">
        <v>15691</v>
      </c>
      <c r="BF1637" s="3" t="s">
        <v>15690</v>
      </c>
      <c r="BG1637" s="3" t="s">
        <v>15692</v>
      </c>
    </row>
    <row r="1638" spans="1:59" ht="57" x14ac:dyDescent="0.45">
      <c r="A1638" s="2" t="s">
        <v>59</v>
      </c>
      <c r="B1638" s="2" t="s">
        <v>60</v>
      </c>
      <c r="C1638" s="2" t="s">
        <v>15680</v>
      </c>
      <c r="D1638" s="2" t="s">
        <v>15681</v>
      </c>
      <c r="E1638" s="2" t="s">
        <v>15682</v>
      </c>
      <c r="G1638" s="3" t="s">
        <v>62</v>
      </c>
      <c r="I1638" s="3" t="s">
        <v>61</v>
      </c>
      <c r="J1638" s="3" t="s">
        <v>61</v>
      </c>
      <c r="K1638" s="3" t="s">
        <v>63</v>
      </c>
      <c r="L1638" s="2" t="s">
        <v>15683</v>
      </c>
      <c r="M1638" s="2" t="s">
        <v>15684</v>
      </c>
      <c r="N1638" s="3" t="s">
        <v>1212</v>
      </c>
      <c r="O1638" s="2" t="s">
        <v>906</v>
      </c>
      <c r="P1638" s="3" t="s">
        <v>65</v>
      </c>
      <c r="R1638" s="3" t="s">
        <v>66</v>
      </c>
      <c r="S1638" s="4">
        <v>2</v>
      </c>
      <c r="T1638" s="4">
        <v>96</v>
      </c>
      <c r="U1638" s="5" t="s">
        <v>8296</v>
      </c>
      <c r="V1638" s="5" t="s">
        <v>15686</v>
      </c>
      <c r="W1638" s="5" t="s">
        <v>67</v>
      </c>
      <c r="X1638" s="5" t="s">
        <v>67</v>
      </c>
      <c r="Y1638" s="4">
        <v>79</v>
      </c>
      <c r="Z1638" s="4">
        <v>62</v>
      </c>
      <c r="AA1638" s="4">
        <v>137</v>
      </c>
      <c r="AB1638" s="4">
        <v>4</v>
      </c>
      <c r="AC1638" s="4">
        <v>16</v>
      </c>
      <c r="AD1638" s="4">
        <v>45</v>
      </c>
      <c r="AE1638" s="4">
        <v>112</v>
      </c>
      <c r="AF1638" s="4">
        <v>2</v>
      </c>
      <c r="AG1638" s="4">
        <v>7</v>
      </c>
      <c r="AH1638" s="4">
        <v>22</v>
      </c>
      <c r="AI1638" s="4">
        <v>64</v>
      </c>
      <c r="AJ1638" s="4">
        <v>19</v>
      </c>
      <c r="AK1638" s="4">
        <v>29</v>
      </c>
      <c r="AL1638" s="4">
        <v>7</v>
      </c>
      <c r="AM1638" s="4">
        <v>36</v>
      </c>
      <c r="AN1638" s="4">
        <v>0</v>
      </c>
      <c r="AO1638" s="4">
        <v>5</v>
      </c>
      <c r="AP1638" s="4">
        <v>33</v>
      </c>
      <c r="AQ1638" s="4">
        <v>58</v>
      </c>
      <c r="AR1638" s="3" t="s">
        <v>61</v>
      </c>
      <c r="AS1638" s="3" t="s">
        <v>62</v>
      </c>
      <c r="AT1638" s="3" t="s">
        <v>62</v>
      </c>
      <c r="AV1638" s="6" t="str">
        <f>HYPERLINK("http://mcgill.on.worldcat.org/oclc/46678123","Catalog Record")</f>
        <v>Catalog Record</v>
      </c>
      <c r="AW1638" s="6" t="str">
        <f>HYPERLINK("http://www.worldcat.org/oclc/46678123","WorldCat Record")</f>
        <v>WorldCat Record</v>
      </c>
      <c r="AX1638" s="3" t="s">
        <v>15687</v>
      </c>
      <c r="AY1638" s="3" t="s">
        <v>15688</v>
      </c>
      <c r="AZ1638" s="3" t="s">
        <v>15689</v>
      </c>
      <c r="BA1638" s="3" t="s">
        <v>15689</v>
      </c>
      <c r="BB1638" s="3" t="s">
        <v>15693</v>
      </c>
      <c r="BC1638" s="3" t="s">
        <v>142</v>
      </c>
      <c r="BD1638" s="3" t="s">
        <v>68</v>
      </c>
      <c r="BE1638" s="3" t="s">
        <v>15691</v>
      </c>
      <c r="BF1638" s="3" t="s">
        <v>15693</v>
      </c>
      <c r="BG1638" s="3" t="s">
        <v>15694</v>
      </c>
    </row>
    <row r="1639" spans="1:59" ht="57" x14ac:dyDescent="0.45">
      <c r="A1639" s="2" t="s">
        <v>59</v>
      </c>
      <c r="B1639" s="2" t="s">
        <v>60</v>
      </c>
      <c r="C1639" s="2" t="s">
        <v>15680</v>
      </c>
      <c r="D1639" s="2" t="s">
        <v>15681</v>
      </c>
      <c r="E1639" s="2" t="s">
        <v>15682</v>
      </c>
      <c r="G1639" s="3" t="s">
        <v>62</v>
      </c>
      <c r="I1639" s="3" t="s">
        <v>61</v>
      </c>
      <c r="J1639" s="3" t="s">
        <v>61</v>
      </c>
      <c r="K1639" s="3" t="s">
        <v>63</v>
      </c>
      <c r="L1639" s="2" t="s">
        <v>15683</v>
      </c>
      <c r="M1639" s="2" t="s">
        <v>15684</v>
      </c>
      <c r="N1639" s="3" t="s">
        <v>1212</v>
      </c>
      <c r="O1639" s="2" t="s">
        <v>906</v>
      </c>
      <c r="P1639" s="3" t="s">
        <v>65</v>
      </c>
      <c r="R1639" s="3" t="s">
        <v>66</v>
      </c>
      <c r="S1639" s="4">
        <v>10</v>
      </c>
      <c r="T1639" s="4">
        <v>96</v>
      </c>
      <c r="U1639" s="5" t="s">
        <v>15686</v>
      </c>
      <c r="V1639" s="5" t="s">
        <v>15686</v>
      </c>
      <c r="W1639" s="5" t="s">
        <v>67</v>
      </c>
      <c r="X1639" s="5" t="s">
        <v>67</v>
      </c>
      <c r="Y1639" s="4">
        <v>79</v>
      </c>
      <c r="Z1639" s="4">
        <v>62</v>
      </c>
      <c r="AA1639" s="4">
        <v>137</v>
      </c>
      <c r="AB1639" s="4">
        <v>4</v>
      </c>
      <c r="AC1639" s="4">
        <v>16</v>
      </c>
      <c r="AD1639" s="4">
        <v>45</v>
      </c>
      <c r="AE1639" s="4">
        <v>112</v>
      </c>
      <c r="AF1639" s="4">
        <v>2</v>
      </c>
      <c r="AG1639" s="4">
        <v>7</v>
      </c>
      <c r="AH1639" s="4">
        <v>22</v>
      </c>
      <c r="AI1639" s="4">
        <v>64</v>
      </c>
      <c r="AJ1639" s="4">
        <v>19</v>
      </c>
      <c r="AK1639" s="4">
        <v>29</v>
      </c>
      <c r="AL1639" s="4">
        <v>7</v>
      </c>
      <c r="AM1639" s="4">
        <v>36</v>
      </c>
      <c r="AN1639" s="4">
        <v>0</v>
      </c>
      <c r="AO1639" s="4">
        <v>5</v>
      </c>
      <c r="AP1639" s="4">
        <v>33</v>
      </c>
      <c r="AQ1639" s="4">
        <v>58</v>
      </c>
      <c r="AR1639" s="3" t="s">
        <v>61</v>
      </c>
      <c r="AS1639" s="3" t="s">
        <v>62</v>
      </c>
      <c r="AT1639" s="3" t="s">
        <v>62</v>
      </c>
      <c r="AV1639" s="6" t="str">
        <f>HYPERLINK("http://mcgill.on.worldcat.org/oclc/46678123","Catalog Record")</f>
        <v>Catalog Record</v>
      </c>
      <c r="AW1639" s="6" t="str">
        <f>HYPERLINK("http://www.worldcat.org/oclc/46678123","WorldCat Record")</f>
        <v>WorldCat Record</v>
      </c>
      <c r="AX1639" s="3" t="s">
        <v>15687</v>
      </c>
      <c r="AY1639" s="3" t="s">
        <v>15688</v>
      </c>
      <c r="AZ1639" s="3" t="s">
        <v>15689</v>
      </c>
      <c r="BA1639" s="3" t="s">
        <v>15689</v>
      </c>
      <c r="BB1639" s="3" t="s">
        <v>15695</v>
      </c>
      <c r="BC1639" s="3" t="s">
        <v>142</v>
      </c>
      <c r="BD1639" s="3" t="s">
        <v>68</v>
      </c>
      <c r="BE1639" s="3" t="s">
        <v>15691</v>
      </c>
      <c r="BF1639" s="3" t="s">
        <v>15695</v>
      </c>
      <c r="BG1639" s="3" t="s">
        <v>15696</v>
      </c>
    </row>
    <row r="1640" spans="1:59" ht="57" x14ac:dyDescent="0.45">
      <c r="A1640" s="2" t="s">
        <v>59</v>
      </c>
      <c r="B1640" s="2" t="s">
        <v>60</v>
      </c>
      <c r="C1640" s="2" t="s">
        <v>15680</v>
      </c>
      <c r="D1640" s="2" t="s">
        <v>15681</v>
      </c>
      <c r="E1640" s="2" t="s">
        <v>15682</v>
      </c>
      <c r="G1640" s="3" t="s">
        <v>62</v>
      </c>
      <c r="I1640" s="3" t="s">
        <v>61</v>
      </c>
      <c r="J1640" s="3" t="s">
        <v>61</v>
      </c>
      <c r="K1640" s="3" t="s">
        <v>63</v>
      </c>
      <c r="L1640" s="2" t="s">
        <v>15683</v>
      </c>
      <c r="M1640" s="2" t="s">
        <v>15684</v>
      </c>
      <c r="N1640" s="3" t="s">
        <v>1212</v>
      </c>
      <c r="O1640" s="2" t="s">
        <v>906</v>
      </c>
      <c r="P1640" s="3" t="s">
        <v>65</v>
      </c>
      <c r="R1640" s="3" t="s">
        <v>66</v>
      </c>
      <c r="S1640" s="4">
        <v>4</v>
      </c>
      <c r="T1640" s="4">
        <v>96</v>
      </c>
      <c r="U1640" s="5" t="s">
        <v>7295</v>
      </c>
      <c r="V1640" s="5" t="s">
        <v>15686</v>
      </c>
      <c r="W1640" s="5" t="s">
        <v>67</v>
      </c>
      <c r="X1640" s="5" t="s">
        <v>67</v>
      </c>
      <c r="Y1640" s="4">
        <v>79</v>
      </c>
      <c r="Z1640" s="4">
        <v>62</v>
      </c>
      <c r="AA1640" s="4">
        <v>137</v>
      </c>
      <c r="AB1640" s="4">
        <v>4</v>
      </c>
      <c r="AC1640" s="4">
        <v>16</v>
      </c>
      <c r="AD1640" s="4">
        <v>45</v>
      </c>
      <c r="AE1640" s="4">
        <v>112</v>
      </c>
      <c r="AF1640" s="4">
        <v>2</v>
      </c>
      <c r="AG1640" s="4">
        <v>7</v>
      </c>
      <c r="AH1640" s="4">
        <v>22</v>
      </c>
      <c r="AI1640" s="4">
        <v>64</v>
      </c>
      <c r="AJ1640" s="4">
        <v>19</v>
      </c>
      <c r="AK1640" s="4">
        <v>29</v>
      </c>
      <c r="AL1640" s="4">
        <v>7</v>
      </c>
      <c r="AM1640" s="4">
        <v>36</v>
      </c>
      <c r="AN1640" s="4">
        <v>0</v>
      </c>
      <c r="AO1640" s="4">
        <v>5</v>
      </c>
      <c r="AP1640" s="4">
        <v>33</v>
      </c>
      <c r="AQ1640" s="4">
        <v>58</v>
      </c>
      <c r="AR1640" s="3" t="s">
        <v>61</v>
      </c>
      <c r="AS1640" s="3" t="s">
        <v>62</v>
      </c>
      <c r="AT1640" s="3" t="s">
        <v>62</v>
      </c>
      <c r="AV1640" s="6" t="str">
        <f>HYPERLINK("http://mcgill.on.worldcat.org/oclc/46678123","Catalog Record")</f>
        <v>Catalog Record</v>
      </c>
      <c r="AW1640" s="6" t="str">
        <f>HYPERLINK("http://www.worldcat.org/oclc/46678123","WorldCat Record")</f>
        <v>WorldCat Record</v>
      </c>
      <c r="AX1640" s="3" t="s">
        <v>15687</v>
      </c>
      <c r="AY1640" s="3" t="s">
        <v>15688</v>
      </c>
      <c r="AZ1640" s="3" t="s">
        <v>15689</v>
      </c>
      <c r="BA1640" s="3" t="s">
        <v>15689</v>
      </c>
      <c r="BB1640" s="3" t="s">
        <v>15697</v>
      </c>
      <c r="BC1640" s="3" t="s">
        <v>142</v>
      </c>
      <c r="BD1640" s="3" t="s">
        <v>68</v>
      </c>
      <c r="BE1640" s="3" t="s">
        <v>15691</v>
      </c>
      <c r="BF1640" s="3" t="s">
        <v>15697</v>
      </c>
      <c r="BG1640" s="3" t="s">
        <v>15698</v>
      </c>
    </row>
    <row r="1641" spans="1:59" ht="57" x14ac:dyDescent="0.45">
      <c r="A1641" s="2" t="s">
        <v>59</v>
      </c>
      <c r="B1641" s="2" t="s">
        <v>60</v>
      </c>
      <c r="C1641" s="2" t="s">
        <v>15680</v>
      </c>
      <c r="D1641" s="2" t="s">
        <v>15681</v>
      </c>
      <c r="E1641" s="2" t="s">
        <v>15682</v>
      </c>
      <c r="G1641" s="3" t="s">
        <v>62</v>
      </c>
      <c r="I1641" s="3" t="s">
        <v>61</v>
      </c>
      <c r="J1641" s="3" t="s">
        <v>61</v>
      </c>
      <c r="K1641" s="3" t="s">
        <v>63</v>
      </c>
      <c r="L1641" s="2" t="s">
        <v>15683</v>
      </c>
      <c r="M1641" s="2" t="s">
        <v>15684</v>
      </c>
      <c r="N1641" s="3" t="s">
        <v>1212</v>
      </c>
      <c r="O1641" s="2" t="s">
        <v>906</v>
      </c>
      <c r="P1641" s="3" t="s">
        <v>65</v>
      </c>
      <c r="R1641" s="3" t="s">
        <v>66</v>
      </c>
      <c r="S1641" s="4">
        <v>45</v>
      </c>
      <c r="T1641" s="4">
        <v>96</v>
      </c>
      <c r="U1641" s="5" t="s">
        <v>15699</v>
      </c>
      <c r="V1641" s="5" t="s">
        <v>15686</v>
      </c>
      <c r="W1641" s="5" t="s">
        <v>67</v>
      </c>
      <c r="X1641" s="5" t="s">
        <v>67</v>
      </c>
      <c r="Y1641" s="4">
        <v>79</v>
      </c>
      <c r="Z1641" s="4">
        <v>62</v>
      </c>
      <c r="AA1641" s="4">
        <v>137</v>
      </c>
      <c r="AB1641" s="4">
        <v>4</v>
      </c>
      <c r="AC1641" s="4">
        <v>16</v>
      </c>
      <c r="AD1641" s="4">
        <v>45</v>
      </c>
      <c r="AE1641" s="4">
        <v>112</v>
      </c>
      <c r="AF1641" s="4">
        <v>2</v>
      </c>
      <c r="AG1641" s="4">
        <v>7</v>
      </c>
      <c r="AH1641" s="4">
        <v>22</v>
      </c>
      <c r="AI1641" s="4">
        <v>64</v>
      </c>
      <c r="AJ1641" s="4">
        <v>19</v>
      </c>
      <c r="AK1641" s="4">
        <v>29</v>
      </c>
      <c r="AL1641" s="4">
        <v>7</v>
      </c>
      <c r="AM1641" s="4">
        <v>36</v>
      </c>
      <c r="AN1641" s="4">
        <v>0</v>
      </c>
      <c r="AO1641" s="4">
        <v>5</v>
      </c>
      <c r="AP1641" s="4">
        <v>33</v>
      </c>
      <c r="AQ1641" s="4">
        <v>58</v>
      </c>
      <c r="AR1641" s="3" t="s">
        <v>61</v>
      </c>
      <c r="AS1641" s="3" t="s">
        <v>62</v>
      </c>
      <c r="AT1641" s="3" t="s">
        <v>62</v>
      </c>
      <c r="AV1641" s="6" t="str">
        <f>HYPERLINK("http://mcgill.on.worldcat.org/oclc/46678123","Catalog Record")</f>
        <v>Catalog Record</v>
      </c>
      <c r="AW1641" s="6" t="str">
        <f>HYPERLINK("http://www.worldcat.org/oclc/46678123","WorldCat Record")</f>
        <v>WorldCat Record</v>
      </c>
      <c r="AX1641" s="3" t="s">
        <v>15687</v>
      </c>
      <c r="AY1641" s="3" t="s">
        <v>15688</v>
      </c>
      <c r="AZ1641" s="3" t="s">
        <v>15689</v>
      </c>
      <c r="BA1641" s="3" t="s">
        <v>15689</v>
      </c>
      <c r="BB1641" s="3" t="s">
        <v>15700</v>
      </c>
      <c r="BC1641" s="3" t="s">
        <v>142</v>
      </c>
      <c r="BD1641" s="3" t="s">
        <v>68</v>
      </c>
      <c r="BE1641" s="3" t="s">
        <v>15691</v>
      </c>
      <c r="BF1641" s="3" t="s">
        <v>15700</v>
      </c>
      <c r="BG1641" s="3" t="s">
        <v>15701</v>
      </c>
    </row>
    <row r="1642" spans="1:59" ht="57" x14ac:dyDescent="0.45">
      <c r="A1642" s="2" t="s">
        <v>59</v>
      </c>
      <c r="B1642" s="2" t="s">
        <v>60</v>
      </c>
      <c r="C1642" s="2" t="s">
        <v>15702</v>
      </c>
      <c r="D1642" s="2" t="s">
        <v>15703</v>
      </c>
      <c r="E1642" s="2" t="s">
        <v>15682</v>
      </c>
      <c r="G1642" s="3" t="s">
        <v>62</v>
      </c>
      <c r="I1642" s="3" t="s">
        <v>62</v>
      </c>
      <c r="J1642" s="3" t="s">
        <v>61</v>
      </c>
      <c r="K1642" s="3" t="s">
        <v>63</v>
      </c>
      <c r="L1642" s="2" t="s">
        <v>15683</v>
      </c>
      <c r="M1642" s="2" t="s">
        <v>15704</v>
      </c>
      <c r="N1642" s="3" t="s">
        <v>894</v>
      </c>
      <c r="O1642" s="2" t="s">
        <v>420</v>
      </c>
      <c r="P1642" s="3" t="s">
        <v>65</v>
      </c>
      <c r="R1642" s="3" t="s">
        <v>66</v>
      </c>
      <c r="S1642" s="4">
        <v>17</v>
      </c>
      <c r="T1642" s="4">
        <v>17</v>
      </c>
      <c r="U1642" s="5" t="s">
        <v>15705</v>
      </c>
      <c r="V1642" s="5" t="s">
        <v>15705</v>
      </c>
      <c r="W1642" s="5" t="s">
        <v>67</v>
      </c>
      <c r="X1642" s="5" t="s">
        <v>67</v>
      </c>
      <c r="Y1642" s="4">
        <v>103</v>
      </c>
      <c r="Z1642" s="4">
        <v>59</v>
      </c>
      <c r="AA1642" s="4">
        <v>137</v>
      </c>
      <c r="AB1642" s="4">
        <v>3</v>
      </c>
      <c r="AC1642" s="4">
        <v>16</v>
      </c>
      <c r="AD1642" s="4">
        <v>50</v>
      </c>
      <c r="AE1642" s="4">
        <v>112</v>
      </c>
      <c r="AF1642" s="4">
        <v>1</v>
      </c>
      <c r="AG1642" s="4">
        <v>7</v>
      </c>
      <c r="AH1642" s="4">
        <v>29</v>
      </c>
      <c r="AI1642" s="4">
        <v>64</v>
      </c>
      <c r="AJ1642" s="4">
        <v>19</v>
      </c>
      <c r="AK1642" s="4">
        <v>29</v>
      </c>
      <c r="AL1642" s="4">
        <v>14</v>
      </c>
      <c r="AM1642" s="4">
        <v>36</v>
      </c>
      <c r="AN1642" s="4">
        <v>0</v>
      </c>
      <c r="AO1642" s="4">
        <v>5</v>
      </c>
      <c r="AP1642" s="4">
        <v>30</v>
      </c>
      <c r="AQ1642" s="4">
        <v>58</v>
      </c>
      <c r="AR1642" s="3" t="s">
        <v>61</v>
      </c>
      <c r="AS1642" s="3" t="s">
        <v>62</v>
      </c>
      <c r="AT1642" s="3" t="s">
        <v>62</v>
      </c>
      <c r="AV1642" s="6" t="str">
        <f>HYPERLINK("http://mcgill.on.worldcat.org/oclc/695980804","Catalog Record")</f>
        <v>Catalog Record</v>
      </c>
      <c r="AW1642" s="6" t="str">
        <f>HYPERLINK("http://www.worldcat.org/oclc/695980804","WorldCat Record")</f>
        <v>WorldCat Record</v>
      </c>
      <c r="AX1642" s="3" t="s">
        <v>15687</v>
      </c>
      <c r="AY1642" s="3" t="s">
        <v>15706</v>
      </c>
      <c r="AZ1642" s="3" t="s">
        <v>15707</v>
      </c>
      <c r="BA1642" s="3" t="s">
        <v>15707</v>
      </c>
      <c r="BB1642" s="3" t="s">
        <v>15708</v>
      </c>
      <c r="BC1642" s="3" t="s">
        <v>142</v>
      </c>
      <c r="BD1642" s="3" t="s">
        <v>68</v>
      </c>
      <c r="BE1642" s="3" t="s">
        <v>15709</v>
      </c>
      <c r="BF1642" s="3" t="s">
        <v>15708</v>
      </c>
      <c r="BG1642" s="3" t="s">
        <v>15710</v>
      </c>
    </row>
    <row r="1643" spans="1:59" ht="57" x14ac:dyDescent="0.45">
      <c r="A1643" s="2" t="s">
        <v>59</v>
      </c>
      <c r="B1643" s="2" t="s">
        <v>60</v>
      </c>
      <c r="C1643" s="2" t="s">
        <v>15711</v>
      </c>
      <c r="D1643" s="2" t="s">
        <v>15712</v>
      </c>
      <c r="E1643" s="2" t="s">
        <v>15713</v>
      </c>
      <c r="G1643" s="3" t="s">
        <v>62</v>
      </c>
      <c r="I1643" s="3" t="s">
        <v>62</v>
      </c>
      <c r="J1643" s="3" t="s">
        <v>62</v>
      </c>
      <c r="K1643" s="3" t="s">
        <v>63</v>
      </c>
      <c r="L1643" s="2" t="s">
        <v>15714</v>
      </c>
      <c r="M1643" s="2" t="s">
        <v>15715</v>
      </c>
      <c r="N1643" s="3" t="s">
        <v>1239</v>
      </c>
      <c r="O1643" s="2" t="s">
        <v>168</v>
      </c>
      <c r="P1643" s="3" t="s">
        <v>65</v>
      </c>
      <c r="R1643" s="3" t="s">
        <v>66</v>
      </c>
      <c r="S1643" s="4">
        <v>16</v>
      </c>
      <c r="T1643" s="4">
        <v>16</v>
      </c>
      <c r="U1643" s="5" t="s">
        <v>15716</v>
      </c>
      <c r="V1643" s="5" t="s">
        <v>15716</v>
      </c>
      <c r="W1643" s="5" t="s">
        <v>67</v>
      </c>
      <c r="X1643" s="5" t="s">
        <v>67</v>
      </c>
      <c r="Y1643" s="4">
        <v>325</v>
      </c>
      <c r="Z1643" s="4">
        <v>14</v>
      </c>
      <c r="AA1643" s="4">
        <v>20</v>
      </c>
      <c r="AB1643" s="4">
        <v>2</v>
      </c>
      <c r="AC1643" s="4">
        <v>4</v>
      </c>
      <c r="AD1643" s="4">
        <v>105</v>
      </c>
      <c r="AE1643" s="4">
        <v>111</v>
      </c>
      <c r="AF1643" s="4">
        <v>1</v>
      </c>
      <c r="AG1643" s="4">
        <v>3</v>
      </c>
      <c r="AH1643" s="4">
        <v>100</v>
      </c>
      <c r="AI1643" s="4">
        <v>102</v>
      </c>
      <c r="AJ1643" s="4">
        <v>10</v>
      </c>
      <c r="AK1643" s="4">
        <v>16</v>
      </c>
      <c r="AL1643" s="4">
        <v>56</v>
      </c>
      <c r="AM1643" s="4">
        <v>56</v>
      </c>
      <c r="AN1643" s="4">
        <v>0</v>
      </c>
      <c r="AO1643" s="4">
        <v>0</v>
      </c>
      <c r="AP1643" s="4">
        <v>11</v>
      </c>
      <c r="AQ1643" s="4">
        <v>16</v>
      </c>
      <c r="AR1643" s="3" t="s">
        <v>62</v>
      </c>
      <c r="AS1643" s="3" t="s">
        <v>62</v>
      </c>
      <c r="AT1643" s="3" t="s">
        <v>61</v>
      </c>
      <c r="AU1643" s="6" t="str">
        <f>HYPERLINK("http://catalog.hathitrust.org/Record/001539837","HathiTrust Record")</f>
        <v>HathiTrust Record</v>
      </c>
      <c r="AV1643" s="6" t="str">
        <f>HYPERLINK("http://mcgill.on.worldcat.org/oclc/17264065","Catalog Record")</f>
        <v>Catalog Record</v>
      </c>
      <c r="AW1643" s="6" t="str">
        <f>HYPERLINK("http://www.worldcat.org/oclc/17264065","WorldCat Record")</f>
        <v>WorldCat Record</v>
      </c>
      <c r="AX1643" s="3" t="s">
        <v>15717</v>
      </c>
      <c r="AY1643" s="3" t="s">
        <v>15718</v>
      </c>
      <c r="AZ1643" s="3" t="s">
        <v>15719</v>
      </c>
      <c r="BA1643" s="3" t="s">
        <v>15719</v>
      </c>
      <c r="BB1643" s="3" t="s">
        <v>15720</v>
      </c>
      <c r="BC1643" s="3" t="s">
        <v>142</v>
      </c>
      <c r="BD1643" s="3" t="s">
        <v>68</v>
      </c>
      <c r="BE1643" s="3" t="s">
        <v>15721</v>
      </c>
      <c r="BF1643" s="3" t="s">
        <v>15720</v>
      </c>
      <c r="BG1643" s="3" t="s">
        <v>15722</v>
      </c>
    </row>
    <row r="1644" spans="1:59" ht="57" x14ac:dyDescent="0.45">
      <c r="A1644" s="2" t="s">
        <v>59</v>
      </c>
      <c r="B1644" s="2" t="s">
        <v>60</v>
      </c>
      <c r="C1644" s="2" t="s">
        <v>15723</v>
      </c>
      <c r="D1644" s="2" t="s">
        <v>15724</v>
      </c>
      <c r="E1644" s="2" t="s">
        <v>15725</v>
      </c>
      <c r="G1644" s="3" t="s">
        <v>62</v>
      </c>
      <c r="I1644" s="3" t="s">
        <v>62</v>
      </c>
      <c r="J1644" s="3" t="s">
        <v>62</v>
      </c>
      <c r="K1644" s="3" t="s">
        <v>63</v>
      </c>
      <c r="L1644" s="2" t="s">
        <v>15726</v>
      </c>
      <c r="M1644" s="2" t="s">
        <v>15715</v>
      </c>
      <c r="N1644" s="3" t="s">
        <v>1239</v>
      </c>
      <c r="O1644" s="2" t="s">
        <v>168</v>
      </c>
      <c r="P1644" s="3" t="s">
        <v>65</v>
      </c>
      <c r="R1644" s="3" t="s">
        <v>66</v>
      </c>
      <c r="S1644" s="4">
        <v>20</v>
      </c>
      <c r="T1644" s="4">
        <v>20</v>
      </c>
      <c r="U1644" s="5" t="s">
        <v>12437</v>
      </c>
      <c r="V1644" s="5" t="s">
        <v>12437</v>
      </c>
      <c r="W1644" s="5" t="s">
        <v>67</v>
      </c>
      <c r="X1644" s="5" t="s">
        <v>67</v>
      </c>
      <c r="Y1644" s="4">
        <v>428</v>
      </c>
      <c r="Z1644" s="4">
        <v>20</v>
      </c>
      <c r="AA1644" s="4">
        <v>22</v>
      </c>
      <c r="AB1644" s="4">
        <v>2</v>
      </c>
      <c r="AC1644" s="4">
        <v>4</v>
      </c>
      <c r="AD1644" s="4">
        <v>114</v>
      </c>
      <c r="AE1644" s="4">
        <v>116</v>
      </c>
      <c r="AF1644" s="4">
        <v>1</v>
      </c>
      <c r="AG1644" s="4">
        <v>3</v>
      </c>
      <c r="AH1644" s="4">
        <v>104</v>
      </c>
      <c r="AI1644" s="4">
        <v>105</v>
      </c>
      <c r="AJ1644" s="4">
        <v>14</v>
      </c>
      <c r="AK1644" s="4">
        <v>16</v>
      </c>
      <c r="AL1644" s="4">
        <v>56</v>
      </c>
      <c r="AM1644" s="4">
        <v>56</v>
      </c>
      <c r="AN1644" s="4">
        <v>0</v>
      </c>
      <c r="AO1644" s="4">
        <v>0</v>
      </c>
      <c r="AP1644" s="4">
        <v>17</v>
      </c>
      <c r="AQ1644" s="4">
        <v>18</v>
      </c>
      <c r="AR1644" s="3" t="s">
        <v>62</v>
      </c>
      <c r="AS1644" s="3" t="s">
        <v>62</v>
      </c>
      <c r="AT1644" s="3" t="s">
        <v>61</v>
      </c>
      <c r="AU1644" s="6" t="str">
        <f>HYPERLINK("http://catalog.hathitrust.org/Record/001828245","HathiTrust Record")</f>
        <v>HathiTrust Record</v>
      </c>
      <c r="AV1644" s="6" t="str">
        <f>HYPERLINK("http://mcgill.on.worldcat.org/oclc/18908954","Catalog Record")</f>
        <v>Catalog Record</v>
      </c>
      <c r="AW1644" s="6" t="str">
        <f>HYPERLINK("http://www.worldcat.org/oclc/18908954","WorldCat Record")</f>
        <v>WorldCat Record</v>
      </c>
      <c r="AX1644" s="3" t="s">
        <v>15727</v>
      </c>
      <c r="AY1644" s="3" t="s">
        <v>15728</v>
      </c>
      <c r="AZ1644" s="3" t="s">
        <v>15729</v>
      </c>
      <c r="BA1644" s="3" t="s">
        <v>15729</v>
      </c>
      <c r="BB1644" s="3" t="s">
        <v>15730</v>
      </c>
      <c r="BC1644" s="3" t="s">
        <v>142</v>
      </c>
      <c r="BD1644" s="3" t="s">
        <v>68</v>
      </c>
      <c r="BE1644" s="3" t="s">
        <v>15731</v>
      </c>
      <c r="BF1644" s="3" t="s">
        <v>15730</v>
      </c>
      <c r="BG1644" s="3" t="s">
        <v>15732</v>
      </c>
    </row>
    <row r="1645" spans="1:59" ht="57" x14ac:dyDescent="0.45">
      <c r="A1645" s="2" t="s">
        <v>59</v>
      </c>
      <c r="B1645" s="2" t="s">
        <v>60</v>
      </c>
      <c r="C1645" s="2" t="s">
        <v>15733</v>
      </c>
      <c r="D1645" s="2" t="s">
        <v>15734</v>
      </c>
      <c r="E1645" s="2" t="s">
        <v>15735</v>
      </c>
      <c r="G1645" s="3" t="s">
        <v>62</v>
      </c>
      <c r="I1645" s="3" t="s">
        <v>62</v>
      </c>
      <c r="J1645" s="3" t="s">
        <v>62</v>
      </c>
      <c r="K1645" s="3" t="s">
        <v>63</v>
      </c>
      <c r="M1645" s="2" t="s">
        <v>9187</v>
      </c>
      <c r="N1645" s="3" t="s">
        <v>894</v>
      </c>
      <c r="P1645" s="3" t="s">
        <v>65</v>
      </c>
      <c r="R1645" s="3" t="s">
        <v>66</v>
      </c>
      <c r="S1645" s="4">
        <v>4</v>
      </c>
      <c r="T1645" s="4">
        <v>4</v>
      </c>
      <c r="U1645" s="5" t="s">
        <v>15736</v>
      </c>
      <c r="V1645" s="5" t="s">
        <v>15736</v>
      </c>
      <c r="W1645" s="5" t="s">
        <v>67</v>
      </c>
      <c r="X1645" s="5" t="s">
        <v>67</v>
      </c>
      <c r="Y1645" s="4">
        <v>354</v>
      </c>
      <c r="Z1645" s="4">
        <v>23</v>
      </c>
      <c r="AA1645" s="4">
        <v>89</v>
      </c>
      <c r="AB1645" s="4">
        <v>2</v>
      </c>
      <c r="AC1645" s="4">
        <v>15</v>
      </c>
      <c r="AD1645" s="4">
        <v>85</v>
      </c>
      <c r="AE1645" s="4">
        <v>134</v>
      </c>
      <c r="AF1645" s="4">
        <v>1</v>
      </c>
      <c r="AG1645" s="4">
        <v>8</v>
      </c>
      <c r="AH1645" s="4">
        <v>76</v>
      </c>
      <c r="AI1645" s="4">
        <v>97</v>
      </c>
      <c r="AJ1645" s="4">
        <v>13</v>
      </c>
      <c r="AK1645" s="4">
        <v>23</v>
      </c>
      <c r="AL1645" s="4">
        <v>45</v>
      </c>
      <c r="AM1645" s="4">
        <v>55</v>
      </c>
      <c r="AN1645" s="4">
        <v>0</v>
      </c>
      <c r="AO1645" s="4">
        <v>0</v>
      </c>
      <c r="AP1645" s="4">
        <v>15</v>
      </c>
      <c r="AQ1645" s="4">
        <v>45</v>
      </c>
      <c r="AR1645" s="3" t="s">
        <v>62</v>
      </c>
      <c r="AS1645" s="3" t="s">
        <v>62</v>
      </c>
      <c r="AT1645" s="3" t="s">
        <v>62</v>
      </c>
      <c r="AV1645" s="6" t="str">
        <f>HYPERLINK("http://mcgill.on.worldcat.org/oclc/587229712","Catalog Record")</f>
        <v>Catalog Record</v>
      </c>
      <c r="AW1645" s="6" t="str">
        <f>HYPERLINK("http://www.worldcat.org/oclc/587229712","WorldCat Record")</f>
        <v>WorldCat Record</v>
      </c>
      <c r="AX1645" s="3" t="s">
        <v>15737</v>
      </c>
      <c r="AY1645" s="3" t="s">
        <v>15738</v>
      </c>
      <c r="AZ1645" s="3" t="s">
        <v>15739</v>
      </c>
      <c r="BA1645" s="3" t="s">
        <v>15739</v>
      </c>
      <c r="BB1645" s="3" t="s">
        <v>15740</v>
      </c>
      <c r="BC1645" s="3" t="s">
        <v>142</v>
      </c>
      <c r="BD1645" s="3" t="s">
        <v>68</v>
      </c>
      <c r="BE1645" s="3" t="s">
        <v>15741</v>
      </c>
      <c r="BF1645" s="3" t="s">
        <v>15740</v>
      </c>
      <c r="BG1645" s="3" t="s">
        <v>15742</v>
      </c>
    </row>
    <row r="1646" spans="1:59" ht="57" x14ac:dyDescent="0.45">
      <c r="A1646" s="2" t="s">
        <v>59</v>
      </c>
      <c r="B1646" s="2" t="s">
        <v>60</v>
      </c>
      <c r="C1646" s="2" t="s">
        <v>15743</v>
      </c>
      <c r="D1646" s="2" t="s">
        <v>15744</v>
      </c>
      <c r="E1646" s="2" t="s">
        <v>15745</v>
      </c>
      <c r="G1646" s="3" t="s">
        <v>62</v>
      </c>
      <c r="I1646" s="3" t="s">
        <v>61</v>
      </c>
      <c r="J1646" s="3" t="s">
        <v>62</v>
      </c>
      <c r="K1646" s="3" t="s">
        <v>63</v>
      </c>
      <c r="M1646" s="2" t="s">
        <v>11266</v>
      </c>
      <c r="N1646" s="3" t="s">
        <v>918</v>
      </c>
      <c r="P1646" s="3" t="s">
        <v>65</v>
      </c>
      <c r="Q1646" s="2" t="s">
        <v>15746</v>
      </c>
      <c r="R1646" s="3" t="s">
        <v>66</v>
      </c>
      <c r="S1646" s="4">
        <v>13</v>
      </c>
      <c r="T1646" s="4">
        <v>13</v>
      </c>
      <c r="U1646" s="5" t="s">
        <v>15736</v>
      </c>
      <c r="V1646" s="5" t="s">
        <v>15736</v>
      </c>
      <c r="W1646" s="5" t="s">
        <v>67</v>
      </c>
      <c r="X1646" s="5" t="s">
        <v>67</v>
      </c>
      <c r="Y1646" s="4">
        <v>259</v>
      </c>
      <c r="Z1646" s="4">
        <v>16</v>
      </c>
      <c r="AA1646" s="4">
        <v>95</v>
      </c>
      <c r="AB1646" s="4">
        <v>2</v>
      </c>
      <c r="AC1646" s="4">
        <v>19</v>
      </c>
      <c r="AD1646" s="4">
        <v>82</v>
      </c>
      <c r="AE1646" s="4">
        <v>146</v>
      </c>
      <c r="AF1646" s="4">
        <v>1</v>
      </c>
      <c r="AG1646" s="4">
        <v>9</v>
      </c>
      <c r="AH1646" s="4">
        <v>76</v>
      </c>
      <c r="AI1646" s="4">
        <v>100</v>
      </c>
      <c r="AJ1646" s="4">
        <v>12</v>
      </c>
      <c r="AK1646" s="4">
        <v>26</v>
      </c>
      <c r="AL1646" s="4">
        <v>42</v>
      </c>
      <c r="AM1646" s="4">
        <v>51</v>
      </c>
      <c r="AN1646" s="4">
        <v>0</v>
      </c>
      <c r="AO1646" s="4">
        <v>0</v>
      </c>
      <c r="AP1646" s="4">
        <v>12</v>
      </c>
      <c r="AQ1646" s="4">
        <v>53</v>
      </c>
      <c r="AR1646" s="3" t="s">
        <v>62</v>
      </c>
      <c r="AS1646" s="3" t="s">
        <v>62</v>
      </c>
      <c r="AT1646" s="3" t="s">
        <v>62</v>
      </c>
      <c r="AV1646" s="6" t="str">
        <f>HYPERLINK("http://mcgill.on.worldcat.org/oclc/50422968","Catalog Record")</f>
        <v>Catalog Record</v>
      </c>
      <c r="AW1646" s="6" t="str">
        <f>HYPERLINK("http://www.worldcat.org/oclc/50422968","WorldCat Record")</f>
        <v>WorldCat Record</v>
      </c>
      <c r="AX1646" s="3" t="s">
        <v>15747</v>
      </c>
      <c r="AY1646" s="3" t="s">
        <v>15748</v>
      </c>
      <c r="AZ1646" s="3" t="s">
        <v>15749</v>
      </c>
      <c r="BA1646" s="3" t="s">
        <v>15749</v>
      </c>
      <c r="BB1646" s="3" t="s">
        <v>15750</v>
      </c>
      <c r="BC1646" s="3" t="s">
        <v>142</v>
      </c>
      <c r="BD1646" s="3" t="s">
        <v>68</v>
      </c>
      <c r="BE1646" s="3" t="s">
        <v>15751</v>
      </c>
      <c r="BF1646" s="3" t="s">
        <v>15750</v>
      </c>
      <c r="BG1646" s="3" t="s">
        <v>15752</v>
      </c>
    </row>
    <row r="1647" spans="1:59" ht="57" x14ac:dyDescent="0.45">
      <c r="A1647" s="2" t="s">
        <v>59</v>
      </c>
      <c r="B1647" s="2" t="s">
        <v>60</v>
      </c>
      <c r="C1647" s="2" t="s">
        <v>15743</v>
      </c>
      <c r="D1647" s="2" t="s">
        <v>15744</v>
      </c>
      <c r="E1647" s="2" t="s">
        <v>15745</v>
      </c>
      <c r="G1647" s="3" t="s">
        <v>62</v>
      </c>
      <c r="I1647" s="3" t="s">
        <v>61</v>
      </c>
      <c r="J1647" s="3" t="s">
        <v>62</v>
      </c>
      <c r="K1647" s="3" t="s">
        <v>63</v>
      </c>
      <c r="M1647" s="2" t="s">
        <v>11266</v>
      </c>
      <c r="N1647" s="3" t="s">
        <v>918</v>
      </c>
      <c r="P1647" s="3" t="s">
        <v>65</v>
      </c>
      <c r="Q1647" s="2" t="s">
        <v>15746</v>
      </c>
      <c r="R1647" s="3" t="s">
        <v>66</v>
      </c>
      <c r="S1647" s="4">
        <v>0</v>
      </c>
      <c r="T1647" s="4">
        <v>13</v>
      </c>
      <c r="V1647" s="5" t="s">
        <v>15736</v>
      </c>
      <c r="W1647" s="5" t="s">
        <v>67</v>
      </c>
      <c r="X1647" s="5" t="s">
        <v>67</v>
      </c>
      <c r="Y1647" s="4">
        <v>259</v>
      </c>
      <c r="Z1647" s="4">
        <v>16</v>
      </c>
      <c r="AA1647" s="4">
        <v>95</v>
      </c>
      <c r="AB1647" s="4">
        <v>2</v>
      </c>
      <c r="AC1647" s="4">
        <v>19</v>
      </c>
      <c r="AD1647" s="4">
        <v>82</v>
      </c>
      <c r="AE1647" s="4">
        <v>146</v>
      </c>
      <c r="AF1647" s="4">
        <v>1</v>
      </c>
      <c r="AG1647" s="4">
        <v>9</v>
      </c>
      <c r="AH1647" s="4">
        <v>76</v>
      </c>
      <c r="AI1647" s="4">
        <v>100</v>
      </c>
      <c r="AJ1647" s="4">
        <v>12</v>
      </c>
      <c r="AK1647" s="4">
        <v>26</v>
      </c>
      <c r="AL1647" s="4">
        <v>42</v>
      </c>
      <c r="AM1647" s="4">
        <v>51</v>
      </c>
      <c r="AN1647" s="4">
        <v>0</v>
      </c>
      <c r="AO1647" s="4">
        <v>0</v>
      </c>
      <c r="AP1647" s="4">
        <v>12</v>
      </c>
      <c r="AQ1647" s="4">
        <v>53</v>
      </c>
      <c r="AR1647" s="3" t="s">
        <v>62</v>
      </c>
      <c r="AS1647" s="3" t="s">
        <v>62</v>
      </c>
      <c r="AT1647" s="3" t="s">
        <v>62</v>
      </c>
      <c r="AV1647" s="6" t="str">
        <f>HYPERLINK("http://mcgill.on.worldcat.org/oclc/50422968","Catalog Record")</f>
        <v>Catalog Record</v>
      </c>
      <c r="AW1647" s="6" t="str">
        <f>HYPERLINK("http://www.worldcat.org/oclc/50422968","WorldCat Record")</f>
        <v>WorldCat Record</v>
      </c>
      <c r="AX1647" s="3" t="s">
        <v>15747</v>
      </c>
      <c r="AY1647" s="3" t="s">
        <v>15748</v>
      </c>
      <c r="AZ1647" s="3" t="s">
        <v>15749</v>
      </c>
      <c r="BA1647" s="3" t="s">
        <v>15749</v>
      </c>
      <c r="BB1647" s="3" t="s">
        <v>15753</v>
      </c>
      <c r="BC1647" s="3" t="s">
        <v>142</v>
      </c>
      <c r="BD1647" s="3" t="s">
        <v>68</v>
      </c>
      <c r="BE1647" s="3" t="s">
        <v>15751</v>
      </c>
      <c r="BF1647" s="3" t="s">
        <v>15753</v>
      </c>
      <c r="BG1647" s="3" t="s">
        <v>15754</v>
      </c>
    </row>
    <row r="1648" spans="1:59" ht="57" x14ac:dyDescent="0.45">
      <c r="A1648" s="2" t="s">
        <v>59</v>
      </c>
      <c r="B1648" s="2" t="s">
        <v>60</v>
      </c>
      <c r="C1648" s="2" t="s">
        <v>15755</v>
      </c>
      <c r="D1648" s="2" t="s">
        <v>15756</v>
      </c>
      <c r="E1648" s="2" t="s">
        <v>15757</v>
      </c>
      <c r="G1648" s="3" t="s">
        <v>62</v>
      </c>
      <c r="I1648" s="3" t="s">
        <v>62</v>
      </c>
      <c r="J1648" s="3" t="s">
        <v>62</v>
      </c>
      <c r="K1648" s="3" t="s">
        <v>63</v>
      </c>
      <c r="M1648" s="2" t="s">
        <v>15758</v>
      </c>
      <c r="N1648" s="3" t="s">
        <v>1212</v>
      </c>
      <c r="P1648" s="3" t="s">
        <v>65</v>
      </c>
      <c r="Q1648" s="2" t="s">
        <v>15759</v>
      </c>
      <c r="R1648" s="3" t="s">
        <v>66</v>
      </c>
      <c r="S1648" s="4">
        <v>13</v>
      </c>
      <c r="T1648" s="4">
        <v>13</v>
      </c>
      <c r="U1648" s="5" t="s">
        <v>15736</v>
      </c>
      <c r="V1648" s="5" t="s">
        <v>15736</v>
      </c>
      <c r="W1648" s="5" t="s">
        <v>67</v>
      </c>
      <c r="X1648" s="5" t="s">
        <v>67</v>
      </c>
      <c r="Y1648" s="4">
        <v>305</v>
      </c>
      <c r="Z1648" s="4">
        <v>11</v>
      </c>
      <c r="AA1648" s="4">
        <v>11</v>
      </c>
      <c r="AB1648" s="4">
        <v>2</v>
      </c>
      <c r="AC1648" s="4">
        <v>2</v>
      </c>
      <c r="AD1648" s="4">
        <v>90</v>
      </c>
      <c r="AE1648" s="4">
        <v>90</v>
      </c>
      <c r="AF1648" s="4">
        <v>1</v>
      </c>
      <c r="AG1648" s="4">
        <v>1</v>
      </c>
      <c r="AH1648" s="4">
        <v>83</v>
      </c>
      <c r="AI1648" s="4">
        <v>83</v>
      </c>
      <c r="AJ1648" s="4">
        <v>8</v>
      </c>
      <c r="AK1648" s="4">
        <v>8</v>
      </c>
      <c r="AL1648" s="4">
        <v>46</v>
      </c>
      <c r="AM1648" s="4">
        <v>46</v>
      </c>
      <c r="AN1648" s="4">
        <v>0</v>
      </c>
      <c r="AO1648" s="4">
        <v>0</v>
      </c>
      <c r="AP1648" s="4">
        <v>9</v>
      </c>
      <c r="AQ1648" s="4">
        <v>9</v>
      </c>
      <c r="AR1648" s="3" t="s">
        <v>62</v>
      </c>
      <c r="AS1648" s="3" t="s">
        <v>62</v>
      </c>
      <c r="AT1648" s="3" t="s">
        <v>61</v>
      </c>
      <c r="AU1648" s="6" t="str">
        <f>HYPERLINK("http://catalog.hathitrust.org/Record/004124934","HathiTrust Record")</f>
        <v>HathiTrust Record</v>
      </c>
      <c r="AV1648" s="6" t="str">
        <f>HYPERLINK("http://mcgill.on.worldcat.org/oclc/42680562","Catalog Record")</f>
        <v>Catalog Record</v>
      </c>
      <c r="AW1648" s="6" t="str">
        <f>HYPERLINK("http://www.worldcat.org/oclc/42680562","WorldCat Record")</f>
        <v>WorldCat Record</v>
      </c>
      <c r="AX1648" s="3" t="s">
        <v>15760</v>
      </c>
      <c r="AY1648" s="3" t="s">
        <v>15761</v>
      </c>
      <c r="AZ1648" s="3" t="s">
        <v>15762</v>
      </c>
      <c r="BA1648" s="3" t="s">
        <v>15762</v>
      </c>
      <c r="BB1648" s="3" t="s">
        <v>15763</v>
      </c>
      <c r="BC1648" s="3" t="s">
        <v>142</v>
      </c>
      <c r="BD1648" s="3" t="s">
        <v>68</v>
      </c>
      <c r="BE1648" s="3" t="s">
        <v>15764</v>
      </c>
      <c r="BF1648" s="3" t="s">
        <v>15763</v>
      </c>
      <c r="BG1648" s="3" t="s">
        <v>15765</v>
      </c>
    </row>
    <row r="1649" spans="1:59" ht="57" x14ac:dyDescent="0.45">
      <c r="A1649" s="2" t="s">
        <v>59</v>
      </c>
      <c r="B1649" s="2" t="s">
        <v>60</v>
      </c>
      <c r="C1649" s="2" t="s">
        <v>15766</v>
      </c>
      <c r="D1649" s="2" t="s">
        <v>15767</v>
      </c>
      <c r="E1649" s="2" t="s">
        <v>15768</v>
      </c>
      <c r="G1649" s="3" t="s">
        <v>62</v>
      </c>
      <c r="I1649" s="3" t="s">
        <v>62</v>
      </c>
      <c r="J1649" s="3" t="s">
        <v>62</v>
      </c>
      <c r="K1649" s="3" t="s">
        <v>63</v>
      </c>
      <c r="L1649" s="2" t="s">
        <v>15769</v>
      </c>
      <c r="M1649" s="2" t="s">
        <v>15770</v>
      </c>
      <c r="N1649" s="3" t="s">
        <v>157</v>
      </c>
      <c r="P1649" s="3" t="s">
        <v>65</v>
      </c>
      <c r="Q1649" s="2" t="s">
        <v>15771</v>
      </c>
      <c r="R1649" s="3" t="s">
        <v>66</v>
      </c>
      <c r="S1649" s="4">
        <v>15</v>
      </c>
      <c r="T1649" s="4">
        <v>15</v>
      </c>
      <c r="U1649" s="5" t="s">
        <v>15716</v>
      </c>
      <c r="V1649" s="5" t="s">
        <v>15716</v>
      </c>
      <c r="W1649" s="5" t="s">
        <v>67</v>
      </c>
      <c r="X1649" s="5" t="s">
        <v>67</v>
      </c>
      <c r="Y1649" s="4">
        <v>403</v>
      </c>
      <c r="Z1649" s="4">
        <v>23</v>
      </c>
      <c r="AA1649" s="4">
        <v>26</v>
      </c>
      <c r="AB1649" s="4">
        <v>2</v>
      </c>
      <c r="AC1649" s="4">
        <v>5</v>
      </c>
      <c r="AD1649" s="4">
        <v>109</v>
      </c>
      <c r="AE1649" s="4">
        <v>112</v>
      </c>
      <c r="AF1649" s="4">
        <v>1</v>
      </c>
      <c r="AG1649" s="4">
        <v>4</v>
      </c>
      <c r="AH1649" s="4">
        <v>98</v>
      </c>
      <c r="AI1649" s="4">
        <v>99</v>
      </c>
      <c r="AJ1649" s="4">
        <v>18</v>
      </c>
      <c r="AK1649" s="4">
        <v>21</v>
      </c>
      <c r="AL1649" s="4">
        <v>51</v>
      </c>
      <c r="AM1649" s="4">
        <v>51</v>
      </c>
      <c r="AN1649" s="4">
        <v>0</v>
      </c>
      <c r="AO1649" s="4">
        <v>0</v>
      </c>
      <c r="AP1649" s="4">
        <v>20</v>
      </c>
      <c r="AQ1649" s="4">
        <v>22</v>
      </c>
      <c r="AR1649" s="3" t="s">
        <v>62</v>
      </c>
      <c r="AS1649" s="3" t="s">
        <v>62</v>
      </c>
      <c r="AT1649" s="3" t="s">
        <v>61</v>
      </c>
      <c r="AU1649" s="6" t="str">
        <f>HYPERLINK("http://catalog.hathitrust.org/Record/000104819","HathiTrust Record")</f>
        <v>HathiTrust Record</v>
      </c>
      <c r="AV1649" s="6" t="str">
        <f>HYPERLINK("http://mcgill.on.worldcat.org/oclc/7577462","Catalog Record")</f>
        <v>Catalog Record</v>
      </c>
      <c r="AW1649" s="6" t="str">
        <f>HYPERLINK("http://www.worldcat.org/oclc/7577462","WorldCat Record")</f>
        <v>WorldCat Record</v>
      </c>
      <c r="AX1649" s="3" t="s">
        <v>15772</v>
      </c>
      <c r="AY1649" s="3" t="s">
        <v>15773</v>
      </c>
      <c r="AZ1649" s="3" t="s">
        <v>15774</v>
      </c>
      <c r="BA1649" s="3" t="s">
        <v>15774</v>
      </c>
      <c r="BB1649" s="3" t="s">
        <v>15775</v>
      </c>
      <c r="BC1649" s="3" t="s">
        <v>142</v>
      </c>
      <c r="BD1649" s="3" t="s">
        <v>68</v>
      </c>
      <c r="BE1649" s="3" t="s">
        <v>15776</v>
      </c>
      <c r="BF1649" s="3" t="s">
        <v>15775</v>
      </c>
      <c r="BG1649" s="3" t="s">
        <v>15777</v>
      </c>
    </row>
    <row r="1650" spans="1:59" ht="57" x14ac:dyDescent="0.45">
      <c r="A1650" s="2" t="s">
        <v>59</v>
      </c>
      <c r="B1650" s="2" t="s">
        <v>60</v>
      </c>
      <c r="C1650" s="2" t="s">
        <v>15778</v>
      </c>
      <c r="D1650" s="2" t="s">
        <v>15779</v>
      </c>
      <c r="E1650" s="2" t="s">
        <v>15780</v>
      </c>
      <c r="G1650" s="3" t="s">
        <v>62</v>
      </c>
      <c r="I1650" s="3" t="s">
        <v>62</v>
      </c>
      <c r="J1650" s="3" t="s">
        <v>62</v>
      </c>
      <c r="K1650" s="3" t="s">
        <v>63</v>
      </c>
      <c r="L1650" s="2" t="s">
        <v>15781</v>
      </c>
      <c r="M1650" s="2" t="s">
        <v>7901</v>
      </c>
      <c r="N1650" s="3" t="s">
        <v>1437</v>
      </c>
      <c r="P1650" s="3" t="s">
        <v>65</v>
      </c>
      <c r="Q1650" s="2" t="s">
        <v>15782</v>
      </c>
      <c r="R1650" s="3" t="s">
        <v>66</v>
      </c>
      <c r="S1650" s="4">
        <v>12</v>
      </c>
      <c r="T1650" s="4">
        <v>12</v>
      </c>
      <c r="U1650" s="5" t="s">
        <v>15783</v>
      </c>
      <c r="V1650" s="5" t="s">
        <v>15783</v>
      </c>
      <c r="W1650" s="5" t="s">
        <v>67</v>
      </c>
      <c r="X1650" s="5" t="s">
        <v>67</v>
      </c>
      <c r="Y1650" s="4">
        <v>451</v>
      </c>
      <c r="Z1650" s="4">
        <v>22</v>
      </c>
      <c r="AA1650" s="4">
        <v>26</v>
      </c>
      <c r="AB1650" s="4">
        <v>1</v>
      </c>
      <c r="AC1650" s="4">
        <v>1</v>
      </c>
      <c r="AD1650" s="4">
        <v>96</v>
      </c>
      <c r="AE1650" s="4">
        <v>100</v>
      </c>
      <c r="AF1650" s="4">
        <v>0</v>
      </c>
      <c r="AG1650" s="4">
        <v>0</v>
      </c>
      <c r="AH1650" s="4">
        <v>88</v>
      </c>
      <c r="AI1650" s="4">
        <v>89</v>
      </c>
      <c r="AJ1650" s="4">
        <v>13</v>
      </c>
      <c r="AK1650" s="4">
        <v>15</v>
      </c>
      <c r="AL1650" s="4">
        <v>43</v>
      </c>
      <c r="AM1650" s="4">
        <v>43</v>
      </c>
      <c r="AN1650" s="4">
        <v>0</v>
      </c>
      <c r="AO1650" s="4">
        <v>0</v>
      </c>
      <c r="AP1650" s="4">
        <v>14</v>
      </c>
      <c r="AQ1650" s="4">
        <v>18</v>
      </c>
      <c r="AR1650" s="3" t="s">
        <v>62</v>
      </c>
      <c r="AS1650" s="3" t="s">
        <v>62</v>
      </c>
      <c r="AT1650" s="3" t="s">
        <v>61</v>
      </c>
      <c r="AU1650" s="6" t="str">
        <f>HYPERLINK("http://catalog.hathitrust.org/Record/007228167","HathiTrust Record")</f>
        <v>HathiTrust Record</v>
      </c>
      <c r="AV1650" s="6" t="str">
        <f>HYPERLINK("http://mcgill.on.worldcat.org/oclc/39069353","Catalog Record")</f>
        <v>Catalog Record</v>
      </c>
      <c r="AW1650" s="6" t="str">
        <f>HYPERLINK("http://www.worldcat.org/oclc/39069353","WorldCat Record")</f>
        <v>WorldCat Record</v>
      </c>
      <c r="AX1650" s="3" t="s">
        <v>15784</v>
      </c>
      <c r="AY1650" s="3" t="s">
        <v>15785</v>
      </c>
      <c r="AZ1650" s="3" t="s">
        <v>15786</v>
      </c>
      <c r="BA1650" s="3" t="s">
        <v>15786</v>
      </c>
      <c r="BB1650" s="3" t="s">
        <v>15787</v>
      </c>
      <c r="BC1650" s="3" t="s">
        <v>142</v>
      </c>
      <c r="BD1650" s="3" t="s">
        <v>68</v>
      </c>
      <c r="BE1650" s="3" t="s">
        <v>15788</v>
      </c>
      <c r="BF1650" s="3" t="s">
        <v>15787</v>
      </c>
      <c r="BG1650" s="3" t="s">
        <v>15789</v>
      </c>
    </row>
    <row r="1651" spans="1:59" ht="57" x14ac:dyDescent="0.45">
      <c r="A1651" s="2" t="s">
        <v>59</v>
      </c>
      <c r="B1651" s="2" t="s">
        <v>60</v>
      </c>
      <c r="C1651" s="2" t="s">
        <v>15790</v>
      </c>
      <c r="D1651" s="2" t="s">
        <v>15791</v>
      </c>
      <c r="E1651" s="2" t="s">
        <v>15792</v>
      </c>
      <c r="G1651" s="3" t="s">
        <v>62</v>
      </c>
      <c r="I1651" s="3" t="s">
        <v>62</v>
      </c>
      <c r="J1651" s="3" t="s">
        <v>62</v>
      </c>
      <c r="K1651" s="3" t="s">
        <v>63</v>
      </c>
      <c r="L1651" s="2" t="s">
        <v>15793</v>
      </c>
      <c r="M1651" s="2" t="s">
        <v>15794</v>
      </c>
      <c r="N1651" s="3" t="s">
        <v>1688</v>
      </c>
      <c r="P1651" s="3" t="s">
        <v>65</v>
      </c>
      <c r="Q1651" s="2" t="s">
        <v>15795</v>
      </c>
      <c r="R1651" s="3" t="s">
        <v>66</v>
      </c>
      <c r="S1651" s="4">
        <v>2</v>
      </c>
      <c r="T1651" s="4">
        <v>2</v>
      </c>
      <c r="U1651" s="5" t="s">
        <v>15736</v>
      </c>
      <c r="V1651" s="5" t="s">
        <v>15736</v>
      </c>
      <c r="W1651" s="5" t="s">
        <v>67</v>
      </c>
      <c r="X1651" s="5" t="s">
        <v>67</v>
      </c>
      <c r="Y1651" s="4">
        <v>111</v>
      </c>
      <c r="Z1651" s="4">
        <v>9</v>
      </c>
      <c r="AA1651" s="4">
        <v>14</v>
      </c>
      <c r="AB1651" s="4">
        <v>1</v>
      </c>
      <c r="AC1651" s="4">
        <v>4</v>
      </c>
      <c r="AD1651" s="4">
        <v>40</v>
      </c>
      <c r="AE1651" s="4">
        <v>51</v>
      </c>
      <c r="AF1651" s="4">
        <v>0</v>
      </c>
      <c r="AG1651" s="4">
        <v>0</v>
      </c>
      <c r="AH1651" s="4">
        <v>37</v>
      </c>
      <c r="AI1651" s="4">
        <v>48</v>
      </c>
      <c r="AJ1651" s="4">
        <v>6</v>
      </c>
      <c r="AK1651" s="4">
        <v>8</v>
      </c>
      <c r="AL1651" s="4">
        <v>25</v>
      </c>
      <c r="AM1651" s="4">
        <v>31</v>
      </c>
      <c r="AN1651" s="4">
        <v>0</v>
      </c>
      <c r="AO1651" s="4">
        <v>0</v>
      </c>
      <c r="AP1651" s="4">
        <v>7</v>
      </c>
      <c r="AQ1651" s="4">
        <v>9</v>
      </c>
      <c r="AR1651" s="3" t="s">
        <v>62</v>
      </c>
      <c r="AS1651" s="3" t="s">
        <v>62</v>
      </c>
      <c r="AT1651" s="3" t="s">
        <v>62</v>
      </c>
      <c r="AV1651" s="6" t="str">
        <f>HYPERLINK("http://mcgill.on.worldcat.org/oclc/859383163","Catalog Record")</f>
        <v>Catalog Record</v>
      </c>
      <c r="AW1651" s="6" t="str">
        <f>HYPERLINK("http://www.worldcat.org/oclc/859383163","WorldCat Record")</f>
        <v>WorldCat Record</v>
      </c>
      <c r="AX1651" s="3" t="s">
        <v>15796</v>
      </c>
      <c r="AY1651" s="3" t="s">
        <v>15797</v>
      </c>
      <c r="AZ1651" s="3" t="s">
        <v>15798</v>
      </c>
      <c r="BA1651" s="3" t="s">
        <v>15798</v>
      </c>
      <c r="BB1651" s="3" t="s">
        <v>15799</v>
      </c>
      <c r="BC1651" s="3" t="s">
        <v>142</v>
      </c>
      <c r="BD1651" s="3" t="s">
        <v>68</v>
      </c>
      <c r="BE1651" s="3" t="s">
        <v>15800</v>
      </c>
      <c r="BF1651" s="3" t="s">
        <v>15799</v>
      </c>
      <c r="BG1651" s="3" t="s">
        <v>15801</v>
      </c>
    </row>
    <row r="1652" spans="1:59" ht="57" x14ac:dyDescent="0.45">
      <c r="A1652" s="2" t="s">
        <v>59</v>
      </c>
      <c r="B1652" s="2" t="s">
        <v>60</v>
      </c>
      <c r="C1652" s="2" t="s">
        <v>15802</v>
      </c>
      <c r="D1652" s="2" t="s">
        <v>15803</v>
      </c>
      <c r="E1652" s="2" t="s">
        <v>15804</v>
      </c>
      <c r="G1652" s="3" t="s">
        <v>62</v>
      </c>
      <c r="I1652" s="3" t="s">
        <v>62</v>
      </c>
      <c r="J1652" s="3" t="s">
        <v>62</v>
      </c>
      <c r="K1652" s="3" t="s">
        <v>63</v>
      </c>
      <c r="M1652" s="2" t="s">
        <v>15805</v>
      </c>
      <c r="N1652" s="3" t="s">
        <v>970</v>
      </c>
      <c r="P1652" s="3" t="s">
        <v>65</v>
      </c>
      <c r="R1652" s="3" t="s">
        <v>66</v>
      </c>
      <c r="S1652" s="4">
        <v>13</v>
      </c>
      <c r="T1652" s="4">
        <v>13</v>
      </c>
      <c r="U1652" s="5" t="s">
        <v>15736</v>
      </c>
      <c r="V1652" s="5" t="s">
        <v>15736</v>
      </c>
      <c r="W1652" s="5" t="s">
        <v>67</v>
      </c>
      <c r="X1652" s="5" t="s">
        <v>67</v>
      </c>
      <c r="Y1652" s="4">
        <v>143</v>
      </c>
      <c r="Z1652" s="4">
        <v>4</v>
      </c>
      <c r="AA1652" s="4">
        <v>75</v>
      </c>
      <c r="AB1652" s="4">
        <v>2</v>
      </c>
      <c r="AC1652" s="4">
        <v>16</v>
      </c>
      <c r="AD1652" s="4">
        <v>52</v>
      </c>
      <c r="AE1652" s="4">
        <v>132</v>
      </c>
      <c r="AF1652" s="4">
        <v>0</v>
      </c>
      <c r="AG1652" s="4">
        <v>8</v>
      </c>
      <c r="AH1652" s="4">
        <v>51</v>
      </c>
      <c r="AI1652" s="4">
        <v>102</v>
      </c>
      <c r="AJ1652" s="4">
        <v>2</v>
      </c>
      <c r="AK1652" s="4">
        <v>24</v>
      </c>
      <c r="AL1652" s="4">
        <v>33</v>
      </c>
      <c r="AM1652" s="4">
        <v>54</v>
      </c>
      <c r="AN1652" s="4">
        <v>0</v>
      </c>
      <c r="AO1652" s="4">
        <v>0</v>
      </c>
      <c r="AP1652" s="4">
        <v>2</v>
      </c>
      <c r="AQ1652" s="4">
        <v>40</v>
      </c>
      <c r="AR1652" s="3" t="s">
        <v>62</v>
      </c>
      <c r="AS1652" s="3" t="s">
        <v>62</v>
      </c>
      <c r="AT1652" s="3" t="s">
        <v>61</v>
      </c>
      <c r="AU1652" s="6" t="str">
        <f>HYPERLINK("http://catalog.hathitrust.org/Record/004252517","HathiTrust Record")</f>
        <v>HathiTrust Record</v>
      </c>
      <c r="AV1652" s="6" t="str">
        <f>HYPERLINK("http://mcgill.on.worldcat.org/oclc/50104473","Catalog Record")</f>
        <v>Catalog Record</v>
      </c>
      <c r="AW1652" s="6" t="str">
        <f>HYPERLINK("http://www.worldcat.org/oclc/50104473","WorldCat Record")</f>
        <v>WorldCat Record</v>
      </c>
      <c r="AX1652" s="3" t="s">
        <v>15806</v>
      </c>
      <c r="AY1652" s="3" t="s">
        <v>15807</v>
      </c>
      <c r="AZ1652" s="3" t="s">
        <v>15808</v>
      </c>
      <c r="BA1652" s="3" t="s">
        <v>15808</v>
      </c>
      <c r="BB1652" s="3" t="s">
        <v>15809</v>
      </c>
      <c r="BC1652" s="3" t="s">
        <v>142</v>
      </c>
      <c r="BD1652" s="3" t="s">
        <v>68</v>
      </c>
      <c r="BE1652" s="3" t="s">
        <v>15810</v>
      </c>
      <c r="BF1652" s="3" t="s">
        <v>15809</v>
      </c>
      <c r="BG1652" s="3" t="s">
        <v>15811</v>
      </c>
    </row>
    <row r="1653" spans="1:59" ht="57" x14ac:dyDescent="0.45">
      <c r="A1653" s="2" t="s">
        <v>59</v>
      </c>
      <c r="B1653" s="2" t="s">
        <v>60</v>
      </c>
      <c r="C1653" s="2" t="s">
        <v>15812</v>
      </c>
      <c r="D1653" s="2" t="s">
        <v>15813</v>
      </c>
      <c r="E1653" s="2" t="s">
        <v>15814</v>
      </c>
      <c r="G1653" s="3" t="s">
        <v>62</v>
      </c>
      <c r="I1653" s="3" t="s">
        <v>62</v>
      </c>
      <c r="J1653" s="3" t="s">
        <v>62</v>
      </c>
      <c r="K1653" s="3" t="s">
        <v>63</v>
      </c>
      <c r="M1653" s="2" t="s">
        <v>6523</v>
      </c>
      <c r="N1653" s="3" t="s">
        <v>1059</v>
      </c>
      <c r="P1653" s="3" t="s">
        <v>65</v>
      </c>
      <c r="Q1653" s="2" t="s">
        <v>15815</v>
      </c>
      <c r="R1653" s="3" t="s">
        <v>66</v>
      </c>
      <c r="S1653" s="4">
        <v>18</v>
      </c>
      <c r="T1653" s="4">
        <v>18</v>
      </c>
      <c r="U1653" s="5" t="s">
        <v>4918</v>
      </c>
      <c r="V1653" s="5" t="s">
        <v>4918</v>
      </c>
      <c r="W1653" s="5" t="s">
        <v>67</v>
      </c>
      <c r="X1653" s="5" t="s">
        <v>67</v>
      </c>
      <c r="Y1653" s="4">
        <v>217</v>
      </c>
      <c r="Z1653" s="4">
        <v>12</v>
      </c>
      <c r="AA1653" s="4">
        <v>18</v>
      </c>
      <c r="AB1653" s="4">
        <v>2</v>
      </c>
      <c r="AC1653" s="4">
        <v>5</v>
      </c>
      <c r="AD1653" s="4">
        <v>80</v>
      </c>
      <c r="AE1653" s="4">
        <v>82</v>
      </c>
      <c r="AF1653" s="4">
        <v>1</v>
      </c>
      <c r="AG1653" s="4">
        <v>1</v>
      </c>
      <c r="AH1653" s="4">
        <v>76</v>
      </c>
      <c r="AI1653" s="4">
        <v>77</v>
      </c>
      <c r="AJ1653" s="4">
        <v>8</v>
      </c>
      <c r="AK1653" s="4">
        <v>9</v>
      </c>
      <c r="AL1653" s="4">
        <v>44</v>
      </c>
      <c r="AM1653" s="4">
        <v>44</v>
      </c>
      <c r="AN1653" s="4">
        <v>0</v>
      </c>
      <c r="AO1653" s="4">
        <v>0</v>
      </c>
      <c r="AP1653" s="4">
        <v>9</v>
      </c>
      <c r="AQ1653" s="4">
        <v>11</v>
      </c>
      <c r="AR1653" s="3" t="s">
        <v>62</v>
      </c>
      <c r="AS1653" s="3" t="s">
        <v>62</v>
      </c>
      <c r="AT1653" s="3" t="s">
        <v>62</v>
      </c>
      <c r="AV1653" s="6" t="str">
        <f>HYPERLINK("http://mcgill.on.worldcat.org/oclc/62381440","Catalog Record")</f>
        <v>Catalog Record</v>
      </c>
      <c r="AW1653" s="6" t="str">
        <f>HYPERLINK("http://www.worldcat.org/oclc/62381440","WorldCat Record")</f>
        <v>WorldCat Record</v>
      </c>
      <c r="AX1653" s="3" t="s">
        <v>15816</v>
      </c>
      <c r="AY1653" s="3" t="s">
        <v>15817</v>
      </c>
      <c r="AZ1653" s="3" t="s">
        <v>15818</v>
      </c>
      <c r="BA1653" s="3" t="s">
        <v>15818</v>
      </c>
      <c r="BB1653" s="3" t="s">
        <v>15819</v>
      </c>
      <c r="BC1653" s="3" t="s">
        <v>142</v>
      </c>
      <c r="BD1653" s="3" t="s">
        <v>68</v>
      </c>
      <c r="BE1653" s="3" t="s">
        <v>15820</v>
      </c>
      <c r="BF1653" s="3" t="s">
        <v>15819</v>
      </c>
      <c r="BG1653" s="3" t="s">
        <v>15821</v>
      </c>
    </row>
    <row r="1654" spans="1:59" ht="57" x14ac:dyDescent="0.45">
      <c r="A1654" s="2" t="s">
        <v>59</v>
      </c>
      <c r="B1654" s="2" t="s">
        <v>60</v>
      </c>
      <c r="C1654" s="2" t="s">
        <v>15822</v>
      </c>
      <c r="D1654" s="2" t="s">
        <v>15823</v>
      </c>
      <c r="E1654" s="2" t="s">
        <v>15824</v>
      </c>
      <c r="G1654" s="3" t="s">
        <v>62</v>
      </c>
      <c r="I1654" s="3" t="s">
        <v>62</v>
      </c>
      <c r="J1654" s="3" t="s">
        <v>62</v>
      </c>
      <c r="K1654" s="3" t="s">
        <v>63</v>
      </c>
      <c r="L1654" s="2" t="s">
        <v>15825</v>
      </c>
      <c r="M1654" s="2" t="s">
        <v>15826</v>
      </c>
      <c r="N1654" s="3" t="s">
        <v>970</v>
      </c>
      <c r="P1654" s="3" t="s">
        <v>65</v>
      </c>
      <c r="Q1654" s="2" t="s">
        <v>15827</v>
      </c>
      <c r="R1654" s="3" t="s">
        <v>66</v>
      </c>
      <c r="S1654" s="4">
        <v>13</v>
      </c>
      <c r="T1654" s="4">
        <v>13</v>
      </c>
      <c r="U1654" s="5" t="s">
        <v>14909</v>
      </c>
      <c r="V1654" s="5" t="s">
        <v>14909</v>
      </c>
      <c r="W1654" s="5" t="s">
        <v>67</v>
      </c>
      <c r="X1654" s="5" t="s">
        <v>67</v>
      </c>
      <c r="Y1654" s="4">
        <v>296</v>
      </c>
      <c r="Z1654" s="4">
        <v>12</v>
      </c>
      <c r="AA1654" s="4">
        <v>78</v>
      </c>
      <c r="AB1654" s="4">
        <v>2</v>
      </c>
      <c r="AC1654" s="4">
        <v>14</v>
      </c>
      <c r="AD1654" s="4">
        <v>90</v>
      </c>
      <c r="AE1654" s="4">
        <v>132</v>
      </c>
      <c r="AF1654" s="4">
        <v>1</v>
      </c>
      <c r="AG1654" s="4">
        <v>8</v>
      </c>
      <c r="AH1654" s="4">
        <v>84</v>
      </c>
      <c r="AI1654" s="4">
        <v>99</v>
      </c>
      <c r="AJ1654" s="4">
        <v>10</v>
      </c>
      <c r="AK1654" s="4">
        <v>23</v>
      </c>
      <c r="AL1654" s="4">
        <v>49</v>
      </c>
      <c r="AM1654" s="4">
        <v>51</v>
      </c>
      <c r="AN1654" s="4">
        <v>0</v>
      </c>
      <c r="AO1654" s="4">
        <v>0</v>
      </c>
      <c r="AP1654" s="4">
        <v>10</v>
      </c>
      <c r="AQ1654" s="4">
        <v>42</v>
      </c>
      <c r="AR1654" s="3" t="s">
        <v>62</v>
      </c>
      <c r="AS1654" s="3" t="s">
        <v>62</v>
      </c>
      <c r="AT1654" s="3" t="s">
        <v>61</v>
      </c>
      <c r="AU1654" s="6" t="str">
        <f>HYPERLINK("http://catalog.hathitrust.org/Record/004275422","HathiTrust Record")</f>
        <v>HathiTrust Record</v>
      </c>
      <c r="AV1654" s="6" t="str">
        <f>HYPERLINK("http://mcgill.on.worldcat.org/oclc/48965104","Catalog Record")</f>
        <v>Catalog Record</v>
      </c>
      <c r="AW1654" s="6" t="str">
        <f>HYPERLINK("http://www.worldcat.org/oclc/48965104","WorldCat Record")</f>
        <v>WorldCat Record</v>
      </c>
      <c r="AX1654" s="3" t="s">
        <v>15828</v>
      </c>
      <c r="AY1654" s="3" t="s">
        <v>15829</v>
      </c>
      <c r="AZ1654" s="3" t="s">
        <v>15830</v>
      </c>
      <c r="BA1654" s="3" t="s">
        <v>15830</v>
      </c>
      <c r="BB1654" s="3" t="s">
        <v>15831</v>
      </c>
      <c r="BC1654" s="3" t="s">
        <v>142</v>
      </c>
      <c r="BD1654" s="3" t="s">
        <v>68</v>
      </c>
      <c r="BE1654" s="3" t="s">
        <v>15832</v>
      </c>
      <c r="BF1654" s="3" t="s">
        <v>15831</v>
      </c>
      <c r="BG1654" s="3" t="s">
        <v>15833</v>
      </c>
    </row>
    <row r="1655" spans="1:59" ht="57" x14ac:dyDescent="0.45">
      <c r="A1655" s="2" t="s">
        <v>59</v>
      </c>
      <c r="B1655" s="2" t="s">
        <v>60</v>
      </c>
      <c r="C1655" s="2" t="s">
        <v>15834</v>
      </c>
      <c r="D1655" s="2" t="s">
        <v>15835</v>
      </c>
      <c r="E1655" s="2" t="s">
        <v>15836</v>
      </c>
      <c r="G1655" s="3" t="s">
        <v>62</v>
      </c>
      <c r="I1655" s="3" t="s">
        <v>62</v>
      </c>
      <c r="J1655" s="3" t="s">
        <v>62</v>
      </c>
      <c r="K1655" s="3" t="s">
        <v>63</v>
      </c>
      <c r="L1655" s="2" t="s">
        <v>15837</v>
      </c>
      <c r="M1655" s="2" t="s">
        <v>15838</v>
      </c>
      <c r="N1655" s="3" t="s">
        <v>958</v>
      </c>
      <c r="P1655" s="3" t="s">
        <v>65</v>
      </c>
      <c r="R1655" s="3" t="s">
        <v>66</v>
      </c>
      <c r="S1655" s="4">
        <v>31</v>
      </c>
      <c r="T1655" s="4">
        <v>31</v>
      </c>
      <c r="U1655" s="5" t="s">
        <v>15839</v>
      </c>
      <c r="V1655" s="5" t="s">
        <v>15839</v>
      </c>
      <c r="W1655" s="5" t="s">
        <v>67</v>
      </c>
      <c r="X1655" s="5" t="s">
        <v>67</v>
      </c>
      <c r="Y1655" s="4">
        <v>612</v>
      </c>
      <c r="Z1655" s="4">
        <v>32</v>
      </c>
      <c r="AA1655" s="4">
        <v>36</v>
      </c>
      <c r="AB1655" s="4">
        <v>2</v>
      </c>
      <c r="AC1655" s="4">
        <v>5</v>
      </c>
      <c r="AD1655" s="4">
        <v>121</v>
      </c>
      <c r="AE1655" s="4">
        <v>122</v>
      </c>
      <c r="AF1655" s="4">
        <v>1</v>
      </c>
      <c r="AG1655" s="4">
        <v>2</v>
      </c>
      <c r="AH1655" s="4">
        <v>102</v>
      </c>
      <c r="AI1655" s="4">
        <v>102</v>
      </c>
      <c r="AJ1655" s="4">
        <v>17</v>
      </c>
      <c r="AK1655" s="4">
        <v>18</v>
      </c>
      <c r="AL1655" s="4">
        <v>58</v>
      </c>
      <c r="AM1655" s="4">
        <v>58</v>
      </c>
      <c r="AN1655" s="4">
        <v>0</v>
      </c>
      <c r="AO1655" s="4">
        <v>0</v>
      </c>
      <c r="AP1655" s="4">
        <v>25</v>
      </c>
      <c r="AQ1655" s="4">
        <v>25</v>
      </c>
      <c r="AR1655" s="3" t="s">
        <v>62</v>
      </c>
      <c r="AS1655" s="3" t="s">
        <v>62</v>
      </c>
      <c r="AT1655" s="3" t="s">
        <v>62</v>
      </c>
      <c r="AV1655" s="6" t="str">
        <f>HYPERLINK("http://mcgill.on.worldcat.org/oclc/31607897","Catalog Record")</f>
        <v>Catalog Record</v>
      </c>
      <c r="AW1655" s="6" t="str">
        <f>HYPERLINK("http://www.worldcat.org/oclc/31607897","WorldCat Record")</f>
        <v>WorldCat Record</v>
      </c>
      <c r="AX1655" s="3" t="s">
        <v>15840</v>
      </c>
      <c r="AY1655" s="3" t="s">
        <v>15841</v>
      </c>
      <c r="AZ1655" s="3" t="s">
        <v>15842</v>
      </c>
      <c r="BA1655" s="3" t="s">
        <v>15842</v>
      </c>
      <c r="BB1655" s="3" t="s">
        <v>15843</v>
      </c>
      <c r="BC1655" s="3" t="s">
        <v>142</v>
      </c>
      <c r="BD1655" s="3" t="s">
        <v>68</v>
      </c>
      <c r="BE1655" s="3" t="s">
        <v>15844</v>
      </c>
      <c r="BF1655" s="3" t="s">
        <v>15843</v>
      </c>
      <c r="BG1655" s="3" t="s">
        <v>15845</v>
      </c>
    </row>
    <row r="1656" spans="1:59" ht="114" x14ac:dyDescent="0.45">
      <c r="A1656" s="2" t="s">
        <v>59</v>
      </c>
      <c r="B1656" s="2" t="s">
        <v>690</v>
      </c>
      <c r="C1656" s="2" t="s">
        <v>15846</v>
      </c>
      <c r="D1656" s="2" t="s">
        <v>15847</v>
      </c>
      <c r="E1656" s="2" t="s">
        <v>15848</v>
      </c>
      <c r="G1656" s="3" t="s">
        <v>62</v>
      </c>
      <c r="I1656" s="3" t="s">
        <v>62</v>
      </c>
      <c r="J1656" s="3" t="s">
        <v>62</v>
      </c>
      <c r="K1656" s="3" t="s">
        <v>63</v>
      </c>
      <c r="L1656" s="2" t="s">
        <v>15849</v>
      </c>
      <c r="M1656" s="2" t="s">
        <v>15850</v>
      </c>
      <c r="N1656" s="3" t="s">
        <v>116</v>
      </c>
      <c r="O1656" s="2" t="s">
        <v>696</v>
      </c>
      <c r="P1656" s="3" t="s">
        <v>697</v>
      </c>
      <c r="Q1656" s="2" t="s">
        <v>15851</v>
      </c>
      <c r="R1656" s="3" t="s">
        <v>66</v>
      </c>
      <c r="S1656" s="4">
        <v>0</v>
      </c>
      <c r="T1656" s="4">
        <v>0</v>
      </c>
      <c r="W1656" s="5" t="s">
        <v>67</v>
      </c>
      <c r="X1656" s="5" t="s">
        <v>67</v>
      </c>
      <c r="Y1656" s="4">
        <v>13</v>
      </c>
      <c r="Z1656" s="4">
        <v>1</v>
      </c>
      <c r="AA1656" s="4">
        <v>1</v>
      </c>
      <c r="AB1656" s="4">
        <v>1</v>
      </c>
      <c r="AC1656" s="4">
        <v>1</v>
      </c>
      <c r="AD1656" s="4">
        <v>9</v>
      </c>
      <c r="AE1656" s="4">
        <v>9</v>
      </c>
      <c r="AF1656" s="4">
        <v>0</v>
      </c>
      <c r="AG1656" s="4">
        <v>0</v>
      </c>
      <c r="AH1656" s="4">
        <v>8</v>
      </c>
      <c r="AI1656" s="4">
        <v>8</v>
      </c>
      <c r="AJ1656" s="4">
        <v>0</v>
      </c>
      <c r="AK1656" s="4">
        <v>0</v>
      </c>
      <c r="AL1656" s="4">
        <v>8</v>
      </c>
      <c r="AM1656" s="4">
        <v>8</v>
      </c>
      <c r="AN1656" s="4">
        <v>0</v>
      </c>
      <c r="AO1656" s="4">
        <v>0</v>
      </c>
      <c r="AP1656" s="4">
        <v>0</v>
      </c>
      <c r="AQ1656" s="4">
        <v>0</v>
      </c>
      <c r="AR1656" s="3" t="s">
        <v>62</v>
      </c>
      <c r="AS1656" s="3" t="s">
        <v>62</v>
      </c>
      <c r="AT1656" s="3" t="s">
        <v>62</v>
      </c>
      <c r="AV1656" s="6" t="str">
        <f>HYPERLINK("http://mcgill.on.worldcat.org/oclc/879305751","Catalog Record")</f>
        <v>Catalog Record</v>
      </c>
      <c r="AW1656" s="6" t="str">
        <f>HYPERLINK("http://www.worldcat.org/oclc/879305751","WorldCat Record")</f>
        <v>WorldCat Record</v>
      </c>
      <c r="AX1656" s="3" t="s">
        <v>15852</v>
      </c>
      <c r="AY1656" s="3" t="s">
        <v>15853</v>
      </c>
      <c r="AZ1656" s="3" t="s">
        <v>15854</v>
      </c>
      <c r="BA1656" s="3" t="s">
        <v>15854</v>
      </c>
      <c r="BB1656" s="3" t="s">
        <v>15855</v>
      </c>
      <c r="BC1656" s="3" t="s">
        <v>142</v>
      </c>
      <c r="BD1656" s="3" t="s">
        <v>68</v>
      </c>
      <c r="BE1656" s="3" t="s">
        <v>15856</v>
      </c>
      <c r="BF1656" s="3" t="s">
        <v>15855</v>
      </c>
      <c r="BG1656" s="3" t="s">
        <v>15857</v>
      </c>
    </row>
    <row r="1657" spans="1:59" ht="114" x14ac:dyDescent="0.45">
      <c r="A1657" s="2" t="s">
        <v>59</v>
      </c>
      <c r="B1657" s="2" t="s">
        <v>690</v>
      </c>
      <c r="C1657" s="2" t="s">
        <v>15858</v>
      </c>
      <c r="D1657" s="2" t="s">
        <v>15859</v>
      </c>
      <c r="E1657" s="2" t="s">
        <v>15860</v>
      </c>
      <c r="G1657" s="3" t="s">
        <v>62</v>
      </c>
      <c r="I1657" s="3" t="s">
        <v>62</v>
      </c>
      <c r="J1657" s="3" t="s">
        <v>62</v>
      </c>
      <c r="K1657" s="3" t="s">
        <v>63</v>
      </c>
      <c r="L1657" s="2" t="s">
        <v>15861</v>
      </c>
      <c r="M1657" s="2" t="s">
        <v>15862</v>
      </c>
      <c r="N1657" s="3" t="s">
        <v>1918</v>
      </c>
      <c r="O1657" s="2" t="s">
        <v>15863</v>
      </c>
      <c r="P1657" s="3" t="s">
        <v>697</v>
      </c>
      <c r="Q1657" s="2" t="s">
        <v>15864</v>
      </c>
      <c r="R1657" s="3" t="s">
        <v>66</v>
      </c>
      <c r="S1657" s="4">
        <v>0</v>
      </c>
      <c r="T1657" s="4">
        <v>0</v>
      </c>
      <c r="W1657" s="5" t="s">
        <v>67</v>
      </c>
      <c r="X1657" s="5" t="s">
        <v>67</v>
      </c>
      <c r="Y1657" s="4">
        <v>4</v>
      </c>
      <c r="Z1657" s="4">
        <v>1</v>
      </c>
      <c r="AA1657" s="4">
        <v>1</v>
      </c>
      <c r="AB1657" s="4">
        <v>1</v>
      </c>
      <c r="AC1657" s="4">
        <v>1</v>
      </c>
      <c r="AD1657" s="4">
        <v>2</v>
      </c>
      <c r="AE1657" s="4">
        <v>2</v>
      </c>
      <c r="AF1657" s="4">
        <v>0</v>
      </c>
      <c r="AG1657" s="4">
        <v>0</v>
      </c>
      <c r="AH1657" s="4">
        <v>1</v>
      </c>
      <c r="AI1657" s="4">
        <v>1</v>
      </c>
      <c r="AJ1657" s="4">
        <v>0</v>
      </c>
      <c r="AK1657" s="4">
        <v>0</v>
      </c>
      <c r="AL1657" s="4">
        <v>1</v>
      </c>
      <c r="AM1657" s="4">
        <v>1</v>
      </c>
      <c r="AN1657" s="4">
        <v>0</v>
      </c>
      <c r="AO1657" s="4">
        <v>0</v>
      </c>
      <c r="AP1657" s="4">
        <v>0</v>
      </c>
      <c r="AQ1657" s="4">
        <v>0</v>
      </c>
      <c r="AR1657" s="3" t="s">
        <v>62</v>
      </c>
      <c r="AS1657" s="3" t="s">
        <v>62</v>
      </c>
      <c r="AT1657" s="3" t="s">
        <v>62</v>
      </c>
      <c r="AV1657" s="6" t="str">
        <f>HYPERLINK("http://mcgill.on.worldcat.org/oclc/991585464","Catalog Record")</f>
        <v>Catalog Record</v>
      </c>
      <c r="AW1657" s="6" t="str">
        <f>HYPERLINK("http://www.worldcat.org/oclc/991585464","WorldCat Record")</f>
        <v>WorldCat Record</v>
      </c>
      <c r="AX1657" s="3" t="s">
        <v>15865</v>
      </c>
      <c r="AY1657" s="3" t="s">
        <v>15866</v>
      </c>
      <c r="AZ1657" s="3" t="s">
        <v>15867</v>
      </c>
      <c r="BA1657" s="3" t="s">
        <v>15867</v>
      </c>
      <c r="BB1657" s="3" t="s">
        <v>15868</v>
      </c>
      <c r="BC1657" s="3" t="s">
        <v>142</v>
      </c>
      <c r="BD1657" s="3" t="s">
        <v>68</v>
      </c>
      <c r="BE1657" s="3" t="s">
        <v>15869</v>
      </c>
      <c r="BF1657" s="3" t="s">
        <v>15868</v>
      </c>
      <c r="BG1657" s="3" t="s">
        <v>15870</v>
      </c>
    </row>
    <row r="1658" spans="1:59" ht="114" x14ac:dyDescent="0.45">
      <c r="A1658" s="2" t="s">
        <v>59</v>
      </c>
      <c r="B1658" s="2" t="s">
        <v>690</v>
      </c>
      <c r="C1658" s="2" t="s">
        <v>15871</v>
      </c>
      <c r="D1658" s="2" t="s">
        <v>15872</v>
      </c>
      <c r="E1658" s="2" t="s">
        <v>15873</v>
      </c>
      <c r="G1658" s="3" t="s">
        <v>62</v>
      </c>
      <c r="I1658" s="3" t="s">
        <v>62</v>
      </c>
      <c r="J1658" s="3" t="s">
        <v>62</v>
      </c>
      <c r="K1658" s="3" t="s">
        <v>63</v>
      </c>
      <c r="L1658" s="2" t="s">
        <v>15874</v>
      </c>
      <c r="M1658" s="2" t="s">
        <v>15875</v>
      </c>
      <c r="N1658" s="3" t="s">
        <v>116</v>
      </c>
      <c r="O1658" s="2" t="s">
        <v>696</v>
      </c>
      <c r="P1658" s="3" t="s">
        <v>697</v>
      </c>
      <c r="Q1658" s="2" t="s">
        <v>15876</v>
      </c>
      <c r="R1658" s="3" t="s">
        <v>66</v>
      </c>
      <c r="S1658" s="4">
        <v>0</v>
      </c>
      <c r="T1658" s="4">
        <v>0</v>
      </c>
      <c r="W1658" s="5" t="s">
        <v>67</v>
      </c>
      <c r="X1658" s="5" t="s">
        <v>67</v>
      </c>
      <c r="Y1658" s="4">
        <v>13</v>
      </c>
      <c r="Z1658" s="4">
        <v>1</v>
      </c>
      <c r="AA1658" s="4">
        <v>1</v>
      </c>
      <c r="AB1658" s="4">
        <v>1</v>
      </c>
      <c r="AC1658" s="4">
        <v>1</v>
      </c>
      <c r="AD1658" s="4">
        <v>9</v>
      </c>
      <c r="AE1658" s="4">
        <v>9</v>
      </c>
      <c r="AF1658" s="4">
        <v>0</v>
      </c>
      <c r="AG1658" s="4">
        <v>0</v>
      </c>
      <c r="AH1658" s="4">
        <v>8</v>
      </c>
      <c r="AI1658" s="4">
        <v>8</v>
      </c>
      <c r="AJ1658" s="4">
        <v>0</v>
      </c>
      <c r="AK1658" s="4">
        <v>0</v>
      </c>
      <c r="AL1658" s="4">
        <v>8</v>
      </c>
      <c r="AM1658" s="4">
        <v>8</v>
      </c>
      <c r="AN1658" s="4">
        <v>0</v>
      </c>
      <c r="AO1658" s="4">
        <v>0</v>
      </c>
      <c r="AP1658" s="4">
        <v>0</v>
      </c>
      <c r="AQ1658" s="4">
        <v>0</v>
      </c>
      <c r="AR1658" s="3" t="s">
        <v>62</v>
      </c>
      <c r="AS1658" s="3" t="s">
        <v>62</v>
      </c>
      <c r="AT1658" s="3" t="s">
        <v>62</v>
      </c>
      <c r="AV1658" s="6" t="str">
        <f>HYPERLINK("http://mcgill.on.worldcat.org/oclc/869109043","Catalog Record")</f>
        <v>Catalog Record</v>
      </c>
      <c r="AW1658" s="6" t="str">
        <f>HYPERLINK("http://www.worldcat.org/oclc/869109043","WorldCat Record")</f>
        <v>WorldCat Record</v>
      </c>
      <c r="AX1658" s="3" t="s">
        <v>15877</v>
      </c>
      <c r="AY1658" s="3" t="s">
        <v>15878</v>
      </c>
      <c r="AZ1658" s="3" t="s">
        <v>15879</v>
      </c>
      <c r="BA1658" s="3" t="s">
        <v>15879</v>
      </c>
      <c r="BB1658" s="3" t="s">
        <v>15880</v>
      </c>
      <c r="BC1658" s="3" t="s">
        <v>142</v>
      </c>
      <c r="BD1658" s="3" t="s">
        <v>68</v>
      </c>
      <c r="BE1658" s="3" t="s">
        <v>15881</v>
      </c>
      <c r="BF1658" s="3" t="s">
        <v>15880</v>
      </c>
      <c r="BG1658" s="3" t="s">
        <v>15882</v>
      </c>
    </row>
    <row r="1659" spans="1:59" ht="114" x14ac:dyDescent="0.45">
      <c r="A1659" s="2" t="s">
        <v>59</v>
      </c>
      <c r="B1659" s="2" t="s">
        <v>690</v>
      </c>
      <c r="C1659" s="2" t="s">
        <v>15883</v>
      </c>
      <c r="D1659" s="2" t="s">
        <v>15884</v>
      </c>
      <c r="E1659" s="2" t="s">
        <v>15885</v>
      </c>
      <c r="G1659" s="3" t="s">
        <v>62</v>
      </c>
      <c r="I1659" s="3" t="s">
        <v>62</v>
      </c>
      <c r="J1659" s="3" t="s">
        <v>62</v>
      </c>
      <c r="K1659" s="3" t="s">
        <v>63</v>
      </c>
      <c r="L1659" s="2" t="s">
        <v>15886</v>
      </c>
      <c r="M1659" s="2" t="s">
        <v>15875</v>
      </c>
      <c r="N1659" s="3" t="s">
        <v>116</v>
      </c>
      <c r="O1659" s="2" t="s">
        <v>696</v>
      </c>
      <c r="P1659" s="3" t="s">
        <v>697</v>
      </c>
      <c r="Q1659" s="2" t="s">
        <v>15887</v>
      </c>
      <c r="R1659" s="3" t="s">
        <v>66</v>
      </c>
      <c r="S1659" s="4">
        <v>0</v>
      </c>
      <c r="T1659" s="4">
        <v>0</v>
      </c>
      <c r="W1659" s="5" t="s">
        <v>67</v>
      </c>
      <c r="X1659" s="5" t="s">
        <v>67</v>
      </c>
      <c r="Y1659" s="4">
        <v>18</v>
      </c>
      <c r="Z1659" s="4">
        <v>2</v>
      </c>
      <c r="AA1659" s="4">
        <v>2</v>
      </c>
      <c r="AB1659" s="4">
        <v>1</v>
      </c>
      <c r="AC1659" s="4">
        <v>1</v>
      </c>
      <c r="AD1659" s="4">
        <v>13</v>
      </c>
      <c r="AE1659" s="4">
        <v>13</v>
      </c>
      <c r="AF1659" s="4">
        <v>0</v>
      </c>
      <c r="AG1659" s="4">
        <v>0</v>
      </c>
      <c r="AH1659" s="4">
        <v>13</v>
      </c>
      <c r="AI1659" s="4">
        <v>13</v>
      </c>
      <c r="AJ1659" s="4">
        <v>1</v>
      </c>
      <c r="AK1659" s="4">
        <v>1</v>
      </c>
      <c r="AL1659" s="4">
        <v>10</v>
      </c>
      <c r="AM1659" s="4">
        <v>10</v>
      </c>
      <c r="AN1659" s="4">
        <v>0</v>
      </c>
      <c r="AO1659" s="4">
        <v>0</v>
      </c>
      <c r="AP1659" s="4">
        <v>1</v>
      </c>
      <c r="AQ1659" s="4">
        <v>1</v>
      </c>
      <c r="AR1659" s="3" t="s">
        <v>62</v>
      </c>
      <c r="AS1659" s="3" t="s">
        <v>62</v>
      </c>
      <c r="AT1659" s="3" t="s">
        <v>62</v>
      </c>
      <c r="AV1659" s="6" t="str">
        <f>HYPERLINK("http://mcgill.on.worldcat.org/oclc/868535680","Catalog Record")</f>
        <v>Catalog Record</v>
      </c>
      <c r="AW1659" s="6" t="str">
        <f>HYPERLINK("http://www.worldcat.org/oclc/868535680","WorldCat Record")</f>
        <v>WorldCat Record</v>
      </c>
      <c r="AX1659" s="3" t="s">
        <v>15888</v>
      </c>
      <c r="AY1659" s="3" t="s">
        <v>15889</v>
      </c>
      <c r="AZ1659" s="3" t="s">
        <v>15890</v>
      </c>
      <c r="BA1659" s="3" t="s">
        <v>15890</v>
      </c>
      <c r="BB1659" s="3" t="s">
        <v>15891</v>
      </c>
      <c r="BC1659" s="3" t="s">
        <v>142</v>
      </c>
      <c r="BD1659" s="3" t="s">
        <v>68</v>
      </c>
      <c r="BE1659" s="3" t="s">
        <v>15892</v>
      </c>
      <c r="BF1659" s="3" t="s">
        <v>15891</v>
      </c>
      <c r="BG1659" s="3" t="s">
        <v>15893</v>
      </c>
    </row>
    <row r="1660" spans="1:59" ht="114" x14ac:dyDescent="0.45">
      <c r="A1660" s="2" t="s">
        <v>59</v>
      </c>
      <c r="B1660" s="2" t="s">
        <v>690</v>
      </c>
      <c r="C1660" s="2" t="s">
        <v>15894</v>
      </c>
      <c r="D1660" s="2" t="s">
        <v>15895</v>
      </c>
      <c r="E1660" s="2" t="s">
        <v>15896</v>
      </c>
      <c r="G1660" s="3" t="s">
        <v>62</v>
      </c>
      <c r="I1660" s="3" t="s">
        <v>62</v>
      </c>
      <c r="J1660" s="3" t="s">
        <v>62</v>
      </c>
      <c r="K1660" s="3" t="s">
        <v>63</v>
      </c>
      <c r="L1660" s="2" t="s">
        <v>15897</v>
      </c>
      <c r="M1660" s="2" t="s">
        <v>15875</v>
      </c>
      <c r="N1660" s="3" t="s">
        <v>116</v>
      </c>
      <c r="O1660" s="2" t="s">
        <v>696</v>
      </c>
      <c r="P1660" s="3" t="s">
        <v>697</v>
      </c>
      <c r="Q1660" s="2" t="s">
        <v>15876</v>
      </c>
      <c r="R1660" s="3" t="s">
        <v>66</v>
      </c>
      <c r="S1660" s="4">
        <v>0</v>
      </c>
      <c r="T1660" s="4">
        <v>0</v>
      </c>
      <c r="W1660" s="5" t="s">
        <v>67</v>
      </c>
      <c r="X1660" s="5" t="s">
        <v>67</v>
      </c>
      <c r="Y1660" s="4">
        <v>17</v>
      </c>
      <c r="Z1660" s="4">
        <v>3</v>
      </c>
      <c r="AA1660" s="4">
        <v>3</v>
      </c>
      <c r="AB1660" s="4">
        <v>1</v>
      </c>
      <c r="AC1660" s="4">
        <v>1</v>
      </c>
      <c r="AD1660" s="4">
        <v>11</v>
      </c>
      <c r="AE1660" s="4">
        <v>11</v>
      </c>
      <c r="AF1660" s="4">
        <v>0</v>
      </c>
      <c r="AG1660" s="4">
        <v>0</v>
      </c>
      <c r="AH1660" s="4">
        <v>10</v>
      </c>
      <c r="AI1660" s="4">
        <v>10</v>
      </c>
      <c r="AJ1660" s="4">
        <v>1</v>
      </c>
      <c r="AK1660" s="4">
        <v>1</v>
      </c>
      <c r="AL1660" s="4">
        <v>11</v>
      </c>
      <c r="AM1660" s="4">
        <v>11</v>
      </c>
      <c r="AN1660" s="4">
        <v>0</v>
      </c>
      <c r="AO1660" s="4">
        <v>0</v>
      </c>
      <c r="AP1660" s="4">
        <v>1</v>
      </c>
      <c r="AQ1660" s="4">
        <v>1</v>
      </c>
      <c r="AR1660" s="3" t="s">
        <v>62</v>
      </c>
      <c r="AS1660" s="3" t="s">
        <v>62</v>
      </c>
      <c r="AT1660" s="3" t="s">
        <v>62</v>
      </c>
      <c r="AV1660" s="6" t="str">
        <f>HYPERLINK("http://mcgill.on.worldcat.org/oclc/866730298","Catalog Record")</f>
        <v>Catalog Record</v>
      </c>
      <c r="AW1660" s="6" t="str">
        <f>HYPERLINK("http://www.worldcat.org/oclc/866730298","WorldCat Record")</f>
        <v>WorldCat Record</v>
      </c>
      <c r="AX1660" s="3" t="s">
        <v>15898</v>
      </c>
      <c r="AY1660" s="3" t="s">
        <v>15899</v>
      </c>
      <c r="AZ1660" s="3" t="s">
        <v>15900</v>
      </c>
      <c r="BA1660" s="3" t="s">
        <v>15900</v>
      </c>
      <c r="BB1660" s="3" t="s">
        <v>15901</v>
      </c>
      <c r="BC1660" s="3" t="s">
        <v>142</v>
      </c>
      <c r="BD1660" s="3" t="s">
        <v>68</v>
      </c>
      <c r="BE1660" s="3" t="s">
        <v>15902</v>
      </c>
      <c r="BF1660" s="3" t="s">
        <v>15901</v>
      </c>
      <c r="BG1660" s="3" t="s">
        <v>15903</v>
      </c>
    </row>
    <row r="1661" spans="1:59" ht="114" x14ac:dyDescent="0.45">
      <c r="A1661" s="2" t="s">
        <v>59</v>
      </c>
      <c r="B1661" s="2" t="s">
        <v>690</v>
      </c>
      <c r="C1661" s="2" t="s">
        <v>15904</v>
      </c>
      <c r="D1661" s="2" t="s">
        <v>15905</v>
      </c>
      <c r="E1661" s="2" t="s">
        <v>15906</v>
      </c>
      <c r="G1661" s="3" t="s">
        <v>62</v>
      </c>
      <c r="I1661" s="3" t="s">
        <v>62</v>
      </c>
      <c r="J1661" s="3" t="s">
        <v>62</v>
      </c>
      <c r="K1661" s="3" t="s">
        <v>63</v>
      </c>
      <c r="L1661" s="2" t="s">
        <v>15907</v>
      </c>
      <c r="M1661" s="2" t="s">
        <v>15908</v>
      </c>
      <c r="N1661" s="3" t="s">
        <v>1688</v>
      </c>
      <c r="O1661" s="2" t="s">
        <v>696</v>
      </c>
      <c r="P1661" s="3" t="s">
        <v>697</v>
      </c>
      <c r="Q1661" s="2" t="s">
        <v>15851</v>
      </c>
      <c r="R1661" s="3" t="s">
        <v>66</v>
      </c>
      <c r="S1661" s="4">
        <v>0</v>
      </c>
      <c r="T1661" s="4">
        <v>0</v>
      </c>
      <c r="W1661" s="5" t="s">
        <v>67</v>
      </c>
      <c r="X1661" s="5" t="s">
        <v>67</v>
      </c>
      <c r="Y1661" s="4">
        <v>9</v>
      </c>
      <c r="Z1661" s="4">
        <v>1</v>
      </c>
      <c r="AA1661" s="4">
        <v>1</v>
      </c>
      <c r="AB1661" s="4">
        <v>1</v>
      </c>
      <c r="AC1661" s="4">
        <v>1</v>
      </c>
      <c r="AD1661" s="4">
        <v>7</v>
      </c>
      <c r="AE1661" s="4">
        <v>7</v>
      </c>
      <c r="AF1661" s="4">
        <v>0</v>
      </c>
      <c r="AG1661" s="4">
        <v>0</v>
      </c>
      <c r="AH1661" s="4">
        <v>6</v>
      </c>
      <c r="AI1661" s="4">
        <v>6</v>
      </c>
      <c r="AJ1661" s="4">
        <v>0</v>
      </c>
      <c r="AK1661" s="4">
        <v>0</v>
      </c>
      <c r="AL1661" s="4">
        <v>6</v>
      </c>
      <c r="AM1661" s="4">
        <v>6</v>
      </c>
      <c r="AN1661" s="4">
        <v>0</v>
      </c>
      <c r="AO1661" s="4">
        <v>0</v>
      </c>
      <c r="AP1661" s="4">
        <v>0</v>
      </c>
      <c r="AQ1661" s="4">
        <v>0</v>
      </c>
      <c r="AR1661" s="3" t="s">
        <v>62</v>
      </c>
      <c r="AS1661" s="3" t="s">
        <v>62</v>
      </c>
      <c r="AT1661" s="3" t="s">
        <v>62</v>
      </c>
      <c r="AV1661" s="6" t="str">
        <f>HYPERLINK("http://mcgill.on.worldcat.org/oclc/900863832","Catalog Record")</f>
        <v>Catalog Record</v>
      </c>
      <c r="AW1661" s="6" t="str">
        <f>HYPERLINK("http://www.worldcat.org/oclc/900863832","WorldCat Record")</f>
        <v>WorldCat Record</v>
      </c>
      <c r="AX1661" s="3" t="s">
        <v>15909</v>
      </c>
      <c r="AY1661" s="3" t="s">
        <v>15910</v>
      </c>
      <c r="AZ1661" s="3" t="s">
        <v>15911</v>
      </c>
      <c r="BA1661" s="3" t="s">
        <v>15911</v>
      </c>
      <c r="BB1661" s="3" t="s">
        <v>15912</v>
      </c>
      <c r="BC1661" s="3" t="s">
        <v>142</v>
      </c>
      <c r="BD1661" s="3" t="s">
        <v>68</v>
      </c>
      <c r="BE1661" s="3" t="s">
        <v>15913</v>
      </c>
      <c r="BF1661" s="3" t="s">
        <v>15912</v>
      </c>
      <c r="BG1661" s="3" t="s">
        <v>15914</v>
      </c>
    </row>
    <row r="1662" spans="1:59" ht="57" x14ac:dyDescent="0.45">
      <c r="A1662" s="2" t="s">
        <v>59</v>
      </c>
      <c r="B1662" s="2" t="s">
        <v>60</v>
      </c>
      <c r="C1662" s="2" t="s">
        <v>15915</v>
      </c>
      <c r="D1662" s="2" t="s">
        <v>15916</v>
      </c>
      <c r="E1662" s="2" t="s">
        <v>15917</v>
      </c>
      <c r="G1662" s="3" t="s">
        <v>62</v>
      </c>
      <c r="I1662" s="3" t="s">
        <v>62</v>
      </c>
      <c r="J1662" s="3" t="s">
        <v>62</v>
      </c>
      <c r="K1662" s="3" t="s">
        <v>63</v>
      </c>
      <c r="L1662" s="2" t="s">
        <v>15918</v>
      </c>
      <c r="M1662" s="2" t="s">
        <v>15919</v>
      </c>
      <c r="N1662" s="3" t="s">
        <v>149</v>
      </c>
      <c r="P1662" s="3" t="s">
        <v>65</v>
      </c>
      <c r="Q1662" s="2" t="s">
        <v>15920</v>
      </c>
      <c r="R1662" s="3" t="s">
        <v>66</v>
      </c>
      <c r="S1662" s="4">
        <v>2</v>
      </c>
      <c r="T1662" s="4">
        <v>2</v>
      </c>
      <c r="U1662" s="5" t="s">
        <v>15921</v>
      </c>
      <c r="V1662" s="5" t="s">
        <v>15921</v>
      </c>
      <c r="W1662" s="5" t="s">
        <v>67</v>
      </c>
      <c r="X1662" s="5" t="s">
        <v>67</v>
      </c>
      <c r="Y1662" s="4">
        <v>338</v>
      </c>
      <c r="Z1662" s="4">
        <v>24</v>
      </c>
      <c r="AA1662" s="4">
        <v>107</v>
      </c>
      <c r="AB1662" s="4">
        <v>2</v>
      </c>
      <c r="AC1662" s="4">
        <v>18</v>
      </c>
      <c r="AD1662" s="4">
        <v>94</v>
      </c>
      <c r="AE1662" s="4">
        <v>144</v>
      </c>
      <c r="AF1662" s="4">
        <v>1</v>
      </c>
      <c r="AG1662" s="4">
        <v>8</v>
      </c>
      <c r="AH1662" s="4">
        <v>83</v>
      </c>
      <c r="AI1662" s="4">
        <v>106</v>
      </c>
      <c r="AJ1662" s="4">
        <v>17</v>
      </c>
      <c r="AK1662" s="4">
        <v>25</v>
      </c>
      <c r="AL1662" s="4">
        <v>43</v>
      </c>
      <c r="AM1662" s="4">
        <v>57</v>
      </c>
      <c r="AN1662" s="4">
        <v>0</v>
      </c>
      <c r="AO1662" s="4">
        <v>0</v>
      </c>
      <c r="AP1662" s="4">
        <v>19</v>
      </c>
      <c r="AQ1662" s="4">
        <v>48</v>
      </c>
      <c r="AR1662" s="3" t="s">
        <v>62</v>
      </c>
      <c r="AS1662" s="3" t="s">
        <v>62</v>
      </c>
      <c r="AT1662" s="3" t="s">
        <v>62</v>
      </c>
      <c r="AV1662" s="6" t="str">
        <f>HYPERLINK("http://mcgill.on.worldcat.org/oclc/310171800","Catalog Record")</f>
        <v>Catalog Record</v>
      </c>
      <c r="AW1662" s="6" t="str">
        <f>HYPERLINK("http://www.worldcat.org/oclc/310171800","WorldCat Record")</f>
        <v>WorldCat Record</v>
      </c>
      <c r="AX1662" s="3" t="s">
        <v>15922</v>
      </c>
      <c r="AY1662" s="3" t="s">
        <v>15923</v>
      </c>
      <c r="AZ1662" s="3" t="s">
        <v>15924</v>
      </c>
      <c r="BA1662" s="3" t="s">
        <v>15924</v>
      </c>
      <c r="BB1662" s="3" t="s">
        <v>15925</v>
      </c>
      <c r="BC1662" s="3" t="s">
        <v>142</v>
      </c>
      <c r="BD1662" s="3" t="s">
        <v>68</v>
      </c>
      <c r="BE1662" s="3" t="s">
        <v>15926</v>
      </c>
      <c r="BF1662" s="3" t="s">
        <v>15925</v>
      </c>
      <c r="BG1662" s="3" t="s">
        <v>15927</v>
      </c>
    </row>
    <row r="1663" spans="1:59" ht="57" x14ac:dyDescent="0.45">
      <c r="A1663" s="2" t="s">
        <v>59</v>
      </c>
      <c r="B1663" s="2" t="s">
        <v>60</v>
      </c>
      <c r="C1663" s="2" t="s">
        <v>15928</v>
      </c>
      <c r="D1663" s="2" t="s">
        <v>15929</v>
      </c>
      <c r="E1663" s="2" t="s">
        <v>15930</v>
      </c>
      <c r="G1663" s="3" t="s">
        <v>62</v>
      </c>
      <c r="I1663" s="3" t="s">
        <v>62</v>
      </c>
      <c r="J1663" s="3" t="s">
        <v>62</v>
      </c>
      <c r="K1663" s="3" t="s">
        <v>63</v>
      </c>
      <c r="L1663" s="2" t="s">
        <v>15931</v>
      </c>
      <c r="M1663" s="2" t="s">
        <v>15932</v>
      </c>
      <c r="N1663" s="3" t="s">
        <v>1918</v>
      </c>
      <c r="P1663" s="3" t="s">
        <v>65</v>
      </c>
      <c r="R1663" s="3" t="s">
        <v>66</v>
      </c>
      <c r="S1663" s="4">
        <v>1</v>
      </c>
      <c r="T1663" s="4">
        <v>1</v>
      </c>
      <c r="U1663" s="5" t="s">
        <v>15933</v>
      </c>
      <c r="V1663" s="5" t="s">
        <v>15933</v>
      </c>
      <c r="W1663" s="5" t="s">
        <v>67</v>
      </c>
      <c r="X1663" s="5" t="s">
        <v>67</v>
      </c>
      <c r="Y1663" s="4">
        <v>87</v>
      </c>
      <c r="Z1663" s="4">
        <v>7</v>
      </c>
      <c r="AA1663" s="4">
        <v>7</v>
      </c>
      <c r="AB1663" s="4">
        <v>1</v>
      </c>
      <c r="AC1663" s="4">
        <v>1</v>
      </c>
      <c r="AD1663" s="4">
        <v>43</v>
      </c>
      <c r="AE1663" s="4">
        <v>43</v>
      </c>
      <c r="AF1663" s="4">
        <v>0</v>
      </c>
      <c r="AG1663" s="4">
        <v>0</v>
      </c>
      <c r="AH1663" s="4">
        <v>42</v>
      </c>
      <c r="AI1663" s="4">
        <v>42</v>
      </c>
      <c r="AJ1663" s="4">
        <v>6</v>
      </c>
      <c r="AK1663" s="4">
        <v>6</v>
      </c>
      <c r="AL1663" s="4">
        <v>28</v>
      </c>
      <c r="AM1663" s="4">
        <v>28</v>
      </c>
      <c r="AN1663" s="4">
        <v>0</v>
      </c>
      <c r="AO1663" s="4">
        <v>0</v>
      </c>
      <c r="AP1663" s="4">
        <v>6</v>
      </c>
      <c r="AQ1663" s="4">
        <v>6</v>
      </c>
      <c r="AR1663" s="3" t="s">
        <v>62</v>
      </c>
      <c r="AS1663" s="3" t="s">
        <v>62</v>
      </c>
      <c r="AT1663" s="3" t="s">
        <v>62</v>
      </c>
      <c r="AV1663" s="6" t="str">
        <f>HYPERLINK("http://mcgill.on.worldcat.org/oclc/985696888","Catalog Record")</f>
        <v>Catalog Record</v>
      </c>
      <c r="AW1663" s="6" t="str">
        <f>HYPERLINK("http://www.worldcat.org/oclc/985696888","WorldCat Record")</f>
        <v>WorldCat Record</v>
      </c>
      <c r="AX1663" s="3" t="s">
        <v>15934</v>
      </c>
      <c r="AY1663" s="3" t="s">
        <v>15935</v>
      </c>
      <c r="AZ1663" s="3" t="s">
        <v>15936</v>
      </c>
      <c r="BA1663" s="3" t="s">
        <v>15936</v>
      </c>
      <c r="BB1663" s="3" t="s">
        <v>15937</v>
      </c>
      <c r="BC1663" s="3" t="s">
        <v>142</v>
      </c>
      <c r="BD1663" s="3" t="s">
        <v>68</v>
      </c>
      <c r="BE1663" s="3" t="s">
        <v>15938</v>
      </c>
      <c r="BF1663" s="3" t="s">
        <v>15937</v>
      </c>
      <c r="BG1663" s="3" t="s">
        <v>15939</v>
      </c>
    </row>
    <row r="1664" spans="1:59" ht="57" x14ac:dyDescent="0.45">
      <c r="A1664" s="2" t="s">
        <v>59</v>
      </c>
      <c r="B1664" s="2" t="s">
        <v>60</v>
      </c>
      <c r="C1664" s="2" t="s">
        <v>15940</v>
      </c>
      <c r="D1664" s="2" t="s">
        <v>15941</v>
      </c>
      <c r="E1664" s="2" t="s">
        <v>15942</v>
      </c>
      <c r="G1664" s="3" t="s">
        <v>62</v>
      </c>
      <c r="I1664" s="3" t="s">
        <v>62</v>
      </c>
      <c r="J1664" s="3" t="s">
        <v>62</v>
      </c>
      <c r="K1664" s="3" t="s">
        <v>63</v>
      </c>
      <c r="L1664" s="2" t="s">
        <v>15943</v>
      </c>
      <c r="M1664" s="2" t="s">
        <v>15944</v>
      </c>
      <c r="N1664" s="3" t="s">
        <v>1155</v>
      </c>
      <c r="P1664" s="3" t="s">
        <v>65</v>
      </c>
      <c r="R1664" s="3" t="s">
        <v>66</v>
      </c>
      <c r="S1664" s="4">
        <v>0</v>
      </c>
      <c r="T1664" s="4">
        <v>0</v>
      </c>
      <c r="W1664" s="5" t="s">
        <v>67</v>
      </c>
      <c r="X1664" s="5" t="s">
        <v>67</v>
      </c>
      <c r="Y1664" s="4">
        <v>99</v>
      </c>
      <c r="Z1664" s="4">
        <v>17</v>
      </c>
      <c r="AA1664" s="4">
        <v>18</v>
      </c>
      <c r="AB1664" s="4">
        <v>2</v>
      </c>
      <c r="AC1664" s="4">
        <v>3</v>
      </c>
      <c r="AD1664" s="4">
        <v>50</v>
      </c>
      <c r="AE1664" s="4">
        <v>52</v>
      </c>
      <c r="AF1664" s="4">
        <v>1</v>
      </c>
      <c r="AG1664" s="4">
        <v>1</v>
      </c>
      <c r="AH1664" s="4">
        <v>46</v>
      </c>
      <c r="AI1664" s="4">
        <v>48</v>
      </c>
      <c r="AJ1664" s="4">
        <v>11</v>
      </c>
      <c r="AK1664" s="4">
        <v>11</v>
      </c>
      <c r="AL1664" s="4">
        <v>28</v>
      </c>
      <c r="AM1664" s="4">
        <v>29</v>
      </c>
      <c r="AN1664" s="4">
        <v>0</v>
      </c>
      <c r="AO1664" s="4">
        <v>0</v>
      </c>
      <c r="AP1664" s="4">
        <v>12</v>
      </c>
      <c r="AQ1664" s="4">
        <v>12</v>
      </c>
      <c r="AR1664" s="3" t="s">
        <v>62</v>
      </c>
      <c r="AS1664" s="3" t="s">
        <v>62</v>
      </c>
      <c r="AT1664" s="3" t="s">
        <v>62</v>
      </c>
      <c r="AV1664" s="6" t="str">
        <f>HYPERLINK("http://mcgill.on.worldcat.org/oclc/781556005","Catalog Record")</f>
        <v>Catalog Record</v>
      </c>
      <c r="AW1664" s="6" t="str">
        <f>HYPERLINK("http://www.worldcat.org/oclc/781556005","WorldCat Record")</f>
        <v>WorldCat Record</v>
      </c>
      <c r="AX1664" s="3" t="s">
        <v>15945</v>
      </c>
      <c r="AY1664" s="3" t="s">
        <v>15946</v>
      </c>
      <c r="AZ1664" s="3" t="s">
        <v>15947</v>
      </c>
      <c r="BA1664" s="3" t="s">
        <v>15947</v>
      </c>
      <c r="BB1664" s="3" t="s">
        <v>15948</v>
      </c>
      <c r="BC1664" s="3" t="s">
        <v>142</v>
      </c>
      <c r="BD1664" s="3" t="s">
        <v>68</v>
      </c>
      <c r="BE1664" s="3" t="s">
        <v>15949</v>
      </c>
      <c r="BF1664" s="3" t="s">
        <v>15948</v>
      </c>
      <c r="BG1664" s="3" t="s">
        <v>15950</v>
      </c>
    </row>
    <row r="1665" spans="1:59" ht="71.25" x14ac:dyDescent="0.45">
      <c r="A1665" s="2" t="s">
        <v>59</v>
      </c>
      <c r="B1665" s="2" t="s">
        <v>60</v>
      </c>
      <c r="C1665" s="2" t="s">
        <v>15951</v>
      </c>
      <c r="D1665" s="2" t="s">
        <v>15952</v>
      </c>
      <c r="E1665" s="2" t="s">
        <v>15953</v>
      </c>
      <c r="G1665" s="3" t="s">
        <v>62</v>
      </c>
      <c r="I1665" s="3" t="s">
        <v>62</v>
      </c>
      <c r="J1665" s="3" t="s">
        <v>62</v>
      </c>
      <c r="K1665" s="3" t="s">
        <v>63</v>
      </c>
      <c r="M1665" s="2" t="s">
        <v>15954</v>
      </c>
      <c r="N1665" s="3" t="s">
        <v>149</v>
      </c>
      <c r="P1665" s="3" t="s">
        <v>65</v>
      </c>
      <c r="Q1665" s="2" t="s">
        <v>15955</v>
      </c>
      <c r="R1665" s="3" t="s">
        <v>66</v>
      </c>
      <c r="S1665" s="4">
        <v>3</v>
      </c>
      <c r="T1665" s="4">
        <v>3</v>
      </c>
      <c r="U1665" s="5" t="s">
        <v>1134</v>
      </c>
      <c r="V1665" s="5" t="s">
        <v>1134</v>
      </c>
      <c r="W1665" s="5" t="s">
        <v>67</v>
      </c>
      <c r="X1665" s="5" t="s">
        <v>67</v>
      </c>
      <c r="Y1665" s="4">
        <v>163</v>
      </c>
      <c r="Z1665" s="4">
        <v>19</v>
      </c>
      <c r="AA1665" s="4">
        <v>24</v>
      </c>
      <c r="AB1665" s="4">
        <v>2</v>
      </c>
      <c r="AC1665" s="4">
        <v>6</v>
      </c>
      <c r="AD1665" s="4">
        <v>71</v>
      </c>
      <c r="AE1665" s="4">
        <v>76</v>
      </c>
      <c r="AF1665" s="4">
        <v>1</v>
      </c>
      <c r="AG1665" s="4">
        <v>3</v>
      </c>
      <c r="AH1665" s="4">
        <v>64</v>
      </c>
      <c r="AI1665" s="4">
        <v>67</v>
      </c>
      <c r="AJ1665" s="4">
        <v>13</v>
      </c>
      <c r="AK1665" s="4">
        <v>16</v>
      </c>
      <c r="AL1665" s="4">
        <v>39</v>
      </c>
      <c r="AM1665" s="4">
        <v>41</v>
      </c>
      <c r="AN1665" s="4">
        <v>0</v>
      </c>
      <c r="AO1665" s="4">
        <v>0</v>
      </c>
      <c r="AP1665" s="4">
        <v>15</v>
      </c>
      <c r="AQ1665" s="4">
        <v>18</v>
      </c>
      <c r="AR1665" s="3" t="s">
        <v>62</v>
      </c>
      <c r="AS1665" s="3" t="s">
        <v>62</v>
      </c>
      <c r="AT1665" s="3" t="s">
        <v>62</v>
      </c>
      <c r="AV1665" s="6" t="str">
        <f>HYPERLINK("http://mcgill.on.worldcat.org/oclc/559764370","Catalog Record")</f>
        <v>Catalog Record</v>
      </c>
      <c r="AW1665" s="6" t="str">
        <f>HYPERLINK("http://www.worldcat.org/oclc/559764370","WorldCat Record")</f>
        <v>WorldCat Record</v>
      </c>
      <c r="AX1665" s="3" t="s">
        <v>15956</v>
      </c>
      <c r="AY1665" s="3" t="s">
        <v>15957</v>
      </c>
      <c r="AZ1665" s="3" t="s">
        <v>15958</v>
      </c>
      <c r="BA1665" s="3" t="s">
        <v>15958</v>
      </c>
      <c r="BB1665" s="3" t="s">
        <v>15959</v>
      </c>
      <c r="BC1665" s="3" t="s">
        <v>142</v>
      </c>
      <c r="BD1665" s="3" t="s">
        <v>68</v>
      </c>
      <c r="BE1665" s="3" t="s">
        <v>15960</v>
      </c>
      <c r="BF1665" s="3" t="s">
        <v>15959</v>
      </c>
      <c r="BG1665" s="3" t="s">
        <v>15961</v>
      </c>
    </row>
    <row r="1666" spans="1:59" ht="57" x14ac:dyDescent="0.45">
      <c r="A1666" s="2" t="s">
        <v>59</v>
      </c>
      <c r="B1666" s="2" t="s">
        <v>60</v>
      </c>
      <c r="C1666" s="2" t="s">
        <v>15962</v>
      </c>
      <c r="D1666" s="2" t="s">
        <v>15963</v>
      </c>
      <c r="E1666" s="2" t="s">
        <v>15964</v>
      </c>
      <c r="G1666" s="3" t="s">
        <v>62</v>
      </c>
      <c r="I1666" s="3" t="s">
        <v>62</v>
      </c>
      <c r="J1666" s="3" t="s">
        <v>62</v>
      </c>
      <c r="K1666" s="3" t="s">
        <v>63</v>
      </c>
      <c r="L1666" s="2" t="s">
        <v>15965</v>
      </c>
      <c r="M1666" s="2" t="s">
        <v>15966</v>
      </c>
      <c r="N1666" s="3" t="s">
        <v>894</v>
      </c>
      <c r="P1666" s="3" t="s">
        <v>65</v>
      </c>
      <c r="Q1666" s="2" t="s">
        <v>15967</v>
      </c>
      <c r="R1666" s="3" t="s">
        <v>66</v>
      </c>
      <c r="S1666" s="4">
        <v>3</v>
      </c>
      <c r="T1666" s="4">
        <v>3</v>
      </c>
      <c r="U1666" s="5" t="s">
        <v>15686</v>
      </c>
      <c r="V1666" s="5" t="s">
        <v>15686</v>
      </c>
      <c r="W1666" s="5" t="s">
        <v>67</v>
      </c>
      <c r="X1666" s="5" t="s">
        <v>67</v>
      </c>
      <c r="Y1666" s="4">
        <v>206</v>
      </c>
      <c r="Z1666" s="4">
        <v>22</v>
      </c>
      <c r="AA1666" s="4">
        <v>25</v>
      </c>
      <c r="AB1666" s="4">
        <v>2</v>
      </c>
      <c r="AC1666" s="4">
        <v>5</v>
      </c>
      <c r="AD1666" s="4">
        <v>69</v>
      </c>
      <c r="AE1666" s="4">
        <v>70</v>
      </c>
      <c r="AF1666" s="4">
        <v>1</v>
      </c>
      <c r="AG1666" s="4">
        <v>2</v>
      </c>
      <c r="AH1666" s="4">
        <v>60</v>
      </c>
      <c r="AI1666" s="4">
        <v>61</v>
      </c>
      <c r="AJ1666" s="4">
        <v>14</v>
      </c>
      <c r="AK1666" s="4">
        <v>15</v>
      </c>
      <c r="AL1666" s="4">
        <v>33</v>
      </c>
      <c r="AM1666" s="4">
        <v>33</v>
      </c>
      <c r="AN1666" s="4">
        <v>0</v>
      </c>
      <c r="AO1666" s="4">
        <v>0</v>
      </c>
      <c r="AP1666" s="4">
        <v>17</v>
      </c>
      <c r="AQ1666" s="4">
        <v>18</v>
      </c>
      <c r="AR1666" s="3" t="s">
        <v>62</v>
      </c>
      <c r="AS1666" s="3" t="s">
        <v>62</v>
      </c>
      <c r="AT1666" s="3" t="s">
        <v>62</v>
      </c>
      <c r="AV1666" s="6" t="str">
        <f>HYPERLINK("http://mcgill.on.worldcat.org/oclc/707246936","Catalog Record")</f>
        <v>Catalog Record</v>
      </c>
      <c r="AW1666" s="6" t="str">
        <f>HYPERLINK("http://www.worldcat.org/oclc/707246936","WorldCat Record")</f>
        <v>WorldCat Record</v>
      </c>
      <c r="AX1666" s="3" t="s">
        <v>15968</v>
      </c>
      <c r="AY1666" s="3" t="s">
        <v>15969</v>
      </c>
      <c r="AZ1666" s="3" t="s">
        <v>15970</v>
      </c>
      <c r="BA1666" s="3" t="s">
        <v>15970</v>
      </c>
      <c r="BB1666" s="3" t="s">
        <v>15971</v>
      </c>
      <c r="BC1666" s="3" t="s">
        <v>142</v>
      </c>
      <c r="BD1666" s="3" t="s">
        <v>68</v>
      </c>
      <c r="BE1666" s="3" t="s">
        <v>15972</v>
      </c>
      <c r="BF1666" s="3" t="s">
        <v>15971</v>
      </c>
      <c r="BG1666" s="3" t="s">
        <v>15973</v>
      </c>
    </row>
    <row r="1667" spans="1:59" ht="57" x14ac:dyDescent="0.45">
      <c r="A1667" s="2" t="s">
        <v>59</v>
      </c>
      <c r="B1667" s="2" t="s">
        <v>60</v>
      </c>
      <c r="C1667" s="2" t="s">
        <v>15974</v>
      </c>
      <c r="D1667" s="2" t="s">
        <v>15975</v>
      </c>
      <c r="E1667" s="2" t="s">
        <v>15976</v>
      </c>
      <c r="G1667" s="3" t="s">
        <v>62</v>
      </c>
      <c r="I1667" s="3" t="s">
        <v>62</v>
      </c>
      <c r="J1667" s="3" t="s">
        <v>62</v>
      </c>
      <c r="K1667" s="3" t="s">
        <v>63</v>
      </c>
      <c r="L1667" s="2" t="s">
        <v>15977</v>
      </c>
      <c r="M1667" s="2" t="s">
        <v>15978</v>
      </c>
      <c r="N1667" s="3" t="s">
        <v>149</v>
      </c>
      <c r="O1667" s="2" t="s">
        <v>12448</v>
      </c>
      <c r="P1667" s="3" t="s">
        <v>114</v>
      </c>
      <c r="R1667" s="3" t="s">
        <v>66</v>
      </c>
      <c r="S1667" s="4">
        <v>0</v>
      </c>
      <c r="T1667" s="4">
        <v>0</v>
      </c>
      <c r="W1667" s="5" t="s">
        <v>67</v>
      </c>
      <c r="X1667" s="5" t="s">
        <v>67</v>
      </c>
      <c r="Y1667" s="4">
        <v>14</v>
      </c>
      <c r="Z1667" s="4">
        <v>1</v>
      </c>
      <c r="AA1667" s="4">
        <v>2</v>
      </c>
      <c r="AB1667" s="4">
        <v>1</v>
      </c>
      <c r="AC1667" s="4">
        <v>2</v>
      </c>
      <c r="AD1667" s="4">
        <v>5</v>
      </c>
      <c r="AE1667" s="4">
        <v>9</v>
      </c>
      <c r="AF1667" s="4">
        <v>0</v>
      </c>
      <c r="AG1667" s="4">
        <v>0</v>
      </c>
      <c r="AH1667" s="4">
        <v>4</v>
      </c>
      <c r="AI1667" s="4">
        <v>8</v>
      </c>
      <c r="AJ1667" s="4">
        <v>0</v>
      </c>
      <c r="AK1667" s="4">
        <v>0</v>
      </c>
      <c r="AL1667" s="4">
        <v>4</v>
      </c>
      <c r="AM1667" s="4">
        <v>6</v>
      </c>
      <c r="AN1667" s="4">
        <v>0</v>
      </c>
      <c r="AO1667" s="4">
        <v>0</v>
      </c>
      <c r="AP1667" s="4">
        <v>0</v>
      </c>
      <c r="AQ1667" s="4">
        <v>0</v>
      </c>
      <c r="AR1667" s="3" t="s">
        <v>62</v>
      </c>
      <c r="AS1667" s="3" t="s">
        <v>62</v>
      </c>
      <c r="AT1667" s="3" t="s">
        <v>62</v>
      </c>
      <c r="AV1667" s="6" t="str">
        <f>HYPERLINK("http://mcgill.on.worldcat.org/oclc/657596789","Catalog Record")</f>
        <v>Catalog Record</v>
      </c>
      <c r="AW1667" s="6" t="str">
        <f>HYPERLINK("http://www.worldcat.org/oclc/657596789","WorldCat Record")</f>
        <v>WorldCat Record</v>
      </c>
      <c r="AX1667" s="3" t="s">
        <v>15979</v>
      </c>
      <c r="AY1667" s="3" t="s">
        <v>15980</v>
      </c>
      <c r="AZ1667" s="3" t="s">
        <v>15981</v>
      </c>
      <c r="BA1667" s="3" t="s">
        <v>15981</v>
      </c>
      <c r="BB1667" s="3" t="s">
        <v>15982</v>
      </c>
      <c r="BC1667" s="3" t="s">
        <v>142</v>
      </c>
      <c r="BD1667" s="3" t="s">
        <v>68</v>
      </c>
      <c r="BE1667" s="3" t="s">
        <v>15983</v>
      </c>
      <c r="BF1667" s="3" t="s">
        <v>15982</v>
      </c>
      <c r="BG1667" s="3" t="s">
        <v>15984</v>
      </c>
    </row>
    <row r="1668" spans="1:59" ht="57" x14ac:dyDescent="0.45">
      <c r="A1668" s="2" t="s">
        <v>59</v>
      </c>
      <c r="B1668" s="2" t="s">
        <v>60</v>
      </c>
      <c r="C1668" s="2" t="s">
        <v>15985</v>
      </c>
      <c r="D1668" s="2" t="s">
        <v>15986</v>
      </c>
      <c r="E1668" s="2" t="s">
        <v>15987</v>
      </c>
      <c r="G1668" s="3" t="s">
        <v>62</v>
      </c>
      <c r="I1668" s="3" t="s">
        <v>62</v>
      </c>
      <c r="J1668" s="3" t="s">
        <v>62</v>
      </c>
      <c r="K1668" s="3" t="s">
        <v>63</v>
      </c>
      <c r="M1668" s="2" t="s">
        <v>15988</v>
      </c>
      <c r="N1668" s="3" t="s">
        <v>149</v>
      </c>
      <c r="P1668" s="3" t="s">
        <v>65</v>
      </c>
      <c r="R1668" s="3" t="s">
        <v>66</v>
      </c>
      <c r="S1668" s="4">
        <v>1</v>
      </c>
      <c r="T1668" s="4">
        <v>1</v>
      </c>
      <c r="U1668" s="5" t="s">
        <v>15989</v>
      </c>
      <c r="V1668" s="5" t="s">
        <v>15989</v>
      </c>
      <c r="W1668" s="5" t="s">
        <v>67</v>
      </c>
      <c r="X1668" s="5" t="s">
        <v>67</v>
      </c>
      <c r="Y1668" s="4">
        <v>148</v>
      </c>
      <c r="Z1668" s="4">
        <v>18</v>
      </c>
      <c r="AA1668" s="4">
        <v>99</v>
      </c>
      <c r="AB1668" s="4">
        <v>2</v>
      </c>
      <c r="AC1668" s="4">
        <v>19</v>
      </c>
      <c r="AD1668" s="4">
        <v>76</v>
      </c>
      <c r="AE1668" s="4">
        <v>124</v>
      </c>
      <c r="AF1668" s="4">
        <v>1</v>
      </c>
      <c r="AG1668" s="4">
        <v>8</v>
      </c>
      <c r="AH1668" s="4">
        <v>70</v>
      </c>
      <c r="AI1668" s="4">
        <v>90</v>
      </c>
      <c r="AJ1668" s="4">
        <v>14</v>
      </c>
      <c r="AK1668" s="4">
        <v>24</v>
      </c>
      <c r="AL1668" s="4">
        <v>41</v>
      </c>
      <c r="AM1668" s="4">
        <v>49</v>
      </c>
      <c r="AN1668" s="4">
        <v>0</v>
      </c>
      <c r="AO1668" s="4">
        <v>0</v>
      </c>
      <c r="AP1668" s="4">
        <v>15</v>
      </c>
      <c r="AQ1668" s="4">
        <v>45</v>
      </c>
      <c r="AR1668" s="3" t="s">
        <v>62</v>
      </c>
      <c r="AS1668" s="3" t="s">
        <v>62</v>
      </c>
      <c r="AT1668" s="3" t="s">
        <v>62</v>
      </c>
      <c r="AV1668" s="6" t="str">
        <f>HYPERLINK("http://mcgill.on.worldcat.org/oclc/589017739","Catalog Record")</f>
        <v>Catalog Record</v>
      </c>
      <c r="AW1668" s="6" t="str">
        <f>HYPERLINK("http://www.worldcat.org/oclc/589017739","WorldCat Record")</f>
        <v>WorldCat Record</v>
      </c>
      <c r="AX1668" s="3" t="s">
        <v>15990</v>
      </c>
      <c r="AY1668" s="3" t="s">
        <v>15991</v>
      </c>
      <c r="AZ1668" s="3" t="s">
        <v>15992</v>
      </c>
      <c r="BA1668" s="3" t="s">
        <v>15992</v>
      </c>
      <c r="BB1668" s="3" t="s">
        <v>15993</v>
      </c>
      <c r="BC1668" s="3" t="s">
        <v>142</v>
      </c>
      <c r="BD1668" s="3" t="s">
        <v>68</v>
      </c>
      <c r="BE1668" s="3" t="s">
        <v>15994</v>
      </c>
      <c r="BF1668" s="3" t="s">
        <v>15993</v>
      </c>
      <c r="BG1668" s="3" t="s">
        <v>15995</v>
      </c>
    </row>
    <row r="1669" spans="1:59" ht="57" x14ac:dyDescent="0.45">
      <c r="A1669" s="2" t="s">
        <v>59</v>
      </c>
      <c r="B1669" s="2" t="s">
        <v>60</v>
      </c>
      <c r="C1669" s="2" t="s">
        <v>15996</v>
      </c>
      <c r="D1669" s="2" t="s">
        <v>15997</v>
      </c>
      <c r="E1669" s="2" t="s">
        <v>15998</v>
      </c>
      <c r="G1669" s="3" t="s">
        <v>62</v>
      </c>
      <c r="I1669" s="3" t="s">
        <v>62</v>
      </c>
      <c r="J1669" s="3" t="s">
        <v>62</v>
      </c>
      <c r="K1669" s="3" t="s">
        <v>63</v>
      </c>
      <c r="M1669" s="2" t="s">
        <v>15999</v>
      </c>
      <c r="N1669" s="3" t="s">
        <v>894</v>
      </c>
      <c r="P1669" s="3" t="s">
        <v>65</v>
      </c>
      <c r="R1669" s="3" t="s">
        <v>66</v>
      </c>
      <c r="S1669" s="4">
        <v>0</v>
      </c>
      <c r="T1669" s="4">
        <v>0</v>
      </c>
      <c r="W1669" s="5" t="s">
        <v>67</v>
      </c>
      <c r="X1669" s="5" t="s">
        <v>67</v>
      </c>
      <c r="Y1669" s="4">
        <v>26</v>
      </c>
      <c r="Z1669" s="4">
        <v>2</v>
      </c>
      <c r="AA1669" s="4">
        <v>2</v>
      </c>
      <c r="AB1669" s="4">
        <v>1</v>
      </c>
      <c r="AC1669" s="4">
        <v>1</v>
      </c>
      <c r="AD1669" s="4">
        <v>16</v>
      </c>
      <c r="AE1669" s="4">
        <v>16</v>
      </c>
      <c r="AF1669" s="4">
        <v>0</v>
      </c>
      <c r="AG1669" s="4">
        <v>0</v>
      </c>
      <c r="AH1669" s="4">
        <v>16</v>
      </c>
      <c r="AI1669" s="4">
        <v>16</v>
      </c>
      <c r="AJ1669" s="4">
        <v>1</v>
      </c>
      <c r="AK1669" s="4">
        <v>1</v>
      </c>
      <c r="AL1669" s="4">
        <v>10</v>
      </c>
      <c r="AM1669" s="4">
        <v>10</v>
      </c>
      <c r="AN1669" s="4">
        <v>0</v>
      </c>
      <c r="AO1669" s="4">
        <v>0</v>
      </c>
      <c r="AP1669" s="4">
        <v>1</v>
      </c>
      <c r="AQ1669" s="4">
        <v>1</v>
      </c>
      <c r="AR1669" s="3" t="s">
        <v>62</v>
      </c>
      <c r="AS1669" s="3" t="s">
        <v>62</v>
      </c>
      <c r="AT1669" s="3" t="s">
        <v>62</v>
      </c>
      <c r="AV1669" s="6" t="str">
        <f>HYPERLINK("http://mcgill.on.worldcat.org/oclc/747681504","Catalog Record")</f>
        <v>Catalog Record</v>
      </c>
      <c r="AW1669" s="6" t="str">
        <f>HYPERLINK("http://www.worldcat.org/oclc/747681504","WorldCat Record")</f>
        <v>WorldCat Record</v>
      </c>
      <c r="AX1669" s="3" t="s">
        <v>16000</v>
      </c>
      <c r="AY1669" s="3" t="s">
        <v>16001</v>
      </c>
      <c r="AZ1669" s="3" t="s">
        <v>16002</v>
      </c>
      <c r="BA1669" s="3" t="s">
        <v>16002</v>
      </c>
      <c r="BB1669" s="3" t="s">
        <v>16003</v>
      </c>
      <c r="BC1669" s="3" t="s">
        <v>142</v>
      </c>
      <c r="BD1669" s="3" t="s">
        <v>68</v>
      </c>
      <c r="BE1669" s="3" t="s">
        <v>16004</v>
      </c>
      <c r="BF1669" s="3" t="s">
        <v>16003</v>
      </c>
      <c r="BG1669" s="3" t="s">
        <v>16005</v>
      </c>
    </row>
    <row r="1670" spans="1:59" ht="57" x14ac:dyDescent="0.45">
      <c r="A1670" s="2" t="s">
        <v>13313</v>
      </c>
      <c r="B1670" s="2" t="s">
        <v>60</v>
      </c>
      <c r="C1670" s="2" t="s">
        <v>16006</v>
      </c>
      <c r="D1670" s="2" t="s">
        <v>16007</v>
      </c>
      <c r="E1670" s="2" t="s">
        <v>16008</v>
      </c>
      <c r="G1670" s="3" t="s">
        <v>62</v>
      </c>
      <c r="I1670" s="3" t="s">
        <v>62</v>
      </c>
      <c r="J1670" s="3" t="s">
        <v>62</v>
      </c>
      <c r="K1670" s="3" t="s">
        <v>63</v>
      </c>
      <c r="M1670" s="2" t="s">
        <v>16009</v>
      </c>
      <c r="N1670" s="3" t="s">
        <v>820</v>
      </c>
      <c r="P1670" s="3" t="s">
        <v>110</v>
      </c>
      <c r="Q1670" s="2" t="s">
        <v>16010</v>
      </c>
      <c r="R1670" s="3" t="s">
        <v>66</v>
      </c>
      <c r="S1670" s="4">
        <v>2</v>
      </c>
      <c r="T1670" s="4">
        <v>2</v>
      </c>
      <c r="U1670" s="5" t="s">
        <v>16011</v>
      </c>
      <c r="V1670" s="5" t="s">
        <v>16011</v>
      </c>
      <c r="W1670" s="5" t="s">
        <v>67</v>
      </c>
      <c r="X1670" s="5" t="s">
        <v>67</v>
      </c>
      <c r="Y1670" s="4">
        <v>26</v>
      </c>
      <c r="Z1670" s="4">
        <v>3</v>
      </c>
      <c r="AA1670" s="4">
        <v>7</v>
      </c>
      <c r="AB1670" s="4">
        <v>1</v>
      </c>
      <c r="AC1670" s="4">
        <v>4</v>
      </c>
      <c r="AD1670" s="4">
        <v>15</v>
      </c>
      <c r="AE1670" s="4">
        <v>18</v>
      </c>
      <c r="AF1670" s="4">
        <v>0</v>
      </c>
      <c r="AG1670" s="4">
        <v>2</v>
      </c>
      <c r="AH1670" s="4">
        <v>14</v>
      </c>
      <c r="AI1670" s="4">
        <v>15</v>
      </c>
      <c r="AJ1670" s="4">
        <v>1</v>
      </c>
      <c r="AK1670" s="4">
        <v>4</v>
      </c>
      <c r="AL1670" s="4">
        <v>13</v>
      </c>
      <c r="AM1670" s="4">
        <v>13</v>
      </c>
      <c r="AN1670" s="4">
        <v>0</v>
      </c>
      <c r="AO1670" s="4">
        <v>0</v>
      </c>
      <c r="AP1670" s="4">
        <v>1</v>
      </c>
      <c r="AQ1670" s="4">
        <v>3</v>
      </c>
      <c r="AR1670" s="3" t="s">
        <v>62</v>
      </c>
      <c r="AS1670" s="3" t="s">
        <v>62</v>
      </c>
      <c r="AT1670" s="3" t="s">
        <v>62</v>
      </c>
      <c r="AV1670" s="6" t="str">
        <f>HYPERLINK("http://mcgill.on.worldcat.org/oclc/298596519","Catalog Record")</f>
        <v>Catalog Record</v>
      </c>
      <c r="AW1670" s="6" t="str">
        <f>HYPERLINK("http://www.worldcat.org/oclc/298596519","WorldCat Record")</f>
        <v>WorldCat Record</v>
      </c>
      <c r="AX1670" s="3" t="s">
        <v>16012</v>
      </c>
      <c r="AY1670" s="3" t="s">
        <v>16013</v>
      </c>
      <c r="AZ1670" s="3" t="s">
        <v>16014</v>
      </c>
      <c r="BA1670" s="3" t="s">
        <v>16014</v>
      </c>
      <c r="BB1670" s="3" t="s">
        <v>16015</v>
      </c>
      <c r="BC1670" s="3" t="s">
        <v>142</v>
      </c>
      <c r="BD1670" s="3" t="s">
        <v>68</v>
      </c>
      <c r="BE1670" s="3" t="s">
        <v>16016</v>
      </c>
      <c r="BF1670" s="3" t="s">
        <v>16015</v>
      </c>
      <c r="BG1670" s="3" t="s">
        <v>16017</v>
      </c>
    </row>
    <row r="1671" spans="1:59" ht="57" x14ac:dyDescent="0.45">
      <c r="A1671" s="2" t="s">
        <v>59</v>
      </c>
      <c r="B1671" s="2" t="s">
        <v>60</v>
      </c>
      <c r="C1671" s="2" t="s">
        <v>16018</v>
      </c>
      <c r="D1671" s="2" t="s">
        <v>16019</v>
      </c>
      <c r="E1671" s="2" t="s">
        <v>16020</v>
      </c>
      <c r="G1671" s="3" t="s">
        <v>62</v>
      </c>
      <c r="I1671" s="3" t="s">
        <v>62</v>
      </c>
      <c r="J1671" s="3" t="s">
        <v>62</v>
      </c>
      <c r="K1671" s="3" t="s">
        <v>63</v>
      </c>
      <c r="M1671" s="2" t="s">
        <v>16021</v>
      </c>
      <c r="N1671" s="3" t="s">
        <v>1155</v>
      </c>
      <c r="P1671" s="3" t="s">
        <v>65</v>
      </c>
      <c r="R1671" s="3" t="s">
        <v>66</v>
      </c>
      <c r="S1671" s="4">
        <v>0</v>
      </c>
      <c r="T1671" s="4">
        <v>0</v>
      </c>
      <c r="W1671" s="5" t="s">
        <v>67</v>
      </c>
      <c r="X1671" s="5" t="s">
        <v>67</v>
      </c>
      <c r="Y1671" s="4">
        <v>112</v>
      </c>
      <c r="Z1671" s="4">
        <v>18</v>
      </c>
      <c r="AA1671" s="4">
        <v>39</v>
      </c>
      <c r="AB1671" s="4">
        <v>2</v>
      </c>
      <c r="AC1671" s="4">
        <v>5</v>
      </c>
      <c r="AD1671" s="4">
        <v>50</v>
      </c>
      <c r="AE1671" s="4">
        <v>70</v>
      </c>
      <c r="AF1671" s="4">
        <v>1</v>
      </c>
      <c r="AG1671" s="4">
        <v>1</v>
      </c>
      <c r="AH1671" s="4">
        <v>44</v>
      </c>
      <c r="AI1671" s="4">
        <v>60</v>
      </c>
      <c r="AJ1671" s="4">
        <v>13</v>
      </c>
      <c r="AK1671" s="4">
        <v>14</v>
      </c>
      <c r="AL1671" s="4">
        <v>27</v>
      </c>
      <c r="AM1671" s="4">
        <v>35</v>
      </c>
      <c r="AN1671" s="4">
        <v>0</v>
      </c>
      <c r="AO1671" s="4">
        <v>0</v>
      </c>
      <c r="AP1671" s="4">
        <v>15</v>
      </c>
      <c r="AQ1671" s="4">
        <v>20</v>
      </c>
      <c r="AR1671" s="3" t="s">
        <v>62</v>
      </c>
      <c r="AS1671" s="3" t="s">
        <v>62</v>
      </c>
      <c r="AT1671" s="3" t="s">
        <v>62</v>
      </c>
      <c r="AV1671" s="6" t="str">
        <f>HYPERLINK("http://mcgill.on.worldcat.org/oclc/754105582","Catalog Record")</f>
        <v>Catalog Record</v>
      </c>
      <c r="AW1671" s="6" t="str">
        <f>HYPERLINK("http://www.worldcat.org/oclc/754105582","WorldCat Record")</f>
        <v>WorldCat Record</v>
      </c>
      <c r="AX1671" s="3" t="s">
        <v>16022</v>
      </c>
      <c r="AY1671" s="3" t="s">
        <v>16023</v>
      </c>
      <c r="AZ1671" s="3" t="s">
        <v>16024</v>
      </c>
      <c r="BA1671" s="3" t="s">
        <v>16024</v>
      </c>
      <c r="BB1671" s="3" t="s">
        <v>16025</v>
      </c>
      <c r="BC1671" s="3" t="s">
        <v>142</v>
      </c>
      <c r="BD1671" s="3" t="s">
        <v>68</v>
      </c>
      <c r="BE1671" s="3" t="s">
        <v>16026</v>
      </c>
      <c r="BF1671" s="3" t="s">
        <v>16025</v>
      </c>
      <c r="BG1671" s="3" t="s">
        <v>16027</v>
      </c>
    </row>
    <row r="1672" spans="1:59" ht="57" x14ac:dyDescent="0.45">
      <c r="A1672" s="2" t="s">
        <v>59</v>
      </c>
      <c r="B1672" s="2" t="s">
        <v>60</v>
      </c>
      <c r="C1672" s="2" t="s">
        <v>16028</v>
      </c>
      <c r="D1672" s="2" t="s">
        <v>16029</v>
      </c>
      <c r="E1672" s="2" t="s">
        <v>16030</v>
      </c>
      <c r="G1672" s="3" t="s">
        <v>62</v>
      </c>
      <c r="I1672" s="3" t="s">
        <v>62</v>
      </c>
      <c r="J1672" s="3" t="s">
        <v>62</v>
      </c>
      <c r="K1672" s="3" t="s">
        <v>63</v>
      </c>
      <c r="M1672" s="2" t="s">
        <v>16031</v>
      </c>
      <c r="N1672" s="3" t="s">
        <v>149</v>
      </c>
      <c r="P1672" s="3" t="s">
        <v>65</v>
      </c>
      <c r="R1672" s="3" t="s">
        <v>66</v>
      </c>
      <c r="S1672" s="4">
        <v>4</v>
      </c>
      <c r="T1672" s="4">
        <v>4</v>
      </c>
      <c r="U1672" s="5" t="s">
        <v>16032</v>
      </c>
      <c r="V1672" s="5" t="s">
        <v>16032</v>
      </c>
      <c r="W1672" s="5" t="s">
        <v>67</v>
      </c>
      <c r="X1672" s="5" t="s">
        <v>67</v>
      </c>
      <c r="Y1672" s="4">
        <v>121</v>
      </c>
      <c r="Z1672" s="4">
        <v>12</v>
      </c>
      <c r="AA1672" s="4">
        <v>96</v>
      </c>
      <c r="AB1672" s="4">
        <v>2</v>
      </c>
      <c r="AC1672" s="4">
        <v>18</v>
      </c>
      <c r="AD1672" s="4">
        <v>59</v>
      </c>
      <c r="AE1672" s="4">
        <v>117</v>
      </c>
      <c r="AF1672" s="4">
        <v>1</v>
      </c>
      <c r="AG1672" s="4">
        <v>8</v>
      </c>
      <c r="AH1672" s="4">
        <v>52</v>
      </c>
      <c r="AI1672" s="4">
        <v>82</v>
      </c>
      <c r="AJ1672" s="4">
        <v>7</v>
      </c>
      <c r="AK1672" s="4">
        <v>22</v>
      </c>
      <c r="AL1672" s="4">
        <v>33</v>
      </c>
      <c r="AM1672" s="4">
        <v>43</v>
      </c>
      <c r="AN1672" s="4">
        <v>0</v>
      </c>
      <c r="AO1672" s="4">
        <v>0</v>
      </c>
      <c r="AP1672" s="4">
        <v>9</v>
      </c>
      <c r="AQ1672" s="4">
        <v>43</v>
      </c>
      <c r="AR1672" s="3" t="s">
        <v>62</v>
      </c>
      <c r="AS1672" s="3" t="s">
        <v>62</v>
      </c>
      <c r="AT1672" s="3" t="s">
        <v>62</v>
      </c>
      <c r="AV1672" s="6" t="str">
        <f>HYPERLINK("http://mcgill.on.worldcat.org/oclc/326626808","Catalog Record")</f>
        <v>Catalog Record</v>
      </c>
      <c r="AW1672" s="6" t="str">
        <f>HYPERLINK("http://www.worldcat.org/oclc/326626808","WorldCat Record")</f>
        <v>WorldCat Record</v>
      </c>
      <c r="AX1672" s="3" t="s">
        <v>16033</v>
      </c>
      <c r="AY1672" s="3" t="s">
        <v>16034</v>
      </c>
      <c r="AZ1672" s="3" t="s">
        <v>16035</v>
      </c>
      <c r="BA1672" s="3" t="s">
        <v>16035</v>
      </c>
      <c r="BB1672" s="3" t="s">
        <v>16036</v>
      </c>
      <c r="BC1672" s="3" t="s">
        <v>142</v>
      </c>
      <c r="BD1672" s="3" t="s">
        <v>68</v>
      </c>
      <c r="BE1672" s="3" t="s">
        <v>16037</v>
      </c>
      <c r="BF1672" s="3" t="s">
        <v>16036</v>
      </c>
      <c r="BG1672" s="3" t="s">
        <v>16038</v>
      </c>
    </row>
    <row r="1673" spans="1:59" ht="57" x14ac:dyDescent="0.45">
      <c r="A1673" s="2" t="s">
        <v>59</v>
      </c>
      <c r="B1673" s="2" t="s">
        <v>60</v>
      </c>
      <c r="C1673" s="2" t="s">
        <v>16039</v>
      </c>
      <c r="D1673" s="2" t="s">
        <v>16040</v>
      </c>
      <c r="E1673" s="2" t="s">
        <v>16041</v>
      </c>
      <c r="G1673" s="3" t="s">
        <v>62</v>
      </c>
      <c r="I1673" s="3" t="s">
        <v>62</v>
      </c>
      <c r="J1673" s="3" t="s">
        <v>62</v>
      </c>
      <c r="K1673" s="3" t="s">
        <v>63</v>
      </c>
      <c r="L1673" s="2" t="s">
        <v>16042</v>
      </c>
      <c r="M1673" s="2" t="s">
        <v>16043</v>
      </c>
      <c r="N1673" s="3" t="s">
        <v>894</v>
      </c>
      <c r="P1673" s="3" t="s">
        <v>65</v>
      </c>
      <c r="Q1673" s="2" t="s">
        <v>16044</v>
      </c>
      <c r="R1673" s="3" t="s">
        <v>66</v>
      </c>
      <c r="S1673" s="4">
        <v>2</v>
      </c>
      <c r="T1673" s="4">
        <v>2</v>
      </c>
      <c r="U1673" s="5" t="s">
        <v>421</v>
      </c>
      <c r="V1673" s="5" t="s">
        <v>421</v>
      </c>
      <c r="W1673" s="5" t="s">
        <v>67</v>
      </c>
      <c r="X1673" s="5" t="s">
        <v>67</v>
      </c>
      <c r="Y1673" s="4">
        <v>145</v>
      </c>
      <c r="Z1673" s="4">
        <v>12</v>
      </c>
      <c r="AA1673" s="4">
        <v>13</v>
      </c>
      <c r="AB1673" s="4">
        <v>1</v>
      </c>
      <c r="AC1673" s="4">
        <v>2</v>
      </c>
      <c r="AD1673" s="4">
        <v>62</v>
      </c>
      <c r="AE1673" s="4">
        <v>63</v>
      </c>
      <c r="AF1673" s="4">
        <v>0</v>
      </c>
      <c r="AG1673" s="4">
        <v>1</v>
      </c>
      <c r="AH1673" s="4">
        <v>59</v>
      </c>
      <c r="AI1673" s="4">
        <v>59</v>
      </c>
      <c r="AJ1673" s="4">
        <v>9</v>
      </c>
      <c r="AK1673" s="4">
        <v>10</v>
      </c>
      <c r="AL1673" s="4">
        <v>37</v>
      </c>
      <c r="AM1673" s="4">
        <v>37</v>
      </c>
      <c r="AN1673" s="4">
        <v>0</v>
      </c>
      <c r="AO1673" s="4">
        <v>0</v>
      </c>
      <c r="AP1673" s="4">
        <v>10</v>
      </c>
      <c r="AQ1673" s="4">
        <v>11</v>
      </c>
      <c r="AR1673" s="3" t="s">
        <v>62</v>
      </c>
      <c r="AS1673" s="3" t="s">
        <v>62</v>
      </c>
      <c r="AT1673" s="3" t="s">
        <v>62</v>
      </c>
      <c r="AV1673" s="6" t="str">
        <f>HYPERLINK("http://mcgill.on.worldcat.org/oclc/659773707","Catalog Record")</f>
        <v>Catalog Record</v>
      </c>
      <c r="AW1673" s="6" t="str">
        <f>HYPERLINK("http://www.worldcat.org/oclc/659773707","WorldCat Record")</f>
        <v>WorldCat Record</v>
      </c>
      <c r="AX1673" s="3" t="s">
        <v>16045</v>
      </c>
      <c r="AY1673" s="3" t="s">
        <v>16046</v>
      </c>
      <c r="AZ1673" s="3" t="s">
        <v>16047</v>
      </c>
      <c r="BA1673" s="3" t="s">
        <v>16047</v>
      </c>
      <c r="BB1673" s="3" t="s">
        <v>16048</v>
      </c>
      <c r="BC1673" s="3" t="s">
        <v>142</v>
      </c>
      <c r="BD1673" s="3" t="s">
        <v>68</v>
      </c>
      <c r="BE1673" s="3" t="s">
        <v>16049</v>
      </c>
      <c r="BF1673" s="3" t="s">
        <v>16048</v>
      </c>
      <c r="BG1673" s="3" t="s">
        <v>16050</v>
      </c>
    </row>
    <row r="1674" spans="1:59" ht="57" x14ac:dyDescent="0.45">
      <c r="A1674" s="2" t="s">
        <v>59</v>
      </c>
      <c r="B1674" s="2" t="s">
        <v>60</v>
      </c>
      <c r="C1674" s="2" t="s">
        <v>16051</v>
      </c>
      <c r="D1674" s="2" t="s">
        <v>16052</v>
      </c>
      <c r="E1674" s="2" t="s">
        <v>16053</v>
      </c>
      <c r="G1674" s="3" t="s">
        <v>62</v>
      </c>
      <c r="I1674" s="3" t="s">
        <v>62</v>
      </c>
      <c r="J1674" s="3" t="s">
        <v>62</v>
      </c>
      <c r="K1674" s="3" t="s">
        <v>63</v>
      </c>
      <c r="M1674" s="2" t="s">
        <v>16054</v>
      </c>
      <c r="N1674" s="3" t="s">
        <v>149</v>
      </c>
      <c r="O1674" s="2" t="s">
        <v>12448</v>
      </c>
      <c r="P1674" s="3" t="s">
        <v>114</v>
      </c>
      <c r="R1674" s="3" t="s">
        <v>66</v>
      </c>
      <c r="S1674" s="4">
        <v>0</v>
      </c>
      <c r="T1674" s="4">
        <v>0</v>
      </c>
      <c r="W1674" s="5" t="s">
        <v>67</v>
      </c>
      <c r="X1674" s="5" t="s">
        <v>67</v>
      </c>
      <c r="Y1674" s="4">
        <v>22</v>
      </c>
      <c r="Z1674" s="4">
        <v>4</v>
      </c>
      <c r="AA1674" s="4">
        <v>4</v>
      </c>
      <c r="AB1674" s="4">
        <v>1</v>
      </c>
      <c r="AC1674" s="4">
        <v>1</v>
      </c>
      <c r="AD1674" s="4">
        <v>16</v>
      </c>
      <c r="AE1674" s="4">
        <v>16</v>
      </c>
      <c r="AF1674" s="4">
        <v>0</v>
      </c>
      <c r="AG1674" s="4">
        <v>0</v>
      </c>
      <c r="AH1674" s="4">
        <v>15</v>
      </c>
      <c r="AI1674" s="4">
        <v>15</v>
      </c>
      <c r="AJ1674" s="4">
        <v>2</v>
      </c>
      <c r="AK1674" s="4">
        <v>2</v>
      </c>
      <c r="AL1674" s="4">
        <v>12</v>
      </c>
      <c r="AM1674" s="4">
        <v>12</v>
      </c>
      <c r="AN1674" s="4">
        <v>5</v>
      </c>
      <c r="AO1674" s="4">
        <v>5</v>
      </c>
      <c r="AP1674" s="4">
        <v>2</v>
      </c>
      <c r="AQ1674" s="4">
        <v>2</v>
      </c>
      <c r="AR1674" s="3" t="s">
        <v>62</v>
      </c>
      <c r="AS1674" s="3" t="s">
        <v>62</v>
      </c>
      <c r="AT1674" s="3" t="s">
        <v>61</v>
      </c>
      <c r="AU1674" s="6" t="str">
        <f>HYPERLINK("http://catalog.hathitrust.org/Record/008456280","HathiTrust Record")</f>
        <v>HathiTrust Record</v>
      </c>
      <c r="AV1674" s="6" t="str">
        <f>HYPERLINK("http://mcgill.on.worldcat.org/oclc/649847166","Catalog Record")</f>
        <v>Catalog Record</v>
      </c>
      <c r="AW1674" s="6" t="str">
        <f>HYPERLINK("http://www.worldcat.org/oclc/649847166","WorldCat Record")</f>
        <v>WorldCat Record</v>
      </c>
      <c r="AX1674" s="3" t="s">
        <v>16055</v>
      </c>
      <c r="AY1674" s="3" t="s">
        <v>16056</v>
      </c>
      <c r="AZ1674" s="3" t="s">
        <v>16057</v>
      </c>
      <c r="BA1674" s="3" t="s">
        <v>16057</v>
      </c>
      <c r="BB1674" s="3" t="s">
        <v>16058</v>
      </c>
      <c r="BC1674" s="3" t="s">
        <v>142</v>
      </c>
      <c r="BD1674" s="3" t="s">
        <v>68</v>
      </c>
      <c r="BE1674" s="3" t="s">
        <v>16059</v>
      </c>
      <c r="BF1674" s="3" t="s">
        <v>16058</v>
      </c>
      <c r="BG1674" s="3" t="s">
        <v>16060</v>
      </c>
    </row>
    <row r="1675" spans="1:59" ht="57" x14ac:dyDescent="0.45">
      <c r="A1675" s="2" t="s">
        <v>59</v>
      </c>
      <c r="B1675" s="2" t="s">
        <v>60</v>
      </c>
      <c r="C1675" s="2" t="s">
        <v>16061</v>
      </c>
      <c r="D1675" s="2" t="s">
        <v>16062</v>
      </c>
      <c r="E1675" s="2" t="s">
        <v>16063</v>
      </c>
      <c r="G1675" s="3" t="s">
        <v>62</v>
      </c>
      <c r="I1675" s="3" t="s">
        <v>62</v>
      </c>
      <c r="J1675" s="3" t="s">
        <v>62</v>
      </c>
      <c r="K1675" s="3" t="s">
        <v>63</v>
      </c>
      <c r="M1675" s="2" t="s">
        <v>16064</v>
      </c>
      <c r="N1675" s="3" t="s">
        <v>480</v>
      </c>
      <c r="P1675" s="3" t="s">
        <v>65</v>
      </c>
      <c r="R1675" s="3" t="s">
        <v>66</v>
      </c>
      <c r="S1675" s="4">
        <v>8</v>
      </c>
      <c r="T1675" s="4">
        <v>8</v>
      </c>
      <c r="U1675" s="5" t="s">
        <v>16065</v>
      </c>
      <c r="V1675" s="5" t="s">
        <v>16065</v>
      </c>
      <c r="W1675" s="5" t="s">
        <v>67</v>
      </c>
      <c r="X1675" s="5" t="s">
        <v>67</v>
      </c>
      <c r="Y1675" s="4">
        <v>33</v>
      </c>
      <c r="Z1675" s="4">
        <v>2</v>
      </c>
      <c r="AA1675" s="4">
        <v>3</v>
      </c>
      <c r="AB1675" s="4">
        <v>1</v>
      </c>
      <c r="AC1675" s="4">
        <v>2</v>
      </c>
      <c r="AD1675" s="4">
        <v>14</v>
      </c>
      <c r="AE1675" s="4">
        <v>17</v>
      </c>
      <c r="AF1675" s="4">
        <v>0</v>
      </c>
      <c r="AG1675" s="4">
        <v>1</v>
      </c>
      <c r="AH1675" s="4">
        <v>12</v>
      </c>
      <c r="AI1675" s="4">
        <v>15</v>
      </c>
      <c r="AJ1675" s="4">
        <v>1</v>
      </c>
      <c r="AK1675" s="4">
        <v>2</v>
      </c>
      <c r="AL1675" s="4">
        <v>10</v>
      </c>
      <c r="AM1675" s="4">
        <v>11</v>
      </c>
      <c r="AN1675" s="4">
        <v>0</v>
      </c>
      <c r="AO1675" s="4">
        <v>0</v>
      </c>
      <c r="AP1675" s="4">
        <v>1</v>
      </c>
      <c r="AQ1675" s="4">
        <v>2</v>
      </c>
      <c r="AR1675" s="3" t="s">
        <v>62</v>
      </c>
      <c r="AS1675" s="3" t="s">
        <v>62</v>
      </c>
      <c r="AT1675" s="3" t="s">
        <v>61</v>
      </c>
      <c r="AU1675" s="6" t="str">
        <f>HYPERLINK("http://catalog.hathitrust.org/Record/002195247","HathiTrust Record")</f>
        <v>HathiTrust Record</v>
      </c>
      <c r="AV1675" s="6" t="str">
        <f>HYPERLINK("http://mcgill.on.worldcat.org/oclc/8219745","Catalog Record")</f>
        <v>Catalog Record</v>
      </c>
      <c r="AW1675" s="6" t="str">
        <f>HYPERLINK("http://www.worldcat.org/oclc/8219745","WorldCat Record")</f>
        <v>WorldCat Record</v>
      </c>
      <c r="AX1675" s="3" t="s">
        <v>16066</v>
      </c>
      <c r="AY1675" s="3" t="s">
        <v>16067</v>
      </c>
      <c r="AZ1675" s="3" t="s">
        <v>16068</v>
      </c>
      <c r="BA1675" s="3" t="s">
        <v>16068</v>
      </c>
      <c r="BB1675" s="3" t="s">
        <v>16069</v>
      </c>
      <c r="BC1675" s="3" t="s">
        <v>142</v>
      </c>
      <c r="BD1675" s="3" t="s">
        <v>68</v>
      </c>
      <c r="BF1675" s="3" t="s">
        <v>16069</v>
      </c>
      <c r="BG1675" s="3" t="s">
        <v>16070</v>
      </c>
    </row>
    <row r="1676" spans="1:59" ht="57" x14ac:dyDescent="0.45">
      <c r="A1676" s="2" t="s">
        <v>59</v>
      </c>
      <c r="B1676" s="2" t="s">
        <v>60</v>
      </c>
      <c r="C1676" s="2" t="s">
        <v>16071</v>
      </c>
      <c r="D1676" s="2" t="s">
        <v>16072</v>
      </c>
      <c r="E1676" s="2" t="s">
        <v>16073</v>
      </c>
      <c r="G1676" s="3" t="s">
        <v>62</v>
      </c>
      <c r="I1676" s="3" t="s">
        <v>62</v>
      </c>
      <c r="J1676" s="3" t="s">
        <v>62</v>
      </c>
      <c r="K1676" s="3" t="s">
        <v>63</v>
      </c>
      <c r="L1676" s="2" t="s">
        <v>16074</v>
      </c>
      <c r="M1676" s="2" t="s">
        <v>16075</v>
      </c>
      <c r="N1676" s="3" t="s">
        <v>1253</v>
      </c>
      <c r="P1676" s="3" t="s">
        <v>65</v>
      </c>
      <c r="Q1676" s="2" t="s">
        <v>16076</v>
      </c>
      <c r="R1676" s="3" t="s">
        <v>66</v>
      </c>
      <c r="S1676" s="4">
        <v>11</v>
      </c>
      <c r="T1676" s="4">
        <v>11</v>
      </c>
      <c r="U1676" s="5" t="s">
        <v>16077</v>
      </c>
      <c r="V1676" s="5" t="s">
        <v>16077</v>
      </c>
      <c r="W1676" s="5" t="s">
        <v>67</v>
      </c>
      <c r="X1676" s="5" t="s">
        <v>67</v>
      </c>
      <c r="Y1676" s="4">
        <v>298</v>
      </c>
      <c r="Z1676" s="4">
        <v>19</v>
      </c>
      <c r="AA1676" s="4">
        <v>20</v>
      </c>
      <c r="AB1676" s="4">
        <v>2</v>
      </c>
      <c r="AC1676" s="4">
        <v>2</v>
      </c>
      <c r="AD1676" s="4">
        <v>99</v>
      </c>
      <c r="AE1676" s="4">
        <v>102</v>
      </c>
      <c r="AF1676" s="4">
        <v>1</v>
      </c>
      <c r="AG1676" s="4">
        <v>1</v>
      </c>
      <c r="AH1676" s="4">
        <v>88</v>
      </c>
      <c r="AI1676" s="4">
        <v>90</v>
      </c>
      <c r="AJ1676" s="4">
        <v>15</v>
      </c>
      <c r="AK1676" s="4">
        <v>15</v>
      </c>
      <c r="AL1676" s="4">
        <v>45</v>
      </c>
      <c r="AM1676" s="4">
        <v>47</v>
      </c>
      <c r="AN1676" s="4">
        <v>0</v>
      </c>
      <c r="AO1676" s="4">
        <v>0</v>
      </c>
      <c r="AP1676" s="4">
        <v>16</v>
      </c>
      <c r="AQ1676" s="4">
        <v>17</v>
      </c>
      <c r="AR1676" s="3" t="s">
        <v>62</v>
      </c>
      <c r="AS1676" s="3" t="s">
        <v>62</v>
      </c>
      <c r="AT1676" s="3" t="s">
        <v>62</v>
      </c>
      <c r="AV1676" s="6" t="str">
        <f>HYPERLINK("http://mcgill.on.worldcat.org/oclc/35084415","Catalog Record")</f>
        <v>Catalog Record</v>
      </c>
      <c r="AW1676" s="6" t="str">
        <f>HYPERLINK("http://www.worldcat.org/oclc/35084415","WorldCat Record")</f>
        <v>WorldCat Record</v>
      </c>
      <c r="AX1676" s="3" t="s">
        <v>16078</v>
      </c>
      <c r="AY1676" s="3" t="s">
        <v>16079</v>
      </c>
      <c r="AZ1676" s="3" t="s">
        <v>16080</v>
      </c>
      <c r="BA1676" s="3" t="s">
        <v>16080</v>
      </c>
      <c r="BB1676" s="3" t="s">
        <v>16081</v>
      </c>
      <c r="BC1676" s="3" t="s">
        <v>142</v>
      </c>
      <c r="BD1676" s="3" t="s">
        <v>68</v>
      </c>
      <c r="BE1676" s="3" t="s">
        <v>16082</v>
      </c>
      <c r="BF1676" s="3" t="s">
        <v>16081</v>
      </c>
      <c r="BG1676" s="3" t="s">
        <v>16083</v>
      </c>
    </row>
    <row r="1677" spans="1:59" ht="57" x14ac:dyDescent="0.45">
      <c r="A1677" s="2" t="s">
        <v>59</v>
      </c>
      <c r="B1677" s="2" t="s">
        <v>60</v>
      </c>
      <c r="C1677" s="2" t="s">
        <v>16084</v>
      </c>
      <c r="D1677" s="2" t="s">
        <v>16085</v>
      </c>
      <c r="E1677" s="2" t="s">
        <v>16086</v>
      </c>
      <c r="G1677" s="3" t="s">
        <v>62</v>
      </c>
      <c r="I1677" s="3" t="s">
        <v>62</v>
      </c>
      <c r="J1677" s="3" t="s">
        <v>62</v>
      </c>
      <c r="K1677" s="3" t="s">
        <v>63</v>
      </c>
      <c r="M1677" s="2" t="s">
        <v>16087</v>
      </c>
      <c r="N1677" s="3" t="s">
        <v>568</v>
      </c>
      <c r="P1677" s="3" t="s">
        <v>65</v>
      </c>
      <c r="R1677" s="3" t="s">
        <v>66</v>
      </c>
      <c r="S1677" s="4">
        <v>32</v>
      </c>
      <c r="T1677" s="4">
        <v>32</v>
      </c>
      <c r="U1677" s="5" t="s">
        <v>16077</v>
      </c>
      <c r="V1677" s="5" t="s">
        <v>16077</v>
      </c>
      <c r="W1677" s="5" t="s">
        <v>67</v>
      </c>
      <c r="X1677" s="5" t="s">
        <v>67</v>
      </c>
      <c r="Y1677" s="4">
        <v>342</v>
      </c>
      <c r="Z1677" s="4">
        <v>22</v>
      </c>
      <c r="AA1677" s="4">
        <v>31</v>
      </c>
      <c r="AB1677" s="4">
        <v>2</v>
      </c>
      <c r="AC1677" s="4">
        <v>10</v>
      </c>
      <c r="AD1677" s="4">
        <v>96</v>
      </c>
      <c r="AE1677" s="4">
        <v>102</v>
      </c>
      <c r="AF1677" s="4">
        <v>1</v>
      </c>
      <c r="AG1677" s="4">
        <v>6</v>
      </c>
      <c r="AH1677" s="4">
        <v>86</v>
      </c>
      <c r="AI1677" s="4">
        <v>87</v>
      </c>
      <c r="AJ1677" s="4">
        <v>14</v>
      </c>
      <c r="AK1677" s="4">
        <v>19</v>
      </c>
      <c r="AL1677" s="4">
        <v>48</v>
      </c>
      <c r="AM1677" s="4">
        <v>48</v>
      </c>
      <c r="AN1677" s="4">
        <v>0</v>
      </c>
      <c r="AO1677" s="4">
        <v>0</v>
      </c>
      <c r="AP1677" s="4">
        <v>18</v>
      </c>
      <c r="AQ1677" s="4">
        <v>23</v>
      </c>
      <c r="AR1677" s="3" t="s">
        <v>62</v>
      </c>
      <c r="AS1677" s="3" t="s">
        <v>62</v>
      </c>
      <c r="AT1677" s="3" t="s">
        <v>62</v>
      </c>
      <c r="AV1677" s="6" t="str">
        <f>HYPERLINK("http://mcgill.on.worldcat.org/oclc/14518469","Catalog Record")</f>
        <v>Catalog Record</v>
      </c>
      <c r="AW1677" s="6" t="str">
        <f>HYPERLINK("http://www.worldcat.org/oclc/14518469","WorldCat Record")</f>
        <v>WorldCat Record</v>
      </c>
      <c r="AX1677" s="3" t="s">
        <v>16088</v>
      </c>
      <c r="AY1677" s="3" t="s">
        <v>16089</v>
      </c>
      <c r="AZ1677" s="3" t="s">
        <v>16090</v>
      </c>
      <c r="BA1677" s="3" t="s">
        <v>16090</v>
      </c>
      <c r="BB1677" s="3" t="s">
        <v>16091</v>
      </c>
      <c r="BC1677" s="3" t="s">
        <v>142</v>
      </c>
      <c r="BD1677" s="3" t="s">
        <v>68</v>
      </c>
      <c r="BE1677" s="3" t="s">
        <v>16092</v>
      </c>
      <c r="BF1677" s="3" t="s">
        <v>16091</v>
      </c>
      <c r="BG1677" s="3" t="s">
        <v>16093</v>
      </c>
    </row>
    <row r="1678" spans="1:59" ht="57" x14ac:dyDescent="0.45">
      <c r="A1678" s="2" t="s">
        <v>59</v>
      </c>
      <c r="B1678" s="2" t="s">
        <v>60</v>
      </c>
      <c r="C1678" s="2" t="s">
        <v>16094</v>
      </c>
      <c r="D1678" s="2" t="s">
        <v>16095</v>
      </c>
      <c r="E1678" s="2" t="s">
        <v>16096</v>
      </c>
      <c r="G1678" s="3" t="s">
        <v>62</v>
      </c>
      <c r="I1678" s="3" t="s">
        <v>62</v>
      </c>
      <c r="J1678" s="3" t="s">
        <v>62</v>
      </c>
      <c r="K1678" s="3" t="s">
        <v>63</v>
      </c>
      <c r="L1678" s="2" t="s">
        <v>16097</v>
      </c>
      <c r="M1678" s="2" t="s">
        <v>16098</v>
      </c>
      <c r="N1678" s="3" t="s">
        <v>2417</v>
      </c>
      <c r="P1678" s="3" t="s">
        <v>65</v>
      </c>
      <c r="R1678" s="3" t="s">
        <v>66</v>
      </c>
      <c r="S1678" s="4">
        <v>19</v>
      </c>
      <c r="T1678" s="4">
        <v>19</v>
      </c>
      <c r="U1678" s="5" t="s">
        <v>16077</v>
      </c>
      <c r="V1678" s="5" t="s">
        <v>16077</v>
      </c>
      <c r="W1678" s="5" t="s">
        <v>67</v>
      </c>
      <c r="X1678" s="5" t="s">
        <v>67</v>
      </c>
      <c r="Y1678" s="4">
        <v>398</v>
      </c>
      <c r="Z1678" s="4">
        <v>26</v>
      </c>
      <c r="AA1678" s="4">
        <v>27</v>
      </c>
      <c r="AB1678" s="4">
        <v>3</v>
      </c>
      <c r="AC1678" s="4">
        <v>4</v>
      </c>
      <c r="AD1678" s="4">
        <v>121</v>
      </c>
      <c r="AE1678" s="4">
        <v>122</v>
      </c>
      <c r="AF1678" s="4">
        <v>1</v>
      </c>
      <c r="AG1678" s="4">
        <v>2</v>
      </c>
      <c r="AH1678" s="4">
        <v>105</v>
      </c>
      <c r="AI1678" s="4">
        <v>105</v>
      </c>
      <c r="AJ1678" s="4">
        <v>17</v>
      </c>
      <c r="AK1678" s="4">
        <v>18</v>
      </c>
      <c r="AL1678" s="4">
        <v>60</v>
      </c>
      <c r="AM1678" s="4">
        <v>60</v>
      </c>
      <c r="AN1678" s="4">
        <v>0</v>
      </c>
      <c r="AO1678" s="4">
        <v>0</v>
      </c>
      <c r="AP1678" s="4">
        <v>21</v>
      </c>
      <c r="AQ1678" s="4">
        <v>21</v>
      </c>
      <c r="AR1678" s="3" t="s">
        <v>62</v>
      </c>
      <c r="AS1678" s="3" t="s">
        <v>62</v>
      </c>
      <c r="AT1678" s="3" t="s">
        <v>62</v>
      </c>
      <c r="AV1678" s="6" t="str">
        <f>HYPERLINK("http://mcgill.on.worldcat.org/oclc/17200141","Catalog Record")</f>
        <v>Catalog Record</v>
      </c>
      <c r="AW1678" s="6" t="str">
        <f>HYPERLINK("http://www.worldcat.org/oclc/17200141","WorldCat Record")</f>
        <v>WorldCat Record</v>
      </c>
      <c r="AX1678" s="3" t="s">
        <v>16099</v>
      </c>
      <c r="AY1678" s="3" t="s">
        <v>16100</v>
      </c>
      <c r="AZ1678" s="3" t="s">
        <v>16101</v>
      </c>
      <c r="BA1678" s="3" t="s">
        <v>16101</v>
      </c>
      <c r="BB1678" s="3" t="s">
        <v>16102</v>
      </c>
      <c r="BC1678" s="3" t="s">
        <v>142</v>
      </c>
      <c r="BD1678" s="3" t="s">
        <v>68</v>
      </c>
      <c r="BE1678" s="3" t="s">
        <v>16103</v>
      </c>
      <c r="BF1678" s="3" t="s">
        <v>16102</v>
      </c>
      <c r="BG1678" s="3" t="s">
        <v>16104</v>
      </c>
    </row>
    <row r="1679" spans="1:59" ht="57" x14ac:dyDescent="0.45">
      <c r="A1679" s="2" t="s">
        <v>59</v>
      </c>
      <c r="B1679" s="2" t="s">
        <v>60</v>
      </c>
      <c r="C1679" s="2" t="s">
        <v>16105</v>
      </c>
      <c r="D1679" s="2" t="s">
        <v>16106</v>
      </c>
      <c r="E1679" s="2" t="s">
        <v>16107</v>
      </c>
      <c r="G1679" s="3" t="s">
        <v>62</v>
      </c>
      <c r="I1679" s="3" t="s">
        <v>62</v>
      </c>
      <c r="J1679" s="3" t="s">
        <v>62</v>
      </c>
      <c r="K1679" s="3" t="s">
        <v>63</v>
      </c>
      <c r="M1679" s="2" t="s">
        <v>16108</v>
      </c>
      <c r="N1679" s="3" t="s">
        <v>820</v>
      </c>
      <c r="P1679" s="3" t="s">
        <v>65</v>
      </c>
      <c r="R1679" s="3" t="s">
        <v>66</v>
      </c>
      <c r="S1679" s="4">
        <v>2</v>
      </c>
      <c r="T1679" s="4">
        <v>2</v>
      </c>
      <c r="U1679" s="5" t="s">
        <v>16109</v>
      </c>
      <c r="V1679" s="5" t="s">
        <v>16109</v>
      </c>
      <c r="W1679" s="5" t="s">
        <v>67</v>
      </c>
      <c r="X1679" s="5" t="s">
        <v>67</v>
      </c>
      <c r="Y1679" s="4">
        <v>145</v>
      </c>
      <c r="Z1679" s="4">
        <v>17</v>
      </c>
      <c r="AA1679" s="4">
        <v>103</v>
      </c>
      <c r="AB1679" s="4">
        <v>1</v>
      </c>
      <c r="AC1679" s="4">
        <v>18</v>
      </c>
      <c r="AD1679" s="4">
        <v>62</v>
      </c>
      <c r="AE1679" s="4">
        <v>135</v>
      </c>
      <c r="AF1679" s="4">
        <v>0</v>
      </c>
      <c r="AG1679" s="4">
        <v>8</v>
      </c>
      <c r="AH1679" s="4">
        <v>56</v>
      </c>
      <c r="AI1679" s="4">
        <v>94</v>
      </c>
      <c r="AJ1679" s="4">
        <v>12</v>
      </c>
      <c r="AK1679" s="4">
        <v>26</v>
      </c>
      <c r="AL1679" s="4">
        <v>32</v>
      </c>
      <c r="AM1679" s="4">
        <v>49</v>
      </c>
      <c r="AN1679" s="4">
        <v>0</v>
      </c>
      <c r="AO1679" s="4">
        <v>0</v>
      </c>
      <c r="AP1679" s="4">
        <v>13</v>
      </c>
      <c r="AQ1679" s="4">
        <v>51</v>
      </c>
      <c r="AR1679" s="3" t="s">
        <v>62</v>
      </c>
      <c r="AS1679" s="3" t="s">
        <v>62</v>
      </c>
      <c r="AT1679" s="3" t="s">
        <v>62</v>
      </c>
      <c r="AV1679" s="6" t="str">
        <f>HYPERLINK("http://mcgill.on.worldcat.org/oclc/184821883","Catalog Record")</f>
        <v>Catalog Record</v>
      </c>
      <c r="AW1679" s="6" t="str">
        <f>HYPERLINK("http://www.worldcat.org/oclc/184821883","WorldCat Record")</f>
        <v>WorldCat Record</v>
      </c>
      <c r="AX1679" s="3" t="s">
        <v>16110</v>
      </c>
      <c r="AY1679" s="3" t="s">
        <v>16111</v>
      </c>
      <c r="AZ1679" s="3" t="s">
        <v>16112</v>
      </c>
      <c r="BA1679" s="3" t="s">
        <v>16112</v>
      </c>
      <c r="BB1679" s="3" t="s">
        <v>16113</v>
      </c>
      <c r="BC1679" s="3" t="s">
        <v>142</v>
      </c>
      <c r="BD1679" s="3" t="s">
        <v>68</v>
      </c>
      <c r="BE1679" s="3" t="s">
        <v>16114</v>
      </c>
      <c r="BF1679" s="3" t="s">
        <v>16113</v>
      </c>
      <c r="BG1679" s="3" t="s">
        <v>16115</v>
      </c>
    </row>
    <row r="1680" spans="1:59" ht="57" x14ac:dyDescent="0.45">
      <c r="A1680" s="2" t="s">
        <v>59</v>
      </c>
      <c r="B1680" s="2" t="s">
        <v>60</v>
      </c>
      <c r="C1680" s="2" t="s">
        <v>16116</v>
      </c>
      <c r="D1680" s="2" t="s">
        <v>16117</v>
      </c>
      <c r="E1680" s="2" t="s">
        <v>16118</v>
      </c>
      <c r="G1680" s="3" t="s">
        <v>62</v>
      </c>
      <c r="I1680" s="3" t="s">
        <v>62</v>
      </c>
      <c r="J1680" s="3" t="s">
        <v>62</v>
      </c>
      <c r="K1680" s="3" t="s">
        <v>63</v>
      </c>
      <c r="M1680" s="2" t="s">
        <v>16119</v>
      </c>
      <c r="N1680" s="3" t="s">
        <v>149</v>
      </c>
      <c r="P1680" s="3" t="s">
        <v>65</v>
      </c>
      <c r="R1680" s="3" t="s">
        <v>66</v>
      </c>
      <c r="S1680" s="4">
        <v>4</v>
      </c>
      <c r="T1680" s="4">
        <v>4</v>
      </c>
      <c r="U1680" s="5" t="s">
        <v>158</v>
      </c>
      <c r="V1680" s="5" t="s">
        <v>158</v>
      </c>
      <c r="W1680" s="5" t="s">
        <v>67</v>
      </c>
      <c r="X1680" s="5" t="s">
        <v>67</v>
      </c>
      <c r="Y1680" s="4">
        <v>205</v>
      </c>
      <c r="Z1680" s="4">
        <v>21</v>
      </c>
      <c r="AA1680" s="4">
        <v>24</v>
      </c>
      <c r="AB1680" s="4">
        <v>2</v>
      </c>
      <c r="AC1680" s="4">
        <v>5</v>
      </c>
      <c r="AD1680" s="4">
        <v>91</v>
      </c>
      <c r="AE1680" s="4">
        <v>92</v>
      </c>
      <c r="AF1680" s="4">
        <v>1</v>
      </c>
      <c r="AG1680" s="4">
        <v>2</v>
      </c>
      <c r="AH1680" s="4">
        <v>82</v>
      </c>
      <c r="AI1680" s="4">
        <v>82</v>
      </c>
      <c r="AJ1680" s="4">
        <v>17</v>
      </c>
      <c r="AK1680" s="4">
        <v>18</v>
      </c>
      <c r="AL1680" s="4">
        <v>43</v>
      </c>
      <c r="AM1680" s="4">
        <v>43</v>
      </c>
      <c r="AN1680" s="4">
        <v>0</v>
      </c>
      <c r="AO1680" s="4">
        <v>0</v>
      </c>
      <c r="AP1680" s="4">
        <v>18</v>
      </c>
      <c r="AQ1680" s="4">
        <v>19</v>
      </c>
      <c r="AR1680" s="3" t="s">
        <v>62</v>
      </c>
      <c r="AS1680" s="3" t="s">
        <v>62</v>
      </c>
      <c r="AT1680" s="3" t="s">
        <v>62</v>
      </c>
      <c r="AV1680" s="6" t="str">
        <f>HYPERLINK("http://mcgill.on.worldcat.org/oclc/645493115","Catalog Record")</f>
        <v>Catalog Record</v>
      </c>
      <c r="AW1680" s="6" t="str">
        <f>HYPERLINK("http://www.worldcat.org/oclc/645493115","WorldCat Record")</f>
        <v>WorldCat Record</v>
      </c>
      <c r="AX1680" s="3" t="s">
        <v>16120</v>
      </c>
      <c r="AY1680" s="3" t="s">
        <v>16121</v>
      </c>
      <c r="AZ1680" s="3" t="s">
        <v>16122</v>
      </c>
      <c r="BA1680" s="3" t="s">
        <v>16122</v>
      </c>
      <c r="BB1680" s="3" t="s">
        <v>16123</v>
      </c>
      <c r="BC1680" s="3" t="s">
        <v>142</v>
      </c>
      <c r="BD1680" s="3" t="s">
        <v>68</v>
      </c>
      <c r="BE1680" s="3" t="s">
        <v>16124</v>
      </c>
      <c r="BF1680" s="3" t="s">
        <v>16123</v>
      </c>
      <c r="BG1680" s="3" t="s">
        <v>16125</v>
      </c>
    </row>
    <row r="1681" spans="1:59" ht="57" x14ac:dyDescent="0.45">
      <c r="A1681" s="2" t="s">
        <v>59</v>
      </c>
      <c r="B1681" s="2" t="s">
        <v>60</v>
      </c>
      <c r="C1681" s="2" t="s">
        <v>16126</v>
      </c>
      <c r="D1681" s="2" t="s">
        <v>16127</v>
      </c>
      <c r="E1681" s="2" t="s">
        <v>16128</v>
      </c>
      <c r="G1681" s="3" t="s">
        <v>62</v>
      </c>
      <c r="I1681" s="3" t="s">
        <v>62</v>
      </c>
      <c r="J1681" s="3" t="s">
        <v>61</v>
      </c>
      <c r="K1681" s="3" t="s">
        <v>63</v>
      </c>
      <c r="L1681" s="2" t="s">
        <v>14061</v>
      </c>
      <c r="M1681" s="2" t="s">
        <v>16129</v>
      </c>
      <c r="N1681" s="3" t="s">
        <v>149</v>
      </c>
      <c r="O1681" s="2" t="s">
        <v>933</v>
      </c>
      <c r="P1681" s="3" t="s">
        <v>65</v>
      </c>
      <c r="R1681" s="3" t="s">
        <v>66</v>
      </c>
      <c r="S1681" s="4">
        <v>2</v>
      </c>
      <c r="T1681" s="4">
        <v>2</v>
      </c>
      <c r="U1681" s="5" t="s">
        <v>16130</v>
      </c>
      <c r="V1681" s="5" t="s">
        <v>16130</v>
      </c>
      <c r="W1681" s="5" t="s">
        <v>67</v>
      </c>
      <c r="X1681" s="5" t="s">
        <v>67</v>
      </c>
      <c r="Y1681" s="4">
        <v>97</v>
      </c>
      <c r="Z1681" s="4">
        <v>9</v>
      </c>
      <c r="AA1681" s="4">
        <v>21</v>
      </c>
      <c r="AB1681" s="4">
        <v>2</v>
      </c>
      <c r="AC1681" s="4">
        <v>3</v>
      </c>
      <c r="AD1681" s="4">
        <v>28</v>
      </c>
      <c r="AE1681" s="4">
        <v>91</v>
      </c>
      <c r="AF1681" s="4">
        <v>0</v>
      </c>
      <c r="AG1681" s="4">
        <v>1</v>
      </c>
      <c r="AH1681" s="4">
        <v>25</v>
      </c>
      <c r="AI1681" s="4">
        <v>82</v>
      </c>
      <c r="AJ1681" s="4">
        <v>7</v>
      </c>
      <c r="AK1681" s="4">
        <v>13</v>
      </c>
      <c r="AL1681" s="4">
        <v>21</v>
      </c>
      <c r="AM1681" s="4">
        <v>47</v>
      </c>
      <c r="AN1681" s="4">
        <v>0</v>
      </c>
      <c r="AO1681" s="4">
        <v>0</v>
      </c>
      <c r="AP1681" s="4">
        <v>7</v>
      </c>
      <c r="AQ1681" s="4">
        <v>16</v>
      </c>
      <c r="AR1681" s="3" t="s">
        <v>62</v>
      </c>
      <c r="AS1681" s="3" t="s">
        <v>62</v>
      </c>
      <c r="AT1681" s="3" t="s">
        <v>62</v>
      </c>
      <c r="AV1681" s="6" t="str">
        <f>HYPERLINK("http://mcgill.on.worldcat.org/oclc/277068325","Catalog Record")</f>
        <v>Catalog Record</v>
      </c>
      <c r="AW1681" s="6" t="str">
        <f>HYPERLINK("http://www.worldcat.org/oclc/277068325","WorldCat Record")</f>
        <v>WorldCat Record</v>
      </c>
      <c r="AX1681" s="3" t="s">
        <v>16131</v>
      </c>
      <c r="AY1681" s="3" t="s">
        <v>16132</v>
      </c>
      <c r="AZ1681" s="3" t="s">
        <v>16133</v>
      </c>
      <c r="BA1681" s="3" t="s">
        <v>16133</v>
      </c>
      <c r="BB1681" s="3" t="s">
        <v>16134</v>
      </c>
      <c r="BC1681" s="3" t="s">
        <v>142</v>
      </c>
      <c r="BD1681" s="3" t="s">
        <v>68</v>
      </c>
      <c r="BE1681" s="3" t="s">
        <v>16135</v>
      </c>
      <c r="BF1681" s="3" t="s">
        <v>16134</v>
      </c>
      <c r="BG1681" s="3" t="s">
        <v>16136</v>
      </c>
    </row>
    <row r="1682" spans="1:59" ht="57" x14ac:dyDescent="0.45">
      <c r="A1682" s="2" t="s">
        <v>59</v>
      </c>
      <c r="B1682" s="2" t="s">
        <v>60</v>
      </c>
      <c r="C1682" s="2" t="s">
        <v>16137</v>
      </c>
      <c r="D1682" s="2" t="s">
        <v>16138</v>
      </c>
      <c r="E1682" s="2" t="s">
        <v>16139</v>
      </c>
      <c r="G1682" s="3" t="s">
        <v>62</v>
      </c>
      <c r="I1682" s="3" t="s">
        <v>62</v>
      </c>
      <c r="J1682" s="3" t="s">
        <v>62</v>
      </c>
      <c r="K1682" s="3" t="s">
        <v>63</v>
      </c>
      <c r="L1682" s="2" t="s">
        <v>16140</v>
      </c>
      <c r="M1682" s="2" t="s">
        <v>16141</v>
      </c>
      <c r="N1682" s="3" t="s">
        <v>1155</v>
      </c>
      <c r="P1682" s="3" t="s">
        <v>65</v>
      </c>
      <c r="Q1682" s="2" t="s">
        <v>16142</v>
      </c>
      <c r="R1682" s="3" t="s">
        <v>66</v>
      </c>
      <c r="S1682" s="4">
        <v>0</v>
      </c>
      <c r="T1682" s="4">
        <v>0</v>
      </c>
      <c r="W1682" s="5" t="s">
        <v>67</v>
      </c>
      <c r="X1682" s="5" t="s">
        <v>67</v>
      </c>
      <c r="Y1682" s="4">
        <v>131</v>
      </c>
      <c r="Z1682" s="4">
        <v>12</v>
      </c>
      <c r="AA1682" s="4">
        <v>77</v>
      </c>
      <c r="AB1682" s="4">
        <v>1</v>
      </c>
      <c r="AC1682" s="4">
        <v>14</v>
      </c>
      <c r="AD1682" s="4">
        <v>62</v>
      </c>
      <c r="AE1682" s="4">
        <v>119</v>
      </c>
      <c r="AF1682" s="4">
        <v>0</v>
      </c>
      <c r="AG1682" s="4">
        <v>8</v>
      </c>
      <c r="AH1682" s="4">
        <v>59</v>
      </c>
      <c r="AI1682" s="4">
        <v>89</v>
      </c>
      <c r="AJ1682" s="4">
        <v>9</v>
      </c>
      <c r="AK1682" s="4">
        <v>22</v>
      </c>
      <c r="AL1682" s="4">
        <v>39</v>
      </c>
      <c r="AM1682" s="4">
        <v>50</v>
      </c>
      <c r="AN1682" s="4">
        <v>0</v>
      </c>
      <c r="AO1682" s="4">
        <v>0</v>
      </c>
      <c r="AP1682" s="4">
        <v>9</v>
      </c>
      <c r="AQ1682" s="4">
        <v>39</v>
      </c>
      <c r="AR1682" s="3" t="s">
        <v>62</v>
      </c>
      <c r="AS1682" s="3" t="s">
        <v>62</v>
      </c>
      <c r="AT1682" s="3" t="s">
        <v>62</v>
      </c>
      <c r="AV1682" s="6" t="str">
        <f>HYPERLINK("http://mcgill.on.worldcat.org/oclc/755004190","Catalog Record")</f>
        <v>Catalog Record</v>
      </c>
      <c r="AW1682" s="6" t="str">
        <f>HYPERLINK("http://www.worldcat.org/oclc/755004190","WorldCat Record")</f>
        <v>WorldCat Record</v>
      </c>
      <c r="AX1682" s="3" t="s">
        <v>16143</v>
      </c>
      <c r="AY1682" s="3" t="s">
        <v>16144</v>
      </c>
      <c r="AZ1682" s="3" t="s">
        <v>16145</v>
      </c>
      <c r="BA1682" s="3" t="s">
        <v>16145</v>
      </c>
      <c r="BB1682" s="3" t="s">
        <v>16146</v>
      </c>
      <c r="BC1682" s="3" t="s">
        <v>142</v>
      </c>
      <c r="BD1682" s="3" t="s">
        <v>68</v>
      </c>
      <c r="BE1682" s="3" t="s">
        <v>16147</v>
      </c>
      <c r="BF1682" s="3" t="s">
        <v>16146</v>
      </c>
      <c r="BG1682" s="3" t="s">
        <v>16148</v>
      </c>
    </row>
    <row r="1683" spans="1:59" ht="57" x14ac:dyDescent="0.45">
      <c r="A1683" s="2" t="s">
        <v>59</v>
      </c>
      <c r="B1683" s="2" t="s">
        <v>60</v>
      </c>
      <c r="C1683" s="2" t="s">
        <v>16149</v>
      </c>
      <c r="D1683" s="2" t="s">
        <v>16150</v>
      </c>
      <c r="E1683" s="2" t="s">
        <v>16151</v>
      </c>
      <c r="G1683" s="3" t="s">
        <v>62</v>
      </c>
      <c r="I1683" s="3" t="s">
        <v>62</v>
      </c>
      <c r="J1683" s="3" t="s">
        <v>62</v>
      </c>
      <c r="K1683" s="3" t="s">
        <v>63</v>
      </c>
      <c r="L1683" s="2" t="s">
        <v>16152</v>
      </c>
      <c r="M1683" s="2" t="s">
        <v>16153</v>
      </c>
      <c r="N1683" s="3" t="s">
        <v>1478</v>
      </c>
      <c r="P1683" s="3" t="s">
        <v>65</v>
      </c>
      <c r="Q1683" s="2" t="s">
        <v>16154</v>
      </c>
      <c r="R1683" s="3" t="s">
        <v>66</v>
      </c>
      <c r="S1683" s="4">
        <v>1</v>
      </c>
      <c r="T1683" s="4">
        <v>1</v>
      </c>
      <c r="U1683" s="5" t="s">
        <v>4094</v>
      </c>
      <c r="V1683" s="5" t="s">
        <v>4094</v>
      </c>
      <c r="W1683" s="5" t="s">
        <v>67</v>
      </c>
      <c r="X1683" s="5" t="s">
        <v>67</v>
      </c>
      <c r="Y1683" s="4">
        <v>278</v>
      </c>
      <c r="Z1683" s="4">
        <v>20</v>
      </c>
      <c r="AA1683" s="4">
        <v>25</v>
      </c>
      <c r="AB1683" s="4">
        <v>2</v>
      </c>
      <c r="AC1683" s="4">
        <v>2</v>
      </c>
      <c r="AD1683" s="4">
        <v>93</v>
      </c>
      <c r="AE1683" s="4">
        <v>112</v>
      </c>
      <c r="AF1683" s="4">
        <v>1</v>
      </c>
      <c r="AG1683" s="4">
        <v>1</v>
      </c>
      <c r="AH1683" s="4">
        <v>84</v>
      </c>
      <c r="AI1683" s="4">
        <v>99</v>
      </c>
      <c r="AJ1683" s="4">
        <v>13</v>
      </c>
      <c r="AK1683" s="4">
        <v>18</v>
      </c>
      <c r="AL1683" s="4">
        <v>44</v>
      </c>
      <c r="AM1683" s="4">
        <v>53</v>
      </c>
      <c r="AN1683" s="4">
        <v>0</v>
      </c>
      <c r="AO1683" s="4">
        <v>0</v>
      </c>
      <c r="AP1683" s="4">
        <v>16</v>
      </c>
      <c r="AQ1683" s="4">
        <v>21</v>
      </c>
      <c r="AR1683" s="3" t="s">
        <v>62</v>
      </c>
      <c r="AS1683" s="3" t="s">
        <v>62</v>
      </c>
      <c r="AT1683" s="3" t="s">
        <v>62</v>
      </c>
      <c r="AV1683" s="6" t="str">
        <f>HYPERLINK("http://mcgill.on.worldcat.org/oclc/34413045","Catalog Record")</f>
        <v>Catalog Record</v>
      </c>
      <c r="AW1683" s="6" t="str">
        <f>HYPERLINK("http://www.worldcat.org/oclc/34413045","WorldCat Record")</f>
        <v>WorldCat Record</v>
      </c>
      <c r="AX1683" s="3" t="s">
        <v>16155</v>
      </c>
      <c r="AY1683" s="3" t="s">
        <v>16156</v>
      </c>
      <c r="AZ1683" s="3" t="s">
        <v>16157</v>
      </c>
      <c r="BA1683" s="3" t="s">
        <v>16157</v>
      </c>
      <c r="BB1683" s="3" t="s">
        <v>16158</v>
      </c>
      <c r="BC1683" s="3" t="s">
        <v>142</v>
      </c>
      <c r="BD1683" s="3" t="s">
        <v>68</v>
      </c>
      <c r="BE1683" s="3" t="s">
        <v>16159</v>
      </c>
      <c r="BF1683" s="3" t="s">
        <v>16158</v>
      </c>
      <c r="BG1683" s="3" t="s">
        <v>16160</v>
      </c>
    </row>
    <row r="1684" spans="1:59" ht="57" x14ac:dyDescent="0.45">
      <c r="A1684" s="2" t="s">
        <v>59</v>
      </c>
      <c r="B1684" s="2" t="s">
        <v>60</v>
      </c>
      <c r="C1684" s="2" t="s">
        <v>16161</v>
      </c>
      <c r="D1684" s="2" t="s">
        <v>16162</v>
      </c>
      <c r="E1684" s="2" t="s">
        <v>16163</v>
      </c>
      <c r="G1684" s="3" t="s">
        <v>62</v>
      </c>
      <c r="I1684" s="3" t="s">
        <v>62</v>
      </c>
      <c r="J1684" s="3" t="s">
        <v>62</v>
      </c>
      <c r="K1684" s="3" t="s">
        <v>63</v>
      </c>
      <c r="L1684" s="2" t="s">
        <v>16164</v>
      </c>
      <c r="M1684" s="2" t="s">
        <v>16165</v>
      </c>
      <c r="N1684" s="3" t="s">
        <v>195</v>
      </c>
      <c r="P1684" s="3" t="s">
        <v>65</v>
      </c>
      <c r="R1684" s="3" t="s">
        <v>66</v>
      </c>
      <c r="S1684" s="4">
        <v>5</v>
      </c>
      <c r="T1684" s="4">
        <v>5</v>
      </c>
      <c r="U1684" s="5" t="s">
        <v>15578</v>
      </c>
      <c r="V1684" s="5" t="s">
        <v>15578</v>
      </c>
      <c r="W1684" s="5" t="s">
        <v>67</v>
      </c>
      <c r="X1684" s="5" t="s">
        <v>67</v>
      </c>
      <c r="Y1684" s="4">
        <v>238</v>
      </c>
      <c r="Z1684" s="4">
        <v>12</v>
      </c>
      <c r="AA1684" s="4">
        <v>13</v>
      </c>
      <c r="AB1684" s="4">
        <v>1</v>
      </c>
      <c r="AC1684" s="4">
        <v>2</v>
      </c>
      <c r="AD1684" s="4">
        <v>92</v>
      </c>
      <c r="AE1684" s="4">
        <v>93</v>
      </c>
      <c r="AF1684" s="4">
        <v>0</v>
      </c>
      <c r="AG1684" s="4">
        <v>1</v>
      </c>
      <c r="AH1684" s="4">
        <v>87</v>
      </c>
      <c r="AI1684" s="4">
        <v>88</v>
      </c>
      <c r="AJ1684" s="4">
        <v>10</v>
      </c>
      <c r="AK1684" s="4">
        <v>11</v>
      </c>
      <c r="AL1684" s="4">
        <v>47</v>
      </c>
      <c r="AM1684" s="4">
        <v>47</v>
      </c>
      <c r="AN1684" s="4">
        <v>0</v>
      </c>
      <c r="AO1684" s="4">
        <v>0</v>
      </c>
      <c r="AP1684" s="4">
        <v>10</v>
      </c>
      <c r="AQ1684" s="4">
        <v>11</v>
      </c>
      <c r="AR1684" s="3" t="s">
        <v>62</v>
      </c>
      <c r="AS1684" s="3" t="s">
        <v>62</v>
      </c>
      <c r="AT1684" s="3" t="s">
        <v>61</v>
      </c>
      <c r="AU1684" s="6" t="str">
        <f>HYPERLINK("http://catalog.hathitrust.org/Record/002606114","HathiTrust Record")</f>
        <v>HathiTrust Record</v>
      </c>
      <c r="AV1684" s="6" t="str">
        <f>HYPERLINK("http://mcgill.on.worldcat.org/oclc/25965129","Catalog Record")</f>
        <v>Catalog Record</v>
      </c>
      <c r="AW1684" s="6" t="str">
        <f>HYPERLINK("http://www.worldcat.org/oclc/25965129","WorldCat Record")</f>
        <v>WorldCat Record</v>
      </c>
      <c r="AX1684" s="3" t="s">
        <v>16166</v>
      </c>
      <c r="AY1684" s="3" t="s">
        <v>16167</v>
      </c>
      <c r="AZ1684" s="3" t="s">
        <v>16168</v>
      </c>
      <c r="BA1684" s="3" t="s">
        <v>16168</v>
      </c>
      <c r="BB1684" s="3" t="s">
        <v>16169</v>
      </c>
      <c r="BC1684" s="3" t="s">
        <v>142</v>
      </c>
      <c r="BD1684" s="3" t="s">
        <v>68</v>
      </c>
      <c r="BE1684" s="3" t="s">
        <v>16170</v>
      </c>
      <c r="BF1684" s="3" t="s">
        <v>16169</v>
      </c>
      <c r="BG1684" s="3" t="s">
        <v>16171</v>
      </c>
    </row>
    <row r="1685" spans="1:59" ht="57" x14ac:dyDescent="0.45">
      <c r="A1685" s="2" t="s">
        <v>59</v>
      </c>
      <c r="B1685" s="2" t="s">
        <v>60</v>
      </c>
      <c r="C1685" s="2" t="s">
        <v>16172</v>
      </c>
      <c r="D1685" s="2" t="s">
        <v>16173</v>
      </c>
      <c r="E1685" s="2" t="s">
        <v>16174</v>
      </c>
      <c r="G1685" s="3" t="s">
        <v>62</v>
      </c>
      <c r="I1685" s="3" t="s">
        <v>62</v>
      </c>
      <c r="J1685" s="3" t="s">
        <v>62</v>
      </c>
      <c r="K1685" s="3" t="s">
        <v>63</v>
      </c>
      <c r="L1685" s="2" t="s">
        <v>16175</v>
      </c>
      <c r="M1685" s="2" t="s">
        <v>12856</v>
      </c>
      <c r="N1685" s="3" t="s">
        <v>1155</v>
      </c>
      <c r="P1685" s="3" t="s">
        <v>65</v>
      </c>
      <c r="Q1685" s="2" t="s">
        <v>15967</v>
      </c>
      <c r="R1685" s="3" t="s">
        <v>66</v>
      </c>
      <c r="S1685" s="4">
        <v>0</v>
      </c>
      <c r="T1685" s="4">
        <v>0</v>
      </c>
      <c r="W1685" s="5" t="s">
        <v>67</v>
      </c>
      <c r="X1685" s="5" t="s">
        <v>67</v>
      </c>
      <c r="Y1685" s="4">
        <v>218</v>
      </c>
      <c r="Z1685" s="4">
        <v>20</v>
      </c>
      <c r="AA1685" s="4">
        <v>22</v>
      </c>
      <c r="AB1685" s="4">
        <v>2</v>
      </c>
      <c r="AC1685" s="4">
        <v>3</v>
      </c>
      <c r="AD1685" s="4">
        <v>71</v>
      </c>
      <c r="AE1685" s="4">
        <v>72</v>
      </c>
      <c r="AF1685" s="4">
        <v>1</v>
      </c>
      <c r="AG1685" s="4">
        <v>2</v>
      </c>
      <c r="AH1685" s="4">
        <v>65</v>
      </c>
      <c r="AI1685" s="4">
        <v>66</v>
      </c>
      <c r="AJ1685" s="4">
        <v>15</v>
      </c>
      <c r="AK1685" s="4">
        <v>16</v>
      </c>
      <c r="AL1685" s="4">
        <v>33</v>
      </c>
      <c r="AM1685" s="4">
        <v>33</v>
      </c>
      <c r="AN1685" s="4">
        <v>0</v>
      </c>
      <c r="AO1685" s="4">
        <v>0</v>
      </c>
      <c r="AP1685" s="4">
        <v>17</v>
      </c>
      <c r="AQ1685" s="4">
        <v>18</v>
      </c>
      <c r="AR1685" s="3" t="s">
        <v>62</v>
      </c>
      <c r="AS1685" s="3" t="s">
        <v>62</v>
      </c>
      <c r="AT1685" s="3" t="s">
        <v>62</v>
      </c>
      <c r="AV1685" s="6" t="str">
        <f>HYPERLINK("http://mcgill.on.worldcat.org/oclc/747534644","Catalog Record")</f>
        <v>Catalog Record</v>
      </c>
      <c r="AW1685" s="6" t="str">
        <f>HYPERLINK("http://www.worldcat.org/oclc/747534644","WorldCat Record")</f>
        <v>WorldCat Record</v>
      </c>
      <c r="AX1685" s="3" t="s">
        <v>16176</v>
      </c>
      <c r="AY1685" s="3" t="s">
        <v>16177</v>
      </c>
      <c r="AZ1685" s="3" t="s">
        <v>16178</v>
      </c>
      <c r="BA1685" s="3" t="s">
        <v>16178</v>
      </c>
      <c r="BB1685" s="3" t="s">
        <v>16179</v>
      </c>
      <c r="BC1685" s="3" t="s">
        <v>142</v>
      </c>
      <c r="BD1685" s="3" t="s">
        <v>68</v>
      </c>
      <c r="BE1685" s="3" t="s">
        <v>16180</v>
      </c>
      <c r="BF1685" s="3" t="s">
        <v>16179</v>
      </c>
      <c r="BG1685" s="3" t="s">
        <v>16181</v>
      </c>
    </row>
    <row r="1686" spans="1:59" ht="57" x14ac:dyDescent="0.45">
      <c r="A1686" s="2" t="s">
        <v>59</v>
      </c>
      <c r="B1686" s="2" t="s">
        <v>60</v>
      </c>
      <c r="C1686" s="2" t="s">
        <v>16182</v>
      </c>
      <c r="D1686" s="2" t="s">
        <v>16183</v>
      </c>
      <c r="E1686" s="2" t="s">
        <v>16184</v>
      </c>
      <c r="G1686" s="3" t="s">
        <v>62</v>
      </c>
      <c r="I1686" s="3" t="s">
        <v>62</v>
      </c>
      <c r="J1686" s="3" t="s">
        <v>62</v>
      </c>
      <c r="K1686" s="3" t="s">
        <v>63</v>
      </c>
      <c r="L1686" s="2" t="s">
        <v>16185</v>
      </c>
      <c r="M1686" s="2" t="s">
        <v>16186</v>
      </c>
      <c r="N1686" s="3" t="s">
        <v>894</v>
      </c>
      <c r="P1686" s="3" t="s">
        <v>65</v>
      </c>
      <c r="R1686" s="3" t="s">
        <v>66</v>
      </c>
      <c r="S1686" s="4">
        <v>0</v>
      </c>
      <c r="T1686" s="4">
        <v>0</v>
      </c>
      <c r="W1686" s="5" t="s">
        <v>67</v>
      </c>
      <c r="X1686" s="5" t="s">
        <v>67</v>
      </c>
      <c r="Y1686" s="4">
        <v>8</v>
      </c>
      <c r="Z1686" s="4">
        <v>3</v>
      </c>
      <c r="AA1686" s="4">
        <v>3</v>
      </c>
      <c r="AB1686" s="4">
        <v>1</v>
      </c>
      <c r="AC1686" s="4">
        <v>1</v>
      </c>
      <c r="AD1686" s="4">
        <v>3</v>
      </c>
      <c r="AE1686" s="4">
        <v>3</v>
      </c>
      <c r="AF1686" s="4">
        <v>0</v>
      </c>
      <c r="AG1686" s="4">
        <v>0</v>
      </c>
      <c r="AH1686" s="4">
        <v>2</v>
      </c>
      <c r="AI1686" s="4">
        <v>2</v>
      </c>
      <c r="AJ1686" s="4">
        <v>2</v>
      </c>
      <c r="AK1686" s="4">
        <v>2</v>
      </c>
      <c r="AL1686" s="4">
        <v>1</v>
      </c>
      <c r="AM1686" s="4">
        <v>1</v>
      </c>
      <c r="AN1686" s="4">
        <v>0</v>
      </c>
      <c r="AO1686" s="4">
        <v>0</v>
      </c>
      <c r="AP1686" s="4">
        <v>2</v>
      </c>
      <c r="AQ1686" s="4">
        <v>2</v>
      </c>
      <c r="AR1686" s="3" t="s">
        <v>62</v>
      </c>
      <c r="AS1686" s="3" t="s">
        <v>62</v>
      </c>
      <c r="AT1686" s="3" t="s">
        <v>62</v>
      </c>
      <c r="AV1686" s="6" t="str">
        <f>HYPERLINK("http://mcgill.on.worldcat.org/oclc/682434287","Catalog Record")</f>
        <v>Catalog Record</v>
      </c>
      <c r="AW1686" s="6" t="str">
        <f>HYPERLINK("http://www.worldcat.org/oclc/682434287","WorldCat Record")</f>
        <v>WorldCat Record</v>
      </c>
      <c r="AX1686" s="3" t="s">
        <v>16187</v>
      </c>
      <c r="AY1686" s="3" t="s">
        <v>16188</v>
      </c>
      <c r="AZ1686" s="3" t="s">
        <v>16189</v>
      </c>
      <c r="BA1686" s="3" t="s">
        <v>16189</v>
      </c>
      <c r="BB1686" s="3" t="s">
        <v>16190</v>
      </c>
      <c r="BC1686" s="3" t="s">
        <v>142</v>
      </c>
      <c r="BD1686" s="3" t="s">
        <v>68</v>
      </c>
      <c r="BE1686" s="3" t="s">
        <v>16191</v>
      </c>
      <c r="BF1686" s="3" t="s">
        <v>16190</v>
      </c>
      <c r="BG1686" s="3" t="s">
        <v>16192</v>
      </c>
    </row>
    <row r="1687" spans="1:59" ht="57" x14ac:dyDescent="0.45">
      <c r="A1687" s="2" t="s">
        <v>59</v>
      </c>
      <c r="B1687" s="2" t="s">
        <v>60</v>
      </c>
      <c r="C1687" s="2" t="s">
        <v>16193</v>
      </c>
      <c r="D1687" s="2" t="s">
        <v>16194</v>
      </c>
      <c r="E1687" s="2" t="s">
        <v>16195</v>
      </c>
      <c r="G1687" s="3" t="s">
        <v>62</v>
      </c>
      <c r="I1687" s="3" t="s">
        <v>62</v>
      </c>
      <c r="J1687" s="3" t="s">
        <v>62</v>
      </c>
      <c r="K1687" s="3" t="s">
        <v>63</v>
      </c>
      <c r="L1687" s="2" t="s">
        <v>16196</v>
      </c>
      <c r="M1687" s="2" t="s">
        <v>16197</v>
      </c>
      <c r="N1687" s="3" t="s">
        <v>149</v>
      </c>
      <c r="P1687" s="3" t="s">
        <v>65</v>
      </c>
      <c r="R1687" s="3" t="s">
        <v>66</v>
      </c>
      <c r="S1687" s="4">
        <v>1</v>
      </c>
      <c r="T1687" s="4">
        <v>1</v>
      </c>
      <c r="U1687" s="5" t="s">
        <v>13858</v>
      </c>
      <c r="V1687" s="5" t="s">
        <v>13858</v>
      </c>
      <c r="W1687" s="5" t="s">
        <v>67</v>
      </c>
      <c r="X1687" s="5" t="s">
        <v>67</v>
      </c>
      <c r="Y1687" s="4">
        <v>153</v>
      </c>
      <c r="Z1687" s="4">
        <v>13</v>
      </c>
      <c r="AA1687" s="4">
        <v>98</v>
      </c>
      <c r="AB1687" s="4">
        <v>1</v>
      </c>
      <c r="AC1687" s="4">
        <v>17</v>
      </c>
      <c r="AD1687" s="4">
        <v>59</v>
      </c>
      <c r="AE1687" s="4">
        <v>115</v>
      </c>
      <c r="AF1687" s="4">
        <v>0</v>
      </c>
      <c r="AG1687" s="4">
        <v>8</v>
      </c>
      <c r="AH1687" s="4">
        <v>54</v>
      </c>
      <c r="AI1687" s="4">
        <v>76</v>
      </c>
      <c r="AJ1687" s="4">
        <v>10</v>
      </c>
      <c r="AK1687" s="4">
        <v>23</v>
      </c>
      <c r="AL1687" s="4">
        <v>34</v>
      </c>
      <c r="AM1687" s="4">
        <v>41</v>
      </c>
      <c r="AN1687" s="4">
        <v>0</v>
      </c>
      <c r="AO1687" s="4">
        <v>0</v>
      </c>
      <c r="AP1687" s="4">
        <v>11</v>
      </c>
      <c r="AQ1687" s="4">
        <v>48</v>
      </c>
      <c r="AR1687" s="3" t="s">
        <v>62</v>
      </c>
      <c r="AS1687" s="3" t="s">
        <v>62</v>
      </c>
      <c r="AT1687" s="3" t="s">
        <v>62</v>
      </c>
      <c r="AV1687" s="6" t="str">
        <f>HYPERLINK("http://mcgill.on.worldcat.org/oclc/607323259","Catalog Record")</f>
        <v>Catalog Record</v>
      </c>
      <c r="AW1687" s="6" t="str">
        <f>HYPERLINK("http://www.worldcat.org/oclc/607323259","WorldCat Record")</f>
        <v>WorldCat Record</v>
      </c>
      <c r="AX1687" s="3" t="s">
        <v>16198</v>
      </c>
      <c r="AY1687" s="3" t="s">
        <v>16199</v>
      </c>
      <c r="AZ1687" s="3" t="s">
        <v>16200</v>
      </c>
      <c r="BA1687" s="3" t="s">
        <v>16200</v>
      </c>
      <c r="BB1687" s="3" t="s">
        <v>16201</v>
      </c>
      <c r="BC1687" s="3" t="s">
        <v>142</v>
      </c>
      <c r="BD1687" s="3" t="s">
        <v>68</v>
      </c>
      <c r="BE1687" s="3" t="s">
        <v>16202</v>
      </c>
      <c r="BF1687" s="3" t="s">
        <v>16201</v>
      </c>
      <c r="BG1687" s="3" t="s">
        <v>16203</v>
      </c>
    </row>
    <row r="1688" spans="1:59" ht="57" x14ac:dyDescent="0.45">
      <c r="A1688" s="2" t="s">
        <v>59</v>
      </c>
      <c r="B1688" s="2" t="s">
        <v>60</v>
      </c>
      <c r="C1688" s="2" t="s">
        <v>16204</v>
      </c>
      <c r="D1688" s="2" t="s">
        <v>16205</v>
      </c>
      <c r="E1688" s="2" t="s">
        <v>16206</v>
      </c>
      <c r="G1688" s="3" t="s">
        <v>62</v>
      </c>
      <c r="I1688" s="3" t="s">
        <v>62</v>
      </c>
      <c r="J1688" s="3" t="s">
        <v>62</v>
      </c>
      <c r="K1688" s="3" t="s">
        <v>63</v>
      </c>
      <c r="M1688" s="2" t="s">
        <v>13960</v>
      </c>
      <c r="N1688" s="3" t="s">
        <v>149</v>
      </c>
      <c r="P1688" s="3" t="s">
        <v>65</v>
      </c>
      <c r="Q1688" s="2" t="s">
        <v>16207</v>
      </c>
      <c r="R1688" s="3" t="s">
        <v>66</v>
      </c>
      <c r="S1688" s="4">
        <v>2</v>
      </c>
      <c r="T1688" s="4">
        <v>2</v>
      </c>
      <c r="U1688" s="5" t="s">
        <v>16208</v>
      </c>
      <c r="V1688" s="5" t="s">
        <v>16208</v>
      </c>
      <c r="W1688" s="5" t="s">
        <v>67</v>
      </c>
      <c r="X1688" s="5" t="s">
        <v>67</v>
      </c>
      <c r="Y1688" s="4">
        <v>237</v>
      </c>
      <c r="Z1688" s="4">
        <v>24</v>
      </c>
      <c r="AA1688" s="4">
        <v>24</v>
      </c>
      <c r="AB1688" s="4">
        <v>2</v>
      </c>
      <c r="AC1688" s="4">
        <v>2</v>
      </c>
      <c r="AD1688" s="4">
        <v>91</v>
      </c>
      <c r="AE1688" s="4">
        <v>91</v>
      </c>
      <c r="AF1688" s="4">
        <v>1</v>
      </c>
      <c r="AG1688" s="4">
        <v>1</v>
      </c>
      <c r="AH1688" s="4">
        <v>83</v>
      </c>
      <c r="AI1688" s="4">
        <v>83</v>
      </c>
      <c r="AJ1688" s="4">
        <v>16</v>
      </c>
      <c r="AK1688" s="4">
        <v>16</v>
      </c>
      <c r="AL1688" s="4">
        <v>47</v>
      </c>
      <c r="AM1688" s="4">
        <v>47</v>
      </c>
      <c r="AN1688" s="4">
        <v>0</v>
      </c>
      <c r="AO1688" s="4">
        <v>0</v>
      </c>
      <c r="AP1688" s="4">
        <v>18</v>
      </c>
      <c r="AQ1688" s="4">
        <v>18</v>
      </c>
      <c r="AR1688" s="3" t="s">
        <v>62</v>
      </c>
      <c r="AS1688" s="3" t="s">
        <v>62</v>
      </c>
      <c r="AT1688" s="3" t="s">
        <v>62</v>
      </c>
      <c r="AV1688" s="6" t="str">
        <f>HYPERLINK("http://mcgill.on.worldcat.org/oclc/419262977","Catalog Record")</f>
        <v>Catalog Record</v>
      </c>
      <c r="AW1688" s="6" t="str">
        <f>HYPERLINK("http://www.worldcat.org/oclc/419262977","WorldCat Record")</f>
        <v>WorldCat Record</v>
      </c>
      <c r="AX1688" s="3" t="s">
        <v>16209</v>
      </c>
      <c r="AY1688" s="3" t="s">
        <v>16210</v>
      </c>
      <c r="AZ1688" s="3" t="s">
        <v>16211</v>
      </c>
      <c r="BA1688" s="3" t="s">
        <v>16211</v>
      </c>
      <c r="BB1688" s="3" t="s">
        <v>16212</v>
      </c>
      <c r="BC1688" s="3" t="s">
        <v>142</v>
      </c>
      <c r="BD1688" s="3" t="s">
        <v>68</v>
      </c>
      <c r="BE1688" s="3" t="s">
        <v>16213</v>
      </c>
      <c r="BF1688" s="3" t="s">
        <v>16212</v>
      </c>
      <c r="BG1688" s="3" t="s">
        <v>16214</v>
      </c>
    </row>
    <row r="1689" spans="1:59" ht="71.25" x14ac:dyDescent="0.45">
      <c r="A1689" s="2" t="s">
        <v>59</v>
      </c>
      <c r="B1689" s="2" t="s">
        <v>60</v>
      </c>
      <c r="C1689" s="2" t="s">
        <v>16215</v>
      </c>
      <c r="D1689" s="2" t="s">
        <v>16216</v>
      </c>
      <c r="E1689" s="2" t="s">
        <v>16217</v>
      </c>
      <c r="G1689" s="3" t="s">
        <v>62</v>
      </c>
      <c r="I1689" s="3" t="s">
        <v>62</v>
      </c>
      <c r="J1689" s="3" t="s">
        <v>62</v>
      </c>
      <c r="K1689" s="3" t="s">
        <v>63</v>
      </c>
      <c r="M1689" s="2" t="s">
        <v>16218</v>
      </c>
      <c r="N1689" s="3" t="s">
        <v>945</v>
      </c>
      <c r="P1689" s="3" t="s">
        <v>65</v>
      </c>
      <c r="R1689" s="3" t="s">
        <v>66</v>
      </c>
      <c r="S1689" s="4">
        <v>5</v>
      </c>
      <c r="T1689" s="4">
        <v>5</v>
      </c>
      <c r="U1689" s="5" t="s">
        <v>16219</v>
      </c>
      <c r="V1689" s="5" t="s">
        <v>16219</v>
      </c>
      <c r="W1689" s="5" t="s">
        <v>67</v>
      </c>
      <c r="X1689" s="5" t="s">
        <v>67</v>
      </c>
      <c r="Y1689" s="4">
        <v>99</v>
      </c>
      <c r="Z1689" s="4">
        <v>9</v>
      </c>
      <c r="AA1689" s="4">
        <v>9</v>
      </c>
      <c r="AB1689" s="4">
        <v>1</v>
      </c>
      <c r="AC1689" s="4">
        <v>1</v>
      </c>
      <c r="AD1689" s="4">
        <v>47</v>
      </c>
      <c r="AE1689" s="4">
        <v>47</v>
      </c>
      <c r="AF1689" s="4">
        <v>0</v>
      </c>
      <c r="AG1689" s="4">
        <v>0</v>
      </c>
      <c r="AH1689" s="4">
        <v>44</v>
      </c>
      <c r="AI1689" s="4">
        <v>44</v>
      </c>
      <c r="AJ1689" s="4">
        <v>6</v>
      </c>
      <c r="AK1689" s="4">
        <v>6</v>
      </c>
      <c r="AL1689" s="4">
        <v>27</v>
      </c>
      <c r="AM1689" s="4">
        <v>27</v>
      </c>
      <c r="AN1689" s="4">
        <v>0</v>
      </c>
      <c r="AO1689" s="4">
        <v>0</v>
      </c>
      <c r="AP1689" s="4">
        <v>7</v>
      </c>
      <c r="AQ1689" s="4">
        <v>7</v>
      </c>
      <c r="AR1689" s="3" t="s">
        <v>62</v>
      </c>
      <c r="AS1689" s="3" t="s">
        <v>62</v>
      </c>
      <c r="AT1689" s="3" t="s">
        <v>61</v>
      </c>
      <c r="AU1689" s="6" t="str">
        <f>HYPERLINK("http://catalog.hathitrust.org/Record/005937855","HathiTrust Record")</f>
        <v>HathiTrust Record</v>
      </c>
      <c r="AV1689" s="6" t="str">
        <f>HYPERLINK("http://mcgill.on.worldcat.org/oclc/123114694","Catalog Record")</f>
        <v>Catalog Record</v>
      </c>
      <c r="AW1689" s="6" t="str">
        <f>HYPERLINK("http://www.worldcat.org/oclc/123114694","WorldCat Record")</f>
        <v>WorldCat Record</v>
      </c>
      <c r="AX1689" s="3" t="s">
        <v>16220</v>
      </c>
      <c r="AY1689" s="3" t="s">
        <v>16221</v>
      </c>
      <c r="AZ1689" s="3" t="s">
        <v>16222</v>
      </c>
      <c r="BA1689" s="3" t="s">
        <v>16222</v>
      </c>
      <c r="BB1689" s="3" t="s">
        <v>16223</v>
      </c>
      <c r="BC1689" s="3" t="s">
        <v>142</v>
      </c>
      <c r="BD1689" s="3" t="s">
        <v>68</v>
      </c>
      <c r="BE1689" s="3" t="s">
        <v>16224</v>
      </c>
      <c r="BF1689" s="3" t="s">
        <v>16223</v>
      </c>
      <c r="BG1689" s="3" t="s">
        <v>16225</v>
      </c>
    </row>
    <row r="1690" spans="1:59" ht="71.25" x14ac:dyDescent="0.45">
      <c r="A1690" s="2" t="s">
        <v>59</v>
      </c>
      <c r="B1690" s="2" t="s">
        <v>60</v>
      </c>
      <c r="C1690" s="2" t="s">
        <v>16226</v>
      </c>
      <c r="D1690" s="2" t="s">
        <v>16227</v>
      </c>
      <c r="E1690" s="2" t="s">
        <v>16228</v>
      </c>
      <c r="G1690" s="3" t="s">
        <v>62</v>
      </c>
      <c r="I1690" s="3" t="s">
        <v>62</v>
      </c>
      <c r="J1690" s="3" t="s">
        <v>62</v>
      </c>
      <c r="K1690" s="3" t="s">
        <v>63</v>
      </c>
      <c r="L1690" s="2" t="s">
        <v>16229</v>
      </c>
      <c r="M1690" s="2" t="s">
        <v>905</v>
      </c>
      <c r="N1690" s="3" t="s">
        <v>149</v>
      </c>
      <c r="P1690" s="3" t="s">
        <v>65</v>
      </c>
      <c r="R1690" s="3" t="s">
        <v>66</v>
      </c>
      <c r="S1690" s="4">
        <v>2</v>
      </c>
      <c r="T1690" s="4">
        <v>2</v>
      </c>
      <c r="U1690" s="5" t="s">
        <v>1326</v>
      </c>
      <c r="V1690" s="5" t="s">
        <v>1326</v>
      </c>
      <c r="W1690" s="5" t="s">
        <v>67</v>
      </c>
      <c r="X1690" s="5" t="s">
        <v>67</v>
      </c>
      <c r="Y1690" s="4">
        <v>175</v>
      </c>
      <c r="Z1690" s="4">
        <v>20</v>
      </c>
      <c r="AA1690" s="4">
        <v>21</v>
      </c>
      <c r="AB1690" s="4">
        <v>2</v>
      </c>
      <c r="AC1690" s="4">
        <v>2</v>
      </c>
      <c r="AD1690" s="4">
        <v>80</v>
      </c>
      <c r="AE1690" s="4">
        <v>80</v>
      </c>
      <c r="AF1690" s="4">
        <v>1</v>
      </c>
      <c r="AG1690" s="4">
        <v>1</v>
      </c>
      <c r="AH1690" s="4">
        <v>73</v>
      </c>
      <c r="AI1690" s="4">
        <v>73</v>
      </c>
      <c r="AJ1690" s="4">
        <v>15</v>
      </c>
      <c r="AK1690" s="4">
        <v>15</v>
      </c>
      <c r="AL1690" s="4">
        <v>38</v>
      </c>
      <c r="AM1690" s="4">
        <v>38</v>
      </c>
      <c r="AN1690" s="4">
        <v>0</v>
      </c>
      <c r="AO1690" s="4">
        <v>0</v>
      </c>
      <c r="AP1690" s="4">
        <v>16</v>
      </c>
      <c r="AQ1690" s="4">
        <v>16</v>
      </c>
      <c r="AR1690" s="3" t="s">
        <v>62</v>
      </c>
      <c r="AS1690" s="3" t="s">
        <v>62</v>
      </c>
      <c r="AT1690" s="3" t="s">
        <v>62</v>
      </c>
      <c r="AV1690" s="6" t="str">
        <f>HYPERLINK("http://mcgill.on.worldcat.org/oclc/434613445","Catalog Record")</f>
        <v>Catalog Record</v>
      </c>
      <c r="AW1690" s="6" t="str">
        <f>HYPERLINK("http://www.worldcat.org/oclc/434613445","WorldCat Record")</f>
        <v>WorldCat Record</v>
      </c>
      <c r="AX1690" s="3" t="s">
        <v>16230</v>
      </c>
      <c r="AY1690" s="3" t="s">
        <v>16231</v>
      </c>
      <c r="AZ1690" s="3" t="s">
        <v>16232</v>
      </c>
      <c r="BA1690" s="3" t="s">
        <v>16232</v>
      </c>
      <c r="BB1690" s="3" t="s">
        <v>16233</v>
      </c>
      <c r="BC1690" s="3" t="s">
        <v>142</v>
      </c>
      <c r="BD1690" s="3" t="s">
        <v>68</v>
      </c>
      <c r="BE1690" s="3" t="s">
        <v>16234</v>
      </c>
      <c r="BF1690" s="3" t="s">
        <v>16233</v>
      </c>
      <c r="BG1690" s="3" t="s">
        <v>16235</v>
      </c>
    </row>
    <row r="1691" spans="1:59" ht="57" x14ac:dyDescent="0.45">
      <c r="A1691" s="2" t="s">
        <v>59</v>
      </c>
      <c r="B1691" s="2" t="s">
        <v>60</v>
      </c>
      <c r="C1691" s="2" t="s">
        <v>16236</v>
      </c>
      <c r="D1691" s="2" t="s">
        <v>16237</v>
      </c>
      <c r="E1691" s="2" t="s">
        <v>16238</v>
      </c>
      <c r="F1691" s="3" t="s">
        <v>86</v>
      </c>
      <c r="G1691" s="3" t="s">
        <v>61</v>
      </c>
      <c r="I1691" s="3" t="s">
        <v>62</v>
      </c>
      <c r="J1691" s="3" t="s">
        <v>62</v>
      </c>
      <c r="K1691" s="3" t="s">
        <v>63</v>
      </c>
      <c r="M1691" s="2" t="s">
        <v>16239</v>
      </c>
      <c r="N1691" s="3" t="s">
        <v>208</v>
      </c>
      <c r="P1691" s="3" t="s">
        <v>182</v>
      </c>
      <c r="Q1691" s="2" t="s">
        <v>16240</v>
      </c>
      <c r="R1691" s="3" t="s">
        <v>66</v>
      </c>
      <c r="S1691" s="4">
        <v>0</v>
      </c>
      <c r="T1691" s="4">
        <v>0</v>
      </c>
      <c r="W1691" s="5" t="s">
        <v>67</v>
      </c>
      <c r="X1691" s="5" t="s">
        <v>67</v>
      </c>
      <c r="Y1691" s="4">
        <v>9</v>
      </c>
      <c r="Z1691" s="4">
        <v>1</v>
      </c>
      <c r="AA1691" s="4">
        <v>1</v>
      </c>
      <c r="AB1691" s="4">
        <v>1</v>
      </c>
      <c r="AC1691" s="4">
        <v>1</v>
      </c>
      <c r="AD1691" s="4">
        <v>5</v>
      </c>
      <c r="AE1691" s="4">
        <v>5</v>
      </c>
      <c r="AF1691" s="4">
        <v>0</v>
      </c>
      <c r="AG1691" s="4">
        <v>0</v>
      </c>
      <c r="AH1691" s="4">
        <v>5</v>
      </c>
      <c r="AI1691" s="4">
        <v>5</v>
      </c>
      <c r="AJ1691" s="4">
        <v>0</v>
      </c>
      <c r="AK1691" s="4">
        <v>0</v>
      </c>
      <c r="AL1691" s="4">
        <v>3</v>
      </c>
      <c r="AM1691" s="4">
        <v>3</v>
      </c>
      <c r="AN1691" s="4">
        <v>0</v>
      </c>
      <c r="AO1691" s="4">
        <v>0</v>
      </c>
      <c r="AP1691" s="4">
        <v>0</v>
      </c>
      <c r="AQ1691" s="4">
        <v>0</v>
      </c>
      <c r="AR1691" s="3" t="s">
        <v>62</v>
      </c>
      <c r="AS1691" s="3" t="s">
        <v>62</v>
      </c>
      <c r="AT1691" s="3" t="s">
        <v>62</v>
      </c>
      <c r="AV1691" s="6" t="str">
        <f>HYPERLINK("http://mcgill.on.worldcat.org/oclc/953571610","Catalog Record")</f>
        <v>Catalog Record</v>
      </c>
      <c r="AW1691" s="6" t="str">
        <f>HYPERLINK("http://www.worldcat.org/oclc/953571610","WorldCat Record")</f>
        <v>WorldCat Record</v>
      </c>
      <c r="AX1691" s="3" t="s">
        <v>16241</v>
      </c>
      <c r="AY1691" s="3" t="s">
        <v>16242</v>
      </c>
      <c r="AZ1691" s="3" t="s">
        <v>16243</v>
      </c>
      <c r="BA1691" s="3" t="s">
        <v>16243</v>
      </c>
      <c r="BB1691" s="3" t="s">
        <v>16244</v>
      </c>
      <c r="BC1691" s="3" t="s">
        <v>142</v>
      </c>
      <c r="BD1691" s="3" t="s">
        <v>68</v>
      </c>
      <c r="BE1691" s="3" t="s">
        <v>16245</v>
      </c>
      <c r="BF1691" s="3" t="s">
        <v>16244</v>
      </c>
      <c r="BG1691" s="3" t="s">
        <v>16246</v>
      </c>
    </row>
    <row r="1692" spans="1:59" ht="57" x14ac:dyDescent="0.45">
      <c r="A1692" s="2" t="s">
        <v>59</v>
      </c>
      <c r="B1692" s="2" t="s">
        <v>60</v>
      </c>
      <c r="C1692" s="2" t="s">
        <v>16247</v>
      </c>
      <c r="D1692" s="2" t="s">
        <v>16248</v>
      </c>
      <c r="E1692" s="2" t="s">
        <v>16249</v>
      </c>
      <c r="G1692" s="3" t="s">
        <v>62</v>
      </c>
      <c r="I1692" s="3" t="s">
        <v>62</v>
      </c>
      <c r="J1692" s="3" t="s">
        <v>62</v>
      </c>
      <c r="K1692" s="3" t="s">
        <v>63</v>
      </c>
      <c r="M1692" s="2" t="s">
        <v>16250</v>
      </c>
      <c r="N1692" s="3" t="s">
        <v>5180</v>
      </c>
      <c r="P1692" s="3" t="s">
        <v>65</v>
      </c>
      <c r="Q1692" s="2" t="s">
        <v>2536</v>
      </c>
      <c r="R1692" s="3" t="s">
        <v>66</v>
      </c>
      <c r="S1692" s="4">
        <v>0</v>
      </c>
      <c r="T1692" s="4">
        <v>0</v>
      </c>
      <c r="W1692" s="5" t="s">
        <v>67</v>
      </c>
      <c r="X1692" s="5" t="s">
        <v>67</v>
      </c>
      <c r="Y1692" s="4">
        <v>39</v>
      </c>
      <c r="Z1692" s="4">
        <v>1</v>
      </c>
      <c r="AA1692" s="4">
        <v>8</v>
      </c>
      <c r="AB1692" s="4">
        <v>1</v>
      </c>
      <c r="AC1692" s="4">
        <v>4</v>
      </c>
      <c r="AD1692" s="4">
        <v>16</v>
      </c>
      <c r="AE1692" s="4">
        <v>34</v>
      </c>
      <c r="AF1692" s="4">
        <v>0</v>
      </c>
      <c r="AG1692" s="4">
        <v>0</v>
      </c>
      <c r="AH1692" s="4">
        <v>15</v>
      </c>
      <c r="AI1692" s="4">
        <v>31</v>
      </c>
      <c r="AJ1692" s="4">
        <v>0</v>
      </c>
      <c r="AK1692" s="4">
        <v>3</v>
      </c>
      <c r="AL1692" s="4">
        <v>14</v>
      </c>
      <c r="AM1692" s="4">
        <v>24</v>
      </c>
      <c r="AN1692" s="4">
        <v>0</v>
      </c>
      <c r="AO1692" s="4">
        <v>0</v>
      </c>
      <c r="AP1692" s="4">
        <v>0</v>
      </c>
      <c r="AQ1692" s="4">
        <v>4</v>
      </c>
      <c r="AR1692" s="3" t="s">
        <v>62</v>
      </c>
      <c r="AS1692" s="3" t="s">
        <v>62</v>
      </c>
      <c r="AT1692" s="3" t="s">
        <v>62</v>
      </c>
      <c r="AV1692" s="6" t="str">
        <f>HYPERLINK("http://mcgill.on.worldcat.org/oclc/957242423","Catalog Record")</f>
        <v>Catalog Record</v>
      </c>
      <c r="AW1692" s="6" t="str">
        <f>HYPERLINK("http://www.worldcat.org/oclc/957242423","WorldCat Record")</f>
        <v>WorldCat Record</v>
      </c>
      <c r="AX1692" s="3" t="s">
        <v>16251</v>
      </c>
      <c r="AY1692" s="3" t="s">
        <v>16252</v>
      </c>
      <c r="AZ1692" s="3" t="s">
        <v>16253</v>
      </c>
      <c r="BA1692" s="3" t="s">
        <v>16253</v>
      </c>
      <c r="BB1692" s="3" t="s">
        <v>16254</v>
      </c>
      <c r="BC1692" s="3" t="s">
        <v>142</v>
      </c>
      <c r="BD1692" s="3" t="s">
        <v>68</v>
      </c>
      <c r="BE1692" s="3" t="s">
        <v>16255</v>
      </c>
      <c r="BF1692" s="3" t="s">
        <v>16254</v>
      </c>
      <c r="BG1692" s="3" t="s">
        <v>16256</v>
      </c>
    </row>
    <row r="1693" spans="1:59" ht="57" x14ac:dyDescent="0.45">
      <c r="A1693" s="2" t="s">
        <v>59</v>
      </c>
      <c r="B1693" s="2" t="s">
        <v>60</v>
      </c>
      <c r="C1693" s="2" t="s">
        <v>16257</v>
      </c>
      <c r="D1693" s="2" t="s">
        <v>16258</v>
      </c>
      <c r="E1693" s="2" t="s">
        <v>16259</v>
      </c>
      <c r="G1693" s="3" t="s">
        <v>62</v>
      </c>
      <c r="I1693" s="3" t="s">
        <v>62</v>
      </c>
      <c r="J1693" s="3" t="s">
        <v>62</v>
      </c>
      <c r="K1693" s="3" t="s">
        <v>63</v>
      </c>
      <c r="M1693" s="2" t="s">
        <v>16260</v>
      </c>
      <c r="N1693" s="3" t="s">
        <v>1604</v>
      </c>
      <c r="P1693" s="3" t="s">
        <v>65</v>
      </c>
      <c r="R1693" s="3" t="s">
        <v>66</v>
      </c>
      <c r="S1693" s="4">
        <v>11</v>
      </c>
      <c r="T1693" s="4">
        <v>11</v>
      </c>
      <c r="U1693" s="5" t="s">
        <v>15578</v>
      </c>
      <c r="V1693" s="5" t="s">
        <v>15578</v>
      </c>
      <c r="W1693" s="5" t="s">
        <v>67</v>
      </c>
      <c r="X1693" s="5" t="s">
        <v>67</v>
      </c>
      <c r="Y1693" s="4">
        <v>67</v>
      </c>
      <c r="Z1693" s="4">
        <v>5</v>
      </c>
      <c r="AA1693" s="4">
        <v>6</v>
      </c>
      <c r="AB1693" s="4">
        <v>1</v>
      </c>
      <c r="AC1693" s="4">
        <v>2</v>
      </c>
      <c r="AD1693" s="4">
        <v>29</v>
      </c>
      <c r="AE1693" s="4">
        <v>30</v>
      </c>
      <c r="AF1693" s="4">
        <v>0</v>
      </c>
      <c r="AG1693" s="4">
        <v>1</v>
      </c>
      <c r="AH1693" s="4">
        <v>28</v>
      </c>
      <c r="AI1693" s="4">
        <v>28</v>
      </c>
      <c r="AJ1693" s="4">
        <v>3</v>
      </c>
      <c r="AK1693" s="4">
        <v>4</v>
      </c>
      <c r="AL1693" s="4">
        <v>20</v>
      </c>
      <c r="AM1693" s="4">
        <v>20</v>
      </c>
      <c r="AN1693" s="4">
        <v>0</v>
      </c>
      <c r="AO1693" s="4">
        <v>0</v>
      </c>
      <c r="AP1693" s="4">
        <v>3</v>
      </c>
      <c r="AQ1693" s="4">
        <v>3</v>
      </c>
      <c r="AR1693" s="3" t="s">
        <v>62</v>
      </c>
      <c r="AS1693" s="3" t="s">
        <v>62</v>
      </c>
      <c r="AT1693" s="3" t="s">
        <v>61</v>
      </c>
      <c r="AU1693" s="6" t="str">
        <f>HYPERLINK("http://catalog.hathitrust.org/Record/003128969","HathiTrust Record")</f>
        <v>HathiTrust Record</v>
      </c>
      <c r="AV1693" s="6" t="str">
        <f>HYPERLINK("http://mcgill.on.worldcat.org/oclc/32108500","Catalog Record")</f>
        <v>Catalog Record</v>
      </c>
      <c r="AW1693" s="6" t="str">
        <f>HYPERLINK("http://www.worldcat.org/oclc/32108500","WorldCat Record")</f>
        <v>WorldCat Record</v>
      </c>
      <c r="AX1693" s="3" t="s">
        <v>16261</v>
      </c>
      <c r="AY1693" s="3" t="s">
        <v>16262</v>
      </c>
      <c r="AZ1693" s="3" t="s">
        <v>16263</v>
      </c>
      <c r="BA1693" s="3" t="s">
        <v>16263</v>
      </c>
      <c r="BB1693" s="3" t="s">
        <v>16264</v>
      </c>
      <c r="BC1693" s="3" t="s">
        <v>142</v>
      </c>
      <c r="BD1693" s="3" t="s">
        <v>68</v>
      </c>
      <c r="BE1693" s="3" t="s">
        <v>16265</v>
      </c>
      <c r="BF1693" s="3" t="s">
        <v>16264</v>
      </c>
      <c r="BG1693" s="3" t="s">
        <v>16266</v>
      </c>
    </row>
    <row r="1694" spans="1:59" ht="57" x14ac:dyDescent="0.45">
      <c r="A1694" s="2" t="s">
        <v>59</v>
      </c>
      <c r="B1694" s="2" t="s">
        <v>60</v>
      </c>
      <c r="C1694" s="2" t="s">
        <v>16267</v>
      </c>
      <c r="D1694" s="2" t="s">
        <v>16268</v>
      </c>
      <c r="E1694" s="2" t="s">
        <v>16269</v>
      </c>
      <c r="G1694" s="3" t="s">
        <v>62</v>
      </c>
      <c r="I1694" s="3" t="s">
        <v>62</v>
      </c>
      <c r="J1694" s="3" t="s">
        <v>62</v>
      </c>
      <c r="K1694" s="3" t="s">
        <v>63</v>
      </c>
      <c r="M1694" s="2" t="s">
        <v>16270</v>
      </c>
      <c r="N1694" s="3" t="s">
        <v>1478</v>
      </c>
      <c r="P1694" s="3" t="s">
        <v>65</v>
      </c>
      <c r="Q1694" s="2" t="s">
        <v>16271</v>
      </c>
      <c r="R1694" s="3" t="s">
        <v>66</v>
      </c>
      <c r="S1694" s="4">
        <v>23</v>
      </c>
      <c r="T1694" s="4">
        <v>23</v>
      </c>
      <c r="U1694" s="5" t="s">
        <v>10429</v>
      </c>
      <c r="V1694" s="5" t="s">
        <v>10429</v>
      </c>
      <c r="W1694" s="5" t="s">
        <v>67</v>
      </c>
      <c r="X1694" s="5" t="s">
        <v>67</v>
      </c>
      <c r="Y1694" s="4">
        <v>448</v>
      </c>
      <c r="Z1694" s="4">
        <v>18</v>
      </c>
      <c r="AA1694" s="4">
        <v>20</v>
      </c>
      <c r="AB1694" s="4">
        <v>2</v>
      </c>
      <c r="AC1694" s="4">
        <v>4</v>
      </c>
      <c r="AD1694" s="4">
        <v>109</v>
      </c>
      <c r="AE1694" s="4">
        <v>111</v>
      </c>
      <c r="AF1694" s="4">
        <v>1</v>
      </c>
      <c r="AG1694" s="4">
        <v>3</v>
      </c>
      <c r="AH1694" s="4">
        <v>98</v>
      </c>
      <c r="AI1694" s="4">
        <v>99</v>
      </c>
      <c r="AJ1694" s="4">
        <v>13</v>
      </c>
      <c r="AK1694" s="4">
        <v>15</v>
      </c>
      <c r="AL1694" s="4">
        <v>55</v>
      </c>
      <c r="AM1694" s="4">
        <v>55</v>
      </c>
      <c r="AN1694" s="4">
        <v>0</v>
      </c>
      <c r="AO1694" s="4">
        <v>0</v>
      </c>
      <c r="AP1694" s="4">
        <v>16</v>
      </c>
      <c r="AQ1694" s="4">
        <v>17</v>
      </c>
      <c r="AR1694" s="3" t="s">
        <v>62</v>
      </c>
      <c r="AS1694" s="3" t="s">
        <v>62</v>
      </c>
      <c r="AT1694" s="3" t="s">
        <v>61</v>
      </c>
      <c r="AU1694" s="6" t="str">
        <f>HYPERLINK("http://catalog.hathitrust.org/Record/003062362","HathiTrust Record")</f>
        <v>HathiTrust Record</v>
      </c>
      <c r="AV1694" s="6" t="str">
        <f>HYPERLINK("http://mcgill.on.worldcat.org/oclc/33441250","Catalog Record")</f>
        <v>Catalog Record</v>
      </c>
      <c r="AW1694" s="6" t="str">
        <f>HYPERLINK("http://www.worldcat.org/oclc/33441250","WorldCat Record")</f>
        <v>WorldCat Record</v>
      </c>
      <c r="AX1694" s="3" t="s">
        <v>16272</v>
      </c>
      <c r="AY1694" s="3" t="s">
        <v>16273</v>
      </c>
      <c r="AZ1694" s="3" t="s">
        <v>16274</v>
      </c>
      <c r="BA1694" s="3" t="s">
        <v>16274</v>
      </c>
      <c r="BB1694" s="3" t="s">
        <v>16275</v>
      </c>
      <c r="BC1694" s="3" t="s">
        <v>142</v>
      </c>
      <c r="BD1694" s="3" t="s">
        <v>68</v>
      </c>
      <c r="BE1694" s="3" t="s">
        <v>16276</v>
      </c>
      <c r="BF1694" s="3" t="s">
        <v>16275</v>
      </c>
      <c r="BG1694" s="3" t="s">
        <v>16277</v>
      </c>
    </row>
    <row r="1695" spans="1:59" ht="57" x14ac:dyDescent="0.45">
      <c r="A1695" s="2" t="s">
        <v>59</v>
      </c>
      <c r="B1695" s="2" t="s">
        <v>60</v>
      </c>
      <c r="C1695" s="2" t="s">
        <v>16278</v>
      </c>
      <c r="D1695" s="2" t="s">
        <v>16279</v>
      </c>
      <c r="E1695" s="2" t="s">
        <v>16280</v>
      </c>
      <c r="G1695" s="3" t="s">
        <v>62</v>
      </c>
      <c r="I1695" s="3" t="s">
        <v>62</v>
      </c>
      <c r="J1695" s="3" t="s">
        <v>62</v>
      </c>
      <c r="K1695" s="3" t="s">
        <v>63</v>
      </c>
      <c r="M1695" s="2" t="s">
        <v>3075</v>
      </c>
      <c r="N1695" s="3" t="s">
        <v>1465</v>
      </c>
      <c r="P1695" s="3" t="s">
        <v>65</v>
      </c>
      <c r="R1695" s="3" t="s">
        <v>66</v>
      </c>
      <c r="S1695" s="4">
        <v>3</v>
      </c>
      <c r="T1695" s="4">
        <v>3</v>
      </c>
      <c r="U1695" s="5" t="s">
        <v>7295</v>
      </c>
      <c r="V1695" s="5" t="s">
        <v>7295</v>
      </c>
      <c r="W1695" s="5" t="s">
        <v>67</v>
      </c>
      <c r="X1695" s="5" t="s">
        <v>67</v>
      </c>
      <c r="Y1695" s="4">
        <v>186</v>
      </c>
      <c r="Z1695" s="4">
        <v>16</v>
      </c>
      <c r="AA1695" s="4">
        <v>80</v>
      </c>
      <c r="AB1695" s="4">
        <v>3</v>
      </c>
      <c r="AC1695" s="4">
        <v>16</v>
      </c>
      <c r="AD1695" s="4">
        <v>77</v>
      </c>
      <c r="AE1695" s="4">
        <v>129</v>
      </c>
      <c r="AF1695" s="4">
        <v>1</v>
      </c>
      <c r="AG1695" s="4">
        <v>8</v>
      </c>
      <c r="AH1695" s="4">
        <v>73</v>
      </c>
      <c r="AI1695" s="4">
        <v>95</v>
      </c>
      <c r="AJ1695" s="4">
        <v>12</v>
      </c>
      <c r="AK1695" s="4">
        <v>22</v>
      </c>
      <c r="AL1695" s="4">
        <v>40</v>
      </c>
      <c r="AM1695" s="4">
        <v>51</v>
      </c>
      <c r="AN1695" s="4">
        <v>0</v>
      </c>
      <c r="AO1695" s="4">
        <v>0</v>
      </c>
      <c r="AP1695" s="4">
        <v>12</v>
      </c>
      <c r="AQ1695" s="4">
        <v>42</v>
      </c>
      <c r="AR1695" s="3" t="s">
        <v>62</v>
      </c>
      <c r="AS1695" s="3" t="s">
        <v>62</v>
      </c>
      <c r="AT1695" s="3" t="s">
        <v>62</v>
      </c>
      <c r="AV1695" s="6" t="str">
        <f>HYPERLINK("http://mcgill.on.worldcat.org/oclc/255902130","Catalog Record")</f>
        <v>Catalog Record</v>
      </c>
      <c r="AW1695" s="6" t="str">
        <f>HYPERLINK("http://www.worldcat.org/oclc/255902130","WorldCat Record")</f>
        <v>WorldCat Record</v>
      </c>
      <c r="AX1695" s="3" t="s">
        <v>16281</v>
      </c>
      <c r="AY1695" s="3" t="s">
        <v>16282</v>
      </c>
      <c r="AZ1695" s="3" t="s">
        <v>16283</v>
      </c>
      <c r="BA1695" s="3" t="s">
        <v>16283</v>
      </c>
      <c r="BB1695" s="3" t="s">
        <v>16284</v>
      </c>
      <c r="BC1695" s="3" t="s">
        <v>142</v>
      </c>
      <c r="BD1695" s="3" t="s">
        <v>68</v>
      </c>
      <c r="BE1695" s="3" t="s">
        <v>16285</v>
      </c>
      <c r="BF1695" s="3" t="s">
        <v>16284</v>
      </c>
      <c r="BG1695" s="3" t="s">
        <v>16286</v>
      </c>
    </row>
    <row r="1696" spans="1:59" ht="71.25" x14ac:dyDescent="0.45">
      <c r="A1696" s="2" t="s">
        <v>59</v>
      </c>
      <c r="B1696" s="2" t="s">
        <v>60</v>
      </c>
      <c r="C1696" s="2" t="s">
        <v>16287</v>
      </c>
      <c r="D1696" s="2" t="s">
        <v>16288</v>
      </c>
      <c r="E1696" s="2" t="s">
        <v>16289</v>
      </c>
      <c r="G1696" s="3" t="s">
        <v>62</v>
      </c>
      <c r="I1696" s="3" t="s">
        <v>62</v>
      </c>
      <c r="J1696" s="3" t="s">
        <v>62</v>
      </c>
      <c r="K1696" s="3" t="s">
        <v>63</v>
      </c>
      <c r="L1696" s="2" t="s">
        <v>16290</v>
      </c>
      <c r="M1696" s="2" t="s">
        <v>16291</v>
      </c>
      <c r="N1696" s="3" t="s">
        <v>195</v>
      </c>
      <c r="P1696" s="3" t="s">
        <v>65</v>
      </c>
      <c r="Q1696" s="2" t="s">
        <v>16292</v>
      </c>
      <c r="R1696" s="3" t="s">
        <v>66</v>
      </c>
      <c r="S1696" s="4">
        <v>47</v>
      </c>
      <c r="T1696" s="4">
        <v>47</v>
      </c>
      <c r="U1696" s="5" t="s">
        <v>1749</v>
      </c>
      <c r="V1696" s="5" t="s">
        <v>1749</v>
      </c>
      <c r="W1696" s="5" t="s">
        <v>67</v>
      </c>
      <c r="X1696" s="5" t="s">
        <v>67</v>
      </c>
      <c r="Y1696" s="4">
        <v>349</v>
      </c>
      <c r="Z1696" s="4">
        <v>23</v>
      </c>
      <c r="AA1696" s="4">
        <v>26</v>
      </c>
      <c r="AB1696" s="4">
        <v>3</v>
      </c>
      <c r="AC1696" s="4">
        <v>6</v>
      </c>
      <c r="AD1696" s="4">
        <v>98</v>
      </c>
      <c r="AE1696" s="4">
        <v>101</v>
      </c>
      <c r="AF1696" s="4">
        <v>1</v>
      </c>
      <c r="AG1696" s="4">
        <v>4</v>
      </c>
      <c r="AH1696" s="4">
        <v>88</v>
      </c>
      <c r="AI1696" s="4">
        <v>89</v>
      </c>
      <c r="AJ1696" s="4">
        <v>15</v>
      </c>
      <c r="AK1696" s="4">
        <v>18</v>
      </c>
      <c r="AL1696" s="4">
        <v>47</v>
      </c>
      <c r="AM1696" s="4">
        <v>47</v>
      </c>
      <c r="AN1696" s="4">
        <v>0</v>
      </c>
      <c r="AO1696" s="4">
        <v>0</v>
      </c>
      <c r="AP1696" s="4">
        <v>18</v>
      </c>
      <c r="AQ1696" s="4">
        <v>20</v>
      </c>
      <c r="AR1696" s="3" t="s">
        <v>62</v>
      </c>
      <c r="AS1696" s="3" t="s">
        <v>62</v>
      </c>
      <c r="AT1696" s="3" t="s">
        <v>61</v>
      </c>
      <c r="AU1696" s="6" t="str">
        <f>HYPERLINK("http://catalog.hathitrust.org/Record/002708886","HathiTrust Record")</f>
        <v>HathiTrust Record</v>
      </c>
      <c r="AV1696" s="6" t="str">
        <f>HYPERLINK("http://mcgill.on.worldcat.org/oclc/28722072","Catalog Record")</f>
        <v>Catalog Record</v>
      </c>
      <c r="AW1696" s="6" t="str">
        <f>HYPERLINK("http://www.worldcat.org/oclc/28722072","WorldCat Record")</f>
        <v>WorldCat Record</v>
      </c>
      <c r="AX1696" s="3" t="s">
        <v>16293</v>
      </c>
      <c r="AY1696" s="3" t="s">
        <v>16294</v>
      </c>
      <c r="AZ1696" s="3" t="s">
        <v>16295</v>
      </c>
      <c r="BA1696" s="3" t="s">
        <v>16295</v>
      </c>
      <c r="BB1696" s="3" t="s">
        <v>16296</v>
      </c>
      <c r="BC1696" s="3" t="s">
        <v>142</v>
      </c>
      <c r="BD1696" s="3" t="s">
        <v>68</v>
      </c>
      <c r="BE1696" s="3" t="s">
        <v>16297</v>
      </c>
      <c r="BF1696" s="3" t="s">
        <v>16296</v>
      </c>
      <c r="BG1696" s="3" t="s">
        <v>16298</v>
      </c>
    </row>
    <row r="1697" spans="1:59" ht="57" x14ac:dyDescent="0.45">
      <c r="A1697" s="2" t="s">
        <v>59</v>
      </c>
      <c r="B1697" s="2" t="s">
        <v>60</v>
      </c>
      <c r="C1697" s="2" t="s">
        <v>16299</v>
      </c>
      <c r="D1697" s="2" t="s">
        <v>16300</v>
      </c>
      <c r="E1697" s="2" t="s">
        <v>16301</v>
      </c>
      <c r="G1697" s="3" t="s">
        <v>62</v>
      </c>
      <c r="I1697" s="3" t="s">
        <v>62</v>
      </c>
      <c r="J1697" s="3" t="s">
        <v>62</v>
      </c>
      <c r="K1697" s="3" t="s">
        <v>63</v>
      </c>
      <c r="M1697" s="2" t="s">
        <v>16302</v>
      </c>
      <c r="N1697" s="3" t="s">
        <v>820</v>
      </c>
      <c r="P1697" s="3" t="s">
        <v>65</v>
      </c>
      <c r="Q1697" s="2" t="s">
        <v>16303</v>
      </c>
      <c r="R1697" s="3" t="s">
        <v>66</v>
      </c>
      <c r="S1697" s="4">
        <v>12</v>
      </c>
      <c r="T1697" s="4">
        <v>12</v>
      </c>
      <c r="U1697" s="5" t="s">
        <v>10429</v>
      </c>
      <c r="V1697" s="5" t="s">
        <v>10429</v>
      </c>
      <c r="W1697" s="5" t="s">
        <v>67</v>
      </c>
      <c r="X1697" s="5" t="s">
        <v>67</v>
      </c>
      <c r="Y1697" s="4">
        <v>201</v>
      </c>
      <c r="Z1697" s="4">
        <v>20</v>
      </c>
      <c r="AA1697" s="4">
        <v>120</v>
      </c>
      <c r="AB1697" s="4">
        <v>2</v>
      </c>
      <c r="AC1697" s="4">
        <v>17</v>
      </c>
      <c r="AD1697" s="4">
        <v>80</v>
      </c>
      <c r="AE1697" s="4">
        <v>142</v>
      </c>
      <c r="AF1697" s="4">
        <v>1</v>
      </c>
      <c r="AG1697" s="4">
        <v>8</v>
      </c>
      <c r="AH1697" s="4">
        <v>71</v>
      </c>
      <c r="AI1697" s="4">
        <v>101</v>
      </c>
      <c r="AJ1697" s="4">
        <v>17</v>
      </c>
      <c r="AK1697" s="4">
        <v>25</v>
      </c>
      <c r="AL1697" s="4">
        <v>43</v>
      </c>
      <c r="AM1697" s="4">
        <v>54</v>
      </c>
      <c r="AN1697" s="4">
        <v>0</v>
      </c>
      <c r="AO1697" s="4">
        <v>0</v>
      </c>
      <c r="AP1697" s="4">
        <v>18</v>
      </c>
      <c r="AQ1697" s="4">
        <v>48</v>
      </c>
      <c r="AR1697" s="3" t="s">
        <v>62</v>
      </c>
      <c r="AS1697" s="3" t="s">
        <v>62</v>
      </c>
      <c r="AT1697" s="3" t="s">
        <v>62</v>
      </c>
      <c r="AV1697" s="6" t="str">
        <f>HYPERLINK("http://mcgill.on.worldcat.org/oclc/179805398","Catalog Record")</f>
        <v>Catalog Record</v>
      </c>
      <c r="AW1697" s="6" t="str">
        <f>HYPERLINK("http://www.worldcat.org/oclc/179805398","WorldCat Record")</f>
        <v>WorldCat Record</v>
      </c>
      <c r="AX1697" s="3" t="s">
        <v>16304</v>
      </c>
      <c r="AY1697" s="3" t="s">
        <v>16305</v>
      </c>
      <c r="AZ1697" s="3" t="s">
        <v>16306</v>
      </c>
      <c r="BA1697" s="3" t="s">
        <v>16306</v>
      </c>
      <c r="BB1697" s="3" t="s">
        <v>16307</v>
      </c>
      <c r="BC1697" s="3" t="s">
        <v>142</v>
      </c>
      <c r="BD1697" s="3" t="s">
        <v>68</v>
      </c>
      <c r="BE1697" s="3" t="s">
        <v>16308</v>
      </c>
      <c r="BF1697" s="3" t="s">
        <v>16307</v>
      </c>
      <c r="BG1697" s="3" t="s">
        <v>16309</v>
      </c>
    </row>
    <row r="1698" spans="1:59" ht="57" x14ac:dyDescent="0.45">
      <c r="A1698" s="2" t="s">
        <v>59</v>
      </c>
      <c r="B1698" s="2" t="s">
        <v>60</v>
      </c>
      <c r="C1698" s="2" t="s">
        <v>16310</v>
      </c>
      <c r="D1698" s="2" t="s">
        <v>16311</v>
      </c>
      <c r="E1698" s="2" t="s">
        <v>16312</v>
      </c>
      <c r="G1698" s="3" t="s">
        <v>62</v>
      </c>
      <c r="I1698" s="3" t="s">
        <v>62</v>
      </c>
      <c r="J1698" s="3" t="s">
        <v>62</v>
      </c>
      <c r="K1698" s="3" t="s">
        <v>63</v>
      </c>
      <c r="M1698" s="2" t="s">
        <v>4009</v>
      </c>
      <c r="N1698" s="3" t="s">
        <v>149</v>
      </c>
      <c r="P1698" s="3" t="s">
        <v>65</v>
      </c>
      <c r="Q1698" s="2" t="s">
        <v>16313</v>
      </c>
      <c r="R1698" s="3" t="s">
        <v>66</v>
      </c>
      <c r="S1698" s="4">
        <v>0</v>
      </c>
      <c r="T1698" s="4">
        <v>0</v>
      </c>
      <c r="W1698" s="5" t="s">
        <v>67</v>
      </c>
      <c r="X1698" s="5" t="s">
        <v>67</v>
      </c>
      <c r="Y1698" s="4">
        <v>134</v>
      </c>
      <c r="Z1698" s="4">
        <v>9</v>
      </c>
      <c r="AA1698" s="4">
        <v>81</v>
      </c>
      <c r="AB1698" s="4">
        <v>1</v>
      </c>
      <c r="AC1698" s="4">
        <v>15</v>
      </c>
      <c r="AD1698" s="4">
        <v>41</v>
      </c>
      <c r="AE1698" s="4">
        <v>104</v>
      </c>
      <c r="AF1698" s="4">
        <v>0</v>
      </c>
      <c r="AG1698" s="4">
        <v>8</v>
      </c>
      <c r="AH1698" s="4">
        <v>38</v>
      </c>
      <c r="AI1698" s="4">
        <v>70</v>
      </c>
      <c r="AJ1698" s="4">
        <v>6</v>
      </c>
      <c r="AK1698" s="4">
        <v>23</v>
      </c>
      <c r="AL1698" s="4">
        <v>26</v>
      </c>
      <c r="AM1698" s="4">
        <v>39</v>
      </c>
      <c r="AN1698" s="4">
        <v>0</v>
      </c>
      <c r="AO1698" s="4">
        <v>0</v>
      </c>
      <c r="AP1698" s="4">
        <v>6</v>
      </c>
      <c r="AQ1698" s="4">
        <v>43</v>
      </c>
      <c r="AR1698" s="3" t="s">
        <v>62</v>
      </c>
      <c r="AS1698" s="3" t="s">
        <v>62</v>
      </c>
      <c r="AT1698" s="3" t="s">
        <v>62</v>
      </c>
      <c r="AV1698" s="6" t="str">
        <f>HYPERLINK("http://mcgill.on.worldcat.org/oclc/311790211","Catalog Record")</f>
        <v>Catalog Record</v>
      </c>
      <c r="AW1698" s="6" t="str">
        <f>HYPERLINK("http://www.worldcat.org/oclc/311790211","WorldCat Record")</f>
        <v>WorldCat Record</v>
      </c>
      <c r="AX1698" s="3" t="s">
        <v>16314</v>
      </c>
      <c r="AY1698" s="3" t="s">
        <v>16315</v>
      </c>
      <c r="AZ1698" s="3" t="s">
        <v>16316</v>
      </c>
      <c r="BA1698" s="3" t="s">
        <v>16316</v>
      </c>
      <c r="BB1698" s="3" t="s">
        <v>16317</v>
      </c>
      <c r="BC1698" s="3" t="s">
        <v>142</v>
      </c>
      <c r="BD1698" s="3" t="s">
        <v>68</v>
      </c>
      <c r="BE1698" s="3" t="s">
        <v>16318</v>
      </c>
      <c r="BF1698" s="3" t="s">
        <v>16317</v>
      </c>
      <c r="BG1698" s="3" t="s">
        <v>16319</v>
      </c>
    </row>
    <row r="1699" spans="1:59" ht="57" x14ac:dyDescent="0.45">
      <c r="A1699" s="2" t="s">
        <v>59</v>
      </c>
      <c r="B1699" s="2" t="s">
        <v>60</v>
      </c>
      <c r="C1699" s="2" t="s">
        <v>16320</v>
      </c>
      <c r="D1699" s="2" t="s">
        <v>16321</v>
      </c>
      <c r="E1699" s="2" t="s">
        <v>16322</v>
      </c>
      <c r="G1699" s="3" t="s">
        <v>62</v>
      </c>
      <c r="I1699" s="3" t="s">
        <v>62</v>
      </c>
      <c r="J1699" s="3" t="s">
        <v>62</v>
      </c>
      <c r="K1699" s="3" t="s">
        <v>63</v>
      </c>
      <c r="L1699" s="2" t="s">
        <v>16323</v>
      </c>
      <c r="M1699" s="2" t="s">
        <v>16324</v>
      </c>
      <c r="N1699" s="3" t="s">
        <v>1465</v>
      </c>
      <c r="P1699" s="3" t="s">
        <v>65</v>
      </c>
      <c r="R1699" s="3" t="s">
        <v>66</v>
      </c>
      <c r="S1699" s="4">
        <v>1</v>
      </c>
      <c r="T1699" s="4">
        <v>1</v>
      </c>
      <c r="U1699" s="5" t="s">
        <v>16325</v>
      </c>
      <c r="V1699" s="5" t="s">
        <v>16325</v>
      </c>
      <c r="W1699" s="5" t="s">
        <v>67</v>
      </c>
      <c r="X1699" s="5" t="s">
        <v>67</v>
      </c>
      <c r="Y1699" s="4">
        <v>54</v>
      </c>
      <c r="Z1699" s="4">
        <v>8</v>
      </c>
      <c r="AA1699" s="4">
        <v>85</v>
      </c>
      <c r="AB1699" s="4">
        <v>2</v>
      </c>
      <c r="AC1699" s="4">
        <v>15</v>
      </c>
      <c r="AD1699" s="4">
        <v>24</v>
      </c>
      <c r="AE1699" s="4">
        <v>106</v>
      </c>
      <c r="AF1699" s="4">
        <v>0</v>
      </c>
      <c r="AG1699" s="4">
        <v>8</v>
      </c>
      <c r="AH1699" s="4">
        <v>22</v>
      </c>
      <c r="AI1699" s="4">
        <v>72</v>
      </c>
      <c r="AJ1699" s="4">
        <v>5</v>
      </c>
      <c r="AK1699" s="4">
        <v>21</v>
      </c>
      <c r="AL1699" s="4">
        <v>16</v>
      </c>
      <c r="AM1699" s="4">
        <v>37</v>
      </c>
      <c r="AN1699" s="4">
        <v>0</v>
      </c>
      <c r="AO1699" s="4">
        <v>0</v>
      </c>
      <c r="AP1699" s="4">
        <v>5</v>
      </c>
      <c r="AQ1699" s="4">
        <v>41</v>
      </c>
      <c r="AR1699" s="3" t="s">
        <v>62</v>
      </c>
      <c r="AS1699" s="3" t="s">
        <v>62</v>
      </c>
      <c r="AT1699" s="3" t="s">
        <v>62</v>
      </c>
      <c r="AV1699" s="6" t="str">
        <f>HYPERLINK("http://mcgill.on.worldcat.org/oclc/316429386","Catalog Record")</f>
        <v>Catalog Record</v>
      </c>
      <c r="AW1699" s="6" t="str">
        <f>HYPERLINK("http://www.worldcat.org/oclc/316429386","WorldCat Record")</f>
        <v>WorldCat Record</v>
      </c>
      <c r="AX1699" s="3" t="s">
        <v>16326</v>
      </c>
      <c r="AY1699" s="3" t="s">
        <v>16327</v>
      </c>
      <c r="AZ1699" s="3" t="s">
        <v>16328</v>
      </c>
      <c r="BA1699" s="3" t="s">
        <v>16328</v>
      </c>
      <c r="BB1699" s="3" t="s">
        <v>16329</v>
      </c>
      <c r="BC1699" s="3" t="s">
        <v>142</v>
      </c>
      <c r="BD1699" s="3" t="s">
        <v>68</v>
      </c>
      <c r="BE1699" s="3" t="s">
        <v>16330</v>
      </c>
      <c r="BF1699" s="3" t="s">
        <v>16329</v>
      </c>
      <c r="BG1699" s="3" t="s">
        <v>16331</v>
      </c>
    </row>
    <row r="1700" spans="1:59" ht="57" x14ac:dyDescent="0.45">
      <c r="A1700" s="2" t="s">
        <v>59</v>
      </c>
      <c r="B1700" s="2" t="s">
        <v>60</v>
      </c>
      <c r="C1700" s="2" t="s">
        <v>16332</v>
      </c>
      <c r="D1700" s="2" t="s">
        <v>16333</v>
      </c>
      <c r="E1700" s="2" t="s">
        <v>16334</v>
      </c>
      <c r="G1700" s="3" t="s">
        <v>62</v>
      </c>
      <c r="I1700" s="3" t="s">
        <v>62</v>
      </c>
      <c r="J1700" s="3" t="s">
        <v>62</v>
      </c>
      <c r="K1700" s="3" t="s">
        <v>63</v>
      </c>
      <c r="M1700" s="2" t="s">
        <v>16335</v>
      </c>
      <c r="N1700" s="3" t="s">
        <v>1604</v>
      </c>
      <c r="P1700" s="3" t="s">
        <v>65</v>
      </c>
      <c r="R1700" s="3" t="s">
        <v>66</v>
      </c>
      <c r="S1700" s="4">
        <v>24</v>
      </c>
      <c r="T1700" s="4">
        <v>24</v>
      </c>
      <c r="U1700" s="5" t="s">
        <v>16336</v>
      </c>
      <c r="V1700" s="5" t="s">
        <v>16336</v>
      </c>
      <c r="W1700" s="5" t="s">
        <v>67</v>
      </c>
      <c r="X1700" s="5" t="s">
        <v>67</v>
      </c>
      <c r="Y1700" s="4">
        <v>357</v>
      </c>
      <c r="Z1700" s="4">
        <v>15</v>
      </c>
      <c r="AA1700" s="4">
        <v>17</v>
      </c>
      <c r="AB1700" s="4">
        <v>2</v>
      </c>
      <c r="AC1700" s="4">
        <v>4</v>
      </c>
      <c r="AD1700" s="4">
        <v>106</v>
      </c>
      <c r="AE1700" s="4">
        <v>108</v>
      </c>
      <c r="AF1700" s="4">
        <v>1</v>
      </c>
      <c r="AG1700" s="4">
        <v>3</v>
      </c>
      <c r="AH1700" s="4">
        <v>98</v>
      </c>
      <c r="AI1700" s="4">
        <v>99</v>
      </c>
      <c r="AJ1700" s="4">
        <v>12</v>
      </c>
      <c r="AK1700" s="4">
        <v>14</v>
      </c>
      <c r="AL1700" s="4">
        <v>52</v>
      </c>
      <c r="AM1700" s="4">
        <v>52</v>
      </c>
      <c r="AN1700" s="4">
        <v>0</v>
      </c>
      <c r="AO1700" s="4">
        <v>0</v>
      </c>
      <c r="AP1700" s="4">
        <v>13</v>
      </c>
      <c r="AQ1700" s="4">
        <v>14</v>
      </c>
      <c r="AR1700" s="3" t="s">
        <v>62</v>
      </c>
      <c r="AS1700" s="3" t="s">
        <v>62</v>
      </c>
      <c r="AT1700" s="3" t="s">
        <v>61</v>
      </c>
      <c r="AU1700" s="6" t="str">
        <f>HYPERLINK("http://catalog.hathitrust.org/Record/002900185","HathiTrust Record")</f>
        <v>HathiTrust Record</v>
      </c>
      <c r="AV1700" s="6" t="str">
        <f>HYPERLINK("http://mcgill.on.worldcat.org/oclc/29595343","Catalog Record")</f>
        <v>Catalog Record</v>
      </c>
      <c r="AW1700" s="6" t="str">
        <f>HYPERLINK("http://www.worldcat.org/oclc/29595343","WorldCat Record")</f>
        <v>WorldCat Record</v>
      </c>
      <c r="AX1700" s="3" t="s">
        <v>16337</v>
      </c>
      <c r="AY1700" s="3" t="s">
        <v>16338</v>
      </c>
      <c r="AZ1700" s="3" t="s">
        <v>16339</v>
      </c>
      <c r="BA1700" s="3" t="s">
        <v>16339</v>
      </c>
      <c r="BB1700" s="3" t="s">
        <v>16340</v>
      </c>
      <c r="BC1700" s="3" t="s">
        <v>142</v>
      </c>
      <c r="BD1700" s="3" t="s">
        <v>68</v>
      </c>
      <c r="BE1700" s="3" t="s">
        <v>16341</v>
      </c>
      <c r="BF1700" s="3" t="s">
        <v>16340</v>
      </c>
      <c r="BG1700" s="3" t="s">
        <v>16342</v>
      </c>
    </row>
    <row r="1701" spans="1:59" ht="57" x14ac:dyDescent="0.45">
      <c r="A1701" s="2" t="s">
        <v>59</v>
      </c>
      <c r="B1701" s="2" t="s">
        <v>60</v>
      </c>
      <c r="C1701" s="2" t="s">
        <v>16343</v>
      </c>
      <c r="D1701" s="2" t="s">
        <v>16344</v>
      </c>
      <c r="E1701" s="2" t="s">
        <v>16345</v>
      </c>
      <c r="G1701" s="3" t="s">
        <v>62</v>
      </c>
      <c r="I1701" s="3" t="s">
        <v>62</v>
      </c>
      <c r="J1701" s="3" t="s">
        <v>62</v>
      </c>
      <c r="K1701" s="3" t="s">
        <v>63</v>
      </c>
      <c r="M1701" s="2" t="s">
        <v>16346</v>
      </c>
      <c r="N1701" s="3" t="s">
        <v>542</v>
      </c>
      <c r="P1701" s="3" t="s">
        <v>65</v>
      </c>
      <c r="Q1701" s="2" t="s">
        <v>16347</v>
      </c>
      <c r="R1701" s="3" t="s">
        <v>66</v>
      </c>
      <c r="S1701" s="4">
        <v>40</v>
      </c>
      <c r="T1701" s="4">
        <v>40</v>
      </c>
      <c r="U1701" s="5" t="s">
        <v>16348</v>
      </c>
      <c r="V1701" s="5" t="s">
        <v>16348</v>
      </c>
      <c r="W1701" s="5" t="s">
        <v>67</v>
      </c>
      <c r="X1701" s="5" t="s">
        <v>67</v>
      </c>
      <c r="Y1701" s="4">
        <v>496</v>
      </c>
      <c r="Z1701" s="4">
        <v>24</v>
      </c>
      <c r="AA1701" s="4">
        <v>27</v>
      </c>
      <c r="AB1701" s="4">
        <v>2</v>
      </c>
      <c r="AC1701" s="4">
        <v>5</v>
      </c>
      <c r="AD1701" s="4">
        <v>96</v>
      </c>
      <c r="AE1701" s="4">
        <v>98</v>
      </c>
      <c r="AF1701" s="4">
        <v>1</v>
      </c>
      <c r="AG1701" s="4">
        <v>3</v>
      </c>
      <c r="AH1701" s="4">
        <v>88</v>
      </c>
      <c r="AI1701" s="4">
        <v>89</v>
      </c>
      <c r="AJ1701" s="4">
        <v>15</v>
      </c>
      <c r="AK1701" s="4">
        <v>17</v>
      </c>
      <c r="AL1701" s="4">
        <v>45</v>
      </c>
      <c r="AM1701" s="4">
        <v>45</v>
      </c>
      <c r="AN1701" s="4">
        <v>0</v>
      </c>
      <c r="AO1701" s="4">
        <v>0</v>
      </c>
      <c r="AP1701" s="4">
        <v>17</v>
      </c>
      <c r="AQ1701" s="4">
        <v>19</v>
      </c>
      <c r="AR1701" s="3" t="s">
        <v>62</v>
      </c>
      <c r="AS1701" s="3" t="s">
        <v>62</v>
      </c>
      <c r="AT1701" s="3" t="s">
        <v>61</v>
      </c>
      <c r="AU1701" s="6" t="str">
        <f>HYPERLINK("http://catalog.hathitrust.org/Record/004171553","HathiTrust Record")</f>
        <v>HathiTrust Record</v>
      </c>
      <c r="AV1701" s="6" t="str">
        <f>HYPERLINK("http://mcgill.on.worldcat.org/oclc/45325556","Catalog Record")</f>
        <v>Catalog Record</v>
      </c>
      <c r="AW1701" s="6" t="str">
        <f>HYPERLINK("http://www.worldcat.org/oclc/45325556","WorldCat Record")</f>
        <v>WorldCat Record</v>
      </c>
      <c r="AX1701" s="3" t="s">
        <v>16349</v>
      </c>
      <c r="AY1701" s="3" t="s">
        <v>16350</v>
      </c>
      <c r="AZ1701" s="3" t="s">
        <v>16351</v>
      </c>
      <c r="BA1701" s="3" t="s">
        <v>16351</v>
      </c>
      <c r="BB1701" s="3" t="s">
        <v>16352</v>
      </c>
      <c r="BC1701" s="3" t="s">
        <v>142</v>
      </c>
      <c r="BD1701" s="3" t="s">
        <v>68</v>
      </c>
      <c r="BE1701" s="3" t="s">
        <v>16353</v>
      </c>
      <c r="BF1701" s="3" t="s">
        <v>16352</v>
      </c>
      <c r="BG1701" s="3" t="s">
        <v>16354</v>
      </c>
    </row>
    <row r="1702" spans="1:59" ht="57" x14ac:dyDescent="0.45">
      <c r="A1702" s="2" t="s">
        <v>59</v>
      </c>
      <c r="B1702" s="2" t="s">
        <v>60</v>
      </c>
      <c r="C1702" s="2" t="s">
        <v>16355</v>
      </c>
      <c r="D1702" s="2" t="s">
        <v>16356</v>
      </c>
      <c r="E1702" s="2" t="s">
        <v>16357</v>
      </c>
      <c r="G1702" s="3" t="s">
        <v>62</v>
      </c>
      <c r="I1702" s="3" t="s">
        <v>62</v>
      </c>
      <c r="J1702" s="3" t="s">
        <v>62</v>
      </c>
      <c r="K1702" s="3" t="s">
        <v>63</v>
      </c>
      <c r="M1702" s="2" t="s">
        <v>16358</v>
      </c>
      <c r="N1702" s="3" t="s">
        <v>945</v>
      </c>
      <c r="P1702" s="3" t="s">
        <v>326</v>
      </c>
      <c r="R1702" s="3" t="s">
        <v>66</v>
      </c>
      <c r="S1702" s="4">
        <v>2</v>
      </c>
      <c r="T1702" s="4">
        <v>2</v>
      </c>
      <c r="U1702" s="5" t="s">
        <v>10429</v>
      </c>
      <c r="V1702" s="5" t="s">
        <v>10429</v>
      </c>
      <c r="W1702" s="5" t="s">
        <v>67</v>
      </c>
      <c r="X1702" s="5" t="s">
        <v>67</v>
      </c>
      <c r="Y1702" s="4">
        <v>5</v>
      </c>
      <c r="Z1702" s="4">
        <v>2</v>
      </c>
      <c r="AA1702" s="4">
        <v>2</v>
      </c>
      <c r="AB1702" s="4">
        <v>2</v>
      </c>
      <c r="AC1702" s="4">
        <v>2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3" t="s">
        <v>62</v>
      </c>
      <c r="AS1702" s="3" t="s">
        <v>62</v>
      </c>
      <c r="AT1702" s="3" t="s">
        <v>62</v>
      </c>
      <c r="AV1702" s="6" t="str">
        <f>HYPERLINK("http://mcgill.on.worldcat.org/oclc/427486888","Catalog Record")</f>
        <v>Catalog Record</v>
      </c>
      <c r="AW1702" s="6" t="str">
        <f>HYPERLINK("http://www.worldcat.org/oclc/427486888","WorldCat Record")</f>
        <v>WorldCat Record</v>
      </c>
      <c r="AX1702" s="3" t="s">
        <v>16359</v>
      </c>
      <c r="AY1702" s="3" t="s">
        <v>16360</v>
      </c>
      <c r="AZ1702" s="3" t="s">
        <v>16361</v>
      </c>
      <c r="BA1702" s="3" t="s">
        <v>16361</v>
      </c>
      <c r="BB1702" s="3" t="s">
        <v>16362</v>
      </c>
      <c r="BC1702" s="3" t="s">
        <v>142</v>
      </c>
      <c r="BD1702" s="3" t="s">
        <v>68</v>
      </c>
      <c r="BE1702" s="3" t="s">
        <v>16363</v>
      </c>
      <c r="BF1702" s="3" t="s">
        <v>16362</v>
      </c>
      <c r="BG1702" s="3" t="s">
        <v>16364</v>
      </c>
    </row>
    <row r="1703" spans="1:59" ht="57" x14ac:dyDescent="0.45">
      <c r="A1703" s="2" t="s">
        <v>59</v>
      </c>
      <c r="B1703" s="2" t="s">
        <v>60</v>
      </c>
      <c r="C1703" s="2" t="s">
        <v>16365</v>
      </c>
      <c r="D1703" s="2" t="s">
        <v>16366</v>
      </c>
      <c r="E1703" s="2" t="s">
        <v>16367</v>
      </c>
      <c r="G1703" s="3" t="s">
        <v>62</v>
      </c>
      <c r="I1703" s="3" t="s">
        <v>62</v>
      </c>
      <c r="J1703" s="3" t="s">
        <v>62</v>
      </c>
      <c r="K1703" s="3" t="s">
        <v>63</v>
      </c>
      <c r="M1703" s="2" t="s">
        <v>16368</v>
      </c>
      <c r="N1703" s="3" t="s">
        <v>625</v>
      </c>
      <c r="P1703" s="3" t="s">
        <v>65</v>
      </c>
      <c r="R1703" s="3" t="s">
        <v>66</v>
      </c>
      <c r="S1703" s="4">
        <v>19</v>
      </c>
      <c r="T1703" s="4">
        <v>19</v>
      </c>
      <c r="U1703" s="5" t="s">
        <v>10429</v>
      </c>
      <c r="V1703" s="5" t="s">
        <v>10429</v>
      </c>
      <c r="W1703" s="5" t="s">
        <v>67</v>
      </c>
      <c r="X1703" s="5" t="s">
        <v>67</v>
      </c>
      <c r="Y1703" s="4">
        <v>98</v>
      </c>
      <c r="Z1703" s="4">
        <v>14</v>
      </c>
      <c r="AA1703" s="4">
        <v>17</v>
      </c>
      <c r="AB1703" s="4">
        <v>2</v>
      </c>
      <c r="AC1703" s="4">
        <v>5</v>
      </c>
      <c r="AD1703" s="4">
        <v>52</v>
      </c>
      <c r="AE1703" s="4">
        <v>55</v>
      </c>
      <c r="AF1703" s="4">
        <v>1</v>
      </c>
      <c r="AG1703" s="4">
        <v>4</v>
      </c>
      <c r="AH1703" s="4">
        <v>45</v>
      </c>
      <c r="AI1703" s="4">
        <v>46</v>
      </c>
      <c r="AJ1703" s="4">
        <v>10</v>
      </c>
      <c r="AK1703" s="4">
        <v>13</v>
      </c>
      <c r="AL1703" s="4">
        <v>33</v>
      </c>
      <c r="AM1703" s="4">
        <v>33</v>
      </c>
      <c r="AN1703" s="4">
        <v>0</v>
      </c>
      <c r="AO1703" s="4">
        <v>0</v>
      </c>
      <c r="AP1703" s="4">
        <v>11</v>
      </c>
      <c r="AQ1703" s="4">
        <v>13</v>
      </c>
      <c r="AR1703" s="3" t="s">
        <v>62</v>
      </c>
      <c r="AS1703" s="3" t="s">
        <v>62</v>
      </c>
      <c r="AT1703" s="3" t="s">
        <v>61</v>
      </c>
      <c r="AU1703" s="6" t="str">
        <f>HYPERLINK("http://catalog.hathitrust.org/Record/002874617","HathiTrust Record")</f>
        <v>HathiTrust Record</v>
      </c>
      <c r="AV1703" s="6" t="str">
        <f>HYPERLINK("http://mcgill.on.worldcat.org/oclc/15009369","Catalog Record")</f>
        <v>Catalog Record</v>
      </c>
      <c r="AW1703" s="6" t="str">
        <f>HYPERLINK("http://www.worldcat.org/oclc/15009369","WorldCat Record")</f>
        <v>WorldCat Record</v>
      </c>
      <c r="AX1703" s="3" t="s">
        <v>16369</v>
      </c>
      <c r="AY1703" s="3" t="s">
        <v>16370</v>
      </c>
      <c r="AZ1703" s="3" t="s">
        <v>16371</v>
      </c>
      <c r="BA1703" s="3" t="s">
        <v>16371</v>
      </c>
      <c r="BB1703" s="3" t="s">
        <v>16372</v>
      </c>
      <c r="BC1703" s="3" t="s">
        <v>142</v>
      </c>
      <c r="BD1703" s="3" t="s">
        <v>308</v>
      </c>
      <c r="BE1703" s="3" t="s">
        <v>16373</v>
      </c>
      <c r="BF1703" s="3" t="s">
        <v>16372</v>
      </c>
      <c r="BG1703" s="3" t="s">
        <v>16374</v>
      </c>
    </row>
    <row r="1704" spans="1:59" ht="57" x14ac:dyDescent="0.45">
      <c r="A1704" s="2" t="s">
        <v>59</v>
      </c>
      <c r="B1704" s="2" t="s">
        <v>60</v>
      </c>
      <c r="C1704" s="2" t="s">
        <v>16375</v>
      </c>
      <c r="D1704" s="2" t="s">
        <v>16376</v>
      </c>
      <c r="E1704" s="2" t="s">
        <v>16377</v>
      </c>
      <c r="G1704" s="3" t="s">
        <v>62</v>
      </c>
      <c r="I1704" s="3" t="s">
        <v>62</v>
      </c>
      <c r="J1704" s="3" t="s">
        <v>62</v>
      </c>
      <c r="K1704" s="3" t="s">
        <v>63</v>
      </c>
      <c r="L1704" s="2" t="s">
        <v>16378</v>
      </c>
      <c r="M1704" s="2" t="s">
        <v>16379</v>
      </c>
      <c r="N1704" s="3" t="s">
        <v>1073</v>
      </c>
      <c r="O1704" s="2" t="s">
        <v>168</v>
      </c>
      <c r="P1704" s="3" t="s">
        <v>65</v>
      </c>
      <c r="R1704" s="3" t="s">
        <v>66</v>
      </c>
      <c r="S1704" s="4">
        <v>1</v>
      </c>
      <c r="T1704" s="4">
        <v>1</v>
      </c>
      <c r="U1704" s="5" t="s">
        <v>10429</v>
      </c>
      <c r="V1704" s="5" t="s">
        <v>10429</v>
      </c>
      <c r="W1704" s="5" t="s">
        <v>67</v>
      </c>
      <c r="X1704" s="5" t="s">
        <v>67</v>
      </c>
      <c r="Y1704" s="4">
        <v>56</v>
      </c>
      <c r="Z1704" s="4">
        <v>4</v>
      </c>
      <c r="AA1704" s="4">
        <v>6</v>
      </c>
      <c r="AB1704" s="4">
        <v>1</v>
      </c>
      <c r="AC1704" s="4">
        <v>3</v>
      </c>
      <c r="AD1704" s="4">
        <v>28</v>
      </c>
      <c r="AE1704" s="4">
        <v>30</v>
      </c>
      <c r="AF1704" s="4">
        <v>0</v>
      </c>
      <c r="AG1704" s="4">
        <v>2</v>
      </c>
      <c r="AH1704" s="4">
        <v>26</v>
      </c>
      <c r="AI1704" s="4">
        <v>27</v>
      </c>
      <c r="AJ1704" s="4">
        <v>3</v>
      </c>
      <c r="AK1704" s="4">
        <v>5</v>
      </c>
      <c r="AL1704" s="4">
        <v>16</v>
      </c>
      <c r="AM1704" s="4">
        <v>16</v>
      </c>
      <c r="AN1704" s="4">
        <v>0</v>
      </c>
      <c r="AO1704" s="4">
        <v>0</v>
      </c>
      <c r="AP1704" s="4">
        <v>3</v>
      </c>
      <c r="AQ1704" s="4">
        <v>4</v>
      </c>
      <c r="AR1704" s="3" t="s">
        <v>62</v>
      </c>
      <c r="AS1704" s="3" t="s">
        <v>62</v>
      </c>
      <c r="AT1704" s="3" t="s">
        <v>61</v>
      </c>
      <c r="AU1704" s="6" t="str">
        <f>HYPERLINK("http://catalog.hathitrust.org/Record/101003445","HathiTrust Record")</f>
        <v>HathiTrust Record</v>
      </c>
      <c r="AV1704" s="6" t="str">
        <f>HYPERLINK("http://mcgill.on.worldcat.org/oclc/2020582","Catalog Record")</f>
        <v>Catalog Record</v>
      </c>
      <c r="AW1704" s="6" t="str">
        <f>HYPERLINK("http://www.worldcat.org/oclc/2020582","WorldCat Record")</f>
        <v>WorldCat Record</v>
      </c>
      <c r="AX1704" s="3" t="s">
        <v>16380</v>
      </c>
      <c r="AY1704" s="3" t="s">
        <v>16381</v>
      </c>
      <c r="AZ1704" s="3" t="s">
        <v>16382</v>
      </c>
      <c r="BA1704" s="3" t="s">
        <v>16382</v>
      </c>
      <c r="BB1704" s="3" t="s">
        <v>16383</v>
      </c>
      <c r="BC1704" s="3" t="s">
        <v>142</v>
      </c>
      <c r="BD1704" s="3" t="s">
        <v>68</v>
      </c>
      <c r="BE1704" s="3" t="s">
        <v>16384</v>
      </c>
      <c r="BF1704" s="3" t="s">
        <v>16383</v>
      </c>
      <c r="BG1704" s="3" t="s">
        <v>16385</v>
      </c>
    </row>
    <row r="1705" spans="1:59" ht="57" x14ac:dyDescent="0.45">
      <c r="A1705" s="2" t="s">
        <v>59</v>
      </c>
      <c r="B1705" s="2" t="s">
        <v>60</v>
      </c>
      <c r="C1705" s="2" t="s">
        <v>16386</v>
      </c>
      <c r="D1705" s="2" t="s">
        <v>16387</v>
      </c>
      <c r="E1705" s="2" t="s">
        <v>16388</v>
      </c>
      <c r="G1705" s="3" t="s">
        <v>62</v>
      </c>
      <c r="I1705" s="3" t="s">
        <v>62</v>
      </c>
      <c r="J1705" s="3" t="s">
        <v>62</v>
      </c>
      <c r="K1705" s="3" t="s">
        <v>63</v>
      </c>
      <c r="L1705" s="2" t="s">
        <v>16389</v>
      </c>
      <c r="M1705" s="2" t="s">
        <v>16390</v>
      </c>
      <c r="N1705" s="3" t="s">
        <v>1465</v>
      </c>
      <c r="P1705" s="3" t="s">
        <v>65</v>
      </c>
      <c r="Q1705" s="2" t="s">
        <v>16044</v>
      </c>
      <c r="R1705" s="3" t="s">
        <v>66</v>
      </c>
      <c r="S1705" s="4">
        <v>4</v>
      </c>
      <c r="T1705" s="4">
        <v>4</v>
      </c>
      <c r="U1705" s="5" t="s">
        <v>16391</v>
      </c>
      <c r="V1705" s="5" t="s">
        <v>16391</v>
      </c>
      <c r="W1705" s="5" t="s">
        <v>67</v>
      </c>
      <c r="X1705" s="5" t="s">
        <v>67</v>
      </c>
      <c r="Y1705" s="4">
        <v>159</v>
      </c>
      <c r="Z1705" s="4">
        <v>16</v>
      </c>
      <c r="AA1705" s="4">
        <v>94</v>
      </c>
      <c r="AB1705" s="4">
        <v>2</v>
      </c>
      <c r="AC1705" s="4">
        <v>17</v>
      </c>
      <c r="AD1705" s="4">
        <v>70</v>
      </c>
      <c r="AE1705" s="4">
        <v>128</v>
      </c>
      <c r="AF1705" s="4">
        <v>1</v>
      </c>
      <c r="AG1705" s="4">
        <v>8</v>
      </c>
      <c r="AH1705" s="4">
        <v>64</v>
      </c>
      <c r="AI1705" s="4">
        <v>90</v>
      </c>
      <c r="AJ1705" s="4">
        <v>13</v>
      </c>
      <c r="AK1705" s="4">
        <v>23</v>
      </c>
      <c r="AL1705" s="4">
        <v>40</v>
      </c>
      <c r="AM1705" s="4">
        <v>51</v>
      </c>
      <c r="AN1705" s="4">
        <v>0</v>
      </c>
      <c r="AO1705" s="4">
        <v>0</v>
      </c>
      <c r="AP1705" s="4">
        <v>13</v>
      </c>
      <c r="AQ1705" s="4">
        <v>44</v>
      </c>
      <c r="AR1705" s="3" t="s">
        <v>62</v>
      </c>
      <c r="AS1705" s="3" t="s">
        <v>62</v>
      </c>
      <c r="AT1705" s="3" t="s">
        <v>62</v>
      </c>
      <c r="AV1705" s="6" t="str">
        <f>HYPERLINK("http://mcgill.on.worldcat.org/oclc/244765380","Catalog Record")</f>
        <v>Catalog Record</v>
      </c>
      <c r="AW1705" s="6" t="str">
        <f>HYPERLINK("http://www.worldcat.org/oclc/244765380","WorldCat Record")</f>
        <v>WorldCat Record</v>
      </c>
      <c r="AX1705" s="3" t="s">
        <v>16392</v>
      </c>
      <c r="AY1705" s="3" t="s">
        <v>16393</v>
      </c>
      <c r="AZ1705" s="3" t="s">
        <v>16394</v>
      </c>
      <c r="BA1705" s="3" t="s">
        <v>16394</v>
      </c>
      <c r="BB1705" s="3" t="s">
        <v>16395</v>
      </c>
      <c r="BC1705" s="3" t="s">
        <v>142</v>
      </c>
      <c r="BD1705" s="3" t="s">
        <v>68</v>
      </c>
      <c r="BE1705" s="3" t="s">
        <v>16396</v>
      </c>
      <c r="BF1705" s="3" t="s">
        <v>16395</v>
      </c>
      <c r="BG1705" s="3" t="s">
        <v>16397</v>
      </c>
    </row>
    <row r="1706" spans="1:59" ht="57" x14ac:dyDescent="0.45">
      <c r="A1706" s="2" t="s">
        <v>59</v>
      </c>
      <c r="B1706" s="2" t="s">
        <v>60</v>
      </c>
      <c r="C1706" s="2" t="s">
        <v>16398</v>
      </c>
      <c r="D1706" s="2" t="s">
        <v>16399</v>
      </c>
      <c r="E1706" s="2" t="s">
        <v>16400</v>
      </c>
      <c r="G1706" s="3" t="s">
        <v>62</v>
      </c>
      <c r="I1706" s="3" t="s">
        <v>62</v>
      </c>
      <c r="J1706" s="3" t="s">
        <v>62</v>
      </c>
      <c r="K1706" s="3" t="s">
        <v>63</v>
      </c>
      <c r="L1706" s="2" t="s">
        <v>16401</v>
      </c>
      <c r="M1706" s="2" t="s">
        <v>16402</v>
      </c>
      <c r="N1706" s="3" t="s">
        <v>113</v>
      </c>
      <c r="O1706" s="2" t="s">
        <v>1748</v>
      </c>
      <c r="P1706" s="3" t="s">
        <v>65</v>
      </c>
      <c r="R1706" s="3" t="s">
        <v>66</v>
      </c>
      <c r="S1706" s="4">
        <v>7</v>
      </c>
      <c r="T1706" s="4">
        <v>7</v>
      </c>
      <c r="U1706" s="5" t="s">
        <v>16348</v>
      </c>
      <c r="V1706" s="5" t="s">
        <v>16348</v>
      </c>
      <c r="W1706" s="5" t="s">
        <v>67</v>
      </c>
      <c r="X1706" s="5" t="s">
        <v>67</v>
      </c>
      <c r="Y1706" s="4">
        <v>529</v>
      </c>
      <c r="Z1706" s="4">
        <v>24</v>
      </c>
      <c r="AA1706" s="4">
        <v>27</v>
      </c>
      <c r="AB1706" s="4">
        <v>2</v>
      </c>
      <c r="AC1706" s="4">
        <v>3</v>
      </c>
      <c r="AD1706" s="4">
        <v>107</v>
      </c>
      <c r="AE1706" s="4">
        <v>111</v>
      </c>
      <c r="AF1706" s="4">
        <v>1</v>
      </c>
      <c r="AG1706" s="4">
        <v>2</v>
      </c>
      <c r="AH1706" s="4">
        <v>93</v>
      </c>
      <c r="AI1706" s="4">
        <v>97</v>
      </c>
      <c r="AJ1706" s="4">
        <v>17</v>
      </c>
      <c r="AK1706" s="4">
        <v>19</v>
      </c>
      <c r="AL1706" s="4">
        <v>52</v>
      </c>
      <c r="AM1706" s="4">
        <v>52</v>
      </c>
      <c r="AN1706" s="4">
        <v>0</v>
      </c>
      <c r="AO1706" s="4">
        <v>5</v>
      </c>
      <c r="AP1706" s="4">
        <v>19</v>
      </c>
      <c r="AQ1706" s="4">
        <v>22</v>
      </c>
      <c r="AR1706" s="3" t="s">
        <v>62</v>
      </c>
      <c r="AS1706" s="3" t="s">
        <v>62</v>
      </c>
      <c r="AT1706" s="3" t="s">
        <v>61</v>
      </c>
      <c r="AU1706" s="6" t="str">
        <f>HYPERLINK("http://catalog.hathitrust.org/Record/001180841","HathiTrust Record")</f>
        <v>HathiTrust Record</v>
      </c>
      <c r="AV1706" s="6" t="str">
        <f>HYPERLINK("http://mcgill.on.worldcat.org/oclc/670902","Catalog Record")</f>
        <v>Catalog Record</v>
      </c>
      <c r="AW1706" s="6" t="str">
        <f>HYPERLINK("http://www.worldcat.org/oclc/670902","WorldCat Record")</f>
        <v>WorldCat Record</v>
      </c>
      <c r="AX1706" s="3" t="s">
        <v>16403</v>
      </c>
      <c r="AY1706" s="3" t="s">
        <v>16404</v>
      </c>
      <c r="AZ1706" s="3" t="s">
        <v>16405</v>
      </c>
      <c r="BA1706" s="3" t="s">
        <v>16405</v>
      </c>
      <c r="BB1706" s="3" t="s">
        <v>16406</v>
      </c>
      <c r="BC1706" s="3" t="s">
        <v>142</v>
      </c>
      <c r="BD1706" s="3" t="s">
        <v>68</v>
      </c>
      <c r="BE1706" s="3" t="s">
        <v>16407</v>
      </c>
      <c r="BF1706" s="3" t="s">
        <v>16406</v>
      </c>
      <c r="BG1706" s="3" t="s">
        <v>16408</v>
      </c>
    </row>
    <row r="1707" spans="1:59" ht="57" x14ac:dyDescent="0.45">
      <c r="A1707" s="2" t="s">
        <v>59</v>
      </c>
      <c r="B1707" s="2" t="s">
        <v>60</v>
      </c>
      <c r="C1707" s="2" t="s">
        <v>16409</v>
      </c>
      <c r="D1707" s="2" t="s">
        <v>16410</v>
      </c>
      <c r="E1707" s="2" t="s">
        <v>16411</v>
      </c>
      <c r="G1707" s="3" t="s">
        <v>62</v>
      </c>
      <c r="I1707" s="3" t="s">
        <v>62</v>
      </c>
      <c r="J1707" s="3" t="s">
        <v>62</v>
      </c>
      <c r="K1707" s="3" t="s">
        <v>63</v>
      </c>
      <c r="M1707" s="2" t="s">
        <v>4009</v>
      </c>
      <c r="N1707" s="3" t="s">
        <v>149</v>
      </c>
      <c r="P1707" s="3" t="s">
        <v>65</v>
      </c>
      <c r="Q1707" s="2" t="s">
        <v>16412</v>
      </c>
      <c r="R1707" s="3" t="s">
        <v>66</v>
      </c>
      <c r="S1707" s="4">
        <v>4</v>
      </c>
      <c r="T1707" s="4">
        <v>4</v>
      </c>
      <c r="U1707" s="5" t="s">
        <v>16391</v>
      </c>
      <c r="V1707" s="5" t="s">
        <v>16391</v>
      </c>
      <c r="W1707" s="5" t="s">
        <v>67</v>
      </c>
      <c r="X1707" s="5" t="s">
        <v>67</v>
      </c>
      <c r="Y1707" s="4">
        <v>141</v>
      </c>
      <c r="Z1707" s="4">
        <v>19</v>
      </c>
      <c r="AA1707" s="4">
        <v>24</v>
      </c>
      <c r="AB1707" s="4">
        <v>2</v>
      </c>
      <c r="AC1707" s="4">
        <v>5</v>
      </c>
      <c r="AD1707" s="4">
        <v>65</v>
      </c>
      <c r="AE1707" s="4">
        <v>71</v>
      </c>
      <c r="AF1707" s="4">
        <v>1</v>
      </c>
      <c r="AG1707" s="4">
        <v>2</v>
      </c>
      <c r="AH1707" s="4">
        <v>59</v>
      </c>
      <c r="AI1707" s="4">
        <v>63</v>
      </c>
      <c r="AJ1707" s="4">
        <v>12</v>
      </c>
      <c r="AK1707" s="4">
        <v>13</v>
      </c>
      <c r="AL1707" s="4">
        <v>32</v>
      </c>
      <c r="AM1707" s="4">
        <v>35</v>
      </c>
      <c r="AN1707" s="4">
        <v>0</v>
      </c>
      <c r="AO1707" s="4">
        <v>0</v>
      </c>
      <c r="AP1707" s="4">
        <v>14</v>
      </c>
      <c r="AQ1707" s="4">
        <v>16</v>
      </c>
      <c r="AR1707" s="3" t="s">
        <v>62</v>
      </c>
      <c r="AS1707" s="3" t="s">
        <v>62</v>
      </c>
      <c r="AT1707" s="3" t="s">
        <v>62</v>
      </c>
      <c r="AV1707" s="6" t="str">
        <f>HYPERLINK("http://mcgill.on.worldcat.org/oclc/457164595","Catalog Record")</f>
        <v>Catalog Record</v>
      </c>
      <c r="AW1707" s="6" t="str">
        <f>HYPERLINK("http://www.worldcat.org/oclc/457164595","WorldCat Record")</f>
        <v>WorldCat Record</v>
      </c>
      <c r="AX1707" s="3" t="s">
        <v>16413</v>
      </c>
      <c r="AY1707" s="3" t="s">
        <v>16414</v>
      </c>
      <c r="AZ1707" s="3" t="s">
        <v>16415</v>
      </c>
      <c r="BA1707" s="3" t="s">
        <v>16415</v>
      </c>
      <c r="BB1707" s="3" t="s">
        <v>16416</v>
      </c>
      <c r="BC1707" s="3" t="s">
        <v>142</v>
      </c>
      <c r="BD1707" s="3" t="s">
        <v>68</v>
      </c>
      <c r="BE1707" s="3" t="s">
        <v>16417</v>
      </c>
      <c r="BF1707" s="3" t="s">
        <v>16416</v>
      </c>
      <c r="BG1707" s="3" t="s">
        <v>16418</v>
      </c>
    </row>
    <row r="1708" spans="1:59" ht="71.25" x14ac:dyDescent="0.45">
      <c r="A1708" s="2" t="s">
        <v>59</v>
      </c>
      <c r="B1708" s="2" t="s">
        <v>60</v>
      </c>
      <c r="C1708" s="2" t="s">
        <v>16419</v>
      </c>
      <c r="D1708" s="2" t="s">
        <v>16420</v>
      </c>
      <c r="E1708" s="2" t="s">
        <v>16421</v>
      </c>
      <c r="G1708" s="3" t="s">
        <v>62</v>
      </c>
      <c r="I1708" s="3" t="s">
        <v>62</v>
      </c>
      <c r="J1708" s="3" t="s">
        <v>62</v>
      </c>
      <c r="K1708" s="3" t="s">
        <v>63</v>
      </c>
      <c r="M1708" s="2" t="s">
        <v>16422</v>
      </c>
      <c r="N1708" s="3" t="s">
        <v>149</v>
      </c>
      <c r="P1708" s="3" t="s">
        <v>65</v>
      </c>
      <c r="R1708" s="3" t="s">
        <v>66</v>
      </c>
      <c r="S1708" s="4">
        <v>0</v>
      </c>
      <c r="T1708" s="4">
        <v>0</v>
      </c>
      <c r="W1708" s="5" t="s">
        <v>67</v>
      </c>
      <c r="X1708" s="5" t="s">
        <v>67</v>
      </c>
      <c r="Y1708" s="4">
        <v>21</v>
      </c>
      <c r="Z1708" s="4">
        <v>5</v>
      </c>
      <c r="AA1708" s="4">
        <v>6</v>
      </c>
      <c r="AB1708" s="4">
        <v>1</v>
      </c>
      <c r="AC1708" s="4">
        <v>2</v>
      </c>
      <c r="AD1708" s="4">
        <v>8</v>
      </c>
      <c r="AE1708" s="4">
        <v>9</v>
      </c>
      <c r="AF1708" s="4">
        <v>0</v>
      </c>
      <c r="AG1708" s="4">
        <v>1</v>
      </c>
      <c r="AH1708" s="4">
        <v>7</v>
      </c>
      <c r="AI1708" s="4">
        <v>7</v>
      </c>
      <c r="AJ1708" s="4">
        <v>3</v>
      </c>
      <c r="AK1708" s="4">
        <v>3</v>
      </c>
      <c r="AL1708" s="4">
        <v>4</v>
      </c>
      <c r="AM1708" s="4">
        <v>4</v>
      </c>
      <c r="AN1708" s="4">
        <v>0</v>
      </c>
      <c r="AO1708" s="4">
        <v>0</v>
      </c>
      <c r="AP1708" s="4">
        <v>3</v>
      </c>
      <c r="AQ1708" s="4">
        <v>4</v>
      </c>
      <c r="AR1708" s="3" t="s">
        <v>62</v>
      </c>
      <c r="AS1708" s="3" t="s">
        <v>62</v>
      </c>
      <c r="AT1708" s="3" t="s">
        <v>62</v>
      </c>
      <c r="AV1708" s="6" t="str">
        <f>HYPERLINK("http://mcgill.on.worldcat.org/oclc/669751199","Catalog Record")</f>
        <v>Catalog Record</v>
      </c>
      <c r="AW1708" s="6" t="str">
        <f>HYPERLINK("http://www.worldcat.org/oclc/669751199","WorldCat Record")</f>
        <v>WorldCat Record</v>
      </c>
      <c r="AX1708" s="3" t="s">
        <v>16423</v>
      </c>
      <c r="AY1708" s="3" t="s">
        <v>16424</v>
      </c>
      <c r="AZ1708" s="3" t="s">
        <v>16425</v>
      </c>
      <c r="BA1708" s="3" t="s">
        <v>16425</v>
      </c>
      <c r="BB1708" s="3" t="s">
        <v>16426</v>
      </c>
      <c r="BC1708" s="3" t="s">
        <v>142</v>
      </c>
      <c r="BD1708" s="3" t="s">
        <v>68</v>
      </c>
      <c r="BE1708" s="3" t="s">
        <v>16427</v>
      </c>
      <c r="BF1708" s="3" t="s">
        <v>16426</v>
      </c>
      <c r="BG1708" s="3" t="s">
        <v>16428</v>
      </c>
    </row>
    <row r="1709" spans="1:59" ht="57" x14ac:dyDescent="0.45">
      <c r="A1709" s="2" t="s">
        <v>59</v>
      </c>
      <c r="B1709" s="2" t="s">
        <v>60</v>
      </c>
      <c r="C1709" s="2" t="s">
        <v>16429</v>
      </c>
      <c r="D1709" s="2" t="s">
        <v>16430</v>
      </c>
      <c r="E1709" s="2" t="s">
        <v>16431</v>
      </c>
      <c r="G1709" s="3" t="s">
        <v>62</v>
      </c>
      <c r="I1709" s="3" t="s">
        <v>62</v>
      </c>
      <c r="J1709" s="3" t="s">
        <v>62</v>
      </c>
      <c r="K1709" s="3" t="s">
        <v>63</v>
      </c>
      <c r="M1709" s="2" t="s">
        <v>16432</v>
      </c>
      <c r="N1709" s="3" t="s">
        <v>918</v>
      </c>
      <c r="O1709" s="2" t="s">
        <v>168</v>
      </c>
      <c r="P1709" s="3" t="s">
        <v>65</v>
      </c>
      <c r="Q1709" s="2" t="s">
        <v>16433</v>
      </c>
      <c r="R1709" s="3" t="s">
        <v>66</v>
      </c>
      <c r="S1709" s="4">
        <v>19</v>
      </c>
      <c r="T1709" s="4">
        <v>19</v>
      </c>
      <c r="U1709" s="5" t="s">
        <v>998</v>
      </c>
      <c r="V1709" s="5" t="s">
        <v>998</v>
      </c>
      <c r="W1709" s="5" t="s">
        <v>67</v>
      </c>
      <c r="X1709" s="5" t="s">
        <v>67</v>
      </c>
      <c r="Y1709" s="4">
        <v>167</v>
      </c>
      <c r="Z1709" s="4">
        <v>11</v>
      </c>
      <c r="AA1709" s="4">
        <v>11</v>
      </c>
      <c r="AB1709" s="4">
        <v>1</v>
      </c>
      <c r="AC1709" s="4">
        <v>1</v>
      </c>
      <c r="AD1709" s="4">
        <v>64</v>
      </c>
      <c r="AE1709" s="4">
        <v>64</v>
      </c>
      <c r="AF1709" s="4">
        <v>0</v>
      </c>
      <c r="AG1709" s="4">
        <v>0</v>
      </c>
      <c r="AH1709" s="4">
        <v>60</v>
      </c>
      <c r="AI1709" s="4">
        <v>60</v>
      </c>
      <c r="AJ1709" s="4">
        <v>8</v>
      </c>
      <c r="AK1709" s="4">
        <v>8</v>
      </c>
      <c r="AL1709" s="4">
        <v>38</v>
      </c>
      <c r="AM1709" s="4">
        <v>38</v>
      </c>
      <c r="AN1709" s="4">
        <v>0</v>
      </c>
      <c r="AO1709" s="4">
        <v>0</v>
      </c>
      <c r="AP1709" s="4">
        <v>8</v>
      </c>
      <c r="AQ1709" s="4">
        <v>8</v>
      </c>
      <c r="AR1709" s="3" t="s">
        <v>62</v>
      </c>
      <c r="AS1709" s="3" t="s">
        <v>62</v>
      </c>
      <c r="AT1709" s="3" t="s">
        <v>61</v>
      </c>
      <c r="AU1709" s="6" t="str">
        <f>HYPERLINK("http://catalog.hathitrust.org/Record/004346876","HathiTrust Record")</f>
        <v>HathiTrust Record</v>
      </c>
      <c r="AV1709" s="6" t="str">
        <f>HYPERLINK("http://mcgill.on.worldcat.org/oclc/52782859","Catalog Record")</f>
        <v>Catalog Record</v>
      </c>
      <c r="AW1709" s="6" t="str">
        <f>HYPERLINK("http://www.worldcat.org/oclc/52782859","WorldCat Record")</f>
        <v>WorldCat Record</v>
      </c>
      <c r="AX1709" s="3" t="s">
        <v>16434</v>
      </c>
      <c r="AY1709" s="3" t="s">
        <v>16435</v>
      </c>
      <c r="AZ1709" s="3" t="s">
        <v>16436</v>
      </c>
      <c r="BA1709" s="3" t="s">
        <v>16436</v>
      </c>
      <c r="BB1709" s="3" t="s">
        <v>16437</v>
      </c>
      <c r="BC1709" s="3" t="s">
        <v>142</v>
      </c>
      <c r="BD1709" s="3" t="s">
        <v>68</v>
      </c>
      <c r="BE1709" s="3" t="s">
        <v>16438</v>
      </c>
      <c r="BF1709" s="3" t="s">
        <v>16437</v>
      </c>
      <c r="BG1709" s="3" t="s">
        <v>16439</v>
      </c>
    </row>
    <row r="1710" spans="1:59" ht="57" x14ac:dyDescent="0.45">
      <c r="A1710" s="2" t="s">
        <v>59</v>
      </c>
      <c r="B1710" s="2" t="s">
        <v>60</v>
      </c>
      <c r="C1710" s="2" t="s">
        <v>16440</v>
      </c>
      <c r="D1710" s="2" t="s">
        <v>16441</v>
      </c>
      <c r="E1710" s="2" t="s">
        <v>16442</v>
      </c>
      <c r="G1710" s="3" t="s">
        <v>62</v>
      </c>
      <c r="I1710" s="3" t="s">
        <v>62</v>
      </c>
      <c r="J1710" s="3" t="s">
        <v>62</v>
      </c>
      <c r="K1710" s="3" t="s">
        <v>63</v>
      </c>
      <c r="M1710" s="2" t="s">
        <v>16443</v>
      </c>
      <c r="N1710" s="3" t="s">
        <v>149</v>
      </c>
      <c r="P1710" s="3" t="s">
        <v>65</v>
      </c>
      <c r="Q1710" s="2" t="s">
        <v>16444</v>
      </c>
      <c r="R1710" s="3" t="s">
        <v>66</v>
      </c>
      <c r="S1710" s="4">
        <v>1</v>
      </c>
      <c r="T1710" s="4">
        <v>1</v>
      </c>
      <c r="U1710" s="5" t="s">
        <v>16445</v>
      </c>
      <c r="V1710" s="5" t="s">
        <v>16445</v>
      </c>
      <c r="W1710" s="5" t="s">
        <v>67</v>
      </c>
      <c r="X1710" s="5" t="s">
        <v>67</v>
      </c>
      <c r="Y1710" s="4">
        <v>123</v>
      </c>
      <c r="Z1710" s="4">
        <v>16</v>
      </c>
      <c r="AA1710" s="4">
        <v>63</v>
      </c>
      <c r="AB1710" s="4">
        <v>2</v>
      </c>
      <c r="AC1710" s="4">
        <v>9</v>
      </c>
      <c r="AD1710" s="4">
        <v>58</v>
      </c>
      <c r="AE1710" s="4">
        <v>95</v>
      </c>
      <c r="AF1710" s="4">
        <v>1</v>
      </c>
      <c r="AG1710" s="4">
        <v>2</v>
      </c>
      <c r="AH1710" s="4">
        <v>51</v>
      </c>
      <c r="AI1710" s="4">
        <v>76</v>
      </c>
      <c r="AJ1710" s="4">
        <v>11</v>
      </c>
      <c r="AK1710" s="4">
        <v>17</v>
      </c>
      <c r="AL1710" s="4">
        <v>35</v>
      </c>
      <c r="AM1710" s="4">
        <v>43</v>
      </c>
      <c r="AN1710" s="4">
        <v>0</v>
      </c>
      <c r="AO1710" s="4">
        <v>0</v>
      </c>
      <c r="AP1710" s="4">
        <v>13</v>
      </c>
      <c r="AQ1710" s="4">
        <v>26</v>
      </c>
      <c r="AR1710" s="3" t="s">
        <v>62</v>
      </c>
      <c r="AS1710" s="3" t="s">
        <v>62</v>
      </c>
      <c r="AT1710" s="3" t="s">
        <v>62</v>
      </c>
      <c r="AV1710" s="6" t="str">
        <f>HYPERLINK("http://mcgill.on.worldcat.org/oclc/468979309","Catalog Record")</f>
        <v>Catalog Record</v>
      </c>
      <c r="AW1710" s="6" t="str">
        <f>HYPERLINK("http://www.worldcat.org/oclc/468979309","WorldCat Record")</f>
        <v>WorldCat Record</v>
      </c>
      <c r="AX1710" s="3" t="s">
        <v>16446</v>
      </c>
      <c r="AY1710" s="3" t="s">
        <v>16447</v>
      </c>
      <c r="AZ1710" s="3" t="s">
        <v>16448</v>
      </c>
      <c r="BA1710" s="3" t="s">
        <v>16448</v>
      </c>
      <c r="BB1710" s="3" t="s">
        <v>16449</v>
      </c>
      <c r="BC1710" s="3" t="s">
        <v>142</v>
      </c>
      <c r="BD1710" s="3" t="s">
        <v>68</v>
      </c>
      <c r="BE1710" s="3" t="s">
        <v>16450</v>
      </c>
      <c r="BF1710" s="3" t="s">
        <v>16449</v>
      </c>
      <c r="BG1710" s="3" t="s">
        <v>16451</v>
      </c>
    </row>
    <row r="1711" spans="1:59" ht="57" x14ac:dyDescent="0.45">
      <c r="A1711" s="2" t="s">
        <v>59</v>
      </c>
      <c r="B1711" s="2" t="s">
        <v>60</v>
      </c>
      <c r="C1711" s="2" t="s">
        <v>16452</v>
      </c>
      <c r="D1711" s="2" t="s">
        <v>16453</v>
      </c>
      <c r="E1711" s="2" t="s">
        <v>16454</v>
      </c>
      <c r="G1711" s="3" t="s">
        <v>62</v>
      </c>
      <c r="I1711" s="3" t="s">
        <v>62</v>
      </c>
      <c r="J1711" s="3" t="s">
        <v>62</v>
      </c>
      <c r="K1711" s="3" t="s">
        <v>63</v>
      </c>
      <c r="M1711" s="2" t="s">
        <v>16455</v>
      </c>
      <c r="N1711" s="3" t="s">
        <v>149</v>
      </c>
      <c r="P1711" s="3" t="s">
        <v>65</v>
      </c>
      <c r="Q1711" s="2" t="s">
        <v>16456</v>
      </c>
      <c r="R1711" s="3" t="s">
        <v>66</v>
      </c>
      <c r="S1711" s="4">
        <v>1</v>
      </c>
      <c r="T1711" s="4">
        <v>1</v>
      </c>
      <c r="U1711" s="5" t="s">
        <v>16457</v>
      </c>
      <c r="V1711" s="5" t="s">
        <v>16457</v>
      </c>
      <c r="W1711" s="5" t="s">
        <v>67</v>
      </c>
      <c r="X1711" s="5" t="s">
        <v>67</v>
      </c>
      <c r="Y1711" s="4">
        <v>10</v>
      </c>
      <c r="Z1711" s="4">
        <v>1</v>
      </c>
      <c r="AA1711" s="4">
        <v>1</v>
      </c>
      <c r="AB1711" s="4">
        <v>1</v>
      </c>
      <c r="AC1711" s="4">
        <v>1</v>
      </c>
      <c r="AD1711" s="4">
        <v>4</v>
      </c>
      <c r="AE1711" s="4">
        <v>4</v>
      </c>
      <c r="AF1711" s="4">
        <v>0</v>
      </c>
      <c r="AG1711" s="4">
        <v>0</v>
      </c>
      <c r="AH1711" s="4">
        <v>4</v>
      </c>
      <c r="AI1711" s="4">
        <v>4</v>
      </c>
      <c r="AJ1711" s="4">
        <v>0</v>
      </c>
      <c r="AK1711" s="4">
        <v>0</v>
      </c>
      <c r="AL1711" s="4">
        <v>2</v>
      </c>
      <c r="AM1711" s="4">
        <v>2</v>
      </c>
      <c r="AN1711" s="4">
        <v>0</v>
      </c>
      <c r="AO1711" s="4">
        <v>0</v>
      </c>
      <c r="AP1711" s="4">
        <v>0</v>
      </c>
      <c r="AQ1711" s="4">
        <v>0</v>
      </c>
      <c r="AR1711" s="3" t="s">
        <v>62</v>
      </c>
      <c r="AS1711" s="3" t="s">
        <v>62</v>
      </c>
      <c r="AT1711" s="3" t="s">
        <v>62</v>
      </c>
      <c r="AV1711" s="6" t="str">
        <f>HYPERLINK("http://mcgill.on.worldcat.org/oclc/678552046","Catalog Record")</f>
        <v>Catalog Record</v>
      </c>
      <c r="AW1711" s="6" t="str">
        <f>HYPERLINK("http://www.worldcat.org/oclc/678552046","WorldCat Record")</f>
        <v>WorldCat Record</v>
      </c>
      <c r="AX1711" s="3" t="s">
        <v>16458</v>
      </c>
      <c r="AY1711" s="3" t="s">
        <v>16459</v>
      </c>
      <c r="AZ1711" s="3" t="s">
        <v>16460</v>
      </c>
      <c r="BA1711" s="3" t="s">
        <v>16460</v>
      </c>
      <c r="BB1711" s="3" t="s">
        <v>16461</v>
      </c>
      <c r="BC1711" s="3" t="s">
        <v>142</v>
      </c>
      <c r="BD1711" s="3" t="s">
        <v>68</v>
      </c>
      <c r="BE1711" s="3" t="s">
        <v>16462</v>
      </c>
      <c r="BF1711" s="3" t="s">
        <v>16461</v>
      </c>
      <c r="BG1711" s="3" t="s">
        <v>16463</v>
      </c>
    </row>
    <row r="1712" spans="1:59" ht="57" x14ac:dyDescent="0.45">
      <c r="A1712" s="2" t="s">
        <v>59</v>
      </c>
      <c r="B1712" s="2" t="s">
        <v>60</v>
      </c>
      <c r="C1712" s="2" t="s">
        <v>16464</v>
      </c>
      <c r="D1712" s="2" t="s">
        <v>16465</v>
      </c>
      <c r="E1712" s="2" t="s">
        <v>16466</v>
      </c>
      <c r="G1712" s="3" t="s">
        <v>62</v>
      </c>
      <c r="I1712" s="3" t="s">
        <v>61</v>
      </c>
      <c r="J1712" s="3" t="s">
        <v>61</v>
      </c>
      <c r="K1712" s="3" t="s">
        <v>63</v>
      </c>
      <c r="L1712" s="2" t="s">
        <v>16467</v>
      </c>
      <c r="M1712" s="2" t="s">
        <v>16468</v>
      </c>
      <c r="N1712" s="3" t="s">
        <v>106</v>
      </c>
      <c r="P1712" s="3" t="s">
        <v>65</v>
      </c>
      <c r="R1712" s="3" t="s">
        <v>66</v>
      </c>
      <c r="S1712" s="4">
        <v>4</v>
      </c>
      <c r="T1712" s="4">
        <v>4</v>
      </c>
      <c r="U1712" s="5" t="s">
        <v>13451</v>
      </c>
      <c r="V1712" s="5" t="s">
        <v>13451</v>
      </c>
      <c r="W1712" s="5" t="s">
        <v>67</v>
      </c>
      <c r="X1712" s="5" t="s">
        <v>67</v>
      </c>
      <c r="Y1712" s="4">
        <v>865</v>
      </c>
      <c r="Z1712" s="4">
        <v>31</v>
      </c>
      <c r="AA1712" s="4">
        <v>88</v>
      </c>
      <c r="AB1712" s="4">
        <v>2</v>
      </c>
      <c r="AC1712" s="4">
        <v>15</v>
      </c>
      <c r="AD1712" s="4">
        <v>114</v>
      </c>
      <c r="AE1712" s="4">
        <v>159</v>
      </c>
      <c r="AF1712" s="4">
        <v>1</v>
      </c>
      <c r="AG1712" s="4">
        <v>7</v>
      </c>
      <c r="AH1712" s="4">
        <v>97</v>
      </c>
      <c r="AI1712" s="4">
        <v>116</v>
      </c>
      <c r="AJ1712" s="4">
        <v>17</v>
      </c>
      <c r="AK1712" s="4">
        <v>29</v>
      </c>
      <c r="AL1712" s="4">
        <v>54</v>
      </c>
      <c r="AM1712" s="4">
        <v>61</v>
      </c>
      <c r="AN1712" s="4">
        <v>0</v>
      </c>
      <c r="AO1712" s="4">
        <v>0</v>
      </c>
      <c r="AP1712" s="4">
        <v>21</v>
      </c>
      <c r="AQ1712" s="4">
        <v>49</v>
      </c>
      <c r="AR1712" s="3" t="s">
        <v>62</v>
      </c>
      <c r="AS1712" s="3" t="s">
        <v>62</v>
      </c>
      <c r="AT1712" s="3" t="s">
        <v>61</v>
      </c>
      <c r="AU1712" s="6" t="str">
        <f>HYPERLINK("http://catalog.hathitrust.org/Record/000203109","HathiTrust Record")</f>
        <v>HathiTrust Record</v>
      </c>
      <c r="AV1712" s="6" t="str">
        <f>HYPERLINK("http://mcgill.on.worldcat.org/oclc/9082666","Catalog Record")</f>
        <v>Catalog Record</v>
      </c>
      <c r="AW1712" s="6" t="str">
        <f>HYPERLINK("http://www.worldcat.org/oclc/9082666","WorldCat Record")</f>
        <v>WorldCat Record</v>
      </c>
      <c r="AX1712" s="3" t="s">
        <v>16469</v>
      </c>
      <c r="AY1712" s="3" t="s">
        <v>16470</v>
      </c>
      <c r="AZ1712" s="3" t="s">
        <v>16471</v>
      </c>
      <c r="BA1712" s="3" t="s">
        <v>16471</v>
      </c>
      <c r="BB1712" s="3" t="s">
        <v>16472</v>
      </c>
      <c r="BC1712" s="3" t="s">
        <v>142</v>
      </c>
      <c r="BD1712" s="3" t="s">
        <v>68</v>
      </c>
      <c r="BE1712" s="3" t="s">
        <v>16473</v>
      </c>
      <c r="BF1712" s="3" t="s">
        <v>16472</v>
      </c>
      <c r="BG1712" s="3" t="s">
        <v>16474</v>
      </c>
    </row>
    <row r="1713" spans="1:59" ht="57" x14ac:dyDescent="0.45">
      <c r="A1713" s="2" t="s">
        <v>59</v>
      </c>
      <c r="B1713" s="2" t="s">
        <v>60</v>
      </c>
      <c r="C1713" s="2" t="s">
        <v>16475</v>
      </c>
      <c r="D1713" s="2" t="s">
        <v>16476</v>
      </c>
      <c r="E1713" s="2" t="s">
        <v>16477</v>
      </c>
      <c r="G1713" s="3" t="s">
        <v>62</v>
      </c>
      <c r="I1713" s="3" t="s">
        <v>62</v>
      </c>
      <c r="J1713" s="3" t="s">
        <v>61</v>
      </c>
      <c r="K1713" s="3" t="s">
        <v>63</v>
      </c>
      <c r="L1713" s="2" t="s">
        <v>16478</v>
      </c>
      <c r="M1713" s="2" t="s">
        <v>16479</v>
      </c>
      <c r="N1713" s="3" t="s">
        <v>84</v>
      </c>
      <c r="P1713" s="3" t="s">
        <v>65</v>
      </c>
      <c r="Q1713" s="2" t="s">
        <v>16480</v>
      </c>
      <c r="R1713" s="3" t="s">
        <v>66</v>
      </c>
      <c r="S1713" s="4">
        <v>8</v>
      </c>
      <c r="T1713" s="4">
        <v>8</v>
      </c>
      <c r="U1713" s="5" t="s">
        <v>16481</v>
      </c>
      <c r="V1713" s="5" t="s">
        <v>16481</v>
      </c>
      <c r="W1713" s="5" t="s">
        <v>67</v>
      </c>
      <c r="X1713" s="5" t="s">
        <v>67</v>
      </c>
      <c r="Y1713" s="4">
        <v>773</v>
      </c>
      <c r="Z1713" s="4">
        <v>22</v>
      </c>
      <c r="AA1713" s="4">
        <v>48</v>
      </c>
      <c r="AB1713" s="4">
        <v>1</v>
      </c>
      <c r="AC1713" s="4">
        <v>8</v>
      </c>
      <c r="AD1713" s="4">
        <v>113</v>
      </c>
      <c r="AE1713" s="4">
        <v>138</v>
      </c>
      <c r="AF1713" s="4">
        <v>0</v>
      </c>
      <c r="AG1713" s="4">
        <v>5</v>
      </c>
      <c r="AH1713" s="4">
        <v>101</v>
      </c>
      <c r="AI1713" s="4">
        <v>115</v>
      </c>
      <c r="AJ1713" s="4">
        <v>13</v>
      </c>
      <c r="AK1713" s="4">
        <v>24</v>
      </c>
      <c r="AL1713" s="4">
        <v>55</v>
      </c>
      <c r="AM1713" s="4">
        <v>60</v>
      </c>
      <c r="AN1713" s="4">
        <v>0</v>
      </c>
      <c r="AO1713" s="4">
        <v>0</v>
      </c>
      <c r="AP1713" s="4">
        <v>18</v>
      </c>
      <c r="AQ1713" s="4">
        <v>31</v>
      </c>
      <c r="AR1713" s="3" t="s">
        <v>62</v>
      </c>
      <c r="AS1713" s="3" t="s">
        <v>62</v>
      </c>
      <c r="AT1713" s="3" t="s">
        <v>61</v>
      </c>
      <c r="AU1713" s="6" t="str">
        <f>HYPERLINK("http://catalog.hathitrust.org/Record/002536501","HathiTrust Record")</f>
        <v>HathiTrust Record</v>
      </c>
      <c r="AV1713" s="6" t="str">
        <f>HYPERLINK("http://mcgill.on.worldcat.org/oclc/24590084","Catalog Record")</f>
        <v>Catalog Record</v>
      </c>
      <c r="AW1713" s="6" t="str">
        <f>HYPERLINK("http://www.worldcat.org/oclc/24590084","WorldCat Record")</f>
        <v>WorldCat Record</v>
      </c>
      <c r="AX1713" s="3" t="s">
        <v>16482</v>
      </c>
      <c r="AY1713" s="3" t="s">
        <v>16483</v>
      </c>
      <c r="AZ1713" s="3" t="s">
        <v>16484</v>
      </c>
      <c r="BA1713" s="3" t="s">
        <v>16484</v>
      </c>
      <c r="BB1713" s="3" t="s">
        <v>16485</v>
      </c>
      <c r="BC1713" s="3" t="s">
        <v>142</v>
      </c>
      <c r="BD1713" s="3" t="s">
        <v>68</v>
      </c>
      <c r="BE1713" s="3" t="s">
        <v>16486</v>
      </c>
      <c r="BF1713" s="3" t="s">
        <v>16485</v>
      </c>
      <c r="BG1713" s="3" t="s">
        <v>16487</v>
      </c>
    </row>
    <row r="1714" spans="1:59" ht="57" x14ac:dyDescent="0.45">
      <c r="A1714" s="2" t="s">
        <v>59</v>
      </c>
      <c r="B1714" s="2" t="s">
        <v>60</v>
      </c>
      <c r="C1714" s="2" t="s">
        <v>16488</v>
      </c>
      <c r="D1714" s="2" t="s">
        <v>16489</v>
      </c>
      <c r="E1714" s="2" t="s">
        <v>16490</v>
      </c>
      <c r="G1714" s="3" t="s">
        <v>62</v>
      </c>
      <c r="I1714" s="3" t="s">
        <v>62</v>
      </c>
      <c r="J1714" s="3" t="s">
        <v>62</v>
      </c>
      <c r="K1714" s="3" t="s">
        <v>63</v>
      </c>
      <c r="L1714" s="2" t="s">
        <v>16491</v>
      </c>
      <c r="M1714" s="2" t="s">
        <v>16492</v>
      </c>
      <c r="N1714" s="3" t="s">
        <v>149</v>
      </c>
      <c r="P1714" s="3" t="s">
        <v>65</v>
      </c>
      <c r="R1714" s="3" t="s">
        <v>66</v>
      </c>
      <c r="S1714" s="4">
        <v>3</v>
      </c>
      <c r="T1714" s="4">
        <v>3</v>
      </c>
      <c r="U1714" s="5" t="s">
        <v>16493</v>
      </c>
      <c r="V1714" s="5" t="s">
        <v>16493</v>
      </c>
      <c r="W1714" s="5" t="s">
        <v>67</v>
      </c>
      <c r="X1714" s="5" t="s">
        <v>67</v>
      </c>
      <c r="Y1714" s="4">
        <v>314</v>
      </c>
      <c r="Z1714" s="4">
        <v>19</v>
      </c>
      <c r="AA1714" s="4">
        <v>39</v>
      </c>
      <c r="AB1714" s="4">
        <v>2</v>
      </c>
      <c r="AC1714" s="4">
        <v>6</v>
      </c>
      <c r="AD1714" s="4">
        <v>96</v>
      </c>
      <c r="AE1714" s="4">
        <v>120</v>
      </c>
      <c r="AF1714" s="4">
        <v>1</v>
      </c>
      <c r="AG1714" s="4">
        <v>1</v>
      </c>
      <c r="AH1714" s="4">
        <v>90</v>
      </c>
      <c r="AI1714" s="4">
        <v>104</v>
      </c>
      <c r="AJ1714" s="4">
        <v>13</v>
      </c>
      <c r="AK1714" s="4">
        <v>18</v>
      </c>
      <c r="AL1714" s="4">
        <v>47</v>
      </c>
      <c r="AM1714" s="4">
        <v>54</v>
      </c>
      <c r="AN1714" s="4">
        <v>0</v>
      </c>
      <c r="AO1714" s="4">
        <v>0</v>
      </c>
      <c r="AP1714" s="4">
        <v>15</v>
      </c>
      <c r="AQ1714" s="4">
        <v>25</v>
      </c>
      <c r="AR1714" s="3" t="s">
        <v>62</v>
      </c>
      <c r="AS1714" s="3" t="s">
        <v>62</v>
      </c>
      <c r="AT1714" s="3" t="s">
        <v>62</v>
      </c>
      <c r="AV1714" s="6" t="str">
        <f>HYPERLINK("http://mcgill.on.worldcat.org/oclc/351319371","Catalog Record")</f>
        <v>Catalog Record</v>
      </c>
      <c r="AW1714" s="6" t="str">
        <f>HYPERLINK("http://www.worldcat.org/oclc/351319371","WorldCat Record")</f>
        <v>WorldCat Record</v>
      </c>
      <c r="AX1714" s="3" t="s">
        <v>16494</v>
      </c>
      <c r="AY1714" s="3" t="s">
        <v>16495</v>
      </c>
      <c r="AZ1714" s="3" t="s">
        <v>16496</v>
      </c>
      <c r="BA1714" s="3" t="s">
        <v>16496</v>
      </c>
      <c r="BB1714" s="3" t="s">
        <v>16497</v>
      </c>
      <c r="BC1714" s="3" t="s">
        <v>142</v>
      </c>
      <c r="BD1714" s="3" t="s">
        <v>68</v>
      </c>
      <c r="BE1714" s="3" t="s">
        <v>16498</v>
      </c>
      <c r="BF1714" s="3" t="s">
        <v>16497</v>
      </c>
      <c r="BG1714" s="3" t="s">
        <v>16499</v>
      </c>
    </row>
    <row r="1715" spans="1:59" ht="57" x14ac:dyDescent="0.45">
      <c r="A1715" s="2" t="s">
        <v>59</v>
      </c>
      <c r="B1715" s="2" t="s">
        <v>60</v>
      </c>
      <c r="C1715" s="2" t="s">
        <v>16500</v>
      </c>
      <c r="D1715" s="2" t="s">
        <v>16501</v>
      </c>
      <c r="E1715" s="2" t="s">
        <v>16502</v>
      </c>
      <c r="G1715" s="3" t="s">
        <v>62</v>
      </c>
      <c r="I1715" s="3" t="s">
        <v>62</v>
      </c>
      <c r="J1715" s="3" t="s">
        <v>62</v>
      </c>
      <c r="K1715" s="3" t="s">
        <v>63</v>
      </c>
      <c r="M1715" s="2" t="s">
        <v>16503</v>
      </c>
      <c r="N1715" s="3" t="s">
        <v>1239</v>
      </c>
      <c r="P1715" s="3" t="s">
        <v>65</v>
      </c>
      <c r="R1715" s="3" t="s">
        <v>66</v>
      </c>
      <c r="S1715" s="4">
        <v>35</v>
      </c>
      <c r="T1715" s="4">
        <v>35</v>
      </c>
      <c r="U1715" s="5" t="s">
        <v>16504</v>
      </c>
      <c r="V1715" s="5" t="s">
        <v>16504</v>
      </c>
      <c r="W1715" s="5" t="s">
        <v>67</v>
      </c>
      <c r="X1715" s="5" t="s">
        <v>67</v>
      </c>
      <c r="Y1715" s="4">
        <v>625</v>
      </c>
      <c r="Z1715" s="4">
        <v>38</v>
      </c>
      <c r="AA1715" s="4">
        <v>40</v>
      </c>
      <c r="AB1715" s="4">
        <v>4</v>
      </c>
      <c r="AC1715" s="4">
        <v>6</v>
      </c>
      <c r="AD1715" s="4">
        <v>127</v>
      </c>
      <c r="AE1715" s="4">
        <v>129</v>
      </c>
      <c r="AF1715" s="4">
        <v>2</v>
      </c>
      <c r="AG1715" s="4">
        <v>4</v>
      </c>
      <c r="AH1715" s="4">
        <v>106</v>
      </c>
      <c r="AI1715" s="4">
        <v>106</v>
      </c>
      <c r="AJ1715" s="4">
        <v>20</v>
      </c>
      <c r="AK1715" s="4">
        <v>22</v>
      </c>
      <c r="AL1715" s="4">
        <v>56</v>
      </c>
      <c r="AM1715" s="4">
        <v>56</v>
      </c>
      <c r="AN1715" s="4">
        <v>0</v>
      </c>
      <c r="AO1715" s="4">
        <v>0</v>
      </c>
      <c r="AP1715" s="4">
        <v>29</v>
      </c>
      <c r="AQ1715" s="4">
        <v>30</v>
      </c>
      <c r="AR1715" s="3" t="s">
        <v>62</v>
      </c>
      <c r="AS1715" s="3" t="s">
        <v>62</v>
      </c>
      <c r="AT1715" s="3" t="s">
        <v>61</v>
      </c>
      <c r="AU1715" s="6" t="str">
        <f>HYPERLINK("http://catalog.hathitrust.org/Record/001096153","HathiTrust Record")</f>
        <v>HathiTrust Record</v>
      </c>
      <c r="AV1715" s="6" t="str">
        <f>HYPERLINK("http://mcgill.on.worldcat.org/oclc/18165505","Catalog Record")</f>
        <v>Catalog Record</v>
      </c>
      <c r="AW1715" s="6" t="str">
        <f>HYPERLINK("http://www.worldcat.org/oclc/18165505","WorldCat Record")</f>
        <v>WorldCat Record</v>
      </c>
      <c r="AX1715" s="3" t="s">
        <v>16505</v>
      </c>
      <c r="AY1715" s="3" t="s">
        <v>16506</v>
      </c>
      <c r="AZ1715" s="3" t="s">
        <v>16507</v>
      </c>
      <c r="BA1715" s="3" t="s">
        <v>16507</v>
      </c>
      <c r="BB1715" s="3" t="s">
        <v>16508</v>
      </c>
      <c r="BC1715" s="3" t="s">
        <v>142</v>
      </c>
      <c r="BD1715" s="3" t="s">
        <v>68</v>
      </c>
      <c r="BE1715" s="3" t="s">
        <v>16509</v>
      </c>
      <c r="BF1715" s="3" t="s">
        <v>16508</v>
      </c>
      <c r="BG1715" s="3" t="s">
        <v>16510</v>
      </c>
    </row>
    <row r="1716" spans="1:59" ht="57" x14ac:dyDescent="0.45">
      <c r="A1716" s="2" t="s">
        <v>59</v>
      </c>
      <c r="B1716" s="2" t="s">
        <v>60</v>
      </c>
      <c r="C1716" s="2" t="s">
        <v>16511</v>
      </c>
      <c r="D1716" s="2" t="s">
        <v>16512</v>
      </c>
      <c r="E1716" s="2" t="s">
        <v>16513</v>
      </c>
      <c r="G1716" s="3" t="s">
        <v>62</v>
      </c>
      <c r="I1716" s="3" t="s">
        <v>62</v>
      </c>
      <c r="J1716" s="3" t="s">
        <v>62</v>
      </c>
      <c r="K1716" s="3" t="s">
        <v>63</v>
      </c>
      <c r="L1716" s="2" t="s">
        <v>16514</v>
      </c>
      <c r="M1716" s="2" t="s">
        <v>15715</v>
      </c>
      <c r="N1716" s="3" t="s">
        <v>1239</v>
      </c>
      <c r="O1716" s="2" t="s">
        <v>168</v>
      </c>
      <c r="P1716" s="3" t="s">
        <v>65</v>
      </c>
      <c r="R1716" s="3" t="s">
        <v>66</v>
      </c>
      <c r="S1716" s="4">
        <v>6</v>
      </c>
      <c r="T1716" s="4">
        <v>6</v>
      </c>
      <c r="U1716" s="5" t="s">
        <v>16515</v>
      </c>
      <c r="V1716" s="5" t="s">
        <v>16515</v>
      </c>
      <c r="W1716" s="5" t="s">
        <v>67</v>
      </c>
      <c r="X1716" s="5" t="s">
        <v>67</v>
      </c>
      <c r="Y1716" s="4">
        <v>384</v>
      </c>
      <c r="Z1716" s="4">
        <v>12</v>
      </c>
      <c r="AA1716" s="4">
        <v>12</v>
      </c>
      <c r="AB1716" s="4">
        <v>2</v>
      </c>
      <c r="AC1716" s="4">
        <v>2</v>
      </c>
      <c r="AD1716" s="4">
        <v>95</v>
      </c>
      <c r="AE1716" s="4">
        <v>95</v>
      </c>
      <c r="AF1716" s="4">
        <v>1</v>
      </c>
      <c r="AG1716" s="4">
        <v>1</v>
      </c>
      <c r="AH1716" s="4">
        <v>87</v>
      </c>
      <c r="AI1716" s="4">
        <v>87</v>
      </c>
      <c r="AJ1716" s="4">
        <v>8</v>
      </c>
      <c r="AK1716" s="4">
        <v>8</v>
      </c>
      <c r="AL1716" s="4">
        <v>49</v>
      </c>
      <c r="AM1716" s="4">
        <v>49</v>
      </c>
      <c r="AN1716" s="4">
        <v>0</v>
      </c>
      <c r="AO1716" s="4">
        <v>0</v>
      </c>
      <c r="AP1716" s="4">
        <v>9</v>
      </c>
      <c r="AQ1716" s="4">
        <v>9</v>
      </c>
      <c r="AR1716" s="3" t="s">
        <v>62</v>
      </c>
      <c r="AS1716" s="3" t="s">
        <v>62</v>
      </c>
      <c r="AT1716" s="3" t="s">
        <v>61</v>
      </c>
      <c r="AU1716" s="6" t="str">
        <f>HYPERLINK("http://catalog.hathitrust.org/Record/001830825","HathiTrust Record")</f>
        <v>HathiTrust Record</v>
      </c>
      <c r="AV1716" s="6" t="str">
        <f>HYPERLINK("http://mcgill.on.worldcat.org/oclc/20055885","Catalog Record")</f>
        <v>Catalog Record</v>
      </c>
      <c r="AW1716" s="6" t="str">
        <f>HYPERLINK("http://www.worldcat.org/oclc/20055885","WorldCat Record")</f>
        <v>WorldCat Record</v>
      </c>
      <c r="AX1716" s="3" t="s">
        <v>16516</v>
      </c>
      <c r="AY1716" s="3" t="s">
        <v>16517</v>
      </c>
      <c r="AZ1716" s="3" t="s">
        <v>16518</v>
      </c>
      <c r="BA1716" s="3" t="s">
        <v>16518</v>
      </c>
      <c r="BB1716" s="3" t="s">
        <v>16519</v>
      </c>
      <c r="BC1716" s="3" t="s">
        <v>142</v>
      </c>
      <c r="BD1716" s="3" t="s">
        <v>68</v>
      </c>
      <c r="BE1716" s="3" t="s">
        <v>16520</v>
      </c>
      <c r="BF1716" s="3" t="s">
        <v>16519</v>
      </c>
      <c r="BG1716" s="3" t="s">
        <v>16521</v>
      </c>
    </row>
    <row r="1717" spans="1:59" ht="57" x14ac:dyDescent="0.45">
      <c r="A1717" s="2" t="s">
        <v>59</v>
      </c>
      <c r="B1717" s="2" t="s">
        <v>60</v>
      </c>
      <c r="C1717" s="2" t="s">
        <v>16522</v>
      </c>
      <c r="D1717" s="2" t="s">
        <v>16523</v>
      </c>
      <c r="E1717" s="2" t="s">
        <v>16524</v>
      </c>
      <c r="G1717" s="3" t="s">
        <v>62</v>
      </c>
      <c r="I1717" s="3" t="s">
        <v>62</v>
      </c>
      <c r="J1717" s="3" t="s">
        <v>62</v>
      </c>
      <c r="K1717" s="3" t="s">
        <v>63</v>
      </c>
      <c r="L1717" s="2" t="s">
        <v>16525</v>
      </c>
      <c r="M1717" s="2" t="s">
        <v>16526</v>
      </c>
      <c r="N1717" s="3" t="s">
        <v>1855</v>
      </c>
      <c r="P1717" s="3" t="s">
        <v>65</v>
      </c>
      <c r="R1717" s="3" t="s">
        <v>66</v>
      </c>
      <c r="S1717" s="4">
        <v>2</v>
      </c>
      <c r="T1717" s="4">
        <v>2</v>
      </c>
      <c r="U1717" s="5" t="s">
        <v>15686</v>
      </c>
      <c r="V1717" s="5" t="s">
        <v>15686</v>
      </c>
      <c r="W1717" s="5" t="s">
        <v>67</v>
      </c>
      <c r="X1717" s="5" t="s">
        <v>67</v>
      </c>
      <c r="Y1717" s="4">
        <v>52</v>
      </c>
      <c r="Z1717" s="4">
        <v>1</v>
      </c>
      <c r="AA1717" s="4">
        <v>7</v>
      </c>
      <c r="AB1717" s="4">
        <v>1</v>
      </c>
      <c r="AC1717" s="4">
        <v>4</v>
      </c>
      <c r="AD1717" s="4">
        <v>8</v>
      </c>
      <c r="AE1717" s="4">
        <v>28</v>
      </c>
      <c r="AF1717" s="4">
        <v>0</v>
      </c>
      <c r="AG1717" s="4">
        <v>2</v>
      </c>
      <c r="AH1717" s="4">
        <v>7</v>
      </c>
      <c r="AI1717" s="4">
        <v>26</v>
      </c>
      <c r="AJ1717" s="4">
        <v>0</v>
      </c>
      <c r="AK1717" s="4">
        <v>4</v>
      </c>
      <c r="AL1717" s="4">
        <v>5</v>
      </c>
      <c r="AM1717" s="4">
        <v>13</v>
      </c>
      <c r="AN1717" s="4">
        <v>0</v>
      </c>
      <c r="AO1717" s="4">
        <v>0</v>
      </c>
      <c r="AP1717" s="4">
        <v>0</v>
      </c>
      <c r="AQ1717" s="4">
        <v>4</v>
      </c>
      <c r="AR1717" s="3" t="s">
        <v>62</v>
      </c>
      <c r="AS1717" s="3" t="s">
        <v>62</v>
      </c>
      <c r="AT1717" s="3" t="s">
        <v>62</v>
      </c>
      <c r="AV1717" s="6" t="str">
        <f>HYPERLINK("http://mcgill.on.worldcat.org/oclc/58790041","Catalog Record")</f>
        <v>Catalog Record</v>
      </c>
      <c r="AW1717" s="6" t="str">
        <f>HYPERLINK("http://www.worldcat.org/oclc/58790041","WorldCat Record")</f>
        <v>WorldCat Record</v>
      </c>
      <c r="AX1717" s="3" t="s">
        <v>16527</v>
      </c>
      <c r="AY1717" s="3" t="s">
        <v>16528</v>
      </c>
      <c r="AZ1717" s="3" t="s">
        <v>16529</v>
      </c>
      <c r="BA1717" s="3" t="s">
        <v>16529</v>
      </c>
      <c r="BB1717" s="3" t="s">
        <v>16530</v>
      </c>
      <c r="BC1717" s="3" t="s">
        <v>142</v>
      </c>
      <c r="BD1717" s="3" t="s">
        <v>68</v>
      </c>
      <c r="BE1717" s="3" t="s">
        <v>16531</v>
      </c>
      <c r="BF1717" s="3" t="s">
        <v>16530</v>
      </c>
      <c r="BG1717" s="3" t="s">
        <v>16532</v>
      </c>
    </row>
    <row r="1718" spans="1:59" ht="57" x14ac:dyDescent="0.45">
      <c r="A1718" s="2" t="s">
        <v>59</v>
      </c>
      <c r="B1718" s="2" t="s">
        <v>60</v>
      </c>
      <c r="C1718" s="2" t="s">
        <v>16533</v>
      </c>
      <c r="D1718" s="2" t="s">
        <v>16534</v>
      </c>
      <c r="E1718" s="2" t="s">
        <v>16535</v>
      </c>
      <c r="G1718" s="3" t="s">
        <v>62</v>
      </c>
      <c r="I1718" s="3" t="s">
        <v>61</v>
      </c>
      <c r="J1718" s="3" t="s">
        <v>62</v>
      </c>
      <c r="K1718" s="3" t="s">
        <v>63</v>
      </c>
      <c r="L1718" s="2" t="s">
        <v>16536</v>
      </c>
      <c r="M1718" s="2" t="s">
        <v>16537</v>
      </c>
      <c r="N1718" s="3" t="s">
        <v>1465</v>
      </c>
      <c r="P1718" s="3" t="s">
        <v>65</v>
      </c>
      <c r="R1718" s="3" t="s">
        <v>66</v>
      </c>
      <c r="S1718" s="4">
        <v>14</v>
      </c>
      <c r="T1718" s="4">
        <v>20</v>
      </c>
      <c r="U1718" s="5" t="s">
        <v>16538</v>
      </c>
      <c r="V1718" s="5" t="s">
        <v>16538</v>
      </c>
      <c r="W1718" s="5" t="s">
        <v>67</v>
      </c>
      <c r="X1718" s="5" t="s">
        <v>67</v>
      </c>
      <c r="Y1718" s="4">
        <v>1353</v>
      </c>
      <c r="Z1718" s="4">
        <v>42</v>
      </c>
      <c r="AA1718" s="4">
        <v>138</v>
      </c>
      <c r="AB1718" s="4">
        <v>3</v>
      </c>
      <c r="AC1718" s="4">
        <v>16</v>
      </c>
      <c r="AD1718" s="4">
        <v>104</v>
      </c>
      <c r="AE1718" s="4">
        <v>127</v>
      </c>
      <c r="AF1718" s="4">
        <v>1</v>
      </c>
      <c r="AG1718" s="4">
        <v>5</v>
      </c>
      <c r="AH1718" s="4">
        <v>85</v>
      </c>
      <c r="AI1718" s="4">
        <v>91</v>
      </c>
      <c r="AJ1718" s="4">
        <v>17</v>
      </c>
      <c r="AK1718" s="4">
        <v>23</v>
      </c>
      <c r="AL1718" s="4">
        <v>46</v>
      </c>
      <c r="AM1718" s="4">
        <v>48</v>
      </c>
      <c r="AN1718" s="4">
        <v>0</v>
      </c>
      <c r="AO1718" s="4">
        <v>0</v>
      </c>
      <c r="AP1718" s="4">
        <v>29</v>
      </c>
      <c r="AQ1718" s="4">
        <v>43</v>
      </c>
      <c r="AR1718" s="3" t="s">
        <v>62</v>
      </c>
      <c r="AS1718" s="3" t="s">
        <v>62</v>
      </c>
      <c r="AT1718" s="3" t="s">
        <v>61</v>
      </c>
      <c r="AU1718" s="6" t="str">
        <f>HYPERLINK("http://catalog.hathitrust.org/Record/006861034","HathiTrust Record")</f>
        <v>HathiTrust Record</v>
      </c>
      <c r="AV1718" s="6" t="str">
        <f>HYPERLINK("http://mcgill.on.worldcat.org/oclc/301887642","Catalog Record")</f>
        <v>Catalog Record</v>
      </c>
      <c r="AW1718" s="6" t="str">
        <f>HYPERLINK("http://www.worldcat.org/oclc/301887642","WorldCat Record")</f>
        <v>WorldCat Record</v>
      </c>
      <c r="AX1718" s="3" t="s">
        <v>16539</v>
      </c>
      <c r="AY1718" s="3" t="s">
        <v>16540</v>
      </c>
      <c r="AZ1718" s="3" t="s">
        <v>16541</v>
      </c>
      <c r="BA1718" s="3" t="s">
        <v>16541</v>
      </c>
      <c r="BB1718" s="3" t="s">
        <v>16542</v>
      </c>
      <c r="BC1718" s="3" t="s">
        <v>142</v>
      </c>
      <c r="BD1718" s="3" t="s">
        <v>68</v>
      </c>
      <c r="BE1718" s="3" t="s">
        <v>16543</v>
      </c>
      <c r="BF1718" s="3" t="s">
        <v>16542</v>
      </c>
      <c r="BG1718" s="3" t="s">
        <v>16544</v>
      </c>
    </row>
    <row r="1719" spans="1:59" ht="57" x14ac:dyDescent="0.45">
      <c r="A1719" s="2" t="s">
        <v>59</v>
      </c>
      <c r="B1719" s="2" t="s">
        <v>60</v>
      </c>
      <c r="C1719" s="2" t="s">
        <v>16545</v>
      </c>
      <c r="D1719" s="2" t="s">
        <v>16546</v>
      </c>
      <c r="E1719" s="2" t="s">
        <v>16547</v>
      </c>
      <c r="G1719" s="3" t="s">
        <v>62</v>
      </c>
      <c r="I1719" s="3" t="s">
        <v>62</v>
      </c>
      <c r="J1719" s="3" t="s">
        <v>61</v>
      </c>
      <c r="K1719" s="3" t="s">
        <v>63</v>
      </c>
      <c r="M1719" s="2" t="s">
        <v>16548</v>
      </c>
      <c r="N1719" s="3" t="s">
        <v>167</v>
      </c>
      <c r="O1719" s="2" t="s">
        <v>10907</v>
      </c>
      <c r="P1719" s="3" t="s">
        <v>65</v>
      </c>
      <c r="R1719" s="3" t="s">
        <v>66</v>
      </c>
      <c r="S1719" s="4">
        <v>38</v>
      </c>
      <c r="T1719" s="4">
        <v>38</v>
      </c>
      <c r="U1719" s="5" t="s">
        <v>16481</v>
      </c>
      <c r="V1719" s="5" t="s">
        <v>16481</v>
      </c>
      <c r="W1719" s="5" t="s">
        <v>67</v>
      </c>
      <c r="X1719" s="5" t="s">
        <v>67</v>
      </c>
      <c r="Y1719" s="4">
        <v>241</v>
      </c>
      <c r="Z1719" s="4">
        <v>12</v>
      </c>
      <c r="AA1719" s="4">
        <v>44</v>
      </c>
      <c r="AB1719" s="4">
        <v>1</v>
      </c>
      <c r="AC1719" s="4">
        <v>5</v>
      </c>
      <c r="AD1719" s="4">
        <v>66</v>
      </c>
      <c r="AE1719" s="4">
        <v>129</v>
      </c>
      <c r="AF1719" s="4">
        <v>0</v>
      </c>
      <c r="AG1719" s="4">
        <v>4</v>
      </c>
      <c r="AH1719" s="4">
        <v>61</v>
      </c>
      <c r="AI1719" s="4">
        <v>107</v>
      </c>
      <c r="AJ1719" s="4">
        <v>5</v>
      </c>
      <c r="AK1719" s="4">
        <v>24</v>
      </c>
      <c r="AL1719" s="4">
        <v>27</v>
      </c>
      <c r="AM1719" s="4">
        <v>51</v>
      </c>
      <c r="AN1719" s="4">
        <v>0</v>
      </c>
      <c r="AO1719" s="4">
        <v>0</v>
      </c>
      <c r="AP1719" s="4">
        <v>9</v>
      </c>
      <c r="AQ1719" s="4">
        <v>33</v>
      </c>
      <c r="AR1719" s="3" t="s">
        <v>62</v>
      </c>
      <c r="AS1719" s="3" t="s">
        <v>62</v>
      </c>
      <c r="AT1719" s="3" t="s">
        <v>62</v>
      </c>
      <c r="AV1719" s="6" t="str">
        <f>HYPERLINK("http://mcgill.on.worldcat.org/oclc/39291425","Catalog Record")</f>
        <v>Catalog Record</v>
      </c>
      <c r="AW1719" s="6" t="str">
        <f>HYPERLINK("http://www.worldcat.org/oclc/39291425","WorldCat Record")</f>
        <v>WorldCat Record</v>
      </c>
      <c r="AX1719" s="3" t="s">
        <v>16549</v>
      </c>
      <c r="AY1719" s="3" t="s">
        <v>16550</v>
      </c>
      <c r="AZ1719" s="3" t="s">
        <v>16551</v>
      </c>
      <c r="BA1719" s="3" t="s">
        <v>16551</v>
      </c>
      <c r="BB1719" s="3" t="s">
        <v>16552</v>
      </c>
      <c r="BC1719" s="3" t="s">
        <v>142</v>
      </c>
      <c r="BD1719" s="3" t="s">
        <v>68</v>
      </c>
      <c r="BE1719" s="3" t="s">
        <v>16553</v>
      </c>
      <c r="BF1719" s="3" t="s">
        <v>16552</v>
      </c>
      <c r="BG1719" s="3" t="s">
        <v>16554</v>
      </c>
    </row>
    <row r="1720" spans="1:59" ht="57" x14ac:dyDescent="0.45">
      <c r="A1720" s="2" t="s">
        <v>59</v>
      </c>
      <c r="B1720" s="2" t="s">
        <v>60</v>
      </c>
      <c r="C1720" s="2" t="s">
        <v>16555</v>
      </c>
      <c r="D1720" s="2" t="s">
        <v>16556</v>
      </c>
      <c r="E1720" s="2" t="s">
        <v>16557</v>
      </c>
      <c r="G1720" s="3" t="s">
        <v>62</v>
      </c>
      <c r="I1720" s="3" t="s">
        <v>62</v>
      </c>
      <c r="J1720" s="3" t="s">
        <v>62</v>
      </c>
      <c r="K1720" s="3" t="s">
        <v>63</v>
      </c>
      <c r="L1720" s="2" t="s">
        <v>16558</v>
      </c>
      <c r="M1720" s="2" t="s">
        <v>16559</v>
      </c>
      <c r="N1720" s="3" t="s">
        <v>894</v>
      </c>
      <c r="P1720" s="3" t="s">
        <v>65</v>
      </c>
      <c r="R1720" s="3" t="s">
        <v>66</v>
      </c>
      <c r="S1720" s="4">
        <v>5</v>
      </c>
      <c r="T1720" s="4">
        <v>5</v>
      </c>
      <c r="U1720" s="5" t="s">
        <v>16560</v>
      </c>
      <c r="V1720" s="5" t="s">
        <v>16560</v>
      </c>
      <c r="W1720" s="5" t="s">
        <v>67</v>
      </c>
      <c r="X1720" s="5" t="s">
        <v>67</v>
      </c>
      <c r="Y1720" s="4">
        <v>460</v>
      </c>
      <c r="Z1720" s="4">
        <v>28</v>
      </c>
      <c r="AA1720" s="4">
        <v>37</v>
      </c>
      <c r="AB1720" s="4">
        <v>2</v>
      </c>
      <c r="AC1720" s="4">
        <v>7</v>
      </c>
      <c r="AD1720" s="4">
        <v>102</v>
      </c>
      <c r="AE1720" s="4">
        <v>110</v>
      </c>
      <c r="AF1720" s="4">
        <v>1</v>
      </c>
      <c r="AG1720" s="4">
        <v>3</v>
      </c>
      <c r="AH1720" s="4">
        <v>92</v>
      </c>
      <c r="AI1720" s="4">
        <v>95</v>
      </c>
      <c r="AJ1720" s="4">
        <v>16</v>
      </c>
      <c r="AK1720" s="4">
        <v>18</v>
      </c>
      <c r="AL1720" s="4">
        <v>48</v>
      </c>
      <c r="AM1720" s="4">
        <v>49</v>
      </c>
      <c r="AN1720" s="4">
        <v>0</v>
      </c>
      <c r="AO1720" s="4">
        <v>0</v>
      </c>
      <c r="AP1720" s="4">
        <v>21</v>
      </c>
      <c r="AQ1720" s="4">
        <v>26</v>
      </c>
      <c r="AR1720" s="3" t="s">
        <v>62</v>
      </c>
      <c r="AS1720" s="3" t="s">
        <v>62</v>
      </c>
      <c r="AT1720" s="3" t="s">
        <v>62</v>
      </c>
      <c r="AV1720" s="6" t="str">
        <f>HYPERLINK("http://mcgill.on.worldcat.org/oclc/711052176","Catalog Record")</f>
        <v>Catalog Record</v>
      </c>
      <c r="AW1720" s="6" t="str">
        <f>HYPERLINK("http://www.worldcat.org/oclc/711052176","WorldCat Record")</f>
        <v>WorldCat Record</v>
      </c>
      <c r="AX1720" s="3" t="s">
        <v>16561</v>
      </c>
      <c r="AY1720" s="3" t="s">
        <v>16562</v>
      </c>
      <c r="AZ1720" s="3" t="s">
        <v>16563</v>
      </c>
      <c r="BA1720" s="3" t="s">
        <v>16563</v>
      </c>
      <c r="BB1720" s="3" t="s">
        <v>16564</v>
      </c>
      <c r="BC1720" s="3" t="s">
        <v>142</v>
      </c>
      <c r="BD1720" s="3" t="s">
        <v>68</v>
      </c>
      <c r="BE1720" s="3" t="s">
        <v>16565</v>
      </c>
      <c r="BF1720" s="3" t="s">
        <v>16564</v>
      </c>
      <c r="BG1720" s="3" t="s">
        <v>16566</v>
      </c>
    </row>
    <row r="1721" spans="1:59" ht="57" x14ac:dyDescent="0.45">
      <c r="A1721" s="2" t="s">
        <v>59</v>
      </c>
      <c r="B1721" s="2" t="s">
        <v>60</v>
      </c>
      <c r="C1721" s="2" t="s">
        <v>16567</v>
      </c>
      <c r="D1721" s="2" t="s">
        <v>16568</v>
      </c>
      <c r="E1721" s="2" t="s">
        <v>16569</v>
      </c>
      <c r="G1721" s="3" t="s">
        <v>62</v>
      </c>
      <c r="I1721" s="3" t="s">
        <v>62</v>
      </c>
      <c r="J1721" s="3" t="s">
        <v>62</v>
      </c>
      <c r="K1721" s="3" t="s">
        <v>63</v>
      </c>
      <c r="L1721" s="2" t="s">
        <v>16570</v>
      </c>
      <c r="M1721" s="2" t="s">
        <v>16571</v>
      </c>
      <c r="N1721" s="3" t="s">
        <v>1224</v>
      </c>
      <c r="P1721" s="3" t="s">
        <v>65</v>
      </c>
      <c r="Q1721" s="2" t="s">
        <v>16572</v>
      </c>
      <c r="R1721" s="3" t="s">
        <v>66</v>
      </c>
      <c r="S1721" s="4">
        <v>10</v>
      </c>
      <c r="T1721" s="4">
        <v>10</v>
      </c>
      <c r="U1721" s="5" t="s">
        <v>16573</v>
      </c>
      <c r="V1721" s="5" t="s">
        <v>16573</v>
      </c>
      <c r="W1721" s="5" t="s">
        <v>67</v>
      </c>
      <c r="X1721" s="5" t="s">
        <v>67</v>
      </c>
      <c r="Y1721" s="4">
        <v>427</v>
      </c>
      <c r="Z1721" s="4">
        <v>18</v>
      </c>
      <c r="AA1721" s="4">
        <v>20</v>
      </c>
      <c r="AB1721" s="4">
        <v>2</v>
      </c>
      <c r="AC1721" s="4">
        <v>4</v>
      </c>
      <c r="AD1721" s="4">
        <v>97</v>
      </c>
      <c r="AE1721" s="4">
        <v>100</v>
      </c>
      <c r="AF1721" s="4">
        <v>1</v>
      </c>
      <c r="AG1721" s="4">
        <v>3</v>
      </c>
      <c r="AH1721" s="4">
        <v>89</v>
      </c>
      <c r="AI1721" s="4">
        <v>91</v>
      </c>
      <c r="AJ1721" s="4">
        <v>14</v>
      </c>
      <c r="AK1721" s="4">
        <v>16</v>
      </c>
      <c r="AL1721" s="4">
        <v>46</v>
      </c>
      <c r="AM1721" s="4">
        <v>46</v>
      </c>
      <c r="AN1721" s="4">
        <v>0</v>
      </c>
      <c r="AO1721" s="4">
        <v>0</v>
      </c>
      <c r="AP1721" s="4">
        <v>14</v>
      </c>
      <c r="AQ1721" s="4">
        <v>15</v>
      </c>
      <c r="AR1721" s="3" t="s">
        <v>62</v>
      </c>
      <c r="AS1721" s="3" t="s">
        <v>62</v>
      </c>
      <c r="AT1721" s="3" t="s">
        <v>61</v>
      </c>
      <c r="AU1721" s="6" t="str">
        <f>HYPERLINK("http://catalog.hathitrust.org/Record/001180849","HathiTrust Record")</f>
        <v>HathiTrust Record</v>
      </c>
      <c r="AV1721" s="6" t="str">
        <f>HYPERLINK("http://mcgill.on.worldcat.org/oclc/797800","Catalog Record")</f>
        <v>Catalog Record</v>
      </c>
      <c r="AW1721" s="6" t="str">
        <f>HYPERLINK("http://www.worldcat.org/oclc/797800","WorldCat Record")</f>
        <v>WorldCat Record</v>
      </c>
      <c r="AX1721" s="3" t="s">
        <v>16574</v>
      </c>
      <c r="AY1721" s="3" t="s">
        <v>16575</v>
      </c>
      <c r="AZ1721" s="3" t="s">
        <v>16576</v>
      </c>
      <c r="BA1721" s="3" t="s">
        <v>16576</v>
      </c>
      <c r="BB1721" s="3" t="s">
        <v>16577</v>
      </c>
      <c r="BC1721" s="3" t="s">
        <v>142</v>
      </c>
      <c r="BD1721" s="3" t="s">
        <v>68</v>
      </c>
      <c r="BE1721" s="3" t="s">
        <v>16578</v>
      </c>
      <c r="BF1721" s="3" t="s">
        <v>16577</v>
      </c>
      <c r="BG1721" s="3" t="s">
        <v>16579</v>
      </c>
    </row>
    <row r="1722" spans="1:59" ht="57" x14ac:dyDescent="0.45">
      <c r="A1722" s="2" t="s">
        <v>59</v>
      </c>
      <c r="B1722" s="2" t="s">
        <v>60</v>
      </c>
      <c r="C1722" s="2" t="s">
        <v>16580</v>
      </c>
      <c r="D1722" s="2" t="s">
        <v>16581</v>
      </c>
      <c r="E1722" s="2" t="s">
        <v>16582</v>
      </c>
      <c r="G1722" s="3" t="s">
        <v>62</v>
      </c>
      <c r="I1722" s="3" t="s">
        <v>62</v>
      </c>
      <c r="J1722" s="3" t="s">
        <v>62</v>
      </c>
      <c r="K1722" s="3" t="s">
        <v>63</v>
      </c>
      <c r="L1722" s="2" t="s">
        <v>14346</v>
      </c>
      <c r="M1722" s="2" t="s">
        <v>16583</v>
      </c>
      <c r="N1722" s="3" t="s">
        <v>970</v>
      </c>
      <c r="P1722" s="3" t="s">
        <v>65</v>
      </c>
      <c r="Q1722" s="2" t="s">
        <v>16584</v>
      </c>
      <c r="R1722" s="3" t="s">
        <v>66</v>
      </c>
      <c r="S1722" s="4">
        <v>9</v>
      </c>
      <c r="T1722" s="4">
        <v>9</v>
      </c>
      <c r="U1722" s="5" t="s">
        <v>16585</v>
      </c>
      <c r="V1722" s="5" t="s">
        <v>16585</v>
      </c>
      <c r="W1722" s="5" t="s">
        <v>67</v>
      </c>
      <c r="X1722" s="5" t="s">
        <v>67</v>
      </c>
      <c r="Y1722" s="4">
        <v>505</v>
      </c>
      <c r="Z1722" s="4">
        <v>30</v>
      </c>
      <c r="AA1722" s="4">
        <v>37</v>
      </c>
      <c r="AB1722" s="4">
        <v>1</v>
      </c>
      <c r="AC1722" s="4">
        <v>4</v>
      </c>
      <c r="AD1722" s="4">
        <v>90</v>
      </c>
      <c r="AE1722" s="4">
        <v>96</v>
      </c>
      <c r="AF1722" s="4">
        <v>0</v>
      </c>
      <c r="AG1722" s="4">
        <v>2</v>
      </c>
      <c r="AH1722" s="4">
        <v>80</v>
      </c>
      <c r="AI1722" s="4">
        <v>83</v>
      </c>
      <c r="AJ1722" s="4">
        <v>12</v>
      </c>
      <c r="AK1722" s="4">
        <v>17</v>
      </c>
      <c r="AL1722" s="4">
        <v>42</v>
      </c>
      <c r="AM1722" s="4">
        <v>42</v>
      </c>
      <c r="AN1722" s="4">
        <v>0</v>
      </c>
      <c r="AO1722" s="4">
        <v>0</v>
      </c>
      <c r="AP1722" s="4">
        <v>17</v>
      </c>
      <c r="AQ1722" s="4">
        <v>22</v>
      </c>
      <c r="AR1722" s="3" t="s">
        <v>62</v>
      </c>
      <c r="AS1722" s="3" t="s">
        <v>62</v>
      </c>
      <c r="AT1722" s="3" t="s">
        <v>61</v>
      </c>
      <c r="AU1722" s="6" t="str">
        <f>HYPERLINK("http://catalog.hathitrust.org/Record/004329546","HathiTrust Record")</f>
        <v>HathiTrust Record</v>
      </c>
      <c r="AV1722" s="6" t="str">
        <f>HYPERLINK("http://mcgill.on.worldcat.org/oclc/50583809","Catalog Record")</f>
        <v>Catalog Record</v>
      </c>
      <c r="AW1722" s="6" t="str">
        <f>HYPERLINK("http://www.worldcat.org/oclc/50583809","WorldCat Record")</f>
        <v>WorldCat Record</v>
      </c>
      <c r="AX1722" s="3" t="s">
        <v>16586</v>
      </c>
      <c r="AY1722" s="3" t="s">
        <v>16587</v>
      </c>
      <c r="AZ1722" s="3" t="s">
        <v>16588</v>
      </c>
      <c r="BA1722" s="3" t="s">
        <v>16588</v>
      </c>
      <c r="BB1722" s="3" t="s">
        <v>16589</v>
      </c>
      <c r="BC1722" s="3" t="s">
        <v>142</v>
      </c>
      <c r="BD1722" s="3" t="s">
        <v>68</v>
      </c>
      <c r="BE1722" s="3" t="s">
        <v>16590</v>
      </c>
      <c r="BF1722" s="3" t="s">
        <v>16589</v>
      </c>
      <c r="BG1722" s="3" t="s">
        <v>16591</v>
      </c>
    </row>
    <row r="1723" spans="1:59" ht="57" x14ac:dyDescent="0.45">
      <c r="A1723" s="2" t="s">
        <v>59</v>
      </c>
      <c r="B1723" s="2" t="s">
        <v>60</v>
      </c>
      <c r="C1723" s="2" t="s">
        <v>16592</v>
      </c>
      <c r="D1723" s="2" t="s">
        <v>16593</v>
      </c>
      <c r="E1723" s="2" t="s">
        <v>16594</v>
      </c>
      <c r="G1723" s="3" t="s">
        <v>62</v>
      </c>
      <c r="I1723" s="3" t="s">
        <v>61</v>
      </c>
      <c r="J1723" s="3" t="s">
        <v>62</v>
      </c>
      <c r="K1723" s="3" t="s">
        <v>63</v>
      </c>
      <c r="M1723" s="2" t="s">
        <v>16595</v>
      </c>
      <c r="N1723" s="3" t="s">
        <v>195</v>
      </c>
      <c r="P1723" s="3" t="s">
        <v>65</v>
      </c>
      <c r="R1723" s="3" t="s">
        <v>66</v>
      </c>
      <c r="S1723" s="4">
        <v>2</v>
      </c>
      <c r="T1723" s="4">
        <v>31</v>
      </c>
      <c r="U1723" s="5" t="s">
        <v>16596</v>
      </c>
      <c r="V1723" s="5" t="s">
        <v>4105</v>
      </c>
      <c r="W1723" s="5" t="s">
        <v>67</v>
      </c>
      <c r="X1723" s="5" t="s">
        <v>67</v>
      </c>
      <c r="Y1723" s="4">
        <v>470</v>
      </c>
      <c r="Z1723" s="4">
        <v>25</v>
      </c>
      <c r="AA1723" s="4">
        <v>28</v>
      </c>
      <c r="AB1723" s="4">
        <v>2</v>
      </c>
      <c r="AC1723" s="4">
        <v>5</v>
      </c>
      <c r="AD1723" s="4">
        <v>112</v>
      </c>
      <c r="AE1723" s="4">
        <v>114</v>
      </c>
      <c r="AF1723" s="4">
        <v>1</v>
      </c>
      <c r="AG1723" s="4">
        <v>3</v>
      </c>
      <c r="AH1723" s="4">
        <v>99</v>
      </c>
      <c r="AI1723" s="4">
        <v>100</v>
      </c>
      <c r="AJ1723" s="4">
        <v>15</v>
      </c>
      <c r="AK1723" s="4">
        <v>17</v>
      </c>
      <c r="AL1723" s="4">
        <v>54</v>
      </c>
      <c r="AM1723" s="4">
        <v>54</v>
      </c>
      <c r="AN1723" s="4">
        <v>0</v>
      </c>
      <c r="AO1723" s="4">
        <v>0</v>
      </c>
      <c r="AP1723" s="4">
        <v>20</v>
      </c>
      <c r="AQ1723" s="4">
        <v>22</v>
      </c>
      <c r="AR1723" s="3" t="s">
        <v>62</v>
      </c>
      <c r="AS1723" s="3" t="s">
        <v>62</v>
      </c>
      <c r="AT1723" s="3" t="s">
        <v>61</v>
      </c>
      <c r="AU1723" s="6" t="str">
        <f>HYPERLINK("http://catalog.hathitrust.org/Record/002753162","HathiTrust Record")</f>
        <v>HathiTrust Record</v>
      </c>
      <c r="AV1723" s="6" t="str">
        <f>HYPERLINK("http://mcgill.on.worldcat.org/oclc/27895395","Catalog Record")</f>
        <v>Catalog Record</v>
      </c>
      <c r="AW1723" s="6" t="str">
        <f>HYPERLINK("http://www.worldcat.org/oclc/27895395","WorldCat Record")</f>
        <v>WorldCat Record</v>
      </c>
      <c r="AX1723" s="3" t="s">
        <v>16597</v>
      </c>
      <c r="AY1723" s="3" t="s">
        <v>16598</v>
      </c>
      <c r="AZ1723" s="3" t="s">
        <v>16599</v>
      </c>
      <c r="BA1723" s="3" t="s">
        <v>16599</v>
      </c>
      <c r="BB1723" s="3" t="s">
        <v>16600</v>
      </c>
      <c r="BC1723" s="3" t="s">
        <v>142</v>
      </c>
      <c r="BD1723" s="3" t="s">
        <v>68</v>
      </c>
      <c r="BE1723" s="3" t="s">
        <v>16601</v>
      </c>
      <c r="BF1723" s="3" t="s">
        <v>16600</v>
      </c>
      <c r="BG1723" s="3" t="s">
        <v>16602</v>
      </c>
    </row>
    <row r="1724" spans="1:59" ht="57" x14ac:dyDescent="0.45">
      <c r="A1724" s="2" t="s">
        <v>59</v>
      </c>
      <c r="B1724" s="2" t="s">
        <v>60</v>
      </c>
      <c r="C1724" s="2" t="s">
        <v>16592</v>
      </c>
      <c r="D1724" s="2" t="s">
        <v>16593</v>
      </c>
      <c r="E1724" s="2" t="s">
        <v>16594</v>
      </c>
      <c r="G1724" s="3" t="s">
        <v>62</v>
      </c>
      <c r="I1724" s="3" t="s">
        <v>61</v>
      </c>
      <c r="J1724" s="3" t="s">
        <v>62</v>
      </c>
      <c r="K1724" s="3" t="s">
        <v>63</v>
      </c>
      <c r="M1724" s="2" t="s">
        <v>16595</v>
      </c>
      <c r="N1724" s="3" t="s">
        <v>195</v>
      </c>
      <c r="P1724" s="3" t="s">
        <v>65</v>
      </c>
      <c r="R1724" s="3" t="s">
        <v>66</v>
      </c>
      <c r="S1724" s="4">
        <v>29</v>
      </c>
      <c r="T1724" s="4">
        <v>31</v>
      </c>
      <c r="U1724" s="5" t="s">
        <v>4105</v>
      </c>
      <c r="V1724" s="5" t="s">
        <v>4105</v>
      </c>
      <c r="W1724" s="5" t="s">
        <v>67</v>
      </c>
      <c r="X1724" s="5" t="s">
        <v>67</v>
      </c>
      <c r="Y1724" s="4">
        <v>470</v>
      </c>
      <c r="Z1724" s="4">
        <v>25</v>
      </c>
      <c r="AA1724" s="4">
        <v>28</v>
      </c>
      <c r="AB1724" s="4">
        <v>2</v>
      </c>
      <c r="AC1724" s="4">
        <v>5</v>
      </c>
      <c r="AD1724" s="4">
        <v>112</v>
      </c>
      <c r="AE1724" s="4">
        <v>114</v>
      </c>
      <c r="AF1724" s="4">
        <v>1</v>
      </c>
      <c r="AG1724" s="4">
        <v>3</v>
      </c>
      <c r="AH1724" s="4">
        <v>99</v>
      </c>
      <c r="AI1724" s="4">
        <v>100</v>
      </c>
      <c r="AJ1724" s="4">
        <v>15</v>
      </c>
      <c r="AK1724" s="4">
        <v>17</v>
      </c>
      <c r="AL1724" s="4">
        <v>54</v>
      </c>
      <c r="AM1724" s="4">
        <v>54</v>
      </c>
      <c r="AN1724" s="4">
        <v>0</v>
      </c>
      <c r="AO1724" s="4">
        <v>0</v>
      </c>
      <c r="AP1724" s="4">
        <v>20</v>
      </c>
      <c r="AQ1724" s="4">
        <v>22</v>
      </c>
      <c r="AR1724" s="3" t="s">
        <v>62</v>
      </c>
      <c r="AS1724" s="3" t="s">
        <v>62</v>
      </c>
      <c r="AT1724" s="3" t="s">
        <v>61</v>
      </c>
      <c r="AU1724" s="6" t="str">
        <f>HYPERLINK("http://catalog.hathitrust.org/Record/002753162","HathiTrust Record")</f>
        <v>HathiTrust Record</v>
      </c>
      <c r="AV1724" s="6" t="str">
        <f>HYPERLINK("http://mcgill.on.worldcat.org/oclc/27895395","Catalog Record")</f>
        <v>Catalog Record</v>
      </c>
      <c r="AW1724" s="6" t="str">
        <f>HYPERLINK("http://www.worldcat.org/oclc/27895395","WorldCat Record")</f>
        <v>WorldCat Record</v>
      </c>
      <c r="AX1724" s="3" t="s">
        <v>16597</v>
      </c>
      <c r="AY1724" s="3" t="s">
        <v>16598</v>
      </c>
      <c r="AZ1724" s="3" t="s">
        <v>16599</v>
      </c>
      <c r="BA1724" s="3" t="s">
        <v>16599</v>
      </c>
      <c r="BB1724" s="3" t="s">
        <v>16603</v>
      </c>
      <c r="BC1724" s="3" t="s">
        <v>142</v>
      </c>
      <c r="BD1724" s="3" t="s">
        <v>68</v>
      </c>
      <c r="BE1724" s="3" t="s">
        <v>16601</v>
      </c>
      <c r="BF1724" s="3" t="s">
        <v>16603</v>
      </c>
      <c r="BG1724" s="3" t="s">
        <v>16604</v>
      </c>
    </row>
    <row r="1725" spans="1:59" ht="57" x14ac:dyDescent="0.45">
      <c r="A1725" s="2" t="s">
        <v>59</v>
      </c>
      <c r="B1725" s="2" t="s">
        <v>60</v>
      </c>
      <c r="C1725" s="2" t="s">
        <v>16605</v>
      </c>
      <c r="D1725" s="2" t="s">
        <v>16606</v>
      </c>
      <c r="E1725" s="2" t="s">
        <v>16607</v>
      </c>
      <c r="G1725" s="3" t="s">
        <v>62</v>
      </c>
      <c r="I1725" s="3" t="s">
        <v>62</v>
      </c>
      <c r="J1725" s="3" t="s">
        <v>61</v>
      </c>
      <c r="K1725" s="3" t="s">
        <v>63</v>
      </c>
      <c r="M1725" s="2" t="s">
        <v>16608</v>
      </c>
      <c r="N1725" s="3" t="s">
        <v>807</v>
      </c>
      <c r="O1725" s="2" t="s">
        <v>933</v>
      </c>
      <c r="P1725" s="3" t="s">
        <v>65</v>
      </c>
      <c r="Q1725" s="2" t="s">
        <v>16609</v>
      </c>
      <c r="R1725" s="3" t="s">
        <v>66</v>
      </c>
      <c r="S1725" s="4">
        <v>7</v>
      </c>
      <c r="T1725" s="4">
        <v>7</v>
      </c>
      <c r="U1725" s="5" t="s">
        <v>16585</v>
      </c>
      <c r="V1725" s="5" t="s">
        <v>16585</v>
      </c>
      <c r="W1725" s="5" t="s">
        <v>67</v>
      </c>
      <c r="X1725" s="5" t="s">
        <v>67</v>
      </c>
      <c r="Y1725" s="4">
        <v>173</v>
      </c>
      <c r="Z1725" s="4">
        <v>7</v>
      </c>
      <c r="AA1725" s="4">
        <v>19</v>
      </c>
      <c r="AB1725" s="4">
        <v>2</v>
      </c>
      <c r="AC1725" s="4">
        <v>5</v>
      </c>
      <c r="AD1725" s="4">
        <v>37</v>
      </c>
      <c r="AE1725" s="4">
        <v>81</v>
      </c>
      <c r="AF1725" s="4">
        <v>1</v>
      </c>
      <c r="AG1725" s="4">
        <v>4</v>
      </c>
      <c r="AH1725" s="4">
        <v>34</v>
      </c>
      <c r="AI1725" s="4">
        <v>68</v>
      </c>
      <c r="AJ1725" s="4">
        <v>4</v>
      </c>
      <c r="AK1725" s="4">
        <v>14</v>
      </c>
      <c r="AL1725" s="4">
        <v>16</v>
      </c>
      <c r="AM1725" s="4">
        <v>33</v>
      </c>
      <c r="AN1725" s="4">
        <v>5</v>
      </c>
      <c r="AO1725" s="4">
        <v>5</v>
      </c>
      <c r="AP1725" s="4">
        <v>6</v>
      </c>
      <c r="AQ1725" s="4">
        <v>17</v>
      </c>
      <c r="AR1725" s="3" t="s">
        <v>62</v>
      </c>
      <c r="AS1725" s="3" t="s">
        <v>62</v>
      </c>
      <c r="AT1725" s="3" t="s">
        <v>61</v>
      </c>
      <c r="AU1725" s="6" t="str">
        <f>HYPERLINK("http://catalog.hathitrust.org/Record/102178263","HathiTrust Record")</f>
        <v>HathiTrust Record</v>
      </c>
      <c r="AV1725" s="6" t="str">
        <f>HYPERLINK("http://mcgill.on.worldcat.org/oclc/21037175","Catalog Record")</f>
        <v>Catalog Record</v>
      </c>
      <c r="AW1725" s="6" t="str">
        <f>HYPERLINK("http://www.worldcat.org/oclc/21037175","WorldCat Record")</f>
        <v>WorldCat Record</v>
      </c>
      <c r="AX1725" s="3" t="s">
        <v>16610</v>
      </c>
      <c r="AY1725" s="3" t="s">
        <v>16611</v>
      </c>
      <c r="AZ1725" s="3" t="s">
        <v>16612</v>
      </c>
      <c r="BA1725" s="3" t="s">
        <v>16612</v>
      </c>
      <c r="BB1725" s="3" t="s">
        <v>16613</v>
      </c>
      <c r="BC1725" s="3" t="s">
        <v>142</v>
      </c>
      <c r="BD1725" s="3" t="s">
        <v>68</v>
      </c>
      <c r="BE1725" s="3" t="s">
        <v>16614</v>
      </c>
      <c r="BF1725" s="3" t="s">
        <v>16613</v>
      </c>
      <c r="BG1725" s="3" t="s">
        <v>16615</v>
      </c>
    </row>
    <row r="1726" spans="1:59" ht="57" x14ac:dyDescent="0.45">
      <c r="A1726" s="2" t="s">
        <v>59</v>
      </c>
      <c r="B1726" s="2" t="s">
        <v>60</v>
      </c>
      <c r="C1726" s="2" t="s">
        <v>16616</v>
      </c>
      <c r="D1726" s="2" t="s">
        <v>16617</v>
      </c>
      <c r="E1726" s="2" t="s">
        <v>16618</v>
      </c>
      <c r="G1726" s="3" t="s">
        <v>62</v>
      </c>
      <c r="I1726" s="3" t="s">
        <v>62</v>
      </c>
      <c r="J1726" s="3" t="s">
        <v>62</v>
      </c>
      <c r="K1726" s="3" t="s">
        <v>63</v>
      </c>
      <c r="L1726" s="2" t="s">
        <v>16619</v>
      </c>
      <c r="M1726" s="2" t="s">
        <v>8829</v>
      </c>
      <c r="N1726" s="3" t="s">
        <v>894</v>
      </c>
      <c r="P1726" s="3" t="s">
        <v>65</v>
      </c>
      <c r="R1726" s="3" t="s">
        <v>66</v>
      </c>
      <c r="S1726" s="4">
        <v>1</v>
      </c>
      <c r="T1726" s="4">
        <v>1</v>
      </c>
      <c r="U1726" s="5" t="s">
        <v>16620</v>
      </c>
      <c r="V1726" s="5" t="s">
        <v>16620</v>
      </c>
      <c r="W1726" s="5" t="s">
        <v>67</v>
      </c>
      <c r="X1726" s="5" t="s">
        <v>67</v>
      </c>
      <c r="Y1726" s="4">
        <v>311</v>
      </c>
      <c r="Z1726" s="4">
        <v>17</v>
      </c>
      <c r="AA1726" s="4">
        <v>18</v>
      </c>
      <c r="AB1726" s="4">
        <v>2</v>
      </c>
      <c r="AC1726" s="4">
        <v>3</v>
      </c>
      <c r="AD1726" s="4">
        <v>90</v>
      </c>
      <c r="AE1726" s="4">
        <v>92</v>
      </c>
      <c r="AF1726" s="4">
        <v>1</v>
      </c>
      <c r="AG1726" s="4">
        <v>2</v>
      </c>
      <c r="AH1726" s="4">
        <v>82</v>
      </c>
      <c r="AI1726" s="4">
        <v>84</v>
      </c>
      <c r="AJ1726" s="4">
        <v>14</v>
      </c>
      <c r="AK1726" s="4">
        <v>15</v>
      </c>
      <c r="AL1726" s="4">
        <v>46</v>
      </c>
      <c r="AM1726" s="4">
        <v>46</v>
      </c>
      <c r="AN1726" s="4">
        <v>0</v>
      </c>
      <c r="AO1726" s="4">
        <v>0</v>
      </c>
      <c r="AP1726" s="4">
        <v>15</v>
      </c>
      <c r="AQ1726" s="4">
        <v>16</v>
      </c>
      <c r="AR1726" s="3" t="s">
        <v>62</v>
      </c>
      <c r="AS1726" s="3" t="s">
        <v>62</v>
      </c>
      <c r="AT1726" s="3" t="s">
        <v>62</v>
      </c>
      <c r="AV1726" s="6" t="str">
        <f>HYPERLINK("http://mcgill.on.worldcat.org/oclc/687681546","Catalog Record")</f>
        <v>Catalog Record</v>
      </c>
      <c r="AW1726" s="6" t="str">
        <f>HYPERLINK("http://www.worldcat.org/oclc/687681546","WorldCat Record")</f>
        <v>WorldCat Record</v>
      </c>
      <c r="AX1726" s="3" t="s">
        <v>16621</v>
      </c>
      <c r="AY1726" s="3" t="s">
        <v>16622</v>
      </c>
      <c r="AZ1726" s="3" t="s">
        <v>16623</v>
      </c>
      <c r="BA1726" s="3" t="s">
        <v>16623</v>
      </c>
      <c r="BB1726" s="3" t="s">
        <v>16624</v>
      </c>
      <c r="BC1726" s="3" t="s">
        <v>142</v>
      </c>
      <c r="BD1726" s="3" t="s">
        <v>68</v>
      </c>
      <c r="BE1726" s="3" t="s">
        <v>16625</v>
      </c>
      <c r="BF1726" s="3" t="s">
        <v>16624</v>
      </c>
      <c r="BG1726" s="3" t="s">
        <v>16626</v>
      </c>
    </row>
    <row r="1727" spans="1:59" ht="57" x14ac:dyDescent="0.45">
      <c r="A1727" s="2" t="s">
        <v>59</v>
      </c>
      <c r="B1727" s="2" t="s">
        <v>60</v>
      </c>
      <c r="C1727" s="2" t="s">
        <v>16627</v>
      </c>
      <c r="D1727" s="2" t="s">
        <v>16628</v>
      </c>
      <c r="E1727" s="2" t="s">
        <v>16629</v>
      </c>
      <c r="G1727" s="3" t="s">
        <v>62</v>
      </c>
      <c r="I1727" s="3" t="s">
        <v>62</v>
      </c>
      <c r="J1727" s="3" t="s">
        <v>62</v>
      </c>
      <c r="K1727" s="3" t="s">
        <v>63</v>
      </c>
      <c r="M1727" s="2" t="s">
        <v>16630</v>
      </c>
      <c r="N1727" s="3" t="s">
        <v>894</v>
      </c>
      <c r="P1727" s="3" t="s">
        <v>65</v>
      </c>
      <c r="Q1727" s="2" t="s">
        <v>16631</v>
      </c>
      <c r="R1727" s="3" t="s">
        <v>66</v>
      </c>
      <c r="S1727" s="4">
        <v>1</v>
      </c>
      <c r="T1727" s="4">
        <v>1</v>
      </c>
      <c r="U1727" s="5" t="s">
        <v>16632</v>
      </c>
      <c r="V1727" s="5" t="s">
        <v>16632</v>
      </c>
      <c r="W1727" s="5" t="s">
        <v>67</v>
      </c>
      <c r="X1727" s="5" t="s">
        <v>67</v>
      </c>
      <c r="Y1727" s="4">
        <v>191</v>
      </c>
      <c r="Z1727" s="4">
        <v>17</v>
      </c>
      <c r="AA1727" s="4">
        <v>44</v>
      </c>
      <c r="AB1727" s="4">
        <v>2</v>
      </c>
      <c r="AC1727" s="4">
        <v>5</v>
      </c>
      <c r="AD1727" s="4">
        <v>76</v>
      </c>
      <c r="AE1727" s="4">
        <v>96</v>
      </c>
      <c r="AF1727" s="4">
        <v>1</v>
      </c>
      <c r="AG1727" s="4">
        <v>3</v>
      </c>
      <c r="AH1727" s="4">
        <v>69</v>
      </c>
      <c r="AI1727" s="4">
        <v>79</v>
      </c>
      <c r="AJ1727" s="4">
        <v>12</v>
      </c>
      <c r="AK1727" s="4">
        <v>16</v>
      </c>
      <c r="AL1727" s="4">
        <v>37</v>
      </c>
      <c r="AM1727" s="4">
        <v>43</v>
      </c>
      <c r="AN1727" s="4">
        <v>0</v>
      </c>
      <c r="AO1727" s="4">
        <v>0</v>
      </c>
      <c r="AP1727" s="4">
        <v>14</v>
      </c>
      <c r="AQ1727" s="4">
        <v>23</v>
      </c>
      <c r="AR1727" s="3" t="s">
        <v>62</v>
      </c>
      <c r="AS1727" s="3" t="s">
        <v>62</v>
      </c>
      <c r="AT1727" s="3" t="s">
        <v>62</v>
      </c>
      <c r="AV1727" s="6" t="str">
        <f>HYPERLINK("http://mcgill.on.worldcat.org/oclc/744560470","Catalog Record")</f>
        <v>Catalog Record</v>
      </c>
      <c r="AW1727" s="6" t="str">
        <f>HYPERLINK("http://www.worldcat.org/oclc/744560470","WorldCat Record")</f>
        <v>WorldCat Record</v>
      </c>
      <c r="AX1727" s="3" t="s">
        <v>16633</v>
      </c>
      <c r="AY1727" s="3" t="s">
        <v>16634</v>
      </c>
      <c r="AZ1727" s="3" t="s">
        <v>16635</v>
      </c>
      <c r="BA1727" s="3" t="s">
        <v>16635</v>
      </c>
      <c r="BB1727" s="3" t="s">
        <v>16636</v>
      </c>
      <c r="BC1727" s="3" t="s">
        <v>142</v>
      </c>
      <c r="BD1727" s="3" t="s">
        <v>68</v>
      </c>
      <c r="BE1727" s="3" t="s">
        <v>16637</v>
      </c>
      <c r="BF1727" s="3" t="s">
        <v>16636</v>
      </c>
      <c r="BG1727" s="3" t="s">
        <v>16638</v>
      </c>
    </row>
    <row r="1728" spans="1:59" ht="57" x14ac:dyDescent="0.45">
      <c r="A1728" s="2" t="s">
        <v>59</v>
      </c>
      <c r="B1728" s="2" t="s">
        <v>60</v>
      </c>
      <c r="C1728" s="2" t="s">
        <v>16639</v>
      </c>
      <c r="D1728" s="2" t="s">
        <v>16640</v>
      </c>
      <c r="E1728" s="2" t="s">
        <v>16641</v>
      </c>
      <c r="G1728" s="3" t="s">
        <v>62</v>
      </c>
      <c r="I1728" s="3" t="s">
        <v>62</v>
      </c>
      <c r="J1728" s="3" t="s">
        <v>62</v>
      </c>
      <c r="K1728" s="3" t="s">
        <v>63</v>
      </c>
      <c r="M1728" s="2" t="s">
        <v>16642</v>
      </c>
      <c r="N1728" s="3" t="s">
        <v>125</v>
      </c>
      <c r="P1728" s="3" t="s">
        <v>65</v>
      </c>
      <c r="R1728" s="3" t="s">
        <v>66</v>
      </c>
      <c r="S1728" s="4">
        <v>18</v>
      </c>
      <c r="T1728" s="4">
        <v>18</v>
      </c>
      <c r="U1728" s="5" t="s">
        <v>16011</v>
      </c>
      <c r="V1728" s="5" t="s">
        <v>16011</v>
      </c>
      <c r="W1728" s="5" t="s">
        <v>67</v>
      </c>
      <c r="X1728" s="5" t="s">
        <v>67</v>
      </c>
      <c r="Y1728" s="4">
        <v>272</v>
      </c>
      <c r="Z1728" s="4">
        <v>21</v>
      </c>
      <c r="AA1728" s="4">
        <v>23</v>
      </c>
      <c r="AB1728" s="4">
        <v>2</v>
      </c>
      <c r="AC1728" s="4">
        <v>4</v>
      </c>
      <c r="AD1728" s="4">
        <v>97</v>
      </c>
      <c r="AE1728" s="4">
        <v>99</v>
      </c>
      <c r="AF1728" s="4">
        <v>1</v>
      </c>
      <c r="AG1728" s="4">
        <v>3</v>
      </c>
      <c r="AH1728" s="4">
        <v>86</v>
      </c>
      <c r="AI1728" s="4">
        <v>87</v>
      </c>
      <c r="AJ1728" s="4">
        <v>16</v>
      </c>
      <c r="AK1728" s="4">
        <v>18</v>
      </c>
      <c r="AL1728" s="4">
        <v>46</v>
      </c>
      <c r="AM1728" s="4">
        <v>46</v>
      </c>
      <c r="AN1728" s="4">
        <v>0</v>
      </c>
      <c r="AO1728" s="4">
        <v>0</v>
      </c>
      <c r="AP1728" s="4">
        <v>19</v>
      </c>
      <c r="AQ1728" s="4">
        <v>21</v>
      </c>
      <c r="AR1728" s="3" t="s">
        <v>62</v>
      </c>
      <c r="AS1728" s="3" t="s">
        <v>62</v>
      </c>
      <c r="AT1728" s="3" t="s">
        <v>61</v>
      </c>
      <c r="AU1728" s="6" t="str">
        <f>HYPERLINK("http://catalog.hathitrust.org/Record/002485443","HathiTrust Record")</f>
        <v>HathiTrust Record</v>
      </c>
      <c r="AV1728" s="6" t="str">
        <f>HYPERLINK("http://mcgill.on.worldcat.org/oclc/22279859","Catalog Record")</f>
        <v>Catalog Record</v>
      </c>
      <c r="AW1728" s="6" t="str">
        <f>HYPERLINK("http://www.worldcat.org/oclc/22279859","WorldCat Record")</f>
        <v>WorldCat Record</v>
      </c>
      <c r="AX1728" s="3" t="s">
        <v>16643</v>
      </c>
      <c r="AY1728" s="3" t="s">
        <v>16644</v>
      </c>
      <c r="AZ1728" s="3" t="s">
        <v>16645</v>
      </c>
      <c r="BA1728" s="3" t="s">
        <v>16645</v>
      </c>
      <c r="BB1728" s="3" t="s">
        <v>16646</v>
      </c>
      <c r="BC1728" s="3" t="s">
        <v>142</v>
      </c>
      <c r="BD1728" s="3" t="s">
        <v>68</v>
      </c>
      <c r="BE1728" s="3" t="s">
        <v>16647</v>
      </c>
      <c r="BF1728" s="3" t="s">
        <v>16646</v>
      </c>
      <c r="BG1728" s="3" t="s">
        <v>16648</v>
      </c>
    </row>
    <row r="1729" spans="1:59" ht="57" x14ac:dyDescent="0.45">
      <c r="A1729" s="2" t="s">
        <v>59</v>
      </c>
      <c r="B1729" s="2" t="s">
        <v>60</v>
      </c>
      <c r="C1729" s="2" t="s">
        <v>16649</v>
      </c>
      <c r="D1729" s="2" t="s">
        <v>16650</v>
      </c>
      <c r="E1729" s="2" t="s">
        <v>16651</v>
      </c>
      <c r="G1729" s="3" t="s">
        <v>62</v>
      </c>
      <c r="I1729" s="3" t="s">
        <v>62</v>
      </c>
      <c r="J1729" s="3" t="s">
        <v>62</v>
      </c>
      <c r="K1729" s="3" t="s">
        <v>63</v>
      </c>
      <c r="L1729" s="2" t="s">
        <v>16652</v>
      </c>
      <c r="M1729" s="2" t="s">
        <v>16653</v>
      </c>
      <c r="N1729" s="3" t="s">
        <v>945</v>
      </c>
      <c r="P1729" s="3" t="s">
        <v>65</v>
      </c>
      <c r="R1729" s="3" t="s">
        <v>66</v>
      </c>
      <c r="S1729" s="4">
        <v>6</v>
      </c>
      <c r="T1729" s="4">
        <v>6</v>
      </c>
      <c r="U1729" s="5" t="s">
        <v>16654</v>
      </c>
      <c r="V1729" s="5" t="s">
        <v>16654</v>
      </c>
      <c r="W1729" s="5" t="s">
        <v>67</v>
      </c>
      <c r="X1729" s="5" t="s">
        <v>67</v>
      </c>
      <c r="Y1729" s="4">
        <v>390</v>
      </c>
      <c r="Z1729" s="4">
        <v>20</v>
      </c>
      <c r="AA1729" s="4">
        <v>20</v>
      </c>
      <c r="AB1729" s="4">
        <v>2</v>
      </c>
      <c r="AC1729" s="4">
        <v>2</v>
      </c>
      <c r="AD1729" s="4">
        <v>98</v>
      </c>
      <c r="AE1729" s="4">
        <v>98</v>
      </c>
      <c r="AF1729" s="4">
        <v>1</v>
      </c>
      <c r="AG1729" s="4">
        <v>1</v>
      </c>
      <c r="AH1729" s="4">
        <v>91</v>
      </c>
      <c r="AI1729" s="4">
        <v>91</v>
      </c>
      <c r="AJ1729" s="4">
        <v>13</v>
      </c>
      <c r="AK1729" s="4">
        <v>13</v>
      </c>
      <c r="AL1729" s="4">
        <v>46</v>
      </c>
      <c r="AM1729" s="4">
        <v>46</v>
      </c>
      <c r="AN1729" s="4">
        <v>0</v>
      </c>
      <c r="AO1729" s="4">
        <v>0</v>
      </c>
      <c r="AP1729" s="4">
        <v>14</v>
      </c>
      <c r="AQ1729" s="4">
        <v>14</v>
      </c>
      <c r="AR1729" s="3" t="s">
        <v>62</v>
      </c>
      <c r="AS1729" s="3" t="s">
        <v>62</v>
      </c>
      <c r="AT1729" s="3" t="s">
        <v>61</v>
      </c>
      <c r="AU1729" s="6" t="str">
        <f>HYPERLINK("http://catalog.hathitrust.org/Record/005596263","HathiTrust Record")</f>
        <v>HathiTrust Record</v>
      </c>
      <c r="AV1729" s="6" t="str">
        <f>HYPERLINK("http://mcgill.on.worldcat.org/oclc/85830682","Catalog Record")</f>
        <v>Catalog Record</v>
      </c>
      <c r="AW1729" s="6" t="str">
        <f>HYPERLINK("http://www.worldcat.org/oclc/85830682","WorldCat Record")</f>
        <v>WorldCat Record</v>
      </c>
      <c r="AX1729" s="3" t="s">
        <v>16655</v>
      </c>
      <c r="AY1729" s="3" t="s">
        <v>16656</v>
      </c>
      <c r="AZ1729" s="3" t="s">
        <v>16657</v>
      </c>
      <c r="BA1729" s="3" t="s">
        <v>16657</v>
      </c>
      <c r="BB1729" s="3" t="s">
        <v>16658</v>
      </c>
      <c r="BC1729" s="3" t="s">
        <v>142</v>
      </c>
      <c r="BD1729" s="3" t="s">
        <v>68</v>
      </c>
      <c r="BE1729" s="3" t="s">
        <v>16659</v>
      </c>
      <c r="BF1729" s="3" t="s">
        <v>16658</v>
      </c>
      <c r="BG1729" s="3" t="s">
        <v>16660</v>
      </c>
    </row>
    <row r="1730" spans="1:59" ht="57" x14ac:dyDescent="0.45">
      <c r="A1730" s="2" t="s">
        <v>59</v>
      </c>
      <c r="B1730" s="2" t="s">
        <v>60</v>
      </c>
      <c r="C1730" s="2" t="s">
        <v>16661</v>
      </c>
      <c r="D1730" s="2" t="s">
        <v>16662</v>
      </c>
      <c r="E1730" s="2" t="s">
        <v>16663</v>
      </c>
      <c r="G1730" s="3" t="s">
        <v>62</v>
      </c>
      <c r="I1730" s="3" t="s">
        <v>62</v>
      </c>
      <c r="J1730" s="3" t="s">
        <v>62</v>
      </c>
      <c r="K1730" s="3" t="s">
        <v>63</v>
      </c>
      <c r="L1730" s="2" t="s">
        <v>16664</v>
      </c>
      <c r="M1730" s="2" t="s">
        <v>16665</v>
      </c>
      <c r="N1730" s="3" t="s">
        <v>807</v>
      </c>
      <c r="P1730" s="3" t="s">
        <v>65</v>
      </c>
      <c r="Q1730" s="2" t="s">
        <v>16666</v>
      </c>
      <c r="R1730" s="3" t="s">
        <v>66</v>
      </c>
      <c r="S1730" s="4">
        <v>9</v>
      </c>
      <c r="T1730" s="4">
        <v>9</v>
      </c>
      <c r="U1730" s="5" t="s">
        <v>12486</v>
      </c>
      <c r="V1730" s="5" t="s">
        <v>12486</v>
      </c>
      <c r="W1730" s="5" t="s">
        <v>67</v>
      </c>
      <c r="X1730" s="5" t="s">
        <v>67</v>
      </c>
      <c r="Y1730" s="4">
        <v>232</v>
      </c>
      <c r="Z1730" s="4">
        <v>15</v>
      </c>
      <c r="AA1730" s="4">
        <v>21</v>
      </c>
      <c r="AB1730" s="4">
        <v>1</v>
      </c>
      <c r="AC1730" s="4">
        <v>7</v>
      </c>
      <c r="AD1730" s="4">
        <v>63</v>
      </c>
      <c r="AE1730" s="4">
        <v>68</v>
      </c>
      <c r="AF1730" s="4">
        <v>0</v>
      </c>
      <c r="AG1730" s="4">
        <v>3</v>
      </c>
      <c r="AH1730" s="4">
        <v>57</v>
      </c>
      <c r="AI1730" s="4">
        <v>59</v>
      </c>
      <c r="AJ1730" s="4">
        <v>11</v>
      </c>
      <c r="AK1730" s="4">
        <v>14</v>
      </c>
      <c r="AL1730" s="4">
        <v>29</v>
      </c>
      <c r="AM1730" s="4">
        <v>30</v>
      </c>
      <c r="AN1730" s="4">
        <v>0</v>
      </c>
      <c r="AO1730" s="4">
        <v>0</v>
      </c>
      <c r="AP1730" s="4">
        <v>13</v>
      </c>
      <c r="AQ1730" s="4">
        <v>15</v>
      </c>
      <c r="AR1730" s="3" t="s">
        <v>62</v>
      </c>
      <c r="AS1730" s="3" t="s">
        <v>62</v>
      </c>
      <c r="AT1730" s="3" t="s">
        <v>62</v>
      </c>
      <c r="AV1730" s="6" t="str">
        <f>HYPERLINK("http://mcgill.on.worldcat.org/oclc/23462598","Catalog Record")</f>
        <v>Catalog Record</v>
      </c>
      <c r="AW1730" s="6" t="str">
        <f>HYPERLINK("http://www.worldcat.org/oclc/23462598","WorldCat Record")</f>
        <v>WorldCat Record</v>
      </c>
      <c r="AX1730" s="3" t="s">
        <v>16667</v>
      </c>
      <c r="AY1730" s="3" t="s">
        <v>16668</v>
      </c>
      <c r="AZ1730" s="3" t="s">
        <v>16669</v>
      </c>
      <c r="BA1730" s="3" t="s">
        <v>16669</v>
      </c>
      <c r="BB1730" s="3" t="s">
        <v>16670</v>
      </c>
      <c r="BC1730" s="3" t="s">
        <v>142</v>
      </c>
      <c r="BD1730" s="3" t="s">
        <v>68</v>
      </c>
      <c r="BE1730" s="3" t="s">
        <v>16671</v>
      </c>
      <c r="BF1730" s="3" t="s">
        <v>16670</v>
      </c>
      <c r="BG1730" s="3" t="s">
        <v>16672</v>
      </c>
    </row>
    <row r="1731" spans="1:59" ht="71.25" x14ac:dyDescent="0.45">
      <c r="A1731" s="2" t="s">
        <v>59</v>
      </c>
      <c r="B1731" s="2" t="s">
        <v>60</v>
      </c>
      <c r="C1731" s="2" t="s">
        <v>16673</v>
      </c>
      <c r="D1731" s="2" t="s">
        <v>16674</v>
      </c>
      <c r="E1731" s="2" t="s">
        <v>16675</v>
      </c>
      <c r="G1731" s="3" t="s">
        <v>62</v>
      </c>
      <c r="I1731" s="3" t="s">
        <v>62</v>
      </c>
      <c r="J1731" s="3" t="s">
        <v>62</v>
      </c>
      <c r="K1731" s="3" t="s">
        <v>63</v>
      </c>
      <c r="M1731" s="2" t="s">
        <v>16676</v>
      </c>
      <c r="N1731" s="3" t="s">
        <v>195</v>
      </c>
      <c r="P1731" s="3" t="s">
        <v>65</v>
      </c>
      <c r="Q1731" s="2" t="s">
        <v>16677</v>
      </c>
      <c r="R1731" s="3" t="s">
        <v>66</v>
      </c>
      <c r="S1731" s="4">
        <v>21</v>
      </c>
      <c r="T1731" s="4">
        <v>21</v>
      </c>
      <c r="U1731" s="5" t="s">
        <v>15686</v>
      </c>
      <c r="V1731" s="5" t="s">
        <v>15686</v>
      </c>
      <c r="W1731" s="5" t="s">
        <v>67</v>
      </c>
      <c r="X1731" s="5" t="s">
        <v>67</v>
      </c>
      <c r="Y1731" s="4">
        <v>188</v>
      </c>
      <c r="Z1731" s="4">
        <v>41</v>
      </c>
      <c r="AA1731" s="4">
        <v>46</v>
      </c>
      <c r="AB1731" s="4">
        <v>2</v>
      </c>
      <c r="AC1731" s="4">
        <v>6</v>
      </c>
      <c r="AD1731" s="4">
        <v>80</v>
      </c>
      <c r="AE1731" s="4">
        <v>84</v>
      </c>
      <c r="AF1731" s="4">
        <v>1</v>
      </c>
      <c r="AG1731" s="4">
        <v>4</v>
      </c>
      <c r="AH1731" s="4">
        <v>58</v>
      </c>
      <c r="AI1731" s="4">
        <v>59</v>
      </c>
      <c r="AJ1731" s="4">
        <v>21</v>
      </c>
      <c r="AK1731" s="4">
        <v>24</v>
      </c>
      <c r="AL1731" s="4">
        <v>34</v>
      </c>
      <c r="AM1731" s="4">
        <v>34</v>
      </c>
      <c r="AN1731" s="4">
        <v>0</v>
      </c>
      <c r="AO1731" s="4">
        <v>0</v>
      </c>
      <c r="AP1731" s="4">
        <v>28</v>
      </c>
      <c r="AQ1731" s="4">
        <v>31</v>
      </c>
      <c r="AR1731" s="3" t="s">
        <v>62</v>
      </c>
      <c r="AS1731" s="3" t="s">
        <v>62</v>
      </c>
      <c r="AT1731" s="3" t="s">
        <v>61</v>
      </c>
      <c r="AU1731" s="6" t="str">
        <f>HYPERLINK("http://catalog.hathitrust.org/Record/002706902","HathiTrust Record")</f>
        <v>HathiTrust Record</v>
      </c>
      <c r="AV1731" s="6" t="str">
        <f>HYPERLINK("http://mcgill.on.worldcat.org/oclc/28097197","Catalog Record")</f>
        <v>Catalog Record</v>
      </c>
      <c r="AW1731" s="6" t="str">
        <f>HYPERLINK("http://www.worldcat.org/oclc/28097197","WorldCat Record")</f>
        <v>WorldCat Record</v>
      </c>
      <c r="AX1731" s="3" t="s">
        <v>16678</v>
      </c>
      <c r="AY1731" s="3" t="s">
        <v>16679</v>
      </c>
      <c r="AZ1731" s="3" t="s">
        <v>16680</v>
      </c>
      <c r="BA1731" s="3" t="s">
        <v>16680</v>
      </c>
      <c r="BB1731" s="3" t="s">
        <v>16681</v>
      </c>
      <c r="BC1731" s="3" t="s">
        <v>142</v>
      </c>
      <c r="BD1731" s="3" t="s">
        <v>68</v>
      </c>
      <c r="BE1731" s="3" t="s">
        <v>16682</v>
      </c>
      <c r="BF1731" s="3" t="s">
        <v>16681</v>
      </c>
      <c r="BG1731" s="3" t="s">
        <v>16683</v>
      </c>
    </row>
    <row r="1732" spans="1:59" ht="57" x14ac:dyDescent="0.45">
      <c r="A1732" s="2" t="s">
        <v>59</v>
      </c>
      <c r="B1732" s="2" t="s">
        <v>60</v>
      </c>
      <c r="C1732" s="2" t="s">
        <v>16684</v>
      </c>
      <c r="D1732" s="2" t="s">
        <v>16685</v>
      </c>
      <c r="E1732" s="2" t="s">
        <v>16686</v>
      </c>
      <c r="G1732" s="3" t="s">
        <v>62</v>
      </c>
      <c r="I1732" s="3" t="s">
        <v>61</v>
      </c>
      <c r="J1732" s="3" t="s">
        <v>62</v>
      </c>
      <c r="K1732" s="3" t="s">
        <v>63</v>
      </c>
      <c r="L1732" s="2" t="s">
        <v>16687</v>
      </c>
      <c r="M1732" s="2" t="s">
        <v>16688</v>
      </c>
      <c r="N1732" s="3" t="s">
        <v>1097</v>
      </c>
      <c r="P1732" s="3" t="s">
        <v>65</v>
      </c>
      <c r="R1732" s="3" t="s">
        <v>66</v>
      </c>
      <c r="S1732" s="4">
        <v>14</v>
      </c>
      <c r="T1732" s="4">
        <v>32</v>
      </c>
      <c r="U1732" s="5" t="s">
        <v>1749</v>
      </c>
      <c r="V1732" s="5" t="s">
        <v>1749</v>
      </c>
      <c r="W1732" s="5" t="s">
        <v>67</v>
      </c>
      <c r="X1732" s="5" t="s">
        <v>67</v>
      </c>
      <c r="Y1732" s="4">
        <v>1390</v>
      </c>
      <c r="Z1732" s="4">
        <v>54</v>
      </c>
      <c r="AA1732" s="4">
        <v>61</v>
      </c>
      <c r="AB1732" s="4">
        <v>6</v>
      </c>
      <c r="AC1732" s="4">
        <v>9</v>
      </c>
      <c r="AD1732" s="4">
        <v>130</v>
      </c>
      <c r="AE1732" s="4">
        <v>133</v>
      </c>
      <c r="AF1732" s="4">
        <v>1</v>
      </c>
      <c r="AG1732" s="4">
        <v>4</v>
      </c>
      <c r="AH1732" s="4">
        <v>111</v>
      </c>
      <c r="AI1732" s="4">
        <v>112</v>
      </c>
      <c r="AJ1732" s="4">
        <v>19</v>
      </c>
      <c r="AK1732" s="4">
        <v>22</v>
      </c>
      <c r="AL1732" s="4">
        <v>57</v>
      </c>
      <c r="AM1732" s="4">
        <v>57</v>
      </c>
      <c r="AN1732" s="4">
        <v>0</v>
      </c>
      <c r="AO1732" s="4">
        <v>0</v>
      </c>
      <c r="AP1732" s="4">
        <v>28</v>
      </c>
      <c r="AQ1732" s="4">
        <v>30</v>
      </c>
      <c r="AR1732" s="3" t="s">
        <v>62</v>
      </c>
      <c r="AS1732" s="3" t="s">
        <v>62</v>
      </c>
      <c r="AT1732" s="3" t="s">
        <v>61</v>
      </c>
      <c r="AU1732" s="6" t="str">
        <f>HYPERLINK("http://catalog.hathitrust.org/Record/004375437","HathiTrust Record")</f>
        <v>HathiTrust Record</v>
      </c>
      <c r="AV1732" s="6" t="str">
        <f>HYPERLINK("http://mcgill.on.worldcat.org/oclc/53215713","Catalog Record")</f>
        <v>Catalog Record</v>
      </c>
      <c r="AW1732" s="6" t="str">
        <f>HYPERLINK("http://www.worldcat.org/oclc/53215713","WorldCat Record")</f>
        <v>WorldCat Record</v>
      </c>
      <c r="AX1732" s="3" t="s">
        <v>16689</v>
      </c>
      <c r="AY1732" s="3" t="s">
        <v>16690</v>
      </c>
      <c r="AZ1732" s="3" t="s">
        <v>16691</v>
      </c>
      <c r="BA1732" s="3" t="s">
        <v>16691</v>
      </c>
      <c r="BB1732" s="3" t="s">
        <v>16692</v>
      </c>
      <c r="BC1732" s="3" t="s">
        <v>142</v>
      </c>
      <c r="BD1732" s="3" t="s">
        <v>68</v>
      </c>
      <c r="BE1732" s="3" t="s">
        <v>16693</v>
      </c>
      <c r="BF1732" s="3" t="s">
        <v>16692</v>
      </c>
      <c r="BG1732" s="3" t="s">
        <v>16694</v>
      </c>
    </row>
    <row r="1733" spans="1:59" ht="57" x14ac:dyDescent="0.45">
      <c r="A1733" s="2" t="s">
        <v>59</v>
      </c>
      <c r="B1733" s="2" t="s">
        <v>60</v>
      </c>
      <c r="C1733" s="2" t="s">
        <v>16684</v>
      </c>
      <c r="D1733" s="2" t="s">
        <v>16685</v>
      </c>
      <c r="E1733" s="2" t="s">
        <v>16686</v>
      </c>
      <c r="G1733" s="3" t="s">
        <v>62</v>
      </c>
      <c r="I1733" s="3" t="s">
        <v>61</v>
      </c>
      <c r="J1733" s="3" t="s">
        <v>62</v>
      </c>
      <c r="K1733" s="3" t="s">
        <v>63</v>
      </c>
      <c r="L1733" s="2" t="s">
        <v>16687</v>
      </c>
      <c r="M1733" s="2" t="s">
        <v>16688</v>
      </c>
      <c r="N1733" s="3" t="s">
        <v>1097</v>
      </c>
      <c r="P1733" s="3" t="s">
        <v>65</v>
      </c>
      <c r="R1733" s="3" t="s">
        <v>66</v>
      </c>
      <c r="S1733" s="4">
        <v>18</v>
      </c>
      <c r="T1733" s="4">
        <v>32</v>
      </c>
      <c r="U1733" s="5" t="s">
        <v>16695</v>
      </c>
      <c r="V1733" s="5" t="s">
        <v>1749</v>
      </c>
      <c r="W1733" s="5" t="s">
        <v>67</v>
      </c>
      <c r="X1733" s="5" t="s">
        <v>67</v>
      </c>
      <c r="Y1733" s="4">
        <v>1390</v>
      </c>
      <c r="Z1733" s="4">
        <v>54</v>
      </c>
      <c r="AA1733" s="4">
        <v>61</v>
      </c>
      <c r="AB1733" s="4">
        <v>6</v>
      </c>
      <c r="AC1733" s="4">
        <v>9</v>
      </c>
      <c r="AD1733" s="4">
        <v>130</v>
      </c>
      <c r="AE1733" s="4">
        <v>133</v>
      </c>
      <c r="AF1733" s="4">
        <v>1</v>
      </c>
      <c r="AG1733" s="4">
        <v>4</v>
      </c>
      <c r="AH1733" s="4">
        <v>111</v>
      </c>
      <c r="AI1733" s="4">
        <v>112</v>
      </c>
      <c r="AJ1733" s="4">
        <v>19</v>
      </c>
      <c r="AK1733" s="4">
        <v>22</v>
      </c>
      <c r="AL1733" s="4">
        <v>57</v>
      </c>
      <c r="AM1733" s="4">
        <v>57</v>
      </c>
      <c r="AN1733" s="4">
        <v>0</v>
      </c>
      <c r="AO1733" s="4">
        <v>0</v>
      </c>
      <c r="AP1733" s="4">
        <v>28</v>
      </c>
      <c r="AQ1733" s="4">
        <v>30</v>
      </c>
      <c r="AR1733" s="3" t="s">
        <v>62</v>
      </c>
      <c r="AS1733" s="3" t="s">
        <v>62</v>
      </c>
      <c r="AT1733" s="3" t="s">
        <v>61</v>
      </c>
      <c r="AU1733" s="6" t="str">
        <f>HYPERLINK("http://catalog.hathitrust.org/Record/004375437","HathiTrust Record")</f>
        <v>HathiTrust Record</v>
      </c>
      <c r="AV1733" s="6" t="str">
        <f>HYPERLINK("http://mcgill.on.worldcat.org/oclc/53215713","Catalog Record")</f>
        <v>Catalog Record</v>
      </c>
      <c r="AW1733" s="6" t="str">
        <f>HYPERLINK("http://www.worldcat.org/oclc/53215713","WorldCat Record")</f>
        <v>WorldCat Record</v>
      </c>
      <c r="AX1733" s="3" t="s">
        <v>16689</v>
      </c>
      <c r="AY1733" s="3" t="s">
        <v>16690</v>
      </c>
      <c r="AZ1733" s="3" t="s">
        <v>16691</v>
      </c>
      <c r="BA1733" s="3" t="s">
        <v>16691</v>
      </c>
      <c r="BB1733" s="3" t="s">
        <v>16696</v>
      </c>
      <c r="BC1733" s="3" t="s">
        <v>142</v>
      </c>
      <c r="BD1733" s="3" t="s">
        <v>68</v>
      </c>
      <c r="BE1733" s="3" t="s">
        <v>16693</v>
      </c>
      <c r="BF1733" s="3" t="s">
        <v>16696</v>
      </c>
      <c r="BG1733" s="3" t="s">
        <v>16697</v>
      </c>
    </row>
    <row r="1734" spans="1:59" ht="57" x14ac:dyDescent="0.45">
      <c r="A1734" s="2" t="s">
        <v>59</v>
      </c>
      <c r="B1734" s="2" t="s">
        <v>60</v>
      </c>
      <c r="C1734" s="2" t="s">
        <v>16698</v>
      </c>
      <c r="D1734" s="2" t="s">
        <v>16699</v>
      </c>
      <c r="E1734" s="2" t="s">
        <v>16700</v>
      </c>
      <c r="G1734" s="3" t="s">
        <v>62</v>
      </c>
      <c r="I1734" s="3" t="s">
        <v>62</v>
      </c>
      <c r="J1734" s="3" t="s">
        <v>62</v>
      </c>
      <c r="K1734" s="3" t="s">
        <v>63</v>
      </c>
      <c r="L1734" s="2" t="s">
        <v>16701</v>
      </c>
      <c r="M1734" s="2" t="s">
        <v>16702</v>
      </c>
      <c r="N1734" s="3" t="s">
        <v>555</v>
      </c>
      <c r="P1734" s="3" t="s">
        <v>65</v>
      </c>
      <c r="R1734" s="3" t="s">
        <v>66</v>
      </c>
      <c r="S1734" s="4">
        <v>11</v>
      </c>
      <c r="T1734" s="4">
        <v>11</v>
      </c>
      <c r="U1734" s="5" t="s">
        <v>16703</v>
      </c>
      <c r="V1734" s="5" t="s">
        <v>16703</v>
      </c>
      <c r="W1734" s="5" t="s">
        <v>67</v>
      </c>
      <c r="X1734" s="5" t="s">
        <v>67</v>
      </c>
      <c r="Y1734" s="4">
        <v>1045</v>
      </c>
      <c r="Z1734" s="4">
        <v>31</v>
      </c>
      <c r="AA1734" s="4">
        <v>56</v>
      </c>
      <c r="AB1734" s="4">
        <v>4</v>
      </c>
      <c r="AC1734" s="4">
        <v>8</v>
      </c>
      <c r="AD1734" s="4">
        <v>126</v>
      </c>
      <c r="AE1734" s="4">
        <v>147</v>
      </c>
      <c r="AF1734" s="4">
        <v>1</v>
      </c>
      <c r="AG1734" s="4">
        <v>5</v>
      </c>
      <c r="AH1734" s="4">
        <v>103</v>
      </c>
      <c r="AI1734" s="4">
        <v>114</v>
      </c>
      <c r="AJ1734" s="4">
        <v>13</v>
      </c>
      <c r="AK1734" s="4">
        <v>27</v>
      </c>
      <c r="AL1734" s="4">
        <v>59</v>
      </c>
      <c r="AM1734" s="4">
        <v>61</v>
      </c>
      <c r="AN1734" s="4">
        <v>0</v>
      </c>
      <c r="AO1734" s="4">
        <v>0</v>
      </c>
      <c r="AP1734" s="4">
        <v>23</v>
      </c>
      <c r="AQ1734" s="4">
        <v>38</v>
      </c>
      <c r="AR1734" s="3" t="s">
        <v>62</v>
      </c>
      <c r="AS1734" s="3" t="s">
        <v>62</v>
      </c>
      <c r="AT1734" s="3" t="s">
        <v>62</v>
      </c>
      <c r="AV1734" s="6" t="str">
        <f>HYPERLINK("http://mcgill.on.worldcat.org/oclc/762760","Catalog Record")</f>
        <v>Catalog Record</v>
      </c>
      <c r="AW1734" s="6" t="str">
        <f>HYPERLINK("http://www.worldcat.org/oclc/762760","WorldCat Record")</f>
        <v>WorldCat Record</v>
      </c>
      <c r="AX1734" s="3" t="s">
        <v>16704</v>
      </c>
      <c r="AY1734" s="3" t="s">
        <v>16705</v>
      </c>
      <c r="AZ1734" s="3" t="s">
        <v>16706</v>
      </c>
      <c r="BA1734" s="3" t="s">
        <v>16706</v>
      </c>
      <c r="BB1734" s="3" t="s">
        <v>16707</v>
      </c>
      <c r="BC1734" s="3" t="s">
        <v>142</v>
      </c>
      <c r="BD1734" s="3" t="s">
        <v>68</v>
      </c>
      <c r="BE1734" s="3" t="s">
        <v>16708</v>
      </c>
      <c r="BF1734" s="3" t="s">
        <v>16707</v>
      </c>
      <c r="BG1734" s="3" t="s">
        <v>16709</v>
      </c>
    </row>
    <row r="1735" spans="1:59" ht="57" x14ac:dyDescent="0.45">
      <c r="A1735" s="2" t="s">
        <v>59</v>
      </c>
      <c r="B1735" s="2" t="s">
        <v>60</v>
      </c>
      <c r="C1735" s="2" t="s">
        <v>16710</v>
      </c>
      <c r="D1735" s="2" t="s">
        <v>16711</v>
      </c>
      <c r="E1735" s="2" t="s">
        <v>16712</v>
      </c>
      <c r="G1735" s="3" t="s">
        <v>62</v>
      </c>
      <c r="I1735" s="3" t="s">
        <v>62</v>
      </c>
      <c r="J1735" s="3" t="s">
        <v>62</v>
      </c>
      <c r="K1735" s="3" t="s">
        <v>63</v>
      </c>
      <c r="L1735" s="2" t="s">
        <v>16713</v>
      </c>
      <c r="M1735" s="2" t="s">
        <v>16714</v>
      </c>
      <c r="N1735" s="3" t="s">
        <v>1224</v>
      </c>
      <c r="P1735" s="3" t="s">
        <v>65</v>
      </c>
      <c r="R1735" s="3" t="s">
        <v>66</v>
      </c>
      <c r="S1735" s="4">
        <v>8</v>
      </c>
      <c r="T1735" s="4">
        <v>8</v>
      </c>
      <c r="U1735" s="5" t="s">
        <v>16715</v>
      </c>
      <c r="V1735" s="5" t="s">
        <v>16715</v>
      </c>
      <c r="W1735" s="5" t="s">
        <v>67</v>
      </c>
      <c r="X1735" s="5" t="s">
        <v>67</v>
      </c>
      <c r="Y1735" s="4">
        <v>1101</v>
      </c>
      <c r="Z1735" s="4">
        <v>32</v>
      </c>
      <c r="AA1735" s="4">
        <v>36</v>
      </c>
      <c r="AB1735" s="4">
        <v>2</v>
      </c>
      <c r="AC1735" s="4">
        <v>5</v>
      </c>
      <c r="AD1735" s="4">
        <v>114</v>
      </c>
      <c r="AE1735" s="4">
        <v>120</v>
      </c>
      <c r="AF1735" s="4">
        <v>1</v>
      </c>
      <c r="AG1735" s="4">
        <v>4</v>
      </c>
      <c r="AH1735" s="4">
        <v>95</v>
      </c>
      <c r="AI1735" s="4">
        <v>99</v>
      </c>
      <c r="AJ1735" s="4">
        <v>15</v>
      </c>
      <c r="AK1735" s="4">
        <v>18</v>
      </c>
      <c r="AL1735" s="4">
        <v>51</v>
      </c>
      <c r="AM1735" s="4">
        <v>53</v>
      </c>
      <c r="AN1735" s="4">
        <v>0</v>
      </c>
      <c r="AO1735" s="4">
        <v>0</v>
      </c>
      <c r="AP1735" s="4">
        <v>23</v>
      </c>
      <c r="AQ1735" s="4">
        <v>25</v>
      </c>
      <c r="AR1735" s="3" t="s">
        <v>62</v>
      </c>
      <c r="AS1735" s="3" t="s">
        <v>62</v>
      </c>
      <c r="AT1735" s="3" t="s">
        <v>61</v>
      </c>
      <c r="AU1735" s="6" t="str">
        <f>HYPERLINK("http://catalog.hathitrust.org/Record/000014784","HathiTrust Record")</f>
        <v>HathiTrust Record</v>
      </c>
      <c r="AV1735" s="6" t="str">
        <f>HYPERLINK("http://mcgill.on.worldcat.org/oclc/922845","Catalog Record")</f>
        <v>Catalog Record</v>
      </c>
      <c r="AW1735" s="6" t="str">
        <f>HYPERLINK("http://www.worldcat.org/oclc/922845","WorldCat Record")</f>
        <v>WorldCat Record</v>
      </c>
      <c r="AX1735" s="3" t="s">
        <v>16716</v>
      </c>
      <c r="AY1735" s="3" t="s">
        <v>16717</v>
      </c>
      <c r="AZ1735" s="3" t="s">
        <v>16718</v>
      </c>
      <c r="BA1735" s="3" t="s">
        <v>16718</v>
      </c>
      <c r="BB1735" s="3" t="s">
        <v>16719</v>
      </c>
      <c r="BC1735" s="3" t="s">
        <v>142</v>
      </c>
      <c r="BD1735" s="3" t="s">
        <v>68</v>
      </c>
      <c r="BE1735" s="3" t="s">
        <v>16720</v>
      </c>
      <c r="BF1735" s="3" t="s">
        <v>16719</v>
      </c>
      <c r="BG1735" s="3" t="s">
        <v>16721</v>
      </c>
    </row>
    <row r="1736" spans="1:59" ht="57" x14ac:dyDescent="0.45">
      <c r="A1736" s="2" t="s">
        <v>59</v>
      </c>
      <c r="B1736" s="2" t="s">
        <v>60</v>
      </c>
      <c r="C1736" s="2" t="s">
        <v>16722</v>
      </c>
      <c r="D1736" s="2" t="s">
        <v>16723</v>
      </c>
      <c r="E1736" s="2" t="s">
        <v>16724</v>
      </c>
      <c r="G1736" s="3" t="s">
        <v>62</v>
      </c>
      <c r="I1736" s="3" t="s">
        <v>62</v>
      </c>
      <c r="J1736" s="3" t="s">
        <v>62</v>
      </c>
      <c r="K1736" s="3" t="s">
        <v>63</v>
      </c>
      <c r="L1736" s="2" t="s">
        <v>16725</v>
      </c>
      <c r="M1736" s="2" t="s">
        <v>16726</v>
      </c>
      <c r="N1736" s="3" t="s">
        <v>149</v>
      </c>
      <c r="P1736" s="3" t="s">
        <v>65</v>
      </c>
      <c r="R1736" s="3" t="s">
        <v>66</v>
      </c>
      <c r="S1736" s="4">
        <v>1</v>
      </c>
      <c r="T1736" s="4">
        <v>1</v>
      </c>
      <c r="U1736" s="5" t="s">
        <v>16727</v>
      </c>
      <c r="V1736" s="5" t="s">
        <v>16727</v>
      </c>
      <c r="W1736" s="5" t="s">
        <v>67</v>
      </c>
      <c r="X1736" s="5" t="s">
        <v>67</v>
      </c>
      <c r="Y1736" s="4">
        <v>365</v>
      </c>
      <c r="Z1736" s="4">
        <v>9</v>
      </c>
      <c r="AA1736" s="4">
        <v>41</v>
      </c>
      <c r="AB1736" s="4">
        <v>1</v>
      </c>
      <c r="AC1736" s="4">
        <v>6</v>
      </c>
      <c r="AD1736" s="4">
        <v>62</v>
      </c>
      <c r="AE1736" s="4">
        <v>71</v>
      </c>
      <c r="AF1736" s="4">
        <v>0</v>
      </c>
      <c r="AG1736" s="4">
        <v>0</v>
      </c>
      <c r="AH1736" s="4">
        <v>57</v>
      </c>
      <c r="AI1736" s="4">
        <v>62</v>
      </c>
      <c r="AJ1736" s="4">
        <v>7</v>
      </c>
      <c r="AK1736" s="4">
        <v>7</v>
      </c>
      <c r="AL1736" s="4">
        <v>30</v>
      </c>
      <c r="AM1736" s="4">
        <v>33</v>
      </c>
      <c r="AN1736" s="4">
        <v>0</v>
      </c>
      <c r="AO1736" s="4">
        <v>0</v>
      </c>
      <c r="AP1736" s="4">
        <v>8</v>
      </c>
      <c r="AQ1736" s="4">
        <v>12</v>
      </c>
      <c r="AR1736" s="3" t="s">
        <v>62</v>
      </c>
      <c r="AS1736" s="3" t="s">
        <v>62</v>
      </c>
      <c r="AT1736" s="3" t="s">
        <v>62</v>
      </c>
      <c r="AV1736" s="6" t="str">
        <f>HYPERLINK("http://mcgill.on.worldcat.org/oclc/457768263","Catalog Record")</f>
        <v>Catalog Record</v>
      </c>
      <c r="AW1736" s="6" t="str">
        <f>HYPERLINK("http://www.worldcat.org/oclc/457768263","WorldCat Record")</f>
        <v>WorldCat Record</v>
      </c>
      <c r="AX1736" s="3" t="s">
        <v>16728</v>
      </c>
      <c r="AY1736" s="3" t="s">
        <v>16729</v>
      </c>
      <c r="AZ1736" s="3" t="s">
        <v>16730</v>
      </c>
      <c r="BA1736" s="3" t="s">
        <v>16730</v>
      </c>
      <c r="BB1736" s="3" t="s">
        <v>16731</v>
      </c>
      <c r="BC1736" s="3" t="s">
        <v>142</v>
      </c>
      <c r="BD1736" s="3" t="s">
        <v>68</v>
      </c>
      <c r="BE1736" s="3" t="s">
        <v>16732</v>
      </c>
      <c r="BF1736" s="3" t="s">
        <v>16731</v>
      </c>
      <c r="BG1736" s="3" t="s">
        <v>16733</v>
      </c>
    </row>
    <row r="1737" spans="1:59" ht="57" x14ac:dyDescent="0.45">
      <c r="A1737" s="2" t="s">
        <v>59</v>
      </c>
      <c r="B1737" s="2" t="s">
        <v>60</v>
      </c>
      <c r="C1737" s="2" t="s">
        <v>16734</v>
      </c>
      <c r="D1737" s="2" t="s">
        <v>16735</v>
      </c>
      <c r="E1737" s="2" t="s">
        <v>16736</v>
      </c>
      <c r="G1737" s="3" t="s">
        <v>62</v>
      </c>
      <c r="I1737" s="3" t="s">
        <v>62</v>
      </c>
      <c r="J1737" s="3" t="s">
        <v>62</v>
      </c>
      <c r="K1737" s="3" t="s">
        <v>63</v>
      </c>
      <c r="L1737" s="2" t="s">
        <v>16737</v>
      </c>
      <c r="M1737" s="2" t="s">
        <v>16738</v>
      </c>
      <c r="N1737" s="3" t="s">
        <v>157</v>
      </c>
      <c r="P1737" s="3" t="s">
        <v>65</v>
      </c>
      <c r="R1737" s="3" t="s">
        <v>66</v>
      </c>
      <c r="S1737" s="4">
        <v>14</v>
      </c>
      <c r="T1737" s="4">
        <v>14</v>
      </c>
      <c r="U1737" s="5" t="s">
        <v>2621</v>
      </c>
      <c r="V1737" s="5" t="s">
        <v>2621</v>
      </c>
      <c r="W1737" s="5" t="s">
        <v>67</v>
      </c>
      <c r="X1737" s="5" t="s">
        <v>67</v>
      </c>
      <c r="Y1737" s="4">
        <v>346</v>
      </c>
      <c r="Z1737" s="4">
        <v>20</v>
      </c>
      <c r="AA1737" s="4">
        <v>20</v>
      </c>
      <c r="AB1737" s="4">
        <v>1</v>
      </c>
      <c r="AC1737" s="4">
        <v>1</v>
      </c>
      <c r="AD1737" s="4">
        <v>97</v>
      </c>
      <c r="AE1737" s="4">
        <v>97</v>
      </c>
      <c r="AF1737" s="4">
        <v>0</v>
      </c>
      <c r="AG1737" s="4">
        <v>0</v>
      </c>
      <c r="AH1737" s="4">
        <v>88</v>
      </c>
      <c r="AI1737" s="4">
        <v>88</v>
      </c>
      <c r="AJ1737" s="4">
        <v>14</v>
      </c>
      <c r="AK1737" s="4">
        <v>14</v>
      </c>
      <c r="AL1737" s="4">
        <v>49</v>
      </c>
      <c r="AM1737" s="4">
        <v>49</v>
      </c>
      <c r="AN1737" s="4">
        <v>0</v>
      </c>
      <c r="AO1737" s="4">
        <v>0</v>
      </c>
      <c r="AP1737" s="4">
        <v>15</v>
      </c>
      <c r="AQ1737" s="4">
        <v>15</v>
      </c>
      <c r="AR1737" s="3" t="s">
        <v>62</v>
      </c>
      <c r="AS1737" s="3" t="s">
        <v>62</v>
      </c>
      <c r="AT1737" s="3" t="s">
        <v>61</v>
      </c>
      <c r="AU1737" s="6" t="str">
        <f>HYPERLINK("http://catalog.hathitrust.org/Record/000146301","HathiTrust Record")</f>
        <v>HathiTrust Record</v>
      </c>
      <c r="AV1737" s="6" t="str">
        <f>HYPERLINK("http://mcgill.on.worldcat.org/oclc/8389121","Catalog Record")</f>
        <v>Catalog Record</v>
      </c>
      <c r="AW1737" s="6" t="str">
        <f>HYPERLINK("http://www.worldcat.org/oclc/8389121","WorldCat Record")</f>
        <v>WorldCat Record</v>
      </c>
      <c r="AX1737" s="3" t="s">
        <v>16739</v>
      </c>
      <c r="AY1737" s="3" t="s">
        <v>16740</v>
      </c>
      <c r="AZ1737" s="3" t="s">
        <v>16741</v>
      </c>
      <c r="BA1737" s="3" t="s">
        <v>16741</v>
      </c>
      <c r="BB1737" s="3" t="s">
        <v>16742</v>
      </c>
      <c r="BC1737" s="3" t="s">
        <v>142</v>
      </c>
      <c r="BD1737" s="3" t="s">
        <v>68</v>
      </c>
      <c r="BE1737" s="3" t="s">
        <v>16743</v>
      </c>
      <c r="BF1737" s="3" t="s">
        <v>16742</v>
      </c>
      <c r="BG1737" s="3" t="s">
        <v>16744</v>
      </c>
    </row>
    <row r="1738" spans="1:59" ht="57" x14ac:dyDescent="0.45">
      <c r="A1738" s="2" t="s">
        <v>59</v>
      </c>
      <c r="B1738" s="2" t="s">
        <v>60</v>
      </c>
      <c r="C1738" s="2" t="s">
        <v>16745</v>
      </c>
      <c r="D1738" s="2" t="s">
        <v>16746</v>
      </c>
      <c r="E1738" s="2" t="s">
        <v>16747</v>
      </c>
      <c r="G1738" s="3" t="s">
        <v>62</v>
      </c>
      <c r="I1738" s="3" t="s">
        <v>62</v>
      </c>
      <c r="J1738" s="3" t="s">
        <v>62</v>
      </c>
      <c r="K1738" s="3" t="s">
        <v>63</v>
      </c>
      <c r="M1738" s="2" t="s">
        <v>16748</v>
      </c>
      <c r="N1738" s="3" t="s">
        <v>149</v>
      </c>
      <c r="P1738" s="3" t="s">
        <v>65</v>
      </c>
      <c r="R1738" s="3" t="s">
        <v>66</v>
      </c>
      <c r="S1738" s="4">
        <v>3</v>
      </c>
      <c r="T1738" s="4">
        <v>3</v>
      </c>
      <c r="U1738" s="5" t="s">
        <v>16749</v>
      </c>
      <c r="V1738" s="5" t="s">
        <v>16749</v>
      </c>
      <c r="W1738" s="5" t="s">
        <v>67</v>
      </c>
      <c r="X1738" s="5" t="s">
        <v>67</v>
      </c>
      <c r="Y1738" s="4">
        <v>221</v>
      </c>
      <c r="Z1738" s="4">
        <v>17</v>
      </c>
      <c r="AA1738" s="4">
        <v>34</v>
      </c>
      <c r="AB1738" s="4">
        <v>2</v>
      </c>
      <c r="AC1738" s="4">
        <v>4</v>
      </c>
      <c r="AD1738" s="4">
        <v>84</v>
      </c>
      <c r="AE1738" s="4">
        <v>108</v>
      </c>
      <c r="AF1738" s="4">
        <v>1</v>
      </c>
      <c r="AG1738" s="4">
        <v>2</v>
      </c>
      <c r="AH1738" s="4">
        <v>79</v>
      </c>
      <c r="AI1738" s="4">
        <v>93</v>
      </c>
      <c r="AJ1738" s="4">
        <v>11</v>
      </c>
      <c r="AK1738" s="4">
        <v>16</v>
      </c>
      <c r="AL1738" s="4">
        <v>45</v>
      </c>
      <c r="AM1738" s="4">
        <v>50</v>
      </c>
      <c r="AN1738" s="4">
        <v>0</v>
      </c>
      <c r="AO1738" s="4">
        <v>0</v>
      </c>
      <c r="AP1738" s="4">
        <v>12</v>
      </c>
      <c r="AQ1738" s="4">
        <v>23</v>
      </c>
      <c r="AR1738" s="3" t="s">
        <v>62</v>
      </c>
      <c r="AS1738" s="3" t="s">
        <v>62</v>
      </c>
      <c r="AT1738" s="3" t="s">
        <v>62</v>
      </c>
      <c r="AV1738" s="6" t="str">
        <f>HYPERLINK("http://mcgill.on.worldcat.org/oclc/468973389","Catalog Record")</f>
        <v>Catalog Record</v>
      </c>
      <c r="AW1738" s="6" t="str">
        <f>HYPERLINK("http://www.worldcat.org/oclc/468973389","WorldCat Record")</f>
        <v>WorldCat Record</v>
      </c>
      <c r="AX1738" s="3" t="s">
        <v>16750</v>
      </c>
      <c r="AY1738" s="3" t="s">
        <v>16751</v>
      </c>
      <c r="AZ1738" s="3" t="s">
        <v>16752</v>
      </c>
      <c r="BA1738" s="3" t="s">
        <v>16752</v>
      </c>
      <c r="BB1738" s="3" t="s">
        <v>16753</v>
      </c>
      <c r="BC1738" s="3" t="s">
        <v>142</v>
      </c>
      <c r="BD1738" s="3" t="s">
        <v>308</v>
      </c>
      <c r="BE1738" s="3" t="s">
        <v>16754</v>
      </c>
      <c r="BF1738" s="3" t="s">
        <v>16753</v>
      </c>
      <c r="BG1738" s="3" t="s">
        <v>16755</v>
      </c>
    </row>
    <row r="1739" spans="1:59" ht="57" x14ac:dyDescent="0.45">
      <c r="A1739" s="2" t="s">
        <v>59</v>
      </c>
      <c r="B1739" s="2" t="s">
        <v>60</v>
      </c>
      <c r="C1739" s="2" t="s">
        <v>16756</v>
      </c>
      <c r="D1739" s="2" t="s">
        <v>16757</v>
      </c>
      <c r="E1739" s="2" t="s">
        <v>16758</v>
      </c>
      <c r="G1739" s="3" t="s">
        <v>62</v>
      </c>
      <c r="I1739" s="3" t="s">
        <v>62</v>
      </c>
      <c r="J1739" s="3" t="s">
        <v>62</v>
      </c>
      <c r="K1739" s="3" t="s">
        <v>63</v>
      </c>
      <c r="L1739" s="2" t="s">
        <v>16759</v>
      </c>
      <c r="M1739" s="2" t="s">
        <v>16760</v>
      </c>
      <c r="N1739" s="3" t="s">
        <v>918</v>
      </c>
      <c r="P1739" s="3" t="s">
        <v>65</v>
      </c>
      <c r="R1739" s="3" t="s">
        <v>66</v>
      </c>
      <c r="S1739" s="4">
        <v>9</v>
      </c>
      <c r="T1739" s="4">
        <v>9</v>
      </c>
      <c r="U1739" s="5" t="s">
        <v>1156</v>
      </c>
      <c r="V1739" s="5" t="s">
        <v>1156</v>
      </c>
      <c r="W1739" s="5" t="s">
        <v>67</v>
      </c>
      <c r="X1739" s="5" t="s">
        <v>67</v>
      </c>
      <c r="Y1739" s="4">
        <v>291</v>
      </c>
      <c r="Z1739" s="4">
        <v>28</v>
      </c>
      <c r="AA1739" s="4">
        <v>31</v>
      </c>
      <c r="AB1739" s="4">
        <v>2</v>
      </c>
      <c r="AC1739" s="4">
        <v>5</v>
      </c>
      <c r="AD1739" s="4">
        <v>99</v>
      </c>
      <c r="AE1739" s="4">
        <v>101</v>
      </c>
      <c r="AF1739" s="4">
        <v>1</v>
      </c>
      <c r="AG1739" s="4">
        <v>3</v>
      </c>
      <c r="AH1739" s="4">
        <v>85</v>
      </c>
      <c r="AI1739" s="4">
        <v>86</v>
      </c>
      <c r="AJ1739" s="4">
        <v>15</v>
      </c>
      <c r="AK1739" s="4">
        <v>17</v>
      </c>
      <c r="AL1739" s="4">
        <v>46</v>
      </c>
      <c r="AM1739" s="4">
        <v>46</v>
      </c>
      <c r="AN1739" s="4">
        <v>0</v>
      </c>
      <c r="AO1739" s="4">
        <v>0</v>
      </c>
      <c r="AP1739" s="4">
        <v>21</v>
      </c>
      <c r="AQ1739" s="4">
        <v>22</v>
      </c>
      <c r="AR1739" s="3" t="s">
        <v>62</v>
      </c>
      <c r="AS1739" s="3" t="s">
        <v>62</v>
      </c>
      <c r="AT1739" s="3" t="s">
        <v>62</v>
      </c>
      <c r="AV1739" s="6" t="str">
        <f>HYPERLINK("http://mcgill.on.worldcat.org/oclc/50755952","Catalog Record")</f>
        <v>Catalog Record</v>
      </c>
      <c r="AW1739" s="6" t="str">
        <f>HYPERLINK("http://www.worldcat.org/oclc/50755952","WorldCat Record")</f>
        <v>WorldCat Record</v>
      </c>
      <c r="AX1739" s="3" t="s">
        <v>16761</v>
      </c>
      <c r="AY1739" s="3" t="s">
        <v>16762</v>
      </c>
      <c r="AZ1739" s="3" t="s">
        <v>16763</v>
      </c>
      <c r="BA1739" s="3" t="s">
        <v>16763</v>
      </c>
      <c r="BB1739" s="3" t="s">
        <v>16764</v>
      </c>
      <c r="BC1739" s="3" t="s">
        <v>142</v>
      </c>
      <c r="BD1739" s="3" t="s">
        <v>68</v>
      </c>
      <c r="BE1739" s="3" t="s">
        <v>16765</v>
      </c>
      <c r="BF1739" s="3" t="s">
        <v>16764</v>
      </c>
      <c r="BG1739" s="3" t="s">
        <v>16766</v>
      </c>
    </row>
    <row r="1740" spans="1:59" ht="57" x14ac:dyDescent="0.45">
      <c r="A1740" s="2" t="s">
        <v>59</v>
      </c>
      <c r="B1740" s="2" t="s">
        <v>60</v>
      </c>
      <c r="C1740" s="2" t="s">
        <v>16767</v>
      </c>
      <c r="D1740" s="2" t="s">
        <v>16768</v>
      </c>
      <c r="E1740" s="2" t="s">
        <v>16769</v>
      </c>
      <c r="G1740" s="3" t="s">
        <v>62</v>
      </c>
      <c r="I1740" s="3" t="s">
        <v>62</v>
      </c>
      <c r="J1740" s="3" t="s">
        <v>62</v>
      </c>
      <c r="K1740" s="3" t="s">
        <v>63</v>
      </c>
      <c r="L1740" s="2" t="s">
        <v>16770</v>
      </c>
      <c r="M1740" s="2" t="s">
        <v>16771</v>
      </c>
      <c r="N1740" s="3" t="s">
        <v>122</v>
      </c>
      <c r="P1740" s="3" t="s">
        <v>65</v>
      </c>
      <c r="R1740" s="3" t="s">
        <v>66</v>
      </c>
      <c r="S1740" s="4">
        <v>17</v>
      </c>
      <c r="T1740" s="4">
        <v>17</v>
      </c>
      <c r="U1740" s="5" t="s">
        <v>1156</v>
      </c>
      <c r="V1740" s="5" t="s">
        <v>1156</v>
      </c>
      <c r="W1740" s="5" t="s">
        <v>67</v>
      </c>
      <c r="X1740" s="5" t="s">
        <v>67</v>
      </c>
      <c r="Y1740" s="4">
        <v>365</v>
      </c>
      <c r="Z1740" s="4">
        <v>26</v>
      </c>
      <c r="AA1740" s="4">
        <v>28</v>
      </c>
      <c r="AB1740" s="4">
        <v>2</v>
      </c>
      <c r="AC1740" s="4">
        <v>4</v>
      </c>
      <c r="AD1740" s="4">
        <v>108</v>
      </c>
      <c r="AE1740" s="4">
        <v>110</v>
      </c>
      <c r="AF1740" s="4">
        <v>1</v>
      </c>
      <c r="AG1740" s="4">
        <v>3</v>
      </c>
      <c r="AH1740" s="4">
        <v>94</v>
      </c>
      <c r="AI1740" s="4">
        <v>95</v>
      </c>
      <c r="AJ1740" s="4">
        <v>17</v>
      </c>
      <c r="AK1740" s="4">
        <v>19</v>
      </c>
      <c r="AL1740" s="4">
        <v>52</v>
      </c>
      <c r="AM1740" s="4">
        <v>52</v>
      </c>
      <c r="AN1740" s="4">
        <v>0</v>
      </c>
      <c r="AO1740" s="4">
        <v>0</v>
      </c>
      <c r="AP1740" s="4">
        <v>19</v>
      </c>
      <c r="AQ1740" s="4">
        <v>20</v>
      </c>
      <c r="AR1740" s="3" t="s">
        <v>62</v>
      </c>
      <c r="AS1740" s="3" t="s">
        <v>62</v>
      </c>
      <c r="AT1740" s="3" t="s">
        <v>61</v>
      </c>
      <c r="AU1740" s="6" t="str">
        <f>HYPERLINK("http://catalog.hathitrust.org/Record/000169644","HathiTrust Record")</f>
        <v>HathiTrust Record</v>
      </c>
      <c r="AV1740" s="6" t="str">
        <f>HYPERLINK("http://mcgill.on.worldcat.org/oclc/2655407","Catalog Record")</f>
        <v>Catalog Record</v>
      </c>
      <c r="AW1740" s="6" t="str">
        <f>HYPERLINK("http://www.worldcat.org/oclc/2655407","WorldCat Record")</f>
        <v>WorldCat Record</v>
      </c>
      <c r="AX1740" s="3" t="s">
        <v>16772</v>
      </c>
      <c r="AY1740" s="3" t="s">
        <v>16773</v>
      </c>
      <c r="AZ1740" s="3" t="s">
        <v>16774</v>
      </c>
      <c r="BA1740" s="3" t="s">
        <v>16774</v>
      </c>
      <c r="BB1740" s="3" t="s">
        <v>16775</v>
      </c>
      <c r="BC1740" s="3" t="s">
        <v>142</v>
      </c>
      <c r="BD1740" s="3" t="s">
        <v>68</v>
      </c>
      <c r="BE1740" s="3" t="s">
        <v>16776</v>
      </c>
      <c r="BF1740" s="3" t="s">
        <v>16775</v>
      </c>
      <c r="BG1740" s="3" t="s">
        <v>16777</v>
      </c>
    </row>
    <row r="1741" spans="1:59" ht="57" x14ac:dyDescent="0.45">
      <c r="A1741" s="2" t="s">
        <v>59</v>
      </c>
      <c r="B1741" s="2" t="s">
        <v>60</v>
      </c>
      <c r="C1741" s="2" t="s">
        <v>16778</v>
      </c>
      <c r="D1741" s="2" t="s">
        <v>16779</v>
      </c>
      <c r="E1741" s="2" t="s">
        <v>16780</v>
      </c>
      <c r="G1741" s="3" t="s">
        <v>62</v>
      </c>
      <c r="I1741" s="3" t="s">
        <v>62</v>
      </c>
      <c r="J1741" s="3" t="s">
        <v>62</v>
      </c>
      <c r="K1741" s="3" t="s">
        <v>63</v>
      </c>
      <c r="L1741" s="2" t="s">
        <v>16781</v>
      </c>
      <c r="M1741" s="2" t="s">
        <v>16782</v>
      </c>
      <c r="N1741" s="3" t="s">
        <v>1604</v>
      </c>
      <c r="P1741" s="3" t="s">
        <v>65</v>
      </c>
      <c r="Q1741" s="2" t="s">
        <v>16783</v>
      </c>
      <c r="R1741" s="3" t="s">
        <v>66</v>
      </c>
      <c r="S1741" s="4">
        <v>41</v>
      </c>
      <c r="T1741" s="4">
        <v>41</v>
      </c>
      <c r="U1741" s="5" t="s">
        <v>16784</v>
      </c>
      <c r="V1741" s="5" t="s">
        <v>16784</v>
      </c>
      <c r="W1741" s="5" t="s">
        <v>67</v>
      </c>
      <c r="X1741" s="5" t="s">
        <v>67</v>
      </c>
      <c r="Y1741" s="4">
        <v>173</v>
      </c>
      <c r="Z1741" s="4">
        <v>14</v>
      </c>
      <c r="AA1741" s="4">
        <v>15</v>
      </c>
      <c r="AB1741" s="4">
        <v>2</v>
      </c>
      <c r="AC1741" s="4">
        <v>2</v>
      </c>
      <c r="AD1741" s="4">
        <v>60</v>
      </c>
      <c r="AE1741" s="4">
        <v>62</v>
      </c>
      <c r="AF1741" s="4">
        <v>1</v>
      </c>
      <c r="AG1741" s="4">
        <v>1</v>
      </c>
      <c r="AH1741" s="4">
        <v>54</v>
      </c>
      <c r="AI1741" s="4">
        <v>55</v>
      </c>
      <c r="AJ1741" s="4">
        <v>11</v>
      </c>
      <c r="AK1741" s="4">
        <v>12</v>
      </c>
      <c r="AL1741" s="4">
        <v>36</v>
      </c>
      <c r="AM1741" s="4">
        <v>37</v>
      </c>
      <c r="AN1741" s="4">
        <v>0</v>
      </c>
      <c r="AO1741" s="4">
        <v>0</v>
      </c>
      <c r="AP1741" s="4">
        <v>10</v>
      </c>
      <c r="AQ1741" s="4">
        <v>11</v>
      </c>
      <c r="AR1741" s="3" t="s">
        <v>62</v>
      </c>
      <c r="AS1741" s="3" t="s">
        <v>62</v>
      </c>
      <c r="AT1741" s="3" t="s">
        <v>61</v>
      </c>
      <c r="AU1741" s="6" t="str">
        <f>HYPERLINK("http://catalog.hathitrust.org/Record/002896715","HathiTrust Record")</f>
        <v>HathiTrust Record</v>
      </c>
      <c r="AV1741" s="6" t="str">
        <f>HYPERLINK("http://mcgill.on.worldcat.org/oclc/30915874","Catalog Record")</f>
        <v>Catalog Record</v>
      </c>
      <c r="AW1741" s="6" t="str">
        <f>HYPERLINK("http://www.worldcat.org/oclc/30915874","WorldCat Record")</f>
        <v>WorldCat Record</v>
      </c>
      <c r="AX1741" s="3" t="s">
        <v>16785</v>
      </c>
      <c r="AY1741" s="3" t="s">
        <v>16786</v>
      </c>
      <c r="AZ1741" s="3" t="s">
        <v>16787</v>
      </c>
      <c r="BA1741" s="3" t="s">
        <v>16787</v>
      </c>
      <c r="BB1741" s="3" t="s">
        <v>16788</v>
      </c>
      <c r="BC1741" s="3" t="s">
        <v>142</v>
      </c>
      <c r="BD1741" s="3" t="s">
        <v>68</v>
      </c>
      <c r="BE1741" s="3" t="s">
        <v>16789</v>
      </c>
      <c r="BF1741" s="3" t="s">
        <v>16788</v>
      </c>
      <c r="BG1741" s="3" t="s">
        <v>16790</v>
      </c>
    </row>
    <row r="1742" spans="1:59" ht="71.25" x14ac:dyDescent="0.45">
      <c r="A1742" s="2" t="s">
        <v>59</v>
      </c>
      <c r="B1742" s="2" t="s">
        <v>60</v>
      </c>
      <c r="C1742" s="2" t="s">
        <v>16791</v>
      </c>
      <c r="D1742" s="2" t="s">
        <v>16792</v>
      </c>
      <c r="E1742" s="2" t="s">
        <v>16793</v>
      </c>
      <c r="G1742" s="3" t="s">
        <v>62</v>
      </c>
      <c r="I1742" s="3" t="s">
        <v>62</v>
      </c>
      <c r="J1742" s="3" t="s">
        <v>62</v>
      </c>
      <c r="K1742" s="3" t="s">
        <v>63</v>
      </c>
      <c r="M1742" s="2" t="s">
        <v>16794</v>
      </c>
      <c r="N1742" s="3" t="s">
        <v>1155</v>
      </c>
      <c r="P1742" s="3" t="s">
        <v>110</v>
      </c>
      <c r="Q1742" s="2" t="s">
        <v>16795</v>
      </c>
      <c r="R1742" s="3" t="s">
        <v>66</v>
      </c>
      <c r="S1742" s="4">
        <v>0</v>
      </c>
      <c r="T1742" s="4">
        <v>0</v>
      </c>
      <c r="W1742" s="5" t="s">
        <v>67</v>
      </c>
      <c r="X1742" s="5" t="s">
        <v>67</v>
      </c>
      <c r="Y1742" s="4">
        <v>8</v>
      </c>
      <c r="Z1742" s="4">
        <v>4</v>
      </c>
      <c r="AA1742" s="4">
        <v>6</v>
      </c>
      <c r="AB1742" s="4">
        <v>3</v>
      </c>
      <c r="AC1742" s="4">
        <v>3</v>
      </c>
      <c r="AD1742" s="4">
        <v>3</v>
      </c>
      <c r="AE1742" s="4">
        <v>10</v>
      </c>
      <c r="AF1742" s="4">
        <v>2</v>
      </c>
      <c r="AG1742" s="4">
        <v>2</v>
      </c>
      <c r="AH1742" s="4">
        <v>2</v>
      </c>
      <c r="AI1742" s="4">
        <v>9</v>
      </c>
      <c r="AJ1742" s="4">
        <v>3</v>
      </c>
      <c r="AK1742" s="4">
        <v>4</v>
      </c>
      <c r="AL1742" s="4">
        <v>0</v>
      </c>
      <c r="AM1742" s="4">
        <v>6</v>
      </c>
      <c r="AN1742" s="4">
        <v>0</v>
      </c>
      <c r="AO1742" s="4">
        <v>0</v>
      </c>
      <c r="AP1742" s="4">
        <v>3</v>
      </c>
      <c r="AQ1742" s="4">
        <v>4</v>
      </c>
      <c r="AR1742" s="3" t="s">
        <v>62</v>
      </c>
      <c r="AS1742" s="3" t="s">
        <v>62</v>
      </c>
      <c r="AT1742" s="3" t="s">
        <v>62</v>
      </c>
      <c r="AV1742" s="6" t="str">
        <f>HYPERLINK("http://mcgill.on.worldcat.org/oclc/793192908","Catalog Record")</f>
        <v>Catalog Record</v>
      </c>
      <c r="AW1742" s="6" t="str">
        <f>HYPERLINK("http://www.worldcat.org/oclc/793192908","WorldCat Record")</f>
        <v>WorldCat Record</v>
      </c>
      <c r="AX1742" s="3" t="s">
        <v>16796</v>
      </c>
      <c r="AY1742" s="3" t="s">
        <v>16797</v>
      </c>
      <c r="AZ1742" s="3" t="s">
        <v>16798</v>
      </c>
      <c r="BA1742" s="3" t="s">
        <v>16798</v>
      </c>
      <c r="BB1742" s="3" t="s">
        <v>16799</v>
      </c>
      <c r="BC1742" s="3" t="s">
        <v>142</v>
      </c>
      <c r="BD1742" s="3" t="s">
        <v>68</v>
      </c>
      <c r="BE1742" s="3" t="s">
        <v>16800</v>
      </c>
      <c r="BF1742" s="3" t="s">
        <v>16799</v>
      </c>
      <c r="BG1742" s="3" t="s">
        <v>16801</v>
      </c>
    </row>
    <row r="1743" spans="1:59" ht="57" x14ac:dyDescent="0.45">
      <c r="A1743" s="2" t="s">
        <v>59</v>
      </c>
      <c r="B1743" s="2" t="s">
        <v>60</v>
      </c>
      <c r="C1743" s="2" t="s">
        <v>16802</v>
      </c>
      <c r="D1743" s="2" t="s">
        <v>16803</v>
      </c>
      <c r="E1743" s="2" t="s">
        <v>16804</v>
      </c>
      <c r="G1743" s="3" t="s">
        <v>62</v>
      </c>
      <c r="I1743" s="3" t="s">
        <v>62</v>
      </c>
      <c r="J1743" s="3" t="s">
        <v>62</v>
      </c>
      <c r="K1743" s="3" t="s">
        <v>63</v>
      </c>
      <c r="L1743" s="2" t="s">
        <v>16805</v>
      </c>
      <c r="M1743" s="2" t="s">
        <v>16806</v>
      </c>
      <c r="N1743" s="3" t="s">
        <v>1212</v>
      </c>
      <c r="P1743" s="3" t="s">
        <v>65</v>
      </c>
      <c r="R1743" s="3" t="s">
        <v>66</v>
      </c>
      <c r="S1743" s="4">
        <v>19</v>
      </c>
      <c r="T1743" s="4">
        <v>19</v>
      </c>
      <c r="U1743" s="5" t="s">
        <v>5537</v>
      </c>
      <c r="V1743" s="5" t="s">
        <v>5537</v>
      </c>
      <c r="W1743" s="5" t="s">
        <v>67</v>
      </c>
      <c r="X1743" s="5" t="s">
        <v>67</v>
      </c>
      <c r="Y1743" s="4">
        <v>205</v>
      </c>
      <c r="Z1743" s="4">
        <v>64</v>
      </c>
      <c r="AA1743" s="4">
        <v>139</v>
      </c>
      <c r="AB1743" s="4">
        <v>3</v>
      </c>
      <c r="AC1743" s="4">
        <v>24</v>
      </c>
      <c r="AD1743" s="4">
        <v>99</v>
      </c>
      <c r="AE1743" s="4">
        <v>139</v>
      </c>
      <c r="AF1743" s="4">
        <v>2</v>
      </c>
      <c r="AG1743" s="4">
        <v>9</v>
      </c>
      <c r="AH1743" s="4">
        <v>70</v>
      </c>
      <c r="AI1743" s="4">
        <v>88</v>
      </c>
      <c r="AJ1743" s="4">
        <v>21</v>
      </c>
      <c r="AK1743" s="4">
        <v>29</v>
      </c>
      <c r="AL1743" s="4">
        <v>38</v>
      </c>
      <c r="AM1743" s="4">
        <v>45</v>
      </c>
      <c r="AN1743" s="4">
        <v>0</v>
      </c>
      <c r="AO1743" s="4">
        <v>0</v>
      </c>
      <c r="AP1743" s="4">
        <v>37</v>
      </c>
      <c r="AQ1743" s="4">
        <v>59</v>
      </c>
      <c r="AR1743" s="3" t="s">
        <v>61</v>
      </c>
      <c r="AS1743" s="3" t="s">
        <v>62</v>
      </c>
      <c r="AT1743" s="3" t="s">
        <v>62</v>
      </c>
      <c r="AV1743" s="6" t="str">
        <f>HYPERLINK("http://mcgill.on.worldcat.org/oclc/43574373","Catalog Record")</f>
        <v>Catalog Record</v>
      </c>
      <c r="AW1743" s="6" t="str">
        <f>HYPERLINK("http://www.worldcat.org/oclc/43574373","WorldCat Record")</f>
        <v>WorldCat Record</v>
      </c>
      <c r="AX1743" s="3" t="s">
        <v>16807</v>
      </c>
      <c r="AY1743" s="3" t="s">
        <v>16808</v>
      </c>
      <c r="AZ1743" s="3" t="s">
        <v>16809</v>
      </c>
      <c r="BA1743" s="3" t="s">
        <v>16809</v>
      </c>
      <c r="BB1743" s="3" t="s">
        <v>16810</v>
      </c>
      <c r="BC1743" s="3" t="s">
        <v>142</v>
      </c>
      <c r="BD1743" s="3" t="s">
        <v>68</v>
      </c>
      <c r="BE1743" s="3" t="s">
        <v>16811</v>
      </c>
      <c r="BF1743" s="3" t="s">
        <v>16810</v>
      </c>
      <c r="BG1743" s="3" t="s">
        <v>16812</v>
      </c>
    </row>
    <row r="1744" spans="1:59" ht="57" x14ac:dyDescent="0.45">
      <c r="A1744" s="2" t="s">
        <v>59</v>
      </c>
      <c r="B1744" s="2" t="s">
        <v>60</v>
      </c>
      <c r="C1744" s="2" t="s">
        <v>16813</v>
      </c>
      <c r="D1744" s="2" t="s">
        <v>16814</v>
      </c>
      <c r="E1744" s="2" t="s">
        <v>16815</v>
      </c>
      <c r="G1744" s="3" t="s">
        <v>62</v>
      </c>
      <c r="I1744" s="3" t="s">
        <v>62</v>
      </c>
      <c r="J1744" s="3" t="s">
        <v>62</v>
      </c>
      <c r="K1744" s="3" t="s">
        <v>63</v>
      </c>
      <c r="L1744" s="2" t="s">
        <v>16816</v>
      </c>
      <c r="M1744" s="2" t="s">
        <v>16817</v>
      </c>
      <c r="N1744" s="3" t="s">
        <v>894</v>
      </c>
      <c r="P1744" s="3" t="s">
        <v>65</v>
      </c>
      <c r="R1744" s="3" t="s">
        <v>66</v>
      </c>
      <c r="S1744" s="4">
        <v>0</v>
      </c>
      <c r="T1744" s="4">
        <v>0</v>
      </c>
      <c r="W1744" s="5" t="s">
        <v>67</v>
      </c>
      <c r="X1744" s="5" t="s">
        <v>67</v>
      </c>
      <c r="Y1744" s="4">
        <v>149</v>
      </c>
      <c r="Z1744" s="4">
        <v>6</v>
      </c>
      <c r="AA1744" s="4">
        <v>7</v>
      </c>
      <c r="AB1744" s="4">
        <v>1</v>
      </c>
      <c r="AC1744" s="4">
        <v>2</v>
      </c>
      <c r="AD1744" s="4">
        <v>56</v>
      </c>
      <c r="AE1744" s="4">
        <v>57</v>
      </c>
      <c r="AF1744" s="4">
        <v>0</v>
      </c>
      <c r="AG1744" s="4">
        <v>1</v>
      </c>
      <c r="AH1744" s="4">
        <v>53</v>
      </c>
      <c r="AI1744" s="4">
        <v>54</v>
      </c>
      <c r="AJ1744" s="4">
        <v>4</v>
      </c>
      <c r="AK1744" s="4">
        <v>5</v>
      </c>
      <c r="AL1744" s="4">
        <v>31</v>
      </c>
      <c r="AM1744" s="4">
        <v>31</v>
      </c>
      <c r="AN1744" s="4">
        <v>0</v>
      </c>
      <c r="AO1744" s="4">
        <v>0</v>
      </c>
      <c r="AP1744" s="4">
        <v>5</v>
      </c>
      <c r="AQ1744" s="4">
        <v>6</v>
      </c>
      <c r="AR1744" s="3" t="s">
        <v>62</v>
      </c>
      <c r="AS1744" s="3" t="s">
        <v>62</v>
      </c>
      <c r="AT1744" s="3" t="s">
        <v>62</v>
      </c>
      <c r="AV1744" s="6" t="str">
        <f>HYPERLINK("http://mcgill.on.worldcat.org/oclc/693208250","Catalog Record")</f>
        <v>Catalog Record</v>
      </c>
      <c r="AW1744" s="6" t="str">
        <f>HYPERLINK("http://www.worldcat.org/oclc/693208250","WorldCat Record")</f>
        <v>WorldCat Record</v>
      </c>
      <c r="AX1744" s="3" t="s">
        <v>16818</v>
      </c>
      <c r="AY1744" s="3" t="s">
        <v>16819</v>
      </c>
      <c r="AZ1744" s="3" t="s">
        <v>16820</v>
      </c>
      <c r="BA1744" s="3" t="s">
        <v>16820</v>
      </c>
      <c r="BB1744" s="3" t="s">
        <v>16821</v>
      </c>
      <c r="BC1744" s="3" t="s">
        <v>142</v>
      </c>
      <c r="BD1744" s="3" t="s">
        <v>68</v>
      </c>
      <c r="BE1744" s="3" t="s">
        <v>16822</v>
      </c>
      <c r="BF1744" s="3" t="s">
        <v>16821</v>
      </c>
      <c r="BG1744" s="3" t="s">
        <v>16823</v>
      </c>
    </row>
    <row r="1745" spans="1:59" ht="57" x14ac:dyDescent="0.45">
      <c r="A1745" s="2" t="s">
        <v>59</v>
      </c>
      <c r="B1745" s="2" t="s">
        <v>60</v>
      </c>
      <c r="C1745" s="2" t="s">
        <v>16824</v>
      </c>
      <c r="D1745" s="2" t="s">
        <v>16825</v>
      </c>
      <c r="E1745" s="2" t="s">
        <v>16826</v>
      </c>
      <c r="G1745" s="3" t="s">
        <v>62</v>
      </c>
      <c r="I1745" s="3" t="s">
        <v>62</v>
      </c>
      <c r="J1745" s="3" t="s">
        <v>62</v>
      </c>
      <c r="K1745" s="3" t="s">
        <v>63</v>
      </c>
      <c r="M1745" s="2" t="s">
        <v>3231</v>
      </c>
      <c r="N1745" s="3" t="s">
        <v>1253</v>
      </c>
      <c r="P1745" s="3" t="s">
        <v>65</v>
      </c>
      <c r="R1745" s="3" t="s">
        <v>66</v>
      </c>
      <c r="S1745" s="4">
        <v>21</v>
      </c>
      <c r="T1745" s="4">
        <v>21</v>
      </c>
      <c r="U1745" s="5" t="s">
        <v>137</v>
      </c>
      <c r="V1745" s="5" t="s">
        <v>137</v>
      </c>
      <c r="W1745" s="5" t="s">
        <v>67</v>
      </c>
      <c r="X1745" s="5" t="s">
        <v>67</v>
      </c>
      <c r="Y1745" s="4">
        <v>235</v>
      </c>
      <c r="Z1745" s="4">
        <v>15</v>
      </c>
      <c r="AA1745" s="4">
        <v>36</v>
      </c>
      <c r="AB1745" s="4">
        <v>2</v>
      </c>
      <c r="AC1745" s="4">
        <v>6</v>
      </c>
      <c r="AD1745" s="4">
        <v>81</v>
      </c>
      <c r="AE1745" s="4">
        <v>110</v>
      </c>
      <c r="AF1745" s="4">
        <v>1</v>
      </c>
      <c r="AG1745" s="4">
        <v>1</v>
      </c>
      <c r="AH1745" s="4">
        <v>72</v>
      </c>
      <c r="AI1745" s="4">
        <v>93</v>
      </c>
      <c r="AJ1745" s="4">
        <v>10</v>
      </c>
      <c r="AK1745" s="4">
        <v>15</v>
      </c>
      <c r="AL1745" s="4">
        <v>40</v>
      </c>
      <c r="AM1745" s="4">
        <v>49</v>
      </c>
      <c r="AN1745" s="4">
        <v>0</v>
      </c>
      <c r="AO1745" s="4">
        <v>0</v>
      </c>
      <c r="AP1745" s="4">
        <v>13</v>
      </c>
      <c r="AQ1745" s="4">
        <v>23</v>
      </c>
      <c r="AR1745" s="3" t="s">
        <v>62</v>
      </c>
      <c r="AS1745" s="3" t="s">
        <v>62</v>
      </c>
      <c r="AT1745" s="3" t="s">
        <v>62</v>
      </c>
      <c r="AV1745" s="6" t="str">
        <f>HYPERLINK("http://mcgill.on.worldcat.org/oclc/36511418","Catalog Record")</f>
        <v>Catalog Record</v>
      </c>
      <c r="AW1745" s="6" t="str">
        <f>HYPERLINK("http://www.worldcat.org/oclc/36511418","WorldCat Record")</f>
        <v>WorldCat Record</v>
      </c>
      <c r="AX1745" s="3" t="s">
        <v>16827</v>
      </c>
      <c r="AY1745" s="3" t="s">
        <v>16828</v>
      </c>
      <c r="AZ1745" s="3" t="s">
        <v>16829</v>
      </c>
      <c r="BA1745" s="3" t="s">
        <v>16829</v>
      </c>
      <c r="BB1745" s="3" t="s">
        <v>16830</v>
      </c>
      <c r="BC1745" s="3" t="s">
        <v>142</v>
      </c>
      <c r="BD1745" s="3" t="s">
        <v>68</v>
      </c>
      <c r="BE1745" s="3" t="s">
        <v>16831</v>
      </c>
      <c r="BF1745" s="3" t="s">
        <v>16830</v>
      </c>
      <c r="BG1745" s="3" t="s">
        <v>16832</v>
      </c>
    </row>
    <row r="1746" spans="1:59" ht="71.25" x14ac:dyDescent="0.45">
      <c r="A1746" s="2" t="s">
        <v>59</v>
      </c>
      <c r="B1746" s="2" t="s">
        <v>60</v>
      </c>
      <c r="C1746" s="2" t="s">
        <v>16833</v>
      </c>
      <c r="D1746" s="2" t="s">
        <v>16834</v>
      </c>
      <c r="E1746" s="2" t="s">
        <v>16835</v>
      </c>
      <c r="G1746" s="3" t="s">
        <v>62</v>
      </c>
      <c r="I1746" s="3" t="s">
        <v>62</v>
      </c>
      <c r="J1746" s="3" t="s">
        <v>62</v>
      </c>
      <c r="K1746" s="3" t="s">
        <v>63</v>
      </c>
      <c r="L1746" s="2" t="s">
        <v>16836</v>
      </c>
      <c r="M1746" s="2" t="s">
        <v>16837</v>
      </c>
      <c r="N1746" s="3" t="s">
        <v>1155</v>
      </c>
      <c r="P1746" s="3" t="s">
        <v>65</v>
      </c>
      <c r="Q1746" s="2" t="s">
        <v>16838</v>
      </c>
      <c r="R1746" s="3" t="s">
        <v>66</v>
      </c>
      <c r="S1746" s="4">
        <v>0</v>
      </c>
      <c r="T1746" s="4">
        <v>0</v>
      </c>
      <c r="W1746" s="5" t="s">
        <v>67</v>
      </c>
      <c r="X1746" s="5" t="s">
        <v>67</v>
      </c>
      <c r="Y1746" s="4">
        <v>167</v>
      </c>
      <c r="Z1746" s="4">
        <v>15</v>
      </c>
      <c r="AA1746" s="4">
        <v>17</v>
      </c>
      <c r="AB1746" s="4">
        <v>2</v>
      </c>
      <c r="AC1746" s="4">
        <v>4</v>
      </c>
      <c r="AD1746" s="4">
        <v>52</v>
      </c>
      <c r="AE1746" s="4">
        <v>54</v>
      </c>
      <c r="AF1746" s="4">
        <v>1</v>
      </c>
      <c r="AG1746" s="4">
        <v>3</v>
      </c>
      <c r="AH1746" s="4">
        <v>47</v>
      </c>
      <c r="AI1746" s="4">
        <v>48</v>
      </c>
      <c r="AJ1746" s="4">
        <v>11</v>
      </c>
      <c r="AK1746" s="4">
        <v>13</v>
      </c>
      <c r="AL1746" s="4">
        <v>28</v>
      </c>
      <c r="AM1746" s="4">
        <v>28</v>
      </c>
      <c r="AN1746" s="4">
        <v>0</v>
      </c>
      <c r="AO1746" s="4">
        <v>0</v>
      </c>
      <c r="AP1746" s="4">
        <v>12</v>
      </c>
      <c r="AQ1746" s="4">
        <v>14</v>
      </c>
      <c r="AR1746" s="3" t="s">
        <v>62</v>
      </c>
      <c r="AS1746" s="3" t="s">
        <v>62</v>
      </c>
      <c r="AT1746" s="3" t="s">
        <v>62</v>
      </c>
      <c r="AV1746" s="6" t="str">
        <f>HYPERLINK("http://mcgill.on.worldcat.org/oclc/746154089","Catalog Record")</f>
        <v>Catalog Record</v>
      </c>
      <c r="AW1746" s="6" t="str">
        <f>HYPERLINK("http://www.worldcat.org/oclc/746154089","WorldCat Record")</f>
        <v>WorldCat Record</v>
      </c>
      <c r="AX1746" s="3" t="s">
        <v>16839</v>
      </c>
      <c r="AY1746" s="3" t="s">
        <v>16840</v>
      </c>
      <c r="AZ1746" s="3" t="s">
        <v>16841</v>
      </c>
      <c r="BA1746" s="3" t="s">
        <v>16841</v>
      </c>
      <c r="BB1746" s="3" t="s">
        <v>16842</v>
      </c>
      <c r="BC1746" s="3" t="s">
        <v>142</v>
      </c>
      <c r="BD1746" s="3" t="s">
        <v>68</v>
      </c>
      <c r="BE1746" s="3" t="s">
        <v>16843</v>
      </c>
      <c r="BF1746" s="3" t="s">
        <v>16842</v>
      </c>
      <c r="BG1746" s="3" t="s">
        <v>16844</v>
      </c>
    </row>
    <row r="1747" spans="1:59" ht="57" x14ac:dyDescent="0.45">
      <c r="A1747" s="2" t="s">
        <v>59</v>
      </c>
      <c r="B1747" s="2" t="s">
        <v>60</v>
      </c>
      <c r="C1747" s="2" t="s">
        <v>16845</v>
      </c>
      <c r="D1747" s="2" t="s">
        <v>16846</v>
      </c>
      <c r="E1747" s="2" t="s">
        <v>16847</v>
      </c>
      <c r="G1747" s="3" t="s">
        <v>62</v>
      </c>
      <c r="I1747" s="3" t="s">
        <v>62</v>
      </c>
      <c r="J1747" s="3" t="s">
        <v>62</v>
      </c>
      <c r="K1747" s="3" t="s">
        <v>63</v>
      </c>
      <c r="L1747" s="2" t="s">
        <v>16848</v>
      </c>
      <c r="M1747" s="2" t="s">
        <v>16849</v>
      </c>
      <c r="N1747" s="3" t="s">
        <v>181</v>
      </c>
      <c r="P1747" s="3" t="s">
        <v>65</v>
      </c>
      <c r="Q1747" s="2" t="s">
        <v>16850</v>
      </c>
      <c r="R1747" s="3" t="s">
        <v>66</v>
      </c>
      <c r="S1747" s="4">
        <v>0</v>
      </c>
      <c r="T1747" s="4">
        <v>0</v>
      </c>
      <c r="W1747" s="5" t="s">
        <v>67</v>
      </c>
      <c r="X1747" s="5" t="s">
        <v>67</v>
      </c>
      <c r="Y1747" s="4">
        <v>49</v>
      </c>
      <c r="Z1747" s="4">
        <v>10</v>
      </c>
      <c r="AA1747" s="4">
        <v>16</v>
      </c>
      <c r="AB1747" s="4">
        <v>2</v>
      </c>
      <c r="AC1747" s="4">
        <v>4</v>
      </c>
      <c r="AD1747" s="4">
        <v>30</v>
      </c>
      <c r="AE1747" s="4">
        <v>34</v>
      </c>
      <c r="AF1747" s="4">
        <v>1</v>
      </c>
      <c r="AG1747" s="4">
        <v>1</v>
      </c>
      <c r="AH1747" s="4">
        <v>25</v>
      </c>
      <c r="AI1747" s="4">
        <v>28</v>
      </c>
      <c r="AJ1747" s="4">
        <v>6</v>
      </c>
      <c r="AK1747" s="4">
        <v>9</v>
      </c>
      <c r="AL1747" s="4">
        <v>19</v>
      </c>
      <c r="AM1747" s="4">
        <v>19</v>
      </c>
      <c r="AN1747" s="4">
        <v>0</v>
      </c>
      <c r="AO1747" s="4">
        <v>0</v>
      </c>
      <c r="AP1747" s="4">
        <v>8</v>
      </c>
      <c r="AQ1747" s="4">
        <v>12</v>
      </c>
      <c r="AR1747" s="3" t="s">
        <v>62</v>
      </c>
      <c r="AS1747" s="3" t="s">
        <v>62</v>
      </c>
      <c r="AT1747" s="3" t="s">
        <v>62</v>
      </c>
      <c r="AV1747" s="6" t="str">
        <f>HYPERLINK("http://mcgill.on.worldcat.org/oclc/951506584","Catalog Record")</f>
        <v>Catalog Record</v>
      </c>
      <c r="AW1747" s="6" t="str">
        <f>HYPERLINK("http://www.worldcat.org/oclc/951506584","WorldCat Record")</f>
        <v>WorldCat Record</v>
      </c>
      <c r="AX1747" s="3" t="s">
        <v>16851</v>
      </c>
      <c r="AY1747" s="3" t="s">
        <v>16852</v>
      </c>
      <c r="AZ1747" s="3" t="s">
        <v>16853</v>
      </c>
      <c r="BA1747" s="3" t="s">
        <v>16853</v>
      </c>
      <c r="BB1747" s="3" t="s">
        <v>16854</v>
      </c>
      <c r="BC1747" s="3" t="s">
        <v>142</v>
      </c>
      <c r="BD1747" s="3" t="s">
        <v>68</v>
      </c>
      <c r="BE1747" s="3" t="s">
        <v>16855</v>
      </c>
      <c r="BF1747" s="3" t="s">
        <v>16854</v>
      </c>
      <c r="BG1747" s="3" t="s">
        <v>16856</v>
      </c>
    </row>
    <row r="1748" spans="1:59" ht="57" x14ac:dyDescent="0.45">
      <c r="A1748" s="2" t="s">
        <v>59</v>
      </c>
      <c r="B1748" s="2" t="s">
        <v>60</v>
      </c>
      <c r="C1748" s="2" t="s">
        <v>16857</v>
      </c>
      <c r="D1748" s="2" t="s">
        <v>16858</v>
      </c>
      <c r="E1748" s="2" t="s">
        <v>16859</v>
      </c>
      <c r="G1748" s="3" t="s">
        <v>62</v>
      </c>
      <c r="I1748" s="3" t="s">
        <v>62</v>
      </c>
      <c r="J1748" s="3" t="s">
        <v>62</v>
      </c>
      <c r="K1748" s="3" t="s">
        <v>63</v>
      </c>
      <c r="L1748" s="2" t="s">
        <v>13305</v>
      </c>
      <c r="M1748" s="2" t="s">
        <v>16860</v>
      </c>
      <c r="N1748" s="3" t="s">
        <v>568</v>
      </c>
      <c r="P1748" s="3" t="s">
        <v>65</v>
      </c>
      <c r="R1748" s="3" t="s">
        <v>66</v>
      </c>
      <c r="S1748" s="4">
        <v>29</v>
      </c>
      <c r="T1748" s="4">
        <v>29</v>
      </c>
      <c r="U1748" s="5" t="s">
        <v>531</v>
      </c>
      <c r="V1748" s="5" t="s">
        <v>531</v>
      </c>
      <c r="W1748" s="5" t="s">
        <v>67</v>
      </c>
      <c r="X1748" s="5" t="s">
        <v>67</v>
      </c>
      <c r="Y1748" s="4">
        <v>668</v>
      </c>
      <c r="Z1748" s="4">
        <v>85</v>
      </c>
      <c r="AA1748" s="4">
        <v>99</v>
      </c>
      <c r="AB1748" s="4">
        <v>6</v>
      </c>
      <c r="AC1748" s="4">
        <v>15</v>
      </c>
      <c r="AD1748" s="4">
        <v>141</v>
      </c>
      <c r="AE1748" s="4">
        <v>148</v>
      </c>
      <c r="AF1748" s="4">
        <v>2</v>
      </c>
      <c r="AG1748" s="4">
        <v>7</v>
      </c>
      <c r="AH1748" s="4">
        <v>103</v>
      </c>
      <c r="AI1748" s="4">
        <v>104</v>
      </c>
      <c r="AJ1748" s="4">
        <v>25</v>
      </c>
      <c r="AK1748" s="4">
        <v>29</v>
      </c>
      <c r="AL1748" s="4">
        <v>55</v>
      </c>
      <c r="AM1748" s="4">
        <v>55</v>
      </c>
      <c r="AN1748" s="4">
        <v>0</v>
      </c>
      <c r="AO1748" s="4">
        <v>0</v>
      </c>
      <c r="AP1748" s="4">
        <v>44</v>
      </c>
      <c r="AQ1748" s="4">
        <v>50</v>
      </c>
      <c r="AR1748" s="3" t="s">
        <v>61</v>
      </c>
      <c r="AS1748" s="3" t="s">
        <v>62</v>
      </c>
      <c r="AT1748" s="3" t="s">
        <v>61</v>
      </c>
      <c r="AU1748" s="6" t="str">
        <f>HYPERLINK("http://catalog.hathitrust.org/Record/000845982","HathiTrust Record")</f>
        <v>HathiTrust Record</v>
      </c>
      <c r="AV1748" s="6" t="str">
        <f>HYPERLINK("http://mcgill.on.worldcat.org/oclc/18989905","Catalog Record")</f>
        <v>Catalog Record</v>
      </c>
      <c r="AW1748" s="6" t="str">
        <f>HYPERLINK("http://www.worldcat.org/oclc/18989905","WorldCat Record")</f>
        <v>WorldCat Record</v>
      </c>
      <c r="AX1748" s="3" t="s">
        <v>16861</v>
      </c>
      <c r="AY1748" s="3" t="s">
        <v>16862</v>
      </c>
      <c r="AZ1748" s="3" t="s">
        <v>16863</v>
      </c>
      <c r="BA1748" s="3" t="s">
        <v>16863</v>
      </c>
      <c r="BB1748" s="3" t="s">
        <v>16864</v>
      </c>
      <c r="BC1748" s="3" t="s">
        <v>142</v>
      </c>
      <c r="BD1748" s="3" t="s">
        <v>68</v>
      </c>
      <c r="BE1748" s="3" t="s">
        <v>16865</v>
      </c>
      <c r="BF1748" s="3" t="s">
        <v>16864</v>
      </c>
      <c r="BG1748" s="3" t="s">
        <v>16866</v>
      </c>
    </row>
    <row r="1749" spans="1:59" ht="57" x14ac:dyDescent="0.45">
      <c r="A1749" s="2" t="s">
        <v>59</v>
      </c>
      <c r="B1749" s="2" t="s">
        <v>60</v>
      </c>
      <c r="C1749" s="2" t="s">
        <v>16867</v>
      </c>
      <c r="D1749" s="2" t="s">
        <v>16868</v>
      </c>
      <c r="E1749" s="2" t="s">
        <v>16869</v>
      </c>
      <c r="G1749" s="3" t="s">
        <v>62</v>
      </c>
      <c r="I1749" s="3" t="s">
        <v>62</v>
      </c>
      <c r="J1749" s="3" t="s">
        <v>62</v>
      </c>
      <c r="K1749" s="3" t="s">
        <v>63</v>
      </c>
      <c r="L1749" s="2" t="s">
        <v>13305</v>
      </c>
      <c r="M1749" s="2" t="s">
        <v>16870</v>
      </c>
      <c r="N1749" s="3" t="s">
        <v>918</v>
      </c>
      <c r="P1749" s="3" t="s">
        <v>65</v>
      </c>
      <c r="R1749" s="3" t="s">
        <v>66</v>
      </c>
      <c r="S1749" s="4">
        <v>17</v>
      </c>
      <c r="T1749" s="4">
        <v>17</v>
      </c>
      <c r="U1749" s="5" t="s">
        <v>16871</v>
      </c>
      <c r="V1749" s="5" t="s">
        <v>16871</v>
      </c>
      <c r="W1749" s="5" t="s">
        <v>67</v>
      </c>
      <c r="X1749" s="5" t="s">
        <v>67</v>
      </c>
      <c r="Y1749" s="4">
        <v>115</v>
      </c>
      <c r="Z1749" s="4">
        <v>71</v>
      </c>
      <c r="AA1749" s="4">
        <v>95</v>
      </c>
      <c r="AB1749" s="4">
        <v>4</v>
      </c>
      <c r="AC1749" s="4">
        <v>8</v>
      </c>
      <c r="AD1749" s="4">
        <v>54</v>
      </c>
      <c r="AE1749" s="4">
        <v>133</v>
      </c>
      <c r="AF1749" s="4">
        <v>2</v>
      </c>
      <c r="AG1749" s="4">
        <v>5</v>
      </c>
      <c r="AH1749" s="4">
        <v>29</v>
      </c>
      <c r="AI1749" s="4">
        <v>95</v>
      </c>
      <c r="AJ1749" s="4">
        <v>22</v>
      </c>
      <c r="AK1749" s="4">
        <v>26</v>
      </c>
      <c r="AL1749" s="4">
        <v>14</v>
      </c>
      <c r="AM1749" s="4">
        <v>48</v>
      </c>
      <c r="AN1749" s="4">
        <v>0</v>
      </c>
      <c r="AO1749" s="4">
        <v>0</v>
      </c>
      <c r="AP1749" s="4">
        <v>34</v>
      </c>
      <c r="AQ1749" s="4">
        <v>44</v>
      </c>
      <c r="AR1749" s="3" t="s">
        <v>61</v>
      </c>
      <c r="AS1749" s="3" t="s">
        <v>62</v>
      </c>
      <c r="AT1749" s="3" t="s">
        <v>61</v>
      </c>
      <c r="AU1749" s="6" t="str">
        <f>HYPERLINK("http://catalog.hathitrust.org/Record/004372175","HathiTrust Record")</f>
        <v>HathiTrust Record</v>
      </c>
      <c r="AV1749" s="6" t="str">
        <f>HYPERLINK("http://mcgill.on.worldcat.org/oclc/52152562","Catalog Record")</f>
        <v>Catalog Record</v>
      </c>
      <c r="AW1749" s="6" t="str">
        <f>HYPERLINK("http://www.worldcat.org/oclc/52152562","WorldCat Record")</f>
        <v>WorldCat Record</v>
      </c>
      <c r="AX1749" s="3" t="s">
        <v>16872</v>
      </c>
      <c r="AY1749" s="3" t="s">
        <v>16873</v>
      </c>
      <c r="AZ1749" s="3" t="s">
        <v>16874</v>
      </c>
      <c r="BA1749" s="3" t="s">
        <v>16874</v>
      </c>
      <c r="BB1749" s="3" t="s">
        <v>16875</v>
      </c>
      <c r="BC1749" s="3" t="s">
        <v>142</v>
      </c>
      <c r="BD1749" s="3" t="s">
        <v>68</v>
      </c>
      <c r="BE1749" s="3" t="s">
        <v>16876</v>
      </c>
      <c r="BF1749" s="3" t="s">
        <v>16875</v>
      </c>
      <c r="BG1749" s="3" t="s">
        <v>16877</v>
      </c>
    </row>
    <row r="1750" spans="1:59" ht="57" x14ac:dyDescent="0.45">
      <c r="A1750" s="2" t="s">
        <v>59</v>
      </c>
      <c r="B1750" s="2" t="s">
        <v>60</v>
      </c>
      <c r="C1750" s="2" t="s">
        <v>16878</v>
      </c>
      <c r="D1750" s="2" t="s">
        <v>16879</v>
      </c>
      <c r="E1750" s="2" t="s">
        <v>16880</v>
      </c>
      <c r="G1750" s="3" t="s">
        <v>62</v>
      </c>
      <c r="I1750" s="3" t="s">
        <v>62</v>
      </c>
      <c r="J1750" s="3" t="s">
        <v>62</v>
      </c>
      <c r="K1750" s="3" t="s">
        <v>63</v>
      </c>
      <c r="L1750" s="2" t="s">
        <v>16881</v>
      </c>
      <c r="M1750" s="2" t="s">
        <v>16882</v>
      </c>
      <c r="N1750" s="3" t="s">
        <v>181</v>
      </c>
      <c r="P1750" s="3" t="s">
        <v>65</v>
      </c>
      <c r="Q1750" s="2" t="s">
        <v>16883</v>
      </c>
      <c r="R1750" s="3" t="s">
        <v>66</v>
      </c>
      <c r="S1750" s="4">
        <v>0</v>
      </c>
      <c r="T1750" s="4">
        <v>0</v>
      </c>
      <c r="W1750" s="5" t="s">
        <v>67</v>
      </c>
      <c r="X1750" s="5" t="s">
        <v>67</v>
      </c>
      <c r="Y1750" s="4">
        <v>75</v>
      </c>
      <c r="Z1750" s="4">
        <v>9</v>
      </c>
      <c r="AA1750" s="4">
        <v>75</v>
      </c>
      <c r="AB1750" s="4">
        <v>2</v>
      </c>
      <c r="AC1750" s="4">
        <v>15</v>
      </c>
      <c r="AD1750" s="4">
        <v>36</v>
      </c>
      <c r="AE1750" s="4">
        <v>104</v>
      </c>
      <c r="AF1750" s="4">
        <v>1</v>
      </c>
      <c r="AG1750" s="4">
        <v>8</v>
      </c>
      <c r="AH1750" s="4">
        <v>33</v>
      </c>
      <c r="AI1750" s="4">
        <v>75</v>
      </c>
      <c r="AJ1750" s="4">
        <v>6</v>
      </c>
      <c r="AK1750" s="4">
        <v>20</v>
      </c>
      <c r="AL1750" s="4">
        <v>23</v>
      </c>
      <c r="AM1750" s="4">
        <v>42</v>
      </c>
      <c r="AN1750" s="4">
        <v>0</v>
      </c>
      <c r="AO1750" s="4">
        <v>0</v>
      </c>
      <c r="AP1750" s="4">
        <v>7</v>
      </c>
      <c r="AQ1750" s="4">
        <v>37</v>
      </c>
      <c r="AR1750" s="3" t="s">
        <v>62</v>
      </c>
      <c r="AS1750" s="3" t="s">
        <v>62</v>
      </c>
      <c r="AT1750" s="3" t="s">
        <v>62</v>
      </c>
      <c r="AV1750" s="6" t="str">
        <f>HYPERLINK("http://mcgill.on.worldcat.org/oclc/954018723","Catalog Record")</f>
        <v>Catalog Record</v>
      </c>
      <c r="AW1750" s="6" t="str">
        <f>HYPERLINK("http://www.worldcat.org/oclc/954018723","WorldCat Record")</f>
        <v>WorldCat Record</v>
      </c>
      <c r="AX1750" s="3" t="s">
        <v>16884</v>
      </c>
      <c r="AY1750" s="3" t="s">
        <v>16885</v>
      </c>
      <c r="AZ1750" s="3" t="s">
        <v>16886</v>
      </c>
      <c r="BA1750" s="3" t="s">
        <v>16886</v>
      </c>
      <c r="BB1750" s="3" t="s">
        <v>16887</v>
      </c>
      <c r="BC1750" s="3" t="s">
        <v>142</v>
      </c>
      <c r="BD1750" s="3" t="s">
        <v>68</v>
      </c>
      <c r="BE1750" s="3" t="s">
        <v>16888</v>
      </c>
      <c r="BF1750" s="3" t="s">
        <v>16887</v>
      </c>
      <c r="BG1750" s="3" t="s">
        <v>16889</v>
      </c>
    </row>
    <row r="1751" spans="1:59" ht="57" x14ac:dyDescent="0.45">
      <c r="A1751" s="2" t="s">
        <v>59</v>
      </c>
      <c r="B1751" s="2" t="s">
        <v>60</v>
      </c>
      <c r="C1751" s="2" t="s">
        <v>16890</v>
      </c>
      <c r="D1751" s="2" t="s">
        <v>16891</v>
      </c>
      <c r="E1751" s="2" t="s">
        <v>16892</v>
      </c>
      <c r="G1751" s="3" t="s">
        <v>62</v>
      </c>
      <c r="I1751" s="3" t="s">
        <v>62</v>
      </c>
      <c r="J1751" s="3" t="s">
        <v>62</v>
      </c>
      <c r="K1751" s="3" t="s">
        <v>63</v>
      </c>
      <c r="L1751" s="2" t="s">
        <v>16893</v>
      </c>
      <c r="M1751" s="2" t="s">
        <v>16894</v>
      </c>
      <c r="N1751" s="3" t="s">
        <v>1465</v>
      </c>
      <c r="P1751" s="3" t="s">
        <v>65</v>
      </c>
      <c r="Q1751" s="2" t="s">
        <v>16895</v>
      </c>
      <c r="R1751" s="3" t="s">
        <v>66</v>
      </c>
      <c r="S1751" s="4">
        <v>12</v>
      </c>
      <c r="T1751" s="4">
        <v>12</v>
      </c>
      <c r="U1751" s="5" t="s">
        <v>16896</v>
      </c>
      <c r="V1751" s="5" t="s">
        <v>16896</v>
      </c>
      <c r="W1751" s="5" t="s">
        <v>67</v>
      </c>
      <c r="X1751" s="5" t="s">
        <v>67</v>
      </c>
      <c r="Y1751" s="4">
        <v>156</v>
      </c>
      <c r="Z1751" s="4">
        <v>99</v>
      </c>
      <c r="AA1751" s="4">
        <v>121</v>
      </c>
      <c r="AB1751" s="4">
        <v>7</v>
      </c>
      <c r="AC1751" s="4">
        <v>9</v>
      </c>
      <c r="AD1751" s="4">
        <v>60</v>
      </c>
      <c r="AE1751" s="4">
        <v>67</v>
      </c>
      <c r="AF1751" s="4">
        <v>2</v>
      </c>
      <c r="AG1751" s="4">
        <v>4</v>
      </c>
      <c r="AH1751" s="4">
        <v>35</v>
      </c>
      <c r="AI1751" s="4">
        <v>36</v>
      </c>
      <c r="AJ1751" s="4">
        <v>20</v>
      </c>
      <c r="AK1751" s="4">
        <v>22</v>
      </c>
      <c r="AL1751" s="4">
        <v>19</v>
      </c>
      <c r="AM1751" s="4">
        <v>19</v>
      </c>
      <c r="AN1751" s="4">
        <v>0</v>
      </c>
      <c r="AO1751" s="4">
        <v>0</v>
      </c>
      <c r="AP1751" s="4">
        <v>34</v>
      </c>
      <c r="AQ1751" s="4">
        <v>41</v>
      </c>
      <c r="AR1751" s="3" t="s">
        <v>61</v>
      </c>
      <c r="AS1751" s="3" t="s">
        <v>62</v>
      </c>
      <c r="AT1751" s="3" t="s">
        <v>62</v>
      </c>
      <c r="AV1751" s="6" t="str">
        <f>HYPERLINK("http://mcgill.on.worldcat.org/oclc/473375096","Catalog Record")</f>
        <v>Catalog Record</v>
      </c>
      <c r="AW1751" s="6" t="str">
        <f>HYPERLINK("http://www.worldcat.org/oclc/473375096","WorldCat Record")</f>
        <v>WorldCat Record</v>
      </c>
      <c r="AX1751" s="3" t="s">
        <v>16897</v>
      </c>
      <c r="AY1751" s="3" t="s">
        <v>16898</v>
      </c>
      <c r="AZ1751" s="3" t="s">
        <v>16899</v>
      </c>
      <c r="BA1751" s="3" t="s">
        <v>16899</v>
      </c>
      <c r="BB1751" s="3" t="s">
        <v>16900</v>
      </c>
      <c r="BC1751" s="3" t="s">
        <v>142</v>
      </c>
      <c r="BD1751" s="3" t="s">
        <v>308</v>
      </c>
      <c r="BE1751" s="3" t="s">
        <v>16901</v>
      </c>
      <c r="BF1751" s="3" t="s">
        <v>16900</v>
      </c>
      <c r="BG1751" s="3" t="s">
        <v>16902</v>
      </c>
    </row>
    <row r="1752" spans="1:59" ht="57" x14ac:dyDescent="0.45">
      <c r="A1752" s="2" t="s">
        <v>59</v>
      </c>
      <c r="B1752" s="2" t="s">
        <v>60</v>
      </c>
      <c r="C1752" s="2" t="s">
        <v>16903</v>
      </c>
      <c r="D1752" s="2" t="s">
        <v>16904</v>
      </c>
      <c r="E1752" s="2" t="s">
        <v>14648</v>
      </c>
      <c r="G1752" s="3" t="s">
        <v>62</v>
      </c>
      <c r="I1752" s="3" t="s">
        <v>61</v>
      </c>
      <c r="J1752" s="3" t="s">
        <v>62</v>
      </c>
      <c r="K1752" s="3" t="s">
        <v>63</v>
      </c>
      <c r="L1752" s="2" t="s">
        <v>16905</v>
      </c>
      <c r="M1752" s="2" t="s">
        <v>16906</v>
      </c>
      <c r="N1752" s="3" t="s">
        <v>16907</v>
      </c>
      <c r="P1752" s="3" t="s">
        <v>65</v>
      </c>
      <c r="Q1752" s="2" t="s">
        <v>16908</v>
      </c>
      <c r="R1752" s="3" t="s">
        <v>66</v>
      </c>
      <c r="S1752" s="4">
        <v>4</v>
      </c>
      <c r="T1752" s="4">
        <v>15</v>
      </c>
      <c r="U1752" s="5" t="s">
        <v>12101</v>
      </c>
      <c r="V1752" s="5" t="s">
        <v>16909</v>
      </c>
      <c r="W1752" s="5" t="s">
        <v>67</v>
      </c>
      <c r="X1752" s="5" t="s">
        <v>67</v>
      </c>
      <c r="Y1752" s="4">
        <v>212</v>
      </c>
      <c r="Z1752" s="4">
        <v>86</v>
      </c>
      <c r="AA1752" s="4">
        <v>99</v>
      </c>
      <c r="AB1752" s="4">
        <v>4</v>
      </c>
      <c r="AC1752" s="4">
        <v>12</v>
      </c>
      <c r="AD1752" s="4">
        <v>84</v>
      </c>
      <c r="AE1752" s="4">
        <v>89</v>
      </c>
      <c r="AF1752" s="4">
        <v>2</v>
      </c>
      <c r="AG1752" s="4">
        <v>5</v>
      </c>
      <c r="AH1752" s="4">
        <v>50</v>
      </c>
      <c r="AI1752" s="4">
        <v>51</v>
      </c>
      <c r="AJ1752" s="4">
        <v>24</v>
      </c>
      <c r="AK1752" s="4">
        <v>27</v>
      </c>
      <c r="AL1752" s="4">
        <v>28</v>
      </c>
      <c r="AM1752" s="4">
        <v>28</v>
      </c>
      <c r="AN1752" s="4">
        <v>0</v>
      </c>
      <c r="AO1752" s="4">
        <v>0</v>
      </c>
      <c r="AP1752" s="4">
        <v>43</v>
      </c>
      <c r="AQ1752" s="4">
        <v>47</v>
      </c>
      <c r="AR1752" s="3" t="s">
        <v>61</v>
      </c>
      <c r="AS1752" s="3" t="s">
        <v>62</v>
      </c>
      <c r="AT1752" s="3" t="s">
        <v>61</v>
      </c>
      <c r="AU1752" s="6" t="str">
        <f>HYPERLINK("http://catalog.hathitrust.org/Record/007124052","HathiTrust Record")</f>
        <v>HathiTrust Record</v>
      </c>
      <c r="AV1752" s="6" t="str">
        <f>HYPERLINK("http://mcgill.on.worldcat.org/oclc/25028","Catalog Record")</f>
        <v>Catalog Record</v>
      </c>
      <c r="AW1752" s="6" t="str">
        <f>HYPERLINK("http://www.worldcat.org/oclc/25028","WorldCat Record")</f>
        <v>WorldCat Record</v>
      </c>
      <c r="AX1752" s="3" t="s">
        <v>16910</v>
      </c>
      <c r="AY1752" s="3" t="s">
        <v>16911</v>
      </c>
      <c r="AZ1752" s="3" t="s">
        <v>16912</v>
      </c>
      <c r="BA1752" s="3" t="s">
        <v>16912</v>
      </c>
      <c r="BB1752" s="3" t="s">
        <v>16913</v>
      </c>
      <c r="BC1752" s="3" t="s">
        <v>142</v>
      </c>
      <c r="BD1752" s="3" t="s">
        <v>68</v>
      </c>
      <c r="BF1752" s="3" t="s">
        <v>16913</v>
      </c>
      <c r="BG1752" s="3" t="s">
        <v>16914</v>
      </c>
    </row>
    <row r="1753" spans="1:59" ht="57" x14ac:dyDescent="0.45">
      <c r="A1753" s="2" t="s">
        <v>59</v>
      </c>
      <c r="B1753" s="2" t="s">
        <v>60</v>
      </c>
      <c r="C1753" s="2" t="s">
        <v>16903</v>
      </c>
      <c r="D1753" s="2" t="s">
        <v>16904</v>
      </c>
      <c r="E1753" s="2" t="s">
        <v>14648</v>
      </c>
      <c r="G1753" s="3" t="s">
        <v>62</v>
      </c>
      <c r="I1753" s="3" t="s">
        <v>61</v>
      </c>
      <c r="J1753" s="3" t="s">
        <v>62</v>
      </c>
      <c r="K1753" s="3" t="s">
        <v>63</v>
      </c>
      <c r="L1753" s="2" t="s">
        <v>16905</v>
      </c>
      <c r="M1753" s="2" t="s">
        <v>16906</v>
      </c>
      <c r="N1753" s="3" t="s">
        <v>16907</v>
      </c>
      <c r="P1753" s="3" t="s">
        <v>65</v>
      </c>
      <c r="Q1753" s="2" t="s">
        <v>16908</v>
      </c>
      <c r="R1753" s="3" t="s">
        <v>66</v>
      </c>
      <c r="S1753" s="4">
        <v>11</v>
      </c>
      <c r="T1753" s="4">
        <v>15</v>
      </c>
      <c r="U1753" s="5" t="s">
        <v>16909</v>
      </c>
      <c r="V1753" s="5" t="s">
        <v>16909</v>
      </c>
      <c r="W1753" s="5" t="s">
        <v>67</v>
      </c>
      <c r="X1753" s="5" t="s">
        <v>67</v>
      </c>
      <c r="Y1753" s="4">
        <v>212</v>
      </c>
      <c r="Z1753" s="4">
        <v>86</v>
      </c>
      <c r="AA1753" s="4">
        <v>99</v>
      </c>
      <c r="AB1753" s="4">
        <v>4</v>
      </c>
      <c r="AC1753" s="4">
        <v>12</v>
      </c>
      <c r="AD1753" s="4">
        <v>84</v>
      </c>
      <c r="AE1753" s="4">
        <v>89</v>
      </c>
      <c r="AF1753" s="4">
        <v>2</v>
      </c>
      <c r="AG1753" s="4">
        <v>5</v>
      </c>
      <c r="AH1753" s="4">
        <v>50</v>
      </c>
      <c r="AI1753" s="4">
        <v>51</v>
      </c>
      <c r="AJ1753" s="4">
        <v>24</v>
      </c>
      <c r="AK1753" s="4">
        <v>27</v>
      </c>
      <c r="AL1753" s="4">
        <v>28</v>
      </c>
      <c r="AM1753" s="4">
        <v>28</v>
      </c>
      <c r="AN1753" s="4">
        <v>0</v>
      </c>
      <c r="AO1753" s="4">
        <v>0</v>
      </c>
      <c r="AP1753" s="4">
        <v>43</v>
      </c>
      <c r="AQ1753" s="4">
        <v>47</v>
      </c>
      <c r="AR1753" s="3" t="s">
        <v>61</v>
      </c>
      <c r="AS1753" s="3" t="s">
        <v>62</v>
      </c>
      <c r="AT1753" s="3" t="s">
        <v>61</v>
      </c>
      <c r="AU1753" s="6" t="str">
        <f>HYPERLINK("http://catalog.hathitrust.org/Record/007124052","HathiTrust Record")</f>
        <v>HathiTrust Record</v>
      </c>
      <c r="AV1753" s="6" t="str">
        <f>HYPERLINK("http://mcgill.on.worldcat.org/oclc/25028","Catalog Record")</f>
        <v>Catalog Record</v>
      </c>
      <c r="AW1753" s="6" t="str">
        <f>HYPERLINK("http://www.worldcat.org/oclc/25028","WorldCat Record")</f>
        <v>WorldCat Record</v>
      </c>
      <c r="AX1753" s="3" t="s">
        <v>16910</v>
      </c>
      <c r="AY1753" s="3" t="s">
        <v>16911</v>
      </c>
      <c r="AZ1753" s="3" t="s">
        <v>16912</v>
      </c>
      <c r="BA1753" s="3" t="s">
        <v>16912</v>
      </c>
      <c r="BB1753" s="3" t="s">
        <v>16915</v>
      </c>
      <c r="BC1753" s="3" t="s">
        <v>142</v>
      </c>
      <c r="BD1753" s="3" t="s">
        <v>68</v>
      </c>
      <c r="BF1753" s="3" t="s">
        <v>16915</v>
      </c>
      <c r="BG1753" s="3" t="s">
        <v>16916</v>
      </c>
    </row>
    <row r="1754" spans="1:59" ht="57" x14ac:dyDescent="0.45">
      <c r="A1754" s="2" t="s">
        <v>59</v>
      </c>
      <c r="B1754" s="2" t="s">
        <v>60</v>
      </c>
      <c r="C1754" s="2" t="s">
        <v>16917</v>
      </c>
      <c r="D1754" s="2" t="s">
        <v>16918</v>
      </c>
      <c r="E1754" s="2" t="s">
        <v>16919</v>
      </c>
      <c r="G1754" s="3" t="s">
        <v>62</v>
      </c>
      <c r="I1754" s="3" t="s">
        <v>62</v>
      </c>
      <c r="J1754" s="3" t="s">
        <v>62</v>
      </c>
      <c r="K1754" s="3" t="s">
        <v>63</v>
      </c>
      <c r="M1754" s="2" t="s">
        <v>16920</v>
      </c>
      <c r="N1754" s="3" t="s">
        <v>208</v>
      </c>
      <c r="P1754" s="3" t="s">
        <v>65</v>
      </c>
      <c r="R1754" s="3" t="s">
        <v>66</v>
      </c>
      <c r="S1754" s="4">
        <v>0</v>
      </c>
      <c r="T1754" s="4">
        <v>0</v>
      </c>
      <c r="W1754" s="5" t="s">
        <v>67</v>
      </c>
      <c r="X1754" s="5" t="s">
        <v>67</v>
      </c>
      <c r="Y1754" s="4">
        <v>138</v>
      </c>
      <c r="Z1754" s="4">
        <v>32</v>
      </c>
      <c r="AA1754" s="4">
        <v>98</v>
      </c>
      <c r="AB1754" s="4">
        <v>2</v>
      </c>
      <c r="AC1754" s="4">
        <v>14</v>
      </c>
      <c r="AD1754" s="4">
        <v>50</v>
      </c>
      <c r="AE1754" s="4">
        <v>118</v>
      </c>
      <c r="AF1754" s="4">
        <v>1</v>
      </c>
      <c r="AG1754" s="4">
        <v>8</v>
      </c>
      <c r="AH1754" s="4">
        <v>39</v>
      </c>
      <c r="AI1754" s="4">
        <v>77</v>
      </c>
      <c r="AJ1754" s="4">
        <v>12</v>
      </c>
      <c r="AK1754" s="4">
        <v>25</v>
      </c>
      <c r="AL1754" s="4">
        <v>25</v>
      </c>
      <c r="AM1754" s="4">
        <v>41</v>
      </c>
      <c r="AN1754" s="4">
        <v>0</v>
      </c>
      <c r="AO1754" s="4">
        <v>0</v>
      </c>
      <c r="AP1754" s="4">
        <v>17</v>
      </c>
      <c r="AQ1754" s="4">
        <v>50</v>
      </c>
      <c r="AR1754" s="3" t="s">
        <v>61</v>
      </c>
      <c r="AS1754" s="3" t="s">
        <v>62</v>
      </c>
      <c r="AT1754" s="3" t="s">
        <v>62</v>
      </c>
      <c r="AV1754" s="6" t="str">
        <f>HYPERLINK("http://mcgill.on.worldcat.org/oclc/900828315","Catalog Record")</f>
        <v>Catalog Record</v>
      </c>
      <c r="AW1754" s="6" t="str">
        <f>HYPERLINK("http://www.worldcat.org/oclc/900828315","WorldCat Record")</f>
        <v>WorldCat Record</v>
      </c>
      <c r="AX1754" s="3" t="s">
        <v>16921</v>
      </c>
      <c r="AY1754" s="3" t="s">
        <v>16922</v>
      </c>
      <c r="AZ1754" s="3" t="s">
        <v>16923</v>
      </c>
      <c r="BA1754" s="3" t="s">
        <v>16923</v>
      </c>
      <c r="BB1754" s="3" t="s">
        <v>16924</v>
      </c>
      <c r="BC1754" s="3" t="s">
        <v>142</v>
      </c>
      <c r="BD1754" s="3" t="s">
        <v>68</v>
      </c>
      <c r="BE1754" s="3" t="s">
        <v>16925</v>
      </c>
      <c r="BF1754" s="3" t="s">
        <v>16924</v>
      </c>
      <c r="BG1754" s="3" t="s">
        <v>16926</v>
      </c>
    </row>
    <row r="1755" spans="1:59" ht="57" x14ac:dyDescent="0.45">
      <c r="A1755" s="2" t="s">
        <v>59</v>
      </c>
      <c r="B1755" s="2" t="s">
        <v>60</v>
      </c>
      <c r="C1755" s="2" t="s">
        <v>16927</v>
      </c>
      <c r="D1755" s="2" t="s">
        <v>16928</v>
      </c>
      <c r="E1755" s="2" t="s">
        <v>16929</v>
      </c>
      <c r="G1755" s="3" t="s">
        <v>62</v>
      </c>
      <c r="I1755" s="3" t="s">
        <v>62</v>
      </c>
      <c r="J1755" s="3" t="s">
        <v>62</v>
      </c>
      <c r="K1755" s="3" t="s">
        <v>63</v>
      </c>
      <c r="L1755" s="2" t="s">
        <v>16930</v>
      </c>
      <c r="M1755" s="2" t="s">
        <v>16931</v>
      </c>
      <c r="N1755" s="3" t="s">
        <v>542</v>
      </c>
      <c r="P1755" s="3" t="s">
        <v>65</v>
      </c>
      <c r="Q1755" s="2" t="s">
        <v>16932</v>
      </c>
      <c r="R1755" s="3" t="s">
        <v>66</v>
      </c>
      <c r="S1755" s="4">
        <v>7</v>
      </c>
      <c r="T1755" s="4">
        <v>7</v>
      </c>
      <c r="U1755" s="5" t="s">
        <v>16909</v>
      </c>
      <c r="V1755" s="5" t="s">
        <v>16909</v>
      </c>
      <c r="W1755" s="5" t="s">
        <v>67</v>
      </c>
      <c r="X1755" s="5" t="s">
        <v>67</v>
      </c>
      <c r="Y1755" s="4">
        <v>79</v>
      </c>
      <c r="Z1755" s="4">
        <v>59</v>
      </c>
      <c r="AA1755" s="4">
        <v>105</v>
      </c>
      <c r="AB1755" s="4">
        <v>5</v>
      </c>
      <c r="AC1755" s="4">
        <v>21</v>
      </c>
      <c r="AD1755" s="4">
        <v>32</v>
      </c>
      <c r="AE1755" s="4">
        <v>63</v>
      </c>
      <c r="AF1755" s="4">
        <v>0</v>
      </c>
      <c r="AG1755" s="4">
        <v>9</v>
      </c>
      <c r="AH1755" s="4">
        <v>16</v>
      </c>
      <c r="AI1755" s="4">
        <v>20</v>
      </c>
      <c r="AJ1755" s="4">
        <v>15</v>
      </c>
      <c r="AK1755" s="4">
        <v>26</v>
      </c>
      <c r="AL1755" s="4">
        <v>6</v>
      </c>
      <c r="AM1755" s="4">
        <v>6</v>
      </c>
      <c r="AN1755" s="4">
        <v>0</v>
      </c>
      <c r="AO1755" s="4">
        <v>0</v>
      </c>
      <c r="AP1755" s="4">
        <v>22</v>
      </c>
      <c r="AQ1755" s="4">
        <v>51</v>
      </c>
      <c r="AR1755" s="3" t="s">
        <v>61</v>
      </c>
      <c r="AS1755" s="3" t="s">
        <v>62</v>
      </c>
      <c r="AT1755" s="3" t="s">
        <v>62</v>
      </c>
      <c r="AV1755" s="6" t="str">
        <f>HYPERLINK("http://mcgill.on.worldcat.org/oclc/47786719","Catalog Record")</f>
        <v>Catalog Record</v>
      </c>
      <c r="AW1755" s="6" t="str">
        <f>HYPERLINK("http://www.worldcat.org/oclc/47786719","WorldCat Record")</f>
        <v>WorldCat Record</v>
      </c>
      <c r="AX1755" s="3" t="s">
        <v>16933</v>
      </c>
      <c r="AY1755" s="3" t="s">
        <v>16934</v>
      </c>
      <c r="AZ1755" s="3" t="s">
        <v>16935</v>
      </c>
      <c r="BA1755" s="3" t="s">
        <v>16935</v>
      </c>
      <c r="BB1755" s="3" t="s">
        <v>16936</v>
      </c>
      <c r="BC1755" s="3" t="s">
        <v>142</v>
      </c>
      <c r="BD1755" s="3" t="s">
        <v>68</v>
      </c>
      <c r="BE1755" s="3" t="s">
        <v>16937</v>
      </c>
      <c r="BF1755" s="3" t="s">
        <v>16936</v>
      </c>
      <c r="BG1755" s="3" t="s">
        <v>16938</v>
      </c>
    </row>
    <row r="1756" spans="1:59" ht="85.5" x14ac:dyDescent="0.45">
      <c r="A1756" s="2" t="s">
        <v>59</v>
      </c>
      <c r="B1756" s="2" t="s">
        <v>60</v>
      </c>
      <c r="C1756" s="2" t="s">
        <v>16939</v>
      </c>
      <c r="D1756" s="2" t="s">
        <v>16940</v>
      </c>
      <c r="E1756" s="2" t="s">
        <v>16941</v>
      </c>
      <c r="G1756" s="3" t="s">
        <v>62</v>
      </c>
      <c r="I1756" s="3" t="s">
        <v>62</v>
      </c>
      <c r="J1756" s="3" t="s">
        <v>62</v>
      </c>
      <c r="K1756" s="3" t="s">
        <v>63</v>
      </c>
      <c r="M1756" s="2" t="s">
        <v>16942</v>
      </c>
      <c r="N1756" s="3" t="s">
        <v>1478</v>
      </c>
      <c r="O1756" s="2" t="s">
        <v>168</v>
      </c>
      <c r="P1756" s="3" t="s">
        <v>65</v>
      </c>
      <c r="R1756" s="3" t="s">
        <v>66</v>
      </c>
      <c r="S1756" s="4">
        <v>20</v>
      </c>
      <c r="T1756" s="4">
        <v>20</v>
      </c>
      <c r="U1756" s="5" t="s">
        <v>16896</v>
      </c>
      <c r="V1756" s="5" t="s">
        <v>16896</v>
      </c>
      <c r="W1756" s="5" t="s">
        <v>67</v>
      </c>
      <c r="X1756" s="5" t="s">
        <v>67</v>
      </c>
      <c r="Y1756" s="4">
        <v>79</v>
      </c>
      <c r="Z1756" s="4">
        <v>49</v>
      </c>
      <c r="AA1756" s="4">
        <v>64</v>
      </c>
      <c r="AB1756" s="4">
        <v>2</v>
      </c>
      <c r="AC1756" s="4">
        <v>4</v>
      </c>
      <c r="AD1756" s="4">
        <v>27</v>
      </c>
      <c r="AE1756" s="4">
        <v>117</v>
      </c>
      <c r="AF1756" s="4">
        <v>1</v>
      </c>
      <c r="AG1756" s="4">
        <v>2</v>
      </c>
      <c r="AH1756" s="4">
        <v>14</v>
      </c>
      <c r="AI1756" s="4">
        <v>97</v>
      </c>
      <c r="AJ1756" s="4">
        <v>14</v>
      </c>
      <c r="AK1756" s="4">
        <v>18</v>
      </c>
      <c r="AL1756" s="4">
        <v>7</v>
      </c>
      <c r="AM1756" s="4">
        <v>52</v>
      </c>
      <c r="AN1756" s="4">
        <v>0</v>
      </c>
      <c r="AO1756" s="4">
        <v>0</v>
      </c>
      <c r="AP1756" s="4">
        <v>18</v>
      </c>
      <c r="AQ1756" s="4">
        <v>26</v>
      </c>
      <c r="AR1756" s="3" t="s">
        <v>61</v>
      </c>
      <c r="AS1756" s="3" t="s">
        <v>62</v>
      </c>
      <c r="AT1756" s="3" t="s">
        <v>62</v>
      </c>
      <c r="AV1756" s="6" t="str">
        <f>HYPERLINK("http://mcgill.on.worldcat.org/oclc/35926668","Catalog Record")</f>
        <v>Catalog Record</v>
      </c>
      <c r="AW1756" s="6" t="str">
        <f>HYPERLINK("http://www.worldcat.org/oclc/35926668","WorldCat Record")</f>
        <v>WorldCat Record</v>
      </c>
      <c r="AX1756" s="3" t="s">
        <v>16943</v>
      </c>
      <c r="AY1756" s="3" t="s">
        <v>16944</v>
      </c>
      <c r="AZ1756" s="3" t="s">
        <v>16945</v>
      </c>
      <c r="BA1756" s="3" t="s">
        <v>16945</v>
      </c>
      <c r="BB1756" s="3" t="s">
        <v>16946</v>
      </c>
      <c r="BC1756" s="3" t="s">
        <v>142</v>
      </c>
      <c r="BD1756" s="3" t="s">
        <v>68</v>
      </c>
      <c r="BE1756" s="3" t="s">
        <v>16947</v>
      </c>
      <c r="BF1756" s="3" t="s">
        <v>16946</v>
      </c>
      <c r="BG1756" s="3" t="s">
        <v>16948</v>
      </c>
    </row>
    <row r="1757" spans="1:59" ht="57" x14ac:dyDescent="0.45">
      <c r="A1757" s="2" t="s">
        <v>59</v>
      </c>
      <c r="B1757" s="2" t="s">
        <v>60</v>
      </c>
      <c r="C1757" s="2" t="s">
        <v>16949</v>
      </c>
      <c r="D1757" s="2" t="s">
        <v>16950</v>
      </c>
      <c r="E1757" s="2" t="s">
        <v>16951</v>
      </c>
      <c r="G1757" s="3" t="s">
        <v>62</v>
      </c>
      <c r="I1757" s="3" t="s">
        <v>61</v>
      </c>
      <c r="J1757" s="3" t="s">
        <v>62</v>
      </c>
      <c r="K1757" s="3" t="s">
        <v>63</v>
      </c>
      <c r="L1757" s="2" t="s">
        <v>16952</v>
      </c>
      <c r="M1757" s="2" t="s">
        <v>16953</v>
      </c>
      <c r="N1757" s="3" t="s">
        <v>1253</v>
      </c>
      <c r="P1757" s="3" t="s">
        <v>65</v>
      </c>
      <c r="R1757" s="3" t="s">
        <v>66</v>
      </c>
      <c r="S1757" s="4">
        <v>7</v>
      </c>
      <c r="T1757" s="4">
        <v>23</v>
      </c>
      <c r="U1757" s="5" t="s">
        <v>16954</v>
      </c>
      <c r="V1757" s="5" t="s">
        <v>16909</v>
      </c>
      <c r="W1757" s="5" t="s">
        <v>67</v>
      </c>
      <c r="X1757" s="5" t="s">
        <v>67</v>
      </c>
      <c r="Y1757" s="4">
        <v>112</v>
      </c>
      <c r="Z1757" s="4">
        <v>62</v>
      </c>
      <c r="AA1757" s="4">
        <v>81</v>
      </c>
      <c r="AB1757" s="4">
        <v>2</v>
      </c>
      <c r="AC1757" s="4">
        <v>6</v>
      </c>
      <c r="AD1757" s="4">
        <v>35</v>
      </c>
      <c r="AE1757" s="4">
        <v>126</v>
      </c>
      <c r="AF1757" s="4">
        <v>1</v>
      </c>
      <c r="AG1757" s="4">
        <v>3</v>
      </c>
      <c r="AH1757" s="4">
        <v>16</v>
      </c>
      <c r="AI1757" s="4">
        <v>98</v>
      </c>
      <c r="AJ1757" s="4">
        <v>20</v>
      </c>
      <c r="AK1757" s="4">
        <v>24</v>
      </c>
      <c r="AL1757" s="4">
        <v>5</v>
      </c>
      <c r="AM1757" s="4">
        <v>49</v>
      </c>
      <c r="AN1757" s="4">
        <v>0</v>
      </c>
      <c r="AO1757" s="4">
        <v>0</v>
      </c>
      <c r="AP1757" s="4">
        <v>24</v>
      </c>
      <c r="AQ1757" s="4">
        <v>34</v>
      </c>
      <c r="AR1757" s="3" t="s">
        <v>61</v>
      </c>
      <c r="AS1757" s="3" t="s">
        <v>62</v>
      </c>
      <c r="AT1757" s="3" t="s">
        <v>61</v>
      </c>
      <c r="AU1757" s="6" t="str">
        <f>HYPERLINK("http://catalog.hathitrust.org/Record/006953160","HathiTrust Record")</f>
        <v>HathiTrust Record</v>
      </c>
      <c r="AV1757" s="6" t="str">
        <f>HYPERLINK("http://mcgill.on.worldcat.org/oclc/37492309","Catalog Record")</f>
        <v>Catalog Record</v>
      </c>
      <c r="AW1757" s="6" t="str">
        <f>HYPERLINK("http://www.worldcat.org/oclc/37492309","WorldCat Record")</f>
        <v>WorldCat Record</v>
      </c>
      <c r="AX1757" s="3" t="s">
        <v>16955</v>
      </c>
      <c r="AY1757" s="3" t="s">
        <v>16956</v>
      </c>
      <c r="AZ1757" s="3" t="s">
        <v>16957</v>
      </c>
      <c r="BA1757" s="3" t="s">
        <v>16957</v>
      </c>
      <c r="BB1757" s="3" t="s">
        <v>16958</v>
      </c>
      <c r="BC1757" s="3" t="s">
        <v>142</v>
      </c>
      <c r="BD1757" s="3" t="s">
        <v>68</v>
      </c>
      <c r="BE1757" s="3" t="s">
        <v>16959</v>
      </c>
      <c r="BF1757" s="3" t="s">
        <v>16958</v>
      </c>
      <c r="BG1757" s="3" t="s">
        <v>16960</v>
      </c>
    </row>
    <row r="1758" spans="1:59" ht="57" x14ac:dyDescent="0.45">
      <c r="A1758" s="2" t="s">
        <v>59</v>
      </c>
      <c r="B1758" s="2" t="s">
        <v>60</v>
      </c>
      <c r="C1758" s="2" t="s">
        <v>16949</v>
      </c>
      <c r="D1758" s="2" t="s">
        <v>16950</v>
      </c>
      <c r="E1758" s="2" t="s">
        <v>16951</v>
      </c>
      <c r="G1758" s="3" t="s">
        <v>62</v>
      </c>
      <c r="I1758" s="3" t="s">
        <v>61</v>
      </c>
      <c r="J1758" s="3" t="s">
        <v>62</v>
      </c>
      <c r="K1758" s="3" t="s">
        <v>63</v>
      </c>
      <c r="L1758" s="2" t="s">
        <v>16952</v>
      </c>
      <c r="M1758" s="2" t="s">
        <v>16953</v>
      </c>
      <c r="N1758" s="3" t="s">
        <v>1253</v>
      </c>
      <c r="P1758" s="3" t="s">
        <v>65</v>
      </c>
      <c r="R1758" s="3" t="s">
        <v>66</v>
      </c>
      <c r="S1758" s="4">
        <v>6</v>
      </c>
      <c r="T1758" s="4">
        <v>23</v>
      </c>
      <c r="U1758" s="5" t="s">
        <v>16909</v>
      </c>
      <c r="V1758" s="5" t="s">
        <v>16909</v>
      </c>
      <c r="W1758" s="5" t="s">
        <v>67</v>
      </c>
      <c r="X1758" s="5" t="s">
        <v>67</v>
      </c>
      <c r="Y1758" s="4">
        <v>112</v>
      </c>
      <c r="Z1758" s="4">
        <v>62</v>
      </c>
      <c r="AA1758" s="4">
        <v>81</v>
      </c>
      <c r="AB1758" s="4">
        <v>2</v>
      </c>
      <c r="AC1758" s="4">
        <v>6</v>
      </c>
      <c r="AD1758" s="4">
        <v>35</v>
      </c>
      <c r="AE1758" s="4">
        <v>126</v>
      </c>
      <c r="AF1758" s="4">
        <v>1</v>
      </c>
      <c r="AG1758" s="4">
        <v>3</v>
      </c>
      <c r="AH1758" s="4">
        <v>16</v>
      </c>
      <c r="AI1758" s="4">
        <v>98</v>
      </c>
      <c r="AJ1758" s="4">
        <v>20</v>
      </c>
      <c r="AK1758" s="4">
        <v>24</v>
      </c>
      <c r="AL1758" s="4">
        <v>5</v>
      </c>
      <c r="AM1758" s="4">
        <v>49</v>
      </c>
      <c r="AN1758" s="4">
        <v>0</v>
      </c>
      <c r="AO1758" s="4">
        <v>0</v>
      </c>
      <c r="AP1758" s="4">
        <v>24</v>
      </c>
      <c r="AQ1758" s="4">
        <v>34</v>
      </c>
      <c r="AR1758" s="3" t="s">
        <v>61</v>
      </c>
      <c r="AS1758" s="3" t="s">
        <v>62</v>
      </c>
      <c r="AT1758" s="3" t="s">
        <v>61</v>
      </c>
      <c r="AU1758" s="6" t="str">
        <f>HYPERLINK("http://catalog.hathitrust.org/Record/006953160","HathiTrust Record")</f>
        <v>HathiTrust Record</v>
      </c>
      <c r="AV1758" s="6" t="str">
        <f>HYPERLINK("http://mcgill.on.worldcat.org/oclc/37492309","Catalog Record")</f>
        <v>Catalog Record</v>
      </c>
      <c r="AW1758" s="6" t="str">
        <f>HYPERLINK("http://www.worldcat.org/oclc/37492309","WorldCat Record")</f>
        <v>WorldCat Record</v>
      </c>
      <c r="AX1758" s="3" t="s">
        <v>16955</v>
      </c>
      <c r="AY1758" s="3" t="s">
        <v>16956</v>
      </c>
      <c r="AZ1758" s="3" t="s">
        <v>16957</v>
      </c>
      <c r="BA1758" s="3" t="s">
        <v>16957</v>
      </c>
      <c r="BB1758" s="3" t="s">
        <v>16961</v>
      </c>
      <c r="BC1758" s="3" t="s">
        <v>142</v>
      </c>
      <c r="BD1758" s="3" t="s">
        <v>68</v>
      </c>
      <c r="BE1758" s="3" t="s">
        <v>16959</v>
      </c>
      <c r="BF1758" s="3" t="s">
        <v>16961</v>
      </c>
      <c r="BG1758" s="3" t="s">
        <v>16962</v>
      </c>
    </row>
    <row r="1759" spans="1:59" ht="57" x14ac:dyDescent="0.45">
      <c r="A1759" s="2" t="s">
        <v>59</v>
      </c>
      <c r="B1759" s="2" t="s">
        <v>60</v>
      </c>
      <c r="C1759" s="2" t="s">
        <v>16949</v>
      </c>
      <c r="D1759" s="2" t="s">
        <v>16950</v>
      </c>
      <c r="E1759" s="2" t="s">
        <v>16951</v>
      </c>
      <c r="G1759" s="3" t="s">
        <v>62</v>
      </c>
      <c r="I1759" s="3" t="s">
        <v>61</v>
      </c>
      <c r="J1759" s="3" t="s">
        <v>62</v>
      </c>
      <c r="K1759" s="3" t="s">
        <v>63</v>
      </c>
      <c r="L1759" s="2" t="s">
        <v>16952</v>
      </c>
      <c r="M1759" s="2" t="s">
        <v>16953</v>
      </c>
      <c r="N1759" s="3" t="s">
        <v>1253</v>
      </c>
      <c r="P1759" s="3" t="s">
        <v>65</v>
      </c>
      <c r="R1759" s="3" t="s">
        <v>66</v>
      </c>
      <c r="S1759" s="4">
        <v>10</v>
      </c>
      <c r="T1759" s="4">
        <v>23</v>
      </c>
      <c r="U1759" s="5" t="s">
        <v>16963</v>
      </c>
      <c r="V1759" s="5" t="s">
        <v>16909</v>
      </c>
      <c r="W1759" s="5" t="s">
        <v>67</v>
      </c>
      <c r="X1759" s="5" t="s">
        <v>67</v>
      </c>
      <c r="Y1759" s="4">
        <v>112</v>
      </c>
      <c r="Z1759" s="4">
        <v>62</v>
      </c>
      <c r="AA1759" s="4">
        <v>81</v>
      </c>
      <c r="AB1759" s="4">
        <v>2</v>
      </c>
      <c r="AC1759" s="4">
        <v>6</v>
      </c>
      <c r="AD1759" s="4">
        <v>35</v>
      </c>
      <c r="AE1759" s="4">
        <v>126</v>
      </c>
      <c r="AF1759" s="4">
        <v>1</v>
      </c>
      <c r="AG1759" s="4">
        <v>3</v>
      </c>
      <c r="AH1759" s="4">
        <v>16</v>
      </c>
      <c r="AI1759" s="4">
        <v>98</v>
      </c>
      <c r="AJ1759" s="4">
        <v>20</v>
      </c>
      <c r="AK1759" s="4">
        <v>24</v>
      </c>
      <c r="AL1759" s="4">
        <v>5</v>
      </c>
      <c r="AM1759" s="4">
        <v>49</v>
      </c>
      <c r="AN1759" s="4">
        <v>0</v>
      </c>
      <c r="AO1759" s="4">
        <v>0</v>
      </c>
      <c r="AP1759" s="4">
        <v>24</v>
      </c>
      <c r="AQ1759" s="4">
        <v>34</v>
      </c>
      <c r="AR1759" s="3" t="s">
        <v>61</v>
      </c>
      <c r="AS1759" s="3" t="s">
        <v>62</v>
      </c>
      <c r="AT1759" s="3" t="s">
        <v>61</v>
      </c>
      <c r="AU1759" s="6" t="str">
        <f>HYPERLINK("http://catalog.hathitrust.org/Record/006953160","HathiTrust Record")</f>
        <v>HathiTrust Record</v>
      </c>
      <c r="AV1759" s="6" t="str">
        <f>HYPERLINK("http://mcgill.on.worldcat.org/oclc/37492309","Catalog Record")</f>
        <v>Catalog Record</v>
      </c>
      <c r="AW1759" s="6" t="str">
        <f>HYPERLINK("http://www.worldcat.org/oclc/37492309","WorldCat Record")</f>
        <v>WorldCat Record</v>
      </c>
      <c r="AX1759" s="3" t="s">
        <v>16955</v>
      </c>
      <c r="AY1759" s="3" t="s">
        <v>16956</v>
      </c>
      <c r="AZ1759" s="3" t="s">
        <v>16957</v>
      </c>
      <c r="BA1759" s="3" t="s">
        <v>16957</v>
      </c>
      <c r="BB1759" s="3" t="s">
        <v>16964</v>
      </c>
      <c r="BC1759" s="3" t="s">
        <v>142</v>
      </c>
      <c r="BD1759" s="3" t="s">
        <v>68</v>
      </c>
      <c r="BE1759" s="3" t="s">
        <v>16959</v>
      </c>
      <c r="BF1759" s="3" t="s">
        <v>16964</v>
      </c>
      <c r="BG1759" s="3" t="s">
        <v>16965</v>
      </c>
    </row>
    <row r="1760" spans="1:59" ht="57" x14ac:dyDescent="0.45">
      <c r="A1760" s="2" t="s">
        <v>59</v>
      </c>
      <c r="B1760" s="2" t="s">
        <v>60</v>
      </c>
      <c r="C1760" s="2" t="s">
        <v>16966</v>
      </c>
      <c r="D1760" s="2" t="s">
        <v>16967</v>
      </c>
      <c r="E1760" s="2" t="s">
        <v>16968</v>
      </c>
      <c r="G1760" s="3" t="s">
        <v>62</v>
      </c>
      <c r="I1760" s="3" t="s">
        <v>61</v>
      </c>
      <c r="J1760" s="3" t="s">
        <v>62</v>
      </c>
      <c r="K1760" s="3" t="s">
        <v>63</v>
      </c>
      <c r="L1760" s="2" t="s">
        <v>16969</v>
      </c>
      <c r="M1760" s="2" t="s">
        <v>16970</v>
      </c>
      <c r="N1760" s="3" t="s">
        <v>1253</v>
      </c>
      <c r="P1760" s="3" t="s">
        <v>65</v>
      </c>
      <c r="Q1760" s="2" t="s">
        <v>16971</v>
      </c>
      <c r="R1760" s="3" t="s">
        <v>66</v>
      </c>
      <c r="S1760" s="4">
        <v>35</v>
      </c>
      <c r="T1760" s="4">
        <v>81</v>
      </c>
      <c r="U1760" s="5" t="s">
        <v>5537</v>
      </c>
      <c r="V1760" s="5" t="s">
        <v>5537</v>
      </c>
      <c r="W1760" s="5" t="s">
        <v>67</v>
      </c>
      <c r="X1760" s="5" t="s">
        <v>67</v>
      </c>
      <c r="Y1760" s="4">
        <v>98</v>
      </c>
      <c r="Z1760" s="4">
        <v>13</v>
      </c>
      <c r="AA1760" s="4">
        <v>25</v>
      </c>
      <c r="AB1760" s="4">
        <v>1</v>
      </c>
      <c r="AC1760" s="4">
        <v>6</v>
      </c>
      <c r="AD1760" s="4">
        <v>17</v>
      </c>
      <c r="AE1760" s="4">
        <v>28</v>
      </c>
      <c r="AF1760" s="4">
        <v>0</v>
      </c>
      <c r="AG1760" s="4">
        <v>1</v>
      </c>
      <c r="AH1760" s="4">
        <v>10</v>
      </c>
      <c r="AI1760" s="4">
        <v>19</v>
      </c>
      <c r="AJ1760" s="4">
        <v>5</v>
      </c>
      <c r="AK1760" s="4">
        <v>7</v>
      </c>
      <c r="AL1760" s="4">
        <v>7</v>
      </c>
      <c r="AM1760" s="4">
        <v>13</v>
      </c>
      <c r="AN1760" s="4">
        <v>0</v>
      </c>
      <c r="AO1760" s="4">
        <v>0</v>
      </c>
      <c r="AP1760" s="4">
        <v>7</v>
      </c>
      <c r="AQ1760" s="4">
        <v>10</v>
      </c>
      <c r="AR1760" s="3" t="s">
        <v>62</v>
      </c>
      <c r="AS1760" s="3" t="s">
        <v>62</v>
      </c>
      <c r="AT1760" s="3" t="s">
        <v>62</v>
      </c>
      <c r="AV1760" s="6" t="str">
        <f>HYPERLINK("http://mcgill.on.worldcat.org/oclc/36399985","Catalog Record")</f>
        <v>Catalog Record</v>
      </c>
      <c r="AW1760" s="6" t="str">
        <f>HYPERLINK("http://www.worldcat.org/oclc/36399985","WorldCat Record")</f>
        <v>WorldCat Record</v>
      </c>
      <c r="AX1760" s="3" t="s">
        <v>16972</v>
      </c>
      <c r="AY1760" s="3" t="s">
        <v>16973</v>
      </c>
      <c r="AZ1760" s="3" t="s">
        <v>16974</v>
      </c>
      <c r="BA1760" s="3" t="s">
        <v>16974</v>
      </c>
      <c r="BB1760" s="3" t="s">
        <v>16975</v>
      </c>
      <c r="BC1760" s="3" t="s">
        <v>142</v>
      </c>
      <c r="BD1760" s="3" t="s">
        <v>68</v>
      </c>
      <c r="BE1760" s="3" t="s">
        <v>16976</v>
      </c>
      <c r="BF1760" s="3" t="s">
        <v>16975</v>
      </c>
      <c r="BG1760" s="3" t="s">
        <v>16977</v>
      </c>
    </row>
    <row r="1761" spans="1:59" ht="57" x14ac:dyDescent="0.45">
      <c r="A1761" s="2" t="s">
        <v>59</v>
      </c>
      <c r="B1761" s="2" t="s">
        <v>60</v>
      </c>
      <c r="C1761" s="2" t="s">
        <v>16966</v>
      </c>
      <c r="D1761" s="2" t="s">
        <v>16967</v>
      </c>
      <c r="E1761" s="2" t="s">
        <v>16968</v>
      </c>
      <c r="G1761" s="3" t="s">
        <v>62</v>
      </c>
      <c r="I1761" s="3" t="s">
        <v>61</v>
      </c>
      <c r="J1761" s="3" t="s">
        <v>62</v>
      </c>
      <c r="K1761" s="3" t="s">
        <v>63</v>
      </c>
      <c r="L1761" s="2" t="s">
        <v>16969</v>
      </c>
      <c r="M1761" s="2" t="s">
        <v>16970</v>
      </c>
      <c r="N1761" s="3" t="s">
        <v>1253</v>
      </c>
      <c r="P1761" s="3" t="s">
        <v>65</v>
      </c>
      <c r="Q1761" s="2" t="s">
        <v>16971</v>
      </c>
      <c r="R1761" s="3" t="s">
        <v>66</v>
      </c>
      <c r="S1761" s="4">
        <v>46</v>
      </c>
      <c r="T1761" s="4">
        <v>81</v>
      </c>
      <c r="U1761" s="5" t="s">
        <v>1513</v>
      </c>
      <c r="V1761" s="5" t="s">
        <v>5537</v>
      </c>
      <c r="W1761" s="5" t="s">
        <v>67</v>
      </c>
      <c r="X1761" s="5" t="s">
        <v>67</v>
      </c>
      <c r="Y1761" s="4">
        <v>98</v>
      </c>
      <c r="Z1761" s="4">
        <v>13</v>
      </c>
      <c r="AA1761" s="4">
        <v>25</v>
      </c>
      <c r="AB1761" s="4">
        <v>1</v>
      </c>
      <c r="AC1761" s="4">
        <v>6</v>
      </c>
      <c r="AD1761" s="4">
        <v>17</v>
      </c>
      <c r="AE1761" s="4">
        <v>28</v>
      </c>
      <c r="AF1761" s="4">
        <v>0</v>
      </c>
      <c r="AG1761" s="4">
        <v>1</v>
      </c>
      <c r="AH1761" s="4">
        <v>10</v>
      </c>
      <c r="AI1761" s="4">
        <v>19</v>
      </c>
      <c r="AJ1761" s="4">
        <v>5</v>
      </c>
      <c r="AK1761" s="4">
        <v>7</v>
      </c>
      <c r="AL1761" s="4">
        <v>7</v>
      </c>
      <c r="AM1761" s="4">
        <v>13</v>
      </c>
      <c r="AN1761" s="4">
        <v>0</v>
      </c>
      <c r="AO1761" s="4">
        <v>0</v>
      </c>
      <c r="AP1761" s="4">
        <v>7</v>
      </c>
      <c r="AQ1761" s="4">
        <v>10</v>
      </c>
      <c r="AR1761" s="3" t="s">
        <v>62</v>
      </c>
      <c r="AS1761" s="3" t="s">
        <v>62</v>
      </c>
      <c r="AT1761" s="3" t="s">
        <v>62</v>
      </c>
      <c r="AV1761" s="6" t="str">
        <f>HYPERLINK("http://mcgill.on.worldcat.org/oclc/36399985","Catalog Record")</f>
        <v>Catalog Record</v>
      </c>
      <c r="AW1761" s="6" t="str">
        <f>HYPERLINK("http://www.worldcat.org/oclc/36399985","WorldCat Record")</f>
        <v>WorldCat Record</v>
      </c>
      <c r="AX1761" s="3" t="s">
        <v>16972</v>
      </c>
      <c r="AY1761" s="3" t="s">
        <v>16973</v>
      </c>
      <c r="AZ1761" s="3" t="s">
        <v>16974</v>
      </c>
      <c r="BA1761" s="3" t="s">
        <v>16974</v>
      </c>
      <c r="BB1761" s="3" t="s">
        <v>16978</v>
      </c>
      <c r="BC1761" s="3" t="s">
        <v>142</v>
      </c>
      <c r="BD1761" s="3" t="s">
        <v>308</v>
      </c>
      <c r="BE1761" s="3" t="s">
        <v>16976</v>
      </c>
      <c r="BF1761" s="3" t="s">
        <v>16978</v>
      </c>
      <c r="BG1761" s="3" t="s">
        <v>16979</v>
      </c>
    </row>
    <row r="1762" spans="1:59" ht="57" x14ac:dyDescent="0.45">
      <c r="A1762" s="2" t="s">
        <v>59</v>
      </c>
      <c r="B1762" s="2" t="s">
        <v>60</v>
      </c>
      <c r="C1762" s="2" t="s">
        <v>16980</v>
      </c>
      <c r="D1762" s="2" t="s">
        <v>16981</v>
      </c>
      <c r="E1762" s="2" t="s">
        <v>16982</v>
      </c>
      <c r="G1762" s="3" t="s">
        <v>62</v>
      </c>
      <c r="I1762" s="3" t="s">
        <v>62</v>
      </c>
      <c r="J1762" s="3" t="s">
        <v>62</v>
      </c>
      <c r="K1762" s="3" t="s">
        <v>63</v>
      </c>
      <c r="L1762" s="2" t="s">
        <v>16969</v>
      </c>
      <c r="M1762" s="2" t="s">
        <v>16983</v>
      </c>
      <c r="N1762" s="3" t="s">
        <v>149</v>
      </c>
      <c r="P1762" s="3" t="s">
        <v>65</v>
      </c>
      <c r="Q1762" s="2" t="s">
        <v>11684</v>
      </c>
      <c r="R1762" s="3" t="s">
        <v>66</v>
      </c>
      <c r="S1762" s="4">
        <v>5</v>
      </c>
      <c r="T1762" s="4">
        <v>5</v>
      </c>
      <c r="U1762" s="5" t="s">
        <v>16984</v>
      </c>
      <c r="V1762" s="5" t="s">
        <v>16984</v>
      </c>
      <c r="W1762" s="5" t="s">
        <v>67</v>
      </c>
      <c r="X1762" s="5" t="s">
        <v>67</v>
      </c>
      <c r="Y1762" s="4">
        <v>210</v>
      </c>
      <c r="Z1762" s="4">
        <v>30</v>
      </c>
      <c r="AA1762" s="4">
        <v>101</v>
      </c>
      <c r="AB1762" s="4">
        <v>2</v>
      </c>
      <c r="AC1762" s="4">
        <v>17</v>
      </c>
      <c r="AD1762" s="4">
        <v>80</v>
      </c>
      <c r="AE1762" s="4">
        <v>136</v>
      </c>
      <c r="AF1762" s="4">
        <v>1</v>
      </c>
      <c r="AG1762" s="4">
        <v>8</v>
      </c>
      <c r="AH1762" s="4">
        <v>68</v>
      </c>
      <c r="AI1762" s="4">
        <v>99</v>
      </c>
      <c r="AJ1762" s="4">
        <v>18</v>
      </c>
      <c r="AK1762" s="4">
        <v>25</v>
      </c>
      <c r="AL1762" s="4">
        <v>36</v>
      </c>
      <c r="AM1762" s="4">
        <v>53</v>
      </c>
      <c r="AN1762" s="4">
        <v>0</v>
      </c>
      <c r="AO1762" s="4">
        <v>0</v>
      </c>
      <c r="AP1762" s="4">
        <v>21</v>
      </c>
      <c r="AQ1762" s="4">
        <v>46</v>
      </c>
      <c r="AR1762" s="3" t="s">
        <v>62</v>
      </c>
      <c r="AS1762" s="3" t="s">
        <v>62</v>
      </c>
      <c r="AT1762" s="3" t="s">
        <v>62</v>
      </c>
      <c r="AV1762" s="6" t="str">
        <f>HYPERLINK("http://mcgill.on.worldcat.org/oclc/317928326","Catalog Record")</f>
        <v>Catalog Record</v>
      </c>
      <c r="AW1762" s="6" t="str">
        <f>HYPERLINK("http://www.worldcat.org/oclc/317928326","WorldCat Record")</f>
        <v>WorldCat Record</v>
      </c>
      <c r="AX1762" s="3" t="s">
        <v>16985</v>
      </c>
      <c r="AY1762" s="3" t="s">
        <v>16986</v>
      </c>
      <c r="AZ1762" s="3" t="s">
        <v>16987</v>
      </c>
      <c r="BA1762" s="3" t="s">
        <v>16987</v>
      </c>
      <c r="BB1762" s="3" t="s">
        <v>16988</v>
      </c>
      <c r="BC1762" s="3" t="s">
        <v>142</v>
      </c>
      <c r="BD1762" s="3" t="s">
        <v>68</v>
      </c>
      <c r="BE1762" s="3" t="s">
        <v>16989</v>
      </c>
      <c r="BF1762" s="3" t="s">
        <v>16988</v>
      </c>
      <c r="BG1762" s="3" t="s">
        <v>16990</v>
      </c>
    </row>
    <row r="1763" spans="1:59" ht="57" x14ac:dyDescent="0.45">
      <c r="A1763" s="2" t="s">
        <v>59</v>
      </c>
      <c r="B1763" s="2" t="s">
        <v>60</v>
      </c>
      <c r="C1763" s="2" t="s">
        <v>16991</v>
      </c>
      <c r="D1763" s="2" t="s">
        <v>16992</v>
      </c>
      <c r="E1763" s="2" t="s">
        <v>16993</v>
      </c>
      <c r="G1763" s="3" t="s">
        <v>62</v>
      </c>
      <c r="I1763" s="3" t="s">
        <v>62</v>
      </c>
      <c r="J1763" s="3" t="s">
        <v>62</v>
      </c>
      <c r="K1763" s="3" t="s">
        <v>63</v>
      </c>
      <c r="L1763" s="2" t="s">
        <v>16994</v>
      </c>
      <c r="M1763" s="2" t="s">
        <v>16995</v>
      </c>
      <c r="N1763" s="3" t="s">
        <v>1155</v>
      </c>
      <c r="P1763" s="3" t="s">
        <v>65</v>
      </c>
      <c r="R1763" s="3" t="s">
        <v>66</v>
      </c>
      <c r="S1763" s="4">
        <v>1</v>
      </c>
      <c r="T1763" s="4">
        <v>1</v>
      </c>
      <c r="U1763" s="5" t="s">
        <v>16996</v>
      </c>
      <c r="V1763" s="5" t="s">
        <v>16996</v>
      </c>
      <c r="W1763" s="5" t="s">
        <v>67</v>
      </c>
      <c r="X1763" s="5" t="s">
        <v>67</v>
      </c>
      <c r="Y1763" s="4">
        <v>282</v>
      </c>
      <c r="Z1763" s="4">
        <v>40</v>
      </c>
      <c r="AA1763" s="4">
        <v>104</v>
      </c>
      <c r="AB1763" s="4">
        <v>2</v>
      </c>
      <c r="AC1763" s="4">
        <v>18</v>
      </c>
      <c r="AD1763" s="4">
        <v>104</v>
      </c>
      <c r="AE1763" s="4">
        <v>137</v>
      </c>
      <c r="AF1763" s="4">
        <v>1</v>
      </c>
      <c r="AG1763" s="4">
        <v>8</v>
      </c>
      <c r="AH1763" s="4">
        <v>82</v>
      </c>
      <c r="AI1763" s="4">
        <v>94</v>
      </c>
      <c r="AJ1763" s="4">
        <v>21</v>
      </c>
      <c r="AK1763" s="4">
        <v>27</v>
      </c>
      <c r="AL1763" s="4">
        <v>46</v>
      </c>
      <c r="AM1763" s="4">
        <v>51</v>
      </c>
      <c r="AN1763" s="4">
        <v>0</v>
      </c>
      <c r="AO1763" s="4">
        <v>0</v>
      </c>
      <c r="AP1763" s="4">
        <v>30</v>
      </c>
      <c r="AQ1763" s="4">
        <v>52</v>
      </c>
      <c r="AR1763" s="3" t="s">
        <v>61</v>
      </c>
      <c r="AS1763" s="3" t="s">
        <v>62</v>
      </c>
      <c r="AT1763" s="3" t="s">
        <v>62</v>
      </c>
      <c r="AV1763" s="6" t="str">
        <f>HYPERLINK("http://mcgill.on.worldcat.org/oclc/756268978","Catalog Record")</f>
        <v>Catalog Record</v>
      </c>
      <c r="AW1763" s="6" t="str">
        <f>HYPERLINK("http://www.worldcat.org/oclc/756268978","WorldCat Record")</f>
        <v>WorldCat Record</v>
      </c>
      <c r="AX1763" s="3" t="s">
        <v>16997</v>
      </c>
      <c r="AY1763" s="3" t="s">
        <v>16998</v>
      </c>
      <c r="AZ1763" s="3" t="s">
        <v>16999</v>
      </c>
      <c r="BA1763" s="3" t="s">
        <v>16999</v>
      </c>
      <c r="BB1763" s="3" t="s">
        <v>17000</v>
      </c>
      <c r="BC1763" s="3" t="s">
        <v>142</v>
      </c>
      <c r="BD1763" s="3" t="s">
        <v>68</v>
      </c>
      <c r="BE1763" s="3" t="s">
        <v>17001</v>
      </c>
      <c r="BF1763" s="3" t="s">
        <v>17000</v>
      </c>
      <c r="BG1763" s="3" t="s">
        <v>17002</v>
      </c>
    </row>
    <row r="1764" spans="1:59" ht="57" x14ac:dyDescent="0.45">
      <c r="A1764" s="2" t="s">
        <v>59</v>
      </c>
      <c r="B1764" s="2" t="s">
        <v>60</v>
      </c>
      <c r="C1764" s="2" t="s">
        <v>17003</v>
      </c>
      <c r="D1764" s="2" t="s">
        <v>17004</v>
      </c>
      <c r="E1764" s="2" t="s">
        <v>17005</v>
      </c>
      <c r="G1764" s="3" t="s">
        <v>62</v>
      </c>
      <c r="I1764" s="3" t="s">
        <v>62</v>
      </c>
      <c r="J1764" s="3" t="s">
        <v>62</v>
      </c>
      <c r="K1764" s="3" t="s">
        <v>63</v>
      </c>
      <c r="M1764" s="2" t="s">
        <v>17006</v>
      </c>
      <c r="N1764" s="3" t="s">
        <v>1855</v>
      </c>
      <c r="P1764" s="3" t="s">
        <v>65</v>
      </c>
      <c r="Q1764" s="2" t="s">
        <v>13669</v>
      </c>
      <c r="R1764" s="3" t="s">
        <v>66</v>
      </c>
      <c r="S1764" s="4">
        <v>14</v>
      </c>
      <c r="T1764" s="4">
        <v>14</v>
      </c>
      <c r="U1764" s="5" t="s">
        <v>4918</v>
      </c>
      <c r="V1764" s="5" t="s">
        <v>4918</v>
      </c>
      <c r="W1764" s="5" t="s">
        <v>67</v>
      </c>
      <c r="X1764" s="5" t="s">
        <v>67</v>
      </c>
      <c r="Y1764" s="4">
        <v>215</v>
      </c>
      <c r="Z1764" s="4">
        <v>31</v>
      </c>
      <c r="AA1764" s="4">
        <v>33</v>
      </c>
      <c r="AB1764" s="4">
        <v>2</v>
      </c>
      <c r="AC1764" s="4">
        <v>4</v>
      </c>
      <c r="AD1764" s="4">
        <v>85</v>
      </c>
      <c r="AE1764" s="4">
        <v>87</v>
      </c>
      <c r="AF1764" s="4">
        <v>1</v>
      </c>
      <c r="AG1764" s="4">
        <v>3</v>
      </c>
      <c r="AH1764" s="4">
        <v>73</v>
      </c>
      <c r="AI1764" s="4">
        <v>74</v>
      </c>
      <c r="AJ1764" s="4">
        <v>18</v>
      </c>
      <c r="AK1764" s="4">
        <v>20</v>
      </c>
      <c r="AL1764" s="4">
        <v>37</v>
      </c>
      <c r="AM1764" s="4">
        <v>37</v>
      </c>
      <c r="AN1764" s="4">
        <v>0</v>
      </c>
      <c r="AO1764" s="4">
        <v>0</v>
      </c>
      <c r="AP1764" s="4">
        <v>20</v>
      </c>
      <c r="AQ1764" s="4">
        <v>21</v>
      </c>
      <c r="AR1764" s="3" t="s">
        <v>62</v>
      </c>
      <c r="AS1764" s="3" t="s">
        <v>62</v>
      </c>
      <c r="AT1764" s="3" t="s">
        <v>61</v>
      </c>
      <c r="AU1764" s="6" t="str">
        <f>HYPERLINK("http://catalog.hathitrust.org/Record/005070951","HathiTrust Record")</f>
        <v>HathiTrust Record</v>
      </c>
      <c r="AV1764" s="6" t="str">
        <f>HYPERLINK("http://mcgill.on.worldcat.org/oclc/60644859","Catalog Record")</f>
        <v>Catalog Record</v>
      </c>
      <c r="AW1764" s="6" t="str">
        <f>HYPERLINK("http://www.worldcat.org/oclc/60644859","WorldCat Record")</f>
        <v>WorldCat Record</v>
      </c>
      <c r="AX1764" s="3" t="s">
        <v>17007</v>
      </c>
      <c r="AY1764" s="3" t="s">
        <v>17008</v>
      </c>
      <c r="AZ1764" s="3" t="s">
        <v>17009</v>
      </c>
      <c r="BA1764" s="3" t="s">
        <v>17009</v>
      </c>
      <c r="BB1764" s="3" t="s">
        <v>17010</v>
      </c>
      <c r="BC1764" s="3" t="s">
        <v>142</v>
      </c>
      <c r="BD1764" s="3" t="s">
        <v>68</v>
      </c>
      <c r="BE1764" s="3" t="s">
        <v>17011</v>
      </c>
      <c r="BF1764" s="3" t="s">
        <v>17010</v>
      </c>
      <c r="BG1764" s="3" t="s">
        <v>17012</v>
      </c>
    </row>
    <row r="1765" spans="1:59" ht="57" x14ac:dyDescent="0.45">
      <c r="A1765" s="2" t="s">
        <v>59</v>
      </c>
      <c r="B1765" s="2" t="s">
        <v>60</v>
      </c>
      <c r="C1765" s="2" t="s">
        <v>17013</v>
      </c>
      <c r="D1765" s="2" t="s">
        <v>17014</v>
      </c>
      <c r="E1765" s="2" t="s">
        <v>17015</v>
      </c>
      <c r="G1765" s="3" t="s">
        <v>62</v>
      </c>
      <c r="I1765" s="3" t="s">
        <v>62</v>
      </c>
      <c r="J1765" s="3" t="s">
        <v>62</v>
      </c>
      <c r="K1765" s="3" t="s">
        <v>63</v>
      </c>
      <c r="L1765" s="2" t="s">
        <v>17016</v>
      </c>
      <c r="M1765" s="2" t="s">
        <v>17017</v>
      </c>
      <c r="N1765" s="3" t="s">
        <v>1918</v>
      </c>
      <c r="P1765" s="3" t="s">
        <v>65</v>
      </c>
      <c r="Q1765" s="2" t="s">
        <v>17018</v>
      </c>
      <c r="R1765" s="3" t="s">
        <v>66</v>
      </c>
      <c r="S1765" s="4">
        <v>0</v>
      </c>
      <c r="T1765" s="4">
        <v>0</v>
      </c>
      <c r="W1765" s="5" t="s">
        <v>67</v>
      </c>
      <c r="X1765" s="5" t="s">
        <v>67</v>
      </c>
      <c r="Y1765" s="4">
        <v>45</v>
      </c>
      <c r="Z1765" s="4">
        <v>3</v>
      </c>
      <c r="AA1765" s="4">
        <v>5</v>
      </c>
      <c r="AB1765" s="4">
        <v>2</v>
      </c>
      <c r="AC1765" s="4">
        <v>4</v>
      </c>
      <c r="AD1765" s="4">
        <v>19</v>
      </c>
      <c r="AE1765" s="4">
        <v>20</v>
      </c>
      <c r="AF1765" s="4">
        <v>1</v>
      </c>
      <c r="AG1765" s="4">
        <v>2</v>
      </c>
      <c r="AH1765" s="4">
        <v>17</v>
      </c>
      <c r="AI1765" s="4">
        <v>17</v>
      </c>
      <c r="AJ1765" s="4">
        <v>2</v>
      </c>
      <c r="AK1765" s="4">
        <v>3</v>
      </c>
      <c r="AL1765" s="4">
        <v>14</v>
      </c>
      <c r="AM1765" s="4">
        <v>14</v>
      </c>
      <c r="AN1765" s="4">
        <v>0</v>
      </c>
      <c r="AO1765" s="4">
        <v>0</v>
      </c>
      <c r="AP1765" s="4">
        <v>2</v>
      </c>
      <c r="AQ1765" s="4">
        <v>3</v>
      </c>
      <c r="AR1765" s="3" t="s">
        <v>62</v>
      </c>
      <c r="AS1765" s="3" t="s">
        <v>62</v>
      </c>
      <c r="AT1765" s="3" t="s">
        <v>62</v>
      </c>
      <c r="AV1765" s="6" t="str">
        <f>HYPERLINK("http://mcgill.on.worldcat.org/oclc/983562998","Catalog Record")</f>
        <v>Catalog Record</v>
      </c>
      <c r="AW1765" s="6" t="str">
        <f>HYPERLINK("http://www.worldcat.org/oclc/983562998","WorldCat Record")</f>
        <v>WorldCat Record</v>
      </c>
      <c r="AX1765" s="3" t="s">
        <v>17019</v>
      </c>
      <c r="AY1765" s="3" t="s">
        <v>17020</v>
      </c>
      <c r="AZ1765" s="3" t="s">
        <v>17021</v>
      </c>
      <c r="BA1765" s="3" t="s">
        <v>17021</v>
      </c>
      <c r="BB1765" s="3" t="s">
        <v>17022</v>
      </c>
      <c r="BC1765" s="3" t="s">
        <v>142</v>
      </c>
      <c r="BD1765" s="3" t="s">
        <v>68</v>
      </c>
      <c r="BE1765" s="3" t="s">
        <v>17023</v>
      </c>
      <c r="BF1765" s="3" t="s">
        <v>17022</v>
      </c>
      <c r="BG1765" s="3" t="s">
        <v>17024</v>
      </c>
    </row>
    <row r="1766" spans="1:59" ht="57" x14ac:dyDescent="0.45">
      <c r="A1766" s="2" t="s">
        <v>59</v>
      </c>
      <c r="B1766" s="2" t="s">
        <v>60</v>
      </c>
      <c r="C1766" s="2" t="s">
        <v>17025</v>
      </c>
      <c r="D1766" s="2" t="s">
        <v>17026</v>
      </c>
      <c r="E1766" s="2" t="s">
        <v>17027</v>
      </c>
      <c r="G1766" s="3" t="s">
        <v>62</v>
      </c>
      <c r="I1766" s="3" t="s">
        <v>62</v>
      </c>
      <c r="J1766" s="3" t="s">
        <v>61</v>
      </c>
      <c r="K1766" s="3" t="s">
        <v>63</v>
      </c>
      <c r="L1766" s="2" t="s">
        <v>17028</v>
      </c>
      <c r="M1766" s="2" t="s">
        <v>17029</v>
      </c>
      <c r="N1766" s="3" t="s">
        <v>1437</v>
      </c>
      <c r="O1766" s="2" t="s">
        <v>17030</v>
      </c>
      <c r="P1766" s="3" t="s">
        <v>65</v>
      </c>
      <c r="R1766" s="3" t="s">
        <v>66</v>
      </c>
      <c r="S1766" s="4">
        <v>25</v>
      </c>
      <c r="T1766" s="4">
        <v>25</v>
      </c>
      <c r="U1766" s="5" t="s">
        <v>99</v>
      </c>
      <c r="V1766" s="5" t="s">
        <v>99</v>
      </c>
      <c r="W1766" s="5" t="s">
        <v>67</v>
      </c>
      <c r="X1766" s="5" t="s">
        <v>67</v>
      </c>
      <c r="Y1766" s="4">
        <v>276</v>
      </c>
      <c r="Z1766" s="4">
        <v>28</v>
      </c>
      <c r="AA1766" s="4">
        <v>117</v>
      </c>
      <c r="AB1766" s="4">
        <v>3</v>
      </c>
      <c r="AC1766" s="4">
        <v>14</v>
      </c>
      <c r="AD1766" s="4">
        <v>44</v>
      </c>
      <c r="AE1766" s="4">
        <v>158</v>
      </c>
      <c r="AF1766" s="4">
        <v>1</v>
      </c>
      <c r="AG1766" s="4">
        <v>7</v>
      </c>
      <c r="AH1766" s="4">
        <v>38</v>
      </c>
      <c r="AI1766" s="4">
        <v>113</v>
      </c>
      <c r="AJ1766" s="4">
        <v>7</v>
      </c>
      <c r="AK1766" s="4">
        <v>30</v>
      </c>
      <c r="AL1766" s="4">
        <v>22</v>
      </c>
      <c r="AM1766" s="4">
        <v>60</v>
      </c>
      <c r="AN1766" s="4">
        <v>0</v>
      </c>
      <c r="AO1766" s="4">
        <v>1</v>
      </c>
      <c r="AP1766" s="4">
        <v>9</v>
      </c>
      <c r="AQ1766" s="4">
        <v>52</v>
      </c>
      <c r="AR1766" s="3" t="s">
        <v>62</v>
      </c>
      <c r="AS1766" s="3" t="s">
        <v>62</v>
      </c>
      <c r="AT1766" s="3" t="s">
        <v>62</v>
      </c>
      <c r="AV1766" s="6" t="str">
        <f>HYPERLINK("http://mcgill.on.worldcat.org/oclc/39342898","Catalog Record")</f>
        <v>Catalog Record</v>
      </c>
      <c r="AW1766" s="6" t="str">
        <f>HYPERLINK("http://www.worldcat.org/oclc/39342898","WorldCat Record")</f>
        <v>WorldCat Record</v>
      </c>
      <c r="AX1766" s="3" t="s">
        <v>17031</v>
      </c>
      <c r="AY1766" s="3" t="s">
        <v>17032</v>
      </c>
      <c r="AZ1766" s="3" t="s">
        <v>17033</v>
      </c>
      <c r="BA1766" s="3" t="s">
        <v>17033</v>
      </c>
      <c r="BB1766" s="3" t="s">
        <v>17034</v>
      </c>
      <c r="BC1766" s="3" t="s">
        <v>142</v>
      </c>
      <c r="BD1766" s="3" t="s">
        <v>68</v>
      </c>
      <c r="BE1766" s="3" t="s">
        <v>17035</v>
      </c>
      <c r="BF1766" s="3" t="s">
        <v>17034</v>
      </c>
      <c r="BG1766" s="3" t="s">
        <v>17036</v>
      </c>
    </row>
    <row r="1767" spans="1:59" ht="57" x14ac:dyDescent="0.45">
      <c r="A1767" s="2" t="s">
        <v>59</v>
      </c>
      <c r="B1767" s="2" t="s">
        <v>60</v>
      </c>
      <c r="C1767" s="2" t="s">
        <v>17037</v>
      </c>
      <c r="D1767" s="2" t="s">
        <v>17038</v>
      </c>
      <c r="E1767" s="2" t="s">
        <v>17039</v>
      </c>
      <c r="G1767" s="3" t="s">
        <v>62</v>
      </c>
      <c r="I1767" s="3" t="s">
        <v>62</v>
      </c>
      <c r="J1767" s="3" t="s">
        <v>62</v>
      </c>
      <c r="K1767" s="3" t="s">
        <v>63</v>
      </c>
      <c r="M1767" s="2" t="s">
        <v>17040</v>
      </c>
      <c r="N1767" s="3" t="s">
        <v>1688</v>
      </c>
      <c r="P1767" s="3" t="s">
        <v>65</v>
      </c>
      <c r="Q1767" s="2" t="s">
        <v>17041</v>
      </c>
      <c r="R1767" s="3" t="s">
        <v>66</v>
      </c>
      <c r="S1767" s="4">
        <v>0</v>
      </c>
      <c r="T1767" s="4">
        <v>0</v>
      </c>
      <c r="W1767" s="5" t="s">
        <v>67</v>
      </c>
      <c r="X1767" s="5" t="s">
        <v>67</v>
      </c>
      <c r="Y1767" s="4">
        <v>72</v>
      </c>
      <c r="Z1767" s="4">
        <v>13</v>
      </c>
      <c r="AA1767" s="4">
        <v>27</v>
      </c>
      <c r="AB1767" s="4">
        <v>3</v>
      </c>
      <c r="AC1767" s="4">
        <v>7</v>
      </c>
      <c r="AD1767" s="4">
        <v>31</v>
      </c>
      <c r="AE1767" s="4">
        <v>46</v>
      </c>
      <c r="AF1767" s="4">
        <v>1</v>
      </c>
      <c r="AG1767" s="4">
        <v>2</v>
      </c>
      <c r="AH1767" s="4">
        <v>26</v>
      </c>
      <c r="AI1767" s="4">
        <v>39</v>
      </c>
      <c r="AJ1767" s="4">
        <v>9</v>
      </c>
      <c r="AK1767" s="4">
        <v>11</v>
      </c>
      <c r="AL1767" s="4">
        <v>20</v>
      </c>
      <c r="AM1767" s="4">
        <v>25</v>
      </c>
      <c r="AN1767" s="4">
        <v>0</v>
      </c>
      <c r="AO1767" s="4">
        <v>0</v>
      </c>
      <c r="AP1767" s="4">
        <v>9</v>
      </c>
      <c r="AQ1767" s="4">
        <v>13</v>
      </c>
      <c r="AR1767" s="3" t="s">
        <v>62</v>
      </c>
      <c r="AS1767" s="3" t="s">
        <v>62</v>
      </c>
      <c r="AT1767" s="3" t="s">
        <v>62</v>
      </c>
      <c r="AV1767" s="6" t="str">
        <f>HYPERLINK("http://mcgill.on.worldcat.org/oclc/870980844","Catalog Record")</f>
        <v>Catalog Record</v>
      </c>
      <c r="AW1767" s="6" t="str">
        <f>HYPERLINK("http://www.worldcat.org/oclc/870980844","WorldCat Record")</f>
        <v>WorldCat Record</v>
      </c>
      <c r="AX1767" s="3" t="s">
        <v>17042</v>
      </c>
      <c r="AY1767" s="3" t="s">
        <v>17043</v>
      </c>
      <c r="AZ1767" s="3" t="s">
        <v>17044</v>
      </c>
      <c r="BA1767" s="3" t="s">
        <v>17044</v>
      </c>
      <c r="BB1767" s="3" t="s">
        <v>17045</v>
      </c>
      <c r="BC1767" s="3" t="s">
        <v>142</v>
      </c>
      <c r="BD1767" s="3" t="s">
        <v>68</v>
      </c>
      <c r="BE1767" s="3" t="s">
        <v>17046</v>
      </c>
      <c r="BF1767" s="3" t="s">
        <v>17045</v>
      </c>
      <c r="BG1767" s="3" t="s">
        <v>17047</v>
      </c>
    </row>
    <row r="1768" spans="1:59" ht="57" x14ac:dyDescent="0.45">
      <c r="A1768" s="2" t="s">
        <v>59</v>
      </c>
      <c r="B1768" s="2" t="s">
        <v>60</v>
      </c>
      <c r="C1768" s="2" t="s">
        <v>17048</v>
      </c>
      <c r="D1768" s="2" t="s">
        <v>17049</v>
      </c>
      <c r="E1768" s="2" t="s">
        <v>17050</v>
      </c>
      <c r="G1768" s="3" t="s">
        <v>62</v>
      </c>
      <c r="I1768" s="3" t="s">
        <v>62</v>
      </c>
      <c r="J1768" s="3" t="s">
        <v>62</v>
      </c>
      <c r="K1768" s="3" t="s">
        <v>63</v>
      </c>
      <c r="M1768" s="2" t="s">
        <v>17051</v>
      </c>
      <c r="N1768" s="3" t="s">
        <v>1688</v>
      </c>
      <c r="P1768" s="3" t="s">
        <v>65</v>
      </c>
      <c r="Q1768" s="2" t="s">
        <v>17052</v>
      </c>
      <c r="R1768" s="3" t="s">
        <v>66</v>
      </c>
      <c r="S1768" s="4">
        <v>0</v>
      </c>
      <c r="T1768" s="4">
        <v>0</v>
      </c>
      <c r="W1768" s="5" t="s">
        <v>67</v>
      </c>
      <c r="X1768" s="5" t="s">
        <v>67</v>
      </c>
      <c r="Y1768" s="4">
        <v>9</v>
      </c>
      <c r="Z1768" s="4">
        <v>5</v>
      </c>
      <c r="AA1768" s="4">
        <v>5</v>
      </c>
      <c r="AB1768" s="4">
        <v>1</v>
      </c>
      <c r="AC1768" s="4">
        <v>1</v>
      </c>
      <c r="AD1768" s="4">
        <v>5</v>
      </c>
      <c r="AE1768" s="4">
        <v>5</v>
      </c>
      <c r="AF1768" s="4">
        <v>0</v>
      </c>
      <c r="AG1768" s="4">
        <v>0</v>
      </c>
      <c r="AH1768" s="4">
        <v>4</v>
      </c>
      <c r="AI1768" s="4">
        <v>4</v>
      </c>
      <c r="AJ1768" s="4">
        <v>3</v>
      </c>
      <c r="AK1768" s="4">
        <v>3</v>
      </c>
      <c r="AL1768" s="4">
        <v>3</v>
      </c>
      <c r="AM1768" s="4">
        <v>3</v>
      </c>
      <c r="AN1768" s="4">
        <v>0</v>
      </c>
      <c r="AO1768" s="4">
        <v>0</v>
      </c>
      <c r="AP1768" s="4">
        <v>2</v>
      </c>
      <c r="AQ1768" s="4">
        <v>2</v>
      </c>
      <c r="AR1768" s="3" t="s">
        <v>61</v>
      </c>
      <c r="AS1768" s="3" t="s">
        <v>62</v>
      </c>
      <c r="AT1768" s="3" t="s">
        <v>62</v>
      </c>
      <c r="AV1768" s="6" t="str">
        <f>HYPERLINK("http://mcgill.on.worldcat.org/oclc/890512094","Catalog Record")</f>
        <v>Catalog Record</v>
      </c>
      <c r="AW1768" s="6" t="str">
        <f>HYPERLINK("http://www.worldcat.org/oclc/890512094","WorldCat Record")</f>
        <v>WorldCat Record</v>
      </c>
      <c r="AX1768" s="3" t="s">
        <v>17053</v>
      </c>
      <c r="AY1768" s="3" t="s">
        <v>17054</v>
      </c>
      <c r="AZ1768" s="3" t="s">
        <v>17055</v>
      </c>
      <c r="BA1768" s="3" t="s">
        <v>17055</v>
      </c>
      <c r="BB1768" s="3" t="s">
        <v>17056</v>
      </c>
      <c r="BC1768" s="3" t="s">
        <v>142</v>
      </c>
      <c r="BD1768" s="3" t="s">
        <v>68</v>
      </c>
      <c r="BE1768" s="3" t="s">
        <v>17057</v>
      </c>
      <c r="BF1768" s="3" t="s">
        <v>17056</v>
      </c>
      <c r="BG1768" s="3" t="s">
        <v>17058</v>
      </c>
    </row>
    <row r="1769" spans="1:59" ht="57" x14ac:dyDescent="0.45">
      <c r="A1769" s="2" t="s">
        <v>59</v>
      </c>
      <c r="B1769" s="2" t="s">
        <v>60</v>
      </c>
      <c r="C1769" s="2" t="s">
        <v>17059</v>
      </c>
      <c r="D1769" s="2" t="s">
        <v>17060</v>
      </c>
      <c r="E1769" s="2" t="s">
        <v>17061</v>
      </c>
      <c r="G1769" s="3" t="s">
        <v>62</v>
      </c>
      <c r="I1769" s="3" t="s">
        <v>61</v>
      </c>
      <c r="J1769" s="3" t="s">
        <v>62</v>
      </c>
      <c r="K1769" s="3" t="s">
        <v>63</v>
      </c>
      <c r="L1769" s="2" t="s">
        <v>13283</v>
      </c>
      <c r="M1769" s="2" t="s">
        <v>17062</v>
      </c>
      <c r="N1769" s="3" t="s">
        <v>958</v>
      </c>
      <c r="P1769" s="3" t="s">
        <v>65</v>
      </c>
      <c r="R1769" s="3" t="s">
        <v>66</v>
      </c>
      <c r="S1769" s="4">
        <v>45</v>
      </c>
      <c r="T1769" s="4">
        <v>82</v>
      </c>
      <c r="U1769" s="5" t="s">
        <v>17063</v>
      </c>
      <c r="V1769" s="5" t="s">
        <v>17063</v>
      </c>
      <c r="W1769" s="5" t="s">
        <v>67</v>
      </c>
      <c r="X1769" s="5" t="s">
        <v>67</v>
      </c>
      <c r="Y1769" s="4">
        <v>88</v>
      </c>
      <c r="Z1769" s="4">
        <v>78</v>
      </c>
      <c r="AA1769" s="4">
        <v>115</v>
      </c>
      <c r="AB1769" s="4">
        <v>4</v>
      </c>
      <c r="AC1769" s="4">
        <v>20</v>
      </c>
      <c r="AD1769" s="4">
        <v>41</v>
      </c>
      <c r="AE1769" s="4">
        <v>119</v>
      </c>
      <c r="AF1769" s="4">
        <v>1</v>
      </c>
      <c r="AG1769" s="4">
        <v>8</v>
      </c>
      <c r="AH1769" s="4">
        <v>16</v>
      </c>
      <c r="AI1769" s="4">
        <v>68</v>
      </c>
      <c r="AJ1769" s="4">
        <v>20</v>
      </c>
      <c r="AK1769" s="4">
        <v>27</v>
      </c>
      <c r="AL1769" s="4">
        <v>5</v>
      </c>
      <c r="AM1769" s="4">
        <v>37</v>
      </c>
      <c r="AN1769" s="4">
        <v>0</v>
      </c>
      <c r="AO1769" s="4">
        <v>0</v>
      </c>
      <c r="AP1769" s="4">
        <v>34</v>
      </c>
      <c r="AQ1769" s="4">
        <v>58</v>
      </c>
      <c r="AR1769" s="3" t="s">
        <v>61</v>
      </c>
      <c r="AS1769" s="3" t="s">
        <v>62</v>
      </c>
      <c r="AT1769" s="3" t="s">
        <v>62</v>
      </c>
      <c r="AV1769" s="6" t="str">
        <f>HYPERLINK("http://mcgill.on.worldcat.org/oclc/31781471","Catalog Record")</f>
        <v>Catalog Record</v>
      </c>
      <c r="AW1769" s="6" t="str">
        <f>HYPERLINK("http://www.worldcat.org/oclc/31781471","WorldCat Record")</f>
        <v>WorldCat Record</v>
      </c>
      <c r="AX1769" s="3" t="s">
        <v>17064</v>
      </c>
      <c r="AY1769" s="3" t="s">
        <v>17065</v>
      </c>
      <c r="AZ1769" s="3" t="s">
        <v>17066</v>
      </c>
      <c r="BA1769" s="3" t="s">
        <v>17066</v>
      </c>
      <c r="BB1769" s="3" t="s">
        <v>17067</v>
      </c>
      <c r="BC1769" s="3" t="s">
        <v>142</v>
      </c>
      <c r="BD1769" s="3" t="s">
        <v>308</v>
      </c>
      <c r="BE1769" s="3" t="s">
        <v>17068</v>
      </c>
      <c r="BF1769" s="3" t="s">
        <v>17067</v>
      </c>
      <c r="BG1769" s="3" t="s">
        <v>17069</v>
      </c>
    </row>
    <row r="1770" spans="1:59" ht="57" x14ac:dyDescent="0.45">
      <c r="A1770" s="2" t="s">
        <v>59</v>
      </c>
      <c r="B1770" s="2" t="s">
        <v>60</v>
      </c>
      <c r="C1770" s="2" t="s">
        <v>17059</v>
      </c>
      <c r="D1770" s="2" t="s">
        <v>17060</v>
      </c>
      <c r="E1770" s="2" t="s">
        <v>17061</v>
      </c>
      <c r="G1770" s="3" t="s">
        <v>62</v>
      </c>
      <c r="I1770" s="3" t="s">
        <v>61</v>
      </c>
      <c r="J1770" s="3" t="s">
        <v>62</v>
      </c>
      <c r="K1770" s="3" t="s">
        <v>63</v>
      </c>
      <c r="L1770" s="2" t="s">
        <v>13283</v>
      </c>
      <c r="M1770" s="2" t="s">
        <v>17062</v>
      </c>
      <c r="N1770" s="3" t="s">
        <v>958</v>
      </c>
      <c r="P1770" s="3" t="s">
        <v>65</v>
      </c>
      <c r="R1770" s="3" t="s">
        <v>66</v>
      </c>
      <c r="S1770" s="4">
        <v>37</v>
      </c>
      <c r="T1770" s="4">
        <v>82</v>
      </c>
      <c r="U1770" s="5" t="s">
        <v>12639</v>
      </c>
      <c r="V1770" s="5" t="s">
        <v>17063</v>
      </c>
      <c r="W1770" s="5" t="s">
        <v>67</v>
      </c>
      <c r="X1770" s="5" t="s">
        <v>67</v>
      </c>
      <c r="Y1770" s="4">
        <v>88</v>
      </c>
      <c r="Z1770" s="4">
        <v>78</v>
      </c>
      <c r="AA1770" s="4">
        <v>115</v>
      </c>
      <c r="AB1770" s="4">
        <v>4</v>
      </c>
      <c r="AC1770" s="4">
        <v>20</v>
      </c>
      <c r="AD1770" s="4">
        <v>41</v>
      </c>
      <c r="AE1770" s="4">
        <v>119</v>
      </c>
      <c r="AF1770" s="4">
        <v>1</v>
      </c>
      <c r="AG1770" s="4">
        <v>8</v>
      </c>
      <c r="AH1770" s="4">
        <v>16</v>
      </c>
      <c r="AI1770" s="4">
        <v>68</v>
      </c>
      <c r="AJ1770" s="4">
        <v>20</v>
      </c>
      <c r="AK1770" s="4">
        <v>27</v>
      </c>
      <c r="AL1770" s="4">
        <v>5</v>
      </c>
      <c r="AM1770" s="4">
        <v>37</v>
      </c>
      <c r="AN1770" s="4">
        <v>0</v>
      </c>
      <c r="AO1770" s="4">
        <v>0</v>
      </c>
      <c r="AP1770" s="4">
        <v>34</v>
      </c>
      <c r="AQ1770" s="4">
        <v>58</v>
      </c>
      <c r="AR1770" s="3" t="s">
        <v>61</v>
      </c>
      <c r="AS1770" s="3" t="s">
        <v>62</v>
      </c>
      <c r="AT1770" s="3" t="s">
        <v>62</v>
      </c>
      <c r="AV1770" s="6" t="str">
        <f>HYPERLINK("http://mcgill.on.worldcat.org/oclc/31781471","Catalog Record")</f>
        <v>Catalog Record</v>
      </c>
      <c r="AW1770" s="6" t="str">
        <f>HYPERLINK("http://www.worldcat.org/oclc/31781471","WorldCat Record")</f>
        <v>WorldCat Record</v>
      </c>
      <c r="AX1770" s="3" t="s">
        <v>17064</v>
      </c>
      <c r="AY1770" s="3" t="s">
        <v>17065</v>
      </c>
      <c r="AZ1770" s="3" t="s">
        <v>17066</v>
      </c>
      <c r="BA1770" s="3" t="s">
        <v>17066</v>
      </c>
      <c r="BB1770" s="3" t="s">
        <v>17070</v>
      </c>
      <c r="BC1770" s="3" t="s">
        <v>142</v>
      </c>
      <c r="BD1770" s="3" t="s">
        <v>68</v>
      </c>
      <c r="BE1770" s="3" t="s">
        <v>17068</v>
      </c>
      <c r="BF1770" s="3" t="s">
        <v>17070</v>
      </c>
      <c r="BG1770" s="3" t="s">
        <v>17071</v>
      </c>
    </row>
    <row r="1771" spans="1:59" ht="57" x14ac:dyDescent="0.45">
      <c r="A1771" s="2" t="s">
        <v>59</v>
      </c>
      <c r="B1771" s="2" t="s">
        <v>60</v>
      </c>
      <c r="C1771" s="2" t="s">
        <v>17072</v>
      </c>
      <c r="D1771" s="2" t="s">
        <v>17073</v>
      </c>
      <c r="E1771" s="2" t="s">
        <v>17074</v>
      </c>
      <c r="G1771" s="3" t="s">
        <v>62</v>
      </c>
      <c r="I1771" s="3" t="s">
        <v>62</v>
      </c>
      <c r="J1771" s="3" t="s">
        <v>62</v>
      </c>
      <c r="K1771" s="3" t="s">
        <v>63</v>
      </c>
      <c r="L1771" s="2" t="s">
        <v>17075</v>
      </c>
      <c r="M1771" s="2" t="s">
        <v>14794</v>
      </c>
      <c r="N1771" s="3" t="s">
        <v>195</v>
      </c>
      <c r="P1771" s="3" t="s">
        <v>65</v>
      </c>
      <c r="Q1771" s="2" t="s">
        <v>17076</v>
      </c>
      <c r="R1771" s="3" t="s">
        <v>66</v>
      </c>
      <c r="S1771" s="4">
        <v>30</v>
      </c>
      <c r="T1771" s="4">
        <v>30</v>
      </c>
      <c r="U1771" s="5" t="s">
        <v>16871</v>
      </c>
      <c r="V1771" s="5" t="s">
        <v>16871</v>
      </c>
      <c r="W1771" s="5" t="s">
        <v>67</v>
      </c>
      <c r="X1771" s="5" t="s">
        <v>67</v>
      </c>
      <c r="Y1771" s="4">
        <v>267</v>
      </c>
      <c r="Z1771" s="4">
        <v>19</v>
      </c>
      <c r="AA1771" s="4">
        <v>21</v>
      </c>
      <c r="AB1771" s="4">
        <v>2</v>
      </c>
      <c r="AC1771" s="4">
        <v>4</v>
      </c>
      <c r="AD1771" s="4">
        <v>101</v>
      </c>
      <c r="AE1771" s="4">
        <v>103</v>
      </c>
      <c r="AF1771" s="4">
        <v>1</v>
      </c>
      <c r="AG1771" s="4">
        <v>3</v>
      </c>
      <c r="AH1771" s="4">
        <v>93</v>
      </c>
      <c r="AI1771" s="4">
        <v>94</v>
      </c>
      <c r="AJ1771" s="4">
        <v>13</v>
      </c>
      <c r="AK1771" s="4">
        <v>15</v>
      </c>
      <c r="AL1771" s="4">
        <v>47</v>
      </c>
      <c r="AM1771" s="4">
        <v>47</v>
      </c>
      <c r="AN1771" s="4">
        <v>0</v>
      </c>
      <c r="AO1771" s="4">
        <v>0</v>
      </c>
      <c r="AP1771" s="4">
        <v>13</v>
      </c>
      <c r="AQ1771" s="4">
        <v>14</v>
      </c>
      <c r="AR1771" s="3" t="s">
        <v>62</v>
      </c>
      <c r="AS1771" s="3" t="s">
        <v>62</v>
      </c>
      <c r="AT1771" s="3" t="s">
        <v>61</v>
      </c>
      <c r="AU1771" s="6" t="str">
        <f>HYPERLINK("http://catalog.hathitrust.org/Record/002700641","HathiTrust Record")</f>
        <v>HathiTrust Record</v>
      </c>
      <c r="AV1771" s="6" t="str">
        <f>HYPERLINK("http://mcgill.on.worldcat.org/oclc/26764316","Catalog Record")</f>
        <v>Catalog Record</v>
      </c>
      <c r="AW1771" s="6" t="str">
        <f>HYPERLINK("http://www.worldcat.org/oclc/26764316","WorldCat Record")</f>
        <v>WorldCat Record</v>
      </c>
      <c r="AX1771" s="3" t="s">
        <v>17077</v>
      </c>
      <c r="AY1771" s="3" t="s">
        <v>17078</v>
      </c>
      <c r="AZ1771" s="3" t="s">
        <v>17079</v>
      </c>
      <c r="BA1771" s="3" t="s">
        <v>17079</v>
      </c>
      <c r="BB1771" s="3" t="s">
        <v>17080</v>
      </c>
      <c r="BC1771" s="3" t="s">
        <v>142</v>
      </c>
      <c r="BD1771" s="3" t="s">
        <v>68</v>
      </c>
      <c r="BE1771" s="3" t="s">
        <v>17081</v>
      </c>
      <c r="BF1771" s="3" t="s">
        <v>17080</v>
      </c>
      <c r="BG1771" s="3" t="s">
        <v>17082</v>
      </c>
    </row>
    <row r="1772" spans="1:59" ht="57" x14ac:dyDescent="0.45">
      <c r="A1772" s="2" t="s">
        <v>59</v>
      </c>
      <c r="B1772" s="2" t="s">
        <v>60</v>
      </c>
      <c r="C1772" s="2" t="s">
        <v>17083</v>
      </c>
      <c r="D1772" s="2" t="s">
        <v>17084</v>
      </c>
      <c r="E1772" s="2" t="s">
        <v>17085</v>
      </c>
      <c r="G1772" s="3" t="s">
        <v>62</v>
      </c>
      <c r="I1772" s="3" t="s">
        <v>62</v>
      </c>
      <c r="J1772" s="3" t="s">
        <v>62</v>
      </c>
      <c r="K1772" s="3" t="s">
        <v>63</v>
      </c>
      <c r="L1772" s="2" t="s">
        <v>17086</v>
      </c>
      <c r="M1772" s="2" t="s">
        <v>17087</v>
      </c>
      <c r="N1772" s="3" t="s">
        <v>149</v>
      </c>
      <c r="P1772" s="3" t="s">
        <v>110</v>
      </c>
      <c r="R1772" s="3" t="s">
        <v>66</v>
      </c>
      <c r="S1772" s="4">
        <v>1</v>
      </c>
      <c r="T1772" s="4">
        <v>1</v>
      </c>
      <c r="U1772" s="5" t="s">
        <v>17088</v>
      </c>
      <c r="V1772" s="5" t="s">
        <v>17088</v>
      </c>
      <c r="W1772" s="5" t="s">
        <v>67</v>
      </c>
      <c r="X1772" s="5" t="s">
        <v>67</v>
      </c>
      <c r="Y1772" s="4">
        <v>26</v>
      </c>
      <c r="Z1772" s="4">
        <v>20</v>
      </c>
      <c r="AA1772" s="4">
        <v>25</v>
      </c>
      <c r="AB1772" s="4">
        <v>12</v>
      </c>
      <c r="AC1772" s="4">
        <v>13</v>
      </c>
      <c r="AD1772" s="4">
        <v>10</v>
      </c>
      <c r="AE1772" s="4">
        <v>17</v>
      </c>
      <c r="AF1772" s="4">
        <v>5</v>
      </c>
      <c r="AG1772" s="4">
        <v>5</v>
      </c>
      <c r="AH1772" s="4">
        <v>3</v>
      </c>
      <c r="AI1772" s="4">
        <v>9</v>
      </c>
      <c r="AJ1772" s="4">
        <v>8</v>
      </c>
      <c r="AK1772" s="4">
        <v>11</v>
      </c>
      <c r="AL1772" s="4">
        <v>1</v>
      </c>
      <c r="AM1772" s="4">
        <v>4</v>
      </c>
      <c r="AN1772" s="4">
        <v>0</v>
      </c>
      <c r="AO1772" s="4">
        <v>0</v>
      </c>
      <c r="AP1772" s="4">
        <v>8</v>
      </c>
      <c r="AQ1772" s="4">
        <v>11</v>
      </c>
      <c r="AR1772" s="3" t="s">
        <v>61</v>
      </c>
      <c r="AS1772" s="3" t="s">
        <v>62</v>
      </c>
      <c r="AT1772" s="3" t="s">
        <v>62</v>
      </c>
      <c r="AV1772" s="6" t="str">
        <f>HYPERLINK("http://mcgill.on.worldcat.org/oclc/663714802","Catalog Record")</f>
        <v>Catalog Record</v>
      </c>
      <c r="AW1772" s="6" t="str">
        <f>HYPERLINK("http://www.worldcat.org/oclc/663714802","WorldCat Record")</f>
        <v>WorldCat Record</v>
      </c>
      <c r="AX1772" s="3" t="s">
        <v>17089</v>
      </c>
      <c r="AY1772" s="3" t="s">
        <v>17090</v>
      </c>
      <c r="AZ1772" s="3" t="s">
        <v>17091</v>
      </c>
      <c r="BA1772" s="3" t="s">
        <v>17091</v>
      </c>
      <c r="BB1772" s="3" t="s">
        <v>17092</v>
      </c>
      <c r="BC1772" s="3" t="s">
        <v>142</v>
      </c>
      <c r="BD1772" s="3" t="s">
        <v>68</v>
      </c>
      <c r="BE1772" s="3" t="s">
        <v>17093</v>
      </c>
      <c r="BF1772" s="3" t="s">
        <v>17092</v>
      </c>
      <c r="BG1772" s="3" t="s">
        <v>17094</v>
      </c>
    </row>
    <row r="1773" spans="1:59" ht="57" x14ac:dyDescent="0.45">
      <c r="A1773" s="2" t="s">
        <v>59</v>
      </c>
      <c r="B1773" s="2" t="s">
        <v>60</v>
      </c>
      <c r="C1773" s="2" t="s">
        <v>17095</v>
      </c>
      <c r="D1773" s="2" t="s">
        <v>17096</v>
      </c>
      <c r="E1773" s="2" t="s">
        <v>17097</v>
      </c>
      <c r="G1773" s="3" t="s">
        <v>62</v>
      </c>
      <c r="I1773" s="3" t="s">
        <v>62</v>
      </c>
      <c r="J1773" s="3" t="s">
        <v>62</v>
      </c>
      <c r="K1773" s="3" t="s">
        <v>63</v>
      </c>
      <c r="L1773" s="2" t="s">
        <v>17098</v>
      </c>
      <c r="M1773" s="2" t="s">
        <v>17099</v>
      </c>
      <c r="N1773" s="3" t="s">
        <v>1688</v>
      </c>
      <c r="P1773" s="3" t="s">
        <v>65</v>
      </c>
      <c r="R1773" s="3" t="s">
        <v>66</v>
      </c>
      <c r="S1773" s="4">
        <v>2</v>
      </c>
      <c r="T1773" s="4">
        <v>2</v>
      </c>
      <c r="U1773" s="5" t="s">
        <v>5537</v>
      </c>
      <c r="V1773" s="5" t="s">
        <v>5537</v>
      </c>
      <c r="W1773" s="5" t="s">
        <v>67</v>
      </c>
      <c r="X1773" s="5" t="s">
        <v>67</v>
      </c>
      <c r="Y1773" s="4">
        <v>185</v>
      </c>
      <c r="Z1773" s="4">
        <v>46</v>
      </c>
      <c r="AA1773" s="4">
        <v>114</v>
      </c>
      <c r="AB1773" s="4">
        <v>4</v>
      </c>
      <c r="AC1773" s="4">
        <v>18</v>
      </c>
      <c r="AD1773" s="4">
        <v>79</v>
      </c>
      <c r="AE1773" s="4">
        <v>127</v>
      </c>
      <c r="AF1773" s="4">
        <v>2</v>
      </c>
      <c r="AG1773" s="4">
        <v>8</v>
      </c>
      <c r="AH1773" s="4">
        <v>63</v>
      </c>
      <c r="AI1773" s="4">
        <v>83</v>
      </c>
      <c r="AJ1773" s="4">
        <v>19</v>
      </c>
      <c r="AK1773" s="4">
        <v>29</v>
      </c>
      <c r="AL1773" s="4">
        <v>36</v>
      </c>
      <c r="AM1773" s="4">
        <v>44</v>
      </c>
      <c r="AN1773" s="4">
        <v>0</v>
      </c>
      <c r="AO1773" s="4">
        <v>0</v>
      </c>
      <c r="AP1773" s="4">
        <v>24</v>
      </c>
      <c r="AQ1773" s="4">
        <v>54</v>
      </c>
      <c r="AR1773" s="3" t="s">
        <v>61</v>
      </c>
      <c r="AS1773" s="3" t="s">
        <v>62</v>
      </c>
      <c r="AT1773" s="3" t="s">
        <v>62</v>
      </c>
      <c r="AV1773" s="6" t="str">
        <f>HYPERLINK("http://mcgill.on.worldcat.org/oclc/865495451","Catalog Record")</f>
        <v>Catalog Record</v>
      </c>
      <c r="AW1773" s="6" t="str">
        <f>HYPERLINK("http://www.worldcat.org/oclc/865495451","WorldCat Record")</f>
        <v>WorldCat Record</v>
      </c>
      <c r="AX1773" s="3" t="s">
        <v>17100</v>
      </c>
      <c r="AY1773" s="3" t="s">
        <v>17101</v>
      </c>
      <c r="AZ1773" s="3" t="s">
        <v>17102</v>
      </c>
      <c r="BA1773" s="3" t="s">
        <v>17102</v>
      </c>
      <c r="BB1773" s="3" t="s">
        <v>17103</v>
      </c>
      <c r="BC1773" s="3" t="s">
        <v>142</v>
      </c>
      <c r="BD1773" s="3" t="s">
        <v>68</v>
      </c>
      <c r="BE1773" s="3" t="s">
        <v>17104</v>
      </c>
      <c r="BF1773" s="3" t="s">
        <v>17103</v>
      </c>
      <c r="BG1773" s="3" t="s">
        <v>17105</v>
      </c>
    </row>
    <row r="1774" spans="1:59" ht="57" x14ac:dyDescent="0.45">
      <c r="A1774" s="2" t="s">
        <v>59</v>
      </c>
      <c r="B1774" s="2" t="s">
        <v>60</v>
      </c>
      <c r="C1774" s="2" t="s">
        <v>17106</v>
      </c>
      <c r="D1774" s="2" t="s">
        <v>17107</v>
      </c>
      <c r="E1774" s="2" t="s">
        <v>17108</v>
      </c>
      <c r="G1774" s="3" t="s">
        <v>62</v>
      </c>
      <c r="I1774" s="3" t="s">
        <v>61</v>
      </c>
      <c r="J1774" s="3" t="s">
        <v>62</v>
      </c>
      <c r="K1774" s="3" t="s">
        <v>63</v>
      </c>
      <c r="M1774" s="2" t="s">
        <v>17109</v>
      </c>
      <c r="N1774" s="3" t="s">
        <v>1918</v>
      </c>
      <c r="P1774" s="3" t="s">
        <v>65</v>
      </c>
      <c r="R1774" s="3" t="s">
        <v>66</v>
      </c>
      <c r="S1774" s="4">
        <v>1</v>
      </c>
      <c r="T1774" s="4">
        <v>2</v>
      </c>
      <c r="V1774" s="5" t="s">
        <v>17110</v>
      </c>
      <c r="W1774" s="5" t="s">
        <v>67</v>
      </c>
      <c r="X1774" s="5" t="s">
        <v>2621</v>
      </c>
      <c r="Y1774" s="4">
        <v>106</v>
      </c>
      <c r="Z1774" s="4">
        <v>14</v>
      </c>
      <c r="AA1774" s="4">
        <v>15</v>
      </c>
      <c r="AB1774" s="4">
        <v>3</v>
      </c>
      <c r="AC1774" s="4">
        <v>4</v>
      </c>
      <c r="AD1774" s="4">
        <v>52</v>
      </c>
      <c r="AE1774" s="4">
        <v>53</v>
      </c>
      <c r="AF1774" s="4">
        <v>1</v>
      </c>
      <c r="AG1774" s="4">
        <v>2</v>
      </c>
      <c r="AH1774" s="4">
        <v>48</v>
      </c>
      <c r="AI1774" s="4">
        <v>48</v>
      </c>
      <c r="AJ1774" s="4">
        <v>12</v>
      </c>
      <c r="AK1774" s="4">
        <v>13</v>
      </c>
      <c r="AL1774" s="4">
        <v>27</v>
      </c>
      <c r="AM1774" s="4">
        <v>27</v>
      </c>
      <c r="AN1774" s="4">
        <v>0</v>
      </c>
      <c r="AO1774" s="4">
        <v>0</v>
      </c>
      <c r="AP1774" s="4">
        <v>12</v>
      </c>
      <c r="AQ1774" s="4">
        <v>12</v>
      </c>
      <c r="AR1774" s="3" t="s">
        <v>62</v>
      </c>
      <c r="AS1774" s="3" t="s">
        <v>62</v>
      </c>
      <c r="AT1774" s="3" t="s">
        <v>62</v>
      </c>
      <c r="AV1774" s="6" t="str">
        <f>HYPERLINK("http://mcgill.on.worldcat.org/oclc/974443820","Catalog Record")</f>
        <v>Catalog Record</v>
      </c>
      <c r="AW1774" s="6" t="str">
        <f>HYPERLINK("http://www.worldcat.org/oclc/974443820","WorldCat Record")</f>
        <v>WorldCat Record</v>
      </c>
      <c r="AX1774" s="3" t="s">
        <v>17111</v>
      </c>
      <c r="AY1774" s="3" t="s">
        <v>17112</v>
      </c>
      <c r="AZ1774" s="3" t="s">
        <v>17113</v>
      </c>
      <c r="BA1774" s="3" t="s">
        <v>17113</v>
      </c>
      <c r="BB1774" s="3" t="s">
        <v>17114</v>
      </c>
      <c r="BC1774" s="3" t="s">
        <v>142</v>
      </c>
      <c r="BD1774" s="3" t="s">
        <v>308</v>
      </c>
      <c r="BE1774" s="3" t="s">
        <v>17115</v>
      </c>
      <c r="BF1774" s="3" t="s">
        <v>17114</v>
      </c>
      <c r="BG1774" s="3" t="s">
        <v>17116</v>
      </c>
    </row>
    <row r="1775" spans="1:59" ht="57" x14ac:dyDescent="0.45">
      <c r="A1775" s="2" t="s">
        <v>59</v>
      </c>
      <c r="B1775" s="2" t="s">
        <v>60</v>
      </c>
      <c r="C1775" s="2" t="s">
        <v>17117</v>
      </c>
      <c r="D1775" s="2" t="s">
        <v>17107</v>
      </c>
      <c r="E1775" s="2" t="s">
        <v>17108</v>
      </c>
      <c r="G1775" s="3" t="s">
        <v>62</v>
      </c>
      <c r="I1775" s="3" t="s">
        <v>61</v>
      </c>
      <c r="J1775" s="3" t="s">
        <v>62</v>
      </c>
      <c r="K1775" s="3" t="s">
        <v>63</v>
      </c>
      <c r="M1775" s="2" t="s">
        <v>17109</v>
      </c>
      <c r="N1775" s="3" t="s">
        <v>1918</v>
      </c>
      <c r="P1775" s="3" t="s">
        <v>65</v>
      </c>
      <c r="R1775" s="3" t="s">
        <v>66</v>
      </c>
      <c r="S1775" s="4">
        <v>1</v>
      </c>
      <c r="T1775" s="4">
        <v>2</v>
      </c>
      <c r="U1775" s="5" t="s">
        <v>17110</v>
      </c>
      <c r="V1775" s="5" t="s">
        <v>17110</v>
      </c>
      <c r="W1775" s="5" t="s">
        <v>2621</v>
      </c>
      <c r="X1775" s="5" t="s">
        <v>2621</v>
      </c>
      <c r="Y1775" s="4">
        <v>106</v>
      </c>
      <c r="Z1775" s="4">
        <v>14</v>
      </c>
      <c r="AA1775" s="4">
        <v>15</v>
      </c>
      <c r="AB1775" s="4">
        <v>3</v>
      </c>
      <c r="AC1775" s="4">
        <v>4</v>
      </c>
      <c r="AD1775" s="4">
        <v>52</v>
      </c>
      <c r="AE1775" s="4">
        <v>53</v>
      </c>
      <c r="AF1775" s="4">
        <v>1</v>
      </c>
      <c r="AG1775" s="4">
        <v>2</v>
      </c>
      <c r="AH1775" s="4">
        <v>48</v>
      </c>
      <c r="AI1775" s="4">
        <v>48</v>
      </c>
      <c r="AJ1775" s="4">
        <v>12</v>
      </c>
      <c r="AK1775" s="4">
        <v>13</v>
      </c>
      <c r="AL1775" s="4">
        <v>27</v>
      </c>
      <c r="AM1775" s="4">
        <v>27</v>
      </c>
      <c r="AN1775" s="4">
        <v>0</v>
      </c>
      <c r="AO1775" s="4">
        <v>0</v>
      </c>
      <c r="AP1775" s="4">
        <v>12</v>
      </c>
      <c r="AQ1775" s="4">
        <v>12</v>
      </c>
      <c r="AR1775" s="3" t="s">
        <v>62</v>
      </c>
      <c r="AS1775" s="3" t="s">
        <v>62</v>
      </c>
      <c r="AT1775" s="3" t="s">
        <v>62</v>
      </c>
      <c r="AV1775" s="6" t="str">
        <f>HYPERLINK("http://mcgill.on.worldcat.org/oclc/974443820","Catalog Record")</f>
        <v>Catalog Record</v>
      </c>
      <c r="AW1775" s="6" t="str">
        <f>HYPERLINK("http://www.worldcat.org/oclc/974443820","WorldCat Record")</f>
        <v>WorldCat Record</v>
      </c>
      <c r="AX1775" s="3" t="s">
        <v>17111</v>
      </c>
      <c r="AY1775" s="3" t="s">
        <v>17112</v>
      </c>
      <c r="AZ1775" s="3" t="s">
        <v>17113</v>
      </c>
      <c r="BA1775" s="3" t="s">
        <v>17113</v>
      </c>
      <c r="BB1775" s="3" t="s">
        <v>17118</v>
      </c>
      <c r="BC1775" s="3" t="s">
        <v>142</v>
      </c>
      <c r="BD1775" s="3" t="s">
        <v>68</v>
      </c>
      <c r="BE1775" s="3" t="s">
        <v>17115</v>
      </c>
      <c r="BF1775" s="3" t="s">
        <v>17118</v>
      </c>
      <c r="BG1775" s="3" t="s">
        <v>17119</v>
      </c>
    </row>
    <row r="1776" spans="1:59" ht="57" x14ac:dyDescent="0.45">
      <c r="A1776" s="2" t="s">
        <v>59</v>
      </c>
      <c r="B1776" s="2" t="s">
        <v>60</v>
      </c>
      <c r="C1776" s="2" t="s">
        <v>17120</v>
      </c>
      <c r="D1776" s="2" t="s">
        <v>17121</v>
      </c>
      <c r="E1776" s="2" t="s">
        <v>17122</v>
      </c>
      <c r="G1776" s="3" t="s">
        <v>62</v>
      </c>
      <c r="I1776" s="3" t="s">
        <v>61</v>
      </c>
      <c r="J1776" s="3" t="s">
        <v>62</v>
      </c>
      <c r="K1776" s="3" t="s">
        <v>63</v>
      </c>
      <c r="L1776" s="2" t="s">
        <v>17123</v>
      </c>
      <c r="M1776" s="2" t="s">
        <v>17124</v>
      </c>
      <c r="N1776" s="3" t="s">
        <v>220</v>
      </c>
      <c r="P1776" s="3" t="s">
        <v>65</v>
      </c>
      <c r="R1776" s="3" t="s">
        <v>66</v>
      </c>
      <c r="S1776" s="4">
        <v>7</v>
      </c>
      <c r="T1776" s="4">
        <v>15</v>
      </c>
      <c r="U1776" s="5" t="s">
        <v>17125</v>
      </c>
      <c r="V1776" s="5" t="s">
        <v>13146</v>
      </c>
      <c r="W1776" s="5" t="s">
        <v>67</v>
      </c>
      <c r="X1776" s="5" t="s">
        <v>67</v>
      </c>
      <c r="Y1776" s="4">
        <v>716</v>
      </c>
      <c r="Z1776" s="4">
        <v>87</v>
      </c>
      <c r="AA1776" s="4">
        <v>112</v>
      </c>
      <c r="AB1776" s="4">
        <v>5</v>
      </c>
      <c r="AC1776" s="4">
        <v>15</v>
      </c>
      <c r="AD1776" s="4">
        <v>142</v>
      </c>
      <c r="AE1776" s="4">
        <v>151</v>
      </c>
      <c r="AF1776" s="4">
        <v>2</v>
      </c>
      <c r="AG1776" s="4">
        <v>7</v>
      </c>
      <c r="AH1776" s="4">
        <v>103</v>
      </c>
      <c r="AI1776" s="4">
        <v>104</v>
      </c>
      <c r="AJ1776" s="4">
        <v>24</v>
      </c>
      <c r="AK1776" s="4">
        <v>29</v>
      </c>
      <c r="AL1776" s="4">
        <v>57</v>
      </c>
      <c r="AM1776" s="4">
        <v>57</v>
      </c>
      <c r="AN1776" s="4">
        <v>0</v>
      </c>
      <c r="AO1776" s="4">
        <v>0</v>
      </c>
      <c r="AP1776" s="4">
        <v>46</v>
      </c>
      <c r="AQ1776" s="4">
        <v>54</v>
      </c>
      <c r="AR1776" s="3" t="s">
        <v>61</v>
      </c>
      <c r="AS1776" s="3" t="s">
        <v>62</v>
      </c>
      <c r="AT1776" s="3" t="s">
        <v>62</v>
      </c>
      <c r="AV1776" s="6" t="str">
        <f>HYPERLINK("http://mcgill.on.worldcat.org/oclc/127028","Catalog Record")</f>
        <v>Catalog Record</v>
      </c>
      <c r="AW1776" s="6" t="str">
        <f>HYPERLINK("http://www.worldcat.org/oclc/127028","WorldCat Record")</f>
        <v>WorldCat Record</v>
      </c>
      <c r="AX1776" s="3" t="s">
        <v>17126</v>
      </c>
      <c r="AY1776" s="3" t="s">
        <v>17127</v>
      </c>
      <c r="AZ1776" s="3" t="s">
        <v>17128</v>
      </c>
      <c r="BA1776" s="3" t="s">
        <v>17128</v>
      </c>
      <c r="BB1776" s="3" t="s">
        <v>17129</v>
      </c>
      <c r="BC1776" s="3" t="s">
        <v>142</v>
      </c>
      <c r="BD1776" s="3" t="s">
        <v>308</v>
      </c>
      <c r="BE1776" s="3" t="s">
        <v>17130</v>
      </c>
      <c r="BF1776" s="3" t="s">
        <v>17129</v>
      </c>
      <c r="BG1776" s="3" t="s">
        <v>17131</v>
      </c>
    </row>
    <row r="1777" spans="1:59" ht="57" x14ac:dyDescent="0.45">
      <c r="A1777" s="2" t="s">
        <v>59</v>
      </c>
      <c r="B1777" s="2" t="s">
        <v>60</v>
      </c>
      <c r="C1777" s="2" t="s">
        <v>17120</v>
      </c>
      <c r="D1777" s="2" t="s">
        <v>17121</v>
      </c>
      <c r="E1777" s="2" t="s">
        <v>17122</v>
      </c>
      <c r="G1777" s="3" t="s">
        <v>62</v>
      </c>
      <c r="I1777" s="3" t="s">
        <v>61</v>
      </c>
      <c r="J1777" s="3" t="s">
        <v>62</v>
      </c>
      <c r="K1777" s="3" t="s">
        <v>63</v>
      </c>
      <c r="L1777" s="2" t="s">
        <v>17123</v>
      </c>
      <c r="M1777" s="2" t="s">
        <v>17124</v>
      </c>
      <c r="N1777" s="3" t="s">
        <v>220</v>
      </c>
      <c r="P1777" s="3" t="s">
        <v>65</v>
      </c>
      <c r="R1777" s="3" t="s">
        <v>66</v>
      </c>
      <c r="S1777" s="4">
        <v>5</v>
      </c>
      <c r="T1777" s="4">
        <v>15</v>
      </c>
      <c r="U1777" s="5" t="s">
        <v>17132</v>
      </c>
      <c r="V1777" s="5" t="s">
        <v>13146</v>
      </c>
      <c r="W1777" s="5" t="s">
        <v>67</v>
      </c>
      <c r="X1777" s="5" t="s">
        <v>67</v>
      </c>
      <c r="Y1777" s="4">
        <v>716</v>
      </c>
      <c r="Z1777" s="4">
        <v>87</v>
      </c>
      <c r="AA1777" s="4">
        <v>112</v>
      </c>
      <c r="AB1777" s="4">
        <v>5</v>
      </c>
      <c r="AC1777" s="4">
        <v>15</v>
      </c>
      <c r="AD1777" s="4">
        <v>142</v>
      </c>
      <c r="AE1777" s="4">
        <v>151</v>
      </c>
      <c r="AF1777" s="4">
        <v>2</v>
      </c>
      <c r="AG1777" s="4">
        <v>7</v>
      </c>
      <c r="AH1777" s="4">
        <v>103</v>
      </c>
      <c r="AI1777" s="4">
        <v>104</v>
      </c>
      <c r="AJ1777" s="4">
        <v>24</v>
      </c>
      <c r="AK1777" s="4">
        <v>29</v>
      </c>
      <c r="AL1777" s="4">
        <v>57</v>
      </c>
      <c r="AM1777" s="4">
        <v>57</v>
      </c>
      <c r="AN1777" s="4">
        <v>0</v>
      </c>
      <c r="AO1777" s="4">
        <v>0</v>
      </c>
      <c r="AP1777" s="4">
        <v>46</v>
      </c>
      <c r="AQ1777" s="4">
        <v>54</v>
      </c>
      <c r="AR1777" s="3" t="s">
        <v>61</v>
      </c>
      <c r="AS1777" s="3" t="s">
        <v>62</v>
      </c>
      <c r="AT1777" s="3" t="s">
        <v>62</v>
      </c>
      <c r="AV1777" s="6" t="str">
        <f>HYPERLINK("http://mcgill.on.worldcat.org/oclc/127028","Catalog Record")</f>
        <v>Catalog Record</v>
      </c>
      <c r="AW1777" s="6" t="str">
        <f>HYPERLINK("http://www.worldcat.org/oclc/127028","WorldCat Record")</f>
        <v>WorldCat Record</v>
      </c>
      <c r="AX1777" s="3" t="s">
        <v>17126</v>
      </c>
      <c r="AY1777" s="3" t="s">
        <v>17127</v>
      </c>
      <c r="AZ1777" s="3" t="s">
        <v>17128</v>
      </c>
      <c r="BA1777" s="3" t="s">
        <v>17128</v>
      </c>
      <c r="BB1777" s="3" t="s">
        <v>17133</v>
      </c>
      <c r="BC1777" s="3" t="s">
        <v>142</v>
      </c>
      <c r="BD1777" s="3" t="s">
        <v>68</v>
      </c>
      <c r="BE1777" s="3" t="s">
        <v>17130</v>
      </c>
      <c r="BF1777" s="3" t="s">
        <v>17133</v>
      </c>
      <c r="BG1777" s="3" t="s">
        <v>17134</v>
      </c>
    </row>
    <row r="1778" spans="1:59" ht="57" x14ac:dyDescent="0.45">
      <c r="A1778" s="2" t="s">
        <v>59</v>
      </c>
      <c r="B1778" s="2" t="s">
        <v>60</v>
      </c>
      <c r="C1778" s="2" t="s">
        <v>17120</v>
      </c>
      <c r="D1778" s="2" t="s">
        <v>17121</v>
      </c>
      <c r="E1778" s="2" t="s">
        <v>17122</v>
      </c>
      <c r="G1778" s="3" t="s">
        <v>62</v>
      </c>
      <c r="I1778" s="3" t="s">
        <v>61</v>
      </c>
      <c r="J1778" s="3" t="s">
        <v>62</v>
      </c>
      <c r="K1778" s="3" t="s">
        <v>63</v>
      </c>
      <c r="L1778" s="2" t="s">
        <v>17123</v>
      </c>
      <c r="M1778" s="2" t="s">
        <v>17124</v>
      </c>
      <c r="N1778" s="3" t="s">
        <v>220</v>
      </c>
      <c r="P1778" s="3" t="s">
        <v>65</v>
      </c>
      <c r="R1778" s="3" t="s">
        <v>66</v>
      </c>
      <c r="S1778" s="4">
        <v>3</v>
      </c>
      <c r="T1778" s="4">
        <v>15</v>
      </c>
      <c r="U1778" s="5" t="s">
        <v>13146</v>
      </c>
      <c r="V1778" s="5" t="s">
        <v>13146</v>
      </c>
      <c r="W1778" s="5" t="s">
        <v>67</v>
      </c>
      <c r="X1778" s="5" t="s">
        <v>67</v>
      </c>
      <c r="Y1778" s="4">
        <v>716</v>
      </c>
      <c r="Z1778" s="4">
        <v>87</v>
      </c>
      <c r="AA1778" s="4">
        <v>112</v>
      </c>
      <c r="AB1778" s="4">
        <v>5</v>
      </c>
      <c r="AC1778" s="4">
        <v>15</v>
      </c>
      <c r="AD1778" s="4">
        <v>142</v>
      </c>
      <c r="AE1778" s="4">
        <v>151</v>
      </c>
      <c r="AF1778" s="4">
        <v>2</v>
      </c>
      <c r="AG1778" s="4">
        <v>7</v>
      </c>
      <c r="AH1778" s="4">
        <v>103</v>
      </c>
      <c r="AI1778" s="4">
        <v>104</v>
      </c>
      <c r="AJ1778" s="4">
        <v>24</v>
      </c>
      <c r="AK1778" s="4">
        <v>29</v>
      </c>
      <c r="AL1778" s="4">
        <v>57</v>
      </c>
      <c r="AM1778" s="4">
        <v>57</v>
      </c>
      <c r="AN1778" s="4">
        <v>0</v>
      </c>
      <c r="AO1778" s="4">
        <v>0</v>
      </c>
      <c r="AP1778" s="4">
        <v>46</v>
      </c>
      <c r="AQ1778" s="4">
        <v>54</v>
      </c>
      <c r="AR1778" s="3" t="s">
        <v>61</v>
      </c>
      <c r="AS1778" s="3" t="s">
        <v>62</v>
      </c>
      <c r="AT1778" s="3" t="s">
        <v>62</v>
      </c>
      <c r="AV1778" s="6" t="str">
        <f>HYPERLINK("http://mcgill.on.worldcat.org/oclc/127028","Catalog Record")</f>
        <v>Catalog Record</v>
      </c>
      <c r="AW1778" s="6" t="str">
        <f>HYPERLINK("http://www.worldcat.org/oclc/127028","WorldCat Record")</f>
        <v>WorldCat Record</v>
      </c>
      <c r="AX1778" s="3" t="s">
        <v>17126</v>
      </c>
      <c r="AY1778" s="3" t="s">
        <v>17127</v>
      </c>
      <c r="AZ1778" s="3" t="s">
        <v>17128</v>
      </c>
      <c r="BA1778" s="3" t="s">
        <v>17128</v>
      </c>
      <c r="BB1778" s="3" t="s">
        <v>17135</v>
      </c>
      <c r="BC1778" s="3" t="s">
        <v>142</v>
      </c>
      <c r="BD1778" s="3" t="s">
        <v>68</v>
      </c>
      <c r="BE1778" s="3" t="s">
        <v>17130</v>
      </c>
      <c r="BF1778" s="3" t="s">
        <v>17135</v>
      </c>
      <c r="BG1778" s="3" t="s">
        <v>17136</v>
      </c>
    </row>
    <row r="1779" spans="1:59" ht="57" x14ac:dyDescent="0.45">
      <c r="A1779" s="2" t="s">
        <v>59</v>
      </c>
      <c r="B1779" s="2" t="s">
        <v>60</v>
      </c>
      <c r="C1779" s="2" t="s">
        <v>17137</v>
      </c>
      <c r="D1779" s="2" t="s">
        <v>17138</v>
      </c>
      <c r="E1779" s="2" t="s">
        <v>17139</v>
      </c>
      <c r="G1779" s="3" t="s">
        <v>62</v>
      </c>
      <c r="I1779" s="3" t="s">
        <v>62</v>
      </c>
      <c r="J1779" s="3" t="s">
        <v>62</v>
      </c>
      <c r="K1779" s="3" t="s">
        <v>63</v>
      </c>
      <c r="M1779" s="2" t="s">
        <v>13251</v>
      </c>
      <c r="N1779" s="3" t="s">
        <v>149</v>
      </c>
      <c r="P1779" s="3" t="s">
        <v>65</v>
      </c>
      <c r="R1779" s="3" t="s">
        <v>66</v>
      </c>
      <c r="S1779" s="4">
        <v>4</v>
      </c>
      <c r="T1779" s="4">
        <v>4</v>
      </c>
      <c r="U1779" s="5" t="s">
        <v>2788</v>
      </c>
      <c r="V1779" s="5" t="s">
        <v>2788</v>
      </c>
      <c r="W1779" s="5" t="s">
        <v>67</v>
      </c>
      <c r="X1779" s="5" t="s">
        <v>67</v>
      </c>
      <c r="Y1779" s="4">
        <v>183</v>
      </c>
      <c r="Z1779" s="4">
        <v>25</v>
      </c>
      <c r="AA1779" s="4">
        <v>27</v>
      </c>
      <c r="AB1779" s="4">
        <v>2</v>
      </c>
      <c r="AC1779" s="4">
        <v>4</v>
      </c>
      <c r="AD1779" s="4">
        <v>79</v>
      </c>
      <c r="AE1779" s="4">
        <v>81</v>
      </c>
      <c r="AF1779" s="4">
        <v>1</v>
      </c>
      <c r="AG1779" s="4">
        <v>3</v>
      </c>
      <c r="AH1779" s="4">
        <v>69</v>
      </c>
      <c r="AI1779" s="4">
        <v>70</v>
      </c>
      <c r="AJ1779" s="4">
        <v>16</v>
      </c>
      <c r="AK1779" s="4">
        <v>17</v>
      </c>
      <c r="AL1779" s="4">
        <v>37</v>
      </c>
      <c r="AM1779" s="4">
        <v>37</v>
      </c>
      <c r="AN1779" s="4">
        <v>0</v>
      </c>
      <c r="AO1779" s="4">
        <v>0</v>
      </c>
      <c r="AP1779" s="4">
        <v>21</v>
      </c>
      <c r="AQ1779" s="4">
        <v>23</v>
      </c>
      <c r="AR1779" s="3" t="s">
        <v>62</v>
      </c>
      <c r="AS1779" s="3" t="s">
        <v>62</v>
      </c>
      <c r="AT1779" s="3" t="s">
        <v>62</v>
      </c>
      <c r="AV1779" s="6" t="str">
        <f>HYPERLINK("http://mcgill.on.worldcat.org/oclc/642624617","Catalog Record")</f>
        <v>Catalog Record</v>
      </c>
      <c r="AW1779" s="6" t="str">
        <f>HYPERLINK("http://www.worldcat.org/oclc/642624617","WorldCat Record")</f>
        <v>WorldCat Record</v>
      </c>
      <c r="AX1779" s="3" t="s">
        <v>17140</v>
      </c>
      <c r="AY1779" s="3" t="s">
        <v>17141</v>
      </c>
      <c r="AZ1779" s="3" t="s">
        <v>17142</v>
      </c>
      <c r="BA1779" s="3" t="s">
        <v>17142</v>
      </c>
      <c r="BB1779" s="3" t="s">
        <v>17143</v>
      </c>
      <c r="BC1779" s="3" t="s">
        <v>142</v>
      </c>
      <c r="BD1779" s="3" t="s">
        <v>68</v>
      </c>
      <c r="BE1779" s="3" t="s">
        <v>17144</v>
      </c>
      <c r="BF1779" s="3" t="s">
        <v>17143</v>
      </c>
      <c r="BG1779" s="3" t="s">
        <v>17145</v>
      </c>
    </row>
    <row r="1780" spans="1:59" ht="57" x14ac:dyDescent="0.45">
      <c r="A1780" s="2" t="s">
        <v>59</v>
      </c>
      <c r="B1780" s="2" t="s">
        <v>60</v>
      </c>
      <c r="C1780" s="2" t="s">
        <v>17146</v>
      </c>
      <c r="D1780" s="2" t="s">
        <v>17147</v>
      </c>
      <c r="E1780" s="2" t="s">
        <v>17148</v>
      </c>
      <c r="G1780" s="3" t="s">
        <v>62</v>
      </c>
      <c r="I1780" s="3" t="s">
        <v>61</v>
      </c>
      <c r="J1780" s="3" t="s">
        <v>62</v>
      </c>
      <c r="K1780" s="3" t="s">
        <v>63</v>
      </c>
      <c r="L1780" s="2" t="s">
        <v>17149</v>
      </c>
      <c r="M1780" s="2" t="s">
        <v>17150</v>
      </c>
      <c r="N1780" s="3" t="s">
        <v>1478</v>
      </c>
      <c r="P1780" s="3" t="s">
        <v>65</v>
      </c>
      <c r="Q1780" s="2" t="s">
        <v>17151</v>
      </c>
      <c r="R1780" s="3" t="s">
        <v>66</v>
      </c>
      <c r="S1780" s="4">
        <v>19</v>
      </c>
      <c r="T1780" s="4">
        <v>36</v>
      </c>
      <c r="U1780" s="5" t="s">
        <v>16963</v>
      </c>
      <c r="V1780" s="5" t="s">
        <v>6466</v>
      </c>
      <c r="W1780" s="5" t="s">
        <v>67</v>
      </c>
      <c r="X1780" s="5" t="s">
        <v>67</v>
      </c>
      <c r="Y1780" s="4">
        <v>321</v>
      </c>
      <c r="Z1780" s="4">
        <v>51</v>
      </c>
      <c r="AA1780" s="4">
        <v>125</v>
      </c>
      <c r="AB1780" s="4">
        <v>2</v>
      </c>
      <c r="AC1780" s="4">
        <v>21</v>
      </c>
      <c r="AD1780" s="4">
        <v>121</v>
      </c>
      <c r="AE1780" s="4">
        <v>159</v>
      </c>
      <c r="AF1780" s="4">
        <v>1</v>
      </c>
      <c r="AG1780" s="4">
        <v>9</v>
      </c>
      <c r="AH1780" s="4">
        <v>98</v>
      </c>
      <c r="AI1780" s="4">
        <v>110</v>
      </c>
      <c r="AJ1780" s="4">
        <v>23</v>
      </c>
      <c r="AK1780" s="4">
        <v>29</v>
      </c>
      <c r="AL1780" s="4">
        <v>53</v>
      </c>
      <c r="AM1780" s="4">
        <v>56</v>
      </c>
      <c r="AN1780" s="4">
        <v>0</v>
      </c>
      <c r="AO1780" s="4">
        <v>0</v>
      </c>
      <c r="AP1780" s="4">
        <v>32</v>
      </c>
      <c r="AQ1780" s="4">
        <v>58</v>
      </c>
      <c r="AR1780" s="3" t="s">
        <v>61</v>
      </c>
      <c r="AS1780" s="3" t="s">
        <v>62</v>
      </c>
      <c r="AT1780" s="3" t="s">
        <v>61</v>
      </c>
      <c r="AU1780" s="6" t="str">
        <f>HYPERLINK("http://catalog.hathitrust.org/Record/003073886","HathiTrust Record")</f>
        <v>HathiTrust Record</v>
      </c>
      <c r="AV1780" s="6" t="str">
        <f>HYPERLINK("http://mcgill.on.worldcat.org/oclc/34952668","Catalog Record")</f>
        <v>Catalog Record</v>
      </c>
      <c r="AW1780" s="6" t="str">
        <f>HYPERLINK("http://www.worldcat.org/oclc/34952668","WorldCat Record")</f>
        <v>WorldCat Record</v>
      </c>
      <c r="AX1780" s="3" t="s">
        <v>17152</v>
      </c>
      <c r="AY1780" s="3" t="s">
        <v>17153</v>
      </c>
      <c r="AZ1780" s="3" t="s">
        <v>17154</v>
      </c>
      <c r="BA1780" s="3" t="s">
        <v>17154</v>
      </c>
      <c r="BB1780" s="3" t="s">
        <v>17155</v>
      </c>
      <c r="BC1780" s="3" t="s">
        <v>142</v>
      </c>
      <c r="BD1780" s="3" t="s">
        <v>68</v>
      </c>
      <c r="BE1780" s="3" t="s">
        <v>17156</v>
      </c>
      <c r="BF1780" s="3" t="s">
        <v>17155</v>
      </c>
      <c r="BG1780" s="3" t="s">
        <v>17157</v>
      </c>
    </row>
    <row r="1781" spans="1:59" ht="57" x14ac:dyDescent="0.45">
      <c r="A1781" s="2" t="s">
        <v>59</v>
      </c>
      <c r="B1781" s="2" t="s">
        <v>60</v>
      </c>
      <c r="C1781" s="2" t="s">
        <v>17146</v>
      </c>
      <c r="D1781" s="2" t="s">
        <v>17147</v>
      </c>
      <c r="E1781" s="2" t="s">
        <v>17148</v>
      </c>
      <c r="G1781" s="3" t="s">
        <v>62</v>
      </c>
      <c r="I1781" s="3" t="s">
        <v>61</v>
      </c>
      <c r="J1781" s="3" t="s">
        <v>62</v>
      </c>
      <c r="K1781" s="3" t="s">
        <v>63</v>
      </c>
      <c r="L1781" s="2" t="s">
        <v>17149</v>
      </c>
      <c r="M1781" s="2" t="s">
        <v>17150</v>
      </c>
      <c r="N1781" s="3" t="s">
        <v>1478</v>
      </c>
      <c r="P1781" s="3" t="s">
        <v>65</v>
      </c>
      <c r="Q1781" s="2" t="s">
        <v>17151</v>
      </c>
      <c r="R1781" s="3" t="s">
        <v>66</v>
      </c>
      <c r="S1781" s="4">
        <v>17</v>
      </c>
      <c r="T1781" s="4">
        <v>36</v>
      </c>
      <c r="U1781" s="5" t="s">
        <v>6466</v>
      </c>
      <c r="V1781" s="5" t="s">
        <v>6466</v>
      </c>
      <c r="W1781" s="5" t="s">
        <v>67</v>
      </c>
      <c r="X1781" s="5" t="s">
        <v>67</v>
      </c>
      <c r="Y1781" s="4">
        <v>321</v>
      </c>
      <c r="Z1781" s="4">
        <v>51</v>
      </c>
      <c r="AA1781" s="4">
        <v>125</v>
      </c>
      <c r="AB1781" s="4">
        <v>2</v>
      </c>
      <c r="AC1781" s="4">
        <v>21</v>
      </c>
      <c r="AD1781" s="4">
        <v>121</v>
      </c>
      <c r="AE1781" s="4">
        <v>159</v>
      </c>
      <c r="AF1781" s="4">
        <v>1</v>
      </c>
      <c r="AG1781" s="4">
        <v>9</v>
      </c>
      <c r="AH1781" s="4">
        <v>98</v>
      </c>
      <c r="AI1781" s="4">
        <v>110</v>
      </c>
      <c r="AJ1781" s="4">
        <v>23</v>
      </c>
      <c r="AK1781" s="4">
        <v>29</v>
      </c>
      <c r="AL1781" s="4">
        <v>53</v>
      </c>
      <c r="AM1781" s="4">
        <v>56</v>
      </c>
      <c r="AN1781" s="4">
        <v>0</v>
      </c>
      <c r="AO1781" s="4">
        <v>0</v>
      </c>
      <c r="AP1781" s="4">
        <v>32</v>
      </c>
      <c r="AQ1781" s="4">
        <v>58</v>
      </c>
      <c r="AR1781" s="3" t="s">
        <v>61</v>
      </c>
      <c r="AS1781" s="3" t="s">
        <v>62</v>
      </c>
      <c r="AT1781" s="3" t="s">
        <v>61</v>
      </c>
      <c r="AU1781" s="6" t="str">
        <f>HYPERLINK("http://catalog.hathitrust.org/Record/003073886","HathiTrust Record")</f>
        <v>HathiTrust Record</v>
      </c>
      <c r="AV1781" s="6" t="str">
        <f>HYPERLINK("http://mcgill.on.worldcat.org/oclc/34952668","Catalog Record")</f>
        <v>Catalog Record</v>
      </c>
      <c r="AW1781" s="6" t="str">
        <f>HYPERLINK("http://www.worldcat.org/oclc/34952668","WorldCat Record")</f>
        <v>WorldCat Record</v>
      </c>
      <c r="AX1781" s="3" t="s">
        <v>17152</v>
      </c>
      <c r="AY1781" s="3" t="s">
        <v>17153</v>
      </c>
      <c r="AZ1781" s="3" t="s">
        <v>17154</v>
      </c>
      <c r="BA1781" s="3" t="s">
        <v>17154</v>
      </c>
      <c r="BB1781" s="3" t="s">
        <v>17158</v>
      </c>
      <c r="BC1781" s="3" t="s">
        <v>142</v>
      </c>
      <c r="BD1781" s="3" t="s">
        <v>68</v>
      </c>
      <c r="BE1781" s="3" t="s">
        <v>17156</v>
      </c>
      <c r="BF1781" s="3" t="s">
        <v>17158</v>
      </c>
      <c r="BG1781" s="3" t="s">
        <v>17159</v>
      </c>
    </row>
    <row r="1782" spans="1:59" ht="57" x14ac:dyDescent="0.45">
      <c r="A1782" s="2" t="s">
        <v>59</v>
      </c>
      <c r="B1782" s="2" t="s">
        <v>60</v>
      </c>
      <c r="C1782" s="2" t="s">
        <v>17160</v>
      </c>
      <c r="D1782" s="2" t="s">
        <v>17161</v>
      </c>
      <c r="E1782" s="2" t="s">
        <v>17162</v>
      </c>
      <c r="G1782" s="3" t="s">
        <v>62</v>
      </c>
      <c r="I1782" s="3" t="s">
        <v>62</v>
      </c>
      <c r="J1782" s="3" t="s">
        <v>62</v>
      </c>
      <c r="K1782" s="3" t="s">
        <v>63</v>
      </c>
      <c r="L1782" s="2" t="s">
        <v>13449</v>
      </c>
      <c r="M1782" s="2" t="s">
        <v>17163</v>
      </c>
      <c r="N1782" s="3" t="s">
        <v>894</v>
      </c>
      <c r="P1782" s="3" t="s">
        <v>110</v>
      </c>
      <c r="Q1782" s="2" t="s">
        <v>17164</v>
      </c>
      <c r="R1782" s="3" t="s">
        <v>66</v>
      </c>
      <c r="S1782" s="4">
        <v>0</v>
      </c>
      <c r="T1782" s="4">
        <v>0</v>
      </c>
      <c r="W1782" s="5" t="s">
        <v>67</v>
      </c>
      <c r="X1782" s="5" t="s">
        <v>67</v>
      </c>
      <c r="Y1782" s="4">
        <v>15</v>
      </c>
      <c r="Z1782" s="4">
        <v>14</v>
      </c>
      <c r="AA1782" s="4">
        <v>48</v>
      </c>
      <c r="AB1782" s="4">
        <v>10</v>
      </c>
      <c r="AC1782" s="4">
        <v>16</v>
      </c>
      <c r="AD1782" s="4">
        <v>7</v>
      </c>
      <c r="AE1782" s="4">
        <v>47</v>
      </c>
      <c r="AF1782" s="4">
        <v>4</v>
      </c>
      <c r="AG1782" s="4">
        <v>6</v>
      </c>
      <c r="AH1782" s="4">
        <v>2</v>
      </c>
      <c r="AI1782" s="4">
        <v>25</v>
      </c>
      <c r="AJ1782" s="4">
        <v>6</v>
      </c>
      <c r="AK1782" s="4">
        <v>14</v>
      </c>
      <c r="AL1782" s="4">
        <v>0</v>
      </c>
      <c r="AM1782" s="4">
        <v>13</v>
      </c>
      <c r="AN1782" s="4">
        <v>0</v>
      </c>
      <c r="AO1782" s="4">
        <v>0</v>
      </c>
      <c r="AP1782" s="4">
        <v>6</v>
      </c>
      <c r="AQ1782" s="4">
        <v>28</v>
      </c>
      <c r="AR1782" s="3" t="s">
        <v>61</v>
      </c>
      <c r="AS1782" s="3" t="s">
        <v>62</v>
      </c>
      <c r="AT1782" s="3" t="s">
        <v>62</v>
      </c>
      <c r="AV1782" s="6" t="str">
        <f>HYPERLINK("http://mcgill.on.worldcat.org/oclc/1006730885","Catalog Record")</f>
        <v>Catalog Record</v>
      </c>
      <c r="AW1782" s="6" t="str">
        <f>HYPERLINK("http://www.worldcat.org/oclc/1006730885","WorldCat Record")</f>
        <v>WorldCat Record</v>
      </c>
      <c r="AX1782" s="3" t="s">
        <v>17165</v>
      </c>
      <c r="AY1782" s="3" t="s">
        <v>17166</v>
      </c>
      <c r="AZ1782" s="3" t="s">
        <v>17167</v>
      </c>
      <c r="BA1782" s="3" t="s">
        <v>17167</v>
      </c>
      <c r="BB1782" s="3" t="s">
        <v>17168</v>
      </c>
      <c r="BC1782" s="3" t="s">
        <v>142</v>
      </c>
      <c r="BD1782" s="3" t="s">
        <v>68</v>
      </c>
      <c r="BE1782" s="3" t="s">
        <v>17169</v>
      </c>
      <c r="BF1782" s="3" t="s">
        <v>17168</v>
      </c>
      <c r="BG1782" s="3" t="s">
        <v>17170</v>
      </c>
    </row>
    <row r="1783" spans="1:59" ht="57" x14ac:dyDescent="0.45">
      <c r="A1783" s="2" t="s">
        <v>59</v>
      </c>
      <c r="B1783" s="2" t="s">
        <v>60</v>
      </c>
      <c r="C1783" s="2" t="s">
        <v>17171</v>
      </c>
      <c r="D1783" s="2" t="s">
        <v>17172</v>
      </c>
      <c r="E1783" s="2" t="s">
        <v>17173</v>
      </c>
      <c r="G1783" s="3" t="s">
        <v>62</v>
      </c>
      <c r="I1783" s="3" t="s">
        <v>62</v>
      </c>
      <c r="J1783" s="3" t="s">
        <v>62</v>
      </c>
      <c r="K1783" s="3" t="s">
        <v>63</v>
      </c>
      <c r="M1783" s="2" t="s">
        <v>17174</v>
      </c>
      <c r="N1783" s="3" t="s">
        <v>894</v>
      </c>
      <c r="P1783" s="3" t="s">
        <v>65</v>
      </c>
      <c r="Q1783" s="2" t="s">
        <v>17175</v>
      </c>
      <c r="R1783" s="3" t="s">
        <v>66</v>
      </c>
      <c r="S1783" s="4">
        <v>0</v>
      </c>
      <c r="T1783" s="4">
        <v>0</v>
      </c>
      <c r="W1783" s="5" t="s">
        <v>67</v>
      </c>
      <c r="X1783" s="5" t="s">
        <v>67</v>
      </c>
      <c r="Y1783" s="4">
        <v>90</v>
      </c>
      <c r="Z1783" s="4">
        <v>8</v>
      </c>
      <c r="AA1783" s="4">
        <v>8</v>
      </c>
      <c r="AB1783" s="4">
        <v>1</v>
      </c>
      <c r="AC1783" s="4">
        <v>1</v>
      </c>
      <c r="AD1783" s="4">
        <v>39</v>
      </c>
      <c r="AE1783" s="4">
        <v>39</v>
      </c>
      <c r="AF1783" s="4">
        <v>0</v>
      </c>
      <c r="AG1783" s="4">
        <v>0</v>
      </c>
      <c r="AH1783" s="4">
        <v>36</v>
      </c>
      <c r="AI1783" s="4">
        <v>36</v>
      </c>
      <c r="AJ1783" s="4">
        <v>5</v>
      </c>
      <c r="AK1783" s="4">
        <v>5</v>
      </c>
      <c r="AL1783" s="4">
        <v>25</v>
      </c>
      <c r="AM1783" s="4">
        <v>25</v>
      </c>
      <c r="AN1783" s="4">
        <v>0</v>
      </c>
      <c r="AO1783" s="4">
        <v>0</v>
      </c>
      <c r="AP1783" s="4">
        <v>6</v>
      </c>
      <c r="AQ1783" s="4">
        <v>6</v>
      </c>
      <c r="AR1783" s="3" t="s">
        <v>62</v>
      </c>
      <c r="AS1783" s="3" t="s">
        <v>62</v>
      </c>
      <c r="AT1783" s="3" t="s">
        <v>62</v>
      </c>
      <c r="AV1783" s="6" t="str">
        <f>HYPERLINK("http://mcgill.on.worldcat.org/oclc/663459062","Catalog Record")</f>
        <v>Catalog Record</v>
      </c>
      <c r="AW1783" s="6" t="str">
        <f>HYPERLINK("http://www.worldcat.org/oclc/663459062","WorldCat Record")</f>
        <v>WorldCat Record</v>
      </c>
      <c r="AX1783" s="3" t="s">
        <v>17176</v>
      </c>
      <c r="AY1783" s="3" t="s">
        <v>17177</v>
      </c>
      <c r="AZ1783" s="3" t="s">
        <v>17178</v>
      </c>
      <c r="BA1783" s="3" t="s">
        <v>17178</v>
      </c>
      <c r="BB1783" s="3" t="s">
        <v>17179</v>
      </c>
      <c r="BC1783" s="3" t="s">
        <v>142</v>
      </c>
      <c r="BD1783" s="3" t="s">
        <v>68</v>
      </c>
      <c r="BE1783" s="3" t="s">
        <v>17180</v>
      </c>
      <c r="BF1783" s="3" t="s">
        <v>17179</v>
      </c>
      <c r="BG1783" s="3" t="s">
        <v>17181</v>
      </c>
    </row>
    <row r="1784" spans="1:59" ht="57" x14ac:dyDescent="0.45">
      <c r="A1784" s="2" t="s">
        <v>59</v>
      </c>
      <c r="B1784" s="2" t="s">
        <v>60</v>
      </c>
      <c r="C1784" s="2" t="s">
        <v>17182</v>
      </c>
      <c r="D1784" s="2" t="s">
        <v>17183</v>
      </c>
      <c r="E1784" s="2" t="s">
        <v>17184</v>
      </c>
      <c r="G1784" s="3" t="s">
        <v>62</v>
      </c>
      <c r="I1784" s="3" t="s">
        <v>62</v>
      </c>
      <c r="J1784" s="3" t="s">
        <v>62</v>
      </c>
      <c r="K1784" s="3" t="s">
        <v>63</v>
      </c>
      <c r="M1784" s="2" t="s">
        <v>17185</v>
      </c>
      <c r="N1784" s="3" t="s">
        <v>1155</v>
      </c>
      <c r="P1784" s="3" t="s">
        <v>65</v>
      </c>
      <c r="Q1784" s="2" t="s">
        <v>13669</v>
      </c>
      <c r="R1784" s="3" t="s">
        <v>66</v>
      </c>
      <c r="S1784" s="4">
        <v>2</v>
      </c>
      <c r="T1784" s="4">
        <v>2</v>
      </c>
      <c r="U1784" s="5" t="s">
        <v>17186</v>
      </c>
      <c r="V1784" s="5" t="s">
        <v>17186</v>
      </c>
      <c r="W1784" s="5" t="s">
        <v>67</v>
      </c>
      <c r="X1784" s="5" t="s">
        <v>67</v>
      </c>
      <c r="Y1784" s="4">
        <v>101</v>
      </c>
      <c r="Z1784" s="4">
        <v>12</v>
      </c>
      <c r="AA1784" s="4">
        <v>12</v>
      </c>
      <c r="AB1784" s="4">
        <v>1</v>
      </c>
      <c r="AC1784" s="4">
        <v>1</v>
      </c>
      <c r="AD1784" s="4">
        <v>45</v>
      </c>
      <c r="AE1784" s="4">
        <v>45</v>
      </c>
      <c r="AF1784" s="4">
        <v>0</v>
      </c>
      <c r="AG1784" s="4">
        <v>0</v>
      </c>
      <c r="AH1784" s="4">
        <v>43</v>
      </c>
      <c r="AI1784" s="4">
        <v>43</v>
      </c>
      <c r="AJ1784" s="4">
        <v>9</v>
      </c>
      <c r="AK1784" s="4">
        <v>9</v>
      </c>
      <c r="AL1784" s="4">
        <v>23</v>
      </c>
      <c r="AM1784" s="4">
        <v>23</v>
      </c>
      <c r="AN1784" s="4">
        <v>0</v>
      </c>
      <c r="AO1784" s="4">
        <v>0</v>
      </c>
      <c r="AP1784" s="4">
        <v>9</v>
      </c>
      <c r="AQ1784" s="4">
        <v>9</v>
      </c>
      <c r="AR1784" s="3" t="s">
        <v>62</v>
      </c>
      <c r="AS1784" s="3" t="s">
        <v>62</v>
      </c>
      <c r="AT1784" s="3" t="s">
        <v>62</v>
      </c>
      <c r="AV1784" s="6" t="str">
        <f>HYPERLINK("http://mcgill.on.worldcat.org/oclc/765485282","Catalog Record")</f>
        <v>Catalog Record</v>
      </c>
      <c r="AW1784" s="6" t="str">
        <f>HYPERLINK("http://www.worldcat.org/oclc/765485282","WorldCat Record")</f>
        <v>WorldCat Record</v>
      </c>
      <c r="AX1784" s="3" t="s">
        <v>17187</v>
      </c>
      <c r="AY1784" s="3" t="s">
        <v>17188</v>
      </c>
      <c r="AZ1784" s="3" t="s">
        <v>17189</v>
      </c>
      <c r="BA1784" s="3" t="s">
        <v>17189</v>
      </c>
      <c r="BB1784" s="3" t="s">
        <v>17190</v>
      </c>
      <c r="BC1784" s="3" t="s">
        <v>142</v>
      </c>
      <c r="BD1784" s="3" t="s">
        <v>68</v>
      </c>
      <c r="BE1784" s="3" t="s">
        <v>17191</v>
      </c>
      <c r="BF1784" s="3" t="s">
        <v>17190</v>
      </c>
      <c r="BG1784" s="3" t="s">
        <v>17192</v>
      </c>
    </row>
    <row r="1785" spans="1:59" ht="57" x14ac:dyDescent="0.45">
      <c r="A1785" s="2" t="s">
        <v>59</v>
      </c>
      <c r="B1785" s="2" t="s">
        <v>60</v>
      </c>
      <c r="C1785" s="2" t="s">
        <v>17193</v>
      </c>
      <c r="D1785" s="2" t="s">
        <v>17194</v>
      </c>
      <c r="E1785" s="2" t="s">
        <v>17195</v>
      </c>
      <c r="G1785" s="3" t="s">
        <v>62</v>
      </c>
      <c r="I1785" s="3" t="s">
        <v>62</v>
      </c>
      <c r="J1785" s="3" t="s">
        <v>62</v>
      </c>
      <c r="K1785" s="3" t="s">
        <v>63</v>
      </c>
      <c r="M1785" s="2" t="s">
        <v>17196</v>
      </c>
      <c r="N1785" s="3" t="s">
        <v>1688</v>
      </c>
      <c r="P1785" s="3" t="s">
        <v>65</v>
      </c>
      <c r="R1785" s="3" t="s">
        <v>66</v>
      </c>
      <c r="S1785" s="4">
        <v>0</v>
      </c>
      <c r="T1785" s="4">
        <v>0</v>
      </c>
      <c r="W1785" s="5" t="s">
        <v>67</v>
      </c>
      <c r="X1785" s="5" t="s">
        <v>67</v>
      </c>
      <c r="Y1785" s="4">
        <v>98</v>
      </c>
      <c r="Z1785" s="4">
        <v>12</v>
      </c>
      <c r="AA1785" s="4">
        <v>73</v>
      </c>
      <c r="AB1785" s="4">
        <v>2</v>
      </c>
      <c r="AC1785" s="4">
        <v>14</v>
      </c>
      <c r="AD1785" s="4">
        <v>40</v>
      </c>
      <c r="AE1785" s="4">
        <v>102</v>
      </c>
      <c r="AF1785" s="4">
        <v>1</v>
      </c>
      <c r="AG1785" s="4">
        <v>8</v>
      </c>
      <c r="AH1785" s="4">
        <v>36</v>
      </c>
      <c r="AI1785" s="4">
        <v>72</v>
      </c>
      <c r="AJ1785" s="4">
        <v>10</v>
      </c>
      <c r="AK1785" s="4">
        <v>21</v>
      </c>
      <c r="AL1785" s="4">
        <v>20</v>
      </c>
      <c r="AM1785" s="4">
        <v>36</v>
      </c>
      <c r="AN1785" s="4">
        <v>0</v>
      </c>
      <c r="AO1785" s="4">
        <v>0</v>
      </c>
      <c r="AP1785" s="4">
        <v>10</v>
      </c>
      <c r="AQ1785" s="4">
        <v>37</v>
      </c>
      <c r="AR1785" s="3" t="s">
        <v>62</v>
      </c>
      <c r="AS1785" s="3" t="s">
        <v>62</v>
      </c>
      <c r="AT1785" s="3" t="s">
        <v>62</v>
      </c>
      <c r="AV1785" s="6" t="str">
        <f>HYPERLINK("http://mcgill.on.worldcat.org/oclc/859584042","Catalog Record")</f>
        <v>Catalog Record</v>
      </c>
      <c r="AW1785" s="6" t="str">
        <f>HYPERLINK("http://www.worldcat.org/oclc/859584042","WorldCat Record")</f>
        <v>WorldCat Record</v>
      </c>
      <c r="AX1785" s="3" t="s">
        <v>17197</v>
      </c>
      <c r="AY1785" s="3" t="s">
        <v>17198</v>
      </c>
      <c r="AZ1785" s="3" t="s">
        <v>17199</v>
      </c>
      <c r="BA1785" s="3" t="s">
        <v>17199</v>
      </c>
      <c r="BB1785" s="3" t="s">
        <v>17200</v>
      </c>
      <c r="BC1785" s="3" t="s">
        <v>142</v>
      </c>
      <c r="BD1785" s="3" t="s">
        <v>68</v>
      </c>
      <c r="BE1785" s="3" t="s">
        <v>17201</v>
      </c>
      <c r="BF1785" s="3" t="s">
        <v>17200</v>
      </c>
      <c r="BG1785" s="3" t="s">
        <v>17202</v>
      </c>
    </row>
    <row r="1786" spans="1:59" ht="57" x14ac:dyDescent="0.45">
      <c r="A1786" s="2" t="s">
        <v>59</v>
      </c>
      <c r="B1786" s="2" t="s">
        <v>60</v>
      </c>
      <c r="C1786" s="2" t="s">
        <v>17203</v>
      </c>
      <c r="D1786" s="2" t="s">
        <v>17204</v>
      </c>
      <c r="E1786" s="2" t="s">
        <v>17205</v>
      </c>
      <c r="G1786" s="3" t="s">
        <v>62</v>
      </c>
      <c r="I1786" s="3" t="s">
        <v>62</v>
      </c>
      <c r="J1786" s="3" t="s">
        <v>62</v>
      </c>
      <c r="K1786" s="3" t="s">
        <v>63</v>
      </c>
      <c r="M1786" s="2" t="s">
        <v>17206</v>
      </c>
      <c r="N1786" s="3" t="s">
        <v>3160</v>
      </c>
      <c r="P1786" s="3" t="s">
        <v>65</v>
      </c>
      <c r="Q1786" s="2" t="s">
        <v>17207</v>
      </c>
      <c r="R1786" s="3" t="s">
        <v>66</v>
      </c>
      <c r="S1786" s="4">
        <v>27</v>
      </c>
      <c r="T1786" s="4">
        <v>27</v>
      </c>
      <c r="U1786" s="5" t="s">
        <v>17208</v>
      </c>
      <c r="V1786" s="5" t="s">
        <v>17208</v>
      </c>
      <c r="W1786" s="5" t="s">
        <v>67</v>
      </c>
      <c r="X1786" s="5" t="s">
        <v>67</v>
      </c>
      <c r="Y1786" s="4">
        <v>474</v>
      </c>
      <c r="Z1786" s="4">
        <v>24</v>
      </c>
      <c r="AA1786" s="4">
        <v>29</v>
      </c>
      <c r="AB1786" s="4">
        <v>3</v>
      </c>
      <c r="AC1786" s="4">
        <v>8</v>
      </c>
      <c r="AD1786" s="4">
        <v>115</v>
      </c>
      <c r="AE1786" s="4">
        <v>119</v>
      </c>
      <c r="AF1786" s="4">
        <v>2</v>
      </c>
      <c r="AG1786" s="4">
        <v>6</v>
      </c>
      <c r="AH1786" s="4">
        <v>104</v>
      </c>
      <c r="AI1786" s="4">
        <v>105</v>
      </c>
      <c r="AJ1786" s="4">
        <v>17</v>
      </c>
      <c r="AK1786" s="4">
        <v>20</v>
      </c>
      <c r="AL1786" s="4">
        <v>55</v>
      </c>
      <c r="AM1786" s="4">
        <v>55</v>
      </c>
      <c r="AN1786" s="4">
        <v>0</v>
      </c>
      <c r="AO1786" s="4">
        <v>0</v>
      </c>
      <c r="AP1786" s="4">
        <v>20</v>
      </c>
      <c r="AQ1786" s="4">
        <v>23</v>
      </c>
      <c r="AR1786" s="3" t="s">
        <v>62</v>
      </c>
      <c r="AS1786" s="3" t="s">
        <v>62</v>
      </c>
      <c r="AT1786" s="3" t="s">
        <v>61</v>
      </c>
      <c r="AU1786" s="6" t="str">
        <f>HYPERLINK("http://catalog.hathitrust.org/Record/000739722","HathiTrust Record")</f>
        <v>HathiTrust Record</v>
      </c>
      <c r="AV1786" s="6" t="str">
        <f>HYPERLINK("http://mcgill.on.worldcat.org/oclc/6815983","Catalog Record")</f>
        <v>Catalog Record</v>
      </c>
      <c r="AW1786" s="6" t="str">
        <f>HYPERLINK("http://www.worldcat.org/oclc/6815983","WorldCat Record")</f>
        <v>WorldCat Record</v>
      </c>
      <c r="AX1786" s="3" t="s">
        <v>17209</v>
      </c>
      <c r="AY1786" s="3" t="s">
        <v>17210</v>
      </c>
      <c r="AZ1786" s="3" t="s">
        <v>17211</v>
      </c>
      <c r="BA1786" s="3" t="s">
        <v>17211</v>
      </c>
      <c r="BB1786" s="3" t="s">
        <v>17212</v>
      </c>
      <c r="BC1786" s="3" t="s">
        <v>142</v>
      </c>
      <c r="BD1786" s="3" t="s">
        <v>68</v>
      </c>
      <c r="BE1786" s="3" t="s">
        <v>17213</v>
      </c>
      <c r="BF1786" s="3" t="s">
        <v>17212</v>
      </c>
      <c r="BG1786" s="3" t="s">
        <v>17214</v>
      </c>
    </row>
    <row r="1787" spans="1:59" ht="57" x14ac:dyDescent="0.45">
      <c r="A1787" s="2" t="s">
        <v>59</v>
      </c>
      <c r="B1787" s="2" t="s">
        <v>60</v>
      </c>
      <c r="C1787" s="2" t="s">
        <v>17215</v>
      </c>
      <c r="D1787" s="2" t="s">
        <v>17216</v>
      </c>
      <c r="E1787" s="2" t="s">
        <v>17217</v>
      </c>
      <c r="G1787" s="3" t="s">
        <v>62</v>
      </c>
      <c r="I1787" s="3" t="s">
        <v>62</v>
      </c>
      <c r="J1787" s="3" t="s">
        <v>62</v>
      </c>
      <c r="K1787" s="3" t="s">
        <v>63</v>
      </c>
      <c r="M1787" s="2" t="s">
        <v>17218</v>
      </c>
      <c r="N1787" s="3" t="s">
        <v>542</v>
      </c>
      <c r="P1787" s="3" t="s">
        <v>65</v>
      </c>
      <c r="Q1787" s="2" t="s">
        <v>17219</v>
      </c>
      <c r="R1787" s="3" t="s">
        <v>66</v>
      </c>
      <c r="S1787" s="4">
        <v>5</v>
      </c>
      <c r="T1787" s="4">
        <v>5</v>
      </c>
      <c r="U1787" s="5" t="s">
        <v>11010</v>
      </c>
      <c r="V1787" s="5" t="s">
        <v>11010</v>
      </c>
      <c r="W1787" s="5" t="s">
        <v>67</v>
      </c>
      <c r="X1787" s="5" t="s">
        <v>67</v>
      </c>
      <c r="Y1787" s="4">
        <v>90</v>
      </c>
      <c r="Z1787" s="4">
        <v>5</v>
      </c>
      <c r="AA1787" s="4">
        <v>117</v>
      </c>
      <c r="AB1787" s="4">
        <v>2</v>
      </c>
      <c r="AC1787" s="4">
        <v>18</v>
      </c>
      <c r="AD1787" s="4">
        <v>24</v>
      </c>
      <c r="AE1787" s="4">
        <v>100</v>
      </c>
      <c r="AF1787" s="4">
        <v>0</v>
      </c>
      <c r="AG1787" s="4">
        <v>8</v>
      </c>
      <c r="AH1787" s="4">
        <v>24</v>
      </c>
      <c r="AI1787" s="4">
        <v>64</v>
      </c>
      <c r="AJ1787" s="4">
        <v>2</v>
      </c>
      <c r="AK1787" s="4">
        <v>20</v>
      </c>
      <c r="AL1787" s="4">
        <v>13</v>
      </c>
      <c r="AM1787" s="4">
        <v>32</v>
      </c>
      <c r="AN1787" s="4">
        <v>5</v>
      </c>
      <c r="AO1787" s="4">
        <v>5</v>
      </c>
      <c r="AP1787" s="4">
        <v>2</v>
      </c>
      <c r="AQ1787" s="4">
        <v>44</v>
      </c>
      <c r="AR1787" s="3" t="s">
        <v>62</v>
      </c>
      <c r="AS1787" s="3" t="s">
        <v>62</v>
      </c>
      <c r="AT1787" s="3" t="s">
        <v>61</v>
      </c>
      <c r="AU1787" s="6" t="str">
        <f>HYPERLINK("http://catalog.hathitrust.org/Record/102017241","HathiTrust Record")</f>
        <v>HathiTrust Record</v>
      </c>
      <c r="AV1787" s="6" t="str">
        <f>HYPERLINK("http://mcgill.on.worldcat.org/oclc/45890450","Catalog Record")</f>
        <v>Catalog Record</v>
      </c>
      <c r="AW1787" s="6" t="str">
        <f>HYPERLINK("http://www.worldcat.org/oclc/45890450","WorldCat Record")</f>
        <v>WorldCat Record</v>
      </c>
      <c r="AX1787" s="3" t="s">
        <v>17220</v>
      </c>
      <c r="AY1787" s="3" t="s">
        <v>17221</v>
      </c>
      <c r="AZ1787" s="3" t="s">
        <v>17222</v>
      </c>
      <c r="BA1787" s="3" t="s">
        <v>17222</v>
      </c>
      <c r="BB1787" s="3" t="s">
        <v>17223</v>
      </c>
      <c r="BC1787" s="3" t="s">
        <v>142</v>
      </c>
      <c r="BD1787" s="3" t="s">
        <v>68</v>
      </c>
      <c r="BE1787" s="3" t="s">
        <v>17224</v>
      </c>
      <c r="BF1787" s="3" t="s">
        <v>17223</v>
      </c>
      <c r="BG1787" s="3" t="s">
        <v>17225</v>
      </c>
    </row>
    <row r="1788" spans="1:59" ht="71.25" x14ac:dyDescent="0.45">
      <c r="A1788" s="2" t="s">
        <v>59</v>
      </c>
      <c r="B1788" s="2" t="s">
        <v>60</v>
      </c>
      <c r="C1788" s="2" t="s">
        <v>17226</v>
      </c>
      <c r="D1788" s="2" t="s">
        <v>17227</v>
      </c>
      <c r="E1788" s="2" t="s">
        <v>17228</v>
      </c>
      <c r="G1788" s="3" t="s">
        <v>62</v>
      </c>
      <c r="I1788" s="3" t="s">
        <v>62</v>
      </c>
      <c r="J1788" s="3" t="s">
        <v>62</v>
      </c>
      <c r="K1788" s="3" t="s">
        <v>63</v>
      </c>
      <c r="M1788" s="2" t="s">
        <v>17229</v>
      </c>
      <c r="N1788" s="3" t="s">
        <v>1688</v>
      </c>
      <c r="P1788" s="3" t="s">
        <v>65</v>
      </c>
      <c r="Q1788" s="2" t="s">
        <v>17230</v>
      </c>
      <c r="R1788" s="3" t="s">
        <v>66</v>
      </c>
      <c r="S1788" s="4">
        <v>6</v>
      </c>
      <c r="T1788" s="4">
        <v>6</v>
      </c>
      <c r="U1788" s="5" t="s">
        <v>12354</v>
      </c>
      <c r="V1788" s="5" t="s">
        <v>12354</v>
      </c>
      <c r="W1788" s="5" t="s">
        <v>67</v>
      </c>
      <c r="X1788" s="5" t="s">
        <v>67</v>
      </c>
      <c r="Y1788" s="4">
        <v>32</v>
      </c>
      <c r="Z1788" s="4">
        <v>4</v>
      </c>
      <c r="AA1788" s="4">
        <v>11</v>
      </c>
      <c r="AB1788" s="4">
        <v>1</v>
      </c>
      <c r="AC1788" s="4">
        <v>5</v>
      </c>
      <c r="AD1788" s="4">
        <v>11</v>
      </c>
      <c r="AE1788" s="4">
        <v>25</v>
      </c>
      <c r="AF1788" s="4">
        <v>0</v>
      </c>
      <c r="AG1788" s="4">
        <v>2</v>
      </c>
      <c r="AH1788" s="4">
        <v>11</v>
      </c>
      <c r="AI1788" s="4">
        <v>22</v>
      </c>
      <c r="AJ1788" s="4">
        <v>2</v>
      </c>
      <c r="AK1788" s="4">
        <v>6</v>
      </c>
      <c r="AL1788" s="4">
        <v>6</v>
      </c>
      <c r="AM1788" s="4">
        <v>11</v>
      </c>
      <c r="AN1788" s="4">
        <v>0</v>
      </c>
      <c r="AO1788" s="4">
        <v>0</v>
      </c>
      <c r="AP1788" s="4">
        <v>2</v>
      </c>
      <c r="AQ1788" s="4">
        <v>6</v>
      </c>
      <c r="AR1788" s="3" t="s">
        <v>62</v>
      </c>
      <c r="AS1788" s="3" t="s">
        <v>62</v>
      </c>
      <c r="AT1788" s="3" t="s">
        <v>62</v>
      </c>
      <c r="AV1788" s="6" t="str">
        <f>HYPERLINK("http://mcgill.on.worldcat.org/oclc/868644904","Catalog Record")</f>
        <v>Catalog Record</v>
      </c>
      <c r="AW1788" s="6" t="str">
        <f>HYPERLINK("http://www.worldcat.org/oclc/868644904","WorldCat Record")</f>
        <v>WorldCat Record</v>
      </c>
      <c r="AX1788" s="3" t="s">
        <v>17231</v>
      </c>
      <c r="AY1788" s="3" t="s">
        <v>17232</v>
      </c>
      <c r="AZ1788" s="3" t="s">
        <v>17233</v>
      </c>
      <c r="BA1788" s="3" t="s">
        <v>17233</v>
      </c>
      <c r="BB1788" s="3" t="s">
        <v>17234</v>
      </c>
      <c r="BC1788" s="3" t="s">
        <v>142</v>
      </c>
      <c r="BD1788" s="3" t="s">
        <v>68</v>
      </c>
      <c r="BE1788" s="3" t="s">
        <v>17235</v>
      </c>
      <c r="BF1788" s="3" t="s">
        <v>17234</v>
      </c>
      <c r="BG1788" s="3" t="s">
        <v>17236</v>
      </c>
    </row>
    <row r="1789" spans="1:59" ht="57" x14ac:dyDescent="0.45">
      <c r="A1789" s="2" t="s">
        <v>59</v>
      </c>
      <c r="B1789" s="2" t="s">
        <v>60</v>
      </c>
      <c r="C1789" s="2" t="s">
        <v>17237</v>
      </c>
      <c r="D1789" s="2" t="s">
        <v>17238</v>
      </c>
      <c r="E1789" s="2" t="s">
        <v>17239</v>
      </c>
      <c r="G1789" s="3" t="s">
        <v>62</v>
      </c>
      <c r="I1789" s="3" t="s">
        <v>62</v>
      </c>
      <c r="J1789" s="3" t="s">
        <v>62</v>
      </c>
      <c r="K1789" s="3" t="s">
        <v>63</v>
      </c>
      <c r="L1789" s="2" t="s">
        <v>17240</v>
      </c>
      <c r="M1789" s="2" t="s">
        <v>17241</v>
      </c>
      <c r="N1789" s="3" t="s">
        <v>807</v>
      </c>
      <c r="P1789" s="3" t="s">
        <v>110</v>
      </c>
      <c r="R1789" s="3" t="s">
        <v>66</v>
      </c>
      <c r="S1789" s="4">
        <v>18</v>
      </c>
      <c r="T1789" s="4">
        <v>18</v>
      </c>
      <c r="U1789" s="5" t="s">
        <v>10727</v>
      </c>
      <c r="V1789" s="5" t="s">
        <v>10727</v>
      </c>
      <c r="W1789" s="5" t="s">
        <v>67</v>
      </c>
      <c r="X1789" s="5" t="s">
        <v>67</v>
      </c>
      <c r="Y1789" s="4">
        <v>7</v>
      </c>
      <c r="Z1789" s="4">
        <v>4</v>
      </c>
      <c r="AA1789" s="4">
        <v>10</v>
      </c>
      <c r="AB1789" s="4">
        <v>1</v>
      </c>
      <c r="AC1789" s="4">
        <v>6</v>
      </c>
      <c r="AD1789" s="4">
        <v>2</v>
      </c>
      <c r="AE1789" s="4">
        <v>7</v>
      </c>
      <c r="AF1789" s="4">
        <v>0</v>
      </c>
      <c r="AG1789" s="4">
        <v>3</v>
      </c>
      <c r="AH1789" s="4">
        <v>2</v>
      </c>
      <c r="AI1789" s="4">
        <v>5</v>
      </c>
      <c r="AJ1789" s="4">
        <v>2</v>
      </c>
      <c r="AK1789" s="4">
        <v>6</v>
      </c>
      <c r="AL1789" s="4">
        <v>0</v>
      </c>
      <c r="AM1789" s="4">
        <v>0</v>
      </c>
      <c r="AN1789" s="4">
        <v>0</v>
      </c>
      <c r="AO1789" s="4">
        <v>0</v>
      </c>
      <c r="AP1789" s="4">
        <v>2</v>
      </c>
      <c r="AQ1789" s="4">
        <v>6</v>
      </c>
      <c r="AR1789" s="3" t="s">
        <v>62</v>
      </c>
      <c r="AS1789" s="3" t="s">
        <v>62</v>
      </c>
      <c r="AT1789" s="3" t="s">
        <v>62</v>
      </c>
      <c r="AV1789" s="6" t="str">
        <f>HYPERLINK("http://mcgill.on.worldcat.org/oclc/427960865","Catalog Record")</f>
        <v>Catalog Record</v>
      </c>
      <c r="AW1789" s="6" t="str">
        <f>HYPERLINK("http://www.worldcat.org/oclc/427960865","WorldCat Record")</f>
        <v>WorldCat Record</v>
      </c>
      <c r="AX1789" s="3" t="s">
        <v>17242</v>
      </c>
      <c r="AY1789" s="3" t="s">
        <v>17243</v>
      </c>
      <c r="AZ1789" s="3" t="s">
        <v>17244</v>
      </c>
      <c r="BA1789" s="3" t="s">
        <v>17244</v>
      </c>
      <c r="BB1789" s="3" t="s">
        <v>17245</v>
      </c>
      <c r="BC1789" s="3" t="s">
        <v>142</v>
      </c>
      <c r="BD1789" s="3" t="s">
        <v>68</v>
      </c>
      <c r="BE1789" s="3" t="s">
        <v>17246</v>
      </c>
      <c r="BF1789" s="3" t="s">
        <v>17245</v>
      </c>
      <c r="BG1789" s="3" t="s">
        <v>17247</v>
      </c>
    </row>
    <row r="1790" spans="1:59" ht="57" x14ac:dyDescent="0.45">
      <c r="A1790" s="2" t="s">
        <v>59</v>
      </c>
      <c r="B1790" s="2" t="s">
        <v>60</v>
      </c>
      <c r="C1790" s="2" t="s">
        <v>17248</v>
      </c>
      <c r="D1790" s="2" t="s">
        <v>17249</v>
      </c>
      <c r="E1790" s="2" t="s">
        <v>17250</v>
      </c>
      <c r="G1790" s="3" t="s">
        <v>62</v>
      </c>
      <c r="I1790" s="3" t="s">
        <v>61</v>
      </c>
      <c r="J1790" s="3" t="s">
        <v>62</v>
      </c>
      <c r="K1790" s="3" t="s">
        <v>63</v>
      </c>
      <c r="L1790" s="2" t="s">
        <v>17251</v>
      </c>
      <c r="M1790" s="2" t="s">
        <v>17252</v>
      </c>
      <c r="N1790" s="3" t="s">
        <v>16907</v>
      </c>
      <c r="P1790" s="3" t="s">
        <v>65</v>
      </c>
      <c r="R1790" s="3" t="s">
        <v>66</v>
      </c>
      <c r="S1790" s="4">
        <v>41</v>
      </c>
      <c r="T1790" s="4">
        <v>102</v>
      </c>
      <c r="U1790" s="5" t="s">
        <v>17253</v>
      </c>
      <c r="V1790" s="5" t="s">
        <v>17254</v>
      </c>
      <c r="W1790" s="5" t="s">
        <v>67</v>
      </c>
      <c r="X1790" s="5" t="s">
        <v>67</v>
      </c>
      <c r="Y1790" s="4">
        <v>661</v>
      </c>
      <c r="Z1790" s="4">
        <v>44</v>
      </c>
      <c r="AA1790" s="4">
        <v>49</v>
      </c>
      <c r="AB1790" s="4">
        <v>3</v>
      </c>
      <c r="AC1790" s="4">
        <v>8</v>
      </c>
      <c r="AD1790" s="4">
        <v>132</v>
      </c>
      <c r="AE1790" s="4">
        <v>136</v>
      </c>
      <c r="AF1790" s="4">
        <v>2</v>
      </c>
      <c r="AG1790" s="4">
        <v>6</v>
      </c>
      <c r="AH1790" s="4">
        <v>103</v>
      </c>
      <c r="AI1790" s="4">
        <v>104</v>
      </c>
      <c r="AJ1790" s="4">
        <v>24</v>
      </c>
      <c r="AK1790" s="4">
        <v>28</v>
      </c>
      <c r="AL1790" s="4">
        <v>58</v>
      </c>
      <c r="AM1790" s="4">
        <v>58</v>
      </c>
      <c r="AN1790" s="4">
        <v>0</v>
      </c>
      <c r="AO1790" s="4">
        <v>0</v>
      </c>
      <c r="AP1790" s="4">
        <v>36</v>
      </c>
      <c r="AQ1790" s="4">
        <v>39</v>
      </c>
      <c r="AR1790" s="3" t="s">
        <v>62</v>
      </c>
      <c r="AS1790" s="3" t="s">
        <v>62</v>
      </c>
      <c r="AT1790" s="3" t="s">
        <v>61</v>
      </c>
      <c r="AU1790" s="6" t="str">
        <f>HYPERLINK("http://catalog.hathitrust.org/Record/000000426","HathiTrust Record")</f>
        <v>HathiTrust Record</v>
      </c>
      <c r="AV1790" s="6" t="str">
        <f>HYPERLINK("http://mcgill.on.worldcat.org/oclc/45548","Catalog Record")</f>
        <v>Catalog Record</v>
      </c>
      <c r="AW1790" s="6" t="str">
        <f>HYPERLINK("http://www.worldcat.org/oclc/45548","WorldCat Record")</f>
        <v>WorldCat Record</v>
      </c>
      <c r="AX1790" s="3" t="s">
        <v>17255</v>
      </c>
      <c r="AY1790" s="3" t="s">
        <v>17256</v>
      </c>
      <c r="AZ1790" s="3" t="s">
        <v>17257</v>
      </c>
      <c r="BA1790" s="3" t="s">
        <v>17257</v>
      </c>
      <c r="BB1790" s="3" t="s">
        <v>17258</v>
      </c>
      <c r="BC1790" s="3" t="s">
        <v>142</v>
      </c>
      <c r="BD1790" s="3" t="s">
        <v>68</v>
      </c>
      <c r="BE1790" s="3" t="s">
        <v>17259</v>
      </c>
      <c r="BF1790" s="3" t="s">
        <v>17258</v>
      </c>
      <c r="BG1790" s="3" t="s">
        <v>17260</v>
      </c>
    </row>
    <row r="1791" spans="1:59" ht="57" x14ac:dyDescent="0.45">
      <c r="A1791" s="2" t="s">
        <v>59</v>
      </c>
      <c r="B1791" s="2" t="s">
        <v>60</v>
      </c>
      <c r="C1791" s="2" t="s">
        <v>17248</v>
      </c>
      <c r="D1791" s="2" t="s">
        <v>17249</v>
      </c>
      <c r="E1791" s="2" t="s">
        <v>17250</v>
      </c>
      <c r="G1791" s="3" t="s">
        <v>62</v>
      </c>
      <c r="I1791" s="3" t="s">
        <v>61</v>
      </c>
      <c r="J1791" s="3" t="s">
        <v>62</v>
      </c>
      <c r="K1791" s="3" t="s">
        <v>63</v>
      </c>
      <c r="L1791" s="2" t="s">
        <v>17251</v>
      </c>
      <c r="M1791" s="2" t="s">
        <v>17252</v>
      </c>
      <c r="N1791" s="3" t="s">
        <v>16907</v>
      </c>
      <c r="P1791" s="3" t="s">
        <v>65</v>
      </c>
      <c r="R1791" s="3" t="s">
        <v>66</v>
      </c>
      <c r="S1791" s="4">
        <v>51</v>
      </c>
      <c r="T1791" s="4">
        <v>102</v>
      </c>
      <c r="U1791" s="5" t="s">
        <v>17254</v>
      </c>
      <c r="V1791" s="5" t="s">
        <v>17254</v>
      </c>
      <c r="W1791" s="5" t="s">
        <v>67</v>
      </c>
      <c r="X1791" s="5" t="s">
        <v>67</v>
      </c>
      <c r="Y1791" s="4">
        <v>661</v>
      </c>
      <c r="Z1791" s="4">
        <v>44</v>
      </c>
      <c r="AA1791" s="4">
        <v>49</v>
      </c>
      <c r="AB1791" s="4">
        <v>3</v>
      </c>
      <c r="AC1791" s="4">
        <v>8</v>
      </c>
      <c r="AD1791" s="4">
        <v>132</v>
      </c>
      <c r="AE1791" s="4">
        <v>136</v>
      </c>
      <c r="AF1791" s="4">
        <v>2</v>
      </c>
      <c r="AG1791" s="4">
        <v>6</v>
      </c>
      <c r="AH1791" s="4">
        <v>103</v>
      </c>
      <c r="AI1791" s="4">
        <v>104</v>
      </c>
      <c r="AJ1791" s="4">
        <v>24</v>
      </c>
      <c r="AK1791" s="4">
        <v>28</v>
      </c>
      <c r="AL1791" s="4">
        <v>58</v>
      </c>
      <c r="AM1791" s="4">
        <v>58</v>
      </c>
      <c r="AN1791" s="4">
        <v>0</v>
      </c>
      <c r="AO1791" s="4">
        <v>0</v>
      </c>
      <c r="AP1791" s="4">
        <v>36</v>
      </c>
      <c r="AQ1791" s="4">
        <v>39</v>
      </c>
      <c r="AR1791" s="3" t="s">
        <v>62</v>
      </c>
      <c r="AS1791" s="3" t="s">
        <v>62</v>
      </c>
      <c r="AT1791" s="3" t="s">
        <v>61</v>
      </c>
      <c r="AU1791" s="6" t="str">
        <f>HYPERLINK("http://catalog.hathitrust.org/Record/000000426","HathiTrust Record")</f>
        <v>HathiTrust Record</v>
      </c>
      <c r="AV1791" s="6" t="str">
        <f>HYPERLINK("http://mcgill.on.worldcat.org/oclc/45548","Catalog Record")</f>
        <v>Catalog Record</v>
      </c>
      <c r="AW1791" s="6" t="str">
        <f>HYPERLINK("http://www.worldcat.org/oclc/45548","WorldCat Record")</f>
        <v>WorldCat Record</v>
      </c>
      <c r="AX1791" s="3" t="s">
        <v>17255</v>
      </c>
      <c r="AY1791" s="3" t="s">
        <v>17256</v>
      </c>
      <c r="AZ1791" s="3" t="s">
        <v>17257</v>
      </c>
      <c r="BA1791" s="3" t="s">
        <v>17257</v>
      </c>
      <c r="BB1791" s="3" t="s">
        <v>17261</v>
      </c>
      <c r="BC1791" s="3" t="s">
        <v>142</v>
      </c>
      <c r="BD1791" s="3" t="s">
        <v>68</v>
      </c>
      <c r="BE1791" s="3" t="s">
        <v>17259</v>
      </c>
      <c r="BF1791" s="3" t="s">
        <v>17261</v>
      </c>
      <c r="BG1791" s="3" t="s">
        <v>17262</v>
      </c>
    </row>
    <row r="1792" spans="1:59" ht="57" x14ac:dyDescent="0.45">
      <c r="A1792" s="2" t="s">
        <v>59</v>
      </c>
      <c r="B1792" s="2" t="s">
        <v>60</v>
      </c>
      <c r="C1792" s="2" t="s">
        <v>17248</v>
      </c>
      <c r="D1792" s="2" t="s">
        <v>17249</v>
      </c>
      <c r="E1792" s="2" t="s">
        <v>17250</v>
      </c>
      <c r="G1792" s="3" t="s">
        <v>62</v>
      </c>
      <c r="I1792" s="3" t="s">
        <v>61</v>
      </c>
      <c r="J1792" s="3" t="s">
        <v>62</v>
      </c>
      <c r="K1792" s="3" t="s">
        <v>63</v>
      </c>
      <c r="L1792" s="2" t="s">
        <v>17251</v>
      </c>
      <c r="M1792" s="2" t="s">
        <v>17252</v>
      </c>
      <c r="N1792" s="3" t="s">
        <v>16907</v>
      </c>
      <c r="P1792" s="3" t="s">
        <v>65</v>
      </c>
      <c r="R1792" s="3" t="s">
        <v>66</v>
      </c>
      <c r="S1792" s="4">
        <v>10</v>
      </c>
      <c r="T1792" s="4">
        <v>102</v>
      </c>
      <c r="U1792" s="5" t="s">
        <v>17263</v>
      </c>
      <c r="V1792" s="5" t="s">
        <v>17254</v>
      </c>
      <c r="W1792" s="5" t="s">
        <v>67</v>
      </c>
      <c r="X1792" s="5" t="s">
        <v>67</v>
      </c>
      <c r="Y1792" s="4">
        <v>661</v>
      </c>
      <c r="Z1792" s="4">
        <v>44</v>
      </c>
      <c r="AA1792" s="4">
        <v>49</v>
      </c>
      <c r="AB1792" s="4">
        <v>3</v>
      </c>
      <c r="AC1792" s="4">
        <v>8</v>
      </c>
      <c r="AD1792" s="4">
        <v>132</v>
      </c>
      <c r="AE1792" s="4">
        <v>136</v>
      </c>
      <c r="AF1792" s="4">
        <v>2</v>
      </c>
      <c r="AG1792" s="4">
        <v>6</v>
      </c>
      <c r="AH1792" s="4">
        <v>103</v>
      </c>
      <c r="AI1792" s="4">
        <v>104</v>
      </c>
      <c r="AJ1792" s="4">
        <v>24</v>
      </c>
      <c r="AK1792" s="4">
        <v>28</v>
      </c>
      <c r="AL1792" s="4">
        <v>58</v>
      </c>
      <c r="AM1792" s="4">
        <v>58</v>
      </c>
      <c r="AN1792" s="4">
        <v>0</v>
      </c>
      <c r="AO1792" s="4">
        <v>0</v>
      </c>
      <c r="AP1792" s="4">
        <v>36</v>
      </c>
      <c r="AQ1792" s="4">
        <v>39</v>
      </c>
      <c r="AR1792" s="3" t="s">
        <v>62</v>
      </c>
      <c r="AS1792" s="3" t="s">
        <v>62</v>
      </c>
      <c r="AT1792" s="3" t="s">
        <v>61</v>
      </c>
      <c r="AU1792" s="6" t="str">
        <f>HYPERLINK("http://catalog.hathitrust.org/Record/000000426","HathiTrust Record")</f>
        <v>HathiTrust Record</v>
      </c>
      <c r="AV1792" s="6" t="str">
        <f>HYPERLINK("http://mcgill.on.worldcat.org/oclc/45548","Catalog Record")</f>
        <v>Catalog Record</v>
      </c>
      <c r="AW1792" s="6" t="str">
        <f>HYPERLINK("http://www.worldcat.org/oclc/45548","WorldCat Record")</f>
        <v>WorldCat Record</v>
      </c>
      <c r="AX1792" s="3" t="s">
        <v>17255</v>
      </c>
      <c r="AY1792" s="3" t="s">
        <v>17256</v>
      </c>
      <c r="AZ1792" s="3" t="s">
        <v>17257</v>
      </c>
      <c r="BA1792" s="3" t="s">
        <v>17257</v>
      </c>
      <c r="BB1792" s="3" t="s">
        <v>17264</v>
      </c>
      <c r="BC1792" s="3" t="s">
        <v>142</v>
      </c>
      <c r="BD1792" s="3" t="s">
        <v>68</v>
      </c>
      <c r="BE1792" s="3" t="s">
        <v>17259</v>
      </c>
      <c r="BF1792" s="3" t="s">
        <v>17264</v>
      </c>
      <c r="BG1792" s="3" t="s">
        <v>17265</v>
      </c>
    </row>
    <row r="1793" spans="1:59" ht="57" x14ac:dyDescent="0.45">
      <c r="A1793" s="2" t="s">
        <v>59</v>
      </c>
      <c r="B1793" s="2" t="s">
        <v>60</v>
      </c>
      <c r="C1793" s="2" t="s">
        <v>17266</v>
      </c>
      <c r="D1793" s="2" t="s">
        <v>17267</v>
      </c>
      <c r="E1793" s="2" t="s">
        <v>17268</v>
      </c>
      <c r="G1793" s="3" t="s">
        <v>62</v>
      </c>
      <c r="I1793" s="3" t="s">
        <v>62</v>
      </c>
      <c r="J1793" s="3" t="s">
        <v>61</v>
      </c>
      <c r="K1793" s="3" t="s">
        <v>63</v>
      </c>
      <c r="L1793" s="2" t="s">
        <v>17269</v>
      </c>
      <c r="M1793" s="2" t="s">
        <v>17270</v>
      </c>
      <c r="N1793" s="3" t="s">
        <v>220</v>
      </c>
      <c r="P1793" s="3" t="s">
        <v>65</v>
      </c>
      <c r="Q1793" s="2" t="s">
        <v>17271</v>
      </c>
      <c r="R1793" s="3" t="s">
        <v>66</v>
      </c>
      <c r="S1793" s="4">
        <v>3</v>
      </c>
      <c r="T1793" s="4">
        <v>3</v>
      </c>
      <c r="U1793" s="5" t="s">
        <v>17272</v>
      </c>
      <c r="V1793" s="5" t="s">
        <v>17272</v>
      </c>
      <c r="W1793" s="5" t="s">
        <v>67</v>
      </c>
      <c r="X1793" s="5" t="s">
        <v>67</v>
      </c>
      <c r="Y1793" s="4">
        <v>34</v>
      </c>
      <c r="Z1793" s="4">
        <v>5</v>
      </c>
      <c r="AA1793" s="4">
        <v>8</v>
      </c>
      <c r="AB1793" s="4">
        <v>1</v>
      </c>
      <c r="AC1793" s="4">
        <v>1</v>
      </c>
      <c r="AD1793" s="4">
        <v>15</v>
      </c>
      <c r="AE1793" s="4">
        <v>19</v>
      </c>
      <c r="AF1793" s="4">
        <v>0</v>
      </c>
      <c r="AG1793" s="4">
        <v>0</v>
      </c>
      <c r="AH1793" s="4">
        <v>12</v>
      </c>
      <c r="AI1793" s="4">
        <v>15</v>
      </c>
      <c r="AJ1793" s="4">
        <v>4</v>
      </c>
      <c r="AK1793" s="4">
        <v>6</v>
      </c>
      <c r="AL1793" s="4">
        <v>6</v>
      </c>
      <c r="AM1793" s="4">
        <v>8</v>
      </c>
      <c r="AN1793" s="4">
        <v>0</v>
      </c>
      <c r="AO1793" s="4">
        <v>0</v>
      </c>
      <c r="AP1793" s="4">
        <v>4</v>
      </c>
      <c r="AQ1793" s="4">
        <v>6</v>
      </c>
      <c r="AR1793" s="3" t="s">
        <v>62</v>
      </c>
      <c r="AS1793" s="3" t="s">
        <v>62</v>
      </c>
      <c r="AT1793" s="3" t="s">
        <v>61</v>
      </c>
      <c r="AU1793" s="6" t="str">
        <f>HYPERLINK("http://catalog.hathitrust.org/Record/001180867","HathiTrust Record")</f>
        <v>HathiTrust Record</v>
      </c>
      <c r="AV1793" s="6" t="str">
        <f>HYPERLINK("http://mcgill.on.worldcat.org/oclc/1197979","Catalog Record")</f>
        <v>Catalog Record</v>
      </c>
      <c r="AW1793" s="6" t="str">
        <f>HYPERLINK("http://www.worldcat.org/oclc/1197979","WorldCat Record")</f>
        <v>WorldCat Record</v>
      </c>
      <c r="AX1793" s="3" t="s">
        <v>17273</v>
      </c>
      <c r="AY1793" s="3" t="s">
        <v>17274</v>
      </c>
      <c r="AZ1793" s="3" t="s">
        <v>17275</v>
      </c>
      <c r="BA1793" s="3" t="s">
        <v>17275</v>
      </c>
      <c r="BB1793" s="3" t="s">
        <v>17276</v>
      </c>
      <c r="BC1793" s="3" t="s">
        <v>142</v>
      </c>
      <c r="BD1793" s="3" t="s">
        <v>68</v>
      </c>
      <c r="BF1793" s="3" t="s">
        <v>17276</v>
      </c>
      <c r="BG1793" s="3" t="s">
        <v>17277</v>
      </c>
    </row>
    <row r="1794" spans="1:59" ht="57" x14ac:dyDescent="0.45">
      <c r="A1794" s="2" t="s">
        <v>59</v>
      </c>
      <c r="B1794" s="2" t="s">
        <v>60</v>
      </c>
      <c r="C1794" s="2" t="s">
        <v>17278</v>
      </c>
      <c r="D1794" s="2" t="s">
        <v>17279</v>
      </c>
      <c r="E1794" s="2" t="s">
        <v>17280</v>
      </c>
      <c r="G1794" s="3" t="s">
        <v>62</v>
      </c>
      <c r="I1794" s="3" t="s">
        <v>62</v>
      </c>
      <c r="J1794" s="3" t="s">
        <v>61</v>
      </c>
      <c r="K1794" s="3" t="s">
        <v>63</v>
      </c>
      <c r="L1794" s="2" t="s">
        <v>17281</v>
      </c>
      <c r="M1794" s="2" t="s">
        <v>17282</v>
      </c>
      <c r="N1794" s="3" t="s">
        <v>117</v>
      </c>
      <c r="P1794" s="3" t="s">
        <v>65</v>
      </c>
      <c r="Q1794" s="2" t="s">
        <v>17283</v>
      </c>
      <c r="R1794" s="3" t="s">
        <v>66</v>
      </c>
      <c r="S1794" s="4">
        <v>105</v>
      </c>
      <c r="T1794" s="4">
        <v>105</v>
      </c>
      <c r="U1794" s="5" t="s">
        <v>17284</v>
      </c>
      <c r="V1794" s="5" t="s">
        <v>17284</v>
      </c>
      <c r="W1794" s="5" t="s">
        <v>67</v>
      </c>
      <c r="X1794" s="5" t="s">
        <v>67</v>
      </c>
      <c r="Y1794" s="4">
        <v>801</v>
      </c>
      <c r="Z1794" s="4">
        <v>34</v>
      </c>
      <c r="AA1794" s="4">
        <v>76</v>
      </c>
      <c r="AB1794" s="4">
        <v>3</v>
      </c>
      <c r="AC1794" s="4">
        <v>16</v>
      </c>
      <c r="AD1794" s="4">
        <v>123</v>
      </c>
      <c r="AE1794" s="4">
        <v>153</v>
      </c>
      <c r="AF1794" s="4">
        <v>1</v>
      </c>
      <c r="AG1794" s="4">
        <v>7</v>
      </c>
      <c r="AH1794" s="4">
        <v>108</v>
      </c>
      <c r="AI1794" s="4">
        <v>116</v>
      </c>
      <c r="AJ1794" s="4">
        <v>16</v>
      </c>
      <c r="AK1794" s="4">
        <v>26</v>
      </c>
      <c r="AL1794" s="4">
        <v>60</v>
      </c>
      <c r="AM1794" s="4">
        <v>61</v>
      </c>
      <c r="AN1794" s="4">
        <v>0</v>
      </c>
      <c r="AO1794" s="4">
        <v>0</v>
      </c>
      <c r="AP1794" s="4">
        <v>21</v>
      </c>
      <c r="AQ1794" s="4">
        <v>46</v>
      </c>
      <c r="AR1794" s="3" t="s">
        <v>62</v>
      </c>
      <c r="AS1794" s="3" t="s">
        <v>62</v>
      </c>
      <c r="AT1794" s="3" t="s">
        <v>61</v>
      </c>
      <c r="AU1794" s="6" t="str">
        <f>HYPERLINK("http://catalog.hathitrust.org/Record/000686738","HathiTrust Record")</f>
        <v>HathiTrust Record</v>
      </c>
      <c r="AV1794" s="6" t="str">
        <f>HYPERLINK("http://mcgill.on.worldcat.org/oclc/6581330","Catalog Record")</f>
        <v>Catalog Record</v>
      </c>
      <c r="AW1794" s="6" t="str">
        <f>HYPERLINK("http://www.worldcat.org/oclc/6581330","WorldCat Record")</f>
        <v>WorldCat Record</v>
      </c>
      <c r="AX1794" s="3" t="s">
        <v>17285</v>
      </c>
      <c r="AY1794" s="3" t="s">
        <v>17286</v>
      </c>
      <c r="AZ1794" s="3" t="s">
        <v>17287</v>
      </c>
      <c r="BA1794" s="3" t="s">
        <v>17287</v>
      </c>
      <c r="BB1794" s="3" t="s">
        <v>17288</v>
      </c>
      <c r="BC1794" s="3" t="s">
        <v>142</v>
      </c>
      <c r="BD1794" s="3" t="s">
        <v>68</v>
      </c>
      <c r="BE1794" s="3" t="s">
        <v>17289</v>
      </c>
      <c r="BF1794" s="3" t="s">
        <v>17288</v>
      </c>
      <c r="BG1794" s="3" t="s">
        <v>17290</v>
      </c>
    </row>
    <row r="1795" spans="1:59" ht="57" x14ac:dyDescent="0.45">
      <c r="A1795" s="2" t="s">
        <v>59</v>
      </c>
      <c r="B1795" s="2" t="s">
        <v>60</v>
      </c>
      <c r="C1795" s="2" t="s">
        <v>17291</v>
      </c>
      <c r="D1795" s="2" t="s">
        <v>17292</v>
      </c>
      <c r="E1795" s="2" t="s">
        <v>17280</v>
      </c>
      <c r="G1795" s="3" t="s">
        <v>62</v>
      </c>
      <c r="I1795" s="3" t="s">
        <v>62</v>
      </c>
      <c r="J1795" s="3" t="s">
        <v>61</v>
      </c>
      <c r="K1795" s="3" t="s">
        <v>63</v>
      </c>
      <c r="L1795" s="2" t="s">
        <v>17281</v>
      </c>
      <c r="M1795" s="2" t="s">
        <v>17293</v>
      </c>
      <c r="N1795" s="3" t="s">
        <v>116</v>
      </c>
      <c r="O1795" s="2" t="s">
        <v>906</v>
      </c>
      <c r="P1795" s="3" t="s">
        <v>65</v>
      </c>
      <c r="R1795" s="3" t="s">
        <v>66</v>
      </c>
      <c r="S1795" s="4">
        <v>23</v>
      </c>
      <c r="T1795" s="4">
        <v>23</v>
      </c>
      <c r="U1795" s="5" t="s">
        <v>17294</v>
      </c>
      <c r="V1795" s="5" t="s">
        <v>17294</v>
      </c>
      <c r="W1795" s="5" t="s">
        <v>67</v>
      </c>
      <c r="X1795" s="5" t="s">
        <v>67</v>
      </c>
      <c r="Y1795" s="4">
        <v>320</v>
      </c>
      <c r="Z1795" s="4">
        <v>28</v>
      </c>
      <c r="AA1795" s="4">
        <v>76</v>
      </c>
      <c r="AB1795" s="4">
        <v>2</v>
      </c>
      <c r="AC1795" s="4">
        <v>16</v>
      </c>
      <c r="AD1795" s="4">
        <v>76</v>
      </c>
      <c r="AE1795" s="4">
        <v>153</v>
      </c>
      <c r="AF1795" s="4">
        <v>1</v>
      </c>
      <c r="AG1795" s="4">
        <v>7</v>
      </c>
      <c r="AH1795" s="4">
        <v>62</v>
      </c>
      <c r="AI1795" s="4">
        <v>116</v>
      </c>
      <c r="AJ1795" s="4">
        <v>13</v>
      </c>
      <c r="AK1795" s="4">
        <v>26</v>
      </c>
      <c r="AL1795" s="4">
        <v>38</v>
      </c>
      <c r="AM1795" s="4">
        <v>61</v>
      </c>
      <c r="AN1795" s="4">
        <v>0</v>
      </c>
      <c r="AO1795" s="4">
        <v>0</v>
      </c>
      <c r="AP1795" s="4">
        <v>19</v>
      </c>
      <c r="AQ1795" s="4">
        <v>46</v>
      </c>
      <c r="AR1795" s="3" t="s">
        <v>62</v>
      </c>
      <c r="AS1795" s="3" t="s">
        <v>62</v>
      </c>
      <c r="AT1795" s="3" t="s">
        <v>62</v>
      </c>
      <c r="AV1795" s="6" t="str">
        <f>HYPERLINK("http://mcgill.on.worldcat.org/oclc/765486192","Catalog Record")</f>
        <v>Catalog Record</v>
      </c>
      <c r="AW1795" s="6" t="str">
        <f>HYPERLINK("http://www.worldcat.org/oclc/765486192","WorldCat Record")</f>
        <v>WorldCat Record</v>
      </c>
      <c r="AX1795" s="3" t="s">
        <v>17285</v>
      </c>
      <c r="AY1795" s="3" t="s">
        <v>17295</v>
      </c>
      <c r="AZ1795" s="3" t="s">
        <v>17296</v>
      </c>
      <c r="BA1795" s="3" t="s">
        <v>17296</v>
      </c>
      <c r="BB1795" s="3" t="s">
        <v>17297</v>
      </c>
      <c r="BC1795" s="3" t="s">
        <v>142</v>
      </c>
      <c r="BD1795" s="3" t="s">
        <v>68</v>
      </c>
      <c r="BE1795" s="3" t="s">
        <v>17298</v>
      </c>
      <c r="BF1795" s="3" t="s">
        <v>17297</v>
      </c>
      <c r="BG1795" s="3" t="s">
        <v>17299</v>
      </c>
    </row>
    <row r="1796" spans="1:59" ht="57" x14ac:dyDescent="0.45">
      <c r="A1796" s="2" t="s">
        <v>59</v>
      </c>
      <c r="B1796" s="2" t="s">
        <v>60</v>
      </c>
      <c r="C1796" s="2" t="s">
        <v>17300</v>
      </c>
      <c r="D1796" s="2" t="s">
        <v>17301</v>
      </c>
      <c r="E1796" s="2" t="s">
        <v>17302</v>
      </c>
      <c r="G1796" s="3" t="s">
        <v>62</v>
      </c>
      <c r="I1796" s="3" t="s">
        <v>62</v>
      </c>
      <c r="J1796" s="3" t="s">
        <v>62</v>
      </c>
      <c r="K1796" s="3" t="s">
        <v>63</v>
      </c>
      <c r="L1796" s="2" t="s">
        <v>17303</v>
      </c>
      <c r="M1796" s="2" t="s">
        <v>17304</v>
      </c>
      <c r="N1796" s="3" t="s">
        <v>820</v>
      </c>
      <c r="P1796" s="3" t="s">
        <v>110</v>
      </c>
      <c r="Q1796" s="2" t="s">
        <v>17305</v>
      </c>
      <c r="R1796" s="3" t="s">
        <v>66</v>
      </c>
      <c r="S1796" s="4">
        <v>6</v>
      </c>
      <c r="T1796" s="4">
        <v>6</v>
      </c>
      <c r="U1796" s="5" t="s">
        <v>17306</v>
      </c>
      <c r="V1796" s="5" t="s">
        <v>17306</v>
      </c>
      <c r="W1796" s="5" t="s">
        <v>67</v>
      </c>
      <c r="X1796" s="5" t="s">
        <v>67</v>
      </c>
      <c r="Y1796" s="4">
        <v>62</v>
      </c>
      <c r="Z1796" s="4">
        <v>33</v>
      </c>
      <c r="AA1796" s="4">
        <v>104</v>
      </c>
      <c r="AB1796" s="4">
        <v>22</v>
      </c>
      <c r="AC1796" s="4">
        <v>28</v>
      </c>
      <c r="AD1796" s="4">
        <v>13</v>
      </c>
      <c r="AE1796" s="4">
        <v>52</v>
      </c>
      <c r="AF1796" s="4">
        <v>7</v>
      </c>
      <c r="AG1796" s="4">
        <v>8</v>
      </c>
      <c r="AH1796" s="4">
        <v>2</v>
      </c>
      <c r="AI1796" s="4">
        <v>24</v>
      </c>
      <c r="AJ1796" s="4">
        <v>7</v>
      </c>
      <c r="AK1796" s="4">
        <v>19</v>
      </c>
      <c r="AL1796" s="4">
        <v>0</v>
      </c>
      <c r="AM1796" s="4">
        <v>9</v>
      </c>
      <c r="AN1796" s="4">
        <v>0</v>
      </c>
      <c r="AO1796" s="4">
        <v>0</v>
      </c>
      <c r="AP1796" s="4">
        <v>11</v>
      </c>
      <c r="AQ1796" s="4">
        <v>35</v>
      </c>
      <c r="AR1796" s="3" t="s">
        <v>61</v>
      </c>
      <c r="AS1796" s="3" t="s">
        <v>62</v>
      </c>
      <c r="AT1796" s="3" t="s">
        <v>62</v>
      </c>
      <c r="AV1796" s="6" t="str">
        <f>HYPERLINK("http://mcgill.on.worldcat.org/oclc/233787039","Catalog Record")</f>
        <v>Catalog Record</v>
      </c>
      <c r="AW1796" s="6" t="str">
        <f>HYPERLINK("http://www.worldcat.org/oclc/233787039","WorldCat Record")</f>
        <v>WorldCat Record</v>
      </c>
      <c r="AX1796" s="3" t="s">
        <v>17307</v>
      </c>
      <c r="AY1796" s="3" t="s">
        <v>17308</v>
      </c>
      <c r="AZ1796" s="3" t="s">
        <v>17309</v>
      </c>
      <c r="BA1796" s="3" t="s">
        <v>17309</v>
      </c>
      <c r="BB1796" s="3" t="s">
        <v>17310</v>
      </c>
      <c r="BC1796" s="3" t="s">
        <v>142</v>
      </c>
      <c r="BD1796" s="3" t="s">
        <v>68</v>
      </c>
      <c r="BE1796" s="3" t="s">
        <v>17311</v>
      </c>
      <c r="BF1796" s="3" t="s">
        <v>17310</v>
      </c>
      <c r="BG1796" s="3" t="s">
        <v>17312</v>
      </c>
    </row>
    <row r="1797" spans="1:59" ht="57" x14ac:dyDescent="0.45">
      <c r="A1797" s="2" t="s">
        <v>59</v>
      </c>
      <c r="B1797" s="2" t="s">
        <v>60</v>
      </c>
      <c r="C1797" s="2" t="s">
        <v>17313</v>
      </c>
      <c r="D1797" s="2" t="s">
        <v>17314</v>
      </c>
      <c r="E1797" s="2" t="s">
        <v>17315</v>
      </c>
      <c r="G1797" s="3" t="s">
        <v>62</v>
      </c>
      <c r="I1797" s="3" t="s">
        <v>62</v>
      </c>
      <c r="J1797" s="3" t="s">
        <v>62</v>
      </c>
      <c r="K1797" s="3" t="s">
        <v>63</v>
      </c>
      <c r="L1797" s="2" t="s">
        <v>17316</v>
      </c>
      <c r="M1797" s="2" t="s">
        <v>17317</v>
      </c>
      <c r="N1797" s="3" t="s">
        <v>1855</v>
      </c>
      <c r="P1797" s="3" t="s">
        <v>65</v>
      </c>
      <c r="Q1797" s="2" t="s">
        <v>17318</v>
      </c>
      <c r="R1797" s="3" t="s">
        <v>66</v>
      </c>
      <c r="S1797" s="4">
        <v>19</v>
      </c>
      <c r="T1797" s="4">
        <v>19</v>
      </c>
      <c r="U1797" s="5" t="s">
        <v>17319</v>
      </c>
      <c r="V1797" s="5" t="s">
        <v>17319</v>
      </c>
      <c r="W1797" s="5" t="s">
        <v>67</v>
      </c>
      <c r="X1797" s="5" t="s">
        <v>67</v>
      </c>
      <c r="Y1797" s="4">
        <v>232</v>
      </c>
      <c r="Z1797" s="4">
        <v>17</v>
      </c>
      <c r="AA1797" s="4">
        <v>103</v>
      </c>
      <c r="AB1797" s="4">
        <v>2</v>
      </c>
      <c r="AC1797" s="4">
        <v>17</v>
      </c>
      <c r="AD1797" s="4">
        <v>75</v>
      </c>
      <c r="AE1797" s="4">
        <v>131</v>
      </c>
      <c r="AF1797" s="4">
        <v>1</v>
      </c>
      <c r="AG1797" s="4">
        <v>8</v>
      </c>
      <c r="AH1797" s="4">
        <v>67</v>
      </c>
      <c r="AI1797" s="4">
        <v>94</v>
      </c>
      <c r="AJ1797" s="4">
        <v>13</v>
      </c>
      <c r="AK1797" s="4">
        <v>24</v>
      </c>
      <c r="AL1797" s="4">
        <v>35</v>
      </c>
      <c r="AM1797" s="4">
        <v>49</v>
      </c>
      <c r="AN1797" s="4">
        <v>0</v>
      </c>
      <c r="AO1797" s="4">
        <v>0</v>
      </c>
      <c r="AP1797" s="4">
        <v>14</v>
      </c>
      <c r="AQ1797" s="4">
        <v>46</v>
      </c>
      <c r="AR1797" s="3" t="s">
        <v>62</v>
      </c>
      <c r="AS1797" s="3" t="s">
        <v>62</v>
      </c>
      <c r="AT1797" s="3" t="s">
        <v>61</v>
      </c>
      <c r="AU1797" s="6" t="str">
        <f>HYPERLINK("http://catalog.hathitrust.org/Record/005634454","HathiTrust Record")</f>
        <v>HathiTrust Record</v>
      </c>
      <c r="AV1797" s="6" t="str">
        <f>HYPERLINK("http://mcgill.on.worldcat.org/oclc/60740926","Catalog Record")</f>
        <v>Catalog Record</v>
      </c>
      <c r="AW1797" s="6" t="str">
        <f>HYPERLINK("http://www.worldcat.org/oclc/60740926","WorldCat Record")</f>
        <v>WorldCat Record</v>
      </c>
      <c r="AX1797" s="3" t="s">
        <v>17320</v>
      </c>
      <c r="AY1797" s="3" t="s">
        <v>17321</v>
      </c>
      <c r="AZ1797" s="3" t="s">
        <v>17322</v>
      </c>
      <c r="BA1797" s="3" t="s">
        <v>17322</v>
      </c>
      <c r="BB1797" s="3" t="s">
        <v>17323</v>
      </c>
      <c r="BC1797" s="3" t="s">
        <v>142</v>
      </c>
      <c r="BD1797" s="3" t="s">
        <v>68</v>
      </c>
      <c r="BE1797" s="3" t="s">
        <v>17324</v>
      </c>
      <c r="BF1797" s="3" t="s">
        <v>17323</v>
      </c>
      <c r="BG1797" s="3" t="s">
        <v>17325</v>
      </c>
    </row>
    <row r="1798" spans="1:59" ht="57" x14ac:dyDescent="0.45">
      <c r="A1798" s="2" t="s">
        <v>59</v>
      </c>
      <c r="B1798" s="2" t="s">
        <v>60</v>
      </c>
      <c r="C1798" s="2" t="s">
        <v>17326</v>
      </c>
      <c r="D1798" s="2" t="s">
        <v>17327</v>
      </c>
      <c r="E1798" s="2" t="s">
        <v>17328</v>
      </c>
      <c r="G1798" s="3" t="s">
        <v>62</v>
      </c>
      <c r="I1798" s="3" t="s">
        <v>62</v>
      </c>
      <c r="J1798" s="3" t="s">
        <v>62</v>
      </c>
      <c r="K1798" s="3" t="s">
        <v>63</v>
      </c>
      <c r="L1798" s="2" t="s">
        <v>17329</v>
      </c>
      <c r="M1798" s="2" t="s">
        <v>17330</v>
      </c>
      <c r="N1798" s="3" t="s">
        <v>625</v>
      </c>
      <c r="P1798" s="3" t="s">
        <v>65</v>
      </c>
      <c r="R1798" s="3" t="s">
        <v>66</v>
      </c>
      <c r="S1798" s="4">
        <v>11</v>
      </c>
      <c r="T1798" s="4">
        <v>11</v>
      </c>
      <c r="U1798" s="5" t="s">
        <v>13047</v>
      </c>
      <c r="V1798" s="5" t="s">
        <v>13047</v>
      </c>
      <c r="W1798" s="5" t="s">
        <v>67</v>
      </c>
      <c r="X1798" s="5" t="s">
        <v>67</v>
      </c>
      <c r="Y1798" s="4">
        <v>540</v>
      </c>
      <c r="Z1798" s="4">
        <v>29</v>
      </c>
      <c r="AA1798" s="4">
        <v>35</v>
      </c>
      <c r="AB1798" s="4">
        <v>2</v>
      </c>
      <c r="AC1798" s="4">
        <v>6</v>
      </c>
      <c r="AD1798" s="4">
        <v>118</v>
      </c>
      <c r="AE1798" s="4">
        <v>123</v>
      </c>
      <c r="AF1798" s="4">
        <v>1</v>
      </c>
      <c r="AG1798" s="4">
        <v>4</v>
      </c>
      <c r="AH1798" s="4">
        <v>105</v>
      </c>
      <c r="AI1798" s="4">
        <v>106</v>
      </c>
      <c r="AJ1798" s="4">
        <v>17</v>
      </c>
      <c r="AK1798" s="4">
        <v>20</v>
      </c>
      <c r="AL1798" s="4">
        <v>56</v>
      </c>
      <c r="AM1798" s="4">
        <v>56</v>
      </c>
      <c r="AN1798" s="4">
        <v>0</v>
      </c>
      <c r="AO1798" s="4">
        <v>0</v>
      </c>
      <c r="AP1798" s="4">
        <v>21</v>
      </c>
      <c r="AQ1798" s="4">
        <v>25</v>
      </c>
      <c r="AR1798" s="3" t="s">
        <v>62</v>
      </c>
      <c r="AS1798" s="3" t="s">
        <v>62</v>
      </c>
      <c r="AT1798" s="3" t="s">
        <v>62</v>
      </c>
      <c r="AV1798" s="6" t="str">
        <f>HYPERLINK("http://mcgill.on.worldcat.org/oclc/13560657","Catalog Record")</f>
        <v>Catalog Record</v>
      </c>
      <c r="AW1798" s="6" t="str">
        <f>HYPERLINK("http://www.worldcat.org/oclc/13560657","WorldCat Record")</f>
        <v>WorldCat Record</v>
      </c>
      <c r="AX1798" s="3" t="s">
        <v>17331</v>
      </c>
      <c r="AY1798" s="3" t="s">
        <v>17332</v>
      </c>
      <c r="AZ1798" s="3" t="s">
        <v>17333</v>
      </c>
      <c r="BA1798" s="3" t="s">
        <v>17333</v>
      </c>
      <c r="BB1798" s="3" t="s">
        <v>17334</v>
      </c>
      <c r="BC1798" s="3" t="s">
        <v>142</v>
      </c>
      <c r="BD1798" s="3" t="s">
        <v>68</v>
      </c>
      <c r="BE1798" s="3" t="s">
        <v>17335</v>
      </c>
      <c r="BF1798" s="3" t="s">
        <v>17334</v>
      </c>
      <c r="BG1798" s="3" t="s">
        <v>17336</v>
      </c>
    </row>
    <row r="1799" spans="1:59" ht="57" x14ac:dyDescent="0.45">
      <c r="A1799" s="2" t="s">
        <v>59</v>
      </c>
      <c r="B1799" s="2" t="s">
        <v>60</v>
      </c>
      <c r="C1799" s="2" t="s">
        <v>17337</v>
      </c>
      <c r="D1799" s="2" t="s">
        <v>17338</v>
      </c>
      <c r="E1799" s="2" t="s">
        <v>17339</v>
      </c>
      <c r="G1799" s="3" t="s">
        <v>62</v>
      </c>
      <c r="I1799" s="3" t="s">
        <v>62</v>
      </c>
      <c r="J1799" s="3" t="s">
        <v>61</v>
      </c>
      <c r="K1799" s="3" t="s">
        <v>63</v>
      </c>
      <c r="L1799" s="2" t="s">
        <v>17340</v>
      </c>
      <c r="M1799" s="2" t="s">
        <v>17341</v>
      </c>
      <c r="N1799" s="3" t="s">
        <v>1437</v>
      </c>
      <c r="P1799" s="3" t="s">
        <v>65</v>
      </c>
      <c r="Q1799" s="2" t="s">
        <v>3508</v>
      </c>
      <c r="R1799" s="3" t="s">
        <v>66</v>
      </c>
      <c r="S1799" s="4">
        <v>36</v>
      </c>
      <c r="T1799" s="4">
        <v>36</v>
      </c>
      <c r="U1799" s="5" t="s">
        <v>16585</v>
      </c>
      <c r="V1799" s="5" t="s">
        <v>16585</v>
      </c>
      <c r="W1799" s="5" t="s">
        <v>67</v>
      </c>
      <c r="X1799" s="5" t="s">
        <v>67</v>
      </c>
      <c r="Y1799" s="4">
        <v>377</v>
      </c>
      <c r="Z1799" s="4">
        <v>19</v>
      </c>
      <c r="AA1799" s="4">
        <v>48</v>
      </c>
      <c r="AB1799" s="4">
        <v>2</v>
      </c>
      <c r="AC1799" s="4">
        <v>11</v>
      </c>
      <c r="AD1799" s="4">
        <v>98</v>
      </c>
      <c r="AE1799" s="4">
        <v>129</v>
      </c>
      <c r="AF1799" s="4">
        <v>1</v>
      </c>
      <c r="AG1799" s="4">
        <v>5</v>
      </c>
      <c r="AH1799" s="4">
        <v>92</v>
      </c>
      <c r="AI1799" s="4">
        <v>108</v>
      </c>
      <c r="AJ1799" s="4">
        <v>14</v>
      </c>
      <c r="AK1799" s="4">
        <v>22</v>
      </c>
      <c r="AL1799" s="4">
        <v>46</v>
      </c>
      <c r="AM1799" s="4">
        <v>56</v>
      </c>
      <c r="AN1799" s="4">
        <v>0</v>
      </c>
      <c r="AO1799" s="4">
        <v>0</v>
      </c>
      <c r="AP1799" s="4">
        <v>16</v>
      </c>
      <c r="AQ1799" s="4">
        <v>31</v>
      </c>
      <c r="AR1799" s="3" t="s">
        <v>62</v>
      </c>
      <c r="AS1799" s="3" t="s">
        <v>62</v>
      </c>
      <c r="AT1799" s="3" t="s">
        <v>61</v>
      </c>
      <c r="AU1799" s="6" t="str">
        <f>HYPERLINK("http://catalog.hathitrust.org/Record/003985370","HathiTrust Record")</f>
        <v>HathiTrust Record</v>
      </c>
      <c r="AV1799" s="6" t="str">
        <f>HYPERLINK("http://mcgill.on.worldcat.org/oclc/38048228","Catalog Record")</f>
        <v>Catalog Record</v>
      </c>
      <c r="AW1799" s="6" t="str">
        <f>HYPERLINK("http://www.worldcat.org/oclc/38048228","WorldCat Record")</f>
        <v>WorldCat Record</v>
      </c>
      <c r="AX1799" s="3" t="s">
        <v>17342</v>
      </c>
      <c r="AY1799" s="3" t="s">
        <v>17343</v>
      </c>
      <c r="AZ1799" s="3" t="s">
        <v>17344</v>
      </c>
      <c r="BA1799" s="3" t="s">
        <v>17344</v>
      </c>
      <c r="BB1799" s="3" t="s">
        <v>17345</v>
      </c>
      <c r="BC1799" s="3" t="s">
        <v>142</v>
      </c>
      <c r="BD1799" s="3" t="s">
        <v>68</v>
      </c>
      <c r="BE1799" s="3" t="s">
        <v>17346</v>
      </c>
      <c r="BF1799" s="3" t="s">
        <v>17345</v>
      </c>
      <c r="BG1799" s="3" t="s">
        <v>17347</v>
      </c>
    </row>
    <row r="1800" spans="1:59" ht="57" x14ac:dyDescent="0.45">
      <c r="A1800" s="2" t="s">
        <v>59</v>
      </c>
      <c r="B1800" s="2" t="s">
        <v>60</v>
      </c>
      <c r="C1800" s="2" t="s">
        <v>17348</v>
      </c>
      <c r="D1800" s="2" t="s">
        <v>17349</v>
      </c>
      <c r="E1800" s="2" t="s">
        <v>17339</v>
      </c>
      <c r="G1800" s="3" t="s">
        <v>62</v>
      </c>
      <c r="I1800" s="3" t="s">
        <v>62</v>
      </c>
      <c r="J1800" s="3" t="s">
        <v>61</v>
      </c>
      <c r="K1800" s="3" t="s">
        <v>63</v>
      </c>
      <c r="L1800" s="2" t="s">
        <v>17340</v>
      </c>
      <c r="M1800" s="2" t="s">
        <v>17350</v>
      </c>
      <c r="N1800" s="3" t="s">
        <v>1855</v>
      </c>
      <c r="O1800" s="2" t="s">
        <v>933</v>
      </c>
      <c r="P1800" s="3" t="s">
        <v>65</v>
      </c>
      <c r="Q1800" s="2" t="s">
        <v>17351</v>
      </c>
      <c r="R1800" s="3" t="s">
        <v>66</v>
      </c>
      <c r="S1800" s="4">
        <v>18</v>
      </c>
      <c r="T1800" s="4">
        <v>18</v>
      </c>
      <c r="U1800" s="5" t="s">
        <v>17352</v>
      </c>
      <c r="V1800" s="5" t="s">
        <v>17352</v>
      </c>
      <c r="W1800" s="5" t="s">
        <v>67</v>
      </c>
      <c r="X1800" s="5" t="s">
        <v>67</v>
      </c>
      <c r="Y1800" s="4">
        <v>300</v>
      </c>
      <c r="Z1800" s="4">
        <v>25</v>
      </c>
      <c r="AA1800" s="4">
        <v>48</v>
      </c>
      <c r="AB1800" s="4">
        <v>2</v>
      </c>
      <c r="AC1800" s="4">
        <v>11</v>
      </c>
      <c r="AD1800" s="4">
        <v>80</v>
      </c>
      <c r="AE1800" s="4">
        <v>129</v>
      </c>
      <c r="AF1800" s="4">
        <v>1</v>
      </c>
      <c r="AG1800" s="4">
        <v>5</v>
      </c>
      <c r="AH1800" s="4">
        <v>69</v>
      </c>
      <c r="AI1800" s="4">
        <v>108</v>
      </c>
      <c r="AJ1800" s="4">
        <v>14</v>
      </c>
      <c r="AK1800" s="4">
        <v>22</v>
      </c>
      <c r="AL1800" s="4">
        <v>35</v>
      </c>
      <c r="AM1800" s="4">
        <v>56</v>
      </c>
      <c r="AN1800" s="4">
        <v>0</v>
      </c>
      <c r="AO1800" s="4">
        <v>0</v>
      </c>
      <c r="AP1800" s="4">
        <v>18</v>
      </c>
      <c r="AQ1800" s="4">
        <v>31</v>
      </c>
      <c r="AR1800" s="3" t="s">
        <v>62</v>
      </c>
      <c r="AS1800" s="3" t="s">
        <v>62</v>
      </c>
      <c r="AT1800" s="3" t="s">
        <v>62</v>
      </c>
      <c r="AV1800" s="6" t="str">
        <f>HYPERLINK("http://mcgill.on.worldcat.org/oclc/56922430","Catalog Record")</f>
        <v>Catalog Record</v>
      </c>
      <c r="AW1800" s="6" t="str">
        <f>HYPERLINK("http://www.worldcat.org/oclc/56922430","WorldCat Record")</f>
        <v>WorldCat Record</v>
      </c>
      <c r="AX1800" s="3" t="s">
        <v>17342</v>
      </c>
      <c r="AY1800" s="3" t="s">
        <v>17353</v>
      </c>
      <c r="AZ1800" s="3" t="s">
        <v>17354</v>
      </c>
      <c r="BA1800" s="3" t="s">
        <v>17354</v>
      </c>
      <c r="BB1800" s="3" t="s">
        <v>17355</v>
      </c>
      <c r="BC1800" s="3" t="s">
        <v>142</v>
      </c>
      <c r="BD1800" s="3" t="s">
        <v>68</v>
      </c>
      <c r="BE1800" s="3" t="s">
        <v>17356</v>
      </c>
      <c r="BF1800" s="3" t="s">
        <v>17355</v>
      </c>
      <c r="BG1800" s="3" t="s">
        <v>17357</v>
      </c>
    </row>
    <row r="1801" spans="1:59" ht="57" x14ac:dyDescent="0.45">
      <c r="A1801" s="2" t="s">
        <v>59</v>
      </c>
      <c r="B1801" s="2" t="s">
        <v>60</v>
      </c>
      <c r="C1801" s="2" t="s">
        <v>17358</v>
      </c>
      <c r="D1801" s="2" t="s">
        <v>17359</v>
      </c>
      <c r="E1801" s="2" t="s">
        <v>17360</v>
      </c>
      <c r="G1801" s="3" t="s">
        <v>62</v>
      </c>
      <c r="I1801" s="3" t="s">
        <v>62</v>
      </c>
      <c r="J1801" s="3" t="s">
        <v>61</v>
      </c>
      <c r="K1801" s="3" t="s">
        <v>63</v>
      </c>
      <c r="L1801" s="2" t="s">
        <v>17340</v>
      </c>
      <c r="M1801" s="2" t="s">
        <v>17361</v>
      </c>
      <c r="N1801" s="3" t="s">
        <v>1688</v>
      </c>
      <c r="O1801" s="2" t="s">
        <v>14488</v>
      </c>
      <c r="P1801" s="3" t="s">
        <v>65</v>
      </c>
      <c r="Q1801" s="2" t="s">
        <v>15094</v>
      </c>
      <c r="R1801" s="3" t="s">
        <v>66</v>
      </c>
      <c r="S1801" s="4">
        <v>6</v>
      </c>
      <c r="T1801" s="4">
        <v>6</v>
      </c>
      <c r="U1801" s="5" t="s">
        <v>1099</v>
      </c>
      <c r="V1801" s="5" t="s">
        <v>1099</v>
      </c>
      <c r="W1801" s="5" t="s">
        <v>67</v>
      </c>
      <c r="X1801" s="5" t="s">
        <v>67</v>
      </c>
      <c r="Y1801" s="4">
        <v>137</v>
      </c>
      <c r="Z1801" s="4">
        <v>14</v>
      </c>
      <c r="AA1801" s="4">
        <v>48</v>
      </c>
      <c r="AB1801" s="4">
        <v>2</v>
      </c>
      <c r="AC1801" s="4">
        <v>11</v>
      </c>
      <c r="AD1801" s="4">
        <v>42</v>
      </c>
      <c r="AE1801" s="4">
        <v>129</v>
      </c>
      <c r="AF1801" s="4">
        <v>1</v>
      </c>
      <c r="AG1801" s="4">
        <v>5</v>
      </c>
      <c r="AH1801" s="4">
        <v>36</v>
      </c>
      <c r="AI1801" s="4">
        <v>108</v>
      </c>
      <c r="AJ1801" s="4">
        <v>9</v>
      </c>
      <c r="AK1801" s="4">
        <v>22</v>
      </c>
      <c r="AL1801" s="4">
        <v>22</v>
      </c>
      <c r="AM1801" s="4">
        <v>56</v>
      </c>
      <c r="AN1801" s="4">
        <v>0</v>
      </c>
      <c r="AO1801" s="4">
        <v>0</v>
      </c>
      <c r="AP1801" s="4">
        <v>11</v>
      </c>
      <c r="AQ1801" s="4">
        <v>31</v>
      </c>
      <c r="AR1801" s="3" t="s">
        <v>62</v>
      </c>
      <c r="AS1801" s="3" t="s">
        <v>62</v>
      </c>
      <c r="AT1801" s="3" t="s">
        <v>62</v>
      </c>
      <c r="AV1801" s="6" t="str">
        <f>HYPERLINK("http://mcgill.on.worldcat.org/oclc/861273913","Catalog Record")</f>
        <v>Catalog Record</v>
      </c>
      <c r="AW1801" s="6" t="str">
        <f>HYPERLINK("http://www.worldcat.org/oclc/861273913","WorldCat Record")</f>
        <v>WorldCat Record</v>
      </c>
      <c r="AX1801" s="3" t="s">
        <v>17342</v>
      </c>
      <c r="AY1801" s="3" t="s">
        <v>17362</v>
      </c>
      <c r="AZ1801" s="3" t="s">
        <v>17363</v>
      </c>
      <c r="BA1801" s="3" t="s">
        <v>17363</v>
      </c>
      <c r="BB1801" s="3" t="s">
        <v>17364</v>
      </c>
      <c r="BC1801" s="3" t="s">
        <v>142</v>
      </c>
      <c r="BD1801" s="3" t="s">
        <v>68</v>
      </c>
      <c r="BE1801" s="3" t="s">
        <v>17365</v>
      </c>
      <c r="BF1801" s="3" t="s">
        <v>17364</v>
      </c>
      <c r="BG1801" s="3" t="s">
        <v>17366</v>
      </c>
    </row>
    <row r="1802" spans="1:59" ht="57" x14ac:dyDescent="0.45">
      <c r="A1802" s="2" t="s">
        <v>59</v>
      </c>
      <c r="B1802" s="2" t="s">
        <v>60</v>
      </c>
      <c r="C1802" s="2" t="s">
        <v>17367</v>
      </c>
      <c r="D1802" s="2" t="s">
        <v>17368</v>
      </c>
      <c r="E1802" s="2" t="s">
        <v>17369</v>
      </c>
      <c r="G1802" s="3" t="s">
        <v>62</v>
      </c>
      <c r="I1802" s="3" t="s">
        <v>62</v>
      </c>
      <c r="J1802" s="3" t="s">
        <v>62</v>
      </c>
      <c r="K1802" s="3" t="s">
        <v>63</v>
      </c>
      <c r="M1802" s="2" t="s">
        <v>17218</v>
      </c>
      <c r="N1802" s="3" t="s">
        <v>542</v>
      </c>
      <c r="P1802" s="3" t="s">
        <v>65</v>
      </c>
      <c r="Q1802" s="2" t="s">
        <v>17370</v>
      </c>
      <c r="R1802" s="3" t="s">
        <v>66</v>
      </c>
      <c r="S1802" s="4">
        <v>11</v>
      </c>
      <c r="T1802" s="4">
        <v>11</v>
      </c>
      <c r="U1802" s="5" t="s">
        <v>10727</v>
      </c>
      <c r="V1802" s="5" t="s">
        <v>10727</v>
      </c>
      <c r="W1802" s="5" t="s">
        <v>67</v>
      </c>
      <c r="X1802" s="5" t="s">
        <v>67</v>
      </c>
      <c r="Y1802" s="4">
        <v>119</v>
      </c>
      <c r="Z1802" s="4">
        <v>5</v>
      </c>
      <c r="AA1802" s="4">
        <v>33</v>
      </c>
      <c r="AB1802" s="4">
        <v>2</v>
      </c>
      <c r="AC1802" s="4">
        <v>8</v>
      </c>
      <c r="AD1802" s="4">
        <v>30</v>
      </c>
      <c r="AE1802" s="4">
        <v>45</v>
      </c>
      <c r="AF1802" s="4">
        <v>0</v>
      </c>
      <c r="AG1802" s="4">
        <v>1</v>
      </c>
      <c r="AH1802" s="4">
        <v>30</v>
      </c>
      <c r="AI1802" s="4">
        <v>42</v>
      </c>
      <c r="AJ1802" s="4">
        <v>2</v>
      </c>
      <c r="AK1802" s="4">
        <v>4</v>
      </c>
      <c r="AL1802" s="4">
        <v>17</v>
      </c>
      <c r="AM1802" s="4">
        <v>21</v>
      </c>
      <c r="AN1802" s="4">
        <v>0</v>
      </c>
      <c r="AO1802" s="4">
        <v>0</v>
      </c>
      <c r="AP1802" s="4">
        <v>2</v>
      </c>
      <c r="AQ1802" s="4">
        <v>6</v>
      </c>
      <c r="AR1802" s="3" t="s">
        <v>62</v>
      </c>
      <c r="AS1802" s="3" t="s">
        <v>62</v>
      </c>
      <c r="AT1802" s="3" t="s">
        <v>62</v>
      </c>
      <c r="AV1802" s="6" t="str">
        <f>HYPERLINK("http://mcgill.on.worldcat.org/oclc/45129222","Catalog Record")</f>
        <v>Catalog Record</v>
      </c>
      <c r="AW1802" s="6" t="str">
        <f>HYPERLINK("http://www.worldcat.org/oclc/45129222","WorldCat Record")</f>
        <v>WorldCat Record</v>
      </c>
      <c r="AX1802" s="3" t="s">
        <v>17371</v>
      </c>
      <c r="AY1802" s="3" t="s">
        <v>17372</v>
      </c>
      <c r="AZ1802" s="3" t="s">
        <v>17373</v>
      </c>
      <c r="BA1802" s="3" t="s">
        <v>17373</v>
      </c>
      <c r="BB1802" s="3" t="s">
        <v>17374</v>
      </c>
      <c r="BC1802" s="3" t="s">
        <v>142</v>
      </c>
      <c r="BD1802" s="3" t="s">
        <v>68</v>
      </c>
      <c r="BE1802" s="3" t="s">
        <v>17375</v>
      </c>
      <c r="BF1802" s="3" t="s">
        <v>17374</v>
      </c>
      <c r="BG1802" s="3" t="s">
        <v>17376</v>
      </c>
    </row>
    <row r="1803" spans="1:59" ht="57" x14ac:dyDescent="0.45">
      <c r="A1803" s="2" t="s">
        <v>59</v>
      </c>
      <c r="B1803" s="2" t="s">
        <v>60</v>
      </c>
      <c r="C1803" s="2" t="s">
        <v>17377</v>
      </c>
      <c r="D1803" s="2" t="s">
        <v>17378</v>
      </c>
      <c r="E1803" s="2" t="s">
        <v>17379</v>
      </c>
      <c r="G1803" s="3" t="s">
        <v>62</v>
      </c>
      <c r="I1803" s="3" t="s">
        <v>62</v>
      </c>
      <c r="J1803" s="3" t="s">
        <v>62</v>
      </c>
      <c r="K1803" s="3" t="s">
        <v>63</v>
      </c>
      <c r="M1803" s="2" t="s">
        <v>17380</v>
      </c>
      <c r="N1803" s="3" t="s">
        <v>116</v>
      </c>
      <c r="P1803" s="3" t="s">
        <v>65</v>
      </c>
      <c r="R1803" s="3" t="s">
        <v>66</v>
      </c>
      <c r="S1803" s="4">
        <v>9</v>
      </c>
      <c r="T1803" s="4">
        <v>9</v>
      </c>
      <c r="U1803" s="5" t="s">
        <v>17381</v>
      </c>
      <c r="V1803" s="5" t="s">
        <v>17381</v>
      </c>
      <c r="W1803" s="5" t="s">
        <v>67</v>
      </c>
      <c r="X1803" s="5" t="s">
        <v>67</v>
      </c>
      <c r="Y1803" s="4">
        <v>241</v>
      </c>
      <c r="Z1803" s="4">
        <v>15</v>
      </c>
      <c r="AA1803" s="4">
        <v>23</v>
      </c>
      <c r="AB1803" s="4">
        <v>2</v>
      </c>
      <c r="AC1803" s="4">
        <v>6</v>
      </c>
      <c r="AD1803" s="4">
        <v>71</v>
      </c>
      <c r="AE1803" s="4">
        <v>83</v>
      </c>
      <c r="AF1803" s="4">
        <v>1</v>
      </c>
      <c r="AG1803" s="4">
        <v>3</v>
      </c>
      <c r="AH1803" s="4">
        <v>65</v>
      </c>
      <c r="AI1803" s="4">
        <v>74</v>
      </c>
      <c r="AJ1803" s="4">
        <v>13</v>
      </c>
      <c r="AK1803" s="4">
        <v>17</v>
      </c>
      <c r="AL1803" s="4">
        <v>37</v>
      </c>
      <c r="AM1803" s="4">
        <v>41</v>
      </c>
      <c r="AN1803" s="4">
        <v>0</v>
      </c>
      <c r="AO1803" s="4">
        <v>0</v>
      </c>
      <c r="AP1803" s="4">
        <v>13</v>
      </c>
      <c r="AQ1803" s="4">
        <v>17</v>
      </c>
      <c r="AR1803" s="3" t="s">
        <v>62</v>
      </c>
      <c r="AS1803" s="3" t="s">
        <v>62</v>
      </c>
      <c r="AT1803" s="3" t="s">
        <v>62</v>
      </c>
      <c r="AV1803" s="6" t="str">
        <f>HYPERLINK("http://mcgill.on.worldcat.org/oclc/828626784","Catalog Record")</f>
        <v>Catalog Record</v>
      </c>
      <c r="AW1803" s="6" t="str">
        <f>HYPERLINK("http://www.worldcat.org/oclc/828626784","WorldCat Record")</f>
        <v>WorldCat Record</v>
      </c>
      <c r="AX1803" s="3" t="s">
        <v>17382</v>
      </c>
      <c r="AY1803" s="3" t="s">
        <v>17383</v>
      </c>
      <c r="AZ1803" s="3" t="s">
        <v>17384</v>
      </c>
      <c r="BA1803" s="3" t="s">
        <v>17384</v>
      </c>
      <c r="BB1803" s="3" t="s">
        <v>17385</v>
      </c>
      <c r="BC1803" s="3" t="s">
        <v>142</v>
      </c>
      <c r="BD1803" s="3" t="s">
        <v>308</v>
      </c>
      <c r="BE1803" s="3" t="s">
        <v>17386</v>
      </c>
      <c r="BF1803" s="3" t="s">
        <v>17385</v>
      </c>
      <c r="BG1803" s="3" t="s">
        <v>17387</v>
      </c>
    </row>
    <row r="1804" spans="1:59" ht="57" x14ac:dyDescent="0.45">
      <c r="A1804" s="2" t="s">
        <v>59</v>
      </c>
      <c r="B1804" s="2" t="s">
        <v>60</v>
      </c>
      <c r="C1804" s="2" t="s">
        <v>17388</v>
      </c>
      <c r="D1804" s="2" t="s">
        <v>17389</v>
      </c>
      <c r="E1804" s="2" t="s">
        <v>17390</v>
      </c>
      <c r="G1804" s="3" t="s">
        <v>62</v>
      </c>
      <c r="I1804" s="3" t="s">
        <v>62</v>
      </c>
      <c r="J1804" s="3" t="s">
        <v>62</v>
      </c>
      <c r="K1804" s="3" t="s">
        <v>63</v>
      </c>
      <c r="M1804" s="2" t="s">
        <v>17391</v>
      </c>
      <c r="N1804" s="3" t="s">
        <v>958</v>
      </c>
      <c r="P1804" s="3" t="s">
        <v>65</v>
      </c>
      <c r="Q1804" s="2" t="s">
        <v>17392</v>
      </c>
      <c r="R1804" s="3" t="s">
        <v>66</v>
      </c>
      <c r="S1804" s="4">
        <v>15</v>
      </c>
      <c r="T1804" s="4">
        <v>15</v>
      </c>
      <c r="U1804" s="5" t="s">
        <v>17393</v>
      </c>
      <c r="V1804" s="5" t="s">
        <v>17393</v>
      </c>
      <c r="W1804" s="5" t="s">
        <v>67</v>
      </c>
      <c r="X1804" s="5" t="s">
        <v>67</v>
      </c>
      <c r="Y1804" s="4">
        <v>68</v>
      </c>
      <c r="Z1804" s="4">
        <v>4</v>
      </c>
      <c r="AA1804" s="4">
        <v>10</v>
      </c>
      <c r="AB1804" s="4">
        <v>1</v>
      </c>
      <c r="AC1804" s="4">
        <v>4</v>
      </c>
      <c r="AD1804" s="4">
        <v>29</v>
      </c>
      <c r="AE1804" s="4">
        <v>34</v>
      </c>
      <c r="AF1804" s="4">
        <v>0</v>
      </c>
      <c r="AG1804" s="4">
        <v>1</v>
      </c>
      <c r="AH1804" s="4">
        <v>27</v>
      </c>
      <c r="AI1804" s="4">
        <v>29</v>
      </c>
      <c r="AJ1804" s="4">
        <v>3</v>
      </c>
      <c r="AK1804" s="4">
        <v>6</v>
      </c>
      <c r="AL1804" s="4">
        <v>16</v>
      </c>
      <c r="AM1804" s="4">
        <v>16</v>
      </c>
      <c r="AN1804" s="4">
        <v>0</v>
      </c>
      <c r="AO1804" s="4">
        <v>0</v>
      </c>
      <c r="AP1804" s="4">
        <v>3</v>
      </c>
      <c r="AQ1804" s="4">
        <v>7</v>
      </c>
      <c r="AR1804" s="3" t="s">
        <v>62</v>
      </c>
      <c r="AS1804" s="3" t="s">
        <v>62</v>
      </c>
      <c r="AT1804" s="3" t="s">
        <v>62</v>
      </c>
      <c r="AV1804" s="6" t="str">
        <f>HYPERLINK("http://mcgill.on.worldcat.org/oclc/31794615","Catalog Record")</f>
        <v>Catalog Record</v>
      </c>
      <c r="AW1804" s="6" t="str">
        <f>HYPERLINK("http://www.worldcat.org/oclc/31794615","WorldCat Record")</f>
        <v>WorldCat Record</v>
      </c>
      <c r="AX1804" s="3" t="s">
        <v>17394</v>
      </c>
      <c r="AY1804" s="3" t="s">
        <v>17395</v>
      </c>
      <c r="AZ1804" s="3" t="s">
        <v>17396</v>
      </c>
      <c r="BA1804" s="3" t="s">
        <v>17396</v>
      </c>
      <c r="BB1804" s="3" t="s">
        <v>17397</v>
      </c>
      <c r="BC1804" s="3" t="s">
        <v>142</v>
      </c>
      <c r="BD1804" s="3" t="s">
        <v>68</v>
      </c>
      <c r="BE1804" s="3" t="s">
        <v>17398</v>
      </c>
      <c r="BF1804" s="3" t="s">
        <v>17397</v>
      </c>
      <c r="BG1804" s="3" t="s">
        <v>17399</v>
      </c>
    </row>
    <row r="1805" spans="1:59" ht="57" x14ac:dyDescent="0.45">
      <c r="A1805" s="2" t="s">
        <v>59</v>
      </c>
      <c r="B1805" s="2" t="s">
        <v>60</v>
      </c>
      <c r="C1805" s="2" t="s">
        <v>17400</v>
      </c>
      <c r="D1805" s="2" t="s">
        <v>17401</v>
      </c>
      <c r="E1805" s="2" t="s">
        <v>17402</v>
      </c>
      <c r="G1805" s="3" t="s">
        <v>62</v>
      </c>
      <c r="I1805" s="3" t="s">
        <v>62</v>
      </c>
      <c r="J1805" s="3" t="s">
        <v>62</v>
      </c>
      <c r="K1805" s="3" t="s">
        <v>63</v>
      </c>
      <c r="L1805" s="2" t="s">
        <v>17403</v>
      </c>
      <c r="M1805" s="2" t="s">
        <v>17404</v>
      </c>
      <c r="N1805" s="3" t="s">
        <v>1059</v>
      </c>
      <c r="P1805" s="3" t="s">
        <v>65</v>
      </c>
      <c r="R1805" s="3" t="s">
        <v>66</v>
      </c>
      <c r="S1805" s="4">
        <v>1</v>
      </c>
      <c r="T1805" s="4">
        <v>1</v>
      </c>
      <c r="U1805" s="5" t="s">
        <v>16909</v>
      </c>
      <c r="V1805" s="5" t="s">
        <v>16909</v>
      </c>
      <c r="W1805" s="5" t="s">
        <v>67</v>
      </c>
      <c r="X1805" s="5" t="s">
        <v>67</v>
      </c>
      <c r="Y1805" s="4">
        <v>122</v>
      </c>
      <c r="Z1805" s="4">
        <v>4</v>
      </c>
      <c r="AA1805" s="4">
        <v>30</v>
      </c>
      <c r="AB1805" s="4">
        <v>1</v>
      </c>
      <c r="AC1805" s="4">
        <v>5</v>
      </c>
      <c r="AD1805" s="4">
        <v>30</v>
      </c>
      <c r="AE1805" s="4">
        <v>38</v>
      </c>
      <c r="AF1805" s="4">
        <v>0</v>
      </c>
      <c r="AG1805" s="4">
        <v>0</v>
      </c>
      <c r="AH1805" s="4">
        <v>30</v>
      </c>
      <c r="AI1805" s="4">
        <v>35</v>
      </c>
      <c r="AJ1805" s="4">
        <v>3</v>
      </c>
      <c r="AK1805" s="4">
        <v>4</v>
      </c>
      <c r="AL1805" s="4">
        <v>16</v>
      </c>
      <c r="AM1805" s="4">
        <v>18</v>
      </c>
      <c r="AN1805" s="4">
        <v>0</v>
      </c>
      <c r="AO1805" s="4">
        <v>0</v>
      </c>
      <c r="AP1805" s="4">
        <v>3</v>
      </c>
      <c r="AQ1805" s="4">
        <v>7</v>
      </c>
      <c r="AR1805" s="3" t="s">
        <v>62</v>
      </c>
      <c r="AS1805" s="3" t="s">
        <v>62</v>
      </c>
      <c r="AT1805" s="3" t="s">
        <v>62</v>
      </c>
      <c r="AV1805" s="6" t="str">
        <f>HYPERLINK("http://mcgill.on.worldcat.org/oclc/71542962","Catalog Record")</f>
        <v>Catalog Record</v>
      </c>
      <c r="AW1805" s="6" t="str">
        <f>HYPERLINK("http://www.worldcat.org/oclc/71542962","WorldCat Record")</f>
        <v>WorldCat Record</v>
      </c>
      <c r="AX1805" s="3" t="s">
        <v>17405</v>
      </c>
      <c r="AY1805" s="3" t="s">
        <v>17406</v>
      </c>
      <c r="AZ1805" s="3" t="s">
        <v>17407</v>
      </c>
      <c r="BA1805" s="3" t="s">
        <v>17407</v>
      </c>
      <c r="BB1805" s="3" t="s">
        <v>17408</v>
      </c>
      <c r="BC1805" s="3" t="s">
        <v>142</v>
      </c>
      <c r="BD1805" s="3" t="s">
        <v>68</v>
      </c>
      <c r="BE1805" s="3" t="s">
        <v>17409</v>
      </c>
      <c r="BF1805" s="3" t="s">
        <v>17408</v>
      </c>
      <c r="BG1805" s="3" t="s">
        <v>17410</v>
      </c>
    </row>
    <row r="1806" spans="1:59" ht="57" x14ac:dyDescent="0.45">
      <c r="A1806" s="2" t="s">
        <v>59</v>
      </c>
      <c r="B1806" s="2" t="s">
        <v>60</v>
      </c>
      <c r="C1806" s="2" t="s">
        <v>17411</v>
      </c>
      <c r="D1806" s="2" t="s">
        <v>17412</v>
      </c>
      <c r="E1806" s="2" t="s">
        <v>17413</v>
      </c>
      <c r="G1806" s="3" t="s">
        <v>62</v>
      </c>
      <c r="I1806" s="3" t="s">
        <v>62</v>
      </c>
      <c r="J1806" s="3" t="s">
        <v>62</v>
      </c>
      <c r="K1806" s="3" t="s">
        <v>63</v>
      </c>
      <c r="L1806" s="2" t="s">
        <v>17414</v>
      </c>
      <c r="M1806" s="2" t="s">
        <v>17415</v>
      </c>
      <c r="N1806" s="3" t="s">
        <v>1688</v>
      </c>
      <c r="P1806" s="3" t="s">
        <v>65</v>
      </c>
      <c r="Q1806" s="2" t="s">
        <v>17416</v>
      </c>
      <c r="R1806" s="3" t="s">
        <v>66</v>
      </c>
      <c r="S1806" s="4">
        <v>5</v>
      </c>
      <c r="T1806" s="4">
        <v>5</v>
      </c>
      <c r="U1806" s="5" t="s">
        <v>7053</v>
      </c>
      <c r="V1806" s="5" t="s">
        <v>7053</v>
      </c>
      <c r="W1806" s="5" t="s">
        <v>67</v>
      </c>
      <c r="X1806" s="5" t="s">
        <v>67</v>
      </c>
      <c r="Y1806" s="4">
        <v>479</v>
      </c>
      <c r="Z1806" s="4">
        <v>31</v>
      </c>
      <c r="AA1806" s="4">
        <v>36</v>
      </c>
      <c r="AB1806" s="4">
        <v>2</v>
      </c>
      <c r="AC1806" s="4">
        <v>7</v>
      </c>
      <c r="AD1806" s="4">
        <v>109</v>
      </c>
      <c r="AE1806" s="4">
        <v>112</v>
      </c>
      <c r="AF1806" s="4">
        <v>1</v>
      </c>
      <c r="AG1806" s="4">
        <v>4</v>
      </c>
      <c r="AH1806" s="4">
        <v>90</v>
      </c>
      <c r="AI1806" s="4">
        <v>91</v>
      </c>
      <c r="AJ1806" s="4">
        <v>14</v>
      </c>
      <c r="AK1806" s="4">
        <v>17</v>
      </c>
      <c r="AL1806" s="4">
        <v>54</v>
      </c>
      <c r="AM1806" s="4">
        <v>54</v>
      </c>
      <c r="AN1806" s="4">
        <v>0</v>
      </c>
      <c r="AO1806" s="4">
        <v>0</v>
      </c>
      <c r="AP1806" s="4">
        <v>23</v>
      </c>
      <c r="AQ1806" s="4">
        <v>25</v>
      </c>
      <c r="AR1806" s="3" t="s">
        <v>62</v>
      </c>
      <c r="AS1806" s="3" t="s">
        <v>62</v>
      </c>
      <c r="AT1806" s="3" t="s">
        <v>62</v>
      </c>
      <c r="AV1806" s="6" t="str">
        <f>HYPERLINK("http://mcgill.on.worldcat.org/oclc/861478374","Catalog Record")</f>
        <v>Catalog Record</v>
      </c>
      <c r="AW1806" s="6" t="str">
        <f>HYPERLINK("http://www.worldcat.org/oclc/861478374","WorldCat Record")</f>
        <v>WorldCat Record</v>
      </c>
      <c r="AX1806" s="3" t="s">
        <v>17417</v>
      </c>
      <c r="AY1806" s="3" t="s">
        <v>17418</v>
      </c>
      <c r="AZ1806" s="3" t="s">
        <v>17419</v>
      </c>
      <c r="BA1806" s="3" t="s">
        <v>17419</v>
      </c>
      <c r="BB1806" s="3" t="s">
        <v>17420</v>
      </c>
      <c r="BC1806" s="3" t="s">
        <v>142</v>
      </c>
      <c r="BD1806" s="3" t="s">
        <v>68</v>
      </c>
      <c r="BE1806" s="3" t="s">
        <v>17421</v>
      </c>
      <c r="BF1806" s="3" t="s">
        <v>17420</v>
      </c>
      <c r="BG1806" s="3" t="s">
        <v>17422</v>
      </c>
    </row>
    <row r="1807" spans="1:59" ht="57" x14ac:dyDescent="0.45">
      <c r="A1807" s="2" t="s">
        <v>59</v>
      </c>
      <c r="B1807" s="2" t="s">
        <v>60</v>
      </c>
      <c r="C1807" s="2" t="s">
        <v>17423</v>
      </c>
      <c r="D1807" s="2" t="s">
        <v>17424</v>
      </c>
      <c r="E1807" s="2" t="s">
        <v>17425</v>
      </c>
      <c r="G1807" s="3" t="s">
        <v>62</v>
      </c>
      <c r="I1807" s="3" t="s">
        <v>62</v>
      </c>
      <c r="J1807" s="3" t="s">
        <v>62</v>
      </c>
      <c r="K1807" s="3" t="s">
        <v>63</v>
      </c>
      <c r="M1807" s="2" t="s">
        <v>17426</v>
      </c>
      <c r="N1807" s="3" t="s">
        <v>958</v>
      </c>
      <c r="P1807" s="3" t="s">
        <v>110</v>
      </c>
      <c r="Q1807" s="2" t="s">
        <v>17427</v>
      </c>
      <c r="R1807" s="3" t="s">
        <v>66</v>
      </c>
      <c r="S1807" s="4">
        <v>1</v>
      </c>
      <c r="T1807" s="4">
        <v>1</v>
      </c>
      <c r="U1807" s="5" t="s">
        <v>17428</v>
      </c>
      <c r="V1807" s="5" t="s">
        <v>17428</v>
      </c>
      <c r="W1807" s="5" t="s">
        <v>2406</v>
      </c>
      <c r="X1807" s="5" t="s">
        <v>2406</v>
      </c>
      <c r="Y1807" s="4">
        <v>9</v>
      </c>
      <c r="Z1807" s="4">
        <v>9</v>
      </c>
      <c r="AA1807" s="4">
        <v>25</v>
      </c>
      <c r="AB1807" s="4">
        <v>2</v>
      </c>
      <c r="AC1807" s="4">
        <v>9</v>
      </c>
      <c r="AD1807" s="4">
        <v>7</v>
      </c>
      <c r="AE1807" s="4">
        <v>18</v>
      </c>
      <c r="AF1807" s="4">
        <v>1</v>
      </c>
      <c r="AG1807" s="4">
        <v>4</v>
      </c>
      <c r="AH1807" s="4">
        <v>4</v>
      </c>
      <c r="AI1807" s="4">
        <v>9</v>
      </c>
      <c r="AJ1807" s="4">
        <v>6</v>
      </c>
      <c r="AK1807" s="4">
        <v>17</v>
      </c>
      <c r="AL1807" s="4">
        <v>0</v>
      </c>
      <c r="AM1807" s="4">
        <v>1</v>
      </c>
      <c r="AN1807" s="4">
        <v>0</v>
      </c>
      <c r="AO1807" s="4">
        <v>0</v>
      </c>
      <c r="AP1807" s="4">
        <v>7</v>
      </c>
      <c r="AQ1807" s="4">
        <v>16</v>
      </c>
      <c r="AR1807" s="3" t="s">
        <v>61</v>
      </c>
      <c r="AS1807" s="3" t="s">
        <v>62</v>
      </c>
      <c r="AT1807" s="3" t="s">
        <v>62</v>
      </c>
      <c r="AV1807" s="6" t="str">
        <f>HYPERLINK("http://mcgill.on.worldcat.org/oclc/612716259","Catalog Record")</f>
        <v>Catalog Record</v>
      </c>
      <c r="AW1807" s="6" t="str">
        <f>HYPERLINK("http://www.worldcat.org/oclc/612716259","WorldCat Record")</f>
        <v>WorldCat Record</v>
      </c>
      <c r="AX1807" s="3" t="s">
        <v>17429</v>
      </c>
      <c r="AY1807" s="3" t="s">
        <v>17430</v>
      </c>
      <c r="AZ1807" s="3" t="s">
        <v>17431</v>
      </c>
      <c r="BA1807" s="3" t="s">
        <v>17431</v>
      </c>
      <c r="BB1807" s="3" t="s">
        <v>17432</v>
      </c>
      <c r="BC1807" s="3" t="s">
        <v>142</v>
      </c>
      <c r="BD1807" s="3" t="s">
        <v>68</v>
      </c>
      <c r="BE1807" s="3" t="s">
        <v>17433</v>
      </c>
      <c r="BF1807" s="3" t="s">
        <v>17432</v>
      </c>
      <c r="BG1807" s="3" t="s">
        <v>17434</v>
      </c>
    </row>
    <row r="1808" spans="1:59" ht="57" x14ac:dyDescent="0.45">
      <c r="A1808" s="2" t="s">
        <v>59</v>
      </c>
      <c r="B1808" s="2" t="s">
        <v>60</v>
      </c>
      <c r="C1808" s="2" t="s">
        <v>17435</v>
      </c>
      <c r="D1808" s="2" t="s">
        <v>17436</v>
      </c>
      <c r="E1808" s="2" t="s">
        <v>17437</v>
      </c>
      <c r="G1808" s="3" t="s">
        <v>62</v>
      </c>
      <c r="I1808" s="3" t="s">
        <v>62</v>
      </c>
      <c r="J1808" s="3" t="s">
        <v>62</v>
      </c>
      <c r="K1808" s="3" t="s">
        <v>3960</v>
      </c>
      <c r="L1808" s="2" t="s">
        <v>17438</v>
      </c>
      <c r="M1808" s="2" t="s">
        <v>17439</v>
      </c>
      <c r="N1808" s="3" t="s">
        <v>167</v>
      </c>
      <c r="P1808" s="3" t="s">
        <v>65</v>
      </c>
      <c r="R1808" s="3" t="s">
        <v>66</v>
      </c>
      <c r="S1808" s="4">
        <v>16</v>
      </c>
      <c r="T1808" s="4">
        <v>16</v>
      </c>
      <c r="U1808" s="5" t="s">
        <v>17440</v>
      </c>
      <c r="V1808" s="5" t="s">
        <v>17440</v>
      </c>
      <c r="W1808" s="5" t="s">
        <v>67</v>
      </c>
      <c r="X1808" s="5" t="s">
        <v>67</v>
      </c>
      <c r="Y1808" s="4">
        <v>493</v>
      </c>
      <c r="Z1808" s="4">
        <v>35</v>
      </c>
      <c r="AA1808" s="4">
        <v>47</v>
      </c>
      <c r="AB1808" s="4">
        <v>3</v>
      </c>
      <c r="AC1808" s="4">
        <v>7</v>
      </c>
      <c r="AD1808" s="4">
        <v>115</v>
      </c>
      <c r="AE1808" s="4">
        <v>127</v>
      </c>
      <c r="AF1808" s="4">
        <v>1</v>
      </c>
      <c r="AG1808" s="4">
        <v>4</v>
      </c>
      <c r="AH1808" s="4">
        <v>100</v>
      </c>
      <c r="AI1808" s="4">
        <v>105</v>
      </c>
      <c r="AJ1808" s="4">
        <v>14</v>
      </c>
      <c r="AK1808" s="4">
        <v>18</v>
      </c>
      <c r="AL1808" s="4">
        <v>55</v>
      </c>
      <c r="AM1808" s="4">
        <v>58</v>
      </c>
      <c r="AN1808" s="4">
        <v>0</v>
      </c>
      <c r="AO1808" s="4">
        <v>0</v>
      </c>
      <c r="AP1808" s="4">
        <v>21</v>
      </c>
      <c r="AQ1808" s="4">
        <v>29</v>
      </c>
      <c r="AR1808" s="3" t="s">
        <v>62</v>
      </c>
      <c r="AS1808" s="3" t="s">
        <v>62</v>
      </c>
      <c r="AT1808" s="3" t="s">
        <v>61</v>
      </c>
      <c r="AU1808" s="6" t="str">
        <f>HYPERLINK("http://catalog.hathitrust.org/Record/004031702","HathiTrust Record")</f>
        <v>HathiTrust Record</v>
      </c>
      <c r="AV1808" s="6" t="str">
        <f>HYPERLINK("http://mcgill.on.worldcat.org/oclc/39307310","Catalog Record")</f>
        <v>Catalog Record</v>
      </c>
      <c r="AW1808" s="6" t="str">
        <f>HYPERLINK("http://www.worldcat.org/oclc/39307310","WorldCat Record")</f>
        <v>WorldCat Record</v>
      </c>
      <c r="AX1808" s="3" t="s">
        <v>17441</v>
      </c>
      <c r="AY1808" s="3" t="s">
        <v>17442</v>
      </c>
      <c r="AZ1808" s="3" t="s">
        <v>17443</v>
      </c>
      <c r="BA1808" s="3" t="s">
        <v>17443</v>
      </c>
      <c r="BB1808" s="3" t="s">
        <v>17444</v>
      </c>
      <c r="BC1808" s="3" t="s">
        <v>142</v>
      </c>
      <c r="BD1808" s="3" t="s">
        <v>68</v>
      </c>
      <c r="BE1808" s="3" t="s">
        <v>17445</v>
      </c>
      <c r="BF1808" s="3" t="s">
        <v>17444</v>
      </c>
      <c r="BG1808" s="3" t="s">
        <v>17446</v>
      </c>
    </row>
    <row r="1809" spans="1:59" ht="57" x14ac:dyDescent="0.45">
      <c r="A1809" s="2" t="s">
        <v>59</v>
      </c>
      <c r="B1809" s="2" t="s">
        <v>60</v>
      </c>
      <c r="C1809" s="2" t="s">
        <v>17447</v>
      </c>
      <c r="D1809" s="2" t="s">
        <v>17448</v>
      </c>
      <c r="E1809" s="2" t="s">
        <v>17449</v>
      </c>
      <c r="G1809" s="3" t="s">
        <v>62</v>
      </c>
      <c r="I1809" s="3" t="s">
        <v>62</v>
      </c>
      <c r="J1809" s="3" t="s">
        <v>62</v>
      </c>
      <c r="K1809" s="3" t="s">
        <v>63</v>
      </c>
      <c r="M1809" s="2" t="s">
        <v>17099</v>
      </c>
      <c r="N1809" s="3" t="s">
        <v>1688</v>
      </c>
      <c r="P1809" s="3" t="s">
        <v>65</v>
      </c>
      <c r="Q1809" s="2" t="s">
        <v>17450</v>
      </c>
      <c r="R1809" s="3" t="s">
        <v>66</v>
      </c>
      <c r="S1809" s="4">
        <v>2</v>
      </c>
      <c r="T1809" s="4">
        <v>2</v>
      </c>
      <c r="U1809" s="5" t="s">
        <v>2966</v>
      </c>
      <c r="V1809" s="5" t="s">
        <v>2966</v>
      </c>
      <c r="W1809" s="5" t="s">
        <v>67</v>
      </c>
      <c r="X1809" s="5" t="s">
        <v>67</v>
      </c>
      <c r="Y1809" s="4">
        <v>149</v>
      </c>
      <c r="Z1809" s="4">
        <v>26</v>
      </c>
      <c r="AA1809" s="4">
        <v>103</v>
      </c>
      <c r="AB1809" s="4">
        <v>2</v>
      </c>
      <c r="AC1809" s="4">
        <v>16</v>
      </c>
      <c r="AD1809" s="4">
        <v>75</v>
      </c>
      <c r="AE1809" s="4">
        <v>132</v>
      </c>
      <c r="AF1809" s="4">
        <v>1</v>
      </c>
      <c r="AG1809" s="4">
        <v>8</v>
      </c>
      <c r="AH1809" s="4">
        <v>61</v>
      </c>
      <c r="AI1809" s="4">
        <v>88</v>
      </c>
      <c r="AJ1809" s="4">
        <v>14</v>
      </c>
      <c r="AK1809" s="4">
        <v>26</v>
      </c>
      <c r="AL1809" s="4">
        <v>36</v>
      </c>
      <c r="AM1809" s="4">
        <v>47</v>
      </c>
      <c r="AN1809" s="4">
        <v>0</v>
      </c>
      <c r="AO1809" s="4">
        <v>0</v>
      </c>
      <c r="AP1809" s="4">
        <v>18</v>
      </c>
      <c r="AQ1809" s="4">
        <v>53</v>
      </c>
      <c r="AR1809" s="3" t="s">
        <v>61</v>
      </c>
      <c r="AS1809" s="3" t="s">
        <v>62</v>
      </c>
      <c r="AT1809" s="3" t="s">
        <v>62</v>
      </c>
      <c r="AV1809" s="6" t="str">
        <f>HYPERLINK("http://mcgill.on.worldcat.org/oclc/879584199","Catalog Record")</f>
        <v>Catalog Record</v>
      </c>
      <c r="AW1809" s="6" t="str">
        <f>HYPERLINK("http://www.worldcat.org/oclc/879584199","WorldCat Record")</f>
        <v>WorldCat Record</v>
      </c>
      <c r="AX1809" s="3" t="s">
        <v>17451</v>
      </c>
      <c r="AY1809" s="3" t="s">
        <v>17452</v>
      </c>
      <c r="AZ1809" s="3" t="s">
        <v>17453</v>
      </c>
      <c r="BA1809" s="3" t="s">
        <v>17453</v>
      </c>
      <c r="BB1809" s="3" t="s">
        <v>17454</v>
      </c>
      <c r="BC1809" s="3" t="s">
        <v>142</v>
      </c>
      <c r="BD1809" s="3" t="s">
        <v>68</v>
      </c>
      <c r="BE1809" s="3" t="s">
        <v>17455</v>
      </c>
      <c r="BF1809" s="3" t="s">
        <v>17454</v>
      </c>
      <c r="BG1809" s="3" t="s">
        <v>17456</v>
      </c>
    </row>
    <row r="1810" spans="1:59" ht="57" x14ac:dyDescent="0.45">
      <c r="A1810" s="2" t="s">
        <v>59</v>
      </c>
      <c r="B1810" s="2" t="s">
        <v>60</v>
      </c>
      <c r="C1810" s="2" t="s">
        <v>17457</v>
      </c>
      <c r="D1810" s="2" t="s">
        <v>17458</v>
      </c>
      <c r="E1810" s="2" t="s">
        <v>17459</v>
      </c>
      <c r="G1810" s="3" t="s">
        <v>62</v>
      </c>
      <c r="I1810" s="3" t="s">
        <v>62</v>
      </c>
      <c r="J1810" s="3" t="s">
        <v>62</v>
      </c>
      <c r="K1810" s="3" t="s">
        <v>63</v>
      </c>
      <c r="M1810" s="2" t="s">
        <v>17460</v>
      </c>
      <c r="N1810" s="3" t="s">
        <v>542</v>
      </c>
      <c r="P1810" s="3" t="s">
        <v>65</v>
      </c>
      <c r="R1810" s="3" t="s">
        <v>66</v>
      </c>
      <c r="S1810" s="4">
        <v>46</v>
      </c>
      <c r="T1810" s="4">
        <v>46</v>
      </c>
      <c r="U1810" s="5" t="s">
        <v>17461</v>
      </c>
      <c r="V1810" s="5" t="s">
        <v>17461</v>
      </c>
      <c r="W1810" s="5" t="s">
        <v>67</v>
      </c>
      <c r="X1810" s="5" t="s">
        <v>67</v>
      </c>
      <c r="Y1810" s="4">
        <v>524</v>
      </c>
      <c r="Z1810" s="4">
        <v>30</v>
      </c>
      <c r="AA1810" s="4">
        <v>46</v>
      </c>
      <c r="AB1810" s="4">
        <v>3</v>
      </c>
      <c r="AC1810" s="4">
        <v>9</v>
      </c>
      <c r="AD1810" s="4">
        <v>108</v>
      </c>
      <c r="AE1810" s="4">
        <v>129</v>
      </c>
      <c r="AF1810" s="4">
        <v>1</v>
      </c>
      <c r="AG1810" s="4">
        <v>5</v>
      </c>
      <c r="AH1810" s="4">
        <v>93</v>
      </c>
      <c r="AI1810" s="4">
        <v>102</v>
      </c>
      <c r="AJ1810" s="4">
        <v>16</v>
      </c>
      <c r="AK1810" s="4">
        <v>23</v>
      </c>
      <c r="AL1810" s="4">
        <v>49</v>
      </c>
      <c r="AM1810" s="4">
        <v>54</v>
      </c>
      <c r="AN1810" s="4">
        <v>0</v>
      </c>
      <c r="AO1810" s="4">
        <v>0</v>
      </c>
      <c r="AP1810" s="4">
        <v>23</v>
      </c>
      <c r="AQ1810" s="4">
        <v>35</v>
      </c>
      <c r="AR1810" s="3" t="s">
        <v>62</v>
      </c>
      <c r="AS1810" s="3" t="s">
        <v>62</v>
      </c>
      <c r="AT1810" s="3" t="s">
        <v>61</v>
      </c>
      <c r="AU1810" s="6" t="str">
        <f>HYPERLINK("http://catalog.hathitrust.org/Record/004137638","HathiTrust Record")</f>
        <v>HathiTrust Record</v>
      </c>
      <c r="AV1810" s="6" t="str">
        <f>HYPERLINK("http://mcgill.on.worldcat.org/oclc/47138970","Catalog Record")</f>
        <v>Catalog Record</v>
      </c>
      <c r="AW1810" s="6" t="str">
        <f>HYPERLINK("http://www.worldcat.org/oclc/47138970","WorldCat Record")</f>
        <v>WorldCat Record</v>
      </c>
      <c r="AX1810" s="3" t="s">
        <v>17462</v>
      </c>
      <c r="AY1810" s="3" t="s">
        <v>17463</v>
      </c>
      <c r="AZ1810" s="3" t="s">
        <v>17464</v>
      </c>
      <c r="BA1810" s="3" t="s">
        <v>17464</v>
      </c>
      <c r="BB1810" s="3" t="s">
        <v>17465</v>
      </c>
      <c r="BC1810" s="3" t="s">
        <v>142</v>
      </c>
      <c r="BD1810" s="3" t="s">
        <v>68</v>
      </c>
      <c r="BE1810" s="3" t="s">
        <v>17466</v>
      </c>
      <c r="BF1810" s="3" t="s">
        <v>17465</v>
      </c>
      <c r="BG1810" s="3" t="s">
        <v>17467</v>
      </c>
    </row>
    <row r="1811" spans="1:59" ht="57" x14ac:dyDescent="0.45">
      <c r="A1811" s="2" t="s">
        <v>59</v>
      </c>
      <c r="B1811" s="2" t="s">
        <v>60</v>
      </c>
      <c r="C1811" s="2" t="s">
        <v>17468</v>
      </c>
      <c r="D1811" s="2" t="s">
        <v>17469</v>
      </c>
      <c r="E1811" s="2" t="s">
        <v>17470</v>
      </c>
      <c r="G1811" s="3" t="s">
        <v>62</v>
      </c>
      <c r="I1811" s="3" t="s">
        <v>61</v>
      </c>
      <c r="J1811" s="3" t="s">
        <v>62</v>
      </c>
      <c r="K1811" s="3" t="s">
        <v>63</v>
      </c>
      <c r="M1811" s="2" t="s">
        <v>17471</v>
      </c>
      <c r="N1811" s="3" t="s">
        <v>1855</v>
      </c>
      <c r="P1811" s="3" t="s">
        <v>65</v>
      </c>
      <c r="Q1811" s="2" t="s">
        <v>3508</v>
      </c>
      <c r="R1811" s="3" t="s">
        <v>66</v>
      </c>
      <c r="S1811" s="4">
        <v>7</v>
      </c>
      <c r="T1811" s="4">
        <v>26</v>
      </c>
      <c r="U1811" s="5" t="s">
        <v>9744</v>
      </c>
      <c r="V1811" s="5" t="s">
        <v>9744</v>
      </c>
      <c r="W1811" s="5" t="s">
        <v>67</v>
      </c>
      <c r="X1811" s="5" t="s">
        <v>67</v>
      </c>
      <c r="Y1811" s="4">
        <v>121</v>
      </c>
      <c r="Z1811" s="4">
        <v>22</v>
      </c>
      <c r="AA1811" s="4">
        <v>93</v>
      </c>
      <c r="AB1811" s="4">
        <v>1</v>
      </c>
      <c r="AC1811" s="4">
        <v>15</v>
      </c>
      <c r="AD1811" s="4">
        <v>33</v>
      </c>
      <c r="AE1811" s="4">
        <v>147</v>
      </c>
      <c r="AF1811" s="4">
        <v>0</v>
      </c>
      <c r="AG1811" s="4">
        <v>8</v>
      </c>
      <c r="AH1811" s="4">
        <v>27</v>
      </c>
      <c r="AI1811" s="4">
        <v>107</v>
      </c>
      <c r="AJ1811" s="4">
        <v>10</v>
      </c>
      <c r="AK1811" s="4">
        <v>26</v>
      </c>
      <c r="AL1811" s="4">
        <v>11</v>
      </c>
      <c r="AM1811" s="4">
        <v>52</v>
      </c>
      <c r="AN1811" s="4">
        <v>0</v>
      </c>
      <c r="AO1811" s="4">
        <v>0</v>
      </c>
      <c r="AP1811" s="4">
        <v>14</v>
      </c>
      <c r="AQ1811" s="4">
        <v>51</v>
      </c>
      <c r="AR1811" s="3" t="s">
        <v>62</v>
      </c>
      <c r="AS1811" s="3" t="s">
        <v>62</v>
      </c>
      <c r="AT1811" s="3" t="s">
        <v>62</v>
      </c>
      <c r="AV1811" s="6" t="str">
        <f>HYPERLINK("http://mcgill.on.worldcat.org/oclc/56647653","Catalog Record")</f>
        <v>Catalog Record</v>
      </c>
      <c r="AW1811" s="6" t="str">
        <f>HYPERLINK("http://www.worldcat.org/oclc/56647653","WorldCat Record")</f>
        <v>WorldCat Record</v>
      </c>
      <c r="AX1811" s="3" t="s">
        <v>17472</v>
      </c>
      <c r="AY1811" s="3" t="s">
        <v>17473</v>
      </c>
      <c r="AZ1811" s="3" t="s">
        <v>17474</v>
      </c>
      <c r="BA1811" s="3" t="s">
        <v>17474</v>
      </c>
      <c r="BB1811" s="3" t="s">
        <v>17475</v>
      </c>
      <c r="BC1811" s="3" t="s">
        <v>142</v>
      </c>
      <c r="BD1811" s="3" t="s">
        <v>68</v>
      </c>
      <c r="BE1811" s="3" t="s">
        <v>17476</v>
      </c>
      <c r="BF1811" s="3" t="s">
        <v>17475</v>
      </c>
      <c r="BG1811" s="3" t="s">
        <v>17477</v>
      </c>
    </row>
    <row r="1812" spans="1:59" ht="57" x14ac:dyDescent="0.45">
      <c r="A1812" s="2" t="s">
        <v>59</v>
      </c>
      <c r="B1812" s="2" t="s">
        <v>60</v>
      </c>
      <c r="C1812" s="2" t="s">
        <v>17468</v>
      </c>
      <c r="D1812" s="2" t="s">
        <v>17469</v>
      </c>
      <c r="E1812" s="2" t="s">
        <v>17470</v>
      </c>
      <c r="G1812" s="3" t="s">
        <v>62</v>
      </c>
      <c r="I1812" s="3" t="s">
        <v>61</v>
      </c>
      <c r="J1812" s="3" t="s">
        <v>62</v>
      </c>
      <c r="K1812" s="3" t="s">
        <v>63</v>
      </c>
      <c r="M1812" s="2" t="s">
        <v>17471</v>
      </c>
      <c r="N1812" s="3" t="s">
        <v>1855</v>
      </c>
      <c r="P1812" s="3" t="s">
        <v>65</v>
      </c>
      <c r="Q1812" s="2" t="s">
        <v>3508</v>
      </c>
      <c r="R1812" s="3" t="s">
        <v>66</v>
      </c>
      <c r="S1812" s="4">
        <v>19</v>
      </c>
      <c r="T1812" s="4">
        <v>26</v>
      </c>
      <c r="U1812" s="5" t="s">
        <v>17478</v>
      </c>
      <c r="V1812" s="5" t="s">
        <v>9744</v>
      </c>
      <c r="W1812" s="5" t="s">
        <v>67</v>
      </c>
      <c r="X1812" s="5" t="s">
        <v>67</v>
      </c>
      <c r="Y1812" s="4">
        <v>121</v>
      </c>
      <c r="Z1812" s="4">
        <v>22</v>
      </c>
      <c r="AA1812" s="4">
        <v>93</v>
      </c>
      <c r="AB1812" s="4">
        <v>1</v>
      </c>
      <c r="AC1812" s="4">
        <v>15</v>
      </c>
      <c r="AD1812" s="4">
        <v>33</v>
      </c>
      <c r="AE1812" s="4">
        <v>147</v>
      </c>
      <c r="AF1812" s="4">
        <v>0</v>
      </c>
      <c r="AG1812" s="4">
        <v>8</v>
      </c>
      <c r="AH1812" s="4">
        <v>27</v>
      </c>
      <c r="AI1812" s="4">
        <v>107</v>
      </c>
      <c r="AJ1812" s="4">
        <v>10</v>
      </c>
      <c r="AK1812" s="4">
        <v>26</v>
      </c>
      <c r="AL1812" s="4">
        <v>11</v>
      </c>
      <c r="AM1812" s="4">
        <v>52</v>
      </c>
      <c r="AN1812" s="4">
        <v>0</v>
      </c>
      <c r="AO1812" s="4">
        <v>0</v>
      </c>
      <c r="AP1812" s="4">
        <v>14</v>
      </c>
      <c r="AQ1812" s="4">
        <v>51</v>
      </c>
      <c r="AR1812" s="3" t="s">
        <v>62</v>
      </c>
      <c r="AS1812" s="3" t="s">
        <v>62</v>
      </c>
      <c r="AT1812" s="3" t="s">
        <v>62</v>
      </c>
      <c r="AV1812" s="6" t="str">
        <f>HYPERLINK("http://mcgill.on.worldcat.org/oclc/56647653","Catalog Record")</f>
        <v>Catalog Record</v>
      </c>
      <c r="AW1812" s="6" t="str">
        <f>HYPERLINK("http://www.worldcat.org/oclc/56647653","WorldCat Record")</f>
        <v>WorldCat Record</v>
      </c>
      <c r="AX1812" s="3" t="s">
        <v>17472</v>
      </c>
      <c r="AY1812" s="3" t="s">
        <v>17473</v>
      </c>
      <c r="AZ1812" s="3" t="s">
        <v>17474</v>
      </c>
      <c r="BA1812" s="3" t="s">
        <v>17474</v>
      </c>
      <c r="BB1812" s="3" t="s">
        <v>17479</v>
      </c>
      <c r="BC1812" s="3" t="s">
        <v>142</v>
      </c>
      <c r="BD1812" s="3" t="s">
        <v>68</v>
      </c>
      <c r="BE1812" s="3" t="s">
        <v>17476</v>
      </c>
      <c r="BF1812" s="3" t="s">
        <v>17479</v>
      </c>
      <c r="BG1812" s="3" t="s">
        <v>17480</v>
      </c>
    </row>
    <row r="1813" spans="1:59" ht="57" x14ac:dyDescent="0.45">
      <c r="A1813" s="2" t="s">
        <v>59</v>
      </c>
      <c r="B1813" s="2" t="s">
        <v>60</v>
      </c>
      <c r="C1813" s="2" t="s">
        <v>17481</v>
      </c>
      <c r="D1813" s="2" t="s">
        <v>17482</v>
      </c>
      <c r="E1813" s="2" t="s">
        <v>17483</v>
      </c>
      <c r="G1813" s="3" t="s">
        <v>62</v>
      </c>
      <c r="I1813" s="3" t="s">
        <v>62</v>
      </c>
      <c r="J1813" s="3" t="s">
        <v>62</v>
      </c>
      <c r="K1813" s="3" t="s">
        <v>63</v>
      </c>
      <c r="L1813" s="2" t="s">
        <v>17484</v>
      </c>
      <c r="M1813" s="2" t="s">
        <v>17485</v>
      </c>
      <c r="N1813" s="3" t="s">
        <v>1059</v>
      </c>
      <c r="P1813" s="3" t="s">
        <v>65</v>
      </c>
      <c r="Q1813" s="2" t="s">
        <v>17486</v>
      </c>
      <c r="R1813" s="3" t="s">
        <v>66</v>
      </c>
      <c r="S1813" s="4">
        <v>13</v>
      </c>
      <c r="T1813" s="4">
        <v>13</v>
      </c>
      <c r="U1813" s="5" t="s">
        <v>6164</v>
      </c>
      <c r="V1813" s="5" t="s">
        <v>6164</v>
      </c>
      <c r="W1813" s="5" t="s">
        <v>67</v>
      </c>
      <c r="X1813" s="5" t="s">
        <v>67</v>
      </c>
      <c r="Y1813" s="4">
        <v>118</v>
      </c>
      <c r="Z1813" s="4">
        <v>9</v>
      </c>
      <c r="AA1813" s="4">
        <v>9</v>
      </c>
      <c r="AB1813" s="4">
        <v>1</v>
      </c>
      <c r="AC1813" s="4">
        <v>1</v>
      </c>
      <c r="AD1813" s="4">
        <v>36</v>
      </c>
      <c r="AE1813" s="4">
        <v>36</v>
      </c>
      <c r="AF1813" s="4">
        <v>0</v>
      </c>
      <c r="AG1813" s="4">
        <v>0</v>
      </c>
      <c r="AH1813" s="4">
        <v>34</v>
      </c>
      <c r="AI1813" s="4">
        <v>34</v>
      </c>
      <c r="AJ1813" s="4">
        <v>3</v>
      </c>
      <c r="AK1813" s="4">
        <v>3</v>
      </c>
      <c r="AL1813" s="4">
        <v>19</v>
      </c>
      <c r="AM1813" s="4">
        <v>19</v>
      </c>
      <c r="AN1813" s="4">
        <v>0</v>
      </c>
      <c r="AO1813" s="4">
        <v>0</v>
      </c>
      <c r="AP1813" s="4">
        <v>4</v>
      </c>
      <c r="AQ1813" s="4">
        <v>4</v>
      </c>
      <c r="AR1813" s="3" t="s">
        <v>62</v>
      </c>
      <c r="AS1813" s="3" t="s">
        <v>62</v>
      </c>
      <c r="AT1813" s="3" t="s">
        <v>62</v>
      </c>
      <c r="AV1813" s="6" t="str">
        <f>HYPERLINK("http://mcgill.on.worldcat.org/oclc/62110007","Catalog Record")</f>
        <v>Catalog Record</v>
      </c>
      <c r="AW1813" s="6" t="str">
        <f>HYPERLINK("http://www.worldcat.org/oclc/62110007","WorldCat Record")</f>
        <v>WorldCat Record</v>
      </c>
      <c r="AX1813" s="3" t="s">
        <v>17487</v>
      </c>
      <c r="AY1813" s="3" t="s">
        <v>17488</v>
      </c>
      <c r="AZ1813" s="3" t="s">
        <v>17489</v>
      </c>
      <c r="BA1813" s="3" t="s">
        <v>17489</v>
      </c>
      <c r="BB1813" s="3" t="s">
        <v>17490</v>
      </c>
      <c r="BC1813" s="3" t="s">
        <v>142</v>
      </c>
      <c r="BD1813" s="3" t="s">
        <v>68</v>
      </c>
      <c r="BE1813" s="3" t="s">
        <v>17491</v>
      </c>
      <c r="BF1813" s="3" t="s">
        <v>17490</v>
      </c>
      <c r="BG1813" s="3" t="s">
        <v>17492</v>
      </c>
    </row>
    <row r="1814" spans="1:59" ht="57" x14ac:dyDescent="0.45">
      <c r="A1814" s="2" t="s">
        <v>59</v>
      </c>
      <c r="B1814" s="2" t="s">
        <v>60</v>
      </c>
      <c r="C1814" s="2" t="s">
        <v>17493</v>
      </c>
      <c r="D1814" s="2" t="s">
        <v>17494</v>
      </c>
      <c r="E1814" s="2" t="s">
        <v>17495</v>
      </c>
      <c r="G1814" s="3" t="s">
        <v>62</v>
      </c>
      <c r="I1814" s="3" t="s">
        <v>62</v>
      </c>
      <c r="J1814" s="3" t="s">
        <v>62</v>
      </c>
      <c r="K1814" s="3" t="s">
        <v>63</v>
      </c>
      <c r="M1814" s="2" t="s">
        <v>17496</v>
      </c>
      <c r="N1814" s="3" t="s">
        <v>1604</v>
      </c>
      <c r="P1814" s="3" t="s">
        <v>65</v>
      </c>
      <c r="R1814" s="3" t="s">
        <v>66</v>
      </c>
      <c r="S1814" s="4">
        <v>10</v>
      </c>
      <c r="T1814" s="4">
        <v>10</v>
      </c>
      <c r="U1814" s="5" t="s">
        <v>9744</v>
      </c>
      <c r="V1814" s="5" t="s">
        <v>9744</v>
      </c>
      <c r="W1814" s="5" t="s">
        <v>67</v>
      </c>
      <c r="X1814" s="5" t="s">
        <v>67</v>
      </c>
      <c r="Y1814" s="4">
        <v>329</v>
      </c>
      <c r="Z1814" s="4">
        <v>15</v>
      </c>
      <c r="AA1814" s="4">
        <v>15</v>
      </c>
      <c r="AB1814" s="4">
        <v>1</v>
      </c>
      <c r="AC1814" s="4">
        <v>1</v>
      </c>
      <c r="AD1814" s="4">
        <v>72</v>
      </c>
      <c r="AE1814" s="4">
        <v>73</v>
      </c>
      <c r="AF1814" s="4">
        <v>0</v>
      </c>
      <c r="AG1814" s="4">
        <v>0</v>
      </c>
      <c r="AH1814" s="4">
        <v>64</v>
      </c>
      <c r="AI1814" s="4">
        <v>65</v>
      </c>
      <c r="AJ1814" s="4">
        <v>11</v>
      </c>
      <c r="AK1814" s="4">
        <v>11</v>
      </c>
      <c r="AL1814" s="4">
        <v>35</v>
      </c>
      <c r="AM1814" s="4">
        <v>35</v>
      </c>
      <c r="AN1814" s="4">
        <v>0</v>
      </c>
      <c r="AO1814" s="4">
        <v>0</v>
      </c>
      <c r="AP1814" s="4">
        <v>13</v>
      </c>
      <c r="AQ1814" s="4">
        <v>13</v>
      </c>
      <c r="AR1814" s="3" t="s">
        <v>62</v>
      </c>
      <c r="AS1814" s="3" t="s">
        <v>62</v>
      </c>
      <c r="AT1814" s="3" t="s">
        <v>62</v>
      </c>
      <c r="AV1814" s="6" t="str">
        <f>HYPERLINK("http://mcgill.on.worldcat.org/oclc/30594018","Catalog Record")</f>
        <v>Catalog Record</v>
      </c>
      <c r="AW1814" s="6" t="str">
        <f>HYPERLINK("http://www.worldcat.org/oclc/30594018","WorldCat Record")</f>
        <v>WorldCat Record</v>
      </c>
      <c r="AX1814" s="3" t="s">
        <v>17497</v>
      </c>
      <c r="AY1814" s="3" t="s">
        <v>17498</v>
      </c>
      <c r="AZ1814" s="3" t="s">
        <v>17499</v>
      </c>
      <c r="BA1814" s="3" t="s">
        <v>17499</v>
      </c>
      <c r="BB1814" s="3" t="s">
        <v>17500</v>
      </c>
      <c r="BC1814" s="3" t="s">
        <v>142</v>
      </c>
      <c r="BD1814" s="3" t="s">
        <v>68</v>
      </c>
      <c r="BE1814" s="3" t="s">
        <v>17501</v>
      </c>
      <c r="BF1814" s="3" t="s">
        <v>17500</v>
      </c>
      <c r="BG1814" s="3" t="s">
        <v>17502</v>
      </c>
    </row>
    <row r="1815" spans="1:59" ht="57" x14ac:dyDescent="0.45">
      <c r="A1815" s="2" t="s">
        <v>59</v>
      </c>
      <c r="B1815" s="2" t="s">
        <v>60</v>
      </c>
      <c r="C1815" s="2" t="s">
        <v>17503</v>
      </c>
      <c r="D1815" s="2" t="s">
        <v>17504</v>
      </c>
      <c r="E1815" s="2" t="s">
        <v>17505</v>
      </c>
      <c r="G1815" s="3" t="s">
        <v>62</v>
      </c>
      <c r="I1815" s="3" t="s">
        <v>62</v>
      </c>
      <c r="J1815" s="3" t="s">
        <v>62</v>
      </c>
      <c r="K1815" s="3" t="s">
        <v>63</v>
      </c>
      <c r="M1815" s="2" t="s">
        <v>1178</v>
      </c>
      <c r="N1815" s="3" t="s">
        <v>894</v>
      </c>
      <c r="P1815" s="3" t="s">
        <v>65</v>
      </c>
      <c r="Q1815" s="2" t="s">
        <v>17506</v>
      </c>
      <c r="R1815" s="3" t="s">
        <v>66</v>
      </c>
      <c r="S1815" s="4">
        <v>1</v>
      </c>
      <c r="T1815" s="4">
        <v>1</v>
      </c>
      <c r="U1815" s="5" t="s">
        <v>17507</v>
      </c>
      <c r="V1815" s="5" t="s">
        <v>17507</v>
      </c>
      <c r="W1815" s="5" t="s">
        <v>67</v>
      </c>
      <c r="X1815" s="5" t="s">
        <v>67</v>
      </c>
      <c r="Y1815" s="4">
        <v>122</v>
      </c>
      <c r="Z1815" s="4">
        <v>17</v>
      </c>
      <c r="AA1815" s="4">
        <v>91</v>
      </c>
      <c r="AB1815" s="4">
        <v>2</v>
      </c>
      <c r="AC1815" s="4">
        <v>17</v>
      </c>
      <c r="AD1815" s="4">
        <v>50</v>
      </c>
      <c r="AE1815" s="4">
        <v>117</v>
      </c>
      <c r="AF1815" s="4">
        <v>1</v>
      </c>
      <c r="AG1815" s="4">
        <v>8</v>
      </c>
      <c r="AH1815" s="4">
        <v>42</v>
      </c>
      <c r="AI1815" s="4">
        <v>81</v>
      </c>
      <c r="AJ1815" s="4">
        <v>8</v>
      </c>
      <c r="AK1815" s="4">
        <v>21</v>
      </c>
      <c r="AL1815" s="4">
        <v>23</v>
      </c>
      <c r="AM1815" s="4">
        <v>42</v>
      </c>
      <c r="AN1815" s="4">
        <v>0</v>
      </c>
      <c r="AO1815" s="4">
        <v>0</v>
      </c>
      <c r="AP1815" s="4">
        <v>13</v>
      </c>
      <c r="AQ1815" s="4">
        <v>43</v>
      </c>
      <c r="AR1815" s="3" t="s">
        <v>62</v>
      </c>
      <c r="AS1815" s="3" t="s">
        <v>62</v>
      </c>
      <c r="AT1815" s="3" t="s">
        <v>62</v>
      </c>
      <c r="AV1815" s="6" t="str">
        <f>HYPERLINK("http://mcgill.on.worldcat.org/oclc/741355655","Catalog Record")</f>
        <v>Catalog Record</v>
      </c>
      <c r="AW1815" s="6" t="str">
        <f>HYPERLINK("http://www.worldcat.org/oclc/741355655","WorldCat Record")</f>
        <v>WorldCat Record</v>
      </c>
      <c r="AX1815" s="3" t="s">
        <v>17508</v>
      </c>
      <c r="AY1815" s="3" t="s">
        <v>17509</v>
      </c>
      <c r="AZ1815" s="3" t="s">
        <v>17510</v>
      </c>
      <c r="BA1815" s="3" t="s">
        <v>17510</v>
      </c>
      <c r="BB1815" s="3" t="s">
        <v>17511</v>
      </c>
      <c r="BC1815" s="3" t="s">
        <v>142</v>
      </c>
      <c r="BD1815" s="3" t="s">
        <v>68</v>
      </c>
      <c r="BE1815" s="3" t="s">
        <v>17512</v>
      </c>
      <c r="BF1815" s="3" t="s">
        <v>17511</v>
      </c>
      <c r="BG1815" s="3" t="s">
        <v>17513</v>
      </c>
    </row>
    <row r="1816" spans="1:59" ht="57" x14ac:dyDescent="0.45">
      <c r="A1816" s="2" t="s">
        <v>59</v>
      </c>
      <c r="B1816" s="2" t="s">
        <v>60</v>
      </c>
      <c r="C1816" s="2" t="s">
        <v>17514</v>
      </c>
      <c r="D1816" s="2" t="s">
        <v>17515</v>
      </c>
      <c r="E1816" s="2" t="s">
        <v>17516</v>
      </c>
      <c r="G1816" s="3" t="s">
        <v>62</v>
      </c>
      <c r="I1816" s="3" t="s">
        <v>62</v>
      </c>
      <c r="J1816" s="3" t="s">
        <v>62</v>
      </c>
      <c r="K1816" s="3" t="s">
        <v>63</v>
      </c>
      <c r="M1816" s="2" t="s">
        <v>17517</v>
      </c>
      <c r="N1816" s="3" t="s">
        <v>894</v>
      </c>
      <c r="P1816" s="3" t="s">
        <v>65</v>
      </c>
      <c r="R1816" s="3" t="s">
        <v>66</v>
      </c>
      <c r="S1816" s="4">
        <v>0</v>
      </c>
      <c r="T1816" s="4">
        <v>0</v>
      </c>
      <c r="W1816" s="5" t="s">
        <v>67</v>
      </c>
      <c r="X1816" s="5" t="s">
        <v>67</v>
      </c>
      <c r="Y1816" s="4">
        <v>137</v>
      </c>
      <c r="Z1816" s="4">
        <v>18</v>
      </c>
      <c r="AA1816" s="4">
        <v>18</v>
      </c>
      <c r="AB1816" s="4">
        <v>2</v>
      </c>
      <c r="AC1816" s="4">
        <v>2</v>
      </c>
      <c r="AD1816" s="4">
        <v>64</v>
      </c>
      <c r="AE1816" s="4">
        <v>64</v>
      </c>
      <c r="AF1816" s="4">
        <v>1</v>
      </c>
      <c r="AG1816" s="4">
        <v>1</v>
      </c>
      <c r="AH1816" s="4">
        <v>61</v>
      </c>
      <c r="AI1816" s="4">
        <v>61</v>
      </c>
      <c r="AJ1816" s="4">
        <v>14</v>
      </c>
      <c r="AK1816" s="4">
        <v>14</v>
      </c>
      <c r="AL1816" s="4">
        <v>30</v>
      </c>
      <c r="AM1816" s="4">
        <v>30</v>
      </c>
      <c r="AN1816" s="4">
        <v>0</v>
      </c>
      <c r="AO1816" s="4">
        <v>0</v>
      </c>
      <c r="AP1816" s="4">
        <v>14</v>
      </c>
      <c r="AQ1816" s="4">
        <v>14</v>
      </c>
      <c r="AR1816" s="3" t="s">
        <v>62</v>
      </c>
      <c r="AS1816" s="3" t="s">
        <v>62</v>
      </c>
      <c r="AT1816" s="3" t="s">
        <v>62</v>
      </c>
      <c r="AV1816" s="6" t="str">
        <f>HYPERLINK("http://mcgill.on.worldcat.org/oclc/664677369","Catalog Record")</f>
        <v>Catalog Record</v>
      </c>
      <c r="AW1816" s="6" t="str">
        <f>HYPERLINK("http://www.worldcat.org/oclc/664677369","WorldCat Record")</f>
        <v>WorldCat Record</v>
      </c>
      <c r="AX1816" s="3" t="s">
        <v>17518</v>
      </c>
      <c r="AY1816" s="3" t="s">
        <v>17519</v>
      </c>
      <c r="AZ1816" s="3" t="s">
        <v>17520</v>
      </c>
      <c r="BA1816" s="3" t="s">
        <v>17520</v>
      </c>
      <c r="BB1816" s="3" t="s">
        <v>17521</v>
      </c>
      <c r="BC1816" s="3" t="s">
        <v>142</v>
      </c>
      <c r="BD1816" s="3" t="s">
        <v>68</v>
      </c>
      <c r="BE1816" s="3" t="s">
        <v>17522</v>
      </c>
      <c r="BF1816" s="3" t="s">
        <v>17521</v>
      </c>
      <c r="BG1816" s="3" t="s">
        <v>17523</v>
      </c>
    </row>
    <row r="1817" spans="1:59" ht="57" x14ac:dyDescent="0.45">
      <c r="A1817" s="2" t="s">
        <v>59</v>
      </c>
      <c r="B1817" s="2" t="s">
        <v>60</v>
      </c>
      <c r="C1817" s="2" t="s">
        <v>17524</v>
      </c>
      <c r="D1817" s="2" t="s">
        <v>17525</v>
      </c>
      <c r="E1817" s="2" t="s">
        <v>17526</v>
      </c>
      <c r="G1817" s="3" t="s">
        <v>62</v>
      </c>
      <c r="I1817" s="3" t="s">
        <v>62</v>
      </c>
      <c r="J1817" s="3" t="s">
        <v>62</v>
      </c>
      <c r="K1817" s="3" t="s">
        <v>63</v>
      </c>
      <c r="L1817" s="2" t="s">
        <v>17527</v>
      </c>
      <c r="M1817" s="2" t="s">
        <v>17528</v>
      </c>
      <c r="N1817" s="3" t="s">
        <v>195</v>
      </c>
      <c r="P1817" s="3" t="s">
        <v>110</v>
      </c>
      <c r="Q1817" s="2" t="s">
        <v>17529</v>
      </c>
      <c r="R1817" s="3" t="s">
        <v>66</v>
      </c>
      <c r="S1817" s="4">
        <v>18</v>
      </c>
      <c r="T1817" s="4">
        <v>18</v>
      </c>
      <c r="U1817" s="5" t="s">
        <v>12870</v>
      </c>
      <c r="V1817" s="5" t="s">
        <v>12870</v>
      </c>
      <c r="W1817" s="5" t="s">
        <v>67</v>
      </c>
      <c r="X1817" s="5" t="s">
        <v>67</v>
      </c>
      <c r="Y1817" s="4">
        <v>161</v>
      </c>
      <c r="Z1817" s="4">
        <v>5</v>
      </c>
      <c r="AA1817" s="4">
        <v>21</v>
      </c>
      <c r="AB1817" s="4">
        <v>4</v>
      </c>
      <c r="AC1817" s="4">
        <v>12</v>
      </c>
      <c r="AD1817" s="4">
        <v>2</v>
      </c>
      <c r="AE1817" s="4">
        <v>20</v>
      </c>
      <c r="AF1817" s="4">
        <v>1</v>
      </c>
      <c r="AG1817" s="4">
        <v>5</v>
      </c>
      <c r="AH1817" s="4">
        <v>0</v>
      </c>
      <c r="AI1817" s="4">
        <v>12</v>
      </c>
      <c r="AJ1817" s="4">
        <v>1</v>
      </c>
      <c r="AK1817" s="4">
        <v>10</v>
      </c>
      <c r="AL1817" s="4">
        <v>0</v>
      </c>
      <c r="AM1817" s="4">
        <v>5</v>
      </c>
      <c r="AN1817" s="4">
        <v>0</v>
      </c>
      <c r="AO1817" s="4">
        <v>0</v>
      </c>
      <c r="AP1817" s="4">
        <v>2</v>
      </c>
      <c r="AQ1817" s="4">
        <v>13</v>
      </c>
      <c r="AR1817" s="3" t="s">
        <v>62</v>
      </c>
      <c r="AS1817" s="3" t="s">
        <v>62</v>
      </c>
      <c r="AT1817" s="3" t="s">
        <v>62</v>
      </c>
      <c r="AV1817" s="6" t="str">
        <f>HYPERLINK("http://mcgill.on.worldcat.org/oclc/428019792","Catalog Record")</f>
        <v>Catalog Record</v>
      </c>
      <c r="AW1817" s="6" t="str">
        <f>HYPERLINK("http://www.worldcat.org/oclc/428019792","WorldCat Record")</f>
        <v>WorldCat Record</v>
      </c>
      <c r="AX1817" s="3" t="s">
        <v>17530</v>
      </c>
      <c r="AY1817" s="3" t="s">
        <v>17531</v>
      </c>
      <c r="AZ1817" s="3" t="s">
        <v>17532</v>
      </c>
      <c r="BA1817" s="3" t="s">
        <v>17532</v>
      </c>
      <c r="BB1817" s="3" t="s">
        <v>17533</v>
      </c>
      <c r="BC1817" s="3" t="s">
        <v>142</v>
      </c>
      <c r="BD1817" s="3" t="s">
        <v>68</v>
      </c>
      <c r="BF1817" s="3" t="s">
        <v>17533</v>
      </c>
      <c r="BG1817" s="3" t="s">
        <v>17534</v>
      </c>
    </row>
    <row r="1818" spans="1:59" ht="57" x14ac:dyDescent="0.45">
      <c r="A1818" s="2" t="s">
        <v>59</v>
      </c>
      <c r="B1818" s="2" t="s">
        <v>60</v>
      </c>
      <c r="C1818" s="2" t="s">
        <v>17535</v>
      </c>
      <c r="D1818" s="2" t="s">
        <v>17536</v>
      </c>
      <c r="E1818" s="2" t="s">
        <v>17537</v>
      </c>
      <c r="G1818" s="3" t="s">
        <v>62</v>
      </c>
      <c r="I1818" s="3" t="s">
        <v>62</v>
      </c>
      <c r="J1818" s="3" t="s">
        <v>62</v>
      </c>
      <c r="K1818" s="3" t="s">
        <v>63</v>
      </c>
      <c r="L1818" s="2" t="s">
        <v>17538</v>
      </c>
      <c r="M1818" s="2" t="s">
        <v>17539</v>
      </c>
      <c r="N1818" s="3" t="s">
        <v>958</v>
      </c>
      <c r="P1818" s="3" t="s">
        <v>110</v>
      </c>
      <c r="Q1818" s="2" t="s">
        <v>17540</v>
      </c>
      <c r="R1818" s="3" t="s">
        <v>66</v>
      </c>
      <c r="S1818" s="4">
        <v>3</v>
      </c>
      <c r="T1818" s="4">
        <v>3</v>
      </c>
      <c r="U1818" s="5" t="s">
        <v>12497</v>
      </c>
      <c r="V1818" s="5" t="s">
        <v>12497</v>
      </c>
      <c r="W1818" s="5" t="s">
        <v>67</v>
      </c>
      <c r="X1818" s="5" t="s">
        <v>67</v>
      </c>
      <c r="Y1818" s="4">
        <v>17</v>
      </c>
      <c r="Z1818" s="4">
        <v>2</v>
      </c>
      <c r="AA1818" s="4">
        <v>4</v>
      </c>
      <c r="AB1818" s="4">
        <v>1</v>
      </c>
      <c r="AC1818" s="4">
        <v>3</v>
      </c>
      <c r="AD1818" s="4">
        <v>9</v>
      </c>
      <c r="AE1818" s="4">
        <v>11</v>
      </c>
      <c r="AF1818" s="4">
        <v>0</v>
      </c>
      <c r="AG1818" s="4">
        <v>2</v>
      </c>
      <c r="AH1818" s="4">
        <v>8</v>
      </c>
      <c r="AI1818" s="4">
        <v>9</v>
      </c>
      <c r="AJ1818" s="4">
        <v>1</v>
      </c>
      <c r="AK1818" s="4">
        <v>3</v>
      </c>
      <c r="AL1818" s="4">
        <v>6</v>
      </c>
      <c r="AM1818" s="4">
        <v>6</v>
      </c>
      <c r="AN1818" s="4">
        <v>0</v>
      </c>
      <c r="AO1818" s="4">
        <v>0</v>
      </c>
      <c r="AP1818" s="4">
        <v>1</v>
      </c>
      <c r="AQ1818" s="4">
        <v>3</v>
      </c>
      <c r="AR1818" s="3" t="s">
        <v>62</v>
      </c>
      <c r="AS1818" s="3" t="s">
        <v>62</v>
      </c>
      <c r="AT1818" s="3" t="s">
        <v>62</v>
      </c>
      <c r="AV1818" s="6" t="str">
        <f>HYPERLINK("http://mcgill.on.worldcat.org/oclc/35599895","Catalog Record")</f>
        <v>Catalog Record</v>
      </c>
      <c r="AW1818" s="6" t="str">
        <f>HYPERLINK("http://www.worldcat.org/oclc/35599895","WorldCat Record")</f>
        <v>WorldCat Record</v>
      </c>
      <c r="AX1818" s="3" t="s">
        <v>17541</v>
      </c>
      <c r="AY1818" s="3" t="s">
        <v>17542</v>
      </c>
      <c r="AZ1818" s="3" t="s">
        <v>17543</v>
      </c>
      <c r="BA1818" s="3" t="s">
        <v>17543</v>
      </c>
      <c r="BB1818" s="3" t="s">
        <v>17544</v>
      </c>
      <c r="BC1818" s="3" t="s">
        <v>142</v>
      </c>
      <c r="BD1818" s="3" t="s">
        <v>68</v>
      </c>
      <c r="BE1818" s="3" t="s">
        <v>17545</v>
      </c>
      <c r="BF1818" s="3" t="s">
        <v>17544</v>
      </c>
      <c r="BG1818" s="3" t="s">
        <v>17546</v>
      </c>
    </row>
    <row r="1819" spans="1:59" ht="57" x14ac:dyDescent="0.45">
      <c r="A1819" s="2" t="s">
        <v>59</v>
      </c>
      <c r="B1819" s="2" t="s">
        <v>60</v>
      </c>
      <c r="C1819" s="2" t="s">
        <v>17547</v>
      </c>
      <c r="D1819" s="2" t="s">
        <v>17548</v>
      </c>
      <c r="E1819" s="2" t="s">
        <v>17549</v>
      </c>
      <c r="G1819" s="3" t="s">
        <v>62</v>
      </c>
      <c r="I1819" s="3" t="s">
        <v>62</v>
      </c>
      <c r="J1819" s="3" t="s">
        <v>61</v>
      </c>
      <c r="K1819" s="3" t="s">
        <v>63</v>
      </c>
      <c r="L1819" s="2" t="s">
        <v>17550</v>
      </c>
      <c r="M1819" s="2" t="s">
        <v>17551</v>
      </c>
      <c r="N1819" s="3" t="s">
        <v>1059</v>
      </c>
      <c r="O1819" s="2" t="s">
        <v>420</v>
      </c>
      <c r="P1819" s="3" t="s">
        <v>65</v>
      </c>
      <c r="R1819" s="3" t="s">
        <v>66</v>
      </c>
      <c r="S1819" s="4">
        <v>6</v>
      </c>
      <c r="T1819" s="4">
        <v>6</v>
      </c>
      <c r="U1819" s="5" t="s">
        <v>4782</v>
      </c>
      <c r="V1819" s="5" t="s">
        <v>4782</v>
      </c>
      <c r="W1819" s="5" t="s">
        <v>67</v>
      </c>
      <c r="X1819" s="5" t="s">
        <v>67</v>
      </c>
      <c r="Y1819" s="4">
        <v>131</v>
      </c>
      <c r="Z1819" s="4">
        <v>8</v>
      </c>
      <c r="AA1819" s="4">
        <v>39</v>
      </c>
      <c r="AB1819" s="4">
        <v>1</v>
      </c>
      <c r="AC1819" s="4">
        <v>6</v>
      </c>
      <c r="AD1819" s="4">
        <v>19</v>
      </c>
      <c r="AE1819" s="4">
        <v>90</v>
      </c>
      <c r="AF1819" s="4">
        <v>0</v>
      </c>
      <c r="AG1819" s="4">
        <v>4</v>
      </c>
      <c r="AH1819" s="4">
        <v>15</v>
      </c>
      <c r="AI1819" s="4">
        <v>72</v>
      </c>
      <c r="AJ1819" s="4">
        <v>2</v>
      </c>
      <c r="AK1819" s="4">
        <v>19</v>
      </c>
      <c r="AL1819" s="4">
        <v>7</v>
      </c>
      <c r="AM1819" s="4">
        <v>38</v>
      </c>
      <c r="AN1819" s="4">
        <v>0</v>
      </c>
      <c r="AO1819" s="4">
        <v>0</v>
      </c>
      <c r="AP1819" s="4">
        <v>4</v>
      </c>
      <c r="AQ1819" s="4">
        <v>24</v>
      </c>
      <c r="AR1819" s="3" t="s">
        <v>62</v>
      </c>
      <c r="AS1819" s="3" t="s">
        <v>62</v>
      </c>
      <c r="AT1819" s="3" t="s">
        <v>62</v>
      </c>
      <c r="AV1819" s="6" t="str">
        <f>HYPERLINK("http://mcgill.on.worldcat.org/oclc/59266203","Catalog Record")</f>
        <v>Catalog Record</v>
      </c>
      <c r="AW1819" s="6" t="str">
        <f>HYPERLINK("http://www.worldcat.org/oclc/59266203","WorldCat Record")</f>
        <v>WorldCat Record</v>
      </c>
      <c r="AX1819" s="3" t="s">
        <v>17552</v>
      </c>
      <c r="AY1819" s="3" t="s">
        <v>17553</v>
      </c>
      <c r="AZ1819" s="3" t="s">
        <v>17554</v>
      </c>
      <c r="BA1819" s="3" t="s">
        <v>17554</v>
      </c>
      <c r="BB1819" s="3" t="s">
        <v>17555</v>
      </c>
      <c r="BC1819" s="3" t="s">
        <v>142</v>
      </c>
      <c r="BD1819" s="3" t="s">
        <v>68</v>
      </c>
      <c r="BE1819" s="3" t="s">
        <v>17556</v>
      </c>
      <c r="BF1819" s="3" t="s">
        <v>17555</v>
      </c>
      <c r="BG1819" s="3" t="s">
        <v>17557</v>
      </c>
    </row>
    <row r="1820" spans="1:59" ht="57" x14ac:dyDescent="0.45">
      <c r="A1820" s="2" t="s">
        <v>59</v>
      </c>
      <c r="B1820" s="2" t="s">
        <v>60</v>
      </c>
      <c r="C1820" s="2" t="s">
        <v>17558</v>
      </c>
      <c r="D1820" s="2" t="s">
        <v>17559</v>
      </c>
      <c r="E1820" s="2" t="s">
        <v>17560</v>
      </c>
      <c r="G1820" s="3" t="s">
        <v>62</v>
      </c>
      <c r="H1820" s="3" t="s">
        <v>3960</v>
      </c>
      <c r="I1820" s="3" t="s">
        <v>62</v>
      </c>
      <c r="J1820" s="3" t="s">
        <v>62</v>
      </c>
      <c r="K1820" s="3" t="s">
        <v>63</v>
      </c>
      <c r="L1820" s="2" t="s">
        <v>17561</v>
      </c>
      <c r="M1820" s="2" t="s">
        <v>17562</v>
      </c>
      <c r="N1820" s="3" t="s">
        <v>1918</v>
      </c>
      <c r="O1820" s="2" t="s">
        <v>1748</v>
      </c>
      <c r="P1820" s="3" t="s">
        <v>65</v>
      </c>
      <c r="R1820" s="3" t="s">
        <v>66</v>
      </c>
      <c r="S1820" s="4">
        <v>0</v>
      </c>
      <c r="T1820" s="4">
        <v>0</v>
      </c>
      <c r="W1820" s="5" t="s">
        <v>17563</v>
      </c>
      <c r="X1820" s="5" t="s">
        <v>17563</v>
      </c>
      <c r="Y1820" s="4">
        <v>431</v>
      </c>
      <c r="Z1820" s="4">
        <v>13</v>
      </c>
      <c r="AA1820" s="4">
        <v>20</v>
      </c>
      <c r="AB1820" s="4">
        <v>1</v>
      </c>
      <c r="AC1820" s="4">
        <v>6</v>
      </c>
      <c r="AD1820" s="4">
        <v>65</v>
      </c>
      <c r="AE1820" s="4">
        <v>77</v>
      </c>
      <c r="AF1820" s="4">
        <v>0</v>
      </c>
      <c r="AG1820" s="4">
        <v>2</v>
      </c>
      <c r="AH1820" s="4">
        <v>60</v>
      </c>
      <c r="AI1820" s="4">
        <v>69</v>
      </c>
      <c r="AJ1820" s="4">
        <v>6</v>
      </c>
      <c r="AK1820" s="4">
        <v>9</v>
      </c>
      <c r="AL1820" s="4">
        <v>43</v>
      </c>
      <c r="AM1820" s="4">
        <v>47</v>
      </c>
      <c r="AN1820" s="4">
        <v>0</v>
      </c>
      <c r="AO1820" s="4">
        <v>0</v>
      </c>
      <c r="AP1820" s="4">
        <v>7</v>
      </c>
      <c r="AQ1820" s="4">
        <v>10</v>
      </c>
      <c r="AR1820" s="3" t="s">
        <v>62</v>
      </c>
      <c r="AS1820" s="3" t="s">
        <v>62</v>
      </c>
      <c r="AT1820" s="3" t="s">
        <v>62</v>
      </c>
      <c r="AV1820" s="6" t="str">
        <f>HYPERLINK("http://mcgill.on.worldcat.org/oclc/958780483","Catalog Record")</f>
        <v>Catalog Record</v>
      </c>
      <c r="AW1820" s="6" t="str">
        <f>HYPERLINK("http://www.worldcat.org/oclc/958780483","WorldCat Record")</f>
        <v>WorldCat Record</v>
      </c>
      <c r="AX1820" s="3" t="s">
        <v>17564</v>
      </c>
      <c r="AY1820" s="3" t="s">
        <v>17565</v>
      </c>
      <c r="AZ1820" s="3" t="s">
        <v>17566</v>
      </c>
      <c r="BA1820" s="3" t="s">
        <v>17566</v>
      </c>
      <c r="BB1820" s="3" t="s">
        <v>17567</v>
      </c>
      <c r="BC1820" s="3" t="s">
        <v>142</v>
      </c>
      <c r="BD1820" s="3" t="s">
        <v>68</v>
      </c>
      <c r="BE1820" s="3" t="s">
        <v>17568</v>
      </c>
      <c r="BF1820" s="3" t="s">
        <v>17567</v>
      </c>
      <c r="BG1820" s="3" t="s">
        <v>17569</v>
      </c>
    </row>
    <row r="1821" spans="1:59" ht="57" x14ac:dyDescent="0.45">
      <c r="A1821" s="2" t="s">
        <v>59</v>
      </c>
      <c r="B1821" s="2" t="s">
        <v>60</v>
      </c>
      <c r="C1821" s="2" t="s">
        <v>17570</v>
      </c>
      <c r="D1821" s="2" t="s">
        <v>17571</v>
      </c>
      <c r="E1821" s="2" t="s">
        <v>17572</v>
      </c>
      <c r="G1821" s="3" t="s">
        <v>62</v>
      </c>
      <c r="I1821" s="3" t="s">
        <v>62</v>
      </c>
      <c r="J1821" s="3" t="s">
        <v>62</v>
      </c>
      <c r="K1821" s="3" t="s">
        <v>63</v>
      </c>
      <c r="M1821" s="2" t="s">
        <v>17573</v>
      </c>
      <c r="N1821" s="3" t="s">
        <v>918</v>
      </c>
      <c r="P1821" s="3" t="s">
        <v>65</v>
      </c>
      <c r="Q1821" s="2" t="s">
        <v>17574</v>
      </c>
      <c r="R1821" s="3" t="s">
        <v>66</v>
      </c>
      <c r="S1821" s="4">
        <v>31</v>
      </c>
      <c r="T1821" s="4">
        <v>31</v>
      </c>
      <c r="U1821" s="5" t="s">
        <v>1749</v>
      </c>
      <c r="V1821" s="5" t="s">
        <v>1749</v>
      </c>
      <c r="W1821" s="5" t="s">
        <v>67</v>
      </c>
      <c r="X1821" s="5" t="s">
        <v>67</v>
      </c>
      <c r="Y1821" s="4">
        <v>424</v>
      </c>
      <c r="Z1821" s="4">
        <v>35</v>
      </c>
      <c r="AA1821" s="4">
        <v>42</v>
      </c>
      <c r="AB1821" s="4">
        <v>2</v>
      </c>
      <c r="AC1821" s="4">
        <v>9</v>
      </c>
      <c r="AD1821" s="4">
        <v>110</v>
      </c>
      <c r="AE1821" s="4">
        <v>114</v>
      </c>
      <c r="AF1821" s="4">
        <v>1</v>
      </c>
      <c r="AG1821" s="4">
        <v>4</v>
      </c>
      <c r="AH1821" s="4">
        <v>95</v>
      </c>
      <c r="AI1821" s="4">
        <v>97</v>
      </c>
      <c r="AJ1821" s="4">
        <v>19</v>
      </c>
      <c r="AK1821" s="4">
        <v>22</v>
      </c>
      <c r="AL1821" s="4">
        <v>50</v>
      </c>
      <c r="AM1821" s="4">
        <v>51</v>
      </c>
      <c r="AN1821" s="4">
        <v>0</v>
      </c>
      <c r="AO1821" s="4">
        <v>0</v>
      </c>
      <c r="AP1821" s="4">
        <v>26</v>
      </c>
      <c r="AQ1821" s="4">
        <v>28</v>
      </c>
      <c r="AR1821" s="3" t="s">
        <v>62</v>
      </c>
      <c r="AS1821" s="3" t="s">
        <v>62</v>
      </c>
      <c r="AT1821" s="3" t="s">
        <v>62</v>
      </c>
      <c r="AV1821" s="6" t="str">
        <f>HYPERLINK("http://mcgill.on.worldcat.org/oclc/52178778","Catalog Record")</f>
        <v>Catalog Record</v>
      </c>
      <c r="AW1821" s="6" t="str">
        <f>HYPERLINK("http://www.worldcat.org/oclc/52178778","WorldCat Record")</f>
        <v>WorldCat Record</v>
      </c>
      <c r="AX1821" s="3" t="s">
        <v>17575</v>
      </c>
      <c r="AY1821" s="3" t="s">
        <v>17576</v>
      </c>
      <c r="AZ1821" s="3" t="s">
        <v>17577</v>
      </c>
      <c r="BA1821" s="3" t="s">
        <v>17577</v>
      </c>
      <c r="BB1821" s="3" t="s">
        <v>17578</v>
      </c>
      <c r="BC1821" s="3" t="s">
        <v>142</v>
      </c>
      <c r="BD1821" s="3" t="s">
        <v>68</v>
      </c>
      <c r="BE1821" s="3" t="s">
        <v>17579</v>
      </c>
      <c r="BF1821" s="3" t="s">
        <v>17578</v>
      </c>
      <c r="BG1821" s="3" t="s">
        <v>17580</v>
      </c>
    </row>
    <row r="1822" spans="1:59" ht="57" x14ac:dyDescent="0.45">
      <c r="A1822" s="2" t="s">
        <v>59</v>
      </c>
      <c r="B1822" s="2" t="s">
        <v>60</v>
      </c>
      <c r="C1822" s="2" t="s">
        <v>17581</v>
      </c>
      <c r="D1822" s="2" t="s">
        <v>17582</v>
      </c>
      <c r="E1822" s="2" t="s">
        <v>17583</v>
      </c>
      <c r="G1822" s="3" t="s">
        <v>62</v>
      </c>
      <c r="I1822" s="3" t="s">
        <v>62</v>
      </c>
      <c r="J1822" s="3" t="s">
        <v>62</v>
      </c>
      <c r="K1822" s="3" t="s">
        <v>63</v>
      </c>
      <c r="M1822" s="2" t="s">
        <v>17584</v>
      </c>
      <c r="N1822" s="3" t="s">
        <v>1155</v>
      </c>
      <c r="P1822" s="3" t="s">
        <v>65</v>
      </c>
      <c r="R1822" s="3" t="s">
        <v>66</v>
      </c>
      <c r="S1822" s="4">
        <v>0</v>
      </c>
      <c r="T1822" s="4">
        <v>0</v>
      </c>
      <c r="W1822" s="5" t="s">
        <v>67</v>
      </c>
      <c r="X1822" s="5" t="s">
        <v>67</v>
      </c>
      <c r="Y1822" s="4">
        <v>242</v>
      </c>
      <c r="Z1822" s="4">
        <v>20</v>
      </c>
      <c r="AA1822" s="4">
        <v>66</v>
      </c>
      <c r="AB1822" s="4">
        <v>2</v>
      </c>
      <c r="AC1822" s="4">
        <v>7</v>
      </c>
      <c r="AD1822" s="4">
        <v>90</v>
      </c>
      <c r="AE1822" s="4">
        <v>122</v>
      </c>
      <c r="AF1822" s="4">
        <v>0</v>
      </c>
      <c r="AG1822" s="4">
        <v>2</v>
      </c>
      <c r="AH1822" s="4">
        <v>83</v>
      </c>
      <c r="AI1822" s="4">
        <v>99</v>
      </c>
      <c r="AJ1822" s="4">
        <v>14</v>
      </c>
      <c r="AK1822" s="4">
        <v>21</v>
      </c>
      <c r="AL1822" s="4">
        <v>48</v>
      </c>
      <c r="AM1822" s="4">
        <v>53</v>
      </c>
      <c r="AN1822" s="4">
        <v>0</v>
      </c>
      <c r="AO1822" s="4">
        <v>0</v>
      </c>
      <c r="AP1822" s="4">
        <v>15</v>
      </c>
      <c r="AQ1822" s="4">
        <v>32</v>
      </c>
      <c r="AR1822" s="3" t="s">
        <v>62</v>
      </c>
      <c r="AS1822" s="3" t="s">
        <v>62</v>
      </c>
      <c r="AT1822" s="3" t="s">
        <v>62</v>
      </c>
      <c r="AV1822" s="6" t="str">
        <f>HYPERLINK("http://mcgill.on.worldcat.org/oclc/759910058","Catalog Record")</f>
        <v>Catalog Record</v>
      </c>
      <c r="AW1822" s="6" t="str">
        <f>HYPERLINK("http://www.worldcat.org/oclc/759910058","WorldCat Record")</f>
        <v>WorldCat Record</v>
      </c>
      <c r="AX1822" s="3" t="s">
        <v>17585</v>
      </c>
      <c r="AY1822" s="3" t="s">
        <v>17586</v>
      </c>
      <c r="AZ1822" s="3" t="s">
        <v>17587</v>
      </c>
      <c r="BA1822" s="3" t="s">
        <v>17587</v>
      </c>
      <c r="BB1822" s="3" t="s">
        <v>17588</v>
      </c>
      <c r="BC1822" s="3" t="s">
        <v>142</v>
      </c>
      <c r="BD1822" s="3" t="s">
        <v>68</v>
      </c>
      <c r="BE1822" s="3" t="s">
        <v>17589</v>
      </c>
      <c r="BF1822" s="3" t="s">
        <v>17588</v>
      </c>
      <c r="BG1822" s="3" t="s">
        <v>17590</v>
      </c>
    </row>
    <row r="1823" spans="1:59" ht="57" x14ac:dyDescent="0.45">
      <c r="A1823" s="2" t="s">
        <v>59</v>
      </c>
      <c r="B1823" s="2" t="s">
        <v>60</v>
      </c>
      <c r="C1823" s="2" t="s">
        <v>17591</v>
      </c>
      <c r="D1823" s="2" t="s">
        <v>17592</v>
      </c>
      <c r="E1823" s="2" t="s">
        <v>17593</v>
      </c>
      <c r="G1823" s="3" t="s">
        <v>62</v>
      </c>
      <c r="I1823" s="3" t="s">
        <v>62</v>
      </c>
      <c r="J1823" s="3" t="s">
        <v>62</v>
      </c>
      <c r="K1823" s="3" t="s">
        <v>63</v>
      </c>
      <c r="L1823" s="2" t="s">
        <v>17594</v>
      </c>
      <c r="M1823" s="2" t="s">
        <v>17595</v>
      </c>
      <c r="N1823" s="3" t="s">
        <v>542</v>
      </c>
      <c r="P1823" s="3" t="s">
        <v>65</v>
      </c>
      <c r="R1823" s="3" t="s">
        <v>66</v>
      </c>
      <c r="S1823" s="4">
        <v>36</v>
      </c>
      <c r="T1823" s="4">
        <v>36</v>
      </c>
      <c r="U1823" s="5" t="s">
        <v>17596</v>
      </c>
      <c r="V1823" s="5" t="s">
        <v>17596</v>
      </c>
      <c r="W1823" s="5" t="s">
        <v>67</v>
      </c>
      <c r="X1823" s="5" t="s">
        <v>67</v>
      </c>
      <c r="Y1823" s="4">
        <v>594</v>
      </c>
      <c r="Z1823" s="4">
        <v>42</v>
      </c>
      <c r="AA1823" s="4">
        <v>86</v>
      </c>
      <c r="AB1823" s="4">
        <v>4</v>
      </c>
      <c r="AC1823" s="4">
        <v>14</v>
      </c>
      <c r="AD1823" s="4">
        <v>112</v>
      </c>
      <c r="AE1823" s="4">
        <v>145</v>
      </c>
      <c r="AF1823" s="4">
        <v>1</v>
      </c>
      <c r="AG1823" s="4">
        <v>5</v>
      </c>
      <c r="AH1823" s="4">
        <v>91</v>
      </c>
      <c r="AI1823" s="4">
        <v>110</v>
      </c>
      <c r="AJ1823" s="4">
        <v>18</v>
      </c>
      <c r="AK1823" s="4">
        <v>23</v>
      </c>
      <c r="AL1823" s="4">
        <v>48</v>
      </c>
      <c r="AM1823" s="4">
        <v>57</v>
      </c>
      <c r="AN1823" s="4">
        <v>0</v>
      </c>
      <c r="AO1823" s="4">
        <v>0</v>
      </c>
      <c r="AP1823" s="4">
        <v>30</v>
      </c>
      <c r="AQ1823" s="4">
        <v>44</v>
      </c>
      <c r="AR1823" s="3" t="s">
        <v>62</v>
      </c>
      <c r="AS1823" s="3" t="s">
        <v>62</v>
      </c>
      <c r="AT1823" s="3" t="s">
        <v>61</v>
      </c>
      <c r="AU1823" s="6" t="str">
        <f>HYPERLINK("http://catalog.hathitrust.org/Record/004167622","HathiTrust Record")</f>
        <v>HathiTrust Record</v>
      </c>
      <c r="AV1823" s="6" t="str">
        <f>HYPERLINK("http://mcgill.on.worldcat.org/oclc/46868084","Catalog Record")</f>
        <v>Catalog Record</v>
      </c>
      <c r="AW1823" s="6" t="str">
        <f>HYPERLINK("http://www.worldcat.org/oclc/46868084","WorldCat Record")</f>
        <v>WorldCat Record</v>
      </c>
      <c r="AX1823" s="3" t="s">
        <v>17597</v>
      </c>
      <c r="AY1823" s="3" t="s">
        <v>17598</v>
      </c>
      <c r="AZ1823" s="3" t="s">
        <v>17599</v>
      </c>
      <c r="BA1823" s="3" t="s">
        <v>17599</v>
      </c>
      <c r="BB1823" s="3" t="s">
        <v>17600</v>
      </c>
      <c r="BC1823" s="3" t="s">
        <v>142</v>
      </c>
      <c r="BD1823" s="3" t="s">
        <v>68</v>
      </c>
      <c r="BE1823" s="3" t="s">
        <v>17601</v>
      </c>
      <c r="BF1823" s="3" t="s">
        <v>17600</v>
      </c>
      <c r="BG1823" s="3" t="s">
        <v>17602</v>
      </c>
    </row>
    <row r="1824" spans="1:59" ht="57" x14ac:dyDescent="0.45">
      <c r="A1824" s="2" t="s">
        <v>59</v>
      </c>
      <c r="B1824" s="2" t="s">
        <v>60</v>
      </c>
      <c r="C1824" s="2" t="s">
        <v>17603</v>
      </c>
      <c r="D1824" s="2" t="s">
        <v>17604</v>
      </c>
      <c r="E1824" s="2" t="s">
        <v>17605</v>
      </c>
      <c r="G1824" s="3" t="s">
        <v>62</v>
      </c>
      <c r="I1824" s="3" t="s">
        <v>62</v>
      </c>
      <c r="J1824" s="3" t="s">
        <v>62</v>
      </c>
      <c r="K1824" s="3" t="s">
        <v>63</v>
      </c>
      <c r="L1824" s="2" t="s">
        <v>17594</v>
      </c>
      <c r="M1824" s="2" t="s">
        <v>17606</v>
      </c>
      <c r="N1824" s="3" t="s">
        <v>1155</v>
      </c>
      <c r="O1824" s="2" t="s">
        <v>906</v>
      </c>
      <c r="P1824" s="3" t="s">
        <v>65</v>
      </c>
      <c r="R1824" s="3" t="s">
        <v>66</v>
      </c>
      <c r="S1824" s="4">
        <v>33</v>
      </c>
      <c r="T1824" s="4">
        <v>33</v>
      </c>
      <c r="U1824" s="5" t="s">
        <v>2621</v>
      </c>
      <c r="V1824" s="5" t="s">
        <v>2621</v>
      </c>
      <c r="W1824" s="5" t="s">
        <v>67</v>
      </c>
      <c r="X1824" s="5" t="s">
        <v>67</v>
      </c>
      <c r="Y1824" s="4">
        <v>334</v>
      </c>
      <c r="Z1824" s="4">
        <v>27</v>
      </c>
      <c r="AA1824" s="4">
        <v>42</v>
      </c>
      <c r="AB1824" s="4">
        <v>2</v>
      </c>
      <c r="AC1824" s="4">
        <v>11</v>
      </c>
      <c r="AD1824" s="4">
        <v>65</v>
      </c>
      <c r="AE1824" s="4">
        <v>90</v>
      </c>
      <c r="AF1824" s="4">
        <v>1</v>
      </c>
      <c r="AG1824" s="4">
        <v>7</v>
      </c>
      <c r="AH1824" s="4">
        <v>53</v>
      </c>
      <c r="AI1824" s="4">
        <v>71</v>
      </c>
      <c r="AJ1824" s="4">
        <v>10</v>
      </c>
      <c r="AK1824" s="4">
        <v>18</v>
      </c>
      <c r="AL1824" s="4">
        <v>29</v>
      </c>
      <c r="AM1824" s="4">
        <v>35</v>
      </c>
      <c r="AN1824" s="4">
        <v>0</v>
      </c>
      <c r="AO1824" s="4">
        <v>0</v>
      </c>
      <c r="AP1824" s="4">
        <v>17</v>
      </c>
      <c r="AQ1824" s="4">
        <v>27</v>
      </c>
      <c r="AR1824" s="3" t="s">
        <v>62</v>
      </c>
      <c r="AS1824" s="3" t="s">
        <v>62</v>
      </c>
      <c r="AT1824" s="3" t="s">
        <v>62</v>
      </c>
      <c r="AV1824" s="6" t="str">
        <f>HYPERLINK("http://mcgill.on.worldcat.org/oclc/766264330","Catalog Record")</f>
        <v>Catalog Record</v>
      </c>
      <c r="AW1824" s="6" t="str">
        <f>HYPERLINK("http://www.worldcat.org/oclc/766264330","WorldCat Record")</f>
        <v>WorldCat Record</v>
      </c>
      <c r="AX1824" s="3" t="s">
        <v>17607</v>
      </c>
      <c r="AY1824" s="3" t="s">
        <v>17608</v>
      </c>
      <c r="AZ1824" s="3" t="s">
        <v>17609</v>
      </c>
      <c r="BA1824" s="3" t="s">
        <v>17609</v>
      </c>
      <c r="BB1824" s="3" t="s">
        <v>17610</v>
      </c>
      <c r="BC1824" s="3" t="s">
        <v>142</v>
      </c>
      <c r="BD1824" s="3" t="s">
        <v>68</v>
      </c>
      <c r="BE1824" s="3" t="s">
        <v>17611</v>
      </c>
      <c r="BF1824" s="3" t="s">
        <v>17610</v>
      </c>
      <c r="BG1824" s="3" t="s">
        <v>17612</v>
      </c>
    </row>
    <row r="1825" spans="1:59" ht="57" x14ac:dyDescent="0.45">
      <c r="A1825" s="2" t="s">
        <v>59</v>
      </c>
      <c r="B1825" s="2" t="s">
        <v>60</v>
      </c>
      <c r="C1825" s="2" t="s">
        <v>17613</v>
      </c>
      <c r="D1825" s="2" t="s">
        <v>17614</v>
      </c>
      <c r="E1825" s="2" t="s">
        <v>17615</v>
      </c>
      <c r="G1825" s="3" t="s">
        <v>62</v>
      </c>
      <c r="I1825" s="3" t="s">
        <v>62</v>
      </c>
      <c r="J1825" s="3" t="s">
        <v>62</v>
      </c>
      <c r="K1825" s="3" t="s">
        <v>63</v>
      </c>
      <c r="L1825" s="2" t="s">
        <v>17616</v>
      </c>
      <c r="M1825" s="2" t="s">
        <v>17617</v>
      </c>
      <c r="N1825" s="3" t="s">
        <v>125</v>
      </c>
      <c r="P1825" s="3" t="s">
        <v>65</v>
      </c>
      <c r="Q1825" s="2" t="s">
        <v>17618</v>
      </c>
      <c r="R1825" s="3" t="s">
        <v>66</v>
      </c>
      <c r="S1825" s="4">
        <v>21</v>
      </c>
      <c r="T1825" s="4">
        <v>21</v>
      </c>
      <c r="U1825" s="5" t="s">
        <v>17393</v>
      </c>
      <c r="V1825" s="5" t="s">
        <v>17393</v>
      </c>
      <c r="W1825" s="5" t="s">
        <v>67</v>
      </c>
      <c r="X1825" s="5" t="s">
        <v>67</v>
      </c>
      <c r="Y1825" s="4">
        <v>408</v>
      </c>
      <c r="Z1825" s="4">
        <v>30</v>
      </c>
      <c r="AA1825" s="4">
        <v>110</v>
      </c>
      <c r="AB1825" s="4">
        <v>3</v>
      </c>
      <c r="AC1825" s="4">
        <v>18</v>
      </c>
      <c r="AD1825" s="4">
        <v>114</v>
      </c>
      <c r="AE1825" s="4">
        <v>150</v>
      </c>
      <c r="AF1825" s="4">
        <v>1</v>
      </c>
      <c r="AG1825" s="4">
        <v>8</v>
      </c>
      <c r="AH1825" s="4">
        <v>99</v>
      </c>
      <c r="AI1825" s="4">
        <v>108</v>
      </c>
      <c r="AJ1825" s="4">
        <v>18</v>
      </c>
      <c r="AK1825" s="4">
        <v>28</v>
      </c>
      <c r="AL1825" s="4">
        <v>54</v>
      </c>
      <c r="AM1825" s="4">
        <v>55</v>
      </c>
      <c r="AN1825" s="4">
        <v>0</v>
      </c>
      <c r="AO1825" s="4">
        <v>0</v>
      </c>
      <c r="AP1825" s="4">
        <v>22</v>
      </c>
      <c r="AQ1825" s="4">
        <v>52</v>
      </c>
      <c r="AR1825" s="3" t="s">
        <v>62</v>
      </c>
      <c r="AS1825" s="3" t="s">
        <v>62</v>
      </c>
      <c r="AT1825" s="3" t="s">
        <v>61</v>
      </c>
      <c r="AU1825" s="6" t="str">
        <f>HYPERLINK("http://catalog.hathitrust.org/Record/002228079","HathiTrust Record")</f>
        <v>HathiTrust Record</v>
      </c>
      <c r="AV1825" s="6" t="str">
        <f>HYPERLINK("http://mcgill.on.worldcat.org/oclc/20722333","Catalog Record")</f>
        <v>Catalog Record</v>
      </c>
      <c r="AW1825" s="6" t="str">
        <f>HYPERLINK("http://www.worldcat.org/oclc/20722333","WorldCat Record")</f>
        <v>WorldCat Record</v>
      </c>
      <c r="AX1825" s="3" t="s">
        <v>17619</v>
      </c>
      <c r="AY1825" s="3" t="s">
        <v>17620</v>
      </c>
      <c r="AZ1825" s="3" t="s">
        <v>17621</v>
      </c>
      <c r="BA1825" s="3" t="s">
        <v>17621</v>
      </c>
      <c r="BB1825" s="3" t="s">
        <v>17622</v>
      </c>
      <c r="BC1825" s="3" t="s">
        <v>142</v>
      </c>
      <c r="BD1825" s="3" t="s">
        <v>68</v>
      </c>
      <c r="BE1825" s="3" t="s">
        <v>17623</v>
      </c>
      <c r="BF1825" s="3" t="s">
        <v>17622</v>
      </c>
      <c r="BG1825" s="3" t="s">
        <v>17624</v>
      </c>
    </row>
    <row r="1826" spans="1:59" ht="57" x14ac:dyDescent="0.45">
      <c r="A1826" s="2" t="s">
        <v>59</v>
      </c>
      <c r="B1826" s="2" t="s">
        <v>60</v>
      </c>
      <c r="C1826" s="2" t="s">
        <v>17625</v>
      </c>
      <c r="D1826" s="2" t="s">
        <v>17626</v>
      </c>
      <c r="E1826" s="2" t="s">
        <v>17627</v>
      </c>
      <c r="G1826" s="3" t="s">
        <v>62</v>
      </c>
      <c r="I1826" s="3" t="s">
        <v>62</v>
      </c>
      <c r="J1826" s="3" t="s">
        <v>62</v>
      </c>
      <c r="K1826" s="3" t="s">
        <v>63</v>
      </c>
      <c r="L1826" s="2" t="s">
        <v>17628</v>
      </c>
      <c r="M1826" s="2" t="s">
        <v>17629</v>
      </c>
      <c r="N1826" s="3" t="s">
        <v>918</v>
      </c>
      <c r="P1826" s="3" t="s">
        <v>110</v>
      </c>
      <c r="Q1826" s="2" t="s">
        <v>17630</v>
      </c>
      <c r="R1826" s="3" t="s">
        <v>66</v>
      </c>
      <c r="S1826" s="4">
        <v>7</v>
      </c>
      <c r="T1826" s="4">
        <v>7</v>
      </c>
      <c r="U1826" s="5" t="s">
        <v>7824</v>
      </c>
      <c r="V1826" s="5" t="s">
        <v>7824</v>
      </c>
      <c r="W1826" s="5" t="s">
        <v>67</v>
      </c>
      <c r="X1826" s="5" t="s">
        <v>67</v>
      </c>
      <c r="Y1826" s="4">
        <v>81</v>
      </c>
      <c r="Z1826" s="4">
        <v>19</v>
      </c>
      <c r="AA1826" s="4">
        <v>90</v>
      </c>
      <c r="AB1826" s="4">
        <v>7</v>
      </c>
      <c r="AC1826" s="4">
        <v>24</v>
      </c>
      <c r="AD1826" s="4">
        <v>15</v>
      </c>
      <c r="AE1826" s="4">
        <v>62</v>
      </c>
      <c r="AF1826" s="4">
        <v>2</v>
      </c>
      <c r="AG1826" s="4">
        <v>9</v>
      </c>
      <c r="AH1826" s="4">
        <v>8</v>
      </c>
      <c r="AI1826" s="4">
        <v>19</v>
      </c>
      <c r="AJ1826" s="4">
        <v>9</v>
      </c>
      <c r="AK1826" s="4">
        <v>22</v>
      </c>
      <c r="AL1826" s="4">
        <v>4</v>
      </c>
      <c r="AM1826" s="4">
        <v>8</v>
      </c>
      <c r="AN1826" s="4">
        <v>0</v>
      </c>
      <c r="AO1826" s="4">
        <v>0</v>
      </c>
      <c r="AP1826" s="4">
        <v>7</v>
      </c>
      <c r="AQ1826" s="4">
        <v>47</v>
      </c>
      <c r="AR1826" s="3" t="s">
        <v>61</v>
      </c>
      <c r="AS1826" s="3" t="s">
        <v>62</v>
      </c>
      <c r="AT1826" s="3" t="s">
        <v>62</v>
      </c>
      <c r="AV1826" s="6" t="str">
        <f>HYPERLINK("http://mcgill.on.worldcat.org/oclc/52495605","Catalog Record")</f>
        <v>Catalog Record</v>
      </c>
      <c r="AW1826" s="6" t="str">
        <f>HYPERLINK("http://www.worldcat.org/oclc/52495605","WorldCat Record")</f>
        <v>WorldCat Record</v>
      </c>
      <c r="AX1826" s="3" t="s">
        <v>17631</v>
      </c>
      <c r="AY1826" s="3" t="s">
        <v>17632</v>
      </c>
      <c r="AZ1826" s="3" t="s">
        <v>17633</v>
      </c>
      <c r="BA1826" s="3" t="s">
        <v>17633</v>
      </c>
      <c r="BB1826" s="3" t="s">
        <v>17634</v>
      </c>
      <c r="BC1826" s="3" t="s">
        <v>142</v>
      </c>
      <c r="BD1826" s="3" t="s">
        <v>68</v>
      </c>
      <c r="BE1826" s="3" t="s">
        <v>17635</v>
      </c>
      <c r="BF1826" s="3" t="s">
        <v>17634</v>
      </c>
      <c r="BG1826" s="3" t="s">
        <v>17636</v>
      </c>
    </row>
    <row r="1827" spans="1:59" ht="57" x14ac:dyDescent="0.45">
      <c r="A1827" s="2" t="s">
        <v>59</v>
      </c>
      <c r="B1827" s="2" t="s">
        <v>60</v>
      </c>
      <c r="C1827" s="2" t="s">
        <v>17637</v>
      </c>
      <c r="D1827" s="2" t="s">
        <v>17638</v>
      </c>
      <c r="E1827" s="2" t="s">
        <v>17639</v>
      </c>
      <c r="G1827" s="3" t="s">
        <v>62</v>
      </c>
      <c r="I1827" s="3" t="s">
        <v>62</v>
      </c>
      <c r="J1827" s="3" t="s">
        <v>62</v>
      </c>
      <c r="K1827" s="3" t="s">
        <v>63</v>
      </c>
      <c r="L1827" s="2" t="s">
        <v>17640</v>
      </c>
      <c r="M1827" s="2" t="s">
        <v>17641</v>
      </c>
      <c r="N1827" s="3" t="s">
        <v>1097</v>
      </c>
      <c r="P1827" s="3" t="s">
        <v>65</v>
      </c>
      <c r="Q1827" s="2" t="s">
        <v>17642</v>
      </c>
      <c r="R1827" s="3" t="s">
        <v>66</v>
      </c>
      <c r="S1827" s="4">
        <v>10</v>
      </c>
      <c r="T1827" s="4">
        <v>10</v>
      </c>
      <c r="U1827" s="5" t="s">
        <v>7551</v>
      </c>
      <c r="V1827" s="5" t="s">
        <v>7551</v>
      </c>
      <c r="W1827" s="5" t="s">
        <v>67</v>
      </c>
      <c r="X1827" s="5" t="s">
        <v>67</v>
      </c>
      <c r="Y1827" s="4">
        <v>435</v>
      </c>
      <c r="Z1827" s="4">
        <v>26</v>
      </c>
      <c r="AA1827" s="4">
        <v>28</v>
      </c>
      <c r="AB1827" s="4">
        <v>2</v>
      </c>
      <c r="AC1827" s="4">
        <v>4</v>
      </c>
      <c r="AD1827" s="4">
        <v>97</v>
      </c>
      <c r="AE1827" s="4">
        <v>99</v>
      </c>
      <c r="AF1827" s="4">
        <v>1</v>
      </c>
      <c r="AG1827" s="4">
        <v>3</v>
      </c>
      <c r="AH1827" s="4">
        <v>84</v>
      </c>
      <c r="AI1827" s="4">
        <v>85</v>
      </c>
      <c r="AJ1827" s="4">
        <v>12</v>
      </c>
      <c r="AK1827" s="4">
        <v>14</v>
      </c>
      <c r="AL1827" s="4">
        <v>43</v>
      </c>
      <c r="AM1827" s="4">
        <v>43</v>
      </c>
      <c r="AN1827" s="4">
        <v>0</v>
      </c>
      <c r="AO1827" s="4">
        <v>0</v>
      </c>
      <c r="AP1827" s="4">
        <v>20</v>
      </c>
      <c r="AQ1827" s="4">
        <v>21</v>
      </c>
      <c r="AR1827" s="3" t="s">
        <v>62</v>
      </c>
      <c r="AS1827" s="3" t="s">
        <v>62</v>
      </c>
      <c r="AT1827" s="3" t="s">
        <v>61</v>
      </c>
      <c r="AU1827" s="6" t="str">
        <f>HYPERLINK("http://catalog.hathitrust.org/Record/004916720","HathiTrust Record")</f>
        <v>HathiTrust Record</v>
      </c>
      <c r="AV1827" s="6" t="str">
        <f>HYPERLINK("http://mcgill.on.worldcat.org/oclc/56655473","Catalog Record")</f>
        <v>Catalog Record</v>
      </c>
      <c r="AW1827" s="6" t="str">
        <f>HYPERLINK("http://www.worldcat.org/oclc/56655473","WorldCat Record")</f>
        <v>WorldCat Record</v>
      </c>
      <c r="AX1827" s="3" t="s">
        <v>17643</v>
      </c>
      <c r="AY1827" s="3" t="s">
        <v>17644</v>
      </c>
      <c r="AZ1827" s="3" t="s">
        <v>17645</v>
      </c>
      <c r="BA1827" s="3" t="s">
        <v>17645</v>
      </c>
      <c r="BB1827" s="3" t="s">
        <v>17646</v>
      </c>
      <c r="BC1827" s="3" t="s">
        <v>142</v>
      </c>
      <c r="BD1827" s="3" t="s">
        <v>68</v>
      </c>
      <c r="BE1827" s="3" t="s">
        <v>17647</v>
      </c>
      <c r="BF1827" s="3" t="s">
        <v>17646</v>
      </c>
      <c r="BG1827" s="3" t="s">
        <v>17648</v>
      </c>
    </row>
    <row r="1828" spans="1:59" ht="57" x14ac:dyDescent="0.45">
      <c r="A1828" s="2" t="s">
        <v>59</v>
      </c>
      <c r="B1828" s="2" t="s">
        <v>60</v>
      </c>
      <c r="C1828" s="2" t="s">
        <v>17649</v>
      </c>
      <c r="D1828" s="2" t="s">
        <v>17650</v>
      </c>
      <c r="E1828" s="2" t="s">
        <v>17651</v>
      </c>
      <c r="G1828" s="3" t="s">
        <v>62</v>
      </c>
      <c r="I1828" s="3" t="s">
        <v>62</v>
      </c>
      <c r="J1828" s="3" t="s">
        <v>62</v>
      </c>
      <c r="K1828" s="3" t="s">
        <v>63</v>
      </c>
      <c r="L1828" s="2" t="s">
        <v>17652</v>
      </c>
      <c r="M1828" s="2" t="s">
        <v>17653</v>
      </c>
      <c r="N1828" s="3" t="s">
        <v>1688</v>
      </c>
      <c r="P1828" s="3" t="s">
        <v>65</v>
      </c>
      <c r="Q1828" s="2" t="s">
        <v>17654</v>
      </c>
      <c r="R1828" s="3" t="s">
        <v>66</v>
      </c>
      <c r="S1828" s="4">
        <v>1</v>
      </c>
      <c r="T1828" s="4">
        <v>1</v>
      </c>
      <c r="U1828" s="5" t="s">
        <v>17655</v>
      </c>
      <c r="V1828" s="5" t="s">
        <v>17655</v>
      </c>
      <c r="W1828" s="5" t="s">
        <v>67</v>
      </c>
      <c r="X1828" s="5" t="s">
        <v>67</v>
      </c>
      <c r="Y1828" s="4">
        <v>101</v>
      </c>
      <c r="Z1828" s="4">
        <v>14</v>
      </c>
      <c r="AA1828" s="4">
        <v>20</v>
      </c>
      <c r="AB1828" s="4">
        <v>1</v>
      </c>
      <c r="AC1828" s="4">
        <v>5</v>
      </c>
      <c r="AD1828" s="4">
        <v>46</v>
      </c>
      <c r="AE1828" s="4">
        <v>59</v>
      </c>
      <c r="AF1828" s="4">
        <v>0</v>
      </c>
      <c r="AG1828" s="4">
        <v>1</v>
      </c>
      <c r="AH1828" s="4">
        <v>43</v>
      </c>
      <c r="AI1828" s="4">
        <v>54</v>
      </c>
      <c r="AJ1828" s="4">
        <v>10</v>
      </c>
      <c r="AK1828" s="4">
        <v>13</v>
      </c>
      <c r="AL1828" s="4">
        <v>28</v>
      </c>
      <c r="AM1828" s="4">
        <v>36</v>
      </c>
      <c r="AN1828" s="4">
        <v>0</v>
      </c>
      <c r="AO1828" s="4">
        <v>0</v>
      </c>
      <c r="AP1828" s="4">
        <v>11</v>
      </c>
      <c r="AQ1828" s="4">
        <v>14</v>
      </c>
      <c r="AR1828" s="3" t="s">
        <v>62</v>
      </c>
      <c r="AS1828" s="3" t="s">
        <v>62</v>
      </c>
      <c r="AT1828" s="3" t="s">
        <v>62</v>
      </c>
      <c r="AV1828" s="6" t="str">
        <f>HYPERLINK("http://mcgill.on.worldcat.org/oclc/839388635","Catalog Record")</f>
        <v>Catalog Record</v>
      </c>
      <c r="AW1828" s="6" t="str">
        <f>HYPERLINK("http://www.worldcat.org/oclc/839388635","WorldCat Record")</f>
        <v>WorldCat Record</v>
      </c>
      <c r="AX1828" s="3" t="s">
        <v>17656</v>
      </c>
      <c r="AY1828" s="3" t="s">
        <v>17657</v>
      </c>
      <c r="AZ1828" s="3" t="s">
        <v>17658</v>
      </c>
      <c r="BA1828" s="3" t="s">
        <v>17658</v>
      </c>
      <c r="BB1828" s="3" t="s">
        <v>17659</v>
      </c>
      <c r="BC1828" s="3" t="s">
        <v>142</v>
      </c>
      <c r="BD1828" s="3" t="s">
        <v>68</v>
      </c>
      <c r="BE1828" s="3" t="s">
        <v>17660</v>
      </c>
      <c r="BF1828" s="3" t="s">
        <v>17659</v>
      </c>
      <c r="BG1828" s="3" t="s">
        <v>17661</v>
      </c>
    </row>
    <row r="1829" spans="1:59" ht="57" x14ac:dyDescent="0.45">
      <c r="A1829" s="2" t="s">
        <v>59</v>
      </c>
      <c r="B1829" s="2" t="s">
        <v>60</v>
      </c>
      <c r="C1829" s="2" t="s">
        <v>17662</v>
      </c>
      <c r="D1829" s="2" t="s">
        <v>17663</v>
      </c>
      <c r="E1829" s="2" t="s">
        <v>17664</v>
      </c>
      <c r="G1829" s="3" t="s">
        <v>62</v>
      </c>
      <c r="I1829" s="3" t="s">
        <v>62</v>
      </c>
      <c r="J1829" s="3" t="s">
        <v>62</v>
      </c>
      <c r="K1829" s="3" t="s">
        <v>63</v>
      </c>
      <c r="L1829" s="2" t="s">
        <v>17665</v>
      </c>
      <c r="M1829" s="2" t="s">
        <v>17666</v>
      </c>
      <c r="N1829" s="3" t="s">
        <v>208</v>
      </c>
      <c r="P1829" s="3" t="s">
        <v>65</v>
      </c>
      <c r="Q1829" s="2" t="s">
        <v>17667</v>
      </c>
      <c r="R1829" s="3" t="s">
        <v>66</v>
      </c>
      <c r="S1829" s="4">
        <v>0</v>
      </c>
      <c r="T1829" s="4">
        <v>0</v>
      </c>
      <c r="W1829" s="5" t="s">
        <v>67</v>
      </c>
      <c r="X1829" s="5" t="s">
        <v>67</v>
      </c>
      <c r="Y1829" s="4">
        <v>43</v>
      </c>
      <c r="Z1829" s="4">
        <v>6</v>
      </c>
      <c r="AA1829" s="4">
        <v>22</v>
      </c>
      <c r="AB1829" s="4">
        <v>1</v>
      </c>
      <c r="AC1829" s="4">
        <v>3</v>
      </c>
      <c r="AD1829" s="4">
        <v>19</v>
      </c>
      <c r="AE1829" s="4">
        <v>27</v>
      </c>
      <c r="AF1829" s="4">
        <v>0</v>
      </c>
      <c r="AG1829" s="4">
        <v>0</v>
      </c>
      <c r="AH1829" s="4">
        <v>18</v>
      </c>
      <c r="AI1829" s="4">
        <v>20</v>
      </c>
      <c r="AJ1829" s="4">
        <v>4</v>
      </c>
      <c r="AK1829" s="4">
        <v>7</v>
      </c>
      <c r="AL1829" s="4">
        <v>12</v>
      </c>
      <c r="AM1829" s="4">
        <v>12</v>
      </c>
      <c r="AN1829" s="4">
        <v>0</v>
      </c>
      <c r="AO1829" s="4">
        <v>0</v>
      </c>
      <c r="AP1829" s="4">
        <v>4</v>
      </c>
      <c r="AQ1829" s="4">
        <v>12</v>
      </c>
      <c r="AR1829" s="3" t="s">
        <v>62</v>
      </c>
      <c r="AS1829" s="3" t="s">
        <v>62</v>
      </c>
      <c r="AT1829" s="3" t="s">
        <v>62</v>
      </c>
      <c r="AV1829" s="6" t="str">
        <f>HYPERLINK("http://mcgill.on.worldcat.org/oclc/890971592","Catalog Record")</f>
        <v>Catalog Record</v>
      </c>
      <c r="AW1829" s="6" t="str">
        <f>HYPERLINK("http://www.worldcat.org/oclc/890971592","WorldCat Record")</f>
        <v>WorldCat Record</v>
      </c>
      <c r="AX1829" s="3" t="s">
        <v>17668</v>
      </c>
      <c r="AY1829" s="3" t="s">
        <v>17669</v>
      </c>
      <c r="AZ1829" s="3" t="s">
        <v>17670</v>
      </c>
      <c r="BA1829" s="3" t="s">
        <v>17670</v>
      </c>
      <c r="BB1829" s="3" t="s">
        <v>17671</v>
      </c>
      <c r="BC1829" s="3" t="s">
        <v>142</v>
      </c>
      <c r="BD1829" s="3" t="s">
        <v>68</v>
      </c>
      <c r="BE1829" s="3" t="s">
        <v>17672</v>
      </c>
      <c r="BF1829" s="3" t="s">
        <v>17671</v>
      </c>
      <c r="BG1829" s="3" t="s">
        <v>17673</v>
      </c>
    </row>
    <row r="1830" spans="1:59" ht="71.25" x14ac:dyDescent="0.45">
      <c r="A1830" s="2" t="s">
        <v>59</v>
      </c>
      <c r="B1830" s="2" t="s">
        <v>13360</v>
      </c>
      <c r="C1830" s="2" t="s">
        <v>17674</v>
      </c>
      <c r="D1830" s="2" t="s">
        <v>17675</v>
      </c>
      <c r="E1830" s="2" t="s">
        <v>17676</v>
      </c>
      <c r="G1830" s="3" t="s">
        <v>62</v>
      </c>
      <c r="I1830" s="3" t="s">
        <v>62</v>
      </c>
      <c r="J1830" s="3" t="s">
        <v>62</v>
      </c>
      <c r="K1830" s="3" t="s">
        <v>63</v>
      </c>
      <c r="L1830" s="2" t="s">
        <v>17677</v>
      </c>
      <c r="M1830" s="2" t="s">
        <v>17678</v>
      </c>
      <c r="N1830" s="3" t="s">
        <v>1478</v>
      </c>
      <c r="P1830" s="3" t="s">
        <v>65</v>
      </c>
      <c r="R1830" s="3" t="s">
        <v>66</v>
      </c>
      <c r="S1830" s="4">
        <v>28</v>
      </c>
      <c r="T1830" s="4">
        <v>28</v>
      </c>
      <c r="U1830" s="5" t="s">
        <v>17679</v>
      </c>
      <c r="V1830" s="5" t="s">
        <v>17679</v>
      </c>
      <c r="W1830" s="5" t="s">
        <v>67</v>
      </c>
      <c r="X1830" s="5" t="s">
        <v>67</v>
      </c>
      <c r="Y1830" s="4">
        <v>611</v>
      </c>
      <c r="Z1830" s="4">
        <v>34</v>
      </c>
      <c r="AA1830" s="4">
        <v>39</v>
      </c>
      <c r="AB1830" s="4">
        <v>3</v>
      </c>
      <c r="AC1830" s="4">
        <v>7</v>
      </c>
      <c r="AD1830" s="4">
        <v>126</v>
      </c>
      <c r="AE1830" s="4">
        <v>131</v>
      </c>
      <c r="AF1830" s="4">
        <v>2</v>
      </c>
      <c r="AG1830" s="4">
        <v>5</v>
      </c>
      <c r="AH1830" s="4">
        <v>107</v>
      </c>
      <c r="AI1830" s="4">
        <v>109</v>
      </c>
      <c r="AJ1830" s="4">
        <v>22</v>
      </c>
      <c r="AK1830" s="4">
        <v>25</v>
      </c>
      <c r="AL1830" s="4">
        <v>55</v>
      </c>
      <c r="AM1830" s="4">
        <v>56</v>
      </c>
      <c r="AN1830" s="4">
        <v>0</v>
      </c>
      <c r="AO1830" s="4">
        <v>0</v>
      </c>
      <c r="AP1830" s="4">
        <v>28</v>
      </c>
      <c r="AQ1830" s="4">
        <v>31</v>
      </c>
      <c r="AR1830" s="3" t="s">
        <v>62</v>
      </c>
      <c r="AS1830" s="3" t="s">
        <v>62</v>
      </c>
      <c r="AT1830" s="3" t="s">
        <v>62</v>
      </c>
      <c r="AV1830" s="6" t="str">
        <f>HYPERLINK("http://mcgill.on.worldcat.org/oclc/34318999","Catalog Record")</f>
        <v>Catalog Record</v>
      </c>
      <c r="AW1830" s="6" t="str">
        <f>HYPERLINK("http://www.worldcat.org/oclc/34318999","WorldCat Record")</f>
        <v>WorldCat Record</v>
      </c>
      <c r="AX1830" s="3" t="s">
        <v>17680</v>
      </c>
      <c r="AY1830" s="3" t="s">
        <v>17681</v>
      </c>
      <c r="AZ1830" s="3" t="s">
        <v>17682</v>
      </c>
      <c r="BA1830" s="3" t="s">
        <v>17682</v>
      </c>
      <c r="BB1830" s="3" t="s">
        <v>17683</v>
      </c>
      <c r="BC1830" s="3" t="s">
        <v>142</v>
      </c>
      <c r="BD1830" s="3" t="s">
        <v>68</v>
      </c>
      <c r="BE1830" s="3" t="s">
        <v>17684</v>
      </c>
      <c r="BF1830" s="3" t="s">
        <v>17683</v>
      </c>
      <c r="BG1830" s="3" t="s">
        <v>17685</v>
      </c>
    </row>
    <row r="1831" spans="1:59" ht="57" x14ac:dyDescent="0.45">
      <c r="A1831" s="2" t="s">
        <v>59</v>
      </c>
      <c r="B1831" s="2" t="s">
        <v>60</v>
      </c>
      <c r="C1831" s="2" t="s">
        <v>17686</v>
      </c>
      <c r="D1831" s="2" t="s">
        <v>17687</v>
      </c>
      <c r="E1831" s="2" t="s">
        <v>17688</v>
      </c>
      <c r="G1831" s="3" t="s">
        <v>62</v>
      </c>
      <c r="I1831" s="3" t="s">
        <v>61</v>
      </c>
      <c r="J1831" s="3" t="s">
        <v>62</v>
      </c>
      <c r="K1831" s="3" t="s">
        <v>63</v>
      </c>
      <c r="L1831" s="2" t="s">
        <v>17689</v>
      </c>
      <c r="M1831" s="2" t="s">
        <v>17690</v>
      </c>
      <c r="N1831" s="3" t="s">
        <v>1059</v>
      </c>
      <c r="P1831" s="3" t="s">
        <v>65</v>
      </c>
      <c r="R1831" s="3" t="s">
        <v>66</v>
      </c>
      <c r="S1831" s="4">
        <v>33</v>
      </c>
      <c r="T1831" s="4">
        <v>83</v>
      </c>
      <c r="U1831" s="5" t="s">
        <v>3701</v>
      </c>
      <c r="V1831" s="5" t="s">
        <v>3701</v>
      </c>
      <c r="W1831" s="5" t="s">
        <v>67</v>
      </c>
      <c r="X1831" s="5" t="s">
        <v>67</v>
      </c>
      <c r="Y1831" s="4">
        <v>1543</v>
      </c>
      <c r="Z1831" s="4">
        <v>61</v>
      </c>
      <c r="AA1831" s="4">
        <v>65</v>
      </c>
      <c r="AB1831" s="4">
        <v>4</v>
      </c>
      <c r="AC1831" s="4">
        <v>8</v>
      </c>
      <c r="AD1831" s="4">
        <v>134</v>
      </c>
      <c r="AE1831" s="4">
        <v>138</v>
      </c>
      <c r="AF1831" s="4">
        <v>1</v>
      </c>
      <c r="AG1831" s="4">
        <v>5</v>
      </c>
      <c r="AH1831" s="4">
        <v>107</v>
      </c>
      <c r="AI1831" s="4">
        <v>108</v>
      </c>
      <c r="AJ1831" s="4">
        <v>18</v>
      </c>
      <c r="AK1831" s="4">
        <v>22</v>
      </c>
      <c r="AL1831" s="4">
        <v>59</v>
      </c>
      <c r="AM1831" s="4">
        <v>59</v>
      </c>
      <c r="AN1831" s="4">
        <v>0</v>
      </c>
      <c r="AO1831" s="4">
        <v>0</v>
      </c>
      <c r="AP1831" s="4">
        <v>34</v>
      </c>
      <c r="AQ1831" s="4">
        <v>37</v>
      </c>
      <c r="AR1831" s="3" t="s">
        <v>62</v>
      </c>
      <c r="AS1831" s="3" t="s">
        <v>62</v>
      </c>
      <c r="AT1831" s="3" t="s">
        <v>62</v>
      </c>
      <c r="AV1831" s="6" t="str">
        <f>HYPERLINK("http://mcgill.on.worldcat.org/oclc/70203994","Catalog Record")</f>
        <v>Catalog Record</v>
      </c>
      <c r="AW1831" s="6" t="str">
        <f>HYPERLINK("http://www.worldcat.org/oclc/70203994","WorldCat Record")</f>
        <v>WorldCat Record</v>
      </c>
      <c r="AX1831" s="3" t="s">
        <v>17691</v>
      </c>
      <c r="AY1831" s="3" t="s">
        <v>17692</v>
      </c>
      <c r="AZ1831" s="3" t="s">
        <v>17693</v>
      </c>
      <c r="BA1831" s="3" t="s">
        <v>17693</v>
      </c>
      <c r="BB1831" s="3" t="s">
        <v>17694</v>
      </c>
      <c r="BC1831" s="3" t="s">
        <v>142</v>
      </c>
      <c r="BD1831" s="3" t="s">
        <v>68</v>
      </c>
      <c r="BE1831" s="3" t="s">
        <v>17695</v>
      </c>
      <c r="BF1831" s="3" t="s">
        <v>17694</v>
      </c>
      <c r="BG1831" s="3" t="s">
        <v>17696</v>
      </c>
    </row>
    <row r="1832" spans="1:59" ht="71.25" x14ac:dyDescent="0.45">
      <c r="A1832" s="2" t="s">
        <v>13313</v>
      </c>
      <c r="B1832" s="2" t="s">
        <v>13314</v>
      </c>
      <c r="C1832" s="2" t="s">
        <v>17686</v>
      </c>
      <c r="D1832" s="2" t="s">
        <v>17687</v>
      </c>
      <c r="E1832" s="2" t="s">
        <v>17688</v>
      </c>
      <c r="G1832" s="3" t="s">
        <v>62</v>
      </c>
      <c r="I1832" s="3" t="s">
        <v>61</v>
      </c>
      <c r="J1832" s="3" t="s">
        <v>62</v>
      </c>
      <c r="K1832" s="3" t="s">
        <v>63</v>
      </c>
      <c r="L1832" s="2" t="s">
        <v>17689</v>
      </c>
      <c r="M1832" s="2" t="s">
        <v>17690</v>
      </c>
      <c r="N1832" s="3" t="s">
        <v>1059</v>
      </c>
      <c r="P1832" s="3" t="s">
        <v>65</v>
      </c>
      <c r="R1832" s="3" t="s">
        <v>66</v>
      </c>
      <c r="S1832" s="4">
        <v>50</v>
      </c>
      <c r="T1832" s="4">
        <v>83</v>
      </c>
      <c r="U1832" s="5" t="s">
        <v>291</v>
      </c>
      <c r="V1832" s="5" t="s">
        <v>3701</v>
      </c>
      <c r="W1832" s="5" t="s">
        <v>67</v>
      </c>
      <c r="X1832" s="5" t="s">
        <v>67</v>
      </c>
      <c r="Y1832" s="4">
        <v>1543</v>
      </c>
      <c r="Z1832" s="4">
        <v>61</v>
      </c>
      <c r="AA1832" s="4">
        <v>65</v>
      </c>
      <c r="AB1832" s="4">
        <v>4</v>
      </c>
      <c r="AC1832" s="4">
        <v>8</v>
      </c>
      <c r="AD1832" s="4">
        <v>134</v>
      </c>
      <c r="AE1832" s="4">
        <v>138</v>
      </c>
      <c r="AF1832" s="4">
        <v>1</v>
      </c>
      <c r="AG1832" s="4">
        <v>5</v>
      </c>
      <c r="AH1832" s="4">
        <v>107</v>
      </c>
      <c r="AI1832" s="4">
        <v>108</v>
      </c>
      <c r="AJ1832" s="4">
        <v>18</v>
      </c>
      <c r="AK1832" s="4">
        <v>22</v>
      </c>
      <c r="AL1832" s="4">
        <v>59</v>
      </c>
      <c r="AM1832" s="4">
        <v>59</v>
      </c>
      <c r="AN1832" s="4">
        <v>0</v>
      </c>
      <c r="AO1832" s="4">
        <v>0</v>
      </c>
      <c r="AP1832" s="4">
        <v>34</v>
      </c>
      <c r="AQ1832" s="4">
        <v>37</v>
      </c>
      <c r="AR1832" s="3" t="s">
        <v>62</v>
      </c>
      <c r="AS1832" s="3" t="s">
        <v>62</v>
      </c>
      <c r="AT1832" s="3" t="s">
        <v>62</v>
      </c>
      <c r="AV1832" s="6" t="str">
        <f>HYPERLINK("http://mcgill.on.worldcat.org/oclc/70203994","Catalog Record")</f>
        <v>Catalog Record</v>
      </c>
      <c r="AW1832" s="6" t="str">
        <f>HYPERLINK("http://www.worldcat.org/oclc/70203994","WorldCat Record")</f>
        <v>WorldCat Record</v>
      </c>
      <c r="AX1832" s="3" t="s">
        <v>17691</v>
      </c>
      <c r="AY1832" s="3" t="s">
        <v>17692</v>
      </c>
      <c r="AZ1832" s="3" t="s">
        <v>17693</v>
      </c>
      <c r="BA1832" s="3" t="s">
        <v>17693</v>
      </c>
      <c r="BB1832" s="3" t="s">
        <v>17697</v>
      </c>
      <c r="BC1832" s="3" t="s">
        <v>142</v>
      </c>
      <c r="BD1832" s="3" t="s">
        <v>68</v>
      </c>
      <c r="BE1832" s="3" t="s">
        <v>17695</v>
      </c>
      <c r="BF1832" s="3" t="s">
        <v>17697</v>
      </c>
      <c r="BG1832" s="3" t="s">
        <v>17698</v>
      </c>
    </row>
    <row r="1833" spans="1:59" ht="71.25" x14ac:dyDescent="0.45">
      <c r="A1833" s="2" t="s">
        <v>59</v>
      </c>
      <c r="B1833" s="2" t="s">
        <v>13360</v>
      </c>
      <c r="C1833" s="2" t="s">
        <v>17699</v>
      </c>
      <c r="D1833" s="2" t="s">
        <v>17700</v>
      </c>
      <c r="E1833" s="2" t="s">
        <v>17701</v>
      </c>
      <c r="G1833" s="3" t="s">
        <v>62</v>
      </c>
      <c r="I1833" s="3" t="s">
        <v>61</v>
      </c>
      <c r="J1833" s="3" t="s">
        <v>62</v>
      </c>
      <c r="K1833" s="3" t="s">
        <v>63</v>
      </c>
      <c r="L1833" s="2" t="s">
        <v>17702</v>
      </c>
      <c r="M1833" s="2" t="s">
        <v>17703</v>
      </c>
      <c r="N1833" s="3" t="s">
        <v>125</v>
      </c>
      <c r="P1833" s="3" t="s">
        <v>65</v>
      </c>
      <c r="R1833" s="3" t="s">
        <v>66</v>
      </c>
      <c r="S1833" s="4">
        <v>57</v>
      </c>
      <c r="T1833" s="4">
        <v>236</v>
      </c>
      <c r="U1833" s="5" t="s">
        <v>17704</v>
      </c>
      <c r="V1833" s="5" t="s">
        <v>17705</v>
      </c>
      <c r="W1833" s="5" t="s">
        <v>67</v>
      </c>
      <c r="X1833" s="5" t="s">
        <v>67</v>
      </c>
      <c r="Y1833" s="4">
        <v>2429</v>
      </c>
      <c r="Z1833" s="4">
        <v>109</v>
      </c>
      <c r="AA1833" s="4">
        <v>138</v>
      </c>
      <c r="AB1833" s="4">
        <v>8</v>
      </c>
      <c r="AC1833" s="4">
        <v>20</v>
      </c>
      <c r="AD1833" s="4">
        <v>161</v>
      </c>
      <c r="AE1833" s="4">
        <v>173</v>
      </c>
      <c r="AF1833" s="4">
        <v>2</v>
      </c>
      <c r="AG1833" s="4">
        <v>8</v>
      </c>
      <c r="AH1833" s="4">
        <v>118</v>
      </c>
      <c r="AI1833" s="4">
        <v>120</v>
      </c>
      <c r="AJ1833" s="4">
        <v>23</v>
      </c>
      <c r="AK1833" s="4">
        <v>29</v>
      </c>
      <c r="AL1833" s="4">
        <v>64</v>
      </c>
      <c r="AM1833" s="4">
        <v>65</v>
      </c>
      <c r="AN1833" s="4">
        <v>0</v>
      </c>
      <c r="AO1833" s="4">
        <v>2</v>
      </c>
      <c r="AP1833" s="4">
        <v>46</v>
      </c>
      <c r="AQ1833" s="4">
        <v>55</v>
      </c>
      <c r="AR1833" s="3" t="s">
        <v>62</v>
      </c>
      <c r="AS1833" s="3" t="s">
        <v>62</v>
      </c>
      <c r="AT1833" s="3" t="s">
        <v>61</v>
      </c>
      <c r="AU1833" s="6" t="str">
        <f>HYPERLINK("http://catalog.hathitrust.org/Record/002216646","HathiTrust Record")</f>
        <v>HathiTrust Record</v>
      </c>
      <c r="AV1833" s="6" t="str">
        <f>HYPERLINK("http://mcgill.on.worldcat.org/oclc/21270160","Catalog Record")</f>
        <v>Catalog Record</v>
      </c>
      <c r="AW1833" s="6" t="str">
        <f>HYPERLINK("http://www.worldcat.org/oclc/21270160","WorldCat Record")</f>
        <v>WorldCat Record</v>
      </c>
      <c r="AX1833" s="3" t="s">
        <v>17706</v>
      </c>
      <c r="AY1833" s="3" t="s">
        <v>17707</v>
      </c>
      <c r="AZ1833" s="3" t="s">
        <v>17708</v>
      </c>
      <c r="BA1833" s="3" t="s">
        <v>17708</v>
      </c>
      <c r="BB1833" s="3" t="s">
        <v>17709</v>
      </c>
      <c r="BC1833" s="3" t="s">
        <v>142</v>
      </c>
      <c r="BD1833" s="3" t="s">
        <v>68</v>
      </c>
      <c r="BE1833" s="3" t="s">
        <v>17710</v>
      </c>
      <c r="BF1833" s="3" t="s">
        <v>17709</v>
      </c>
      <c r="BG1833" s="3" t="s">
        <v>17711</v>
      </c>
    </row>
    <row r="1834" spans="1:59" ht="57" x14ac:dyDescent="0.45">
      <c r="A1834" s="2" t="s">
        <v>59</v>
      </c>
      <c r="B1834" s="2" t="s">
        <v>60</v>
      </c>
      <c r="C1834" s="2" t="s">
        <v>17699</v>
      </c>
      <c r="D1834" s="2" t="s">
        <v>17700</v>
      </c>
      <c r="E1834" s="2" t="s">
        <v>17701</v>
      </c>
      <c r="G1834" s="3" t="s">
        <v>62</v>
      </c>
      <c r="I1834" s="3" t="s">
        <v>61</v>
      </c>
      <c r="J1834" s="3" t="s">
        <v>62</v>
      </c>
      <c r="K1834" s="3" t="s">
        <v>63</v>
      </c>
      <c r="L1834" s="2" t="s">
        <v>17702</v>
      </c>
      <c r="M1834" s="2" t="s">
        <v>17703</v>
      </c>
      <c r="N1834" s="3" t="s">
        <v>125</v>
      </c>
      <c r="P1834" s="3" t="s">
        <v>65</v>
      </c>
      <c r="R1834" s="3" t="s">
        <v>66</v>
      </c>
      <c r="S1834" s="4">
        <v>59</v>
      </c>
      <c r="T1834" s="4">
        <v>236</v>
      </c>
      <c r="U1834" s="5" t="s">
        <v>303</v>
      </c>
      <c r="V1834" s="5" t="s">
        <v>17705</v>
      </c>
      <c r="W1834" s="5" t="s">
        <v>67</v>
      </c>
      <c r="X1834" s="5" t="s">
        <v>67</v>
      </c>
      <c r="Y1834" s="4">
        <v>2429</v>
      </c>
      <c r="Z1834" s="4">
        <v>109</v>
      </c>
      <c r="AA1834" s="4">
        <v>138</v>
      </c>
      <c r="AB1834" s="4">
        <v>8</v>
      </c>
      <c r="AC1834" s="4">
        <v>20</v>
      </c>
      <c r="AD1834" s="4">
        <v>161</v>
      </c>
      <c r="AE1834" s="4">
        <v>173</v>
      </c>
      <c r="AF1834" s="4">
        <v>2</v>
      </c>
      <c r="AG1834" s="4">
        <v>8</v>
      </c>
      <c r="AH1834" s="4">
        <v>118</v>
      </c>
      <c r="AI1834" s="4">
        <v>120</v>
      </c>
      <c r="AJ1834" s="4">
        <v>23</v>
      </c>
      <c r="AK1834" s="4">
        <v>29</v>
      </c>
      <c r="AL1834" s="4">
        <v>64</v>
      </c>
      <c r="AM1834" s="4">
        <v>65</v>
      </c>
      <c r="AN1834" s="4">
        <v>0</v>
      </c>
      <c r="AO1834" s="4">
        <v>2</v>
      </c>
      <c r="AP1834" s="4">
        <v>46</v>
      </c>
      <c r="AQ1834" s="4">
        <v>55</v>
      </c>
      <c r="AR1834" s="3" t="s">
        <v>62</v>
      </c>
      <c r="AS1834" s="3" t="s">
        <v>62</v>
      </c>
      <c r="AT1834" s="3" t="s">
        <v>61</v>
      </c>
      <c r="AU1834" s="6" t="str">
        <f>HYPERLINK("http://catalog.hathitrust.org/Record/002216646","HathiTrust Record")</f>
        <v>HathiTrust Record</v>
      </c>
      <c r="AV1834" s="6" t="str">
        <f>HYPERLINK("http://mcgill.on.worldcat.org/oclc/21270160","Catalog Record")</f>
        <v>Catalog Record</v>
      </c>
      <c r="AW1834" s="6" t="str">
        <f>HYPERLINK("http://www.worldcat.org/oclc/21270160","WorldCat Record")</f>
        <v>WorldCat Record</v>
      </c>
      <c r="AX1834" s="3" t="s">
        <v>17706</v>
      </c>
      <c r="AY1834" s="3" t="s">
        <v>17707</v>
      </c>
      <c r="AZ1834" s="3" t="s">
        <v>17708</v>
      </c>
      <c r="BA1834" s="3" t="s">
        <v>17708</v>
      </c>
      <c r="BB1834" s="3" t="s">
        <v>17712</v>
      </c>
      <c r="BC1834" s="3" t="s">
        <v>142</v>
      </c>
      <c r="BD1834" s="3" t="s">
        <v>68</v>
      </c>
      <c r="BE1834" s="3" t="s">
        <v>17710</v>
      </c>
      <c r="BF1834" s="3" t="s">
        <v>17712</v>
      </c>
      <c r="BG1834" s="3" t="s">
        <v>17713</v>
      </c>
    </row>
    <row r="1835" spans="1:59" ht="71.25" x14ac:dyDescent="0.45">
      <c r="A1835" s="2" t="s">
        <v>13313</v>
      </c>
      <c r="B1835" s="2" t="s">
        <v>13314</v>
      </c>
      <c r="C1835" s="2" t="s">
        <v>17699</v>
      </c>
      <c r="D1835" s="2" t="s">
        <v>17700</v>
      </c>
      <c r="E1835" s="2" t="s">
        <v>17701</v>
      </c>
      <c r="G1835" s="3" t="s">
        <v>62</v>
      </c>
      <c r="I1835" s="3" t="s">
        <v>61</v>
      </c>
      <c r="J1835" s="3" t="s">
        <v>62</v>
      </c>
      <c r="K1835" s="3" t="s">
        <v>63</v>
      </c>
      <c r="L1835" s="2" t="s">
        <v>17702</v>
      </c>
      <c r="M1835" s="2" t="s">
        <v>17703</v>
      </c>
      <c r="N1835" s="3" t="s">
        <v>125</v>
      </c>
      <c r="P1835" s="3" t="s">
        <v>65</v>
      </c>
      <c r="R1835" s="3" t="s">
        <v>66</v>
      </c>
      <c r="S1835" s="4">
        <v>89</v>
      </c>
      <c r="T1835" s="4">
        <v>236</v>
      </c>
      <c r="U1835" s="5" t="s">
        <v>17714</v>
      </c>
      <c r="V1835" s="5" t="s">
        <v>17705</v>
      </c>
      <c r="W1835" s="5" t="s">
        <v>67</v>
      </c>
      <c r="X1835" s="5" t="s">
        <v>67</v>
      </c>
      <c r="Y1835" s="4">
        <v>2429</v>
      </c>
      <c r="Z1835" s="4">
        <v>109</v>
      </c>
      <c r="AA1835" s="4">
        <v>138</v>
      </c>
      <c r="AB1835" s="4">
        <v>8</v>
      </c>
      <c r="AC1835" s="4">
        <v>20</v>
      </c>
      <c r="AD1835" s="4">
        <v>161</v>
      </c>
      <c r="AE1835" s="4">
        <v>173</v>
      </c>
      <c r="AF1835" s="4">
        <v>2</v>
      </c>
      <c r="AG1835" s="4">
        <v>8</v>
      </c>
      <c r="AH1835" s="4">
        <v>118</v>
      </c>
      <c r="AI1835" s="4">
        <v>120</v>
      </c>
      <c r="AJ1835" s="4">
        <v>23</v>
      </c>
      <c r="AK1835" s="4">
        <v>29</v>
      </c>
      <c r="AL1835" s="4">
        <v>64</v>
      </c>
      <c r="AM1835" s="4">
        <v>65</v>
      </c>
      <c r="AN1835" s="4">
        <v>0</v>
      </c>
      <c r="AO1835" s="4">
        <v>2</v>
      </c>
      <c r="AP1835" s="4">
        <v>46</v>
      </c>
      <c r="AQ1835" s="4">
        <v>55</v>
      </c>
      <c r="AR1835" s="3" t="s">
        <v>62</v>
      </c>
      <c r="AS1835" s="3" t="s">
        <v>62</v>
      </c>
      <c r="AT1835" s="3" t="s">
        <v>61</v>
      </c>
      <c r="AU1835" s="6" t="str">
        <f>HYPERLINK("http://catalog.hathitrust.org/Record/002216646","HathiTrust Record")</f>
        <v>HathiTrust Record</v>
      </c>
      <c r="AV1835" s="6" t="str">
        <f>HYPERLINK("http://mcgill.on.worldcat.org/oclc/21270160","Catalog Record")</f>
        <v>Catalog Record</v>
      </c>
      <c r="AW1835" s="6" t="str">
        <f>HYPERLINK("http://www.worldcat.org/oclc/21270160","WorldCat Record")</f>
        <v>WorldCat Record</v>
      </c>
      <c r="AX1835" s="3" t="s">
        <v>17706</v>
      </c>
      <c r="AY1835" s="3" t="s">
        <v>17707</v>
      </c>
      <c r="AZ1835" s="3" t="s">
        <v>17708</v>
      </c>
      <c r="BA1835" s="3" t="s">
        <v>17708</v>
      </c>
      <c r="BB1835" s="3" t="s">
        <v>17715</v>
      </c>
      <c r="BC1835" s="3" t="s">
        <v>142</v>
      </c>
      <c r="BD1835" s="3" t="s">
        <v>68</v>
      </c>
      <c r="BE1835" s="3" t="s">
        <v>17710</v>
      </c>
      <c r="BF1835" s="3" t="s">
        <v>17715</v>
      </c>
      <c r="BG1835" s="3" t="s">
        <v>17716</v>
      </c>
    </row>
    <row r="1836" spans="1:59" ht="57" x14ac:dyDescent="0.45">
      <c r="A1836" s="2" t="s">
        <v>59</v>
      </c>
      <c r="B1836" s="2" t="s">
        <v>60</v>
      </c>
      <c r="C1836" s="2" t="s">
        <v>17699</v>
      </c>
      <c r="D1836" s="2" t="s">
        <v>17700</v>
      </c>
      <c r="E1836" s="2" t="s">
        <v>17701</v>
      </c>
      <c r="G1836" s="3" t="s">
        <v>62</v>
      </c>
      <c r="I1836" s="3" t="s">
        <v>61</v>
      </c>
      <c r="J1836" s="3" t="s">
        <v>62</v>
      </c>
      <c r="K1836" s="3" t="s">
        <v>63</v>
      </c>
      <c r="L1836" s="2" t="s">
        <v>17702</v>
      </c>
      <c r="M1836" s="2" t="s">
        <v>17703</v>
      </c>
      <c r="N1836" s="3" t="s">
        <v>125</v>
      </c>
      <c r="P1836" s="3" t="s">
        <v>65</v>
      </c>
      <c r="R1836" s="3" t="s">
        <v>66</v>
      </c>
      <c r="S1836" s="4">
        <v>30</v>
      </c>
      <c r="T1836" s="4">
        <v>236</v>
      </c>
      <c r="U1836" s="5" t="s">
        <v>17705</v>
      </c>
      <c r="V1836" s="5" t="s">
        <v>17705</v>
      </c>
      <c r="W1836" s="5" t="s">
        <v>67</v>
      </c>
      <c r="X1836" s="5" t="s">
        <v>67</v>
      </c>
      <c r="Y1836" s="4">
        <v>2429</v>
      </c>
      <c r="Z1836" s="4">
        <v>109</v>
      </c>
      <c r="AA1836" s="4">
        <v>138</v>
      </c>
      <c r="AB1836" s="4">
        <v>8</v>
      </c>
      <c r="AC1836" s="4">
        <v>20</v>
      </c>
      <c r="AD1836" s="4">
        <v>161</v>
      </c>
      <c r="AE1836" s="4">
        <v>173</v>
      </c>
      <c r="AF1836" s="4">
        <v>2</v>
      </c>
      <c r="AG1836" s="4">
        <v>8</v>
      </c>
      <c r="AH1836" s="4">
        <v>118</v>
      </c>
      <c r="AI1836" s="4">
        <v>120</v>
      </c>
      <c r="AJ1836" s="4">
        <v>23</v>
      </c>
      <c r="AK1836" s="4">
        <v>29</v>
      </c>
      <c r="AL1836" s="4">
        <v>64</v>
      </c>
      <c r="AM1836" s="4">
        <v>65</v>
      </c>
      <c r="AN1836" s="4">
        <v>0</v>
      </c>
      <c r="AO1836" s="4">
        <v>2</v>
      </c>
      <c r="AP1836" s="4">
        <v>46</v>
      </c>
      <c r="AQ1836" s="4">
        <v>55</v>
      </c>
      <c r="AR1836" s="3" t="s">
        <v>62</v>
      </c>
      <c r="AS1836" s="3" t="s">
        <v>62</v>
      </c>
      <c r="AT1836" s="3" t="s">
        <v>61</v>
      </c>
      <c r="AU1836" s="6" t="str">
        <f>HYPERLINK("http://catalog.hathitrust.org/Record/002216646","HathiTrust Record")</f>
        <v>HathiTrust Record</v>
      </c>
      <c r="AV1836" s="6" t="str">
        <f>HYPERLINK("http://mcgill.on.worldcat.org/oclc/21270160","Catalog Record")</f>
        <v>Catalog Record</v>
      </c>
      <c r="AW1836" s="6" t="str">
        <f>HYPERLINK("http://www.worldcat.org/oclc/21270160","WorldCat Record")</f>
        <v>WorldCat Record</v>
      </c>
      <c r="AX1836" s="3" t="s">
        <v>17706</v>
      </c>
      <c r="AY1836" s="3" t="s">
        <v>17707</v>
      </c>
      <c r="AZ1836" s="3" t="s">
        <v>17708</v>
      </c>
      <c r="BA1836" s="3" t="s">
        <v>17708</v>
      </c>
      <c r="BB1836" s="3" t="s">
        <v>17717</v>
      </c>
      <c r="BC1836" s="3" t="s">
        <v>142</v>
      </c>
      <c r="BD1836" s="3" t="s">
        <v>68</v>
      </c>
      <c r="BE1836" s="3" t="s">
        <v>17710</v>
      </c>
      <c r="BF1836" s="3" t="s">
        <v>17717</v>
      </c>
      <c r="BG1836" s="3" t="s">
        <v>17718</v>
      </c>
    </row>
    <row r="1837" spans="1:59" ht="71.25" x14ac:dyDescent="0.45">
      <c r="A1837" s="2" t="s">
        <v>59</v>
      </c>
      <c r="B1837" s="2" t="s">
        <v>13360</v>
      </c>
      <c r="C1837" s="2" t="s">
        <v>17719</v>
      </c>
      <c r="D1837" s="2" t="s">
        <v>17720</v>
      </c>
      <c r="E1837" s="2" t="s">
        <v>17721</v>
      </c>
      <c r="G1837" s="3" t="s">
        <v>62</v>
      </c>
      <c r="I1837" s="3" t="s">
        <v>61</v>
      </c>
      <c r="J1837" s="3" t="s">
        <v>62</v>
      </c>
      <c r="K1837" s="3" t="s">
        <v>63</v>
      </c>
      <c r="L1837" s="2" t="s">
        <v>17689</v>
      </c>
      <c r="M1837" s="2" t="s">
        <v>17722</v>
      </c>
      <c r="N1837" s="3" t="s">
        <v>1253</v>
      </c>
      <c r="P1837" s="3" t="s">
        <v>65</v>
      </c>
      <c r="R1837" s="3" t="s">
        <v>66</v>
      </c>
      <c r="S1837" s="4">
        <v>45</v>
      </c>
      <c r="T1837" s="4">
        <v>130</v>
      </c>
      <c r="U1837" s="5" t="s">
        <v>17704</v>
      </c>
      <c r="V1837" s="5" t="s">
        <v>17723</v>
      </c>
      <c r="W1837" s="5" t="s">
        <v>67</v>
      </c>
      <c r="X1837" s="5" t="s">
        <v>67</v>
      </c>
      <c r="Y1837" s="4">
        <v>2336</v>
      </c>
      <c r="Z1837" s="4">
        <v>89</v>
      </c>
      <c r="AA1837" s="4">
        <v>102</v>
      </c>
      <c r="AB1837" s="4">
        <v>5</v>
      </c>
      <c r="AC1837" s="4">
        <v>9</v>
      </c>
      <c r="AD1837" s="4">
        <v>153</v>
      </c>
      <c r="AE1837" s="4">
        <v>163</v>
      </c>
      <c r="AF1837" s="4">
        <v>2</v>
      </c>
      <c r="AG1837" s="4">
        <v>6</v>
      </c>
      <c r="AH1837" s="4">
        <v>112</v>
      </c>
      <c r="AI1837" s="4">
        <v>117</v>
      </c>
      <c r="AJ1837" s="4">
        <v>22</v>
      </c>
      <c r="AK1837" s="4">
        <v>28</v>
      </c>
      <c r="AL1837" s="4">
        <v>63</v>
      </c>
      <c r="AM1837" s="4">
        <v>64</v>
      </c>
      <c r="AN1837" s="4">
        <v>0</v>
      </c>
      <c r="AO1837" s="4">
        <v>0</v>
      </c>
      <c r="AP1837" s="4">
        <v>42</v>
      </c>
      <c r="AQ1837" s="4">
        <v>50</v>
      </c>
      <c r="AR1837" s="3" t="s">
        <v>62</v>
      </c>
      <c r="AS1837" s="3" t="s">
        <v>62</v>
      </c>
      <c r="AT1837" s="3" t="s">
        <v>61</v>
      </c>
      <c r="AU1837" s="6" t="str">
        <f>HYPERLINK("http://catalog.hathitrust.org/Record/003159488","HathiTrust Record")</f>
        <v>HathiTrust Record</v>
      </c>
      <c r="AV1837" s="6" t="str">
        <f>HYPERLINK("http://mcgill.on.worldcat.org/oclc/36234417","Catalog Record")</f>
        <v>Catalog Record</v>
      </c>
      <c r="AW1837" s="6" t="str">
        <f>HYPERLINK("http://www.worldcat.org/oclc/36234417","WorldCat Record")</f>
        <v>WorldCat Record</v>
      </c>
      <c r="AX1837" s="3" t="s">
        <v>17724</v>
      </c>
      <c r="AY1837" s="3" t="s">
        <v>17725</v>
      </c>
      <c r="AZ1837" s="3" t="s">
        <v>17726</v>
      </c>
      <c r="BA1837" s="3" t="s">
        <v>17726</v>
      </c>
      <c r="BB1837" s="3" t="s">
        <v>17727</v>
      </c>
      <c r="BC1837" s="3" t="s">
        <v>142</v>
      </c>
      <c r="BD1837" s="3" t="s">
        <v>68</v>
      </c>
      <c r="BE1837" s="3" t="s">
        <v>17728</v>
      </c>
      <c r="BF1837" s="3" t="s">
        <v>17727</v>
      </c>
      <c r="BG1837" s="3" t="s">
        <v>17729</v>
      </c>
    </row>
    <row r="1838" spans="1:59" ht="57" x14ac:dyDescent="0.45">
      <c r="A1838" s="2" t="s">
        <v>13313</v>
      </c>
      <c r="B1838" s="2" t="s">
        <v>60</v>
      </c>
      <c r="C1838" s="2" t="s">
        <v>17719</v>
      </c>
      <c r="D1838" s="2" t="s">
        <v>17720</v>
      </c>
      <c r="E1838" s="2" t="s">
        <v>17721</v>
      </c>
      <c r="G1838" s="3" t="s">
        <v>62</v>
      </c>
      <c r="I1838" s="3" t="s">
        <v>61</v>
      </c>
      <c r="J1838" s="3" t="s">
        <v>62</v>
      </c>
      <c r="K1838" s="3" t="s">
        <v>63</v>
      </c>
      <c r="L1838" s="2" t="s">
        <v>17689</v>
      </c>
      <c r="M1838" s="2" t="s">
        <v>17722</v>
      </c>
      <c r="N1838" s="3" t="s">
        <v>1253</v>
      </c>
      <c r="P1838" s="3" t="s">
        <v>65</v>
      </c>
      <c r="R1838" s="3" t="s">
        <v>66</v>
      </c>
      <c r="S1838" s="4">
        <v>76</v>
      </c>
      <c r="T1838" s="4">
        <v>130</v>
      </c>
      <c r="U1838" s="5" t="s">
        <v>291</v>
      </c>
      <c r="V1838" s="5" t="s">
        <v>17723</v>
      </c>
      <c r="W1838" s="5" t="s">
        <v>67</v>
      </c>
      <c r="X1838" s="5" t="s">
        <v>67</v>
      </c>
      <c r="Y1838" s="4">
        <v>2336</v>
      </c>
      <c r="Z1838" s="4">
        <v>89</v>
      </c>
      <c r="AA1838" s="4">
        <v>102</v>
      </c>
      <c r="AB1838" s="4">
        <v>5</v>
      </c>
      <c r="AC1838" s="4">
        <v>9</v>
      </c>
      <c r="AD1838" s="4">
        <v>153</v>
      </c>
      <c r="AE1838" s="4">
        <v>163</v>
      </c>
      <c r="AF1838" s="4">
        <v>2</v>
      </c>
      <c r="AG1838" s="4">
        <v>6</v>
      </c>
      <c r="AH1838" s="4">
        <v>112</v>
      </c>
      <c r="AI1838" s="4">
        <v>117</v>
      </c>
      <c r="AJ1838" s="4">
        <v>22</v>
      </c>
      <c r="AK1838" s="4">
        <v>28</v>
      </c>
      <c r="AL1838" s="4">
        <v>63</v>
      </c>
      <c r="AM1838" s="4">
        <v>64</v>
      </c>
      <c r="AN1838" s="4">
        <v>0</v>
      </c>
      <c r="AO1838" s="4">
        <v>0</v>
      </c>
      <c r="AP1838" s="4">
        <v>42</v>
      </c>
      <c r="AQ1838" s="4">
        <v>50</v>
      </c>
      <c r="AR1838" s="3" t="s">
        <v>62</v>
      </c>
      <c r="AS1838" s="3" t="s">
        <v>62</v>
      </c>
      <c r="AT1838" s="3" t="s">
        <v>61</v>
      </c>
      <c r="AU1838" s="6" t="str">
        <f>HYPERLINK("http://catalog.hathitrust.org/Record/003159488","HathiTrust Record")</f>
        <v>HathiTrust Record</v>
      </c>
      <c r="AV1838" s="6" t="str">
        <f>HYPERLINK("http://mcgill.on.worldcat.org/oclc/36234417","Catalog Record")</f>
        <v>Catalog Record</v>
      </c>
      <c r="AW1838" s="6" t="str">
        <f>HYPERLINK("http://www.worldcat.org/oclc/36234417","WorldCat Record")</f>
        <v>WorldCat Record</v>
      </c>
      <c r="AX1838" s="3" t="s">
        <v>17724</v>
      </c>
      <c r="AY1838" s="3" t="s">
        <v>17725</v>
      </c>
      <c r="AZ1838" s="3" t="s">
        <v>17726</v>
      </c>
      <c r="BA1838" s="3" t="s">
        <v>17726</v>
      </c>
      <c r="BB1838" s="3" t="s">
        <v>17730</v>
      </c>
      <c r="BC1838" s="3" t="s">
        <v>142</v>
      </c>
      <c r="BD1838" s="3" t="s">
        <v>68</v>
      </c>
      <c r="BE1838" s="3" t="s">
        <v>17728</v>
      </c>
      <c r="BF1838" s="3" t="s">
        <v>17730</v>
      </c>
      <c r="BG1838" s="3" t="s">
        <v>17731</v>
      </c>
    </row>
    <row r="1839" spans="1:59" ht="57" x14ac:dyDescent="0.45">
      <c r="A1839" s="2" t="s">
        <v>13313</v>
      </c>
      <c r="B1839" s="2" t="s">
        <v>60</v>
      </c>
      <c r="C1839" s="2" t="s">
        <v>17732</v>
      </c>
      <c r="D1839" s="2" t="s">
        <v>17733</v>
      </c>
      <c r="E1839" s="2" t="s">
        <v>17721</v>
      </c>
      <c r="G1839" s="3" t="s">
        <v>62</v>
      </c>
      <c r="I1839" s="3" t="s">
        <v>61</v>
      </c>
      <c r="J1839" s="3" t="s">
        <v>62</v>
      </c>
      <c r="K1839" s="3" t="s">
        <v>63</v>
      </c>
      <c r="L1839" s="2" t="s">
        <v>17689</v>
      </c>
      <c r="M1839" s="2" t="s">
        <v>17722</v>
      </c>
      <c r="N1839" s="3" t="s">
        <v>1253</v>
      </c>
      <c r="P1839" s="3" t="s">
        <v>65</v>
      </c>
      <c r="R1839" s="3" t="s">
        <v>66</v>
      </c>
      <c r="S1839" s="4">
        <v>9</v>
      </c>
      <c r="T1839" s="4">
        <v>130</v>
      </c>
      <c r="U1839" s="5" t="s">
        <v>17723</v>
      </c>
      <c r="V1839" s="5" t="s">
        <v>17723</v>
      </c>
      <c r="W1839" s="5" t="s">
        <v>67</v>
      </c>
      <c r="X1839" s="5" t="s">
        <v>67</v>
      </c>
      <c r="Y1839" s="4">
        <v>2336</v>
      </c>
      <c r="Z1839" s="4">
        <v>89</v>
      </c>
      <c r="AA1839" s="4">
        <v>102</v>
      </c>
      <c r="AB1839" s="4">
        <v>5</v>
      </c>
      <c r="AC1839" s="4">
        <v>9</v>
      </c>
      <c r="AD1839" s="4">
        <v>153</v>
      </c>
      <c r="AE1839" s="4">
        <v>163</v>
      </c>
      <c r="AF1839" s="4">
        <v>2</v>
      </c>
      <c r="AG1839" s="4">
        <v>6</v>
      </c>
      <c r="AH1839" s="4">
        <v>112</v>
      </c>
      <c r="AI1839" s="4">
        <v>117</v>
      </c>
      <c r="AJ1839" s="4">
        <v>22</v>
      </c>
      <c r="AK1839" s="4">
        <v>28</v>
      </c>
      <c r="AL1839" s="4">
        <v>63</v>
      </c>
      <c r="AM1839" s="4">
        <v>64</v>
      </c>
      <c r="AN1839" s="4">
        <v>0</v>
      </c>
      <c r="AO1839" s="4">
        <v>0</v>
      </c>
      <c r="AP1839" s="4">
        <v>42</v>
      </c>
      <c r="AQ1839" s="4">
        <v>50</v>
      </c>
      <c r="AR1839" s="3" t="s">
        <v>62</v>
      </c>
      <c r="AS1839" s="3" t="s">
        <v>62</v>
      </c>
      <c r="AT1839" s="3" t="s">
        <v>61</v>
      </c>
      <c r="AU1839" s="6" t="str">
        <f>HYPERLINK("http://catalog.hathitrust.org/Record/003159488","HathiTrust Record")</f>
        <v>HathiTrust Record</v>
      </c>
      <c r="AV1839" s="6" t="str">
        <f>HYPERLINK("http://mcgill.on.worldcat.org/oclc/36234417","Catalog Record")</f>
        <v>Catalog Record</v>
      </c>
      <c r="AW1839" s="6" t="str">
        <f>HYPERLINK("http://www.worldcat.org/oclc/36234417","WorldCat Record")</f>
        <v>WorldCat Record</v>
      </c>
      <c r="AX1839" s="3" t="s">
        <v>17724</v>
      </c>
      <c r="AY1839" s="3" t="s">
        <v>17725</v>
      </c>
      <c r="AZ1839" s="3" t="s">
        <v>17726</v>
      </c>
      <c r="BA1839" s="3" t="s">
        <v>17726</v>
      </c>
      <c r="BB1839" s="3" t="s">
        <v>17734</v>
      </c>
      <c r="BC1839" s="3" t="s">
        <v>142</v>
      </c>
      <c r="BD1839" s="3" t="s">
        <v>68</v>
      </c>
      <c r="BE1839" s="3" t="s">
        <v>17728</v>
      </c>
      <c r="BF1839" s="3" t="s">
        <v>17734</v>
      </c>
      <c r="BG1839" s="3" t="s">
        <v>17735</v>
      </c>
    </row>
    <row r="1840" spans="1:59" ht="57" x14ac:dyDescent="0.45">
      <c r="A1840" s="2" t="s">
        <v>59</v>
      </c>
      <c r="B1840" s="2" t="s">
        <v>60</v>
      </c>
      <c r="C1840" s="2" t="s">
        <v>17736</v>
      </c>
      <c r="D1840" s="2" t="s">
        <v>17737</v>
      </c>
      <c r="E1840" s="2" t="s">
        <v>17738</v>
      </c>
      <c r="G1840" s="3" t="s">
        <v>62</v>
      </c>
      <c r="I1840" s="3" t="s">
        <v>62</v>
      </c>
      <c r="J1840" s="3" t="s">
        <v>62</v>
      </c>
      <c r="K1840" s="3" t="s">
        <v>63</v>
      </c>
      <c r="M1840" s="2" t="s">
        <v>17739</v>
      </c>
      <c r="N1840" s="3" t="s">
        <v>894</v>
      </c>
      <c r="P1840" s="3" t="s">
        <v>65</v>
      </c>
      <c r="R1840" s="3" t="s">
        <v>66</v>
      </c>
      <c r="S1840" s="4">
        <v>8</v>
      </c>
      <c r="T1840" s="4">
        <v>8</v>
      </c>
      <c r="U1840" s="5" t="s">
        <v>303</v>
      </c>
      <c r="V1840" s="5" t="s">
        <v>303</v>
      </c>
      <c r="W1840" s="5" t="s">
        <v>67</v>
      </c>
      <c r="X1840" s="5" t="s">
        <v>67</v>
      </c>
      <c r="Y1840" s="4">
        <v>182</v>
      </c>
      <c r="Z1840" s="4">
        <v>19</v>
      </c>
      <c r="AA1840" s="4">
        <v>96</v>
      </c>
      <c r="AB1840" s="4">
        <v>2</v>
      </c>
      <c r="AC1840" s="4">
        <v>18</v>
      </c>
      <c r="AD1840" s="4">
        <v>81</v>
      </c>
      <c r="AE1840" s="4">
        <v>135</v>
      </c>
      <c r="AF1840" s="4">
        <v>1</v>
      </c>
      <c r="AG1840" s="4">
        <v>8</v>
      </c>
      <c r="AH1840" s="4">
        <v>73</v>
      </c>
      <c r="AI1840" s="4">
        <v>98</v>
      </c>
      <c r="AJ1840" s="4">
        <v>11</v>
      </c>
      <c r="AK1840" s="4">
        <v>23</v>
      </c>
      <c r="AL1840" s="4">
        <v>43</v>
      </c>
      <c r="AM1840" s="4">
        <v>55</v>
      </c>
      <c r="AN1840" s="4">
        <v>0</v>
      </c>
      <c r="AO1840" s="4">
        <v>0</v>
      </c>
      <c r="AP1840" s="4">
        <v>14</v>
      </c>
      <c r="AQ1840" s="4">
        <v>45</v>
      </c>
      <c r="AR1840" s="3" t="s">
        <v>62</v>
      </c>
      <c r="AS1840" s="3" t="s">
        <v>62</v>
      </c>
      <c r="AT1840" s="3" t="s">
        <v>62</v>
      </c>
      <c r="AV1840" s="6" t="str">
        <f>HYPERLINK("http://mcgill.on.worldcat.org/oclc/527702682","Catalog Record")</f>
        <v>Catalog Record</v>
      </c>
      <c r="AW1840" s="6" t="str">
        <f>HYPERLINK("http://www.worldcat.org/oclc/527702682","WorldCat Record")</f>
        <v>WorldCat Record</v>
      </c>
      <c r="AX1840" s="3" t="s">
        <v>17740</v>
      </c>
      <c r="AY1840" s="3" t="s">
        <v>17741</v>
      </c>
      <c r="AZ1840" s="3" t="s">
        <v>17742</v>
      </c>
      <c r="BA1840" s="3" t="s">
        <v>17742</v>
      </c>
      <c r="BB1840" s="3" t="s">
        <v>17743</v>
      </c>
      <c r="BC1840" s="3" t="s">
        <v>142</v>
      </c>
      <c r="BD1840" s="3" t="s">
        <v>68</v>
      </c>
      <c r="BE1840" s="3" t="s">
        <v>17744</v>
      </c>
      <c r="BF1840" s="3" t="s">
        <v>17743</v>
      </c>
      <c r="BG1840" s="3" t="s">
        <v>17745</v>
      </c>
    </row>
    <row r="1841" spans="1:59" ht="57" x14ac:dyDescent="0.45">
      <c r="A1841" s="2" t="s">
        <v>59</v>
      </c>
      <c r="B1841" s="2" t="s">
        <v>60</v>
      </c>
      <c r="C1841" s="2" t="s">
        <v>17746</v>
      </c>
      <c r="D1841" s="2" t="s">
        <v>17747</v>
      </c>
      <c r="E1841" s="2" t="s">
        <v>17748</v>
      </c>
      <c r="G1841" s="3" t="s">
        <v>62</v>
      </c>
      <c r="I1841" s="3" t="s">
        <v>62</v>
      </c>
      <c r="J1841" s="3" t="s">
        <v>62</v>
      </c>
      <c r="K1841" s="3" t="s">
        <v>63</v>
      </c>
      <c r="M1841" s="2" t="s">
        <v>17749</v>
      </c>
      <c r="N1841" s="3" t="s">
        <v>1059</v>
      </c>
      <c r="P1841" s="3" t="s">
        <v>65</v>
      </c>
      <c r="Q1841" s="2" t="s">
        <v>17750</v>
      </c>
      <c r="R1841" s="3" t="s">
        <v>66</v>
      </c>
      <c r="S1841" s="4">
        <v>3</v>
      </c>
      <c r="T1841" s="4">
        <v>3</v>
      </c>
      <c r="U1841" s="5" t="s">
        <v>17751</v>
      </c>
      <c r="V1841" s="5" t="s">
        <v>17751</v>
      </c>
      <c r="W1841" s="5" t="s">
        <v>67</v>
      </c>
      <c r="X1841" s="5" t="s">
        <v>67</v>
      </c>
      <c r="Y1841" s="4">
        <v>132</v>
      </c>
      <c r="Z1841" s="4">
        <v>15</v>
      </c>
      <c r="AA1841" s="4">
        <v>24</v>
      </c>
      <c r="AB1841" s="4">
        <v>2</v>
      </c>
      <c r="AC1841" s="4">
        <v>5</v>
      </c>
      <c r="AD1841" s="4">
        <v>61</v>
      </c>
      <c r="AE1841" s="4">
        <v>79</v>
      </c>
      <c r="AF1841" s="4">
        <v>1</v>
      </c>
      <c r="AG1841" s="4">
        <v>3</v>
      </c>
      <c r="AH1841" s="4">
        <v>57</v>
      </c>
      <c r="AI1841" s="4">
        <v>71</v>
      </c>
      <c r="AJ1841" s="4">
        <v>10</v>
      </c>
      <c r="AK1841" s="4">
        <v>13</v>
      </c>
      <c r="AL1841" s="4">
        <v>32</v>
      </c>
      <c r="AM1841" s="4">
        <v>35</v>
      </c>
      <c r="AN1841" s="4">
        <v>0</v>
      </c>
      <c r="AO1841" s="4">
        <v>0</v>
      </c>
      <c r="AP1841" s="4">
        <v>12</v>
      </c>
      <c r="AQ1841" s="4">
        <v>18</v>
      </c>
      <c r="AR1841" s="3" t="s">
        <v>62</v>
      </c>
      <c r="AS1841" s="3" t="s">
        <v>62</v>
      </c>
      <c r="AT1841" s="3" t="s">
        <v>62</v>
      </c>
      <c r="AV1841" s="6" t="str">
        <f>HYPERLINK("http://mcgill.on.worldcat.org/oclc/62408810","Catalog Record")</f>
        <v>Catalog Record</v>
      </c>
      <c r="AW1841" s="6" t="str">
        <f>HYPERLINK("http://www.worldcat.org/oclc/62408810","WorldCat Record")</f>
        <v>WorldCat Record</v>
      </c>
      <c r="AX1841" s="3" t="s">
        <v>17752</v>
      </c>
      <c r="AY1841" s="3" t="s">
        <v>17753</v>
      </c>
      <c r="AZ1841" s="3" t="s">
        <v>17754</v>
      </c>
      <c r="BA1841" s="3" t="s">
        <v>17754</v>
      </c>
      <c r="BB1841" s="3" t="s">
        <v>17755</v>
      </c>
      <c r="BC1841" s="3" t="s">
        <v>142</v>
      </c>
      <c r="BD1841" s="3" t="s">
        <v>68</v>
      </c>
      <c r="BE1841" s="3" t="s">
        <v>17756</v>
      </c>
      <c r="BF1841" s="3" t="s">
        <v>17755</v>
      </c>
      <c r="BG1841" s="3" t="s">
        <v>17757</v>
      </c>
    </row>
    <row r="1842" spans="1:59" ht="57" x14ac:dyDescent="0.45">
      <c r="A1842" s="2" t="s">
        <v>59</v>
      </c>
      <c r="B1842" s="2" t="s">
        <v>60</v>
      </c>
      <c r="C1842" s="2" t="s">
        <v>17758</v>
      </c>
      <c r="D1842" s="2" t="s">
        <v>17759</v>
      </c>
      <c r="E1842" s="2" t="s">
        <v>17760</v>
      </c>
      <c r="G1842" s="3" t="s">
        <v>62</v>
      </c>
      <c r="I1842" s="3" t="s">
        <v>62</v>
      </c>
      <c r="J1842" s="3" t="s">
        <v>62</v>
      </c>
      <c r="K1842" s="3" t="s">
        <v>63</v>
      </c>
      <c r="M1842" s="2" t="s">
        <v>17761</v>
      </c>
      <c r="N1842" s="3" t="s">
        <v>1465</v>
      </c>
      <c r="P1842" s="3" t="s">
        <v>65</v>
      </c>
      <c r="Q1842" s="2" t="s">
        <v>17750</v>
      </c>
      <c r="R1842" s="3" t="s">
        <v>66</v>
      </c>
      <c r="S1842" s="4">
        <v>5</v>
      </c>
      <c r="T1842" s="4">
        <v>5</v>
      </c>
      <c r="U1842" s="5" t="s">
        <v>17751</v>
      </c>
      <c r="V1842" s="5" t="s">
        <v>17751</v>
      </c>
      <c r="W1842" s="5" t="s">
        <v>67</v>
      </c>
      <c r="X1842" s="5" t="s">
        <v>67</v>
      </c>
      <c r="Y1842" s="4">
        <v>155</v>
      </c>
      <c r="Z1842" s="4">
        <v>22</v>
      </c>
      <c r="AA1842" s="4">
        <v>23</v>
      </c>
      <c r="AB1842" s="4">
        <v>2</v>
      </c>
      <c r="AC1842" s="4">
        <v>3</v>
      </c>
      <c r="AD1842" s="4">
        <v>66</v>
      </c>
      <c r="AE1842" s="4">
        <v>67</v>
      </c>
      <c r="AF1842" s="4">
        <v>1</v>
      </c>
      <c r="AG1842" s="4">
        <v>2</v>
      </c>
      <c r="AH1842" s="4">
        <v>56</v>
      </c>
      <c r="AI1842" s="4">
        <v>57</v>
      </c>
      <c r="AJ1842" s="4">
        <v>12</v>
      </c>
      <c r="AK1842" s="4">
        <v>13</v>
      </c>
      <c r="AL1842" s="4">
        <v>34</v>
      </c>
      <c r="AM1842" s="4">
        <v>34</v>
      </c>
      <c r="AN1842" s="4">
        <v>0</v>
      </c>
      <c r="AO1842" s="4">
        <v>0</v>
      </c>
      <c r="AP1842" s="4">
        <v>15</v>
      </c>
      <c r="AQ1842" s="4">
        <v>16</v>
      </c>
      <c r="AR1842" s="3" t="s">
        <v>62</v>
      </c>
      <c r="AS1842" s="3" t="s">
        <v>62</v>
      </c>
      <c r="AT1842" s="3" t="s">
        <v>61</v>
      </c>
      <c r="AU1842" s="6" t="str">
        <f>HYPERLINK("http://catalog.hathitrust.org/Record/005877684","HathiTrust Record")</f>
        <v>HathiTrust Record</v>
      </c>
      <c r="AV1842" s="6" t="str">
        <f>HYPERLINK("http://mcgill.on.worldcat.org/oclc/235945792","Catalog Record")</f>
        <v>Catalog Record</v>
      </c>
      <c r="AW1842" s="6" t="str">
        <f>HYPERLINK("http://www.worldcat.org/oclc/235945792","WorldCat Record")</f>
        <v>WorldCat Record</v>
      </c>
      <c r="AX1842" s="3" t="s">
        <v>17762</v>
      </c>
      <c r="AY1842" s="3" t="s">
        <v>17763</v>
      </c>
      <c r="AZ1842" s="3" t="s">
        <v>17764</v>
      </c>
      <c r="BA1842" s="3" t="s">
        <v>17764</v>
      </c>
      <c r="BB1842" s="3" t="s">
        <v>17765</v>
      </c>
      <c r="BC1842" s="3" t="s">
        <v>142</v>
      </c>
      <c r="BD1842" s="3" t="s">
        <v>68</v>
      </c>
      <c r="BE1842" s="3" t="s">
        <v>17766</v>
      </c>
      <c r="BF1842" s="3" t="s">
        <v>17765</v>
      </c>
      <c r="BG1842" s="3" t="s">
        <v>17767</v>
      </c>
    </row>
    <row r="1843" spans="1:59" ht="57" x14ac:dyDescent="0.45">
      <c r="A1843" s="2" t="s">
        <v>59</v>
      </c>
      <c r="B1843" s="2" t="s">
        <v>60</v>
      </c>
      <c r="C1843" s="2" t="s">
        <v>17768</v>
      </c>
      <c r="D1843" s="2" t="s">
        <v>17769</v>
      </c>
      <c r="E1843" s="2" t="s">
        <v>17770</v>
      </c>
      <c r="G1843" s="3" t="s">
        <v>62</v>
      </c>
      <c r="I1843" s="3" t="s">
        <v>62</v>
      </c>
      <c r="J1843" s="3" t="s">
        <v>62</v>
      </c>
      <c r="K1843" s="3" t="s">
        <v>63</v>
      </c>
      <c r="M1843" s="2" t="s">
        <v>17771</v>
      </c>
      <c r="N1843" s="3" t="s">
        <v>820</v>
      </c>
      <c r="P1843" s="3" t="s">
        <v>65</v>
      </c>
      <c r="R1843" s="3" t="s">
        <v>66</v>
      </c>
      <c r="S1843" s="4">
        <v>7</v>
      </c>
      <c r="T1843" s="4">
        <v>7</v>
      </c>
      <c r="U1843" s="5" t="s">
        <v>12858</v>
      </c>
      <c r="V1843" s="5" t="s">
        <v>12858</v>
      </c>
      <c r="W1843" s="5" t="s">
        <v>13158</v>
      </c>
      <c r="X1843" s="5" t="s">
        <v>13158</v>
      </c>
      <c r="Y1843" s="4">
        <v>323</v>
      </c>
      <c r="Z1843" s="4">
        <v>25</v>
      </c>
      <c r="AA1843" s="4">
        <v>26</v>
      </c>
      <c r="AB1843" s="4">
        <v>2</v>
      </c>
      <c r="AC1843" s="4">
        <v>3</v>
      </c>
      <c r="AD1843" s="4">
        <v>82</v>
      </c>
      <c r="AE1843" s="4">
        <v>83</v>
      </c>
      <c r="AF1843" s="4">
        <v>1</v>
      </c>
      <c r="AG1843" s="4">
        <v>2</v>
      </c>
      <c r="AH1843" s="4">
        <v>69</v>
      </c>
      <c r="AI1843" s="4">
        <v>70</v>
      </c>
      <c r="AJ1843" s="4">
        <v>14</v>
      </c>
      <c r="AK1843" s="4">
        <v>15</v>
      </c>
      <c r="AL1843" s="4">
        <v>33</v>
      </c>
      <c r="AM1843" s="4">
        <v>33</v>
      </c>
      <c r="AN1843" s="4">
        <v>0</v>
      </c>
      <c r="AO1843" s="4">
        <v>0</v>
      </c>
      <c r="AP1843" s="4">
        <v>21</v>
      </c>
      <c r="AQ1843" s="4">
        <v>22</v>
      </c>
      <c r="AR1843" s="3" t="s">
        <v>62</v>
      </c>
      <c r="AS1843" s="3" t="s">
        <v>62</v>
      </c>
      <c r="AT1843" s="3" t="s">
        <v>62</v>
      </c>
      <c r="AV1843" s="6" t="str">
        <f>HYPERLINK("http://mcgill.on.worldcat.org/oclc/174501266","Catalog Record")</f>
        <v>Catalog Record</v>
      </c>
      <c r="AW1843" s="6" t="str">
        <f>HYPERLINK("http://www.worldcat.org/oclc/174501266","WorldCat Record")</f>
        <v>WorldCat Record</v>
      </c>
      <c r="AX1843" s="3" t="s">
        <v>17772</v>
      </c>
      <c r="AY1843" s="3" t="s">
        <v>17773</v>
      </c>
      <c r="AZ1843" s="3" t="s">
        <v>17774</v>
      </c>
      <c r="BA1843" s="3" t="s">
        <v>17774</v>
      </c>
      <c r="BB1843" s="3" t="s">
        <v>17775</v>
      </c>
      <c r="BC1843" s="3" t="s">
        <v>142</v>
      </c>
      <c r="BD1843" s="3" t="s">
        <v>68</v>
      </c>
      <c r="BE1843" s="3" t="s">
        <v>17776</v>
      </c>
      <c r="BF1843" s="3" t="s">
        <v>17775</v>
      </c>
      <c r="BG1843" s="3" t="s">
        <v>17777</v>
      </c>
    </row>
    <row r="1844" spans="1:59" ht="57" x14ac:dyDescent="0.45">
      <c r="A1844" s="2" t="s">
        <v>59</v>
      </c>
      <c r="B1844" s="2" t="s">
        <v>60</v>
      </c>
      <c r="C1844" s="2" t="s">
        <v>17778</v>
      </c>
      <c r="D1844" s="2" t="s">
        <v>17779</v>
      </c>
      <c r="E1844" s="2" t="s">
        <v>17780</v>
      </c>
      <c r="G1844" s="3" t="s">
        <v>62</v>
      </c>
      <c r="I1844" s="3" t="s">
        <v>62</v>
      </c>
      <c r="J1844" s="3" t="s">
        <v>62</v>
      </c>
      <c r="K1844" s="3" t="s">
        <v>63</v>
      </c>
      <c r="M1844" s="2" t="s">
        <v>17781</v>
      </c>
      <c r="N1844" s="3" t="s">
        <v>945</v>
      </c>
      <c r="P1844" s="3" t="s">
        <v>65</v>
      </c>
      <c r="Q1844" s="2" t="s">
        <v>17782</v>
      </c>
      <c r="R1844" s="3" t="s">
        <v>66</v>
      </c>
      <c r="S1844" s="4">
        <v>6</v>
      </c>
      <c r="T1844" s="4">
        <v>6</v>
      </c>
      <c r="U1844" s="5" t="s">
        <v>17783</v>
      </c>
      <c r="V1844" s="5" t="s">
        <v>17783</v>
      </c>
      <c r="W1844" s="5" t="s">
        <v>67</v>
      </c>
      <c r="X1844" s="5" t="s">
        <v>67</v>
      </c>
      <c r="Y1844" s="4">
        <v>125</v>
      </c>
      <c r="Z1844" s="4">
        <v>13</v>
      </c>
      <c r="AA1844" s="4">
        <v>15</v>
      </c>
      <c r="AB1844" s="4">
        <v>2</v>
      </c>
      <c r="AC1844" s="4">
        <v>4</v>
      </c>
      <c r="AD1844" s="4">
        <v>49</v>
      </c>
      <c r="AE1844" s="4">
        <v>49</v>
      </c>
      <c r="AF1844" s="4">
        <v>1</v>
      </c>
      <c r="AG1844" s="4">
        <v>1</v>
      </c>
      <c r="AH1844" s="4">
        <v>43</v>
      </c>
      <c r="AI1844" s="4">
        <v>43</v>
      </c>
      <c r="AJ1844" s="4">
        <v>9</v>
      </c>
      <c r="AK1844" s="4">
        <v>9</v>
      </c>
      <c r="AL1844" s="4">
        <v>30</v>
      </c>
      <c r="AM1844" s="4">
        <v>30</v>
      </c>
      <c r="AN1844" s="4">
        <v>0</v>
      </c>
      <c r="AO1844" s="4">
        <v>0</v>
      </c>
      <c r="AP1844" s="4">
        <v>10</v>
      </c>
      <c r="AQ1844" s="4">
        <v>10</v>
      </c>
      <c r="AR1844" s="3" t="s">
        <v>62</v>
      </c>
      <c r="AS1844" s="3" t="s">
        <v>62</v>
      </c>
      <c r="AT1844" s="3" t="s">
        <v>62</v>
      </c>
      <c r="AV1844" s="6" t="str">
        <f>HYPERLINK("http://mcgill.on.worldcat.org/oclc/176648828","Catalog Record")</f>
        <v>Catalog Record</v>
      </c>
      <c r="AW1844" s="6" t="str">
        <f>HYPERLINK("http://www.worldcat.org/oclc/176648828","WorldCat Record")</f>
        <v>WorldCat Record</v>
      </c>
      <c r="AX1844" s="3" t="s">
        <v>17784</v>
      </c>
      <c r="AY1844" s="3" t="s">
        <v>17785</v>
      </c>
      <c r="AZ1844" s="3" t="s">
        <v>17786</v>
      </c>
      <c r="BA1844" s="3" t="s">
        <v>17786</v>
      </c>
      <c r="BB1844" s="3" t="s">
        <v>17787</v>
      </c>
      <c r="BC1844" s="3" t="s">
        <v>142</v>
      </c>
      <c r="BD1844" s="3" t="s">
        <v>68</v>
      </c>
      <c r="BE1844" s="3" t="s">
        <v>17788</v>
      </c>
      <c r="BF1844" s="3" t="s">
        <v>17787</v>
      </c>
      <c r="BG1844" s="3" t="s">
        <v>17789</v>
      </c>
    </row>
    <row r="1845" spans="1:59" ht="57" x14ac:dyDescent="0.45">
      <c r="A1845" s="2" t="s">
        <v>59</v>
      </c>
      <c r="B1845" s="2" t="s">
        <v>60</v>
      </c>
      <c r="C1845" s="2" t="s">
        <v>17790</v>
      </c>
      <c r="D1845" s="2" t="s">
        <v>17791</v>
      </c>
      <c r="E1845" s="2" t="s">
        <v>17792</v>
      </c>
      <c r="G1845" s="3" t="s">
        <v>62</v>
      </c>
      <c r="I1845" s="3" t="s">
        <v>62</v>
      </c>
      <c r="J1845" s="3" t="s">
        <v>62</v>
      </c>
      <c r="K1845" s="3" t="s">
        <v>63</v>
      </c>
      <c r="M1845" s="2" t="s">
        <v>17793</v>
      </c>
      <c r="N1845" s="3" t="s">
        <v>149</v>
      </c>
      <c r="P1845" s="3" t="s">
        <v>65</v>
      </c>
      <c r="R1845" s="3" t="s">
        <v>66</v>
      </c>
      <c r="S1845" s="4">
        <v>0</v>
      </c>
      <c r="T1845" s="4">
        <v>0</v>
      </c>
      <c r="W1845" s="5" t="s">
        <v>67</v>
      </c>
      <c r="X1845" s="5" t="s">
        <v>67</v>
      </c>
      <c r="Y1845" s="4">
        <v>107</v>
      </c>
      <c r="Z1845" s="4">
        <v>25</v>
      </c>
      <c r="AA1845" s="4">
        <v>27</v>
      </c>
      <c r="AB1845" s="4">
        <v>1</v>
      </c>
      <c r="AC1845" s="4">
        <v>1</v>
      </c>
      <c r="AD1845" s="4">
        <v>57</v>
      </c>
      <c r="AE1845" s="4">
        <v>59</v>
      </c>
      <c r="AF1845" s="4">
        <v>0</v>
      </c>
      <c r="AG1845" s="4">
        <v>0</v>
      </c>
      <c r="AH1845" s="4">
        <v>48</v>
      </c>
      <c r="AI1845" s="4">
        <v>48</v>
      </c>
      <c r="AJ1845" s="4">
        <v>16</v>
      </c>
      <c r="AK1845" s="4">
        <v>16</v>
      </c>
      <c r="AL1845" s="4">
        <v>25</v>
      </c>
      <c r="AM1845" s="4">
        <v>25</v>
      </c>
      <c r="AN1845" s="4">
        <v>0</v>
      </c>
      <c r="AO1845" s="4">
        <v>0</v>
      </c>
      <c r="AP1845" s="4">
        <v>17</v>
      </c>
      <c r="AQ1845" s="4">
        <v>19</v>
      </c>
      <c r="AR1845" s="3" t="s">
        <v>61</v>
      </c>
      <c r="AS1845" s="3" t="s">
        <v>62</v>
      </c>
      <c r="AT1845" s="3" t="s">
        <v>62</v>
      </c>
      <c r="AV1845" s="6" t="str">
        <f>HYPERLINK("http://mcgill.on.worldcat.org/oclc/473375781","Catalog Record")</f>
        <v>Catalog Record</v>
      </c>
      <c r="AW1845" s="6" t="str">
        <f>HYPERLINK("http://www.worldcat.org/oclc/473375781","WorldCat Record")</f>
        <v>WorldCat Record</v>
      </c>
      <c r="AX1845" s="3" t="s">
        <v>17794</v>
      </c>
      <c r="AY1845" s="3" t="s">
        <v>17795</v>
      </c>
      <c r="AZ1845" s="3" t="s">
        <v>17796</v>
      </c>
      <c r="BA1845" s="3" t="s">
        <v>17796</v>
      </c>
      <c r="BB1845" s="3" t="s">
        <v>17797</v>
      </c>
      <c r="BC1845" s="3" t="s">
        <v>142</v>
      </c>
      <c r="BD1845" s="3" t="s">
        <v>68</v>
      </c>
      <c r="BE1845" s="3" t="s">
        <v>17798</v>
      </c>
      <c r="BF1845" s="3" t="s">
        <v>17797</v>
      </c>
      <c r="BG1845" s="3" t="s">
        <v>17799</v>
      </c>
    </row>
    <row r="1846" spans="1:59" ht="57" x14ac:dyDescent="0.45">
      <c r="A1846" s="2" t="s">
        <v>59</v>
      </c>
      <c r="B1846" s="2" t="s">
        <v>60</v>
      </c>
      <c r="C1846" s="2" t="s">
        <v>17800</v>
      </c>
      <c r="D1846" s="2" t="s">
        <v>17801</v>
      </c>
      <c r="E1846" s="2" t="s">
        <v>17802</v>
      </c>
      <c r="G1846" s="3" t="s">
        <v>62</v>
      </c>
      <c r="I1846" s="3" t="s">
        <v>62</v>
      </c>
      <c r="J1846" s="3" t="s">
        <v>62</v>
      </c>
      <c r="K1846" s="3" t="s">
        <v>63</v>
      </c>
      <c r="L1846" s="2" t="s">
        <v>12073</v>
      </c>
      <c r="M1846" s="2" t="s">
        <v>17803</v>
      </c>
      <c r="N1846" s="3" t="s">
        <v>1155</v>
      </c>
      <c r="P1846" s="3" t="s">
        <v>65</v>
      </c>
      <c r="Q1846" s="2" t="s">
        <v>12051</v>
      </c>
      <c r="R1846" s="3" t="s">
        <v>66</v>
      </c>
      <c r="S1846" s="4">
        <v>0</v>
      </c>
      <c r="T1846" s="4">
        <v>0</v>
      </c>
      <c r="W1846" s="5" t="s">
        <v>67</v>
      </c>
      <c r="X1846" s="5" t="s">
        <v>67</v>
      </c>
      <c r="Y1846" s="4">
        <v>234</v>
      </c>
      <c r="Z1846" s="4">
        <v>30</v>
      </c>
      <c r="AA1846" s="4">
        <v>98</v>
      </c>
      <c r="AB1846" s="4">
        <v>2</v>
      </c>
      <c r="AC1846" s="4">
        <v>18</v>
      </c>
      <c r="AD1846" s="4">
        <v>85</v>
      </c>
      <c r="AE1846" s="4">
        <v>127</v>
      </c>
      <c r="AF1846" s="4">
        <v>1</v>
      </c>
      <c r="AG1846" s="4">
        <v>8</v>
      </c>
      <c r="AH1846" s="4">
        <v>67</v>
      </c>
      <c r="AI1846" s="4">
        <v>87</v>
      </c>
      <c r="AJ1846" s="4">
        <v>19</v>
      </c>
      <c r="AK1846" s="4">
        <v>27</v>
      </c>
      <c r="AL1846" s="4">
        <v>38</v>
      </c>
      <c r="AM1846" s="4">
        <v>44</v>
      </c>
      <c r="AN1846" s="4">
        <v>0</v>
      </c>
      <c r="AO1846" s="4">
        <v>0</v>
      </c>
      <c r="AP1846" s="4">
        <v>24</v>
      </c>
      <c r="AQ1846" s="4">
        <v>50</v>
      </c>
      <c r="AR1846" s="3" t="s">
        <v>61</v>
      </c>
      <c r="AS1846" s="3" t="s">
        <v>62</v>
      </c>
      <c r="AT1846" s="3" t="s">
        <v>62</v>
      </c>
      <c r="AV1846" s="6" t="str">
        <f>HYPERLINK("http://mcgill.on.worldcat.org/oclc/766387992","Catalog Record")</f>
        <v>Catalog Record</v>
      </c>
      <c r="AW1846" s="6" t="str">
        <f>HYPERLINK("http://www.worldcat.org/oclc/766387992","WorldCat Record")</f>
        <v>WorldCat Record</v>
      </c>
      <c r="AX1846" s="3" t="s">
        <v>17804</v>
      </c>
      <c r="AY1846" s="3" t="s">
        <v>17805</v>
      </c>
      <c r="AZ1846" s="3" t="s">
        <v>17806</v>
      </c>
      <c r="BA1846" s="3" t="s">
        <v>17806</v>
      </c>
      <c r="BB1846" s="3" t="s">
        <v>17807</v>
      </c>
      <c r="BC1846" s="3" t="s">
        <v>142</v>
      </c>
      <c r="BD1846" s="3" t="s">
        <v>68</v>
      </c>
      <c r="BE1846" s="3" t="s">
        <v>17808</v>
      </c>
      <c r="BF1846" s="3" t="s">
        <v>17807</v>
      </c>
      <c r="BG1846" s="3" t="s">
        <v>17809</v>
      </c>
    </row>
    <row r="1847" spans="1:59" ht="57" x14ac:dyDescent="0.45">
      <c r="A1847" s="2" t="s">
        <v>59</v>
      </c>
      <c r="B1847" s="2" t="s">
        <v>60</v>
      </c>
      <c r="C1847" s="2" t="s">
        <v>17810</v>
      </c>
      <c r="D1847" s="2" t="s">
        <v>17811</v>
      </c>
      <c r="E1847" s="2" t="s">
        <v>17812</v>
      </c>
      <c r="F1847" s="3" t="s">
        <v>2402</v>
      </c>
      <c r="G1847" s="3" t="s">
        <v>62</v>
      </c>
      <c r="I1847" s="3" t="s">
        <v>62</v>
      </c>
      <c r="J1847" s="3" t="s">
        <v>62</v>
      </c>
      <c r="K1847" s="3" t="s">
        <v>63</v>
      </c>
      <c r="L1847" s="2" t="s">
        <v>17813</v>
      </c>
      <c r="M1847" s="2" t="s">
        <v>1973</v>
      </c>
      <c r="N1847" s="3" t="s">
        <v>1855</v>
      </c>
      <c r="P1847" s="3" t="s">
        <v>65</v>
      </c>
      <c r="Q1847" s="2" t="s">
        <v>17814</v>
      </c>
      <c r="R1847" s="3" t="s">
        <v>66</v>
      </c>
      <c r="S1847" s="4">
        <v>5</v>
      </c>
      <c r="T1847" s="4">
        <v>5</v>
      </c>
      <c r="U1847" s="5" t="s">
        <v>17815</v>
      </c>
      <c r="V1847" s="5" t="s">
        <v>17815</v>
      </c>
      <c r="W1847" s="5" t="s">
        <v>67</v>
      </c>
      <c r="X1847" s="5" t="s">
        <v>67</v>
      </c>
      <c r="Y1847" s="4">
        <v>212</v>
      </c>
      <c r="Z1847" s="4">
        <v>15</v>
      </c>
      <c r="AA1847" s="4">
        <v>75</v>
      </c>
      <c r="AB1847" s="4">
        <v>2</v>
      </c>
      <c r="AC1847" s="4">
        <v>15</v>
      </c>
      <c r="AD1847" s="4">
        <v>69</v>
      </c>
      <c r="AE1847" s="4">
        <v>117</v>
      </c>
      <c r="AF1847" s="4">
        <v>1</v>
      </c>
      <c r="AG1847" s="4">
        <v>8</v>
      </c>
      <c r="AH1847" s="4">
        <v>63</v>
      </c>
      <c r="AI1847" s="4">
        <v>86</v>
      </c>
      <c r="AJ1847" s="4">
        <v>10</v>
      </c>
      <c r="AK1847" s="4">
        <v>22</v>
      </c>
      <c r="AL1847" s="4">
        <v>29</v>
      </c>
      <c r="AM1847" s="4">
        <v>41</v>
      </c>
      <c r="AN1847" s="4">
        <v>0</v>
      </c>
      <c r="AO1847" s="4">
        <v>0</v>
      </c>
      <c r="AP1847" s="4">
        <v>11</v>
      </c>
      <c r="AQ1847" s="4">
        <v>39</v>
      </c>
      <c r="AR1847" s="3" t="s">
        <v>62</v>
      </c>
      <c r="AS1847" s="3" t="s">
        <v>62</v>
      </c>
      <c r="AT1847" s="3" t="s">
        <v>62</v>
      </c>
      <c r="AV1847" s="6" t="str">
        <f>HYPERLINK("http://mcgill.on.worldcat.org/oclc/58043346","Catalog Record")</f>
        <v>Catalog Record</v>
      </c>
      <c r="AW1847" s="6" t="str">
        <f>HYPERLINK("http://www.worldcat.org/oclc/58043346","WorldCat Record")</f>
        <v>WorldCat Record</v>
      </c>
      <c r="AX1847" s="3" t="s">
        <v>17816</v>
      </c>
      <c r="AY1847" s="3" t="s">
        <v>17817</v>
      </c>
      <c r="AZ1847" s="3" t="s">
        <v>17818</v>
      </c>
      <c r="BA1847" s="3" t="s">
        <v>17818</v>
      </c>
      <c r="BB1847" s="3" t="s">
        <v>17819</v>
      </c>
      <c r="BC1847" s="3" t="s">
        <v>142</v>
      </c>
      <c r="BD1847" s="3" t="s">
        <v>68</v>
      </c>
      <c r="BE1847" s="3" t="s">
        <v>17820</v>
      </c>
      <c r="BF1847" s="3" t="s">
        <v>17819</v>
      </c>
      <c r="BG1847" s="3" t="s">
        <v>17821</v>
      </c>
    </row>
    <row r="1848" spans="1:59" ht="57" x14ac:dyDescent="0.45">
      <c r="A1848" s="2" t="s">
        <v>59</v>
      </c>
      <c r="B1848" s="2" t="s">
        <v>60</v>
      </c>
      <c r="C1848" s="2" t="s">
        <v>17822</v>
      </c>
      <c r="D1848" s="2" t="s">
        <v>17823</v>
      </c>
      <c r="E1848" s="2" t="s">
        <v>17824</v>
      </c>
      <c r="G1848" s="3" t="s">
        <v>62</v>
      </c>
      <c r="I1848" s="3" t="s">
        <v>62</v>
      </c>
      <c r="J1848" s="3" t="s">
        <v>62</v>
      </c>
      <c r="K1848" s="3" t="s">
        <v>63</v>
      </c>
      <c r="L1848" s="2" t="s">
        <v>17825</v>
      </c>
      <c r="M1848" s="2" t="s">
        <v>17826</v>
      </c>
      <c r="N1848" s="3" t="s">
        <v>1097</v>
      </c>
      <c r="P1848" s="3" t="s">
        <v>65</v>
      </c>
      <c r="R1848" s="3" t="s">
        <v>66</v>
      </c>
      <c r="S1848" s="4">
        <v>5</v>
      </c>
      <c r="T1848" s="4">
        <v>5</v>
      </c>
      <c r="U1848" s="5" t="s">
        <v>17827</v>
      </c>
      <c r="V1848" s="5" t="s">
        <v>17827</v>
      </c>
      <c r="W1848" s="5" t="s">
        <v>67</v>
      </c>
      <c r="X1848" s="5" t="s">
        <v>67</v>
      </c>
      <c r="Y1848" s="4">
        <v>126</v>
      </c>
      <c r="Z1848" s="4">
        <v>16</v>
      </c>
      <c r="AA1848" s="4">
        <v>28</v>
      </c>
      <c r="AB1848" s="4">
        <v>2</v>
      </c>
      <c r="AC1848" s="4">
        <v>7</v>
      </c>
      <c r="AD1848" s="4">
        <v>33</v>
      </c>
      <c r="AE1848" s="4">
        <v>61</v>
      </c>
      <c r="AF1848" s="4">
        <v>1</v>
      </c>
      <c r="AG1848" s="4">
        <v>3</v>
      </c>
      <c r="AH1848" s="4">
        <v>25</v>
      </c>
      <c r="AI1848" s="4">
        <v>49</v>
      </c>
      <c r="AJ1848" s="4">
        <v>9</v>
      </c>
      <c r="AK1848" s="4">
        <v>15</v>
      </c>
      <c r="AL1848" s="4">
        <v>14</v>
      </c>
      <c r="AM1848" s="4">
        <v>24</v>
      </c>
      <c r="AN1848" s="4">
        <v>0</v>
      </c>
      <c r="AO1848" s="4">
        <v>0</v>
      </c>
      <c r="AP1848" s="4">
        <v>12</v>
      </c>
      <c r="AQ1848" s="4">
        <v>18</v>
      </c>
      <c r="AR1848" s="3" t="s">
        <v>62</v>
      </c>
      <c r="AS1848" s="3" t="s">
        <v>62</v>
      </c>
      <c r="AT1848" s="3" t="s">
        <v>62</v>
      </c>
      <c r="AV1848" s="6" t="str">
        <f>HYPERLINK("http://mcgill.on.worldcat.org/oclc/55736781","Catalog Record")</f>
        <v>Catalog Record</v>
      </c>
      <c r="AW1848" s="6" t="str">
        <f>HYPERLINK("http://www.worldcat.org/oclc/55736781","WorldCat Record")</f>
        <v>WorldCat Record</v>
      </c>
      <c r="AX1848" s="3" t="s">
        <v>17828</v>
      </c>
      <c r="AY1848" s="3" t="s">
        <v>17829</v>
      </c>
      <c r="AZ1848" s="3" t="s">
        <v>17830</v>
      </c>
      <c r="BA1848" s="3" t="s">
        <v>17830</v>
      </c>
      <c r="BB1848" s="3" t="s">
        <v>17831</v>
      </c>
      <c r="BC1848" s="3" t="s">
        <v>142</v>
      </c>
      <c r="BD1848" s="3" t="s">
        <v>68</v>
      </c>
      <c r="BE1848" s="3" t="s">
        <v>17832</v>
      </c>
      <c r="BF1848" s="3" t="s">
        <v>17831</v>
      </c>
      <c r="BG1848" s="3" t="s">
        <v>17833</v>
      </c>
    </row>
    <row r="1849" spans="1:59" ht="57" x14ac:dyDescent="0.45">
      <c r="A1849" s="2" t="s">
        <v>59</v>
      </c>
      <c r="B1849" s="2" t="s">
        <v>60</v>
      </c>
      <c r="C1849" s="2" t="s">
        <v>17834</v>
      </c>
      <c r="D1849" s="2" t="s">
        <v>17835</v>
      </c>
      <c r="E1849" s="2" t="s">
        <v>17836</v>
      </c>
      <c r="G1849" s="3" t="s">
        <v>62</v>
      </c>
      <c r="I1849" s="3" t="s">
        <v>62</v>
      </c>
      <c r="J1849" s="3" t="s">
        <v>62</v>
      </c>
      <c r="K1849" s="3" t="s">
        <v>63</v>
      </c>
      <c r="L1849" s="2" t="s">
        <v>17837</v>
      </c>
      <c r="M1849" s="2" t="s">
        <v>17838</v>
      </c>
      <c r="N1849" s="3" t="s">
        <v>2417</v>
      </c>
      <c r="P1849" s="3" t="s">
        <v>65</v>
      </c>
      <c r="Q1849" s="2" t="s">
        <v>17839</v>
      </c>
      <c r="R1849" s="3" t="s">
        <v>66</v>
      </c>
      <c r="S1849" s="4">
        <v>14</v>
      </c>
      <c r="T1849" s="4">
        <v>14</v>
      </c>
      <c r="U1849" s="5" t="s">
        <v>13367</v>
      </c>
      <c r="V1849" s="5" t="s">
        <v>13367</v>
      </c>
      <c r="W1849" s="5" t="s">
        <v>67</v>
      </c>
      <c r="X1849" s="5" t="s">
        <v>67</v>
      </c>
      <c r="Y1849" s="4">
        <v>408</v>
      </c>
      <c r="Z1849" s="4">
        <v>21</v>
      </c>
      <c r="AA1849" s="4">
        <v>24</v>
      </c>
      <c r="AB1849" s="4">
        <v>2</v>
      </c>
      <c r="AC1849" s="4">
        <v>5</v>
      </c>
      <c r="AD1849" s="4">
        <v>103</v>
      </c>
      <c r="AE1849" s="4">
        <v>106</v>
      </c>
      <c r="AF1849" s="4">
        <v>1</v>
      </c>
      <c r="AG1849" s="4">
        <v>4</v>
      </c>
      <c r="AH1849" s="4">
        <v>93</v>
      </c>
      <c r="AI1849" s="4">
        <v>94</v>
      </c>
      <c r="AJ1849" s="4">
        <v>18</v>
      </c>
      <c r="AK1849" s="4">
        <v>21</v>
      </c>
      <c r="AL1849" s="4">
        <v>49</v>
      </c>
      <c r="AM1849" s="4">
        <v>49</v>
      </c>
      <c r="AN1849" s="4">
        <v>0</v>
      </c>
      <c r="AO1849" s="4">
        <v>0</v>
      </c>
      <c r="AP1849" s="4">
        <v>19</v>
      </c>
      <c r="AQ1849" s="4">
        <v>21</v>
      </c>
      <c r="AR1849" s="3" t="s">
        <v>62</v>
      </c>
      <c r="AS1849" s="3" t="s">
        <v>62</v>
      </c>
      <c r="AT1849" s="3" t="s">
        <v>61</v>
      </c>
      <c r="AU1849" s="6" t="str">
        <f>HYPERLINK("http://catalog.hathitrust.org/Record/001091105","HathiTrust Record")</f>
        <v>HathiTrust Record</v>
      </c>
      <c r="AV1849" s="6" t="str">
        <f>HYPERLINK("http://mcgill.on.worldcat.org/oclc/18351592","Catalog Record")</f>
        <v>Catalog Record</v>
      </c>
      <c r="AW1849" s="6" t="str">
        <f>HYPERLINK("http://www.worldcat.org/oclc/18351592","WorldCat Record")</f>
        <v>WorldCat Record</v>
      </c>
      <c r="AX1849" s="3" t="s">
        <v>17840</v>
      </c>
      <c r="AY1849" s="3" t="s">
        <v>17841</v>
      </c>
      <c r="AZ1849" s="3" t="s">
        <v>17842</v>
      </c>
      <c r="BA1849" s="3" t="s">
        <v>17842</v>
      </c>
      <c r="BB1849" s="3" t="s">
        <v>17843</v>
      </c>
      <c r="BC1849" s="3" t="s">
        <v>142</v>
      </c>
      <c r="BD1849" s="3" t="s">
        <v>68</v>
      </c>
      <c r="BE1849" s="3" t="s">
        <v>17844</v>
      </c>
      <c r="BF1849" s="3" t="s">
        <v>17843</v>
      </c>
      <c r="BG1849" s="3" t="s">
        <v>17845</v>
      </c>
    </row>
    <row r="1850" spans="1:59" ht="57" x14ac:dyDescent="0.45">
      <c r="A1850" s="2" t="s">
        <v>59</v>
      </c>
      <c r="B1850" s="2" t="s">
        <v>60</v>
      </c>
      <c r="C1850" s="2" t="s">
        <v>17846</v>
      </c>
      <c r="D1850" s="2" t="s">
        <v>17847</v>
      </c>
      <c r="E1850" s="2" t="s">
        <v>17848</v>
      </c>
      <c r="G1850" s="3" t="s">
        <v>62</v>
      </c>
      <c r="I1850" s="3" t="s">
        <v>62</v>
      </c>
      <c r="J1850" s="3" t="s">
        <v>62</v>
      </c>
      <c r="K1850" s="3" t="s">
        <v>63</v>
      </c>
      <c r="L1850" s="2" t="s">
        <v>17849</v>
      </c>
      <c r="M1850" s="2" t="s">
        <v>17850</v>
      </c>
      <c r="N1850" s="3" t="s">
        <v>1212</v>
      </c>
      <c r="P1850" s="3" t="s">
        <v>65</v>
      </c>
      <c r="R1850" s="3" t="s">
        <v>66</v>
      </c>
      <c r="S1850" s="4">
        <v>20</v>
      </c>
      <c r="T1850" s="4">
        <v>20</v>
      </c>
      <c r="U1850" s="5" t="s">
        <v>17851</v>
      </c>
      <c r="V1850" s="5" t="s">
        <v>17851</v>
      </c>
      <c r="W1850" s="5" t="s">
        <v>67</v>
      </c>
      <c r="X1850" s="5" t="s">
        <v>67</v>
      </c>
      <c r="Y1850" s="4">
        <v>567</v>
      </c>
      <c r="Z1850" s="4">
        <v>33</v>
      </c>
      <c r="AA1850" s="4">
        <v>39</v>
      </c>
      <c r="AB1850" s="4">
        <v>2</v>
      </c>
      <c r="AC1850" s="4">
        <v>7</v>
      </c>
      <c r="AD1850" s="4">
        <v>104</v>
      </c>
      <c r="AE1850" s="4">
        <v>109</v>
      </c>
      <c r="AF1850" s="4">
        <v>1</v>
      </c>
      <c r="AG1850" s="4">
        <v>3</v>
      </c>
      <c r="AH1850" s="4">
        <v>89</v>
      </c>
      <c r="AI1850" s="4">
        <v>93</v>
      </c>
      <c r="AJ1850" s="4">
        <v>15</v>
      </c>
      <c r="AK1850" s="4">
        <v>17</v>
      </c>
      <c r="AL1850" s="4">
        <v>43</v>
      </c>
      <c r="AM1850" s="4">
        <v>45</v>
      </c>
      <c r="AN1850" s="4">
        <v>0</v>
      </c>
      <c r="AO1850" s="4">
        <v>0</v>
      </c>
      <c r="AP1850" s="4">
        <v>22</v>
      </c>
      <c r="AQ1850" s="4">
        <v>25</v>
      </c>
      <c r="AR1850" s="3" t="s">
        <v>62</v>
      </c>
      <c r="AS1850" s="3" t="s">
        <v>62</v>
      </c>
      <c r="AT1850" s="3" t="s">
        <v>62</v>
      </c>
      <c r="AV1850" s="6" t="str">
        <f>HYPERLINK("http://mcgill.on.worldcat.org/oclc/42733762","Catalog Record")</f>
        <v>Catalog Record</v>
      </c>
      <c r="AW1850" s="6" t="str">
        <f>HYPERLINK("http://www.worldcat.org/oclc/42733762","WorldCat Record")</f>
        <v>WorldCat Record</v>
      </c>
      <c r="AX1850" s="3" t="s">
        <v>17852</v>
      </c>
      <c r="AY1850" s="3" t="s">
        <v>17853</v>
      </c>
      <c r="AZ1850" s="3" t="s">
        <v>17854</v>
      </c>
      <c r="BA1850" s="3" t="s">
        <v>17854</v>
      </c>
      <c r="BB1850" s="3" t="s">
        <v>17855</v>
      </c>
      <c r="BC1850" s="3" t="s">
        <v>142</v>
      </c>
      <c r="BD1850" s="3" t="s">
        <v>68</v>
      </c>
      <c r="BE1850" s="3" t="s">
        <v>17856</v>
      </c>
      <c r="BF1850" s="3" t="s">
        <v>17855</v>
      </c>
      <c r="BG1850" s="3" t="s">
        <v>17857</v>
      </c>
    </row>
    <row r="1851" spans="1:59" ht="57" x14ac:dyDescent="0.45">
      <c r="A1851" s="2" t="s">
        <v>59</v>
      </c>
      <c r="B1851" s="2" t="s">
        <v>60</v>
      </c>
      <c r="C1851" s="2" t="s">
        <v>17858</v>
      </c>
      <c r="D1851" s="2" t="s">
        <v>17859</v>
      </c>
      <c r="E1851" s="2" t="s">
        <v>17860</v>
      </c>
      <c r="G1851" s="3" t="s">
        <v>62</v>
      </c>
      <c r="I1851" s="3" t="s">
        <v>62</v>
      </c>
      <c r="J1851" s="3" t="s">
        <v>62</v>
      </c>
      <c r="K1851" s="3" t="s">
        <v>63</v>
      </c>
      <c r="L1851" s="2" t="s">
        <v>17861</v>
      </c>
      <c r="M1851" s="2" t="s">
        <v>17862</v>
      </c>
      <c r="N1851" s="3" t="s">
        <v>1212</v>
      </c>
      <c r="P1851" s="3" t="s">
        <v>65</v>
      </c>
      <c r="R1851" s="3" t="s">
        <v>66</v>
      </c>
      <c r="S1851" s="4">
        <v>20</v>
      </c>
      <c r="T1851" s="4">
        <v>20</v>
      </c>
      <c r="U1851" s="5" t="s">
        <v>17827</v>
      </c>
      <c r="V1851" s="5" t="s">
        <v>17827</v>
      </c>
      <c r="W1851" s="5" t="s">
        <v>67</v>
      </c>
      <c r="X1851" s="5" t="s">
        <v>67</v>
      </c>
      <c r="Y1851" s="4">
        <v>351</v>
      </c>
      <c r="Z1851" s="4">
        <v>21</v>
      </c>
      <c r="AA1851" s="4">
        <v>94</v>
      </c>
      <c r="AB1851" s="4">
        <v>2</v>
      </c>
      <c r="AC1851" s="4">
        <v>18</v>
      </c>
      <c r="AD1851" s="4">
        <v>97</v>
      </c>
      <c r="AE1851" s="4">
        <v>137</v>
      </c>
      <c r="AF1851" s="4">
        <v>1</v>
      </c>
      <c r="AG1851" s="4">
        <v>8</v>
      </c>
      <c r="AH1851" s="4">
        <v>86</v>
      </c>
      <c r="AI1851" s="4">
        <v>102</v>
      </c>
      <c r="AJ1851" s="4">
        <v>14</v>
      </c>
      <c r="AK1851" s="4">
        <v>22</v>
      </c>
      <c r="AL1851" s="4">
        <v>47</v>
      </c>
      <c r="AM1851" s="4">
        <v>54</v>
      </c>
      <c r="AN1851" s="4">
        <v>0</v>
      </c>
      <c r="AO1851" s="4">
        <v>0</v>
      </c>
      <c r="AP1851" s="4">
        <v>18</v>
      </c>
      <c r="AQ1851" s="4">
        <v>45</v>
      </c>
      <c r="AR1851" s="3" t="s">
        <v>62</v>
      </c>
      <c r="AS1851" s="3" t="s">
        <v>62</v>
      </c>
      <c r="AT1851" s="3" t="s">
        <v>61</v>
      </c>
      <c r="AU1851" s="6" t="str">
        <f>HYPERLINK("http://catalog.hathitrust.org/Record/004139674","HathiTrust Record")</f>
        <v>HathiTrust Record</v>
      </c>
      <c r="AV1851" s="6" t="str">
        <f>HYPERLINK("http://mcgill.on.worldcat.org/oclc/45307193","Catalog Record")</f>
        <v>Catalog Record</v>
      </c>
      <c r="AW1851" s="6" t="str">
        <f>HYPERLINK("http://www.worldcat.org/oclc/45307193","WorldCat Record")</f>
        <v>WorldCat Record</v>
      </c>
      <c r="AX1851" s="3" t="s">
        <v>17863</v>
      </c>
      <c r="AY1851" s="3" t="s">
        <v>17864</v>
      </c>
      <c r="AZ1851" s="3" t="s">
        <v>17865</v>
      </c>
      <c r="BA1851" s="3" t="s">
        <v>17865</v>
      </c>
      <c r="BB1851" s="3" t="s">
        <v>17866</v>
      </c>
      <c r="BC1851" s="3" t="s">
        <v>142</v>
      </c>
      <c r="BD1851" s="3" t="s">
        <v>68</v>
      </c>
      <c r="BE1851" s="3" t="s">
        <v>17867</v>
      </c>
      <c r="BF1851" s="3" t="s">
        <v>17866</v>
      </c>
      <c r="BG1851" s="3" t="s">
        <v>17868</v>
      </c>
    </row>
    <row r="1852" spans="1:59" ht="57" x14ac:dyDescent="0.45">
      <c r="A1852" s="2" t="s">
        <v>59</v>
      </c>
      <c r="B1852" s="2" t="s">
        <v>60</v>
      </c>
      <c r="C1852" s="2" t="s">
        <v>17869</v>
      </c>
      <c r="D1852" s="2" t="s">
        <v>17870</v>
      </c>
      <c r="E1852" s="2" t="s">
        <v>17871</v>
      </c>
      <c r="F1852" s="3" t="s">
        <v>17872</v>
      </c>
      <c r="G1852" s="3" t="s">
        <v>62</v>
      </c>
      <c r="I1852" s="3" t="s">
        <v>62</v>
      </c>
      <c r="J1852" s="3" t="s">
        <v>62</v>
      </c>
      <c r="K1852" s="3" t="s">
        <v>63</v>
      </c>
      <c r="M1852" s="2" t="s">
        <v>17873</v>
      </c>
      <c r="N1852" s="3" t="s">
        <v>1059</v>
      </c>
      <c r="P1852" s="3" t="s">
        <v>65</v>
      </c>
      <c r="R1852" s="3" t="s">
        <v>66</v>
      </c>
      <c r="S1852" s="4">
        <v>7</v>
      </c>
      <c r="T1852" s="4">
        <v>7</v>
      </c>
      <c r="U1852" s="5" t="s">
        <v>17874</v>
      </c>
      <c r="V1852" s="5" t="s">
        <v>17874</v>
      </c>
      <c r="W1852" s="5" t="s">
        <v>67</v>
      </c>
      <c r="X1852" s="5" t="s">
        <v>67</v>
      </c>
      <c r="Y1852" s="4">
        <v>109</v>
      </c>
      <c r="Z1852" s="4">
        <v>11</v>
      </c>
      <c r="AA1852" s="4">
        <v>13</v>
      </c>
      <c r="AB1852" s="4">
        <v>2</v>
      </c>
      <c r="AC1852" s="4">
        <v>3</v>
      </c>
      <c r="AD1852" s="4">
        <v>48</v>
      </c>
      <c r="AE1852" s="4">
        <v>52</v>
      </c>
      <c r="AF1852" s="4">
        <v>1</v>
      </c>
      <c r="AG1852" s="4">
        <v>2</v>
      </c>
      <c r="AH1852" s="4">
        <v>44</v>
      </c>
      <c r="AI1852" s="4">
        <v>47</v>
      </c>
      <c r="AJ1852" s="4">
        <v>9</v>
      </c>
      <c r="AK1852" s="4">
        <v>11</v>
      </c>
      <c r="AL1852" s="4">
        <v>25</v>
      </c>
      <c r="AM1852" s="4">
        <v>27</v>
      </c>
      <c r="AN1852" s="4">
        <v>0</v>
      </c>
      <c r="AO1852" s="4">
        <v>0</v>
      </c>
      <c r="AP1852" s="4">
        <v>9</v>
      </c>
      <c r="AQ1852" s="4">
        <v>10</v>
      </c>
      <c r="AR1852" s="3" t="s">
        <v>62</v>
      </c>
      <c r="AS1852" s="3" t="s">
        <v>62</v>
      </c>
      <c r="AT1852" s="3" t="s">
        <v>61</v>
      </c>
      <c r="AU1852" s="6" t="str">
        <f>HYPERLINK("http://catalog.hathitrust.org/Record/005579679","HathiTrust Record")</f>
        <v>HathiTrust Record</v>
      </c>
      <c r="AV1852" s="6" t="str">
        <f>HYPERLINK("http://mcgill.on.worldcat.org/oclc/85828418","Catalog Record")</f>
        <v>Catalog Record</v>
      </c>
      <c r="AW1852" s="6" t="str">
        <f>HYPERLINK("http://www.worldcat.org/oclc/85828418","WorldCat Record")</f>
        <v>WorldCat Record</v>
      </c>
      <c r="AX1852" s="3" t="s">
        <v>17875</v>
      </c>
      <c r="AY1852" s="3" t="s">
        <v>17876</v>
      </c>
      <c r="AZ1852" s="3" t="s">
        <v>17877</v>
      </c>
      <c r="BA1852" s="3" t="s">
        <v>17877</v>
      </c>
      <c r="BB1852" s="3" t="s">
        <v>17878</v>
      </c>
      <c r="BC1852" s="3" t="s">
        <v>142</v>
      </c>
      <c r="BD1852" s="3" t="s">
        <v>68</v>
      </c>
      <c r="BE1852" s="3" t="s">
        <v>17879</v>
      </c>
      <c r="BF1852" s="3" t="s">
        <v>17878</v>
      </c>
      <c r="BG1852" s="3" t="s">
        <v>17880</v>
      </c>
    </row>
    <row r="1853" spans="1:59" ht="57" x14ac:dyDescent="0.45">
      <c r="A1853" s="2" t="s">
        <v>59</v>
      </c>
      <c r="B1853" s="2" t="s">
        <v>60</v>
      </c>
      <c r="C1853" s="2" t="s">
        <v>17881</v>
      </c>
      <c r="D1853" s="2" t="s">
        <v>17882</v>
      </c>
      <c r="E1853" s="2" t="s">
        <v>17883</v>
      </c>
      <c r="G1853" s="3" t="s">
        <v>62</v>
      </c>
      <c r="I1853" s="3" t="s">
        <v>62</v>
      </c>
      <c r="J1853" s="3" t="s">
        <v>62</v>
      </c>
      <c r="K1853" s="3" t="s">
        <v>63</v>
      </c>
      <c r="L1853" s="2" t="s">
        <v>17884</v>
      </c>
      <c r="M1853" s="2" t="s">
        <v>17885</v>
      </c>
      <c r="N1853" s="3" t="s">
        <v>820</v>
      </c>
      <c r="P1853" s="3" t="s">
        <v>65</v>
      </c>
      <c r="R1853" s="3" t="s">
        <v>66</v>
      </c>
      <c r="S1853" s="4">
        <v>3</v>
      </c>
      <c r="T1853" s="4">
        <v>3</v>
      </c>
      <c r="U1853" s="5" t="s">
        <v>17886</v>
      </c>
      <c r="V1853" s="5" t="s">
        <v>17886</v>
      </c>
      <c r="W1853" s="5" t="s">
        <v>67</v>
      </c>
      <c r="X1853" s="5" t="s">
        <v>67</v>
      </c>
      <c r="Y1853" s="4">
        <v>171</v>
      </c>
      <c r="Z1853" s="4">
        <v>21</v>
      </c>
      <c r="AA1853" s="4">
        <v>25</v>
      </c>
      <c r="AB1853" s="4">
        <v>2</v>
      </c>
      <c r="AC1853" s="4">
        <v>6</v>
      </c>
      <c r="AD1853" s="4">
        <v>46</v>
      </c>
      <c r="AE1853" s="4">
        <v>49</v>
      </c>
      <c r="AF1853" s="4">
        <v>1</v>
      </c>
      <c r="AG1853" s="4">
        <v>4</v>
      </c>
      <c r="AH1853" s="4">
        <v>38</v>
      </c>
      <c r="AI1853" s="4">
        <v>39</v>
      </c>
      <c r="AJ1853" s="4">
        <v>11</v>
      </c>
      <c r="AK1853" s="4">
        <v>14</v>
      </c>
      <c r="AL1853" s="4">
        <v>20</v>
      </c>
      <c r="AM1853" s="4">
        <v>20</v>
      </c>
      <c r="AN1853" s="4">
        <v>0</v>
      </c>
      <c r="AO1853" s="4">
        <v>0</v>
      </c>
      <c r="AP1853" s="4">
        <v>15</v>
      </c>
      <c r="AQ1853" s="4">
        <v>17</v>
      </c>
      <c r="AR1853" s="3" t="s">
        <v>62</v>
      </c>
      <c r="AS1853" s="3" t="s">
        <v>62</v>
      </c>
      <c r="AT1853" s="3" t="s">
        <v>62</v>
      </c>
      <c r="AV1853" s="6" t="str">
        <f>HYPERLINK("http://mcgill.on.worldcat.org/oclc/85862220","Catalog Record")</f>
        <v>Catalog Record</v>
      </c>
      <c r="AW1853" s="6" t="str">
        <f>HYPERLINK("http://www.worldcat.org/oclc/85862220","WorldCat Record")</f>
        <v>WorldCat Record</v>
      </c>
      <c r="AX1853" s="3" t="s">
        <v>17887</v>
      </c>
      <c r="AY1853" s="3" t="s">
        <v>17888</v>
      </c>
      <c r="AZ1853" s="3" t="s">
        <v>17889</v>
      </c>
      <c r="BA1853" s="3" t="s">
        <v>17889</v>
      </c>
      <c r="BB1853" s="3" t="s">
        <v>17890</v>
      </c>
      <c r="BC1853" s="3" t="s">
        <v>142</v>
      </c>
      <c r="BD1853" s="3" t="s">
        <v>68</v>
      </c>
      <c r="BE1853" s="3" t="s">
        <v>17891</v>
      </c>
      <c r="BF1853" s="3" t="s">
        <v>17890</v>
      </c>
      <c r="BG1853" s="3" t="s">
        <v>17892</v>
      </c>
    </row>
    <row r="1854" spans="1:59" ht="57" x14ac:dyDescent="0.45">
      <c r="A1854" s="2" t="s">
        <v>59</v>
      </c>
      <c r="B1854" s="2" t="s">
        <v>60</v>
      </c>
      <c r="C1854" s="2" t="s">
        <v>17893</v>
      </c>
      <c r="D1854" s="2" t="s">
        <v>17894</v>
      </c>
      <c r="E1854" s="2" t="s">
        <v>17895</v>
      </c>
      <c r="G1854" s="3" t="s">
        <v>62</v>
      </c>
      <c r="I1854" s="3" t="s">
        <v>62</v>
      </c>
      <c r="J1854" s="3" t="s">
        <v>62</v>
      </c>
      <c r="K1854" s="3" t="s">
        <v>63</v>
      </c>
      <c r="L1854" s="2" t="s">
        <v>17896</v>
      </c>
      <c r="M1854" s="2" t="s">
        <v>17897</v>
      </c>
      <c r="N1854" s="3" t="s">
        <v>1155</v>
      </c>
      <c r="P1854" s="3" t="s">
        <v>65</v>
      </c>
      <c r="R1854" s="3" t="s">
        <v>66</v>
      </c>
      <c r="S1854" s="4">
        <v>4</v>
      </c>
      <c r="T1854" s="4">
        <v>4</v>
      </c>
      <c r="U1854" s="5" t="s">
        <v>17898</v>
      </c>
      <c r="V1854" s="5" t="s">
        <v>17898</v>
      </c>
      <c r="W1854" s="5" t="s">
        <v>67</v>
      </c>
      <c r="X1854" s="5" t="s">
        <v>67</v>
      </c>
      <c r="Y1854" s="4">
        <v>207</v>
      </c>
      <c r="Z1854" s="4">
        <v>18</v>
      </c>
      <c r="AA1854" s="4">
        <v>18</v>
      </c>
      <c r="AB1854" s="4">
        <v>2</v>
      </c>
      <c r="AC1854" s="4">
        <v>2</v>
      </c>
      <c r="AD1854" s="4">
        <v>64</v>
      </c>
      <c r="AE1854" s="4">
        <v>64</v>
      </c>
      <c r="AF1854" s="4">
        <v>1</v>
      </c>
      <c r="AG1854" s="4">
        <v>1</v>
      </c>
      <c r="AH1854" s="4">
        <v>57</v>
      </c>
      <c r="AI1854" s="4">
        <v>57</v>
      </c>
      <c r="AJ1854" s="4">
        <v>8</v>
      </c>
      <c r="AK1854" s="4">
        <v>8</v>
      </c>
      <c r="AL1854" s="4">
        <v>31</v>
      </c>
      <c r="AM1854" s="4">
        <v>31</v>
      </c>
      <c r="AN1854" s="4">
        <v>0</v>
      </c>
      <c r="AO1854" s="4">
        <v>0</v>
      </c>
      <c r="AP1854" s="4">
        <v>12</v>
      </c>
      <c r="AQ1854" s="4">
        <v>12</v>
      </c>
      <c r="AR1854" s="3" t="s">
        <v>62</v>
      </c>
      <c r="AS1854" s="3" t="s">
        <v>62</v>
      </c>
      <c r="AT1854" s="3" t="s">
        <v>62</v>
      </c>
      <c r="AV1854" s="6" t="str">
        <f>HYPERLINK("http://mcgill.on.worldcat.org/oclc/725827735","Catalog Record")</f>
        <v>Catalog Record</v>
      </c>
      <c r="AW1854" s="6" t="str">
        <f>HYPERLINK("http://www.worldcat.org/oclc/725827735","WorldCat Record")</f>
        <v>WorldCat Record</v>
      </c>
      <c r="AX1854" s="3" t="s">
        <v>17899</v>
      </c>
      <c r="AY1854" s="3" t="s">
        <v>17900</v>
      </c>
      <c r="AZ1854" s="3" t="s">
        <v>17901</v>
      </c>
      <c r="BA1854" s="3" t="s">
        <v>17901</v>
      </c>
      <c r="BB1854" s="3" t="s">
        <v>17902</v>
      </c>
      <c r="BC1854" s="3" t="s">
        <v>142</v>
      </c>
      <c r="BD1854" s="3" t="s">
        <v>68</v>
      </c>
      <c r="BE1854" s="3" t="s">
        <v>17903</v>
      </c>
      <c r="BF1854" s="3" t="s">
        <v>17902</v>
      </c>
      <c r="BG1854" s="3" t="s">
        <v>17904</v>
      </c>
    </row>
    <row r="1855" spans="1:59" ht="57" x14ac:dyDescent="0.45">
      <c r="A1855" s="2" t="s">
        <v>59</v>
      </c>
      <c r="B1855" s="2" t="s">
        <v>60</v>
      </c>
      <c r="C1855" s="2" t="s">
        <v>17905</v>
      </c>
      <c r="D1855" s="2" t="s">
        <v>17906</v>
      </c>
      <c r="E1855" s="2" t="s">
        <v>17907</v>
      </c>
      <c r="G1855" s="3" t="s">
        <v>62</v>
      </c>
      <c r="I1855" s="3" t="s">
        <v>62</v>
      </c>
      <c r="J1855" s="3" t="s">
        <v>62</v>
      </c>
      <c r="K1855" s="3" t="s">
        <v>63</v>
      </c>
      <c r="M1855" s="2" t="s">
        <v>17908</v>
      </c>
      <c r="N1855" s="3" t="s">
        <v>1155</v>
      </c>
      <c r="P1855" s="3" t="s">
        <v>65</v>
      </c>
      <c r="R1855" s="3" t="s">
        <v>66</v>
      </c>
      <c r="S1855" s="4">
        <v>0</v>
      </c>
      <c r="T1855" s="4">
        <v>0</v>
      </c>
      <c r="W1855" s="5" t="s">
        <v>67</v>
      </c>
      <c r="X1855" s="5" t="s">
        <v>67</v>
      </c>
      <c r="Y1855" s="4">
        <v>268</v>
      </c>
      <c r="Z1855" s="4">
        <v>19</v>
      </c>
      <c r="AA1855" s="4">
        <v>74</v>
      </c>
      <c r="AB1855" s="4">
        <v>2</v>
      </c>
      <c r="AC1855" s="4">
        <v>14</v>
      </c>
      <c r="AD1855" s="4">
        <v>75</v>
      </c>
      <c r="AE1855" s="4">
        <v>116</v>
      </c>
      <c r="AF1855" s="4">
        <v>1</v>
      </c>
      <c r="AG1855" s="4">
        <v>8</v>
      </c>
      <c r="AH1855" s="4">
        <v>69</v>
      </c>
      <c r="AI1855" s="4">
        <v>87</v>
      </c>
      <c r="AJ1855" s="4">
        <v>14</v>
      </c>
      <c r="AK1855" s="4">
        <v>24</v>
      </c>
      <c r="AL1855" s="4">
        <v>36</v>
      </c>
      <c r="AM1855" s="4">
        <v>44</v>
      </c>
      <c r="AN1855" s="4">
        <v>0</v>
      </c>
      <c r="AO1855" s="4">
        <v>0</v>
      </c>
      <c r="AP1855" s="4">
        <v>15</v>
      </c>
      <c r="AQ1855" s="4">
        <v>40</v>
      </c>
      <c r="AR1855" s="3" t="s">
        <v>62</v>
      </c>
      <c r="AS1855" s="3" t="s">
        <v>62</v>
      </c>
      <c r="AT1855" s="3" t="s">
        <v>62</v>
      </c>
      <c r="AV1855" s="6" t="str">
        <f>HYPERLINK("http://mcgill.on.worldcat.org/oclc/729344022","Catalog Record")</f>
        <v>Catalog Record</v>
      </c>
      <c r="AW1855" s="6" t="str">
        <f>HYPERLINK("http://www.worldcat.org/oclc/729344022","WorldCat Record")</f>
        <v>WorldCat Record</v>
      </c>
      <c r="AX1855" s="3" t="s">
        <v>17909</v>
      </c>
      <c r="AY1855" s="3" t="s">
        <v>17910</v>
      </c>
      <c r="AZ1855" s="3" t="s">
        <v>17911</v>
      </c>
      <c r="BA1855" s="3" t="s">
        <v>17911</v>
      </c>
      <c r="BB1855" s="3" t="s">
        <v>17912</v>
      </c>
      <c r="BC1855" s="3" t="s">
        <v>142</v>
      </c>
      <c r="BD1855" s="3" t="s">
        <v>68</v>
      </c>
      <c r="BE1855" s="3" t="s">
        <v>17913</v>
      </c>
      <c r="BF1855" s="3" t="s">
        <v>17912</v>
      </c>
      <c r="BG1855" s="3" t="s">
        <v>17914</v>
      </c>
    </row>
    <row r="1856" spans="1:59" ht="57" x14ac:dyDescent="0.45">
      <c r="A1856" s="2" t="s">
        <v>59</v>
      </c>
      <c r="B1856" s="2" t="s">
        <v>60</v>
      </c>
      <c r="C1856" s="2" t="s">
        <v>17915</v>
      </c>
      <c r="D1856" s="2" t="s">
        <v>17916</v>
      </c>
      <c r="E1856" s="2" t="s">
        <v>17917</v>
      </c>
      <c r="G1856" s="3" t="s">
        <v>62</v>
      </c>
      <c r="I1856" s="3" t="s">
        <v>62</v>
      </c>
      <c r="J1856" s="3" t="s">
        <v>62</v>
      </c>
      <c r="K1856" s="3" t="s">
        <v>63</v>
      </c>
      <c r="M1856" s="2" t="s">
        <v>17918</v>
      </c>
      <c r="N1856" s="3" t="s">
        <v>1239</v>
      </c>
      <c r="P1856" s="3" t="s">
        <v>65</v>
      </c>
      <c r="Q1856" s="2" t="s">
        <v>17919</v>
      </c>
      <c r="R1856" s="3" t="s">
        <v>66</v>
      </c>
      <c r="S1856" s="4">
        <v>22</v>
      </c>
      <c r="T1856" s="4">
        <v>22</v>
      </c>
      <c r="U1856" s="5" t="s">
        <v>17920</v>
      </c>
      <c r="V1856" s="5" t="s">
        <v>17920</v>
      </c>
      <c r="W1856" s="5" t="s">
        <v>67</v>
      </c>
      <c r="X1856" s="5" t="s">
        <v>67</v>
      </c>
      <c r="Y1856" s="4">
        <v>354</v>
      </c>
      <c r="Z1856" s="4">
        <v>18</v>
      </c>
      <c r="AA1856" s="4">
        <v>23</v>
      </c>
      <c r="AB1856" s="4">
        <v>2</v>
      </c>
      <c r="AC1856" s="4">
        <v>7</v>
      </c>
      <c r="AD1856" s="4">
        <v>99</v>
      </c>
      <c r="AE1856" s="4">
        <v>103</v>
      </c>
      <c r="AF1856" s="4">
        <v>1</v>
      </c>
      <c r="AG1856" s="4">
        <v>5</v>
      </c>
      <c r="AH1856" s="4">
        <v>91</v>
      </c>
      <c r="AI1856" s="4">
        <v>92</v>
      </c>
      <c r="AJ1856" s="4">
        <v>16</v>
      </c>
      <c r="AK1856" s="4">
        <v>20</v>
      </c>
      <c r="AL1856" s="4">
        <v>49</v>
      </c>
      <c r="AM1856" s="4">
        <v>49</v>
      </c>
      <c r="AN1856" s="4">
        <v>0</v>
      </c>
      <c r="AO1856" s="4">
        <v>0</v>
      </c>
      <c r="AP1856" s="4">
        <v>16</v>
      </c>
      <c r="AQ1856" s="4">
        <v>19</v>
      </c>
      <c r="AR1856" s="3" t="s">
        <v>62</v>
      </c>
      <c r="AS1856" s="3" t="s">
        <v>62</v>
      </c>
      <c r="AT1856" s="3" t="s">
        <v>61</v>
      </c>
      <c r="AU1856" s="6" t="str">
        <f>HYPERLINK("http://catalog.hathitrust.org/Record/001540875","HathiTrust Record")</f>
        <v>HathiTrust Record</v>
      </c>
      <c r="AV1856" s="6" t="str">
        <f>HYPERLINK("http://mcgill.on.worldcat.org/oclc/18166353","Catalog Record")</f>
        <v>Catalog Record</v>
      </c>
      <c r="AW1856" s="6" t="str">
        <f>HYPERLINK("http://www.worldcat.org/oclc/18166353","WorldCat Record")</f>
        <v>WorldCat Record</v>
      </c>
      <c r="AX1856" s="3" t="s">
        <v>17921</v>
      </c>
      <c r="AY1856" s="3" t="s">
        <v>17922</v>
      </c>
      <c r="AZ1856" s="3" t="s">
        <v>17923</v>
      </c>
      <c r="BA1856" s="3" t="s">
        <v>17923</v>
      </c>
      <c r="BB1856" s="3" t="s">
        <v>17924</v>
      </c>
      <c r="BC1856" s="3" t="s">
        <v>142</v>
      </c>
      <c r="BD1856" s="3" t="s">
        <v>68</v>
      </c>
      <c r="BE1856" s="3" t="s">
        <v>17925</v>
      </c>
      <c r="BF1856" s="3" t="s">
        <v>17924</v>
      </c>
      <c r="BG1856" s="3" t="s">
        <v>17926</v>
      </c>
    </row>
    <row r="1857" spans="1:59" ht="57" x14ac:dyDescent="0.45">
      <c r="A1857" s="2" t="s">
        <v>59</v>
      </c>
      <c r="B1857" s="2" t="s">
        <v>60</v>
      </c>
      <c r="C1857" s="2" t="s">
        <v>17927</v>
      </c>
      <c r="D1857" s="2" t="s">
        <v>17928</v>
      </c>
      <c r="E1857" s="2" t="s">
        <v>17929</v>
      </c>
      <c r="G1857" s="3" t="s">
        <v>62</v>
      </c>
      <c r="I1857" s="3" t="s">
        <v>62</v>
      </c>
      <c r="J1857" s="3" t="s">
        <v>62</v>
      </c>
      <c r="K1857" s="3" t="s">
        <v>63</v>
      </c>
      <c r="M1857" s="2" t="s">
        <v>17930</v>
      </c>
      <c r="N1857" s="3" t="s">
        <v>1253</v>
      </c>
      <c r="P1857" s="3" t="s">
        <v>65</v>
      </c>
      <c r="R1857" s="3" t="s">
        <v>66</v>
      </c>
      <c r="S1857" s="4">
        <v>12</v>
      </c>
      <c r="T1857" s="4">
        <v>12</v>
      </c>
      <c r="U1857" s="5" t="s">
        <v>17920</v>
      </c>
      <c r="V1857" s="5" t="s">
        <v>17920</v>
      </c>
      <c r="W1857" s="5" t="s">
        <v>67</v>
      </c>
      <c r="X1857" s="5" t="s">
        <v>67</v>
      </c>
      <c r="Y1857" s="4">
        <v>466</v>
      </c>
      <c r="Z1857" s="4">
        <v>25</v>
      </c>
      <c r="AA1857" s="4">
        <v>44</v>
      </c>
      <c r="AB1857" s="4">
        <v>3</v>
      </c>
      <c r="AC1857" s="4">
        <v>8</v>
      </c>
      <c r="AD1857" s="4">
        <v>106</v>
      </c>
      <c r="AE1857" s="4">
        <v>118</v>
      </c>
      <c r="AF1857" s="4">
        <v>1</v>
      </c>
      <c r="AG1857" s="4">
        <v>4</v>
      </c>
      <c r="AH1857" s="4">
        <v>90</v>
      </c>
      <c r="AI1857" s="4">
        <v>94</v>
      </c>
      <c r="AJ1857" s="4">
        <v>17</v>
      </c>
      <c r="AK1857" s="4">
        <v>22</v>
      </c>
      <c r="AL1857" s="4">
        <v>45</v>
      </c>
      <c r="AM1857" s="4">
        <v>46</v>
      </c>
      <c r="AN1857" s="4">
        <v>0</v>
      </c>
      <c r="AO1857" s="4">
        <v>0</v>
      </c>
      <c r="AP1857" s="4">
        <v>22</v>
      </c>
      <c r="AQ1857" s="4">
        <v>33</v>
      </c>
      <c r="AR1857" s="3" t="s">
        <v>62</v>
      </c>
      <c r="AS1857" s="3" t="s">
        <v>62</v>
      </c>
      <c r="AT1857" s="3" t="s">
        <v>61</v>
      </c>
      <c r="AU1857" s="6" t="str">
        <f>HYPERLINK("http://catalog.hathitrust.org/Record/003135946","HathiTrust Record")</f>
        <v>HathiTrust Record</v>
      </c>
      <c r="AV1857" s="6" t="str">
        <f>HYPERLINK("http://mcgill.on.worldcat.org/oclc/35990416","Catalog Record")</f>
        <v>Catalog Record</v>
      </c>
      <c r="AW1857" s="6" t="str">
        <f>HYPERLINK("http://www.worldcat.org/oclc/35990416","WorldCat Record")</f>
        <v>WorldCat Record</v>
      </c>
      <c r="AX1857" s="3" t="s">
        <v>17931</v>
      </c>
      <c r="AY1857" s="3" t="s">
        <v>17932</v>
      </c>
      <c r="AZ1857" s="3" t="s">
        <v>17933</v>
      </c>
      <c r="BA1857" s="3" t="s">
        <v>17933</v>
      </c>
      <c r="BB1857" s="3" t="s">
        <v>17934</v>
      </c>
      <c r="BC1857" s="3" t="s">
        <v>142</v>
      </c>
      <c r="BD1857" s="3" t="s">
        <v>68</v>
      </c>
      <c r="BE1857" s="3" t="s">
        <v>17935</v>
      </c>
      <c r="BF1857" s="3" t="s">
        <v>17934</v>
      </c>
      <c r="BG1857" s="3" t="s">
        <v>17936</v>
      </c>
    </row>
    <row r="1858" spans="1:59" ht="57" x14ac:dyDescent="0.45">
      <c r="A1858" s="2" t="s">
        <v>59</v>
      </c>
      <c r="B1858" s="2" t="s">
        <v>60</v>
      </c>
      <c r="C1858" s="2" t="s">
        <v>17937</v>
      </c>
      <c r="D1858" s="2" t="s">
        <v>17938</v>
      </c>
      <c r="E1858" s="2" t="s">
        <v>17939</v>
      </c>
      <c r="G1858" s="3" t="s">
        <v>62</v>
      </c>
      <c r="I1858" s="3" t="s">
        <v>62</v>
      </c>
      <c r="J1858" s="3" t="s">
        <v>62</v>
      </c>
      <c r="K1858" s="3" t="s">
        <v>63</v>
      </c>
      <c r="M1858" s="2" t="s">
        <v>17940</v>
      </c>
      <c r="N1858" s="3" t="s">
        <v>820</v>
      </c>
      <c r="P1858" s="3" t="s">
        <v>65</v>
      </c>
      <c r="Q1858" s="2" t="s">
        <v>17941</v>
      </c>
      <c r="R1858" s="3" t="s">
        <v>66</v>
      </c>
      <c r="S1858" s="4">
        <v>1</v>
      </c>
      <c r="T1858" s="4">
        <v>1</v>
      </c>
      <c r="U1858" s="5" t="s">
        <v>17920</v>
      </c>
      <c r="V1858" s="5" t="s">
        <v>17920</v>
      </c>
      <c r="W1858" s="5" t="s">
        <v>67</v>
      </c>
      <c r="X1858" s="5" t="s">
        <v>67</v>
      </c>
      <c r="Y1858" s="4">
        <v>242</v>
      </c>
      <c r="Z1858" s="4">
        <v>22</v>
      </c>
      <c r="AA1858" s="4">
        <v>24</v>
      </c>
      <c r="AB1858" s="4">
        <v>2</v>
      </c>
      <c r="AC1858" s="4">
        <v>4</v>
      </c>
      <c r="AD1858" s="4">
        <v>62</v>
      </c>
      <c r="AE1858" s="4">
        <v>64</v>
      </c>
      <c r="AF1858" s="4">
        <v>1</v>
      </c>
      <c r="AG1858" s="4">
        <v>3</v>
      </c>
      <c r="AH1858" s="4">
        <v>53</v>
      </c>
      <c r="AI1858" s="4">
        <v>54</v>
      </c>
      <c r="AJ1858" s="4">
        <v>12</v>
      </c>
      <c r="AK1858" s="4">
        <v>14</v>
      </c>
      <c r="AL1858" s="4">
        <v>27</v>
      </c>
      <c r="AM1858" s="4">
        <v>27</v>
      </c>
      <c r="AN1858" s="4">
        <v>0</v>
      </c>
      <c r="AO1858" s="4">
        <v>0</v>
      </c>
      <c r="AP1858" s="4">
        <v>17</v>
      </c>
      <c r="AQ1858" s="4">
        <v>19</v>
      </c>
      <c r="AR1858" s="3" t="s">
        <v>62</v>
      </c>
      <c r="AS1858" s="3" t="s">
        <v>62</v>
      </c>
      <c r="AT1858" s="3" t="s">
        <v>61</v>
      </c>
      <c r="AU1858" s="6" t="str">
        <f>HYPERLINK("http://catalog.hathitrust.org/Record/008325167","HathiTrust Record")</f>
        <v>HathiTrust Record</v>
      </c>
      <c r="AV1858" s="6" t="str">
        <f>HYPERLINK("http://mcgill.on.worldcat.org/oclc/212893725","Catalog Record")</f>
        <v>Catalog Record</v>
      </c>
      <c r="AW1858" s="6" t="str">
        <f>HYPERLINK("http://www.worldcat.org/oclc/212893725","WorldCat Record")</f>
        <v>WorldCat Record</v>
      </c>
      <c r="AX1858" s="3" t="s">
        <v>17942</v>
      </c>
      <c r="AY1858" s="3" t="s">
        <v>17943</v>
      </c>
      <c r="AZ1858" s="3" t="s">
        <v>17944</v>
      </c>
      <c r="BA1858" s="3" t="s">
        <v>17944</v>
      </c>
      <c r="BB1858" s="3" t="s">
        <v>17945</v>
      </c>
      <c r="BC1858" s="3" t="s">
        <v>142</v>
      </c>
      <c r="BD1858" s="3" t="s">
        <v>68</v>
      </c>
      <c r="BE1858" s="3" t="s">
        <v>17946</v>
      </c>
      <c r="BF1858" s="3" t="s">
        <v>17945</v>
      </c>
      <c r="BG1858" s="3" t="s">
        <v>17947</v>
      </c>
    </row>
    <row r="1859" spans="1:59" ht="57" x14ac:dyDescent="0.45">
      <c r="A1859" s="2" t="s">
        <v>59</v>
      </c>
      <c r="B1859" s="2" t="s">
        <v>60</v>
      </c>
      <c r="C1859" s="2" t="s">
        <v>17948</v>
      </c>
      <c r="D1859" s="2" t="s">
        <v>17949</v>
      </c>
      <c r="E1859" s="2" t="s">
        <v>17950</v>
      </c>
      <c r="G1859" s="3" t="s">
        <v>62</v>
      </c>
      <c r="I1859" s="3" t="s">
        <v>62</v>
      </c>
      <c r="J1859" s="3" t="s">
        <v>62</v>
      </c>
      <c r="K1859" s="3" t="s">
        <v>63</v>
      </c>
      <c r="M1859" s="2" t="s">
        <v>17951</v>
      </c>
      <c r="N1859" s="3" t="s">
        <v>1253</v>
      </c>
      <c r="P1859" s="3" t="s">
        <v>65</v>
      </c>
      <c r="R1859" s="3" t="s">
        <v>66</v>
      </c>
      <c r="S1859" s="4">
        <v>14</v>
      </c>
      <c r="T1859" s="4">
        <v>14</v>
      </c>
      <c r="U1859" s="5" t="s">
        <v>17920</v>
      </c>
      <c r="V1859" s="5" t="s">
        <v>17920</v>
      </c>
      <c r="W1859" s="5" t="s">
        <v>67</v>
      </c>
      <c r="X1859" s="5" t="s">
        <v>67</v>
      </c>
      <c r="Y1859" s="4">
        <v>422</v>
      </c>
      <c r="Z1859" s="4">
        <v>21</v>
      </c>
      <c r="AA1859" s="4">
        <v>22</v>
      </c>
      <c r="AB1859" s="4">
        <v>3</v>
      </c>
      <c r="AC1859" s="4">
        <v>3</v>
      </c>
      <c r="AD1859" s="4">
        <v>109</v>
      </c>
      <c r="AE1859" s="4">
        <v>111</v>
      </c>
      <c r="AF1859" s="4">
        <v>2</v>
      </c>
      <c r="AG1859" s="4">
        <v>2</v>
      </c>
      <c r="AH1859" s="4">
        <v>95</v>
      </c>
      <c r="AI1859" s="4">
        <v>97</v>
      </c>
      <c r="AJ1859" s="4">
        <v>14</v>
      </c>
      <c r="AK1859" s="4">
        <v>15</v>
      </c>
      <c r="AL1859" s="4">
        <v>52</v>
      </c>
      <c r="AM1859" s="4">
        <v>52</v>
      </c>
      <c r="AN1859" s="4">
        <v>0</v>
      </c>
      <c r="AO1859" s="4">
        <v>0</v>
      </c>
      <c r="AP1859" s="4">
        <v>19</v>
      </c>
      <c r="AQ1859" s="4">
        <v>20</v>
      </c>
      <c r="AR1859" s="3" t="s">
        <v>62</v>
      </c>
      <c r="AS1859" s="3" t="s">
        <v>62</v>
      </c>
      <c r="AT1859" s="3" t="s">
        <v>62</v>
      </c>
      <c r="AV1859" s="6" t="str">
        <f>HYPERLINK("http://mcgill.on.worldcat.org/oclc/34149159","Catalog Record")</f>
        <v>Catalog Record</v>
      </c>
      <c r="AW1859" s="6" t="str">
        <f>HYPERLINK("http://www.worldcat.org/oclc/34149159","WorldCat Record")</f>
        <v>WorldCat Record</v>
      </c>
      <c r="AX1859" s="3" t="s">
        <v>17952</v>
      </c>
      <c r="AY1859" s="3" t="s">
        <v>17953</v>
      </c>
      <c r="AZ1859" s="3" t="s">
        <v>17954</v>
      </c>
      <c r="BA1859" s="3" t="s">
        <v>17954</v>
      </c>
      <c r="BB1859" s="3" t="s">
        <v>17955</v>
      </c>
      <c r="BC1859" s="3" t="s">
        <v>142</v>
      </c>
      <c r="BD1859" s="3" t="s">
        <v>68</v>
      </c>
      <c r="BE1859" s="3" t="s">
        <v>17956</v>
      </c>
      <c r="BF1859" s="3" t="s">
        <v>17955</v>
      </c>
      <c r="BG1859" s="3" t="s">
        <v>17957</v>
      </c>
    </row>
    <row r="1860" spans="1:59" ht="57" x14ac:dyDescent="0.45">
      <c r="A1860" s="2" t="s">
        <v>59</v>
      </c>
      <c r="B1860" s="2" t="s">
        <v>60</v>
      </c>
      <c r="C1860" s="2" t="s">
        <v>17958</v>
      </c>
      <c r="D1860" s="2" t="s">
        <v>17959</v>
      </c>
      <c r="E1860" s="2" t="s">
        <v>17960</v>
      </c>
      <c r="G1860" s="3" t="s">
        <v>62</v>
      </c>
      <c r="I1860" s="3" t="s">
        <v>62</v>
      </c>
      <c r="J1860" s="3" t="s">
        <v>62</v>
      </c>
      <c r="K1860" s="3" t="s">
        <v>63</v>
      </c>
      <c r="M1860" s="2" t="s">
        <v>17961</v>
      </c>
      <c r="N1860" s="3" t="s">
        <v>1855</v>
      </c>
      <c r="P1860" s="3" t="s">
        <v>65</v>
      </c>
      <c r="Q1860" s="2" t="s">
        <v>17962</v>
      </c>
      <c r="R1860" s="3" t="s">
        <v>66</v>
      </c>
      <c r="S1860" s="4">
        <v>10</v>
      </c>
      <c r="T1860" s="4">
        <v>10</v>
      </c>
      <c r="U1860" s="5" t="s">
        <v>17963</v>
      </c>
      <c r="V1860" s="5" t="s">
        <v>17963</v>
      </c>
      <c r="W1860" s="5" t="s">
        <v>67</v>
      </c>
      <c r="X1860" s="5" t="s">
        <v>67</v>
      </c>
      <c r="Y1860" s="4">
        <v>338</v>
      </c>
      <c r="Z1860" s="4">
        <v>34</v>
      </c>
      <c r="AA1860" s="4">
        <v>36</v>
      </c>
      <c r="AB1860" s="4">
        <v>2</v>
      </c>
      <c r="AC1860" s="4">
        <v>4</v>
      </c>
      <c r="AD1860" s="4">
        <v>98</v>
      </c>
      <c r="AE1860" s="4">
        <v>100</v>
      </c>
      <c r="AF1860" s="4">
        <v>1</v>
      </c>
      <c r="AG1860" s="4">
        <v>3</v>
      </c>
      <c r="AH1860" s="4">
        <v>81</v>
      </c>
      <c r="AI1860" s="4">
        <v>81</v>
      </c>
      <c r="AJ1860" s="4">
        <v>20</v>
      </c>
      <c r="AK1860" s="4">
        <v>22</v>
      </c>
      <c r="AL1860" s="4">
        <v>38</v>
      </c>
      <c r="AM1860" s="4">
        <v>38</v>
      </c>
      <c r="AN1860" s="4">
        <v>0</v>
      </c>
      <c r="AO1860" s="4">
        <v>0</v>
      </c>
      <c r="AP1860" s="4">
        <v>27</v>
      </c>
      <c r="AQ1860" s="4">
        <v>28</v>
      </c>
      <c r="AR1860" s="3" t="s">
        <v>62</v>
      </c>
      <c r="AS1860" s="3" t="s">
        <v>62</v>
      </c>
      <c r="AT1860" s="3" t="s">
        <v>62</v>
      </c>
      <c r="AV1860" s="6" t="str">
        <f>HYPERLINK("http://mcgill.on.worldcat.org/oclc/57169948","Catalog Record")</f>
        <v>Catalog Record</v>
      </c>
      <c r="AW1860" s="6" t="str">
        <f>HYPERLINK("http://www.worldcat.org/oclc/57169948","WorldCat Record")</f>
        <v>WorldCat Record</v>
      </c>
      <c r="AX1860" s="3" t="s">
        <v>17964</v>
      </c>
      <c r="AY1860" s="3" t="s">
        <v>17965</v>
      </c>
      <c r="AZ1860" s="3" t="s">
        <v>17966</v>
      </c>
      <c r="BA1860" s="3" t="s">
        <v>17966</v>
      </c>
      <c r="BB1860" s="3" t="s">
        <v>17967</v>
      </c>
      <c r="BC1860" s="3" t="s">
        <v>142</v>
      </c>
      <c r="BD1860" s="3" t="s">
        <v>68</v>
      </c>
      <c r="BE1860" s="3" t="s">
        <v>17968</v>
      </c>
      <c r="BF1860" s="3" t="s">
        <v>17967</v>
      </c>
      <c r="BG1860" s="3" t="s">
        <v>17969</v>
      </c>
    </row>
    <row r="1861" spans="1:59" ht="57" x14ac:dyDescent="0.45">
      <c r="A1861" s="2" t="s">
        <v>59</v>
      </c>
      <c r="B1861" s="2" t="s">
        <v>60</v>
      </c>
      <c r="C1861" s="2" t="s">
        <v>17970</v>
      </c>
      <c r="D1861" s="2" t="s">
        <v>17971</v>
      </c>
      <c r="E1861" s="2" t="s">
        <v>17972</v>
      </c>
      <c r="G1861" s="3" t="s">
        <v>62</v>
      </c>
      <c r="I1861" s="3" t="s">
        <v>62</v>
      </c>
      <c r="J1861" s="3" t="s">
        <v>62</v>
      </c>
      <c r="K1861" s="3" t="s">
        <v>63</v>
      </c>
      <c r="M1861" s="2" t="s">
        <v>14299</v>
      </c>
      <c r="N1861" s="3" t="s">
        <v>125</v>
      </c>
      <c r="P1861" s="3" t="s">
        <v>65</v>
      </c>
      <c r="Q1861" s="2" t="s">
        <v>17973</v>
      </c>
      <c r="R1861" s="3" t="s">
        <v>66</v>
      </c>
      <c r="S1861" s="4">
        <v>36</v>
      </c>
      <c r="T1861" s="4">
        <v>36</v>
      </c>
      <c r="U1861" s="5" t="s">
        <v>17974</v>
      </c>
      <c r="V1861" s="5" t="s">
        <v>17974</v>
      </c>
      <c r="W1861" s="5" t="s">
        <v>67</v>
      </c>
      <c r="X1861" s="5" t="s">
        <v>67</v>
      </c>
      <c r="Y1861" s="4">
        <v>541</v>
      </c>
      <c r="Z1861" s="4">
        <v>32</v>
      </c>
      <c r="AA1861" s="4">
        <v>96</v>
      </c>
      <c r="AB1861" s="4">
        <v>2</v>
      </c>
      <c r="AC1861" s="4">
        <v>17</v>
      </c>
      <c r="AD1861" s="4">
        <v>120</v>
      </c>
      <c r="AE1861" s="4">
        <v>146</v>
      </c>
      <c r="AF1861" s="4">
        <v>1</v>
      </c>
      <c r="AG1861" s="4">
        <v>8</v>
      </c>
      <c r="AH1861" s="4">
        <v>103</v>
      </c>
      <c r="AI1861" s="4">
        <v>108</v>
      </c>
      <c r="AJ1861" s="4">
        <v>17</v>
      </c>
      <c r="AK1861" s="4">
        <v>24</v>
      </c>
      <c r="AL1861" s="4">
        <v>56</v>
      </c>
      <c r="AM1861" s="4">
        <v>57</v>
      </c>
      <c r="AN1861" s="4">
        <v>0</v>
      </c>
      <c r="AO1861" s="4">
        <v>0</v>
      </c>
      <c r="AP1861" s="4">
        <v>24</v>
      </c>
      <c r="AQ1861" s="4">
        <v>47</v>
      </c>
      <c r="AR1861" s="3" t="s">
        <v>62</v>
      </c>
      <c r="AS1861" s="3" t="s">
        <v>62</v>
      </c>
      <c r="AT1861" s="3" t="s">
        <v>62</v>
      </c>
      <c r="AV1861" s="6" t="str">
        <f>HYPERLINK("http://mcgill.on.worldcat.org/oclc/21195196","Catalog Record")</f>
        <v>Catalog Record</v>
      </c>
      <c r="AW1861" s="6" t="str">
        <f>HYPERLINK("http://www.worldcat.org/oclc/21195196","WorldCat Record")</f>
        <v>WorldCat Record</v>
      </c>
      <c r="AX1861" s="3" t="s">
        <v>17975</v>
      </c>
      <c r="AY1861" s="3" t="s">
        <v>17976</v>
      </c>
      <c r="AZ1861" s="3" t="s">
        <v>17977</v>
      </c>
      <c r="BA1861" s="3" t="s">
        <v>17977</v>
      </c>
      <c r="BB1861" s="3" t="s">
        <v>17978</v>
      </c>
      <c r="BC1861" s="3" t="s">
        <v>142</v>
      </c>
      <c r="BD1861" s="3" t="s">
        <v>68</v>
      </c>
      <c r="BE1861" s="3" t="s">
        <v>17979</v>
      </c>
      <c r="BF1861" s="3" t="s">
        <v>17978</v>
      </c>
      <c r="BG1861" s="3" t="s">
        <v>17980</v>
      </c>
    </row>
    <row r="1862" spans="1:59" ht="57" x14ac:dyDescent="0.45">
      <c r="A1862" s="2" t="s">
        <v>59</v>
      </c>
      <c r="B1862" s="2" t="s">
        <v>60</v>
      </c>
      <c r="C1862" s="2" t="s">
        <v>17981</v>
      </c>
      <c r="D1862" s="2" t="s">
        <v>17982</v>
      </c>
      <c r="E1862" s="2" t="s">
        <v>17983</v>
      </c>
      <c r="G1862" s="3" t="s">
        <v>62</v>
      </c>
      <c r="I1862" s="3" t="s">
        <v>62</v>
      </c>
      <c r="J1862" s="3" t="s">
        <v>62</v>
      </c>
      <c r="K1862" s="3" t="s">
        <v>63</v>
      </c>
      <c r="M1862" s="2" t="s">
        <v>17984</v>
      </c>
      <c r="N1862" s="3" t="s">
        <v>1059</v>
      </c>
      <c r="P1862" s="3" t="s">
        <v>65</v>
      </c>
      <c r="R1862" s="3" t="s">
        <v>66</v>
      </c>
      <c r="S1862" s="4">
        <v>2</v>
      </c>
      <c r="T1862" s="4">
        <v>2</v>
      </c>
      <c r="U1862" s="5" t="s">
        <v>17963</v>
      </c>
      <c r="V1862" s="5" t="s">
        <v>17963</v>
      </c>
      <c r="W1862" s="5" t="s">
        <v>67</v>
      </c>
      <c r="X1862" s="5" t="s">
        <v>67</v>
      </c>
      <c r="Y1862" s="4">
        <v>119</v>
      </c>
      <c r="Z1862" s="4">
        <v>10</v>
      </c>
      <c r="AA1862" s="4">
        <v>12</v>
      </c>
      <c r="AB1862" s="4">
        <v>1</v>
      </c>
      <c r="AC1862" s="4">
        <v>3</v>
      </c>
      <c r="AD1862" s="4">
        <v>30</v>
      </c>
      <c r="AE1862" s="4">
        <v>31</v>
      </c>
      <c r="AF1862" s="4">
        <v>0</v>
      </c>
      <c r="AG1862" s="4">
        <v>1</v>
      </c>
      <c r="AH1862" s="4">
        <v>28</v>
      </c>
      <c r="AI1862" s="4">
        <v>28</v>
      </c>
      <c r="AJ1862" s="4">
        <v>2</v>
      </c>
      <c r="AK1862" s="4">
        <v>3</v>
      </c>
      <c r="AL1862" s="4">
        <v>17</v>
      </c>
      <c r="AM1862" s="4">
        <v>17</v>
      </c>
      <c r="AN1862" s="4">
        <v>0</v>
      </c>
      <c r="AO1862" s="4">
        <v>0</v>
      </c>
      <c r="AP1862" s="4">
        <v>3</v>
      </c>
      <c r="AQ1862" s="4">
        <v>4</v>
      </c>
      <c r="AR1862" s="3" t="s">
        <v>62</v>
      </c>
      <c r="AS1862" s="3" t="s">
        <v>62</v>
      </c>
      <c r="AT1862" s="3" t="s">
        <v>62</v>
      </c>
      <c r="AV1862" s="6" t="str">
        <f>HYPERLINK("http://mcgill.on.worldcat.org/oclc/62084238","Catalog Record")</f>
        <v>Catalog Record</v>
      </c>
      <c r="AW1862" s="6" t="str">
        <f>HYPERLINK("http://www.worldcat.org/oclc/62084238","WorldCat Record")</f>
        <v>WorldCat Record</v>
      </c>
      <c r="AX1862" s="3" t="s">
        <v>17985</v>
      </c>
      <c r="AY1862" s="3" t="s">
        <v>17986</v>
      </c>
      <c r="AZ1862" s="3" t="s">
        <v>17987</v>
      </c>
      <c r="BA1862" s="3" t="s">
        <v>17987</v>
      </c>
      <c r="BB1862" s="3" t="s">
        <v>17988</v>
      </c>
      <c r="BC1862" s="3" t="s">
        <v>142</v>
      </c>
      <c r="BD1862" s="3" t="s">
        <v>68</v>
      </c>
      <c r="BE1862" s="3" t="s">
        <v>17989</v>
      </c>
      <c r="BF1862" s="3" t="s">
        <v>17988</v>
      </c>
      <c r="BG1862" s="3" t="s">
        <v>17990</v>
      </c>
    </row>
    <row r="1863" spans="1:59" ht="57" x14ac:dyDescent="0.45">
      <c r="A1863" s="2" t="s">
        <v>59</v>
      </c>
      <c r="B1863" s="2" t="s">
        <v>60</v>
      </c>
      <c r="C1863" s="2" t="s">
        <v>17991</v>
      </c>
      <c r="D1863" s="2" t="s">
        <v>17992</v>
      </c>
      <c r="E1863" s="2" t="s">
        <v>17993</v>
      </c>
      <c r="G1863" s="3" t="s">
        <v>62</v>
      </c>
      <c r="I1863" s="3" t="s">
        <v>62</v>
      </c>
      <c r="J1863" s="3" t="s">
        <v>61</v>
      </c>
      <c r="K1863" s="3" t="s">
        <v>63</v>
      </c>
      <c r="M1863" s="2" t="s">
        <v>6141</v>
      </c>
      <c r="N1863" s="3" t="s">
        <v>894</v>
      </c>
      <c r="O1863" s="2" t="s">
        <v>906</v>
      </c>
      <c r="P1863" s="3" t="s">
        <v>65</v>
      </c>
      <c r="R1863" s="3" t="s">
        <v>66</v>
      </c>
      <c r="S1863" s="4">
        <v>10</v>
      </c>
      <c r="T1863" s="4">
        <v>10</v>
      </c>
      <c r="U1863" s="5" t="s">
        <v>17994</v>
      </c>
      <c r="V1863" s="5" t="s">
        <v>17994</v>
      </c>
      <c r="W1863" s="5" t="s">
        <v>67</v>
      </c>
      <c r="X1863" s="5" t="s">
        <v>67</v>
      </c>
      <c r="Y1863" s="4">
        <v>149</v>
      </c>
      <c r="Z1863" s="4">
        <v>13</v>
      </c>
      <c r="AA1863" s="4">
        <v>92</v>
      </c>
      <c r="AB1863" s="4">
        <v>1</v>
      </c>
      <c r="AC1863" s="4">
        <v>15</v>
      </c>
      <c r="AD1863" s="4">
        <v>26</v>
      </c>
      <c r="AE1863" s="4">
        <v>151</v>
      </c>
      <c r="AF1863" s="4">
        <v>0</v>
      </c>
      <c r="AG1863" s="4">
        <v>8</v>
      </c>
      <c r="AH1863" s="4">
        <v>22</v>
      </c>
      <c r="AI1863" s="4">
        <v>109</v>
      </c>
      <c r="AJ1863" s="4">
        <v>6</v>
      </c>
      <c r="AK1863" s="4">
        <v>26</v>
      </c>
      <c r="AL1863" s="4">
        <v>12</v>
      </c>
      <c r="AM1863" s="4">
        <v>59</v>
      </c>
      <c r="AN1863" s="4">
        <v>0</v>
      </c>
      <c r="AO1863" s="4">
        <v>0</v>
      </c>
      <c r="AP1863" s="4">
        <v>8</v>
      </c>
      <c r="AQ1863" s="4">
        <v>51</v>
      </c>
      <c r="AR1863" s="3" t="s">
        <v>62</v>
      </c>
      <c r="AS1863" s="3" t="s">
        <v>62</v>
      </c>
      <c r="AT1863" s="3" t="s">
        <v>62</v>
      </c>
      <c r="AV1863" s="6" t="str">
        <f>HYPERLINK("http://mcgill.on.worldcat.org/oclc/166361560","Catalog Record")</f>
        <v>Catalog Record</v>
      </c>
      <c r="AW1863" s="6" t="str">
        <f>HYPERLINK("http://www.worldcat.org/oclc/166361560","WorldCat Record")</f>
        <v>WorldCat Record</v>
      </c>
      <c r="AX1863" s="3" t="s">
        <v>17995</v>
      </c>
      <c r="AY1863" s="3" t="s">
        <v>17996</v>
      </c>
      <c r="AZ1863" s="3" t="s">
        <v>17997</v>
      </c>
      <c r="BA1863" s="3" t="s">
        <v>17997</v>
      </c>
      <c r="BB1863" s="3" t="s">
        <v>17998</v>
      </c>
      <c r="BC1863" s="3" t="s">
        <v>142</v>
      </c>
      <c r="BD1863" s="3" t="s">
        <v>68</v>
      </c>
      <c r="BE1863" s="3" t="s">
        <v>17999</v>
      </c>
      <c r="BF1863" s="3" t="s">
        <v>17998</v>
      </c>
      <c r="BG1863" s="3" t="s">
        <v>18000</v>
      </c>
    </row>
    <row r="1864" spans="1:59" ht="57" x14ac:dyDescent="0.45">
      <c r="A1864" s="2" t="s">
        <v>59</v>
      </c>
      <c r="B1864" s="2" t="s">
        <v>60</v>
      </c>
      <c r="C1864" s="2" t="s">
        <v>18001</v>
      </c>
      <c r="D1864" s="2" t="s">
        <v>18002</v>
      </c>
      <c r="E1864" s="2" t="s">
        <v>18003</v>
      </c>
      <c r="G1864" s="3" t="s">
        <v>62</v>
      </c>
      <c r="I1864" s="3" t="s">
        <v>62</v>
      </c>
      <c r="J1864" s="3" t="s">
        <v>62</v>
      </c>
      <c r="K1864" s="3" t="s">
        <v>63</v>
      </c>
      <c r="M1864" s="2" t="s">
        <v>10680</v>
      </c>
      <c r="N1864" s="3" t="s">
        <v>807</v>
      </c>
      <c r="P1864" s="3" t="s">
        <v>65</v>
      </c>
      <c r="Q1864" s="2" t="s">
        <v>15638</v>
      </c>
      <c r="R1864" s="3" t="s">
        <v>66</v>
      </c>
      <c r="S1864" s="4">
        <v>19</v>
      </c>
      <c r="T1864" s="4">
        <v>19</v>
      </c>
      <c r="U1864" s="5" t="s">
        <v>17920</v>
      </c>
      <c r="V1864" s="5" t="s">
        <v>17920</v>
      </c>
      <c r="W1864" s="5" t="s">
        <v>67</v>
      </c>
      <c r="X1864" s="5" t="s">
        <v>67</v>
      </c>
      <c r="Y1864" s="4">
        <v>322</v>
      </c>
      <c r="Z1864" s="4">
        <v>18</v>
      </c>
      <c r="AA1864" s="4">
        <v>21</v>
      </c>
      <c r="AB1864" s="4">
        <v>3</v>
      </c>
      <c r="AC1864" s="4">
        <v>6</v>
      </c>
      <c r="AD1864" s="4">
        <v>88</v>
      </c>
      <c r="AE1864" s="4">
        <v>92</v>
      </c>
      <c r="AF1864" s="4">
        <v>1</v>
      </c>
      <c r="AG1864" s="4">
        <v>4</v>
      </c>
      <c r="AH1864" s="4">
        <v>79</v>
      </c>
      <c r="AI1864" s="4">
        <v>81</v>
      </c>
      <c r="AJ1864" s="4">
        <v>12</v>
      </c>
      <c r="AK1864" s="4">
        <v>15</v>
      </c>
      <c r="AL1864" s="4">
        <v>50</v>
      </c>
      <c r="AM1864" s="4">
        <v>51</v>
      </c>
      <c r="AN1864" s="4">
        <v>0</v>
      </c>
      <c r="AO1864" s="4">
        <v>0</v>
      </c>
      <c r="AP1864" s="4">
        <v>13</v>
      </c>
      <c r="AQ1864" s="4">
        <v>15</v>
      </c>
      <c r="AR1864" s="3" t="s">
        <v>62</v>
      </c>
      <c r="AS1864" s="3" t="s">
        <v>62</v>
      </c>
      <c r="AT1864" s="3" t="s">
        <v>61</v>
      </c>
      <c r="AU1864" s="6" t="str">
        <f>HYPERLINK("http://catalog.hathitrust.org/Record/002452016","HathiTrust Record")</f>
        <v>HathiTrust Record</v>
      </c>
      <c r="AV1864" s="6" t="str">
        <f>HYPERLINK("http://mcgill.on.worldcat.org/oclc/22510686","Catalog Record")</f>
        <v>Catalog Record</v>
      </c>
      <c r="AW1864" s="6" t="str">
        <f>HYPERLINK("http://www.worldcat.org/oclc/22510686","WorldCat Record")</f>
        <v>WorldCat Record</v>
      </c>
      <c r="AX1864" s="3" t="s">
        <v>18004</v>
      </c>
      <c r="AY1864" s="3" t="s">
        <v>18005</v>
      </c>
      <c r="AZ1864" s="3" t="s">
        <v>18006</v>
      </c>
      <c r="BA1864" s="3" t="s">
        <v>18006</v>
      </c>
      <c r="BB1864" s="3" t="s">
        <v>18007</v>
      </c>
      <c r="BC1864" s="3" t="s">
        <v>142</v>
      </c>
      <c r="BD1864" s="3" t="s">
        <v>68</v>
      </c>
      <c r="BE1864" s="3" t="s">
        <v>18008</v>
      </c>
      <c r="BF1864" s="3" t="s">
        <v>18007</v>
      </c>
      <c r="BG1864" s="3" t="s">
        <v>18009</v>
      </c>
    </row>
    <row r="1865" spans="1:59" ht="57" x14ac:dyDescent="0.45">
      <c r="A1865" s="2" t="s">
        <v>59</v>
      </c>
      <c r="B1865" s="2" t="s">
        <v>60</v>
      </c>
      <c r="C1865" s="2" t="s">
        <v>18010</v>
      </c>
      <c r="D1865" s="2" t="s">
        <v>18011</v>
      </c>
      <c r="E1865" s="2" t="s">
        <v>18012</v>
      </c>
      <c r="G1865" s="3" t="s">
        <v>62</v>
      </c>
      <c r="I1865" s="3" t="s">
        <v>62</v>
      </c>
      <c r="J1865" s="3" t="s">
        <v>62</v>
      </c>
      <c r="K1865" s="3" t="s">
        <v>63</v>
      </c>
      <c r="L1865" s="2" t="s">
        <v>18013</v>
      </c>
      <c r="M1865" s="2" t="s">
        <v>11718</v>
      </c>
      <c r="N1865" s="3" t="s">
        <v>1212</v>
      </c>
      <c r="P1865" s="3" t="s">
        <v>65</v>
      </c>
      <c r="Q1865" s="2" t="s">
        <v>13627</v>
      </c>
      <c r="R1865" s="3" t="s">
        <v>66</v>
      </c>
      <c r="S1865" s="4">
        <v>36</v>
      </c>
      <c r="T1865" s="4">
        <v>36</v>
      </c>
      <c r="U1865" s="5" t="s">
        <v>18014</v>
      </c>
      <c r="V1865" s="5" t="s">
        <v>18014</v>
      </c>
      <c r="W1865" s="5" t="s">
        <v>67</v>
      </c>
      <c r="X1865" s="5" t="s">
        <v>67</v>
      </c>
      <c r="Y1865" s="4">
        <v>270</v>
      </c>
      <c r="Z1865" s="4">
        <v>17</v>
      </c>
      <c r="AA1865" s="4">
        <v>110</v>
      </c>
      <c r="AB1865" s="4">
        <v>2</v>
      </c>
      <c r="AC1865" s="4">
        <v>18</v>
      </c>
      <c r="AD1865" s="4">
        <v>83</v>
      </c>
      <c r="AE1865" s="4">
        <v>139</v>
      </c>
      <c r="AF1865" s="4">
        <v>1</v>
      </c>
      <c r="AG1865" s="4">
        <v>8</v>
      </c>
      <c r="AH1865" s="4">
        <v>75</v>
      </c>
      <c r="AI1865" s="4">
        <v>100</v>
      </c>
      <c r="AJ1865" s="4">
        <v>13</v>
      </c>
      <c r="AK1865" s="4">
        <v>24</v>
      </c>
      <c r="AL1865" s="4">
        <v>44</v>
      </c>
      <c r="AM1865" s="4">
        <v>53</v>
      </c>
      <c r="AN1865" s="4">
        <v>0</v>
      </c>
      <c r="AO1865" s="4">
        <v>0</v>
      </c>
      <c r="AP1865" s="4">
        <v>13</v>
      </c>
      <c r="AQ1865" s="4">
        <v>47</v>
      </c>
      <c r="AR1865" s="3" t="s">
        <v>62</v>
      </c>
      <c r="AS1865" s="3" t="s">
        <v>62</v>
      </c>
      <c r="AT1865" s="3" t="s">
        <v>62</v>
      </c>
      <c r="AV1865" s="6" t="str">
        <f>HYPERLINK("http://mcgill.on.worldcat.org/oclc/42912000","Catalog Record")</f>
        <v>Catalog Record</v>
      </c>
      <c r="AW1865" s="6" t="str">
        <f>HYPERLINK("http://www.worldcat.org/oclc/42912000","WorldCat Record")</f>
        <v>WorldCat Record</v>
      </c>
      <c r="AX1865" s="3" t="s">
        <v>18015</v>
      </c>
      <c r="AY1865" s="3" t="s">
        <v>18016</v>
      </c>
      <c r="AZ1865" s="3" t="s">
        <v>18017</v>
      </c>
      <c r="BA1865" s="3" t="s">
        <v>18017</v>
      </c>
      <c r="BB1865" s="3" t="s">
        <v>18018</v>
      </c>
      <c r="BC1865" s="3" t="s">
        <v>142</v>
      </c>
      <c r="BD1865" s="3" t="s">
        <v>68</v>
      </c>
      <c r="BE1865" s="3" t="s">
        <v>18019</v>
      </c>
      <c r="BF1865" s="3" t="s">
        <v>18018</v>
      </c>
      <c r="BG1865" s="3" t="s">
        <v>18020</v>
      </c>
    </row>
    <row r="1866" spans="1:59" ht="57" x14ac:dyDescent="0.45">
      <c r="A1866" s="2" t="s">
        <v>59</v>
      </c>
      <c r="B1866" s="2" t="s">
        <v>60</v>
      </c>
      <c r="C1866" s="2" t="s">
        <v>18021</v>
      </c>
      <c r="D1866" s="2" t="s">
        <v>18022</v>
      </c>
      <c r="E1866" s="2" t="s">
        <v>18023</v>
      </c>
      <c r="G1866" s="3" t="s">
        <v>62</v>
      </c>
      <c r="I1866" s="3" t="s">
        <v>61</v>
      </c>
      <c r="J1866" s="3" t="s">
        <v>62</v>
      </c>
      <c r="K1866" s="3" t="s">
        <v>63</v>
      </c>
      <c r="M1866" s="2" t="s">
        <v>18024</v>
      </c>
      <c r="N1866" s="3" t="s">
        <v>1059</v>
      </c>
      <c r="P1866" s="3" t="s">
        <v>65</v>
      </c>
      <c r="Q1866" s="2" t="s">
        <v>17318</v>
      </c>
      <c r="R1866" s="3" t="s">
        <v>66</v>
      </c>
      <c r="S1866" s="4">
        <v>3</v>
      </c>
      <c r="T1866" s="4">
        <v>13</v>
      </c>
      <c r="U1866" s="5" t="s">
        <v>18025</v>
      </c>
      <c r="V1866" s="5" t="s">
        <v>18025</v>
      </c>
      <c r="W1866" s="5" t="s">
        <v>67</v>
      </c>
      <c r="X1866" s="5" t="s">
        <v>67</v>
      </c>
      <c r="Y1866" s="4">
        <v>217</v>
      </c>
      <c r="Z1866" s="4">
        <v>26</v>
      </c>
      <c r="AA1866" s="4">
        <v>28</v>
      </c>
      <c r="AB1866" s="4">
        <v>1</v>
      </c>
      <c r="AC1866" s="4">
        <v>2</v>
      </c>
      <c r="AD1866" s="4">
        <v>71</v>
      </c>
      <c r="AE1866" s="4">
        <v>72</v>
      </c>
      <c r="AF1866" s="4">
        <v>0</v>
      </c>
      <c r="AG1866" s="4">
        <v>1</v>
      </c>
      <c r="AH1866" s="4">
        <v>60</v>
      </c>
      <c r="AI1866" s="4">
        <v>61</v>
      </c>
      <c r="AJ1866" s="4">
        <v>16</v>
      </c>
      <c r="AK1866" s="4">
        <v>17</v>
      </c>
      <c r="AL1866" s="4">
        <v>35</v>
      </c>
      <c r="AM1866" s="4">
        <v>35</v>
      </c>
      <c r="AN1866" s="4">
        <v>0</v>
      </c>
      <c r="AO1866" s="4">
        <v>0</v>
      </c>
      <c r="AP1866" s="4">
        <v>20</v>
      </c>
      <c r="AQ1866" s="4">
        <v>21</v>
      </c>
      <c r="AR1866" s="3" t="s">
        <v>62</v>
      </c>
      <c r="AS1866" s="3" t="s">
        <v>62</v>
      </c>
      <c r="AT1866" s="3" t="s">
        <v>61</v>
      </c>
      <c r="AU1866" s="6" t="str">
        <f>HYPERLINK("http://catalog.hathitrust.org/Record/007146945","HathiTrust Record")</f>
        <v>HathiTrust Record</v>
      </c>
      <c r="AV1866" s="6" t="str">
        <f>HYPERLINK("http://mcgill.on.worldcat.org/oclc/61756725","Catalog Record")</f>
        <v>Catalog Record</v>
      </c>
      <c r="AW1866" s="6" t="str">
        <f>HYPERLINK("http://www.worldcat.org/oclc/61756725","WorldCat Record")</f>
        <v>WorldCat Record</v>
      </c>
      <c r="AX1866" s="3" t="s">
        <v>18026</v>
      </c>
      <c r="AY1866" s="3" t="s">
        <v>18027</v>
      </c>
      <c r="AZ1866" s="3" t="s">
        <v>18028</v>
      </c>
      <c r="BA1866" s="3" t="s">
        <v>18028</v>
      </c>
      <c r="BB1866" s="3" t="s">
        <v>18029</v>
      </c>
      <c r="BC1866" s="3" t="s">
        <v>142</v>
      </c>
      <c r="BD1866" s="3" t="s">
        <v>68</v>
      </c>
      <c r="BE1866" s="3" t="s">
        <v>18030</v>
      </c>
      <c r="BF1866" s="3" t="s">
        <v>18029</v>
      </c>
      <c r="BG1866" s="3" t="s">
        <v>18031</v>
      </c>
    </row>
    <row r="1867" spans="1:59" ht="57" x14ac:dyDescent="0.45">
      <c r="A1867" s="2" t="s">
        <v>59</v>
      </c>
      <c r="B1867" s="2" t="s">
        <v>60</v>
      </c>
      <c r="C1867" s="2" t="s">
        <v>18021</v>
      </c>
      <c r="D1867" s="2" t="s">
        <v>18022</v>
      </c>
      <c r="E1867" s="2" t="s">
        <v>18023</v>
      </c>
      <c r="G1867" s="3" t="s">
        <v>62</v>
      </c>
      <c r="I1867" s="3" t="s">
        <v>61</v>
      </c>
      <c r="J1867" s="3" t="s">
        <v>62</v>
      </c>
      <c r="K1867" s="3" t="s">
        <v>63</v>
      </c>
      <c r="M1867" s="2" t="s">
        <v>18024</v>
      </c>
      <c r="N1867" s="3" t="s">
        <v>1059</v>
      </c>
      <c r="P1867" s="3" t="s">
        <v>65</v>
      </c>
      <c r="Q1867" s="2" t="s">
        <v>17318</v>
      </c>
      <c r="R1867" s="3" t="s">
        <v>66</v>
      </c>
      <c r="S1867" s="4">
        <v>10</v>
      </c>
      <c r="T1867" s="4">
        <v>13</v>
      </c>
      <c r="U1867" s="5" t="s">
        <v>18032</v>
      </c>
      <c r="V1867" s="5" t="s">
        <v>18025</v>
      </c>
      <c r="W1867" s="5" t="s">
        <v>67</v>
      </c>
      <c r="X1867" s="5" t="s">
        <v>67</v>
      </c>
      <c r="Y1867" s="4">
        <v>217</v>
      </c>
      <c r="Z1867" s="4">
        <v>26</v>
      </c>
      <c r="AA1867" s="4">
        <v>28</v>
      </c>
      <c r="AB1867" s="4">
        <v>1</v>
      </c>
      <c r="AC1867" s="4">
        <v>2</v>
      </c>
      <c r="AD1867" s="4">
        <v>71</v>
      </c>
      <c r="AE1867" s="4">
        <v>72</v>
      </c>
      <c r="AF1867" s="4">
        <v>0</v>
      </c>
      <c r="AG1867" s="4">
        <v>1</v>
      </c>
      <c r="AH1867" s="4">
        <v>60</v>
      </c>
      <c r="AI1867" s="4">
        <v>61</v>
      </c>
      <c r="AJ1867" s="4">
        <v>16</v>
      </c>
      <c r="AK1867" s="4">
        <v>17</v>
      </c>
      <c r="AL1867" s="4">
        <v>35</v>
      </c>
      <c r="AM1867" s="4">
        <v>35</v>
      </c>
      <c r="AN1867" s="4">
        <v>0</v>
      </c>
      <c r="AO1867" s="4">
        <v>0</v>
      </c>
      <c r="AP1867" s="4">
        <v>20</v>
      </c>
      <c r="AQ1867" s="4">
        <v>21</v>
      </c>
      <c r="AR1867" s="3" t="s">
        <v>62</v>
      </c>
      <c r="AS1867" s="3" t="s">
        <v>62</v>
      </c>
      <c r="AT1867" s="3" t="s">
        <v>61</v>
      </c>
      <c r="AU1867" s="6" t="str">
        <f>HYPERLINK("http://catalog.hathitrust.org/Record/007146945","HathiTrust Record")</f>
        <v>HathiTrust Record</v>
      </c>
      <c r="AV1867" s="6" t="str">
        <f>HYPERLINK("http://mcgill.on.worldcat.org/oclc/61756725","Catalog Record")</f>
        <v>Catalog Record</v>
      </c>
      <c r="AW1867" s="6" t="str">
        <f>HYPERLINK("http://www.worldcat.org/oclc/61756725","WorldCat Record")</f>
        <v>WorldCat Record</v>
      </c>
      <c r="AX1867" s="3" t="s">
        <v>18026</v>
      </c>
      <c r="AY1867" s="3" t="s">
        <v>18027</v>
      </c>
      <c r="AZ1867" s="3" t="s">
        <v>18028</v>
      </c>
      <c r="BA1867" s="3" t="s">
        <v>18028</v>
      </c>
      <c r="BB1867" s="3" t="s">
        <v>18033</v>
      </c>
      <c r="BC1867" s="3" t="s">
        <v>142</v>
      </c>
      <c r="BD1867" s="3" t="s">
        <v>68</v>
      </c>
      <c r="BE1867" s="3" t="s">
        <v>18030</v>
      </c>
      <c r="BF1867" s="3" t="s">
        <v>18033</v>
      </c>
      <c r="BG1867" s="3" t="s">
        <v>18034</v>
      </c>
    </row>
    <row r="1868" spans="1:59" ht="57" x14ac:dyDescent="0.45">
      <c r="A1868" s="2" t="s">
        <v>59</v>
      </c>
      <c r="B1868" s="2" t="s">
        <v>60</v>
      </c>
      <c r="C1868" s="2" t="s">
        <v>18035</v>
      </c>
      <c r="D1868" s="2" t="s">
        <v>18036</v>
      </c>
      <c r="E1868" s="2" t="s">
        <v>18037</v>
      </c>
      <c r="G1868" s="3" t="s">
        <v>62</v>
      </c>
      <c r="I1868" s="3" t="s">
        <v>62</v>
      </c>
      <c r="J1868" s="3" t="s">
        <v>62</v>
      </c>
      <c r="K1868" s="3" t="s">
        <v>63</v>
      </c>
      <c r="M1868" s="2" t="s">
        <v>18038</v>
      </c>
      <c r="N1868" s="3" t="s">
        <v>181</v>
      </c>
      <c r="P1868" s="3" t="s">
        <v>65</v>
      </c>
      <c r="R1868" s="3" t="s">
        <v>66</v>
      </c>
      <c r="S1868" s="4">
        <v>1</v>
      </c>
      <c r="T1868" s="4">
        <v>1</v>
      </c>
      <c r="U1868" s="5" t="s">
        <v>18039</v>
      </c>
      <c r="V1868" s="5" t="s">
        <v>18039</v>
      </c>
      <c r="W1868" s="5" t="s">
        <v>67</v>
      </c>
      <c r="X1868" s="5" t="s">
        <v>67</v>
      </c>
      <c r="Y1868" s="4">
        <v>154</v>
      </c>
      <c r="Z1868" s="4">
        <v>5</v>
      </c>
      <c r="AA1868" s="4">
        <v>70</v>
      </c>
      <c r="AB1868" s="4">
        <v>1</v>
      </c>
      <c r="AC1868" s="4">
        <v>14</v>
      </c>
      <c r="AD1868" s="4">
        <v>30</v>
      </c>
      <c r="AE1868" s="4">
        <v>97</v>
      </c>
      <c r="AF1868" s="4">
        <v>0</v>
      </c>
      <c r="AG1868" s="4">
        <v>8</v>
      </c>
      <c r="AH1868" s="4">
        <v>28</v>
      </c>
      <c r="AI1868" s="4">
        <v>68</v>
      </c>
      <c r="AJ1868" s="4">
        <v>3</v>
      </c>
      <c r="AK1868" s="4">
        <v>19</v>
      </c>
      <c r="AL1868" s="4">
        <v>18</v>
      </c>
      <c r="AM1868" s="4">
        <v>38</v>
      </c>
      <c r="AN1868" s="4">
        <v>0</v>
      </c>
      <c r="AO1868" s="4">
        <v>0</v>
      </c>
      <c r="AP1868" s="4">
        <v>3</v>
      </c>
      <c r="AQ1868" s="4">
        <v>36</v>
      </c>
      <c r="AR1868" s="3" t="s">
        <v>62</v>
      </c>
      <c r="AS1868" s="3" t="s">
        <v>62</v>
      </c>
      <c r="AT1868" s="3" t="s">
        <v>62</v>
      </c>
      <c r="AV1868" s="6" t="str">
        <f>HYPERLINK("http://mcgill.on.worldcat.org/oclc/910702581","Catalog Record")</f>
        <v>Catalog Record</v>
      </c>
      <c r="AW1868" s="6" t="str">
        <f>HYPERLINK("http://www.worldcat.org/oclc/910702581","WorldCat Record")</f>
        <v>WorldCat Record</v>
      </c>
      <c r="AX1868" s="3" t="s">
        <v>18040</v>
      </c>
      <c r="AY1868" s="3" t="s">
        <v>18041</v>
      </c>
      <c r="AZ1868" s="3" t="s">
        <v>18042</v>
      </c>
      <c r="BA1868" s="3" t="s">
        <v>18042</v>
      </c>
      <c r="BB1868" s="3" t="s">
        <v>18043</v>
      </c>
      <c r="BC1868" s="3" t="s">
        <v>142</v>
      </c>
      <c r="BD1868" s="3" t="s">
        <v>68</v>
      </c>
      <c r="BE1868" s="3" t="s">
        <v>18044</v>
      </c>
      <c r="BF1868" s="3" t="s">
        <v>18043</v>
      </c>
      <c r="BG1868" s="3" t="s">
        <v>18045</v>
      </c>
    </row>
    <row r="1869" spans="1:59" ht="71.25" x14ac:dyDescent="0.45">
      <c r="A1869" s="2" t="s">
        <v>59</v>
      </c>
      <c r="B1869" s="2" t="s">
        <v>60</v>
      </c>
      <c r="C1869" s="2" t="s">
        <v>18046</v>
      </c>
      <c r="D1869" s="2" t="s">
        <v>18047</v>
      </c>
      <c r="E1869" s="2" t="s">
        <v>18048</v>
      </c>
      <c r="G1869" s="3" t="s">
        <v>62</v>
      </c>
      <c r="I1869" s="3" t="s">
        <v>62</v>
      </c>
      <c r="J1869" s="3" t="s">
        <v>62</v>
      </c>
      <c r="K1869" s="3" t="s">
        <v>63</v>
      </c>
      <c r="M1869" s="2" t="s">
        <v>18049</v>
      </c>
      <c r="N1869" s="3" t="s">
        <v>1918</v>
      </c>
      <c r="P1869" s="3" t="s">
        <v>65</v>
      </c>
      <c r="Q1869" s="2" t="s">
        <v>18050</v>
      </c>
      <c r="R1869" s="3" t="s">
        <v>66</v>
      </c>
      <c r="S1869" s="4">
        <v>0</v>
      </c>
      <c r="T1869" s="4">
        <v>0</v>
      </c>
      <c r="W1869" s="5" t="s">
        <v>67</v>
      </c>
      <c r="X1869" s="5" t="s">
        <v>67</v>
      </c>
      <c r="Y1869" s="4">
        <v>71</v>
      </c>
      <c r="Z1869" s="4">
        <v>13</v>
      </c>
      <c r="AA1869" s="4">
        <v>73</v>
      </c>
      <c r="AB1869" s="4">
        <v>3</v>
      </c>
      <c r="AC1869" s="4">
        <v>16</v>
      </c>
      <c r="AD1869" s="4">
        <v>34</v>
      </c>
      <c r="AE1869" s="4">
        <v>98</v>
      </c>
      <c r="AF1869" s="4">
        <v>1</v>
      </c>
      <c r="AG1869" s="4">
        <v>8</v>
      </c>
      <c r="AH1869" s="4">
        <v>26</v>
      </c>
      <c r="AI1869" s="4">
        <v>64</v>
      </c>
      <c r="AJ1869" s="4">
        <v>6</v>
      </c>
      <c r="AK1869" s="4">
        <v>19</v>
      </c>
      <c r="AL1869" s="4">
        <v>20</v>
      </c>
      <c r="AM1869" s="4">
        <v>35</v>
      </c>
      <c r="AN1869" s="4">
        <v>0</v>
      </c>
      <c r="AO1869" s="4">
        <v>0</v>
      </c>
      <c r="AP1869" s="4">
        <v>7</v>
      </c>
      <c r="AQ1869" s="4">
        <v>39</v>
      </c>
      <c r="AR1869" s="3" t="s">
        <v>61</v>
      </c>
      <c r="AS1869" s="3" t="s">
        <v>62</v>
      </c>
      <c r="AT1869" s="3" t="s">
        <v>62</v>
      </c>
      <c r="AV1869" s="6" t="str">
        <f>HYPERLINK("http://mcgill.on.worldcat.org/oclc/950450591","Catalog Record")</f>
        <v>Catalog Record</v>
      </c>
      <c r="AW1869" s="6" t="str">
        <f>HYPERLINK("http://www.worldcat.org/oclc/950450591","WorldCat Record")</f>
        <v>WorldCat Record</v>
      </c>
      <c r="AX1869" s="3" t="s">
        <v>18051</v>
      </c>
      <c r="AY1869" s="3" t="s">
        <v>18052</v>
      </c>
      <c r="AZ1869" s="3" t="s">
        <v>18053</v>
      </c>
      <c r="BA1869" s="3" t="s">
        <v>18053</v>
      </c>
      <c r="BB1869" s="3" t="s">
        <v>18054</v>
      </c>
      <c r="BC1869" s="3" t="s">
        <v>142</v>
      </c>
      <c r="BD1869" s="3" t="s">
        <v>68</v>
      </c>
      <c r="BE1869" s="3" t="s">
        <v>18055</v>
      </c>
      <c r="BF1869" s="3" t="s">
        <v>18054</v>
      </c>
      <c r="BG1869" s="3" t="s">
        <v>18056</v>
      </c>
    </row>
    <row r="1870" spans="1:59" ht="57" x14ac:dyDescent="0.45">
      <c r="A1870" s="2" t="s">
        <v>59</v>
      </c>
      <c r="B1870" s="2" t="s">
        <v>60</v>
      </c>
      <c r="C1870" s="2" t="s">
        <v>18057</v>
      </c>
      <c r="D1870" s="2" t="s">
        <v>18058</v>
      </c>
      <c r="E1870" s="2" t="s">
        <v>18059</v>
      </c>
      <c r="G1870" s="3" t="s">
        <v>62</v>
      </c>
      <c r="I1870" s="3" t="s">
        <v>62</v>
      </c>
      <c r="J1870" s="3" t="s">
        <v>62</v>
      </c>
      <c r="K1870" s="3" t="s">
        <v>63</v>
      </c>
      <c r="L1870" s="2" t="s">
        <v>18060</v>
      </c>
      <c r="M1870" s="2" t="s">
        <v>18061</v>
      </c>
      <c r="N1870" s="3" t="s">
        <v>1918</v>
      </c>
      <c r="P1870" s="3" t="s">
        <v>65</v>
      </c>
      <c r="R1870" s="3" t="s">
        <v>66</v>
      </c>
      <c r="S1870" s="4">
        <v>0</v>
      </c>
      <c r="T1870" s="4">
        <v>0</v>
      </c>
      <c r="W1870" s="5" t="s">
        <v>67</v>
      </c>
      <c r="X1870" s="5" t="s">
        <v>67</v>
      </c>
      <c r="Y1870" s="4">
        <v>52</v>
      </c>
      <c r="Z1870" s="4">
        <v>7</v>
      </c>
      <c r="AA1870" s="4">
        <v>11</v>
      </c>
      <c r="AB1870" s="4">
        <v>3</v>
      </c>
      <c r="AC1870" s="4">
        <v>6</v>
      </c>
      <c r="AD1870" s="4">
        <v>8</v>
      </c>
      <c r="AE1870" s="4">
        <v>11</v>
      </c>
      <c r="AF1870" s="4">
        <v>1</v>
      </c>
      <c r="AG1870" s="4">
        <v>1</v>
      </c>
      <c r="AH1870" s="4">
        <v>6</v>
      </c>
      <c r="AI1870" s="4">
        <v>9</v>
      </c>
      <c r="AJ1870" s="4">
        <v>2</v>
      </c>
      <c r="AK1870" s="4">
        <v>2</v>
      </c>
      <c r="AL1870" s="4">
        <v>4</v>
      </c>
      <c r="AM1870" s="4">
        <v>6</v>
      </c>
      <c r="AN1870" s="4">
        <v>0</v>
      </c>
      <c r="AO1870" s="4">
        <v>0</v>
      </c>
      <c r="AP1870" s="4">
        <v>3</v>
      </c>
      <c r="AQ1870" s="4">
        <v>3</v>
      </c>
      <c r="AR1870" s="3" t="s">
        <v>62</v>
      </c>
      <c r="AS1870" s="3" t="s">
        <v>62</v>
      </c>
      <c r="AT1870" s="3" t="s">
        <v>62</v>
      </c>
      <c r="AV1870" s="6" t="str">
        <f>HYPERLINK("http://mcgill.on.worldcat.org/oclc/946579795","Catalog Record")</f>
        <v>Catalog Record</v>
      </c>
      <c r="AW1870" s="6" t="str">
        <f>HYPERLINK("http://www.worldcat.org/oclc/946579795","WorldCat Record")</f>
        <v>WorldCat Record</v>
      </c>
      <c r="AX1870" s="3" t="s">
        <v>18062</v>
      </c>
      <c r="AY1870" s="3" t="s">
        <v>18063</v>
      </c>
      <c r="AZ1870" s="3" t="s">
        <v>18064</v>
      </c>
      <c r="BA1870" s="3" t="s">
        <v>18064</v>
      </c>
      <c r="BB1870" s="3" t="s">
        <v>18065</v>
      </c>
      <c r="BC1870" s="3" t="s">
        <v>142</v>
      </c>
      <c r="BD1870" s="3" t="s">
        <v>68</v>
      </c>
      <c r="BE1870" s="3" t="s">
        <v>18066</v>
      </c>
      <c r="BF1870" s="3" t="s">
        <v>18065</v>
      </c>
      <c r="BG1870" s="3" t="s">
        <v>18067</v>
      </c>
    </row>
    <row r="1871" spans="1:59" ht="57" x14ac:dyDescent="0.45">
      <c r="A1871" s="2" t="s">
        <v>59</v>
      </c>
      <c r="B1871" s="2" t="s">
        <v>60</v>
      </c>
      <c r="C1871" s="2" t="s">
        <v>18068</v>
      </c>
      <c r="D1871" s="2" t="s">
        <v>18069</v>
      </c>
      <c r="E1871" s="2" t="s">
        <v>18070</v>
      </c>
      <c r="G1871" s="3" t="s">
        <v>62</v>
      </c>
      <c r="I1871" s="3" t="s">
        <v>62</v>
      </c>
      <c r="J1871" s="3" t="s">
        <v>62</v>
      </c>
      <c r="K1871" s="3" t="s">
        <v>63</v>
      </c>
      <c r="M1871" s="2" t="s">
        <v>18071</v>
      </c>
      <c r="N1871" s="3" t="s">
        <v>149</v>
      </c>
      <c r="P1871" s="3" t="s">
        <v>65</v>
      </c>
      <c r="R1871" s="3" t="s">
        <v>66</v>
      </c>
      <c r="S1871" s="4">
        <v>2</v>
      </c>
      <c r="T1871" s="4">
        <v>2</v>
      </c>
      <c r="U1871" s="5" t="s">
        <v>18072</v>
      </c>
      <c r="V1871" s="5" t="s">
        <v>18072</v>
      </c>
      <c r="W1871" s="5" t="s">
        <v>67</v>
      </c>
      <c r="X1871" s="5" t="s">
        <v>67</v>
      </c>
      <c r="Y1871" s="4">
        <v>434</v>
      </c>
      <c r="Z1871" s="4">
        <v>31</v>
      </c>
      <c r="AA1871" s="4">
        <v>31</v>
      </c>
      <c r="AB1871" s="4">
        <v>2</v>
      </c>
      <c r="AC1871" s="4">
        <v>2</v>
      </c>
      <c r="AD1871" s="4">
        <v>85</v>
      </c>
      <c r="AE1871" s="4">
        <v>85</v>
      </c>
      <c r="AF1871" s="4">
        <v>1</v>
      </c>
      <c r="AG1871" s="4">
        <v>1</v>
      </c>
      <c r="AH1871" s="4">
        <v>72</v>
      </c>
      <c r="AI1871" s="4">
        <v>72</v>
      </c>
      <c r="AJ1871" s="4">
        <v>16</v>
      </c>
      <c r="AK1871" s="4">
        <v>16</v>
      </c>
      <c r="AL1871" s="4">
        <v>45</v>
      </c>
      <c r="AM1871" s="4">
        <v>45</v>
      </c>
      <c r="AN1871" s="4">
        <v>0</v>
      </c>
      <c r="AO1871" s="4">
        <v>0</v>
      </c>
      <c r="AP1871" s="4">
        <v>21</v>
      </c>
      <c r="AQ1871" s="4">
        <v>21</v>
      </c>
      <c r="AR1871" s="3" t="s">
        <v>62</v>
      </c>
      <c r="AS1871" s="3" t="s">
        <v>62</v>
      </c>
      <c r="AT1871" s="3" t="s">
        <v>62</v>
      </c>
      <c r="AV1871" s="6" t="str">
        <f>HYPERLINK("http://mcgill.on.worldcat.org/oclc/432995245","Catalog Record")</f>
        <v>Catalog Record</v>
      </c>
      <c r="AW1871" s="6" t="str">
        <f>HYPERLINK("http://www.worldcat.org/oclc/432995245","WorldCat Record")</f>
        <v>WorldCat Record</v>
      </c>
      <c r="AX1871" s="3" t="s">
        <v>18073</v>
      </c>
      <c r="AY1871" s="3" t="s">
        <v>18074</v>
      </c>
      <c r="AZ1871" s="3" t="s">
        <v>18075</v>
      </c>
      <c r="BA1871" s="3" t="s">
        <v>18075</v>
      </c>
      <c r="BB1871" s="3" t="s">
        <v>18076</v>
      </c>
      <c r="BC1871" s="3" t="s">
        <v>142</v>
      </c>
      <c r="BD1871" s="3" t="s">
        <v>68</v>
      </c>
      <c r="BE1871" s="3" t="s">
        <v>18077</v>
      </c>
      <c r="BF1871" s="3" t="s">
        <v>18076</v>
      </c>
      <c r="BG1871" s="3" t="s">
        <v>18078</v>
      </c>
    </row>
    <row r="1872" spans="1:59" ht="57" x14ac:dyDescent="0.45">
      <c r="A1872" s="2" t="s">
        <v>59</v>
      </c>
      <c r="B1872" s="2" t="s">
        <v>60</v>
      </c>
      <c r="C1872" s="2" t="s">
        <v>18079</v>
      </c>
      <c r="D1872" s="2" t="s">
        <v>18080</v>
      </c>
      <c r="E1872" s="2" t="s">
        <v>18081</v>
      </c>
      <c r="G1872" s="3" t="s">
        <v>62</v>
      </c>
      <c r="I1872" s="3" t="s">
        <v>62</v>
      </c>
      <c r="J1872" s="3" t="s">
        <v>62</v>
      </c>
      <c r="K1872" s="3" t="s">
        <v>63</v>
      </c>
      <c r="M1872" s="2" t="s">
        <v>14468</v>
      </c>
      <c r="N1872" s="3" t="s">
        <v>149</v>
      </c>
      <c r="P1872" s="3" t="s">
        <v>65</v>
      </c>
      <c r="Q1872" s="2" t="s">
        <v>18082</v>
      </c>
      <c r="R1872" s="3" t="s">
        <v>66</v>
      </c>
      <c r="S1872" s="4">
        <v>3</v>
      </c>
      <c r="T1872" s="4">
        <v>3</v>
      </c>
      <c r="U1872" s="5" t="s">
        <v>18083</v>
      </c>
      <c r="V1872" s="5" t="s">
        <v>18083</v>
      </c>
      <c r="W1872" s="5" t="s">
        <v>67</v>
      </c>
      <c r="X1872" s="5" t="s">
        <v>67</v>
      </c>
      <c r="Y1872" s="4">
        <v>124</v>
      </c>
      <c r="Z1872" s="4">
        <v>17</v>
      </c>
      <c r="AA1872" s="4">
        <v>17</v>
      </c>
      <c r="AB1872" s="4">
        <v>2</v>
      </c>
      <c r="AC1872" s="4">
        <v>2</v>
      </c>
      <c r="AD1872" s="4">
        <v>58</v>
      </c>
      <c r="AE1872" s="4">
        <v>58</v>
      </c>
      <c r="AF1872" s="4">
        <v>1</v>
      </c>
      <c r="AG1872" s="4">
        <v>1</v>
      </c>
      <c r="AH1872" s="4">
        <v>51</v>
      </c>
      <c r="AI1872" s="4">
        <v>51</v>
      </c>
      <c r="AJ1872" s="4">
        <v>11</v>
      </c>
      <c r="AK1872" s="4">
        <v>11</v>
      </c>
      <c r="AL1872" s="4">
        <v>31</v>
      </c>
      <c r="AM1872" s="4">
        <v>31</v>
      </c>
      <c r="AN1872" s="4">
        <v>0</v>
      </c>
      <c r="AO1872" s="4">
        <v>0</v>
      </c>
      <c r="AP1872" s="4">
        <v>13</v>
      </c>
      <c r="AQ1872" s="4">
        <v>13</v>
      </c>
      <c r="AR1872" s="3" t="s">
        <v>62</v>
      </c>
      <c r="AS1872" s="3" t="s">
        <v>62</v>
      </c>
      <c r="AT1872" s="3" t="s">
        <v>62</v>
      </c>
      <c r="AV1872" s="6" t="str">
        <f>HYPERLINK("http://mcgill.on.worldcat.org/oclc/646811262","Catalog Record")</f>
        <v>Catalog Record</v>
      </c>
      <c r="AW1872" s="6" t="str">
        <f>HYPERLINK("http://www.worldcat.org/oclc/646811262","WorldCat Record")</f>
        <v>WorldCat Record</v>
      </c>
      <c r="AX1872" s="3" t="s">
        <v>18084</v>
      </c>
      <c r="AY1872" s="3" t="s">
        <v>18085</v>
      </c>
      <c r="AZ1872" s="3" t="s">
        <v>18086</v>
      </c>
      <c r="BA1872" s="3" t="s">
        <v>18086</v>
      </c>
      <c r="BB1872" s="3" t="s">
        <v>18087</v>
      </c>
      <c r="BC1872" s="3" t="s">
        <v>142</v>
      </c>
      <c r="BD1872" s="3" t="s">
        <v>68</v>
      </c>
      <c r="BE1872" s="3" t="s">
        <v>18088</v>
      </c>
      <c r="BF1872" s="3" t="s">
        <v>18087</v>
      </c>
      <c r="BG1872" s="3" t="s">
        <v>18089</v>
      </c>
    </row>
    <row r="1873" spans="1:59" ht="57" x14ac:dyDescent="0.45">
      <c r="A1873" s="2" t="s">
        <v>59</v>
      </c>
      <c r="B1873" s="2" t="s">
        <v>60</v>
      </c>
      <c r="C1873" s="2" t="s">
        <v>18090</v>
      </c>
      <c r="D1873" s="2" t="s">
        <v>18091</v>
      </c>
      <c r="E1873" s="2" t="s">
        <v>18092</v>
      </c>
      <c r="F1873" s="3" t="s">
        <v>17872</v>
      </c>
      <c r="G1873" s="3" t="s">
        <v>62</v>
      </c>
      <c r="I1873" s="3" t="s">
        <v>62</v>
      </c>
      <c r="J1873" s="3" t="s">
        <v>62</v>
      </c>
      <c r="K1873" s="3" t="s">
        <v>63</v>
      </c>
      <c r="L1873" s="2" t="s">
        <v>18093</v>
      </c>
      <c r="M1873" s="2" t="s">
        <v>11886</v>
      </c>
      <c r="N1873" s="3" t="s">
        <v>894</v>
      </c>
      <c r="P1873" s="3" t="s">
        <v>65</v>
      </c>
      <c r="Q1873" s="2" t="s">
        <v>18094</v>
      </c>
      <c r="R1873" s="3" t="s">
        <v>66</v>
      </c>
      <c r="S1873" s="4">
        <v>1</v>
      </c>
      <c r="T1873" s="4">
        <v>1</v>
      </c>
      <c r="U1873" s="5" t="s">
        <v>18095</v>
      </c>
      <c r="V1873" s="5" t="s">
        <v>18095</v>
      </c>
      <c r="W1873" s="5" t="s">
        <v>67</v>
      </c>
      <c r="X1873" s="5" t="s">
        <v>67</v>
      </c>
      <c r="Y1873" s="4">
        <v>125</v>
      </c>
      <c r="Z1873" s="4">
        <v>10</v>
      </c>
      <c r="AA1873" s="4">
        <v>47</v>
      </c>
      <c r="AB1873" s="4">
        <v>2</v>
      </c>
      <c r="AC1873" s="4">
        <v>8</v>
      </c>
      <c r="AD1873" s="4">
        <v>55</v>
      </c>
      <c r="AE1873" s="4">
        <v>91</v>
      </c>
      <c r="AF1873" s="4">
        <v>1</v>
      </c>
      <c r="AG1873" s="4">
        <v>2</v>
      </c>
      <c r="AH1873" s="4">
        <v>52</v>
      </c>
      <c r="AI1873" s="4">
        <v>77</v>
      </c>
      <c r="AJ1873" s="4">
        <v>7</v>
      </c>
      <c r="AK1873" s="4">
        <v>13</v>
      </c>
      <c r="AL1873" s="4">
        <v>36</v>
      </c>
      <c r="AM1873" s="4">
        <v>45</v>
      </c>
      <c r="AN1873" s="4">
        <v>0</v>
      </c>
      <c r="AO1873" s="4">
        <v>0</v>
      </c>
      <c r="AP1873" s="4">
        <v>7</v>
      </c>
      <c r="AQ1873" s="4">
        <v>22</v>
      </c>
      <c r="AR1873" s="3" t="s">
        <v>62</v>
      </c>
      <c r="AS1873" s="3" t="s">
        <v>62</v>
      </c>
      <c r="AT1873" s="3" t="s">
        <v>62</v>
      </c>
      <c r="AV1873" s="6" t="str">
        <f>HYPERLINK("http://mcgill.on.worldcat.org/oclc/670324812","Catalog Record")</f>
        <v>Catalog Record</v>
      </c>
      <c r="AW1873" s="6" t="str">
        <f>HYPERLINK("http://www.worldcat.org/oclc/670324812","WorldCat Record")</f>
        <v>WorldCat Record</v>
      </c>
      <c r="AX1873" s="3" t="s">
        <v>18096</v>
      </c>
      <c r="AY1873" s="3" t="s">
        <v>18097</v>
      </c>
      <c r="AZ1873" s="3" t="s">
        <v>18098</v>
      </c>
      <c r="BA1873" s="3" t="s">
        <v>18098</v>
      </c>
      <c r="BB1873" s="3" t="s">
        <v>18099</v>
      </c>
      <c r="BC1873" s="3" t="s">
        <v>142</v>
      </c>
      <c r="BD1873" s="3" t="s">
        <v>68</v>
      </c>
      <c r="BE1873" s="3" t="s">
        <v>18100</v>
      </c>
      <c r="BF1873" s="3" t="s">
        <v>18099</v>
      </c>
      <c r="BG1873" s="3" t="s">
        <v>18101</v>
      </c>
    </row>
    <row r="1874" spans="1:59" ht="57" x14ac:dyDescent="0.45">
      <c r="A1874" s="2" t="s">
        <v>59</v>
      </c>
      <c r="B1874" s="2" t="s">
        <v>60</v>
      </c>
      <c r="C1874" s="2" t="s">
        <v>18102</v>
      </c>
      <c r="D1874" s="2" t="s">
        <v>18103</v>
      </c>
      <c r="E1874" s="2" t="s">
        <v>18104</v>
      </c>
      <c r="G1874" s="3" t="s">
        <v>62</v>
      </c>
      <c r="I1874" s="3" t="s">
        <v>62</v>
      </c>
      <c r="J1874" s="3" t="s">
        <v>62</v>
      </c>
      <c r="K1874" s="3" t="s">
        <v>63</v>
      </c>
      <c r="M1874" s="2" t="s">
        <v>18105</v>
      </c>
      <c r="N1874" s="3" t="s">
        <v>1465</v>
      </c>
      <c r="P1874" s="3" t="s">
        <v>65</v>
      </c>
      <c r="R1874" s="3" t="s">
        <v>66</v>
      </c>
      <c r="S1874" s="4">
        <v>13</v>
      </c>
      <c r="T1874" s="4">
        <v>13</v>
      </c>
      <c r="U1874" s="5" t="s">
        <v>3137</v>
      </c>
      <c r="V1874" s="5" t="s">
        <v>3137</v>
      </c>
      <c r="W1874" s="5" t="s">
        <v>67</v>
      </c>
      <c r="X1874" s="5" t="s">
        <v>67</v>
      </c>
      <c r="Y1874" s="4">
        <v>319</v>
      </c>
      <c r="Z1874" s="4">
        <v>25</v>
      </c>
      <c r="AA1874" s="4">
        <v>34</v>
      </c>
      <c r="AB1874" s="4">
        <v>2</v>
      </c>
      <c r="AC1874" s="4">
        <v>7</v>
      </c>
      <c r="AD1874" s="4">
        <v>95</v>
      </c>
      <c r="AE1874" s="4">
        <v>102</v>
      </c>
      <c r="AF1874" s="4">
        <v>1</v>
      </c>
      <c r="AG1874" s="4">
        <v>3</v>
      </c>
      <c r="AH1874" s="4">
        <v>83</v>
      </c>
      <c r="AI1874" s="4">
        <v>86</v>
      </c>
      <c r="AJ1874" s="4">
        <v>15</v>
      </c>
      <c r="AK1874" s="4">
        <v>19</v>
      </c>
      <c r="AL1874" s="4">
        <v>46</v>
      </c>
      <c r="AM1874" s="4">
        <v>46</v>
      </c>
      <c r="AN1874" s="4">
        <v>0</v>
      </c>
      <c r="AO1874" s="4">
        <v>0</v>
      </c>
      <c r="AP1874" s="4">
        <v>20</v>
      </c>
      <c r="AQ1874" s="4">
        <v>26</v>
      </c>
      <c r="AR1874" s="3" t="s">
        <v>62</v>
      </c>
      <c r="AS1874" s="3" t="s">
        <v>62</v>
      </c>
      <c r="AT1874" s="3" t="s">
        <v>61</v>
      </c>
      <c r="AU1874" s="6" t="str">
        <f>HYPERLINK("http://catalog.hathitrust.org/Record/005963059","HathiTrust Record")</f>
        <v>HathiTrust Record</v>
      </c>
      <c r="AV1874" s="6" t="str">
        <f>HYPERLINK("http://mcgill.on.worldcat.org/oclc/182737281","Catalog Record")</f>
        <v>Catalog Record</v>
      </c>
      <c r="AW1874" s="6" t="str">
        <f>HYPERLINK("http://www.worldcat.org/oclc/182737281","WorldCat Record")</f>
        <v>WorldCat Record</v>
      </c>
      <c r="AX1874" s="3" t="s">
        <v>18106</v>
      </c>
      <c r="AY1874" s="3" t="s">
        <v>18107</v>
      </c>
      <c r="AZ1874" s="3" t="s">
        <v>18108</v>
      </c>
      <c r="BA1874" s="3" t="s">
        <v>18108</v>
      </c>
      <c r="BB1874" s="3" t="s">
        <v>18109</v>
      </c>
      <c r="BC1874" s="3" t="s">
        <v>142</v>
      </c>
      <c r="BD1874" s="3" t="s">
        <v>68</v>
      </c>
      <c r="BE1874" s="3" t="s">
        <v>18110</v>
      </c>
      <c r="BF1874" s="3" t="s">
        <v>18109</v>
      </c>
      <c r="BG1874" s="3" t="s">
        <v>18111</v>
      </c>
    </row>
    <row r="1875" spans="1:59" ht="57" x14ac:dyDescent="0.45">
      <c r="A1875" s="2" t="s">
        <v>59</v>
      </c>
      <c r="B1875" s="2" t="s">
        <v>60</v>
      </c>
      <c r="C1875" s="2" t="s">
        <v>18112</v>
      </c>
      <c r="D1875" s="2" t="s">
        <v>18113</v>
      </c>
      <c r="E1875" s="2" t="s">
        <v>18114</v>
      </c>
      <c r="G1875" s="3" t="s">
        <v>62</v>
      </c>
      <c r="I1875" s="3" t="s">
        <v>62</v>
      </c>
      <c r="J1875" s="3" t="s">
        <v>61</v>
      </c>
      <c r="K1875" s="3" t="s">
        <v>63</v>
      </c>
      <c r="L1875" s="2" t="s">
        <v>18115</v>
      </c>
      <c r="M1875" s="2" t="s">
        <v>16548</v>
      </c>
      <c r="N1875" s="3" t="s">
        <v>167</v>
      </c>
      <c r="O1875" s="2" t="s">
        <v>933</v>
      </c>
      <c r="P1875" s="3" t="s">
        <v>65</v>
      </c>
      <c r="R1875" s="3" t="s">
        <v>66</v>
      </c>
      <c r="S1875" s="4">
        <v>27</v>
      </c>
      <c r="T1875" s="4">
        <v>27</v>
      </c>
      <c r="U1875" s="5" t="s">
        <v>5076</v>
      </c>
      <c r="V1875" s="5" t="s">
        <v>5076</v>
      </c>
      <c r="W1875" s="5" t="s">
        <v>67</v>
      </c>
      <c r="X1875" s="5" t="s">
        <v>67</v>
      </c>
      <c r="Y1875" s="4">
        <v>320</v>
      </c>
      <c r="Z1875" s="4">
        <v>22</v>
      </c>
      <c r="AA1875" s="4">
        <v>92</v>
      </c>
      <c r="AB1875" s="4">
        <v>2</v>
      </c>
      <c r="AC1875" s="4">
        <v>15</v>
      </c>
      <c r="AD1875" s="4">
        <v>78</v>
      </c>
      <c r="AE1875" s="4">
        <v>151</v>
      </c>
      <c r="AF1875" s="4">
        <v>1</v>
      </c>
      <c r="AG1875" s="4">
        <v>8</v>
      </c>
      <c r="AH1875" s="4">
        <v>65</v>
      </c>
      <c r="AI1875" s="4">
        <v>109</v>
      </c>
      <c r="AJ1875" s="4">
        <v>11</v>
      </c>
      <c r="AK1875" s="4">
        <v>26</v>
      </c>
      <c r="AL1875" s="4">
        <v>33</v>
      </c>
      <c r="AM1875" s="4">
        <v>59</v>
      </c>
      <c r="AN1875" s="4">
        <v>0</v>
      </c>
      <c r="AO1875" s="4">
        <v>0</v>
      </c>
      <c r="AP1875" s="4">
        <v>17</v>
      </c>
      <c r="AQ1875" s="4">
        <v>51</v>
      </c>
      <c r="AR1875" s="3" t="s">
        <v>62</v>
      </c>
      <c r="AS1875" s="3" t="s">
        <v>62</v>
      </c>
      <c r="AT1875" s="3" t="s">
        <v>62</v>
      </c>
      <c r="AV1875" s="6" t="str">
        <f>HYPERLINK("http://mcgill.on.worldcat.org/oclc/38959743","Catalog Record")</f>
        <v>Catalog Record</v>
      </c>
      <c r="AW1875" s="6" t="str">
        <f>HYPERLINK("http://www.worldcat.org/oclc/38959743","WorldCat Record")</f>
        <v>WorldCat Record</v>
      </c>
      <c r="AX1875" s="3" t="s">
        <v>17995</v>
      </c>
      <c r="AY1875" s="3" t="s">
        <v>18116</v>
      </c>
      <c r="AZ1875" s="3" t="s">
        <v>18117</v>
      </c>
      <c r="BA1875" s="3" t="s">
        <v>18117</v>
      </c>
      <c r="BB1875" s="3" t="s">
        <v>18118</v>
      </c>
      <c r="BC1875" s="3" t="s">
        <v>142</v>
      </c>
      <c r="BD1875" s="3" t="s">
        <v>68</v>
      </c>
      <c r="BE1875" s="3" t="s">
        <v>18119</v>
      </c>
      <c r="BF1875" s="3" t="s">
        <v>18118</v>
      </c>
      <c r="BG1875" s="3" t="s">
        <v>18120</v>
      </c>
    </row>
    <row r="1876" spans="1:59" ht="57" x14ac:dyDescent="0.45">
      <c r="A1876" s="2" t="s">
        <v>59</v>
      </c>
      <c r="B1876" s="2" t="s">
        <v>60</v>
      </c>
      <c r="C1876" s="2" t="s">
        <v>18121</v>
      </c>
      <c r="D1876" s="2" t="s">
        <v>18122</v>
      </c>
      <c r="E1876" s="2" t="s">
        <v>18123</v>
      </c>
      <c r="G1876" s="3" t="s">
        <v>62</v>
      </c>
      <c r="I1876" s="3" t="s">
        <v>62</v>
      </c>
      <c r="J1876" s="3" t="s">
        <v>62</v>
      </c>
      <c r="K1876" s="3" t="s">
        <v>63</v>
      </c>
      <c r="L1876" s="2" t="s">
        <v>18124</v>
      </c>
      <c r="M1876" s="2" t="s">
        <v>18125</v>
      </c>
      <c r="N1876" s="3" t="s">
        <v>149</v>
      </c>
      <c r="P1876" s="3" t="s">
        <v>65</v>
      </c>
      <c r="R1876" s="3" t="s">
        <v>66</v>
      </c>
      <c r="S1876" s="4">
        <v>2</v>
      </c>
      <c r="T1876" s="4">
        <v>2</v>
      </c>
      <c r="U1876" s="5" t="s">
        <v>18126</v>
      </c>
      <c r="V1876" s="5" t="s">
        <v>18126</v>
      </c>
      <c r="W1876" s="5" t="s">
        <v>67</v>
      </c>
      <c r="X1876" s="5" t="s">
        <v>67</v>
      </c>
      <c r="Y1876" s="4">
        <v>270</v>
      </c>
      <c r="Z1876" s="4">
        <v>23</v>
      </c>
      <c r="AA1876" s="4">
        <v>29</v>
      </c>
      <c r="AB1876" s="4">
        <v>2</v>
      </c>
      <c r="AC1876" s="4">
        <v>6</v>
      </c>
      <c r="AD1876" s="4">
        <v>85</v>
      </c>
      <c r="AE1876" s="4">
        <v>91</v>
      </c>
      <c r="AF1876" s="4">
        <v>1</v>
      </c>
      <c r="AG1876" s="4">
        <v>3</v>
      </c>
      <c r="AH1876" s="4">
        <v>76</v>
      </c>
      <c r="AI1876" s="4">
        <v>80</v>
      </c>
      <c r="AJ1876" s="4">
        <v>17</v>
      </c>
      <c r="AK1876" s="4">
        <v>20</v>
      </c>
      <c r="AL1876" s="4">
        <v>44</v>
      </c>
      <c r="AM1876" s="4">
        <v>44</v>
      </c>
      <c r="AN1876" s="4">
        <v>0</v>
      </c>
      <c r="AO1876" s="4">
        <v>0</v>
      </c>
      <c r="AP1876" s="4">
        <v>19</v>
      </c>
      <c r="AQ1876" s="4">
        <v>21</v>
      </c>
      <c r="AR1876" s="3" t="s">
        <v>62</v>
      </c>
      <c r="AS1876" s="3" t="s">
        <v>62</v>
      </c>
      <c r="AT1876" s="3" t="s">
        <v>62</v>
      </c>
      <c r="AV1876" s="6" t="str">
        <f>HYPERLINK("http://mcgill.on.worldcat.org/oclc/430839586","Catalog Record")</f>
        <v>Catalog Record</v>
      </c>
      <c r="AW1876" s="6" t="str">
        <f>HYPERLINK("http://www.worldcat.org/oclc/430839586","WorldCat Record")</f>
        <v>WorldCat Record</v>
      </c>
      <c r="AX1876" s="3" t="s">
        <v>18127</v>
      </c>
      <c r="AY1876" s="3" t="s">
        <v>18128</v>
      </c>
      <c r="AZ1876" s="3" t="s">
        <v>18129</v>
      </c>
      <c r="BA1876" s="3" t="s">
        <v>18129</v>
      </c>
      <c r="BB1876" s="3" t="s">
        <v>18130</v>
      </c>
      <c r="BC1876" s="3" t="s">
        <v>142</v>
      </c>
      <c r="BD1876" s="3" t="s">
        <v>68</v>
      </c>
      <c r="BE1876" s="3" t="s">
        <v>18131</v>
      </c>
      <c r="BF1876" s="3" t="s">
        <v>18130</v>
      </c>
      <c r="BG1876" s="3" t="s">
        <v>18132</v>
      </c>
    </row>
    <row r="1877" spans="1:59" ht="57" x14ac:dyDescent="0.45">
      <c r="A1877" s="2" t="s">
        <v>59</v>
      </c>
      <c r="B1877" s="2" t="s">
        <v>60</v>
      </c>
      <c r="C1877" s="2" t="s">
        <v>18133</v>
      </c>
      <c r="D1877" s="2" t="s">
        <v>18134</v>
      </c>
      <c r="E1877" s="2" t="s">
        <v>18135</v>
      </c>
      <c r="G1877" s="3" t="s">
        <v>62</v>
      </c>
      <c r="I1877" s="3" t="s">
        <v>62</v>
      </c>
      <c r="J1877" s="3" t="s">
        <v>62</v>
      </c>
      <c r="K1877" s="3" t="s">
        <v>63</v>
      </c>
      <c r="M1877" s="2" t="s">
        <v>6141</v>
      </c>
      <c r="N1877" s="3" t="s">
        <v>894</v>
      </c>
      <c r="P1877" s="3" t="s">
        <v>65</v>
      </c>
      <c r="Q1877" s="2" t="s">
        <v>13000</v>
      </c>
      <c r="R1877" s="3" t="s">
        <v>66</v>
      </c>
      <c r="S1877" s="4">
        <v>7</v>
      </c>
      <c r="T1877" s="4">
        <v>7</v>
      </c>
      <c r="U1877" s="5" t="s">
        <v>18136</v>
      </c>
      <c r="V1877" s="5" t="s">
        <v>18136</v>
      </c>
      <c r="W1877" s="5" t="s">
        <v>67</v>
      </c>
      <c r="X1877" s="5" t="s">
        <v>67</v>
      </c>
      <c r="Y1877" s="4">
        <v>376</v>
      </c>
      <c r="Z1877" s="4">
        <v>31</v>
      </c>
      <c r="AA1877" s="4">
        <v>87</v>
      </c>
      <c r="AB1877" s="4">
        <v>2</v>
      </c>
      <c r="AC1877" s="4">
        <v>15</v>
      </c>
      <c r="AD1877" s="4">
        <v>94</v>
      </c>
      <c r="AE1877" s="4">
        <v>135</v>
      </c>
      <c r="AF1877" s="4">
        <v>1</v>
      </c>
      <c r="AG1877" s="4">
        <v>8</v>
      </c>
      <c r="AH1877" s="4">
        <v>83</v>
      </c>
      <c r="AI1877" s="4">
        <v>99</v>
      </c>
      <c r="AJ1877" s="4">
        <v>19</v>
      </c>
      <c r="AK1877" s="4">
        <v>26</v>
      </c>
      <c r="AL1877" s="4">
        <v>40</v>
      </c>
      <c r="AM1877" s="4">
        <v>50</v>
      </c>
      <c r="AN1877" s="4">
        <v>0</v>
      </c>
      <c r="AO1877" s="4">
        <v>0</v>
      </c>
      <c r="AP1877" s="4">
        <v>22</v>
      </c>
      <c r="AQ1877" s="4">
        <v>47</v>
      </c>
      <c r="AR1877" s="3" t="s">
        <v>62</v>
      </c>
      <c r="AS1877" s="3" t="s">
        <v>62</v>
      </c>
      <c r="AT1877" s="3" t="s">
        <v>62</v>
      </c>
      <c r="AV1877" s="6" t="str">
        <f>HYPERLINK("http://mcgill.on.worldcat.org/oclc/369141939","Catalog Record")</f>
        <v>Catalog Record</v>
      </c>
      <c r="AW1877" s="6" t="str">
        <f>HYPERLINK("http://www.worldcat.org/oclc/369141939","WorldCat Record")</f>
        <v>WorldCat Record</v>
      </c>
      <c r="AX1877" s="3" t="s">
        <v>18137</v>
      </c>
      <c r="AY1877" s="3" t="s">
        <v>18138</v>
      </c>
      <c r="AZ1877" s="3" t="s">
        <v>18139</v>
      </c>
      <c r="BA1877" s="3" t="s">
        <v>18139</v>
      </c>
      <c r="BB1877" s="3" t="s">
        <v>18140</v>
      </c>
      <c r="BC1877" s="3" t="s">
        <v>142</v>
      </c>
      <c r="BD1877" s="3" t="s">
        <v>68</v>
      </c>
      <c r="BE1877" s="3" t="s">
        <v>18141</v>
      </c>
      <c r="BF1877" s="3" t="s">
        <v>18140</v>
      </c>
      <c r="BG1877" s="3" t="s">
        <v>18142</v>
      </c>
    </row>
    <row r="1878" spans="1:59" ht="57" x14ac:dyDescent="0.45">
      <c r="A1878" s="2" t="s">
        <v>59</v>
      </c>
      <c r="B1878" s="2" t="s">
        <v>60</v>
      </c>
      <c r="C1878" s="2" t="s">
        <v>18143</v>
      </c>
      <c r="D1878" s="2" t="s">
        <v>18144</v>
      </c>
      <c r="E1878" s="2" t="s">
        <v>18145</v>
      </c>
      <c r="F1878" s="3" t="s">
        <v>87</v>
      </c>
      <c r="G1878" s="3" t="s">
        <v>61</v>
      </c>
      <c r="I1878" s="3" t="s">
        <v>62</v>
      </c>
      <c r="J1878" s="3" t="s">
        <v>62</v>
      </c>
      <c r="K1878" s="3" t="s">
        <v>63</v>
      </c>
      <c r="M1878" s="2" t="s">
        <v>18146</v>
      </c>
      <c r="N1878" s="3" t="s">
        <v>894</v>
      </c>
      <c r="P1878" s="3" t="s">
        <v>65</v>
      </c>
      <c r="Q1878" s="2" t="s">
        <v>18147</v>
      </c>
      <c r="R1878" s="3" t="s">
        <v>66</v>
      </c>
      <c r="S1878" s="4">
        <v>2</v>
      </c>
      <c r="T1878" s="4">
        <v>5</v>
      </c>
      <c r="U1878" s="5" t="s">
        <v>18148</v>
      </c>
      <c r="V1878" s="5" t="s">
        <v>18148</v>
      </c>
      <c r="W1878" s="5" t="s">
        <v>67</v>
      </c>
      <c r="X1878" s="5" t="s">
        <v>67</v>
      </c>
      <c r="Y1878" s="4">
        <v>304</v>
      </c>
      <c r="Z1878" s="4">
        <v>15</v>
      </c>
      <c r="AA1878" s="4">
        <v>35</v>
      </c>
      <c r="AB1878" s="4">
        <v>2</v>
      </c>
      <c r="AC1878" s="4">
        <v>10</v>
      </c>
      <c r="AD1878" s="4">
        <v>44</v>
      </c>
      <c r="AE1878" s="4">
        <v>79</v>
      </c>
      <c r="AF1878" s="4">
        <v>1</v>
      </c>
      <c r="AG1878" s="4">
        <v>5</v>
      </c>
      <c r="AH1878" s="4">
        <v>39</v>
      </c>
      <c r="AI1878" s="4">
        <v>63</v>
      </c>
      <c r="AJ1878" s="4">
        <v>6</v>
      </c>
      <c r="AK1878" s="4">
        <v>14</v>
      </c>
      <c r="AL1878" s="4">
        <v>18</v>
      </c>
      <c r="AM1878" s="4">
        <v>29</v>
      </c>
      <c r="AN1878" s="4">
        <v>0</v>
      </c>
      <c r="AO1878" s="4">
        <v>0</v>
      </c>
      <c r="AP1878" s="4">
        <v>10</v>
      </c>
      <c r="AQ1878" s="4">
        <v>23</v>
      </c>
      <c r="AR1878" s="3" t="s">
        <v>62</v>
      </c>
      <c r="AS1878" s="3" t="s">
        <v>62</v>
      </c>
      <c r="AT1878" s="3" t="s">
        <v>62</v>
      </c>
      <c r="AV1878" s="6" t="str">
        <f>HYPERLINK("http://mcgill.on.worldcat.org/oclc/670375342","Catalog Record")</f>
        <v>Catalog Record</v>
      </c>
      <c r="AW1878" s="6" t="str">
        <f>HYPERLINK("http://www.worldcat.org/oclc/670375342","WorldCat Record")</f>
        <v>WorldCat Record</v>
      </c>
      <c r="AX1878" s="3" t="s">
        <v>18149</v>
      </c>
      <c r="AY1878" s="3" t="s">
        <v>18150</v>
      </c>
      <c r="AZ1878" s="3" t="s">
        <v>18151</v>
      </c>
      <c r="BA1878" s="3" t="s">
        <v>18151</v>
      </c>
      <c r="BB1878" s="3" t="s">
        <v>18152</v>
      </c>
      <c r="BC1878" s="3" t="s">
        <v>142</v>
      </c>
      <c r="BD1878" s="3" t="s">
        <v>68</v>
      </c>
      <c r="BE1878" s="3" t="s">
        <v>18153</v>
      </c>
      <c r="BF1878" s="3" t="s">
        <v>18152</v>
      </c>
      <c r="BG1878" s="3" t="s">
        <v>18154</v>
      </c>
    </row>
    <row r="1879" spans="1:59" ht="57" x14ac:dyDescent="0.45">
      <c r="A1879" s="2" t="s">
        <v>59</v>
      </c>
      <c r="B1879" s="2" t="s">
        <v>60</v>
      </c>
      <c r="C1879" s="2" t="s">
        <v>18143</v>
      </c>
      <c r="D1879" s="2" t="s">
        <v>18144</v>
      </c>
      <c r="E1879" s="2" t="s">
        <v>18145</v>
      </c>
      <c r="F1879" s="3" t="s">
        <v>90</v>
      </c>
      <c r="G1879" s="3" t="s">
        <v>61</v>
      </c>
      <c r="I1879" s="3" t="s">
        <v>62</v>
      </c>
      <c r="J1879" s="3" t="s">
        <v>62</v>
      </c>
      <c r="K1879" s="3" t="s">
        <v>63</v>
      </c>
      <c r="M1879" s="2" t="s">
        <v>18146</v>
      </c>
      <c r="N1879" s="3" t="s">
        <v>894</v>
      </c>
      <c r="P1879" s="3" t="s">
        <v>65</v>
      </c>
      <c r="Q1879" s="2" t="s">
        <v>18147</v>
      </c>
      <c r="R1879" s="3" t="s">
        <v>66</v>
      </c>
      <c r="S1879" s="4">
        <v>3</v>
      </c>
      <c r="T1879" s="4">
        <v>5</v>
      </c>
      <c r="U1879" s="5" t="s">
        <v>18148</v>
      </c>
      <c r="V1879" s="5" t="s">
        <v>18148</v>
      </c>
      <c r="W1879" s="5" t="s">
        <v>67</v>
      </c>
      <c r="X1879" s="5" t="s">
        <v>67</v>
      </c>
      <c r="Y1879" s="4">
        <v>304</v>
      </c>
      <c r="Z1879" s="4">
        <v>15</v>
      </c>
      <c r="AA1879" s="4">
        <v>35</v>
      </c>
      <c r="AB1879" s="4">
        <v>2</v>
      </c>
      <c r="AC1879" s="4">
        <v>10</v>
      </c>
      <c r="AD1879" s="4">
        <v>44</v>
      </c>
      <c r="AE1879" s="4">
        <v>79</v>
      </c>
      <c r="AF1879" s="4">
        <v>1</v>
      </c>
      <c r="AG1879" s="4">
        <v>5</v>
      </c>
      <c r="AH1879" s="4">
        <v>39</v>
      </c>
      <c r="AI1879" s="4">
        <v>63</v>
      </c>
      <c r="AJ1879" s="4">
        <v>6</v>
      </c>
      <c r="AK1879" s="4">
        <v>14</v>
      </c>
      <c r="AL1879" s="4">
        <v>18</v>
      </c>
      <c r="AM1879" s="4">
        <v>29</v>
      </c>
      <c r="AN1879" s="4">
        <v>0</v>
      </c>
      <c r="AO1879" s="4">
        <v>0</v>
      </c>
      <c r="AP1879" s="4">
        <v>10</v>
      </c>
      <c r="AQ1879" s="4">
        <v>23</v>
      </c>
      <c r="AR1879" s="3" t="s">
        <v>62</v>
      </c>
      <c r="AS1879" s="3" t="s">
        <v>62</v>
      </c>
      <c r="AT1879" s="3" t="s">
        <v>62</v>
      </c>
      <c r="AV1879" s="6" t="str">
        <f>HYPERLINK("http://mcgill.on.worldcat.org/oclc/670375342","Catalog Record")</f>
        <v>Catalog Record</v>
      </c>
      <c r="AW1879" s="6" t="str">
        <f>HYPERLINK("http://www.worldcat.org/oclc/670375342","WorldCat Record")</f>
        <v>WorldCat Record</v>
      </c>
      <c r="AX1879" s="3" t="s">
        <v>18149</v>
      </c>
      <c r="AY1879" s="3" t="s">
        <v>18150</v>
      </c>
      <c r="AZ1879" s="3" t="s">
        <v>18151</v>
      </c>
      <c r="BA1879" s="3" t="s">
        <v>18151</v>
      </c>
      <c r="BB1879" s="3" t="s">
        <v>18155</v>
      </c>
      <c r="BC1879" s="3" t="s">
        <v>142</v>
      </c>
      <c r="BD1879" s="3" t="s">
        <v>68</v>
      </c>
      <c r="BE1879" s="3" t="s">
        <v>18153</v>
      </c>
      <c r="BF1879" s="3" t="s">
        <v>18155</v>
      </c>
      <c r="BG1879" s="3" t="s">
        <v>18156</v>
      </c>
    </row>
    <row r="1880" spans="1:59" ht="57" x14ac:dyDescent="0.45">
      <c r="A1880" s="2" t="s">
        <v>59</v>
      </c>
      <c r="B1880" s="2" t="s">
        <v>60</v>
      </c>
      <c r="C1880" s="2" t="s">
        <v>18157</v>
      </c>
      <c r="D1880" s="2" t="s">
        <v>18158</v>
      </c>
      <c r="E1880" s="2" t="s">
        <v>18159</v>
      </c>
      <c r="G1880" s="3" t="s">
        <v>62</v>
      </c>
      <c r="I1880" s="3" t="s">
        <v>62</v>
      </c>
      <c r="J1880" s="3" t="s">
        <v>62</v>
      </c>
      <c r="K1880" s="3" t="s">
        <v>63</v>
      </c>
      <c r="M1880" s="2" t="s">
        <v>18160</v>
      </c>
      <c r="N1880" s="3" t="s">
        <v>1212</v>
      </c>
      <c r="P1880" s="3" t="s">
        <v>65</v>
      </c>
      <c r="R1880" s="3" t="s">
        <v>66</v>
      </c>
      <c r="S1880" s="4">
        <v>14</v>
      </c>
      <c r="T1880" s="4">
        <v>14</v>
      </c>
      <c r="U1880" s="5" t="s">
        <v>16481</v>
      </c>
      <c r="V1880" s="5" t="s">
        <v>16481</v>
      </c>
      <c r="W1880" s="5" t="s">
        <v>67</v>
      </c>
      <c r="X1880" s="5" t="s">
        <v>67</v>
      </c>
      <c r="Y1880" s="4">
        <v>638</v>
      </c>
      <c r="Z1880" s="4">
        <v>27</v>
      </c>
      <c r="AA1880" s="4">
        <v>28</v>
      </c>
      <c r="AB1880" s="4">
        <v>2</v>
      </c>
      <c r="AC1880" s="4">
        <v>3</v>
      </c>
      <c r="AD1880" s="4">
        <v>117</v>
      </c>
      <c r="AE1880" s="4">
        <v>118</v>
      </c>
      <c r="AF1880" s="4">
        <v>1</v>
      </c>
      <c r="AG1880" s="4">
        <v>2</v>
      </c>
      <c r="AH1880" s="4">
        <v>100</v>
      </c>
      <c r="AI1880" s="4">
        <v>101</v>
      </c>
      <c r="AJ1880" s="4">
        <v>19</v>
      </c>
      <c r="AK1880" s="4">
        <v>20</v>
      </c>
      <c r="AL1880" s="4">
        <v>54</v>
      </c>
      <c r="AM1880" s="4">
        <v>54</v>
      </c>
      <c r="AN1880" s="4">
        <v>0</v>
      </c>
      <c r="AO1880" s="4">
        <v>0</v>
      </c>
      <c r="AP1880" s="4">
        <v>21</v>
      </c>
      <c r="AQ1880" s="4">
        <v>22</v>
      </c>
      <c r="AR1880" s="3" t="s">
        <v>62</v>
      </c>
      <c r="AS1880" s="3" t="s">
        <v>62</v>
      </c>
      <c r="AT1880" s="3" t="s">
        <v>61</v>
      </c>
      <c r="AU1880" s="6" t="str">
        <f>HYPERLINK("http://catalog.hathitrust.org/Record/004090321","HathiTrust Record")</f>
        <v>HathiTrust Record</v>
      </c>
      <c r="AV1880" s="6" t="str">
        <f>HYPERLINK("http://mcgill.on.worldcat.org/oclc/41892142","Catalog Record")</f>
        <v>Catalog Record</v>
      </c>
      <c r="AW1880" s="6" t="str">
        <f>HYPERLINK("http://www.worldcat.org/oclc/41892142","WorldCat Record")</f>
        <v>WorldCat Record</v>
      </c>
      <c r="AX1880" s="3" t="s">
        <v>18161</v>
      </c>
      <c r="AY1880" s="3" t="s">
        <v>18162</v>
      </c>
      <c r="AZ1880" s="3" t="s">
        <v>18163</v>
      </c>
      <c r="BA1880" s="3" t="s">
        <v>18163</v>
      </c>
      <c r="BB1880" s="3" t="s">
        <v>18164</v>
      </c>
      <c r="BC1880" s="3" t="s">
        <v>142</v>
      </c>
      <c r="BD1880" s="3" t="s">
        <v>68</v>
      </c>
      <c r="BE1880" s="3" t="s">
        <v>18165</v>
      </c>
      <c r="BF1880" s="3" t="s">
        <v>18164</v>
      </c>
      <c r="BG1880" s="3" t="s">
        <v>18166</v>
      </c>
    </row>
    <row r="1881" spans="1:59" ht="57" x14ac:dyDescent="0.45">
      <c r="A1881" s="2" t="s">
        <v>59</v>
      </c>
      <c r="B1881" s="2" t="s">
        <v>60</v>
      </c>
      <c r="C1881" s="2" t="s">
        <v>18167</v>
      </c>
      <c r="D1881" s="2" t="s">
        <v>18168</v>
      </c>
      <c r="E1881" s="2" t="s">
        <v>18169</v>
      </c>
      <c r="G1881" s="3" t="s">
        <v>62</v>
      </c>
      <c r="I1881" s="3" t="s">
        <v>62</v>
      </c>
      <c r="J1881" s="3" t="s">
        <v>62</v>
      </c>
      <c r="K1881" s="3" t="s">
        <v>63</v>
      </c>
      <c r="L1881" s="2" t="s">
        <v>18170</v>
      </c>
      <c r="M1881" s="2" t="s">
        <v>6523</v>
      </c>
      <c r="N1881" s="3" t="s">
        <v>1059</v>
      </c>
      <c r="P1881" s="3" t="s">
        <v>65</v>
      </c>
      <c r="Q1881" s="2" t="s">
        <v>18171</v>
      </c>
      <c r="R1881" s="3" t="s">
        <v>66</v>
      </c>
      <c r="S1881" s="4">
        <v>18</v>
      </c>
      <c r="T1881" s="4">
        <v>18</v>
      </c>
      <c r="U1881" s="5" t="s">
        <v>18172</v>
      </c>
      <c r="V1881" s="5" t="s">
        <v>18172</v>
      </c>
      <c r="W1881" s="5" t="s">
        <v>67</v>
      </c>
      <c r="X1881" s="5" t="s">
        <v>67</v>
      </c>
      <c r="Y1881" s="4">
        <v>422</v>
      </c>
      <c r="Z1881" s="4">
        <v>32</v>
      </c>
      <c r="AA1881" s="4">
        <v>70</v>
      </c>
      <c r="AB1881" s="4">
        <v>2</v>
      </c>
      <c r="AC1881" s="4">
        <v>17</v>
      </c>
      <c r="AD1881" s="4">
        <v>103</v>
      </c>
      <c r="AE1881" s="4">
        <v>132</v>
      </c>
      <c r="AF1881" s="4">
        <v>1</v>
      </c>
      <c r="AG1881" s="4">
        <v>8</v>
      </c>
      <c r="AH1881" s="4">
        <v>88</v>
      </c>
      <c r="AI1881" s="4">
        <v>92</v>
      </c>
      <c r="AJ1881" s="4">
        <v>17</v>
      </c>
      <c r="AK1881" s="4">
        <v>25</v>
      </c>
      <c r="AL1881" s="4">
        <v>45</v>
      </c>
      <c r="AM1881" s="4">
        <v>45</v>
      </c>
      <c r="AN1881" s="4">
        <v>0</v>
      </c>
      <c r="AO1881" s="4">
        <v>0</v>
      </c>
      <c r="AP1881" s="4">
        <v>24</v>
      </c>
      <c r="AQ1881" s="4">
        <v>51</v>
      </c>
      <c r="AR1881" s="3" t="s">
        <v>62</v>
      </c>
      <c r="AS1881" s="3" t="s">
        <v>62</v>
      </c>
      <c r="AT1881" s="3" t="s">
        <v>62</v>
      </c>
      <c r="AV1881" s="6" t="str">
        <f>HYPERLINK("http://mcgill.on.worldcat.org/oclc/62152779","Catalog Record")</f>
        <v>Catalog Record</v>
      </c>
      <c r="AW1881" s="6" t="str">
        <f>HYPERLINK("http://www.worldcat.org/oclc/62152779","WorldCat Record")</f>
        <v>WorldCat Record</v>
      </c>
      <c r="AX1881" s="3" t="s">
        <v>18173</v>
      </c>
      <c r="AY1881" s="3" t="s">
        <v>18174</v>
      </c>
      <c r="AZ1881" s="3" t="s">
        <v>18175</v>
      </c>
      <c r="BA1881" s="3" t="s">
        <v>18175</v>
      </c>
      <c r="BB1881" s="3" t="s">
        <v>18176</v>
      </c>
      <c r="BC1881" s="3" t="s">
        <v>142</v>
      </c>
      <c r="BD1881" s="3" t="s">
        <v>68</v>
      </c>
      <c r="BE1881" s="3" t="s">
        <v>18177</v>
      </c>
      <c r="BF1881" s="3" t="s">
        <v>18176</v>
      </c>
      <c r="BG1881" s="3" t="s">
        <v>18178</v>
      </c>
    </row>
    <row r="1882" spans="1:59" ht="57" x14ac:dyDescent="0.45">
      <c r="A1882" s="2" t="s">
        <v>59</v>
      </c>
      <c r="B1882" s="2" t="s">
        <v>60</v>
      </c>
      <c r="C1882" s="2" t="s">
        <v>18179</v>
      </c>
      <c r="D1882" s="2" t="s">
        <v>18180</v>
      </c>
      <c r="E1882" s="2" t="s">
        <v>18181</v>
      </c>
      <c r="G1882" s="3" t="s">
        <v>62</v>
      </c>
      <c r="I1882" s="3" t="s">
        <v>62</v>
      </c>
      <c r="J1882" s="3" t="s">
        <v>62</v>
      </c>
      <c r="K1882" s="3" t="s">
        <v>63</v>
      </c>
      <c r="L1882" s="2" t="s">
        <v>18182</v>
      </c>
      <c r="M1882" s="2" t="s">
        <v>18183</v>
      </c>
      <c r="N1882" s="3" t="s">
        <v>208</v>
      </c>
      <c r="P1882" s="3" t="s">
        <v>65</v>
      </c>
      <c r="R1882" s="3" t="s">
        <v>66</v>
      </c>
      <c r="S1882" s="4">
        <v>0</v>
      </c>
      <c r="T1882" s="4">
        <v>0</v>
      </c>
      <c r="W1882" s="5" t="s">
        <v>67</v>
      </c>
      <c r="X1882" s="5" t="s">
        <v>67</v>
      </c>
      <c r="Y1882" s="4">
        <v>89</v>
      </c>
      <c r="Z1882" s="4">
        <v>6</v>
      </c>
      <c r="AA1882" s="4">
        <v>18</v>
      </c>
      <c r="AB1882" s="4">
        <v>1</v>
      </c>
      <c r="AC1882" s="4">
        <v>5</v>
      </c>
      <c r="AD1882" s="4">
        <v>10</v>
      </c>
      <c r="AE1882" s="4">
        <v>26</v>
      </c>
      <c r="AF1882" s="4">
        <v>0</v>
      </c>
      <c r="AG1882" s="4">
        <v>1</v>
      </c>
      <c r="AH1882" s="4">
        <v>9</v>
      </c>
      <c r="AI1882" s="4">
        <v>21</v>
      </c>
      <c r="AJ1882" s="4">
        <v>2</v>
      </c>
      <c r="AK1882" s="4">
        <v>10</v>
      </c>
      <c r="AL1882" s="4">
        <v>5</v>
      </c>
      <c r="AM1882" s="4">
        <v>12</v>
      </c>
      <c r="AN1882" s="4">
        <v>0</v>
      </c>
      <c r="AO1882" s="4">
        <v>0</v>
      </c>
      <c r="AP1882" s="4">
        <v>2</v>
      </c>
      <c r="AQ1882" s="4">
        <v>11</v>
      </c>
      <c r="AR1882" s="3" t="s">
        <v>62</v>
      </c>
      <c r="AS1882" s="3" t="s">
        <v>62</v>
      </c>
      <c r="AT1882" s="3" t="s">
        <v>62</v>
      </c>
      <c r="AV1882" s="6" t="str">
        <f>HYPERLINK("http://mcgill.on.worldcat.org/oclc/915334275","Catalog Record")</f>
        <v>Catalog Record</v>
      </c>
      <c r="AW1882" s="6" t="str">
        <f>HYPERLINK("http://www.worldcat.org/oclc/915334275","WorldCat Record")</f>
        <v>WorldCat Record</v>
      </c>
      <c r="AX1882" s="3" t="s">
        <v>18184</v>
      </c>
      <c r="AY1882" s="3" t="s">
        <v>18185</v>
      </c>
      <c r="AZ1882" s="3" t="s">
        <v>18186</v>
      </c>
      <c r="BA1882" s="3" t="s">
        <v>18186</v>
      </c>
      <c r="BB1882" s="3" t="s">
        <v>18187</v>
      </c>
      <c r="BC1882" s="3" t="s">
        <v>142</v>
      </c>
      <c r="BD1882" s="3" t="s">
        <v>68</v>
      </c>
      <c r="BE1882" s="3" t="s">
        <v>18188</v>
      </c>
      <c r="BF1882" s="3" t="s">
        <v>18187</v>
      </c>
      <c r="BG1882" s="3" t="s">
        <v>18189</v>
      </c>
    </row>
    <row r="1883" spans="1:59" ht="57" x14ac:dyDescent="0.45">
      <c r="A1883" s="2" t="s">
        <v>59</v>
      </c>
      <c r="B1883" s="2" t="s">
        <v>60</v>
      </c>
      <c r="C1883" s="2" t="s">
        <v>18190</v>
      </c>
      <c r="D1883" s="2" t="s">
        <v>18191</v>
      </c>
      <c r="E1883" s="2" t="s">
        <v>18192</v>
      </c>
      <c r="G1883" s="3" t="s">
        <v>62</v>
      </c>
      <c r="I1883" s="3" t="s">
        <v>62</v>
      </c>
      <c r="J1883" s="3" t="s">
        <v>62</v>
      </c>
      <c r="K1883" s="3" t="s">
        <v>63</v>
      </c>
      <c r="L1883" s="2" t="s">
        <v>18193</v>
      </c>
      <c r="M1883" s="2" t="s">
        <v>18194</v>
      </c>
      <c r="N1883" s="3" t="s">
        <v>1253</v>
      </c>
      <c r="P1883" s="3" t="s">
        <v>65</v>
      </c>
      <c r="Q1883" s="2" t="s">
        <v>3508</v>
      </c>
      <c r="R1883" s="3" t="s">
        <v>66</v>
      </c>
      <c r="S1883" s="4">
        <v>12</v>
      </c>
      <c r="T1883" s="4">
        <v>12</v>
      </c>
      <c r="U1883" s="5" t="s">
        <v>18195</v>
      </c>
      <c r="V1883" s="5" t="s">
        <v>18195</v>
      </c>
      <c r="W1883" s="5" t="s">
        <v>67</v>
      </c>
      <c r="X1883" s="5" t="s">
        <v>67</v>
      </c>
      <c r="Y1883" s="4">
        <v>311</v>
      </c>
      <c r="Z1883" s="4">
        <v>14</v>
      </c>
      <c r="AA1883" s="4">
        <v>19</v>
      </c>
      <c r="AB1883" s="4">
        <v>2</v>
      </c>
      <c r="AC1883" s="4">
        <v>6</v>
      </c>
      <c r="AD1883" s="4">
        <v>85</v>
      </c>
      <c r="AE1883" s="4">
        <v>87</v>
      </c>
      <c r="AF1883" s="4">
        <v>1</v>
      </c>
      <c r="AG1883" s="4">
        <v>2</v>
      </c>
      <c r="AH1883" s="4">
        <v>77</v>
      </c>
      <c r="AI1883" s="4">
        <v>78</v>
      </c>
      <c r="AJ1883" s="4">
        <v>12</v>
      </c>
      <c r="AK1883" s="4">
        <v>14</v>
      </c>
      <c r="AL1883" s="4">
        <v>38</v>
      </c>
      <c r="AM1883" s="4">
        <v>38</v>
      </c>
      <c r="AN1883" s="4">
        <v>0</v>
      </c>
      <c r="AO1883" s="4">
        <v>0</v>
      </c>
      <c r="AP1883" s="4">
        <v>12</v>
      </c>
      <c r="AQ1883" s="4">
        <v>14</v>
      </c>
      <c r="AR1883" s="3" t="s">
        <v>62</v>
      </c>
      <c r="AS1883" s="3" t="s">
        <v>62</v>
      </c>
      <c r="AT1883" s="3" t="s">
        <v>61</v>
      </c>
      <c r="AU1883" s="6" t="str">
        <f>HYPERLINK("http://catalog.hathitrust.org/Record/003176087","HathiTrust Record")</f>
        <v>HathiTrust Record</v>
      </c>
      <c r="AV1883" s="6" t="str">
        <f>HYPERLINK("http://mcgill.on.worldcat.org/oclc/35686175","Catalog Record")</f>
        <v>Catalog Record</v>
      </c>
      <c r="AW1883" s="6" t="str">
        <f>HYPERLINK("http://www.worldcat.org/oclc/35686175","WorldCat Record")</f>
        <v>WorldCat Record</v>
      </c>
      <c r="AX1883" s="3" t="s">
        <v>18196</v>
      </c>
      <c r="AY1883" s="3" t="s">
        <v>18197</v>
      </c>
      <c r="AZ1883" s="3" t="s">
        <v>18198</v>
      </c>
      <c r="BA1883" s="3" t="s">
        <v>18198</v>
      </c>
      <c r="BB1883" s="3" t="s">
        <v>18199</v>
      </c>
      <c r="BC1883" s="3" t="s">
        <v>142</v>
      </c>
      <c r="BD1883" s="3" t="s">
        <v>68</v>
      </c>
      <c r="BE1883" s="3" t="s">
        <v>18200</v>
      </c>
      <c r="BF1883" s="3" t="s">
        <v>18199</v>
      </c>
      <c r="BG1883" s="3" t="s">
        <v>18201</v>
      </c>
    </row>
    <row r="1884" spans="1:59" ht="57" x14ac:dyDescent="0.45">
      <c r="A1884" s="2" t="s">
        <v>59</v>
      </c>
      <c r="B1884" s="2" t="s">
        <v>60</v>
      </c>
      <c r="C1884" s="2" t="s">
        <v>18202</v>
      </c>
      <c r="D1884" s="2" t="s">
        <v>18203</v>
      </c>
      <c r="E1884" s="2" t="s">
        <v>18204</v>
      </c>
      <c r="G1884" s="3" t="s">
        <v>62</v>
      </c>
      <c r="I1884" s="3" t="s">
        <v>62</v>
      </c>
      <c r="J1884" s="3" t="s">
        <v>62</v>
      </c>
      <c r="K1884" s="3" t="s">
        <v>63</v>
      </c>
      <c r="L1884" s="2" t="s">
        <v>18205</v>
      </c>
      <c r="M1884" s="2" t="s">
        <v>18206</v>
      </c>
      <c r="N1884" s="3" t="s">
        <v>1097</v>
      </c>
      <c r="P1884" s="3" t="s">
        <v>65</v>
      </c>
      <c r="R1884" s="3" t="s">
        <v>66</v>
      </c>
      <c r="S1884" s="4">
        <v>6</v>
      </c>
      <c r="T1884" s="4">
        <v>6</v>
      </c>
      <c r="U1884" s="5" t="s">
        <v>18207</v>
      </c>
      <c r="V1884" s="5" t="s">
        <v>18207</v>
      </c>
      <c r="W1884" s="5" t="s">
        <v>67</v>
      </c>
      <c r="X1884" s="5" t="s">
        <v>67</v>
      </c>
      <c r="Y1884" s="4">
        <v>341</v>
      </c>
      <c r="Z1884" s="4">
        <v>22</v>
      </c>
      <c r="AA1884" s="4">
        <v>40</v>
      </c>
      <c r="AB1884" s="4">
        <v>2</v>
      </c>
      <c r="AC1884" s="4">
        <v>7</v>
      </c>
      <c r="AD1884" s="4">
        <v>90</v>
      </c>
      <c r="AE1884" s="4">
        <v>111</v>
      </c>
      <c r="AF1884" s="4">
        <v>1</v>
      </c>
      <c r="AG1884" s="4">
        <v>4</v>
      </c>
      <c r="AH1884" s="4">
        <v>81</v>
      </c>
      <c r="AI1884" s="4">
        <v>95</v>
      </c>
      <c r="AJ1884" s="4">
        <v>15</v>
      </c>
      <c r="AK1884" s="4">
        <v>19</v>
      </c>
      <c r="AL1884" s="4">
        <v>44</v>
      </c>
      <c r="AM1884" s="4">
        <v>50</v>
      </c>
      <c r="AN1884" s="4">
        <v>0</v>
      </c>
      <c r="AO1884" s="4">
        <v>0</v>
      </c>
      <c r="AP1884" s="4">
        <v>16</v>
      </c>
      <c r="AQ1884" s="4">
        <v>25</v>
      </c>
      <c r="AR1884" s="3" t="s">
        <v>62</v>
      </c>
      <c r="AS1884" s="3" t="s">
        <v>62</v>
      </c>
      <c r="AT1884" s="3" t="s">
        <v>61</v>
      </c>
      <c r="AU1884" s="6" t="str">
        <f>HYPERLINK("http://catalog.hathitrust.org/Record/004967428","HathiTrust Record")</f>
        <v>HathiTrust Record</v>
      </c>
      <c r="AV1884" s="6" t="str">
        <f>HYPERLINK("http://mcgill.on.worldcat.org/oclc/56648928","Catalog Record")</f>
        <v>Catalog Record</v>
      </c>
      <c r="AW1884" s="6" t="str">
        <f>HYPERLINK("http://www.worldcat.org/oclc/56648928","WorldCat Record")</f>
        <v>WorldCat Record</v>
      </c>
      <c r="AX1884" s="3" t="s">
        <v>18208</v>
      </c>
      <c r="AY1884" s="3" t="s">
        <v>18209</v>
      </c>
      <c r="AZ1884" s="3" t="s">
        <v>18210</v>
      </c>
      <c r="BA1884" s="3" t="s">
        <v>18210</v>
      </c>
      <c r="BB1884" s="3" t="s">
        <v>18211</v>
      </c>
      <c r="BC1884" s="3" t="s">
        <v>142</v>
      </c>
      <c r="BD1884" s="3" t="s">
        <v>68</v>
      </c>
      <c r="BE1884" s="3" t="s">
        <v>18212</v>
      </c>
      <c r="BF1884" s="3" t="s">
        <v>18211</v>
      </c>
      <c r="BG1884" s="3" t="s">
        <v>18213</v>
      </c>
    </row>
    <row r="1885" spans="1:59" ht="57" x14ac:dyDescent="0.45">
      <c r="A1885" s="2" t="s">
        <v>59</v>
      </c>
      <c r="B1885" s="2" t="s">
        <v>60</v>
      </c>
      <c r="C1885" s="2" t="s">
        <v>18214</v>
      </c>
      <c r="D1885" s="2" t="s">
        <v>18215</v>
      </c>
      <c r="E1885" s="2" t="s">
        <v>18216</v>
      </c>
      <c r="G1885" s="3" t="s">
        <v>62</v>
      </c>
      <c r="I1885" s="3" t="s">
        <v>62</v>
      </c>
      <c r="J1885" s="3" t="s">
        <v>62</v>
      </c>
      <c r="K1885" s="3" t="s">
        <v>63</v>
      </c>
      <c r="M1885" s="2" t="s">
        <v>18217</v>
      </c>
      <c r="N1885" s="3" t="s">
        <v>116</v>
      </c>
      <c r="P1885" s="3" t="s">
        <v>65</v>
      </c>
      <c r="Q1885" s="2" t="s">
        <v>18218</v>
      </c>
      <c r="R1885" s="3" t="s">
        <v>66</v>
      </c>
      <c r="S1885" s="4">
        <v>1</v>
      </c>
      <c r="T1885" s="4">
        <v>1</v>
      </c>
      <c r="U1885" s="5" t="s">
        <v>18083</v>
      </c>
      <c r="V1885" s="5" t="s">
        <v>18083</v>
      </c>
      <c r="W1885" s="5" t="s">
        <v>67</v>
      </c>
      <c r="X1885" s="5" t="s">
        <v>67</v>
      </c>
      <c r="Y1885" s="4">
        <v>121</v>
      </c>
      <c r="Z1885" s="4">
        <v>14</v>
      </c>
      <c r="AA1885" s="4">
        <v>17</v>
      </c>
      <c r="AB1885" s="4">
        <v>1</v>
      </c>
      <c r="AC1885" s="4">
        <v>3</v>
      </c>
      <c r="AD1885" s="4">
        <v>48</v>
      </c>
      <c r="AE1885" s="4">
        <v>50</v>
      </c>
      <c r="AF1885" s="4">
        <v>0</v>
      </c>
      <c r="AG1885" s="4">
        <v>1</v>
      </c>
      <c r="AH1885" s="4">
        <v>44</v>
      </c>
      <c r="AI1885" s="4">
        <v>44</v>
      </c>
      <c r="AJ1885" s="4">
        <v>8</v>
      </c>
      <c r="AK1885" s="4">
        <v>10</v>
      </c>
      <c r="AL1885" s="4">
        <v>26</v>
      </c>
      <c r="AM1885" s="4">
        <v>26</v>
      </c>
      <c r="AN1885" s="4">
        <v>0</v>
      </c>
      <c r="AO1885" s="4">
        <v>0</v>
      </c>
      <c r="AP1885" s="4">
        <v>11</v>
      </c>
      <c r="AQ1885" s="4">
        <v>12</v>
      </c>
      <c r="AR1885" s="3" t="s">
        <v>62</v>
      </c>
      <c r="AS1885" s="3" t="s">
        <v>62</v>
      </c>
      <c r="AT1885" s="3" t="s">
        <v>62</v>
      </c>
      <c r="AV1885" s="6" t="str">
        <f>HYPERLINK("http://mcgill.on.worldcat.org/oclc/812017889","Catalog Record")</f>
        <v>Catalog Record</v>
      </c>
      <c r="AW1885" s="6" t="str">
        <f>HYPERLINK("http://www.worldcat.org/oclc/812017889","WorldCat Record")</f>
        <v>WorldCat Record</v>
      </c>
      <c r="AX1885" s="3" t="s">
        <v>18219</v>
      </c>
      <c r="AY1885" s="3" t="s">
        <v>18220</v>
      </c>
      <c r="AZ1885" s="3" t="s">
        <v>18221</v>
      </c>
      <c r="BA1885" s="3" t="s">
        <v>18221</v>
      </c>
      <c r="BB1885" s="3" t="s">
        <v>18222</v>
      </c>
      <c r="BC1885" s="3" t="s">
        <v>142</v>
      </c>
      <c r="BD1885" s="3" t="s">
        <v>68</v>
      </c>
      <c r="BE1885" s="3" t="s">
        <v>18223</v>
      </c>
      <c r="BF1885" s="3" t="s">
        <v>18222</v>
      </c>
      <c r="BG1885" s="3" t="s">
        <v>18224</v>
      </c>
    </row>
    <row r="1886" spans="1:59" ht="57" x14ac:dyDescent="0.45">
      <c r="A1886" s="2" t="s">
        <v>59</v>
      </c>
      <c r="B1886" s="2" t="s">
        <v>60</v>
      </c>
      <c r="C1886" s="2" t="s">
        <v>18225</v>
      </c>
      <c r="D1886" s="2" t="s">
        <v>18226</v>
      </c>
      <c r="E1886" s="2" t="s">
        <v>18227</v>
      </c>
      <c r="G1886" s="3" t="s">
        <v>62</v>
      </c>
      <c r="I1886" s="3" t="s">
        <v>61</v>
      </c>
      <c r="J1886" s="3" t="s">
        <v>62</v>
      </c>
      <c r="K1886" s="3" t="s">
        <v>63</v>
      </c>
      <c r="L1886" s="2" t="s">
        <v>13305</v>
      </c>
      <c r="M1886" s="2" t="s">
        <v>18228</v>
      </c>
      <c r="N1886" s="3" t="s">
        <v>167</v>
      </c>
      <c r="P1886" s="3" t="s">
        <v>65</v>
      </c>
      <c r="R1886" s="3" t="s">
        <v>66</v>
      </c>
      <c r="S1886" s="4">
        <v>15</v>
      </c>
      <c r="T1886" s="4">
        <v>33</v>
      </c>
      <c r="U1886" s="5" t="s">
        <v>18229</v>
      </c>
      <c r="V1886" s="5" t="s">
        <v>6808</v>
      </c>
      <c r="W1886" s="5" t="s">
        <v>67</v>
      </c>
      <c r="X1886" s="5" t="s">
        <v>67</v>
      </c>
      <c r="Y1886" s="4">
        <v>152</v>
      </c>
      <c r="Z1886" s="4">
        <v>76</v>
      </c>
      <c r="AA1886" s="4">
        <v>82</v>
      </c>
      <c r="AB1886" s="4">
        <v>3</v>
      </c>
      <c r="AC1886" s="4">
        <v>5</v>
      </c>
      <c r="AD1886" s="4">
        <v>44</v>
      </c>
      <c r="AE1886" s="4">
        <v>51</v>
      </c>
      <c r="AF1886" s="4">
        <v>1</v>
      </c>
      <c r="AG1886" s="4">
        <v>3</v>
      </c>
      <c r="AH1886" s="4">
        <v>21</v>
      </c>
      <c r="AI1886" s="4">
        <v>26</v>
      </c>
      <c r="AJ1886" s="4">
        <v>18</v>
      </c>
      <c r="AK1886" s="4">
        <v>20</v>
      </c>
      <c r="AL1886" s="4">
        <v>9</v>
      </c>
      <c r="AM1886" s="4">
        <v>13</v>
      </c>
      <c r="AN1886" s="4">
        <v>0</v>
      </c>
      <c r="AO1886" s="4">
        <v>0</v>
      </c>
      <c r="AP1886" s="4">
        <v>28</v>
      </c>
      <c r="AQ1886" s="4">
        <v>31</v>
      </c>
      <c r="AR1886" s="3" t="s">
        <v>61</v>
      </c>
      <c r="AS1886" s="3" t="s">
        <v>62</v>
      </c>
      <c r="AT1886" s="3" t="s">
        <v>62</v>
      </c>
      <c r="AV1886" s="6" t="str">
        <f>HYPERLINK("http://mcgill.on.worldcat.org/oclc/40574024","Catalog Record")</f>
        <v>Catalog Record</v>
      </c>
      <c r="AW1886" s="6" t="str">
        <f>HYPERLINK("http://www.worldcat.org/oclc/40574024","WorldCat Record")</f>
        <v>WorldCat Record</v>
      </c>
      <c r="AX1886" s="3" t="s">
        <v>18230</v>
      </c>
      <c r="AY1886" s="3" t="s">
        <v>18231</v>
      </c>
      <c r="AZ1886" s="3" t="s">
        <v>18232</v>
      </c>
      <c r="BA1886" s="3" t="s">
        <v>18232</v>
      </c>
      <c r="BB1886" s="3" t="s">
        <v>18233</v>
      </c>
      <c r="BC1886" s="3" t="s">
        <v>142</v>
      </c>
      <c r="BD1886" s="3" t="s">
        <v>68</v>
      </c>
      <c r="BE1886" s="3" t="s">
        <v>18234</v>
      </c>
      <c r="BF1886" s="3" t="s">
        <v>18233</v>
      </c>
      <c r="BG1886" s="3" t="s">
        <v>18235</v>
      </c>
    </row>
    <row r="1887" spans="1:59" ht="57" x14ac:dyDescent="0.45">
      <c r="A1887" s="2" t="s">
        <v>59</v>
      </c>
      <c r="B1887" s="2" t="s">
        <v>60</v>
      </c>
      <c r="C1887" s="2" t="s">
        <v>18225</v>
      </c>
      <c r="D1887" s="2" t="s">
        <v>18226</v>
      </c>
      <c r="E1887" s="2" t="s">
        <v>18227</v>
      </c>
      <c r="G1887" s="3" t="s">
        <v>62</v>
      </c>
      <c r="I1887" s="3" t="s">
        <v>61</v>
      </c>
      <c r="J1887" s="3" t="s">
        <v>62</v>
      </c>
      <c r="K1887" s="3" t="s">
        <v>63</v>
      </c>
      <c r="L1887" s="2" t="s">
        <v>13305</v>
      </c>
      <c r="M1887" s="2" t="s">
        <v>18228</v>
      </c>
      <c r="N1887" s="3" t="s">
        <v>167</v>
      </c>
      <c r="P1887" s="3" t="s">
        <v>65</v>
      </c>
      <c r="R1887" s="3" t="s">
        <v>66</v>
      </c>
      <c r="S1887" s="4">
        <v>18</v>
      </c>
      <c r="T1887" s="4">
        <v>33</v>
      </c>
      <c r="U1887" s="5" t="s">
        <v>6808</v>
      </c>
      <c r="V1887" s="5" t="s">
        <v>6808</v>
      </c>
      <c r="W1887" s="5" t="s">
        <v>67</v>
      </c>
      <c r="X1887" s="5" t="s">
        <v>67</v>
      </c>
      <c r="Y1887" s="4">
        <v>152</v>
      </c>
      <c r="Z1887" s="4">
        <v>76</v>
      </c>
      <c r="AA1887" s="4">
        <v>82</v>
      </c>
      <c r="AB1887" s="4">
        <v>3</v>
      </c>
      <c r="AC1887" s="4">
        <v>5</v>
      </c>
      <c r="AD1887" s="4">
        <v>44</v>
      </c>
      <c r="AE1887" s="4">
        <v>51</v>
      </c>
      <c r="AF1887" s="4">
        <v>1</v>
      </c>
      <c r="AG1887" s="4">
        <v>3</v>
      </c>
      <c r="AH1887" s="4">
        <v>21</v>
      </c>
      <c r="AI1887" s="4">
        <v>26</v>
      </c>
      <c r="AJ1887" s="4">
        <v>18</v>
      </c>
      <c r="AK1887" s="4">
        <v>20</v>
      </c>
      <c r="AL1887" s="4">
        <v>9</v>
      </c>
      <c r="AM1887" s="4">
        <v>13</v>
      </c>
      <c r="AN1887" s="4">
        <v>0</v>
      </c>
      <c r="AO1887" s="4">
        <v>0</v>
      </c>
      <c r="AP1887" s="4">
        <v>28</v>
      </c>
      <c r="AQ1887" s="4">
        <v>31</v>
      </c>
      <c r="AR1887" s="3" t="s">
        <v>61</v>
      </c>
      <c r="AS1887" s="3" t="s">
        <v>62</v>
      </c>
      <c r="AT1887" s="3" t="s">
        <v>62</v>
      </c>
      <c r="AV1887" s="6" t="str">
        <f>HYPERLINK("http://mcgill.on.worldcat.org/oclc/40574024","Catalog Record")</f>
        <v>Catalog Record</v>
      </c>
      <c r="AW1887" s="6" t="str">
        <f>HYPERLINK("http://www.worldcat.org/oclc/40574024","WorldCat Record")</f>
        <v>WorldCat Record</v>
      </c>
      <c r="AX1887" s="3" t="s">
        <v>18230</v>
      </c>
      <c r="AY1887" s="3" t="s">
        <v>18231</v>
      </c>
      <c r="AZ1887" s="3" t="s">
        <v>18232</v>
      </c>
      <c r="BA1887" s="3" t="s">
        <v>18232</v>
      </c>
      <c r="BB1887" s="3" t="s">
        <v>18236</v>
      </c>
      <c r="BC1887" s="3" t="s">
        <v>142</v>
      </c>
      <c r="BD1887" s="3" t="s">
        <v>68</v>
      </c>
      <c r="BE1887" s="3" t="s">
        <v>18234</v>
      </c>
      <c r="BF1887" s="3" t="s">
        <v>18236</v>
      </c>
      <c r="BG1887" s="3" t="s">
        <v>18237</v>
      </c>
    </row>
    <row r="1888" spans="1:59" ht="57" x14ac:dyDescent="0.45">
      <c r="A1888" s="2" t="s">
        <v>59</v>
      </c>
      <c r="B1888" s="2" t="s">
        <v>60</v>
      </c>
      <c r="C1888" s="2" t="s">
        <v>18238</v>
      </c>
      <c r="D1888" s="2" t="s">
        <v>18239</v>
      </c>
      <c r="E1888" s="2" t="s">
        <v>18240</v>
      </c>
      <c r="G1888" s="3" t="s">
        <v>62</v>
      </c>
      <c r="I1888" s="3" t="s">
        <v>62</v>
      </c>
      <c r="J1888" s="3" t="s">
        <v>62</v>
      </c>
      <c r="K1888" s="3" t="s">
        <v>63</v>
      </c>
      <c r="M1888" s="2" t="s">
        <v>18241</v>
      </c>
      <c r="N1888" s="3" t="s">
        <v>945</v>
      </c>
      <c r="P1888" s="3" t="s">
        <v>65</v>
      </c>
      <c r="R1888" s="3" t="s">
        <v>66</v>
      </c>
      <c r="S1888" s="4">
        <v>3</v>
      </c>
      <c r="T1888" s="4">
        <v>3</v>
      </c>
      <c r="U1888" s="5" t="s">
        <v>18242</v>
      </c>
      <c r="V1888" s="5" t="s">
        <v>18242</v>
      </c>
      <c r="W1888" s="5" t="s">
        <v>67</v>
      </c>
      <c r="X1888" s="5" t="s">
        <v>67</v>
      </c>
      <c r="Y1888" s="4">
        <v>151</v>
      </c>
      <c r="Z1888" s="4">
        <v>16</v>
      </c>
      <c r="AA1888" s="4">
        <v>108</v>
      </c>
      <c r="AB1888" s="4">
        <v>2</v>
      </c>
      <c r="AC1888" s="4">
        <v>17</v>
      </c>
      <c r="AD1888" s="4">
        <v>54</v>
      </c>
      <c r="AE1888" s="4">
        <v>138</v>
      </c>
      <c r="AF1888" s="4">
        <v>1</v>
      </c>
      <c r="AG1888" s="4">
        <v>8</v>
      </c>
      <c r="AH1888" s="4">
        <v>47</v>
      </c>
      <c r="AI1888" s="4">
        <v>98</v>
      </c>
      <c r="AJ1888" s="4">
        <v>12</v>
      </c>
      <c r="AK1888" s="4">
        <v>24</v>
      </c>
      <c r="AL1888" s="4">
        <v>23</v>
      </c>
      <c r="AM1888" s="4">
        <v>49</v>
      </c>
      <c r="AN1888" s="4">
        <v>0</v>
      </c>
      <c r="AO1888" s="4">
        <v>0</v>
      </c>
      <c r="AP1888" s="4">
        <v>13</v>
      </c>
      <c r="AQ1888" s="4">
        <v>47</v>
      </c>
      <c r="AR1888" s="3" t="s">
        <v>62</v>
      </c>
      <c r="AS1888" s="3" t="s">
        <v>62</v>
      </c>
      <c r="AT1888" s="3" t="s">
        <v>62</v>
      </c>
      <c r="AV1888" s="6" t="str">
        <f>HYPERLINK("http://mcgill.on.worldcat.org/oclc/166366950","Catalog Record")</f>
        <v>Catalog Record</v>
      </c>
      <c r="AW1888" s="6" t="str">
        <f>HYPERLINK("http://www.worldcat.org/oclc/166366950","WorldCat Record")</f>
        <v>WorldCat Record</v>
      </c>
      <c r="AX1888" s="3" t="s">
        <v>18243</v>
      </c>
      <c r="AY1888" s="3" t="s">
        <v>18244</v>
      </c>
      <c r="AZ1888" s="3" t="s">
        <v>18245</v>
      </c>
      <c r="BA1888" s="3" t="s">
        <v>18245</v>
      </c>
      <c r="BB1888" s="3" t="s">
        <v>18246</v>
      </c>
      <c r="BC1888" s="3" t="s">
        <v>142</v>
      </c>
      <c r="BD1888" s="3" t="s">
        <v>68</v>
      </c>
      <c r="BE1888" s="3" t="s">
        <v>18247</v>
      </c>
      <c r="BF1888" s="3" t="s">
        <v>18246</v>
      </c>
      <c r="BG1888" s="3" t="s">
        <v>18248</v>
      </c>
    </row>
    <row r="1889" spans="1:59" ht="57" x14ac:dyDescent="0.45">
      <c r="A1889" s="2" t="s">
        <v>59</v>
      </c>
      <c r="B1889" s="2" t="s">
        <v>60</v>
      </c>
      <c r="C1889" s="2" t="s">
        <v>18249</v>
      </c>
      <c r="D1889" s="2" t="s">
        <v>18250</v>
      </c>
      <c r="E1889" s="2" t="s">
        <v>18251</v>
      </c>
      <c r="G1889" s="3" t="s">
        <v>62</v>
      </c>
      <c r="I1889" s="3" t="s">
        <v>62</v>
      </c>
      <c r="J1889" s="3" t="s">
        <v>62</v>
      </c>
      <c r="K1889" s="3" t="s">
        <v>63</v>
      </c>
      <c r="M1889" s="2" t="s">
        <v>18252</v>
      </c>
      <c r="N1889" s="3" t="s">
        <v>116</v>
      </c>
      <c r="P1889" s="3" t="s">
        <v>65</v>
      </c>
      <c r="Q1889" s="2" t="s">
        <v>18253</v>
      </c>
      <c r="R1889" s="3" t="s">
        <v>66</v>
      </c>
      <c r="S1889" s="4">
        <v>3</v>
      </c>
      <c r="T1889" s="4">
        <v>3</v>
      </c>
      <c r="U1889" s="5" t="s">
        <v>18242</v>
      </c>
      <c r="V1889" s="5" t="s">
        <v>18242</v>
      </c>
      <c r="W1889" s="5" t="s">
        <v>67</v>
      </c>
      <c r="X1889" s="5" t="s">
        <v>67</v>
      </c>
      <c r="Y1889" s="4">
        <v>90</v>
      </c>
      <c r="Z1889" s="4">
        <v>11</v>
      </c>
      <c r="AA1889" s="4">
        <v>76</v>
      </c>
      <c r="AB1889" s="4">
        <v>2</v>
      </c>
      <c r="AC1889" s="4">
        <v>15</v>
      </c>
      <c r="AD1889" s="4">
        <v>35</v>
      </c>
      <c r="AE1889" s="4">
        <v>112</v>
      </c>
      <c r="AF1889" s="4">
        <v>1</v>
      </c>
      <c r="AG1889" s="4">
        <v>8</v>
      </c>
      <c r="AH1889" s="4">
        <v>32</v>
      </c>
      <c r="AI1889" s="4">
        <v>80</v>
      </c>
      <c r="AJ1889" s="4">
        <v>9</v>
      </c>
      <c r="AK1889" s="4">
        <v>22</v>
      </c>
      <c r="AL1889" s="4">
        <v>18</v>
      </c>
      <c r="AM1889" s="4">
        <v>41</v>
      </c>
      <c r="AN1889" s="4">
        <v>0</v>
      </c>
      <c r="AO1889" s="4">
        <v>0</v>
      </c>
      <c r="AP1889" s="4">
        <v>9</v>
      </c>
      <c r="AQ1889" s="4">
        <v>41</v>
      </c>
      <c r="AR1889" s="3" t="s">
        <v>62</v>
      </c>
      <c r="AS1889" s="3" t="s">
        <v>62</v>
      </c>
      <c r="AT1889" s="3" t="s">
        <v>62</v>
      </c>
      <c r="AV1889" s="6" t="str">
        <f>HYPERLINK("http://mcgill.on.worldcat.org/oclc/754733869","Catalog Record")</f>
        <v>Catalog Record</v>
      </c>
      <c r="AW1889" s="6" t="str">
        <f>HYPERLINK("http://www.worldcat.org/oclc/754733869","WorldCat Record")</f>
        <v>WorldCat Record</v>
      </c>
      <c r="AX1889" s="3" t="s">
        <v>18254</v>
      </c>
      <c r="AY1889" s="3" t="s">
        <v>18255</v>
      </c>
      <c r="AZ1889" s="3" t="s">
        <v>18256</v>
      </c>
      <c r="BA1889" s="3" t="s">
        <v>18256</v>
      </c>
      <c r="BB1889" s="3" t="s">
        <v>18257</v>
      </c>
      <c r="BC1889" s="3" t="s">
        <v>142</v>
      </c>
      <c r="BD1889" s="3" t="s">
        <v>68</v>
      </c>
      <c r="BE1889" s="3" t="s">
        <v>18258</v>
      </c>
      <c r="BF1889" s="3" t="s">
        <v>18257</v>
      </c>
      <c r="BG1889" s="3" t="s">
        <v>18259</v>
      </c>
    </row>
    <row r="1890" spans="1:59" ht="57" x14ac:dyDescent="0.45">
      <c r="A1890" s="2" t="s">
        <v>59</v>
      </c>
      <c r="B1890" s="2" t="s">
        <v>60</v>
      </c>
      <c r="C1890" s="2" t="s">
        <v>18260</v>
      </c>
      <c r="D1890" s="2" t="s">
        <v>18261</v>
      </c>
      <c r="E1890" s="2" t="s">
        <v>18262</v>
      </c>
      <c r="G1890" s="3" t="s">
        <v>62</v>
      </c>
      <c r="I1890" s="3" t="s">
        <v>62</v>
      </c>
      <c r="J1890" s="3" t="s">
        <v>61</v>
      </c>
      <c r="K1890" s="3" t="s">
        <v>63</v>
      </c>
      <c r="M1890" s="2" t="s">
        <v>18263</v>
      </c>
      <c r="N1890" s="3" t="s">
        <v>894</v>
      </c>
      <c r="O1890" s="2" t="s">
        <v>15116</v>
      </c>
      <c r="P1890" s="3" t="s">
        <v>65</v>
      </c>
      <c r="R1890" s="3" t="s">
        <v>66</v>
      </c>
      <c r="S1890" s="4">
        <v>6</v>
      </c>
      <c r="T1890" s="4">
        <v>6</v>
      </c>
      <c r="U1890" s="5" t="s">
        <v>18264</v>
      </c>
      <c r="V1890" s="5" t="s">
        <v>18264</v>
      </c>
      <c r="W1890" s="5" t="s">
        <v>67</v>
      </c>
      <c r="X1890" s="5" t="s">
        <v>67</v>
      </c>
      <c r="Y1890" s="4">
        <v>83</v>
      </c>
      <c r="Z1890" s="4">
        <v>9</v>
      </c>
      <c r="AA1890" s="4">
        <v>48</v>
      </c>
      <c r="AB1890" s="4">
        <v>1</v>
      </c>
      <c r="AC1890" s="4">
        <v>9</v>
      </c>
      <c r="AD1890" s="4">
        <v>9</v>
      </c>
      <c r="AE1890" s="4">
        <v>84</v>
      </c>
      <c r="AF1890" s="4">
        <v>0</v>
      </c>
      <c r="AG1890" s="4">
        <v>4</v>
      </c>
      <c r="AH1890" s="4">
        <v>7</v>
      </c>
      <c r="AI1890" s="4">
        <v>65</v>
      </c>
      <c r="AJ1890" s="4">
        <v>0</v>
      </c>
      <c r="AK1890" s="4">
        <v>19</v>
      </c>
      <c r="AL1890" s="4">
        <v>6</v>
      </c>
      <c r="AM1890" s="4">
        <v>30</v>
      </c>
      <c r="AN1890" s="4">
        <v>0</v>
      </c>
      <c r="AO1890" s="4">
        <v>0</v>
      </c>
      <c r="AP1890" s="4">
        <v>2</v>
      </c>
      <c r="AQ1890" s="4">
        <v>26</v>
      </c>
      <c r="AR1890" s="3" t="s">
        <v>62</v>
      </c>
      <c r="AS1890" s="3" t="s">
        <v>62</v>
      </c>
      <c r="AT1890" s="3" t="s">
        <v>62</v>
      </c>
      <c r="AV1890" s="6" t="str">
        <f>HYPERLINK("http://mcgill.on.worldcat.org/oclc/436028134","Catalog Record")</f>
        <v>Catalog Record</v>
      </c>
      <c r="AW1890" s="6" t="str">
        <f>HYPERLINK("http://www.worldcat.org/oclc/436028134","WorldCat Record")</f>
        <v>WorldCat Record</v>
      </c>
      <c r="AX1890" s="3" t="s">
        <v>18265</v>
      </c>
      <c r="AY1890" s="3" t="s">
        <v>18266</v>
      </c>
      <c r="AZ1890" s="3" t="s">
        <v>18267</v>
      </c>
      <c r="BA1890" s="3" t="s">
        <v>18267</v>
      </c>
      <c r="BB1890" s="3" t="s">
        <v>18268</v>
      </c>
      <c r="BC1890" s="3" t="s">
        <v>142</v>
      </c>
      <c r="BD1890" s="3" t="s">
        <v>68</v>
      </c>
      <c r="BE1890" s="3" t="s">
        <v>18269</v>
      </c>
      <c r="BF1890" s="3" t="s">
        <v>18268</v>
      </c>
      <c r="BG1890" s="3" t="s">
        <v>18270</v>
      </c>
    </row>
    <row r="1891" spans="1:59" ht="57" x14ac:dyDescent="0.45">
      <c r="A1891" s="2" t="s">
        <v>59</v>
      </c>
      <c r="B1891" s="2" t="s">
        <v>60</v>
      </c>
      <c r="C1891" s="2" t="s">
        <v>18271</v>
      </c>
      <c r="D1891" s="2" t="s">
        <v>18272</v>
      </c>
      <c r="E1891" s="2" t="s">
        <v>18273</v>
      </c>
      <c r="G1891" s="3" t="s">
        <v>62</v>
      </c>
      <c r="I1891" s="3" t="s">
        <v>62</v>
      </c>
      <c r="J1891" s="3" t="s">
        <v>62</v>
      </c>
      <c r="K1891" s="3" t="s">
        <v>63</v>
      </c>
      <c r="M1891" s="2" t="s">
        <v>18274</v>
      </c>
      <c r="N1891" s="3" t="s">
        <v>894</v>
      </c>
      <c r="P1891" s="3" t="s">
        <v>65</v>
      </c>
      <c r="R1891" s="3" t="s">
        <v>66</v>
      </c>
      <c r="S1891" s="4">
        <v>3</v>
      </c>
      <c r="T1891" s="4">
        <v>3</v>
      </c>
      <c r="U1891" s="5" t="s">
        <v>18072</v>
      </c>
      <c r="V1891" s="5" t="s">
        <v>18072</v>
      </c>
      <c r="W1891" s="5" t="s">
        <v>67</v>
      </c>
      <c r="X1891" s="5" t="s">
        <v>67</v>
      </c>
      <c r="Y1891" s="4">
        <v>139</v>
      </c>
      <c r="Z1891" s="4">
        <v>11</v>
      </c>
      <c r="AA1891" s="4">
        <v>19</v>
      </c>
      <c r="AB1891" s="4">
        <v>1</v>
      </c>
      <c r="AC1891" s="4">
        <v>6</v>
      </c>
      <c r="AD1891" s="4">
        <v>19</v>
      </c>
      <c r="AE1891" s="4">
        <v>25</v>
      </c>
      <c r="AF1891" s="4">
        <v>0</v>
      </c>
      <c r="AG1891" s="4">
        <v>3</v>
      </c>
      <c r="AH1891" s="4">
        <v>16</v>
      </c>
      <c r="AI1891" s="4">
        <v>18</v>
      </c>
      <c r="AJ1891" s="4">
        <v>5</v>
      </c>
      <c r="AK1891" s="4">
        <v>7</v>
      </c>
      <c r="AL1891" s="4">
        <v>10</v>
      </c>
      <c r="AM1891" s="4">
        <v>11</v>
      </c>
      <c r="AN1891" s="4">
        <v>0</v>
      </c>
      <c r="AO1891" s="4">
        <v>0</v>
      </c>
      <c r="AP1891" s="4">
        <v>6</v>
      </c>
      <c r="AQ1891" s="4">
        <v>10</v>
      </c>
      <c r="AR1891" s="3" t="s">
        <v>62</v>
      </c>
      <c r="AS1891" s="3" t="s">
        <v>62</v>
      </c>
      <c r="AT1891" s="3" t="s">
        <v>62</v>
      </c>
      <c r="AV1891" s="6" t="str">
        <f>HYPERLINK("http://mcgill.on.worldcat.org/oclc/687713166","Catalog Record")</f>
        <v>Catalog Record</v>
      </c>
      <c r="AW1891" s="6" t="str">
        <f>HYPERLINK("http://www.worldcat.org/oclc/687713166","WorldCat Record")</f>
        <v>WorldCat Record</v>
      </c>
      <c r="AX1891" s="3" t="s">
        <v>18275</v>
      </c>
      <c r="AY1891" s="3" t="s">
        <v>18276</v>
      </c>
      <c r="AZ1891" s="3" t="s">
        <v>18277</v>
      </c>
      <c r="BA1891" s="3" t="s">
        <v>18277</v>
      </c>
      <c r="BB1891" s="3" t="s">
        <v>18278</v>
      </c>
      <c r="BC1891" s="3" t="s">
        <v>142</v>
      </c>
      <c r="BD1891" s="3" t="s">
        <v>68</v>
      </c>
      <c r="BE1891" s="3" t="s">
        <v>18279</v>
      </c>
      <c r="BF1891" s="3" t="s">
        <v>18278</v>
      </c>
      <c r="BG1891" s="3" t="s">
        <v>18280</v>
      </c>
    </row>
    <row r="1892" spans="1:59" ht="57" x14ac:dyDescent="0.45">
      <c r="A1892" s="2" t="s">
        <v>59</v>
      </c>
      <c r="B1892" s="2" t="s">
        <v>60</v>
      </c>
      <c r="C1892" s="2" t="s">
        <v>18281</v>
      </c>
      <c r="D1892" s="2" t="s">
        <v>18282</v>
      </c>
      <c r="E1892" s="2" t="s">
        <v>18283</v>
      </c>
      <c r="G1892" s="3" t="s">
        <v>62</v>
      </c>
      <c r="I1892" s="3" t="s">
        <v>62</v>
      </c>
      <c r="J1892" s="3" t="s">
        <v>62</v>
      </c>
      <c r="K1892" s="3" t="s">
        <v>63</v>
      </c>
      <c r="M1892" s="2" t="s">
        <v>18284</v>
      </c>
      <c r="N1892" s="3" t="s">
        <v>918</v>
      </c>
      <c r="P1892" s="3" t="s">
        <v>65</v>
      </c>
      <c r="R1892" s="3" t="s">
        <v>66</v>
      </c>
      <c r="S1892" s="4">
        <v>26</v>
      </c>
      <c r="T1892" s="4">
        <v>26</v>
      </c>
      <c r="U1892" s="5" t="s">
        <v>18285</v>
      </c>
      <c r="V1892" s="5" t="s">
        <v>18285</v>
      </c>
      <c r="W1892" s="5" t="s">
        <v>67</v>
      </c>
      <c r="X1892" s="5" t="s">
        <v>67</v>
      </c>
      <c r="Y1892" s="4">
        <v>339</v>
      </c>
      <c r="Z1892" s="4">
        <v>32</v>
      </c>
      <c r="AA1892" s="4">
        <v>34</v>
      </c>
      <c r="AB1892" s="4">
        <v>2</v>
      </c>
      <c r="AC1892" s="4">
        <v>4</v>
      </c>
      <c r="AD1892" s="4">
        <v>80</v>
      </c>
      <c r="AE1892" s="4">
        <v>82</v>
      </c>
      <c r="AF1892" s="4">
        <v>1</v>
      </c>
      <c r="AG1892" s="4">
        <v>3</v>
      </c>
      <c r="AH1892" s="4">
        <v>68</v>
      </c>
      <c r="AI1892" s="4">
        <v>69</v>
      </c>
      <c r="AJ1892" s="4">
        <v>14</v>
      </c>
      <c r="AK1892" s="4">
        <v>16</v>
      </c>
      <c r="AL1892" s="4">
        <v>39</v>
      </c>
      <c r="AM1892" s="4">
        <v>39</v>
      </c>
      <c r="AN1892" s="4">
        <v>0</v>
      </c>
      <c r="AO1892" s="4">
        <v>0</v>
      </c>
      <c r="AP1892" s="4">
        <v>20</v>
      </c>
      <c r="AQ1892" s="4">
        <v>22</v>
      </c>
      <c r="AR1892" s="3" t="s">
        <v>62</v>
      </c>
      <c r="AS1892" s="3" t="s">
        <v>62</v>
      </c>
      <c r="AT1892" s="3" t="s">
        <v>62</v>
      </c>
      <c r="AV1892" s="6" t="str">
        <f>HYPERLINK("http://mcgill.on.worldcat.org/oclc/51623103","Catalog Record")</f>
        <v>Catalog Record</v>
      </c>
      <c r="AW1892" s="6" t="str">
        <f>HYPERLINK("http://www.worldcat.org/oclc/51623103","WorldCat Record")</f>
        <v>WorldCat Record</v>
      </c>
      <c r="AX1892" s="3" t="s">
        <v>18286</v>
      </c>
      <c r="AY1892" s="3" t="s">
        <v>18287</v>
      </c>
      <c r="AZ1892" s="3" t="s">
        <v>18288</v>
      </c>
      <c r="BA1892" s="3" t="s">
        <v>18288</v>
      </c>
      <c r="BB1892" s="3" t="s">
        <v>18289</v>
      </c>
      <c r="BC1892" s="3" t="s">
        <v>142</v>
      </c>
      <c r="BD1892" s="3" t="s">
        <v>308</v>
      </c>
      <c r="BE1892" s="3" t="s">
        <v>18290</v>
      </c>
      <c r="BF1892" s="3" t="s">
        <v>18289</v>
      </c>
      <c r="BG1892" s="3" t="s">
        <v>18291</v>
      </c>
    </row>
    <row r="1893" spans="1:59" ht="57" x14ac:dyDescent="0.45">
      <c r="A1893" s="2" t="s">
        <v>59</v>
      </c>
      <c r="B1893" s="2" t="s">
        <v>60</v>
      </c>
      <c r="C1893" s="2" t="s">
        <v>18292</v>
      </c>
      <c r="D1893" s="2" t="s">
        <v>18293</v>
      </c>
      <c r="E1893" s="2" t="s">
        <v>18294</v>
      </c>
      <c r="G1893" s="3" t="s">
        <v>62</v>
      </c>
      <c r="I1893" s="3" t="s">
        <v>62</v>
      </c>
      <c r="J1893" s="3" t="s">
        <v>62</v>
      </c>
      <c r="K1893" s="3" t="s">
        <v>63</v>
      </c>
      <c r="M1893" s="2" t="s">
        <v>18295</v>
      </c>
      <c r="N1893" s="3" t="s">
        <v>1465</v>
      </c>
      <c r="P1893" s="3" t="s">
        <v>65</v>
      </c>
      <c r="Q1893" s="2" t="s">
        <v>18296</v>
      </c>
      <c r="R1893" s="3" t="s">
        <v>66</v>
      </c>
      <c r="S1893" s="4">
        <v>5</v>
      </c>
      <c r="T1893" s="4">
        <v>5</v>
      </c>
      <c r="U1893" s="5" t="s">
        <v>18297</v>
      </c>
      <c r="V1893" s="5" t="s">
        <v>18297</v>
      </c>
      <c r="W1893" s="5" t="s">
        <v>67</v>
      </c>
      <c r="X1893" s="5" t="s">
        <v>67</v>
      </c>
      <c r="Y1893" s="4">
        <v>125</v>
      </c>
      <c r="Z1893" s="4">
        <v>16</v>
      </c>
      <c r="AA1893" s="4">
        <v>90</v>
      </c>
      <c r="AB1893" s="4">
        <v>3</v>
      </c>
      <c r="AC1893" s="4">
        <v>18</v>
      </c>
      <c r="AD1893" s="4">
        <v>53</v>
      </c>
      <c r="AE1893" s="4">
        <v>120</v>
      </c>
      <c r="AF1893" s="4">
        <v>1</v>
      </c>
      <c r="AG1893" s="4">
        <v>8</v>
      </c>
      <c r="AH1893" s="4">
        <v>46</v>
      </c>
      <c r="AI1893" s="4">
        <v>85</v>
      </c>
      <c r="AJ1893" s="4">
        <v>11</v>
      </c>
      <c r="AK1893" s="4">
        <v>22</v>
      </c>
      <c r="AL1893" s="4">
        <v>29</v>
      </c>
      <c r="AM1893" s="4">
        <v>46</v>
      </c>
      <c r="AN1893" s="4">
        <v>0</v>
      </c>
      <c r="AO1893" s="4">
        <v>0</v>
      </c>
      <c r="AP1893" s="4">
        <v>13</v>
      </c>
      <c r="AQ1893" s="4">
        <v>44</v>
      </c>
      <c r="AR1893" s="3" t="s">
        <v>62</v>
      </c>
      <c r="AS1893" s="3" t="s">
        <v>62</v>
      </c>
      <c r="AT1893" s="3" t="s">
        <v>62</v>
      </c>
      <c r="AV1893" s="6" t="str">
        <f>HYPERLINK("http://mcgill.on.worldcat.org/oclc/259265284","Catalog Record")</f>
        <v>Catalog Record</v>
      </c>
      <c r="AW1893" s="6" t="str">
        <f>HYPERLINK("http://www.worldcat.org/oclc/259265284","WorldCat Record")</f>
        <v>WorldCat Record</v>
      </c>
      <c r="AX1893" s="3" t="s">
        <v>18298</v>
      </c>
      <c r="AY1893" s="3" t="s">
        <v>18299</v>
      </c>
      <c r="AZ1893" s="3" t="s">
        <v>18300</v>
      </c>
      <c r="BA1893" s="3" t="s">
        <v>18300</v>
      </c>
      <c r="BB1893" s="3" t="s">
        <v>18301</v>
      </c>
      <c r="BC1893" s="3" t="s">
        <v>142</v>
      </c>
      <c r="BD1893" s="3" t="s">
        <v>68</v>
      </c>
      <c r="BE1893" s="3" t="s">
        <v>18302</v>
      </c>
      <c r="BF1893" s="3" t="s">
        <v>18301</v>
      </c>
      <c r="BG1893" s="3" t="s">
        <v>18303</v>
      </c>
    </row>
    <row r="1894" spans="1:59" ht="57" x14ac:dyDescent="0.45">
      <c r="A1894" s="2" t="s">
        <v>59</v>
      </c>
      <c r="B1894" s="2" t="s">
        <v>60</v>
      </c>
      <c r="C1894" s="2" t="s">
        <v>18304</v>
      </c>
      <c r="D1894" s="2" t="s">
        <v>18305</v>
      </c>
      <c r="E1894" s="2" t="s">
        <v>18306</v>
      </c>
      <c r="G1894" s="3" t="s">
        <v>62</v>
      </c>
      <c r="I1894" s="3" t="s">
        <v>62</v>
      </c>
      <c r="J1894" s="3" t="s">
        <v>62</v>
      </c>
      <c r="K1894" s="3" t="s">
        <v>63</v>
      </c>
      <c r="M1894" s="2" t="s">
        <v>5568</v>
      </c>
      <c r="N1894" s="3" t="s">
        <v>1155</v>
      </c>
      <c r="P1894" s="3" t="s">
        <v>65</v>
      </c>
      <c r="R1894" s="3" t="s">
        <v>66</v>
      </c>
      <c r="S1894" s="4">
        <v>2</v>
      </c>
      <c r="T1894" s="4">
        <v>2</v>
      </c>
      <c r="U1894" s="5" t="s">
        <v>16715</v>
      </c>
      <c r="V1894" s="5" t="s">
        <v>16715</v>
      </c>
      <c r="W1894" s="5" t="s">
        <v>67</v>
      </c>
      <c r="X1894" s="5" t="s">
        <v>67</v>
      </c>
      <c r="Y1894" s="4">
        <v>174</v>
      </c>
      <c r="Z1894" s="4">
        <v>23</v>
      </c>
      <c r="AA1894" s="4">
        <v>24</v>
      </c>
      <c r="AB1894" s="4">
        <v>2</v>
      </c>
      <c r="AC1894" s="4">
        <v>3</v>
      </c>
      <c r="AD1894" s="4">
        <v>72</v>
      </c>
      <c r="AE1894" s="4">
        <v>73</v>
      </c>
      <c r="AF1894" s="4">
        <v>1</v>
      </c>
      <c r="AG1894" s="4">
        <v>2</v>
      </c>
      <c r="AH1894" s="4">
        <v>64</v>
      </c>
      <c r="AI1894" s="4">
        <v>65</v>
      </c>
      <c r="AJ1894" s="4">
        <v>13</v>
      </c>
      <c r="AK1894" s="4">
        <v>14</v>
      </c>
      <c r="AL1894" s="4">
        <v>33</v>
      </c>
      <c r="AM1894" s="4">
        <v>33</v>
      </c>
      <c r="AN1894" s="4">
        <v>0</v>
      </c>
      <c r="AO1894" s="4">
        <v>0</v>
      </c>
      <c r="AP1894" s="4">
        <v>17</v>
      </c>
      <c r="AQ1894" s="4">
        <v>18</v>
      </c>
      <c r="AR1894" s="3" t="s">
        <v>62</v>
      </c>
      <c r="AS1894" s="3" t="s">
        <v>62</v>
      </c>
      <c r="AT1894" s="3" t="s">
        <v>62</v>
      </c>
      <c r="AV1894" s="6" t="str">
        <f>HYPERLINK("http://mcgill.on.worldcat.org/oclc/741542071","Catalog Record")</f>
        <v>Catalog Record</v>
      </c>
      <c r="AW1894" s="6" t="str">
        <f>HYPERLINK("http://www.worldcat.org/oclc/741542071","WorldCat Record")</f>
        <v>WorldCat Record</v>
      </c>
      <c r="AX1894" s="3" t="s">
        <v>18307</v>
      </c>
      <c r="AY1894" s="3" t="s">
        <v>18308</v>
      </c>
      <c r="AZ1894" s="3" t="s">
        <v>18309</v>
      </c>
      <c r="BA1894" s="3" t="s">
        <v>18309</v>
      </c>
      <c r="BB1894" s="3" t="s">
        <v>18310</v>
      </c>
      <c r="BC1894" s="3" t="s">
        <v>142</v>
      </c>
      <c r="BD1894" s="3" t="s">
        <v>68</v>
      </c>
      <c r="BE1894" s="3" t="s">
        <v>18311</v>
      </c>
      <c r="BF1894" s="3" t="s">
        <v>18310</v>
      </c>
      <c r="BG1894" s="3" t="s">
        <v>18312</v>
      </c>
    </row>
    <row r="1895" spans="1:59" ht="57" x14ac:dyDescent="0.45">
      <c r="A1895" s="2" t="s">
        <v>59</v>
      </c>
      <c r="B1895" s="2" t="s">
        <v>60</v>
      </c>
      <c r="C1895" s="2" t="s">
        <v>18313</v>
      </c>
      <c r="D1895" s="2" t="s">
        <v>18314</v>
      </c>
      <c r="E1895" s="2" t="s">
        <v>18315</v>
      </c>
      <c r="G1895" s="3" t="s">
        <v>62</v>
      </c>
      <c r="I1895" s="3" t="s">
        <v>62</v>
      </c>
      <c r="J1895" s="3" t="s">
        <v>62</v>
      </c>
      <c r="K1895" s="3" t="s">
        <v>63</v>
      </c>
      <c r="M1895" s="2" t="s">
        <v>18316</v>
      </c>
      <c r="N1895" s="3" t="s">
        <v>116</v>
      </c>
      <c r="P1895" s="3" t="s">
        <v>65</v>
      </c>
      <c r="Q1895" s="2" t="s">
        <v>18317</v>
      </c>
      <c r="R1895" s="3" t="s">
        <v>66</v>
      </c>
      <c r="S1895" s="4">
        <v>1</v>
      </c>
      <c r="T1895" s="4">
        <v>1</v>
      </c>
      <c r="U1895" s="5" t="s">
        <v>5274</v>
      </c>
      <c r="V1895" s="5" t="s">
        <v>5274</v>
      </c>
      <c r="W1895" s="5" t="s">
        <v>67</v>
      </c>
      <c r="X1895" s="5" t="s">
        <v>67</v>
      </c>
      <c r="Y1895" s="4">
        <v>240</v>
      </c>
      <c r="Z1895" s="4">
        <v>29</v>
      </c>
      <c r="AA1895" s="4">
        <v>61</v>
      </c>
      <c r="AB1895" s="4">
        <v>2</v>
      </c>
      <c r="AC1895" s="4">
        <v>6</v>
      </c>
      <c r="AD1895" s="4">
        <v>71</v>
      </c>
      <c r="AE1895" s="4">
        <v>88</v>
      </c>
      <c r="AF1895" s="4">
        <v>1</v>
      </c>
      <c r="AG1895" s="4">
        <v>3</v>
      </c>
      <c r="AH1895" s="4">
        <v>59</v>
      </c>
      <c r="AI1895" s="4">
        <v>69</v>
      </c>
      <c r="AJ1895" s="4">
        <v>16</v>
      </c>
      <c r="AK1895" s="4">
        <v>21</v>
      </c>
      <c r="AL1895" s="4">
        <v>32</v>
      </c>
      <c r="AM1895" s="4">
        <v>38</v>
      </c>
      <c r="AN1895" s="4">
        <v>0</v>
      </c>
      <c r="AO1895" s="4">
        <v>0</v>
      </c>
      <c r="AP1895" s="4">
        <v>21</v>
      </c>
      <c r="AQ1895" s="4">
        <v>29</v>
      </c>
      <c r="AR1895" s="3" t="s">
        <v>62</v>
      </c>
      <c r="AS1895" s="3" t="s">
        <v>62</v>
      </c>
      <c r="AT1895" s="3" t="s">
        <v>62</v>
      </c>
      <c r="AV1895" s="6" t="str">
        <f>HYPERLINK("http://mcgill.on.worldcat.org/oclc/825559495","Catalog Record")</f>
        <v>Catalog Record</v>
      </c>
      <c r="AW1895" s="6" t="str">
        <f>HYPERLINK("http://www.worldcat.org/oclc/825559495","WorldCat Record")</f>
        <v>WorldCat Record</v>
      </c>
      <c r="AX1895" s="3" t="s">
        <v>18318</v>
      </c>
      <c r="AY1895" s="3" t="s">
        <v>18319</v>
      </c>
      <c r="AZ1895" s="3" t="s">
        <v>18320</v>
      </c>
      <c r="BA1895" s="3" t="s">
        <v>18320</v>
      </c>
      <c r="BB1895" s="3" t="s">
        <v>18321</v>
      </c>
      <c r="BC1895" s="3" t="s">
        <v>142</v>
      </c>
      <c r="BD1895" s="3" t="s">
        <v>68</v>
      </c>
      <c r="BE1895" s="3" t="s">
        <v>18322</v>
      </c>
      <c r="BF1895" s="3" t="s">
        <v>18321</v>
      </c>
      <c r="BG1895" s="3" t="s">
        <v>18323</v>
      </c>
    </row>
    <row r="1896" spans="1:59" ht="57" x14ac:dyDescent="0.45">
      <c r="A1896" s="2" t="s">
        <v>59</v>
      </c>
      <c r="B1896" s="2" t="s">
        <v>60</v>
      </c>
      <c r="C1896" s="2" t="s">
        <v>18324</v>
      </c>
      <c r="D1896" s="2" t="s">
        <v>18325</v>
      </c>
      <c r="E1896" s="2" t="s">
        <v>18326</v>
      </c>
      <c r="G1896" s="3" t="s">
        <v>62</v>
      </c>
      <c r="I1896" s="3" t="s">
        <v>62</v>
      </c>
      <c r="J1896" s="3" t="s">
        <v>62</v>
      </c>
      <c r="K1896" s="3" t="s">
        <v>63</v>
      </c>
      <c r="M1896" s="2" t="s">
        <v>18327</v>
      </c>
      <c r="N1896" s="3" t="s">
        <v>116</v>
      </c>
      <c r="P1896" s="3" t="s">
        <v>65</v>
      </c>
      <c r="R1896" s="3" t="s">
        <v>66</v>
      </c>
      <c r="S1896" s="4">
        <v>3</v>
      </c>
      <c r="T1896" s="4">
        <v>3</v>
      </c>
      <c r="U1896" s="5" t="s">
        <v>18328</v>
      </c>
      <c r="V1896" s="5" t="s">
        <v>18328</v>
      </c>
      <c r="W1896" s="5" t="s">
        <v>67</v>
      </c>
      <c r="X1896" s="5" t="s">
        <v>67</v>
      </c>
      <c r="Y1896" s="4">
        <v>107</v>
      </c>
      <c r="Z1896" s="4">
        <v>27</v>
      </c>
      <c r="AA1896" s="4">
        <v>54</v>
      </c>
      <c r="AB1896" s="4">
        <v>2</v>
      </c>
      <c r="AC1896" s="4">
        <v>8</v>
      </c>
      <c r="AD1896" s="4">
        <v>61</v>
      </c>
      <c r="AE1896" s="4">
        <v>83</v>
      </c>
      <c r="AF1896" s="4">
        <v>1</v>
      </c>
      <c r="AG1896" s="4">
        <v>3</v>
      </c>
      <c r="AH1896" s="4">
        <v>45</v>
      </c>
      <c r="AI1896" s="4">
        <v>58</v>
      </c>
      <c r="AJ1896" s="4">
        <v>18</v>
      </c>
      <c r="AK1896" s="4">
        <v>22</v>
      </c>
      <c r="AL1896" s="4">
        <v>31</v>
      </c>
      <c r="AM1896" s="4">
        <v>36</v>
      </c>
      <c r="AN1896" s="4">
        <v>0</v>
      </c>
      <c r="AO1896" s="4">
        <v>0</v>
      </c>
      <c r="AP1896" s="4">
        <v>22</v>
      </c>
      <c r="AQ1896" s="4">
        <v>33</v>
      </c>
      <c r="AR1896" s="3" t="s">
        <v>61</v>
      </c>
      <c r="AS1896" s="3" t="s">
        <v>62</v>
      </c>
      <c r="AT1896" s="3" t="s">
        <v>62</v>
      </c>
      <c r="AV1896" s="6" t="str">
        <f>HYPERLINK("http://mcgill.on.worldcat.org/oclc/841673095","Catalog Record")</f>
        <v>Catalog Record</v>
      </c>
      <c r="AW1896" s="6" t="str">
        <f>HYPERLINK("http://www.worldcat.org/oclc/841673095","WorldCat Record")</f>
        <v>WorldCat Record</v>
      </c>
      <c r="AX1896" s="3" t="s">
        <v>18329</v>
      </c>
      <c r="AY1896" s="3" t="s">
        <v>18330</v>
      </c>
      <c r="AZ1896" s="3" t="s">
        <v>18331</v>
      </c>
      <c r="BA1896" s="3" t="s">
        <v>18331</v>
      </c>
      <c r="BB1896" s="3" t="s">
        <v>18332</v>
      </c>
      <c r="BC1896" s="3" t="s">
        <v>142</v>
      </c>
      <c r="BD1896" s="3" t="s">
        <v>68</v>
      </c>
      <c r="BE1896" s="3" t="s">
        <v>18333</v>
      </c>
      <c r="BF1896" s="3" t="s">
        <v>18332</v>
      </c>
      <c r="BG1896" s="3" t="s">
        <v>18334</v>
      </c>
    </row>
    <row r="1897" spans="1:59" ht="57" x14ac:dyDescent="0.45">
      <c r="A1897" s="2" t="s">
        <v>59</v>
      </c>
      <c r="B1897" s="2" t="s">
        <v>60</v>
      </c>
      <c r="C1897" s="2" t="s">
        <v>18335</v>
      </c>
      <c r="D1897" s="2" t="s">
        <v>18336</v>
      </c>
      <c r="E1897" s="2" t="s">
        <v>18337</v>
      </c>
      <c r="G1897" s="3" t="s">
        <v>62</v>
      </c>
      <c r="I1897" s="3" t="s">
        <v>62</v>
      </c>
      <c r="J1897" s="3" t="s">
        <v>62</v>
      </c>
      <c r="K1897" s="3" t="s">
        <v>63</v>
      </c>
      <c r="L1897" s="2" t="s">
        <v>18338</v>
      </c>
      <c r="M1897" s="2" t="s">
        <v>17984</v>
      </c>
      <c r="N1897" s="3" t="s">
        <v>1059</v>
      </c>
      <c r="P1897" s="3" t="s">
        <v>65</v>
      </c>
      <c r="Q1897" s="2" t="s">
        <v>18339</v>
      </c>
      <c r="R1897" s="3" t="s">
        <v>66</v>
      </c>
      <c r="S1897" s="4">
        <v>2</v>
      </c>
      <c r="T1897" s="4">
        <v>2</v>
      </c>
      <c r="U1897" s="5" t="s">
        <v>985</v>
      </c>
      <c r="V1897" s="5" t="s">
        <v>985</v>
      </c>
      <c r="W1897" s="5" t="s">
        <v>67</v>
      </c>
      <c r="X1897" s="5" t="s">
        <v>67</v>
      </c>
      <c r="Y1897" s="4">
        <v>90</v>
      </c>
      <c r="Z1897" s="4">
        <v>9</v>
      </c>
      <c r="AA1897" s="4">
        <v>13</v>
      </c>
      <c r="AB1897" s="4">
        <v>2</v>
      </c>
      <c r="AC1897" s="4">
        <v>4</v>
      </c>
      <c r="AD1897" s="4">
        <v>38</v>
      </c>
      <c r="AE1897" s="4">
        <v>41</v>
      </c>
      <c r="AF1897" s="4">
        <v>1</v>
      </c>
      <c r="AG1897" s="4">
        <v>3</v>
      </c>
      <c r="AH1897" s="4">
        <v>33</v>
      </c>
      <c r="AI1897" s="4">
        <v>35</v>
      </c>
      <c r="AJ1897" s="4">
        <v>6</v>
      </c>
      <c r="AK1897" s="4">
        <v>9</v>
      </c>
      <c r="AL1897" s="4">
        <v>20</v>
      </c>
      <c r="AM1897" s="4">
        <v>21</v>
      </c>
      <c r="AN1897" s="4">
        <v>0</v>
      </c>
      <c r="AO1897" s="4">
        <v>0</v>
      </c>
      <c r="AP1897" s="4">
        <v>7</v>
      </c>
      <c r="AQ1897" s="4">
        <v>10</v>
      </c>
      <c r="AR1897" s="3" t="s">
        <v>62</v>
      </c>
      <c r="AS1897" s="3" t="s">
        <v>62</v>
      </c>
      <c r="AT1897" s="3" t="s">
        <v>62</v>
      </c>
      <c r="AV1897" s="6" t="str">
        <f>HYPERLINK("http://mcgill.on.worldcat.org/oclc/70068752","Catalog Record")</f>
        <v>Catalog Record</v>
      </c>
      <c r="AW1897" s="6" t="str">
        <f>HYPERLINK("http://www.worldcat.org/oclc/70068752","WorldCat Record")</f>
        <v>WorldCat Record</v>
      </c>
      <c r="AX1897" s="3" t="s">
        <v>18340</v>
      </c>
      <c r="AY1897" s="3" t="s">
        <v>18341</v>
      </c>
      <c r="AZ1897" s="3" t="s">
        <v>18342</v>
      </c>
      <c r="BA1897" s="3" t="s">
        <v>18342</v>
      </c>
      <c r="BB1897" s="3" t="s">
        <v>18343</v>
      </c>
      <c r="BC1897" s="3" t="s">
        <v>142</v>
      </c>
      <c r="BD1897" s="3" t="s">
        <v>68</v>
      </c>
      <c r="BE1897" s="3" t="s">
        <v>18344</v>
      </c>
      <c r="BF1897" s="3" t="s">
        <v>18343</v>
      </c>
      <c r="BG1897" s="3" t="s">
        <v>18345</v>
      </c>
    </row>
    <row r="1898" spans="1:59" ht="57" x14ac:dyDescent="0.45">
      <c r="A1898" s="2" t="s">
        <v>59</v>
      </c>
      <c r="B1898" s="2" t="s">
        <v>60</v>
      </c>
      <c r="C1898" s="2" t="s">
        <v>18346</v>
      </c>
      <c r="D1898" s="2" t="s">
        <v>18347</v>
      </c>
      <c r="E1898" s="2" t="s">
        <v>18348</v>
      </c>
      <c r="G1898" s="3" t="s">
        <v>62</v>
      </c>
      <c r="I1898" s="3" t="s">
        <v>62</v>
      </c>
      <c r="J1898" s="3" t="s">
        <v>62</v>
      </c>
      <c r="K1898" s="3" t="s">
        <v>63</v>
      </c>
      <c r="M1898" s="2" t="s">
        <v>12999</v>
      </c>
      <c r="N1898" s="3" t="s">
        <v>116</v>
      </c>
      <c r="P1898" s="3" t="s">
        <v>65</v>
      </c>
      <c r="Q1898" s="2" t="s">
        <v>18349</v>
      </c>
      <c r="R1898" s="3" t="s">
        <v>66</v>
      </c>
      <c r="S1898" s="4">
        <v>3</v>
      </c>
      <c r="T1898" s="4">
        <v>3</v>
      </c>
      <c r="U1898" s="5" t="s">
        <v>5026</v>
      </c>
      <c r="V1898" s="5" t="s">
        <v>5026</v>
      </c>
      <c r="W1898" s="5" t="s">
        <v>67</v>
      </c>
      <c r="X1898" s="5" t="s">
        <v>67</v>
      </c>
      <c r="Y1898" s="4">
        <v>131</v>
      </c>
      <c r="Z1898" s="4">
        <v>17</v>
      </c>
      <c r="AA1898" s="4">
        <v>22</v>
      </c>
      <c r="AB1898" s="4">
        <v>2</v>
      </c>
      <c r="AC1898" s="4">
        <v>5</v>
      </c>
      <c r="AD1898" s="4">
        <v>51</v>
      </c>
      <c r="AE1898" s="4">
        <v>55</v>
      </c>
      <c r="AF1898" s="4">
        <v>1</v>
      </c>
      <c r="AG1898" s="4">
        <v>1</v>
      </c>
      <c r="AH1898" s="4">
        <v>44</v>
      </c>
      <c r="AI1898" s="4">
        <v>46</v>
      </c>
      <c r="AJ1898" s="4">
        <v>10</v>
      </c>
      <c r="AK1898" s="4">
        <v>12</v>
      </c>
      <c r="AL1898" s="4">
        <v>30</v>
      </c>
      <c r="AM1898" s="4">
        <v>31</v>
      </c>
      <c r="AN1898" s="4">
        <v>0</v>
      </c>
      <c r="AO1898" s="4">
        <v>0</v>
      </c>
      <c r="AP1898" s="4">
        <v>14</v>
      </c>
      <c r="AQ1898" s="4">
        <v>16</v>
      </c>
      <c r="AR1898" s="3" t="s">
        <v>62</v>
      </c>
      <c r="AS1898" s="3" t="s">
        <v>62</v>
      </c>
      <c r="AT1898" s="3" t="s">
        <v>62</v>
      </c>
      <c r="AV1898" s="6" t="str">
        <f>HYPERLINK("http://mcgill.on.worldcat.org/oclc/768171519","Catalog Record")</f>
        <v>Catalog Record</v>
      </c>
      <c r="AW1898" s="6" t="str">
        <f>HYPERLINK("http://www.worldcat.org/oclc/768171519","WorldCat Record")</f>
        <v>WorldCat Record</v>
      </c>
      <c r="AX1898" s="3" t="s">
        <v>18350</v>
      </c>
      <c r="AY1898" s="3" t="s">
        <v>18351</v>
      </c>
      <c r="AZ1898" s="3" t="s">
        <v>18352</v>
      </c>
      <c r="BA1898" s="3" t="s">
        <v>18352</v>
      </c>
      <c r="BB1898" s="3" t="s">
        <v>18353</v>
      </c>
      <c r="BC1898" s="3" t="s">
        <v>142</v>
      </c>
      <c r="BD1898" s="3" t="s">
        <v>68</v>
      </c>
      <c r="BE1898" s="3" t="s">
        <v>18354</v>
      </c>
      <c r="BF1898" s="3" t="s">
        <v>18353</v>
      </c>
      <c r="BG1898" s="3" t="s">
        <v>18355</v>
      </c>
    </row>
    <row r="1899" spans="1:59" ht="57" x14ac:dyDescent="0.45">
      <c r="A1899" s="2" t="s">
        <v>59</v>
      </c>
      <c r="B1899" s="2" t="s">
        <v>60</v>
      </c>
      <c r="C1899" s="2" t="s">
        <v>18356</v>
      </c>
      <c r="D1899" s="2" t="s">
        <v>18357</v>
      </c>
      <c r="E1899" s="2" t="s">
        <v>18358</v>
      </c>
      <c r="G1899" s="3" t="s">
        <v>62</v>
      </c>
      <c r="I1899" s="3" t="s">
        <v>61</v>
      </c>
      <c r="J1899" s="3" t="s">
        <v>62</v>
      </c>
      <c r="K1899" s="3" t="s">
        <v>63</v>
      </c>
      <c r="L1899" s="2" t="s">
        <v>18359</v>
      </c>
      <c r="M1899" s="2" t="s">
        <v>18360</v>
      </c>
      <c r="N1899" s="3" t="s">
        <v>542</v>
      </c>
      <c r="P1899" s="3" t="s">
        <v>65</v>
      </c>
      <c r="Q1899" s="2" t="s">
        <v>3508</v>
      </c>
      <c r="R1899" s="3" t="s">
        <v>66</v>
      </c>
      <c r="S1899" s="4">
        <v>23</v>
      </c>
      <c r="T1899" s="4">
        <v>49</v>
      </c>
      <c r="U1899" s="5" t="s">
        <v>7550</v>
      </c>
      <c r="V1899" s="5" t="s">
        <v>18361</v>
      </c>
      <c r="W1899" s="5" t="s">
        <v>67</v>
      </c>
      <c r="X1899" s="5" t="s">
        <v>67</v>
      </c>
      <c r="Y1899" s="4">
        <v>400</v>
      </c>
      <c r="Z1899" s="4">
        <v>18</v>
      </c>
      <c r="AA1899" s="4">
        <v>32</v>
      </c>
      <c r="AB1899" s="4">
        <v>2</v>
      </c>
      <c r="AC1899" s="4">
        <v>10</v>
      </c>
      <c r="AD1899" s="4">
        <v>96</v>
      </c>
      <c r="AE1899" s="4">
        <v>111</v>
      </c>
      <c r="AF1899" s="4">
        <v>1</v>
      </c>
      <c r="AG1899" s="4">
        <v>5</v>
      </c>
      <c r="AH1899" s="4">
        <v>86</v>
      </c>
      <c r="AI1899" s="4">
        <v>95</v>
      </c>
      <c r="AJ1899" s="4">
        <v>14</v>
      </c>
      <c r="AK1899" s="4">
        <v>18</v>
      </c>
      <c r="AL1899" s="4">
        <v>47</v>
      </c>
      <c r="AM1899" s="4">
        <v>51</v>
      </c>
      <c r="AN1899" s="4">
        <v>0</v>
      </c>
      <c r="AO1899" s="4">
        <v>0</v>
      </c>
      <c r="AP1899" s="4">
        <v>16</v>
      </c>
      <c r="AQ1899" s="4">
        <v>23</v>
      </c>
      <c r="AR1899" s="3" t="s">
        <v>62</v>
      </c>
      <c r="AS1899" s="3" t="s">
        <v>62</v>
      </c>
      <c r="AT1899" s="3" t="s">
        <v>61</v>
      </c>
      <c r="AU1899" s="6" t="str">
        <f>HYPERLINK("http://catalog.hathitrust.org/Record/004145021","HathiTrust Record")</f>
        <v>HathiTrust Record</v>
      </c>
      <c r="AV1899" s="6" t="str">
        <f>HYPERLINK("http://mcgill.on.worldcat.org/oclc/45129193","Catalog Record")</f>
        <v>Catalog Record</v>
      </c>
      <c r="AW1899" s="6" t="str">
        <f>HYPERLINK("http://www.worldcat.org/oclc/45129193","WorldCat Record")</f>
        <v>WorldCat Record</v>
      </c>
      <c r="AX1899" s="3" t="s">
        <v>18362</v>
      </c>
      <c r="AY1899" s="3" t="s">
        <v>18363</v>
      </c>
      <c r="AZ1899" s="3" t="s">
        <v>18364</v>
      </c>
      <c r="BA1899" s="3" t="s">
        <v>18364</v>
      </c>
      <c r="BB1899" s="3" t="s">
        <v>18365</v>
      </c>
      <c r="BC1899" s="3" t="s">
        <v>142</v>
      </c>
      <c r="BD1899" s="3" t="s">
        <v>68</v>
      </c>
      <c r="BE1899" s="3" t="s">
        <v>18366</v>
      </c>
      <c r="BF1899" s="3" t="s">
        <v>18365</v>
      </c>
      <c r="BG1899" s="3" t="s">
        <v>18367</v>
      </c>
    </row>
    <row r="1900" spans="1:59" ht="57" x14ac:dyDescent="0.45">
      <c r="A1900" s="2" t="s">
        <v>59</v>
      </c>
      <c r="B1900" s="2" t="s">
        <v>60</v>
      </c>
      <c r="C1900" s="2" t="s">
        <v>18356</v>
      </c>
      <c r="D1900" s="2" t="s">
        <v>18357</v>
      </c>
      <c r="E1900" s="2" t="s">
        <v>18358</v>
      </c>
      <c r="G1900" s="3" t="s">
        <v>62</v>
      </c>
      <c r="I1900" s="3" t="s">
        <v>61</v>
      </c>
      <c r="J1900" s="3" t="s">
        <v>62</v>
      </c>
      <c r="K1900" s="3" t="s">
        <v>63</v>
      </c>
      <c r="L1900" s="2" t="s">
        <v>18359</v>
      </c>
      <c r="M1900" s="2" t="s">
        <v>18360</v>
      </c>
      <c r="N1900" s="3" t="s">
        <v>542</v>
      </c>
      <c r="P1900" s="3" t="s">
        <v>65</v>
      </c>
      <c r="Q1900" s="2" t="s">
        <v>3508</v>
      </c>
      <c r="R1900" s="3" t="s">
        <v>66</v>
      </c>
      <c r="S1900" s="4">
        <v>26</v>
      </c>
      <c r="T1900" s="4">
        <v>49</v>
      </c>
      <c r="U1900" s="5" t="s">
        <v>18361</v>
      </c>
      <c r="V1900" s="5" t="s">
        <v>18361</v>
      </c>
      <c r="W1900" s="5" t="s">
        <v>67</v>
      </c>
      <c r="X1900" s="5" t="s">
        <v>67</v>
      </c>
      <c r="Y1900" s="4">
        <v>400</v>
      </c>
      <c r="Z1900" s="4">
        <v>18</v>
      </c>
      <c r="AA1900" s="4">
        <v>32</v>
      </c>
      <c r="AB1900" s="4">
        <v>2</v>
      </c>
      <c r="AC1900" s="4">
        <v>10</v>
      </c>
      <c r="AD1900" s="4">
        <v>96</v>
      </c>
      <c r="AE1900" s="4">
        <v>111</v>
      </c>
      <c r="AF1900" s="4">
        <v>1</v>
      </c>
      <c r="AG1900" s="4">
        <v>5</v>
      </c>
      <c r="AH1900" s="4">
        <v>86</v>
      </c>
      <c r="AI1900" s="4">
        <v>95</v>
      </c>
      <c r="AJ1900" s="4">
        <v>14</v>
      </c>
      <c r="AK1900" s="4">
        <v>18</v>
      </c>
      <c r="AL1900" s="4">
        <v>47</v>
      </c>
      <c r="AM1900" s="4">
        <v>51</v>
      </c>
      <c r="AN1900" s="4">
        <v>0</v>
      </c>
      <c r="AO1900" s="4">
        <v>0</v>
      </c>
      <c r="AP1900" s="4">
        <v>16</v>
      </c>
      <c r="AQ1900" s="4">
        <v>23</v>
      </c>
      <c r="AR1900" s="3" t="s">
        <v>62</v>
      </c>
      <c r="AS1900" s="3" t="s">
        <v>62</v>
      </c>
      <c r="AT1900" s="3" t="s">
        <v>61</v>
      </c>
      <c r="AU1900" s="6" t="str">
        <f>HYPERLINK("http://catalog.hathitrust.org/Record/004145021","HathiTrust Record")</f>
        <v>HathiTrust Record</v>
      </c>
      <c r="AV1900" s="6" t="str">
        <f>HYPERLINK("http://mcgill.on.worldcat.org/oclc/45129193","Catalog Record")</f>
        <v>Catalog Record</v>
      </c>
      <c r="AW1900" s="6" t="str">
        <f>HYPERLINK("http://www.worldcat.org/oclc/45129193","WorldCat Record")</f>
        <v>WorldCat Record</v>
      </c>
      <c r="AX1900" s="3" t="s">
        <v>18362</v>
      </c>
      <c r="AY1900" s="3" t="s">
        <v>18363</v>
      </c>
      <c r="AZ1900" s="3" t="s">
        <v>18364</v>
      </c>
      <c r="BA1900" s="3" t="s">
        <v>18364</v>
      </c>
      <c r="BB1900" s="3" t="s">
        <v>18368</v>
      </c>
      <c r="BC1900" s="3" t="s">
        <v>142</v>
      </c>
      <c r="BD1900" s="3" t="s">
        <v>308</v>
      </c>
      <c r="BE1900" s="3" t="s">
        <v>18366</v>
      </c>
      <c r="BF1900" s="3" t="s">
        <v>18368</v>
      </c>
      <c r="BG1900" s="3" t="s">
        <v>18369</v>
      </c>
    </row>
    <row r="1901" spans="1:59" ht="57" x14ac:dyDescent="0.45">
      <c r="A1901" s="2" t="s">
        <v>59</v>
      </c>
      <c r="B1901" s="2" t="s">
        <v>60</v>
      </c>
      <c r="C1901" s="2" t="s">
        <v>18370</v>
      </c>
      <c r="D1901" s="2" t="s">
        <v>18371</v>
      </c>
      <c r="E1901" s="2" t="s">
        <v>18372</v>
      </c>
      <c r="G1901" s="3" t="s">
        <v>62</v>
      </c>
      <c r="I1901" s="3" t="s">
        <v>61</v>
      </c>
      <c r="J1901" s="3" t="s">
        <v>61</v>
      </c>
      <c r="K1901" s="3" t="s">
        <v>63</v>
      </c>
      <c r="L1901" s="2" t="s">
        <v>6209</v>
      </c>
      <c r="M1901" s="2" t="s">
        <v>18373</v>
      </c>
      <c r="N1901" s="3" t="s">
        <v>529</v>
      </c>
      <c r="P1901" s="3" t="s">
        <v>65</v>
      </c>
      <c r="R1901" s="3" t="s">
        <v>66</v>
      </c>
      <c r="S1901" s="4">
        <v>3</v>
      </c>
      <c r="T1901" s="4">
        <v>113</v>
      </c>
      <c r="U1901" s="5" t="s">
        <v>12942</v>
      </c>
      <c r="V1901" s="5" t="s">
        <v>12942</v>
      </c>
      <c r="W1901" s="5" t="s">
        <v>67</v>
      </c>
      <c r="X1901" s="5" t="s">
        <v>67</v>
      </c>
      <c r="Y1901" s="4">
        <v>1153</v>
      </c>
      <c r="Z1901" s="4">
        <v>47</v>
      </c>
      <c r="AA1901" s="4">
        <v>141</v>
      </c>
      <c r="AB1901" s="4">
        <v>3</v>
      </c>
      <c r="AC1901" s="4">
        <v>13</v>
      </c>
      <c r="AD1901" s="4">
        <v>114</v>
      </c>
      <c r="AE1901" s="4">
        <v>161</v>
      </c>
      <c r="AF1901" s="4">
        <v>1</v>
      </c>
      <c r="AG1901" s="4">
        <v>5</v>
      </c>
      <c r="AH1901" s="4">
        <v>92</v>
      </c>
      <c r="AI1901" s="4">
        <v>114</v>
      </c>
      <c r="AJ1901" s="4">
        <v>16</v>
      </c>
      <c r="AK1901" s="4">
        <v>27</v>
      </c>
      <c r="AL1901" s="4">
        <v>48</v>
      </c>
      <c r="AM1901" s="4">
        <v>62</v>
      </c>
      <c r="AN1901" s="4">
        <v>0</v>
      </c>
      <c r="AO1901" s="4">
        <v>1</v>
      </c>
      <c r="AP1901" s="4">
        <v>29</v>
      </c>
      <c r="AQ1901" s="4">
        <v>53</v>
      </c>
      <c r="AR1901" s="3" t="s">
        <v>62</v>
      </c>
      <c r="AS1901" s="3" t="s">
        <v>62</v>
      </c>
      <c r="AT1901" s="3" t="s">
        <v>61</v>
      </c>
      <c r="AU1901" s="6" t="str">
        <f>HYPERLINK("http://catalog.hathitrust.org/Record/004427388","HathiTrust Record")</f>
        <v>HathiTrust Record</v>
      </c>
      <c r="AV1901" s="6" t="str">
        <f>HYPERLINK("http://mcgill.on.worldcat.org/oclc/11842779","Catalog Record")</f>
        <v>Catalog Record</v>
      </c>
      <c r="AW1901" s="6" t="str">
        <f>HYPERLINK("http://www.worldcat.org/oclc/11842779","WorldCat Record")</f>
        <v>WorldCat Record</v>
      </c>
      <c r="AX1901" s="3" t="s">
        <v>18374</v>
      </c>
      <c r="AY1901" s="3" t="s">
        <v>18375</v>
      </c>
      <c r="AZ1901" s="3" t="s">
        <v>18376</v>
      </c>
      <c r="BA1901" s="3" t="s">
        <v>18376</v>
      </c>
      <c r="BB1901" s="3" t="s">
        <v>18377</v>
      </c>
      <c r="BC1901" s="3" t="s">
        <v>142</v>
      </c>
      <c r="BD1901" s="3" t="s">
        <v>68</v>
      </c>
      <c r="BE1901" s="3" t="s">
        <v>18378</v>
      </c>
      <c r="BF1901" s="3" t="s">
        <v>18377</v>
      </c>
      <c r="BG1901" s="3" t="s">
        <v>18379</v>
      </c>
    </row>
    <row r="1902" spans="1:59" ht="57" x14ac:dyDescent="0.45">
      <c r="A1902" s="2" t="s">
        <v>59</v>
      </c>
      <c r="B1902" s="2" t="s">
        <v>60</v>
      </c>
      <c r="C1902" s="2" t="s">
        <v>18370</v>
      </c>
      <c r="D1902" s="2" t="s">
        <v>18371</v>
      </c>
      <c r="E1902" s="2" t="s">
        <v>18372</v>
      </c>
      <c r="G1902" s="3" t="s">
        <v>62</v>
      </c>
      <c r="I1902" s="3" t="s">
        <v>61</v>
      </c>
      <c r="J1902" s="3" t="s">
        <v>61</v>
      </c>
      <c r="K1902" s="3" t="s">
        <v>63</v>
      </c>
      <c r="L1902" s="2" t="s">
        <v>6209</v>
      </c>
      <c r="M1902" s="2" t="s">
        <v>18373</v>
      </c>
      <c r="N1902" s="3" t="s">
        <v>529</v>
      </c>
      <c r="P1902" s="3" t="s">
        <v>65</v>
      </c>
      <c r="R1902" s="3" t="s">
        <v>66</v>
      </c>
      <c r="S1902" s="4">
        <v>56</v>
      </c>
      <c r="T1902" s="4">
        <v>113</v>
      </c>
      <c r="U1902" s="5" t="s">
        <v>18380</v>
      </c>
      <c r="V1902" s="5" t="s">
        <v>12942</v>
      </c>
      <c r="W1902" s="5" t="s">
        <v>67</v>
      </c>
      <c r="X1902" s="5" t="s">
        <v>67</v>
      </c>
      <c r="Y1902" s="4">
        <v>1153</v>
      </c>
      <c r="Z1902" s="4">
        <v>47</v>
      </c>
      <c r="AA1902" s="4">
        <v>141</v>
      </c>
      <c r="AB1902" s="4">
        <v>3</v>
      </c>
      <c r="AC1902" s="4">
        <v>13</v>
      </c>
      <c r="AD1902" s="4">
        <v>114</v>
      </c>
      <c r="AE1902" s="4">
        <v>161</v>
      </c>
      <c r="AF1902" s="4">
        <v>1</v>
      </c>
      <c r="AG1902" s="4">
        <v>5</v>
      </c>
      <c r="AH1902" s="4">
        <v>92</v>
      </c>
      <c r="AI1902" s="4">
        <v>114</v>
      </c>
      <c r="AJ1902" s="4">
        <v>16</v>
      </c>
      <c r="AK1902" s="4">
        <v>27</v>
      </c>
      <c r="AL1902" s="4">
        <v>48</v>
      </c>
      <c r="AM1902" s="4">
        <v>62</v>
      </c>
      <c r="AN1902" s="4">
        <v>0</v>
      </c>
      <c r="AO1902" s="4">
        <v>1</v>
      </c>
      <c r="AP1902" s="4">
        <v>29</v>
      </c>
      <c r="AQ1902" s="4">
        <v>53</v>
      </c>
      <c r="AR1902" s="3" t="s">
        <v>62</v>
      </c>
      <c r="AS1902" s="3" t="s">
        <v>62</v>
      </c>
      <c r="AT1902" s="3" t="s">
        <v>61</v>
      </c>
      <c r="AU1902" s="6" t="str">
        <f>HYPERLINK("http://catalog.hathitrust.org/Record/004427388","HathiTrust Record")</f>
        <v>HathiTrust Record</v>
      </c>
      <c r="AV1902" s="6" t="str">
        <f>HYPERLINK("http://mcgill.on.worldcat.org/oclc/11842779","Catalog Record")</f>
        <v>Catalog Record</v>
      </c>
      <c r="AW1902" s="6" t="str">
        <f>HYPERLINK("http://www.worldcat.org/oclc/11842779","WorldCat Record")</f>
        <v>WorldCat Record</v>
      </c>
      <c r="AX1902" s="3" t="s">
        <v>18374</v>
      </c>
      <c r="AY1902" s="3" t="s">
        <v>18375</v>
      </c>
      <c r="AZ1902" s="3" t="s">
        <v>18376</v>
      </c>
      <c r="BA1902" s="3" t="s">
        <v>18376</v>
      </c>
      <c r="BB1902" s="3" t="s">
        <v>18381</v>
      </c>
      <c r="BC1902" s="3" t="s">
        <v>142</v>
      </c>
      <c r="BD1902" s="3" t="s">
        <v>68</v>
      </c>
      <c r="BE1902" s="3" t="s">
        <v>18378</v>
      </c>
      <c r="BF1902" s="3" t="s">
        <v>18381</v>
      </c>
      <c r="BG1902" s="3" t="s">
        <v>18382</v>
      </c>
    </row>
    <row r="1903" spans="1:59" ht="57" x14ac:dyDescent="0.45">
      <c r="A1903" s="2" t="s">
        <v>59</v>
      </c>
      <c r="B1903" s="2" t="s">
        <v>60</v>
      </c>
      <c r="C1903" s="2" t="s">
        <v>18370</v>
      </c>
      <c r="D1903" s="2" t="s">
        <v>18371</v>
      </c>
      <c r="E1903" s="2" t="s">
        <v>18372</v>
      </c>
      <c r="G1903" s="3" t="s">
        <v>62</v>
      </c>
      <c r="I1903" s="3" t="s">
        <v>61</v>
      </c>
      <c r="J1903" s="3" t="s">
        <v>61</v>
      </c>
      <c r="K1903" s="3" t="s">
        <v>63</v>
      </c>
      <c r="L1903" s="2" t="s">
        <v>6209</v>
      </c>
      <c r="M1903" s="2" t="s">
        <v>18373</v>
      </c>
      <c r="N1903" s="3" t="s">
        <v>529</v>
      </c>
      <c r="P1903" s="3" t="s">
        <v>65</v>
      </c>
      <c r="R1903" s="3" t="s">
        <v>66</v>
      </c>
      <c r="S1903" s="4">
        <v>7</v>
      </c>
      <c r="T1903" s="4">
        <v>113</v>
      </c>
      <c r="U1903" s="5" t="s">
        <v>17827</v>
      </c>
      <c r="V1903" s="5" t="s">
        <v>12942</v>
      </c>
      <c r="W1903" s="5" t="s">
        <v>67</v>
      </c>
      <c r="X1903" s="5" t="s">
        <v>67</v>
      </c>
      <c r="Y1903" s="4">
        <v>1153</v>
      </c>
      <c r="Z1903" s="4">
        <v>47</v>
      </c>
      <c r="AA1903" s="4">
        <v>141</v>
      </c>
      <c r="AB1903" s="4">
        <v>3</v>
      </c>
      <c r="AC1903" s="4">
        <v>13</v>
      </c>
      <c r="AD1903" s="4">
        <v>114</v>
      </c>
      <c r="AE1903" s="4">
        <v>161</v>
      </c>
      <c r="AF1903" s="4">
        <v>1</v>
      </c>
      <c r="AG1903" s="4">
        <v>5</v>
      </c>
      <c r="AH1903" s="4">
        <v>92</v>
      </c>
      <c r="AI1903" s="4">
        <v>114</v>
      </c>
      <c r="AJ1903" s="4">
        <v>16</v>
      </c>
      <c r="AK1903" s="4">
        <v>27</v>
      </c>
      <c r="AL1903" s="4">
        <v>48</v>
      </c>
      <c r="AM1903" s="4">
        <v>62</v>
      </c>
      <c r="AN1903" s="4">
        <v>0</v>
      </c>
      <c r="AO1903" s="4">
        <v>1</v>
      </c>
      <c r="AP1903" s="4">
        <v>29</v>
      </c>
      <c r="AQ1903" s="4">
        <v>53</v>
      </c>
      <c r="AR1903" s="3" t="s">
        <v>62</v>
      </c>
      <c r="AS1903" s="3" t="s">
        <v>62</v>
      </c>
      <c r="AT1903" s="3" t="s">
        <v>61</v>
      </c>
      <c r="AU1903" s="6" t="str">
        <f>HYPERLINK("http://catalog.hathitrust.org/Record/004427388","HathiTrust Record")</f>
        <v>HathiTrust Record</v>
      </c>
      <c r="AV1903" s="6" t="str">
        <f>HYPERLINK("http://mcgill.on.worldcat.org/oclc/11842779","Catalog Record")</f>
        <v>Catalog Record</v>
      </c>
      <c r="AW1903" s="6" t="str">
        <f>HYPERLINK("http://www.worldcat.org/oclc/11842779","WorldCat Record")</f>
        <v>WorldCat Record</v>
      </c>
      <c r="AX1903" s="3" t="s">
        <v>18374</v>
      </c>
      <c r="AY1903" s="3" t="s">
        <v>18375</v>
      </c>
      <c r="AZ1903" s="3" t="s">
        <v>18376</v>
      </c>
      <c r="BA1903" s="3" t="s">
        <v>18376</v>
      </c>
      <c r="BB1903" s="3" t="s">
        <v>18383</v>
      </c>
      <c r="BC1903" s="3" t="s">
        <v>142</v>
      </c>
      <c r="BD1903" s="3" t="s">
        <v>68</v>
      </c>
      <c r="BE1903" s="3" t="s">
        <v>18378</v>
      </c>
      <c r="BF1903" s="3" t="s">
        <v>18383</v>
      </c>
      <c r="BG1903" s="3" t="s">
        <v>18384</v>
      </c>
    </row>
    <row r="1904" spans="1:59" ht="57" x14ac:dyDescent="0.45">
      <c r="A1904" s="2" t="s">
        <v>59</v>
      </c>
      <c r="B1904" s="2" t="s">
        <v>60</v>
      </c>
      <c r="C1904" s="2" t="s">
        <v>18370</v>
      </c>
      <c r="D1904" s="2" t="s">
        <v>18371</v>
      </c>
      <c r="E1904" s="2" t="s">
        <v>18372</v>
      </c>
      <c r="G1904" s="3" t="s">
        <v>62</v>
      </c>
      <c r="I1904" s="3" t="s">
        <v>61</v>
      </c>
      <c r="J1904" s="3" t="s">
        <v>61</v>
      </c>
      <c r="K1904" s="3" t="s">
        <v>63</v>
      </c>
      <c r="L1904" s="2" t="s">
        <v>6209</v>
      </c>
      <c r="M1904" s="2" t="s">
        <v>18373</v>
      </c>
      <c r="N1904" s="3" t="s">
        <v>529</v>
      </c>
      <c r="P1904" s="3" t="s">
        <v>65</v>
      </c>
      <c r="R1904" s="3" t="s">
        <v>66</v>
      </c>
      <c r="S1904" s="4">
        <v>47</v>
      </c>
      <c r="T1904" s="4">
        <v>113</v>
      </c>
      <c r="U1904" s="5" t="s">
        <v>17428</v>
      </c>
      <c r="V1904" s="5" t="s">
        <v>12942</v>
      </c>
      <c r="W1904" s="5" t="s">
        <v>67</v>
      </c>
      <c r="X1904" s="5" t="s">
        <v>67</v>
      </c>
      <c r="Y1904" s="4">
        <v>1153</v>
      </c>
      <c r="Z1904" s="4">
        <v>47</v>
      </c>
      <c r="AA1904" s="4">
        <v>141</v>
      </c>
      <c r="AB1904" s="4">
        <v>3</v>
      </c>
      <c r="AC1904" s="4">
        <v>13</v>
      </c>
      <c r="AD1904" s="4">
        <v>114</v>
      </c>
      <c r="AE1904" s="4">
        <v>161</v>
      </c>
      <c r="AF1904" s="4">
        <v>1</v>
      </c>
      <c r="AG1904" s="4">
        <v>5</v>
      </c>
      <c r="AH1904" s="4">
        <v>92</v>
      </c>
      <c r="AI1904" s="4">
        <v>114</v>
      </c>
      <c r="AJ1904" s="4">
        <v>16</v>
      </c>
      <c r="AK1904" s="4">
        <v>27</v>
      </c>
      <c r="AL1904" s="4">
        <v>48</v>
      </c>
      <c r="AM1904" s="4">
        <v>62</v>
      </c>
      <c r="AN1904" s="4">
        <v>0</v>
      </c>
      <c r="AO1904" s="4">
        <v>1</v>
      </c>
      <c r="AP1904" s="4">
        <v>29</v>
      </c>
      <c r="AQ1904" s="4">
        <v>53</v>
      </c>
      <c r="AR1904" s="3" t="s">
        <v>62</v>
      </c>
      <c r="AS1904" s="3" t="s">
        <v>62</v>
      </c>
      <c r="AT1904" s="3" t="s">
        <v>61</v>
      </c>
      <c r="AU1904" s="6" t="str">
        <f>HYPERLINK("http://catalog.hathitrust.org/Record/004427388","HathiTrust Record")</f>
        <v>HathiTrust Record</v>
      </c>
      <c r="AV1904" s="6" t="str">
        <f>HYPERLINK("http://mcgill.on.worldcat.org/oclc/11842779","Catalog Record")</f>
        <v>Catalog Record</v>
      </c>
      <c r="AW1904" s="6" t="str">
        <f>HYPERLINK("http://www.worldcat.org/oclc/11842779","WorldCat Record")</f>
        <v>WorldCat Record</v>
      </c>
      <c r="AX1904" s="3" t="s">
        <v>18374</v>
      </c>
      <c r="AY1904" s="3" t="s">
        <v>18375</v>
      </c>
      <c r="AZ1904" s="3" t="s">
        <v>18376</v>
      </c>
      <c r="BA1904" s="3" t="s">
        <v>18376</v>
      </c>
      <c r="BB1904" s="3" t="s">
        <v>18385</v>
      </c>
      <c r="BC1904" s="3" t="s">
        <v>142</v>
      </c>
      <c r="BD1904" s="3" t="s">
        <v>68</v>
      </c>
      <c r="BE1904" s="3" t="s">
        <v>18378</v>
      </c>
      <c r="BF1904" s="3" t="s">
        <v>18385</v>
      </c>
      <c r="BG1904" s="3" t="s">
        <v>18386</v>
      </c>
    </row>
    <row r="1905" spans="1:59" ht="57" x14ac:dyDescent="0.45">
      <c r="A1905" s="2" t="s">
        <v>59</v>
      </c>
      <c r="B1905" s="2" t="s">
        <v>60</v>
      </c>
      <c r="C1905" s="2" t="s">
        <v>18387</v>
      </c>
      <c r="D1905" s="2" t="s">
        <v>18388</v>
      </c>
      <c r="E1905" s="2" t="s">
        <v>18372</v>
      </c>
      <c r="G1905" s="3" t="s">
        <v>62</v>
      </c>
      <c r="I1905" s="3" t="s">
        <v>61</v>
      </c>
      <c r="J1905" s="3" t="s">
        <v>61</v>
      </c>
      <c r="K1905" s="3" t="s">
        <v>63</v>
      </c>
      <c r="L1905" s="2" t="s">
        <v>6209</v>
      </c>
      <c r="M1905" s="2" t="s">
        <v>18389</v>
      </c>
      <c r="N1905" s="3" t="s">
        <v>625</v>
      </c>
      <c r="P1905" s="3" t="s">
        <v>65</v>
      </c>
      <c r="Q1905" s="2" t="s">
        <v>18390</v>
      </c>
      <c r="R1905" s="3" t="s">
        <v>66</v>
      </c>
      <c r="S1905" s="4">
        <v>10</v>
      </c>
      <c r="T1905" s="4">
        <v>166</v>
      </c>
      <c r="U1905" s="5" t="s">
        <v>18391</v>
      </c>
      <c r="V1905" s="5" t="s">
        <v>18392</v>
      </c>
      <c r="W1905" s="5" t="s">
        <v>67</v>
      </c>
      <c r="X1905" s="5" t="s">
        <v>67</v>
      </c>
      <c r="Y1905" s="4">
        <v>1158</v>
      </c>
      <c r="Z1905" s="4">
        <v>80</v>
      </c>
      <c r="AA1905" s="4">
        <v>141</v>
      </c>
      <c r="AB1905" s="4">
        <v>4</v>
      </c>
      <c r="AC1905" s="4">
        <v>13</v>
      </c>
      <c r="AD1905" s="4">
        <v>111</v>
      </c>
      <c r="AE1905" s="4">
        <v>161</v>
      </c>
      <c r="AF1905" s="4">
        <v>2</v>
      </c>
      <c r="AG1905" s="4">
        <v>5</v>
      </c>
      <c r="AH1905" s="4">
        <v>85</v>
      </c>
      <c r="AI1905" s="4">
        <v>114</v>
      </c>
      <c r="AJ1905" s="4">
        <v>18</v>
      </c>
      <c r="AK1905" s="4">
        <v>27</v>
      </c>
      <c r="AL1905" s="4">
        <v>42</v>
      </c>
      <c r="AM1905" s="4">
        <v>62</v>
      </c>
      <c r="AN1905" s="4">
        <v>0</v>
      </c>
      <c r="AO1905" s="4">
        <v>1</v>
      </c>
      <c r="AP1905" s="4">
        <v>36</v>
      </c>
      <c r="AQ1905" s="4">
        <v>53</v>
      </c>
      <c r="AR1905" s="3" t="s">
        <v>62</v>
      </c>
      <c r="AS1905" s="3" t="s">
        <v>62</v>
      </c>
      <c r="AT1905" s="3" t="s">
        <v>62</v>
      </c>
      <c r="AV1905" s="6" t="str">
        <f>HYPERLINK("http://mcgill.on.worldcat.org/oclc/13456186","Catalog Record")</f>
        <v>Catalog Record</v>
      </c>
      <c r="AW1905" s="6" t="str">
        <f>HYPERLINK("http://www.worldcat.org/oclc/13456186","WorldCat Record")</f>
        <v>WorldCat Record</v>
      </c>
      <c r="AX1905" s="3" t="s">
        <v>18374</v>
      </c>
      <c r="AY1905" s="3" t="s">
        <v>18393</v>
      </c>
      <c r="AZ1905" s="3" t="s">
        <v>18394</v>
      </c>
      <c r="BA1905" s="3" t="s">
        <v>18394</v>
      </c>
      <c r="BB1905" s="3" t="s">
        <v>18395</v>
      </c>
      <c r="BC1905" s="3" t="s">
        <v>142</v>
      </c>
      <c r="BD1905" s="3" t="s">
        <v>68</v>
      </c>
      <c r="BE1905" s="3" t="s">
        <v>18396</v>
      </c>
      <c r="BF1905" s="3" t="s">
        <v>18395</v>
      </c>
      <c r="BG1905" s="3" t="s">
        <v>18397</v>
      </c>
    </row>
    <row r="1906" spans="1:59" ht="57" x14ac:dyDescent="0.45">
      <c r="A1906" s="2" t="s">
        <v>59</v>
      </c>
      <c r="B1906" s="2" t="s">
        <v>60</v>
      </c>
      <c r="C1906" s="2" t="s">
        <v>18387</v>
      </c>
      <c r="D1906" s="2" t="s">
        <v>18388</v>
      </c>
      <c r="E1906" s="2" t="s">
        <v>18372</v>
      </c>
      <c r="G1906" s="3" t="s">
        <v>62</v>
      </c>
      <c r="I1906" s="3" t="s">
        <v>61</v>
      </c>
      <c r="J1906" s="3" t="s">
        <v>61</v>
      </c>
      <c r="K1906" s="3" t="s">
        <v>63</v>
      </c>
      <c r="L1906" s="2" t="s">
        <v>6209</v>
      </c>
      <c r="M1906" s="2" t="s">
        <v>18389</v>
      </c>
      <c r="N1906" s="3" t="s">
        <v>625</v>
      </c>
      <c r="P1906" s="3" t="s">
        <v>65</v>
      </c>
      <c r="Q1906" s="2" t="s">
        <v>18390</v>
      </c>
      <c r="R1906" s="3" t="s">
        <v>66</v>
      </c>
      <c r="S1906" s="4">
        <v>47</v>
      </c>
      <c r="T1906" s="4">
        <v>166</v>
      </c>
      <c r="U1906" s="5" t="s">
        <v>18398</v>
      </c>
      <c r="V1906" s="5" t="s">
        <v>18392</v>
      </c>
      <c r="W1906" s="5" t="s">
        <v>67</v>
      </c>
      <c r="X1906" s="5" t="s">
        <v>67</v>
      </c>
      <c r="Y1906" s="4">
        <v>1158</v>
      </c>
      <c r="Z1906" s="4">
        <v>80</v>
      </c>
      <c r="AA1906" s="4">
        <v>141</v>
      </c>
      <c r="AB1906" s="4">
        <v>4</v>
      </c>
      <c r="AC1906" s="4">
        <v>13</v>
      </c>
      <c r="AD1906" s="4">
        <v>111</v>
      </c>
      <c r="AE1906" s="4">
        <v>161</v>
      </c>
      <c r="AF1906" s="4">
        <v>2</v>
      </c>
      <c r="AG1906" s="4">
        <v>5</v>
      </c>
      <c r="AH1906" s="4">
        <v>85</v>
      </c>
      <c r="AI1906" s="4">
        <v>114</v>
      </c>
      <c r="AJ1906" s="4">
        <v>18</v>
      </c>
      <c r="AK1906" s="4">
        <v>27</v>
      </c>
      <c r="AL1906" s="4">
        <v>42</v>
      </c>
      <c r="AM1906" s="4">
        <v>62</v>
      </c>
      <c r="AN1906" s="4">
        <v>0</v>
      </c>
      <c r="AO1906" s="4">
        <v>1</v>
      </c>
      <c r="AP1906" s="4">
        <v>36</v>
      </c>
      <c r="AQ1906" s="4">
        <v>53</v>
      </c>
      <c r="AR1906" s="3" t="s">
        <v>62</v>
      </c>
      <c r="AS1906" s="3" t="s">
        <v>62</v>
      </c>
      <c r="AT1906" s="3" t="s">
        <v>62</v>
      </c>
      <c r="AV1906" s="6" t="str">
        <f>HYPERLINK("http://mcgill.on.worldcat.org/oclc/13456186","Catalog Record")</f>
        <v>Catalog Record</v>
      </c>
      <c r="AW1906" s="6" t="str">
        <f>HYPERLINK("http://www.worldcat.org/oclc/13456186","WorldCat Record")</f>
        <v>WorldCat Record</v>
      </c>
      <c r="AX1906" s="3" t="s">
        <v>18374</v>
      </c>
      <c r="AY1906" s="3" t="s">
        <v>18393</v>
      </c>
      <c r="AZ1906" s="3" t="s">
        <v>18394</v>
      </c>
      <c r="BA1906" s="3" t="s">
        <v>18394</v>
      </c>
      <c r="BB1906" s="3" t="s">
        <v>18399</v>
      </c>
      <c r="BC1906" s="3" t="s">
        <v>142</v>
      </c>
      <c r="BD1906" s="3" t="s">
        <v>68</v>
      </c>
      <c r="BE1906" s="3" t="s">
        <v>18396</v>
      </c>
      <c r="BF1906" s="3" t="s">
        <v>18399</v>
      </c>
      <c r="BG1906" s="3" t="s">
        <v>18400</v>
      </c>
    </row>
    <row r="1907" spans="1:59" ht="57" x14ac:dyDescent="0.45">
      <c r="A1907" s="2" t="s">
        <v>59</v>
      </c>
      <c r="B1907" s="2" t="s">
        <v>60</v>
      </c>
      <c r="C1907" s="2" t="s">
        <v>18387</v>
      </c>
      <c r="D1907" s="2" t="s">
        <v>18388</v>
      </c>
      <c r="E1907" s="2" t="s">
        <v>18372</v>
      </c>
      <c r="G1907" s="3" t="s">
        <v>62</v>
      </c>
      <c r="I1907" s="3" t="s">
        <v>61</v>
      </c>
      <c r="J1907" s="3" t="s">
        <v>61</v>
      </c>
      <c r="K1907" s="3" t="s">
        <v>63</v>
      </c>
      <c r="L1907" s="2" t="s">
        <v>6209</v>
      </c>
      <c r="M1907" s="2" t="s">
        <v>18389</v>
      </c>
      <c r="N1907" s="3" t="s">
        <v>625</v>
      </c>
      <c r="P1907" s="3" t="s">
        <v>65</v>
      </c>
      <c r="Q1907" s="2" t="s">
        <v>18390</v>
      </c>
      <c r="R1907" s="3" t="s">
        <v>66</v>
      </c>
      <c r="S1907" s="4">
        <v>109</v>
      </c>
      <c r="T1907" s="4">
        <v>166</v>
      </c>
      <c r="U1907" s="5" t="s">
        <v>18392</v>
      </c>
      <c r="V1907" s="5" t="s">
        <v>18392</v>
      </c>
      <c r="W1907" s="5" t="s">
        <v>67</v>
      </c>
      <c r="X1907" s="5" t="s">
        <v>67</v>
      </c>
      <c r="Y1907" s="4">
        <v>1158</v>
      </c>
      <c r="Z1907" s="4">
        <v>80</v>
      </c>
      <c r="AA1907" s="4">
        <v>141</v>
      </c>
      <c r="AB1907" s="4">
        <v>4</v>
      </c>
      <c r="AC1907" s="4">
        <v>13</v>
      </c>
      <c r="AD1907" s="4">
        <v>111</v>
      </c>
      <c r="AE1907" s="4">
        <v>161</v>
      </c>
      <c r="AF1907" s="4">
        <v>2</v>
      </c>
      <c r="AG1907" s="4">
        <v>5</v>
      </c>
      <c r="AH1907" s="4">
        <v>85</v>
      </c>
      <c r="AI1907" s="4">
        <v>114</v>
      </c>
      <c r="AJ1907" s="4">
        <v>18</v>
      </c>
      <c r="AK1907" s="4">
        <v>27</v>
      </c>
      <c r="AL1907" s="4">
        <v>42</v>
      </c>
      <c r="AM1907" s="4">
        <v>62</v>
      </c>
      <c r="AN1907" s="4">
        <v>0</v>
      </c>
      <c r="AO1907" s="4">
        <v>1</v>
      </c>
      <c r="AP1907" s="4">
        <v>36</v>
      </c>
      <c r="AQ1907" s="4">
        <v>53</v>
      </c>
      <c r="AR1907" s="3" t="s">
        <v>62</v>
      </c>
      <c r="AS1907" s="3" t="s">
        <v>62</v>
      </c>
      <c r="AT1907" s="3" t="s">
        <v>62</v>
      </c>
      <c r="AV1907" s="6" t="str">
        <f>HYPERLINK("http://mcgill.on.worldcat.org/oclc/13456186","Catalog Record")</f>
        <v>Catalog Record</v>
      </c>
      <c r="AW1907" s="6" t="str">
        <f>HYPERLINK("http://www.worldcat.org/oclc/13456186","WorldCat Record")</f>
        <v>WorldCat Record</v>
      </c>
      <c r="AX1907" s="3" t="s">
        <v>18374</v>
      </c>
      <c r="AY1907" s="3" t="s">
        <v>18393</v>
      </c>
      <c r="AZ1907" s="3" t="s">
        <v>18394</v>
      </c>
      <c r="BA1907" s="3" t="s">
        <v>18394</v>
      </c>
      <c r="BB1907" s="3" t="s">
        <v>18401</v>
      </c>
      <c r="BC1907" s="3" t="s">
        <v>142</v>
      </c>
      <c r="BD1907" s="3" t="s">
        <v>68</v>
      </c>
      <c r="BE1907" s="3" t="s">
        <v>18396</v>
      </c>
      <c r="BF1907" s="3" t="s">
        <v>18401</v>
      </c>
      <c r="BG1907" s="3" t="s">
        <v>18402</v>
      </c>
    </row>
    <row r="1908" spans="1:59" ht="57" x14ac:dyDescent="0.45">
      <c r="A1908" s="2" t="s">
        <v>59</v>
      </c>
      <c r="B1908" s="2" t="s">
        <v>60</v>
      </c>
      <c r="C1908" s="2" t="s">
        <v>18403</v>
      </c>
      <c r="D1908" s="2" t="s">
        <v>18404</v>
      </c>
      <c r="E1908" s="2" t="s">
        <v>18405</v>
      </c>
      <c r="G1908" s="3" t="s">
        <v>62</v>
      </c>
      <c r="I1908" s="3" t="s">
        <v>61</v>
      </c>
      <c r="J1908" s="3" t="s">
        <v>61</v>
      </c>
      <c r="K1908" s="3" t="s">
        <v>63</v>
      </c>
      <c r="L1908" s="2" t="s">
        <v>6209</v>
      </c>
      <c r="M1908" s="2" t="s">
        <v>18406</v>
      </c>
      <c r="N1908" s="3" t="s">
        <v>1059</v>
      </c>
      <c r="O1908" s="2" t="s">
        <v>18407</v>
      </c>
      <c r="P1908" s="3" t="s">
        <v>65</v>
      </c>
      <c r="R1908" s="3" t="s">
        <v>66</v>
      </c>
      <c r="S1908" s="4">
        <v>12</v>
      </c>
      <c r="T1908" s="4">
        <v>19</v>
      </c>
      <c r="U1908" s="5" t="s">
        <v>18408</v>
      </c>
      <c r="V1908" s="5" t="s">
        <v>18409</v>
      </c>
      <c r="W1908" s="5" t="s">
        <v>67</v>
      </c>
      <c r="X1908" s="5" t="s">
        <v>67</v>
      </c>
      <c r="Y1908" s="4">
        <v>851</v>
      </c>
      <c r="Z1908" s="4">
        <v>39</v>
      </c>
      <c r="AA1908" s="4">
        <v>141</v>
      </c>
      <c r="AB1908" s="4">
        <v>5</v>
      </c>
      <c r="AC1908" s="4">
        <v>13</v>
      </c>
      <c r="AD1908" s="4">
        <v>61</v>
      </c>
      <c r="AE1908" s="4">
        <v>161</v>
      </c>
      <c r="AF1908" s="4">
        <v>1</v>
      </c>
      <c r="AG1908" s="4">
        <v>5</v>
      </c>
      <c r="AH1908" s="4">
        <v>50</v>
      </c>
      <c r="AI1908" s="4">
        <v>114</v>
      </c>
      <c r="AJ1908" s="4">
        <v>9</v>
      </c>
      <c r="AK1908" s="4">
        <v>27</v>
      </c>
      <c r="AL1908" s="4">
        <v>27</v>
      </c>
      <c r="AM1908" s="4">
        <v>62</v>
      </c>
      <c r="AN1908" s="4">
        <v>0</v>
      </c>
      <c r="AO1908" s="4">
        <v>1</v>
      </c>
      <c r="AP1908" s="4">
        <v>14</v>
      </c>
      <c r="AQ1908" s="4">
        <v>53</v>
      </c>
      <c r="AR1908" s="3" t="s">
        <v>62</v>
      </c>
      <c r="AS1908" s="3" t="s">
        <v>62</v>
      </c>
      <c r="AT1908" s="3" t="s">
        <v>62</v>
      </c>
      <c r="AV1908" s="6" t="str">
        <f>HYPERLINK("http://mcgill.on.worldcat.org/oclc/62757793","Catalog Record")</f>
        <v>Catalog Record</v>
      </c>
      <c r="AW1908" s="6" t="str">
        <f>HYPERLINK("http://www.worldcat.org/oclc/62757793","WorldCat Record")</f>
        <v>WorldCat Record</v>
      </c>
      <c r="AX1908" s="3" t="s">
        <v>18374</v>
      </c>
      <c r="AY1908" s="3" t="s">
        <v>18410</v>
      </c>
      <c r="AZ1908" s="3" t="s">
        <v>18411</v>
      </c>
      <c r="BA1908" s="3" t="s">
        <v>18411</v>
      </c>
      <c r="BB1908" s="3" t="s">
        <v>18412</v>
      </c>
      <c r="BC1908" s="3" t="s">
        <v>142</v>
      </c>
      <c r="BD1908" s="3" t="s">
        <v>308</v>
      </c>
      <c r="BE1908" s="3" t="s">
        <v>18413</v>
      </c>
      <c r="BF1908" s="3" t="s">
        <v>18412</v>
      </c>
      <c r="BG1908" s="3" t="s">
        <v>18414</v>
      </c>
    </row>
    <row r="1909" spans="1:59" ht="57" x14ac:dyDescent="0.45">
      <c r="A1909" s="2" t="s">
        <v>59</v>
      </c>
      <c r="B1909" s="2" t="s">
        <v>60</v>
      </c>
      <c r="C1909" s="2" t="s">
        <v>18403</v>
      </c>
      <c r="D1909" s="2" t="s">
        <v>18404</v>
      </c>
      <c r="E1909" s="2" t="s">
        <v>18405</v>
      </c>
      <c r="G1909" s="3" t="s">
        <v>62</v>
      </c>
      <c r="I1909" s="3" t="s">
        <v>61</v>
      </c>
      <c r="J1909" s="3" t="s">
        <v>61</v>
      </c>
      <c r="K1909" s="3" t="s">
        <v>63</v>
      </c>
      <c r="L1909" s="2" t="s">
        <v>6209</v>
      </c>
      <c r="M1909" s="2" t="s">
        <v>18406</v>
      </c>
      <c r="N1909" s="3" t="s">
        <v>1059</v>
      </c>
      <c r="O1909" s="2" t="s">
        <v>18407</v>
      </c>
      <c r="P1909" s="3" t="s">
        <v>65</v>
      </c>
      <c r="R1909" s="3" t="s">
        <v>66</v>
      </c>
      <c r="S1909" s="4">
        <v>3</v>
      </c>
      <c r="T1909" s="4">
        <v>19</v>
      </c>
      <c r="U1909" s="5" t="s">
        <v>3545</v>
      </c>
      <c r="V1909" s="5" t="s">
        <v>18409</v>
      </c>
      <c r="W1909" s="5" t="s">
        <v>67</v>
      </c>
      <c r="X1909" s="5" t="s">
        <v>67</v>
      </c>
      <c r="Y1909" s="4">
        <v>851</v>
      </c>
      <c r="Z1909" s="4">
        <v>39</v>
      </c>
      <c r="AA1909" s="4">
        <v>141</v>
      </c>
      <c r="AB1909" s="4">
        <v>5</v>
      </c>
      <c r="AC1909" s="4">
        <v>13</v>
      </c>
      <c r="AD1909" s="4">
        <v>61</v>
      </c>
      <c r="AE1909" s="4">
        <v>161</v>
      </c>
      <c r="AF1909" s="4">
        <v>1</v>
      </c>
      <c r="AG1909" s="4">
        <v>5</v>
      </c>
      <c r="AH1909" s="4">
        <v>50</v>
      </c>
      <c r="AI1909" s="4">
        <v>114</v>
      </c>
      <c r="AJ1909" s="4">
        <v>9</v>
      </c>
      <c r="AK1909" s="4">
        <v>27</v>
      </c>
      <c r="AL1909" s="4">
        <v>27</v>
      </c>
      <c r="AM1909" s="4">
        <v>62</v>
      </c>
      <c r="AN1909" s="4">
        <v>0</v>
      </c>
      <c r="AO1909" s="4">
        <v>1</v>
      </c>
      <c r="AP1909" s="4">
        <v>14</v>
      </c>
      <c r="AQ1909" s="4">
        <v>53</v>
      </c>
      <c r="AR1909" s="3" t="s">
        <v>62</v>
      </c>
      <c r="AS1909" s="3" t="s">
        <v>62</v>
      </c>
      <c r="AT1909" s="3" t="s">
        <v>62</v>
      </c>
      <c r="AV1909" s="6" t="str">
        <f>HYPERLINK("http://mcgill.on.worldcat.org/oclc/62757793","Catalog Record")</f>
        <v>Catalog Record</v>
      </c>
      <c r="AW1909" s="6" t="str">
        <f>HYPERLINK("http://www.worldcat.org/oclc/62757793","WorldCat Record")</f>
        <v>WorldCat Record</v>
      </c>
      <c r="AX1909" s="3" t="s">
        <v>18374</v>
      </c>
      <c r="AY1909" s="3" t="s">
        <v>18410</v>
      </c>
      <c r="AZ1909" s="3" t="s">
        <v>18411</v>
      </c>
      <c r="BA1909" s="3" t="s">
        <v>18411</v>
      </c>
      <c r="BB1909" s="3" t="s">
        <v>18415</v>
      </c>
      <c r="BC1909" s="3" t="s">
        <v>142</v>
      </c>
      <c r="BD1909" s="3" t="s">
        <v>68</v>
      </c>
      <c r="BE1909" s="3" t="s">
        <v>18413</v>
      </c>
      <c r="BF1909" s="3" t="s">
        <v>18415</v>
      </c>
      <c r="BG1909" s="3" t="s">
        <v>18416</v>
      </c>
    </row>
    <row r="1910" spans="1:59" ht="57" x14ac:dyDescent="0.45">
      <c r="A1910" s="2" t="s">
        <v>59</v>
      </c>
      <c r="B1910" s="2" t="s">
        <v>60</v>
      </c>
      <c r="C1910" s="2" t="s">
        <v>18403</v>
      </c>
      <c r="D1910" s="2" t="s">
        <v>18404</v>
      </c>
      <c r="E1910" s="2" t="s">
        <v>18405</v>
      </c>
      <c r="G1910" s="3" t="s">
        <v>62</v>
      </c>
      <c r="I1910" s="3" t="s">
        <v>61</v>
      </c>
      <c r="J1910" s="3" t="s">
        <v>61</v>
      </c>
      <c r="K1910" s="3" t="s">
        <v>63</v>
      </c>
      <c r="L1910" s="2" t="s">
        <v>6209</v>
      </c>
      <c r="M1910" s="2" t="s">
        <v>18406</v>
      </c>
      <c r="N1910" s="3" t="s">
        <v>1059</v>
      </c>
      <c r="O1910" s="2" t="s">
        <v>18407</v>
      </c>
      <c r="P1910" s="3" t="s">
        <v>65</v>
      </c>
      <c r="R1910" s="3" t="s">
        <v>66</v>
      </c>
      <c r="S1910" s="4">
        <v>4</v>
      </c>
      <c r="T1910" s="4">
        <v>19</v>
      </c>
      <c r="U1910" s="5" t="s">
        <v>18409</v>
      </c>
      <c r="V1910" s="5" t="s">
        <v>18409</v>
      </c>
      <c r="W1910" s="5" t="s">
        <v>67</v>
      </c>
      <c r="X1910" s="5" t="s">
        <v>67</v>
      </c>
      <c r="Y1910" s="4">
        <v>851</v>
      </c>
      <c r="Z1910" s="4">
        <v>39</v>
      </c>
      <c r="AA1910" s="4">
        <v>141</v>
      </c>
      <c r="AB1910" s="4">
        <v>5</v>
      </c>
      <c r="AC1910" s="4">
        <v>13</v>
      </c>
      <c r="AD1910" s="4">
        <v>61</v>
      </c>
      <c r="AE1910" s="4">
        <v>161</v>
      </c>
      <c r="AF1910" s="4">
        <v>1</v>
      </c>
      <c r="AG1910" s="4">
        <v>5</v>
      </c>
      <c r="AH1910" s="4">
        <v>50</v>
      </c>
      <c r="AI1910" s="4">
        <v>114</v>
      </c>
      <c r="AJ1910" s="4">
        <v>9</v>
      </c>
      <c r="AK1910" s="4">
        <v>27</v>
      </c>
      <c r="AL1910" s="4">
        <v>27</v>
      </c>
      <c r="AM1910" s="4">
        <v>62</v>
      </c>
      <c r="AN1910" s="4">
        <v>0</v>
      </c>
      <c r="AO1910" s="4">
        <v>1</v>
      </c>
      <c r="AP1910" s="4">
        <v>14</v>
      </c>
      <c r="AQ1910" s="4">
        <v>53</v>
      </c>
      <c r="AR1910" s="3" t="s">
        <v>62</v>
      </c>
      <c r="AS1910" s="3" t="s">
        <v>62</v>
      </c>
      <c r="AT1910" s="3" t="s">
        <v>62</v>
      </c>
      <c r="AV1910" s="6" t="str">
        <f>HYPERLINK("http://mcgill.on.worldcat.org/oclc/62757793","Catalog Record")</f>
        <v>Catalog Record</v>
      </c>
      <c r="AW1910" s="6" t="str">
        <f>HYPERLINK("http://www.worldcat.org/oclc/62757793","WorldCat Record")</f>
        <v>WorldCat Record</v>
      </c>
      <c r="AX1910" s="3" t="s">
        <v>18374</v>
      </c>
      <c r="AY1910" s="3" t="s">
        <v>18410</v>
      </c>
      <c r="AZ1910" s="3" t="s">
        <v>18411</v>
      </c>
      <c r="BA1910" s="3" t="s">
        <v>18411</v>
      </c>
      <c r="BB1910" s="3" t="s">
        <v>18417</v>
      </c>
      <c r="BC1910" s="3" t="s">
        <v>142</v>
      </c>
      <c r="BD1910" s="3" t="s">
        <v>68</v>
      </c>
      <c r="BE1910" s="3" t="s">
        <v>18413</v>
      </c>
      <c r="BF1910" s="3" t="s">
        <v>18417</v>
      </c>
      <c r="BG1910" s="3" t="s">
        <v>18418</v>
      </c>
    </row>
    <row r="1911" spans="1:59" ht="57" x14ac:dyDescent="0.45">
      <c r="A1911" s="2" t="s">
        <v>59</v>
      </c>
      <c r="B1911" s="2" t="s">
        <v>60</v>
      </c>
      <c r="C1911" s="2" t="s">
        <v>18419</v>
      </c>
      <c r="D1911" s="2" t="s">
        <v>18420</v>
      </c>
      <c r="E1911" s="2" t="s">
        <v>18421</v>
      </c>
      <c r="G1911" s="3" t="s">
        <v>62</v>
      </c>
      <c r="I1911" s="3" t="s">
        <v>62</v>
      </c>
      <c r="J1911" s="3" t="s">
        <v>62</v>
      </c>
      <c r="K1911" s="3" t="s">
        <v>63</v>
      </c>
      <c r="L1911" s="2" t="s">
        <v>15045</v>
      </c>
      <c r="M1911" s="2" t="s">
        <v>18422</v>
      </c>
      <c r="N1911" s="3" t="s">
        <v>1155</v>
      </c>
      <c r="P1911" s="3" t="s">
        <v>65</v>
      </c>
      <c r="R1911" s="3" t="s">
        <v>66</v>
      </c>
      <c r="S1911" s="4">
        <v>5</v>
      </c>
      <c r="T1911" s="4">
        <v>5</v>
      </c>
      <c r="U1911" s="5" t="s">
        <v>4283</v>
      </c>
      <c r="V1911" s="5" t="s">
        <v>4283</v>
      </c>
      <c r="W1911" s="5" t="s">
        <v>67</v>
      </c>
      <c r="X1911" s="5" t="s">
        <v>67</v>
      </c>
      <c r="Y1911" s="4">
        <v>146</v>
      </c>
      <c r="Z1911" s="4">
        <v>7</v>
      </c>
      <c r="AA1911" s="4">
        <v>17</v>
      </c>
      <c r="AB1911" s="4">
        <v>2</v>
      </c>
      <c r="AC1911" s="4">
        <v>6</v>
      </c>
      <c r="AD1911" s="4">
        <v>20</v>
      </c>
      <c r="AE1911" s="4">
        <v>31</v>
      </c>
      <c r="AF1911" s="4">
        <v>1</v>
      </c>
      <c r="AG1911" s="4">
        <v>3</v>
      </c>
      <c r="AH1911" s="4">
        <v>18</v>
      </c>
      <c r="AI1911" s="4">
        <v>24</v>
      </c>
      <c r="AJ1911" s="4">
        <v>5</v>
      </c>
      <c r="AK1911" s="4">
        <v>12</v>
      </c>
      <c r="AL1911" s="4">
        <v>11</v>
      </c>
      <c r="AM1911" s="4">
        <v>13</v>
      </c>
      <c r="AN1911" s="4">
        <v>0</v>
      </c>
      <c r="AO1911" s="4">
        <v>0</v>
      </c>
      <c r="AP1911" s="4">
        <v>5</v>
      </c>
      <c r="AQ1911" s="4">
        <v>13</v>
      </c>
      <c r="AR1911" s="3" t="s">
        <v>62</v>
      </c>
      <c r="AS1911" s="3" t="s">
        <v>62</v>
      </c>
      <c r="AT1911" s="3" t="s">
        <v>62</v>
      </c>
      <c r="AV1911" s="6" t="str">
        <f>HYPERLINK("http://mcgill.on.worldcat.org/oclc/721906557","Catalog Record")</f>
        <v>Catalog Record</v>
      </c>
      <c r="AW1911" s="6" t="str">
        <f>HYPERLINK("http://www.worldcat.org/oclc/721906557","WorldCat Record")</f>
        <v>WorldCat Record</v>
      </c>
      <c r="AX1911" s="3" t="s">
        <v>18423</v>
      </c>
      <c r="AY1911" s="3" t="s">
        <v>18424</v>
      </c>
      <c r="AZ1911" s="3" t="s">
        <v>18425</v>
      </c>
      <c r="BA1911" s="3" t="s">
        <v>18425</v>
      </c>
      <c r="BB1911" s="3" t="s">
        <v>18426</v>
      </c>
      <c r="BC1911" s="3" t="s">
        <v>142</v>
      </c>
      <c r="BD1911" s="3" t="s">
        <v>68</v>
      </c>
      <c r="BE1911" s="3" t="s">
        <v>18427</v>
      </c>
      <c r="BF1911" s="3" t="s">
        <v>18426</v>
      </c>
      <c r="BG1911" s="3" t="s">
        <v>18428</v>
      </c>
    </row>
    <row r="1912" spans="1:59" ht="57" x14ac:dyDescent="0.45">
      <c r="A1912" s="2" t="s">
        <v>59</v>
      </c>
      <c r="B1912" s="2" t="s">
        <v>60</v>
      </c>
      <c r="C1912" s="2" t="s">
        <v>18429</v>
      </c>
      <c r="D1912" s="2" t="s">
        <v>18430</v>
      </c>
      <c r="E1912" s="2" t="s">
        <v>18431</v>
      </c>
      <c r="G1912" s="3" t="s">
        <v>62</v>
      </c>
      <c r="I1912" s="3" t="s">
        <v>62</v>
      </c>
      <c r="J1912" s="3" t="s">
        <v>62</v>
      </c>
      <c r="K1912" s="3" t="s">
        <v>63</v>
      </c>
      <c r="M1912" s="2" t="s">
        <v>18432</v>
      </c>
      <c r="N1912" s="3" t="s">
        <v>542</v>
      </c>
      <c r="P1912" s="3" t="s">
        <v>65</v>
      </c>
      <c r="Q1912" s="2" t="s">
        <v>18433</v>
      </c>
      <c r="R1912" s="3" t="s">
        <v>66</v>
      </c>
      <c r="S1912" s="4">
        <v>26</v>
      </c>
      <c r="T1912" s="4">
        <v>26</v>
      </c>
      <c r="U1912" s="5" t="s">
        <v>3077</v>
      </c>
      <c r="V1912" s="5" t="s">
        <v>3077</v>
      </c>
      <c r="W1912" s="5" t="s">
        <v>67</v>
      </c>
      <c r="X1912" s="5" t="s">
        <v>67</v>
      </c>
      <c r="Y1912" s="4">
        <v>429</v>
      </c>
      <c r="Z1912" s="4">
        <v>38</v>
      </c>
      <c r="AA1912" s="4">
        <v>47</v>
      </c>
      <c r="AB1912" s="4">
        <v>4</v>
      </c>
      <c r="AC1912" s="4">
        <v>6</v>
      </c>
      <c r="AD1912" s="4">
        <v>115</v>
      </c>
      <c r="AE1912" s="4">
        <v>120</v>
      </c>
      <c r="AF1912" s="4">
        <v>1</v>
      </c>
      <c r="AG1912" s="4">
        <v>2</v>
      </c>
      <c r="AH1912" s="4">
        <v>101</v>
      </c>
      <c r="AI1912" s="4">
        <v>103</v>
      </c>
      <c r="AJ1912" s="4">
        <v>20</v>
      </c>
      <c r="AK1912" s="4">
        <v>22</v>
      </c>
      <c r="AL1912" s="4">
        <v>52</v>
      </c>
      <c r="AM1912" s="4">
        <v>52</v>
      </c>
      <c r="AN1912" s="4">
        <v>0</v>
      </c>
      <c r="AO1912" s="4">
        <v>0</v>
      </c>
      <c r="AP1912" s="4">
        <v>25</v>
      </c>
      <c r="AQ1912" s="4">
        <v>29</v>
      </c>
      <c r="AR1912" s="3" t="s">
        <v>62</v>
      </c>
      <c r="AS1912" s="3" t="s">
        <v>62</v>
      </c>
      <c r="AT1912" s="3" t="s">
        <v>61</v>
      </c>
      <c r="AU1912" s="6" t="str">
        <f>HYPERLINK("http://catalog.hathitrust.org/Record/004207000","HathiTrust Record")</f>
        <v>HathiTrust Record</v>
      </c>
      <c r="AV1912" s="6" t="str">
        <f>HYPERLINK("http://mcgill.on.worldcat.org/oclc/46462696","Catalog Record")</f>
        <v>Catalog Record</v>
      </c>
      <c r="AW1912" s="6" t="str">
        <f>HYPERLINK("http://www.worldcat.org/oclc/46462696","WorldCat Record")</f>
        <v>WorldCat Record</v>
      </c>
      <c r="AX1912" s="3" t="s">
        <v>18434</v>
      </c>
      <c r="AY1912" s="3" t="s">
        <v>18435</v>
      </c>
      <c r="AZ1912" s="3" t="s">
        <v>18436</v>
      </c>
      <c r="BA1912" s="3" t="s">
        <v>18436</v>
      </c>
      <c r="BB1912" s="3" t="s">
        <v>18437</v>
      </c>
      <c r="BC1912" s="3" t="s">
        <v>142</v>
      </c>
      <c r="BD1912" s="3" t="s">
        <v>68</v>
      </c>
      <c r="BE1912" s="3" t="s">
        <v>18438</v>
      </c>
      <c r="BF1912" s="3" t="s">
        <v>18437</v>
      </c>
      <c r="BG1912" s="3" t="s">
        <v>18439</v>
      </c>
    </row>
    <row r="1913" spans="1:59" ht="57" x14ac:dyDescent="0.45">
      <c r="A1913" s="2" t="s">
        <v>59</v>
      </c>
      <c r="B1913" s="2" t="s">
        <v>60</v>
      </c>
      <c r="C1913" s="2" t="s">
        <v>18440</v>
      </c>
      <c r="D1913" s="2" t="s">
        <v>18441</v>
      </c>
      <c r="E1913" s="2" t="s">
        <v>18442</v>
      </c>
      <c r="G1913" s="3" t="s">
        <v>62</v>
      </c>
      <c r="I1913" s="3" t="s">
        <v>62</v>
      </c>
      <c r="J1913" s="3" t="s">
        <v>62</v>
      </c>
      <c r="K1913" s="3" t="s">
        <v>63</v>
      </c>
      <c r="M1913" s="2" t="s">
        <v>16837</v>
      </c>
      <c r="N1913" s="3" t="s">
        <v>1155</v>
      </c>
      <c r="P1913" s="3" t="s">
        <v>65</v>
      </c>
      <c r="R1913" s="3" t="s">
        <v>66</v>
      </c>
      <c r="S1913" s="4">
        <v>0</v>
      </c>
      <c r="T1913" s="4">
        <v>0</v>
      </c>
      <c r="W1913" s="5" t="s">
        <v>67</v>
      </c>
      <c r="X1913" s="5" t="s">
        <v>67</v>
      </c>
      <c r="Y1913" s="4">
        <v>115</v>
      </c>
      <c r="Z1913" s="4">
        <v>12</v>
      </c>
      <c r="AA1913" s="4">
        <v>12</v>
      </c>
      <c r="AB1913" s="4">
        <v>1</v>
      </c>
      <c r="AC1913" s="4">
        <v>1</v>
      </c>
      <c r="AD1913" s="4">
        <v>39</v>
      </c>
      <c r="AE1913" s="4">
        <v>39</v>
      </c>
      <c r="AF1913" s="4">
        <v>0</v>
      </c>
      <c r="AG1913" s="4">
        <v>0</v>
      </c>
      <c r="AH1913" s="4">
        <v>36</v>
      </c>
      <c r="AI1913" s="4">
        <v>36</v>
      </c>
      <c r="AJ1913" s="4">
        <v>8</v>
      </c>
      <c r="AK1913" s="4">
        <v>8</v>
      </c>
      <c r="AL1913" s="4">
        <v>18</v>
      </c>
      <c r="AM1913" s="4">
        <v>18</v>
      </c>
      <c r="AN1913" s="4">
        <v>0</v>
      </c>
      <c r="AO1913" s="4">
        <v>0</v>
      </c>
      <c r="AP1913" s="4">
        <v>9</v>
      </c>
      <c r="AQ1913" s="4">
        <v>9</v>
      </c>
      <c r="AR1913" s="3" t="s">
        <v>62</v>
      </c>
      <c r="AS1913" s="3" t="s">
        <v>62</v>
      </c>
      <c r="AT1913" s="3" t="s">
        <v>62</v>
      </c>
      <c r="AV1913" s="6" t="str">
        <f>HYPERLINK("http://mcgill.on.worldcat.org/oclc/780161466","Catalog Record")</f>
        <v>Catalog Record</v>
      </c>
      <c r="AW1913" s="6" t="str">
        <f>HYPERLINK("http://www.worldcat.org/oclc/780161466","WorldCat Record")</f>
        <v>WorldCat Record</v>
      </c>
      <c r="AX1913" s="3" t="s">
        <v>18443</v>
      </c>
      <c r="AY1913" s="3" t="s">
        <v>18444</v>
      </c>
      <c r="AZ1913" s="3" t="s">
        <v>18445</v>
      </c>
      <c r="BA1913" s="3" t="s">
        <v>18445</v>
      </c>
      <c r="BB1913" s="3" t="s">
        <v>18446</v>
      </c>
      <c r="BC1913" s="3" t="s">
        <v>142</v>
      </c>
      <c r="BD1913" s="3" t="s">
        <v>68</v>
      </c>
      <c r="BE1913" s="3" t="s">
        <v>18447</v>
      </c>
      <c r="BF1913" s="3" t="s">
        <v>18446</v>
      </c>
      <c r="BG1913" s="3" t="s">
        <v>18448</v>
      </c>
    </row>
    <row r="1914" spans="1:59" ht="57" x14ac:dyDescent="0.45">
      <c r="A1914" s="2" t="s">
        <v>59</v>
      </c>
      <c r="B1914" s="2" t="s">
        <v>60</v>
      </c>
      <c r="C1914" s="2" t="s">
        <v>18449</v>
      </c>
      <c r="D1914" s="2" t="s">
        <v>18450</v>
      </c>
      <c r="E1914" s="2" t="s">
        <v>18451</v>
      </c>
      <c r="G1914" s="3" t="s">
        <v>62</v>
      </c>
      <c r="I1914" s="3" t="s">
        <v>61</v>
      </c>
      <c r="J1914" s="3" t="s">
        <v>62</v>
      </c>
      <c r="K1914" s="3" t="s">
        <v>63</v>
      </c>
      <c r="M1914" s="2" t="s">
        <v>14604</v>
      </c>
      <c r="N1914" s="3" t="s">
        <v>970</v>
      </c>
      <c r="P1914" s="3" t="s">
        <v>65</v>
      </c>
      <c r="R1914" s="3" t="s">
        <v>66</v>
      </c>
      <c r="S1914" s="4">
        <v>17</v>
      </c>
      <c r="T1914" s="4">
        <v>18</v>
      </c>
      <c r="U1914" s="5" t="s">
        <v>18452</v>
      </c>
      <c r="V1914" s="5" t="s">
        <v>18452</v>
      </c>
      <c r="W1914" s="5" t="s">
        <v>67</v>
      </c>
      <c r="X1914" s="5" t="s">
        <v>67</v>
      </c>
      <c r="Y1914" s="4">
        <v>203</v>
      </c>
      <c r="Z1914" s="4">
        <v>17</v>
      </c>
      <c r="AA1914" s="4">
        <v>17</v>
      </c>
      <c r="AB1914" s="4">
        <v>2</v>
      </c>
      <c r="AC1914" s="4">
        <v>2</v>
      </c>
      <c r="AD1914" s="4">
        <v>67</v>
      </c>
      <c r="AE1914" s="4">
        <v>67</v>
      </c>
      <c r="AF1914" s="4">
        <v>1</v>
      </c>
      <c r="AG1914" s="4">
        <v>1</v>
      </c>
      <c r="AH1914" s="4">
        <v>60</v>
      </c>
      <c r="AI1914" s="4">
        <v>60</v>
      </c>
      <c r="AJ1914" s="4">
        <v>11</v>
      </c>
      <c r="AK1914" s="4">
        <v>11</v>
      </c>
      <c r="AL1914" s="4">
        <v>29</v>
      </c>
      <c r="AM1914" s="4">
        <v>29</v>
      </c>
      <c r="AN1914" s="4">
        <v>0</v>
      </c>
      <c r="AO1914" s="4">
        <v>0</v>
      </c>
      <c r="AP1914" s="4">
        <v>13</v>
      </c>
      <c r="AQ1914" s="4">
        <v>13</v>
      </c>
      <c r="AR1914" s="3" t="s">
        <v>62</v>
      </c>
      <c r="AS1914" s="3" t="s">
        <v>62</v>
      </c>
      <c r="AT1914" s="3" t="s">
        <v>61</v>
      </c>
      <c r="AU1914" s="6" t="str">
        <f>HYPERLINK("http://catalog.hathitrust.org/Record/004302648","HathiTrust Record")</f>
        <v>HathiTrust Record</v>
      </c>
      <c r="AV1914" s="6" t="str">
        <f>HYPERLINK("http://mcgill.on.worldcat.org/oclc/46959397","Catalog Record")</f>
        <v>Catalog Record</v>
      </c>
      <c r="AW1914" s="6" t="str">
        <f>HYPERLINK("http://www.worldcat.org/oclc/46959397","WorldCat Record")</f>
        <v>WorldCat Record</v>
      </c>
      <c r="AX1914" s="3" t="s">
        <v>18453</v>
      </c>
      <c r="AY1914" s="3" t="s">
        <v>18454</v>
      </c>
      <c r="AZ1914" s="3" t="s">
        <v>18455</v>
      </c>
      <c r="BA1914" s="3" t="s">
        <v>18455</v>
      </c>
      <c r="BB1914" s="3" t="s">
        <v>18456</v>
      </c>
      <c r="BC1914" s="3" t="s">
        <v>142</v>
      </c>
      <c r="BD1914" s="3" t="s">
        <v>68</v>
      </c>
      <c r="BE1914" s="3" t="s">
        <v>18457</v>
      </c>
      <c r="BF1914" s="3" t="s">
        <v>18456</v>
      </c>
      <c r="BG1914" s="3" t="s">
        <v>18458</v>
      </c>
    </row>
    <row r="1915" spans="1:59" ht="57" x14ac:dyDescent="0.45">
      <c r="A1915" s="2" t="s">
        <v>59</v>
      </c>
      <c r="B1915" s="2" t="s">
        <v>60</v>
      </c>
      <c r="C1915" s="2" t="s">
        <v>18459</v>
      </c>
      <c r="D1915" s="2" t="s">
        <v>18460</v>
      </c>
      <c r="E1915" s="2" t="s">
        <v>18461</v>
      </c>
      <c r="G1915" s="3" t="s">
        <v>62</v>
      </c>
      <c r="I1915" s="3" t="s">
        <v>62</v>
      </c>
      <c r="J1915" s="3" t="s">
        <v>62</v>
      </c>
      <c r="K1915" s="3" t="s">
        <v>63</v>
      </c>
      <c r="M1915" s="2" t="s">
        <v>18462</v>
      </c>
      <c r="N1915" s="3" t="s">
        <v>1059</v>
      </c>
      <c r="P1915" s="3" t="s">
        <v>65</v>
      </c>
      <c r="R1915" s="3" t="s">
        <v>66</v>
      </c>
      <c r="S1915" s="4">
        <v>23</v>
      </c>
      <c r="T1915" s="4">
        <v>23</v>
      </c>
      <c r="U1915" s="5" t="s">
        <v>18463</v>
      </c>
      <c r="V1915" s="5" t="s">
        <v>18463</v>
      </c>
      <c r="W1915" s="5" t="s">
        <v>67</v>
      </c>
      <c r="X1915" s="5" t="s">
        <v>67</v>
      </c>
      <c r="Y1915" s="4">
        <v>367</v>
      </c>
      <c r="Z1915" s="4">
        <v>24</v>
      </c>
      <c r="AA1915" s="4">
        <v>113</v>
      </c>
      <c r="AB1915" s="4">
        <v>3</v>
      </c>
      <c r="AC1915" s="4">
        <v>19</v>
      </c>
      <c r="AD1915" s="4">
        <v>106</v>
      </c>
      <c r="AE1915" s="4">
        <v>150</v>
      </c>
      <c r="AF1915" s="4">
        <v>1</v>
      </c>
      <c r="AG1915" s="4">
        <v>8</v>
      </c>
      <c r="AH1915" s="4">
        <v>97</v>
      </c>
      <c r="AI1915" s="4">
        <v>113</v>
      </c>
      <c r="AJ1915" s="4">
        <v>16</v>
      </c>
      <c r="AK1915" s="4">
        <v>26</v>
      </c>
      <c r="AL1915" s="4">
        <v>52</v>
      </c>
      <c r="AM1915" s="4">
        <v>58</v>
      </c>
      <c r="AN1915" s="4">
        <v>0</v>
      </c>
      <c r="AO1915" s="4">
        <v>0</v>
      </c>
      <c r="AP1915" s="4">
        <v>18</v>
      </c>
      <c r="AQ1915" s="4">
        <v>47</v>
      </c>
      <c r="AR1915" s="3" t="s">
        <v>62</v>
      </c>
      <c r="AS1915" s="3" t="s">
        <v>62</v>
      </c>
      <c r="AT1915" s="3" t="s">
        <v>61</v>
      </c>
      <c r="AU1915" s="6" t="str">
        <f>HYPERLINK("http://catalog.hathitrust.org/Record/005104327","HathiTrust Record")</f>
        <v>HathiTrust Record</v>
      </c>
      <c r="AV1915" s="6" t="str">
        <f>HYPERLINK("http://mcgill.on.worldcat.org/oclc/60341451","Catalog Record")</f>
        <v>Catalog Record</v>
      </c>
      <c r="AW1915" s="6" t="str">
        <f>HYPERLINK("http://www.worldcat.org/oclc/60341451","WorldCat Record")</f>
        <v>WorldCat Record</v>
      </c>
      <c r="AX1915" s="3" t="s">
        <v>18464</v>
      </c>
      <c r="AY1915" s="3" t="s">
        <v>18465</v>
      </c>
      <c r="AZ1915" s="3" t="s">
        <v>18466</v>
      </c>
      <c r="BA1915" s="3" t="s">
        <v>18466</v>
      </c>
      <c r="BB1915" s="3" t="s">
        <v>18467</v>
      </c>
      <c r="BC1915" s="3" t="s">
        <v>142</v>
      </c>
      <c r="BD1915" s="3" t="s">
        <v>68</v>
      </c>
      <c r="BE1915" s="3" t="s">
        <v>18468</v>
      </c>
      <c r="BF1915" s="3" t="s">
        <v>18467</v>
      </c>
      <c r="BG1915" s="3" t="s">
        <v>18469</v>
      </c>
    </row>
    <row r="1916" spans="1:59" ht="57" x14ac:dyDescent="0.45">
      <c r="A1916" s="2" t="s">
        <v>59</v>
      </c>
      <c r="B1916" s="2" t="s">
        <v>60</v>
      </c>
      <c r="C1916" s="2" t="s">
        <v>18470</v>
      </c>
      <c r="D1916" s="2" t="s">
        <v>18471</v>
      </c>
      <c r="E1916" s="2" t="s">
        <v>18472</v>
      </c>
      <c r="G1916" s="3" t="s">
        <v>62</v>
      </c>
      <c r="I1916" s="3" t="s">
        <v>62</v>
      </c>
      <c r="J1916" s="3" t="s">
        <v>62</v>
      </c>
      <c r="K1916" s="3" t="s">
        <v>63</v>
      </c>
      <c r="M1916" s="2" t="s">
        <v>17930</v>
      </c>
      <c r="N1916" s="3" t="s">
        <v>1253</v>
      </c>
      <c r="P1916" s="3" t="s">
        <v>65</v>
      </c>
      <c r="R1916" s="3" t="s">
        <v>66</v>
      </c>
      <c r="S1916" s="4">
        <v>55</v>
      </c>
      <c r="T1916" s="4">
        <v>55</v>
      </c>
      <c r="U1916" s="5" t="s">
        <v>18463</v>
      </c>
      <c r="V1916" s="5" t="s">
        <v>18463</v>
      </c>
      <c r="W1916" s="5" t="s">
        <v>67</v>
      </c>
      <c r="X1916" s="5" t="s">
        <v>67</v>
      </c>
      <c r="Y1916" s="4">
        <v>462</v>
      </c>
      <c r="Z1916" s="4">
        <v>27</v>
      </c>
      <c r="AA1916" s="4">
        <v>103</v>
      </c>
      <c r="AB1916" s="4">
        <v>2</v>
      </c>
      <c r="AC1916" s="4">
        <v>17</v>
      </c>
      <c r="AD1916" s="4">
        <v>104</v>
      </c>
      <c r="AE1916" s="4">
        <v>143</v>
      </c>
      <c r="AF1916" s="4">
        <v>1</v>
      </c>
      <c r="AG1916" s="4">
        <v>8</v>
      </c>
      <c r="AH1916" s="4">
        <v>90</v>
      </c>
      <c r="AI1916" s="4">
        <v>103</v>
      </c>
      <c r="AJ1916" s="4">
        <v>17</v>
      </c>
      <c r="AK1916" s="4">
        <v>26</v>
      </c>
      <c r="AL1916" s="4">
        <v>47</v>
      </c>
      <c r="AM1916" s="4">
        <v>51</v>
      </c>
      <c r="AN1916" s="4">
        <v>0</v>
      </c>
      <c r="AO1916" s="4">
        <v>0</v>
      </c>
      <c r="AP1916" s="4">
        <v>22</v>
      </c>
      <c r="AQ1916" s="4">
        <v>51</v>
      </c>
      <c r="AR1916" s="3" t="s">
        <v>62</v>
      </c>
      <c r="AS1916" s="3" t="s">
        <v>62</v>
      </c>
      <c r="AT1916" s="3" t="s">
        <v>61</v>
      </c>
      <c r="AU1916" s="6" t="str">
        <f>HYPERLINK("http://catalog.hathitrust.org/Record/003150848","HathiTrust Record")</f>
        <v>HathiTrust Record</v>
      </c>
      <c r="AV1916" s="6" t="str">
        <f>HYPERLINK("http://mcgill.on.worldcat.org/oclc/39886711","Catalog Record")</f>
        <v>Catalog Record</v>
      </c>
      <c r="AW1916" s="6" t="str">
        <f>HYPERLINK("http://www.worldcat.org/oclc/39886711","WorldCat Record")</f>
        <v>WorldCat Record</v>
      </c>
      <c r="AX1916" s="3" t="s">
        <v>18473</v>
      </c>
      <c r="AY1916" s="3" t="s">
        <v>18474</v>
      </c>
      <c r="AZ1916" s="3" t="s">
        <v>18475</v>
      </c>
      <c r="BA1916" s="3" t="s">
        <v>18475</v>
      </c>
      <c r="BB1916" s="3" t="s">
        <v>18476</v>
      </c>
      <c r="BC1916" s="3" t="s">
        <v>142</v>
      </c>
      <c r="BD1916" s="3" t="s">
        <v>68</v>
      </c>
      <c r="BE1916" s="3" t="s">
        <v>18477</v>
      </c>
      <c r="BF1916" s="3" t="s">
        <v>18476</v>
      </c>
      <c r="BG1916" s="3" t="s">
        <v>18478</v>
      </c>
    </row>
    <row r="1917" spans="1:59" ht="57" x14ac:dyDescent="0.45">
      <c r="A1917" s="2" t="s">
        <v>59</v>
      </c>
      <c r="B1917" s="2" t="s">
        <v>60</v>
      </c>
      <c r="C1917" s="2" t="s">
        <v>18479</v>
      </c>
      <c r="D1917" s="2" t="s">
        <v>18480</v>
      </c>
      <c r="E1917" s="2" t="s">
        <v>18481</v>
      </c>
      <c r="G1917" s="3" t="s">
        <v>62</v>
      </c>
      <c r="I1917" s="3" t="s">
        <v>62</v>
      </c>
      <c r="J1917" s="3" t="s">
        <v>62</v>
      </c>
      <c r="K1917" s="3" t="s">
        <v>63</v>
      </c>
      <c r="L1917" s="2" t="s">
        <v>18482</v>
      </c>
      <c r="M1917" s="2" t="s">
        <v>18483</v>
      </c>
      <c r="N1917" s="3" t="s">
        <v>1478</v>
      </c>
      <c r="P1917" s="3" t="s">
        <v>65</v>
      </c>
      <c r="Q1917" s="2" t="s">
        <v>18484</v>
      </c>
      <c r="R1917" s="3" t="s">
        <v>66</v>
      </c>
      <c r="S1917" s="4">
        <v>14</v>
      </c>
      <c r="T1917" s="4">
        <v>14</v>
      </c>
      <c r="U1917" s="5" t="s">
        <v>17920</v>
      </c>
      <c r="V1917" s="5" t="s">
        <v>17920</v>
      </c>
      <c r="W1917" s="5" t="s">
        <v>67</v>
      </c>
      <c r="X1917" s="5" t="s">
        <v>67</v>
      </c>
      <c r="Y1917" s="4">
        <v>310</v>
      </c>
      <c r="Z1917" s="4">
        <v>13</v>
      </c>
      <c r="AA1917" s="4">
        <v>14</v>
      </c>
      <c r="AB1917" s="4">
        <v>1</v>
      </c>
      <c r="AC1917" s="4">
        <v>2</v>
      </c>
      <c r="AD1917" s="4">
        <v>92</v>
      </c>
      <c r="AE1917" s="4">
        <v>93</v>
      </c>
      <c r="AF1917" s="4">
        <v>0</v>
      </c>
      <c r="AG1917" s="4">
        <v>1</v>
      </c>
      <c r="AH1917" s="4">
        <v>82</v>
      </c>
      <c r="AI1917" s="4">
        <v>83</v>
      </c>
      <c r="AJ1917" s="4">
        <v>10</v>
      </c>
      <c r="AK1917" s="4">
        <v>11</v>
      </c>
      <c r="AL1917" s="4">
        <v>44</v>
      </c>
      <c r="AM1917" s="4">
        <v>44</v>
      </c>
      <c r="AN1917" s="4">
        <v>0</v>
      </c>
      <c r="AO1917" s="4">
        <v>0</v>
      </c>
      <c r="AP1917" s="4">
        <v>11</v>
      </c>
      <c r="AQ1917" s="4">
        <v>12</v>
      </c>
      <c r="AR1917" s="3" t="s">
        <v>62</v>
      </c>
      <c r="AS1917" s="3" t="s">
        <v>62</v>
      </c>
      <c r="AT1917" s="3" t="s">
        <v>61</v>
      </c>
      <c r="AU1917" s="6" t="str">
        <f>HYPERLINK("http://catalog.hathitrust.org/Record/003052624","HathiTrust Record")</f>
        <v>HathiTrust Record</v>
      </c>
      <c r="AV1917" s="6" t="str">
        <f>HYPERLINK("http://mcgill.on.worldcat.org/oclc/33334331","Catalog Record")</f>
        <v>Catalog Record</v>
      </c>
      <c r="AW1917" s="6" t="str">
        <f>HYPERLINK("http://www.worldcat.org/oclc/33334331","WorldCat Record")</f>
        <v>WorldCat Record</v>
      </c>
      <c r="AX1917" s="3" t="s">
        <v>18485</v>
      </c>
      <c r="AY1917" s="3" t="s">
        <v>18486</v>
      </c>
      <c r="AZ1917" s="3" t="s">
        <v>18487</v>
      </c>
      <c r="BA1917" s="3" t="s">
        <v>18487</v>
      </c>
      <c r="BB1917" s="3" t="s">
        <v>18488</v>
      </c>
      <c r="BC1917" s="3" t="s">
        <v>142</v>
      </c>
      <c r="BD1917" s="3" t="s">
        <v>68</v>
      </c>
      <c r="BE1917" s="3" t="s">
        <v>18489</v>
      </c>
      <c r="BF1917" s="3" t="s">
        <v>18488</v>
      </c>
      <c r="BG1917" s="3" t="s">
        <v>18490</v>
      </c>
    </row>
    <row r="1918" spans="1:59" ht="71.25" x14ac:dyDescent="0.45">
      <c r="A1918" s="2" t="s">
        <v>59</v>
      </c>
      <c r="B1918" s="2" t="s">
        <v>60</v>
      </c>
      <c r="C1918" s="2" t="s">
        <v>18491</v>
      </c>
      <c r="D1918" s="2" t="s">
        <v>18492</v>
      </c>
      <c r="E1918" s="2" t="s">
        <v>18493</v>
      </c>
      <c r="G1918" s="3" t="s">
        <v>62</v>
      </c>
      <c r="I1918" s="3" t="s">
        <v>62</v>
      </c>
      <c r="J1918" s="3" t="s">
        <v>62</v>
      </c>
      <c r="K1918" s="3" t="s">
        <v>63</v>
      </c>
      <c r="M1918" s="2" t="s">
        <v>18494</v>
      </c>
      <c r="N1918" s="3" t="s">
        <v>480</v>
      </c>
      <c r="P1918" s="3" t="s">
        <v>4829</v>
      </c>
      <c r="Q1918" s="2" t="s">
        <v>18495</v>
      </c>
      <c r="R1918" s="3" t="s">
        <v>66</v>
      </c>
      <c r="S1918" s="4">
        <v>1</v>
      </c>
      <c r="T1918" s="4">
        <v>1</v>
      </c>
      <c r="U1918" s="5" t="s">
        <v>17827</v>
      </c>
      <c r="V1918" s="5" t="s">
        <v>17827</v>
      </c>
      <c r="W1918" s="5" t="s">
        <v>67</v>
      </c>
      <c r="X1918" s="5" t="s">
        <v>67</v>
      </c>
      <c r="Y1918" s="4">
        <v>17</v>
      </c>
      <c r="Z1918" s="4">
        <v>1</v>
      </c>
      <c r="AA1918" s="4">
        <v>1</v>
      </c>
      <c r="AB1918" s="4">
        <v>1</v>
      </c>
      <c r="AC1918" s="4">
        <v>1</v>
      </c>
      <c r="AD1918" s="4">
        <v>12</v>
      </c>
      <c r="AE1918" s="4">
        <v>12</v>
      </c>
      <c r="AF1918" s="4">
        <v>0</v>
      </c>
      <c r="AG1918" s="4">
        <v>0</v>
      </c>
      <c r="AH1918" s="4">
        <v>11</v>
      </c>
      <c r="AI1918" s="4">
        <v>11</v>
      </c>
      <c r="AJ1918" s="4">
        <v>0</v>
      </c>
      <c r="AK1918" s="4">
        <v>0</v>
      </c>
      <c r="AL1918" s="4">
        <v>11</v>
      </c>
      <c r="AM1918" s="4">
        <v>11</v>
      </c>
      <c r="AN1918" s="4">
        <v>0</v>
      </c>
      <c r="AO1918" s="4">
        <v>0</v>
      </c>
      <c r="AP1918" s="4">
        <v>0</v>
      </c>
      <c r="AQ1918" s="4">
        <v>0</v>
      </c>
      <c r="AR1918" s="3" t="s">
        <v>62</v>
      </c>
      <c r="AS1918" s="3" t="s">
        <v>62</v>
      </c>
      <c r="AT1918" s="3" t="s">
        <v>62</v>
      </c>
      <c r="AV1918" s="6" t="str">
        <f>HYPERLINK("http://mcgill.on.worldcat.org/oclc/6736493","Catalog Record")</f>
        <v>Catalog Record</v>
      </c>
      <c r="AW1918" s="6" t="str">
        <f>HYPERLINK("http://www.worldcat.org/oclc/6736493","WorldCat Record")</f>
        <v>WorldCat Record</v>
      </c>
      <c r="AX1918" s="3" t="s">
        <v>18496</v>
      </c>
      <c r="AY1918" s="3" t="s">
        <v>18497</v>
      </c>
      <c r="AZ1918" s="3" t="s">
        <v>18498</v>
      </c>
      <c r="BA1918" s="3" t="s">
        <v>18498</v>
      </c>
      <c r="BB1918" s="3" t="s">
        <v>18499</v>
      </c>
      <c r="BC1918" s="3" t="s">
        <v>142</v>
      </c>
      <c r="BD1918" s="3" t="s">
        <v>68</v>
      </c>
      <c r="BF1918" s="3" t="s">
        <v>18499</v>
      </c>
      <c r="BG1918" s="3" t="s">
        <v>18500</v>
      </c>
    </row>
    <row r="1919" spans="1:59" ht="57" x14ac:dyDescent="0.45">
      <c r="A1919" s="2" t="s">
        <v>59</v>
      </c>
      <c r="B1919" s="2" t="s">
        <v>60</v>
      </c>
      <c r="C1919" s="2" t="s">
        <v>18501</v>
      </c>
      <c r="D1919" s="2" t="s">
        <v>18502</v>
      </c>
      <c r="E1919" s="2" t="s">
        <v>18503</v>
      </c>
      <c r="G1919" s="3" t="s">
        <v>62</v>
      </c>
      <c r="I1919" s="3" t="s">
        <v>62</v>
      </c>
      <c r="J1919" s="3" t="s">
        <v>62</v>
      </c>
      <c r="K1919" s="3" t="s">
        <v>63</v>
      </c>
      <c r="M1919" s="2" t="s">
        <v>18504</v>
      </c>
      <c r="N1919" s="3" t="s">
        <v>1465</v>
      </c>
      <c r="P1919" s="3" t="s">
        <v>65</v>
      </c>
      <c r="R1919" s="3" t="s">
        <v>66</v>
      </c>
      <c r="S1919" s="4">
        <v>7</v>
      </c>
      <c r="T1919" s="4">
        <v>7</v>
      </c>
      <c r="U1919" s="5" t="s">
        <v>18361</v>
      </c>
      <c r="V1919" s="5" t="s">
        <v>18361</v>
      </c>
      <c r="W1919" s="5" t="s">
        <v>67</v>
      </c>
      <c r="X1919" s="5" t="s">
        <v>67</v>
      </c>
      <c r="Y1919" s="4">
        <v>410</v>
      </c>
      <c r="Z1919" s="4">
        <v>28</v>
      </c>
      <c r="AA1919" s="4">
        <v>33</v>
      </c>
      <c r="AB1919" s="4">
        <v>3</v>
      </c>
      <c r="AC1919" s="4">
        <v>8</v>
      </c>
      <c r="AD1919" s="4">
        <v>82</v>
      </c>
      <c r="AE1919" s="4">
        <v>87</v>
      </c>
      <c r="AF1919" s="4">
        <v>1</v>
      </c>
      <c r="AG1919" s="4">
        <v>6</v>
      </c>
      <c r="AH1919" s="4">
        <v>68</v>
      </c>
      <c r="AI1919" s="4">
        <v>69</v>
      </c>
      <c r="AJ1919" s="4">
        <v>13</v>
      </c>
      <c r="AK1919" s="4">
        <v>17</v>
      </c>
      <c r="AL1919" s="4">
        <v>37</v>
      </c>
      <c r="AM1919" s="4">
        <v>37</v>
      </c>
      <c r="AN1919" s="4">
        <v>0</v>
      </c>
      <c r="AO1919" s="4">
        <v>0</v>
      </c>
      <c r="AP1919" s="4">
        <v>21</v>
      </c>
      <c r="AQ1919" s="4">
        <v>25</v>
      </c>
      <c r="AR1919" s="3" t="s">
        <v>62</v>
      </c>
      <c r="AS1919" s="3" t="s">
        <v>62</v>
      </c>
      <c r="AT1919" s="3" t="s">
        <v>62</v>
      </c>
      <c r="AV1919" s="6" t="str">
        <f>HYPERLINK("http://mcgill.on.worldcat.org/oclc/313654707","Catalog Record")</f>
        <v>Catalog Record</v>
      </c>
      <c r="AW1919" s="6" t="str">
        <f>HYPERLINK("http://www.worldcat.org/oclc/313654707","WorldCat Record")</f>
        <v>WorldCat Record</v>
      </c>
      <c r="AX1919" s="3" t="s">
        <v>18505</v>
      </c>
      <c r="AY1919" s="3" t="s">
        <v>18506</v>
      </c>
      <c r="AZ1919" s="3" t="s">
        <v>18507</v>
      </c>
      <c r="BA1919" s="3" t="s">
        <v>18507</v>
      </c>
      <c r="BB1919" s="3" t="s">
        <v>18508</v>
      </c>
      <c r="BC1919" s="3" t="s">
        <v>142</v>
      </c>
      <c r="BD1919" s="3" t="s">
        <v>68</v>
      </c>
      <c r="BE1919" s="3" t="s">
        <v>18509</v>
      </c>
      <c r="BF1919" s="3" t="s">
        <v>18508</v>
      </c>
      <c r="BG1919" s="3" t="s">
        <v>18510</v>
      </c>
    </row>
    <row r="1920" spans="1:59" ht="57" x14ac:dyDescent="0.45">
      <c r="A1920" s="2" t="s">
        <v>59</v>
      </c>
      <c r="B1920" s="2" t="s">
        <v>60</v>
      </c>
      <c r="C1920" s="2" t="s">
        <v>18511</v>
      </c>
      <c r="D1920" s="2" t="s">
        <v>18512</v>
      </c>
      <c r="E1920" s="2" t="s">
        <v>18513</v>
      </c>
      <c r="G1920" s="3" t="s">
        <v>62</v>
      </c>
      <c r="I1920" s="3" t="s">
        <v>62</v>
      </c>
      <c r="J1920" s="3" t="s">
        <v>62</v>
      </c>
      <c r="K1920" s="3" t="s">
        <v>63</v>
      </c>
      <c r="M1920" s="2" t="s">
        <v>18514</v>
      </c>
      <c r="N1920" s="3" t="s">
        <v>970</v>
      </c>
      <c r="P1920" s="3" t="s">
        <v>65</v>
      </c>
      <c r="R1920" s="3" t="s">
        <v>66</v>
      </c>
      <c r="S1920" s="4">
        <v>18</v>
      </c>
      <c r="T1920" s="4">
        <v>18</v>
      </c>
      <c r="U1920" s="5" t="s">
        <v>1870</v>
      </c>
      <c r="V1920" s="5" t="s">
        <v>1870</v>
      </c>
      <c r="W1920" s="5" t="s">
        <v>67</v>
      </c>
      <c r="X1920" s="5" t="s">
        <v>67</v>
      </c>
      <c r="Y1920" s="4">
        <v>342</v>
      </c>
      <c r="Z1920" s="4">
        <v>22</v>
      </c>
      <c r="AA1920" s="4">
        <v>23</v>
      </c>
      <c r="AB1920" s="4">
        <v>3</v>
      </c>
      <c r="AC1920" s="4">
        <v>4</v>
      </c>
      <c r="AD1920" s="4">
        <v>100</v>
      </c>
      <c r="AE1920" s="4">
        <v>101</v>
      </c>
      <c r="AF1920" s="4">
        <v>1</v>
      </c>
      <c r="AG1920" s="4">
        <v>2</v>
      </c>
      <c r="AH1920" s="4">
        <v>89</v>
      </c>
      <c r="AI1920" s="4">
        <v>90</v>
      </c>
      <c r="AJ1920" s="4">
        <v>16</v>
      </c>
      <c r="AK1920" s="4">
        <v>17</v>
      </c>
      <c r="AL1920" s="4">
        <v>48</v>
      </c>
      <c r="AM1920" s="4">
        <v>48</v>
      </c>
      <c r="AN1920" s="4">
        <v>0</v>
      </c>
      <c r="AO1920" s="4">
        <v>0</v>
      </c>
      <c r="AP1920" s="4">
        <v>18</v>
      </c>
      <c r="AQ1920" s="4">
        <v>19</v>
      </c>
      <c r="AR1920" s="3" t="s">
        <v>62</v>
      </c>
      <c r="AS1920" s="3" t="s">
        <v>62</v>
      </c>
      <c r="AT1920" s="3" t="s">
        <v>61</v>
      </c>
      <c r="AU1920" s="6" t="str">
        <f>HYPERLINK("http://catalog.hathitrust.org/Record/004229910","HathiTrust Record")</f>
        <v>HathiTrust Record</v>
      </c>
      <c r="AV1920" s="6" t="str">
        <f>HYPERLINK("http://mcgill.on.worldcat.org/oclc/48265570","Catalog Record")</f>
        <v>Catalog Record</v>
      </c>
      <c r="AW1920" s="6" t="str">
        <f>HYPERLINK("http://www.worldcat.org/oclc/48265570","WorldCat Record")</f>
        <v>WorldCat Record</v>
      </c>
      <c r="AX1920" s="3" t="s">
        <v>18515</v>
      </c>
      <c r="AY1920" s="3" t="s">
        <v>18516</v>
      </c>
      <c r="AZ1920" s="3" t="s">
        <v>18517</v>
      </c>
      <c r="BA1920" s="3" t="s">
        <v>18517</v>
      </c>
      <c r="BB1920" s="3" t="s">
        <v>18518</v>
      </c>
      <c r="BC1920" s="3" t="s">
        <v>142</v>
      </c>
      <c r="BD1920" s="3" t="s">
        <v>68</v>
      </c>
      <c r="BE1920" s="3" t="s">
        <v>18519</v>
      </c>
      <c r="BF1920" s="3" t="s">
        <v>18518</v>
      </c>
      <c r="BG1920" s="3" t="s">
        <v>18520</v>
      </c>
    </row>
    <row r="1921" spans="1:59" ht="57" x14ac:dyDescent="0.45">
      <c r="A1921" s="2" t="s">
        <v>59</v>
      </c>
      <c r="B1921" s="2" t="s">
        <v>60</v>
      </c>
      <c r="C1921" s="2" t="s">
        <v>18521</v>
      </c>
      <c r="D1921" s="2" t="s">
        <v>18522</v>
      </c>
      <c r="E1921" s="2" t="s">
        <v>18523</v>
      </c>
      <c r="G1921" s="3" t="s">
        <v>62</v>
      </c>
      <c r="I1921" s="3" t="s">
        <v>62</v>
      </c>
      <c r="J1921" s="3" t="s">
        <v>62</v>
      </c>
      <c r="K1921" s="3" t="s">
        <v>63</v>
      </c>
      <c r="M1921" s="2" t="s">
        <v>18524</v>
      </c>
      <c r="N1921" s="3" t="s">
        <v>116</v>
      </c>
      <c r="P1921" s="3" t="s">
        <v>65</v>
      </c>
      <c r="R1921" s="3" t="s">
        <v>66</v>
      </c>
      <c r="S1921" s="4">
        <v>3</v>
      </c>
      <c r="T1921" s="4">
        <v>3</v>
      </c>
      <c r="U1921" s="5" t="s">
        <v>18525</v>
      </c>
      <c r="V1921" s="5" t="s">
        <v>18525</v>
      </c>
      <c r="W1921" s="5" t="s">
        <v>67</v>
      </c>
      <c r="X1921" s="5" t="s">
        <v>67</v>
      </c>
      <c r="Y1921" s="4">
        <v>335</v>
      </c>
      <c r="Z1921" s="4">
        <v>24</v>
      </c>
      <c r="AA1921" s="4">
        <v>35</v>
      </c>
      <c r="AB1921" s="4">
        <v>3</v>
      </c>
      <c r="AC1921" s="4">
        <v>8</v>
      </c>
      <c r="AD1921" s="4">
        <v>56</v>
      </c>
      <c r="AE1921" s="4">
        <v>75</v>
      </c>
      <c r="AF1921" s="4">
        <v>1</v>
      </c>
      <c r="AG1921" s="4">
        <v>3</v>
      </c>
      <c r="AH1921" s="4">
        <v>48</v>
      </c>
      <c r="AI1921" s="4">
        <v>62</v>
      </c>
      <c r="AJ1921" s="4">
        <v>10</v>
      </c>
      <c r="AK1921" s="4">
        <v>15</v>
      </c>
      <c r="AL1921" s="4">
        <v>31</v>
      </c>
      <c r="AM1921" s="4">
        <v>36</v>
      </c>
      <c r="AN1921" s="4">
        <v>0</v>
      </c>
      <c r="AO1921" s="4">
        <v>0</v>
      </c>
      <c r="AP1921" s="4">
        <v>13</v>
      </c>
      <c r="AQ1921" s="4">
        <v>19</v>
      </c>
      <c r="AR1921" s="3" t="s">
        <v>62</v>
      </c>
      <c r="AS1921" s="3" t="s">
        <v>62</v>
      </c>
      <c r="AT1921" s="3" t="s">
        <v>62</v>
      </c>
      <c r="AV1921" s="6" t="str">
        <f>HYPERLINK("http://mcgill.on.worldcat.org/oclc/818865796","Catalog Record")</f>
        <v>Catalog Record</v>
      </c>
      <c r="AW1921" s="6" t="str">
        <f>HYPERLINK("http://www.worldcat.org/oclc/818865796","WorldCat Record")</f>
        <v>WorldCat Record</v>
      </c>
      <c r="AX1921" s="3" t="s">
        <v>18526</v>
      </c>
      <c r="AY1921" s="3" t="s">
        <v>18527</v>
      </c>
      <c r="AZ1921" s="3" t="s">
        <v>18528</v>
      </c>
      <c r="BA1921" s="3" t="s">
        <v>18528</v>
      </c>
      <c r="BB1921" s="3" t="s">
        <v>18529</v>
      </c>
      <c r="BC1921" s="3" t="s">
        <v>142</v>
      </c>
      <c r="BD1921" s="3" t="s">
        <v>68</v>
      </c>
      <c r="BE1921" s="3" t="s">
        <v>18530</v>
      </c>
      <c r="BF1921" s="3" t="s">
        <v>18529</v>
      </c>
      <c r="BG1921" s="3" t="s">
        <v>18531</v>
      </c>
    </row>
    <row r="1922" spans="1:59" ht="57" x14ac:dyDescent="0.45">
      <c r="A1922" s="2" t="s">
        <v>59</v>
      </c>
      <c r="B1922" s="2" t="s">
        <v>60</v>
      </c>
      <c r="C1922" s="2" t="s">
        <v>18532</v>
      </c>
      <c r="D1922" s="2" t="s">
        <v>18533</v>
      </c>
      <c r="E1922" s="2" t="s">
        <v>18534</v>
      </c>
      <c r="G1922" s="3" t="s">
        <v>62</v>
      </c>
      <c r="I1922" s="3" t="s">
        <v>62</v>
      </c>
      <c r="J1922" s="3" t="s">
        <v>62</v>
      </c>
      <c r="K1922" s="3" t="s">
        <v>63</v>
      </c>
      <c r="L1922" s="2" t="s">
        <v>18535</v>
      </c>
      <c r="M1922" s="2" t="s">
        <v>18536</v>
      </c>
      <c r="N1922" s="3" t="s">
        <v>568</v>
      </c>
      <c r="P1922" s="3" t="s">
        <v>110</v>
      </c>
      <c r="Q1922" s="2" t="s">
        <v>18537</v>
      </c>
      <c r="R1922" s="3" t="s">
        <v>66</v>
      </c>
      <c r="S1922" s="4">
        <v>47</v>
      </c>
      <c r="T1922" s="4">
        <v>47</v>
      </c>
      <c r="U1922" s="5" t="s">
        <v>18538</v>
      </c>
      <c r="V1922" s="5" t="s">
        <v>18538</v>
      </c>
      <c r="W1922" s="5" t="s">
        <v>67</v>
      </c>
      <c r="X1922" s="5" t="s">
        <v>67</v>
      </c>
      <c r="Y1922" s="4">
        <v>215</v>
      </c>
      <c r="Z1922" s="4">
        <v>27</v>
      </c>
      <c r="AA1922" s="4">
        <v>42</v>
      </c>
      <c r="AB1922" s="4">
        <v>3</v>
      </c>
      <c r="AC1922" s="4">
        <v>14</v>
      </c>
      <c r="AD1922" s="4">
        <v>88</v>
      </c>
      <c r="AE1922" s="4">
        <v>100</v>
      </c>
      <c r="AF1922" s="4">
        <v>0</v>
      </c>
      <c r="AG1922" s="4">
        <v>6</v>
      </c>
      <c r="AH1922" s="4">
        <v>77</v>
      </c>
      <c r="AI1922" s="4">
        <v>83</v>
      </c>
      <c r="AJ1922" s="4">
        <v>15</v>
      </c>
      <c r="AK1922" s="4">
        <v>22</v>
      </c>
      <c r="AL1922" s="4">
        <v>46</v>
      </c>
      <c r="AM1922" s="4">
        <v>46</v>
      </c>
      <c r="AN1922" s="4">
        <v>1</v>
      </c>
      <c r="AO1922" s="4">
        <v>1</v>
      </c>
      <c r="AP1922" s="4">
        <v>18</v>
      </c>
      <c r="AQ1922" s="4">
        <v>26</v>
      </c>
      <c r="AR1922" s="3" t="s">
        <v>62</v>
      </c>
      <c r="AS1922" s="3" t="s">
        <v>62</v>
      </c>
      <c r="AT1922" s="3" t="s">
        <v>61</v>
      </c>
      <c r="AU1922" s="6" t="str">
        <f>HYPERLINK("http://catalog.hathitrust.org/Record/000817332","HathiTrust Record")</f>
        <v>HathiTrust Record</v>
      </c>
      <c r="AV1922" s="6" t="str">
        <f>HYPERLINK("http://mcgill.on.worldcat.org/oclc/16405242","Catalog Record")</f>
        <v>Catalog Record</v>
      </c>
      <c r="AW1922" s="6" t="str">
        <f>HYPERLINK("http://www.worldcat.org/oclc/16405242","WorldCat Record")</f>
        <v>WorldCat Record</v>
      </c>
      <c r="AX1922" s="3" t="s">
        <v>18539</v>
      </c>
      <c r="AY1922" s="3" t="s">
        <v>18540</v>
      </c>
      <c r="AZ1922" s="3" t="s">
        <v>18541</v>
      </c>
      <c r="BA1922" s="3" t="s">
        <v>18541</v>
      </c>
      <c r="BB1922" s="3" t="s">
        <v>18542</v>
      </c>
      <c r="BC1922" s="3" t="s">
        <v>142</v>
      </c>
      <c r="BD1922" s="3" t="s">
        <v>308</v>
      </c>
      <c r="BE1922" s="3" t="s">
        <v>18543</v>
      </c>
      <c r="BF1922" s="3" t="s">
        <v>18542</v>
      </c>
      <c r="BG1922" s="3" t="s">
        <v>18544</v>
      </c>
    </row>
    <row r="1923" spans="1:59" ht="57" x14ac:dyDescent="0.45">
      <c r="A1923" s="2" t="s">
        <v>59</v>
      </c>
      <c r="B1923" s="2" t="s">
        <v>60</v>
      </c>
      <c r="C1923" s="2" t="s">
        <v>18545</v>
      </c>
      <c r="D1923" s="2" t="s">
        <v>18546</v>
      </c>
      <c r="E1923" s="2" t="s">
        <v>18547</v>
      </c>
      <c r="G1923" s="3" t="s">
        <v>62</v>
      </c>
      <c r="I1923" s="3" t="s">
        <v>62</v>
      </c>
      <c r="J1923" s="3" t="s">
        <v>62</v>
      </c>
      <c r="K1923" s="3" t="s">
        <v>63</v>
      </c>
      <c r="L1923" s="2" t="s">
        <v>13994</v>
      </c>
      <c r="M1923" s="2" t="s">
        <v>16302</v>
      </c>
      <c r="N1923" s="3" t="s">
        <v>820</v>
      </c>
      <c r="P1923" s="3" t="s">
        <v>65</v>
      </c>
      <c r="R1923" s="3" t="s">
        <v>66</v>
      </c>
      <c r="S1923" s="4">
        <v>19</v>
      </c>
      <c r="T1923" s="4">
        <v>19</v>
      </c>
      <c r="U1923" s="5" t="s">
        <v>18548</v>
      </c>
      <c r="V1923" s="5" t="s">
        <v>18548</v>
      </c>
      <c r="W1923" s="5" t="s">
        <v>67</v>
      </c>
      <c r="X1923" s="5" t="s">
        <v>67</v>
      </c>
      <c r="Y1923" s="4">
        <v>214</v>
      </c>
      <c r="Z1923" s="4">
        <v>23</v>
      </c>
      <c r="AA1923" s="4">
        <v>111</v>
      </c>
      <c r="AB1923" s="4">
        <v>2</v>
      </c>
      <c r="AC1923" s="4">
        <v>17</v>
      </c>
      <c r="AD1923" s="4">
        <v>69</v>
      </c>
      <c r="AE1923" s="4">
        <v>131</v>
      </c>
      <c r="AF1923" s="4">
        <v>1</v>
      </c>
      <c r="AG1923" s="4">
        <v>8</v>
      </c>
      <c r="AH1923" s="4">
        <v>59</v>
      </c>
      <c r="AI1923" s="4">
        <v>90</v>
      </c>
      <c r="AJ1923" s="4">
        <v>14</v>
      </c>
      <c r="AK1923" s="4">
        <v>24</v>
      </c>
      <c r="AL1923" s="4">
        <v>33</v>
      </c>
      <c r="AM1923" s="4">
        <v>47</v>
      </c>
      <c r="AN1923" s="4">
        <v>0</v>
      </c>
      <c r="AO1923" s="4">
        <v>0</v>
      </c>
      <c r="AP1923" s="4">
        <v>18</v>
      </c>
      <c r="AQ1923" s="4">
        <v>49</v>
      </c>
      <c r="AR1923" s="3" t="s">
        <v>62</v>
      </c>
      <c r="AS1923" s="3" t="s">
        <v>62</v>
      </c>
      <c r="AT1923" s="3" t="s">
        <v>61</v>
      </c>
      <c r="AU1923" s="6" t="str">
        <f>HYPERLINK("http://catalog.hathitrust.org/Record/005653694","HathiTrust Record")</f>
        <v>HathiTrust Record</v>
      </c>
      <c r="AV1923" s="6" t="str">
        <f>HYPERLINK("http://mcgill.on.worldcat.org/oclc/166384895","Catalog Record")</f>
        <v>Catalog Record</v>
      </c>
      <c r="AW1923" s="6" t="str">
        <f>HYPERLINK("http://www.worldcat.org/oclc/166384895","WorldCat Record")</f>
        <v>WorldCat Record</v>
      </c>
      <c r="AX1923" s="3" t="s">
        <v>18549</v>
      </c>
      <c r="AY1923" s="3" t="s">
        <v>18550</v>
      </c>
      <c r="AZ1923" s="3" t="s">
        <v>18551</v>
      </c>
      <c r="BA1923" s="3" t="s">
        <v>18551</v>
      </c>
      <c r="BB1923" s="3" t="s">
        <v>18552</v>
      </c>
      <c r="BC1923" s="3" t="s">
        <v>142</v>
      </c>
      <c r="BD1923" s="3" t="s">
        <v>308</v>
      </c>
      <c r="BE1923" s="3" t="s">
        <v>18553</v>
      </c>
      <c r="BF1923" s="3" t="s">
        <v>18552</v>
      </c>
      <c r="BG1923" s="3" t="s">
        <v>18554</v>
      </c>
    </row>
    <row r="1924" spans="1:59" ht="57" x14ac:dyDescent="0.45">
      <c r="A1924" s="2" t="s">
        <v>59</v>
      </c>
      <c r="B1924" s="2" t="s">
        <v>60</v>
      </c>
      <c r="C1924" s="2" t="s">
        <v>18555</v>
      </c>
      <c r="D1924" s="2" t="s">
        <v>18556</v>
      </c>
      <c r="E1924" s="2" t="s">
        <v>18557</v>
      </c>
      <c r="G1924" s="3" t="s">
        <v>62</v>
      </c>
      <c r="I1924" s="3" t="s">
        <v>62</v>
      </c>
      <c r="J1924" s="3" t="s">
        <v>62</v>
      </c>
      <c r="K1924" s="3" t="s">
        <v>63</v>
      </c>
      <c r="L1924" s="2" t="s">
        <v>18558</v>
      </c>
      <c r="M1924" s="2" t="s">
        <v>18559</v>
      </c>
      <c r="N1924" s="3" t="s">
        <v>894</v>
      </c>
      <c r="P1924" s="3" t="s">
        <v>65</v>
      </c>
      <c r="R1924" s="3" t="s">
        <v>66</v>
      </c>
      <c r="S1924" s="4">
        <v>0</v>
      </c>
      <c r="T1924" s="4">
        <v>0</v>
      </c>
      <c r="W1924" s="5" t="s">
        <v>67</v>
      </c>
      <c r="X1924" s="5" t="s">
        <v>67</v>
      </c>
      <c r="Y1924" s="4">
        <v>67</v>
      </c>
      <c r="Z1924" s="4">
        <v>9</v>
      </c>
      <c r="AA1924" s="4">
        <v>16</v>
      </c>
      <c r="AB1924" s="4">
        <v>1</v>
      </c>
      <c r="AC1924" s="4">
        <v>7</v>
      </c>
      <c r="AD1924" s="4">
        <v>14</v>
      </c>
      <c r="AE1924" s="4">
        <v>27</v>
      </c>
      <c r="AF1924" s="4">
        <v>0</v>
      </c>
      <c r="AG1924" s="4">
        <v>3</v>
      </c>
      <c r="AH1924" s="4">
        <v>14</v>
      </c>
      <c r="AI1924" s="4">
        <v>24</v>
      </c>
      <c r="AJ1924" s="4">
        <v>3</v>
      </c>
      <c r="AK1924" s="4">
        <v>6</v>
      </c>
      <c r="AL1924" s="4">
        <v>11</v>
      </c>
      <c r="AM1924" s="4">
        <v>18</v>
      </c>
      <c r="AN1924" s="4">
        <v>0</v>
      </c>
      <c r="AO1924" s="4">
        <v>0</v>
      </c>
      <c r="AP1924" s="4">
        <v>3</v>
      </c>
      <c r="AQ1924" s="4">
        <v>6</v>
      </c>
      <c r="AR1924" s="3" t="s">
        <v>62</v>
      </c>
      <c r="AS1924" s="3" t="s">
        <v>62</v>
      </c>
      <c r="AT1924" s="3" t="s">
        <v>62</v>
      </c>
      <c r="AV1924" s="6" t="str">
        <f>HYPERLINK("http://mcgill.on.worldcat.org/oclc/437054143","Catalog Record")</f>
        <v>Catalog Record</v>
      </c>
      <c r="AW1924" s="6" t="str">
        <f>HYPERLINK("http://www.worldcat.org/oclc/437054143","WorldCat Record")</f>
        <v>WorldCat Record</v>
      </c>
      <c r="AX1924" s="3" t="s">
        <v>18560</v>
      </c>
      <c r="AY1924" s="3" t="s">
        <v>18561</v>
      </c>
      <c r="AZ1924" s="3" t="s">
        <v>18562</v>
      </c>
      <c r="BA1924" s="3" t="s">
        <v>18562</v>
      </c>
      <c r="BB1924" s="3" t="s">
        <v>18563</v>
      </c>
      <c r="BC1924" s="3" t="s">
        <v>142</v>
      </c>
      <c r="BD1924" s="3" t="s">
        <v>68</v>
      </c>
      <c r="BE1924" s="3" t="s">
        <v>18564</v>
      </c>
      <c r="BF1924" s="3" t="s">
        <v>18563</v>
      </c>
      <c r="BG1924" s="3" t="s">
        <v>18565</v>
      </c>
    </row>
    <row r="1925" spans="1:59" ht="57" x14ac:dyDescent="0.45">
      <c r="A1925" s="2" t="s">
        <v>59</v>
      </c>
      <c r="B1925" s="2" t="s">
        <v>60</v>
      </c>
      <c r="C1925" s="2" t="s">
        <v>18566</v>
      </c>
      <c r="D1925" s="2" t="s">
        <v>18567</v>
      </c>
      <c r="E1925" s="2" t="s">
        <v>18568</v>
      </c>
      <c r="G1925" s="3" t="s">
        <v>62</v>
      </c>
      <c r="I1925" s="3" t="s">
        <v>62</v>
      </c>
      <c r="J1925" s="3" t="s">
        <v>62</v>
      </c>
      <c r="K1925" s="3" t="s">
        <v>63</v>
      </c>
      <c r="M1925" s="2" t="s">
        <v>14468</v>
      </c>
      <c r="N1925" s="3" t="s">
        <v>149</v>
      </c>
      <c r="P1925" s="3" t="s">
        <v>65</v>
      </c>
      <c r="Q1925" s="2" t="s">
        <v>13669</v>
      </c>
      <c r="R1925" s="3" t="s">
        <v>66</v>
      </c>
      <c r="S1925" s="4">
        <v>0</v>
      </c>
      <c r="T1925" s="4">
        <v>0</v>
      </c>
      <c r="W1925" s="5" t="s">
        <v>67</v>
      </c>
      <c r="X1925" s="5" t="s">
        <v>67</v>
      </c>
      <c r="Y1925" s="4">
        <v>144</v>
      </c>
      <c r="Z1925" s="4">
        <v>22</v>
      </c>
      <c r="AA1925" s="4">
        <v>22</v>
      </c>
      <c r="AB1925" s="4">
        <v>2</v>
      </c>
      <c r="AC1925" s="4">
        <v>2</v>
      </c>
      <c r="AD1925" s="4">
        <v>65</v>
      </c>
      <c r="AE1925" s="4">
        <v>65</v>
      </c>
      <c r="AF1925" s="4">
        <v>1</v>
      </c>
      <c r="AG1925" s="4">
        <v>1</v>
      </c>
      <c r="AH1925" s="4">
        <v>58</v>
      </c>
      <c r="AI1925" s="4">
        <v>58</v>
      </c>
      <c r="AJ1925" s="4">
        <v>16</v>
      </c>
      <c r="AK1925" s="4">
        <v>16</v>
      </c>
      <c r="AL1925" s="4">
        <v>33</v>
      </c>
      <c r="AM1925" s="4">
        <v>33</v>
      </c>
      <c r="AN1925" s="4">
        <v>0</v>
      </c>
      <c r="AO1925" s="4">
        <v>0</v>
      </c>
      <c r="AP1925" s="4">
        <v>17</v>
      </c>
      <c r="AQ1925" s="4">
        <v>17</v>
      </c>
      <c r="AR1925" s="3" t="s">
        <v>62</v>
      </c>
      <c r="AS1925" s="3" t="s">
        <v>62</v>
      </c>
      <c r="AT1925" s="3" t="s">
        <v>62</v>
      </c>
      <c r="AV1925" s="6" t="str">
        <f>HYPERLINK("http://mcgill.on.worldcat.org/oclc/498112234","Catalog Record")</f>
        <v>Catalog Record</v>
      </c>
      <c r="AW1925" s="6" t="str">
        <f>HYPERLINK("http://www.worldcat.org/oclc/498112234","WorldCat Record")</f>
        <v>WorldCat Record</v>
      </c>
      <c r="AX1925" s="3" t="s">
        <v>18569</v>
      </c>
      <c r="AY1925" s="3" t="s">
        <v>18570</v>
      </c>
      <c r="AZ1925" s="3" t="s">
        <v>18571</v>
      </c>
      <c r="BA1925" s="3" t="s">
        <v>18571</v>
      </c>
      <c r="BB1925" s="3" t="s">
        <v>18572</v>
      </c>
      <c r="BC1925" s="3" t="s">
        <v>142</v>
      </c>
      <c r="BD1925" s="3" t="s">
        <v>68</v>
      </c>
      <c r="BE1925" s="3" t="s">
        <v>18573</v>
      </c>
      <c r="BF1925" s="3" t="s">
        <v>18572</v>
      </c>
      <c r="BG1925" s="3" t="s">
        <v>18574</v>
      </c>
    </row>
    <row r="1926" spans="1:59" ht="57" x14ac:dyDescent="0.45">
      <c r="A1926" s="2" t="s">
        <v>59</v>
      </c>
      <c r="B1926" s="2" t="s">
        <v>60</v>
      </c>
      <c r="C1926" s="2" t="s">
        <v>18575</v>
      </c>
      <c r="D1926" s="2" t="s">
        <v>18576</v>
      </c>
      <c r="E1926" s="2" t="s">
        <v>18577</v>
      </c>
      <c r="G1926" s="3" t="s">
        <v>62</v>
      </c>
      <c r="I1926" s="3" t="s">
        <v>62</v>
      </c>
      <c r="J1926" s="3" t="s">
        <v>62</v>
      </c>
      <c r="K1926" s="3" t="s">
        <v>63</v>
      </c>
      <c r="L1926" s="2" t="s">
        <v>18578</v>
      </c>
      <c r="M1926" s="2" t="s">
        <v>893</v>
      </c>
      <c r="N1926" s="3" t="s">
        <v>894</v>
      </c>
      <c r="P1926" s="3" t="s">
        <v>65</v>
      </c>
      <c r="Q1926" s="2" t="s">
        <v>18579</v>
      </c>
      <c r="R1926" s="3" t="s">
        <v>66</v>
      </c>
      <c r="S1926" s="4">
        <v>1</v>
      </c>
      <c r="T1926" s="4">
        <v>1</v>
      </c>
      <c r="U1926" s="5" t="s">
        <v>18391</v>
      </c>
      <c r="V1926" s="5" t="s">
        <v>18391</v>
      </c>
      <c r="W1926" s="5" t="s">
        <v>67</v>
      </c>
      <c r="X1926" s="5" t="s">
        <v>67</v>
      </c>
      <c r="Y1926" s="4">
        <v>333</v>
      </c>
      <c r="Z1926" s="4">
        <v>26</v>
      </c>
      <c r="AA1926" s="4">
        <v>91</v>
      </c>
      <c r="AB1926" s="4">
        <v>1</v>
      </c>
      <c r="AC1926" s="4">
        <v>14</v>
      </c>
      <c r="AD1926" s="4">
        <v>92</v>
      </c>
      <c r="AE1926" s="4">
        <v>135</v>
      </c>
      <c r="AF1926" s="4">
        <v>0</v>
      </c>
      <c r="AG1926" s="4">
        <v>8</v>
      </c>
      <c r="AH1926" s="4">
        <v>83</v>
      </c>
      <c r="AI1926" s="4">
        <v>100</v>
      </c>
      <c r="AJ1926" s="4">
        <v>13</v>
      </c>
      <c r="AK1926" s="4">
        <v>23</v>
      </c>
      <c r="AL1926" s="4">
        <v>45</v>
      </c>
      <c r="AM1926" s="4">
        <v>51</v>
      </c>
      <c r="AN1926" s="4">
        <v>0</v>
      </c>
      <c r="AO1926" s="4">
        <v>0</v>
      </c>
      <c r="AP1926" s="4">
        <v>17</v>
      </c>
      <c r="AQ1926" s="4">
        <v>44</v>
      </c>
      <c r="AR1926" s="3" t="s">
        <v>62</v>
      </c>
      <c r="AS1926" s="3" t="s">
        <v>62</v>
      </c>
      <c r="AT1926" s="3" t="s">
        <v>62</v>
      </c>
      <c r="AV1926" s="6" t="str">
        <f>HYPERLINK("http://mcgill.on.worldcat.org/oclc/738338033","Catalog Record")</f>
        <v>Catalog Record</v>
      </c>
      <c r="AW1926" s="6" t="str">
        <f>HYPERLINK("http://www.worldcat.org/oclc/738338033","WorldCat Record")</f>
        <v>WorldCat Record</v>
      </c>
      <c r="AX1926" s="3" t="s">
        <v>18580</v>
      </c>
      <c r="AY1926" s="3" t="s">
        <v>18581</v>
      </c>
      <c r="AZ1926" s="3" t="s">
        <v>18582</v>
      </c>
      <c r="BA1926" s="3" t="s">
        <v>18582</v>
      </c>
      <c r="BB1926" s="3" t="s">
        <v>18583</v>
      </c>
      <c r="BC1926" s="3" t="s">
        <v>142</v>
      </c>
      <c r="BD1926" s="3" t="s">
        <v>68</v>
      </c>
      <c r="BE1926" s="3" t="s">
        <v>18584</v>
      </c>
      <c r="BF1926" s="3" t="s">
        <v>18583</v>
      </c>
      <c r="BG1926" s="3" t="s">
        <v>18585</v>
      </c>
    </row>
    <row r="1927" spans="1:59" ht="57" x14ac:dyDescent="0.45">
      <c r="A1927" s="2" t="s">
        <v>59</v>
      </c>
      <c r="B1927" s="2" t="s">
        <v>60</v>
      </c>
      <c r="C1927" s="2" t="s">
        <v>18586</v>
      </c>
      <c r="D1927" s="2" t="s">
        <v>18587</v>
      </c>
      <c r="E1927" s="2" t="s">
        <v>18588</v>
      </c>
      <c r="G1927" s="3" t="s">
        <v>62</v>
      </c>
      <c r="I1927" s="3" t="s">
        <v>62</v>
      </c>
      <c r="J1927" s="3" t="s">
        <v>62</v>
      </c>
      <c r="K1927" s="3" t="s">
        <v>63</v>
      </c>
      <c r="L1927" s="2" t="s">
        <v>18589</v>
      </c>
      <c r="M1927" s="2" t="s">
        <v>18590</v>
      </c>
      <c r="N1927" s="3" t="s">
        <v>1212</v>
      </c>
      <c r="P1927" s="3" t="s">
        <v>65</v>
      </c>
      <c r="R1927" s="3" t="s">
        <v>66</v>
      </c>
      <c r="S1927" s="4">
        <v>29</v>
      </c>
      <c r="T1927" s="4">
        <v>29</v>
      </c>
      <c r="U1927" s="5" t="s">
        <v>18591</v>
      </c>
      <c r="V1927" s="5" t="s">
        <v>18591</v>
      </c>
      <c r="W1927" s="5" t="s">
        <v>67</v>
      </c>
      <c r="X1927" s="5" t="s">
        <v>67</v>
      </c>
      <c r="Y1927" s="4">
        <v>410</v>
      </c>
      <c r="Z1927" s="4">
        <v>18</v>
      </c>
      <c r="AA1927" s="4">
        <v>96</v>
      </c>
      <c r="AB1927" s="4">
        <v>2</v>
      </c>
      <c r="AC1927" s="4">
        <v>17</v>
      </c>
      <c r="AD1927" s="4">
        <v>99</v>
      </c>
      <c r="AE1927" s="4">
        <v>141</v>
      </c>
      <c r="AF1927" s="4">
        <v>1</v>
      </c>
      <c r="AG1927" s="4">
        <v>8</v>
      </c>
      <c r="AH1927" s="4">
        <v>88</v>
      </c>
      <c r="AI1927" s="4">
        <v>101</v>
      </c>
      <c r="AJ1927" s="4">
        <v>11</v>
      </c>
      <c r="AK1927" s="4">
        <v>23</v>
      </c>
      <c r="AL1927" s="4">
        <v>46</v>
      </c>
      <c r="AM1927" s="4">
        <v>51</v>
      </c>
      <c r="AN1927" s="4">
        <v>0</v>
      </c>
      <c r="AO1927" s="4">
        <v>0</v>
      </c>
      <c r="AP1927" s="4">
        <v>15</v>
      </c>
      <c r="AQ1927" s="4">
        <v>48</v>
      </c>
      <c r="AR1927" s="3" t="s">
        <v>62</v>
      </c>
      <c r="AS1927" s="3" t="s">
        <v>62</v>
      </c>
      <c r="AT1927" s="3" t="s">
        <v>61</v>
      </c>
      <c r="AU1927" s="6" t="str">
        <f>HYPERLINK("http://catalog.hathitrust.org/Record/004116872","HathiTrust Record")</f>
        <v>HathiTrust Record</v>
      </c>
      <c r="AV1927" s="6" t="str">
        <f>HYPERLINK("http://mcgill.on.worldcat.org/oclc/41404330","Catalog Record")</f>
        <v>Catalog Record</v>
      </c>
      <c r="AW1927" s="6" t="str">
        <f>HYPERLINK("http://www.worldcat.org/oclc/41404330","WorldCat Record")</f>
        <v>WorldCat Record</v>
      </c>
      <c r="AX1927" s="3" t="s">
        <v>18592</v>
      </c>
      <c r="AY1927" s="3" t="s">
        <v>18593</v>
      </c>
      <c r="AZ1927" s="3" t="s">
        <v>18594</v>
      </c>
      <c r="BA1927" s="3" t="s">
        <v>18594</v>
      </c>
      <c r="BB1927" s="3" t="s">
        <v>18595</v>
      </c>
      <c r="BC1927" s="3" t="s">
        <v>142</v>
      </c>
      <c r="BD1927" s="3" t="s">
        <v>68</v>
      </c>
      <c r="BE1927" s="3" t="s">
        <v>18596</v>
      </c>
      <c r="BF1927" s="3" t="s">
        <v>18595</v>
      </c>
      <c r="BG1927" s="3" t="s">
        <v>18597</v>
      </c>
    </row>
    <row r="1928" spans="1:59" ht="57" x14ac:dyDescent="0.45">
      <c r="A1928" s="2" t="s">
        <v>59</v>
      </c>
      <c r="B1928" s="2" t="s">
        <v>60</v>
      </c>
      <c r="C1928" s="2" t="s">
        <v>18598</v>
      </c>
      <c r="D1928" s="2" t="s">
        <v>18599</v>
      </c>
      <c r="E1928" s="2" t="s">
        <v>18600</v>
      </c>
      <c r="G1928" s="3" t="s">
        <v>62</v>
      </c>
      <c r="I1928" s="3" t="s">
        <v>62</v>
      </c>
      <c r="J1928" s="3" t="s">
        <v>61</v>
      </c>
      <c r="K1928" s="3" t="s">
        <v>63</v>
      </c>
      <c r="L1928" s="2" t="s">
        <v>18601</v>
      </c>
      <c r="M1928" s="2" t="s">
        <v>18602</v>
      </c>
      <c r="N1928" s="3" t="s">
        <v>1437</v>
      </c>
      <c r="O1928" s="2" t="s">
        <v>2620</v>
      </c>
      <c r="P1928" s="3" t="s">
        <v>65</v>
      </c>
      <c r="R1928" s="3" t="s">
        <v>66</v>
      </c>
      <c r="S1928" s="4">
        <v>10</v>
      </c>
      <c r="T1928" s="4">
        <v>10</v>
      </c>
      <c r="U1928" s="5" t="s">
        <v>1690</v>
      </c>
      <c r="V1928" s="5" t="s">
        <v>1690</v>
      </c>
      <c r="W1928" s="5" t="s">
        <v>67</v>
      </c>
      <c r="X1928" s="5" t="s">
        <v>67</v>
      </c>
      <c r="Y1928" s="4">
        <v>504</v>
      </c>
      <c r="Z1928" s="4">
        <v>12</v>
      </c>
      <c r="AA1928" s="4">
        <v>35</v>
      </c>
      <c r="AB1928" s="4">
        <v>1</v>
      </c>
      <c r="AC1928" s="4">
        <v>7</v>
      </c>
      <c r="AD1928" s="4">
        <v>100</v>
      </c>
      <c r="AE1928" s="4">
        <v>130</v>
      </c>
      <c r="AF1928" s="4">
        <v>0</v>
      </c>
      <c r="AG1928" s="4">
        <v>3</v>
      </c>
      <c r="AH1928" s="4">
        <v>93</v>
      </c>
      <c r="AI1928" s="4">
        <v>111</v>
      </c>
      <c r="AJ1928" s="4">
        <v>8</v>
      </c>
      <c r="AK1928" s="4">
        <v>19</v>
      </c>
      <c r="AL1928" s="4">
        <v>53</v>
      </c>
      <c r="AM1928" s="4">
        <v>60</v>
      </c>
      <c r="AN1928" s="4">
        <v>0</v>
      </c>
      <c r="AO1928" s="4">
        <v>0</v>
      </c>
      <c r="AP1928" s="4">
        <v>10</v>
      </c>
      <c r="AQ1928" s="4">
        <v>23</v>
      </c>
      <c r="AR1928" s="3" t="s">
        <v>62</v>
      </c>
      <c r="AS1928" s="3" t="s">
        <v>62</v>
      </c>
      <c r="AT1928" s="3" t="s">
        <v>62</v>
      </c>
      <c r="AV1928" s="6" t="str">
        <f>HYPERLINK("http://mcgill.on.worldcat.org/oclc/37712962","Catalog Record")</f>
        <v>Catalog Record</v>
      </c>
      <c r="AW1928" s="6" t="str">
        <f>HYPERLINK("http://www.worldcat.org/oclc/37712962","WorldCat Record")</f>
        <v>WorldCat Record</v>
      </c>
      <c r="AX1928" s="3" t="s">
        <v>18603</v>
      </c>
      <c r="AY1928" s="3" t="s">
        <v>18604</v>
      </c>
      <c r="AZ1928" s="3" t="s">
        <v>18605</v>
      </c>
      <c r="BA1928" s="3" t="s">
        <v>18605</v>
      </c>
      <c r="BB1928" s="3" t="s">
        <v>18606</v>
      </c>
      <c r="BC1928" s="3" t="s">
        <v>142</v>
      </c>
      <c r="BD1928" s="3" t="s">
        <v>68</v>
      </c>
      <c r="BE1928" s="3" t="s">
        <v>18607</v>
      </c>
      <c r="BF1928" s="3" t="s">
        <v>18606</v>
      </c>
      <c r="BG1928" s="3" t="s">
        <v>18608</v>
      </c>
    </row>
    <row r="1929" spans="1:59" ht="57" x14ac:dyDescent="0.45">
      <c r="A1929" s="2" t="s">
        <v>59</v>
      </c>
      <c r="B1929" s="2" t="s">
        <v>60</v>
      </c>
      <c r="C1929" s="2" t="s">
        <v>18609</v>
      </c>
      <c r="D1929" s="2" t="s">
        <v>18610</v>
      </c>
      <c r="E1929" s="2" t="s">
        <v>18611</v>
      </c>
      <c r="G1929" s="3" t="s">
        <v>62</v>
      </c>
      <c r="I1929" s="3" t="s">
        <v>62</v>
      </c>
      <c r="J1929" s="3" t="s">
        <v>62</v>
      </c>
      <c r="K1929" s="3" t="s">
        <v>63</v>
      </c>
      <c r="L1929" s="2" t="s">
        <v>18612</v>
      </c>
      <c r="M1929" s="2" t="s">
        <v>18613</v>
      </c>
      <c r="N1929" s="3" t="s">
        <v>149</v>
      </c>
      <c r="P1929" s="3" t="s">
        <v>65</v>
      </c>
      <c r="Q1929" s="2" t="s">
        <v>18614</v>
      </c>
      <c r="R1929" s="3" t="s">
        <v>66</v>
      </c>
      <c r="S1929" s="4">
        <v>0</v>
      </c>
      <c r="T1929" s="4">
        <v>0</v>
      </c>
      <c r="W1929" s="5" t="s">
        <v>67</v>
      </c>
      <c r="X1929" s="5" t="s">
        <v>67</v>
      </c>
      <c r="Y1929" s="4">
        <v>330</v>
      </c>
      <c r="Z1929" s="4">
        <v>11</v>
      </c>
      <c r="AA1929" s="4">
        <v>83</v>
      </c>
      <c r="AB1929" s="4">
        <v>2</v>
      </c>
      <c r="AC1929" s="4">
        <v>14</v>
      </c>
      <c r="AD1929" s="4">
        <v>87</v>
      </c>
      <c r="AE1929" s="4">
        <v>138</v>
      </c>
      <c r="AF1929" s="4">
        <v>1</v>
      </c>
      <c r="AG1929" s="4">
        <v>8</v>
      </c>
      <c r="AH1929" s="4">
        <v>83</v>
      </c>
      <c r="AI1929" s="4">
        <v>102</v>
      </c>
      <c r="AJ1929" s="4">
        <v>10</v>
      </c>
      <c r="AK1929" s="4">
        <v>24</v>
      </c>
      <c r="AL1929" s="4">
        <v>45</v>
      </c>
      <c r="AM1929" s="4">
        <v>53</v>
      </c>
      <c r="AN1929" s="4">
        <v>0</v>
      </c>
      <c r="AO1929" s="4">
        <v>0</v>
      </c>
      <c r="AP1929" s="4">
        <v>10</v>
      </c>
      <c r="AQ1929" s="4">
        <v>46</v>
      </c>
      <c r="AR1929" s="3" t="s">
        <v>62</v>
      </c>
      <c r="AS1929" s="3" t="s">
        <v>62</v>
      </c>
      <c r="AT1929" s="3" t="s">
        <v>62</v>
      </c>
      <c r="AV1929" s="6" t="str">
        <f>HYPERLINK("http://mcgill.on.worldcat.org/oclc/633139665","Catalog Record")</f>
        <v>Catalog Record</v>
      </c>
      <c r="AW1929" s="6" t="str">
        <f>HYPERLINK("http://www.worldcat.org/oclc/633139665","WorldCat Record")</f>
        <v>WorldCat Record</v>
      </c>
      <c r="AX1929" s="3" t="s">
        <v>18615</v>
      </c>
      <c r="AY1929" s="3" t="s">
        <v>18616</v>
      </c>
      <c r="AZ1929" s="3" t="s">
        <v>18617</v>
      </c>
      <c r="BA1929" s="3" t="s">
        <v>18617</v>
      </c>
      <c r="BB1929" s="3" t="s">
        <v>18618</v>
      </c>
      <c r="BC1929" s="3" t="s">
        <v>142</v>
      </c>
      <c r="BD1929" s="3" t="s">
        <v>68</v>
      </c>
      <c r="BE1929" s="3" t="s">
        <v>18619</v>
      </c>
      <c r="BF1929" s="3" t="s">
        <v>18618</v>
      </c>
      <c r="BG1929" s="3" t="s">
        <v>18620</v>
      </c>
    </row>
    <row r="1930" spans="1:59" ht="57" x14ac:dyDescent="0.45">
      <c r="A1930" s="2" t="s">
        <v>59</v>
      </c>
      <c r="B1930" s="2" t="s">
        <v>60</v>
      </c>
      <c r="C1930" s="2" t="s">
        <v>18621</v>
      </c>
      <c r="D1930" s="2" t="s">
        <v>18622</v>
      </c>
      <c r="E1930" s="2" t="s">
        <v>18623</v>
      </c>
      <c r="G1930" s="3" t="s">
        <v>62</v>
      </c>
      <c r="I1930" s="3" t="s">
        <v>62</v>
      </c>
      <c r="J1930" s="3" t="s">
        <v>62</v>
      </c>
      <c r="K1930" s="3" t="s">
        <v>63</v>
      </c>
      <c r="L1930" s="2" t="s">
        <v>18624</v>
      </c>
      <c r="M1930" s="2" t="s">
        <v>18625</v>
      </c>
      <c r="N1930" s="3" t="s">
        <v>1097</v>
      </c>
      <c r="P1930" s="3" t="s">
        <v>65</v>
      </c>
      <c r="Q1930" s="2" t="s">
        <v>18626</v>
      </c>
      <c r="R1930" s="3" t="s">
        <v>66</v>
      </c>
      <c r="S1930" s="4">
        <v>15</v>
      </c>
      <c r="T1930" s="4">
        <v>15</v>
      </c>
      <c r="U1930" s="5" t="s">
        <v>1268</v>
      </c>
      <c r="V1930" s="5" t="s">
        <v>1268</v>
      </c>
      <c r="W1930" s="5" t="s">
        <v>67</v>
      </c>
      <c r="X1930" s="5" t="s">
        <v>67</v>
      </c>
      <c r="Y1930" s="4">
        <v>798</v>
      </c>
      <c r="Z1930" s="4">
        <v>29</v>
      </c>
      <c r="AA1930" s="4">
        <v>55</v>
      </c>
      <c r="AB1930" s="4">
        <v>2</v>
      </c>
      <c r="AC1930" s="4">
        <v>8</v>
      </c>
      <c r="AD1930" s="4">
        <v>112</v>
      </c>
      <c r="AE1930" s="4">
        <v>118</v>
      </c>
      <c r="AF1930" s="4">
        <v>1</v>
      </c>
      <c r="AG1930" s="4">
        <v>2</v>
      </c>
      <c r="AH1930" s="4">
        <v>97</v>
      </c>
      <c r="AI1930" s="4">
        <v>100</v>
      </c>
      <c r="AJ1930" s="4">
        <v>14</v>
      </c>
      <c r="AK1930" s="4">
        <v>15</v>
      </c>
      <c r="AL1930" s="4">
        <v>51</v>
      </c>
      <c r="AM1930" s="4">
        <v>53</v>
      </c>
      <c r="AN1930" s="4">
        <v>0</v>
      </c>
      <c r="AO1930" s="4">
        <v>0</v>
      </c>
      <c r="AP1930" s="4">
        <v>21</v>
      </c>
      <c r="AQ1930" s="4">
        <v>24</v>
      </c>
      <c r="AR1930" s="3" t="s">
        <v>62</v>
      </c>
      <c r="AS1930" s="3" t="s">
        <v>62</v>
      </c>
      <c r="AT1930" s="3" t="s">
        <v>61</v>
      </c>
      <c r="AU1930" s="6" t="str">
        <f>HYPERLINK("http://catalog.hathitrust.org/Record/004741693","HathiTrust Record")</f>
        <v>HathiTrust Record</v>
      </c>
      <c r="AV1930" s="6" t="str">
        <f>HYPERLINK("http://mcgill.on.worldcat.org/oclc/54374595","Catalog Record")</f>
        <v>Catalog Record</v>
      </c>
      <c r="AW1930" s="6" t="str">
        <f>HYPERLINK("http://www.worldcat.org/oclc/54374595","WorldCat Record")</f>
        <v>WorldCat Record</v>
      </c>
      <c r="AX1930" s="3" t="s">
        <v>18627</v>
      </c>
      <c r="AY1930" s="3" t="s">
        <v>18628</v>
      </c>
      <c r="AZ1930" s="3" t="s">
        <v>18629</v>
      </c>
      <c r="BA1930" s="3" t="s">
        <v>18629</v>
      </c>
      <c r="BB1930" s="3" t="s">
        <v>18630</v>
      </c>
      <c r="BC1930" s="3" t="s">
        <v>142</v>
      </c>
      <c r="BD1930" s="3" t="s">
        <v>68</v>
      </c>
      <c r="BE1930" s="3" t="s">
        <v>18631</v>
      </c>
      <c r="BF1930" s="3" t="s">
        <v>18630</v>
      </c>
      <c r="BG1930" s="3" t="s">
        <v>18632</v>
      </c>
    </row>
    <row r="1931" spans="1:59" ht="71.25" x14ac:dyDescent="0.45">
      <c r="A1931" s="2" t="s">
        <v>59</v>
      </c>
      <c r="B1931" s="2" t="s">
        <v>60</v>
      </c>
      <c r="C1931" s="2" t="s">
        <v>18633</v>
      </c>
      <c r="D1931" s="2" t="s">
        <v>18634</v>
      </c>
      <c r="E1931" s="2" t="s">
        <v>18635</v>
      </c>
      <c r="G1931" s="3" t="s">
        <v>62</v>
      </c>
      <c r="I1931" s="3" t="s">
        <v>62</v>
      </c>
      <c r="J1931" s="3" t="s">
        <v>62</v>
      </c>
      <c r="K1931" s="3" t="s">
        <v>63</v>
      </c>
      <c r="M1931" s="2" t="s">
        <v>18636</v>
      </c>
      <c r="N1931" s="3" t="s">
        <v>894</v>
      </c>
      <c r="P1931" s="3" t="s">
        <v>65</v>
      </c>
      <c r="Q1931" s="2" t="s">
        <v>18637</v>
      </c>
      <c r="R1931" s="3" t="s">
        <v>66</v>
      </c>
      <c r="S1931" s="4">
        <v>3</v>
      </c>
      <c r="T1931" s="4">
        <v>3</v>
      </c>
      <c r="U1931" s="5" t="s">
        <v>18638</v>
      </c>
      <c r="V1931" s="5" t="s">
        <v>18638</v>
      </c>
      <c r="W1931" s="5" t="s">
        <v>67</v>
      </c>
      <c r="X1931" s="5" t="s">
        <v>67</v>
      </c>
      <c r="Y1931" s="4">
        <v>461</v>
      </c>
      <c r="Z1931" s="4">
        <v>32</v>
      </c>
      <c r="AA1931" s="4">
        <v>94</v>
      </c>
      <c r="AB1931" s="4">
        <v>1</v>
      </c>
      <c r="AC1931" s="4">
        <v>15</v>
      </c>
      <c r="AD1931" s="4">
        <v>109</v>
      </c>
      <c r="AE1931" s="4">
        <v>154</v>
      </c>
      <c r="AF1931" s="4">
        <v>0</v>
      </c>
      <c r="AG1931" s="4">
        <v>8</v>
      </c>
      <c r="AH1931" s="4">
        <v>92</v>
      </c>
      <c r="AI1931" s="4">
        <v>110</v>
      </c>
      <c r="AJ1931" s="4">
        <v>17</v>
      </c>
      <c r="AK1931" s="4">
        <v>25</v>
      </c>
      <c r="AL1931" s="4">
        <v>50</v>
      </c>
      <c r="AM1931" s="4">
        <v>58</v>
      </c>
      <c r="AN1931" s="4">
        <v>0</v>
      </c>
      <c r="AO1931" s="4">
        <v>0</v>
      </c>
      <c r="AP1931" s="4">
        <v>26</v>
      </c>
      <c r="AQ1931" s="4">
        <v>52</v>
      </c>
      <c r="AR1931" s="3" t="s">
        <v>62</v>
      </c>
      <c r="AS1931" s="3" t="s">
        <v>62</v>
      </c>
      <c r="AT1931" s="3" t="s">
        <v>62</v>
      </c>
      <c r="AV1931" s="6" t="str">
        <f>HYPERLINK("http://mcgill.on.worldcat.org/oclc/668197735","Catalog Record")</f>
        <v>Catalog Record</v>
      </c>
      <c r="AW1931" s="6" t="str">
        <f>HYPERLINK("http://www.worldcat.org/oclc/668197735","WorldCat Record")</f>
        <v>WorldCat Record</v>
      </c>
      <c r="AX1931" s="3" t="s">
        <v>18639</v>
      </c>
      <c r="AY1931" s="3" t="s">
        <v>18640</v>
      </c>
      <c r="AZ1931" s="3" t="s">
        <v>18641</v>
      </c>
      <c r="BA1931" s="3" t="s">
        <v>18641</v>
      </c>
      <c r="BB1931" s="3" t="s">
        <v>18642</v>
      </c>
      <c r="BC1931" s="3" t="s">
        <v>142</v>
      </c>
      <c r="BD1931" s="3" t="s">
        <v>68</v>
      </c>
      <c r="BE1931" s="3" t="s">
        <v>18643</v>
      </c>
      <c r="BF1931" s="3" t="s">
        <v>18642</v>
      </c>
      <c r="BG1931" s="3" t="s">
        <v>18644</v>
      </c>
    </row>
    <row r="1932" spans="1:59" ht="71.25" x14ac:dyDescent="0.45">
      <c r="A1932" s="2" t="s">
        <v>59</v>
      </c>
      <c r="B1932" s="2" t="s">
        <v>60</v>
      </c>
      <c r="C1932" s="2" t="s">
        <v>18645</v>
      </c>
      <c r="D1932" s="2" t="s">
        <v>18646</v>
      </c>
      <c r="E1932" s="2" t="s">
        <v>18647</v>
      </c>
      <c r="G1932" s="3" t="s">
        <v>62</v>
      </c>
      <c r="I1932" s="3" t="s">
        <v>61</v>
      </c>
      <c r="J1932" s="3" t="s">
        <v>62</v>
      </c>
      <c r="K1932" s="3" t="s">
        <v>63</v>
      </c>
      <c r="L1932" s="2" t="s">
        <v>18648</v>
      </c>
      <c r="M1932" s="2" t="s">
        <v>18649</v>
      </c>
      <c r="N1932" s="3" t="s">
        <v>1212</v>
      </c>
      <c r="P1932" s="3" t="s">
        <v>65</v>
      </c>
      <c r="Q1932" s="2" t="s">
        <v>18650</v>
      </c>
      <c r="R1932" s="3" t="s">
        <v>66</v>
      </c>
      <c r="S1932" s="4">
        <v>41</v>
      </c>
      <c r="T1932" s="4">
        <v>77</v>
      </c>
      <c r="U1932" s="5" t="s">
        <v>7233</v>
      </c>
      <c r="V1932" s="5" t="s">
        <v>7233</v>
      </c>
      <c r="W1932" s="5" t="s">
        <v>67</v>
      </c>
      <c r="X1932" s="5" t="s">
        <v>67</v>
      </c>
      <c r="Y1932" s="4">
        <v>1008</v>
      </c>
      <c r="Z1932" s="4">
        <v>38</v>
      </c>
      <c r="AA1932" s="4">
        <v>52</v>
      </c>
      <c r="AB1932" s="4">
        <v>3</v>
      </c>
      <c r="AC1932" s="4">
        <v>7</v>
      </c>
      <c r="AD1932" s="4">
        <v>126</v>
      </c>
      <c r="AE1932" s="4">
        <v>136</v>
      </c>
      <c r="AF1932" s="4">
        <v>2</v>
      </c>
      <c r="AG1932" s="4">
        <v>4</v>
      </c>
      <c r="AH1932" s="4">
        <v>107</v>
      </c>
      <c r="AI1932" s="4">
        <v>109</v>
      </c>
      <c r="AJ1932" s="4">
        <v>16</v>
      </c>
      <c r="AK1932" s="4">
        <v>20</v>
      </c>
      <c r="AL1932" s="4">
        <v>57</v>
      </c>
      <c r="AM1932" s="4">
        <v>58</v>
      </c>
      <c r="AN1932" s="4">
        <v>0</v>
      </c>
      <c r="AO1932" s="4">
        <v>0</v>
      </c>
      <c r="AP1932" s="4">
        <v>25</v>
      </c>
      <c r="AQ1932" s="4">
        <v>33</v>
      </c>
      <c r="AR1932" s="3" t="s">
        <v>62</v>
      </c>
      <c r="AS1932" s="3" t="s">
        <v>62</v>
      </c>
      <c r="AT1932" s="3" t="s">
        <v>61</v>
      </c>
      <c r="AU1932" s="6" t="str">
        <f>HYPERLINK("http://catalog.hathitrust.org/Record/004098854","HathiTrust Record")</f>
        <v>HathiTrust Record</v>
      </c>
      <c r="AV1932" s="6" t="str">
        <f>HYPERLINK("http://mcgill.on.worldcat.org/oclc/43118261","Catalog Record")</f>
        <v>Catalog Record</v>
      </c>
      <c r="AW1932" s="6" t="str">
        <f>HYPERLINK("http://www.worldcat.org/oclc/43118261","WorldCat Record")</f>
        <v>WorldCat Record</v>
      </c>
      <c r="AX1932" s="3" t="s">
        <v>18651</v>
      </c>
      <c r="AY1932" s="3" t="s">
        <v>18652</v>
      </c>
      <c r="AZ1932" s="3" t="s">
        <v>18653</v>
      </c>
      <c r="BA1932" s="3" t="s">
        <v>18653</v>
      </c>
      <c r="BB1932" s="3" t="s">
        <v>18654</v>
      </c>
      <c r="BC1932" s="3" t="s">
        <v>142</v>
      </c>
      <c r="BD1932" s="3" t="s">
        <v>68</v>
      </c>
      <c r="BE1932" s="3" t="s">
        <v>18655</v>
      </c>
      <c r="BF1932" s="3" t="s">
        <v>18654</v>
      </c>
      <c r="BG1932" s="3" t="s">
        <v>18656</v>
      </c>
    </row>
    <row r="1933" spans="1:59" ht="71.25" x14ac:dyDescent="0.45">
      <c r="A1933" s="2" t="s">
        <v>59</v>
      </c>
      <c r="B1933" s="2" t="s">
        <v>60</v>
      </c>
      <c r="C1933" s="2" t="s">
        <v>18645</v>
      </c>
      <c r="D1933" s="2" t="s">
        <v>18646</v>
      </c>
      <c r="E1933" s="2" t="s">
        <v>18647</v>
      </c>
      <c r="G1933" s="3" t="s">
        <v>62</v>
      </c>
      <c r="I1933" s="3" t="s">
        <v>61</v>
      </c>
      <c r="J1933" s="3" t="s">
        <v>62</v>
      </c>
      <c r="K1933" s="3" t="s">
        <v>63</v>
      </c>
      <c r="L1933" s="2" t="s">
        <v>18648</v>
      </c>
      <c r="M1933" s="2" t="s">
        <v>18649</v>
      </c>
      <c r="N1933" s="3" t="s">
        <v>1212</v>
      </c>
      <c r="P1933" s="3" t="s">
        <v>65</v>
      </c>
      <c r="Q1933" s="2" t="s">
        <v>18650</v>
      </c>
      <c r="R1933" s="3" t="s">
        <v>66</v>
      </c>
      <c r="S1933" s="4">
        <v>36</v>
      </c>
      <c r="T1933" s="4">
        <v>77</v>
      </c>
      <c r="U1933" s="5" t="s">
        <v>13680</v>
      </c>
      <c r="V1933" s="5" t="s">
        <v>7233</v>
      </c>
      <c r="W1933" s="5" t="s">
        <v>67</v>
      </c>
      <c r="X1933" s="5" t="s">
        <v>67</v>
      </c>
      <c r="Y1933" s="4">
        <v>1008</v>
      </c>
      <c r="Z1933" s="4">
        <v>38</v>
      </c>
      <c r="AA1933" s="4">
        <v>52</v>
      </c>
      <c r="AB1933" s="4">
        <v>3</v>
      </c>
      <c r="AC1933" s="4">
        <v>7</v>
      </c>
      <c r="AD1933" s="4">
        <v>126</v>
      </c>
      <c r="AE1933" s="4">
        <v>136</v>
      </c>
      <c r="AF1933" s="4">
        <v>2</v>
      </c>
      <c r="AG1933" s="4">
        <v>4</v>
      </c>
      <c r="AH1933" s="4">
        <v>107</v>
      </c>
      <c r="AI1933" s="4">
        <v>109</v>
      </c>
      <c r="AJ1933" s="4">
        <v>16</v>
      </c>
      <c r="AK1933" s="4">
        <v>20</v>
      </c>
      <c r="AL1933" s="4">
        <v>57</v>
      </c>
      <c r="AM1933" s="4">
        <v>58</v>
      </c>
      <c r="AN1933" s="4">
        <v>0</v>
      </c>
      <c r="AO1933" s="4">
        <v>0</v>
      </c>
      <c r="AP1933" s="4">
        <v>25</v>
      </c>
      <c r="AQ1933" s="4">
        <v>33</v>
      </c>
      <c r="AR1933" s="3" t="s">
        <v>62</v>
      </c>
      <c r="AS1933" s="3" t="s">
        <v>62</v>
      </c>
      <c r="AT1933" s="3" t="s">
        <v>61</v>
      </c>
      <c r="AU1933" s="6" t="str">
        <f>HYPERLINK("http://catalog.hathitrust.org/Record/004098854","HathiTrust Record")</f>
        <v>HathiTrust Record</v>
      </c>
      <c r="AV1933" s="6" t="str">
        <f>HYPERLINK("http://mcgill.on.worldcat.org/oclc/43118261","Catalog Record")</f>
        <v>Catalog Record</v>
      </c>
      <c r="AW1933" s="6" t="str">
        <f>HYPERLINK("http://www.worldcat.org/oclc/43118261","WorldCat Record")</f>
        <v>WorldCat Record</v>
      </c>
      <c r="AX1933" s="3" t="s">
        <v>18651</v>
      </c>
      <c r="AY1933" s="3" t="s">
        <v>18652</v>
      </c>
      <c r="AZ1933" s="3" t="s">
        <v>18653</v>
      </c>
      <c r="BA1933" s="3" t="s">
        <v>18653</v>
      </c>
      <c r="BB1933" s="3" t="s">
        <v>18657</v>
      </c>
      <c r="BC1933" s="3" t="s">
        <v>142</v>
      </c>
      <c r="BD1933" s="3" t="s">
        <v>68</v>
      </c>
      <c r="BE1933" s="3" t="s">
        <v>18655</v>
      </c>
      <c r="BF1933" s="3" t="s">
        <v>18657</v>
      </c>
      <c r="BG1933" s="3" t="s">
        <v>18658</v>
      </c>
    </row>
    <row r="1934" spans="1:59" ht="71.25" x14ac:dyDescent="0.45">
      <c r="A1934" s="2" t="s">
        <v>59</v>
      </c>
      <c r="B1934" s="2" t="s">
        <v>60</v>
      </c>
      <c r="C1934" s="2" t="s">
        <v>18659</v>
      </c>
      <c r="D1934" s="2" t="s">
        <v>18660</v>
      </c>
      <c r="E1934" s="2" t="s">
        <v>18661</v>
      </c>
      <c r="G1934" s="3" t="s">
        <v>62</v>
      </c>
      <c r="I1934" s="3" t="s">
        <v>62</v>
      </c>
      <c r="J1934" s="3" t="s">
        <v>62</v>
      </c>
      <c r="K1934" s="3" t="s">
        <v>63</v>
      </c>
      <c r="L1934" s="2" t="s">
        <v>16558</v>
      </c>
      <c r="M1934" s="2" t="s">
        <v>18662</v>
      </c>
      <c r="N1934" s="3" t="s">
        <v>1212</v>
      </c>
      <c r="P1934" s="3" t="s">
        <v>65</v>
      </c>
      <c r="Q1934" s="2" t="s">
        <v>18663</v>
      </c>
      <c r="R1934" s="3" t="s">
        <v>66</v>
      </c>
      <c r="S1934" s="4">
        <v>17</v>
      </c>
      <c r="T1934" s="4">
        <v>17</v>
      </c>
      <c r="U1934" s="5" t="s">
        <v>343</v>
      </c>
      <c r="V1934" s="5" t="s">
        <v>343</v>
      </c>
      <c r="W1934" s="5" t="s">
        <v>67</v>
      </c>
      <c r="X1934" s="5" t="s">
        <v>67</v>
      </c>
      <c r="Y1934" s="4">
        <v>662</v>
      </c>
      <c r="Z1934" s="4">
        <v>26</v>
      </c>
      <c r="AA1934" s="4">
        <v>125</v>
      </c>
      <c r="AB1934" s="4">
        <v>2</v>
      </c>
      <c r="AC1934" s="4">
        <v>21</v>
      </c>
      <c r="AD1934" s="4">
        <v>117</v>
      </c>
      <c r="AE1934" s="4">
        <v>160</v>
      </c>
      <c r="AF1934" s="4">
        <v>1</v>
      </c>
      <c r="AG1934" s="4">
        <v>9</v>
      </c>
      <c r="AH1934" s="4">
        <v>102</v>
      </c>
      <c r="AI1934" s="4">
        <v>113</v>
      </c>
      <c r="AJ1934" s="4">
        <v>14</v>
      </c>
      <c r="AK1934" s="4">
        <v>26</v>
      </c>
      <c r="AL1934" s="4">
        <v>57</v>
      </c>
      <c r="AM1934" s="4">
        <v>59</v>
      </c>
      <c r="AN1934" s="4">
        <v>0</v>
      </c>
      <c r="AO1934" s="4">
        <v>0</v>
      </c>
      <c r="AP1934" s="4">
        <v>19</v>
      </c>
      <c r="AQ1934" s="4">
        <v>55</v>
      </c>
      <c r="AR1934" s="3" t="s">
        <v>62</v>
      </c>
      <c r="AS1934" s="3" t="s">
        <v>62</v>
      </c>
      <c r="AT1934" s="3" t="s">
        <v>62</v>
      </c>
      <c r="AV1934" s="6" t="str">
        <f>HYPERLINK("http://mcgill.on.worldcat.org/oclc/42579487","Catalog Record")</f>
        <v>Catalog Record</v>
      </c>
      <c r="AW1934" s="6" t="str">
        <f>HYPERLINK("http://www.worldcat.org/oclc/42579487","WorldCat Record")</f>
        <v>WorldCat Record</v>
      </c>
      <c r="AX1934" s="3" t="s">
        <v>18664</v>
      </c>
      <c r="AY1934" s="3" t="s">
        <v>18665</v>
      </c>
      <c r="AZ1934" s="3" t="s">
        <v>18666</v>
      </c>
      <c r="BA1934" s="3" t="s">
        <v>18666</v>
      </c>
      <c r="BB1934" s="3" t="s">
        <v>18667</v>
      </c>
      <c r="BC1934" s="3" t="s">
        <v>142</v>
      </c>
      <c r="BD1934" s="3" t="s">
        <v>68</v>
      </c>
      <c r="BE1934" s="3" t="s">
        <v>18668</v>
      </c>
      <c r="BF1934" s="3" t="s">
        <v>18667</v>
      </c>
      <c r="BG1934" s="3" t="s">
        <v>18669</v>
      </c>
    </row>
    <row r="1935" spans="1:59" ht="71.25" x14ac:dyDescent="0.45">
      <c r="A1935" s="2" t="s">
        <v>59</v>
      </c>
      <c r="B1935" s="2" t="s">
        <v>60</v>
      </c>
      <c r="C1935" s="2" t="s">
        <v>18670</v>
      </c>
      <c r="D1935" s="2" t="s">
        <v>18671</v>
      </c>
      <c r="E1935" s="2" t="s">
        <v>18672</v>
      </c>
      <c r="G1935" s="3" t="s">
        <v>62</v>
      </c>
      <c r="I1935" s="3" t="s">
        <v>62</v>
      </c>
      <c r="J1935" s="3" t="s">
        <v>62</v>
      </c>
      <c r="K1935" s="3" t="s">
        <v>63</v>
      </c>
      <c r="M1935" s="2" t="s">
        <v>18673</v>
      </c>
      <c r="N1935" s="3" t="s">
        <v>125</v>
      </c>
      <c r="P1935" s="3" t="s">
        <v>65</v>
      </c>
      <c r="R1935" s="3" t="s">
        <v>66</v>
      </c>
      <c r="S1935" s="4">
        <v>15</v>
      </c>
      <c r="T1935" s="4">
        <v>15</v>
      </c>
      <c r="U1935" s="5" t="s">
        <v>14837</v>
      </c>
      <c r="V1935" s="5" t="s">
        <v>14837</v>
      </c>
      <c r="W1935" s="5" t="s">
        <v>67</v>
      </c>
      <c r="X1935" s="5" t="s">
        <v>67</v>
      </c>
      <c r="Y1935" s="4">
        <v>772</v>
      </c>
      <c r="Z1935" s="4">
        <v>19</v>
      </c>
      <c r="AA1935" s="4">
        <v>28</v>
      </c>
      <c r="AB1935" s="4">
        <v>1</v>
      </c>
      <c r="AC1935" s="4">
        <v>3</v>
      </c>
      <c r="AD1935" s="4">
        <v>112</v>
      </c>
      <c r="AE1935" s="4">
        <v>124</v>
      </c>
      <c r="AF1935" s="4">
        <v>0</v>
      </c>
      <c r="AG1935" s="4">
        <v>2</v>
      </c>
      <c r="AH1935" s="4">
        <v>104</v>
      </c>
      <c r="AI1935" s="4">
        <v>110</v>
      </c>
      <c r="AJ1935" s="4">
        <v>13</v>
      </c>
      <c r="AK1935" s="4">
        <v>18</v>
      </c>
      <c r="AL1935" s="4">
        <v>55</v>
      </c>
      <c r="AM1935" s="4">
        <v>58</v>
      </c>
      <c r="AN1935" s="4">
        <v>0</v>
      </c>
      <c r="AO1935" s="4">
        <v>0</v>
      </c>
      <c r="AP1935" s="4">
        <v>14</v>
      </c>
      <c r="AQ1935" s="4">
        <v>21</v>
      </c>
      <c r="AR1935" s="3" t="s">
        <v>62</v>
      </c>
      <c r="AS1935" s="3" t="s">
        <v>62</v>
      </c>
      <c r="AT1935" s="3" t="s">
        <v>61</v>
      </c>
      <c r="AU1935" s="6" t="str">
        <f>HYPERLINK("http://catalog.hathitrust.org/Record/002210239","HathiTrust Record")</f>
        <v>HathiTrust Record</v>
      </c>
      <c r="AV1935" s="6" t="str">
        <f>HYPERLINK("http://mcgill.on.worldcat.org/oclc/21335850","Catalog Record")</f>
        <v>Catalog Record</v>
      </c>
      <c r="AW1935" s="6" t="str">
        <f>HYPERLINK("http://www.worldcat.org/oclc/21335850","WorldCat Record")</f>
        <v>WorldCat Record</v>
      </c>
      <c r="AX1935" s="3" t="s">
        <v>18674</v>
      </c>
      <c r="AY1935" s="3" t="s">
        <v>18675</v>
      </c>
      <c r="AZ1935" s="3" t="s">
        <v>18676</v>
      </c>
      <c r="BA1935" s="3" t="s">
        <v>18676</v>
      </c>
      <c r="BB1935" s="3" t="s">
        <v>18677</v>
      </c>
      <c r="BC1935" s="3" t="s">
        <v>142</v>
      </c>
      <c r="BD1935" s="3" t="s">
        <v>68</v>
      </c>
      <c r="BE1935" s="3" t="s">
        <v>18678</v>
      </c>
      <c r="BF1935" s="3" t="s">
        <v>18677</v>
      </c>
      <c r="BG1935" s="3" t="s">
        <v>18679</v>
      </c>
    </row>
    <row r="1936" spans="1:59" ht="71.25" x14ac:dyDescent="0.45">
      <c r="A1936" s="2" t="s">
        <v>59</v>
      </c>
      <c r="B1936" s="2" t="s">
        <v>60</v>
      </c>
      <c r="C1936" s="2" t="s">
        <v>18680</v>
      </c>
      <c r="D1936" s="2" t="s">
        <v>18681</v>
      </c>
      <c r="E1936" s="2" t="s">
        <v>18682</v>
      </c>
      <c r="G1936" s="3" t="s">
        <v>62</v>
      </c>
      <c r="I1936" s="3" t="s">
        <v>62</v>
      </c>
      <c r="J1936" s="3" t="s">
        <v>62</v>
      </c>
      <c r="K1936" s="3" t="s">
        <v>63</v>
      </c>
      <c r="L1936" s="2" t="s">
        <v>18683</v>
      </c>
      <c r="M1936" s="2" t="s">
        <v>18684</v>
      </c>
      <c r="N1936" s="3" t="s">
        <v>1604</v>
      </c>
      <c r="O1936" s="2" t="s">
        <v>168</v>
      </c>
      <c r="P1936" s="3" t="s">
        <v>65</v>
      </c>
      <c r="R1936" s="3" t="s">
        <v>66</v>
      </c>
      <c r="S1936" s="4">
        <v>23</v>
      </c>
      <c r="T1936" s="4">
        <v>23</v>
      </c>
      <c r="U1936" s="5" t="s">
        <v>18685</v>
      </c>
      <c r="V1936" s="5" t="s">
        <v>18685</v>
      </c>
      <c r="W1936" s="5" t="s">
        <v>67</v>
      </c>
      <c r="X1936" s="5" t="s">
        <v>67</v>
      </c>
      <c r="Y1936" s="4">
        <v>696</v>
      </c>
      <c r="Z1936" s="4">
        <v>17</v>
      </c>
      <c r="AA1936" s="4">
        <v>18</v>
      </c>
      <c r="AB1936" s="4">
        <v>1</v>
      </c>
      <c r="AC1936" s="4">
        <v>2</v>
      </c>
      <c r="AD1936" s="4">
        <v>104</v>
      </c>
      <c r="AE1936" s="4">
        <v>113</v>
      </c>
      <c r="AF1936" s="4">
        <v>0</v>
      </c>
      <c r="AG1936" s="4">
        <v>1</v>
      </c>
      <c r="AH1936" s="4">
        <v>94</v>
      </c>
      <c r="AI1936" s="4">
        <v>102</v>
      </c>
      <c r="AJ1936" s="4">
        <v>9</v>
      </c>
      <c r="AK1936" s="4">
        <v>10</v>
      </c>
      <c r="AL1936" s="4">
        <v>51</v>
      </c>
      <c r="AM1936" s="4">
        <v>56</v>
      </c>
      <c r="AN1936" s="4">
        <v>0</v>
      </c>
      <c r="AO1936" s="4">
        <v>0</v>
      </c>
      <c r="AP1936" s="4">
        <v>12</v>
      </c>
      <c r="AQ1936" s="4">
        <v>13</v>
      </c>
      <c r="AR1936" s="3" t="s">
        <v>62</v>
      </c>
      <c r="AS1936" s="3" t="s">
        <v>62</v>
      </c>
      <c r="AT1936" s="3" t="s">
        <v>61</v>
      </c>
      <c r="AU1936" s="6" t="str">
        <f>HYPERLINK("http://catalog.hathitrust.org/Record/002893449","HathiTrust Record")</f>
        <v>HathiTrust Record</v>
      </c>
      <c r="AV1936" s="6" t="str">
        <f>HYPERLINK("http://mcgill.on.worldcat.org/oclc/29023592","Catalog Record")</f>
        <v>Catalog Record</v>
      </c>
      <c r="AW1936" s="6" t="str">
        <f>HYPERLINK("http://www.worldcat.org/oclc/29023592","WorldCat Record")</f>
        <v>WorldCat Record</v>
      </c>
      <c r="AX1936" s="3" t="s">
        <v>18686</v>
      </c>
      <c r="AY1936" s="3" t="s">
        <v>18687</v>
      </c>
      <c r="AZ1936" s="3" t="s">
        <v>18688</v>
      </c>
      <c r="BA1936" s="3" t="s">
        <v>18688</v>
      </c>
      <c r="BB1936" s="3" t="s">
        <v>18689</v>
      </c>
      <c r="BC1936" s="3" t="s">
        <v>142</v>
      </c>
      <c r="BD1936" s="3" t="s">
        <v>68</v>
      </c>
      <c r="BE1936" s="3" t="s">
        <v>18690</v>
      </c>
      <c r="BF1936" s="3" t="s">
        <v>18689</v>
      </c>
      <c r="BG1936" s="3" t="s">
        <v>18691</v>
      </c>
    </row>
    <row r="1937" spans="1:59" ht="71.25" x14ac:dyDescent="0.45">
      <c r="A1937" s="2" t="s">
        <v>59</v>
      </c>
      <c r="B1937" s="2" t="s">
        <v>60</v>
      </c>
      <c r="C1937" s="2" t="s">
        <v>18692</v>
      </c>
      <c r="D1937" s="2" t="s">
        <v>18693</v>
      </c>
      <c r="E1937" s="2" t="s">
        <v>18694</v>
      </c>
      <c r="G1937" s="3" t="s">
        <v>62</v>
      </c>
      <c r="I1937" s="3" t="s">
        <v>62</v>
      </c>
      <c r="J1937" s="3" t="s">
        <v>62</v>
      </c>
      <c r="K1937" s="3" t="s">
        <v>63</v>
      </c>
      <c r="L1937" s="2" t="s">
        <v>18695</v>
      </c>
      <c r="M1937" s="2" t="s">
        <v>18696</v>
      </c>
      <c r="N1937" s="3" t="s">
        <v>1465</v>
      </c>
      <c r="P1937" s="3" t="s">
        <v>65</v>
      </c>
      <c r="Q1937" s="2" t="s">
        <v>16347</v>
      </c>
      <c r="R1937" s="3" t="s">
        <v>66</v>
      </c>
      <c r="S1937" s="4">
        <v>4</v>
      </c>
      <c r="T1937" s="4">
        <v>4</v>
      </c>
      <c r="U1937" s="5" t="s">
        <v>18697</v>
      </c>
      <c r="V1937" s="5" t="s">
        <v>18697</v>
      </c>
      <c r="W1937" s="5" t="s">
        <v>67</v>
      </c>
      <c r="X1937" s="5" t="s">
        <v>67</v>
      </c>
      <c r="Y1937" s="4">
        <v>181</v>
      </c>
      <c r="Z1937" s="4">
        <v>15</v>
      </c>
      <c r="AA1937" s="4">
        <v>15</v>
      </c>
      <c r="AB1937" s="4">
        <v>2</v>
      </c>
      <c r="AC1937" s="4">
        <v>2</v>
      </c>
      <c r="AD1937" s="4">
        <v>75</v>
      </c>
      <c r="AE1937" s="4">
        <v>76</v>
      </c>
      <c r="AF1937" s="4">
        <v>0</v>
      </c>
      <c r="AG1937" s="4">
        <v>0</v>
      </c>
      <c r="AH1937" s="4">
        <v>70</v>
      </c>
      <c r="AI1937" s="4">
        <v>71</v>
      </c>
      <c r="AJ1937" s="4">
        <v>10</v>
      </c>
      <c r="AK1937" s="4">
        <v>10</v>
      </c>
      <c r="AL1937" s="4">
        <v>42</v>
      </c>
      <c r="AM1937" s="4">
        <v>42</v>
      </c>
      <c r="AN1937" s="4">
        <v>0</v>
      </c>
      <c r="AO1937" s="4">
        <v>0</v>
      </c>
      <c r="AP1937" s="4">
        <v>11</v>
      </c>
      <c r="AQ1937" s="4">
        <v>11</v>
      </c>
      <c r="AR1937" s="3" t="s">
        <v>62</v>
      </c>
      <c r="AS1937" s="3" t="s">
        <v>62</v>
      </c>
      <c r="AT1937" s="3" t="s">
        <v>61</v>
      </c>
      <c r="AU1937" s="6" t="str">
        <f>HYPERLINK("http://catalog.hathitrust.org/Record/006835825","HathiTrust Record")</f>
        <v>HathiTrust Record</v>
      </c>
      <c r="AV1937" s="6" t="str">
        <f>HYPERLINK("http://mcgill.on.worldcat.org/oclc/268547524","Catalog Record")</f>
        <v>Catalog Record</v>
      </c>
      <c r="AW1937" s="6" t="str">
        <f>HYPERLINK("http://www.worldcat.org/oclc/268547524","WorldCat Record")</f>
        <v>WorldCat Record</v>
      </c>
      <c r="AX1937" s="3" t="s">
        <v>18698</v>
      </c>
      <c r="AY1937" s="3" t="s">
        <v>18699</v>
      </c>
      <c r="AZ1937" s="3" t="s">
        <v>18700</v>
      </c>
      <c r="BA1937" s="3" t="s">
        <v>18700</v>
      </c>
      <c r="BB1937" s="3" t="s">
        <v>18701</v>
      </c>
      <c r="BC1937" s="3" t="s">
        <v>142</v>
      </c>
      <c r="BD1937" s="3" t="s">
        <v>68</v>
      </c>
      <c r="BE1937" s="3" t="s">
        <v>18702</v>
      </c>
      <c r="BF1937" s="3" t="s">
        <v>18701</v>
      </c>
      <c r="BG1937" s="3" t="s">
        <v>18703</v>
      </c>
    </row>
    <row r="1938" spans="1:59" ht="71.25" x14ac:dyDescent="0.45">
      <c r="A1938" s="2" t="s">
        <v>59</v>
      </c>
      <c r="B1938" s="2" t="s">
        <v>60</v>
      </c>
      <c r="C1938" s="2" t="s">
        <v>18704</v>
      </c>
      <c r="D1938" s="2" t="s">
        <v>18705</v>
      </c>
      <c r="E1938" s="2" t="s">
        <v>18706</v>
      </c>
      <c r="G1938" s="3" t="s">
        <v>62</v>
      </c>
      <c r="I1938" s="3" t="s">
        <v>62</v>
      </c>
      <c r="J1938" s="3" t="s">
        <v>62</v>
      </c>
      <c r="K1938" s="3" t="s">
        <v>63</v>
      </c>
      <c r="L1938" s="2" t="s">
        <v>18707</v>
      </c>
      <c r="M1938" s="2" t="s">
        <v>12587</v>
      </c>
      <c r="N1938" s="3" t="s">
        <v>1465</v>
      </c>
      <c r="P1938" s="3" t="s">
        <v>65</v>
      </c>
      <c r="Q1938" s="2" t="s">
        <v>18708</v>
      </c>
      <c r="R1938" s="3" t="s">
        <v>66</v>
      </c>
      <c r="S1938" s="4">
        <v>10</v>
      </c>
      <c r="T1938" s="4">
        <v>10</v>
      </c>
      <c r="U1938" s="5" t="s">
        <v>13757</v>
      </c>
      <c r="V1938" s="5" t="s">
        <v>13757</v>
      </c>
      <c r="W1938" s="5" t="s">
        <v>67</v>
      </c>
      <c r="X1938" s="5" t="s">
        <v>67</v>
      </c>
      <c r="Y1938" s="4">
        <v>336</v>
      </c>
      <c r="Z1938" s="4">
        <v>19</v>
      </c>
      <c r="AA1938" s="4">
        <v>21</v>
      </c>
      <c r="AB1938" s="4">
        <v>2</v>
      </c>
      <c r="AC1938" s="4">
        <v>4</v>
      </c>
      <c r="AD1938" s="4">
        <v>82</v>
      </c>
      <c r="AE1938" s="4">
        <v>82</v>
      </c>
      <c r="AF1938" s="4">
        <v>1</v>
      </c>
      <c r="AG1938" s="4">
        <v>1</v>
      </c>
      <c r="AH1938" s="4">
        <v>72</v>
      </c>
      <c r="AI1938" s="4">
        <v>72</v>
      </c>
      <c r="AJ1938" s="4">
        <v>13</v>
      </c>
      <c r="AK1938" s="4">
        <v>13</v>
      </c>
      <c r="AL1938" s="4">
        <v>44</v>
      </c>
      <c r="AM1938" s="4">
        <v>44</v>
      </c>
      <c r="AN1938" s="4">
        <v>0</v>
      </c>
      <c r="AO1938" s="4">
        <v>0</v>
      </c>
      <c r="AP1938" s="4">
        <v>16</v>
      </c>
      <c r="AQ1938" s="4">
        <v>16</v>
      </c>
      <c r="AR1938" s="3" t="s">
        <v>62</v>
      </c>
      <c r="AS1938" s="3" t="s">
        <v>62</v>
      </c>
      <c r="AT1938" s="3" t="s">
        <v>62</v>
      </c>
      <c r="AV1938" s="6" t="str">
        <f>HYPERLINK("http://mcgill.on.worldcat.org/oclc/236321398","Catalog Record")</f>
        <v>Catalog Record</v>
      </c>
      <c r="AW1938" s="6" t="str">
        <f>HYPERLINK("http://www.worldcat.org/oclc/236321398","WorldCat Record")</f>
        <v>WorldCat Record</v>
      </c>
      <c r="AX1938" s="3" t="s">
        <v>18709</v>
      </c>
      <c r="AY1938" s="3" t="s">
        <v>18710</v>
      </c>
      <c r="AZ1938" s="3" t="s">
        <v>18711</v>
      </c>
      <c r="BA1938" s="3" t="s">
        <v>18711</v>
      </c>
      <c r="BB1938" s="3" t="s">
        <v>18712</v>
      </c>
      <c r="BC1938" s="3" t="s">
        <v>142</v>
      </c>
      <c r="BD1938" s="3" t="s">
        <v>68</v>
      </c>
      <c r="BE1938" s="3" t="s">
        <v>18713</v>
      </c>
      <c r="BF1938" s="3" t="s">
        <v>18712</v>
      </c>
      <c r="BG1938" s="3" t="s">
        <v>18714</v>
      </c>
    </row>
    <row r="1939" spans="1:59" ht="71.25" x14ac:dyDescent="0.45">
      <c r="A1939" s="2" t="s">
        <v>59</v>
      </c>
      <c r="B1939" s="2" t="s">
        <v>60</v>
      </c>
      <c r="C1939" s="2" t="s">
        <v>18715</v>
      </c>
      <c r="D1939" s="2" t="s">
        <v>18716</v>
      </c>
      <c r="E1939" s="2" t="s">
        <v>18717</v>
      </c>
      <c r="G1939" s="3" t="s">
        <v>62</v>
      </c>
      <c r="I1939" s="3" t="s">
        <v>62</v>
      </c>
      <c r="J1939" s="3" t="s">
        <v>62</v>
      </c>
      <c r="K1939" s="3" t="s">
        <v>63</v>
      </c>
      <c r="L1939" s="2" t="s">
        <v>18718</v>
      </c>
      <c r="M1939" s="2" t="s">
        <v>18719</v>
      </c>
      <c r="N1939" s="3" t="s">
        <v>945</v>
      </c>
      <c r="P1939" s="3" t="s">
        <v>65</v>
      </c>
      <c r="Q1939" s="2" t="s">
        <v>18720</v>
      </c>
      <c r="R1939" s="3" t="s">
        <v>66</v>
      </c>
      <c r="S1939" s="4">
        <v>11</v>
      </c>
      <c r="T1939" s="4">
        <v>11</v>
      </c>
      <c r="U1939" s="5" t="s">
        <v>3758</v>
      </c>
      <c r="V1939" s="5" t="s">
        <v>3758</v>
      </c>
      <c r="W1939" s="5" t="s">
        <v>67</v>
      </c>
      <c r="X1939" s="5" t="s">
        <v>67</v>
      </c>
      <c r="Y1939" s="4">
        <v>267</v>
      </c>
      <c r="Z1939" s="4">
        <v>18</v>
      </c>
      <c r="AA1939" s="4">
        <v>19</v>
      </c>
      <c r="AB1939" s="4">
        <v>1</v>
      </c>
      <c r="AC1939" s="4">
        <v>2</v>
      </c>
      <c r="AD1939" s="4">
        <v>95</v>
      </c>
      <c r="AE1939" s="4">
        <v>96</v>
      </c>
      <c r="AF1939" s="4">
        <v>0</v>
      </c>
      <c r="AG1939" s="4">
        <v>1</v>
      </c>
      <c r="AH1939" s="4">
        <v>89</v>
      </c>
      <c r="AI1939" s="4">
        <v>90</v>
      </c>
      <c r="AJ1939" s="4">
        <v>12</v>
      </c>
      <c r="AK1939" s="4">
        <v>13</v>
      </c>
      <c r="AL1939" s="4">
        <v>50</v>
      </c>
      <c r="AM1939" s="4">
        <v>50</v>
      </c>
      <c r="AN1939" s="4">
        <v>0</v>
      </c>
      <c r="AO1939" s="4">
        <v>0</v>
      </c>
      <c r="AP1939" s="4">
        <v>13</v>
      </c>
      <c r="AQ1939" s="4">
        <v>14</v>
      </c>
      <c r="AR1939" s="3" t="s">
        <v>62</v>
      </c>
      <c r="AS1939" s="3" t="s">
        <v>62</v>
      </c>
      <c r="AT1939" s="3" t="s">
        <v>61</v>
      </c>
      <c r="AU1939" s="6" t="str">
        <f>HYPERLINK("http://catalog.hathitrust.org/Record/005549293","HathiTrust Record")</f>
        <v>HathiTrust Record</v>
      </c>
      <c r="AV1939" s="6" t="str">
        <f>HYPERLINK("http://mcgill.on.worldcat.org/oclc/70483313","Catalog Record")</f>
        <v>Catalog Record</v>
      </c>
      <c r="AW1939" s="6" t="str">
        <f>HYPERLINK("http://www.worldcat.org/oclc/70483313","WorldCat Record")</f>
        <v>WorldCat Record</v>
      </c>
      <c r="AX1939" s="3" t="s">
        <v>18721</v>
      </c>
      <c r="AY1939" s="3" t="s">
        <v>18722</v>
      </c>
      <c r="AZ1939" s="3" t="s">
        <v>18723</v>
      </c>
      <c r="BA1939" s="3" t="s">
        <v>18723</v>
      </c>
      <c r="BB1939" s="3" t="s">
        <v>18724</v>
      </c>
      <c r="BC1939" s="3" t="s">
        <v>142</v>
      </c>
      <c r="BD1939" s="3" t="s">
        <v>308</v>
      </c>
      <c r="BE1939" s="3" t="s">
        <v>18725</v>
      </c>
      <c r="BF1939" s="3" t="s">
        <v>18724</v>
      </c>
      <c r="BG1939" s="3" t="s">
        <v>18726</v>
      </c>
    </row>
    <row r="1940" spans="1:59" ht="57" x14ac:dyDescent="0.45">
      <c r="A1940" s="2" t="s">
        <v>59</v>
      </c>
      <c r="B1940" s="2" t="s">
        <v>60</v>
      </c>
      <c r="C1940" s="2" t="s">
        <v>18727</v>
      </c>
      <c r="D1940" s="2" t="s">
        <v>18728</v>
      </c>
      <c r="E1940" s="2" t="s">
        <v>18729</v>
      </c>
      <c r="G1940" s="3" t="s">
        <v>62</v>
      </c>
      <c r="I1940" s="3" t="s">
        <v>62</v>
      </c>
      <c r="J1940" s="3" t="s">
        <v>62</v>
      </c>
      <c r="K1940" s="3" t="s">
        <v>63</v>
      </c>
      <c r="L1940" s="2" t="s">
        <v>18730</v>
      </c>
      <c r="M1940" s="2" t="s">
        <v>18731</v>
      </c>
      <c r="N1940" s="3" t="s">
        <v>1155</v>
      </c>
      <c r="P1940" s="3" t="s">
        <v>65</v>
      </c>
      <c r="R1940" s="3" t="s">
        <v>66</v>
      </c>
      <c r="S1940" s="4">
        <v>2</v>
      </c>
      <c r="T1940" s="4">
        <v>2</v>
      </c>
      <c r="U1940" s="5" t="s">
        <v>18732</v>
      </c>
      <c r="V1940" s="5" t="s">
        <v>18732</v>
      </c>
      <c r="W1940" s="5" t="s">
        <v>67</v>
      </c>
      <c r="X1940" s="5" t="s">
        <v>67</v>
      </c>
      <c r="Y1940" s="4">
        <v>160</v>
      </c>
      <c r="Z1940" s="4">
        <v>19</v>
      </c>
      <c r="AA1940" s="4">
        <v>59</v>
      </c>
      <c r="AB1940" s="4">
        <v>2</v>
      </c>
      <c r="AC1940" s="4">
        <v>8</v>
      </c>
      <c r="AD1940" s="4">
        <v>48</v>
      </c>
      <c r="AE1940" s="4">
        <v>78</v>
      </c>
      <c r="AF1940" s="4">
        <v>1</v>
      </c>
      <c r="AG1940" s="4">
        <v>3</v>
      </c>
      <c r="AH1940" s="4">
        <v>42</v>
      </c>
      <c r="AI1940" s="4">
        <v>58</v>
      </c>
      <c r="AJ1940" s="4">
        <v>13</v>
      </c>
      <c r="AK1940" s="4">
        <v>17</v>
      </c>
      <c r="AL1940" s="4">
        <v>27</v>
      </c>
      <c r="AM1940" s="4">
        <v>35</v>
      </c>
      <c r="AN1940" s="4">
        <v>0</v>
      </c>
      <c r="AO1940" s="4">
        <v>0</v>
      </c>
      <c r="AP1940" s="4">
        <v>14</v>
      </c>
      <c r="AQ1940" s="4">
        <v>26</v>
      </c>
      <c r="AR1940" s="3" t="s">
        <v>62</v>
      </c>
      <c r="AS1940" s="3" t="s">
        <v>62</v>
      </c>
      <c r="AT1940" s="3" t="s">
        <v>62</v>
      </c>
      <c r="AV1940" s="6" t="str">
        <f>HYPERLINK("http://mcgill.on.worldcat.org/oclc/772499308","Catalog Record")</f>
        <v>Catalog Record</v>
      </c>
      <c r="AW1940" s="6" t="str">
        <f>HYPERLINK("http://www.worldcat.org/oclc/772499308","WorldCat Record")</f>
        <v>WorldCat Record</v>
      </c>
      <c r="AX1940" s="3" t="s">
        <v>18733</v>
      </c>
      <c r="AY1940" s="3" t="s">
        <v>18734</v>
      </c>
      <c r="AZ1940" s="3" t="s">
        <v>18735</v>
      </c>
      <c r="BA1940" s="3" t="s">
        <v>18735</v>
      </c>
      <c r="BB1940" s="3" t="s">
        <v>18736</v>
      </c>
      <c r="BC1940" s="3" t="s">
        <v>142</v>
      </c>
      <c r="BD1940" s="3" t="s">
        <v>68</v>
      </c>
      <c r="BE1940" s="3" t="s">
        <v>18737</v>
      </c>
      <c r="BF1940" s="3" t="s">
        <v>18736</v>
      </c>
      <c r="BG1940" s="3" t="s">
        <v>18738</v>
      </c>
    </row>
    <row r="1941" spans="1:59" ht="71.25" x14ac:dyDescent="0.45">
      <c r="A1941" s="2" t="s">
        <v>59</v>
      </c>
      <c r="B1941" s="2" t="s">
        <v>60</v>
      </c>
      <c r="C1941" s="2" t="s">
        <v>18739</v>
      </c>
      <c r="D1941" s="2" t="s">
        <v>18740</v>
      </c>
      <c r="E1941" s="2" t="s">
        <v>18741</v>
      </c>
      <c r="G1941" s="3" t="s">
        <v>62</v>
      </c>
      <c r="I1941" s="3" t="s">
        <v>62</v>
      </c>
      <c r="J1941" s="3" t="s">
        <v>62</v>
      </c>
      <c r="K1941" s="3" t="s">
        <v>63</v>
      </c>
      <c r="L1941" s="2" t="s">
        <v>18742</v>
      </c>
      <c r="M1941" s="2" t="s">
        <v>18743</v>
      </c>
      <c r="N1941" s="3" t="s">
        <v>1155</v>
      </c>
      <c r="P1941" s="3" t="s">
        <v>65</v>
      </c>
      <c r="R1941" s="3" t="s">
        <v>66</v>
      </c>
      <c r="S1941" s="4">
        <v>1</v>
      </c>
      <c r="T1941" s="4">
        <v>1</v>
      </c>
      <c r="U1941" s="5" t="s">
        <v>18744</v>
      </c>
      <c r="V1941" s="5" t="s">
        <v>18744</v>
      </c>
      <c r="W1941" s="5" t="s">
        <v>67</v>
      </c>
      <c r="X1941" s="5" t="s">
        <v>67</v>
      </c>
      <c r="Y1941" s="4">
        <v>332</v>
      </c>
      <c r="Z1941" s="4">
        <v>13</v>
      </c>
      <c r="AA1941" s="4">
        <v>80</v>
      </c>
      <c r="AB1941" s="4">
        <v>1</v>
      </c>
      <c r="AC1941" s="4">
        <v>15</v>
      </c>
      <c r="AD1941" s="4">
        <v>62</v>
      </c>
      <c r="AE1941" s="4">
        <v>116</v>
      </c>
      <c r="AF1941" s="4">
        <v>0</v>
      </c>
      <c r="AG1941" s="4">
        <v>8</v>
      </c>
      <c r="AH1941" s="4">
        <v>59</v>
      </c>
      <c r="AI1941" s="4">
        <v>82</v>
      </c>
      <c r="AJ1941" s="4">
        <v>10</v>
      </c>
      <c r="AK1941" s="4">
        <v>22</v>
      </c>
      <c r="AL1941" s="4">
        <v>31</v>
      </c>
      <c r="AM1941" s="4">
        <v>40</v>
      </c>
      <c r="AN1941" s="4">
        <v>0</v>
      </c>
      <c r="AO1941" s="4">
        <v>0</v>
      </c>
      <c r="AP1941" s="4">
        <v>11</v>
      </c>
      <c r="AQ1941" s="4">
        <v>43</v>
      </c>
      <c r="AR1941" s="3" t="s">
        <v>62</v>
      </c>
      <c r="AS1941" s="3" t="s">
        <v>62</v>
      </c>
      <c r="AT1941" s="3" t="s">
        <v>62</v>
      </c>
      <c r="AV1941" s="6" t="str">
        <f>HYPERLINK("http://mcgill.on.worldcat.org/oclc/809977812","Catalog Record")</f>
        <v>Catalog Record</v>
      </c>
      <c r="AW1941" s="6" t="str">
        <f>HYPERLINK("http://www.worldcat.org/oclc/809977812","WorldCat Record")</f>
        <v>WorldCat Record</v>
      </c>
      <c r="AX1941" s="3" t="s">
        <v>18745</v>
      </c>
      <c r="AY1941" s="3" t="s">
        <v>18746</v>
      </c>
      <c r="AZ1941" s="3" t="s">
        <v>18747</v>
      </c>
      <c r="BA1941" s="3" t="s">
        <v>18747</v>
      </c>
      <c r="BB1941" s="3" t="s">
        <v>18748</v>
      </c>
      <c r="BC1941" s="3" t="s">
        <v>142</v>
      </c>
      <c r="BD1941" s="3" t="s">
        <v>68</v>
      </c>
      <c r="BE1941" s="3" t="s">
        <v>18749</v>
      </c>
      <c r="BF1941" s="3" t="s">
        <v>18748</v>
      </c>
      <c r="BG1941" s="3" t="s">
        <v>18750</v>
      </c>
    </row>
    <row r="1942" spans="1:59" ht="71.25" x14ac:dyDescent="0.45">
      <c r="A1942" s="2" t="s">
        <v>59</v>
      </c>
      <c r="B1942" s="2" t="s">
        <v>412</v>
      </c>
      <c r="C1942" s="2" t="s">
        <v>18751</v>
      </c>
      <c r="D1942" s="2" t="s">
        <v>18752</v>
      </c>
      <c r="E1942" s="2" t="s">
        <v>18753</v>
      </c>
      <c r="G1942" s="3" t="s">
        <v>62</v>
      </c>
      <c r="I1942" s="3" t="s">
        <v>62</v>
      </c>
      <c r="J1942" s="3" t="s">
        <v>62</v>
      </c>
      <c r="K1942" s="3" t="s">
        <v>63</v>
      </c>
      <c r="L1942" s="2" t="s">
        <v>18754</v>
      </c>
      <c r="M1942" s="2" t="s">
        <v>18755</v>
      </c>
      <c r="N1942" s="3" t="s">
        <v>918</v>
      </c>
      <c r="P1942" s="3" t="s">
        <v>65</v>
      </c>
      <c r="Q1942" s="2" t="s">
        <v>3508</v>
      </c>
      <c r="R1942" s="3" t="s">
        <v>66</v>
      </c>
      <c r="S1942" s="4">
        <v>9</v>
      </c>
      <c r="T1942" s="4">
        <v>9</v>
      </c>
      <c r="U1942" s="5" t="s">
        <v>2801</v>
      </c>
      <c r="V1942" s="5" t="s">
        <v>2801</v>
      </c>
      <c r="W1942" s="5" t="s">
        <v>67</v>
      </c>
      <c r="X1942" s="5" t="s">
        <v>67</v>
      </c>
      <c r="Y1942" s="4">
        <v>295</v>
      </c>
      <c r="Z1942" s="4">
        <v>22</v>
      </c>
      <c r="AA1942" s="4">
        <v>79</v>
      </c>
      <c r="AB1942" s="4">
        <v>2</v>
      </c>
      <c r="AC1942" s="4">
        <v>15</v>
      </c>
      <c r="AD1942" s="4">
        <v>74</v>
      </c>
      <c r="AE1942" s="4">
        <v>126</v>
      </c>
      <c r="AF1942" s="4">
        <v>1</v>
      </c>
      <c r="AG1942" s="4">
        <v>8</v>
      </c>
      <c r="AH1942" s="4">
        <v>67</v>
      </c>
      <c r="AI1942" s="4">
        <v>94</v>
      </c>
      <c r="AJ1942" s="4">
        <v>13</v>
      </c>
      <c r="AK1942" s="4">
        <v>22</v>
      </c>
      <c r="AL1942" s="4">
        <v>33</v>
      </c>
      <c r="AM1942" s="4">
        <v>47</v>
      </c>
      <c r="AN1942" s="4">
        <v>0</v>
      </c>
      <c r="AO1942" s="4">
        <v>0</v>
      </c>
      <c r="AP1942" s="4">
        <v>15</v>
      </c>
      <c r="AQ1942" s="4">
        <v>40</v>
      </c>
      <c r="AR1942" s="3" t="s">
        <v>62</v>
      </c>
      <c r="AS1942" s="3" t="s">
        <v>62</v>
      </c>
      <c r="AT1942" s="3" t="s">
        <v>61</v>
      </c>
      <c r="AU1942" s="6" t="str">
        <f>HYPERLINK("http://catalog.hathitrust.org/Record/004339923","HathiTrust Record")</f>
        <v>HathiTrust Record</v>
      </c>
      <c r="AV1942" s="6" t="str">
        <f>HYPERLINK("http://mcgill.on.worldcat.org/oclc/51290066","Catalog Record")</f>
        <v>Catalog Record</v>
      </c>
      <c r="AW1942" s="6" t="str">
        <f>HYPERLINK("http://www.worldcat.org/oclc/51290066","WorldCat Record")</f>
        <v>WorldCat Record</v>
      </c>
      <c r="AX1942" s="3" t="s">
        <v>18756</v>
      </c>
      <c r="AY1942" s="3" t="s">
        <v>18757</v>
      </c>
      <c r="AZ1942" s="3" t="s">
        <v>18758</v>
      </c>
      <c r="BA1942" s="3" t="s">
        <v>18758</v>
      </c>
      <c r="BB1942" s="3" t="s">
        <v>18759</v>
      </c>
      <c r="BC1942" s="3" t="s">
        <v>142</v>
      </c>
      <c r="BD1942" s="3" t="s">
        <v>68</v>
      </c>
      <c r="BE1942" s="3" t="s">
        <v>18760</v>
      </c>
      <c r="BF1942" s="3" t="s">
        <v>18759</v>
      </c>
      <c r="BG1942" s="3" t="s">
        <v>18761</v>
      </c>
    </row>
    <row r="1943" spans="1:59" ht="57" x14ac:dyDescent="0.45">
      <c r="A1943" s="2" t="s">
        <v>59</v>
      </c>
      <c r="B1943" s="2" t="s">
        <v>60</v>
      </c>
      <c r="C1943" s="2" t="s">
        <v>18762</v>
      </c>
      <c r="D1943" s="2" t="s">
        <v>18763</v>
      </c>
      <c r="E1943" s="2" t="s">
        <v>18764</v>
      </c>
      <c r="G1943" s="3" t="s">
        <v>62</v>
      </c>
      <c r="I1943" s="3" t="s">
        <v>62</v>
      </c>
      <c r="J1943" s="3" t="s">
        <v>62</v>
      </c>
      <c r="K1943" s="3" t="s">
        <v>63</v>
      </c>
      <c r="L1943" s="2" t="s">
        <v>18765</v>
      </c>
      <c r="M1943" s="2" t="s">
        <v>18766</v>
      </c>
      <c r="N1943" s="3" t="s">
        <v>542</v>
      </c>
      <c r="P1943" s="3" t="s">
        <v>65</v>
      </c>
      <c r="Q1943" s="2" t="s">
        <v>18767</v>
      </c>
      <c r="R1943" s="3" t="s">
        <v>66</v>
      </c>
      <c r="S1943" s="4">
        <v>7</v>
      </c>
      <c r="T1943" s="4">
        <v>7</v>
      </c>
      <c r="U1943" s="5" t="s">
        <v>18768</v>
      </c>
      <c r="V1943" s="5" t="s">
        <v>18768</v>
      </c>
      <c r="W1943" s="5" t="s">
        <v>67</v>
      </c>
      <c r="X1943" s="5" t="s">
        <v>67</v>
      </c>
      <c r="Y1943" s="4">
        <v>258</v>
      </c>
      <c r="Z1943" s="4">
        <v>12</v>
      </c>
      <c r="AA1943" s="4">
        <v>16</v>
      </c>
      <c r="AB1943" s="4">
        <v>2</v>
      </c>
      <c r="AC1943" s="4">
        <v>4</v>
      </c>
      <c r="AD1943" s="4">
        <v>93</v>
      </c>
      <c r="AE1943" s="4">
        <v>96</v>
      </c>
      <c r="AF1943" s="4">
        <v>0</v>
      </c>
      <c r="AG1943" s="4">
        <v>0</v>
      </c>
      <c r="AH1943" s="4">
        <v>88</v>
      </c>
      <c r="AI1943" s="4">
        <v>90</v>
      </c>
      <c r="AJ1943" s="4">
        <v>9</v>
      </c>
      <c r="AK1943" s="4">
        <v>11</v>
      </c>
      <c r="AL1943" s="4">
        <v>48</v>
      </c>
      <c r="AM1943" s="4">
        <v>49</v>
      </c>
      <c r="AN1943" s="4">
        <v>0</v>
      </c>
      <c r="AO1943" s="4">
        <v>0</v>
      </c>
      <c r="AP1943" s="4">
        <v>9</v>
      </c>
      <c r="AQ1943" s="4">
        <v>11</v>
      </c>
      <c r="AR1943" s="3" t="s">
        <v>62</v>
      </c>
      <c r="AS1943" s="3" t="s">
        <v>62</v>
      </c>
      <c r="AT1943" s="3" t="s">
        <v>61</v>
      </c>
      <c r="AU1943" s="6" t="str">
        <f>HYPERLINK("http://catalog.hathitrust.org/Record/004195843","HathiTrust Record")</f>
        <v>HathiTrust Record</v>
      </c>
      <c r="AV1943" s="6" t="str">
        <f>HYPERLINK("http://mcgill.on.worldcat.org/oclc/44868936","Catalog Record")</f>
        <v>Catalog Record</v>
      </c>
      <c r="AW1943" s="6" t="str">
        <f>HYPERLINK("http://www.worldcat.org/oclc/44868936","WorldCat Record")</f>
        <v>WorldCat Record</v>
      </c>
      <c r="AX1943" s="3" t="s">
        <v>18769</v>
      </c>
      <c r="AY1943" s="3" t="s">
        <v>18770</v>
      </c>
      <c r="AZ1943" s="3" t="s">
        <v>18771</v>
      </c>
      <c r="BA1943" s="3" t="s">
        <v>18771</v>
      </c>
      <c r="BB1943" s="3" t="s">
        <v>18772</v>
      </c>
      <c r="BC1943" s="3" t="s">
        <v>142</v>
      </c>
      <c r="BD1943" s="3" t="s">
        <v>68</v>
      </c>
      <c r="BE1943" s="3" t="s">
        <v>18773</v>
      </c>
      <c r="BF1943" s="3" t="s">
        <v>18772</v>
      </c>
      <c r="BG1943" s="3" t="s">
        <v>18774</v>
      </c>
    </row>
    <row r="1944" spans="1:59" ht="71.25" x14ac:dyDescent="0.45">
      <c r="A1944" s="2" t="s">
        <v>59</v>
      </c>
      <c r="B1944" s="2" t="s">
        <v>60</v>
      </c>
      <c r="C1944" s="2" t="s">
        <v>18775</v>
      </c>
      <c r="D1944" s="2" t="s">
        <v>18776</v>
      </c>
      <c r="E1944" s="2" t="s">
        <v>18777</v>
      </c>
      <c r="G1944" s="3" t="s">
        <v>62</v>
      </c>
      <c r="I1944" s="3" t="s">
        <v>62</v>
      </c>
      <c r="J1944" s="3" t="s">
        <v>62</v>
      </c>
      <c r="K1944" s="3" t="s">
        <v>63</v>
      </c>
      <c r="L1944" s="2" t="s">
        <v>18778</v>
      </c>
      <c r="M1944" s="2" t="s">
        <v>18779</v>
      </c>
      <c r="N1944" s="3" t="s">
        <v>958</v>
      </c>
      <c r="P1944" s="3" t="s">
        <v>65</v>
      </c>
      <c r="Q1944" s="2" t="s">
        <v>18780</v>
      </c>
      <c r="R1944" s="3" t="s">
        <v>66</v>
      </c>
      <c r="S1944" s="4">
        <v>12</v>
      </c>
      <c r="T1944" s="4">
        <v>12</v>
      </c>
      <c r="U1944" s="5" t="s">
        <v>7625</v>
      </c>
      <c r="V1944" s="5" t="s">
        <v>7625</v>
      </c>
      <c r="W1944" s="5" t="s">
        <v>67</v>
      </c>
      <c r="X1944" s="5" t="s">
        <v>67</v>
      </c>
      <c r="Y1944" s="4">
        <v>329</v>
      </c>
      <c r="Z1944" s="4">
        <v>20</v>
      </c>
      <c r="AA1944" s="4">
        <v>27</v>
      </c>
      <c r="AB1944" s="4">
        <v>2</v>
      </c>
      <c r="AC1944" s="4">
        <v>6</v>
      </c>
      <c r="AD1944" s="4">
        <v>113</v>
      </c>
      <c r="AE1944" s="4">
        <v>116</v>
      </c>
      <c r="AF1944" s="4">
        <v>1</v>
      </c>
      <c r="AG1944" s="4">
        <v>2</v>
      </c>
      <c r="AH1944" s="4">
        <v>102</v>
      </c>
      <c r="AI1944" s="4">
        <v>105</v>
      </c>
      <c r="AJ1944" s="4">
        <v>16</v>
      </c>
      <c r="AK1944" s="4">
        <v>17</v>
      </c>
      <c r="AL1944" s="4">
        <v>56</v>
      </c>
      <c r="AM1944" s="4">
        <v>58</v>
      </c>
      <c r="AN1944" s="4">
        <v>0</v>
      </c>
      <c r="AO1944" s="4">
        <v>0</v>
      </c>
      <c r="AP1944" s="4">
        <v>17</v>
      </c>
      <c r="AQ1944" s="4">
        <v>18</v>
      </c>
      <c r="AR1944" s="3" t="s">
        <v>62</v>
      </c>
      <c r="AS1944" s="3" t="s">
        <v>62</v>
      </c>
      <c r="AT1944" s="3" t="s">
        <v>61</v>
      </c>
      <c r="AU1944" s="6" t="str">
        <f>HYPERLINK("http://catalog.hathitrust.org/Record/003006048","HathiTrust Record")</f>
        <v>HathiTrust Record</v>
      </c>
      <c r="AV1944" s="6" t="str">
        <f>HYPERLINK("http://mcgill.on.worldcat.org/oclc/32273157","Catalog Record")</f>
        <v>Catalog Record</v>
      </c>
      <c r="AW1944" s="6" t="str">
        <f>HYPERLINK("http://www.worldcat.org/oclc/32273157","WorldCat Record")</f>
        <v>WorldCat Record</v>
      </c>
      <c r="AX1944" s="3" t="s">
        <v>18781</v>
      </c>
      <c r="AY1944" s="3" t="s">
        <v>18782</v>
      </c>
      <c r="AZ1944" s="3" t="s">
        <v>18783</v>
      </c>
      <c r="BA1944" s="3" t="s">
        <v>18783</v>
      </c>
      <c r="BB1944" s="3" t="s">
        <v>18784</v>
      </c>
      <c r="BC1944" s="3" t="s">
        <v>142</v>
      </c>
      <c r="BD1944" s="3" t="s">
        <v>68</v>
      </c>
      <c r="BE1944" s="3" t="s">
        <v>18785</v>
      </c>
      <c r="BF1944" s="3" t="s">
        <v>18784</v>
      </c>
      <c r="BG1944" s="3" t="s">
        <v>18786</v>
      </c>
    </row>
    <row r="1945" spans="1:59" ht="71.25" x14ac:dyDescent="0.45">
      <c r="A1945" s="2" t="s">
        <v>59</v>
      </c>
      <c r="B1945" s="2" t="s">
        <v>60</v>
      </c>
      <c r="C1945" s="2" t="s">
        <v>18787</v>
      </c>
      <c r="D1945" s="2" t="s">
        <v>18788</v>
      </c>
      <c r="E1945" s="2" t="s">
        <v>18789</v>
      </c>
      <c r="G1945" s="3" t="s">
        <v>62</v>
      </c>
      <c r="I1945" s="3" t="s">
        <v>62</v>
      </c>
      <c r="J1945" s="3" t="s">
        <v>62</v>
      </c>
      <c r="K1945" s="3" t="s">
        <v>63</v>
      </c>
      <c r="M1945" s="2" t="s">
        <v>18790</v>
      </c>
      <c r="N1945" s="3" t="s">
        <v>945</v>
      </c>
      <c r="P1945" s="3" t="s">
        <v>65</v>
      </c>
      <c r="R1945" s="3" t="s">
        <v>66</v>
      </c>
      <c r="S1945" s="4">
        <v>9</v>
      </c>
      <c r="T1945" s="4">
        <v>9</v>
      </c>
      <c r="U1945" s="5" t="s">
        <v>730</v>
      </c>
      <c r="V1945" s="5" t="s">
        <v>730</v>
      </c>
      <c r="W1945" s="5" t="s">
        <v>67</v>
      </c>
      <c r="X1945" s="5" t="s">
        <v>67</v>
      </c>
      <c r="Y1945" s="4">
        <v>238</v>
      </c>
      <c r="Z1945" s="4">
        <v>28</v>
      </c>
      <c r="AA1945" s="4">
        <v>29</v>
      </c>
      <c r="AB1945" s="4">
        <v>2</v>
      </c>
      <c r="AC1945" s="4">
        <v>3</v>
      </c>
      <c r="AD1945" s="4">
        <v>93</v>
      </c>
      <c r="AE1945" s="4">
        <v>94</v>
      </c>
      <c r="AF1945" s="4">
        <v>1</v>
      </c>
      <c r="AG1945" s="4">
        <v>2</v>
      </c>
      <c r="AH1945" s="4">
        <v>79</v>
      </c>
      <c r="AI1945" s="4">
        <v>79</v>
      </c>
      <c r="AJ1945" s="4">
        <v>16</v>
      </c>
      <c r="AK1945" s="4">
        <v>17</v>
      </c>
      <c r="AL1945" s="4">
        <v>45</v>
      </c>
      <c r="AM1945" s="4">
        <v>45</v>
      </c>
      <c r="AN1945" s="4">
        <v>0</v>
      </c>
      <c r="AO1945" s="4">
        <v>0</v>
      </c>
      <c r="AP1945" s="4">
        <v>22</v>
      </c>
      <c r="AQ1945" s="4">
        <v>22</v>
      </c>
      <c r="AR1945" s="3" t="s">
        <v>62</v>
      </c>
      <c r="AS1945" s="3" t="s">
        <v>62</v>
      </c>
      <c r="AT1945" s="3" t="s">
        <v>61</v>
      </c>
      <c r="AU1945" s="6" t="str">
        <f>HYPERLINK("http://catalog.hathitrust.org/Record/005599790","HathiTrust Record")</f>
        <v>HathiTrust Record</v>
      </c>
      <c r="AV1945" s="6" t="str">
        <f>HYPERLINK("http://mcgill.on.worldcat.org/oclc/77116827","Catalog Record")</f>
        <v>Catalog Record</v>
      </c>
      <c r="AW1945" s="6" t="str">
        <f>HYPERLINK("http://www.worldcat.org/oclc/77116827","WorldCat Record")</f>
        <v>WorldCat Record</v>
      </c>
      <c r="AX1945" s="3" t="s">
        <v>18791</v>
      </c>
      <c r="AY1945" s="3" t="s">
        <v>18792</v>
      </c>
      <c r="AZ1945" s="3" t="s">
        <v>18793</v>
      </c>
      <c r="BA1945" s="3" t="s">
        <v>18793</v>
      </c>
      <c r="BB1945" s="3" t="s">
        <v>18794</v>
      </c>
      <c r="BC1945" s="3" t="s">
        <v>142</v>
      </c>
      <c r="BD1945" s="3" t="s">
        <v>68</v>
      </c>
      <c r="BE1945" s="3" t="s">
        <v>18795</v>
      </c>
      <c r="BF1945" s="3" t="s">
        <v>18794</v>
      </c>
      <c r="BG1945" s="3" t="s">
        <v>18796</v>
      </c>
    </row>
    <row r="1946" spans="1:59" ht="57" x14ac:dyDescent="0.45">
      <c r="A1946" s="2" t="s">
        <v>59</v>
      </c>
      <c r="B1946" s="2" t="s">
        <v>60</v>
      </c>
      <c r="C1946" s="2" t="s">
        <v>18797</v>
      </c>
      <c r="D1946" s="2" t="s">
        <v>18798</v>
      </c>
      <c r="E1946" s="2" t="s">
        <v>18799</v>
      </c>
      <c r="G1946" s="3" t="s">
        <v>62</v>
      </c>
      <c r="I1946" s="3" t="s">
        <v>62</v>
      </c>
      <c r="J1946" s="3" t="s">
        <v>62</v>
      </c>
      <c r="K1946" s="3" t="s">
        <v>63</v>
      </c>
      <c r="L1946" s="2" t="s">
        <v>18800</v>
      </c>
      <c r="M1946" s="2" t="s">
        <v>11622</v>
      </c>
      <c r="N1946" s="3" t="s">
        <v>1688</v>
      </c>
      <c r="P1946" s="3" t="s">
        <v>65</v>
      </c>
      <c r="Q1946" s="2" t="s">
        <v>18801</v>
      </c>
      <c r="R1946" s="3" t="s">
        <v>66</v>
      </c>
      <c r="S1946" s="4">
        <v>0</v>
      </c>
      <c r="T1946" s="4">
        <v>0</v>
      </c>
      <c r="W1946" s="5" t="s">
        <v>67</v>
      </c>
      <c r="X1946" s="5" t="s">
        <v>67</v>
      </c>
      <c r="Y1946" s="4">
        <v>111</v>
      </c>
      <c r="Z1946" s="4">
        <v>13</v>
      </c>
      <c r="AA1946" s="4">
        <v>17</v>
      </c>
      <c r="AB1946" s="4">
        <v>1</v>
      </c>
      <c r="AC1946" s="4">
        <v>5</v>
      </c>
      <c r="AD1946" s="4">
        <v>44</v>
      </c>
      <c r="AE1946" s="4">
        <v>47</v>
      </c>
      <c r="AF1946" s="4">
        <v>0</v>
      </c>
      <c r="AG1946" s="4">
        <v>3</v>
      </c>
      <c r="AH1946" s="4">
        <v>40</v>
      </c>
      <c r="AI1946" s="4">
        <v>41</v>
      </c>
      <c r="AJ1946" s="4">
        <v>9</v>
      </c>
      <c r="AK1946" s="4">
        <v>12</v>
      </c>
      <c r="AL1946" s="4">
        <v>25</v>
      </c>
      <c r="AM1946" s="4">
        <v>25</v>
      </c>
      <c r="AN1946" s="4">
        <v>0</v>
      </c>
      <c r="AO1946" s="4">
        <v>0</v>
      </c>
      <c r="AP1946" s="4">
        <v>10</v>
      </c>
      <c r="AQ1946" s="4">
        <v>12</v>
      </c>
      <c r="AR1946" s="3" t="s">
        <v>62</v>
      </c>
      <c r="AS1946" s="3" t="s">
        <v>62</v>
      </c>
      <c r="AT1946" s="3" t="s">
        <v>62</v>
      </c>
      <c r="AV1946" s="6" t="str">
        <f>HYPERLINK("http://mcgill.on.worldcat.org/oclc/868429197","Catalog Record")</f>
        <v>Catalog Record</v>
      </c>
      <c r="AW1946" s="6" t="str">
        <f>HYPERLINK("http://www.worldcat.org/oclc/868429197","WorldCat Record")</f>
        <v>WorldCat Record</v>
      </c>
      <c r="AX1946" s="3" t="s">
        <v>18802</v>
      </c>
      <c r="AY1946" s="3" t="s">
        <v>18803</v>
      </c>
      <c r="AZ1946" s="3" t="s">
        <v>18804</v>
      </c>
      <c r="BA1946" s="3" t="s">
        <v>18804</v>
      </c>
      <c r="BB1946" s="3" t="s">
        <v>18805</v>
      </c>
      <c r="BC1946" s="3" t="s">
        <v>142</v>
      </c>
      <c r="BD1946" s="3" t="s">
        <v>68</v>
      </c>
      <c r="BE1946" s="3" t="s">
        <v>18806</v>
      </c>
      <c r="BF1946" s="3" t="s">
        <v>18805</v>
      </c>
      <c r="BG1946" s="3" t="s">
        <v>18807</v>
      </c>
    </row>
    <row r="1947" spans="1:59" ht="57" x14ac:dyDescent="0.45">
      <c r="A1947" s="2" t="s">
        <v>59</v>
      </c>
      <c r="B1947" s="2" t="s">
        <v>60</v>
      </c>
      <c r="C1947" s="2" t="s">
        <v>18808</v>
      </c>
      <c r="D1947" s="2" t="s">
        <v>18809</v>
      </c>
      <c r="E1947" s="2" t="s">
        <v>18810</v>
      </c>
      <c r="G1947" s="3" t="s">
        <v>62</v>
      </c>
      <c r="I1947" s="3" t="s">
        <v>62</v>
      </c>
      <c r="J1947" s="3" t="s">
        <v>62</v>
      </c>
      <c r="K1947" s="3" t="s">
        <v>63</v>
      </c>
      <c r="L1947" s="2" t="s">
        <v>18811</v>
      </c>
      <c r="M1947" s="2" t="s">
        <v>13657</v>
      </c>
      <c r="N1947" s="3" t="s">
        <v>1059</v>
      </c>
      <c r="O1947" s="2" t="s">
        <v>168</v>
      </c>
      <c r="P1947" s="3" t="s">
        <v>65</v>
      </c>
      <c r="R1947" s="3" t="s">
        <v>66</v>
      </c>
      <c r="S1947" s="4">
        <v>27</v>
      </c>
      <c r="T1947" s="4">
        <v>27</v>
      </c>
      <c r="U1947" s="5" t="s">
        <v>18812</v>
      </c>
      <c r="V1947" s="5" t="s">
        <v>18812</v>
      </c>
      <c r="W1947" s="5" t="s">
        <v>67</v>
      </c>
      <c r="X1947" s="5" t="s">
        <v>67</v>
      </c>
      <c r="Y1947" s="4">
        <v>435</v>
      </c>
      <c r="Z1947" s="4">
        <v>39</v>
      </c>
      <c r="AA1947" s="4">
        <v>47</v>
      </c>
      <c r="AB1947" s="4">
        <v>2</v>
      </c>
      <c r="AC1947" s="4">
        <v>10</v>
      </c>
      <c r="AD1947" s="4">
        <v>113</v>
      </c>
      <c r="AE1947" s="4">
        <v>116</v>
      </c>
      <c r="AF1947" s="4">
        <v>1</v>
      </c>
      <c r="AG1947" s="4">
        <v>4</v>
      </c>
      <c r="AH1947" s="4">
        <v>95</v>
      </c>
      <c r="AI1947" s="4">
        <v>96</v>
      </c>
      <c r="AJ1947" s="4">
        <v>20</v>
      </c>
      <c r="AK1947" s="4">
        <v>23</v>
      </c>
      <c r="AL1947" s="4">
        <v>50</v>
      </c>
      <c r="AM1947" s="4">
        <v>50</v>
      </c>
      <c r="AN1947" s="4">
        <v>0</v>
      </c>
      <c r="AO1947" s="4">
        <v>0</v>
      </c>
      <c r="AP1947" s="4">
        <v>28</v>
      </c>
      <c r="AQ1947" s="4">
        <v>30</v>
      </c>
      <c r="AR1947" s="3" t="s">
        <v>62</v>
      </c>
      <c r="AS1947" s="3" t="s">
        <v>62</v>
      </c>
      <c r="AT1947" s="3" t="s">
        <v>62</v>
      </c>
      <c r="AV1947" s="6" t="str">
        <f>HYPERLINK("http://mcgill.on.worldcat.org/oclc/62118261","Catalog Record")</f>
        <v>Catalog Record</v>
      </c>
      <c r="AW1947" s="6" t="str">
        <f>HYPERLINK("http://www.worldcat.org/oclc/62118261","WorldCat Record")</f>
        <v>WorldCat Record</v>
      </c>
      <c r="AX1947" s="3" t="s">
        <v>18813</v>
      </c>
      <c r="AY1947" s="3" t="s">
        <v>18814</v>
      </c>
      <c r="AZ1947" s="3" t="s">
        <v>18815</v>
      </c>
      <c r="BA1947" s="3" t="s">
        <v>18815</v>
      </c>
      <c r="BB1947" s="3" t="s">
        <v>18816</v>
      </c>
      <c r="BC1947" s="3" t="s">
        <v>142</v>
      </c>
      <c r="BD1947" s="3" t="s">
        <v>68</v>
      </c>
      <c r="BE1947" s="3" t="s">
        <v>18817</v>
      </c>
      <c r="BF1947" s="3" t="s">
        <v>18816</v>
      </c>
      <c r="BG1947" s="3" t="s">
        <v>18818</v>
      </c>
    </row>
    <row r="1948" spans="1:59" ht="71.25" x14ac:dyDescent="0.45">
      <c r="A1948" s="2" t="s">
        <v>59</v>
      </c>
      <c r="B1948" s="2" t="s">
        <v>60</v>
      </c>
      <c r="C1948" s="2" t="s">
        <v>18819</v>
      </c>
      <c r="D1948" s="2" t="s">
        <v>18820</v>
      </c>
      <c r="E1948" s="2" t="s">
        <v>18821</v>
      </c>
      <c r="F1948" s="3" t="s">
        <v>90</v>
      </c>
      <c r="G1948" s="3" t="s">
        <v>61</v>
      </c>
      <c r="I1948" s="3" t="s">
        <v>62</v>
      </c>
      <c r="J1948" s="3" t="s">
        <v>62</v>
      </c>
      <c r="K1948" s="3" t="s">
        <v>63</v>
      </c>
      <c r="M1948" s="2" t="s">
        <v>18822</v>
      </c>
      <c r="N1948" s="3" t="s">
        <v>894</v>
      </c>
      <c r="P1948" s="3" t="s">
        <v>65</v>
      </c>
      <c r="Q1948" s="2" t="s">
        <v>18823</v>
      </c>
      <c r="R1948" s="3" t="s">
        <v>66</v>
      </c>
      <c r="S1948" s="4">
        <v>0</v>
      </c>
      <c r="T1948" s="4">
        <v>1</v>
      </c>
      <c r="V1948" s="5" t="s">
        <v>11153</v>
      </c>
      <c r="W1948" s="5" t="s">
        <v>67</v>
      </c>
      <c r="X1948" s="5" t="s">
        <v>67</v>
      </c>
      <c r="Y1948" s="4">
        <v>302</v>
      </c>
      <c r="Z1948" s="4">
        <v>32</v>
      </c>
      <c r="AA1948" s="4">
        <v>39</v>
      </c>
      <c r="AB1948" s="4">
        <v>2</v>
      </c>
      <c r="AC1948" s="4">
        <v>4</v>
      </c>
      <c r="AD1948" s="4">
        <v>89</v>
      </c>
      <c r="AE1948" s="4">
        <v>97</v>
      </c>
      <c r="AF1948" s="4">
        <v>1</v>
      </c>
      <c r="AG1948" s="4">
        <v>3</v>
      </c>
      <c r="AH1948" s="4">
        <v>77</v>
      </c>
      <c r="AI1948" s="4">
        <v>81</v>
      </c>
      <c r="AJ1948" s="4">
        <v>14</v>
      </c>
      <c r="AK1948" s="4">
        <v>20</v>
      </c>
      <c r="AL1948" s="4">
        <v>44</v>
      </c>
      <c r="AM1948" s="4">
        <v>45</v>
      </c>
      <c r="AN1948" s="4">
        <v>0</v>
      </c>
      <c r="AO1948" s="4">
        <v>0</v>
      </c>
      <c r="AP1948" s="4">
        <v>21</v>
      </c>
      <c r="AQ1948" s="4">
        <v>28</v>
      </c>
      <c r="AR1948" s="3" t="s">
        <v>62</v>
      </c>
      <c r="AS1948" s="3" t="s">
        <v>62</v>
      </c>
      <c r="AT1948" s="3" t="s">
        <v>62</v>
      </c>
      <c r="AV1948" s="6" t="str">
        <f>HYPERLINK("http://mcgill.on.worldcat.org/oclc/662152495","Catalog Record")</f>
        <v>Catalog Record</v>
      </c>
      <c r="AW1948" s="6" t="str">
        <f>HYPERLINK("http://www.worldcat.org/oclc/662152495","WorldCat Record")</f>
        <v>WorldCat Record</v>
      </c>
      <c r="AX1948" s="3" t="s">
        <v>18824</v>
      </c>
      <c r="AY1948" s="3" t="s">
        <v>18825</v>
      </c>
      <c r="AZ1948" s="3" t="s">
        <v>18826</v>
      </c>
      <c r="BA1948" s="3" t="s">
        <v>18826</v>
      </c>
      <c r="BB1948" s="3" t="s">
        <v>18827</v>
      </c>
      <c r="BC1948" s="3" t="s">
        <v>142</v>
      </c>
      <c r="BD1948" s="3" t="s">
        <v>68</v>
      </c>
      <c r="BE1948" s="3" t="s">
        <v>18828</v>
      </c>
      <c r="BF1948" s="3" t="s">
        <v>18827</v>
      </c>
      <c r="BG1948" s="3" t="s">
        <v>18829</v>
      </c>
    </row>
    <row r="1949" spans="1:59" ht="71.25" x14ac:dyDescent="0.45">
      <c r="A1949" s="2" t="s">
        <v>59</v>
      </c>
      <c r="B1949" s="2" t="s">
        <v>60</v>
      </c>
      <c r="C1949" s="2" t="s">
        <v>18819</v>
      </c>
      <c r="D1949" s="2" t="s">
        <v>18820</v>
      </c>
      <c r="E1949" s="2" t="s">
        <v>18821</v>
      </c>
      <c r="F1949" s="3" t="s">
        <v>87</v>
      </c>
      <c r="G1949" s="3" t="s">
        <v>61</v>
      </c>
      <c r="I1949" s="3" t="s">
        <v>62</v>
      </c>
      <c r="J1949" s="3" t="s">
        <v>62</v>
      </c>
      <c r="K1949" s="3" t="s">
        <v>63</v>
      </c>
      <c r="M1949" s="2" t="s">
        <v>18822</v>
      </c>
      <c r="N1949" s="3" t="s">
        <v>894</v>
      </c>
      <c r="P1949" s="3" t="s">
        <v>65</v>
      </c>
      <c r="Q1949" s="2" t="s">
        <v>18823</v>
      </c>
      <c r="R1949" s="3" t="s">
        <v>66</v>
      </c>
      <c r="S1949" s="4">
        <v>1</v>
      </c>
      <c r="T1949" s="4">
        <v>1</v>
      </c>
      <c r="U1949" s="5" t="s">
        <v>11153</v>
      </c>
      <c r="V1949" s="5" t="s">
        <v>11153</v>
      </c>
      <c r="W1949" s="5" t="s">
        <v>67</v>
      </c>
      <c r="X1949" s="5" t="s">
        <v>67</v>
      </c>
      <c r="Y1949" s="4">
        <v>302</v>
      </c>
      <c r="Z1949" s="4">
        <v>32</v>
      </c>
      <c r="AA1949" s="4">
        <v>39</v>
      </c>
      <c r="AB1949" s="4">
        <v>2</v>
      </c>
      <c r="AC1949" s="4">
        <v>4</v>
      </c>
      <c r="AD1949" s="4">
        <v>89</v>
      </c>
      <c r="AE1949" s="4">
        <v>97</v>
      </c>
      <c r="AF1949" s="4">
        <v>1</v>
      </c>
      <c r="AG1949" s="4">
        <v>3</v>
      </c>
      <c r="AH1949" s="4">
        <v>77</v>
      </c>
      <c r="AI1949" s="4">
        <v>81</v>
      </c>
      <c r="AJ1949" s="4">
        <v>14</v>
      </c>
      <c r="AK1949" s="4">
        <v>20</v>
      </c>
      <c r="AL1949" s="4">
        <v>44</v>
      </c>
      <c r="AM1949" s="4">
        <v>45</v>
      </c>
      <c r="AN1949" s="4">
        <v>0</v>
      </c>
      <c r="AO1949" s="4">
        <v>0</v>
      </c>
      <c r="AP1949" s="4">
        <v>21</v>
      </c>
      <c r="AQ1949" s="4">
        <v>28</v>
      </c>
      <c r="AR1949" s="3" t="s">
        <v>62</v>
      </c>
      <c r="AS1949" s="3" t="s">
        <v>62</v>
      </c>
      <c r="AT1949" s="3" t="s">
        <v>62</v>
      </c>
      <c r="AV1949" s="6" t="str">
        <f>HYPERLINK("http://mcgill.on.worldcat.org/oclc/662152495","Catalog Record")</f>
        <v>Catalog Record</v>
      </c>
      <c r="AW1949" s="6" t="str">
        <f>HYPERLINK("http://www.worldcat.org/oclc/662152495","WorldCat Record")</f>
        <v>WorldCat Record</v>
      </c>
      <c r="AX1949" s="3" t="s">
        <v>18824</v>
      </c>
      <c r="AY1949" s="3" t="s">
        <v>18825</v>
      </c>
      <c r="AZ1949" s="3" t="s">
        <v>18826</v>
      </c>
      <c r="BA1949" s="3" t="s">
        <v>18826</v>
      </c>
      <c r="BB1949" s="3" t="s">
        <v>18830</v>
      </c>
      <c r="BC1949" s="3" t="s">
        <v>142</v>
      </c>
      <c r="BD1949" s="3" t="s">
        <v>68</v>
      </c>
      <c r="BE1949" s="3" t="s">
        <v>18828</v>
      </c>
      <c r="BF1949" s="3" t="s">
        <v>18830</v>
      </c>
      <c r="BG1949" s="3" t="s">
        <v>18831</v>
      </c>
    </row>
    <row r="1950" spans="1:59" ht="57" x14ac:dyDescent="0.45">
      <c r="A1950" s="2" t="s">
        <v>59</v>
      </c>
      <c r="B1950" s="2" t="s">
        <v>60</v>
      </c>
      <c r="C1950" s="2" t="s">
        <v>18832</v>
      </c>
      <c r="D1950" s="2" t="s">
        <v>18833</v>
      </c>
      <c r="E1950" s="2" t="s">
        <v>18834</v>
      </c>
      <c r="G1950" s="3" t="s">
        <v>62</v>
      </c>
      <c r="I1950" s="3" t="s">
        <v>62</v>
      </c>
      <c r="J1950" s="3" t="s">
        <v>62</v>
      </c>
      <c r="K1950" s="3" t="s">
        <v>63</v>
      </c>
      <c r="M1950" s="2" t="s">
        <v>4650</v>
      </c>
      <c r="N1950" s="3" t="s">
        <v>894</v>
      </c>
      <c r="P1950" s="3" t="s">
        <v>65</v>
      </c>
      <c r="Q1950" s="2" t="s">
        <v>18835</v>
      </c>
      <c r="R1950" s="3" t="s">
        <v>66</v>
      </c>
      <c r="S1950" s="4">
        <v>1</v>
      </c>
      <c r="T1950" s="4">
        <v>1</v>
      </c>
      <c r="U1950" s="5" t="s">
        <v>18836</v>
      </c>
      <c r="V1950" s="5" t="s">
        <v>18836</v>
      </c>
      <c r="W1950" s="5" t="s">
        <v>67</v>
      </c>
      <c r="X1950" s="5" t="s">
        <v>67</v>
      </c>
      <c r="Y1950" s="4">
        <v>140</v>
      </c>
      <c r="Z1950" s="4">
        <v>16</v>
      </c>
      <c r="AA1950" s="4">
        <v>80</v>
      </c>
      <c r="AB1950" s="4">
        <v>1</v>
      </c>
      <c r="AC1950" s="4">
        <v>14</v>
      </c>
      <c r="AD1950" s="4">
        <v>70</v>
      </c>
      <c r="AE1950" s="4">
        <v>125</v>
      </c>
      <c r="AF1950" s="4">
        <v>0</v>
      </c>
      <c r="AG1950" s="4">
        <v>8</v>
      </c>
      <c r="AH1950" s="4">
        <v>65</v>
      </c>
      <c r="AI1950" s="4">
        <v>91</v>
      </c>
      <c r="AJ1950" s="4">
        <v>13</v>
      </c>
      <c r="AK1950" s="4">
        <v>22</v>
      </c>
      <c r="AL1950" s="4">
        <v>35</v>
      </c>
      <c r="AM1950" s="4">
        <v>47</v>
      </c>
      <c r="AN1950" s="4">
        <v>0</v>
      </c>
      <c r="AO1950" s="4">
        <v>0</v>
      </c>
      <c r="AP1950" s="4">
        <v>13</v>
      </c>
      <c r="AQ1950" s="4">
        <v>42</v>
      </c>
      <c r="AR1950" s="3" t="s">
        <v>62</v>
      </c>
      <c r="AS1950" s="3" t="s">
        <v>62</v>
      </c>
      <c r="AT1950" s="3" t="s">
        <v>62</v>
      </c>
      <c r="AV1950" s="6" t="str">
        <f>HYPERLINK("http://mcgill.on.worldcat.org/oclc/664667210","Catalog Record")</f>
        <v>Catalog Record</v>
      </c>
      <c r="AW1950" s="6" t="str">
        <f>HYPERLINK("http://www.worldcat.org/oclc/664667210","WorldCat Record")</f>
        <v>WorldCat Record</v>
      </c>
      <c r="AX1950" s="3" t="s">
        <v>18837</v>
      </c>
      <c r="AY1950" s="3" t="s">
        <v>18838</v>
      </c>
      <c r="AZ1950" s="3" t="s">
        <v>18839</v>
      </c>
      <c r="BA1950" s="3" t="s">
        <v>18839</v>
      </c>
      <c r="BB1950" s="3" t="s">
        <v>18840</v>
      </c>
      <c r="BC1950" s="3" t="s">
        <v>142</v>
      </c>
      <c r="BD1950" s="3" t="s">
        <v>68</v>
      </c>
      <c r="BE1950" s="3" t="s">
        <v>18841</v>
      </c>
      <c r="BF1950" s="3" t="s">
        <v>18840</v>
      </c>
      <c r="BG1950" s="3" t="s">
        <v>18842</v>
      </c>
    </row>
    <row r="1951" spans="1:59" ht="57" x14ac:dyDescent="0.45">
      <c r="A1951" s="2" t="s">
        <v>59</v>
      </c>
      <c r="B1951" s="2" t="s">
        <v>60</v>
      </c>
      <c r="C1951" s="2" t="s">
        <v>18843</v>
      </c>
      <c r="D1951" s="2" t="s">
        <v>18844</v>
      </c>
      <c r="E1951" s="2" t="s">
        <v>18845</v>
      </c>
      <c r="G1951" s="3" t="s">
        <v>62</v>
      </c>
      <c r="I1951" s="3" t="s">
        <v>62</v>
      </c>
      <c r="J1951" s="3" t="s">
        <v>62</v>
      </c>
      <c r="K1951" s="3" t="s">
        <v>63</v>
      </c>
      <c r="L1951" s="2" t="s">
        <v>18846</v>
      </c>
      <c r="M1951" s="2" t="s">
        <v>18847</v>
      </c>
      <c r="N1951" s="3" t="s">
        <v>149</v>
      </c>
      <c r="P1951" s="3" t="s">
        <v>65</v>
      </c>
      <c r="Q1951" s="2" t="s">
        <v>18848</v>
      </c>
      <c r="R1951" s="3" t="s">
        <v>66</v>
      </c>
      <c r="S1951" s="4">
        <v>3</v>
      </c>
      <c r="T1951" s="4">
        <v>3</v>
      </c>
      <c r="U1951" s="5" t="s">
        <v>18849</v>
      </c>
      <c r="V1951" s="5" t="s">
        <v>18849</v>
      </c>
      <c r="W1951" s="5" t="s">
        <v>67</v>
      </c>
      <c r="X1951" s="5" t="s">
        <v>67</v>
      </c>
      <c r="Y1951" s="4">
        <v>447</v>
      </c>
      <c r="Z1951" s="4">
        <v>15</v>
      </c>
      <c r="AA1951" s="4">
        <v>16</v>
      </c>
      <c r="AB1951" s="4">
        <v>2</v>
      </c>
      <c r="AC1951" s="4">
        <v>3</v>
      </c>
      <c r="AD1951" s="4">
        <v>85</v>
      </c>
      <c r="AE1951" s="4">
        <v>86</v>
      </c>
      <c r="AF1951" s="4">
        <v>1</v>
      </c>
      <c r="AG1951" s="4">
        <v>2</v>
      </c>
      <c r="AH1951" s="4">
        <v>78</v>
      </c>
      <c r="AI1951" s="4">
        <v>78</v>
      </c>
      <c r="AJ1951" s="4">
        <v>9</v>
      </c>
      <c r="AK1951" s="4">
        <v>10</v>
      </c>
      <c r="AL1951" s="4">
        <v>45</v>
      </c>
      <c r="AM1951" s="4">
        <v>45</v>
      </c>
      <c r="AN1951" s="4">
        <v>0</v>
      </c>
      <c r="AO1951" s="4">
        <v>0</v>
      </c>
      <c r="AP1951" s="4">
        <v>11</v>
      </c>
      <c r="AQ1951" s="4">
        <v>12</v>
      </c>
      <c r="AR1951" s="3" t="s">
        <v>62</v>
      </c>
      <c r="AS1951" s="3" t="s">
        <v>62</v>
      </c>
      <c r="AT1951" s="3" t="s">
        <v>62</v>
      </c>
      <c r="AV1951" s="6" t="str">
        <f>HYPERLINK("http://mcgill.on.worldcat.org/oclc/320316182","Catalog Record")</f>
        <v>Catalog Record</v>
      </c>
      <c r="AW1951" s="6" t="str">
        <f>HYPERLINK("http://www.worldcat.org/oclc/320316182","WorldCat Record")</f>
        <v>WorldCat Record</v>
      </c>
      <c r="AX1951" s="3" t="s">
        <v>18850</v>
      </c>
      <c r="AY1951" s="3" t="s">
        <v>18851</v>
      </c>
      <c r="AZ1951" s="3" t="s">
        <v>18852</v>
      </c>
      <c r="BA1951" s="3" t="s">
        <v>18852</v>
      </c>
      <c r="BB1951" s="3" t="s">
        <v>18853</v>
      </c>
      <c r="BC1951" s="3" t="s">
        <v>142</v>
      </c>
      <c r="BD1951" s="3" t="s">
        <v>68</v>
      </c>
      <c r="BE1951" s="3" t="s">
        <v>18854</v>
      </c>
      <c r="BF1951" s="3" t="s">
        <v>18853</v>
      </c>
      <c r="BG1951" s="3" t="s">
        <v>18855</v>
      </c>
    </row>
    <row r="1952" spans="1:59" ht="71.25" x14ac:dyDescent="0.45">
      <c r="A1952" s="2" t="s">
        <v>59</v>
      </c>
      <c r="B1952" s="2" t="s">
        <v>60</v>
      </c>
      <c r="C1952" s="2" t="s">
        <v>18856</v>
      </c>
      <c r="D1952" s="2" t="s">
        <v>18857</v>
      </c>
      <c r="E1952" s="2" t="s">
        <v>18858</v>
      </c>
      <c r="G1952" s="3" t="s">
        <v>62</v>
      </c>
      <c r="I1952" s="3" t="s">
        <v>62</v>
      </c>
      <c r="J1952" s="3" t="s">
        <v>62</v>
      </c>
      <c r="K1952" s="3" t="s">
        <v>63</v>
      </c>
      <c r="M1952" s="2" t="s">
        <v>18859</v>
      </c>
      <c r="N1952" s="3" t="s">
        <v>1253</v>
      </c>
      <c r="P1952" s="3" t="s">
        <v>65</v>
      </c>
      <c r="R1952" s="3" t="s">
        <v>66</v>
      </c>
      <c r="S1952" s="4">
        <v>27</v>
      </c>
      <c r="T1952" s="4">
        <v>27</v>
      </c>
      <c r="U1952" s="5" t="s">
        <v>107</v>
      </c>
      <c r="V1952" s="5" t="s">
        <v>107</v>
      </c>
      <c r="W1952" s="5" t="s">
        <v>67</v>
      </c>
      <c r="X1952" s="5" t="s">
        <v>67</v>
      </c>
      <c r="Y1952" s="4">
        <v>668</v>
      </c>
      <c r="Z1952" s="4">
        <v>16</v>
      </c>
      <c r="AA1952" s="4">
        <v>83</v>
      </c>
      <c r="AB1952" s="4">
        <v>3</v>
      </c>
      <c r="AC1952" s="4">
        <v>17</v>
      </c>
      <c r="AD1952" s="4">
        <v>106</v>
      </c>
      <c r="AE1952" s="4">
        <v>141</v>
      </c>
      <c r="AF1952" s="4">
        <v>1</v>
      </c>
      <c r="AG1952" s="4">
        <v>8</v>
      </c>
      <c r="AH1952" s="4">
        <v>97</v>
      </c>
      <c r="AI1952" s="4">
        <v>106</v>
      </c>
      <c r="AJ1952" s="4">
        <v>12</v>
      </c>
      <c r="AK1952" s="4">
        <v>22</v>
      </c>
      <c r="AL1952" s="4">
        <v>54</v>
      </c>
      <c r="AM1952" s="4">
        <v>57</v>
      </c>
      <c r="AN1952" s="4">
        <v>0</v>
      </c>
      <c r="AO1952" s="4">
        <v>0</v>
      </c>
      <c r="AP1952" s="4">
        <v>12</v>
      </c>
      <c r="AQ1952" s="4">
        <v>41</v>
      </c>
      <c r="AR1952" s="3" t="s">
        <v>62</v>
      </c>
      <c r="AS1952" s="3" t="s">
        <v>62</v>
      </c>
      <c r="AT1952" s="3" t="s">
        <v>61</v>
      </c>
      <c r="AU1952" s="6" t="str">
        <f>HYPERLINK("http://catalog.hathitrust.org/Record/003168546","HathiTrust Record")</f>
        <v>HathiTrust Record</v>
      </c>
      <c r="AV1952" s="6" t="str">
        <f>HYPERLINK("http://mcgill.on.worldcat.org/oclc/36364100","Catalog Record")</f>
        <v>Catalog Record</v>
      </c>
      <c r="AW1952" s="6" t="str">
        <f>HYPERLINK("http://www.worldcat.org/oclc/36364100","WorldCat Record")</f>
        <v>WorldCat Record</v>
      </c>
      <c r="AX1952" s="3" t="s">
        <v>18860</v>
      </c>
      <c r="AY1952" s="3" t="s">
        <v>18861</v>
      </c>
      <c r="AZ1952" s="3" t="s">
        <v>18862</v>
      </c>
      <c r="BA1952" s="3" t="s">
        <v>18862</v>
      </c>
      <c r="BB1952" s="3" t="s">
        <v>18863</v>
      </c>
      <c r="BC1952" s="3" t="s">
        <v>142</v>
      </c>
      <c r="BD1952" s="3" t="s">
        <v>68</v>
      </c>
      <c r="BE1952" s="3" t="s">
        <v>18864</v>
      </c>
      <c r="BF1952" s="3" t="s">
        <v>18863</v>
      </c>
      <c r="BG1952" s="3" t="s">
        <v>18865</v>
      </c>
    </row>
    <row r="1953" spans="1:59" ht="57" x14ac:dyDescent="0.45">
      <c r="A1953" s="2" t="s">
        <v>59</v>
      </c>
      <c r="B1953" s="2" t="s">
        <v>60</v>
      </c>
      <c r="C1953" s="2" t="s">
        <v>18866</v>
      </c>
      <c r="D1953" s="2" t="s">
        <v>18867</v>
      </c>
      <c r="E1953" s="2" t="s">
        <v>18868</v>
      </c>
      <c r="G1953" s="3" t="s">
        <v>62</v>
      </c>
      <c r="I1953" s="3" t="s">
        <v>62</v>
      </c>
      <c r="J1953" s="3" t="s">
        <v>62</v>
      </c>
      <c r="K1953" s="3" t="s">
        <v>63</v>
      </c>
      <c r="L1953" s="2" t="s">
        <v>18869</v>
      </c>
      <c r="M1953" s="2" t="s">
        <v>18870</v>
      </c>
      <c r="N1953" s="3" t="s">
        <v>181</v>
      </c>
      <c r="P1953" s="3" t="s">
        <v>65</v>
      </c>
      <c r="R1953" s="3" t="s">
        <v>66</v>
      </c>
      <c r="S1953" s="4">
        <v>2</v>
      </c>
      <c r="T1953" s="4">
        <v>2</v>
      </c>
      <c r="U1953" s="5" t="s">
        <v>1099</v>
      </c>
      <c r="V1953" s="5" t="s">
        <v>1099</v>
      </c>
      <c r="W1953" s="5" t="s">
        <v>67</v>
      </c>
      <c r="X1953" s="5" t="s">
        <v>67</v>
      </c>
      <c r="Y1953" s="4">
        <v>162</v>
      </c>
      <c r="Z1953" s="4">
        <v>6</v>
      </c>
      <c r="AA1953" s="4">
        <v>20</v>
      </c>
      <c r="AB1953" s="4">
        <v>1</v>
      </c>
      <c r="AC1953" s="4">
        <v>6</v>
      </c>
      <c r="AD1953" s="4">
        <v>50</v>
      </c>
      <c r="AE1953" s="4">
        <v>79</v>
      </c>
      <c r="AF1953" s="4">
        <v>0</v>
      </c>
      <c r="AG1953" s="4">
        <v>1</v>
      </c>
      <c r="AH1953" s="4">
        <v>47</v>
      </c>
      <c r="AI1953" s="4">
        <v>71</v>
      </c>
      <c r="AJ1953" s="4">
        <v>2</v>
      </c>
      <c r="AK1953" s="4">
        <v>10</v>
      </c>
      <c r="AL1953" s="4">
        <v>28</v>
      </c>
      <c r="AM1953" s="4">
        <v>42</v>
      </c>
      <c r="AN1953" s="4">
        <v>0</v>
      </c>
      <c r="AO1953" s="4">
        <v>0</v>
      </c>
      <c r="AP1953" s="4">
        <v>4</v>
      </c>
      <c r="AQ1953" s="4">
        <v>12</v>
      </c>
      <c r="AR1953" s="3" t="s">
        <v>62</v>
      </c>
      <c r="AS1953" s="3" t="s">
        <v>62</v>
      </c>
      <c r="AT1953" s="3" t="s">
        <v>62</v>
      </c>
      <c r="AV1953" s="6" t="str">
        <f>HYPERLINK("http://mcgill.on.worldcat.org/oclc/949760213","Catalog Record")</f>
        <v>Catalog Record</v>
      </c>
      <c r="AW1953" s="6" t="str">
        <f>HYPERLINK("http://www.worldcat.org/oclc/949760213","WorldCat Record")</f>
        <v>WorldCat Record</v>
      </c>
      <c r="AX1953" s="3" t="s">
        <v>18871</v>
      </c>
      <c r="AY1953" s="3" t="s">
        <v>18872</v>
      </c>
      <c r="AZ1953" s="3" t="s">
        <v>18873</v>
      </c>
      <c r="BA1953" s="3" t="s">
        <v>18873</v>
      </c>
      <c r="BB1953" s="3" t="s">
        <v>18874</v>
      </c>
      <c r="BC1953" s="3" t="s">
        <v>142</v>
      </c>
      <c r="BD1953" s="3" t="s">
        <v>308</v>
      </c>
      <c r="BE1953" s="3" t="s">
        <v>18875</v>
      </c>
      <c r="BF1953" s="3" t="s">
        <v>18874</v>
      </c>
      <c r="BG1953" s="3" t="s">
        <v>18876</v>
      </c>
    </row>
    <row r="1954" spans="1:59" ht="57" x14ac:dyDescent="0.45">
      <c r="A1954" s="2" t="s">
        <v>59</v>
      </c>
      <c r="B1954" s="2" t="s">
        <v>60</v>
      </c>
      <c r="C1954" s="2" t="s">
        <v>18877</v>
      </c>
      <c r="D1954" s="2" t="s">
        <v>18878</v>
      </c>
      <c r="E1954" s="2" t="s">
        <v>18879</v>
      </c>
      <c r="G1954" s="3" t="s">
        <v>62</v>
      </c>
      <c r="I1954" s="3" t="s">
        <v>62</v>
      </c>
      <c r="J1954" s="3" t="s">
        <v>62</v>
      </c>
      <c r="K1954" s="3" t="s">
        <v>63</v>
      </c>
      <c r="M1954" s="2" t="s">
        <v>18880</v>
      </c>
      <c r="N1954" s="3" t="s">
        <v>116</v>
      </c>
      <c r="P1954" s="3" t="s">
        <v>110</v>
      </c>
      <c r="Q1954" s="2" t="s">
        <v>18881</v>
      </c>
      <c r="R1954" s="3" t="s">
        <v>66</v>
      </c>
      <c r="S1954" s="4">
        <v>0</v>
      </c>
      <c r="T1954" s="4">
        <v>0</v>
      </c>
      <c r="W1954" s="5" t="s">
        <v>67</v>
      </c>
      <c r="X1954" s="5" t="s">
        <v>67</v>
      </c>
      <c r="Y1954" s="4">
        <v>20</v>
      </c>
      <c r="Z1954" s="4">
        <v>10</v>
      </c>
      <c r="AA1954" s="4">
        <v>50</v>
      </c>
      <c r="AB1954" s="4">
        <v>2</v>
      </c>
      <c r="AC1954" s="4">
        <v>15</v>
      </c>
      <c r="AD1954" s="4">
        <v>14</v>
      </c>
      <c r="AE1954" s="4">
        <v>41</v>
      </c>
      <c r="AF1954" s="4">
        <v>1</v>
      </c>
      <c r="AG1954" s="4">
        <v>8</v>
      </c>
      <c r="AH1954" s="4">
        <v>11</v>
      </c>
      <c r="AI1954" s="4">
        <v>18</v>
      </c>
      <c r="AJ1954" s="4">
        <v>7</v>
      </c>
      <c r="AK1954" s="4">
        <v>18</v>
      </c>
      <c r="AL1954" s="4">
        <v>7</v>
      </c>
      <c r="AM1954" s="4">
        <v>7</v>
      </c>
      <c r="AN1954" s="4">
        <v>0</v>
      </c>
      <c r="AO1954" s="4">
        <v>0</v>
      </c>
      <c r="AP1954" s="4">
        <v>7</v>
      </c>
      <c r="AQ1954" s="4">
        <v>31</v>
      </c>
      <c r="AR1954" s="3" t="s">
        <v>61</v>
      </c>
      <c r="AS1954" s="3" t="s">
        <v>62</v>
      </c>
      <c r="AT1954" s="3" t="s">
        <v>62</v>
      </c>
      <c r="AV1954" s="6" t="str">
        <f>HYPERLINK("http://mcgill.on.worldcat.org/oclc/868228637","Catalog Record")</f>
        <v>Catalog Record</v>
      </c>
      <c r="AW1954" s="6" t="str">
        <f>HYPERLINK("http://www.worldcat.org/oclc/868228637","WorldCat Record")</f>
        <v>WorldCat Record</v>
      </c>
      <c r="AX1954" s="3" t="s">
        <v>18882</v>
      </c>
      <c r="AY1954" s="3" t="s">
        <v>18883</v>
      </c>
      <c r="AZ1954" s="3" t="s">
        <v>18884</v>
      </c>
      <c r="BA1954" s="3" t="s">
        <v>18884</v>
      </c>
      <c r="BB1954" s="3" t="s">
        <v>18885</v>
      </c>
      <c r="BC1954" s="3" t="s">
        <v>142</v>
      </c>
      <c r="BD1954" s="3" t="s">
        <v>68</v>
      </c>
      <c r="BE1954" s="3" t="s">
        <v>18886</v>
      </c>
      <c r="BF1954" s="3" t="s">
        <v>18885</v>
      </c>
      <c r="BG1954" s="3" t="s">
        <v>18887</v>
      </c>
    </row>
    <row r="1955" spans="1:59" ht="71.25" x14ac:dyDescent="0.45">
      <c r="A1955" s="2" t="s">
        <v>59</v>
      </c>
      <c r="B1955" s="2" t="s">
        <v>60</v>
      </c>
      <c r="C1955" s="2" t="s">
        <v>18888</v>
      </c>
      <c r="D1955" s="2" t="s">
        <v>18889</v>
      </c>
      <c r="E1955" s="2" t="s">
        <v>18890</v>
      </c>
      <c r="G1955" s="3" t="s">
        <v>62</v>
      </c>
      <c r="I1955" s="3" t="s">
        <v>62</v>
      </c>
      <c r="J1955" s="3" t="s">
        <v>62</v>
      </c>
      <c r="K1955" s="3" t="s">
        <v>63</v>
      </c>
      <c r="M1955" s="2" t="s">
        <v>13812</v>
      </c>
      <c r="N1955" s="3" t="s">
        <v>542</v>
      </c>
      <c r="P1955" s="3" t="s">
        <v>65</v>
      </c>
      <c r="Q1955" s="2" t="s">
        <v>18891</v>
      </c>
      <c r="R1955" s="3" t="s">
        <v>66</v>
      </c>
      <c r="S1955" s="4">
        <v>21</v>
      </c>
      <c r="T1955" s="4">
        <v>21</v>
      </c>
      <c r="U1955" s="5" t="s">
        <v>18892</v>
      </c>
      <c r="V1955" s="5" t="s">
        <v>18892</v>
      </c>
      <c r="W1955" s="5" t="s">
        <v>67</v>
      </c>
      <c r="X1955" s="5" t="s">
        <v>67</v>
      </c>
      <c r="Y1955" s="4">
        <v>235</v>
      </c>
      <c r="Z1955" s="4">
        <v>13</v>
      </c>
      <c r="AA1955" s="4">
        <v>61</v>
      </c>
      <c r="AB1955" s="4">
        <v>3</v>
      </c>
      <c r="AC1955" s="4">
        <v>18</v>
      </c>
      <c r="AD1955" s="4">
        <v>80</v>
      </c>
      <c r="AE1955" s="4">
        <v>120</v>
      </c>
      <c r="AF1955" s="4">
        <v>1</v>
      </c>
      <c r="AG1955" s="4">
        <v>8</v>
      </c>
      <c r="AH1955" s="4">
        <v>73</v>
      </c>
      <c r="AI1955" s="4">
        <v>81</v>
      </c>
      <c r="AJ1955" s="4">
        <v>9</v>
      </c>
      <c r="AK1955" s="4">
        <v>23</v>
      </c>
      <c r="AL1955" s="4">
        <v>41</v>
      </c>
      <c r="AM1955" s="4">
        <v>41</v>
      </c>
      <c r="AN1955" s="4">
        <v>0</v>
      </c>
      <c r="AO1955" s="4">
        <v>0</v>
      </c>
      <c r="AP1955" s="4">
        <v>10</v>
      </c>
      <c r="AQ1955" s="4">
        <v>47</v>
      </c>
      <c r="AR1955" s="3" t="s">
        <v>62</v>
      </c>
      <c r="AS1955" s="3" t="s">
        <v>62</v>
      </c>
      <c r="AT1955" s="3" t="s">
        <v>62</v>
      </c>
      <c r="AV1955" s="6" t="str">
        <f>HYPERLINK("http://mcgill.on.worldcat.org/oclc/45890390","Catalog Record")</f>
        <v>Catalog Record</v>
      </c>
      <c r="AW1955" s="6" t="str">
        <f>HYPERLINK("http://www.worldcat.org/oclc/45890390","WorldCat Record")</f>
        <v>WorldCat Record</v>
      </c>
      <c r="AX1955" s="3" t="s">
        <v>18893</v>
      </c>
      <c r="AY1955" s="3" t="s">
        <v>18894</v>
      </c>
      <c r="AZ1955" s="3" t="s">
        <v>18895</v>
      </c>
      <c r="BA1955" s="3" t="s">
        <v>18895</v>
      </c>
      <c r="BB1955" s="3" t="s">
        <v>18896</v>
      </c>
      <c r="BC1955" s="3" t="s">
        <v>142</v>
      </c>
      <c r="BD1955" s="3" t="s">
        <v>68</v>
      </c>
      <c r="BE1955" s="3" t="s">
        <v>18897</v>
      </c>
      <c r="BF1955" s="3" t="s">
        <v>18896</v>
      </c>
      <c r="BG1955" s="3" t="s">
        <v>18898</v>
      </c>
    </row>
    <row r="1956" spans="1:59" ht="71.25" x14ac:dyDescent="0.45">
      <c r="A1956" s="2" t="s">
        <v>59</v>
      </c>
      <c r="B1956" s="2" t="s">
        <v>60</v>
      </c>
      <c r="C1956" s="2" t="s">
        <v>18899</v>
      </c>
      <c r="D1956" s="2" t="s">
        <v>18900</v>
      </c>
      <c r="E1956" s="2" t="s">
        <v>18901</v>
      </c>
      <c r="G1956" s="3" t="s">
        <v>62</v>
      </c>
      <c r="I1956" s="3" t="s">
        <v>62</v>
      </c>
      <c r="J1956" s="3" t="s">
        <v>62</v>
      </c>
      <c r="K1956" s="3" t="s">
        <v>63</v>
      </c>
      <c r="M1956" s="2" t="s">
        <v>16837</v>
      </c>
      <c r="N1956" s="3" t="s">
        <v>1155</v>
      </c>
      <c r="P1956" s="3" t="s">
        <v>65</v>
      </c>
      <c r="Q1956" s="2" t="s">
        <v>18902</v>
      </c>
      <c r="R1956" s="3" t="s">
        <v>66</v>
      </c>
      <c r="S1956" s="4">
        <v>4</v>
      </c>
      <c r="T1956" s="4">
        <v>4</v>
      </c>
      <c r="U1956" s="5" t="s">
        <v>2226</v>
      </c>
      <c r="V1956" s="5" t="s">
        <v>2226</v>
      </c>
      <c r="W1956" s="5" t="s">
        <v>67</v>
      </c>
      <c r="X1956" s="5" t="s">
        <v>67</v>
      </c>
      <c r="Y1956" s="4">
        <v>164</v>
      </c>
      <c r="Z1956" s="4">
        <v>12</v>
      </c>
      <c r="AA1956" s="4">
        <v>15</v>
      </c>
      <c r="AB1956" s="4">
        <v>2</v>
      </c>
      <c r="AC1956" s="4">
        <v>5</v>
      </c>
      <c r="AD1956" s="4">
        <v>60</v>
      </c>
      <c r="AE1956" s="4">
        <v>63</v>
      </c>
      <c r="AF1956" s="4">
        <v>1</v>
      </c>
      <c r="AG1956" s="4">
        <v>4</v>
      </c>
      <c r="AH1956" s="4">
        <v>55</v>
      </c>
      <c r="AI1956" s="4">
        <v>56</v>
      </c>
      <c r="AJ1956" s="4">
        <v>10</v>
      </c>
      <c r="AK1956" s="4">
        <v>13</v>
      </c>
      <c r="AL1956" s="4">
        <v>31</v>
      </c>
      <c r="AM1956" s="4">
        <v>31</v>
      </c>
      <c r="AN1956" s="4">
        <v>0</v>
      </c>
      <c r="AO1956" s="4">
        <v>0</v>
      </c>
      <c r="AP1956" s="4">
        <v>11</v>
      </c>
      <c r="AQ1956" s="4">
        <v>14</v>
      </c>
      <c r="AR1956" s="3" t="s">
        <v>62</v>
      </c>
      <c r="AS1956" s="3" t="s">
        <v>62</v>
      </c>
      <c r="AT1956" s="3" t="s">
        <v>62</v>
      </c>
      <c r="AV1956" s="6" t="str">
        <f>HYPERLINK("http://mcgill.on.worldcat.org/oclc/755080593","Catalog Record")</f>
        <v>Catalog Record</v>
      </c>
      <c r="AW1956" s="6" t="str">
        <f>HYPERLINK("http://www.worldcat.org/oclc/755080593","WorldCat Record")</f>
        <v>WorldCat Record</v>
      </c>
      <c r="AX1956" s="3" t="s">
        <v>18903</v>
      </c>
      <c r="AY1956" s="3" t="s">
        <v>18904</v>
      </c>
      <c r="AZ1956" s="3" t="s">
        <v>18905</v>
      </c>
      <c r="BA1956" s="3" t="s">
        <v>18905</v>
      </c>
      <c r="BB1956" s="3" t="s">
        <v>18906</v>
      </c>
      <c r="BC1956" s="3" t="s">
        <v>142</v>
      </c>
      <c r="BD1956" s="3" t="s">
        <v>68</v>
      </c>
      <c r="BE1956" s="3" t="s">
        <v>18907</v>
      </c>
      <c r="BF1956" s="3" t="s">
        <v>18906</v>
      </c>
      <c r="BG1956" s="3" t="s">
        <v>18908</v>
      </c>
    </row>
    <row r="1957" spans="1:59" ht="57" x14ac:dyDescent="0.45">
      <c r="A1957" s="2" t="s">
        <v>59</v>
      </c>
      <c r="B1957" s="2" t="s">
        <v>60</v>
      </c>
      <c r="C1957" s="2" t="s">
        <v>18909</v>
      </c>
      <c r="D1957" s="2" t="s">
        <v>18910</v>
      </c>
      <c r="E1957" s="2" t="s">
        <v>18911</v>
      </c>
      <c r="G1957" s="3" t="s">
        <v>62</v>
      </c>
      <c r="I1957" s="3" t="s">
        <v>62</v>
      </c>
      <c r="J1957" s="3" t="s">
        <v>62</v>
      </c>
      <c r="K1957" s="3" t="s">
        <v>63</v>
      </c>
      <c r="M1957" s="2" t="s">
        <v>18912</v>
      </c>
      <c r="N1957" s="3" t="s">
        <v>5180</v>
      </c>
      <c r="P1957" s="3" t="s">
        <v>65</v>
      </c>
      <c r="Q1957" s="2" t="s">
        <v>18913</v>
      </c>
      <c r="R1957" s="3" t="s">
        <v>66</v>
      </c>
      <c r="S1957" s="4">
        <v>0</v>
      </c>
      <c r="T1957" s="4">
        <v>0</v>
      </c>
      <c r="W1957" s="5" t="s">
        <v>67</v>
      </c>
      <c r="X1957" s="5" t="s">
        <v>67</v>
      </c>
      <c r="Y1957" s="4">
        <v>35</v>
      </c>
      <c r="Z1957" s="4">
        <v>4</v>
      </c>
      <c r="AA1957" s="4">
        <v>12</v>
      </c>
      <c r="AB1957" s="4">
        <v>2</v>
      </c>
      <c r="AC1957" s="4">
        <v>5</v>
      </c>
      <c r="AD1957" s="4">
        <v>16</v>
      </c>
      <c r="AE1957" s="4">
        <v>32</v>
      </c>
      <c r="AF1957" s="4">
        <v>1</v>
      </c>
      <c r="AG1957" s="4">
        <v>1</v>
      </c>
      <c r="AH1957" s="4">
        <v>14</v>
      </c>
      <c r="AI1957" s="4">
        <v>29</v>
      </c>
      <c r="AJ1957" s="4">
        <v>3</v>
      </c>
      <c r="AK1957" s="4">
        <v>8</v>
      </c>
      <c r="AL1957" s="4">
        <v>11</v>
      </c>
      <c r="AM1957" s="4">
        <v>17</v>
      </c>
      <c r="AN1957" s="4">
        <v>0</v>
      </c>
      <c r="AO1957" s="4">
        <v>0</v>
      </c>
      <c r="AP1957" s="4">
        <v>3</v>
      </c>
      <c r="AQ1957" s="4">
        <v>8</v>
      </c>
      <c r="AR1957" s="3" t="s">
        <v>62</v>
      </c>
      <c r="AS1957" s="3" t="s">
        <v>62</v>
      </c>
      <c r="AT1957" s="3" t="s">
        <v>62</v>
      </c>
      <c r="AV1957" s="6" t="str">
        <f>HYPERLINK("http://mcgill.on.worldcat.org/oclc/1031414956","Catalog Record")</f>
        <v>Catalog Record</v>
      </c>
      <c r="AW1957" s="6" t="str">
        <f>HYPERLINK("http://www.worldcat.org/oclc/1031414956","WorldCat Record")</f>
        <v>WorldCat Record</v>
      </c>
      <c r="AX1957" s="3" t="s">
        <v>18914</v>
      </c>
      <c r="AY1957" s="3" t="s">
        <v>18915</v>
      </c>
      <c r="AZ1957" s="3" t="s">
        <v>18916</v>
      </c>
      <c r="BA1957" s="3" t="s">
        <v>18916</v>
      </c>
      <c r="BB1957" s="3" t="s">
        <v>18917</v>
      </c>
      <c r="BC1957" s="3" t="s">
        <v>142</v>
      </c>
      <c r="BD1957" s="3" t="s">
        <v>68</v>
      </c>
      <c r="BE1957" s="3" t="s">
        <v>18918</v>
      </c>
      <c r="BF1957" s="3" t="s">
        <v>18917</v>
      </c>
      <c r="BG1957" s="3" t="s">
        <v>18919</v>
      </c>
    </row>
    <row r="1958" spans="1:59" ht="57" x14ac:dyDescent="0.45">
      <c r="A1958" s="2" t="s">
        <v>59</v>
      </c>
      <c r="B1958" s="2" t="s">
        <v>60</v>
      </c>
      <c r="C1958" s="2" t="s">
        <v>18920</v>
      </c>
      <c r="D1958" s="2" t="s">
        <v>18921</v>
      </c>
      <c r="E1958" s="2" t="s">
        <v>18922</v>
      </c>
      <c r="G1958" s="3" t="s">
        <v>62</v>
      </c>
      <c r="I1958" s="3" t="s">
        <v>62</v>
      </c>
      <c r="J1958" s="3" t="s">
        <v>62</v>
      </c>
      <c r="K1958" s="3" t="s">
        <v>63</v>
      </c>
      <c r="M1958" s="2" t="s">
        <v>18923</v>
      </c>
      <c r="N1958" s="3" t="s">
        <v>894</v>
      </c>
      <c r="P1958" s="3" t="s">
        <v>65</v>
      </c>
      <c r="Q1958" s="2" t="s">
        <v>18924</v>
      </c>
      <c r="R1958" s="3" t="s">
        <v>66</v>
      </c>
      <c r="S1958" s="4">
        <v>1</v>
      </c>
      <c r="T1958" s="4">
        <v>1</v>
      </c>
      <c r="U1958" s="5" t="s">
        <v>3623</v>
      </c>
      <c r="V1958" s="5" t="s">
        <v>3623</v>
      </c>
      <c r="W1958" s="5" t="s">
        <v>67</v>
      </c>
      <c r="X1958" s="5" t="s">
        <v>67</v>
      </c>
      <c r="Y1958" s="4">
        <v>91</v>
      </c>
      <c r="Z1958" s="4">
        <v>16</v>
      </c>
      <c r="AA1958" s="4">
        <v>99</v>
      </c>
      <c r="AB1958" s="4">
        <v>1</v>
      </c>
      <c r="AC1958" s="4">
        <v>18</v>
      </c>
      <c r="AD1958" s="4">
        <v>50</v>
      </c>
      <c r="AE1958" s="4">
        <v>119</v>
      </c>
      <c r="AF1958" s="4">
        <v>0</v>
      </c>
      <c r="AG1958" s="4">
        <v>8</v>
      </c>
      <c r="AH1958" s="4">
        <v>46</v>
      </c>
      <c r="AI1958" s="4">
        <v>83</v>
      </c>
      <c r="AJ1958" s="4">
        <v>13</v>
      </c>
      <c r="AK1958" s="4">
        <v>23</v>
      </c>
      <c r="AL1958" s="4">
        <v>23</v>
      </c>
      <c r="AM1958" s="4">
        <v>43</v>
      </c>
      <c r="AN1958" s="4">
        <v>0</v>
      </c>
      <c r="AO1958" s="4">
        <v>0</v>
      </c>
      <c r="AP1958" s="4">
        <v>13</v>
      </c>
      <c r="AQ1958" s="4">
        <v>44</v>
      </c>
      <c r="AR1958" s="3" t="s">
        <v>62</v>
      </c>
      <c r="AS1958" s="3" t="s">
        <v>62</v>
      </c>
      <c r="AT1958" s="3" t="s">
        <v>62</v>
      </c>
      <c r="AV1958" s="6" t="str">
        <f>HYPERLINK("http://mcgill.on.worldcat.org/oclc/648480748","Catalog Record")</f>
        <v>Catalog Record</v>
      </c>
      <c r="AW1958" s="6" t="str">
        <f>HYPERLINK("http://www.worldcat.org/oclc/648480748","WorldCat Record")</f>
        <v>WorldCat Record</v>
      </c>
      <c r="AX1958" s="3" t="s">
        <v>18925</v>
      </c>
      <c r="AY1958" s="3" t="s">
        <v>18926</v>
      </c>
      <c r="AZ1958" s="3" t="s">
        <v>18927</v>
      </c>
      <c r="BA1958" s="3" t="s">
        <v>18927</v>
      </c>
      <c r="BB1958" s="3" t="s">
        <v>18928</v>
      </c>
      <c r="BC1958" s="3" t="s">
        <v>142</v>
      </c>
      <c r="BD1958" s="3" t="s">
        <v>68</v>
      </c>
      <c r="BE1958" s="3" t="s">
        <v>18929</v>
      </c>
      <c r="BF1958" s="3" t="s">
        <v>18928</v>
      </c>
      <c r="BG1958" s="3" t="s">
        <v>18930</v>
      </c>
    </row>
    <row r="1959" spans="1:59" ht="71.25" x14ac:dyDescent="0.45">
      <c r="A1959" s="2" t="s">
        <v>59</v>
      </c>
      <c r="B1959" s="2" t="s">
        <v>60</v>
      </c>
      <c r="C1959" s="2" t="s">
        <v>18931</v>
      </c>
      <c r="D1959" s="2" t="s">
        <v>18932</v>
      </c>
      <c r="E1959" s="2" t="s">
        <v>18933</v>
      </c>
      <c r="G1959" s="3" t="s">
        <v>62</v>
      </c>
      <c r="I1959" s="3" t="s">
        <v>62</v>
      </c>
      <c r="J1959" s="3" t="s">
        <v>62</v>
      </c>
      <c r="K1959" s="3" t="s">
        <v>63</v>
      </c>
      <c r="L1959" s="2" t="s">
        <v>18934</v>
      </c>
      <c r="M1959" s="2" t="s">
        <v>18935</v>
      </c>
      <c r="N1959" s="3" t="s">
        <v>116</v>
      </c>
      <c r="P1959" s="3" t="s">
        <v>65</v>
      </c>
      <c r="Q1959" s="2" t="s">
        <v>18936</v>
      </c>
      <c r="R1959" s="3" t="s">
        <v>66</v>
      </c>
      <c r="S1959" s="4">
        <v>1</v>
      </c>
      <c r="T1959" s="4">
        <v>1</v>
      </c>
      <c r="U1959" s="5" t="s">
        <v>18937</v>
      </c>
      <c r="V1959" s="5" t="s">
        <v>18937</v>
      </c>
      <c r="W1959" s="5" t="s">
        <v>67</v>
      </c>
      <c r="X1959" s="5" t="s">
        <v>67</v>
      </c>
      <c r="Y1959" s="4">
        <v>194</v>
      </c>
      <c r="Z1959" s="4">
        <v>19</v>
      </c>
      <c r="AA1959" s="4">
        <v>23</v>
      </c>
      <c r="AB1959" s="4">
        <v>2</v>
      </c>
      <c r="AC1959" s="4">
        <v>4</v>
      </c>
      <c r="AD1959" s="4">
        <v>86</v>
      </c>
      <c r="AE1959" s="4">
        <v>91</v>
      </c>
      <c r="AF1959" s="4">
        <v>1</v>
      </c>
      <c r="AG1959" s="4">
        <v>2</v>
      </c>
      <c r="AH1959" s="4">
        <v>80</v>
      </c>
      <c r="AI1959" s="4">
        <v>83</v>
      </c>
      <c r="AJ1959" s="4">
        <v>12</v>
      </c>
      <c r="AK1959" s="4">
        <v>14</v>
      </c>
      <c r="AL1959" s="4">
        <v>44</v>
      </c>
      <c r="AM1959" s="4">
        <v>45</v>
      </c>
      <c r="AN1959" s="4">
        <v>0</v>
      </c>
      <c r="AO1959" s="4">
        <v>0</v>
      </c>
      <c r="AP1959" s="4">
        <v>15</v>
      </c>
      <c r="AQ1959" s="4">
        <v>17</v>
      </c>
      <c r="AR1959" s="3" t="s">
        <v>62</v>
      </c>
      <c r="AS1959" s="3" t="s">
        <v>62</v>
      </c>
      <c r="AT1959" s="3" t="s">
        <v>62</v>
      </c>
      <c r="AV1959" s="6" t="str">
        <f>HYPERLINK("http://mcgill.on.worldcat.org/oclc/828190094","Catalog Record")</f>
        <v>Catalog Record</v>
      </c>
      <c r="AW1959" s="6" t="str">
        <f>HYPERLINK("http://www.worldcat.org/oclc/828190094","WorldCat Record")</f>
        <v>WorldCat Record</v>
      </c>
      <c r="AX1959" s="3" t="s">
        <v>18938</v>
      </c>
      <c r="AY1959" s="3" t="s">
        <v>18939</v>
      </c>
      <c r="AZ1959" s="3" t="s">
        <v>18940</v>
      </c>
      <c r="BA1959" s="3" t="s">
        <v>18940</v>
      </c>
      <c r="BB1959" s="3" t="s">
        <v>18941</v>
      </c>
      <c r="BC1959" s="3" t="s">
        <v>142</v>
      </c>
      <c r="BD1959" s="3" t="s">
        <v>68</v>
      </c>
      <c r="BE1959" s="3" t="s">
        <v>18942</v>
      </c>
      <c r="BF1959" s="3" t="s">
        <v>18941</v>
      </c>
      <c r="BG1959" s="3" t="s">
        <v>18943</v>
      </c>
    </row>
    <row r="1960" spans="1:59" ht="57" x14ac:dyDescent="0.45">
      <c r="A1960" s="2" t="s">
        <v>59</v>
      </c>
      <c r="B1960" s="2" t="s">
        <v>60</v>
      </c>
      <c r="C1960" s="2" t="s">
        <v>18944</v>
      </c>
      <c r="D1960" s="2" t="s">
        <v>18945</v>
      </c>
      <c r="E1960" s="2" t="s">
        <v>18946</v>
      </c>
      <c r="G1960" s="3" t="s">
        <v>62</v>
      </c>
      <c r="I1960" s="3" t="s">
        <v>62</v>
      </c>
      <c r="J1960" s="3" t="s">
        <v>62</v>
      </c>
      <c r="K1960" s="3" t="s">
        <v>63</v>
      </c>
      <c r="M1960" s="2" t="s">
        <v>18947</v>
      </c>
      <c r="N1960" s="3" t="s">
        <v>1155</v>
      </c>
      <c r="P1960" s="3" t="s">
        <v>65</v>
      </c>
      <c r="R1960" s="3" t="s">
        <v>66</v>
      </c>
      <c r="S1960" s="4">
        <v>0</v>
      </c>
      <c r="T1960" s="4">
        <v>0</v>
      </c>
      <c r="W1960" s="5" t="s">
        <v>67</v>
      </c>
      <c r="X1960" s="5" t="s">
        <v>67</v>
      </c>
      <c r="Y1960" s="4">
        <v>523</v>
      </c>
      <c r="Z1960" s="4">
        <v>27</v>
      </c>
      <c r="AA1960" s="4">
        <v>32</v>
      </c>
      <c r="AB1960" s="4">
        <v>2</v>
      </c>
      <c r="AC1960" s="4">
        <v>5</v>
      </c>
      <c r="AD1960" s="4">
        <v>93</v>
      </c>
      <c r="AE1960" s="4">
        <v>100</v>
      </c>
      <c r="AF1960" s="4">
        <v>1</v>
      </c>
      <c r="AG1960" s="4">
        <v>2</v>
      </c>
      <c r="AH1960" s="4">
        <v>83</v>
      </c>
      <c r="AI1960" s="4">
        <v>88</v>
      </c>
      <c r="AJ1960" s="4">
        <v>15</v>
      </c>
      <c r="AK1960" s="4">
        <v>17</v>
      </c>
      <c r="AL1960" s="4">
        <v>40</v>
      </c>
      <c r="AM1960" s="4">
        <v>43</v>
      </c>
      <c r="AN1960" s="4">
        <v>0</v>
      </c>
      <c r="AO1960" s="4">
        <v>0</v>
      </c>
      <c r="AP1960" s="4">
        <v>21</v>
      </c>
      <c r="AQ1960" s="4">
        <v>23</v>
      </c>
      <c r="AR1960" s="3" t="s">
        <v>62</v>
      </c>
      <c r="AS1960" s="3" t="s">
        <v>62</v>
      </c>
      <c r="AT1960" s="3" t="s">
        <v>62</v>
      </c>
      <c r="AV1960" s="6" t="str">
        <f>HYPERLINK("http://mcgill.on.worldcat.org/oclc/758973680","Catalog Record")</f>
        <v>Catalog Record</v>
      </c>
      <c r="AW1960" s="6" t="str">
        <f>HYPERLINK("http://www.worldcat.org/oclc/758973680","WorldCat Record")</f>
        <v>WorldCat Record</v>
      </c>
      <c r="AX1960" s="3" t="s">
        <v>18948</v>
      </c>
      <c r="AY1960" s="3" t="s">
        <v>18949</v>
      </c>
      <c r="AZ1960" s="3" t="s">
        <v>18950</v>
      </c>
      <c r="BA1960" s="3" t="s">
        <v>18950</v>
      </c>
      <c r="BB1960" s="3" t="s">
        <v>18951</v>
      </c>
      <c r="BC1960" s="3" t="s">
        <v>142</v>
      </c>
      <c r="BD1960" s="3" t="s">
        <v>68</v>
      </c>
      <c r="BE1960" s="3" t="s">
        <v>18952</v>
      </c>
      <c r="BF1960" s="3" t="s">
        <v>18951</v>
      </c>
      <c r="BG1960" s="3" t="s">
        <v>18953</v>
      </c>
    </row>
    <row r="1961" spans="1:59" ht="71.25" x14ac:dyDescent="0.45">
      <c r="A1961" s="2" t="s">
        <v>59</v>
      </c>
      <c r="B1961" s="2" t="s">
        <v>60</v>
      </c>
      <c r="C1961" s="2" t="s">
        <v>18954</v>
      </c>
      <c r="D1961" s="2" t="s">
        <v>18955</v>
      </c>
      <c r="E1961" s="2" t="s">
        <v>18956</v>
      </c>
      <c r="G1961" s="3" t="s">
        <v>62</v>
      </c>
      <c r="I1961" s="3" t="s">
        <v>62</v>
      </c>
      <c r="J1961" s="3" t="s">
        <v>62</v>
      </c>
      <c r="K1961" s="3" t="s">
        <v>63</v>
      </c>
      <c r="L1961" s="2" t="s">
        <v>18957</v>
      </c>
      <c r="M1961" s="2" t="s">
        <v>18958</v>
      </c>
      <c r="N1961" s="3" t="s">
        <v>1918</v>
      </c>
      <c r="P1961" s="3" t="s">
        <v>65</v>
      </c>
      <c r="R1961" s="3" t="s">
        <v>66</v>
      </c>
      <c r="S1961" s="4">
        <v>1</v>
      </c>
      <c r="T1961" s="4">
        <v>1</v>
      </c>
      <c r="W1961" s="5" t="s">
        <v>67</v>
      </c>
      <c r="X1961" s="5" t="s">
        <v>67</v>
      </c>
      <c r="Y1961" s="4">
        <v>108</v>
      </c>
      <c r="Z1961" s="4">
        <v>47</v>
      </c>
      <c r="AA1961" s="4">
        <v>72</v>
      </c>
      <c r="AB1961" s="4">
        <v>4</v>
      </c>
      <c r="AC1961" s="4">
        <v>14</v>
      </c>
      <c r="AD1961" s="4">
        <v>58</v>
      </c>
      <c r="AE1961" s="4">
        <v>80</v>
      </c>
      <c r="AF1961" s="4">
        <v>1</v>
      </c>
      <c r="AG1961" s="4">
        <v>8</v>
      </c>
      <c r="AH1961" s="4">
        <v>41</v>
      </c>
      <c r="AI1961" s="4">
        <v>50</v>
      </c>
      <c r="AJ1961" s="4">
        <v>15</v>
      </c>
      <c r="AK1961" s="4">
        <v>25</v>
      </c>
      <c r="AL1961" s="4">
        <v>25</v>
      </c>
      <c r="AM1961" s="4">
        <v>29</v>
      </c>
      <c r="AN1961" s="4">
        <v>0</v>
      </c>
      <c r="AO1961" s="4">
        <v>0</v>
      </c>
      <c r="AP1961" s="4">
        <v>22</v>
      </c>
      <c r="AQ1961" s="4">
        <v>38</v>
      </c>
      <c r="AR1961" s="3" t="s">
        <v>61</v>
      </c>
      <c r="AS1961" s="3" t="s">
        <v>62</v>
      </c>
      <c r="AT1961" s="3" t="s">
        <v>62</v>
      </c>
      <c r="AV1961" s="6" t="str">
        <f>HYPERLINK("http://mcgill.on.worldcat.org/oclc/985071678","Catalog Record")</f>
        <v>Catalog Record</v>
      </c>
      <c r="AW1961" s="6" t="str">
        <f>HYPERLINK("http://www.worldcat.org/oclc/985071678","WorldCat Record")</f>
        <v>WorldCat Record</v>
      </c>
      <c r="AX1961" s="3" t="s">
        <v>18959</v>
      </c>
      <c r="AY1961" s="3" t="s">
        <v>18960</v>
      </c>
      <c r="AZ1961" s="3" t="s">
        <v>18961</v>
      </c>
      <c r="BA1961" s="3" t="s">
        <v>18961</v>
      </c>
      <c r="BB1961" s="3" t="s">
        <v>18962</v>
      </c>
      <c r="BC1961" s="3" t="s">
        <v>142</v>
      </c>
      <c r="BD1961" s="3" t="s">
        <v>308</v>
      </c>
      <c r="BE1961" s="3" t="s">
        <v>18963</v>
      </c>
      <c r="BF1961" s="3" t="s">
        <v>18962</v>
      </c>
      <c r="BG1961" s="3" t="s">
        <v>18964</v>
      </c>
    </row>
    <row r="1962" spans="1:59" ht="57" x14ac:dyDescent="0.45">
      <c r="A1962" s="2" t="s">
        <v>59</v>
      </c>
      <c r="B1962" s="2" t="s">
        <v>60</v>
      </c>
      <c r="C1962" s="2" t="s">
        <v>18965</v>
      </c>
      <c r="D1962" s="2" t="s">
        <v>18966</v>
      </c>
      <c r="E1962" s="2" t="s">
        <v>18967</v>
      </c>
      <c r="G1962" s="3" t="s">
        <v>62</v>
      </c>
      <c r="I1962" s="3" t="s">
        <v>62</v>
      </c>
      <c r="J1962" s="3" t="s">
        <v>62</v>
      </c>
      <c r="K1962" s="3" t="s">
        <v>63</v>
      </c>
      <c r="M1962" s="2" t="s">
        <v>18968</v>
      </c>
      <c r="N1962" s="3" t="s">
        <v>149</v>
      </c>
      <c r="P1962" s="3" t="s">
        <v>65</v>
      </c>
      <c r="R1962" s="3" t="s">
        <v>66</v>
      </c>
      <c r="S1962" s="4">
        <v>10</v>
      </c>
      <c r="T1962" s="4">
        <v>10</v>
      </c>
      <c r="U1962" s="5" t="s">
        <v>16538</v>
      </c>
      <c r="V1962" s="5" t="s">
        <v>16538</v>
      </c>
      <c r="W1962" s="5" t="s">
        <v>67</v>
      </c>
      <c r="X1962" s="5" t="s">
        <v>67</v>
      </c>
      <c r="Y1962" s="4">
        <v>201</v>
      </c>
      <c r="Z1962" s="4">
        <v>69</v>
      </c>
      <c r="AA1962" s="4">
        <v>131</v>
      </c>
      <c r="AB1962" s="4">
        <v>4</v>
      </c>
      <c r="AC1962" s="4">
        <v>21</v>
      </c>
      <c r="AD1962" s="4">
        <v>92</v>
      </c>
      <c r="AE1962" s="4">
        <v>129</v>
      </c>
      <c r="AF1962" s="4">
        <v>1</v>
      </c>
      <c r="AG1962" s="4">
        <v>8</v>
      </c>
      <c r="AH1962" s="4">
        <v>64</v>
      </c>
      <c r="AI1962" s="4">
        <v>85</v>
      </c>
      <c r="AJ1962" s="4">
        <v>23</v>
      </c>
      <c r="AK1962" s="4">
        <v>28</v>
      </c>
      <c r="AL1962" s="4">
        <v>34</v>
      </c>
      <c r="AM1962" s="4">
        <v>43</v>
      </c>
      <c r="AN1962" s="4">
        <v>0</v>
      </c>
      <c r="AO1962" s="4">
        <v>0</v>
      </c>
      <c r="AP1962" s="4">
        <v>38</v>
      </c>
      <c r="AQ1962" s="4">
        <v>54</v>
      </c>
      <c r="AR1962" s="3" t="s">
        <v>61</v>
      </c>
      <c r="AS1962" s="3" t="s">
        <v>62</v>
      </c>
      <c r="AT1962" s="3" t="s">
        <v>62</v>
      </c>
      <c r="AV1962" s="6" t="str">
        <f>HYPERLINK("http://mcgill.on.worldcat.org/oclc/614855249","Catalog Record")</f>
        <v>Catalog Record</v>
      </c>
      <c r="AW1962" s="6" t="str">
        <f>HYPERLINK("http://www.worldcat.org/oclc/614855249","WorldCat Record")</f>
        <v>WorldCat Record</v>
      </c>
      <c r="AX1962" s="3" t="s">
        <v>18969</v>
      </c>
      <c r="AY1962" s="3" t="s">
        <v>18970</v>
      </c>
      <c r="AZ1962" s="3" t="s">
        <v>18971</v>
      </c>
      <c r="BA1962" s="3" t="s">
        <v>18971</v>
      </c>
      <c r="BB1962" s="3" t="s">
        <v>18972</v>
      </c>
      <c r="BC1962" s="3" t="s">
        <v>142</v>
      </c>
      <c r="BD1962" s="3" t="s">
        <v>68</v>
      </c>
      <c r="BE1962" s="3" t="s">
        <v>18973</v>
      </c>
      <c r="BF1962" s="3" t="s">
        <v>18972</v>
      </c>
      <c r="BG1962" s="3" t="s">
        <v>18974</v>
      </c>
    </row>
    <row r="1963" spans="1:59" ht="57" x14ac:dyDescent="0.45">
      <c r="A1963" s="2" t="s">
        <v>59</v>
      </c>
      <c r="B1963" s="2" t="s">
        <v>60</v>
      </c>
      <c r="C1963" s="2" t="s">
        <v>18975</v>
      </c>
      <c r="D1963" s="2" t="s">
        <v>18976</v>
      </c>
      <c r="E1963" s="2" t="s">
        <v>18977</v>
      </c>
      <c r="G1963" s="3" t="s">
        <v>62</v>
      </c>
      <c r="H1963" s="3" t="s">
        <v>3960</v>
      </c>
      <c r="I1963" s="3" t="s">
        <v>62</v>
      </c>
      <c r="J1963" s="3" t="s">
        <v>62</v>
      </c>
      <c r="K1963" s="3" t="s">
        <v>63</v>
      </c>
      <c r="M1963" s="2" t="s">
        <v>18978</v>
      </c>
      <c r="N1963" s="3" t="s">
        <v>5180</v>
      </c>
      <c r="P1963" s="3" t="s">
        <v>65</v>
      </c>
      <c r="Q1963" s="2" t="s">
        <v>18979</v>
      </c>
      <c r="R1963" s="3" t="s">
        <v>66</v>
      </c>
      <c r="S1963" s="4">
        <v>0</v>
      </c>
      <c r="T1963" s="4">
        <v>0</v>
      </c>
      <c r="W1963" s="5" t="s">
        <v>18980</v>
      </c>
      <c r="X1963" s="5" t="s">
        <v>18980</v>
      </c>
      <c r="Y1963" s="4">
        <v>72</v>
      </c>
      <c r="Z1963" s="4">
        <v>4</v>
      </c>
      <c r="AA1963" s="4">
        <v>4</v>
      </c>
      <c r="AB1963" s="4">
        <v>1</v>
      </c>
      <c r="AC1963" s="4">
        <v>1</v>
      </c>
      <c r="AD1963" s="4">
        <v>32</v>
      </c>
      <c r="AE1963" s="4">
        <v>32</v>
      </c>
      <c r="AF1963" s="4">
        <v>0</v>
      </c>
      <c r="AG1963" s="4">
        <v>0</v>
      </c>
      <c r="AH1963" s="4">
        <v>30</v>
      </c>
      <c r="AI1963" s="4">
        <v>30</v>
      </c>
      <c r="AJ1963" s="4">
        <v>3</v>
      </c>
      <c r="AK1963" s="4">
        <v>3</v>
      </c>
      <c r="AL1963" s="4">
        <v>21</v>
      </c>
      <c r="AM1963" s="4">
        <v>21</v>
      </c>
      <c r="AN1963" s="4">
        <v>0</v>
      </c>
      <c r="AO1963" s="4">
        <v>0</v>
      </c>
      <c r="AP1963" s="4">
        <v>3</v>
      </c>
      <c r="AQ1963" s="4">
        <v>3</v>
      </c>
      <c r="AR1963" s="3" t="s">
        <v>62</v>
      </c>
      <c r="AS1963" s="3" t="s">
        <v>62</v>
      </c>
      <c r="AT1963" s="3" t="s">
        <v>62</v>
      </c>
      <c r="AV1963" s="6" t="str">
        <f>HYPERLINK("http://mcgill.on.worldcat.org/oclc/950745614","Catalog Record")</f>
        <v>Catalog Record</v>
      </c>
      <c r="AW1963" s="6" t="str">
        <f>HYPERLINK("http://www.worldcat.org/oclc/950745614","WorldCat Record")</f>
        <v>WorldCat Record</v>
      </c>
      <c r="AX1963" s="3" t="s">
        <v>18981</v>
      </c>
      <c r="AY1963" s="3" t="s">
        <v>18982</v>
      </c>
      <c r="AZ1963" s="3" t="s">
        <v>18983</v>
      </c>
      <c r="BA1963" s="3" t="s">
        <v>18983</v>
      </c>
      <c r="BB1963" s="3" t="s">
        <v>18984</v>
      </c>
      <c r="BC1963" s="3" t="s">
        <v>142</v>
      </c>
      <c r="BD1963" s="3" t="s">
        <v>68</v>
      </c>
      <c r="BE1963" s="3" t="s">
        <v>18984</v>
      </c>
      <c r="BF1963" s="3" t="s">
        <v>18984</v>
      </c>
      <c r="BG1963" s="3" t="s">
        <v>18985</v>
      </c>
    </row>
    <row r="1964" spans="1:59" ht="57" x14ac:dyDescent="0.45">
      <c r="A1964" s="2" t="s">
        <v>59</v>
      </c>
      <c r="B1964" s="2" t="s">
        <v>60</v>
      </c>
      <c r="C1964" s="2" t="s">
        <v>18986</v>
      </c>
      <c r="D1964" s="2" t="s">
        <v>18987</v>
      </c>
      <c r="E1964" s="2" t="s">
        <v>18988</v>
      </c>
      <c r="G1964" s="3" t="s">
        <v>62</v>
      </c>
      <c r="I1964" s="3" t="s">
        <v>62</v>
      </c>
      <c r="J1964" s="3" t="s">
        <v>62</v>
      </c>
      <c r="K1964" s="3" t="s">
        <v>63</v>
      </c>
      <c r="L1964" s="2" t="s">
        <v>18989</v>
      </c>
      <c r="M1964" s="2" t="s">
        <v>18990</v>
      </c>
      <c r="N1964" s="3" t="s">
        <v>1437</v>
      </c>
      <c r="P1964" s="3" t="s">
        <v>65</v>
      </c>
      <c r="R1964" s="3" t="s">
        <v>66</v>
      </c>
      <c r="S1964" s="4">
        <v>15</v>
      </c>
      <c r="T1964" s="4">
        <v>15</v>
      </c>
      <c r="U1964" s="5" t="s">
        <v>18991</v>
      </c>
      <c r="V1964" s="5" t="s">
        <v>18991</v>
      </c>
      <c r="W1964" s="5" t="s">
        <v>67</v>
      </c>
      <c r="X1964" s="5" t="s">
        <v>67</v>
      </c>
      <c r="Y1964" s="4">
        <v>154</v>
      </c>
      <c r="Z1964" s="4">
        <v>14</v>
      </c>
      <c r="AA1964" s="4">
        <v>14</v>
      </c>
      <c r="AB1964" s="4">
        <v>2</v>
      </c>
      <c r="AC1964" s="4">
        <v>2</v>
      </c>
      <c r="AD1964" s="4">
        <v>48</v>
      </c>
      <c r="AE1964" s="4">
        <v>48</v>
      </c>
      <c r="AF1964" s="4">
        <v>1</v>
      </c>
      <c r="AG1964" s="4">
        <v>1</v>
      </c>
      <c r="AH1964" s="4">
        <v>42</v>
      </c>
      <c r="AI1964" s="4">
        <v>42</v>
      </c>
      <c r="AJ1964" s="4">
        <v>9</v>
      </c>
      <c r="AK1964" s="4">
        <v>9</v>
      </c>
      <c r="AL1964" s="4">
        <v>22</v>
      </c>
      <c r="AM1964" s="4">
        <v>22</v>
      </c>
      <c r="AN1964" s="4">
        <v>0</v>
      </c>
      <c r="AO1964" s="4">
        <v>0</v>
      </c>
      <c r="AP1964" s="4">
        <v>12</v>
      </c>
      <c r="AQ1964" s="4">
        <v>12</v>
      </c>
      <c r="AR1964" s="3" t="s">
        <v>62</v>
      </c>
      <c r="AS1964" s="3" t="s">
        <v>62</v>
      </c>
      <c r="AT1964" s="3" t="s">
        <v>62</v>
      </c>
      <c r="AV1964" s="6" t="str">
        <f>HYPERLINK("http://mcgill.on.worldcat.org/oclc/38820035","Catalog Record")</f>
        <v>Catalog Record</v>
      </c>
      <c r="AW1964" s="6" t="str">
        <f>HYPERLINK("http://www.worldcat.org/oclc/38820035","WorldCat Record")</f>
        <v>WorldCat Record</v>
      </c>
      <c r="AX1964" s="3" t="s">
        <v>18992</v>
      </c>
      <c r="AY1964" s="3" t="s">
        <v>18993</v>
      </c>
      <c r="AZ1964" s="3" t="s">
        <v>18994</v>
      </c>
      <c r="BA1964" s="3" t="s">
        <v>18994</v>
      </c>
      <c r="BB1964" s="3" t="s">
        <v>18995</v>
      </c>
      <c r="BC1964" s="3" t="s">
        <v>142</v>
      </c>
      <c r="BD1964" s="3" t="s">
        <v>68</v>
      </c>
      <c r="BE1964" s="3" t="s">
        <v>18996</v>
      </c>
      <c r="BF1964" s="3" t="s">
        <v>18995</v>
      </c>
      <c r="BG1964" s="3" t="s">
        <v>18997</v>
      </c>
    </row>
    <row r="1965" spans="1:59" ht="71.25" x14ac:dyDescent="0.45">
      <c r="A1965" s="2" t="s">
        <v>59</v>
      </c>
      <c r="B1965" s="2" t="s">
        <v>60</v>
      </c>
      <c r="C1965" s="2" t="s">
        <v>18998</v>
      </c>
      <c r="D1965" s="2" t="s">
        <v>18999</v>
      </c>
      <c r="E1965" s="2" t="s">
        <v>19000</v>
      </c>
      <c r="G1965" s="3" t="s">
        <v>62</v>
      </c>
      <c r="I1965" s="3" t="s">
        <v>62</v>
      </c>
      <c r="J1965" s="3" t="s">
        <v>62</v>
      </c>
      <c r="K1965" s="3" t="s">
        <v>63</v>
      </c>
      <c r="L1965" s="2" t="s">
        <v>19001</v>
      </c>
      <c r="M1965" s="2" t="s">
        <v>19002</v>
      </c>
      <c r="N1965" s="3" t="s">
        <v>918</v>
      </c>
      <c r="P1965" s="3" t="s">
        <v>65</v>
      </c>
      <c r="R1965" s="3" t="s">
        <v>66</v>
      </c>
      <c r="S1965" s="4">
        <v>33</v>
      </c>
      <c r="T1965" s="4">
        <v>33</v>
      </c>
      <c r="U1965" s="5" t="s">
        <v>10693</v>
      </c>
      <c r="V1965" s="5" t="s">
        <v>10693</v>
      </c>
      <c r="W1965" s="5" t="s">
        <v>67</v>
      </c>
      <c r="X1965" s="5" t="s">
        <v>67</v>
      </c>
      <c r="Y1965" s="4">
        <v>352</v>
      </c>
      <c r="Z1965" s="4">
        <v>30</v>
      </c>
      <c r="AA1965" s="4">
        <v>33</v>
      </c>
      <c r="AB1965" s="4">
        <v>1</v>
      </c>
      <c r="AC1965" s="4">
        <v>4</v>
      </c>
      <c r="AD1965" s="4">
        <v>105</v>
      </c>
      <c r="AE1965" s="4">
        <v>111</v>
      </c>
      <c r="AF1965" s="4">
        <v>0</v>
      </c>
      <c r="AG1965" s="4">
        <v>2</v>
      </c>
      <c r="AH1965" s="4">
        <v>88</v>
      </c>
      <c r="AI1965" s="4">
        <v>93</v>
      </c>
      <c r="AJ1965" s="4">
        <v>17</v>
      </c>
      <c r="AK1965" s="4">
        <v>19</v>
      </c>
      <c r="AL1965" s="4">
        <v>45</v>
      </c>
      <c r="AM1965" s="4">
        <v>47</v>
      </c>
      <c r="AN1965" s="4">
        <v>0</v>
      </c>
      <c r="AO1965" s="4">
        <v>0</v>
      </c>
      <c r="AP1965" s="4">
        <v>26</v>
      </c>
      <c r="AQ1965" s="4">
        <v>27</v>
      </c>
      <c r="AR1965" s="3" t="s">
        <v>62</v>
      </c>
      <c r="AS1965" s="3" t="s">
        <v>62</v>
      </c>
      <c r="AT1965" s="3" t="s">
        <v>62</v>
      </c>
      <c r="AV1965" s="6" t="str">
        <f>HYPERLINK("http://mcgill.on.worldcat.org/oclc/52056651","Catalog Record")</f>
        <v>Catalog Record</v>
      </c>
      <c r="AW1965" s="6" t="str">
        <f>HYPERLINK("http://www.worldcat.org/oclc/52056651","WorldCat Record")</f>
        <v>WorldCat Record</v>
      </c>
      <c r="AX1965" s="3" t="s">
        <v>19003</v>
      </c>
      <c r="AY1965" s="3" t="s">
        <v>19004</v>
      </c>
      <c r="AZ1965" s="3" t="s">
        <v>19005</v>
      </c>
      <c r="BA1965" s="3" t="s">
        <v>19005</v>
      </c>
      <c r="BB1965" s="3" t="s">
        <v>19006</v>
      </c>
      <c r="BC1965" s="3" t="s">
        <v>142</v>
      </c>
      <c r="BD1965" s="3" t="s">
        <v>68</v>
      </c>
      <c r="BE1965" s="3" t="s">
        <v>19007</v>
      </c>
      <c r="BF1965" s="3" t="s">
        <v>19006</v>
      </c>
      <c r="BG1965" s="3" t="s">
        <v>19008</v>
      </c>
    </row>
    <row r="1966" spans="1:59" ht="71.25" x14ac:dyDescent="0.45">
      <c r="A1966" s="2" t="s">
        <v>59</v>
      </c>
      <c r="B1966" s="2" t="s">
        <v>60</v>
      </c>
      <c r="C1966" s="2" t="s">
        <v>19009</v>
      </c>
      <c r="D1966" s="2" t="s">
        <v>19010</v>
      </c>
      <c r="E1966" s="2" t="s">
        <v>19011</v>
      </c>
      <c r="G1966" s="3" t="s">
        <v>62</v>
      </c>
      <c r="I1966" s="3" t="s">
        <v>62</v>
      </c>
      <c r="J1966" s="3" t="s">
        <v>62</v>
      </c>
      <c r="K1966" s="3" t="s">
        <v>63</v>
      </c>
      <c r="L1966" s="2" t="s">
        <v>19012</v>
      </c>
      <c r="M1966" s="2" t="s">
        <v>4650</v>
      </c>
      <c r="N1966" s="3" t="s">
        <v>894</v>
      </c>
      <c r="P1966" s="3" t="s">
        <v>65</v>
      </c>
      <c r="R1966" s="3" t="s">
        <v>66</v>
      </c>
      <c r="S1966" s="4">
        <v>5</v>
      </c>
      <c r="T1966" s="4">
        <v>5</v>
      </c>
      <c r="U1966" s="5" t="s">
        <v>1358</v>
      </c>
      <c r="V1966" s="5" t="s">
        <v>1358</v>
      </c>
      <c r="W1966" s="5" t="s">
        <v>67</v>
      </c>
      <c r="X1966" s="5" t="s">
        <v>67</v>
      </c>
      <c r="Y1966" s="4">
        <v>394</v>
      </c>
      <c r="Z1966" s="4">
        <v>28</v>
      </c>
      <c r="AA1966" s="4">
        <v>44</v>
      </c>
      <c r="AB1966" s="4">
        <v>2</v>
      </c>
      <c r="AC1966" s="4">
        <v>5</v>
      </c>
      <c r="AD1966" s="4">
        <v>95</v>
      </c>
      <c r="AE1966" s="4">
        <v>117</v>
      </c>
      <c r="AF1966" s="4">
        <v>1</v>
      </c>
      <c r="AG1966" s="4">
        <v>2</v>
      </c>
      <c r="AH1966" s="4">
        <v>84</v>
      </c>
      <c r="AI1966" s="4">
        <v>98</v>
      </c>
      <c r="AJ1966" s="4">
        <v>16</v>
      </c>
      <c r="AK1966" s="4">
        <v>19</v>
      </c>
      <c r="AL1966" s="4">
        <v>45</v>
      </c>
      <c r="AM1966" s="4">
        <v>52</v>
      </c>
      <c r="AN1966" s="4">
        <v>0</v>
      </c>
      <c r="AO1966" s="4">
        <v>0</v>
      </c>
      <c r="AP1966" s="4">
        <v>21</v>
      </c>
      <c r="AQ1966" s="4">
        <v>29</v>
      </c>
      <c r="AR1966" s="3" t="s">
        <v>62</v>
      </c>
      <c r="AS1966" s="3" t="s">
        <v>62</v>
      </c>
      <c r="AT1966" s="3" t="s">
        <v>62</v>
      </c>
      <c r="AV1966" s="6" t="str">
        <f>HYPERLINK("http://mcgill.on.worldcat.org/oclc/695683623","Catalog Record")</f>
        <v>Catalog Record</v>
      </c>
      <c r="AW1966" s="6" t="str">
        <f>HYPERLINK("http://www.worldcat.org/oclc/695683623","WorldCat Record")</f>
        <v>WorldCat Record</v>
      </c>
      <c r="AX1966" s="3" t="s">
        <v>19013</v>
      </c>
      <c r="AY1966" s="3" t="s">
        <v>19014</v>
      </c>
      <c r="AZ1966" s="3" t="s">
        <v>19015</v>
      </c>
      <c r="BA1966" s="3" t="s">
        <v>19015</v>
      </c>
      <c r="BB1966" s="3" t="s">
        <v>19016</v>
      </c>
      <c r="BC1966" s="3" t="s">
        <v>142</v>
      </c>
      <c r="BD1966" s="3" t="s">
        <v>68</v>
      </c>
      <c r="BE1966" s="3" t="s">
        <v>19017</v>
      </c>
      <c r="BF1966" s="3" t="s">
        <v>19016</v>
      </c>
      <c r="BG1966" s="3" t="s">
        <v>19018</v>
      </c>
    </row>
    <row r="1967" spans="1:59" ht="71.25" x14ac:dyDescent="0.45">
      <c r="A1967" s="2" t="s">
        <v>59</v>
      </c>
      <c r="B1967" s="2" t="s">
        <v>412</v>
      </c>
      <c r="C1967" s="2" t="s">
        <v>19019</v>
      </c>
      <c r="D1967" s="2" t="s">
        <v>19020</v>
      </c>
      <c r="E1967" s="2" t="s">
        <v>19021</v>
      </c>
      <c r="G1967" s="3" t="s">
        <v>62</v>
      </c>
      <c r="I1967" s="3" t="s">
        <v>62</v>
      </c>
      <c r="J1967" s="3" t="s">
        <v>62</v>
      </c>
      <c r="K1967" s="3" t="s">
        <v>63</v>
      </c>
      <c r="M1967" s="2" t="s">
        <v>19022</v>
      </c>
      <c r="N1967" s="3" t="s">
        <v>583</v>
      </c>
      <c r="P1967" s="3" t="s">
        <v>65</v>
      </c>
      <c r="R1967" s="3" t="s">
        <v>66</v>
      </c>
      <c r="S1967" s="4">
        <v>2</v>
      </c>
      <c r="T1967" s="4">
        <v>2</v>
      </c>
      <c r="U1967" s="5" t="s">
        <v>2801</v>
      </c>
      <c r="V1967" s="5" t="s">
        <v>2801</v>
      </c>
      <c r="W1967" s="5" t="s">
        <v>67</v>
      </c>
      <c r="X1967" s="5" t="s">
        <v>67</v>
      </c>
      <c r="Y1967" s="4">
        <v>1</v>
      </c>
      <c r="Z1967" s="4">
        <v>1</v>
      </c>
      <c r="AA1967" s="4">
        <v>1</v>
      </c>
      <c r="AB1967" s="4">
        <v>1</v>
      </c>
      <c r="AC1967" s="4">
        <v>1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3" t="s">
        <v>61</v>
      </c>
      <c r="AS1967" s="3" t="s">
        <v>62</v>
      </c>
      <c r="AT1967" s="3" t="s">
        <v>62</v>
      </c>
      <c r="AV1967" s="6" t="str">
        <f>HYPERLINK("http://mcgill.on.worldcat.org/oclc/428020111","Catalog Record")</f>
        <v>Catalog Record</v>
      </c>
      <c r="AW1967" s="6" t="str">
        <f>HYPERLINK("http://www.worldcat.org/oclc/428020111","WorldCat Record")</f>
        <v>WorldCat Record</v>
      </c>
      <c r="AX1967" s="3" t="s">
        <v>19023</v>
      </c>
      <c r="AY1967" s="3" t="s">
        <v>19024</v>
      </c>
      <c r="AZ1967" s="3" t="s">
        <v>19025</v>
      </c>
      <c r="BA1967" s="3" t="s">
        <v>19025</v>
      </c>
      <c r="BB1967" s="3" t="s">
        <v>19026</v>
      </c>
      <c r="BC1967" s="3" t="s">
        <v>142</v>
      </c>
      <c r="BD1967" s="3" t="s">
        <v>68</v>
      </c>
      <c r="BF1967" s="3" t="s">
        <v>19026</v>
      </c>
      <c r="BG1967" s="3" t="s">
        <v>19027</v>
      </c>
    </row>
    <row r="1968" spans="1:59" ht="57" x14ac:dyDescent="0.45">
      <c r="A1968" s="2" t="s">
        <v>59</v>
      </c>
      <c r="B1968" s="2" t="s">
        <v>60</v>
      </c>
      <c r="C1968" s="2" t="s">
        <v>19028</v>
      </c>
      <c r="D1968" s="2" t="s">
        <v>19029</v>
      </c>
      <c r="E1968" s="2" t="s">
        <v>19030</v>
      </c>
      <c r="G1968" s="3" t="s">
        <v>62</v>
      </c>
      <c r="I1968" s="3" t="s">
        <v>62</v>
      </c>
      <c r="J1968" s="3" t="s">
        <v>62</v>
      </c>
      <c r="K1968" s="3" t="s">
        <v>63</v>
      </c>
      <c r="M1968" s="2" t="s">
        <v>19031</v>
      </c>
      <c r="N1968" s="3" t="s">
        <v>1212</v>
      </c>
      <c r="P1968" s="3" t="s">
        <v>65</v>
      </c>
      <c r="Q1968" s="2" t="s">
        <v>17318</v>
      </c>
      <c r="R1968" s="3" t="s">
        <v>66</v>
      </c>
      <c r="S1968" s="4">
        <v>29</v>
      </c>
      <c r="T1968" s="4">
        <v>29</v>
      </c>
      <c r="U1968" s="5" t="s">
        <v>19032</v>
      </c>
      <c r="V1968" s="5" t="s">
        <v>19032</v>
      </c>
      <c r="W1968" s="5" t="s">
        <v>67</v>
      </c>
      <c r="X1968" s="5" t="s">
        <v>67</v>
      </c>
      <c r="Y1968" s="4">
        <v>471</v>
      </c>
      <c r="Z1968" s="4">
        <v>18</v>
      </c>
      <c r="AA1968" s="4">
        <v>28</v>
      </c>
      <c r="AB1968" s="4">
        <v>3</v>
      </c>
      <c r="AC1968" s="4">
        <v>7</v>
      </c>
      <c r="AD1968" s="4">
        <v>96</v>
      </c>
      <c r="AE1968" s="4">
        <v>104</v>
      </c>
      <c r="AF1968" s="4">
        <v>1</v>
      </c>
      <c r="AG1968" s="4">
        <v>4</v>
      </c>
      <c r="AH1968" s="4">
        <v>88</v>
      </c>
      <c r="AI1968" s="4">
        <v>92</v>
      </c>
      <c r="AJ1968" s="4">
        <v>13</v>
      </c>
      <c r="AK1968" s="4">
        <v>17</v>
      </c>
      <c r="AL1968" s="4">
        <v>45</v>
      </c>
      <c r="AM1968" s="4">
        <v>45</v>
      </c>
      <c r="AN1968" s="4">
        <v>0</v>
      </c>
      <c r="AO1968" s="4">
        <v>0</v>
      </c>
      <c r="AP1968" s="4">
        <v>15</v>
      </c>
      <c r="AQ1968" s="4">
        <v>21</v>
      </c>
      <c r="AR1968" s="3" t="s">
        <v>62</v>
      </c>
      <c r="AS1968" s="3" t="s">
        <v>62</v>
      </c>
      <c r="AT1968" s="3" t="s">
        <v>61</v>
      </c>
      <c r="AU1968" s="6" t="str">
        <f>HYPERLINK("http://catalog.hathitrust.org/Record/004145527","HathiTrust Record")</f>
        <v>HathiTrust Record</v>
      </c>
      <c r="AV1968" s="6" t="str">
        <f>HYPERLINK("http://mcgill.on.worldcat.org/oclc/42842386","Catalog Record")</f>
        <v>Catalog Record</v>
      </c>
      <c r="AW1968" s="6" t="str">
        <f>HYPERLINK("http://www.worldcat.org/oclc/42842386","WorldCat Record")</f>
        <v>WorldCat Record</v>
      </c>
      <c r="AX1968" s="3" t="s">
        <v>19033</v>
      </c>
      <c r="AY1968" s="3" t="s">
        <v>19034</v>
      </c>
      <c r="AZ1968" s="3" t="s">
        <v>19035</v>
      </c>
      <c r="BA1968" s="3" t="s">
        <v>19035</v>
      </c>
      <c r="BB1968" s="3" t="s">
        <v>19036</v>
      </c>
      <c r="BC1968" s="3" t="s">
        <v>142</v>
      </c>
      <c r="BD1968" s="3" t="s">
        <v>68</v>
      </c>
      <c r="BE1968" s="3" t="s">
        <v>19037</v>
      </c>
      <c r="BF1968" s="3" t="s">
        <v>19036</v>
      </c>
      <c r="BG1968" s="3" t="s">
        <v>19038</v>
      </c>
    </row>
    <row r="1969" spans="1:59" ht="57" x14ac:dyDescent="0.45">
      <c r="A1969" s="2" t="s">
        <v>59</v>
      </c>
      <c r="B1969" s="2" t="s">
        <v>60</v>
      </c>
      <c r="C1969" s="2" t="s">
        <v>19039</v>
      </c>
      <c r="D1969" s="2" t="s">
        <v>19040</v>
      </c>
      <c r="E1969" s="2" t="s">
        <v>19041</v>
      </c>
      <c r="G1969" s="3" t="s">
        <v>62</v>
      </c>
      <c r="I1969" s="3" t="s">
        <v>62</v>
      </c>
      <c r="J1969" s="3" t="s">
        <v>62</v>
      </c>
      <c r="K1969" s="3" t="s">
        <v>63</v>
      </c>
      <c r="L1969" s="2" t="s">
        <v>19042</v>
      </c>
      <c r="M1969" s="2" t="s">
        <v>19043</v>
      </c>
      <c r="N1969" s="3" t="s">
        <v>1437</v>
      </c>
      <c r="P1969" s="3" t="s">
        <v>65</v>
      </c>
      <c r="R1969" s="3" t="s">
        <v>66</v>
      </c>
      <c r="S1969" s="4">
        <v>36</v>
      </c>
      <c r="T1969" s="4">
        <v>36</v>
      </c>
      <c r="U1969" s="5" t="s">
        <v>3137</v>
      </c>
      <c r="V1969" s="5" t="s">
        <v>3137</v>
      </c>
      <c r="W1969" s="5" t="s">
        <v>67</v>
      </c>
      <c r="X1969" s="5" t="s">
        <v>67</v>
      </c>
      <c r="Y1969" s="4">
        <v>460</v>
      </c>
      <c r="Z1969" s="4">
        <v>22</v>
      </c>
      <c r="AA1969" s="4">
        <v>22</v>
      </c>
      <c r="AB1969" s="4">
        <v>1</v>
      </c>
      <c r="AC1969" s="4">
        <v>1</v>
      </c>
      <c r="AD1969" s="4">
        <v>107</v>
      </c>
      <c r="AE1969" s="4">
        <v>107</v>
      </c>
      <c r="AF1969" s="4">
        <v>0</v>
      </c>
      <c r="AG1969" s="4">
        <v>0</v>
      </c>
      <c r="AH1969" s="4">
        <v>94</v>
      </c>
      <c r="AI1969" s="4">
        <v>94</v>
      </c>
      <c r="AJ1969" s="4">
        <v>11</v>
      </c>
      <c r="AK1969" s="4">
        <v>11</v>
      </c>
      <c r="AL1969" s="4">
        <v>51</v>
      </c>
      <c r="AM1969" s="4">
        <v>51</v>
      </c>
      <c r="AN1969" s="4">
        <v>0</v>
      </c>
      <c r="AO1969" s="4">
        <v>0</v>
      </c>
      <c r="AP1969" s="4">
        <v>18</v>
      </c>
      <c r="AQ1969" s="4">
        <v>18</v>
      </c>
      <c r="AR1969" s="3" t="s">
        <v>62</v>
      </c>
      <c r="AS1969" s="3" t="s">
        <v>62</v>
      </c>
      <c r="AT1969" s="3" t="s">
        <v>62</v>
      </c>
      <c r="AV1969" s="6" t="str">
        <f>HYPERLINK("http://mcgill.on.worldcat.org/oclc/38566661","Catalog Record")</f>
        <v>Catalog Record</v>
      </c>
      <c r="AW1969" s="6" t="str">
        <f>HYPERLINK("http://www.worldcat.org/oclc/38566661","WorldCat Record")</f>
        <v>WorldCat Record</v>
      </c>
      <c r="AX1969" s="3" t="s">
        <v>19044</v>
      </c>
      <c r="AY1969" s="3" t="s">
        <v>19045</v>
      </c>
      <c r="AZ1969" s="3" t="s">
        <v>19046</v>
      </c>
      <c r="BA1969" s="3" t="s">
        <v>19046</v>
      </c>
      <c r="BB1969" s="3" t="s">
        <v>19047</v>
      </c>
      <c r="BC1969" s="3" t="s">
        <v>142</v>
      </c>
      <c r="BD1969" s="3" t="s">
        <v>68</v>
      </c>
      <c r="BE1969" s="3" t="s">
        <v>19048</v>
      </c>
      <c r="BF1969" s="3" t="s">
        <v>19047</v>
      </c>
      <c r="BG1969" s="3" t="s">
        <v>19049</v>
      </c>
    </row>
    <row r="1970" spans="1:59" ht="71.25" x14ac:dyDescent="0.45">
      <c r="A1970" s="2" t="s">
        <v>59</v>
      </c>
      <c r="B1970" s="2" t="s">
        <v>60</v>
      </c>
      <c r="C1970" s="2" t="s">
        <v>19050</v>
      </c>
      <c r="D1970" s="2" t="s">
        <v>19051</v>
      </c>
      <c r="E1970" s="2" t="s">
        <v>19052</v>
      </c>
      <c r="G1970" s="3" t="s">
        <v>62</v>
      </c>
      <c r="I1970" s="3" t="s">
        <v>62</v>
      </c>
      <c r="J1970" s="3" t="s">
        <v>62</v>
      </c>
      <c r="K1970" s="3" t="s">
        <v>63</v>
      </c>
      <c r="L1970" s="2" t="s">
        <v>19053</v>
      </c>
      <c r="M1970" s="2" t="s">
        <v>19054</v>
      </c>
      <c r="N1970" s="3" t="s">
        <v>894</v>
      </c>
      <c r="P1970" s="3" t="s">
        <v>65</v>
      </c>
      <c r="R1970" s="3" t="s">
        <v>66</v>
      </c>
      <c r="S1970" s="4">
        <v>5</v>
      </c>
      <c r="T1970" s="4">
        <v>5</v>
      </c>
      <c r="U1970" s="5" t="s">
        <v>19032</v>
      </c>
      <c r="V1970" s="5" t="s">
        <v>19032</v>
      </c>
      <c r="W1970" s="5" t="s">
        <v>67</v>
      </c>
      <c r="X1970" s="5" t="s">
        <v>67</v>
      </c>
      <c r="Y1970" s="4">
        <v>227</v>
      </c>
      <c r="Z1970" s="4">
        <v>24</v>
      </c>
      <c r="AA1970" s="4">
        <v>101</v>
      </c>
      <c r="AB1970" s="4">
        <v>2</v>
      </c>
      <c r="AC1970" s="4">
        <v>17</v>
      </c>
      <c r="AD1970" s="4">
        <v>58</v>
      </c>
      <c r="AE1970" s="4">
        <v>117</v>
      </c>
      <c r="AF1970" s="4">
        <v>1</v>
      </c>
      <c r="AG1970" s="4">
        <v>8</v>
      </c>
      <c r="AH1970" s="4">
        <v>48</v>
      </c>
      <c r="AI1970" s="4">
        <v>75</v>
      </c>
      <c r="AJ1970" s="4">
        <v>11</v>
      </c>
      <c r="AK1970" s="4">
        <v>24</v>
      </c>
      <c r="AL1970" s="4">
        <v>26</v>
      </c>
      <c r="AM1970" s="4">
        <v>42</v>
      </c>
      <c r="AN1970" s="4">
        <v>0</v>
      </c>
      <c r="AO1970" s="4">
        <v>0</v>
      </c>
      <c r="AP1970" s="4">
        <v>19</v>
      </c>
      <c r="AQ1970" s="4">
        <v>51</v>
      </c>
      <c r="AR1970" s="3" t="s">
        <v>62</v>
      </c>
      <c r="AS1970" s="3" t="s">
        <v>62</v>
      </c>
      <c r="AT1970" s="3" t="s">
        <v>62</v>
      </c>
      <c r="AV1970" s="6" t="str">
        <f>HYPERLINK("http://mcgill.on.worldcat.org/oclc/464584653","Catalog Record")</f>
        <v>Catalog Record</v>
      </c>
      <c r="AW1970" s="6" t="str">
        <f>HYPERLINK("http://www.worldcat.org/oclc/464584653","WorldCat Record")</f>
        <v>WorldCat Record</v>
      </c>
      <c r="AX1970" s="3" t="s">
        <v>19055</v>
      </c>
      <c r="AY1970" s="3" t="s">
        <v>19056</v>
      </c>
      <c r="AZ1970" s="3" t="s">
        <v>19057</v>
      </c>
      <c r="BA1970" s="3" t="s">
        <v>19057</v>
      </c>
      <c r="BB1970" s="3" t="s">
        <v>19058</v>
      </c>
      <c r="BC1970" s="3" t="s">
        <v>142</v>
      </c>
      <c r="BD1970" s="3" t="s">
        <v>68</v>
      </c>
      <c r="BE1970" s="3" t="s">
        <v>19059</v>
      </c>
      <c r="BF1970" s="3" t="s">
        <v>19058</v>
      </c>
      <c r="BG1970" s="3" t="s">
        <v>19060</v>
      </c>
    </row>
    <row r="1971" spans="1:59" ht="71.25" x14ac:dyDescent="0.45">
      <c r="A1971" s="2" t="s">
        <v>59</v>
      </c>
      <c r="B1971" s="2" t="s">
        <v>60</v>
      </c>
      <c r="C1971" s="2" t="s">
        <v>19061</v>
      </c>
      <c r="D1971" s="2" t="s">
        <v>19062</v>
      </c>
      <c r="E1971" s="2" t="s">
        <v>19063</v>
      </c>
      <c r="G1971" s="3" t="s">
        <v>62</v>
      </c>
      <c r="I1971" s="3" t="s">
        <v>62</v>
      </c>
      <c r="J1971" s="3" t="s">
        <v>62</v>
      </c>
      <c r="K1971" s="3" t="s">
        <v>63</v>
      </c>
      <c r="M1971" s="2" t="s">
        <v>11266</v>
      </c>
      <c r="N1971" s="3" t="s">
        <v>918</v>
      </c>
      <c r="P1971" s="3" t="s">
        <v>65</v>
      </c>
      <c r="Q1971" s="2" t="s">
        <v>19064</v>
      </c>
      <c r="R1971" s="3" t="s">
        <v>66</v>
      </c>
      <c r="S1971" s="4">
        <v>45</v>
      </c>
      <c r="T1971" s="4">
        <v>45</v>
      </c>
      <c r="U1971" s="5" t="s">
        <v>4918</v>
      </c>
      <c r="V1971" s="5" t="s">
        <v>4918</v>
      </c>
      <c r="W1971" s="5" t="s">
        <v>67</v>
      </c>
      <c r="X1971" s="5" t="s">
        <v>67</v>
      </c>
      <c r="Y1971" s="4">
        <v>261</v>
      </c>
      <c r="Z1971" s="4">
        <v>25</v>
      </c>
      <c r="AA1971" s="4">
        <v>87</v>
      </c>
      <c r="AB1971" s="4">
        <v>3</v>
      </c>
      <c r="AC1971" s="4">
        <v>16</v>
      </c>
      <c r="AD1971" s="4">
        <v>94</v>
      </c>
      <c r="AE1971" s="4">
        <v>134</v>
      </c>
      <c r="AF1971" s="4">
        <v>1</v>
      </c>
      <c r="AG1971" s="4">
        <v>8</v>
      </c>
      <c r="AH1971" s="4">
        <v>81</v>
      </c>
      <c r="AI1971" s="4">
        <v>95</v>
      </c>
      <c r="AJ1971" s="4">
        <v>15</v>
      </c>
      <c r="AK1971" s="4">
        <v>26</v>
      </c>
      <c r="AL1971" s="4">
        <v>44</v>
      </c>
      <c r="AM1971" s="4">
        <v>50</v>
      </c>
      <c r="AN1971" s="4">
        <v>0</v>
      </c>
      <c r="AO1971" s="4">
        <v>0</v>
      </c>
      <c r="AP1971" s="4">
        <v>20</v>
      </c>
      <c r="AQ1971" s="4">
        <v>49</v>
      </c>
      <c r="AR1971" s="3" t="s">
        <v>62</v>
      </c>
      <c r="AS1971" s="3" t="s">
        <v>62</v>
      </c>
      <c r="AT1971" s="3" t="s">
        <v>62</v>
      </c>
      <c r="AV1971" s="6" t="str">
        <f>HYPERLINK("http://mcgill.on.worldcat.org/oclc/50417244","Catalog Record")</f>
        <v>Catalog Record</v>
      </c>
      <c r="AW1971" s="6" t="str">
        <f>HYPERLINK("http://www.worldcat.org/oclc/50417244","WorldCat Record")</f>
        <v>WorldCat Record</v>
      </c>
      <c r="AX1971" s="3" t="s">
        <v>19065</v>
      </c>
      <c r="AY1971" s="3" t="s">
        <v>19066</v>
      </c>
      <c r="AZ1971" s="3" t="s">
        <v>19067</v>
      </c>
      <c r="BA1971" s="3" t="s">
        <v>19067</v>
      </c>
      <c r="BB1971" s="3" t="s">
        <v>19068</v>
      </c>
      <c r="BC1971" s="3" t="s">
        <v>142</v>
      </c>
      <c r="BD1971" s="3" t="s">
        <v>68</v>
      </c>
      <c r="BE1971" s="3" t="s">
        <v>19069</v>
      </c>
      <c r="BF1971" s="3" t="s">
        <v>19068</v>
      </c>
      <c r="BG1971" s="3" t="s">
        <v>19070</v>
      </c>
    </row>
    <row r="1972" spans="1:59" ht="57" x14ac:dyDescent="0.45">
      <c r="A1972" s="2" t="s">
        <v>59</v>
      </c>
      <c r="B1972" s="2" t="s">
        <v>60</v>
      </c>
      <c r="C1972" s="2" t="s">
        <v>19071</v>
      </c>
      <c r="D1972" s="2" t="s">
        <v>19072</v>
      </c>
      <c r="E1972" s="2" t="s">
        <v>19073</v>
      </c>
      <c r="G1972" s="3" t="s">
        <v>62</v>
      </c>
      <c r="I1972" s="3" t="s">
        <v>62</v>
      </c>
      <c r="J1972" s="3" t="s">
        <v>62</v>
      </c>
      <c r="K1972" s="3" t="s">
        <v>63</v>
      </c>
      <c r="L1972" s="2" t="s">
        <v>19074</v>
      </c>
      <c r="M1972" s="2" t="s">
        <v>4281</v>
      </c>
      <c r="N1972" s="3" t="s">
        <v>149</v>
      </c>
      <c r="P1972" s="3" t="s">
        <v>65</v>
      </c>
      <c r="R1972" s="3" t="s">
        <v>66</v>
      </c>
      <c r="S1972" s="4">
        <v>4</v>
      </c>
      <c r="T1972" s="4">
        <v>4</v>
      </c>
      <c r="U1972" s="5" t="s">
        <v>18937</v>
      </c>
      <c r="V1972" s="5" t="s">
        <v>18937</v>
      </c>
      <c r="W1972" s="5" t="s">
        <v>67</v>
      </c>
      <c r="X1972" s="5" t="s">
        <v>67</v>
      </c>
      <c r="Y1972" s="4">
        <v>265</v>
      </c>
      <c r="Z1972" s="4">
        <v>25</v>
      </c>
      <c r="AA1972" s="4">
        <v>35</v>
      </c>
      <c r="AB1972" s="4">
        <v>2</v>
      </c>
      <c r="AC1972" s="4">
        <v>10</v>
      </c>
      <c r="AD1972" s="4">
        <v>76</v>
      </c>
      <c r="AE1972" s="4">
        <v>87</v>
      </c>
      <c r="AF1972" s="4">
        <v>1</v>
      </c>
      <c r="AG1972" s="4">
        <v>5</v>
      </c>
      <c r="AH1972" s="4">
        <v>67</v>
      </c>
      <c r="AI1972" s="4">
        <v>74</v>
      </c>
      <c r="AJ1972" s="4">
        <v>12</v>
      </c>
      <c r="AK1972" s="4">
        <v>16</v>
      </c>
      <c r="AL1972" s="4">
        <v>39</v>
      </c>
      <c r="AM1972" s="4">
        <v>41</v>
      </c>
      <c r="AN1972" s="4">
        <v>0</v>
      </c>
      <c r="AO1972" s="4">
        <v>0</v>
      </c>
      <c r="AP1972" s="4">
        <v>15</v>
      </c>
      <c r="AQ1972" s="4">
        <v>20</v>
      </c>
      <c r="AR1972" s="3" t="s">
        <v>62</v>
      </c>
      <c r="AS1972" s="3" t="s">
        <v>62</v>
      </c>
      <c r="AT1972" s="3" t="s">
        <v>62</v>
      </c>
      <c r="AV1972" s="6" t="str">
        <f>HYPERLINK("http://mcgill.on.worldcat.org/oclc/441199482","Catalog Record")</f>
        <v>Catalog Record</v>
      </c>
      <c r="AW1972" s="6" t="str">
        <f>HYPERLINK("http://www.worldcat.org/oclc/441199482","WorldCat Record")</f>
        <v>WorldCat Record</v>
      </c>
      <c r="AX1972" s="3" t="s">
        <v>19075</v>
      </c>
      <c r="AY1972" s="3" t="s">
        <v>19076</v>
      </c>
      <c r="AZ1972" s="3" t="s">
        <v>19077</v>
      </c>
      <c r="BA1972" s="3" t="s">
        <v>19077</v>
      </c>
      <c r="BB1972" s="3" t="s">
        <v>19078</v>
      </c>
      <c r="BC1972" s="3" t="s">
        <v>142</v>
      </c>
      <c r="BD1972" s="3" t="s">
        <v>68</v>
      </c>
      <c r="BE1972" s="3" t="s">
        <v>19079</v>
      </c>
      <c r="BF1972" s="3" t="s">
        <v>19078</v>
      </c>
      <c r="BG1972" s="3" t="s">
        <v>19080</v>
      </c>
    </row>
    <row r="1973" spans="1:59" ht="57" x14ac:dyDescent="0.45">
      <c r="A1973" s="2" t="s">
        <v>59</v>
      </c>
      <c r="B1973" s="2" t="s">
        <v>60</v>
      </c>
      <c r="C1973" s="2" t="s">
        <v>19081</v>
      </c>
      <c r="D1973" s="2" t="s">
        <v>19082</v>
      </c>
      <c r="E1973" s="2" t="s">
        <v>19083</v>
      </c>
      <c r="G1973" s="3" t="s">
        <v>62</v>
      </c>
      <c r="I1973" s="3" t="s">
        <v>62</v>
      </c>
      <c r="J1973" s="3" t="s">
        <v>62</v>
      </c>
      <c r="K1973" s="3" t="s">
        <v>63</v>
      </c>
      <c r="M1973" s="2" t="s">
        <v>19084</v>
      </c>
      <c r="N1973" s="3" t="s">
        <v>116</v>
      </c>
      <c r="P1973" s="3" t="s">
        <v>65</v>
      </c>
      <c r="Q1973" s="2" t="s">
        <v>9613</v>
      </c>
      <c r="R1973" s="3" t="s">
        <v>66</v>
      </c>
      <c r="S1973" s="4">
        <v>2</v>
      </c>
      <c r="T1973" s="4">
        <v>2</v>
      </c>
      <c r="U1973" s="5" t="s">
        <v>16077</v>
      </c>
      <c r="V1973" s="5" t="s">
        <v>16077</v>
      </c>
      <c r="W1973" s="5" t="s">
        <v>67</v>
      </c>
      <c r="X1973" s="5" t="s">
        <v>67</v>
      </c>
      <c r="Y1973" s="4">
        <v>105</v>
      </c>
      <c r="Z1973" s="4">
        <v>11</v>
      </c>
      <c r="AA1973" s="4">
        <v>17</v>
      </c>
      <c r="AB1973" s="4">
        <v>1</v>
      </c>
      <c r="AC1973" s="4">
        <v>5</v>
      </c>
      <c r="AD1973" s="4">
        <v>36</v>
      </c>
      <c r="AE1973" s="4">
        <v>46</v>
      </c>
      <c r="AF1973" s="4">
        <v>0</v>
      </c>
      <c r="AG1973" s="4">
        <v>2</v>
      </c>
      <c r="AH1973" s="4">
        <v>33</v>
      </c>
      <c r="AI1973" s="4">
        <v>42</v>
      </c>
      <c r="AJ1973" s="4">
        <v>8</v>
      </c>
      <c r="AK1973" s="4">
        <v>11</v>
      </c>
      <c r="AL1973" s="4">
        <v>19</v>
      </c>
      <c r="AM1973" s="4">
        <v>23</v>
      </c>
      <c r="AN1973" s="4">
        <v>0</v>
      </c>
      <c r="AO1973" s="4">
        <v>0</v>
      </c>
      <c r="AP1973" s="4">
        <v>9</v>
      </c>
      <c r="AQ1973" s="4">
        <v>12</v>
      </c>
      <c r="AR1973" s="3" t="s">
        <v>62</v>
      </c>
      <c r="AS1973" s="3" t="s">
        <v>62</v>
      </c>
      <c r="AT1973" s="3" t="s">
        <v>62</v>
      </c>
      <c r="AV1973" s="6" t="str">
        <f>HYPERLINK("http://mcgill.on.worldcat.org/oclc/813861635","Catalog Record")</f>
        <v>Catalog Record</v>
      </c>
      <c r="AW1973" s="6" t="str">
        <f>HYPERLINK("http://www.worldcat.org/oclc/813861635","WorldCat Record")</f>
        <v>WorldCat Record</v>
      </c>
      <c r="AX1973" s="3" t="s">
        <v>19085</v>
      </c>
      <c r="AY1973" s="3" t="s">
        <v>19086</v>
      </c>
      <c r="AZ1973" s="3" t="s">
        <v>19087</v>
      </c>
      <c r="BA1973" s="3" t="s">
        <v>19087</v>
      </c>
      <c r="BB1973" s="3" t="s">
        <v>19088</v>
      </c>
      <c r="BC1973" s="3" t="s">
        <v>142</v>
      </c>
      <c r="BD1973" s="3" t="s">
        <v>68</v>
      </c>
      <c r="BE1973" s="3" t="s">
        <v>19089</v>
      </c>
      <c r="BF1973" s="3" t="s">
        <v>19088</v>
      </c>
      <c r="BG1973" s="3" t="s">
        <v>19090</v>
      </c>
    </row>
    <row r="1974" spans="1:59" ht="71.25" x14ac:dyDescent="0.45">
      <c r="A1974" s="2" t="s">
        <v>59</v>
      </c>
      <c r="B1974" s="2" t="s">
        <v>60</v>
      </c>
      <c r="C1974" s="2" t="s">
        <v>19091</v>
      </c>
      <c r="D1974" s="2" t="s">
        <v>19092</v>
      </c>
      <c r="E1974" s="2" t="s">
        <v>19093</v>
      </c>
      <c r="G1974" s="3" t="s">
        <v>62</v>
      </c>
      <c r="I1974" s="3" t="s">
        <v>62</v>
      </c>
      <c r="J1974" s="3" t="s">
        <v>62</v>
      </c>
      <c r="K1974" s="3" t="s">
        <v>63</v>
      </c>
      <c r="L1974" s="2" t="s">
        <v>19094</v>
      </c>
      <c r="M1974" s="2" t="s">
        <v>19095</v>
      </c>
      <c r="N1974" s="3" t="s">
        <v>1478</v>
      </c>
      <c r="O1974" s="2" t="s">
        <v>168</v>
      </c>
      <c r="P1974" s="3" t="s">
        <v>65</v>
      </c>
      <c r="R1974" s="3" t="s">
        <v>66</v>
      </c>
      <c r="S1974" s="4">
        <v>27</v>
      </c>
      <c r="T1974" s="4">
        <v>27</v>
      </c>
      <c r="U1974" s="5" t="s">
        <v>3449</v>
      </c>
      <c r="V1974" s="5" t="s">
        <v>3449</v>
      </c>
      <c r="W1974" s="5" t="s">
        <v>67</v>
      </c>
      <c r="X1974" s="5" t="s">
        <v>67</v>
      </c>
      <c r="Y1974" s="4">
        <v>300</v>
      </c>
      <c r="Z1974" s="4">
        <v>21</v>
      </c>
      <c r="AA1974" s="4">
        <v>23</v>
      </c>
      <c r="AB1974" s="4">
        <v>2</v>
      </c>
      <c r="AC1974" s="4">
        <v>4</v>
      </c>
      <c r="AD1974" s="4">
        <v>105</v>
      </c>
      <c r="AE1974" s="4">
        <v>107</v>
      </c>
      <c r="AF1974" s="4">
        <v>1</v>
      </c>
      <c r="AG1974" s="4">
        <v>3</v>
      </c>
      <c r="AH1974" s="4">
        <v>95</v>
      </c>
      <c r="AI1974" s="4">
        <v>96</v>
      </c>
      <c r="AJ1974" s="4">
        <v>15</v>
      </c>
      <c r="AK1974" s="4">
        <v>17</v>
      </c>
      <c r="AL1974" s="4">
        <v>52</v>
      </c>
      <c r="AM1974" s="4">
        <v>52</v>
      </c>
      <c r="AN1974" s="4">
        <v>0</v>
      </c>
      <c r="AO1974" s="4">
        <v>0</v>
      </c>
      <c r="AP1974" s="4">
        <v>18</v>
      </c>
      <c r="AQ1974" s="4">
        <v>19</v>
      </c>
      <c r="AR1974" s="3" t="s">
        <v>62</v>
      </c>
      <c r="AS1974" s="3" t="s">
        <v>62</v>
      </c>
      <c r="AT1974" s="3" t="s">
        <v>61</v>
      </c>
      <c r="AU1974" s="6" t="str">
        <f>HYPERLINK("http://catalog.hathitrust.org/Record/003094701","HathiTrust Record")</f>
        <v>HathiTrust Record</v>
      </c>
      <c r="AV1974" s="6" t="str">
        <f>HYPERLINK("http://mcgill.on.worldcat.org/oclc/34798055","Catalog Record")</f>
        <v>Catalog Record</v>
      </c>
      <c r="AW1974" s="6" t="str">
        <f>HYPERLINK("http://www.worldcat.org/oclc/34798055","WorldCat Record")</f>
        <v>WorldCat Record</v>
      </c>
      <c r="AX1974" s="3" t="s">
        <v>19096</v>
      </c>
      <c r="AY1974" s="3" t="s">
        <v>19097</v>
      </c>
      <c r="AZ1974" s="3" t="s">
        <v>19098</v>
      </c>
      <c r="BA1974" s="3" t="s">
        <v>19098</v>
      </c>
      <c r="BB1974" s="3" t="s">
        <v>19099</v>
      </c>
      <c r="BC1974" s="3" t="s">
        <v>142</v>
      </c>
      <c r="BD1974" s="3" t="s">
        <v>68</v>
      </c>
      <c r="BE1974" s="3" t="s">
        <v>19100</v>
      </c>
      <c r="BF1974" s="3" t="s">
        <v>19099</v>
      </c>
      <c r="BG1974" s="3" t="s">
        <v>19101</v>
      </c>
    </row>
    <row r="1975" spans="1:59" ht="71.25" x14ac:dyDescent="0.45">
      <c r="A1975" s="2" t="s">
        <v>59</v>
      </c>
      <c r="B1975" s="2" t="s">
        <v>60</v>
      </c>
      <c r="C1975" s="2" t="s">
        <v>19102</v>
      </c>
      <c r="D1975" s="2" t="s">
        <v>19103</v>
      </c>
      <c r="E1975" s="2" t="s">
        <v>19104</v>
      </c>
      <c r="G1975" s="3" t="s">
        <v>62</v>
      </c>
      <c r="I1975" s="3" t="s">
        <v>62</v>
      </c>
      <c r="J1975" s="3" t="s">
        <v>62</v>
      </c>
      <c r="K1975" s="3" t="s">
        <v>63</v>
      </c>
      <c r="M1975" s="2" t="s">
        <v>19105</v>
      </c>
      <c r="N1975" s="3" t="s">
        <v>542</v>
      </c>
      <c r="P1975" s="3" t="s">
        <v>65</v>
      </c>
      <c r="Q1975" s="2" t="s">
        <v>13123</v>
      </c>
      <c r="R1975" s="3" t="s">
        <v>66</v>
      </c>
      <c r="S1975" s="4">
        <v>18</v>
      </c>
      <c r="T1975" s="4">
        <v>18</v>
      </c>
      <c r="U1975" s="5" t="s">
        <v>4918</v>
      </c>
      <c r="V1975" s="5" t="s">
        <v>4918</v>
      </c>
      <c r="W1975" s="5" t="s">
        <v>67</v>
      </c>
      <c r="X1975" s="5" t="s">
        <v>67</v>
      </c>
      <c r="Y1975" s="4">
        <v>142</v>
      </c>
      <c r="Z1975" s="4">
        <v>11</v>
      </c>
      <c r="AA1975" s="4">
        <v>18</v>
      </c>
      <c r="AB1975" s="4">
        <v>2</v>
      </c>
      <c r="AC1975" s="4">
        <v>5</v>
      </c>
      <c r="AD1975" s="4">
        <v>43</v>
      </c>
      <c r="AE1975" s="4">
        <v>79</v>
      </c>
      <c r="AF1975" s="4">
        <v>0</v>
      </c>
      <c r="AG1975" s="4">
        <v>1</v>
      </c>
      <c r="AH1975" s="4">
        <v>36</v>
      </c>
      <c r="AI1975" s="4">
        <v>70</v>
      </c>
      <c r="AJ1975" s="4">
        <v>6</v>
      </c>
      <c r="AK1975" s="4">
        <v>10</v>
      </c>
      <c r="AL1975" s="4">
        <v>19</v>
      </c>
      <c r="AM1975" s="4">
        <v>43</v>
      </c>
      <c r="AN1975" s="4">
        <v>0</v>
      </c>
      <c r="AO1975" s="4">
        <v>0</v>
      </c>
      <c r="AP1975" s="4">
        <v>7</v>
      </c>
      <c r="AQ1975" s="4">
        <v>11</v>
      </c>
      <c r="AR1975" s="3" t="s">
        <v>62</v>
      </c>
      <c r="AS1975" s="3" t="s">
        <v>62</v>
      </c>
      <c r="AT1975" s="3" t="s">
        <v>61</v>
      </c>
      <c r="AU1975" s="6" t="str">
        <f>HYPERLINK("http://catalog.hathitrust.org/Record/007142835","HathiTrust Record")</f>
        <v>HathiTrust Record</v>
      </c>
      <c r="AV1975" s="6" t="str">
        <f>HYPERLINK("http://mcgill.on.worldcat.org/oclc/46359320","Catalog Record")</f>
        <v>Catalog Record</v>
      </c>
      <c r="AW1975" s="6" t="str">
        <f>HYPERLINK("http://www.worldcat.org/oclc/46359320","WorldCat Record")</f>
        <v>WorldCat Record</v>
      </c>
      <c r="AX1975" s="3" t="s">
        <v>19106</v>
      </c>
      <c r="AY1975" s="3" t="s">
        <v>19107</v>
      </c>
      <c r="AZ1975" s="3" t="s">
        <v>19108</v>
      </c>
      <c r="BA1975" s="3" t="s">
        <v>19108</v>
      </c>
      <c r="BB1975" s="3" t="s">
        <v>19109</v>
      </c>
      <c r="BC1975" s="3" t="s">
        <v>142</v>
      </c>
      <c r="BD1975" s="3" t="s">
        <v>68</v>
      </c>
      <c r="BE1975" s="3" t="s">
        <v>19110</v>
      </c>
      <c r="BF1975" s="3" t="s">
        <v>19109</v>
      </c>
      <c r="BG1975" s="3" t="s">
        <v>19111</v>
      </c>
    </row>
    <row r="1976" spans="1:59" ht="57" x14ac:dyDescent="0.45">
      <c r="A1976" s="2" t="s">
        <v>59</v>
      </c>
      <c r="B1976" s="2" t="s">
        <v>60</v>
      </c>
      <c r="C1976" s="2" t="s">
        <v>19112</v>
      </c>
      <c r="D1976" s="2" t="s">
        <v>19113</v>
      </c>
      <c r="E1976" s="2" t="s">
        <v>19114</v>
      </c>
      <c r="G1976" s="3" t="s">
        <v>62</v>
      </c>
      <c r="I1976" s="3" t="s">
        <v>62</v>
      </c>
      <c r="J1976" s="3" t="s">
        <v>62</v>
      </c>
      <c r="K1976" s="3" t="s">
        <v>63</v>
      </c>
      <c r="M1976" s="2" t="s">
        <v>19115</v>
      </c>
      <c r="N1976" s="3" t="s">
        <v>1478</v>
      </c>
      <c r="P1976" s="3" t="s">
        <v>65</v>
      </c>
      <c r="R1976" s="3" t="s">
        <v>66</v>
      </c>
      <c r="S1976" s="4">
        <v>54</v>
      </c>
      <c r="T1976" s="4">
        <v>54</v>
      </c>
      <c r="U1976" s="5" t="s">
        <v>19116</v>
      </c>
      <c r="V1976" s="5" t="s">
        <v>19116</v>
      </c>
      <c r="W1976" s="5" t="s">
        <v>67</v>
      </c>
      <c r="X1976" s="5" t="s">
        <v>67</v>
      </c>
      <c r="Y1976" s="4">
        <v>76</v>
      </c>
      <c r="Z1976" s="4">
        <v>55</v>
      </c>
      <c r="AA1976" s="4">
        <v>73</v>
      </c>
      <c r="AB1976" s="4">
        <v>4</v>
      </c>
      <c r="AC1976" s="4">
        <v>7</v>
      </c>
      <c r="AD1976" s="4">
        <v>42</v>
      </c>
      <c r="AE1976" s="4">
        <v>53</v>
      </c>
      <c r="AF1976" s="4">
        <v>2</v>
      </c>
      <c r="AG1976" s="4">
        <v>5</v>
      </c>
      <c r="AH1976" s="4">
        <v>20</v>
      </c>
      <c r="AI1976" s="4">
        <v>22</v>
      </c>
      <c r="AJ1976" s="4">
        <v>18</v>
      </c>
      <c r="AK1976" s="4">
        <v>26</v>
      </c>
      <c r="AL1976" s="4">
        <v>9</v>
      </c>
      <c r="AM1976" s="4">
        <v>9</v>
      </c>
      <c r="AN1976" s="4">
        <v>0</v>
      </c>
      <c r="AO1976" s="4">
        <v>0</v>
      </c>
      <c r="AP1976" s="4">
        <v>32</v>
      </c>
      <c r="AQ1976" s="4">
        <v>42</v>
      </c>
      <c r="AR1976" s="3" t="s">
        <v>61</v>
      </c>
      <c r="AS1976" s="3" t="s">
        <v>62</v>
      </c>
      <c r="AT1976" s="3" t="s">
        <v>62</v>
      </c>
      <c r="AV1976" s="6" t="str">
        <f>HYPERLINK("http://mcgill.on.worldcat.org/oclc/37213526","Catalog Record")</f>
        <v>Catalog Record</v>
      </c>
      <c r="AW1976" s="6" t="str">
        <f>HYPERLINK("http://www.worldcat.org/oclc/37213526","WorldCat Record")</f>
        <v>WorldCat Record</v>
      </c>
      <c r="AX1976" s="3" t="s">
        <v>19117</v>
      </c>
      <c r="AY1976" s="3" t="s">
        <v>19118</v>
      </c>
      <c r="AZ1976" s="3" t="s">
        <v>19119</v>
      </c>
      <c r="BA1976" s="3" t="s">
        <v>19119</v>
      </c>
      <c r="BB1976" s="3" t="s">
        <v>19120</v>
      </c>
      <c r="BC1976" s="3" t="s">
        <v>142</v>
      </c>
      <c r="BD1976" s="3" t="s">
        <v>68</v>
      </c>
      <c r="BE1976" s="3" t="s">
        <v>19121</v>
      </c>
      <c r="BF1976" s="3" t="s">
        <v>19120</v>
      </c>
      <c r="BG1976" s="3" t="s">
        <v>19122</v>
      </c>
    </row>
    <row r="1977" spans="1:59" ht="57" x14ac:dyDescent="0.45">
      <c r="A1977" s="2" t="s">
        <v>59</v>
      </c>
      <c r="B1977" s="2" t="s">
        <v>60</v>
      </c>
      <c r="C1977" s="2" t="s">
        <v>19123</v>
      </c>
      <c r="D1977" s="2" t="s">
        <v>19124</v>
      </c>
      <c r="E1977" s="2" t="s">
        <v>19125</v>
      </c>
      <c r="G1977" s="3" t="s">
        <v>62</v>
      </c>
      <c r="I1977" s="3" t="s">
        <v>61</v>
      </c>
      <c r="J1977" s="3" t="s">
        <v>62</v>
      </c>
      <c r="K1977" s="3" t="s">
        <v>63</v>
      </c>
      <c r="L1977" s="2" t="s">
        <v>19126</v>
      </c>
      <c r="M1977" s="2" t="s">
        <v>19127</v>
      </c>
      <c r="N1977" s="3" t="s">
        <v>542</v>
      </c>
      <c r="P1977" s="3" t="s">
        <v>65</v>
      </c>
      <c r="R1977" s="3" t="s">
        <v>66</v>
      </c>
      <c r="S1977" s="4">
        <v>18</v>
      </c>
      <c r="T1977" s="4">
        <v>71</v>
      </c>
      <c r="U1977" s="5" t="s">
        <v>1526</v>
      </c>
      <c r="V1977" s="5" t="s">
        <v>1526</v>
      </c>
      <c r="W1977" s="5" t="s">
        <v>67</v>
      </c>
      <c r="X1977" s="5" t="s">
        <v>67</v>
      </c>
      <c r="Y1977" s="4">
        <v>127</v>
      </c>
      <c r="Z1977" s="4">
        <v>84</v>
      </c>
      <c r="AA1977" s="4">
        <v>87</v>
      </c>
      <c r="AB1977" s="4">
        <v>5</v>
      </c>
      <c r="AC1977" s="4">
        <v>8</v>
      </c>
      <c r="AD1977" s="4">
        <v>60</v>
      </c>
      <c r="AE1977" s="4">
        <v>62</v>
      </c>
      <c r="AF1977" s="4">
        <v>2</v>
      </c>
      <c r="AG1977" s="4">
        <v>4</v>
      </c>
      <c r="AH1977" s="4">
        <v>25</v>
      </c>
      <c r="AI1977" s="4">
        <v>26</v>
      </c>
      <c r="AJ1977" s="4">
        <v>21</v>
      </c>
      <c r="AK1977" s="4">
        <v>23</v>
      </c>
      <c r="AL1977" s="4">
        <v>11</v>
      </c>
      <c r="AM1977" s="4">
        <v>11</v>
      </c>
      <c r="AN1977" s="4">
        <v>0</v>
      </c>
      <c r="AO1977" s="4">
        <v>0</v>
      </c>
      <c r="AP1977" s="4">
        <v>44</v>
      </c>
      <c r="AQ1977" s="4">
        <v>45</v>
      </c>
      <c r="AR1977" s="3" t="s">
        <v>61</v>
      </c>
      <c r="AS1977" s="3" t="s">
        <v>62</v>
      </c>
      <c r="AT1977" s="3" t="s">
        <v>62</v>
      </c>
      <c r="AV1977" s="6" t="str">
        <f>HYPERLINK("http://mcgill.on.worldcat.org/oclc/46628171","Catalog Record")</f>
        <v>Catalog Record</v>
      </c>
      <c r="AW1977" s="6" t="str">
        <f>HYPERLINK("http://www.worldcat.org/oclc/46628171","WorldCat Record")</f>
        <v>WorldCat Record</v>
      </c>
      <c r="AX1977" s="3" t="s">
        <v>19128</v>
      </c>
      <c r="AY1977" s="3" t="s">
        <v>19129</v>
      </c>
      <c r="AZ1977" s="3" t="s">
        <v>19130</v>
      </c>
      <c r="BA1977" s="3" t="s">
        <v>19130</v>
      </c>
      <c r="BB1977" s="3" t="s">
        <v>19131</v>
      </c>
      <c r="BC1977" s="3" t="s">
        <v>142</v>
      </c>
      <c r="BD1977" s="3" t="s">
        <v>68</v>
      </c>
      <c r="BE1977" s="3" t="s">
        <v>19132</v>
      </c>
      <c r="BF1977" s="3" t="s">
        <v>19131</v>
      </c>
      <c r="BG1977" s="3" t="s">
        <v>19133</v>
      </c>
    </row>
    <row r="1978" spans="1:59" ht="57" x14ac:dyDescent="0.45">
      <c r="A1978" s="2" t="s">
        <v>59</v>
      </c>
      <c r="B1978" s="2" t="s">
        <v>60</v>
      </c>
      <c r="C1978" s="2" t="s">
        <v>19123</v>
      </c>
      <c r="D1978" s="2" t="s">
        <v>19124</v>
      </c>
      <c r="E1978" s="2" t="s">
        <v>19125</v>
      </c>
      <c r="G1978" s="3" t="s">
        <v>62</v>
      </c>
      <c r="I1978" s="3" t="s">
        <v>61</v>
      </c>
      <c r="J1978" s="3" t="s">
        <v>62</v>
      </c>
      <c r="K1978" s="3" t="s">
        <v>63</v>
      </c>
      <c r="L1978" s="2" t="s">
        <v>19126</v>
      </c>
      <c r="M1978" s="2" t="s">
        <v>19127</v>
      </c>
      <c r="N1978" s="3" t="s">
        <v>542</v>
      </c>
      <c r="P1978" s="3" t="s">
        <v>65</v>
      </c>
      <c r="R1978" s="3" t="s">
        <v>66</v>
      </c>
      <c r="S1978" s="4">
        <v>53</v>
      </c>
      <c r="T1978" s="4">
        <v>71</v>
      </c>
      <c r="U1978" s="5" t="s">
        <v>19134</v>
      </c>
      <c r="V1978" s="5" t="s">
        <v>1526</v>
      </c>
      <c r="W1978" s="5" t="s">
        <v>67</v>
      </c>
      <c r="X1978" s="5" t="s">
        <v>67</v>
      </c>
      <c r="Y1978" s="4">
        <v>127</v>
      </c>
      <c r="Z1978" s="4">
        <v>84</v>
      </c>
      <c r="AA1978" s="4">
        <v>87</v>
      </c>
      <c r="AB1978" s="4">
        <v>5</v>
      </c>
      <c r="AC1978" s="4">
        <v>8</v>
      </c>
      <c r="AD1978" s="4">
        <v>60</v>
      </c>
      <c r="AE1978" s="4">
        <v>62</v>
      </c>
      <c r="AF1978" s="4">
        <v>2</v>
      </c>
      <c r="AG1978" s="4">
        <v>4</v>
      </c>
      <c r="AH1978" s="4">
        <v>25</v>
      </c>
      <c r="AI1978" s="4">
        <v>26</v>
      </c>
      <c r="AJ1978" s="4">
        <v>21</v>
      </c>
      <c r="AK1978" s="4">
        <v>23</v>
      </c>
      <c r="AL1978" s="4">
        <v>11</v>
      </c>
      <c r="AM1978" s="4">
        <v>11</v>
      </c>
      <c r="AN1978" s="4">
        <v>0</v>
      </c>
      <c r="AO1978" s="4">
        <v>0</v>
      </c>
      <c r="AP1978" s="4">
        <v>44</v>
      </c>
      <c r="AQ1978" s="4">
        <v>45</v>
      </c>
      <c r="AR1978" s="3" t="s">
        <v>61</v>
      </c>
      <c r="AS1978" s="3" t="s">
        <v>62</v>
      </c>
      <c r="AT1978" s="3" t="s">
        <v>62</v>
      </c>
      <c r="AV1978" s="6" t="str">
        <f>HYPERLINK("http://mcgill.on.worldcat.org/oclc/46628171","Catalog Record")</f>
        <v>Catalog Record</v>
      </c>
      <c r="AW1978" s="6" t="str">
        <f>HYPERLINK("http://www.worldcat.org/oclc/46628171","WorldCat Record")</f>
        <v>WorldCat Record</v>
      </c>
      <c r="AX1978" s="3" t="s">
        <v>19128</v>
      </c>
      <c r="AY1978" s="3" t="s">
        <v>19129</v>
      </c>
      <c r="AZ1978" s="3" t="s">
        <v>19130</v>
      </c>
      <c r="BA1978" s="3" t="s">
        <v>19130</v>
      </c>
      <c r="BB1978" s="3" t="s">
        <v>19135</v>
      </c>
      <c r="BC1978" s="3" t="s">
        <v>142</v>
      </c>
      <c r="BD1978" s="3" t="s">
        <v>68</v>
      </c>
      <c r="BE1978" s="3" t="s">
        <v>19132</v>
      </c>
      <c r="BF1978" s="3" t="s">
        <v>19135</v>
      </c>
      <c r="BG1978" s="3" t="s">
        <v>19136</v>
      </c>
    </row>
    <row r="1979" spans="1:59" ht="57" x14ac:dyDescent="0.45">
      <c r="A1979" s="2" t="s">
        <v>59</v>
      </c>
      <c r="B1979" s="2" t="s">
        <v>60</v>
      </c>
      <c r="C1979" s="2" t="s">
        <v>19137</v>
      </c>
      <c r="D1979" s="2" t="s">
        <v>19138</v>
      </c>
      <c r="E1979" s="2" t="s">
        <v>19139</v>
      </c>
      <c r="G1979" s="3" t="s">
        <v>62</v>
      </c>
      <c r="I1979" s="3" t="s">
        <v>62</v>
      </c>
      <c r="J1979" s="3" t="s">
        <v>62</v>
      </c>
      <c r="K1979" s="3" t="s">
        <v>63</v>
      </c>
      <c r="L1979" s="2" t="s">
        <v>19126</v>
      </c>
      <c r="M1979" s="2" t="s">
        <v>19140</v>
      </c>
      <c r="N1979" s="3" t="s">
        <v>894</v>
      </c>
      <c r="P1979" s="3" t="s">
        <v>65</v>
      </c>
      <c r="R1979" s="3" t="s">
        <v>66</v>
      </c>
      <c r="S1979" s="4">
        <v>18</v>
      </c>
      <c r="T1979" s="4">
        <v>18</v>
      </c>
      <c r="U1979" s="5" t="s">
        <v>13521</v>
      </c>
      <c r="V1979" s="5" t="s">
        <v>13521</v>
      </c>
      <c r="W1979" s="5" t="s">
        <v>67</v>
      </c>
      <c r="X1979" s="5" t="s">
        <v>67</v>
      </c>
      <c r="Y1979" s="4">
        <v>115</v>
      </c>
      <c r="Z1979" s="4">
        <v>65</v>
      </c>
      <c r="AA1979" s="4">
        <v>84</v>
      </c>
      <c r="AB1979" s="4">
        <v>3</v>
      </c>
      <c r="AC1979" s="4">
        <v>10</v>
      </c>
      <c r="AD1979" s="4">
        <v>53</v>
      </c>
      <c r="AE1979" s="4">
        <v>64</v>
      </c>
      <c r="AF1979" s="4">
        <v>1</v>
      </c>
      <c r="AG1979" s="4">
        <v>4</v>
      </c>
      <c r="AH1979" s="4">
        <v>29</v>
      </c>
      <c r="AI1979" s="4">
        <v>33</v>
      </c>
      <c r="AJ1979" s="4">
        <v>22</v>
      </c>
      <c r="AK1979" s="4">
        <v>25</v>
      </c>
      <c r="AL1979" s="4">
        <v>16</v>
      </c>
      <c r="AM1979" s="4">
        <v>16</v>
      </c>
      <c r="AN1979" s="4">
        <v>0</v>
      </c>
      <c r="AO1979" s="4">
        <v>0</v>
      </c>
      <c r="AP1979" s="4">
        <v>32</v>
      </c>
      <c r="AQ1979" s="4">
        <v>41</v>
      </c>
      <c r="AR1979" s="3" t="s">
        <v>61</v>
      </c>
      <c r="AS1979" s="3" t="s">
        <v>62</v>
      </c>
      <c r="AT1979" s="3" t="s">
        <v>62</v>
      </c>
      <c r="AV1979" s="6" t="str">
        <f>HYPERLINK("http://mcgill.on.worldcat.org/oclc/729990552","Catalog Record")</f>
        <v>Catalog Record</v>
      </c>
      <c r="AW1979" s="6" t="str">
        <f>HYPERLINK("http://www.worldcat.org/oclc/729990552","WorldCat Record")</f>
        <v>WorldCat Record</v>
      </c>
      <c r="AX1979" s="3" t="s">
        <v>19141</v>
      </c>
      <c r="AY1979" s="3" t="s">
        <v>19142</v>
      </c>
      <c r="AZ1979" s="3" t="s">
        <v>19143</v>
      </c>
      <c r="BA1979" s="3" t="s">
        <v>19143</v>
      </c>
      <c r="BB1979" s="3" t="s">
        <v>19144</v>
      </c>
      <c r="BC1979" s="3" t="s">
        <v>142</v>
      </c>
      <c r="BD1979" s="3" t="s">
        <v>68</v>
      </c>
      <c r="BE1979" s="3" t="s">
        <v>19145</v>
      </c>
      <c r="BF1979" s="3" t="s">
        <v>19144</v>
      </c>
      <c r="BG1979" s="3" t="s">
        <v>19146</v>
      </c>
    </row>
    <row r="1980" spans="1:59" ht="57" x14ac:dyDescent="0.45">
      <c r="A1980" s="2" t="s">
        <v>59</v>
      </c>
      <c r="B1980" s="2" t="s">
        <v>60</v>
      </c>
      <c r="C1980" s="2" t="s">
        <v>19147</v>
      </c>
      <c r="D1980" s="2" t="s">
        <v>19148</v>
      </c>
      <c r="E1980" s="2" t="s">
        <v>19149</v>
      </c>
      <c r="G1980" s="3" t="s">
        <v>62</v>
      </c>
      <c r="I1980" s="3" t="s">
        <v>62</v>
      </c>
      <c r="J1980" s="3" t="s">
        <v>62</v>
      </c>
      <c r="K1980" s="3" t="s">
        <v>63</v>
      </c>
      <c r="L1980" s="2" t="s">
        <v>19150</v>
      </c>
      <c r="M1980" s="2" t="s">
        <v>19151</v>
      </c>
      <c r="N1980" s="3" t="s">
        <v>181</v>
      </c>
      <c r="P1980" s="3" t="s">
        <v>65</v>
      </c>
      <c r="Q1980" s="2" t="s">
        <v>19152</v>
      </c>
      <c r="R1980" s="3" t="s">
        <v>66</v>
      </c>
      <c r="S1980" s="4">
        <v>6</v>
      </c>
      <c r="T1980" s="4">
        <v>6</v>
      </c>
      <c r="U1980" s="5" t="s">
        <v>19153</v>
      </c>
      <c r="V1980" s="5" t="s">
        <v>19153</v>
      </c>
      <c r="W1980" s="5" t="s">
        <v>67</v>
      </c>
      <c r="X1980" s="5" t="s">
        <v>67</v>
      </c>
      <c r="Y1980" s="4">
        <v>121</v>
      </c>
      <c r="Z1980" s="4">
        <v>49</v>
      </c>
      <c r="AA1980" s="4">
        <v>73</v>
      </c>
      <c r="AB1980" s="4">
        <v>2</v>
      </c>
      <c r="AC1980" s="4">
        <v>10</v>
      </c>
      <c r="AD1980" s="4">
        <v>63</v>
      </c>
      <c r="AE1980" s="4">
        <v>80</v>
      </c>
      <c r="AF1980" s="4">
        <v>1</v>
      </c>
      <c r="AG1980" s="4">
        <v>5</v>
      </c>
      <c r="AH1980" s="4">
        <v>44</v>
      </c>
      <c r="AI1980" s="4">
        <v>48</v>
      </c>
      <c r="AJ1980" s="4">
        <v>17</v>
      </c>
      <c r="AK1980" s="4">
        <v>25</v>
      </c>
      <c r="AL1980" s="4">
        <v>25</v>
      </c>
      <c r="AM1980" s="4">
        <v>25</v>
      </c>
      <c r="AN1980" s="4">
        <v>0</v>
      </c>
      <c r="AO1980" s="4">
        <v>0</v>
      </c>
      <c r="AP1980" s="4">
        <v>24</v>
      </c>
      <c r="AQ1980" s="4">
        <v>39</v>
      </c>
      <c r="AR1980" s="3" t="s">
        <v>61</v>
      </c>
      <c r="AS1980" s="3" t="s">
        <v>62</v>
      </c>
      <c r="AT1980" s="3" t="s">
        <v>62</v>
      </c>
      <c r="AV1980" s="6" t="str">
        <f>HYPERLINK("http://mcgill.on.worldcat.org/oclc/907657460","Catalog Record")</f>
        <v>Catalog Record</v>
      </c>
      <c r="AW1980" s="6" t="str">
        <f>HYPERLINK("http://www.worldcat.org/oclc/907657460","WorldCat Record")</f>
        <v>WorldCat Record</v>
      </c>
      <c r="AX1980" s="3" t="s">
        <v>19154</v>
      </c>
      <c r="AY1980" s="3" t="s">
        <v>19155</v>
      </c>
      <c r="AZ1980" s="3" t="s">
        <v>19156</v>
      </c>
      <c r="BA1980" s="3" t="s">
        <v>19156</v>
      </c>
      <c r="BB1980" s="3" t="s">
        <v>19157</v>
      </c>
      <c r="BC1980" s="3" t="s">
        <v>142</v>
      </c>
      <c r="BD1980" s="3" t="s">
        <v>68</v>
      </c>
      <c r="BE1980" s="3" t="s">
        <v>19158</v>
      </c>
      <c r="BF1980" s="3" t="s">
        <v>19157</v>
      </c>
      <c r="BG1980" s="3" t="s">
        <v>19159</v>
      </c>
    </row>
    <row r="1981" spans="1:59" ht="71.25" x14ac:dyDescent="0.45">
      <c r="A1981" s="2" t="s">
        <v>59</v>
      </c>
      <c r="B1981" s="2" t="s">
        <v>13360</v>
      </c>
      <c r="C1981" s="2" t="s">
        <v>19160</v>
      </c>
      <c r="D1981" s="2" t="s">
        <v>19161</v>
      </c>
      <c r="E1981" s="2" t="s">
        <v>19162</v>
      </c>
      <c r="G1981" s="3" t="s">
        <v>62</v>
      </c>
      <c r="I1981" s="3" t="s">
        <v>62</v>
      </c>
      <c r="J1981" s="3" t="s">
        <v>62</v>
      </c>
      <c r="K1981" s="3" t="s">
        <v>63</v>
      </c>
      <c r="L1981" s="2" t="s">
        <v>19163</v>
      </c>
      <c r="M1981" s="2" t="s">
        <v>19164</v>
      </c>
      <c r="N1981" s="3" t="s">
        <v>894</v>
      </c>
      <c r="P1981" s="3" t="s">
        <v>65</v>
      </c>
      <c r="Q1981" s="2" t="s">
        <v>19165</v>
      </c>
      <c r="R1981" s="3" t="s">
        <v>66</v>
      </c>
      <c r="S1981" s="4">
        <v>0</v>
      </c>
      <c r="T1981" s="4">
        <v>0</v>
      </c>
      <c r="W1981" s="5" t="s">
        <v>67</v>
      </c>
      <c r="X1981" s="5" t="s">
        <v>67</v>
      </c>
      <c r="Y1981" s="4">
        <v>3</v>
      </c>
      <c r="Z1981" s="4">
        <v>2</v>
      </c>
      <c r="AA1981" s="4">
        <v>2</v>
      </c>
      <c r="AB1981" s="4">
        <v>2</v>
      </c>
      <c r="AC1981" s="4">
        <v>2</v>
      </c>
      <c r="AD1981" s="4">
        <v>1</v>
      </c>
      <c r="AE1981" s="4">
        <v>1</v>
      </c>
      <c r="AF1981" s="4">
        <v>1</v>
      </c>
      <c r="AG1981" s="4">
        <v>1</v>
      </c>
      <c r="AH1981" s="4">
        <v>0</v>
      </c>
      <c r="AI1981" s="4">
        <v>0</v>
      </c>
      <c r="AJ1981" s="4">
        <v>1</v>
      </c>
      <c r="AK1981" s="4">
        <v>1</v>
      </c>
      <c r="AL1981" s="4">
        <v>0</v>
      </c>
      <c r="AM1981" s="4">
        <v>0</v>
      </c>
      <c r="AN1981" s="4">
        <v>0</v>
      </c>
      <c r="AO1981" s="4">
        <v>0</v>
      </c>
      <c r="AP1981" s="4">
        <v>1</v>
      </c>
      <c r="AQ1981" s="4">
        <v>1</v>
      </c>
      <c r="AR1981" s="3" t="s">
        <v>62</v>
      </c>
      <c r="AS1981" s="3" t="s">
        <v>62</v>
      </c>
      <c r="AT1981" s="3" t="s">
        <v>62</v>
      </c>
      <c r="AV1981" s="6" t="str">
        <f>HYPERLINK("http://mcgill.on.worldcat.org/oclc/863052621","Catalog Record")</f>
        <v>Catalog Record</v>
      </c>
      <c r="AW1981" s="6" t="str">
        <f>HYPERLINK("http://www.worldcat.org/oclc/863052621","WorldCat Record")</f>
        <v>WorldCat Record</v>
      </c>
      <c r="AX1981" s="3" t="s">
        <v>19166</v>
      </c>
      <c r="AY1981" s="3" t="s">
        <v>19167</v>
      </c>
      <c r="AZ1981" s="3" t="s">
        <v>19168</v>
      </c>
      <c r="BA1981" s="3" t="s">
        <v>19168</v>
      </c>
      <c r="BB1981" s="3" t="s">
        <v>19169</v>
      </c>
      <c r="BC1981" s="3" t="s">
        <v>104</v>
      </c>
      <c r="BD1981" s="3" t="s">
        <v>68</v>
      </c>
      <c r="BE1981" s="3" t="s">
        <v>19170</v>
      </c>
      <c r="BF1981" s="3" t="s">
        <v>19169</v>
      </c>
      <c r="BG1981" s="3" t="s">
        <v>19171</v>
      </c>
    </row>
    <row r="1982" spans="1:59" ht="71.25" x14ac:dyDescent="0.45">
      <c r="A1982" s="2" t="s">
        <v>59</v>
      </c>
      <c r="B1982" s="2" t="s">
        <v>60</v>
      </c>
      <c r="C1982" s="2" t="s">
        <v>19172</v>
      </c>
      <c r="D1982" s="2" t="s">
        <v>19173</v>
      </c>
      <c r="E1982" s="2" t="s">
        <v>19174</v>
      </c>
      <c r="G1982" s="3" t="s">
        <v>62</v>
      </c>
      <c r="I1982" s="3" t="s">
        <v>62</v>
      </c>
      <c r="J1982" s="3" t="s">
        <v>62</v>
      </c>
      <c r="K1982" s="3" t="s">
        <v>63</v>
      </c>
      <c r="M1982" s="2" t="s">
        <v>19175</v>
      </c>
      <c r="N1982" s="3" t="s">
        <v>894</v>
      </c>
      <c r="P1982" s="3" t="s">
        <v>65</v>
      </c>
      <c r="R1982" s="3" t="s">
        <v>66</v>
      </c>
      <c r="S1982" s="4">
        <v>2</v>
      </c>
      <c r="T1982" s="4">
        <v>2</v>
      </c>
      <c r="U1982" s="5" t="s">
        <v>19176</v>
      </c>
      <c r="V1982" s="5" t="s">
        <v>19176</v>
      </c>
      <c r="W1982" s="5" t="s">
        <v>67</v>
      </c>
      <c r="X1982" s="5" t="s">
        <v>67</v>
      </c>
      <c r="Y1982" s="4">
        <v>165</v>
      </c>
      <c r="Z1982" s="4">
        <v>20</v>
      </c>
      <c r="AA1982" s="4">
        <v>21</v>
      </c>
      <c r="AB1982" s="4">
        <v>2</v>
      </c>
      <c r="AC1982" s="4">
        <v>2</v>
      </c>
      <c r="AD1982" s="4">
        <v>75</v>
      </c>
      <c r="AE1982" s="4">
        <v>80</v>
      </c>
      <c r="AF1982" s="4">
        <v>1</v>
      </c>
      <c r="AG1982" s="4">
        <v>1</v>
      </c>
      <c r="AH1982" s="4">
        <v>68</v>
      </c>
      <c r="AI1982" s="4">
        <v>72</v>
      </c>
      <c r="AJ1982" s="4">
        <v>16</v>
      </c>
      <c r="AK1982" s="4">
        <v>17</v>
      </c>
      <c r="AL1982" s="4">
        <v>34</v>
      </c>
      <c r="AM1982" s="4">
        <v>37</v>
      </c>
      <c r="AN1982" s="4">
        <v>0</v>
      </c>
      <c r="AO1982" s="4">
        <v>0</v>
      </c>
      <c r="AP1982" s="4">
        <v>17</v>
      </c>
      <c r="AQ1982" s="4">
        <v>18</v>
      </c>
      <c r="AR1982" s="3" t="s">
        <v>62</v>
      </c>
      <c r="AS1982" s="3" t="s">
        <v>62</v>
      </c>
      <c r="AT1982" s="3" t="s">
        <v>62</v>
      </c>
      <c r="AV1982" s="6" t="str">
        <f>HYPERLINK("http://mcgill.on.worldcat.org/oclc/701242238","Catalog Record")</f>
        <v>Catalog Record</v>
      </c>
      <c r="AW1982" s="6" t="str">
        <f>HYPERLINK("http://www.worldcat.org/oclc/701242238","WorldCat Record")</f>
        <v>WorldCat Record</v>
      </c>
      <c r="AX1982" s="3" t="s">
        <v>19177</v>
      </c>
      <c r="AY1982" s="3" t="s">
        <v>19178</v>
      </c>
      <c r="AZ1982" s="3" t="s">
        <v>19179</v>
      </c>
      <c r="BA1982" s="3" t="s">
        <v>19179</v>
      </c>
      <c r="BB1982" s="3" t="s">
        <v>19180</v>
      </c>
      <c r="BC1982" s="3" t="s">
        <v>142</v>
      </c>
      <c r="BD1982" s="3" t="s">
        <v>68</v>
      </c>
      <c r="BE1982" s="3" t="s">
        <v>19181</v>
      </c>
      <c r="BF1982" s="3" t="s">
        <v>19180</v>
      </c>
      <c r="BG1982" s="3" t="s">
        <v>19182</v>
      </c>
    </row>
    <row r="1983" spans="1:59" ht="57" x14ac:dyDescent="0.45">
      <c r="A1983" s="2" t="s">
        <v>59</v>
      </c>
      <c r="B1983" s="2" t="s">
        <v>60</v>
      </c>
      <c r="C1983" s="2" t="s">
        <v>19183</v>
      </c>
      <c r="D1983" s="2" t="s">
        <v>19184</v>
      </c>
      <c r="E1983" s="2" t="s">
        <v>19185</v>
      </c>
      <c r="G1983" s="3" t="s">
        <v>62</v>
      </c>
      <c r="I1983" s="3" t="s">
        <v>62</v>
      </c>
      <c r="J1983" s="3" t="s">
        <v>62</v>
      </c>
      <c r="K1983" s="3" t="s">
        <v>63</v>
      </c>
      <c r="L1983" s="2" t="s">
        <v>19186</v>
      </c>
      <c r="M1983" s="2" t="s">
        <v>19187</v>
      </c>
      <c r="N1983" s="3" t="s">
        <v>1059</v>
      </c>
      <c r="P1983" s="3" t="s">
        <v>65</v>
      </c>
      <c r="R1983" s="3" t="s">
        <v>66</v>
      </c>
      <c r="S1983" s="4">
        <v>6</v>
      </c>
      <c r="T1983" s="4">
        <v>6</v>
      </c>
      <c r="U1983" s="5" t="s">
        <v>19032</v>
      </c>
      <c r="V1983" s="5" t="s">
        <v>19032</v>
      </c>
      <c r="W1983" s="5" t="s">
        <v>67</v>
      </c>
      <c r="X1983" s="5" t="s">
        <v>67</v>
      </c>
      <c r="Y1983" s="4">
        <v>190</v>
      </c>
      <c r="Z1983" s="4">
        <v>19</v>
      </c>
      <c r="AA1983" s="4">
        <v>19</v>
      </c>
      <c r="AB1983" s="4">
        <v>1</v>
      </c>
      <c r="AC1983" s="4">
        <v>1</v>
      </c>
      <c r="AD1983" s="4">
        <v>83</v>
      </c>
      <c r="AE1983" s="4">
        <v>83</v>
      </c>
      <c r="AF1983" s="4">
        <v>0</v>
      </c>
      <c r="AG1983" s="4">
        <v>0</v>
      </c>
      <c r="AH1983" s="4">
        <v>76</v>
      </c>
      <c r="AI1983" s="4">
        <v>76</v>
      </c>
      <c r="AJ1983" s="4">
        <v>14</v>
      </c>
      <c r="AK1983" s="4">
        <v>14</v>
      </c>
      <c r="AL1983" s="4">
        <v>42</v>
      </c>
      <c r="AM1983" s="4">
        <v>42</v>
      </c>
      <c r="AN1983" s="4">
        <v>0</v>
      </c>
      <c r="AO1983" s="4">
        <v>0</v>
      </c>
      <c r="AP1983" s="4">
        <v>16</v>
      </c>
      <c r="AQ1983" s="4">
        <v>16</v>
      </c>
      <c r="AR1983" s="3" t="s">
        <v>62</v>
      </c>
      <c r="AS1983" s="3" t="s">
        <v>62</v>
      </c>
      <c r="AT1983" s="3" t="s">
        <v>61</v>
      </c>
      <c r="AU1983" s="6" t="str">
        <f>HYPERLINK("http://catalog.hathitrust.org/Record/005262886","HathiTrust Record")</f>
        <v>HathiTrust Record</v>
      </c>
      <c r="AV1983" s="6" t="str">
        <f>HYPERLINK("http://mcgill.on.worldcat.org/oclc/64065966","Catalog Record")</f>
        <v>Catalog Record</v>
      </c>
      <c r="AW1983" s="6" t="str">
        <f>HYPERLINK("http://www.worldcat.org/oclc/64065966","WorldCat Record")</f>
        <v>WorldCat Record</v>
      </c>
      <c r="AX1983" s="3" t="s">
        <v>19188</v>
      </c>
      <c r="AY1983" s="3" t="s">
        <v>19189</v>
      </c>
      <c r="AZ1983" s="3" t="s">
        <v>19190</v>
      </c>
      <c r="BA1983" s="3" t="s">
        <v>19190</v>
      </c>
      <c r="BB1983" s="3" t="s">
        <v>19191</v>
      </c>
      <c r="BC1983" s="3" t="s">
        <v>142</v>
      </c>
      <c r="BD1983" s="3" t="s">
        <v>68</v>
      </c>
      <c r="BE1983" s="3" t="s">
        <v>19192</v>
      </c>
      <c r="BF1983" s="3" t="s">
        <v>19191</v>
      </c>
      <c r="BG1983" s="3" t="s">
        <v>19193</v>
      </c>
    </row>
    <row r="1984" spans="1:59" ht="57" x14ac:dyDescent="0.45">
      <c r="A1984" s="2" t="s">
        <v>59</v>
      </c>
      <c r="B1984" s="2" t="s">
        <v>60</v>
      </c>
      <c r="C1984" s="2" t="s">
        <v>19194</v>
      </c>
      <c r="D1984" s="2" t="s">
        <v>19195</v>
      </c>
      <c r="E1984" s="2" t="s">
        <v>19196</v>
      </c>
      <c r="G1984" s="3" t="s">
        <v>62</v>
      </c>
      <c r="I1984" s="3" t="s">
        <v>62</v>
      </c>
      <c r="J1984" s="3" t="s">
        <v>62</v>
      </c>
      <c r="K1984" s="3" t="s">
        <v>63</v>
      </c>
      <c r="L1984" s="2" t="s">
        <v>19197</v>
      </c>
      <c r="M1984" s="2" t="s">
        <v>19198</v>
      </c>
      <c r="N1984" s="3" t="s">
        <v>1465</v>
      </c>
      <c r="P1984" s="3" t="s">
        <v>65</v>
      </c>
      <c r="Q1984" s="2" t="s">
        <v>19199</v>
      </c>
      <c r="R1984" s="3" t="s">
        <v>66</v>
      </c>
      <c r="S1984" s="4">
        <v>2</v>
      </c>
      <c r="T1984" s="4">
        <v>2</v>
      </c>
      <c r="U1984" s="5" t="s">
        <v>19200</v>
      </c>
      <c r="V1984" s="5" t="s">
        <v>19200</v>
      </c>
      <c r="W1984" s="5" t="s">
        <v>67</v>
      </c>
      <c r="X1984" s="5" t="s">
        <v>67</v>
      </c>
      <c r="Y1984" s="4">
        <v>363</v>
      </c>
      <c r="Z1984" s="4">
        <v>25</v>
      </c>
      <c r="AA1984" s="4">
        <v>105</v>
      </c>
      <c r="AB1984" s="4">
        <v>3</v>
      </c>
      <c r="AC1984" s="4">
        <v>18</v>
      </c>
      <c r="AD1984" s="4">
        <v>95</v>
      </c>
      <c r="AE1984" s="4">
        <v>141</v>
      </c>
      <c r="AF1984" s="4">
        <v>1</v>
      </c>
      <c r="AG1984" s="4">
        <v>8</v>
      </c>
      <c r="AH1984" s="4">
        <v>84</v>
      </c>
      <c r="AI1984" s="4">
        <v>102</v>
      </c>
      <c r="AJ1984" s="4">
        <v>16</v>
      </c>
      <c r="AK1984" s="4">
        <v>24</v>
      </c>
      <c r="AL1984" s="4">
        <v>48</v>
      </c>
      <c r="AM1984" s="4">
        <v>54</v>
      </c>
      <c r="AN1984" s="4">
        <v>0</v>
      </c>
      <c r="AO1984" s="4">
        <v>0</v>
      </c>
      <c r="AP1984" s="4">
        <v>17</v>
      </c>
      <c r="AQ1984" s="4">
        <v>46</v>
      </c>
      <c r="AR1984" s="3" t="s">
        <v>62</v>
      </c>
      <c r="AS1984" s="3" t="s">
        <v>62</v>
      </c>
      <c r="AT1984" s="3" t="s">
        <v>62</v>
      </c>
      <c r="AV1984" s="6" t="str">
        <f>HYPERLINK("http://mcgill.on.worldcat.org/oclc/313659299","Catalog Record")</f>
        <v>Catalog Record</v>
      </c>
      <c r="AW1984" s="6" t="str">
        <f>HYPERLINK("http://www.worldcat.org/oclc/313659299","WorldCat Record")</f>
        <v>WorldCat Record</v>
      </c>
      <c r="AX1984" s="3" t="s">
        <v>19201</v>
      </c>
      <c r="AY1984" s="3" t="s">
        <v>19202</v>
      </c>
      <c r="AZ1984" s="3" t="s">
        <v>19203</v>
      </c>
      <c r="BA1984" s="3" t="s">
        <v>19203</v>
      </c>
      <c r="BB1984" s="3" t="s">
        <v>19204</v>
      </c>
      <c r="BC1984" s="3" t="s">
        <v>142</v>
      </c>
      <c r="BD1984" s="3" t="s">
        <v>68</v>
      </c>
      <c r="BE1984" s="3" t="s">
        <v>19205</v>
      </c>
      <c r="BF1984" s="3" t="s">
        <v>19204</v>
      </c>
      <c r="BG1984" s="3" t="s">
        <v>19206</v>
      </c>
    </row>
    <row r="1985" spans="1:59" ht="57" x14ac:dyDescent="0.45">
      <c r="A1985" s="2" t="s">
        <v>59</v>
      </c>
      <c r="B1985" s="2" t="s">
        <v>60</v>
      </c>
      <c r="C1985" s="2" t="s">
        <v>19207</v>
      </c>
      <c r="D1985" s="2" t="s">
        <v>19208</v>
      </c>
      <c r="E1985" s="2" t="s">
        <v>19209</v>
      </c>
      <c r="G1985" s="3" t="s">
        <v>62</v>
      </c>
      <c r="I1985" s="3" t="s">
        <v>62</v>
      </c>
      <c r="J1985" s="3" t="s">
        <v>62</v>
      </c>
      <c r="K1985" s="3" t="s">
        <v>63</v>
      </c>
      <c r="M1985" s="2" t="s">
        <v>19210</v>
      </c>
      <c r="N1985" s="3" t="s">
        <v>1688</v>
      </c>
      <c r="P1985" s="3" t="s">
        <v>65</v>
      </c>
      <c r="R1985" s="3" t="s">
        <v>66</v>
      </c>
      <c r="S1985" s="4">
        <v>3</v>
      </c>
      <c r="T1985" s="4">
        <v>3</v>
      </c>
      <c r="U1985" s="5" t="s">
        <v>3137</v>
      </c>
      <c r="V1985" s="5" t="s">
        <v>3137</v>
      </c>
      <c r="W1985" s="5" t="s">
        <v>67</v>
      </c>
      <c r="X1985" s="5" t="s">
        <v>67</v>
      </c>
      <c r="Y1985" s="4">
        <v>90</v>
      </c>
      <c r="Z1985" s="4">
        <v>12</v>
      </c>
      <c r="AA1985" s="4">
        <v>17</v>
      </c>
      <c r="AB1985" s="4">
        <v>1</v>
      </c>
      <c r="AC1985" s="4">
        <v>5</v>
      </c>
      <c r="AD1985" s="4">
        <v>44</v>
      </c>
      <c r="AE1985" s="4">
        <v>51</v>
      </c>
      <c r="AF1985" s="4">
        <v>0</v>
      </c>
      <c r="AG1985" s="4">
        <v>2</v>
      </c>
      <c r="AH1985" s="4">
        <v>41</v>
      </c>
      <c r="AI1985" s="4">
        <v>46</v>
      </c>
      <c r="AJ1985" s="4">
        <v>10</v>
      </c>
      <c r="AK1985" s="4">
        <v>13</v>
      </c>
      <c r="AL1985" s="4">
        <v>26</v>
      </c>
      <c r="AM1985" s="4">
        <v>28</v>
      </c>
      <c r="AN1985" s="4">
        <v>0</v>
      </c>
      <c r="AO1985" s="4">
        <v>0</v>
      </c>
      <c r="AP1985" s="4">
        <v>10</v>
      </c>
      <c r="AQ1985" s="4">
        <v>12</v>
      </c>
      <c r="AR1985" s="3" t="s">
        <v>62</v>
      </c>
      <c r="AS1985" s="3" t="s">
        <v>62</v>
      </c>
      <c r="AT1985" s="3" t="s">
        <v>62</v>
      </c>
      <c r="AV1985" s="6" t="str">
        <f>HYPERLINK("http://mcgill.on.worldcat.org/oclc/862101178","Catalog Record")</f>
        <v>Catalog Record</v>
      </c>
      <c r="AW1985" s="6" t="str">
        <f>HYPERLINK("http://www.worldcat.org/oclc/862101178","WorldCat Record")</f>
        <v>WorldCat Record</v>
      </c>
      <c r="AX1985" s="3" t="s">
        <v>19211</v>
      </c>
      <c r="AY1985" s="3" t="s">
        <v>19212</v>
      </c>
      <c r="AZ1985" s="3" t="s">
        <v>19213</v>
      </c>
      <c r="BA1985" s="3" t="s">
        <v>19213</v>
      </c>
      <c r="BB1985" s="3" t="s">
        <v>19214</v>
      </c>
      <c r="BC1985" s="3" t="s">
        <v>142</v>
      </c>
      <c r="BD1985" s="3" t="s">
        <v>68</v>
      </c>
      <c r="BE1985" s="3" t="s">
        <v>19215</v>
      </c>
      <c r="BF1985" s="3" t="s">
        <v>19214</v>
      </c>
      <c r="BG1985" s="3" t="s">
        <v>19216</v>
      </c>
    </row>
    <row r="1986" spans="1:59" ht="71.25" x14ac:dyDescent="0.45">
      <c r="A1986" s="2" t="s">
        <v>59</v>
      </c>
      <c r="B1986" s="2" t="s">
        <v>60</v>
      </c>
      <c r="C1986" s="2" t="s">
        <v>19217</v>
      </c>
      <c r="D1986" s="2" t="s">
        <v>19218</v>
      </c>
      <c r="E1986" s="2" t="s">
        <v>19219</v>
      </c>
      <c r="G1986" s="3" t="s">
        <v>62</v>
      </c>
      <c r="I1986" s="3" t="s">
        <v>62</v>
      </c>
      <c r="J1986" s="3" t="s">
        <v>62</v>
      </c>
      <c r="K1986" s="3" t="s">
        <v>63</v>
      </c>
      <c r="L1986" s="2" t="s">
        <v>19220</v>
      </c>
      <c r="M1986" s="2" t="s">
        <v>19221</v>
      </c>
      <c r="N1986" s="3" t="s">
        <v>208</v>
      </c>
      <c r="P1986" s="3" t="s">
        <v>65</v>
      </c>
      <c r="Q1986" s="2" t="s">
        <v>19222</v>
      </c>
      <c r="R1986" s="3" t="s">
        <v>66</v>
      </c>
      <c r="S1986" s="4">
        <v>2</v>
      </c>
      <c r="T1986" s="4">
        <v>2</v>
      </c>
      <c r="U1986" s="5" t="s">
        <v>19223</v>
      </c>
      <c r="V1986" s="5" t="s">
        <v>19223</v>
      </c>
      <c r="W1986" s="5" t="s">
        <v>67</v>
      </c>
      <c r="X1986" s="5" t="s">
        <v>67</v>
      </c>
      <c r="Y1986" s="4">
        <v>555</v>
      </c>
      <c r="Z1986" s="4">
        <v>15</v>
      </c>
      <c r="AA1986" s="4">
        <v>49</v>
      </c>
      <c r="AB1986" s="4">
        <v>2</v>
      </c>
      <c r="AC1986" s="4">
        <v>5</v>
      </c>
      <c r="AD1986" s="4">
        <v>69</v>
      </c>
      <c r="AE1986" s="4">
        <v>94</v>
      </c>
      <c r="AF1986" s="4">
        <v>1</v>
      </c>
      <c r="AG1986" s="4">
        <v>2</v>
      </c>
      <c r="AH1986" s="4">
        <v>63</v>
      </c>
      <c r="AI1986" s="4">
        <v>78</v>
      </c>
      <c r="AJ1986" s="4">
        <v>7</v>
      </c>
      <c r="AK1986" s="4">
        <v>14</v>
      </c>
      <c r="AL1986" s="4">
        <v>37</v>
      </c>
      <c r="AM1986" s="4">
        <v>41</v>
      </c>
      <c r="AN1986" s="4">
        <v>0</v>
      </c>
      <c r="AO1986" s="4">
        <v>0</v>
      </c>
      <c r="AP1986" s="4">
        <v>9</v>
      </c>
      <c r="AQ1986" s="4">
        <v>21</v>
      </c>
      <c r="AR1986" s="3" t="s">
        <v>62</v>
      </c>
      <c r="AS1986" s="3" t="s">
        <v>62</v>
      </c>
      <c r="AT1986" s="3" t="s">
        <v>62</v>
      </c>
      <c r="AV1986" s="6" t="str">
        <f>HYPERLINK("http://mcgill.on.worldcat.org/oclc/881400738","Catalog Record")</f>
        <v>Catalog Record</v>
      </c>
      <c r="AW1986" s="6" t="str">
        <f>HYPERLINK("http://www.worldcat.org/oclc/881400738","WorldCat Record")</f>
        <v>WorldCat Record</v>
      </c>
      <c r="AX1986" s="3" t="s">
        <v>19224</v>
      </c>
      <c r="AY1986" s="3" t="s">
        <v>19225</v>
      </c>
      <c r="AZ1986" s="3" t="s">
        <v>19226</v>
      </c>
      <c r="BA1986" s="3" t="s">
        <v>19226</v>
      </c>
      <c r="BB1986" s="3" t="s">
        <v>19227</v>
      </c>
      <c r="BC1986" s="3" t="s">
        <v>142</v>
      </c>
      <c r="BD1986" s="3" t="s">
        <v>68</v>
      </c>
      <c r="BE1986" s="3" t="s">
        <v>19228</v>
      </c>
      <c r="BF1986" s="3" t="s">
        <v>19227</v>
      </c>
      <c r="BG1986" s="3" t="s">
        <v>19229</v>
      </c>
    </row>
    <row r="1987" spans="1:59" ht="71.25" x14ac:dyDescent="0.45">
      <c r="A1987" s="2" t="s">
        <v>59</v>
      </c>
      <c r="B1987" s="2" t="s">
        <v>60</v>
      </c>
      <c r="C1987" s="2" t="s">
        <v>19230</v>
      </c>
      <c r="D1987" s="2" t="s">
        <v>19231</v>
      </c>
      <c r="E1987" s="2" t="s">
        <v>19232</v>
      </c>
      <c r="G1987" s="3" t="s">
        <v>62</v>
      </c>
      <c r="I1987" s="3" t="s">
        <v>62</v>
      </c>
      <c r="J1987" s="3" t="s">
        <v>62</v>
      </c>
      <c r="K1987" s="3" t="s">
        <v>63</v>
      </c>
      <c r="L1987" s="2" t="s">
        <v>19233</v>
      </c>
      <c r="M1987" s="2" t="s">
        <v>1829</v>
      </c>
      <c r="N1987" s="3" t="s">
        <v>1437</v>
      </c>
      <c r="P1987" s="3" t="s">
        <v>65</v>
      </c>
      <c r="R1987" s="3" t="s">
        <v>66</v>
      </c>
      <c r="S1987" s="4">
        <v>19</v>
      </c>
      <c r="T1987" s="4">
        <v>19</v>
      </c>
      <c r="U1987" s="5" t="s">
        <v>509</v>
      </c>
      <c r="V1987" s="5" t="s">
        <v>509</v>
      </c>
      <c r="W1987" s="5" t="s">
        <v>67</v>
      </c>
      <c r="X1987" s="5" t="s">
        <v>67</v>
      </c>
      <c r="Y1987" s="4">
        <v>392</v>
      </c>
      <c r="Z1987" s="4">
        <v>20</v>
      </c>
      <c r="AA1987" s="4">
        <v>103</v>
      </c>
      <c r="AB1987" s="4">
        <v>2</v>
      </c>
      <c r="AC1987" s="4">
        <v>18</v>
      </c>
      <c r="AD1987" s="4">
        <v>105</v>
      </c>
      <c r="AE1987" s="4">
        <v>141</v>
      </c>
      <c r="AF1987" s="4">
        <v>1</v>
      </c>
      <c r="AG1987" s="4">
        <v>8</v>
      </c>
      <c r="AH1987" s="4">
        <v>93</v>
      </c>
      <c r="AI1987" s="4">
        <v>102</v>
      </c>
      <c r="AJ1987" s="4">
        <v>15</v>
      </c>
      <c r="AK1987" s="4">
        <v>25</v>
      </c>
      <c r="AL1987" s="4">
        <v>48</v>
      </c>
      <c r="AM1987" s="4">
        <v>52</v>
      </c>
      <c r="AN1987" s="4">
        <v>0</v>
      </c>
      <c r="AO1987" s="4">
        <v>0</v>
      </c>
      <c r="AP1987" s="4">
        <v>18</v>
      </c>
      <c r="AQ1987" s="4">
        <v>47</v>
      </c>
      <c r="AR1987" s="3" t="s">
        <v>62</v>
      </c>
      <c r="AS1987" s="3" t="s">
        <v>62</v>
      </c>
      <c r="AT1987" s="3" t="s">
        <v>62</v>
      </c>
      <c r="AV1987" s="6" t="str">
        <f>HYPERLINK("http://mcgill.on.worldcat.org/oclc/37820047","Catalog Record")</f>
        <v>Catalog Record</v>
      </c>
      <c r="AW1987" s="6" t="str">
        <f>HYPERLINK("http://www.worldcat.org/oclc/37820047","WorldCat Record")</f>
        <v>WorldCat Record</v>
      </c>
      <c r="AX1987" s="3" t="s">
        <v>19234</v>
      </c>
      <c r="AY1987" s="3" t="s">
        <v>19235</v>
      </c>
      <c r="AZ1987" s="3" t="s">
        <v>19236</v>
      </c>
      <c r="BA1987" s="3" t="s">
        <v>19236</v>
      </c>
      <c r="BB1987" s="3" t="s">
        <v>19237</v>
      </c>
      <c r="BC1987" s="3" t="s">
        <v>142</v>
      </c>
      <c r="BD1987" s="3" t="s">
        <v>68</v>
      </c>
      <c r="BE1987" s="3" t="s">
        <v>19238</v>
      </c>
      <c r="BF1987" s="3" t="s">
        <v>19237</v>
      </c>
      <c r="BG1987" s="3" t="s">
        <v>19239</v>
      </c>
    </row>
    <row r="1988" spans="1:59" ht="71.25" x14ac:dyDescent="0.45">
      <c r="A1988" s="2" t="s">
        <v>59</v>
      </c>
      <c r="B1988" s="2" t="s">
        <v>60</v>
      </c>
      <c r="C1988" s="2" t="s">
        <v>19240</v>
      </c>
      <c r="D1988" s="2" t="s">
        <v>19241</v>
      </c>
      <c r="E1988" s="2" t="s">
        <v>19242</v>
      </c>
      <c r="G1988" s="3" t="s">
        <v>62</v>
      </c>
      <c r="I1988" s="3" t="s">
        <v>62</v>
      </c>
      <c r="J1988" s="3" t="s">
        <v>62</v>
      </c>
      <c r="K1988" s="3" t="s">
        <v>63</v>
      </c>
      <c r="L1988" s="2" t="s">
        <v>19243</v>
      </c>
      <c r="M1988" s="2" t="s">
        <v>7538</v>
      </c>
      <c r="N1988" s="3" t="s">
        <v>918</v>
      </c>
      <c r="P1988" s="3" t="s">
        <v>65</v>
      </c>
      <c r="R1988" s="3" t="s">
        <v>66</v>
      </c>
      <c r="S1988" s="4">
        <v>20</v>
      </c>
      <c r="T1988" s="4">
        <v>20</v>
      </c>
      <c r="U1988" s="5" t="s">
        <v>421</v>
      </c>
      <c r="V1988" s="5" t="s">
        <v>421</v>
      </c>
      <c r="W1988" s="5" t="s">
        <v>67</v>
      </c>
      <c r="X1988" s="5" t="s">
        <v>67</v>
      </c>
      <c r="Y1988" s="4">
        <v>477</v>
      </c>
      <c r="Z1988" s="4">
        <v>27</v>
      </c>
      <c r="AA1988" s="4">
        <v>90</v>
      </c>
      <c r="AB1988" s="4">
        <v>2</v>
      </c>
      <c r="AC1988" s="4">
        <v>14</v>
      </c>
      <c r="AD1988" s="4">
        <v>112</v>
      </c>
      <c r="AE1988" s="4">
        <v>140</v>
      </c>
      <c r="AF1988" s="4">
        <v>1</v>
      </c>
      <c r="AG1988" s="4">
        <v>8</v>
      </c>
      <c r="AH1988" s="4">
        <v>98</v>
      </c>
      <c r="AI1988" s="4">
        <v>103</v>
      </c>
      <c r="AJ1988" s="4">
        <v>17</v>
      </c>
      <c r="AK1988" s="4">
        <v>25</v>
      </c>
      <c r="AL1988" s="4">
        <v>53</v>
      </c>
      <c r="AM1988" s="4">
        <v>54</v>
      </c>
      <c r="AN1988" s="4">
        <v>0</v>
      </c>
      <c r="AO1988" s="4">
        <v>0</v>
      </c>
      <c r="AP1988" s="4">
        <v>21</v>
      </c>
      <c r="AQ1988" s="4">
        <v>46</v>
      </c>
      <c r="AR1988" s="3" t="s">
        <v>62</v>
      </c>
      <c r="AS1988" s="3" t="s">
        <v>62</v>
      </c>
      <c r="AT1988" s="3" t="s">
        <v>62</v>
      </c>
      <c r="AV1988" s="6" t="str">
        <f>HYPERLINK("http://mcgill.on.worldcat.org/oclc/51210359","Catalog Record")</f>
        <v>Catalog Record</v>
      </c>
      <c r="AW1988" s="6" t="str">
        <f>HYPERLINK("http://www.worldcat.org/oclc/51210359","WorldCat Record")</f>
        <v>WorldCat Record</v>
      </c>
      <c r="AX1988" s="3" t="s">
        <v>19244</v>
      </c>
      <c r="AY1988" s="3" t="s">
        <v>19245</v>
      </c>
      <c r="AZ1988" s="3" t="s">
        <v>19246</v>
      </c>
      <c r="BA1988" s="3" t="s">
        <v>19246</v>
      </c>
      <c r="BB1988" s="3" t="s">
        <v>19247</v>
      </c>
      <c r="BC1988" s="3" t="s">
        <v>142</v>
      </c>
      <c r="BD1988" s="3" t="s">
        <v>68</v>
      </c>
      <c r="BE1988" s="3" t="s">
        <v>19248</v>
      </c>
      <c r="BF1988" s="3" t="s">
        <v>19247</v>
      </c>
      <c r="BG1988" s="3" t="s">
        <v>19249</v>
      </c>
    </row>
    <row r="1989" spans="1:59" ht="71.25" x14ac:dyDescent="0.45">
      <c r="A1989" s="2" t="s">
        <v>59</v>
      </c>
      <c r="B1989" s="2" t="s">
        <v>60</v>
      </c>
      <c r="C1989" s="2" t="s">
        <v>19250</v>
      </c>
      <c r="D1989" s="2" t="s">
        <v>19251</v>
      </c>
      <c r="E1989" s="2" t="s">
        <v>19252</v>
      </c>
      <c r="G1989" s="3" t="s">
        <v>62</v>
      </c>
      <c r="I1989" s="3" t="s">
        <v>62</v>
      </c>
      <c r="J1989" s="3" t="s">
        <v>62</v>
      </c>
      <c r="K1989" s="3" t="s">
        <v>63</v>
      </c>
      <c r="L1989" s="2" t="s">
        <v>19253</v>
      </c>
      <c r="M1989" s="2" t="s">
        <v>6141</v>
      </c>
      <c r="N1989" s="3" t="s">
        <v>894</v>
      </c>
      <c r="P1989" s="3" t="s">
        <v>65</v>
      </c>
      <c r="R1989" s="3" t="s">
        <v>66</v>
      </c>
      <c r="S1989" s="4">
        <v>2</v>
      </c>
      <c r="T1989" s="4">
        <v>2</v>
      </c>
      <c r="U1989" s="5" t="s">
        <v>509</v>
      </c>
      <c r="V1989" s="5" t="s">
        <v>509</v>
      </c>
      <c r="W1989" s="5" t="s">
        <v>67</v>
      </c>
      <c r="X1989" s="5" t="s">
        <v>67</v>
      </c>
      <c r="Y1989" s="4">
        <v>379</v>
      </c>
      <c r="Z1989" s="4">
        <v>27</v>
      </c>
      <c r="AA1989" s="4">
        <v>87</v>
      </c>
      <c r="AB1989" s="4">
        <v>2</v>
      </c>
      <c r="AC1989" s="4">
        <v>15</v>
      </c>
      <c r="AD1989" s="4">
        <v>94</v>
      </c>
      <c r="AE1989" s="4">
        <v>140</v>
      </c>
      <c r="AF1989" s="4">
        <v>1</v>
      </c>
      <c r="AG1989" s="4">
        <v>8</v>
      </c>
      <c r="AH1989" s="4">
        <v>84</v>
      </c>
      <c r="AI1989" s="4">
        <v>103</v>
      </c>
      <c r="AJ1989" s="4">
        <v>15</v>
      </c>
      <c r="AK1989" s="4">
        <v>24</v>
      </c>
      <c r="AL1989" s="4">
        <v>44</v>
      </c>
      <c r="AM1989" s="4">
        <v>52</v>
      </c>
      <c r="AN1989" s="4">
        <v>0</v>
      </c>
      <c r="AO1989" s="4">
        <v>0</v>
      </c>
      <c r="AP1989" s="4">
        <v>20</v>
      </c>
      <c r="AQ1989" s="4">
        <v>47</v>
      </c>
      <c r="AR1989" s="3" t="s">
        <v>62</v>
      </c>
      <c r="AS1989" s="3" t="s">
        <v>62</v>
      </c>
      <c r="AT1989" s="3" t="s">
        <v>62</v>
      </c>
      <c r="AV1989" s="6" t="str">
        <f>HYPERLINK("http://mcgill.on.worldcat.org/oclc/651914893","Catalog Record")</f>
        <v>Catalog Record</v>
      </c>
      <c r="AW1989" s="6" t="str">
        <f>HYPERLINK("http://www.worldcat.org/oclc/651914893","WorldCat Record")</f>
        <v>WorldCat Record</v>
      </c>
      <c r="AX1989" s="3" t="s">
        <v>19254</v>
      </c>
      <c r="AY1989" s="3" t="s">
        <v>19255</v>
      </c>
      <c r="AZ1989" s="3" t="s">
        <v>19256</v>
      </c>
      <c r="BA1989" s="3" t="s">
        <v>19256</v>
      </c>
      <c r="BB1989" s="3" t="s">
        <v>19257</v>
      </c>
      <c r="BC1989" s="3" t="s">
        <v>142</v>
      </c>
      <c r="BD1989" s="3" t="s">
        <v>68</v>
      </c>
      <c r="BE1989" s="3" t="s">
        <v>19258</v>
      </c>
      <c r="BF1989" s="3" t="s">
        <v>19257</v>
      </c>
      <c r="BG1989" s="3" t="s">
        <v>19259</v>
      </c>
    </row>
    <row r="1990" spans="1:59" ht="71.25" x14ac:dyDescent="0.45">
      <c r="A1990" s="2" t="s">
        <v>59</v>
      </c>
      <c r="B1990" s="2" t="s">
        <v>60</v>
      </c>
      <c r="C1990" s="2" t="s">
        <v>19260</v>
      </c>
      <c r="D1990" s="2" t="s">
        <v>19261</v>
      </c>
      <c r="E1990" s="2" t="s">
        <v>19262</v>
      </c>
      <c r="G1990" s="3" t="s">
        <v>62</v>
      </c>
      <c r="I1990" s="3" t="s">
        <v>62</v>
      </c>
      <c r="J1990" s="3" t="s">
        <v>62</v>
      </c>
      <c r="K1990" s="3" t="s">
        <v>63</v>
      </c>
      <c r="L1990" s="2" t="s">
        <v>19263</v>
      </c>
      <c r="M1990" s="2" t="s">
        <v>13295</v>
      </c>
      <c r="N1990" s="3" t="s">
        <v>894</v>
      </c>
      <c r="P1990" s="3" t="s">
        <v>65</v>
      </c>
      <c r="R1990" s="3" t="s">
        <v>66</v>
      </c>
      <c r="S1990" s="4">
        <v>11</v>
      </c>
      <c r="T1990" s="4">
        <v>11</v>
      </c>
      <c r="U1990" s="5" t="s">
        <v>8879</v>
      </c>
      <c r="V1990" s="5" t="s">
        <v>8879</v>
      </c>
      <c r="W1990" s="5" t="s">
        <v>67</v>
      </c>
      <c r="X1990" s="5" t="s">
        <v>67</v>
      </c>
      <c r="Y1990" s="4">
        <v>123</v>
      </c>
      <c r="Z1990" s="4">
        <v>17</v>
      </c>
      <c r="AA1990" s="4">
        <v>19</v>
      </c>
      <c r="AB1990" s="4">
        <v>2</v>
      </c>
      <c r="AC1990" s="4">
        <v>4</v>
      </c>
      <c r="AD1990" s="4">
        <v>45</v>
      </c>
      <c r="AE1990" s="4">
        <v>47</v>
      </c>
      <c r="AF1990" s="4">
        <v>1</v>
      </c>
      <c r="AG1990" s="4">
        <v>3</v>
      </c>
      <c r="AH1990" s="4">
        <v>39</v>
      </c>
      <c r="AI1990" s="4">
        <v>40</v>
      </c>
      <c r="AJ1990" s="4">
        <v>9</v>
      </c>
      <c r="AK1990" s="4">
        <v>11</v>
      </c>
      <c r="AL1990" s="4">
        <v>26</v>
      </c>
      <c r="AM1990" s="4">
        <v>26</v>
      </c>
      <c r="AN1990" s="4">
        <v>0</v>
      </c>
      <c r="AO1990" s="4">
        <v>0</v>
      </c>
      <c r="AP1990" s="4">
        <v>12</v>
      </c>
      <c r="AQ1990" s="4">
        <v>13</v>
      </c>
      <c r="AR1990" s="3" t="s">
        <v>62</v>
      </c>
      <c r="AS1990" s="3" t="s">
        <v>62</v>
      </c>
      <c r="AT1990" s="3" t="s">
        <v>62</v>
      </c>
      <c r="AV1990" s="6" t="str">
        <f>HYPERLINK("http://mcgill.on.worldcat.org/oclc/662152828","Catalog Record")</f>
        <v>Catalog Record</v>
      </c>
      <c r="AW1990" s="6" t="str">
        <f>HYPERLINK("http://www.worldcat.org/oclc/662152828","WorldCat Record")</f>
        <v>WorldCat Record</v>
      </c>
      <c r="AX1990" s="3" t="s">
        <v>19264</v>
      </c>
      <c r="AY1990" s="3" t="s">
        <v>19265</v>
      </c>
      <c r="AZ1990" s="3" t="s">
        <v>19266</v>
      </c>
      <c r="BA1990" s="3" t="s">
        <v>19266</v>
      </c>
      <c r="BB1990" s="3" t="s">
        <v>19267</v>
      </c>
      <c r="BC1990" s="3" t="s">
        <v>142</v>
      </c>
      <c r="BD1990" s="3" t="s">
        <v>68</v>
      </c>
      <c r="BE1990" s="3" t="s">
        <v>19268</v>
      </c>
      <c r="BF1990" s="3" t="s">
        <v>19267</v>
      </c>
      <c r="BG1990" s="3" t="s">
        <v>19269</v>
      </c>
    </row>
    <row r="1991" spans="1:59" ht="71.25" x14ac:dyDescent="0.45">
      <c r="A1991" s="2" t="s">
        <v>59</v>
      </c>
      <c r="B1991" s="2" t="s">
        <v>60</v>
      </c>
      <c r="C1991" s="2" t="s">
        <v>19270</v>
      </c>
      <c r="D1991" s="2" t="s">
        <v>19271</v>
      </c>
      <c r="E1991" s="2" t="s">
        <v>19272</v>
      </c>
      <c r="G1991" s="3" t="s">
        <v>62</v>
      </c>
      <c r="I1991" s="3" t="s">
        <v>62</v>
      </c>
      <c r="J1991" s="3" t="s">
        <v>62</v>
      </c>
      <c r="K1991" s="3" t="s">
        <v>63</v>
      </c>
      <c r="L1991" s="2" t="s">
        <v>19273</v>
      </c>
      <c r="M1991" s="2" t="s">
        <v>18217</v>
      </c>
      <c r="N1991" s="3" t="s">
        <v>116</v>
      </c>
      <c r="P1991" s="3" t="s">
        <v>65</v>
      </c>
      <c r="Q1991" s="2" t="s">
        <v>19274</v>
      </c>
      <c r="R1991" s="3" t="s">
        <v>66</v>
      </c>
      <c r="S1991" s="4">
        <v>5</v>
      </c>
      <c r="T1991" s="4">
        <v>5</v>
      </c>
      <c r="U1991" s="5" t="s">
        <v>1749</v>
      </c>
      <c r="V1991" s="5" t="s">
        <v>1749</v>
      </c>
      <c r="W1991" s="5" t="s">
        <v>67</v>
      </c>
      <c r="X1991" s="5" t="s">
        <v>67</v>
      </c>
      <c r="Y1991" s="4">
        <v>135</v>
      </c>
      <c r="Z1991" s="4">
        <v>16</v>
      </c>
      <c r="AA1991" s="4">
        <v>18</v>
      </c>
      <c r="AB1991" s="4">
        <v>4</v>
      </c>
      <c r="AC1991" s="4">
        <v>6</v>
      </c>
      <c r="AD1991" s="4">
        <v>51</v>
      </c>
      <c r="AE1991" s="4">
        <v>53</v>
      </c>
      <c r="AF1991" s="4">
        <v>2</v>
      </c>
      <c r="AG1991" s="4">
        <v>4</v>
      </c>
      <c r="AH1991" s="4">
        <v>46</v>
      </c>
      <c r="AI1991" s="4">
        <v>47</v>
      </c>
      <c r="AJ1991" s="4">
        <v>10</v>
      </c>
      <c r="AK1991" s="4">
        <v>12</v>
      </c>
      <c r="AL1991" s="4">
        <v>27</v>
      </c>
      <c r="AM1991" s="4">
        <v>27</v>
      </c>
      <c r="AN1991" s="4">
        <v>0</v>
      </c>
      <c r="AO1991" s="4">
        <v>0</v>
      </c>
      <c r="AP1991" s="4">
        <v>11</v>
      </c>
      <c r="AQ1991" s="4">
        <v>13</v>
      </c>
      <c r="AR1991" s="3" t="s">
        <v>62</v>
      </c>
      <c r="AS1991" s="3" t="s">
        <v>62</v>
      </c>
      <c r="AT1991" s="3" t="s">
        <v>62</v>
      </c>
      <c r="AV1991" s="6" t="str">
        <f>HYPERLINK("http://mcgill.on.worldcat.org/oclc/818659522","Catalog Record")</f>
        <v>Catalog Record</v>
      </c>
      <c r="AW1991" s="6" t="str">
        <f>HYPERLINK("http://www.worldcat.org/oclc/818659522","WorldCat Record")</f>
        <v>WorldCat Record</v>
      </c>
      <c r="AX1991" s="3" t="s">
        <v>19275</v>
      </c>
      <c r="AY1991" s="3" t="s">
        <v>19276</v>
      </c>
      <c r="AZ1991" s="3" t="s">
        <v>19277</v>
      </c>
      <c r="BA1991" s="3" t="s">
        <v>19277</v>
      </c>
      <c r="BB1991" s="3" t="s">
        <v>19278</v>
      </c>
      <c r="BC1991" s="3" t="s">
        <v>142</v>
      </c>
      <c r="BD1991" s="3" t="s">
        <v>68</v>
      </c>
      <c r="BE1991" s="3" t="s">
        <v>19279</v>
      </c>
      <c r="BF1991" s="3" t="s">
        <v>19278</v>
      </c>
      <c r="BG1991" s="3" t="s">
        <v>19280</v>
      </c>
    </row>
    <row r="1992" spans="1:59" ht="71.25" x14ac:dyDescent="0.45">
      <c r="A1992" s="2" t="s">
        <v>59</v>
      </c>
      <c r="B1992" s="2" t="s">
        <v>60</v>
      </c>
      <c r="C1992" s="2" t="s">
        <v>19281</v>
      </c>
      <c r="D1992" s="2" t="s">
        <v>19282</v>
      </c>
      <c r="E1992" s="2" t="s">
        <v>19283</v>
      </c>
      <c r="G1992" s="3" t="s">
        <v>62</v>
      </c>
      <c r="I1992" s="3" t="s">
        <v>62</v>
      </c>
      <c r="J1992" s="3" t="s">
        <v>62</v>
      </c>
      <c r="K1992" s="3" t="s">
        <v>63</v>
      </c>
      <c r="L1992" s="2" t="s">
        <v>19284</v>
      </c>
      <c r="M1992" s="2" t="s">
        <v>19285</v>
      </c>
      <c r="N1992" s="3" t="s">
        <v>529</v>
      </c>
      <c r="P1992" s="3" t="s">
        <v>65</v>
      </c>
      <c r="R1992" s="3" t="s">
        <v>66</v>
      </c>
      <c r="S1992" s="4">
        <v>6</v>
      </c>
      <c r="T1992" s="4">
        <v>6</v>
      </c>
      <c r="U1992" s="5" t="s">
        <v>19286</v>
      </c>
      <c r="V1992" s="5" t="s">
        <v>19286</v>
      </c>
      <c r="W1992" s="5" t="s">
        <v>67</v>
      </c>
      <c r="X1992" s="5" t="s">
        <v>67</v>
      </c>
      <c r="Y1992" s="4">
        <v>558</v>
      </c>
      <c r="Z1992" s="4">
        <v>30</v>
      </c>
      <c r="AA1992" s="4">
        <v>34</v>
      </c>
      <c r="AB1992" s="4">
        <v>3</v>
      </c>
      <c r="AC1992" s="4">
        <v>7</v>
      </c>
      <c r="AD1992" s="4">
        <v>109</v>
      </c>
      <c r="AE1992" s="4">
        <v>113</v>
      </c>
      <c r="AF1992" s="4">
        <v>2</v>
      </c>
      <c r="AG1992" s="4">
        <v>6</v>
      </c>
      <c r="AH1992" s="4">
        <v>93</v>
      </c>
      <c r="AI1992" s="4">
        <v>94</v>
      </c>
      <c r="AJ1992" s="4">
        <v>17</v>
      </c>
      <c r="AK1992" s="4">
        <v>20</v>
      </c>
      <c r="AL1992" s="4">
        <v>47</v>
      </c>
      <c r="AM1992" s="4">
        <v>47</v>
      </c>
      <c r="AN1992" s="4">
        <v>0</v>
      </c>
      <c r="AO1992" s="4">
        <v>0</v>
      </c>
      <c r="AP1992" s="4">
        <v>25</v>
      </c>
      <c r="AQ1992" s="4">
        <v>28</v>
      </c>
      <c r="AR1992" s="3" t="s">
        <v>62</v>
      </c>
      <c r="AS1992" s="3" t="s">
        <v>62</v>
      </c>
      <c r="AT1992" s="3" t="s">
        <v>61</v>
      </c>
      <c r="AU1992" s="6" t="str">
        <f>HYPERLINK("http://catalog.hathitrust.org/Record/000352422","HathiTrust Record")</f>
        <v>HathiTrust Record</v>
      </c>
      <c r="AV1992" s="6" t="str">
        <f>HYPERLINK("http://mcgill.on.worldcat.org/oclc/11841731","Catalog Record")</f>
        <v>Catalog Record</v>
      </c>
      <c r="AW1992" s="6" t="str">
        <f>HYPERLINK("http://www.worldcat.org/oclc/11841731","WorldCat Record")</f>
        <v>WorldCat Record</v>
      </c>
      <c r="AX1992" s="3" t="s">
        <v>19287</v>
      </c>
      <c r="AY1992" s="3" t="s">
        <v>19288</v>
      </c>
      <c r="AZ1992" s="3" t="s">
        <v>19289</v>
      </c>
      <c r="BA1992" s="3" t="s">
        <v>19289</v>
      </c>
      <c r="BB1992" s="3" t="s">
        <v>19290</v>
      </c>
      <c r="BC1992" s="3" t="s">
        <v>142</v>
      </c>
      <c r="BD1992" s="3" t="s">
        <v>68</v>
      </c>
      <c r="BE1992" s="3" t="s">
        <v>19291</v>
      </c>
      <c r="BF1992" s="3" t="s">
        <v>19290</v>
      </c>
      <c r="BG1992" s="3" t="s">
        <v>19292</v>
      </c>
    </row>
    <row r="1993" spans="1:59" ht="71.25" x14ac:dyDescent="0.45">
      <c r="A1993" s="2" t="s">
        <v>59</v>
      </c>
      <c r="B1993" s="2" t="s">
        <v>60</v>
      </c>
      <c r="C1993" s="2" t="s">
        <v>19293</v>
      </c>
      <c r="D1993" s="2" t="s">
        <v>19294</v>
      </c>
      <c r="E1993" s="2" t="s">
        <v>19295</v>
      </c>
      <c r="G1993" s="3" t="s">
        <v>62</v>
      </c>
      <c r="I1993" s="3" t="s">
        <v>62</v>
      </c>
      <c r="J1993" s="3" t="s">
        <v>62</v>
      </c>
      <c r="K1993" s="3" t="s">
        <v>63</v>
      </c>
      <c r="L1993" s="2" t="s">
        <v>19284</v>
      </c>
      <c r="M1993" s="2" t="s">
        <v>13787</v>
      </c>
      <c r="N1993" s="3" t="s">
        <v>958</v>
      </c>
      <c r="O1993" s="2" t="s">
        <v>933</v>
      </c>
      <c r="P1993" s="3" t="s">
        <v>65</v>
      </c>
      <c r="R1993" s="3" t="s">
        <v>66</v>
      </c>
      <c r="S1993" s="4">
        <v>57</v>
      </c>
      <c r="T1993" s="4">
        <v>57</v>
      </c>
      <c r="U1993" s="5" t="s">
        <v>19223</v>
      </c>
      <c r="V1993" s="5" t="s">
        <v>19223</v>
      </c>
      <c r="W1993" s="5" t="s">
        <v>67</v>
      </c>
      <c r="X1993" s="5" t="s">
        <v>67</v>
      </c>
      <c r="Y1993" s="4">
        <v>617</v>
      </c>
      <c r="Z1993" s="4">
        <v>33</v>
      </c>
      <c r="AA1993" s="4">
        <v>37</v>
      </c>
      <c r="AB1993" s="4">
        <v>2</v>
      </c>
      <c r="AC1993" s="4">
        <v>5</v>
      </c>
      <c r="AD1993" s="4">
        <v>115</v>
      </c>
      <c r="AE1993" s="4">
        <v>119</v>
      </c>
      <c r="AF1993" s="4">
        <v>1</v>
      </c>
      <c r="AG1993" s="4">
        <v>4</v>
      </c>
      <c r="AH1993" s="4">
        <v>99</v>
      </c>
      <c r="AI1993" s="4">
        <v>100</v>
      </c>
      <c r="AJ1993" s="4">
        <v>16</v>
      </c>
      <c r="AK1993" s="4">
        <v>20</v>
      </c>
      <c r="AL1993" s="4">
        <v>53</v>
      </c>
      <c r="AM1993" s="4">
        <v>53</v>
      </c>
      <c r="AN1993" s="4">
        <v>0</v>
      </c>
      <c r="AO1993" s="4">
        <v>0</v>
      </c>
      <c r="AP1993" s="4">
        <v>25</v>
      </c>
      <c r="AQ1993" s="4">
        <v>28</v>
      </c>
      <c r="AR1993" s="3" t="s">
        <v>62</v>
      </c>
      <c r="AS1993" s="3" t="s">
        <v>62</v>
      </c>
      <c r="AT1993" s="3" t="s">
        <v>61</v>
      </c>
      <c r="AU1993" s="6" t="str">
        <f>HYPERLINK("http://catalog.hathitrust.org/Record/003002684","HathiTrust Record")</f>
        <v>HathiTrust Record</v>
      </c>
      <c r="AV1993" s="6" t="str">
        <f>HYPERLINK("http://mcgill.on.worldcat.org/oclc/32385146","Catalog Record")</f>
        <v>Catalog Record</v>
      </c>
      <c r="AW1993" s="6" t="str">
        <f>HYPERLINK("http://www.worldcat.org/oclc/32385146","WorldCat Record")</f>
        <v>WorldCat Record</v>
      </c>
      <c r="AX1993" s="3" t="s">
        <v>19296</v>
      </c>
      <c r="AY1993" s="3" t="s">
        <v>19297</v>
      </c>
      <c r="AZ1993" s="3" t="s">
        <v>19298</v>
      </c>
      <c r="BA1993" s="3" t="s">
        <v>19298</v>
      </c>
      <c r="BB1993" s="3" t="s">
        <v>19299</v>
      </c>
      <c r="BC1993" s="3" t="s">
        <v>142</v>
      </c>
      <c r="BD1993" s="3" t="s">
        <v>68</v>
      </c>
      <c r="BE1993" s="3" t="s">
        <v>19300</v>
      </c>
      <c r="BF1993" s="3" t="s">
        <v>19299</v>
      </c>
      <c r="BG1993" s="3" t="s">
        <v>19301</v>
      </c>
    </row>
    <row r="1994" spans="1:59" ht="71.25" x14ac:dyDescent="0.45">
      <c r="A1994" s="2" t="s">
        <v>59</v>
      </c>
      <c r="B1994" s="2" t="s">
        <v>60</v>
      </c>
      <c r="C1994" s="2" t="s">
        <v>19302</v>
      </c>
      <c r="D1994" s="2" t="s">
        <v>19303</v>
      </c>
      <c r="E1994" s="2" t="s">
        <v>19304</v>
      </c>
      <c r="G1994" s="3" t="s">
        <v>62</v>
      </c>
      <c r="I1994" s="3" t="s">
        <v>62</v>
      </c>
      <c r="J1994" s="3" t="s">
        <v>62</v>
      </c>
      <c r="K1994" s="3" t="s">
        <v>63</v>
      </c>
      <c r="L1994" s="2" t="s">
        <v>19305</v>
      </c>
      <c r="M1994" s="2" t="s">
        <v>19306</v>
      </c>
      <c r="N1994" s="3" t="s">
        <v>918</v>
      </c>
      <c r="O1994" s="2" t="s">
        <v>906</v>
      </c>
      <c r="P1994" s="3" t="s">
        <v>65</v>
      </c>
      <c r="R1994" s="3" t="s">
        <v>66</v>
      </c>
      <c r="S1994" s="4">
        <v>26</v>
      </c>
      <c r="T1994" s="4">
        <v>26</v>
      </c>
      <c r="U1994" s="5" t="s">
        <v>19286</v>
      </c>
      <c r="V1994" s="5" t="s">
        <v>19286</v>
      </c>
      <c r="W1994" s="5" t="s">
        <v>67</v>
      </c>
      <c r="X1994" s="5" t="s">
        <v>67</v>
      </c>
      <c r="Y1994" s="4">
        <v>485</v>
      </c>
      <c r="Z1994" s="4">
        <v>36</v>
      </c>
      <c r="AA1994" s="4">
        <v>40</v>
      </c>
      <c r="AB1994" s="4">
        <v>2</v>
      </c>
      <c r="AC1994" s="4">
        <v>6</v>
      </c>
      <c r="AD1994" s="4">
        <v>107</v>
      </c>
      <c r="AE1994" s="4">
        <v>110</v>
      </c>
      <c r="AF1994" s="4">
        <v>1</v>
      </c>
      <c r="AG1994" s="4">
        <v>4</v>
      </c>
      <c r="AH1994" s="4">
        <v>89</v>
      </c>
      <c r="AI1994" s="4">
        <v>90</v>
      </c>
      <c r="AJ1994" s="4">
        <v>17</v>
      </c>
      <c r="AK1994" s="4">
        <v>20</v>
      </c>
      <c r="AL1994" s="4">
        <v>44</v>
      </c>
      <c r="AM1994" s="4">
        <v>44</v>
      </c>
      <c r="AN1994" s="4">
        <v>0</v>
      </c>
      <c r="AO1994" s="4">
        <v>0</v>
      </c>
      <c r="AP1994" s="4">
        <v>27</v>
      </c>
      <c r="AQ1994" s="4">
        <v>29</v>
      </c>
      <c r="AR1994" s="3" t="s">
        <v>62</v>
      </c>
      <c r="AS1994" s="3" t="s">
        <v>62</v>
      </c>
      <c r="AT1994" s="3" t="s">
        <v>61</v>
      </c>
      <c r="AU1994" s="6" t="str">
        <f>HYPERLINK("http://catalog.hathitrust.org/Record/004345312","HathiTrust Record")</f>
        <v>HathiTrust Record</v>
      </c>
      <c r="AV1994" s="6" t="str">
        <f>HYPERLINK("http://mcgill.on.worldcat.org/oclc/51944359","Catalog Record")</f>
        <v>Catalog Record</v>
      </c>
      <c r="AW1994" s="6" t="str">
        <f>HYPERLINK("http://www.worldcat.org/oclc/51944359","WorldCat Record")</f>
        <v>WorldCat Record</v>
      </c>
      <c r="AX1994" s="3" t="s">
        <v>19307</v>
      </c>
      <c r="AY1994" s="3" t="s">
        <v>19308</v>
      </c>
      <c r="AZ1994" s="3" t="s">
        <v>19309</v>
      </c>
      <c r="BA1994" s="3" t="s">
        <v>19309</v>
      </c>
      <c r="BB1994" s="3" t="s">
        <v>19310</v>
      </c>
      <c r="BC1994" s="3" t="s">
        <v>142</v>
      </c>
      <c r="BD1994" s="3" t="s">
        <v>68</v>
      </c>
      <c r="BE1994" s="3" t="s">
        <v>19311</v>
      </c>
      <c r="BF1994" s="3" t="s">
        <v>19310</v>
      </c>
      <c r="BG1994" s="3" t="s">
        <v>19312</v>
      </c>
    </row>
    <row r="1995" spans="1:59" ht="71.25" x14ac:dyDescent="0.45">
      <c r="A1995" s="2" t="s">
        <v>59</v>
      </c>
      <c r="B1995" s="2" t="s">
        <v>60</v>
      </c>
      <c r="C1995" s="2" t="s">
        <v>19313</v>
      </c>
      <c r="D1995" s="2" t="s">
        <v>19314</v>
      </c>
      <c r="E1995" s="2" t="s">
        <v>19315</v>
      </c>
      <c r="G1995" s="3" t="s">
        <v>62</v>
      </c>
      <c r="I1995" s="3" t="s">
        <v>62</v>
      </c>
      <c r="J1995" s="3" t="s">
        <v>62</v>
      </c>
      <c r="K1995" s="3" t="s">
        <v>63</v>
      </c>
      <c r="L1995" s="2" t="s">
        <v>19305</v>
      </c>
      <c r="M1995" s="2" t="s">
        <v>19316</v>
      </c>
      <c r="N1995" s="3" t="s">
        <v>116</v>
      </c>
      <c r="O1995" s="2" t="s">
        <v>420</v>
      </c>
      <c r="P1995" s="3" t="s">
        <v>65</v>
      </c>
      <c r="R1995" s="3" t="s">
        <v>66</v>
      </c>
      <c r="S1995" s="4">
        <v>5</v>
      </c>
      <c r="T1995" s="4">
        <v>5</v>
      </c>
      <c r="U1995" s="5" t="s">
        <v>4360</v>
      </c>
      <c r="V1995" s="5" t="s">
        <v>4360</v>
      </c>
      <c r="W1995" s="5" t="s">
        <v>67</v>
      </c>
      <c r="X1995" s="5" t="s">
        <v>67</v>
      </c>
      <c r="Y1995" s="4">
        <v>295</v>
      </c>
      <c r="Z1995" s="4">
        <v>27</v>
      </c>
      <c r="AA1995" s="4">
        <v>36</v>
      </c>
      <c r="AB1995" s="4">
        <v>2</v>
      </c>
      <c r="AC1995" s="4">
        <v>8</v>
      </c>
      <c r="AD1995" s="4">
        <v>83</v>
      </c>
      <c r="AE1995" s="4">
        <v>92</v>
      </c>
      <c r="AF1995" s="4">
        <v>1</v>
      </c>
      <c r="AG1995" s="4">
        <v>4</v>
      </c>
      <c r="AH1995" s="4">
        <v>73</v>
      </c>
      <c r="AI1995" s="4">
        <v>77</v>
      </c>
      <c r="AJ1995" s="4">
        <v>13</v>
      </c>
      <c r="AK1995" s="4">
        <v>18</v>
      </c>
      <c r="AL1995" s="4">
        <v>41</v>
      </c>
      <c r="AM1995" s="4">
        <v>42</v>
      </c>
      <c r="AN1995" s="4">
        <v>0</v>
      </c>
      <c r="AO1995" s="4">
        <v>0</v>
      </c>
      <c r="AP1995" s="4">
        <v>19</v>
      </c>
      <c r="AQ1995" s="4">
        <v>24</v>
      </c>
      <c r="AR1995" s="3" t="s">
        <v>62</v>
      </c>
      <c r="AS1995" s="3" t="s">
        <v>62</v>
      </c>
      <c r="AT1995" s="3" t="s">
        <v>62</v>
      </c>
      <c r="AV1995" s="6" t="str">
        <f>HYPERLINK("http://mcgill.on.worldcat.org/oclc/794032641","Catalog Record")</f>
        <v>Catalog Record</v>
      </c>
      <c r="AW1995" s="6" t="str">
        <f>HYPERLINK("http://www.worldcat.org/oclc/794032641","WorldCat Record")</f>
        <v>WorldCat Record</v>
      </c>
      <c r="AX1995" s="3" t="s">
        <v>19317</v>
      </c>
      <c r="AY1995" s="3" t="s">
        <v>19318</v>
      </c>
      <c r="AZ1995" s="3" t="s">
        <v>19319</v>
      </c>
      <c r="BA1995" s="3" t="s">
        <v>19319</v>
      </c>
      <c r="BB1995" s="3" t="s">
        <v>19320</v>
      </c>
      <c r="BC1995" s="3" t="s">
        <v>142</v>
      </c>
      <c r="BD1995" s="3" t="s">
        <v>68</v>
      </c>
      <c r="BE1995" s="3" t="s">
        <v>19321</v>
      </c>
      <c r="BF1995" s="3" t="s">
        <v>19320</v>
      </c>
      <c r="BG1995" s="3" t="s">
        <v>19322</v>
      </c>
    </row>
    <row r="1996" spans="1:59" ht="57" x14ac:dyDescent="0.45">
      <c r="A1996" s="2" t="s">
        <v>59</v>
      </c>
      <c r="B1996" s="2" t="s">
        <v>60</v>
      </c>
      <c r="C1996" s="2" t="s">
        <v>19323</v>
      </c>
      <c r="D1996" s="2" t="s">
        <v>19324</v>
      </c>
      <c r="E1996" s="2" t="s">
        <v>19325</v>
      </c>
      <c r="G1996" s="3" t="s">
        <v>62</v>
      </c>
      <c r="I1996" s="3" t="s">
        <v>62</v>
      </c>
      <c r="J1996" s="3" t="s">
        <v>62</v>
      </c>
      <c r="K1996" s="3" t="s">
        <v>63</v>
      </c>
      <c r="M1996" s="2" t="s">
        <v>19326</v>
      </c>
      <c r="N1996" s="3" t="s">
        <v>149</v>
      </c>
      <c r="P1996" s="3" t="s">
        <v>65</v>
      </c>
      <c r="R1996" s="3" t="s">
        <v>66</v>
      </c>
      <c r="S1996" s="4">
        <v>0</v>
      </c>
      <c r="T1996" s="4">
        <v>0</v>
      </c>
      <c r="W1996" s="5" t="s">
        <v>67</v>
      </c>
      <c r="X1996" s="5" t="s">
        <v>67</v>
      </c>
      <c r="Y1996" s="4">
        <v>194</v>
      </c>
      <c r="Z1996" s="4">
        <v>15</v>
      </c>
      <c r="AA1996" s="4">
        <v>79</v>
      </c>
      <c r="AB1996" s="4">
        <v>1</v>
      </c>
      <c r="AC1996" s="4">
        <v>12</v>
      </c>
      <c r="AD1996" s="4">
        <v>75</v>
      </c>
      <c r="AE1996" s="4">
        <v>131</v>
      </c>
      <c r="AF1996" s="4">
        <v>0</v>
      </c>
      <c r="AG1996" s="4">
        <v>4</v>
      </c>
      <c r="AH1996" s="4">
        <v>71</v>
      </c>
      <c r="AI1996" s="4">
        <v>104</v>
      </c>
      <c r="AJ1996" s="4">
        <v>12</v>
      </c>
      <c r="AK1996" s="4">
        <v>24</v>
      </c>
      <c r="AL1996" s="4">
        <v>38</v>
      </c>
      <c r="AM1996" s="4">
        <v>55</v>
      </c>
      <c r="AN1996" s="4">
        <v>0</v>
      </c>
      <c r="AO1996" s="4">
        <v>0</v>
      </c>
      <c r="AP1996" s="4">
        <v>12</v>
      </c>
      <c r="AQ1996" s="4">
        <v>38</v>
      </c>
      <c r="AR1996" s="3" t="s">
        <v>62</v>
      </c>
      <c r="AS1996" s="3" t="s">
        <v>61</v>
      </c>
      <c r="AT1996" s="3" t="s">
        <v>61</v>
      </c>
      <c r="AU1996" s="6" t="str">
        <f>HYPERLINK("http://catalog.hathitrust.org/Record/008393719","HathiTrust Record")</f>
        <v>HathiTrust Record</v>
      </c>
      <c r="AV1996" s="6" t="str">
        <f>HYPERLINK("http://mcgill.on.worldcat.org/oclc/468973611","Catalog Record")</f>
        <v>Catalog Record</v>
      </c>
      <c r="AW1996" s="6" t="str">
        <f>HYPERLINK("http://www.worldcat.org/oclc/468973611","WorldCat Record")</f>
        <v>WorldCat Record</v>
      </c>
      <c r="AX1996" s="3" t="s">
        <v>19327</v>
      </c>
      <c r="AY1996" s="3" t="s">
        <v>19328</v>
      </c>
      <c r="AZ1996" s="3" t="s">
        <v>19329</v>
      </c>
      <c r="BA1996" s="3" t="s">
        <v>19329</v>
      </c>
      <c r="BB1996" s="3" t="s">
        <v>19330</v>
      </c>
      <c r="BC1996" s="3" t="s">
        <v>142</v>
      </c>
      <c r="BD1996" s="3" t="s">
        <v>68</v>
      </c>
      <c r="BE1996" s="3" t="s">
        <v>19331</v>
      </c>
      <c r="BF1996" s="3" t="s">
        <v>19330</v>
      </c>
      <c r="BG1996" s="3" t="s">
        <v>19332</v>
      </c>
    </row>
    <row r="1997" spans="1:59" ht="71.25" x14ac:dyDescent="0.45">
      <c r="A1997" s="2" t="s">
        <v>59</v>
      </c>
      <c r="B1997" s="2" t="s">
        <v>60</v>
      </c>
      <c r="C1997" s="2" t="s">
        <v>19333</v>
      </c>
      <c r="D1997" s="2" t="s">
        <v>19334</v>
      </c>
      <c r="E1997" s="2" t="s">
        <v>19335</v>
      </c>
      <c r="G1997" s="3" t="s">
        <v>62</v>
      </c>
      <c r="I1997" s="3" t="s">
        <v>62</v>
      </c>
      <c r="J1997" s="3" t="s">
        <v>62</v>
      </c>
      <c r="K1997" s="3" t="s">
        <v>63</v>
      </c>
      <c r="M1997" s="2" t="s">
        <v>19336</v>
      </c>
      <c r="N1997" s="3" t="s">
        <v>19337</v>
      </c>
      <c r="P1997" s="3" t="s">
        <v>65</v>
      </c>
      <c r="Q1997" s="2" t="s">
        <v>19338</v>
      </c>
      <c r="R1997" s="3" t="s">
        <v>66</v>
      </c>
      <c r="S1997" s="4">
        <v>0</v>
      </c>
      <c r="T1997" s="4">
        <v>0</v>
      </c>
      <c r="W1997" s="5" t="s">
        <v>19339</v>
      </c>
      <c r="X1997" s="5" t="s">
        <v>19339</v>
      </c>
      <c r="Y1997" s="4">
        <v>80</v>
      </c>
      <c r="Z1997" s="4">
        <v>7</v>
      </c>
      <c r="AA1997" s="4">
        <v>13</v>
      </c>
      <c r="AB1997" s="4">
        <v>1</v>
      </c>
      <c r="AC1997" s="4">
        <v>3</v>
      </c>
      <c r="AD1997" s="4">
        <v>40</v>
      </c>
      <c r="AE1997" s="4">
        <v>52</v>
      </c>
      <c r="AF1997" s="4">
        <v>0</v>
      </c>
      <c r="AG1997" s="4">
        <v>0</v>
      </c>
      <c r="AH1997" s="4">
        <v>36</v>
      </c>
      <c r="AI1997" s="4">
        <v>48</v>
      </c>
      <c r="AJ1997" s="4">
        <v>4</v>
      </c>
      <c r="AK1997" s="4">
        <v>8</v>
      </c>
      <c r="AL1997" s="4">
        <v>25</v>
      </c>
      <c r="AM1997" s="4">
        <v>30</v>
      </c>
      <c r="AN1997" s="4">
        <v>0</v>
      </c>
      <c r="AO1997" s="4">
        <v>0</v>
      </c>
      <c r="AP1997" s="4">
        <v>6</v>
      </c>
      <c r="AQ1997" s="4">
        <v>10</v>
      </c>
      <c r="AR1997" s="3" t="s">
        <v>62</v>
      </c>
      <c r="AS1997" s="3" t="s">
        <v>62</v>
      </c>
      <c r="AT1997" s="3" t="s">
        <v>62</v>
      </c>
      <c r="AV1997" s="6" t="str">
        <f>HYPERLINK("http://mcgill.on.worldcat.org/oclc/1055263568","Catalog Record")</f>
        <v>Catalog Record</v>
      </c>
      <c r="AW1997" s="6" t="str">
        <f>HYPERLINK("http://www.worldcat.org/oclc/1055263568","WorldCat Record")</f>
        <v>WorldCat Record</v>
      </c>
      <c r="AX1997" s="3" t="s">
        <v>19340</v>
      </c>
      <c r="AY1997" s="3" t="s">
        <v>19341</v>
      </c>
      <c r="AZ1997" s="3" t="s">
        <v>19342</v>
      </c>
      <c r="BA1997" s="3" t="s">
        <v>19342</v>
      </c>
      <c r="BB1997" s="3" t="s">
        <v>19343</v>
      </c>
      <c r="BC1997" s="3" t="s">
        <v>142</v>
      </c>
      <c r="BD1997" s="3" t="s">
        <v>68</v>
      </c>
      <c r="BE1997" s="3" t="s">
        <v>19344</v>
      </c>
      <c r="BF1997" s="3" t="s">
        <v>19343</v>
      </c>
      <c r="BG1997" s="3" t="s">
        <v>19345</v>
      </c>
    </row>
    <row r="1998" spans="1:59" ht="57" x14ac:dyDescent="0.45">
      <c r="A1998" s="2" t="s">
        <v>59</v>
      </c>
      <c r="B1998" s="2" t="s">
        <v>60</v>
      </c>
      <c r="C1998" s="2" t="s">
        <v>19346</v>
      </c>
      <c r="D1998" s="2" t="s">
        <v>19347</v>
      </c>
      <c r="E1998" s="2" t="s">
        <v>19348</v>
      </c>
      <c r="G1998" s="3" t="s">
        <v>62</v>
      </c>
      <c r="I1998" s="3" t="s">
        <v>62</v>
      </c>
      <c r="J1998" s="3" t="s">
        <v>62</v>
      </c>
      <c r="K1998" s="3" t="s">
        <v>63</v>
      </c>
      <c r="M1998" s="2" t="s">
        <v>19349</v>
      </c>
      <c r="N1998" s="3" t="s">
        <v>167</v>
      </c>
      <c r="P1998" s="3" t="s">
        <v>65</v>
      </c>
      <c r="Q1998" s="2" t="s">
        <v>19350</v>
      </c>
      <c r="R1998" s="3" t="s">
        <v>66</v>
      </c>
      <c r="S1998" s="4">
        <v>1</v>
      </c>
      <c r="T1998" s="4">
        <v>1</v>
      </c>
      <c r="U1998" s="5" t="s">
        <v>6466</v>
      </c>
      <c r="V1998" s="5" t="s">
        <v>6466</v>
      </c>
      <c r="W1998" s="5" t="s">
        <v>67</v>
      </c>
      <c r="X1998" s="5" t="s">
        <v>67</v>
      </c>
      <c r="Y1998" s="4">
        <v>13</v>
      </c>
      <c r="Z1998" s="4">
        <v>5</v>
      </c>
      <c r="AA1998" s="4">
        <v>5</v>
      </c>
      <c r="AB1998" s="4">
        <v>1</v>
      </c>
      <c r="AC1998" s="4">
        <v>1</v>
      </c>
      <c r="AD1998" s="4">
        <v>5</v>
      </c>
      <c r="AE1998" s="4">
        <v>5</v>
      </c>
      <c r="AF1998" s="4">
        <v>0</v>
      </c>
      <c r="AG1998" s="4">
        <v>0</v>
      </c>
      <c r="AH1998" s="4">
        <v>4</v>
      </c>
      <c r="AI1998" s="4">
        <v>4</v>
      </c>
      <c r="AJ1998" s="4">
        <v>2</v>
      </c>
      <c r="AK1998" s="4">
        <v>2</v>
      </c>
      <c r="AL1998" s="4">
        <v>2</v>
      </c>
      <c r="AM1998" s="4">
        <v>2</v>
      </c>
      <c r="AN1998" s="4">
        <v>0</v>
      </c>
      <c r="AO1998" s="4">
        <v>0</v>
      </c>
      <c r="AP1998" s="4">
        <v>3</v>
      </c>
      <c r="AQ1998" s="4">
        <v>3</v>
      </c>
      <c r="AR1998" s="3" t="s">
        <v>62</v>
      </c>
      <c r="AS1998" s="3" t="s">
        <v>62</v>
      </c>
      <c r="AT1998" s="3" t="s">
        <v>62</v>
      </c>
      <c r="AV1998" s="6" t="str">
        <f>HYPERLINK("http://mcgill.on.worldcat.org/oclc/51512421","Catalog Record")</f>
        <v>Catalog Record</v>
      </c>
      <c r="AW1998" s="6" t="str">
        <f>HYPERLINK("http://www.worldcat.org/oclc/51512421","WorldCat Record")</f>
        <v>WorldCat Record</v>
      </c>
      <c r="AX1998" s="3" t="s">
        <v>19351</v>
      </c>
      <c r="AY1998" s="3" t="s">
        <v>19352</v>
      </c>
      <c r="AZ1998" s="3" t="s">
        <v>19353</v>
      </c>
      <c r="BA1998" s="3" t="s">
        <v>19353</v>
      </c>
      <c r="BB1998" s="3" t="s">
        <v>19354</v>
      </c>
      <c r="BC1998" s="3" t="s">
        <v>142</v>
      </c>
      <c r="BD1998" s="3" t="s">
        <v>68</v>
      </c>
      <c r="BE1998" s="3" t="s">
        <v>19355</v>
      </c>
      <c r="BF1998" s="3" t="s">
        <v>19354</v>
      </c>
      <c r="BG1998" s="3" t="s">
        <v>19356</v>
      </c>
    </row>
    <row r="1999" spans="1:59" ht="57" x14ac:dyDescent="0.45">
      <c r="A1999" s="2" t="s">
        <v>59</v>
      </c>
      <c r="B1999" s="2" t="s">
        <v>60</v>
      </c>
      <c r="C1999" s="2" t="s">
        <v>19357</v>
      </c>
      <c r="D1999" s="2" t="s">
        <v>19358</v>
      </c>
      <c r="E1999" s="2" t="s">
        <v>19359</v>
      </c>
      <c r="G1999" s="3" t="s">
        <v>62</v>
      </c>
      <c r="I1999" s="3" t="s">
        <v>62</v>
      </c>
      <c r="J1999" s="3" t="s">
        <v>62</v>
      </c>
      <c r="K1999" s="3" t="s">
        <v>63</v>
      </c>
      <c r="M1999" s="2" t="s">
        <v>19360</v>
      </c>
      <c r="N1999" s="3" t="s">
        <v>116</v>
      </c>
      <c r="P1999" s="3" t="s">
        <v>110</v>
      </c>
      <c r="R1999" s="3" t="s">
        <v>66</v>
      </c>
      <c r="S1999" s="4">
        <v>0</v>
      </c>
      <c r="T1999" s="4">
        <v>0</v>
      </c>
      <c r="W1999" s="5" t="s">
        <v>67</v>
      </c>
      <c r="X1999" s="5" t="s">
        <v>67</v>
      </c>
      <c r="Y1999" s="4">
        <v>10</v>
      </c>
      <c r="Z1999" s="4">
        <v>6</v>
      </c>
      <c r="AA1999" s="4">
        <v>32</v>
      </c>
      <c r="AB1999" s="4">
        <v>1</v>
      </c>
      <c r="AC1999" s="4">
        <v>22</v>
      </c>
      <c r="AD1999" s="4">
        <v>8</v>
      </c>
      <c r="AE1999" s="4">
        <v>19</v>
      </c>
      <c r="AF1999" s="4">
        <v>0</v>
      </c>
      <c r="AG1999" s="4">
        <v>8</v>
      </c>
      <c r="AH1999" s="4">
        <v>7</v>
      </c>
      <c r="AI1999" s="4">
        <v>10</v>
      </c>
      <c r="AJ1999" s="4">
        <v>4</v>
      </c>
      <c r="AK1999" s="4">
        <v>10</v>
      </c>
      <c r="AL1999" s="4">
        <v>4</v>
      </c>
      <c r="AM1999" s="4">
        <v>4</v>
      </c>
      <c r="AN1999" s="4">
        <v>0</v>
      </c>
      <c r="AO1999" s="4">
        <v>0</v>
      </c>
      <c r="AP1999" s="4">
        <v>3</v>
      </c>
      <c r="AQ1999" s="4">
        <v>13</v>
      </c>
      <c r="AR1999" s="3" t="s">
        <v>61</v>
      </c>
      <c r="AS1999" s="3" t="s">
        <v>62</v>
      </c>
      <c r="AT1999" s="3" t="s">
        <v>62</v>
      </c>
      <c r="AV1999" s="6" t="str">
        <f>HYPERLINK("http://mcgill.on.worldcat.org/oclc/833208631","Catalog Record")</f>
        <v>Catalog Record</v>
      </c>
      <c r="AW1999" s="6" t="str">
        <f>HYPERLINK("http://www.worldcat.org/oclc/833208631","WorldCat Record")</f>
        <v>WorldCat Record</v>
      </c>
      <c r="AX1999" s="3" t="s">
        <v>19361</v>
      </c>
      <c r="AY1999" s="3" t="s">
        <v>19362</v>
      </c>
      <c r="AZ1999" s="3" t="s">
        <v>19363</v>
      </c>
      <c r="BA1999" s="3" t="s">
        <v>19363</v>
      </c>
      <c r="BB1999" s="3" t="s">
        <v>19364</v>
      </c>
      <c r="BC1999" s="3" t="s">
        <v>142</v>
      </c>
      <c r="BD1999" s="3" t="s">
        <v>68</v>
      </c>
      <c r="BE1999" s="3" t="s">
        <v>19365</v>
      </c>
      <c r="BF1999" s="3" t="s">
        <v>19364</v>
      </c>
      <c r="BG1999" s="3" t="s">
        <v>19366</v>
      </c>
    </row>
    <row r="2000" spans="1:59" ht="57" x14ac:dyDescent="0.45">
      <c r="A2000" s="2" t="s">
        <v>59</v>
      </c>
      <c r="B2000" s="2" t="s">
        <v>60</v>
      </c>
      <c r="C2000" s="2" t="s">
        <v>19367</v>
      </c>
      <c r="D2000" s="2" t="s">
        <v>19368</v>
      </c>
      <c r="E2000" s="2" t="s">
        <v>19369</v>
      </c>
      <c r="G2000" s="3" t="s">
        <v>62</v>
      </c>
      <c r="I2000" s="3" t="s">
        <v>62</v>
      </c>
      <c r="J2000" s="3" t="s">
        <v>62</v>
      </c>
      <c r="K2000" s="3" t="s">
        <v>63</v>
      </c>
      <c r="L2000" s="2" t="s">
        <v>19370</v>
      </c>
      <c r="M2000" s="2" t="s">
        <v>19371</v>
      </c>
      <c r="N2000" s="3" t="s">
        <v>1097</v>
      </c>
      <c r="P2000" s="3" t="s">
        <v>65</v>
      </c>
      <c r="Q2000" s="2" t="s">
        <v>19372</v>
      </c>
      <c r="R2000" s="3" t="s">
        <v>66</v>
      </c>
      <c r="S2000" s="4">
        <v>12</v>
      </c>
      <c r="T2000" s="4">
        <v>12</v>
      </c>
      <c r="U2000" s="5" t="s">
        <v>16077</v>
      </c>
      <c r="V2000" s="5" t="s">
        <v>16077</v>
      </c>
      <c r="W2000" s="5" t="s">
        <v>67</v>
      </c>
      <c r="X2000" s="5" t="s">
        <v>67</v>
      </c>
      <c r="Y2000" s="4">
        <v>230</v>
      </c>
      <c r="Z2000" s="4">
        <v>26</v>
      </c>
      <c r="AA2000" s="4">
        <v>111</v>
      </c>
      <c r="AB2000" s="4">
        <v>2</v>
      </c>
      <c r="AC2000" s="4">
        <v>22</v>
      </c>
      <c r="AD2000" s="4">
        <v>92</v>
      </c>
      <c r="AE2000" s="4">
        <v>142</v>
      </c>
      <c r="AF2000" s="4">
        <v>1</v>
      </c>
      <c r="AG2000" s="4">
        <v>9</v>
      </c>
      <c r="AH2000" s="4">
        <v>81</v>
      </c>
      <c r="AI2000" s="4">
        <v>95</v>
      </c>
      <c r="AJ2000" s="4">
        <v>14</v>
      </c>
      <c r="AK2000" s="4">
        <v>27</v>
      </c>
      <c r="AL2000" s="4">
        <v>48</v>
      </c>
      <c r="AM2000" s="4">
        <v>54</v>
      </c>
      <c r="AN2000" s="4">
        <v>0</v>
      </c>
      <c r="AO2000" s="4">
        <v>0</v>
      </c>
      <c r="AP2000" s="4">
        <v>19</v>
      </c>
      <c r="AQ2000" s="4">
        <v>56</v>
      </c>
      <c r="AR2000" s="3" t="s">
        <v>62</v>
      </c>
      <c r="AS2000" s="3" t="s">
        <v>62</v>
      </c>
      <c r="AT2000" s="3" t="s">
        <v>61</v>
      </c>
      <c r="AU2000" s="6" t="str">
        <f>HYPERLINK("http://catalog.hathitrust.org/Record/004764639","HathiTrust Record")</f>
        <v>HathiTrust Record</v>
      </c>
      <c r="AV2000" s="6" t="str">
        <f>HYPERLINK("http://mcgill.on.worldcat.org/oclc/56093406","Catalog Record")</f>
        <v>Catalog Record</v>
      </c>
      <c r="AW2000" s="6" t="str">
        <f>HYPERLINK("http://www.worldcat.org/oclc/56093406","WorldCat Record")</f>
        <v>WorldCat Record</v>
      </c>
      <c r="AX2000" s="3" t="s">
        <v>19373</v>
      </c>
      <c r="AY2000" s="3" t="s">
        <v>19374</v>
      </c>
      <c r="AZ2000" s="3" t="s">
        <v>19375</v>
      </c>
      <c r="BA2000" s="3" t="s">
        <v>19375</v>
      </c>
      <c r="BB2000" s="3" t="s">
        <v>19376</v>
      </c>
      <c r="BC2000" s="3" t="s">
        <v>142</v>
      </c>
      <c r="BD2000" s="3" t="s">
        <v>68</v>
      </c>
      <c r="BE2000" s="3" t="s">
        <v>19377</v>
      </c>
      <c r="BF2000" s="3" t="s">
        <v>19376</v>
      </c>
      <c r="BG2000" s="3" t="s">
        <v>19378</v>
      </c>
    </row>
    <row r="2001" spans="1:59" ht="57" x14ac:dyDescent="0.45">
      <c r="A2001" s="2" t="s">
        <v>59</v>
      </c>
      <c r="B2001" s="2" t="s">
        <v>60</v>
      </c>
      <c r="C2001" s="2" t="s">
        <v>19379</v>
      </c>
      <c r="D2001" s="2" t="s">
        <v>19380</v>
      </c>
      <c r="E2001" s="2" t="s">
        <v>19381</v>
      </c>
      <c r="G2001" s="3" t="s">
        <v>62</v>
      </c>
      <c r="I2001" s="3" t="s">
        <v>62</v>
      </c>
      <c r="J2001" s="3" t="s">
        <v>62</v>
      </c>
      <c r="K2001" s="3" t="s">
        <v>63</v>
      </c>
      <c r="M2001" s="2" t="s">
        <v>19382</v>
      </c>
      <c r="N2001" s="3" t="s">
        <v>1155</v>
      </c>
      <c r="P2001" s="3" t="s">
        <v>65</v>
      </c>
      <c r="R2001" s="3" t="s">
        <v>66</v>
      </c>
      <c r="S2001" s="4">
        <v>3</v>
      </c>
      <c r="T2001" s="4">
        <v>3</v>
      </c>
      <c r="U2001" s="5" t="s">
        <v>19383</v>
      </c>
      <c r="V2001" s="5" t="s">
        <v>19383</v>
      </c>
      <c r="W2001" s="5" t="s">
        <v>67</v>
      </c>
      <c r="X2001" s="5" t="s">
        <v>67</v>
      </c>
      <c r="Y2001" s="4">
        <v>541</v>
      </c>
      <c r="Z2001" s="4">
        <v>32</v>
      </c>
      <c r="AA2001" s="4">
        <v>93</v>
      </c>
      <c r="AB2001" s="4">
        <v>4</v>
      </c>
      <c r="AC2001" s="4">
        <v>15</v>
      </c>
      <c r="AD2001" s="4">
        <v>85</v>
      </c>
      <c r="AE2001" s="4">
        <v>143</v>
      </c>
      <c r="AF2001" s="4">
        <v>2</v>
      </c>
      <c r="AG2001" s="4">
        <v>8</v>
      </c>
      <c r="AH2001" s="4">
        <v>73</v>
      </c>
      <c r="AI2001" s="4">
        <v>103</v>
      </c>
      <c r="AJ2001" s="4">
        <v>15</v>
      </c>
      <c r="AK2001" s="4">
        <v>26</v>
      </c>
      <c r="AL2001" s="4">
        <v>39</v>
      </c>
      <c r="AM2001" s="4">
        <v>55</v>
      </c>
      <c r="AN2001" s="4">
        <v>0</v>
      </c>
      <c r="AO2001" s="4">
        <v>0</v>
      </c>
      <c r="AP2001" s="4">
        <v>21</v>
      </c>
      <c r="AQ2001" s="4">
        <v>48</v>
      </c>
      <c r="AR2001" s="3" t="s">
        <v>62</v>
      </c>
      <c r="AS2001" s="3" t="s">
        <v>62</v>
      </c>
      <c r="AT2001" s="3" t="s">
        <v>62</v>
      </c>
      <c r="AV2001" s="6" t="str">
        <f>HYPERLINK("http://mcgill.on.worldcat.org/oclc/793224297","Catalog Record")</f>
        <v>Catalog Record</v>
      </c>
      <c r="AW2001" s="6" t="str">
        <f>HYPERLINK("http://www.worldcat.org/oclc/793224297","WorldCat Record")</f>
        <v>WorldCat Record</v>
      </c>
      <c r="AX2001" s="3" t="s">
        <v>19384</v>
      </c>
      <c r="AY2001" s="3" t="s">
        <v>19385</v>
      </c>
      <c r="AZ2001" s="3" t="s">
        <v>19386</v>
      </c>
      <c r="BA2001" s="3" t="s">
        <v>19386</v>
      </c>
      <c r="BB2001" s="3" t="s">
        <v>19387</v>
      </c>
      <c r="BC2001" s="3" t="s">
        <v>142</v>
      </c>
      <c r="BD2001" s="3" t="s">
        <v>68</v>
      </c>
      <c r="BE2001" s="3" t="s">
        <v>19388</v>
      </c>
      <c r="BF2001" s="3" t="s">
        <v>19387</v>
      </c>
      <c r="BG2001" s="3" t="s">
        <v>19389</v>
      </c>
    </row>
    <row r="2002" spans="1:59" ht="57" x14ac:dyDescent="0.45">
      <c r="A2002" s="2" t="s">
        <v>59</v>
      </c>
      <c r="B2002" s="2" t="s">
        <v>60</v>
      </c>
      <c r="C2002" s="2" t="s">
        <v>19390</v>
      </c>
      <c r="D2002" s="2" t="s">
        <v>19391</v>
      </c>
      <c r="E2002" s="2" t="s">
        <v>19392</v>
      </c>
      <c r="G2002" s="3" t="s">
        <v>62</v>
      </c>
      <c r="I2002" s="3" t="s">
        <v>62</v>
      </c>
      <c r="J2002" s="3" t="s">
        <v>62</v>
      </c>
      <c r="K2002" s="3" t="s">
        <v>63</v>
      </c>
      <c r="L2002" s="2" t="s">
        <v>19393</v>
      </c>
      <c r="M2002" s="2" t="s">
        <v>19394</v>
      </c>
      <c r="N2002" s="3" t="s">
        <v>1097</v>
      </c>
      <c r="P2002" s="3" t="s">
        <v>65</v>
      </c>
      <c r="R2002" s="3" t="s">
        <v>66</v>
      </c>
      <c r="S2002" s="4">
        <v>24</v>
      </c>
      <c r="T2002" s="4">
        <v>24</v>
      </c>
      <c r="U2002" s="5" t="s">
        <v>19395</v>
      </c>
      <c r="V2002" s="5" t="s">
        <v>19395</v>
      </c>
      <c r="W2002" s="5" t="s">
        <v>67</v>
      </c>
      <c r="X2002" s="5" t="s">
        <v>67</v>
      </c>
      <c r="Y2002" s="4">
        <v>450</v>
      </c>
      <c r="Z2002" s="4">
        <v>29</v>
      </c>
      <c r="AA2002" s="4">
        <v>32</v>
      </c>
      <c r="AB2002" s="4">
        <v>2</v>
      </c>
      <c r="AC2002" s="4">
        <v>4</v>
      </c>
      <c r="AD2002" s="4">
        <v>119</v>
      </c>
      <c r="AE2002" s="4">
        <v>122</v>
      </c>
      <c r="AF2002" s="4">
        <v>1</v>
      </c>
      <c r="AG2002" s="4">
        <v>3</v>
      </c>
      <c r="AH2002" s="4">
        <v>102</v>
      </c>
      <c r="AI2002" s="4">
        <v>103</v>
      </c>
      <c r="AJ2002" s="4">
        <v>17</v>
      </c>
      <c r="AK2002" s="4">
        <v>19</v>
      </c>
      <c r="AL2002" s="4">
        <v>57</v>
      </c>
      <c r="AM2002" s="4">
        <v>57</v>
      </c>
      <c r="AN2002" s="4">
        <v>0</v>
      </c>
      <c r="AO2002" s="4">
        <v>0</v>
      </c>
      <c r="AP2002" s="4">
        <v>24</v>
      </c>
      <c r="AQ2002" s="4">
        <v>27</v>
      </c>
      <c r="AR2002" s="3" t="s">
        <v>62</v>
      </c>
      <c r="AS2002" s="3" t="s">
        <v>62</v>
      </c>
      <c r="AT2002" s="3" t="s">
        <v>61</v>
      </c>
      <c r="AU2002" s="6" t="str">
        <f>HYPERLINK("http://catalog.hathitrust.org/Record/004737016","HathiTrust Record")</f>
        <v>HathiTrust Record</v>
      </c>
      <c r="AV2002" s="6" t="str">
        <f>HYPERLINK("http://mcgill.on.worldcat.org/oclc/53223617","Catalog Record")</f>
        <v>Catalog Record</v>
      </c>
      <c r="AW2002" s="6" t="str">
        <f>HYPERLINK("http://www.worldcat.org/oclc/53223617","WorldCat Record")</f>
        <v>WorldCat Record</v>
      </c>
      <c r="AX2002" s="3" t="s">
        <v>19396</v>
      </c>
      <c r="AY2002" s="3" t="s">
        <v>19397</v>
      </c>
      <c r="AZ2002" s="3" t="s">
        <v>19398</v>
      </c>
      <c r="BA2002" s="3" t="s">
        <v>19398</v>
      </c>
      <c r="BB2002" s="3" t="s">
        <v>19399</v>
      </c>
      <c r="BC2002" s="3" t="s">
        <v>142</v>
      </c>
      <c r="BD2002" s="3" t="s">
        <v>68</v>
      </c>
      <c r="BE2002" s="3" t="s">
        <v>19400</v>
      </c>
      <c r="BF2002" s="3" t="s">
        <v>19399</v>
      </c>
      <c r="BG2002" s="3" t="s">
        <v>19401</v>
      </c>
    </row>
    <row r="2003" spans="1:59" ht="57" x14ac:dyDescent="0.45">
      <c r="A2003" s="2" t="s">
        <v>59</v>
      </c>
      <c r="B2003" s="2" t="s">
        <v>60</v>
      </c>
      <c r="C2003" s="2" t="s">
        <v>19402</v>
      </c>
      <c r="D2003" s="2" t="s">
        <v>19403</v>
      </c>
      <c r="E2003" s="2" t="s">
        <v>19404</v>
      </c>
      <c r="G2003" s="3" t="s">
        <v>62</v>
      </c>
      <c r="I2003" s="3" t="s">
        <v>62</v>
      </c>
      <c r="J2003" s="3" t="s">
        <v>62</v>
      </c>
      <c r="K2003" s="3" t="s">
        <v>63</v>
      </c>
      <c r="L2003" s="2" t="s">
        <v>19405</v>
      </c>
      <c r="M2003" s="2" t="s">
        <v>16837</v>
      </c>
      <c r="N2003" s="3" t="s">
        <v>1155</v>
      </c>
      <c r="P2003" s="3" t="s">
        <v>65</v>
      </c>
      <c r="R2003" s="3" t="s">
        <v>66</v>
      </c>
      <c r="S2003" s="4">
        <v>5</v>
      </c>
      <c r="T2003" s="4">
        <v>5</v>
      </c>
      <c r="U2003" s="5" t="s">
        <v>19406</v>
      </c>
      <c r="V2003" s="5" t="s">
        <v>19406</v>
      </c>
      <c r="W2003" s="5" t="s">
        <v>67</v>
      </c>
      <c r="X2003" s="5" t="s">
        <v>67</v>
      </c>
      <c r="Y2003" s="4">
        <v>229</v>
      </c>
      <c r="Z2003" s="4">
        <v>22</v>
      </c>
      <c r="AA2003" s="4">
        <v>22</v>
      </c>
      <c r="AB2003" s="4">
        <v>2</v>
      </c>
      <c r="AC2003" s="4">
        <v>2</v>
      </c>
      <c r="AD2003" s="4">
        <v>70</v>
      </c>
      <c r="AE2003" s="4">
        <v>70</v>
      </c>
      <c r="AF2003" s="4">
        <v>1</v>
      </c>
      <c r="AG2003" s="4">
        <v>1</v>
      </c>
      <c r="AH2003" s="4">
        <v>61</v>
      </c>
      <c r="AI2003" s="4">
        <v>61</v>
      </c>
      <c r="AJ2003" s="4">
        <v>13</v>
      </c>
      <c r="AK2003" s="4">
        <v>13</v>
      </c>
      <c r="AL2003" s="4">
        <v>36</v>
      </c>
      <c r="AM2003" s="4">
        <v>36</v>
      </c>
      <c r="AN2003" s="4">
        <v>0</v>
      </c>
      <c r="AO2003" s="4">
        <v>0</v>
      </c>
      <c r="AP2003" s="4">
        <v>17</v>
      </c>
      <c r="AQ2003" s="4">
        <v>17</v>
      </c>
      <c r="AR2003" s="3" t="s">
        <v>62</v>
      </c>
      <c r="AS2003" s="3" t="s">
        <v>62</v>
      </c>
      <c r="AT2003" s="3" t="s">
        <v>62</v>
      </c>
      <c r="AV2003" s="6" t="str">
        <f>HYPERLINK("http://mcgill.on.worldcat.org/oclc/761334852","Catalog Record")</f>
        <v>Catalog Record</v>
      </c>
      <c r="AW2003" s="6" t="str">
        <f>HYPERLINK("http://www.worldcat.org/oclc/761334852","WorldCat Record")</f>
        <v>WorldCat Record</v>
      </c>
      <c r="AX2003" s="3" t="s">
        <v>19407</v>
      </c>
      <c r="AY2003" s="3" t="s">
        <v>19408</v>
      </c>
      <c r="AZ2003" s="3" t="s">
        <v>19409</v>
      </c>
      <c r="BA2003" s="3" t="s">
        <v>19409</v>
      </c>
      <c r="BB2003" s="3" t="s">
        <v>19410</v>
      </c>
      <c r="BC2003" s="3" t="s">
        <v>142</v>
      </c>
      <c r="BD2003" s="3" t="s">
        <v>68</v>
      </c>
      <c r="BE2003" s="3" t="s">
        <v>19411</v>
      </c>
      <c r="BF2003" s="3" t="s">
        <v>19410</v>
      </c>
      <c r="BG2003" s="3" t="s">
        <v>19412</v>
      </c>
    </row>
    <row r="2004" spans="1:59" ht="57" x14ac:dyDescent="0.45">
      <c r="A2004" s="2" t="s">
        <v>59</v>
      </c>
      <c r="B2004" s="2" t="s">
        <v>60</v>
      </c>
      <c r="C2004" s="2" t="s">
        <v>19413</v>
      </c>
      <c r="D2004" s="2" t="s">
        <v>19414</v>
      </c>
      <c r="E2004" s="2" t="s">
        <v>19415</v>
      </c>
      <c r="G2004" s="3" t="s">
        <v>62</v>
      </c>
      <c r="I2004" s="3" t="s">
        <v>62</v>
      </c>
      <c r="J2004" s="3" t="s">
        <v>62</v>
      </c>
      <c r="K2004" s="3" t="s">
        <v>63</v>
      </c>
      <c r="M2004" s="2" t="s">
        <v>19416</v>
      </c>
      <c r="N2004" s="3" t="s">
        <v>1855</v>
      </c>
      <c r="O2004" s="2" t="s">
        <v>1748</v>
      </c>
      <c r="P2004" s="3" t="s">
        <v>65</v>
      </c>
      <c r="Q2004" s="2" t="s">
        <v>19417</v>
      </c>
      <c r="R2004" s="3" t="s">
        <v>66</v>
      </c>
      <c r="S2004" s="4">
        <v>16</v>
      </c>
      <c r="T2004" s="4">
        <v>16</v>
      </c>
      <c r="U2004" s="5" t="s">
        <v>17352</v>
      </c>
      <c r="V2004" s="5" t="s">
        <v>17352</v>
      </c>
      <c r="W2004" s="5" t="s">
        <v>67</v>
      </c>
      <c r="X2004" s="5" t="s">
        <v>67</v>
      </c>
      <c r="Y2004" s="4">
        <v>729</v>
      </c>
      <c r="Z2004" s="4">
        <v>51</v>
      </c>
      <c r="AA2004" s="4">
        <v>62</v>
      </c>
      <c r="AB2004" s="4">
        <v>3</v>
      </c>
      <c r="AC2004" s="4">
        <v>8</v>
      </c>
      <c r="AD2004" s="4">
        <v>131</v>
      </c>
      <c r="AE2004" s="4">
        <v>138</v>
      </c>
      <c r="AF2004" s="4">
        <v>2</v>
      </c>
      <c r="AG2004" s="4">
        <v>5</v>
      </c>
      <c r="AH2004" s="4">
        <v>102</v>
      </c>
      <c r="AI2004" s="4">
        <v>103</v>
      </c>
      <c r="AJ2004" s="4">
        <v>23</v>
      </c>
      <c r="AK2004" s="4">
        <v>26</v>
      </c>
      <c r="AL2004" s="4">
        <v>52</v>
      </c>
      <c r="AM2004" s="4">
        <v>52</v>
      </c>
      <c r="AN2004" s="4">
        <v>0</v>
      </c>
      <c r="AO2004" s="4">
        <v>0</v>
      </c>
      <c r="AP2004" s="4">
        <v>40</v>
      </c>
      <c r="AQ2004" s="4">
        <v>47</v>
      </c>
      <c r="AR2004" s="3" t="s">
        <v>62</v>
      </c>
      <c r="AS2004" s="3" t="s">
        <v>62</v>
      </c>
      <c r="AT2004" s="3" t="s">
        <v>62</v>
      </c>
      <c r="AV2004" s="6" t="str">
        <f>HYPERLINK("http://mcgill.on.worldcat.org/oclc/57754311","Catalog Record")</f>
        <v>Catalog Record</v>
      </c>
      <c r="AW2004" s="6" t="str">
        <f>HYPERLINK("http://www.worldcat.org/oclc/57754311","WorldCat Record")</f>
        <v>WorldCat Record</v>
      </c>
      <c r="AX2004" s="3" t="s">
        <v>19418</v>
      </c>
      <c r="AY2004" s="3" t="s">
        <v>19419</v>
      </c>
      <c r="AZ2004" s="3" t="s">
        <v>19420</v>
      </c>
      <c r="BA2004" s="3" t="s">
        <v>19420</v>
      </c>
      <c r="BB2004" s="3" t="s">
        <v>19421</v>
      </c>
      <c r="BC2004" s="3" t="s">
        <v>142</v>
      </c>
      <c r="BD2004" s="3" t="s">
        <v>68</v>
      </c>
      <c r="BE2004" s="3" t="s">
        <v>19422</v>
      </c>
      <c r="BF2004" s="3" t="s">
        <v>19421</v>
      </c>
      <c r="BG2004" s="3" t="s">
        <v>19423</v>
      </c>
    </row>
    <row r="2005" spans="1:59" ht="57" x14ac:dyDescent="0.45">
      <c r="A2005" s="2" t="s">
        <v>59</v>
      </c>
      <c r="B2005" s="2" t="s">
        <v>60</v>
      </c>
      <c r="C2005" s="2" t="s">
        <v>19424</v>
      </c>
      <c r="D2005" s="2" t="s">
        <v>19425</v>
      </c>
      <c r="E2005" s="2" t="s">
        <v>19426</v>
      </c>
      <c r="G2005" s="3" t="s">
        <v>62</v>
      </c>
      <c r="I2005" s="3" t="s">
        <v>62</v>
      </c>
      <c r="J2005" s="3" t="s">
        <v>62</v>
      </c>
      <c r="K2005" s="3" t="s">
        <v>63</v>
      </c>
      <c r="M2005" s="2" t="s">
        <v>13787</v>
      </c>
      <c r="N2005" s="3" t="s">
        <v>958</v>
      </c>
      <c r="P2005" s="3" t="s">
        <v>65</v>
      </c>
      <c r="R2005" s="3" t="s">
        <v>66</v>
      </c>
      <c r="S2005" s="4">
        <v>47</v>
      </c>
      <c r="T2005" s="4">
        <v>47</v>
      </c>
      <c r="U2005" s="5" t="s">
        <v>19427</v>
      </c>
      <c r="V2005" s="5" t="s">
        <v>19427</v>
      </c>
      <c r="W2005" s="5" t="s">
        <v>67</v>
      </c>
      <c r="X2005" s="5" t="s">
        <v>67</v>
      </c>
      <c r="Y2005" s="4">
        <v>732</v>
      </c>
      <c r="Z2005" s="4">
        <v>46</v>
      </c>
      <c r="AA2005" s="4">
        <v>56</v>
      </c>
      <c r="AB2005" s="4">
        <v>2</v>
      </c>
      <c r="AC2005" s="4">
        <v>7</v>
      </c>
      <c r="AD2005" s="4">
        <v>128</v>
      </c>
      <c r="AE2005" s="4">
        <v>135</v>
      </c>
      <c r="AF2005" s="4">
        <v>1</v>
      </c>
      <c r="AG2005" s="4">
        <v>4</v>
      </c>
      <c r="AH2005" s="4">
        <v>101</v>
      </c>
      <c r="AI2005" s="4">
        <v>103</v>
      </c>
      <c r="AJ2005" s="4">
        <v>21</v>
      </c>
      <c r="AK2005" s="4">
        <v>25</v>
      </c>
      <c r="AL2005" s="4">
        <v>53</v>
      </c>
      <c r="AM2005" s="4">
        <v>53</v>
      </c>
      <c r="AN2005" s="4">
        <v>0</v>
      </c>
      <c r="AO2005" s="4">
        <v>0</v>
      </c>
      <c r="AP2005" s="4">
        <v>36</v>
      </c>
      <c r="AQ2005" s="4">
        <v>42</v>
      </c>
      <c r="AR2005" s="3" t="s">
        <v>62</v>
      </c>
      <c r="AS2005" s="3" t="s">
        <v>62</v>
      </c>
      <c r="AT2005" s="3" t="s">
        <v>61</v>
      </c>
      <c r="AU2005" s="6" t="str">
        <f>HYPERLINK("http://catalog.hathitrust.org/Record/003015051","HathiTrust Record")</f>
        <v>HathiTrust Record</v>
      </c>
      <c r="AV2005" s="6" t="str">
        <f>HYPERLINK("http://mcgill.on.worldcat.org/oclc/32200195","Catalog Record")</f>
        <v>Catalog Record</v>
      </c>
      <c r="AW2005" s="6" t="str">
        <f>HYPERLINK("http://www.worldcat.org/oclc/32200195","WorldCat Record")</f>
        <v>WorldCat Record</v>
      </c>
      <c r="AX2005" s="3" t="s">
        <v>19428</v>
      </c>
      <c r="AY2005" s="3" t="s">
        <v>19429</v>
      </c>
      <c r="AZ2005" s="3" t="s">
        <v>19430</v>
      </c>
      <c r="BA2005" s="3" t="s">
        <v>19430</v>
      </c>
      <c r="BB2005" s="3" t="s">
        <v>19431</v>
      </c>
      <c r="BC2005" s="3" t="s">
        <v>142</v>
      </c>
      <c r="BD2005" s="3" t="s">
        <v>68</v>
      </c>
      <c r="BE2005" s="3" t="s">
        <v>19432</v>
      </c>
      <c r="BF2005" s="3" t="s">
        <v>19431</v>
      </c>
      <c r="BG2005" s="3" t="s">
        <v>19433</v>
      </c>
    </row>
    <row r="2006" spans="1:59" ht="57" x14ac:dyDescent="0.45">
      <c r="A2006" s="2" t="s">
        <v>59</v>
      </c>
      <c r="B2006" s="2" t="s">
        <v>60</v>
      </c>
      <c r="C2006" s="2" t="s">
        <v>19434</v>
      </c>
      <c r="D2006" s="2" t="s">
        <v>19435</v>
      </c>
      <c r="E2006" s="2" t="s">
        <v>19436</v>
      </c>
      <c r="G2006" s="3" t="s">
        <v>62</v>
      </c>
      <c r="I2006" s="3" t="s">
        <v>62</v>
      </c>
      <c r="J2006" s="3" t="s">
        <v>62</v>
      </c>
      <c r="K2006" s="3" t="s">
        <v>63</v>
      </c>
      <c r="L2006" s="2" t="s">
        <v>19437</v>
      </c>
      <c r="M2006" s="2" t="s">
        <v>19438</v>
      </c>
      <c r="N2006" s="3" t="s">
        <v>167</v>
      </c>
      <c r="P2006" s="3" t="s">
        <v>65</v>
      </c>
      <c r="Q2006" s="2" t="s">
        <v>18780</v>
      </c>
      <c r="R2006" s="3" t="s">
        <v>66</v>
      </c>
      <c r="S2006" s="4">
        <v>48</v>
      </c>
      <c r="T2006" s="4">
        <v>48</v>
      </c>
      <c r="U2006" s="5" t="s">
        <v>19406</v>
      </c>
      <c r="V2006" s="5" t="s">
        <v>19406</v>
      </c>
      <c r="W2006" s="5" t="s">
        <v>67</v>
      </c>
      <c r="X2006" s="5" t="s">
        <v>67</v>
      </c>
      <c r="Y2006" s="4">
        <v>724</v>
      </c>
      <c r="Z2006" s="4">
        <v>41</v>
      </c>
      <c r="AA2006" s="4">
        <v>50</v>
      </c>
      <c r="AB2006" s="4">
        <v>2</v>
      </c>
      <c r="AC2006" s="4">
        <v>4</v>
      </c>
      <c r="AD2006" s="4">
        <v>124</v>
      </c>
      <c r="AE2006" s="4">
        <v>136</v>
      </c>
      <c r="AF2006" s="4">
        <v>1</v>
      </c>
      <c r="AG2006" s="4">
        <v>2</v>
      </c>
      <c r="AH2006" s="4">
        <v>99</v>
      </c>
      <c r="AI2006" s="4">
        <v>107</v>
      </c>
      <c r="AJ2006" s="4">
        <v>19</v>
      </c>
      <c r="AK2006" s="4">
        <v>23</v>
      </c>
      <c r="AL2006" s="4">
        <v>54</v>
      </c>
      <c r="AM2006" s="4">
        <v>56</v>
      </c>
      <c r="AN2006" s="4">
        <v>0</v>
      </c>
      <c r="AO2006" s="4">
        <v>0</v>
      </c>
      <c r="AP2006" s="4">
        <v>32</v>
      </c>
      <c r="AQ2006" s="4">
        <v>38</v>
      </c>
      <c r="AR2006" s="3" t="s">
        <v>62</v>
      </c>
      <c r="AS2006" s="3" t="s">
        <v>62</v>
      </c>
      <c r="AT2006" s="3" t="s">
        <v>61</v>
      </c>
      <c r="AU2006" s="6" t="str">
        <f>HYPERLINK("http://catalog.hathitrust.org/Record/004001749","HathiTrust Record")</f>
        <v>HathiTrust Record</v>
      </c>
      <c r="AV2006" s="6" t="str">
        <f>HYPERLINK("http://mcgill.on.worldcat.org/oclc/39060598","Catalog Record")</f>
        <v>Catalog Record</v>
      </c>
      <c r="AW2006" s="6" t="str">
        <f>HYPERLINK("http://www.worldcat.org/oclc/39060598","WorldCat Record")</f>
        <v>WorldCat Record</v>
      </c>
      <c r="AX2006" s="3" t="s">
        <v>19439</v>
      </c>
      <c r="AY2006" s="3" t="s">
        <v>19440</v>
      </c>
      <c r="AZ2006" s="3" t="s">
        <v>19441</v>
      </c>
      <c r="BA2006" s="3" t="s">
        <v>19441</v>
      </c>
      <c r="BB2006" s="3" t="s">
        <v>19442</v>
      </c>
      <c r="BC2006" s="3" t="s">
        <v>142</v>
      </c>
      <c r="BD2006" s="3" t="s">
        <v>308</v>
      </c>
      <c r="BE2006" s="3" t="s">
        <v>19443</v>
      </c>
      <c r="BF2006" s="3" t="s">
        <v>19442</v>
      </c>
      <c r="BG2006" s="3" t="s">
        <v>19444</v>
      </c>
    </row>
    <row r="2007" spans="1:59" ht="57" x14ac:dyDescent="0.45">
      <c r="A2007" s="2" t="s">
        <v>59</v>
      </c>
      <c r="B2007" s="2" t="s">
        <v>60</v>
      </c>
      <c r="C2007" s="2" t="s">
        <v>19445</v>
      </c>
      <c r="D2007" s="2" t="s">
        <v>19446</v>
      </c>
      <c r="E2007" s="2" t="s">
        <v>19447</v>
      </c>
      <c r="G2007" s="3" t="s">
        <v>62</v>
      </c>
      <c r="I2007" s="3" t="s">
        <v>62</v>
      </c>
      <c r="J2007" s="3" t="s">
        <v>62</v>
      </c>
      <c r="K2007" s="3" t="s">
        <v>63</v>
      </c>
      <c r="L2007" s="2" t="s">
        <v>19448</v>
      </c>
      <c r="M2007" s="2" t="s">
        <v>19449</v>
      </c>
      <c r="N2007" s="3" t="s">
        <v>945</v>
      </c>
      <c r="P2007" s="3" t="s">
        <v>65</v>
      </c>
      <c r="R2007" s="3" t="s">
        <v>66</v>
      </c>
      <c r="S2007" s="4">
        <v>9</v>
      </c>
      <c r="T2007" s="4">
        <v>9</v>
      </c>
      <c r="U2007" s="5" t="s">
        <v>19450</v>
      </c>
      <c r="V2007" s="5" t="s">
        <v>19450</v>
      </c>
      <c r="W2007" s="5" t="s">
        <v>67</v>
      </c>
      <c r="X2007" s="5" t="s">
        <v>67</v>
      </c>
      <c r="Y2007" s="4">
        <v>10</v>
      </c>
      <c r="Z2007" s="4">
        <v>1</v>
      </c>
      <c r="AA2007" s="4">
        <v>1</v>
      </c>
      <c r="AB2007" s="4">
        <v>1</v>
      </c>
      <c r="AC2007" s="4">
        <v>1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3" t="s">
        <v>62</v>
      </c>
      <c r="AS2007" s="3" t="s">
        <v>62</v>
      </c>
      <c r="AT2007" s="3" t="s">
        <v>62</v>
      </c>
      <c r="AV2007" s="6" t="str">
        <f>HYPERLINK("http://mcgill.on.worldcat.org/oclc/197305751","Catalog Record")</f>
        <v>Catalog Record</v>
      </c>
      <c r="AW2007" s="6" t="str">
        <f>HYPERLINK("http://www.worldcat.org/oclc/197305751","WorldCat Record")</f>
        <v>WorldCat Record</v>
      </c>
      <c r="AX2007" s="3" t="s">
        <v>19451</v>
      </c>
      <c r="AY2007" s="3" t="s">
        <v>19452</v>
      </c>
      <c r="AZ2007" s="3" t="s">
        <v>19453</v>
      </c>
      <c r="BA2007" s="3" t="s">
        <v>19453</v>
      </c>
      <c r="BB2007" s="3" t="s">
        <v>19454</v>
      </c>
      <c r="BC2007" s="3" t="s">
        <v>142</v>
      </c>
      <c r="BD2007" s="3" t="s">
        <v>68</v>
      </c>
      <c r="BE2007" s="3" t="s">
        <v>19455</v>
      </c>
      <c r="BF2007" s="3" t="s">
        <v>19454</v>
      </c>
      <c r="BG2007" s="3" t="s">
        <v>19456</v>
      </c>
    </row>
    <row r="2008" spans="1:59" ht="114" x14ac:dyDescent="0.45">
      <c r="A2008" s="2" t="s">
        <v>59</v>
      </c>
      <c r="B2008" s="2" t="s">
        <v>690</v>
      </c>
      <c r="C2008" s="2" t="s">
        <v>19457</v>
      </c>
      <c r="D2008" s="2" t="s">
        <v>19458</v>
      </c>
      <c r="E2008" s="2" t="s">
        <v>19459</v>
      </c>
      <c r="G2008" s="3" t="s">
        <v>62</v>
      </c>
      <c r="I2008" s="3" t="s">
        <v>62</v>
      </c>
      <c r="J2008" s="3" t="s">
        <v>62</v>
      </c>
      <c r="K2008" s="3" t="s">
        <v>63</v>
      </c>
      <c r="L2008" s="2" t="s">
        <v>19460</v>
      </c>
      <c r="M2008" s="2" t="s">
        <v>19461</v>
      </c>
      <c r="N2008" s="3" t="s">
        <v>149</v>
      </c>
      <c r="O2008" s="2" t="s">
        <v>696</v>
      </c>
      <c r="P2008" s="3" t="s">
        <v>697</v>
      </c>
      <c r="Q2008" s="2" t="s">
        <v>19462</v>
      </c>
      <c r="R2008" s="3" t="s">
        <v>66</v>
      </c>
      <c r="S2008" s="4">
        <v>1</v>
      </c>
      <c r="T2008" s="4">
        <v>1</v>
      </c>
      <c r="U2008" s="5" t="s">
        <v>19463</v>
      </c>
      <c r="V2008" s="5" t="s">
        <v>19463</v>
      </c>
      <c r="W2008" s="5" t="s">
        <v>67</v>
      </c>
      <c r="X2008" s="5" t="s">
        <v>67</v>
      </c>
      <c r="Y2008" s="4">
        <v>24</v>
      </c>
      <c r="Z2008" s="4">
        <v>3</v>
      </c>
      <c r="AA2008" s="4">
        <v>3</v>
      </c>
      <c r="AB2008" s="4">
        <v>1</v>
      </c>
      <c r="AC2008" s="4">
        <v>1</v>
      </c>
      <c r="AD2008" s="4">
        <v>16</v>
      </c>
      <c r="AE2008" s="4">
        <v>16</v>
      </c>
      <c r="AF2008" s="4">
        <v>0</v>
      </c>
      <c r="AG2008" s="4">
        <v>0</v>
      </c>
      <c r="AH2008" s="4">
        <v>16</v>
      </c>
      <c r="AI2008" s="4">
        <v>16</v>
      </c>
      <c r="AJ2008" s="4">
        <v>1</v>
      </c>
      <c r="AK2008" s="4">
        <v>1</v>
      </c>
      <c r="AL2008" s="4">
        <v>14</v>
      </c>
      <c r="AM2008" s="4">
        <v>14</v>
      </c>
      <c r="AN2008" s="4">
        <v>0</v>
      </c>
      <c r="AO2008" s="4">
        <v>0</v>
      </c>
      <c r="AP2008" s="4">
        <v>1</v>
      </c>
      <c r="AQ2008" s="4">
        <v>1</v>
      </c>
      <c r="AR2008" s="3" t="s">
        <v>62</v>
      </c>
      <c r="AS2008" s="3" t="s">
        <v>62</v>
      </c>
      <c r="AT2008" s="3" t="s">
        <v>62</v>
      </c>
      <c r="AV2008" s="6" t="str">
        <f>HYPERLINK("http://mcgill.on.worldcat.org/oclc/690509598","Catalog Record")</f>
        <v>Catalog Record</v>
      </c>
      <c r="AW2008" s="6" t="str">
        <f>HYPERLINK("http://www.worldcat.org/oclc/690509598","WorldCat Record")</f>
        <v>WorldCat Record</v>
      </c>
      <c r="AX2008" s="3" t="s">
        <v>19464</v>
      </c>
      <c r="AY2008" s="3" t="s">
        <v>19465</v>
      </c>
      <c r="AZ2008" s="3" t="s">
        <v>19466</v>
      </c>
      <c r="BA2008" s="3" t="s">
        <v>19466</v>
      </c>
      <c r="BB2008" s="3" t="s">
        <v>19467</v>
      </c>
      <c r="BC2008" s="3" t="s">
        <v>142</v>
      </c>
      <c r="BD2008" s="3" t="s">
        <v>68</v>
      </c>
      <c r="BE2008" s="3" t="s">
        <v>19468</v>
      </c>
      <c r="BF2008" s="3" t="s">
        <v>19467</v>
      </c>
      <c r="BG2008" s="3" t="s">
        <v>19469</v>
      </c>
    </row>
    <row r="2009" spans="1:59" ht="57" x14ac:dyDescent="0.45">
      <c r="A2009" s="2" t="s">
        <v>59</v>
      </c>
      <c r="B2009" s="2" t="s">
        <v>60</v>
      </c>
      <c r="C2009" s="2" t="s">
        <v>19470</v>
      </c>
      <c r="D2009" s="2" t="s">
        <v>19471</v>
      </c>
      <c r="E2009" s="2" t="s">
        <v>19472</v>
      </c>
      <c r="G2009" s="3" t="s">
        <v>62</v>
      </c>
      <c r="I2009" s="3" t="s">
        <v>62</v>
      </c>
      <c r="J2009" s="3" t="s">
        <v>62</v>
      </c>
      <c r="K2009" s="3" t="s">
        <v>63</v>
      </c>
      <c r="L2009" s="2" t="s">
        <v>19473</v>
      </c>
      <c r="M2009" s="2" t="s">
        <v>19474</v>
      </c>
      <c r="N2009" s="3" t="s">
        <v>958</v>
      </c>
      <c r="P2009" s="3" t="s">
        <v>65</v>
      </c>
      <c r="R2009" s="3" t="s">
        <v>66</v>
      </c>
      <c r="S2009" s="4">
        <v>96</v>
      </c>
      <c r="T2009" s="4">
        <v>96</v>
      </c>
      <c r="U2009" s="5" t="s">
        <v>19475</v>
      </c>
      <c r="V2009" s="5" t="s">
        <v>19475</v>
      </c>
      <c r="W2009" s="5" t="s">
        <v>67</v>
      </c>
      <c r="X2009" s="5" t="s">
        <v>67</v>
      </c>
      <c r="Y2009" s="4">
        <v>213</v>
      </c>
      <c r="Z2009" s="4">
        <v>15</v>
      </c>
      <c r="AA2009" s="4">
        <v>16</v>
      </c>
      <c r="AB2009" s="4">
        <v>2</v>
      </c>
      <c r="AC2009" s="4">
        <v>3</v>
      </c>
      <c r="AD2009" s="4">
        <v>46</v>
      </c>
      <c r="AE2009" s="4">
        <v>47</v>
      </c>
      <c r="AF2009" s="4">
        <v>1</v>
      </c>
      <c r="AG2009" s="4">
        <v>2</v>
      </c>
      <c r="AH2009" s="4">
        <v>40</v>
      </c>
      <c r="AI2009" s="4">
        <v>41</v>
      </c>
      <c r="AJ2009" s="4">
        <v>7</v>
      </c>
      <c r="AK2009" s="4">
        <v>8</v>
      </c>
      <c r="AL2009" s="4">
        <v>25</v>
      </c>
      <c r="AM2009" s="4">
        <v>25</v>
      </c>
      <c r="AN2009" s="4">
        <v>0</v>
      </c>
      <c r="AO2009" s="4">
        <v>0</v>
      </c>
      <c r="AP2009" s="4">
        <v>10</v>
      </c>
      <c r="AQ2009" s="4">
        <v>11</v>
      </c>
      <c r="AR2009" s="3" t="s">
        <v>62</v>
      </c>
      <c r="AS2009" s="3" t="s">
        <v>62</v>
      </c>
      <c r="AT2009" s="3" t="s">
        <v>61</v>
      </c>
      <c r="AU2009" s="6" t="str">
        <f>HYPERLINK("http://catalog.hathitrust.org/Record/005616694","HathiTrust Record")</f>
        <v>HathiTrust Record</v>
      </c>
      <c r="AV2009" s="6" t="str">
        <f>HYPERLINK("http://mcgill.on.worldcat.org/oclc/31207007","Catalog Record")</f>
        <v>Catalog Record</v>
      </c>
      <c r="AW2009" s="6" t="str">
        <f>HYPERLINK("http://www.worldcat.org/oclc/31207007","WorldCat Record")</f>
        <v>WorldCat Record</v>
      </c>
      <c r="AX2009" s="3" t="s">
        <v>19476</v>
      </c>
      <c r="AY2009" s="3" t="s">
        <v>19477</v>
      </c>
      <c r="AZ2009" s="3" t="s">
        <v>19478</v>
      </c>
      <c r="BA2009" s="3" t="s">
        <v>19478</v>
      </c>
      <c r="BB2009" s="3" t="s">
        <v>19479</v>
      </c>
      <c r="BC2009" s="3" t="s">
        <v>142</v>
      </c>
      <c r="BD2009" s="3" t="s">
        <v>68</v>
      </c>
      <c r="BE2009" s="3" t="s">
        <v>19480</v>
      </c>
      <c r="BF2009" s="3" t="s">
        <v>19479</v>
      </c>
      <c r="BG2009" s="3" t="s">
        <v>19481</v>
      </c>
    </row>
    <row r="2010" spans="1:59" ht="57" x14ac:dyDescent="0.45">
      <c r="A2010" s="2" t="s">
        <v>59</v>
      </c>
      <c r="B2010" s="2" t="s">
        <v>60</v>
      </c>
      <c r="C2010" s="2" t="s">
        <v>19482</v>
      </c>
      <c r="D2010" s="2" t="s">
        <v>19483</v>
      </c>
      <c r="E2010" s="2" t="s">
        <v>19484</v>
      </c>
      <c r="G2010" s="3" t="s">
        <v>62</v>
      </c>
      <c r="I2010" s="3" t="s">
        <v>62</v>
      </c>
      <c r="J2010" s="3" t="s">
        <v>62</v>
      </c>
      <c r="K2010" s="3" t="s">
        <v>63</v>
      </c>
      <c r="M2010" s="2" t="s">
        <v>19382</v>
      </c>
      <c r="N2010" s="3" t="s">
        <v>1155</v>
      </c>
      <c r="P2010" s="3" t="s">
        <v>65</v>
      </c>
      <c r="R2010" s="3" t="s">
        <v>66</v>
      </c>
      <c r="S2010" s="4">
        <v>1</v>
      </c>
      <c r="T2010" s="4">
        <v>1</v>
      </c>
      <c r="U2010" s="5" t="s">
        <v>19485</v>
      </c>
      <c r="V2010" s="5" t="s">
        <v>19485</v>
      </c>
      <c r="W2010" s="5" t="s">
        <v>67</v>
      </c>
      <c r="X2010" s="5" t="s">
        <v>67</v>
      </c>
      <c r="Y2010" s="4">
        <v>322</v>
      </c>
      <c r="Z2010" s="4">
        <v>17</v>
      </c>
      <c r="AA2010" s="4">
        <v>85</v>
      </c>
      <c r="AB2010" s="4">
        <v>3</v>
      </c>
      <c r="AC2010" s="4">
        <v>15</v>
      </c>
      <c r="AD2010" s="4">
        <v>69</v>
      </c>
      <c r="AE2010" s="4">
        <v>131</v>
      </c>
      <c r="AF2010" s="4">
        <v>1</v>
      </c>
      <c r="AG2010" s="4">
        <v>8</v>
      </c>
      <c r="AH2010" s="4">
        <v>63</v>
      </c>
      <c r="AI2010" s="4">
        <v>92</v>
      </c>
      <c r="AJ2010" s="4">
        <v>12</v>
      </c>
      <c r="AK2010" s="4">
        <v>24</v>
      </c>
      <c r="AL2010" s="4">
        <v>36</v>
      </c>
      <c r="AM2010" s="4">
        <v>51</v>
      </c>
      <c r="AN2010" s="4">
        <v>0</v>
      </c>
      <c r="AO2010" s="4">
        <v>0</v>
      </c>
      <c r="AP2010" s="4">
        <v>12</v>
      </c>
      <c r="AQ2010" s="4">
        <v>45</v>
      </c>
      <c r="AR2010" s="3" t="s">
        <v>62</v>
      </c>
      <c r="AS2010" s="3" t="s">
        <v>62</v>
      </c>
      <c r="AT2010" s="3" t="s">
        <v>62</v>
      </c>
      <c r="AV2010" s="6" t="str">
        <f>HYPERLINK("http://mcgill.on.worldcat.org/oclc/798060234","Catalog Record")</f>
        <v>Catalog Record</v>
      </c>
      <c r="AW2010" s="6" t="str">
        <f>HYPERLINK("http://www.worldcat.org/oclc/798060234","WorldCat Record")</f>
        <v>WorldCat Record</v>
      </c>
      <c r="AX2010" s="3" t="s">
        <v>19486</v>
      </c>
      <c r="AY2010" s="3" t="s">
        <v>19487</v>
      </c>
      <c r="AZ2010" s="3" t="s">
        <v>19488</v>
      </c>
      <c r="BA2010" s="3" t="s">
        <v>19488</v>
      </c>
      <c r="BB2010" s="3" t="s">
        <v>19489</v>
      </c>
      <c r="BC2010" s="3" t="s">
        <v>142</v>
      </c>
      <c r="BD2010" s="3" t="s">
        <v>68</v>
      </c>
      <c r="BE2010" s="3" t="s">
        <v>19490</v>
      </c>
      <c r="BF2010" s="3" t="s">
        <v>19489</v>
      </c>
      <c r="BG2010" s="3" t="s">
        <v>19491</v>
      </c>
    </row>
    <row r="2011" spans="1:59" ht="57" x14ac:dyDescent="0.45">
      <c r="A2011" s="2" t="s">
        <v>59</v>
      </c>
      <c r="B2011" s="2" t="s">
        <v>60</v>
      </c>
      <c r="C2011" s="2" t="s">
        <v>19492</v>
      </c>
      <c r="D2011" s="2" t="s">
        <v>19493</v>
      </c>
      <c r="E2011" s="2" t="s">
        <v>19494</v>
      </c>
      <c r="G2011" s="3" t="s">
        <v>62</v>
      </c>
      <c r="I2011" s="3" t="s">
        <v>62</v>
      </c>
      <c r="J2011" s="3" t="s">
        <v>62</v>
      </c>
      <c r="K2011" s="3" t="s">
        <v>63</v>
      </c>
      <c r="L2011" s="2" t="s">
        <v>19495</v>
      </c>
      <c r="M2011" s="2" t="s">
        <v>19496</v>
      </c>
      <c r="N2011" s="3" t="s">
        <v>945</v>
      </c>
      <c r="P2011" s="3" t="s">
        <v>65</v>
      </c>
      <c r="Q2011" s="2" t="s">
        <v>19497</v>
      </c>
      <c r="R2011" s="3" t="s">
        <v>66</v>
      </c>
      <c r="S2011" s="4">
        <v>17</v>
      </c>
      <c r="T2011" s="4">
        <v>17</v>
      </c>
      <c r="U2011" s="5" t="s">
        <v>19475</v>
      </c>
      <c r="V2011" s="5" t="s">
        <v>19475</v>
      </c>
      <c r="W2011" s="5" t="s">
        <v>67</v>
      </c>
      <c r="X2011" s="5" t="s">
        <v>67</v>
      </c>
      <c r="Y2011" s="4">
        <v>312</v>
      </c>
      <c r="Z2011" s="4">
        <v>35</v>
      </c>
      <c r="AA2011" s="4">
        <v>104</v>
      </c>
      <c r="AB2011" s="4">
        <v>2</v>
      </c>
      <c r="AC2011" s="4">
        <v>18</v>
      </c>
      <c r="AD2011" s="4">
        <v>106</v>
      </c>
      <c r="AE2011" s="4">
        <v>143</v>
      </c>
      <c r="AF2011" s="4">
        <v>1</v>
      </c>
      <c r="AG2011" s="4">
        <v>8</v>
      </c>
      <c r="AH2011" s="4">
        <v>87</v>
      </c>
      <c r="AI2011" s="4">
        <v>100</v>
      </c>
      <c r="AJ2011" s="4">
        <v>18</v>
      </c>
      <c r="AK2011" s="4">
        <v>26</v>
      </c>
      <c r="AL2011" s="4">
        <v>51</v>
      </c>
      <c r="AM2011" s="4">
        <v>56</v>
      </c>
      <c r="AN2011" s="4">
        <v>0</v>
      </c>
      <c r="AO2011" s="4">
        <v>0</v>
      </c>
      <c r="AP2011" s="4">
        <v>28</v>
      </c>
      <c r="AQ2011" s="4">
        <v>52</v>
      </c>
      <c r="AR2011" s="3" t="s">
        <v>62</v>
      </c>
      <c r="AS2011" s="3" t="s">
        <v>62</v>
      </c>
      <c r="AT2011" s="3" t="s">
        <v>61</v>
      </c>
      <c r="AU2011" s="6" t="str">
        <f>HYPERLINK("http://catalog.hathitrust.org/Record/005622693","HathiTrust Record")</f>
        <v>HathiTrust Record</v>
      </c>
      <c r="AV2011" s="6" t="str">
        <f>HYPERLINK("http://mcgill.on.worldcat.org/oclc/86167663","Catalog Record")</f>
        <v>Catalog Record</v>
      </c>
      <c r="AW2011" s="6" t="str">
        <f>HYPERLINK("http://www.worldcat.org/oclc/86167663","WorldCat Record")</f>
        <v>WorldCat Record</v>
      </c>
      <c r="AX2011" s="3" t="s">
        <v>19498</v>
      </c>
      <c r="AY2011" s="3" t="s">
        <v>19499</v>
      </c>
      <c r="AZ2011" s="3" t="s">
        <v>19500</v>
      </c>
      <c r="BA2011" s="3" t="s">
        <v>19500</v>
      </c>
      <c r="BB2011" s="3" t="s">
        <v>19501</v>
      </c>
      <c r="BC2011" s="3" t="s">
        <v>142</v>
      </c>
      <c r="BD2011" s="3" t="s">
        <v>68</v>
      </c>
      <c r="BE2011" s="3" t="s">
        <v>19502</v>
      </c>
      <c r="BF2011" s="3" t="s">
        <v>19501</v>
      </c>
      <c r="BG2011" s="3" t="s">
        <v>19503</v>
      </c>
    </row>
    <row r="2012" spans="1:59" ht="71.25" x14ac:dyDescent="0.45">
      <c r="A2012" s="2" t="s">
        <v>59</v>
      </c>
      <c r="B2012" s="2" t="s">
        <v>60</v>
      </c>
      <c r="C2012" s="2" t="s">
        <v>19504</v>
      </c>
      <c r="D2012" s="2" t="s">
        <v>19505</v>
      </c>
      <c r="E2012" s="2" t="s">
        <v>19506</v>
      </c>
      <c r="G2012" s="3" t="s">
        <v>62</v>
      </c>
      <c r="I2012" s="3" t="s">
        <v>61</v>
      </c>
      <c r="J2012" s="3" t="s">
        <v>62</v>
      </c>
      <c r="K2012" s="3" t="s">
        <v>63</v>
      </c>
      <c r="M2012" s="2" t="s">
        <v>19507</v>
      </c>
      <c r="N2012" s="3" t="s">
        <v>117</v>
      </c>
      <c r="O2012" s="2" t="s">
        <v>168</v>
      </c>
      <c r="P2012" s="3" t="s">
        <v>65</v>
      </c>
      <c r="R2012" s="3" t="s">
        <v>66</v>
      </c>
      <c r="S2012" s="4">
        <v>4</v>
      </c>
      <c r="T2012" s="4">
        <v>46</v>
      </c>
      <c r="U2012" s="5" t="s">
        <v>2801</v>
      </c>
      <c r="V2012" s="5" t="s">
        <v>2801</v>
      </c>
      <c r="W2012" s="5" t="s">
        <v>67</v>
      </c>
      <c r="X2012" s="5" t="s">
        <v>67</v>
      </c>
      <c r="Y2012" s="4">
        <v>276</v>
      </c>
      <c r="Z2012" s="4">
        <v>11</v>
      </c>
      <c r="AA2012" s="4">
        <v>15</v>
      </c>
      <c r="AB2012" s="4">
        <v>3</v>
      </c>
      <c r="AC2012" s="4">
        <v>5</v>
      </c>
      <c r="AD2012" s="4">
        <v>57</v>
      </c>
      <c r="AE2012" s="4">
        <v>62</v>
      </c>
      <c r="AF2012" s="4">
        <v>2</v>
      </c>
      <c r="AG2012" s="4">
        <v>4</v>
      </c>
      <c r="AH2012" s="4">
        <v>51</v>
      </c>
      <c r="AI2012" s="4">
        <v>54</v>
      </c>
      <c r="AJ2012" s="4">
        <v>6</v>
      </c>
      <c r="AK2012" s="4">
        <v>10</v>
      </c>
      <c r="AL2012" s="4">
        <v>33</v>
      </c>
      <c r="AM2012" s="4">
        <v>33</v>
      </c>
      <c r="AN2012" s="4">
        <v>0</v>
      </c>
      <c r="AO2012" s="4">
        <v>0</v>
      </c>
      <c r="AP2012" s="4">
        <v>9</v>
      </c>
      <c r="AQ2012" s="4">
        <v>12</v>
      </c>
      <c r="AR2012" s="3" t="s">
        <v>62</v>
      </c>
      <c r="AS2012" s="3" t="s">
        <v>62</v>
      </c>
      <c r="AT2012" s="3" t="s">
        <v>61</v>
      </c>
      <c r="AU2012" s="6" t="str">
        <f>HYPERLINK("http://catalog.hathitrust.org/Record/000739294","HathiTrust Record")</f>
        <v>HathiTrust Record</v>
      </c>
      <c r="AV2012" s="6" t="str">
        <f>HYPERLINK("http://mcgill.on.worldcat.org/oclc/7206902","Catalog Record")</f>
        <v>Catalog Record</v>
      </c>
      <c r="AW2012" s="6" t="str">
        <f>HYPERLINK("http://www.worldcat.org/oclc/7206902","WorldCat Record")</f>
        <v>WorldCat Record</v>
      </c>
      <c r="AX2012" s="3" t="s">
        <v>19508</v>
      </c>
      <c r="AY2012" s="3" t="s">
        <v>19509</v>
      </c>
      <c r="AZ2012" s="3" t="s">
        <v>19510</v>
      </c>
      <c r="BA2012" s="3" t="s">
        <v>19510</v>
      </c>
      <c r="BB2012" s="3" t="s">
        <v>19511</v>
      </c>
      <c r="BC2012" s="3" t="s">
        <v>142</v>
      </c>
      <c r="BD2012" s="3" t="s">
        <v>68</v>
      </c>
      <c r="BE2012" s="3" t="s">
        <v>19512</v>
      </c>
      <c r="BF2012" s="3" t="s">
        <v>19511</v>
      </c>
      <c r="BG2012" s="3" t="s">
        <v>19513</v>
      </c>
    </row>
    <row r="2013" spans="1:59" ht="71.25" x14ac:dyDescent="0.45">
      <c r="A2013" s="2" t="s">
        <v>59</v>
      </c>
      <c r="B2013" s="2" t="s">
        <v>60</v>
      </c>
      <c r="C2013" s="2" t="s">
        <v>19504</v>
      </c>
      <c r="D2013" s="2" t="s">
        <v>19505</v>
      </c>
      <c r="E2013" s="2" t="s">
        <v>19506</v>
      </c>
      <c r="G2013" s="3" t="s">
        <v>62</v>
      </c>
      <c r="I2013" s="3" t="s">
        <v>61</v>
      </c>
      <c r="J2013" s="3" t="s">
        <v>62</v>
      </c>
      <c r="K2013" s="3" t="s">
        <v>63</v>
      </c>
      <c r="M2013" s="2" t="s">
        <v>19507</v>
      </c>
      <c r="N2013" s="3" t="s">
        <v>117</v>
      </c>
      <c r="O2013" s="2" t="s">
        <v>168</v>
      </c>
      <c r="P2013" s="3" t="s">
        <v>65</v>
      </c>
      <c r="R2013" s="3" t="s">
        <v>66</v>
      </c>
      <c r="S2013" s="4">
        <v>42</v>
      </c>
      <c r="T2013" s="4">
        <v>46</v>
      </c>
      <c r="U2013" s="5" t="s">
        <v>19514</v>
      </c>
      <c r="V2013" s="5" t="s">
        <v>2801</v>
      </c>
      <c r="W2013" s="5" t="s">
        <v>67</v>
      </c>
      <c r="X2013" s="5" t="s">
        <v>67</v>
      </c>
      <c r="Y2013" s="4">
        <v>276</v>
      </c>
      <c r="Z2013" s="4">
        <v>11</v>
      </c>
      <c r="AA2013" s="4">
        <v>15</v>
      </c>
      <c r="AB2013" s="4">
        <v>3</v>
      </c>
      <c r="AC2013" s="4">
        <v>5</v>
      </c>
      <c r="AD2013" s="4">
        <v>57</v>
      </c>
      <c r="AE2013" s="4">
        <v>62</v>
      </c>
      <c r="AF2013" s="4">
        <v>2</v>
      </c>
      <c r="AG2013" s="4">
        <v>4</v>
      </c>
      <c r="AH2013" s="4">
        <v>51</v>
      </c>
      <c r="AI2013" s="4">
        <v>54</v>
      </c>
      <c r="AJ2013" s="4">
        <v>6</v>
      </c>
      <c r="AK2013" s="4">
        <v>10</v>
      </c>
      <c r="AL2013" s="4">
        <v>33</v>
      </c>
      <c r="AM2013" s="4">
        <v>33</v>
      </c>
      <c r="AN2013" s="4">
        <v>0</v>
      </c>
      <c r="AO2013" s="4">
        <v>0</v>
      </c>
      <c r="AP2013" s="4">
        <v>9</v>
      </c>
      <c r="AQ2013" s="4">
        <v>12</v>
      </c>
      <c r="AR2013" s="3" t="s">
        <v>62</v>
      </c>
      <c r="AS2013" s="3" t="s">
        <v>62</v>
      </c>
      <c r="AT2013" s="3" t="s">
        <v>61</v>
      </c>
      <c r="AU2013" s="6" t="str">
        <f>HYPERLINK("http://catalog.hathitrust.org/Record/000739294","HathiTrust Record")</f>
        <v>HathiTrust Record</v>
      </c>
      <c r="AV2013" s="6" t="str">
        <f>HYPERLINK("http://mcgill.on.worldcat.org/oclc/7206902","Catalog Record")</f>
        <v>Catalog Record</v>
      </c>
      <c r="AW2013" s="6" t="str">
        <f>HYPERLINK("http://www.worldcat.org/oclc/7206902","WorldCat Record")</f>
        <v>WorldCat Record</v>
      </c>
      <c r="AX2013" s="3" t="s">
        <v>19508</v>
      </c>
      <c r="AY2013" s="3" t="s">
        <v>19509</v>
      </c>
      <c r="AZ2013" s="3" t="s">
        <v>19510</v>
      </c>
      <c r="BA2013" s="3" t="s">
        <v>19510</v>
      </c>
      <c r="BB2013" s="3" t="s">
        <v>19515</v>
      </c>
      <c r="BC2013" s="3" t="s">
        <v>142</v>
      </c>
      <c r="BD2013" s="3" t="s">
        <v>68</v>
      </c>
      <c r="BE2013" s="3" t="s">
        <v>19512</v>
      </c>
      <c r="BF2013" s="3" t="s">
        <v>19515</v>
      </c>
      <c r="BG2013" s="3" t="s">
        <v>19516</v>
      </c>
    </row>
    <row r="2014" spans="1:59" ht="71.25" x14ac:dyDescent="0.45">
      <c r="A2014" s="2" t="s">
        <v>59</v>
      </c>
      <c r="B2014" s="2" t="s">
        <v>60</v>
      </c>
      <c r="C2014" s="2" t="s">
        <v>19517</v>
      </c>
      <c r="D2014" s="2" t="s">
        <v>19518</v>
      </c>
      <c r="E2014" s="2" t="s">
        <v>19519</v>
      </c>
      <c r="G2014" s="3" t="s">
        <v>62</v>
      </c>
      <c r="I2014" s="3" t="s">
        <v>61</v>
      </c>
      <c r="J2014" s="3" t="s">
        <v>62</v>
      </c>
      <c r="K2014" s="3" t="s">
        <v>63</v>
      </c>
      <c r="M2014" s="2" t="s">
        <v>19520</v>
      </c>
      <c r="N2014" s="3" t="s">
        <v>1855</v>
      </c>
      <c r="P2014" s="3" t="s">
        <v>65</v>
      </c>
      <c r="R2014" s="3" t="s">
        <v>66</v>
      </c>
      <c r="S2014" s="4">
        <v>20</v>
      </c>
      <c r="T2014" s="4">
        <v>33</v>
      </c>
      <c r="U2014" s="5" t="s">
        <v>19521</v>
      </c>
      <c r="V2014" s="5" t="s">
        <v>11732</v>
      </c>
      <c r="W2014" s="5" t="s">
        <v>67</v>
      </c>
      <c r="X2014" s="5" t="s">
        <v>67</v>
      </c>
      <c r="Y2014" s="4">
        <v>720</v>
      </c>
      <c r="Z2014" s="4">
        <v>46</v>
      </c>
      <c r="AA2014" s="4">
        <v>48</v>
      </c>
      <c r="AB2014" s="4">
        <v>2</v>
      </c>
      <c r="AC2014" s="4">
        <v>4</v>
      </c>
      <c r="AD2014" s="4">
        <v>113</v>
      </c>
      <c r="AE2014" s="4">
        <v>115</v>
      </c>
      <c r="AF2014" s="4">
        <v>1</v>
      </c>
      <c r="AG2014" s="4">
        <v>3</v>
      </c>
      <c r="AH2014" s="4">
        <v>92</v>
      </c>
      <c r="AI2014" s="4">
        <v>93</v>
      </c>
      <c r="AJ2014" s="4">
        <v>19</v>
      </c>
      <c r="AK2014" s="4">
        <v>20</v>
      </c>
      <c r="AL2014" s="4">
        <v>49</v>
      </c>
      <c r="AM2014" s="4">
        <v>49</v>
      </c>
      <c r="AN2014" s="4">
        <v>0</v>
      </c>
      <c r="AO2014" s="4">
        <v>0</v>
      </c>
      <c r="AP2014" s="4">
        <v>30</v>
      </c>
      <c r="AQ2014" s="4">
        <v>32</v>
      </c>
      <c r="AR2014" s="3" t="s">
        <v>62</v>
      </c>
      <c r="AS2014" s="3" t="s">
        <v>62</v>
      </c>
      <c r="AT2014" s="3" t="s">
        <v>62</v>
      </c>
      <c r="AV2014" s="6" t="str">
        <f>HYPERLINK("http://mcgill.on.worldcat.org/oclc/60384940","Catalog Record")</f>
        <v>Catalog Record</v>
      </c>
      <c r="AW2014" s="6" t="str">
        <f>HYPERLINK("http://www.worldcat.org/oclc/60384940","WorldCat Record")</f>
        <v>WorldCat Record</v>
      </c>
      <c r="AX2014" s="3" t="s">
        <v>19522</v>
      </c>
      <c r="AY2014" s="3" t="s">
        <v>19523</v>
      </c>
      <c r="AZ2014" s="3" t="s">
        <v>19524</v>
      </c>
      <c r="BA2014" s="3" t="s">
        <v>19524</v>
      </c>
      <c r="BB2014" s="3" t="s">
        <v>19525</v>
      </c>
      <c r="BC2014" s="3" t="s">
        <v>142</v>
      </c>
      <c r="BD2014" s="3" t="s">
        <v>68</v>
      </c>
      <c r="BE2014" s="3" t="s">
        <v>19526</v>
      </c>
      <c r="BF2014" s="3" t="s">
        <v>19525</v>
      </c>
      <c r="BG2014" s="3" t="s">
        <v>19527</v>
      </c>
    </row>
    <row r="2015" spans="1:59" ht="71.25" x14ac:dyDescent="0.45">
      <c r="A2015" s="2" t="s">
        <v>59</v>
      </c>
      <c r="B2015" s="2" t="s">
        <v>60</v>
      </c>
      <c r="C2015" s="2" t="s">
        <v>19528</v>
      </c>
      <c r="D2015" s="2" t="s">
        <v>19529</v>
      </c>
      <c r="E2015" s="2" t="s">
        <v>19530</v>
      </c>
      <c r="G2015" s="3" t="s">
        <v>62</v>
      </c>
      <c r="I2015" s="3" t="s">
        <v>62</v>
      </c>
      <c r="J2015" s="3" t="s">
        <v>62</v>
      </c>
      <c r="K2015" s="3" t="s">
        <v>63</v>
      </c>
      <c r="M2015" s="2" t="s">
        <v>3915</v>
      </c>
      <c r="N2015" s="3" t="s">
        <v>1155</v>
      </c>
      <c r="P2015" s="3" t="s">
        <v>65</v>
      </c>
      <c r="R2015" s="3" t="s">
        <v>66</v>
      </c>
      <c r="S2015" s="4">
        <v>5</v>
      </c>
      <c r="T2015" s="4">
        <v>5</v>
      </c>
      <c r="U2015" s="5" t="s">
        <v>11732</v>
      </c>
      <c r="V2015" s="5" t="s">
        <v>11732</v>
      </c>
      <c r="W2015" s="5" t="s">
        <v>67</v>
      </c>
      <c r="X2015" s="5" t="s">
        <v>67</v>
      </c>
      <c r="Y2015" s="4">
        <v>172</v>
      </c>
      <c r="Z2015" s="4">
        <v>20</v>
      </c>
      <c r="AA2015" s="4">
        <v>52</v>
      </c>
      <c r="AB2015" s="4">
        <v>1</v>
      </c>
      <c r="AC2015" s="4">
        <v>4</v>
      </c>
      <c r="AD2015" s="4">
        <v>64</v>
      </c>
      <c r="AE2015" s="4">
        <v>86</v>
      </c>
      <c r="AF2015" s="4">
        <v>0</v>
      </c>
      <c r="AG2015" s="4">
        <v>1</v>
      </c>
      <c r="AH2015" s="4">
        <v>60</v>
      </c>
      <c r="AI2015" s="4">
        <v>73</v>
      </c>
      <c r="AJ2015" s="4">
        <v>12</v>
      </c>
      <c r="AK2015" s="4">
        <v>16</v>
      </c>
      <c r="AL2015" s="4">
        <v>31</v>
      </c>
      <c r="AM2015" s="4">
        <v>39</v>
      </c>
      <c r="AN2015" s="4">
        <v>0</v>
      </c>
      <c r="AO2015" s="4">
        <v>0</v>
      </c>
      <c r="AP2015" s="4">
        <v>13</v>
      </c>
      <c r="AQ2015" s="4">
        <v>22</v>
      </c>
      <c r="AR2015" s="3" t="s">
        <v>62</v>
      </c>
      <c r="AS2015" s="3" t="s">
        <v>62</v>
      </c>
      <c r="AT2015" s="3" t="s">
        <v>62</v>
      </c>
      <c r="AV2015" s="6" t="str">
        <f>HYPERLINK("http://mcgill.on.worldcat.org/oclc/779244375","Catalog Record")</f>
        <v>Catalog Record</v>
      </c>
      <c r="AW2015" s="6" t="str">
        <f>HYPERLINK("http://www.worldcat.org/oclc/779244375","WorldCat Record")</f>
        <v>WorldCat Record</v>
      </c>
      <c r="AX2015" s="3" t="s">
        <v>19531</v>
      </c>
      <c r="AY2015" s="3" t="s">
        <v>19532</v>
      </c>
      <c r="AZ2015" s="3" t="s">
        <v>19533</v>
      </c>
      <c r="BA2015" s="3" t="s">
        <v>19533</v>
      </c>
      <c r="BB2015" s="3" t="s">
        <v>19534</v>
      </c>
      <c r="BC2015" s="3" t="s">
        <v>142</v>
      </c>
      <c r="BD2015" s="3" t="s">
        <v>68</v>
      </c>
      <c r="BE2015" s="3" t="s">
        <v>19535</v>
      </c>
      <c r="BF2015" s="3" t="s">
        <v>19534</v>
      </c>
      <c r="BG2015" s="3" t="s">
        <v>19536</v>
      </c>
    </row>
    <row r="2016" spans="1:59" ht="71.25" x14ac:dyDescent="0.45">
      <c r="A2016" s="2" t="s">
        <v>59</v>
      </c>
      <c r="B2016" s="2" t="s">
        <v>60</v>
      </c>
      <c r="C2016" s="2" t="s">
        <v>19537</v>
      </c>
      <c r="D2016" s="2" t="s">
        <v>19538</v>
      </c>
      <c r="E2016" s="2" t="s">
        <v>19519</v>
      </c>
      <c r="G2016" s="3" t="s">
        <v>62</v>
      </c>
      <c r="I2016" s="3" t="s">
        <v>61</v>
      </c>
      <c r="J2016" s="3" t="s">
        <v>62</v>
      </c>
      <c r="K2016" s="3" t="s">
        <v>63</v>
      </c>
      <c r="M2016" s="2" t="s">
        <v>19520</v>
      </c>
      <c r="N2016" s="3" t="s">
        <v>1855</v>
      </c>
      <c r="P2016" s="3" t="s">
        <v>65</v>
      </c>
      <c r="R2016" s="3" t="s">
        <v>66</v>
      </c>
      <c r="S2016" s="4">
        <v>13</v>
      </c>
      <c r="T2016" s="4">
        <v>33</v>
      </c>
      <c r="U2016" s="5" t="s">
        <v>11732</v>
      </c>
      <c r="V2016" s="5" t="s">
        <v>11732</v>
      </c>
      <c r="W2016" s="5" t="s">
        <v>67</v>
      </c>
      <c r="X2016" s="5" t="s">
        <v>67</v>
      </c>
      <c r="Y2016" s="4">
        <v>720</v>
      </c>
      <c r="Z2016" s="4">
        <v>46</v>
      </c>
      <c r="AA2016" s="4">
        <v>48</v>
      </c>
      <c r="AB2016" s="4">
        <v>2</v>
      </c>
      <c r="AC2016" s="4">
        <v>4</v>
      </c>
      <c r="AD2016" s="4">
        <v>113</v>
      </c>
      <c r="AE2016" s="4">
        <v>115</v>
      </c>
      <c r="AF2016" s="4">
        <v>1</v>
      </c>
      <c r="AG2016" s="4">
        <v>3</v>
      </c>
      <c r="AH2016" s="4">
        <v>92</v>
      </c>
      <c r="AI2016" s="4">
        <v>93</v>
      </c>
      <c r="AJ2016" s="4">
        <v>19</v>
      </c>
      <c r="AK2016" s="4">
        <v>20</v>
      </c>
      <c r="AL2016" s="4">
        <v>49</v>
      </c>
      <c r="AM2016" s="4">
        <v>49</v>
      </c>
      <c r="AN2016" s="4">
        <v>0</v>
      </c>
      <c r="AO2016" s="4">
        <v>0</v>
      </c>
      <c r="AP2016" s="4">
        <v>30</v>
      </c>
      <c r="AQ2016" s="4">
        <v>32</v>
      </c>
      <c r="AR2016" s="3" t="s">
        <v>62</v>
      </c>
      <c r="AS2016" s="3" t="s">
        <v>62</v>
      </c>
      <c r="AT2016" s="3" t="s">
        <v>62</v>
      </c>
      <c r="AV2016" s="6" t="str">
        <f>HYPERLINK("http://mcgill.on.worldcat.org/oclc/60384940","Catalog Record")</f>
        <v>Catalog Record</v>
      </c>
      <c r="AW2016" s="6" t="str">
        <f>HYPERLINK("http://www.worldcat.org/oclc/60384940","WorldCat Record")</f>
        <v>WorldCat Record</v>
      </c>
      <c r="AX2016" s="3" t="s">
        <v>19522</v>
      </c>
      <c r="AY2016" s="3" t="s">
        <v>19523</v>
      </c>
      <c r="AZ2016" s="3" t="s">
        <v>19524</v>
      </c>
      <c r="BA2016" s="3" t="s">
        <v>19524</v>
      </c>
      <c r="BB2016" s="3" t="s">
        <v>19539</v>
      </c>
      <c r="BC2016" s="3" t="s">
        <v>142</v>
      </c>
      <c r="BD2016" s="3" t="s">
        <v>68</v>
      </c>
      <c r="BE2016" s="3" t="s">
        <v>19526</v>
      </c>
      <c r="BF2016" s="3" t="s">
        <v>19539</v>
      </c>
      <c r="BG2016" s="3" t="s">
        <v>19540</v>
      </c>
    </row>
    <row r="2017" spans="1:59" ht="71.25" x14ac:dyDescent="0.45">
      <c r="A2017" s="2" t="s">
        <v>927</v>
      </c>
      <c r="B2017" s="2" t="s">
        <v>928</v>
      </c>
      <c r="C2017" s="2" t="s">
        <v>19541</v>
      </c>
      <c r="D2017" s="2" t="s">
        <v>19542</v>
      </c>
      <c r="E2017" s="2" t="s">
        <v>19543</v>
      </c>
      <c r="G2017" s="3" t="s">
        <v>62</v>
      </c>
      <c r="I2017" s="3" t="s">
        <v>62</v>
      </c>
      <c r="J2017" s="3" t="s">
        <v>62</v>
      </c>
      <c r="K2017" s="3" t="s">
        <v>63</v>
      </c>
      <c r="M2017" s="2" t="s">
        <v>19544</v>
      </c>
      <c r="N2017" s="3" t="s">
        <v>1478</v>
      </c>
      <c r="P2017" s="3" t="s">
        <v>65</v>
      </c>
      <c r="R2017" s="3" t="s">
        <v>66</v>
      </c>
      <c r="S2017" s="4">
        <v>1</v>
      </c>
      <c r="T2017" s="4">
        <v>1</v>
      </c>
      <c r="U2017" s="5" t="s">
        <v>12497</v>
      </c>
      <c r="V2017" s="5" t="s">
        <v>12497</v>
      </c>
      <c r="W2017" s="5" t="s">
        <v>67</v>
      </c>
      <c r="X2017" s="5" t="s">
        <v>67</v>
      </c>
      <c r="Y2017" s="4">
        <v>479</v>
      </c>
      <c r="Z2017" s="4">
        <v>18</v>
      </c>
      <c r="AA2017" s="4">
        <v>19</v>
      </c>
      <c r="AB2017" s="4">
        <v>2</v>
      </c>
      <c r="AC2017" s="4">
        <v>2</v>
      </c>
      <c r="AD2017" s="4">
        <v>103</v>
      </c>
      <c r="AE2017" s="4">
        <v>104</v>
      </c>
      <c r="AF2017" s="4">
        <v>1</v>
      </c>
      <c r="AG2017" s="4">
        <v>1</v>
      </c>
      <c r="AH2017" s="4">
        <v>94</v>
      </c>
      <c r="AI2017" s="4">
        <v>95</v>
      </c>
      <c r="AJ2017" s="4">
        <v>14</v>
      </c>
      <c r="AK2017" s="4">
        <v>14</v>
      </c>
      <c r="AL2017" s="4">
        <v>49</v>
      </c>
      <c r="AM2017" s="4">
        <v>50</v>
      </c>
      <c r="AN2017" s="4">
        <v>0</v>
      </c>
      <c r="AO2017" s="4">
        <v>0</v>
      </c>
      <c r="AP2017" s="4">
        <v>14</v>
      </c>
      <c r="AQ2017" s="4">
        <v>14</v>
      </c>
      <c r="AR2017" s="3" t="s">
        <v>62</v>
      </c>
      <c r="AS2017" s="3" t="s">
        <v>62</v>
      </c>
      <c r="AT2017" s="3" t="s">
        <v>61</v>
      </c>
      <c r="AU2017" s="6" t="str">
        <f>HYPERLINK("http://catalog.hathitrust.org/Record/003139600","HathiTrust Record")</f>
        <v>HathiTrust Record</v>
      </c>
      <c r="AV2017" s="6" t="str">
        <f>HYPERLINK("http://mcgill.on.worldcat.org/oclc/34046784","Catalog Record")</f>
        <v>Catalog Record</v>
      </c>
      <c r="AW2017" s="6" t="str">
        <f>HYPERLINK("http://www.worldcat.org/oclc/34046784","WorldCat Record")</f>
        <v>WorldCat Record</v>
      </c>
      <c r="AX2017" s="3" t="s">
        <v>19545</v>
      </c>
      <c r="AY2017" s="3" t="s">
        <v>19546</v>
      </c>
      <c r="AZ2017" s="3" t="s">
        <v>19547</v>
      </c>
      <c r="BA2017" s="3" t="s">
        <v>19547</v>
      </c>
      <c r="BB2017" s="3" t="s">
        <v>19548</v>
      </c>
      <c r="BC2017" s="3" t="s">
        <v>142</v>
      </c>
      <c r="BD2017" s="3" t="s">
        <v>68</v>
      </c>
      <c r="BE2017" s="3" t="s">
        <v>19549</v>
      </c>
      <c r="BF2017" s="3" t="s">
        <v>19548</v>
      </c>
      <c r="BG2017" s="3" t="s">
        <v>19550</v>
      </c>
    </row>
    <row r="2018" spans="1:59" ht="71.25" x14ac:dyDescent="0.45">
      <c r="A2018" s="2" t="s">
        <v>59</v>
      </c>
      <c r="B2018" s="2" t="s">
        <v>60</v>
      </c>
      <c r="C2018" s="2" t="s">
        <v>19551</v>
      </c>
      <c r="D2018" s="2" t="s">
        <v>19552</v>
      </c>
      <c r="E2018" s="2" t="s">
        <v>19553</v>
      </c>
      <c r="G2018" s="3" t="s">
        <v>62</v>
      </c>
      <c r="I2018" s="3" t="s">
        <v>61</v>
      </c>
      <c r="J2018" s="3" t="s">
        <v>62</v>
      </c>
      <c r="K2018" s="3" t="s">
        <v>63</v>
      </c>
      <c r="M2018" s="2" t="s">
        <v>19554</v>
      </c>
      <c r="N2018" s="3" t="s">
        <v>84</v>
      </c>
      <c r="P2018" s="3" t="s">
        <v>65</v>
      </c>
      <c r="R2018" s="3" t="s">
        <v>66</v>
      </c>
      <c r="S2018" s="4">
        <v>5</v>
      </c>
      <c r="T2018" s="4">
        <v>66</v>
      </c>
      <c r="U2018" s="5" t="s">
        <v>12497</v>
      </c>
      <c r="V2018" s="5" t="s">
        <v>4918</v>
      </c>
      <c r="W2018" s="5" t="s">
        <v>67</v>
      </c>
      <c r="X2018" s="5" t="s">
        <v>67</v>
      </c>
      <c r="Y2018" s="4">
        <v>505</v>
      </c>
      <c r="Z2018" s="4">
        <v>35</v>
      </c>
      <c r="AA2018" s="4">
        <v>41</v>
      </c>
      <c r="AB2018" s="4">
        <v>3</v>
      </c>
      <c r="AC2018" s="4">
        <v>9</v>
      </c>
      <c r="AD2018" s="4">
        <v>119</v>
      </c>
      <c r="AE2018" s="4">
        <v>122</v>
      </c>
      <c r="AF2018" s="4">
        <v>1</v>
      </c>
      <c r="AG2018" s="4">
        <v>4</v>
      </c>
      <c r="AH2018" s="4">
        <v>100</v>
      </c>
      <c r="AI2018" s="4">
        <v>101</v>
      </c>
      <c r="AJ2018" s="4">
        <v>19</v>
      </c>
      <c r="AK2018" s="4">
        <v>22</v>
      </c>
      <c r="AL2018" s="4">
        <v>55</v>
      </c>
      <c r="AM2018" s="4">
        <v>55</v>
      </c>
      <c r="AN2018" s="4">
        <v>0</v>
      </c>
      <c r="AO2018" s="4">
        <v>0</v>
      </c>
      <c r="AP2018" s="4">
        <v>28</v>
      </c>
      <c r="AQ2018" s="4">
        <v>30</v>
      </c>
      <c r="AR2018" s="3" t="s">
        <v>62</v>
      </c>
      <c r="AS2018" s="3" t="s">
        <v>62</v>
      </c>
      <c r="AT2018" s="3" t="s">
        <v>61</v>
      </c>
      <c r="AU2018" s="6" t="str">
        <f>HYPERLINK("http://catalog.hathitrust.org/Record/002586065","HathiTrust Record")</f>
        <v>HathiTrust Record</v>
      </c>
      <c r="AV2018" s="6" t="str">
        <f>HYPERLINK("http://mcgill.on.worldcat.org/oclc/25410496","Catalog Record")</f>
        <v>Catalog Record</v>
      </c>
      <c r="AW2018" s="6" t="str">
        <f>HYPERLINK("http://www.worldcat.org/oclc/25410496","WorldCat Record")</f>
        <v>WorldCat Record</v>
      </c>
      <c r="AX2018" s="3" t="s">
        <v>19555</v>
      </c>
      <c r="AY2018" s="3" t="s">
        <v>19556</v>
      </c>
      <c r="AZ2018" s="3" t="s">
        <v>19557</v>
      </c>
      <c r="BA2018" s="3" t="s">
        <v>19557</v>
      </c>
      <c r="BB2018" s="3" t="s">
        <v>19558</v>
      </c>
      <c r="BC2018" s="3" t="s">
        <v>142</v>
      </c>
      <c r="BD2018" s="3" t="s">
        <v>68</v>
      </c>
      <c r="BE2018" s="3" t="s">
        <v>19559</v>
      </c>
      <c r="BF2018" s="3" t="s">
        <v>19558</v>
      </c>
      <c r="BG2018" s="3" t="s">
        <v>19560</v>
      </c>
    </row>
    <row r="2019" spans="1:59" ht="71.25" x14ac:dyDescent="0.45">
      <c r="A2019" s="2" t="s">
        <v>59</v>
      </c>
      <c r="B2019" s="2" t="s">
        <v>60</v>
      </c>
      <c r="C2019" s="2" t="s">
        <v>19551</v>
      </c>
      <c r="D2019" s="2" t="s">
        <v>19552</v>
      </c>
      <c r="E2019" s="2" t="s">
        <v>19553</v>
      </c>
      <c r="G2019" s="3" t="s">
        <v>62</v>
      </c>
      <c r="I2019" s="3" t="s">
        <v>61</v>
      </c>
      <c r="J2019" s="3" t="s">
        <v>62</v>
      </c>
      <c r="K2019" s="3" t="s">
        <v>63</v>
      </c>
      <c r="M2019" s="2" t="s">
        <v>19554</v>
      </c>
      <c r="N2019" s="3" t="s">
        <v>84</v>
      </c>
      <c r="P2019" s="3" t="s">
        <v>65</v>
      </c>
      <c r="R2019" s="3" t="s">
        <v>66</v>
      </c>
      <c r="S2019" s="4">
        <v>61</v>
      </c>
      <c r="T2019" s="4">
        <v>66</v>
      </c>
      <c r="U2019" s="5" t="s">
        <v>4918</v>
      </c>
      <c r="V2019" s="5" t="s">
        <v>4918</v>
      </c>
      <c r="W2019" s="5" t="s">
        <v>67</v>
      </c>
      <c r="X2019" s="5" t="s">
        <v>67</v>
      </c>
      <c r="Y2019" s="4">
        <v>505</v>
      </c>
      <c r="Z2019" s="4">
        <v>35</v>
      </c>
      <c r="AA2019" s="4">
        <v>41</v>
      </c>
      <c r="AB2019" s="4">
        <v>3</v>
      </c>
      <c r="AC2019" s="4">
        <v>9</v>
      </c>
      <c r="AD2019" s="4">
        <v>119</v>
      </c>
      <c r="AE2019" s="4">
        <v>122</v>
      </c>
      <c r="AF2019" s="4">
        <v>1</v>
      </c>
      <c r="AG2019" s="4">
        <v>4</v>
      </c>
      <c r="AH2019" s="4">
        <v>100</v>
      </c>
      <c r="AI2019" s="4">
        <v>101</v>
      </c>
      <c r="AJ2019" s="4">
        <v>19</v>
      </c>
      <c r="AK2019" s="4">
        <v>22</v>
      </c>
      <c r="AL2019" s="4">
        <v>55</v>
      </c>
      <c r="AM2019" s="4">
        <v>55</v>
      </c>
      <c r="AN2019" s="4">
        <v>0</v>
      </c>
      <c r="AO2019" s="4">
        <v>0</v>
      </c>
      <c r="AP2019" s="4">
        <v>28</v>
      </c>
      <c r="AQ2019" s="4">
        <v>30</v>
      </c>
      <c r="AR2019" s="3" t="s">
        <v>62</v>
      </c>
      <c r="AS2019" s="3" t="s">
        <v>62</v>
      </c>
      <c r="AT2019" s="3" t="s">
        <v>61</v>
      </c>
      <c r="AU2019" s="6" t="str">
        <f>HYPERLINK("http://catalog.hathitrust.org/Record/002586065","HathiTrust Record")</f>
        <v>HathiTrust Record</v>
      </c>
      <c r="AV2019" s="6" t="str">
        <f>HYPERLINK("http://mcgill.on.worldcat.org/oclc/25410496","Catalog Record")</f>
        <v>Catalog Record</v>
      </c>
      <c r="AW2019" s="6" t="str">
        <f>HYPERLINK("http://www.worldcat.org/oclc/25410496","WorldCat Record")</f>
        <v>WorldCat Record</v>
      </c>
      <c r="AX2019" s="3" t="s">
        <v>19555</v>
      </c>
      <c r="AY2019" s="3" t="s">
        <v>19556</v>
      </c>
      <c r="AZ2019" s="3" t="s">
        <v>19557</v>
      </c>
      <c r="BA2019" s="3" t="s">
        <v>19557</v>
      </c>
      <c r="BB2019" s="3" t="s">
        <v>19561</v>
      </c>
      <c r="BC2019" s="3" t="s">
        <v>142</v>
      </c>
      <c r="BD2019" s="3" t="s">
        <v>68</v>
      </c>
      <c r="BE2019" s="3" t="s">
        <v>19559</v>
      </c>
      <c r="BF2019" s="3" t="s">
        <v>19561</v>
      </c>
      <c r="BG2019" s="3" t="s">
        <v>19562</v>
      </c>
    </row>
    <row r="2020" spans="1:59" ht="71.25" x14ac:dyDescent="0.45">
      <c r="A2020" s="2" t="s">
        <v>59</v>
      </c>
      <c r="B2020" s="2" t="s">
        <v>60</v>
      </c>
      <c r="C2020" s="2" t="s">
        <v>19563</v>
      </c>
      <c r="D2020" s="2" t="s">
        <v>19564</v>
      </c>
      <c r="E2020" s="2" t="s">
        <v>19565</v>
      </c>
      <c r="G2020" s="3" t="s">
        <v>62</v>
      </c>
      <c r="I2020" s="3" t="s">
        <v>62</v>
      </c>
      <c r="J2020" s="3" t="s">
        <v>62</v>
      </c>
      <c r="K2020" s="3" t="s">
        <v>63</v>
      </c>
      <c r="M2020" s="2" t="s">
        <v>19566</v>
      </c>
      <c r="N2020" s="3" t="s">
        <v>195</v>
      </c>
      <c r="P2020" s="3" t="s">
        <v>65</v>
      </c>
      <c r="R2020" s="3" t="s">
        <v>66</v>
      </c>
      <c r="S2020" s="4">
        <v>9</v>
      </c>
      <c r="T2020" s="4">
        <v>9</v>
      </c>
      <c r="U2020" s="5" t="s">
        <v>12331</v>
      </c>
      <c r="V2020" s="5" t="s">
        <v>12331</v>
      </c>
      <c r="W2020" s="5" t="s">
        <v>67</v>
      </c>
      <c r="X2020" s="5" t="s">
        <v>67</v>
      </c>
      <c r="Y2020" s="4">
        <v>201</v>
      </c>
      <c r="Z2020" s="4">
        <v>14</v>
      </c>
      <c r="AA2020" s="4">
        <v>17</v>
      </c>
      <c r="AB2020" s="4">
        <v>2</v>
      </c>
      <c r="AC2020" s="4">
        <v>5</v>
      </c>
      <c r="AD2020" s="4">
        <v>53</v>
      </c>
      <c r="AE2020" s="4">
        <v>55</v>
      </c>
      <c r="AF2020" s="4">
        <v>1</v>
      </c>
      <c r="AG2020" s="4">
        <v>3</v>
      </c>
      <c r="AH2020" s="4">
        <v>45</v>
      </c>
      <c r="AI2020" s="4">
        <v>45</v>
      </c>
      <c r="AJ2020" s="4">
        <v>7</v>
      </c>
      <c r="AK2020" s="4">
        <v>9</v>
      </c>
      <c r="AL2020" s="4">
        <v>25</v>
      </c>
      <c r="AM2020" s="4">
        <v>25</v>
      </c>
      <c r="AN2020" s="4">
        <v>0</v>
      </c>
      <c r="AO2020" s="4">
        <v>0</v>
      </c>
      <c r="AP2020" s="4">
        <v>10</v>
      </c>
      <c r="AQ2020" s="4">
        <v>11</v>
      </c>
      <c r="AR2020" s="3" t="s">
        <v>62</v>
      </c>
      <c r="AS2020" s="3" t="s">
        <v>62</v>
      </c>
      <c r="AT2020" s="3" t="s">
        <v>61</v>
      </c>
      <c r="AU2020" s="6" t="str">
        <f>HYPERLINK("http://catalog.hathitrust.org/Record/004983351","HathiTrust Record")</f>
        <v>HathiTrust Record</v>
      </c>
      <c r="AV2020" s="6" t="str">
        <f>HYPERLINK("http://mcgill.on.worldcat.org/oclc/28549772","Catalog Record")</f>
        <v>Catalog Record</v>
      </c>
      <c r="AW2020" s="6" t="str">
        <f>HYPERLINK("http://www.worldcat.org/oclc/28549772","WorldCat Record")</f>
        <v>WorldCat Record</v>
      </c>
      <c r="AX2020" s="3" t="s">
        <v>19567</v>
      </c>
      <c r="AY2020" s="3" t="s">
        <v>19568</v>
      </c>
      <c r="AZ2020" s="3" t="s">
        <v>19569</v>
      </c>
      <c r="BA2020" s="3" t="s">
        <v>19569</v>
      </c>
      <c r="BB2020" s="3" t="s">
        <v>19570</v>
      </c>
      <c r="BC2020" s="3" t="s">
        <v>142</v>
      </c>
      <c r="BD2020" s="3" t="s">
        <v>68</v>
      </c>
      <c r="BE2020" s="3" t="s">
        <v>19571</v>
      </c>
      <c r="BF2020" s="3" t="s">
        <v>19570</v>
      </c>
      <c r="BG2020" s="3" t="s">
        <v>19572</v>
      </c>
    </row>
    <row r="2021" spans="1:59" ht="114" x14ac:dyDescent="0.45">
      <c r="A2021" s="2" t="s">
        <v>59</v>
      </c>
      <c r="B2021" s="2" t="s">
        <v>690</v>
      </c>
      <c r="C2021" s="2" t="s">
        <v>19573</v>
      </c>
      <c r="D2021" s="2" t="s">
        <v>19574</v>
      </c>
      <c r="E2021" s="2" t="s">
        <v>19575</v>
      </c>
      <c r="G2021" s="3" t="s">
        <v>62</v>
      </c>
      <c r="I2021" s="3" t="s">
        <v>62</v>
      </c>
      <c r="J2021" s="3" t="s">
        <v>62</v>
      </c>
      <c r="K2021" s="3" t="s">
        <v>63</v>
      </c>
      <c r="L2021" s="2" t="s">
        <v>19576</v>
      </c>
      <c r="M2021" s="2" t="s">
        <v>19461</v>
      </c>
      <c r="N2021" s="3" t="s">
        <v>149</v>
      </c>
      <c r="O2021" s="2" t="s">
        <v>696</v>
      </c>
      <c r="P2021" s="3" t="s">
        <v>697</v>
      </c>
      <c r="Q2021" s="2" t="s">
        <v>19577</v>
      </c>
      <c r="R2021" s="3" t="s">
        <v>66</v>
      </c>
      <c r="S2021" s="4">
        <v>0</v>
      </c>
      <c r="T2021" s="4">
        <v>0</v>
      </c>
      <c r="W2021" s="5" t="s">
        <v>67</v>
      </c>
      <c r="X2021" s="5" t="s">
        <v>67</v>
      </c>
      <c r="Y2021" s="4">
        <v>22</v>
      </c>
      <c r="Z2021" s="4">
        <v>3</v>
      </c>
      <c r="AA2021" s="4">
        <v>3</v>
      </c>
      <c r="AB2021" s="4">
        <v>1</v>
      </c>
      <c r="AC2021" s="4">
        <v>1</v>
      </c>
      <c r="AD2021" s="4">
        <v>16</v>
      </c>
      <c r="AE2021" s="4">
        <v>16</v>
      </c>
      <c r="AF2021" s="4">
        <v>0</v>
      </c>
      <c r="AG2021" s="4">
        <v>0</v>
      </c>
      <c r="AH2021" s="4">
        <v>16</v>
      </c>
      <c r="AI2021" s="4">
        <v>16</v>
      </c>
      <c r="AJ2021" s="4">
        <v>1</v>
      </c>
      <c r="AK2021" s="4">
        <v>1</v>
      </c>
      <c r="AL2021" s="4">
        <v>14</v>
      </c>
      <c r="AM2021" s="4">
        <v>14</v>
      </c>
      <c r="AN2021" s="4">
        <v>0</v>
      </c>
      <c r="AO2021" s="4">
        <v>0</v>
      </c>
      <c r="AP2021" s="4">
        <v>1</v>
      </c>
      <c r="AQ2021" s="4">
        <v>1</v>
      </c>
      <c r="AR2021" s="3" t="s">
        <v>62</v>
      </c>
      <c r="AS2021" s="3" t="s">
        <v>62</v>
      </c>
      <c r="AT2021" s="3" t="s">
        <v>62</v>
      </c>
      <c r="AV2021" s="6" t="str">
        <f>HYPERLINK("http://mcgill.on.worldcat.org/oclc/690509599","Catalog Record")</f>
        <v>Catalog Record</v>
      </c>
      <c r="AW2021" s="6" t="str">
        <f>HYPERLINK("http://www.worldcat.org/oclc/690509599","WorldCat Record")</f>
        <v>WorldCat Record</v>
      </c>
      <c r="AX2021" s="3" t="s">
        <v>19578</v>
      </c>
      <c r="AY2021" s="3" t="s">
        <v>19579</v>
      </c>
      <c r="AZ2021" s="3" t="s">
        <v>19580</v>
      </c>
      <c r="BA2021" s="3" t="s">
        <v>19580</v>
      </c>
      <c r="BB2021" s="3" t="s">
        <v>19581</v>
      </c>
      <c r="BC2021" s="3" t="s">
        <v>142</v>
      </c>
      <c r="BD2021" s="3" t="s">
        <v>68</v>
      </c>
      <c r="BE2021" s="3" t="s">
        <v>19468</v>
      </c>
      <c r="BF2021" s="3" t="s">
        <v>19581</v>
      </c>
      <c r="BG2021" s="3" t="s">
        <v>19582</v>
      </c>
    </row>
    <row r="2022" spans="1:59" ht="57" x14ac:dyDescent="0.45">
      <c r="A2022" s="2" t="s">
        <v>59</v>
      </c>
      <c r="B2022" s="2" t="s">
        <v>60</v>
      </c>
      <c r="C2022" s="2" t="s">
        <v>19583</v>
      </c>
      <c r="D2022" s="2" t="s">
        <v>19584</v>
      </c>
      <c r="E2022" s="2" t="s">
        <v>19585</v>
      </c>
      <c r="G2022" s="3" t="s">
        <v>62</v>
      </c>
      <c r="I2022" s="3" t="s">
        <v>61</v>
      </c>
      <c r="J2022" s="3" t="s">
        <v>62</v>
      </c>
      <c r="K2022" s="3" t="s">
        <v>63</v>
      </c>
      <c r="L2022" s="2" t="s">
        <v>19586</v>
      </c>
      <c r="M2022" s="2" t="s">
        <v>19587</v>
      </c>
      <c r="N2022" s="3" t="s">
        <v>1604</v>
      </c>
      <c r="P2022" s="3" t="s">
        <v>65</v>
      </c>
      <c r="Q2022" s="2" t="s">
        <v>14593</v>
      </c>
      <c r="R2022" s="3" t="s">
        <v>66</v>
      </c>
      <c r="S2022" s="4">
        <v>20</v>
      </c>
      <c r="T2022" s="4">
        <v>87</v>
      </c>
      <c r="U2022" s="5" t="s">
        <v>19514</v>
      </c>
      <c r="V2022" s="5" t="s">
        <v>10817</v>
      </c>
      <c r="W2022" s="5" t="s">
        <v>67</v>
      </c>
      <c r="X2022" s="5" t="s">
        <v>67</v>
      </c>
      <c r="Y2022" s="4">
        <v>628</v>
      </c>
      <c r="Z2022" s="4">
        <v>42</v>
      </c>
      <c r="AA2022" s="4">
        <v>44</v>
      </c>
      <c r="AB2022" s="4">
        <v>3</v>
      </c>
      <c r="AC2022" s="4">
        <v>5</v>
      </c>
      <c r="AD2022" s="4">
        <v>126</v>
      </c>
      <c r="AE2022" s="4">
        <v>128</v>
      </c>
      <c r="AF2022" s="4">
        <v>2</v>
      </c>
      <c r="AG2022" s="4">
        <v>4</v>
      </c>
      <c r="AH2022" s="4">
        <v>99</v>
      </c>
      <c r="AI2022" s="4">
        <v>100</v>
      </c>
      <c r="AJ2022" s="4">
        <v>20</v>
      </c>
      <c r="AK2022" s="4">
        <v>21</v>
      </c>
      <c r="AL2022" s="4">
        <v>53</v>
      </c>
      <c r="AM2022" s="4">
        <v>53</v>
      </c>
      <c r="AN2022" s="4">
        <v>0</v>
      </c>
      <c r="AO2022" s="4">
        <v>0</v>
      </c>
      <c r="AP2022" s="4">
        <v>37</v>
      </c>
      <c r="AQ2022" s="4">
        <v>39</v>
      </c>
      <c r="AR2022" s="3" t="s">
        <v>62</v>
      </c>
      <c r="AS2022" s="3" t="s">
        <v>62</v>
      </c>
      <c r="AT2022" s="3" t="s">
        <v>61</v>
      </c>
      <c r="AU2022" s="6" t="str">
        <f>HYPERLINK("http://catalog.hathitrust.org/Record/002867395","HathiTrust Record")</f>
        <v>HathiTrust Record</v>
      </c>
      <c r="AV2022" s="6" t="str">
        <f>HYPERLINK("http://mcgill.on.worldcat.org/oclc/30777085","Catalog Record")</f>
        <v>Catalog Record</v>
      </c>
      <c r="AW2022" s="6" t="str">
        <f>HYPERLINK("http://www.worldcat.org/oclc/30777085","WorldCat Record")</f>
        <v>WorldCat Record</v>
      </c>
      <c r="AX2022" s="3" t="s">
        <v>19588</v>
      </c>
      <c r="AY2022" s="3" t="s">
        <v>19589</v>
      </c>
      <c r="AZ2022" s="3" t="s">
        <v>19590</v>
      </c>
      <c r="BA2022" s="3" t="s">
        <v>19590</v>
      </c>
      <c r="BB2022" s="3" t="s">
        <v>19591</v>
      </c>
      <c r="BC2022" s="3" t="s">
        <v>142</v>
      </c>
      <c r="BD2022" s="3" t="s">
        <v>68</v>
      </c>
      <c r="BE2022" s="3" t="s">
        <v>19592</v>
      </c>
      <c r="BF2022" s="3" t="s">
        <v>19591</v>
      </c>
      <c r="BG2022" s="3" t="s">
        <v>19593</v>
      </c>
    </row>
    <row r="2023" spans="1:59" ht="57" x14ac:dyDescent="0.45">
      <c r="A2023" s="2" t="s">
        <v>59</v>
      </c>
      <c r="B2023" s="2" t="s">
        <v>60</v>
      </c>
      <c r="C2023" s="2" t="s">
        <v>19583</v>
      </c>
      <c r="D2023" s="2" t="s">
        <v>19584</v>
      </c>
      <c r="E2023" s="2" t="s">
        <v>19585</v>
      </c>
      <c r="G2023" s="3" t="s">
        <v>62</v>
      </c>
      <c r="I2023" s="3" t="s">
        <v>61</v>
      </c>
      <c r="J2023" s="3" t="s">
        <v>62</v>
      </c>
      <c r="K2023" s="3" t="s">
        <v>63</v>
      </c>
      <c r="L2023" s="2" t="s">
        <v>19586</v>
      </c>
      <c r="M2023" s="2" t="s">
        <v>19587</v>
      </c>
      <c r="N2023" s="3" t="s">
        <v>1604</v>
      </c>
      <c r="P2023" s="3" t="s">
        <v>65</v>
      </c>
      <c r="Q2023" s="2" t="s">
        <v>14593</v>
      </c>
      <c r="R2023" s="3" t="s">
        <v>66</v>
      </c>
      <c r="S2023" s="4">
        <v>67</v>
      </c>
      <c r="T2023" s="4">
        <v>87</v>
      </c>
      <c r="U2023" s="5" t="s">
        <v>10817</v>
      </c>
      <c r="V2023" s="5" t="s">
        <v>10817</v>
      </c>
      <c r="W2023" s="5" t="s">
        <v>67</v>
      </c>
      <c r="X2023" s="5" t="s">
        <v>67</v>
      </c>
      <c r="Y2023" s="4">
        <v>628</v>
      </c>
      <c r="Z2023" s="4">
        <v>42</v>
      </c>
      <c r="AA2023" s="4">
        <v>44</v>
      </c>
      <c r="AB2023" s="4">
        <v>3</v>
      </c>
      <c r="AC2023" s="4">
        <v>5</v>
      </c>
      <c r="AD2023" s="4">
        <v>126</v>
      </c>
      <c r="AE2023" s="4">
        <v>128</v>
      </c>
      <c r="AF2023" s="4">
        <v>2</v>
      </c>
      <c r="AG2023" s="4">
        <v>4</v>
      </c>
      <c r="AH2023" s="4">
        <v>99</v>
      </c>
      <c r="AI2023" s="4">
        <v>100</v>
      </c>
      <c r="AJ2023" s="4">
        <v>20</v>
      </c>
      <c r="AK2023" s="4">
        <v>21</v>
      </c>
      <c r="AL2023" s="4">
        <v>53</v>
      </c>
      <c r="AM2023" s="4">
        <v>53</v>
      </c>
      <c r="AN2023" s="4">
        <v>0</v>
      </c>
      <c r="AO2023" s="4">
        <v>0</v>
      </c>
      <c r="AP2023" s="4">
        <v>37</v>
      </c>
      <c r="AQ2023" s="4">
        <v>39</v>
      </c>
      <c r="AR2023" s="3" t="s">
        <v>62</v>
      </c>
      <c r="AS2023" s="3" t="s">
        <v>62</v>
      </c>
      <c r="AT2023" s="3" t="s">
        <v>61</v>
      </c>
      <c r="AU2023" s="6" t="str">
        <f>HYPERLINK("http://catalog.hathitrust.org/Record/002867395","HathiTrust Record")</f>
        <v>HathiTrust Record</v>
      </c>
      <c r="AV2023" s="6" t="str">
        <f>HYPERLINK("http://mcgill.on.worldcat.org/oclc/30777085","Catalog Record")</f>
        <v>Catalog Record</v>
      </c>
      <c r="AW2023" s="6" t="str">
        <f>HYPERLINK("http://www.worldcat.org/oclc/30777085","WorldCat Record")</f>
        <v>WorldCat Record</v>
      </c>
      <c r="AX2023" s="3" t="s">
        <v>19588</v>
      </c>
      <c r="AY2023" s="3" t="s">
        <v>19589</v>
      </c>
      <c r="AZ2023" s="3" t="s">
        <v>19590</v>
      </c>
      <c r="BA2023" s="3" t="s">
        <v>19590</v>
      </c>
      <c r="BB2023" s="3" t="s">
        <v>19594</v>
      </c>
      <c r="BC2023" s="3" t="s">
        <v>142</v>
      </c>
      <c r="BD2023" s="3" t="s">
        <v>68</v>
      </c>
      <c r="BE2023" s="3" t="s">
        <v>19592</v>
      </c>
      <c r="BF2023" s="3" t="s">
        <v>19594</v>
      </c>
      <c r="BG2023" s="3" t="s">
        <v>19595</v>
      </c>
    </row>
    <row r="2024" spans="1:59" ht="71.25" x14ac:dyDescent="0.45">
      <c r="A2024" s="2" t="s">
        <v>59</v>
      </c>
      <c r="B2024" s="2" t="s">
        <v>60</v>
      </c>
      <c r="C2024" s="2" t="s">
        <v>19596</v>
      </c>
      <c r="D2024" s="2" t="s">
        <v>19597</v>
      </c>
      <c r="E2024" s="2" t="s">
        <v>19598</v>
      </c>
      <c r="G2024" s="3" t="s">
        <v>62</v>
      </c>
      <c r="I2024" s="3" t="s">
        <v>62</v>
      </c>
      <c r="J2024" s="3" t="s">
        <v>62</v>
      </c>
      <c r="K2024" s="3" t="s">
        <v>63</v>
      </c>
      <c r="M2024" s="2" t="s">
        <v>19599</v>
      </c>
      <c r="N2024" s="3" t="s">
        <v>820</v>
      </c>
      <c r="P2024" s="3" t="s">
        <v>65</v>
      </c>
      <c r="Q2024" s="2" t="s">
        <v>15058</v>
      </c>
      <c r="R2024" s="3" t="s">
        <v>66</v>
      </c>
      <c r="S2024" s="4">
        <v>8</v>
      </c>
      <c r="T2024" s="4">
        <v>8</v>
      </c>
      <c r="U2024" s="5" t="s">
        <v>19475</v>
      </c>
      <c r="V2024" s="5" t="s">
        <v>19475</v>
      </c>
      <c r="W2024" s="5" t="s">
        <v>67</v>
      </c>
      <c r="X2024" s="5" t="s">
        <v>67</v>
      </c>
      <c r="Y2024" s="4">
        <v>220</v>
      </c>
      <c r="Z2024" s="4">
        <v>31</v>
      </c>
      <c r="AA2024" s="4">
        <v>31</v>
      </c>
      <c r="AB2024" s="4">
        <v>2</v>
      </c>
      <c r="AC2024" s="4">
        <v>2</v>
      </c>
      <c r="AD2024" s="4">
        <v>96</v>
      </c>
      <c r="AE2024" s="4">
        <v>96</v>
      </c>
      <c r="AF2024" s="4">
        <v>1</v>
      </c>
      <c r="AG2024" s="4">
        <v>1</v>
      </c>
      <c r="AH2024" s="4">
        <v>83</v>
      </c>
      <c r="AI2024" s="4">
        <v>83</v>
      </c>
      <c r="AJ2024" s="4">
        <v>19</v>
      </c>
      <c r="AK2024" s="4">
        <v>19</v>
      </c>
      <c r="AL2024" s="4">
        <v>45</v>
      </c>
      <c r="AM2024" s="4">
        <v>45</v>
      </c>
      <c r="AN2024" s="4">
        <v>0</v>
      </c>
      <c r="AO2024" s="4">
        <v>0</v>
      </c>
      <c r="AP2024" s="4">
        <v>22</v>
      </c>
      <c r="AQ2024" s="4">
        <v>22</v>
      </c>
      <c r="AR2024" s="3" t="s">
        <v>62</v>
      </c>
      <c r="AS2024" s="3" t="s">
        <v>62</v>
      </c>
      <c r="AT2024" s="3" t="s">
        <v>62</v>
      </c>
      <c r="AV2024" s="6" t="str">
        <f>HYPERLINK("http://mcgill.on.worldcat.org/oclc/225852418","Catalog Record")</f>
        <v>Catalog Record</v>
      </c>
      <c r="AW2024" s="6" t="str">
        <f>HYPERLINK("http://www.worldcat.org/oclc/225852418","WorldCat Record")</f>
        <v>WorldCat Record</v>
      </c>
      <c r="AX2024" s="3" t="s">
        <v>19600</v>
      </c>
      <c r="AY2024" s="3" t="s">
        <v>19601</v>
      </c>
      <c r="AZ2024" s="3" t="s">
        <v>19602</v>
      </c>
      <c r="BA2024" s="3" t="s">
        <v>19602</v>
      </c>
      <c r="BB2024" s="3" t="s">
        <v>19603</v>
      </c>
      <c r="BC2024" s="3" t="s">
        <v>142</v>
      </c>
      <c r="BD2024" s="3" t="s">
        <v>68</v>
      </c>
      <c r="BE2024" s="3" t="s">
        <v>19604</v>
      </c>
      <c r="BF2024" s="3" t="s">
        <v>19603</v>
      </c>
      <c r="BG2024" s="3" t="s">
        <v>19605</v>
      </c>
    </row>
    <row r="2025" spans="1:59" ht="57" x14ac:dyDescent="0.45">
      <c r="A2025" s="2" t="s">
        <v>59</v>
      </c>
      <c r="B2025" s="2" t="s">
        <v>60</v>
      </c>
      <c r="C2025" s="2" t="s">
        <v>19606</v>
      </c>
      <c r="D2025" s="2" t="s">
        <v>19607</v>
      </c>
      <c r="E2025" s="2" t="s">
        <v>19608</v>
      </c>
      <c r="G2025" s="3" t="s">
        <v>62</v>
      </c>
      <c r="I2025" s="3" t="s">
        <v>62</v>
      </c>
      <c r="J2025" s="3" t="s">
        <v>62</v>
      </c>
      <c r="K2025" s="3" t="s">
        <v>63</v>
      </c>
      <c r="L2025" s="2" t="s">
        <v>19609</v>
      </c>
      <c r="M2025" s="2" t="s">
        <v>19610</v>
      </c>
      <c r="N2025" s="3" t="s">
        <v>894</v>
      </c>
      <c r="P2025" s="3" t="s">
        <v>65</v>
      </c>
      <c r="Q2025" s="2" t="s">
        <v>19611</v>
      </c>
      <c r="R2025" s="3" t="s">
        <v>66</v>
      </c>
      <c r="S2025" s="4">
        <v>2</v>
      </c>
      <c r="T2025" s="4">
        <v>2</v>
      </c>
      <c r="U2025" s="5" t="s">
        <v>19612</v>
      </c>
      <c r="V2025" s="5" t="s">
        <v>19612</v>
      </c>
      <c r="W2025" s="5" t="s">
        <v>67</v>
      </c>
      <c r="X2025" s="5" t="s">
        <v>67</v>
      </c>
      <c r="Y2025" s="4">
        <v>132</v>
      </c>
      <c r="Z2025" s="4">
        <v>39</v>
      </c>
      <c r="AA2025" s="4">
        <v>121</v>
      </c>
      <c r="AB2025" s="4">
        <v>2</v>
      </c>
      <c r="AC2025" s="4">
        <v>19</v>
      </c>
      <c r="AD2025" s="4">
        <v>71</v>
      </c>
      <c r="AE2025" s="4">
        <v>129</v>
      </c>
      <c r="AF2025" s="4">
        <v>1</v>
      </c>
      <c r="AG2025" s="4">
        <v>8</v>
      </c>
      <c r="AH2025" s="4">
        <v>54</v>
      </c>
      <c r="AI2025" s="4">
        <v>83</v>
      </c>
      <c r="AJ2025" s="4">
        <v>16</v>
      </c>
      <c r="AK2025" s="4">
        <v>29</v>
      </c>
      <c r="AL2025" s="4">
        <v>30</v>
      </c>
      <c r="AM2025" s="4">
        <v>43</v>
      </c>
      <c r="AN2025" s="4">
        <v>0</v>
      </c>
      <c r="AO2025" s="4">
        <v>0</v>
      </c>
      <c r="AP2025" s="4">
        <v>26</v>
      </c>
      <c r="AQ2025" s="4">
        <v>56</v>
      </c>
      <c r="AR2025" s="3" t="s">
        <v>61</v>
      </c>
      <c r="AS2025" s="3" t="s">
        <v>62</v>
      </c>
      <c r="AT2025" s="3" t="s">
        <v>62</v>
      </c>
      <c r="AV2025" s="6" t="str">
        <f>HYPERLINK("http://mcgill.on.worldcat.org/oclc/726556289","Catalog Record")</f>
        <v>Catalog Record</v>
      </c>
      <c r="AW2025" s="6" t="str">
        <f>HYPERLINK("http://www.worldcat.org/oclc/726556289","WorldCat Record")</f>
        <v>WorldCat Record</v>
      </c>
      <c r="AX2025" s="3" t="s">
        <v>19613</v>
      </c>
      <c r="AY2025" s="3" t="s">
        <v>19614</v>
      </c>
      <c r="AZ2025" s="3" t="s">
        <v>19615</v>
      </c>
      <c r="BA2025" s="3" t="s">
        <v>19615</v>
      </c>
      <c r="BB2025" s="3" t="s">
        <v>19616</v>
      </c>
      <c r="BC2025" s="3" t="s">
        <v>142</v>
      </c>
      <c r="BD2025" s="3" t="s">
        <v>68</v>
      </c>
      <c r="BE2025" s="3" t="s">
        <v>19617</v>
      </c>
      <c r="BF2025" s="3" t="s">
        <v>19616</v>
      </c>
      <c r="BG2025" s="3" t="s">
        <v>19618</v>
      </c>
    </row>
    <row r="2026" spans="1:59" ht="57" x14ac:dyDescent="0.45">
      <c r="A2026" s="2" t="s">
        <v>59</v>
      </c>
      <c r="B2026" s="2" t="s">
        <v>60</v>
      </c>
      <c r="C2026" s="2" t="s">
        <v>19619</v>
      </c>
      <c r="D2026" s="2" t="s">
        <v>19620</v>
      </c>
      <c r="E2026" s="2" t="s">
        <v>19621</v>
      </c>
      <c r="G2026" s="3" t="s">
        <v>62</v>
      </c>
      <c r="I2026" s="3" t="s">
        <v>62</v>
      </c>
      <c r="J2026" s="3" t="s">
        <v>62</v>
      </c>
      <c r="K2026" s="3" t="s">
        <v>63</v>
      </c>
      <c r="L2026" s="2" t="s">
        <v>19622</v>
      </c>
      <c r="M2026" s="2" t="s">
        <v>19623</v>
      </c>
      <c r="N2026" s="3" t="s">
        <v>820</v>
      </c>
      <c r="P2026" s="3" t="s">
        <v>110</v>
      </c>
      <c r="Q2026" s="2" t="s">
        <v>19624</v>
      </c>
      <c r="R2026" s="3" t="s">
        <v>66</v>
      </c>
      <c r="S2026" s="4">
        <v>2</v>
      </c>
      <c r="T2026" s="4">
        <v>2</v>
      </c>
      <c r="U2026" s="5" t="s">
        <v>4782</v>
      </c>
      <c r="V2026" s="5" t="s">
        <v>4782</v>
      </c>
      <c r="W2026" s="5" t="s">
        <v>67</v>
      </c>
      <c r="X2026" s="5" t="s">
        <v>67</v>
      </c>
      <c r="Y2026" s="4">
        <v>6</v>
      </c>
      <c r="Z2026" s="4">
        <v>5</v>
      </c>
      <c r="AA2026" s="4">
        <v>14</v>
      </c>
      <c r="AB2026" s="4">
        <v>4</v>
      </c>
      <c r="AC2026" s="4">
        <v>11</v>
      </c>
      <c r="AD2026" s="4">
        <v>3</v>
      </c>
      <c r="AE2026" s="4">
        <v>9</v>
      </c>
      <c r="AF2026" s="4">
        <v>1</v>
      </c>
      <c r="AG2026" s="4">
        <v>5</v>
      </c>
      <c r="AH2026" s="4">
        <v>1</v>
      </c>
      <c r="AI2026" s="4">
        <v>2</v>
      </c>
      <c r="AJ2026" s="4">
        <v>1</v>
      </c>
      <c r="AK2026" s="4">
        <v>6</v>
      </c>
      <c r="AL2026" s="4">
        <v>0</v>
      </c>
      <c r="AM2026" s="4">
        <v>0</v>
      </c>
      <c r="AN2026" s="4">
        <v>0</v>
      </c>
      <c r="AO2026" s="4">
        <v>0</v>
      </c>
      <c r="AP2026" s="4">
        <v>1</v>
      </c>
      <c r="AQ2026" s="4">
        <v>5</v>
      </c>
      <c r="AR2026" s="3" t="s">
        <v>61</v>
      </c>
      <c r="AS2026" s="3" t="s">
        <v>62</v>
      </c>
      <c r="AT2026" s="3" t="s">
        <v>62</v>
      </c>
      <c r="AV2026" s="6" t="str">
        <f>HYPERLINK("http://mcgill.on.worldcat.org/oclc/300278557","Catalog Record")</f>
        <v>Catalog Record</v>
      </c>
      <c r="AW2026" s="6" t="str">
        <f>HYPERLINK("http://www.worldcat.org/oclc/300278557","WorldCat Record")</f>
        <v>WorldCat Record</v>
      </c>
      <c r="AX2026" s="3" t="s">
        <v>19625</v>
      </c>
      <c r="AY2026" s="3" t="s">
        <v>19626</v>
      </c>
      <c r="AZ2026" s="3" t="s">
        <v>19627</v>
      </c>
      <c r="BA2026" s="3" t="s">
        <v>19627</v>
      </c>
      <c r="BB2026" s="3" t="s">
        <v>19628</v>
      </c>
      <c r="BC2026" s="3" t="s">
        <v>142</v>
      </c>
      <c r="BD2026" s="3" t="s">
        <v>68</v>
      </c>
      <c r="BE2026" s="3" t="s">
        <v>19629</v>
      </c>
      <c r="BF2026" s="3" t="s">
        <v>19628</v>
      </c>
      <c r="BG2026" s="3" t="s">
        <v>19630</v>
      </c>
    </row>
    <row r="2027" spans="1:59" ht="57" x14ac:dyDescent="0.45">
      <c r="A2027" s="2" t="s">
        <v>59</v>
      </c>
      <c r="B2027" s="2" t="s">
        <v>60</v>
      </c>
      <c r="C2027" s="2" t="s">
        <v>19631</v>
      </c>
      <c r="D2027" s="2" t="s">
        <v>19632</v>
      </c>
      <c r="E2027" s="2" t="s">
        <v>19633</v>
      </c>
      <c r="G2027" s="3" t="s">
        <v>62</v>
      </c>
      <c r="I2027" s="3" t="s">
        <v>62</v>
      </c>
      <c r="J2027" s="3" t="s">
        <v>62</v>
      </c>
      <c r="K2027" s="3" t="s">
        <v>63</v>
      </c>
      <c r="M2027" s="2" t="s">
        <v>19634</v>
      </c>
      <c r="N2027" s="3" t="s">
        <v>958</v>
      </c>
      <c r="P2027" s="3" t="s">
        <v>65</v>
      </c>
      <c r="Q2027" s="2" t="s">
        <v>15348</v>
      </c>
      <c r="R2027" s="3" t="s">
        <v>66</v>
      </c>
      <c r="S2027" s="4">
        <v>31</v>
      </c>
      <c r="T2027" s="4">
        <v>31</v>
      </c>
      <c r="U2027" s="5" t="s">
        <v>8454</v>
      </c>
      <c r="V2027" s="5" t="s">
        <v>8454</v>
      </c>
      <c r="W2027" s="5" t="s">
        <v>67</v>
      </c>
      <c r="X2027" s="5" t="s">
        <v>67</v>
      </c>
      <c r="Y2027" s="4">
        <v>327</v>
      </c>
      <c r="Z2027" s="4">
        <v>19</v>
      </c>
      <c r="AA2027" s="4">
        <v>29</v>
      </c>
      <c r="AB2027" s="4">
        <v>2</v>
      </c>
      <c r="AC2027" s="4">
        <v>7</v>
      </c>
      <c r="AD2027" s="4">
        <v>90</v>
      </c>
      <c r="AE2027" s="4">
        <v>115</v>
      </c>
      <c r="AF2027" s="4">
        <v>1</v>
      </c>
      <c r="AG2027" s="4">
        <v>3</v>
      </c>
      <c r="AH2027" s="4">
        <v>78</v>
      </c>
      <c r="AI2027" s="4">
        <v>100</v>
      </c>
      <c r="AJ2027" s="4">
        <v>12</v>
      </c>
      <c r="AK2027" s="4">
        <v>19</v>
      </c>
      <c r="AL2027" s="4">
        <v>47</v>
      </c>
      <c r="AM2027" s="4">
        <v>57</v>
      </c>
      <c r="AN2027" s="4">
        <v>0</v>
      </c>
      <c r="AO2027" s="4">
        <v>0</v>
      </c>
      <c r="AP2027" s="4">
        <v>15</v>
      </c>
      <c r="AQ2027" s="4">
        <v>21</v>
      </c>
      <c r="AR2027" s="3" t="s">
        <v>62</v>
      </c>
      <c r="AS2027" s="3" t="s">
        <v>62</v>
      </c>
      <c r="AT2027" s="3" t="s">
        <v>61</v>
      </c>
      <c r="AU2027" s="6" t="str">
        <f>HYPERLINK("http://catalog.hathitrust.org/Record/003082172","HathiTrust Record")</f>
        <v>HathiTrust Record</v>
      </c>
      <c r="AV2027" s="6" t="str">
        <f>HYPERLINK("http://mcgill.on.worldcat.org/oclc/32547498","Catalog Record")</f>
        <v>Catalog Record</v>
      </c>
      <c r="AW2027" s="6" t="str">
        <f>HYPERLINK("http://www.worldcat.org/oclc/32547498","WorldCat Record")</f>
        <v>WorldCat Record</v>
      </c>
      <c r="AX2027" s="3" t="s">
        <v>19635</v>
      </c>
      <c r="AY2027" s="3" t="s">
        <v>19636</v>
      </c>
      <c r="AZ2027" s="3" t="s">
        <v>19637</v>
      </c>
      <c r="BA2027" s="3" t="s">
        <v>19637</v>
      </c>
      <c r="BB2027" s="3" t="s">
        <v>19638</v>
      </c>
      <c r="BC2027" s="3" t="s">
        <v>142</v>
      </c>
      <c r="BD2027" s="3" t="s">
        <v>68</v>
      </c>
      <c r="BE2027" s="3" t="s">
        <v>19639</v>
      </c>
      <c r="BF2027" s="3" t="s">
        <v>19638</v>
      </c>
      <c r="BG2027" s="3" t="s">
        <v>19640</v>
      </c>
    </row>
    <row r="2028" spans="1:59" ht="114" x14ac:dyDescent="0.45">
      <c r="A2028" s="2" t="s">
        <v>59</v>
      </c>
      <c r="B2028" s="2" t="s">
        <v>690</v>
      </c>
      <c r="C2028" s="2" t="s">
        <v>19641</v>
      </c>
      <c r="D2028" s="2" t="s">
        <v>19642</v>
      </c>
      <c r="E2028" s="2" t="s">
        <v>19643</v>
      </c>
      <c r="G2028" s="3" t="s">
        <v>62</v>
      </c>
      <c r="I2028" s="3" t="s">
        <v>62</v>
      </c>
      <c r="J2028" s="3" t="s">
        <v>62</v>
      </c>
      <c r="K2028" s="3" t="s">
        <v>63</v>
      </c>
      <c r="M2028" s="2" t="s">
        <v>19644</v>
      </c>
      <c r="N2028" s="3" t="s">
        <v>1155</v>
      </c>
      <c r="O2028" s="2" t="s">
        <v>19645</v>
      </c>
      <c r="P2028" s="3" t="s">
        <v>4569</v>
      </c>
      <c r="R2028" s="3" t="s">
        <v>66</v>
      </c>
      <c r="S2028" s="4">
        <v>1</v>
      </c>
      <c r="T2028" s="4">
        <v>1</v>
      </c>
      <c r="U2028" s="5" t="s">
        <v>14111</v>
      </c>
      <c r="V2028" s="5" t="s">
        <v>14111</v>
      </c>
      <c r="W2028" s="5" t="s">
        <v>67</v>
      </c>
      <c r="X2028" s="5" t="s">
        <v>67</v>
      </c>
      <c r="Y2028" s="4">
        <v>16</v>
      </c>
      <c r="Z2028" s="4">
        <v>3</v>
      </c>
      <c r="AA2028" s="4">
        <v>3</v>
      </c>
      <c r="AB2028" s="4">
        <v>1</v>
      </c>
      <c r="AC2028" s="4">
        <v>1</v>
      </c>
      <c r="AD2028" s="4">
        <v>12</v>
      </c>
      <c r="AE2028" s="4">
        <v>12</v>
      </c>
      <c r="AF2028" s="4">
        <v>0</v>
      </c>
      <c r="AG2028" s="4">
        <v>0</v>
      </c>
      <c r="AH2028" s="4">
        <v>11</v>
      </c>
      <c r="AI2028" s="4">
        <v>11</v>
      </c>
      <c r="AJ2028" s="4">
        <v>1</v>
      </c>
      <c r="AK2028" s="4">
        <v>1</v>
      </c>
      <c r="AL2028" s="4">
        <v>11</v>
      </c>
      <c r="AM2028" s="4">
        <v>11</v>
      </c>
      <c r="AN2028" s="4">
        <v>0</v>
      </c>
      <c r="AO2028" s="4">
        <v>0</v>
      </c>
      <c r="AP2028" s="4">
        <v>1</v>
      </c>
      <c r="AQ2028" s="4">
        <v>1</v>
      </c>
      <c r="AR2028" s="3" t="s">
        <v>62</v>
      </c>
      <c r="AS2028" s="3" t="s">
        <v>62</v>
      </c>
      <c r="AT2028" s="3" t="s">
        <v>62</v>
      </c>
      <c r="AV2028" s="6" t="str">
        <f>HYPERLINK("http://mcgill.on.worldcat.org/oclc/774274659","Catalog Record")</f>
        <v>Catalog Record</v>
      </c>
      <c r="AW2028" s="6" t="str">
        <f>HYPERLINK("http://www.worldcat.org/oclc/774274659","WorldCat Record")</f>
        <v>WorldCat Record</v>
      </c>
      <c r="AX2028" s="3" t="s">
        <v>19646</v>
      </c>
      <c r="AY2028" s="3" t="s">
        <v>19647</v>
      </c>
      <c r="AZ2028" s="3" t="s">
        <v>19648</v>
      </c>
      <c r="BA2028" s="3" t="s">
        <v>19648</v>
      </c>
      <c r="BB2028" s="3" t="s">
        <v>19649</v>
      </c>
      <c r="BC2028" s="3" t="s">
        <v>142</v>
      </c>
      <c r="BD2028" s="3" t="s">
        <v>68</v>
      </c>
      <c r="BE2028" s="3" t="s">
        <v>19650</v>
      </c>
      <c r="BF2028" s="3" t="s">
        <v>19649</v>
      </c>
      <c r="BG2028" s="3" t="s">
        <v>19651</v>
      </c>
    </row>
    <row r="2029" spans="1:59" ht="71.25" x14ac:dyDescent="0.45">
      <c r="A2029" s="2" t="s">
        <v>59</v>
      </c>
      <c r="B2029" s="2" t="s">
        <v>60</v>
      </c>
      <c r="C2029" s="2" t="s">
        <v>19652</v>
      </c>
      <c r="D2029" s="2" t="s">
        <v>19653</v>
      </c>
      <c r="E2029" s="2" t="s">
        <v>19654</v>
      </c>
      <c r="G2029" s="3" t="s">
        <v>62</v>
      </c>
      <c r="I2029" s="3" t="s">
        <v>62</v>
      </c>
      <c r="J2029" s="3" t="s">
        <v>62</v>
      </c>
      <c r="K2029" s="3" t="s">
        <v>63</v>
      </c>
      <c r="M2029" s="2" t="s">
        <v>19655</v>
      </c>
      <c r="N2029" s="3" t="s">
        <v>1097</v>
      </c>
      <c r="P2029" s="3" t="s">
        <v>65</v>
      </c>
      <c r="Q2029" s="2" t="s">
        <v>19656</v>
      </c>
      <c r="R2029" s="3" t="s">
        <v>66</v>
      </c>
      <c r="S2029" s="4">
        <v>19</v>
      </c>
      <c r="T2029" s="4">
        <v>19</v>
      </c>
      <c r="U2029" s="5" t="s">
        <v>19657</v>
      </c>
      <c r="V2029" s="5" t="s">
        <v>19657</v>
      </c>
      <c r="W2029" s="5" t="s">
        <v>67</v>
      </c>
      <c r="X2029" s="5" t="s">
        <v>67</v>
      </c>
      <c r="Y2029" s="4">
        <v>533</v>
      </c>
      <c r="Z2029" s="4">
        <v>33</v>
      </c>
      <c r="AA2029" s="4">
        <v>61</v>
      </c>
      <c r="AB2029" s="4">
        <v>3</v>
      </c>
      <c r="AC2029" s="4">
        <v>9</v>
      </c>
      <c r="AD2029" s="4">
        <v>115</v>
      </c>
      <c r="AE2029" s="4">
        <v>119</v>
      </c>
      <c r="AF2029" s="4">
        <v>2</v>
      </c>
      <c r="AG2029" s="4">
        <v>3</v>
      </c>
      <c r="AH2029" s="4">
        <v>97</v>
      </c>
      <c r="AI2029" s="4">
        <v>99</v>
      </c>
      <c r="AJ2029" s="4">
        <v>18</v>
      </c>
      <c r="AK2029" s="4">
        <v>19</v>
      </c>
      <c r="AL2029" s="4">
        <v>52</v>
      </c>
      <c r="AM2029" s="4">
        <v>52</v>
      </c>
      <c r="AN2029" s="4">
        <v>0</v>
      </c>
      <c r="AO2029" s="4">
        <v>0</v>
      </c>
      <c r="AP2029" s="4">
        <v>26</v>
      </c>
      <c r="AQ2029" s="4">
        <v>29</v>
      </c>
      <c r="AR2029" s="3" t="s">
        <v>62</v>
      </c>
      <c r="AS2029" s="3" t="s">
        <v>62</v>
      </c>
      <c r="AT2029" s="3" t="s">
        <v>62</v>
      </c>
      <c r="AV2029" s="6" t="str">
        <f>HYPERLINK("http://mcgill.on.worldcat.org/oclc/56442144","Catalog Record")</f>
        <v>Catalog Record</v>
      </c>
      <c r="AW2029" s="6" t="str">
        <f>HYPERLINK("http://www.worldcat.org/oclc/56442144","WorldCat Record")</f>
        <v>WorldCat Record</v>
      </c>
      <c r="AX2029" s="3" t="s">
        <v>19658</v>
      </c>
      <c r="AY2029" s="3" t="s">
        <v>19659</v>
      </c>
      <c r="AZ2029" s="3" t="s">
        <v>19660</v>
      </c>
      <c r="BA2029" s="3" t="s">
        <v>19660</v>
      </c>
      <c r="BB2029" s="3" t="s">
        <v>19661</v>
      </c>
      <c r="BC2029" s="3" t="s">
        <v>142</v>
      </c>
      <c r="BD2029" s="3" t="s">
        <v>68</v>
      </c>
      <c r="BE2029" s="3" t="s">
        <v>19662</v>
      </c>
      <c r="BF2029" s="3" t="s">
        <v>19661</v>
      </c>
      <c r="BG2029" s="3" t="s">
        <v>19663</v>
      </c>
    </row>
    <row r="2030" spans="1:59" ht="71.25" x14ac:dyDescent="0.45">
      <c r="A2030" s="2" t="s">
        <v>59</v>
      </c>
      <c r="B2030" s="2" t="s">
        <v>60</v>
      </c>
      <c r="C2030" s="2" t="s">
        <v>19664</v>
      </c>
      <c r="D2030" s="2" t="s">
        <v>19665</v>
      </c>
      <c r="E2030" s="2" t="s">
        <v>19666</v>
      </c>
      <c r="G2030" s="3" t="s">
        <v>62</v>
      </c>
      <c r="I2030" s="3" t="s">
        <v>62</v>
      </c>
      <c r="J2030" s="3" t="s">
        <v>62</v>
      </c>
      <c r="K2030" s="3" t="s">
        <v>63</v>
      </c>
      <c r="M2030" s="2" t="s">
        <v>19667</v>
      </c>
      <c r="N2030" s="3" t="s">
        <v>1097</v>
      </c>
      <c r="O2030" s="2" t="s">
        <v>168</v>
      </c>
      <c r="P2030" s="3" t="s">
        <v>65</v>
      </c>
      <c r="R2030" s="3" t="s">
        <v>66</v>
      </c>
      <c r="S2030" s="4">
        <v>20</v>
      </c>
      <c r="T2030" s="4">
        <v>20</v>
      </c>
      <c r="U2030" s="5" t="s">
        <v>19406</v>
      </c>
      <c r="V2030" s="5" t="s">
        <v>19406</v>
      </c>
      <c r="W2030" s="5" t="s">
        <v>67</v>
      </c>
      <c r="X2030" s="5" t="s">
        <v>67</v>
      </c>
      <c r="Y2030" s="4">
        <v>847</v>
      </c>
      <c r="Z2030" s="4">
        <v>55</v>
      </c>
      <c r="AA2030" s="4">
        <v>65</v>
      </c>
      <c r="AB2030" s="4">
        <v>3</v>
      </c>
      <c r="AC2030" s="4">
        <v>7</v>
      </c>
      <c r="AD2030" s="4">
        <v>131</v>
      </c>
      <c r="AE2030" s="4">
        <v>135</v>
      </c>
      <c r="AF2030" s="4">
        <v>1</v>
      </c>
      <c r="AG2030" s="4">
        <v>3</v>
      </c>
      <c r="AH2030" s="4">
        <v>99</v>
      </c>
      <c r="AI2030" s="4">
        <v>101</v>
      </c>
      <c r="AJ2030" s="4">
        <v>20</v>
      </c>
      <c r="AK2030" s="4">
        <v>22</v>
      </c>
      <c r="AL2030" s="4">
        <v>54</v>
      </c>
      <c r="AM2030" s="4">
        <v>54</v>
      </c>
      <c r="AN2030" s="4">
        <v>0</v>
      </c>
      <c r="AO2030" s="4">
        <v>0</v>
      </c>
      <c r="AP2030" s="4">
        <v>40</v>
      </c>
      <c r="AQ2030" s="4">
        <v>43</v>
      </c>
      <c r="AR2030" s="3" t="s">
        <v>62</v>
      </c>
      <c r="AS2030" s="3" t="s">
        <v>62</v>
      </c>
      <c r="AT2030" s="3" t="s">
        <v>62</v>
      </c>
      <c r="AV2030" s="6" t="str">
        <f>HYPERLINK("http://mcgill.on.worldcat.org/oclc/52239630","Catalog Record")</f>
        <v>Catalog Record</v>
      </c>
      <c r="AW2030" s="6" t="str">
        <f>HYPERLINK("http://www.worldcat.org/oclc/52239630","WorldCat Record")</f>
        <v>WorldCat Record</v>
      </c>
      <c r="AX2030" s="3" t="s">
        <v>19668</v>
      </c>
      <c r="AY2030" s="3" t="s">
        <v>19669</v>
      </c>
      <c r="AZ2030" s="3" t="s">
        <v>19670</v>
      </c>
      <c r="BA2030" s="3" t="s">
        <v>19670</v>
      </c>
      <c r="BB2030" s="3" t="s">
        <v>19671</v>
      </c>
      <c r="BC2030" s="3" t="s">
        <v>142</v>
      </c>
      <c r="BD2030" s="3" t="s">
        <v>68</v>
      </c>
      <c r="BE2030" s="3" t="s">
        <v>19672</v>
      </c>
      <c r="BF2030" s="3" t="s">
        <v>19671</v>
      </c>
      <c r="BG2030" s="3" t="s">
        <v>19673</v>
      </c>
    </row>
    <row r="2031" spans="1:59" ht="71.25" x14ac:dyDescent="0.45">
      <c r="A2031" s="2" t="s">
        <v>59</v>
      </c>
      <c r="B2031" s="2" t="s">
        <v>60</v>
      </c>
      <c r="C2031" s="2" t="s">
        <v>19674</v>
      </c>
      <c r="D2031" s="2" t="s">
        <v>19675</v>
      </c>
      <c r="E2031" s="2" t="s">
        <v>19676</v>
      </c>
      <c r="G2031" s="3" t="s">
        <v>62</v>
      </c>
      <c r="I2031" s="3" t="s">
        <v>62</v>
      </c>
      <c r="J2031" s="3" t="s">
        <v>62</v>
      </c>
      <c r="K2031" s="3" t="s">
        <v>63</v>
      </c>
      <c r="L2031" s="2" t="s">
        <v>19677</v>
      </c>
      <c r="M2031" s="2" t="s">
        <v>19678</v>
      </c>
      <c r="N2031" s="3" t="s">
        <v>1155</v>
      </c>
      <c r="P2031" s="3" t="s">
        <v>65</v>
      </c>
      <c r="R2031" s="3" t="s">
        <v>66</v>
      </c>
      <c r="S2031" s="4">
        <v>0</v>
      </c>
      <c r="T2031" s="4">
        <v>0</v>
      </c>
      <c r="W2031" s="5" t="s">
        <v>67</v>
      </c>
      <c r="X2031" s="5" t="s">
        <v>67</v>
      </c>
      <c r="Y2031" s="4">
        <v>205</v>
      </c>
      <c r="Z2031" s="4">
        <v>18</v>
      </c>
      <c r="AA2031" s="4">
        <v>22</v>
      </c>
      <c r="AB2031" s="4">
        <v>2</v>
      </c>
      <c r="AC2031" s="4">
        <v>5</v>
      </c>
      <c r="AD2031" s="4">
        <v>73</v>
      </c>
      <c r="AE2031" s="4">
        <v>83</v>
      </c>
      <c r="AF2031" s="4">
        <v>1</v>
      </c>
      <c r="AG2031" s="4">
        <v>2</v>
      </c>
      <c r="AH2031" s="4">
        <v>63</v>
      </c>
      <c r="AI2031" s="4">
        <v>72</v>
      </c>
      <c r="AJ2031" s="4">
        <v>12</v>
      </c>
      <c r="AK2031" s="4">
        <v>13</v>
      </c>
      <c r="AL2031" s="4">
        <v>38</v>
      </c>
      <c r="AM2031" s="4">
        <v>43</v>
      </c>
      <c r="AN2031" s="4">
        <v>0</v>
      </c>
      <c r="AO2031" s="4">
        <v>0</v>
      </c>
      <c r="AP2031" s="4">
        <v>15</v>
      </c>
      <c r="AQ2031" s="4">
        <v>16</v>
      </c>
      <c r="AR2031" s="3" t="s">
        <v>62</v>
      </c>
      <c r="AS2031" s="3" t="s">
        <v>62</v>
      </c>
      <c r="AT2031" s="3" t="s">
        <v>62</v>
      </c>
      <c r="AV2031" s="6" t="str">
        <f>HYPERLINK("http://mcgill.on.worldcat.org/oclc/733232531","Catalog Record")</f>
        <v>Catalog Record</v>
      </c>
      <c r="AW2031" s="6" t="str">
        <f>HYPERLINK("http://www.worldcat.org/oclc/733232531","WorldCat Record")</f>
        <v>WorldCat Record</v>
      </c>
      <c r="AX2031" s="3" t="s">
        <v>19679</v>
      </c>
      <c r="AY2031" s="3" t="s">
        <v>19680</v>
      </c>
      <c r="AZ2031" s="3" t="s">
        <v>19681</v>
      </c>
      <c r="BA2031" s="3" t="s">
        <v>19681</v>
      </c>
      <c r="BB2031" s="3" t="s">
        <v>19682</v>
      </c>
      <c r="BC2031" s="3" t="s">
        <v>142</v>
      </c>
      <c r="BD2031" s="3" t="s">
        <v>68</v>
      </c>
      <c r="BE2031" s="3" t="s">
        <v>19683</v>
      </c>
      <c r="BF2031" s="3" t="s">
        <v>19682</v>
      </c>
      <c r="BG2031" s="3" t="s">
        <v>19684</v>
      </c>
    </row>
    <row r="2032" spans="1:59" ht="71.25" x14ac:dyDescent="0.45">
      <c r="A2032" s="2" t="s">
        <v>59</v>
      </c>
      <c r="B2032" s="2" t="s">
        <v>60</v>
      </c>
      <c r="C2032" s="2" t="s">
        <v>19685</v>
      </c>
      <c r="D2032" s="2" t="s">
        <v>19686</v>
      </c>
      <c r="E2032" s="2" t="s">
        <v>19687</v>
      </c>
      <c r="G2032" s="3" t="s">
        <v>62</v>
      </c>
      <c r="I2032" s="3" t="s">
        <v>62</v>
      </c>
      <c r="J2032" s="3" t="s">
        <v>61</v>
      </c>
      <c r="K2032" s="3" t="s">
        <v>63</v>
      </c>
      <c r="L2032" s="2" t="s">
        <v>19688</v>
      </c>
      <c r="M2032" s="2" t="s">
        <v>19689</v>
      </c>
      <c r="N2032" s="3" t="s">
        <v>1604</v>
      </c>
      <c r="O2032" s="2" t="s">
        <v>168</v>
      </c>
      <c r="P2032" s="3" t="s">
        <v>65</v>
      </c>
      <c r="R2032" s="3" t="s">
        <v>66</v>
      </c>
      <c r="S2032" s="4">
        <v>65</v>
      </c>
      <c r="T2032" s="4">
        <v>65</v>
      </c>
      <c r="U2032" s="5" t="s">
        <v>5547</v>
      </c>
      <c r="V2032" s="5" t="s">
        <v>5547</v>
      </c>
      <c r="W2032" s="5" t="s">
        <v>67</v>
      </c>
      <c r="X2032" s="5" t="s">
        <v>67</v>
      </c>
      <c r="Y2032" s="4">
        <v>1010</v>
      </c>
      <c r="Z2032" s="4">
        <v>38</v>
      </c>
      <c r="AA2032" s="4">
        <v>80</v>
      </c>
      <c r="AB2032" s="4">
        <v>1</v>
      </c>
      <c r="AC2032" s="4">
        <v>5</v>
      </c>
      <c r="AD2032" s="4">
        <v>109</v>
      </c>
      <c r="AE2032" s="4">
        <v>150</v>
      </c>
      <c r="AF2032" s="4">
        <v>0</v>
      </c>
      <c r="AG2032" s="4">
        <v>4</v>
      </c>
      <c r="AH2032" s="4">
        <v>95</v>
      </c>
      <c r="AI2032" s="4">
        <v>113</v>
      </c>
      <c r="AJ2032" s="4">
        <v>11</v>
      </c>
      <c r="AK2032" s="4">
        <v>23</v>
      </c>
      <c r="AL2032" s="4">
        <v>52</v>
      </c>
      <c r="AM2032" s="4">
        <v>59</v>
      </c>
      <c r="AN2032" s="4">
        <v>0</v>
      </c>
      <c r="AO2032" s="4">
        <v>0</v>
      </c>
      <c r="AP2032" s="4">
        <v>18</v>
      </c>
      <c r="AQ2032" s="4">
        <v>47</v>
      </c>
      <c r="AR2032" s="3" t="s">
        <v>62</v>
      </c>
      <c r="AS2032" s="3" t="s">
        <v>62</v>
      </c>
      <c r="AT2032" s="3" t="s">
        <v>61</v>
      </c>
      <c r="AU2032" s="6" t="str">
        <f>HYPERLINK("http://catalog.hathitrust.org/Record/002867042","HathiTrust Record")</f>
        <v>HathiTrust Record</v>
      </c>
      <c r="AV2032" s="6" t="str">
        <f>HYPERLINK("http://mcgill.on.worldcat.org/oclc/29753060","Catalog Record")</f>
        <v>Catalog Record</v>
      </c>
      <c r="AW2032" s="6" t="str">
        <f>HYPERLINK("http://www.worldcat.org/oclc/29753060","WorldCat Record")</f>
        <v>WorldCat Record</v>
      </c>
      <c r="AX2032" s="3" t="s">
        <v>19690</v>
      </c>
      <c r="AY2032" s="3" t="s">
        <v>19691</v>
      </c>
      <c r="AZ2032" s="3" t="s">
        <v>19692</v>
      </c>
      <c r="BA2032" s="3" t="s">
        <v>19692</v>
      </c>
      <c r="BB2032" s="3" t="s">
        <v>19693</v>
      </c>
      <c r="BC2032" s="3" t="s">
        <v>142</v>
      </c>
      <c r="BD2032" s="3" t="s">
        <v>68</v>
      </c>
      <c r="BE2032" s="3" t="s">
        <v>19694</v>
      </c>
      <c r="BF2032" s="3" t="s">
        <v>19693</v>
      </c>
      <c r="BG2032" s="3" t="s">
        <v>19695</v>
      </c>
    </row>
    <row r="2033" spans="1:59" ht="71.25" x14ac:dyDescent="0.45">
      <c r="A2033" s="2" t="s">
        <v>59</v>
      </c>
      <c r="B2033" s="2" t="s">
        <v>60</v>
      </c>
      <c r="C2033" s="2" t="s">
        <v>19696</v>
      </c>
      <c r="D2033" s="2" t="s">
        <v>19697</v>
      </c>
      <c r="E2033" s="2" t="s">
        <v>19687</v>
      </c>
      <c r="G2033" s="3" t="s">
        <v>62</v>
      </c>
      <c r="I2033" s="3" t="s">
        <v>62</v>
      </c>
      <c r="J2033" s="3" t="s">
        <v>61</v>
      </c>
      <c r="K2033" s="3" t="s">
        <v>63</v>
      </c>
      <c r="L2033" s="2" t="s">
        <v>19698</v>
      </c>
      <c r="M2033" s="2" t="s">
        <v>19699</v>
      </c>
      <c r="N2033" s="3" t="s">
        <v>958</v>
      </c>
      <c r="P2033" s="3" t="s">
        <v>65</v>
      </c>
      <c r="R2033" s="3" t="s">
        <v>66</v>
      </c>
      <c r="S2033" s="4">
        <v>60</v>
      </c>
      <c r="T2033" s="4">
        <v>60</v>
      </c>
      <c r="U2033" s="5" t="s">
        <v>17783</v>
      </c>
      <c r="V2033" s="5" t="s">
        <v>17783</v>
      </c>
      <c r="W2033" s="5" t="s">
        <v>67</v>
      </c>
      <c r="X2033" s="5" t="s">
        <v>67</v>
      </c>
      <c r="Y2033" s="4">
        <v>180</v>
      </c>
      <c r="Z2033" s="4">
        <v>18</v>
      </c>
      <c r="AA2033" s="4">
        <v>80</v>
      </c>
      <c r="AB2033" s="4">
        <v>1</v>
      </c>
      <c r="AC2033" s="4">
        <v>5</v>
      </c>
      <c r="AD2033" s="4">
        <v>26</v>
      </c>
      <c r="AE2033" s="4">
        <v>150</v>
      </c>
      <c r="AF2033" s="4">
        <v>0</v>
      </c>
      <c r="AG2033" s="4">
        <v>4</v>
      </c>
      <c r="AH2033" s="4">
        <v>19</v>
      </c>
      <c r="AI2033" s="4">
        <v>113</v>
      </c>
      <c r="AJ2033" s="4">
        <v>4</v>
      </c>
      <c r="AK2033" s="4">
        <v>23</v>
      </c>
      <c r="AL2033" s="4">
        <v>9</v>
      </c>
      <c r="AM2033" s="4">
        <v>59</v>
      </c>
      <c r="AN2033" s="4">
        <v>0</v>
      </c>
      <c r="AO2033" s="4">
        <v>0</v>
      </c>
      <c r="AP2033" s="4">
        <v>10</v>
      </c>
      <c r="AQ2033" s="4">
        <v>47</v>
      </c>
      <c r="AR2033" s="3" t="s">
        <v>62</v>
      </c>
      <c r="AS2033" s="3" t="s">
        <v>62</v>
      </c>
      <c r="AT2033" s="3" t="s">
        <v>62</v>
      </c>
      <c r="AV2033" s="6" t="str">
        <f>HYPERLINK("http://mcgill.on.worldcat.org/oclc/46699245","Catalog Record")</f>
        <v>Catalog Record</v>
      </c>
      <c r="AW2033" s="6" t="str">
        <f>HYPERLINK("http://www.worldcat.org/oclc/46699245","WorldCat Record")</f>
        <v>WorldCat Record</v>
      </c>
      <c r="AX2033" s="3" t="s">
        <v>19690</v>
      </c>
      <c r="AY2033" s="3" t="s">
        <v>19700</v>
      </c>
      <c r="AZ2033" s="3" t="s">
        <v>19701</v>
      </c>
      <c r="BA2033" s="3" t="s">
        <v>19701</v>
      </c>
      <c r="BB2033" s="3" t="s">
        <v>19702</v>
      </c>
      <c r="BC2033" s="3" t="s">
        <v>142</v>
      </c>
      <c r="BD2033" s="3" t="s">
        <v>68</v>
      </c>
      <c r="BE2033" s="3" t="s">
        <v>19703</v>
      </c>
      <c r="BF2033" s="3" t="s">
        <v>19702</v>
      </c>
      <c r="BG2033" s="3" t="s">
        <v>19704</v>
      </c>
    </row>
    <row r="2034" spans="1:59" ht="71.25" x14ac:dyDescent="0.45">
      <c r="A2034" s="2" t="s">
        <v>59</v>
      </c>
      <c r="B2034" s="2" t="s">
        <v>60</v>
      </c>
      <c r="C2034" s="2" t="s">
        <v>19705</v>
      </c>
      <c r="D2034" s="2" t="s">
        <v>19706</v>
      </c>
      <c r="E2034" s="2" t="s">
        <v>19707</v>
      </c>
      <c r="G2034" s="3" t="s">
        <v>62</v>
      </c>
      <c r="I2034" s="3" t="s">
        <v>62</v>
      </c>
      <c r="J2034" s="3" t="s">
        <v>62</v>
      </c>
      <c r="K2034" s="3" t="s">
        <v>63</v>
      </c>
      <c r="L2034" s="2" t="s">
        <v>19708</v>
      </c>
      <c r="M2034" s="2" t="s">
        <v>19709</v>
      </c>
      <c r="N2034" s="3" t="s">
        <v>542</v>
      </c>
      <c r="P2034" s="3" t="s">
        <v>65</v>
      </c>
      <c r="R2034" s="3" t="s">
        <v>66</v>
      </c>
      <c r="S2034" s="4">
        <v>39</v>
      </c>
      <c r="T2034" s="4">
        <v>39</v>
      </c>
      <c r="U2034" s="5" t="s">
        <v>11010</v>
      </c>
      <c r="V2034" s="5" t="s">
        <v>11010</v>
      </c>
      <c r="W2034" s="5" t="s">
        <v>67</v>
      </c>
      <c r="X2034" s="5" t="s">
        <v>67</v>
      </c>
      <c r="Y2034" s="4">
        <v>1385</v>
      </c>
      <c r="Z2034" s="4">
        <v>60</v>
      </c>
      <c r="AA2034" s="4">
        <v>112</v>
      </c>
      <c r="AB2034" s="4">
        <v>4</v>
      </c>
      <c r="AC2034" s="4">
        <v>17</v>
      </c>
      <c r="AD2034" s="4">
        <v>138</v>
      </c>
      <c r="AE2034" s="4">
        <v>158</v>
      </c>
      <c r="AF2034" s="4">
        <v>2</v>
      </c>
      <c r="AG2034" s="4">
        <v>8</v>
      </c>
      <c r="AH2034" s="4">
        <v>109</v>
      </c>
      <c r="AI2034" s="4">
        <v>113</v>
      </c>
      <c r="AJ2034" s="4">
        <v>20</v>
      </c>
      <c r="AK2034" s="4">
        <v>26</v>
      </c>
      <c r="AL2034" s="4">
        <v>58</v>
      </c>
      <c r="AM2034" s="4">
        <v>59</v>
      </c>
      <c r="AN2034" s="4">
        <v>0</v>
      </c>
      <c r="AO2034" s="4">
        <v>0</v>
      </c>
      <c r="AP2034" s="4">
        <v>37</v>
      </c>
      <c r="AQ2034" s="4">
        <v>53</v>
      </c>
      <c r="AR2034" s="3" t="s">
        <v>62</v>
      </c>
      <c r="AS2034" s="3" t="s">
        <v>62</v>
      </c>
      <c r="AT2034" s="3" t="s">
        <v>61</v>
      </c>
      <c r="AU2034" s="6" t="str">
        <f>HYPERLINK("http://catalog.hathitrust.org/Record/004208490","HathiTrust Record")</f>
        <v>HathiTrust Record</v>
      </c>
      <c r="AV2034" s="6" t="str">
        <f>HYPERLINK("http://mcgill.on.worldcat.org/oclc/46462846","Catalog Record")</f>
        <v>Catalog Record</v>
      </c>
      <c r="AW2034" s="6" t="str">
        <f>HYPERLINK("http://www.worldcat.org/oclc/46462846","WorldCat Record")</f>
        <v>WorldCat Record</v>
      </c>
      <c r="AX2034" s="3" t="s">
        <v>19710</v>
      </c>
      <c r="AY2034" s="3" t="s">
        <v>19711</v>
      </c>
      <c r="AZ2034" s="3" t="s">
        <v>19712</v>
      </c>
      <c r="BA2034" s="3" t="s">
        <v>19712</v>
      </c>
      <c r="BB2034" s="3" t="s">
        <v>19713</v>
      </c>
      <c r="BC2034" s="3" t="s">
        <v>142</v>
      </c>
      <c r="BD2034" s="3" t="s">
        <v>68</v>
      </c>
      <c r="BE2034" s="3" t="s">
        <v>19714</v>
      </c>
      <c r="BF2034" s="3" t="s">
        <v>19713</v>
      </c>
      <c r="BG2034" s="3" t="s">
        <v>19715</v>
      </c>
    </row>
    <row r="2035" spans="1:59" ht="71.25" x14ac:dyDescent="0.45">
      <c r="A2035" s="2" t="s">
        <v>59</v>
      </c>
      <c r="B2035" s="2" t="s">
        <v>60</v>
      </c>
      <c r="C2035" s="2" t="s">
        <v>19716</v>
      </c>
      <c r="D2035" s="2" t="s">
        <v>19717</v>
      </c>
      <c r="E2035" s="2" t="s">
        <v>19718</v>
      </c>
      <c r="G2035" s="3" t="s">
        <v>62</v>
      </c>
      <c r="I2035" s="3" t="s">
        <v>62</v>
      </c>
      <c r="J2035" s="3" t="s">
        <v>62</v>
      </c>
      <c r="K2035" s="3" t="s">
        <v>63</v>
      </c>
      <c r="L2035" s="2" t="s">
        <v>19719</v>
      </c>
      <c r="M2035" s="2" t="s">
        <v>19720</v>
      </c>
      <c r="N2035" s="3" t="s">
        <v>149</v>
      </c>
      <c r="P2035" s="3" t="s">
        <v>65</v>
      </c>
      <c r="Q2035" s="2" t="s">
        <v>19721</v>
      </c>
      <c r="R2035" s="3" t="s">
        <v>66</v>
      </c>
      <c r="S2035" s="4">
        <v>5</v>
      </c>
      <c r="T2035" s="4">
        <v>5</v>
      </c>
      <c r="U2035" s="5" t="s">
        <v>19722</v>
      </c>
      <c r="V2035" s="5" t="s">
        <v>19722</v>
      </c>
      <c r="W2035" s="5" t="s">
        <v>13158</v>
      </c>
      <c r="X2035" s="5" t="s">
        <v>13158</v>
      </c>
      <c r="Y2035" s="4">
        <v>437</v>
      </c>
      <c r="Z2035" s="4">
        <v>29</v>
      </c>
      <c r="AA2035" s="4">
        <v>48</v>
      </c>
      <c r="AB2035" s="4">
        <v>3</v>
      </c>
      <c r="AC2035" s="4">
        <v>6</v>
      </c>
      <c r="AD2035" s="4">
        <v>106</v>
      </c>
      <c r="AE2035" s="4">
        <v>124</v>
      </c>
      <c r="AF2035" s="4">
        <v>2</v>
      </c>
      <c r="AG2035" s="4">
        <v>2</v>
      </c>
      <c r="AH2035" s="4">
        <v>93</v>
      </c>
      <c r="AI2035" s="4">
        <v>103</v>
      </c>
      <c r="AJ2035" s="4">
        <v>17</v>
      </c>
      <c r="AK2035" s="4">
        <v>20</v>
      </c>
      <c r="AL2035" s="4">
        <v>48</v>
      </c>
      <c r="AM2035" s="4">
        <v>53</v>
      </c>
      <c r="AN2035" s="4">
        <v>0</v>
      </c>
      <c r="AO2035" s="4">
        <v>0</v>
      </c>
      <c r="AP2035" s="4">
        <v>23</v>
      </c>
      <c r="AQ2035" s="4">
        <v>32</v>
      </c>
      <c r="AR2035" s="3" t="s">
        <v>62</v>
      </c>
      <c r="AS2035" s="3" t="s">
        <v>62</v>
      </c>
      <c r="AT2035" s="3" t="s">
        <v>61</v>
      </c>
      <c r="AU2035" s="6" t="str">
        <f>HYPERLINK("http://catalog.hathitrust.org/Record/007543798","HathiTrust Record")</f>
        <v>HathiTrust Record</v>
      </c>
      <c r="AV2035" s="6" t="str">
        <f>HYPERLINK("http://mcgill.on.worldcat.org/oclc/326483200","Catalog Record")</f>
        <v>Catalog Record</v>
      </c>
      <c r="AW2035" s="6" t="str">
        <f>HYPERLINK("http://www.worldcat.org/oclc/326483200","WorldCat Record")</f>
        <v>WorldCat Record</v>
      </c>
      <c r="AX2035" s="3" t="s">
        <v>19723</v>
      </c>
      <c r="AY2035" s="3" t="s">
        <v>19724</v>
      </c>
      <c r="AZ2035" s="3" t="s">
        <v>19725</v>
      </c>
      <c r="BA2035" s="3" t="s">
        <v>19725</v>
      </c>
      <c r="BB2035" s="3" t="s">
        <v>19726</v>
      </c>
      <c r="BC2035" s="3" t="s">
        <v>142</v>
      </c>
      <c r="BD2035" s="3" t="s">
        <v>68</v>
      </c>
      <c r="BE2035" s="3" t="s">
        <v>19727</v>
      </c>
      <c r="BF2035" s="3" t="s">
        <v>19726</v>
      </c>
      <c r="BG2035" s="3" t="s">
        <v>19728</v>
      </c>
    </row>
    <row r="2036" spans="1:59" ht="71.25" x14ac:dyDescent="0.45">
      <c r="A2036" s="2" t="s">
        <v>59</v>
      </c>
      <c r="B2036" s="2" t="s">
        <v>60</v>
      </c>
      <c r="C2036" s="2" t="s">
        <v>19729</v>
      </c>
      <c r="D2036" s="2" t="s">
        <v>19730</v>
      </c>
      <c r="E2036" s="2" t="s">
        <v>19731</v>
      </c>
      <c r="G2036" s="3" t="s">
        <v>62</v>
      </c>
      <c r="I2036" s="3" t="s">
        <v>62</v>
      </c>
      <c r="J2036" s="3" t="s">
        <v>62</v>
      </c>
      <c r="K2036" s="3" t="s">
        <v>63</v>
      </c>
      <c r="L2036" s="2" t="s">
        <v>19732</v>
      </c>
      <c r="M2036" s="2" t="s">
        <v>19733</v>
      </c>
      <c r="N2036" s="3" t="s">
        <v>970</v>
      </c>
      <c r="P2036" s="3" t="s">
        <v>65</v>
      </c>
      <c r="Q2036" s="2" t="s">
        <v>19734</v>
      </c>
      <c r="R2036" s="3" t="s">
        <v>66</v>
      </c>
      <c r="S2036" s="4">
        <v>20</v>
      </c>
      <c r="T2036" s="4">
        <v>20</v>
      </c>
      <c r="U2036" s="5" t="s">
        <v>19735</v>
      </c>
      <c r="V2036" s="5" t="s">
        <v>19735</v>
      </c>
      <c r="W2036" s="5" t="s">
        <v>67</v>
      </c>
      <c r="X2036" s="5" t="s">
        <v>67</v>
      </c>
      <c r="Y2036" s="4">
        <v>326</v>
      </c>
      <c r="Z2036" s="4">
        <v>26</v>
      </c>
      <c r="AA2036" s="4">
        <v>92</v>
      </c>
      <c r="AB2036" s="4">
        <v>2</v>
      </c>
      <c r="AC2036" s="4">
        <v>16</v>
      </c>
      <c r="AD2036" s="4">
        <v>111</v>
      </c>
      <c r="AE2036" s="4">
        <v>151</v>
      </c>
      <c r="AF2036" s="4">
        <v>1</v>
      </c>
      <c r="AG2036" s="4">
        <v>8</v>
      </c>
      <c r="AH2036" s="4">
        <v>99</v>
      </c>
      <c r="AI2036" s="4">
        <v>111</v>
      </c>
      <c r="AJ2036" s="4">
        <v>17</v>
      </c>
      <c r="AK2036" s="4">
        <v>26</v>
      </c>
      <c r="AL2036" s="4">
        <v>53</v>
      </c>
      <c r="AM2036" s="4">
        <v>58</v>
      </c>
      <c r="AN2036" s="4">
        <v>0</v>
      </c>
      <c r="AO2036" s="4">
        <v>0</v>
      </c>
      <c r="AP2036" s="4">
        <v>20</v>
      </c>
      <c r="AQ2036" s="4">
        <v>49</v>
      </c>
      <c r="AR2036" s="3" t="s">
        <v>62</v>
      </c>
      <c r="AS2036" s="3" t="s">
        <v>62</v>
      </c>
      <c r="AT2036" s="3" t="s">
        <v>62</v>
      </c>
      <c r="AV2036" s="6" t="str">
        <f>HYPERLINK("http://mcgill.on.worldcat.org/oclc/48876609","Catalog Record")</f>
        <v>Catalog Record</v>
      </c>
      <c r="AW2036" s="6" t="str">
        <f>HYPERLINK("http://www.worldcat.org/oclc/48876609","WorldCat Record")</f>
        <v>WorldCat Record</v>
      </c>
      <c r="AX2036" s="3" t="s">
        <v>19736</v>
      </c>
      <c r="AY2036" s="3" t="s">
        <v>19737</v>
      </c>
      <c r="AZ2036" s="3" t="s">
        <v>19738</v>
      </c>
      <c r="BA2036" s="3" t="s">
        <v>19738</v>
      </c>
      <c r="BB2036" s="3" t="s">
        <v>19739</v>
      </c>
      <c r="BC2036" s="3" t="s">
        <v>142</v>
      </c>
      <c r="BD2036" s="3" t="s">
        <v>68</v>
      </c>
      <c r="BE2036" s="3" t="s">
        <v>19740</v>
      </c>
      <c r="BF2036" s="3" t="s">
        <v>19739</v>
      </c>
      <c r="BG2036" s="3" t="s">
        <v>19741</v>
      </c>
    </row>
    <row r="2037" spans="1:59" ht="57" x14ac:dyDescent="0.45">
      <c r="A2037" s="2" t="s">
        <v>59</v>
      </c>
      <c r="B2037" s="2" t="s">
        <v>60</v>
      </c>
      <c r="C2037" s="2" t="s">
        <v>19742</v>
      </c>
      <c r="D2037" s="2" t="s">
        <v>19743</v>
      </c>
      <c r="E2037" s="2" t="s">
        <v>19744</v>
      </c>
      <c r="G2037" s="3" t="s">
        <v>62</v>
      </c>
      <c r="I2037" s="3" t="s">
        <v>62</v>
      </c>
      <c r="J2037" s="3" t="s">
        <v>62</v>
      </c>
      <c r="K2037" s="3" t="s">
        <v>63</v>
      </c>
      <c r="L2037" s="2" t="s">
        <v>19745</v>
      </c>
      <c r="M2037" s="2" t="s">
        <v>19746</v>
      </c>
      <c r="N2037" s="3" t="s">
        <v>1604</v>
      </c>
      <c r="P2037" s="3" t="s">
        <v>65</v>
      </c>
      <c r="Q2037" s="2" t="s">
        <v>19747</v>
      </c>
      <c r="R2037" s="3" t="s">
        <v>66</v>
      </c>
      <c r="S2037" s="4">
        <v>26</v>
      </c>
      <c r="T2037" s="4">
        <v>26</v>
      </c>
      <c r="U2037" s="5" t="s">
        <v>19748</v>
      </c>
      <c r="V2037" s="5" t="s">
        <v>19748</v>
      </c>
      <c r="W2037" s="5" t="s">
        <v>67</v>
      </c>
      <c r="X2037" s="5" t="s">
        <v>67</v>
      </c>
      <c r="Y2037" s="4">
        <v>9</v>
      </c>
      <c r="Z2037" s="4">
        <v>2</v>
      </c>
      <c r="AA2037" s="4">
        <v>34</v>
      </c>
      <c r="AB2037" s="4">
        <v>1</v>
      </c>
      <c r="AC2037" s="4">
        <v>8</v>
      </c>
      <c r="AD2037" s="4">
        <v>1</v>
      </c>
      <c r="AE2037" s="4">
        <v>118</v>
      </c>
      <c r="AF2037" s="4">
        <v>0</v>
      </c>
      <c r="AG2037" s="4">
        <v>3</v>
      </c>
      <c r="AH2037" s="4">
        <v>1</v>
      </c>
      <c r="AI2037" s="4">
        <v>103</v>
      </c>
      <c r="AJ2037" s="4">
        <v>1</v>
      </c>
      <c r="AK2037" s="4">
        <v>19</v>
      </c>
      <c r="AL2037" s="4">
        <v>0</v>
      </c>
      <c r="AM2037" s="4">
        <v>55</v>
      </c>
      <c r="AN2037" s="4">
        <v>0</v>
      </c>
      <c r="AO2037" s="4">
        <v>0</v>
      </c>
      <c r="AP2037" s="4">
        <v>1</v>
      </c>
      <c r="AQ2037" s="4">
        <v>22</v>
      </c>
      <c r="AR2037" s="3" t="s">
        <v>62</v>
      </c>
      <c r="AS2037" s="3" t="s">
        <v>62</v>
      </c>
      <c r="AT2037" s="3" t="s">
        <v>61</v>
      </c>
      <c r="AU2037" s="6" t="str">
        <f>HYPERLINK("http://catalog.hathitrust.org/Record/002912222","HathiTrust Record")</f>
        <v>HathiTrust Record</v>
      </c>
      <c r="AV2037" s="6" t="str">
        <f>HYPERLINK("http://mcgill.on.worldcat.org/oclc/428011696","Catalog Record")</f>
        <v>Catalog Record</v>
      </c>
      <c r="AW2037" s="6" t="str">
        <f>HYPERLINK("http://www.worldcat.org/oclc/428011696","WorldCat Record")</f>
        <v>WorldCat Record</v>
      </c>
      <c r="AX2037" s="3" t="s">
        <v>19749</v>
      </c>
      <c r="AY2037" s="3" t="s">
        <v>19750</v>
      </c>
      <c r="AZ2037" s="3" t="s">
        <v>19751</v>
      </c>
      <c r="BA2037" s="3" t="s">
        <v>19751</v>
      </c>
      <c r="BB2037" s="3" t="s">
        <v>19752</v>
      </c>
      <c r="BC2037" s="3" t="s">
        <v>142</v>
      </c>
      <c r="BD2037" s="3" t="s">
        <v>68</v>
      </c>
      <c r="BE2037" s="3" t="s">
        <v>19753</v>
      </c>
      <c r="BF2037" s="3" t="s">
        <v>19752</v>
      </c>
      <c r="BG2037" s="3" t="s">
        <v>19754</v>
      </c>
    </row>
    <row r="2038" spans="1:59" ht="57" x14ac:dyDescent="0.45">
      <c r="A2038" s="2" t="s">
        <v>59</v>
      </c>
      <c r="B2038" s="2" t="s">
        <v>60</v>
      </c>
      <c r="C2038" s="2" t="s">
        <v>19755</v>
      </c>
      <c r="D2038" s="2" t="s">
        <v>19756</v>
      </c>
      <c r="E2038" s="2" t="s">
        <v>19757</v>
      </c>
      <c r="G2038" s="3" t="s">
        <v>62</v>
      </c>
      <c r="I2038" s="3" t="s">
        <v>62</v>
      </c>
      <c r="J2038" s="3" t="s">
        <v>62</v>
      </c>
      <c r="K2038" s="3" t="s">
        <v>63</v>
      </c>
      <c r="M2038" s="2" t="s">
        <v>17885</v>
      </c>
      <c r="N2038" s="3" t="s">
        <v>820</v>
      </c>
      <c r="P2038" s="3" t="s">
        <v>65</v>
      </c>
      <c r="R2038" s="3" t="s">
        <v>66</v>
      </c>
      <c r="S2038" s="4">
        <v>4</v>
      </c>
      <c r="T2038" s="4">
        <v>4</v>
      </c>
      <c r="U2038" s="5" t="s">
        <v>18892</v>
      </c>
      <c r="V2038" s="5" t="s">
        <v>18892</v>
      </c>
      <c r="W2038" s="5" t="s">
        <v>67</v>
      </c>
      <c r="X2038" s="5" t="s">
        <v>67</v>
      </c>
      <c r="Y2038" s="4">
        <v>437</v>
      </c>
      <c r="Z2038" s="4">
        <v>36</v>
      </c>
      <c r="AA2038" s="4">
        <v>57</v>
      </c>
      <c r="AB2038" s="4">
        <v>2</v>
      </c>
      <c r="AC2038" s="4">
        <v>8</v>
      </c>
      <c r="AD2038" s="4">
        <v>110</v>
      </c>
      <c r="AE2038" s="4">
        <v>129</v>
      </c>
      <c r="AF2038" s="4">
        <v>1</v>
      </c>
      <c r="AG2038" s="4">
        <v>4</v>
      </c>
      <c r="AH2038" s="4">
        <v>94</v>
      </c>
      <c r="AI2038" s="4">
        <v>104</v>
      </c>
      <c r="AJ2038" s="4">
        <v>18</v>
      </c>
      <c r="AK2038" s="4">
        <v>22</v>
      </c>
      <c r="AL2038" s="4">
        <v>51</v>
      </c>
      <c r="AM2038" s="4">
        <v>55</v>
      </c>
      <c r="AN2038" s="4">
        <v>0</v>
      </c>
      <c r="AO2038" s="4">
        <v>0</v>
      </c>
      <c r="AP2038" s="4">
        <v>24</v>
      </c>
      <c r="AQ2038" s="4">
        <v>34</v>
      </c>
      <c r="AR2038" s="3" t="s">
        <v>62</v>
      </c>
      <c r="AS2038" s="3" t="s">
        <v>62</v>
      </c>
      <c r="AT2038" s="3" t="s">
        <v>62</v>
      </c>
      <c r="AV2038" s="6" t="str">
        <f>HYPERLINK("http://mcgill.on.worldcat.org/oclc/187417671","Catalog Record")</f>
        <v>Catalog Record</v>
      </c>
      <c r="AW2038" s="6" t="str">
        <f>HYPERLINK("http://www.worldcat.org/oclc/187417671","WorldCat Record")</f>
        <v>WorldCat Record</v>
      </c>
      <c r="AX2038" s="3" t="s">
        <v>19758</v>
      </c>
      <c r="AY2038" s="3" t="s">
        <v>19759</v>
      </c>
      <c r="AZ2038" s="3" t="s">
        <v>19760</v>
      </c>
      <c r="BA2038" s="3" t="s">
        <v>19760</v>
      </c>
      <c r="BB2038" s="3" t="s">
        <v>19761</v>
      </c>
      <c r="BC2038" s="3" t="s">
        <v>142</v>
      </c>
      <c r="BD2038" s="3" t="s">
        <v>68</v>
      </c>
      <c r="BE2038" s="3" t="s">
        <v>19762</v>
      </c>
      <c r="BF2038" s="3" t="s">
        <v>19761</v>
      </c>
      <c r="BG2038" s="3" t="s">
        <v>19763</v>
      </c>
    </row>
    <row r="2039" spans="1:59" ht="57" x14ac:dyDescent="0.45">
      <c r="A2039" s="2" t="s">
        <v>59</v>
      </c>
      <c r="B2039" s="2" t="s">
        <v>60</v>
      </c>
      <c r="C2039" s="2" t="s">
        <v>19764</v>
      </c>
      <c r="D2039" s="2" t="s">
        <v>19765</v>
      </c>
      <c r="E2039" s="2" t="s">
        <v>19766</v>
      </c>
      <c r="G2039" s="3" t="s">
        <v>62</v>
      </c>
      <c r="I2039" s="3" t="s">
        <v>62</v>
      </c>
      <c r="J2039" s="3" t="s">
        <v>62</v>
      </c>
      <c r="K2039" s="3" t="s">
        <v>63</v>
      </c>
      <c r="L2039" s="2" t="s">
        <v>19767</v>
      </c>
      <c r="M2039" s="2" t="s">
        <v>19768</v>
      </c>
      <c r="N2039" s="3" t="s">
        <v>116</v>
      </c>
      <c r="P2039" s="3" t="s">
        <v>65</v>
      </c>
      <c r="R2039" s="3" t="s">
        <v>66</v>
      </c>
      <c r="S2039" s="4">
        <v>3</v>
      </c>
      <c r="T2039" s="4">
        <v>3</v>
      </c>
      <c r="U2039" s="5" t="s">
        <v>18892</v>
      </c>
      <c r="V2039" s="5" t="s">
        <v>18892</v>
      </c>
      <c r="W2039" s="5" t="s">
        <v>67</v>
      </c>
      <c r="X2039" s="5" t="s">
        <v>67</v>
      </c>
      <c r="Y2039" s="4">
        <v>307</v>
      </c>
      <c r="Z2039" s="4">
        <v>16</v>
      </c>
      <c r="AA2039" s="4">
        <v>25</v>
      </c>
      <c r="AB2039" s="4">
        <v>2</v>
      </c>
      <c r="AC2039" s="4">
        <v>7</v>
      </c>
      <c r="AD2039" s="4">
        <v>74</v>
      </c>
      <c r="AE2039" s="4">
        <v>82</v>
      </c>
      <c r="AF2039" s="4">
        <v>1</v>
      </c>
      <c r="AG2039" s="4">
        <v>3</v>
      </c>
      <c r="AH2039" s="4">
        <v>68</v>
      </c>
      <c r="AI2039" s="4">
        <v>71</v>
      </c>
      <c r="AJ2039" s="4">
        <v>10</v>
      </c>
      <c r="AK2039" s="4">
        <v>16</v>
      </c>
      <c r="AL2039" s="4">
        <v>36</v>
      </c>
      <c r="AM2039" s="4">
        <v>37</v>
      </c>
      <c r="AN2039" s="4">
        <v>0</v>
      </c>
      <c r="AO2039" s="4">
        <v>0</v>
      </c>
      <c r="AP2039" s="4">
        <v>13</v>
      </c>
      <c r="AQ2039" s="4">
        <v>18</v>
      </c>
      <c r="AR2039" s="3" t="s">
        <v>62</v>
      </c>
      <c r="AS2039" s="3" t="s">
        <v>62</v>
      </c>
      <c r="AT2039" s="3" t="s">
        <v>62</v>
      </c>
      <c r="AV2039" s="6" t="str">
        <f>HYPERLINK("http://mcgill.on.worldcat.org/oclc/821703072","Catalog Record")</f>
        <v>Catalog Record</v>
      </c>
      <c r="AW2039" s="6" t="str">
        <f>HYPERLINK("http://www.worldcat.org/oclc/821703072","WorldCat Record")</f>
        <v>WorldCat Record</v>
      </c>
      <c r="AX2039" s="3" t="s">
        <v>19769</v>
      </c>
      <c r="AY2039" s="3" t="s">
        <v>19770</v>
      </c>
      <c r="AZ2039" s="3" t="s">
        <v>19771</v>
      </c>
      <c r="BA2039" s="3" t="s">
        <v>19771</v>
      </c>
      <c r="BB2039" s="3" t="s">
        <v>19772</v>
      </c>
      <c r="BC2039" s="3" t="s">
        <v>142</v>
      </c>
      <c r="BD2039" s="3" t="s">
        <v>68</v>
      </c>
      <c r="BE2039" s="3" t="s">
        <v>19773</v>
      </c>
      <c r="BF2039" s="3" t="s">
        <v>19772</v>
      </c>
      <c r="BG2039" s="3" t="s">
        <v>19774</v>
      </c>
    </row>
    <row r="2040" spans="1:59" ht="57" x14ac:dyDescent="0.45">
      <c r="A2040" s="2" t="s">
        <v>59</v>
      </c>
      <c r="B2040" s="2" t="s">
        <v>60</v>
      </c>
      <c r="C2040" s="2" t="s">
        <v>19775</v>
      </c>
      <c r="D2040" s="2" t="s">
        <v>19776</v>
      </c>
      <c r="E2040" s="2" t="s">
        <v>19777</v>
      </c>
      <c r="G2040" s="3" t="s">
        <v>62</v>
      </c>
      <c r="I2040" s="3" t="s">
        <v>62</v>
      </c>
      <c r="J2040" s="3" t="s">
        <v>62</v>
      </c>
      <c r="K2040" s="3" t="s">
        <v>63</v>
      </c>
      <c r="M2040" s="2" t="s">
        <v>19778</v>
      </c>
      <c r="N2040" s="3" t="s">
        <v>894</v>
      </c>
      <c r="P2040" s="3" t="s">
        <v>65</v>
      </c>
      <c r="R2040" s="3" t="s">
        <v>66</v>
      </c>
      <c r="S2040" s="4">
        <v>3</v>
      </c>
      <c r="T2040" s="4">
        <v>3</v>
      </c>
      <c r="U2040" s="5" t="s">
        <v>10204</v>
      </c>
      <c r="V2040" s="5" t="s">
        <v>10204</v>
      </c>
      <c r="W2040" s="5" t="s">
        <v>67</v>
      </c>
      <c r="X2040" s="5" t="s">
        <v>67</v>
      </c>
      <c r="Y2040" s="4">
        <v>195</v>
      </c>
      <c r="Z2040" s="4">
        <v>17</v>
      </c>
      <c r="AA2040" s="4">
        <v>36</v>
      </c>
      <c r="AB2040" s="4">
        <v>1</v>
      </c>
      <c r="AC2040" s="4">
        <v>3</v>
      </c>
      <c r="AD2040" s="4">
        <v>65</v>
      </c>
      <c r="AE2040" s="4">
        <v>96</v>
      </c>
      <c r="AF2040" s="4">
        <v>0</v>
      </c>
      <c r="AG2040" s="4">
        <v>0</v>
      </c>
      <c r="AH2040" s="4">
        <v>61</v>
      </c>
      <c r="AI2040" s="4">
        <v>82</v>
      </c>
      <c r="AJ2040" s="4">
        <v>14</v>
      </c>
      <c r="AK2040" s="4">
        <v>16</v>
      </c>
      <c r="AL2040" s="4">
        <v>31</v>
      </c>
      <c r="AM2040" s="4">
        <v>44</v>
      </c>
      <c r="AN2040" s="4">
        <v>0</v>
      </c>
      <c r="AO2040" s="4">
        <v>0</v>
      </c>
      <c r="AP2040" s="4">
        <v>14</v>
      </c>
      <c r="AQ2040" s="4">
        <v>23</v>
      </c>
      <c r="AR2040" s="3" t="s">
        <v>62</v>
      </c>
      <c r="AS2040" s="3" t="s">
        <v>62</v>
      </c>
      <c r="AT2040" s="3" t="s">
        <v>62</v>
      </c>
      <c r="AV2040" s="6" t="str">
        <f>HYPERLINK("http://mcgill.on.worldcat.org/oclc/733232766","Catalog Record")</f>
        <v>Catalog Record</v>
      </c>
      <c r="AW2040" s="6" t="str">
        <f>HYPERLINK("http://www.worldcat.org/oclc/733232766","WorldCat Record")</f>
        <v>WorldCat Record</v>
      </c>
      <c r="AX2040" s="3" t="s">
        <v>19779</v>
      </c>
      <c r="AY2040" s="3" t="s">
        <v>19780</v>
      </c>
      <c r="AZ2040" s="3" t="s">
        <v>19781</v>
      </c>
      <c r="BA2040" s="3" t="s">
        <v>19781</v>
      </c>
      <c r="BB2040" s="3" t="s">
        <v>19782</v>
      </c>
      <c r="BC2040" s="3" t="s">
        <v>142</v>
      </c>
      <c r="BD2040" s="3" t="s">
        <v>68</v>
      </c>
      <c r="BE2040" s="3" t="s">
        <v>19783</v>
      </c>
      <c r="BF2040" s="3" t="s">
        <v>19782</v>
      </c>
      <c r="BG2040" s="3" t="s">
        <v>19784</v>
      </c>
    </row>
    <row r="2041" spans="1:59" ht="71.25" x14ac:dyDescent="0.45">
      <c r="A2041" s="2" t="s">
        <v>59</v>
      </c>
      <c r="B2041" s="2" t="s">
        <v>60</v>
      </c>
      <c r="C2041" s="2" t="s">
        <v>19785</v>
      </c>
      <c r="D2041" s="2" t="s">
        <v>19786</v>
      </c>
      <c r="E2041" s="2" t="s">
        <v>19787</v>
      </c>
      <c r="G2041" s="3" t="s">
        <v>62</v>
      </c>
      <c r="I2041" s="3" t="s">
        <v>62</v>
      </c>
      <c r="J2041" s="3" t="s">
        <v>62</v>
      </c>
      <c r="K2041" s="3" t="s">
        <v>63</v>
      </c>
      <c r="L2041" s="2" t="s">
        <v>19788</v>
      </c>
      <c r="M2041" s="2" t="s">
        <v>19789</v>
      </c>
      <c r="N2041" s="3" t="s">
        <v>149</v>
      </c>
      <c r="P2041" s="3" t="s">
        <v>65</v>
      </c>
      <c r="R2041" s="3" t="s">
        <v>66</v>
      </c>
      <c r="S2041" s="4">
        <v>0</v>
      </c>
      <c r="T2041" s="4">
        <v>0</v>
      </c>
      <c r="W2041" s="5" t="s">
        <v>67</v>
      </c>
      <c r="X2041" s="5" t="s">
        <v>67</v>
      </c>
      <c r="Y2041" s="4">
        <v>252</v>
      </c>
      <c r="Z2041" s="4">
        <v>22</v>
      </c>
      <c r="AA2041" s="4">
        <v>97</v>
      </c>
      <c r="AB2041" s="4">
        <v>1</v>
      </c>
      <c r="AC2041" s="4">
        <v>18</v>
      </c>
      <c r="AD2041" s="4">
        <v>89</v>
      </c>
      <c r="AE2041" s="4">
        <v>144</v>
      </c>
      <c r="AF2041" s="4">
        <v>0</v>
      </c>
      <c r="AG2041" s="4">
        <v>8</v>
      </c>
      <c r="AH2041" s="4">
        <v>80</v>
      </c>
      <c r="AI2041" s="4">
        <v>106</v>
      </c>
      <c r="AJ2041" s="4">
        <v>14</v>
      </c>
      <c r="AK2041" s="4">
        <v>24</v>
      </c>
      <c r="AL2041" s="4">
        <v>43</v>
      </c>
      <c r="AM2041" s="4">
        <v>56</v>
      </c>
      <c r="AN2041" s="4">
        <v>0</v>
      </c>
      <c r="AO2041" s="4">
        <v>0</v>
      </c>
      <c r="AP2041" s="4">
        <v>18</v>
      </c>
      <c r="AQ2041" s="4">
        <v>47</v>
      </c>
      <c r="AR2041" s="3" t="s">
        <v>62</v>
      </c>
      <c r="AS2041" s="3" t="s">
        <v>62</v>
      </c>
      <c r="AT2041" s="3" t="s">
        <v>62</v>
      </c>
      <c r="AV2041" s="6" t="str">
        <f>HYPERLINK("http://mcgill.on.worldcat.org/oclc/340961369","Catalog Record")</f>
        <v>Catalog Record</v>
      </c>
      <c r="AW2041" s="6" t="str">
        <f>HYPERLINK("http://www.worldcat.org/oclc/340961369","WorldCat Record")</f>
        <v>WorldCat Record</v>
      </c>
      <c r="AX2041" s="3" t="s">
        <v>19790</v>
      </c>
      <c r="AY2041" s="3" t="s">
        <v>19791</v>
      </c>
      <c r="AZ2041" s="3" t="s">
        <v>19792</v>
      </c>
      <c r="BA2041" s="3" t="s">
        <v>19792</v>
      </c>
      <c r="BB2041" s="3" t="s">
        <v>19793</v>
      </c>
      <c r="BC2041" s="3" t="s">
        <v>142</v>
      </c>
      <c r="BD2041" s="3" t="s">
        <v>68</v>
      </c>
      <c r="BE2041" s="3" t="s">
        <v>19794</v>
      </c>
      <c r="BF2041" s="3" t="s">
        <v>19793</v>
      </c>
      <c r="BG2041" s="3" t="s">
        <v>19795</v>
      </c>
    </row>
    <row r="2042" spans="1:59" ht="71.25" x14ac:dyDescent="0.45">
      <c r="A2042" s="2" t="s">
        <v>59</v>
      </c>
      <c r="B2042" s="2" t="s">
        <v>60</v>
      </c>
      <c r="C2042" s="2" t="s">
        <v>19796</v>
      </c>
      <c r="D2042" s="2" t="s">
        <v>19797</v>
      </c>
      <c r="E2042" s="2" t="s">
        <v>19798</v>
      </c>
      <c r="G2042" s="3" t="s">
        <v>62</v>
      </c>
      <c r="I2042" s="3" t="s">
        <v>62</v>
      </c>
      <c r="J2042" s="3" t="s">
        <v>62</v>
      </c>
      <c r="K2042" s="3" t="s">
        <v>63</v>
      </c>
      <c r="L2042" s="2" t="s">
        <v>19799</v>
      </c>
      <c r="M2042" s="2" t="s">
        <v>19800</v>
      </c>
      <c r="N2042" s="3" t="s">
        <v>149</v>
      </c>
      <c r="P2042" s="3" t="s">
        <v>65</v>
      </c>
      <c r="R2042" s="3" t="s">
        <v>66</v>
      </c>
      <c r="S2042" s="4">
        <v>1</v>
      </c>
      <c r="T2042" s="4">
        <v>1</v>
      </c>
      <c r="U2042" s="5" t="s">
        <v>19801</v>
      </c>
      <c r="V2042" s="5" t="s">
        <v>19801</v>
      </c>
      <c r="W2042" s="5" t="s">
        <v>67</v>
      </c>
      <c r="X2042" s="5" t="s">
        <v>67</v>
      </c>
      <c r="Y2042" s="4">
        <v>206</v>
      </c>
      <c r="Z2042" s="4">
        <v>19</v>
      </c>
      <c r="AA2042" s="4">
        <v>19</v>
      </c>
      <c r="AB2042" s="4">
        <v>2</v>
      </c>
      <c r="AC2042" s="4">
        <v>2</v>
      </c>
      <c r="AD2042" s="4">
        <v>68</v>
      </c>
      <c r="AE2042" s="4">
        <v>68</v>
      </c>
      <c r="AF2042" s="4">
        <v>1</v>
      </c>
      <c r="AG2042" s="4">
        <v>1</v>
      </c>
      <c r="AH2042" s="4">
        <v>62</v>
      </c>
      <c r="AI2042" s="4">
        <v>62</v>
      </c>
      <c r="AJ2042" s="4">
        <v>13</v>
      </c>
      <c r="AK2042" s="4">
        <v>13</v>
      </c>
      <c r="AL2042" s="4">
        <v>35</v>
      </c>
      <c r="AM2042" s="4">
        <v>35</v>
      </c>
      <c r="AN2042" s="4">
        <v>0</v>
      </c>
      <c r="AO2042" s="4">
        <v>0</v>
      </c>
      <c r="AP2042" s="4">
        <v>14</v>
      </c>
      <c r="AQ2042" s="4">
        <v>14</v>
      </c>
      <c r="AR2042" s="3" t="s">
        <v>62</v>
      </c>
      <c r="AS2042" s="3" t="s">
        <v>62</v>
      </c>
      <c r="AT2042" s="3" t="s">
        <v>62</v>
      </c>
      <c r="AV2042" s="6" t="str">
        <f>HYPERLINK("http://mcgill.on.worldcat.org/oclc/476156873","Catalog Record")</f>
        <v>Catalog Record</v>
      </c>
      <c r="AW2042" s="6" t="str">
        <f>HYPERLINK("http://www.worldcat.org/oclc/476156873","WorldCat Record")</f>
        <v>WorldCat Record</v>
      </c>
      <c r="AX2042" s="3" t="s">
        <v>19802</v>
      </c>
      <c r="AY2042" s="3" t="s">
        <v>19803</v>
      </c>
      <c r="AZ2042" s="3" t="s">
        <v>19804</v>
      </c>
      <c r="BA2042" s="3" t="s">
        <v>19804</v>
      </c>
      <c r="BB2042" s="3" t="s">
        <v>19805</v>
      </c>
      <c r="BC2042" s="3" t="s">
        <v>142</v>
      </c>
      <c r="BD2042" s="3" t="s">
        <v>68</v>
      </c>
      <c r="BE2042" s="3" t="s">
        <v>19806</v>
      </c>
      <c r="BF2042" s="3" t="s">
        <v>19805</v>
      </c>
      <c r="BG2042" s="3" t="s">
        <v>19807</v>
      </c>
    </row>
    <row r="2043" spans="1:59" ht="57" x14ac:dyDescent="0.45">
      <c r="A2043" s="2" t="s">
        <v>59</v>
      </c>
      <c r="B2043" s="2" t="s">
        <v>60</v>
      </c>
      <c r="C2043" s="2" t="s">
        <v>19808</v>
      </c>
      <c r="D2043" s="2" t="s">
        <v>19809</v>
      </c>
      <c r="E2043" s="2" t="s">
        <v>19810</v>
      </c>
      <c r="G2043" s="3" t="s">
        <v>62</v>
      </c>
      <c r="I2043" s="3" t="s">
        <v>62</v>
      </c>
      <c r="J2043" s="3" t="s">
        <v>62</v>
      </c>
      <c r="K2043" s="3" t="s">
        <v>63</v>
      </c>
      <c r="L2043" s="2" t="s">
        <v>19811</v>
      </c>
      <c r="M2043" s="2" t="s">
        <v>19812</v>
      </c>
      <c r="N2043" s="3" t="s">
        <v>181</v>
      </c>
      <c r="O2043" s="2" t="s">
        <v>12388</v>
      </c>
      <c r="P2043" s="3" t="s">
        <v>110</v>
      </c>
      <c r="Q2043" s="2" t="s">
        <v>19813</v>
      </c>
      <c r="R2043" s="3" t="s">
        <v>66</v>
      </c>
      <c r="S2043" s="4">
        <v>0</v>
      </c>
      <c r="T2043" s="4">
        <v>0</v>
      </c>
      <c r="W2043" s="5" t="s">
        <v>67</v>
      </c>
      <c r="X2043" s="5" t="s">
        <v>67</v>
      </c>
      <c r="Y2043" s="4">
        <v>5</v>
      </c>
      <c r="Z2043" s="4">
        <v>2</v>
      </c>
      <c r="AA2043" s="4">
        <v>16</v>
      </c>
      <c r="AB2043" s="4">
        <v>1</v>
      </c>
      <c r="AC2043" s="4">
        <v>13</v>
      </c>
      <c r="AD2043" s="4">
        <v>1</v>
      </c>
      <c r="AE2043" s="4">
        <v>7</v>
      </c>
      <c r="AF2043" s="4">
        <v>0</v>
      </c>
      <c r="AG2043" s="4">
        <v>4</v>
      </c>
      <c r="AH2043" s="4">
        <v>1</v>
      </c>
      <c r="AI2043" s="4">
        <v>3</v>
      </c>
      <c r="AJ2043" s="4">
        <v>1</v>
      </c>
      <c r="AK2043" s="4">
        <v>5</v>
      </c>
      <c r="AL2043" s="4">
        <v>0</v>
      </c>
      <c r="AM2043" s="4">
        <v>0</v>
      </c>
      <c r="AN2043" s="4">
        <v>0</v>
      </c>
      <c r="AO2043" s="4">
        <v>0</v>
      </c>
      <c r="AP2043" s="4">
        <v>1</v>
      </c>
      <c r="AQ2043" s="4">
        <v>6</v>
      </c>
      <c r="AR2043" s="3" t="s">
        <v>62</v>
      </c>
      <c r="AS2043" s="3" t="s">
        <v>62</v>
      </c>
      <c r="AT2043" s="3" t="s">
        <v>62</v>
      </c>
      <c r="AV2043" s="6" t="str">
        <f>HYPERLINK("http://mcgill.on.worldcat.org/oclc/958610853","Catalog Record")</f>
        <v>Catalog Record</v>
      </c>
      <c r="AW2043" s="6" t="str">
        <f>HYPERLINK("http://www.worldcat.org/oclc/958610853","WorldCat Record")</f>
        <v>WorldCat Record</v>
      </c>
      <c r="AX2043" s="3" t="s">
        <v>19814</v>
      </c>
      <c r="AY2043" s="3" t="s">
        <v>19815</v>
      </c>
      <c r="AZ2043" s="3" t="s">
        <v>19816</v>
      </c>
      <c r="BA2043" s="3" t="s">
        <v>19816</v>
      </c>
      <c r="BB2043" s="3" t="s">
        <v>19817</v>
      </c>
      <c r="BC2043" s="3" t="s">
        <v>142</v>
      </c>
      <c r="BD2043" s="3" t="s">
        <v>68</v>
      </c>
      <c r="BE2043" s="3" t="s">
        <v>19818</v>
      </c>
      <c r="BF2043" s="3" t="s">
        <v>19817</v>
      </c>
      <c r="BG2043" s="3" t="s">
        <v>19819</v>
      </c>
    </row>
    <row r="2044" spans="1:59" ht="57" x14ac:dyDescent="0.45">
      <c r="A2044" s="2" t="s">
        <v>59</v>
      </c>
      <c r="B2044" s="2" t="s">
        <v>60</v>
      </c>
      <c r="C2044" s="2" t="s">
        <v>19820</v>
      </c>
      <c r="D2044" s="2" t="s">
        <v>19821</v>
      </c>
      <c r="E2044" s="2" t="s">
        <v>19822</v>
      </c>
      <c r="G2044" s="3" t="s">
        <v>62</v>
      </c>
      <c r="I2044" s="3" t="s">
        <v>62</v>
      </c>
      <c r="J2044" s="3" t="s">
        <v>62</v>
      </c>
      <c r="K2044" s="3" t="s">
        <v>63</v>
      </c>
      <c r="M2044" s="2" t="s">
        <v>19823</v>
      </c>
      <c r="N2044" s="3" t="s">
        <v>1478</v>
      </c>
      <c r="P2044" s="3" t="s">
        <v>65</v>
      </c>
      <c r="Q2044" s="2" t="s">
        <v>3411</v>
      </c>
      <c r="R2044" s="3" t="s">
        <v>66</v>
      </c>
      <c r="S2044" s="4">
        <v>6</v>
      </c>
      <c r="T2044" s="4">
        <v>6</v>
      </c>
      <c r="U2044" s="5" t="s">
        <v>6838</v>
      </c>
      <c r="V2044" s="5" t="s">
        <v>6838</v>
      </c>
      <c r="W2044" s="5" t="s">
        <v>67</v>
      </c>
      <c r="X2044" s="5" t="s">
        <v>67</v>
      </c>
      <c r="Y2044" s="4">
        <v>282</v>
      </c>
      <c r="Z2044" s="4">
        <v>14</v>
      </c>
      <c r="AA2044" s="4">
        <v>14</v>
      </c>
      <c r="AB2044" s="4">
        <v>1</v>
      </c>
      <c r="AC2044" s="4">
        <v>1</v>
      </c>
      <c r="AD2044" s="4">
        <v>81</v>
      </c>
      <c r="AE2044" s="4">
        <v>81</v>
      </c>
      <c r="AF2044" s="4">
        <v>0</v>
      </c>
      <c r="AG2044" s="4">
        <v>0</v>
      </c>
      <c r="AH2044" s="4">
        <v>73</v>
      </c>
      <c r="AI2044" s="4">
        <v>73</v>
      </c>
      <c r="AJ2044" s="4">
        <v>9</v>
      </c>
      <c r="AK2044" s="4">
        <v>9</v>
      </c>
      <c r="AL2044" s="4">
        <v>43</v>
      </c>
      <c r="AM2044" s="4">
        <v>43</v>
      </c>
      <c r="AN2044" s="4">
        <v>0</v>
      </c>
      <c r="AO2044" s="4">
        <v>0</v>
      </c>
      <c r="AP2044" s="4">
        <v>12</v>
      </c>
      <c r="AQ2044" s="4">
        <v>12</v>
      </c>
      <c r="AR2044" s="3" t="s">
        <v>62</v>
      </c>
      <c r="AS2044" s="3" t="s">
        <v>62</v>
      </c>
      <c r="AT2044" s="3" t="s">
        <v>61</v>
      </c>
      <c r="AU2044" s="6" t="str">
        <f>HYPERLINK("http://catalog.hathitrust.org/Record/004571802","HathiTrust Record")</f>
        <v>HathiTrust Record</v>
      </c>
      <c r="AV2044" s="6" t="str">
        <f>HYPERLINK("http://mcgill.on.worldcat.org/oclc/34357182","Catalog Record")</f>
        <v>Catalog Record</v>
      </c>
      <c r="AW2044" s="6" t="str">
        <f>HYPERLINK("http://www.worldcat.org/oclc/34357182","WorldCat Record")</f>
        <v>WorldCat Record</v>
      </c>
      <c r="AX2044" s="3" t="s">
        <v>19824</v>
      </c>
      <c r="AY2044" s="3" t="s">
        <v>19825</v>
      </c>
      <c r="AZ2044" s="3" t="s">
        <v>19826</v>
      </c>
      <c r="BA2044" s="3" t="s">
        <v>19826</v>
      </c>
      <c r="BB2044" s="3" t="s">
        <v>19827</v>
      </c>
      <c r="BC2044" s="3" t="s">
        <v>142</v>
      </c>
      <c r="BD2044" s="3" t="s">
        <v>68</v>
      </c>
      <c r="BE2044" s="3" t="s">
        <v>19828</v>
      </c>
      <c r="BF2044" s="3" t="s">
        <v>19827</v>
      </c>
      <c r="BG2044" s="3" t="s">
        <v>19829</v>
      </c>
    </row>
    <row r="2045" spans="1:59" ht="57" x14ac:dyDescent="0.45">
      <c r="A2045" s="2" t="s">
        <v>59</v>
      </c>
      <c r="B2045" s="2" t="s">
        <v>60</v>
      </c>
      <c r="C2045" s="2" t="s">
        <v>19830</v>
      </c>
      <c r="D2045" s="2" t="s">
        <v>19831</v>
      </c>
      <c r="E2045" s="2" t="s">
        <v>19832</v>
      </c>
      <c r="G2045" s="3" t="s">
        <v>62</v>
      </c>
      <c r="I2045" s="3" t="s">
        <v>62</v>
      </c>
      <c r="J2045" s="3" t="s">
        <v>62</v>
      </c>
      <c r="K2045" s="3" t="s">
        <v>63</v>
      </c>
      <c r="L2045" s="2" t="s">
        <v>19833</v>
      </c>
      <c r="M2045" s="2" t="s">
        <v>19834</v>
      </c>
      <c r="N2045" s="3" t="s">
        <v>167</v>
      </c>
      <c r="P2045" s="3" t="s">
        <v>65</v>
      </c>
      <c r="Q2045" s="2" t="s">
        <v>19835</v>
      </c>
      <c r="R2045" s="3" t="s">
        <v>66</v>
      </c>
      <c r="S2045" s="4">
        <v>6</v>
      </c>
      <c r="T2045" s="4">
        <v>6</v>
      </c>
      <c r="U2045" s="5" t="s">
        <v>17898</v>
      </c>
      <c r="V2045" s="5" t="s">
        <v>17898</v>
      </c>
      <c r="W2045" s="5" t="s">
        <v>67</v>
      </c>
      <c r="X2045" s="5" t="s">
        <v>67</v>
      </c>
      <c r="Y2045" s="4">
        <v>212</v>
      </c>
      <c r="Z2045" s="4">
        <v>14</v>
      </c>
      <c r="AA2045" s="4">
        <v>95</v>
      </c>
      <c r="AB2045" s="4">
        <v>2</v>
      </c>
      <c r="AC2045" s="4">
        <v>17</v>
      </c>
      <c r="AD2045" s="4">
        <v>60</v>
      </c>
      <c r="AE2045" s="4">
        <v>119</v>
      </c>
      <c r="AF2045" s="4">
        <v>1</v>
      </c>
      <c r="AG2045" s="4">
        <v>8</v>
      </c>
      <c r="AH2045" s="4">
        <v>55</v>
      </c>
      <c r="AI2045" s="4">
        <v>80</v>
      </c>
      <c r="AJ2045" s="4">
        <v>8</v>
      </c>
      <c r="AK2045" s="4">
        <v>21</v>
      </c>
      <c r="AL2045" s="4">
        <v>28</v>
      </c>
      <c r="AM2045" s="4">
        <v>40</v>
      </c>
      <c r="AN2045" s="4">
        <v>0</v>
      </c>
      <c r="AO2045" s="4">
        <v>0</v>
      </c>
      <c r="AP2045" s="4">
        <v>9</v>
      </c>
      <c r="AQ2045" s="4">
        <v>47</v>
      </c>
      <c r="AR2045" s="3" t="s">
        <v>62</v>
      </c>
      <c r="AS2045" s="3" t="s">
        <v>62</v>
      </c>
      <c r="AT2045" s="3" t="s">
        <v>61</v>
      </c>
      <c r="AU2045" s="6" t="str">
        <f>HYPERLINK("http://catalog.hathitrust.org/Record/004114524","HathiTrust Record")</f>
        <v>HathiTrust Record</v>
      </c>
      <c r="AV2045" s="6" t="str">
        <f>HYPERLINK("http://mcgill.on.worldcat.org/oclc/40573438","Catalog Record")</f>
        <v>Catalog Record</v>
      </c>
      <c r="AW2045" s="6" t="str">
        <f>HYPERLINK("http://www.worldcat.org/oclc/40573438","WorldCat Record")</f>
        <v>WorldCat Record</v>
      </c>
      <c r="AX2045" s="3" t="s">
        <v>19836</v>
      </c>
      <c r="AY2045" s="3" t="s">
        <v>19837</v>
      </c>
      <c r="AZ2045" s="3" t="s">
        <v>19838</v>
      </c>
      <c r="BA2045" s="3" t="s">
        <v>19838</v>
      </c>
      <c r="BB2045" s="3" t="s">
        <v>19839</v>
      </c>
      <c r="BC2045" s="3" t="s">
        <v>142</v>
      </c>
      <c r="BD2045" s="3" t="s">
        <v>68</v>
      </c>
      <c r="BE2045" s="3" t="s">
        <v>19840</v>
      </c>
      <c r="BF2045" s="3" t="s">
        <v>19839</v>
      </c>
      <c r="BG2045" s="3" t="s">
        <v>19841</v>
      </c>
    </row>
    <row r="2046" spans="1:59" ht="57" x14ac:dyDescent="0.45">
      <c r="A2046" s="2" t="s">
        <v>59</v>
      </c>
      <c r="B2046" s="2" t="s">
        <v>60</v>
      </c>
      <c r="C2046" s="2" t="s">
        <v>19842</v>
      </c>
      <c r="D2046" s="2" t="s">
        <v>19843</v>
      </c>
      <c r="E2046" s="2" t="s">
        <v>19844</v>
      </c>
      <c r="G2046" s="3" t="s">
        <v>62</v>
      </c>
      <c r="I2046" s="3" t="s">
        <v>62</v>
      </c>
      <c r="J2046" s="3" t="s">
        <v>62</v>
      </c>
      <c r="K2046" s="3" t="s">
        <v>63</v>
      </c>
      <c r="M2046" s="2" t="s">
        <v>19845</v>
      </c>
      <c r="N2046" s="3" t="s">
        <v>970</v>
      </c>
      <c r="P2046" s="3" t="s">
        <v>65</v>
      </c>
      <c r="Q2046" s="2" t="s">
        <v>19846</v>
      </c>
      <c r="R2046" s="3" t="s">
        <v>66</v>
      </c>
      <c r="S2046" s="4">
        <v>34</v>
      </c>
      <c r="T2046" s="4">
        <v>34</v>
      </c>
      <c r="U2046" s="5" t="s">
        <v>17723</v>
      </c>
      <c r="V2046" s="5" t="s">
        <v>17723</v>
      </c>
      <c r="W2046" s="5" t="s">
        <v>67</v>
      </c>
      <c r="X2046" s="5" t="s">
        <v>67</v>
      </c>
      <c r="Y2046" s="4">
        <v>451</v>
      </c>
      <c r="Z2046" s="4">
        <v>35</v>
      </c>
      <c r="AA2046" s="4">
        <v>38</v>
      </c>
      <c r="AB2046" s="4">
        <v>3</v>
      </c>
      <c r="AC2046" s="4">
        <v>5</v>
      </c>
      <c r="AD2046" s="4">
        <v>99</v>
      </c>
      <c r="AE2046" s="4">
        <v>103</v>
      </c>
      <c r="AF2046" s="4">
        <v>2</v>
      </c>
      <c r="AG2046" s="4">
        <v>4</v>
      </c>
      <c r="AH2046" s="4">
        <v>81</v>
      </c>
      <c r="AI2046" s="4">
        <v>82</v>
      </c>
      <c r="AJ2046" s="4">
        <v>16</v>
      </c>
      <c r="AK2046" s="4">
        <v>19</v>
      </c>
      <c r="AL2046" s="4">
        <v>46</v>
      </c>
      <c r="AM2046" s="4">
        <v>47</v>
      </c>
      <c r="AN2046" s="4">
        <v>0</v>
      </c>
      <c r="AO2046" s="4">
        <v>0</v>
      </c>
      <c r="AP2046" s="4">
        <v>27</v>
      </c>
      <c r="AQ2046" s="4">
        <v>30</v>
      </c>
      <c r="AR2046" s="3" t="s">
        <v>62</v>
      </c>
      <c r="AS2046" s="3" t="s">
        <v>62</v>
      </c>
      <c r="AT2046" s="3" t="s">
        <v>61</v>
      </c>
      <c r="AU2046" s="6" t="str">
        <f>HYPERLINK("http://catalog.hathitrust.org/Record/004214661","HathiTrust Record")</f>
        <v>HathiTrust Record</v>
      </c>
      <c r="AV2046" s="6" t="str">
        <f>HYPERLINK("http://mcgill.on.worldcat.org/oclc/48077399","Catalog Record")</f>
        <v>Catalog Record</v>
      </c>
      <c r="AW2046" s="6" t="str">
        <f>HYPERLINK("http://www.worldcat.org/oclc/48077399","WorldCat Record")</f>
        <v>WorldCat Record</v>
      </c>
      <c r="AX2046" s="3" t="s">
        <v>19847</v>
      </c>
      <c r="AY2046" s="3" t="s">
        <v>19848</v>
      </c>
      <c r="AZ2046" s="3" t="s">
        <v>19849</v>
      </c>
      <c r="BA2046" s="3" t="s">
        <v>19849</v>
      </c>
      <c r="BB2046" s="3" t="s">
        <v>19850</v>
      </c>
      <c r="BC2046" s="3" t="s">
        <v>142</v>
      </c>
      <c r="BD2046" s="3" t="s">
        <v>68</v>
      </c>
      <c r="BE2046" s="3" t="s">
        <v>19851</v>
      </c>
      <c r="BF2046" s="3" t="s">
        <v>19850</v>
      </c>
      <c r="BG2046" s="3" t="s">
        <v>19852</v>
      </c>
    </row>
    <row r="2047" spans="1:59" ht="57" x14ac:dyDescent="0.45">
      <c r="A2047" s="2" t="s">
        <v>59</v>
      </c>
      <c r="B2047" s="2" t="s">
        <v>60</v>
      </c>
      <c r="C2047" s="2" t="s">
        <v>19853</v>
      </c>
      <c r="D2047" s="2" t="s">
        <v>19854</v>
      </c>
      <c r="E2047" s="2" t="s">
        <v>19855</v>
      </c>
      <c r="G2047" s="3" t="s">
        <v>62</v>
      </c>
      <c r="I2047" s="3" t="s">
        <v>62</v>
      </c>
      <c r="J2047" s="3" t="s">
        <v>62</v>
      </c>
      <c r="K2047" s="3" t="s">
        <v>63</v>
      </c>
      <c r="M2047" s="2" t="s">
        <v>12999</v>
      </c>
      <c r="N2047" s="3" t="s">
        <v>116</v>
      </c>
      <c r="P2047" s="3" t="s">
        <v>65</v>
      </c>
      <c r="Q2047" s="2" t="s">
        <v>19856</v>
      </c>
      <c r="R2047" s="3" t="s">
        <v>66</v>
      </c>
      <c r="S2047" s="4">
        <v>3</v>
      </c>
      <c r="T2047" s="4">
        <v>3</v>
      </c>
      <c r="U2047" s="5" t="s">
        <v>19857</v>
      </c>
      <c r="V2047" s="5" t="s">
        <v>19857</v>
      </c>
      <c r="W2047" s="5" t="s">
        <v>67</v>
      </c>
      <c r="X2047" s="5" t="s">
        <v>67</v>
      </c>
      <c r="Y2047" s="4">
        <v>134</v>
      </c>
      <c r="Z2047" s="4">
        <v>12</v>
      </c>
      <c r="AA2047" s="4">
        <v>80</v>
      </c>
      <c r="AB2047" s="4">
        <v>2</v>
      </c>
      <c r="AC2047" s="4">
        <v>15</v>
      </c>
      <c r="AD2047" s="4">
        <v>52</v>
      </c>
      <c r="AE2047" s="4">
        <v>119</v>
      </c>
      <c r="AF2047" s="4">
        <v>1</v>
      </c>
      <c r="AG2047" s="4">
        <v>8</v>
      </c>
      <c r="AH2047" s="4">
        <v>49</v>
      </c>
      <c r="AI2047" s="4">
        <v>85</v>
      </c>
      <c r="AJ2047" s="4">
        <v>9</v>
      </c>
      <c r="AK2047" s="4">
        <v>22</v>
      </c>
      <c r="AL2047" s="4">
        <v>28</v>
      </c>
      <c r="AM2047" s="4">
        <v>44</v>
      </c>
      <c r="AN2047" s="4">
        <v>0</v>
      </c>
      <c r="AO2047" s="4">
        <v>0</v>
      </c>
      <c r="AP2047" s="4">
        <v>9</v>
      </c>
      <c r="AQ2047" s="4">
        <v>43</v>
      </c>
      <c r="AR2047" s="3" t="s">
        <v>62</v>
      </c>
      <c r="AS2047" s="3" t="s">
        <v>62</v>
      </c>
      <c r="AT2047" s="3" t="s">
        <v>62</v>
      </c>
      <c r="AV2047" s="6" t="str">
        <f>HYPERLINK("http://mcgill.on.worldcat.org/oclc/823578061","Catalog Record")</f>
        <v>Catalog Record</v>
      </c>
      <c r="AW2047" s="6" t="str">
        <f>HYPERLINK("http://www.worldcat.org/oclc/823578061","WorldCat Record")</f>
        <v>WorldCat Record</v>
      </c>
      <c r="AX2047" s="3" t="s">
        <v>19858</v>
      </c>
      <c r="AY2047" s="3" t="s">
        <v>19859</v>
      </c>
      <c r="AZ2047" s="3" t="s">
        <v>19860</v>
      </c>
      <c r="BA2047" s="3" t="s">
        <v>19860</v>
      </c>
      <c r="BB2047" s="3" t="s">
        <v>19861</v>
      </c>
      <c r="BC2047" s="3" t="s">
        <v>142</v>
      </c>
      <c r="BD2047" s="3" t="s">
        <v>68</v>
      </c>
      <c r="BE2047" s="3" t="s">
        <v>19862</v>
      </c>
      <c r="BF2047" s="3" t="s">
        <v>19861</v>
      </c>
      <c r="BG2047" s="3" t="s">
        <v>19863</v>
      </c>
    </row>
    <row r="2048" spans="1:59" ht="57" x14ac:dyDescent="0.45">
      <c r="A2048" s="2" t="s">
        <v>59</v>
      </c>
      <c r="B2048" s="2" t="s">
        <v>60</v>
      </c>
      <c r="C2048" s="2" t="s">
        <v>19864</v>
      </c>
      <c r="D2048" s="2" t="s">
        <v>19865</v>
      </c>
      <c r="E2048" s="2" t="s">
        <v>19866</v>
      </c>
      <c r="G2048" s="3" t="s">
        <v>62</v>
      </c>
      <c r="I2048" s="3" t="s">
        <v>62</v>
      </c>
      <c r="J2048" s="3" t="s">
        <v>62</v>
      </c>
      <c r="K2048" s="3" t="s">
        <v>63</v>
      </c>
      <c r="L2048" s="2" t="s">
        <v>19867</v>
      </c>
      <c r="M2048" s="2" t="s">
        <v>19868</v>
      </c>
      <c r="N2048" s="3" t="s">
        <v>1855</v>
      </c>
      <c r="O2048" s="2" t="s">
        <v>168</v>
      </c>
      <c r="P2048" s="3" t="s">
        <v>65</v>
      </c>
      <c r="R2048" s="3" t="s">
        <v>66</v>
      </c>
      <c r="S2048" s="4">
        <v>7</v>
      </c>
      <c r="T2048" s="4">
        <v>7</v>
      </c>
      <c r="U2048" s="5" t="s">
        <v>19869</v>
      </c>
      <c r="V2048" s="5" t="s">
        <v>19869</v>
      </c>
      <c r="W2048" s="5" t="s">
        <v>67</v>
      </c>
      <c r="X2048" s="5" t="s">
        <v>67</v>
      </c>
      <c r="Y2048" s="4">
        <v>427</v>
      </c>
      <c r="Z2048" s="4">
        <v>33</v>
      </c>
      <c r="AA2048" s="4">
        <v>85</v>
      </c>
      <c r="AB2048" s="4">
        <v>2</v>
      </c>
      <c r="AC2048" s="4">
        <v>8</v>
      </c>
      <c r="AD2048" s="4">
        <v>106</v>
      </c>
      <c r="AE2048" s="4">
        <v>125</v>
      </c>
      <c r="AF2048" s="4">
        <v>1</v>
      </c>
      <c r="AG2048" s="4">
        <v>1</v>
      </c>
      <c r="AH2048" s="4">
        <v>92</v>
      </c>
      <c r="AI2048" s="4">
        <v>100</v>
      </c>
      <c r="AJ2048" s="4">
        <v>19</v>
      </c>
      <c r="AK2048" s="4">
        <v>22</v>
      </c>
      <c r="AL2048" s="4">
        <v>45</v>
      </c>
      <c r="AM2048" s="4">
        <v>50</v>
      </c>
      <c r="AN2048" s="4">
        <v>0</v>
      </c>
      <c r="AO2048" s="4">
        <v>0</v>
      </c>
      <c r="AP2048" s="4">
        <v>23</v>
      </c>
      <c r="AQ2048" s="4">
        <v>34</v>
      </c>
      <c r="AR2048" s="3" t="s">
        <v>62</v>
      </c>
      <c r="AS2048" s="3" t="s">
        <v>62</v>
      </c>
      <c r="AT2048" s="3" t="s">
        <v>62</v>
      </c>
      <c r="AV2048" s="6" t="str">
        <f>HYPERLINK("http://mcgill.on.worldcat.org/oclc/58563478","Catalog Record")</f>
        <v>Catalog Record</v>
      </c>
      <c r="AW2048" s="6" t="str">
        <f>HYPERLINK("http://www.worldcat.org/oclc/58563478","WorldCat Record")</f>
        <v>WorldCat Record</v>
      </c>
      <c r="AX2048" s="3" t="s">
        <v>19870</v>
      </c>
      <c r="AY2048" s="3" t="s">
        <v>19871</v>
      </c>
      <c r="AZ2048" s="3" t="s">
        <v>19872</v>
      </c>
      <c r="BA2048" s="3" t="s">
        <v>19872</v>
      </c>
      <c r="BB2048" s="3" t="s">
        <v>19873</v>
      </c>
      <c r="BC2048" s="3" t="s">
        <v>142</v>
      </c>
      <c r="BD2048" s="3" t="s">
        <v>68</v>
      </c>
      <c r="BE2048" s="3" t="s">
        <v>19874</v>
      </c>
      <c r="BF2048" s="3" t="s">
        <v>19873</v>
      </c>
      <c r="BG2048" s="3" t="s">
        <v>19875</v>
      </c>
    </row>
    <row r="2049" spans="1:59" ht="57" x14ac:dyDescent="0.45">
      <c r="A2049" s="2" t="s">
        <v>59</v>
      </c>
      <c r="B2049" s="2" t="s">
        <v>60</v>
      </c>
      <c r="C2049" s="2" t="s">
        <v>19876</v>
      </c>
      <c r="D2049" s="2" t="s">
        <v>19877</v>
      </c>
      <c r="E2049" s="2" t="s">
        <v>19878</v>
      </c>
      <c r="G2049" s="3" t="s">
        <v>62</v>
      </c>
      <c r="I2049" s="3" t="s">
        <v>62</v>
      </c>
      <c r="J2049" s="3" t="s">
        <v>62</v>
      </c>
      <c r="K2049" s="3" t="s">
        <v>63</v>
      </c>
      <c r="L2049" s="2" t="s">
        <v>19879</v>
      </c>
      <c r="M2049" s="2" t="s">
        <v>1009</v>
      </c>
      <c r="N2049" s="3" t="s">
        <v>894</v>
      </c>
      <c r="P2049" s="3" t="s">
        <v>65</v>
      </c>
      <c r="R2049" s="3" t="s">
        <v>66</v>
      </c>
      <c r="S2049" s="4">
        <v>2</v>
      </c>
      <c r="T2049" s="4">
        <v>2</v>
      </c>
      <c r="U2049" s="5" t="s">
        <v>723</v>
      </c>
      <c r="V2049" s="5" t="s">
        <v>723</v>
      </c>
      <c r="W2049" s="5" t="s">
        <v>67</v>
      </c>
      <c r="X2049" s="5" t="s">
        <v>67</v>
      </c>
      <c r="Y2049" s="4">
        <v>228</v>
      </c>
      <c r="Z2049" s="4">
        <v>22</v>
      </c>
      <c r="AA2049" s="4">
        <v>83</v>
      </c>
      <c r="AB2049" s="4">
        <v>2</v>
      </c>
      <c r="AC2049" s="4">
        <v>16</v>
      </c>
      <c r="AD2049" s="4">
        <v>66</v>
      </c>
      <c r="AE2049" s="4">
        <v>123</v>
      </c>
      <c r="AF2049" s="4">
        <v>1</v>
      </c>
      <c r="AG2049" s="4">
        <v>8</v>
      </c>
      <c r="AH2049" s="4">
        <v>60</v>
      </c>
      <c r="AI2049" s="4">
        <v>88</v>
      </c>
      <c r="AJ2049" s="4">
        <v>12</v>
      </c>
      <c r="AK2049" s="4">
        <v>22</v>
      </c>
      <c r="AL2049" s="4">
        <v>28</v>
      </c>
      <c r="AM2049" s="4">
        <v>42</v>
      </c>
      <c r="AN2049" s="4">
        <v>0</v>
      </c>
      <c r="AO2049" s="4">
        <v>0</v>
      </c>
      <c r="AP2049" s="4">
        <v>17</v>
      </c>
      <c r="AQ2049" s="4">
        <v>44</v>
      </c>
      <c r="AR2049" s="3" t="s">
        <v>62</v>
      </c>
      <c r="AS2049" s="3" t="s">
        <v>62</v>
      </c>
      <c r="AT2049" s="3" t="s">
        <v>62</v>
      </c>
      <c r="AV2049" s="6" t="str">
        <f>HYPERLINK("http://mcgill.on.worldcat.org/oclc/641536282","Catalog Record")</f>
        <v>Catalog Record</v>
      </c>
      <c r="AW2049" s="6" t="str">
        <f>HYPERLINK("http://www.worldcat.org/oclc/641536282","WorldCat Record")</f>
        <v>WorldCat Record</v>
      </c>
      <c r="AX2049" s="3" t="s">
        <v>19880</v>
      </c>
      <c r="AY2049" s="3" t="s">
        <v>19881</v>
      </c>
      <c r="AZ2049" s="3" t="s">
        <v>19882</v>
      </c>
      <c r="BA2049" s="3" t="s">
        <v>19882</v>
      </c>
      <c r="BB2049" s="3" t="s">
        <v>19883</v>
      </c>
      <c r="BC2049" s="3" t="s">
        <v>142</v>
      </c>
      <c r="BD2049" s="3" t="s">
        <v>68</v>
      </c>
      <c r="BE2049" s="3" t="s">
        <v>19884</v>
      </c>
      <c r="BF2049" s="3" t="s">
        <v>19883</v>
      </c>
      <c r="BG2049" s="3" t="s">
        <v>19885</v>
      </c>
    </row>
    <row r="2050" spans="1:59" ht="57" x14ac:dyDescent="0.45">
      <c r="A2050" s="2" t="s">
        <v>59</v>
      </c>
      <c r="B2050" s="2" t="s">
        <v>60</v>
      </c>
      <c r="C2050" s="2" t="s">
        <v>19886</v>
      </c>
      <c r="D2050" s="2" t="s">
        <v>19887</v>
      </c>
      <c r="E2050" s="2" t="s">
        <v>19888</v>
      </c>
      <c r="G2050" s="3" t="s">
        <v>62</v>
      </c>
      <c r="I2050" s="3" t="s">
        <v>62</v>
      </c>
      <c r="J2050" s="3" t="s">
        <v>62</v>
      </c>
      <c r="K2050" s="3" t="s">
        <v>63</v>
      </c>
      <c r="L2050" s="2" t="s">
        <v>12529</v>
      </c>
      <c r="M2050" s="2" t="s">
        <v>19889</v>
      </c>
      <c r="N2050" s="3" t="s">
        <v>1478</v>
      </c>
      <c r="P2050" s="3" t="s">
        <v>65</v>
      </c>
      <c r="R2050" s="3" t="s">
        <v>66</v>
      </c>
      <c r="S2050" s="4">
        <v>32</v>
      </c>
      <c r="T2050" s="4">
        <v>32</v>
      </c>
      <c r="U2050" s="5" t="s">
        <v>19890</v>
      </c>
      <c r="V2050" s="5" t="s">
        <v>19890</v>
      </c>
      <c r="W2050" s="5" t="s">
        <v>67</v>
      </c>
      <c r="X2050" s="5" t="s">
        <v>67</v>
      </c>
      <c r="Y2050" s="4">
        <v>524</v>
      </c>
      <c r="Z2050" s="4">
        <v>29</v>
      </c>
      <c r="AA2050" s="4">
        <v>39</v>
      </c>
      <c r="AB2050" s="4">
        <v>3</v>
      </c>
      <c r="AC2050" s="4">
        <v>8</v>
      </c>
      <c r="AD2050" s="4">
        <v>114</v>
      </c>
      <c r="AE2050" s="4">
        <v>119</v>
      </c>
      <c r="AF2050" s="4">
        <v>2</v>
      </c>
      <c r="AG2050" s="4">
        <v>4</v>
      </c>
      <c r="AH2050" s="4">
        <v>97</v>
      </c>
      <c r="AI2050" s="4">
        <v>100</v>
      </c>
      <c r="AJ2050" s="4">
        <v>14</v>
      </c>
      <c r="AK2050" s="4">
        <v>18</v>
      </c>
      <c r="AL2050" s="4">
        <v>49</v>
      </c>
      <c r="AM2050" s="4">
        <v>49</v>
      </c>
      <c r="AN2050" s="4">
        <v>0</v>
      </c>
      <c r="AO2050" s="4">
        <v>0</v>
      </c>
      <c r="AP2050" s="4">
        <v>24</v>
      </c>
      <c r="AQ2050" s="4">
        <v>29</v>
      </c>
      <c r="AR2050" s="3" t="s">
        <v>62</v>
      </c>
      <c r="AS2050" s="3" t="s">
        <v>62</v>
      </c>
      <c r="AT2050" s="3" t="s">
        <v>62</v>
      </c>
      <c r="AV2050" s="6" t="str">
        <f>HYPERLINK("http://mcgill.on.worldcat.org/oclc/33009181","Catalog Record")</f>
        <v>Catalog Record</v>
      </c>
      <c r="AW2050" s="6" t="str">
        <f>HYPERLINK("http://www.worldcat.org/oclc/33009181","WorldCat Record")</f>
        <v>WorldCat Record</v>
      </c>
      <c r="AX2050" s="3" t="s">
        <v>19891</v>
      </c>
      <c r="AY2050" s="3" t="s">
        <v>19892</v>
      </c>
      <c r="AZ2050" s="3" t="s">
        <v>19893</v>
      </c>
      <c r="BA2050" s="3" t="s">
        <v>19893</v>
      </c>
      <c r="BB2050" s="3" t="s">
        <v>19894</v>
      </c>
      <c r="BC2050" s="3" t="s">
        <v>142</v>
      </c>
      <c r="BD2050" s="3" t="s">
        <v>68</v>
      </c>
      <c r="BE2050" s="3" t="s">
        <v>19895</v>
      </c>
      <c r="BF2050" s="3" t="s">
        <v>19894</v>
      </c>
      <c r="BG2050" s="3" t="s">
        <v>19896</v>
      </c>
    </row>
    <row r="2051" spans="1:59" ht="57" x14ac:dyDescent="0.45">
      <c r="A2051" s="2" t="s">
        <v>59</v>
      </c>
      <c r="B2051" s="2" t="s">
        <v>60</v>
      </c>
      <c r="C2051" s="2" t="s">
        <v>19897</v>
      </c>
      <c r="D2051" s="2" t="s">
        <v>19898</v>
      </c>
      <c r="E2051" s="2" t="s">
        <v>19899</v>
      </c>
      <c r="G2051" s="3" t="s">
        <v>62</v>
      </c>
      <c r="I2051" s="3" t="s">
        <v>62</v>
      </c>
      <c r="J2051" s="3" t="s">
        <v>62</v>
      </c>
      <c r="K2051" s="3" t="s">
        <v>63</v>
      </c>
      <c r="M2051" s="2" t="s">
        <v>19900</v>
      </c>
      <c r="N2051" s="3" t="s">
        <v>1155</v>
      </c>
      <c r="P2051" s="3" t="s">
        <v>65</v>
      </c>
      <c r="Q2051" s="2" t="s">
        <v>15920</v>
      </c>
      <c r="R2051" s="3" t="s">
        <v>66</v>
      </c>
      <c r="S2051" s="4">
        <v>1</v>
      </c>
      <c r="T2051" s="4">
        <v>1</v>
      </c>
      <c r="U2051" s="5" t="s">
        <v>10429</v>
      </c>
      <c r="V2051" s="5" t="s">
        <v>10429</v>
      </c>
      <c r="W2051" s="5" t="s">
        <v>67</v>
      </c>
      <c r="X2051" s="5" t="s">
        <v>67</v>
      </c>
      <c r="Y2051" s="4">
        <v>274</v>
      </c>
      <c r="Z2051" s="4">
        <v>30</v>
      </c>
      <c r="AA2051" s="4">
        <v>100</v>
      </c>
      <c r="AB2051" s="4">
        <v>2</v>
      </c>
      <c r="AC2051" s="4">
        <v>18</v>
      </c>
      <c r="AD2051" s="4">
        <v>94</v>
      </c>
      <c r="AE2051" s="4">
        <v>141</v>
      </c>
      <c r="AF2051" s="4">
        <v>1</v>
      </c>
      <c r="AG2051" s="4">
        <v>8</v>
      </c>
      <c r="AH2051" s="4">
        <v>83</v>
      </c>
      <c r="AI2051" s="4">
        <v>105</v>
      </c>
      <c r="AJ2051" s="4">
        <v>16</v>
      </c>
      <c r="AK2051" s="4">
        <v>26</v>
      </c>
      <c r="AL2051" s="4">
        <v>45</v>
      </c>
      <c r="AM2051" s="4">
        <v>55</v>
      </c>
      <c r="AN2051" s="4">
        <v>0</v>
      </c>
      <c r="AO2051" s="4">
        <v>0</v>
      </c>
      <c r="AP2051" s="4">
        <v>21</v>
      </c>
      <c r="AQ2051" s="4">
        <v>47</v>
      </c>
      <c r="AR2051" s="3" t="s">
        <v>62</v>
      </c>
      <c r="AS2051" s="3" t="s">
        <v>62</v>
      </c>
      <c r="AT2051" s="3" t="s">
        <v>62</v>
      </c>
      <c r="AV2051" s="6" t="str">
        <f>HYPERLINK("http://mcgill.on.worldcat.org/oclc/708243792","Catalog Record")</f>
        <v>Catalog Record</v>
      </c>
      <c r="AW2051" s="6" t="str">
        <f>HYPERLINK("http://www.worldcat.org/oclc/708243792","WorldCat Record")</f>
        <v>WorldCat Record</v>
      </c>
      <c r="AX2051" s="3" t="s">
        <v>19901</v>
      </c>
      <c r="AY2051" s="3" t="s">
        <v>19902</v>
      </c>
      <c r="AZ2051" s="3" t="s">
        <v>19903</v>
      </c>
      <c r="BA2051" s="3" t="s">
        <v>19903</v>
      </c>
      <c r="BB2051" s="3" t="s">
        <v>19904</v>
      </c>
      <c r="BC2051" s="3" t="s">
        <v>142</v>
      </c>
      <c r="BD2051" s="3" t="s">
        <v>68</v>
      </c>
      <c r="BE2051" s="3" t="s">
        <v>19905</v>
      </c>
      <c r="BF2051" s="3" t="s">
        <v>19904</v>
      </c>
      <c r="BG2051" s="3" t="s">
        <v>19906</v>
      </c>
    </row>
    <row r="2052" spans="1:59" ht="57" x14ac:dyDescent="0.45">
      <c r="A2052" s="2" t="s">
        <v>59</v>
      </c>
      <c r="B2052" s="2" t="s">
        <v>60</v>
      </c>
      <c r="C2052" s="2" t="s">
        <v>19907</v>
      </c>
      <c r="D2052" s="2" t="s">
        <v>19908</v>
      </c>
      <c r="E2052" s="2" t="s">
        <v>19909</v>
      </c>
      <c r="G2052" s="3" t="s">
        <v>62</v>
      </c>
      <c r="I2052" s="3" t="s">
        <v>62</v>
      </c>
      <c r="J2052" s="3" t="s">
        <v>62</v>
      </c>
      <c r="K2052" s="3" t="s">
        <v>63</v>
      </c>
      <c r="L2052" s="2" t="s">
        <v>19910</v>
      </c>
      <c r="M2052" s="2" t="s">
        <v>19911</v>
      </c>
      <c r="N2052" s="3" t="s">
        <v>1155</v>
      </c>
      <c r="P2052" s="3" t="s">
        <v>65</v>
      </c>
      <c r="Q2052" s="2" t="s">
        <v>19912</v>
      </c>
      <c r="R2052" s="3" t="s">
        <v>66</v>
      </c>
      <c r="S2052" s="4">
        <v>0</v>
      </c>
      <c r="T2052" s="4">
        <v>0</v>
      </c>
      <c r="W2052" s="5" t="s">
        <v>67</v>
      </c>
      <c r="X2052" s="5" t="s">
        <v>67</v>
      </c>
      <c r="Y2052" s="4">
        <v>205</v>
      </c>
      <c r="Z2052" s="4">
        <v>20</v>
      </c>
      <c r="AA2052" s="4">
        <v>21</v>
      </c>
      <c r="AB2052" s="4">
        <v>2</v>
      </c>
      <c r="AC2052" s="4">
        <v>3</v>
      </c>
      <c r="AD2052" s="4">
        <v>71</v>
      </c>
      <c r="AE2052" s="4">
        <v>72</v>
      </c>
      <c r="AF2052" s="4">
        <v>1</v>
      </c>
      <c r="AG2052" s="4">
        <v>2</v>
      </c>
      <c r="AH2052" s="4">
        <v>63</v>
      </c>
      <c r="AI2052" s="4">
        <v>63</v>
      </c>
      <c r="AJ2052" s="4">
        <v>10</v>
      </c>
      <c r="AK2052" s="4">
        <v>11</v>
      </c>
      <c r="AL2052" s="4">
        <v>33</v>
      </c>
      <c r="AM2052" s="4">
        <v>33</v>
      </c>
      <c r="AN2052" s="4">
        <v>0</v>
      </c>
      <c r="AO2052" s="4">
        <v>0</v>
      </c>
      <c r="AP2052" s="4">
        <v>14</v>
      </c>
      <c r="AQ2052" s="4">
        <v>15</v>
      </c>
      <c r="AR2052" s="3" t="s">
        <v>62</v>
      </c>
      <c r="AS2052" s="3" t="s">
        <v>62</v>
      </c>
      <c r="AT2052" s="3" t="s">
        <v>62</v>
      </c>
      <c r="AV2052" s="6" t="str">
        <f>HYPERLINK("http://mcgill.on.worldcat.org/oclc/824087971","Catalog Record")</f>
        <v>Catalog Record</v>
      </c>
      <c r="AW2052" s="6" t="str">
        <f>HYPERLINK("http://www.worldcat.org/oclc/824087971","WorldCat Record")</f>
        <v>WorldCat Record</v>
      </c>
      <c r="AX2052" s="3" t="s">
        <v>19913</v>
      </c>
      <c r="AY2052" s="3" t="s">
        <v>19914</v>
      </c>
      <c r="AZ2052" s="3" t="s">
        <v>19915</v>
      </c>
      <c r="BA2052" s="3" t="s">
        <v>19915</v>
      </c>
      <c r="BB2052" s="3" t="s">
        <v>19916</v>
      </c>
      <c r="BC2052" s="3" t="s">
        <v>142</v>
      </c>
      <c r="BD2052" s="3" t="s">
        <v>68</v>
      </c>
      <c r="BE2052" s="3" t="s">
        <v>19917</v>
      </c>
      <c r="BF2052" s="3" t="s">
        <v>19916</v>
      </c>
      <c r="BG2052" s="3" t="s">
        <v>19918</v>
      </c>
    </row>
    <row r="2053" spans="1:59" ht="57" x14ac:dyDescent="0.45">
      <c r="A2053" s="2" t="s">
        <v>59</v>
      </c>
      <c r="B2053" s="2" t="s">
        <v>60</v>
      </c>
      <c r="C2053" s="2" t="s">
        <v>19919</v>
      </c>
      <c r="D2053" s="2" t="s">
        <v>19920</v>
      </c>
      <c r="E2053" s="2" t="s">
        <v>19921</v>
      </c>
      <c r="G2053" s="3" t="s">
        <v>62</v>
      </c>
      <c r="I2053" s="3" t="s">
        <v>62</v>
      </c>
      <c r="J2053" s="3" t="s">
        <v>61</v>
      </c>
      <c r="K2053" s="3" t="s">
        <v>63</v>
      </c>
      <c r="L2053" s="2" t="s">
        <v>14169</v>
      </c>
      <c r="M2053" s="2" t="s">
        <v>3075</v>
      </c>
      <c r="N2053" s="3" t="s">
        <v>1465</v>
      </c>
      <c r="O2053" s="2" t="s">
        <v>3255</v>
      </c>
      <c r="P2053" s="3" t="s">
        <v>65</v>
      </c>
      <c r="R2053" s="3" t="s">
        <v>66</v>
      </c>
      <c r="S2053" s="4">
        <v>22</v>
      </c>
      <c r="T2053" s="4">
        <v>22</v>
      </c>
      <c r="U2053" s="5" t="s">
        <v>19922</v>
      </c>
      <c r="V2053" s="5" t="s">
        <v>19922</v>
      </c>
      <c r="W2053" s="5" t="s">
        <v>67</v>
      </c>
      <c r="X2053" s="5" t="s">
        <v>67</v>
      </c>
      <c r="Y2053" s="4">
        <v>277</v>
      </c>
      <c r="Z2053" s="4">
        <v>28</v>
      </c>
      <c r="AA2053" s="4">
        <v>115</v>
      </c>
      <c r="AB2053" s="4">
        <v>2</v>
      </c>
      <c r="AC2053" s="4">
        <v>19</v>
      </c>
      <c r="AD2053" s="4">
        <v>68</v>
      </c>
      <c r="AE2053" s="4">
        <v>166</v>
      </c>
      <c r="AF2053" s="4">
        <v>1</v>
      </c>
      <c r="AG2053" s="4">
        <v>9</v>
      </c>
      <c r="AH2053" s="4">
        <v>55</v>
      </c>
      <c r="AI2053" s="4">
        <v>114</v>
      </c>
      <c r="AJ2053" s="4">
        <v>15</v>
      </c>
      <c r="AK2053" s="4">
        <v>28</v>
      </c>
      <c r="AL2053" s="4">
        <v>28</v>
      </c>
      <c r="AM2053" s="4">
        <v>59</v>
      </c>
      <c r="AN2053" s="4">
        <v>0</v>
      </c>
      <c r="AO2053" s="4">
        <v>0</v>
      </c>
      <c r="AP2053" s="4">
        <v>22</v>
      </c>
      <c r="AQ2053" s="4">
        <v>62</v>
      </c>
      <c r="AR2053" s="3" t="s">
        <v>62</v>
      </c>
      <c r="AS2053" s="3" t="s">
        <v>62</v>
      </c>
      <c r="AT2053" s="3" t="s">
        <v>62</v>
      </c>
      <c r="AV2053" s="6" t="str">
        <f>HYPERLINK("http://mcgill.on.worldcat.org/oclc/212628054","Catalog Record")</f>
        <v>Catalog Record</v>
      </c>
      <c r="AW2053" s="6" t="str">
        <f>HYPERLINK("http://www.worldcat.org/oclc/212628054","WorldCat Record")</f>
        <v>WorldCat Record</v>
      </c>
      <c r="AX2053" s="3" t="s">
        <v>14172</v>
      </c>
      <c r="AY2053" s="3" t="s">
        <v>19923</v>
      </c>
      <c r="AZ2053" s="3" t="s">
        <v>19924</v>
      </c>
      <c r="BA2053" s="3" t="s">
        <v>19924</v>
      </c>
      <c r="BB2053" s="3" t="s">
        <v>19925</v>
      </c>
      <c r="BC2053" s="3" t="s">
        <v>142</v>
      </c>
      <c r="BD2053" s="3" t="s">
        <v>68</v>
      </c>
      <c r="BE2053" s="3" t="s">
        <v>19926</v>
      </c>
      <c r="BF2053" s="3" t="s">
        <v>19925</v>
      </c>
      <c r="BG2053" s="3" t="s">
        <v>19927</v>
      </c>
    </row>
    <row r="2054" spans="1:59" ht="57" x14ac:dyDescent="0.45">
      <c r="A2054" s="2" t="s">
        <v>59</v>
      </c>
      <c r="B2054" s="2" t="s">
        <v>60</v>
      </c>
      <c r="C2054" s="2" t="s">
        <v>19928</v>
      </c>
      <c r="D2054" s="2" t="s">
        <v>19929</v>
      </c>
      <c r="E2054" s="2" t="s">
        <v>19930</v>
      </c>
      <c r="G2054" s="3" t="s">
        <v>62</v>
      </c>
      <c r="I2054" s="3" t="s">
        <v>62</v>
      </c>
      <c r="J2054" s="3" t="s">
        <v>62</v>
      </c>
      <c r="K2054" s="3" t="s">
        <v>63</v>
      </c>
      <c r="L2054" s="2" t="s">
        <v>18742</v>
      </c>
      <c r="M2054" s="2" t="s">
        <v>19931</v>
      </c>
      <c r="N2054" s="3" t="s">
        <v>1059</v>
      </c>
      <c r="P2054" s="3" t="s">
        <v>65</v>
      </c>
      <c r="R2054" s="3" t="s">
        <v>66</v>
      </c>
      <c r="S2054" s="4">
        <v>22</v>
      </c>
      <c r="T2054" s="4">
        <v>22</v>
      </c>
      <c r="U2054" s="5" t="s">
        <v>19932</v>
      </c>
      <c r="V2054" s="5" t="s">
        <v>19932</v>
      </c>
      <c r="W2054" s="5" t="s">
        <v>67</v>
      </c>
      <c r="X2054" s="5" t="s">
        <v>67</v>
      </c>
      <c r="Y2054" s="4">
        <v>316</v>
      </c>
      <c r="Z2054" s="4">
        <v>28</v>
      </c>
      <c r="AA2054" s="4">
        <v>39</v>
      </c>
      <c r="AB2054" s="4">
        <v>2</v>
      </c>
      <c r="AC2054" s="4">
        <v>7</v>
      </c>
      <c r="AD2054" s="4">
        <v>87</v>
      </c>
      <c r="AE2054" s="4">
        <v>103</v>
      </c>
      <c r="AF2054" s="4">
        <v>1</v>
      </c>
      <c r="AG2054" s="4">
        <v>3</v>
      </c>
      <c r="AH2054" s="4">
        <v>76</v>
      </c>
      <c r="AI2054" s="4">
        <v>88</v>
      </c>
      <c r="AJ2054" s="4">
        <v>17</v>
      </c>
      <c r="AK2054" s="4">
        <v>21</v>
      </c>
      <c r="AL2054" s="4">
        <v>38</v>
      </c>
      <c r="AM2054" s="4">
        <v>43</v>
      </c>
      <c r="AN2054" s="4">
        <v>0</v>
      </c>
      <c r="AO2054" s="4">
        <v>0</v>
      </c>
      <c r="AP2054" s="4">
        <v>21</v>
      </c>
      <c r="AQ2054" s="4">
        <v>26</v>
      </c>
      <c r="AR2054" s="3" t="s">
        <v>62</v>
      </c>
      <c r="AS2054" s="3" t="s">
        <v>62</v>
      </c>
      <c r="AT2054" s="3" t="s">
        <v>62</v>
      </c>
      <c r="AV2054" s="6" t="str">
        <f>HYPERLINK("http://mcgill.on.worldcat.org/oclc/63703907","Catalog Record")</f>
        <v>Catalog Record</v>
      </c>
      <c r="AW2054" s="6" t="str">
        <f>HYPERLINK("http://www.worldcat.org/oclc/63703907","WorldCat Record")</f>
        <v>WorldCat Record</v>
      </c>
      <c r="AX2054" s="3" t="s">
        <v>19933</v>
      </c>
      <c r="AY2054" s="3" t="s">
        <v>19934</v>
      </c>
      <c r="AZ2054" s="3" t="s">
        <v>19935</v>
      </c>
      <c r="BA2054" s="3" t="s">
        <v>19935</v>
      </c>
      <c r="BB2054" s="3" t="s">
        <v>19936</v>
      </c>
      <c r="BC2054" s="3" t="s">
        <v>142</v>
      </c>
      <c r="BD2054" s="3" t="s">
        <v>68</v>
      </c>
      <c r="BE2054" s="3" t="s">
        <v>19937</v>
      </c>
      <c r="BF2054" s="3" t="s">
        <v>19936</v>
      </c>
      <c r="BG2054" s="3" t="s">
        <v>19938</v>
      </c>
    </row>
    <row r="2055" spans="1:59" ht="57" x14ac:dyDescent="0.45">
      <c r="A2055" s="2" t="s">
        <v>59</v>
      </c>
      <c r="B2055" s="2" t="s">
        <v>60</v>
      </c>
      <c r="C2055" s="2" t="s">
        <v>19939</v>
      </c>
      <c r="D2055" s="2" t="s">
        <v>19940</v>
      </c>
      <c r="E2055" s="2" t="s">
        <v>19941</v>
      </c>
      <c r="G2055" s="3" t="s">
        <v>62</v>
      </c>
      <c r="I2055" s="3" t="s">
        <v>62</v>
      </c>
      <c r="J2055" s="3" t="s">
        <v>62</v>
      </c>
      <c r="K2055" s="3" t="s">
        <v>63</v>
      </c>
      <c r="M2055" s="2" t="s">
        <v>1009</v>
      </c>
      <c r="N2055" s="3" t="s">
        <v>894</v>
      </c>
      <c r="P2055" s="3" t="s">
        <v>65</v>
      </c>
      <c r="Q2055" s="2" t="s">
        <v>19942</v>
      </c>
      <c r="R2055" s="3" t="s">
        <v>66</v>
      </c>
      <c r="S2055" s="4">
        <v>2</v>
      </c>
      <c r="T2055" s="4">
        <v>2</v>
      </c>
      <c r="U2055" s="5" t="s">
        <v>19943</v>
      </c>
      <c r="V2055" s="5" t="s">
        <v>19943</v>
      </c>
      <c r="W2055" s="5" t="s">
        <v>67</v>
      </c>
      <c r="X2055" s="5" t="s">
        <v>67</v>
      </c>
      <c r="Y2055" s="4">
        <v>144</v>
      </c>
      <c r="Z2055" s="4">
        <v>9</v>
      </c>
      <c r="AA2055" s="4">
        <v>65</v>
      </c>
      <c r="AB2055" s="4">
        <v>1</v>
      </c>
      <c r="AC2055" s="4">
        <v>9</v>
      </c>
      <c r="AD2055" s="4">
        <v>60</v>
      </c>
      <c r="AE2055" s="4">
        <v>100</v>
      </c>
      <c r="AF2055" s="4">
        <v>0</v>
      </c>
      <c r="AG2055" s="4">
        <v>4</v>
      </c>
      <c r="AH2055" s="4">
        <v>57</v>
      </c>
      <c r="AI2055" s="4">
        <v>79</v>
      </c>
      <c r="AJ2055" s="4">
        <v>7</v>
      </c>
      <c r="AK2055" s="4">
        <v>22</v>
      </c>
      <c r="AL2055" s="4">
        <v>34</v>
      </c>
      <c r="AM2055" s="4">
        <v>43</v>
      </c>
      <c r="AN2055" s="4">
        <v>0</v>
      </c>
      <c r="AO2055" s="4">
        <v>0</v>
      </c>
      <c r="AP2055" s="4">
        <v>8</v>
      </c>
      <c r="AQ2055" s="4">
        <v>30</v>
      </c>
      <c r="AR2055" s="3" t="s">
        <v>62</v>
      </c>
      <c r="AS2055" s="3" t="s">
        <v>62</v>
      </c>
      <c r="AT2055" s="3" t="s">
        <v>62</v>
      </c>
      <c r="AV2055" s="6" t="str">
        <f>HYPERLINK("http://mcgill.on.worldcat.org/oclc/694393761","Catalog Record")</f>
        <v>Catalog Record</v>
      </c>
      <c r="AW2055" s="6" t="str">
        <f>HYPERLINK("http://www.worldcat.org/oclc/694393761","WorldCat Record")</f>
        <v>WorldCat Record</v>
      </c>
      <c r="AX2055" s="3" t="s">
        <v>19944</v>
      </c>
      <c r="AY2055" s="3" t="s">
        <v>19945</v>
      </c>
      <c r="AZ2055" s="3" t="s">
        <v>19946</v>
      </c>
      <c r="BA2055" s="3" t="s">
        <v>19946</v>
      </c>
      <c r="BB2055" s="3" t="s">
        <v>19947</v>
      </c>
      <c r="BC2055" s="3" t="s">
        <v>142</v>
      </c>
      <c r="BD2055" s="3" t="s">
        <v>68</v>
      </c>
      <c r="BE2055" s="3" t="s">
        <v>19948</v>
      </c>
      <c r="BF2055" s="3" t="s">
        <v>19947</v>
      </c>
      <c r="BG2055" s="3" t="s">
        <v>19949</v>
      </c>
    </row>
    <row r="2056" spans="1:59" ht="57" x14ac:dyDescent="0.45">
      <c r="A2056" s="2" t="s">
        <v>59</v>
      </c>
      <c r="B2056" s="2" t="s">
        <v>60</v>
      </c>
      <c r="C2056" s="2" t="s">
        <v>19950</v>
      </c>
      <c r="D2056" s="2" t="s">
        <v>19951</v>
      </c>
      <c r="E2056" s="2" t="s">
        <v>19952</v>
      </c>
      <c r="G2056" s="3" t="s">
        <v>62</v>
      </c>
      <c r="I2056" s="3" t="s">
        <v>62</v>
      </c>
      <c r="J2056" s="3" t="s">
        <v>62</v>
      </c>
      <c r="K2056" s="3" t="s">
        <v>63</v>
      </c>
      <c r="L2056" s="2" t="s">
        <v>18013</v>
      </c>
      <c r="M2056" s="2" t="s">
        <v>19953</v>
      </c>
      <c r="N2056" s="3" t="s">
        <v>1059</v>
      </c>
      <c r="P2056" s="3" t="s">
        <v>65</v>
      </c>
      <c r="Q2056" s="2" t="s">
        <v>19954</v>
      </c>
      <c r="R2056" s="3" t="s">
        <v>66</v>
      </c>
      <c r="S2056" s="4">
        <v>8</v>
      </c>
      <c r="T2056" s="4">
        <v>8</v>
      </c>
      <c r="U2056" s="5" t="s">
        <v>18380</v>
      </c>
      <c r="V2056" s="5" t="s">
        <v>18380</v>
      </c>
      <c r="W2056" s="5" t="s">
        <v>67</v>
      </c>
      <c r="X2056" s="5" t="s">
        <v>67</v>
      </c>
      <c r="Y2056" s="4">
        <v>307</v>
      </c>
      <c r="Z2056" s="4">
        <v>29</v>
      </c>
      <c r="AA2056" s="4">
        <v>32</v>
      </c>
      <c r="AB2056" s="4">
        <v>2</v>
      </c>
      <c r="AC2056" s="4">
        <v>5</v>
      </c>
      <c r="AD2056" s="4">
        <v>92</v>
      </c>
      <c r="AE2056" s="4">
        <v>92</v>
      </c>
      <c r="AF2056" s="4">
        <v>1</v>
      </c>
      <c r="AG2056" s="4">
        <v>1</v>
      </c>
      <c r="AH2056" s="4">
        <v>81</v>
      </c>
      <c r="AI2056" s="4">
        <v>81</v>
      </c>
      <c r="AJ2056" s="4">
        <v>16</v>
      </c>
      <c r="AK2056" s="4">
        <v>16</v>
      </c>
      <c r="AL2056" s="4">
        <v>42</v>
      </c>
      <c r="AM2056" s="4">
        <v>42</v>
      </c>
      <c r="AN2056" s="4">
        <v>0</v>
      </c>
      <c r="AO2056" s="4">
        <v>0</v>
      </c>
      <c r="AP2056" s="4">
        <v>21</v>
      </c>
      <c r="AQ2056" s="4">
        <v>21</v>
      </c>
      <c r="AR2056" s="3" t="s">
        <v>62</v>
      </c>
      <c r="AS2056" s="3" t="s">
        <v>62</v>
      </c>
      <c r="AT2056" s="3" t="s">
        <v>61</v>
      </c>
      <c r="AU2056" s="6" t="str">
        <f>HYPERLINK("http://catalog.hathitrust.org/Record/005221477","HathiTrust Record")</f>
        <v>HathiTrust Record</v>
      </c>
      <c r="AV2056" s="6" t="str">
        <f>HYPERLINK("http://mcgill.on.worldcat.org/oclc/63125878","Catalog Record")</f>
        <v>Catalog Record</v>
      </c>
      <c r="AW2056" s="6" t="str">
        <f>HYPERLINK("http://www.worldcat.org/oclc/63125878","WorldCat Record")</f>
        <v>WorldCat Record</v>
      </c>
      <c r="AX2056" s="3" t="s">
        <v>19955</v>
      </c>
      <c r="AY2056" s="3" t="s">
        <v>19956</v>
      </c>
      <c r="AZ2056" s="3" t="s">
        <v>19957</v>
      </c>
      <c r="BA2056" s="3" t="s">
        <v>19957</v>
      </c>
      <c r="BB2056" s="3" t="s">
        <v>19958</v>
      </c>
      <c r="BC2056" s="3" t="s">
        <v>142</v>
      </c>
      <c r="BD2056" s="3" t="s">
        <v>68</v>
      </c>
      <c r="BE2056" s="3" t="s">
        <v>19959</v>
      </c>
      <c r="BF2056" s="3" t="s">
        <v>19958</v>
      </c>
      <c r="BG2056" s="3" t="s">
        <v>19960</v>
      </c>
    </row>
    <row r="2057" spans="1:59" ht="57" x14ac:dyDescent="0.45">
      <c r="A2057" s="2" t="s">
        <v>59</v>
      </c>
      <c r="B2057" s="2" t="s">
        <v>60</v>
      </c>
      <c r="C2057" s="2" t="s">
        <v>19961</v>
      </c>
      <c r="D2057" s="2" t="s">
        <v>19962</v>
      </c>
      <c r="E2057" s="2" t="s">
        <v>19963</v>
      </c>
      <c r="G2057" s="3" t="s">
        <v>62</v>
      </c>
      <c r="I2057" s="3" t="s">
        <v>62</v>
      </c>
      <c r="J2057" s="3" t="s">
        <v>62</v>
      </c>
      <c r="K2057" s="3" t="s">
        <v>63</v>
      </c>
      <c r="M2057" s="2" t="s">
        <v>19306</v>
      </c>
      <c r="N2057" s="3" t="s">
        <v>918</v>
      </c>
      <c r="P2057" s="3" t="s">
        <v>65</v>
      </c>
      <c r="R2057" s="3" t="s">
        <v>66</v>
      </c>
      <c r="S2057" s="4">
        <v>16</v>
      </c>
      <c r="T2057" s="4">
        <v>16</v>
      </c>
      <c r="U2057" s="5" t="s">
        <v>19964</v>
      </c>
      <c r="V2057" s="5" t="s">
        <v>19964</v>
      </c>
      <c r="W2057" s="5" t="s">
        <v>67</v>
      </c>
      <c r="X2057" s="5" t="s">
        <v>67</v>
      </c>
      <c r="Y2057" s="4">
        <v>347</v>
      </c>
      <c r="Z2057" s="4">
        <v>23</v>
      </c>
      <c r="AA2057" s="4">
        <v>25</v>
      </c>
      <c r="AB2057" s="4">
        <v>1</v>
      </c>
      <c r="AC2057" s="4">
        <v>3</v>
      </c>
      <c r="AD2057" s="4">
        <v>62</v>
      </c>
      <c r="AE2057" s="4">
        <v>64</v>
      </c>
      <c r="AF2057" s="4">
        <v>0</v>
      </c>
      <c r="AG2057" s="4">
        <v>2</v>
      </c>
      <c r="AH2057" s="4">
        <v>51</v>
      </c>
      <c r="AI2057" s="4">
        <v>52</v>
      </c>
      <c r="AJ2057" s="4">
        <v>11</v>
      </c>
      <c r="AK2057" s="4">
        <v>13</v>
      </c>
      <c r="AL2057" s="4">
        <v>25</v>
      </c>
      <c r="AM2057" s="4">
        <v>25</v>
      </c>
      <c r="AN2057" s="4">
        <v>0</v>
      </c>
      <c r="AO2057" s="4">
        <v>0</v>
      </c>
      <c r="AP2057" s="4">
        <v>16</v>
      </c>
      <c r="AQ2057" s="4">
        <v>17</v>
      </c>
      <c r="AR2057" s="3" t="s">
        <v>62</v>
      </c>
      <c r="AS2057" s="3" t="s">
        <v>62</v>
      </c>
      <c r="AT2057" s="3" t="s">
        <v>62</v>
      </c>
      <c r="AV2057" s="6" t="str">
        <f>HYPERLINK("http://mcgill.on.worldcat.org/oclc/51818525","Catalog Record")</f>
        <v>Catalog Record</v>
      </c>
      <c r="AW2057" s="6" t="str">
        <f>HYPERLINK("http://www.worldcat.org/oclc/51818525","WorldCat Record")</f>
        <v>WorldCat Record</v>
      </c>
      <c r="AX2057" s="3" t="s">
        <v>19965</v>
      </c>
      <c r="AY2057" s="3" t="s">
        <v>19966</v>
      </c>
      <c r="AZ2057" s="3" t="s">
        <v>19967</v>
      </c>
      <c r="BA2057" s="3" t="s">
        <v>19967</v>
      </c>
      <c r="BB2057" s="3" t="s">
        <v>19968</v>
      </c>
      <c r="BC2057" s="3" t="s">
        <v>142</v>
      </c>
      <c r="BD2057" s="3" t="s">
        <v>68</v>
      </c>
      <c r="BE2057" s="3" t="s">
        <v>19969</v>
      </c>
      <c r="BF2057" s="3" t="s">
        <v>19968</v>
      </c>
      <c r="BG2057" s="3" t="s">
        <v>19970</v>
      </c>
    </row>
    <row r="2058" spans="1:59" ht="57" x14ac:dyDescent="0.45">
      <c r="A2058" s="2" t="s">
        <v>59</v>
      </c>
      <c r="B2058" s="2" t="s">
        <v>60</v>
      </c>
      <c r="C2058" s="2" t="s">
        <v>19971</v>
      </c>
      <c r="D2058" s="2" t="s">
        <v>19972</v>
      </c>
      <c r="E2058" s="2" t="s">
        <v>19973</v>
      </c>
      <c r="G2058" s="3" t="s">
        <v>62</v>
      </c>
      <c r="I2058" s="3" t="s">
        <v>62</v>
      </c>
      <c r="J2058" s="3" t="s">
        <v>62</v>
      </c>
      <c r="K2058" s="3" t="s">
        <v>63</v>
      </c>
      <c r="L2058" s="2" t="s">
        <v>19974</v>
      </c>
      <c r="M2058" s="2" t="s">
        <v>19975</v>
      </c>
      <c r="N2058" s="3" t="s">
        <v>116</v>
      </c>
      <c r="P2058" s="3" t="s">
        <v>65</v>
      </c>
      <c r="R2058" s="3" t="s">
        <v>66</v>
      </c>
      <c r="S2058" s="4">
        <v>3</v>
      </c>
      <c r="T2058" s="4">
        <v>3</v>
      </c>
      <c r="U2058" s="5" t="s">
        <v>19976</v>
      </c>
      <c r="V2058" s="5" t="s">
        <v>19976</v>
      </c>
      <c r="W2058" s="5" t="s">
        <v>67</v>
      </c>
      <c r="X2058" s="5" t="s">
        <v>67</v>
      </c>
      <c r="Y2058" s="4">
        <v>339</v>
      </c>
      <c r="Z2058" s="4">
        <v>35</v>
      </c>
      <c r="AA2058" s="4">
        <v>70</v>
      </c>
      <c r="AB2058" s="4">
        <v>3</v>
      </c>
      <c r="AC2058" s="4">
        <v>10</v>
      </c>
      <c r="AD2058" s="4">
        <v>76</v>
      </c>
      <c r="AE2058" s="4">
        <v>99</v>
      </c>
      <c r="AF2058" s="4">
        <v>2</v>
      </c>
      <c r="AG2058" s="4">
        <v>6</v>
      </c>
      <c r="AH2058" s="4">
        <v>61</v>
      </c>
      <c r="AI2058" s="4">
        <v>73</v>
      </c>
      <c r="AJ2058" s="4">
        <v>16</v>
      </c>
      <c r="AK2058" s="4">
        <v>24</v>
      </c>
      <c r="AL2058" s="4">
        <v>32</v>
      </c>
      <c r="AM2058" s="4">
        <v>38</v>
      </c>
      <c r="AN2058" s="4">
        <v>0</v>
      </c>
      <c r="AO2058" s="4">
        <v>0</v>
      </c>
      <c r="AP2058" s="4">
        <v>23</v>
      </c>
      <c r="AQ2058" s="4">
        <v>34</v>
      </c>
      <c r="AR2058" s="3" t="s">
        <v>62</v>
      </c>
      <c r="AS2058" s="3" t="s">
        <v>62</v>
      </c>
      <c r="AT2058" s="3" t="s">
        <v>62</v>
      </c>
      <c r="AV2058" s="6" t="str">
        <f>HYPERLINK("http://mcgill.on.worldcat.org/oclc/827267058","Catalog Record")</f>
        <v>Catalog Record</v>
      </c>
      <c r="AW2058" s="6" t="str">
        <f>HYPERLINK("http://www.worldcat.org/oclc/827267058","WorldCat Record")</f>
        <v>WorldCat Record</v>
      </c>
      <c r="AX2058" s="3" t="s">
        <v>19977</v>
      </c>
      <c r="AY2058" s="3" t="s">
        <v>19978</v>
      </c>
      <c r="AZ2058" s="3" t="s">
        <v>19979</v>
      </c>
      <c r="BA2058" s="3" t="s">
        <v>19979</v>
      </c>
      <c r="BB2058" s="3" t="s">
        <v>19980</v>
      </c>
      <c r="BC2058" s="3" t="s">
        <v>142</v>
      </c>
      <c r="BD2058" s="3" t="s">
        <v>68</v>
      </c>
      <c r="BE2058" s="3" t="s">
        <v>19981</v>
      </c>
      <c r="BF2058" s="3" t="s">
        <v>19980</v>
      </c>
      <c r="BG2058" s="3" t="s">
        <v>19982</v>
      </c>
    </row>
    <row r="2059" spans="1:59" ht="57" x14ac:dyDescent="0.45">
      <c r="A2059" s="2" t="s">
        <v>59</v>
      </c>
      <c r="B2059" s="2" t="s">
        <v>60</v>
      </c>
      <c r="C2059" s="2" t="s">
        <v>19983</v>
      </c>
      <c r="D2059" s="2" t="s">
        <v>19984</v>
      </c>
      <c r="E2059" s="2" t="s">
        <v>19985</v>
      </c>
      <c r="G2059" s="3" t="s">
        <v>62</v>
      </c>
      <c r="I2059" s="3" t="s">
        <v>62</v>
      </c>
      <c r="J2059" s="3" t="s">
        <v>61</v>
      </c>
      <c r="K2059" s="3" t="s">
        <v>63</v>
      </c>
      <c r="M2059" s="2" t="s">
        <v>19986</v>
      </c>
      <c r="N2059" s="3" t="s">
        <v>542</v>
      </c>
      <c r="P2059" s="3" t="s">
        <v>65</v>
      </c>
      <c r="Q2059" s="2" t="s">
        <v>19987</v>
      </c>
      <c r="R2059" s="3" t="s">
        <v>66</v>
      </c>
      <c r="S2059" s="4">
        <v>4</v>
      </c>
      <c r="T2059" s="4">
        <v>4</v>
      </c>
      <c r="U2059" s="5" t="s">
        <v>19988</v>
      </c>
      <c r="V2059" s="5" t="s">
        <v>19988</v>
      </c>
      <c r="W2059" s="5" t="s">
        <v>67</v>
      </c>
      <c r="X2059" s="5" t="s">
        <v>67</v>
      </c>
      <c r="Y2059" s="4">
        <v>225</v>
      </c>
      <c r="Z2059" s="4">
        <v>17</v>
      </c>
      <c r="AA2059" s="4">
        <v>111</v>
      </c>
      <c r="AB2059" s="4">
        <v>1</v>
      </c>
      <c r="AC2059" s="4">
        <v>17</v>
      </c>
      <c r="AD2059" s="4">
        <v>57</v>
      </c>
      <c r="AE2059" s="4">
        <v>142</v>
      </c>
      <c r="AF2059" s="4">
        <v>0</v>
      </c>
      <c r="AG2059" s="4">
        <v>8</v>
      </c>
      <c r="AH2059" s="4">
        <v>50</v>
      </c>
      <c r="AI2059" s="4">
        <v>100</v>
      </c>
      <c r="AJ2059" s="4">
        <v>12</v>
      </c>
      <c r="AK2059" s="4">
        <v>25</v>
      </c>
      <c r="AL2059" s="4">
        <v>30</v>
      </c>
      <c r="AM2059" s="4">
        <v>53</v>
      </c>
      <c r="AN2059" s="4">
        <v>0</v>
      </c>
      <c r="AO2059" s="4">
        <v>0</v>
      </c>
      <c r="AP2059" s="4">
        <v>13</v>
      </c>
      <c r="AQ2059" s="4">
        <v>49</v>
      </c>
      <c r="AR2059" s="3" t="s">
        <v>62</v>
      </c>
      <c r="AS2059" s="3" t="s">
        <v>62</v>
      </c>
      <c r="AT2059" s="3" t="s">
        <v>61</v>
      </c>
      <c r="AU2059" s="6" t="str">
        <f>HYPERLINK("http://catalog.hathitrust.org/Record/004200131","HathiTrust Record")</f>
        <v>HathiTrust Record</v>
      </c>
      <c r="AV2059" s="6" t="str">
        <f>HYPERLINK("http://mcgill.on.worldcat.org/oclc/46240391","Catalog Record")</f>
        <v>Catalog Record</v>
      </c>
      <c r="AW2059" s="6" t="str">
        <f>HYPERLINK("http://www.worldcat.org/oclc/46240391","WorldCat Record")</f>
        <v>WorldCat Record</v>
      </c>
      <c r="AX2059" s="3" t="s">
        <v>9614</v>
      </c>
      <c r="AY2059" s="3" t="s">
        <v>19989</v>
      </c>
      <c r="AZ2059" s="3" t="s">
        <v>19990</v>
      </c>
      <c r="BA2059" s="3" t="s">
        <v>19990</v>
      </c>
      <c r="BB2059" s="3" t="s">
        <v>19991</v>
      </c>
      <c r="BC2059" s="3" t="s">
        <v>142</v>
      </c>
      <c r="BD2059" s="3" t="s">
        <v>68</v>
      </c>
      <c r="BE2059" s="3" t="s">
        <v>19992</v>
      </c>
      <c r="BF2059" s="3" t="s">
        <v>19991</v>
      </c>
      <c r="BG2059" s="3" t="s">
        <v>19993</v>
      </c>
    </row>
    <row r="2060" spans="1:59" ht="57" x14ac:dyDescent="0.45">
      <c r="A2060" s="2" t="s">
        <v>59</v>
      </c>
      <c r="B2060" s="2" t="s">
        <v>60</v>
      </c>
      <c r="C2060" s="2" t="s">
        <v>19994</v>
      </c>
      <c r="D2060" s="2" t="s">
        <v>19995</v>
      </c>
      <c r="E2060" s="2" t="s">
        <v>19996</v>
      </c>
      <c r="G2060" s="3" t="s">
        <v>62</v>
      </c>
      <c r="I2060" s="3" t="s">
        <v>62</v>
      </c>
      <c r="J2060" s="3" t="s">
        <v>62</v>
      </c>
      <c r="K2060" s="3" t="s">
        <v>63</v>
      </c>
      <c r="M2060" s="2" t="s">
        <v>16492</v>
      </c>
      <c r="N2060" s="3" t="s">
        <v>149</v>
      </c>
      <c r="P2060" s="3" t="s">
        <v>65</v>
      </c>
      <c r="Q2060" s="2" t="s">
        <v>19997</v>
      </c>
      <c r="R2060" s="3" t="s">
        <v>66</v>
      </c>
      <c r="S2060" s="4">
        <v>7</v>
      </c>
      <c r="T2060" s="4">
        <v>7</v>
      </c>
      <c r="U2060" s="5" t="s">
        <v>16130</v>
      </c>
      <c r="V2060" s="5" t="s">
        <v>16130</v>
      </c>
      <c r="W2060" s="5" t="s">
        <v>67</v>
      </c>
      <c r="X2060" s="5" t="s">
        <v>67</v>
      </c>
      <c r="Y2060" s="4">
        <v>429</v>
      </c>
      <c r="Z2060" s="4">
        <v>36</v>
      </c>
      <c r="AA2060" s="4">
        <v>51</v>
      </c>
      <c r="AB2060" s="4">
        <v>2</v>
      </c>
      <c r="AC2060" s="4">
        <v>7</v>
      </c>
      <c r="AD2060" s="4">
        <v>109</v>
      </c>
      <c r="AE2060" s="4">
        <v>126</v>
      </c>
      <c r="AF2060" s="4">
        <v>1</v>
      </c>
      <c r="AG2060" s="4">
        <v>2</v>
      </c>
      <c r="AH2060" s="4">
        <v>93</v>
      </c>
      <c r="AI2060" s="4">
        <v>104</v>
      </c>
      <c r="AJ2060" s="4">
        <v>16</v>
      </c>
      <c r="AK2060" s="4">
        <v>19</v>
      </c>
      <c r="AL2060" s="4">
        <v>49</v>
      </c>
      <c r="AM2060" s="4">
        <v>55</v>
      </c>
      <c r="AN2060" s="4">
        <v>0</v>
      </c>
      <c r="AO2060" s="4">
        <v>0</v>
      </c>
      <c r="AP2060" s="4">
        <v>25</v>
      </c>
      <c r="AQ2060" s="4">
        <v>30</v>
      </c>
      <c r="AR2060" s="3" t="s">
        <v>62</v>
      </c>
      <c r="AS2060" s="3" t="s">
        <v>62</v>
      </c>
      <c r="AT2060" s="3" t="s">
        <v>62</v>
      </c>
      <c r="AV2060" s="6" t="str">
        <f>HYPERLINK("http://mcgill.on.worldcat.org/oclc/351318485","Catalog Record")</f>
        <v>Catalog Record</v>
      </c>
      <c r="AW2060" s="6" t="str">
        <f>HYPERLINK("http://www.worldcat.org/oclc/351318485","WorldCat Record")</f>
        <v>WorldCat Record</v>
      </c>
      <c r="AX2060" s="3" t="s">
        <v>19998</v>
      </c>
      <c r="AY2060" s="3" t="s">
        <v>19999</v>
      </c>
      <c r="AZ2060" s="3" t="s">
        <v>20000</v>
      </c>
      <c r="BA2060" s="3" t="s">
        <v>20000</v>
      </c>
      <c r="BB2060" s="3" t="s">
        <v>20001</v>
      </c>
      <c r="BC2060" s="3" t="s">
        <v>142</v>
      </c>
      <c r="BD2060" s="3" t="s">
        <v>68</v>
      </c>
      <c r="BE2060" s="3" t="s">
        <v>20002</v>
      </c>
      <c r="BF2060" s="3" t="s">
        <v>20001</v>
      </c>
      <c r="BG2060" s="3" t="s">
        <v>20003</v>
      </c>
    </row>
    <row r="2061" spans="1:59" ht="57" x14ac:dyDescent="0.45">
      <c r="A2061" s="2" t="s">
        <v>59</v>
      </c>
      <c r="B2061" s="2" t="s">
        <v>60</v>
      </c>
      <c r="C2061" s="2" t="s">
        <v>20004</v>
      </c>
      <c r="D2061" s="2" t="s">
        <v>20005</v>
      </c>
      <c r="E2061" s="2" t="s">
        <v>20006</v>
      </c>
      <c r="G2061" s="3" t="s">
        <v>62</v>
      </c>
      <c r="I2061" s="3" t="s">
        <v>62</v>
      </c>
      <c r="J2061" s="3" t="s">
        <v>62</v>
      </c>
      <c r="K2061" s="3" t="s">
        <v>63</v>
      </c>
      <c r="M2061" s="2" t="s">
        <v>20007</v>
      </c>
      <c r="N2061" s="3" t="s">
        <v>894</v>
      </c>
      <c r="P2061" s="3" t="s">
        <v>110</v>
      </c>
      <c r="Q2061" s="2" t="s">
        <v>20008</v>
      </c>
      <c r="R2061" s="3" t="s">
        <v>66</v>
      </c>
      <c r="S2061" s="4">
        <v>1</v>
      </c>
      <c r="T2061" s="4">
        <v>1</v>
      </c>
      <c r="U2061" s="5" t="s">
        <v>20009</v>
      </c>
      <c r="V2061" s="5" t="s">
        <v>20009</v>
      </c>
      <c r="W2061" s="5" t="s">
        <v>67</v>
      </c>
      <c r="X2061" s="5" t="s">
        <v>67</v>
      </c>
      <c r="Y2061" s="4">
        <v>20</v>
      </c>
      <c r="Z2061" s="4">
        <v>4</v>
      </c>
      <c r="AA2061" s="4">
        <v>68</v>
      </c>
      <c r="AB2061" s="4">
        <v>1</v>
      </c>
      <c r="AC2061" s="4">
        <v>18</v>
      </c>
      <c r="AD2061" s="4">
        <v>10</v>
      </c>
      <c r="AE2061" s="4">
        <v>53</v>
      </c>
      <c r="AF2061" s="4">
        <v>0</v>
      </c>
      <c r="AG2061" s="4">
        <v>7</v>
      </c>
      <c r="AH2061" s="4">
        <v>10</v>
      </c>
      <c r="AI2061" s="4">
        <v>27</v>
      </c>
      <c r="AJ2061" s="4">
        <v>2</v>
      </c>
      <c r="AK2061" s="4">
        <v>19</v>
      </c>
      <c r="AL2061" s="4">
        <v>6</v>
      </c>
      <c r="AM2061" s="4">
        <v>13</v>
      </c>
      <c r="AN2061" s="4">
        <v>0</v>
      </c>
      <c r="AO2061" s="4">
        <v>0</v>
      </c>
      <c r="AP2061" s="4">
        <v>3</v>
      </c>
      <c r="AQ2061" s="4">
        <v>33</v>
      </c>
      <c r="AR2061" s="3" t="s">
        <v>61</v>
      </c>
      <c r="AS2061" s="3" t="s">
        <v>62</v>
      </c>
      <c r="AT2061" s="3" t="s">
        <v>62</v>
      </c>
      <c r="AV2061" s="6" t="str">
        <f>HYPERLINK("http://mcgill.on.worldcat.org/oclc/432991514","Catalog Record")</f>
        <v>Catalog Record</v>
      </c>
      <c r="AW2061" s="6" t="str">
        <f>HYPERLINK("http://www.worldcat.org/oclc/432991514","WorldCat Record")</f>
        <v>WorldCat Record</v>
      </c>
      <c r="AX2061" s="3" t="s">
        <v>20010</v>
      </c>
      <c r="AY2061" s="3" t="s">
        <v>20011</v>
      </c>
      <c r="AZ2061" s="3" t="s">
        <v>20012</v>
      </c>
      <c r="BA2061" s="3" t="s">
        <v>20012</v>
      </c>
      <c r="BB2061" s="3" t="s">
        <v>20013</v>
      </c>
      <c r="BC2061" s="3" t="s">
        <v>142</v>
      </c>
      <c r="BD2061" s="3" t="s">
        <v>68</v>
      </c>
      <c r="BE2061" s="3" t="s">
        <v>20014</v>
      </c>
      <c r="BF2061" s="3" t="s">
        <v>20013</v>
      </c>
      <c r="BG2061" s="3" t="s">
        <v>20015</v>
      </c>
    </row>
    <row r="2062" spans="1:59" ht="57" x14ac:dyDescent="0.45">
      <c r="A2062" s="2" t="s">
        <v>59</v>
      </c>
      <c r="B2062" s="2" t="s">
        <v>60</v>
      </c>
      <c r="C2062" s="2" t="s">
        <v>20016</v>
      </c>
      <c r="D2062" s="2" t="s">
        <v>20017</v>
      </c>
      <c r="E2062" s="2" t="s">
        <v>20018</v>
      </c>
      <c r="G2062" s="3" t="s">
        <v>62</v>
      </c>
      <c r="I2062" s="3" t="s">
        <v>62</v>
      </c>
      <c r="J2062" s="3" t="s">
        <v>62</v>
      </c>
      <c r="K2062" s="3" t="s">
        <v>63</v>
      </c>
      <c r="M2062" s="2" t="s">
        <v>1781</v>
      </c>
      <c r="N2062" s="3" t="s">
        <v>149</v>
      </c>
      <c r="P2062" s="3" t="s">
        <v>65</v>
      </c>
      <c r="R2062" s="3" t="s">
        <v>66</v>
      </c>
      <c r="S2062" s="4">
        <v>0</v>
      </c>
      <c r="T2062" s="4">
        <v>0</v>
      </c>
      <c r="W2062" s="5" t="s">
        <v>67</v>
      </c>
      <c r="X2062" s="5" t="s">
        <v>67</v>
      </c>
      <c r="Y2062" s="4">
        <v>147</v>
      </c>
      <c r="Z2062" s="4">
        <v>16</v>
      </c>
      <c r="AA2062" s="4">
        <v>90</v>
      </c>
      <c r="AB2062" s="4">
        <v>1</v>
      </c>
      <c r="AC2062" s="4">
        <v>14</v>
      </c>
      <c r="AD2062" s="4">
        <v>60</v>
      </c>
      <c r="AE2062" s="4">
        <v>127</v>
      </c>
      <c r="AF2062" s="4">
        <v>0</v>
      </c>
      <c r="AG2062" s="4">
        <v>8</v>
      </c>
      <c r="AH2062" s="4">
        <v>53</v>
      </c>
      <c r="AI2062" s="4">
        <v>90</v>
      </c>
      <c r="AJ2062" s="4">
        <v>11</v>
      </c>
      <c r="AK2062" s="4">
        <v>23</v>
      </c>
      <c r="AL2062" s="4">
        <v>31</v>
      </c>
      <c r="AM2062" s="4">
        <v>43</v>
      </c>
      <c r="AN2062" s="4">
        <v>0</v>
      </c>
      <c r="AO2062" s="4">
        <v>0</v>
      </c>
      <c r="AP2062" s="4">
        <v>13</v>
      </c>
      <c r="AQ2062" s="4">
        <v>45</v>
      </c>
      <c r="AR2062" s="3" t="s">
        <v>62</v>
      </c>
      <c r="AS2062" s="3" t="s">
        <v>62</v>
      </c>
      <c r="AT2062" s="3" t="s">
        <v>62</v>
      </c>
      <c r="AV2062" s="6" t="str">
        <f>HYPERLINK("http://mcgill.on.worldcat.org/oclc/277203896","Catalog Record")</f>
        <v>Catalog Record</v>
      </c>
      <c r="AW2062" s="6" t="str">
        <f>HYPERLINK("http://www.worldcat.org/oclc/277203896","WorldCat Record")</f>
        <v>WorldCat Record</v>
      </c>
      <c r="AX2062" s="3" t="s">
        <v>20019</v>
      </c>
      <c r="AY2062" s="3" t="s">
        <v>20020</v>
      </c>
      <c r="AZ2062" s="3" t="s">
        <v>20021</v>
      </c>
      <c r="BA2062" s="3" t="s">
        <v>20021</v>
      </c>
      <c r="BB2062" s="3" t="s">
        <v>20022</v>
      </c>
      <c r="BC2062" s="3" t="s">
        <v>142</v>
      </c>
      <c r="BD2062" s="3" t="s">
        <v>68</v>
      </c>
      <c r="BE2062" s="3" t="s">
        <v>20023</v>
      </c>
      <c r="BF2062" s="3" t="s">
        <v>20022</v>
      </c>
      <c r="BG2062" s="3" t="s">
        <v>20024</v>
      </c>
    </row>
    <row r="2063" spans="1:59" ht="57" x14ac:dyDescent="0.45">
      <c r="A2063" s="2" t="s">
        <v>59</v>
      </c>
      <c r="B2063" s="2" t="s">
        <v>60</v>
      </c>
      <c r="C2063" s="2" t="s">
        <v>20025</v>
      </c>
      <c r="D2063" s="2" t="s">
        <v>20026</v>
      </c>
      <c r="E2063" s="2" t="s">
        <v>20027</v>
      </c>
      <c r="G2063" s="3" t="s">
        <v>62</v>
      </c>
      <c r="I2063" s="3" t="s">
        <v>62</v>
      </c>
      <c r="J2063" s="3" t="s">
        <v>62</v>
      </c>
      <c r="K2063" s="3" t="s">
        <v>63</v>
      </c>
      <c r="M2063" s="2" t="s">
        <v>20028</v>
      </c>
      <c r="N2063" s="3" t="s">
        <v>1155</v>
      </c>
      <c r="P2063" s="3" t="s">
        <v>65</v>
      </c>
      <c r="Q2063" s="2" t="s">
        <v>3014</v>
      </c>
      <c r="R2063" s="3" t="s">
        <v>66</v>
      </c>
      <c r="S2063" s="4">
        <v>2</v>
      </c>
      <c r="T2063" s="4">
        <v>2</v>
      </c>
      <c r="U2063" s="5" t="s">
        <v>20029</v>
      </c>
      <c r="V2063" s="5" t="s">
        <v>20029</v>
      </c>
      <c r="W2063" s="5" t="s">
        <v>67</v>
      </c>
      <c r="X2063" s="5" t="s">
        <v>67</v>
      </c>
      <c r="Y2063" s="4">
        <v>111</v>
      </c>
      <c r="Z2063" s="4">
        <v>9</v>
      </c>
      <c r="AA2063" s="4">
        <v>48</v>
      </c>
      <c r="AB2063" s="4">
        <v>1</v>
      </c>
      <c r="AC2063" s="4">
        <v>11</v>
      </c>
      <c r="AD2063" s="4">
        <v>27</v>
      </c>
      <c r="AE2063" s="4">
        <v>94</v>
      </c>
      <c r="AF2063" s="4">
        <v>0</v>
      </c>
      <c r="AG2063" s="4">
        <v>5</v>
      </c>
      <c r="AH2063" s="4">
        <v>21</v>
      </c>
      <c r="AI2063" s="4">
        <v>71</v>
      </c>
      <c r="AJ2063" s="4">
        <v>7</v>
      </c>
      <c r="AK2063" s="4">
        <v>19</v>
      </c>
      <c r="AL2063" s="4">
        <v>12</v>
      </c>
      <c r="AM2063" s="4">
        <v>37</v>
      </c>
      <c r="AN2063" s="4">
        <v>0</v>
      </c>
      <c r="AO2063" s="4">
        <v>0</v>
      </c>
      <c r="AP2063" s="4">
        <v>8</v>
      </c>
      <c r="AQ2063" s="4">
        <v>29</v>
      </c>
      <c r="AR2063" s="3" t="s">
        <v>62</v>
      </c>
      <c r="AS2063" s="3" t="s">
        <v>62</v>
      </c>
      <c r="AT2063" s="3" t="s">
        <v>62</v>
      </c>
      <c r="AV2063" s="6" t="str">
        <f>HYPERLINK("http://mcgill.on.worldcat.org/oclc/732967833","Catalog Record")</f>
        <v>Catalog Record</v>
      </c>
      <c r="AW2063" s="6" t="str">
        <f>HYPERLINK("http://www.worldcat.org/oclc/732967833","WorldCat Record")</f>
        <v>WorldCat Record</v>
      </c>
      <c r="AX2063" s="3" t="s">
        <v>20030</v>
      </c>
      <c r="AY2063" s="3" t="s">
        <v>20031</v>
      </c>
      <c r="AZ2063" s="3" t="s">
        <v>20032</v>
      </c>
      <c r="BA2063" s="3" t="s">
        <v>20032</v>
      </c>
      <c r="BB2063" s="3" t="s">
        <v>20033</v>
      </c>
      <c r="BC2063" s="3" t="s">
        <v>142</v>
      </c>
      <c r="BD2063" s="3" t="s">
        <v>68</v>
      </c>
      <c r="BE2063" s="3" t="s">
        <v>20034</v>
      </c>
      <c r="BF2063" s="3" t="s">
        <v>20033</v>
      </c>
      <c r="BG2063" s="3" t="s">
        <v>20035</v>
      </c>
    </row>
    <row r="2064" spans="1:59" ht="57" x14ac:dyDescent="0.45">
      <c r="A2064" s="2" t="s">
        <v>59</v>
      </c>
      <c r="B2064" s="2" t="s">
        <v>60</v>
      </c>
      <c r="C2064" s="2" t="s">
        <v>20036</v>
      </c>
      <c r="D2064" s="2" t="s">
        <v>20037</v>
      </c>
      <c r="E2064" s="2" t="s">
        <v>20038</v>
      </c>
      <c r="G2064" s="3" t="s">
        <v>62</v>
      </c>
      <c r="I2064" s="3" t="s">
        <v>62</v>
      </c>
      <c r="J2064" s="3" t="s">
        <v>62</v>
      </c>
      <c r="K2064" s="3" t="s">
        <v>63</v>
      </c>
      <c r="L2064" s="2" t="s">
        <v>20039</v>
      </c>
      <c r="M2064" s="2" t="s">
        <v>18105</v>
      </c>
      <c r="N2064" s="3" t="s">
        <v>1465</v>
      </c>
      <c r="P2064" s="3" t="s">
        <v>65</v>
      </c>
      <c r="R2064" s="3" t="s">
        <v>66</v>
      </c>
      <c r="S2064" s="4">
        <v>2</v>
      </c>
      <c r="T2064" s="4">
        <v>2</v>
      </c>
      <c r="U2064" s="5" t="s">
        <v>1843</v>
      </c>
      <c r="V2064" s="5" t="s">
        <v>1843</v>
      </c>
      <c r="W2064" s="5" t="s">
        <v>67</v>
      </c>
      <c r="X2064" s="5" t="s">
        <v>67</v>
      </c>
      <c r="Y2064" s="4">
        <v>170</v>
      </c>
      <c r="Z2064" s="4">
        <v>20</v>
      </c>
      <c r="AA2064" s="4">
        <v>29</v>
      </c>
      <c r="AB2064" s="4">
        <v>3</v>
      </c>
      <c r="AC2064" s="4">
        <v>7</v>
      </c>
      <c r="AD2064" s="4">
        <v>75</v>
      </c>
      <c r="AE2064" s="4">
        <v>83</v>
      </c>
      <c r="AF2064" s="4">
        <v>1</v>
      </c>
      <c r="AG2064" s="4">
        <v>3</v>
      </c>
      <c r="AH2064" s="4">
        <v>65</v>
      </c>
      <c r="AI2064" s="4">
        <v>69</v>
      </c>
      <c r="AJ2064" s="4">
        <v>14</v>
      </c>
      <c r="AK2064" s="4">
        <v>17</v>
      </c>
      <c r="AL2064" s="4">
        <v>36</v>
      </c>
      <c r="AM2064" s="4">
        <v>39</v>
      </c>
      <c r="AN2064" s="4">
        <v>0</v>
      </c>
      <c r="AO2064" s="4">
        <v>0</v>
      </c>
      <c r="AP2064" s="4">
        <v>16</v>
      </c>
      <c r="AQ2064" s="4">
        <v>21</v>
      </c>
      <c r="AR2064" s="3" t="s">
        <v>62</v>
      </c>
      <c r="AS2064" s="3" t="s">
        <v>62</v>
      </c>
      <c r="AT2064" s="3" t="s">
        <v>61</v>
      </c>
      <c r="AU2064" s="6" t="str">
        <f>HYPERLINK("http://catalog.hathitrust.org/Record/006812664","HathiTrust Record")</f>
        <v>HathiTrust Record</v>
      </c>
      <c r="AV2064" s="6" t="str">
        <f>HYPERLINK("http://mcgill.on.worldcat.org/oclc/294998518","Catalog Record")</f>
        <v>Catalog Record</v>
      </c>
      <c r="AW2064" s="6" t="str">
        <f>HYPERLINK("http://www.worldcat.org/oclc/294998518","WorldCat Record")</f>
        <v>WorldCat Record</v>
      </c>
      <c r="AX2064" s="3" t="s">
        <v>20040</v>
      </c>
      <c r="AY2064" s="3" t="s">
        <v>20041</v>
      </c>
      <c r="AZ2064" s="3" t="s">
        <v>20042</v>
      </c>
      <c r="BA2064" s="3" t="s">
        <v>20042</v>
      </c>
      <c r="BB2064" s="3" t="s">
        <v>20043</v>
      </c>
      <c r="BC2064" s="3" t="s">
        <v>142</v>
      </c>
      <c r="BD2064" s="3" t="s">
        <v>68</v>
      </c>
      <c r="BE2064" s="3" t="s">
        <v>20044</v>
      </c>
      <c r="BF2064" s="3" t="s">
        <v>20043</v>
      </c>
      <c r="BG2064" s="3" t="s">
        <v>20045</v>
      </c>
    </row>
    <row r="2065" spans="1:59" ht="57" x14ac:dyDescent="0.45">
      <c r="A2065" s="2" t="s">
        <v>59</v>
      </c>
      <c r="B2065" s="2" t="s">
        <v>60</v>
      </c>
      <c r="C2065" s="2" t="s">
        <v>20046</v>
      </c>
      <c r="D2065" s="2" t="s">
        <v>20047</v>
      </c>
      <c r="E2065" s="2" t="s">
        <v>20048</v>
      </c>
      <c r="G2065" s="3" t="s">
        <v>62</v>
      </c>
      <c r="I2065" s="3" t="s">
        <v>62</v>
      </c>
      <c r="J2065" s="3" t="s">
        <v>62</v>
      </c>
      <c r="K2065" s="3" t="s">
        <v>63</v>
      </c>
      <c r="L2065" s="2" t="s">
        <v>20049</v>
      </c>
      <c r="M2065" s="2" t="s">
        <v>20050</v>
      </c>
      <c r="N2065" s="3" t="s">
        <v>116</v>
      </c>
      <c r="P2065" s="3" t="s">
        <v>65</v>
      </c>
      <c r="R2065" s="3" t="s">
        <v>66</v>
      </c>
      <c r="S2065" s="4">
        <v>1</v>
      </c>
      <c r="T2065" s="4">
        <v>1</v>
      </c>
      <c r="U2065" s="5" t="s">
        <v>15214</v>
      </c>
      <c r="V2065" s="5" t="s">
        <v>15214</v>
      </c>
      <c r="W2065" s="5" t="s">
        <v>67</v>
      </c>
      <c r="X2065" s="5" t="s">
        <v>67</v>
      </c>
      <c r="Y2065" s="4">
        <v>246</v>
      </c>
      <c r="Z2065" s="4">
        <v>24</v>
      </c>
      <c r="AA2065" s="4">
        <v>61</v>
      </c>
      <c r="AB2065" s="4">
        <v>2</v>
      </c>
      <c r="AC2065" s="4">
        <v>9</v>
      </c>
      <c r="AD2065" s="4">
        <v>71</v>
      </c>
      <c r="AE2065" s="4">
        <v>91</v>
      </c>
      <c r="AF2065" s="4">
        <v>1</v>
      </c>
      <c r="AG2065" s="4">
        <v>4</v>
      </c>
      <c r="AH2065" s="4">
        <v>63</v>
      </c>
      <c r="AI2065" s="4">
        <v>71</v>
      </c>
      <c r="AJ2065" s="4">
        <v>14</v>
      </c>
      <c r="AK2065" s="4">
        <v>22</v>
      </c>
      <c r="AL2065" s="4">
        <v>36</v>
      </c>
      <c r="AM2065" s="4">
        <v>38</v>
      </c>
      <c r="AN2065" s="4">
        <v>0</v>
      </c>
      <c r="AO2065" s="4">
        <v>0</v>
      </c>
      <c r="AP2065" s="4">
        <v>17</v>
      </c>
      <c r="AQ2065" s="4">
        <v>29</v>
      </c>
      <c r="AR2065" s="3" t="s">
        <v>62</v>
      </c>
      <c r="AS2065" s="3" t="s">
        <v>62</v>
      </c>
      <c r="AT2065" s="3" t="s">
        <v>62</v>
      </c>
      <c r="AV2065" s="6" t="str">
        <f>HYPERLINK("http://mcgill.on.worldcat.org/oclc/795181818","Catalog Record")</f>
        <v>Catalog Record</v>
      </c>
      <c r="AW2065" s="6" t="str">
        <f>HYPERLINK("http://www.worldcat.org/oclc/795181818","WorldCat Record")</f>
        <v>WorldCat Record</v>
      </c>
      <c r="AX2065" s="3" t="s">
        <v>20051</v>
      </c>
      <c r="AY2065" s="3" t="s">
        <v>20052</v>
      </c>
      <c r="AZ2065" s="3" t="s">
        <v>20053</v>
      </c>
      <c r="BA2065" s="3" t="s">
        <v>20053</v>
      </c>
      <c r="BB2065" s="3" t="s">
        <v>20054</v>
      </c>
      <c r="BC2065" s="3" t="s">
        <v>142</v>
      </c>
      <c r="BD2065" s="3" t="s">
        <v>68</v>
      </c>
      <c r="BE2065" s="3" t="s">
        <v>20055</v>
      </c>
      <c r="BF2065" s="3" t="s">
        <v>20054</v>
      </c>
      <c r="BG2065" s="3" t="s">
        <v>20056</v>
      </c>
    </row>
    <row r="2066" spans="1:59" ht="57" x14ac:dyDescent="0.45">
      <c r="A2066" s="2" t="s">
        <v>59</v>
      </c>
      <c r="B2066" s="2" t="s">
        <v>60</v>
      </c>
      <c r="C2066" s="2" t="s">
        <v>20057</v>
      </c>
      <c r="D2066" s="2" t="s">
        <v>20058</v>
      </c>
      <c r="E2066" s="2" t="s">
        <v>20059</v>
      </c>
      <c r="G2066" s="3" t="s">
        <v>62</v>
      </c>
      <c r="I2066" s="3" t="s">
        <v>62</v>
      </c>
      <c r="J2066" s="3" t="s">
        <v>61</v>
      </c>
      <c r="K2066" s="3" t="s">
        <v>63</v>
      </c>
      <c r="L2066" s="2" t="s">
        <v>20060</v>
      </c>
      <c r="M2066" s="2" t="s">
        <v>4092</v>
      </c>
      <c r="N2066" s="3" t="s">
        <v>149</v>
      </c>
      <c r="O2066" s="2" t="s">
        <v>933</v>
      </c>
      <c r="P2066" s="3" t="s">
        <v>65</v>
      </c>
      <c r="Q2066" s="2" t="s">
        <v>4293</v>
      </c>
      <c r="R2066" s="3" t="s">
        <v>66</v>
      </c>
      <c r="S2066" s="4">
        <v>2</v>
      </c>
      <c r="T2066" s="4">
        <v>2</v>
      </c>
      <c r="U2066" s="5" t="s">
        <v>18937</v>
      </c>
      <c r="V2066" s="5" t="s">
        <v>18937</v>
      </c>
      <c r="W2066" s="5" t="s">
        <v>67</v>
      </c>
      <c r="X2066" s="5" t="s">
        <v>67</v>
      </c>
      <c r="Y2066" s="4">
        <v>182</v>
      </c>
      <c r="Z2066" s="4">
        <v>17</v>
      </c>
      <c r="AA2066" s="4">
        <v>70</v>
      </c>
      <c r="AB2066" s="4">
        <v>1</v>
      </c>
      <c r="AC2066" s="4">
        <v>17</v>
      </c>
      <c r="AD2066" s="4">
        <v>28</v>
      </c>
      <c r="AE2066" s="4">
        <v>114</v>
      </c>
      <c r="AF2066" s="4">
        <v>0</v>
      </c>
      <c r="AG2066" s="4">
        <v>8</v>
      </c>
      <c r="AH2066" s="4">
        <v>24</v>
      </c>
      <c r="AI2066" s="4">
        <v>75</v>
      </c>
      <c r="AJ2066" s="4">
        <v>7</v>
      </c>
      <c r="AK2066" s="4">
        <v>25</v>
      </c>
      <c r="AL2066" s="4">
        <v>10</v>
      </c>
      <c r="AM2066" s="4">
        <v>37</v>
      </c>
      <c r="AN2066" s="4">
        <v>0</v>
      </c>
      <c r="AO2066" s="4">
        <v>0</v>
      </c>
      <c r="AP2066" s="4">
        <v>10</v>
      </c>
      <c r="AQ2066" s="4">
        <v>49</v>
      </c>
      <c r="AR2066" s="3" t="s">
        <v>62</v>
      </c>
      <c r="AS2066" s="3" t="s">
        <v>62</v>
      </c>
      <c r="AT2066" s="3" t="s">
        <v>62</v>
      </c>
      <c r="AV2066" s="6" t="str">
        <f>HYPERLINK("http://mcgill.on.worldcat.org/oclc/318414751","Catalog Record")</f>
        <v>Catalog Record</v>
      </c>
      <c r="AW2066" s="6" t="str">
        <f>HYPERLINK("http://www.worldcat.org/oclc/318414751","WorldCat Record")</f>
        <v>WorldCat Record</v>
      </c>
      <c r="AX2066" s="3" t="s">
        <v>20061</v>
      </c>
      <c r="AY2066" s="3" t="s">
        <v>20062</v>
      </c>
      <c r="AZ2066" s="3" t="s">
        <v>20063</v>
      </c>
      <c r="BA2066" s="3" t="s">
        <v>20063</v>
      </c>
      <c r="BB2066" s="3" t="s">
        <v>20064</v>
      </c>
      <c r="BC2066" s="3" t="s">
        <v>142</v>
      </c>
      <c r="BD2066" s="3" t="s">
        <v>68</v>
      </c>
      <c r="BE2066" s="3" t="s">
        <v>20065</v>
      </c>
      <c r="BF2066" s="3" t="s">
        <v>20064</v>
      </c>
      <c r="BG2066" s="3" t="s">
        <v>20066</v>
      </c>
    </row>
    <row r="2067" spans="1:59" ht="57" x14ac:dyDescent="0.45">
      <c r="A2067" s="2" t="s">
        <v>59</v>
      </c>
      <c r="B2067" s="2" t="s">
        <v>412</v>
      </c>
      <c r="C2067" s="2" t="s">
        <v>20067</v>
      </c>
      <c r="D2067" s="2" t="s">
        <v>20068</v>
      </c>
      <c r="E2067" s="2" t="s">
        <v>20069</v>
      </c>
      <c r="G2067" s="3" t="s">
        <v>62</v>
      </c>
      <c r="I2067" s="3" t="s">
        <v>62</v>
      </c>
      <c r="J2067" s="3" t="s">
        <v>62</v>
      </c>
      <c r="K2067" s="3" t="s">
        <v>63</v>
      </c>
      <c r="L2067" s="2" t="s">
        <v>20070</v>
      </c>
      <c r="M2067" s="2" t="s">
        <v>9542</v>
      </c>
      <c r="N2067" s="3" t="s">
        <v>1155</v>
      </c>
      <c r="P2067" s="3" t="s">
        <v>65</v>
      </c>
      <c r="Q2067" s="2" t="s">
        <v>20071</v>
      </c>
      <c r="R2067" s="3" t="s">
        <v>66</v>
      </c>
      <c r="S2067" s="4">
        <v>2</v>
      </c>
      <c r="T2067" s="4">
        <v>2</v>
      </c>
      <c r="U2067" s="5" t="s">
        <v>6045</v>
      </c>
      <c r="V2067" s="5" t="s">
        <v>6045</v>
      </c>
      <c r="W2067" s="5" t="s">
        <v>67</v>
      </c>
      <c r="X2067" s="5" t="s">
        <v>67</v>
      </c>
      <c r="Y2067" s="4">
        <v>106</v>
      </c>
      <c r="Z2067" s="4">
        <v>12</v>
      </c>
      <c r="AA2067" s="4">
        <v>76</v>
      </c>
      <c r="AB2067" s="4">
        <v>1</v>
      </c>
      <c r="AC2067" s="4">
        <v>14</v>
      </c>
      <c r="AD2067" s="4">
        <v>38</v>
      </c>
      <c r="AE2067" s="4">
        <v>105</v>
      </c>
      <c r="AF2067" s="4">
        <v>0</v>
      </c>
      <c r="AG2067" s="4">
        <v>8</v>
      </c>
      <c r="AH2067" s="4">
        <v>36</v>
      </c>
      <c r="AI2067" s="4">
        <v>73</v>
      </c>
      <c r="AJ2067" s="4">
        <v>9</v>
      </c>
      <c r="AK2067" s="4">
        <v>22</v>
      </c>
      <c r="AL2067" s="4">
        <v>23</v>
      </c>
      <c r="AM2067" s="4">
        <v>39</v>
      </c>
      <c r="AN2067" s="4">
        <v>0</v>
      </c>
      <c r="AO2067" s="4">
        <v>0</v>
      </c>
      <c r="AP2067" s="4">
        <v>9</v>
      </c>
      <c r="AQ2067" s="4">
        <v>39</v>
      </c>
      <c r="AR2067" s="3" t="s">
        <v>62</v>
      </c>
      <c r="AS2067" s="3" t="s">
        <v>62</v>
      </c>
      <c r="AT2067" s="3" t="s">
        <v>62</v>
      </c>
      <c r="AV2067" s="6" t="str">
        <f>HYPERLINK("http://mcgill.on.worldcat.org/oclc/768793283","Catalog Record")</f>
        <v>Catalog Record</v>
      </c>
      <c r="AW2067" s="6" t="str">
        <f>HYPERLINK("http://www.worldcat.org/oclc/768793283","WorldCat Record")</f>
        <v>WorldCat Record</v>
      </c>
      <c r="AX2067" s="3" t="s">
        <v>20072</v>
      </c>
      <c r="AY2067" s="3" t="s">
        <v>20073</v>
      </c>
      <c r="AZ2067" s="3" t="s">
        <v>20074</v>
      </c>
      <c r="BA2067" s="3" t="s">
        <v>20074</v>
      </c>
      <c r="BB2067" s="3" t="s">
        <v>20075</v>
      </c>
      <c r="BC2067" s="3" t="s">
        <v>142</v>
      </c>
      <c r="BD2067" s="3" t="s">
        <v>68</v>
      </c>
      <c r="BE2067" s="3" t="s">
        <v>20076</v>
      </c>
      <c r="BF2067" s="3" t="s">
        <v>20075</v>
      </c>
      <c r="BG2067" s="3" t="s">
        <v>20077</v>
      </c>
    </row>
    <row r="2068" spans="1:59" ht="114" x14ac:dyDescent="0.45">
      <c r="A2068" s="2" t="s">
        <v>59</v>
      </c>
      <c r="B2068" s="2" t="s">
        <v>690</v>
      </c>
      <c r="C2068" s="2" t="s">
        <v>20078</v>
      </c>
      <c r="D2068" s="2" t="s">
        <v>20079</v>
      </c>
      <c r="E2068" s="2" t="s">
        <v>20080</v>
      </c>
      <c r="G2068" s="3" t="s">
        <v>62</v>
      </c>
      <c r="I2068" s="3" t="s">
        <v>62</v>
      </c>
      <c r="J2068" s="3" t="s">
        <v>62</v>
      </c>
      <c r="K2068" s="3" t="s">
        <v>63</v>
      </c>
      <c r="L2068" s="2" t="s">
        <v>20081</v>
      </c>
      <c r="M2068" s="2" t="s">
        <v>20082</v>
      </c>
      <c r="N2068" s="3" t="s">
        <v>167</v>
      </c>
      <c r="O2068" s="2" t="s">
        <v>696</v>
      </c>
      <c r="P2068" s="3" t="s">
        <v>697</v>
      </c>
      <c r="Q2068" s="2" t="s">
        <v>20083</v>
      </c>
      <c r="R2068" s="3" t="s">
        <v>66</v>
      </c>
      <c r="S2068" s="4">
        <v>1</v>
      </c>
      <c r="T2068" s="4">
        <v>1</v>
      </c>
      <c r="U2068" s="5" t="s">
        <v>9744</v>
      </c>
      <c r="V2068" s="5" t="s">
        <v>9744</v>
      </c>
      <c r="W2068" s="5" t="s">
        <v>67</v>
      </c>
      <c r="X2068" s="5" t="s">
        <v>67</v>
      </c>
      <c r="Y2068" s="4">
        <v>27</v>
      </c>
      <c r="Z2068" s="4">
        <v>6</v>
      </c>
      <c r="AA2068" s="4">
        <v>6</v>
      </c>
      <c r="AB2068" s="4">
        <v>1</v>
      </c>
      <c r="AC2068" s="4">
        <v>1</v>
      </c>
      <c r="AD2068" s="4">
        <v>7</v>
      </c>
      <c r="AE2068" s="4">
        <v>7</v>
      </c>
      <c r="AF2068" s="4">
        <v>0</v>
      </c>
      <c r="AG2068" s="4">
        <v>0</v>
      </c>
      <c r="AH2068" s="4">
        <v>7</v>
      </c>
      <c r="AI2068" s="4">
        <v>7</v>
      </c>
      <c r="AJ2068" s="4">
        <v>3</v>
      </c>
      <c r="AK2068" s="4">
        <v>3</v>
      </c>
      <c r="AL2068" s="4">
        <v>3</v>
      </c>
      <c r="AM2068" s="4">
        <v>3</v>
      </c>
      <c r="AN2068" s="4">
        <v>0</v>
      </c>
      <c r="AO2068" s="4">
        <v>0</v>
      </c>
      <c r="AP2068" s="4">
        <v>3</v>
      </c>
      <c r="AQ2068" s="4">
        <v>3</v>
      </c>
      <c r="AR2068" s="3" t="s">
        <v>62</v>
      </c>
      <c r="AS2068" s="3" t="s">
        <v>62</v>
      </c>
      <c r="AT2068" s="3" t="s">
        <v>62</v>
      </c>
      <c r="AV2068" s="6" t="str">
        <f>HYPERLINK("http://mcgill.on.worldcat.org/oclc/47853416","Catalog Record")</f>
        <v>Catalog Record</v>
      </c>
      <c r="AW2068" s="6" t="str">
        <f>HYPERLINK("http://www.worldcat.org/oclc/47853416","WorldCat Record")</f>
        <v>WorldCat Record</v>
      </c>
      <c r="AX2068" s="3" t="s">
        <v>20084</v>
      </c>
      <c r="AY2068" s="3" t="s">
        <v>20085</v>
      </c>
      <c r="AZ2068" s="3" t="s">
        <v>20086</v>
      </c>
      <c r="BA2068" s="3" t="s">
        <v>20086</v>
      </c>
      <c r="BB2068" s="3" t="s">
        <v>20087</v>
      </c>
      <c r="BC2068" s="3" t="s">
        <v>142</v>
      </c>
      <c r="BD2068" s="3" t="s">
        <v>68</v>
      </c>
      <c r="BE2068" s="3" t="s">
        <v>20088</v>
      </c>
      <c r="BF2068" s="3" t="s">
        <v>20087</v>
      </c>
      <c r="BG2068" s="3" t="s">
        <v>20089</v>
      </c>
    </row>
    <row r="2069" spans="1:59" ht="57" x14ac:dyDescent="0.45">
      <c r="A2069" s="2" t="s">
        <v>59</v>
      </c>
      <c r="B2069" s="2" t="s">
        <v>60</v>
      </c>
      <c r="C2069" s="2" t="s">
        <v>20090</v>
      </c>
      <c r="D2069" s="2" t="s">
        <v>20091</v>
      </c>
      <c r="E2069" s="2" t="s">
        <v>20092</v>
      </c>
      <c r="G2069" s="3" t="s">
        <v>62</v>
      </c>
      <c r="I2069" s="3" t="s">
        <v>62</v>
      </c>
      <c r="J2069" s="3" t="s">
        <v>62</v>
      </c>
      <c r="K2069" s="3" t="s">
        <v>63</v>
      </c>
      <c r="L2069" s="2" t="s">
        <v>20093</v>
      </c>
      <c r="M2069" s="2" t="s">
        <v>20094</v>
      </c>
      <c r="N2069" s="3" t="s">
        <v>149</v>
      </c>
      <c r="P2069" s="3" t="s">
        <v>65</v>
      </c>
      <c r="R2069" s="3" t="s">
        <v>66</v>
      </c>
      <c r="S2069" s="4">
        <v>3</v>
      </c>
      <c r="T2069" s="4">
        <v>3</v>
      </c>
      <c r="U2069" s="5" t="s">
        <v>20095</v>
      </c>
      <c r="V2069" s="5" t="s">
        <v>20095</v>
      </c>
      <c r="W2069" s="5" t="s">
        <v>67</v>
      </c>
      <c r="X2069" s="5" t="s">
        <v>67</v>
      </c>
      <c r="Y2069" s="4">
        <v>175</v>
      </c>
      <c r="Z2069" s="4">
        <v>20</v>
      </c>
      <c r="AA2069" s="4">
        <v>24</v>
      </c>
      <c r="AB2069" s="4">
        <v>6</v>
      </c>
      <c r="AC2069" s="4">
        <v>6</v>
      </c>
      <c r="AD2069" s="4">
        <v>44</v>
      </c>
      <c r="AE2069" s="4">
        <v>48</v>
      </c>
      <c r="AF2069" s="4">
        <v>2</v>
      </c>
      <c r="AG2069" s="4">
        <v>2</v>
      </c>
      <c r="AH2069" s="4">
        <v>38</v>
      </c>
      <c r="AI2069" s="4">
        <v>39</v>
      </c>
      <c r="AJ2069" s="4">
        <v>8</v>
      </c>
      <c r="AK2069" s="4">
        <v>11</v>
      </c>
      <c r="AL2069" s="4">
        <v>24</v>
      </c>
      <c r="AM2069" s="4">
        <v>24</v>
      </c>
      <c r="AN2069" s="4">
        <v>0</v>
      </c>
      <c r="AO2069" s="4">
        <v>0</v>
      </c>
      <c r="AP2069" s="4">
        <v>10</v>
      </c>
      <c r="AQ2069" s="4">
        <v>14</v>
      </c>
      <c r="AR2069" s="3" t="s">
        <v>62</v>
      </c>
      <c r="AS2069" s="3" t="s">
        <v>62</v>
      </c>
      <c r="AT2069" s="3" t="s">
        <v>62</v>
      </c>
      <c r="AV2069" s="6" t="str">
        <f>HYPERLINK("http://mcgill.on.worldcat.org/oclc/758344384","Catalog Record")</f>
        <v>Catalog Record</v>
      </c>
      <c r="AW2069" s="6" t="str">
        <f>HYPERLINK("http://www.worldcat.org/oclc/758344384","WorldCat Record")</f>
        <v>WorldCat Record</v>
      </c>
      <c r="AX2069" s="3" t="s">
        <v>20096</v>
      </c>
      <c r="AY2069" s="3" t="s">
        <v>20097</v>
      </c>
      <c r="AZ2069" s="3" t="s">
        <v>20098</v>
      </c>
      <c r="BA2069" s="3" t="s">
        <v>20098</v>
      </c>
      <c r="BB2069" s="3" t="s">
        <v>20099</v>
      </c>
      <c r="BC2069" s="3" t="s">
        <v>142</v>
      </c>
      <c r="BD2069" s="3" t="s">
        <v>68</v>
      </c>
      <c r="BE2069" s="3" t="s">
        <v>20100</v>
      </c>
      <c r="BF2069" s="3" t="s">
        <v>20099</v>
      </c>
      <c r="BG2069" s="3" t="s">
        <v>20101</v>
      </c>
    </row>
    <row r="2070" spans="1:59" ht="57" x14ac:dyDescent="0.45">
      <c r="A2070" s="2" t="s">
        <v>59</v>
      </c>
      <c r="B2070" s="2" t="s">
        <v>60</v>
      </c>
      <c r="C2070" s="2" t="s">
        <v>20102</v>
      </c>
      <c r="D2070" s="2" t="s">
        <v>20103</v>
      </c>
      <c r="E2070" s="2" t="s">
        <v>20104</v>
      </c>
      <c r="G2070" s="3" t="s">
        <v>62</v>
      </c>
      <c r="I2070" s="3" t="s">
        <v>62</v>
      </c>
      <c r="J2070" s="3" t="s">
        <v>62</v>
      </c>
      <c r="K2070" s="3" t="s">
        <v>63</v>
      </c>
      <c r="M2070" s="2" t="s">
        <v>20105</v>
      </c>
      <c r="N2070" s="3" t="s">
        <v>149</v>
      </c>
      <c r="P2070" s="3" t="s">
        <v>65</v>
      </c>
      <c r="Q2070" s="2" t="s">
        <v>20106</v>
      </c>
      <c r="R2070" s="3" t="s">
        <v>66</v>
      </c>
      <c r="S2070" s="4">
        <v>0</v>
      </c>
      <c r="T2070" s="4">
        <v>0</v>
      </c>
      <c r="W2070" s="5" t="s">
        <v>67</v>
      </c>
      <c r="X2070" s="5" t="s">
        <v>67</v>
      </c>
      <c r="Y2070" s="4">
        <v>168</v>
      </c>
      <c r="Z2070" s="4">
        <v>16</v>
      </c>
      <c r="AA2070" s="4">
        <v>84</v>
      </c>
      <c r="AB2070" s="4">
        <v>1</v>
      </c>
      <c r="AC2070" s="4">
        <v>14</v>
      </c>
      <c r="AD2070" s="4">
        <v>60</v>
      </c>
      <c r="AE2070" s="4">
        <v>119</v>
      </c>
      <c r="AF2070" s="4">
        <v>0</v>
      </c>
      <c r="AG2070" s="4">
        <v>8</v>
      </c>
      <c r="AH2070" s="4">
        <v>54</v>
      </c>
      <c r="AI2070" s="4">
        <v>84</v>
      </c>
      <c r="AJ2070" s="4">
        <v>12</v>
      </c>
      <c r="AK2070" s="4">
        <v>23</v>
      </c>
      <c r="AL2070" s="4">
        <v>33</v>
      </c>
      <c r="AM2070" s="4">
        <v>41</v>
      </c>
      <c r="AN2070" s="4">
        <v>0</v>
      </c>
      <c r="AO2070" s="4">
        <v>0</v>
      </c>
      <c r="AP2070" s="4">
        <v>13</v>
      </c>
      <c r="AQ2070" s="4">
        <v>44</v>
      </c>
      <c r="AR2070" s="3" t="s">
        <v>62</v>
      </c>
      <c r="AS2070" s="3" t="s">
        <v>62</v>
      </c>
      <c r="AT2070" s="3" t="s">
        <v>62</v>
      </c>
      <c r="AV2070" s="6" t="str">
        <f>HYPERLINK("http://mcgill.on.worldcat.org/oclc/601087527","Catalog Record")</f>
        <v>Catalog Record</v>
      </c>
      <c r="AW2070" s="6" t="str">
        <f>HYPERLINK("http://www.worldcat.org/oclc/601087527","WorldCat Record")</f>
        <v>WorldCat Record</v>
      </c>
      <c r="AX2070" s="3" t="s">
        <v>20107</v>
      </c>
      <c r="AY2070" s="3" t="s">
        <v>20108</v>
      </c>
      <c r="AZ2070" s="3" t="s">
        <v>20109</v>
      </c>
      <c r="BA2070" s="3" t="s">
        <v>20109</v>
      </c>
      <c r="BB2070" s="3" t="s">
        <v>20110</v>
      </c>
      <c r="BC2070" s="3" t="s">
        <v>142</v>
      </c>
      <c r="BD2070" s="3" t="s">
        <v>68</v>
      </c>
      <c r="BE2070" s="3" t="s">
        <v>20111</v>
      </c>
      <c r="BF2070" s="3" t="s">
        <v>20110</v>
      </c>
      <c r="BG2070" s="3" t="s">
        <v>20112</v>
      </c>
    </row>
    <row r="2071" spans="1:59" ht="57" x14ac:dyDescent="0.45">
      <c r="A2071" s="2" t="s">
        <v>59</v>
      </c>
      <c r="B2071" s="2" t="s">
        <v>60</v>
      </c>
      <c r="C2071" s="2" t="s">
        <v>20113</v>
      </c>
      <c r="D2071" s="2" t="s">
        <v>20114</v>
      </c>
      <c r="E2071" s="2" t="s">
        <v>20115</v>
      </c>
      <c r="G2071" s="3" t="s">
        <v>62</v>
      </c>
      <c r="I2071" s="3" t="s">
        <v>62</v>
      </c>
      <c r="J2071" s="3" t="s">
        <v>62</v>
      </c>
      <c r="K2071" s="3" t="s">
        <v>63</v>
      </c>
      <c r="L2071" s="2" t="s">
        <v>20116</v>
      </c>
      <c r="M2071" s="2" t="s">
        <v>20117</v>
      </c>
      <c r="N2071" s="3" t="s">
        <v>894</v>
      </c>
      <c r="P2071" s="3" t="s">
        <v>65</v>
      </c>
      <c r="R2071" s="3" t="s">
        <v>66</v>
      </c>
      <c r="S2071" s="4">
        <v>1</v>
      </c>
      <c r="T2071" s="4">
        <v>1</v>
      </c>
      <c r="U2071" s="5" t="s">
        <v>20118</v>
      </c>
      <c r="V2071" s="5" t="s">
        <v>20118</v>
      </c>
      <c r="W2071" s="5" t="s">
        <v>67</v>
      </c>
      <c r="X2071" s="5" t="s">
        <v>67</v>
      </c>
      <c r="Y2071" s="4">
        <v>63</v>
      </c>
      <c r="Z2071" s="4">
        <v>14</v>
      </c>
      <c r="AA2071" s="4">
        <v>32</v>
      </c>
      <c r="AB2071" s="4">
        <v>2</v>
      </c>
      <c r="AC2071" s="4">
        <v>6</v>
      </c>
      <c r="AD2071" s="4">
        <v>27</v>
      </c>
      <c r="AE2071" s="4">
        <v>101</v>
      </c>
      <c r="AF2071" s="4">
        <v>1</v>
      </c>
      <c r="AG2071" s="4">
        <v>2</v>
      </c>
      <c r="AH2071" s="4">
        <v>22</v>
      </c>
      <c r="AI2071" s="4">
        <v>87</v>
      </c>
      <c r="AJ2071" s="4">
        <v>9</v>
      </c>
      <c r="AK2071" s="4">
        <v>18</v>
      </c>
      <c r="AL2071" s="4">
        <v>9</v>
      </c>
      <c r="AM2071" s="4">
        <v>49</v>
      </c>
      <c r="AN2071" s="4">
        <v>0</v>
      </c>
      <c r="AO2071" s="4">
        <v>0</v>
      </c>
      <c r="AP2071" s="4">
        <v>10</v>
      </c>
      <c r="AQ2071" s="4">
        <v>23</v>
      </c>
      <c r="AR2071" s="3" t="s">
        <v>62</v>
      </c>
      <c r="AS2071" s="3" t="s">
        <v>62</v>
      </c>
      <c r="AT2071" s="3" t="s">
        <v>62</v>
      </c>
      <c r="AV2071" s="6" t="str">
        <f>HYPERLINK("http://mcgill.on.worldcat.org/oclc/791649942","Catalog Record")</f>
        <v>Catalog Record</v>
      </c>
      <c r="AW2071" s="6" t="str">
        <f>HYPERLINK("http://www.worldcat.org/oclc/791649942","WorldCat Record")</f>
        <v>WorldCat Record</v>
      </c>
      <c r="AX2071" s="3" t="s">
        <v>20119</v>
      </c>
      <c r="AY2071" s="3" t="s">
        <v>20120</v>
      </c>
      <c r="AZ2071" s="3" t="s">
        <v>20121</v>
      </c>
      <c r="BA2071" s="3" t="s">
        <v>20121</v>
      </c>
      <c r="BB2071" s="3" t="s">
        <v>20122</v>
      </c>
      <c r="BC2071" s="3" t="s">
        <v>142</v>
      </c>
      <c r="BD2071" s="3" t="s">
        <v>68</v>
      </c>
      <c r="BE2071" s="3" t="s">
        <v>20123</v>
      </c>
      <c r="BF2071" s="3" t="s">
        <v>20122</v>
      </c>
      <c r="BG2071" s="3" t="s">
        <v>20124</v>
      </c>
    </row>
    <row r="2072" spans="1:59" ht="57" x14ac:dyDescent="0.45">
      <c r="A2072" s="2" t="s">
        <v>59</v>
      </c>
      <c r="B2072" s="2" t="s">
        <v>60</v>
      </c>
      <c r="C2072" s="2" t="s">
        <v>20125</v>
      </c>
      <c r="D2072" s="2" t="s">
        <v>20126</v>
      </c>
      <c r="E2072" s="2" t="s">
        <v>20127</v>
      </c>
      <c r="G2072" s="3" t="s">
        <v>62</v>
      </c>
      <c r="I2072" s="3" t="s">
        <v>62</v>
      </c>
      <c r="J2072" s="3" t="s">
        <v>62</v>
      </c>
      <c r="K2072" s="3" t="s">
        <v>63</v>
      </c>
      <c r="L2072" s="2" t="s">
        <v>20128</v>
      </c>
      <c r="M2072" s="2" t="s">
        <v>20129</v>
      </c>
      <c r="N2072" s="3" t="s">
        <v>1918</v>
      </c>
      <c r="P2072" s="3" t="s">
        <v>65</v>
      </c>
      <c r="R2072" s="3" t="s">
        <v>66</v>
      </c>
      <c r="S2072" s="4">
        <v>0</v>
      </c>
      <c r="T2072" s="4">
        <v>0</v>
      </c>
      <c r="W2072" s="5" t="s">
        <v>67</v>
      </c>
      <c r="X2072" s="5" t="s">
        <v>67</v>
      </c>
      <c r="Y2072" s="4">
        <v>248</v>
      </c>
      <c r="Z2072" s="4">
        <v>13</v>
      </c>
      <c r="AA2072" s="4">
        <v>20</v>
      </c>
      <c r="AB2072" s="4">
        <v>1</v>
      </c>
      <c r="AC2072" s="4">
        <v>4</v>
      </c>
      <c r="AD2072" s="4">
        <v>55</v>
      </c>
      <c r="AE2072" s="4">
        <v>66</v>
      </c>
      <c r="AF2072" s="4">
        <v>0</v>
      </c>
      <c r="AG2072" s="4">
        <v>2</v>
      </c>
      <c r="AH2072" s="4">
        <v>48</v>
      </c>
      <c r="AI2072" s="4">
        <v>56</v>
      </c>
      <c r="AJ2072" s="4">
        <v>7</v>
      </c>
      <c r="AK2072" s="4">
        <v>12</v>
      </c>
      <c r="AL2072" s="4">
        <v>29</v>
      </c>
      <c r="AM2072" s="4">
        <v>32</v>
      </c>
      <c r="AN2072" s="4">
        <v>0</v>
      </c>
      <c r="AO2072" s="4">
        <v>0</v>
      </c>
      <c r="AP2072" s="4">
        <v>10</v>
      </c>
      <c r="AQ2072" s="4">
        <v>14</v>
      </c>
      <c r="AR2072" s="3" t="s">
        <v>62</v>
      </c>
      <c r="AS2072" s="3" t="s">
        <v>62</v>
      </c>
      <c r="AT2072" s="3" t="s">
        <v>62</v>
      </c>
      <c r="AV2072" s="6" t="str">
        <f>HYPERLINK("http://mcgill.on.worldcat.org/oclc/972309048","Catalog Record")</f>
        <v>Catalog Record</v>
      </c>
      <c r="AW2072" s="6" t="str">
        <f>HYPERLINK("http://www.worldcat.org/oclc/972309048","WorldCat Record")</f>
        <v>WorldCat Record</v>
      </c>
      <c r="AX2072" s="3" t="s">
        <v>20130</v>
      </c>
      <c r="AY2072" s="3" t="s">
        <v>20131</v>
      </c>
      <c r="AZ2072" s="3" t="s">
        <v>20132</v>
      </c>
      <c r="BA2072" s="3" t="s">
        <v>20132</v>
      </c>
      <c r="BB2072" s="3" t="s">
        <v>20133</v>
      </c>
      <c r="BC2072" s="3" t="s">
        <v>142</v>
      </c>
      <c r="BD2072" s="3" t="s">
        <v>68</v>
      </c>
      <c r="BE2072" s="3" t="s">
        <v>20134</v>
      </c>
      <c r="BF2072" s="3" t="s">
        <v>20133</v>
      </c>
      <c r="BG2072" s="3" t="s">
        <v>20135</v>
      </c>
    </row>
    <row r="2073" spans="1:59" ht="57" x14ac:dyDescent="0.45">
      <c r="A2073" s="2" t="s">
        <v>59</v>
      </c>
      <c r="B2073" s="2" t="s">
        <v>60</v>
      </c>
      <c r="C2073" s="2" t="s">
        <v>20136</v>
      </c>
      <c r="D2073" s="2" t="s">
        <v>20137</v>
      </c>
      <c r="E2073" s="2" t="s">
        <v>20138</v>
      </c>
      <c r="G2073" s="3" t="s">
        <v>62</v>
      </c>
      <c r="I2073" s="3" t="s">
        <v>62</v>
      </c>
      <c r="J2073" s="3" t="s">
        <v>62</v>
      </c>
      <c r="K2073" s="3" t="s">
        <v>63</v>
      </c>
      <c r="M2073" s="2" t="s">
        <v>12999</v>
      </c>
      <c r="N2073" s="3" t="s">
        <v>116</v>
      </c>
      <c r="P2073" s="3" t="s">
        <v>65</v>
      </c>
      <c r="Q2073" s="2" t="s">
        <v>20139</v>
      </c>
      <c r="R2073" s="3" t="s">
        <v>66</v>
      </c>
      <c r="S2073" s="4">
        <v>1</v>
      </c>
      <c r="T2073" s="4">
        <v>1</v>
      </c>
      <c r="U2073" s="5" t="s">
        <v>20140</v>
      </c>
      <c r="V2073" s="5" t="s">
        <v>20140</v>
      </c>
      <c r="W2073" s="5" t="s">
        <v>67</v>
      </c>
      <c r="X2073" s="5" t="s">
        <v>67</v>
      </c>
      <c r="Y2073" s="4">
        <v>144</v>
      </c>
      <c r="Z2073" s="4">
        <v>18</v>
      </c>
      <c r="AA2073" s="4">
        <v>81</v>
      </c>
      <c r="AB2073" s="4">
        <v>4</v>
      </c>
      <c r="AC2073" s="4">
        <v>16</v>
      </c>
      <c r="AD2073" s="4">
        <v>45</v>
      </c>
      <c r="AE2073" s="4">
        <v>115</v>
      </c>
      <c r="AF2073" s="4">
        <v>2</v>
      </c>
      <c r="AG2073" s="4">
        <v>8</v>
      </c>
      <c r="AH2073" s="4">
        <v>38</v>
      </c>
      <c r="AI2073" s="4">
        <v>81</v>
      </c>
      <c r="AJ2073" s="4">
        <v>13</v>
      </c>
      <c r="AK2073" s="4">
        <v>22</v>
      </c>
      <c r="AL2073" s="4">
        <v>23</v>
      </c>
      <c r="AM2073" s="4">
        <v>42</v>
      </c>
      <c r="AN2073" s="4">
        <v>0</v>
      </c>
      <c r="AO2073" s="4">
        <v>0</v>
      </c>
      <c r="AP2073" s="4">
        <v>13</v>
      </c>
      <c r="AQ2073" s="4">
        <v>42</v>
      </c>
      <c r="AR2073" s="3" t="s">
        <v>62</v>
      </c>
      <c r="AS2073" s="3" t="s">
        <v>62</v>
      </c>
      <c r="AT2073" s="3" t="s">
        <v>62</v>
      </c>
      <c r="AV2073" s="6" t="str">
        <f>HYPERLINK("http://mcgill.on.worldcat.org/oclc/741542058","Catalog Record")</f>
        <v>Catalog Record</v>
      </c>
      <c r="AW2073" s="6" t="str">
        <f>HYPERLINK("http://www.worldcat.org/oclc/741542058","WorldCat Record")</f>
        <v>WorldCat Record</v>
      </c>
      <c r="AX2073" s="3" t="s">
        <v>20141</v>
      </c>
      <c r="AY2073" s="3" t="s">
        <v>20142</v>
      </c>
      <c r="AZ2073" s="3" t="s">
        <v>20143</v>
      </c>
      <c r="BA2073" s="3" t="s">
        <v>20143</v>
      </c>
      <c r="BB2073" s="3" t="s">
        <v>20144</v>
      </c>
      <c r="BC2073" s="3" t="s">
        <v>142</v>
      </c>
      <c r="BD2073" s="3" t="s">
        <v>68</v>
      </c>
      <c r="BE2073" s="3" t="s">
        <v>20145</v>
      </c>
      <c r="BF2073" s="3" t="s">
        <v>20144</v>
      </c>
      <c r="BG2073" s="3" t="s">
        <v>20146</v>
      </c>
    </row>
    <row r="2074" spans="1:59" ht="57" x14ac:dyDescent="0.45">
      <c r="A2074" s="2" t="s">
        <v>59</v>
      </c>
      <c r="B2074" s="2" t="s">
        <v>60</v>
      </c>
      <c r="C2074" s="2" t="s">
        <v>20147</v>
      </c>
      <c r="D2074" s="2" t="s">
        <v>20148</v>
      </c>
      <c r="E2074" s="2" t="s">
        <v>20149</v>
      </c>
      <c r="G2074" s="3" t="s">
        <v>62</v>
      </c>
      <c r="I2074" s="3" t="s">
        <v>61</v>
      </c>
      <c r="J2074" s="3" t="s">
        <v>62</v>
      </c>
      <c r="K2074" s="3" t="s">
        <v>63</v>
      </c>
      <c r="L2074" s="2" t="s">
        <v>20150</v>
      </c>
      <c r="M2074" s="2" t="s">
        <v>20151</v>
      </c>
      <c r="N2074" s="3" t="s">
        <v>167</v>
      </c>
      <c r="O2074" s="2" t="s">
        <v>168</v>
      </c>
      <c r="P2074" s="3" t="s">
        <v>65</v>
      </c>
      <c r="R2074" s="3" t="s">
        <v>66</v>
      </c>
      <c r="S2074" s="4">
        <v>0</v>
      </c>
      <c r="T2074" s="4">
        <v>63</v>
      </c>
      <c r="V2074" s="5" t="s">
        <v>7678</v>
      </c>
      <c r="W2074" s="5" t="s">
        <v>67</v>
      </c>
      <c r="X2074" s="5" t="s">
        <v>67</v>
      </c>
      <c r="Y2074" s="4">
        <v>628</v>
      </c>
      <c r="Z2074" s="4">
        <v>41</v>
      </c>
      <c r="AA2074" s="4">
        <v>43</v>
      </c>
      <c r="AB2074" s="4">
        <v>1</v>
      </c>
      <c r="AC2074" s="4">
        <v>2</v>
      </c>
      <c r="AD2074" s="4">
        <v>97</v>
      </c>
      <c r="AE2074" s="4">
        <v>99</v>
      </c>
      <c r="AF2074" s="4">
        <v>0</v>
      </c>
      <c r="AG2074" s="4">
        <v>1</v>
      </c>
      <c r="AH2074" s="4">
        <v>83</v>
      </c>
      <c r="AI2074" s="4">
        <v>84</v>
      </c>
      <c r="AJ2074" s="4">
        <v>14</v>
      </c>
      <c r="AK2074" s="4">
        <v>15</v>
      </c>
      <c r="AL2074" s="4">
        <v>45</v>
      </c>
      <c r="AM2074" s="4">
        <v>45</v>
      </c>
      <c r="AN2074" s="4">
        <v>0</v>
      </c>
      <c r="AO2074" s="4">
        <v>0</v>
      </c>
      <c r="AP2074" s="4">
        <v>22</v>
      </c>
      <c r="AQ2074" s="4">
        <v>24</v>
      </c>
      <c r="AR2074" s="3" t="s">
        <v>62</v>
      </c>
      <c r="AS2074" s="3" t="s">
        <v>62</v>
      </c>
      <c r="AT2074" s="3" t="s">
        <v>62</v>
      </c>
      <c r="AV2074" s="6" t="str">
        <f>HYPERLINK("http://mcgill.on.worldcat.org/oclc/40762771","Catalog Record")</f>
        <v>Catalog Record</v>
      </c>
      <c r="AW2074" s="6" t="str">
        <f>HYPERLINK("http://www.worldcat.org/oclc/40762771","WorldCat Record")</f>
        <v>WorldCat Record</v>
      </c>
      <c r="AX2074" s="3" t="s">
        <v>20152</v>
      </c>
      <c r="AY2074" s="3" t="s">
        <v>20153</v>
      </c>
      <c r="AZ2074" s="3" t="s">
        <v>20154</v>
      </c>
      <c r="BA2074" s="3" t="s">
        <v>20154</v>
      </c>
      <c r="BB2074" s="3" t="s">
        <v>20155</v>
      </c>
      <c r="BC2074" s="3" t="s">
        <v>142</v>
      </c>
      <c r="BD2074" s="3" t="s">
        <v>68</v>
      </c>
      <c r="BE2074" s="3" t="s">
        <v>20156</v>
      </c>
      <c r="BF2074" s="3" t="s">
        <v>20155</v>
      </c>
      <c r="BG2074" s="3" t="s">
        <v>20157</v>
      </c>
    </row>
    <row r="2075" spans="1:59" ht="57" x14ac:dyDescent="0.45">
      <c r="A2075" s="2" t="s">
        <v>59</v>
      </c>
      <c r="B2075" s="2" t="s">
        <v>60</v>
      </c>
      <c r="C2075" s="2" t="s">
        <v>20147</v>
      </c>
      <c r="D2075" s="2" t="s">
        <v>20148</v>
      </c>
      <c r="E2075" s="2" t="s">
        <v>20149</v>
      </c>
      <c r="F2075" s="3" t="s">
        <v>20158</v>
      </c>
      <c r="G2075" s="3" t="s">
        <v>62</v>
      </c>
      <c r="I2075" s="3" t="s">
        <v>61</v>
      </c>
      <c r="J2075" s="3" t="s">
        <v>62</v>
      </c>
      <c r="K2075" s="3" t="s">
        <v>63</v>
      </c>
      <c r="L2075" s="2" t="s">
        <v>20150</v>
      </c>
      <c r="M2075" s="2" t="s">
        <v>20151</v>
      </c>
      <c r="N2075" s="3" t="s">
        <v>167</v>
      </c>
      <c r="O2075" s="2" t="s">
        <v>168</v>
      </c>
      <c r="P2075" s="3" t="s">
        <v>65</v>
      </c>
      <c r="R2075" s="3" t="s">
        <v>66</v>
      </c>
      <c r="S2075" s="4">
        <v>63</v>
      </c>
      <c r="T2075" s="4">
        <v>63</v>
      </c>
      <c r="U2075" s="5" t="s">
        <v>7678</v>
      </c>
      <c r="V2075" s="5" t="s">
        <v>7678</v>
      </c>
      <c r="W2075" s="5" t="s">
        <v>67</v>
      </c>
      <c r="X2075" s="5" t="s">
        <v>67</v>
      </c>
      <c r="Y2075" s="4">
        <v>628</v>
      </c>
      <c r="Z2075" s="4">
        <v>41</v>
      </c>
      <c r="AA2075" s="4">
        <v>43</v>
      </c>
      <c r="AB2075" s="4">
        <v>1</v>
      </c>
      <c r="AC2075" s="4">
        <v>2</v>
      </c>
      <c r="AD2075" s="4">
        <v>97</v>
      </c>
      <c r="AE2075" s="4">
        <v>99</v>
      </c>
      <c r="AF2075" s="4">
        <v>0</v>
      </c>
      <c r="AG2075" s="4">
        <v>1</v>
      </c>
      <c r="AH2075" s="4">
        <v>83</v>
      </c>
      <c r="AI2075" s="4">
        <v>84</v>
      </c>
      <c r="AJ2075" s="4">
        <v>14</v>
      </c>
      <c r="AK2075" s="4">
        <v>15</v>
      </c>
      <c r="AL2075" s="4">
        <v>45</v>
      </c>
      <c r="AM2075" s="4">
        <v>45</v>
      </c>
      <c r="AN2075" s="4">
        <v>0</v>
      </c>
      <c r="AO2075" s="4">
        <v>0</v>
      </c>
      <c r="AP2075" s="4">
        <v>22</v>
      </c>
      <c r="AQ2075" s="4">
        <v>24</v>
      </c>
      <c r="AR2075" s="3" t="s">
        <v>62</v>
      </c>
      <c r="AS2075" s="3" t="s">
        <v>62</v>
      </c>
      <c r="AT2075" s="3" t="s">
        <v>62</v>
      </c>
      <c r="AV2075" s="6" t="str">
        <f>HYPERLINK("http://mcgill.on.worldcat.org/oclc/40762771","Catalog Record")</f>
        <v>Catalog Record</v>
      </c>
      <c r="AW2075" s="6" t="str">
        <f>HYPERLINK("http://www.worldcat.org/oclc/40762771","WorldCat Record")</f>
        <v>WorldCat Record</v>
      </c>
      <c r="AX2075" s="3" t="s">
        <v>20152</v>
      </c>
      <c r="AY2075" s="3" t="s">
        <v>20153</v>
      </c>
      <c r="AZ2075" s="3" t="s">
        <v>20154</v>
      </c>
      <c r="BA2075" s="3" t="s">
        <v>20154</v>
      </c>
      <c r="BB2075" s="3" t="s">
        <v>20159</v>
      </c>
      <c r="BC2075" s="3" t="s">
        <v>142</v>
      </c>
      <c r="BD2075" s="3" t="s">
        <v>68</v>
      </c>
      <c r="BE2075" s="3" t="s">
        <v>20156</v>
      </c>
      <c r="BF2075" s="3" t="s">
        <v>20159</v>
      </c>
      <c r="BG2075" s="3" t="s">
        <v>20160</v>
      </c>
    </row>
    <row r="2076" spans="1:59" ht="57" x14ac:dyDescent="0.45">
      <c r="A2076" s="2" t="s">
        <v>59</v>
      </c>
      <c r="B2076" s="2" t="s">
        <v>60</v>
      </c>
      <c r="C2076" s="2" t="s">
        <v>20161</v>
      </c>
      <c r="D2076" s="2" t="s">
        <v>20162</v>
      </c>
      <c r="E2076" s="2" t="s">
        <v>20163</v>
      </c>
      <c r="G2076" s="3" t="s">
        <v>62</v>
      </c>
      <c r="I2076" s="3" t="s">
        <v>62</v>
      </c>
      <c r="J2076" s="3" t="s">
        <v>62</v>
      </c>
      <c r="K2076" s="3" t="s">
        <v>63</v>
      </c>
      <c r="L2076" s="2" t="s">
        <v>20164</v>
      </c>
      <c r="M2076" s="2" t="s">
        <v>20165</v>
      </c>
      <c r="N2076" s="3" t="s">
        <v>918</v>
      </c>
      <c r="P2076" s="3" t="s">
        <v>65</v>
      </c>
      <c r="Q2076" s="2" t="s">
        <v>20166</v>
      </c>
      <c r="R2076" s="3" t="s">
        <v>66</v>
      </c>
      <c r="S2076" s="4">
        <v>3</v>
      </c>
      <c r="T2076" s="4">
        <v>3</v>
      </c>
      <c r="U2076" s="5" t="s">
        <v>10804</v>
      </c>
      <c r="V2076" s="5" t="s">
        <v>10804</v>
      </c>
      <c r="W2076" s="5" t="s">
        <v>67</v>
      </c>
      <c r="X2076" s="5" t="s">
        <v>67</v>
      </c>
      <c r="Y2076" s="4">
        <v>178</v>
      </c>
      <c r="Z2076" s="4">
        <v>13</v>
      </c>
      <c r="AA2076" s="4">
        <v>14</v>
      </c>
      <c r="AB2076" s="4">
        <v>2</v>
      </c>
      <c r="AC2076" s="4">
        <v>3</v>
      </c>
      <c r="AD2076" s="4">
        <v>78</v>
      </c>
      <c r="AE2076" s="4">
        <v>79</v>
      </c>
      <c r="AF2076" s="4">
        <v>1</v>
      </c>
      <c r="AG2076" s="4">
        <v>2</v>
      </c>
      <c r="AH2076" s="4">
        <v>68</v>
      </c>
      <c r="AI2076" s="4">
        <v>68</v>
      </c>
      <c r="AJ2076" s="4">
        <v>9</v>
      </c>
      <c r="AK2076" s="4">
        <v>10</v>
      </c>
      <c r="AL2076" s="4">
        <v>41</v>
      </c>
      <c r="AM2076" s="4">
        <v>41</v>
      </c>
      <c r="AN2076" s="4">
        <v>0</v>
      </c>
      <c r="AO2076" s="4">
        <v>0</v>
      </c>
      <c r="AP2076" s="4">
        <v>12</v>
      </c>
      <c r="AQ2076" s="4">
        <v>12</v>
      </c>
      <c r="AR2076" s="3" t="s">
        <v>62</v>
      </c>
      <c r="AS2076" s="3" t="s">
        <v>62</v>
      </c>
      <c r="AT2076" s="3" t="s">
        <v>62</v>
      </c>
      <c r="AV2076" s="6" t="str">
        <f>HYPERLINK("http://mcgill.on.worldcat.org/oclc/52127050","Catalog Record")</f>
        <v>Catalog Record</v>
      </c>
      <c r="AW2076" s="6" t="str">
        <f>HYPERLINK("http://www.worldcat.org/oclc/52127050","WorldCat Record")</f>
        <v>WorldCat Record</v>
      </c>
      <c r="AX2076" s="3" t="s">
        <v>20167</v>
      </c>
      <c r="AY2076" s="3" t="s">
        <v>20168</v>
      </c>
      <c r="AZ2076" s="3" t="s">
        <v>20169</v>
      </c>
      <c r="BA2076" s="3" t="s">
        <v>20169</v>
      </c>
      <c r="BB2076" s="3" t="s">
        <v>20170</v>
      </c>
      <c r="BC2076" s="3" t="s">
        <v>142</v>
      </c>
      <c r="BD2076" s="3" t="s">
        <v>68</v>
      </c>
      <c r="BE2076" s="3" t="s">
        <v>20171</v>
      </c>
      <c r="BF2076" s="3" t="s">
        <v>20170</v>
      </c>
      <c r="BG2076" s="3" t="s">
        <v>20172</v>
      </c>
    </row>
    <row r="2077" spans="1:59" ht="57" x14ac:dyDescent="0.45">
      <c r="A2077" s="2" t="s">
        <v>59</v>
      </c>
      <c r="B2077" s="2" t="s">
        <v>60</v>
      </c>
      <c r="C2077" s="2" t="s">
        <v>20173</v>
      </c>
      <c r="D2077" s="2" t="s">
        <v>20174</v>
      </c>
      <c r="E2077" s="2" t="s">
        <v>20175</v>
      </c>
      <c r="G2077" s="3" t="s">
        <v>62</v>
      </c>
      <c r="I2077" s="3" t="s">
        <v>62</v>
      </c>
      <c r="J2077" s="3" t="s">
        <v>62</v>
      </c>
      <c r="K2077" s="3" t="s">
        <v>63</v>
      </c>
      <c r="L2077" s="2" t="s">
        <v>20176</v>
      </c>
      <c r="M2077" s="2" t="s">
        <v>8957</v>
      </c>
      <c r="N2077" s="3" t="s">
        <v>1155</v>
      </c>
      <c r="P2077" s="3" t="s">
        <v>65</v>
      </c>
      <c r="R2077" s="3" t="s">
        <v>66</v>
      </c>
      <c r="S2077" s="4">
        <v>2</v>
      </c>
      <c r="T2077" s="4">
        <v>2</v>
      </c>
      <c r="U2077" s="5" t="s">
        <v>15783</v>
      </c>
      <c r="V2077" s="5" t="s">
        <v>15783</v>
      </c>
      <c r="W2077" s="5" t="s">
        <v>67</v>
      </c>
      <c r="X2077" s="5" t="s">
        <v>67</v>
      </c>
      <c r="Y2077" s="4">
        <v>134</v>
      </c>
      <c r="Z2077" s="4">
        <v>13</v>
      </c>
      <c r="AA2077" s="4">
        <v>21</v>
      </c>
      <c r="AB2077" s="4">
        <v>1</v>
      </c>
      <c r="AC2077" s="4">
        <v>3</v>
      </c>
      <c r="AD2077" s="4">
        <v>55</v>
      </c>
      <c r="AE2077" s="4">
        <v>77</v>
      </c>
      <c r="AF2077" s="4">
        <v>0</v>
      </c>
      <c r="AG2077" s="4">
        <v>0</v>
      </c>
      <c r="AH2077" s="4">
        <v>53</v>
      </c>
      <c r="AI2077" s="4">
        <v>72</v>
      </c>
      <c r="AJ2077" s="4">
        <v>8</v>
      </c>
      <c r="AK2077" s="4">
        <v>13</v>
      </c>
      <c r="AL2077" s="4">
        <v>27</v>
      </c>
      <c r="AM2077" s="4">
        <v>38</v>
      </c>
      <c r="AN2077" s="4">
        <v>0</v>
      </c>
      <c r="AO2077" s="4">
        <v>0</v>
      </c>
      <c r="AP2077" s="4">
        <v>9</v>
      </c>
      <c r="AQ2077" s="4">
        <v>14</v>
      </c>
      <c r="AR2077" s="3" t="s">
        <v>62</v>
      </c>
      <c r="AS2077" s="3" t="s">
        <v>62</v>
      </c>
      <c r="AT2077" s="3" t="s">
        <v>62</v>
      </c>
      <c r="AV2077" s="6" t="str">
        <f>HYPERLINK("http://mcgill.on.worldcat.org/oclc/798615465","Catalog Record")</f>
        <v>Catalog Record</v>
      </c>
      <c r="AW2077" s="6" t="str">
        <f>HYPERLINK("http://www.worldcat.org/oclc/798615465","WorldCat Record")</f>
        <v>WorldCat Record</v>
      </c>
      <c r="AX2077" s="3" t="s">
        <v>20177</v>
      </c>
      <c r="AY2077" s="3" t="s">
        <v>20178</v>
      </c>
      <c r="AZ2077" s="3" t="s">
        <v>20179</v>
      </c>
      <c r="BA2077" s="3" t="s">
        <v>20179</v>
      </c>
      <c r="BB2077" s="3" t="s">
        <v>20180</v>
      </c>
      <c r="BC2077" s="3" t="s">
        <v>142</v>
      </c>
      <c r="BD2077" s="3" t="s">
        <v>68</v>
      </c>
      <c r="BE2077" s="3" t="s">
        <v>20181</v>
      </c>
      <c r="BF2077" s="3" t="s">
        <v>20180</v>
      </c>
      <c r="BG2077" s="3" t="s">
        <v>20182</v>
      </c>
    </row>
    <row r="2078" spans="1:59" ht="57" x14ac:dyDescent="0.45">
      <c r="A2078" s="2" t="s">
        <v>59</v>
      </c>
      <c r="B2078" s="2" t="s">
        <v>60</v>
      </c>
      <c r="C2078" s="2" t="s">
        <v>20183</v>
      </c>
      <c r="D2078" s="2" t="s">
        <v>20184</v>
      </c>
      <c r="E2078" s="2" t="s">
        <v>20185</v>
      </c>
      <c r="G2078" s="3" t="s">
        <v>62</v>
      </c>
      <c r="I2078" s="3" t="s">
        <v>62</v>
      </c>
      <c r="J2078" s="3" t="s">
        <v>62</v>
      </c>
      <c r="K2078" s="3" t="s">
        <v>63</v>
      </c>
      <c r="M2078" s="2" t="s">
        <v>20186</v>
      </c>
      <c r="N2078" s="3" t="s">
        <v>149</v>
      </c>
      <c r="P2078" s="3" t="s">
        <v>326</v>
      </c>
      <c r="R2078" s="3" t="s">
        <v>66</v>
      </c>
      <c r="S2078" s="4">
        <v>0</v>
      </c>
      <c r="T2078" s="4">
        <v>0</v>
      </c>
      <c r="W2078" s="5" t="s">
        <v>67</v>
      </c>
      <c r="X2078" s="5" t="s">
        <v>67</v>
      </c>
      <c r="Y2078" s="4">
        <v>69</v>
      </c>
      <c r="Z2078" s="4">
        <v>6</v>
      </c>
      <c r="AA2078" s="4">
        <v>8</v>
      </c>
      <c r="AB2078" s="4">
        <v>2</v>
      </c>
      <c r="AC2078" s="4">
        <v>4</v>
      </c>
      <c r="AD2078" s="4">
        <v>42</v>
      </c>
      <c r="AE2078" s="4">
        <v>46</v>
      </c>
      <c r="AF2078" s="4">
        <v>1</v>
      </c>
      <c r="AG2078" s="4">
        <v>3</v>
      </c>
      <c r="AH2078" s="4">
        <v>40</v>
      </c>
      <c r="AI2078" s="4">
        <v>43</v>
      </c>
      <c r="AJ2078" s="4">
        <v>5</v>
      </c>
      <c r="AK2078" s="4">
        <v>7</v>
      </c>
      <c r="AL2078" s="4">
        <v>31</v>
      </c>
      <c r="AM2078" s="4">
        <v>31</v>
      </c>
      <c r="AN2078" s="4">
        <v>0</v>
      </c>
      <c r="AO2078" s="4">
        <v>0</v>
      </c>
      <c r="AP2078" s="4">
        <v>5</v>
      </c>
      <c r="AQ2078" s="4">
        <v>6</v>
      </c>
      <c r="AR2078" s="3" t="s">
        <v>62</v>
      </c>
      <c r="AS2078" s="3" t="s">
        <v>62</v>
      </c>
      <c r="AT2078" s="3" t="s">
        <v>62</v>
      </c>
      <c r="AV2078" s="6" t="str">
        <f>HYPERLINK("http://mcgill.on.worldcat.org/oclc/519246820","Catalog Record")</f>
        <v>Catalog Record</v>
      </c>
      <c r="AW2078" s="6" t="str">
        <f>HYPERLINK("http://www.worldcat.org/oclc/519246820","WorldCat Record")</f>
        <v>WorldCat Record</v>
      </c>
      <c r="AX2078" s="3" t="s">
        <v>20187</v>
      </c>
      <c r="AY2078" s="3" t="s">
        <v>20188</v>
      </c>
      <c r="AZ2078" s="3" t="s">
        <v>20189</v>
      </c>
      <c r="BA2078" s="3" t="s">
        <v>20189</v>
      </c>
      <c r="BB2078" s="3" t="s">
        <v>20190</v>
      </c>
      <c r="BC2078" s="3" t="s">
        <v>142</v>
      </c>
      <c r="BD2078" s="3" t="s">
        <v>68</v>
      </c>
      <c r="BE2078" s="3" t="s">
        <v>20191</v>
      </c>
      <c r="BF2078" s="3" t="s">
        <v>20190</v>
      </c>
      <c r="BG2078" s="3" t="s">
        <v>20192</v>
      </c>
    </row>
    <row r="2079" spans="1:59" ht="57" x14ac:dyDescent="0.45">
      <c r="A2079" s="2" t="s">
        <v>59</v>
      </c>
      <c r="B2079" s="2" t="s">
        <v>60</v>
      </c>
      <c r="C2079" s="2" t="s">
        <v>20193</v>
      </c>
      <c r="D2079" s="2" t="s">
        <v>20194</v>
      </c>
      <c r="E2079" s="2" t="s">
        <v>20195</v>
      </c>
      <c r="G2079" s="3" t="s">
        <v>62</v>
      </c>
      <c r="I2079" s="3" t="s">
        <v>62</v>
      </c>
      <c r="J2079" s="3" t="s">
        <v>62</v>
      </c>
      <c r="K2079" s="3" t="s">
        <v>63</v>
      </c>
      <c r="M2079" s="2" t="s">
        <v>13295</v>
      </c>
      <c r="N2079" s="3" t="s">
        <v>894</v>
      </c>
      <c r="P2079" s="3" t="s">
        <v>65</v>
      </c>
      <c r="Q2079" s="2" t="s">
        <v>20196</v>
      </c>
      <c r="R2079" s="3" t="s">
        <v>66</v>
      </c>
      <c r="S2079" s="4">
        <v>8</v>
      </c>
      <c r="T2079" s="4">
        <v>8</v>
      </c>
      <c r="U2079" s="5" t="s">
        <v>14051</v>
      </c>
      <c r="V2079" s="5" t="s">
        <v>14051</v>
      </c>
      <c r="W2079" s="5" t="s">
        <v>67</v>
      </c>
      <c r="X2079" s="5" t="s">
        <v>67</v>
      </c>
      <c r="Y2079" s="4">
        <v>185</v>
      </c>
      <c r="Z2079" s="4">
        <v>22</v>
      </c>
      <c r="AA2079" s="4">
        <v>24</v>
      </c>
      <c r="AB2079" s="4">
        <v>2</v>
      </c>
      <c r="AC2079" s="4">
        <v>4</v>
      </c>
      <c r="AD2079" s="4">
        <v>64</v>
      </c>
      <c r="AE2079" s="4">
        <v>66</v>
      </c>
      <c r="AF2079" s="4">
        <v>1</v>
      </c>
      <c r="AG2079" s="4">
        <v>3</v>
      </c>
      <c r="AH2079" s="4">
        <v>56</v>
      </c>
      <c r="AI2079" s="4">
        <v>57</v>
      </c>
      <c r="AJ2079" s="4">
        <v>13</v>
      </c>
      <c r="AK2079" s="4">
        <v>15</v>
      </c>
      <c r="AL2079" s="4">
        <v>31</v>
      </c>
      <c r="AM2079" s="4">
        <v>31</v>
      </c>
      <c r="AN2079" s="4">
        <v>0</v>
      </c>
      <c r="AO2079" s="4">
        <v>0</v>
      </c>
      <c r="AP2079" s="4">
        <v>17</v>
      </c>
      <c r="AQ2079" s="4">
        <v>18</v>
      </c>
      <c r="AR2079" s="3" t="s">
        <v>62</v>
      </c>
      <c r="AS2079" s="3" t="s">
        <v>62</v>
      </c>
      <c r="AT2079" s="3" t="s">
        <v>62</v>
      </c>
      <c r="AV2079" s="6" t="str">
        <f>HYPERLINK("http://mcgill.on.worldcat.org/oclc/711643488","Catalog Record")</f>
        <v>Catalog Record</v>
      </c>
      <c r="AW2079" s="6" t="str">
        <f>HYPERLINK("http://www.worldcat.org/oclc/711643488","WorldCat Record")</f>
        <v>WorldCat Record</v>
      </c>
      <c r="AX2079" s="3" t="s">
        <v>20197</v>
      </c>
      <c r="AY2079" s="3" t="s">
        <v>20198</v>
      </c>
      <c r="AZ2079" s="3" t="s">
        <v>20199</v>
      </c>
      <c r="BA2079" s="3" t="s">
        <v>20199</v>
      </c>
      <c r="BB2079" s="3" t="s">
        <v>20200</v>
      </c>
      <c r="BC2079" s="3" t="s">
        <v>142</v>
      </c>
      <c r="BD2079" s="3" t="s">
        <v>308</v>
      </c>
      <c r="BE2079" s="3" t="s">
        <v>20201</v>
      </c>
      <c r="BF2079" s="3" t="s">
        <v>20200</v>
      </c>
      <c r="BG2079" s="3" t="s">
        <v>20202</v>
      </c>
    </row>
    <row r="2080" spans="1:59" ht="57" x14ac:dyDescent="0.45">
      <c r="A2080" s="2" t="s">
        <v>59</v>
      </c>
      <c r="B2080" s="2" t="s">
        <v>60</v>
      </c>
      <c r="C2080" s="2" t="s">
        <v>20203</v>
      </c>
      <c r="D2080" s="2" t="s">
        <v>20204</v>
      </c>
      <c r="E2080" s="2" t="s">
        <v>20205</v>
      </c>
      <c r="G2080" s="3" t="s">
        <v>62</v>
      </c>
      <c r="I2080" s="3" t="s">
        <v>62</v>
      </c>
      <c r="J2080" s="3" t="s">
        <v>62</v>
      </c>
      <c r="K2080" s="3" t="s">
        <v>63</v>
      </c>
      <c r="L2080" s="2" t="s">
        <v>20206</v>
      </c>
      <c r="M2080" s="2" t="s">
        <v>20207</v>
      </c>
      <c r="N2080" s="3" t="s">
        <v>542</v>
      </c>
      <c r="P2080" s="3" t="s">
        <v>65</v>
      </c>
      <c r="R2080" s="3" t="s">
        <v>66</v>
      </c>
      <c r="S2080" s="4">
        <v>15</v>
      </c>
      <c r="T2080" s="4">
        <v>15</v>
      </c>
      <c r="U2080" s="5" t="s">
        <v>4918</v>
      </c>
      <c r="V2080" s="5" t="s">
        <v>4918</v>
      </c>
      <c r="W2080" s="5" t="s">
        <v>67</v>
      </c>
      <c r="X2080" s="5" t="s">
        <v>67</v>
      </c>
      <c r="Y2080" s="4">
        <v>336</v>
      </c>
      <c r="Z2080" s="4">
        <v>21</v>
      </c>
      <c r="AA2080" s="4">
        <v>60</v>
      </c>
      <c r="AB2080" s="4">
        <v>3</v>
      </c>
      <c r="AC2080" s="4">
        <v>10</v>
      </c>
      <c r="AD2080" s="4">
        <v>102</v>
      </c>
      <c r="AE2080" s="4">
        <v>115</v>
      </c>
      <c r="AF2080" s="4">
        <v>1</v>
      </c>
      <c r="AG2080" s="4">
        <v>3</v>
      </c>
      <c r="AH2080" s="4">
        <v>90</v>
      </c>
      <c r="AI2080" s="4">
        <v>94</v>
      </c>
      <c r="AJ2080" s="4">
        <v>16</v>
      </c>
      <c r="AK2080" s="4">
        <v>21</v>
      </c>
      <c r="AL2080" s="4">
        <v>52</v>
      </c>
      <c r="AM2080" s="4">
        <v>53</v>
      </c>
      <c r="AN2080" s="4">
        <v>0</v>
      </c>
      <c r="AO2080" s="4">
        <v>0</v>
      </c>
      <c r="AP2080" s="4">
        <v>18</v>
      </c>
      <c r="AQ2080" s="4">
        <v>30</v>
      </c>
      <c r="AR2080" s="3" t="s">
        <v>62</v>
      </c>
      <c r="AS2080" s="3" t="s">
        <v>62</v>
      </c>
      <c r="AT2080" s="3" t="s">
        <v>61</v>
      </c>
      <c r="AU2080" s="6" t="str">
        <f>HYPERLINK("http://catalog.hathitrust.org/Record/007141320","HathiTrust Record")</f>
        <v>HathiTrust Record</v>
      </c>
      <c r="AV2080" s="6" t="str">
        <f>HYPERLINK("http://mcgill.on.worldcat.org/oclc/46332364","Catalog Record")</f>
        <v>Catalog Record</v>
      </c>
      <c r="AW2080" s="6" t="str">
        <f>HYPERLINK("http://www.worldcat.org/oclc/46332364","WorldCat Record")</f>
        <v>WorldCat Record</v>
      </c>
      <c r="AX2080" s="3" t="s">
        <v>20208</v>
      </c>
      <c r="AY2080" s="3" t="s">
        <v>20209</v>
      </c>
      <c r="AZ2080" s="3" t="s">
        <v>20210</v>
      </c>
      <c r="BA2080" s="3" t="s">
        <v>20210</v>
      </c>
      <c r="BB2080" s="3" t="s">
        <v>20211</v>
      </c>
      <c r="BC2080" s="3" t="s">
        <v>142</v>
      </c>
      <c r="BD2080" s="3" t="s">
        <v>68</v>
      </c>
      <c r="BE2080" s="3" t="s">
        <v>20212</v>
      </c>
      <c r="BF2080" s="3" t="s">
        <v>20211</v>
      </c>
      <c r="BG2080" s="3" t="s">
        <v>20213</v>
      </c>
    </row>
    <row r="2081" spans="1:59" ht="57" x14ac:dyDescent="0.45">
      <c r="A2081" s="2" t="s">
        <v>59</v>
      </c>
      <c r="B2081" s="2" t="s">
        <v>60</v>
      </c>
      <c r="C2081" s="2" t="s">
        <v>20214</v>
      </c>
      <c r="D2081" s="2" t="s">
        <v>20215</v>
      </c>
      <c r="E2081" s="2" t="s">
        <v>20216</v>
      </c>
      <c r="G2081" s="3" t="s">
        <v>62</v>
      </c>
      <c r="I2081" s="3" t="s">
        <v>62</v>
      </c>
      <c r="J2081" s="3" t="s">
        <v>62</v>
      </c>
      <c r="K2081" s="3" t="s">
        <v>63</v>
      </c>
      <c r="L2081" s="2" t="s">
        <v>20217</v>
      </c>
      <c r="M2081" s="2" t="s">
        <v>20218</v>
      </c>
      <c r="N2081" s="3" t="s">
        <v>1155</v>
      </c>
      <c r="P2081" s="3" t="s">
        <v>65</v>
      </c>
      <c r="Q2081" s="2" t="s">
        <v>20219</v>
      </c>
      <c r="R2081" s="3" t="s">
        <v>66</v>
      </c>
      <c r="S2081" s="4">
        <v>2</v>
      </c>
      <c r="T2081" s="4">
        <v>2</v>
      </c>
      <c r="U2081" s="5" t="s">
        <v>4918</v>
      </c>
      <c r="V2081" s="5" t="s">
        <v>4918</v>
      </c>
      <c r="W2081" s="5" t="s">
        <v>67</v>
      </c>
      <c r="X2081" s="5" t="s">
        <v>67</v>
      </c>
      <c r="Y2081" s="4">
        <v>409</v>
      </c>
      <c r="Z2081" s="4">
        <v>27</v>
      </c>
      <c r="AA2081" s="4">
        <v>44</v>
      </c>
      <c r="AB2081" s="4">
        <v>2</v>
      </c>
      <c r="AC2081" s="4">
        <v>7</v>
      </c>
      <c r="AD2081" s="4">
        <v>96</v>
      </c>
      <c r="AE2081" s="4">
        <v>108</v>
      </c>
      <c r="AF2081" s="4">
        <v>1</v>
      </c>
      <c r="AG2081" s="4">
        <v>3</v>
      </c>
      <c r="AH2081" s="4">
        <v>84</v>
      </c>
      <c r="AI2081" s="4">
        <v>92</v>
      </c>
      <c r="AJ2081" s="4">
        <v>16</v>
      </c>
      <c r="AK2081" s="4">
        <v>19</v>
      </c>
      <c r="AL2081" s="4">
        <v>45</v>
      </c>
      <c r="AM2081" s="4">
        <v>50</v>
      </c>
      <c r="AN2081" s="4">
        <v>0</v>
      </c>
      <c r="AO2081" s="4">
        <v>0</v>
      </c>
      <c r="AP2081" s="4">
        <v>20</v>
      </c>
      <c r="AQ2081" s="4">
        <v>25</v>
      </c>
      <c r="AR2081" s="3" t="s">
        <v>62</v>
      </c>
      <c r="AS2081" s="3" t="s">
        <v>62</v>
      </c>
      <c r="AT2081" s="3" t="s">
        <v>62</v>
      </c>
      <c r="AV2081" s="6" t="str">
        <f>HYPERLINK("http://mcgill.on.worldcat.org/oclc/744301864","Catalog Record")</f>
        <v>Catalog Record</v>
      </c>
      <c r="AW2081" s="6" t="str">
        <f>HYPERLINK("http://www.worldcat.org/oclc/744301864","WorldCat Record")</f>
        <v>WorldCat Record</v>
      </c>
      <c r="AX2081" s="3" t="s">
        <v>20220</v>
      </c>
      <c r="AY2081" s="3" t="s">
        <v>20221</v>
      </c>
      <c r="AZ2081" s="3" t="s">
        <v>20222</v>
      </c>
      <c r="BA2081" s="3" t="s">
        <v>20222</v>
      </c>
      <c r="BB2081" s="3" t="s">
        <v>20223</v>
      </c>
      <c r="BC2081" s="3" t="s">
        <v>142</v>
      </c>
      <c r="BD2081" s="3" t="s">
        <v>68</v>
      </c>
      <c r="BE2081" s="3" t="s">
        <v>20224</v>
      </c>
      <c r="BF2081" s="3" t="s">
        <v>20223</v>
      </c>
      <c r="BG2081" s="3" t="s">
        <v>20225</v>
      </c>
    </row>
    <row r="2082" spans="1:59" ht="57" x14ac:dyDescent="0.45">
      <c r="A2082" s="2" t="s">
        <v>59</v>
      </c>
      <c r="B2082" s="2" t="s">
        <v>60</v>
      </c>
      <c r="C2082" s="2" t="s">
        <v>20226</v>
      </c>
      <c r="D2082" s="2" t="s">
        <v>20227</v>
      </c>
      <c r="E2082" s="2" t="s">
        <v>20228</v>
      </c>
      <c r="G2082" s="3" t="s">
        <v>62</v>
      </c>
      <c r="I2082" s="3" t="s">
        <v>61</v>
      </c>
      <c r="J2082" s="3" t="s">
        <v>62</v>
      </c>
      <c r="K2082" s="3" t="s">
        <v>63</v>
      </c>
      <c r="L2082" s="2" t="s">
        <v>13305</v>
      </c>
      <c r="M2082" s="2" t="s">
        <v>20229</v>
      </c>
      <c r="N2082" s="3" t="s">
        <v>1253</v>
      </c>
      <c r="P2082" s="3" t="s">
        <v>65</v>
      </c>
      <c r="Q2082" s="2" t="s">
        <v>20230</v>
      </c>
      <c r="R2082" s="3" t="s">
        <v>66</v>
      </c>
      <c r="S2082" s="4">
        <v>19</v>
      </c>
      <c r="T2082" s="4">
        <v>57</v>
      </c>
      <c r="U2082" s="5" t="s">
        <v>20231</v>
      </c>
      <c r="V2082" s="5" t="s">
        <v>4142</v>
      </c>
      <c r="W2082" s="5" t="s">
        <v>67</v>
      </c>
      <c r="X2082" s="5" t="s">
        <v>67</v>
      </c>
      <c r="Y2082" s="4">
        <v>282</v>
      </c>
      <c r="Z2082" s="4">
        <v>15</v>
      </c>
      <c r="AA2082" s="4">
        <v>27</v>
      </c>
      <c r="AB2082" s="4">
        <v>1</v>
      </c>
      <c r="AC2082" s="4">
        <v>7</v>
      </c>
      <c r="AD2082" s="4">
        <v>74</v>
      </c>
      <c r="AE2082" s="4">
        <v>83</v>
      </c>
      <c r="AF2082" s="4">
        <v>0</v>
      </c>
      <c r="AG2082" s="4">
        <v>2</v>
      </c>
      <c r="AH2082" s="4">
        <v>68</v>
      </c>
      <c r="AI2082" s="4">
        <v>71</v>
      </c>
      <c r="AJ2082" s="4">
        <v>8</v>
      </c>
      <c r="AK2082" s="4">
        <v>12</v>
      </c>
      <c r="AL2082" s="4">
        <v>38</v>
      </c>
      <c r="AM2082" s="4">
        <v>40</v>
      </c>
      <c r="AN2082" s="4">
        <v>0</v>
      </c>
      <c r="AO2082" s="4">
        <v>0</v>
      </c>
      <c r="AP2082" s="4">
        <v>9</v>
      </c>
      <c r="AQ2082" s="4">
        <v>14</v>
      </c>
      <c r="AR2082" s="3" t="s">
        <v>62</v>
      </c>
      <c r="AS2082" s="3" t="s">
        <v>62</v>
      </c>
      <c r="AT2082" s="3" t="s">
        <v>62</v>
      </c>
      <c r="AV2082" s="6" t="str">
        <f>HYPERLINK("http://mcgill.on.worldcat.org/oclc/37799096","Catalog Record")</f>
        <v>Catalog Record</v>
      </c>
      <c r="AW2082" s="6" t="str">
        <f>HYPERLINK("http://www.worldcat.org/oclc/37799096","WorldCat Record")</f>
        <v>WorldCat Record</v>
      </c>
      <c r="AX2082" s="3" t="s">
        <v>20232</v>
      </c>
      <c r="AY2082" s="3" t="s">
        <v>20233</v>
      </c>
      <c r="AZ2082" s="3" t="s">
        <v>20234</v>
      </c>
      <c r="BA2082" s="3" t="s">
        <v>20234</v>
      </c>
      <c r="BB2082" s="3" t="s">
        <v>20235</v>
      </c>
      <c r="BC2082" s="3" t="s">
        <v>142</v>
      </c>
      <c r="BD2082" s="3" t="s">
        <v>68</v>
      </c>
      <c r="BE2082" s="3" t="s">
        <v>20236</v>
      </c>
      <c r="BF2082" s="3" t="s">
        <v>20235</v>
      </c>
      <c r="BG2082" s="3" t="s">
        <v>20237</v>
      </c>
    </row>
    <row r="2083" spans="1:59" ht="57" x14ac:dyDescent="0.45">
      <c r="A2083" s="2" t="s">
        <v>59</v>
      </c>
      <c r="B2083" s="2" t="s">
        <v>60</v>
      </c>
      <c r="C2083" s="2" t="s">
        <v>20226</v>
      </c>
      <c r="D2083" s="2" t="s">
        <v>20227</v>
      </c>
      <c r="E2083" s="2" t="s">
        <v>20228</v>
      </c>
      <c r="G2083" s="3" t="s">
        <v>62</v>
      </c>
      <c r="I2083" s="3" t="s">
        <v>61</v>
      </c>
      <c r="J2083" s="3" t="s">
        <v>62</v>
      </c>
      <c r="K2083" s="3" t="s">
        <v>63</v>
      </c>
      <c r="L2083" s="2" t="s">
        <v>13305</v>
      </c>
      <c r="M2083" s="2" t="s">
        <v>20229</v>
      </c>
      <c r="N2083" s="3" t="s">
        <v>1253</v>
      </c>
      <c r="P2083" s="3" t="s">
        <v>65</v>
      </c>
      <c r="Q2083" s="2" t="s">
        <v>20230</v>
      </c>
      <c r="R2083" s="3" t="s">
        <v>66</v>
      </c>
      <c r="S2083" s="4">
        <v>18</v>
      </c>
      <c r="T2083" s="4">
        <v>57</v>
      </c>
      <c r="U2083" s="5" t="s">
        <v>4142</v>
      </c>
      <c r="V2083" s="5" t="s">
        <v>4142</v>
      </c>
      <c r="W2083" s="5" t="s">
        <v>67</v>
      </c>
      <c r="X2083" s="5" t="s">
        <v>67</v>
      </c>
      <c r="Y2083" s="4">
        <v>282</v>
      </c>
      <c r="Z2083" s="4">
        <v>15</v>
      </c>
      <c r="AA2083" s="4">
        <v>27</v>
      </c>
      <c r="AB2083" s="4">
        <v>1</v>
      </c>
      <c r="AC2083" s="4">
        <v>7</v>
      </c>
      <c r="AD2083" s="4">
        <v>74</v>
      </c>
      <c r="AE2083" s="4">
        <v>83</v>
      </c>
      <c r="AF2083" s="4">
        <v>0</v>
      </c>
      <c r="AG2083" s="4">
        <v>2</v>
      </c>
      <c r="AH2083" s="4">
        <v>68</v>
      </c>
      <c r="AI2083" s="4">
        <v>71</v>
      </c>
      <c r="AJ2083" s="4">
        <v>8</v>
      </c>
      <c r="AK2083" s="4">
        <v>12</v>
      </c>
      <c r="AL2083" s="4">
        <v>38</v>
      </c>
      <c r="AM2083" s="4">
        <v>40</v>
      </c>
      <c r="AN2083" s="4">
        <v>0</v>
      </c>
      <c r="AO2083" s="4">
        <v>0</v>
      </c>
      <c r="AP2083" s="4">
        <v>9</v>
      </c>
      <c r="AQ2083" s="4">
        <v>14</v>
      </c>
      <c r="AR2083" s="3" t="s">
        <v>62</v>
      </c>
      <c r="AS2083" s="3" t="s">
        <v>62</v>
      </c>
      <c r="AT2083" s="3" t="s">
        <v>62</v>
      </c>
      <c r="AV2083" s="6" t="str">
        <f>HYPERLINK("http://mcgill.on.worldcat.org/oclc/37799096","Catalog Record")</f>
        <v>Catalog Record</v>
      </c>
      <c r="AW2083" s="6" t="str">
        <f>HYPERLINK("http://www.worldcat.org/oclc/37799096","WorldCat Record")</f>
        <v>WorldCat Record</v>
      </c>
      <c r="AX2083" s="3" t="s">
        <v>20232</v>
      </c>
      <c r="AY2083" s="3" t="s">
        <v>20233</v>
      </c>
      <c r="AZ2083" s="3" t="s">
        <v>20234</v>
      </c>
      <c r="BA2083" s="3" t="s">
        <v>20234</v>
      </c>
      <c r="BB2083" s="3" t="s">
        <v>20238</v>
      </c>
      <c r="BC2083" s="3" t="s">
        <v>142</v>
      </c>
      <c r="BD2083" s="3" t="s">
        <v>68</v>
      </c>
      <c r="BE2083" s="3" t="s">
        <v>20236</v>
      </c>
      <c r="BF2083" s="3" t="s">
        <v>20238</v>
      </c>
      <c r="BG2083" s="3" t="s">
        <v>20239</v>
      </c>
    </row>
    <row r="2084" spans="1:59" ht="57" x14ac:dyDescent="0.45">
      <c r="A2084" s="2" t="s">
        <v>59</v>
      </c>
      <c r="B2084" s="2" t="s">
        <v>60</v>
      </c>
      <c r="C2084" s="2" t="s">
        <v>20226</v>
      </c>
      <c r="D2084" s="2" t="s">
        <v>20227</v>
      </c>
      <c r="E2084" s="2" t="s">
        <v>20228</v>
      </c>
      <c r="G2084" s="3" t="s">
        <v>62</v>
      </c>
      <c r="I2084" s="3" t="s">
        <v>61</v>
      </c>
      <c r="J2084" s="3" t="s">
        <v>62</v>
      </c>
      <c r="K2084" s="3" t="s">
        <v>63</v>
      </c>
      <c r="L2084" s="2" t="s">
        <v>13305</v>
      </c>
      <c r="M2084" s="2" t="s">
        <v>20229</v>
      </c>
      <c r="N2084" s="3" t="s">
        <v>1253</v>
      </c>
      <c r="P2084" s="3" t="s">
        <v>65</v>
      </c>
      <c r="Q2084" s="2" t="s">
        <v>20230</v>
      </c>
      <c r="R2084" s="3" t="s">
        <v>66</v>
      </c>
      <c r="S2084" s="4">
        <v>20</v>
      </c>
      <c r="T2084" s="4">
        <v>57</v>
      </c>
      <c r="U2084" s="5" t="s">
        <v>20240</v>
      </c>
      <c r="V2084" s="5" t="s">
        <v>4142</v>
      </c>
      <c r="W2084" s="5" t="s">
        <v>67</v>
      </c>
      <c r="X2084" s="5" t="s">
        <v>67</v>
      </c>
      <c r="Y2084" s="4">
        <v>282</v>
      </c>
      <c r="Z2084" s="4">
        <v>15</v>
      </c>
      <c r="AA2084" s="4">
        <v>27</v>
      </c>
      <c r="AB2084" s="4">
        <v>1</v>
      </c>
      <c r="AC2084" s="4">
        <v>7</v>
      </c>
      <c r="AD2084" s="4">
        <v>74</v>
      </c>
      <c r="AE2084" s="4">
        <v>83</v>
      </c>
      <c r="AF2084" s="4">
        <v>0</v>
      </c>
      <c r="AG2084" s="4">
        <v>2</v>
      </c>
      <c r="AH2084" s="4">
        <v>68</v>
      </c>
      <c r="AI2084" s="4">
        <v>71</v>
      </c>
      <c r="AJ2084" s="4">
        <v>8</v>
      </c>
      <c r="AK2084" s="4">
        <v>12</v>
      </c>
      <c r="AL2084" s="4">
        <v>38</v>
      </c>
      <c r="AM2084" s="4">
        <v>40</v>
      </c>
      <c r="AN2084" s="4">
        <v>0</v>
      </c>
      <c r="AO2084" s="4">
        <v>0</v>
      </c>
      <c r="AP2084" s="4">
        <v>9</v>
      </c>
      <c r="AQ2084" s="4">
        <v>14</v>
      </c>
      <c r="AR2084" s="3" t="s">
        <v>62</v>
      </c>
      <c r="AS2084" s="3" t="s">
        <v>62</v>
      </c>
      <c r="AT2084" s="3" t="s">
        <v>62</v>
      </c>
      <c r="AV2084" s="6" t="str">
        <f>HYPERLINK("http://mcgill.on.worldcat.org/oclc/37799096","Catalog Record")</f>
        <v>Catalog Record</v>
      </c>
      <c r="AW2084" s="6" t="str">
        <f>HYPERLINK("http://www.worldcat.org/oclc/37799096","WorldCat Record")</f>
        <v>WorldCat Record</v>
      </c>
      <c r="AX2084" s="3" t="s">
        <v>20232</v>
      </c>
      <c r="AY2084" s="3" t="s">
        <v>20233</v>
      </c>
      <c r="AZ2084" s="3" t="s">
        <v>20234</v>
      </c>
      <c r="BA2084" s="3" t="s">
        <v>20234</v>
      </c>
      <c r="BB2084" s="3" t="s">
        <v>20241</v>
      </c>
      <c r="BC2084" s="3" t="s">
        <v>142</v>
      </c>
      <c r="BD2084" s="3" t="s">
        <v>68</v>
      </c>
      <c r="BE2084" s="3" t="s">
        <v>20236</v>
      </c>
      <c r="BF2084" s="3" t="s">
        <v>20241</v>
      </c>
      <c r="BG2084" s="3" t="s">
        <v>20242</v>
      </c>
    </row>
    <row r="2085" spans="1:59" ht="57" x14ac:dyDescent="0.45">
      <c r="A2085" s="2" t="s">
        <v>59</v>
      </c>
      <c r="B2085" s="2" t="s">
        <v>60</v>
      </c>
      <c r="C2085" s="2" t="s">
        <v>20243</v>
      </c>
      <c r="D2085" s="2" t="s">
        <v>20244</v>
      </c>
      <c r="E2085" s="2" t="s">
        <v>20245</v>
      </c>
      <c r="G2085" s="3" t="s">
        <v>62</v>
      </c>
      <c r="I2085" s="3" t="s">
        <v>62</v>
      </c>
      <c r="J2085" s="3" t="s">
        <v>62</v>
      </c>
      <c r="K2085" s="3" t="s">
        <v>63</v>
      </c>
      <c r="L2085" s="2" t="s">
        <v>20246</v>
      </c>
      <c r="M2085" s="2" t="s">
        <v>20247</v>
      </c>
      <c r="N2085" s="3" t="s">
        <v>1155</v>
      </c>
      <c r="P2085" s="3" t="s">
        <v>65</v>
      </c>
      <c r="R2085" s="3" t="s">
        <v>66</v>
      </c>
      <c r="S2085" s="4">
        <v>0</v>
      </c>
      <c r="T2085" s="4">
        <v>0</v>
      </c>
      <c r="W2085" s="5" t="s">
        <v>67</v>
      </c>
      <c r="X2085" s="5" t="s">
        <v>67</v>
      </c>
      <c r="Y2085" s="4">
        <v>180</v>
      </c>
      <c r="Z2085" s="4">
        <v>23</v>
      </c>
      <c r="AA2085" s="4">
        <v>30</v>
      </c>
      <c r="AB2085" s="4">
        <v>2</v>
      </c>
      <c r="AC2085" s="4">
        <v>4</v>
      </c>
      <c r="AD2085" s="4">
        <v>63</v>
      </c>
      <c r="AE2085" s="4">
        <v>76</v>
      </c>
      <c r="AF2085" s="4">
        <v>1</v>
      </c>
      <c r="AG2085" s="4">
        <v>1</v>
      </c>
      <c r="AH2085" s="4">
        <v>57</v>
      </c>
      <c r="AI2085" s="4">
        <v>66</v>
      </c>
      <c r="AJ2085" s="4">
        <v>14</v>
      </c>
      <c r="AK2085" s="4">
        <v>17</v>
      </c>
      <c r="AL2085" s="4">
        <v>29</v>
      </c>
      <c r="AM2085" s="4">
        <v>36</v>
      </c>
      <c r="AN2085" s="4">
        <v>0</v>
      </c>
      <c r="AO2085" s="4">
        <v>0</v>
      </c>
      <c r="AP2085" s="4">
        <v>16</v>
      </c>
      <c r="AQ2085" s="4">
        <v>20</v>
      </c>
      <c r="AR2085" s="3" t="s">
        <v>62</v>
      </c>
      <c r="AS2085" s="3" t="s">
        <v>62</v>
      </c>
      <c r="AT2085" s="3" t="s">
        <v>62</v>
      </c>
      <c r="AV2085" s="6" t="str">
        <f>HYPERLINK("http://mcgill.on.worldcat.org/oclc/748328965","Catalog Record")</f>
        <v>Catalog Record</v>
      </c>
      <c r="AW2085" s="6" t="str">
        <f>HYPERLINK("http://www.worldcat.org/oclc/748328965","WorldCat Record")</f>
        <v>WorldCat Record</v>
      </c>
      <c r="AX2085" s="3" t="s">
        <v>20248</v>
      </c>
      <c r="AY2085" s="3" t="s">
        <v>20249</v>
      </c>
      <c r="AZ2085" s="3" t="s">
        <v>20250</v>
      </c>
      <c r="BA2085" s="3" t="s">
        <v>20250</v>
      </c>
      <c r="BB2085" s="3" t="s">
        <v>20251</v>
      </c>
      <c r="BC2085" s="3" t="s">
        <v>142</v>
      </c>
      <c r="BD2085" s="3" t="s">
        <v>68</v>
      </c>
      <c r="BE2085" s="3" t="s">
        <v>20252</v>
      </c>
      <c r="BF2085" s="3" t="s">
        <v>20251</v>
      </c>
      <c r="BG2085" s="3" t="s">
        <v>20253</v>
      </c>
    </row>
    <row r="2086" spans="1:59" ht="57" x14ac:dyDescent="0.45">
      <c r="A2086" s="2" t="s">
        <v>59</v>
      </c>
      <c r="B2086" s="2" t="s">
        <v>60</v>
      </c>
      <c r="C2086" s="2" t="s">
        <v>20254</v>
      </c>
      <c r="D2086" s="2" t="s">
        <v>20255</v>
      </c>
      <c r="E2086" s="2" t="s">
        <v>20256</v>
      </c>
      <c r="G2086" s="3" t="s">
        <v>62</v>
      </c>
      <c r="I2086" s="3" t="s">
        <v>62</v>
      </c>
      <c r="J2086" s="3" t="s">
        <v>62</v>
      </c>
      <c r="K2086" s="3" t="s">
        <v>63</v>
      </c>
      <c r="M2086" s="2" t="s">
        <v>6523</v>
      </c>
      <c r="N2086" s="3" t="s">
        <v>1059</v>
      </c>
      <c r="P2086" s="3" t="s">
        <v>65</v>
      </c>
      <c r="R2086" s="3" t="s">
        <v>66</v>
      </c>
      <c r="S2086" s="4">
        <v>30</v>
      </c>
      <c r="T2086" s="4">
        <v>30</v>
      </c>
      <c r="U2086" s="5" t="s">
        <v>4748</v>
      </c>
      <c r="V2086" s="5" t="s">
        <v>4748</v>
      </c>
      <c r="W2086" s="5" t="s">
        <v>67</v>
      </c>
      <c r="X2086" s="5" t="s">
        <v>67</v>
      </c>
      <c r="Y2086" s="4">
        <v>389</v>
      </c>
      <c r="Z2086" s="4">
        <v>33</v>
      </c>
      <c r="AA2086" s="4">
        <v>69</v>
      </c>
      <c r="AB2086" s="4">
        <v>2</v>
      </c>
      <c r="AC2086" s="4">
        <v>18</v>
      </c>
      <c r="AD2086" s="4">
        <v>89</v>
      </c>
      <c r="AE2086" s="4">
        <v>118</v>
      </c>
      <c r="AF2086" s="4">
        <v>1</v>
      </c>
      <c r="AG2086" s="4">
        <v>8</v>
      </c>
      <c r="AH2086" s="4">
        <v>78</v>
      </c>
      <c r="AI2086" s="4">
        <v>84</v>
      </c>
      <c r="AJ2086" s="4">
        <v>16</v>
      </c>
      <c r="AK2086" s="4">
        <v>24</v>
      </c>
      <c r="AL2086" s="4">
        <v>39</v>
      </c>
      <c r="AM2086" s="4">
        <v>41</v>
      </c>
      <c r="AN2086" s="4">
        <v>0</v>
      </c>
      <c r="AO2086" s="4">
        <v>0</v>
      </c>
      <c r="AP2086" s="4">
        <v>20</v>
      </c>
      <c r="AQ2086" s="4">
        <v>46</v>
      </c>
      <c r="AR2086" s="3" t="s">
        <v>62</v>
      </c>
      <c r="AS2086" s="3" t="s">
        <v>62</v>
      </c>
      <c r="AT2086" s="3" t="s">
        <v>62</v>
      </c>
      <c r="AV2086" s="6" t="str">
        <f>HYPERLINK("http://mcgill.on.worldcat.org/oclc/58423137","Catalog Record")</f>
        <v>Catalog Record</v>
      </c>
      <c r="AW2086" s="6" t="str">
        <f>HYPERLINK("http://www.worldcat.org/oclc/58423137","WorldCat Record")</f>
        <v>WorldCat Record</v>
      </c>
      <c r="AX2086" s="3" t="s">
        <v>20257</v>
      </c>
      <c r="AY2086" s="3" t="s">
        <v>20258</v>
      </c>
      <c r="AZ2086" s="3" t="s">
        <v>20259</v>
      </c>
      <c r="BA2086" s="3" t="s">
        <v>20259</v>
      </c>
      <c r="BB2086" s="3" t="s">
        <v>20260</v>
      </c>
      <c r="BC2086" s="3" t="s">
        <v>142</v>
      </c>
      <c r="BD2086" s="3" t="s">
        <v>68</v>
      </c>
      <c r="BE2086" s="3" t="s">
        <v>20261</v>
      </c>
      <c r="BF2086" s="3" t="s">
        <v>20260</v>
      </c>
      <c r="BG2086" s="3" t="s">
        <v>20262</v>
      </c>
    </row>
    <row r="2087" spans="1:59" ht="57" x14ac:dyDescent="0.45">
      <c r="A2087" s="2" t="s">
        <v>59</v>
      </c>
      <c r="B2087" s="2" t="s">
        <v>60</v>
      </c>
      <c r="C2087" s="2" t="s">
        <v>20263</v>
      </c>
      <c r="D2087" s="2" t="s">
        <v>20264</v>
      </c>
      <c r="E2087" s="2" t="s">
        <v>20265</v>
      </c>
      <c r="G2087" s="3" t="s">
        <v>62</v>
      </c>
      <c r="I2087" s="3" t="s">
        <v>62</v>
      </c>
      <c r="J2087" s="3" t="s">
        <v>61</v>
      </c>
      <c r="K2087" s="3" t="s">
        <v>63</v>
      </c>
      <c r="M2087" s="2" t="s">
        <v>1489</v>
      </c>
      <c r="N2087" s="3" t="s">
        <v>542</v>
      </c>
      <c r="P2087" s="3" t="s">
        <v>65</v>
      </c>
      <c r="Q2087" s="2" t="s">
        <v>20266</v>
      </c>
      <c r="R2087" s="3" t="s">
        <v>66</v>
      </c>
      <c r="S2087" s="4">
        <v>33</v>
      </c>
      <c r="T2087" s="4">
        <v>33</v>
      </c>
      <c r="U2087" s="5" t="s">
        <v>12942</v>
      </c>
      <c r="V2087" s="5" t="s">
        <v>12942</v>
      </c>
      <c r="W2087" s="5" t="s">
        <v>67</v>
      </c>
      <c r="X2087" s="5" t="s">
        <v>67</v>
      </c>
      <c r="Y2087" s="4">
        <v>413</v>
      </c>
      <c r="Z2087" s="4">
        <v>33</v>
      </c>
      <c r="AA2087" s="4">
        <v>68</v>
      </c>
      <c r="AB2087" s="4">
        <v>3</v>
      </c>
      <c r="AC2087" s="4">
        <v>13</v>
      </c>
      <c r="AD2087" s="4">
        <v>97</v>
      </c>
      <c r="AE2087" s="4">
        <v>139</v>
      </c>
      <c r="AF2087" s="4">
        <v>1</v>
      </c>
      <c r="AG2087" s="4">
        <v>6</v>
      </c>
      <c r="AH2087" s="4">
        <v>82</v>
      </c>
      <c r="AI2087" s="4">
        <v>105</v>
      </c>
      <c r="AJ2087" s="4">
        <v>14</v>
      </c>
      <c r="AK2087" s="4">
        <v>25</v>
      </c>
      <c r="AL2087" s="4">
        <v>44</v>
      </c>
      <c r="AM2087" s="4">
        <v>53</v>
      </c>
      <c r="AN2087" s="4">
        <v>0</v>
      </c>
      <c r="AO2087" s="4">
        <v>0</v>
      </c>
      <c r="AP2087" s="4">
        <v>23</v>
      </c>
      <c r="AQ2087" s="4">
        <v>46</v>
      </c>
      <c r="AR2087" s="3" t="s">
        <v>62</v>
      </c>
      <c r="AS2087" s="3" t="s">
        <v>62</v>
      </c>
      <c r="AT2087" s="3" t="s">
        <v>62</v>
      </c>
      <c r="AV2087" s="6" t="str">
        <f>HYPERLINK("http://mcgill.on.worldcat.org/oclc/44650979","Catalog Record")</f>
        <v>Catalog Record</v>
      </c>
      <c r="AW2087" s="6" t="str">
        <f>HYPERLINK("http://www.worldcat.org/oclc/44650979","WorldCat Record")</f>
        <v>WorldCat Record</v>
      </c>
      <c r="AX2087" s="3" t="s">
        <v>20267</v>
      </c>
      <c r="AY2087" s="3" t="s">
        <v>20268</v>
      </c>
      <c r="AZ2087" s="3" t="s">
        <v>20269</v>
      </c>
      <c r="BA2087" s="3" t="s">
        <v>20269</v>
      </c>
      <c r="BB2087" s="3" t="s">
        <v>20270</v>
      </c>
      <c r="BC2087" s="3" t="s">
        <v>142</v>
      </c>
      <c r="BD2087" s="3" t="s">
        <v>68</v>
      </c>
      <c r="BE2087" s="3" t="s">
        <v>20271</v>
      </c>
      <c r="BF2087" s="3" t="s">
        <v>20270</v>
      </c>
      <c r="BG2087" s="3" t="s">
        <v>20272</v>
      </c>
    </row>
    <row r="2088" spans="1:59" ht="57" x14ac:dyDescent="0.45">
      <c r="A2088" s="2" t="s">
        <v>59</v>
      </c>
      <c r="B2088" s="2" t="s">
        <v>60</v>
      </c>
      <c r="C2088" s="2" t="s">
        <v>20273</v>
      </c>
      <c r="D2088" s="2" t="s">
        <v>20274</v>
      </c>
      <c r="E2088" s="2" t="s">
        <v>20265</v>
      </c>
      <c r="G2088" s="3" t="s">
        <v>62</v>
      </c>
      <c r="I2088" s="3" t="s">
        <v>62</v>
      </c>
      <c r="J2088" s="3" t="s">
        <v>61</v>
      </c>
      <c r="K2088" s="3" t="s">
        <v>63</v>
      </c>
      <c r="M2088" s="2" t="s">
        <v>20275</v>
      </c>
      <c r="N2088" s="3" t="s">
        <v>1059</v>
      </c>
      <c r="O2088" s="2" t="s">
        <v>3255</v>
      </c>
      <c r="P2088" s="3" t="s">
        <v>65</v>
      </c>
      <c r="Q2088" s="2" t="s">
        <v>20266</v>
      </c>
      <c r="R2088" s="3" t="s">
        <v>66</v>
      </c>
      <c r="S2088" s="4">
        <v>70</v>
      </c>
      <c r="T2088" s="4">
        <v>70</v>
      </c>
      <c r="U2088" s="5" t="s">
        <v>10258</v>
      </c>
      <c r="V2088" s="5" t="s">
        <v>10258</v>
      </c>
      <c r="W2088" s="5" t="s">
        <v>67</v>
      </c>
      <c r="X2088" s="5" t="s">
        <v>67</v>
      </c>
      <c r="Y2088" s="4">
        <v>375</v>
      </c>
      <c r="Z2088" s="4">
        <v>34</v>
      </c>
      <c r="AA2088" s="4">
        <v>68</v>
      </c>
      <c r="AB2088" s="4">
        <v>2</v>
      </c>
      <c r="AC2088" s="4">
        <v>13</v>
      </c>
      <c r="AD2088" s="4">
        <v>82</v>
      </c>
      <c r="AE2088" s="4">
        <v>139</v>
      </c>
      <c r="AF2088" s="4">
        <v>1</v>
      </c>
      <c r="AG2088" s="4">
        <v>6</v>
      </c>
      <c r="AH2088" s="4">
        <v>62</v>
      </c>
      <c r="AI2088" s="4">
        <v>105</v>
      </c>
      <c r="AJ2088" s="4">
        <v>17</v>
      </c>
      <c r="AK2088" s="4">
        <v>25</v>
      </c>
      <c r="AL2088" s="4">
        <v>32</v>
      </c>
      <c r="AM2088" s="4">
        <v>53</v>
      </c>
      <c r="AN2088" s="4">
        <v>0</v>
      </c>
      <c r="AO2088" s="4">
        <v>0</v>
      </c>
      <c r="AP2088" s="4">
        <v>29</v>
      </c>
      <c r="AQ2088" s="4">
        <v>46</v>
      </c>
      <c r="AR2088" s="3" t="s">
        <v>62</v>
      </c>
      <c r="AS2088" s="3" t="s">
        <v>62</v>
      </c>
      <c r="AT2088" s="3" t="s">
        <v>62</v>
      </c>
      <c r="AV2088" s="6" t="str">
        <f>HYPERLINK("http://mcgill.on.worldcat.org/oclc/60401994","Catalog Record")</f>
        <v>Catalog Record</v>
      </c>
      <c r="AW2088" s="6" t="str">
        <f>HYPERLINK("http://www.worldcat.org/oclc/60401994","WorldCat Record")</f>
        <v>WorldCat Record</v>
      </c>
      <c r="AX2088" s="3" t="s">
        <v>20267</v>
      </c>
      <c r="AY2088" s="3" t="s">
        <v>20276</v>
      </c>
      <c r="AZ2088" s="3" t="s">
        <v>20277</v>
      </c>
      <c r="BA2088" s="3" t="s">
        <v>20277</v>
      </c>
      <c r="BB2088" s="3" t="s">
        <v>20278</v>
      </c>
      <c r="BC2088" s="3" t="s">
        <v>142</v>
      </c>
      <c r="BD2088" s="3" t="s">
        <v>68</v>
      </c>
      <c r="BE2088" s="3" t="s">
        <v>20279</v>
      </c>
      <c r="BF2088" s="3" t="s">
        <v>20278</v>
      </c>
      <c r="BG2088" s="3" t="s">
        <v>20280</v>
      </c>
    </row>
    <row r="2089" spans="1:59" ht="57" x14ac:dyDescent="0.45">
      <c r="A2089" s="2" t="s">
        <v>59</v>
      </c>
      <c r="B2089" s="2" t="s">
        <v>60</v>
      </c>
      <c r="C2089" s="2" t="s">
        <v>20281</v>
      </c>
      <c r="D2089" s="2" t="s">
        <v>20282</v>
      </c>
      <c r="E2089" s="2" t="s">
        <v>20265</v>
      </c>
      <c r="G2089" s="3" t="s">
        <v>62</v>
      </c>
      <c r="I2089" s="3" t="s">
        <v>62</v>
      </c>
      <c r="J2089" s="3" t="s">
        <v>61</v>
      </c>
      <c r="K2089" s="3" t="s">
        <v>63</v>
      </c>
      <c r="M2089" s="2" t="s">
        <v>20283</v>
      </c>
      <c r="N2089" s="3" t="s">
        <v>1155</v>
      </c>
      <c r="O2089" s="2" t="s">
        <v>933</v>
      </c>
      <c r="P2089" s="3" t="s">
        <v>65</v>
      </c>
      <c r="R2089" s="3" t="s">
        <v>66</v>
      </c>
      <c r="S2089" s="4">
        <v>6</v>
      </c>
      <c r="T2089" s="4">
        <v>6</v>
      </c>
      <c r="U2089" s="5" t="s">
        <v>3485</v>
      </c>
      <c r="V2089" s="5" t="s">
        <v>3485</v>
      </c>
      <c r="W2089" s="5" t="s">
        <v>67</v>
      </c>
      <c r="X2089" s="5" t="s">
        <v>67</v>
      </c>
      <c r="Y2089" s="4">
        <v>228</v>
      </c>
      <c r="Z2089" s="4">
        <v>22</v>
      </c>
      <c r="AA2089" s="4">
        <v>68</v>
      </c>
      <c r="AB2089" s="4">
        <v>2</v>
      </c>
      <c r="AC2089" s="4">
        <v>13</v>
      </c>
      <c r="AD2089" s="4">
        <v>47</v>
      </c>
      <c r="AE2089" s="4">
        <v>139</v>
      </c>
      <c r="AF2089" s="4">
        <v>1</v>
      </c>
      <c r="AG2089" s="4">
        <v>6</v>
      </c>
      <c r="AH2089" s="4">
        <v>41</v>
      </c>
      <c r="AI2089" s="4">
        <v>105</v>
      </c>
      <c r="AJ2089" s="4">
        <v>13</v>
      </c>
      <c r="AK2089" s="4">
        <v>25</v>
      </c>
      <c r="AL2089" s="4">
        <v>23</v>
      </c>
      <c r="AM2089" s="4">
        <v>53</v>
      </c>
      <c r="AN2089" s="4">
        <v>0</v>
      </c>
      <c r="AO2089" s="4">
        <v>0</v>
      </c>
      <c r="AP2089" s="4">
        <v>14</v>
      </c>
      <c r="AQ2089" s="4">
        <v>46</v>
      </c>
      <c r="AR2089" s="3" t="s">
        <v>62</v>
      </c>
      <c r="AS2089" s="3" t="s">
        <v>62</v>
      </c>
      <c r="AT2089" s="3" t="s">
        <v>62</v>
      </c>
      <c r="AV2089" s="6" t="str">
        <f>HYPERLINK("http://mcgill.on.worldcat.org/oclc/758973643","Catalog Record")</f>
        <v>Catalog Record</v>
      </c>
      <c r="AW2089" s="6" t="str">
        <f>HYPERLINK("http://www.worldcat.org/oclc/758973643","WorldCat Record")</f>
        <v>WorldCat Record</v>
      </c>
      <c r="AX2089" s="3" t="s">
        <v>20267</v>
      </c>
      <c r="AY2089" s="3" t="s">
        <v>20284</v>
      </c>
      <c r="AZ2089" s="3" t="s">
        <v>20285</v>
      </c>
      <c r="BA2089" s="3" t="s">
        <v>20285</v>
      </c>
      <c r="BB2089" s="3" t="s">
        <v>20286</v>
      </c>
      <c r="BC2089" s="3" t="s">
        <v>142</v>
      </c>
      <c r="BD2089" s="3" t="s">
        <v>68</v>
      </c>
      <c r="BE2089" s="3" t="s">
        <v>20287</v>
      </c>
      <c r="BF2089" s="3" t="s">
        <v>20286</v>
      </c>
      <c r="BG2089" s="3" t="s">
        <v>20288</v>
      </c>
    </row>
    <row r="2090" spans="1:59" ht="57" x14ac:dyDescent="0.45">
      <c r="A2090" s="2" t="s">
        <v>59</v>
      </c>
      <c r="B2090" s="2" t="s">
        <v>60</v>
      </c>
      <c r="C2090" s="2" t="s">
        <v>20289</v>
      </c>
      <c r="D2090" s="2" t="s">
        <v>20290</v>
      </c>
      <c r="E2090" s="2" t="s">
        <v>20291</v>
      </c>
      <c r="G2090" s="3" t="s">
        <v>62</v>
      </c>
      <c r="I2090" s="3" t="s">
        <v>62</v>
      </c>
      <c r="J2090" s="3" t="s">
        <v>62</v>
      </c>
      <c r="K2090" s="3" t="s">
        <v>63</v>
      </c>
      <c r="M2090" s="2" t="s">
        <v>20292</v>
      </c>
      <c r="N2090" s="3" t="s">
        <v>945</v>
      </c>
      <c r="P2090" s="3" t="s">
        <v>65</v>
      </c>
      <c r="R2090" s="3" t="s">
        <v>66</v>
      </c>
      <c r="S2090" s="4">
        <v>15</v>
      </c>
      <c r="T2090" s="4">
        <v>15</v>
      </c>
      <c r="U2090" s="5" t="s">
        <v>20293</v>
      </c>
      <c r="V2090" s="5" t="s">
        <v>20293</v>
      </c>
      <c r="W2090" s="5" t="s">
        <v>67</v>
      </c>
      <c r="X2090" s="5" t="s">
        <v>67</v>
      </c>
      <c r="Y2090" s="4">
        <v>278</v>
      </c>
      <c r="Z2090" s="4">
        <v>20</v>
      </c>
      <c r="AA2090" s="4">
        <v>35</v>
      </c>
      <c r="AB2090" s="4">
        <v>2</v>
      </c>
      <c r="AC2090" s="4">
        <v>9</v>
      </c>
      <c r="AD2090" s="4">
        <v>83</v>
      </c>
      <c r="AE2090" s="4">
        <v>98</v>
      </c>
      <c r="AF2090" s="4">
        <v>1</v>
      </c>
      <c r="AG2090" s="4">
        <v>4</v>
      </c>
      <c r="AH2090" s="4">
        <v>75</v>
      </c>
      <c r="AI2090" s="4">
        <v>82</v>
      </c>
      <c r="AJ2090" s="4">
        <v>15</v>
      </c>
      <c r="AK2090" s="4">
        <v>21</v>
      </c>
      <c r="AL2090" s="4">
        <v>37</v>
      </c>
      <c r="AM2090" s="4">
        <v>41</v>
      </c>
      <c r="AN2090" s="4">
        <v>0</v>
      </c>
      <c r="AO2090" s="4">
        <v>0</v>
      </c>
      <c r="AP2090" s="4">
        <v>17</v>
      </c>
      <c r="AQ2090" s="4">
        <v>25</v>
      </c>
      <c r="AR2090" s="3" t="s">
        <v>62</v>
      </c>
      <c r="AS2090" s="3" t="s">
        <v>62</v>
      </c>
      <c r="AT2090" s="3" t="s">
        <v>62</v>
      </c>
      <c r="AV2090" s="6" t="str">
        <f>HYPERLINK("http://mcgill.on.worldcat.org/oclc/174050428","Catalog Record")</f>
        <v>Catalog Record</v>
      </c>
      <c r="AW2090" s="6" t="str">
        <f>HYPERLINK("http://www.worldcat.org/oclc/174050428","WorldCat Record")</f>
        <v>WorldCat Record</v>
      </c>
      <c r="AX2090" s="3" t="s">
        <v>20294</v>
      </c>
      <c r="AY2090" s="3" t="s">
        <v>20295</v>
      </c>
      <c r="AZ2090" s="3" t="s">
        <v>20296</v>
      </c>
      <c r="BA2090" s="3" t="s">
        <v>20296</v>
      </c>
      <c r="BB2090" s="3" t="s">
        <v>20297</v>
      </c>
      <c r="BC2090" s="3" t="s">
        <v>142</v>
      </c>
      <c r="BD2090" s="3" t="s">
        <v>68</v>
      </c>
      <c r="BE2090" s="3" t="s">
        <v>20298</v>
      </c>
      <c r="BF2090" s="3" t="s">
        <v>20297</v>
      </c>
      <c r="BG2090" s="3" t="s">
        <v>20299</v>
      </c>
    </row>
    <row r="2091" spans="1:59" ht="57" x14ac:dyDescent="0.45">
      <c r="A2091" s="2" t="s">
        <v>59</v>
      </c>
      <c r="B2091" s="2" t="s">
        <v>60</v>
      </c>
      <c r="C2091" s="2" t="s">
        <v>20300</v>
      </c>
      <c r="D2091" s="2" t="s">
        <v>20301</v>
      </c>
      <c r="E2091" s="2" t="s">
        <v>20302</v>
      </c>
      <c r="G2091" s="3" t="s">
        <v>62</v>
      </c>
      <c r="I2091" s="3" t="s">
        <v>62</v>
      </c>
      <c r="J2091" s="3" t="s">
        <v>62</v>
      </c>
      <c r="K2091" s="3" t="s">
        <v>63</v>
      </c>
      <c r="M2091" s="2" t="s">
        <v>20303</v>
      </c>
      <c r="N2091" s="3" t="s">
        <v>1465</v>
      </c>
      <c r="P2091" s="3" t="s">
        <v>65</v>
      </c>
      <c r="R2091" s="3" t="s">
        <v>66</v>
      </c>
      <c r="S2091" s="4">
        <v>7</v>
      </c>
      <c r="T2091" s="4">
        <v>7</v>
      </c>
      <c r="U2091" s="5" t="s">
        <v>20304</v>
      </c>
      <c r="V2091" s="5" t="s">
        <v>20304</v>
      </c>
      <c r="W2091" s="5" t="s">
        <v>67</v>
      </c>
      <c r="X2091" s="5" t="s">
        <v>67</v>
      </c>
      <c r="Y2091" s="4">
        <v>179</v>
      </c>
      <c r="Z2091" s="4">
        <v>20</v>
      </c>
      <c r="AA2091" s="4">
        <v>22</v>
      </c>
      <c r="AB2091" s="4">
        <v>2</v>
      </c>
      <c r="AC2091" s="4">
        <v>3</v>
      </c>
      <c r="AD2091" s="4">
        <v>53</v>
      </c>
      <c r="AE2091" s="4">
        <v>54</v>
      </c>
      <c r="AF2091" s="4">
        <v>1</v>
      </c>
      <c r="AG2091" s="4">
        <v>2</v>
      </c>
      <c r="AH2091" s="4">
        <v>41</v>
      </c>
      <c r="AI2091" s="4">
        <v>41</v>
      </c>
      <c r="AJ2091" s="4">
        <v>10</v>
      </c>
      <c r="AK2091" s="4">
        <v>11</v>
      </c>
      <c r="AL2091" s="4">
        <v>23</v>
      </c>
      <c r="AM2091" s="4">
        <v>23</v>
      </c>
      <c r="AN2091" s="4">
        <v>0</v>
      </c>
      <c r="AO2091" s="4">
        <v>0</v>
      </c>
      <c r="AP2091" s="4">
        <v>17</v>
      </c>
      <c r="AQ2091" s="4">
        <v>18</v>
      </c>
      <c r="AR2091" s="3" t="s">
        <v>62</v>
      </c>
      <c r="AS2091" s="3" t="s">
        <v>62</v>
      </c>
      <c r="AT2091" s="3" t="s">
        <v>62</v>
      </c>
      <c r="AV2091" s="6" t="str">
        <f>HYPERLINK("http://mcgill.on.worldcat.org/oclc/298131201","Catalog Record")</f>
        <v>Catalog Record</v>
      </c>
      <c r="AW2091" s="6" t="str">
        <f>HYPERLINK("http://www.worldcat.org/oclc/298131201","WorldCat Record")</f>
        <v>WorldCat Record</v>
      </c>
      <c r="AX2091" s="3" t="s">
        <v>20305</v>
      </c>
      <c r="AY2091" s="3" t="s">
        <v>20306</v>
      </c>
      <c r="AZ2091" s="3" t="s">
        <v>20307</v>
      </c>
      <c r="BA2091" s="3" t="s">
        <v>20307</v>
      </c>
      <c r="BB2091" s="3" t="s">
        <v>20308</v>
      </c>
      <c r="BC2091" s="3" t="s">
        <v>142</v>
      </c>
      <c r="BD2091" s="3" t="s">
        <v>68</v>
      </c>
      <c r="BE2091" s="3" t="s">
        <v>20309</v>
      </c>
      <c r="BF2091" s="3" t="s">
        <v>20308</v>
      </c>
      <c r="BG2091" s="3" t="s">
        <v>20310</v>
      </c>
    </row>
    <row r="2092" spans="1:59" ht="57" x14ac:dyDescent="0.45">
      <c r="A2092" s="2" t="s">
        <v>59</v>
      </c>
      <c r="B2092" s="2" t="s">
        <v>60</v>
      </c>
      <c r="C2092" s="2" t="s">
        <v>20311</v>
      </c>
      <c r="D2092" s="2" t="s">
        <v>20312</v>
      </c>
      <c r="E2092" s="2" t="s">
        <v>20313</v>
      </c>
      <c r="G2092" s="3" t="s">
        <v>62</v>
      </c>
      <c r="I2092" s="3" t="s">
        <v>62</v>
      </c>
      <c r="J2092" s="3" t="s">
        <v>62</v>
      </c>
      <c r="K2092" s="3" t="s">
        <v>63</v>
      </c>
      <c r="M2092" s="2" t="s">
        <v>4009</v>
      </c>
      <c r="N2092" s="3" t="s">
        <v>149</v>
      </c>
      <c r="P2092" s="3" t="s">
        <v>65</v>
      </c>
      <c r="Q2092" s="2" t="s">
        <v>13627</v>
      </c>
      <c r="R2092" s="3" t="s">
        <v>66</v>
      </c>
      <c r="S2092" s="4">
        <v>3</v>
      </c>
      <c r="T2092" s="4">
        <v>3</v>
      </c>
      <c r="U2092" s="5" t="s">
        <v>20314</v>
      </c>
      <c r="V2092" s="5" t="s">
        <v>20314</v>
      </c>
      <c r="W2092" s="5" t="s">
        <v>67</v>
      </c>
      <c r="X2092" s="5" t="s">
        <v>67</v>
      </c>
      <c r="Y2092" s="4">
        <v>256</v>
      </c>
      <c r="Z2092" s="4">
        <v>21</v>
      </c>
      <c r="AA2092" s="4">
        <v>95</v>
      </c>
      <c r="AB2092" s="4">
        <v>3</v>
      </c>
      <c r="AC2092" s="4">
        <v>19</v>
      </c>
      <c r="AD2092" s="4">
        <v>77</v>
      </c>
      <c r="AE2092" s="4">
        <v>140</v>
      </c>
      <c r="AF2092" s="4">
        <v>1</v>
      </c>
      <c r="AG2092" s="4">
        <v>8</v>
      </c>
      <c r="AH2092" s="4">
        <v>69</v>
      </c>
      <c r="AI2092" s="4">
        <v>96</v>
      </c>
      <c r="AJ2092" s="4">
        <v>13</v>
      </c>
      <c r="AK2092" s="4">
        <v>25</v>
      </c>
      <c r="AL2092" s="4">
        <v>41</v>
      </c>
      <c r="AM2092" s="4">
        <v>53</v>
      </c>
      <c r="AN2092" s="4">
        <v>0</v>
      </c>
      <c r="AO2092" s="4">
        <v>0</v>
      </c>
      <c r="AP2092" s="4">
        <v>16</v>
      </c>
      <c r="AQ2092" s="4">
        <v>52</v>
      </c>
      <c r="AR2092" s="3" t="s">
        <v>62</v>
      </c>
      <c r="AS2092" s="3" t="s">
        <v>62</v>
      </c>
      <c r="AT2092" s="3" t="s">
        <v>62</v>
      </c>
      <c r="AV2092" s="6" t="str">
        <f>HYPERLINK("http://mcgill.on.worldcat.org/oclc/237881126","Catalog Record")</f>
        <v>Catalog Record</v>
      </c>
      <c r="AW2092" s="6" t="str">
        <f>HYPERLINK("http://www.worldcat.org/oclc/237881126","WorldCat Record")</f>
        <v>WorldCat Record</v>
      </c>
      <c r="AX2092" s="3" t="s">
        <v>20315</v>
      </c>
      <c r="AY2092" s="3" t="s">
        <v>20316</v>
      </c>
      <c r="AZ2092" s="3" t="s">
        <v>20317</v>
      </c>
      <c r="BA2092" s="3" t="s">
        <v>20317</v>
      </c>
      <c r="BB2092" s="3" t="s">
        <v>20318</v>
      </c>
      <c r="BC2092" s="3" t="s">
        <v>142</v>
      </c>
      <c r="BD2092" s="3" t="s">
        <v>308</v>
      </c>
      <c r="BE2092" s="3" t="s">
        <v>20319</v>
      </c>
      <c r="BF2092" s="3" t="s">
        <v>20318</v>
      </c>
      <c r="BG2092" s="3" t="s">
        <v>20320</v>
      </c>
    </row>
    <row r="2093" spans="1:59" ht="57" x14ac:dyDescent="0.45">
      <c r="A2093" s="2" t="s">
        <v>59</v>
      </c>
      <c r="B2093" s="2" t="s">
        <v>60</v>
      </c>
      <c r="C2093" s="2" t="s">
        <v>20321</v>
      </c>
      <c r="D2093" s="2" t="s">
        <v>20322</v>
      </c>
      <c r="E2093" s="2" t="s">
        <v>20323</v>
      </c>
      <c r="G2093" s="3" t="s">
        <v>62</v>
      </c>
      <c r="I2093" s="3" t="s">
        <v>62</v>
      </c>
      <c r="J2093" s="3" t="s">
        <v>62</v>
      </c>
      <c r="K2093" s="3" t="s">
        <v>63</v>
      </c>
      <c r="M2093" s="2" t="s">
        <v>20324</v>
      </c>
      <c r="N2093" s="3" t="s">
        <v>970</v>
      </c>
      <c r="P2093" s="3" t="s">
        <v>65</v>
      </c>
      <c r="R2093" s="3" t="s">
        <v>66</v>
      </c>
      <c r="S2093" s="4">
        <v>38</v>
      </c>
      <c r="T2093" s="4">
        <v>38</v>
      </c>
      <c r="U2093" s="5" t="s">
        <v>9480</v>
      </c>
      <c r="V2093" s="5" t="s">
        <v>9480</v>
      </c>
      <c r="W2093" s="5" t="s">
        <v>67</v>
      </c>
      <c r="X2093" s="5" t="s">
        <v>67</v>
      </c>
      <c r="Y2093" s="4">
        <v>586</v>
      </c>
      <c r="Z2093" s="4">
        <v>38</v>
      </c>
      <c r="AA2093" s="4">
        <v>114</v>
      </c>
      <c r="AB2093" s="4">
        <v>2</v>
      </c>
      <c r="AC2093" s="4">
        <v>18</v>
      </c>
      <c r="AD2093" s="4">
        <v>126</v>
      </c>
      <c r="AE2093" s="4">
        <v>157</v>
      </c>
      <c r="AF2093" s="4">
        <v>1</v>
      </c>
      <c r="AG2093" s="4">
        <v>8</v>
      </c>
      <c r="AH2093" s="4">
        <v>103</v>
      </c>
      <c r="AI2093" s="4">
        <v>114</v>
      </c>
      <c r="AJ2093" s="4">
        <v>19</v>
      </c>
      <c r="AK2093" s="4">
        <v>27</v>
      </c>
      <c r="AL2093" s="4">
        <v>55</v>
      </c>
      <c r="AM2093" s="4">
        <v>57</v>
      </c>
      <c r="AN2093" s="4">
        <v>0</v>
      </c>
      <c r="AO2093" s="4">
        <v>0</v>
      </c>
      <c r="AP2093" s="4">
        <v>30</v>
      </c>
      <c r="AQ2093" s="4">
        <v>53</v>
      </c>
      <c r="AR2093" s="3" t="s">
        <v>62</v>
      </c>
      <c r="AS2093" s="3" t="s">
        <v>62</v>
      </c>
      <c r="AT2093" s="3" t="s">
        <v>62</v>
      </c>
      <c r="AV2093" s="6" t="str">
        <f>HYPERLINK("http://mcgill.on.worldcat.org/oclc/49011573","Catalog Record")</f>
        <v>Catalog Record</v>
      </c>
      <c r="AW2093" s="6" t="str">
        <f>HYPERLINK("http://www.worldcat.org/oclc/49011573","WorldCat Record")</f>
        <v>WorldCat Record</v>
      </c>
      <c r="AX2093" s="3" t="s">
        <v>20325</v>
      </c>
      <c r="AY2093" s="3" t="s">
        <v>20326</v>
      </c>
      <c r="AZ2093" s="3" t="s">
        <v>20327</v>
      </c>
      <c r="BA2093" s="3" t="s">
        <v>20327</v>
      </c>
      <c r="BB2093" s="3" t="s">
        <v>20328</v>
      </c>
      <c r="BC2093" s="3" t="s">
        <v>142</v>
      </c>
      <c r="BD2093" s="3" t="s">
        <v>68</v>
      </c>
      <c r="BE2093" s="3" t="s">
        <v>20329</v>
      </c>
      <c r="BF2093" s="3" t="s">
        <v>20328</v>
      </c>
      <c r="BG2093" s="3" t="s">
        <v>20330</v>
      </c>
    </row>
    <row r="2094" spans="1:59" ht="57" x14ac:dyDescent="0.45">
      <c r="A2094" s="2" t="s">
        <v>59</v>
      </c>
      <c r="B2094" s="2" t="s">
        <v>60</v>
      </c>
      <c r="C2094" s="2" t="s">
        <v>20331</v>
      </c>
      <c r="D2094" s="2" t="s">
        <v>20332</v>
      </c>
      <c r="E2094" s="2" t="s">
        <v>20333</v>
      </c>
      <c r="G2094" s="3" t="s">
        <v>62</v>
      </c>
      <c r="I2094" s="3" t="s">
        <v>62</v>
      </c>
      <c r="J2094" s="3" t="s">
        <v>62</v>
      </c>
      <c r="K2094" s="3" t="s">
        <v>63</v>
      </c>
      <c r="M2094" s="2" t="s">
        <v>20334</v>
      </c>
      <c r="N2094" s="3" t="s">
        <v>149</v>
      </c>
      <c r="P2094" s="3" t="s">
        <v>110</v>
      </c>
      <c r="Q2094" s="2" t="s">
        <v>20335</v>
      </c>
      <c r="R2094" s="3" t="s">
        <v>66</v>
      </c>
      <c r="S2094" s="4">
        <v>1</v>
      </c>
      <c r="T2094" s="4">
        <v>1</v>
      </c>
      <c r="U2094" s="5" t="s">
        <v>20293</v>
      </c>
      <c r="V2094" s="5" t="s">
        <v>20293</v>
      </c>
      <c r="W2094" s="5" t="s">
        <v>67</v>
      </c>
      <c r="X2094" s="5" t="s">
        <v>67</v>
      </c>
      <c r="Y2094" s="4">
        <v>7</v>
      </c>
      <c r="Z2094" s="4">
        <v>1</v>
      </c>
      <c r="AA2094" s="4">
        <v>2</v>
      </c>
      <c r="AB2094" s="4">
        <v>1</v>
      </c>
      <c r="AC2094" s="4">
        <v>1</v>
      </c>
      <c r="AD2094" s="4">
        <v>3</v>
      </c>
      <c r="AE2094" s="4">
        <v>4</v>
      </c>
      <c r="AF2094" s="4">
        <v>0</v>
      </c>
      <c r="AG2094" s="4">
        <v>0</v>
      </c>
      <c r="AH2094" s="4">
        <v>3</v>
      </c>
      <c r="AI2094" s="4">
        <v>4</v>
      </c>
      <c r="AJ2094" s="4">
        <v>0</v>
      </c>
      <c r="AK2094" s="4">
        <v>1</v>
      </c>
      <c r="AL2094" s="4">
        <v>3</v>
      </c>
      <c r="AM2094" s="4">
        <v>3</v>
      </c>
      <c r="AN2094" s="4">
        <v>0</v>
      </c>
      <c r="AO2094" s="4">
        <v>0</v>
      </c>
      <c r="AP2094" s="4">
        <v>0</v>
      </c>
      <c r="AQ2094" s="4">
        <v>1</v>
      </c>
      <c r="AR2094" s="3" t="s">
        <v>62</v>
      </c>
      <c r="AS2094" s="3" t="s">
        <v>62</v>
      </c>
      <c r="AT2094" s="3" t="s">
        <v>62</v>
      </c>
      <c r="AV2094" s="6" t="str">
        <f>HYPERLINK("http://mcgill.on.worldcat.org/oclc/642213043","Catalog Record")</f>
        <v>Catalog Record</v>
      </c>
      <c r="AW2094" s="6" t="str">
        <f>HYPERLINK("http://www.worldcat.org/oclc/642213043","WorldCat Record")</f>
        <v>WorldCat Record</v>
      </c>
      <c r="AX2094" s="3" t="s">
        <v>20336</v>
      </c>
      <c r="AY2094" s="3" t="s">
        <v>20337</v>
      </c>
      <c r="AZ2094" s="3" t="s">
        <v>20338</v>
      </c>
      <c r="BA2094" s="3" t="s">
        <v>20338</v>
      </c>
      <c r="BB2094" s="3" t="s">
        <v>20339</v>
      </c>
      <c r="BC2094" s="3" t="s">
        <v>142</v>
      </c>
      <c r="BD2094" s="3" t="s">
        <v>68</v>
      </c>
      <c r="BE2094" s="3" t="s">
        <v>20340</v>
      </c>
      <c r="BF2094" s="3" t="s">
        <v>20339</v>
      </c>
      <c r="BG2094" s="3" t="s">
        <v>20341</v>
      </c>
    </row>
    <row r="2095" spans="1:59" ht="57" x14ac:dyDescent="0.45">
      <c r="A2095" s="2" t="s">
        <v>59</v>
      </c>
      <c r="B2095" s="2" t="s">
        <v>60</v>
      </c>
      <c r="C2095" s="2" t="s">
        <v>20342</v>
      </c>
      <c r="D2095" s="2" t="s">
        <v>20343</v>
      </c>
      <c r="E2095" s="2" t="s">
        <v>20344</v>
      </c>
      <c r="G2095" s="3" t="s">
        <v>62</v>
      </c>
      <c r="I2095" s="3" t="s">
        <v>62</v>
      </c>
      <c r="J2095" s="3" t="s">
        <v>62</v>
      </c>
      <c r="K2095" s="3" t="s">
        <v>63</v>
      </c>
      <c r="M2095" s="2" t="s">
        <v>20345</v>
      </c>
      <c r="N2095" s="3" t="s">
        <v>1688</v>
      </c>
      <c r="P2095" s="3" t="s">
        <v>65</v>
      </c>
      <c r="R2095" s="3" t="s">
        <v>66</v>
      </c>
      <c r="S2095" s="4">
        <v>0</v>
      </c>
      <c r="T2095" s="4">
        <v>0</v>
      </c>
      <c r="W2095" s="5" t="s">
        <v>67</v>
      </c>
      <c r="X2095" s="5" t="s">
        <v>67</v>
      </c>
      <c r="Y2095" s="4">
        <v>102</v>
      </c>
      <c r="Z2095" s="4">
        <v>14</v>
      </c>
      <c r="AA2095" s="4">
        <v>20</v>
      </c>
      <c r="AB2095" s="4">
        <v>1</v>
      </c>
      <c r="AC2095" s="4">
        <v>6</v>
      </c>
      <c r="AD2095" s="4">
        <v>43</v>
      </c>
      <c r="AE2095" s="4">
        <v>54</v>
      </c>
      <c r="AF2095" s="4">
        <v>0</v>
      </c>
      <c r="AG2095" s="4">
        <v>2</v>
      </c>
      <c r="AH2095" s="4">
        <v>40</v>
      </c>
      <c r="AI2095" s="4">
        <v>49</v>
      </c>
      <c r="AJ2095" s="4">
        <v>11</v>
      </c>
      <c r="AK2095" s="4">
        <v>14</v>
      </c>
      <c r="AL2095" s="4">
        <v>25</v>
      </c>
      <c r="AM2095" s="4">
        <v>28</v>
      </c>
      <c r="AN2095" s="4">
        <v>0</v>
      </c>
      <c r="AO2095" s="4">
        <v>0</v>
      </c>
      <c r="AP2095" s="4">
        <v>12</v>
      </c>
      <c r="AQ2095" s="4">
        <v>14</v>
      </c>
      <c r="AR2095" s="3" t="s">
        <v>62</v>
      </c>
      <c r="AS2095" s="3" t="s">
        <v>62</v>
      </c>
      <c r="AT2095" s="3" t="s">
        <v>62</v>
      </c>
      <c r="AV2095" s="6" t="str">
        <f>HYPERLINK("http://mcgill.on.worldcat.org/oclc/857981396","Catalog Record")</f>
        <v>Catalog Record</v>
      </c>
      <c r="AW2095" s="6" t="str">
        <f>HYPERLINK("http://www.worldcat.org/oclc/857981396","WorldCat Record")</f>
        <v>WorldCat Record</v>
      </c>
      <c r="AX2095" s="3" t="s">
        <v>20346</v>
      </c>
      <c r="AY2095" s="3" t="s">
        <v>20347</v>
      </c>
      <c r="AZ2095" s="3" t="s">
        <v>20348</v>
      </c>
      <c r="BA2095" s="3" t="s">
        <v>20348</v>
      </c>
      <c r="BB2095" s="3" t="s">
        <v>20349</v>
      </c>
      <c r="BC2095" s="3" t="s">
        <v>142</v>
      </c>
      <c r="BD2095" s="3" t="s">
        <v>68</v>
      </c>
      <c r="BE2095" s="3" t="s">
        <v>20350</v>
      </c>
      <c r="BF2095" s="3" t="s">
        <v>20349</v>
      </c>
      <c r="BG2095" s="3" t="s">
        <v>20351</v>
      </c>
    </row>
    <row r="2096" spans="1:59" ht="57" x14ac:dyDescent="0.45">
      <c r="A2096" s="2" t="s">
        <v>59</v>
      </c>
      <c r="B2096" s="2" t="s">
        <v>60</v>
      </c>
      <c r="C2096" s="2" t="s">
        <v>20352</v>
      </c>
      <c r="D2096" s="2" t="s">
        <v>20353</v>
      </c>
      <c r="E2096" s="2" t="s">
        <v>20354</v>
      </c>
      <c r="G2096" s="3" t="s">
        <v>62</v>
      </c>
      <c r="I2096" s="3" t="s">
        <v>62</v>
      </c>
      <c r="J2096" s="3" t="s">
        <v>62</v>
      </c>
      <c r="K2096" s="3" t="s">
        <v>63</v>
      </c>
      <c r="M2096" s="2" t="s">
        <v>20355</v>
      </c>
      <c r="N2096" s="3" t="s">
        <v>1253</v>
      </c>
      <c r="P2096" s="3" t="s">
        <v>65</v>
      </c>
      <c r="Q2096" s="2" t="s">
        <v>20356</v>
      </c>
      <c r="R2096" s="3" t="s">
        <v>66</v>
      </c>
      <c r="S2096" s="4">
        <v>24</v>
      </c>
      <c r="T2096" s="4">
        <v>24</v>
      </c>
      <c r="U2096" s="5" t="s">
        <v>20357</v>
      </c>
      <c r="V2096" s="5" t="s">
        <v>20357</v>
      </c>
      <c r="W2096" s="5" t="s">
        <v>67</v>
      </c>
      <c r="X2096" s="5" t="s">
        <v>67</v>
      </c>
      <c r="Y2096" s="4">
        <v>270</v>
      </c>
      <c r="Z2096" s="4">
        <v>18</v>
      </c>
      <c r="AA2096" s="4">
        <v>23</v>
      </c>
      <c r="AB2096" s="4">
        <v>2</v>
      </c>
      <c r="AC2096" s="4">
        <v>4</v>
      </c>
      <c r="AD2096" s="4">
        <v>40</v>
      </c>
      <c r="AE2096" s="4">
        <v>46</v>
      </c>
      <c r="AF2096" s="4">
        <v>1</v>
      </c>
      <c r="AG2096" s="4">
        <v>3</v>
      </c>
      <c r="AH2096" s="4">
        <v>32</v>
      </c>
      <c r="AI2096" s="4">
        <v>35</v>
      </c>
      <c r="AJ2096" s="4">
        <v>8</v>
      </c>
      <c r="AK2096" s="4">
        <v>12</v>
      </c>
      <c r="AL2096" s="4">
        <v>17</v>
      </c>
      <c r="AM2096" s="4">
        <v>17</v>
      </c>
      <c r="AN2096" s="4">
        <v>0</v>
      </c>
      <c r="AO2096" s="4">
        <v>0</v>
      </c>
      <c r="AP2096" s="4">
        <v>10</v>
      </c>
      <c r="AQ2096" s="4">
        <v>15</v>
      </c>
      <c r="AR2096" s="3" t="s">
        <v>62</v>
      </c>
      <c r="AS2096" s="3" t="s">
        <v>62</v>
      </c>
      <c r="AT2096" s="3" t="s">
        <v>62</v>
      </c>
      <c r="AV2096" s="6" t="str">
        <f>HYPERLINK("http://mcgill.on.worldcat.org/oclc/38533437","Catalog Record")</f>
        <v>Catalog Record</v>
      </c>
      <c r="AW2096" s="6" t="str">
        <f>HYPERLINK("http://www.worldcat.org/oclc/38533437","WorldCat Record")</f>
        <v>WorldCat Record</v>
      </c>
      <c r="AX2096" s="3" t="s">
        <v>20358</v>
      </c>
      <c r="AY2096" s="3" t="s">
        <v>20359</v>
      </c>
      <c r="AZ2096" s="3" t="s">
        <v>20360</v>
      </c>
      <c r="BA2096" s="3" t="s">
        <v>20360</v>
      </c>
      <c r="BB2096" s="3" t="s">
        <v>20361</v>
      </c>
      <c r="BC2096" s="3" t="s">
        <v>142</v>
      </c>
      <c r="BD2096" s="3" t="s">
        <v>68</v>
      </c>
      <c r="BE2096" s="3" t="s">
        <v>20362</v>
      </c>
      <c r="BF2096" s="3" t="s">
        <v>20361</v>
      </c>
      <c r="BG2096" s="3" t="s">
        <v>20363</v>
      </c>
    </row>
    <row r="2097" spans="1:59" ht="57" x14ac:dyDescent="0.45">
      <c r="A2097" s="2" t="s">
        <v>59</v>
      </c>
      <c r="B2097" s="2" t="s">
        <v>60</v>
      </c>
      <c r="C2097" s="2" t="s">
        <v>20364</v>
      </c>
      <c r="D2097" s="2" t="s">
        <v>20365</v>
      </c>
      <c r="E2097" s="2" t="s">
        <v>20366</v>
      </c>
      <c r="G2097" s="3" t="s">
        <v>62</v>
      </c>
      <c r="I2097" s="3" t="s">
        <v>62</v>
      </c>
      <c r="J2097" s="3" t="s">
        <v>62</v>
      </c>
      <c r="K2097" s="3" t="s">
        <v>63</v>
      </c>
      <c r="L2097" s="2" t="s">
        <v>20367</v>
      </c>
      <c r="M2097" s="2" t="s">
        <v>19911</v>
      </c>
      <c r="N2097" s="3" t="s">
        <v>1155</v>
      </c>
      <c r="P2097" s="3" t="s">
        <v>65</v>
      </c>
      <c r="Q2097" s="2" t="s">
        <v>3375</v>
      </c>
      <c r="R2097" s="3" t="s">
        <v>66</v>
      </c>
      <c r="S2097" s="4">
        <v>3</v>
      </c>
      <c r="T2097" s="4">
        <v>3</v>
      </c>
      <c r="U2097" s="5" t="s">
        <v>10639</v>
      </c>
      <c r="V2097" s="5" t="s">
        <v>10639</v>
      </c>
      <c r="W2097" s="5" t="s">
        <v>67</v>
      </c>
      <c r="X2097" s="5" t="s">
        <v>67</v>
      </c>
      <c r="Y2097" s="4">
        <v>147</v>
      </c>
      <c r="Z2097" s="4">
        <v>17</v>
      </c>
      <c r="AA2097" s="4">
        <v>50</v>
      </c>
      <c r="AB2097" s="4">
        <v>1</v>
      </c>
      <c r="AC2097" s="4">
        <v>3</v>
      </c>
      <c r="AD2097" s="4">
        <v>59</v>
      </c>
      <c r="AE2097" s="4">
        <v>80</v>
      </c>
      <c r="AF2097" s="4">
        <v>0</v>
      </c>
      <c r="AG2097" s="4">
        <v>0</v>
      </c>
      <c r="AH2097" s="4">
        <v>53</v>
      </c>
      <c r="AI2097" s="4">
        <v>66</v>
      </c>
      <c r="AJ2097" s="4">
        <v>10</v>
      </c>
      <c r="AK2097" s="4">
        <v>15</v>
      </c>
      <c r="AL2097" s="4">
        <v>29</v>
      </c>
      <c r="AM2097" s="4">
        <v>35</v>
      </c>
      <c r="AN2097" s="4">
        <v>0</v>
      </c>
      <c r="AO2097" s="4">
        <v>0</v>
      </c>
      <c r="AP2097" s="4">
        <v>13</v>
      </c>
      <c r="AQ2097" s="4">
        <v>22</v>
      </c>
      <c r="AR2097" s="3" t="s">
        <v>62</v>
      </c>
      <c r="AS2097" s="3" t="s">
        <v>62</v>
      </c>
      <c r="AT2097" s="3" t="s">
        <v>62</v>
      </c>
      <c r="AV2097" s="6" t="str">
        <f>HYPERLINK("http://mcgill.on.worldcat.org/oclc/748328724","Catalog Record")</f>
        <v>Catalog Record</v>
      </c>
      <c r="AW2097" s="6" t="str">
        <f>HYPERLINK("http://www.worldcat.org/oclc/748328724","WorldCat Record")</f>
        <v>WorldCat Record</v>
      </c>
      <c r="AX2097" s="3" t="s">
        <v>20368</v>
      </c>
      <c r="AY2097" s="3" t="s">
        <v>20369</v>
      </c>
      <c r="AZ2097" s="3" t="s">
        <v>20370</v>
      </c>
      <c r="BA2097" s="3" t="s">
        <v>20370</v>
      </c>
      <c r="BB2097" s="3" t="s">
        <v>20371</v>
      </c>
      <c r="BC2097" s="3" t="s">
        <v>142</v>
      </c>
      <c r="BD2097" s="3" t="s">
        <v>68</v>
      </c>
      <c r="BE2097" s="3" t="s">
        <v>20372</v>
      </c>
      <c r="BF2097" s="3" t="s">
        <v>20371</v>
      </c>
      <c r="BG2097" s="3" t="s">
        <v>20373</v>
      </c>
    </row>
    <row r="2098" spans="1:59" ht="57" x14ac:dyDescent="0.45">
      <c r="A2098" s="2" t="s">
        <v>59</v>
      </c>
      <c r="B2098" s="2" t="s">
        <v>60</v>
      </c>
      <c r="C2098" s="2" t="s">
        <v>20374</v>
      </c>
      <c r="D2098" s="2" t="s">
        <v>20375</v>
      </c>
      <c r="E2098" s="2" t="s">
        <v>20376</v>
      </c>
      <c r="G2098" s="3" t="s">
        <v>62</v>
      </c>
      <c r="I2098" s="3" t="s">
        <v>62</v>
      </c>
      <c r="J2098" s="3" t="s">
        <v>62</v>
      </c>
      <c r="K2098" s="3" t="s">
        <v>63</v>
      </c>
      <c r="M2098" s="2" t="s">
        <v>3350</v>
      </c>
      <c r="N2098" s="3" t="s">
        <v>894</v>
      </c>
      <c r="P2098" s="3" t="s">
        <v>65</v>
      </c>
      <c r="Q2098" s="2" t="s">
        <v>20377</v>
      </c>
      <c r="R2098" s="3" t="s">
        <v>66</v>
      </c>
      <c r="S2098" s="4">
        <v>6</v>
      </c>
      <c r="T2098" s="4">
        <v>6</v>
      </c>
      <c r="U2098" s="5" t="s">
        <v>20378</v>
      </c>
      <c r="V2098" s="5" t="s">
        <v>20378</v>
      </c>
      <c r="W2098" s="5" t="s">
        <v>67</v>
      </c>
      <c r="X2098" s="5" t="s">
        <v>67</v>
      </c>
      <c r="Y2098" s="4">
        <v>207</v>
      </c>
      <c r="Z2098" s="4">
        <v>17</v>
      </c>
      <c r="AA2098" s="4">
        <v>27</v>
      </c>
      <c r="AB2098" s="4">
        <v>2</v>
      </c>
      <c r="AC2098" s="4">
        <v>6</v>
      </c>
      <c r="AD2098" s="4">
        <v>63</v>
      </c>
      <c r="AE2098" s="4">
        <v>80</v>
      </c>
      <c r="AF2098" s="4">
        <v>1</v>
      </c>
      <c r="AG2098" s="4">
        <v>3</v>
      </c>
      <c r="AH2098" s="4">
        <v>56</v>
      </c>
      <c r="AI2098" s="4">
        <v>68</v>
      </c>
      <c r="AJ2098" s="4">
        <v>11</v>
      </c>
      <c r="AK2098" s="4">
        <v>17</v>
      </c>
      <c r="AL2098" s="4">
        <v>37</v>
      </c>
      <c r="AM2098" s="4">
        <v>42</v>
      </c>
      <c r="AN2098" s="4">
        <v>0</v>
      </c>
      <c r="AO2098" s="4">
        <v>0</v>
      </c>
      <c r="AP2098" s="4">
        <v>14</v>
      </c>
      <c r="AQ2098" s="4">
        <v>20</v>
      </c>
      <c r="AR2098" s="3" t="s">
        <v>62</v>
      </c>
      <c r="AS2098" s="3" t="s">
        <v>62</v>
      </c>
      <c r="AT2098" s="3" t="s">
        <v>62</v>
      </c>
      <c r="AV2098" s="6" t="str">
        <f>HYPERLINK("http://mcgill.on.worldcat.org/oclc/698330421","Catalog Record")</f>
        <v>Catalog Record</v>
      </c>
      <c r="AW2098" s="6" t="str">
        <f>HYPERLINK("http://www.worldcat.org/oclc/698330421","WorldCat Record")</f>
        <v>WorldCat Record</v>
      </c>
      <c r="AX2098" s="3" t="s">
        <v>20379</v>
      </c>
      <c r="AY2098" s="3" t="s">
        <v>20380</v>
      </c>
      <c r="AZ2098" s="3" t="s">
        <v>20381</v>
      </c>
      <c r="BA2098" s="3" t="s">
        <v>20381</v>
      </c>
      <c r="BB2098" s="3" t="s">
        <v>20382</v>
      </c>
      <c r="BC2098" s="3" t="s">
        <v>142</v>
      </c>
      <c r="BD2098" s="3" t="s">
        <v>68</v>
      </c>
      <c r="BE2098" s="3" t="s">
        <v>20383</v>
      </c>
      <c r="BF2098" s="3" t="s">
        <v>20382</v>
      </c>
      <c r="BG2098" s="3" t="s">
        <v>20384</v>
      </c>
    </row>
    <row r="2099" spans="1:59" ht="57" x14ac:dyDescent="0.45">
      <c r="A2099" s="2" t="s">
        <v>59</v>
      </c>
      <c r="B2099" s="2" t="s">
        <v>60</v>
      </c>
      <c r="C2099" s="2" t="s">
        <v>20385</v>
      </c>
      <c r="D2099" s="2" t="s">
        <v>20386</v>
      </c>
      <c r="E2099" s="2" t="s">
        <v>20387</v>
      </c>
      <c r="G2099" s="3" t="s">
        <v>62</v>
      </c>
      <c r="I2099" s="3" t="s">
        <v>62</v>
      </c>
      <c r="J2099" s="3" t="s">
        <v>62</v>
      </c>
      <c r="K2099" s="3" t="s">
        <v>63</v>
      </c>
      <c r="M2099" s="2" t="s">
        <v>20388</v>
      </c>
      <c r="N2099" s="3" t="s">
        <v>820</v>
      </c>
      <c r="P2099" s="3" t="s">
        <v>65</v>
      </c>
      <c r="R2099" s="3" t="s">
        <v>66</v>
      </c>
      <c r="S2099" s="4">
        <v>6</v>
      </c>
      <c r="T2099" s="4">
        <v>6</v>
      </c>
      <c r="U2099" s="5" t="s">
        <v>13230</v>
      </c>
      <c r="V2099" s="5" t="s">
        <v>13230</v>
      </c>
      <c r="W2099" s="5" t="s">
        <v>67</v>
      </c>
      <c r="X2099" s="5" t="s">
        <v>67</v>
      </c>
      <c r="Y2099" s="4">
        <v>70</v>
      </c>
      <c r="Z2099" s="4">
        <v>11</v>
      </c>
      <c r="AA2099" s="4">
        <v>82</v>
      </c>
      <c r="AB2099" s="4">
        <v>2</v>
      </c>
      <c r="AC2099" s="4">
        <v>14</v>
      </c>
      <c r="AD2099" s="4">
        <v>31</v>
      </c>
      <c r="AE2099" s="4">
        <v>91</v>
      </c>
      <c r="AF2099" s="4">
        <v>1</v>
      </c>
      <c r="AG2099" s="4">
        <v>8</v>
      </c>
      <c r="AH2099" s="4">
        <v>26</v>
      </c>
      <c r="AI2099" s="4">
        <v>59</v>
      </c>
      <c r="AJ2099" s="4">
        <v>7</v>
      </c>
      <c r="AK2099" s="4">
        <v>19</v>
      </c>
      <c r="AL2099" s="4">
        <v>21</v>
      </c>
      <c r="AM2099" s="4">
        <v>32</v>
      </c>
      <c r="AN2099" s="4">
        <v>0</v>
      </c>
      <c r="AO2099" s="4">
        <v>0</v>
      </c>
      <c r="AP2099" s="4">
        <v>8</v>
      </c>
      <c r="AQ2099" s="4">
        <v>40</v>
      </c>
      <c r="AR2099" s="3" t="s">
        <v>62</v>
      </c>
      <c r="AS2099" s="3" t="s">
        <v>62</v>
      </c>
      <c r="AT2099" s="3" t="s">
        <v>62</v>
      </c>
      <c r="AV2099" s="6" t="str">
        <f>HYPERLINK("http://mcgill.on.worldcat.org/oclc/191245069","Catalog Record")</f>
        <v>Catalog Record</v>
      </c>
      <c r="AW2099" s="6" t="str">
        <f>HYPERLINK("http://www.worldcat.org/oclc/191245069","WorldCat Record")</f>
        <v>WorldCat Record</v>
      </c>
      <c r="AX2099" s="3" t="s">
        <v>20389</v>
      </c>
      <c r="AY2099" s="3" t="s">
        <v>20390</v>
      </c>
      <c r="AZ2099" s="3" t="s">
        <v>20391</v>
      </c>
      <c r="BA2099" s="3" t="s">
        <v>20391</v>
      </c>
      <c r="BB2099" s="3" t="s">
        <v>20392</v>
      </c>
      <c r="BC2099" s="3" t="s">
        <v>142</v>
      </c>
      <c r="BD2099" s="3" t="s">
        <v>68</v>
      </c>
      <c r="BE2099" s="3" t="s">
        <v>20393</v>
      </c>
      <c r="BF2099" s="3" t="s">
        <v>20392</v>
      </c>
      <c r="BG2099" s="3" t="s">
        <v>20394</v>
      </c>
    </row>
    <row r="2100" spans="1:59" ht="57" x14ac:dyDescent="0.45">
      <c r="A2100" s="2" t="s">
        <v>59</v>
      </c>
      <c r="B2100" s="2" t="s">
        <v>60</v>
      </c>
      <c r="C2100" s="2" t="s">
        <v>20395</v>
      </c>
      <c r="D2100" s="2" t="s">
        <v>20396</v>
      </c>
      <c r="E2100" s="2" t="s">
        <v>20397</v>
      </c>
      <c r="G2100" s="3" t="s">
        <v>62</v>
      </c>
      <c r="I2100" s="3" t="s">
        <v>62</v>
      </c>
      <c r="J2100" s="3" t="s">
        <v>62</v>
      </c>
      <c r="K2100" s="3" t="s">
        <v>63</v>
      </c>
      <c r="M2100" s="2" t="s">
        <v>3915</v>
      </c>
      <c r="N2100" s="3" t="s">
        <v>1155</v>
      </c>
      <c r="P2100" s="3" t="s">
        <v>65</v>
      </c>
      <c r="Q2100" s="2" t="s">
        <v>20377</v>
      </c>
      <c r="R2100" s="3" t="s">
        <v>66</v>
      </c>
      <c r="S2100" s="4">
        <v>3</v>
      </c>
      <c r="T2100" s="4">
        <v>3</v>
      </c>
      <c r="U2100" s="5" t="s">
        <v>20293</v>
      </c>
      <c r="V2100" s="5" t="s">
        <v>20293</v>
      </c>
      <c r="W2100" s="5" t="s">
        <v>67</v>
      </c>
      <c r="X2100" s="5" t="s">
        <v>67</v>
      </c>
      <c r="Y2100" s="4">
        <v>144</v>
      </c>
      <c r="Z2100" s="4">
        <v>12</v>
      </c>
      <c r="AA2100" s="4">
        <v>47</v>
      </c>
      <c r="AB2100" s="4">
        <v>1</v>
      </c>
      <c r="AC2100" s="4">
        <v>4</v>
      </c>
      <c r="AD2100" s="4">
        <v>52</v>
      </c>
      <c r="AE2100" s="4">
        <v>79</v>
      </c>
      <c r="AF2100" s="4">
        <v>0</v>
      </c>
      <c r="AG2100" s="4">
        <v>1</v>
      </c>
      <c r="AH2100" s="4">
        <v>48</v>
      </c>
      <c r="AI2100" s="4">
        <v>65</v>
      </c>
      <c r="AJ2100" s="4">
        <v>7</v>
      </c>
      <c r="AK2100" s="4">
        <v>15</v>
      </c>
      <c r="AL2100" s="4">
        <v>27</v>
      </c>
      <c r="AM2100" s="4">
        <v>36</v>
      </c>
      <c r="AN2100" s="4">
        <v>0</v>
      </c>
      <c r="AO2100" s="4">
        <v>0</v>
      </c>
      <c r="AP2100" s="4">
        <v>9</v>
      </c>
      <c r="AQ2100" s="4">
        <v>22</v>
      </c>
      <c r="AR2100" s="3" t="s">
        <v>62</v>
      </c>
      <c r="AS2100" s="3" t="s">
        <v>62</v>
      </c>
      <c r="AT2100" s="3" t="s">
        <v>62</v>
      </c>
      <c r="AV2100" s="6" t="str">
        <f>HYPERLINK("http://mcgill.on.worldcat.org/oclc/785873550","Catalog Record")</f>
        <v>Catalog Record</v>
      </c>
      <c r="AW2100" s="6" t="str">
        <f>HYPERLINK("http://www.worldcat.org/oclc/785873550","WorldCat Record")</f>
        <v>WorldCat Record</v>
      </c>
      <c r="AX2100" s="3" t="s">
        <v>20398</v>
      </c>
      <c r="AY2100" s="3" t="s">
        <v>20399</v>
      </c>
      <c r="AZ2100" s="3" t="s">
        <v>20400</v>
      </c>
      <c r="BA2100" s="3" t="s">
        <v>20400</v>
      </c>
      <c r="BB2100" s="3" t="s">
        <v>20401</v>
      </c>
      <c r="BC2100" s="3" t="s">
        <v>142</v>
      </c>
      <c r="BD2100" s="3" t="s">
        <v>68</v>
      </c>
      <c r="BE2100" s="3" t="s">
        <v>20402</v>
      </c>
      <c r="BF2100" s="3" t="s">
        <v>20401</v>
      </c>
      <c r="BG2100" s="3" t="s">
        <v>20403</v>
      </c>
    </row>
    <row r="2101" spans="1:59" ht="57" x14ac:dyDescent="0.45">
      <c r="A2101" s="2" t="s">
        <v>59</v>
      </c>
      <c r="B2101" s="2" t="s">
        <v>60</v>
      </c>
      <c r="C2101" s="2" t="s">
        <v>20404</v>
      </c>
      <c r="D2101" s="2" t="s">
        <v>20405</v>
      </c>
      <c r="E2101" s="2" t="s">
        <v>20406</v>
      </c>
      <c r="G2101" s="3" t="s">
        <v>62</v>
      </c>
      <c r="I2101" s="3" t="s">
        <v>62</v>
      </c>
      <c r="J2101" s="3" t="s">
        <v>62</v>
      </c>
      <c r="K2101" s="3" t="s">
        <v>63</v>
      </c>
      <c r="M2101" s="2" t="s">
        <v>20407</v>
      </c>
      <c r="N2101" s="3" t="s">
        <v>1155</v>
      </c>
      <c r="P2101" s="3" t="s">
        <v>65</v>
      </c>
      <c r="Q2101" s="2" t="s">
        <v>2536</v>
      </c>
      <c r="R2101" s="3" t="s">
        <v>66</v>
      </c>
      <c r="S2101" s="4">
        <v>2</v>
      </c>
      <c r="T2101" s="4">
        <v>2</v>
      </c>
      <c r="U2101" s="5" t="s">
        <v>13680</v>
      </c>
      <c r="V2101" s="5" t="s">
        <v>13680</v>
      </c>
      <c r="W2101" s="5" t="s">
        <v>67</v>
      </c>
      <c r="X2101" s="5" t="s">
        <v>67</v>
      </c>
      <c r="Y2101" s="4">
        <v>372</v>
      </c>
      <c r="Z2101" s="4">
        <v>25</v>
      </c>
      <c r="AA2101" s="4">
        <v>88</v>
      </c>
      <c r="AB2101" s="4">
        <v>2</v>
      </c>
      <c r="AC2101" s="4">
        <v>15</v>
      </c>
      <c r="AD2101" s="4">
        <v>64</v>
      </c>
      <c r="AE2101" s="4">
        <v>129</v>
      </c>
      <c r="AF2101" s="4">
        <v>1</v>
      </c>
      <c r="AG2101" s="4">
        <v>8</v>
      </c>
      <c r="AH2101" s="4">
        <v>55</v>
      </c>
      <c r="AI2101" s="4">
        <v>96</v>
      </c>
      <c r="AJ2101" s="4">
        <v>13</v>
      </c>
      <c r="AK2101" s="4">
        <v>25</v>
      </c>
      <c r="AL2101" s="4">
        <v>31</v>
      </c>
      <c r="AM2101" s="4">
        <v>47</v>
      </c>
      <c r="AN2101" s="4">
        <v>0</v>
      </c>
      <c r="AO2101" s="4">
        <v>0</v>
      </c>
      <c r="AP2101" s="4">
        <v>15</v>
      </c>
      <c r="AQ2101" s="4">
        <v>44</v>
      </c>
      <c r="AR2101" s="3" t="s">
        <v>62</v>
      </c>
      <c r="AS2101" s="3" t="s">
        <v>62</v>
      </c>
      <c r="AT2101" s="3" t="s">
        <v>62</v>
      </c>
      <c r="AV2101" s="6" t="str">
        <f>HYPERLINK("http://mcgill.on.worldcat.org/oclc/702941972","Catalog Record")</f>
        <v>Catalog Record</v>
      </c>
      <c r="AW2101" s="6" t="str">
        <f>HYPERLINK("http://www.worldcat.org/oclc/702941972","WorldCat Record")</f>
        <v>WorldCat Record</v>
      </c>
      <c r="AX2101" s="3" t="s">
        <v>20408</v>
      </c>
      <c r="AY2101" s="3" t="s">
        <v>20409</v>
      </c>
      <c r="AZ2101" s="3" t="s">
        <v>20410</v>
      </c>
      <c r="BA2101" s="3" t="s">
        <v>20410</v>
      </c>
      <c r="BB2101" s="3" t="s">
        <v>20411</v>
      </c>
      <c r="BC2101" s="3" t="s">
        <v>142</v>
      </c>
      <c r="BD2101" s="3" t="s">
        <v>68</v>
      </c>
      <c r="BE2101" s="3" t="s">
        <v>20412</v>
      </c>
      <c r="BF2101" s="3" t="s">
        <v>20411</v>
      </c>
      <c r="BG2101" s="3" t="s">
        <v>20413</v>
      </c>
    </row>
    <row r="2102" spans="1:59" ht="57" x14ac:dyDescent="0.45">
      <c r="A2102" s="2" t="s">
        <v>59</v>
      </c>
      <c r="B2102" s="2" t="s">
        <v>60</v>
      </c>
      <c r="C2102" s="2" t="s">
        <v>20414</v>
      </c>
      <c r="D2102" s="2" t="s">
        <v>20415</v>
      </c>
      <c r="E2102" s="2" t="s">
        <v>20416</v>
      </c>
      <c r="G2102" s="3" t="s">
        <v>62</v>
      </c>
      <c r="I2102" s="3" t="s">
        <v>62</v>
      </c>
      <c r="J2102" s="3" t="s">
        <v>61</v>
      </c>
      <c r="K2102" s="3" t="s">
        <v>63</v>
      </c>
      <c r="L2102" s="2" t="s">
        <v>20417</v>
      </c>
      <c r="M2102" s="2" t="s">
        <v>20418</v>
      </c>
      <c r="N2102" s="3" t="s">
        <v>1155</v>
      </c>
      <c r="O2102" s="2" t="s">
        <v>906</v>
      </c>
      <c r="P2102" s="3" t="s">
        <v>65</v>
      </c>
      <c r="Q2102" s="2" t="s">
        <v>20419</v>
      </c>
      <c r="R2102" s="3" t="s">
        <v>66</v>
      </c>
      <c r="S2102" s="4">
        <v>3</v>
      </c>
      <c r="T2102" s="4">
        <v>3</v>
      </c>
      <c r="U2102" s="5" t="s">
        <v>20357</v>
      </c>
      <c r="V2102" s="5" t="s">
        <v>20357</v>
      </c>
      <c r="W2102" s="5" t="s">
        <v>67</v>
      </c>
      <c r="X2102" s="5" t="s">
        <v>67</v>
      </c>
      <c r="Y2102" s="4">
        <v>163</v>
      </c>
      <c r="Z2102" s="4">
        <v>11</v>
      </c>
      <c r="AA2102" s="4">
        <v>88</v>
      </c>
      <c r="AB2102" s="4">
        <v>1</v>
      </c>
      <c r="AC2102" s="4">
        <v>10</v>
      </c>
      <c r="AD2102" s="4">
        <v>38</v>
      </c>
      <c r="AE2102" s="4">
        <v>153</v>
      </c>
      <c r="AF2102" s="4">
        <v>0</v>
      </c>
      <c r="AG2102" s="4">
        <v>6</v>
      </c>
      <c r="AH2102" s="4">
        <v>36</v>
      </c>
      <c r="AI2102" s="4">
        <v>110</v>
      </c>
      <c r="AJ2102" s="4">
        <v>6</v>
      </c>
      <c r="AK2102" s="4">
        <v>25</v>
      </c>
      <c r="AL2102" s="4">
        <v>18</v>
      </c>
      <c r="AM2102" s="4">
        <v>61</v>
      </c>
      <c r="AN2102" s="4">
        <v>0</v>
      </c>
      <c r="AO2102" s="4">
        <v>0</v>
      </c>
      <c r="AP2102" s="4">
        <v>8</v>
      </c>
      <c r="AQ2102" s="4">
        <v>49</v>
      </c>
      <c r="AR2102" s="3" t="s">
        <v>62</v>
      </c>
      <c r="AS2102" s="3" t="s">
        <v>62</v>
      </c>
      <c r="AT2102" s="3" t="s">
        <v>62</v>
      </c>
      <c r="AV2102" s="6" t="str">
        <f>HYPERLINK("http://mcgill.on.worldcat.org/oclc/730054592","Catalog Record")</f>
        <v>Catalog Record</v>
      </c>
      <c r="AW2102" s="6" t="str">
        <f>HYPERLINK("http://www.worldcat.org/oclc/730054592","WorldCat Record")</f>
        <v>WorldCat Record</v>
      </c>
      <c r="AX2102" s="3" t="s">
        <v>20420</v>
      </c>
      <c r="AY2102" s="3" t="s">
        <v>20421</v>
      </c>
      <c r="AZ2102" s="3" t="s">
        <v>20422</v>
      </c>
      <c r="BA2102" s="3" t="s">
        <v>20422</v>
      </c>
      <c r="BB2102" s="3" t="s">
        <v>20423</v>
      </c>
      <c r="BC2102" s="3" t="s">
        <v>142</v>
      </c>
      <c r="BD2102" s="3" t="s">
        <v>68</v>
      </c>
      <c r="BE2102" s="3" t="s">
        <v>20424</v>
      </c>
      <c r="BF2102" s="3" t="s">
        <v>20423</v>
      </c>
      <c r="BG2102" s="3" t="s">
        <v>20425</v>
      </c>
    </row>
    <row r="2103" spans="1:59" ht="57" x14ac:dyDescent="0.45">
      <c r="A2103" s="2" t="s">
        <v>59</v>
      </c>
      <c r="B2103" s="2" t="s">
        <v>60</v>
      </c>
      <c r="C2103" s="2" t="s">
        <v>20426</v>
      </c>
      <c r="D2103" s="2" t="s">
        <v>20427</v>
      </c>
      <c r="E2103" s="2" t="s">
        <v>20428</v>
      </c>
      <c r="G2103" s="3" t="s">
        <v>62</v>
      </c>
      <c r="I2103" s="3" t="s">
        <v>62</v>
      </c>
      <c r="J2103" s="3" t="s">
        <v>62</v>
      </c>
      <c r="K2103" s="3" t="s">
        <v>63</v>
      </c>
      <c r="L2103" s="2" t="s">
        <v>20429</v>
      </c>
      <c r="M2103" s="2" t="s">
        <v>20430</v>
      </c>
      <c r="N2103" s="3" t="s">
        <v>149</v>
      </c>
      <c r="P2103" s="3" t="s">
        <v>65</v>
      </c>
      <c r="R2103" s="3" t="s">
        <v>66</v>
      </c>
      <c r="S2103" s="4">
        <v>0</v>
      </c>
      <c r="T2103" s="4">
        <v>0</v>
      </c>
      <c r="W2103" s="5" t="s">
        <v>67</v>
      </c>
      <c r="X2103" s="5" t="s">
        <v>67</v>
      </c>
      <c r="Y2103" s="4">
        <v>140</v>
      </c>
      <c r="Z2103" s="4">
        <v>15</v>
      </c>
      <c r="AA2103" s="4">
        <v>57</v>
      </c>
      <c r="AB2103" s="4">
        <v>1</v>
      </c>
      <c r="AC2103" s="4">
        <v>9</v>
      </c>
      <c r="AD2103" s="4">
        <v>51</v>
      </c>
      <c r="AE2103" s="4">
        <v>69</v>
      </c>
      <c r="AF2103" s="4">
        <v>0</v>
      </c>
      <c r="AG2103" s="4">
        <v>3</v>
      </c>
      <c r="AH2103" s="4">
        <v>46</v>
      </c>
      <c r="AI2103" s="4">
        <v>54</v>
      </c>
      <c r="AJ2103" s="4">
        <v>6</v>
      </c>
      <c r="AK2103" s="4">
        <v>9</v>
      </c>
      <c r="AL2103" s="4">
        <v>30</v>
      </c>
      <c r="AM2103" s="4">
        <v>33</v>
      </c>
      <c r="AN2103" s="4">
        <v>0</v>
      </c>
      <c r="AO2103" s="4">
        <v>0</v>
      </c>
      <c r="AP2103" s="4">
        <v>11</v>
      </c>
      <c r="AQ2103" s="4">
        <v>22</v>
      </c>
      <c r="AR2103" s="3" t="s">
        <v>62</v>
      </c>
      <c r="AS2103" s="3" t="s">
        <v>62</v>
      </c>
      <c r="AT2103" s="3" t="s">
        <v>62</v>
      </c>
      <c r="AV2103" s="6" t="str">
        <f>HYPERLINK("http://mcgill.on.worldcat.org/oclc/550553778","Catalog Record")</f>
        <v>Catalog Record</v>
      </c>
      <c r="AW2103" s="6" t="str">
        <f>HYPERLINK("http://www.worldcat.org/oclc/550553778","WorldCat Record")</f>
        <v>WorldCat Record</v>
      </c>
      <c r="AX2103" s="3" t="s">
        <v>20431</v>
      </c>
      <c r="AY2103" s="3" t="s">
        <v>20432</v>
      </c>
      <c r="AZ2103" s="3" t="s">
        <v>20433</v>
      </c>
      <c r="BA2103" s="3" t="s">
        <v>20433</v>
      </c>
      <c r="BB2103" s="3" t="s">
        <v>20434</v>
      </c>
      <c r="BC2103" s="3" t="s">
        <v>142</v>
      </c>
      <c r="BD2103" s="3" t="s">
        <v>68</v>
      </c>
      <c r="BE2103" s="3" t="s">
        <v>20435</v>
      </c>
      <c r="BF2103" s="3" t="s">
        <v>20434</v>
      </c>
      <c r="BG2103" s="3" t="s">
        <v>20436</v>
      </c>
    </row>
    <row r="2104" spans="1:59" ht="57" x14ac:dyDescent="0.45">
      <c r="A2104" s="2" t="s">
        <v>59</v>
      </c>
      <c r="B2104" s="2" t="s">
        <v>60</v>
      </c>
      <c r="C2104" s="2" t="s">
        <v>20437</v>
      </c>
      <c r="D2104" s="2" t="s">
        <v>20438</v>
      </c>
      <c r="E2104" s="2" t="s">
        <v>20439</v>
      </c>
      <c r="G2104" s="3" t="s">
        <v>62</v>
      </c>
      <c r="I2104" s="3" t="s">
        <v>61</v>
      </c>
      <c r="J2104" s="3" t="s">
        <v>62</v>
      </c>
      <c r="K2104" s="3" t="s">
        <v>63</v>
      </c>
      <c r="L2104" s="2" t="s">
        <v>20429</v>
      </c>
      <c r="M2104" s="2" t="s">
        <v>20440</v>
      </c>
      <c r="N2104" s="3" t="s">
        <v>945</v>
      </c>
      <c r="P2104" s="3" t="s">
        <v>65</v>
      </c>
      <c r="Q2104" s="2" t="s">
        <v>20441</v>
      </c>
      <c r="R2104" s="3" t="s">
        <v>66</v>
      </c>
      <c r="S2104" s="4">
        <v>2</v>
      </c>
      <c r="T2104" s="4">
        <v>7</v>
      </c>
      <c r="U2104" s="5" t="s">
        <v>1075</v>
      </c>
      <c r="V2104" s="5" t="s">
        <v>1075</v>
      </c>
      <c r="W2104" s="5" t="s">
        <v>67</v>
      </c>
      <c r="X2104" s="5" t="s">
        <v>67</v>
      </c>
      <c r="Y2104" s="4">
        <v>242</v>
      </c>
      <c r="Z2104" s="4">
        <v>21</v>
      </c>
      <c r="AA2104" s="4">
        <v>99</v>
      </c>
      <c r="AB2104" s="4">
        <v>2</v>
      </c>
      <c r="AC2104" s="4">
        <v>17</v>
      </c>
      <c r="AD2104" s="4">
        <v>79</v>
      </c>
      <c r="AE2104" s="4">
        <v>122</v>
      </c>
      <c r="AF2104" s="4">
        <v>1</v>
      </c>
      <c r="AG2104" s="4">
        <v>8</v>
      </c>
      <c r="AH2104" s="4">
        <v>72</v>
      </c>
      <c r="AI2104" s="4">
        <v>87</v>
      </c>
      <c r="AJ2104" s="4">
        <v>12</v>
      </c>
      <c r="AK2104" s="4">
        <v>23</v>
      </c>
      <c r="AL2104" s="4">
        <v>39</v>
      </c>
      <c r="AM2104" s="4">
        <v>47</v>
      </c>
      <c r="AN2104" s="4">
        <v>0</v>
      </c>
      <c r="AO2104" s="4">
        <v>0</v>
      </c>
      <c r="AP2104" s="4">
        <v>16</v>
      </c>
      <c r="AQ2104" s="4">
        <v>45</v>
      </c>
      <c r="AR2104" s="3" t="s">
        <v>62</v>
      </c>
      <c r="AS2104" s="3" t="s">
        <v>62</v>
      </c>
      <c r="AT2104" s="3" t="s">
        <v>62</v>
      </c>
      <c r="AV2104" s="6" t="str">
        <f>HYPERLINK("http://mcgill.on.worldcat.org/oclc/136778248","Catalog Record")</f>
        <v>Catalog Record</v>
      </c>
      <c r="AW2104" s="6" t="str">
        <f>HYPERLINK("http://www.worldcat.org/oclc/136778248","WorldCat Record")</f>
        <v>WorldCat Record</v>
      </c>
      <c r="AX2104" s="3" t="s">
        <v>20442</v>
      </c>
      <c r="AY2104" s="3" t="s">
        <v>20443</v>
      </c>
      <c r="AZ2104" s="3" t="s">
        <v>20444</v>
      </c>
      <c r="BA2104" s="3" t="s">
        <v>20444</v>
      </c>
      <c r="BB2104" s="3" t="s">
        <v>20445</v>
      </c>
      <c r="BC2104" s="3" t="s">
        <v>142</v>
      </c>
      <c r="BD2104" s="3" t="s">
        <v>68</v>
      </c>
      <c r="BE2104" s="3" t="s">
        <v>20446</v>
      </c>
      <c r="BF2104" s="3" t="s">
        <v>20445</v>
      </c>
      <c r="BG2104" s="3" t="s">
        <v>20447</v>
      </c>
    </row>
    <row r="2105" spans="1:59" ht="57" x14ac:dyDescent="0.45">
      <c r="A2105" s="2" t="s">
        <v>59</v>
      </c>
      <c r="B2105" s="2" t="s">
        <v>60</v>
      </c>
      <c r="C2105" s="2" t="s">
        <v>20437</v>
      </c>
      <c r="D2105" s="2" t="s">
        <v>20438</v>
      </c>
      <c r="E2105" s="2" t="s">
        <v>20439</v>
      </c>
      <c r="G2105" s="3" t="s">
        <v>62</v>
      </c>
      <c r="I2105" s="3" t="s">
        <v>61</v>
      </c>
      <c r="J2105" s="3" t="s">
        <v>62</v>
      </c>
      <c r="K2105" s="3" t="s">
        <v>63</v>
      </c>
      <c r="L2105" s="2" t="s">
        <v>20429</v>
      </c>
      <c r="M2105" s="2" t="s">
        <v>20440</v>
      </c>
      <c r="N2105" s="3" t="s">
        <v>945</v>
      </c>
      <c r="P2105" s="3" t="s">
        <v>65</v>
      </c>
      <c r="Q2105" s="2" t="s">
        <v>20441</v>
      </c>
      <c r="R2105" s="3" t="s">
        <v>66</v>
      </c>
      <c r="S2105" s="4">
        <v>5</v>
      </c>
      <c r="T2105" s="4">
        <v>7</v>
      </c>
      <c r="U2105" s="5" t="s">
        <v>8465</v>
      </c>
      <c r="V2105" s="5" t="s">
        <v>1075</v>
      </c>
      <c r="W2105" s="5" t="s">
        <v>67</v>
      </c>
      <c r="X2105" s="5" t="s">
        <v>67</v>
      </c>
      <c r="Y2105" s="4">
        <v>242</v>
      </c>
      <c r="Z2105" s="4">
        <v>21</v>
      </c>
      <c r="AA2105" s="4">
        <v>99</v>
      </c>
      <c r="AB2105" s="4">
        <v>2</v>
      </c>
      <c r="AC2105" s="4">
        <v>17</v>
      </c>
      <c r="AD2105" s="4">
        <v>79</v>
      </c>
      <c r="AE2105" s="4">
        <v>122</v>
      </c>
      <c r="AF2105" s="4">
        <v>1</v>
      </c>
      <c r="AG2105" s="4">
        <v>8</v>
      </c>
      <c r="AH2105" s="4">
        <v>72</v>
      </c>
      <c r="AI2105" s="4">
        <v>87</v>
      </c>
      <c r="AJ2105" s="4">
        <v>12</v>
      </c>
      <c r="AK2105" s="4">
        <v>23</v>
      </c>
      <c r="AL2105" s="4">
        <v>39</v>
      </c>
      <c r="AM2105" s="4">
        <v>47</v>
      </c>
      <c r="AN2105" s="4">
        <v>0</v>
      </c>
      <c r="AO2105" s="4">
        <v>0</v>
      </c>
      <c r="AP2105" s="4">
        <v>16</v>
      </c>
      <c r="AQ2105" s="4">
        <v>45</v>
      </c>
      <c r="AR2105" s="3" t="s">
        <v>62</v>
      </c>
      <c r="AS2105" s="3" t="s">
        <v>62</v>
      </c>
      <c r="AT2105" s="3" t="s">
        <v>62</v>
      </c>
      <c r="AV2105" s="6" t="str">
        <f>HYPERLINK("http://mcgill.on.worldcat.org/oclc/136778248","Catalog Record")</f>
        <v>Catalog Record</v>
      </c>
      <c r="AW2105" s="6" t="str">
        <f>HYPERLINK("http://www.worldcat.org/oclc/136778248","WorldCat Record")</f>
        <v>WorldCat Record</v>
      </c>
      <c r="AX2105" s="3" t="s">
        <v>20442</v>
      </c>
      <c r="AY2105" s="3" t="s">
        <v>20443</v>
      </c>
      <c r="AZ2105" s="3" t="s">
        <v>20444</v>
      </c>
      <c r="BA2105" s="3" t="s">
        <v>20444</v>
      </c>
      <c r="BB2105" s="3" t="s">
        <v>20448</v>
      </c>
      <c r="BC2105" s="3" t="s">
        <v>142</v>
      </c>
      <c r="BD2105" s="3" t="s">
        <v>68</v>
      </c>
      <c r="BE2105" s="3" t="s">
        <v>20446</v>
      </c>
      <c r="BF2105" s="3" t="s">
        <v>20448</v>
      </c>
      <c r="BG2105" s="3" t="s">
        <v>20449</v>
      </c>
    </row>
    <row r="2106" spans="1:59" ht="57" x14ac:dyDescent="0.45">
      <c r="A2106" s="2" t="s">
        <v>59</v>
      </c>
      <c r="B2106" s="2" t="s">
        <v>60</v>
      </c>
      <c r="C2106" s="2" t="s">
        <v>20450</v>
      </c>
      <c r="D2106" s="2" t="s">
        <v>20451</v>
      </c>
      <c r="E2106" s="2" t="s">
        <v>20452</v>
      </c>
      <c r="G2106" s="3" t="s">
        <v>62</v>
      </c>
      <c r="I2106" s="3" t="s">
        <v>62</v>
      </c>
      <c r="J2106" s="3" t="s">
        <v>62</v>
      </c>
      <c r="K2106" s="3" t="s">
        <v>63</v>
      </c>
      <c r="M2106" s="2" t="s">
        <v>20453</v>
      </c>
      <c r="N2106" s="3" t="s">
        <v>149</v>
      </c>
      <c r="P2106" s="3" t="s">
        <v>4829</v>
      </c>
      <c r="R2106" s="3" t="s">
        <v>66</v>
      </c>
      <c r="S2106" s="4">
        <v>0</v>
      </c>
      <c r="T2106" s="4">
        <v>0</v>
      </c>
      <c r="W2106" s="5" t="s">
        <v>67</v>
      </c>
      <c r="X2106" s="5" t="s">
        <v>67</v>
      </c>
      <c r="Y2106" s="4">
        <v>6</v>
      </c>
      <c r="Z2106" s="4">
        <v>2</v>
      </c>
      <c r="AA2106" s="4">
        <v>2</v>
      </c>
      <c r="AB2106" s="4">
        <v>1</v>
      </c>
      <c r="AC2106" s="4">
        <v>1</v>
      </c>
      <c r="AD2106" s="4">
        <v>2</v>
      </c>
      <c r="AE2106" s="4">
        <v>2</v>
      </c>
      <c r="AF2106" s="4">
        <v>0</v>
      </c>
      <c r="AG2106" s="4">
        <v>0</v>
      </c>
      <c r="AH2106" s="4">
        <v>2</v>
      </c>
      <c r="AI2106" s="4">
        <v>2</v>
      </c>
      <c r="AJ2106" s="4">
        <v>0</v>
      </c>
      <c r="AK2106" s="4">
        <v>0</v>
      </c>
      <c r="AL2106" s="4">
        <v>1</v>
      </c>
      <c r="AM2106" s="4">
        <v>1</v>
      </c>
      <c r="AN2106" s="4">
        <v>0</v>
      </c>
      <c r="AO2106" s="4">
        <v>0</v>
      </c>
      <c r="AP2106" s="4">
        <v>0</v>
      </c>
      <c r="AQ2106" s="4">
        <v>0</v>
      </c>
      <c r="AR2106" s="3" t="s">
        <v>62</v>
      </c>
      <c r="AS2106" s="3" t="s">
        <v>62</v>
      </c>
      <c r="AT2106" s="3" t="s">
        <v>62</v>
      </c>
      <c r="AV2106" s="6" t="str">
        <f>HYPERLINK("http://mcgill.on.worldcat.org/oclc/692343106","Catalog Record")</f>
        <v>Catalog Record</v>
      </c>
      <c r="AW2106" s="6" t="str">
        <f>HYPERLINK("http://www.worldcat.org/oclc/692343106","WorldCat Record")</f>
        <v>WorldCat Record</v>
      </c>
      <c r="AX2106" s="3" t="s">
        <v>20454</v>
      </c>
      <c r="AY2106" s="3" t="s">
        <v>20455</v>
      </c>
      <c r="AZ2106" s="3" t="s">
        <v>20456</v>
      </c>
      <c r="BA2106" s="3" t="s">
        <v>20456</v>
      </c>
      <c r="BB2106" s="3" t="s">
        <v>20457</v>
      </c>
      <c r="BC2106" s="3" t="s">
        <v>142</v>
      </c>
      <c r="BD2106" s="3" t="s">
        <v>68</v>
      </c>
      <c r="BE2106" s="3" t="s">
        <v>20458</v>
      </c>
      <c r="BF2106" s="3" t="s">
        <v>20457</v>
      </c>
      <c r="BG2106" s="3" t="s">
        <v>20459</v>
      </c>
    </row>
    <row r="2107" spans="1:59" ht="57" x14ac:dyDescent="0.45">
      <c r="A2107" s="2" t="s">
        <v>59</v>
      </c>
      <c r="B2107" s="2" t="s">
        <v>60</v>
      </c>
      <c r="C2107" s="2" t="s">
        <v>20460</v>
      </c>
      <c r="D2107" s="2" t="s">
        <v>20461</v>
      </c>
      <c r="E2107" s="2" t="s">
        <v>20462</v>
      </c>
      <c r="G2107" s="3" t="s">
        <v>62</v>
      </c>
      <c r="I2107" s="3" t="s">
        <v>62</v>
      </c>
      <c r="J2107" s="3" t="s">
        <v>62</v>
      </c>
      <c r="K2107" s="3" t="s">
        <v>63</v>
      </c>
      <c r="M2107" s="2" t="s">
        <v>20463</v>
      </c>
      <c r="N2107" s="3" t="s">
        <v>1212</v>
      </c>
      <c r="P2107" s="3" t="s">
        <v>65</v>
      </c>
      <c r="R2107" s="3" t="s">
        <v>66</v>
      </c>
      <c r="S2107" s="4">
        <v>15</v>
      </c>
      <c r="T2107" s="4">
        <v>15</v>
      </c>
      <c r="U2107" s="5" t="s">
        <v>1749</v>
      </c>
      <c r="V2107" s="5" t="s">
        <v>1749</v>
      </c>
      <c r="W2107" s="5" t="s">
        <v>67</v>
      </c>
      <c r="X2107" s="5" t="s">
        <v>67</v>
      </c>
      <c r="Y2107" s="4">
        <v>142</v>
      </c>
      <c r="Z2107" s="4">
        <v>10</v>
      </c>
      <c r="AA2107" s="4">
        <v>11</v>
      </c>
      <c r="AB2107" s="4">
        <v>1</v>
      </c>
      <c r="AC2107" s="4">
        <v>2</v>
      </c>
      <c r="AD2107" s="4">
        <v>40</v>
      </c>
      <c r="AE2107" s="4">
        <v>41</v>
      </c>
      <c r="AF2107" s="4">
        <v>0</v>
      </c>
      <c r="AG2107" s="4">
        <v>1</v>
      </c>
      <c r="AH2107" s="4">
        <v>36</v>
      </c>
      <c r="AI2107" s="4">
        <v>37</v>
      </c>
      <c r="AJ2107" s="4">
        <v>8</v>
      </c>
      <c r="AK2107" s="4">
        <v>9</v>
      </c>
      <c r="AL2107" s="4">
        <v>22</v>
      </c>
      <c r="AM2107" s="4">
        <v>22</v>
      </c>
      <c r="AN2107" s="4">
        <v>0</v>
      </c>
      <c r="AO2107" s="4">
        <v>0</v>
      </c>
      <c r="AP2107" s="4">
        <v>8</v>
      </c>
      <c r="AQ2107" s="4">
        <v>9</v>
      </c>
      <c r="AR2107" s="3" t="s">
        <v>62</v>
      </c>
      <c r="AS2107" s="3" t="s">
        <v>62</v>
      </c>
      <c r="AT2107" s="3" t="s">
        <v>61</v>
      </c>
      <c r="AU2107" s="6" t="str">
        <f>HYPERLINK("http://catalog.hathitrust.org/Record/004092874","HathiTrust Record")</f>
        <v>HathiTrust Record</v>
      </c>
      <c r="AV2107" s="6" t="str">
        <f>HYPERLINK("http://mcgill.on.worldcat.org/oclc/42875402","Catalog Record")</f>
        <v>Catalog Record</v>
      </c>
      <c r="AW2107" s="6" t="str">
        <f>HYPERLINK("http://www.worldcat.org/oclc/42875402","WorldCat Record")</f>
        <v>WorldCat Record</v>
      </c>
      <c r="AX2107" s="3" t="s">
        <v>20464</v>
      </c>
      <c r="AY2107" s="3" t="s">
        <v>20465</v>
      </c>
      <c r="AZ2107" s="3" t="s">
        <v>20466</v>
      </c>
      <c r="BA2107" s="3" t="s">
        <v>20466</v>
      </c>
      <c r="BB2107" s="3" t="s">
        <v>20467</v>
      </c>
      <c r="BC2107" s="3" t="s">
        <v>142</v>
      </c>
      <c r="BD2107" s="3" t="s">
        <v>68</v>
      </c>
      <c r="BE2107" s="3" t="s">
        <v>20468</v>
      </c>
      <c r="BF2107" s="3" t="s">
        <v>20467</v>
      </c>
      <c r="BG2107" s="3" t="s">
        <v>20469</v>
      </c>
    </row>
    <row r="2108" spans="1:59" ht="57" x14ac:dyDescent="0.45">
      <c r="A2108" s="2" t="s">
        <v>59</v>
      </c>
      <c r="B2108" s="2" t="s">
        <v>60</v>
      </c>
      <c r="C2108" s="2" t="s">
        <v>20470</v>
      </c>
      <c r="D2108" s="2" t="s">
        <v>20471</v>
      </c>
      <c r="E2108" s="2" t="s">
        <v>20472</v>
      </c>
      <c r="G2108" s="3" t="s">
        <v>62</v>
      </c>
      <c r="I2108" s="3" t="s">
        <v>62</v>
      </c>
      <c r="J2108" s="3" t="s">
        <v>62</v>
      </c>
      <c r="K2108" s="3" t="s">
        <v>63</v>
      </c>
      <c r="M2108" s="2" t="s">
        <v>20473</v>
      </c>
      <c r="N2108" s="3" t="s">
        <v>894</v>
      </c>
      <c r="P2108" s="3" t="s">
        <v>65</v>
      </c>
      <c r="R2108" s="3" t="s">
        <v>66</v>
      </c>
      <c r="S2108" s="4">
        <v>1</v>
      </c>
      <c r="T2108" s="4">
        <v>1</v>
      </c>
      <c r="U2108" s="5" t="s">
        <v>8307</v>
      </c>
      <c r="V2108" s="5" t="s">
        <v>8307</v>
      </c>
      <c r="W2108" s="5" t="s">
        <v>67</v>
      </c>
      <c r="X2108" s="5" t="s">
        <v>67</v>
      </c>
      <c r="Y2108" s="4">
        <v>135</v>
      </c>
      <c r="Z2108" s="4">
        <v>17</v>
      </c>
      <c r="AA2108" s="4">
        <v>23</v>
      </c>
      <c r="AB2108" s="4">
        <v>2</v>
      </c>
      <c r="AC2108" s="4">
        <v>6</v>
      </c>
      <c r="AD2108" s="4">
        <v>69</v>
      </c>
      <c r="AE2108" s="4">
        <v>73</v>
      </c>
      <c r="AF2108" s="4">
        <v>1</v>
      </c>
      <c r="AG2108" s="4">
        <v>2</v>
      </c>
      <c r="AH2108" s="4">
        <v>64</v>
      </c>
      <c r="AI2108" s="4">
        <v>67</v>
      </c>
      <c r="AJ2108" s="4">
        <v>14</v>
      </c>
      <c r="AK2108" s="4">
        <v>15</v>
      </c>
      <c r="AL2108" s="4">
        <v>33</v>
      </c>
      <c r="AM2108" s="4">
        <v>34</v>
      </c>
      <c r="AN2108" s="4">
        <v>0</v>
      </c>
      <c r="AO2108" s="4">
        <v>0</v>
      </c>
      <c r="AP2108" s="4">
        <v>14</v>
      </c>
      <c r="AQ2108" s="4">
        <v>15</v>
      </c>
      <c r="AR2108" s="3" t="s">
        <v>62</v>
      </c>
      <c r="AS2108" s="3" t="s">
        <v>62</v>
      </c>
      <c r="AT2108" s="3" t="s">
        <v>62</v>
      </c>
      <c r="AV2108" s="6" t="str">
        <f>HYPERLINK("http://mcgill.on.worldcat.org/oclc/642847987","Catalog Record")</f>
        <v>Catalog Record</v>
      </c>
      <c r="AW2108" s="6" t="str">
        <f>HYPERLINK("http://www.worldcat.org/oclc/642847987","WorldCat Record")</f>
        <v>WorldCat Record</v>
      </c>
      <c r="AX2108" s="3" t="s">
        <v>20474</v>
      </c>
      <c r="AY2108" s="3" t="s">
        <v>20475</v>
      </c>
      <c r="AZ2108" s="3" t="s">
        <v>20476</v>
      </c>
      <c r="BA2108" s="3" t="s">
        <v>20476</v>
      </c>
      <c r="BB2108" s="3" t="s">
        <v>20477</v>
      </c>
      <c r="BC2108" s="3" t="s">
        <v>142</v>
      </c>
      <c r="BD2108" s="3" t="s">
        <v>68</v>
      </c>
      <c r="BE2108" s="3" t="s">
        <v>20478</v>
      </c>
      <c r="BF2108" s="3" t="s">
        <v>20477</v>
      </c>
      <c r="BG2108" s="3" t="s">
        <v>20479</v>
      </c>
    </row>
    <row r="2109" spans="1:59" ht="57" x14ac:dyDescent="0.45">
      <c r="A2109" s="2" t="s">
        <v>59</v>
      </c>
      <c r="B2109" s="2" t="s">
        <v>60</v>
      </c>
      <c r="C2109" s="2" t="s">
        <v>20480</v>
      </c>
      <c r="D2109" s="2" t="s">
        <v>20481</v>
      </c>
      <c r="E2109" s="2" t="s">
        <v>20482</v>
      </c>
      <c r="G2109" s="3" t="s">
        <v>62</v>
      </c>
      <c r="I2109" s="3" t="s">
        <v>62</v>
      </c>
      <c r="J2109" s="3" t="s">
        <v>62</v>
      </c>
      <c r="K2109" s="3" t="s">
        <v>63</v>
      </c>
      <c r="M2109" s="2" t="s">
        <v>20483</v>
      </c>
      <c r="N2109" s="3" t="s">
        <v>1465</v>
      </c>
      <c r="P2109" s="3" t="s">
        <v>65</v>
      </c>
      <c r="Q2109" s="2" t="s">
        <v>20484</v>
      </c>
      <c r="R2109" s="3" t="s">
        <v>66</v>
      </c>
      <c r="S2109" s="4">
        <v>5</v>
      </c>
      <c r="T2109" s="4">
        <v>5</v>
      </c>
      <c r="U2109" s="5" t="s">
        <v>17596</v>
      </c>
      <c r="V2109" s="5" t="s">
        <v>17596</v>
      </c>
      <c r="W2109" s="5" t="s">
        <v>67</v>
      </c>
      <c r="X2109" s="5" t="s">
        <v>67</v>
      </c>
      <c r="Y2109" s="4">
        <v>139</v>
      </c>
      <c r="Z2109" s="4">
        <v>13</v>
      </c>
      <c r="AA2109" s="4">
        <v>97</v>
      </c>
      <c r="AB2109" s="4">
        <v>2</v>
      </c>
      <c r="AC2109" s="4">
        <v>18</v>
      </c>
      <c r="AD2109" s="4">
        <v>51</v>
      </c>
      <c r="AE2109" s="4">
        <v>115</v>
      </c>
      <c r="AF2109" s="4">
        <v>0</v>
      </c>
      <c r="AG2109" s="4">
        <v>8</v>
      </c>
      <c r="AH2109" s="4">
        <v>46</v>
      </c>
      <c r="AI2109" s="4">
        <v>79</v>
      </c>
      <c r="AJ2109" s="4">
        <v>9</v>
      </c>
      <c r="AK2109" s="4">
        <v>21</v>
      </c>
      <c r="AL2109" s="4">
        <v>29</v>
      </c>
      <c r="AM2109" s="4">
        <v>43</v>
      </c>
      <c r="AN2109" s="4">
        <v>0</v>
      </c>
      <c r="AO2109" s="4">
        <v>0</v>
      </c>
      <c r="AP2109" s="4">
        <v>10</v>
      </c>
      <c r="AQ2109" s="4">
        <v>43</v>
      </c>
      <c r="AR2109" s="3" t="s">
        <v>62</v>
      </c>
      <c r="AS2109" s="3" t="s">
        <v>62</v>
      </c>
      <c r="AT2109" s="3" t="s">
        <v>62</v>
      </c>
      <c r="AV2109" s="6" t="str">
        <f>HYPERLINK("http://mcgill.on.worldcat.org/oclc/428006947","Catalog Record")</f>
        <v>Catalog Record</v>
      </c>
      <c r="AW2109" s="6" t="str">
        <f>HYPERLINK("http://www.worldcat.org/oclc/428006947","WorldCat Record")</f>
        <v>WorldCat Record</v>
      </c>
      <c r="AX2109" s="3" t="s">
        <v>20485</v>
      </c>
      <c r="AY2109" s="3" t="s">
        <v>20486</v>
      </c>
      <c r="AZ2109" s="3" t="s">
        <v>20487</v>
      </c>
      <c r="BA2109" s="3" t="s">
        <v>20487</v>
      </c>
      <c r="BB2109" s="3" t="s">
        <v>20488</v>
      </c>
      <c r="BC2109" s="3" t="s">
        <v>142</v>
      </c>
      <c r="BD2109" s="3" t="s">
        <v>68</v>
      </c>
      <c r="BE2109" s="3" t="s">
        <v>20489</v>
      </c>
      <c r="BF2109" s="3" t="s">
        <v>20488</v>
      </c>
      <c r="BG2109" s="3" t="s">
        <v>20490</v>
      </c>
    </row>
    <row r="2110" spans="1:59" ht="57" x14ac:dyDescent="0.45">
      <c r="A2110" s="2" t="s">
        <v>59</v>
      </c>
      <c r="B2110" s="2" t="s">
        <v>60</v>
      </c>
      <c r="C2110" s="2" t="s">
        <v>20491</v>
      </c>
      <c r="D2110" s="2" t="s">
        <v>20492</v>
      </c>
      <c r="E2110" s="2" t="s">
        <v>20493</v>
      </c>
      <c r="G2110" s="3" t="s">
        <v>62</v>
      </c>
      <c r="I2110" s="3" t="s">
        <v>62</v>
      </c>
      <c r="J2110" s="3" t="s">
        <v>62</v>
      </c>
      <c r="K2110" s="3" t="s">
        <v>63</v>
      </c>
      <c r="L2110" s="2" t="s">
        <v>20494</v>
      </c>
      <c r="M2110" s="2" t="s">
        <v>20495</v>
      </c>
      <c r="N2110" s="3" t="s">
        <v>149</v>
      </c>
      <c r="P2110" s="3" t="s">
        <v>65</v>
      </c>
      <c r="Q2110" s="2" t="s">
        <v>20496</v>
      </c>
      <c r="R2110" s="3" t="s">
        <v>66</v>
      </c>
      <c r="S2110" s="4">
        <v>1</v>
      </c>
      <c r="T2110" s="4">
        <v>1</v>
      </c>
      <c r="U2110" s="5" t="s">
        <v>18732</v>
      </c>
      <c r="V2110" s="5" t="s">
        <v>18732</v>
      </c>
      <c r="W2110" s="5" t="s">
        <v>67</v>
      </c>
      <c r="X2110" s="5" t="s">
        <v>67</v>
      </c>
      <c r="Y2110" s="4">
        <v>292</v>
      </c>
      <c r="Z2110" s="4">
        <v>23</v>
      </c>
      <c r="AA2110" s="4">
        <v>65</v>
      </c>
      <c r="AB2110" s="4">
        <v>2</v>
      </c>
      <c r="AC2110" s="4">
        <v>9</v>
      </c>
      <c r="AD2110" s="4">
        <v>72</v>
      </c>
      <c r="AE2110" s="4">
        <v>101</v>
      </c>
      <c r="AF2110" s="4">
        <v>1</v>
      </c>
      <c r="AG2110" s="4">
        <v>3</v>
      </c>
      <c r="AH2110" s="4">
        <v>63</v>
      </c>
      <c r="AI2110" s="4">
        <v>80</v>
      </c>
      <c r="AJ2110" s="4">
        <v>11</v>
      </c>
      <c r="AK2110" s="4">
        <v>19</v>
      </c>
      <c r="AL2110" s="4">
        <v>37</v>
      </c>
      <c r="AM2110" s="4">
        <v>45</v>
      </c>
      <c r="AN2110" s="4">
        <v>0</v>
      </c>
      <c r="AO2110" s="4">
        <v>0</v>
      </c>
      <c r="AP2110" s="4">
        <v>15</v>
      </c>
      <c r="AQ2110" s="4">
        <v>30</v>
      </c>
      <c r="AR2110" s="3" t="s">
        <v>62</v>
      </c>
      <c r="AS2110" s="3" t="s">
        <v>62</v>
      </c>
      <c r="AT2110" s="3" t="s">
        <v>62</v>
      </c>
      <c r="AV2110" s="6" t="str">
        <f>HYPERLINK("http://mcgill.on.worldcat.org/oclc/436265507","Catalog Record")</f>
        <v>Catalog Record</v>
      </c>
      <c r="AW2110" s="6" t="str">
        <f>HYPERLINK("http://www.worldcat.org/oclc/436265507","WorldCat Record")</f>
        <v>WorldCat Record</v>
      </c>
      <c r="AX2110" s="3" t="s">
        <v>20497</v>
      </c>
      <c r="AY2110" s="3" t="s">
        <v>20498</v>
      </c>
      <c r="AZ2110" s="3" t="s">
        <v>20499</v>
      </c>
      <c r="BA2110" s="3" t="s">
        <v>20499</v>
      </c>
      <c r="BB2110" s="3" t="s">
        <v>20500</v>
      </c>
      <c r="BC2110" s="3" t="s">
        <v>142</v>
      </c>
      <c r="BD2110" s="3" t="s">
        <v>68</v>
      </c>
      <c r="BE2110" s="3" t="s">
        <v>20501</v>
      </c>
      <c r="BF2110" s="3" t="s">
        <v>20500</v>
      </c>
      <c r="BG2110" s="3" t="s">
        <v>20502</v>
      </c>
    </row>
    <row r="2111" spans="1:59" ht="57" x14ac:dyDescent="0.45">
      <c r="A2111" s="2" t="s">
        <v>59</v>
      </c>
      <c r="B2111" s="2" t="s">
        <v>60</v>
      </c>
      <c r="C2111" s="2" t="s">
        <v>20503</v>
      </c>
      <c r="D2111" s="2" t="s">
        <v>20504</v>
      </c>
      <c r="E2111" s="2" t="s">
        <v>20505</v>
      </c>
      <c r="G2111" s="3" t="s">
        <v>62</v>
      </c>
      <c r="I2111" s="3" t="s">
        <v>62</v>
      </c>
      <c r="J2111" s="3" t="s">
        <v>62</v>
      </c>
      <c r="K2111" s="3" t="s">
        <v>63</v>
      </c>
      <c r="L2111" s="2" t="s">
        <v>20506</v>
      </c>
      <c r="M2111" s="2" t="s">
        <v>20507</v>
      </c>
      <c r="N2111" s="3" t="s">
        <v>1155</v>
      </c>
      <c r="P2111" s="3" t="s">
        <v>65</v>
      </c>
      <c r="Q2111" s="2" t="s">
        <v>20508</v>
      </c>
      <c r="R2111" s="3" t="s">
        <v>66</v>
      </c>
      <c r="S2111" s="4">
        <v>3</v>
      </c>
      <c r="T2111" s="4">
        <v>3</v>
      </c>
      <c r="U2111" s="5" t="s">
        <v>20509</v>
      </c>
      <c r="V2111" s="5" t="s">
        <v>20509</v>
      </c>
      <c r="W2111" s="5" t="s">
        <v>67</v>
      </c>
      <c r="X2111" s="5" t="s">
        <v>67</v>
      </c>
      <c r="Y2111" s="4">
        <v>282</v>
      </c>
      <c r="Z2111" s="4">
        <v>23</v>
      </c>
      <c r="AA2111" s="4">
        <v>63</v>
      </c>
      <c r="AB2111" s="4">
        <v>1</v>
      </c>
      <c r="AC2111" s="4">
        <v>7</v>
      </c>
      <c r="AD2111" s="4">
        <v>94</v>
      </c>
      <c r="AE2111" s="4">
        <v>118</v>
      </c>
      <c r="AF2111" s="4">
        <v>0</v>
      </c>
      <c r="AG2111" s="4">
        <v>3</v>
      </c>
      <c r="AH2111" s="4">
        <v>83</v>
      </c>
      <c r="AI2111" s="4">
        <v>91</v>
      </c>
      <c r="AJ2111" s="4">
        <v>14</v>
      </c>
      <c r="AK2111" s="4">
        <v>22</v>
      </c>
      <c r="AL2111" s="4">
        <v>46</v>
      </c>
      <c r="AM2111" s="4">
        <v>51</v>
      </c>
      <c r="AN2111" s="4">
        <v>0</v>
      </c>
      <c r="AO2111" s="4">
        <v>0</v>
      </c>
      <c r="AP2111" s="4">
        <v>19</v>
      </c>
      <c r="AQ2111" s="4">
        <v>34</v>
      </c>
      <c r="AR2111" s="3" t="s">
        <v>62</v>
      </c>
      <c r="AS2111" s="3" t="s">
        <v>62</v>
      </c>
      <c r="AT2111" s="3" t="s">
        <v>62</v>
      </c>
      <c r="AV2111" s="6" t="str">
        <f>HYPERLINK("http://mcgill.on.worldcat.org/oclc/741273594","Catalog Record")</f>
        <v>Catalog Record</v>
      </c>
      <c r="AW2111" s="6" t="str">
        <f>HYPERLINK("http://www.worldcat.org/oclc/741273594","WorldCat Record")</f>
        <v>WorldCat Record</v>
      </c>
      <c r="AX2111" s="3" t="s">
        <v>20510</v>
      </c>
      <c r="AY2111" s="3" t="s">
        <v>20511</v>
      </c>
      <c r="AZ2111" s="3" t="s">
        <v>20512</v>
      </c>
      <c r="BA2111" s="3" t="s">
        <v>20512</v>
      </c>
      <c r="BB2111" s="3" t="s">
        <v>20513</v>
      </c>
      <c r="BC2111" s="3" t="s">
        <v>142</v>
      </c>
      <c r="BD2111" s="3" t="s">
        <v>68</v>
      </c>
      <c r="BE2111" s="3" t="s">
        <v>20514</v>
      </c>
      <c r="BF2111" s="3" t="s">
        <v>20513</v>
      </c>
      <c r="BG2111" s="3" t="s">
        <v>20515</v>
      </c>
    </row>
    <row r="2112" spans="1:59" ht="57" x14ac:dyDescent="0.45">
      <c r="A2112" s="2" t="s">
        <v>59</v>
      </c>
      <c r="B2112" s="2" t="s">
        <v>60</v>
      </c>
      <c r="C2112" s="2" t="s">
        <v>20516</v>
      </c>
      <c r="D2112" s="2" t="s">
        <v>20517</v>
      </c>
      <c r="E2112" s="2" t="s">
        <v>20518</v>
      </c>
      <c r="G2112" s="3" t="s">
        <v>62</v>
      </c>
      <c r="I2112" s="3" t="s">
        <v>62</v>
      </c>
      <c r="J2112" s="3" t="s">
        <v>62</v>
      </c>
      <c r="K2112" s="3" t="s">
        <v>63</v>
      </c>
      <c r="M2112" s="2" t="s">
        <v>20519</v>
      </c>
      <c r="N2112" s="3" t="s">
        <v>149</v>
      </c>
      <c r="P2112" s="3" t="s">
        <v>65</v>
      </c>
      <c r="R2112" s="3" t="s">
        <v>66</v>
      </c>
      <c r="S2112" s="4">
        <v>2</v>
      </c>
      <c r="T2112" s="4">
        <v>2</v>
      </c>
      <c r="U2112" s="5" t="s">
        <v>20520</v>
      </c>
      <c r="V2112" s="5" t="s">
        <v>20520</v>
      </c>
      <c r="W2112" s="5" t="s">
        <v>67</v>
      </c>
      <c r="X2112" s="5" t="s">
        <v>67</v>
      </c>
      <c r="Y2112" s="4">
        <v>232</v>
      </c>
      <c r="Z2112" s="4">
        <v>21</v>
      </c>
      <c r="AA2112" s="4">
        <v>30</v>
      </c>
      <c r="AB2112" s="4">
        <v>2</v>
      </c>
      <c r="AC2112" s="4">
        <v>9</v>
      </c>
      <c r="AD2112" s="4">
        <v>73</v>
      </c>
      <c r="AE2112" s="4">
        <v>83</v>
      </c>
      <c r="AF2112" s="4">
        <v>1</v>
      </c>
      <c r="AG2112" s="4">
        <v>5</v>
      </c>
      <c r="AH2112" s="4">
        <v>65</v>
      </c>
      <c r="AI2112" s="4">
        <v>71</v>
      </c>
      <c r="AJ2112" s="4">
        <v>14</v>
      </c>
      <c r="AK2112" s="4">
        <v>17</v>
      </c>
      <c r="AL2112" s="4">
        <v>36</v>
      </c>
      <c r="AM2112" s="4">
        <v>40</v>
      </c>
      <c r="AN2112" s="4">
        <v>0</v>
      </c>
      <c r="AO2112" s="4">
        <v>0</v>
      </c>
      <c r="AP2112" s="4">
        <v>17</v>
      </c>
      <c r="AQ2112" s="4">
        <v>20</v>
      </c>
      <c r="AR2112" s="3" t="s">
        <v>62</v>
      </c>
      <c r="AS2112" s="3" t="s">
        <v>62</v>
      </c>
      <c r="AT2112" s="3" t="s">
        <v>62</v>
      </c>
      <c r="AV2112" s="6" t="str">
        <f>HYPERLINK("http://mcgill.on.worldcat.org/oclc/435422517","Catalog Record")</f>
        <v>Catalog Record</v>
      </c>
      <c r="AW2112" s="6" t="str">
        <f>HYPERLINK("http://www.worldcat.org/oclc/435422517","WorldCat Record")</f>
        <v>WorldCat Record</v>
      </c>
      <c r="AX2112" s="3" t="s">
        <v>20521</v>
      </c>
      <c r="AY2112" s="3" t="s">
        <v>20522</v>
      </c>
      <c r="AZ2112" s="3" t="s">
        <v>20523</v>
      </c>
      <c r="BA2112" s="3" t="s">
        <v>20523</v>
      </c>
      <c r="BB2112" s="3" t="s">
        <v>20524</v>
      </c>
      <c r="BC2112" s="3" t="s">
        <v>142</v>
      </c>
      <c r="BD2112" s="3" t="s">
        <v>68</v>
      </c>
      <c r="BE2112" s="3" t="s">
        <v>20525</v>
      </c>
      <c r="BF2112" s="3" t="s">
        <v>20524</v>
      </c>
      <c r="BG2112" s="3" t="s">
        <v>20526</v>
      </c>
    </row>
    <row r="2113" spans="1:59" ht="71.25" x14ac:dyDescent="0.45">
      <c r="A2113" s="2" t="s">
        <v>59</v>
      </c>
      <c r="B2113" s="2" t="s">
        <v>60</v>
      </c>
      <c r="C2113" s="2" t="s">
        <v>20527</v>
      </c>
      <c r="D2113" s="2" t="s">
        <v>20528</v>
      </c>
      <c r="E2113" s="2" t="s">
        <v>20529</v>
      </c>
      <c r="G2113" s="3" t="s">
        <v>62</v>
      </c>
      <c r="I2113" s="3" t="s">
        <v>61</v>
      </c>
      <c r="J2113" s="3" t="s">
        <v>62</v>
      </c>
      <c r="K2113" s="3" t="s">
        <v>63</v>
      </c>
      <c r="M2113" s="2" t="s">
        <v>20530</v>
      </c>
      <c r="N2113" s="3" t="s">
        <v>894</v>
      </c>
      <c r="P2113" s="3" t="s">
        <v>110</v>
      </c>
      <c r="Q2113" s="2" t="s">
        <v>20531</v>
      </c>
      <c r="R2113" s="3" t="s">
        <v>66</v>
      </c>
      <c r="S2113" s="4">
        <v>0</v>
      </c>
      <c r="T2113" s="4">
        <v>0</v>
      </c>
      <c r="W2113" s="5" t="s">
        <v>67</v>
      </c>
      <c r="X2113" s="5" t="s">
        <v>67</v>
      </c>
      <c r="Y2113" s="4">
        <v>10</v>
      </c>
      <c r="Z2113" s="4">
        <v>4</v>
      </c>
      <c r="AA2113" s="4">
        <v>4</v>
      </c>
      <c r="AB2113" s="4">
        <v>1</v>
      </c>
      <c r="AC2113" s="4">
        <v>1</v>
      </c>
      <c r="AD2113" s="4">
        <v>6</v>
      </c>
      <c r="AE2113" s="4">
        <v>6</v>
      </c>
      <c r="AF2113" s="4">
        <v>0</v>
      </c>
      <c r="AG2113" s="4">
        <v>0</v>
      </c>
      <c r="AH2113" s="4">
        <v>5</v>
      </c>
      <c r="AI2113" s="4">
        <v>5</v>
      </c>
      <c r="AJ2113" s="4">
        <v>2</v>
      </c>
      <c r="AK2113" s="4">
        <v>2</v>
      </c>
      <c r="AL2113" s="4">
        <v>4</v>
      </c>
      <c r="AM2113" s="4">
        <v>4</v>
      </c>
      <c r="AN2113" s="4">
        <v>0</v>
      </c>
      <c r="AO2113" s="4">
        <v>0</v>
      </c>
      <c r="AP2113" s="4">
        <v>2</v>
      </c>
      <c r="AQ2113" s="4">
        <v>2</v>
      </c>
      <c r="AR2113" s="3" t="s">
        <v>62</v>
      </c>
      <c r="AS2113" s="3" t="s">
        <v>62</v>
      </c>
      <c r="AT2113" s="3" t="s">
        <v>62</v>
      </c>
      <c r="AV2113" s="6" t="str">
        <f>HYPERLINK("http://mcgill.on.worldcat.org/oclc/778054323","Catalog Record")</f>
        <v>Catalog Record</v>
      </c>
      <c r="AW2113" s="6" t="str">
        <f>HYPERLINK("http://www.worldcat.org/oclc/778054323","WorldCat Record")</f>
        <v>WorldCat Record</v>
      </c>
      <c r="AX2113" s="3" t="s">
        <v>20532</v>
      </c>
      <c r="AY2113" s="3" t="s">
        <v>20533</v>
      </c>
      <c r="AZ2113" s="3" t="s">
        <v>20534</v>
      </c>
      <c r="BA2113" s="3" t="s">
        <v>20534</v>
      </c>
      <c r="BB2113" s="3" t="s">
        <v>20535</v>
      </c>
      <c r="BC2113" s="3" t="s">
        <v>142</v>
      </c>
      <c r="BD2113" s="3" t="s">
        <v>68</v>
      </c>
      <c r="BE2113" s="3" t="s">
        <v>20536</v>
      </c>
      <c r="BF2113" s="3" t="s">
        <v>20535</v>
      </c>
      <c r="BG2113" s="3" t="s">
        <v>20537</v>
      </c>
    </row>
    <row r="2114" spans="1:59" ht="57" x14ac:dyDescent="0.45">
      <c r="A2114" s="2" t="s">
        <v>59</v>
      </c>
      <c r="B2114" s="2" t="s">
        <v>60</v>
      </c>
      <c r="C2114" s="2" t="s">
        <v>20538</v>
      </c>
      <c r="D2114" s="2" t="s">
        <v>20539</v>
      </c>
      <c r="E2114" s="2" t="s">
        <v>20540</v>
      </c>
      <c r="G2114" s="3" t="s">
        <v>62</v>
      </c>
      <c r="I2114" s="3" t="s">
        <v>62</v>
      </c>
      <c r="J2114" s="3" t="s">
        <v>62</v>
      </c>
      <c r="K2114" s="3" t="s">
        <v>63</v>
      </c>
      <c r="M2114" s="2" t="s">
        <v>20541</v>
      </c>
      <c r="N2114" s="3" t="s">
        <v>1855</v>
      </c>
      <c r="P2114" s="3" t="s">
        <v>65</v>
      </c>
      <c r="Q2114" s="2" t="s">
        <v>20542</v>
      </c>
      <c r="R2114" s="3" t="s">
        <v>66</v>
      </c>
      <c r="S2114" s="4">
        <v>4</v>
      </c>
      <c r="T2114" s="4">
        <v>4</v>
      </c>
      <c r="U2114" s="5" t="s">
        <v>795</v>
      </c>
      <c r="V2114" s="5" t="s">
        <v>795</v>
      </c>
      <c r="W2114" s="5" t="s">
        <v>67</v>
      </c>
      <c r="X2114" s="5" t="s">
        <v>67</v>
      </c>
      <c r="Y2114" s="4">
        <v>173</v>
      </c>
      <c r="Z2114" s="4">
        <v>8</v>
      </c>
      <c r="AA2114" s="4">
        <v>10</v>
      </c>
      <c r="AB2114" s="4">
        <v>1</v>
      </c>
      <c r="AC2114" s="4">
        <v>3</v>
      </c>
      <c r="AD2114" s="4">
        <v>71</v>
      </c>
      <c r="AE2114" s="4">
        <v>72</v>
      </c>
      <c r="AF2114" s="4">
        <v>0</v>
      </c>
      <c r="AG2114" s="4">
        <v>1</v>
      </c>
      <c r="AH2114" s="4">
        <v>67</v>
      </c>
      <c r="AI2114" s="4">
        <v>68</v>
      </c>
      <c r="AJ2114" s="4">
        <v>6</v>
      </c>
      <c r="AK2114" s="4">
        <v>7</v>
      </c>
      <c r="AL2114" s="4">
        <v>46</v>
      </c>
      <c r="AM2114" s="4">
        <v>46</v>
      </c>
      <c r="AN2114" s="4">
        <v>0</v>
      </c>
      <c r="AO2114" s="4">
        <v>0</v>
      </c>
      <c r="AP2114" s="4">
        <v>6</v>
      </c>
      <c r="AQ2114" s="4">
        <v>7</v>
      </c>
      <c r="AR2114" s="3" t="s">
        <v>62</v>
      </c>
      <c r="AS2114" s="3" t="s">
        <v>62</v>
      </c>
      <c r="AT2114" s="3" t="s">
        <v>61</v>
      </c>
      <c r="AU2114" s="6" t="str">
        <f>HYPERLINK("http://catalog.hathitrust.org/Record/005408997","HathiTrust Record")</f>
        <v>HathiTrust Record</v>
      </c>
      <c r="AV2114" s="6" t="str">
        <f>HYPERLINK("http://mcgill.on.worldcat.org/oclc/62345240","Catalog Record")</f>
        <v>Catalog Record</v>
      </c>
      <c r="AW2114" s="6" t="str">
        <f>HYPERLINK("http://www.worldcat.org/oclc/62345240","WorldCat Record")</f>
        <v>WorldCat Record</v>
      </c>
      <c r="AX2114" s="3" t="s">
        <v>20543</v>
      </c>
      <c r="AY2114" s="3" t="s">
        <v>20544</v>
      </c>
      <c r="AZ2114" s="3" t="s">
        <v>20545</v>
      </c>
      <c r="BA2114" s="3" t="s">
        <v>20545</v>
      </c>
      <c r="BB2114" s="3" t="s">
        <v>20546</v>
      </c>
      <c r="BC2114" s="3" t="s">
        <v>142</v>
      </c>
      <c r="BD2114" s="3" t="s">
        <v>308</v>
      </c>
      <c r="BE2114" s="3" t="s">
        <v>20547</v>
      </c>
      <c r="BF2114" s="3" t="s">
        <v>20546</v>
      </c>
      <c r="BG2114" s="3" t="s">
        <v>20548</v>
      </c>
    </row>
    <row r="2115" spans="1:59" ht="57" x14ac:dyDescent="0.45">
      <c r="A2115" s="2" t="s">
        <v>59</v>
      </c>
      <c r="B2115" s="2" t="s">
        <v>60</v>
      </c>
      <c r="C2115" s="2" t="s">
        <v>20549</v>
      </c>
      <c r="D2115" s="2" t="s">
        <v>20550</v>
      </c>
      <c r="E2115" s="2" t="s">
        <v>20551</v>
      </c>
      <c r="G2115" s="3" t="s">
        <v>62</v>
      </c>
      <c r="I2115" s="3" t="s">
        <v>62</v>
      </c>
      <c r="J2115" s="3" t="s">
        <v>62</v>
      </c>
      <c r="K2115" s="3" t="s">
        <v>63</v>
      </c>
      <c r="M2115" s="2" t="s">
        <v>10008</v>
      </c>
      <c r="N2115" s="3" t="s">
        <v>1059</v>
      </c>
      <c r="P2115" s="3" t="s">
        <v>65</v>
      </c>
      <c r="Q2115" s="2" t="s">
        <v>20552</v>
      </c>
      <c r="R2115" s="3" t="s">
        <v>66</v>
      </c>
      <c r="S2115" s="4">
        <v>9</v>
      </c>
      <c r="T2115" s="4">
        <v>9</v>
      </c>
      <c r="U2115" s="5" t="s">
        <v>17110</v>
      </c>
      <c r="V2115" s="5" t="s">
        <v>17110</v>
      </c>
      <c r="W2115" s="5" t="s">
        <v>67</v>
      </c>
      <c r="X2115" s="5" t="s">
        <v>67</v>
      </c>
      <c r="Y2115" s="4">
        <v>229</v>
      </c>
      <c r="Z2115" s="4">
        <v>22</v>
      </c>
      <c r="AA2115" s="4">
        <v>27</v>
      </c>
      <c r="AB2115" s="4">
        <v>2</v>
      </c>
      <c r="AC2115" s="4">
        <v>5</v>
      </c>
      <c r="AD2115" s="4">
        <v>88</v>
      </c>
      <c r="AE2115" s="4">
        <v>91</v>
      </c>
      <c r="AF2115" s="4">
        <v>1</v>
      </c>
      <c r="AG2115" s="4">
        <v>2</v>
      </c>
      <c r="AH2115" s="4">
        <v>79</v>
      </c>
      <c r="AI2115" s="4">
        <v>79</v>
      </c>
      <c r="AJ2115" s="4">
        <v>15</v>
      </c>
      <c r="AK2115" s="4">
        <v>16</v>
      </c>
      <c r="AL2115" s="4">
        <v>45</v>
      </c>
      <c r="AM2115" s="4">
        <v>45</v>
      </c>
      <c r="AN2115" s="4">
        <v>0</v>
      </c>
      <c r="AO2115" s="4">
        <v>0</v>
      </c>
      <c r="AP2115" s="4">
        <v>19</v>
      </c>
      <c r="AQ2115" s="4">
        <v>21</v>
      </c>
      <c r="AR2115" s="3" t="s">
        <v>62</v>
      </c>
      <c r="AS2115" s="3" t="s">
        <v>62</v>
      </c>
      <c r="AT2115" s="3" t="s">
        <v>62</v>
      </c>
      <c r="AV2115" s="6" t="str">
        <f>HYPERLINK("http://mcgill.on.worldcat.org/oclc/65426002","Catalog Record")</f>
        <v>Catalog Record</v>
      </c>
      <c r="AW2115" s="6" t="str">
        <f>HYPERLINK("http://www.worldcat.org/oclc/65426002","WorldCat Record")</f>
        <v>WorldCat Record</v>
      </c>
      <c r="AX2115" s="3" t="s">
        <v>20553</v>
      </c>
      <c r="AY2115" s="3" t="s">
        <v>20554</v>
      </c>
      <c r="AZ2115" s="3" t="s">
        <v>20555</v>
      </c>
      <c r="BA2115" s="3" t="s">
        <v>20555</v>
      </c>
      <c r="BB2115" s="3" t="s">
        <v>20556</v>
      </c>
      <c r="BC2115" s="3" t="s">
        <v>142</v>
      </c>
      <c r="BD2115" s="3" t="s">
        <v>68</v>
      </c>
      <c r="BE2115" s="3" t="s">
        <v>20557</v>
      </c>
      <c r="BF2115" s="3" t="s">
        <v>20556</v>
      </c>
      <c r="BG2115" s="3" t="s">
        <v>20558</v>
      </c>
    </row>
    <row r="2116" spans="1:59" ht="57" x14ac:dyDescent="0.45">
      <c r="A2116" s="2" t="s">
        <v>59</v>
      </c>
      <c r="B2116" s="2" t="s">
        <v>60</v>
      </c>
      <c r="C2116" s="2" t="s">
        <v>20559</v>
      </c>
      <c r="D2116" s="2" t="s">
        <v>20560</v>
      </c>
      <c r="E2116" s="2" t="s">
        <v>20561</v>
      </c>
      <c r="G2116" s="3" t="s">
        <v>62</v>
      </c>
      <c r="I2116" s="3" t="s">
        <v>62</v>
      </c>
      <c r="J2116" s="3" t="s">
        <v>62</v>
      </c>
      <c r="K2116" s="3" t="s">
        <v>63</v>
      </c>
      <c r="M2116" s="2" t="s">
        <v>20562</v>
      </c>
      <c r="N2116" s="3" t="s">
        <v>149</v>
      </c>
      <c r="P2116" s="3" t="s">
        <v>65</v>
      </c>
      <c r="Q2116" s="2" t="s">
        <v>20563</v>
      </c>
      <c r="R2116" s="3" t="s">
        <v>66</v>
      </c>
      <c r="S2116" s="4">
        <v>3</v>
      </c>
      <c r="T2116" s="4">
        <v>3</v>
      </c>
      <c r="U2116" s="5" t="s">
        <v>20564</v>
      </c>
      <c r="V2116" s="5" t="s">
        <v>20564</v>
      </c>
      <c r="W2116" s="5" t="s">
        <v>67</v>
      </c>
      <c r="X2116" s="5" t="s">
        <v>67</v>
      </c>
      <c r="Y2116" s="4">
        <v>131</v>
      </c>
      <c r="Z2116" s="4">
        <v>12</v>
      </c>
      <c r="AA2116" s="4">
        <v>99</v>
      </c>
      <c r="AB2116" s="4">
        <v>2</v>
      </c>
      <c r="AC2116" s="4">
        <v>17</v>
      </c>
      <c r="AD2116" s="4">
        <v>56</v>
      </c>
      <c r="AE2116" s="4">
        <v>117</v>
      </c>
      <c r="AF2116" s="4">
        <v>1</v>
      </c>
      <c r="AG2116" s="4">
        <v>8</v>
      </c>
      <c r="AH2116" s="4">
        <v>49</v>
      </c>
      <c r="AI2116" s="4">
        <v>77</v>
      </c>
      <c r="AJ2116" s="4">
        <v>7</v>
      </c>
      <c r="AK2116" s="4">
        <v>21</v>
      </c>
      <c r="AL2116" s="4">
        <v>33</v>
      </c>
      <c r="AM2116" s="4">
        <v>44</v>
      </c>
      <c r="AN2116" s="4">
        <v>0</v>
      </c>
      <c r="AO2116" s="4">
        <v>0</v>
      </c>
      <c r="AP2116" s="4">
        <v>10</v>
      </c>
      <c r="AQ2116" s="4">
        <v>48</v>
      </c>
      <c r="AR2116" s="3" t="s">
        <v>62</v>
      </c>
      <c r="AS2116" s="3" t="s">
        <v>62</v>
      </c>
      <c r="AT2116" s="3" t="s">
        <v>62</v>
      </c>
      <c r="AV2116" s="6" t="str">
        <f>HYPERLINK("http://mcgill.on.worldcat.org/oclc/463454422","Catalog Record")</f>
        <v>Catalog Record</v>
      </c>
      <c r="AW2116" s="6" t="str">
        <f>HYPERLINK("http://www.worldcat.org/oclc/463454422","WorldCat Record")</f>
        <v>WorldCat Record</v>
      </c>
      <c r="AX2116" s="3" t="s">
        <v>20565</v>
      </c>
      <c r="AY2116" s="3" t="s">
        <v>20566</v>
      </c>
      <c r="AZ2116" s="3" t="s">
        <v>20567</v>
      </c>
      <c r="BA2116" s="3" t="s">
        <v>20567</v>
      </c>
      <c r="BB2116" s="3" t="s">
        <v>20568</v>
      </c>
      <c r="BC2116" s="3" t="s">
        <v>142</v>
      </c>
      <c r="BD2116" s="3" t="s">
        <v>68</v>
      </c>
      <c r="BE2116" s="3" t="s">
        <v>20569</v>
      </c>
      <c r="BF2116" s="3" t="s">
        <v>20568</v>
      </c>
      <c r="BG2116" s="3" t="s">
        <v>20570</v>
      </c>
    </row>
    <row r="2117" spans="1:59" ht="57" x14ac:dyDescent="0.45">
      <c r="A2117" s="2" t="s">
        <v>59</v>
      </c>
      <c r="B2117" s="2" t="s">
        <v>60</v>
      </c>
      <c r="C2117" s="2" t="s">
        <v>20571</v>
      </c>
      <c r="D2117" s="2" t="s">
        <v>20572</v>
      </c>
      <c r="E2117" s="2" t="s">
        <v>20573</v>
      </c>
      <c r="G2117" s="3" t="s">
        <v>62</v>
      </c>
      <c r="I2117" s="3" t="s">
        <v>62</v>
      </c>
      <c r="J2117" s="3" t="s">
        <v>62</v>
      </c>
      <c r="K2117" s="3" t="s">
        <v>63</v>
      </c>
      <c r="L2117" s="2" t="s">
        <v>20574</v>
      </c>
      <c r="M2117" s="2" t="s">
        <v>20575</v>
      </c>
      <c r="N2117" s="3" t="s">
        <v>149</v>
      </c>
      <c r="P2117" s="3" t="s">
        <v>65</v>
      </c>
      <c r="Q2117" s="2" t="s">
        <v>20576</v>
      </c>
      <c r="R2117" s="3" t="s">
        <v>66</v>
      </c>
      <c r="S2117" s="4">
        <v>3</v>
      </c>
      <c r="T2117" s="4">
        <v>3</v>
      </c>
      <c r="U2117" s="5" t="s">
        <v>20577</v>
      </c>
      <c r="V2117" s="5" t="s">
        <v>20577</v>
      </c>
      <c r="W2117" s="5" t="s">
        <v>67</v>
      </c>
      <c r="X2117" s="5" t="s">
        <v>67</v>
      </c>
      <c r="Y2117" s="4">
        <v>126</v>
      </c>
      <c r="Z2117" s="4">
        <v>13</v>
      </c>
      <c r="AA2117" s="4">
        <v>20</v>
      </c>
      <c r="AB2117" s="4">
        <v>2</v>
      </c>
      <c r="AC2117" s="4">
        <v>6</v>
      </c>
      <c r="AD2117" s="4">
        <v>58</v>
      </c>
      <c r="AE2117" s="4">
        <v>70</v>
      </c>
      <c r="AF2117" s="4">
        <v>0</v>
      </c>
      <c r="AG2117" s="4">
        <v>1</v>
      </c>
      <c r="AH2117" s="4">
        <v>54</v>
      </c>
      <c r="AI2117" s="4">
        <v>63</v>
      </c>
      <c r="AJ2117" s="4">
        <v>9</v>
      </c>
      <c r="AK2117" s="4">
        <v>12</v>
      </c>
      <c r="AL2117" s="4">
        <v>39</v>
      </c>
      <c r="AM2117" s="4">
        <v>43</v>
      </c>
      <c r="AN2117" s="4">
        <v>0</v>
      </c>
      <c r="AO2117" s="4">
        <v>0</v>
      </c>
      <c r="AP2117" s="4">
        <v>9</v>
      </c>
      <c r="AQ2117" s="4">
        <v>13</v>
      </c>
      <c r="AR2117" s="3" t="s">
        <v>62</v>
      </c>
      <c r="AS2117" s="3" t="s">
        <v>62</v>
      </c>
      <c r="AT2117" s="3" t="s">
        <v>62</v>
      </c>
      <c r="AV2117" s="6" t="str">
        <f>HYPERLINK("http://mcgill.on.worldcat.org/oclc/297222667","Catalog Record")</f>
        <v>Catalog Record</v>
      </c>
      <c r="AW2117" s="6" t="str">
        <f>HYPERLINK("http://www.worldcat.org/oclc/297222667","WorldCat Record")</f>
        <v>WorldCat Record</v>
      </c>
      <c r="AX2117" s="3" t="s">
        <v>20578</v>
      </c>
      <c r="AY2117" s="3" t="s">
        <v>20579</v>
      </c>
      <c r="AZ2117" s="3" t="s">
        <v>20580</v>
      </c>
      <c r="BA2117" s="3" t="s">
        <v>20580</v>
      </c>
      <c r="BB2117" s="3" t="s">
        <v>20581</v>
      </c>
      <c r="BC2117" s="3" t="s">
        <v>142</v>
      </c>
      <c r="BD2117" s="3" t="s">
        <v>68</v>
      </c>
      <c r="BE2117" s="3" t="s">
        <v>20582</v>
      </c>
      <c r="BF2117" s="3" t="s">
        <v>20581</v>
      </c>
      <c r="BG2117" s="3" t="s">
        <v>20583</v>
      </c>
    </row>
    <row r="2118" spans="1:59" ht="57" x14ac:dyDescent="0.45">
      <c r="A2118" s="2" t="s">
        <v>59</v>
      </c>
      <c r="B2118" s="2" t="s">
        <v>60</v>
      </c>
      <c r="C2118" s="2" t="s">
        <v>20584</v>
      </c>
      <c r="D2118" s="2" t="s">
        <v>20585</v>
      </c>
      <c r="E2118" s="2" t="s">
        <v>20586</v>
      </c>
      <c r="G2118" s="3" t="s">
        <v>62</v>
      </c>
      <c r="I2118" s="3" t="s">
        <v>62</v>
      </c>
      <c r="J2118" s="3" t="s">
        <v>62</v>
      </c>
      <c r="K2118" s="3" t="s">
        <v>63</v>
      </c>
      <c r="M2118" s="2" t="s">
        <v>11910</v>
      </c>
      <c r="N2118" s="3" t="s">
        <v>149</v>
      </c>
      <c r="P2118" s="3" t="s">
        <v>65</v>
      </c>
      <c r="Q2118" s="2" t="s">
        <v>13123</v>
      </c>
      <c r="R2118" s="3" t="s">
        <v>66</v>
      </c>
      <c r="S2118" s="4">
        <v>3</v>
      </c>
      <c r="T2118" s="4">
        <v>3</v>
      </c>
      <c r="U2118" s="5" t="s">
        <v>20587</v>
      </c>
      <c r="V2118" s="5" t="s">
        <v>20587</v>
      </c>
      <c r="W2118" s="5" t="s">
        <v>67</v>
      </c>
      <c r="X2118" s="5" t="s">
        <v>67</v>
      </c>
      <c r="Y2118" s="4">
        <v>143</v>
      </c>
      <c r="Z2118" s="4">
        <v>17</v>
      </c>
      <c r="AA2118" s="4">
        <v>82</v>
      </c>
      <c r="AB2118" s="4">
        <v>2</v>
      </c>
      <c r="AC2118" s="4">
        <v>14</v>
      </c>
      <c r="AD2118" s="4">
        <v>66</v>
      </c>
      <c r="AE2118" s="4">
        <v>116</v>
      </c>
      <c r="AF2118" s="4">
        <v>1</v>
      </c>
      <c r="AG2118" s="4">
        <v>8</v>
      </c>
      <c r="AH2118" s="4">
        <v>61</v>
      </c>
      <c r="AI2118" s="4">
        <v>83</v>
      </c>
      <c r="AJ2118" s="4">
        <v>14</v>
      </c>
      <c r="AK2118" s="4">
        <v>24</v>
      </c>
      <c r="AL2118" s="4">
        <v>35</v>
      </c>
      <c r="AM2118" s="4">
        <v>45</v>
      </c>
      <c r="AN2118" s="4">
        <v>0</v>
      </c>
      <c r="AO2118" s="4">
        <v>0</v>
      </c>
      <c r="AP2118" s="4">
        <v>14</v>
      </c>
      <c r="AQ2118" s="4">
        <v>44</v>
      </c>
      <c r="AR2118" s="3" t="s">
        <v>62</v>
      </c>
      <c r="AS2118" s="3" t="s">
        <v>62</v>
      </c>
      <c r="AT2118" s="3" t="s">
        <v>62</v>
      </c>
      <c r="AV2118" s="6" t="str">
        <f>HYPERLINK("http://mcgill.on.worldcat.org/oclc/445480124","Catalog Record")</f>
        <v>Catalog Record</v>
      </c>
      <c r="AW2118" s="6" t="str">
        <f>HYPERLINK("http://www.worldcat.org/oclc/445480124","WorldCat Record")</f>
        <v>WorldCat Record</v>
      </c>
      <c r="AX2118" s="3" t="s">
        <v>20588</v>
      </c>
      <c r="AY2118" s="3" t="s">
        <v>20589</v>
      </c>
      <c r="AZ2118" s="3" t="s">
        <v>20590</v>
      </c>
      <c r="BA2118" s="3" t="s">
        <v>20590</v>
      </c>
      <c r="BB2118" s="3" t="s">
        <v>20591</v>
      </c>
      <c r="BC2118" s="3" t="s">
        <v>142</v>
      </c>
      <c r="BD2118" s="3" t="s">
        <v>68</v>
      </c>
      <c r="BE2118" s="3" t="s">
        <v>20592</v>
      </c>
      <c r="BF2118" s="3" t="s">
        <v>20591</v>
      </c>
      <c r="BG2118" s="3" t="s">
        <v>20593</v>
      </c>
    </row>
    <row r="2119" spans="1:59" ht="57" x14ac:dyDescent="0.45">
      <c r="A2119" s="2" t="s">
        <v>59</v>
      </c>
      <c r="B2119" s="2" t="s">
        <v>60</v>
      </c>
      <c r="C2119" s="2" t="s">
        <v>20594</v>
      </c>
      <c r="D2119" s="2" t="s">
        <v>20595</v>
      </c>
      <c r="E2119" s="2" t="s">
        <v>20596</v>
      </c>
      <c r="G2119" s="3" t="s">
        <v>62</v>
      </c>
      <c r="I2119" s="3" t="s">
        <v>62</v>
      </c>
      <c r="J2119" s="3" t="s">
        <v>62</v>
      </c>
      <c r="K2119" s="3" t="s">
        <v>63</v>
      </c>
      <c r="M2119" s="2" t="s">
        <v>20597</v>
      </c>
      <c r="N2119" s="3" t="s">
        <v>181</v>
      </c>
      <c r="P2119" s="3" t="s">
        <v>65</v>
      </c>
      <c r="Q2119" s="2" t="s">
        <v>20598</v>
      </c>
      <c r="R2119" s="3" t="s">
        <v>66</v>
      </c>
      <c r="S2119" s="4">
        <v>1</v>
      </c>
      <c r="T2119" s="4">
        <v>1</v>
      </c>
      <c r="U2119" s="5" t="s">
        <v>20599</v>
      </c>
      <c r="V2119" s="5" t="s">
        <v>20599</v>
      </c>
      <c r="W2119" s="5" t="s">
        <v>67</v>
      </c>
      <c r="X2119" s="5" t="s">
        <v>67</v>
      </c>
      <c r="Y2119" s="4">
        <v>5</v>
      </c>
      <c r="Z2119" s="4">
        <v>1</v>
      </c>
      <c r="AA2119" s="4">
        <v>12</v>
      </c>
      <c r="AB2119" s="4">
        <v>1</v>
      </c>
      <c r="AC2119" s="4">
        <v>4</v>
      </c>
      <c r="AD2119" s="4">
        <v>0</v>
      </c>
      <c r="AE2119" s="4">
        <v>43</v>
      </c>
      <c r="AF2119" s="4">
        <v>0</v>
      </c>
      <c r="AG2119" s="4">
        <v>1</v>
      </c>
      <c r="AH2119" s="4">
        <v>0</v>
      </c>
      <c r="AI2119" s="4">
        <v>41</v>
      </c>
      <c r="AJ2119" s="4">
        <v>0</v>
      </c>
      <c r="AK2119" s="4">
        <v>8</v>
      </c>
      <c r="AL2119" s="4">
        <v>0</v>
      </c>
      <c r="AM2119" s="4">
        <v>24</v>
      </c>
      <c r="AN2119" s="4">
        <v>0</v>
      </c>
      <c r="AO2119" s="4">
        <v>0</v>
      </c>
      <c r="AP2119" s="4">
        <v>0</v>
      </c>
      <c r="AQ2119" s="4">
        <v>8</v>
      </c>
      <c r="AR2119" s="3" t="s">
        <v>62</v>
      </c>
      <c r="AS2119" s="3" t="s">
        <v>62</v>
      </c>
      <c r="AT2119" s="3" t="s">
        <v>62</v>
      </c>
      <c r="AV2119" s="6" t="str">
        <f>HYPERLINK("http://mcgill.on.worldcat.org/oclc/1019821432","Catalog Record")</f>
        <v>Catalog Record</v>
      </c>
      <c r="AW2119" s="6" t="str">
        <f>HYPERLINK("http://www.worldcat.org/oclc/1019821432","WorldCat Record")</f>
        <v>WorldCat Record</v>
      </c>
      <c r="AX2119" s="3" t="s">
        <v>20600</v>
      </c>
      <c r="AY2119" s="3" t="s">
        <v>20601</v>
      </c>
      <c r="AZ2119" s="3" t="s">
        <v>20602</v>
      </c>
      <c r="BA2119" s="3" t="s">
        <v>20602</v>
      </c>
      <c r="BB2119" s="3" t="s">
        <v>20603</v>
      </c>
      <c r="BC2119" s="3" t="s">
        <v>142</v>
      </c>
      <c r="BD2119" s="3" t="s">
        <v>68</v>
      </c>
      <c r="BE2119" s="3" t="s">
        <v>20604</v>
      </c>
      <c r="BF2119" s="3" t="s">
        <v>20603</v>
      </c>
      <c r="BG2119" s="3" t="s">
        <v>20605</v>
      </c>
    </row>
    <row r="2120" spans="1:59" ht="57" x14ac:dyDescent="0.45">
      <c r="A2120" s="2" t="s">
        <v>59</v>
      </c>
      <c r="B2120" s="2" t="s">
        <v>20606</v>
      </c>
      <c r="C2120" s="2" t="s">
        <v>20607</v>
      </c>
      <c r="D2120" s="2" t="s">
        <v>20608</v>
      </c>
      <c r="E2120" s="2" t="s">
        <v>20609</v>
      </c>
      <c r="G2120" s="3" t="s">
        <v>62</v>
      </c>
      <c r="I2120" s="3" t="s">
        <v>62</v>
      </c>
      <c r="J2120" s="3" t="s">
        <v>62</v>
      </c>
      <c r="K2120" s="3" t="s">
        <v>63</v>
      </c>
      <c r="L2120" s="2" t="s">
        <v>20610</v>
      </c>
      <c r="M2120" s="2" t="s">
        <v>20611</v>
      </c>
      <c r="N2120" s="3" t="s">
        <v>1688</v>
      </c>
      <c r="P2120" s="3" t="s">
        <v>65</v>
      </c>
      <c r="R2120" s="3" t="s">
        <v>66</v>
      </c>
      <c r="S2120" s="4">
        <v>6</v>
      </c>
      <c r="T2120" s="4">
        <v>6</v>
      </c>
      <c r="U2120" s="5" t="s">
        <v>9955</v>
      </c>
      <c r="V2120" s="5" t="s">
        <v>9955</v>
      </c>
      <c r="W2120" s="5" t="s">
        <v>67</v>
      </c>
      <c r="X2120" s="5" t="s">
        <v>67</v>
      </c>
      <c r="Y2120" s="4">
        <v>199</v>
      </c>
      <c r="Z2120" s="4">
        <v>5</v>
      </c>
      <c r="AA2120" s="4">
        <v>9</v>
      </c>
      <c r="AB2120" s="4">
        <v>1</v>
      </c>
      <c r="AC2120" s="4">
        <v>3</v>
      </c>
      <c r="AD2120" s="4">
        <v>14</v>
      </c>
      <c r="AE2120" s="4">
        <v>24</v>
      </c>
      <c r="AF2120" s="4">
        <v>0</v>
      </c>
      <c r="AG2120" s="4">
        <v>0</v>
      </c>
      <c r="AH2120" s="4">
        <v>12</v>
      </c>
      <c r="AI2120" s="4">
        <v>21</v>
      </c>
      <c r="AJ2120" s="4">
        <v>2</v>
      </c>
      <c r="AK2120" s="4">
        <v>2</v>
      </c>
      <c r="AL2120" s="4">
        <v>10</v>
      </c>
      <c r="AM2120" s="4">
        <v>14</v>
      </c>
      <c r="AN2120" s="4">
        <v>0</v>
      </c>
      <c r="AO2120" s="4">
        <v>0</v>
      </c>
      <c r="AP2120" s="4">
        <v>2</v>
      </c>
      <c r="AQ2120" s="4">
        <v>2</v>
      </c>
      <c r="AR2120" s="3" t="s">
        <v>62</v>
      </c>
      <c r="AS2120" s="3" t="s">
        <v>62</v>
      </c>
      <c r="AT2120" s="3" t="s">
        <v>62</v>
      </c>
      <c r="AV2120" s="6" t="str">
        <f>HYPERLINK("http://mcgill.on.worldcat.org/oclc/855905684","Catalog Record")</f>
        <v>Catalog Record</v>
      </c>
      <c r="AW2120" s="6" t="str">
        <f>HYPERLINK("http://www.worldcat.org/oclc/855905684","WorldCat Record")</f>
        <v>WorldCat Record</v>
      </c>
      <c r="AX2120" s="3" t="s">
        <v>20612</v>
      </c>
      <c r="AY2120" s="3" t="s">
        <v>20613</v>
      </c>
      <c r="AZ2120" s="3" t="s">
        <v>20614</v>
      </c>
      <c r="BA2120" s="3" t="s">
        <v>20614</v>
      </c>
      <c r="BB2120" s="3" t="s">
        <v>20615</v>
      </c>
      <c r="BC2120" s="3" t="s">
        <v>142</v>
      </c>
      <c r="BD2120" s="3" t="s">
        <v>308</v>
      </c>
      <c r="BE2120" s="3" t="s">
        <v>20616</v>
      </c>
      <c r="BF2120" s="3" t="s">
        <v>20615</v>
      </c>
      <c r="BG2120" s="3" t="s">
        <v>20617</v>
      </c>
    </row>
    <row r="2121" spans="1:59" ht="57" x14ac:dyDescent="0.45">
      <c r="A2121" s="2" t="s">
        <v>59</v>
      </c>
      <c r="B2121" s="2" t="s">
        <v>60</v>
      </c>
      <c r="C2121" s="2" t="s">
        <v>20618</v>
      </c>
      <c r="D2121" s="2" t="s">
        <v>20619</v>
      </c>
      <c r="E2121" s="2" t="s">
        <v>20620</v>
      </c>
      <c r="G2121" s="3" t="s">
        <v>62</v>
      </c>
      <c r="I2121" s="3" t="s">
        <v>62</v>
      </c>
      <c r="J2121" s="3" t="s">
        <v>62</v>
      </c>
      <c r="K2121" s="3" t="s">
        <v>63</v>
      </c>
      <c r="M2121" s="2" t="s">
        <v>3915</v>
      </c>
      <c r="N2121" s="3" t="s">
        <v>1155</v>
      </c>
      <c r="P2121" s="3" t="s">
        <v>65</v>
      </c>
      <c r="R2121" s="3" t="s">
        <v>66</v>
      </c>
      <c r="S2121" s="4">
        <v>5</v>
      </c>
      <c r="T2121" s="4">
        <v>5</v>
      </c>
      <c r="U2121" s="5" t="s">
        <v>15349</v>
      </c>
      <c r="V2121" s="5" t="s">
        <v>15349</v>
      </c>
      <c r="W2121" s="5" t="s">
        <v>67</v>
      </c>
      <c r="X2121" s="5" t="s">
        <v>67</v>
      </c>
      <c r="Y2121" s="4">
        <v>201</v>
      </c>
      <c r="Z2121" s="4">
        <v>17</v>
      </c>
      <c r="AA2121" s="4">
        <v>26</v>
      </c>
      <c r="AB2121" s="4">
        <v>1</v>
      </c>
      <c r="AC2121" s="4">
        <v>4</v>
      </c>
      <c r="AD2121" s="4">
        <v>62</v>
      </c>
      <c r="AE2121" s="4">
        <v>81</v>
      </c>
      <c r="AF2121" s="4">
        <v>0</v>
      </c>
      <c r="AG2121" s="4">
        <v>1</v>
      </c>
      <c r="AH2121" s="4">
        <v>57</v>
      </c>
      <c r="AI2121" s="4">
        <v>73</v>
      </c>
      <c r="AJ2121" s="4">
        <v>11</v>
      </c>
      <c r="AK2121" s="4">
        <v>17</v>
      </c>
      <c r="AL2121" s="4">
        <v>32</v>
      </c>
      <c r="AM2121" s="4">
        <v>42</v>
      </c>
      <c r="AN2121" s="4">
        <v>0</v>
      </c>
      <c r="AO2121" s="4">
        <v>0</v>
      </c>
      <c r="AP2121" s="4">
        <v>13</v>
      </c>
      <c r="AQ2121" s="4">
        <v>19</v>
      </c>
      <c r="AR2121" s="3" t="s">
        <v>62</v>
      </c>
      <c r="AS2121" s="3" t="s">
        <v>62</v>
      </c>
      <c r="AT2121" s="3" t="s">
        <v>62</v>
      </c>
      <c r="AV2121" s="6" t="str">
        <f>HYPERLINK("http://mcgill.on.worldcat.org/oclc/792880345","Catalog Record")</f>
        <v>Catalog Record</v>
      </c>
      <c r="AW2121" s="6" t="str">
        <f>HYPERLINK("http://www.worldcat.org/oclc/792880345","WorldCat Record")</f>
        <v>WorldCat Record</v>
      </c>
      <c r="AX2121" s="3" t="s">
        <v>20621</v>
      </c>
      <c r="AY2121" s="3" t="s">
        <v>20622</v>
      </c>
      <c r="AZ2121" s="3" t="s">
        <v>20623</v>
      </c>
      <c r="BA2121" s="3" t="s">
        <v>20623</v>
      </c>
      <c r="BB2121" s="3" t="s">
        <v>20624</v>
      </c>
      <c r="BC2121" s="3" t="s">
        <v>142</v>
      </c>
      <c r="BD2121" s="3" t="s">
        <v>68</v>
      </c>
      <c r="BE2121" s="3" t="s">
        <v>20625</v>
      </c>
      <c r="BF2121" s="3" t="s">
        <v>20624</v>
      </c>
      <c r="BG2121" s="3" t="s">
        <v>20626</v>
      </c>
    </row>
    <row r="2122" spans="1:59" ht="57" x14ac:dyDescent="0.45">
      <c r="A2122" s="2" t="s">
        <v>59</v>
      </c>
      <c r="B2122" s="2" t="s">
        <v>60</v>
      </c>
      <c r="C2122" s="2" t="s">
        <v>20627</v>
      </c>
      <c r="D2122" s="2" t="s">
        <v>20628</v>
      </c>
      <c r="E2122" s="2" t="s">
        <v>20629</v>
      </c>
      <c r="G2122" s="3" t="s">
        <v>62</v>
      </c>
      <c r="I2122" s="3" t="s">
        <v>62</v>
      </c>
      <c r="J2122" s="3" t="s">
        <v>62</v>
      </c>
      <c r="K2122" s="3" t="s">
        <v>63</v>
      </c>
      <c r="M2122" s="2" t="s">
        <v>20630</v>
      </c>
      <c r="N2122" s="3" t="s">
        <v>181</v>
      </c>
      <c r="P2122" s="3" t="s">
        <v>65</v>
      </c>
      <c r="R2122" s="3" t="s">
        <v>66</v>
      </c>
      <c r="S2122" s="4">
        <v>0</v>
      </c>
      <c r="T2122" s="4">
        <v>0</v>
      </c>
      <c r="W2122" s="5" t="s">
        <v>67</v>
      </c>
      <c r="X2122" s="5" t="s">
        <v>67</v>
      </c>
      <c r="Y2122" s="4">
        <v>75</v>
      </c>
      <c r="Z2122" s="4">
        <v>8</v>
      </c>
      <c r="AA2122" s="4">
        <v>21</v>
      </c>
      <c r="AB2122" s="4">
        <v>1</v>
      </c>
      <c r="AC2122" s="4">
        <v>7</v>
      </c>
      <c r="AD2122" s="4">
        <v>33</v>
      </c>
      <c r="AE2122" s="4">
        <v>39</v>
      </c>
      <c r="AF2122" s="4">
        <v>0</v>
      </c>
      <c r="AG2122" s="4">
        <v>3</v>
      </c>
      <c r="AH2122" s="4">
        <v>31</v>
      </c>
      <c r="AI2122" s="4">
        <v>34</v>
      </c>
      <c r="AJ2122" s="4">
        <v>6</v>
      </c>
      <c r="AK2122" s="4">
        <v>9</v>
      </c>
      <c r="AL2122" s="4">
        <v>20</v>
      </c>
      <c r="AM2122" s="4">
        <v>22</v>
      </c>
      <c r="AN2122" s="4">
        <v>0</v>
      </c>
      <c r="AO2122" s="4">
        <v>0</v>
      </c>
      <c r="AP2122" s="4">
        <v>7</v>
      </c>
      <c r="AQ2122" s="4">
        <v>10</v>
      </c>
      <c r="AR2122" s="3" t="s">
        <v>62</v>
      </c>
      <c r="AS2122" s="3" t="s">
        <v>62</v>
      </c>
      <c r="AT2122" s="3" t="s">
        <v>62</v>
      </c>
      <c r="AV2122" s="6" t="str">
        <f>HYPERLINK("http://mcgill.on.worldcat.org/oclc/921926754","Catalog Record")</f>
        <v>Catalog Record</v>
      </c>
      <c r="AW2122" s="6" t="str">
        <f>HYPERLINK("http://www.worldcat.org/oclc/921926754","WorldCat Record")</f>
        <v>WorldCat Record</v>
      </c>
      <c r="AX2122" s="3" t="s">
        <v>20631</v>
      </c>
      <c r="AY2122" s="3" t="s">
        <v>20632</v>
      </c>
      <c r="AZ2122" s="3" t="s">
        <v>20633</v>
      </c>
      <c r="BA2122" s="3" t="s">
        <v>20633</v>
      </c>
      <c r="BB2122" s="3" t="s">
        <v>20634</v>
      </c>
      <c r="BC2122" s="3" t="s">
        <v>142</v>
      </c>
      <c r="BD2122" s="3" t="s">
        <v>68</v>
      </c>
      <c r="BE2122" s="3" t="s">
        <v>20635</v>
      </c>
      <c r="BF2122" s="3" t="s">
        <v>20634</v>
      </c>
      <c r="BG2122" s="3" t="s">
        <v>20636</v>
      </c>
    </row>
    <row r="2123" spans="1:59" ht="57" x14ac:dyDescent="0.45">
      <c r="A2123" s="2" t="s">
        <v>59</v>
      </c>
      <c r="B2123" s="2" t="s">
        <v>60</v>
      </c>
      <c r="C2123" s="2" t="s">
        <v>20637</v>
      </c>
      <c r="D2123" s="2" t="s">
        <v>20638</v>
      </c>
      <c r="E2123" s="2" t="s">
        <v>20639</v>
      </c>
      <c r="G2123" s="3" t="s">
        <v>62</v>
      </c>
      <c r="I2123" s="3" t="s">
        <v>62</v>
      </c>
      <c r="J2123" s="3" t="s">
        <v>62</v>
      </c>
      <c r="K2123" s="3" t="s">
        <v>63</v>
      </c>
      <c r="M2123" s="2" t="s">
        <v>20640</v>
      </c>
      <c r="N2123" s="3" t="s">
        <v>1918</v>
      </c>
      <c r="P2123" s="3" t="s">
        <v>65</v>
      </c>
      <c r="R2123" s="3" t="s">
        <v>66</v>
      </c>
      <c r="S2123" s="4">
        <v>2</v>
      </c>
      <c r="T2123" s="4">
        <v>2</v>
      </c>
      <c r="W2123" s="5" t="s">
        <v>67</v>
      </c>
      <c r="X2123" s="5" t="s">
        <v>67</v>
      </c>
      <c r="Y2123" s="4">
        <v>87</v>
      </c>
      <c r="Z2123" s="4">
        <v>10</v>
      </c>
      <c r="AA2123" s="4">
        <v>13</v>
      </c>
      <c r="AB2123" s="4">
        <v>1</v>
      </c>
      <c r="AC2123" s="4">
        <v>4</v>
      </c>
      <c r="AD2123" s="4">
        <v>41</v>
      </c>
      <c r="AE2123" s="4">
        <v>44</v>
      </c>
      <c r="AF2123" s="4">
        <v>0</v>
      </c>
      <c r="AG2123" s="4">
        <v>1</v>
      </c>
      <c r="AH2123" s="4">
        <v>38</v>
      </c>
      <c r="AI2123" s="4">
        <v>40</v>
      </c>
      <c r="AJ2123" s="4">
        <v>8</v>
      </c>
      <c r="AK2123" s="4">
        <v>9</v>
      </c>
      <c r="AL2123" s="4">
        <v>24</v>
      </c>
      <c r="AM2123" s="4">
        <v>26</v>
      </c>
      <c r="AN2123" s="4">
        <v>0</v>
      </c>
      <c r="AO2123" s="4">
        <v>0</v>
      </c>
      <c r="AP2123" s="4">
        <v>9</v>
      </c>
      <c r="AQ2123" s="4">
        <v>9</v>
      </c>
      <c r="AR2123" s="3" t="s">
        <v>62</v>
      </c>
      <c r="AS2123" s="3" t="s">
        <v>62</v>
      </c>
      <c r="AT2123" s="3" t="s">
        <v>62</v>
      </c>
      <c r="AV2123" s="6" t="str">
        <f>HYPERLINK("http://mcgill.on.worldcat.org/oclc/995284238","Catalog Record")</f>
        <v>Catalog Record</v>
      </c>
      <c r="AW2123" s="6" t="str">
        <f>HYPERLINK("http://www.worldcat.org/oclc/995284238","WorldCat Record")</f>
        <v>WorldCat Record</v>
      </c>
      <c r="AX2123" s="3" t="s">
        <v>20641</v>
      </c>
      <c r="AY2123" s="3" t="s">
        <v>20642</v>
      </c>
      <c r="AZ2123" s="3" t="s">
        <v>20643</v>
      </c>
      <c r="BA2123" s="3" t="s">
        <v>20643</v>
      </c>
      <c r="BB2123" s="3" t="s">
        <v>20644</v>
      </c>
      <c r="BC2123" s="3" t="s">
        <v>142</v>
      </c>
      <c r="BD2123" s="3" t="s">
        <v>308</v>
      </c>
      <c r="BE2123" s="3" t="s">
        <v>20645</v>
      </c>
      <c r="BF2123" s="3" t="s">
        <v>20644</v>
      </c>
      <c r="BG2123" s="3" t="s">
        <v>20646</v>
      </c>
    </row>
    <row r="2124" spans="1:59" ht="57" x14ac:dyDescent="0.45">
      <c r="A2124" s="2" t="s">
        <v>59</v>
      </c>
      <c r="B2124" s="2" t="s">
        <v>60</v>
      </c>
      <c r="C2124" s="2" t="s">
        <v>20647</v>
      </c>
      <c r="D2124" s="2" t="s">
        <v>20648</v>
      </c>
      <c r="E2124" s="2" t="s">
        <v>20649</v>
      </c>
      <c r="G2124" s="3" t="s">
        <v>62</v>
      </c>
      <c r="I2124" s="3" t="s">
        <v>62</v>
      </c>
      <c r="J2124" s="3" t="s">
        <v>62</v>
      </c>
      <c r="K2124" s="3" t="s">
        <v>63</v>
      </c>
      <c r="L2124" s="2" t="s">
        <v>20650</v>
      </c>
      <c r="M2124" s="2" t="s">
        <v>20651</v>
      </c>
      <c r="N2124" s="3" t="s">
        <v>820</v>
      </c>
      <c r="P2124" s="3" t="s">
        <v>65</v>
      </c>
      <c r="R2124" s="3" t="s">
        <v>66</v>
      </c>
      <c r="S2124" s="4">
        <v>17</v>
      </c>
      <c r="T2124" s="4">
        <v>17</v>
      </c>
      <c r="U2124" s="5" t="s">
        <v>20652</v>
      </c>
      <c r="V2124" s="5" t="s">
        <v>20652</v>
      </c>
      <c r="W2124" s="5" t="s">
        <v>67</v>
      </c>
      <c r="X2124" s="5" t="s">
        <v>67</v>
      </c>
      <c r="Y2124" s="4">
        <v>259</v>
      </c>
      <c r="Z2124" s="4">
        <v>17</v>
      </c>
      <c r="AA2124" s="4">
        <v>23</v>
      </c>
      <c r="AB2124" s="4">
        <v>1</v>
      </c>
      <c r="AC2124" s="4">
        <v>5</v>
      </c>
      <c r="AD2124" s="4">
        <v>78</v>
      </c>
      <c r="AE2124" s="4">
        <v>81</v>
      </c>
      <c r="AF2124" s="4">
        <v>0</v>
      </c>
      <c r="AG2124" s="4">
        <v>2</v>
      </c>
      <c r="AH2124" s="4">
        <v>71</v>
      </c>
      <c r="AI2124" s="4">
        <v>73</v>
      </c>
      <c r="AJ2124" s="4">
        <v>10</v>
      </c>
      <c r="AK2124" s="4">
        <v>13</v>
      </c>
      <c r="AL2124" s="4">
        <v>44</v>
      </c>
      <c r="AM2124" s="4">
        <v>44</v>
      </c>
      <c r="AN2124" s="4">
        <v>0</v>
      </c>
      <c r="AO2124" s="4">
        <v>0</v>
      </c>
      <c r="AP2124" s="4">
        <v>12</v>
      </c>
      <c r="AQ2124" s="4">
        <v>14</v>
      </c>
      <c r="AR2124" s="3" t="s">
        <v>62</v>
      </c>
      <c r="AS2124" s="3" t="s">
        <v>62</v>
      </c>
      <c r="AT2124" s="3" t="s">
        <v>62</v>
      </c>
      <c r="AV2124" s="6" t="str">
        <f>HYPERLINK("http://mcgill.on.worldcat.org/oclc/182529145","Catalog Record")</f>
        <v>Catalog Record</v>
      </c>
      <c r="AW2124" s="6" t="str">
        <f>HYPERLINK("http://www.worldcat.org/oclc/182529145","WorldCat Record")</f>
        <v>WorldCat Record</v>
      </c>
      <c r="AX2124" s="3" t="s">
        <v>20653</v>
      </c>
      <c r="AY2124" s="3" t="s">
        <v>20654</v>
      </c>
      <c r="AZ2124" s="3" t="s">
        <v>20655</v>
      </c>
      <c r="BA2124" s="3" t="s">
        <v>20655</v>
      </c>
      <c r="BB2124" s="3" t="s">
        <v>20656</v>
      </c>
      <c r="BC2124" s="3" t="s">
        <v>142</v>
      </c>
      <c r="BD2124" s="3" t="s">
        <v>308</v>
      </c>
      <c r="BE2124" s="3" t="s">
        <v>20657</v>
      </c>
      <c r="BF2124" s="3" t="s">
        <v>20656</v>
      </c>
      <c r="BG2124" s="3" t="s">
        <v>20658</v>
      </c>
    </row>
    <row r="2125" spans="1:59" ht="57" x14ac:dyDescent="0.45">
      <c r="A2125" s="2" t="s">
        <v>59</v>
      </c>
      <c r="B2125" s="2" t="s">
        <v>60</v>
      </c>
      <c r="C2125" s="2" t="s">
        <v>20659</v>
      </c>
      <c r="D2125" s="2" t="s">
        <v>20660</v>
      </c>
      <c r="E2125" s="2" t="s">
        <v>20661</v>
      </c>
      <c r="G2125" s="3" t="s">
        <v>62</v>
      </c>
      <c r="I2125" s="3" t="s">
        <v>62</v>
      </c>
      <c r="J2125" s="3" t="s">
        <v>62</v>
      </c>
      <c r="K2125" s="3" t="s">
        <v>63</v>
      </c>
      <c r="L2125" s="2" t="s">
        <v>20662</v>
      </c>
      <c r="M2125" s="2" t="s">
        <v>20663</v>
      </c>
      <c r="N2125" s="3" t="s">
        <v>181</v>
      </c>
      <c r="P2125" s="3" t="s">
        <v>65</v>
      </c>
      <c r="R2125" s="3" t="s">
        <v>66</v>
      </c>
      <c r="S2125" s="4">
        <v>0</v>
      </c>
      <c r="T2125" s="4">
        <v>0</v>
      </c>
      <c r="W2125" s="5" t="s">
        <v>67</v>
      </c>
      <c r="X2125" s="5" t="s">
        <v>67</v>
      </c>
      <c r="Y2125" s="4">
        <v>523</v>
      </c>
      <c r="Z2125" s="4">
        <v>20</v>
      </c>
      <c r="AA2125" s="4">
        <v>83</v>
      </c>
      <c r="AB2125" s="4">
        <v>1</v>
      </c>
      <c r="AC2125" s="4">
        <v>14</v>
      </c>
      <c r="AD2125" s="4">
        <v>70</v>
      </c>
      <c r="AE2125" s="4">
        <v>121</v>
      </c>
      <c r="AF2125" s="4">
        <v>0</v>
      </c>
      <c r="AG2125" s="4">
        <v>8</v>
      </c>
      <c r="AH2125" s="4">
        <v>64</v>
      </c>
      <c r="AI2125" s="4">
        <v>88</v>
      </c>
      <c r="AJ2125" s="4">
        <v>8</v>
      </c>
      <c r="AK2125" s="4">
        <v>24</v>
      </c>
      <c r="AL2125" s="4">
        <v>38</v>
      </c>
      <c r="AM2125" s="4">
        <v>46</v>
      </c>
      <c r="AN2125" s="4">
        <v>0</v>
      </c>
      <c r="AO2125" s="4">
        <v>0</v>
      </c>
      <c r="AP2125" s="4">
        <v>9</v>
      </c>
      <c r="AQ2125" s="4">
        <v>41</v>
      </c>
      <c r="AR2125" s="3" t="s">
        <v>62</v>
      </c>
      <c r="AS2125" s="3" t="s">
        <v>62</v>
      </c>
      <c r="AT2125" s="3" t="s">
        <v>62</v>
      </c>
      <c r="AV2125" s="6" t="str">
        <f>HYPERLINK("http://mcgill.on.worldcat.org/oclc/946481868","Catalog Record")</f>
        <v>Catalog Record</v>
      </c>
      <c r="AW2125" s="6" t="str">
        <f>HYPERLINK("http://www.worldcat.org/oclc/946481868","WorldCat Record")</f>
        <v>WorldCat Record</v>
      </c>
      <c r="AX2125" s="3" t="s">
        <v>20664</v>
      </c>
      <c r="AY2125" s="3" t="s">
        <v>20665</v>
      </c>
      <c r="AZ2125" s="3" t="s">
        <v>20666</v>
      </c>
      <c r="BA2125" s="3" t="s">
        <v>20666</v>
      </c>
      <c r="BB2125" s="3" t="s">
        <v>20667</v>
      </c>
      <c r="BC2125" s="3" t="s">
        <v>142</v>
      </c>
      <c r="BD2125" s="3" t="s">
        <v>68</v>
      </c>
      <c r="BE2125" s="3" t="s">
        <v>20668</v>
      </c>
      <c r="BF2125" s="3" t="s">
        <v>20667</v>
      </c>
      <c r="BG2125" s="3" t="s">
        <v>20669</v>
      </c>
    </row>
    <row r="2126" spans="1:59" ht="57" x14ac:dyDescent="0.45">
      <c r="A2126" s="2" t="s">
        <v>59</v>
      </c>
      <c r="B2126" s="2" t="s">
        <v>60</v>
      </c>
      <c r="C2126" s="2" t="s">
        <v>20670</v>
      </c>
      <c r="D2126" s="2" t="s">
        <v>20671</v>
      </c>
      <c r="E2126" s="2" t="s">
        <v>20672</v>
      </c>
      <c r="G2126" s="3" t="s">
        <v>62</v>
      </c>
      <c r="I2126" s="3" t="s">
        <v>62</v>
      </c>
      <c r="J2126" s="3" t="s">
        <v>62</v>
      </c>
      <c r="K2126" s="3" t="s">
        <v>63</v>
      </c>
      <c r="M2126" s="2" t="s">
        <v>20673</v>
      </c>
      <c r="N2126" s="3" t="s">
        <v>1253</v>
      </c>
      <c r="P2126" s="3" t="s">
        <v>326</v>
      </c>
      <c r="Q2126" s="2" t="s">
        <v>20674</v>
      </c>
      <c r="R2126" s="3" t="s">
        <v>66</v>
      </c>
      <c r="S2126" s="4">
        <v>2</v>
      </c>
      <c r="T2126" s="4">
        <v>2</v>
      </c>
      <c r="U2126" s="5" t="s">
        <v>20675</v>
      </c>
      <c r="V2126" s="5" t="s">
        <v>20675</v>
      </c>
      <c r="W2126" s="5" t="s">
        <v>67</v>
      </c>
      <c r="X2126" s="5" t="s">
        <v>67</v>
      </c>
      <c r="Y2126" s="4">
        <v>138</v>
      </c>
      <c r="Z2126" s="4">
        <v>6</v>
      </c>
      <c r="AA2126" s="4">
        <v>7</v>
      </c>
      <c r="AB2126" s="4">
        <v>1</v>
      </c>
      <c r="AC2126" s="4">
        <v>2</v>
      </c>
      <c r="AD2126" s="4">
        <v>65</v>
      </c>
      <c r="AE2126" s="4">
        <v>66</v>
      </c>
      <c r="AF2126" s="4">
        <v>0</v>
      </c>
      <c r="AG2126" s="4">
        <v>1</v>
      </c>
      <c r="AH2126" s="4">
        <v>64</v>
      </c>
      <c r="AI2126" s="4">
        <v>64</v>
      </c>
      <c r="AJ2126" s="4">
        <v>4</v>
      </c>
      <c r="AK2126" s="4">
        <v>5</v>
      </c>
      <c r="AL2126" s="4">
        <v>46</v>
      </c>
      <c r="AM2126" s="4">
        <v>46</v>
      </c>
      <c r="AN2126" s="4">
        <v>0</v>
      </c>
      <c r="AO2126" s="4">
        <v>0</v>
      </c>
      <c r="AP2126" s="4">
        <v>4</v>
      </c>
      <c r="AQ2126" s="4">
        <v>4</v>
      </c>
      <c r="AR2126" s="3" t="s">
        <v>62</v>
      </c>
      <c r="AS2126" s="3" t="s">
        <v>62</v>
      </c>
      <c r="AT2126" s="3" t="s">
        <v>61</v>
      </c>
      <c r="AU2126" s="6" t="str">
        <f>HYPERLINK("http://catalog.hathitrust.org/Record/003166170","HathiTrust Record")</f>
        <v>HathiTrust Record</v>
      </c>
      <c r="AV2126" s="6" t="str">
        <f>HYPERLINK("http://mcgill.on.worldcat.org/oclc/42887938","Catalog Record")</f>
        <v>Catalog Record</v>
      </c>
      <c r="AW2126" s="6" t="str">
        <f>HYPERLINK("http://www.worldcat.org/oclc/42887938","WorldCat Record")</f>
        <v>WorldCat Record</v>
      </c>
      <c r="AX2126" s="3" t="s">
        <v>20676</v>
      </c>
      <c r="AY2126" s="3" t="s">
        <v>20677</v>
      </c>
      <c r="AZ2126" s="3" t="s">
        <v>20678</v>
      </c>
      <c r="BA2126" s="3" t="s">
        <v>20678</v>
      </c>
      <c r="BB2126" s="3" t="s">
        <v>20679</v>
      </c>
      <c r="BC2126" s="3" t="s">
        <v>142</v>
      </c>
      <c r="BD2126" s="3" t="s">
        <v>68</v>
      </c>
      <c r="BE2126" s="3" t="s">
        <v>20680</v>
      </c>
      <c r="BF2126" s="3" t="s">
        <v>20679</v>
      </c>
      <c r="BG2126" s="3" t="s">
        <v>20681</v>
      </c>
    </row>
    <row r="2127" spans="1:59" ht="71.25" x14ac:dyDescent="0.45">
      <c r="A2127" s="2" t="s">
        <v>59</v>
      </c>
      <c r="B2127" s="2" t="s">
        <v>60</v>
      </c>
      <c r="C2127" s="2" t="s">
        <v>20682</v>
      </c>
      <c r="D2127" s="2" t="s">
        <v>20683</v>
      </c>
      <c r="E2127" s="2" t="s">
        <v>20684</v>
      </c>
      <c r="G2127" s="3" t="s">
        <v>62</v>
      </c>
      <c r="I2127" s="3" t="s">
        <v>62</v>
      </c>
      <c r="J2127" s="3" t="s">
        <v>62</v>
      </c>
      <c r="K2127" s="3" t="s">
        <v>63</v>
      </c>
      <c r="M2127" s="2" t="s">
        <v>20685</v>
      </c>
      <c r="N2127" s="3" t="s">
        <v>1155</v>
      </c>
      <c r="P2127" s="3" t="s">
        <v>65</v>
      </c>
      <c r="Q2127" s="2" t="s">
        <v>20686</v>
      </c>
      <c r="R2127" s="3" t="s">
        <v>66</v>
      </c>
      <c r="S2127" s="4">
        <v>1</v>
      </c>
      <c r="T2127" s="4">
        <v>1</v>
      </c>
      <c r="U2127" s="5" t="s">
        <v>20687</v>
      </c>
      <c r="V2127" s="5" t="s">
        <v>20687</v>
      </c>
      <c r="W2127" s="5" t="s">
        <v>67</v>
      </c>
      <c r="X2127" s="5" t="s">
        <v>67</v>
      </c>
      <c r="Y2127" s="4">
        <v>228</v>
      </c>
      <c r="Z2127" s="4">
        <v>24</v>
      </c>
      <c r="AA2127" s="4">
        <v>88</v>
      </c>
      <c r="AB2127" s="4">
        <v>2</v>
      </c>
      <c r="AC2127" s="4">
        <v>16</v>
      </c>
      <c r="AD2127" s="4">
        <v>87</v>
      </c>
      <c r="AE2127" s="4">
        <v>138</v>
      </c>
      <c r="AF2127" s="4">
        <v>1</v>
      </c>
      <c r="AG2127" s="4">
        <v>8</v>
      </c>
      <c r="AH2127" s="4">
        <v>80</v>
      </c>
      <c r="AI2127" s="4">
        <v>103</v>
      </c>
      <c r="AJ2127" s="4">
        <v>17</v>
      </c>
      <c r="AK2127" s="4">
        <v>25</v>
      </c>
      <c r="AL2127" s="4">
        <v>44</v>
      </c>
      <c r="AM2127" s="4">
        <v>55</v>
      </c>
      <c r="AN2127" s="4">
        <v>0</v>
      </c>
      <c r="AO2127" s="4">
        <v>0</v>
      </c>
      <c r="AP2127" s="4">
        <v>18</v>
      </c>
      <c r="AQ2127" s="4">
        <v>46</v>
      </c>
      <c r="AR2127" s="3" t="s">
        <v>62</v>
      </c>
      <c r="AS2127" s="3" t="s">
        <v>62</v>
      </c>
      <c r="AT2127" s="3" t="s">
        <v>62</v>
      </c>
      <c r="AV2127" s="6" t="str">
        <f>HYPERLINK("http://mcgill.on.worldcat.org/oclc/754713663","Catalog Record")</f>
        <v>Catalog Record</v>
      </c>
      <c r="AW2127" s="6" t="str">
        <f>HYPERLINK("http://www.worldcat.org/oclc/754713663","WorldCat Record")</f>
        <v>WorldCat Record</v>
      </c>
      <c r="AX2127" s="3" t="s">
        <v>20688</v>
      </c>
      <c r="AY2127" s="3" t="s">
        <v>20689</v>
      </c>
      <c r="AZ2127" s="3" t="s">
        <v>20690</v>
      </c>
      <c r="BA2127" s="3" t="s">
        <v>20690</v>
      </c>
      <c r="BB2127" s="3" t="s">
        <v>20691</v>
      </c>
      <c r="BC2127" s="3" t="s">
        <v>142</v>
      </c>
      <c r="BD2127" s="3" t="s">
        <v>68</v>
      </c>
      <c r="BE2127" s="3" t="s">
        <v>20692</v>
      </c>
      <c r="BF2127" s="3" t="s">
        <v>20691</v>
      </c>
      <c r="BG2127" s="3" t="s">
        <v>20693</v>
      </c>
    </row>
    <row r="2128" spans="1:59" ht="57" x14ac:dyDescent="0.45">
      <c r="A2128" s="2" t="s">
        <v>59</v>
      </c>
      <c r="B2128" s="2" t="s">
        <v>60</v>
      </c>
      <c r="C2128" s="2" t="s">
        <v>20694</v>
      </c>
      <c r="D2128" s="2" t="s">
        <v>20695</v>
      </c>
      <c r="E2128" s="2" t="s">
        <v>20696</v>
      </c>
      <c r="G2128" s="3" t="s">
        <v>62</v>
      </c>
      <c r="I2128" s="3" t="s">
        <v>62</v>
      </c>
      <c r="J2128" s="3" t="s">
        <v>62</v>
      </c>
      <c r="K2128" s="3" t="s">
        <v>63</v>
      </c>
      <c r="M2128" s="2" t="s">
        <v>20697</v>
      </c>
      <c r="N2128" s="3" t="s">
        <v>894</v>
      </c>
      <c r="P2128" s="3" t="s">
        <v>65</v>
      </c>
      <c r="R2128" s="3" t="s">
        <v>66</v>
      </c>
      <c r="S2128" s="4">
        <v>2</v>
      </c>
      <c r="T2128" s="4">
        <v>2</v>
      </c>
      <c r="U2128" s="5" t="s">
        <v>20698</v>
      </c>
      <c r="V2128" s="5" t="s">
        <v>20698</v>
      </c>
      <c r="W2128" s="5" t="s">
        <v>67</v>
      </c>
      <c r="X2128" s="5" t="s">
        <v>67</v>
      </c>
      <c r="Y2128" s="4">
        <v>130</v>
      </c>
      <c r="Z2128" s="4">
        <v>13</v>
      </c>
      <c r="AA2128" s="4">
        <v>96</v>
      </c>
      <c r="AB2128" s="4">
        <v>1</v>
      </c>
      <c r="AC2128" s="4">
        <v>17</v>
      </c>
      <c r="AD2128" s="4">
        <v>39</v>
      </c>
      <c r="AE2128" s="4">
        <v>114</v>
      </c>
      <c r="AF2128" s="4">
        <v>0</v>
      </c>
      <c r="AG2128" s="4">
        <v>8</v>
      </c>
      <c r="AH2128" s="4">
        <v>34</v>
      </c>
      <c r="AI2128" s="4">
        <v>78</v>
      </c>
      <c r="AJ2128" s="4">
        <v>7</v>
      </c>
      <c r="AK2128" s="4">
        <v>21</v>
      </c>
      <c r="AL2128" s="4">
        <v>20</v>
      </c>
      <c r="AM2128" s="4">
        <v>40</v>
      </c>
      <c r="AN2128" s="4">
        <v>0</v>
      </c>
      <c r="AO2128" s="4">
        <v>0</v>
      </c>
      <c r="AP2128" s="4">
        <v>9</v>
      </c>
      <c r="AQ2128" s="4">
        <v>42</v>
      </c>
      <c r="AR2128" s="3" t="s">
        <v>62</v>
      </c>
      <c r="AS2128" s="3" t="s">
        <v>62</v>
      </c>
      <c r="AT2128" s="3" t="s">
        <v>62</v>
      </c>
      <c r="AV2128" s="6" t="str">
        <f>HYPERLINK("http://mcgill.on.worldcat.org/oclc/666226969","Catalog Record")</f>
        <v>Catalog Record</v>
      </c>
      <c r="AW2128" s="6" t="str">
        <f>HYPERLINK("http://www.worldcat.org/oclc/666226969","WorldCat Record")</f>
        <v>WorldCat Record</v>
      </c>
      <c r="AX2128" s="3" t="s">
        <v>20699</v>
      </c>
      <c r="AY2128" s="3" t="s">
        <v>20700</v>
      </c>
      <c r="AZ2128" s="3" t="s">
        <v>20701</v>
      </c>
      <c r="BA2128" s="3" t="s">
        <v>20701</v>
      </c>
      <c r="BB2128" s="3" t="s">
        <v>20702</v>
      </c>
      <c r="BC2128" s="3" t="s">
        <v>142</v>
      </c>
      <c r="BD2128" s="3" t="s">
        <v>68</v>
      </c>
      <c r="BE2128" s="3" t="s">
        <v>20703</v>
      </c>
      <c r="BF2128" s="3" t="s">
        <v>20702</v>
      </c>
      <c r="BG2128" s="3" t="s">
        <v>20704</v>
      </c>
    </row>
    <row r="2129" spans="1:59" ht="57" x14ac:dyDescent="0.45">
      <c r="A2129" s="2" t="s">
        <v>59</v>
      </c>
      <c r="B2129" s="2" t="s">
        <v>60</v>
      </c>
      <c r="C2129" s="2" t="s">
        <v>20705</v>
      </c>
      <c r="D2129" s="2" t="s">
        <v>20706</v>
      </c>
      <c r="E2129" s="2" t="s">
        <v>20707</v>
      </c>
      <c r="G2129" s="3" t="s">
        <v>62</v>
      </c>
      <c r="I2129" s="3" t="s">
        <v>62</v>
      </c>
      <c r="J2129" s="3" t="s">
        <v>62</v>
      </c>
      <c r="K2129" s="3" t="s">
        <v>63</v>
      </c>
      <c r="L2129" s="2" t="s">
        <v>20708</v>
      </c>
      <c r="M2129" s="2" t="s">
        <v>20709</v>
      </c>
      <c r="N2129" s="3" t="s">
        <v>1097</v>
      </c>
      <c r="P2129" s="3" t="s">
        <v>65</v>
      </c>
      <c r="Q2129" s="2" t="s">
        <v>20710</v>
      </c>
      <c r="R2129" s="3" t="s">
        <v>66</v>
      </c>
      <c r="S2129" s="4">
        <v>5</v>
      </c>
      <c r="T2129" s="4">
        <v>5</v>
      </c>
      <c r="U2129" s="5" t="s">
        <v>2378</v>
      </c>
      <c r="V2129" s="5" t="s">
        <v>2378</v>
      </c>
      <c r="W2129" s="5" t="s">
        <v>67</v>
      </c>
      <c r="X2129" s="5" t="s">
        <v>67</v>
      </c>
      <c r="Y2129" s="4">
        <v>271</v>
      </c>
      <c r="Z2129" s="4">
        <v>22</v>
      </c>
      <c r="AA2129" s="4">
        <v>22</v>
      </c>
      <c r="AB2129" s="4">
        <v>2</v>
      </c>
      <c r="AC2129" s="4">
        <v>2</v>
      </c>
      <c r="AD2129" s="4">
        <v>98</v>
      </c>
      <c r="AE2129" s="4">
        <v>98</v>
      </c>
      <c r="AF2129" s="4">
        <v>1</v>
      </c>
      <c r="AG2129" s="4">
        <v>1</v>
      </c>
      <c r="AH2129" s="4">
        <v>89</v>
      </c>
      <c r="AI2129" s="4">
        <v>89</v>
      </c>
      <c r="AJ2129" s="4">
        <v>14</v>
      </c>
      <c r="AK2129" s="4">
        <v>14</v>
      </c>
      <c r="AL2129" s="4">
        <v>46</v>
      </c>
      <c r="AM2129" s="4">
        <v>46</v>
      </c>
      <c r="AN2129" s="4">
        <v>0</v>
      </c>
      <c r="AO2129" s="4">
        <v>0</v>
      </c>
      <c r="AP2129" s="4">
        <v>17</v>
      </c>
      <c r="AQ2129" s="4">
        <v>17</v>
      </c>
      <c r="AR2129" s="3" t="s">
        <v>62</v>
      </c>
      <c r="AS2129" s="3" t="s">
        <v>62</v>
      </c>
      <c r="AT2129" s="3" t="s">
        <v>61</v>
      </c>
      <c r="AU2129" s="6" t="str">
        <f>HYPERLINK("http://catalog.hathitrust.org/Record/004355135","HathiTrust Record")</f>
        <v>HathiTrust Record</v>
      </c>
      <c r="AV2129" s="6" t="str">
        <f>HYPERLINK("http://mcgill.on.worldcat.org/oclc/48449817","Catalog Record")</f>
        <v>Catalog Record</v>
      </c>
      <c r="AW2129" s="6" t="str">
        <f>HYPERLINK("http://www.worldcat.org/oclc/48449817","WorldCat Record")</f>
        <v>WorldCat Record</v>
      </c>
      <c r="AX2129" s="3" t="s">
        <v>20711</v>
      </c>
      <c r="AY2129" s="3" t="s">
        <v>20712</v>
      </c>
      <c r="AZ2129" s="3" t="s">
        <v>20713</v>
      </c>
      <c r="BA2129" s="3" t="s">
        <v>20713</v>
      </c>
      <c r="BB2129" s="3" t="s">
        <v>20714</v>
      </c>
      <c r="BC2129" s="3" t="s">
        <v>142</v>
      </c>
      <c r="BD2129" s="3" t="s">
        <v>68</v>
      </c>
      <c r="BE2129" s="3" t="s">
        <v>20715</v>
      </c>
      <c r="BF2129" s="3" t="s">
        <v>20714</v>
      </c>
      <c r="BG2129" s="3" t="s">
        <v>20716</v>
      </c>
    </row>
    <row r="2130" spans="1:59" ht="57" x14ac:dyDescent="0.45">
      <c r="A2130" s="2" t="s">
        <v>59</v>
      </c>
      <c r="B2130" s="2" t="s">
        <v>60</v>
      </c>
      <c r="C2130" s="2" t="s">
        <v>20717</v>
      </c>
      <c r="D2130" s="2" t="s">
        <v>20718</v>
      </c>
      <c r="E2130" s="2" t="s">
        <v>20719</v>
      </c>
      <c r="G2130" s="3" t="s">
        <v>62</v>
      </c>
      <c r="I2130" s="3" t="s">
        <v>61</v>
      </c>
      <c r="J2130" s="3" t="s">
        <v>61</v>
      </c>
      <c r="K2130" s="3" t="s">
        <v>63</v>
      </c>
      <c r="M2130" s="2" t="s">
        <v>20720</v>
      </c>
      <c r="N2130" s="3" t="s">
        <v>918</v>
      </c>
      <c r="O2130" s="2" t="s">
        <v>933</v>
      </c>
      <c r="P2130" s="3" t="s">
        <v>65</v>
      </c>
      <c r="R2130" s="3" t="s">
        <v>66</v>
      </c>
      <c r="S2130" s="4">
        <v>28</v>
      </c>
      <c r="T2130" s="4">
        <v>77</v>
      </c>
      <c r="U2130" s="5" t="s">
        <v>20687</v>
      </c>
      <c r="V2130" s="5" t="s">
        <v>20687</v>
      </c>
      <c r="W2130" s="5" t="s">
        <v>67</v>
      </c>
      <c r="X2130" s="5" t="s">
        <v>67</v>
      </c>
      <c r="Y2130" s="4">
        <v>614</v>
      </c>
      <c r="Z2130" s="4">
        <v>47</v>
      </c>
      <c r="AA2130" s="4">
        <v>80</v>
      </c>
      <c r="AB2130" s="4">
        <v>2</v>
      </c>
      <c r="AC2130" s="4">
        <v>11</v>
      </c>
      <c r="AD2130" s="4">
        <v>104</v>
      </c>
      <c r="AE2130" s="4">
        <v>153</v>
      </c>
      <c r="AF2130" s="4">
        <v>1</v>
      </c>
      <c r="AG2130" s="4">
        <v>6</v>
      </c>
      <c r="AH2130" s="4">
        <v>81</v>
      </c>
      <c r="AI2130" s="4">
        <v>113</v>
      </c>
      <c r="AJ2130" s="4">
        <v>21</v>
      </c>
      <c r="AK2130" s="4">
        <v>27</v>
      </c>
      <c r="AL2130" s="4">
        <v>43</v>
      </c>
      <c r="AM2130" s="4">
        <v>59</v>
      </c>
      <c r="AN2130" s="4">
        <v>0</v>
      </c>
      <c r="AO2130" s="4">
        <v>0</v>
      </c>
      <c r="AP2130" s="4">
        <v>32</v>
      </c>
      <c r="AQ2130" s="4">
        <v>50</v>
      </c>
      <c r="AR2130" s="3" t="s">
        <v>62</v>
      </c>
      <c r="AS2130" s="3" t="s">
        <v>62</v>
      </c>
      <c r="AT2130" s="3" t="s">
        <v>61</v>
      </c>
      <c r="AU2130" s="6" t="str">
        <f>HYPERLINK("http://catalog.hathitrust.org/Record/004746720","HathiTrust Record")</f>
        <v>HathiTrust Record</v>
      </c>
      <c r="AV2130" s="6" t="str">
        <f>HYPERLINK("http://mcgill.on.worldcat.org/oclc/49531234","Catalog Record")</f>
        <v>Catalog Record</v>
      </c>
      <c r="AW2130" s="6" t="str">
        <f>HYPERLINK("http://www.worldcat.org/oclc/49531234","WorldCat Record")</f>
        <v>WorldCat Record</v>
      </c>
      <c r="AX2130" s="3" t="s">
        <v>20721</v>
      </c>
      <c r="AY2130" s="3" t="s">
        <v>20722</v>
      </c>
      <c r="AZ2130" s="3" t="s">
        <v>20723</v>
      </c>
      <c r="BA2130" s="3" t="s">
        <v>20723</v>
      </c>
      <c r="BB2130" s="3" t="s">
        <v>20724</v>
      </c>
      <c r="BC2130" s="3" t="s">
        <v>142</v>
      </c>
      <c r="BD2130" s="3" t="s">
        <v>68</v>
      </c>
      <c r="BE2130" s="3" t="s">
        <v>20725</v>
      </c>
      <c r="BF2130" s="3" t="s">
        <v>20724</v>
      </c>
      <c r="BG2130" s="3" t="s">
        <v>20726</v>
      </c>
    </row>
    <row r="2131" spans="1:59" ht="57" x14ac:dyDescent="0.45">
      <c r="A2131" s="2" t="s">
        <v>59</v>
      </c>
      <c r="B2131" s="2" t="s">
        <v>60</v>
      </c>
      <c r="C2131" s="2" t="s">
        <v>20717</v>
      </c>
      <c r="D2131" s="2" t="s">
        <v>20718</v>
      </c>
      <c r="E2131" s="2" t="s">
        <v>20719</v>
      </c>
      <c r="G2131" s="3" t="s">
        <v>62</v>
      </c>
      <c r="I2131" s="3" t="s">
        <v>61</v>
      </c>
      <c r="J2131" s="3" t="s">
        <v>61</v>
      </c>
      <c r="K2131" s="3" t="s">
        <v>63</v>
      </c>
      <c r="M2131" s="2" t="s">
        <v>20720</v>
      </c>
      <c r="N2131" s="3" t="s">
        <v>918</v>
      </c>
      <c r="O2131" s="2" t="s">
        <v>933</v>
      </c>
      <c r="P2131" s="3" t="s">
        <v>65</v>
      </c>
      <c r="R2131" s="3" t="s">
        <v>66</v>
      </c>
      <c r="S2131" s="4">
        <v>49</v>
      </c>
      <c r="T2131" s="4">
        <v>77</v>
      </c>
      <c r="U2131" s="5" t="s">
        <v>20687</v>
      </c>
      <c r="V2131" s="5" t="s">
        <v>20687</v>
      </c>
      <c r="W2131" s="5" t="s">
        <v>67</v>
      </c>
      <c r="X2131" s="5" t="s">
        <v>67</v>
      </c>
      <c r="Y2131" s="4">
        <v>614</v>
      </c>
      <c r="Z2131" s="4">
        <v>47</v>
      </c>
      <c r="AA2131" s="4">
        <v>80</v>
      </c>
      <c r="AB2131" s="4">
        <v>2</v>
      </c>
      <c r="AC2131" s="4">
        <v>11</v>
      </c>
      <c r="AD2131" s="4">
        <v>104</v>
      </c>
      <c r="AE2131" s="4">
        <v>153</v>
      </c>
      <c r="AF2131" s="4">
        <v>1</v>
      </c>
      <c r="AG2131" s="4">
        <v>6</v>
      </c>
      <c r="AH2131" s="4">
        <v>81</v>
      </c>
      <c r="AI2131" s="4">
        <v>113</v>
      </c>
      <c r="AJ2131" s="4">
        <v>21</v>
      </c>
      <c r="AK2131" s="4">
        <v>27</v>
      </c>
      <c r="AL2131" s="4">
        <v>43</v>
      </c>
      <c r="AM2131" s="4">
        <v>59</v>
      </c>
      <c r="AN2131" s="4">
        <v>0</v>
      </c>
      <c r="AO2131" s="4">
        <v>0</v>
      </c>
      <c r="AP2131" s="4">
        <v>32</v>
      </c>
      <c r="AQ2131" s="4">
        <v>50</v>
      </c>
      <c r="AR2131" s="3" t="s">
        <v>62</v>
      </c>
      <c r="AS2131" s="3" t="s">
        <v>62</v>
      </c>
      <c r="AT2131" s="3" t="s">
        <v>61</v>
      </c>
      <c r="AU2131" s="6" t="str">
        <f>HYPERLINK("http://catalog.hathitrust.org/Record/004746720","HathiTrust Record")</f>
        <v>HathiTrust Record</v>
      </c>
      <c r="AV2131" s="6" t="str">
        <f>HYPERLINK("http://mcgill.on.worldcat.org/oclc/49531234","Catalog Record")</f>
        <v>Catalog Record</v>
      </c>
      <c r="AW2131" s="6" t="str">
        <f>HYPERLINK("http://www.worldcat.org/oclc/49531234","WorldCat Record")</f>
        <v>WorldCat Record</v>
      </c>
      <c r="AX2131" s="3" t="s">
        <v>20721</v>
      </c>
      <c r="AY2131" s="3" t="s">
        <v>20722</v>
      </c>
      <c r="AZ2131" s="3" t="s">
        <v>20723</v>
      </c>
      <c r="BA2131" s="3" t="s">
        <v>20723</v>
      </c>
      <c r="BB2131" s="3" t="s">
        <v>20727</v>
      </c>
      <c r="BC2131" s="3" t="s">
        <v>142</v>
      </c>
      <c r="BD2131" s="3" t="s">
        <v>68</v>
      </c>
      <c r="BE2131" s="3" t="s">
        <v>20725</v>
      </c>
      <c r="BF2131" s="3" t="s">
        <v>20727</v>
      </c>
      <c r="BG2131" s="3" t="s">
        <v>20728</v>
      </c>
    </row>
    <row r="2132" spans="1:59" ht="57" x14ac:dyDescent="0.45">
      <c r="A2132" s="2" t="s">
        <v>59</v>
      </c>
      <c r="B2132" s="2" t="s">
        <v>60</v>
      </c>
      <c r="C2132" s="2" t="s">
        <v>20729</v>
      </c>
      <c r="D2132" s="2" t="s">
        <v>20730</v>
      </c>
      <c r="E2132" s="2" t="s">
        <v>20731</v>
      </c>
      <c r="G2132" s="3" t="s">
        <v>62</v>
      </c>
      <c r="I2132" s="3" t="s">
        <v>62</v>
      </c>
      <c r="J2132" s="3" t="s">
        <v>61</v>
      </c>
      <c r="K2132" s="3" t="s">
        <v>63</v>
      </c>
      <c r="M2132" s="2" t="s">
        <v>12834</v>
      </c>
      <c r="N2132" s="3" t="s">
        <v>894</v>
      </c>
      <c r="O2132" s="2" t="s">
        <v>906</v>
      </c>
      <c r="P2132" s="3" t="s">
        <v>65</v>
      </c>
      <c r="R2132" s="3" t="s">
        <v>66</v>
      </c>
      <c r="S2132" s="4">
        <v>20</v>
      </c>
      <c r="T2132" s="4">
        <v>20</v>
      </c>
      <c r="U2132" s="5" t="s">
        <v>20732</v>
      </c>
      <c r="V2132" s="5" t="s">
        <v>20732</v>
      </c>
      <c r="W2132" s="5" t="s">
        <v>67</v>
      </c>
      <c r="X2132" s="5" t="s">
        <v>67</v>
      </c>
      <c r="Y2132" s="4">
        <v>362</v>
      </c>
      <c r="Z2132" s="4">
        <v>28</v>
      </c>
      <c r="AA2132" s="4">
        <v>80</v>
      </c>
      <c r="AB2132" s="4">
        <v>2</v>
      </c>
      <c r="AC2132" s="4">
        <v>11</v>
      </c>
      <c r="AD2132" s="4">
        <v>74</v>
      </c>
      <c r="AE2132" s="4">
        <v>153</v>
      </c>
      <c r="AF2132" s="4">
        <v>1</v>
      </c>
      <c r="AG2132" s="4">
        <v>6</v>
      </c>
      <c r="AH2132" s="4">
        <v>62</v>
      </c>
      <c r="AI2132" s="4">
        <v>113</v>
      </c>
      <c r="AJ2132" s="4">
        <v>12</v>
      </c>
      <c r="AK2132" s="4">
        <v>27</v>
      </c>
      <c r="AL2132" s="4">
        <v>34</v>
      </c>
      <c r="AM2132" s="4">
        <v>59</v>
      </c>
      <c r="AN2132" s="4">
        <v>0</v>
      </c>
      <c r="AO2132" s="4">
        <v>0</v>
      </c>
      <c r="AP2132" s="4">
        <v>20</v>
      </c>
      <c r="AQ2132" s="4">
        <v>50</v>
      </c>
      <c r="AR2132" s="3" t="s">
        <v>62</v>
      </c>
      <c r="AS2132" s="3" t="s">
        <v>62</v>
      </c>
      <c r="AT2132" s="3" t="s">
        <v>62</v>
      </c>
      <c r="AV2132" s="6" t="str">
        <f>HYPERLINK("http://mcgill.on.worldcat.org/oclc/648922100","Catalog Record")</f>
        <v>Catalog Record</v>
      </c>
      <c r="AW2132" s="6" t="str">
        <f>HYPERLINK("http://www.worldcat.org/oclc/648922100","WorldCat Record")</f>
        <v>WorldCat Record</v>
      </c>
      <c r="AX2132" s="3" t="s">
        <v>20721</v>
      </c>
      <c r="AY2132" s="3" t="s">
        <v>20733</v>
      </c>
      <c r="AZ2132" s="3" t="s">
        <v>20734</v>
      </c>
      <c r="BA2132" s="3" t="s">
        <v>20734</v>
      </c>
      <c r="BB2132" s="3" t="s">
        <v>20735</v>
      </c>
      <c r="BC2132" s="3" t="s">
        <v>142</v>
      </c>
      <c r="BD2132" s="3" t="s">
        <v>68</v>
      </c>
      <c r="BE2132" s="3" t="s">
        <v>20736</v>
      </c>
      <c r="BF2132" s="3" t="s">
        <v>20735</v>
      </c>
      <c r="BG2132" s="3" t="s">
        <v>20737</v>
      </c>
    </row>
    <row r="2133" spans="1:59" ht="57" x14ac:dyDescent="0.45">
      <c r="A2133" s="2" t="s">
        <v>59</v>
      </c>
      <c r="B2133" s="2" t="s">
        <v>60</v>
      </c>
      <c r="C2133" s="2" t="s">
        <v>20738</v>
      </c>
      <c r="D2133" s="2" t="s">
        <v>20739</v>
      </c>
      <c r="E2133" s="2" t="s">
        <v>20740</v>
      </c>
      <c r="G2133" s="3" t="s">
        <v>62</v>
      </c>
      <c r="I2133" s="3" t="s">
        <v>62</v>
      </c>
      <c r="J2133" s="3" t="s">
        <v>61</v>
      </c>
      <c r="K2133" s="3" t="s">
        <v>63</v>
      </c>
      <c r="M2133" s="2" t="s">
        <v>20741</v>
      </c>
      <c r="N2133" s="3" t="s">
        <v>208</v>
      </c>
      <c r="O2133" s="2" t="s">
        <v>10907</v>
      </c>
      <c r="P2133" s="3" t="s">
        <v>65</v>
      </c>
      <c r="R2133" s="3" t="s">
        <v>66</v>
      </c>
      <c r="S2133" s="4">
        <v>8</v>
      </c>
      <c r="T2133" s="4">
        <v>8</v>
      </c>
      <c r="U2133" s="5" t="s">
        <v>6809</v>
      </c>
      <c r="V2133" s="5" t="s">
        <v>6809</v>
      </c>
      <c r="W2133" s="5" t="s">
        <v>67</v>
      </c>
      <c r="X2133" s="5" t="s">
        <v>67</v>
      </c>
      <c r="Y2133" s="4">
        <v>259</v>
      </c>
      <c r="Z2133" s="4">
        <v>22</v>
      </c>
      <c r="AA2133" s="4">
        <v>80</v>
      </c>
      <c r="AB2133" s="4">
        <v>1</v>
      </c>
      <c r="AC2133" s="4">
        <v>11</v>
      </c>
      <c r="AD2133" s="4">
        <v>51</v>
      </c>
      <c r="AE2133" s="4">
        <v>153</v>
      </c>
      <c r="AF2133" s="4">
        <v>0</v>
      </c>
      <c r="AG2133" s="4">
        <v>6</v>
      </c>
      <c r="AH2133" s="4">
        <v>42</v>
      </c>
      <c r="AI2133" s="4">
        <v>113</v>
      </c>
      <c r="AJ2133" s="4">
        <v>10</v>
      </c>
      <c r="AK2133" s="4">
        <v>27</v>
      </c>
      <c r="AL2133" s="4">
        <v>28</v>
      </c>
      <c r="AM2133" s="4">
        <v>59</v>
      </c>
      <c r="AN2133" s="4">
        <v>0</v>
      </c>
      <c r="AO2133" s="4">
        <v>0</v>
      </c>
      <c r="AP2133" s="4">
        <v>14</v>
      </c>
      <c r="AQ2133" s="4">
        <v>50</v>
      </c>
      <c r="AR2133" s="3" t="s">
        <v>62</v>
      </c>
      <c r="AS2133" s="3" t="s">
        <v>62</v>
      </c>
      <c r="AT2133" s="3" t="s">
        <v>62</v>
      </c>
      <c r="AV2133" s="6" t="str">
        <f>HYPERLINK("http://mcgill.on.worldcat.org/oclc/861755014","Catalog Record")</f>
        <v>Catalog Record</v>
      </c>
      <c r="AW2133" s="6" t="str">
        <f>HYPERLINK("http://www.worldcat.org/oclc/861755014","WorldCat Record")</f>
        <v>WorldCat Record</v>
      </c>
      <c r="AX2133" s="3" t="s">
        <v>20721</v>
      </c>
      <c r="AY2133" s="3" t="s">
        <v>20742</v>
      </c>
      <c r="AZ2133" s="3" t="s">
        <v>20743</v>
      </c>
      <c r="BA2133" s="3" t="s">
        <v>20743</v>
      </c>
      <c r="BB2133" s="3" t="s">
        <v>20744</v>
      </c>
      <c r="BC2133" s="3" t="s">
        <v>142</v>
      </c>
      <c r="BD2133" s="3" t="s">
        <v>68</v>
      </c>
      <c r="BE2133" s="3" t="s">
        <v>20745</v>
      </c>
      <c r="BF2133" s="3" t="s">
        <v>20744</v>
      </c>
      <c r="BG2133" s="3" t="s">
        <v>20746</v>
      </c>
    </row>
    <row r="2134" spans="1:59" ht="57" x14ac:dyDescent="0.45">
      <c r="A2134" s="2" t="s">
        <v>59</v>
      </c>
      <c r="B2134" s="2" t="s">
        <v>60</v>
      </c>
      <c r="C2134" s="2" t="s">
        <v>20747</v>
      </c>
      <c r="D2134" s="2" t="s">
        <v>20748</v>
      </c>
      <c r="E2134" s="2" t="s">
        <v>20749</v>
      </c>
      <c r="G2134" s="3" t="s">
        <v>62</v>
      </c>
      <c r="I2134" s="3" t="s">
        <v>62</v>
      </c>
      <c r="J2134" s="3" t="s">
        <v>62</v>
      </c>
      <c r="K2134" s="3" t="s">
        <v>63</v>
      </c>
      <c r="L2134" s="2" t="s">
        <v>20750</v>
      </c>
      <c r="M2134" s="2" t="s">
        <v>20751</v>
      </c>
      <c r="N2134" s="3" t="s">
        <v>1059</v>
      </c>
      <c r="P2134" s="3" t="s">
        <v>65</v>
      </c>
      <c r="R2134" s="3" t="s">
        <v>66</v>
      </c>
      <c r="S2134" s="4">
        <v>58</v>
      </c>
      <c r="T2134" s="4">
        <v>58</v>
      </c>
      <c r="U2134" s="5" t="s">
        <v>19339</v>
      </c>
      <c r="V2134" s="5" t="s">
        <v>19339</v>
      </c>
      <c r="W2134" s="5" t="s">
        <v>67</v>
      </c>
      <c r="X2134" s="5" t="s">
        <v>67</v>
      </c>
      <c r="Y2134" s="4">
        <v>1303</v>
      </c>
      <c r="Z2134" s="4">
        <v>58</v>
      </c>
      <c r="AA2134" s="4">
        <v>93</v>
      </c>
      <c r="AB2134" s="4">
        <v>5</v>
      </c>
      <c r="AC2134" s="4">
        <v>17</v>
      </c>
      <c r="AD2134" s="4">
        <v>133</v>
      </c>
      <c r="AE2134" s="4">
        <v>152</v>
      </c>
      <c r="AF2134" s="4">
        <v>2</v>
      </c>
      <c r="AG2134" s="4">
        <v>6</v>
      </c>
      <c r="AH2134" s="4">
        <v>106</v>
      </c>
      <c r="AI2134" s="4">
        <v>113</v>
      </c>
      <c r="AJ2134" s="4">
        <v>22</v>
      </c>
      <c r="AK2134" s="4">
        <v>27</v>
      </c>
      <c r="AL2134" s="4">
        <v>57</v>
      </c>
      <c r="AM2134" s="4">
        <v>59</v>
      </c>
      <c r="AN2134" s="4">
        <v>0</v>
      </c>
      <c r="AO2134" s="4">
        <v>0</v>
      </c>
      <c r="AP2134" s="4">
        <v>35</v>
      </c>
      <c r="AQ2134" s="4">
        <v>48</v>
      </c>
      <c r="AR2134" s="3" t="s">
        <v>62</v>
      </c>
      <c r="AS2134" s="3" t="s">
        <v>62</v>
      </c>
      <c r="AT2134" s="3" t="s">
        <v>62</v>
      </c>
      <c r="AV2134" s="6" t="str">
        <f>HYPERLINK("http://mcgill.on.worldcat.org/oclc/64594290","Catalog Record")</f>
        <v>Catalog Record</v>
      </c>
      <c r="AW2134" s="6" t="str">
        <f>HYPERLINK("http://www.worldcat.org/oclc/64594290","WorldCat Record")</f>
        <v>WorldCat Record</v>
      </c>
      <c r="AX2134" s="3" t="s">
        <v>20752</v>
      </c>
      <c r="AY2134" s="3" t="s">
        <v>20753</v>
      </c>
      <c r="AZ2134" s="3" t="s">
        <v>20754</v>
      </c>
      <c r="BA2134" s="3" t="s">
        <v>20754</v>
      </c>
      <c r="BB2134" s="3" t="s">
        <v>20755</v>
      </c>
      <c r="BC2134" s="3" t="s">
        <v>142</v>
      </c>
      <c r="BD2134" s="3" t="s">
        <v>308</v>
      </c>
      <c r="BE2134" s="3" t="s">
        <v>20756</v>
      </c>
      <c r="BF2134" s="3" t="s">
        <v>20755</v>
      </c>
      <c r="BG2134" s="3" t="s">
        <v>20757</v>
      </c>
    </row>
    <row r="2135" spans="1:59" ht="57" x14ac:dyDescent="0.45">
      <c r="A2135" s="2" t="s">
        <v>59</v>
      </c>
      <c r="B2135" s="2" t="s">
        <v>60</v>
      </c>
      <c r="C2135" s="2" t="s">
        <v>20758</v>
      </c>
      <c r="D2135" s="2" t="s">
        <v>20759</v>
      </c>
      <c r="E2135" s="2" t="s">
        <v>20760</v>
      </c>
      <c r="G2135" s="3" t="s">
        <v>62</v>
      </c>
      <c r="I2135" s="3" t="s">
        <v>62</v>
      </c>
      <c r="J2135" s="3" t="s">
        <v>62</v>
      </c>
      <c r="K2135" s="3" t="s">
        <v>63</v>
      </c>
      <c r="L2135" s="2" t="s">
        <v>20761</v>
      </c>
      <c r="M2135" s="2" t="s">
        <v>20762</v>
      </c>
      <c r="N2135" s="3" t="s">
        <v>181</v>
      </c>
      <c r="P2135" s="3" t="s">
        <v>65</v>
      </c>
      <c r="R2135" s="3" t="s">
        <v>66</v>
      </c>
      <c r="S2135" s="4">
        <v>0</v>
      </c>
      <c r="T2135" s="4">
        <v>0</v>
      </c>
      <c r="W2135" s="5" t="s">
        <v>67</v>
      </c>
      <c r="X2135" s="5" t="s">
        <v>67</v>
      </c>
      <c r="Y2135" s="4">
        <v>142</v>
      </c>
      <c r="Z2135" s="4">
        <v>23</v>
      </c>
      <c r="AA2135" s="4">
        <v>35</v>
      </c>
      <c r="AB2135" s="4">
        <v>2</v>
      </c>
      <c r="AC2135" s="4">
        <v>9</v>
      </c>
      <c r="AD2135" s="4">
        <v>67</v>
      </c>
      <c r="AE2135" s="4">
        <v>78</v>
      </c>
      <c r="AF2135" s="4">
        <v>1</v>
      </c>
      <c r="AG2135" s="4">
        <v>5</v>
      </c>
      <c r="AH2135" s="4">
        <v>55</v>
      </c>
      <c r="AI2135" s="4">
        <v>59</v>
      </c>
      <c r="AJ2135" s="4">
        <v>10</v>
      </c>
      <c r="AK2135" s="4">
        <v>13</v>
      </c>
      <c r="AL2135" s="4">
        <v>34</v>
      </c>
      <c r="AM2135" s="4">
        <v>36</v>
      </c>
      <c r="AN2135" s="4">
        <v>0</v>
      </c>
      <c r="AO2135" s="4">
        <v>0</v>
      </c>
      <c r="AP2135" s="4">
        <v>13</v>
      </c>
      <c r="AQ2135" s="4">
        <v>21</v>
      </c>
      <c r="AR2135" s="3" t="s">
        <v>61</v>
      </c>
      <c r="AS2135" s="3" t="s">
        <v>62</v>
      </c>
      <c r="AT2135" s="3" t="s">
        <v>62</v>
      </c>
      <c r="AV2135" s="6" t="str">
        <f>HYPERLINK("http://mcgill.on.worldcat.org/oclc/907657359","Catalog Record")</f>
        <v>Catalog Record</v>
      </c>
      <c r="AW2135" s="6" t="str">
        <f>HYPERLINK("http://www.worldcat.org/oclc/907657359","WorldCat Record")</f>
        <v>WorldCat Record</v>
      </c>
      <c r="AX2135" s="3" t="s">
        <v>20763</v>
      </c>
      <c r="AY2135" s="3" t="s">
        <v>20764</v>
      </c>
      <c r="AZ2135" s="3" t="s">
        <v>20765</v>
      </c>
      <c r="BA2135" s="3" t="s">
        <v>20765</v>
      </c>
      <c r="BB2135" s="3" t="s">
        <v>20766</v>
      </c>
      <c r="BC2135" s="3" t="s">
        <v>142</v>
      </c>
      <c r="BD2135" s="3" t="s">
        <v>68</v>
      </c>
      <c r="BE2135" s="3" t="s">
        <v>20767</v>
      </c>
      <c r="BF2135" s="3" t="s">
        <v>20766</v>
      </c>
      <c r="BG2135" s="3" t="s">
        <v>20768</v>
      </c>
    </row>
    <row r="2136" spans="1:59" ht="57" x14ac:dyDescent="0.45">
      <c r="A2136" s="2" t="s">
        <v>59</v>
      </c>
      <c r="B2136" s="2" t="s">
        <v>60</v>
      </c>
      <c r="C2136" s="2" t="s">
        <v>20769</v>
      </c>
      <c r="D2136" s="2" t="s">
        <v>20770</v>
      </c>
      <c r="E2136" s="2" t="s">
        <v>20771</v>
      </c>
      <c r="G2136" s="3" t="s">
        <v>62</v>
      </c>
      <c r="I2136" s="3" t="s">
        <v>62</v>
      </c>
      <c r="J2136" s="3" t="s">
        <v>62</v>
      </c>
      <c r="K2136" s="3" t="s">
        <v>63</v>
      </c>
      <c r="L2136" s="2" t="s">
        <v>20772</v>
      </c>
      <c r="M2136" s="2" t="s">
        <v>20773</v>
      </c>
      <c r="N2136" s="3" t="s">
        <v>820</v>
      </c>
      <c r="P2136" s="3" t="s">
        <v>65</v>
      </c>
      <c r="Q2136" s="2" t="s">
        <v>20774</v>
      </c>
      <c r="R2136" s="3" t="s">
        <v>66</v>
      </c>
      <c r="S2136" s="4">
        <v>6</v>
      </c>
      <c r="T2136" s="4">
        <v>6</v>
      </c>
      <c r="U2136" s="5" t="s">
        <v>20775</v>
      </c>
      <c r="V2136" s="5" t="s">
        <v>20775</v>
      </c>
      <c r="W2136" s="5" t="s">
        <v>67</v>
      </c>
      <c r="X2136" s="5" t="s">
        <v>67</v>
      </c>
      <c r="Y2136" s="4">
        <v>146</v>
      </c>
      <c r="Z2136" s="4">
        <v>10</v>
      </c>
      <c r="AA2136" s="4">
        <v>93</v>
      </c>
      <c r="AB2136" s="4">
        <v>1</v>
      </c>
      <c r="AC2136" s="4">
        <v>17</v>
      </c>
      <c r="AD2136" s="4">
        <v>53</v>
      </c>
      <c r="AE2136" s="4">
        <v>118</v>
      </c>
      <c r="AF2136" s="4">
        <v>0</v>
      </c>
      <c r="AG2136" s="4">
        <v>8</v>
      </c>
      <c r="AH2136" s="4">
        <v>51</v>
      </c>
      <c r="AI2136" s="4">
        <v>85</v>
      </c>
      <c r="AJ2136" s="4">
        <v>7</v>
      </c>
      <c r="AK2136" s="4">
        <v>21</v>
      </c>
      <c r="AL2136" s="4">
        <v>31</v>
      </c>
      <c r="AM2136" s="4">
        <v>43</v>
      </c>
      <c r="AN2136" s="4">
        <v>0</v>
      </c>
      <c r="AO2136" s="4">
        <v>0</v>
      </c>
      <c r="AP2136" s="4">
        <v>7</v>
      </c>
      <c r="AQ2136" s="4">
        <v>42</v>
      </c>
      <c r="AR2136" s="3" t="s">
        <v>62</v>
      </c>
      <c r="AS2136" s="3" t="s">
        <v>62</v>
      </c>
      <c r="AT2136" s="3" t="s">
        <v>62</v>
      </c>
      <c r="AV2136" s="6" t="str">
        <f>HYPERLINK("http://mcgill.on.worldcat.org/oclc/164802387","Catalog Record")</f>
        <v>Catalog Record</v>
      </c>
      <c r="AW2136" s="6" t="str">
        <f>HYPERLINK("http://www.worldcat.org/oclc/164802387","WorldCat Record")</f>
        <v>WorldCat Record</v>
      </c>
      <c r="AX2136" s="3" t="s">
        <v>20776</v>
      </c>
      <c r="AY2136" s="3" t="s">
        <v>20777</v>
      </c>
      <c r="AZ2136" s="3" t="s">
        <v>20778</v>
      </c>
      <c r="BA2136" s="3" t="s">
        <v>20778</v>
      </c>
      <c r="BB2136" s="3" t="s">
        <v>20779</v>
      </c>
      <c r="BC2136" s="3" t="s">
        <v>142</v>
      </c>
      <c r="BD2136" s="3" t="s">
        <v>68</v>
      </c>
      <c r="BE2136" s="3" t="s">
        <v>20780</v>
      </c>
      <c r="BF2136" s="3" t="s">
        <v>20779</v>
      </c>
      <c r="BG2136" s="3" t="s">
        <v>20781</v>
      </c>
    </row>
    <row r="2137" spans="1:59" ht="57" x14ac:dyDescent="0.45">
      <c r="A2137" s="2" t="s">
        <v>59</v>
      </c>
      <c r="B2137" s="2" t="s">
        <v>60</v>
      </c>
      <c r="C2137" s="2" t="s">
        <v>20782</v>
      </c>
      <c r="D2137" s="2" t="s">
        <v>20783</v>
      </c>
      <c r="E2137" s="2" t="s">
        <v>20784</v>
      </c>
      <c r="G2137" s="3" t="s">
        <v>62</v>
      </c>
      <c r="I2137" s="3" t="s">
        <v>62</v>
      </c>
      <c r="J2137" s="3" t="s">
        <v>62</v>
      </c>
      <c r="K2137" s="3" t="s">
        <v>63</v>
      </c>
      <c r="M2137" s="2" t="s">
        <v>20785</v>
      </c>
      <c r="N2137" s="3" t="s">
        <v>1465</v>
      </c>
      <c r="P2137" s="3" t="s">
        <v>65</v>
      </c>
      <c r="R2137" s="3" t="s">
        <v>66</v>
      </c>
      <c r="S2137" s="4">
        <v>4</v>
      </c>
      <c r="T2137" s="4">
        <v>4</v>
      </c>
      <c r="U2137" s="5" t="s">
        <v>20786</v>
      </c>
      <c r="V2137" s="5" t="s">
        <v>20786</v>
      </c>
      <c r="W2137" s="5" t="s">
        <v>67</v>
      </c>
      <c r="X2137" s="5" t="s">
        <v>67</v>
      </c>
      <c r="Y2137" s="4">
        <v>185</v>
      </c>
      <c r="Z2137" s="4">
        <v>20</v>
      </c>
      <c r="AA2137" s="4">
        <v>26</v>
      </c>
      <c r="AB2137" s="4">
        <v>3</v>
      </c>
      <c r="AC2137" s="4">
        <v>5</v>
      </c>
      <c r="AD2137" s="4">
        <v>68</v>
      </c>
      <c r="AE2137" s="4">
        <v>74</v>
      </c>
      <c r="AF2137" s="4">
        <v>1</v>
      </c>
      <c r="AG2137" s="4">
        <v>2</v>
      </c>
      <c r="AH2137" s="4">
        <v>62</v>
      </c>
      <c r="AI2137" s="4">
        <v>64</v>
      </c>
      <c r="AJ2137" s="4">
        <v>14</v>
      </c>
      <c r="AK2137" s="4">
        <v>16</v>
      </c>
      <c r="AL2137" s="4">
        <v>37</v>
      </c>
      <c r="AM2137" s="4">
        <v>39</v>
      </c>
      <c r="AN2137" s="4">
        <v>0</v>
      </c>
      <c r="AO2137" s="4">
        <v>0</v>
      </c>
      <c r="AP2137" s="4">
        <v>14</v>
      </c>
      <c r="AQ2137" s="4">
        <v>18</v>
      </c>
      <c r="AR2137" s="3" t="s">
        <v>62</v>
      </c>
      <c r="AS2137" s="3" t="s">
        <v>62</v>
      </c>
      <c r="AT2137" s="3" t="s">
        <v>61</v>
      </c>
      <c r="AU2137" s="6" t="str">
        <f>HYPERLINK("http://catalog.hathitrust.org/Record/006836364","HathiTrust Record")</f>
        <v>HathiTrust Record</v>
      </c>
      <c r="AV2137" s="6" t="str">
        <f>HYPERLINK("http://mcgill.on.worldcat.org/oclc/226304710","Catalog Record")</f>
        <v>Catalog Record</v>
      </c>
      <c r="AW2137" s="6" t="str">
        <f>HYPERLINK("http://www.worldcat.org/oclc/226304710","WorldCat Record")</f>
        <v>WorldCat Record</v>
      </c>
      <c r="AX2137" s="3" t="s">
        <v>20787</v>
      </c>
      <c r="AY2137" s="3" t="s">
        <v>20788</v>
      </c>
      <c r="AZ2137" s="3" t="s">
        <v>20789</v>
      </c>
      <c r="BA2137" s="3" t="s">
        <v>20789</v>
      </c>
      <c r="BB2137" s="3" t="s">
        <v>20790</v>
      </c>
      <c r="BC2137" s="3" t="s">
        <v>142</v>
      </c>
      <c r="BD2137" s="3" t="s">
        <v>68</v>
      </c>
      <c r="BE2137" s="3" t="s">
        <v>20791</v>
      </c>
      <c r="BF2137" s="3" t="s">
        <v>20790</v>
      </c>
      <c r="BG2137" s="3" t="s">
        <v>20792</v>
      </c>
    </row>
    <row r="2138" spans="1:59" ht="57" x14ac:dyDescent="0.45">
      <c r="A2138" s="2" t="s">
        <v>59</v>
      </c>
      <c r="B2138" s="2" t="s">
        <v>60</v>
      </c>
      <c r="C2138" s="2" t="s">
        <v>20793</v>
      </c>
      <c r="D2138" s="2" t="s">
        <v>20794</v>
      </c>
      <c r="E2138" s="2" t="s">
        <v>20795</v>
      </c>
      <c r="G2138" s="3" t="s">
        <v>62</v>
      </c>
      <c r="I2138" s="3" t="s">
        <v>62</v>
      </c>
      <c r="J2138" s="3" t="s">
        <v>62</v>
      </c>
      <c r="K2138" s="3" t="s">
        <v>63</v>
      </c>
      <c r="L2138" s="2" t="s">
        <v>20796</v>
      </c>
      <c r="M2138" s="2" t="s">
        <v>20797</v>
      </c>
      <c r="N2138" s="3" t="s">
        <v>1688</v>
      </c>
      <c r="P2138" s="3" t="s">
        <v>65</v>
      </c>
      <c r="Q2138" s="2" t="s">
        <v>6295</v>
      </c>
      <c r="R2138" s="3" t="s">
        <v>66</v>
      </c>
      <c r="S2138" s="4">
        <v>0</v>
      </c>
      <c r="T2138" s="4">
        <v>0</v>
      </c>
      <c r="W2138" s="5" t="s">
        <v>67</v>
      </c>
      <c r="X2138" s="5" t="s">
        <v>67</v>
      </c>
      <c r="Y2138" s="4">
        <v>107</v>
      </c>
      <c r="Z2138" s="4">
        <v>9</v>
      </c>
      <c r="AA2138" s="4">
        <v>23</v>
      </c>
      <c r="AB2138" s="4">
        <v>1</v>
      </c>
      <c r="AC2138" s="4">
        <v>7</v>
      </c>
      <c r="AD2138" s="4">
        <v>22</v>
      </c>
      <c r="AE2138" s="4">
        <v>49</v>
      </c>
      <c r="AF2138" s="4">
        <v>0</v>
      </c>
      <c r="AG2138" s="4">
        <v>3</v>
      </c>
      <c r="AH2138" s="4">
        <v>21</v>
      </c>
      <c r="AI2138" s="4">
        <v>42</v>
      </c>
      <c r="AJ2138" s="4">
        <v>6</v>
      </c>
      <c r="AK2138" s="4">
        <v>14</v>
      </c>
      <c r="AL2138" s="4">
        <v>12</v>
      </c>
      <c r="AM2138" s="4">
        <v>26</v>
      </c>
      <c r="AN2138" s="4">
        <v>0</v>
      </c>
      <c r="AO2138" s="4">
        <v>0</v>
      </c>
      <c r="AP2138" s="4">
        <v>7</v>
      </c>
      <c r="AQ2138" s="4">
        <v>14</v>
      </c>
      <c r="AR2138" s="3" t="s">
        <v>62</v>
      </c>
      <c r="AS2138" s="3" t="s">
        <v>62</v>
      </c>
      <c r="AT2138" s="3" t="s">
        <v>62</v>
      </c>
      <c r="AV2138" s="6" t="str">
        <f>HYPERLINK("http://mcgill.on.worldcat.org/oclc/783168955","Catalog Record")</f>
        <v>Catalog Record</v>
      </c>
      <c r="AW2138" s="6" t="str">
        <f>HYPERLINK("http://www.worldcat.org/oclc/783168955","WorldCat Record")</f>
        <v>WorldCat Record</v>
      </c>
      <c r="AX2138" s="3" t="s">
        <v>20798</v>
      </c>
      <c r="AY2138" s="3" t="s">
        <v>20799</v>
      </c>
      <c r="AZ2138" s="3" t="s">
        <v>20800</v>
      </c>
      <c r="BA2138" s="3" t="s">
        <v>20800</v>
      </c>
      <c r="BB2138" s="3" t="s">
        <v>20801</v>
      </c>
      <c r="BC2138" s="3" t="s">
        <v>142</v>
      </c>
      <c r="BD2138" s="3" t="s">
        <v>68</v>
      </c>
      <c r="BE2138" s="3" t="s">
        <v>20802</v>
      </c>
      <c r="BF2138" s="3" t="s">
        <v>20801</v>
      </c>
      <c r="BG2138" s="3" t="s">
        <v>20803</v>
      </c>
    </row>
    <row r="2139" spans="1:59" ht="57" x14ac:dyDescent="0.45">
      <c r="A2139" s="2" t="s">
        <v>59</v>
      </c>
      <c r="B2139" s="2" t="s">
        <v>60</v>
      </c>
      <c r="C2139" s="2" t="s">
        <v>20804</v>
      </c>
      <c r="D2139" s="2" t="s">
        <v>20805</v>
      </c>
      <c r="E2139" s="2" t="s">
        <v>20806</v>
      </c>
      <c r="G2139" s="3" t="s">
        <v>62</v>
      </c>
      <c r="I2139" s="3" t="s">
        <v>62</v>
      </c>
      <c r="J2139" s="3" t="s">
        <v>62</v>
      </c>
      <c r="K2139" s="3" t="s">
        <v>63</v>
      </c>
      <c r="M2139" s="2" t="s">
        <v>2739</v>
      </c>
      <c r="N2139" s="3" t="s">
        <v>149</v>
      </c>
      <c r="P2139" s="3" t="s">
        <v>65</v>
      </c>
      <c r="Q2139" s="2" t="s">
        <v>20807</v>
      </c>
      <c r="R2139" s="3" t="s">
        <v>66</v>
      </c>
      <c r="S2139" s="4">
        <v>5</v>
      </c>
      <c r="T2139" s="4">
        <v>5</v>
      </c>
      <c r="U2139" s="5" t="s">
        <v>20775</v>
      </c>
      <c r="V2139" s="5" t="s">
        <v>20775</v>
      </c>
      <c r="W2139" s="5" t="s">
        <v>67</v>
      </c>
      <c r="X2139" s="5" t="s">
        <v>67</v>
      </c>
      <c r="Y2139" s="4">
        <v>67</v>
      </c>
      <c r="Z2139" s="4">
        <v>5</v>
      </c>
      <c r="AA2139" s="4">
        <v>85</v>
      </c>
      <c r="AB2139" s="4">
        <v>1</v>
      </c>
      <c r="AC2139" s="4">
        <v>17</v>
      </c>
      <c r="AD2139" s="4">
        <v>22</v>
      </c>
      <c r="AE2139" s="4">
        <v>104</v>
      </c>
      <c r="AF2139" s="4">
        <v>0</v>
      </c>
      <c r="AG2139" s="4">
        <v>8</v>
      </c>
      <c r="AH2139" s="4">
        <v>22</v>
      </c>
      <c r="AI2139" s="4">
        <v>70</v>
      </c>
      <c r="AJ2139" s="4">
        <v>4</v>
      </c>
      <c r="AK2139" s="4">
        <v>20</v>
      </c>
      <c r="AL2139" s="4">
        <v>14</v>
      </c>
      <c r="AM2139" s="4">
        <v>34</v>
      </c>
      <c r="AN2139" s="4">
        <v>0</v>
      </c>
      <c r="AO2139" s="4">
        <v>0</v>
      </c>
      <c r="AP2139" s="4">
        <v>4</v>
      </c>
      <c r="AQ2139" s="4">
        <v>41</v>
      </c>
      <c r="AR2139" s="3" t="s">
        <v>62</v>
      </c>
      <c r="AS2139" s="3" t="s">
        <v>62</v>
      </c>
      <c r="AT2139" s="3" t="s">
        <v>62</v>
      </c>
      <c r="AV2139" s="6" t="str">
        <f>HYPERLINK("http://mcgill.on.worldcat.org/oclc/642204945","Catalog Record")</f>
        <v>Catalog Record</v>
      </c>
      <c r="AW2139" s="6" t="str">
        <f>HYPERLINK("http://www.worldcat.org/oclc/642204945","WorldCat Record")</f>
        <v>WorldCat Record</v>
      </c>
      <c r="AX2139" s="3" t="s">
        <v>20808</v>
      </c>
      <c r="AY2139" s="3" t="s">
        <v>20809</v>
      </c>
      <c r="AZ2139" s="3" t="s">
        <v>20810</v>
      </c>
      <c r="BA2139" s="3" t="s">
        <v>20810</v>
      </c>
      <c r="BB2139" s="3" t="s">
        <v>20811</v>
      </c>
      <c r="BC2139" s="3" t="s">
        <v>142</v>
      </c>
      <c r="BD2139" s="3" t="s">
        <v>68</v>
      </c>
      <c r="BE2139" s="3" t="s">
        <v>20812</v>
      </c>
      <c r="BF2139" s="3" t="s">
        <v>20811</v>
      </c>
      <c r="BG2139" s="3" t="s">
        <v>20813</v>
      </c>
    </row>
    <row r="2140" spans="1:59" ht="57" x14ac:dyDescent="0.45">
      <c r="A2140" s="2" t="s">
        <v>59</v>
      </c>
      <c r="B2140" s="2" t="s">
        <v>60</v>
      </c>
      <c r="C2140" s="2" t="s">
        <v>20814</v>
      </c>
      <c r="D2140" s="2" t="s">
        <v>20815</v>
      </c>
      <c r="E2140" s="2" t="s">
        <v>20816</v>
      </c>
      <c r="G2140" s="3" t="s">
        <v>62</v>
      </c>
      <c r="I2140" s="3" t="s">
        <v>62</v>
      </c>
      <c r="J2140" s="3" t="s">
        <v>62</v>
      </c>
      <c r="K2140" s="3" t="s">
        <v>63</v>
      </c>
      <c r="L2140" s="2" t="s">
        <v>20817</v>
      </c>
      <c r="M2140" s="2" t="s">
        <v>20818</v>
      </c>
      <c r="N2140" s="3" t="s">
        <v>1059</v>
      </c>
      <c r="P2140" s="3" t="s">
        <v>65</v>
      </c>
      <c r="R2140" s="3" t="s">
        <v>66</v>
      </c>
      <c r="S2140" s="4">
        <v>8</v>
      </c>
      <c r="T2140" s="4">
        <v>8</v>
      </c>
      <c r="U2140" s="5" t="s">
        <v>12361</v>
      </c>
      <c r="V2140" s="5" t="s">
        <v>12361</v>
      </c>
      <c r="W2140" s="5" t="s">
        <v>67</v>
      </c>
      <c r="X2140" s="5" t="s">
        <v>67</v>
      </c>
      <c r="Y2140" s="4">
        <v>314</v>
      </c>
      <c r="Z2140" s="4">
        <v>23</v>
      </c>
      <c r="AA2140" s="4">
        <v>29</v>
      </c>
      <c r="AB2140" s="4">
        <v>1</v>
      </c>
      <c r="AC2140" s="4">
        <v>5</v>
      </c>
      <c r="AD2140" s="4">
        <v>101</v>
      </c>
      <c r="AE2140" s="4">
        <v>103</v>
      </c>
      <c r="AF2140" s="4">
        <v>0</v>
      </c>
      <c r="AG2140" s="4">
        <v>1</v>
      </c>
      <c r="AH2140" s="4">
        <v>89</v>
      </c>
      <c r="AI2140" s="4">
        <v>90</v>
      </c>
      <c r="AJ2140" s="4">
        <v>15</v>
      </c>
      <c r="AK2140" s="4">
        <v>16</v>
      </c>
      <c r="AL2140" s="4">
        <v>46</v>
      </c>
      <c r="AM2140" s="4">
        <v>47</v>
      </c>
      <c r="AN2140" s="4">
        <v>0</v>
      </c>
      <c r="AO2140" s="4">
        <v>0</v>
      </c>
      <c r="AP2140" s="4">
        <v>20</v>
      </c>
      <c r="AQ2140" s="4">
        <v>22</v>
      </c>
      <c r="AR2140" s="3" t="s">
        <v>62</v>
      </c>
      <c r="AS2140" s="3" t="s">
        <v>62</v>
      </c>
      <c r="AT2140" s="3" t="s">
        <v>61</v>
      </c>
      <c r="AU2140" s="6" t="str">
        <f>HYPERLINK("http://catalog.hathitrust.org/Record/007146645","HathiTrust Record")</f>
        <v>HathiTrust Record</v>
      </c>
      <c r="AV2140" s="6" t="str">
        <f>HYPERLINK("http://mcgill.on.worldcat.org/oclc/58789986","Catalog Record")</f>
        <v>Catalog Record</v>
      </c>
      <c r="AW2140" s="6" t="str">
        <f>HYPERLINK("http://www.worldcat.org/oclc/58789986","WorldCat Record")</f>
        <v>WorldCat Record</v>
      </c>
      <c r="AX2140" s="3" t="s">
        <v>20819</v>
      </c>
      <c r="AY2140" s="3" t="s">
        <v>20820</v>
      </c>
      <c r="AZ2140" s="3" t="s">
        <v>20821</v>
      </c>
      <c r="BA2140" s="3" t="s">
        <v>20821</v>
      </c>
      <c r="BB2140" s="3" t="s">
        <v>20822</v>
      </c>
      <c r="BC2140" s="3" t="s">
        <v>142</v>
      </c>
      <c r="BD2140" s="3" t="s">
        <v>68</v>
      </c>
      <c r="BE2140" s="3" t="s">
        <v>20823</v>
      </c>
      <c r="BF2140" s="3" t="s">
        <v>20822</v>
      </c>
      <c r="BG2140" s="3" t="s">
        <v>20824</v>
      </c>
    </row>
    <row r="2141" spans="1:59" ht="57" x14ac:dyDescent="0.45">
      <c r="A2141" s="2" t="s">
        <v>59</v>
      </c>
      <c r="B2141" s="2" t="s">
        <v>60</v>
      </c>
      <c r="C2141" s="2" t="s">
        <v>20825</v>
      </c>
      <c r="D2141" s="2" t="s">
        <v>20826</v>
      </c>
      <c r="E2141" s="2" t="s">
        <v>20827</v>
      </c>
      <c r="G2141" s="3" t="s">
        <v>62</v>
      </c>
      <c r="I2141" s="3" t="s">
        <v>62</v>
      </c>
      <c r="J2141" s="3" t="s">
        <v>62</v>
      </c>
      <c r="K2141" s="3" t="s">
        <v>63</v>
      </c>
      <c r="L2141" s="2" t="s">
        <v>20828</v>
      </c>
      <c r="M2141" s="2" t="s">
        <v>20829</v>
      </c>
      <c r="N2141" s="3" t="s">
        <v>1688</v>
      </c>
      <c r="P2141" s="3" t="s">
        <v>65</v>
      </c>
      <c r="R2141" s="3" t="s">
        <v>66</v>
      </c>
      <c r="S2141" s="4">
        <v>0</v>
      </c>
      <c r="T2141" s="4">
        <v>0</v>
      </c>
      <c r="W2141" s="5" t="s">
        <v>67</v>
      </c>
      <c r="X2141" s="5" t="s">
        <v>67</v>
      </c>
      <c r="Y2141" s="4">
        <v>19</v>
      </c>
      <c r="Z2141" s="4">
        <v>8</v>
      </c>
      <c r="AA2141" s="4">
        <v>9</v>
      </c>
      <c r="AB2141" s="4">
        <v>1</v>
      </c>
      <c r="AC2141" s="4">
        <v>1</v>
      </c>
      <c r="AD2141" s="4">
        <v>4</v>
      </c>
      <c r="AE2141" s="4">
        <v>4</v>
      </c>
      <c r="AF2141" s="4">
        <v>0</v>
      </c>
      <c r="AG2141" s="4">
        <v>0</v>
      </c>
      <c r="AH2141" s="4">
        <v>3</v>
      </c>
      <c r="AI2141" s="4">
        <v>3</v>
      </c>
      <c r="AJ2141" s="4">
        <v>3</v>
      </c>
      <c r="AK2141" s="4">
        <v>3</v>
      </c>
      <c r="AL2141" s="4">
        <v>2</v>
      </c>
      <c r="AM2141" s="4">
        <v>2</v>
      </c>
      <c r="AN2141" s="4">
        <v>0</v>
      </c>
      <c r="AO2141" s="4">
        <v>0</v>
      </c>
      <c r="AP2141" s="4">
        <v>2</v>
      </c>
      <c r="AQ2141" s="4">
        <v>2</v>
      </c>
      <c r="AR2141" s="3" t="s">
        <v>61</v>
      </c>
      <c r="AS2141" s="3" t="s">
        <v>62</v>
      </c>
      <c r="AT2141" s="3" t="s">
        <v>62</v>
      </c>
      <c r="AV2141" s="6" t="str">
        <f>HYPERLINK("http://mcgill.on.worldcat.org/oclc/866622004","Catalog Record")</f>
        <v>Catalog Record</v>
      </c>
      <c r="AW2141" s="6" t="str">
        <f>HYPERLINK("http://www.worldcat.org/oclc/866622004","WorldCat Record")</f>
        <v>WorldCat Record</v>
      </c>
      <c r="AX2141" s="3" t="s">
        <v>20830</v>
      </c>
      <c r="AY2141" s="3" t="s">
        <v>20831</v>
      </c>
      <c r="AZ2141" s="3" t="s">
        <v>20832</v>
      </c>
      <c r="BA2141" s="3" t="s">
        <v>20832</v>
      </c>
      <c r="BB2141" s="3" t="s">
        <v>20833</v>
      </c>
      <c r="BC2141" s="3" t="s">
        <v>142</v>
      </c>
      <c r="BD2141" s="3" t="s">
        <v>68</v>
      </c>
      <c r="BE2141" s="3" t="s">
        <v>20834</v>
      </c>
      <c r="BF2141" s="3" t="s">
        <v>20833</v>
      </c>
      <c r="BG2141" s="3" t="s">
        <v>20835</v>
      </c>
    </row>
    <row r="2142" spans="1:59" ht="57" x14ac:dyDescent="0.45">
      <c r="A2142" s="2" t="s">
        <v>59</v>
      </c>
      <c r="B2142" s="2" t="s">
        <v>60</v>
      </c>
      <c r="C2142" s="2" t="s">
        <v>20836</v>
      </c>
      <c r="D2142" s="2" t="s">
        <v>20837</v>
      </c>
      <c r="E2142" s="2" t="s">
        <v>20838</v>
      </c>
      <c r="G2142" s="3" t="s">
        <v>62</v>
      </c>
      <c r="I2142" s="3" t="s">
        <v>62</v>
      </c>
      <c r="J2142" s="3" t="s">
        <v>62</v>
      </c>
      <c r="K2142" s="3" t="s">
        <v>63</v>
      </c>
      <c r="L2142" s="2" t="s">
        <v>20839</v>
      </c>
      <c r="M2142" s="2" t="s">
        <v>9822</v>
      </c>
      <c r="N2142" s="3" t="s">
        <v>116</v>
      </c>
      <c r="P2142" s="3" t="s">
        <v>65</v>
      </c>
      <c r="Q2142" s="2" t="s">
        <v>6295</v>
      </c>
      <c r="R2142" s="3" t="s">
        <v>66</v>
      </c>
      <c r="S2142" s="4">
        <v>1</v>
      </c>
      <c r="T2142" s="4">
        <v>1</v>
      </c>
      <c r="U2142" s="5" t="s">
        <v>20840</v>
      </c>
      <c r="V2142" s="5" t="s">
        <v>20840</v>
      </c>
      <c r="W2142" s="5" t="s">
        <v>67</v>
      </c>
      <c r="X2142" s="5" t="s">
        <v>67</v>
      </c>
      <c r="Y2142" s="4">
        <v>113</v>
      </c>
      <c r="Z2142" s="4">
        <v>11</v>
      </c>
      <c r="AA2142" s="4">
        <v>76</v>
      </c>
      <c r="AB2142" s="4">
        <v>1</v>
      </c>
      <c r="AC2142" s="4">
        <v>15</v>
      </c>
      <c r="AD2142" s="4">
        <v>23</v>
      </c>
      <c r="AE2142" s="4">
        <v>94</v>
      </c>
      <c r="AF2142" s="4">
        <v>0</v>
      </c>
      <c r="AG2142" s="4">
        <v>8</v>
      </c>
      <c r="AH2142" s="4">
        <v>19</v>
      </c>
      <c r="AI2142" s="4">
        <v>61</v>
      </c>
      <c r="AJ2142" s="4">
        <v>8</v>
      </c>
      <c r="AK2142" s="4">
        <v>20</v>
      </c>
      <c r="AL2142" s="4">
        <v>13</v>
      </c>
      <c r="AM2142" s="4">
        <v>29</v>
      </c>
      <c r="AN2142" s="4">
        <v>0</v>
      </c>
      <c r="AO2142" s="4">
        <v>0</v>
      </c>
      <c r="AP2142" s="4">
        <v>8</v>
      </c>
      <c r="AQ2142" s="4">
        <v>39</v>
      </c>
      <c r="AR2142" s="3" t="s">
        <v>62</v>
      </c>
      <c r="AS2142" s="3" t="s">
        <v>62</v>
      </c>
      <c r="AT2142" s="3" t="s">
        <v>62</v>
      </c>
      <c r="AV2142" s="6" t="str">
        <f>HYPERLINK("http://mcgill.on.worldcat.org/oclc/742512428","Catalog Record")</f>
        <v>Catalog Record</v>
      </c>
      <c r="AW2142" s="6" t="str">
        <f>HYPERLINK("http://www.worldcat.org/oclc/742512428","WorldCat Record")</f>
        <v>WorldCat Record</v>
      </c>
      <c r="AX2142" s="3" t="s">
        <v>20841</v>
      </c>
      <c r="AY2142" s="3" t="s">
        <v>20842</v>
      </c>
      <c r="AZ2142" s="3" t="s">
        <v>20843</v>
      </c>
      <c r="BA2142" s="3" t="s">
        <v>20843</v>
      </c>
      <c r="BB2142" s="3" t="s">
        <v>20844</v>
      </c>
      <c r="BC2142" s="3" t="s">
        <v>142</v>
      </c>
      <c r="BD2142" s="3" t="s">
        <v>68</v>
      </c>
      <c r="BE2142" s="3" t="s">
        <v>20845</v>
      </c>
      <c r="BF2142" s="3" t="s">
        <v>20844</v>
      </c>
      <c r="BG2142" s="3" t="s">
        <v>20846</v>
      </c>
    </row>
    <row r="2143" spans="1:59" ht="57" x14ac:dyDescent="0.45">
      <c r="A2143" s="2" t="s">
        <v>59</v>
      </c>
      <c r="B2143" s="2" t="s">
        <v>60</v>
      </c>
      <c r="C2143" s="2" t="s">
        <v>20847</v>
      </c>
      <c r="D2143" s="2" t="s">
        <v>20848</v>
      </c>
      <c r="E2143" s="2" t="s">
        <v>20849</v>
      </c>
      <c r="G2143" s="3" t="s">
        <v>62</v>
      </c>
      <c r="I2143" s="3" t="s">
        <v>62</v>
      </c>
      <c r="J2143" s="3" t="s">
        <v>62</v>
      </c>
      <c r="K2143" s="3" t="s">
        <v>63</v>
      </c>
      <c r="M2143" s="2" t="s">
        <v>9853</v>
      </c>
      <c r="N2143" s="3" t="s">
        <v>1437</v>
      </c>
      <c r="P2143" s="3" t="s">
        <v>65</v>
      </c>
      <c r="R2143" s="3" t="s">
        <v>66</v>
      </c>
      <c r="S2143" s="4">
        <v>5</v>
      </c>
      <c r="T2143" s="4">
        <v>5</v>
      </c>
      <c r="U2143" s="5" t="s">
        <v>12086</v>
      </c>
      <c r="V2143" s="5" t="s">
        <v>12086</v>
      </c>
      <c r="W2143" s="5" t="s">
        <v>67</v>
      </c>
      <c r="X2143" s="5" t="s">
        <v>67</v>
      </c>
      <c r="Y2143" s="4">
        <v>318</v>
      </c>
      <c r="Z2143" s="4">
        <v>10</v>
      </c>
      <c r="AA2143" s="4">
        <v>15</v>
      </c>
      <c r="AB2143" s="4">
        <v>1</v>
      </c>
      <c r="AC2143" s="4">
        <v>4</v>
      </c>
      <c r="AD2143" s="4">
        <v>90</v>
      </c>
      <c r="AE2143" s="4">
        <v>92</v>
      </c>
      <c r="AF2143" s="4">
        <v>0</v>
      </c>
      <c r="AG2143" s="4">
        <v>0</v>
      </c>
      <c r="AH2143" s="4">
        <v>85</v>
      </c>
      <c r="AI2143" s="4">
        <v>86</v>
      </c>
      <c r="AJ2143" s="4">
        <v>7</v>
      </c>
      <c r="AK2143" s="4">
        <v>9</v>
      </c>
      <c r="AL2143" s="4">
        <v>45</v>
      </c>
      <c r="AM2143" s="4">
        <v>45</v>
      </c>
      <c r="AN2143" s="4">
        <v>0</v>
      </c>
      <c r="AO2143" s="4">
        <v>0</v>
      </c>
      <c r="AP2143" s="4">
        <v>8</v>
      </c>
      <c r="AQ2143" s="4">
        <v>10</v>
      </c>
      <c r="AR2143" s="3" t="s">
        <v>62</v>
      </c>
      <c r="AS2143" s="3" t="s">
        <v>62</v>
      </c>
      <c r="AT2143" s="3" t="s">
        <v>61</v>
      </c>
      <c r="AU2143" s="6" t="str">
        <f>HYPERLINK("http://catalog.hathitrust.org/Record/003967808","HathiTrust Record")</f>
        <v>HathiTrust Record</v>
      </c>
      <c r="AV2143" s="6" t="str">
        <f>HYPERLINK("http://mcgill.on.worldcat.org/oclc/37606285","Catalog Record")</f>
        <v>Catalog Record</v>
      </c>
      <c r="AW2143" s="6" t="str">
        <f>HYPERLINK("http://www.worldcat.org/oclc/37606285","WorldCat Record")</f>
        <v>WorldCat Record</v>
      </c>
      <c r="AX2143" s="3" t="s">
        <v>20850</v>
      </c>
      <c r="AY2143" s="3" t="s">
        <v>20851</v>
      </c>
      <c r="AZ2143" s="3" t="s">
        <v>20852</v>
      </c>
      <c r="BA2143" s="3" t="s">
        <v>20852</v>
      </c>
      <c r="BB2143" s="3" t="s">
        <v>20853</v>
      </c>
      <c r="BC2143" s="3" t="s">
        <v>142</v>
      </c>
      <c r="BD2143" s="3" t="s">
        <v>68</v>
      </c>
      <c r="BE2143" s="3" t="s">
        <v>20854</v>
      </c>
      <c r="BF2143" s="3" t="s">
        <v>20853</v>
      </c>
      <c r="BG2143" s="3" t="s">
        <v>20855</v>
      </c>
    </row>
    <row r="2144" spans="1:59" ht="57" x14ac:dyDescent="0.45">
      <c r="A2144" s="2" t="s">
        <v>59</v>
      </c>
      <c r="B2144" s="2" t="s">
        <v>60</v>
      </c>
      <c r="C2144" s="2" t="s">
        <v>20856</v>
      </c>
      <c r="D2144" s="2" t="s">
        <v>20857</v>
      </c>
      <c r="E2144" s="2" t="s">
        <v>20858</v>
      </c>
      <c r="G2144" s="3" t="s">
        <v>62</v>
      </c>
      <c r="I2144" s="3" t="s">
        <v>62</v>
      </c>
      <c r="J2144" s="3" t="s">
        <v>62</v>
      </c>
      <c r="K2144" s="3" t="s">
        <v>63</v>
      </c>
      <c r="L2144" s="2" t="s">
        <v>20859</v>
      </c>
      <c r="M2144" s="2" t="s">
        <v>20860</v>
      </c>
      <c r="N2144" s="3" t="s">
        <v>2417</v>
      </c>
      <c r="P2144" s="3" t="s">
        <v>65</v>
      </c>
      <c r="R2144" s="3" t="s">
        <v>66</v>
      </c>
      <c r="S2144" s="4">
        <v>15</v>
      </c>
      <c r="T2144" s="4">
        <v>15</v>
      </c>
      <c r="U2144" s="5" t="s">
        <v>13047</v>
      </c>
      <c r="V2144" s="5" t="s">
        <v>13047</v>
      </c>
      <c r="W2144" s="5" t="s">
        <v>67</v>
      </c>
      <c r="X2144" s="5" t="s">
        <v>67</v>
      </c>
      <c r="Y2144" s="4">
        <v>659</v>
      </c>
      <c r="Z2144" s="4">
        <v>25</v>
      </c>
      <c r="AA2144" s="4">
        <v>26</v>
      </c>
      <c r="AB2144" s="4">
        <v>4</v>
      </c>
      <c r="AC2144" s="4">
        <v>5</v>
      </c>
      <c r="AD2144" s="4">
        <v>83</v>
      </c>
      <c r="AE2144" s="4">
        <v>84</v>
      </c>
      <c r="AF2144" s="4">
        <v>2</v>
      </c>
      <c r="AG2144" s="4">
        <v>3</v>
      </c>
      <c r="AH2144" s="4">
        <v>73</v>
      </c>
      <c r="AI2144" s="4">
        <v>73</v>
      </c>
      <c r="AJ2144" s="4">
        <v>6</v>
      </c>
      <c r="AK2144" s="4">
        <v>7</v>
      </c>
      <c r="AL2144" s="4">
        <v>36</v>
      </c>
      <c r="AM2144" s="4">
        <v>36</v>
      </c>
      <c r="AN2144" s="4">
        <v>5</v>
      </c>
      <c r="AO2144" s="4">
        <v>5</v>
      </c>
      <c r="AP2144" s="4">
        <v>11</v>
      </c>
      <c r="AQ2144" s="4">
        <v>12</v>
      </c>
      <c r="AR2144" s="3" t="s">
        <v>62</v>
      </c>
      <c r="AS2144" s="3" t="s">
        <v>62</v>
      </c>
      <c r="AT2144" s="3" t="s">
        <v>61</v>
      </c>
      <c r="AU2144" s="6" t="str">
        <f>HYPERLINK("http://catalog.hathitrust.org/Record/000855333","HathiTrust Record")</f>
        <v>HathiTrust Record</v>
      </c>
      <c r="AV2144" s="6" t="str">
        <f>HYPERLINK("http://mcgill.on.worldcat.org/oclc/17296505","Catalog Record")</f>
        <v>Catalog Record</v>
      </c>
      <c r="AW2144" s="6" t="str">
        <f>HYPERLINK("http://www.worldcat.org/oclc/17296505","WorldCat Record")</f>
        <v>WorldCat Record</v>
      </c>
      <c r="AX2144" s="3" t="s">
        <v>20861</v>
      </c>
      <c r="AY2144" s="3" t="s">
        <v>20862</v>
      </c>
      <c r="AZ2144" s="3" t="s">
        <v>20863</v>
      </c>
      <c r="BA2144" s="3" t="s">
        <v>20863</v>
      </c>
      <c r="BB2144" s="3" t="s">
        <v>20864</v>
      </c>
      <c r="BC2144" s="3" t="s">
        <v>142</v>
      </c>
      <c r="BD2144" s="3" t="s">
        <v>68</v>
      </c>
      <c r="BE2144" s="3" t="s">
        <v>20865</v>
      </c>
      <c r="BF2144" s="3" t="s">
        <v>20864</v>
      </c>
      <c r="BG2144" s="3" t="s">
        <v>20866</v>
      </c>
    </row>
    <row r="2145" spans="1:59" ht="57" x14ac:dyDescent="0.45">
      <c r="A2145" s="2" t="s">
        <v>59</v>
      </c>
      <c r="B2145" s="2" t="s">
        <v>60</v>
      </c>
      <c r="C2145" s="2" t="s">
        <v>20867</v>
      </c>
      <c r="D2145" s="2" t="s">
        <v>20868</v>
      </c>
      <c r="E2145" s="2" t="s">
        <v>20869</v>
      </c>
      <c r="G2145" s="3" t="s">
        <v>62</v>
      </c>
      <c r="I2145" s="3" t="s">
        <v>62</v>
      </c>
      <c r="J2145" s="3" t="s">
        <v>62</v>
      </c>
      <c r="K2145" s="3" t="s">
        <v>63</v>
      </c>
      <c r="L2145" s="2" t="s">
        <v>20870</v>
      </c>
      <c r="M2145" s="2" t="s">
        <v>3147</v>
      </c>
      <c r="N2145" s="3" t="s">
        <v>568</v>
      </c>
      <c r="P2145" s="3" t="s">
        <v>65</v>
      </c>
      <c r="Q2145" s="2" t="s">
        <v>20871</v>
      </c>
      <c r="R2145" s="3" t="s">
        <v>66</v>
      </c>
      <c r="S2145" s="4">
        <v>7</v>
      </c>
      <c r="T2145" s="4">
        <v>7</v>
      </c>
      <c r="U2145" s="5" t="s">
        <v>2294</v>
      </c>
      <c r="V2145" s="5" t="s">
        <v>2294</v>
      </c>
      <c r="W2145" s="5" t="s">
        <v>67</v>
      </c>
      <c r="X2145" s="5" t="s">
        <v>67</v>
      </c>
      <c r="Y2145" s="4">
        <v>142</v>
      </c>
      <c r="Z2145" s="4">
        <v>12</v>
      </c>
      <c r="AA2145" s="4">
        <v>14</v>
      </c>
      <c r="AB2145" s="4">
        <v>1</v>
      </c>
      <c r="AC2145" s="4">
        <v>3</v>
      </c>
      <c r="AD2145" s="4">
        <v>61</v>
      </c>
      <c r="AE2145" s="4">
        <v>62</v>
      </c>
      <c r="AF2145" s="4">
        <v>0</v>
      </c>
      <c r="AG2145" s="4">
        <v>0</v>
      </c>
      <c r="AH2145" s="4">
        <v>54</v>
      </c>
      <c r="AI2145" s="4">
        <v>55</v>
      </c>
      <c r="AJ2145" s="4">
        <v>9</v>
      </c>
      <c r="AK2145" s="4">
        <v>9</v>
      </c>
      <c r="AL2145" s="4">
        <v>36</v>
      </c>
      <c r="AM2145" s="4">
        <v>36</v>
      </c>
      <c r="AN2145" s="4">
        <v>0</v>
      </c>
      <c r="AO2145" s="4">
        <v>0</v>
      </c>
      <c r="AP2145" s="4">
        <v>10</v>
      </c>
      <c r="AQ2145" s="4">
        <v>10</v>
      </c>
      <c r="AR2145" s="3" t="s">
        <v>62</v>
      </c>
      <c r="AS2145" s="3" t="s">
        <v>62</v>
      </c>
      <c r="AT2145" s="3" t="s">
        <v>61</v>
      </c>
      <c r="AU2145" s="6" t="str">
        <f>HYPERLINK("http://catalog.hathitrust.org/Record/000917957","HathiTrust Record")</f>
        <v>HathiTrust Record</v>
      </c>
      <c r="AV2145" s="6" t="str">
        <f>HYPERLINK("http://mcgill.on.worldcat.org/oclc/16527107","Catalog Record")</f>
        <v>Catalog Record</v>
      </c>
      <c r="AW2145" s="6" t="str">
        <f>HYPERLINK("http://www.worldcat.org/oclc/16527107","WorldCat Record")</f>
        <v>WorldCat Record</v>
      </c>
      <c r="AX2145" s="3" t="s">
        <v>20872</v>
      </c>
      <c r="AY2145" s="3" t="s">
        <v>20873</v>
      </c>
      <c r="AZ2145" s="3" t="s">
        <v>20874</v>
      </c>
      <c r="BA2145" s="3" t="s">
        <v>20874</v>
      </c>
      <c r="BB2145" s="3" t="s">
        <v>20875</v>
      </c>
      <c r="BC2145" s="3" t="s">
        <v>142</v>
      </c>
      <c r="BD2145" s="3" t="s">
        <v>68</v>
      </c>
      <c r="BE2145" s="3" t="s">
        <v>20876</v>
      </c>
      <c r="BF2145" s="3" t="s">
        <v>20875</v>
      </c>
      <c r="BG2145" s="3" t="s">
        <v>20877</v>
      </c>
    </row>
    <row r="2146" spans="1:59" ht="57" x14ac:dyDescent="0.45">
      <c r="A2146" s="2" t="s">
        <v>13313</v>
      </c>
      <c r="B2146" s="2" t="s">
        <v>60</v>
      </c>
      <c r="C2146" s="2" t="s">
        <v>20878</v>
      </c>
      <c r="D2146" s="2" t="s">
        <v>20879</v>
      </c>
      <c r="E2146" s="2" t="s">
        <v>20880</v>
      </c>
      <c r="G2146" s="3" t="s">
        <v>62</v>
      </c>
      <c r="I2146" s="3" t="s">
        <v>62</v>
      </c>
      <c r="J2146" s="3" t="s">
        <v>61</v>
      </c>
      <c r="K2146" s="3" t="s">
        <v>63</v>
      </c>
      <c r="L2146" s="2" t="s">
        <v>20881</v>
      </c>
      <c r="M2146" s="2" t="s">
        <v>20882</v>
      </c>
      <c r="N2146" s="3" t="s">
        <v>106</v>
      </c>
      <c r="O2146" s="2" t="s">
        <v>933</v>
      </c>
      <c r="P2146" s="3" t="s">
        <v>65</v>
      </c>
      <c r="R2146" s="3" t="s">
        <v>66</v>
      </c>
      <c r="S2146" s="4">
        <v>15</v>
      </c>
      <c r="T2146" s="4">
        <v>15</v>
      </c>
      <c r="U2146" s="5" t="s">
        <v>12411</v>
      </c>
      <c r="V2146" s="5" t="s">
        <v>12411</v>
      </c>
      <c r="W2146" s="5" t="s">
        <v>67</v>
      </c>
      <c r="X2146" s="5" t="s">
        <v>67</v>
      </c>
      <c r="Y2146" s="4">
        <v>204</v>
      </c>
      <c r="Z2146" s="4">
        <v>12</v>
      </c>
      <c r="AA2146" s="4">
        <v>38</v>
      </c>
      <c r="AB2146" s="4">
        <v>1</v>
      </c>
      <c r="AC2146" s="4">
        <v>6</v>
      </c>
      <c r="AD2146" s="4">
        <v>72</v>
      </c>
      <c r="AE2146" s="4">
        <v>123</v>
      </c>
      <c r="AF2146" s="4">
        <v>0</v>
      </c>
      <c r="AG2146" s="4">
        <v>4</v>
      </c>
      <c r="AH2146" s="4">
        <v>67</v>
      </c>
      <c r="AI2146" s="4">
        <v>107</v>
      </c>
      <c r="AJ2146" s="4">
        <v>10</v>
      </c>
      <c r="AK2146" s="4">
        <v>23</v>
      </c>
      <c r="AL2146" s="4">
        <v>37</v>
      </c>
      <c r="AM2146" s="4">
        <v>55</v>
      </c>
      <c r="AN2146" s="4">
        <v>0</v>
      </c>
      <c r="AO2146" s="4">
        <v>0</v>
      </c>
      <c r="AP2146" s="4">
        <v>10</v>
      </c>
      <c r="AQ2146" s="4">
        <v>25</v>
      </c>
      <c r="AR2146" s="3" t="s">
        <v>62</v>
      </c>
      <c r="AS2146" s="3" t="s">
        <v>62</v>
      </c>
      <c r="AT2146" s="3" t="s">
        <v>61</v>
      </c>
      <c r="AU2146" s="6" t="str">
        <f>HYPERLINK("http://catalog.hathitrust.org/Record/000483464","HathiTrust Record")</f>
        <v>HathiTrust Record</v>
      </c>
      <c r="AV2146" s="6" t="str">
        <f>HYPERLINK("http://mcgill.on.worldcat.org/oclc/10147375","Catalog Record")</f>
        <v>Catalog Record</v>
      </c>
      <c r="AW2146" s="6" t="str">
        <f>HYPERLINK("http://www.worldcat.org/oclc/10147375","WorldCat Record")</f>
        <v>WorldCat Record</v>
      </c>
      <c r="AX2146" s="3" t="s">
        <v>20883</v>
      </c>
      <c r="AY2146" s="3" t="s">
        <v>20884</v>
      </c>
      <c r="AZ2146" s="3" t="s">
        <v>20885</v>
      </c>
      <c r="BA2146" s="3" t="s">
        <v>20885</v>
      </c>
      <c r="BB2146" s="3" t="s">
        <v>20886</v>
      </c>
      <c r="BC2146" s="3" t="s">
        <v>142</v>
      </c>
      <c r="BD2146" s="3" t="s">
        <v>68</v>
      </c>
      <c r="BE2146" s="3" t="s">
        <v>20887</v>
      </c>
      <c r="BF2146" s="3" t="s">
        <v>20886</v>
      </c>
      <c r="BG2146" s="3" t="s">
        <v>20888</v>
      </c>
    </row>
    <row r="2147" spans="1:59" ht="57" x14ac:dyDescent="0.45">
      <c r="A2147" s="2" t="s">
        <v>59</v>
      </c>
      <c r="B2147" s="2" t="s">
        <v>60</v>
      </c>
      <c r="C2147" s="2" t="s">
        <v>20889</v>
      </c>
      <c r="D2147" s="2" t="s">
        <v>20890</v>
      </c>
      <c r="E2147" s="2" t="s">
        <v>20891</v>
      </c>
      <c r="G2147" s="3" t="s">
        <v>62</v>
      </c>
      <c r="I2147" s="3" t="s">
        <v>62</v>
      </c>
      <c r="J2147" s="3" t="s">
        <v>61</v>
      </c>
      <c r="K2147" s="3" t="s">
        <v>63</v>
      </c>
      <c r="L2147" s="2" t="s">
        <v>20892</v>
      </c>
      <c r="M2147" s="2" t="s">
        <v>20893</v>
      </c>
      <c r="N2147" s="3" t="s">
        <v>894</v>
      </c>
      <c r="O2147" s="2" t="s">
        <v>4282</v>
      </c>
      <c r="P2147" s="3" t="s">
        <v>65</v>
      </c>
      <c r="R2147" s="3" t="s">
        <v>66</v>
      </c>
      <c r="S2147" s="4">
        <v>12</v>
      </c>
      <c r="T2147" s="4">
        <v>12</v>
      </c>
      <c r="U2147" s="5" t="s">
        <v>20894</v>
      </c>
      <c r="V2147" s="5" t="s">
        <v>20894</v>
      </c>
      <c r="W2147" s="5" t="s">
        <v>67</v>
      </c>
      <c r="X2147" s="5" t="s">
        <v>67</v>
      </c>
      <c r="Y2147" s="4">
        <v>146</v>
      </c>
      <c r="Z2147" s="4">
        <v>15</v>
      </c>
      <c r="AA2147" s="4">
        <v>38</v>
      </c>
      <c r="AB2147" s="4">
        <v>1</v>
      </c>
      <c r="AC2147" s="4">
        <v>6</v>
      </c>
      <c r="AD2147" s="4">
        <v>34</v>
      </c>
      <c r="AE2147" s="4">
        <v>123</v>
      </c>
      <c r="AF2147" s="4">
        <v>0</v>
      </c>
      <c r="AG2147" s="4">
        <v>4</v>
      </c>
      <c r="AH2147" s="4">
        <v>32</v>
      </c>
      <c r="AI2147" s="4">
        <v>107</v>
      </c>
      <c r="AJ2147" s="4">
        <v>9</v>
      </c>
      <c r="AK2147" s="4">
        <v>23</v>
      </c>
      <c r="AL2147" s="4">
        <v>17</v>
      </c>
      <c r="AM2147" s="4">
        <v>55</v>
      </c>
      <c r="AN2147" s="4">
        <v>0</v>
      </c>
      <c r="AO2147" s="4">
        <v>0</v>
      </c>
      <c r="AP2147" s="4">
        <v>9</v>
      </c>
      <c r="AQ2147" s="4">
        <v>25</v>
      </c>
      <c r="AR2147" s="3" t="s">
        <v>62</v>
      </c>
      <c r="AS2147" s="3" t="s">
        <v>62</v>
      </c>
      <c r="AT2147" s="3" t="s">
        <v>62</v>
      </c>
      <c r="AV2147" s="6" t="str">
        <f>HYPERLINK("http://mcgill.on.worldcat.org/oclc/669122279","Catalog Record")</f>
        <v>Catalog Record</v>
      </c>
      <c r="AW2147" s="6" t="str">
        <f>HYPERLINK("http://www.worldcat.org/oclc/669122279","WorldCat Record")</f>
        <v>WorldCat Record</v>
      </c>
      <c r="AX2147" s="3" t="s">
        <v>20883</v>
      </c>
      <c r="AY2147" s="3" t="s">
        <v>20895</v>
      </c>
      <c r="AZ2147" s="3" t="s">
        <v>20896</v>
      </c>
      <c r="BA2147" s="3" t="s">
        <v>20896</v>
      </c>
      <c r="BB2147" s="3" t="s">
        <v>20897</v>
      </c>
      <c r="BC2147" s="3" t="s">
        <v>142</v>
      </c>
      <c r="BD2147" s="3" t="s">
        <v>308</v>
      </c>
      <c r="BE2147" s="3" t="s">
        <v>20898</v>
      </c>
      <c r="BF2147" s="3" t="s">
        <v>20897</v>
      </c>
      <c r="BG2147" s="3" t="s">
        <v>20899</v>
      </c>
    </row>
    <row r="2148" spans="1:59" ht="57" x14ac:dyDescent="0.45">
      <c r="A2148" s="2" t="s">
        <v>59</v>
      </c>
      <c r="B2148" s="2" t="s">
        <v>60</v>
      </c>
      <c r="C2148" s="2" t="s">
        <v>20900</v>
      </c>
      <c r="D2148" s="2" t="s">
        <v>20901</v>
      </c>
      <c r="E2148" s="2" t="s">
        <v>20902</v>
      </c>
      <c r="G2148" s="3" t="s">
        <v>62</v>
      </c>
      <c r="I2148" s="3" t="s">
        <v>62</v>
      </c>
      <c r="J2148" s="3" t="s">
        <v>62</v>
      </c>
      <c r="K2148" s="3" t="s">
        <v>63</v>
      </c>
      <c r="L2148" s="2" t="s">
        <v>20903</v>
      </c>
      <c r="M2148" s="2" t="s">
        <v>20904</v>
      </c>
      <c r="N2148" s="3" t="s">
        <v>958</v>
      </c>
      <c r="P2148" s="3" t="s">
        <v>65</v>
      </c>
      <c r="R2148" s="3" t="s">
        <v>66</v>
      </c>
      <c r="S2148" s="4">
        <v>12</v>
      </c>
      <c r="T2148" s="4">
        <v>12</v>
      </c>
      <c r="U2148" s="5" t="s">
        <v>12361</v>
      </c>
      <c r="V2148" s="5" t="s">
        <v>12361</v>
      </c>
      <c r="W2148" s="5" t="s">
        <v>67</v>
      </c>
      <c r="X2148" s="5" t="s">
        <v>67</v>
      </c>
      <c r="Y2148" s="4">
        <v>449</v>
      </c>
      <c r="Z2148" s="4">
        <v>20</v>
      </c>
      <c r="AA2148" s="4">
        <v>27</v>
      </c>
      <c r="AB2148" s="4">
        <v>2</v>
      </c>
      <c r="AC2148" s="4">
        <v>6</v>
      </c>
      <c r="AD2148" s="4">
        <v>107</v>
      </c>
      <c r="AE2148" s="4">
        <v>112</v>
      </c>
      <c r="AF2148" s="4">
        <v>1</v>
      </c>
      <c r="AG2148" s="4">
        <v>4</v>
      </c>
      <c r="AH2148" s="4">
        <v>97</v>
      </c>
      <c r="AI2148" s="4">
        <v>98</v>
      </c>
      <c r="AJ2148" s="4">
        <v>14</v>
      </c>
      <c r="AK2148" s="4">
        <v>18</v>
      </c>
      <c r="AL2148" s="4">
        <v>52</v>
      </c>
      <c r="AM2148" s="4">
        <v>52</v>
      </c>
      <c r="AN2148" s="4">
        <v>0</v>
      </c>
      <c r="AO2148" s="4">
        <v>0</v>
      </c>
      <c r="AP2148" s="4">
        <v>16</v>
      </c>
      <c r="AQ2148" s="4">
        <v>20</v>
      </c>
      <c r="AR2148" s="3" t="s">
        <v>62</v>
      </c>
      <c r="AS2148" s="3" t="s">
        <v>62</v>
      </c>
      <c r="AT2148" s="3" t="s">
        <v>61</v>
      </c>
      <c r="AU2148" s="6" t="str">
        <f>HYPERLINK("http://catalog.hathitrust.org/Record/003011709","HathiTrust Record")</f>
        <v>HathiTrust Record</v>
      </c>
      <c r="AV2148" s="6" t="str">
        <f>HYPERLINK("http://mcgill.on.worldcat.org/oclc/31737545","Catalog Record")</f>
        <v>Catalog Record</v>
      </c>
      <c r="AW2148" s="6" t="str">
        <f>HYPERLINK("http://www.worldcat.org/oclc/31737545","WorldCat Record")</f>
        <v>WorldCat Record</v>
      </c>
      <c r="AX2148" s="3" t="s">
        <v>20905</v>
      </c>
      <c r="AY2148" s="3" t="s">
        <v>20906</v>
      </c>
      <c r="AZ2148" s="3" t="s">
        <v>20907</v>
      </c>
      <c r="BA2148" s="3" t="s">
        <v>20907</v>
      </c>
      <c r="BB2148" s="3" t="s">
        <v>20908</v>
      </c>
      <c r="BC2148" s="3" t="s">
        <v>142</v>
      </c>
      <c r="BD2148" s="3" t="s">
        <v>68</v>
      </c>
      <c r="BE2148" s="3" t="s">
        <v>20909</v>
      </c>
      <c r="BF2148" s="3" t="s">
        <v>20908</v>
      </c>
      <c r="BG2148" s="3" t="s">
        <v>20910</v>
      </c>
    </row>
    <row r="2149" spans="1:59" ht="57" x14ac:dyDescent="0.45">
      <c r="A2149" s="2" t="s">
        <v>59</v>
      </c>
      <c r="B2149" s="2" t="s">
        <v>60</v>
      </c>
      <c r="C2149" s="2" t="s">
        <v>20911</v>
      </c>
      <c r="D2149" s="2" t="s">
        <v>20912</v>
      </c>
      <c r="E2149" s="2" t="s">
        <v>20913</v>
      </c>
      <c r="G2149" s="3" t="s">
        <v>62</v>
      </c>
      <c r="I2149" s="3" t="s">
        <v>61</v>
      </c>
      <c r="J2149" s="3" t="s">
        <v>62</v>
      </c>
      <c r="K2149" s="3" t="s">
        <v>63</v>
      </c>
      <c r="L2149" s="2" t="s">
        <v>20914</v>
      </c>
      <c r="M2149" s="2" t="s">
        <v>20519</v>
      </c>
      <c r="N2149" s="3" t="s">
        <v>149</v>
      </c>
      <c r="P2149" s="3" t="s">
        <v>65</v>
      </c>
      <c r="R2149" s="3" t="s">
        <v>66</v>
      </c>
      <c r="S2149" s="4">
        <v>3</v>
      </c>
      <c r="T2149" s="4">
        <v>3</v>
      </c>
      <c r="U2149" s="5" t="s">
        <v>20915</v>
      </c>
      <c r="V2149" s="5" t="s">
        <v>20915</v>
      </c>
      <c r="W2149" s="5" t="s">
        <v>67</v>
      </c>
      <c r="X2149" s="5" t="s">
        <v>67</v>
      </c>
      <c r="Y2149" s="4">
        <v>5</v>
      </c>
      <c r="Z2149" s="4">
        <v>1</v>
      </c>
      <c r="AA2149" s="4">
        <v>21</v>
      </c>
      <c r="AB2149" s="4">
        <v>1</v>
      </c>
      <c r="AC2149" s="4">
        <v>5</v>
      </c>
      <c r="AD2149" s="4">
        <v>1</v>
      </c>
      <c r="AE2149" s="4">
        <v>41</v>
      </c>
      <c r="AF2149" s="4">
        <v>0</v>
      </c>
      <c r="AG2149" s="4">
        <v>2</v>
      </c>
      <c r="AH2149" s="4">
        <v>1</v>
      </c>
      <c r="AI2149" s="4">
        <v>33</v>
      </c>
      <c r="AJ2149" s="4">
        <v>0</v>
      </c>
      <c r="AK2149" s="4">
        <v>13</v>
      </c>
      <c r="AL2149" s="4">
        <v>1</v>
      </c>
      <c r="AM2149" s="4">
        <v>22</v>
      </c>
      <c r="AN2149" s="4">
        <v>0</v>
      </c>
      <c r="AO2149" s="4">
        <v>0</v>
      </c>
      <c r="AP2149" s="4">
        <v>0</v>
      </c>
      <c r="AQ2149" s="4">
        <v>15</v>
      </c>
      <c r="AR2149" s="3" t="s">
        <v>62</v>
      </c>
      <c r="AS2149" s="3" t="s">
        <v>62</v>
      </c>
      <c r="AT2149" s="3" t="s">
        <v>62</v>
      </c>
      <c r="AV2149" s="6" t="str">
        <f>HYPERLINK("http://mcgill.on.worldcat.org/oclc/784171295","Catalog Record")</f>
        <v>Catalog Record</v>
      </c>
      <c r="AW2149" s="6" t="str">
        <f>HYPERLINK("http://www.worldcat.org/oclc/784171295","WorldCat Record")</f>
        <v>WorldCat Record</v>
      </c>
      <c r="AX2149" s="3" t="s">
        <v>20916</v>
      </c>
      <c r="AY2149" s="3" t="s">
        <v>20917</v>
      </c>
      <c r="AZ2149" s="3" t="s">
        <v>20918</v>
      </c>
      <c r="BA2149" s="3" t="s">
        <v>20918</v>
      </c>
      <c r="BB2149" s="3" t="s">
        <v>20919</v>
      </c>
      <c r="BC2149" s="3" t="s">
        <v>142</v>
      </c>
      <c r="BD2149" s="3" t="s">
        <v>68</v>
      </c>
      <c r="BE2149" s="3" t="s">
        <v>20920</v>
      </c>
      <c r="BF2149" s="3" t="s">
        <v>20919</v>
      </c>
      <c r="BG2149" s="3" t="s">
        <v>20921</v>
      </c>
    </row>
    <row r="2150" spans="1:59" ht="57" x14ac:dyDescent="0.45">
      <c r="A2150" s="2" t="s">
        <v>59</v>
      </c>
      <c r="B2150" s="2" t="s">
        <v>60</v>
      </c>
      <c r="C2150" s="2" t="s">
        <v>20911</v>
      </c>
      <c r="D2150" s="2" t="s">
        <v>20912</v>
      </c>
      <c r="E2150" s="2" t="s">
        <v>20913</v>
      </c>
      <c r="G2150" s="3" t="s">
        <v>62</v>
      </c>
      <c r="I2150" s="3" t="s">
        <v>61</v>
      </c>
      <c r="J2150" s="3" t="s">
        <v>62</v>
      </c>
      <c r="K2150" s="3" t="s">
        <v>63</v>
      </c>
      <c r="L2150" s="2" t="s">
        <v>20914</v>
      </c>
      <c r="M2150" s="2" t="s">
        <v>20519</v>
      </c>
      <c r="N2150" s="3" t="s">
        <v>149</v>
      </c>
      <c r="P2150" s="3" t="s">
        <v>65</v>
      </c>
      <c r="R2150" s="3" t="s">
        <v>66</v>
      </c>
      <c r="S2150" s="4">
        <v>0</v>
      </c>
      <c r="T2150" s="4">
        <v>3</v>
      </c>
      <c r="V2150" s="5" t="s">
        <v>20915</v>
      </c>
      <c r="W2150" s="5" t="s">
        <v>67</v>
      </c>
      <c r="X2150" s="5" t="s">
        <v>67</v>
      </c>
      <c r="Y2150" s="4">
        <v>5</v>
      </c>
      <c r="Z2150" s="4">
        <v>1</v>
      </c>
      <c r="AA2150" s="4">
        <v>21</v>
      </c>
      <c r="AB2150" s="4">
        <v>1</v>
      </c>
      <c r="AC2150" s="4">
        <v>5</v>
      </c>
      <c r="AD2150" s="4">
        <v>1</v>
      </c>
      <c r="AE2150" s="4">
        <v>41</v>
      </c>
      <c r="AF2150" s="4">
        <v>0</v>
      </c>
      <c r="AG2150" s="4">
        <v>2</v>
      </c>
      <c r="AH2150" s="4">
        <v>1</v>
      </c>
      <c r="AI2150" s="4">
        <v>33</v>
      </c>
      <c r="AJ2150" s="4">
        <v>0</v>
      </c>
      <c r="AK2150" s="4">
        <v>13</v>
      </c>
      <c r="AL2150" s="4">
        <v>1</v>
      </c>
      <c r="AM2150" s="4">
        <v>22</v>
      </c>
      <c r="AN2150" s="4">
        <v>0</v>
      </c>
      <c r="AO2150" s="4">
        <v>0</v>
      </c>
      <c r="AP2150" s="4">
        <v>0</v>
      </c>
      <c r="AQ2150" s="4">
        <v>15</v>
      </c>
      <c r="AR2150" s="3" t="s">
        <v>62</v>
      </c>
      <c r="AS2150" s="3" t="s">
        <v>62</v>
      </c>
      <c r="AT2150" s="3" t="s">
        <v>62</v>
      </c>
      <c r="AV2150" s="6" t="str">
        <f>HYPERLINK("http://mcgill.on.worldcat.org/oclc/784171295","Catalog Record")</f>
        <v>Catalog Record</v>
      </c>
      <c r="AW2150" s="6" t="str">
        <f>HYPERLINK("http://www.worldcat.org/oclc/784171295","WorldCat Record")</f>
        <v>WorldCat Record</v>
      </c>
      <c r="AX2150" s="3" t="s">
        <v>20916</v>
      </c>
      <c r="AY2150" s="3" t="s">
        <v>20917</v>
      </c>
      <c r="AZ2150" s="3" t="s">
        <v>20918</v>
      </c>
      <c r="BA2150" s="3" t="s">
        <v>20918</v>
      </c>
      <c r="BB2150" s="3" t="s">
        <v>20922</v>
      </c>
      <c r="BC2150" s="3" t="s">
        <v>142</v>
      </c>
      <c r="BD2150" s="3" t="s">
        <v>68</v>
      </c>
      <c r="BE2150" s="3" t="s">
        <v>20920</v>
      </c>
      <c r="BF2150" s="3" t="s">
        <v>20922</v>
      </c>
      <c r="BG2150" s="3" t="s">
        <v>20923</v>
      </c>
    </row>
    <row r="2151" spans="1:59" ht="57" x14ac:dyDescent="0.45">
      <c r="A2151" s="2" t="s">
        <v>59</v>
      </c>
      <c r="B2151" s="2" t="s">
        <v>60</v>
      </c>
      <c r="C2151" s="2" t="s">
        <v>20924</v>
      </c>
      <c r="D2151" s="2" t="s">
        <v>20925</v>
      </c>
      <c r="E2151" s="2" t="s">
        <v>20926</v>
      </c>
      <c r="G2151" s="3" t="s">
        <v>62</v>
      </c>
      <c r="I2151" s="3" t="s">
        <v>62</v>
      </c>
      <c r="J2151" s="3" t="s">
        <v>62</v>
      </c>
      <c r="K2151" s="3" t="s">
        <v>63</v>
      </c>
      <c r="L2151" s="2" t="s">
        <v>20927</v>
      </c>
      <c r="M2151" s="2" t="s">
        <v>20928</v>
      </c>
      <c r="N2151" s="3" t="s">
        <v>1855</v>
      </c>
      <c r="P2151" s="3" t="s">
        <v>65</v>
      </c>
      <c r="R2151" s="3" t="s">
        <v>66</v>
      </c>
      <c r="S2151" s="4">
        <v>25</v>
      </c>
      <c r="T2151" s="4">
        <v>25</v>
      </c>
      <c r="U2151" s="5" t="s">
        <v>20929</v>
      </c>
      <c r="V2151" s="5" t="s">
        <v>20929</v>
      </c>
      <c r="W2151" s="5" t="s">
        <v>67</v>
      </c>
      <c r="X2151" s="5" t="s">
        <v>67</v>
      </c>
      <c r="Y2151" s="4">
        <v>298</v>
      </c>
      <c r="Z2151" s="4">
        <v>17</v>
      </c>
      <c r="AA2151" s="4">
        <v>104</v>
      </c>
      <c r="AB2151" s="4">
        <v>4</v>
      </c>
      <c r="AC2151" s="4">
        <v>18</v>
      </c>
      <c r="AD2151" s="4">
        <v>105</v>
      </c>
      <c r="AE2151" s="4">
        <v>142</v>
      </c>
      <c r="AF2151" s="4">
        <v>2</v>
      </c>
      <c r="AG2151" s="4">
        <v>8</v>
      </c>
      <c r="AH2151" s="4">
        <v>98</v>
      </c>
      <c r="AI2151" s="4">
        <v>106</v>
      </c>
      <c r="AJ2151" s="4">
        <v>12</v>
      </c>
      <c r="AK2151" s="4">
        <v>23</v>
      </c>
      <c r="AL2151" s="4">
        <v>53</v>
      </c>
      <c r="AM2151" s="4">
        <v>55</v>
      </c>
      <c r="AN2151" s="4">
        <v>0</v>
      </c>
      <c r="AO2151" s="4">
        <v>0</v>
      </c>
      <c r="AP2151" s="4">
        <v>14</v>
      </c>
      <c r="AQ2151" s="4">
        <v>45</v>
      </c>
      <c r="AR2151" s="3" t="s">
        <v>62</v>
      </c>
      <c r="AS2151" s="3" t="s">
        <v>62</v>
      </c>
      <c r="AT2151" s="3" t="s">
        <v>61</v>
      </c>
      <c r="AU2151" s="6" t="str">
        <f>HYPERLINK("http://catalog.hathitrust.org/Record/004945912","HathiTrust Record")</f>
        <v>HathiTrust Record</v>
      </c>
      <c r="AV2151" s="6" t="str">
        <f>HYPERLINK("http://mcgill.on.worldcat.org/oclc/55680035","Catalog Record")</f>
        <v>Catalog Record</v>
      </c>
      <c r="AW2151" s="6" t="str">
        <f>HYPERLINK("http://www.worldcat.org/oclc/55680035","WorldCat Record")</f>
        <v>WorldCat Record</v>
      </c>
      <c r="AX2151" s="3" t="s">
        <v>20930</v>
      </c>
      <c r="AY2151" s="3" t="s">
        <v>20931</v>
      </c>
      <c r="AZ2151" s="3" t="s">
        <v>20932</v>
      </c>
      <c r="BA2151" s="3" t="s">
        <v>20932</v>
      </c>
      <c r="BB2151" s="3" t="s">
        <v>20933</v>
      </c>
      <c r="BC2151" s="3" t="s">
        <v>142</v>
      </c>
      <c r="BD2151" s="3" t="s">
        <v>308</v>
      </c>
      <c r="BE2151" s="3" t="s">
        <v>20934</v>
      </c>
      <c r="BF2151" s="3" t="s">
        <v>20933</v>
      </c>
      <c r="BG2151" s="3" t="s">
        <v>20935</v>
      </c>
    </row>
    <row r="2152" spans="1:59" ht="57" x14ac:dyDescent="0.45">
      <c r="A2152" s="2" t="s">
        <v>59</v>
      </c>
      <c r="B2152" s="2" t="s">
        <v>60</v>
      </c>
      <c r="C2152" s="2" t="s">
        <v>20936</v>
      </c>
      <c r="D2152" s="2" t="s">
        <v>20937</v>
      </c>
      <c r="E2152" s="2" t="s">
        <v>20938</v>
      </c>
      <c r="G2152" s="3" t="s">
        <v>62</v>
      </c>
      <c r="I2152" s="3" t="s">
        <v>62</v>
      </c>
      <c r="J2152" s="3" t="s">
        <v>62</v>
      </c>
      <c r="K2152" s="3" t="s">
        <v>63</v>
      </c>
      <c r="M2152" s="2" t="s">
        <v>20939</v>
      </c>
      <c r="N2152" s="3" t="s">
        <v>3160</v>
      </c>
      <c r="P2152" s="3" t="s">
        <v>65</v>
      </c>
      <c r="Q2152" s="2" t="s">
        <v>20940</v>
      </c>
      <c r="R2152" s="3" t="s">
        <v>66</v>
      </c>
      <c r="S2152" s="4">
        <v>11</v>
      </c>
      <c r="T2152" s="4">
        <v>11</v>
      </c>
      <c r="U2152" s="5" t="s">
        <v>20941</v>
      </c>
      <c r="V2152" s="5" t="s">
        <v>20941</v>
      </c>
      <c r="W2152" s="5" t="s">
        <v>67</v>
      </c>
      <c r="X2152" s="5" t="s">
        <v>67</v>
      </c>
      <c r="Y2152" s="4">
        <v>22</v>
      </c>
      <c r="Z2152" s="4">
        <v>11</v>
      </c>
      <c r="AA2152" s="4">
        <v>85</v>
      </c>
      <c r="AB2152" s="4">
        <v>1</v>
      </c>
      <c r="AC2152" s="4">
        <v>15</v>
      </c>
      <c r="AD2152" s="4">
        <v>17</v>
      </c>
      <c r="AE2152" s="4">
        <v>138</v>
      </c>
      <c r="AF2152" s="4">
        <v>0</v>
      </c>
      <c r="AG2152" s="4">
        <v>8</v>
      </c>
      <c r="AH2152" s="4">
        <v>16</v>
      </c>
      <c r="AI2152" s="4">
        <v>102</v>
      </c>
      <c r="AJ2152" s="4">
        <v>8</v>
      </c>
      <c r="AK2152" s="4">
        <v>26</v>
      </c>
      <c r="AL2152" s="4">
        <v>5</v>
      </c>
      <c r="AM2152" s="4">
        <v>54</v>
      </c>
      <c r="AN2152" s="4">
        <v>0</v>
      </c>
      <c r="AO2152" s="4">
        <v>0</v>
      </c>
      <c r="AP2152" s="4">
        <v>8</v>
      </c>
      <c r="AQ2152" s="4">
        <v>46</v>
      </c>
      <c r="AR2152" s="3" t="s">
        <v>62</v>
      </c>
      <c r="AS2152" s="3" t="s">
        <v>62</v>
      </c>
      <c r="AT2152" s="3" t="s">
        <v>61</v>
      </c>
      <c r="AU2152" s="6" t="str">
        <f>HYPERLINK("http://catalog.hathitrust.org/Record/000082663","HathiTrust Record")</f>
        <v>HathiTrust Record</v>
      </c>
      <c r="AV2152" s="6" t="str">
        <f>HYPERLINK("http://mcgill.on.worldcat.org/oclc/237419259","Catalog Record")</f>
        <v>Catalog Record</v>
      </c>
      <c r="AW2152" s="6" t="str">
        <f>HYPERLINK("http://www.worldcat.org/oclc/237419259","WorldCat Record")</f>
        <v>WorldCat Record</v>
      </c>
      <c r="AX2152" s="3" t="s">
        <v>20942</v>
      </c>
      <c r="AY2152" s="3" t="s">
        <v>20943</v>
      </c>
      <c r="AZ2152" s="3" t="s">
        <v>20944</v>
      </c>
      <c r="BA2152" s="3" t="s">
        <v>20944</v>
      </c>
      <c r="BB2152" s="3" t="s">
        <v>20945</v>
      </c>
      <c r="BC2152" s="3" t="s">
        <v>142</v>
      </c>
      <c r="BD2152" s="3" t="s">
        <v>68</v>
      </c>
      <c r="BE2152" s="3" t="s">
        <v>20946</v>
      </c>
      <c r="BF2152" s="3" t="s">
        <v>20945</v>
      </c>
      <c r="BG2152" s="3" t="s">
        <v>20947</v>
      </c>
    </row>
    <row r="2153" spans="1:59" ht="57" x14ac:dyDescent="0.45">
      <c r="A2153" s="2" t="s">
        <v>59</v>
      </c>
      <c r="B2153" s="2" t="s">
        <v>60</v>
      </c>
      <c r="C2153" s="2" t="s">
        <v>20948</v>
      </c>
      <c r="D2153" s="2" t="s">
        <v>20949</v>
      </c>
      <c r="E2153" s="2" t="s">
        <v>20950</v>
      </c>
      <c r="G2153" s="3" t="s">
        <v>62</v>
      </c>
      <c r="I2153" s="3" t="s">
        <v>61</v>
      </c>
      <c r="J2153" s="3" t="s">
        <v>62</v>
      </c>
      <c r="K2153" s="3" t="s">
        <v>63</v>
      </c>
      <c r="L2153" s="2" t="s">
        <v>20951</v>
      </c>
      <c r="M2153" s="2" t="s">
        <v>20952</v>
      </c>
      <c r="N2153" s="3" t="s">
        <v>3160</v>
      </c>
      <c r="P2153" s="3" t="s">
        <v>65</v>
      </c>
      <c r="Q2153" s="2" t="s">
        <v>20953</v>
      </c>
      <c r="R2153" s="3" t="s">
        <v>66</v>
      </c>
      <c r="S2153" s="4">
        <v>31</v>
      </c>
      <c r="T2153" s="4">
        <v>105</v>
      </c>
      <c r="U2153" s="5" t="s">
        <v>626</v>
      </c>
      <c r="V2153" s="5" t="s">
        <v>626</v>
      </c>
      <c r="W2153" s="5" t="s">
        <v>67</v>
      </c>
      <c r="X2153" s="5" t="s">
        <v>67</v>
      </c>
      <c r="Y2153" s="4">
        <v>1133</v>
      </c>
      <c r="Z2153" s="4">
        <v>57</v>
      </c>
      <c r="AA2153" s="4">
        <v>68</v>
      </c>
      <c r="AB2153" s="4">
        <v>5</v>
      </c>
      <c r="AC2153" s="4">
        <v>10</v>
      </c>
      <c r="AD2153" s="4">
        <v>144</v>
      </c>
      <c r="AE2153" s="4">
        <v>150</v>
      </c>
      <c r="AF2153" s="4">
        <v>2</v>
      </c>
      <c r="AG2153" s="4">
        <v>5</v>
      </c>
      <c r="AH2153" s="4">
        <v>113</v>
      </c>
      <c r="AI2153" s="4">
        <v>115</v>
      </c>
      <c r="AJ2153" s="4">
        <v>20</v>
      </c>
      <c r="AK2153" s="4">
        <v>25</v>
      </c>
      <c r="AL2153" s="4">
        <v>59</v>
      </c>
      <c r="AM2153" s="4">
        <v>59</v>
      </c>
      <c r="AN2153" s="4">
        <v>0</v>
      </c>
      <c r="AO2153" s="4">
        <v>0</v>
      </c>
      <c r="AP2153" s="4">
        <v>40</v>
      </c>
      <c r="AQ2153" s="4">
        <v>45</v>
      </c>
      <c r="AR2153" s="3" t="s">
        <v>62</v>
      </c>
      <c r="AS2153" s="3" t="s">
        <v>62</v>
      </c>
      <c r="AT2153" s="3" t="s">
        <v>61</v>
      </c>
      <c r="AU2153" s="6" t="str">
        <f>HYPERLINK("http://catalog.hathitrust.org/Record/000225928","HathiTrust Record")</f>
        <v>HathiTrust Record</v>
      </c>
      <c r="AV2153" s="6" t="str">
        <f>HYPERLINK("http://mcgill.on.worldcat.org/oclc/7276738","Catalog Record")</f>
        <v>Catalog Record</v>
      </c>
      <c r="AW2153" s="6" t="str">
        <f>HYPERLINK("http://www.worldcat.org/oclc/7276738","WorldCat Record")</f>
        <v>WorldCat Record</v>
      </c>
      <c r="AX2153" s="3" t="s">
        <v>20954</v>
      </c>
      <c r="AY2153" s="3" t="s">
        <v>20955</v>
      </c>
      <c r="AZ2153" s="3" t="s">
        <v>20956</v>
      </c>
      <c r="BA2153" s="3" t="s">
        <v>20956</v>
      </c>
      <c r="BB2153" s="3" t="s">
        <v>20957</v>
      </c>
      <c r="BC2153" s="3" t="s">
        <v>142</v>
      </c>
      <c r="BD2153" s="3" t="s">
        <v>68</v>
      </c>
      <c r="BE2153" s="3" t="s">
        <v>20958</v>
      </c>
      <c r="BF2153" s="3" t="s">
        <v>20957</v>
      </c>
      <c r="BG2153" s="3" t="s">
        <v>20959</v>
      </c>
    </row>
    <row r="2154" spans="1:59" ht="57" x14ac:dyDescent="0.45">
      <c r="A2154" s="2" t="s">
        <v>59</v>
      </c>
      <c r="B2154" s="2" t="s">
        <v>60</v>
      </c>
      <c r="C2154" s="2" t="s">
        <v>20948</v>
      </c>
      <c r="D2154" s="2" t="s">
        <v>20949</v>
      </c>
      <c r="E2154" s="2" t="s">
        <v>20950</v>
      </c>
      <c r="G2154" s="3" t="s">
        <v>62</v>
      </c>
      <c r="I2154" s="3" t="s">
        <v>61</v>
      </c>
      <c r="J2154" s="3" t="s">
        <v>62</v>
      </c>
      <c r="K2154" s="3" t="s">
        <v>63</v>
      </c>
      <c r="L2154" s="2" t="s">
        <v>20951</v>
      </c>
      <c r="M2154" s="2" t="s">
        <v>20952</v>
      </c>
      <c r="N2154" s="3" t="s">
        <v>3160</v>
      </c>
      <c r="P2154" s="3" t="s">
        <v>65</v>
      </c>
      <c r="Q2154" s="2" t="s">
        <v>20953</v>
      </c>
      <c r="R2154" s="3" t="s">
        <v>66</v>
      </c>
      <c r="S2154" s="4">
        <v>46</v>
      </c>
      <c r="T2154" s="4">
        <v>105</v>
      </c>
      <c r="U2154" s="5" t="s">
        <v>20929</v>
      </c>
      <c r="V2154" s="5" t="s">
        <v>626</v>
      </c>
      <c r="W2154" s="5" t="s">
        <v>67</v>
      </c>
      <c r="X2154" s="5" t="s">
        <v>67</v>
      </c>
      <c r="Y2154" s="4">
        <v>1133</v>
      </c>
      <c r="Z2154" s="4">
        <v>57</v>
      </c>
      <c r="AA2154" s="4">
        <v>68</v>
      </c>
      <c r="AB2154" s="4">
        <v>5</v>
      </c>
      <c r="AC2154" s="4">
        <v>10</v>
      </c>
      <c r="AD2154" s="4">
        <v>144</v>
      </c>
      <c r="AE2154" s="4">
        <v>150</v>
      </c>
      <c r="AF2154" s="4">
        <v>2</v>
      </c>
      <c r="AG2154" s="4">
        <v>5</v>
      </c>
      <c r="AH2154" s="4">
        <v>113</v>
      </c>
      <c r="AI2154" s="4">
        <v>115</v>
      </c>
      <c r="AJ2154" s="4">
        <v>20</v>
      </c>
      <c r="AK2154" s="4">
        <v>25</v>
      </c>
      <c r="AL2154" s="4">
        <v>59</v>
      </c>
      <c r="AM2154" s="4">
        <v>59</v>
      </c>
      <c r="AN2154" s="4">
        <v>0</v>
      </c>
      <c r="AO2154" s="4">
        <v>0</v>
      </c>
      <c r="AP2154" s="4">
        <v>40</v>
      </c>
      <c r="AQ2154" s="4">
        <v>45</v>
      </c>
      <c r="AR2154" s="3" t="s">
        <v>62</v>
      </c>
      <c r="AS2154" s="3" t="s">
        <v>62</v>
      </c>
      <c r="AT2154" s="3" t="s">
        <v>61</v>
      </c>
      <c r="AU2154" s="6" t="str">
        <f>HYPERLINK("http://catalog.hathitrust.org/Record/000225928","HathiTrust Record")</f>
        <v>HathiTrust Record</v>
      </c>
      <c r="AV2154" s="6" t="str">
        <f>HYPERLINK("http://mcgill.on.worldcat.org/oclc/7276738","Catalog Record")</f>
        <v>Catalog Record</v>
      </c>
      <c r="AW2154" s="6" t="str">
        <f>HYPERLINK("http://www.worldcat.org/oclc/7276738","WorldCat Record")</f>
        <v>WorldCat Record</v>
      </c>
      <c r="AX2154" s="3" t="s">
        <v>20954</v>
      </c>
      <c r="AY2154" s="3" t="s">
        <v>20955</v>
      </c>
      <c r="AZ2154" s="3" t="s">
        <v>20956</v>
      </c>
      <c r="BA2154" s="3" t="s">
        <v>20956</v>
      </c>
      <c r="BB2154" s="3" t="s">
        <v>20960</v>
      </c>
      <c r="BC2154" s="3" t="s">
        <v>142</v>
      </c>
      <c r="BD2154" s="3" t="s">
        <v>68</v>
      </c>
      <c r="BE2154" s="3" t="s">
        <v>20958</v>
      </c>
      <c r="BF2154" s="3" t="s">
        <v>20960</v>
      </c>
      <c r="BG2154" s="3" t="s">
        <v>20961</v>
      </c>
    </row>
    <row r="2155" spans="1:59" ht="57" x14ac:dyDescent="0.45">
      <c r="A2155" s="2" t="s">
        <v>59</v>
      </c>
      <c r="B2155" s="2" t="s">
        <v>60</v>
      </c>
      <c r="C2155" s="2" t="s">
        <v>20948</v>
      </c>
      <c r="D2155" s="2" t="s">
        <v>20949</v>
      </c>
      <c r="E2155" s="2" t="s">
        <v>20950</v>
      </c>
      <c r="G2155" s="3" t="s">
        <v>62</v>
      </c>
      <c r="I2155" s="3" t="s">
        <v>61</v>
      </c>
      <c r="J2155" s="3" t="s">
        <v>62</v>
      </c>
      <c r="K2155" s="3" t="s">
        <v>63</v>
      </c>
      <c r="L2155" s="2" t="s">
        <v>20951</v>
      </c>
      <c r="M2155" s="2" t="s">
        <v>20952</v>
      </c>
      <c r="N2155" s="3" t="s">
        <v>3160</v>
      </c>
      <c r="P2155" s="3" t="s">
        <v>65</v>
      </c>
      <c r="Q2155" s="2" t="s">
        <v>20953</v>
      </c>
      <c r="R2155" s="3" t="s">
        <v>66</v>
      </c>
      <c r="S2155" s="4">
        <v>28</v>
      </c>
      <c r="T2155" s="4">
        <v>105</v>
      </c>
      <c r="U2155" s="5" t="s">
        <v>1156</v>
      </c>
      <c r="V2155" s="5" t="s">
        <v>626</v>
      </c>
      <c r="W2155" s="5" t="s">
        <v>67</v>
      </c>
      <c r="X2155" s="5" t="s">
        <v>67</v>
      </c>
      <c r="Y2155" s="4">
        <v>1133</v>
      </c>
      <c r="Z2155" s="4">
        <v>57</v>
      </c>
      <c r="AA2155" s="4">
        <v>68</v>
      </c>
      <c r="AB2155" s="4">
        <v>5</v>
      </c>
      <c r="AC2155" s="4">
        <v>10</v>
      </c>
      <c r="AD2155" s="4">
        <v>144</v>
      </c>
      <c r="AE2155" s="4">
        <v>150</v>
      </c>
      <c r="AF2155" s="4">
        <v>2</v>
      </c>
      <c r="AG2155" s="4">
        <v>5</v>
      </c>
      <c r="AH2155" s="4">
        <v>113</v>
      </c>
      <c r="AI2155" s="4">
        <v>115</v>
      </c>
      <c r="AJ2155" s="4">
        <v>20</v>
      </c>
      <c r="AK2155" s="4">
        <v>25</v>
      </c>
      <c r="AL2155" s="4">
        <v>59</v>
      </c>
      <c r="AM2155" s="4">
        <v>59</v>
      </c>
      <c r="AN2155" s="4">
        <v>0</v>
      </c>
      <c r="AO2155" s="4">
        <v>0</v>
      </c>
      <c r="AP2155" s="4">
        <v>40</v>
      </c>
      <c r="AQ2155" s="4">
        <v>45</v>
      </c>
      <c r="AR2155" s="3" t="s">
        <v>62</v>
      </c>
      <c r="AS2155" s="3" t="s">
        <v>62</v>
      </c>
      <c r="AT2155" s="3" t="s">
        <v>61</v>
      </c>
      <c r="AU2155" s="6" t="str">
        <f>HYPERLINK("http://catalog.hathitrust.org/Record/000225928","HathiTrust Record")</f>
        <v>HathiTrust Record</v>
      </c>
      <c r="AV2155" s="6" t="str">
        <f>HYPERLINK("http://mcgill.on.worldcat.org/oclc/7276738","Catalog Record")</f>
        <v>Catalog Record</v>
      </c>
      <c r="AW2155" s="6" t="str">
        <f>HYPERLINK("http://www.worldcat.org/oclc/7276738","WorldCat Record")</f>
        <v>WorldCat Record</v>
      </c>
      <c r="AX2155" s="3" t="s">
        <v>20954</v>
      </c>
      <c r="AY2155" s="3" t="s">
        <v>20955</v>
      </c>
      <c r="AZ2155" s="3" t="s">
        <v>20956</v>
      </c>
      <c r="BA2155" s="3" t="s">
        <v>20956</v>
      </c>
      <c r="BB2155" s="3" t="s">
        <v>20962</v>
      </c>
      <c r="BC2155" s="3" t="s">
        <v>142</v>
      </c>
      <c r="BD2155" s="3" t="s">
        <v>68</v>
      </c>
      <c r="BE2155" s="3" t="s">
        <v>20958</v>
      </c>
      <c r="BF2155" s="3" t="s">
        <v>20962</v>
      </c>
      <c r="BG2155" s="3" t="s">
        <v>20963</v>
      </c>
    </row>
    <row r="2156" spans="1:59" ht="57" x14ac:dyDescent="0.45">
      <c r="A2156" s="2" t="s">
        <v>59</v>
      </c>
      <c r="B2156" s="2" t="s">
        <v>60</v>
      </c>
      <c r="C2156" s="2" t="s">
        <v>20964</v>
      </c>
      <c r="D2156" s="2" t="s">
        <v>20965</v>
      </c>
      <c r="E2156" s="2" t="s">
        <v>20966</v>
      </c>
      <c r="G2156" s="3" t="s">
        <v>62</v>
      </c>
      <c r="I2156" s="3" t="s">
        <v>62</v>
      </c>
      <c r="J2156" s="3" t="s">
        <v>62</v>
      </c>
      <c r="K2156" s="3" t="s">
        <v>63</v>
      </c>
      <c r="M2156" s="2" t="s">
        <v>20967</v>
      </c>
      <c r="N2156" s="3" t="s">
        <v>625</v>
      </c>
      <c r="P2156" s="3" t="s">
        <v>65</v>
      </c>
      <c r="R2156" s="3" t="s">
        <v>66</v>
      </c>
      <c r="S2156" s="4">
        <v>22</v>
      </c>
      <c r="T2156" s="4">
        <v>22</v>
      </c>
      <c r="U2156" s="5" t="s">
        <v>20968</v>
      </c>
      <c r="V2156" s="5" t="s">
        <v>20968</v>
      </c>
      <c r="W2156" s="5" t="s">
        <v>67</v>
      </c>
      <c r="X2156" s="5" t="s">
        <v>67</v>
      </c>
      <c r="Y2156" s="4">
        <v>310</v>
      </c>
      <c r="Z2156" s="4">
        <v>14</v>
      </c>
      <c r="AA2156" s="4">
        <v>19</v>
      </c>
      <c r="AB2156" s="4">
        <v>2</v>
      </c>
      <c r="AC2156" s="4">
        <v>7</v>
      </c>
      <c r="AD2156" s="4">
        <v>102</v>
      </c>
      <c r="AE2156" s="4">
        <v>104</v>
      </c>
      <c r="AF2156" s="4">
        <v>0</v>
      </c>
      <c r="AG2156" s="4">
        <v>2</v>
      </c>
      <c r="AH2156" s="4">
        <v>96</v>
      </c>
      <c r="AI2156" s="4">
        <v>96</v>
      </c>
      <c r="AJ2156" s="4">
        <v>9</v>
      </c>
      <c r="AK2156" s="4">
        <v>11</v>
      </c>
      <c r="AL2156" s="4">
        <v>53</v>
      </c>
      <c r="AM2156" s="4">
        <v>53</v>
      </c>
      <c r="AN2156" s="4">
        <v>0</v>
      </c>
      <c r="AO2156" s="4">
        <v>0</v>
      </c>
      <c r="AP2156" s="4">
        <v>11</v>
      </c>
      <c r="AQ2156" s="4">
        <v>12</v>
      </c>
      <c r="AR2156" s="3" t="s">
        <v>62</v>
      </c>
      <c r="AS2156" s="3" t="s">
        <v>62</v>
      </c>
      <c r="AT2156" s="3" t="s">
        <v>61</v>
      </c>
      <c r="AU2156" s="6" t="str">
        <f>HYPERLINK("http://catalog.hathitrust.org/Record/000906745","HathiTrust Record")</f>
        <v>HathiTrust Record</v>
      </c>
      <c r="AV2156" s="6" t="str">
        <f>HYPERLINK("http://mcgill.on.worldcat.org/oclc/12908890","Catalog Record")</f>
        <v>Catalog Record</v>
      </c>
      <c r="AW2156" s="6" t="str">
        <f>HYPERLINK("http://www.worldcat.org/oclc/12908890","WorldCat Record")</f>
        <v>WorldCat Record</v>
      </c>
      <c r="AX2156" s="3" t="s">
        <v>20969</v>
      </c>
      <c r="AY2156" s="3" t="s">
        <v>20970</v>
      </c>
      <c r="AZ2156" s="3" t="s">
        <v>20971</v>
      </c>
      <c r="BA2156" s="3" t="s">
        <v>20971</v>
      </c>
      <c r="BB2156" s="3" t="s">
        <v>20972</v>
      </c>
      <c r="BC2156" s="3" t="s">
        <v>142</v>
      </c>
      <c r="BD2156" s="3" t="s">
        <v>68</v>
      </c>
      <c r="BE2156" s="3" t="s">
        <v>20973</v>
      </c>
      <c r="BF2156" s="3" t="s">
        <v>20972</v>
      </c>
      <c r="BG2156" s="3" t="s">
        <v>20974</v>
      </c>
    </row>
    <row r="2157" spans="1:59" ht="57" x14ac:dyDescent="0.45">
      <c r="A2157" s="2" t="s">
        <v>59</v>
      </c>
      <c r="B2157" s="2" t="s">
        <v>60</v>
      </c>
      <c r="C2157" s="2" t="s">
        <v>20975</v>
      </c>
      <c r="D2157" s="2" t="s">
        <v>20976</v>
      </c>
      <c r="E2157" s="2" t="s">
        <v>20977</v>
      </c>
      <c r="G2157" s="3" t="s">
        <v>62</v>
      </c>
      <c r="I2157" s="3" t="s">
        <v>62</v>
      </c>
      <c r="J2157" s="3" t="s">
        <v>62</v>
      </c>
      <c r="K2157" s="3" t="s">
        <v>63</v>
      </c>
      <c r="L2157" s="2" t="s">
        <v>20978</v>
      </c>
      <c r="M2157" s="2" t="s">
        <v>20979</v>
      </c>
      <c r="N2157" s="3" t="s">
        <v>208</v>
      </c>
      <c r="P2157" s="3" t="s">
        <v>110</v>
      </c>
      <c r="Q2157" s="2" t="s">
        <v>20980</v>
      </c>
      <c r="R2157" s="3" t="s">
        <v>66</v>
      </c>
      <c r="S2157" s="4">
        <v>0</v>
      </c>
      <c r="T2157" s="4">
        <v>0</v>
      </c>
      <c r="W2157" s="5" t="s">
        <v>67</v>
      </c>
      <c r="X2157" s="5" t="s">
        <v>67</v>
      </c>
      <c r="Y2157" s="4">
        <v>22</v>
      </c>
      <c r="Z2157" s="4">
        <v>2</v>
      </c>
      <c r="AA2157" s="4">
        <v>2</v>
      </c>
      <c r="AB2157" s="4">
        <v>1</v>
      </c>
      <c r="AC2157" s="4">
        <v>1</v>
      </c>
      <c r="AD2157" s="4">
        <v>10</v>
      </c>
      <c r="AE2157" s="4">
        <v>10</v>
      </c>
      <c r="AF2157" s="4">
        <v>0</v>
      </c>
      <c r="AG2157" s="4">
        <v>0</v>
      </c>
      <c r="AH2157" s="4">
        <v>10</v>
      </c>
      <c r="AI2157" s="4">
        <v>10</v>
      </c>
      <c r="AJ2157" s="4">
        <v>1</v>
      </c>
      <c r="AK2157" s="4">
        <v>1</v>
      </c>
      <c r="AL2157" s="4">
        <v>8</v>
      </c>
      <c r="AM2157" s="4">
        <v>8</v>
      </c>
      <c r="AN2157" s="4">
        <v>0</v>
      </c>
      <c r="AO2157" s="4">
        <v>0</v>
      </c>
      <c r="AP2157" s="4">
        <v>1</v>
      </c>
      <c r="AQ2157" s="4">
        <v>1</v>
      </c>
      <c r="AR2157" s="3" t="s">
        <v>62</v>
      </c>
      <c r="AS2157" s="3" t="s">
        <v>62</v>
      </c>
      <c r="AT2157" s="3" t="s">
        <v>62</v>
      </c>
      <c r="AV2157" s="6" t="str">
        <f>HYPERLINK("http://mcgill.on.worldcat.org/oclc/908917297","Catalog Record")</f>
        <v>Catalog Record</v>
      </c>
      <c r="AW2157" s="6" t="str">
        <f>HYPERLINK("http://www.worldcat.org/oclc/908917297","WorldCat Record")</f>
        <v>WorldCat Record</v>
      </c>
      <c r="AX2157" s="3" t="s">
        <v>20981</v>
      </c>
      <c r="AY2157" s="3" t="s">
        <v>20982</v>
      </c>
      <c r="AZ2157" s="3" t="s">
        <v>20983</v>
      </c>
      <c r="BA2157" s="3" t="s">
        <v>20983</v>
      </c>
      <c r="BB2157" s="3" t="s">
        <v>20984</v>
      </c>
      <c r="BC2157" s="3" t="s">
        <v>142</v>
      </c>
      <c r="BD2157" s="3" t="s">
        <v>68</v>
      </c>
      <c r="BE2157" s="3" t="s">
        <v>20985</v>
      </c>
      <c r="BF2157" s="3" t="s">
        <v>20984</v>
      </c>
      <c r="BG2157" s="3" t="s">
        <v>20986</v>
      </c>
    </row>
    <row r="2158" spans="1:59" ht="57" x14ac:dyDescent="0.45">
      <c r="A2158" s="2" t="s">
        <v>59</v>
      </c>
      <c r="B2158" s="2" t="s">
        <v>60</v>
      </c>
      <c r="C2158" s="2" t="s">
        <v>20987</v>
      </c>
      <c r="D2158" s="2" t="s">
        <v>20988</v>
      </c>
      <c r="E2158" s="2" t="s">
        <v>20989</v>
      </c>
      <c r="G2158" s="3" t="s">
        <v>62</v>
      </c>
      <c r="I2158" s="3" t="s">
        <v>62</v>
      </c>
      <c r="J2158" s="3" t="s">
        <v>62</v>
      </c>
      <c r="K2158" s="3" t="s">
        <v>63</v>
      </c>
      <c r="L2158" s="2" t="s">
        <v>20990</v>
      </c>
      <c r="M2158" s="2" t="s">
        <v>20991</v>
      </c>
      <c r="N2158" s="3" t="s">
        <v>195</v>
      </c>
      <c r="P2158" s="3" t="s">
        <v>65</v>
      </c>
      <c r="Q2158" s="2" t="s">
        <v>20992</v>
      </c>
      <c r="R2158" s="3" t="s">
        <v>66</v>
      </c>
      <c r="S2158" s="4">
        <v>16</v>
      </c>
      <c r="T2158" s="4">
        <v>16</v>
      </c>
      <c r="U2158" s="5" t="s">
        <v>8307</v>
      </c>
      <c r="V2158" s="5" t="s">
        <v>8307</v>
      </c>
      <c r="W2158" s="5" t="s">
        <v>67</v>
      </c>
      <c r="X2158" s="5" t="s">
        <v>67</v>
      </c>
      <c r="Y2158" s="4">
        <v>473</v>
      </c>
      <c r="Z2158" s="4">
        <v>29</v>
      </c>
      <c r="AA2158" s="4">
        <v>32</v>
      </c>
      <c r="AB2158" s="4">
        <v>2</v>
      </c>
      <c r="AC2158" s="4">
        <v>5</v>
      </c>
      <c r="AD2158" s="4">
        <v>112</v>
      </c>
      <c r="AE2158" s="4">
        <v>115</v>
      </c>
      <c r="AF2158" s="4">
        <v>1</v>
      </c>
      <c r="AG2158" s="4">
        <v>4</v>
      </c>
      <c r="AH2158" s="4">
        <v>95</v>
      </c>
      <c r="AI2158" s="4">
        <v>96</v>
      </c>
      <c r="AJ2158" s="4">
        <v>18</v>
      </c>
      <c r="AK2158" s="4">
        <v>21</v>
      </c>
      <c r="AL2158" s="4">
        <v>48</v>
      </c>
      <c r="AM2158" s="4">
        <v>48</v>
      </c>
      <c r="AN2158" s="4">
        <v>0</v>
      </c>
      <c r="AO2158" s="4">
        <v>0</v>
      </c>
      <c r="AP2158" s="4">
        <v>24</v>
      </c>
      <c r="AQ2158" s="4">
        <v>26</v>
      </c>
      <c r="AR2158" s="3" t="s">
        <v>62</v>
      </c>
      <c r="AS2158" s="3" t="s">
        <v>62</v>
      </c>
      <c r="AT2158" s="3" t="s">
        <v>61</v>
      </c>
      <c r="AU2158" s="6" t="str">
        <f>HYPERLINK("http://catalog.hathitrust.org/Record/002708642","HathiTrust Record")</f>
        <v>HathiTrust Record</v>
      </c>
      <c r="AV2158" s="6" t="str">
        <f>HYPERLINK("http://mcgill.on.worldcat.org/oclc/27810574","Catalog Record")</f>
        <v>Catalog Record</v>
      </c>
      <c r="AW2158" s="6" t="str">
        <f>HYPERLINK("http://www.worldcat.org/oclc/27810574","WorldCat Record")</f>
        <v>WorldCat Record</v>
      </c>
      <c r="AX2158" s="3" t="s">
        <v>20993</v>
      </c>
      <c r="AY2158" s="3" t="s">
        <v>20994</v>
      </c>
      <c r="AZ2158" s="3" t="s">
        <v>20995</v>
      </c>
      <c r="BA2158" s="3" t="s">
        <v>20995</v>
      </c>
      <c r="BB2158" s="3" t="s">
        <v>20996</v>
      </c>
      <c r="BC2158" s="3" t="s">
        <v>142</v>
      </c>
      <c r="BD2158" s="3" t="s">
        <v>68</v>
      </c>
      <c r="BE2158" s="3" t="s">
        <v>20997</v>
      </c>
      <c r="BF2158" s="3" t="s">
        <v>20996</v>
      </c>
      <c r="BG2158" s="3" t="s">
        <v>20998</v>
      </c>
    </row>
    <row r="2159" spans="1:59" ht="57" x14ac:dyDescent="0.45">
      <c r="A2159" s="2" t="s">
        <v>13313</v>
      </c>
      <c r="B2159" s="2" t="s">
        <v>60</v>
      </c>
      <c r="C2159" s="2" t="s">
        <v>20999</v>
      </c>
      <c r="D2159" s="2" t="s">
        <v>21000</v>
      </c>
      <c r="E2159" s="2" t="s">
        <v>21001</v>
      </c>
      <c r="G2159" s="3" t="s">
        <v>62</v>
      </c>
      <c r="I2159" s="3" t="s">
        <v>61</v>
      </c>
      <c r="J2159" s="3" t="s">
        <v>62</v>
      </c>
      <c r="K2159" s="3" t="s">
        <v>63</v>
      </c>
      <c r="L2159" s="2" t="s">
        <v>21002</v>
      </c>
      <c r="M2159" s="2" t="s">
        <v>21003</v>
      </c>
      <c r="N2159" s="3" t="s">
        <v>167</v>
      </c>
      <c r="O2159" s="2" t="s">
        <v>933</v>
      </c>
      <c r="P2159" s="3" t="s">
        <v>65</v>
      </c>
      <c r="R2159" s="3" t="s">
        <v>66</v>
      </c>
      <c r="S2159" s="4">
        <v>87</v>
      </c>
      <c r="T2159" s="4">
        <v>97</v>
      </c>
      <c r="U2159" s="5" t="s">
        <v>21004</v>
      </c>
      <c r="V2159" s="5" t="s">
        <v>21004</v>
      </c>
      <c r="W2159" s="5" t="s">
        <v>67</v>
      </c>
      <c r="X2159" s="5" t="s">
        <v>67</v>
      </c>
      <c r="Y2159" s="4">
        <v>203</v>
      </c>
      <c r="Z2159" s="4">
        <v>11</v>
      </c>
      <c r="AA2159" s="4">
        <v>39</v>
      </c>
      <c r="AB2159" s="4">
        <v>2</v>
      </c>
      <c r="AC2159" s="4">
        <v>10</v>
      </c>
      <c r="AD2159" s="4">
        <v>59</v>
      </c>
      <c r="AE2159" s="4">
        <v>123</v>
      </c>
      <c r="AF2159" s="4">
        <v>1</v>
      </c>
      <c r="AG2159" s="4">
        <v>7</v>
      </c>
      <c r="AH2159" s="4">
        <v>54</v>
      </c>
      <c r="AI2159" s="4">
        <v>100</v>
      </c>
      <c r="AJ2159" s="4">
        <v>7</v>
      </c>
      <c r="AK2159" s="4">
        <v>23</v>
      </c>
      <c r="AL2159" s="4">
        <v>34</v>
      </c>
      <c r="AM2159" s="4">
        <v>55</v>
      </c>
      <c r="AN2159" s="4">
        <v>0</v>
      </c>
      <c r="AO2159" s="4">
        <v>0</v>
      </c>
      <c r="AP2159" s="4">
        <v>9</v>
      </c>
      <c r="AQ2159" s="4">
        <v>28</v>
      </c>
      <c r="AR2159" s="3" t="s">
        <v>62</v>
      </c>
      <c r="AS2159" s="3" t="s">
        <v>62</v>
      </c>
      <c r="AT2159" s="3" t="s">
        <v>61</v>
      </c>
      <c r="AU2159" s="6" t="str">
        <f>HYPERLINK("http://catalog.hathitrust.org/Record/004060052","HathiTrust Record")</f>
        <v>HathiTrust Record</v>
      </c>
      <c r="AV2159" s="6" t="str">
        <f>HYPERLINK("http://mcgill.on.worldcat.org/oclc/41256311","Catalog Record")</f>
        <v>Catalog Record</v>
      </c>
      <c r="AW2159" s="6" t="str">
        <f>HYPERLINK("http://www.worldcat.org/oclc/41256311","WorldCat Record")</f>
        <v>WorldCat Record</v>
      </c>
      <c r="AX2159" s="3" t="s">
        <v>21005</v>
      </c>
      <c r="AY2159" s="3" t="s">
        <v>21006</v>
      </c>
      <c r="AZ2159" s="3" t="s">
        <v>21007</v>
      </c>
      <c r="BA2159" s="3" t="s">
        <v>21007</v>
      </c>
      <c r="BB2159" s="3" t="s">
        <v>21008</v>
      </c>
      <c r="BC2159" s="3" t="s">
        <v>142</v>
      </c>
      <c r="BD2159" s="3" t="s">
        <v>68</v>
      </c>
      <c r="BE2159" s="3" t="s">
        <v>21009</v>
      </c>
      <c r="BF2159" s="3" t="s">
        <v>21008</v>
      </c>
      <c r="BG2159" s="3" t="s">
        <v>21010</v>
      </c>
    </row>
    <row r="2160" spans="1:59" ht="57" x14ac:dyDescent="0.45">
      <c r="A2160" s="2" t="s">
        <v>13313</v>
      </c>
      <c r="B2160" s="2" t="s">
        <v>60</v>
      </c>
      <c r="C2160" s="2" t="s">
        <v>20999</v>
      </c>
      <c r="D2160" s="2" t="s">
        <v>21000</v>
      </c>
      <c r="E2160" s="2" t="s">
        <v>21001</v>
      </c>
      <c r="G2160" s="3" t="s">
        <v>62</v>
      </c>
      <c r="I2160" s="3" t="s">
        <v>61</v>
      </c>
      <c r="J2160" s="3" t="s">
        <v>62</v>
      </c>
      <c r="K2160" s="3" t="s">
        <v>63</v>
      </c>
      <c r="L2160" s="2" t="s">
        <v>21002</v>
      </c>
      <c r="M2160" s="2" t="s">
        <v>21003</v>
      </c>
      <c r="N2160" s="3" t="s">
        <v>167</v>
      </c>
      <c r="O2160" s="2" t="s">
        <v>933</v>
      </c>
      <c r="P2160" s="3" t="s">
        <v>65</v>
      </c>
      <c r="R2160" s="3" t="s">
        <v>66</v>
      </c>
      <c r="S2160" s="4">
        <v>10</v>
      </c>
      <c r="T2160" s="4">
        <v>97</v>
      </c>
      <c r="U2160" s="5" t="s">
        <v>21011</v>
      </c>
      <c r="V2160" s="5" t="s">
        <v>21004</v>
      </c>
      <c r="W2160" s="5" t="s">
        <v>67</v>
      </c>
      <c r="X2160" s="5" t="s">
        <v>67</v>
      </c>
      <c r="Y2160" s="4">
        <v>203</v>
      </c>
      <c r="Z2160" s="4">
        <v>11</v>
      </c>
      <c r="AA2160" s="4">
        <v>39</v>
      </c>
      <c r="AB2160" s="4">
        <v>2</v>
      </c>
      <c r="AC2160" s="4">
        <v>10</v>
      </c>
      <c r="AD2160" s="4">
        <v>59</v>
      </c>
      <c r="AE2160" s="4">
        <v>123</v>
      </c>
      <c r="AF2160" s="4">
        <v>1</v>
      </c>
      <c r="AG2160" s="4">
        <v>7</v>
      </c>
      <c r="AH2160" s="4">
        <v>54</v>
      </c>
      <c r="AI2160" s="4">
        <v>100</v>
      </c>
      <c r="AJ2160" s="4">
        <v>7</v>
      </c>
      <c r="AK2160" s="4">
        <v>23</v>
      </c>
      <c r="AL2160" s="4">
        <v>34</v>
      </c>
      <c r="AM2160" s="4">
        <v>55</v>
      </c>
      <c r="AN2160" s="4">
        <v>0</v>
      </c>
      <c r="AO2160" s="4">
        <v>0</v>
      </c>
      <c r="AP2160" s="4">
        <v>9</v>
      </c>
      <c r="AQ2160" s="4">
        <v>28</v>
      </c>
      <c r="AR2160" s="3" t="s">
        <v>62</v>
      </c>
      <c r="AS2160" s="3" t="s">
        <v>62</v>
      </c>
      <c r="AT2160" s="3" t="s">
        <v>61</v>
      </c>
      <c r="AU2160" s="6" t="str">
        <f>HYPERLINK("http://catalog.hathitrust.org/Record/004060052","HathiTrust Record")</f>
        <v>HathiTrust Record</v>
      </c>
      <c r="AV2160" s="6" t="str">
        <f>HYPERLINK("http://mcgill.on.worldcat.org/oclc/41256311","Catalog Record")</f>
        <v>Catalog Record</v>
      </c>
      <c r="AW2160" s="6" t="str">
        <f>HYPERLINK("http://www.worldcat.org/oclc/41256311","WorldCat Record")</f>
        <v>WorldCat Record</v>
      </c>
      <c r="AX2160" s="3" t="s">
        <v>21005</v>
      </c>
      <c r="AY2160" s="3" t="s">
        <v>21006</v>
      </c>
      <c r="AZ2160" s="3" t="s">
        <v>21007</v>
      </c>
      <c r="BA2160" s="3" t="s">
        <v>21007</v>
      </c>
      <c r="BB2160" s="3" t="s">
        <v>21012</v>
      </c>
      <c r="BC2160" s="3" t="s">
        <v>142</v>
      </c>
      <c r="BD2160" s="3" t="s">
        <v>68</v>
      </c>
      <c r="BE2160" s="3" t="s">
        <v>21009</v>
      </c>
      <c r="BF2160" s="3" t="s">
        <v>21012</v>
      </c>
      <c r="BG2160" s="3" t="s">
        <v>21013</v>
      </c>
    </row>
    <row r="2161" spans="1:59" ht="57" x14ac:dyDescent="0.45">
      <c r="A2161" s="2" t="s">
        <v>59</v>
      </c>
      <c r="B2161" s="2" t="s">
        <v>60</v>
      </c>
      <c r="C2161" s="2" t="s">
        <v>21014</v>
      </c>
      <c r="D2161" s="2" t="s">
        <v>21015</v>
      </c>
      <c r="E2161" s="2" t="s">
        <v>21016</v>
      </c>
      <c r="G2161" s="3" t="s">
        <v>62</v>
      </c>
      <c r="I2161" s="3" t="s">
        <v>62</v>
      </c>
      <c r="J2161" s="3" t="s">
        <v>62</v>
      </c>
      <c r="K2161" s="3" t="s">
        <v>63</v>
      </c>
      <c r="L2161" s="2" t="s">
        <v>21017</v>
      </c>
      <c r="M2161" s="2" t="s">
        <v>21018</v>
      </c>
      <c r="N2161" s="3" t="s">
        <v>568</v>
      </c>
      <c r="P2161" s="3" t="s">
        <v>65</v>
      </c>
      <c r="R2161" s="3" t="s">
        <v>66</v>
      </c>
      <c r="S2161" s="4">
        <v>38</v>
      </c>
      <c r="T2161" s="4">
        <v>38</v>
      </c>
      <c r="U2161" s="5" t="s">
        <v>21019</v>
      </c>
      <c r="V2161" s="5" t="s">
        <v>21019</v>
      </c>
      <c r="W2161" s="5" t="s">
        <v>67</v>
      </c>
      <c r="X2161" s="5" t="s">
        <v>67</v>
      </c>
      <c r="Y2161" s="4">
        <v>637</v>
      </c>
      <c r="Z2161" s="4">
        <v>34</v>
      </c>
      <c r="AA2161" s="4">
        <v>38</v>
      </c>
      <c r="AB2161" s="4">
        <v>3</v>
      </c>
      <c r="AC2161" s="4">
        <v>7</v>
      </c>
      <c r="AD2161" s="4">
        <v>115</v>
      </c>
      <c r="AE2161" s="4">
        <v>118</v>
      </c>
      <c r="AF2161" s="4">
        <v>1</v>
      </c>
      <c r="AG2161" s="4">
        <v>4</v>
      </c>
      <c r="AH2161" s="4">
        <v>100</v>
      </c>
      <c r="AI2161" s="4">
        <v>101</v>
      </c>
      <c r="AJ2161" s="4">
        <v>18</v>
      </c>
      <c r="AK2161" s="4">
        <v>21</v>
      </c>
      <c r="AL2161" s="4">
        <v>50</v>
      </c>
      <c r="AM2161" s="4">
        <v>50</v>
      </c>
      <c r="AN2161" s="4">
        <v>2</v>
      </c>
      <c r="AO2161" s="4">
        <v>2</v>
      </c>
      <c r="AP2161" s="4">
        <v>26</v>
      </c>
      <c r="AQ2161" s="4">
        <v>28</v>
      </c>
      <c r="AR2161" s="3" t="s">
        <v>62</v>
      </c>
      <c r="AS2161" s="3" t="s">
        <v>62</v>
      </c>
      <c r="AT2161" s="3" t="s">
        <v>61</v>
      </c>
      <c r="AU2161" s="6" t="str">
        <f>HYPERLINK("http://catalog.hathitrust.org/Record/000847929","HathiTrust Record")</f>
        <v>HathiTrust Record</v>
      </c>
      <c r="AV2161" s="6" t="str">
        <f>HYPERLINK("http://mcgill.on.worldcat.org/oclc/16462607","Catalog Record")</f>
        <v>Catalog Record</v>
      </c>
      <c r="AW2161" s="6" t="str">
        <f>HYPERLINK("http://www.worldcat.org/oclc/16462607","WorldCat Record")</f>
        <v>WorldCat Record</v>
      </c>
      <c r="AX2161" s="3" t="s">
        <v>21020</v>
      </c>
      <c r="AY2161" s="3" t="s">
        <v>21021</v>
      </c>
      <c r="AZ2161" s="3" t="s">
        <v>21022</v>
      </c>
      <c r="BA2161" s="3" t="s">
        <v>21022</v>
      </c>
      <c r="BB2161" s="3" t="s">
        <v>21023</v>
      </c>
      <c r="BC2161" s="3" t="s">
        <v>142</v>
      </c>
      <c r="BD2161" s="3" t="s">
        <v>68</v>
      </c>
      <c r="BE2161" s="3" t="s">
        <v>21024</v>
      </c>
      <c r="BF2161" s="3" t="s">
        <v>21023</v>
      </c>
      <c r="BG2161" s="3" t="s">
        <v>21025</v>
      </c>
    </row>
    <row r="2162" spans="1:59" ht="71.25" x14ac:dyDescent="0.45">
      <c r="A2162" s="2" t="s">
        <v>59</v>
      </c>
      <c r="B2162" s="2" t="s">
        <v>60</v>
      </c>
      <c r="C2162" s="2" t="s">
        <v>21026</v>
      </c>
      <c r="D2162" s="2" t="s">
        <v>21027</v>
      </c>
      <c r="E2162" s="2" t="s">
        <v>21028</v>
      </c>
      <c r="G2162" s="3" t="s">
        <v>62</v>
      </c>
      <c r="I2162" s="3" t="s">
        <v>62</v>
      </c>
      <c r="J2162" s="3" t="s">
        <v>62</v>
      </c>
      <c r="K2162" s="3" t="s">
        <v>63</v>
      </c>
      <c r="M2162" s="2" t="s">
        <v>1178</v>
      </c>
      <c r="N2162" s="3" t="s">
        <v>894</v>
      </c>
      <c r="P2162" s="3" t="s">
        <v>65</v>
      </c>
      <c r="Q2162" s="2" t="s">
        <v>21029</v>
      </c>
      <c r="R2162" s="3" t="s">
        <v>66</v>
      </c>
      <c r="S2162" s="4">
        <v>2</v>
      </c>
      <c r="T2162" s="4">
        <v>2</v>
      </c>
      <c r="U2162" s="5" t="s">
        <v>21030</v>
      </c>
      <c r="V2162" s="5" t="s">
        <v>21030</v>
      </c>
      <c r="W2162" s="5" t="s">
        <v>67</v>
      </c>
      <c r="X2162" s="5" t="s">
        <v>67</v>
      </c>
      <c r="Y2162" s="4">
        <v>88</v>
      </c>
      <c r="Z2162" s="4">
        <v>10</v>
      </c>
      <c r="AA2162" s="4">
        <v>91</v>
      </c>
      <c r="AB2162" s="4">
        <v>1</v>
      </c>
      <c r="AC2162" s="4">
        <v>17</v>
      </c>
      <c r="AD2162" s="4">
        <v>32</v>
      </c>
      <c r="AE2162" s="4">
        <v>113</v>
      </c>
      <c r="AF2162" s="4">
        <v>0</v>
      </c>
      <c r="AG2162" s="4">
        <v>8</v>
      </c>
      <c r="AH2162" s="4">
        <v>30</v>
      </c>
      <c r="AI2162" s="4">
        <v>76</v>
      </c>
      <c r="AJ2162" s="4">
        <v>5</v>
      </c>
      <c r="AK2162" s="4">
        <v>21</v>
      </c>
      <c r="AL2162" s="4">
        <v>17</v>
      </c>
      <c r="AM2162" s="4">
        <v>39</v>
      </c>
      <c r="AN2162" s="4">
        <v>0</v>
      </c>
      <c r="AO2162" s="4">
        <v>0</v>
      </c>
      <c r="AP2162" s="4">
        <v>6</v>
      </c>
      <c r="AQ2162" s="4">
        <v>43</v>
      </c>
      <c r="AR2162" s="3" t="s">
        <v>62</v>
      </c>
      <c r="AS2162" s="3" t="s">
        <v>62</v>
      </c>
      <c r="AT2162" s="3" t="s">
        <v>62</v>
      </c>
      <c r="AV2162" s="6" t="str">
        <f>HYPERLINK("http://mcgill.on.worldcat.org/oclc/671573459","Catalog Record")</f>
        <v>Catalog Record</v>
      </c>
      <c r="AW2162" s="6" t="str">
        <f>HYPERLINK("http://www.worldcat.org/oclc/671573459","WorldCat Record")</f>
        <v>WorldCat Record</v>
      </c>
      <c r="AX2162" s="3" t="s">
        <v>21031</v>
      </c>
      <c r="AY2162" s="3" t="s">
        <v>21032</v>
      </c>
      <c r="AZ2162" s="3" t="s">
        <v>21033</v>
      </c>
      <c r="BA2162" s="3" t="s">
        <v>21033</v>
      </c>
      <c r="BB2162" s="3" t="s">
        <v>21034</v>
      </c>
      <c r="BC2162" s="3" t="s">
        <v>142</v>
      </c>
      <c r="BD2162" s="3" t="s">
        <v>68</v>
      </c>
      <c r="BE2162" s="3" t="s">
        <v>21035</v>
      </c>
      <c r="BF2162" s="3" t="s">
        <v>21034</v>
      </c>
      <c r="BG2162" s="3" t="s">
        <v>21036</v>
      </c>
    </row>
    <row r="2163" spans="1:59" ht="57" x14ac:dyDescent="0.45">
      <c r="A2163" s="2" t="s">
        <v>59</v>
      </c>
      <c r="B2163" s="2" t="s">
        <v>60</v>
      </c>
      <c r="C2163" s="2" t="s">
        <v>21037</v>
      </c>
      <c r="D2163" s="2" t="s">
        <v>21038</v>
      </c>
      <c r="E2163" s="2" t="s">
        <v>21039</v>
      </c>
      <c r="G2163" s="3" t="s">
        <v>62</v>
      </c>
      <c r="I2163" s="3" t="s">
        <v>62</v>
      </c>
      <c r="J2163" s="3" t="s">
        <v>62</v>
      </c>
      <c r="K2163" s="3" t="s">
        <v>63</v>
      </c>
      <c r="L2163" s="2" t="s">
        <v>21040</v>
      </c>
      <c r="M2163" s="2" t="s">
        <v>21041</v>
      </c>
      <c r="N2163" s="3" t="s">
        <v>1239</v>
      </c>
      <c r="P2163" s="3" t="s">
        <v>65</v>
      </c>
      <c r="R2163" s="3" t="s">
        <v>66</v>
      </c>
      <c r="S2163" s="4">
        <v>59</v>
      </c>
      <c r="T2163" s="4">
        <v>59</v>
      </c>
      <c r="U2163" s="5" t="s">
        <v>124</v>
      </c>
      <c r="V2163" s="5" t="s">
        <v>124</v>
      </c>
      <c r="W2163" s="5" t="s">
        <v>67</v>
      </c>
      <c r="X2163" s="5" t="s">
        <v>67</v>
      </c>
      <c r="Y2163" s="4">
        <v>515</v>
      </c>
      <c r="Z2163" s="4">
        <v>34</v>
      </c>
      <c r="AA2163" s="4">
        <v>36</v>
      </c>
      <c r="AB2163" s="4">
        <v>3</v>
      </c>
      <c r="AC2163" s="4">
        <v>5</v>
      </c>
      <c r="AD2163" s="4">
        <v>124</v>
      </c>
      <c r="AE2163" s="4">
        <v>126</v>
      </c>
      <c r="AF2163" s="4">
        <v>1</v>
      </c>
      <c r="AG2163" s="4">
        <v>3</v>
      </c>
      <c r="AH2163" s="4">
        <v>104</v>
      </c>
      <c r="AI2163" s="4">
        <v>104</v>
      </c>
      <c r="AJ2163" s="4">
        <v>19</v>
      </c>
      <c r="AK2163" s="4">
        <v>21</v>
      </c>
      <c r="AL2163" s="4">
        <v>54</v>
      </c>
      <c r="AM2163" s="4">
        <v>54</v>
      </c>
      <c r="AN2163" s="4">
        <v>0</v>
      </c>
      <c r="AO2163" s="4">
        <v>0</v>
      </c>
      <c r="AP2163" s="4">
        <v>28</v>
      </c>
      <c r="AQ2163" s="4">
        <v>29</v>
      </c>
      <c r="AR2163" s="3" t="s">
        <v>62</v>
      </c>
      <c r="AS2163" s="3" t="s">
        <v>62</v>
      </c>
      <c r="AT2163" s="3" t="s">
        <v>61</v>
      </c>
      <c r="AU2163" s="6" t="str">
        <f>HYPERLINK("http://catalog.hathitrust.org/Record/001840947","HathiTrust Record")</f>
        <v>HathiTrust Record</v>
      </c>
      <c r="AV2163" s="6" t="str">
        <f>HYPERLINK("http://mcgill.on.worldcat.org/oclc/18589150","Catalog Record")</f>
        <v>Catalog Record</v>
      </c>
      <c r="AW2163" s="6" t="str">
        <f>HYPERLINK("http://www.worldcat.org/oclc/18589150","WorldCat Record")</f>
        <v>WorldCat Record</v>
      </c>
      <c r="AX2163" s="3" t="s">
        <v>21042</v>
      </c>
      <c r="AY2163" s="3" t="s">
        <v>21043</v>
      </c>
      <c r="AZ2163" s="3" t="s">
        <v>21044</v>
      </c>
      <c r="BA2163" s="3" t="s">
        <v>21044</v>
      </c>
      <c r="BB2163" s="3" t="s">
        <v>21045</v>
      </c>
      <c r="BC2163" s="3" t="s">
        <v>142</v>
      </c>
      <c r="BD2163" s="3" t="s">
        <v>68</v>
      </c>
      <c r="BE2163" s="3" t="s">
        <v>21046</v>
      </c>
      <c r="BF2163" s="3" t="s">
        <v>21045</v>
      </c>
      <c r="BG2163" s="3" t="s">
        <v>21047</v>
      </c>
    </row>
    <row r="2164" spans="1:59" ht="57" x14ac:dyDescent="0.45">
      <c r="A2164" s="2" t="s">
        <v>59</v>
      </c>
      <c r="B2164" s="2" t="s">
        <v>60</v>
      </c>
      <c r="C2164" s="2" t="s">
        <v>21048</v>
      </c>
      <c r="D2164" s="2" t="s">
        <v>21049</v>
      </c>
      <c r="E2164" s="2" t="s">
        <v>21050</v>
      </c>
      <c r="G2164" s="3" t="s">
        <v>62</v>
      </c>
      <c r="I2164" s="3" t="s">
        <v>62</v>
      </c>
      <c r="J2164" s="3" t="s">
        <v>62</v>
      </c>
      <c r="K2164" s="3" t="s">
        <v>63</v>
      </c>
      <c r="M2164" s="2" t="s">
        <v>21051</v>
      </c>
      <c r="N2164" s="3" t="s">
        <v>149</v>
      </c>
      <c r="P2164" s="3" t="s">
        <v>65</v>
      </c>
      <c r="R2164" s="3" t="s">
        <v>66</v>
      </c>
      <c r="S2164" s="4">
        <v>0</v>
      </c>
      <c r="T2164" s="4">
        <v>0</v>
      </c>
      <c r="W2164" s="5" t="s">
        <v>67</v>
      </c>
      <c r="X2164" s="5" t="s">
        <v>67</v>
      </c>
      <c r="Y2164" s="4">
        <v>48</v>
      </c>
      <c r="Z2164" s="4">
        <v>7</v>
      </c>
      <c r="AA2164" s="4">
        <v>73</v>
      </c>
      <c r="AB2164" s="4">
        <v>1</v>
      </c>
      <c r="AC2164" s="4">
        <v>14</v>
      </c>
      <c r="AD2164" s="4">
        <v>19</v>
      </c>
      <c r="AE2164" s="4">
        <v>85</v>
      </c>
      <c r="AF2164" s="4">
        <v>0</v>
      </c>
      <c r="AG2164" s="4">
        <v>8</v>
      </c>
      <c r="AH2164" s="4">
        <v>16</v>
      </c>
      <c r="AI2164" s="4">
        <v>53</v>
      </c>
      <c r="AJ2164" s="4">
        <v>6</v>
      </c>
      <c r="AK2164" s="4">
        <v>18</v>
      </c>
      <c r="AL2164" s="4">
        <v>9</v>
      </c>
      <c r="AM2164" s="4">
        <v>26</v>
      </c>
      <c r="AN2164" s="4">
        <v>0</v>
      </c>
      <c r="AO2164" s="4">
        <v>0</v>
      </c>
      <c r="AP2164" s="4">
        <v>6</v>
      </c>
      <c r="AQ2164" s="4">
        <v>38</v>
      </c>
      <c r="AR2164" s="3" t="s">
        <v>62</v>
      </c>
      <c r="AS2164" s="3" t="s">
        <v>62</v>
      </c>
      <c r="AT2164" s="3" t="s">
        <v>62</v>
      </c>
      <c r="AV2164" s="6" t="str">
        <f>HYPERLINK("http://mcgill.on.worldcat.org/oclc/646393779","Catalog Record")</f>
        <v>Catalog Record</v>
      </c>
      <c r="AW2164" s="6" t="str">
        <f>HYPERLINK("http://www.worldcat.org/oclc/646393779","WorldCat Record")</f>
        <v>WorldCat Record</v>
      </c>
      <c r="AX2164" s="3" t="s">
        <v>21052</v>
      </c>
      <c r="AY2164" s="3" t="s">
        <v>21053</v>
      </c>
      <c r="AZ2164" s="3" t="s">
        <v>21054</v>
      </c>
      <c r="BA2164" s="3" t="s">
        <v>21054</v>
      </c>
      <c r="BB2164" s="3" t="s">
        <v>21055</v>
      </c>
      <c r="BC2164" s="3" t="s">
        <v>142</v>
      </c>
      <c r="BD2164" s="3" t="s">
        <v>68</v>
      </c>
      <c r="BE2164" s="3" t="s">
        <v>21056</v>
      </c>
      <c r="BF2164" s="3" t="s">
        <v>21055</v>
      </c>
      <c r="BG2164" s="3" t="s">
        <v>21057</v>
      </c>
    </row>
    <row r="2165" spans="1:59" ht="57" x14ac:dyDescent="0.45">
      <c r="A2165" s="2" t="s">
        <v>59</v>
      </c>
      <c r="B2165" s="2" t="s">
        <v>60</v>
      </c>
      <c r="C2165" s="2" t="s">
        <v>21058</v>
      </c>
      <c r="D2165" s="2" t="s">
        <v>21059</v>
      </c>
      <c r="E2165" s="2" t="s">
        <v>21060</v>
      </c>
      <c r="G2165" s="3" t="s">
        <v>62</v>
      </c>
      <c r="I2165" s="3" t="s">
        <v>62</v>
      </c>
      <c r="J2165" s="3" t="s">
        <v>62</v>
      </c>
      <c r="K2165" s="3" t="s">
        <v>63</v>
      </c>
      <c r="M2165" s="2" t="s">
        <v>3699</v>
      </c>
      <c r="N2165" s="3" t="s">
        <v>167</v>
      </c>
      <c r="P2165" s="3" t="s">
        <v>65</v>
      </c>
      <c r="Q2165" s="2" t="s">
        <v>21061</v>
      </c>
      <c r="R2165" s="3" t="s">
        <v>66</v>
      </c>
      <c r="S2165" s="4">
        <v>28</v>
      </c>
      <c r="T2165" s="4">
        <v>28</v>
      </c>
      <c r="U2165" s="5" t="s">
        <v>10693</v>
      </c>
      <c r="V2165" s="5" t="s">
        <v>10693</v>
      </c>
      <c r="W2165" s="5" t="s">
        <v>67</v>
      </c>
      <c r="X2165" s="5" t="s">
        <v>67</v>
      </c>
      <c r="Y2165" s="4">
        <v>240</v>
      </c>
      <c r="Z2165" s="4">
        <v>14</v>
      </c>
      <c r="AA2165" s="4">
        <v>17</v>
      </c>
      <c r="AB2165" s="4">
        <v>1</v>
      </c>
      <c r="AC2165" s="4">
        <v>3</v>
      </c>
      <c r="AD2165" s="4">
        <v>85</v>
      </c>
      <c r="AE2165" s="4">
        <v>86</v>
      </c>
      <c r="AF2165" s="4">
        <v>0</v>
      </c>
      <c r="AG2165" s="4">
        <v>0</v>
      </c>
      <c r="AH2165" s="4">
        <v>76</v>
      </c>
      <c r="AI2165" s="4">
        <v>76</v>
      </c>
      <c r="AJ2165" s="4">
        <v>8</v>
      </c>
      <c r="AK2165" s="4">
        <v>8</v>
      </c>
      <c r="AL2165" s="4">
        <v>45</v>
      </c>
      <c r="AM2165" s="4">
        <v>45</v>
      </c>
      <c r="AN2165" s="4">
        <v>0</v>
      </c>
      <c r="AO2165" s="4">
        <v>0</v>
      </c>
      <c r="AP2165" s="4">
        <v>12</v>
      </c>
      <c r="AQ2165" s="4">
        <v>13</v>
      </c>
      <c r="AR2165" s="3" t="s">
        <v>62</v>
      </c>
      <c r="AS2165" s="3" t="s">
        <v>62</v>
      </c>
      <c r="AT2165" s="3" t="s">
        <v>61</v>
      </c>
      <c r="AU2165" s="6" t="str">
        <f>HYPERLINK("http://catalog.hathitrust.org/Record/004574628","HathiTrust Record")</f>
        <v>HathiTrust Record</v>
      </c>
      <c r="AV2165" s="6" t="str">
        <f>HYPERLINK("http://mcgill.on.worldcat.org/oclc/41645959","Catalog Record")</f>
        <v>Catalog Record</v>
      </c>
      <c r="AW2165" s="6" t="str">
        <f>HYPERLINK("http://www.worldcat.org/oclc/41645959","WorldCat Record")</f>
        <v>WorldCat Record</v>
      </c>
      <c r="AX2165" s="3" t="s">
        <v>21062</v>
      </c>
      <c r="AY2165" s="3" t="s">
        <v>21063</v>
      </c>
      <c r="AZ2165" s="3" t="s">
        <v>21064</v>
      </c>
      <c r="BA2165" s="3" t="s">
        <v>21064</v>
      </c>
      <c r="BB2165" s="3" t="s">
        <v>21065</v>
      </c>
      <c r="BC2165" s="3" t="s">
        <v>142</v>
      </c>
      <c r="BD2165" s="3" t="s">
        <v>68</v>
      </c>
      <c r="BE2165" s="3" t="s">
        <v>21066</v>
      </c>
      <c r="BF2165" s="3" t="s">
        <v>21065</v>
      </c>
      <c r="BG2165" s="3" t="s">
        <v>21067</v>
      </c>
    </row>
    <row r="2166" spans="1:59" ht="57" x14ac:dyDescent="0.45">
      <c r="A2166" s="2" t="s">
        <v>59</v>
      </c>
      <c r="B2166" s="2" t="s">
        <v>60</v>
      </c>
      <c r="C2166" s="2" t="s">
        <v>21068</v>
      </c>
      <c r="D2166" s="2" t="s">
        <v>21069</v>
      </c>
      <c r="E2166" s="2" t="s">
        <v>21070</v>
      </c>
      <c r="G2166" s="3" t="s">
        <v>62</v>
      </c>
      <c r="I2166" s="3" t="s">
        <v>62</v>
      </c>
      <c r="J2166" s="3" t="s">
        <v>62</v>
      </c>
      <c r="K2166" s="3" t="s">
        <v>63</v>
      </c>
      <c r="L2166" s="2" t="s">
        <v>21071</v>
      </c>
      <c r="M2166" s="2" t="s">
        <v>21072</v>
      </c>
      <c r="N2166" s="3" t="s">
        <v>1059</v>
      </c>
      <c r="P2166" s="3" t="s">
        <v>65</v>
      </c>
      <c r="R2166" s="3" t="s">
        <v>66</v>
      </c>
      <c r="S2166" s="4">
        <v>8</v>
      </c>
      <c r="T2166" s="4">
        <v>8</v>
      </c>
      <c r="U2166" s="5" t="s">
        <v>16620</v>
      </c>
      <c r="V2166" s="5" t="s">
        <v>16620</v>
      </c>
      <c r="W2166" s="5" t="s">
        <v>67</v>
      </c>
      <c r="X2166" s="5" t="s">
        <v>67</v>
      </c>
      <c r="Y2166" s="4">
        <v>187</v>
      </c>
      <c r="Z2166" s="4">
        <v>15</v>
      </c>
      <c r="AA2166" s="4">
        <v>21</v>
      </c>
      <c r="AB2166" s="4">
        <v>1</v>
      </c>
      <c r="AC2166" s="4">
        <v>6</v>
      </c>
      <c r="AD2166" s="4">
        <v>76</v>
      </c>
      <c r="AE2166" s="4">
        <v>80</v>
      </c>
      <c r="AF2166" s="4">
        <v>0</v>
      </c>
      <c r="AG2166" s="4">
        <v>2</v>
      </c>
      <c r="AH2166" s="4">
        <v>72</v>
      </c>
      <c r="AI2166" s="4">
        <v>75</v>
      </c>
      <c r="AJ2166" s="4">
        <v>11</v>
      </c>
      <c r="AK2166" s="4">
        <v>14</v>
      </c>
      <c r="AL2166" s="4">
        <v>39</v>
      </c>
      <c r="AM2166" s="4">
        <v>40</v>
      </c>
      <c r="AN2166" s="4">
        <v>0</v>
      </c>
      <c r="AO2166" s="4">
        <v>0</v>
      </c>
      <c r="AP2166" s="4">
        <v>13</v>
      </c>
      <c r="AQ2166" s="4">
        <v>16</v>
      </c>
      <c r="AR2166" s="3" t="s">
        <v>62</v>
      </c>
      <c r="AS2166" s="3" t="s">
        <v>62</v>
      </c>
      <c r="AT2166" s="3" t="s">
        <v>61</v>
      </c>
      <c r="AU2166" s="6" t="str">
        <f>HYPERLINK("http://catalog.hathitrust.org/Record/005235979","HathiTrust Record")</f>
        <v>HathiTrust Record</v>
      </c>
      <c r="AV2166" s="6" t="str">
        <f>HYPERLINK("http://mcgill.on.worldcat.org/oclc/61731462","Catalog Record")</f>
        <v>Catalog Record</v>
      </c>
      <c r="AW2166" s="6" t="str">
        <f>HYPERLINK("http://www.worldcat.org/oclc/61731462","WorldCat Record")</f>
        <v>WorldCat Record</v>
      </c>
      <c r="AX2166" s="3" t="s">
        <v>21073</v>
      </c>
      <c r="AY2166" s="3" t="s">
        <v>21074</v>
      </c>
      <c r="AZ2166" s="3" t="s">
        <v>21075</v>
      </c>
      <c r="BA2166" s="3" t="s">
        <v>21075</v>
      </c>
      <c r="BB2166" s="3" t="s">
        <v>21076</v>
      </c>
      <c r="BC2166" s="3" t="s">
        <v>142</v>
      </c>
      <c r="BD2166" s="3" t="s">
        <v>68</v>
      </c>
      <c r="BE2166" s="3" t="s">
        <v>21077</v>
      </c>
      <c r="BF2166" s="3" t="s">
        <v>21076</v>
      </c>
      <c r="BG2166" s="3" t="s">
        <v>21078</v>
      </c>
    </row>
    <row r="2167" spans="1:59" ht="57" x14ac:dyDescent="0.45">
      <c r="A2167" s="2" t="s">
        <v>59</v>
      </c>
      <c r="B2167" s="2" t="s">
        <v>60</v>
      </c>
      <c r="C2167" s="2" t="s">
        <v>21079</v>
      </c>
      <c r="D2167" s="2" t="s">
        <v>21080</v>
      </c>
      <c r="E2167" s="2" t="s">
        <v>21081</v>
      </c>
      <c r="G2167" s="3" t="s">
        <v>62</v>
      </c>
      <c r="I2167" s="3" t="s">
        <v>62</v>
      </c>
      <c r="J2167" s="3" t="s">
        <v>62</v>
      </c>
      <c r="K2167" s="3" t="s">
        <v>63</v>
      </c>
      <c r="L2167" s="2" t="s">
        <v>21071</v>
      </c>
      <c r="M2167" s="2" t="s">
        <v>7600</v>
      </c>
      <c r="N2167" s="3" t="s">
        <v>894</v>
      </c>
      <c r="P2167" s="3" t="s">
        <v>65</v>
      </c>
      <c r="R2167" s="3" t="s">
        <v>66</v>
      </c>
      <c r="S2167" s="4">
        <v>2</v>
      </c>
      <c r="T2167" s="4">
        <v>2</v>
      </c>
      <c r="U2167" s="5" t="s">
        <v>16620</v>
      </c>
      <c r="V2167" s="5" t="s">
        <v>16620</v>
      </c>
      <c r="W2167" s="5" t="s">
        <v>67</v>
      </c>
      <c r="X2167" s="5" t="s">
        <v>67</v>
      </c>
      <c r="Y2167" s="4">
        <v>105</v>
      </c>
      <c r="Z2167" s="4">
        <v>9</v>
      </c>
      <c r="AA2167" s="4">
        <v>83</v>
      </c>
      <c r="AB2167" s="4">
        <v>1</v>
      </c>
      <c r="AC2167" s="4">
        <v>14</v>
      </c>
      <c r="AD2167" s="4">
        <v>26</v>
      </c>
      <c r="AE2167" s="4">
        <v>106</v>
      </c>
      <c r="AF2167" s="4">
        <v>0</v>
      </c>
      <c r="AG2167" s="4">
        <v>8</v>
      </c>
      <c r="AH2167" s="4">
        <v>25</v>
      </c>
      <c r="AI2167" s="4">
        <v>70</v>
      </c>
      <c r="AJ2167" s="4">
        <v>6</v>
      </c>
      <c r="AK2167" s="4">
        <v>23</v>
      </c>
      <c r="AL2167" s="4">
        <v>14</v>
      </c>
      <c r="AM2167" s="4">
        <v>35</v>
      </c>
      <c r="AN2167" s="4">
        <v>0</v>
      </c>
      <c r="AO2167" s="4">
        <v>0</v>
      </c>
      <c r="AP2167" s="4">
        <v>6</v>
      </c>
      <c r="AQ2167" s="4">
        <v>44</v>
      </c>
      <c r="AR2167" s="3" t="s">
        <v>62</v>
      </c>
      <c r="AS2167" s="3" t="s">
        <v>62</v>
      </c>
      <c r="AT2167" s="3" t="s">
        <v>62</v>
      </c>
      <c r="AV2167" s="6" t="str">
        <f>HYPERLINK("http://mcgill.on.worldcat.org/oclc/500818360","Catalog Record")</f>
        <v>Catalog Record</v>
      </c>
      <c r="AW2167" s="6" t="str">
        <f>HYPERLINK("http://www.worldcat.org/oclc/500818360","WorldCat Record")</f>
        <v>WorldCat Record</v>
      </c>
      <c r="AX2167" s="3" t="s">
        <v>21082</v>
      </c>
      <c r="AY2167" s="3" t="s">
        <v>21083</v>
      </c>
      <c r="AZ2167" s="3" t="s">
        <v>21084</v>
      </c>
      <c r="BA2167" s="3" t="s">
        <v>21084</v>
      </c>
      <c r="BB2167" s="3" t="s">
        <v>21085</v>
      </c>
      <c r="BC2167" s="3" t="s">
        <v>142</v>
      </c>
      <c r="BD2167" s="3" t="s">
        <v>68</v>
      </c>
      <c r="BE2167" s="3" t="s">
        <v>21086</v>
      </c>
      <c r="BF2167" s="3" t="s">
        <v>21085</v>
      </c>
      <c r="BG2167" s="3" t="s">
        <v>21087</v>
      </c>
    </row>
    <row r="2168" spans="1:59" ht="57" x14ac:dyDescent="0.45">
      <c r="A2168" s="2" t="s">
        <v>59</v>
      </c>
      <c r="B2168" s="2" t="s">
        <v>60</v>
      </c>
      <c r="C2168" s="2" t="s">
        <v>21088</v>
      </c>
      <c r="D2168" s="2" t="s">
        <v>21089</v>
      </c>
      <c r="E2168" s="2" t="s">
        <v>21090</v>
      </c>
      <c r="G2168" s="3" t="s">
        <v>62</v>
      </c>
      <c r="I2168" s="3" t="s">
        <v>62</v>
      </c>
      <c r="J2168" s="3" t="s">
        <v>62</v>
      </c>
      <c r="K2168" s="3" t="s">
        <v>63</v>
      </c>
      <c r="M2168" s="2" t="s">
        <v>1650</v>
      </c>
      <c r="N2168" s="3" t="s">
        <v>84</v>
      </c>
      <c r="P2168" s="3" t="s">
        <v>65</v>
      </c>
      <c r="Q2168" s="2" t="s">
        <v>21091</v>
      </c>
      <c r="R2168" s="3" t="s">
        <v>66</v>
      </c>
      <c r="S2168" s="4">
        <v>25</v>
      </c>
      <c r="T2168" s="4">
        <v>25</v>
      </c>
      <c r="U2168" s="5" t="s">
        <v>3596</v>
      </c>
      <c r="V2168" s="5" t="s">
        <v>3596</v>
      </c>
      <c r="W2168" s="5" t="s">
        <v>67</v>
      </c>
      <c r="X2168" s="5" t="s">
        <v>67</v>
      </c>
      <c r="Y2168" s="4">
        <v>464</v>
      </c>
      <c r="Z2168" s="4">
        <v>31</v>
      </c>
      <c r="AA2168" s="4">
        <v>36</v>
      </c>
      <c r="AB2168" s="4">
        <v>2</v>
      </c>
      <c r="AC2168" s="4">
        <v>7</v>
      </c>
      <c r="AD2168" s="4">
        <v>120</v>
      </c>
      <c r="AE2168" s="4">
        <v>124</v>
      </c>
      <c r="AF2168" s="4">
        <v>1</v>
      </c>
      <c r="AG2168" s="4">
        <v>5</v>
      </c>
      <c r="AH2168" s="4">
        <v>104</v>
      </c>
      <c r="AI2168" s="4">
        <v>105</v>
      </c>
      <c r="AJ2168" s="4">
        <v>17</v>
      </c>
      <c r="AK2168" s="4">
        <v>20</v>
      </c>
      <c r="AL2168" s="4">
        <v>58</v>
      </c>
      <c r="AM2168" s="4">
        <v>58</v>
      </c>
      <c r="AN2168" s="4">
        <v>0</v>
      </c>
      <c r="AO2168" s="4">
        <v>0</v>
      </c>
      <c r="AP2168" s="4">
        <v>24</v>
      </c>
      <c r="AQ2168" s="4">
        <v>27</v>
      </c>
      <c r="AR2168" s="3" t="s">
        <v>62</v>
      </c>
      <c r="AS2168" s="3" t="s">
        <v>62</v>
      </c>
      <c r="AT2168" s="3" t="s">
        <v>62</v>
      </c>
      <c r="AV2168" s="6" t="str">
        <f>HYPERLINK("http://mcgill.on.worldcat.org/oclc/24954051","Catalog Record")</f>
        <v>Catalog Record</v>
      </c>
      <c r="AW2168" s="6" t="str">
        <f>HYPERLINK("http://www.worldcat.org/oclc/24954051","WorldCat Record")</f>
        <v>WorldCat Record</v>
      </c>
      <c r="AX2168" s="3" t="s">
        <v>21092</v>
      </c>
      <c r="AY2168" s="3" t="s">
        <v>21093</v>
      </c>
      <c r="AZ2168" s="3" t="s">
        <v>21094</v>
      </c>
      <c r="BA2168" s="3" t="s">
        <v>21094</v>
      </c>
      <c r="BB2168" s="3" t="s">
        <v>21095</v>
      </c>
      <c r="BC2168" s="3" t="s">
        <v>142</v>
      </c>
      <c r="BD2168" s="3" t="s">
        <v>68</v>
      </c>
      <c r="BE2168" s="3" t="s">
        <v>21096</v>
      </c>
      <c r="BF2168" s="3" t="s">
        <v>21095</v>
      </c>
      <c r="BG2168" s="3" t="s">
        <v>21097</v>
      </c>
    </row>
    <row r="2169" spans="1:59" ht="57" x14ac:dyDescent="0.45">
      <c r="A2169" s="2" t="s">
        <v>59</v>
      </c>
      <c r="B2169" s="2" t="s">
        <v>60</v>
      </c>
      <c r="C2169" s="2" t="s">
        <v>21098</v>
      </c>
      <c r="D2169" s="2" t="s">
        <v>21099</v>
      </c>
      <c r="E2169" s="2" t="s">
        <v>21100</v>
      </c>
      <c r="G2169" s="3" t="s">
        <v>62</v>
      </c>
      <c r="I2169" s="3" t="s">
        <v>62</v>
      </c>
      <c r="J2169" s="3" t="s">
        <v>62</v>
      </c>
      <c r="K2169" s="3" t="s">
        <v>63</v>
      </c>
      <c r="M2169" s="2" t="s">
        <v>21101</v>
      </c>
      <c r="N2169" s="3" t="s">
        <v>1437</v>
      </c>
      <c r="P2169" s="3" t="s">
        <v>65</v>
      </c>
      <c r="R2169" s="3" t="s">
        <v>66</v>
      </c>
      <c r="S2169" s="4">
        <v>14</v>
      </c>
      <c r="T2169" s="4">
        <v>14</v>
      </c>
      <c r="U2169" s="5" t="s">
        <v>21102</v>
      </c>
      <c r="V2169" s="5" t="s">
        <v>21102</v>
      </c>
      <c r="W2169" s="5" t="s">
        <v>67</v>
      </c>
      <c r="X2169" s="5" t="s">
        <v>67</v>
      </c>
      <c r="Y2169" s="4">
        <v>322</v>
      </c>
      <c r="Z2169" s="4">
        <v>17</v>
      </c>
      <c r="AA2169" s="4">
        <v>17</v>
      </c>
      <c r="AB2169" s="4">
        <v>1</v>
      </c>
      <c r="AC2169" s="4">
        <v>1</v>
      </c>
      <c r="AD2169" s="4">
        <v>99</v>
      </c>
      <c r="AE2169" s="4">
        <v>99</v>
      </c>
      <c r="AF2169" s="4">
        <v>0</v>
      </c>
      <c r="AG2169" s="4">
        <v>0</v>
      </c>
      <c r="AH2169" s="4">
        <v>91</v>
      </c>
      <c r="AI2169" s="4">
        <v>91</v>
      </c>
      <c r="AJ2169" s="4">
        <v>11</v>
      </c>
      <c r="AK2169" s="4">
        <v>11</v>
      </c>
      <c r="AL2169" s="4">
        <v>52</v>
      </c>
      <c r="AM2169" s="4">
        <v>52</v>
      </c>
      <c r="AN2169" s="4">
        <v>0</v>
      </c>
      <c r="AO2169" s="4">
        <v>0</v>
      </c>
      <c r="AP2169" s="4">
        <v>13</v>
      </c>
      <c r="AQ2169" s="4">
        <v>13</v>
      </c>
      <c r="AR2169" s="3" t="s">
        <v>62</v>
      </c>
      <c r="AS2169" s="3" t="s">
        <v>62</v>
      </c>
      <c r="AT2169" s="3" t="s">
        <v>61</v>
      </c>
      <c r="AU2169" s="6" t="str">
        <f>HYPERLINK("http://catalog.hathitrust.org/Record/003999258","HathiTrust Record")</f>
        <v>HathiTrust Record</v>
      </c>
      <c r="AV2169" s="6" t="str">
        <f>HYPERLINK("http://mcgill.on.worldcat.org/oclc/38216283","Catalog Record")</f>
        <v>Catalog Record</v>
      </c>
      <c r="AW2169" s="6" t="str">
        <f>HYPERLINK("http://www.worldcat.org/oclc/38216283","WorldCat Record")</f>
        <v>WorldCat Record</v>
      </c>
      <c r="AX2169" s="3" t="s">
        <v>21103</v>
      </c>
      <c r="AY2169" s="3" t="s">
        <v>21104</v>
      </c>
      <c r="AZ2169" s="3" t="s">
        <v>21105</v>
      </c>
      <c r="BA2169" s="3" t="s">
        <v>21105</v>
      </c>
      <c r="BB2169" s="3" t="s">
        <v>21106</v>
      </c>
      <c r="BC2169" s="3" t="s">
        <v>142</v>
      </c>
      <c r="BD2169" s="3" t="s">
        <v>68</v>
      </c>
      <c r="BE2169" s="3" t="s">
        <v>21107</v>
      </c>
      <c r="BF2169" s="3" t="s">
        <v>21106</v>
      </c>
      <c r="BG2169" s="3" t="s">
        <v>21108</v>
      </c>
    </row>
    <row r="2170" spans="1:59" ht="57" x14ac:dyDescent="0.45">
      <c r="A2170" s="2" t="s">
        <v>59</v>
      </c>
      <c r="B2170" s="2" t="s">
        <v>60</v>
      </c>
      <c r="C2170" s="2" t="s">
        <v>21109</v>
      </c>
      <c r="D2170" s="2" t="s">
        <v>21110</v>
      </c>
      <c r="E2170" s="2" t="s">
        <v>21111</v>
      </c>
      <c r="G2170" s="3" t="s">
        <v>62</v>
      </c>
      <c r="I2170" s="3" t="s">
        <v>62</v>
      </c>
      <c r="J2170" s="3" t="s">
        <v>61</v>
      </c>
      <c r="K2170" s="3" t="s">
        <v>63</v>
      </c>
      <c r="L2170" s="2" t="s">
        <v>21112</v>
      </c>
      <c r="M2170" s="2" t="s">
        <v>21113</v>
      </c>
      <c r="N2170" s="3" t="s">
        <v>894</v>
      </c>
      <c r="O2170" s="2" t="s">
        <v>933</v>
      </c>
      <c r="P2170" s="3" t="s">
        <v>65</v>
      </c>
      <c r="Q2170" s="2" t="s">
        <v>8936</v>
      </c>
      <c r="R2170" s="3" t="s">
        <v>66</v>
      </c>
      <c r="S2170" s="4">
        <v>2</v>
      </c>
      <c r="T2170" s="4">
        <v>2</v>
      </c>
      <c r="U2170" s="5" t="s">
        <v>21114</v>
      </c>
      <c r="V2170" s="5" t="s">
        <v>21114</v>
      </c>
      <c r="W2170" s="5" t="s">
        <v>67</v>
      </c>
      <c r="X2170" s="5" t="s">
        <v>67</v>
      </c>
      <c r="Y2170" s="4">
        <v>100</v>
      </c>
      <c r="Z2170" s="4">
        <v>10</v>
      </c>
      <c r="AA2170" s="4">
        <v>83</v>
      </c>
      <c r="AB2170" s="4">
        <v>1</v>
      </c>
      <c r="AC2170" s="4">
        <v>15</v>
      </c>
      <c r="AD2170" s="4">
        <v>25</v>
      </c>
      <c r="AE2170" s="4">
        <v>117</v>
      </c>
      <c r="AF2170" s="4">
        <v>0</v>
      </c>
      <c r="AG2170" s="4">
        <v>8</v>
      </c>
      <c r="AH2170" s="4">
        <v>24</v>
      </c>
      <c r="AI2170" s="4">
        <v>81</v>
      </c>
      <c r="AJ2170" s="4">
        <v>5</v>
      </c>
      <c r="AK2170" s="4">
        <v>23</v>
      </c>
      <c r="AL2170" s="4">
        <v>12</v>
      </c>
      <c r="AM2170" s="4">
        <v>40</v>
      </c>
      <c r="AN2170" s="4">
        <v>0</v>
      </c>
      <c r="AO2170" s="4">
        <v>0</v>
      </c>
      <c r="AP2170" s="4">
        <v>6</v>
      </c>
      <c r="AQ2170" s="4">
        <v>44</v>
      </c>
      <c r="AR2170" s="3" t="s">
        <v>62</v>
      </c>
      <c r="AS2170" s="3" t="s">
        <v>62</v>
      </c>
      <c r="AT2170" s="3" t="s">
        <v>62</v>
      </c>
      <c r="AV2170" s="6" t="str">
        <f>HYPERLINK("http://mcgill.on.worldcat.org/oclc/653842751","Catalog Record")</f>
        <v>Catalog Record</v>
      </c>
      <c r="AW2170" s="6" t="str">
        <f>HYPERLINK("http://www.worldcat.org/oclc/653842751","WorldCat Record")</f>
        <v>WorldCat Record</v>
      </c>
      <c r="AX2170" s="3" t="s">
        <v>21115</v>
      </c>
      <c r="AY2170" s="3" t="s">
        <v>21116</v>
      </c>
      <c r="AZ2170" s="3" t="s">
        <v>21117</v>
      </c>
      <c r="BA2170" s="3" t="s">
        <v>21117</v>
      </c>
      <c r="BB2170" s="3" t="s">
        <v>21118</v>
      </c>
      <c r="BC2170" s="3" t="s">
        <v>142</v>
      </c>
      <c r="BD2170" s="3" t="s">
        <v>68</v>
      </c>
      <c r="BE2170" s="3" t="s">
        <v>21119</v>
      </c>
      <c r="BF2170" s="3" t="s">
        <v>21118</v>
      </c>
      <c r="BG2170" s="3" t="s">
        <v>21120</v>
      </c>
    </row>
    <row r="2171" spans="1:59" ht="57" x14ac:dyDescent="0.45">
      <c r="A2171" s="2" t="s">
        <v>59</v>
      </c>
      <c r="B2171" s="2" t="s">
        <v>60</v>
      </c>
      <c r="C2171" s="2" t="s">
        <v>21121</v>
      </c>
      <c r="D2171" s="2" t="s">
        <v>21122</v>
      </c>
      <c r="E2171" s="2" t="s">
        <v>21123</v>
      </c>
      <c r="G2171" s="3" t="s">
        <v>62</v>
      </c>
      <c r="I2171" s="3" t="s">
        <v>62</v>
      </c>
      <c r="J2171" s="3" t="s">
        <v>62</v>
      </c>
      <c r="K2171" s="3" t="s">
        <v>63</v>
      </c>
      <c r="L2171" s="2" t="s">
        <v>21124</v>
      </c>
      <c r="M2171" s="2" t="s">
        <v>21125</v>
      </c>
      <c r="N2171" s="3" t="s">
        <v>1059</v>
      </c>
      <c r="P2171" s="3" t="s">
        <v>110</v>
      </c>
      <c r="Q2171" s="2" t="s">
        <v>21126</v>
      </c>
      <c r="R2171" s="3" t="s">
        <v>66</v>
      </c>
      <c r="S2171" s="4">
        <v>2</v>
      </c>
      <c r="T2171" s="4">
        <v>2</v>
      </c>
      <c r="U2171" s="5" t="s">
        <v>4418</v>
      </c>
      <c r="V2171" s="5" t="s">
        <v>4418</v>
      </c>
      <c r="W2171" s="5" t="s">
        <v>67</v>
      </c>
      <c r="X2171" s="5" t="s">
        <v>67</v>
      </c>
      <c r="Y2171" s="4">
        <v>41</v>
      </c>
      <c r="Z2171" s="4">
        <v>28</v>
      </c>
      <c r="AA2171" s="4">
        <v>30</v>
      </c>
      <c r="AB2171" s="4">
        <v>12</v>
      </c>
      <c r="AC2171" s="4">
        <v>12</v>
      </c>
      <c r="AD2171" s="4">
        <v>14</v>
      </c>
      <c r="AE2171" s="4">
        <v>15</v>
      </c>
      <c r="AF2171" s="4">
        <v>5</v>
      </c>
      <c r="AG2171" s="4">
        <v>5</v>
      </c>
      <c r="AH2171" s="4">
        <v>4</v>
      </c>
      <c r="AI2171" s="4">
        <v>5</v>
      </c>
      <c r="AJ2171" s="4">
        <v>9</v>
      </c>
      <c r="AK2171" s="4">
        <v>10</v>
      </c>
      <c r="AL2171" s="4">
        <v>1</v>
      </c>
      <c r="AM2171" s="4">
        <v>1</v>
      </c>
      <c r="AN2171" s="4">
        <v>0</v>
      </c>
      <c r="AO2171" s="4">
        <v>0</v>
      </c>
      <c r="AP2171" s="4">
        <v>11</v>
      </c>
      <c r="AQ2171" s="4">
        <v>12</v>
      </c>
      <c r="AR2171" s="3" t="s">
        <v>61</v>
      </c>
      <c r="AS2171" s="3" t="s">
        <v>62</v>
      </c>
      <c r="AT2171" s="3" t="s">
        <v>62</v>
      </c>
      <c r="AV2171" s="6" t="str">
        <f>HYPERLINK("http://mcgill.on.worldcat.org/oclc/71345014","Catalog Record")</f>
        <v>Catalog Record</v>
      </c>
      <c r="AW2171" s="6" t="str">
        <f>HYPERLINK("http://www.worldcat.org/oclc/71345014","WorldCat Record")</f>
        <v>WorldCat Record</v>
      </c>
      <c r="AX2171" s="3" t="s">
        <v>21127</v>
      </c>
      <c r="AY2171" s="3" t="s">
        <v>21128</v>
      </c>
      <c r="AZ2171" s="3" t="s">
        <v>21129</v>
      </c>
      <c r="BA2171" s="3" t="s">
        <v>21129</v>
      </c>
      <c r="BB2171" s="3" t="s">
        <v>21130</v>
      </c>
      <c r="BC2171" s="3" t="s">
        <v>142</v>
      </c>
      <c r="BD2171" s="3" t="s">
        <v>68</v>
      </c>
      <c r="BE2171" s="3" t="s">
        <v>21131</v>
      </c>
      <c r="BF2171" s="3" t="s">
        <v>21130</v>
      </c>
      <c r="BG2171" s="3" t="s">
        <v>21132</v>
      </c>
    </row>
    <row r="2172" spans="1:59" ht="57" x14ac:dyDescent="0.45">
      <c r="A2172" s="2" t="s">
        <v>59</v>
      </c>
      <c r="B2172" s="2" t="s">
        <v>60</v>
      </c>
      <c r="C2172" s="2" t="s">
        <v>21133</v>
      </c>
      <c r="D2172" s="2" t="s">
        <v>21134</v>
      </c>
      <c r="E2172" s="2" t="s">
        <v>21135</v>
      </c>
      <c r="G2172" s="3" t="s">
        <v>62</v>
      </c>
      <c r="I2172" s="3" t="s">
        <v>62</v>
      </c>
      <c r="J2172" s="3" t="s">
        <v>62</v>
      </c>
      <c r="K2172" s="3" t="s">
        <v>63</v>
      </c>
      <c r="M2172" s="2" t="s">
        <v>21136</v>
      </c>
      <c r="N2172" s="3" t="s">
        <v>894</v>
      </c>
      <c r="P2172" s="3" t="s">
        <v>65</v>
      </c>
      <c r="R2172" s="3" t="s">
        <v>66</v>
      </c>
      <c r="S2172" s="4">
        <v>1</v>
      </c>
      <c r="T2172" s="4">
        <v>1</v>
      </c>
      <c r="U2172" s="5" t="s">
        <v>21137</v>
      </c>
      <c r="V2172" s="5" t="s">
        <v>21137</v>
      </c>
      <c r="W2172" s="5" t="s">
        <v>67</v>
      </c>
      <c r="X2172" s="5" t="s">
        <v>67</v>
      </c>
      <c r="Y2172" s="4">
        <v>102</v>
      </c>
      <c r="Z2172" s="4">
        <v>15</v>
      </c>
      <c r="AA2172" s="4">
        <v>26</v>
      </c>
      <c r="AB2172" s="4">
        <v>2</v>
      </c>
      <c r="AC2172" s="4">
        <v>11</v>
      </c>
      <c r="AD2172" s="4">
        <v>41</v>
      </c>
      <c r="AE2172" s="4">
        <v>68</v>
      </c>
      <c r="AF2172" s="4">
        <v>0</v>
      </c>
      <c r="AG2172" s="4">
        <v>5</v>
      </c>
      <c r="AH2172" s="4">
        <v>38</v>
      </c>
      <c r="AI2172" s="4">
        <v>58</v>
      </c>
      <c r="AJ2172" s="4">
        <v>10</v>
      </c>
      <c r="AK2172" s="4">
        <v>16</v>
      </c>
      <c r="AL2172" s="4">
        <v>16</v>
      </c>
      <c r="AM2172" s="4">
        <v>30</v>
      </c>
      <c r="AN2172" s="4">
        <v>0</v>
      </c>
      <c r="AO2172" s="4">
        <v>0</v>
      </c>
      <c r="AP2172" s="4">
        <v>11</v>
      </c>
      <c r="AQ2172" s="4">
        <v>17</v>
      </c>
      <c r="AR2172" s="3" t="s">
        <v>62</v>
      </c>
      <c r="AS2172" s="3" t="s">
        <v>62</v>
      </c>
      <c r="AT2172" s="3" t="s">
        <v>62</v>
      </c>
      <c r="AV2172" s="6" t="str">
        <f>HYPERLINK("http://mcgill.on.worldcat.org/oclc/682895188","Catalog Record")</f>
        <v>Catalog Record</v>
      </c>
      <c r="AW2172" s="6" t="str">
        <f>HYPERLINK("http://www.worldcat.org/oclc/682895188","WorldCat Record")</f>
        <v>WorldCat Record</v>
      </c>
      <c r="AX2172" s="3" t="s">
        <v>21138</v>
      </c>
      <c r="AY2172" s="3" t="s">
        <v>21139</v>
      </c>
      <c r="AZ2172" s="3" t="s">
        <v>21140</v>
      </c>
      <c r="BA2172" s="3" t="s">
        <v>21140</v>
      </c>
      <c r="BB2172" s="3" t="s">
        <v>21141</v>
      </c>
      <c r="BC2172" s="3" t="s">
        <v>142</v>
      </c>
      <c r="BD2172" s="3" t="s">
        <v>68</v>
      </c>
      <c r="BE2172" s="3" t="s">
        <v>21142</v>
      </c>
      <c r="BF2172" s="3" t="s">
        <v>21141</v>
      </c>
      <c r="BG2172" s="3" t="s">
        <v>21143</v>
      </c>
    </row>
    <row r="2173" spans="1:59" ht="57" x14ac:dyDescent="0.45">
      <c r="A2173" s="2" t="s">
        <v>59</v>
      </c>
      <c r="B2173" s="2" t="s">
        <v>60</v>
      </c>
      <c r="C2173" s="2" t="s">
        <v>21144</v>
      </c>
      <c r="D2173" s="2" t="s">
        <v>21145</v>
      </c>
      <c r="E2173" s="2" t="s">
        <v>21146</v>
      </c>
      <c r="G2173" s="3" t="s">
        <v>62</v>
      </c>
      <c r="I2173" s="3" t="s">
        <v>62</v>
      </c>
      <c r="J2173" s="3" t="s">
        <v>62</v>
      </c>
      <c r="K2173" s="3" t="s">
        <v>63</v>
      </c>
      <c r="M2173" s="2" t="s">
        <v>21147</v>
      </c>
      <c r="N2173" s="3" t="s">
        <v>945</v>
      </c>
      <c r="P2173" s="3" t="s">
        <v>65</v>
      </c>
      <c r="R2173" s="3" t="s">
        <v>66</v>
      </c>
      <c r="S2173" s="4">
        <v>4</v>
      </c>
      <c r="T2173" s="4">
        <v>4</v>
      </c>
      <c r="U2173" s="5" t="s">
        <v>21148</v>
      </c>
      <c r="V2173" s="5" t="s">
        <v>21148</v>
      </c>
      <c r="W2173" s="5" t="s">
        <v>67</v>
      </c>
      <c r="X2173" s="5" t="s">
        <v>67</v>
      </c>
      <c r="Y2173" s="4">
        <v>253</v>
      </c>
      <c r="Z2173" s="4">
        <v>16</v>
      </c>
      <c r="AA2173" s="4">
        <v>20</v>
      </c>
      <c r="AB2173" s="4">
        <v>3</v>
      </c>
      <c r="AC2173" s="4">
        <v>7</v>
      </c>
      <c r="AD2173" s="4">
        <v>68</v>
      </c>
      <c r="AE2173" s="4">
        <v>69</v>
      </c>
      <c r="AF2173" s="4">
        <v>1</v>
      </c>
      <c r="AG2173" s="4">
        <v>2</v>
      </c>
      <c r="AH2173" s="4">
        <v>64</v>
      </c>
      <c r="AI2173" s="4">
        <v>64</v>
      </c>
      <c r="AJ2173" s="4">
        <v>10</v>
      </c>
      <c r="AK2173" s="4">
        <v>11</v>
      </c>
      <c r="AL2173" s="4">
        <v>27</v>
      </c>
      <c r="AM2173" s="4">
        <v>27</v>
      </c>
      <c r="AN2173" s="4">
        <v>0</v>
      </c>
      <c r="AO2173" s="4">
        <v>0</v>
      </c>
      <c r="AP2173" s="4">
        <v>13</v>
      </c>
      <c r="AQ2173" s="4">
        <v>14</v>
      </c>
      <c r="AR2173" s="3" t="s">
        <v>62</v>
      </c>
      <c r="AS2173" s="3" t="s">
        <v>62</v>
      </c>
      <c r="AT2173" s="3" t="s">
        <v>61</v>
      </c>
      <c r="AU2173" s="6" t="str">
        <f>HYPERLINK("http://catalog.hathitrust.org/Record/005595204","HathiTrust Record")</f>
        <v>HathiTrust Record</v>
      </c>
      <c r="AV2173" s="6" t="str">
        <f>HYPERLINK("http://mcgill.on.worldcat.org/oclc/70230593","Catalog Record")</f>
        <v>Catalog Record</v>
      </c>
      <c r="AW2173" s="6" t="str">
        <f>HYPERLINK("http://www.worldcat.org/oclc/70230593","WorldCat Record")</f>
        <v>WorldCat Record</v>
      </c>
      <c r="AX2173" s="3" t="s">
        <v>21149</v>
      </c>
      <c r="AY2173" s="3" t="s">
        <v>21150</v>
      </c>
      <c r="AZ2173" s="3" t="s">
        <v>21151</v>
      </c>
      <c r="BA2173" s="3" t="s">
        <v>21151</v>
      </c>
      <c r="BB2173" s="3" t="s">
        <v>21152</v>
      </c>
      <c r="BC2173" s="3" t="s">
        <v>142</v>
      </c>
      <c r="BD2173" s="3" t="s">
        <v>68</v>
      </c>
      <c r="BE2173" s="3" t="s">
        <v>21153</v>
      </c>
      <c r="BF2173" s="3" t="s">
        <v>21152</v>
      </c>
      <c r="BG2173" s="3" t="s">
        <v>21154</v>
      </c>
    </row>
    <row r="2174" spans="1:59" ht="57" x14ac:dyDescent="0.45">
      <c r="A2174" s="2" t="s">
        <v>59</v>
      </c>
      <c r="B2174" s="2" t="s">
        <v>60</v>
      </c>
      <c r="C2174" s="2" t="s">
        <v>21155</v>
      </c>
      <c r="D2174" s="2" t="s">
        <v>21156</v>
      </c>
      <c r="E2174" s="2" t="s">
        <v>21157</v>
      </c>
      <c r="G2174" s="3" t="s">
        <v>62</v>
      </c>
      <c r="I2174" s="3" t="s">
        <v>62</v>
      </c>
      <c r="J2174" s="3" t="s">
        <v>62</v>
      </c>
      <c r="K2174" s="3" t="s">
        <v>63</v>
      </c>
      <c r="L2174" s="2" t="s">
        <v>21158</v>
      </c>
      <c r="M2174" s="2" t="s">
        <v>21159</v>
      </c>
      <c r="N2174" s="3" t="s">
        <v>116</v>
      </c>
      <c r="P2174" s="3" t="s">
        <v>65</v>
      </c>
      <c r="R2174" s="3" t="s">
        <v>66</v>
      </c>
      <c r="S2174" s="4">
        <v>3</v>
      </c>
      <c r="T2174" s="4">
        <v>3</v>
      </c>
      <c r="U2174" s="5" t="s">
        <v>10777</v>
      </c>
      <c r="V2174" s="5" t="s">
        <v>10777</v>
      </c>
      <c r="W2174" s="5" t="s">
        <v>67</v>
      </c>
      <c r="X2174" s="5" t="s">
        <v>67</v>
      </c>
      <c r="Y2174" s="4">
        <v>55</v>
      </c>
      <c r="Z2174" s="4">
        <v>10</v>
      </c>
      <c r="AA2174" s="4">
        <v>28</v>
      </c>
      <c r="AB2174" s="4">
        <v>1</v>
      </c>
      <c r="AC2174" s="4">
        <v>6</v>
      </c>
      <c r="AD2174" s="4">
        <v>6</v>
      </c>
      <c r="AE2174" s="4">
        <v>16</v>
      </c>
      <c r="AF2174" s="4">
        <v>0</v>
      </c>
      <c r="AG2174" s="4">
        <v>2</v>
      </c>
      <c r="AH2174" s="4">
        <v>5</v>
      </c>
      <c r="AI2174" s="4">
        <v>8</v>
      </c>
      <c r="AJ2174" s="4">
        <v>2</v>
      </c>
      <c r="AK2174" s="4">
        <v>6</v>
      </c>
      <c r="AL2174" s="4">
        <v>3</v>
      </c>
      <c r="AM2174" s="4">
        <v>3</v>
      </c>
      <c r="AN2174" s="4">
        <v>0</v>
      </c>
      <c r="AO2174" s="4">
        <v>0</v>
      </c>
      <c r="AP2174" s="4">
        <v>1</v>
      </c>
      <c r="AQ2174" s="4">
        <v>10</v>
      </c>
      <c r="AR2174" s="3" t="s">
        <v>61</v>
      </c>
      <c r="AS2174" s="3" t="s">
        <v>62</v>
      </c>
      <c r="AT2174" s="3" t="s">
        <v>62</v>
      </c>
      <c r="AV2174" s="6" t="str">
        <f>HYPERLINK("http://mcgill.on.worldcat.org/oclc/812258671","Catalog Record")</f>
        <v>Catalog Record</v>
      </c>
      <c r="AW2174" s="6" t="str">
        <f>HYPERLINK("http://www.worldcat.org/oclc/812258671","WorldCat Record")</f>
        <v>WorldCat Record</v>
      </c>
      <c r="AX2174" s="3" t="s">
        <v>21160</v>
      </c>
      <c r="AY2174" s="3" t="s">
        <v>21161</v>
      </c>
      <c r="AZ2174" s="3" t="s">
        <v>21162</v>
      </c>
      <c r="BA2174" s="3" t="s">
        <v>21162</v>
      </c>
      <c r="BB2174" s="3" t="s">
        <v>21163</v>
      </c>
      <c r="BC2174" s="3" t="s">
        <v>142</v>
      </c>
      <c r="BD2174" s="3" t="s">
        <v>68</v>
      </c>
      <c r="BE2174" s="3" t="s">
        <v>21164</v>
      </c>
      <c r="BF2174" s="3" t="s">
        <v>21163</v>
      </c>
      <c r="BG2174" s="3" t="s">
        <v>21165</v>
      </c>
    </row>
    <row r="2175" spans="1:59" ht="57" x14ac:dyDescent="0.45">
      <c r="A2175" s="2" t="s">
        <v>59</v>
      </c>
      <c r="B2175" s="2" t="s">
        <v>60</v>
      </c>
      <c r="C2175" s="2" t="s">
        <v>21166</v>
      </c>
      <c r="D2175" s="2" t="s">
        <v>21167</v>
      </c>
      <c r="E2175" s="2" t="s">
        <v>21168</v>
      </c>
      <c r="G2175" s="3" t="s">
        <v>62</v>
      </c>
      <c r="I2175" s="3" t="s">
        <v>62</v>
      </c>
      <c r="J2175" s="3" t="s">
        <v>62</v>
      </c>
      <c r="K2175" s="3" t="s">
        <v>63</v>
      </c>
      <c r="M2175" s="2" t="s">
        <v>2775</v>
      </c>
      <c r="N2175" s="3" t="s">
        <v>894</v>
      </c>
      <c r="P2175" s="3" t="s">
        <v>65</v>
      </c>
      <c r="Q2175" s="2" t="s">
        <v>8317</v>
      </c>
      <c r="R2175" s="3" t="s">
        <v>66</v>
      </c>
      <c r="S2175" s="4">
        <v>2</v>
      </c>
      <c r="T2175" s="4">
        <v>2</v>
      </c>
      <c r="U2175" s="5" t="s">
        <v>12812</v>
      </c>
      <c r="V2175" s="5" t="s">
        <v>12812</v>
      </c>
      <c r="W2175" s="5" t="s">
        <v>67</v>
      </c>
      <c r="X2175" s="5" t="s">
        <v>67</v>
      </c>
      <c r="Y2175" s="4">
        <v>210</v>
      </c>
      <c r="Z2175" s="4">
        <v>19</v>
      </c>
      <c r="AA2175" s="4">
        <v>25</v>
      </c>
      <c r="AB2175" s="4">
        <v>2</v>
      </c>
      <c r="AC2175" s="4">
        <v>4</v>
      </c>
      <c r="AD2175" s="4">
        <v>75</v>
      </c>
      <c r="AE2175" s="4">
        <v>87</v>
      </c>
      <c r="AF2175" s="4">
        <v>1</v>
      </c>
      <c r="AG2175" s="4">
        <v>1</v>
      </c>
      <c r="AH2175" s="4">
        <v>70</v>
      </c>
      <c r="AI2175" s="4">
        <v>79</v>
      </c>
      <c r="AJ2175" s="4">
        <v>14</v>
      </c>
      <c r="AK2175" s="4">
        <v>15</v>
      </c>
      <c r="AL2175" s="4">
        <v>38</v>
      </c>
      <c r="AM2175" s="4">
        <v>43</v>
      </c>
      <c r="AN2175" s="4">
        <v>0</v>
      </c>
      <c r="AO2175" s="4">
        <v>0</v>
      </c>
      <c r="AP2175" s="4">
        <v>15</v>
      </c>
      <c r="AQ2175" s="4">
        <v>18</v>
      </c>
      <c r="AR2175" s="3" t="s">
        <v>62</v>
      </c>
      <c r="AS2175" s="3" t="s">
        <v>62</v>
      </c>
      <c r="AT2175" s="3" t="s">
        <v>62</v>
      </c>
      <c r="AV2175" s="6" t="str">
        <f>HYPERLINK("http://mcgill.on.worldcat.org/oclc/698330364","Catalog Record")</f>
        <v>Catalog Record</v>
      </c>
      <c r="AW2175" s="6" t="str">
        <f>HYPERLINK("http://www.worldcat.org/oclc/698330364","WorldCat Record")</f>
        <v>WorldCat Record</v>
      </c>
      <c r="AX2175" s="3" t="s">
        <v>21169</v>
      </c>
      <c r="AY2175" s="3" t="s">
        <v>21170</v>
      </c>
      <c r="AZ2175" s="3" t="s">
        <v>21171</v>
      </c>
      <c r="BA2175" s="3" t="s">
        <v>21171</v>
      </c>
      <c r="BB2175" s="3" t="s">
        <v>21172</v>
      </c>
      <c r="BC2175" s="3" t="s">
        <v>142</v>
      </c>
      <c r="BD2175" s="3" t="s">
        <v>68</v>
      </c>
      <c r="BE2175" s="3" t="s">
        <v>21173</v>
      </c>
      <c r="BF2175" s="3" t="s">
        <v>21172</v>
      </c>
      <c r="BG2175" s="3" t="s">
        <v>21174</v>
      </c>
    </row>
    <row r="2176" spans="1:59" ht="57" x14ac:dyDescent="0.45">
      <c r="A2176" s="2" t="s">
        <v>59</v>
      </c>
      <c r="B2176" s="2" t="s">
        <v>60</v>
      </c>
      <c r="C2176" s="2" t="s">
        <v>21175</v>
      </c>
      <c r="D2176" s="2" t="s">
        <v>21176</v>
      </c>
      <c r="E2176" s="2" t="s">
        <v>21177</v>
      </c>
      <c r="G2176" s="3" t="s">
        <v>62</v>
      </c>
      <c r="I2176" s="3" t="s">
        <v>62</v>
      </c>
      <c r="J2176" s="3" t="s">
        <v>62</v>
      </c>
      <c r="K2176" s="3" t="s">
        <v>63</v>
      </c>
      <c r="M2176" s="2" t="s">
        <v>21178</v>
      </c>
      <c r="N2176" s="3" t="s">
        <v>1855</v>
      </c>
      <c r="P2176" s="3" t="s">
        <v>65</v>
      </c>
      <c r="R2176" s="3" t="s">
        <v>66</v>
      </c>
      <c r="S2176" s="4">
        <v>17</v>
      </c>
      <c r="T2176" s="4">
        <v>17</v>
      </c>
      <c r="U2176" s="5" t="s">
        <v>4418</v>
      </c>
      <c r="V2176" s="5" t="s">
        <v>4418</v>
      </c>
      <c r="W2176" s="5" t="s">
        <v>67</v>
      </c>
      <c r="X2176" s="5" t="s">
        <v>67</v>
      </c>
      <c r="Y2176" s="4">
        <v>320</v>
      </c>
      <c r="Z2176" s="4">
        <v>18</v>
      </c>
      <c r="AA2176" s="4">
        <v>22</v>
      </c>
      <c r="AB2176" s="4">
        <v>2</v>
      </c>
      <c r="AC2176" s="4">
        <v>5</v>
      </c>
      <c r="AD2176" s="4">
        <v>83</v>
      </c>
      <c r="AE2176" s="4">
        <v>90</v>
      </c>
      <c r="AF2176" s="4">
        <v>1</v>
      </c>
      <c r="AG2176" s="4">
        <v>2</v>
      </c>
      <c r="AH2176" s="4">
        <v>76</v>
      </c>
      <c r="AI2176" s="4">
        <v>82</v>
      </c>
      <c r="AJ2176" s="4">
        <v>12</v>
      </c>
      <c r="AK2176" s="4">
        <v>14</v>
      </c>
      <c r="AL2176" s="4">
        <v>47</v>
      </c>
      <c r="AM2176" s="4">
        <v>47</v>
      </c>
      <c r="AN2176" s="4">
        <v>0</v>
      </c>
      <c r="AO2176" s="4">
        <v>0</v>
      </c>
      <c r="AP2176" s="4">
        <v>14</v>
      </c>
      <c r="AQ2176" s="4">
        <v>16</v>
      </c>
      <c r="AR2176" s="3" t="s">
        <v>62</v>
      </c>
      <c r="AS2176" s="3" t="s">
        <v>62</v>
      </c>
      <c r="AT2176" s="3" t="s">
        <v>62</v>
      </c>
      <c r="AV2176" s="6" t="str">
        <f>HYPERLINK("http://mcgill.on.worldcat.org/oclc/56085628","Catalog Record")</f>
        <v>Catalog Record</v>
      </c>
      <c r="AW2176" s="6" t="str">
        <f>HYPERLINK("http://www.worldcat.org/oclc/56085628","WorldCat Record")</f>
        <v>WorldCat Record</v>
      </c>
      <c r="AX2176" s="3" t="s">
        <v>21179</v>
      </c>
      <c r="AY2176" s="3" t="s">
        <v>21180</v>
      </c>
      <c r="AZ2176" s="3" t="s">
        <v>21181</v>
      </c>
      <c r="BA2176" s="3" t="s">
        <v>21181</v>
      </c>
      <c r="BB2176" s="3" t="s">
        <v>21182</v>
      </c>
      <c r="BC2176" s="3" t="s">
        <v>142</v>
      </c>
      <c r="BD2176" s="3" t="s">
        <v>68</v>
      </c>
      <c r="BE2176" s="3" t="s">
        <v>21183</v>
      </c>
      <c r="BF2176" s="3" t="s">
        <v>21182</v>
      </c>
      <c r="BG2176" s="3" t="s">
        <v>21184</v>
      </c>
    </row>
    <row r="2177" spans="1:59" ht="57" x14ac:dyDescent="0.45">
      <c r="A2177" s="2" t="s">
        <v>59</v>
      </c>
      <c r="B2177" s="2" t="s">
        <v>60</v>
      </c>
      <c r="C2177" s="2" t="s">
        <v>21185</v>
      </c>
      <c r="D2177" s="2" t="s">
        <v>21186</v>
      </c>
      <c r="E2177" s="2" t="s">
        <v>21187</v>
      </c>
      <c r="G2177" s="3" t="s">
        <v>62</v>
      </c>
      <c r="I2177" s="3" t="s">
        <v>62</v>
      </c>
      <c r="J2177" s="3" t="s">
        <v>62</v>
      </c>
      <c r="K2177" s="3" t="s">
        <v>63</v>
      </c>
      <c r="L2177" s="2" t="s">
        <v>4428</v>
      </c>
      <c r="M2177" s="2" t="s">
        <v>21188</v>
      </c>
      <c r="N2177" s="3" t="s">
        <v>195</v>
      </c>
      <c r="P2177" s="3" t="s">
        <v>65</v>
      </c>
      <c r="R2177" s="3" t="s">
        <v>66</v>
      </c>
      <c r="S2177" s="4">
        <v>33</v>
      </c>
      <c r="T2177" s="4">
        <v>33</v>
      </c>
      <c r="U2177" s="5" t="s">
        <v>730</v>
      </c>
      <c r="V2177" s="5" t="s">
        <v>730</v>
      </c>
      <c r="W2177" s="5" t="s">
        <v>67</v>
      </c>
      <c r="X2177" s="5" t="s">
        <v>67</v>
      </c>
      <c r="Y2177" s="4">
        <v>298</v>
      </c>
      <c r="Z2177" s="4">
        <v>17</v>
      </c>
      <c r="AA2177" s="4">
        <v>26</v>
      </c>
      <c r="AB2177" s="4">
        <v>2</v>
      </c>
      <c r="AC2177" s="4">
        <v>7</v>
      </c>
      <c r="AD2177" s="4">
        <v>99</v>
      </c>
      <c r="AE2177" s="4">
        <v>114</v>
      </c>
      <c r="AF2177" s="4">
        <v>1</v>
      </c>
      <c r="AG2177" s="4">
        <v>3</v>
      </c>
      <c r="AH2177" s="4">
        <v>89</v>
      </c>
      <c r="AI2177" s="4">
        <v>101</v>
      </c>
      <c r="AJ2177" s="4">
        <v>12</v>
      </c>
      <c r="AK2177" s="4">
        <v>16</v>
      </c>
      <c r="AL2177" s="4">
        <v>46</v>
      </c>
      <c r="AM2177" s="4">
        <v>53</v>
      </c>
      <c r="AN2177" s="4">
        <v>0</v>
      </c>
      <c r="AO2177" s="4">
        <v>0</v>
      </c>
      <c r="AP2177" s="4">
        <v>14</v>
      </c>
      <c r="AQ2177" s="4">
        <v>19</v>
      </c>
      <c r="AR2177" s="3" t="s">
        <v>62</v>
      </c>
      <c r="AS2177" s="3" t="s">
        <v>62</v>
      </c>
      <c r="AT2177" s="3" t="s">
        <v>62</v>
      </c>
      <c r="AV2177" s="6" t="str">
        <f>HYPERLINK("http://mcgill.on.worldcat.org/oclc/28065591","Catalog Record")</f>
        <v>Catalog Record</v>
      </c>
      <c r="AW2177" s="6" t="str">
        <f>HYPERLINK("http://www.worldcat.org/oclc/28065591","WorldCat Record")</f>
        <v>WorldCat Record</v>
      </c>
      <c r="AX2177" s="3" t="s">
        <v>21189</v>
      </c>
      <c r="AY2177" s="3" t="s">
        <v>21190</v>
      </c>
      <c r="AZ2177" s="3" t="s">
        <v>21191</v>
      </c>
      <c r="BA2177" s="3" t="s">
        <v>21191</v>
      </c>
      <c r="BB2177" s="3" t="s">
        <v>21192</v>
      </c>
      <c r="BC2177" s="3" t="s">
        <v>142</v>
      </c>
      <c r="BD2177" s="3" t="s">
        <v>68</v>
      </c>
      <c r="BE2177" s="3" t="s">
        <v>21193</v>
      </c>
      <c r="BF2177" s="3" t="s">
        <v>21192</v>
      </c>
      <c r="BG2177" s="3" t="s">
        <v>21194</v>
      </c>
    </row>
    <row r="2178" spans="1:59" ht="57" x14ac:dyDescent="0.45">
      <c r="A2178" s="2" t="s">
        <v>59</v>
      </c>
      <c r="B2178" s="2" t="s">
        <v>60</v>
      </c>
      <c r="C2178" s="2" t="s">
        <v>21195</v>
      </c>
      <c r="D2178" s="2" t="s">
        <v>21196</v>
      </c>
      <c r="E2178" s="2" t="s">
        <v>21197</v>
      </c>
      <c r="G2178" s="3" t="s">
        <v>62</v>
      </c>
      <c r="I2178" s="3" t="s">
        <v>62</v>
      </c>
      <c r="J2178" s="3" t="s">
        <v>62</v>
      </c>
      <c r="K2178" s="3" t="s">
        <v>63</v>
      </c>
      <c r="M2178" s="2" t="s">
        <v>21198</v>
      </c>
      <c r="N2178" s="3" t="s">
        <v>1465</v>
      </c>
      <c r="P2178" s="3" t="s">
        <v>65</v>
      </c>
      <c r="Q2178" s="2" t="s">
        <v>21199</v>
      </c>
      <c r="R2178" s="3" t="s">
        <v>66</v>
      </c>
      <c r="S2178" s="4">
        <v>5</v>
      </c>
      <c r="T2178" s="4">
        <v>5</v>
      </c>
      <c r="U2178" s="5" t="s">
        <v>10693</v>
      </c>
      <c r="V2178" s="5" t="s">
        <v>10693</v>
      </c>
      <c r="W2178" s="5" t="s">
        <v>67</v>
      </c>
      <c r="X2178" s="5" t="s">
        <v>67</v>
      </c>
      <c r="Y2178" s="4">
        <v>187</v>
      </c>
      <c r="Z2178" s="4">
        <v>14</v>
      </c>
      <c r="AA2178" s="4">
        <v>96</v>
      </c>
      <c r="AB2178" s="4">
        <v>2</v>
      </c>
      <c r="AC2178" s="4">
        <v>18</v>
      </c>
      <c r="AD2178" s="4">
        <v>66</v>
      </c>
      <c r="AE2178" s="4">
        <v>139</v>
      </c>
      <c r="AF2178" s="4">
        <v>0</v>
      </c>
      <c r="AG2178" s="4">
        <v>8</v>
      </c>
      <c r="AH2178" s="4">
        <v>62</v>
      </c>
      <c r="AI2178" s="4">
        <v>96</v>
      </c>
      <c r="AJ2178" s="4">
        <v>9</v>
      </c>
      <c r="AK2178" s="4">
        <v>26</v>
      </c>
      <c r="AL2178" s="4">
        <v>38</v>
      </c>
      <c r="AM2178" s="4">
        <v>51</v>
      </c>
      <c r="AN2178" s="4">
        <v>0</v>
      </c>
      <c r="AO2178" s="4">
        <v>0</v>
      </c>
      <c r="AP2178" s="4">
        <v>9</v>
      </c>
      <c r="AQ2178" s="4">
        <v>52</v>
      </c>
      <c r="AR2178" s="3" t="s">
        <v>62</v>
      </c>
      <c r="AS2178" s="3" t="s">
        <v>62</v>
      </c>
      <c r="AT2178" s="3" t="s">
        <v>62</v>
      </c>
      <c r="AV2178" s="6" t="str">
        <f>HYPERLINK("http://mcgill.on.worldcat.org/oclc/299718427","Catalog Record")</f>
        <v>Catalog Record</v>
      </c>
      <c r="AW2178" s="6" t="str">
        <f>HYPERLINK("http://www.worldcat.org/oclc/299718427","WorldCat Record")</f>
        <v>WorldCat Record</v>
      </c>
      <c r="AX2178" s="3" t="s">
        <v>21200</v>
      </c>
      <c r="AY2178" s="3" t="s">
        <v>21201</v>
      </c>
      <c r="AZ2178" s="3" t="s">
        <v>21202</v>
      </c>
      <c r="BA2178" s="3" t="s">
        <v>21202</v>
      </c>
      <c r="BB2178" s="3" t="s">
        <v>21203</v>
      </c>
      <c r="BC2178" s="3" t="s">
        <v>142</v>
      </c>
      <c r="BD2178" s="3" t="s">
        <v>68</v>
      </c>
      <c r="BE2178" s="3" t="s">
        <v>21204</v>
      </c>
      <c r="BF2178" s="3" t="s">
        <v>21203</v>
      </c>
      <c r="BG2178" s="3" t="s">
        <v>21205</v>
      </c>
    </row>
    <row r="2179" spans="1:59" ht="57" x14ac:dyDescent="0.45">
      <c r="A2179" s="2" t="s">
        <v>59</v>
      </c>
      <c r="B2179" s="2" t="s">
        <v>60</v>
      </c>
      <c r="C2179" s="2" t="s">
        <v>21206</v>
      </c>
      <c r="D2179" s="2" t="s">
        <v>21207</v>
      </c>
      <c r="E2179" s="2" t="s">
        <v>21208</v>
      </c>
      <c r="G2179" s="3" t="s">
        <v>62</v>
      </c>
      <c r="I2179" s="3" t="s">
        <v>62</v>
      </c>
      <c r="J2179" s="3" t="s">
        <v>62</v>
      </c>
      <c r="K2179" s="3" t="s">
        <v>63</v>
      </c>
      <c r="M2179" s="2" t="s">
        <v>8008</v>
      </c>
      <c r="N2179" s="3" t="s">
        <v>1097</v>
      </c>
      <c r="P2179" s="3" t="s">
        <v>65</v>
      </c>
      <c r="Q2179" s="2" t="s">
        <v>21209</v>
      </c>
      <c r="R2179" s="3" t="s">
        <v>66</v>
      </c>
      <c r="S2179" s="4">
        <v>9</v>
      </c>
      <c r="T2179" s="4">
        <v>9</v>
      </c>
      <c r="U2179" s="5" t="s">
        <v>10693</v>
      </c>
      <c r="V2179" s="5" t="s">
        <v>10693</v>
      </c>
      <c r="W2179" s="5" t="s">
        <v>67</v>
      </c>
      <c r="X2179" s="5" t="s">
        <v>67</v>
      </c>
      <c r="Y2179" s="4">
        <v>177</v>
      </c>
      <c r="Z2179" s="4">
        <v>11</v>
      </c>
      <c r="AA2179" s="4">
        <v>101</v>
      </c>
      <c r="AB2179" s="4">
        <v>1</v>
      </c>
      <c r="AC2179" s="4">
        <v>17</v>
      </c>
      <c r="AD2179" s="4">
        <v>68</v>
      </c>
      <c r="AE2179" s="4">
        <v>129</v>
      </c>
      <c r="AF2179" s="4">
        <v>0</v>
      </c>
      <c r="AG2179" s="4">
        <v>8</v>
      </c>
      <c r="AH2179" s="4">
        <v>61</v>
      </c>
      <c r="AI2179" s="4">
        <v>90</v>
      </c>
      <c r="AJ2179" s="4">
        <v>8</v>
      </c>
      <c r="AK2179" s="4">
        <v>21</v>
      </c>
      <c r="AL2179" s="4">
        <v>39</v>
      </c>
      <c r="AM2179" s="4">
        <v>49</v>
      </c>
      <c r="AN2179" s="4">
        <v>0</v>
      </c>
      <c r="AO2179" s="4">
        <v>0</v>
      </c>
      <c r="AP2179" s="4">
        <v>10</v>
      </c>
      <c r="AQ2179" s="4">
        <v>44</v>
      </c>
      <c r="AR2179" s="3" t="s">
        <v>62</v>
      </c>
      <c r="AS2179" s="3" t="s">
        <v>62</v>
      </c>
      <c r="AT2179" s="3" t="s">
        <v>62</v>
      </c>
      <c r="AV2179" s="6" t="str">
        <f>HYPERLINK("http://mcgill.on.worldcat.org/oclc/55495198","Catalog Record")</f>
        <v>Catalog Record</v>
      </c>
      <c r="AW2179" s="6" t="str">
        <f>HYPERLINK("http://www.worldcat.org/oclc/55495198","WorldCat Record")</f>
        <v>WorldCat Record</v>
      </c>
      <c r="AX2179" s="3" t="s">
        <v>21210</v>
      </c>
      <c r="AY2179" s="3" t="s">
        <v>21211</v>
      </c>
      <c r="AZ2179" s="3" t="s">
        <v>21212</v>
      </c>
      <c r="BA2179" s="3" t="s">
        <v>21212</v>
      </c>
      <c r="BB2179" s="3" t="s">
        <v>21213</v>
      </c>
      <c r="BC2179" s="3" t="s">
        <v>142</v>
      </c>
      <c r="BD2179" s="3" t="s">
        <v>68</v>
      </c>
      <c r="BE2179" s="3" t="s">
        <v>21214</v>
      </c>
      <c r="BF2179" s="3" t="s">
        <v>21213</v>
      </c>
      <c r="BG2179" s="3" t="s">
        <v>21215</v>
      </c>
    </row>
    <row r="2180" spans="1:59" ht="57" x14ac:dyDescent="0.45">
      <c r="A2180" s="2" t="s">
        <v>59</v>
      </c>
      <c r="B2180" s="2" t="s">
        <v>60</v>
      </c>
      <c r="C2180" s="2" t="s">
        <v>21216</v>
      </c>
      <c r="D2180" s="2" t="s">
        <v>21217</v>
      </c>
      <c r="E2180" s="2" t="s">
        <v>21218</v>
      </c>
      <c r="G2180" s="3" t="s">
        <v>62</v>
      </c>
      <c r="I2180" s="3" t="s">
        <v>62</v>
      </c>
      <c r="J2180" s="3" t="s">
        <v>62</v>
      </c>
      <c r="K2180" s="3" t="s">
        <v>63</v>
      </c>
      <c r="M2180" s="2" t="s">
        <v>21219</v>
      </c>
      <c r="N2180" s="3" t="s">
        <v>116</v>
      </c>
      <c r="P2180" s="3" t="s">
        <v>65</v>
      </c>
      <c r="Q2180" s="2" t="s">
        <v>21220</v>
      </c>
      <c r="R2180" s="3" t="s">
        <v>66</v>
      </c>
      <c r="S2180" s="4">
        <v>1</v>
      </c>
      <c r="T2180" s="4">
        <v>1</v>
      </c>
      <c r="U2180" s="5" t="s">
        <v>21221</v>
      </c>
      <c r="V2180" s="5" t="s">
        <v>21221</v>
      </c>
      <c r="W2180" s="5" t="s">
        <v>67</v>
      </c>
      <c r="X2180" s="5" t="s">
        <v>67</v>
      </c>
      <c r="Y2180" s="4">
        <v>140</v>
      </c>
      <c r="Z2180" s="4">
        <v>14</v>
      </c>
      <c r="AA2180" s="4">
        <v>106</v>
      </c>
      <c r="AB2180" s="4">
        <v>1</v>
      </c>
      <c r="AC2180" s="4">
        <v>15</v>
      </c>
      <c r="AD2180" s="4">
        <v>57</v>
      </c>
      <c r="AE2180" s="4">
        <v>132</v>
      </c>
      <c r="AF2180" s="4">
        <v>0</v>
      </c>
      <c r="AG2180" s="4">
        <v>8</v>
      </c>
      <c r="AH2180" s="4">
        <v>53</v>
      </c>
      <c r="AI2180" s="4">
        <v>95</v>
      </c>
      <c r="AJ2180" s="4">
        <v>10</v>
      </c>
      <c r="AK2180" s="4">
        <v>24</v>
      </c>
      <c r="AL2180" s="4">
        <v>28</v>
      </c>
      <c r="AM2180" s="4">
        <v>47</v>
      </c>
      <c r="AN2180" s="4">
        <v>0</v>
      </c>
      <c r="AO2180" s="4">
        <v>0</v>
      </c>
      <c r="AP2180" s="4">
        <v>11</v>
      </c>
      <c r="AQ2180" s="4">
        <v>45</v>
      </c>
      <c r="AR2180" s="3" t="s">
        <v>62</v>
      </c>
      <c r="AS2180" s="3" t="s">
        <v>62</v>
      </c>
      <c r="AT2180" s="3" t="s">
        <v>62</v>
      </c>
      <c r="AV2180" s="6" t="str">
        <f>HYPERLINK("http://mcgill.on.worldcat.org/oclc/796775699","Catalog Record")</f>
        <v>Catalog Record</v>
      </c>
      <c r="AW2180" s="6" t="str">
        <f>HYPERLINK("http://www.worldcat.org/oclc/796775699","WorldCat Record")</f>
        <v>WorldCat Record</v>
      </c>
      <c r="AX2180" s="3" t="s">
        <v>21222</v>
      </c>
      <c r="AY2180" s="3" t="s">
        <v>21223</v>
      </c>
      <c r="AZ2180" s="3" t="s">
        <v>21224</v>
      </c>
      <c r="BA2180" s="3" t="s">
        <v>21224</v>
      </c>
      <c r="BB2180" s="3" t="s">
        <v>21225</v>
      </c>
      <c r="BC2180" s="3" t="s">
        <v>142</v>
      </c>
      <c r="BD2180" s="3" t="s">
        <v>68</v>
      </c>
      <c r="BE2180" s="3" t="s">
        <v>21226</v>
      </c>
      <c r="BF2180" s="3" t="s">
        <v>21225</v>
      </c>
      <c r="BG2180" s="3" t="s">
        <v>21227</v>
      </c>
    </row>
    <row r="2181" spans="1:59" ht="57" x14ac:dyDescent="0.45">
      <c r="A2181" s="2" t="s">
        <v>59</v>
      </c>
      <c r="B2181" s="2" t="s">
        <v>60</v>
      </c>
      <c r="C2181" s="2" t="s">
        <v>21228</v>
      </c>
      <c r="D2181" s="2" t="s">
        <v>21229</v>
      </c>
      <c r="E2181" s="2" t="s">
        <v>21230</v>
      </c>
      <c r="G2181" s="3" t="s">
        <v>62</v>
      </c>
      <c r="I2181" s="3" t="s">
        <v>62</v>
      </c>
      <c r="J2181" s="3" t="s">
        <v>62</v>
      </c>
      <c r="K2181" s="3" t="s">
        <v>63</v>
      </c>
      <c r="M2181" s="2" t="s">
        <v>21231</v>
      </c>
      <c r="N2181" s="3" t="s">
        <v>1855</v>
      </c>
      <c r="P2181" s="3" t="s">
        <v>65</v>
      </c>
      <c r="R2181" s="3" t="s">
        <v>66</v>
      </c>
      <c r="S2181" s="4">
        <v>10</v>
      </c>
      <c r="T2181" s="4">
        <v>10</v>
      </c>
      <c r="U2181" s="5" t="s">
        <v>4418</v>
      </c>
      <c r="V2181" s="5" t="s">
        <v>4418</v>
      </c>
      <c r="W2181" s="5" t="s">
        <v>67</v>
      </c>
      <c r="X2181" s="5" t="s">
        <v>67</v>
      </c>
      <c r="Y2181" s="4">
        <v>198</v>
      </c>
      <c r="Z2181" s="4">
        <v>14</v>
      </c>
      <c r="AA2181" s="4">
        <v>83</v>
      </c>
      <c r="AB2181" s="4">
        <v>2</v>
      </c>
      <c r="AC2181" s="4">
        <v>21</v>
      </c>
      <c r="AD2181" s="4">
        <v>85</v>
      </c>
      <c r="AE2181" s="4">
        <v>132</v>
      </c>
      <c r="AF2181" s="4">
        <v>1</v>
      </c>
      <c r="AG2181" s="4">
        <v>11</v>
      </c>
      <c r="AH2181" s="4">
        <v>80</v>
      </c>
      <c r="AI2181" s="4">
        <v>98</v>
      </c>
      <c r="AJ2181" s="4">
        <v>12</v>
      </c>
      <c r="AK2181" s="4">
        <v>24</v>
      </c>
      <c r="AL2181" s="4">
        <v>41</v>
      </c>
      <c r="AM2181" s="4">
        <v>49</v>
      </c>
      <c r="AN2181" s="4">
        <v>0</v>
      </c>
      <c r="AO2181" s="4">
        <v>0</v>
      </c>
      <c r="AP2181" s="4">
        <v>12</v>
      </c>
      <c r="AQ2181" s="4">
        <v>44</v>
      </c>
      <c r="AR2181" s="3" t="s">
        <v>62</v>
      </c>
      <c r="AS2181" s="3" t="s">
        <v>62</v>
      </c>
      <c r="AT2181" s="3" t="s">
        <v>61</v>
      </c>
      <c r="AU2181" s="6" t="str">
        <f>HYPERLINK("http://catalog.hathitrust.org/Record/004936898","HathiTrust Record")</f>
        <v>HathiTrust Record</v>
      </c>
      <c r="AV2181" s="6" t="str">
        <f>HYPERLINK("http://mcgill.on.worldcat.org/oclc/55962176","Catalog Record")</f>
        <v>Catalog Record</v>
      </c>
      <c r="AW2181" s="6" t="str">
        <f>HYPERLINK("http://www.worldcat.org/oclc/55962176","WorldCat Record")</f>
        <v>WorldCat Record</v>
      </c>
      <c r="AX2181" s="3" t="s">
        <v>21232</v>
      </c>
      <c r="AY2181" s="3" t="s">
        <v>21233</v>
      </c>
      <c r="AZ2181" s="3" t="s">
        <v>21234</v>
      </c>
      <c r="BA2181" s="3" t="s">
        <v>21234</v>
      </c>
      <c r="BB2181" s="3" t="s">
        <v>21235</v>
      </c>
      <c r="BC2181" s="3" t="s">
        <v>142</v>
      </c>
      <c r="BD2181" s="3" t="s">
        <v>68</v>
      </c>
      <c r="BE2181" s="3" t="s">
        <v>21236</v>
      </c>
      <c r="BF2181" s="3" t="s">
        <v>21235</v>
      </c>
      <c r="BG2181" s="3" t="s">
        <v>21237</v>
      </c>
    </row>
    <row r="2182" spans="1:59" ht="57" x14ac:dyDescent="0.45">
      <c r="A2182" s="2" t="s">
        <v>59</v>
      </c>
      <c r="B2182" s="2" t="s">
        <v>60</v>
      </c>
      <c r="C2182" s="2" t="s">
        <v>21238</v>
      </c>
      <c r="D2182" s="2" t="s">
        <v>21239</v>
      </c>
      <c r="E2182" s="2" t="s">
        <v>21240</v>
      </c>
      <c r="G2182" s="3" t="s">
        <v>62</v>
      </c>
      <c r="I2182" s="3" t="s">
        <v>62</v>
      </c>
      <c r="J2182" s="3" t="s">
        <v>62</v>
      </c>
      <c r="K2182" s="3" t="s">
        <v>63</v>
      </c>
      <c r="L2182" s="2" t="s">
        <v>21241</v>
      </c>
      <c r="M2182" s="2" t="s">
        <v>10318</v>
      </c>
      <c r="N2182" s="3" t="s">
        <v>125</v>
      </c>
      <c r="P2182" s="3" t="s">
        <v>65</v>
      </c>
      <c r="R2182" s="3" t="s">
        <v>66</v>
      </c>
      <c r="S2182" s="4">
        <v>11</v>
      </c>
      <c r="T2182" s="4">
        <v>11</v>
      </c>
      <c r="U2182" s="5" t="s">
        <v>4418</v>
      </c>
      <c r="V2182" s="5" t="s">
        <v>4418</v>
      </c>
      <c r="W2182" s="5" t="s">
        <v>67</v>
      </c>
      <c r="X2182" s="5" t="s">
        <v>67</v>
      </c>
      <c r="Y2182" s="4">
        <v>323</v>
      </c>
      <c r="Z2182" s="4">
        <v>27</v>
      </c>
      <c r="AA2182" s="4">
        <v>32</v>
      </c>
      <c r="AB2182" s="4">
        <v>2</v>
      </c>
      <c r="AC2182" s="4">
        <v>7</v>
      </c>
      <c r="AD2182" s="4">
        <v>104</v>
      </c>
      <c r="AE2182" s="4">
        <v>108</v>
      </c>
      <c r="AF2182" s="4">
        <v>1</v>
      </c>
      <c r="AG2182" s="4">
        <v>4</v>
      </c>
      <c r="AH2182" s="4">
        <v>90</v>
      </c>
      <c r="AI2182" s="4">
        <v>91</v>
      </c>
      <c r="AJ2182" s="4">
        <v>17</v>
      </c>
      <c r="AK2182" s="4">
        <v>19</v>
      </c>
      <c r="AL2182" s="4">
        <v>51</v>
      </c>
      <c r="AM2182" s="4">
        <v>52</v>
      </c>
      <c r="AN2182" s="4">
        <v>0</v>
      </c>
      <c r="AO2182" s="4">
        <v>0</v>
      </c>
      <c r="AP2182" s="4">
        <v>21</v>
      </c>
      <c r="AQ2182" s="4">
        <v>23</v>
      </c>
      <c r="AR2182" s="3" t="s">
        <v>62</v>
      </c>
      <c r="AS2182" s="3" t="s">
        <v>62</v>
      </c>
      <c r="AT2182" s="3" t="s">
        <v>61</v>
      </c>
      <c r="AU2182" s="6" t="str">
        <f>HYPERLINK("http://catalog.hathitrust.org/Record/002213583","HathiTrust Record")</f>
        <v>HathiTrust Record</v>
      </c>
      <c r="AV2182" s="6" t="str">
        <f>HYPERLINK("http://mcgill.on.worldcat.org/oclc/19623868","Catalog Record")</f>
        <v>Catalog Record</v>
      </c>
      <c r="AW2182" s="6" t="str">
        <f>HYPERLINK("http://www.worldcat.org/oclc/19623868","WorldCat Record")</f>
        <v>WorldCat Record</v>
      </c>
      <c r="AX2182" s="3" t="s">
        <v>21242</v>
      </c>
      <c r="AY2182" s="3" t="s">
        <v>21243</v>
      </c>
      <c r="AZ2182" s="3" t="s">
        <v>21244</v>
      </c>
      <c r="BA2182" s="3" t="s">
        <v>21244</v>
      </c>
      <c r="BB2182" s="3" t="s">
        <v>21245</v>
      </c>
      <c r="BC2182" s="3" t="s">
        <v>142</v>
      </c>
      <c r="BD2182" s="3" t="s">
        <v>68</v>
      </c>
      <c r="BE2182" s="3" t="s">
        <v>21246</v>
      </c>
      <c r="BF2182" s="3" t="s">
        <v>21245</v>
      </c>
      <c r="BG2182" s="3" t="s">
        <v>21247</v>
      </c>
    </row>
    <row r="2183" spans="1:59" ht="57" x14ac:dyDescent="0.45">
      <c r="A2183" s="2" t="s">
        <v>59</v>
      </c>
      <c r="B2183" s="2" t="s">
        <v>60</v>
      </c>
      <c r="C2183" s="2" t="s">
        <v>21248</v>
      </c>
      <c r="D2183" s="2" t="s">
        <v>21249</v>
      </c>
      <c r="E2183" s="2" t="s">
        <v>21250</v>
      </c>
      <c r="G2183" s="3" t="s">
        <v>62</v>
      </c>
      <c r="I2183" s="3" t="s">
        <v>62</v>
      </c>
      <c r="J2183" s="3" t="s">
        <v>62</v>
      </c>
      <c r="K2183" s="3" t="s">
        <v>63</v>
      </c>
      <c r="L2183" s="2" t="s">
        <v>21251</v>
      </c>
      <c r="M2183" s="2" t="s">
        <v>21252</v>
      </c>
      <c r="N2183" s="3" t="s">
        <v>1155</v>
      </c>
      <c r="P2183" s="3" t="s">
        <v>65</v>
      </c>
      <c r="Q2183" s="2" t="s">
        <v>21253</v>
      </c>
      <c r="R2183" s="3" t="s">
        <v>66</v>
      </c>
      <c r="S2183" s="4">
        <v>1</v>
      </c>
      <c r="T2183" s="4">
        <v>1</v>
      </c>
      <c r="U2183" s="5" t="s">
        <v>21254</v>
      </c>
      <c r="V2183" s="5" t="s">
        <v>21254</v>
      </c>
      <c r="W2183" s="5" t="s">
        <v>67</v>
      </c>
      <c r="X2183" s="5" t="s">
        <v>67</v>
      </c>
      <c r="Y2183" s="4">
        <v>100</v>
      </c>
      <c r="Z2183" s="4">
        <v>11</v>
      </c>
      <c r="AA2183" s="4">
        <v>12</v>
      </c>
      <c r="AB2183" s="4">
        <v>1</v>
      </c>
      <c r="AC2183" s="4">
        <v>2</v>
      </c>
      <c r="AD2183" s="4">
        <v>52</v>
      </c>
      <c r="AE2183" s="4">
        <v>56</v>
      </c>
      <c r="AF2183" s="4">
        <v>0</v>
      </c>
      <c r="AG2183" s="4">
        <v>0</v>
      </c>
      <c r="AH2183" s="4">
        <v>50</v>
      </c>
      <c r="AI2183" s="4">
        <v>54</v>
      </c>
      <c r="AJ2183" s="4">
        <v>10</v>
      </c>
      <c r="AK2183" s="4">
        <v>10</v>
      </c>
      <c r="AL2183" s="4">
        <v>28</v>
      </c>
      <c r="AM2183" s="4">
        <v>29</v>
      </c>
      <c r="AN2183" s="4">
        <v>0</v>
      </c>
      <c r="AO2183" s="4">
        <v>0</v>
      </c>
      <c r="AP2183" s="4">
        <v>10</v>
      </c>
      <c r="AQ2183" s="4">
        <v>10</v>
      </c>
      <c r="AR2183" s="3" t="s">
        <v>62</v>
      </c>
      <c r="AS2183" s="3" t="s">
        <v>62</v>
      </c>
      <c r="AT2183" s="3" t="s">
        <v>62</v>
      </c>
      <c r="AV2183" s="6" t="str">
        <f>HYPERLINK("http://mcgill.on.worldcat.org/oclc/789661231","Catalog Record")</f>
        <v>Catalog Record</v>
      </c>
      <c r="AW2183" s="6" t="str">
        <f>HYPERLINK("http://www.worldcat.org/oclc/789661231","WorldCat Record")</f>
        <v>WorldCat Record</v>
      </c>
      <c r="AX2183" s="3" t="s">
        <v>21255</v>
      </c>
      <c r="AY2183" s="3" t="s">
        <v>21256</v>
      </c>
      <c r="AZ2183" s="3" t="s">
        <v>21257</v>
      </c>
      <c r="BA2183" s="3" t="s">
        <v>21257</v>
      </c>
      <c r="BB2183" s="3" t="s">
        <v>21258</v>
      </c>
      <c r="BC2183" s="3" t="s">
        <v>142</v>
      </c>
      <c r="BD2183" s="3" t="s">
        <v>68</v>
      </c>
      <c r="BE2183" s="3" t="s">
        <v>21259</v>
      </c>
      <c r="BF2183" s="3" t="s">
        <v>21258</v>
      </c>
      <c r="BG2183" s="3" t="s">
        <v>21260</v>
      </c>
    </row>
    <row r="2184" spans="1:59" ht="57" x14ac:dyDescent="0.45">
      <c r="A2184" s="2" t="s">
        <v>59</v>
      </c>
      <c r="B2184" s="2" t="s">
        <v>60</v>
      </c>
      <c r="C2184" s="2" t="s">
        <v>21261</v>
      </c>
      <c r="D2184" s="2" t="s">
        <v>21262</v>
      </c>
      <c r="E2184" s="2" t="s">
        <v>21263</v>
      </c>
      <c r="G2184" s="3" t="s">
        <v>62</v>
      </c>
      <c r="I2184" s="3" t="s">
        <v>61</v>
      </c>
      <c r="J2184" s="3" t="s">
        <v>62</v>
      </c>
      <c r="K2184" s="3" t="s">
        <v>63</v>
      </c>
      <c r="L2184" s="2" t="s">
        <v>21264</v>
      </c>
      <c r="M2184" s="2" t="s">
        <v>3654</v>
      </c>
      <c r="N2184" s="3" t="s">
        <v>157</v>
      </c>
      <c r="P2184" s="3" t="s">
        <v>65</v>
      </c>
      <c r="Q2184" s="2" t="s">
        <v>21265</v>
      </c>
      <c r="R2184" s="3" t="s">
        <v>66</v>
      </c>
      <c r="S2184" s="4">
        <v>66</v>
      </c>
      <c r="T2184" s="4">
        <v>88</v>
      </c>
      <c r="U2184" s="5" t="s">
        <v>613</v>
      </c>
      <c r="V2184" s="5" t="s">
        <v>613</v>
      </c>
      <c r="W2184" s="5" t="s">
        <v>67</v>
      </c>
      <c r="X2184" s="5" t="s">
        <v>67</v>
      </c>
      <c r="Y2184" s="4">
        <v>747</v>
      </c>
      <c r="Z2184" s="4">
        <v>39</v>
      </c>
      <c r="AA2184" s="4">
        <v>43</v>
      </c>
      <c r="AB2184" s="4">
        <v>3</v>
      </c>
      <c r="AC2184" s="4">
        <v>6</v>
      </c>
      <c r="AD2184" s="4">
        <v>133</v>
      </c>
      <c r="AE2184" s="4">
        <v>135</v>
      </c>
      <c r="AF2184" s="4">
        <v>1</v>
      </c>
      <c r="AG2184" s="4">
        <v>3</v>
      </c>
      <c r="AH2184" s="4">
        <v>111</v>
      </c>
      <c r="AI2184" s="4">
        <v>111</v>
      </c>
      <c r="AJ2184" s="4">
        <v>20</v>
      </c>
      <c r="AK2184" s="4">
        <v>22</v>
      </c>
      <c r="AL2184" s="4">
        <v>60</v>
      </c>
      <c r="AM2184" s="4">
        <v>60</v>
      </c>
      <c r="AN2184" s="4">
        <v>0</v>
      </c>
      <c r="AO2184" s="4">
        <v>0</v>
      </c>
      <c r="AP2184" s="4">
        <v>30</v>
      </c>
      <c r="AQ2184" s="4">
        <v>31</v>
      </c>
      <c r="AR2184" s="3" t="s">
        <v>62</v>
      </c>
      <c r="AS2184" s="3" t="s">
        <v>62</v>
      </c>
      <c r="AT2184" s="3" t="s">
        <v>62</v>
      </c>
      <c r="AV2184" s="6" t="str">
        <f>HYPERLINK("http://mcgill.on.worldcat.org/oclc/8034257","Catalog Record")</f>
        <v>Catalog Record</v>
      </c>
      <c r="AW2184" s="6" t="str">
        <f>HYPERLINK("http://www.worldcat.org/oclc/8034257","WorldCat Record")</f>
        <v>WorldCat Record</v>
      </c>
      <c r="AX2184" s="3" t="s">
        <v>21266</v>
      </c>
      <c r="AY2184" s="3" t="s">
        <v>21267</v>
      </c>
      <c r="AZ2184" s="3" t="s">
        <v>21268</v>
      </c>
      <c r="BA2184" s="3" t="s">
        <v>21268</v>
      </c>
      <c r="BB2184" s="3" t="s">
        <v>21269</v>
      </c>
      <c r="BC2184" s="3" t="s">
        <v>142</v>
      </c>
      <c r="BD2184" s="3" t="s">
        <v>68</v>
      </c>
      <c r="BE2184" s="3" t="s">
        <v>21270</v>
      </c>
      <c r="BF2184" s="3" t="s">
        <v>21269</v>
      </c>
      <c r="BG2184" s="3" t="s">
        <v>21271</v>
      </c>
    </row>
    <row r="2185" spans="1:59" ht="57" x14ac:dyDescent="0.45">
      <c r="A2185" s="2" t="s">
        <v>59</v>
      </c>
      <c r="B2185" s="2" t="s">
        <v>60</v>
      </c>
      <c r="C2185" s="2" t="s">
        <v>21261</v>
      </c>
      <c r="D2185" s="2" t="s">
        <v>21262</v>
      </c>
      <c r="E2185" s="2" t="s">
        <v>21263</v>
      </c>
      <c r="G2185" s="3" t="s">
        <v>62</v>
      </c>
      <c r="I2185" s="3" t="s">
        <v>61</v>
      </c>
      <c r="J2185" s="3" t="s">
        <v>62</v>
      </c>
      <c r="K2185" s="3" t="s">
        <v>63</v>
      </c>
      <c r="L2185" s="2" t="s">
        <v>21264</v>
      </c>
      <c r="M2185" s="2" t="s">
        <v>3654</v>
      </c>
      <c r="N2185" s="3" t="s">
        <v>157</v>
      </c>
      <c r="P2185" s="3" t="s">
        <v>65</v>
      </c>
      <c r="Q2185" s="2" t="s">
        <v>21265</v>
      </c>
      <c r="R2185" s="3" t="s">
        <v>66</v>
      </c>
      <c r="S2185" s="4">
        <v>5</v>
      </c>
      <c r="T2185" s="4">
        <v>88</v>
      </c>
      <c r="U2185" s="5" t="s">
        <v>128</v>
      </c>
      <c r="V2185" s="5" t="s">
        <v>613</v>
      </c>
      <c r="W2185" s="5" t="s">
        <v>67</v>
      </c>
      <c r="X2185" s="5" t="s">
        <v>67</v>
      </c>
      <c r="Y2185" s="4">
        <v>747</v>
      </c>
      <c r="Z2185" s="4">
        <v>39</v>
      </c>
      <c r="AA2185" s="4">
        <v>43</v>
      </c>
      <c r="AB2185" s="4">
        <v>3</v>
      </c>
      <c r="AC2185" s="4">
        <v>6</v>
      </c>
      <c r="AD2185" s="4">
        <v>133</v>
      </c>
      <c r="AE2185" s="4">
        <v>135</v>
      </c>
      <c r="AF2185" s="4">
        <v>1</v>
      </c>
      <c r="AG2185" s="4">
        <v>3</v>
      </c>
      <c r="AH2185" s="4">
        <v>111</v>
      </c>
      <c r="AI2185" s="4">
        <v>111</v>
      </c>
      <c r="AJ2185" s="4">
        <v>20</v>
      </c>
      <c r="AK2185" s="4">
        <v>22</v>
      </c>
      <c r="AL2185" s="4">
        <v>60</v>
      </c>
      <c r="AM2185" s="4">
        <v>60</v>
      </c>
      <c r="AN2185" s="4">
        <v>0</v>
      </c>
      <c r="AO2185" s="4">
        <v>0</v>
      </c>
      <c r="AP2185" s="4">
        <v>30</v>
      </c>
      <c r="AQ2185" s="4">
        <v>31</v>
      </c>
      <c r="AR2185" s="3" t="s">
        <v>62</v>
      </c>
      <c r="AS2185" s="3" t="s">
        <v>62</v>
      </c>
      <c r="AT2185" s="3" t="s">
        <v>62</v>
      </c>
      <c r="AV2185" s="6" t="str">
        <f>HYPERLINK("http://mcgill.on.worldcat.org/oclc/8034257","Catalog Record")</f>
        <v>Catalog Record</v>
      </c>
      <c r="AW2185" s="6" t="str">
        <f>HYPERLINK("http://www.worldcat.org/oclc/8034257","WorldCat Record")</f>
        <v>WorldCat Record</v>
      </c>
      <c r="AX2185" s="3" t="s">
        <v>21266</v>
      </c>
      <c r="AY2185" s="3" t="s">
        <v>21267</v>
      </c>
      <c r="AZ2185" s="3" t="s">
        <v>21268</v>
      </c>
      <c r="BA2185" s="3" t="s">
        <v>21268</v>
      </c>
      <c r="BB2185" s="3" t="s">
        <v>21272</v>
      </c>
      <c r="BC2185" s="3" t="s">
        <v>142</v>
      </c>
      <c r="BD2185" s="3" t="s">
        <v>308</v>
      </c>
      <c r="BE2185" s="3" t="s">
        <v>21270</v>
      </c>
      <c r="BF2185" s="3" t="s">
        <v>21272</v>
      </c>
      <c r="BG2185" s="3" t="s">
        <v>21273</v>
      </c>
    </row>
    <row r="2186" spans="1:59" ht="57" x14ac:dyDescent="0.45">
      <c r="A2186" s="2" t="s">
        <v>59</v>
      </c>
      <c r="B2186" s="2" t="s">
        <v>60</v>
      </c>
      <c r="C2186" s="2" t="s">
        <v>21261</v>
      </c>
      <c r="D2186" s="2" t="s">
        <v>21262</v>
      </c>
      <c r="E2186" s="2" t="s">
        <v>21263</v>
      </c>
      <c r="G2186" s="3" t="s">
        <v>62</v>
      </c>
      <c r="I2186" s="3" t="s">
        <v>61</v>
      </c>
      <c r="J2186" s="3" t="s">
        <v>62</v>
      </c>
      <c r="K2186" s="3" t="s">
        <v>63</v>
      </c>
      <c r="L2186" s="2" t="s">
        <v>21264</v>
      </c>
      <c r="M2186" s="2" t="s">
        <v>3654</v>
      </c>
      <c r="N2186" s="3" t="s">
        <v>157</v>
      </c>
      <c r="P2186" s="3" t="s">
        <v>65</v>
      </c>
      <c r="Q2186" s="2" t="s">
        <v>21265</v>
      </c>
      <c r="R2186" s="3" t="s">
        <v>66</v>
      </c>
      <c r="S2186" s="4">
        <v>17</v>
      </c>
      <c r="T2186" s="4">
        <v>88</v>
      </c>
      <c r="U2186" s="5" t="s">
        <v>12410</v>
      </c>
      <c r="V2186" s="5" t="s">
        <v>613</v>
      </c>
      <c r="W2186" s="5" t="s">
        <v>67</v>
      </c>
      <c r="X2186" s="5" t="s">
        <v>67</v>
      </c>
      <c r="Y2186" s="4">
        <v>747</v>
      </c>
      <c r="Z2186" s="4">
        <v>39</v>
      </c>
      <c r="AA2186" s="4">
        <v>43</v>
      </c>
      <c r="AB2186" s="4">
        <v>3</v>
      </c>
      <c r="AC2186" s="4">
        <v>6</v>
      </c>
      <c r="AD2186" s="4">
        <v>133</v>
      </c>
      <c r="AE2186" s="4">
        <v>135</v>
      </c>
      <c r="AF2186" s="4">
        <v>1</v>
      </c>
      <c r="AG2186" s="4">
        <v>3</v>
      </c>
      <c r="AH2186" s="4">
        <v>111</v>
      </c>
      <c r="AI2186" s="4">
        <v>111</v>
      </c>
      <c r="AJ2186" s="4">
        <v>20</v>
      </c>
      <c r="AK2186" s="4">
        <v>22</v>
      </c>
      <c r="AL2186" s="4">
        <v>60</v>
      </c>
      <c r="AM2186" s="4">
        <v>60</v>
      </c>
      <c r="AN2186" s="4">
        <v>0</v>
      </c>
      <c r="AO2186" s="4">
        <v>0</v>
      </c>
      <c r="AP2186" s="4">
        <v>30</v>
      </c>
      <c r="AQ2186" s="4">
        <v>31</v>
      </c>
      <c r="AR2186" s="3" t="s">
        <v>62</v>
      </c>
      <c r="AS2186" s="3" t="s">
        <v>62</v>
      </c>
      <c r="AT2186" s="3" t="s">
        <v>62</v>
      </c>
      <c r="AV2186" s="6" t="str">
        <f>HYPERLINK("http://mcgill.on.worldcat.org/oclc/8034257","Catalog Record")</f>
        <v>Catalog Record</v>
      </c>
      <c r="AW2186" s="6" t="str">
        <f>HYPERLINK("http://www.worldcat.org/oclc/8034257","WorldCat Record")</f>
        <v>WorldCat Record</v>
      </c>
      <c r="AX2186" s="3" t="s">
        <v>21266</v>
      </c>
      <c r="AY2186" s="3" t="s">
        <v>21267</v>
      </c>
      <c r="AZ2186" s="3" t="s">
        <v>21268</v>
      </c>
      <c r="BA2186" s="3" t="s">
        <v>21268</v>
      </c>
      <c r="BB2186" s="3" t="s">
        <v>21274</v>
      </c>
      <c r="BC2186" s="3" t="s">
        <v>142</v>
      </c>
      <c r="BD2186" s="3" t="s">
        <v>68</v>
      </c>
      <c r="BE2186" s="3" t="s">
        <v>21270</v>
      </c>
      <c r="BF2186" s="3" t="s">
        <v>21274</v>
      </c>
      <c r="BG2186" s="3" t="s">
        <v>21275</v>
      </c>
    </row>
    <row r="2187" spans="1:59" ht="57" x14ac:dyDescent="0.45">
      <c r="A2187" s="2" t="s">
        <v>59</v>
      </c>
      <c r="B2187" s="2" t="s">
        <v>60</v>
      </c>
      <c r="C2187" s="2" t="s">
        <v>21276</v>
      </c>
      <c r="D2187" s="2" t="s">
        <v>21277</v>
      </c>
      <c r="E2187" s="2" t="s">
        <v>21278</v>
      </c>
      <c r="G2187" s="3" t="s">
        <v>62</v>
      </c>
      <c r="I2187" s="3" t="s">
        <v>62</v>
      </c>
      <c r="J2187" s="3" t="s">
        <v>61</v>
      </c>
      <c r="K2187" s="3" t="s">
        <v>63</v>
      </c>
      <c r="L2187" s="2" t="s">
        <v>21279</v>
      </c>
      <c r="M2187" s="2" t="s">
        <v>21280</v>
      </c>
      <c r="N2187" s="3" t="s">
        <v>945</v>
      </c>
      <c r="O2187" s="2" t="s">
        <v>933</v>
      </c>
      <c r="P2187" s="3" t="s">
        <v>65</v>
      </c>
      <c r="Q2187" s="2" t="s">
        <v>21281</v>
      </c>
      <c r="R2187" s="3" t="s">
        <v>66</v>
      </c>
      <c r="S2187" s="4">
        <v>21</v>
      </c>
      <c r="T2187" s="4">
        <v>21</v>
      </c>
      <c r="U2187" s="5" t="s">
        <v>128</v>
      </c>
      <c r="V2187" s="5" t="s">
        <v>128</v>
      </c>
      <c r="W2187" s="5" t="s">
        <v>67</v>
      </c>
      <c r="X2187" s="5" t="s">
        <v>67</v>
      </c>
      <c r="Y2187" s="4">
        <v>111</v>
      </c>
      <c r="Z2187" s="4">
        <v>4</v>
      </c>
      <c r="AA2187" s="4">
        <v>65</v>
      </c>
      <c r="AB2187" s="4">
        <v>1</v>
      </c>
      <c r="AC2187" s="4">
        <v>12</v>
      </c>
      <c r="AD2187" s="4">
        <v>30</v>
      </c>
      <c r="AE2187" s="4">
        <v>119</v>
      </c>
      <c r="AF2187" s="4">
        <v>0</v>
      </c>
      <c r="AG2187" s="4">
        <v>6</v>
      </c>
      <c r="AH2187" s="4">
        <v>29</v>
      </c>
      <c r="AI2187" s="4">
        <v>95</v>
      </c>
      <c r="AJ2187" s="4">
        <v>3</v>
      </c>
      <c r="AK2187" s="4">
        <v>23</v>
      </c>
      <c r="AL2187" s="4">
        <v>17</v>
      </c>
      <c r="AM2187" s="4">
        <v>49</v>
      </c>
      <c r="AN2187" s="4">
        <v>0</v>
      </c>
      <c r="AO2187" s="4">
        <v>1</v>
      </c>
      <c r="AP2187" s="4">
        <v>3</v>
      </c>
      <c r="AQ2187" s="4">
        <v>34</v>
      </c>
      <c r="AR2187" s="3" t="s">
        <v>62</v>
      </c>
      <c r="AS2187" s="3" t="s">
        <v>62</v>
      </c>
      <c r="AT2187" s="3" t="s">
        <v>62</v>
      </c>
      <c r="AV2187" s="6" t="str">
        <f>HYPERLINK("http://mcgill.on.worldcat.org/oclc/78989421","Catalog Record")</f>
        <v>Catalog Record</v>
      </c>
      <c r="AW2187" s="6" t="str">
        <f>HYPERLINK("http://www.worldcat.org/oclc/78989421","WorldCat Record")</f>
        <v>WorldCat Record</v>
      </c>
      <c r="AX2187" s="3" t="s">
        <v>21282</v>
      </c>
      <c r="AY2187" s="3" t="s">
        <v>21283</v>
      </c>
      <c r="AZ2187" s="3" t="s">
        <v>21284</v>
      </c>
      <c r="BA2187" s="3" t="s">
        <v>21284</v>
      </c>
      <c r="BB2187" s="3" t="s">
        <v>21285</v>
      </c>
      <c r="BC2187" s="3" t="s">
        <v>142</v>
      </c>
      <c r="BD2187" s="3" t="s">
        <v>308</v>
      </c>
      <c r="BE2187" s="3" t="s">
        <v>21286</v>
      </c>
      <c r="BF2187" s="3" t="s">
        <v>21285</v>
      </c>
      <c r="BG2187" s="3" t="s">
        <v>21287</v>
      </c>
    </row>
    <row r="2188" spans="1:59" ht="57" x14ac:dyDescent="0.45">
      <c r="A2188" s="2" t="s">
        <v>59</v>
      </c>
      <c r="B2188" s="2" t="s">
        <v>60</v>
      </c>
      <c r="C2188" s="2" t="s">
        <v>21288</v>
      </c>
      <c r="D2188" s="2" t="s">
        <v>21289</v>
      </c>
      <c r="E2188" s="2" t="s">
        <v>21290</v>
      </c>
      <c r="G2188" s="3" t="s">
        <v>62</v>
      </c>
      <c r="I2188" s="3" t="s">
        <v>62</v>
      </c>
      <c r="J2188" s="3" t="s">
        <v>62</v>
      </c>
      <c r="K2188" s="3" t="s">
        <v>63</v>
      </c>
      <c r="M2188" s="2" t="s">
        <v>3087</v>
      </c>
      <c r="N2188" s="3" t="s">
        <v>542</v>
      </c>
      <c r="P2188" s="3" t="s">
        <v>65</v>
      </c>
      <c r="R2188" s="3" t="s">
        <v>66</v>
      </c>
      <c r="S2188" s="4">
        <v>4</v>
      </c>
      <c r="T2188" s="4">
        <v>4</v>
      </c>
      <c r="U2188" s="5" t="s">
        <v>10693</v>
      </c>
      <c r="V2188" s="5" t="s">
        <v>10693</v>
      </c>
      <c r="W2188" s="5" t="s">
        <v>67</v>
      </c>
      <c r="X2188" s="5" t="s">
        <v>67</v>
      </c>
      <c r="Y2188" s="4">
        <v>232</v>
      </c>
      <c r="Z2188" s="4">
        <v>9</v>
      </c>
      <c r="AA2188" s="4">
        <v>12</v>
      </c>
      <c r="AB2188" s="4">
        <v>2</v>
      </c>
      <c r="AC2188" s="4">
        <v>4</v>
      </c>
      <c r="AD2188" s="4">
        <v>61</v>
      </c>
      <c r="AE2188" s="4">
        <v>62</v>
      </c>
      <c r="AF2188" s="4">
        <v>1</v>
      </c>
      <c r="AG2188" s="4">
        <v>1</v>
      </c>
      <c r="AH2188" s="4">
        <v>57</v>
      </c>
      <c r="AI2188" s="4">
        <v>57</v>
      </c>
      <c r="AJ2188" s="4">
        <v>7</v>
      </c>
      <c r="AK2188" s="4">
        <v>7</v>
      </c>
      <c r="AL2188" s="4">
        <v>27</v>
      </c>
      <c r="AM2188" s="4">
        <v>27</v>
      </c>
      <c r="AN2188" s="4">
        <v>0</v>
      </c>
      <c r="AO2188" s="4">
        <v>0</v>
      </c>
      <c r="AP2188" s="4">
        <v>8</v>
      </c>
      <c r="AQ2188" s="4">
        <v>9</v>
      </c>
      <c r="AR2188" s="3" t="s">
        <v>62</v>
      </c>
      <c r="AS2188" s="3" t="s">
        <v>62</v>
      </c>
      <c r="AT2188" s="3" t="s">
        <v>62</v>
      </c>
      <c r="AV2188" s="6" t="str">
        <f>HYPERLINK("http://mcgill.on.worldcat.org/oclc/45845469","Catalog Record")</f>
        <v>Catalog Record</v>
      </c>
      <c r="AW2188" s="6" t="str">
        <f>HYPERLINK("http://www.worldcat.org/oclc/45845469","WorldCat Record")</f>
        <v>WorldCat Record</v>
      </c>
      <c r="AX2188" s="3" t="s">
        <v>21291</v>
      </c>
      <c r="AY2188" s="3" t="s">
        <v>21292</v>
      </c>
      <c r="AZ2188" s="3" t="s">
        <v>21293</v>
      </c>
      <c r="BA2188" s="3" t="s">
        <v>21293</v>
      </c>
      <c r="BB2188" s="3" t="s">
        <v>21294</v>
      </c>
      <c r="BC2188" s="3" t="s">
        <v>142</v>
      </c>
      <c r="BD2188" s="3" t="s">
        <v>68</v>
      </c>
      <c r="BE2188" s="3" t="s">
        <v>21295</v>
      </c>
      <c r="BF2188" s="3" t="s">
        <v>21294</v>
      </c>
      <c r="BG2188" s="3" t="s">
        <v>21296</v>
      </c>
    </row>
    <row r="2189" spans="1:59" ht="57" x14ac:dyDescent="0.45">
      <c r="A2189" s="2" t="s">
        <v>59</v>
      </c>
      <c r="B2189" s="2" t="s">
        <v>60</v>
      </c>
      <c r="C2189" s="2" t="s">
        <v>21297</v>
      </c>
      <c r="D2189" s="2" t="s">
        <v>21298</v>
      </c>
      <c r="E2189" s="2" t="s">
        <v>21299</v>
      </c>
      <c r="G2189" s="3" t="s">
        <v>62</v>
      </c>
      <c r="I2189" s="3" t="s">
        <v>62</v>
      </c>
      <c r="J2189" s="3" t="s">
        <v>62</v>
      </c>
      <c r="K2189" s="3" t="s">
        <v>63</v>
      </c>
      <c r="L2189" s="2" t="s">
        <v>21300</v>
      </c>
      <c r="M2189" s="2" t="s">
        <v>21301</v>
      </c>
      <c r="N2189" s="3" t="s">
        <v>1437</v>
      </c>
      <c r="P2189" s="3" t="s">
        <v>65</v>
      </c>
      <c r="R2189" s="3" t="s">
        <v>66</v>
      </c>
      <c r="S2189" s="4">
        <v>40</v>
      </c>
      <c r="T2189" s="4">
        <v>40</v>
      </c>
      <c r="U2189" s="5" t="s">
        <v>10693</v>
      </c>
      <c r="V2189" s="5" t="s">
        <v>10693</v>
      </c>
      <c r="W2189" s="5" t="s">
        <v>67</v>
      </c>
      <c r="X2189" s="5" t="s">
        <v>67</v>
      </c>
      <c r="Y2189" s="4">
        <v>285</v>
      </c>
      <c r="Z2189" s="4">
        <v>22</v>
      </c>
      <c r="AA2189" s="4">
        <v>23</v>
      </c>
      <c r="AB2189" s="4">
        <v>2</v>
      </c>
      <c r="AC2189" s="4">
        <v>3</v>
      </c>
      <c r="AD2189" s="4">
        <v>90</v>
      </c>
      <c r="AE2189" s="4">
        <v>91</v>
      </c>
      <c r="AF2189" s="4">
        <v>1</v>
      </c>
      <c r="AG2189" s="4">
        <v>2</v>
      </c>
      <c r="AH2189" s="4">
        <v>80</v>
      </c>
      <c r="AI2189" s="4">
        <v>81</v>
      </c>
      <c r="AJ2189" s="4">
        <v>15</v>
      </c>
      <c r="AK2189" s="4">
        <v>16</v>
      </c>
      <c r="AL2189" s="4">
        <v>41</v>
      </c>
      <c r="AM2189" s="4">
        <v>41</v>
      </c>
      <c r="AN2189" s="4">
        <v>0</v>
      </c>
      <c r="AO2189" s="4">
        <v>0</v>
      </c>
      <c r="AP2189" s="4">
        <v>18</v>
      </c>
      <c r="AQ2189" s="4">
        <v>19</v>
      </c>
      <c r="AR2189" s="3" t="s">
        <v>62</v>
      </c>
      <c r="AS2189" s="3" t="s">
        <v>62</v>
      </c>
      <c r="AT2189" s="3" t="s">
        <v>61</v>
      </c>
      <c r="AU2189" s="6" t="str">
        <f>HYPERLINK("http://catalog.hathitrust.org/Record/003969911","HathiTrust Record")</f>
        <v>HathiTrust Record</v>
      </c>
      <c r="AV2189" s="6" t="str">
        <f>HYPERLINK("http://mcgill.on.worldcat.org/oclc/38433057","Catalog Record")</f>
        <v>Catalog Record</v>
      </c>
      <c r="AW2189" s="6" t="str">
        <f>HYPERLINK("http://www.worldcat.org/oclc/38433057","WorldCat Record")</f>
        <v>WorldCat Record</v>
      </c>
      <c r="AX2189" s="3" t="s">
        <v>21302</v>
      </c>
      <c r="AY2189" s="3" t="s">
        <v>21303</v>
      </c>
      <c r="AZ2189" s="3" t="s">
        <v>21304</v>
      </c>
      <c r="BA2189" s="3" t="s">
        <v>21304</v>
      </c>
      <c r="BB2189" s="3" t="s">
        <v>21305</v>
      </c>
      <c r="BC2189" s="3" t="s">
        <v>142</v>
      </c>
      <c r="BD2189" s="3" t="s">
        <v>68</v>
      </c>
      <c r="BE2189" s="3" t="s">
        <v>21306</v>
      </c>
      <c r="BF2189" s="3" t="s">
        <v>21305</v>
      </c>
      <c r="BG2189" s="3" t="s">
        <v>21307</v>
      </c>
    </row>
    <row r="2190" spans="1:59" ht="57" x14ac:dyDescent="0.45">
      <c r="A2190" s="2" t="s">
        <v>59</v>
      </c>
      <c r="B2190" s="2" t="s">
        <v>60</v>
      </c>
      <c r="C2190" s="2" t="s">
        <v>21308</v>
      </c>
      <c r="D2190" s="2" t="s">
        <v>21309</v>
      </c>
      <c r="E2190" s="2" t="s">
        <v>21310</v>
      </c>
      <c r="G2190" s="3" t="s">
        <v>62</v>
      </c>
      <c r="I2190" s="3" t="s">
        <v>62</v>
      </c>
      <c r="J2190" s="3" t="s">
        <v>62</v>
      </c>
      <c r="K2190" s="3" t="s">
        <v>63</v>
      </c>
      <c r="L2190" s="2" t="s">
        <v>21300</v>
      </c>
      <c r="M2190" s="2" t="s">
        <v>21311</v>
      </c>
      <c r="N2190" s="3" t="s">
        <v>820</v>
      </c>
      <c r="O2190" s="2" t="s">
        <v>933</v>
      </c>
      <c r="P2190" s="3" t="s">
        <v>65</v>
      </c>
      <c r="R2190" s="3" t="s">
        <v>66</v>
      </c>
      <c r="S2190" s="4">
        <v>1</v>
      </c>
      <c r="T2190" s="4">
        <v>1</v>
      </c>
      <c r="U2190" s="5" t="s">
        <v>7566</v>
      </c>
      <c r="V2190" s="5" t="s">
        <v>7566</v>
      </c>
      <c r="W2190" s="5" t="s">
        <v>67</v>
      </c>
      <c r="X2190" s="5" t="s">
        <v>67</v>
      </c>
      <c r="Y2190" s="4">
        <v>239</v>
      </c>
      <c r="Z2190" s="4">
        <v>18</v>
      </c>
      <c r="AA2190" s="4">
        <v>19</v>
      </c>
      <c r="AB2190" s="4">
        <v>2</v>
      </c>
      <c r="AC2190" s="4">
        <v>3</v>
      </c>
      <c r="AD2190" s="4">
        <v>58</v>
      </c>
      <c r="AE2190" s="4">
        <v>59</v>
      </c>
      <c r="AF2190" s="4">
        <v>1</v>
      </c>
      <c r="AG2190" s="4">
        <v>2</v>
      </c>
      <c r="AH2190" s="4">
        <v>50</v>
      </c>
      <c r="AI2190" s="4">
        <v>50</v>
      </c>
      <c r="AJ2190" s="4">
        <v>13</v>
      </c>
      <c r="AK2190" s="4">
        <v>14</v>
      </c>
      <c r="AL2190" s="4">
        <v>27</v>
      </c>
      <c r="AM2190" s="4">
        <v>27</v>
      </c>
      <c r="AN2190" s="4">
        <v>0</v>
      </c>
      <c r="AO2190" s="4">
        <v>0</v>
      </c>
      <c r="AP2190" s="4">
        <v>15</v>
      </c>
      <c r="AQ2190" s="4">
        <v>16</v>
      </c>
      <c r="AR2190" s="3" t="s">
        <v>62</v>
      </c>
      <c r="AS2190" s="3" t="s">
        <v>62</v>
      </c>
      <c r="AT2190" s="3" t="s">
        <v>62</v>
      </c>
      <c r="AV2190" s="6" t="str">
        <f>HYPERLINK("http://mcgill.on.worldcat.org/oclc/191890790","Catalog Record")</f>
        <v>Catalog Record</v>
      </c>
      <c r="AW2190" s="6" t="str">
        <f>HYPERLINK("http://www.worldcat.org/oclc/191890790","WorldCat Record")</f>
        <v>WorldCat Record</v>
      </c>
      <c r="AX2190" s="3" t="s">
        <v>21312</v>
      </c>
      <c r="AY2190" s="3" t="s">
        <v>21313</v>
      </c>
      <c r="AZ2190" s="3" t="s">
        <v>21314</v>
      </c>
      <c r="BA2190" s="3" t="s">
        <v>21314</v>
      </c>
      <c r="BB2190" s="3" t="s">
        <v>21315</v>
      </c>
      <c r="BC2190" s="3" t="s">
        <v>142</v>
      </c>
      <c r="BD2190" s="3" t="s">
        <v>68</v>
      </c>
      <c r="BE2190" s="3" t="s">
        <v>21316</v>
      </c>
      <c r="BF2190" s="3" t="s">
        <v>21315</v>
      </c>
      <c r="BG2190" s="3" t="s">
        <v>21317</v>
      </c>
    </row>
    <row r="2191" spans="1:59" ht="57" x14ac:dyDescent="0.45">
      <c r="A2191" s="2" t="s">
        <v>59</v>
      </c>
      <c r="B2191" s="2" t="s">
        <v>60</v>
      </c>
      <c r="C2191" s="2" t="s">
        <v>21318</v>
      </c>
      <c r="D2191" s="2" t="s">
        <v>21319</v>
      </c>
      <c r="E2191" s="2" t="s">
        <v>21320</v>
      </c>
      <c r="G2191" s="3" t="s">
        <v>62</v>
      </c>
      <c r="I2191" s="3" t="s">
        <v>62</v>
      </c>
      <c r="J2191" s="3" t="s">
        <v>62</v>
      </c>
      <c r="K2191" s="3" t="s">
        <v>63</v>
      </c>
      <c r="L2191" s="2" t="s">
        <v>21321</v>
      </c>
      <c r="M2191" s="2" t="s">
        <v>2489</v>
      </c>
      <c r="N2191" s="3" t="s">
        <v>918</v>
      </c>
      <c r="P2191" s="3" t="s">
        <v>65</v>
      </c>
      <c r="Q2191" s="2" t="s">
        <v>21322</v>
      </c>
      <c r="R2191" s="3" t="s">
        <v>66</v>
      </c>
      <c r="S2191" s="4">
        <v>7</v>
      </c>
      <c r="T2191" s="4">
        <v>7</v>
      </c>
      <c r="U2191" s="5" t="s">
        <v>10693</v>
      </c>
      <c r="V2191" s="5" t="s">
        <v>10693</v>
      </c>
      <c r="W2191" s="5" t="s">
        <v>67</v>
      </c>
      <c r="X2191" s="5" t="s">
        <v>67</v>
      </c>
      <c r="Y2191" s="4">
        <v>117</v>
      </c>
      <c r="Z2191" s="4">
        <v>5</v>
      </c>
      <c r="AA2191" s="4">
        <v>78</v>
      </c>
      <c r="AB2191" s="4">
        <v>2</v>
      </c>
      <c r="AC2191" s="4">
        <v>14</v>
      </c>
      <c r="AD2191" s="4">
        <v>53</v>
      </c>
      <c r="AE2191" s="4">
        <v>116</v>
      </c>
      <c r="AF2191" s="4">
        <v>1</v>
      </c>
      <c r="AG2191" s="4">
        <v>8</v>
      </c>
      <c r="AH2191" s="4">
        <v>52</v>
      </c>
      <c r="AI2191" s="4">
        <v>82</v>
      </c>
      <c r="AJ2191" s="4">
        <v>3</v>
      </c>
      <c r="AK2191" s="4">
        <v>21</v>
      </c>
      <c r="AL2191" s="4">
        <v>34</v>
      </c>
      <c r="AM2191" s="4">
        <v>45</v>
      </c>
      <c r="AN2191" s="4">
        <v>0</v>
      </c>
      <c r="AO2191" s="4">
        <v>0</v>
      </c>
      <c r="AP2191" s="4">
        <v>3</v>
      </c>
      <c r="AQ2191" s="4">
        <v>41</v>
      </c>
      <c r="AR2191" s="3" t="s">
        <v>62</v>
      </c>
      <c r="AS2191" s="3" t="s">
        <v>62</v>
      </c>
      <c r="AT2191" s="3" t="s">
        <v>62</v>
      </c>
      <c r="AV2191" s="6" t="str">
        <f>HYPERLINK("http://mcgill.on.worldcat.org/oclc/50510749","Catalog Record")</f>
        <v>Catalog Record</v>
      </c>
      <c r="AW2191" s="6" t="str">
        <f>HYPERLINK("http://www.worldcat.org/oclc/50510749","WorldCat Record")</f>
        <v>WorldCat Record</v>
      </c>
      <c r="AX2191" s="3" t="s">
        <v>21323</v>
      </c>
      <c r="AY2191" s="3" t="s">
        <v>21324</v>
      </c>
      <c r="AZ2191" s="3" t="s">
        <v>21325</v>
      </c>
      <c r="BA2191" s="3" t="s">
        <v>21325</v>
      </c>
      <c r="BB2191" s="3" t="s">
        <v>21326</v>
      </c>
      <c r="BC2191" s="3" t="s">
        <v>142</v>
      </c>
      <c r="BD2191" s="3" t="s">
        <v>68</v>
      </c>
      <c r="BE2191" s="3" t="s">
        <v>21327</v>
      </c>
      <c r="BF2191" s="3" t="s">
        <v>21326</v>
      </c>
      <c r="BG2191" s="3" t="s">
        <v>21328</v>
      </c>
    </row>
    <row r="2192" spans="1:59" ht="57" x14ac:dyDescent="0.45">
      <c r="A2192" s="2" t="s">
        <v>59</v>
      </c>
      <c r="B2192" s="2" t="s">
        <v>60</v>
      </c>
      <c r="C2192" s="2" t="s">
        <v>21329</v>
      </c>
      <c r="D2192" s="2" t="s">
        <v>21330</v>
      </c>
      <c r="E2192" s="2" t="s">
        <v>21331</v>
      </c>
      <c r="G2192" s="3" t="s">
        <v>62</v>
      </c>
      <c r="I2192" s="3" t="s">
        <v>62</v>
      </c>
      <c r="J2192" s="3" t="s">
        <v>62</v>
      </c>
      <c r="K2192" s="3" t="s">
        <v>63</v>
      </c>
      <c r="L2192" s="2" t="s">
        <v>21332</v>
      </c>
      <c r="M2192" s="2" t="s">
        <v>21333</v>
      </c>
      <c r="N2192" s="3" t="s">
        <v>1059</v>
      </c>
      <c r="P2192" s="3" t="s">
        <v>65</v>
      </c>
      <c r="Q2192" s="2" t="s">
        <v>21334</v>
      </c>
      <c r="R2192" s="3" t="s">
        <v>66</v>
      </c>
      <c r="S2192" s="4">
        <v>7</v>
      </c>
      <c r="T2192" s="4">
        <v>7</v>
      </c>
      <c r="U2192" s="5" t="s">
        <v>1570</v>
      </c>
      <c r="V2192" s="5" t="s">
        <v>1570</v>
      </c>
      <c r="W2192" s="5" t="s">
        <v>67</v>
      </c>
      <c r="X2192" s="5" t="s">
        <v>67</v>
      </c>
      <c r="Y2192" s="4">
        <v>120</v>
      </c>
      <c r="Z2192" s="4">
        <v>13</v>
      </c>
      <c r="AA2192" s="4">
        <v>108</v>
      </c>
      <c r="AB2192" s="4">
        <v>1</v>
      </c>
      <c r="AC2192" s="4">
        <v>19</v>
      </c>
      <c r="AD2192" s="4">
        <v>51</v>
      </c>
      <c r="AE2192" s="4">
        <v>124</v>
      </c>
      <c r="AF2192" s="4">
        <v>0</v>
      </c>
      <c r="AG2192" s="4">
        <v>8</v>
      </c>
      <c r="AH2192" s="4">
        <v>48</v>
      </c>
      <c r="AI2192" s="4">
        <v>86</v>
      </c>
      <c r="AJ2192" s="4">
        <v>10</v>
      </c>
      <c r="AK2192" s="4">
        <v>25</v>
      </c>
      <c r="AL2192" s="4">
        <v>31</v>
      </c>
      <c r="AM2192" s="4">
        <v>43</v>
      </c>
      <c r="AN2192" s="4">
        <v>0</v>
      </c>
      <c r="AO2192" s="4">
        <v>0</v>
      </c>
      <c r="AP2192" s="4">
        <v>11</v>
      </c>
      <c r="AQ2192" s="4">
        <v>48</v>
      </c>
      <c r="AR2192" s="3" t="s">
        <v>62</v>
      </c>
      <c r="AS2192" s="3" t="s">
        <v>62</v>
      </c>
      <c r="AT2192" s="3" t="s">
        <v>62</v>
      </c>
      <c r="AV2192" s="6" t="str">
        <f>HYPERLINK("http://mcgill.on.worldcat.org/oclc/64453552","Catalog Record")</f>
        <v>Catalog Record</v>
      </c>
      <c r="AW2192" s="6" t="str">
        <f>HYPERLINK("http://www.worldcat.org/oclc/64453552","WorldCat Record")</f>
        <v>WorldCat Record</v>
      </c>
      <c r="AX2192" s="3" t="s">
        <v>21335</v>
      </c>
      <c r="AY2192" s="3" t="s">
        <v>21336</v>
      </c>
      <c r="AZ2192" s="3" t="s">
        <v>21337</v>
      </c>
      <c r="BA2192" s="3" t="s">
        <v>21337</v>
      </c>
      <c r="BB2192" s="3" t="s">
        <v>21338</v>
      </c>
      <c r="BC2192" s="3" t="s">
        <v>142</v>
      </c>
      <c r="BD2192" s="3" t="s">
        <v>308</v>
      </c>
      <c r="BE2192" s="3" t="s">
        <v>21339</v>
      </c>
      <c r="BF2192" s="3" t="s">
        <v>21338</v>
      </c>
      <c r="BG2192" s="3" t="s">
        <v>21340</v>
      </c>
    </row>
    <row r="2193" spans="1:59" ht="57" x14ac:dyDescent="0.45">
      <c r="A2193" s="2" t="s">
        <v>59</v>
      </c>
      <c r="B2193" s="2" t="s">
        <v>60</v>
      </c>
      <c r="C2193" s="2" t="s">
        <v>21341</v>
      </c>
      <c r="D2193" s="2" t="s">
        <v>21342</v>
      </c>
      <c r="E2193" s="2" t="s">
        <v>21343</v>
      </c>
      <c r="G2193" s="3" t="s">
        <v>62</v>
      </c>
      <c r="I2193" s="3" t="s">
        <v>62</v>
      </c>
      <c r="J2193" s="3" t="s">
        <v>61</v>
      </c>
      <c r="K2193" s="3" t="s">
        <v>63</v>
      </c>
      <c r="L2193" s="2" t="s">
        <v>21344</v>
      </c>
      <c r="M2193" s="2" t="s">
        <v>21345</v>
      </c>
      <c r="N2193" s="3" t="s">
        <v>894</v>
      </c>
      <c r="P2193" s="3" t="s">
        <v>65</v>
      </c>
      <c r="R2193" s="3" t="s">
        <v>66</v>
      </c>
      <c r="S2193" s="4">
        <v>3</v>
      </c>
      <c r="T2193" s="4">
        <v>3</v>
      </c>
      <c r="U2193" s="5" t="s">
        <v>6557</v>
      </c>
      <c r="V2193" s="5" t="s">
        <v>6557</v>
      </c>
      <c r="W2193" s="5" t="s">
        <v>67</v>
      </c>
      <c r="X2193" s="5" t="s">
        <v>67</v>
      </c>
      <c r="Y2193" s="4">
        <v>78</v>
      </c>
      <c r="Z2193" s="4">
        <v>7</v>
      </c>
      <c r="AA2193" s="4">
        <v>25</v>
      </c>
      <c r="AB2193" s="4">
        <v>2</v>
      </c>
      <c r="AC2193" s="4">
        <v>5</v>
      </c>
      <c r="AD2193" s="4">
        <v>20</v>
      </c>
      <c r="AE2193" s="4">
        <v>86</v>
      </c>
      <c r="AF2193" s="4">
        <v>1</v>
      </c>
      <c r="AG2193" s="4">
        <v>2</v>
      </c>
      <c r="AH2193" s="4">
        <v>19</v>
      </c>
      <c r="AI2193" s="4">
        <v>75</v>
      </c>
      <c r="AJ2193" s="4">
        <v>5</v>
      </c>
      <c r="AK2193" s="4">
        <v>15</v>
      </c>
      <c r="AL2193" s="4">
        <v>10</v>
      </c>
      <c r="AM2193" s="4">
        <v>41</v>
      </c>
      <c r="AN2193" s="4">
        <v>0</v>
      </c>
      <c r="AO2193" s="4">
        <v>0</v>
      </c>
      <c r="AP2193" s="4">
        <v>5</v>
      </c>
      <c r="AQ2193" s="4">
        <v>20</v>
      </c>
      <c r="AR2193" s="3" t="s">
        <v>62</v>
      </c>
      <c r="AS2193" s="3" t="s">
        <v>62</v>
      </c>
      <c r="AT2193" s="3" t="s">
        <v>62</v>
      </c>
      <c r="AV2193" s="6" t="str">
        <f>HYPERLINK("http://mcgill.on.worldcat.org/oclc/731534644","Catalog Record")</f>
        <v>Catalog Record</v>
      </c>
      <c r="AW2193" s="6" t="str">
        <f>HYPERLINK("http://www.worldcat.org/oclc/731534644","WorldCat Record")</f>
        <v>WorldCat Record</v>
      </c>
      <c r="AX2193" s="3" t="s">
        <v>21346</v>
      </c>
      <c r="AY2193" s="3" t="s">
        <v>21347</v>
      </c>
      <c r="AZ2193" s="3" t="s">
        <v>21348</v>
      </c>
      <c r="BA2193" s="3" t="s">
        <v>21348</v>
      </c>
      <c r="BB2193" s="3" t="s">
        <v>21349</v>
      </c>
      <c r="BC2193" s="3" t="s">
        <v>142</v>
      </c>
      <c r="BD2193" s="3" t="s">
        <v>68</v>
      </c>
      <c r="BE2193" s="3" t="s">
        <v>21350</v>
      </c>
      <c r="BF2193" s="3" t="s">
        <v>21349</v>
      </c>
      <c r="BG2193" s="3" t="s">
        <v>21351</v>
      </c>
    </row>
    <row r="2194" spans="1:59" ht="57" x14ac:dyDescent="0.45">
      <c r="A2194" s="2" t="s">
        <v>59</v>
      </c>
      <c r="B2194" s="2" t="s">
        <v>60</v>
      </c>
      <c r="C2194" s="2" t="s">
        <v>21352</v>
      </c>
      <c r="D2194" s="2" t="s">
        <v>21353</v>
      </c>
      <c r="E2194" s="2" t="s">
        <v>21354</v>
      </c>
      <c r="G2194" s="3" t="s">
        <v>62</v>
      </c>
      <c r="I2194" s="3" t="s">
        <v>62</v>
      </c>
      <c r="J2194" s="3" t="s">
        <v>62</v>
      </c>
      <c r="K2194" s="3" t="s">
        <v>63</v>
      </c>
      <c r="L2194" s="2" t="s">
        <v>21355</v>
      </c>
      <c r="M2194" s="2" t="s">
        <v>21356</v>
      </c>
      <c r="N2194" s="3" t="s">
        <v>1212</v>
      </c>
      <c r="P2194" s="3" t="s">
        <v>65</v>
      </c>
      <c r="Q2194" s="2" t="s">
        <v>21357</v>
      </c>
      <c r="R2194" s="3" t="s">
        <v>66</v>
      </c>
      <c r="S2194" s="4">
        <v>16</v>
      </c>
      <c r="T2194" s="4">
        <v>16</v>
      </c>
      <c r="U2194" s="5" t="s">
        <v>10693</v>
      </c>
      <c r="V2194" s="5" t="s">
        <v>10693</v>
      </c>
      <c r="W2194" s="5" t="s">
        <v>67</v>
      </c>
      <c r="X2194" s="5" t="s">
        <v>67</v>
      </c>
      <c r="Y2194" s="4">
        <v>297</v>
      </c>
      <c r="Z2194" s="4">
        <v>18</v>
      </c>
      <c r="AA2194" s="4">
        <v>26</v>
      </c>
      <c r="AB2194" s="4">
        <v>3</v>
      </c>
      <c r="AC2194" s="4">
        <v>9</v>
      </c>
      <c r="AD2194" s="4">
        <v>97</v>
      </c>
      <c r="AE2194" s="4">
        <v>106</v>
      </c>
      <c r="AF2194" s="4">
        <v>1</v>
      </c>
      <c r="AG2194" s="4">
        <v>2</v>
      </c>
      <c r="AH2194" s="4">
        <v>88</v>
      </c>
      <c r="AI2194" s="4">
        <v>96</v>
      </c>
      <c r="AJ2194" s="4">
        <v>12</v>
      </c>
      <c r="AK2194" s="4">
        <v>13</v>
      </c>
      <c r="AL2194" s="4">
        <v>48</v>
      </c>
      <c r="AM2194" s="4">
        <v>53</v>
      </c>
      <c r="AN2194" s="4">
        <v>0</v>
      </c>
      <c r="AO2194" s="4">
        <v>0</v>
      </c>
      <c r="AP2194" s="4">
        <v>14</v>
      </c>
      <c r="AQ2194" s="4">
        <v>15</v>
      </c>
      <c r="AR2194" s="3" t="s">
        <v>62</v>
      </c>
      <c r="AS2194" s="3" t="s">
        <v>62</v>
      </c>
      <c r="AT2194" s="3" t="s">
        <v>61</v>
      </c>
      <c r="AU2194" s="6" t="str">
        <f>HYPERLINK("http://catalog.hathitrust.org/Record/004092605","HathiTrust Record")</f>
        <v>HathiTrust Record</v>
      </c>
      <c r="AV2194" s="6" t="str">
        <f>HYPERLINK("http://mcgill.on.worldcat.org/oclc/41940199","Catalog Record")</f>
        <v>Catalog Record</v>
      </c>
      <c r="AW2194" s="6" t="str">
        <f>HYPERLINK("http://www.worldcat.org/oclc/41940199","WorldCat Record")</f>
        <v>WorldCat Record</v>
      </c>
      <c r="AX2194" s="3" t="s">
        <v>21358</v>
      </c>
      <c r="AY2194" s="3" t="s">
        <v>21359</v>
      </c>
      <c r="AZ2194" s="3" t="s">
        <v>21360</v>
      </c>
      <c r="BA2194" s="3" t="s">
        <v>21360</v>
      </c>
      <c r="BB2194" s="3" t="s">
        <v>21361</v>
      </c>
      <c r="BC2194" s="3" t="s">
        <v>142</v>
      </c>
      <c r="BD2194" s="3" t="s">
        <v>68</v>
      </c>
      <c r="BE2194" s="3" t="s">
        <v>21362</v>
      </c>
      <c r="BF2194" s="3" t="s">
        <v>21361</v>
      </c>
      <c r="BG2194" s="3" t="s">
        <v>21363</v>
      </c>
    </row>
    <row r="2195" spans="1:59" ht="57" x14ac:dyDescent="0.45">
      <c r="A2195" s="2" t="s">
        <v>59</v>
      </c>
      <c r="B2195" s="2" t="s">
        <v>60</v>
      </c>
      <c r="C2195" s="2" t="s">
        <v>21364</v>
      </c>
      <c r="D2195" s="2" t="s">
        <v>21365</v>
      </c>
      <c r="E2195" s="2" t="s">
        <v>21366</v>
      </c>
      <c r="G2195" s="3" t="s">
        <v>62</v>
      </c>
      <c r="I2195" s="3" t="s">
        <v>62</v>
      </c>
      <c r="J2195" s="3" t="s">
        <v>62</v>
      </c>
      <c r="K2195" s="3" t="s">
        <v>63</v>
      </c>
      <c r="L2195" s="2" t="s">
        <v>21367</v>
      </c>
      <c r="M2195" s="2" t="s">
        <v>21368</v>
      </c>
      <c r="N2195" s="3" t="s">
        <v>149</v>
      </c>
      <c r="O2195" s="2" t="s">
        <v>168</v>
      </c>
      <c r="P2195" s="3" t="s">
        <v>65</v>
      </c>
      <c r="R2195" s="3" t="s">
        <v>66</v>
      </c>
      <c r="S2195" s="4">
        <v>8</v>
      </c>
      <c r="T2195" s="4">
        <v>8</v>
      </c>
      <c r="U2195" s="5" t="s">
        <v>9625</v>
      </c>
      <c r="V2195" s="5" t="s">
        <v>9625</v>
      </c>
      <c r="W2195" s="5" t="s">
        <v>67</v>
      </c>
      <c r="X2195" s="5" t="s">
        <v>67</v>
      </c>
      <c r="Y2195" s="4">
        <v>750</v>
      </c>
      <c r="Z2195" s="4">
        <v>32</v>
      </c>
      <c r="AA2195" s="4">
        <v>37</v>
      </c>
      <c r="AB2195" s="4">
        <v>3</v>
      </c>
      <c r="AC2195" s="4">
        <v>5</v>
      </c>
      <c r="AD2195" s="4">
        <v>56</v>
      </c>
      <c r="AE2195" s="4">
        <v>60</v>
      </c>
      <c r="AF2195" s="4">
        <v>0</v>
      </c>
      <c r="AG2195" s="4">
        <v>0</v>
      </c>
      <c r="AH2195" s="4">
        <v>54</v>
      </c>
      <c r="AI2195" s="4">
        <v>57</v>
      </c>
      <c r="AJ2195" s="4">
        <v>6</v>
      </c>
      <c r="AK2195" s="4">
        <v>7</v>
      </c>
      <c r="AL2195" s="4">
        <v>30</v>
      </c>
      <c r="AM2195" s="4">
        <v>31</v>
      </c>
      <c r="AN2195" s="4">
        <v>0</v>
      </c>
      <c r="AO2195" s="4">
        <v>0</v>
      </c>
      <c r="AP2195" s="4">
        <v>7</v>
      </c>
      <c r="AQ2195" s="4">
        <v>8</v>
      </c>
      <c r="AR2195" s="3" t="s">
        <v>62</v>
      </c>
      <c r="AS2195" s="3" t="s">
        <v>62</v>
      </c>
      <c r="AT2195" s="3" t="s">
        <v>62</v>
      </c>
      <c r="AV2195" s="6" t="str">
        <f>HYPERLINK("http://mcgill.on.worldcat.org/oclc/318242679","Catalog Record")</f>
        <v>Catalog Record</v>
      </c>
      <c r="AW2195" s="6" t="str">
        <f>HYPERLINK("http://www.worldcat.org/oclc/318242679","WorldCat Record")</f>
        <v>WorldCat Record</v>
      </c>
      <c r="AX2195" s="3" t="s">
        <v>21369</v>
      </c>
      <c r="AY2195" s="3" t="s">
        <v>21370</v>
      </c>
      <c r="AZ2195" s="3" t="s">
        <v>21371</v>
      </c>
      <c r="BA2195" s="3" t="s">
        <v>21371</v>
      </c>
      <c r="BB2195" s="3" t="s">
        <v>21372</v>
      </c>
      <c r="BC2195" s="3" t="s">
        <v>142</v>
      </c>
      <c r="BD2195" s="3" t="s">
        <v>68</v>
      </c>
      <c r="BE2195" s="3" t="s">
        <v>21373</v>
      </c>
      <c r="BF2195" s="3" t="s">
        <v>21372</v>
      </c>
      <c r="BG2195" s="3" t="s">
        <v>21374</v>
      </c>
    </row>
    <row r="2196" spans="1:59" ht="57" x14ac:dyDescent="0.45">
      <c r="A2196" s="2" t="s">
        <v>59</v>
      </c>
      <c r="B2196" s="2" t="s">
        <v>60</v>
      </c>
      <c r="C2196" s="2" t="s">
        <v>21375</v>
      </c>
      <c r="D2196" s="2" t="s">
        <v>21376</v>
      </c>
      <c r="E2196" s="2" t="s">
        <v>21377</v>
      </c>
      <c r="G2196" s="3" t="s">
        <v>62</v>
      </c>
      <c r="I2196" s="3" t="s">
        <v>62</v>
      </c>
      <c r="J2196" s="3" t="s">
        <v>62</v>
      </c>
      <c r="K2196" s="3" t="s">
        <v>63</v>
      </c>
      <c r="L2196" s="2" t="s">
        <v>21378</v>
      </c>
      <c r="M2196" s="2" t="s">
        <v>21379</v>
      </c>
      <c r="N2196" s="3" t="s">
        <v>1059</v>
      </c>
      <c r="P2196" s="3" t="s">
        <v>65</v>
      </c>
      <c r="R2196" s="3" t="s">
        <v>66</v>
      </c>
      <c r="S2196" s="4">
        <v>8</v>
      </c>
      <c r="T2196" s="4">
        <v>8</v>
      </c>
      <c r="U2196" s="5" t="s">
        <v>21380</v>
      </c>
      <c r="V2196" s="5" t="s">
        <v>21380</v>
      </c>
      <c r="W2196" s="5" t="s">
        <v>67</v>
      </c>
      <c r="X2196" s="5" t="s">
        <v>67</v>
      </c>
      <c r="Y2196" s="4">
        <v>1081</v>
      </c>
      <c r="Z2196" s="4">
        <v>51</v>
      </c>
      <c r="AA2196" s="4">
        <v>129</v>
      </c>
      <c r="AB2196" s="4">
        <v>3</v>
      </c>
      <c r="AC2196" s="4">
        <v>18</v>
      </c>
      <c r="AD2196" s="4">
        <v>123</v>
      </c>
      <c r="AE2196" s="4">
        <v>155</v>
      </c>
      <c r="AF2196" s="4">
        <v>2</v>
      </c>
      <c r="AG2196" s="4">
        <v>8</v>
      </c>
      <c r="AH2196" s="4">
        <v>104</v>
      </c>
      <c r="AI2196" s="4">
        <v>113</v>
      </c>
      <c r="AJ2196" s="4">
        <v>18</v>
      </c>
      <c r="AK2196" s="4">
        <v>28</v>
      </c>
      <c r="AL2196" s="4">
        <v>54</v>
      </c>
      <c r="AM2196" s="4">
        <v>57</v>
      </c>
      <c r="AN2196" s="4">
        <v>0</v>
      </c>
      <c r="AO2196" s="4">
        <v>0</v>
      </c>
      <c r="AP2196" s="4">
        <v>26</v>
      </c>
      <c r="AQ2196" s="4">
        <v>51</v>
      </c>
      <c r="AR2196" s="3" t="s">
        <v>62</v>
      </c>
      <c r="AS2196" s="3" t="s">
        <v>62</v>
      </c>
      <c r="AT2196" s="3" t="s">
        <v>62</v>
      </c>
      <c r="AV2196" s="6" t="str">
        <f>HYPERLINK("http://mcgill.on.worldcat.org/oclc/61748209","Catalog Record")</f>
        <v>Catalog Record</v>
      </c>
      <c r="AW2196" s="6" t="str">
        <f>HYPERLINK("http://www.worldcat.org/oclc/61748209","WorldCat Record")</f>
        <v>WorldCat Record</v>
      </c>
      <c r="AX2196" s="3" t="s">
        <v>21381</v>
      </c>
      <c r="AY2196" s="3" t="s">
        <v>21382</v>
      </c>
      <c r="AZ2196" s="3" t="s">
        <v>21383</v>
      </c>
      <c r="BA2196" s="3" t="s">
        <v>21383</v>
      </c>
      <c r="BB2196" s="3" t="s">
        <v>21384</v>
      </c>
      <c r="BC2196" s="3" t="s">
        <v>142</v>
      </c>
      <c r="BD2196" s="3" t="s">
        <v>68</v>
      </c>
      <c r="BE2196" s="3" t="s">
        <v>21385</v>
      </c>
      <c r="BF2196" s="3" t="s">
        <v>21384</v>
      </c>
      <c r="BG2196" s="3" t="s">
        <v>21386</v>
      </c>
    </row>
    <row r="2197" spans="1:59" ht="57" x14ac:dyDescent="0.45">
      <c r="A2197" s="2" t="s">
        <v>59</v>
      </c>
      <c r="B2197" s="2" t="s">
        <v>60</v>
      </c>
      <c r="C2197" s="2" t="s">
        <v>21387</v>
      </c>
      <c r="D2197" s="2" t="s">
        <v>21388</v>
      </c>
      <c r="E2197" s="2" t="s">
        <v>21389</v>
      </c>
      <c r="G2197" s="3" t="s">
        <v>62</v>
      </c>
      <c r="I2197" s="3" t="s">
        <v>62</v>
      </c>
      <c r="J2197" s="3" t="s">
        <v>62</v>
      </c>
      <c r="K2197" s="3" t="s">
        <v>63</v>
      </c>
      <c r="L2197" s="2" t="s">
        <v>21390</v>
      </c>
      <c r="M2197" s="2" t="s">
        <v>21391</v>
      </c>
      <c r="N2197" s="3" t="s">
        <v>2417</v>
      </c>
      <c r="P2197" s="3" t="s">
        <v>65</v>
      </c>
      <c r="Q2197" s="2" t="s">
        <v>20953</v>
      </c>
      <c r="R2197" s="3" t="s">
        <v>66</v>
      </c>
      <c r="S2197" s="4">
        <v>26</v>
      </c>
      <c r="T2197" s="4">
        <v>26</v>
      </c>
      <c r="U2197" s="5" t="s">
        <v>1225</v>
      </c>
      <c r="V2197" s="5" t="s">
        <v>1225</v>
      </c>
      <c r="W2197" s="5" t="s">
        <v>67</v>
      </c>
      <c r="X2197" s="5" t="s">
        <v>67</v>
      </c>
      <c r="Y2197" s="4">
        <v>615</v>
      </c>
      <c r="Z2197" s="4">
        <v>38</v>
      </c>
      <c r="AA2197" s="4">
        <v>52</v>
      </c>
      <c r="AB2197" s="4">
        <v>3</v>
      </c>
      <c r="AC2197" s="4">
        <v>8</v>
      </c>
      <c r="AD2197" s="4">
        <v>127</v>
      </c>
      <c r="AE2197" s="4">
        <v>141</v>
      </c>
      <c r="AF2197" s="4">
        <v>1</v>
      </c>
      <c r="AG2197" s="4">
        <v>3</v>
      </c>
      <c r="AH2197" s="4">
        <v>110</v>
      </c>
      <c r="AI2197" s="4">
        <v>116</v>
      </c>
      <c r="AJ2197" s="4">
        <v>20</v>
      </c>
      <c r="AK2197" s="4">
        <v>23</v>
      </c>
      <c r="AL2197" s="4">
        <v>56</v>
      </c>
      <c r="AM2197" s="4">
        <v>59</v>
      </c>
      <c r="AN2197" s="4">
        <v>0</v>
      </c>
      <c r="AO2197" s="4">
        <v>0</v>
      </c>
      <c r="AP2197" s="4">
        <v>28</v>
      </c>
      <c r="AQ2197" s="4">
        <v>35</v>
      </c>
      <c r="AR2197" s="3" t="s">
        <v>62</v>
      </c>
      <c r="AS2197" s="3" t="s">
        <v>62</v>
      </c>
      <c r="AT2197" s="3" t="s">
        <v>61</v>
      </c>
      <c r="AU2197" s="6" t="str">
        <f>HYPERLINK("http://catalog.hathitrust.org/Record/000875504","HathiTrust Record")</f>
        <v>HathiTrust Record</v>
      </c>
      <c r="AV2197" s="6" t="str">
        <f>HYPERLINK("http://mcgill.on.worldcat.org/oclc/16088101","Catalog Record")</f>
        <v>Catalog Record</v>
      </c>
      <c r="AW2197" s="6" t="str">
        <f>HYPERLINK("http://www.worldcat.org/oclc/16088101","WorldCat Record")</f>
        <v>WorldCat Record</v>
      </c>
      <c r="AX2197" s="3" t="s">
        <v>21392</v>
      </c>
      <c r="AY2197" s="3" t="s">
        <v>21393</v>
      </c>
      <c r="AZ2197" s="3" t="s">
        <v>21394</v>
      </c>
      <c r="BA2197" s="3" t="s">
        <v>21394</v>
      </c>
      <c r="BB2197" s="3" t="s">
        <v>21395</v>
      </c>
      <c r="BC2197" s="3" t="s">
        <v>142</v>
      </c>
      <c r="BD2197" s="3" t="s">
        <v>68</v>
      </c>
      <c r="BE2197" s="3" t="s">
        <v>21396</v>
      </c>
      <c r="BF2197" s="3" t="s">
        <v>21395</v>
      </c>
      <c r="BG2197" s="3" t="s">
        <v>21397</v>
      </c>
    </row>
    <row r="2198" spans="1:59" ht="57" x14ac:dyDescent="0.45">
      <c r="A2198" s="2" t="s">
        <v>59</v>
      </c>
      <c r="B2198" s="2" t="s">
        <v>60</v>
      </c>
      <c r="C2198" s="2" t="s">
        <v>21398</v>
      </c>
      <c r="D2198" s="2" t="s">
        <v>21399</v>
      </c>
      <c r="E2198" s="2" t="s">
        <v>21400</v>
      </c>
      <c r="G2198" s="3" t="s">
        <v>62</v>
      </c>
      <c r="I2198" s="3" t="s">
        <v>62</v>
      </c>
      <c r="J2198" s="3" t="s">
        <v>62</v>
      </c>
      <c r="K2198" s="3" t="s">
        <v>63</v>
      </c>
      <c r="M2198" s="2" t="s">
        <v>5120</v>
      </c>
      <c r="N2198" s="3" t="s">
        <v>894</v>
      </c>
      <c r="P2198" s="3" t="s">
        <v>65</v>
      </c>
      <c r="Q2198" s="2" t="s">
        <v>21401</v>
      </c>
      <c r="R2198" s="3" t="s">
        <v>66</v>
      </c>
      <c r="S2198" s="4">
        <v>0</v>
      </c>
      <c r="T2198" s="4">
        <v>0</v>
      </c>
      <c r="W2198" s="5" t="s">
        <v>67</v>
      </c>
      <c r="X2198" s="5" t="s">
        <v>67</v>
      </c>
      <c r="Y2198" s="4">
        <v>157</v>
      </c>
      <c r="Z2198" s="4">
        <v>12</v>
      </c>
      <c r="AA2198" s="4">
        <v>77</v>
      </c>
      <c r="AB2198" s="4">
        <v>1</v>
      </c>
      <c r="AC2198" s="4">
        <v>14</v>
      </c>
      <c r="AD2198" s="4">
        <v>67</v>
      </c>
      <c r="AE2198" s="4">
        <v>115</v>
      </c>
      <c r="AF2198" s="4">
        <v>0</v>
      </c>
      <c r="AG2198" s="4">
        <v>8</v>
      </c>
      <c r="AH2198" s="4">
        <v>65</v>
      </c>
      <c r="AI2198" s="4">
        <v>85</v>
      </c>
      <c r="AJ2198" s="4">
        <v>9</v>
      </c>
      <c r="AK2198" s="4">
        <v>20</v>
      </c>
      <c r="AL2198" s="4">
        <v>34</v>
      </c>
      <c r="AM2198" s="4">
        <v>41</v>
      </c>
      <c r="AN2198" s="4">
        <v>0</v>
      </c>
      <c r="AO2198" s="4">
        <v>0</v>
      </c>
      <c r="AP2198" s="4">
        <v>9</v>
      </c>
      <c r="AQ2198" s="4">
        <v>39</v>
      </c>
      <c r="AR2198" s="3" t="s">
        <v>62</v>
      </c>
      <c r="AS2198" s="3" t="s">
        <v>62</v>
      </c>
      <c r="AT2198" s="3" t="s">
        <v>62</v>
      </c>
      <c r="AV2198" s="6" t="str">
        <f>HYPERLINK("http://mcgill.on.worldcat.org/oclc/663441135","Catalog Record")</f>
        <v>Catalog Record</v>
      </c>
      <c r="AW2198" s="6" t="str">
        <f>HYPERLINK("http://www.worldcat.org/oclc/663441135","WorldCat Record")</f>
        <v>WorldCat Record</v>
      </c>
      <c r="AX2198" s="3" t="s">
        <v>21402</v>
      </c>
      <c r="AY2198" s="3" t="s">
        <v>21403</v>
      </c>
      <c r="AZ2198" s="3" t="s">
        <v>21404</v>
      </c>
      <c r="BA2198" s="3" t="s">
        <v>21404</v>
      </c>
      <c r="BB2198" s="3" t="s">
        <v>21405</v>
      </c>
      <c r="BC2198" s="3" t="s">
        <v>142</v>
      </c>
      <c r="BD2198" s="3" t="s">
        <v>68</v>
      </c>
      <c r="BE2198" s="3" t="s">
        <v>21406</v>
      </c>
      <c r="BF2198" s="3" t="s">
        <v>21405</v>
      </c>
      <c r="BG2198" s="3" t="s">
        <v>21407</v>
      </c>
    </row>
    <row r="2199" spans="1:59" ht="57" x14ac:dyDescent="0.45">
      <c r="A2199" s="2" t="s">
        <v>59</v>
      </c>
      <c r="B2199" s="2" t="s">
        <v>60</v>
      </c>
      <c r="C2199" s="2" t="s">
        <v>21408</v>
      </c>
      <c r="D2199" s="2" t="s">
        <v>21409</v>
      </c>
      <c r="E2199" s="2" t="s">
        <v>21410</v>
      </c>
      <c r="G2199" s="3" t="s">
        <v>62</v>
      </c>
      <c r="I2199" s="3" t="s">
        <v>62</v>
      </c>
      <c r="J2199" s="3" t="s">
        <v>62</v>
      </c>
      <c r="K2199" s="3" t="s">
        <v>63</v>
      </c>
      <c r="L2199" s="2" t="s">
        <v>21411</v>
      </c>
      <c r="M2199" s="2" t="s">
        <v>21412</v>
      </c>
      <c r="N2199" s="3" t="s">
        <v>1097</v>
      </c>
      <c r="P2199" s="3" t="s">
        <v>65</v>
      </c>
      <c r="Q2199" s="2" t="s">
        <v>21413</v>
      </c>
      <c r="R2199" s="3" t="s">
        <v>66</v>
      </c>
      <c r="S2199" s="4">
        <v>5</v>
      </c>
      <c r="T2199" s="4">
        <v>5</v>
      </c>
      <c r="U2199" s="5" t="s">
        <v>1570</v>
      </c>
      <c r="V2199" s="5" t="s">
        <v>1570</v>
      </c>
      <c r="W2199" s="5" t="s">
        <v>67</v>
      </c>
      <c r="X2199" s="5" t="s">
        <v>67</v>
      </c>
      <c r="Y2199" s="4">
        <v>150</v>
      </c>
      <c r="Z2199" s="4">
        <v>14</v>
      </c>
      <c r="AA2199" s="4">
        <v>14</v>
      </c>
      <c r="AB2199" s="4">
        <v>2</v>
      </c>
      <c r="AC2199" s="4">
        <v>2</v>
      </c>
      <c r="AD2199" s="4">
        <v>68</v>
      </c>
      <c r="AE2199" s="4">
        <v>68</v>
      </c>
      <c r="AF2199" s="4">
        <v>1</v>
      </c>
      <c r="AG2199" s="4">
        <v>1</v>
      </c>
      <c r="AH2199" s="4">
        <v>65</v>
      </c>
      <c r="AI2199" s="4">
        <v>65</v>
      </c>
      <c r="AJ2199" s="4">
        <v>9</v>
      </c>
      <c r="AK2199" s="4">
        <v>9</v>
      </c>
      <c r="AL2199" s="4">
        <v>36</v>
      </c>
      <c r="AM2199" s="4">
        <v>36</v>
      </c>
      <c r="AN2199" s="4">
        <v>0</v>
      </c>
      <c r="AO2199" s="4">
        <v>0</v>
      </c>
      <c r="AP2199" s="4">
        <v>9</v>
      </c>
      <c r="AQ2199" s="4">
        <v>9</v>
      </c>
      <c r="AR2199" s="3" t="s">
        <v>62</v>
      </c>
      <c r="AS2199" s="3" t="s">
        <v>62</v>
      </c>
      <c r="AT2199" s="3" t="s">
        <v>61</v>
      </c>
      <c r="AU2199" s="6" t="str">
        <f>HYPERLINK("http://catalog.hathitrust.org/Record/004925953","HathiTrust Record")</f>
        <v>HathiTrust Record</v>
      </c>
      <c r="AV2199" s="6" t="str">
        <f>HYPERLINK("http://mcgill.on.worldcat.org/oclc/54073730","Catalog Record")</f>
        <v>Catalog Record</v>
      </c>
      <c r="AW2199" s="6" t="str">
        <f>HYPERLINK("http://www.worldcat.org/oclc/54073730","WorldCat Record")</f>
        <v>WorldCat Record</v>
      </c>
      <c r="AX2199" s="3" t="s">
        <v>21414</v>
      </c>
      <c r="AY2199" s="3" t="s">
        <v>21415</v>
      </c>
      <c r="AZ2199" s="3" t="s">
        <v>21416</v>
      </c>
      <c r="BA2199" s="3" t="s">
        <v>21416</v>
      </c>
      <c r="BB2199" s="3" t="s">
        <v>21417</v>
      </c>
      <c r="BC2199" s="3" t="s">
        <v>142</v>
      </c>
      <c r="BD2199" s="3" t="s">
        <v>308</v>
      </c>
      <c r="BE2199" s="3" t="s">
        <v>21418</v>
      </c>
      <c r="BF2199" s="3" t="s">
        <v>21417</v>
      </c>
      <c r="BG2199" s="3" t="s">
        <v>21419</v>
      </c>
    </row>
    <row r="2200" spans="1:59" ht="57" x14ac:dyDescent="0.45">
      <c r="A2200" s="2" t="s">
        <v>59</v>
      </c>
      <c r="B2200" s="2" t="s">
        <v>60</v>
      </c>
      <c r="C2200" s="2" t="s">
        <v>21420</v>
      </c>
      <c r="D2200" s="2" t="s">
        <v>21421</v>
      </c>
      <c r="E2200" s="2" t="s">
        <v>21422</v>
      </c>
      <c r="G2200" s="3" t="s">
        <v>62</v>
      </c>
      <c r="I2200" s="3" t="s">
        <v>62</v>
      </c>
      <c r="J2200" s="3" t="s">
        <v>62</v>
      </c>
      <c r="K2200" s="3" t="s">
        <v>63</v>
      </c>
      <c r="L2200" s="2" t="s">
        <v>21423</v>
      </c>
      <c r="M2200" s="2" t="s">
        <v>21424</v>
      </c>
      <c r="N2200" s="3" t="s">
        <v>1604</v>
      </c>
      <c r="P2200" s="3" t="s">
        <v>65</v>
      </c>
      <c r="Q2200" s="2" t="s">
        <v>21425</v>
      </c>
      <c r="R2200" s="3" t="s">
        <v>66</v>
      </c>
      <c r="S2200" s="4">
        <v>31</v>
      </c>
      <c r="T2200" s="4">
        <v>31</v>
      </c>
      <c r="U2200" s="5" t="s">
        <v>10693</v>
      </c>
      <c r="V2200" s="5" t="s">
        <v>10693</v>
      </c>
      <c r="W2200" s="5" t="s">
        <v>67</v>
      </c>
      <c r="X2200" s="5" t="s">
        <v>67</v>
      </c>
      <c r="Y2200" s="4">
        <v>6</v>
      </c>
      <c r="Z2200" s="4">
        <v>2</v>
      </c>
      <c r="AA2200" s="4">
        <v>40</v>
      </c>
      <c r="AB2200" s="4">
        <v>1</v>
      </c>
      <c r="AC2200" s="4">
        <v>9</v>
      </c>
      <c r="AD2200" s="4">
        <v>1</v>
      </c>
      <c r="AE2200" s="4">
        <v>123</v>
      </c>
      <c r="AF2200" s="4">
        <v>0</v>
      </c>
      <c r="AG2200" s="4">
        <v>5</v>
      </c>
      <c r="AH2200" s="4">
        <v>1</v>
      </c>
      <c r="AI2200" s="4">
        <v>98</v>
      </c>
      <c r="AJ2200" s="4">
        <v>0</v>
      </c>
      <c r="AK2200" s="4">
        <v>17</v>
      </c>
      <c r="AL2200" s="4">
        <v>0</v>
      </c>
      <c r="AM2200" s="4">
        <v>53</v>
      </c>
      <c r="AN2200" s="4">
        <v>0</v>
      </c>
      <c r="AO2200" s="4">
        <v>0</v>
      </c>
      <c r="AP2200" s="4">
        <v>1</v>
      </c>
      <c r="AQ2200" s="4">
        <v>32</v>
      </c>
      <c r="AR2200" s="3" t="s">
        <v>62</v>
      </c>
      <c r="AS2200" s="3" t="s">
        <v>62</v>
      </c>
      <c r="AT2200" s="3" t="s">
        <v>62</v>
      </c>
      <c r="AV2200" s="6" t="str">
        <f>HYPERLINK("http://mcgill.on.worldcat.org/oclc/270798678","Catalog Record")</f>
        <v>Catalog Record</v>
      </c>
      <c r="AW2200" s="6" t="str">
        <f>HYPERLINK("http://www.worldcat.org/oclc/270798678","WorldCat Record")</f>
        <v>WorldCat Record</v>
      </c>
      <c r="AX2200" s="3" t="s">
        <v>21426</v>
      </c>
      <c r="AY2200" s="3" t="s">
        <v>21427</v>
      </c>
      <c r="AZ2200" s="3" t="s">
        <v>21428</v>
      </c>
      <c r="BA2200" s="3" t="s">
        <v>21428</v>
      </c>
      <c r="BB2200" s="3" t="s">
        <v>21429</v>
      </c>
      <c r="BC2200" s="3" t="s">
        <v>142</v>
      </c>
      <c r="BD2200" s="3" t="s">
        <v>68</v>
      </c>
      <c r="BF2200" s="3" t="s">
        <v>21429</v>
      </c>
      <c r="BG2200" s="3" t="s">
        <v>21430</v>
      </c>
    </row>
    <row r="2201" spans="1:59" ht="57" x14ac:dyDescent="0.45">
      <c r="A2201" s="2" t="s">
        <v>59</v>
      </c>
      <c r="B2201" s="2" t="s">
        <v>60</v>
      </c>
      <c r="C2201" s="2" t="s">
        <v>21431</v>
      </c>
      <c r="D2201" s="2" t="s">
        <v>21432</v>
      </c>
      <c r="E2201" s="2" t="s">
        <v>21433</v>
      </c>
      <c r="G2201" s="3" t="s">
        <v>62</v>
      </c>
      <c r="I2201" s="3" t="s">
        <v>62</v>
      </c>
      <c r="J2201" s="3" t="s">
        <v>62</v>
      </c>
      <c r="K2201" s="3" t="s">
        <v>63</v>
      </c>
      <c r="L2201" s="2" t="s">
        <v>21434</v>
      </c>
      <c r="M2201" s="2" t="s">
        <v>16346</v>
      </c>
      <c r="N2201" s="3" t="s">
        <v>542</v>
      </c>
      <c r="P2201" s="3" t="s">
        <v>65</v>
      </c>
      <c r="Q2201" s="2" t="s">
        <v>21435</v>
      </c>
      <c r="R2201" s="3" t="s">
        <v>66</v>
      </c>
      <c r="S2201" s="4">
        <v>19</v>
      </c>
      <c r="T2201" s="4">
        <v>19</v>
      </c>
      <c r="U2201" s="5" t="s">
        <v>372</v>
      </c>
      <c r="V2201" s="5" t="s">
        <v>372</v>
      </c>
      <c r="W2201" s="5" t="s">
        <v>67</v>
      </c>
      <c r="X2201" s="5" t="s">
        <v>67</v>
      </c>
      <c r="Y2201" s="4">
        <v>206</v>
      </c>
      <c r="Z2201" s="4">
        <v>12</v>
      </c>
      <c r="AA2201" s="4">
        <v>12</v>
      </c>
      <c r="AB2201" s="4">
        <v>2</v>
      </c>
      <c r="AC2201" s="4">
        <v>2</v>
      </c>
      <c r="AD2201" s="4">
        <v>75</v>
      </c>
      <c r="AE2201" s="4">
        <v>75</v>
      </c>
      <c r="AF2201" s="4">
        <v>0</v>
      </c>
      <c r="AG2201" s="4">
        <v>0</v>
      </c>
      <c r="AH2201" s="4">
        <v>72</v>
      </c>
      <c r="AI2201" s="4">
        <v>72</v>
      </c>
      <c r="AJ2201" s="4">
        <v>8</v>
      </c>
      <c r="AK2201" s="4">
        <v>8</v>
      </c>
      <c r="AL2201" s="4">
        <v>38</v>
      </c>
      <c r="AM2201" s="4">
        <v>38</v>
      </c>
      <c r="AN2201" s="4">
        <v>0</v>
      </c>
      <c r="AO2201" s="4">
        <v>0</v>
      </c>
      <c r="AP2201" s="4">
        <v>9</v>
      </c>
      <c r="AQ2201" s="4">
        <v>9</v>
      </c>
      <c r="AR2201" s="3" t="s">
        <v>62</v>
      </c>
      <c r="AS2201" s="3" t="s">
        <v>62</v>
      </c>
      <c r="AT2201" s="3" t="s">
        <v>61</v>
      </c>
      <c r="AU2201" s="6" t="str">
        <f>HYPERLINK("http://catalog.hathitrust.org/Record/004214994","HathiTrust Record")</f>
        <v>HathiTrust Record</v>
      </c>
      <c r="AV2201" s="6" t="str">
        <f>HYPERLINK("http://mcgill.on.worldcat.org/oclc/45603935","Catalog Record")</f>
        <v>Catalog Record</v>
      </c>
      <c r="AW2201" s="6" t="str">
        <f>HYPERLINK("http://www.worldcat.org/oclc/45603935","WorldCat Record")</f>
        <v>WorldCat Record</v>
      </c>
      <c r="AX2201" s="3" t="s">
        <v>21436</v>
      </c>
      <c r="AY2201" s="3" t="s">
        <v>21437</v>
      </c>
      <c r="AZ2201" s="3" t="s">
        <v>21438</v>
      </c>
      <c r="BA2201" s="3" t="s">
        <v>21438</v>
      </c>
      <c r="BB2201" s="3" t="s">
        <v>21439</v>
      </c>
      <c r="BC2201" s="3" t="s">
        <v>142</v>
      </c>
      <c r="BD2201" s="3" t="s">
        <v>68</v>
      </c>
      <c r="BE2201" s="3" t="s">
        <v>21440</v>
      </c>
      <c r="BF2201" s="3" t="s">
        <v>21439</v>
      </c>
      <c r="BG2201" s="3" t="s">
        <v>21441</v>
      </c>
    </row>
    <row r="2202" spans="1:59" ht="57" x14ac:dyDescent="0.45">
      <c r="A2202" s="2" t="s">
        <v>59</v>
      </c>
      <c r="B2202" s="2" t="s">
        <v>60</v>
      </c>
      <c r="C2202" s="2" t="s">
        <v>21442</v>
      </c>
      <c r="D2202" s="2" t="s">
        <v>21443</v>
      </c>
      <c r="E2202" s="2" t="s">
        <v>21444</v>
      </c>
      <c r="G2202" s="3" t="s">
        <v>62</v>
      </c>
      <c r="I2202" s="3" t="s">
        <v>62</v>
      </c>
      <c r="J2202" s="3" t="s">
        <v>62</v>
      </c>
      <c r="K2202" s="3" t="s">
        <v>63</v>
      </c>
      <c r="L2202" s="2" t="s">
        <v>21445</v>
      </c>
      <c r="M2202" s="2" t="s">
        <v>2022</v>
      </c>
      <c r="N2202" s="3" t="s">
        <v>149</v>
      </c>
      <c r="P2202" s="3" t="s">
        <v>65</v>
      </c>
      <c r="Q2202" s="2" t="s">
        <v>21446</v>
      </c>
      <c r="R2202" s="3" t="s">
        <v>66</v>
      </c>
      <c r="S2202" s="4">
        <v>2</v>
      </c>
      <c r="T2202" s="4">
        <v>2</v>
      </c>
      <c r="U2202" s="5" t="s">
        <v>7233</v>
      </c>
      <c r="V2202" s="5" t="s">
        <v>7233</v>
      </c>
      <c r="W2202" s="5" t="s">
        <v>67</v>
      </c>
      <c r="X2202" s="5" t="s">
        <v>67</v>
      </c>
      <c r="Y2202" s="4">
        <v>190</v>
      </c>
      <c r="Z2202" s="4">
        <v>15</v>
      </c>
      <c r="AA2202" s="4">
        <v>24</v>
      </c>
      <c r="AB2202" s="4">
        <v>1</v>
      </c>
      <c r="AC2202" s="4">
        <v>7</v>
      </c>
      <c r="AD2202" s="4">
        <v>38</v>
      </c>
      <c r="AE2202" s="4">
        <v>48</v>
      </c>
      <c r="AF2202" s="4">
        <v>0</v>
      </c>
      <c r="AG2202" s="4">
        <v>3</v>
      </c>
      <c r="AH2202" s="4">
        <v>38</v>
      </c>
      <c r="AI2202" s="4">
        <v>44</v>
      </c>
      <c r="AJ2202" s="4">
        <v>8</v>
      </c>
      <c r="AK2202" s="4">
        <v>13</v>
      </c>
      <c r="AL2202" s="4">
        <v>17</v>
      </c>
      <c r="AM2202" s="4">
        <v>18</v>
      </c>
      <c r="AN2202" s="4">
        <v>0</v>
      </c>
      <c r="AO2202" s="4">
        <v>0</v>
      </c>
      <c r="AP2202" s="4">
        <v>9</v>
      </c>
      <c r="AQ2202" s="4">
        <v>13</v>
      </c>
      <c r="AR2202" s="3" t="s">
        <v>62</v>
      </c>
      <c r="AS2202" s="3" t="s">
        <v>62</v>
      </c>
      <c r="AT2202" s="3" t="s">
        <v>62</v>
      </c>
      <c r="AV2202" s="6" t="str">
        <f>HYPERLINK("http://mcgill.on.worldcat.org/oclc/226356123","Catalog Record")</f>
        <v>Catalog Record</v>
      </c>
      <c r="AW2202" s="6" t="str">
        <f>HYPERLINK("http://www.worldcat.org/oclc/226356123","WorldCat Record")</f>
        <v>WorldCat Record</v>
      </c>
      <c r="AX2202" s="3" t="s">
        <v>21447</v>
      </c>
      <c r="AY2202" s="3" t="s">
        <v>21448</v>
      </c>
      <c r="AZ2202" s="3" t="s">
        <v>21449</v>
      </c>
      <c r="BA2202" s="3" t="s">
        <v>21449</v>
      </c>
      <c r="BB2202" s="3" t="s">
        <v>21450</v>
      </c>
      <c r="BC2202" s="3" t="s">
        <v>142</v>
      </c>
      <c r="BD2202" s="3" t="s">
        <v>68</v>
      </c>
      <c r="BE2202" s="3" t="s">
        <v>21451</v>
      </c>
      <c r="BF2202" s="3" t="s">
        <v>21450</v>
      </c>
      <c r="BG2202" s="3" t="s">
        <v>21452</v>
      </c>
    </row>
    <row r="2203" spans="1:59" ht="57" x14ac:dyDescent="0.45">
      <c r="A2203" s="2" t="s">
        <v>59</v>
      </c>
      <c r="B2203" s="2" t="s">
        <v>60</v>
      </c>
      <c r="C2203" s="2" t="s">
        <v>21453</v>
      </c>
      <c r="D2203" s="2" t="s">
        <v>21454</v>
      </c>
      <c r="E2203" s="2" t="s">
        <v>21455</v>
      </c>
      <c r="G2203" s="3" t="s">
        <v>62</v>
      </c>
      <c r="I2203" s="3" t="s">
        <v>62</v>
      </c>
      <c r="J2203" s="3" t="s">
        <v>62</v>
      </c>
      <c r="K2203" s="3" t="s">
        <v>63</v>
      </c>
      <c r="M2203" s="2" t="s">
        <v>21456</v>
      </c>
      <c r="N2203" s="3" t="s">
        <v>2107</v>
      </c>
      <c r="P2203" s="3" t="s">
        <v>65</v>
      </c>
      <c r="Q2203" s="2" t="s">
        <v>3634</v>
      </c>
      <c r="R2203" s="3" t="s">
        <v>66</v>
      </c>
      <c r="S2203" s="4">
        <v>30</v>
      </c>
      <c r="T2203" s="4">
        <v>30</v>
      </c>
      <c r="U2203" s="5" t="s">
        <v>1225</v>
      </c>
      <c r="V2203" s="5" t="s">
        <v>1225</v>
      </c>
      <c r="W2203" s="5" t="s">
        <v>67</v>
      </c>
      <c r="X2203" s="5" t="s">
        <v>67</v>
      </c>
      <c r="Y2203" s="4">
        <v>485</v>
      </c>
      <c r="Z2203" s="4">
        <v>40</v>
      </c>
      <c r="AA2203" s="4">
        <v>91</v>
      </c>
      <c r="AB2203" s="4">
        <v>2</v>
      </c>
      <c r="AC2203" s="4">
        <v>14</v>
      </c>
      <c r="AD2203" s="4">
        <v>122</v>
      </c>
      <c r="AE2203" s="4">
        <v>148</v>
      </c>
      <c r="AF2203" s="4">
        <v>1</v>
      </c>
      <c r="AG2203" s="4">
        <v>8</v>
      </c>
      <c r="AH2203" s="4">
        <v>100</v>
      </c>
      <c r="AI2203" s="4">
        <v>107</v>
      </c>
      <c r="AJ2203" s="4">
        <v>20</v>
      </c>
      <c r="AK2203" s="4">
        <v>26</v>
      </c>
      <c r="AL2203" s="4">
        <v>52</v>
      </c>
      <c r="AM2203" s="4">
        <v>56</v>
      </c>
      <c r="AN2203" s="4">
        <v>0</v>
      </c>
      <c r="AO2203" s="4">
        <v>0</v>
      </c>
      <c r="AP2203" s="4">
        <v>32</v>
      </c>
      <c r="AQ2203" s="4">
        <v>50</v>
      </c>
      <c r="AR2203" s="3" t="s">
        <v>62</v>
      </c>
      <c r="AS2203" s="3" t="s">
        <v>62</v>
      </c>
      <c r="AT2203" s="3" t="s">
        <v>62</v>
      </c>
      <c r="AV2203" s="6" t="str">
        <f>HYPERLINK("http://mcgill.on.worldcat.org/oclc/10823185","Catalog Record")</f>
        <v>Catalog Record</v>
      </c>
      <c r="AW2203" s="6" t="str">
        <f>HYPERLINK("http://www.worldcat.org/oclc/10823185","WorldCat Record")</f>
        <v>WorldCat Record</v>
      </c>
      <c r="AX2203" s="3" t="s">
        <v>21457</v>
      </c>
      <c r="AY2203" s="3" t="s">
        <v>21458</v>
      </c>
      <c r="AZ2203" s="3" t="s">
        <v>21459</v>
      </c>
      <c r="BA2203" s="3" t="s">
        <v>21459</v>
      </c>
      <c r="BB2203" s="3" t="s">
        <v>21460</v>
      </c>
      <c r="BC2203" s="3" t="s">
        <v>142</v>
      </c>
      <c r="BD2203" s="3" t="s">
        <v>68</v>
      </c>
      <c r="BE2203" s="3" t="s">
        <v>21461</v>
      </c>
      <c r="BF2203" s="3" t="s">
        <v>21460</v>
      </c>
      <c r="BG2203" s="3" t="s">
        <v>21462</v>
      </c>
    </row>
    <row r="2204" spans="1:59" ht="57" x14ac:dyDescent="0.45">
      <c r="A2204" s="2" t="s">
        <v>59</v>
      </c>
      <c r="B2204" s="2" t="s">
        <v>60</v>
      </c>
      <c r="C2204" s="2" t="s">
        <v>21463</v>
      </c>
      <c r="D2204" s="2" t="s">
        <v>21464</v>
      </c>
      <c r="E2204" s="2" t="s">
        <v>21465</v>
      </c>
      <c r="G2204" s="3" t="s">
        <v>62</v>
      </c>
      <c r="I2204" s="3" t="s">
        <v>62</v>
      </c>
      <c r="J2204" s="3" t="s">
        <v>62</v>
      </c>
      <c r="K2204" s="3" t="s">
        <v>63</v>
      </c>
      <c r="M2204" s="2" t="s">
        <v>21466</v>
      </c>
      <c r="N2204" s="3" t="s">
        <v>116</v>
      </c>
      <c r="P2204" s="3" t="s">
        <v>65</v>
      </c>
      <c r="R2204" s="3" t="s">
        <v>66</v>
      </c>
      <c r="S2204" s="4">
        <v>0</v>
      </c>
      <c r="T2204" s="4">
        <v>0</v>
      </c>
      <c r="W2204" s="5" t="s">
        <v>67</v>
      </c>
      <c r="X2204" s="5" t="s">
        <v>67</v>
      </c>
      <c r="Y2204" s="4">
        <v>95</v>
      </c>
      <c r="Z2204" s="4">
        <v>12</v>
      </c>
      <c r="AA2204" s="4">
        <v>18</v>
      </c>
      <c r="AB2204" s="4">
        <v>1</v>
      </c>
      <c r="AC2204" s="4">
        <v>4</v>
      </c>
      <c r="AD2204" s="4">
        <v>35</v>
      </c>
      <c r="AE2204" s="4">
        <v>47</v>
      </c>
      <c r="AF2204" s="4">
        <v>0</v>
      </c>
      <c r="AG2204" s="4">
        <v>1</v>
      </c>
      <c r="AH2204" s="4">
        <v>32</v>
      </c>
      <c r="AI2204" s="4">
        <v>43</v>
      </c>
      <c r="AJ2204" s="4">
        <v>9</v>
      </c>
      <c r="AK2204" s="4">
        <v>12</v>
      </c>
      <c r="AL2204" s="4">
        <v>19</v>
      </c>
      <c r="AM2204" s="4">
        <v>25</v>
      </c>
      <c r="AN2204" s="4">
        <v>0</v>
      </c>
      <c r="AO2204" s="4">
        <v>0</v>
      </c>
      <c r="AP2204" s="4">
        <v>10</v>
      </c>
      <c r="AQ2204" s="4">
        <v>13</v>
      </c>
      <c r="AR2204" s="3" t="s">
        <v>62</v>
      </c>
      <c r="AS2204" s="3" t="s">
        <v>62</v>
      </c>
      <c r="AT2204" s="3" t="s">
        <v>62</v>
      </c>
      <c r="AV2204" s="6" t="str">
        <f>HYPERLINK("http://mcgill.on.worldcat.org/oclc/825558008","Catalog Record")</f>
        <v>Catalog Record</v>
      </c>
      <c r="AW2204" s="6" t="str">
        <f>HYPERLINK("http://www.worldcat.org/oclc/825558008","WorldCat Record")</f>
        <v>WorldCat Record</v>
      </c>
      <c r="AX2204" s="3" t="s">
        <v>21467</v>
      </c>
      <c r="AY2204" s="3" t="s">
        <v>21468</v>
      </c>
      <c r="AZ2204" s="3" t="s">
        <v>21469</v>
      </c>
      <c r="BA2204" s="3" t="s">
        <v>21469</v>
      </c>
      <c r="BB2204" s="3" t="s">
        <v>21470</v>
      </c>
      <c r="BC2204" s="3" t="s">
        <v>142</v>
      </c>
      <c r="BD2204" s="3" t="s">
        <v>68</v>
      </c>
      <c r="BE2204" s="3" t="s">
        <v>21471</v>
      </c>
      <c r="BF2204" s="3" t="s">
        <v>21470</v>
      </c>
      <c r="BG2204" s="3" t="s">
        <v>21472</v>
      </c>
    </row>
    <row r="2205" spans="1:59" ht="57" x14ac:dyDescent="0.45">
      <c r="A2205" s="2" t="s">
        <v>59</v>
      </c>
      <c r="B2205" s="2" t="s">
        <v>60</v>
      </c>
      <c r="C2205" s="2" t="s">
        <v>21473</v>
      </c>
      <c r="D2205" s="2" t="s">
        <v>21474</v>
      </c>
      <c r="E2205" s="2" t="s">
        <v>21475</v>
      </c>
      <c r="G2205" s="3" t="s">
        <v>62</v>
      </c>
      <c r="I2205" s="3" t="s">
        <v>62</v>
      </c>
      <c r="J2205" s="3" t="s">
        <v>62</v>
      </c>
      <c r="K2205" s="3" t="s">
        <v>63</v>
      </c>
      <c r="L2205" s="2" t="s">
        <v>21476</v>
      </c>
      <c r="M2205" s="2" t="s">
        <v>21477</v>
      </c>
      <c r="N2205" s="3" t="s">
        <v>945</v>
      </c>
      <c r="O2205" s="2" t="s">
        <v>933</v>
      </c>
      <c r="P2205" s="3" t="s">
        <v>65</v>
      </c>
      <c r="Q2205" s="2" t="s">
        <v>21478</v>
      </c>
      <c r="R2205" s="3" t="s">
        <v>66</v>
      </c>
      <c r="S2205" s="4">
        <v>9</v>
      </c>
      <c r="T2205" s="4">
        <v>9</v>
      </c>
      <c r="U2205" s="5" t="s">
        <v>1570</v>
      </c>
      <c r="V2205" s="5" t="s">
        <v>1570</v>
      </c>
      <c r="W2205" s="5" t="s">
        <v>67</v>
      </c>
      <c r="X2205" s="5" t="s">
        <v>67</v>
      </c>
      <c r="Y2205" s="4">
        <v>295</v>
      </c>
      <c r="Z2205" s="4">
        <v>19</v>
      </c>
      <c r="AA2205" s="4">
        <v>82</v>
      </c>
      <c r="AB2205" s="4">
        <v>2</v>
      </c>
      <c r="AC2205" s="4">
        <v>14</v>
      </c>
      <c r="AD2205" s="4">
        <v>84</v>
      </c>
      <c r="AE2205" s="4">
        <v>125</v>
      </c>
      <c r="AF2205" s="4">
        <v>1</v>
      </c>
      <c r="AG2205" s="4">
        <v>8</v>
      </c>
      <c r="AH2205" s="4">
        <v>70</v>
      </c>
      <c r="AI2205" s="4">
        <v>90</v>
      </c>
      <c r="AJ2205" s="4">
        <v>13</v>
      </c>
      <c r="AK2205" s="4">
        <v>24</v>
      </c>
      <c r="AL2205" s="4">
        <v>41</v>
      </c>
      <c r="AM2205" s="4">
        <v>48</v>
      </c>
      <c r="AN2205" s="4">
        <v>0</v>
      </c>
      <c r="AO2205" s="4">
        <v>0</v>
      </c>
      <c r="AP2205" s="4">
        <v>16</v>
      </c>
      <c r="AQ2205" s="4">
        <v>43</v>
      </c>
      <c r="AR2205" s="3" t="s">
        <v>62</v>
      </c>
      <c r="AS2205" s="3" t="s">
        <v>62</v>
      </c>
      <c r="AT2205" s="3" t="s">
        <v>62</v>
      </c>
      <c r="AV2205" s="6" t="str">
        <f>HYPERLINK("http://mcgill.on.worldcat.org/oclc/76798208","Catalog Record")</f>
        <v>Catalog Record</v>
      </c>
      <c r="AW2205" s="6" t="str">
        <f>HYPERLINK("http://www.worldcat.org/oclc/76798208","WorldCat Record")</f>
        <v>WorldCat Record</v>
      </c>
      <c r="AX2205" s="3" t="s">
        <v>21479</v>
      </c>
      <c r="AY2205" s="3" t="s">
        <v>21480</v>
      </c>
      <c r="AZ2205" s="3" t="s">
        <v>21481</v>
      </c>
      <c r="BA2205" s="3" t="s">
        <v>21481</v>
      </c>
      <c r="BB2205" s="3" t="s">
        <v>21482</v>
      </c>
      <c r="BC2205" s="3" t="s">
        <v>142</v>
      </c>
      <c r="BD2205" s="3" t="s">
        <v>68</v>
      </c>
      <c r="BE2205" s="3" t="s">
        <v>21483</v>
      </c>
      <c r="BF2205" s="3" t="s">
        <v>21482</v>
      </c>
      <c r="BG2205" s="3" t="s">
        <v>21484</v>
      </c>
    </row>
    <row r="2206" spans="1:59" ht="57" x14ac:dyDescent="0.45">
      <c r="A2206" s="2" t="s">
        <v>59</v>
      </c>
      <c r="B2206" s="2" t="s">
        <v>60</v>
      </c>
      <c r="C2206" s="2" t="s">
        <v>21485</v>
      </c>
      <c r="D2206" s="2" t="s">
        <v>21486</v>
      </c>
      <c r="E2206" s="2" t="s">
        <v>21487</v>
      </c>
      <c r="G2206" s="3" t="s">
        <v>62</v>
      </c>
      <c r="I2206" s="3" t="s">
        <v>62</v>
      </c>
      <c r="J2206" s="3" t="s">
        <v>62</v>
      </c>
      <c r="K2206" s="3" t="s">
        <v>63</v>
      </c>
      <c r="M2206" s="2" t="s">
        <v>21488</v>
      </c>
      <c r="N2206" s="3" t="s">
        <v>1059</v>
      </c>
      <c r="P2206" s="3" t="s">
        <v>65</v>
      </c>
      <c r="R2206" s="3" t="s">
        <v>66</v>
      </c>
      <c r="S2206" s="4">
        <v>3</v>
      </c>
      <c r="T2206" s="4">
        <v>3</v>
      </c>
      <c r="U2206" s="5" t="s">
        <v>21489</v>
      </c>
      <c r="V2206" s="5" t="s">
        <v>21489</v>
      </c>
      <c r="W2206" s="5" t="s">
        <v>67</v>
      </c>
      <c r="X2206" s="5" t="s">
        <v>67</v>
      </c>
      <c r="Y2206" s="4">
        <v>172</v>
      </c>
      <c r="Z2206" s="4">
        <v>21</v>
      </c>
      <c r="AA2206" s="4">
        <v>24</v>
      </c>
      <c r="AB2206" s="4">
        <v>2</v>
      </c>
      <c r="AC2206" s="4">
        <v>5</v>
      </c>
      <c r="AD2206" s="4">
        <v>83</v>
      </c>
      <c r="AE2206" s="4">
        <v>83</v>
      </c>
      <c r="AF2206" s="4">
        <v>1</v>
      </c>
      <c r="AG2206" s="4">
        <v>1</v>
      </c>
      <c r="AH2206" s="4">
        <v>74</v>
      </c>
      <c r="AI2206" s="4">
        <v>74</v>
      </c>
      <c r="AJ2206" s="4">
        <v>14</v>
      </c>
      <c r="AK2206" s="4">
        <v>14</v>
      </c>
      <c r="AL2206" s="4">
        <v>44</v>
      </c>
      <c r="AM2206" s="4">
        <v>44</v>
      </c>
      <c r="AN2206" s="4">
        <v>0</v>
      </c>
      <c r="AO2206" s="4">
        <v>0</v>
      </c>
      <c r="AP2206" s="4">
        <v>17</v>
      </c>
      <c r="AQ2206" s="4">
        <v>17</v>
      </c>
      <c r="AR2206" s="3" t="s">
        <v>62</v>
      </c>
      <c r="AS2206" s="3" t="s">
        <v>62</v>
      </c>
      <c r="AT2206" s="3" t="s">
        <v>61</v>
      </c>
      <c r="AU2206" s="6" t="str">
        <f>HYPERLINK("http://catalog.hathitrust.org/Record/005397920","HathiTrust Record")</f>
        <v>HathiTrust Record</v>
      </c>
      <c r="AV2206" s="6" t="str">
        <f>HYPERLINK("http://mcgill.on.worldcat.org/oclc/69331700","Catalog Record")</f>
        <v>Catalog Record</v>
      </c>
      <c r="AW2206" s="6" t="str">
        <f>HYPERLINK("http://www.worldcat.org/oclc/69331700","WorldCat Record")</f>
        <v>WorldCat Record</v>
      </c>
      <c r="AX2206" s="3" t="s">
        <v>21490</v>
      </c>
      <c r="AY2206" s="3" t="s">
        <v>21491</v>
      </c>
      <c r="AZ2206" s="3" t="s">
        <v>21492</v>
      </c>
      <c r="BA2206" s="3" t="s">
        <v>21492</v>
      </c>
      <c r="BB2206" s="3" t="s">
        <v>21493</v>
      </c>
      <c r="BC2206" s="3" t="s">
        <v>142</v>
      </c>
      <c r="BD2206" s="3" t="s">
        <v>68</v>
      </c>
      <c r="BE2206" s="3" t="s">
        <v>21494</v>
      </c>
      <c r="BF2206" s="3" t="s">
        <v>21493</v>
      </c>
      <c r="BG2206" s="3" t="s">
        <v>21495</v>
      </c>
    </row>
    <row r="2207" spans="1:59" ht="57" x14ac:dyDescent="0.45">
      <c r="A2207" s="2" t="s">
        <v>59</v>
      </c>
      <c r="B2207" s="2" t="s">
        <v>60</v>
      </c>
      <c r="C2207" s="2" t="s">
        <v>21496</v>
      </c>
      <c r="D2207" s="2" t="s">
        <v>21497</v>
      </c>
      <c r="E2207" s="2" t="s">
        <v>21498</v>
      </c>
      <c r="G2207" s="3" t="s">
        <v>62</v>
      </c>
      <c r="I2207" s="3" t="s">
        <v>62</v>
      </c>
      <c r="J2207" s="3" t="s">
        <v>62</v>
      </c>
      <c r="K2207" s="3" t="s">
        <v>63</v>
      </c>
      <c r="L2207" s="2" t="s">
        <v>21499</v>
      </c>
      <c r="M2207" s="2" t="s">
        <v>21500</v>
      </c>
      <c r="N2207" s="3" t="s">
        <v>894</v>
      </c>
      <c r="P2207" s="3" t="s">
        <v>110</v>
      </c>
      <c r="Q2207" s="2" t="s">
        <v>21501</v>
      </c>
      <c r="R2207" s="3" t="s">
        <v>66</v>
      </c>
      <c r="S2207" s="4">
        <v>0</v>
      </c>
      <c r="T2207" s="4">
        <v>0</v>
      </c>
      <c r="W2207" s="5" t="s">
        <v>67</v>
      </c>
      <c r="X2207" s="5" t="s">
        <v>67</v>
      </c>
      <c r="Y2207" s="4">
        <v>16</v>
      </c>
      <c r="Z2207" s="4">
        <v>5</v>
      </c>
      <c r="AA2207" s="4">
        <v>10</v>
      </c>
      <c r="AB2207" s="4">
        <v>1</v>
      </c>
      <c r="AC2207" s="4">
        <v>5</v>
      </c>
      <c r="AD2207" s="4">
        <v>9</v>
      </c>
      <c r="AE2207" s="4">
        <v>13</v>
      </c>
      <c r="AF2207" s="4">
        <v>0</v>
      </c>
      <c r="AG2207" s="4">
        <v>3</v>
      </c>
      <c r="AH2207" s="4">
        <v>8</v>
      </c>
      <c r="AI2207" s="4">
        <v>10</v>
      </c>
      <c r="AJ2207" s="4">
        <v>3</v>
      </c>
      <c r="AK2207" s="4">
        <v>7</v>
      </c>
      <c r="AL2207" s="4">
        <v>7</v>
      </c>
      <c r="AM2207" s="4">
        <v>7</v>
      </c>
      <c r="AN2207" s="4">
        <v>0</v>
      </c>
      <c r="AO2207" s="4">
        <v>0</v>
      </c>
      <c r="AP2207" s="4">
        <v>3</v>
      </c>
      <c r="AQ2207" s="4">
        <v>6</v>
      </c>
      <c r="AR2207" s="3" t="s">
        <v>62</v>
      </c>
      <c r="AS2207" s="3" t="s">
        <v>62</v>
      </c>
      <c r="AT2207" s="3" t="s">
        <v>62</v>
      </c>
      <c r="AV2207" s="6" t="str">
        <f>HYPERLINK("http://mcgill.on.worldcat.org/oclc/734008118","Catalog Record")</f>
        <v>Catalog Record</v>
      </c>
      <c r="AW2207" s="6" t="str">
        <f>HYPERLINK("http://www.worldcat.org/oclc/734008118","WorldCat Record")</f>
        <v>WorldCat Record</v>
      </c>
      <c r="AX2207" s="3" t="s">
        <v>21502</v>
      </c>
      <c r="AY2207" s="3" t="s">
        <v>21503</v>
      </c>
      <c r="AZ2207" s="3" t="s">
        <v>21504</v>
      </c>
      <c r="BA2207" s="3" t="s">
        <v>21504</v>
      </c>
      <c r="BB2207" s="3" t="s">
        <v>21505</v>
      </c>
      <c r="BC2207" s="3" t="s">
        <v>142</v>
      </c>
      <c r="BD2207" s="3" t="s">
        <v>68</v>
      </c>
      <c r="BE2207" s="3" t="s">
        <v>21506</v>
      </c>
      <c r="BF2207" s="3" t="s">
        <v>21505</v>
      </c>
      <c r="BG2207" s="3" t="s">
        <v>21507</v>
      </c>
    </row>
    <row r="2208" spans="1:59" ht="57" x14ac:dyDescent="0.45">
      <c r="A2208" s="2" t="s">
        <v>59</v>
      </c>
      <c r="B2208" s="2" t="s">
        <v>60</v>
      </c>
      <c r="C2208" s="2" t="s">
        <v>21508</v>
      </c>
      <c r="D2208" s="2" t="s">
        <v>21509</v>
      </c>
      <c r="E2208" s="2" t="s">
        <v>21510</v>
      </c>
      <c r="G2208" s="3" t="s">
        <v>62</v>
      </c>
      <c r="I2208" s="3" t="s">
        <v>62</v>
      </c>
      <c r="J2208" s="3" t="s">
        <v>62</v>
      </c>
      <c r="K2208" s="3" t="s">
        <v>63</v>
      </c>
      <c r="M2208" s="2" t="s">
        <v>21511</v>
      </c>
      <c r="N2208" s="3" t="s">
        <v>125</v>
      </c>
      <c r="P2208" s="3" t="s">
        <v>65</v>
      </c>
      <c r="R2208" s="3" t="s">
        <v>66</v>
      </c>
      <c r="S2208" s="4">
        <v>15</v>
      </c>
      <c r="T2208" s="4">
        <v>15</v>
      </c>
      <c r="U2208" s="5" t="s">
        <v>4748</v>
      </c>
      <c r="V2208" s="5" t="s">
        <v>4748</v>
      </c>
      <c r="W2208" s="5" t="s">
        <v>67</v>
      </c>
      <c r="X2208" s="5" t="s">
        <v>67</v>
      </c>
      <c r="Y2208" s="4">
        <v>87</v>
      </c>
      <c r="Z2208" s="4">
        <v>11</v>
      </c>
      <c r="AA2208" s="4">
        <v>17</v>
      </c>
      <c r="AB2208" s="4">
        <v>2</v>
      </c>
      <c r="AC2208" s="4">
        <v>3</v>
      </c>
      <c r="AD2208" s="4">
        <v>45</v>
      </c>
      <c r="AE2208" s="4">
        <v>75</v>
      </c>
      <c r="AF2208" s="4">
        <v>0</v>
      </c>
      <c r="AG2208" s="4">
        <v>1</v>
      </c>
      <c r="AH2208" s="4">
        <v>40</v>
      </c>
      <c r="AI2208" s="4">
        <v>67</v>
      </c>
      <c r="AJ2208" s="4">
        <v>7</v>
      </c>
      <c r="AK2208" s="4">
        <v>13</v>
      </c>
      <c r="AL2208" s="4">
        <v>26</v>
      </c>
      <c r="AM2208" s="4">
        <v>41</v>
      </c>
      <c r="AN2208" s="4">
        <v>0</v>
      </c>
      <c r="AO2208" s="4">
        <v>0</v>
      </c>
      <c r="AP2208" s="4">
        <v>8</v>
      </c>
      <c r="AQ2208" s="4">
        <v>13</v>
      </c>
      <c r="AR2208" s="3" t="s">
        <v>62</v>
      </c>
      <c r="AS2208" s="3" t="s">
        <v>62</v>
      </c>
      <c r="AT2208" s="3" t="s">
        <v>62</v>
      </c>
      <c r="AV2208" s="6" t="str">
        <f>HYPERLINK("http://mcgill.on.worldcat.org/oclc/22422392","Catalog Record")</f>
        <v>Catalog Record</v>
      </c>
      <c r="AW2208" s="6" t="str">
        <f>HYPERLINK("http://www.worldcat.org/oclc/22422392","WorldCat Record")</f>
        <v>WorldCat Record</v>
      </c>
      <c r="AX2208" s="3" t="s">
        <v>21512</v>
      </c>
      <c r="AY2208" s="3" t="s">
        <v>21513</v>
      </c>
      <c r="AZ2208" s="3" t="s">
        <v>21514</v>
      </c>
      <c r="BA2208" s="3" t="s">
        <v>21514</v>
      </c>
      <c r="BB2208" s="3" t="s">
        <v>21515</v>
      </c>
      <c r="BC2208" s="3" t="s">
        <v>142</v>
      </c>
      <c r="BD2208" s="3" t="s">
        <v>68</v>
      </c>
      <c r="BE2208" s="3" t="s">
        <v>21516</v>
      </c>
      <c r="BF2208" s="3" t="s">
        <v>21515</v>
      </c>
      <c r="BG2208" s="3" t="s">
        <v>21517</v>
      </c>
    </row>
    <row r="2209" spans="1:59" ht="57" x14ac:dyDescent="0.45">
      <c r="A2209" s="2" t="s">
        <v>59</v>
      </c>
      <c r="B2209" s="2" t="s">
        <v>60</v>
      </c>
      <c r="C2209" s="2" t="s">
        <v>21518</v>
      </c>
      <c r="D2209" s="2" t="s">
        <v>21519</v>
      </c>
      <c r="E2209" s="2" t="s">
        <v>21520</v>
      </c>
      <c r="G2209" s="3" t="s">
        <v>62</v>
      </c>
      <c r="I2209" s="3" t="s">
        <v>62</v>
      </c>
      <c r="J2209" s="3" t="s">
        <v>62</v>
      </c>
      <c r="K2209" s="3" t="s">
        <v>63</v>
      </c>
      <c r="M2209" s="2" t="s">
        <v>21521</v>
      </c>
      <c r="N2209" s="3" t="s">
        <v>125</v>
      </c>
      <c r="P2209" s="3" t="s">
        <v>65</v>
      </c>
      <c r="R2209" s="3" t="s">
        <v>66</v>
      </c>
      <c r="S2209" s="4">
        <v>27</v>
      </c>
      <c r="T2209" s="4">
        <v>27</v>
      </c>
      <c r="U2209" s="5" t="s">
        <v>372</v>
      </c>
      <c r="V2209" s="5" t="s">
        <v>372</v>
      </c>
      <c r="W2209" s="5" t="s">
        <v>67</v>
      </c>
      <c r="X2209" s="5" t="s">
        <v>67</v>
      </c>
      <c r="Y2209" s="4">
        <v>377</v>
      </c>
      <c r="Z2209" s="4">
        <v>26</v>
      </c>
      <c r="AA2209" s="4">
        <v>27</v>
      </c>
      <c r="AB2209" s="4">
        <v>1</v>
      </c>
      <c r="AC2209" s="4">
        <v>2</v>
      </c>
      <c r="AD2209" s="4">
        <v>121</v>
      </c>
      <c r="AE2209" s="4">
        <v>122</v>
      </c>
      <c r="AF2209" s="4">
        <v>0</v>
      </c>
      <c r="AG2209" s="4">
        <v>1</v>
      </c>
      <c r="AH2209" s="4">
        <v>107</v>
      </c>
      <c r="AI2209" s="4">
        <v>107</v>
      </c>
      <c r="AJ2209" s="4">
        <v>17</v>
      </c>
      <c r="AK2209" s="4">
        <v>18</v>
      </c>
      <c r="AL2209" s="4">
        <v>58</v>
      </c>
      <c r="AM2209" s="4">
        <v>58</v>
      </c>
      <c r="AN2209" s="4">
        <v>0</v>
      </c>
      <c r="AO2209" s="4">
        <v>0</v>
      </c>
      <c r="AP2209" s="4">
        <v>22</v>
      </c>
      <c r="AQ2209" s="4">
        <v>22</v>
      </c>
      <c r="AR2209" s="3" t="s">
        <v>62</v>
      </c>
      <c r="AS2209" s="3" t="s">
        <v>62</v>
      </c>
      <c r="AT2209" s="3" t="s">
        <v>61</v>
      </c>
      <c r="AU2209" s="6" t="str">
        <f>HYPERLINK("http://catalog.hathitrust.org/Record/001950024","HathiTrust Record")</f>
        <v>HathiTrust Record</v>
      </c>
      <c r="AV2209" s="6" t="str">
        <f>HYPERLINK("http://mcgill.on.worldcat.org/oclc/19886143","Catalog Record")</f>
        <v>Catalog Record</v>
      </c>
      <c r="AW2209" s="6" t="str">
        <f>HYPERLINK("http://www.worldcat.org/oclc/19886143","WorldCat Record")</f>
        <v>WorldCat Record</v>
      </c>
      <c r="AX2209" s="3" t="s">
        <v>21522</v>
      </c>
      <c r="AY2209" s="3" t="s">
        <v>21523</v>
      </c>
      <c r="AZ2209" s="3" t="s">
        <v>21524</v>
      </c>
      <c r="BA2209" s="3" t="s">
        <v>21524</v>
      </c>
      <c r="BB2209" s="3" t="s">
        <v>21525</v>
      </c>
      <c r="BC2209" s="3" t="s">
        <v>142</v>
      </c>
      <c r="BD2209" s="3" t="s">
        <v>68</v>
      </c>
      <c r="BE2209" s="3" t="s">
        <v>21526</v>
      </c>
      <c r="BF2209" s="3" t="s">
        <v>21525</v>
      </c>
      <c r="BG2209" s="3" t="s">
        <v>21527</v>
      </c>
    </row>
    <row r="2210" spans="1:59" ht="57" x14ac:dyDescent="0.45">
      <c r="A2210" s="2" t="s">
        <v>59</v>
      </c>
      <c r="B2210" s="2" t="s">
        <v>60</v>
      </c>
      <c r="C2210" s="2" t="s">
        <v>21528</v>
      </c>
      <c r="D2210" s="2" t="s">
        <v>21529</v>
      </c>
      <c r="E2210" s="2" t="s">
        <v>21530</v>
      </c>
      <c r="G2210" s="3" t="s">
        <v>62</v>
      </c>
      <c r="I2210" s="3" t="s">
        <v>62</v>
      </c>
      <c r="J2210" s="3" t="s">
        <v>62</v>
      </c>
      <c r="K2210" s="3" t="s">
        <v>63</v>
      </c>
      <c r="L2210" s="2" t="s">
        <v>21531</v>
      </c>
      <c r="M2210" s="2" t="s">
        <v>7877</v>
      </c>
      <c r="N2210" s="3" t="s">
        <v>1465</v>
      </c>
      <c r="P2210" s="3" t="s">
        <v>65</v>
      </c>
      <c r="Q2210" s="2" t="s">
        <v>21532</v>
      </c>
      <c r="R2210" s="3" t="s">
        <v>66</v>
      </c>
      <c r="S2210" s="4">
        <v>4</v>
      </c>
      <c r="T2210" s="4">
        <v>4</v>
      </c>
      <c r="U2210" s="5" t="s">
        <v>17874</v>
      </c>
      <c r="V2210" s="5" t="s">
        <v>17874</v>
      </c>
      <c r="W2210" s="5" t="s">
        <v>67</v>
      </c>
      <c r="X2210" s="5" t="s">
        <v>67</v>
      </c>
      <c r="Y2210" s="4">
        <v>130</v>
      </c>
      <c r="Z2210" s="4">
        <v>10</v>
      </c>
      <c r="AA2210" s="4">
        <v>100</v>
      </c>
      <c r="AB2210" s="4">
        <v>2</v>
      </c>
      <c r="AC2210" s="4">
        <v>18</v>
      </c>
      <c r="AD2210" s="4">
        <v>48</v>
      </c>
      <c r="AE2210" s="4">
        <v>119</v>
      </c>
      <c r="AF2210" s="4">
        <v>0</v>
      </c>
      <c r="AG2210" s="4">
        <v>8</v>
      </c>
      <c r="AH2210" s="4">
        <v>43</v>
      </c>
      <c r="AI2210" s="4">
        <v>83</v>
      </c>
      <c r="AJ2210" s="4">
        <v>6</v>
      </c>
      <c r="AK2210" s="4">
        <v>22</v>
      </c>
      <c r="AL2210" s="4">
        <v>29</v>
      </c>
      <c r="AM2210" s="4">
        <v>43</v>
      </c>
      <c r="AN2210" s="4">
        <v>0</v>
      </c>
      <c r="AO2210" s="4">
        <v>0</v>
      </c>
      <c r="AP2210" s="4">
        <v>7</v>
      </c>
      <c r="AQ2210" s="4">
        <v>43</v>
      </c>
      <c r="AR2210" s="3" t="s">
        <v>62</v>
      </c>
      <c r="AS2210" s="3" t="s">
        <v>62</v>
      </c>
      <c r="AT2210" s="3" t="s">
        <v>62</v>
      </c>
      <c r="AV2210" s="6" t="str">
        <f>HYPERLINK("http://mcgill.on.worldcat.org/oclc/271812208","Catalog Record")</f>
        <v>Catalog Record</v>
      </c>
      <c r="AW2210" s="6" t="str">
        <f>HYPERLINK("http://www.worldcat.org/oclc/271812208","WorldCat Record")</f>
        <v>WorldCat Record</v>
      </c>
      <c r="AX2210" s="3" t="s">
        <v>21533</v>
      </c>
      <c r="AY2210" s="3" t="s">
        <v>21534</v>
      </c>
      <c r="AZ2210" s="3" t="s">
        <v>21535</v>
      </c>
      <c r="BA2210" s="3" t="s">
        <v>21535</v>
      </c>
      <c r="BB2210" s="3" t="s">
        <v>21536</v>
      </c>
      <c r="BC2210" s="3" t="s">
        <v>142</v>
      </c>
      <c r="BD2210" s="3" t="s">
        <v>68</v>
      </c>
      <c r="BE2210" s="3" t="s">
        <v>21537</v>
      </c>
      <c r="BF2210" s="3" t="s">
        <v>21536</v>
      </c>
      <c r="BG2210" s="3" t="s">
        <v>21538</v>
      </c>
    </row>
    <row r="2211" spans="1:59" ht="57" x14ac:dyDescent="0.45">
      <c r="A2211" s="2" t="s">
        <v>59</v>
      </c>
      <c r="B2211" s="2" t="s">
        <v>60</v>
      </c>
      <c r="C2211" s="2" t="s">
        <v>21539</v>
      </c>
      <c r="D2211" s="2" t="s">
        <v>21540</v>
      </c>
      <c r="E2211" s="2" t="s">
        <v>21541</v>
      </c>
      <c r="G2211" s="3" t="s">
        <v>62</v>
      </c>
      <c r="I2211" s="3" t="s">
        <v>62</v>
      </c>
      <c r="J2211" s="3" t="s">
        <v>62</v>
      </c>
      <c r="K2211" s="3" t="s">
        <v>63</v>
      </c>
      <c r="M2211" s="2" t="s">
        <v>21542</v>
      </c>
      <c r="N2211" s="3" t="s">
        <v>1604</v>
      </c>
      <c r="P2211" s="3" t="s">
        <v>65</v>
      </c>
      <c r="Q2211" s="2" t="s">
        <v>21543</v>
      </c>
      <c r="R2211" s="3" t="s">
        <v>66</v>
      </c>
      <c r="S2211" s="4">
        <v>3</v>
      </c>
      <c r="T2211" s="4">
        <v>3</v>
      </c>
      <c r="U2211" s="5" t="s">
        <v>1663</v>
      </c>
      <c r="V2211" s="5" t="s">
        <v>1663</v>
      </c>
      <c r="W2211" s="5" t="s">
        <v>67</v>
      </c>
      <c r="X2211" s="5" t="s">
        <v>67</v>
      </c>
      <c r="Y2211" s="4">
        <v>144</v>
      </c>
      <c r="Z2211" s="4">
        <v>6</v>
      </c>
      <c r="AA2211" s="4">
        <v>7</v>
      </c>
      <c r="AB2211" s="4">
        <v>1</v>
      </c>
      <c r="AC2211" s="4">
        <v>2</v>
      </c>
      <c r="AD2211" s="4">
        <v>47</v>
      </c>
      <c r="AE2211" s="4">
        <v>48</v>
      </c>
      <c r="AF2211" s="4">
        <v>0</v>
      </c>
      <c r="AG2211" s="4">
        <v>1</v>
      </c>
      <c r="AH2211" s="4">
        <v>44</v>
      </c>
      <c r="AI2211" s="4">
        <v>45</v>
      </c>
      <c r="AJ2211" s="4">
        <v>2</v>
      </c>
      <c r="AK2211" s="4">
        <v>3</v>
      </c>
      <c r="AL2211" s="4">
        <v>26</v>
      </c>
      <c r="AM2211" s="4">
        <v>26</v>
      </c>
      <c r="AN2211" s="4">
        <v>0</v>
      </c>
      <c r="AO2211" s="4">
        <v>0</v>
      </c>
      <c r="AP2211" s="4">
        <v>4</v>
      </c>
      <c r="AQ2211" s="4">
        <v>5</v>
      </c>
      <c r="AR2211" s="3" t="s">
        <v>62</v>
      </c>
      <c r="AS2211" s="3" t="s">
        <v>62</v>
      </c>
      <c r="AT2211" s="3" t="s">
        <v>61</v>
      </c>
      <c r="AU2211" s="6" t="str">
        <f>HYPERLINK("http://catalog.hathitrust.org/Record/002916347","HathiTrust Record")</f>
        <v>HathiTrust Record</v>
      </c>
      <c r="AV2211" s="6" t="str">
        <f>HYPERLINK("http://mcgill.on.worldcat.org/oclc/30814670","Catalog Record")</f>
        <v>Catalog Record</v>
      </c>
      <c r="AW2211" s="6" t="str">
        <f>HYPERLINK("http://www.worldcat.org/oclc/30814670","WorldCat Record")</f>
        <v>WorldCat Record</v>
      </c>
      <c r="AX2211" s="3" t="s">
        <v>21544</v>
      </c>
      <c r="AY2211" s="3" t="s">
        <v>21545</v>
      </c>
      <c r="AZ2211" s="3" t="s">
        <v>21546</v>
      </c>
      <c r="BA2211" s="3" t="s">
        <v>21546</v>
      </c>
      <c r="BB2211" s="3" t="s">
        <v>21547</v>
      </c>
      <c r="BC2211" s="3" t="s">
        <v>142</v>
      </c>
      <c r="BD2211" s="3" t="s">
        <v>68</v>
      </c>
      <c r="BE2211" s="3" t="s">
        <v>21548</v>
      </c>
      <c r="BF2211" s="3" t="s">
        <v>21547</v>
      </c>
      <c r="BG2211" s="3" t="s">
        <v>21549</v>
      </c>
    </row>
    <row r="2212" spans="1:59" ht="57" x14ac:dyDescent="0.45">
      <c r="A2212" s="2" t="s">
        <v>59</v>
      </c>
      <c r="B2212" s="2" t="s">
        <v>60</v>
      </c>
      <c r="C2212" s="2" t="s">
        <v>21550</v>
      </c>
      <c r="D2212" s="2" t="s">
        <v>21551</v>
      </c>
      <c r="E2212" s="2" t="s">
        <v>21552</v>
      </c>
      <c r="G2212" s="3" t="s">
        <v>62</v>
      </c>
      <c r="I2212" s="3" t="s">
        <v>62</v>
      </c>
      <c r="J2212" s="3" t="s">
        <v>62</v>
      </c>
      <c r="K2212" s="3" t="s">
        <v>63</v>
      </c>
      <c r="L2212" s="2" t="s">
        <v>21553</v>
      </c>
      <c r="M2212" s="2" t="s">
        <v>21554</v>
      </c>
      <c r="N2212" s="3" t="s">
        <v>1855</v>
      </c>
      <c r="P2212" s="3" t="s">
        <v>65</v>
      </c>
      <c r="Q2212" s="2" t="s">
        <v>21555</v>
      </c>
      <c r="R2212" s="3" t="s">
        <v>66</v>
      </c>
      <c r="S2212" s="4">
        <v>5</v>
      </c>
      <c r="T2212" s="4">
        <v>5</v>
      </c>
      <c r="U2212" s="5" t="s">
        <v>1570</v>
      </c>
      <c r="V2212" s="5" t="s">
        <v>1570</v>
      </c>
      <c r="W2212" s="5" t="s">
        <v>67</v>
      </c>
      <c r="X2212" s="5" t="s">
        <v>67</v>
      </c>
      <c r="Y2212" s="4">
        <v>95</v>
      </c>
      <c r="Z2212" s="4">
        <v>5</v>
      </c>
      <c r="AA2212" s="4">
        <v>98</v>
      </c>
      <c r="AB2212" s="4">
        <v>1</v>
      </c>
      <c r="AC2212" s="4">
        <v>17</v>
      </c>
      <c r="AD2212" s="4">
        <v>44</v>
      </c>
      <c r="AE2212" s="4">
        <v>116</v>
      </c>
      <c r="AF2212" s="4">
        <v>0</v>
      </c>
      <c r="AG2212" s="4">
        <v>8</v>
      </c>
      <c r="AH2212" s="4">
        <v>42</v>
      </c>
      <c r="AI2212" s="4">
        <v>81</v>
      </c>
      <c r="AJ2212" s="4">
        <v>3</v>
      </c>
      <c r="AK2212" s="4">
        <v>20</v>
      </c>
      <c r="AL2212" s="4">
        <v>28</v>
      </c>
      <c r="AM2212" s="4">
        <v>41</v>
      </c>
      <c r="AN2212" s="4">
        <v>0</v>
      </c>
      <c r="AO2212" s="4">
        <v>0</v>
      </c>
      <c r="AP2212" s="4">
        <v>3</v>
      </c>
      <c r="AQ2212" s="4">
        <v>41</v>
      </c>
      <c r="AR2212" s="3" t="s">
        <v>62</v>
      </c>
      <c r="AS2212" s="3" t="s">
        <v>62</v>
      </c>
      <c r="AT2212" s="3" t="s">
        <v>62</v>
      </c>
      <c r="AV2212" s="6" t="str">
        <f>HYPERLINK("http://mcgill.on.worldcat.org/oclc/60245536","Catalog Record")</f>
        <v>Catalog Record</v>
      </c>
      <c r="AW2212" s="6" t="str">
        <f>HYPERLINK("http://www.worldcat.org/oclc/60245536","WorldCat Record")</f>
        <v>WorldCat Record</v>
      </c>
      <c r="AX2212" s="3" t="s">
        <v>21556</v>
      </c>
      <c r="AY2212" s="3" t="s">
        <v>21557</v>
      </c>
      <c r="AZ2212" s="3" t="s">
        <v>21558</v>
      </c>
      <c r="BA2212" s="3" t="s">
        <v>21558</v>
      </c>
      <c r="BB2212" s="3" t="s">
        <v>21559</v>
      </c>
      <c r="BC2212" s="3" t="s">
        <v>142</v>
      </c>
      <c r="BD2212" s="3" t="s">
        <v>308</v>
      </c>
      <c r="BE2212" s="3" t="s">
        <v>21560</v>
      </c>
      <c r="BF2212" s="3" t="s">
        <v>21559</v>
      </c>
      <c r="BG2212" s="3" t="s">
        <v>21561</v>
      </c>
    </row>
    <row r="2213" spans="1:59" ht="57" x14ac:dyDescent="0.45">
      <c r="A2213" s="2" t="s">
        <v>59</v>
      </c>
      <c r="B2213" s="2" t="s">
        <v>60</v>
      </c>
      <c r="C2213" s="2" t="s">
        <v>21562</v>
      </c>
      <c r="D2213" s="2" t="s">
        <v>21563</v>
      </c>
      <c r="E2213" s="2" t="s">
        <v>21564</v>
      </c>
      <c r="G2213" s="3" t="s">
        <v>62</v>
      </c>
      <c r="I2213" s="3" t="s">
        <v>62</v>
      </c>
      <c r="J2213" s="3" t="s">
        <v>62</v>
      </c>
      <c r="K2213" s="3" t="s">
        <v>63</v>
      </c>
      <c r="L2213" s="2" t="s">
        <v>21565</v>
      </c>
      <c r="M2213" s="2" t="s">
        <v>3925</v>
      </c>
      <c r="N2213" s="3" t="s">
        <v>149</v>
      </c>
      <c r="P2213" s="3" t="s">
        <v>65</v>
      </c>
      <c r="Q2213" s="2" t="s">
        <v>21566</v>
      </c>
      <c r="R2213" s="3" t="s">
        <v>66</v>
      </c>
      <c r="S2213" s="4">
        <v>0</v>
      </c>
      <c r="T2213" s="4">
        <v>0</v>
      </c>
      <c r="W2213" s="5" t="s">
        <v>67</v>
      </c>
      <c r="X2213" s="5" t="s">
        <v>67</v>
      </c>
      <c r="Y2213" s="4">
        <v>69</v>
      </c>
      <c r="Z2213" s="4">
        <v>8</v>
      </c>
      <c r="AA2213" s="4">
        <v>94</v>
      </c>
      <c r="AB2213" s="4">
        <v>1</v>
      </c>
      <c r="AC2213" s="4">
        <v>17</v>
      </c>
      <c r="AD2213" s="4">
        <v>29</v>
      </c>
      <c r="AE2213" s="4">
        <v>111</v>
      </c>
      <c r="AF2213" s="4">
        <v>0</v>
      </c>
      <c r="AG2213" s="4">
        <v>8</v>
      </c>
      <c r="AH2213" s="4">
        <v>26</v>
      </c>
      <c r="AI2213" s="4">
        <v>76</v>
      </c>
      <c r="AJ2213" s="4">
        <v>6</v>
      </c>
      <c r="AK2213" s="4">
        <v>21</v>
      </c>
      <c r="AL2213" s="4">
        <v>16</v>
      </c>
      <c r="AM2213" s="4">
        <v>39</v>
      </c>
      <c r="AN2213" s="4">
        <v>0</v>
      </c>
      <c r="AO2213" s="4">
        <v>0</v>
      </c>
      <c r="AP2213" s="4">
        <v>6</v>
      </c>
      <c r="AQ2213" s="4">
        <v>42</v>
      </c>
      <c r="AR2213" s="3" t="s">
        <v>62</v>
      </c>
      <c r="AS2213" s="3" t="s">
        <v>62</v>
      </c>
      <c r="AT2213" s="3" t="s">
        <v>62</v>
      </c>
      <c r="AV2213" s="6" t="str">
        <f>HYPERLINK("http://mcgill.on.worldcat.org/oclc/662408211","Catalog Record")</f>
        <v>Catalog Record</v>
      </c>
      <c r="AW2213" s="6" t="str">
        <f>HYPERLINK("http://www.worldcat.org/oclc/662408211","WorldCat Record")</f>
        <v>WorldCat Record</v>
      </c>
      <c r="AX2213" s="3" t="s">
        <v>21567</v>
      </c>
      <c r="AY2213" s="3" t="s">
        <v>21568</v>
      </c>
      <c r="AZ2213" s="3" t="s">
        <v>21569</v>
      </c>
      <c r="BA2213" s="3" t="s">
        <v>21569</v>
      </c>
      <c r="BB2213" s="3" t="s">
        <v>21570</v>
      </c>
      <c r="BC2213" s="3" t="s">
        <v>142</v>
      </c>
      <c r="BD2213" s="3" t="s">
        <v>68</v>
      </c>
      <c r="BE2213" s="3" t="s">
        <v>21571</v>
      </c>
      <c r="BF2213" s="3" t="s">
        <v>21570</v>
      </c>
      <c r="BG2213" s="3" t="s">
        <v>21572</v>
      </c>
    </row>
    <row r="2214" spans="1:59" ht="57" x14ac:dyDescent="0.45">
      <c r="A2214" s="2" t="s">
        <v>59</v>
      </c>
      <c r="B2214" s="2" t="s">
        <v>60</v>
      </c>
      <c r="C2214" s="2" t="s">
        <v>21573</v>
      </c>
      <c r="D2214" s="2" t="s">
        <v>21574</v>
      </c>
      <c r="E2214" s="2" t="s">
        <v>21575</v>
      </c>
      <c r="G2214" s="3" t="s">
        <v>62</v>
      </c>
      <c r="I2214" s="3" t="s">
        <v>62</v>
      </c>
      <c r="J2214" s="3" t="s">
        <v>62</v>
      </c>
      <c r="K2214" s="3" t="s">
        <v>63</v>
      </c>
      <c r="L2214" s="2" t="s">
        <v>21576</v>
      </c>
      <c r="M2214" s="2" t="s">
        <v>1009</v>
      </c>
      <c r="N2214" s="3" t="s">
        <v>894</v>
      </c>
      <c r="P2214" s="3" t="s">
        <v>65</v>
      </c>
      <c r="Q2214" s="2" t="s">
        <v>21577</v>
      </c>
      <c r="R2214" s="3" t="s">
        <v>66</v>
      </c>
      <c r="S2214" s="4">
        <v>1</v>
      </c>
      <c r="T2214" s="4">
        <v>1</v>
      </c>
      <c r="U2214" s="5" t="s">
        <v>20840</v>
      </c>
      <c r="V2214" s="5" t="s">
        <v>20840</v>
      </c>
      <c r="W2214" s="5" t="s">
        <v>67</v>
      </c>
      <c r="X2214" s="5" t="s">
        <v>67</v>
      </c>
      <c r="Y2214" s="4">
        <v>195</v>
      </c>
      <c r="Z2214" s="4">
        <v>17</v>
      </c>
      <c r="AA2214" s="4">
        <v>79</v>
      </c>
      <c r="AB2214" s="4">
        <v>2</v>
      </c>
      <c r="AC2214" s="4">
        <v>15</v>
      </c>
      <c r="AD2214" s="4">
        <v>65</v>
      </c>
      <c r="AE2214" s="4">
        <v>124</v>
      </c>
      <c r="AF2214" s="4">
        <v>1</v>
      </c>
      <c r="AG2214" s="4">
        <v>8</v>
      </c>
      <c r="AH2214" s="4">
        <v>60</v>
      </c>
      <c r="AI2214" s="4">
        <v>91</v>
      </c>
      <c r="AJ2214" s="4">
        <v>11</v>
      </c>
      <c r="AK2214" s="4">
        <v>22</v>
      </c>
      <c r="AL2214" s="4">
        <v>32</v>
      </c>
      <c r="AM2214" s="4">
        <v>48</v>
      </c>
      <c r="AN2214" s="4">
        <v>0</v>
      </c>
      <c r="AO2214" s="4">
        <v>0</v>
      </c>
      <c r="AP2214" s="4">
        <v>12</v>
      </c>
      <c r="AQ2214" s="4">
        <v>42</v>
      </c>
      <c r="AR2214" s="3" t="s">
        <v>62</v>
      </c>
      <c r="AS2214" s="3" t="s">
        <v>62</v>
      </c>
      <c r="AT2214" s="3" t="s">
        <v>62</v>
      </c>
      <c r="AV2214" s="6" t="str">
        <f>HYPERLINK("http://mcgill.on.worldcat.org/oclc/212848874","Catalog Record")</f>
        <v>Catalog Record</v>
      </c>
      <c r="AW2214" s="6" t="str">
        <f>HYPERLINK("http://www.worldcat.org/oclc/212848874","WorldCat Record")</f>
        <v>WorldCat Record</v>
      </c>
      <c r="AX2214" s="3" t="s">
        <v>21578</v>
      </c>
      <c r="AY2214" s="3" t="s">
        <v>21579</v>
      </c>
      <c r="AZ2214" s="3" t="s">
        <v>21580</v>
      </c>
      <c r="BA2214" s="3" t="s">
        <v>21580</v>
      </c>
      <c r="BB2214" s="3" t="s">
        <v>21581</v>
      </c>
      <c r="BC2214" s="3" t="s">
        <v>142</v>
      </c>
      <c r="BD2214" s="3" t="s">
        <v>68</v>
      </c>
      <c r="BE2214" s="3" t="s">
        <v>21582</v>
      </c>
      <c r="BF2214" s="3" t="s">
        <v>21581</v>
      </c>
      <c r="BG2214" s="3" t="s">
        <v>21583</v>
      </c>
    </row>
    <row r="2215" spans="1:59" ht="57" x14ac:dyDescent="0.45">
      <c r="A2215" s="2" t="s">
        <v>59</v>
      </c>
      <c r="B2215" s="2" t="s">
        <v>60</v>
      </c>
      <c r="C2215" s="2" t="s">
        <v>21584</v>
      </c>
      <c r="D2215" s="2" t="s">
        <v>21585</v>
      </c>
      <c r="E2215" s="2" t="s">
        <v>21586</v>
      </c>
      <c r="G2215" s="3" t="s">
        <v>62</v>
      </c>
      <c r="I2215" s="3" t="s">
        <v>62</v>
      </c>
      <c r="J2215" s="3" t="s">
        <v>62</v>
      </c>
      <c r="K2215" s="3" t="s">
        <v>63</v>
      </c>
      <c r="M2215" s="2" t="s">
        <v>21587</v>
      </c>
      <c r="N2215" s="3" t="s">
        <v>1918</v>
      </c>
      <c r="P2215" s="3" t="s">
        <v>65</v>
      </c>
      <c r="Q2215" s="2" t="s">
        <v>21588</v>
      </c>
      <c r="R2215" s="3" t="s">
        <v>66</v>
      </c>
      <c r="S2215" s="4">
        <v>3</v>
      </c>
      <c r="T2215" s="4">
        <v>3</v>
      </c>
      <c r="U2215" s="5" t="s">
        <v>19395</v>
      </c>
      <c r="V2215" s="5" t="s">
        <v>19395</v>
      </c>
      <c r="W2215" s="5" t="s">
        <v>67</v>
      </c>
      <c r="X2215" s="5" t="s">
        <v>67</v>
      </c>
      <c r="Y2215" s="4">
        <v>32</v>
      </c>
      <c r="Z2215" s="4">
        <v>4</v>
      </c>
      <c r="AA2215" s="4">
        <v>9</v>
      </c>
      <c r="AB2215" s="4">
        <v>2</v>
      </c>
      <c r="AC2215" s="4">
        <v>5</v>
      </c>
      <c r="AD2215" s="4">
        <v>15</v>
      </c>
      <c r="AE2215" s="4">
        <v>25</v>
      </c>
      <c r="AF2215" s="4">
        <v>1</v>
      </c>
      <c r="AG2215" s="4">
        <v>1</v>
      </c>
      <c r="AH2215" s="4">
        <v>14</v>
      </c>
      <c r="AI2215" s="4">
        <v>24</v>
      </c>
      <c r="AJ2215" s="4">
        <v>3</v>
      </c>
      <c r="AK2215" s="4">
        <v>5</v>
      </c>
      <c r="AL2215" s="4">
        <v>9</v>
      </c>
      <c r="AM2215" s="4">
        <v>15</v>
      </c>
      <c r="AN2215" s="4">
        <v>0</v>
      </c>
      <c r="AO2215" s="4">
        <v>0</v>
      </c>
      <c r="AP2215" s="4">
        <v>3</v>
      </c>
      <c r="AQ2215" s="4">
        <v>5</v>
      </c>
      <c r="AR2215" s="3" t="s">
        <v>62</v>
      </c>
      <c r="AS2215" s="3" t="s">
        <v>62</v>
      </c>
      <c r="AT2215" s="3" t="s">
        <v>62</v>
      </c>
      <c r="AV2215" s="6" t="str">
        <f>HYPERLINK("http://mcgill.on.worldcat.org/oclc/963732818","Catalog Record")</f>
        <v>Catalog Record</v>
      </c>
      <c r="AW2215" s="6" t="str">
        <f>HYPERLINK("http://www.worldcat.org/oclc/963732818","WorldCat Record")</f>
        <v>WorldCat Record</v>
      </c>
      <c r="AX2215" s="3" t="s">
        <v>21589</v>
      </c>
      <c r="AY2215" s="3" t="s">
        <v>21590</v>
      </c>
      <c r="AZ2215" s="3" t="s">
        <v>21591</v>
      </c>
      <c r="BA2215" s="3" t="s">
        <v>21591</v>
      </c>
      <c r="BB2215" s="3" t="s">
        <v>21592</v>
      </c>
      <c r="BC2215" s="3" t="s">
        <v>142</v>
      </c>
      <c r="BD2215" s="3" t="s">
        <v>68</v>
      </c>
      <c r="BE2215" s="3" t="s">
        <v>21593</v>
      </c>
      <c r="BF2215" s="3" t="s">
        <v>21592</v>
      </c>
      <c r="BG2215" s="3" t="s">
        <v>21594</v>
      </c>
    </row>
    <row r="2216" spans="1:59" ht="57" x14ac:dyDescent="0.45">
      <c r="A2216" s="2" t="s">
        <v>59</v>
      </c>
      <c r="B2216" s="2" t="s">
        <v>60</v>
      </c>
      <c r="C2216" s="2" t="s">
        <v>21595</v>
      </c>
      <c r="D2216" s="2" t="s">
        <v>21596</v>
      </c>
      <c r="E2216" s="2" t="s">
        <v>21597</v>
      </c>
      <c r="G2216" s="3" t="s">
        <v>62</v>
      </c>
      <c r="I2216" s="3" t="s">
        <v>62</v>
      </c>
      <c r="J2216" s="3" t="s">
        <v>62</v>
      </c>
      <c r="K2216" s="3" t="s">
        <v>63</v>
      </c>
      <c r="L2216" s="2" t="s">
        <v>21598</v>
      </c>
      <c r="M2216" s="2" t="s">
        <v>21599</v>
      </c>
      <c r="N2216" s="3" t="s">
        <v>116</v>
      </c>
      <c r="P2216" s="3" t="s">
        <v>65</v>
      </c>
      <c r="R2216" s="3" t="s">
        <v>66</v>
      </c>
      <c r="S2216" s="4">
        <v>2</v>
      </c>
      <c r="T2216" s="4">
        <v>2</v>
      </c>
      <c r="U2216" s="5" t="s">
        <v>4782</v>
      </c>
      <c r="V2216" s="5" t="s">
        <v>4782</v>
      </c>
      <c r="W2216" s="5" t="s">
        <v>67</v>
      </c>
      <c r="X2216" s="5" t="s">
        <v>67</v>
      </c>
      <c r="Y2216" s="4">
        <v>180</v>
      </c>
      <c r="Z2216" s="4">
        <v>14</v>
      </c>
      <c r="AA2216" s="4">
        <v>43</v>
      </c>
      <c r="AB2216" s="4">
        <v>2</v>
      </c>
      <c r="AC2216" s="4">
        <v>8</v>
      </c>
      <c r="AD2216" s="4">
        <v>34</v>
      </c>
      <c r="AE2216" s="4">
        <v>84</v>
      </c>
      <c r="AF2216" s="4">
        <v>1</v>
      </c>
      <c r="AG2216" s="4">
        <v>2</v>
      </c>
      <c r="AH2216" s="4">
        <v>30</v>
      </c>
      <c r="AI2216" s="4">
        <v>75</v>
      </c>
      <c r="AJ2216" s="4">
        <v>7</v>
      </c>
      <c r="AK2216" s="4">
        <v>18</v>
      </c>
      <c r="AL2216" s="4">
        <v>21</v>
      </c>
      <c r="AM2216" s="4">
        <v>40</v>
      </c>
      <c r="AN2216" s="4">
        <v>0</v>
      </c>
      <c r="AO2216" s="4">
        <v>0</v>
      </c>
      <c r="AP2216" s="4">
        <v>9</v>
      </c>
      <c r="AQ2216" s="4">
        <v>21</v>
      </c>
      <c r="AR2216" s="3" t="s">
        <v>62</v>
      </c>
      <c r="AS2216" s="3" t="s">
        <v>62</v>
      </c>
      <c r="AT2216" s="3" t="s">
        <v>62</v>
      </c>
      <c r="AV2216" s="6" t="str">
        <f>HYPERLINK("http://mcgill.on.worldcat.org/oclc/812688661","Catalog Record")</f>
        <v>Catalog Record</v>
      </c>
      <c r="AW2216" s="6" t="str">
        <f>HYPERLINK("http://www.worldcat.org/oclc/812688661","WorldCat Record")</f>
        <v>WorldCat Record</v>
      </c>
      <c r="AX2216" s="3" t="s">
        <v>21600</v>
      </c>
      <c r="AY2216" s="3" t="s">
        <v>21601</v>
      </c>
      <c r="AZ2216" s="3" t="s">
        <v>21602</v>
      </c>
      <c r="BA2216" s="3" t="s">
        <v>21602</v>
      </c>
      <c r="BB2216" s="3" t="s">
        <v>21603</v>
      </c>
      <c r="BC2216" s="3" t="s">
        <v>142</v>
      </c>
      <c r="BD2216" s="3" t="s">
        <v>68</v>
      </c>
      <c r="BE2216" s="3" t="s">
        <v>21604</v>
      </c>
      <c r="BF2216" s="3" t="s">
        <v>21603</v>
      </c>
      <c r="BG2216" s="3" t="s">
        <v>21605</v>
      </c>
    </row>
    <row r="2217" spans="1:59" ht="57" x14ac:dyDescent="0.45">
      <c r="A2217" s="2" t="s">
        <v>59</v>
      </c>
      <c r="B2217" s="2" t="s">
        <v>60</v>
      </c>
      <c r="C2217" s="2" t="s">
        <v>21606</v>
      </c>
      <c r="D2217" s="2" t="s">
        <v>21607</v>
      </c>
      <c r="E2217" s="2" t="s">
        <v>21608</v>
      </c>
      <c r="G2217" s="3" t="s">
        <v>62</v>
      </c>
      <c r="I2217" s="3" t="s">
        <v>62</v>
      </c>
      <c r="J2217" s="3" t="s">
        <v>62</v>
      </c>
      <c r="K2217" s="3" t="s">
        <v>63</v>
      </c>
      <c r="M2217" s="2" t="s">
        <v>21609</v>
      </c>
      <c r="N2217" s="3" t="s">
        <v>116</v>
      </c>
      <c r="P2217" s="3" t="s">
        <v>65</v>
      </c>
      <c r="R2217" s="3" t="s">
        <v>66</v>
      </c>
      <c r="S2217" s="4">
        <v>9</v>
      </c>
      <c r="T2217" s="4">
        <v>9</v>
      </c>
      <c r="U2217" s="5" t="s">
        <v>21610</v>
      </c>
      <c r="V2217" s="5" t="s">
        <v>21610</v>
      </c>
      <c r="W2217" s="5" t="s">
        <v>67</v>
      </c>
      <c r="X2217" s="5" t="s">
        <v>67</v>
      </c>
      <c r="Y2217" s="4">
        <v>226</v>
      </c>
      <c r="Z2217" s="4">
        <v>22</v>
      </c>
      <c r="AA2217" s="4">
        <v>56</v>
      </c>
      <c r="AB2217" s="4">
        <v>2</v>
      </c>
      <c r="AC2217" s="4">
        <v>7</v>
      </c>
      <c r="AD2217" s="4">
        <v>74</v>
      </c>
      <c r="AE2217" s="4">
        <v>93</v>
      </c>
      <c r="AF2217" s="4">
        <v>1</v>
      </c>
      <c r="AG2217" s="4">
        <v>3</v>
      </c>
      <c r="AH2217" s="4">
        <v>66</v>
      </c>
      <c r="AI2217" s="4">
        <v>76</v>
      </c>
      <c r="AJ2217" s="4">
        <v>13</v>
      </c>
      <c r="AK2217" s="4">
        <v>18</v>
      </c>
      <c r="AL2217" s="4">
        <v>39</v>
      </c>
      <c r="AM2217" s="4">
        <v>43</v>
      </c>
      <c r="AN2217" s="4">
        <v>0</v>
      </c>
      <c r="AO2217" s="4">
        <v>0</v>
      </c>
      <c r="AP2217" s="4">
        <v>16</v>
      </c>
      <c r="AQ2217" s="4">
        <v>25</v>
      </c>
      <c r="AR2217" s="3" t="s">
        <v>62</v>
      </c>
      <c r="AS2217" s="3" t="s">
        <v>62</v>
      </c>
      <c r="AT2217" s="3" t="s">
        <v>62</v>
      </c>
      <c r="AV2217" s="6" t="str">
        <f>HYPERLINK("http://mcgill.on.worldcat.org/oclc/835970855","Catalog Record")</f>
        <v>Catalog Record</v>
      </c>
      <c r="AW2217" s="6" t="str">
        <f>HYPERLINK("http://www.worldcat.org/oclc/835970855","WorldCat Record")</f>
        <v>WorldCat Record</v>
      </c>
      <c r="AX2217" s="3" t="s">
        <v>21611</v>
      </c>
      <c r="AY2217" s="3" t="s">
        <v>21612</v>
      </c>
      <c r="AZ2217" s="3" t="s">
        <v>21613</v>
      </c>
      <c r="BA2217" s="3" t="s">
        <v>21613</v>
      </c>
      <c r="BB2217" s="3" t="s">
        <v>21614</v>
      </c>
      <c r="BC2217" s="3" t="s">
        <v>142</v>
      </c>
      <c r="BD2217" s="3" t="s">
        <v>308</v>
      </c>
      <c r="BE2217" s="3" t="s">
        <v>21615</v>
      </c>
      <c r="BF2217" s="3" t="s">
        <v>21614</v>
      </c>
      <c r="BG2217" s="3" t="s">
        <v>21616</v>
      </c>
    </row>
    <row r="2218" spans="1:59" ht="57" x14ac:dyDescent="0.45">
      <c r="A2218" s="2" t="s">
        <v>59</v>
      </c>
      <c r="B2218" s="2" t="s">
        <v>60</v>
      </c>
      <c r="C2218" s="2" t="s">
        <v>21617</v>
      </c>
      <c r="D2218" s="2" t="s">
        <v>21618</v>
      </c>
      <c r="E2218" s="2" t="s">
        <v>21619</v>
      </c>
      <c r="G2218" s="3" t="s">
        <v>62</v>
      </c>
      <c r="I2218" s="3" t="s">
        <v>62</v>
      </c>
      <c r="J2218" s="3" t="s">
        <v>62</v>
      </c>
      <c r="K2218" s="3" t="s">
        <v>63</v>
      </c>
      <c r="M2218" s="2" t="s">
        <v>2022</v>
      </c>
      <c r="N2218" s="3" t="s">
        <v>149</v>
      </c>
      <c r="P2218" s="3" t="s">
        <v>65</v>
      </c>
      <c r="R2218" s="3" t="s">
        <v>66</v>
      </c>
      <c r="S2218" s="4">
        <v>1</v>
      </c>
      <c r="T2218" s="4">
        <v>1</v>
      </c>
      <c r="U2218" s="5" t="s">
        <v>4418</v>
      </c>
      <c r="V2218" s="5" t="s">
        <v>4418</v>
      </c>
      <c r="W2218" s="5" t="s">
        <v>67</v>
      </c>
      <c r="X2218" s="5" t="s">
        <v>67</v>
      </c>
      <c r="Y2218" s="4">
        <v>154</v>
      </c>
      <c r="Z2218" s="4">
        <v>10</v>
      </c>
      <c r="AA2218" s="4">
        <v>22</v>
      </c>
      <c r="AB2218" s="4">
        <v>1</v>
      </c>
      <c r="AC2218" s="4">
        <v>9</v>
      </c>
      <c r="AD2218" s="4">
        <v>32</v>
      </c>
      <c r="AE2218" s="4">
        <v>54</v>
      </c>
      <c r="AF2218" s="4">
        <v>0</v>
      </c>
      <c r="AG2218" s="4">
        <v>4</v>
      </c>
      <c r="AH2218" s="4">
        <v>31</v>
      </c>
      <c r="AI2218" s="4">
        <v>46</v>
      </c>
      <c r="AJ2218" s="4">
        <v>5</v>
      </c>
      <c r="AK2218" s="4">
        <v>10</v>
      </c>
      <c r="AL2218" s="4">
        <v>18</v>
      </c>
      <c r="AM2218" s="4">
        <v>29</v>
      </c>
      <c r="AN2218" s="4">
        <v>0</v>
      </c>
      <c r="AO2218" s="4">
        <v>0</v>
      </c>
      <c r="AP2218" s="4">
        <v>5</v>
      </c>
      <c r="AQ2218" s="4">
        <v>11</v>
      </c>
      <c r="AR2218" s="3" t="s">
        <v>62</v>
      </c>
      <c r="AS2218" s="3" t="s">
        <v>62</v>
      </c>
      <c r="AT2218" s="3" t="s">
        <v>62</v>
      </c>
      <c r="AV2218" s="6" t="str">
        <f>HYPERLINK("http://mcgill.on.worldcat.org/oclc/230183190","Catalog Record")</f>
        <v>Catalog Record</v>
      </c>
      <c r="AW2218" s="6" t="str">
        <f>HYPERLINK("http://www.worldcat.org/oclc/230183190","WorldCat Record")</f>
        <v>WorldCat Record</v>
      </c>
      <c r="AX2218" s="3" t="s">
        <v>21620</v>
      </c>
      <c r="AY2218" s="3" t="s">
        <v>21621</v>
      </c>
      <c r="AZ2218" s="3" t="s">
        <v>21622</v>
      </c>
      <c r="BA2218" s="3" t="s">
        <v>21622</v>
      </c>
      <c r="BB2218" s="3" t="s">
        <v>21623</v>
      </c>
      <c r="BC2218" s="3" t="s">
        <v>142</v>
      </c>
      <c r="BD2218" s="3" t="s">
        <v>68</v>
      </c>
      <c r="BE2218" s="3" t="s">
        <v>21624</v>
      </c>
      <c r="BF2218" s="3" t="s">
        <v>21623</v>
      </c>
      <c r="BG2218" s="3" t="s">
        <v>21625</v>
      </c>
    </row>
    <row r="2219" spans="1:59" ht="57" x14ac:dyDescent="0.45">
      <c r="A2219" s="2" t="s">
        <v>59</v>
      </c>
      <c r="B2219" s="2" t="s">
        <v>60</v>
      </c>
      <c r="C2219" s="2" t="s">
        <v>21626</v>
      </c>
      <c r="D2219" s="2" t="s">
        <v>21627</v>
      </c>
      <c r="E2219" s="2" t="s">
        <v>21628</v>
      </c>
      <c r="G2219" s="3" t="s">
        <v>62</v>
      </c>
      <c r="I2219" s="3" t="s">
        <v>62</v>
      </c>
      <c r="J2219" s="3" t="s">
        <v>62</v>
      </c>
      <c r="K2219" s="3" t="s">
        <v>63</v>
      </c>
      <c r="L2219" s="2" t="s">
        <v>21629</v>
      </c>
      <c r="M2219" s="2" t="s">
        <v>21630</v>
      </c>
      <c r="N2219" s="3" t="s">
        <v>894</v>
      </c>
      <c r="O2219" s="2" t="s">
        <v>933</v>
      </c>
      <c r="P2219" s="3" t="s">
        <v>65</v>
      </c>
      <c r="Q2219" s="2" t="s">
        <v>3497</v>
      </c>
      <c r="R2219" s="3" t="s">
        <v>66</v>
      </c>
      <c r="S2219" s="4">
        <v>2</v>
      </c>
      <c r="T2219" s="4">
        <v>2</v>
      </c>
      <c r="U2219" s="5" t="s">
        <v>4805</v>
      </c>
      <c r="V2219" s="5" t="s">
        <v>4805</v>
      </c>
      <c r="W2219" s="5" t="s">
        <v>67</v>
      </c>
      <c r="X2219" s="5" t="s">
        <v>67</v>
      </c>
      <c r="Y2219" s="4">
        <v>80</v>
      </c>
      <c r="Z2219" s="4">
        <v>7</v>
      </c>
      <c r="AA2219" s="4">
        <v>26</v>
      </c>
      <c r="AB2219" s="4">
        <v>1</v>
      </c>
      <c r="AC2219" s="4">
        <v>9</v>
      </c>
      <c r="AD2219" s="4">
        <v>11</v>
      </c>
      <c r="AE2219" s="4">
        <v>47</v>
      </c>
      <c r="AF2219" s="4">
        <v>0</v>
      </c>
      <c r="AG2219" s="4">
        <v>3</v>
      </c>
      <c r="AH2219" s="4">
        <v>9</v>
      </c>
      <c r="AI2219" s="4">
        <v>37</v>
      </c>
      <c r="AJ2219" s="4">
        <v>4</v>
      </c>
      <c r="AK2219" s="4">
        <v>13</v>
      </c>
      <c r="AL2219" s="4">
        <v>6</v>
      </c>
      <c r="AM2219" s="4">
        <v>24</v>
      </c>
      <c r="AN2219" s="4">
        <v>0</v>
      </c>
      <c r="AO2219" s="4">
        <v>0</v>
      </c>
      <c r="AP2219" s="4">
        <v>5</v>
      </c>
      <c r="AQ2219" s="4">
        <v>15</v>
      </c>
      <c r="AR2219" s="3" t="s">
        <v>62</v>
      </c>
      <c r="AS2219" s="3" t="s">
        <v>62</v>
      </c>
      <c r="AT2219" s="3" t="s">
        <v>62</v>
      </c>
      <c r="AV2219" s="6" t="str">
        <f>HYPERLINK("http://mcgill.on.worldcat.org/oclc/667213215","Catalog Record")</f>
        <v>Catalog Record</v>
      </c>
      <c r="AW2219" s="6" t="str">
        <f>HYPERLINK("http://www.worldcat.org/oclc/667213215","WorldCat Record")</f>
        <v>WorldCat Record</v>
      </c>
      <c r="AX2219" s="3" t="s">
        <v>21631</v>
      </c>
      <c r="AY2219" s="3" t="s">
        <v>21632</v>
      </c>
      <c r="AZ2219" s="3" t="s">
        <v>21633</v>
      </c>
      <c r="BA2219" s="3" t="s">
        <v>21633</v>
      </c>
      <c r="BB2219" s="3" t="s">
        <v>21634</v>
      </c>
      <c r="BC2219" s="3" t="s">
        <v>142</v>
      </c>
      <c r="BD2219" s="3" t="s">
        <v>68</v>
      </c>
      <c r="BE2219" s="3" t="s">
        <v>21635</v>
      </c>
      <c r="BF2219" s="3" t="s">
        <v>21634</v>
      </c>
      <c r="BG2219" s="3" t="s">
        <v>21636</v>
      </c>
    </row>
    <row r="2220" spans="1:59" ht="57" x14ac:dyDescent="0.45">
      <c r="A2220" s="2" t="s">
        <v>59</v>
      </c>
      <c r="B2220" s="2" t="s">
        <v>60</v>
      </c>
      <c r="C2220" s="2" t="s">
        <v>21637</v>
      </c>
      <c r="D2220" s="2" t="s">
        <v>21638</v>
      </c>
      <c r="E2220" s="2" t="s">
        <v>21639</v>
      </c>
      <c r="G2220" s="3" t="s">
        <v>62</v>
      </c>
      <c r="I2220" s="3" t="s">
        <v>62</v>
      </c>
      <c r="J2220" s="3" t="s">
        <v>62</v>
      </c>
      <c r="K2220" s="3" t="s">
        <v>63</v>
      </c>
      <c r="M2220" s="2" t="s">
        <v>2560</v>
      </c>
      <c r="N2220" s="3" t="s">
        <v>149</v>
      </c>
      <c r="P2220" s="3" t="s">
        <v>65</v>
      </c>
      <c r="R2220" s="3" t="s">
        <v>66</v>
      </c>
      <c r="S2220" s="4">
        <v>0</v>
      </c>
      <c r="T2220" s="4">
        <v>0</v>
      </c>
      <c r="W2220" s="5" t="s">
        <v>67</v>
      </c>
      <c r="X2220" s="5" t="s">
        <v>67</v>
      </c>
      <c r="Y2220" s="4">
        <v>206</v>
      </c>
      <c r="Z2220" s="4">
        <v>18</v>
      </c>
      <c r="AA2220" s="4">
        <v>27</v>
      </c>
      <c r="AB2220" s="4">
        <v>1</v>
      </c>
      <c r="AC2220" s="4">
        <v>6</v>
      </c>
      <c r="AD2220" s="4">
        <v>80</v>
      </c>
      <c r="AE2220" s="4">
        <v>93</v>
      </c>
      <c r="AF2220" s="4">
        <v>0</v>
      </c>
      <c r="AG2220" s="4">
        <v>2</v>
      </c>
      <c r="AH2220" s="4">
        <v>75</v>
      </c>
      <c r="AI2220" s="4">
        <v>83</v>
      </c>
      <c r="AJ2220" s="4">
        <v>13</v>
      </c>
      <c r="AK2220" s="4">
        <v>17</v>
      </c>
      <c r="AL2220" s="4">
        <v>39</v>
      </c>
      <c r="AM2220" s="4">
        <v>42</v>
      </c>
      <c r="AN2220" s="4">
        <v>0</v>
      </c>
      <c r="AO2220" s="4">
        <v>0</v>
      </c>
      <c r="AP2220" s="4">
        <v>14</v>
      </c>
      <c r="AQ2220" s="4">
        <v>19</v>
      </c>
      <c r="AR2220" s="3" t="s">
        <v>62</v>
      </c>
      <c r="AS2220" s="3" t="s">
        <v>62</v>
      </c>
      <c r="AT2220" s="3" t="s">
        <v>62</v>
      </c>
      <c r="AV2220" s="6" t="str">
        <f>HYPERLINK("http://mcgill.on.worldcat.org/oclc/309836316","Catalog Record")</f>
        <v>Catalog Record</v>
      </c>
      <c r="AW2220" s="6" t="str">
        <f>HYPERLINK("http://www.worldcat.org/oclc/309836316","WorldCat Record")</f>
        <v>WorldCat Record</v>
      </c>
      <c r="AX2220" s="3" t="s">
        <v>21640</v>
      </c>
      <c r="AY2220" s="3" t="s">
        <v>21641</v>
      </c>
      <c r="AZ2220" s="3" t="s">
        <v>21642</v>
      </c>
      <c r="BA2220" s="3" t="s">
        <v>21642</v>
      </c>
      <c r="BB2220" s="3" t="s">
        <v>21643</v>
      </c>
      <c r="BC2220" s="3" t="s">
        <v>142</v>
      </c>
      <c r="BD2220" s="3" t="s">
        <v>68</v>
      </c>
      <c r="BE2220" s="3" t="s">
        <v>21644</v>
      </c>
      <c r="BF2220" s="3" t="s">
        <v>21643</v>
      </c>
      <c r="BG2220" s="3" t="s">
        <v>21645</v>
      </c>
    </row>
    <row r="2221" spans="1:59" ht="57" x14ac:dyDescent="0.45">
      <c r="A2221" s="2" t="s">
        <v>59</v>
      </c>
      <c r="B2221" s="2" t="s">
        <v>60</v>
      </c>
      <c r="C2221" s="2" t="s">
        <v>21646</v>
      </c>
      <c r="D2221" s="2" t="s">
        <v>21647</v>
      </c>
      <c r="E2221" s="2" t="s">
        <v>21648</v>
      </c>
      <c r="G2221" s="3" t="s">
        <v>62</v>
      </c>
      <c r="I2221" s="3" t="s">
        <v>62</v>
      </c>
      <c r="J2221" s="3" t="s">
        <v>62</v>
      </c>
      <c r="K2221" s="3" t="s">
        <v>63</v>
      </c>
      <c r="L2221" s="2" t="s">
        <v>21649</v>
      </c>
      <c r="M2221" s="2" t="s">
        <v>21650</v>
      </c>
      <c r="N2221" s="3" t="s">
        <v>1155</v>
      </c>
      <c r="P2221" s="3" t="s">
        <v>110</v>
      </c>
      <c r="Q2221" s="2" t="s">
        <v>21651</v>
      </c>
      <c r="R2221" s="3" t="s">
        <v>66</v>
      </c>
      <c r="S2221" s="4">
        <v>0</v>
      </c>
      <c r="T2221" s="4">
        <v>0</v>
      </c>
      <c r="W2221" s="5" t="s">
        <v>67</v>
      </c>
      <c r="X2221" s="5" t="s">
        <v>67</v>
      </c>
      <c r="Y2221" s="4">
        <v>3</v>
      </c>
      <c r="Z2221" s="4">
        <v>2</v>
      </c>
      <c r="AA2221" s="4">
        <v>92</v>
      </c>
      <c r="AB2221" s="4">
        <v>1</v>
      </c>
      <c r="AC2221" s="4">
        <v>19</v>
      </c>
      <c r="AD2221" s="4">
        <v>1</v>
      </c>
      <c r="AE2221" s="4">
        <v>85</v>
      </c>
      <c r="AF2221" s="4">
        <v>0</v>
      </c>
      <c r="AG2221" s="4">
        <v>8</v>
      </c>
      <c r="AH2221" s="4">
        <v>0</v>
      </c>
      <c r="AI2221" s="4">
        <v>52</v>
      </c>
      <c r="AJ2221" s="4">
        <v>1</v>
      </c>
      <c r="AK2221" s="4">
        <v>20</v>
      </c>
      <c r="AL2221" s="4">
        <v>0</v>
      </c>
      <c r="AM2221" s="4">
        <v>26</v>
      </c>
      <c r="AN2221" s="4">
        <v>0</v>
      </c>
      <c r="AO2221" s="4">
        <v>0</v>
      </c>
      <c r="AP2221" s="4">
        <v>1</v>
      </c>
      <c r="AQ2221" s="4">
        <v>40</v>
      </c>
      <c r="AR2221" s="3" t="s">
        <v>61</v>
      </c>
      <c r="AS2221" s="3" t="s">
        <v>62</v>
      </c>
      <c r="AT2221" s="3" t="s">
        <v>62</v>
      </c>
      <c r="AV2221" s="6" t="str">
        <f>HYPERLINK("http://mcgill.on.worldcat.org/oclc/780956140","Catalog Record")</f>
        <v>Catalog Record</v>
      </c>
      <c r="AW2221" s="6" t="str">
        <f>HYPERLINK("http://www.worldcat.org/oclc/780956140","WorldCat Record")</f>
        <v>WorldCat Record</v>
      </c>
      <c r="AX2221" s="3" t="s">
        <v>21652</v>
      </c>
      <c r="AY2221" s="3" t="s">
        <v>21653</v>
      </c>
      <c r="AZ2221" s="3" t="s">
        <v>21654</v>
      </c>
      <c r="BA2221" s="3" t="s">
        <v>21654</v>
      </c>
      <c r="BB2221" s="3" t="s">
        <v>21655</v>
      </c>
      <c r="BC2221" s="3" t="s">
        <v>142</v>
      </c>
      <c r="BD2221" s="3" t="s">
        <v>68</v>
      </c>
      <c r="BE2221" s="3" t="s">
        <v>21656</v>
      </c>
      <c r="BF2221" s="3" t="s">
        <v>21655</v>
      </c>
      <c r="BG2221" s="3" t="s">
        <v>21657</v>
      </c>
    </row>
    <row r="2222" spans="1:59" ht="57" x14ac:dyDescent="0.45">
      <c r="A2222" s="2" t="s">
        <v>59</v>
      </c>
      <c r="B2222" s="2" t="s">
        <v>60</v>
      </c>
      <c r="C2222" s="2" t="s">
        <v>21658</v>
      </c>
      <c r="D2222" s="2" t="s">
        <v>21659</v>
      </c>
      <c r="E2222" s="2" t="s">
        <v>21660</v>
      </c>
      <c r="G2222" s="3" t="s">
        <v>62</v>
      </c>
      <c r="I2222" s="3" t="s">
        <v>61</v>
      </c>
      <c r="J2222" s="3" t="s">
        <v>62</v>
      </c>
      <c r="K2222" s="3" t="s">
        <v>63</v>
      </c>
      <c r="L2222" s="2" t="s">
        <v>21661</v>
      </c>
      <c r="M2222" s="2" t="s">
        <v>21662</v>
      </c>
      <c r="N2222" s="3" t="s">
        <v>1437</v>
      </c>
      <c r="P2222" s="3" t="s">
        <v>65</v>
      </c>
      <c r="Q2222" s="2" t="s">
        <v>21663</v>
      </c>
      <c r="R2222" s="3" t="s">
        <v>66</v>
      </c>
      <c r="S2222" s="4">
        <v>7</v>
      </c>
      <c r="T2222" s="4">
        <v>23</v>
      </c>
      <c r="U2222" s="5" t="s">
        <v>21664</v>
      </c>
      <c r="V2222" s="5" t="s">
        <v>21665</v>
      </c>
      <c r="W2222" s="5" t="s">
        <v>67</v>
      </c>
      <c r="X2222" s="5" t="s">
        <v>67</v>
      </c>
      <c r="Y2222" s="4">
        <v>388</v>
      </c>
      <c r="Z2222" s="4">
        <v>24</v>
      </c>
      <c r="AA2222" s="4">
        <v>118</v>
      </c>
      <c r="AB2222" s="4">
        <v>1</v>
      </c>
      <c r="AC2222" s="4">
        <v>18</v>
      </c>
      <c r="AD2222" s="4">
        <v>112</v>
      </c>
      <c r="AE2222" s="4">
        <v>154</v>
      </c>
      <c r="AF2222" s="4">
        <v>0</v>
      </c>
      <c r="AG2222" s="4">
        <v>9</v>
      </c>
      <c r="AH2222" s="4">
        <v>100</v>
      </c>
      <c r="AI2222" s="4">
        <v>111</v>
      </c>
      <c r="AJ2222" s="4">
        <v>17</v>
      </c>
      <c r="AK2222" s="4">
        <v>27</v>
      </c>
      <c r="AL2222" s="4">
        <v>51</v>
      </c>
      <c r="AM2222" s="4">
        <v>55</v>
      </c>
      <c r="AN2222" s="4">
        <v>0</v>
      </c>
      <c r="AO2222" s="4">
        <v>0</v>
      </c>
      <c r="AP2222" s="4">
        <v>21</v>
      </c>
      <c r="AQ2222" s="4">
        <v>54</v>
      </c>
      <c r="AR2222" s="3" t="s">
        <v>62</v>
      </c>
      <c r="AS2222" s="3" t="s">
        <v>62</v>
      </c>
      <c r="AT2222" s="3" t="s">
        <v>62</v>
      </c>
      <c r="AV2222" s="6" t="str">
        <f>HYPERLINK("http://mcgill.on.worldcat.org/oclc/37935289","Catalog Record")</f>
        <v>Catalog Record</v>
      </c>
      <c r="AW2222" s="6" t="str">
        <f>HYPERLINK("http://www.worldcat.org/oclc/37935289","WorldCat Record")</f>
        <v>WorldCat Record</v>
      </c>
      <c r="AX2222" s="3" t="s">
        <v>21666</v>
      </c>
      <c r="AY2222" s="3" t="s">
        <v>21667</v>
      </c>
      <c r="AZ2222" s="3" t="s">
        <v>21668</v>
      </c>
      <c r="BA2222" s="3" t="s">
        <v>21668</v>
      </c>
      <c r="BB2222" s="3" t="s">
        <v>21669</v>
      </c>
      <c r="BC2222" s="3" t="s">
        <v>142</v>
      </c>
      <c r="BD2222" s="3" t="s">
        <v>68</v>
      </c>
      <c r="BE2222" s="3" t="s">
        <v>21670</v>
      </c>
      <c r="BF2222" s="3" t="s">
        <v>21669</v>
      </c>
      <c r="BG2222" s="3" t="s">
        <v>21671</v>
      </c>
    </row>
    <row r="2223" spans="1:59" ht="57" x14ac:dyDescent="0.45">
      <c r="A2223" s="2" t="s">
        <v>59</v>
      </c>
      <c r="B2223" s="2" t="s">
        <v>60</v>
      </c>
      <c r="C2223" s="2" t="s">
        <v>21658</v>
      </c>
      <c r="D2223" s="2" t="s">
        <v>21659</v>
      </c>
      <c r="E2223" s="2" t="s">
        <v>21660</v>
      </c>
      <c r="G2223" s="3" t="s">
        <v>62</v>
      </c>
      <c r="I2223" s="3" t="s">
        <v>61</v>
      </c>
      <c r="J2223" s="3" t="s">
        <v>62</v>
      </c>
      <c r="K2223" s="3" t="s">
        <v>63</v>
      </c>
      <c r="L2223" s="2" t="s">
        <v>21661</v>
      </c>
      <c r="M2223" s="2" t="s">
        <v>21662</v>
      </c>
      <c r="N2223" s="3" t="s">
        <v>1437</v>
      </c>
      <c r="P2223" s="3" t="s">
        <v>65</v>
      </c>
      <c r="Q2223" s="2" t="s">
        <v>21663</v>
      </c>
      <c r="R2223" s="3" t="s">
        <v>66</v>
      </c>
      <c r="S2223" s="4">
        <v>16</v>
      </c>
      <c r="T2223" s="4">
        <v>23</v>
      </c>
      <c r="U2223" s="5" t="s">
        <v>21665</v>
      </c>
      <c r="V2223" s="5" t="s">
        <v>21665</v>
      </c>
      <c r="W2223" s="5" t="s">
        <v>67</v>
      </c>
      <c r="X2223" s="5" t="s">
        <v>67</v>
      </c>
      <c r="Y2223" s="4">
        <v>388</v>
      </c>
      <c r="Z2223" s="4">
        <v>24</v>
      </c>
      <c r="AA2223" s="4">
        <v>118</v>
      </c>
      <c r="AB2223" s="4">
        <v>1</v>
      </c>
      <c r="AC2223" s="4">
        <v>18</v>
      </c>
      <c r="AD2223" s="4">
        <v>112</v>
      </c>
      <c r="AE2223" s="4">
        <v>154</v>
      </c>
      <c r="AF2223" s="4">
        <v>0</v>
      </c>
      <c r="AG2223" s="4">
        <v>9</v>
      </c>
      <c r="AH2223" s="4">
        <v>100</v>
      </c>
      <c r="AI2223" s="4">
        <v>111</v>
      </c>
      <c r="AJ2223" s="4">
        <v>17</v>
      </c>
      <c r="AK2223" s="4">
        <v>27</v>
      </c>
      <c r="AL2223" s="4">
        <v>51</v>
      </c>
      <c r="AM2223" s="4">
        <v>55</v>
      </c>
      <c r="AN2223" s="4">
        <v>0</v>
      </c>
      <c r="AO2223" s="4">
        <v>0</v>
      </c>
      <c r="AP2223" s="4">
        <v>21</v>
      </c>
      <c r="AQ2223" s="4">
        <v>54</v>
      </c>
      <c r="AR2223" s="3" t="s">
        <v>62</v>
      </c>
      <c r="AS2223" s="3" t="s">
        <v>62</v>
      </c>
      <c r="AT2223" s="3" t="s">
        <v>62</v>
      </c>
      <c r="AV2223" s="6" t="str">
        <f>HYPERLINK("http://mcgill.on.worldcat.org/oclc/37935289","Catalog Record")</f>
        <v>Catalog Record</v>
      </c>
      <c r="AW2223" s="6" t="str">
        <f>HYPERLINK("http://www.worldcat.org/oclc/37935289","WorldCat Record")</f>
        <v>WorldCat Record</v>
      </c>
      <c r="AX2223" s="3" t="s">
        <v>21666</v>
      </c>
      <c r="AY2223" s="3" t="s">
        <v>21667</v>
      </c>
      <c r="AZ2223" s="3" t="s">
        <v>21668</v>
      </c>
      <c r="BA2223" s="3" t="s">
        <v>21668</v>
      </c>
      <c r="BB2223" s="3" t="s">
        <v>21672</v>
      </c>
      <c r="BC2223" s="3" t="s">
        <v>142</v>
      </c>
      <c r="BD2223" s="3" t="s">
        <v>68</v>
      </c>
      <c r="BE2223" s="3" t="s">
        <v>21670</v>
      </c>
      <c r="BF2223" s="3" t="s">
        <v>21672</v>
      </c>
      <c r="BG2223" s="3" t="s">
        <v>21673</v>
      </c>
    </row>
    <row r="2224" spans="1:59" ht="57" x14ac:dyDescent="0.45">
      <c r="A2224" s="2" t="s">
        <v>59</v>
      </c>
      <c r="B2224" s="2" t="s">
        <v>60</v>
      </c>
      <c r="C2224" s="2" t="s">
        <v>21674</v>
      </c>
      <c r="D2224" s="2" t="s">
        <v>21675</v>
      </c>
      <c r="E2224" s="2" t="s">
        <v>21676</v>
      </c>
      <c r="G2224" s="3" t="s">
        <v>62</v>
      </c>
      <c r="I2224" s="3" t="s">
        <v>62</v>
      </c>
      <c r="J2224" s="3" t="s">
        <v>62</v>
      </c>
      <c r="K2224" s="3" t="s">
        <v>63</v>
      </c>
      <c r="L2224" s="2" t="s">
        <v>21677</v>
      </c>
      <c r="M2224" s="2" t="s">
        <v>21678</v>
      </c>
      <c r="N2224" s="3" t="s">
        <v>195</v>
      </c>
      <c r="P2224" s="3" t="s">
        <v>65</v>
      </c>
      <c r="Q2224" s="2" t="s">
        <v>21679</v>
      </c>
      <c r="R2224" s="3" t="s">
        <v>66</v>
      </c>
      <c r="S2224" s="4">
        <v>37</v>
      </c>
      <c r="T2224" s="4">
        <v>37</v>
      </c>
      <c r="U2224" s="5" t="s">
        <v>372</v>
      </c>
      <c r="V2224" s="5" t="s">
        <v>372</v>
      </c>
      <c r="W2224" s="5" t="s">
        <v>67</v>
      </c>
      <c r="X2224" s="5" t="s">
        <v>67</v>
      </c>
      <c r="Y2224" s="4">
        <v>436</v>
      </c>
      <c r="Z2224" s="4">
        <v>24</v>
      </c>
      <c r="AA2224" s="4">
        <v>33</v>
      </c>
      <c r="AB2224" s="4">
        <v>2</v>
      </c>
      <c r="AC2224" s="4">
        <v>5</v>
      </c>
      <c r="AD2224" s="4">
        <v>105</v>
      </c>
      <c r="AE2224" s="4">
        <v>112</v>
      </c>
      <c r="AF2224" s="4">
        <v>1</v>
      </c>
      <c r="AG2224" s="4">
        <v>2</v>
      </c>
      <c r="AH2224" s="4">
        <v>90</v>
      </c>
      <c r="AI2224" s="4">
        <v>91</v>
      </c>
      <c r="AJ2224" s="4">
        <v>16</v>
      </c>
      <c r="AK2224" s="4">
        <v>18</v>
      </c>
      <c r="AL2224" s="4">
        <v>49</v>
      </c>
      <c r="AM2224" s="4">
        <v>49</v>
      </c>
      <c r="AN2224" s="4">
        <v>0</v>
      </c>
      <c r="AO2224" s="4">
        <v>0</v>
      </c>
      <c r="AP2224" s="4">
        <v>22</v>
      </c>
      <c r="AQ2224" s="4">
        <v>29</v>
      </c>
      <c r="AR2224" s="3" t="s">
        <v>62</v>
      </c>
      <c r="AS2224" s="3" t="s">
        <v>62</v>
      </c>
      <c r="AT2224" s="3" t="s">
        <v>61</v>
      </c>
      <c r="AU2224" s="6" t="str">
        <f>HYPERLINK("http://catalog.hathitrust.org/Record/002654853","HathiTrust Record")</f>
        <v>HathiTrust Record</v>
      </c>
      <c r="AV2224" s="6" t="str">
        <f>HYPERLINK("http://mcgill.on.worldcat.org/oclc/26723633","Catalog Record")</f>
        <v>Catalog Record</v>
      </c>
      <c r="AW2224" s="6" t="str">
        <f>HYPERLINK("http://www.worldcat.org/oclc/26723633","WorldCat Record")</f>
        <v>WorldCat Record</v>
      </c>
      <c r="AX2224" s="3" t="s">
        <v>21680</v>
      </c>
      <c r="AY2224" s="3" t="s">
        <v>21681</v>
      </c>
      <c r="AZ2224" s="3" t="s">
        <v>21682</v>
      </c>
      <c r="BA2224" s="3" t="s">
        <v>21682</v>
      </c>
      <c r="BB2224" s="3" t="s">
        <v>21683</v>
      </c>
      <c r="BC2224" s="3" t="s">
        <v>142</v>
      </c>
      <c r="BD2224" s="3" t="s">
        <v>68</v>
      </c>
      <c r="BE2224" s="3" t="s">
        <v>21684</v>
      </c>
      <c r="BF2224" s="3" t="s">
        <v>21683</v>
      </c>
      <c r="BG2224" s="3" t="s">
        <v>21685</v>
      </c>
    </row>
    <row r="2225" spans="1:59" ht="57" x14ac:dyDescent="0.45">
      <c r="A2225" s="2" t="s">
        <v>59</v>
      </c>
      <c r="B2225" s="2" t="s">
        <v>60</v>
      </c>
      <c r="C2225" s="2" t="s">
        <v>21686</v>
      </c>
      <c r="D2225" s="2" t="s">
        <v>21687</v>
      </c>
      <c r="E2225" s="2" t="s">
        <v>21688</v>
      </c>
      <c r="G2225" s="3" t="s">
        <v>62</v>
      </c>
      <c r="I2225" s="3" t="s">
        <v>62</v>
      </c>
      <c r="J2225" s="3" t="s">
        <v>62</v>
      </c>
      <c r="K2225" s="3" t="s">
        <v>63</v>
      </c>
      <c r="M2225" s="2" t="s">
        <v>21689</v>
      </c>
      <c r="N2225" s="3" t="s">
        <v>529</v>
      </c>
      <c r="P2225" s="3" t="s">
        <v>65</v>
      </c>
      <c r="R2225" s="3" t="s">
        <v>66</v>
      </c>
      <c r="S2225" s="4">
        <v>14</v>
      </c>
      <c r="T2225" s="4">
        <v>14</v>
      </c>
      <c r="U2225" s="5" t="s">
        <v>21690</v>
      </c>
      <c r="V2225" s="5" t="s">
        <v>21690</v>
      </c>
      <c r="W2225" s="5" t="s">
        <v>67</v>
      </c>
      <c r="X2225" s="5" t="s">
        <v>67</v>
      </c>
      <c r="Y2225" s="4">
        <v>629</v>
      </c>
      <c r="Z2225" s="4">
        <v>32</v>
      </c>
      <c r="AA2225" s="4">
        <v>35</v>
      </c>
      <c r="AB2225" s="4">
        <v>2</v>
      </c>
      <c r="AC2225" s="4">
        <v>4</v>
      </c>
      <c r="AD2225" s="4">
        <v>121</v>
      </c>
      <c r="AE2225" s="4">
        <v>124</v>
      </c>
      <c r="AF2225" s="4">
        <v>1</v>
      </c>
      <c r="AG2225" s="4">
        <v>3</v>
      </c>
      <c r="AH2225" s="4">
        <v>105</v>
      </c>
      <c r="AI2225" s="4">
        <v>105</v>
      </c>
      <c r="AJ2225" s="4">
        <v>14</v>
      </c>
      <c r="AK2225" s="4">
        <v>17</v>
      </c>
      <c r="AL2225" s="4">
        <v>58</v>
      </c>
      <c r="AM2225" s="4">
        <v>58</v>
      </c>
      <c r="AN2225" s="4">
        <v>0</v>
      </c>
      <c r="AO2225" s="4">
        <v>0</v>
      </c>
      <c r="AP2225" s="4">
        <v>22</v>
      </c>
      <c r="AQ2225" s="4">
        <v>24</v>
      </c>
      <c r="AR2225" s="3" t="s">
        <v>62</v>
      </c>
      <c r="AS2225" s="3" t="s">
        <v>62</v>
      </c>
      <c r="AT2225" s="3" t="s">
        <v>61</v>
      </c>
      <c r="AU2225" s="6" t="str">
        <f>HYPERLINK("http://catalog.hathitrust.org/Record/000406176","HathiTrust Record")</f>
        <v>HathiTrust Record</v>
      </c>
      <c r="AV2225" s="6" t="str">
        <f>HYPERLINK("http://mcgill.on.worldcat.org/oclc/11090548","Catalog Record")</f>
        <v>Catalog Record</v>
      </c>
      <c r="AW2225" s="6" t="str">
        <f>HYPERLINK("http://www.worldcat.org/oclc/11090548","WorldCat Record")</f>
        <v>WorldCat Record</v>
      </c>
      <c r="AX2225" s="3" t="s">
        <v>21691</v>
      </c>
      <c r="AY2225" s="3" t="s">
        <v>21692</v>
      </c>
      <c r="AZ2225" s="3" t="s">
        <v>21693</v>
      </c>
      <c r="BA2225" s="3" t="s">
        <v>21693</v>
      </c>
      <c r="BB2225" s="3" t="s">
        <v>21694</v>
      </c>
      <c r="BC2225" s="3" t="s">
        <v>142</v>
      </c>
      <c r="BD2225" s="3" t="s">
        <v>68</v>
      </c>
      <c r="BE2225" s="3" t="s">
        <v>21695</v>
      </c>
      <c r="BF2225" s="3" t="s">
        <v>21694</v>
      </c>
      <c r="BG2225" s="3" t="s">
        <v>21696</v>
      </c>
    </row>
    <row r="2226" spans="1:59" ht="57" x14ac:dyDescent="0.45">
      <c r="A2226" s="2" t="s">
        <v>59</v>
      </c>
      <c r="B2226" s="2" t="s">
        <v>60</v>
      </c>
      <c r="C2226" s="2" t="s">
        <v>21697</v>
      </c>
      <c r="D2226" s="2" t="s">
        <v>21698</v>
      </c>
      <c r="E2226" s="2" t="s">
        <v>21699</v>
      </c>
      <c r="G2226" s="3" t="s">
        <v>62</v>
      </c>
      <c r="I2226" s="3" t="s">
        <v>62</v>
      </c>
      <c r="J2226" s="3" t="s">
        <v>62</v>
      </c>
      <c r="K2226" s="3" t="s">
        <v>63</v>
      </c>
      <c r="L2226" s="2" t="s">
        <v>21700</v>
      </c>
      <c r="M2226" s="2" t="s">
        <v>21701</v>
      </c>
      <c r="N2226" s="3" t="s">
        <v>116</v>
      </c>
      <c r="P2226" s="3" t="s">
        <v>65</v>
      </c>
      <c r="Q2226" s="2" t="s">
        <v>21702</v>
      </c>
      <c r="R2226" s="3" t="s">
        <v>66</v>
      </c>
      <c r="S2226" s="4">
        <v>2</v>
      </c>
      <c r="T2226" s="4">
        <v>2</v>
      </c>
      <c r="U2226" s="5" t="s">
        <v>21703</v>
      </c>
      <c r="V2226" s="5" t="s">
        <v>21703</v>
      </c>
      <c r="W2226" s="5" t="s">
        <v>67</v>
      </c>
      <c r="X2226" s="5" t="s">
        <v>67</v>
      </c>
      <c r="Y2226" s="4">
        <v>122</v>
      </c>
      <c r="Z2226" s="4">
        <v>13</v>
      </c>
      <c r="AA2226" s="4">
        <v>78</v>
      </c>
      <c r="AB2226" s="4">
        <v>1</v>
      </c>
      <c r="AC2226" s="4">
        <v>15</v>
      </c>
      <c r="AD2226" s="4">
        <v>64</v>
      </c>
      <c r="AE2226" s="4">
        <v>113</v>
      </c>
      <c r="AF2226" s="4">
        <v>0</v>
      </c>
      <c r="AG2226" s="4">
        <v>8</v>
      </c>
      <c r="AH2226" s="4">
        <v>62</v>
      </c>
      <c r="AI2226" s="4">
        <v>82</v>
      </c>
      <c r="AJ2226" s="4">
        <v>10</v>
      </c>
      <c r="AK2226" s="4">
        <v>20</v>
      </c>
      <c r="AL2226" s="4">
        <v>38</v>
      </c>
      <c r="AM2226" s="4">
        <v>46</v>
      </c>
      <c r="AN2226" s="4">
        <v>0</v>
      </c>
      <c r="AO2226" s="4">
        <v>0</v>
      </c>
      <c r="AP2226" s="4">
        <v>10</v>
      </c>
      <c r="AQ2226" s="4">
        <v>40</v>
      </c>
      <c r="AR2226" s="3" t="s">
        <v>62</v>
      </c>
      <c r="AS2226" s="3" t="s">
        <v>62</v>
      </c>
      <c r="AT2226" s="3" t="s">
        <v>62</v>
      </c>
      <c r="AV2226" s="6" t="str">
        <f>HYPERLINK("http://mcgill.on.worldcat.org/oclc/800024877","Catalog Record")</f>
        <v>Catalog Record</v>
      </c>
      <c r="AW2226" s="6" t="str">
        <f>HYPERLINK("http://www.worldcat.org/oclc/800024877","WorldCat Record")</f>
        <v>WorldCat Record</v>
      </c>
      <c r="AX2226" s="3" t="s">
        <v>21704</v>
      </c>
      <c r="AY2226" s="3" t="s">
        <v>21705</v>
      </c>
      <c r="AZ2226" s="3" t="s">
        <v>21706</v>
      </c>
      <c r="BA2226" s="3" t="s">
        <v>21706</v>
      </c>
      <c r="BB2226" s="3" t="s">
        <v>21707</v>
      </c>
      <c r="BC2226" s="3" t="s">
        <v>142</v>
      </c>
      <c r="BD2226" s="3" t="s">
        <v>68</v>
      </c>
      <c r="BE2226" s="3" t="s">
        <v>21708</v>
      </c>
      <c r="BF2226" s="3" t="s">
        <v>21707</v>
      </c>
      <c r="BG2226" s="3" t="s">
        <v>21709</v>
      </c>
    </row>
    <row r="2227" spans="1:59" ht="57" x14ac:dyDescent="0.45">
      <c r="A2227" s="2" t="s">
        <v>59</v>
      </c>
      <c r="B2227" s="2" t="s">
        <v>60</v>
      </c>
      <c r="C2227" s="2" t="s">
        <v>21710</v>
      </c>
      <c r="D2227" s="2" t="s">
        <v>21711</v>
      </c>
      <c r="E2227" s="2" t="s">
        <v>21712</v>
      </c>
      <c r="G2227" s="3" t="s">
        <v>62</v>
      </c>
      <c r="I2227" s="3" t="s">
        <v>61</v>
      </c>
      <c r="J2227" s="3" t="s">
        <v>62</v>
      </c>
      <c r="K2227" s="3" t="s">
        <v>63</v>
      </c>
      <c r="L2227" s="2" t="s">
        <v>21713</v>
      </c>
      <c r="M2227" s="2" t="s">
        <v>1449</v>
      </c>
      <c r="N2227" s="3" t="s">
        <v>1253</v>
      </c>
      <c r="P2227" s="3" t="s">
        <v>65</v>
      </c>
      <c r="R2227" s="3" t="s">
        <v>66</v>
      </c>
      <c r="S2227" s="4">
        <v>120</v>
      </c>
      <c r="T2227" s="4">
        <v>157</v>
      </c>
      <c r="U2227" s="5" t="s">
        <v>16493</v>
      </c>
      <c r="V2227" s="5" t="s">
        <v>16493</v>
      </c>
      <c r="W2227" s="5" t="s">
        <v>67</v>
      </c>
      <c r="X2227" s="5" t="s">
        <v>67</v>
      </c>
      <c r="Y2227" s="4">
        <v>768</v>
      </c>
      <c r="Z2227" s="4">
        <v>56</v>
      </c>
      <c r="AA2227" s="4">
        <v>63</v>
      </c>
      <c r="AB2227" s="4">
        <v>2</v>
      </c>
      <c r="AC2227" s="4">
        <v>9</v>
      </c>
      <c r="AD2227" s="4">
        <v>140</v>
      </c>
      <c r="AE2227" s="4">
        <v>143</v>
      </c>
      <c r="AF2227" s="4">
        <v>1</v>
      </c>
      <c r="AG2227" s="4">
        <v>4</v>
      </c>
      <c r="AH2227" s="4">
        <v>108</v>
      </c>
      <c r="AI2227" s="4">
        <v>109</v>
      </c>
      <c r="AJ2227" s="4">
        <v>21</v>
      </c>
      <c r="AK2227" s="4">
        <v>24</v>
      </c>
      <c r="AL2227" s="4">
        <v>59</v>
      </c>
      <c r="AM2227" s="4">
        <v>59</v>
      </c>
      <c r="AN2227" s="4">
        <v>0</v>
      </c>
      <c r="AO2227" s="4">
        <v>0</v>
      </c>
      <c r="AP2227" s="4">
        <v>42</v>
      </c>
      <c r="AQ2227" s="4">
        <v>44</v>
      </c>
      <c r="AR2227" s="3" t="s">
        <v>62</v>
      </c>
      <c r="AS2227" s="3" t="s">
        <v>62</v>
      </c>
      <c r="AT2227" s="3" t="s">
        <v>62</v>
      </c>
      <c r="AV2227" s="6" t="str">
        <f>HYPERLINK("http://mcgill.on.worldcat.org/oclc/35128212","Catalog Record")</f>
        <v>Catalog Record</v>
      </c>
      <c r="AW2227" s="6" t="str">
        <f>HYPERLINK("http://www.worldcat.org/oclc/35128212","WorldCat Record")</f>
        <v>WorldCat Record</v>
      </c>
      <c r="AX2227" s="3" t="s">
        <v>21714</v>
      </c>
      <c r="AY2227" s="3" t="s">
        <v>21715</v>
      </c>
      <c r="AZ2227" s="3" t="s">
        <v>21716</v>
      </c>
      <c r="BA2227" s="3" t="s">
        <v>21716</v>
      </c>
      <c r="BB2227" s="3" t="s">
        <v>21717</v>
      </c>
      <c r="BC2227" s="3" t="s">
        <v>142</v>
      </c>
      <c r="BD2227" s="3" t="s">
        <v>3549</v>
      </c>
      <c r="BE2227" s="3" t="s">
        <v>21718</v>
      </c>
      <c r="BF2227" s="3" t="s">
        <v>21717</v>
      </c>
      <c r="BG2227" s="3" t="s">
        <v>21719</v>
      </c>
    </row>
    <row r="2228" spans="1:59" ht="57" x14ac:dyDescent="0.45">
      <c r="A2228" s="2" t="s">
        <v>59</v>
      </c>
      <c r="B2228" s="2" t="s">
        <v>60</v>
      </c>
      <c r="C2228" s="2" t="s">
        <v>21710</v>
      </c>
      <c r="D2228" s="2" t="s">
        <v>21711</v>
      </c>
      <c r="E2228" s="2" t="s">
        <v>21712</v>
      </c>
      <c r="G2228" s="3" t="s">
        <v>62</v>
      </c>
      <c r="I2228" s="3" t="s">
        <v>61</v>
      </c>
      <c r="J2228" s="3" t="s">
        <v>62</v>
      </c>
      <c r="K2228" s="3" t="s">
        <v>63</v>
      </c>
      <c r="L2228" s="2" t="s">
        <v>21713</v>
      </c>
      <c r="M2228" s="2" t="s">
        <v>1449</v>
      </c>
      <c r="N2228" s="3" t="s">
        <v>1253</v>
      </c>
      <c r="P2228" s="3" t="s">
        <v>65</v>
      </c>
      <c r="R2228" s="3" t="s">
        <v>66</v>
      </c>
      <c r="S2228" s="4">
        <v>37</v>
      </c>
      <c r="T2228" s="4">
        <v>157</v>
      </c>
      <c r="U2228" s="5" t="s">
        <v>2514</v>
      </c>
      <c r="V2228" s="5" t="s">
        <v>16493</v>
      </c>
      <c r="W2228" s="5" t="s">
        <v>67</v>
      </c>
      <c r="X2228" s="5" t="s">
        <v>67</v>
      </c>
      <c r="Y2228" s="4">
        <v>768</v>
      </c>
      <c r="Z2228" s="4">
        <v>56</v>
      </c>
      <c r="AA2228" s="4">
        <v>63</v>
      </c>
      <c r="AB2228" s="4">
        <v>2</v>
      </c>
      <c r="AC2228" s="4">
        <v>9</v>
      </c>
      <c r="AD2228" s="4">
        <v>140</v>
      </c>
      <c r="AE2228" s="4">
        <v>143</v>
      </c>
      <c r="AF2228" s="4">
        <v>1</v>
      </c>
      <c r="AG2228" s="4">
        <v>4</v>
      </c>
      <c r="AH2228" s="4">
        <v>108</v>
      </c>
      <c r="AI2228" s="4">
        <v>109</v>
      </c>
      <c r="AJ2228" s="4">
        <v>21</v>
      </c>
      <c r="AK2228" s="4">
        <v>24</v>
      </c>
      <c r="AL2228" s="4">
        <v>59</v>
      </c>
      <c r="AM2228" s="4">
        <v>59</v>
      </c>
      <c r="AN2228" s="4">
        <v>0</v>
      </c>
      <c r="AO2228" s="4">
        <v>0</v>
      </c>
      <c r="AP2228" s="4">
        <v>42</v>
      </c>
      <c r="AQ2228" s="4">
        <v>44</v>
      </c>
      <c r="AR2228" s="3" t="s">
        <v>62</v>
      </c>
      <c r="AS2228" s="3" t="s">
        <v>62</v>
      </c>
      <c r="AT2228" s="3" t="s">
        <v>62</v>
      </c>
      <c r="AV2228" s="6" t="str">
        <f>HYPERLINK("http://mcgill.on.worldcat.org/oclc/35128212","Catalog Record")</f>
        <v>Catalog Record</v>
      </c>
      <c r="AW2228" s="6" t="str">
        <f>HYPERLINK("http://www.worldcat.org/oclc/35128212","WorldCat Record")</f>
        <v>WorldCat Record</v>
      </c>
      <c r="AX2228" s="3" t="s">
        <v>21714</v>
      </c>
      <c r="AY2228" s="3" t="s">
        <v>21715</v>
      </c>
      <c r="AZ2228" s="3" t="s">
        <v>21716</v>
      </c>
      <c r="BA2228" s="3" t="s">
        <v>21716</v>
      </c>
      <c r="BB2228" s="3" t="s">
        <v>21720</v>
      </c>
      <c r="BC2228" s="3" t="s">
        <v>142</v>
      </c>
      <c r="BD2228" s="3" t="s">
        <v>8544</v>
      </c>
      <c r="BE2228" s="3" t="s">
        <v>21718</v>
      </c>
      <c r="BF2228" s="3" t="s">
        <v>21720</v>
      </c>
      <c r="BG2228" s="3" t="s">
        <v>21721</v>
      </c>
    </row>
    <row r="2229" spans="1:59" ht="57" x14ac:dyDescent="0.45">
      <c r="A2229" s="2" t="s">
        <v>59</v>
      </c>
      <c r="B2229" s="2" t="s">
        <v>60</v>
      </c>
      <c r="C2229" s="2" t="s">
        <v>21722</v>
      </c>
      <c r="D2229" s="2" t="s">
        <v>21723</v>
      </c>
      <c r="E2229" s="2" t="s">
        <v>21724</v>
      </c>
      <c r="G2229" s="3" t="s">
        <v>62</v>
      </c>
      <c r="I2229" s="3" t="s">
        <v>62</v>
      </c>
      <c r="J2229" s="3" t="s">
        <v>62</v>
      </c>
      <c r="K2229" s="3" t="s">
        <v>63</v>
      </c>
      <c r="L2229" s="2" t="s">
        <v>21725</v>
      </c>
      <c r="M2229" s="2" t="s">
        <v>8485</v>
      </c>
      <c r="N2229" s="3" t="s">
        <v>970</v>
      </c>
      <c r="P2229" s="3" t="s">
        <v>65</v>
      </c>
      <c r="Q2229" s="2" t="s">
        <v>21726</v>
      </c>
      <c r="R2229" s="3" t="s">
        <v>66</v>
      </c>
      <c r="S2229" s="4">
        <v>17</v>
      </c>
      <c r="T2229" s="4">
        <v>17</v>
      </c>
      <c r="U2229" s="5" t="s">
        <v>21727</v>
      </c>
      <c r="V2229" s="5" t="s">
        <v>21727</v>
      </c>
      <c r="W2229" s="5" t="s">
        <v>67</v>
      </c>
      <c r="X2229" s="5" t="s">
        <v>67</v>
      </c>
      <c r="Y2229" s="4">
        <v>339</v>
      </c>
      <c r="Z2229" s="4">
        <v>15</v>
      </c>
      <c r="AA2229" s="4">
        <v>103</v>
      </c>
      <c r="AB2229" s="4">
        <v>2</v>
      </c>
      <c r="AC2229" s="4">
        <v>18</v>
      </c>
      <c r="AD2229" s="4">
        <v>92</v>
      </c>
      <c r="AE2229" s="4">
        <v>141</v>
      </c>
      <c r="AF2229" s="4">
        <v>0</v>
      </c>
      <c r="AG2229" s="4">
        <v>8</v>
      </c>
      <c r="AH2229" s="4">
        <v>85</v>
      </c>
      <c r="AI2229" s="4">
        <v>104</v>
      </c>
      <c r="AJ2229" s="4">
        <v>10</v>
      </c>
      <c r="AK2229" s="4">
        <v>22</v>
      </c>
      <c r="AL2229" s="4">
        <v>50</v>
      </c>
      <c r="AM2229" s="4">
        <v>56</v>
      </c>
      <c r="AN2229" s="4">
        <v>0</v>
      </c>
      <c r="AO2229" s="4">
        <v>0</v>
      </c>
      <c r="AP2229" s="4">
        <v>11</v>
      </c>
      <c r="AQ2229" s="4">
        <v>43</v>
      </c>
      <c r="AR2229" s="3" t="s">
        <v>62</v>
      </c>
      <c r="AS2229" s="3" t="s">
        <v>62</v>
      </c>
      <c r="AT2229" s="3" t="s">
        <v>62</v>
      </c>
      <c r="AV2229" s="6" t="str">
        <f>HYPERLINK("http://mcgill.on.worldcat.org/oclc/48761727","Catalog Record")</f>
        <v>Catalog Record</v>
      </c>
      <c r="AW2229" s="6" t="str">
        <f>HYPERLINK("http://www.worldcat.org/oclc/48761727","WorldCat Record")</f>
        <v>WorldCat Record</v>
      </c>
      <c r="AX2229" s="3" t="s">
        <v>21728</v>
      </c>
      <c r="AY2229" s="3" t="s">
        <v>21729</v>
      </c>
      <c r="AZ2229" s="3" t="s">
        <v>21730</v>
      </c>
      <c r="BA2229" s="3" t="s">
        <v>21730</v>
      </c>
      <c r="BB2229" s="3" t="s">
        <v>21731</v>
      </c>
      <c r="BC2229" s="3" t="s">
        <v>142</v>
      </c>
      <c r="BD2229" s="3" t="s">
        <v>68</v>
      </c>
      <c r="BE2229" s="3" t="s">
        <v>21732</v>
      </c>
      <c r="BF2229" s="3" t="s">
        <v>21731</v>
      </c>
      <c r="BG2229" s="3" t="s">
        <v>21733</v>
      </c>
    </row>
    <row r="2230" spans="1:59" ht="57" x14ac:dyDescent="0.45">
      <c r="A2230" s="2" t="s">
        <v>59</v>
      </c>
      <c r="B2230" s="2" t="s">
        <v>60</v>
      </c>
      <c r="C2230" s="2" t="s">
        <v>21734</v>
      </c>
      <c r="D2230" s="2" t="s">
        <v>21735</v>
      </c>
      <c r="E2230" s="2" t="s">
        <v>21736</v>
      </c>
      <c r="G2230" s="3" t="s">
        <v>62</v>
      </c>
      <c r="I2230" s="3" t="s">
        <v>62</v>
      </c>
      <c r="J2230" s="3" t="s">
        <v>62</v>
      </c>
      <c r="K2230" s="3" t="s">
        <v>63</v>
      </c>
      <c r="L2230" s="2" t="s">
        <v>21737</v>
      </c>
      <c r="M2230" s="2" t="s">
        <v>15966</v>
      </c>
      <c r="N2230" s="3" t="s">
        <v>894</v>
      </c>
      <c r="P2230" s="3" t="s">
        <v>65</v>
      </c>
      <c r="Q2230" s="2" t="s">
        <v>13996</v>
      </c>
      <c r="R2230" s="3" t="s">
        <v>66</v>
      </c>
      <c r="S2230" s="4">
        <v>3</v>
      </c>
      <c r="T2230" s="4">
        <v>3</v>
      </c>
      <c r="U2230" s="5" t="s">
        <v>16573</v>
      </c>
      <c r="V2230" s="5" t="s">
        <v>16573</v>
      </c>
      <c r="W2230" s="5" t="s">
        <v>67</v>
      </c>
      <c r="X2230" s="5" t="s">
        <v>67</v>
      </c>
      <c r="Y2230" s="4">
        <v>230</v>
      </c>
      <c r="Z2230" s="4">
        <v>28</v>
      </c>
      <c r="AA2230" s="4">
        <v>34</v>
      </c>
      <c r="AB2230" s="4">
        <v>2</v>
      </c>
      <c r="AC2230" s="4">
        <v>7</v>
      </c>
      <c r="AD2230" s="4">
        <v>78</v>
      </c>
      <c r="AE2230" s="4">
        <v>81</v>
      </c>
      <c r="AF2230" s="4">
        <v>1</v>
      </c>
      <c r="AG2230" s="4">
        <v>3</v>
      </c>
      <c r="AH2230" s="4">
        <v>66</v>
      </c>
      <c r="AI2230" s="4">
        <v>67</v>
      </c>
      <c r="AJ2230" s="4">
        <v>19</v>
      </c>
      <c r="AK2230" s="4">
        <v>22</v>
      </c>
      <c r="AL2230" s="4">
        <v>37</v>
      </c>
      <c r="AM2230" s="4">
        <v>37</v>
      </c>
      <c r="AN2230" s="4">
        <v>0</v>
      </c>
      <c r="AO2230" s="4">
        <v>0</v>
      </c>
      <c r="AP2230" s="4">
        <v>22</v>
      </c>
      <c r="AQ2230" s="4">
        <v>25</v>
      </c>
      <c r="AR2230" s="3" t="s">
        <v>62</v>
      </c>
      <c r="AS2230" s="3" t="s">
        <v>62</v>
      </c>
      <c r="AT2230" s="3" t="s">
        <v>62</v>
      </c>
      <c r="AV2230" s="6" t="str">
        <f>HYPERLINK("http://mcgill.on.worldcat.org/oclc/669751153","Catalog Record")</f>
        <v>Catalog Record</v>
      </c>
      <c r="AW2230" s="6" t="str">
        <f>HYPERLINK("http://www.worldcat.org/oclc/669751153","WorldCat Record")</f>
        <v>WorldCat Record</v>
      </c>
      <c r="AX2230" s="3" t="s">
        <v>21738</v>
      </c>
      <c r="AY2230" s="3" t="s">
        <v>21739</v>
      </c>
      <c r="AZ2230" s="3" t="s">
        <v>21740</v>
      </c>
      <c r="BA2230" s="3" t="s">
        <v>21740</v>
      </c>
      <c r="BB2230" s="3" t="s">
        <v>21741</v>
      </c>
      <c r="BC2230" s="3" t="s">
        <v>142</v>
      </c>
      <c r="BD2230" s="3" t="s">
        <v>68</v>
      </c>
      <c r="BE2230" s="3" t="s">
        <v>21742</v>
      </c>
      <c r="BF2230" s="3" t="s">
        <v>21741</v>
      </c>
      <c r="BG2230" s="3" t="s">
        <v>21743</v>
      </c>
    </row>
    <row r="2231" spans="1:59" ht="57" x14ac:dyDescent="0.45">
      <c r="A2231" s="2" t="s">
        <v>59</v>
      </c>
      <c r="B2231" s="2" t="s">
        <v>60</v>
      </c>
      <c r="C2231" s="2" t="s">
        <v>21744</v>
      </c>
      <c r="D2231" s="2" t="s">
        <v>21745</v>
      </c>
      <c r="E2231" s="2" t="s">
        <v>21746</v>
      </c>
      <c r="G2231" s="3" t="s">
        <v>62</v>
      </c>
      <c r="I2231" s="3" t="s">
        <v>62</v>
      </c>
      <c r="J2231" s="3" t="s">
        <v>62</v>
      </c>
      <c r="K2231" s="3" t="s">
        <v>63</v>
      </c>
      <c r="M2231" s="2" t="s">
        <v>21747</v>
      </c>
      <c r="N2231" s="3" t="s">
        <v>1212</v>
      </c>
      <c r="P2231" s="3" t="s">
        <v>65</v>
      </c>
      <c r="R2231" s="3" t="s">
        <v>66</v>
      </c>
      <c r="S2231" s="4">
        <v>18</v>
      </c>
      <c r="T2231" s="4">
        <v>18</v>
      </c>
      <c r="U2231" s="5" t="s">
        <v>14301</v>
      </c>
      <c r="V2231" s="5" t="s">
        <v>14301</v>
      </c>
      <c r="W2231" s="5" t="s">
        <v>67</v>
      </c>
      <c r="X2231" s="5" t="s">
        <v>67</v>
      </c>
      <c r="Y2231" s="4">
        <v>311</v>
      </c>
      <c r="Z2231" s="4">
        <v>24</v>
      </c>
      <c r="AA2231" s="4">
        <v>27</v>
      </c>
      <c r="AB2231" s="4">
        <v>2</v>
      </c>
      <c r="AC2231" s="4">
        <v>5</v>
      </c>
      <c r="AD2231" s="4">
        <v>96</v>
      </c>
      <c r="AE2231" s="4">
        <v>99</v>
      </c>
      <c r="AF2231" s="4">
        <v>1</v>
      </c>
      <c r="AG2231" s="4">
        <v>4</v>
      </c>
      <c r="AH2231" s="4">
        <v>82</v>
      </c>
      <c r="AI2231" s="4">
        <v>83</v>
      </c>
      <c r="AJ2231" s="4">
        <v>17</v>
      </c>
      <c r="AK2231" s="4">
        <v>20</v>
      </c>
      <c r="AL2231" s="4">
        <v>45</v>
      </c>
      <c r="AM2231" s="4">
        <v>45</v>
      </c>
      <c r="AN2231" s="4">
        <v>0</v>
      </c>
      <c r="AO2231" s="4">
        <v>0</v>
      </c>
      <c r="AP2231" s="4">
        <v>20</v>
      </c>
      <c r="AQ2231" s="4">
        <v>22</v>
      </c>
      <c r="AR2231" s="3" t="s">
        <v>62</v>
      </c>
      <c r="AS2231" s="3" t="s">
        <v>62</v>
      </c>
      <c r="AT2231" s="3" t="s">
        <v>62</v>
      </c>
      <c r="AV2231" s="6" t="str">
        <f>HYPERLINK("http://mcgill.on.worldcat.org/oclc/43406191","Catalog Record")</f>
        <v>Catalog Record</v>
      </c>
      <c r="AW2231" s="6" t="str">
        <f>HYPERLINK("http://www.worldcat.org/oclc/43406191","WorldCat Record")</f>
        <v>WorldCat Record</v>
      </c>
      <c r="AX2231" s="3" t="s">
        <v>21748</v>
      </c>
      <c r="AY2231" s="3" t="s">
        <v>21749</v>
      </c>
      <c r="AZ2231" s="3" t="s">
        <v>21750</v>
      </c>
      <c r="BA2231" s="3" t="s">
        <v>21750</v>
      </c>
      <c r="BB2231" s="3" t="s">
        <v>21751</v>
      </c>
      <c r="BC2231" s="3" t="s">
        <v>142</v>
      </c>
      <c r="BD2231" s="3" t="s">
        <v>68</v>
      </c>
      <c r="BE2231" s="3" t="s">
        <v>21752</v>
      </c>
      <c r="BF2231" s="3" t="s">
        <v>21751</v>
      </c>
      <c r="BG2231" s="3" t="s">
        <v>21753</v>
      </c>
    </row>
    <row r="2232" spans="1:59" ht="57" x14ac:dyDescent="0.45">
      <c r="A2232" s="2" t="s">
        <v>59</v>
      </c>
      <c r="B2232" s="2" t="s">
        <v>60</v>
      </c>
      <c r="C2232" s="2" t="s">
        <v>21754</v>
      </c>
      <c r="D2232" s="2" t="s">
        <v>21755</v>
      </c>
      <c r="E2232" s="2" t="s">
        <v>21756</v>
      </c>
      <c r="G2232" s="3" t="s">
        <v>62</v>
      </c>
      <c r="I2232" s="3" t="s">
        <v>62</v>
      </c>
      <c r="J2232" s="3" t="s">
        <v>62</v>
      </c>
      <c r="K2232" s="3" t="s">
        <v>63</v>
      </c>
      <c r="L2232" s="2" t="s">
        <v>21757</v>
      </c>
      <c r="M2232" s="2" t="s">
        <v>17862</v>
      </c>
      <c r="N2232" s="3" t="s">
        <v>1212</v>
      </c>
      <c r="P2232" s="3" t="s">
        <v>65</v>
      </c>
      <c r="R2232" s="3" t="s">
        <v>66</v>
      </c>
      <c r="S2232" s="4">
        <v>15</v>
      </c>
      <c r="T2232" s="4">
        <v>15</v>
      </c>
      <c r="U2232" s="5" t="s">
        <v>21758</v>
      </c>
      <c r="V2232" s="5" t="s">
        <v>21758</v>
      </c>
      <c r="W2232" s="5" t="s">
        <v>67</v>
      </c>
      <c r="X2232" s="5" t="s">
        <v>67</v>
      </c>
      <c r="Y2232" s="4">
        <v>308</v>
      </c>
      <c r="Z2232" s="4">
        <v>22</v>
      </c>
      <c r="AA2232" s="4">
        <v>93</v>
      </c>
      <c r="AB2232" s="4">
        <v>3</v>
      </c>
      <c r="AC2232" s="4">
        <v>19</v>
      </c>
      <c r="AD2232" s="4">
        <v>95</v>
      </c>
      <c r="AE2232" s="4">
        <v>133</v>
      </c>
      <c r="AF2232" s="4">
        <v>1</v>
      </c>
      <c r="AG2232" s="4">
        <v>8</v>
      </c>
      <c r="AH2232" s="4">
        <v>85</v>
      </c>
      <c r="AI2232" s="4">
        <v>99</v>
      </c>
      <c r="AJ2232" s="4">
        <v>16</v>
      </c>
      <c r="AK2232" s="4">
        <v>22</v>
      </c>
      <c r="AL2232" s="4">
        <v>43</v>
      </c>
      <c r="AM2232" s="4">
        <v>49</v>
      </c>
      <c r="AN2232" s="4">
        <v>0</v>
      </c>
      <c r="AO2232" s="4">
        <v>0</v>
      </c>
      <c r="AP2232" s="4">
        <v>18</v>
      </c>
      <c r="AQ2232" s="4">
        <v>43</v>
      </c>
      <c r="AR2232" s="3" t="s">
        <v>62</v>
      </c>
      <c r="AS2232" s="3" t="s">
        <v>62</v>
      </c>
      <c r="AT2232" s="3" t="s">
        <v>61</v>
      </c>
      <c r="AU2232" s="6" t="str">
        <f>HYPERLINK("http://catalog.hathitrust.org/Record/004115601","HathiTrust Record")</f>
        <v>HathiTrust Record</v>
      </c>
      <c r="AV2232" s="6" t="str">
        <f>HYPERLINK("http://mcgill.on.worldcat.org/oclc/44404383","Catalog Record")</f>
        <v>Catalog Record</v>
      </c>
      <c r="AW2232" s="6" t="str">
        <f>HYPERLINK("http://www.worldcat.org/oclc/44404383","WorldCat Record")</f>
        <v>WorldCat Record</v>
      </c>
      <c r="AX2232" s="3" t="s">
        <v>21759</v>
      </c>
      <c r="AY2232" s="3" t="s">
        <v>21760</v>
      </c>
      <c r="AZ2232" s="3" t="s">
        <v>21761</v>
      </c>
      <c r="BA2232" s="3" t="s">
        <v>21761</v>
      </c>
      <c r="BB2232" s="3" t="s">
        <v>21762</v>
      </c>
      <c r="BC2232" s="3" t="s">
        <v>142</v>
      </c>
      <c r="BD2232" s="3" t="s">
        <v>68</v>
      </c>
      <c r="BE2232" s="3" t="s">
        <v>21763</v>
      </c>
      <c r="BF2232" s="3" t="s">
        <v>21762</v>
      </c>
      <c r="BG2232" s="3" t="s">
        <v>21764</v>
      </c>
    </row>
    <row r="2233" spans="1:59" ht="57" x14ac:dyDescent="0.45">
      <c r="A2233" s="2" t="s">
        <v>59</v>
      </c>
      <c r="B2233" s="2" t="s">
        <v>60</v>
      </c>
      <c r="C2233" s="2" t="s">
        <v>21765</v>
      </c>
      <c r="D2233" s="2" t="s">
        <v>21766</v>
      </c>
      <c r="E2233" s="2" t="s">
        <v>21767</v>
      </c>
      <c r="G2233" s="3" t="s">
        <v>62</v>
      </c>
      <c r="I2233" s="3" t="s">
        <v>62</v>
      </c>
      <c r="J2233" s="3" t="s">
        <v>62</v>
      </c>
      <c r="K2233" s="3" t="s">
        <v>63</v>
      </c>
      <c r="L2233" s="2" t="s">
        <v>13983</v>
      </c>
      <c r="M2233" s="2" t="s">
        <v>11622</v>
      </c>
      <c r="N2233" s="3" t="s">
        <v>1688</v>
      </c>
      <c r="P2233" s="3" t="s">
        <v>65</v>
      </c>
      <c r="Q2233" s="2" t="s">
        <v>21768</v>
      </c>
      <c r="R2233" s="3" t="s">
        <v>66</v>
      </c>
      <c r="S2233" s="4">
        <v>3</v>
      </c>
      <c r="T2233" s="4">
        <v>3</v>
      </c>
      <c r="U2233" s="5" t="s">
        <v>372</v>
      </c>
      <c r="V2233" s="5" t="s">
        <v>372</v>
      </c>
      <c r="W2233" s="5" t="s">
        <v>67</v>
      </c>
      <c r="X2233" s="5" t="s">
        <v>67</v>
      </c>
      <c r="Y2233" s="4">
        <v>159</v>
      </c>
      <c r="Z2233" s="4">
        <v>18</v>
      </c>
      <c r="AA2233" s="4">
        <v>21</v>
      </c>
      <c r="AB2233" s="4">
        <v>2</v>
      </c>
      <c r="AC2233" s="4">
        <v>5</v>
      </c>
      <c r="AD2233" s="4">
        <v>50</v>
      </c>
      <c r="AE2233" s="4">
        <v>52</v>
      </c>
      <c r="AF2233" s="4">
        <v>1</v>
      </c>
      <c r="AG2233" s="4">
        <v>3</v>
      </c>
      <c r="AH2233" s="4">
        <v>45</v>
      </c>
      <c r="AI2233" s="4">
        <v>46</v>
      </c>
      <c r="AJ2233" s="4">
        <v>8</v>
      </c>
      <c r="AK2233" s="4">
        <v>10</v>
      </c>
      <c r="AL2233" s="4">
        <v>27</v>
      </c>
      <c r="AM2233" s="4">
        <v>27</v>
      </c>
      <c r="AN2233" s="4">
        <v>0</v>
      </c>
      <c r="AO2233" s="4">
        <v>0</v>
      </c>
      <c r="AP2233" s="4">
        <v>11</v>
      </c>
      <c r="AQ2233" s="4">
        <v>12</v>
      </c>
      <c r="AR2233" s="3" t="s">
        <v>62</v>
      </c>
      <c r="AS2233" s="3" t="s">
        <v>62</v>
      </c>
      <c r="AT2233" s="3" t="s">
        <v>62</v>
      </c>
      <c r="AV2233" s="6" t="str">
        <f>HYPERLINK("http://mcgill.on.worldcat.org/oclc/862575149","Catalog Record")</f>
        <v>Catalog Record</v>
      </c>
      <c r="AW2233" s="6" t="str">
        <f>HYPERLINK("http://www.worldcat.org/oclc/862575149","WorldCat Record")</f>
        <v>WorldCat Record</v>
      </c>
      <c r="AX2233" s="3" t="s">
        <v>21769</v>
      </c>
      <c r="AY2233" s="3" t="s">
        <v>21770</v>
      </c>
      <c r="AZ2233" s="3" t="s">
        <v>21771</v>
      </c>
      <c r="BA2233" s="3" t="s">
        <v>21771</v>
      </c>
      <c r="BB2233" s="3" t="s">
        <v>21772</v>
      </c>
      <c r="BC2233" s="3" t="s">
        <v>142</v>
      </c>
      <c r="BD2233" s="3" t="s">
        <v>68</v>
      </c>
      <c r="BE2233" s="3" t="s">
        <v>21773</v>
      </c>
      <c r="BF2233" s="3" t="s">
        <v>21772</v>
      </c>
      <c r="BG2233" s="3" t="s">
        <v>21774</v>
      </c>
    </row>
    <row r="2234" spans="1:59" ht="57" x14ac:dyDescent="0.45">
      <c r="A2234" s="2" t="s">
        <v>59</v>
      </c>
      <c r="B2234" s="2" t="s">
        <v>60</v>
      </c>
      <c r="C2234" s="2" t="s">
        <v>21775</v>
      </c>
      <c r="D2234" s="2" t="s">
        <v>21776</v>
      </c>
      <c r="E2234" s="2" t="s">
        <v>21777</v>
      </c>
      <c r="G2234" s="3" t="s">
        <v>62</v>
      </c>
      <c r="I2234" s="3" t="s">
        <v>62</v>
      </c>
      <c r="J2234" s="3" t="s">
        <v>62</v>
      </c>
      <c r="K2234" s="3" t="s">
        <v>63</v>
      </c>
      <c r="M2234" s="2" t="s">
        <v>21778</v>
      </c>
      <c r="N2234" s="3" t="s">
        <v>149</v>
      </c>
      <c r="P2234" s="3" t="s">
        <v>65</v>
      </c>
      <c r="Q2234" s="2" t="s">
        <v>21779</v>
      </c>
      <c r="R2234" s="3" t="s">
        <v>66</v>
      </c>
      <c r="S2234" s="4">
        <v>18</v>
      </c>
      <c r="T2234" s="4">
        <v>18</v>
      </c>
      <c r="U2234" s="5" t="s">
        <v>4283</v>
      </c>
      <c r="V2234" s="5" t="s">
        <v>4283</v>
      </c>
      <c r="W2234" s="5" t="s">
        <v>67</v>
      </c>
      <c r="X2234" s="5" t="s">
        <v>67</v>
      </c>
      <c r="Y2234" s="4">
        <v>384</v>
      </c>
      <c r="Z2234" s="4">
        <v>28</v>
      </c>
      <c r="AA2234" s="4">
        <v>30</v>
      </c>
      <c r="AB2234" s="4">
        <v>2</v>
      </c>
      <c r="AC2234" s="4">
        <v>4</v>
      </c>
      <c r="AD2234" s="4">
        <v>97</v>
      </c>
      <c r="AE2234" s="4">
        <v>97</v>
      </c>
      <c r="AF2234" s="4">
        <v>1</v>
      </c>
      <c r="AG2234" s="4">
        <v>1</v>
      </c>
      <c r="AH2234" s="4">
        <v>87</v>
      </c>
      <c r="AI2234" s="4">
        <v>87</v>
      </c>
      <c r="AJ2234" s="4">
        <v>17</v>
      </c>
      <c r="AK2234" s="4">
        <v>17</v>
      </c>
      <c r="AL2234" s="4">
        <v>45</v>
      </c>
      <c r="AM2234" s="4">
        <v>45</v>
      </c>
      <c r="AN2234" s="4">
        <v>0</v>
      </c>
      <c r="AO2234" s="4">
        <v>0</v>
      </c>
      <c r="AP2234" s="4">
        <v>20</v>
      </c>
      <c r="AQ2234" s="4">
        <v>20</v>
      </c>
      <c r="AR2234" s="3" t="s">
        <v>62</v>
      </c>
      <c r="AS2234" s="3" t="s">
        <v>62</v>
      </c>
      <c r="AT2234" s="3" t="s">
        <v>62</v>
      </c>
      <c r="AV2234" s="6" t="str">
        <f>HYPERLINK("http://mcgill.on.worldcat.org/oclc/456551197","Catalog Record")</f>
        <v>Catalog Record</v>
      </c>
      <c r="AW2234" s="6" t="str">
        <f>HYPERLINK("http://www.worldcat.org/oclc/456551197","WorldCat Record")</f>
        <v>WorldCat Record</v>
      </c>
      <c r="AX2234" s="3" t="s">
        <v>21780</v>
      </c>
      <c r="AY2234" s="3" t="s">
        <v>21781</v>
      </c>
      <c r="AZ2234" s="3" t="s">
        <v>21782</v>
      </c>
      <c r="BA2234" s="3" t="s">
        <v>21782</v>
      </c>
      <c r="BB2234" s="3" t="s">
        <v>21783</v>
      </c>
      <c r="BC2234" s="3" t="s">
        <v>142</v>
      </c>
      <c r="BD2234" s="3" t="s">
        <v>308</v>
      </c>
      <c r="BE2234" s="3" t="s">
        <v>21784</v>
      </c>
      <c r="BF2234" s="3" t="s">
        <v>21783</v>
      </c>
      <c r="BG2234" s="3" t="s">
        <v>21785</v>
      </c>
    </row>
    <row r="2235" spans="1:59" ht="57" x14ac:dyDescent="0.45">
      <c r="A2235" s="2" t="s">
        <v>59</v>
      </c>
      <c r="B2235" s="2" t="s">
        <v>60</v>
      </c>
      <c r="C2235" s="2" t="s">
        <v>21786</v>
      </c>
      <c r="D2235" s="2" t="s">
        <v>21787</v>
      </c>
      <c r="E2235" s="2" t="s">
        <v>21788</v>
      </c>
      <c r="G2235" s="3" t="s">
        <v>62</v>
      </c>
      <c r="I2235" s="3" t="s">
        <v>62</v>
      </c>
      <c r="J2235" s="3" t="s">
        <v>62</v>
      </c>
      <c r="K2235" s="3" t="s">
        <v>63</v>
      </c>
      <c r="L2235" s="2" t="s">
        <v>21789</v>
      </c>
      <c r="M2235" s="2" t="s">
        <v>13295</v>
      </c>
      <c r="N2235" s="3" t="s">
        <v>894</v>
      </c>
      <c r="P2235" s="3" t="s">
        <v>65</v>
      </c>
      <c r="Q2235" s="2" t="s">
        <v>21790</v>
      </c>
      <c r="R2235" s="3" t="s">
        <v>66</v>
      </c>
      <c r="S2235" s="4">
        <v>1</v>
      </c>
      <c r="T2235" s="4">
        <v>1</v>
      </c>
      <c r="U2235" s="5" t="s">
        <v>21791</v>
      </c>
      <c r="V2235" s="5" t="s">
        <v>21791</v>
      </c>
      <c r="W2235" s="5" t="s">
        <v>67</v>
      </c>
      <c r="X2235" s="5" t="s">
        <v>67</v>
      </c>
      <c r="Y2235" s="4">
        <v>681</v>
      </c>
      <c r="Z2235" s="4">
        <v>30</v>
      </c>
      <c r="AA2235" s="4">
        <v>33</v>
      </c>
      <c r="AB2235" s="4">
        <v>2</v>
      </c>
      <c r="AC2235" s="4">
        <v>5</v>
      </c>
      <c r="AD2235" s="4">
        <v>96</v>
      </c>
      <c r="AE2235" s="4">
        <v>99</v>
      </c>
      <c r="AF2235" s="4">
        <v>1</v>
      </c>
      <c r="AG2235" s="4">
        <v>4</v>
      </c>
      <c r="AH2235" s="4">
        <v>81</v>
      </c>
      <c r="AI2235" s="4">
        <v>82</v>
      </c>
      <c r="AJ2235" s="4">
        <v>18</v>
      </c>
      <c r="AK2235" s="4">
        <v>21</v>
      </c>
      <c r="AL2235" s="4">
        <v>38</v>
      </c>
      <c r="AM2235" s="4">
        <v>38</v>
      </c>
      <c r="AN2235" s="4">
        <v>0</v>
      </c>
      <c r="AO2235" s="4">
        <v>0</v>
      </c>
      <c r="AP2235" s="4">
        <v>24</v>
      </c>
      <c r="AQ2235" s="4">
        <v>26</v>
      </c>
      <c r="AR2235" s="3" t="s">
        <v>62</v>
      </c>
      <c r="AS2235" s="3" t="s">
        <v>62</v>
      </c>
      <c r="AT2235" s="3" t="s">
        <v>62</v>
      </c>
      <c r="AV2235" s="6" t="str">
        <f>HYPERLINK("http://mcgill.on.worldcat.org/oclc/666878039","Catalog Record")</f>
        <v>Catalog Record</v>
      </c>
      <c r="AW2235" s="6" t="str">
        <f>HYPERLINK("http://www.worldcat.org/oclc/666878039","WorldCat Record")</f>
        <v>WorldCat Record</v>
      </c>
      <c r="AX2235" s="3" t="s">
        <v>21792</v>
      </c>
      <c r="AY2235" s="3" t="s">
        <v>21793</v>
      </c>
      <c r="AZ2235" s="3" t="s">
        <v>21794</v>
      </c>
      <c r="BA2235" s="3" t="s">
        <v>21794</v>
      </c>
      <c r="BB2235" s="3" t="s">
        <v>21795</v>
      </c>
      <c r="BC2235" s="3" t="s">
        <v>142</v>
      </c>
      <c r="BD2235" s="3" t="s">
        <v>68</v>
      </c>
      <c r="BE2235" s="3" t="s">
        <v>21796</v>
      </c>
      <c r="BF2235" s="3" t="s">
        <v>21795</v>
      </c>
      <c r="BG2235" s="3" t="s">
        <v>21797</v>
      </c>
    </row>
    <row r="2236" spans="1:59" ht="57" x14ac:dyDescent="0.45">
      <c r="A2236" s="2" t="s">
        <v>59</v>
      </c>
      <c r="B2236" s="2" t="s">
        <v>60</v>
      </c>
      <c r="C2236" s="2" t="s">
        <v>21798</v>
      </c>
      <c r="D2236" s="2" t="s">
        <v>21799</v>
      </c>
      <c r="E2236" s="2" t="s">
        <v>21800</v>
      </c>
      <c r="G2236" s="3" t="s">
        <v>62</v>
      </c>
      <c r="I2236" s="3" t="s">
        <v>62</v>
      </c>
      <c r="J2236" s="3" t="s">
        <v>62</v>
      </c>
      <c r="K2236" s="3" t="s">
        <v>63</v>
      </c>
      <c r="L2236" s="2" t="s">
        <v>21801</v>
      </c>
      <c r="M2236" s="2" t="s">
        <v>21802</v>
      </c>
      <c r="N2236" s="3" t="s">
        <v>1855</v>
      </c>
      <c r="P2236" s="3" t="s">
        <v>110</v>
      </c>
      <c r="R2236" s="3" t="s">
        <v>66</v>
      </c>
      <c r="S2236" s="4">
        <v>1</v>
      </c>
      <c r="T2236" s="4">
        <v>1</v>
      </c>
      <c r="U2236" s="5" t="s">
        <v>12780</v>
      </c>
      <c r="V2236" s="5" t="s">
        <v>12780</v>
      </c>
      <c r="W2236" s="5" t="s">
        <v>67</v>
      </c>
      <c r="X2236" s="5" t="s">
        <v>67</v>
      </c>
      <c r="Y2236" s="4">
        <v>14</v>
      </c>
      <c r="Z2236" s="4">
        <v>3</v>
      </c>
      <c r="AA2236" s="4">
        <v>15</v>
      </c>
      <c r="AB2236" s="4">
        <v>1</v>
      </c>
      <c r="AC2236" s="4">
        <v>10</v>
      </c>
      <c r="AD2236" s="4">
        <v>7</v>
      </c>
      <c r="AE2236" s="4">
        <v>18</v>
      </c>
      <c r="AF2236" s="4">
        <v>0</v>
      </c>
      <c r="AG2236" s="4">
        <v>6</v>
      </c>
      <c r="AH2236" s="4">
        <v>7</v>
      </c>
      <c r="AI2236" s="4">
        <v>12</v>
      </c>
      <c r="AJ2236" s="4">
        <v>1</v>
      </c>
      <c r="AK2236" s="4">
        <v>8</v>
      </c>
      <c r="AL2236" s="4">
        <v>6</v>
      </c>
      <c r="AM2236" s="4">
        <v>7</v>
      </c>
      <c r="AN2236" s="4">
        <v>0</v>
      </c>
      <c r="AO2236" s="4">
        <v>0</v>
      </c>
      <c r="AP2236" s="4">
        <v>1</v>
      </c>
      <c r="AQ2236" s="4">
        <v>8</v>
      </c>
      <c r="AR2236" s="3" t="s">
        <v>62</v>
      </c>
      <c r="AS2236" s="3" t="s">
        <v>62</v>
      </c>
      <c r="AT2236" s="3" t="s">
        <v>61</v>
      </c>
      <c r="AU2236" s="6" t="str">
        <f>HYPERLINK("http://catalog.hathitrust.org/Record/004989542","HathiTrust Record")</f>
        <v>HathiTrust Record</v>
      </c>
      <c r="AV2236" s="6" t="str">
        <f>HYPERLINK("http://mcgill.on.worldcat.org/oclc/57765890","Catalog Record")</f>
        <v>Catalog Record</v>
      </c>
      <c r="AW2236" s="6" t="str">
        <f>HYPERLINK("http://www.worldcat.org/oclc/57765890","WorldCat Record")</f>
        <v>WorldCat Record</v>
      </c>
      <c r="AX2236" s="3" t="s">
        <v>21803</v>
      </c>
      <c r="AY2236" s="3" t="s">
        <v>21804</v>
      </c>
      <c r="AZ2236" s="3" t="s">
        <v>21805</v>
      </c>
      <c r="BA2236" s="3" t="s">
        <v>21805</v>
      </c>
      <c r="BB2236" s="3" t="s">
        <v>21806</v>
      </c>
      <c r="BC2236" s="3" t="s">
        <v>142</v>
      </c>
      <c r="BD2236" s="3" t="s">
        <v>68</v>
      </c>
      <c r="BE2236" s="3" t="s">
        <v>21807</v>
      </c>
      <c r="BF2236" s="3" t="s">
        <v>21806</v>
      </c>
      <c r="BG2236" s="3" t="s">
        <v>21808</v>
      </c>
    </row>
    <row r="2237" spans="1:59" ht="57" x14ac:dyDescent="0.45">
      <c r="A2237" s="2" t="s">
        <v>59</v>
      </c>
      <c r="B2237" s="2" t="s">
        <v>60</v>
      </c>
      <c r="C2237" s="2" t="s">
        <v>21809</v>
      </c>
      <c r="D2237" s="2" t="s">
        <v>21810</v>
      </c>
      <c r="E2237" s="2" t="s">
        <v>21811</v>
      </c>
      <c r="G2237" s="3" t="s">
        <v>62</v>
      </c>
      <c r="I2237" s="3" t="s">
        <v>62</v>
      </c>
      <c r="J2237" s="3" t="s">
        <v>62</v>
      </c>
      <c r="K2237" s="3" t="s">
        <v>63</v>
      </c>
      <c r="L2237" s="2" t="s">
        <v>21812</v>
      </c>
      <c r="M2237" s="2" t="s">
        <v>21813</v>
      </c>
      <c r="N2237" s="3" t="s">
        <v>1212</v>
      </c>
      <c r="P2237" s="3" t="s">
        <v>65</v>
      </c>
      <c r="R2237" s="3" t="s">
        <v>66</v>
      </c>
      <c r="S2237" s="4">
        <v>20</v>
      </c>
      <c r="T2237" s="4">
        <v>20</v>
      </c>
      <c r="U2237" s="5" t="s">
        <v>8352</v>
      </c>
      <c r="V2237" s="5" t="s">
        <v>8352</v>
      </c>
      <c r="W2237" s="5" t="s">
        <v>67</v>
      </c>
      <c r="X2237" s="5" t="s">
        <v>67</v>
      </c>
      <c r="Y2237" s="4">
        <v>316</v>
      </c>
      <c r="Z2237" s="4">
        <v>20</v>
      </c>
      <c r="AA2237" s="4">
        <v>87</v>
      </c>
      <c r="AB2237" s="4">
        <v>2</v>
      </c>
      <c r="AC2237" s="4">
        <v>15</v>
      </c>
      <c r="AD2237" s="4">
        <v>104</v>
      </c>
      <c r="AE2237" s="4">
        <v>142</v>
      </c>
      <c r="AF2237" s="4">
        <v>1</v>
      </c>
      <c r="AG2237" s="4">
        <v>8</v>
      </c>
      <c r="AH2237" s="4">
        <v>93</v>
      </c>
      <c r="AI2237" s="4">
        <v>106</v>
      </c>
      <c r="AJ2237" s="4">
        <v>17</v>
      </c>
      <c r="AK2237" s="4">
        <v>25</v>
      </c>
      <c r="AL2237" s="4">
        <v>52</v>
      </c>
      <c r="AM2237" s="4">
        <v>56</v>
      </c>
      <c r="AN2237" s="4">
        <v>0</v>
      </c>
      <c r="AO2237" s="4">
        <v>0</v>
      </c>
      <c r="AP2237" s="4">
        <v>17</v>
      </c>
      <c r="AQ2237" s="4">
        <v>45</v>
      </c>
      <c r="AR2237" s="3" t="s">
        <v>62</v>
      </c>
      <c r="AS2237" s="3" t="s">
        <v>62</v>
      </c>
      <c r="AT2237" s="3" t="s">
        <v>62</v>
      </c>
      <c r="AV2237" s="6" t="str">
        <f>HYPERLINK("http://mcgill.on.worldcat.org/oclc/42683124","Catalog Record")</f>
        <v>Catalog Record</v>
      </c>
      <c r="AW2237" s="6" t="str">
        <f>HYPERLINK("http://www.worldcat.org/oclc/42683124","WorldCat Record")</f>
        <v>WorldCat Record</v>
      </c>
      <c r="AX2237" s="3" t="s">
        <v>21814</v>
      </c>
      <c r="AY2237" s="3" t="s">
        <v>21815</v>
      </c>
      <c r="AZ2237" s="3" t="s">
        <v>21816</v>
      </c>
      <c r="BA2237" s="3" t="s">
        <v>21816</v>
      </c>
      <c r="BB2237" s="3" t="s">
        <v>21817</v>
      </c>
      <c r="BC2237" s="3" t="s">
        <v>142</v>
      </c>
      <c r="BD2237" s="3" t="s">
        <v>68</v>
      </c>
      <c r="BE2237" s="3" t="s">
        <v>21818</v>
      </c>
      <c r="BF2237" s="3" t="s">
        <v>21817</v>
      </c>
      <c r="BG2237" s="3" t="s">
        <v>21819</v>
      </c>
    </row>
    <row r="2238" spans="1:59" ht="57" x14ac:dyDescent="0.45">
      <c r="A2238" s="2" t="s">
        <v>59</v>
      </c>
      <c r="B2238" s="2" t="s">
        <v>60</v>
      </c>
      <c r="C2238" s="2" t="s">
        <v>21820</v>
      </c>
      <c r="D2238" s="2" t="s">
        <v>21821</v>
      </c>
      <c r="E2238" s="2" t="s">
        <v>21822</v>
      </c>
      <c r="G2238" s="3" t="s">
        <v>62</v>
      </c>
      <c r="I2238" s="3" t="s">
        <v>62</v>
      </c>
      <c r="J2238" s="3" t="s">
        <v>62</v>
      </c>
      <c r="K2238" s="3" t="s">
        <v>63</v>
      </c>
      <c r="L2238" s="2" t="s">
        <v>21823</v>
      </c>
      <c r="M2238" s="2" t="s">
        <v>21824</v>
      </c>
      <c r="N2238" s="3" t="s">
        <v>116</v>
      </c>
      <c r="P2238" s="3" t="s">
        <v>110</v>
      </c>
      <c r="Q2238" s="2" t="s">
        <v>21825</v>
      </c>
      <c r="R2238" s="3" t="s">
        <v>66</v>
      </c>
      <c r="S2238" s="4">
        <v>0</v>
      </c>
      <c r="T2238" s="4">
        <v>0</v>
      </c>
      <c r="W2238" s="5" t="s">
        <v>67</v>
      </c>
      <c r="X2238" s="5" t="s">
        <v>67</v>
      </c>
      <c r="Y2238" s="4">
        <v>18</v>
      </c>
      <c r="Z2238" s="4">
        <v>5</v>
      </c>
      <c r="AA2238" s="4">
        <v>8</v>
      </c>
      <c r="AB2238" s="4">
        <v>1</v>
      </c>
      <c r="AC2238" s="4">
        <v>3</v>
      </c>
      <c r="AD2238" s="4">
        <v>11</v>
      </c>
      <c r="AE2238" s="4">
        <v>13</v>
      </c>
      <c r="AF2238" s="4">
        <v>0</v>
      </c>
      <c r="AG2238" s="4">
        <v>1</v>
      </c>
      <c r="AH2238" s="4">
        <v>9</v>
      </c>
      <c r="AI2238" s="4">
        <v>10</v>
      </c>
      <c r="AJ2238" s="4">
        <v>2</v>
      </c>
      <c r="AK2238" s="4">
        <v>4</v>
      </c>
      <c r="AL2238" s="4">
        <v>9</v>
      </c>
      <c r="AM2238" s="4">
        <v>9</v>
      </c>
      <c r="AN2238" s="4">
        <v>0</v>
      </c>
      <c r="AO2238" s="4">
        <v>0</v>
      </c>
      <c r="AP2238" s="4">
        <v>3</v>
      </c>
      <c r="AQ2238" s="4">
        <v>4</v>
      </c>
      <c r="AR2238" s="3" t="s">
        <v>62</v>
      </c>
      <c r="AS2238" s="3" t="s">
        <v>62</v>
      </c>
      <c r="AT2238" s="3" t="s">
        <v>62</v>
      </c>
      <c r="AV2238" s="6" t="str">
        <f>HYPERLINK("http://mcgill.on.worldcat.org/oclc/876349426","Catalog Record")</f>
        <v>Catalog Record</v>
      </c>
      <c r="AW2238" s="6" t="str">
        <f>HYPERLINK("http://www.worldcat.org/oclc/876349426","WorldCat Record")</f>
        <v>WorldCat Record</v>
      </c>
      <c r="AX2238" s="3" t="s">
        <v>21826</v>
      </c>
      <c r="AY2238" s="3" t="s">
        <v>21827</v>
      </c>
      <c r="AZ2238" s="3" t="s">
        <v>21828</v>
      </c>
      <c r="BA2238" s="3" t="s">
        <v>21828</v>
      </c>
      <c r="BB2238" s="3" t="s">
        <v>21829</v>
      </c>
      <c r="BC2238" s="3" t="s">
        <v>142</v>
      </c>
      <c r="BD2238" s="3" t="s">
        <v>68</v>
      </c>
      <c r="BE2238" s="3" t="s">
        <v>21830</v>
      </c>
      <c r="BF2238" s="3" t="s">
        <v>21829</v>
      </c>
      <c r="BG2238" s="3" t="s">
        <v>21831</v>
      </c>
    </row>
    <row r="2239" spans="1:59" ht="57" x14ac:dyDescent="0.45">
      <c r="A2239" s="2" t="s">
        <v>59</v>
      </c>
      <c r="B2239" s="2" t="s">
        <v>60</v>
      </c>
      <c r="C2239" s="2" t="s">
        <v>21832</v>
      </c>
      <c r="D2239" s="2" t="s">
        <v>21833</v>
      </c>
      <c r="E2239" s="2" t="s">
        <v>21834</v>
      </c>
      <c r="G2239" s="3" t="s">
        <v>62</v>
      </c>
      <c r="I2239" s="3" t="s">
        <v>62</v>
      </c>
      <c r="J2239" s="3" t="s">
        <v>62</v>
      </c>
      <c r="K2239" s="3" t="s">
        <v>63</v>
      </c>
      <c r="M2239" s="2" t="s">
        <v>9187</v>
      </c>
      <c r="N2239" s="3" t="s">
        <v>894</v>
      </c>
      <c r="P2239" s="3" t="s">
        <v>65</v>
      </c>
      <c r="R2239" s="3" t="s">
        <v>66</v>
      </c>
      <c r="S2239" s="4">
        <v>2</v>
      </c>
      <c r="T2239" s="4">
        <v>2</v>
      </c>
      <c r="U2239" s="5" t="s">
        <v>21835</v>
      </c>
      <c r="V2239" s="5" t="s">
        <v>21835</v>
      </c>
      <c r="W2239" s="5" t="s">
        <v>67</v>
      </c>
      <c r="X2239" s="5" t="s">
        <v>67</v>
      </c>
      <c r="Y2239" s="4">
        <v>159</v>
      </c>
      <c r="Z2239" s="4">
        <v>19</v>
      </c>
      <c r="AA2239" s="4">
        <v>24</v>
      </c>
      <c r="AB2239" s="4">
        <v>2</v>
      </c>
      <c r="AC2239" s="4">
        <v>4</v>
      </c>
      <c r="AD2239" s="4">
        <v>73</v>
      </c>
      <c r="AE2239" s="4">
        <v>82</v>
      </c>
      <c r="AF2239" s="4">
        <v>0</v>
      </c>
      <c r="AG2239" s="4">
        <v>1</v>
      </c>
      <c r="AH2239" s="4">
        <v>68</v>
      </c>
      <c r="AI2239" s="4">
        <v>74</v>
      </c>
      <c r="AJ2239" s="4">
        <v>13</v>
      </c>
      <c r="AK2239" s="4">
        <v>15</v>
      </c>
      <c r="AL2239" s="4">
        <v>37</v>
      </c>
      <c r="AM2239" s="4">
        <v>40</v>
      </c>
      <c r="AN2239" s="4">
        <v>0</v>
      </c>
      <c r="AO2239" s="4">
        <v>0</v>
      </c>
      <c r="AP2239" s="4">
        <v>15</v>
      </c>
      <c r="AQ2239" s="4">
        <v>19</v>
      </c>
      <c r="AR2239" s="3" t="s">
        <v>62</v>
      </c>
      <c r="AS2239" s="3" t="s">
        <v>62</v>
      </c>
      <c r="AT2239" s="3" t="s">
        <v>62</v>
      </c>
      <c r="AV2239" s="6" t="str">
        <f>HYPERLINK("http://mcgill.on.worldcat.org/oclc/704241787","Catalog Record")</f>
        <v>Catalog Record</v>
      </c>
      <c r="AW2239" s="6" t="str">
        <f>HYPERLINK("http://www.worldcat.org/oclc/704241787","WorldCat Record")</f>
        <v>WorldCat Record</v>
      </c>
      <c r="AX2239" s="3" t="s">
        <v>21836</v>
      </c>
      <c r="AY2239" s="3" t="s">
        <v>21837</v>
      </c>
      <c r="AZ2239" s="3" t="s">
        <v>21838</v>
      </c>
      <c r="BA2239" s="3" t="s">
        <v>21838</v>
      </c>
      <c r="BB2239" s="3" t="s">
        <v>21839</v>
      </c>
      <c r="BC2239" s="3" t="s">
        <v>142</v>
      </c>
      <c r="BD2239" s="3" t="s">
        <v>68</v>
      </c>
      <c r="BE2239" s="3" t="s">
        <v>21840</v>
      </c>
      <c r="BF2239" s="3" t="s">
        <v>21839</v>
      </c>
      <c r="BG2239" s="3" t="s">
        <v>21841</v>
      </c>
    </row>
    <row r="2240" spans="1:59" ht="57" x14ac:dyDescent="0.45">
      <c r="A2240" s="2" t="s">
        <v>59</v>
      </c>
      <c r="B2240" s="2" t="s">
        <v>60</v>
      </c>
      <c r="C2240" s="2" t="s">
        <v>21842</v>
      </c>
      <c r="D2240" s="2" t="s">
        <v>21843</v>
      </c>
      <c r="E2240" s="2" t="s">
        <v>21844</v>
      </c>
      <c r="G2240" s="3" t="s">
        <v>62</v>
      </c>
      <c r="I2240" s="3" t="s">
        <v>62</v>
      </c>
      <c r="J2240" s="3" t="s">
        <v>62</v>
      </c>
      <c r="K2240" s="3" t="s">
        <v>63</v>
      </c>
      <c r="L2240" s="2" t="s">
        <v>956</v>
      </c>
      <c r="M2240" s="2" t="s">
        <v>21845</v>
      </c>
      <c r="N2240" s="3" t="s">
        <v>2107</v>
      </c>
      <c r="P2240" s="3" t="s">
        <v>110</v>
      </c>
      <c r="Q2240" s="2" t="s">
        <v>21846</v>
      </c>
      <c r="R2240" s="3" t="s">
        <v>66</v>
      </c>
      <c r="S2240" s="4">
        <v>12</v>
      </c>
      <c r="T2240" s="4">
        <v>12</v>
      </c>
      <c r="U2240" s="5" t="s">
        <v>2788</v>
      </c>
      <c r="V2240" s="5" t="s">
        <v>2788</v>
      </c>
      <c r="W2240" s="5" t="s">
        <v>67</v>
      </c>
      <c r="X2240" s="5" t="s">
        <v>67</v>
      </c>
      <c r="Y2240" s="4">
        <v>167</v>
      </c>
      <c r="Z2240" s="4">
        <v>16</v>
      </c>
      <c r="AA2240" s="4">
        <v>26</v>
      </c>
      <c r="AB2240" s="4">
        <v>3</v>
      </c>
      <c r="AC2240" s="4">
        <v>11</v>
      </c>
      <c r="AD2240" s="4">
        <v>65</v>
      </c>
      <c r="AE2240" s="4">
        <v>71</v>
      </c>
      <c r="AF2240" s="4">
        <v>1</v>
      </c>
      <c r="AG2240" s="4">
        <v>5</v>
      </c>
      <c r="AH2240" s="4">
        <v>59</v>
      </c>
      <c r="AI2240" s="4">
        <v>60</v>
      </c>
      <c r="AJ2240" s="4">
        <v>11</v>
      </c>
      <c r="AK2240" s="4">
        <v>15</v>
      </c>
      <c r="AL2240" s="4">
        <v>38</v>
      </c>
      <c r="AM2240" s="4">
        <v>38</v>
      </c>
      <c r="AN2240" s="4">
        <v>0</v>
      </c>
      <c r="AO2240" s="4">
        <v>0</v>
      </c>
      <c r="AP2240" s="4">
        <v>13</v>
      </c>
      <c r="AQ2240" s="4">
        <v>18</v>
      </c>
      <c r="AR2240" s="3" t="s">
        <v>62</v>
      </c>
      <c r="AS2240" s="3" t="s">
        <v>62</v>
      </c>
      <c r="AT2240" s="3" t="s">
        <v>61</v>
      </c>
      <c r="AU2240" s="6" t="str">
        <f>HYPERLINK("http://catalog.hathitrust.org/Record/000565747","HathiTrust Record")</f>
        <v>HathiTrust Record</v>
      </c>
      <c r="AV2240" s="6" t="str">
        <f>HYPERLINK("http://mcgill.on.worldcat.org/oclc/13008018","Catalog Record")</f>
        <v>Catalog Record</v>
      </c>
      <c r="AW2240" s="6" t="str">
        <f>HYPERLINK("http://www.worldcat.org/oclc/13008018","WorldCat Record")</f>
        <v>WorldCat Record</v>
      </c>
      <c r="AX2240" s="3" t="s">
        <v>21847</v>
      </c>
      <c r="AY2240" s="3" t="s">
        <v>21848</v>
      </c>
      <c r="AZ2240" s="3" t="s">
        <v>21849</v>
      </c>
      <c r="BA2240" s="3" t="s">
        <v>21849</v>
      </c>
      <c r="BB2240" s="3" t="s">
        <v>21850</v>
      </c>
      <c r="BC2240" s="3" t="s">
        <v>142</v>
      </c>
      <c r="BD2240" s="3" t="s">
        <v>68</v>
      </c>
      <c r="BE2240" s="3" t="s">
        <v>21851</v>
      </c>
      <c r="BF2240" s="3" t="s">
        <v>21850</v>
      </c>
      <c r="BG2240" s="3" t="s">
        <v>21852</v>
      </c>
    </row>
    <row r="2241" spans="1:59" ht="57" x14ac:dyDescent="0.45">
      <c r="A2241" s="2" t="s">
        <v>59</v>
      </c>
      <c r="B2241" s="2" t="s">
        <v>60</v>
      </c>
      <c r="C2241" s="2" t="s">
        <v>21853</v>
      </c>
      <c r="D2241" s="2" t="s">
        <v>21854</v>
      </c>
      <c r="E2241" s="2" t="s">
        <v>21855</v>
      </c>
      <c r="G2241" s="3" t="s">
        <v>62</v>
      </c>
      <c r="I2241" s="3" t="s">
        <v>62</v>
      </c>
      <c r="J2241" s="3" t="s">
        <v>62</v>
      </c>
      <c r="K2241" s="3" t="s">
        <v>63</v>
      </c>
      <c r="L2241" s="2" t="s">
        <v>21856</v>
      </c>
      <c r="M2241" s="2" t="s">
        <v>21857</v>
      </c>
      <c r="N2241" s="3" t="s">
        <v>181</v>
      </c>
      <c r="P2241" s="3" t="s">
        <v>110</v>
      </c>
      <c r="Q2241" s="2" t="s">
        <v>21858</v>
      </c>
      <c r="R2241" s="3" t="s">
        <v>66</v>
      </c>
      <c r="S2241" s="4">
        <v>4</v>
      </c>
      <c r="T2241" s="4">
        <v>4</v>
      </c>
      <c r="U2241" s="5" t="s">
        <v>21859</v>
      </c>
      <c r="V2241" s="5" t="s">
        <v>21859</v>
      </c>
      <c r="W2241" s="5" t="s">
        <v>67</v>
      </c>
      <c r="X2241" s="5" t="s">
        <v>67</v>
      </c>
      <c r="Y2241" s="4">
        <v>4</v>
      </c>
      <c r="Z2241" s="4">
        <v>2</v>
      </c>
      <c r="AA2241" s="4">
        <v>19</v>
      </c>
      <c r="AB2241" s="4">
        <v>1</v>
      </c>
      <c r="AC2241" s="4">
        <v>9</v>
      </c>
      <c r="AD2241" s="4">
        <v>1</v>
      </c>
      <c r="AE2241" s="4">
        <v>30</v>
      </c>
      <c r="AF2241" s="4">
        <v>0</v>
      </c>
      <c r="AG2241" s="4">
        <v>4</v>
      </c>
      <c r="AH2241" s="4">
        <v>0</v>
      </c>
      <c r="AI2241" s="4">
        <v>22</v>
      </c>
      <c r="AJ2241" s="4">
        <v>1</v>
      </c>
      <c r="AK2241" s="4">
        <v>11</v>
      </c>
      <c r="AL2241" s="4">
        <v>0</v>
      </c>
      <c r="AM2241" s="4">
        <v>17</v>
      </c>
      <c r="AN2241" s="4">
        <v>0</v>
      </c>
      <c r="AO2241" s="4">
        <v>0</v>
      </c>
      <c r="AP2241" s="4">
        <v>1</v>
      </c>
      <c r="AQ2241" s="4">
        <v>12</v>
      </c>
      <c r="AR2241" s="3" t="s">
        <v>62</v>
      </c>
      <c r="AS2241" s="3" t="s">
        <v>62</v>
      </c>
      <c r="AT2241" s="3" t="s">
        <v>62</v>
      </c>
      <c r="AV2241" s="6" t="str">
        <f>HYPERLINK("http://mcgill.on.worldcat.org/oclc/958183664","Catalog Record")</f>
        <v>Catalog Record</v>
      </c>
      <c r="AW2241" s="6" t="str">
        <f>HYPERLINK("http://www.worldcat.org/oclc/958183664","WorldCat Record")</f>
        <v>WorldCat Record</v>
      </c>
      <c r="AX2241" s="3" t="s">
        <v>21860</v>
      </c>
      <c r="AY2241" s="3" t="s">
        <v>21861</v>
      </c>
      <c r="AZ2241" s="3" t="s">
        <v>21862</v>
      </c>
      <c r="BA2241" s="3" t="s">
        <v>21862</v>
      </c>
      <c r="BB2241" s="3" t="s">
        <v>21863</v>
      </c>
      <c r="BC2241" s="3" t="s">
        <v>142</v>
      </c>
      <c r="BD2241" s="3" t="s">
        <v>308</v>
      </c>
      <c r="BE2241" s="3" t="s">
        <v>21864</v>
      </c>
      <c r="BF2241" s="3" t="s">
        <v>21863</v>
      </c>
      <c r="BG2241" s="3" t="s">
        <v>21865</v>
      </c>
    </row>
    <row r="2242" spans="1:59" ht="57" x14ac:dyDescent="0.45">
      <c r="A2242" s="2" t="s">
        <v>59</v>
      </c>
      <c r="B2242" s="2" t="s">
        <v>60</v>
      </c>
      <c r="C2242" s="2" t="s">
        <v>21866</v>
      </c>
      <c r="D2242" s="2" t="s">
        <v>21867</v>
      </c>
      <c r="E2242" s="2" t="s">
        <v>21868</v>
      </c>
      <c r="G2242" s="3" t="s">
        <v>62</v>
      </c>
      <c r="I2242" s="3" t="s">
        <v>62</v>
      </c>
      <c r="J2242" s="3" t="s">
        <v>62</v>
      </c>
      <c r="K2242" s="3" t="s">
        <v>63</v>
      </c>
      <c r="L2242" s="2" t="s">
        <v>21869</v>
      </c>
      <c r="M2242" s="2" t="s">
        <v>2631</v>
      </c>
      <c r="N2242" s="3" t="s">
        <v>116</v>
      </c>
      <c r="P2242" s="3" t="s">
        <v>65</v>
      </c>
      <c r="R2242" s="3" t="s">
        <v>66</v>
      </c>
      <c r="S2242" s="4">
        <v>1</v>
      </c>
      <c r="T2242" s="4">
        <v>1</v>
      </c>
      <c r="U2242" s="5" t="s">
        <v>21870</v>
      </c>
      <c r="V2242" s="5" t="s">
        <v>21870</v>
      </c>
      <c r="W2242" s="5" t="s">
        <v>67</v>
      </c>
      <c r="X2242" s="5" t="s">
        <v>67</v>
      </c>
      <c r="Y2242" s="4">
        <v>131</v>
      </c>
      <c r="Z2242" s="4">
        <v>11</v>
      </c>
      <c r="AA2242" s="4">
        <v>79</v>
      </c>
      <c r="AB2242" s="4">
        <v>1</v>
      </c>
      <c r="AC2242" s="4">
        <v>14</v>
      </c>
      <c r="AD2242" s="4">
        <v>55</v>
      </c>
      <c r="AE2242" s="4">
        <v>124</v>
      </c>
      <c r="AF2242" s="4">
        <v>0</v>
      </c>
      <c r="AG2242" s="4">
        <v>8</v>
      </c>
      <c r="AH2242" s="4">
        <v>52</v>
      </c>
      <c r="AI2242" s="4">
        <v>90</v>
      </c>
      <c r="AJ2242" s="4">
        <v>8</v>
      </c>
      <c r="AK2242" s="4">
        <v>22</v>
      </c>
      <c r="AL2242" s="4">
        <v>30</v>
      </c>
      <c r="AM2242" s="4">
        <v>50</v>
      </c>
      <c r="AN2242" s="4">
        <v>0</v>
      </c>
      <c r="AO2242" s="4">
        <v>0</v>
      </c>
      <c r="AP2242" s="4">
        <v>8</v>
      </c>
      <c r="AQ2242" s="4">
        <v>41</v>
      </c>
      <c r="AR2242" s="3" t="s">
        <v>62</v>
      </c>
      <c r="AS2242" s="3" t="s">
        <v>62</v>
      </c>
      <c r="AT2242" s="3" t="s">
        <v>62</v>
      </c>
      <c r="AV2242" s="6" t="str">
        <f>HYPERLINK("http://mcgill.on.worldcat.org/oclc/812531016","Catalog Record")</f>
        <v>Catalog Record</v>
      </c>
      <c r="AW2242" s="6" t="str">
        <f>HYPERLINK("http://www.worldcat.org/oclc/812531016","WorldCat Record")</f>
        <v>WorldCat Record</v>
      </c>
      <c r="AX2242" s="3" t="s">
        <v>21871</v>
      </c>
      <c r="AY2242" s="3" t="s">
        <v>21872</v>
      </c>
      <c r="AZ2242" s="3" t="s">
        <v>21873</v>
      </c>
      <c r="BA2242" s="3" t="s">
        <v>21873</v>
      </c>
      <c r="BB2242" s="3" t="s">
        <v>21874</v>
      </c>
      <c r="BC2242" s="3" t="s">
        <v>142</v>
      </c>
      <c r="BD2242" s="3" t="s">
        <v>68</v>
      </c>
      <c r="BE2242" s="3" t="s">
        <v>21875</v>
      </c>
      <c r="BF2242" s="3" t="s">
        <v>21874</v>
      </c>
      <c r="BG2242" s="3" t="s">
        <v>21876</v>
      </c>
    </row>
    <row r="2243" spans="1:59" ht="57" x14ac:dyDescent="0.45">
      <c r="A2243" s="2" t="s">
        <v>59</v>
      </c>
      <c r="B2243" s="2" t="s">
        <v>60</v>
      </c>
      <c r="C2243" s="2" t="s">
        <v>21877</v>
      </c>
      <c r="D2243" s="2" t="s">
        <v>21878</v>
      </c>
      <c r="E2243" s="2" t="s">
        <v>21879</v>
      </c>
      <c r="G2243" s="3" t="s">
        <v>62</v>
      </c>
      <c r="I2243" s="3" t="s">
        <v>62</v>
      </c>
      <c r="J2243" s="3" t="s">
        <v>62</v>
      </c>
      <c r="K2243" s="3" t="s">
        <v>63</v>
      </c>
      <c r="L2243" s="2" t="s">
        <v>21880</v>
      </c>
      <c r="M2243" s="2" t="s">
        <v>4047</v>
      </c>
      <c r="N2243" s="3" t="s">
        <v>945</v>
      </c>
      <c r="P2243" s="3" t="s">
        <v>65</v>
      </c>
      <c r="Q2243" s="2" t="s">
        <v>21577</v>
      </c>
      <c r="R2243" s="3" t="s">
        <v>66</v>
      </c>
      <c r="S2243" s="4">
        <v>27</v>
      </c>
      <c r="T2243" s="4">
        <v>27</v>
      </c>
      <c r="U2243" s="5" t="s">
        <v>21881</v>
      </c>
      <c r="V2243" s="5" t="s">
        <v>21881</v>
      </c>
      <c r="W2243" s="5" t="s">
        <v>67</v>
      </c>
      <c r="X2243" s="5" t="s">
        <v>67</v>
      </c>
      <c r="Y2243" s="4">
        <v>299</v>
      </c>
      <c r="Z2243" s="4">
        <v>27</v>
      </c>
      <c r="AA2243" s="4">
        <v>98</v>
      </c>
      <c r="AB2243" s="4">
        <v>2</v>
      </c>
      <c r="AC2243" s="4">
        <v>18</v>
      </c>
      <c r="AD2243" s="4">
        <v>100</v>
      </c>
      <c r="AE2243" s="4">
        <v>148</v>
      </c>
      <c r="AF2243" s="4">
        <v>1</v>
      </c>
      <c r="AG2243" s="4">
        <v>8</v>
      </c>
      <c r="AH2243" s="4">
        <v>85</v>
      </c>
      <c r="AI2243" s="4">
        <v>101</v>
      </c>
      <c r="AJ2243" s="4">
        <v>17</v>
      </c>
      <c r="AK2243" s="4">
        <v>28</v>
      </c>
      <c r="AL2243" s="4">
        <v>48</v>
      </c>
      <c r="AM2243" s="4">
        <v>53</v>
      </c>
      <c r="AN2243" s="4">
        <v>0</v>
      </c>
      <c r="AO2243" s="4">
        <v>0</v>
      </c>
      <c r="AP2243" s="4">
        <v>21</v>
      </c>
      <c r="AQ2243" s="4">
        <v>56</v>
      </c>
      <c r="AR2243" s="3" t="s">
        <v>62</v>
      </c>
      <c r="AS2243" s="3" t="s">
        <v>62</v>
      </c>
      <c r="AT2243" s="3" t="s">
        <v>62</v>
      </c>
      <c r="AV2243" s="6" t="str">
        <f>HYPERLINK("http://mcgill.on.worldcat.org/oclc/71842631","Catalog Record")</f>
        <v>Catalog Record</v>
      </c>
      <c r="AW2243" s="6" t="str">
        <f>HYPERLINK("http://www.worldcat.org/oclc/71842631","WorldCat Record")</f>
        <v>WorldCat Record</v>
      </c>
      <c r="AX2243" s="3" t="s">
        <v>21882</v>
      </c>
      <c r="AY2243" s="3" t="s">
        <v>21883</v>
      </c>
      <c r="AZ2243" s="3" t="s">
        <v>21884</v>
      </c>
      <c r="BA2243" s="3" t="s">
        <v>21884</v>
      </c>
      <c r="BB2243" s="3" t="s">
        <v>21885</v>
      </c>
      <c r="BC2243" s="3" t="s">
        <v>142</v>
      </c>
      <c r="BD2243" s="3" t="s">
        <v>68</v>
      </c>
      <c r="BE2243" s="3" t="s">
        <v>21886</v>
      </c>
      <c r="BF2243" s="3" t="s">
        <v>21885</v>
      </c>
      <c r="BG2243" s="3" t="s">
        <v>21887</v>
      </c>
    </row>
    <row r="2244" spans="1:59" ht="57" x14ac:dyDescent="0.45">
      <c r="A2244" s="2" t="s">
        <v>59</v>
      </c>
      <c r="B2244" s="2" t="s">
        <v>60</v>
      </c>
      <c r="C2244" s="2" t="s">
        <v>21888</v>
      </c>
      <c r="D2244" s="2" t="s">
        <v>21889</v>
      </c>
      <c r="E2244" s="2" t="s">
        <v>21890</v>
      </c>
      <c r="G2244" s="3" t="s">
        <v>62</v>
      </c>
      <c r="I2244" s="3" t="s">
        <v>62</v>
      </c>
      <c r="J2244" s="3" t="s">
        <v>62</v>
      </c>
      <c r="K2244" s="3" t="s">
        <v>63</v>
      </c>
      <c r="M2244" s="2" t="s">
        <v>21891</v>
      </c>
      <c r="N2244" s="3" t="s">
        <v>958</v>
      </c>
      <c r="P2244" s="3" t="s">
        <v>65</v>
      </c>
      <c r="Q2244" s="2" t="s">
        <v>1450</v>
      </c>
      <c r="R2244" s="3" t="s">
        <v>66</v>
      </c>
      <c r="S2244" s="4">
        <v>44</v>
      </c>
      <c r="T2244" s="4">
        <v>44</v>
      </c>
      <c r="U2244" s="5" t="s">
        <v>723</v>
      </c>
      <c r="V2244" s="5" t="s">
        <v>723</v>
      </c>
      <c r="W2244" s="5" t="s">
        <v>67</v>
      </c>
      <c r="X2244" s="5" t="s">
        <v>67</v>
      </c>
      <c r="Y2244" s="4">
        <v>472</v>
      </c>
      <c r="Z2244" s="4">
        <v>38</v>
      </c>
      <c r="AA2244" s="4">
        <v>45</v>
      </c>
      <c r="AB2244" s="4">
        <v>2</v>
      </c>
      <c r="AC2244" s="4">
        <v>8</v>
      </c>
      <c r="AD2244" s="4">
        <v>128</v>
      </c>
      <c r="AE2244" s="4">
        <v>132</v>
      </c>
      <c r="AF2244" s="4">
        <v>0</v>
      </c>
      <c r="AG2244" s="4">
        <v>2</v>
      </c>
      <c r="AH2244" s="4">
        <v>102</v>
      </c>
      <c r="AI2244" s="4">
        <v>103</v>
      </c>
      <c r="AJ2244" s="4">
        <v>19</v>
      </c>
      <c r="AK2244" s="4">
        <v>22</v>
      </c>
      <c r="AL2244" s="4">
        <v>55</v>
      </c>
      <c r="AM2244" s="4">
        <v>55</v>
      </c>
      <c r="AN2244" s="4">
        <v>0</v>
      </c>
      <c r="AO2244" s="4">
        <v>0</v>
      </c>
      <c r="AP2244" s="4">
        <v>33</v>
      </c>
      <c r="AQ2244" s="4">
        <v>35</v>
      </c>
      <c r="AR2244" s="3" t="s">
        <v>62</v>
      </c>
      <c r="AS2244" s="3" t="s">
        <v>62</v>
      </c>
      <c r="AT2244" s="3" t="s">
        <v>61</v>
      </c>
      <c r="AU2244" s="6" t="str">
        <f>HYPERLINK("http://catalog.hathitrust.org/Record/003056575","HathiTrust Record")</f>
        <v>HathiTrust Record</v>
      </c>
      <c r="AV2244" s="6" t="str">
        <f>HYPERLINK("http://mcgill.on.worldcat.org/oclc/30979010","Catalog Record")</f>
        <v>Catalog Record</v>
      </c>
      <c r="AW2244" s="6" t="str">
        <f>HYPERLINK("http://www.worldcat.org/oclc/30979010","WorldCat Record")</f>
        <v>WorldCat Record</v>
      </c>
      <c r="AX2244" s="3" t="s">
        <v>21892</v>
      </c>
      <c r="AY2244" s="3" t="s">
        <v>21893</v>
      </c>
      <c r="AZ2244" s="3" t="s">
        <v>21894</v>
      </c>
      <c r="BA2244" s="3" t="s">
        <v>21894</v>
      </c>
      <c r="BB2244" s="3" t="s">
        <v>21895</v>
      </c>
      <c r="BC2244" s="3" t="s">
        <v>142</v>
      </c>
      <c r="BD2244" s="3" t="s">
        <v>68</v>
      </c>
      <c r="BE2244" s="3" t="s">
        <v>21896</v>
      </c>
      <c r="BF2244" s="3" t="s">
        <v>21895</v>
      </c>
      <c r="BG2244" s="3" t="s">
        <v>21897</v>
      </c>
    </row>
    <row r="2245" spans="1:59" ht="57" x14ac:dyDescent="0.45">
      <c r="A2245" s="2" t="s">
        <v>59</v>
      </c>
      <c r="B2245" s="2" t="s">
        <v>60</v>
      </c>
      <c r="C2245" s="2" t="s">
        <v>21898</v>
      </c>
      <c r="D2245" s="2" t="s">
        <v>21899</v>
      </c>
      <c r="E2245" s="2" t="s">
        <v>21900</v>
      </c>
      <c r="G2245" s="3" t="s">
        <v>62</v>
      </c>
      <c r="I2245" s="3" t="s">
        <v>61</v>
      </c>
      <c r="J2245" s="3" t="s">
        <v>62</v>
      </c>
      <c r="K2245" s="3" t="s">
        <v>63</v>
      </c>
      <c r="L2245" s="2" t="s">
        <v>21901</v>
      </c>
      <c r="M2245" s="2" t="s">
        <v>21902</v>
      </c>
      <c r="N2245" s="3" t="s">
        <v>125</v>
      </c>
      <c r="P2245" s="3" t="s">
        <v>65</v>
      </c>
      <c r="R2245" s="3" t="s">
        <v>66</v>
      </c>
      <c r="S2245" s="4">
        <v>21</v>
      </c>
      <c r="T2245" s="4">
        <v>40</v>
      </c>
      <c r="U2245" s="5" t="s">
        <v>12348</v>
      </c>
      <c r="V2245" s="5" t="s">
        <v>17723</v>
      </c>
      <c r="W2245" s="5" t="s">
        <v>67</v>
      </c>
      <c r="X2245" s="5" t="s">
        <v>67</v>
      </c>
      <c r="Y2245" s="4">
        <v>348</v>
      </c>
      <c r="Z2245" s="4">
        <v>26</v>
      </c>
      <c r="AA2245" s="4">
        <v>31</v>
      </c>
      <c r="AB2245" s="4">
        <v>2</v>
      </c>
      <c r="AC2245" s="4">
        <v>7</v>
      </c>
      <c r="AD2245" s="4">
        <v>107</v>
      </c>
      <c r="AE2245" s="4">
        <v>110</v>
      </c>
      <c r="AF2245" s="4">
        <v>0</v>
      </c>
      <c r="AG2245" s="4">
        <v>3</v>
      </c>
      <c r="AH2245" s="4">
        <v>93</v>
      </c>
      <c r="AI2245" s="4">
        <v>94</v>
      </c>
      <c r="AJ2245" s="4">
        <v>15</v>
      </c>
      <c r="AK2245" s="4">
        <v>18</v>
      </c>
      <c r="AL2245" s="4">
        <v>54</v>
      </c>
      <c r="AM2245" s="4">
        <v>54</v>
      </c>
      <c r="AN2245" s="4">
        <v>0</v>
      </c>
      <c r="AO2245" s="4">
        <v>0</v>
      </c>
      <c r="AP2245" s="4">
        <v>21</v>
      </c>
      <c r="AQ2245" s="4">
        <v>23</v>
      </c>
      <c r="AR2245" s="3" t="s">
        <v>62</v>
      </c>
      <c r="AS2245" s="3" t="s">
        <v>62</v>
      </c>
      <c r="AT2245" s="3" t="s">
        <v>61</v>
      </c>
      <c r="AU2245" s="6" t="str">
        <f>HYPERLINK("http://catalog.hathitrust.org/Record/002372200","HathiTrust Record")</f>
        <v>HathiTrust Record</v>
      </c>
      <c r="AV2245" s="6" t="str">
        <f>HYPERLINK("http://mcgill.on.worldcat.org/oclc/21374438","Catalog Record")</f>
        <v>Catalog Record</v>
      </c>
      <c r="AW2245" s="6" t="str">
        <f>HYPERLINK("http://www.worldcat.org/oclc/21374438","WorldCat Record")</f>
        <v>WorldCat Record</v>
      </c>
      <c r="AX2245" s="3" t="s">
        <v>21903</v>
      </c>
      <c r="AY2245" s="3" t="s">
        <v>21904</v>
      </c>
      <c r="AZ2245" s="3" t="s">
        <v>21905</v>
      </c>
      <c r="BA2245" s="3" t="s">
        <v>21905</v>
      </c>
      <c r="BB2245" s="3" t="s">
        <v>21906</v>
      </c>
      <c r="BC2245" s="3" t="s">
        <v>142</v>
      </c>
      <c r="BD2245" s="3" t="s">
        <v>68</v>
      </c>
      <c r="BE2245" s="3" t="s">
        <v>21907</v>
      </c>
      <c r="BF2245" s="3" t="s">
        <v>21906</v>
      </c>
      <c r="BG2245" s="3" t="s">
        <v>21908</v>
      </c>
    </row>
    <row r="2246" spans="1:59" ht="57" x14ac:dyDescent="0.45">
      <c r="A2246" s="2" t="s">
        <v>59</v>
      </c>
      <c r="B2246" s="2" t="s">
        <v>60</v>
      </c>
      <c r="C2246" s="2" t="s">
        <v>21898</v>
      </c>
      <c r="D2246" s="2" t="s">
        <v>21899</v>
      </c>
      <c r="E2246" s="2" t="s">
        <v>21900</v>
      </c>
      <c r="G2246" s="3" t="s">
        <v>62</v>
      </c>
      <c r="I2246" s="3" t="s">
        <v>61</v>
      </c>
      <c r="J2246" s="3" t="s">
        <v>62</v>
      </c>
      <c r="K2246" s="3" t="s">
        <v>63</v>
      </c>
      <c r="L2246" s="2" t="s">
        <v>21901</v>
      </c>
      <c r="M2246" s="2" t="s">
        <v>21902</v>
      </c>
      <c r="N2246" s="3" t="s">
        <v>125</v>
      </c>
      <c r="P2246" s="3" t="s">
        <v>65</v>
      </c>
      <c r="R2246" s="3" t="s">
        <v>66</v>
      </c>
      <c r="S2246" s="4">
        <v>19</v>
      </c>
      <c r="T2246" s="4">
        <v>40</v>
      </c>
      <c r="U2246" s="5" t="s">
        <v>17723</v>
      </c>
      <c r="V2246" s="5" t="s">
        <v>17723</v>
      </c>
      <c r="W2246" s="5" t="s">
        <v>67</v>
      </c>
      <c r="X2246" s="5" t="s">
        <v>67</v>
      </c>
      <c r="Y2246" s="4">
        <v>348</v>
      </c>
      <c r="Z2246" s="4">
        <v>26</v>
      </c>
      <c r="AA2246" s="4">
        <v>31</v>
      </c>
      <c r="AB2246" s="4">
        <v>2</v>
      </c>
      <c r="AC2246" s="4">
        <v>7</v>
      </c>
      <c r="AD2246" s="4">
        <v>107</v>
      </c>
      <c r="AE2246" s="4">
        <v>110</v>
      </c>
      <c r="AF2246" s="4">
        <v>0</v>
      </c>
      <c r="AG2246" s="4">
        <v>3</v>
      </c>
      <c r="AH2246" s="4">
        <v>93</v>
      </c>
      <c r="AI2246" s="4">
        <v>94</v>
      </c>
      <c r="AJ2246" s="4">
        <v>15</v>
      </c>
      <c r="AK2246" s="4">
        <v>18</v>
      </c>
      <c r="AL2246" s="4">
        <v>54</v>
      </c>
      <c r="AM2246" s="4">
        <v>54</v>
      </c>
      <c r="AN2246" s="4">
        <v>0</v>
      </c>
      <c r="AO2246" s="4">
        <v>0</v>
      </c>
      <c r="AP2246" s="4">
        <v>21</v>
      </c>
      <c r="AQ2246" s="4">
        <v>23</v>
      </c>
      <c r="AR2246" s="3" t="s">
        <v>62</v>
      </c>
      <c r="AS2246" s="3" t="s">
        <v>62</v>
      </c>
      <c r="AT2246" s="3" t="s">
        <v>61</v>
      </c>
      <c r="AU2246" s="6" t="str">
        <f>HYPERLINK("http://catalog.hathitrust.org/Record/002372200","HathiTrust Record")</f>
        <v>HathiTrust Record</v>
      </c>
      <c r="AV2246" s="6" t="str">
        <f>HYPERLINK("http://mcgill.on.worldcat.org/oclc/21374438","Catalog Record")</f>
        <v>Catalog Record</v>
      </c>
      <c r="AW2246" s="6" t="str">
        <f>HYPERLINK("http://www.worldcat.org/oclc/21374438","WorldCat Record")</f>
        <v>WorldCat Record</v>
      </c>
      <c r="AX2246" s="3" t="s">
        <v>21903</v>
      </c>
      <c r="AY2246" s="3" t="s">
        <v>21904</v>
      </c>
      <c r="AZ2246" s="3" t="s">
        <v>21905</v>
      </c>
      <c r="BA2246" s="3" t="s">
        <v>21905</v>
      </c>
      <c r="BB2246" s="3" t="s">
        <v>21909</v>
      </c>
      <c r="BC2246" s="3" t="s">
        <v>142</v>
      </c>
      <c r="BD2246" s="3" t="s">
        <v>68</v>
      </c>
      <c r="BE2246" s="3" t="s">
        <v>21907</v>
      </c>
      <c r="BF2246" s="3" t="s">
        <v>21909</v>
      </c>
      <c r="BG2246" s="3" t="s">
        <v>21910</v>
      </c>
    </row>
    <row r="2247" spans="1:59" ht="57" x14ac:dyDescent="0.45">
      <c r="A2247" s="2" t="s">
        <v>59</v>
      </c>
      <c r="B2247" s="2" t="s">
        <v>60</v>
      </c>
      <c r="C2247" s="2" t="s">
        <v>21911</v>
      </c>
      <c r="D2247" s="2" t="s">
        <v>21912</v>
      </c>
      <c r="E2247" s="2" t="s">
        <v>21913</v>
      </c>
      <c r="G2247" s="3" t="s">
        <v>62</v>
      </c>
      <c r="I2247" s="3" t="s">
        <v>62</v>
      </c>
      <c r="J2247" s="3" t="s">
        <v>62</v>
      </c>
      <c r="K2247" s="3" t="s">
        <v>63</v>
      </c>
      <c r="L2247" s="2" t="s">
        <v>21914</v>
      </c>
      <c r="M2247" s="2" t="s">
        <v>21915</v>
      </c>
      <c r="N2247" s="3" t="s">
        <v>1855</v>
      </c>
      <c r="P2247" s="3" t="s">
        <v>65</v>
      </c>
      <c r="Q2247" s="2" t="s">
        <v>21916</v>
      </c>
      <c r="R2247" s="3" t="s">
        <v>66</v>
      </c>
      <c r="S2247" s="4">
        <v>6</v>
      </c>
      <c r="T2247" s="4">
        <v>6</v>
      </c>
      <c r="U2247" s="5" t="s">
        <v>5583</v>
      </c>
      <c r="V2247" s="5" t="s">
        <v>5583</v>
      </c>
      <c r="W2247" s="5" t="s">
        <v>67</v>
      </c>
      <c r="X2247" s="5" t="s">
        <v>67</v>
      </c>
      <c r="Y2247" s="4">
        <v>160</v>
      </c>
      <c r="Z2247" s="4">
        <v>16</v>
      </c>
      <c r="AA2247" s="4">
        <v>24</v>
      </c>
      <c r="AB2247" s="4">
        <v>1</v>
      </c>
      <c r="AC2247" s="4">
        <v>5</v>
      </c>
      <c r="AD2247" s="4">
        <v>74</v>
      </c>
      <c r="AE2247" s="4">
        <v>84</v>
      </c>
      <c r="AF2247" s="4">
        <v>0</v>
      </c>
      <c r="AG2247" s="4">
        <v>1</v>
      </c>
      <c r="AH2247" s="4">
        <v>66</v>
      </c>
      <c r="AI2247" s="4">
        <v>74</v>
      </c>
      <c r="AJ2247" s="4">
        <v>11</v>
      </c>
      <c r="AK2247" s="4">
        <v>14</v>
      </c>
      <c r="AL2247" s="4">
        <v>43</v>
      </c>
      <c r="AM2247" s="4">
        <v>45</v>
      </c>
      <c r="AN2247" s="4">
        <v>0</v>
      </c>
      <c r="AO2247" s="4">
        <v>0</v>
      </c>
      <c r="AP2247" s="4">
        <v>13</v>
      </c>
      <c r="AQ2247" s="4">
        <v>18</v>
      </c>
      <c r="AR2247" s="3" t="s">
        <v>62</v>
      </c>
      <c r="AS2247" s="3" t="s">
        <v>62</v>
      </c>
      <c r="AT2247" s="3" t="s">
        <v>62</v>
      </c>
      <c r="AV2247" s="6" t="str">
        <f>HYPERLINK("http://mcgill.on.worldcat.org/oclc/56964776","Catalog Record")</f>
        <v>Catalog Record</v>
      </c>
      <c r="AW2247" s="6" t="str">
        <f>HYPERLINK("http://www.worldcat.org/oclc/56964776","WorldCat Record")</f>
        <v>WorldCat Record</v>
      </c>
      <c r="AX2247" s="3" t="s">
        <v>21917</v>
      </c>
      <c r="AY2247" s="3" t="s">
        <v>21918</v>
      </c>
      <c r="AZ2247" s="3" t="s">
        <v>21919</v>
      </c>
      <c r="BA2247" s="3" t="s">
        <v>21919</v>
      </c>
      <c r="BB2247" s="3" t="s">
        <v>21920</v>
      </c>
      <c r="BC2247" s="3" t="s">
        <v>142</v>
      </c>
      <c r="BD2247" s="3" t="s">
        <v>68</v>
      </c>
      <c r="BE2247" s="3" t="s">
        <v>21921</v>
      </c>
      <c r="BF2247" s="3" t="s">
        <v>21920</v>
      </c>
      <c r="BG2247" s="3" t="s">
        <v>21922</v>
      </c>
    </row>
    <row r="2248" spans="1:59" ht="57" x14ac:dyDescent="0.45">
      <c r="A2248" s="2" t="s">
        <v>59</v>
      </c>
      <c r="B2248" s="2" t="s">
        <v>60</v>
      </c>
      <c r="C2248" s="2" t="s">
        <v>21923</v>
      </c>
      <c r="D2248" s="2" t="s">
        <v>21924</v>
      </c>
      <c r="E2248" s="2" t="s">
        <v>21925</v>
      </c>
      <c r="G2248" s="3" t="s">
        <v>62</v>
      </c>
      <c r="I2248" s="3" t="s">
        <v>62</v>
      </c>
      <c r="J2248" s="3" t="s">
        <v>62</v>
      </c>
      <c r="K2248" s="3" t="s">
        <v>63</v>
      </c>
      <c r="L2248" s="2" t="s">
        <v>21926</v>
      </c>
      <c r="M2248" s="2" t="s">
        <v>21927</v>
      </c>
      <c r="N2248" s="3" t="s">
        <v>480</v>
      </c>
      <c r="P2248" s="3" t="s">
        <v>65</v>
      </c>
      <c r="R2248" s="3" t="s">
        <v>66</v>
      </c>
      <c r="S2248" s="4">
        <v>54</v>
      </c>
      <c r="T2248" s="4">
        <v>54</v>
      </c>
      <c r="U2248" s="5" t="s">
        <v>21928</v>
      </c>
      <c r="V2248" s="5" t="s">
        <v>21928</v>
      </c>
      <c r="W2248" s="5" t="s">
        <v>67</v>
      </c>
      <c r="X2248" s="5" t="s">
        <v>67</v>
      </c>
      <c r="Y2248" s="4">
        <v>722</v>
      </c>
      <c r="Z2248" s="4">
        <v>47</v>
      </c>
      <c r="AA2248" s="4">
        <v>55</v>
      </c>
      <c r="AB2248" s="4">
        <v>3</v>
      </c>
      <c r="AC2248" s="4">
        <v>8</v>
      </c>
      <c r="AD2248" s="4">
        <v>136</v>
      </c>
      <c r="AE2248" s="4">
        <v>143</v>
      </c>
      <c r="AF2248" s="4">
        <v>2</v>
      </c>
      <c r="AG2248" s="4">
        <v>5</v>
      </c>
      <c r="AH2248" s="4">
        <v>110</v>
      </c>
      <c r="AI2248" s="4">
        <v>114</v>
      </c>
      <c r="AJ2248" s="4">
        <v>20</v>
      </c>
      <c r="AK2248" s="4">
        <v>24</v>
      </c>
      <c r="AL2248" s="4">
        <v>58</v>
      </c>
      <c r="AM2248" s="4">
        <v>61</v>
      </c>
      <c r="AN2248" s="4">
        <v>0</v>
      </c>
      <c r="AO2248" s="4">
        <v>0</v>
      </c>
      <c r="AP2248" s="4">
        <v>34</v>
      </c>
      <c r="AQ2248" s="4">
        <v>37</v>
      </c>
      <c r="AR2248" s="3" t="s">
        <v>62</v>
      </c>
      <c r="AS2248" s="3" t="s">
        <v>62</v>
      </c>
      <c r="AT2248" s="3" t="s">
        <v>62</v>
      </c>
      <c r="AV2248" s="6" t="str">
        <f>HYPERLINK("http://mcgill.on.worldcat.org/oclc/4858046","Catalog Record")</f>
        <v>Catalog Record</v>
      </c>
      <c r="AW2248" s="6" t="str">
        <f>HYPERLINK("http://www.worldcat.org/oclc/4858046","WorldCat Record")</f>
        <v>WorldCat Record</v>
      </c>
      <c r="AX2248" s="3" t="s">
        <v>21929</v>
      </c>
      <c r="AY2248" s="3" t="s">
        <v>21930</v>
      </c>
      <c r="AZ2248" s="3" t="s">
        <v>21931</v>
      </c>
      <c r="BA2248" s="3" t="s">
        <v>21931</v>
      </c>
      <c r="BB2248" s="3" t="s">
        <v>21932</v>
      </c>
      <c r="BC2248" s="3" t="s">
        <v>142</v>
      </c>
      <c r="BD2248" s="3" t="s">
        <v>68</v>
      </c>
      <c r="BE2248" s="3" t="s">
        <v>21933</v>
      </c>
      <c r="BF2248" s="3" t="s">
        <v>21932</v>
      </c>
      <c r="BG2248" s="3" t="s">
        <v>21934</v>
      </c>
    </row>
    <row r="2249" spans="1:59" ht="57" x14ac:dyDescent="0.45">
      <c r="A2249" s="2" t="s">
        <v>59</v>
      </c>
      <c r="B2249" s="2" t="s">
        <v>60</v>
      </c>
      <c r="C2249" s="2" t="s">
        <v>21935</v>
      </c>
      <c r="D2249" s="2" t="s">
        <v>21936</v>
      </c>
      <c r="E2249" s="2" t="s">
        <v>21937</v>
      </c>
      <c r="G2249" s="3" t="s">
        <v>62</v>
      </c>
      <c r="I2249" s="3" t="s">
        <v>61</v>
      </c>
      <c r="J2249" s="3" t="s">
        <v>62</v>
      </c>
      <c r="K2249" s="3" t="s">
        <v>63</v>
      </c>
      <c r="L2249" s="2" t="s">
        <v>21926</v>
      </c>
      <c r="M2249" s="2" t="s">
        <v>10043</v>
      </c>
      <c r="N2249" s="3" t="s">
        <v>529</v>
      </c>
      <c r="P2249" s="3" t="s">
        <v>65</v>
      </c>
      <c r="R2249" s="3" t="s">
        <v>66</v>
      </c>
      <c r="S2249" s="4">
        <v>0</v>
      </c>
      <c r="T2249" s="4">
        <v>35</v>
      </c>
      <c r="V2249" s="5" t="s">
        <v>21938</v>
      </c>
      <c r="W2249" s="5" t="s">
        <v>67</v>
      </c>
      <c r="X2249" s="5" t="s">
        <v>67</v>
      </c>
      <c r="Y2249" s="4">
        <v>369</v>
      </c>
      <c r="Z2249" s="4">
        <v>17</v>
      </c>
      <c r="AA2249" s="4">
        <v>21</v>
      </c>
      <c r="AB2249" s="4">
        <v>2</v>
      </c>
      <c r="AC2249" s="4">
        <v>6</v>
      </c>
      <c r="AD2249" s="4">
        <v>100</v>
      </c>
      <c r="AE2249" s="4">
        <v>104</v>
      </c>
      <c r="AF2249" s="4">
        <v>1</v>
      </c>
      <c r="AG2249" s="4">
        <v>4</v>
      </c>
      <c r="AH2249" s="4">
        <v>91</v>
      </c>
      <c r="AI2249" s="4">
        <v>93</v>
      </c>
      <c r="AJ2249" s="4">
        <v>14</v>
      </c>
      <c r="AK2249" s="4">
        <v>17</v>
      </c>
      <c r="AL2249" s="4">
        <v>53</v>
      </c>
      <c r="AM2249" s="4">
        <v>53</v>
      </c>
      <c r="AN2249" s="4">
        <v>0</v>
      </c>
      <c r="AO2249" s="4">
        <v>0</v>
      </c>
      <c r="AP2249" s="4">
        <v>15</v>
      </c>
      <c r="AQ2249" s="4">
        <v>17</v>
      </c>
      <c r="AR2249" s="3" t="s">
        <v>62</v>
      </c>
      <c r="AS2249" s="3" t="s">
        <v>62</v>
      </c>
      <c r="AT2249" s="3" t="s">
        <v>62</v>
      </c>
      <c r="AV2249" s="6" t="str">
        <f>HYPERLINK("http://mcgill.on.worldcat.org/oclc/10506424","Catalog Record")</f>
        <v>Catalog Record</v>
      </c>
      <c r="AW2249" s="6" t="str">
        <f>HYPERLINK("http://www.worldcat.org/oclc/10506424","WorldCat Record")</f>
        <v>WorldCat Record</v>
      </c>
      <c r="AX2249" s="3" t="s">
        <v>21939</v>
      </c>
      <c r="AY2249" s="3" t="s">
        <v>21940</v>
      </c>
      <c r="AZ2249" s="3" t="s">
        <v>21941</v>
      </c>
      <c r="BA2249" s="3" t="s">
        <v>21941</v>
      </c>
      <c r="BB2249" s="3" t="s">
        <v>21942</v>
      </c>
      <c r="BC2249" s="3" t="s">
        <v>142</v>
      </c>
      <c r="BD2249" s="3" t="s">
        <v>68</v>
      </c>
      <c r="BE2249" s="3" t="s">
        <v>21943</v>
      </c>
      <c r="BF2249" s="3" t="s">
        <v>21942</v>
      </c>
      <c r="BG2249" s="3" t="s">
        <v>21944</v>
      </c>
    </row>
    <row r="2250" spans="1:59" ht="57" x14ac:dyDescent="0.45">
      <c r="A2250" s="2" t="s">
        <v>59</v>
      </c>
      <c r="B2250" s="2" t="s">
        <v>60</v>
      </c>
      <c r="C2250" s="2" t="s">
        <v>21935</v>
      </c>
      <c r="D2250" s="2" t="s">
        <v>21936</v>
      </c>
      <c r="E2250" s="2" t="s">
        <v>21937</v>
      </c>
      <c r="G2250" s="3" t="s">
        <v>62</v>
      </c>
      <c r="I2250" s="3" t="s">
        <v>61</v>
      </c>
      <c r="J2250" s="3" t="s">
        <v>62</v>
      </c>
      <c r="K2250" s="3" t="s">
        <v>63</v>
      </c>
      <c r="L2250" s="2" t="s">
        <v>21926</v>
      </c>
      <c r="M2250" s="2" t="s">
        <v>10043</v>
      </c>
      <c r="N2250" s="3" t="s">
        <v>529</v>
      </c>
      <c r="P2250" s="3" t="s">
        <v>65</v>
      </c>
      <c r="R2250" s="3" t="s">
        <v>66</v>
      </c>
      <c r="S2250" s="4">
        <v>35</v>
      </c>
      <c r="T2250" s="4">
        <v>35</v>
      </c>
      <c r="U2250" s="5" t="s">
        <v>21938</v>
      </c>
      <c r="V2250" s="5" t="s">
        <v>21938</v>
      </c>
      <c r="W2250" s="5" t="s">
        <v>67</v>
      </c>
      <c r="X2250" s="5" t="s">
        <v>67</v>
      </c>
      <c r="Y2250" s="4">
        <v>369</v>
      </c>
      <c r="Z2250" s="4">
        <v>17</v>
      </c>
      <c r="AA2250" s="4">
        <v>21</v>
      </c>
      <c r="AB2250" s="4">
        <v>2</v>
      </c>
      <c r="AC2250" s="4">
        <v>6</v>
      </c>
      <c r="AD2250" s="4">
        <v>100</v>
      </c>
      <c r="AE2250" s="4">
        <v>104</v>
      </c>
      <c r="AF2250" s="4">
        <v>1</v>
      </c>
      <c r="AG2250" s="4">
        <v>4</v>
      </c>
      <c r="AH2250" s="4">
        <v>91</v>
      </c>
      <c r="AI2250" s="4">
        <v>93</v>
      </c>
      <c r="AJ2250" s="4">
        <v>14</v>
      </c>
      <c r="AK2250" s="4">
        <v>17</v>
      </c>
      <c r="AL2250" s="4">
        <v>53</v>
      </c>
      <c r="AM2250" s="4">
        <v>53</v>
      </c>
      <c r="AN2250" s="4">
        <v>0</v>
      </c>
      <c r="AO2250" s="4">
        <v>0</v>
      </c>
      <c r="AP2250" s="4">
        <v>15</v>
      </c>
      <c r="AQ2250" s="4">
        <v>17</v>
      </c>
      <c r="AR2250" s="3" t="s">
        <v>62</v>
      </c>
      <c r="AS2250" s="3" t="s">
        <v>62</v>
      </c>
      <c r="AT2250" s="3" t="s">
        <v>62</v>
      </c>
      <c r="AV2250" s="6" t="str">
        <f>HYPERLINK("http://mcgill.on.worldcat.org/oclc/10506424","Catalog Record")</f>
        <v>Catalog Record</v>
      </c>
      <c r="AW2250" s="6" t="str">
        <f>HYPERLINK("http://www.worldcat.org/oclc/10506424","WorldCat Record")</f>
        <v>WorldCat Record</v>
      </c>
      <c r="AX2250" s="3" t="s">
        <v>21939</v>
      </c>
      <c r="AY2250" s="3" t="s">
        <v>21940</v>
      </c>
      <c r="AZ2250" s="3" t="s">
        <v>21941</v>
      </c>
      <c r="BA2250" s="3" t="s">
        <v>21941</v>
      </c>
      <c r="BB2250" s="3" t="s">
        <v>21945</v>
      </c>
      <c r="BC2250" s="3" t="s">
        <v>142</v>
      </c>
      <c r="BD2250" s="3" t="s">
        <v>68</v>
      </c>
      <c r="BE2250" s="3" t="s">
        <v>21943</v>
      </c>
      <c r="BF2250" s="3" t="s">
        <v>21945</v>
      </c>
      <c r="BG2250" s="3" t="s">
        <v>21946</v>
      </c>
    </row>
    <row r="2251" spans="1:59" ht="57" x14ac:dyDescent="0.45">
      <c r="A2251" s="2" t="s">
        <v>59</v>
      </c>
      <c r="B2251" s="2" t="s">
        <v>60</v>
      </c>
      <c r="C2251" s="2" t="s">
        <v>21947</v>
      </c>
      <c r="D2251" s="2" t="s">
        <v>21948</v>
      </c>
      <c r="E2251" s="2" t="s">
        <v>21949</v>
      </c>
      <c r="G2251" s="3" t="s">
        <v>62</v>
      </c>
      <c r="I2251" s="3" t="s">
        <v>62</v>
      </c>
      <c r="J2251" s="3" t="s">
        <v>62</v>
      </c>
      <c r="K2251" s="3" t="s">
        <v>63</v>
      </c>
      <c r="M2251" s="2" t="s">
        <v>21950</v>
      </c>
      <c r="N2251" s="3" t="s">
        <v>117</v>
      </c>
      <c r="P2251" s="3" t="s">
        <v>65</v>
      </c>
      <c r="Q2251" s="2" t="s">
        <v>21951</v>
      </c>
      <c r="R2251" s="3" t="s">
        <v>66</v>
      </c>
      <c r="S2251" s="4">
        <v>39</v>
      </c>
      <c r="T2251" s="4">
        <v>39</v>
      </c>
      <c r="U2251" s="5" t="s">
        <v>6760</v>
      </c>
      <c r="V2251" s="5" t="s">
        <v>6760</v>
      </c>
      <c r="W2251" s="5" t="s">
        <v>67</v>
      </c>
      <c r="X2251" s="5" t="s">
        <v>67</v>
      </c>
      <c r="Y2251" s="4">
        <v>412</v>
      </c>
      <c r="Z2251" s="4">
        <v>26</v>
      </c>
      <c r="AA2251" s="4">
        <v>34</v>
      </c>
      <c r="AB2251" s="4">
        <v>2</v>
      </c>
      <c r="AC2251" s="4">
        <v>9</v>
      </c>
      <c r="AD2251" s="4">
        <v>106</v>
      </c>
      <c r="AE2251" s="4">
        <v>113</v>
      </c>
      <c r="AF2251" s="4">
        <v>1</v>
      </c>
      <c r="AG2251" s="4">
        <v>5</v>
      </c>
      <c r="AH2251" s="4">
        <v>93</v>
      </c>
      <c r="AI2251" s="4">
        <v>96</v>
      </c>
      <c r="AJ2251" s="4">
        <v>19</v>
      </c>
      <c r="AK2251" s="4">
        <v>23</v>
      </c>
      <c r="AL2251" s="4">
        <v>51</v>
      </c>
      <c r="AM2251" s="4">
        <v>52</v>
      </c>
      <c r="AN2251" s="4">
        <v>0</v>
      </c>
      <c r="AO2251" s="4">
        <v>0</v>
      </c>
      <c r="AP2251" s="4">
        <v>21</v>
      </c>
      <c r="AQ2251" s="4">
        <v>25</v>
      </c>
      <c r="AR2251" s="3" t="s">
        <v>62</v>
      </c>
      <c r="AS2251" s="3" t="s">
        <v>62</v>
      </c>
      <c r="AT2251" s="3" t="s">
        <v>62</v>
      </c>
      <c r="AV2251" s="6" t="str">
        <f>HYPERLINK("http://mcgill.on.worldcat.org/oclc/5831108","Catalog Record")</f>
        <v>Catalog Record</v>
      </c>
      <c r="AW2251" s="6" t="str">
        <f>HYPERLINK("http://www.worldcat.org/oclc/5831108","WorldCat Record")</f>
        <v>WorldCat Record</v>
      </c>
      <c r="AX2251" s="3" t="s">
        <v>21952</v>
      </c>
      <c r="AY2251" s="3" t="s">
        <v>21953</v>
      </c>
      <c r="AZ2251" s="3" t="s">
        <v>21954</v>
      </c>
      <c r="BA2251" s="3" t="s">
        <v>21954</v>
      </c>
      <c r="BB2251" s="3" t="s">
        <v>21955</v>
      </c>
      <c r="BC2251" s="3" t="s">
        <v>142</v>
      </c>
      <c r="BD2251" s="3" t="s">
        <v>68</v>
      </c>
      <c r="BE2251" s="3" t="s">
        <v>21956</v>
      </c>
      <c r="BF2251" s="3" t="s">
        <v>21955</v>
      </c>
      <c r="BG2251" s="3" t="s">
        <v>21957</v>
      </c>
    </row>
    <row r="2252" spans="1:59" ht="57" x14ac:dyDescent="0.45">
      <c r="A2252" s="2" t="s">
        <v>59</v>
      </c>
      <c r="B2252" s="2" t="s">
        <v>60</v>
      </c>
      <c r="C2252" s="2" t="s">
        <v>21958</v>
      </c>
      <c r="D2252" s="2" t="s">
        <v>21959</v>
      </c>
      <c r="E2252" s="2" t="s">
        <v>21960</v>
      </c>
      <c r="G2252" s="3" t="s">
        <v>62</v>
      </c>
      <c r="I2252" s="3" t="s">
        <v>62</v>
      </c>
      <c r="J2252" s="3" t="s">
        <v>62</v>
      </c>
      <c r="K2252" s="3" t="s">
        <v>63</v>
      </c>
      <c r="L2252" s="2" t="s">
        <v>21961</v>
      </c>
      <c r="M2252" s="2" t="s">
        <v>21962</v>
      </c>
      <c r="N2252" s="3" t="s">
        <v>1465</v>
      </c>
      <c r="P2252" s="3" t="s">
        <v>114</v>
      </c>
      <c r="R2252" s="3" t="s">
        <v>66</v>
      </c>
      <c r="S2252" s="4">
        <v>1</v>
      </c>
      <c r="T2252" s="4">
        <v>1</v>
      </c>
      <c r="U2252" s="5" t="s">
        <v>15921</v>
      </c>
      <c r="V2252" s="5" t="s">
        <v>15921</v>
      </c>
      <c r="W2252" s="5" t="s">
        <v>67</v>
      </c>
      <c r="X2252" s="5" t="s">
        <v>67</v>
      </c>
      <c r="Y2252" s="4">
        <v>48</v>
      </c>
      <c r="Z2252" s="4">
        <v>3</v>
      </c>
      <c r="AA2252" s="4">
        <v>3</v>
      </c>
      <c r="AB2252" s="4">
        <v>1</v>
      </c>
      <c r="AC2252" s="4">
        <v>1</v>
      </c>
      <c r="AD2252" s="4">
        <v>24</v>
      </c>
      <c r="AE2252" s="4">
        <v>24</v>
      </c>
      <c r="AF2252" s="4">
        <v>0</v>
      </c>
      <c r="AG2252" s="4">
        <v>0</v>
      </c>
      <c r="AH2252" s="4">
        <v>23</v>
      </c>
      <c r="AI2252" s="4">
        <v>23</v>
      </c>
      <c r="AJ2252" s="4">
        <v>1</v>
      </c>
      <c r="AK2252" s="4">
        <v>1</v>
      </c>
      <c r="AL2252" s="4">
        <v>19</v>
      </c>
      <c r="AM2252" s="4">
        <v>19</v>
      </c>
      <c r="AN2252" s="4">
        <v>0</v>
      </c>
      <c r="AO2252" s="4">
        <v>0</v>
      </c>
      <c r="AP2252" s="4">
        <v>1</v>
      </c>
      <c r="AQ2252" s="4">
        <v>1</v>
      </c>
      <c r="AR2252" s="3" t="s">
        <v>62</v>
      </c>
      <c r="AS2252" s="3" t="s">
        <v>62</v>
      </c>
      <c r="AT2252" s="3" t="s">
        <v>62</v>
      </c>
      <c r="AV2252" s="6" t="str">
        <f>HYPERLINK("http://mcgill.on.worldcat.org/oclc/311817969","Catalog Record")</f>
        <v>Catalog Record</v>
      </c>
      <c r="AW2252" s="6" t="str">
        <f>HYPERLINK("http://www.worldcat.org/oclc/311817969","WorldCat Record")</f>
        <v>WorldCat Record</v>
      </c>
      <c r="AX2252" s="3" t="s">
        <v>21963</v>
      </c>
      <c r="AY2252" s="3" t="s">
        <v>21964</v>
      </c>
      <c r="AZ2252" s="3" t="s">
        <v>21965</v>
      </c>
      <c r="BA2252" s="3" t="s">
        <v>21965</v>
      </c>
      <c r="BB2252" s="3" t="s">
        <v>21966</v>
      </c>
      <c r="BC2252" s="3" t="s">
        <v>142</v>
      </c>
      <c r="BD2252" s="3" t="s">
        <v>68</v>
      </c>
      <c r="BE2252" s="3" t="s">
        <v>21967</v>
      </c>
      <c r="BF2252" s="3" t="s">
        <v>21966</v>
      </c>
      <c r="BG2252" s="3" t="s">
        <v>21968</v>
      </c>
    </row>
    <row r="2253" spans="1:59" ht="57" x14ac:dyDescent="0.45">
      <c r="A2253" s="2" t="s">
        <v>59</v>
      </c>
      <c r="B2253" s="2" t="s">
        <v>60</v>
      </c>
      <c r="C2253" s="2" t="s">
        <v>21969</v>
      </c>
      <c r="D2253" s="2" t="s">
        <v>21970</v>
      </c>
      <c r="E2253" s="2" t="s">
        <v>21971</v>
      </c>
      <c r="G2253" s="3" t="s">
        <v>62</v>
      </c>
      <c r="I2253" s="3" t="s">
        <v>62</v>
      </c>
      <c r="J2253" s="3" t="s">
        <v>62</v>
      </c>
      <c r="K2253" s="3" t="s">
        <v>63</v>
      </c>
      <c r="M2253" s="2" t="s">
        <v>21972</v>
      </c>
      <c r="N2253" s="3" t="s">
        <v>625</v>
      </c>
      <c r="O2253" s="2" t="s">
        <v>10948</v>
      </c>
      <c r="P2253" s="3" t="s">
        <v>110</v>
      </c>
      <c r="R2253" s="3" t="s">
        <v>66</v>
      </c>
      <c r="S2253" s="4">
        <v>8</v>
      </c>
      <c r="T2253" s="4">
        <v>8</v>
      </c>
      <c r="U2253" s="5" t="s">
        <v>4418</v>
      </c>
      <c r="V2253" s="5" t="s">
        <v>4418</v>
      </c>
      <c r="W2253" s="5" t="s">
        <v>67</v>
      </c>
      <c r="X2253" s="5" t="s">
        <v>67</v>
      </c>
      <c r="Y2253" s="4">
        <v>82</v>
      </c>
      <c r="Z2253" s="4">
        <v>7</v>
      </c>
      <c r="AA2253" s="4">
        <v>12</v>
      </c>
      <c r="AB2253" s="4">
        <v>1</v>
      </c>
      <c r="AC2253" s="4">
        <v>5</v>
      </c>
      <c r="AD2253" s="4">
        <v>34</v>
      </c>
      <c r="AE2253" s="4">
        <v>38</v>
      </c>
      <c r="AF2253" s="4">
        <v>0</v>
      </c>
      <c r="AG2253" s="4">
        <v>4</v>
      </c>
      <c r="AH2253" s="4">
        <v>29</v>
      </c>
      <c r="AI2253" s="4">
        <v>30</v>
      </c>
      <c r="AJ2253" s="4">
        <v>4</v>
      </c>
      <c r="AK2253" s="4">
        <v>7</v>
      </c>
      <c r="AL2253" s="4">
        <v>23</v>
      </c>
      <c r="AM2253" s="4">
        <v>23</v>
      </c>
      <c r="AN2253" s="4">
        <v>0</v>
      </c>
      <c r="AO2253" s="4">
        <v>0</v>
      </c>
      <c r="AP2253" s="4">
        <v>5</v>
      </c>
      <c r="AQ2253" s="4">
        <v>8</v>
      </c>
      <c r="AR2253" s="3" t="s">
        <v>62</v>
      </c>
      <c r="AS2253" s="3" t="s">
        <v>62</v>
      </c>
      <c r="AT2253" s="3" t="s">
        <v>62</v>
      </c>
      <c r="AV2253" s="6" t="str">
        <f>HYPERLINK("http://mcgill.on.worldcat.org/oclc/14213392","Catalog Record")</f>
        <v>Catalog Record</v>
      </c>
      <c r="AW2253" s="6" t="str">
        <f>HYPERLINK("http://www.worldcat.org/oclc/14213392","WorldCat Record")</f>
        <v>WorldCat Record</v>
      </c>
      <c r="AX2253" s="3" t="s">
        <v>21973</v>
      </c>
      <c r="AY2253" s="3" t="s">
        <v>21974</v>
      </c>
      <c r="AZ2253" s="3" t="s">
        <v>21975</v>
      </c>
      <c r="BA2253" s="3" t="s">
        <v>21975</v>
      </c>
      <c r="BB2253" s="3" t="s">
        <v>21976</v>
      </c>
      <c r="BC2253" s="3" t="s">
        <v>142</v>
      </c>
      <c r="BD2253" s="3" t="s">
        <v>68</v>
      </c>
      <c r="BE2253" s="3" t="s">
        <v>21977</v>
      </c>
      <c r="BF2253" s="3" t="s">
        <v>21976</v>
      </c>
      <c r="BG2253" s="3" t="s">
        <v>21978</v>
      </c>
    </row>
    <row r="2254" spans="1:59" ht="57" x14ac:dyDescent="0.45">
      <c r="A2254" s="2" t="s">
        <v>59</v>
      </c>
      <c r="B2254" s="2" t="s">
        <v>60</v>
      </c>
      <c r="C2254" s="2" t="s">
        <v>21979</v>
      </c>
      <c r="D2254" s="2" t="s">
        <v>21980</v>
      </c>
      <c r="E2254" s="2" t="s">
        <v>21981</v>
      </c>
      <c r="G2254" s="3" t="s">
        <v>62</v>
      </c>
      <c r="I2254" s="3" t="s">
        <v>62</v>
      </c>
      <c r="J2254" s="3" t="s">
        <v>61</v>
      </c>
      <c r="K2254" s="3" t="s">
        <v>63</v>
      </c>
      <c r="L2254" s="2" t="s">
        <v>21982</v>
      </c>
      <c r="M2254" s="2" t="s">
        <v>21983</v>
      </c>
      <c r="N2254" s="3" t="s">
        <v>1478</v>
      </c>
      <c r="O2254" s="2" t="s">
        <v>21984</v>
      </c>
      <c r="P2254" s="3" t="s">
        <v>65</v>
      </c>
      <c r="R2254" s="3" t="s">
        <v>66</v>
      </c>
      <c r="S2254" s="4">
        <v>35</v>
      </c>
      <c r="T2254" s="4">
        <v>35</v>
      </c>
      <c r="U2254" s="5" t="s">
        <v>5547</v>
      </c>
      <c r="V2254" s="5" t="s">
        <v>5547</v>
      </c>
      <c r="W2254" s="5" t="s">
        <v>67</v>
      </c>
      <c r="X2254" s="5" t="s">
        <v>67</v>
      </c>
      <c r="Y2254" s="4">
        <v>97</v>
      </c>
      <c r="Z2254" s="4">
        <v>5</v>
      </c>
      <c r="AA2254" s="4">
        <v>27</v>
      </c>
      <c r="AB2254" s="4">
        <v>1</v>
      </c>
      <c r="AC2254" s="4">
        <v>6</v>
      </c>
      <c r="AD2254" s="4">
        <v>28</v>
      </c>
      <c r="AE2254" s="4">
        <v>90</v>
      </c>
      <c r="AF2254" s="4">
        <v>0</v>
      </c>
      <c r="AG2254" s="4">
        <v>5</v>
      </c>
      <c r="AH2254" s="4">
        <v>26</v>
      </c>
      <c r="AI2254" s="4">
        <v>74</v>
      </c>
      <c r="AJ2254" s="4">
        <v>3</v>
      </c>
      <c r="AK2254" s="4">
        <v>18</v>
      </c>
      <c r="AL2254" s="4">
        <v>14</v>
      </c>
      <c r="AM2254" s="4">
        <v>39</v>
      </c>
      <c r="AN2254" s="4">
        <v>0</v>
      </c>
      <c r="AO2254" s="4">
        <v>0</v>
      </c>
      <c r="AP2254" s="4">
        <v>3</v>
      </c>
      <c r="AQ2254" s="4">
        <v>23</v>
      </c>
      <c r="AR2254" s="3" t="s">
        <v>62</v>
      </c>
      <c r="AS2254" s="3" t="s">
        <v>62</v>
      </c>
      <c r="AT2254" s="3" t="s">
        <v>61</v>
      </c>
      <c r="AU2254" s="6" t="str">
        <f>HYPERLINK("http://catalog.hathitrust.org/Record/006953247","HathiTrust Record")</f>
        <v>HathiTrust Record</v>
      </c>
      <c r="AV2254" s="6" t="str">
        <f>HYPERLINK("http://mcgill.on.worldcat.org/oclc/32745449","Catalog Record")</f>
        <v>Catalog Record</v>
      </c>
      <c r="AW2254" s="6" t="str">
        <f>HYPERLINK("http://www.worldcat.org/oclc/32745449","WorldCat Record")</f>
        <v>WorldCat Record</v>
      </c>
      <c r="AX2254" s="3" t="s">
        <v>21985</v>
      </c>
      <c r="AY2254" s="3" t="s">
        <v>21986</v>
      </c>
      <c r="AZ2254" s="3" t="s">
        <v>21987</v>
      </c>
      <c r="BA2254" s="3" t="s">
        <v>21987</v>
      </c>
      <c r="BB2254" s="3" t="s">
        <v>21988</v>
      </c>
      <c r="BC2254" s="3" t="s">
        <v>142</v>
      </c>
      <c r="BD2254" s="3" t="s">
        <v>68</v>
      </c>
      <c r="BE2254" s="3" t="s">
        <v>21989</v>
      </c>
      <c r="BF2254" s="3" t="s">
        <v>21988</v>
      </c>
      <c r="BG2254" s="3" t="s">
        <v>21990</v>
      </c>
    </row>
    <row r="2255" spans="1:59" ht="57" x14ac:dyDescent="0.45">
      <c r="A2255" s="2" t="s">
        <v>59</v>
      </c>
      <c r="B2255" s="2" t="s">
        <v>60</v>
      </c>
      <c r="C2255" s="2" t="s">
        <v>21991</v>
      </c>
      <c r="D2255" s="2" t="s">
        <v>21992</v>
      </c>
      <c r="E2255" s="2" t="s">
        <v>21993</v>
      </c>
      <c r="G2255" s="3" t="s">
        <v>62</v>
      </c>
      <c r="I2255" s="3" t="s">
        <v>62</v>
      </c>
      <c r="J2255" s="3" t="s">
        <v>62</v>
      </c>
      <c r="K2255" s="3" t="s">
        <v>63</v>
      </c>
      <c r="L2255" s="2" t="s">
        <v>21994</v>
      </c>
      <c r="M2255" s="2" t="s">
        <v>21995</v>
      </c>
      <c r="N2255" s="3" t="s">
        <v>894</v>
      </c>
      <c r="P2255" s="3" t="s">
        <v>65</v>
      </c>
      <c r="R2255" s="3" t="s">
        <v>66</v>
      </c>
      <c r="S2255" s="4">
        <v>5</v>
      </c>
      <c r="T2255" s="4">
        <v>5</v>
      </c>
      <c r="U2255" s="5" t="s">
        <v>21996</v>
      </c>
      <c r="V2255" s="5" t="s">
        <v>21996</v>
      </c>
      <c r="W2255" s="5" t="s">
        <v>67</v>
      </c>
      <c r="X2255" s="5" t="s">
        <v>67</v>
      </c>
      <c r="Y2255" s="4">
        <v>318</v>
      </c>
      <c r="Z2255" s="4">
        <v>24</v>
      </c>
      <c r="AA2255" s="4">
        <v>27</v>
      </c>
      <c r="AB2255" s="4">
        <v>2</v>
      </c>
      <c r="AC2255" s="4">
        <v>5</v>
      </c>
      <c r="AD2255" s="4">
        <v>81</v>
      </c>
      <c r="AE2255" s="4">
        <v>82</v>
      </c>
      <c r="AF2255" s="4">
        <v>1</v>
      </c>
      <c r="AG2255" s="4">
        <v>2</v>
      </c>
      <c r="AH2255" s="4">
        <v>72</v>
      </c>
      <c r="AI2255" s="4">
        <v>72</v>
      </c>
      <c r="AJ2255" s="4">
        <v>15</v>
      </c>
      <c r="AK2255" s="4">
        <v>16</v>
      </c>
      <c r="AL2255" s="4">
        <v>41</v>
      </c>
      <c r="AM2255" s="4">
        <v>41</v>
      </c>
      <c r="AN2255" s="4">
        <v>0</v>
      </c>
      <c r="AO2255" s="4">
        <v>0</v>
      </c>
      <c r="AP2255" s="4">
        <v>16</v>
      </c>
      <c r="AQ2255" s="4">
        <v>17</v>
      </c>
      <c r="AR2255" s="3" t="s">
        <v>62</v>
      </c>
      <c r="AS2255" s="3" t="s">
        <v>62</v>
      </c>
      <c r="AT2255" s="3" t="s">
        <v>62</v>
      </c>
      <c r="AV2255" s="6" t="str">
        <f>HYPERLINK("http://mcgill.on.worldcat.org/oclc/679931754","Catalog Record")</f>
        <v>Catalog Record</v>
      </c>
      <c r="AW2255" s="6" t="str">
        <f>HYPERLINK("http://www.worldcat.org/oclc/679931754","WorldCat Record")</f>
        <v>WorldCat Record</v>
      </c>
      <c r="AX2255" s="3" t="s">
        <v>21997</v>
      </c>
      <c r="AY2255" s="3" t="s">
        <v>21998</v>
      </c>
      <c r="AZ2255" s="3" t="s">
        <v>21999</v>
      </c>
      <c r="BA2255" s="3" t="s">
        <v>21999</v>
      </c>
      <c r="BB2255" s="3" t="s">
        <v>22000</v>
      </c>
      <c r="BC2255" s="3" t="s">
        <v>142</v>
      </c>
      <c r="BD2255" s="3" t="s">
        <v>68</v>
      </c>
      <c r="BE2255" s="3" t="s">
        <v>22001</v>
      </c>
      <c r="BF2255" s="3" t="s">
        <v>22000</v>
      </c>
      <c r="BG2255" s="3" t="s">
        <v>22002</v>
      </c>
    </row>
    <row r="2256" spans="1:59" ht="57" x14ac:dyDescent="0.45">
      <c r="A2256" s="2" t="s">
        <v>59</v>
      </c>
      <c r="B2256" s="2" t="s">
        <v>60</v>
      </c>
      <c r="C2256" s="2" t="s">
        <v>22003</v>
      </c>
      <c r="D2256" s="2" t="s">
        <v>22004</v>
      </c>
      <c r="E2256" s="2" t="s">
        <v>22005</v>
      </c>
      <c r="G2256" s="3" t="s">
        <v>62</v>
      </c>
      <c r="I2256" s="3" t="s">
        <v>62</v>
      </c>
      <c r="J2256" s="3" t="s">
        <v>62</v>
      </c>
      <c r="K2256" s="3" t="s">
        <v>63</v>
      </c>
      <c r="L2256" s="2" t="s">
        <v>22006</v>
      </c>
      <c r="M2256" s="2" t="s">
        <v>22007</v>
      </c>
      <c r="N2256" s="3" t="s">
        <v>5180</v>
      </c>
      <c r="P2256" s="3" t="s">
        <v>65</v>
      </c>
      <c r="R2256" s="3" t="s">
        <v>66</v>
      </c>
      <c r="S2256" s="4">
        <v>0</v>
      </c>
      <c r="T2256" s="4">
        <v>0</v>
      </c>
      <c r="W2256" s="5" t="s">
        <v>67</v>
      </c>
      <c r="X2256" s="5" t="s">
        <v>67</v>
      </c>
      <c r="Y2256" s="4">
        <v>273</v>
      </c>
      <c r="Z2256" s="4">
        <v>14</v>
      </c>
      <c r="AA2256" s="4">
        <v>28</v>
      </c>
      <c r="AB2256" s="4">
        <v>1</v>
      </c>
      <c r="AC2256" s="4">
        <v>7</v>
      </c>
      <c r="AD2256" s="4">
        <v>46</v>
      </c>
      <c r="AE2256" s="4">
        <v>60</v>
      </c>
      <c r="AF2256" s="4">
        <v>0</v>
      </c>
      <c r="AG2256" s="4">
        <v>3</v>
      </c>
      <c r="AH2256" s="4">
        <v>41</v>
      </c>
      <c r="AI2256" s="4">
        <v>49</v>
      </c>
      <c r="AJ2256" s="4">
        <v>5</v>
      </c>
      <c r="AK2256" s="4">
        <v>12</v>
      </c>
      <c r="AL2256" s="4">
        <v>24</v>
      </c>
      <c r="AM2256" s="4">
        <v>25</v>
      </c>
      <c r="AN2256" s="4">
        <v>0</v>
      </c>
      <c r="AO2256" s="4">
        <v>0</v>
      </c>
      <c r="AP2256" s="4">
        <v>7</v>
      </c>
      <c r="AQ2256" s="4">
        <v>16</v>
      </c>
      <c r="AR2256" s="3" t="s">
        <v>62</v>
      </c>
      <c r="AS2256" s="3" t="s">
        <v>62</v>
      </c>
      <c r="AT2256" s="3" t="s">
        <v>62</v>
      </c>
      <c r="AV2256" s="6" t="str">
        <f>HYPERLINK("http://mcgill.on.worldcat.org/oclc/1030487240","Catalog Record")</f>
        <v>Catalog Record</v>
      </c>
      <c r="AW2256" s="6" t="str">
        <f>HYPERLINK("http://www.worldcat.org/oclc/1030487240","WorldCat Record")</f>
        <v>WorldCat Record</v>
      </c>
      <c r="AX2256" s="3" t="s">
        <v>22008</v>
      </c>
      <c r="AY2256" s="3" t="s">
        <v>22009</v>
      </c>
      <c r="AZ2256" s="3" t="s">
        <v>22010</v>
      </c>
      <c r="BA2256" s="3" t="s">
        <v>22010</v>
      </c>
      <c r="BB2256" s="3" t="s">
        <v>22011</v>
      </c>
      <c r="BC2256" s="3" t="s">
        <v>142</v>
      </c>
      <c r="BD2256" s="3" t="s">
        <v>68</v>
      </c>
      <c r="BE2256" s="3" t="s">
        <v>22012</v>
      </c>
      <c r="BF2256" s="3" t="s">
        <v>22011</v>
      </c>
      <c r="BG2256" s="3" t="s">
        <v>22013</v>
      </c>
    </row>
    <row r="2257" spans="1:59" ht="57" x14ac:dyDescent="0.45">
      <c r="A2257" s="2" t="s">
        <v>59</v>
      </c>
      <c r="B2257" s="2" t="s">
        <v>60</v>
      </c>
      <c r="C2257" s="2" t="s">
        <v>22014</v>
      </c>
      <c r="D2257" s="2" t="s">
        <v>22015</v>
      </c>
      <c r="E2257" s="2" t="s">
        <v>22016</v>
      </c>
      <c r="G2257" s="3" t="s">
        <v>62</v>
      </c>
      <c r="I2257" s="3" t="s">
        <v>61</v>
      </c>
      <c r="J2257" s="3" t="s">
        <v>61</v>
      </c>
      <c r="K2257" s="3" t="s">
        <v>63</v>
      </c>
      <c r="L2257" s="2" t="s">
        <v>651</v>
      </c>
      <c r="M2257" s="2" t="s">
        <v>22017</v>
      </c>
      <c r="N2257" s="3" t="s">
        <v>1239</v>
      </c>
      <c r="P2257" s="3" t="s">
        <v>65</v>
      </c>
      <c r="Q2257" s="2" t="s">
        <v>22018</v>
      </c>
      <c r="R2257" s="3" t="s">
        <v>66</v>
      </c>
      <c r="S2257" s="4">
        <v>110</v>
      </c>
      <c r="T2257" s="4">
        <v>236</v>
      </c>
      <c r="U2257" s="5" t="s">
        <v>22019</v>
      </c>
      <c r="V2257" s="5" t="s">
        <v>5547</v>
      </c>
      <c r="W2257" s="5" t="s">
        <v>67</v>
      </c>
      <c r="X2257" s="5" t="s">
        <v>67</v>
      </c>
      <c r="Y2257" s="4">
        <v>69</v>
      </c>
      <c r="Z2257" s="4">
        <v>49</v>
      </c>
      <c r="AA2257" s="4">
        <v>139</v>
      </c>
      <c r="AB2257" s="4">
        <v>3</v>
      </c>
      <c r="AC2257" s="4">
        <v>16</v>
      </c>
      <c r="AD2257" s="4">
        <v>31</v>
      </c>
      <c r="AE2257" s="4">
        <v>147</v>
      </c>
      <c r="AF2257" s="4">
        <v>1</v>
      </c>
      <c r="AG2257" s="4">
        <v>6</v>
      </c>
      <c r="AH2257" s="4">
        <v>18</v>
      </c>
      <c r="AI2257" s="4">
        <v>106</v>
      </c>
      <c r="AJ2257" s="4">
        <v>17</v>
      </c>
      <c r="AK2257" s="4">
        <v>27</v>
      </c>
      <c r="AL2257" s="4">
        <v>3</v>
      </c>
      <c r="AM2257" s="4">
        <v>55</v>
      </c>
      <c r="AN2257" s="4">
        <v>0</v>
      </c>
      <c r="AO2257" s="4">
        <v>0</v>
      </c>
      <c r="AP2257" s="4">
        <v>24</v>
      </c>
      <c r="AQ2257" s="4">
        <v>49</v>
      </c>
      <c r="AR2257" s="3" t="s">
        <v>61</v>
      </c>
      <c r="AS2257" s="3" t="s">
        <v>62</v>
      </c>
      <c r="AT2257" s="3" t="s">
        <v>61</v>
      </c>
      <c r="AU2257" s="6" t="str">
        <f>HYPERLINK("http://catalog.hathitrust.org/Record/007050599","HathiTrust Record")</f>
        <v>HathiTrust Record</v>
      </c>
      <c r="AV2257" s="6" t="str">
        <f>HYPERLINK("http://mcgill.on.worldcat.org/oclc/18987076","Catalog Record")</f>
        <v>Catalog Record</v>
      </c>
      <c r="AW2257" s="6" t="str">
        <f>HYPERLINK("http://www.worldcat.org/oclc/18987076","WorldCat Record")</f>
        <v>WorldCat Record</v>
      </c>
      <c r="AX2257" s="3" t="s">
        <v>22020</v>
      </c>
      <c r="AY2257" s="3" t="s">
        <v>22021</v>
      </c>
      <c r="AZ2257" s="3" t="s">
        <v>22022</v>
      </c>
      <c r="BA2257" s="3" t="s">
        <v>22022</v>
      </c>
      <c r="BB2257" s="3" t="s">
        <v>22023</v>
      </c>
      <c r="BC2257" s="3" t="s">
        <v>142</v>
      </c>
      <c r="BD2257" s="3" t="s">
        <v>68</v>
      </c>
      <c r="BE2257" s="3" t="s">
        <v>22024</v>
      </c>
      <c r="BF2257" s="3" t="s">
        <v>22023</v>
      </c>
      <c r="BG2257" s="3" t="s">
        <v>22025</v>
      </c>
    </row>
    <row r="2258" spans="1:59" ht="57" x14ac:dyDescent="0.45">
      <c r="A2258" s="2" t="s">
        <v>59</v>
      </c>
      <c r="B2258" s="2" t="s">
        <v>60</v>
      </c>
      <c r="C2258" s="2" t="s">
        <v>22014</v>
      </c>
      <c r="D2258" s="2" t="s">
        <v>22015</v>
      </c>
      <c r="E2258" s="2" t="s">
        <v>22016</v>
      </c>
      <c r="G2258" s="3" t="s">
        <v>62</v>
      </c>
      <c r="I2258" s="3" t="s">
        <v>61</v>
      </c>
      <c r="J2258" s="3" t="s">
        <v>61</v>
      </c>
      <c r="K2258" s="3" t="s">
        <v>63</v>
      </c>
      <c r="L2258" s="2" t="s">
        <v>651</v>
      </c>
      <c r="M2258" s="2" t="s">
        <v>22017</v>
      </c>
      <c r="N2258" s="3" t="s">
        <v>1239</v>
      </c>
      <c r="P2258" s="3" t="s">
        <v>65</v>
      </c>
      <c r="Q2258" s="2" t="s">
        <v>22018</v>
      </c>
      <c r="R2258" s="3" t="s">
        <v>66</v>
      </c>
      <c r="S2258" s="4">
        <v>47</v>
      </c>
      <c r="T2258" s="4">
        <v>236</v>
      </c>
      <c r="U2258" s="5" t="s">
        <v>5064</v>
      </c>
      <c r="V2258" s="5" t="s">
        <v>5547</v>
      </c>
      <c r="W2258" s="5" t="s">
        <v>67</v>
      </c>
      <c r="X2258" s="5" t="s">
        <v>67</v>
      </c>
      <c r="Y2258" s="4">
        <v>69</v>
      </c>
      <c r="Z2258" s="4">
        <v>49</v>
      </c>
      <c r="AA2258" s="4">
        <v>139</v>
      </c>
      <c r="AB2258" s="4">
        <v>3</v>
      </c>
      <c r="AC2258" s="4">
        <v>16</v>
      </c>
      <c r="AD2258" s="4">
        <v>31</v>
      </c>
      <c r="AE2258" s="4">
        <v>147</v>
      </c>
      <c r="AF2258" s="4">
        <v>1</v>
      </c>
      <c r="AG2258" s="4">
        <v>6</v>
      </c>
      <c r="AH2258" s="4">
        <v>18</v>
      </c>
      <c r="AI2258" s="4">
        <v>106</v>
      </c>
      <c r="AJ2258" s="4">
        <v>17</v>
      </c>
      <c r="AK2258" s="4">
        <v>27</v>
      </c>
      <c r="AL2258" s="4">
        <v>3</v>
      </c>
      <c r="AM2258" s="4">
        <v>55</v>
      </c>
      <c r="AN2258" s="4">
        <v>0</v>
      </c>
      <c r="AO2258" s="4">
        <v>0</v>
      </c>
      <c r="AP2258" s="4">
        <v>24</v>
      </c>
      <c r="AQ2258" s="4">
        <v>49</v>
      </c>
      <c r="AR2258" s="3" t="s">
        <v>61</v>
      </c>
      <c r="AS2258" s="3" t="s">
        <v>62</v>
      </c>
      <c r="AT2258" s="3" t="s">
        <v>61</v>
      </c>
      <c r="AU2258" s="6" t="str">
        <f>HYPERLINK("http://catalog.hathitrust.org/Record/007050599","HathiTrust Record")</f>
        <v>HathiTrust Record</v>
      </c>
      <c r="AV2258" s="6" t="str">
        <f>HYPERLINK("http://mcgill.on.worldcat.org/oclc/18987076","Catalog Record")</f>
        <v>Catalog Record</v>
      </c>
      <c r="AW2258" s="6" t="str">
        <f>HYPERLINK("http://www.worldcat.org/oclc/18987076","WorldCat Record")</f>
        <v>WorldCat Record</v>
      </c>
      <c r="AX2258" s="3" t="s">
        <v>22020</v>
      </c>
      <c r="AY2258" s="3" t="s">
        <v>22021</v>
      </c>
      <c r="AZ2258" s="3" t="s">
        <v>22022</v>
      </c>
      <c r="BA2258" s="3" t="s">
        <v>22022</v>
      </c>
      <c r="BB2258" s="3" t="s">
        <v>22026</v>
      </c>
      <c r="BC2258" s="3" t="s">
        <v>142</v>
      </c>
      <c r="BD2258" s="3" t="s">
        <v>68</v>
      </c>
      <c r="BE2258" s="3" t="s">
        <v>22024</v>
      </c>
      <c r="BF2258" s="3" t="s">
        <v>22026</v>
      </c>
      <c r="BG2258" s="3" t="s">
        <v>22027</v>
      </c>
    </row>
    <row r="2259" spans="1:59" ht="57" x14ac:dyDescent="0.45">
      <c r="A2259" s="2" t="s">
        <v>59</v>
      </c>
      <c r="B2259" s="2" t="s">
        <v>60</v>
      </c>
      <c r="C2259" s="2" t="s">
        <v>22014</v>
      </c>
      <c r="D2259" s="2" t="s">
        <v>22015</v>
      </c>
      <c r="E2259" s="2" t="s">
        <v>22016</v>
      </c>
      <c r="G2259" s="3" t="s">
        <v>62</v>
      </c>
      <c r="I2259" s="3" t="s">
        <v>61</v>
      </c>
      <c r="J2259" s="3" t="s">
        <v>61</v>
      </c>
      <c r="K2259" s="3" t="s">
        <v>63</v>
      </c>
      <c r="L2259" s="2" t="s">
        <v>651</v>
      </c>
      <c r="M2259" s="2" t="s">
        <v>22017</v>
      </c>
      <c r="N2259" s="3" t="s">
        <v>1239</v>
      </c>
      <c r="P2259" s="3" t="s">
        <v>65</v>
      </c>
      <c r="Q2259" s="2" t="s">
        <v>22018</v>
      </c>
      <c r="R2259" s="3" t="s">
        <v>66</v>
      </c>
      <c r="S2259" s="4">
        <v>79</v>
      </c>
      <c r="T2259" s="4">
        <v>236</v>
      </c>
      <c r="U2259" s="5" t="s">
        <v>5547</v>
      </c>
      <c r="V2259" s="5" t="s">
        <v>5547</v>
      </c>
      <c r="W2259" s="5" t="s">
        <v>67</v>
      </c>
      <c r="X2259" s="5" t="s">
        <v>67</v>
      </c>
      <c r="Y2259" s="4">
        <v>69</v>
      </c>
      <c r="Z2259" s="4">
        <v>49</v>
      </c>
      <c r="AA2259" s="4">
        <v>139</v>
      </c>
      <c r="AB2259" s="4">
        <v>3</v>
      </c>
      <c r="AC2259" s="4">
        <v>16</v>
      </c>
      <c r="AD2259" s="4">
        <v>31</v>
      </c>
      <c r="AE2259" s="4">
        <v>147</v>
      </c>
      <c r="AF2259" s="4">
        <v>1</v>
      </c>
      <c r="AG2259" s="4">
        <v>6</v>
      </c>
      <c r="AH2259" s="4">
        <v>18</v>
      </c>
      <c r="AI2259" s="4">
        <v>106</v>
      </c>
      <c r="AJ2259" s="4">
        <v>17</v>
      </c>
      <c r="AK2259" s="4">
        <v>27</v>
      </c>
      <c r="AL2259" s="4">
        <v>3</v>
      </c>
      <c r="AM2259" s="4">
        <v>55</v>
      </c>
      <c r="AN2259" s="4">
        <v>0</v>
      </c>
      <c r="AO2259" s="4">
        <v>0</v>
      </c>
      <c r="AP2259" s="4">
        <v>24</v>
      </c>
      <c r="AQ2259" s="4">
        <v>49</v>
      </c>
      <c r="AR2259" s="3" t="s">
        <v>61</v>
      </c>
      <c r="AS2259" s="3" t="s">
        <v>62</v>
      </c>
      <c r="AT2259" s="3" t="s">
        <v>61</v>
      </c>
      <c r="AU2259" s="6" t="str">
        <f>HYPERLINK("http://catalog.hathitrust.org/Record/007050599","HathiTrust Record")</f>
        <v>HathiTrust Record</v>
      </c>
      <c r="AV2259" s="6" t="str">
        <f>HYPERLINK("http://mcgill.on.worldcat.org/oclc/18987076","Catalog Record")</f>
        <v>Catalog Record</v>
      </c>
      <c r="AW2259" s="6" t="str">
        <f>HYPERLINK("http://www.worldcat.org/oclc/18987076","WorldCat Record")</f>
        <v>WorldCat Record</v>
      </c>
      <c r="AX2259" s="3" t="s">
        <v>22020</v>
      </c>
      <c r="AY2259" s="3" t="s">
        <v>22021</v>
      </c>
      <c r="AZ2259" s="3" t="s">
        <v>22022</v>
      </c>
      <c r="BA2259" s="3" t="s">
        <v>22022</v>
      </c>
      <c r="BB2259" s="3" t="s">
        <v>22028</v>
      </c>
      <c r="BC2259" s="3" t="s">
        <v>142</v>
      </c>
      <c r="BD2259" s="3" t="s">
        <v>68</v>
      </c>
      <c r="BE2259" s="3" t="s">
        <v>22024</v>
      </c>
      <c r="BF2259" s="3" t="s">
        <v>22028</v>
      </c>
      <c r="BG2259" s="3" t="s">
        <v>22029</v>
      </c>
    </row>
    <row r="2260" spans="1:59" ht="57" x14ac:dyDescent="0.45">
      <c r="A2260" s="2" t="s">
        <v>59</v>
      </c>
      <c r="B2260" s="2" t="s">
        <v>60</v>
      </c>
      <c r="C2260" s="2" t="s">
        <v>22030</v>
      </c>
      <c r="D2260" s="2" t="s">
        <v>22031</v>
      </c>
      <c r="E2260" s="2" t="s">
        <v>22032</v>
      </c>
      <c r="G2260" s="3" t="s">
        <v>62</v>
      </c>
      <c r="I2260" s="3" t="s">
        <v>62</v>
      </c>
      <c r="J2260" s="3" t="s">
        <v>62</v>
      </c>
      <c r="K2260" s="3" t="s">
        <v>63</v>
      </c>
      <c r="M2260" s="2" t="s">
        <v>22033</v>
      </c>
      <c r="N2260" s="3" t="s">
        <v>1155</v>
      </c>
      <c r="P2260" s="3" t="s">
        <v>65</v>
      </c>
      <c r="Q2260" s="2" t="s">
        <v>22034</v>
      </c>
      <c r="R2260" s="3" t="s">
        <v>66</v>
      </c>
      <c r="S2260" s="4">
        <v>1</v>
      </c>
      <c r="T2260" s="4">
        <v>1</v>
      </c>
      <c r="U2260" s="5" t="s">
        <v>18697</v>
      </c>
      <c r="V2260" s="5" t="s">
        <v>18697</v>
      </c>
      <c r="W2260" s="5" t="s">
        <v>67</v>
      </c>
      <c r="X2260" s="5" t="s">
        <v>67</v>
      </c>
      <c r="Y2260" s="4">
        <v>112</v>
      </c>
      <c r="Z2260" s="4">
        <v>14</v>
      </c>
      <c r="AA2260" s="4">
        <v>80</v>
      </c>
      <c r="AB2260" s="4">
        <v>1</v>
      </c>
      <c r="AC2260" s="4">
        <v>15</v>
      </c>
      <c r="AD2260" s="4">
        <v>46</v>
      </c>
      <c r="AE2260" s="4">
        <v>114</v>
      </c>
      <c r="AF2260" s="4">
        <v>0</v>
      </c>
      <c r="AG2260" s="4">
        <v>8</v>
      </c>
      <c r="AH2260" s="4">
        <v>42</v>
      </c>
      <c r="AI2260" s="4">
        <v>80</v>
      </c>
      <c r="AJ2260" s="4">
        <v>9</v>
      </c>
      <c r="AK2260" s="4">
        <v>23</v>
      </c>
      <c r="AL2260" s="4">
        <v>30</v>
      </c>
      <c r="AM2260" s="4">
        <v>43</v>
      </c>
      <c r="AN2260" s="4">
        <v>0</v>
      </c>
      <c r="AO2260" s="4">
        <v>0</v>
      </c>
      <c r="AP2260" s="4">
        <v>11</v>
      </c>
      <c r="AQ2260" s="4">
        <v>43</v>
      </c>
      <c r="AR2260" s="3" t="s">
        <v>62</v>
      </c>
      <c r="AS2260" s="3" t="s">
        <v>62</v>
      </c>
      <c r="AT2260" s="3" t="s">
        <v>62</v>
      </c>
      <c r="AV2260" s="6" t="str">
        <f>HYPERLINK("http://mcgill.on.worldcat.org/oclc/788269165","Catalog Record")</f>
        <v>Catalog Record</v>
      </c>
      <c r="AW2260" s="6" t="str">
        <f>HYPERLINK("http://www.worldcat.org/oclc/788269165","WorldCat Record")</f>
        <v>WorldCat Record</v>
      </c>
      <c r="AX2260" s="3" t="s">
        <v>22035</v>
      </c>
      <c r="AY2260" s="3" t="s">
        <v>22036</v>
      </c>
      <c r="AZ2260" s="3" t="s">
        <v>22037</v>
      </c>
      <c r="BA2260" s="3" t="s">
        <v>22037</v>
      </c>
      <c r="BB2260" s="3" t="s">
        <v>22038</v>
      </c>
      <c r="BC2260" s="3" t="s">
        <v>142</v>
      </c>
      <c r="BD2260" s="3" t="s">
        <v>68</v>
      </c>
      <c r="BE2260" s="3" t="s">
        <v>22039</v>
      </c>
      <c r="BF2260" s="3" t="s">
        <v>22038</v>
      </c>
      <c r="BG2260" s="3" t="s">
        <v>22040</v>
      </c>
    </row>
    <row r="2261" spans="1:59" ht="57" x14ac:dyDescent="0.45">
      <c r="A2261" s="2" t="s">
        <v>59</v>
      </c>
      <c r="B2261" s="2" t="s">
        <v>60</v>
      </c>
      <c r="C2261" s="2" t="s">
        <v>22041</v>
      </c>
      <c r="D2261" s="2" t="s">
        <v>22042</v>
      </c>
      <c r="E2261" s="2" t="s">
        <v>22043</v>
      </c>
      <c r="G2261" s="3" t="s">
        <v>62</v>
      </c>
      <c r="I2261" s="3" t="s">
        <v>61</v>
      </c>
      <c r="J2261" s="3" t="s">
        <v>62</v>
      </c>
      <c r="K2261" s="3" t="s">
        <v>63</v>
      </c>
      <c r="M2261" s="2" t="s">
        <v>22044</v>
      </c>
      <c r="N2261" s="3" t="s">
        <v>1253</v>
      </c>
      <c r="P2261" s="3" t="s">
        <v>65</v>
      </c>
      <c r="R2261" s="3" t="s">
        <v>66</v>
      </c>
      <c r="S2261" s="4">
        <v>11</v>
      </c>
      <c r="T2261" s="4">
        <v>38</v>
      </c>
      <c r="U2261" s="5" t="s">
        <v>22045</v>
      </c>
      <c r="V2261" s="5" t="s">
        <v>22046</v>
      </c>
      <c r="W2261" s="5" t="s">
        <v>67</v>
      </c>
      <c r="X2261" s="5" t="s">
        <v>67</v>
      </c>
      <c r="Y2261" s="4">
        <v>376</v>
      </c>
      <c r="Z2261" s="4">
        <v>14</v>
      </c>
      <c r="AA2261" s="4">
        <v>21</v>
      </c>
      <c r="AB2261" s="4">
        <v>2</v>
      </c>
      <c r="AC2261" s="4">
        <v>7</v>
      </c>
      <c r="AD2261" s="4">
        <v>104</v>
      </c>
      <c r="AE2261" s="4">
        <v>108</v>
      </c>
      <c r="AF2261" s="4">
        <v>1</v>
      </c>
      <c r="AG2261" s="4">
        <v>3</v>
      </c>
      <c r="AH2261" s="4">
        <v>97</v>
      </c>
      <c r="AI2261" s="4">
        <v>98</v>
      </c>
      <c r="AJ2261" s="4">
        <v>12</v>
      </c>
      <c r="AK2261" s="4">
        <v>15</v>
      </c>
      <c r="AL2261" s="4">
        <v>51</v>
      </c>
      <c r="AM2261" s="4">
        <v>51</v>
      </c>
      <c r="AN2261" s="4">
        <v>0</v>
      </c>
      <c r="AO2261" s="4">
        <v>0</v>
      </c>
      <c r="AP2261" s="4">
        <v>12</v>
      </c>
      <c r="AQ2261" s="4">
        <v>15</v>
      </c>
      <c r="AR2261" s="3" t="s">
        <v>62</v>
      </c>
      <c r="AS2261" s="3" t="s">
        <v>62</v>
      </c>
      <c r="AT2261" s="3" t="s">
        <v>62</v>
      </c>
      <c r="AV2261" s="6" t="str">
        <f>HYPERLINK("http://mcgill.on.worldcat.org/oclc/36648891","Catalog Record")</f>
        <v>Catalog Record</v>
      </c>
      <c r="AW2261" s="6" t="str">
        <f>HYPERLINK("http://www.worldcat.org/oclc/36648891","WorldCat Record")</f>
        <v>WorldCat Record</v>
      </c>
      <c r="AX2261" s="3" t="s">
        <v>22047</v>
      </c>
      <c r="AY2261" s="3" t="s">
        <v>22048</v>
      </c>
      <c r="AZ2261" s="3" t="s">
        <v>22049</v>
      </c>
      <c r="BA2261" s="3" t="s">
        <v>22049</v>
      </c>
      <c r="BB2261" s="3" t="s">
        <v>22050</v>
      </c>
      <c r="BC2261" s="3" t="s">
        <v>142</v>
      </c>
      <c r="BD2261" s="3" t="s">
        <v>68</v>
      </c>
      <c r="BE2261" s="3" t="s">
        <v>22051</v>
      </c>
      <c r="BF2261" s="3" t="s">
        <v>22050</v>
      </c>
      <c r="BG2261" s="3" t="s">
        <v>22052</v>
      </c>
    </row>
    <row r="2262" spans="1:59" ht="57" x14ac:dyDescent="0.45">
      <c r="A2262" s="2" t="s">
        <v>59</v>
      </c>
      <c r="B2262" s="2" t="s">
        <v>60</v>
      </c>
      <c r="C2262" s="2" t="s">
        <v>22041</v>
      </c>
      <c r="D2262" s="2" t="s">
        <v>22042</v>
      </c>
      <c r="E2262" s="2" t="s">
        <v>22043</v>
      </c>
      <c r="G2262" s="3" t="s">
        <v>62</v>
      </c>
      <c r="I2262" s="3" t="s">
        <v>61</v>
      </c>
      <c r="J2262" s="3" t="s">
        <v>62</v>
      </c>
      <c r="K2262" s="3" t="s">
        <v>63</v>
      </c>
      <c r="M2262" s="2" t="s">
        <v>22044</v>
      </c>
      <c r="N2262" s="3" t="s">
        <v>1253</v>
      </c>
      <c r="P2262" s="3" t="s">
        <v>65</v>
      </c>
      <c r="R2262" s="3" t="s">
        <v>66</v>
      </c>
      <c r="S2262" s="4">
        <v>27</v>
      </c>
      <c r="T2262" s="4">
        <v>38</v>
      </c>
      <c r="U2262" s="5" t="s">
        <v>22046</v>
      </c>
      <c r="V2262" s="5" t="s">
        <v>22046</v>
      </c>
      <c r="W2262" s="5" t="s">
        <v>67</v>
      </c>
      <c r="X2262" s="5" t="s">
        <v>67</v>
      </c>
      <c r="Y2262" s="4">
        <v>376</v>
      </c>
      <c r="Z2262" s="4">
        <v>14</v>
      </c>
      <c r="AA2262" s="4">
        <v>21</v>
      </c>
      <c r="AB2262" s="4">
        <v>2</v>
      </c>
      <c r="AC2262" s="4">
        <v>7</v>
      </c>
      <c r="AD2262" s="4">
        <v>104</v>
      </c>
      <c r="AE2262" s="4">
        <v>108</v>
      </c>
      <c r="AF2262" s="4">
        <v>1</v>
      </c>
      <c r="AG2262" s="4">
        <v>3</v>
      </c>
      <c r="AH2262" s="4">
        <v>97</v>
      </c>
      <c r="AI2262" s="4">
        <v>98</v>
      </c>
      <c r="AJ2262" s="4">
        <v>12</v>
      </c>
      <c r="AK2262" s="4">
        <v>15</v>
      </c>
      <c r="AL2262" s="4">
        <v>51</v>
      </c>
      <c r="AM2262" s="4">
        <v>51</v>
      </c>
      <c r="AN2262" s="4">
        <v>0</v>
      </c>
      <c r="AO2262" s="4">
        <v>0</v>
      </c>
      <c r="AP2262" s="4">
        <v>12</v>
      </c>
      <c r="AQ2262" s="4">
        <v>15</v>
      </c>
      <c r="AR2262" s="3" t="s">
        <v>62</v>
      </c>
      <c r="AS2262" s="3" t="s">
        <v>62</v>
      </c>
      <c r="AT2262" s="3" t="s">
        <v>62</v>
      </c>
      <c r="AV2262" s="6" t="str">
        <f>HYPERLINK("http://mcgill.on.worldcat.org/oclc/36648891","Catalog Record")</f>
        <v>Catalog Record</v>
      </c>
      <c r="AW2262" s="6" t="str">
        <f>HYPERLINK("http://www.worldcat.org/oclc/36648891","WorldCat Record")</f>
        <v>WorldCat Record</v>
      </c>
      <c r="AX2262" s="3" t="s">
        <v>22047</v>
      </c>
      <c r="AY2262" s="3" t="s">
        <v>22048</v>
      </c>
      <c r="AZ2262" s="3" t="s">
        <v>22049</v>
      </c>
      <c r="BA2262" s="3" t="s">
        <v>22049</v>
      </c>
      <c r="BB2262" s="3" t="s">
        <v>22053</v>
      </c>
      <c r="BC2262" s="3" t="s">
        <v>142</v>
      </c>
      <c r="BD2262" s="3" t="s">
        <v>68</v>
      </c>
      <c r="BE2262" s="3" t="s">
        <v>22051</v>
      </c>
      <c r="BF2262" s="3" t="s">
        <v>22053</v>
      </c>
      <c r="BG2262" s="3" t="s">
        <v>22054</v>
      </c>
    </row>
    <row r="2263" spans="1:59" ht="57" x14ac:dyDescent="0.45">
      <c r="A2263" s="2" t="s">
        <v>59</v>
      </c>
      <c r="B2263" s="2" t="s">
        <v>60</v>
      </c>
      <c r="C2263" s="2" t="s">
        <v>22055</v>
      </c>
      <c r="D2263" s="2" t="s">
        <v>22056</v>
      </c>
      <c r="E2263" s="2" t="s">
        <v>22057</v>
      </c>
      <c r="G2263" s="3" t="s">
        <v>62</v>
      </c>
      <c r="I2263" s="3" t="s">
        <v>62</v>
      </c>
      <c r="J2263" s="3" t="s">
        <v>62</v>
      </c>
      <c r="K2263" s="3" t="s">
        <v>63</v>
      </c>
      <c r="M2263" s="2" t="s">
        <v>22058</v>
      </c>
      <c r="N2263" s="3" t="s">
        <v>894</v>
      </c>
      <c r="O2263" s="2" t="s">
        <v>168</v>
      </c>
      <c r="P2263" s="3" t="s">
        <v>65</v>
      </c>
      <c r="Q2263" s="2" t="s">
        <v>22059</v>
      </c>
      <c r="R2263" s="3" t="s">
        <v>66</v>
      </c>
      <c r="S2263" s="4">
        <v>2</v>
      </c>
      <c r="T2263" s="4">
        <v>2</v>
      </c>
      <c r="U2263" s="5" t="s">
        <v>22060</v>
      </c>
      <c r="V2263" s="5" t="s">
        <v>22060</v>
      </c>
      <c r="W2263" s="5" t="s">
        <v>67</v>
      </c>
      <c r="X2263" s="5" t="s">
        <v>67</v>
      </c>
      <c r="Y2263" s="4">
        <v>240</v>
      </c>
      <c r="Z2263" s="4">
        <v>27</v>
      </c>
      <c r="AA2263" s="4">
        <v>51</v>
      </c>
      <c r="AB2263" s="4">
        <v>2</v>
      </c>
      <c r="AC2263" s="4">
        <v>7</v>
      </c>
      <c r="AD2263" s="4">
        <v>94</v>
      </c>
      <c r="AE2263" s="4">
        <v>117</v>
      </c>
      <c r="AF2263" s="4">
        <v>1</v>
      </c>
      <c r="AG2263" s="4">
        <v>3</v>
      </c>
      <c r="AH2263" s="4">
        <v>82</v>
      </c>
      <c r="AI2263" s="4">
        <v>95</v>
      </c>
      <c r="AJ2263" s="4">
        <v>16</v>
      </c>
      <c r="AK2263" s="4">
        <v>20</v>
      </c>
      <c r="AL2263" s="4">
        <v>44</v>
      </c>
      <c r="AM2263" s="4">
        <v>51</v>
      </c>
      <c r="AN2263" s="4">
        <v>0</v>
      </c>
      <c r="AO2263" s="4">
        <v>0</v>
      </c>
      <c r="AP2263" s="4">
        <v>21</v>
      </c>
      <c r="AQ2263" s="4">
        <v>29</v>
      </c>
      <c r="AR2263" s="3" t="s">
        <v>62</v>
      </c>
      <c r="AS2263" s="3" t="s">
        <v>62</v>
      </c>
      <c r="AT2263" s="3" t="s">
        <v>62</v>
      </c>
      <c r="AV2263" s="6" t="str">
        <f>HYPERLINK("http://mcgill.on.worldcat.org/oclc/630467834","Catalog Record")</f>
        <v>Catalog Record</v>
      </c>
      <c r="AW2263" s="6" t="str">
        <f>HYPERLINK("http://www.worldcat.org/oclc/630467834","WorldCat Record")</f>
        <v>WorldCat Record</v>
      </c>
      <c r="AX2263" s="3" t="s">
        <v>22061</v>
      </c>
      <c r="AY2263" s="3" t="s">
        <v>22062</v>
      </c>
      <c r="AZ2263" s="3" t="s">
        <v>22063</v>
      </c>
      <c r="BA2263" s="3" t="s">
        <v>22063</v>
      </c>
      <c r="BB2263" s="3" t="s">
        <v>22064</v>
      </c>
      <c r="BC2263" s="3" t="s">
        <v>142</v>
      </c>
      <c r="BD2263" s="3" t="s">
        <v>68</v>
      </c>
      <c r="BE2263" s="3" t="s">
        <v>22065</v>
      </c>
      <c r="BF2263" s="3" t="s">
        <v>22064</v>
      </c>
      <c r="BG2263" s="3" t="s">
        <v>22066</v>
      </c>
    </row>
    <row r="2264" spans="1:59" ht="57" x14ac:dyDescent="0.45">
      <c r="A2264" s="2" t="s">
        <v>59</v>
      </c>
      <c r="B2264" s="2" t="s">
        <v>60</v>
      </c>
      <c r="C2264" s="2" t="s">
        <v>22067</v>
      </c>
      <c r="D2264" s="2" t="s">
        <v>22068</v>
      </c>
      <c r="E2264" s="2" t="s">
        <v>22069</v>
      </c>
      <c r="G2264" s="3" t="s">
        <v>62</v>
      </c>
      <c r="I2264" s="3" t="s">
        <v>62</v>
      </c>
      <c r="J2264" s="3" t="s">
        <v>62</v>
      </c>
      <c r="K2264" s="3" t="s">
        <v>63</v>
      </c>
      <c r="M2264" s="2" t="s">
        <v>22070</v>
      </c>
      <c r="N2264" s="3" t="s">
        <v>149</v>
      </c>
      <c r="P2264" s="3" t="s">
        <v>65</v>
      </c>
      <c r="R2264" s="3" t="s">
        <v>66</v>
      </c>
      <c r="S2264" s="4">
        <v>5</v>
      </c>
      <c r="T2264" s="4">
        <v>5</v>
      </c>
      <c r="U2264" s="5" t="s">
        <v>111</v>
      </c>
      <c r="V2264" s="5" t="s">
        <v>111</v>
      </c>
      <c r="W2264" s="5" t="s">
        <v>67</v>
      </c>
      <c r="X2264" s="5" t="s">
        <v>67</v>
      </c>
      <c r="Y2264" s="4">
        <v>203</v>
      </c>
      <c r="Z2264" s="4">
        <v>18</v>
      </c>
      <c r="AA2264" s="4">
        <v>21</v>
      </c>
      <c r="AB2264" s="4">
        <v>2</v>
      </c>
      <c r="AC2264" s="4">
        <v>2</v>
      </c>
      <c r="AD2264" s="4">
        <v>78</v>
      </c>
      <c r="AE2264" s="4">
        <v>83</v>
      </c>
      <c r="AF2264" s="4">
        <v>1</v>
      </c>
      <c r="AG2264" s="4">
        <v>1</v>
      </c>
      <c r="AH2264" s="4">
        <v>73</v>
      </c>
      <c r="AI2264" s="4">
        <v>75</v>
      </c>
      <c r="AJ2264" s="4">
        <v>14</v>
      </c>
      <c r="AK2264" s="4">
        <v>16</v>
      </c>
      <c r="AL2264" s="4">
        <v>37</v>
      </c>
      <c r="AM2264" s="4">
        <v>39</v>
      </c>
      <c r="AN2264" s="4">
        <v>0</v>
      </c>
      <c r="AO2264" s="4">
        <v>0</v>
      </c>
      <c r="AP2264" s="4">
        <v>14</v>
      </c>
      <c r="AQ2264" s="4">
        <v>17</v>
      </c>
      <c r="AR2264" s="3" t="s">
        <v>62</v>
      </c>
      <c r="AS2264" s="3" t="s">
        <v>62</v>
      </c>
      <c r="AT2264" s="3" t="s">
        <v>62</v>
      </c>
      <c r="AV2264" s="6" t="str">
        <f>HYPERLINK("http://mcgill.on.worldcat.org/oclc/726695597","Catalog Record")</f>
        <v>Catalog Record</v>
      </c>
      <c r="AW2264" s="6" t="str">
        <f>HYPERLINK("http://www.worldcat.org/oclc/726695597","WorldCat Record")</f>
        <v>WorldCat Record</v>
      </c>
      <c r="AX2264" s="3" t="s">
        <v>22071</v>
      </c>
      <c r="AY2264" s="3" t="s">
        <v>22072</v>
      </c>
      <c r="AZ2264" s="3" t="s">
        <v>22073</v>
      </c>
      <c r="BA2264" s="3" t="s">
        <v>22073</v>
      </c>
      <c r="BB2264" s="3" t="s">
        <v>22074</v>
      </c>
      <c r="BC2264" s="3" t="s">
        <v>142</v>
      </c>
      <c r="BD2264" s="3" t="s">
        <v>68</v>
      </c>
      <c r="BE2264" s="3" t="s">
        <v>22075</v>
      </c>
      <c r="BF2264" s="3" t="s">
        <v>22074</v>
      </c>
      <c r="BG2264" s="3" t="s">
        <v>22076</v>
      </c>
    </row>
    <row r="2265" spans="1:59" ht="57" x14ac:dyDescent="0.45">
      <c r="A2265" s="2" t="s">
        <v>59</v>
      </c>
      <c r="B2265" s="2" t="s">
        <v>60</v>
      </c>
      <c r="C2265" s="2" t="s">
        <v>22077</v>
      </c>
      <c r="D2265" s="2" t="s">
        <v>22078</v>
      </c>
      <c r="E2265" s="2" t="s">
        <v>22079</v>
      </c>
      <c r="G2265" s="3" t="s">
        <v>62</v>
      </c>
      <c r="I2265" s="3" t="s">
        <v>62</v>
      </c>
      <c r="J2265" s="3" t="s">
        <v>62</v>
      </c>
      <c r="K2265" s="3" t="s">
        <v>63</v>
      </c>
      <c r="L2265" s="2" t="s">
        <v>12822</v>
      </c>
      <c r="M2265" s="2" t="s">
        <v>22080</v>
      </c>
      <c r="N2265" s="3" t="s">
        <v>894</v>
      </c>
      <c r="P2265" s="3" t="s">
        <v>65</v>
      </c>
      <c r="Q2265" s="2" t="s">
        <v>22081</v>
      </c>
      <c r="R2265" s="3" t="s">
        <v>66</v>
      </c>
      <c r="S2265" s="4">
        <v>7</v>
      </c>
      <c r="T2265" s="4">
        <v>7</v>
      </c>
      <c r="U2265" s="5" t="s">
        <v>1963</v>
      </c>
      <c r="V2265" s="5" t="s">
        <v>1963</v>
      </c>
      <c r="W2265" s="5" t="s">
        <v>67</v>
      </c>
      <c r="X2265" s="5" t="s">
        <v>67</v>
      </c>
      <c r="Y2265" s="4">
        <v>251</v>
      </c>
      <c r="Z2265" s="4">
        <v>23</v>
      </c>
      <c r="AA2265" s="4">
        <v>29</v>
      </c>
      <c r="AB2265" s="4">
        <v>2</v>
      </c>
      <c r="AC2265" s="4">
        <v>8</v>
      </c>
      <c r="AD2265" s="4">
        <v>74</v>
      </c>
      <c r="AE2265" s="4">
        <v>84</v>
      </c>
      <c r="AF2265" s="4">
        <v>1</v>
      </c>
      <c r="AG2265" s="4">
        <v>3</v>
      </c>
      <c r="AH2265" s="4">
        <v>66</v>
      </c>
      <c r="AI2265" s="4">
        <v>74</v>
      </c>
      <c r="AJ2265" s="4">
        <v>14</v>
      </c>
      <c r="AK2265" s="4">
        <v>16</v>
      </c>
      <c r="AL2265" s="4">
        <v>35</v>
      </c>
      <c r="AM2265" s="4">
        <v>38</v>
      </c>
      <c r="AN2265" s="4">
        <v>0</v>
      </c>
      <c r="AO2265" s="4">
        <v>0</v>
      </c>
      <c r="AP2265" s="4">
        <v>17</v>
      </c>
      <c r="AQ2265" s="4">
        <v>18</v>
      </c>
      <c r="AR2265" s="3" t="s">
        <v>62</v>
      </c>
      <c r="AS2265" s="3" t="s">
        <v>62</v>
      </c>
      <c r="AT2265" s="3" t="s">
        <v>62</v>
      </c>
      <c r="AV2265" s="6" t="str">
        <f>HYPERLINK("http://mcgill.on.worldcat.org/oclc/212848843","Catalog Record")</f>
        <v>Catalog Record</v>
      </c>
      <c r="AW2265" s="6" t="str">
        <f>HYPERLINK("http://www.worldcat.org/oclc/212848843","WorldCat Record")</f>
        <v>WorldCat Record</v>
      </c>
      <c r="AX2265" s="3" t="s">
        <v>22082</v>
      </c>
      <c r="AY2265" s="3" t="s">
        <v>22083</v>
      </c>
      <c r="AZ2265" s="3" t="s">
        <v>22084</v>
      </c>
      <c r="BA2265" s="3" t="s">
        <v>22084</v>
      </c>
      <c r="BB2265" s="3" t="s">
        <v>22085</v>
      </c>
      <c r="BC2265" s="3" t="s">
        <v>142</v>
      </c>
      <c r="BD2265" s="3" t="s">
        <v>68</v>
      </c>
      <c r="BE2265" s="3" t="s">
        <v>22086</v>
      </c>
      <c r="BF2265" s="3" t="s">
        <v>22085</v>
      </c>
      <c r="BG2265" s="3" t="s">
        <v>22087</v>
      </c>
    </row>
    <row r="2266" spans="1:59" ht="57" x14ac:dyDescent="0.45">
      <c r="A2266" s="2" t="s">
        <v>59</v>
      </c>
      <c r="B2266" s="2" t="s">
        <v>60</v>
      </c>
      <c r="C2266" s="2" t="s">
        <v>22088</v>
      </c>
      <c r="D2266" s="2" t="s">
        <v>22089</v>
      </c>
      <c r="E2266" s="2" t="s">
        <v>22090</v>
      </c>
      <c r="G2266" s="3" t="s">
        <v>62</v>
      </c>
      <c r="I2266" s="3" t="s">
        <v>62</v>
      </c>
      <c r="J2266" s="3" t="s">
        <v>62</v>
      </c>
      <c r="K2266" s="3" t="s">
        <v>63</v>
      </c>
      <c r="M2266" s="2" t="s">
        <v>3350</v>
      </c>
      <c r="N2266" s="3" t="s">
        <v>894</v>
      </c>
      <c r="P2266" s="3" t="s">
        <v>65</v>
      </c>
      <c r="R2266" s="3" t="s">
        <v>66</v>
      </c>
      <c r="S2266" s="4">
        <v>4</v>
      </c>
      <c r="T2266" s="4">
        <v>4</v>
      </c>
      <c r="U2266" s="5" t="s">
        <v>22091</v>
      </c>
      <c r="V2266" s="5" t="s">
        <v>22091</v>
      </c>
      <c r="W2266" s="5" t="s">
        <v>67</v>
      </c>
      <c r="X2266" s="5" t="s">
        <v>67</v>
      </c>
      <c r="Y2266" s="4">
        <v>201</v>
      </c>
      <c r="Z2266" s="4">
        <v>22</v>
      </c>
      <c r="AA2266" s="4">
        <v>28</v>
      </c>
      <c r="AB2266" s="4">
        <v>2</v>
      </c>
      <c r="AC2266" s="4">
        <v>5</v>
      </c>
      <c r="AD2266" s="4">
        <v>82</v>
      </c>
      <c r="AE2266" s="4">
        <v>93</v>
      </c>
      <c r="AF2266" s="4">
        <v>1</v>
      </c>
      <c r="AG2266" s="4">
        <v>2</v>
      </c>
      <c r="AH2266" s="4">
        <v>74</v>
      </c>
      <c r="AI2266" s="4">
        <v>82</v>
      </c>
      <c r="AJ2266" s="4">
        <v>15</v>
      </c>
      <c r="AK2266" s="4">
        <v>17</v>
      </c>
      <c r="AL2266" s="4">
        <v>39</v>
      </c>
      <c r="AM2266" s="4">
        <v>43</v>
      </c>
      <c r="AN2266" s="4">
        <v>0</v>
      </c>
      <c r="AO2266" s="4">
        <v>0</v>
      </c>
      <c r="AP2266" s="4">
        <v>18</v>
      </c>
      <c r="AQ2266" s="4">
        <v>21</v>
      </c>
      <c r="AR2266" s="3" t="s">
        <v>62</v>
      </c>
      <c r="AS2266" s="3" t="s">
        <v>62</v>
      </c>
      <c r="AT2266" s="3" t="s">
        <v>62</v>
      </c>
      <c r="AV2266" s="6" t="str">
        <f>HYPERLINK("http://mcgill.on.worldcat.org/oclc/721884020","Catalog Record")</f>
        <v>Catalog Record</v>
      </c>
      <c r="AW2266" s="6" t="str">
        <f>HYPERLINK("http://www.worldcat.org/oclc/721884020","WorldCat Record")</f>
        <v>WorldCat Record</v>
      </c>
      <c r="AX2266" s="3" t="s">
        <v>22092</v>
      </c>
      <c r="AY2266" s="3" t="s">
        <v>22093</v>
      </c>
      <c r="AZ2266" s="3" t="s">
        <v>22094</v>
      </c>
      <c r="BA2266" s="3" t="s">
        <v>22094</v>
      </c>
      <c r="BB2266" s="3" t="s">
        <v>22095</v>
      </c>
      <c r="BC2266" s="3" t="s">
        <v>142</v>
      </c>
      <c r="BD2266" s="3" t="s">
        <v>68</v>
      </c>
      <c r="BE2266" s="3" t="s">
        <v>22096</v>
      </c>
      <c r="BF2266" s="3" t="s">
        <v>22095</v>
      </c>
      <c r="BG2266" s="3" t="s">
        <v>22097</v>
      </c>
    </row>
    <row r="2267" spans="1:59" ht="57" x14ac:dyDescent="0.45">
      <c r="A2267" s="2" t="s">
        <v>59</v>
      </c>
      <c r="B2267" s="2" t="s">
        <v>60</v>
      </c>
      <c r="C2267" s="2" t="s">
        <v>22098</v>
      </c>
      <c r="D2267" s="2" t="s">
        <v>22099</v>
      </c>
      <c r="E2267" s="2" t="s">
        <v>22100</v>
      </c>
      <c r="G2267" s="3" t="s">
        <v>62</v>
      </c>
      <c r="I2267" s="3" t="s">
        <v>62</v>
      </c>
      <c r="J2267" s="3" t="s">
        <v>62</v>
      </c>
      <c r="K2267" s="3" t="s">
        <v>63</v>
      </c>
      <c r="M2267" s="2" t="s">
        <v>22101</v>
      </c>
      <c r="N2267" s="3" t="s">
        <v>1855</v>
      </c>
      <c r="P2267" s="3" t="s">
        <v>65</v>
      </c>
      <c r="R2267" s="3" t="s">
        <v>66</v>
      </c>
      <c r="S2267" s="4">
        <v>17</v>
      </c>
      <c r="T2267" s="4">
        <v>17</v>
      </c>
      <c r="U2267" s="5" t="s">
        <v>8454</v>
      </c>
      <c r="V2267" s="5" t="s">
        <v>8454</v>
      </c>
      <c r="W2267" s="5" t="s">
        <v>67</v>
      </c>
      <c r="X2267" s="5" t="s">
        <v>67</v>
      </c>
      <c r="Y2267" s="4">
        <v>288</v>
      </c>
      <c r="Z2267" s="4">
        <v>60</v>
      </c>
      <c r="AA2267" s="4">
        <v>62</v>
      </c>
      <c r="AB2267" s="4">
        <v>3</v>
      </c>
      <c r="AC2267" s="4">
        <v>5</v>
      </c>
      <c r="AD2267" s="4">
        <v>108</v>
      </c>
      <c r="AE2267" s="4">
        <v>109</v>
      </c>
      <c r="AF2267" s="4">
        <v>1</v>
      </c>
      <c r="AG2267" s="4">
        <v>2</v>
      </c>
      <c r="AH2267" s="4">
        <v>85</v>
      </c>
      <c r="AI2267" s="4">
        <v>85</v>
      </c>
      <c r="AJ2267" s="4">
        <v>21</v>
      </c>
      <c r="AK2267" s="4">
        <v>22</v>
      </c>
      <c r="AL2267" s="4">
        <v>43</v>
      </c>
      <c r="AM2267" s="4">
        <v>43</v>
      </c>
      <c r="AN2267" s="4">
        <v>0</v>
      </c>
      <c r="AO2267" s="4">
        <v>0</v>
      </c>
      <c r="AP2267" s="4">
        <v>32</v>
      </c>
      <c r="AQ2267" s="4">
        <v>33</v>
      </c>
      <c r="AR2267" s="3" t="s">
        <v>61</v>
      </c>
      <c r="AS2267" s="3" t="s">
        <v>62</v>
      </c>
      <c r="AT2267" s="3" t="s">
        <v>61</v>
      </c>
      <c r="AU2267" s="6" t="str">
        <f>HYPERLINK("http://catalog.hathitrust.org/Record/005089270","HathiTrust Record")</f>
        <v>HathiTrust Record</v>
      </c>
      <c r="AV2267" s="6" t="str">
        <f>HYPERLINK("http://mcgill.on.worldcat.org/oclc/57208359","Catalog Record")</f>
        <v>Catalog Record</v>
      </c>
      <c r="AW2267" s="6" t="str">
        <f>HYPERLINK("http://www.worldcat.org/oclc/57208359","WorldCat Record")</f>
        <v>WorldCat Record</v>
      </c>
      <c r="AX2267" s="3" t="s">
        <v>22102</v>
      </c>
      <c r="AY2267" s="3" t="s">
        <v>22103</v>
      </c>
      <c r="AZ2267" s="3" t="s">
        <v>22104</v>
      </c>
      <c r="BA2267" s="3" t="s">
        <v>22104</v>
      </c>
      <c r="BB2267" s="3" t="s">
        <v>22105</v>
      </c>
      <c r="BC2267" s="3" t="s">
        <v>142</v>
      </c>
      <c r="BD2267" s="3" t="s">
        <v>68</v>
      </c>
      <c r="BE2267" s="3" t="s">
        <v>22106</v>
      </c>
      <c r="BF2267" s="3" t="s">
        <v>22105</v>
      </c>
      <c r="BG2267" s="3" t="s">
        <v>22107</v>
      </c>
    </row>
    <row r="2268" spans="1:59" ht="57" x14ac:dyDescent="0.45">
      <c r="A2268" s="2" t="s">
        <v>59</v>
      </c>
      <c r="B2268" s="2" t="s">
        <v>60</v>
      </c>
      <c r="C2268" s="2" t="s">
        <v>22108</v>
      </c>
      <c r="D2268" s="2" t="s">
        <v>22109</v>
      </c>
      <c r="E2268" s="2" t="s">
        <v>22110</v>
      </c>
      <c r="G2268" s="3" t="s">
        <v>62</v>
      </c>
      <c r="I2268" s="3" t="s">
        <v>62</v>
      </c>
      <c r="J2268" s="3" t="s">
        <v>62</v>
      </c>
      <c r="K2268" s="3" t="s">
        <v>63</v>
      </c>
      <c r="L2268" s="2" t="s">
        <v>22111</v>
      </c>
      <c r="M2268" s="2" t="s">
        <v>22112</v>
      </c>
      <c r="N2268" s="3" t="s">
        <v>820</v>
      </c>
      <c r="P2268" s="3" t="s">
        <v>65</v>
      </c>
      <c r="R2268" s="3" t="s">
        <v>66</v>
      </c>
      <c r="S2268" s="4">
        <v>20</v>
      </c>
      <c r="T2268" s="4">
        <v>20</v>
      </c>
      <c r="U2268" s="5" t="s">
        <v>6557</v>
      </c>
      <c r="V2268" s="5" t="s">
        <v>6557</v>
      </c>
      <c r="W2268" s="5" t="s">
        <v>67</v>
      </c>
      <c r="X2268" s="5" t="s">
        <v>67</v>
      </c>
      <c r="Y2268" s="4">
        <v>105</v>
      </c>
      <c r="Z2268" s="4">
        <v>9</v>
      </c>
      <c r="AA2268" s="4">
        <v>27</v>
      </c>
      <c r="AB2268" s="4">
        <v>1</v>
      </c>
      <c r="AC2268" s="4">
        <v>5</v>
      </c>
      <c r="AD2268" s="4">
        <v>37</v>
      </c>
      <c r="AE2268" s="4">
        <v>80</v>
      </c>
      <c r="AF2268" s="4">
        <v>0</v>
      </c>
      <c r="AG2268" s="4">
        <v>2</v>
      </c>
      <c r="AH2268" s="4">
        <v>35</v>
      </c>
      <c r="AI2268" s="4">
        <v>70</v>
      </c>
      <c r="AJ2268" s="4">
        <v>6</v>
      </c>
      <c r="AK2268" s="4">
        <v>15</v>
      </c>
      <c r="AL2268" s="4">
        <v>22</v>
      </c>
      <c r="AM2268" s="4">
        <v>41</v>
      </c>
      <c r="AN2268" s="4">
        <v>0</v>
      </c>
      <c r="AO2268" s="4">
        <v>0</v>
      </c>
      <c r="AP2268" s="4">
        <v>6</v>
      </c>
      <c r="AQ2268" s="4">
        <v>19</v>
      </c>
      <c r="AR2268" s="3" t="s">
        <v>62</v>
      </c>
      <c r="AS2268" s="3" t="s">
        <v>62</v>
      </c>
      <c r="AT2268" s="3" t="s">
        <v>62</v>
      </c>
      <c r="AV2268" s="6" t="str">
        <f>HYPERLINK("http://mcgill.on.worldcat.org/oclc/71627356","Catalog Record")</f>
        <v>Catalog Record</v>
      </c>
      <c r="AW2268" s="6" t="str">
        <f>HYPERLINK("http://www.worldcat.org/oclc/71627356","WorldCat Record")</f>
        <v>WorldCat Record</v>
      </c>
      <c r="AX2268" s="3" t="s">
        <v>22113</v>
      </c>
      <c r="AY2268" s="3" t="s">
        <v>22114</v>
      </c>
      <c r="AZ2268" s="3" t="s">
        <v>22115</v>
      </c>
      <c r="BA2268" s="3" t="s">
        <v>22115</v>
      </c>
      <c r="BB2268" s="3" t="s">
        <v>22116</v>
      </c>
      <c r="BC2268" s="3" t="s">
        <v>142</v>
      </c>
      <c r="BD2268" s="3" t="s">
        <v>68</v>
      </c>
      <c r="BE2268" s="3" t="s">
        <v>22117</v>
      </c>
      <c r="BF2268" s="3" t="s">
        <v>22116</v>
      </c>
      <c r="BG2268" s="3" t="s">
        <v>22118</v>
      </c>
    </row>
    <row r="2269" spans="1:59" ht="57" x14ac:dyDescent="0.45">
      <c r="A2269" s="2" t="s">
        <v>59</v>
      </c>
      <c r="B2269" s="2" t="s">
        <v>60</v>
      </c>
      <c r="C2269" s="2" t="s">
        <v>22119</v>
      </c>
      <c r="D2269" s="2" t="s">
        <v>22120</v>
      </c>
      <c r="E2269" s="2" t="s">
        <v>22121</v>
      </c>
      <c r="G2269" s="3" t="s">
        <v>62</v>
      </c>
      <c r="I2269" s="3" t="s">
        <v>62</v>
      </c>
      <c r="J2269" s="3" t="s">
        <v>61</v>
      </c>
      <c r="K2269" s="3" t="s">
        <v>63</v>
      </c>
      <c r="L2269" s="2" t="s">
        <v>22122</v>
      </c>
      <c r="M2269" s="2" t="s">
        <v>22123</v>
      </c>
      <c r="N2269" s="3" t="s">
        <v>1465</v>
      </c>
      <c r="O2269" s="2" t="s">
        <v>22124</v>
      </c>
      <c r="P2269" s="3" t="s">
        <v>110</v>
      </c>
      <c r="R2269" s="3" t="s">
        <v>66</v>
      </c>
      <c r="S2269" s="4">
        <v>3</v>
      </c>
      <c r="T2269" s="4">
        <v>3</v>
      </c>
      <c r="U2269" s="5" t="s">
        <v>8454</v>
      </c>
      <c r="V2269" s="5" t="s">
        <v>8454</v>
      </c>
      <c r="W2269" s="5" t="s">
        <v>67</v>
      </c>
      <c r="X2269" s="5" t="s">
        <v>67</v>
      </c>
      <c r="Y2269" s="4">
        <v>7</v>
      </c>
      <c r="Z2269" s="4">
        <v>3</v>
      </c>
      <c r="AA2269" s="4">
        <v>139</v>
      </c>
      <c r="AB2269" s="4">
        <v>2</v>
      </c>
      <c r="AC2269" s="4">
        <v>34</v>
      </c>
      <c r="AD2269" s="4">
        <v>4</v>
      </c>
      <c r="AE2269" s="4">
        <v>100</v>
      </c>
      <c r="AF2269" s="4">
        <v>0</v>
      </c>
      <c r="AG2269" s="4">
        <v>9</v>
      </c>
      <c r="AH2269" s="4">
        <v>4</v>
      </c>
      <c r="AI2269" s="4">
        <v>53</v>
      </c>
      <c r="AJ2269" s="4">
        <v>1</v>
      </c>
      <c r="AK2269" s="4">
        <v>28</v>
      </c>
      <c r="AL2269" s="4">
        <v>2</v>
      </c>
      <c r="AM2269" s="4">
        <v>24</v>
      </c>
      <c r="AN2269" s="4">
        <v>0</v>
      </c>
      <c r="AO2269" s="4">
        <v>0</v>
      </c>
      <c r="AP2269" s="4">
        <v>1</v>
      </c>
      <c r="AQ2269" s="4">
        <v>56</v>
      </c>
      <c r="AR2269" s="3" t="s">
        <v>61</v>
      </c>
      <c r="AS2269" s="3" t="s">
        <v>62</v>
      </c>
      <c r="AT2269" s="3" t="s">
        <v>62</v>
      </c>
      <c r="AV2269" s="6" t="str">
        <f>HYPERLINK("http://mcgill.on.worldcat.org/oclc/436223045","Catalog Record")</f>
        <v>Catalog Record</v>
      </c>
      <c r="AW2269" s="6" t="str">
        <f>HYPERLINK("http://www.worldcat.org/oclc/436223045","WorldCat Record")</f>
        <v>WorldCat Record</v>
      </c>
      <c r="AX2269" s="3" t="s">
        <v>22125</v>
      </c>
      <c r="AY2269" s="3" t="s">
        <v>22126</v>
      </c>
      <c r="AZ2269" s="3" t="s">
        <v>22127</v>
      </c>
      <c r="BA2269" s="3" t="s">
        <v>22127</v>
      </c>
      <c r="BB2269" s="3" t="s">
        <v>22128</v>
      </c>
      <c r="BC2269" s="3" t="s">
        <v>142</v>
      </c>
      <c r="BD2269" s="3" t="s">
        <v>68</v>
      </c>
      <c r="BE2269" s="3" t="s">
        <v>22129</v>
      </c>
      <c r="BF2269" s="3" t="s">
        <v>22128</v>
      </c>
      <c r="BG2269" s="3" t="s">
        <v>22130</v>
      </c>
    </row>
    <row r="2270" spans="1:59" ht="57" x14ac:dyDescent="0.45">
      <c r="A2270" s="2" t="s">
        <v>59</v>
      </c>
      <c r="B2270" s="2" t="s">
        <v>60</v>
      </c>
      <c r="C2270" s="2" t="s">
        <v>22131</v>
      </c>
      <c r="D2270" s="2" t="s">
        <v>22132</v>
      </c>
      <c r="E2270" s="2" t="s">
        <v>22133</v>
      </c>
      <c r="G2270" s="3" t="s">
        <v>62</v>
      </c>
      <c r="I2270" s="3" t="s">
        <v>62</v>
      </c>
      <c r="J2270" s="3" t="s">
        <v>62</v>
      </c>
      <c r="K2270" s="3" t="s">
        <v>63</v>
      </c>
      <c r="L2270" s="2" t="s">
        <v>22134</v>
      </c>
      <c r="M2270" s="2" t="s">
        <v>22135</v>
      </c>
      <c r="N2270" s="3" t="s">
        <v>1059</v>
      </c>
      <c r="P2270" s="3" t="s">
        <v>65</v>
      </c>
      <c r="Q2270" s="2" t="s">
        <v>22136</v>
      </c>
      <c r="R2270" s="3" t="s">
        <v>66</v>
      </c>
      <c r="S2270" s="4">
        <v>25</v>
      </c>
      <c r="T2270" s="4">
        <v>25</v>
      </c>
      <c r="U2270" s="5" t="s">
        <v>13206</v>
      </c>
      <c r="V2270" s="5" t="s">
        <v>13206</v>
      </c>
      <c r="W2270" s="5" t="s">
        <v>67</v>
      </c>
      <c r="X2270" s="5" t="s">
        <v>67</v>
      </c>
      <c r="Y2270" s="4">
        <v>320</v>
      </c>
      <c r="Z2270" s="4">
        <v>23</v>
      </c>
      <c r="AA2270" s="4">
        <v>68</v>
      </c>
      <c r="AB2270" s="4">
        <v>2</v>
      </c>
      <c r="AC2270" s="4">
        <v>16</v>
      </c>
      <c r="AD2270" s="4">
        <v>90</v>
      </c>
      <c r="AE2270" s="4">
        <v>129</v>
      </c>
      <c r="AF2270" s="4">
        <v>1</v>
      </c>
      <c r="AG2270" s="4">
        <v>7</v>
      </c>
      <c r="AH2270" s="4">
        <v>79</v>
      </c>
      <c r="AI2270" s="4">
        <v>90</v>
      </c>
      <c r="AJ2270" s="4">
        <v>11</v>
      </c>
      <c r="AK2270" s="4">
        <v>27</v>
      </c>
      <c r="AL2270" s="4">
        <v>45</v>
      </c>
      <c r="AM2270" s="4">
        <v>46</v>
      </c>
      <c r="AN2270" s="4">
        <v>0</v>
      </c>
      <c r="AO2270" s="4">
        <v>0</v>
      </c>
      <c r="AP2270" s="4">
        <v>15</v>
      </c>
      <c r="AQ2270" s="4">
        <v>48</v>
      </c>
      <c r="AR2270" s="3" t="s">
        <v>62</v>
      </c>
      <c r="AS2270" s="3" t="s">
        <v>62</v>
      </c>
      <c r="AT2270" s="3" t="s">
        <v>62</v>
      </c>
      <c r="AV2270" s="6" t="str">
        <f>HYPERLINK("http://mcgill.on.worldcat.org/oclc/62326728","Catalog Record")</f>
        <v>Catalog Record</v>
      </c>
      <c r="AW2270" s="6" t="str">
        <f>HYPERLINK("http://www.worldcat.org/oclc/62326728","WorldCat Record")</f>
        <v>WorldCat Record</v>
      </c>
      <c r="AX2270" s="3" t="s">
        <v>22137</v>
      </c>
      <c r="AY2270" s="3" t="s">
        <v>22138</v>
      </c>
      <c r="AZ2270" s="3" t="s">
        <v>22139</v>
      </c>
      <c r="BA2270" s="3" t="s">
        <v>22139</v>
      </c>
      <c r="BB2270" s="3" t="s">
        <v>22140</v>
      </c>
      <c r="BC2270" s="3" t="s">
        <v>142</v>
      </c>
      <c r="BD2270" s="3" t="s">
        <v>68</v>
      </c>
      <c r="BE2270" s="3" t="s">
        <v>22141</v>
      </c>
      <c r="BF2270" s="3" t="s">
        <v>22140</v>
      </c>
      <c r="BG2270" s="3" t="s">
        <v>22142</v>
      </c>
    </row>
    <row r="2271" spans="1:59" ht="57" x14ac:dyDescent="0.45">
      <c r="A2271" s="2" t="s">
        <v>59</v>
      </c>
      <c r="B2271" s="2" t="s">
        <v>60</v>
      </c>
      <c r="C2271" s="2" t="s">
        <v>22143</v>
      </c>
      <c r="D2271" s="2" t="s">
        <v>22144</v>
      </c>
      <c r="E2271" s="2" t="s">
        <v>22145</v>
      </c>
      <c r="G2271" s="3" t="s">
        <v>62</v>
      </c>
      <c r="I2271" s="3" t="s">
        <v>62</v>
      </c>
      <c r="J2271" s="3" t="s">
        <v>62</v>
      </c>
      <c r="K2271" s="3" t="s">
        <v>63</v>
      </c>
      <c r="L2271" s="2" t="s">
        <v>22146</v>
      </c>
      <c r="M2271" s="2" t="s">
        <v>22147</v>
      </c>
      <c r="N2271" s="3" t="s">
        <v>945</v>
      </c>
      <c r="P2271" s="3" t="s">
        <v>65</v>
      </c>
      <c r="R2271" s="3" t="s">
        <v>66</v>
      </c>
      <c r="S2271" s="4">
        <v>16</v>
      </c>
      <c r="T2271" s="4">
        <v>16</v>
      </c>
      <c r="U2271" s="5" t="s">
        <v>22148</v>
      </c>
      <c r="V2271" s="5" t="s">
        <v>22148</v>
      </c>
      <c r="W2271" s="5" t="s">
        <v>67</v>
      </c>
      <c r="X2271" s="5" t="s">
        <v>67</v>
      </c>
      <c r="Y2271" s="4">
        <v>416</v>
      </c>
      <c r="Z2271" s="4">
        <v>33</v>
      </c>
      <c r="AA2271" s="4">
        <v>38</v>
      </c>
      <c r="AB2271" s="4">
        <v>2</v>
      </c>
      <c r="AC2271" s="4">
        <v>6</v>
      </c>
      <c r="AD2271" s="4">
        <v>99</v>
      </c>
      <c r="AE2271" s="4">
        <v>101</v>
      </c>
      <c r="AF2271" s="4">
        <v>1</v>
      </c>
      <c r="AG2271" s="4">
        <v>3</v>
      </c>
      <c r="AH2271" s="4">
        <v>84</v>
      </c>
      <c r="AI2271" s="4">
        <v>85</v>
      </c>
      <c r="AJ2271" s="4">
        <v>18</v>
      </c>
      <c r="AK2271" s="4">
        <v>20</v>
      </c>
      <c r="AL2271" s="4">
        <v>40</v>
      </c>
      <c r="AM2271" s="4">
        <v>40</v>
      </c>
      <c r="AN2271" s="4">
        <v>0</v>
      </c>
      <c r="AO2271" s="4">
        <v>0</v>
      </c>
      <c r="AP2271" s="4">
        <v>25</v>
      </c>
      <c r="AQ2271" s="4">
        <v>26</v>
      </c>
      <c r="AR2271" s="3" t="s">
        <v>62</v>
      </c>
      <c r="AS2271" s="3" t="s">
        <v>62</v>
      </c>
      <c r="AT2271" s="3" t="s">
        <v>62</v>
      </c>
      <c r="AV2271" s="6" t="str">
        <f>HYPERLINK("http://mcgill.on.worldcat.org/oclc/122282217","Catalog Record")</f>
        <v>Catalog Record</v>
      </c>
      <c r="AW2271" s="6" t="str">
        <f>HYPERLINK("http://www.worldcat.org/oclc/122282217","WorldCat Record")</f>
        <v>WorldCat Record</v>
      </c>
      <c r="AX2271" s="3" t="s">
        <v>22149</v>
      </c>
      <c r="AY2271" s="3" t="s">
        <v>22150</v>
      </c>
      <c r="AZ2271" s="3" t="s">
        <v>22151</v>
      </c>
      <c r="BA2271" s="3" t="s">
        <v>22151</v>
      </c>
      <c r="BB2271" s="3" t="s">
        <v>22152</v>
      </c>
      <c r="BC2271" s="3" t="s">
        <v>142</v>
      </c>
      <c r="BD2271" s="3" t="s">
        <v>68</v>
      </c>
      <c r="BE2271" s="3" t="s">
        <v>22153</v>
      </c>
      <c r="BF2271" s="3" t="s">
        <v>22152</v>
      </c>
      <c r="BG2271" s="3" t="s">
        <v>22154</v>
      </c>
    </row>
    <row r="2272" spans="1:59" ht="57" x14ac:dyDescent="0.45">
      <c r="A2272" s="2" t="s">
        <v>59</v>
      </c>
      <c r="B2272" s="2" t="s">
        <v>60</v>
      </c>
      <c r="C2272" s="2" t="s">
        <v>22155</v>
      </c>
      <c r="D2272" s="2" t="s">
        <v>22156</v>
      </c>
      <c r="E2272" s="2" t="s">
        <v>22157</v>
      </c>
      <c r="G2272" s="3" t="s">
        <v>62</v>
      </c>
      <c r="I2272" s="3" t="s">
        <v>62</v>
      </c>
      <c r="J2272" s="3" t="s">
        <v>62</v>
      </c>
      <c r="K2272" s="3" t="s">
        <v>63</v>
      </c>
      <c r="L2272" s="2" t="s">
        <v>22158</v>
      </c>
      <c r="M2272" s="2" t="s">
        <v>4429</v>
      </c>
      <c r="N2272" s="3" t="s">
        <v>1097</v>
      </c>
      <c r="P2272" s="3" t="s">
        <v>65</v>
      </c>
      <c r="Q2272" s="2" t="s">
        <v>22159</v>
      </c>
      <c r="R2272" s="3" t="s">
        <v>66</v>
      </c>
      <c r="S2272" s="4">
        <v>25</v>
      </c>
      <c r="T2272" s="4">
        <v>25</v>
      </c>
      <c r="U2272" s="5" t="s">
        <v>15572</v>
      </c>
      <c r="V2272" s="5" t="s">
        <v>15572</v>
      </c>
      <c r="W2272" s="5" t="s">
        <v>67</v>
      </c>
      <c r="X2272" s="5" t="s">
        <v>67</v>
      </c>
      <c r="Y2272" s="4">
        <v>601</v>
      </c>
      <c r="Z2272" s="4">
        <v>32</v>
      </c>
      <c r="AA2272" s="4">
        <v>113</v>
      </c>
      <c r="AB2272" s="4">
        <v>1</v>
      </c>
      <c r="AC2272" s="4">
        <v>20</v>
      </c>
      <c r="AD2272" s="4">
        <v>122</v>
      </c>
      <c r="AE2272" s="4">
        <v>160</v>
      </c>
      <c r="AF2272" s="4">
        <v>1</v>
      </c>
      <c r="AG2272" s="4">
        <v>9</v>
      </c>
      <c r="AH2272" s="4">
        <v>102</v>
      </c>
      <c r="AI2272" s="4">
        <v>111</v>
      </c>
      <c r="AJ2272" s="4">
        <v>19</v>
      </c>
      <c r="AK2272" s="4">
        <v>28</v>
      </c>
      <c r="AL2272" s="4">
        <v>54</v>
      </c>
      <c r="AM2272" s="4">
        <v>58</v>
      </c>
      <c r="AN2272" s="4">
        <v>0</v>
      </c>
      <c r="AO2272" s="4">
        <v>0</v>
      </c>
      <c r="AP2272" s="4">
        <v>28</v>
      </c>
      <c r="AQ2272" s="4">
        <v>58</v>
      </c>
      <c r="AR2272" s="3" t="s">
        <v>62</v>
      </c>
      <c r="AS2272" s="3" t="s">
        <v>62</v>
      </c>
      <c r="AT2272" s="3" t="s">
        <v>61</v>
      </c>
      <c r="AU2272" s="6" t="str">
        <f>HYPERLINK("http://catalog.hathitrust.org/Record/004741847","HathiTrust Record")</f>
        <v>HathiTrust Record</v>
      </c>
      <c r="AV2272" s="6" t="str">
        <f>HYPERLINK("http://mcgill.on.worldcat.org/oclc/53993000","Catalog Record")</f>
        <v>Catalog Record</v>
      </c>
      <c r="AW2272" s="6" t="str">
        <f>HYPERLINK("http://www.worldcat.org/oclc/53993000","WorldCat Record")</f>
        <v>WorldCat Record</v>
      </c>
      <c r="AX2272" s="3" t="s">
        <v>22160</v>
      </c>
      <c r="AY2272" s="3" t="s">
        <v>22161</v>
      </c>
      <c r="AZ2272" s="3" t="s">
        <v>22162</v>
      </c>
      <c r="BA2272" s="3" t="s">
        <v>22162</v>
      </c>
      <c r="BB2272" s="3" t="s">
        <v>22163</v>
      </c>
      <c r="BC2272" s="3" t="s">
        <v>142</v>
      </c>
      <c r="BD2272" s="3" t="s">
        <v>308</v>
      </c>
      <c r="BE2272" s="3" t="s">
        <v>22164</v>
      </c>
      <c r="BF2272" s="3" t="s">
        <v>22163</v>
      </c>
      <c r="BG2272" s="3" t="s">
        <v>22165</v>
      </c>
    </row>
    <row r="2273" spans="1:59" ht="57" x14ac:dyDescent="0.45">
      <c r="A2273" s="2" t="s">
        <v>59</v>
      </c>
      <c r="B2273" s="2" t="s">
        <v>60</v>
      </c>
      <c r="C2273" s="2" t="s">
        <v>22166</v>
      </c>
      <c r="D2273" s="2" t="s">
        <v>22167</v>
      </c>
      <c r="E2273" s="2" t="s">
        <v>22168</v>
      </c>
      <c r="G2273" s="3" t="s">
        <v>62</v>
      </c>
      <c r="I2273" s="3" t="s">
        <v>62</v>
      </c>
      <c r="J2273" s="3" t="s">
        <v>62</v>
      </c>
      <c r="K2273" s="3" t="s">
        <v>63</v>
      </c>
      <c r="M2273" s="2" t="s">
        <v>18274</v>
      </c>
      <c r="N2273" s="3" t="s">
        <v>894</v>
      </c>
      <c r="P2273" s="3" t="s">
        <v>65</v>
      </c>
      <c r="Q2273" s="2" t="s">
        <v>22169</v>
      </c>
      <c r="R2273" s="3" t="s">
        <v>66</v>
      </c>
      <c r="S2273" s="4">
        <v>8</v>
      </c>
      <c r="T2273" s="4">
        <v>8</v>
      </c>
      <c r="U2273" s="5" t="s">
        <v>11794</v>
      </c>
      <c r="V2273" s="5" t="s">
        <v>11794</v>
      </c>
      <c r="W2273" s="5" t="s">
        <v>67</v>
      </c>
      <c r="X2273" s="5" t="s">
        <v>67</v>
      </c>
      <c r="Y2273" s="4">
        <v>168</v>
      </c>
      <c r="Z2273" s="4">
        <v>12</v>
      </c>
      <c r="AA2273" s="4">
        <v>43</v>
      </c>
      <c r="AB2273" s="4">
        <v>2</v>
      </c>
      <c r="AC2273" s="4">
        <v>11</v>
      </c>
      <c r="AD2273" s="4">
        <v>39</v>
      </c>
      <c r="AE2273" s="4">
        <v>83</v>
      </c>
      <c r="AF2273" s="4">
        <v>1</v>
      </c>
      <c r="AG2273" s="4">
        <v>5</v>
      </c>
      <c r="AH2273" s="4">
        <v>33</v>
      </c>
      <c r="AI2273" s="4">
        <v>65</v>
      </c>
      <c r="AJ2273" s="4">
        <v>8</v>
      </c>
      <c r="AK2273" s="4">
        <v>20</v>
      </c>
      <c r="AL2273" s="4">
        <v>16</v>
      </c>
      <c r="AM2273" s="4">
        <v>32</v>
      </c>
      <c r="AN2273" s="4">
        <v>0</v>
      </c>
      <c r="AO2273" s="4">
        <v>0</v>
      </c>
      <c r="AP2273" s="4">
        <v>11</v>
      </c>
      <c r="AQ2273" s="4">
        <v>27</v>
      </c>
      <c r="AR2273" s="3" t="s">
        <v>62</v>
      </c>
      <c r="AS2273" s="3" t="s">
        <v>62</v>
      </c>
      <c r="AT2273" s="3" t="s">
        <v>62</v>
      </c>
      <c r="AV2273" s="6" t="str">
        <f>HYPERLINK("http://mcgill.on.worldcat.org/oclc/679941461","Catalog Record")</f>
        <v>Catalog Record</v>
      </c>
      <c r="AW2273" s="6" t="str">
        <f>HYPERLINK("http://www.worldcat.org/oclc/679941461","WorldCat Record")</f>
        <v>WorldCat Record</v>
      </c>
      <c r="AX2273" s="3" t="s">
        <v>22170</v>
      </c>
      <c r="AY2273" s="3" t="s">
        <v>22171</v>
      </c>
      <c r="AZ2273" s="3" t="s">
        <v>22172</v>
      </c>
      <c r="BA2273" s="3" t="s">
        <v>22172</v>
      </c>
      <c r="BB2273" s="3" t="s">
        <v>22173</v>
      </c>
      <c r="BC2273" s="3" t="s">
        <v>142</v>
      </c>
      <c r="BD2273" s="3" t="s">
        <v>68</v>
      </c>
      <c r="BE2273" s="3" t="s">
        <v>22174</v>
      </c>
      <c r="BF2273" s="3" t="s">
        <v>22173</v>
      </c>
      <c r="BG2273" s="3" t="s">
        <v>22175</v>
      </c>
    </row>
    <row r="2274" spans="1:59" ht="57" x14ac:dyDescent="0.45">
      <c r="A2274" s="2" t="s">
        <v>59</v>
      </c>
      <c r="B2274" s="2" t="s">
        <v>60</v>
      </c>
      <c r="C2274" s="2" t="s">
        <v>22176</v>
      </c>
      <c r="D2274" s="2" t="s">
        <v>22177</v>
      </c>
      <c r="E2274" s="2" t="s">
        <v>22178</v>
      </c>
      <c r="G2274" s="3" t="s">
        <v>62</v>
      </c>
      <c r="I2274" s="3" t="s">
        <v>62</v>
      </c>
      <c r="J2274" s="3" t="s">
        <v>62</v>
      </c>
      <c r="K2274" s="3" t="s">
        <v>63</v>
      </c>
      <c r="L2274" s="2" t="s">
        <v>22179</v>
      </c>
      <c r="M2274" s="2" t="s">
        <v>13295</v>
      </c>
      <c r="N2274" s="3" t="s">
        <v>894</v>
      </c>
      <c r="P2274" s="3" t="s">
        <v>65</v>
      </c>
      <c r="R2274" s="3" t="s">
        <v>66</v>
      </c>
      <c r="S2274" s="4">
        <v>6</v>
      </c>
      <c r="T2274" s="4">
        <v>6</v>
      </c>
      <c r="U2274" s="5" t="s">
        <v>13377</v>
      </c>
      <c r="V2274" s="5" t="s">
        <v>13377</v>
      </c>
      <c r="W2274" s="5" t="s">
        <v>67</v>
      </c>
      <c r="X2274" s="5" t="s">
        <v>67</v>
      </c>
      <c r="Y2274" s="4">
        <v>155</v>
      </c>
      <c r="Z2274" s="4">
        <v>17</v>
      </c>
      <c r="AA2274" s="4">
        <v>21</v>
      </c>
      <c r="AB2274" s="4">
        <v>2</v>
      </c>
      <c r="AC2274" s="4">
        <v>6</v>
      </c>
      <c r="AD2274" s="4">
        <v>55</v>
      </c>
      <c r="AE2274" s="4">
        <v>58</v>
      </c>
      <c r="AF2274" s="4">
        <v>1</v>
      </c>
      <c r="AG2274" s="4">
        <v>4</v>
      </c>
      <c r="AH2274" s="4">
        <v>52</v>
      </c>
      <c r="AI2274" s="4">
        <v>53</v>
      </c>
      <c r="AJ2274" s="4">
        <v>11</v>
      </c>
      <c r="AK2274" s="4">
        <v>14</v>
      </c>
      <c r="AL2274" s="4">
        <v>31</v>
      </c>
      <c r="AM2274" s="4">
        <v>31</v>
      </c>
      <c r="AN2274" s="4">
        <v>0</v>
      </c>
      <c r="AO2274" s="4">
        <v>0</v>
      </c>
      <c r="AP2274" s="4">
        <v>12</v>
      </c>
      <c r="AQ2274" s="4">
        <v>14</v>
      </c>
      <c r="AR2274" s="3" t="s">
        <v>62</v>
      </c>
      <c r="AS2274" s="3" t="s">
        <v>62</v>
      </c>
      <c r="AT2274" s="3" t="s">
        <v>62</v>
      </c>
      <c r="AV2274" s="6" t="str">
        <f>HYPERLINK("http://mcgill.on.worldcat.org/oclc/650019946","Catalog Record")</f>
        <v>Catalog Record</v>
      </c>
      <c r="AW2274" s="6" t="str">
        <f>HYPERLINK("http://www.worldcat.org/oclc/650019946","WorldCat Record")</f>
        <v>WorldCat Record</v>
      </c>
      <c r="AX2274" s="3" t="s">
        <v>22180</v>
      </c>
      <c r="AY2274" s="3" t="s">
        <v>22181</v>
      </c>
      <c r="AZ2274" s="3" t="s">
        <v>22182</v>
      </c>
      <c r="BA2274" s="3" t="s">
        <v>22182</v>
      </c>
      <c r="BB2274" s="3" t="s">
        <v>22183</v>
      </c>
      <c r="BC2274" s="3" t="s">
        <v>142</v>
      </c>
      <c r="BD2274" s="3" t="s">
        <v>68</v>
      </c>
      <c r="BE2274" s="3" t="s">
        <v>22184</v>
      </c>
      <c r="BF2274" s="3" t="s">
        <v>22183</v>
      </c>
      <c r="BG2274" s="3" t="s">
        <v>22185</v>
      </c>
    </row>
    <row r="2275" spans="1:59" ht="57" x14ac:dyDescent="0.45">
      <c r="A2275" s="2" t="s">
        <v>59</v>
      </c>
      <c r="B2275" s="2" t="s">
        <v>60</v>
      </c>
      <c r="C2275" s="2" t="s">
        <v>22186</v>
      </c>
      <c r="D2275" s="2" t="s">
        <v>22187</v>
      </c>
      <c r="E2275" s="2" t="s">
        <v>22188</v>
      </c>
      <c r="G2275" s="3" t="s">
        <v>62</v>
      </c>
      <c r="I2275" s="3" t="s">
        <v>62</v>
      </c>
      <c r="J2275" s="3" t="s">
        <v>62</v>
      </c>
      <c r="K2275" s="3" t="s">
        <v>63</v>
      </c>
      <c r="M2275" s="2" t="s">
        <v>9755</v>
      </c>
      <c r="N2275" s="3" t="s">
        <v>1155</v>
      </c>
      <c r="P2275" s="3" t="s">
        <v>65</v>
      </c>
      <c r="Q2275" s="2" t="s">
        <v>22189</v>
      </c>
      <c r="R2275" s="3" t="s">
        <v>66</v>
      </c>
      <c r="S2275" s="4">
        <v>6</v>
      </c>
      <c r="T2275" s="4">
        <v>6</v>
      </c>
      <c r="U2275" s="5" t="s">
        <v>22190</v>
      </c>
      <c r="V2275" s="5" t="s">
        <v>22190</v>
      </c>
      <c r="W2275" s="5" t="s">
        <v>67</v>
      </c>
      <c r="X2275" s="5" t="s">
        <v>67</v>
      </c>
      <c r="Y2275" s="4">
        <v>203</v>
      </c>
      <c r="Z2275" s="4">
        <v>19</v>
      </c>
      <c r="AA2275" s="4">
        <v>31</v>
      </c>
      <c r="AB2275" s="4">
        <v>2</v>
      </c>
      <c r="AC2275" s="4">
        <v>10</v>
      </c>
      <c r="AD2275" s="4">
        <v>72</v>
      </c>
      <c r="AE2275" s="4">
        <v>81</v>
      </c>
      <c r="AF2275" s="4">
        <v>1</v>
      </c>
      <c r="AG2275" s="4">
        <v>4</v>
      </c>
      <c r="AH2275" s="4">
        <v>64</v>
      </c>
      <c r="AI2275" s="4">
        <v>69</v>
      </c>
      <c r="AJ2275" s="4">
        <v>11</v>
      </c>
      <c r="AK2275" s="4">
        <v>16</v>
      </c>
      <c r="AL2275" s="4">
        <v>37</v>
      </c>
      <c r="AM2275" s="4">
        <v>38</v>
      </c>
      <c r="AN2275" s="4">
        <v>0</v>
      </c>
      <c r="AO2275" s="4">
        <v>0</v>
      </c>
      <c r="AP2275" s="4">
        <v>14</v>
      </c>
      <c r="AQ2275" s="4">
        <v>19</v>
      </c>
      <c r="AR2275" s="3" t="s">
        <v>62</v>
      </c>
      <c r="AS2275" s="3" t="s">
        <v>62</v>
      </c>
      <c r="AT2275" s="3" t="s">
        <v>62</v>
      </c>
      <c r="AV2275" s="6" t="str">
        <f>HYPERLINK("http://mcgill.on.worldcat.org/oclc/659750846","Catalog Record")</f>
        <v>Catalog Record</v>
      </c>
      <c r="AW2275" s="6" t="str">
        <f>HYPERLINK("http://www.worldcat.org/oclc/659750846","WorldCat Record")</f>
        <v>WorldCat Record</v>
      </c>
      <c r="AX2275" s="3" t="s">
        <v>22191</v>
      </c>
      <c r="AY2275" s="3" t="s">
        <v>22192</v>
      </c>
      <c r="AZ2275" s="3" t="s">
        <v>22193</v>
      </c>
      <c r="BA2275" s="3" t="s">
        <v>22193</v>
      </c>
      <c r="BB2275" s="3" t="s">
        <v>22194</v>
      </c>
      <c r="BC2275" s="3" t="s">
        <v>142</v>
      </c>
      <c r="BD2275" s="3" t="s">
        <v>68</v>
      </c>
      <c r="BE2275" s="3" t="s">
        <v>22195</v>
      </c>
      <c r="BF2275" s="3" t="s">
        <v>22194</v>
      </c>
      <c r="BG2275" s="3" t="s">
        <v>22196</v>
      </c>
    </row>
    <row r="2276" spans="1:59" ht="57" x14ac:dyDescent="0.45">
      <c r="A2276" s="2" t="s">
        <v>59</v>
      </c>
      <c r="B2276" s="2" t="s">
        <v>60</v>
      </c>
      <c r="C2276" s="2" t="s">
        <v>22197</v>
      </c>
      <c r="D2276" s="2" t="s">
        <v>22198</v>
      </c>
      <c r="E2276" s="2" t="s">
        <v>22199</v>
      </c>
      <c r="G2276" s="3" t="s">
        <v>62</v>
      </c>
      <c r="I2276" s="3" t="s">
        <v>62</v>
      </c>
      <c r="J2276" s="3" t="s">
        <v>62</v>
      </c>
      <c r="K2276" s="3" t="s">
        <v>63</v>
      </c>
      <c r="L2276" s="2" t="s">
        <v>22200</v>
      </c>
      <c r="M2276" s="2" t="s">
        <v>22201</v>
      </c>
      <c r="N2276" s="3" t="s">
        <v>894</v>
      </c>
      <c r="P2276" s="3" t="s">
        <v>65</v>
      </c>
      <c r="R2276" s="3" t="s">
        <v>66</v>
      </c>
      <c r="S2276" s="4">
        <v>3</v>
      </c>
      <c r="T2276" s="4">
        <v>3</v>
      </c>
      <c r="U2276" s="5" t="s">
        <v>22202</v>
      </c>
      <c r="V2276" s="5" t="s">
        <v>22202</v>
      </c>
      <c r="W2276" s="5" t="s">
        <v>67</v>
      </c>
      <c r="X2276" s="5" t="s">
        <v>67</v>
      </c>
      <c r="Y2276" s="4">
        <v>189</v>
      </c>
      <c r="Z2276" s="4">
        <v>19</v>
      </c>
      <c r="AA2276" s="4">
        <v>27</v>
      </c>
      <c r="AB2276" s="4">
        <v>1</v>
      </c>
      <c r="AC2276" s="4">
        <v>4</v>
      </c>
      <c r="AD2276" s="4">
        <v>66</v>
      </c>
      <c r="AE2276" s="4">
        <v>81</v>
      </c>
      <c r="AF2276" s="4">
        <v>0</v>
      </c>
      <c r="AG2276" s="4">
        <v>1</v>
      </c>
      <c r="AH2276" s="4">
        <v>60</v>
      </c>
      <c r="AI2276" s="4">
        <v>72</v>
      </c>
      <c r="AJ2276" s="4">
        <v>13</v>
      </c>
      <c r="AK2276" s="4">
        <v>15</v>
      </c>
      <c r="AL2276" s="4">
        <v>27</v>
      </c>
      <c r="AM2276" s="4">
        <v>34</v>
      </c>
      <c r="AN2276" s="4">
        <v>0</v>
      </c>
      <c r="AO2276" s="4">
        <v>0</v>
      </c>
      <c r="AP2276" s="4">
        <v>15</v>
      </c>
      <c r="AQ2276" s="4">
        <v>19</v>
      </c>
      <c r="AR2276" s="3" t="s">
        <v>62</v>
      </c>
      <c r="AS2276" s="3" t="s">
        <v>62</v>
      </c>
      <c r="AT2276" s="3" t="s">
        <v>62</v>
      </c>
      <c r="AV2276" s="6" t="str">
        <f>HYPERLINK("http://mcgill.on.worldcat.org/oclc/724657228","Catalog Record")</f>
        <v>Catalog Record</v>
      </c>
      <c r="AW2276" s="6" t="str">
        <f>HYPERLINK("http://www.worldcat.org/oclc/724657228","WorldCat Record")</f>
        <v>WorldCat Record</v>
      </c>
      <c r="AX2276" s="3" t="s">
        <v>22203</v>
      </c>
      <c r="AY2276" s="3" t="s">
        <v>22204</v>
      </c>
      <c r="AZ2276" s="3" t="s">
        <v>22205</v>
      </c>
      <c r="BA2276" s="3" t="s">
        <v>22205</v>
      </c>
      <c r="BB2276" s="3" t="s">
        <v>22206</v>
      </c>
      <c r="BC2276" s="3" t="s">
        <v>142</v>
      </c>
      <c r="BD2276" s="3" t="s">
        <v>68</v>
      </c>
      <c r="BE2276" s="3" t="s">
        <v>22207</v>
      </c>
      <c r="BF2276" s="3" t="s">
        <v>22206</v>
      </c>
      <c r="BG2276" s="3" t="s">
        <v>22208</v>
      </c>
    </row>
    <row r="2277" spans="1:59" ht="57" x14ac:dyDescent="0.45">
      <c r="A2277" s="2" t="s">
        <v>59</v>
      </c>
      <c r="B2277" s="2" t="s">
        <v>60</v>
      </c>
      <c r="C2277" s="2" t="s">
        <v>22209</v>
      </c>
      <c r="D2277" s="2" t="s">
        <v>22210</v>
      </c>
      <c r="E2277" s="2" t="s">
        <v>22211</v>
      </c>
      <c r="G2277" s="3" t="s">
        <v>62</v>
      </c>
      <c r="I2277" s="3" t="s">
        <v>62</v>
      </c>
      <c r="J2277" s="3" t="s">
        <v>62</v>
      </c>
      <c r="K2277" s="3" t="s">
        <v>63</v>
      </c>
      <c r="L2277" s="2" t="s">
        <v>22212</v>
      </c>
      <c r="M2277" s="2" t="s">
        <v>22213</v>
      </c>
      <c r="N2277" s="3" t="s">
        <v>1155</v>
      </c>
      <c r="P2277" s="3" t="s">
        <v>65</v>
      </c>
      <c r="Q2277" s="2" t="s">
        <v>22214</v>
      </c>
      <c r="R2277" s="3" t="s">
        <v>66</v>
      </c>
      <c r="S2277" s="4">
        <v>2</v>
      </c>
      <c r="T2277" s="4">
        <v>2</v>
      </c>
      <c r="U2277" s="5" t="s">
        <v>12812</v>
      </c>
      <c r="V2277" s="5" t="s">
        <v>12812</v>
      </c>
      <c r="W2277" s="5" t="s">
        <v>67</v>
      </c>
      <c r="X2277" s="5" t="s">
        <v>67</v>
      </c>
      <c r="Y2277" s="4">
        <v>97</v>
      </c>
      <c r="Z2277" s="4">
        <v>10</v>
      </c>
      <c r="AA2277" s="4">
        <v>26</v>
      </c>
      <c r="AB2277" s="4">
        <v>1</v>
      </c>
      <c r="AC2277" s="4">
        <v>5</v>
      </c>
      <c r="AD2277" s="4">
        <v>35</v>
      </c>
      <c r="AE2277" s="4">
        <v>80</v>
      </c>
      <c r="AF2277" s="4">
        <v>0</v>
      </c>
      <c r="AG2277" s="4">
        <v>2</v>
      </c>
      <c r="AH2277" s="4">
        <v>33</v>
      </c>
      <c r="AI2277" s="4">
        <v>71</v>
      </c>
      <c r="AJ2277" s="4">
        <v>8</v>
      </c>
      <c r="AK2277" s="4">
        <v>14</v>
      </c>
      <c r="AL2277" s="4">
        <v>21</v>
      </c>
      <c r="AM2277" s="4">
        <v>39</v>
      </c>
      <c r="AN2277" s="4">
        <v>0</v>
      </c>
      <c r="AO2277" s="4">
        <v>0</v>
      </c>
      <c r="AP2277" s="4">
        <v>8</v>
      </c>
      <c r="AQ2277" s="4">
        <v>18</v>
      </c>
      <c r="AR2277" s="3" t="s">
        <v>62</v>
      </c>
      <c r="AS2277" s="3" t="s">
        <v>62</v>
      </c>
      <c r="AT2277" s="3" t="s">
        <v>62</v>
      </c>
      <c r="AV2277" s="6" t="str">
        <f>HYPERLINK("http://mcgill.on.worldcat.org/oclc/801604763","Catalog Record")</f>
        <v>Catalog Record</v>
      </c>
      <c r="AW2277" s="6" t="str">
        <f>HYPERLINK("http://www.worldcat.org/oclc/801604763","WorldCat Record")</f>
        <v>WorldCat Record</v>
      </c>
      <c r="AX2277" s="3" t="s">
        <v>22215</v>
      </c>
      <c r="AY2277" s="3" t="s">
        <v>22216</v>
      </c>
      <c r="AZ2277" s="3" t="s">
        <v>22217</v>
      </c>
      <c r="BA2277" s="3" t="s">
        <v>22217</v>
      </c>
      <c r="BB2277" s="3" t="s">
        <v>22218</v>
      </c>
      <c r="BC2277" s="3" t="s">
        <v>142</v>
      </c>
      <c r="BD2277" s="3" t="s">
        <v>68</v>
      </c>
      <c r="BE2277" s="3" t="s">
        <v>22219</v>
      </c>
      <c r="BF2277" s="3" t="s">
        <v>22218</v>
      </c>
      <c r="BG2277" s="3" t="s">
        <v>22220</v>
      </c>
    </row>
    <row r="2278" spans="1:59" ht="57" x14ac:dyDescent="0.45">
      <c r="A2278" s="2" t="s">
        <v>59</v>
      </c>
      <c r="B2278" s="2" t="s">
        <v>60</v>
      </c>
      <c r="C2278" s="2" t="s">
        <v>22221</v>
      </c>
      <c r="D2278" s="2" t="s">
        <v>22222</v>
      </c>
      <c r="E2278" s="2" t="s">
        <v>22223</v>
      </c>
      <c r="G2278" s="3" t="s">
        <v>62</v>
      </c>
      <c r="I2278" s="3" t="s">
        <v>62</v>
      </c>
      <c r="J2278" s="3" t="s">
        <v>62</v>
      </c>
      <c r="K2278" s="3" t="s">
        <v>63</v>
      </c>
      <c r="L2278" s="2" t="s">
        <v>22224</v>
      </c>
      <c r="M2278" s="2" t="s">
        <v>22225</v>
      </c>
      <c r="N2278" s="3" t="s">
        <v>894</v>
      </c>
      <c r="P2278" s="3" t="s">
        <v>65</v>
      </c>
      <c r="R2278" s="3" t="s">
        <v>66</v>
      </c>
      <c r="S2278" s="4">
        <v>2</v>
      </c>
      <c r="T2278" s="4">
        <v>2</v>
      </c>
      <c r="U2278" s="5" t="s">
        <v>22148</v>
      </c>
      <c r="V2278" s="5" t="s">
        <v>22148</v>
      </c>
      <c r="W2278" s="5" t="s">
        <v>67</v>
      </c>
      <c r="X2278" s="5" t="s">
        <v>67</v>
      </c>
      <c r="Y2278" s="4">
        <v>206</v>
      </c>
      <c r="Z2278" s="4">
        <v>23</v>
      </c>
      <c r="AA2278" s="4">
        <v>29</v>
      </c>
      <c r="AB2278" s="4">
        <v>2</v>
      </c>
      <c r="AC2278" s="4">
        <v>4</v>
      </c>
      <c r="AD2278" s="4">
        <v>89</v>
      </c>
      <c r="AE2278" s="4">
        <v>93</v>
      </c>
      <c r="AF2278" s="4">
        <v>1</v>
      </c>
      <c r="AG2278" s="4">
        <v>1</v>
      </c>
      <c r="AH2278" s="4">
        <v>79</v>
      </c>
      <c r="AI2278" s="4">
        <v>81</v>
      </c>
      <c r="AJ2278" s="4">
        <v>15</v>
      </c>
      <c r="AK2278" s="4">
        <v>17</v>
      </c>
      <c r="AL2278" s="4">
        <v>41</v>
      </c>
      <c r="AM2278" s="4">
        <v>43</v>
      </c>
      <c r="AN2278" s="4">
        <v>0</v>
      </c>
      <c r="AO2278" s="4">
        <v>0</v>
      </c>
      <c r="AP2278" s="4">
        <v>19</v>
      </c>
      <c r="AQ2278" s="4">
        <v>21</v>
      </c>
      <c r="AR2278" s="3" t="s">
        <v>62</v>
      </c>
      <c r="AS2278" s="3" t="s">
        <v>62</v>
      </c>
      <c r="AT2278" s="3" t="s">
        <v>62</v>
      </c>
      <c r="AV2278" s="6" t="str">
        <f>HYPERLINK("http://mcgill.on.worldcat.org/oclc/656556640","Catalog Record")</f>
        <v>Catalog Record</v>
      </c>
      <c r="AW2278" s="6" t="str">
        <f>HYPERLINK("http://www.worldcat.org/oclc/656556640","WorldCat Record")</f>
        <v>WorldCat Record</v>
      </c>
      <c r="AX2278" s="3" t="s">
        <v>22226</v>
      </c>
      <c r="AY2278" s="3" t="s">
        <v>22227</v>
      </c>
      <c r="AZ2278" s="3" t="s">
        <v>22228</v>
      </c>
      <c r="BA2278" s="3" t="s">
        <v>22228</v>
      </c>
      <c r="BB2278" s="3" t="s">
        <v>22229</v>
      </c>
      <c r="BC2278" s="3" t="s">
        <v>142</v>
      </c>
      <c r="BD2278" s="3" t="s">
        <v>68</v>
      </c>
      <c r="BE2278" s="3" t="s">
        <v>22230</v>
      </c>
      <c r="BF2278" s="3" t="s">
        <v>22229</v>
      </c>
      <c r="BG2278" s="3" t="s">
        <v>22231</v>
      </c>
    </row>
    <row r="2279" spans="1:59" ht="57" x14ac:dyDescent="0.45">
      <c r="A2279" s="2" t="s">
        <v>59</v>
      </c>
      <c r="B2279" s="2" t="s">
        <v>60</v>
      </c>
      <c r="C2279" s="2" t="s">
        <v>22232</v>
      </c>
      <c r="D2279" s="2" t="s">
        <v>22233</v>
      </c>
      <c r="E2279" s="2" t="s">
        <v>22234</v>
      </c>
      <c r="G2279" s="3" t="s">
        <v>62</v>
      </c>
      <c r="I2279" s="3" t="s">
        <v>62</v>
      </c>
      <c r="J2279" s="3" t="s">
        <v>62</v>
      </c>
      <c r="K2279" s="3" t="s">
        <v>63</v>
      </c>
      <c r="L2279" s="2" t="s">
        <v>22235</v>
      </c>
      <c r="M2279" s="2" t="s">
        <v>22236</v>
      </c>
      <c r="N2279" s="3" t="s">
        <v>894</v>
      </c>
      <c r="P2279" s="3" t="s">
        <v>65</v>
      </c>
      <c r="Q2279" s="2" t="s">
        <v>22237</v>
      </c>
      <c r="R2279" s="3" t="s">
        <v>66</v>
      </c>
      <c r="S2279" s="4">
        <v>14</v>
      </c>
      <c r="T2279" s="4">
        <v>14</v>
      </c>
      <c r="U2279" s="5" t="s">
        <v>22238</v>
      </c>
      <c r="V2279" s="5" t="s">
        <v>22238</v>
      </c>
      <c r="W2279" s="5" t="s">
        <v>67</v>
      </c>
      <c r="X2279" s="5" t="s">
        <v>67</v>
      </c>
      <c r="Y2279" s="4">
        <v>526</v>
      </c>
      <c r="Z2279" s="4">
        <v>39</v>
      </c>
      <c r="AA2279" s="4">
        <v>45</v>
      </c>
      <c r="AB2279" s="4">
        <v>2</v>
      </c>
      <c r="AC2279" s="4">
        <v>7</v>
      </c>
      <c r="AD2279" s="4">
        <v>105</v>
      </c>
      <c r="AE2279" s="4">
        <v>110</v>
      </c>
      <c r="AF2279" s="4">
        <v>1</v>
      </c>
      <c r="AG2279" s="4">
        <v>3</v>
      </c>
      <c r="AH2279" s="4">
        <v>87</v>
      </c>
      <c r="AI2279" s="4">
        <v>89</v>
      </c>
      <c r="AJ2279" s="4">
        <v>19</v>
      </c>
      <c r="AK2279" s="4">
        <v>22</v>
      </c>
      <c r="AL2279" s="4">
        <v>46</v>
      </c>
      <c r="AM2279" s="4">
        <v>46</v>
      </c>
      <c r="AN2279" s="4">
        <v>0</v>
      </c>
      <c r="AO2279" s="4">
        <v>0</v>
      </c>
      <c r="AP2279" s="4">
        <v>29</v>
      </c>
      <c r="AQ2279" s="4">
        <v>31</v>
      </c>
      <c r="AR2279" s="3" t="s">
        <v>62</v>
      </c>
      <c r="AS2279" s="3" t="s">
        <v>62</v>
      </c>
      <c r="AT2279" s="3" t="s">
        <v>62</v>
      </c>
      <c r="AV2279" s="6" t="str">
        <f>HYPERLINK("http://mcgill.on.worldcat.org/oclc/656772605","Catalog Record")</f>
        <v>Catalog Record</v>
      </c>
      <c r="AW2279" s="6" t="str">
        <f>HYPERLINK("http://www.worldcat.org/oclc/656772605","WorldCat Record")</f>
        <v>WorldCat Record</v>
      </c>
      <c r="AX2279" s="3" t="s">
        <v>22239</v>
      </c>
      <c r="AY2279" s="3" t="s">
        <v>22240</v>
      </c>
      <c r="AZ2279" s="3" t="s">
        <v>22241</v>
      </c>
      <c r="BA2279" s="3" t="s">
        <v>22241</v>
      </c>
      <c r="BB2279" s="3" t="s">
        <v>22242</v>
      </c>
      <c r="BC2279" s="3" t="s">
        <v>142</v>
      </c>
      <c r="BD2279" s="3" t="s">
        <v>68</v>
      </c>
      <c r="BE2279" s="3" t="s">
        <v>22243</v>
      </c>
      <c r="BF2279" s="3" t="s">
        <v>22242</v>
      </c>
      <c r="BG2279" s="3" t="s">
        <v>22244</v>
      </c>
    </row>
    <row r="2280" spans="1:59" ht="57" x14ac:dyDescent="0.45">
      <c r="A2280" s="2" t="s">
        <v>59</v>
      </c>
      <c r="B2280" s="2" t="s">
        <v>60</v>
      </c>
      <c r="C2280" s="2" t="s">
        <v>22245</v>
      </c>
      <c r="D2280" s="2" t="s">
        <v>22246</v>
      </c>
      <c r="E2280" s="2" t="s">
        <v>22247</v>
      </c>
      <c r="G2280" s="3" t="s">
        <v>62</v>
      </c>
      <c r="I2280" s="3" t="s">
        <v>62</v>
      </c>
      <c r="J2280" s="3" t="s">
        <v>62</v>
      </c>
      <c r="K2280" s="3" t="s">
        <v>63</v>
      </c>
      <c r="L2280" s="2" t="s">
        <v>22248</v>
      </c>
      <c r="M2280" s="2" t="s">
        <v>22249</v>
      </c>
      <c r="N2280" s="3" t="s">
        <v>149</v>
      </c>
      <c r="O2280" s="2" t="s">
        <v>933</v>
      </c>
      <c r="P2280" s="3" t="s">
        <v>65</v>
      </c>
      <c r="R2280" s="3" t="s">
        <v>66</v>
      </c>
      <c r="S2280" s="4">
        <v>8</v>
      </c>
      <c r="T2280" s="4">
        <v>8</v>
      </c>
      <c r="U2280" s="5" t="s">
        <v>22046</v>
      </c>
      <c r="V2280" s="5" t="s">
        <v>22046</v>
      </c>
      <c r="W2280" s="5" t="s">
        <v>67</v>
      </c>
      <c r="X2280" s="5" t="s">
        <v>67</v>
      </c>
      <c r="Y2280" s="4">
        <v>225</v>
      </c>
      <c r="Z2280" s="4">
        <v>17</v>
      </c>
      <c r="AA2280" s="4">
        <v>61</v>
      </c>
      <c r="AB2280" s="4">
        <v>2</v>
      </c>
      <c r="AC2280" s="4">
        <v>11</v>
      </c>
      <c r="AD2280" s="4">
        <v>56</v>
      </c>
      <c r="AE2280" s="4">
        <v>97</v>
      </c>
      <c r="AF2280" s="4">
        <v>1</v>
      </c>
      <c r="AG2280" s="4">
        <v>5</v>
      </c>
      <c r="AH2280" s="4">
        <v>50</v>
      </c>
      <c r="AI2280" s="4">
        <v>79</v>
      </c>
      <c r="AJ2280" s="4">
        <v>13</v>
      </c>
      <c r="AK2280" s="4">
        <v>23</v>
      </c>
      <c r="AL2280" s="4">
        <v>28</v>
      </c>
      <c r="AM2280" s="4">
        <v>39</v>
      </c>
      <c r="AN2280" s="4">
        <v>0</v>
      </c>
      <c r="AO2280" s="4">
        <v>0</v>
      </c>
      <c r="AP2280" s="4">
        <v>14</v>
      </c>
      <c r="AQ2280" s="4">
        <v>29</v>
      </c>
      <c r="AR2280" s="3" t="s">
        <v>62</v>
      </c>
      <c r="AS2280" s="3" t="s">
        <v>62</v>
      </c>
      <c r="AT2280" s="3" t="s">
        <v>62</v>
      </c>
      <c r="AV2280" s="6" t="str">
        <f>HYPERLINK("http://mcgill.on.worldcat.org/oclc/465369456","Catalog Record")</f>
        <v>Catalog Record</v>
      </c>
      <c r="AW2280" s="6" t="str">
        <f>HYPERLINK("http://www.worldcat.org/oclc/465369456","WorldCat Record")</f>
        <v>WorldCat Record</v>
      </c>
      <c r="AX2280" s="3" t="s">
        <v>22250</v>
      </c>
      <c r="AY2280" s="3" t="s">
        <v>22251</v>
      </c>
      <c r="AZ2280" s="3" t="s">
        <v>22252</v>
      </c>
      <c r="BA2280" s="3" t="s">
        <v>22252</v>
      </c>
      <c r="BB2280" s="3" t="s">
        <v>22253</v>
      </c>
      <c r="BC2280" s="3" t="s">
        <v>142</v>
      </c>
      <c r="BD2280" s="3" t="s">
        <v>68</v>
      </c>
      <c r="BE2280" s="3" t="s">
        <v>22254</v>
      </c>
      <c r="BF2280" s="3" t="s">
        <v>22253</v>
      </c>
      <c r="BG2280" s="3" t="s">
        <v>22255</v>
      </c>
    </row>
    <row r="2281" spans="1:59" ht="57" x14ac:dyDescent="0.45">
      <c r="A2281" s="2" t="s">
        <v>59</v>
      </c>
      <c r="B2281" s="2" t="s">
        <v>60</v>
      </c>
      <c r="C2281" s="2" t="s">
        <v>22256</v>
      </c>
      <c r="D2281" s="2" t="s">
        <v>22257</v>
      </c>
      <c r="E2281" s="2" t="s">
        <v>22258</v>
      </c>
      <c r="G2281" s="3" t="s">
        <v>62</v>
      </c>
      <c r="I2281" s="3" t="s">
        <v>62</v>
      </c>
      <c r="J2281" s="3" t="s">
        <v>62</v>
      </c>
      <c r="K2281" s="3" t="s">
        <v>63</v>
      </c>
      <c r="M2281" s="2" t="s">
        <v>6523</v>
      </c>
      <c r="N2281" s="3" t="s">
        <v>1059</v>
      </c>
      <c r="P2281" s="3" t="s">
        <v>65</v>
      </c>
      <c r="Q2281" s="2" t="s">
        <v>22259</v>
      </c>
      <c r="R2281" s="3" t="s">
        <v>66</v>
      </c>
      <c r="S2281" s="4">
        <v>13</v>
      </c>
      <c r="T2281" s="4">
        <v>13</v>
      </c>
      <c r="U2281" s="5" t="s">
        <v>22260</v>
      </c>
      <c r="V2281" s="5" t="s">
        <v>22260</v>
      </c>
      <c r="W2281" s="5" t="s">
        <v>67</v>
      </c>
      <c r="X2281" s="5" t="s">
        <v>67</v>
      </c>
      <c r="Y2281" s="4">
        <v>259</v>
      </c>
      <c r="Z2281" s="4">
        <v>24</v>
      </c>
      <c r="AA2281" s="4">
        <v>68</v>
      </c>
      <c r="AB2281" s="4">
        <v>2</v>
      </c>
      <c r="AC2281" s="4">
        <v>17</v>
      </c>
      <c r="AD2281" s="4">
        <v>85</v>
      </c>
      <c r="AE2281" s="4">
        <v>123</v>
      </c>
      <c r="AF2281" s="4">
        <v>1</v>
      </c>
      <c r="AG2281" s="4">
        <v>8</v>
      </c>
      <c r="AH2281" s="4">
        <v>74</v>
      </c>
      <c r="AI2281" s="4">
        <v>82</v>
      </c>
      <c r="AJ2281" s="4">
        <v>15</v>
      </c>
      <c r="AK2281" s="4">
        <v>27</v>
      </c>
      <c r="AL2281" s="4">
        <v>42</v>
      </c>
      <c r="AM2281" s="4">
        <v>43</v>
      </c>
      <c r="AN2281" s="4">
        <v>0</v>
      </c>
      <c r="AO2281" s="4">
        <v>0</v>
      </c>
      <c r="AP2281" s="4">
        <v>18</v>
      </c>
      <c r="AQ2281" s="4">
        <v>51</v>
      </c>
      <c r="AR2281" s="3" t="s">
        <v>62</v>
      </c>
      <c r="AS2281" s="3" t="s">
        <v>62</v>
      </c>
      <c r="AT2281" s="3" t="s">
        <v>62</v>
      </c>
      <c r="AV2281" s="6" t="str">
        <f>HYPERLINK("http://mcgill.on.worldcat.org/oclc/59098757","Catalog Record")</f>
        <v>Catalog Record</v>
      </c>
      <c r="AW2281" s="6" t="str">
        <f>HYPERLINK("http://www.worldcat.org/oclc/59098757","WorldCat Record")</f>
        <v>WorldCat Record</v>
      </c>
      <c r="AX2281" s="3" t="s">
        <v>22261</v>
      </c>
      <c r="AY2281" s="3" t="s">
        <v>22262</v>
      </c>
      <c r="AZ2281" s="3" t="s">
        <v>22263</v>
      </c>
      <c r="BA2281" s="3" t="s">
        <v>22263</v>
      </c>
      <c r="BB2281" s="3" t="s">
        <v>22264</v>
      </c>
      <c r="BC2281" s="3" t="s">
        <v>142</v>
      </c>
      <c r="BD2281" s="3" t="s">
        <v>68</v>
      </c>
      <c r="BE2281" s="3" t="s">
        <v>22265</v>
      </c>
      <c r="BF2281" s="3" t="s">
        <v>22264</v>
      </c>
      <c r="BG2281" s="3" t="s">
        <v>22266</v>
      </c>
    </row>
    <row r="2282" spans="1:59" ht="57" x14ac:dyDescent="0.45">
      <c r="A2282" s="2" t="s">
        <v>59</v>
      </c>
      <c r="B2282" s="2" t="s">
        <v>60</v>
      </c>
      <c r="C2282" s="2" t="s">
        <v>22267</v>
      </c>
      <c r="D2282" s="2" t="s">
        <v>22268</v>
      </c>
      <c r="E2282" s="2" t="s">
        <v>22269</v>
      </c>
      <c r="G2282" s="3" t="s">
        <v>62</v>
      </c>
      <c r="I2282" s="3" t="s">
        <v>62</v>
      </c>
      <c r="J2282" s="3" t="s">
        <v>62</v>
      </c>
      <c r="K2282" s="3" t="s">
        <v>63</v>
      </c>
      <c r="M2282" s="2" t="s">
        <v>13295</v>
      </c>
      <c r="N2282" s="3" t="s">
        <v>894</v>
      </c>
      <c r="P2282" s="3" t="s">
        <v>65</v>
      </c>
      <c r="Q2282" s="2" t="s">
        <v>22270</v>
      </c>
      <c r="R2282" s="3" t="s">
        <v>66</v>
      </c>
      <c r="S2282" s="4">
        <v>3</v>
      </c>
      <c r="T2282" s="4">
        <v>3</v>
      </c>
      <c r="U2282" s="5" t="s">
        <v>12154</v>
      </c>
      <c r="V2282" s="5" t="s">
        <v>12154</v>
      </c>
      <c r="W2282" s="5" t="s">
        <v>67</v>
      </c>
      <c r="X2282" s="5" t="s">
        <v>67</v>
      </c>
      <c r="Y2282" s="4">
        <v>113</v>
      </c>
      <c r="Z2282" s="4">
        <v>19</v>
      </c>
      <c r="AA2282" s="4">
        <v>21</v>
      </c>
      <c r="AB2282" s="4">
        <v>2</v>
      </c>
      <c r="AC2282" s="4">
        <v>4</v>
      </c>
      <c r="AD2282" s="4">
        <v>51</v>
      </c>
      <c r="AE2282" s="4">
        <v>53</v>
      </c>
      <c r="AF2282" s="4">
        <v>1</v>
      </c>
      <c r="AG2282" s="4">
        <v>3</v>
      </c>
      <c r="AH2282" s="4">
        <v>47</v>
      </c>
      <c r="AI2282" s="4">
        <v>48</v>
      </c>
      <c r="AJ2282" s="4">
        <v>14</v>
      </c>
      <c r="AK2282" s="4">
        <v>16</v>
      </c>
      <c r="AL2282" s="4">
        <v>26</v>
      </c>
      <c r="AM2282" s="4">
        <v>26</v>
      </c>
      <c r="AN2282" s="4">
        <v>0</v>
      </c>
      <c r="AO2282" s="4">
        <v>0</v>
      </c>
      <c r="AP2282" s="4">
        <v>15</v>
      </c>
      <c r="AQ2282" s="4">
        <v>17</v>
      </c>
      <c r="AR2282" s="3" t="s">
        <v>62</v>
      </c>
      <c r="AS2282" s="3" t="s">
        <v>62</v>
      </c>
      <c r="AT2282" s="3" t="s">
        <v>62</v>
      </c>
      <c r="AV2282" s="6" t="str">
        <f>HYPERLINK("http://mcgill.on.worldcat.org/oclc/696773032","Catalog Record")</f>
        <v>Catalog Record</v>
      </c>
      <c r="AW2282" s="6" t="str">
        <f>HYPERLINK("http://www.worldcat.org/oclc/696773032","WorldCat Record")</f>
        <v>WorldCat Record</v>
      </c>
      <c r="AX2282" s="3" t="s">
        <v>22271</v>
      </c>
      <c r="AY2282" s="3" t="s">
        <v>22272</v>
      </c>
      <c r="AZ2282" s="3" t="s">
        <v>22273</v>
      </c>
      <c r="BA2282" s="3" t="s">
        <v>22273</v>
      </c>
      <c r="BB2282" s="3" t="s">
        <v>22274</v>
      </c>
      <c r="BC2282" s="3" t="s">
        <v>142</v>
      </c>
      <c r="BD2282" s="3" t="s">
        <v>68</v>
      </c>
      <c r="BE2282" s="3" t="s">
        <v>22275</v>
      </c>
      <c r="BF2282" s="3" t="s">
        <v>22274</v>
      </c>
      <c r="BG2282" s="3" t="s">
        <v>22276</v>
      </c>
    </row>
    <row r="2283" spans="1:59" ht="57" x14ac:dyDescent="0.45">
      <c r="A2283" s="2" t="s">
        <v>59</v>
      </c>
      <c r="B2283" s="2" t="s">
        <v>60</v>
      </c>
      <c r="C2283" s="2" t="s">
        <v>22277</v>
      </c>
      <c r="D2283" s="2" t="s">
        <v>22278</v>
      </c>
      <c r="E2283" s="2" t="s">
        <v>22279</v>
      </c>
      <c r="G2283" s="3" t="s">
        <v>62</v>
      </c>
      <c r="I2283" s="3" t="s">
        <v>61</v>
      </c>
      <c r="J2283" s="3" t="s">
        <v>62</v>
      </c>
      <c r="K2283" s="3" t="s">
        <v>63</v>
      </c>
      <c r="M2283" s="2" t="s">
        <v>22280</v>
      </c>
      <c r="N2283" s="3" t="s">
        <v>542</v>
      </c>
      <c r="P2283" s="3" t="s">
        <v>65</v>
      </c>
      <c r="R2283" s="3" t="s">
        <v>66</v>
      </c>
      <c r="S2283" s="4">
        <v>13</v>
      </c>
      <c r="T2283" s="4">
        <v>21</v>
      </c>
      <c r="U2283" s="5" t="s">
        <v>14133</v>
      </c>
      <c r="V2283" s="5" t="s">
        <v>14133</v>
      </c>
      <c r="W2283" s="5" t="s">
        <v>67</v>
      </c>
      <c r="X2283" s="5" t="s">
        <v>67</v>
      </c>
      <c r="Y2283" s="4">
        <v>450</v>
      </c>
      <c r="Z2283" s="4">
        <v>28</v>
      </c>
      <c r="AA2283" s="4">
        <v>32</v>
      </c>
      <c r="AB2283" s="4">
        <v>2</v>
      </c>
      <c r="AC2283" s="4">
        <v>6</v>
      </c>
      <c r="AD2283" s="4">
        <v>107</v>
      </c>
      <c r="AE2283" s="4">
        <v>110</v>
      </c>
      <c r="AF2283" s="4">
        <v>1</v>
      </c>
      <c r="AG2283" s="4">
        <v>4</v>
      </c>
      <c r="AH2283" s="4">
        <v>91</v>
      </c>
      <c r="AI2283" s="4">
        <v>92</v>
      </c>
      <c r="AJ2283" s="4">
        <v>19</v>
      </c>
      <c r="AK2283" s="4">
        <v>22</v>
      </c>
      <c r="AL2283" s="4">
        <v>49</v>
      </c>
      <c r="AM2283" s="4">
        <v>49</v>
      </c>
      <c r="AN2283" s="4">
        <v>0</v>
      </c>
      <c r="AO2283" s="4">
        <v>0</v>
      </c>
      <c r="AP2283" s="4">
        <v>25</v>
      </c>
      <c r="AQ2283" s="4">
        <v>27</v>
      </c>
      <c r="AR2283" s="3" t="s">
        <v>62</v>
      </c>
      <c r="AS2283" s="3" t="s">
        <v>62</v>
      </c>
      <c r="AT2283" s="3" t="s">
        <v>61</v>
      </c>
      <c r="AU2283" s="6" t="str">
        <f>HYPERLINK("http://catalog.hathitrust.org/Record/004178045","HathiTrust Record")</f>
        <v>HathiTrust Record</v>
      </c>
      <c r="AV2283" s="6" t="str">
        <f>HYPERLINK("http://mcgill.on.worldcat.org/oclc/45804815","Catalog Record")</f>
        <v>Catalog Record</v>
      </c>
      <c r="AW2283" s="6" t="str">
        <f>HYPERLINK("http://www.worldcat.org/oclc/45804815","WorldCat Record")</f>
        <v>WorldCat Record</v>
      </c>
      <c r="AX2283" s="3" t="s">
        <v>22281</v>
      </c>
      <c r="AY2283" s="3" t="s">
        <v>22282</v>
      </c>
      <c r="AZ2283" s="3" t="s">
        <v>22283</v>
      </c>
      <c r="BA2283" s="3" t="s">
        <v>22283</v>
      </c>
      <c r="BB2283" s="3" t="s">
        <v>22284</v>
      </c>
      <c r="BC2283" s="3" t="s">
        <v>142</v>
      </c>
      <c r="BD2283" s="3" t="s">
        <v>68</v>
      </c>
      <c r="BE2283" s="3" t="s">
        <v>22285</v>
      </c>
      <c r="BF2283" s="3" t="s">
        <v>22284</v>
      </c>
      <c r="BG2283" s="3" t="s">
        <v>22286</v>
      </c>
    </row>
    <row r="2284" spans="1:59" ht="57" x14ac:dyDescent="0.45">
      <c r="A2284" s="2" t="s">
        <v>59</v>
      </c>
      <c r="B2284" s="2" t="s">
        <v>60</v>
      </c>
      <c r="C2284" s="2" t="s">
        <v>22277</v>
      </c>
      <c r="D2284" s="2" t="s">
        <v>22278</v>
      </c>
      <c r="E2284" s="2" t="s">
        <v>22279</v>
      </c>
      <c r="G2284" s="3" t="s">
        <v>62</v>
      </c>
      <c r="I2284" s="3" t="s">
        <v>61</v>
      </c>
      <c r="J2284" s="3" t="s">
        <v>62</v>
      </c>
      <c r="K2284" s="3" t="s">
        <v>63</v>
      </c>
      <c r="M2284" s="2" t="s">
        <v>22280</v>
      </c>
      <c r="N2284" s="3" t="s">
        <v>542</v>
      </c>
      <c r="P2284" s="3" t="s">
        <v>65</v>
      </c>
      <c r="R2284" s="3" t="s">
        <v>66</v>
      </c>
      <c r="S2284" s="4">
        <v>8</v>
      </c>
      <c r="T2284" s="4">
        <v>21</v>
      </c>
      <c r="U2284" s="5" t="s">
        <v>22287</v>
      </c>
      <c r="V2284" s="5" t="s">
        <v>14133</v>
      </c>
      <c r="W2284" s="5" t="s">
        <v>67</v>
      </c>
      <c r="X2284" s="5" t="s">
        <v>67</v>
      </c>
      <c r="Y2284" s="4">
        <v>450</v>
      </c>
      <c r="Z2284" s="4">
        <v>28</v>
      </c>
      <c r="AA2284" s="4">
        <v>32</v>
      </c>
      <c r="AB2284" s="4">
        <v>2</v>
      </c>
      <c r="AC2284" s="4">
        <v>6</v>
      </c>
      <c r="AD2284" s="4">
        <v>107</v>
      </c>
      <c r="AE2284" s="4">
        <v>110</v>
      </c>
      <c r="AF2284" s="4">
        <v>1</v>
      </c>
      <c r="AG2284" s="4">
        <v>4</v>
      </c>
      <c r="AH2284" s="4">
        <v>91</v>
      </c>
      <c r="AI2284" s="4">
        <v>92</v>
      </c>
      <c r="AJ2284" s="4">
        <v>19</v>
      </c>
      <c r="AK2284" s="4">
        <v>22</v>
      </c>
      <c r="AL2284" s="4">
        <v>49</v>
      </c>
      <c r="AM2284" s="4">
        <v>49</v>
      </c>
      <c r="AN2284" s="4">
        <v>0</v>
      </c>
      <c r="AO2284" s="4">
        <v>0</v>
      </c>
      <c r="AP2284" s="4">
        <v>25</v>
      </c>
      <c r="AQ2284" s="4">
        <v>27</v>
      </c>
      <c r="AR2284" s="3" t="s">
        <v>62</v>
      </c>
      <c r="AS2284" s="3" t="s">
        <v>62</v>
      </c>
      <c r="AT2284" s="3" t="s">
        <v>61</v>
      </c>
      <c r="AU2284" s="6" t="str">
        <f>HYPERLINK("http://catalog.hathitrust.org/Record/004178045","HathiTrust Record")</f>
        <v>HathiTrust Record</v>
      </c>
      <c r="AV2284" s="6" t="str">
        <f>HYPERLINK("http://mcgill.on.worldcat.org/oclc/45804815","Catalog Record")</f>
        <v>Catalog Record</v>
      </c>
      <c r="AW2284" s="6" t="str">
        <f>HYPERLINK("http://www.worldcat.org/oclc/45804815","WorldCat Record")</f>
        <v>WorldCat Record</v>
      </c>
      <c r="AX2284" s="3" t="s">
        <v>22281</v>
      </c>
      <c r="AY2284" s="3" t="s">
        <v>22282</v>
      </c>
      <c r="AZ2284" s="3" t="s">
        <v>22283</v>
      </c>
      <c r="BA2284" s="3" t="s">
        <v>22283</v>
      </c>
      <c r="BB2284" s="3" t="s">
        <v>22288</v>
      </c>
      <c r="BC2284" s="3" t="s">
        <v>142</v>
      </c>
      <c r="BD2284" s="3" t="s">
        <v>68</v>
      </c>
      <c r="BE2284" s="3" t="s">
        <v>22285</v>
      </c>
      <c r="BF2284" s="3" t="s">
        <v>22288</v>
      </c>
      <c r="BG2284" s="3" t="s">
        <v>22289</v>
      </c>
    </row>
    <row r="2285" spans="1:59" ht="57" x14ac:dyDescent="0.45">
      <c r="A2285" s="2" t="s">
        <v>59</v>
      </c>
      <c r="B2285" s="2" t="s">
        <v>60</v>
      </c>
      <c r="C2285" s="2" t="s">
        <v>22290</v>
      </c>
      <c r="D2285" s="2" t="s">
        <v>22291</v>
      </c>
      <c r="E2285" s="2" t="s">
        <v>22292</v>
      </c>
      <c r="G2285" s="3" t="s">
        <v>62</v>
      </c>
      <c r="I2285" s="3" t="s">
        <v>62</v>
      </c>
      <c r="J2285" s="3" t="s">
        <v>62</v>
      </c>
      <c r="K2285" s="3" t="s">
        <v>63</v>
      </c>
      <c r="M2285" s="2" t="s">
        <v>22293</v>
      </c>
      <c r="N2285" s="3" t="s">
        <v>894</v>
      </c>
      <c r="O2285" s="2" t="s">
        <v>168</v>
      </c>
      <c r="P2285" s="3" t="s">
        <v>65</v>
      </c>
      <c r="R2285" s="3" t="s">
        <v>66</v>
      </c>
      <c r="S2285" s="4">
        <v>8</v>
      </c>
      <c r="T2285" s="4">
        <v>8</v>
      </c>
      <c r="U2285" s="5" t="s">
        <v>6958</v>
      </c>
      <c r="V2285" s="5" t="s">
        <v>6958</v>
      </c>
      <c r="W2285" s="5" t="s">
        <v>67</v>
      </c>
      <c r="X2285" s="5" t="s">
        <v>67</v>
      </c>
      <c r="Y2285" s="4">
        <v>218</v>
      </c>
      <c r="Z2285" s="4">
        <v>25</v>
      </c>
      <c r="AA2285" s="4">
        <v>35</v>
      </c>
      <c r="AB2285" s="4">
        <v>1</v>
      </c>
      <c r="AC2285" s="4">
        <v>6</v>
      </c>
      <c r="AD2285" s="4">
        <v>82</v>
      </c>
      <c r="AE2285" s="4">
        <v>97</v>
      </c>
      <c r="AF2285" s="4">
        <v>0</v>
      </c>
      <c r="AG2285" s="4">
        <v>2</v>
      </c>
      <c r="AH2285" s="4">
        <v>73</v>
      </c>
      <c r="AI2285" s="4">
        <v>84</v>
      </c>
      <c r="AJ2285" s="4">
        <v>14</v>
      </c>
      <c r="AK2285" s="4">
        <v>18</v>
      </c>
      <c r="AL2285" s="4">
        <v>40</v>
      </c>
      <c r="AM2285" s="4">
        <v>45</v>
      </c>
      <c r="AN2285" s="4">
        <v>0</v>
      </c>
      <c r="AO2285" s="4">
        <v>0</v>
      </c>
      <c r="AP2285" s="4">
        <v>19</v>
      </c>
      <c r="AQ2285" s="4">
        <v>24</v>
      </c>
      <c r="AR2285" s="3" t="s">
        <v>62</v>
      </c>
      <c r="AS2285" s="3" t="s">
        <v>62</v>
      </c>
      <c r="AT2285" s="3" t="s">
        <v>62</v>
      </c>
      <c r="AV2285" s="6" t="str">
        <f>HYPERLINK("http://mcgill.on.worldcat.org/oclc/662407409","Catalog Record")</f>
        <v>Catalog Record</v>
      </c>
      <c r="AW2285" s="6" t="str">
        <f>HYPERLINK("http://www.worldcat.org/oclc/662407409","WorldCat Record")</f>
        <v>WorldCat Record</v>
      </c>
      <c r="AX2285" s="3" t="s">
        <v>22294</v>
      </c>
      <c r="AY2285" s="3" t="s">
        <v>22295</v>
      </c>
      <c r="AZ2285" s="3" t="s">
        <v>22296</v>
      </c>
      <c r="BA2285" s="3" t="s">
        <v>22296</v>
      </c>
      <c r="BB2285" s="3" t="s">
        <v>22297</v>
      </c>
      <c r="BC2285" s="3" t="s">
        <v>142</v>
      </c>
      <c r="BD2285" s="3" t="s">
        <v>68</v>
      </c>
      <c r="BE2285" s="3" t="s">
        <v>22298</v>
      </c>
      <c r="BF2285" s="3" t="s">
        <v>22297</v>
      </c>
      <c r="BG2285" s="3" t="s">
        <v>22299</v>
      </c>
    </row>
    <row r="2286" spans="1:59" ht="57" x14ac:dyDescent="0.45">
      <c r="A2286" s="2" t="s">
        <v>59</v>
      </c>
      <c r="B2286" s="2" t="s">
        <v>60</v>
      </c>
      <c r="C2286" s="2" t="s">
        <v>22300</v>
      </c>
      <c r="D2286" s="2" t="s">
        <v>22301</v>
      </c>
      <c r="E2286" s="2" t="s">
        <v>22302</v>
      </c>
      <c r="G2286" s="3" t="s">
        <v>62</v>
      </c>
      <c r="I2286" s="3" t="s">
        <v>62</v>
      </c>
      <c r="J2286" s="3" t="s">
        <v>62</v>
      </c>
      <c r="K2286" s="3" t="s">
        <v>63</v>
      </c>
      <c r="L2286" s="2" t="s">
        <v>14346</v>
      </c>
      <c r="M2286" s="2" t="s">
        <v>22303</v>
      </c>
      <c r="N2286" s="3" t="s">
        <v>820</v>
      </c>
      <c r="P2286" s="3" t="s">
        <v>65</v>
      </c>
      <c r="R2286" s="3" t="s">
        <v>66</v>
      </c>
      <c r="S2286" s="4">
        <v>16</v>
      </c>
      <c r="T2286" s="4">
        <v>16</v>
      </c>
      <c r="U2286" s="5" t="s">
        <v>22304</v>
      </c>
      <c r="V2286" s="5" t="s">
        <v>22304</v>
      </c>
      <c r="W2286" s="5" t="s">
        <v>67</v>
      </c>
      <c r="X2286" s="5" t="s">
        <v>67</v>
      </c>
      <c r="Y2286" s="4">
        <v>416</v>
      </c>
      <c r="Z2286" s="4">
        <v>36</v>
      </c>
      <c r="AA2286" s="4">
        <v>42</v>
      </c>
      <c r="AB2286" s="4">
        <v>2</v>
      </c>
      <c r="AC2286" s="4">
        <v>7</v>
      </c>
      <c r="AD2286" s="4">
        <v>104</v>
      </c>
      <c r="AE2286" s="4">
        <v>108</v>
      </c>
      <c r="AF2286" s="4">
        <v>1</v>
      </c>
      <c r="AG2286" s="4">
        <v>5</v>
      </c>
      <c r="AH2286" s="4">
        <v>86</v>
      </c>
      <c r="AI2286" s="4">
        <v>87</v>
      </c>
      <c r="AJ2286" s="4">
        <v>17</v>
      </c>
      <c r="AK2286" s="4">
        <v>21</v>
      </c>
      <c r="AL2286" s="4">
        <v>45</v>
      </c>
      <c r="AM2286" s="4">
        <v>45</v>
      </c>
      <c r="AN2286" s="4">
        <v>0</v>
      </c>
      <c r="AO2286" s="4">
        <v>0</v>
      </c>
      <c r="AP2286" s="4">
        <v>27</v>
      </c>
      <c r="AQ2286" s="4">
        <v>30</v>
      </c>
      <c r="AR2286" s="3" t="s">
        <v>62</v>
      </c>
      <c r="AS2286" s="3" t="s">
        <v>62</v>
      </c>
      <c r="AT2286" s="3" t="s">
        <v>62</v>
      </c>
      <c r="AV2286" s="6" t="str">
        <f>HYPERLINK("http://mcgill.on.worldcat.org/oclc/154759475","Catalog Record")</f>
        <v>Catalog Record</v>
      </c>
      <c r="AW2286" s="6" t="str">
        <f>HYPERLINK("http://www.worldcat.org/oclc/154759475","WorldCat Record")</f>
        <v>WorldCat Record</v>
      </c>
      <c r="AX2286" s="3" t="s">
        <v>22305</v>
      </c>
      <c r="AY2286" s="3" t="s">
        <v>22306</v>
      </c>
      <c r="AZ2286" s="3" t="s">
        <v>22307</v>
      </c>
      <c r="BA2286" s="3" t="s">
        <v>22307</v>
      </c>
      <c r="BB2286" s="3" t="s">
        <v>22308</v>
      </c>
      <c r="BC2286" s="3" t="s">
        <v>142</v>
      </c>
      <c r="BD2286" s="3" t="s">
        <v>308</v>
      </c>
      <c r="BE2286" s="3" t="s">
        <v>22309</v>
      </c>
      <c r="BF2286" s="3" t="s">
        <v>22308</v>
      </c>
      <c r="BG2286" s="3" t="s">
        <v>22310</v>
      </c>
    </row>
    <row r="2287" spans="1:59" ht="57" x14ac:dyDescent="0.45">
      <c r="A2287" s="2" t="s">
        <v>59</v>
      </c>
      <c r="B2287" s="2" t="s">
        <v>60</v>
      </c>
      <c r="C2287" s="2" t="s">
        <v>22311</v>
      </c>
      <c r="D2287" s="2" t="s">
        <v>22312</v>
      </c>
      <c r="E2287" s="2" t="s">
        <v>22313</v>
      </c>
      <c r="G2287" s="3" t="s">
        <v>62</v>
      </c>
      <c r="I2287" s="3" t="s">
        <v>62</v>
      </c>
      <c r="J2287" s="3" t="s">
        <v>62</v>
      </c>
      <c r="K2287" s="3" t="s">
        <v>63</v>
      </c>
      <c r="M2287" s="2" t="s">
        <v>22314</v>
      </c>
      <c r="N2287" s="3" t="s">
        <v>1465</v>
      </c>
      <c r="P2287" s="3" t="s">
        <v>65</v>
      </c>
      <c r="R2287" s="3" t="s">
        <v>66</v>
      </c>
      <c r="S2287" s="4">
        <v>1</v>
      </c>
      <c r="T2287" s="4">
        <v>1</v>
      </c>
      <c r="U2287" s="5" t="s">
        <v>4176</v>
      </c>
      <c r="V2287" s="5" t="s">
        <v>4176</v>
      </c>
      <c r="W2287" s="5" t="s">
        <v>67</v>
      </c>
      <c r="X2287" s="5" t="s">
        <v>67</v>
      </c>
      <c r="Y2287" s="4">
        <v>145</v>
      </c>
      <c r="Z2287" s="4">
        <v>14</v>
      </c>
      <c r="AA2287" s="4">
        <v>109</v>
      </c>
      <c r="AB2287" s="4">
        <v>2</v>
      </c>
      <c r="AC2287" s="4">
        <v>18</v>
      </c>
      <c r="AD2287" s="4">
        <v>65</v>
      </c>
      <c r="AE2287" s="4">
        <v>132</v>
      </c>
      <c r="AF2287" s="4">
        <v>1</v>
      </c>
      <c r="AG2287" s="4">
        <v>8</v>
      </c>
      <c r="AH2287" s="4">
        <v>58</v>
      </c>
      <c r="AI2287" s="4">
        <v>93</v>
      </c>
      <c r="AJ2287" s="4">
        <v>12</v>
      </c>
      <c r="AK2287" s="4">
        <v>26</v>
      </c>
      <c r="AL2287" s="4">
        <v>34</v>
      </c>
      <c r="AM2287" s="4">
        <v>48</v>
      </c>
      <c r="AN2287" s="4">
        <v>0</v>
      </c>
      <c r="AO2287" s="4">
        <v>0</v>
      </c>
      <c r="AP2287" s="4">
        <v>13</v>
      </c>
      <c r="AQ2287" s="4">
        <v>50</v>
      </c>
      <c r="AR2287" s="3" t="s">
        <v>62</v>
      </c>
      <c r="AS2287" s="3" t="s">
        <v>62</v>
      </c>
      <c r="AT2287" s="3" t="s">
        <v>62</v>
      </c>
      <c r="AV2287" s="6" t="str">
        <f>HYPERLINK("http://mcgill.on.worldcat.org/oclc/423732689","Catalog Record")</f>
        <v>Catalog Record</v>
      </c>
      <c r="AW2287" s="6" t="str">
        <f>HYPERLINK("http://www.worldcat.org/oclc/423732689","WorldCat Record")</f>
        <v>WorldCat Record</v>
      </c>
      <c r="AX2287" s="3" t="s">
        <v>22315</v>
      </c>
      <c r="AY2287" s="3" t="s">
        <v>22316</v>
      </c>
      <c r="AZ2287" s="3" t="s">
        <v>22317</v>
      </c>
      <c r="BA2287" s="3" t="s">
        <v>22317</v>
      </c>
      <c r="BB2287" s="3" t="s">
        <v>22318</v>
      </c>
      <c r="BC2287" s="3" t="s">
        <v>142</v>
      </c>
      <c r="BD2287" s="3" t="s">
        <v>68</v>
      </c>
      <c r="BE2287" s="3" t="s">
        <v>22319</v>
      </c>
      <c r="BF2287" s="3" t="s">
        <v>22318</v>
      </c>
      <c r="BG2287" s="3" t="s">
        <v>22320</v>
      </c>
    </row>
    <row r="2288" spans="1:59" ht="57" x14ac:dyDescent="0.45">
      <c r="A2288" s="2" t="s">
        <v>59</v>
      </c>
      <c r="B2288" s="2" t="s">
        <v>60</v>
      </c>
      <c r="C2288" s="2" t="s">
        <v>22321</v>
      </c>
      <c r="D2288" s="2" t="s">
        <v>22322</v>
      </c>
      <c r="E2288" s="2" t="s">
        <v>22323</v>
      </c>
      <c r="G2288" s="3" t="s">
        <v>62</v>
      </c>
      <c r="I2288" s="3" t="s">
        <v>61</v>
      </c>
      <c r="J2288" s="3" t="s">
        <v>62</v>
      </c>
      <c r="K2288" s="3" t="s">
        <v>63</v>
      </c>
      <c r="M2288" s="2" t="s">
        <v>22324</v>
      </c>
      <c r="N2288" s="3" t="s">
        <v>807</v>
      </c>
      <c r="P2288" s="3" t="s">
        <v>65</v>
      </c>
      <c r="Q2288" s="2" t="s">
        <v>22325</v>
      </c>
      <c r="R2288" s="3" t="s">
        <v>66</v>
      </c>
      <c r="S2288" s="4">
        <v>47</v>
      </c>
      <c r="T2288" s="4">
        <v>47</v>
      </c>
      <c r="U2288" s="5" t="s">
        <v>4176</v>
      </c>
      <c r="V2288" s="5" t="s">
        <v>4176</v>
      </c>
      <c r="W2288" s="5" t="s">
        <v>67</v>
      </c>
      <c r="X2288" s="5" t="s">
        <v>67</v>
      </c>
      <c r="Y2288" s="4">
        <v>160</v>
      </c>
      <c r="Z2288" s="4">
        <v>84</v>
      </c>
      <c r="AA2288" s="4">
        <v>87</v>
      </c>
      <c r="AB2288" s="4">
        <v>5</v>
      </c>
      <c r="AC2288" s="4">
        <v>5</v>
      </c>
      <c r="AD2288" s="4">
        <v>73</v>
      </c>
      <c r="AE2288" s="4">
        <v>76</v>
      </c>
      <c r="AF2288" s="4">
        <v>2</v>
      </c>
      <c r="AG2288" s="4">
        <v>2</v>
      </c>
      <c r="AH2288" s="4">
        <v>43</v>
      </c>
      <c r="AI2288" s="4">
        <v>43</v>
      </c>
      <c r="AJ2288" s="4">
        <v>22</v>
      </c>
      <c r="AK2288" s="4">
        <v>23</v>
      </c>
      <c r="AL2288" s="4">
        <v>24</v>
      </c>
      <c r="AM2288" s="4">
        <v>24</v>
      </c>
      <c r="AN2288" s="4">
        <v>0</v>
      </c>
      <c r="AO2288" s="4">
        <v>0</v>
      </c>
      <c r="AP2288" s="4">
        <v>41</v>
      </c>
      <c r="AQ2288" s="4">
        <v>44</v>
      </c>
      <c r="AR2288" s="3" t="s">
        <v>61</v>
      </c>
      <c r="AS2288" s="3" t="s">
        <v>62</v>
      </c>
      <c r="AT2288" s="3" t="s">
        <v>61</v>
      </c>
      <c r="AU2288" s="6" t="str">
        <f>HYPERLINK("http://catalog.hathitrust.org/Record/002635423","HathiTrust Record")</f>
        <v>HathiTrust Record</v>
      </c>
      <c r="AV2288" s="6" t="str">
        <f>HYPERLINK("http://mcgill.on.worldcat.org/oclc/28888182","Catalog Record")</f>
        <v>Catalog Record</v>
      </c>
      <c r="AW2288" s="6" t="str">
        <f>HYPERLINK("http://www.worldcat.org/oclc/28888182","WorldCat Record")</f>
        <v>WorldCat Record</v>
      </c>
      <c r="AX2288" s="3" t="s">
        <v>22326</v>
      </c>
      <c r="AY2288" s="3" t="s">
        <v>22327</v>
      </c>
      <c r="AZ2288" s="3" t="s">
        <v>22328</v>
      </c>
      <c r="BA2288" s="3" t="s">
        <v>22328</v>
      </c>
      <c r="BB2288" s="3" t="s">
        <v>22329</v>
      </c>
      <c r="BC2288" s="3" t="s">
        <v>142</v>
      </c>
      <c r="BD2288" s="3" t="s">
        <v>68</v>
      </c>
      <c r="BE2288" s="3" t="s">
        <v>22330</v>
      </c>
      <c r="BF2288" s="3" t="s">
        <v>22329</v>
      </c>
      <c r="BG2288" s="3" t="s">
        <v>22331</v>
      </c>
    </row>
    <row r="2289" spans="1:59" ht="57" x14ac:dyDescent="0.45">
      <c r="A2289" s="2" t="s">
        <v>59</v>
      </c>
      <c r="B2289" s="2" t="s">
        <v>60</v>
      </c>
      <c r="C2289" s="2" t="s">
        <v>22332</v>
      </c>
      <c r="D2289" s="2" t="s">
        <v>22333</v>
      </c>
      <c r="E2289" s="2" t="s">
        <v>22334</v>
      </c>
      <c r="G2289" s="3" t="s">
        <v>62</v>
      </c>
      <c r="I2289" s="3" t="s">
        <v>62</v>
      </c>
      <c r="J2289" s="3" t="s">
        <v>62</v>
      </c>
      <c r="K2289" s="3" t="s">
        <v>63</v>
      </c>
      <c r="M2289" s="2" t="s">
        <v>22335</v>
      </c>
      <c r="N2289" s="3" t="s">
        <v>1253</v>
      </c>
      <c r="P2289" s="3" t="s">
        <v>65</v>
      </c>
      <c r="Q2289" s="2" t="s">
        <v>22336</v>
      </c>
      <c r="R2289" s="3" t="s">
        <v>66</v>
      </c>
      <c r="S2289" s="4">
        <v>19</v>
      </c>
      <c r="T2289" s="4">
        <v>19</v>
      </c>
      <c r="U2289" s="5" t="s">
        <v>3473</v>
      </c>
      <c r="V2289" s="5" t="s">
        <v>3473</v>
      </c>
      <c r="W2289" s="5" t="s">
        <v>67</v>
      </c>
      <c r="X2289" s="5" t="s">
        <v>67</v>
      </c>
      <c r="Y2289" s="4">
        <v>357</v>
      </c>
      <c r="Z2289" s="4">
        <v>23</v>
      </c>
      <c r="AA2289" s="4">
        <v>25</v>
      </c>
      <c r="AB2289" s="4">
        <v>2</v>
      </c>
      <c r="AC2289" s="4">
        <v>4</v>
      </c>
      <c r="AD2289" s="4">
        <v>77</v>
      </c>
      <c r="AE2289" s="4">
        <v>79</v>
      </c>
      <c r="AF2289" s="4">
        <v>1</v>
      </c>
      <c r="AG2289" s="4">
        <v>3</v>
      </c>
      <c r="AH2289" s="4">
        <v>68</v>
      </c>
      <c r="AI2289" s="4">
        <v>69</v>
      </c>
      <c r="AJ2289" s="4">
        <v>15</v>
      </c>
      <c r="AK2289" s="4">
        <v>17</v>
      </c>
      <c r="AL2289" s="4">
        <v>38</v>
      </c>
      <c r="AM2289" s="4">
        <v>38</v>
      </c>
      <c r="AN2289" s="4">
        <v>0</v>
      </c>
      <c r="AO2289" s="4">
        <v>0</v>
      </c>
      <c r="AP2289" s="4">
        <v>18</v>
      </c>
      <c r="AQ2289" s="4">
        <v>19</v>
      </c>
      <c r="AR2289" s="3" t="s">
        <v>62</v>
      </c>
      <c r="AS2289" s="3" t="s">
        <v>62</v>
      </c>
      <c r="AT2289" s="3" t="s">
        <v>61</v>
      </c>
      <c r="AU2289" s="6" t="str">
        <f>HYPERLINK("http://catalog.hathitrust.org/Record/003947623","HathiTrust Record")</f>
        <v>HathiTrust Record</v>
      </c>
      <c r="AV2289" s="6" t="str">
        <f>HYPERLINK("http://mcgill.on.worldcat.org/oclc/37902237","Catalog Record")</f>
        <v>Catalog Record</v>
      </c>
      <c r="AW2289" s="6" t="str">
        <f>HYPERLINK("http://www.worldcat.org/oclc/37902237","WorldCat Record")</f>
        <v>WorldCat Record</v>
      </c>
      <c r="AX2289" s="3" t="s">
        <v>22337</v>
      </c>
      <c r="AY2289" s="3" t="s">
        <v>22338</v>
      </c>
      <c r="AZ2289" s="3" t="s">
        <v>22339</v>
      </c>
      <c r="BA2289" s="3" t="s">
        <v>22339</v>
      </c>
      <c r="BB2289" s="3" t="s">
        <v>22340</v>
      </c>
      <c r="BC2289" s="3" t="s">
        <v>142</v>
      </c>
      <c r="BD2289" s="3" t="s">
        <v>68</v>
      </c>
      <c r="BE2289" s="3" t="s">
        <v>22341</v>
      </c>
      <c r="BF2289" s="3" t="s">
        <v>22340</v>
      </c>
      <c r="BG2289" s="3" t="s">
        <v>22342</v>
      </c>
    </row>
    <row r="2290" spans="1:59" ht="57" x14ac:dyDescent="0.45">
      <c r="A2290" s="2" t="s">
        <v>59</v>
      </c>
      <c r="B2290" s="2" t="s">
        <v>60</v>
      </c>
      <c r="C2290" s="2" t="s">
        <v>22343</v>
      </c>
      <c r="D2290" s="2" t="s">
        <v>22344</v>
      </c>
      <c r="E2290" s="2" t="s">
        <v>22345</v>
      </c>
      <c r="G2290" s="3" t="s">
        <v>62</v>
      </c>
      <c r="I2290" s="3" t="s">
        <v>62</v>
      </c>
      <c r="J2290" s="3" t="s">
        <v>62</v>
      </c>
      <c r="K2290" s="3" t="s">
        <v>63</v>
      </c>
      <c r="M2290" s="2" t="s">
        <v>22346</v>
      </c>
      <c r="N2290" s="3" t="s">
        <v>542</v>
      </c>
      <c r="P2290" s="3" t="s">
        <v>65</v>
      </c>
      <c r="R2290" s="3" t="s">
        <v>66</v>
      </c>
      <c r="S2290" s="4">
        <v>5</v>
      </c>
      <c r="T2290" s="4">
        <v>5</v>
      </c>
      <c r="U2290" s="5" t="s">
        <v>85</v>
      </c>
      <c r="V2290" s="5" t="s">
        <v>85</v>
      </c>
      <c r="W2290" s="5" t="s">
        <v>67</v>
      </c>
      <c r="X2290" s="5" t="s">
        <v>67</v>
      </c>
      <c r="Y2290" s="4">
        <v>101</v>
      </c>
      <c r="Z2290" s="4">
        <v>8</v>
      </c>
      <c r="AA2290" s="4">
        <v>8</v>
      </c>
      <c r="AB2290" s="4">
        <v>1</v>
      </c>
      <c r="AC2290" s="4">
        <v>1</v>
      </c>
      <c r="AD2290" s="4">
        <v>43</v>
      </c>
      <c r="AE2290" s="4">
        <v>43</v>
      </c>
      <c r="AF2290" s="4">
        <v>0</v>
      </c>
      <c r="AG2290" s="4">
        <v>0</v>
      </c>
      <c r="AH2290" s="4">
        <v>41</v>
      </c>
      <c r="AI2290" s="4">
        <v>41</v>
      </c>
      <c r="AJ2290" s="4">
        <v>6</v>
      </c>
      <c r="AK2290" s="4">
        <v>6</v>
      </c>
      <c r="AL2290" s="4">
        <v>25</v>
      </c>
      <c r="AM2290" s="4">
        <v>25</v>
      </c>
      <c r="AN2290" s="4">
        <v>0</v>
      </c>
      <c r="AO2290" s="4">
        <v>0</v>
      </c>
      <c r="AP2290" s="4">
        <v>6</v>
      </c>
      <c r="AQ2290" s="4">
        <v>6</v>
      </c>
      <c r="AR2290" s="3" t="s">
        <v>62</v>
      </c>
      <c r="AS2290" s="3" t="s">
        <v>62</v>
      </c>
      <c r="AT2290" s="3" t="s">
        <v>61</v>
      </c>
      <c r="AU2290" s="6" t="str">
        <f>HYPERLINK("http://catalog.hathitrust.org/Record/006953253","HathiTrust Record")</f>
        <v>HathiTrust Record</v>
      </c>
      <c r="AV2290" s="6" t="str">
        <f>HYPERLINK("http://mcgill.on.worldcat.org/oclc/47272232","Catalog Record")</f>
        <v>Catalog Record</v>
      </c>
      <c r="AW2290" s="6" t="str">
        <f>HYPERLINK("http://www.worldcat.org/oclc/47272232","WorldCat Record")</f>
        <v>WorldCat Record</v>
      </c>
      <c r="AX2290" s="3" t="s">
        <v>22347</v>
      </c>
      <c r="AY2290" s="3" t="s">
        <v>22348</v>
      </c>
      <c r="AZ2290" s="3" t="s">
        <v>22349</v>
      </c>
      <c r="BA2290" s="3" t="s">
        <v>22349</v>
      </c>
      <c r="BB2290" s="3" t="s">
        <v>22350</v>
      </c>
      <c r="BC2290" s="3" t="s">
        <v>142</v>
      </c>
      <c r="BD2290" s="3" t="s">
        <v>68</v>
      </c>
      <c r="BE2290" s="3" t="s">
        <v>22351</v>
      </c>
      <c r="BF2290" s="3" t="s">
        <v>22350</v>
      </c>
      <c r="BG2290" s="3" t="s">
        <v>22352</v>
      </c>
    </row>
    <row r="2291" spans="1:59" ht="57" x14ac:dyDescent="0.45">
      <c r="A2291" s="2" t="s">
        <v>59</v>
      </c>
      <c r="B2291" s="2" t="s">
        <v>60</v>
      </c>
      <c r="C2291" s="2" t="s">
        <v>22353</v>
      </c>
      <c r="D2291" s="2" t="s">
        <v>22354</v>
      </c>
      <c r="E2291" s="2" t="s">
        <v>22355</v>
      </c>
      <c r="G2291" s="3" t="s">
        <v>62</v>
      </c>
      <c r="I2291" s="3" t="s">
        <v>62</v>
      </c>
      <c r="J2291" s="3" t="s">
        <v>62</v>
      </c>
      <c r="K2291" s="3" t="s">
        <v>63</v>
      </c>
      <c r="L2291" s="2" t="s">
        <v>22356</v>
      </c>
      <c r="M2291" s="2" t="s">
        <v>8746</v>
      </c>
      <c r="N2291" s="3" t="s">
        <v>1437</v>
      </c>
      <c r="P2291" s="3" t="s">
        <v>65</v>
      </c>
      <c r="Q2291" s="2" t="s">
        <v>22357</v>
      </c>
      <c r="R2291" s="3" t="s">
        <v>66</v>
      </c>
      <c r="S2291" s="4">
        <v>18</v>
      </c>
      <c r="T2291" s="4">
        <v>18</v>
      </c>
      <c r="U2291" s="5" t="s">
        <v>2317</v>
      </c>
      <c r="V2291" s="5" t="s">
        <v>2317</v>
      </c>
      <c r="W2291" s="5" t="s">
        <v>67</v>
      </c>
      <c r="X2291" s="5" t="s">
        <v>67</v>
      </c>
      <c r="Y2291" s="4">
        <v>409</v>
      </c>
      <c r="Z2291" s="4">
        <v>21</v>
      </c>
      <c r="AA2291" s="4">
        <v>24</v>
      </c>
      <c r="AB2291" s="4">
        <v>3</v>
      </c>
      <c r="AC2291" s="4">
        <v>6</v>
      </c>
      <c r="AD2291" s="4">
        <v>113</v>
      </c>
      <c r="AE2291" s="4">
        <v>115</v>
      </c>
      <c r="AF2291" s="4">
        <v>2</v>
      </c>
      <c r="AG2291" s="4">
        <v>4</v>
      </c>
      <c r="AH2291" s="4">
        <v>102</v>
      </c>
      <c r="AI2291" s="4">
        <v>103</v>
      </c>
      <c r="AJ2291" s="4">
        <v>14</v>
      </c>
      <c r="AK2291" s="4">
        <v>16</v>
      </c>
      <c r="AL2291" s="4">
        <v>54</v>
      </c>
      <c r="AM2291" s="4">
        <v>54</v>
      </c>
      <c r="AN2291" s="4">
        <v>0</v>
      </c>
      <c r="AO2291" s="4">
        <v>0</v>
      </c>
      <c r="AP2291" s="4">
        <v>18</v>
      </c>
      <c r="AQ2291" s="4">
        <v>19</v>
      </c>
      <c r="AR2291" s="3" t="s">
        <v>62</v>
      </c>
      <c r="AS2291" s="3" t="s">
        <v>62</v>
      </c>
      <c r="AT2291" s="3" t="s">
        <v>62</v>
      </c>
      <c r="AV2291" s="6" t="str">
        <f>HYPERLINK("http://mcgill.on.worldcat.org/oclc/39116624","Catalog Record")</f>
        <v>Catalog Record</v>
      </c>
      <c r="AW2291" s="6" t="str">
        <f>HYPERLINK("http://www.worldcat.org/oclc/39116624","WorldCat Record")</f>
        <v>WorldCat Record</v>
      </c>
      <c r="AX2291" s="3" t="s">
        <v>22358</v>
      </c>
      <c r="AY2291" s="3" t="s">
        <v>22359</v>
      </c>
      <c r="AZ2291" s="3" t="s">
        <v>22360</v>
      </c>
      <c r="BA2291" s="3" t="s">
        <v>22360</v>
      </c>
      <c r="BB2291" s="3" t="s">
        <v>22361</v>
      </c>
      <c r="BC2291" s="3" t="s">
        <v>142</v>
      </c>
      <c r="BD2291" s="3" t="s">
        <v>68</v>
      </c>
      <c r="BE2291" s="3" t="s">
        <v>22362</v>
      </c>
      <c r="BF2291" s="3" t="s">
        <v>22361</v>
      </c>
      <c r="BG2291" s="3" t="s">
        <v>22363</v>
      </c>
    </row>
    <row r="2292" spans="1:59" ht="57" x14ac:dyDescent="0.45">
      <c r="A2292" s="2" t="s">
        <v>59</v>
      </c>
      <c r="B2292" s="2" t="s">
        <v>60</v>
      </c>
      <c r="C2292" s="2" t="s">
        <v>22364</v>
      </c>
      <c r="D2292" s="2" t="s">
        <v>22365</v>
      </c>
      <c r="E2292" s="2" t="s">
        <v>22366</v>
      </c>
      <c r="G2292" s="3" t="s">
        <v>62</v>
      </c>
      <c r="I2292" s="3" t="s">
        <v>62</v>
      </c>
      <c r="J2292" s="3" t="s">
        <v>62</v>
      </c>
      <c r="K2292" s="3" t="s">
        <v>63</v>
      </c>
      <c r="L2292" s="2" t="s">
        <v>22367</v>
      </c>
      <c r="M2292" s="2" t="s">
        <v>22368</v>
      </c>
      <c r="N2292" s="3" t="s">
        <v>820</v>
      </c>
      <c r="P2292" s="3" t="s">
        <v>65</v>
      </c>
      <c r="R2292" s="3" t="s">
        <v>66</v>
      </c>
      <c r="S2292" s="4">
        <v>8</v>
      </c>
      <c r="T2292" s="4">
        <v>8</v>
      </c>
      <c r="U2292" s="5" t="s">
        <v>17827</v>
      </c>
      <c r="V2292" s="5" t="s">
        <v>17827</v>
      </c>
      <c r="W2292" s="5" t="s">
        <v>67</v>
      </c>
      <c r="X2292" s="5" t="s">
        <v>67</v>
      </c>
      <c r="Y2292" s="4">
        <v>244</v>
      </c>
      <c r="Z2292" s="4">
        <v>21</v>
      </c>
      <c r="AA2292" s="4">
        <v>23</v>
      </c>
      <c r="AB2292" s="4">
        <v>2</v>
      </c>
      <c r="AC2292" s="4">
        <v>4</v>
      </c>
      <c r="AD2292" s="4">
        <v>89</v>
      </c>
      <c r="AE2292" s="4">
        <v>89</v>
      </c>
      <c r="AF2292" s="4">
        <v>1</v>
      </c>
      <c r="AG2292" s="4">
        <v>1</v>
      </c>
      <c r="AH2292" s="4">
        <v>80</v>
      </c>
      <c r="AI2292" s="4">
        <v>80</v>
      </c>
      <c r="AJ2292" s="4">
        <v>14</v>
      </c>
      <c r="AK2292" s="4">
        <v>14</v>
      </c>
      <c r="AL2292" s="4">
        <v>44</v>
      </c>
      <c r="AM2292" s="4">
        <v>44</v>
      </c>
      <c r="AN2292" s="4">
        <v>0</v>
      </c>
      <c r="AO2292" s="4">
        <v>0</v>
      </c>
      <c r="AP2292" s="4">
        <v>17</v>
      </c>
      <c r="AQ2292" s="4">
        <v>17</v>
      </c>
      <c r="AR2292" s="3" t="s">
        <v>62</v>
      </c>
      <c r="AS2292" s="3" t="s">
        <v>62</v>
      </c>
      <c r="AT2292" s="3" t="s">
        <v>62</v>
      </c>
      <c r="AV2292" s="6" t="str">
        <f>HYPERLINK("http://mcgill.on.worldcat.org/oclc/235945752","Catalog Record")</f>
        <v>Catalog Record</v>
      </c>
      <c r="AW2292" s="6" t="str">
        <f>HYPERLINK("http://www.worldcat.org/oclc/235945752","WorldCat Record")</f>
        <v>WorldCat Record</v>
      </c>
      <c r="AX2292" s="3" t="s">
        <v>22369</v>
      </c>
      <c r="AY2292" s="3" t="s">
        <v>22370</v>
      </c>
      <c r="AZ2292" s="3" t="s">
        <v>22371</v>
      </c>
      <c r="BA2292" s="3" t="s">
        <v>22371</v>
      </c>
      <c r="BB2292" s="3" t="s">
        <v>22372</v>
      </c>
      <c r="BC2292" s="3" t="s">
        <v>142</v>
      </c>
      <c r="BD2292" s="3" t="s">
        <v>68</v>
      </c>
      <c r="BE2292" s="3" t="s">
        <v>22373</v>
      </c>
      <c r="BF2292" s="3" t="s">
        <v>22372</v>
      </c>
      <c r="BG2292" s="3" t="s">
        <v>22374</v>
      </c>
    </row>
    <row r="2293" spans="1:59" ht="57" x14ac:dyDescent="0.45">
      <c r="A2293" s="2" t="s">
        <v>59</v>
      </c>
      <c r="B2293" s="2" t="s">
        <v>60</v>
      </c>
      <c r="C2293" s="2" t="s">
        <v>22375</v>
      </c>
      <c r="D2293" s="2" t="s">
        <v>22376</v>
      </c>
      <c r="E2293" s="2" t="s">
        <v>22377</v>
      </c>
      <c r="G2293" s="3" t="s">
        <v>62</v>
      </c>
      <c r="I2293" s="3" t="s">
        <v>62</v>
      </c>
      <c r="J2293" s="3" t="s">
        <v>62</v>
      </c>
      <c r="K2293" s="3" t="s">
        <v>63</v>
      </c>
      <c r="M2293" s="2" t="s">
        <v>22378</v>
      </c>
      <c r="N2293" s="3" t="s">
        <v>1253</v>
      </c>
      <c r="P2293" s="3" t="s">
        <v>65</v>
      </c>
      <c r="Q2293" s="2" t="s">
        <v>22379</v>
      </c>
      <c r="R2293" s="3" t="s">
        <v>66</v>
      </c>
      <c r="S2293" s="4">
        <v>34</v>
      </c>
      <c r="T2293" s="4">
        <v>34</v>
      </c>
      <c r="U2293" s="5" t="s">
        <v>2084</v>
      </c>
      <c r="V2293" s="5" t="s">
        <v>2084</v>
      </c>
      <c r="W2293" s="5" t="s">
        <v>67</v>
      </c>
      <c r="X2293" s="5" t="s">
        <v>67</v>
      </c>
      <c r="Y2293" s="4">
        <v>211</v>
      </c>
      <c r="Z2293" s="4">
        <v>17</v>
      </c>
      <c r="AA2293" s="4">
        <v>19</v>
      </c>
      <c r="AB2293" s="4">
        <v>2</v>
      </c>
      <c r="AC2293" s="4">
        <v>3</v>
      </c>
      <c r="AD2293" s="4">
        <v>82</v>
      </c>
      <c r="AE2293" s="4">
        <v>84</v>
      </c>
      <c r="AF2293" s="4">
        <v>1</v>
      </c>
      <c r="AG2293" s="4">
        <v>2</v>
      </c>
      <c r="AH2293" s="4">
        <v>74</v>
      </c>
      <c r="AI2293" s="4">
        <v>75</v>
      </c>
      <c r="AJ2293" s="4">
        <v>14</v>
      </c>
      <c r="AK2293" s="4">
        <v>16</v>
      </c>
      <c r="AL2293" s="4">
        <v>38</v>
      </c>
      <c r="AM2293" s="4">
        <v>38</v>
      </c>
      <c r="AN2293" s="4">
        <v>0</v>
      </c>
      <c r="AO2293" s="4">
        <v>0</v>
      </c>
      <c r="AP2293" s="4">
        <v>15</v>
      </c>
      <c r="AQ2293" s="4">
        <v>17</v>
      </c>
      <c r="AR2293" s="3" t="s">
        <v>62</v>
      </c>
      <c r="AS2293" s="3" t="s">
        <v>62</v>
      </c>
      <c r="AT2293" s="3" t="s">
        <v>61</v>
      </c>
      <c r="AU2293" s="6" t="str">
        <f>HYPERLINK("http://catalog.hathitrust.org/Record/003142156","HathiTrust Record")</f>
        <v>HathiTrust Record</v>
      </c>
      <c r="AV2293" s="6" t="str">
        <f>HYPERLINK("http://mcgill.on.worldcat.org/oclc/35223031","Catalog Record")</f>
        <v>Catalog Record</v>
      </c>
      <c r="AW2293" s="6" t="str">
        <f>HYPERLINK("http://www.worldcat.org/oclc/35223031","WorldCat Record")</f>
        <v>WorldCat Record</v>
      </c>
      <c r="AX2293" s="3" t="s">
        <v>22380</v>
      </c>
      <c r="AY2293" s="3" t="s">
        <v>22381</v>
      </c>
      <c r="AZ2293" s="3" t="s">
        <v>22382</v>
      </c>
      <c r="BA2293" s="3" t="s">
        <v>22382</v>
      </c>
      <c r="BB2293" s="3" t="s">
        <v>22383</v>
      </c>
      <c r="BC2293" s="3" t="s">
        <v>142</v>
      </c>
      <c r="BD2293" s="3" t="s">
        <v>68</v>
      </c>
      <c r="BE2293" s="3" t="s">
        <v>22384</v>
      </c>
      <c r="BF2293" s="3" t="s">
        <v>22383</v>
      </c>
      <c r="BG2293" s="3" t="s">
        <v>22385</v>
      </c>
    </row>
    <row r="2294" spans="1:59" ht="57" x14ac:dyDescent="0.45">
      <c r="A2294" s="2" t="s">
        <v>59</v>
      </c>
      <c r="B2294" s="2" t="s">
        <v>60</v>
      </c>
      <c r="C2294" s="2" t="s">
        <v>22386</v>
      </c>
      <c r="D2294" s="2" t="s">
        <v>22387</v>
      </c>
      <c r="E2294" s="2" t="s">
        <v>22388</v>
      </c>
      <c r="G2294" s="3" t="s">
        <v>62</v>
      </c>
      <c r="I2294" s="3" t="s">
        <v>62</v>
      </c>
      <c r="J2294" s="3" t="s">
        <v>62</v>
      </c>
      <c r="K2294" s="3" t="s">
        <v>63</v>
      </c>
      <c r="M2294" s="2" t="s">
        <v>20495</v>
      </c>
      <c r="N2294" s="3" t="s">
        <v>149</v>
      </c>
      <c r="P2294" s="3" t="s">
        <v>65</v>
      </c>
      <c r="R2294" s="3" t="s">
        <v>66</v>
      </c>
      <c r="S2294" s="4">
        <v>9</v>
      </c>
      <c r="T2294" s="4">
        <v>9</v>
      </c>
      <c r="U2294" s="5" t="s">
        <v>7393</v>
      </c>
      <c r="V2294" s="5" t="s">
        <v>7393</v>
      </c>
      <c r="W2294" s="5" t="s">
        <v>67</v>
      </c>
      <c r="X2294" s="5" t="s">
        <v>67</v>
      </c>
      <c r="Y2294" s="4">
        <v>305</v>
      </c>
      <c r="Z2294" s="4">
        <v>30</v>
      </c>
      <c r="AA2294" s="4">
        <v>62</v>
      </c>
      <c r="AB2294" s="4">
        <v>3</v>
      </c>
      <c r="AC2294" s="4">
        <v>10</v>
      </c>
      <c r="AD2294" s="4">
        <v>80</v>
      </c>
      <c r="AE2294" s="4">
        <v>99</v>
      </c>
      <c r="AF2294" s="4">
        <v>1</v>
      </c>
      <c r="AG2294" s="4">
        <v>3</v>
      </c>
      <c r="AH2294" s="4">
        <v>68</v>
      </c>
      <c r="AI2294" s="4">
        <v>79</v>
      </c>
      <c r="AJ2294" s="4">
        <v>15</v>
      </c>
      <c r="AK2294" s="4">
        <v>18</v>
      </c>
      <c r="AL2294" s="4">
        <v>36</v>
      </c>
      <c r="AM2294" s="4">
        <v>42</v>
      </c>
      <c r="AN2294" s="4">
        <v>0</v>
      </c>
      <c r="AO2294" s="4">
        <v>0</v>
      </c>
      <c r="AP2294" s="4">
        <v>20</v>
      </c>
      <c r="AQ2294" s="4">
        <v>29</v>
      </c>
      <c r="AR2294" s="3" t="s">
        <v>62</v>
      </c>
      <c r="AS2294" s="3" t="s">
        <v>62</v>
      </c>
      <c r="AT2294" s="3" t="s">
        <v>62</v>
      </c>
      <c r="AV2294" s="6" t="str">
        <f>HYPERLINK("http://mcgill.on.worldcat.org/oclc/351322151","Catalog Record")</f>
        <v>Catalog Record</v>
      </c>
      <c r="AW2294" s="6" t="str">
        <f>HYPERLINK("http://www.worldcat.org/oclc/351322151","WorldCat Record")</f>
        <v>WorldCat Record</v>
      </c>
      <c r="AX2294" s="3" t="s">
        <v>22389</v>
      </c>
      <c r="AY2294" s="3" t="s">
        <v>22390</v>
      </c>
      <c r="AZ2294" s="3" t="s">
        <v>22391</v>
      </c>
      <c r="BA2294" s="3" t="s">
        <v>22391</v>
      </c>
      <c r="BB2294" s="3" t="s">
        <v>22392</v>
      </c>
      <c r="BC2294" s="3" t="s">
        <v>142</v>
      </c>
      <c r="BD2294" s="3" t="s">
        <v>68</v>
      </c>
      <c r="BE2294" s="3" t="s">
        <v>22393</v>
      </c>
      <c r="BF2294" s="3" t="s">
        <v>22392</v>
      </c>
      <c r="BG2294" s="3" t="s">
        <v>22394</v>
      </c>
    </row>
    <row r="2295" spans="1:59" ht="57" x14ac:dyDescent="0.45">
      <c r="A2295" s="2" t="s">
        <v>59</v>
      </c>
      <c r="B2295" s="2" t="s">
        <v>60</v>
      </c>
      <c r="C2295" s="2" t="s">
        <v>22395</v>
      </c>
      <c r="D2295" s="2" t="s">
        <v>22396</v>
      </c>
      <c r="E2295" s="2" t="s">
        <v>22397</v>
      </c>
      <c r="G2295" s="3" t="s">
        <v>62</v>
      </c>
      <c r="I2295" s="3" t="s">
        <v>62</v>
      </c>
      <c r="J2295" s="3" t="s">
        <v>62</v>
      </c>
      <c r="K2295" s="3" t="s">
        <v>63</v>
      </c>
      <c r="L2295" s="2" t="s">
        <v>22398</v>
      </c>
      <c r="M2295" s="2" t="s">
        <v>22399</v>
      </c>
      <c r="N2295" s="3" t="s">
        <v>820</v>
      </c>
      <c r="P2295" s="3" t="s">
        <v>65</v>
      </c>
      <c r="R2295" s="3" t="s">
        <v>66</v>
      </c>
      <c r="S2295" s="4">
        <v>9</v>
      </c>
      <c r="T2295" s="4">
        <v>9</v>
      </c>
      <c r="U2295" s="5" t="s">
        <v>8454</v>
      </c>
      <c r="V2295" s="5" t="s">
        <v>8454</v>
      </c>
      <c r="W2295" s="5" t="s">
        <v>67</v>
      </c>
      <c r="X2295" s="5" t="s">
        <v>67</v>
      </c>
      <c r="Y2295" s="4">
        <v>229</v>
      </c>
      <c r="Z2295" s="4">
        <v>23</v>
      </c>
      <c r="AA2295" s="4">
        <v>57</v>
      </c>
      <c r="AB2295" s="4">
        <v>1</v>
      </c>
      <c r="AC2295" s="4">
        <v>9</v>
      </c>
      <c r="AD2295" s="4">
        <v>45</v>
      </c>
      <c r="AE2295" s="4">
        <v>62</v>
      </c>
      <c r="AF2295" s="4">
        <v>0</v>
      </c>
      <c r="AG2295" s="4">
        <v>2</v>
      </c>
      <c r="AH2295" s="4">
        <v>37</v>
      </c>
      <c r="AI2295" s="4">
        <v>45</v>
      </c>
      <c r="AJ2295" s="4">
        <v>11</v>
      </c>
      <c r="AK2295" s="4">
        <v>15</v>
      </c>
      <c r="AL2295" s="4">
        <v>17</v>
      </c>
      <c r="AM2295" s="4">
        <v>21</v>
      </c>
      <c r="AN2295" s="4">
        <v>0</v>
      </c>
      <c r="AO2295" s="4">
        <v>0</v>
      </c>
      <c r="AP2295" s="4">
        <v>15</v>
      </c>
      <c r="AQ2295" s="4">
        <v>24</v>
      </c>
      <c r="AR2295" s="3" t="s">
        <v>62</v>
      </c>
      <c r="AS2295" s="3" t="s">
        <v>62</v>
      </c>
      <c r="AT2295" s="3" t="s">
        <v>61</v>
      </c>
      <c r="AU2295" s="6" t="str">
        <f>HYPERLINK("http://catalog.hathitrust.org/Record/005660016","HathiTrust Record")</f>
        <v>HathiTrust Record</v>
      </c>
      <c r="AV2295" s="6" t="str">
        <f>HYPERLINK("http://mcgill.on.worldcat.org/oclc/156891251","Catalog Record")</f>
        <v>Catalog Record</v>
      </c>
      <c r="AW2295" s="6" t="str">
        <f>HYPERLINK("http://www.worldcat.org/oclc/156891251","WorldCat Record")</f>
        <v>WorldCat Record</v>
      </c>
      <c r="AX2295" s="3" t="s">
        <v>22400</v>
      </c>
      <c r="AY2295" s="3" t="s">
        <v>22401</v>
      </c>
      <c r="AZ2295" s="3" t="s">
        <v>22402</v>
      </c>
      <c r="BA2295" s="3" t="s">
        <v>22402</v>
      </c>
      <c r="BB2295" s="3" t="s">
        <v>22403</v>
      </c>
      <c r="BC2295" s="3" t="s">
        <v>142</v>
      </c>
      <c r="BD2295" s="3" t="s">
        <v>68</v>
      </c>
      <c r="BE2295" s="3" t="s">
        <v>22404</v>
      </c>
      <c r="BF2295" s="3" t="s">
        <v>22403</v>
      </c>
      <c r="BG2295" s="3" t="s">
        <v>22405</v>
      </c>
    </row>
    <row r="2296" spans="1:59" ht="57" x14ac:dyDescent="0.45">
      <c r="A2296" s="2" t="s">
        <v>59</v>
      </c>
      <c r="B2296" s="2" t="s">
        <v>60</v>
      </c>
      <c r="C2296" s="2" t="s">
        <v>22406</v>
      </c>
      <c r="D2296" s="2" t="s">
        <v>22407</v>
      </c>
      <c r="E2296" s="2" t="s">
        <v>22408</v>
      </c>
      <c r="G2296" s="3" t="s">
        <v>62</v>
      </c>
      <c r="I2296" s="3" t="s">
        <v>62</v>
      </c>
      <c r="J2296" s="3" t="s">
        <v>62</v>
      </c>
      <c r="K2296" s="3" t="s">
        <v>63</v>
      </c>
      <c r="M2296" s="2" t="s">
        <v>13295</v>
      </c>
      <c r="N2296" s="3" t="s">
        <v>894</v>
      </c>
      <c r="P2296" s="3" t="s">
        <v>65</v>
      </c>
      <c r="Q2296" s="2" t="s">
        <v>22409</v>
      </c>
      <c r="R2296" s="3" t="s">
        <v>66</v>
      </c>
      <c r="S2296" s="4">
        <v>3</v>
      </c>
      <c r="T2296" s="4">
        <v>3</v>
      </c>
      <c r="U2296" s="5" t="s">
        <v>18937</v>
      </c>
      <c r="V2296" s="5" t="s">
        <v>18937</v>
      </c>
      <c r="W2296" s="5" t="s">
        <v>67</v>
      </c>
      <c r="X2296" s="5" t="s">
        <v>67</v>
      </c>
      <c r="Y2296" s="4">
        <v>92</v>
      </c>
      <c r="Z2296" s="4">
        <v>12</v>
      </c>
      <c r="AA2296" s="4">
        <v>15</v>
      </c>
      <c r="AB2296" s="4">
        <v>1</v>
      </c>
      <c r="AC2296" s="4">
        <v>4</v>
      </c>
      <c r="AD2296" s="4">
        <v>38</v>
      </c>
      <c r="AE2296" s="4">
        <v>41</v>
      </c>
      <c r="AF2296" s="4">
        <v>0</v>
      </c>
      <c r="AG2296" s="4">
        <v>3</v>
      </c>
      <c r="AH2296" s="4">
        <v>35</v>
      </c>
      <c r="AI2296" s="4">
        <v>36</v>
      </c>
      <c r="AJ2296" s="4">
        <v>9</v>
      </c>
      <c r="AK2296" s="4">
        <v>12</v>
      </c>
      <c r="AL2296" s="4">
        <v>20</v>
      </c>
      <c r="AM2296" s="4">
        <v>20</v>
      </c>
      <c r="AN2296" s="4">
        <v>0</v>
      </c>
      <c r="AO2296" s="4">
        <v>0</v>
      </c>
      <c r="AP2296" s="4">
        <v>9</v>
      </c>
      <c r="AQ2296" s="4">
        <v>11</v>
      </c>
      <c r="AR2296" s="3" t="s">
        <v>62</v>
      </c>
      <c r="AS2296" s="3" t="s">
        <v>62</v>
      </c>
      <c r="AT2296" s="3" t="s">
        <v>62</v>
      </c>
      <c r="AV2296" s="6" t="str">
        <f>HYPERLINK("http://mcgill.on.worldcat.org/oclc/653121575","Catalog Record")</f>
        <v>Catalog Record</v>
      </c>
      <c r="AW2296" s="6" t="str">
        <f>HYPERLINK("http://www.worldcat.org/oclc/653121575","WorldCat Record")</f>
        <v>WorldCat Record</v>
      </c>
      <c r="AX2296" s="3" t="s">
        <v>22410</v>
      </c>
      <c r="AY2296" s="3" t="s">
        <v>22411</v>
      </c>
      <c r="AZ2296" s="3" t="s">
        <v>22412</v>
      </c>
      <c r="BA2296" s="3" t="s">
        <v>22412</v>
      </c>
      <c r="BB2296" s="3" t="s">
        <v>22413</v>
      </c>
      <c r="BC2296" s="3" t="s">
        <v>142</v>
      </c>
      <c r="BD2296" s="3" t="s">
        <v>68</v>
      </c>
      <c r="BE2296" s="3" t="s">
        <v>22414</v>
      </c>
      <c r="BF2296" s="3" t="s">
        <v>22413</v>
      </c>
      <c r="BG2296" s="3" t="s">
        <v>22415</v>
      </c>
    </row>
    <row r="2297" spans="1:59" ht="57" x14ac:dyDescent="0.45">
      <c r="A2297" s="2" t="s">
        <v>59</v>
      </c>
      <c r="B2297" s="2" t="s">
        <v>60</v>
      </c>
      <c r="C2297" s="2" t="s">
        <v>22416</v>
      </c>
      <c r="D2297" s="2" t="s">
        <v>22417</v>
      </c>
      <c r="E2297" s="2" t="s">
        <v>22418</v>
      </c>
      <c r="G2297" s="3" t="s">
        <v>62</v>
      </c>
      <c r="I2297" s="3" t="s">
        <v>62</v>
      </c>
      <c r="J2297" s="3" t="s">
        <v>62</v>
      </c>
      <c r="K2297" s="3" t="s">
        <v>63</v>
      </c>
      <c r="M2297" s="2" t="s">
        <v>4047</v>
      </c>
      <c r="N2297" s="3" t="s">
        <v>945</v>
      </c>
      <c r="P2297" s="3" t="s">
        <v>65</v>
      </c>
      <c r="R2297" s="3" t="s">
        <v>66</v>
      </c>
      <c r="S2297" s="4">
        <v>9</v>
      </c>
      <c r="T2297" s="4">
        <v>9</v>
      </c>
      <c r="U2297" s="5" t="s">
        <v>1134</v>
      </c>
      <c r="V2297" s="5" t="s">
        <v>1134</v>
      </c>
      <c r="W2297" s="5" t="s">
        <v>67</v>
      </c>
      <c r="X2297" s="5" t="s">
        <v>67</v>
      </c>
      <c r="Y2297" s="4">
        <v>219</v>
      </c>
      <c r="Z2297" s="4">
        <v>16</v>
      </c>
      <c r="AA2297" s="4">
        <v>18</v>
      </c>
      <c r="AB2297" s="4">
        <v>2</v>
      </c>
      <c r="AC2297" s="4">
        <v>4</v>
      </c>
      <c r="AD2297" s="4">
        <v>41</v>
      </c>
      <c r="AE2297" s="4">
        <v>43</v>
      </c>
      <c r="AF2297" s="4">
        <v>1</v>
      </c>
      <c r="AG2297" s="4">
        <v>3</v>
      </c>
      <c r="AH2297" s="4">
        <v>34</v>
      </c>
      <c r="AI2297" s="4">
        <v>35</v>
      </c>
      <c r="AJ2297" s="4">
        <v>10</v>
      </c>
      <c r="AK2297" s="4">
        <v>12</v>
      </c>
      <c r="AL2297" s="4">
        <v>18</v>
      </c>
      <c r="AM2297" s="4">
        <v>18</v>
      </c>
      <c r="AN2297" s="4">
        <v>0</v>
      </c>
      <c r="AO2297" s="4">
        <v>0</v>
      </c>
      <c r="AP2297" s="4">
        <v>12</v>
      </c>
      <c r="AQ2297" s="4">
        <v>13</v>
      </c>
      <c r="AR2297" s="3" t="s">
        <v>62</v>
      </c>
      <c r="AS2297" s="3" t="s">
        <v>62</v>
      </c>
      <c r="AT2297" s="3" t="s">
        <v>62</v>
      </c>
      <c r="AV2297" s="6" t="str">
        <f>HYPERLINK("http://mcgill.on.worldcat.org/oclc/76836011","Catalog Record")</f>
        <v>Catalog Record</v>
      </c>
      <c r="AW2297" s="6" t="str">
        <f>HYPERLINK("http://www.worldcat.org/oclc/76836011","WorldCat Record")</f>
        <v>WorldCat Record</v>
      </c>
      <c r="AX2297" s="3" t="s">
        <v>22419</v>
      </c>
      <c r="AY2297" s="3" t="s">
        <v>22420</v>
      </c>
      <c r="AZ2297" s="3" t="s">
        <v>22421</v>
      </c>
      <c r="BA2297" s="3" t="s">
        <v>22421</v>
      </c>
      <c r="BB2297" s="3" t="s">
        <v>22422</v>
      </c>
      <c r="BC2297" s="3" t="s">
        <v>142</v>
      </c>
      <c r="BD2297" s="3" t="s">
        <v>68</v>
      </c>
      <c r="BE2297" s="3" t="s">
        <v>22423</v>
      </c>
      <c r="BF2297" s="3" t="s">
        <v>22422</v>
      </c>
      <c r="BG2297" s="3" t="s">
        <v>22424</v>
      </c>
    </row>
    <row r="2298" spans="1:59" ht="57" x14ac:dyDescent="0.45">
      <c r="A2298" s="2" t="s">
        <v>59</v>
      </c>
      <c r="B2298" s="2" t="s">
        <v>60</v>
      </c>
      <c r="C2298" s="2" t="s">
        <v>22425</v>
      </c>
      <c r="D2298" s="2" t="s">
        <v>22426</v>
      </c>
      <c r="E2298" s="2" t="s">
        <v>22427</v>
      </c>
      <c r="G2298" s="3" t="s">
        <v>62</v>
      </c>
      <c r="I2298" s="3" t="s">
        <v>62</v>
      </c>
      <c r="J2298" s="3" t="s">
        <v>62</v>
      </c>
      <c r="K2298" s="3" t="s">
        <v>63</v>
      </c>
      <c r="M2298" s="2" t="s">
        <v>13251</v>
      </c>
      <c r="N2298" s="3" t="s">
        <v>149</v>
      </c>
      <c r="P2298" s="3" t="s">
        <v>65</v>
      </c>
      <c r="R2298" s="3" t="s">
        <v>66</v>
      </c>
      <c r="S2298" s="4">
        <v>4</v>
      </c>
      <c r="T2298" s="4">
        <v>4</v>
      </c>
      <c r="U2298" s="5" t="s">
        <v>22428</v>
      </c>
      <c r="V2298" s="5" t="s">
        <v>22428</v>
      </c>
      <c r="W2298" s="5" t="s">
        <v>67</v>
      </c>
      <c r="X2298" s="5" t="s">
        <v>67</v>
      </c>
      <c r="Y2298" s="4">
        <v>174</v>
      </c>
      <c r="Z2298" s="4">
        <v>24</v>
      </c>
      <c r="AA2298" s="4">
        <v>25</v>
      </c>
      <c r="AB2298" s="4">
        <v>2</v>
      </c>
      <c r="AC2298" s="4">
        <v>3</v>
      </c>
      <c r="AD2298" s="4">
        <v>69</v>
      </c>
      <c r="AE2298" s="4">
        <v>70</v>
      </c>
      <c r="AF2298" s="4">
        <v>1</v>
      </c>
      <c r="AG2298" s="4">
        <v>2</v>
      </c>
      <c r="AH2298" s="4">
        <v>59</v>
      </c>
      <c r="AI2298" s="4">
        <v>60</v>
      </c>
      <c r="AJ2298" s="4">
        <v>15</v>
      </c>
      <c r="AK2298" s="4">
        <v>16</v>
      </c>
      <c r="AL2298" s="4">
        <v>34</v>
      </c>
      <c r="AM2298" s="4">
        <v>34</v>
      </c>
      <c r="AN2298" s="4">
        <v>0</v>
      </c>
      <c r="AO2298" s="4">
        <v>0</v>
      </c>
      <c r="AP2298" s="4">
        <v>19</v>
      </c>
      <c r="AQ2298" s="4">
        <v>20</v>
      </c>
      <c r="AR2298" s="3" t="s">
        <v>62</v>
      </c>
      <c r="AS2298" s="3" t="s">
        <v>62</v>
      </c>
      <c r="AT2298" s="3" t="s">
        <v>62</v>
      </c>
      <c r="AV2298" s="6" t="str">
        <f>HYPERLINK("http://mcgill.on.worldcat.org/oclc/511608794","Catalog Record")</f>
        <v>Catalog Record</v>
      </c>
      <c r="AW2298" s="6" t="str">
        <f>HYPERLINK("http://www.worldcat.org/oclc/511608794","WorldCat Record")</f>
        <v>WorldCat Record</v>
      </c>
      <c r="AX2298" s="3" t="s">
        <v>22429</v>
      </c>
      <c r="AY2298" s="3" t="s">
        <v>22430</v>
      </c>
      <c r="AZ2298" s="3" t="s">
        <v>22431</v>
      </c>
      <c r="BA2298" s="3" t="s">
        <v>22431</v>
      </c>
      <c r="BB2298" s="3" t="s">
        <v>22432</v>
      </c>
      <c r="BC2298" s="3" t="s">
        <v>142</v>
      </c>
      <c r="BD2298" s="3" t="s">
        <v>68</v>
      </c>
      <c r="BE2298" s="3" t="s">
        <v>22433</v>
      </c>
      <c r="BF2298" s="3" t="s">
        <v>22432</v>
      </c>
      <c r="BG2298" s="3" t="s">
        <v>22434</v>
      </c>
    </row>
    <row r="2299" spans="1:59" ht="57" x14ac:dyDescent="0.45">
      <c r="A2299" s="2" t="s">
        <v>59</v>
      </c>
      <c r="B2299" s="2" t="s">
        <v>60</v>
      </c>
      <c r="C2299" s="2" t="s">
        <v>22435</v>
      </c>
      <c r="D2299" s="2" t="s">
        <v>22436</v>
      </c>
      <c r="E2299" s="2" t="s">
        <v>22437</v>
      </c>
      <c r="G2299" s="3" t="s">
        <v>62</v>
      </c>
      <c r="I2299" s="3" t="s">
        <v>62</v>
      </c>
      <c r="J2299" s="3" t="s">
        <v>62</v>
      </c>
      <c r="K2299" s="3" t="s">
        <v>63</v>
      </c>
      <c r="M2299" s="2" t="s">
        <v>22438</v>
      </c>
      <c r="N2299" s="3" t="s">
        <v>1478</v>
      </c>
      <c r="P2299" s="3" t="s">
        <v>65</v>
      </c>
      <c r="R2299" s="3" t="s">
        <v>66</v>
      </c>
      <c r="S2299" s="4">
        <v>50</v>
      </c>
      <c r="T2299" s="4">
        <v>50</v>
      </c>
      <c r="U2299" s="5" t="s">
        <v>20929</v>
      </c>
      <c r="V2299" s="5" t="s">
        <v>20929</v>
      </c>
      <c r="W2299" s="5" t="s">
        <v>67</v>
      </c>
      <c r="X2299" s="5" t="s">
        <v>67</v>
      </c>
      <c r="Y2299" s="4">
        <v>538</v>
      </c>
      <c r="Z2299" s="4">
        <v>30</v>
      </c>
      <c r="AA2299" s="4">
        <v>32</v>
      </c>
      <c r="AB2299" s="4">
        <v>2</v>
      </c>
      <c r="AC2299" s="4">
        <v>4</v>
      </c>
      <c r="AD2299" s="4">
        <v>120</v>
      </c>
      <c r="AE2299" s="4">
        <v>122</v>
      </c>
      <c r="AF2299" s="4">
        <v>1</v>
      </c>
      <c r="AG2299" s="4">
        <v>3</v>
      </c>
      <c r="AH2299" s="4">
        <v>105</v>
      </c>
      <c r="AI2299" s="4">
        <v>106</v>
      </c>
      <c r="AJ2299" s="4">
        <v>18</v>
      </c>
      <c r="AK2299" s="4">
        <v>20</v>
      </c>
      <c r="AL2299" s="4">
        <v>55</v>
      </c>
      <c r="AM2299" s="4">
        <v>55</v>
      </c>
      <c r="AN2299" s="4">
        <v>0</v>
      </c>
      <c r="AO2299" s="4">
        <v>0</v>
      </c>
      <c r="AP2299" s="4">
        <v>23</v>
      </c>
      <c r="AQ2299" s="4">
        <v>24</v>
      </c>
      <c r="AR2299" s="3" t="s">
        <v>62</v>
      </c>
      <c r="AS2299" s="3" t="s">
        <v>62</v>
      </c>
      <c r="AT2299" s="3" t="s">
        <v>61</v>
      </c>
      <c r="AU2299" s="6" t="str">
        <f>HYPERLINK("http://catalog.hathitrust.org/Record/003092945","HathiTrust Record")</f>
        <v>HathiTrust Record</v>
      </c>
      <c r="AV2299" s="6" t="str">
        <f>HYPERLINK("http://mcgill.on.worldcat.org/oclc/34283061","Catalog Record")</f>
        <v>Catalog Record</v>
      </c>
      <c r="AW2299" s="6" t="str">
        <f>HYPERLINK("http://www.worldcat.org/oclc/34283061","WorldCat Record")</f>
        <v>WorldCat Record</v>
      </c>
      <c r="AX2299" s="3" t="s">
        <v>22439</v>
      </c>
      <c r="AY2299" s="3" t="s">
        <v>22440</v>
      </c>
      <c r="AZ2299" s="3" t="s">
        <v>22441</v>
      </c>
      <c r="BA2299" s="3" t="s">
        <v>22441</v>
      </c>
      <c r="BB2299" s="3" t="s">
        <v>22442</v>
      </c>
      <c r="BC2299" s="3" t="s">
        <v>142</v>
      </c>
      <c r="BD2299" s="3" t="s">
        <v>308</v>
      </c>
      <c r="BE2299" s="3" t="s">
        <v>22443</v>
      </c>
      <c r="BF2299" s="3" t="s">
        <v>22442</v>
      </c>
      <c r="BG2299" s="3" t="s">
        <v>22444</v>
      </c>
    </row>
    <row r="2300" spans="1:59" ht="57" x14ac:dyDescent="0.45">
      <c r="A2300" s="2" t="s">
        <v>59</v>
      </c>
      <c r="B2300" s="2" t="s">
        <v>60</v>
      </c>
      <c r="C2300" s="2" t="s">
        <v>22445</v>
      </c>
      <c r="D2300" s="2" t="s">
        <v>22446</v>
      </c>
      <c r="E2300" s="2" t="s">
        <v>22447</v>
      </c>
      <c r="G2300" s="3" t="s">
        <v>62</v>
      </c>
      <c r="I2300" s="3" t="s">
        <v>62</v>
      </c>
      <c r="J2300" s="3" t="s">
        <v>61</v>
      </c>
      <c r="K2300" s="3" t="s">
        <v>63</v>
      </c>
      <c r="M2300" s="2" t="s">
        <v>22448</v>
      </c>
      <c r="N2300" s="3" t="s">
        <v>820</v>
      </c>
      <c r="O2300" s="2" t="s">
        <v>933</v>
      </c>
      <c r="P2300" s="3" t="s">
        <v>65</v>
      </c>
      <c r="R2300" s="3" t="s">
        <v>66</v>
      </c>
      <c r="S2300" s="4">
        <v>14</v>
      </c>
      <c r="T2300" s="4">
        <v>14</v>
      </c>
      <c r="U2300" s="5" t="s">
        <v>7393</v>
      </c>
      <c r="V2300" s="5" t="s">
        <v>7393</v>
      </c>
      <c r="W2300" s="5" t="s">
        <v>67</v>
      </c>
      <c r="X2300" s="5" t="s">
        <v>67</v>
      </c>
      <c r="Y2300" s="4">
        <v>238</v>
      </c>
      <c r="Z2300" s="4">
        <v>15</v>
      </c>
      <c r="AA2300" s="4">
        <v>38</v>
      </c>
      <c r="AB2300" s="4">
        <v>2</v>
      </c>
      <c r="AC2300" s="4">
        <v>6</v>
      </c>
      <c r="AD2300" s="4">
        <v>66</v>
      </c>
      <c r="AE2300" s="4">
        <v>127</v>
      </c>
      <c r="AF2300" s="4">
        <v>1</v>
      </c>
      <c r="AG2300" s="4">
        <v>5</v>
      </c>
      <c r="AH2300" s="4">
        <v>59</v>
      </c>
      <c r="AI2300" s="4">
        <v>109</v>
      </c>
      <c r="AJ2300" s="4">
        <v>9</v>
      </c>
      <c r="AK2300" s="4">
        <v>22</v>
      </c>
      <c r="AL2300" s="4">
        <v>38</v>
      </c>
      <c r="AM2300" s="4">
        <v>56</v>
      </c>
      <c r="AN2300" s="4">
        <v>0</v>
      </c>
      <c r="AO2300" s="4">
        <v>0</v>
      </c>
      <c r="AP2300" s="4">
        <v>10</v>
      </c>
      <c r="AQ2300" s="4">
        <v>26</v>
      </c>
      <c r="AR2300" s="3" t="s">
        <v>62</v>
      </c>
      <c r="AS2300" s="3" t="s">
        <v>62</v>
      </c>
      <c r="AT2300" s="3" t="s">
        <v>62</v>
      </c>
      <c r="AV2300" s="6" t="str">
        <f>HYPERLINK("http://mcgill.on.worldcat.org/oclc/124039131","Catalog Record")</f>
        <v>Catalog Record</v>
      </c>
      <c r="AW2300" s="6" t="str">
        <f>HYPERLINK("http://www.worldcat.org/oclc/124039131","WorldCat Record")</f>
        <v>WorldCat Record</v>
      </c>
      <c r="AX2300" s="3" t="s">
        <v>22449</v>
      </c>
      <c r="AY2300" s="3" t="s">
        <v>22450</v>
      </c>
      <c r="AZ2300" s="3" t="s">
        <v>22451</v>
      </c>
      <c r="BA2300" s="3" t="s">
        <v>22451</v>
      </c>
      <c r="BB2300" s="3" t="s">
        <v>22452</v>
      </c>
      <c r="BC2300" s="3" t="s">
        <v>142</v>
      </c>
      <c r="BD2300" s="3" t="s">
        <v>68</v>
      </c>
      <c r="BE2300" s="3" t="s">
        <v>22453</v>
      </c>
      <c r="BF2300" s="3" t="s">
        <v>22452</v>
      </c>
      <c r="BG2300" s="3" t="s">
        <v>22454</v>
      </c>
    </row>
    <row r="2301" spans="1:59" ht="57" x14ac:dyDescent="0.45">
      <c r="A2301" s="2" t="s">
        <v>59</v>
      </c>
      <c r="B2301" s="2" t="s">
        <v>60</v>
      </c>
      <c r="C2301" s="2" t="s">
        <v>22455</v>
      </c>
      <c r="D2301" s="2" t="s">
        <v>22456</v>
      </c>
      <c r="E2301" s="2" t="s">
        <v>22457</v>
      </c>
      <c r="G2301" s="3" t="s">
        <v>62</v>
      </c>
      <c r="I2301" s="3" t="s">
        <v>62</v>
      </c>
      <c r="J2301" s="3" t="s">
        <v>62</v>
      </c>
      <c r="K2301" s="3" t="s">
        <v>63</v>
      </c>
      <c r="M2301" s="2" t="s">
        <v>22458</v>
      </c>
      <c r="N2301" s="3" t="s">
        <v>820</v>
      </c>
      <c r="P2301" s="3" t="s">
        <v>65</v>
      </c>
      <c r="Q2301" s="2" t="s">
        <v>22459</v>
      </c>
      <c r="R2301" s="3" t="s">
        <v>66</v>
      </c>
      <c r="S2301" s="4">
        <v>5</v>
      </c>
      <c r="T2301" s="4">
        <v>5</v>
      </c>
      <c r="U2301" s="5" t="s">
        <v>13822</v>
      </c>
      <c r="V2301" s="5" t="s">
        <v>13822</v>
      </c>
      <c r="W2301" s="5" t="s">
        <v>67</v>
      </c>
      <c r="X2301" s="5" t="s">
        <v>67</v>
      </c>
      <c r="Y2301" s="4">
        <v>143</v>
      </c>
      <c r="Z2301" s="4">
        <v>15</v>
      </c>
      <c r="AA2301" s="4">
        <v>16</v>
      </c>
      <c r="AB2301" s="4">
        <v>2</v>
      </c>
      <c r="AC2301" s="4">
        <v>3</v>
      </c>
      <c r="AD2301" s="4">
        <v>74</v>
      </c>
      <c r="AE2301" s="4">
        <v>75</v>
      </c>
      <c r="AF2301" s="4">
        <v>1</v>
      </c>
      <c r="AG2301" s="4">
        <v>2</v>
      </c>
      <c r="AH2301" s="4">
        <v>66</v>
      </c>
      <c r="AI2301" s="4">
        <v>66</v>
      </c>
      <c r="AJ2301" s="4">
        <v>13</v>
      </c>
      <c r="AK2301" s="4">
        <v>14</v>
      </c>
      <c r="AL2301" s="4">
        <v>39</v>
      </c>
      <c r="AM2301" s="4">
        <v>39</v>
      </c>
      <c r="AN2301" s="4">
        <v>0</v>
      </c>
      <c r="AO2301" s="4">
        <v>0</v>
      </c>
      <c r="AP2301" s="4">
        <v>14</v>
      </c>
      <c r="AQ2301" s="4">
        <v>14</v>
      </c>
      <c r="AR2301" s="3" t="s">
        <v>62</v>
      </c>
      <c r="AS2301" s="3" t="s">
        <v>62</v>
      </c>
      <c r="AT2301" s="3" t="s">
        <v>61</v>
      </c>
      <c r="AU2301" s="6" t="str">
        <f>HYPERLINK("http://catalog.hathitrust.org/Record/005910136","HathiTrust Record")</f>
        <v>HathiTrust Record</v>
      </c>
      <c r="AV2301" s="6" t="str">
        <f>HYPERLINK("http://mcgill.on.worldcat.org/oclc/187300292","Catalog Record")</f>
        <v>Catalog Record</v>
      </c>
      <c r="AW2301" s="6" t="str">
        <f>HYPERLINK("http://www.worldcat.org/oclc/187300292","WorldCat Record")</f>
        <v>WorldCat Record</v>
      </c>
      <c r="AX2301" s="3" t="s">
        <v>22460</v>
      </c>
      <c r="AY2301" s="3" t="s">
        <v>22461</v>
      </c>
      <c r="AZ2301" s="3" t="s">
        <v>22462</v>
      </c>
      <c r="BA2301" s="3" t="s">
        <v>22462</v>
      </c>
      <c r="BB2301" s="3" t="s">
        <v>22463</v>
      </c>
      <c r="BC2301" s="3" t="s">
        <v>142</v>
      </c>
      <c r="BD2301" s="3" t="s">
        <v>68</v>
      </c>
      <c r="BE2301" s="3" t="s">
        <v>22464</v>
      </c>
      <c r="BF2301" s="3" t="s">
        <v>22463</v>
      </c>
      <c r="BG2301" s="3" t="s">
        <v>22465</v>
      </c>
    </row>
    <row r="2302" spans="1:59" ht="57" x14ac:dyDescent="0.45">
      <c r="A2302" s="2" t="s">
        <v>59</v>
      </c>
      <c r="B2302" s="2" t="s">
        <v>60</v>
      </c>
      <c r="C2302" s="2" t="s">
        <v>22466</v>
      </c>
      <c r="D2302" s="2" t="s">
        <v>22467</v>
      </c>
      <c r="E2302" s="2" t="s">
        <v>22468</v>
      </c>
      <c r="G2302" s="3" t="s">
        <v>62</v>
      </c>
      <c r="I2302" s="3" t="s">
        <v>62</v>
      </c>
      <c r="J2302" s="3" t="s">
        <v>62</v>
      </c>
      <c r="K2302" s="3" t="s">
        <v>63</v>
      </c>
      <c r="M2302" s="2" t="s">
        <v>22469</v>
      </c>
      <c r="N2302" s="3" t="s">
        <v>149</v>
      </c>
      <c r="P2302" s="3" t="s">
        <v>65</v>
      </c>
      <c r="Q2302" s="2" t="s">
        <v>22470</v>
      </c>
      <c r="R2302" s="3" t="s">
        <v>66</v>
      </c>
      <c r="S2302" s="4">
        <v>5</v>
      </c>
      <c r="T2302" s="4">
        <v>5</v>
      </c>
      <c r="U2302" s="5" t="s">
        <v>4176</v>
      </c>
      <c r="V2302" s="5" t="s">
        <v>4176</v>
      </c>
      <c r="W2302" s="5" t="s">
        <v>67</v>
      </c>
      <c r="X2302" s="5" t="s">
        <v>67</v>
      </c>
      <c r="Y2302" s="4">
        <v>153</v>
      </c>
      <c r="Z2302" s="4">
        <v>13</v>
      </c>
      <c r="AA2302" s="4">
        <v>83</v>
      </c>
      <c r="AB2302" s="4">
        <v>2</v>
      </c>
      <c r="AC2302" s="4">
        <v>15</v>
      </c>
      <c r="AD2302" s="4">
        <v>56</v>
      </c>
      <c r="AE2302" s="4">
        <v>114</v>
      </c>
      <c r="AF2302" s="4">
        <v>1</v>
      </c>
      <c r="AG2302" s="4">
        <v>8</v>
      </c>
      <c r="AH2302" s="4">
        <v>49</v>
      </c>
      <c r="AI2302" s="4">
        <v>79</v>
      </c>
      <c r="AJ2302" s="4">
        <v>9</v>
      </c>
      <c r="AK2302" s="4">
        <v>24</v>
      </c>
      <c r="AL2302" s="4">
        <v>29</v>
      </c>
      <c r="AM2302" s="4">
        <v>39</v>
      </c>
      <c r="AN2302" s="4">
        <v>0</v>
      </c>
      <c r="AO2302" s="4">
        <v>0</v>
      </c>
      <c r="AP2302" s="4">
        <v>10</v>
      </c>
      <c r="AQ2302" s="4">
        <v>44</v>
      </c>
      <c r="AR2302" s="3" t="s">
        <v>62</v>
      </c>
      <c r="AS2302" s="3" t="s">
        <v>62</v>
      </c>
      <c r="AT2302" s="3" t="s">
        <v>62</v>
      </c>
      <c r="AV2302" s="6" t="str">
        <f>HYPERLINK("http://mcgill.on.worldcat.org/oclc/432315141","Catalog Record")</f>
        <v>Catalog Record</v>
      </c>
      <c r="AW2302" s="6" t="str">
        <f>HYPERLINK("http://www.worldcat.org/oclc/432315141","WorldCat Record")</f>
        <v>WorldCat Record</v>
      </c>
      <c r="AX2302" s="3" t="s">
        <v>22471</v>
      </c>
      <c r="AY2302" s="3" t="s">
        <v>22472</v>
      </c>
      <c r="AZ2302" s="3" t="s">
        <v>22473</v>
      </c>
      <c r="BA2302" s="3" t="s">
        <v>22473</v>
      </c>
      <c r="BB2302" s="3" t="s">
        <v>22474</v>
      </c>
      <c r="BC2302" s="3" t="s">
        <v>142</v>
      </c>
      <c r="BD2302" s="3" t="s">
        <v>68</v>
      </c>
      <c r="BE2302" s="3" t="s">
        <v>22475</v>
      </c>
      <c r="BF2302" s="3" t="s">
        <v>22474</v>
      </c>
      <c r="BG2302" s="3" t="s">
        <v>22476</v>
      </c>
    </row>
    <row r="2303" spans="1:59" ht="57" x14ac:dyDescent="0.45">
      <c r="A2303" s="2" t="s">
        <v>59</v>
      </c>
      <c r="B2303" s="2" t="s">
        <v>60</v>
      </c>
      <c r="C2303" s="2" t="s">
        <v>22477</v>
      </c>
      <c r="D2303" s="2" t="s">
        <v>22478</v>
      </c>
      <c r="E2303" s="2" t="s">
        <v>22479</v>
      </c>
      <c r="G2303" s="3" t="s">
        <v>62</v>
      </c>
      <c r="I2303" s="3" t="s">
        <v>62</v>
      </c>
      <c r="J2303" s="3" t="s">
        <v>62</v>
      </c>
      <c r="K2303" s="3" t="s">
        <v>63</v>
      </c>
      <c r="M2303" s="2" t="s">
        <v>13251</v>
      </c>
      <c r="N2303" s="3" t="s">
        <v>149</v>
      </c>
      <c r="P2303" s="3" t="s">
        <v>65</v>
      </c>
      <c r="Q2303" s="2" t="s">
        <v>22480</v>
      </c>
      <c r="R2303" s="3" t="s">
        <v>66</v>
      </c>
      <c r="S2303" s="4">
        <v>2</v>
      </c>
      <c r="T2303" s="4">
        <v>2</v>
      </c>
      <c r="U2303" s="5" t="s">
        <v>22481</v>
      </c>
      <c r="V2303" s="5" t="s">
        <v>22481</v>
      </c>
      <c r="W2303" s="5" t="s">
        <v>67</v>
      </c>
      <c r="X2303" s="5" t="s">
        <v>67</v>
      </c>
      <c r="Y2303" s="4">
        <v>131</v>
      </c>
      <c r="Z2303" s="4">
        <v>13</v>
      </c>
      <c r="AA2303" s="4">
        <v>13</v>
      </c>
      <c r="AB2303" s="4">
        <v>2</v>
      </c>
      <c r="AC2303" s="4">
        <v>2</v>
      </c>
      <c r="AD2303" s="4">
        <v>51</v>
      </c>
      <c r="AE2303" s="4">
        <v>51</v>
      </c>
      <c r="AF2303" s="4">
        <v>1</v>
      </c>
      <c r="AG2303" s="4">
        <v>1</v>
      </c>
      <c r="AH2303" s="4">
        <v>46</v>
      </c>
      <c r="AI2303" s="4">
        <v>46</v>
      </c>
      <c r="AJ2303" s="4">
        <v>11</v>
      </c>
      <c r="AK2303" s="4">
        <v>11</v>
      </c>
      <c r="AL2303" s="4">
        <v>26</v>
      </c>
      <c r="AM2303" s="4">
        <v>26</v>
      </c>
      <c r="AN2303" s="4">
        <v>0</v>
      </c>
      <c r="AO2303" s="4">
        <v>0</v>
      </c>
      <c r="AP2303" s="4">
        <v>11</v>
      </c>
      <c r="AQ2303" s="4">
        <v>11</v>
      </c>
      <c r="AR2303" s="3" t="s">
        <v>62</v>
      </c>
      <c r="AS2303" s="3" t="s">
        <v>62</v>
      </c>
      <c r="AT2303" s="3" t="s">
        <v>62</v>
      </c>
      <c r="AV2303" s="6" t="str">
        <f>HYPERLINK("http://mcgill.on.worldcat.org/oclc/645247821","Catalog Record")</f>
        <v>Catalog Record</v>
      </c>
      <c r="AW2303" s="6" t="str">
        <f>HYPERLINK("http://www.worldcat.org/oclc/645247821","WorldCat Record")</f>
        <v>WorldCat Record</v>
      </c>
      <c r="AX2303" s="3" t="s">
        <v>22482</v>
      </c>
      <c r="AY2303" s="3" t="s">
        <v>22483</v>
      </c>
      <c r="AZ2303" s="3" t="s">
        <v>22484</v>
      </c>
      <c r="BA2303" s="3" t="s">
        <v>22484</v>
      </c>
      <c r="BB2303" s="3" t="s">
        <v>22485</v>
      </c>
      <c r="BC2303" s="3" t="s">
        <v>142</v>
      </c>
      <c r="BD2303" s="3" t="s">
        <v>68</v>
      </c>
      <c r="BE2303" s="3" t="s">
        <v>22486</v>
      </c>
      <c r="BF2303" s="3" t="s">
        <v>22485</v>
      </c>
      <c r="BG2303" s="3" t="s">
        <v>22487</v>
      </c>
    </row>
    <row r="2304" spans="1:59" ht="57" x14ac:dyDescent="0.45">
      <c r="A2304" s="2" t="s">
        <v>59</v>
      </c>
      <c r="B2304" s="2" t="s">
        <v>60</v>
      </c>
      <c r="C2304" s="2" t="s">
        <v>22488</v>
      </c>
      <c r="D2304" s="2" t="s">
        <v>22489</v>
      </c>
      <c r="E2304" s="2" t="s">
        <v>22490</v>
      </c>
      <c r="G2304" s="3" t="s">
        <v>62</v>
      </c>
      <c r="I2304" s="3" t="s">
        <v>62</v>
      </c>
      <c r="J2304" s="3" t="s">
        <v>62</v>
      </c>
      <c r="K2304" s="3" t="s">
        <v>63</v>
      </c>
      <c r="L2304" s="2" t="s">
        <v>22491</v>
      </c>
      <c r="M2304" s="2" t="s">
        <v>22492</v>
      </c>
      <c r="N2304" s="3" t="s">
        <v>1465</v>
      </c>
      <c r="P2304" s="3" t="s">
        <v>65</v>
      </c>
      <c r="Q2304" s="2" t="s">
        <v>13183</v>
      </c>
      <c r="R2304" s="3" t="s">
        <v>66</v>
      </c>
      <c r="S2304" s="4">
        <v>2</v>
      </c>
      <c r="T2304" s="4">
        <v>2</v>
      </c>
      <c r="U2304" s="5" t="s">
        <v>17815</v>
      </c>
      <c r="V2304" s="5" t="s">
        <v>17815</v>
      </c>
      <c r="W2304" s="5" t="s">
        <v>67</v>
      </c>
      <c r="X2304" s="5" t="s">
        <v>67</v>
      </c>
      <c r="Y2304" s="4">
        <v>253</v>
      </c>
      <c r="Z2304" s="4">
        <v>24</v>
      </c>
      <c r="AA2304" s="4">
        <v>26</v>
      </c>
      <c r="AB2304" s="4">
        <v>3</v>
      </c>
      <c r="AC2304" s="4">
        <v>5</v>
      </c>
      <c r="AD2304" s="4">
        <v>84</v>
      </c>
      <c r="AE2304" s="4">
        <v>85</v>
      </c>
      <c r="AF2304" s="4">
        <v>1</v>
      </c>
      <c r="AG2304" s="4">
        <v>1</v>
      </c>
      <c r="AH2304" s="4">
        <v>72</v>
      </c>
      <c r="AI2304" s="4">
        <v>73</v>
      </c>
      <c r="AJ2304" s="4">
        <v>16</v>
      </c>
      <c r="AK2304" s="4">
        <v>16</v>
      </c>
      <c r="AL2304" s="4">
        <v>42</v>
      </c>
      <c r="AM2304" s="4">
        <v>43</v>
      </c>
      <c r="AN2304" s="4">
        <v>0</v>
      </c>
      <c r="AO2304" s="4">
        <v>0</v>
      </c>
      <c r="AP2304" s="4">
        <v>20</v>
      </c>
      <c r="AQ2304" s="4">
        <v>20</v>
      </c>
      <c r="AR2304" s="3" t="s">
        <v>62</v>
      </c>
      <c r="AS2304" s="3" t="s">
        <v>62</v>
      </c>
      <c r="AT2304" s="3" t="s">
        <v>61</v>
      </c>
      <c r="AU2304" s="6" t="str">
        <f>HYPERLINK("http://catalog.hathitrust.org/Record/006804093","HathiTrust Record")</f>
        <v>HathiTrust Record</v>
      </c>
      <c r="AV2304" s="6" t="str">
        <f>HYPERLINK("http://mcgill.on.worldcat.org/oclc/298324442","Catalog Record")</f>
        <v>Catalog Record</v>
      </c>
      <c r="AW2304" s="6" t="str">
        <f>HYPERLINK("http://www.worldcat.org/oclc/298324442","WorldCat Record")</f>
        <v>WorldCat Record</v>
      </c>
      <c r="AX2304" s="3" t="s">
        <v>22493</v>
      </c>
      <c r="AY2304" s="3" t="s">
        <v>22494</v>
      </c>
      <c r="AZ2304" s="3" t="s">
        <v>22495</v>
      </c>
      <c r="BA2304" s="3" t="s">
        <v>22495</v>
      </c>
      <c r="BB2304" s="3" t="s">
        <v>22496</v>
      </c>
      <c r="BC2304" s="3" t="s">
        <v>142</v>
      </c>
      <c r="BD2304" s="3" t="s">
        <v>68</v>
      </c>
      <c r="BE2304" s="3" t="s">
        <v>22497</v>
      </c>
      <c r="BF2304" s="3" t="s">
        <v>22496</v>
      </c>
      <c r="BG2304" s="3" t="s">
        <v>22498</v>
      </c>
    </row>
    <row r="2305" spans="1:59" ht="57" x14ac:dyDescent="0.45">
      <c r="A2305" s="2" t="s">
        <v>59</v>
      </c>
      <c r="B2305" s="2" t="s">
        <v>60</v>
      </c>
      <c r="C2305" s="2" t="s">
        <v>22499</v>
      </c>
      <c r="D2305" s="2" t="s">
        <v>22500</v>
      </c>
      <c r="E2305" s="2" t="s">
        <v>22501</v>
      </c>
      <c r="G2305" s="3" t="s">
        <v>62</v>
      </c>
      <c r="I2305" s="3" t="s">
        <v>62</v>
      </c>
      <c r="J2305" s="3" t="s">
        <v>62</v>
      </c>
      <c r="K2305" s="3" t="s">
        <v>63</v>
      </c>
      <c r="L2305" s="2" t="s">
        <v>22502</v>
      </c>
      <c r="M2305" s="2" t="s">
        <v>22503</v>
      </c>
      <c r="N2305" s="3" t="s">
        <v>820</v>
      </c>
      <c r="P2305" s="3" t="s">
        <v>65</v>
      </c>
      <c r="R2305" s="3" t="s">
        <v>66</v>
      </c>
      <c r="S2305" s="4">
        <v>15</v>
      </c>
      <c r="T2305" s="4">
        <v>15</v>
      </c>
      <c r="U2305" s="5" t="s">
        <v>22504</v>
      </c>
      <c r="V2305" s="5" t="s">
        <v>22504</v>
      </c>
      <c r="W2305" s="5" t="s">
        <v>67</v>
      </c>
      <c r="X2305" s="5" t="s">
        <v>67</v>
      </c>
      <c r="Y2305" s="4">
        <v>345</v>
      </c>
      <c r="Z2305" s="4">
        <v>27</v>
      </c>
      <c r="AA2305" s="4">
        <v>31</v>
      </c>
      <c r="AB2305" s="4">
        <v>2</v>
      </c>
      <c r="AC2305" s="4">
        <v>5</v>
      </c>
      <c r="AD2305" s="4">
        <v>87</v>
      </c>
      <c r="AE2305" s="4">
        <v>88</v>
      </c>
      <c r="AF2305" s="4">
        <v>1</v>
      </c>
      <c r="AG2305" s="4">
        <v>2</v>
      </c>
      <c r="AH2305" s="4">
        <v>73</v>
      </c>
      <c r="AI2305" s="4">
        <v>73</v>
      </c>
      <c r="AJ2305" s="4">
        <v>15</v>
      </c>
      <c r="AK2305" s="4">
        <v>16</v>
      </c>
      <c r="AL2305" s="4">
        <v>41</v>
      </c>
      <c r="AM2305" s="4">
        <v>41</v>
      </c>
      <c r="AN2305" s="4">
        <v>0</v>
      </c>
      <c r="AO2305" s="4">
        <v>0</v>
      </c>
      <c r="AP2305" s="4">
        <v>21</v>
      </c>
      <c r="AQ2305" s="4">
        <v>21</v>
      </c>
      <c r="AR2305" s="3" t="s">
        <v>62</v>
      </c>
      <c r="AS2305" s="3" t="s">
        <v>62</v>
      </c>
      <c r="AT2305" s="3" t="s">
        <v>62</v>
      </c>
      <c r="AV2305" s="6" t="str">
        <f>HYPERLINK("http://mcgill.on.worldcat.org/oclc/228224817","Catalog Record")</f>
        <v>Catalog Record</v>
      </c>
      <c r="AW2305" s="6" t="str">
        <f>HYPERLINK("http://www.worldcat.org/oclc/228224817","WorldCat Record")</f>
        <v>WorldCat Record</v>
      </c>
      <c r="AX2305" s="3" t="s">
        <v>22505</v>
      </c>
      <c r="AY2305" s="3" t="s">
        <v>22506</v>
      </c>
      <c r="AZ2305" s="3" t="s">
        <v>22507</v>
      </c>
      <c r="BA2305" s="3" t="s">
        <v>22507</v>
      </c>
      <c r="BB2305" s="3" t="s">
        <v>22508</v>
      </c>
      <c r="BC2305" s="3" t="s">
        <v>142</v>
      </c>
      <c r="BD2305" s="3" t="s">
        <v>68</v>
      </c>
      <c r="BE2305" s="3" t="s">
        <v>22509</v>
      </c>
      <c r="BF2305" s="3" t="s">
        <v>22508</v>
      </c>
      <c r="BG2305" s="3" t="s">
        <v>22510</v>
      </c>
    </row>
    <row r="2306" spans="1:59" ht="57" x14ac:dyDescent="0.45">
      <c r="A2306" s="2" t="s">
        <v>59</v>
      </c>
      <c r="B2306" s="2" t="s">
        <v>60</v>
      </c>
      <c r="C2306" s="2" t="s">
        <v>22511</v>
      </c>
      <c r="D2306" s="2" t="s">
        <v>22512</v>
      </c>
      <c r="E2306" s="2" t="s">
        <v>22513</v>
      </c>
      <c r="G2306" s="3" t="s">
        <v>62</v>
      </c>
      <c r="I2306" s="3" t="s">
        <v>61</v>
      </c>
      <c r="J2306" s="3" t="s">
        <v>62</v>
      </c>
      <c r="K2306" s="3" t="s">
        <v>63</v>
      </c>
      <c r="L2306" s="2" t="s">
        <v>22514</v>
      </c>
      <c r="M2306" s="2" t="s">
        <v>14447</v>
      </c>
      <c r="N2306" s="3" t="s">
        <v>2417</v>
      </c>
      <c r="P2306" s="3" t="s">
        <v>65</v>
      </c>
      <c r="Q2306" s="2" t="s">
        <v>6478</v>
      </c>
      <c r="R2306" s="3" t="s">
        <v>66</v>
      </c>
      <c r="S2306" s="4">
        <v>28</v>
      </c>
      <c r="T2306" s="4">
        <v>29</v>
      </c>
      <c r="U2306" s="5" t="s">
        <v>21004</v>
      </c>
      <c r="V2306" s="5" t="s">
        <v>21004</v>
      </c>
      <c r="W2306" s="5" t="s">
        <v>67</v>
      </c>
      <c r="X2306" s="5" t="s">
        <v>67</v>
      </c>
      <c r="Y2306" s="4">
        <v>386</v>
      </c>
      <c r="Z2306" s="4">
        <v>30</v>
      </c>
      <c r="AA2306" s="4">
        <v>32</v>
      </c>
      <c r="AB2306" s="4">
        <v>3</v>
      </c>
      <c r="AC2306" s="4">
        <v>5</v>
      </c>
      <c r="AD2306" s="4">
        <v>123</v>
      </c>
      <c r="AE2306" s="4">
        <v>125</v>
      </c>
      <c r="AF2306" s="4">
        <v>2</v>
      </c>
      <c r="AG2306" s="4">
        <v>4</v>
      </c>
      <c r="AH2306" s="4">
        <v>107</v>
      </c>
      <c r="AI2306" s="4">
        <v>107</v>
      </c>
      <c r="AJ2306" s="4">
        <v>17</v>
      </c>
      <c r="AK2306" s="4">
        <v>19</v>
      </c>
      <c r="AL2306" s="4">
        <v>58</v>
      </c>
      <c r="AM2306" s="4">
        <v>58</v>
      </c>
      <c r="AN2306" s="4">
        <v>0</v>
      </c>
      <c r="AO2306" s="4">
        <v>0</v>
      </c>
      <c r="AP2306" s="4">
        <v>24</v>
      </c>
      <c r="AQ2306" s="4">
        <v>25</v>
      </c>
      <c r="AR2306" s="3" t="s">
        <v>62</v>
      </c>
      <c r="AS2306" s="3" t="s">
        <v>62</v>
      </c>
      <c r="AT2306" s="3" t="s">
        <v>62</v>
      </c>
      <c r="AV2306" s="6" t="str">
        <f>HYPERLINK("http://mcgill.on.worldcat.org/oclc/17354250","Catalog Record")</f>
        <v>Catalog Record</v>
      </c>
      <c r="AW2306" s="6" t="str">
        <f>HYPERLINK("http://www.worldcat.org/oclc/17354250","WorldCat Record")</f>
        <v>WorldCat Record</v>
      </c>
      <c r="AX2306" s="3" t="s">
        <v>22515</v>
      </c>
      <c r="AY2306" s="3" t="s">
        <v>22516</v>
      </c>
      <c r="AZ2306" s="3" t="s">
        <v>22517</v>
      </c>
      <c r="BA2306" s="3" t="s">
        <v>22517</v>
      </c>
      <c r="BB2306" s="3" t="s">
        <v>22518</v>
      </c>
      <c r="BC2306" s="3" t="s">
        <v>142</v>
      </c>
      <c r="BD2306" s="3" t="s">
        <v>68</v>
      </c>
      <c r="BE2306" s="3" t="s">
        <v>22519</v>
      </c>
      <c r="BF2306" s="3" t="s">
        <v>22518</v>
      </c>
      <c r="BG2306" s="3" t="s">
        <v>22520</v>
      </c>
    </row>
    <row r="2307" spans="1:59" ht="57" x14ac:dyDescent="0.45">
      <c r="A2307" s="2" t="s">
        <v>59</v>
      </c>
      <c r="B2307" s="2" t="s">
        <v>60</v>
      </c>
      <c r="C2307" s="2" t="s">
        <v>22511</v>
      </c>
      <c r="D2307" s="2" t="s">
        <v>22512</v>
      </c>
      <c r="E2307" s="2" t="s">
        <v>22513</v>
      </c>
      <c r="G2307" s="3" t="s">
        <v>62</v>
      </c>
      <c r="I2307" s="3" t="s">
        <v>61</v>
      </c>
      <c r="J2307" s="3" t="s">
        <v>62</v>
      </c>
      <c r="K2307" s="3" t="s">
        <v>63</v>
      </c>
      <c r="L2307" s="2" t="s">
        <v>22514</v>
      </c>
      <c r="M2307" s="2" t="s">
        <v>14447</v>
      </c>
      <c r="N2307" s="3" t="s">
        <v>2417</v>
      </c>
      <c r="P2307" s="3" t="s">
        <v>65</v>
      </c>
      <c r="Q2307" s="2" t="s">
        <v>6478</v>
      </c>
      <c r="R2307" s="3" t="s">
        <v>66</v>
      </c>
      <c r="S2307" s="4">
        <v>1</v>
      </c>
      <c r="T2307" s="4">
        <v>29</v>
      </c>
      <c r="U2307" s="5" t="s">
        <v>12352</v>
      </c>
      <c r="V2307" s="5" t="s">
        <v>21004</v>
      </c>
      <c r="W2307" s="5" t="s">
        <v>67</v>
      </c>
      <c r="X2307" s="5" t="s">
        <v>67</v>
      </c>
      <c r="Y2307" s="4">
        <v>386</v>
      </c>
      <c r="Z2307" s="4">
        <v>30</v>
      </c>
      <c r="AA2307" s="4">
        <v>32</v>
      </c>
      <c r="AB2307" s="4">
        <v>3</v>
      </c>
      <c r="AC2307" s="4">
        <v>5</v>
      </c>
      <c r="AD2307" s="4">
        <v>123</v>
      </c>
      <c r="AE2307" s="4">
        <v>125</v>
      </c>
      <c r="AF2307" s="4">
        <v>2</v>
      </c>
      <c r="AG2307" s="4">
        <v>4</v>
      </c>
      <c r="AH2307" s="4">
        <v>107</v>
      </c>
      <c r="AI2307" s="4">
        <v>107</v>
      </c>
      <c r="AJ2307" s="4">
        <v>17</v>
      </c>
      <c r="AK2307" s="4">
        <v>19</v>
      </c>
      <c r="AL2307" s="4">
        <v>58</v>
      </c>
      <c r="AM2307" s="4">
        <v>58</v>
      </c>
      <c r="AN2307" s="4">
        <v>0</v>
      </c>
      <c r="AO2307" s="4">
        <v>0</v>
      </c>
      <c r="AP2307" s="4">
        <v>24</v>
      </c>
      <c r="AQ2307" s="4">
        <v>25</v>
      </c>
      <c r="AR2307" s="3" t="s">
        <v>62</v>
      </c>
      <c r="AS2307" s="3" t="s">
        <v>62</v>
      </c>
      <c r="AT2307" s="3" t="s">
        <v>62</v>
      </c>
      <c r="AV2307" s="6" t="str">
        <f>HYPERLINK("http://mcgill.on.worldcat.org/oclc/17354250","Catalog Record")</f>
        <v>Catalog Record</v>
      </c>
      <c r="AW2307" s="6" t="str">
        <f>HYPERLINK("http://www.worldcat.org/oclc/17354250","WorldCat Record")</f>
        <v>WorldCat Record</v>
      </c>
      <c r="AX2307" s="3" t="s">
        <v>22515</v>
      </c>
      <c r="AY2307" s="3" t="s">
        <v>22516</v>
      </c>
      <c r="AZ2307" s="3" t="s">
        <v>22517</v>
      </c>
      <c r="BA2307" s="3" t="s">
        <v>22517</v>
      </c>
      <c r="BB2307" s="3" t="s">
        <v>22521</v>
      </c>
      <c r="BC2307" s="3" t="s">
        <v>142</v>
      </c>
      <c r="BD2307" s="3" t="s">
        <v>68</v>
      </c>
      <c r="BE2307" s="3" t="s">
        <v>22519</v>
      </c>
      <c r="BF2307" s="3" t="s">
        <v>22521</v>
      </c>
      <c r="BG2307" s="3" t="s">
        <v>22522</v>
      </c>
    </row>
    <row r="2308" spans="1:59" ht="57" x14ac:dyDescent="0.45">
      <c r="A2308" s="2" t="s">
        <v>59</v>
      </c>
      <c r="B2308" s="2" t="s">
        <v>60</v>
      </c>
      <c r="C2308" s="2" t="s">
        <v>22523</v>
      </c>
      <c r="D2308" s="2" t="s">
        <v>22524</v>
      </c>
      <c r="E2308" s="2" t="s">
        <v>22525</v>
      </c>
      <c r="G2308" s="3" t="s">
        <v>62</v>
      </c>
      <c r="I2308" s="3" t="s">
        <v>62</v>
      </c>
      <c r="J2308" s="3" t="s">
        <v>61</v>
      </c>
      <c r="K2308" s="3" t="s">
        <v>63</v>
      </c>
      <c r="L2308" s="2" t="s">
        <v>22526</v>
      </c>
      <c r="M2308" s="2" t="s">
        <v>3350</v>
      </c>
      <c r="N2308" s="3" t="s">
        <v>894</v>
      </c>
      <c r="O2308" s="2" t="s">
        <v>933</v>
      </c>
      <c r="P2308" s="3" t="s">
        <v>65</v>
      </c>
      <c r="R2308" s="3" t="s">
        <v>66</v>
      </c>
      <c r="S2308" s="4">
        <v>7</v>
      </c>
      <c r="T2308" s="4">
        <v>7</v>
      </c>
      <c r="U2308" s="5" t="s">
        <v>20293</v>
      </c>
      <c r="V2308" s="5" t="s">
        <v>20293</v>
      </c>
      <c r="W2308" s="5" t="s">
        <v>67</v>
      </c>
      <c r="X2308" s="5" t="s">
        <v>67</v>
      </c>
      <c r="Y2308" s="4">
        <v>354</v>
      </c>
      <c r="Z2308" s="4">
        <v>28</v>
      </c>
      <c r="AA2308" s="4">
        <v>52</v>
      </c>
      <c r="AB2308" s="4">
        <v>2</v>
      </c>
      <c r="AC2308" s="4">
        <v>9</v>
      </c>
      <c r="AD2308" s="4">
        <v>72</v>
      </c>
      <c r="AE2308" s="4">
        <v>132</v>
      </c>
      <c r="AF2308" s="4">
        <v>0</v>
      </c>
      <c r="AG2308" s="4">
        <v>4</v>
      </c>
      <c r="AH2308" s="4">
        <v>63</v>
      </c>
      <c r="AI2308" s="4">
        <v>105</v>
      </c>
      <c r="AJ2308" s="4">
        <v>13</v>
      </c>
      <c r="AK2308" s="4">
        <v>25</v>
      </c>
      <c r="AL2308" s="4">
        <v>33</v>
      </c>
      <c r="AM2308" s="4">
        <v>55</v>
      </c>
      <c r="AN2308" s="4">
        <v>0</v>
      </c>
      <c r="AO2308" s="4">
        <v>0</v>
      </c>
      <c r="AP2308" s="4">
        <v>17</v>
      </c>
      <c r="AQ2308" s="4">
        <v>35</v>
      </c>
      <c r="AR2308" s="3" t="s">
        <v>62</v>
      </c>
      <c r="AS2308" s="3" t="s">
        <v>62</v>
      </c>
      <c r="AT2308" s="3" t="s">
        <v>62</v>
      </c>
      <c r="AV2308" s="6" t="str">
        <f>HYPERLINK("http://mcgill.on.worldcat.org/oclc/696321804","Catalog Record")</f>
        <v>Catalog Record</v>
      </c>
      <c r="AW2308" s="6" t="str">
        <f>HYPERLINK("http://www.worldcat.org/oclc/696321804","WorldCat Record")</f>
        <v>WorldCat Record</v>
      </c>
      <c r="AX2308" s="3" t="s">
        <v>22527</v>
      </c>
      <c r="AY2308" s="3" t="s">
        <v>22528</v>
      </c>
      <c r="AZ2308" s="3" t="s">
        <v>22529</v>
      </c>
      <c r="BA2308" s="3" t="s">
        <v>22529</v>
      </c>
      <c r="BB2308" s="3" t="s">
        <v>22530</v>
      </c>
      <c r="BC2308" s="3" t="s">
        <v>142</v>
      </c>
      <c r="BD2308" s="3" t="s">
        <v>68</v>
      </c>
      <c r="BE2308" s="3" t="s">
        <v>22531</v>
      </c>
      <c r="BF2308" s="3" t="s">
        <v>22530</v>
      </c>
      <c r="BG2308" s="3" t="s">
        <v>22532</v>
      </c>
    </row>
    <row r="2309" spans="1:59" ht="57" x14ac:dyDescent="0.45">
      <c r="A2309" s="2" t="s">
        <v>59</v>
      </c>
      <c r="B2309" s="2" t="s">
        <v>60</v>
      </c>
      <c r="C2309" s="2" t="s">
        <v>22533</v>
      </c>
      <c r="D2309" s="2" t="s">
        <v>22534</v>
      </c>
      <c r="E2309" s="2" t="s">
        <v>22535</v>
      </c>
      <c r="G2309" s="3" t="s">
        <v>62</v>
      </c>
      <c r="I2309" s="3" t="s">
        <v>62</v>
      </c>
      <c r="J2309" s="3" t="s">
        <v>62</v>
      </c>
      <c r="K2309" s="3" t="s">
        <v>63</v>
      </c>
      <c r="M2309" s="2" t="s">
        <v>22536</v>
      </c>
      <c r="N2309" s="3" t="s">
        <v>1855</v>
      </c>
      <c r="P2309" s="3" t="s">
        <v>65</v>
      </c>
      <c r="Q2309" s="2" t="s">
        <v>22537</v>
      </c>
      <c r="R2309" s="3" t="s">
        <v>66</v>
      </c>
      <c r="S2309" s="4">
        <v>2</v>
      </c>
      <c r="T2309" s="4">
        <v>2</v>
      </c>
      <c r="U2309" s="5" t="s">
        <v>22538</v>
      </c>
      <c r="V2309" s="5" t="s">
        <v>22538</v>
      </c>
      <c r="W2309" s="5" t="s">
        <v>67</v>
      </c>
      <c r="X2309" s="5" t="s">
        <v>67</v>
      </c>
      <c r="Y2309" s="4">
        <v>85</v>
      </c>
      <c r="Z2309" s="4">
        <v>6</v>
      </c>
      <c r="AA2309" s="4">
        <v>62</v>
      </c>
      <c r="AB2309" s="4">
        <v>1</v>
      </c>
      <c r="AC2309" s="4">
        <v>17</v>
      </c>
      <c r="AD2309" s="4">
        <v>12</v>
      </c>
      <c r="AE2309" s="4">
        <v>53</v>
      </c>
      <c r="AF2309" s="4">
        <v>0</v>
      </c>
      <c r="AG2309" s="4">
        <v>9</v>
      </c>
      <c r="AH2309" s="4">
        <v>7</v>
      </c>
      <c r="AI2309" s="4">
        <v>13</v>
      </c>
      <c r="AJ2309" s="4">
        <v>2</v>
      </c>
      <c r="AK2309" s="4">
        <v>19</v>
      </c>
      <c r="AL2309" s="4">
        <v>6</v>
      </c>
      <c r="AM2309" s="4">
        <v>6</v>
      </c>
      <c r="AN2309" s="4">
        <v>0</v>
      </c>
      <c r="AO2309" s="4">
        <v>0</v>
      </c>
      <c r="AP2309" s="4">
        <v>5</v>
      </c>
      <c r="AQ2309" s="4">
        <v>43</v>
      </c>
      <c r="AR2309" s="3" t="s">
        <v>62</v>
      </c>
      <c r="AS2309" s="3" t="s">
        <v>62</v>
      </c>
      <c r="AT2309" s="3" t="s">
        <v>62</v>
      </c>
      <c r="AV2309" s="6" t="str">
        <f>HYPERLINK("http://mcgill.on.worldcat.org/oclc/61441044","Catalog Record")</f>
        <v>Catalog Record</v>
      </c>
      <c r="AW2309" s="6" t="str">
        <f>HYPERLINK("http://www.worldcat.org/oclc/61441044","WorldCat Record")</f>
        <v>WorldCat Record</v>
      </c>
      <c r="AX2309" s="3" t="s">
        <v>22539</v>
      </c>
      <c r="AY2309" s="3" t="s">
        <v>22540</v>
      </c>
      <c r="AZ2309" s="3" t="s">
        <v>22541</v>
      </c>
      <c r="BA2309" s="3" t="s">
        <v>22541</v>
      </c>
      <c r="BB2309" s="3" t="s">
        <v>22542</v>
      </c>
      <c r="BC2309" s="3" t="s">
        <v>142</v>
      </c>
      <c r="BD2309" s="3" t="s">
        <v>68</v>
      </c>
      <c r="BE2309" s="3" t="s">
        <v>22543</v>
      </c>
      <c r="BF2309" s="3" t="s">
        <v>22542</v>
      </c>
      <c r="BG2309" s="3" t="s">
        <v>22544</v>
      </c>
    </row>
    <row r="2310" spans="1:59" ht="57" x14ac:dyDescent="0.45">
      <c r="A2310" s="2" t="s">
        <v>59</v>
      </c>
      <c r="B2310" s="2" t="s">
        <v>60</v>
      </c>
      <c r="C2310" s="2" t="s">
        <v>22545</v>
      </c>
      <c r="D2310" s="2" t="s">
        <v>22546</v>
      </c>
      <c r="E2310" s="2" t="s">
        <v>22547</v>
      </c>
      <c r="G2310" s="3" t="s">
        <v>62</v>
      </c>
      <c r="I2310" s="3" t="s">
        <v>62</v>
      </c>
      <c r="J2310" s="3" t="s">
        <v>62</v>
      </c>
      <c r="K2310" s="3" t="s">
        <v>63</v>
      </c>
      <c r="M2310" s="2" t="s">
        <v>22548</v>
      </c>
      <c r="N2310" s="3" t="s">
        <v>1155</v>
      </c>
      <c r="P2310" s="3" t="s">
        <v>65</v>
      </c>
      <c r="Q2310" s="2" t="s">
        <v>22549</v>
      </c>
      <c r="R2310" s="3" t="s">
        <v>66</v>
      </c>
      <c r="S2310" s="4">
        <v>3</v>
      </c>
      <c r="T2310" s="4">
        <v>3</v>
      </c>
      <c r="U2310" s="5" t="s">
        <v>22550</v>
      </c>
      <c r="V2310" s="5" t="s">
        <v>22550</v>
      </c>
      <c r="W2310" s="5" t="s">
        <v>67</v>
      </c>
      <c r="X2310" s="5" t="s">
        <v>67</v>
      </c>
      <c r="Y2310" s="4">
        <v>132</v>
      </c>
      <c r="Z2310" s="4">
        <v>18</v>
      </c>
      <c r="AA2310" s="4">
        <v>80</v>
      </c>
      <c r="AB2310" s="4">
        <v>2</v>
      </c>
      <c r="AC2310" s="4">
        <v>15</v>
      </c>
      <c r="AD2310" s="4">
        <v>58</v>
      </c>
      <c r="AE2310" s="4">
        <v>117</v>
      </c>
      <c r="AF2310" s="4">
        <v>1</v>
      </c>
      <c r="AG2310" s="4">
        <v>8</v>
      </c>
      <c r="AH2310" s="4">
        <v>51</v>
      </c>
      <c r="AI2310" s="4">
        <v>83</v>
      </c>
      <c r="AJ2310" s="4">
        <v>14</v>
      </c>
      <c r="AK2310" s="4">
        <v>24</v>
      </c>
      <c r="AL2310" s="4">
        <v>34</v>
      </c>
      <c r="AM2310" s="4">
        <v>46</v>
      </c>
      <c r="AN2310" s="4">
        <v>0</v>
      </c>
      <c r="AO2310" s="4">
        <v>0</v>
      </c>
      <c r="AP2310" s="4">
        <v>16</v>
      </c>
      <c r="AQ2310" s="4">
        <v>44</v>
      </c>
      <c r="AR2310" s="3" t="s">
        <v>62</v>
      </c>
      <c r="AS2310" s="3" t="s">
        <v>62</v>
      </c>
      <c r="AT2310" s="3" t="s">
        <v>62</v>
      </c>
      <c r="AV2310" s="6" t="str">
        <f>HYPERLINK("http://mcgill.on.worldcat.org/oclc/786266640","Catalog Record")</f>
        <v>Catalog Record</v>
      </c>
      <c r="AW2310" s="6" t="str">
        <f>HYPERLINK("http://www.worldcat.org/oclc/786266640","WorldCat Record")</f>
        <v>WorldCat Record</v>
      </c>
      <c r="AX2310" s="3" t="s">
        <v>22551</v>
      </c>
      <c r="AY2310" s="3" t="s">
        <v>22552</v>
      </c>
      <c r="AZ2310" s="3" t="s">
        <v>22553</v>
      </c>
      <c r="BA2310" s="3" t="s">
        <v>22553</v>
      </c>
      <c r="BB2310" s="3" t="s">
        <v>22554</v>
      </c>
      <c r="BC2310" s="3" t="s">
        <v>142</v>
      </c>
      <c r="BD2310" s="3" t="s">
        <v>68</v>
      </c>
      <c r="BE2310" s="3" t="s">
        <v>22555</v>
      </c>
      <c r="BF2310" s="3" t="s">
        <v>22554</v>
      </c>
      <c r="BG2310" s="3" t="s">
        <v>22556</v>
      </c>
    </row>
    <row r="2311" spans="1:59" ht="57" x14ac:dyDescent="0.45">
      <c r="A2311" s="2" t="s">
        <v>59</v>
      </c>
      <c r="B2311" s="2" t="s">
        <v>60</v>
      </c>
      <c r="C2311" s="2" t="s">
        <v>22557</v>
      </c>
      <c r="D2311" s="2" t="s">
        <v>22558</v>
      </c>
      <c r="E2311" s="2" t="s">
        <v>22559</v>
      </c>
      <c r="G2311" s="3" t="s">
        <v>62</v>
      </c>
      <c r="I2311" s="3" t="s">
        <v>62</v>
      </c>
      <c r="J2311" s="3" t="s">
        <v>62</v>
      </c>
      <c r="K2311" s="3" t="s">
        <v>63</v>
      </c>
      <c r="L2311" s="2" t="s">
        <v>22560</v>
      </c>
      <c r="M2311" s="2" t="s">
        <v>22561</v>
      </c>
      <c r="N2311" s="3" t="s">
        <v>116</v>
      </c>
      <c r="P2311" s="3" t="s">
        <v>65</v>
      </c>
      <c r="Q2311" s="2" t="s">
        <v>22562</v>
      </c>
      <c r="R2311" s="3" t="s">
        <v>66</v>
      </c>
      <c r="S2311" s="4">
        <v>3</v>
      </c>
      <c r="T2311" s="4">
        <v>3</v>
      </c>
      <c r="U2311" s="5" t="s">
        <v>19395</v>
      </c>
      <c r="V2311" s="5" t="s">
        <v>19395</v>
      </c>
      <c r="W2311" s="5" t="s">
        <v>67</v>
      </c>
      <c r="X2311" s="5" t="s">
        <v>67</v>
      </c>
      <c r="Y2311" s="4">
        <v>326</v>
      </c>
      <c r="Z2311" s="4">
        <v>24</v>
      </c>
      <c r="AA2311" s="4">
        <v>58</v>
      </c>
      <c r="AB2311" s="4">
        <v>2</v>
      </c>
      <c r="AC2311" s="4">
        <v>7</v>
      </c>
      <c r="AD2311" s="4">
        <v>80</v>
      </c>
      <c r="AE2311" s="4">
        <v>97</v>
      </c>
      <c r="AF2311" s="4">
        <v>1</v>
      </c>
      <c r="AG2311" s="4">
        <v>3</v>
      </c>
      <c r="AH2311" s="4">
        <v>70</v>
      </c>
      <c r="AI2311" s="4">
        <v>77</v>
      </c>
      <c r="AJ2311" s="4">
        <v>15</v>
      </c>
      <c r="AK2311" s="4">
        <v>20</v>
      </c>
      <c r="AL2311" s="4">
        <v>41</v>
      </c>
      <c r="AM2311" s="4">
        <v>43</v>
      </c>
      <c r="AN2311" s="4">
        <v>0</v>
      </c>
      <c r="AO2311" s="4">
        <v>0</v>
      </c>
      <c r="AP2311" s="4">
        <v>18</v>
      </c>
      <c r="AQ2311" s="4">
        <v>28</v>
      </c>
      <c r="AR2311" s="3" t="s">
        <v>62</v>
      </c>
      <c r="AS2311" s="3" t="s">
        <v>62</v>
      </c>
      <c r="AT2311" s="3" t="s">
        <v>62</v>
      </c>
      <c r="AV2311" s="6" t="str">
        <f>HYPERLINK("http://mcgill.on.worldcat.org/oclc/844772136","Catalog Record")</f>
        <v>Catalog Record</v>
      </c>
      <c r="AW2311" s="6" t="str">
        <f>HYPERLINK("http://www.worldcat.org/oclc/844772136","WorldCat Record")</f>
        <v>WorldCat Record</v>
      </c>
      <c r="AX2311" s="3" t="s">
        <v>22563</v>
      </c>
      <c r="AY2311" s="3" t="s">
        <v>22564</v>
      </c>
      <c r="AZ2311" s="3" t="s">
        <v>22565</v>
      </c>
      <c r="BA2311" s="3" t="s">
        <v>22565</v>
      </c>
      <c r="BB2311" s="3" t="s">
        <v>22566</v>
      </c>
      <c r="BC2311" s="3" t="s">
        <v>142</v>
      </c>
      <c r="BD2311" s="3" t="s">
        <v>68</v>
      </c>
      <c r="BE2311" s="3" t="s">
        <v>22567</v>
      </c>
      <c r="BF2311" s="3" t="s">
        <v>22566</v>
      </c>
      <c r="BG2311" s="3" t="s">
        <v>22568</v>
      </c>
    </row>
    <row r="2312" spans="1:59" ht="57" x14ac:dyDescent="0.45">
      <c r="A2312" s="2" t="s">
        <v>59</v>
      </c>
      <c r="B2312" s="2" t="s">
        <v>60</v>
      </c>
      <c r="C2312" s="2" t="s">
        <v>22569</v>
      </c>
      <c r="D2312" s="2" t="s">
        <v>22570</v>
      </c>
      <c r="E2312" s="2" t="s">
        <v>22571</v>
      </c>
      <c r="G2312" s="3" t="s">
        <v>62</v>
      </c>
      <c r="I2312" s="3" t="s">
        <v>62</v>
      </c>
      <c r="J2312" s="3" t="s">
        <v>62</v>
      </c>
      <c r="K2312" s="3" t="s">
        <v>63</v>
      </c>
      <c r="L2312" s="2" t="s">
        <v>22572</v>
      </c>
      <c r="M2312" s="2" t="s">
        <v>22573</v>
      </c>
      <c r="N2312" s="3" t="s">
        <v>149</v>
      </c>
      <c r="P2312" s="3" t="s">
        <v>65</v>
      </c>
      <c r="R2312" s="3" t="s">
        <v>66</v>
      </c>
      <c r="S2312" s="4">
        <v>7</v>
      </c>
      <c r="T2312" s="4">
        <v>7</v>
      </c>
      <c r="U2312" s="5" t="s">
        <v>22574</v>
      </c>
      <c r="V2312" s="5" t="s">
        <v>22574</v>
      </c>
      <c r="W2312" s="5" t="s">
        <v>67</v>
      </c>
      <c r="X2312" s="5" t="s">
        <v>67</v>
      </c>
      <c r="Y2312" s="4">
        <v>227</v>
      </c>
      <c r="Z2312" s="4">
        <v>19</v>
      </c>
      <c r="AA2312" s="4">
        <v>100</v>
      </c>
      <c r="AB2312" s="4">
        <v>2</v>
      </c>
      <c r="AC2312" s="4">
        <v>17</v>
      </c>
      <c r="AD2312" s="4">
        <v>68</v>
      </c>
      <c r="AE2312" s="4">
        <v>128</v>
      </c>
      <c r="AF2312" s="4">
        <v>1</v>
      </c>
      <c r="AG2312" s="4">
        <v>8</v>
      </c>
      <c r="AH2312" s="4">
        <v>59</v>
      </c>
      <c r="AI2312" s="4">
        <v>88</v>
      </c>
      <c r="AJ2312" s="4">
        <v>12</v>
      </c>
      <c r="AK2312" s="4">
        <v>23</v>
      </c>
      <c r="AL2312" s="4">
        <v>34</v>
      </c>
      <c r="AM2312" s="4">
        <v>48</v>
      </c>
      <c r="AN2312" s="4">
        <v>0</v>
      </c>
      <c r="AO2312" s="4">
        <v>0</v>
      </c>
      <c r="AP2312" s="4">
        <v>16</v>
      </c>
      <c r="AQ2312" s="4">
        <v>46</v>
      </c>
      <c r="AR2312" s="3" t="s">
        <v>62</v>
      </c>
      <c r="AS2312" s="3" t="s">
        <v>62</v>
      </c>
      <c r="AT2312" s="3" t="s">
        <v>62</v>
      </c>
      <c r="AV2312" s="6" t="str">
        <f>HYPERLINK("http://mcgill.on.worldcat.org/oclc/465371998","Catalog Record")</f>
        <v>Catalog Record</v>
      </c>
      <c r="AW2312" s="6" t="str">
        <f>HYPERLINK("http://www.worldcat.org/oclc/465371998","WorldCat Record")</f>
        <v>WorldCat Record</v>
      </c>
      <c r="AX2312" s="3" t="s">
        <v>22575</v>
      </c>
      <c r="AY2312" s="3" t="s">
        <v>22576</v>
      </c>
      <c r="AZ2312" s="3" t="s">
        <v>22577</v>
      </c>
      <c r="BA2312" s="3" t="s">
        <v>22577</v>
      </c>
      <c r="BB2312" s="3" t="s">
        <v>22578</v>
      </c>
      <c r="BC2312" s="3" t="s">
        <v>142</v>
      </c>
      <c r="BD2312" s="3" t="s">
        <v>68</v>
      </c>
      <c r="BE2312" s="3" t="s">
        <v>22579</v>
      </c>
      <c r="BF2312" s="3" t="s">
        <v>22578</v>
      </c>
      <c r="BG2312" s="3" t="s">
        <v>22580</v>
      </c>
    </row>
    <row r="2313" spans="1:59" ht="57" x14ac:dyDescent="0.45">
      <c r="A2313" s="2" t="s">
        <v>59</v>
      </c>
      <c r="B2313" s="2" t="s">
        <v>60</v>
      </c>
      <c r="C2313" s="2" t="s">
        <v>22581</v>
      </c>
      <c r="D2313" s="2" t="s">
        <v>22582</v>
      </c>
      <c r="E2313" s="2" t="s">
        <v>22583</v>
      </c>
      <c r="G2313" s="3" t="s">
        <v>62</v>
      </c>
      <c r="I2313" s="3" t="s">
        <v>62</v>
      </c>
      <c r="J2313" s="3" t="s">
        <v>62</v>
      </c>
      <c r="K2313" s="3" t="s">
        <v>63</v>
      </c>
      <c r="L2313" s="2" t="s">
        <v>22584</v>
      </c>
      <c r="M2313" s="2" t="s">
        <v>22585</v>
      </c>
      <c r="N2313" s="3" t="s">
        <v>84</v>
      </c>
      <c r="P2313" s="3" t="s">
        <v>65</v>
      </c>
      <c r="Q2313" s="2" t="s">
        <v>22586</v>
      </c>
      <c r="R2313" s="3" t="s">
        <v>66</v>
      </c>
      <c r="S2313" s="4">
        <v>22</v>
      </c>
      <c r="T2313" s="4">
        <v>22</v>
      </c>
      <c r="U2313" s="5" t="s">
        <v>1605</v>
      </c>
      <c r="V2313" s="5" t="s">
        <v>1605</v>
      </c>
      <c r="W2313" s="5" t="s">
        <v>67</v>
      </c>
      <c r="X2313" s="5" t="s">
        <v>67</v>
      </c>
      <c r="Y2313" s="4">
        <v>136</v>
      </c>
      <c r="Z2313" s="4">
        <v>47</v>
      </c>
      <c r="AA2313" s="4">
        <v>63</v>
      </c>
      <c r="AB2313" s="4">
        <v>3</v>
      </c>
      <c r="AC2313" s="4">
        <v>8</v>
      </c>
      <c r="AD2313" s="4">
        <v>61</v>
      </c>
      <c r="AE2313" s="4">
        <v>77</v>
      </c>
      <c r="AF2313" s="4">
        <v>1</v>
      </c>
      <c r="AG2313" s="4">
        <v>6</v>
      </c>
      <c r="AH2313" s="4">
        <v>41</v>
      </c>
      <c r="AI2313" s="4">
        <v>44</v>
      </c>
      <c r="AJ2313" s="4">
        <v>15</v>
      </c>
      <c r="AK2313" s="4">
        <v>25</v>
      </c>
      <c r="AL2313" s="4">
        <v>26</v>
      </c>
      <c r="AM2313" s="4">
        <v>27</v>
      </c>
      <c r="AN2313" s="4">
        <v>0</v>
      </c>
      <c r="AO2313" s="4">
        <v>0</v>
      </c>
      <c r="AP2313" s="4">
        <v>27</v>
      </c>
      <c r="AQ2313" s="4">
        <v>40</v>
      </c>
      <c r="AR2313" s="3" t="s">
        <v>61</v>
      </c>
      <c r="AS2313" s="3" t="s">
        <v>62</v>
      </c>
      <c r="AT2313" s="3" t="s">
        <v>61</v>
      </c>
      <c r="AU2313" s="6" t="str">
        <f>HYPERLINK("http://catalog.hathitrust.org/Record/003892785","HathiTrust Record")</f>
        <v>HathiTrust Record</v>
      </c>
      <c r="AV2313" s="6" t="str">
        <f>HYPERLINK("http://mcgill.on.worldcat.org/oclc/37180250","Catalog Record")</f>
        <v>Catalog Record</v>
      </c>
      <c r="AW2313" s="6" t="str">
        <f>HYPERLINK("http://www.worldcat.org/oclc/37180250","WorldCat Record")</f>
        <v>WorldCat Record</v>
      </c>
      <c r="AX2313" s="3" t="s">
        <v>22587</v>
      </c>
      <c r="AY2313" s="3" t="s">
        <v>22588</v>
      </c>
      <c r="AZ2313" s="3" t="s">
        <v>22589</v>
      </c>
      <c r="BA2313" s="3" t="s">
        <v>22589</v>
      </c>
      <c r="BB2313" s="3" t="s">
        <v>22590</v>
      </c>
      <c r="BC2313" s="3" t="s">
        <v>142</v>
      </c>
      <c r="BD2313" s="3" t="s">
        <v>68</v>
      </c>
      <c r="BE2313" s="3" t="s">
        <v>22591</v>
      </c>
      <c r="BF2313" s="3" t="s">
        <v>22590</v>
      </c>
      <c r="BG2313" s="3" t="s">
        <v>22592</v>
      </c>
    </row>
    <row r="2314" spans="1:59" ht="57" x14ac:dyDescent="0.45">
      <c r="A2314" s="2" t="s">
        <v>59</v>
      </c>
      <c r="B2314" s="2" t="s">
        <v>60</v>
      </c>
      <c r="C2314" s="2" t="s">
        <v>22593</v>
      </c>
      <c r="D2314" s="2" t="s">
        <v>22594</v>
      </c>
      <c r="E2314" s="2" t="s">
        <v>22595</v>
      </c>
      <c r="G2314" s="3" t="s">
        <v>62</v>
      </c>
      <c r="I2314" s="3" t="s">
        <v>62</v>
      </c>
      <c r="J2314" s="3" t="s">
        <v>62</v>
      </c>
      <c r="K2314" s="3" t="s">
        <v>63</v>
      </c>
      <c r="L2314" s="2" t="s">
        <v>22596</v>
      </c>
      <c r="M2314" s="2" t="s">
        <v>22597</v>
      </c>
      <c r="N2314" s="3" t="s">
        <v>1253</v>
      </c>
      <c r="P2314" s="3" t="s">
        <v>65</v>
      </c>
      <c r="R2314" s="3" t="s">
        <v>66</v>
      </c>
      <c r="S2314" s="4">
        <v>45</v>
      </c>
      <c r="T2314" s="4">
        <v>45</v>
      </c>
      <c r="U2314" s="5" t="s">
        <v>16573</v>
      </c>
      <c r="V2314" s="5" t="s">
        <v>16573</v>
      </c>
      <c r="W2314" s="5" t="s">
        <v>67</v>
      </c>
      <c r="X2314" s="5" t="s">
        <v>67</v>
      </c>
      <c r="Y2314" s="4">
        <v>495</v>
      </c>
      <c r="Z2314" s="4">
        <v>29</v>
      </c>
      <c r="AA2314" s="4">
        <v>31</v>
      </c>
      <c r="AB2314" s="4">
        <v>4</v>
      </c>
      <c r="AC2314" s="4">
        <v>5</v>
      </c>
      <c r="AD2314" s="4">
        <v>119</v>
      </c>
      <c r="AE2314" s="4">
        <v>120</v>
      </c>
      <c r="AF2314" s="4">
        <v>2</v>
      </c>
      <c r="AG2314" s="4">
        <v>3</v>
      </c>
      <c r="AH2314" s="4">
        <v>101</v>
      </c>
      <c r="AI2314" s="4">
        <v>102</v>
      </c>
      <c r="AJ2314" s="4">
        <v>17</v>
      </c>
      <c r="AK2314" s="4">
        <v>18</v>
      </c>
      <c r="AL2314" s="4">
        <v>55</v>
      </c>
      <c r="AM2314" s="4">
        <v>55</v>
      </c>
      <c r="AN2314" s="4">
        <v>0</v>
      </c>
      <c r="AO2314" s="4">
        <v>0</v>
      </c>
      <c r="AP2314" s="4">
        <v>24</v>
      </c>
      <c r="AQ2314" s="4">
        <v>25</v>
      </c>
      <c r="AR2314" s="3" t="s">
        <v>62</v>
      </c>
      <c r="AS2314" s="3" t="s">
        <v>62</v>
      </c>
      <c r="AT2314" s="3" t="s">
        <v>61</v>
      </c>
      <c r="AU2314" s="6" t="str">
        <f>HYPERLINK("http://catalog.hathitrust.org/Record/003167879","HathiTrust Record")</f>
        <v>HathiTrust Record</v>
      </c>
      <c r="AV2314" s="6" t="str">
        <f>HYPERLINK("http://mcgill.on.worldcat.org/oclc/34691228","Catalog Record")</f>
        <v>Catalog Record</v>
      </c>
      <c r="AW2314" s="6" t="str">
        <f>HYPERLINK("http://www.worldcat.org/oclc/34691228","WorldCat Record")</f>
        <v>WorldCat Record</v>
      </c>
      <c r="AX2314" s="3" t="s">
        <v>22598</v>
      </c>
      <c r="AY2314" s="3" t="s">
        <v>22599</v>
      </c>
      <c r="AZ2314" s="3" t="s">
        <v>22600</v>
      </c>
      <c r="BA2314" s="3" t="s">
        <v>22600</v>
      </c>
      <c r="BB2314" s="3" t="s">
        <v>22601</v>
      </c>
      <c r="BC2314" s="3" t="s">
        <v>142</v>
      </c>
      <c r="BD2314" s="3" t="s">
        <v>308</v>
      </c>
      <c r="BE2314" s="3" t="s">
        <v>22602</v>
      </c>
      <c r="BF2314" s="3" t="s">
        <v>22601</v>
      </c>
      <c r="BG2314" s="3" t="s">
        <v>22603</v>
      </c>
    </row>
    <row r="2315" spans="1:59" ht="114" x14ac:dyDescent="0.45">
      <c r="A2315" s="2" t="s">
        <v>59</v>
      </c>
      <c r="B2315" s="2" t="s">
        <v>690</v>
      </c>
      <c r="C2315" s="2" t="s">
        <v>22604</v>
      </c>
      <c r="D2315" s="2" t="s">
        <v>22605</v>
      </c>
      <c r="E2315" s="2" t="s">
        <v>22606</v>
      </c>
      <c r="G2315" s="3" t="s">
        <v>62</v>
      </c>
      <c r="I2315" s="3" t="s">
        <v>62</v>
      </c>
      <c r="J2315" s="3" t="s">
        <v>62</v>
      </c>
      <c r="K2315" s="3" t="s">
        <v>63</v>
      </c>
      <c r="L2315" s="2" t="s">
        <v>22607</v>
      </c>
      <c r="M2315" s="2" t="s">
        <v>22608</v>
      </c>
      <c r="N2315" s="3" t="s">
        <v>894</v>
      </c>
      <c r="O2315" s="2" t="s">
        <v>696</v>
      </c>
      <c r="P2315" s="3" t="s">
        <v>697</v>
      </c>
      <c r="Q2315" s="2" t="s">
        <v>22609</v>
      </c>
      <c r="R2315" s="3" t="s">
        <v>66</v>
      </c>
      <c r="S2315" s="4">
        <v>0</v>
      </c>
      <c r="T2315" s="4">
        <v>0</v>
      </c>
      <c r="W2315" s="5" t="s">
        <v>67</v>
      </c>
      <c r="X2315" s="5" t="s">
        <v>67</v>
      </c>
      <c r="Y2315" s="4">
        <v>8</v>
      </c>
      <c r="Z2315" s="4">
        <v>2</v>
      </c>
      <c r="AA2315" s="4">
        <v>2</v>
      </c>
      <c r="AB2315" s="4">
        <v>1</v>
      </c>
      <c r="AC2315" s="4">
        <v>1</v>
      </c>
      <c r="AD2315" s="4">
        <v>4</v>
      </c>
      <c r="AE2315" s="4">
        <v>4</v>
      </c>
      <c r="AF2315" s="4">
        <v>0</v>
      </c>
      <c r="AG2315" s="4">
        <v>0</v>
      </c>
      <c r="AH2315" s="4">
        <v>3</v>
      </c>
      <c r="AI2315" s="4">
        <v>3</v>
      </c>
      <c r="AJ2315" s="4">
        <v>1</v>
      </c>
      <c r="AK2315" s="4">
        <v>1</v>
      </c>
      <c r="AL2315" s="4">
        <v>2</v>
      </c>
      <c r="AM2315" s="4">
        <v>2</v>
      </c>
      <c r="AN2315" s="4">
        <v>0</v>
      </c>
      <c r="AO2315" s="4">
        <v>0</v>
      </c>
      <c r="AP2315" s="4">
        <v>1</v>
      </c>
      <c r="AQ2315" s="4">
        <v>1</v>
      </c>
      <c r="AR2315" s="3" t="s">
        <v>62</v>
      </c>
      <c r="AS2315" s="3" t="s">
        <v>62</v>
      </c>
      <c r="AT2315" s="3" t="s">
        <v>62</v>
      </c>
      <c r="AV2315" s="6" t="str">
        <f>HYPERLINK("http://mcgill.on.worldcat.org/oclc/780115873","Catalog Record")</f>
        <v>Catalog Record</v>
      </c>
      <c r="AW2315" s="6" t="str">
        <f>HYPERLINK("http://www.worldcat.org/oclc/780115873","WorldCat Record")</f>
        <v>WorldCat Record</v>
      </c>
      <c r="AX2315" s="3" t="s">
        <v>22610</v>
      </c>
      <c r="AY2315" s="3" t="s">
        <v>22611</v>
      </c>
      <c r="AZ2315" s="3" t="s">
        <v>22612</v>
      </c>
      <c r="BA2315" s="3" t="s">
        <v>22612</v>
      </c>
      <c r="BB2315" s="3" t="s">
        <v>22613</v>
      </c>
      <c r="BC2315" s="3" t="s">
        <v>142</v>
      </c>
      <c r="BD2315" s="3" t="s">
        <v>68</v>
      </c>
      <c r="BE2315" s="3" t="s">
        <v>22614</v>
      </c>
      <c r="BF2315" s="3" t="s">
        <v>22613</v>
      </c>
      <c r="BG2315" s="3" t="s">
        <v>22615</v>
      </c>
    </row>
    <row r="2316" spans="1:59" ht="71.25" x14ac:dyDescent="0.45">
      <c r="A2316" s="2" t="s">
        <v>59</v>
      </c>
      <c r="B2316" s="2" t="s">
        <v>60</v>
      </c>
      <c r="C2316" s="2" t="s">
        <v>22616</v>
      </c>
      <c r="D2316" s="2" t="s">
        <v>22617</v>
      </c>
      <c r="E2316" s="2" t="s">
        <v>22618</v>
      </c>
      <c r="G2316" s="3" t="s">
        <v>62</v>
      </c>
      <c r="I2316" s="3" t="s">
        <v>62</v>
      </c>
      <c r="J2316" s="3" t="s">
        <v>62</v>
      </c>
      <c r="K2316" s="3" t="s">
        <v>63</v>
      </c>
      <c r="M2316" s="2" t="s">
        <v>22619</v>
      </c>
      <c r="N2316" s="3" t="s">
        <v>149</v>
      </c>
      <c r="O2316" s="2" t="s">
        <v>168</v>
      </c>
      <c r="P2316" s="3" t="s">
        <v>65</v>
      </c>
      <c r="R2316" s="3" t="s">
        <v>66</v>
      </c>
      <c r="S2316" s="4">
        <v>0</v>
      </c>
      <c r="T2316" s="4">
        <v>0</v>
      </c>
      <c r="W2316" s="5" t="s">
        <v>67</v>
      </c>
      <c r="X2316" s="5" t="s">
        <v>67</v>
      </c>
      <c r="Y2316" s="4">
        <v>123</v>
      </c>
      <c r="Z2316" s="4">
        <v>16</v>
      </c>
      <c r="AA2316" s="4">
        <v>16</v>
      </c>
      <c r="AB2316" s="4">
        <v>2</v>
      </c>
      <c r="AC2316" s="4">
        <v>2</v>
      </c>
      <c r="AD2316" s="4">
        <v>60</v>
      </c>
      <c r="AE2316" s="4">
        <v>60</v>
      </c>
      <c r="AF2316" s="4">
        <v>1</v>
      </c>
      <c r="AG2316" s="4">
        <v>1</v>
      </c>
      <c r="AH2316" s="4">
        <v>54</v>
      </c>
      <c r="AI2316" s="4">
        <v>54</v>
      </c>
      <c r="AJ2316" s="4">
        <v>12</v>
      </c>
      <c r="AK2316" s="4">
        <v>12</v>
      </c>
      <c r="AL2316" s="4">
        <v>32</v>
      </c>
      <c r="AM2316" s="4">
        <v>32</v>
      </c>
      <c r="AN2316" s="4">
        <v>0</v>
      </c>
      <c r="AO2316" s="4">
        <v>0</v>
      </c>
      <c r="AP2316" s="4">
        <v>13</v>
      </c>
      <c r="AQ2316" s="4">
        <v>13</v>
      </c>
      <c r="AR2316" s="3" t="s">
        <v>62</v>
      </c>
      <c r="AS2316" s="3" t="s">
        <v>62</v>
      </c>
      <c r="AT2316" s="3" t="s">
        <v>62</v>
      </c>
      <c r="AV2316" s="6" t="str">
        <f>HYPERLINK("http://mcgill.on.worldcat.org/oclc/630437816","Catalog Record")</f>
        <v>Catalog Record</v>
      </c>
      <c r="AW2316" s="6" t="str">
        <f>HYPERLINK("http://www.worldcat.org/oclc/630437816","WorldCat Record")</f>
        <v>WorldCat Record</v>
      </c>
      <c r="AX2316" s="3" t="s">
        <v>22620</v>
      </c>
      <c r="AY2316" s="3" t="s">
        <v>22621</v>
      </c>
      <c r="AZ2316" s="3" t="s">
        <v>22622</v>
      </c>
      <c r="BA2316" s="3" t="s">
        <v>22622</v>
      </c>
      <c r="BB2316" s="3" t="s">
        <v>22623</v>
      </c>
      <c r="BC2316" s="3" t="s">
        <v>142</v>
      </c>
      <c r="BD2316" s="3" t="s">
        <v>68</v>
      </c>
      <c r="BE2316" s="3" t="s">
        <v>22624</v>
      </c>
      <c r="BF2316" s="3" t="s">
        <v>22623</v>
      </c>
      <c r="BG2316" s="3" t="s">
        <v>22625</v>
      </c>
    </row>
    <row r="2317" spans="1:59" ht="57" x14ac:dyDescent="0.45">
      <c r="A2317" s="2" t="s">
        <v>59</v>
      </c>
      <c r="B2317" s="2" t="s">
        <v>60</v>
      </c>
      <c r="C2317" s="2" t="s">
        <v>22626</v>
      </c>
      <c r="D2317" s="2" t="s">
        <v>22627</v>
      </c>
      <c r="E2317" s="2" t="s">
        <v>22628</v>
      </c>
      <c r="G2317" s="3" t="s">
        <v>62</v>
      </c>
      <c r="I2317" s="3" t="s">
        <v>62</v>
      </c>
      <c r="J2317" s="3" t="s">
        <v>62</v>
      </c>
      <c r="K2317" s="3" t="s">
        <v>63</v>
      </c>
      <c r="M2317" s="2" t="s">
        <v>22629</v>
      </c>
      <c r="N2317" s="3" t="s">
        <v>970</v>
      </c>
      <c r="P2317" s="3" t="s">
        <v>65</v>
      </c>
      <c r="R2317" s="3" t="s">
        <v>66</v>
      </c>
      <c r="S2317" s="4">
        <v>31</v>
      </c>
      <c r="T2317" s="4">
        <v>31</v>
      </c>
      <c r="U2317" s="5" t="s">
        <v>22630</v>
      </c>
      <c r="V2317" s="5" t="s">
        <v>22630</v>
      </c>
      <c r="W2317" s="5" t="s">
        <v>67</v>
      </c>
      <c r="X2317" s="5" t="s">
        <v>67</v>
      </c>
      <c r="Y2317" s="4">
        <v>256</v>
      </c>
      <c r="Z2317" s="4">
        <v>17</v>
      </c>
      <c r="AA2317" s="4">
        <v>23</v>
      </c>
      <c r="AB2317" s="4">
        <v>2</v>
      </c>
      <c r="AC2317" s="4">
        <v>6</v>
      </c>
      <c r="AD2317" s="4">
        <v>98</v>
      </c>
      <c r="AE2317" s="4">
        <v>104</v>
      </c>
      <c r="AF2317" s="4">
        <v>1</v>
      </c>
      <c r="AG2317" s="4">
        <v>3</v>
      </c>
      <c r="AH2317" s="4">
        <v>90</v>
      </c>
      <c r="AI2317" s="4">
        <v>94</v>
      </c>
      <c r="AJ2317" s="4">
        <v>13</v>
      </c>
      <c r="AK2317" s="4">
        <v>16</v>
      </c>
      <c r="AL2317" s="4">
        <v>50</v>
      </c>
      <c r="AM2317" s="4">
        <v>52</v>
      </c>
      <c r="AN2317" s="4">
        <v>0</v>
      </c>
      <c r="AO2317" s="4">
        <v>0</v>
      </c>
      <c r="AP2317" s="4">
        <v>15</v>
      </c>
      <c r="AQ2317" s="4">
        <v>18</v>
      </c>
      <c r="AR2317" s="3" t="s">
        <v>62</v>
      </c>
      <c r="AS2317" s="3" t="s">
        <v>62</v>
      </c>
      <c r="AT2317" s="3" t="s">
        <v>61</v>
      </c>
      <c r="AU2317" s="6" t="str">
        <f>HYPERLINK("http://catalog.hathitrust.org/Record/004288659","HathiTrust Record")</f>
        <v>HathiTrust Record</v>
      </c>
      <c r="AV2317" s="6" t="str">
        <f>HYPERLINK("http://mcgill.on.worldcat.org/oclc/50022678","Catalog Record")</f>
        <v>Catalog Record</v>
      </c>
      <c r="AW2317" s="6" t="str">
        <f>HYPERLINK("http://www.worldcat.org/oclc/50022678","WorldCat Record")</f>
        <v>WorldCat Record</v>
      </c>
      <c r="AX2317" s="3" t="s">
        <v>22631</v>
      </c>
      <c r="AY2317" s="3" t="s">
        <v>22632</v>
      </c>
      <c r="AZ2317" s="3" t="s">
        <v>22633</v>
      </c>
      <c r="BA2317" s="3" t="s">
        <v>22633</v>
      </c>
      <c r="BB2317" s="3" t="s">
        <v>22634</v>
      </c>
      <c r="BC2317" s="3" t="s">
        <v>142</v>
      </c>
      <c r="BD2317" s="3" t="s">
        <v>68</v>
      </c>
      <c r="BE2317" s="3" t="s">
        <v>22635</v>
      </c>
      <c r="BF2317" s="3" t="s">
        <v>22634</v>
      </c>
      <c r="BG2317" s="3" t="s">
        <v>22636</v>
      </c>
    </row>
    <row r="2318" spans="1:59" ht="57" x14ac:dyDescent="0.45">
      <c r="A2318" s="2" t="s">
        <v>59</v>
      </c>
      <c r="B2318" s="2" t="s">
        <v>60</v>
      </c>
      <c r="C2318" s="2" t="s">
        <v>22637</v>
      </c>
      <c r="D2318" s="2" t="s">
        <v>22638</v>
      </c>
      <c r="E2318" s="2" t="s">
        <v>22639</v>
      </c>
      <c r="G2318" s="3" t="s">
        <v>62</v>
      </c>
      <c r="I2318" s="3" t="s">
        <v>62</v>
      </c>
      <c r="J2318" s="3" t="s">
        <v>62</v>
      </c>
      <c r="K2318" s="3" t="s">
        <v>63</v>
      </c>
      <c r="M2318" s="2" t="s">
        <v>1009</v>
      </c>
      <c r="N2318" s="3" t="s">
        <v>894</v>
      </c>
      <c r="O2318" s="2" t="s">
        <v>168</v>
      </c>
      <c r="P2318" s="3" t="s">
        <v>65</v>
      </c>
      <c r="Q2318" s="2" t="s">
        <v>22640</v>
      </c>
      <c r="R2318" s="3" t="s">
        <v>66</v>
      </c>
      <c r="S2318" s="4">
        <v>10</v>
      </c>
      <c r="T2318" s="4">
        <v>10</v>
      </c>
      <c r="U2318" s="5" t="s">
        <v>22641</v>
      </c>
      <c r="V2318" s="5" t="s">
        <v>22641</v>
      </c>
      <c r="W2318" s="5" t="s">
        <v>67</v>
      </c>
      <c r="X2318" s="5" t="s">
        <v>67</v>
      </c>
      <c r="Y2318" s="4">
        <v>224</v>
      </c>
      <c r="Z2318" s="4">
        <v>23</v>
      </c>
      <c r="AA2318" s="4">
        <v>35</v>
      </c>
      <c r="AB2318" s="4">
        <v>2</v>
      </c>
      <c r="AC2318" s="4">
        <v>10</v>
      </c>
      <c r="AD2318" s="4">
        <v>86</v>
      </c>
      <c r="AE2318" s="4">
        <v>100</v>
      </c>
      <c r="AF2318" s="4">
        <v>1</v>
      </c>
      <c r="AG2318" s="4">
        <v>5</v>
      </c>
      <c r="AH2318" s="4">
        <v>78</v>
      </c>
      <c r="AI2318" s="4">
        <v>87</v>
      </c>
      <c r="AJ2318" s="4">
        <v>16</v>
      </c>
      <c r="AK2318" s="4">
        <v>19</v>
      </c>
      <c r="AL2318" s="4">
        <v>42</v>
      </c>
      <c r="AM2318" s="4">
        <v>46</v>
      </c>
      <c r="AN2318" s="4">
        <v>0</v>
      </c>
      <c r="AO2318" s="4">
        <v>0</v>
      </c>
      <c r="AP2318" s="4">
        <v>18</v>
      </c>
      <c r="AQ2318" s="4">
        <v>22</v>
      </c>
      <c r="AR2318" s="3" t="s">
        <v>62</v>
      </c>
      <c r="AS2318" s="3" t="s">
        <v>62</v>
      </c>
      <c r="AT2318" s="3" t="s">
        <v>62</v>
      </c>
      <c r="AV2318" s="6" t="str">
        <f>HYPERLINK("http://mcgill.on.worldcat.org/oclc/491891010","Catalog Record")</f>
        <v>Catalog Record</v>
      </c>
      <c r="AW2318" s="6" t="str">
        <f>HYPERLINK("http://www.worldcat.org/oclc/491891010","WorldCat Record")</f>
        <v>WorldCat Record</v>
      </c>
      <c r="AX2318" s="3" t="s">
        <v>22642</v>
      </c>
      <c r="AY2318" s="3" t="s">
        <v>22643</v>
      </c>
      <c r="AZ2318" s="3" t="s">
        <v>22644</v>
      </c>
      <c r="BA2318" s="3" t="s">
        <v>22644</v>
      </c>
      <c r="BB2318" s="3" t="s">
        <v>22645</v>
      </c>
      <c r="BC2318" s="3" t="s">
        <v>142</v>
      </c>
      <c r="BD2318" s="3" t="s">
        <v>68</v>
      </c>
      <c r="BE2318" s="3" t="s">
        <v>22646</v>
      </c>
      <c r="BF2318" s="3" t="s">
        <v>22645</v>
      </c>
      <c r="BG2318" s="3" t="s">
        <v>22647</v>
      </c>
    </row>
    <row r="2319" spans="1:59" ht="57" x14ac:dyDescent="0.45">
      <c r="A2319" s="2" t="s">
        <v>59</v>
      </c>
      <c r="B2319" s="2" t="s">
        <v>60</v>
      </c>
      <c r="C2319" s="2" t="s">
        <v>22648</v>
      </c>
      <c r="D2319" s="2" t="s">
        <v>22649</v>
      </c>
      <c r="E2319" s="2" t="s">
        <v>22650</v>
      </c>
      <c r="G2319" s="3" t="s">
        <v>62</v>
      </c>
      <c r="I2319" s="3" t="s">
        <v>62</v>
      </c>
      <c r="J2319" s="3" t="s">
        <v>62</v>
      </c>
      <c r="K2319" s="3" t="s">
        <v>63</v>
      </c>
      <c r="L2319" s="2" t="s">
        <v>22651</v>
      </c>
      <c r="M2319" s="2" t="s">
        <v>18625</v>
      </c>
      <c r="N2319" s="3" t="s">
        <v>1097</v>
      </c>
      <c r="P2319" s="3" t="s">
        <v>65</v>
      </c>
      <c r="R2319" s="3" t="s">
        <v>66</v>
      </c>
      <c r="S2319" s="4">
        <v>26</v>
      </c>
      <c r="T2319" s="4">
        <v>26</v>
      </c>
      <c r="U2319" s="5" t="s">
        <v>20599</v>
      </c>
      <c r="V2319" s="5" t="s">
        <v>20599</v>
      </c>
      <c r="W2319" s="5" t="s">
        <v>67</v>
      </c>
      <c r="X2319" s="5" t="s">
        <v>67</v>
      </c>
      <c r="Y2319" s="4">
        <v>648</v>
      </c>
      <c r="Z2319" s="4">
        <v>28</v>
      </c>
      <c r="AA2319" s="4">
        <v>54</v>
      </c>
      <c r="AB2319" s="4">
        <v>2</v>
      </c>
      <c r="AC2319" s="4">
        <v>9</v>
      </c>
      <c r="AD2319" s="4">
        <v>113</v>
      </c>
      <c r="AE2319" s="4">
        <v>116</v>
      </c>
      <c r="AF2319" s="4">
        <v>1</v>
      </c>
      <c r="AG2319" s="4">
        <v>3</v>
      </c>
      <c r="AH2319" s="4">
        <v>101</v>
      </c>
      <c r="AI2319" s="4">
        <v>102</v>
      </c>
      <c r="AJ2319" s="4">
        <v>17</v>
      </c>
      <c r="AK2319" s="4">
        <v>19</v>
      </c>
      <c r="AL2319" s="4">
        <v>52</v>
      </c>
      <c r="AM2319" s="4">
        <v>52</v>
      </c>
      <c r="AN2319" s="4">
        <v>0</v>
      </c>
      <c r="AO2319" s="4">
        <v>0</v>
      </c>
      <c r="AP2319" s="4">
        <v>21</v>
      </c>
      <c r="AQ2319" s="4">
        <v>23</v>
      </c>
      <c r="AR2319" s="3" t="s">
        <v>62</v>
      </c>
      <c r="AS2319" s="3" t="s">
        <v>62</v>
      </c>
      <c r="AT2319" s="3" t="s">
        <v>61</v>
      </c>
      <c r="AU2319" s="6" t="str">
        <f>HYPERLINK("http://catalog.hathitrust.org/Record/004365671","HathiTrust Record")</f>
        <v>HathiTrust Record</v>
      </c>
      <c r="AV2319" s="6" t="str">
        <f>HYPERLINK("http://mcgill.on.worldcat.org/oclc/53038467","Catalog Record")</f>
        <v>Catalog Record</v>
      </c>
      <c r="AW2319" s="6" t="str">
        <f>HYPERLINK("http://www.worldcat.org/oclc/53038467","WorldCat Record")</f>
        <v>WorldCat Record</v>
      </c>
      <c r="AX2319" s="3" t="s">
        <v>22652</v>
      </c>
      <c r="AY2319" s="3" t="s">
        <v>22653</v>
      </c>
      <c r="AZ2319" s="3" t="s">
        <v>22654</v>
      </c>
      <c r="BA2319" s="3" t="s">
        <v>22654</v>
      </c>
      <c r="BB2319" s="3" t="s">
        <v>22655</v>
      </c>
      <c r="BC2319" s="3" t="s">
        <v>142</v>
      </c>
      <c r="BD2319" s="3" t="s">
        <v>68</v>
      </c>
      <c r="BE2319" s="3" t="s">
        <v>22656</v>
      </c>
      <c r="BF2319" s="3" t="s">
        <v>22655</v>
      </c>
      <c r="BG2319" s="3" t="s">
        <v>22657</v>
      </c>
    </row>
    <row r="2320" spans="1:59" ht="57" x14ac:dyDescent="0.45">
      <c r="A2320" s="2" t="s">
        <v>59</v>
      </c>
      <c r="B2320" s="2" t="s">
        <v>60</v>
      </c>
      <c r="C2320" s="2" t="s">
        <v>22658</v>
      </c>
      <c r="D2320" s="2" t="s">
        <v>22659</v>
      </c>
      <c r="E2320" s="2" t="s">
        <v>22660</v>
      </c>
      <c r="G2320" s="3" t="s">
        <v>62</v>
      </c>
      <c r="I2320" s="3" t="s">
        <v>62</v>
      </c>
      <c r="J2320" s="3" t="s">
        <v>62</v>
      </c>
      <c r="K2320" s="3" t="s">
        <v>63</v>
      </c>
      <c r="M2320" s="2" t="s">
        <v>1841</v>
      </c>
      <c r="N2320" s="3" t="s">
        <v>820</v>
      </c>
      <c r="P2320" s="3" t="s">
        <v>65</v>
      </c>
      <c r="Q2320" s="2" t="s">
        <v>22661</v>
      </c>
      <c r="R2320" s="3" t="s">
        <v>66</v>
      </c>
      <c r="S2320" s="4">
        <v>3</v>
      </c>
      <c r="T2320" s="4">
        <v>3</v>
      </c>
      <c r="U2320" s="5" t="s">
        <v>22662</v>
      </c>
      <c r="V2320" s="5" t="s">
        <v>22662</v>
      </c>
      <c r="W2320" s="5" t="s">
        <v>67</v>
      </c>
      <c r="X2320" s="5" t="s">
        <v>67</v>
      </c>
      <c r="Y2320" s="4">
        <v>153</v>
      </c>
      <c r="Z2320" s="4">
        <v>12</v>
      </c>
      <c r="AA2320" s="4">
        <v>17</v>
      </c>
      <c r="AB2320" s="4">
        <v>2</v>
      </c>
      <c r="AC2320" s="4">
        <v>5</v>
      </c>
      <c r="AD2320" s="4">
        <v>56</v>
      </c>
      <c r="AE2320" s="4">
        <v>68</v>
      </c>
      <c r="AF2320" s="4">
        <v>1</v>
      </c>
      <c r="AG2320" s="4">
        <v>1</v>
      </c>
      <c r="AH2320" s="4">
        <v>51</v>
      </c>
      <c r="AI2320" s="4">
        <v>62</v>
      </c>
      <c r="AJ2320" s="4">
        <v>10</v>
      </c>
      <c r="AK2320" s="4">
        <v>11</v>
      </c>
      <c r="AL2320" s="4">
        <v>31</v>
      </c>
      <c r="AM2320" s="4">
        <v>35</v>
      </c>
      <c r="AN2320" s="4">
        <v>0</v>
      </c>
      <c r="AO2320" s="4">
        <v>0</v>
      </c>
      <c r="AP2320" s="4">
        <v>10</v>
      </c>
      <c r="AQ2320" s="4">
        <v>12</v>
      </c>
      <c r="AR2320" s="3" t="s">
        <v>62</v>
      </c>
      <c r="AS2320" s="3" t="s">
        <v>62</v>
      </c>
      <c r="AT2320" s="3" t="s">
        <v>62</v>
      </c>
      <c r="AV2320" s="6" t="str">
        <f>HYPERLINK("http://mcgill.on.worldcat.org/oclc/144224937","Catalog Record")</f>
        <v>Catalog Record</v>
      </c>
      <c r="AW2320" s="6" t="str">
        <f>HYPERLINK("http://www.worldcat.org/oclc/144224937","WorldCat Record")</f>
        <v>WorldCat Record</v>
      </c>
      <c r="AX2320" s="3" t="s">
        <v>22663</v>
      </c>
      <c r="AY2320" s="3" t="s">
        <v>22664</v>
      </c>
      <c r="AZ2320" s="3" t="s">
        <v>22665</v>
      </c>
      <c r="BA2320" s="3" t="s">
        <v>22665</v>
      </c>
      <c r="BB2320" s="3" t="s">
        <v>22666</v>
      </c>
      <c r="BC2320" s="3" t="s">
        <v>142</v>
      </c>
      <c r="BD2320" s="3" t="s">
        <v>68</v>
      </c>
      <c r="BE2320" s="3" t="s">
        <v>22667</v>
      </c>
      <c r="BF2320" s="3" t="s">
        <v>22666</v>
      </c>
      <c r="BG2320" s="3" t="s">
        <v>22668</v>
      </c>
    </row>
    <row r="2321" spans="1:59" ht="71.25" x14ac:dyDescent="0.45">
      <c r="A2321" s="2" t="s">
        <v>59</v>
      </c>
      <c r="B2321" s="2" t="s">
        <v>60</v>
      </c>
      <c r="C2321" s="2" t="s">
        <v>22669</v>
      </c>
      <c r="D2321" s="2" t="s">
        <v>22670</v>
      </c>
      <c r="E2321" s="2" t="s">
        <v>22671</v>
      </c>
      <c r="G2321" s="3" t="s">
        <v>62</v>
      </c>
      <c r="I2321" s="3" t="s">
        <v>62</v>
      </c>
      <c r="J2321" s="3" t="s">
        <v>62</v>
      </c>
      <c r="K2321" s="3" t="s">
        <v>63</v>
      </c>
      <c r="L2321" s="2" t="s">
        <v>22672</v>
      </c>
      <c r="M2321" s="2" t="s">
        <v>22673</v>
      </c>
      <c r="N2321" s="3" t="s">
        <v>820</v>
      </c>
      <c r="P2321" s="3" t="s">
        <v>65</v>
      </c>
      <c r="R2321" s="3" t="s">
        <v>66</v>
      </c>
      <c r="S2321" s="4">
        <v>1</v>
      </c>
      <c r="T2321" s="4">
        <v>1</v>
      </c>
      <c r="U2321" s="5" t="s">
        <v>3364</v>
      </c>
      <c r="V2321" s="5" t="s">
        <v>3364</v>
      </c>
      <c r="W2321" s="5" t="s">
        <v>67</v>
      </c>
      <c r="X2321" s="5" t="s">
        <v>67</v>
      </c>
      <c r="Y2321" s="4">
        <v>112</v>
      </c>
      <c r="Z2321" s="4">
        <v>9</v>
      </c>
      <c r="AA2321" s="4">
        <v>13</v>
      </c>
      <c r="AB2321" s="4">
        <v>2</v>
      </c>
      <c r="AC2321" s="4">
        <v>4</v>
      </c>
      <c r="AD2321" s="4">
        <v>34</v>
      </c>
      <c r="AE2321" s="4">
        <v>44</v>
      </c>
      <c r="AF2321" s="4">
        <v>0</v>
      </c>
      <c r="AG2321" s="4">
        <v>0</v>
      </c>
      <c r="AH2321" s="4">
        <v>30</v>
      </c>
      <c r="AI2321" s="4">
        <v>39</v>
      </c>
      <c r="AJ2321" s="4">
        <v>6</v>
      </c>
      <c r="AK2321" s="4">
        <v>8</v>
      </c>
      <c r="AL2321" s="4">
        <v>24</v>
      </c>
      <c r="AM2321" s="4">
        <v>27</v>
      </c>
      <c r="AN2321" s="4">
        <v>0</v>
      </c>
      <c r="AO2321" s="4">
        <v>0</v>
      </c>
      <c r="AP2321" s="4">
        <v>6</v>
      </c>
      <c r="AQ2321" s="4">
        <v>8</v>
      </c>
      <c r="AR2321" s="3" t="s">
        <v>62</v>
      </c>
      <c r="AS2321" s="3" t="s">
        <v>62</v>
      </c>
      <c r="AT2321" s="3" t="s">
        <v>62</v>
      </c>
      <c r="AV2321" s="6" t="str">
        <f>HYPERLINK("http://mcgill.on.worldcat.org/oclc/262720281","Catalog Record")</f>
        <v>Catalog Record</v>
      </c>
      <c r="AW2321" s="6" t="str">
        <f>HYPERLINK("http://www.worldcat.org/oclc/262720281","WorldCat Record")</f>
        <v>WorldCat Record</v>
      </c>
      <c r="AX2321" s="3" t="s">
        <v>22674</v>
      </c>
      <c r="AY2321" s="3" t="s">
        <v>22675</v>
      </c>
      <c r="AZ2321" s="3" t="s">
        <v>22676</v>
      </c>
      <c r="BA2321" s="3" t="s">
        <v>22676</v>
      </c>
      <c r="BB2321" s="3" t="s">
        <v>22677</v>
      </c>
      <c r="BC2321" s="3" t="s">
        <v>142</v>
      </c>
      <c r="BD2321" s="3" t="s">
        <v>68</v>
      </c>
      <c r="BE2321" s="3" t="s">
        <v>22678</v>
      </c>
      <c r="BF2321" s="3" t="s">
        <v>22677</v>
      </c>
      <c r="BG2321" s="3" t="s">
        <v>22679</v>
      </c>
    </row>
    <row r="2322" spans="1:59" ht="57" x14ac:dyDescent="0.45">
      <c r="A2322" s="2" t="s">
        <v>59</v>
      </c>
      <c r="B2322" s="2" t="s">
        <v>60</v>
      </c>
      <c r="C2322" s="2" t="s">
        <v>22680</v>
      </c>
      <c r="D2322" s="2" t="s">
        <v>22681</v>
      </c>
      <c r="E2322" s="2" t="s">
        <v>22682</v>
      </c>
      <c r="G2322" s="3" t="s">
        <v>62</v>
      </c>
      <c r="I2322" s="3" t="s">
        <v>62</v>
      </c>
      <c r="J2322" s="3" t="s">
        <v>62</v>
      </c>
      <c r="K2322" s="3" t="s">
        <v>63</v>
      </c>
      <c r="M2322" s="2" t="s">
        <v>22683</v>
      </c>
      <c r="N2322" s="3" t="s">
        <v>149</v>
      </c>
      <c r="P2322" s="3" t="s">
        <v>65</v>
      </c>
      <c r="R2322" s="3" t="s">
        <v>66</v>
      </c>
      <c r="S2322" s="4">
        <v>15</v>
      </c>
      <c r="T2322" s="4">
        <v>15</v>
      </c>
      <c r="U2322" s="5" t="s">
        <v>13521</v>
      </c>
      <c r="V2322" s="5" t="s">
        <v>13521</v>
      </c>
      <c r="W2322" s="5" t="s">
        <v>67</v>
      </c>
      <c r="X2322" s="5" t="s">
        <v>67</v>
      </c>
      <c r="Y2322" s="4">
        <v>35</v>
      </c>
      <c r="Z2322" s="4">
        <v>29</v>
      </c>
      <c r="AA2322" s="4">
        <v>43</v>
      </c>
      <c r="AB2322" s="4">
        <v>3</v>
      </c>
      <c r="AC2322" s="4">
        <v>6</v>
      </c>
      <c r="AD2322" s="4">
        <v>19</v>
      </c>
      <c r="AE2322" s="4">
        <v>28</v>
      </c>
      <c r="AF2322" s="4">
        <v>1</v>
      </c>
      <c r="AG2322" s="4">
        <v>3</v>
      </c>
      <c r="AH2322" s="4">
        <v>6</v>
      </c>
      <c r="AI2322" s="4">
        <v>9</v>
      </c>
      <c r="AJ2322" s="4">
        <v>12</v>
      </c>
      <c r="AK2322" s="4">
        <v>19</v>
      </c>
      <c r="AL2322" s="4">
        <v>0</v>
      </c>
      <c r="AM2322" s="4">
        <v>1</v>
      </c>
      <c r="AN2322" s="4">
        <v>0</v>
      </c>
      <c r="AO2322" s="4">
        <v>0</v>
      </c>
      <c r="AP2322" s="4">
        <v>17</v>
      </c>
      <c r="AQ2322" s="4">
        <v>25</v>
      </c>
      <c r="AR2322" s="3" t="s">
        <v>61</v>
      </c>
      <c r="AS2322" s="3" t="s">
        <v>62</v>
      </c>
      <c r="AT2322" s="3" t="s">
        <v>62</v>
      </c>
      <c r="AV2322" s="6" t="str">
        <f>HYPERLINK("http://mcgill.on.worldcat.org/oclc/245555942","Catalog Record")</f>
        <v>Catalog Record</v>
      </c>
      <c r="AW2322" s="6" t="str">
        <f>HYPERLINK("http://www.worldcat.org/oclc/245555942","WorldCat Record")</f>
        <v>WorldCat Record</v>
      </c>
      <c r="AX2322" s="3" t="s">
        <v>22684</v>
      </c>
      <c r="AY2322" s="3" t="s">
        <v>22685</v>
      </c>
      <c r="AZ2322" s="3" t="s">
        <v>22686</v>
      </c>
      <c r="BA2322" s="3" t="s">
        <v>22686</v>
      </c>
      <c r="BB2322" s="3" t="s">
        <v>22687</v>
      </c>
      <c r="BC2322" s="3" t="s">
        <v>142</v>
      </c>
      <c r="BD2322" s="3" t="s">
        <v>68</v>
      </c>
      <c r="BE2322" s="3" t="s">
        <v>22688</v>
      </c>
      <c r="BF2322" s="3" t="s">
        <v>22687</v>
      </c>
      <c r="BG2322" s="3" t="s">
        <v>22689</v>
      </c>
    </row>
    <row r="2323" spans="1:59" ht="57" x14ac:dyDescent="0.45">
      <c r="A2323" s="2" t="s">
        <v>59</v>
      </c>
      <c r="B2323" s="2" t="s">
        <v>60</v>
      </c>
      <c r="C2323" s="2" t="s">
        <v>22690</v>
      </c>
      <c r="D2323" s="2" t="s">
        <v>22691</v>
      </c>
      <c r="E2323" s="2" t="s">
        <v>22692</v>
      </c>
      <c r="G2323" s="3" t="s">
        <v>62</v>
      </c>
      <c r="I2323" s="3" t="s">
        <v>62</v>
      </c>
      <c r="J2323" s="3" t="s">
        <v>62</v>
      </c>
      <c r="K2323" s="3" t="s">
        <v>63</v>
      </c>
      <c r="M2323" s="2" t="s">
        <v>22693</v>
      </c>
      <c r="N2323" s="3" t="s">
        <v>1155</v>
      </c>
      <c r="P2323" s="3" t="s">
        <v>65</v>
      </c>
      <c r="Q2323" s="2" t="s">
        <v>22694</v>
      </c>
      <c r="R2323" s="3" t="s">
        <v>66</v>
      </c>
      <c r="S2323" s="4">
        <v>7</v>
      </c>
      <c r="T2323" s="4">
        <v>7</v>
      </c>
      <c r="U2323" s="5" t="s">
        <v>959</v>
      </c>
      <c r="V2323" s="5" t="s">
        <v>959</v>
      </c>
      <c r="W2323" s="5" t="s">
        <v>67</v>
      </c>
      <c r="X2323" s="5" t="s">
        <v>67</v>
      </c>
      <c r="Y2323" s="4">
        <v>40</v>
      </c>
      <c r="Z2323" s="4">
        <v>26</v>
      </c>
      <c r="AA2323" s="4">
        <v>104</v>
      </c>
      <c r="AB2323" s="4">
        <v>2</v>
      </c>
      <c r="AC2323" s="4">
        <v>19</v>
      </c>
      <c r="AD2323" s="4">
        <v>19</v>
      </c>
      <c r="AE2323" s="4">
        <v>94</v>
      </c>
      <c r="AF2323" s="4">
        <v>1</v>
      </c>
      <c r="AG2323" s="4">
        <v>8</v>
      </c>
      <c r="AH2323" s="4">
        <v>6</v>
      </c>
      <c r="AI2323" s="4">
        <v>53</v>
      </c>
      <c r="AJ2323" s="4">
        <v>12</v>
      </c>
      <c r="AK2323" s="4">
        <v>24</v>
      </c>
      <c r="AL2323" s="4">
        <v>3</v>
      </c>
      <c r="AM2323" s="4">
        <v>24</v>
      </c>
      <c r="AN2323" s="4">
        <v>0</v>
      </c>
      <c r="AO2323" s="4">
        <v>0</v>
      </c>
      <c r="AP2323" s="4">
        <v>14</v>
      </c>
      <c r="AQ2323" s="4">
        <v>47</v>
      </c>
      <c r="AR2323" s="3" t="s">
        <v>61</v>
      </c>
      <c r="AS2323" s="3" t="s">
        <v>62</v>
      </c>
      <c r="AT2323" s="3" t="s">
        <v>62</v>
      </c>
      <c r="AV2323" s="6" t="str">
        <f>HYPERLINK("http://mcgill.on.worldcat.org/oclc/784293078","Catalog Record")</f>
        <v>Catalog Record</v>
      </c>
      <c r="AW2323" s="6" t="str">
        <f>HYPERLINK("http://www.worldcat.org/oclc/784293078","WorldCat Record")</f>
        <v>WorldCat Record</v>
      </c>
      <c r="AX2323" s="3" t="s">
        <v>22695</v>
      </c>
      <c r="AY2323" s="3" t="s">
        <v>22696</v>
      </c>
      <c r="AZ2323" s="3" t="s">
        <v>22697</v>
      </c>
      <c r="BA2323" s="3" t="s">
        <v>22697</v>
      </c>
      <c r="BB2323" s="3" t="s">
        <v>22698</v>
      </c>
      <c r="BC2323" s="3" t="s">
        <v>142</v>
      </c>
      <c r="BD2323" s="3" t="s">
        <v>68</v>
      </c>
      <c r="BE2323" s="3" t="s">
        <v>22699</v>
      </c>
      <c r="BF2323" s="3" t="s">
        <v>22698</v>
      </c>
      <c r="BG2323" s="3" t="s">
        <v>22700</v>
      </c>
    </row>
    <row r="2324" spans="1:59" ht="57" x14ac:dyDescent="0.45">
      <c r="A2324" s="2" t="s">
        <v>59</v>
      </c>
      <c r="B2324" s="2" t="s">
        <v>60</v>
      </c>
      <c r="C2324" s="2" t="s">
        <v>22701</v>
      </c>
      <c r="D2324" s="2" t="s">
        <v>22702</v>
      </c>
      <c r="E2324" s="2" t="s">
        <v>22703</v>
      </c>
      <c r="G2324" s="3" t="s">
        <v>62</v>
      </c>
      <c r="I2324" s="3" t="s">
        <v>62</v>
      </c>
      <c r="J2324" s="3" t="s">
        <v>62</v>
      </c>
      <c r="K2324" s="3" t="s">
        <v>63</v>
      </c>
      <c r="L2324" s="2" t="s">
        <v>22704</v>
      </c>
      <c r="M2324" s="2" t="s">
        <v>22705</v>
      </c>
      <c r="N2324" s="3" t="s">
        <v>945</v>
      </c>
      <c r="O2324" s="2" t="s">
        <v>933</v>
      </c>
      <c r="P2324" s="3" t="s">
        <v>65</v>
      </c>
      <c r="R2324" s="3" t="s">
        <v>66</v>
      </c>
      <c r="S2324" s="4">
        <v>22</v>
      </c>
      <c r="T2324" s="4">
        <v>22</v>
      </c>
      <c r="U2324" s="5" t="s">
        <v>3449</v>
      </c>
      <c r="V2324" s="5" t="s">
        <v>3449</v>
      </c>
      <c r="W2324" s="5" t="s">
        <v>67</v>
      </c>
      <c r="X2324" s="5" t="s">
        <v>67</v>
      </c>
      <c r="Y2324" s="4">
        <v>121</v>
      </c>
      <c r="Z2324" s="4">
        <v>55</v>
      </c>
      <c r="AA2324" s="4">
        <v>79</v>
      </c>
      <c r="AB2324" s="4">
        <v>4</v>
      </c>
      <c r="AC2324" s="4">
        <v>10</v>
      </c>
      <c r="AD2324" s="4">
        <v>56</v>
      </c>
      <c r="AE2324" s="4">
        <v>68</v>
      </c>
      <c r="AF2324" s="4">
        <v>2</v>
      </c>
      <c r="AG2324" s="4">
        <v>4</v>
      </c>
      <c r="AH2324" s="4">
        <v>34</v>
      </c>
      <c r="AI2324" s="4">
        <v>38</v>
      </c>
      <c r="AJ2324" s="4">
        <v>17</v>
      </c>
      <c r="AK2324" s="4">
        <v>22</v>
      </c>
      <c r="AL2324" s="4">
        <v>17</v>
      </c>
      <c r="AM2324" s="4">
        <v>17</v>
      </c>
      <c r="AN2324" s="4">
        <v>0</v>
      </c>
      <c r="AO2324" s="4">
        <v>0</v>
      </c>
      <c r="AP2324" s="4">
        <v>29</v>
      </c>
      <c r="AQ2324" s="4">
        <v>41</v>
      </c>
      <c r="AR2324" s="3" t="s">
        <v>61</v>
      </c>
      <c r="AS2324" s="3" t="s">
        <v>62</v>
      </c>
      <c r="AT2324" s="3" t="s">
        <v>62</v>
      </c>
      <c r="AV2324" s="6" t="str">
        <f>HYPERLINK("http://mcgill.on.worldcat.org/oclc/74028956","Catalog Record")</f>
        <v>Catalog Record</v>
      </c>
      <c r="AW2324" s="6" t="str">
        <f>HYPERLINK("http://www.worldcat.org/oclc/74028956","WorldCat Record")</f>
        <v>WorldCat Record</v>
      </c>
      <c r="AX2324" s="3" t="s">
        <v>22706</v>
      </c>
      <c r="AY2324" s="3" t="s">
        <v>22707</v>
      </c>
      <c r="AZ2324" s="3" t="s">
        <v>22708</v>
      </c>
      <c r="BA2324" s="3" t="s">
        <v>22708</v>
      </c>
      <c r="BB2324" s="3" t="s">
        <v>22709</v>
      </c>
      <c r="BC2324" s="3" t="s">
        <v>142</v>
      </c>
      <c r="BD2324" s="3" t="s">
        <v>68</v>
      </c>
      <c r="BE2324" s="3" t="s">
        <v>22710</v>
      </c>
      <c r="BF2324" s="3" t="s">
        <v>22709</v>
      </c>
      <c r="BG2324" s="3" t="s">
        <v>22711</v>
      </c>
    </row>
    <row r="2325" spans="1:59" ht="57" x14ac:dyDescent="0.45">
      <c r="A2325" s="2" t="s">
        <v>59</v>
      </c>
      <c r="B2325" s="2" t="s">
        <v>60</v>
      </c>
      <c r="C2325" s="2" t="s">
        <v>22712</v>
      </c>
      <c r="D2325" s="2" t="s">
        <v>22713</v>
      </c>
      <c r="E2325" s="2" t="s">
        <v>22714</v>
      </c>
      <c r="G2325" s="3" t="s">
        <v>62</v>
      </c>
      <c r="I2325" s="3" t="s">
        <v>62</v>
      </c>
      <c r="J2325" s="3" t="s">
        <v>62</v>
      </c>
      <c r="K2325" s="3" t="s">
        <v>63</v>
      </c>
      <c r="L2325" s="2" t="s">
        <v>15582</v>
      </c>
      <c r="M2325" s="2" t="s">
        <v>22715</v>
      </c>
      <c r="N2325" s="3" t="s">
        <v>149</v>
      </c>
      <c r="P2325" s="3" t="s">
        <v>65</v>
      </c>
      <c r="R2325" s="3" t="s">
        <v>66</v>
      </c>
      <c r="S2325" s="4">
        <v>14</v>
      </c>
      <c r="T2325" s="4">
        <v>14</v>
      </c>
      <c r="U2325" s="5" t="s">
        <v>22716</v>
      </c>
      <c r="V2325" s="5" t="s">
        <v>22716</v>
      </c>
      <c r="W2325" s="5" t="s">
        <v>67</v>
      </c>
      <c r="X2325" s="5" t="s">
        <v>67</v>
      </c>
      <c r="Y2325" s="4">
        <v>175</v>
      </c>
      <c r="Z2325" s="4">
        <v>74</v>
      </c>
      <c r="AA2325" s="4">
        <v>99</v>
      </c>
      <c r="AB2325" s="4">
        <v>3</v>
      </c>
      <c r="AC2325" s="4">
        <v>14</v>
      </c>
      <c r="AD2325" s="4">
        <v>92</v>
      </c>
      <c r="AE2325" s="4">
        <v>105</v>
      </c>
      <c r="AF2325" s="4">
        <v>1</v>
      </c>
      <c r="AG2325" s="4">
        <v>7</v>
      </c>
      <c r="AH2325" s="4">
        <v>61</v>
      </c>
      <c r="AI2325" s="4">
        <v>64</v>
      </c>
      <c r="AJ2325" s="4">
        <v>24</v>
      </c>
      <c r="AK2325" s="4">
        <v>30</v>
      </c>
      <c r="AL2325" s="4">
        <v>31</v>
      </c>
      <c r="AM2325" s="4">
        <v>32</v>
      </c>
      <c r="AN2325" s="4">
        <v>0</v>
      </c>
      <c r="AO2325" s="4">
        <v>0</v>
      </c>
      <c r="AP2325" s="4">
        <v>39</v>
      </c>
      <c r="AQ2325" s="4">
        <v>50</v>
      </c>
      <c r="AR2325" s="3" t="s">
        <v>61</v>
      </c>
      <c r="AS2325" s="3" t="s">
        <v>62</v>
      </c>
      <c r="AT2325" s="3" t="s">
        <v>62</v>
      </c>
      <c r="AV2325" s="6" t="str">
        <f>HYPERLINK("http://mcgill.on.worldcat.org/oclc/473375060","Catalog Record")</f>
        <v>Catalog Record</v>
      </c>
      <c r="AW2325" s="6" t="str">
        <f>HYPERLINK("http://www.worldcat.org/oclc/473375060","WorldCat Record")</f>
        <v>WorldCat Record</v>
      </c>
      <c r="AX2325" s="3" t="s">
        <v>22717</v>
      </c>
      <c r="AY2325" s="3" t="s">
        <v>22718</v>
      </c>
      <c r="AZ2325" s="3" t="s">
        <v>22719</v>
      </c>
      <c r="BA2325" s="3" t="s">
        <v>22719</v>
      </c>
      <c r="BB2325" s="3" t="s">
        <v>22720</v>
      </c>
      <c r="BC2325" s="3" t="s">
        <v>142</v>
      </c>
      <c r="BD2325" s="3" t="s">
        <v>68</v>
      </c>
      <c r="BE2325" s="3" t="s">
        <v>22721</v>
      </c>
      <c r="BF2325" s="3" t="s">
        <v>22720</v>
      </c>
      <c r="BG2325" s="3" t="s">
        <v>22722</v>
      </c>
    </row>
    <row r="2326" spans="1:59" ht="57" x14ac:dyDescent="0.45">
      <c r="A2326" s="2" t="s">
        <v>59</v>
      </c>
      <c r="B2326" s="2" t="s">
        <v>60</v>
      </c>
      <c r="C2326" s="2" t="s">
        <v>22723</v>
      </c>
      <c r="D2326" s="2" t="s">
        <v>22724</v>
      </c>
      <c r="E2326" s="2" t="s">
        <v>22725</v>
      </c>
      <c r="G2326" s="3" t="s">
        <v>62</v>
      </c>
      <c r="I2326" s="3" t="s">
        <v>61</v>
      </c>
      <c r="J2326" s="3" t="s">
        <v>62</v>
      </c>
      <c r="K2326" s="3" t="s">
        <v>63</v>
      </c>
      <c r="L2326" s="2" t="s">
        <v>16770</v>
      </c>
      <c r="M2326" s="2" t="s">
        <v>22726</v>
      </c>
      <c r="N2326" s="3" t="s">
        <v>1437</v>
      </c>
      <c r="P2326" s="3" t="s">
        <v>65</v>
      </c>
      <c r="R2326" s="3" t="s">
        <v>66</v>
      </c>
      <c r="S2326" s="4">
        <v>40</v>
      </c>
      <c r="T2326" s="4">
        <v>79</v>
      </c>
      <c r="U2326" s="5" t="s">
        <v>22727</v>
      </c>
      <c r="V2326" s="5" t="s">
        <v>22727</v>
      </c>
      <c r="W2326" s="5" t="s">
        <v>67</v>
      </c>
      <c r="X2326" s="5" t="s">
        <v>67</v>
      </c>
      <c r="Y2326" s="4">
        <v>256</v>
      </c>
      <c r="Z2326" s="4">
        <v>65</v>
      </c>
      <c r="AA2326" s="4">
        <v>76</v>
      </c>
      <c r="AB2326" s="4">
        <v>3</v>
      </c>
      <c r="AC2326" s="4">
        <v>11</v>
      </c>
      <c r="AD2326" s="4">
        <v>127</v>
      </c>
      <c r="AE2326" s="4">
        <v>134</v>
      </c>
      <c r="AF2326" s="4">
        <v>2</v>
      </c>
      <c r="AG2326" s="4">
        <v>6</v>
      </c>
      <c r="AH2326" s="4">
        <v>94</v>
      </c>
      <c r="AI2326" s="4">
        <v>98</v>
      </c>
      <c r="AJ2326" s="4">
        <v>24</v>
      </c>
      <c r="AK2326" s="4">
        <v>28</v>
      </c>
      <c r="AL2326" s="4">
        <v>47</v>
      </c>
      <c r="AM2326" s="4">
        <v>48</v>
      </c>
      <c r="AN2326" s="4">
        <v>0</v>
      </c>
      <c r="AO2326" s="4">
        <v>0</v>
      </c>
      <c r="AP2326" s="4">
        <v>41</v>
      </c>
      <c r="AQ2326" s="4">
        <v>44</v>
      </c>
      <c r="AR2326" s="3" t="s">
        <v>61</v>
      </c>
      <c r="AS2326" s="3" t="s">
        <v>62</v>
      </c>
      <c r="AT2326" s="3" t="s">
        <v>61</v>
      </c>
      <c r="AU2326" s="6" t="str">
        <f>HYPERLINK("http://catalog.hathitrust.org/Record/004009515","HathiTrust Record")</f>
        <v>HathiTrust Record</v>
      </c>
      <c r="AV2326" s="6" t="str">
        <f>HYPERLINK("http://mcgill.on.worldcat.org/oclc/39354977","Catalog Record")</f>
        <v>Catalog Record</v>
      </c>
      <c r="AW2326" s="6" t="str">
        <f>HYPERLINK("http://www.worldcat.org/oclc/39354977","WorldCat Record")</f>
        <v>WorldCat Record</v>
      </c>
      <c r="AX2326" s="3" t="s">
        <v>22728</v>
      </c>
      <c r="AY2326" s="3" t="s">
        <v>22729</v>
      </c>
      <c r="AZ2326" s="3" t="s">
        <v>22730</v>
      </c>
      <c r="BA2326" s="3" t="s">
        <v>22730</v>
      </c>
      <c r="BB2326" s="3" t="s">
        <v>22731</v>
      </c>
      <c r="BC2326" s="3" t="s">
        <v>142</v>
      </c>
      <c r="BD2326" s="3" t="s">
        <v>68</v>
      </c>
      <c r="BE2326" s="3" t="s">
        <v>22732</v>
      </c>
      <c r="BF2326" s="3" t="s">
        <v>22731</v>
      </c>
      <c r="BG2326" s="3" t="s">
        <v>22733</v>
      </c>
    </row>
    <row r="2327" spans="1:59" ht="57" x14ac:dyDescent="0.45">
      <c r="A2327" s="2" t="s">
        <v>59</v>
      </c>
      <c r="B2327" s="2" t="s">
        <v>60</v>
      </c>
      <c r="C2327" s="2" t="s">
        <v>22723</v>
      </c>
      <c r="D2327" s="2" t="s">
        <v>22724</v>
      </c>
      <c r="E2327" s="2" t="s">
        <v>22725</v>
      </c>
      <c r="G2327" s="3" t="s">
        <v>62</v>
      </c>
      <c r="I2327" s="3" t="s">
        <v>61</v>
      </c>
      <c r="J2327" s="3" t="s">
        <v>62</v>
      </c>
      <c r="K2327" s="3" t="s">
        <v>63</v>
      </c>
      <c r="L2327" s="2" t="s">
        <v>16770</v>
      </c>
      <c r="M2327" s="2" t="s">
        <v>22726</v>
      </c>
      <c r="N2327" s="3" t="s">
        <v>1437</v>
      </c>
      <c r="P2327" s="3" t="s">
        <v>65</v>
      </c>
      <c r="R2327" s="3" t="s">
        <v>66</v>
      </c>
      <c r="S2327" s="4">
        <v>18</v>
      </c>
      <c r="T2327" s="4">
        <v>79</v>
      </c>
      <c r="U2327" s="5" t="s">
        <v>22734</v>
      </c>
      <c r="V2327" s="5" t="s">
        <v>22727</v>
      </c>
      <c r="W2327" s="5" t="s">
        <v>67</v>
      </c>
      <c r="X2327" s="5" t="s">
        <v>67</v>
      </c>
      <c r="Y2327" s="4">
        <v>256</v>
      </c>
      <c r="Z2327" s="4">
        <v>65</v>
      </c>
      <c r="AA2327" s="4">
        <v>76</v>
      </c>
      <c r="AB2327" s="4">
        <v>3</v>
      </c>
      <c r="AC2327" s="4">
        <v>11</v>
      </c>
      <c r="AD2327" s="4">
        <v>127</v>
      </c>
      <c r="AE2327" s="4">
        <v>134</v>
      </c>
      <c r="AF2327" s="4">
        <v>2</v>
      </c>
      <c r="AG2327" s="4">
        <v>6</v>
      </c>
      <c r="AH2327" s="4">
        <v>94</v>
      </c>
      <c r="AI2327" s="4">
        <v>98</v>
      </c>
      <c r="AJ2327" s="4">
        <v>24</v>
      </c>
      <c r="AK2327" s="4">
        <v>28</v>
      </c>
      <c r="AL2327" s="4">
        <v>47</v>
      </c>
      <c r="AM2327" s="4">
        <v>48</v>
      </c>
      <c r="AN2327" s="4">
        <v>0</v>
      </c>
      <c r="AO2327" s="4">
        <v>0</v>
      </c>
      <c r="AP2327" s="4">
        <v>41</v>
      </c>
      <c r="AQ2327" s="4">
        <v>44</v>
      </c>
      <c r="AR2327" s="3" t="s">
        <v>61</v>
      </c>
      <c r="AS2327" s="3" t="s">
        <v>62</v>
      </c>
      <c r="AT2327" s="3" t="s">
        <v>61</v>
      </c>
      <c r="AU2327" s="6" t="str">
        <f>HYPERLINK("http://catalog.hathitrust.org/Record/004009515","HathiTrust Record")</f>
        <v>HathiTrust Record</v>
      </c>
      <c r="AV2327" s="6" t="str">
        <f>HYPERLINK("http://mcgill.on.worldcat.org/oclc/39354977","Catalog Record")</f>
        <v>Catalog Record</v>
      </c>
      <c r="AW2327" s="6" t="str">
        <f>HYPERLINK("http://www.worldcat.org/oclc/39354977","WorldCat Record")</f>
        <v>WorldCat Record</v>
      </c>
      <c r="AX2327" s="3" t="s">
        <v>22728</v>
      </c>
      <c r="AY2327" s="3" t="s">
        <v>22729</v>
      </c>
      <c r="AZ2327" s="3" t="s">
        <v>22730</v>
      </c>
      <c r="BA2327" s="3" t="s">
        <v>22730</v>
      </c>
      <c r="BB2327" s="3" t="s">
        <v>22735</v>
      </c>
      <c r="BC2327" s="3" t="s">
        <v>142</v>
      </c>
      <c r="BD2327" s="3" t="s">
        <v>68</v>
      </c>
      <c r="BE2327" s="3" t="s">
        <v>22732</v>
      </c>
      <c r="BF2327" s="3" t="s">
        <v>22735</v>
      </c>
      <c r="BG2327" s="3" t="s">
        <v>22736</v>
      </c>
    </row>
    <row r="2328" spans="1:59" ht="57" x14ac:dyDescent="0.45">
      <c r="A2328" s="2" t="s">
        <v>59</v>
      </c>
      <c r="B2328" s="2" t="s">
        <v>60</v>
      </c>
      <c r="C2328" s="2" t="s">
        <v>22723</v>
      </c>
      <c r="D2328" s="2" t="s">
        <v>22724</v>
      </c>
      <c r="E2328" s="2" t="s">
        <v>22725</v>
      </c>
      <c r="G2328" s="3" t="s">
        <v>62</v>
      </c>
      <c r="I2328" s="3" t="s">
        <v>61</v>
      </c>
      <c r="J2328" s="3" t="s">
        <v>62</v>
      </c>
      <c r="K2328" s="3" t="s">
        <v>63</v>
      </c>
      <c r="L2328" s="2" t="s">
        <v>16770</v>
      </c>
      <c r="M2328" s="2" t="s">
        <v>22726</v>
      </c>
      <c r="N2328" s="3" t="s">
        <v>1437</v>
      </c>
      <c r="P2328" s="3" t="s">
        <v>65</v>
      </c>
      <c r="R2328" s="3" t="s">
        <v>66</v>
      </c>
      <c r="S2328" s="4">
        <v>21</v>
      </c>
      <c r="T2328" s="4">
        <v>79</v>
      </c>
      <c r="U2328" s="5" t="s">
        <v>19116</v>
      </c>
      <c r="V2328" s="5" t="s">
        <v>22727</v>
      </c>
      <c r="W2328" s="5" t="s">
        <v>67</v>
      </c>
      <c r="X2328" s="5" t="s">
        <v>67</v>
      </c>
      <c r="Y2328" s="4">
        <v>256</v>
      </c>
      <c r="Z2328" s="4">
        <v>65</v>
      </c>
      <c r="AA2328" s="4">
        <v>76</v>
      </c>
      <c r="AB2328" s="4">
        <v>3</v>
      </c>
      <c r="AC2328" s="4">
        <v>11</v>
      </c>
      <c r="AD2328" s="4">
        <v>127</v>
      </c>
      <c r="AE2328" s="4">
        <v>134</v>
      </c>
      <c r="AF2328" s="4">
        <v>2</v>
      </c>
      <c r="AG2328" s="4">
        <v>6</v>
      </c>
      <c r="AH2328" s="4">
        <v>94</v>
      </c>
      <c r="AI2328" s="4">
        <v>98</v>
      </c>
      <c r="AJ2328" s="4">
        <v>24</v>
      </c>
      <c r="AK2328" s="4">
        <v>28</v>
      </c>
      <c r="AL2328" s="4">
        <v>47</v>
      </c>
      <c r="AM2328" s="4">
        <v>48</v>
      </c>
      <c r="AN2328" s="4">
        <v>0</v>
      </c>
      <c r="AO2328" s="4">
        <v>0</v>
      </c>
      <c r="AP2328" s="4">
        <v>41</v>
      </c>
      <c r="AQ2328" s="4">
        <v>44</v>
      </c>
      <c r="AR2328" s="3" t="s">
        <v>61</v>
      </c>
      <c r="AS2328" s="3" t="s">
        <v>62</v>
      </c>
      <c r="AT2328" s="3" t="s">
        <v>61</v>
      </c>
      <c r="AU2328" s="6" t="str">
        <f>HYPERLINK("http://catalog.hathitrust.org/Record/004009515","HathiTrust Record")</f>
        <v>HathiTrust Record</v>
      </c>
      <c r="AV2328" s="6" t="str">
        <f>HYPERLINK("http://mcgill.on.worldcat.org/oclc/39354977","Catalog Record")</f>
        <v>Catalog Record</v>
      </c>
      <c r="AW2328" s="6" t="str">
        <f>HYPERLINK("http://www.worldcat.org/oclc/39354977","WorldCat Record")</f>
        <v>WorldCat Record</v>
      </c>
      <c r="AX2328" s="3" t="s">
        <v>22728</v>
      </c>
      <c r="AY2328" s="3" t="s">
        <v>22729</v>
      </c>
      <c r="AZ2328" s="3" t="s">
        <v>22730</v>
      </c>
      <c r="BA2328" s="3" t="s">
        <v>22730</v>
      </c>
      <c r="BB2328" s="3" t="s">
        <v>22737</v>
      </c>
      <c r="BC2328" s="3" t="s">
        <v>142</v>
      </c>
      <c r="BD2328" s="3" t="s">
        <v>68</v>
      </c>
      <c r="BE2328" s="3" t="s">
        <v>22732</v>
      </c>
      <c r="BF2328" s="3" t="s">
        <v>22737</v>
      </c>
      <c r="BG2328" s="3" t="s">
        <v>22738</v>
      </c>
    </row>
    <row r="2329" spans="1:59" ht="57" x14ac:dyDescent="0.45">
      <c r="A2329" s="2" t="s">
        <v>59</v>
      </c>
      <c r="B2329" s="2" t="s">
        <v>60</v>
      </c>
      <c r="C2329" s="2" t="s">
        <v>22739</v>
      </c>
      <c r="D2329" s="2" t="s">
        <v>22740</v>
      </c>
      <c r="E2329" s="2" t="s">
        <v>22741</v>
      </c>
      <c r="G2329" s="3" t="s">
        <v>62</v>
      </c>
      <c r="I2329" s="3" t="s">
        <v>61</v>
      </c>
      <c r="J2329" s="3" t="s">
        <v>61</v>
      </c>
      <c r="K2329" s="3" t="s">
        <v>63</v>
      </c>
      <c r="L2329" s="2" t="s">
        <v>22742</v>
      </c>
      <c r="M2329" s="2" t="s">
        <v>22743</v>
      </c>
      <c r="N2329" s="3" t="s">
        <v>1478</v>
      </c>
      <c r="O2329" s="2" t="s">
        <v>21984</v>
      </c>
      <c r="P2329" s="3" t="s">
        <v>65</v>
      </c>
      <c r="Q2329" s="2" t="s">
        <v>22744</v>
      </c>
      <c r="R2329" s="3" t="s">
        <v>66</v>
      </c>
      <c r="S2329" s="4">
        <v>52</v>
      </c>
      <c r="T2329" s="4">
        <v>152</v>
      </c>
      <c r="U2329" s="5" t="s">
        <v>328</v>
      </c>
      <c r="V2329" s="5" t="s">
        <v>11108</v>
      </c>
      <c r="W2329" s="5" t="s">
        <v>67</v>
      </c>
      <c r="X2329" s="5" t="s">
        <v>67</v>
      </c>
      <c r="Y2329" s="4">
        <v>53</v>
      </c>
      <c r="Z2329" s="4">
        <v>27</v>
      </c>
      <c r="AA2329" s="4">
        <v>98</v>
      </c>
      <c r="AB2329" s="4">
        <v>1</v>
      </c>
      <c r="AC2329" s="4">
        <v>10</v>
      </c>
      <c r="AD2329" s="4">
        <v>32</v>
      </c>
      <c r="AE2329" s="4">
        <v>128</v>
      </c>
      <c r="AF2329" s="4">
        <v>0</v>
      </c>
      <c r="AG2329" s="4">
        <v>8</v>
      </c>
      <c r="AH2329" s="4">
        <v>19</v>
      </c>
      <c r="AI2329" s="4">
        <v>82</v>
      </c>
      <c r="AJ2329" s="4">
        <v>9</v>
      </c>
      <c r="AK2329" s="4">
        <v>29</v>
      </c>
      <c r="AL2329" s="4">
        <v>8</v>
      </c>
      <c r="AM2329" s="4">
        <v>41</v>
      </c>
      <c r="AN2329" s="4">
        <v>0</v>
      </c>
      <c r="AO2329" s="4">
        <v>0</v>
      </c>
      <c r="AP2329" s="4">
        <v>19</v>
      </c>
      <c r="AQ2329" s="4">
        <v>56</v>
      </c>
      <c r="AR2329" s="3" t="s">
        <v>61</v>
      </c>
      <c r="AS2329" s="3" t="s">
        <v>62</v>
      </c>
      <c r="AT2329" s="3" t="s">
        <v>62</v>
      </c>
      <c r="AV2329" s="6" t="str">
        <f>HYPERLINK("http://mcgill.on.worldcat.org/oclc/37480990","Catalog Record")</f>
        <v>Catalog Record</v>
      </c>
      <c r="AW2329" s="6" t="str">
        <f>HYPERLINK("http://www.worldcat.org/oclc/37480990","WorldCat Record")</f>
        <v>WorldCat Record</v>
      </c>
      <c r="AX2329" s="3" t="s">
        <v>22745</v>
      </c>
      <c r="AY2329" s="3" t="s">
        <v>22746</v>
      </c>
      <c r="AZ2329" s="3" t="s">
        <v>22747</v>
      </c>
      <c r="BA2329" s="3" t="s">
        <v>22747</v>
      </c>
      <c r="BB2329" s="3" t="s">
        <v>22748</v>
      </c>
      <c r="BC2329" s="3" t="s">
        <v>142</v>
      </c>
      <c r="BD2329" s="3" t="s">
        <v>68</v>
      </c>
      <c r="BE2329" s="3" t="s">
        <v>22749</v>
      </c>
      <c r="BF2329" s="3" t="s">
        <v>22748</v>
      </c>
      <c r="BG2329" s="3" t="s">
        <v>22750</v>
      </c>
    </row>
    <row r="2330" spans="1:59" ht="57" x14ac:dyDescent="0.45">
      <c r="A2330" s="2" t="s">
        <v>59</v>
      </c>
      <c r="B2330" s="2" t="s">
        <v>60</v>
      </c>
      <c r="C2330" s="2" t="s">
        <v>22739</v>
      </c>
      <c r="D2330" s="2" t="s">
        <v>22740</v>
      </c>
      <c r="E2330" s="2" t="s">
        <v>22741</v>
      </c>
      <c r="G2330" s="3" t="s">
        <v>62</v>
      </c>
      <c r="I2330" s="3" t="s">
        <v>61</v>
      </c>
      <c r="J2330" s="3" t="s">
        <v>61</v>
      </c>
      <c r="K2330" s="3" t="s">
        <v>63</v>
      </c>
      <c r="L2330" s="2" t="s">
        <v>22742</v>
      </c>
      <c r="M2330" s="2" t="s">
        <v>22743</v>
      </c>
      <c r="N2330" s="3" t="s">
        <v>1478</v>
      </c>
      <c r="O2330" s="2" t="s">
        <v>21984</v>
      </c>
      <c r="P2330" s="3" t="s">
        <v>65</v>
      </c>
      <c r="Q2330" s="2" t="s">
        <v>22744</v>
      </c>
      <c r="R2330" s="3" t="s">
        <v>66</v>
      </c>
      <c r="S2330" s="4">
        <v>17</v>
      </c>
      <c r="T2330" s="4">
        <v>152</v>
      </c>
      <c r="U2330" s="5" t="s">
        <v>1561</v>
      </c>
      <c r="V2330" s="5" t="s">
        <v>11108</v>
      </c>
      <c r="W2330" s="5" t="s">
        <v>67</v>
      </c>
      <c r="X2330" s="5" t="s">
        <v>67</v>
      </c>
      <c r="Y2330" s="4">
        <v>53</v>
      </c>
      <c r="Z2330" s="4">
        <v>27</v>
      </c>
      <c r="AA2330" s="4">
        <v>98</v>
      </c>
      <c r="AB2330" s="4">
        <v>1</v>
      </c>
      <c r="AC2330" s="4">
        <v>10</v>
      </c>
      <c r="AD2330" s="4">
        <v>32</v>
      </c>
      <c r="AE2330" s="4">
        <v>128</v>
      </c>
      <c r="AF2330" s="4">
        <v>0</v>
      </c>
      <c r="AG2330" s="4">
        <v>8</v>
      </c>
      <c r="AH2330" s="4">
        <v>19</v>
      </c>
      <c r="AI2330" s="4">
        <v>82</v>
      </c>
      <c r="AJ2330" s="4">
        <v>9</v>
      </c>
      <c r="AK2330" s="4">
        <v>29</v>
      </c>
      <c r="AL2330" s="4">
        <v>8</v>
      </c>
      <c r="AM2330" s="4">
        <v>41</v>
      </c>
      <c r="AN2330" s="4">
        <v>0</v>
      </c>
      <c r="AO2330" s="4">
        <v>0</v>
      </c>
      <c r="AP2330" s="4">
        <v>19</v>
      </c>
      <c r="AQ2330" s="4">
        <v>56</v>
      </c>
      <c r="AR2330" s="3" t="s">
        <v>61</v>
      </c>
      <c r="AS2330" s="3" t="s">
        <v>62</v>
      </c>
      <c r="AT2330" s="3" t="s">
        <v>62</v>
      </c>
      <c r="AV2330" s="6" t="str">
        <f>HYPERLINK("http://mcgill.on.worldcat.org/oclc/37480990","Catalog Record")</f>
        <v>Catalog Record</v>
      </c>
      <c r="AW2330" s="6" t="str">
        <f>HYPERLINK("http://www.worldcat.org/oclc/37480990","WorldCat Record")</f>
        <v>WorldCat Record</v>
      </c>
      <c r="AX2330" s="3" t="s">
        <v>22745</v>
      </c>
      <c r="AY2330" s="3" t="s">
        <v>22746</v>
      </c>
      <c r="AZ2330" s="3" t="s">
        <v>22747</v>
      </c>
      <c r="BA2330" s="3" t="s">
        <v>22747</v>
      </c>
      <c r="BB2330" s="3" t="s">
        <v>22751</v>
      </c>
      <c r="BC2330" s="3" t="s">
        <v>142</v>
      </c>
      <c r="BD2330" s="3" t="s">
        <v>68</v>
      </c>
      <c r="BE2330" s="3" t="s">
        <v>22749</v>
      </c>
      <c r="BF2330" s="3" t="s">
        <v>22751</v>
      </c>
      <c r="BG2330" s="3" t="s">
        <v>22752</v>
      </c>
    </row>
    <row r="2331" spans="1:59" ht="57" x14ac:dyDescent="0.45">
      <c r="A2331" s="2" t="s">
        <v>59</v>
      </c>
      <c r="B2331" s="2" t="s">
        <v>60</v>
      </c>
      <c r="C2331" s="2" t="s">
        <v>22739</v>
      </c>
      <c r="D2331" s="2" t="s">
        <v>22740</v>
      </c>
      <c r="E2331" s="2" t="s">
        <v>22741</v>
      </c>
      <c r="G2331" s="3" t="s">
        <v>62</v>
      </c>
      <c r="I2331" s="3" t="s">
        <v>61</v>
      </c>
      <c r="J2331" s="3" t="s">
        <v>61</v>
      </c>
      <c r="K2331" s="3" t="s">
        <v>63</v>
      </c>
      <c r="L2331" s="2" t="s">
        <v>22742</v>
      </c>
      <c r="M2331" s="2" t="s">
        <v>22743</v>
      </c>
      <c r="N2331" s="3" t="s">
        <v>1478</v>
      </c>
      <c r="O2331" s="2" t="s">
        <v>21984</v>
      </c>
      <c r="P2331" s="3" t="s">
        <v>65</v>
      </c>
      <c r="Q2331" s="2" t="s">
        <v>22744</v>
      </c>
      <c r="R2331" s="3" t="s">
        <v>66</v>
      </c>
      <c r="S2331" s="4">
        <v>44</v>
      </c>
      <c r="T2331" s="4">
        <v>152</v>
      </c>
      <c r="U2331" s="5" t="s">
        <v>11108</v>
      </c>
      <c r="V2331" s="5" t="s">
        <v>11108</v>
      </c>
      <c r="W2331" s="5" t="s">
        <v>67</v>
      </c>
      <c r="X2331" s="5" t="s">
        <v>67</v>
      </c>
      <c r="Y2331" s="4">
        <v>53</v>
      </c>
      <c r="Z2331" s="4">
        <v>27</v>
      </c>
      <c r="AA2331" s="4">
        <v>98</v>
      </c>
      <c r="AB2331" s="4">
        <v>1</v>
      </c>
      <c r="AC2331" s="4">
        <v>10</v>
      </c>
      <c r="AD2331" s="4">
        <v>32</v>
      </c>
      <c r="AE2331" s="4">
        <v>128</v>
      </c>
      <c r="AF2331" s="4">
        <v>0</v>
      </c>
      <c r="AG2331" s="4">
        <v>8</v>
      </c>
      <c r="AH2331" s="4">
        <v>19</v>
      </c>
      <c r="AI2331" s="4">
        <v>82</v>
      </c>
      <c r="AJ2331" s="4">
        <v>9</v>
      </c>
      <c r="AK2331" s="4">
        <v>29</v>
      </c>
      <c r="AL2331" s="4">
        <v>8</v>
      </c>
      <c r="AM2331" s="4">
        <v>41</v>
      </c>
      <c r="AN2331" s="4">
        <v>0</v>
      </c>
      <c r="AO2331" s="4">
        <v>0</v>
      </c>
      <c r="AP2331" s="4">
        <v>19</v>
      </c>
      <c r="AQ2331" s="4">
        <v>56</v>
      </c>
      <c r="AR2331" s="3" t="s">
        <v>61</v>
      </c>
      <c r="AS2331" s="3" t="s">
        <v>62</v>
      </c>
      <c r="AT2331" s="3" t="s">
        <v>62</v>
      </c>
      <c r="AV2331" s="6" t="str">
        <f>HYPERLINK("http://mcgill.on.worldcat.org/oclc/37480990","Catalog Record")</f>
        <v>Catalog Record</v>
      </c>
      <c r="AW2331" s="6" t="str">
        <f>HYPERLINK("http://www.worldcat.org/oclc/37480990","WorldCat Record")</f>
        <v>WorldCat Record</v>
      </c>
      <c r="AX2331" s="3" t="s">
        <v>22745</v>
      </c>
      <c r="AY2331" s="3" t="s">
        <v>22746</v>
      </c>
      <c r="AZ2331" s="3" t="s">
        <v>22747</v>
      </c>
      <c r="BA2331" s="3" t="s">
        <v>22747</v>
      </c>
      <c r="BB2331" s="3" t="s">
        <v>22753</v>
      </c>
      <c r="BC2331" s="3" t="s">
        <v>142</v>
      </c>
      <c r="BD2331" s="3" t="s">
        <v>68</v>
      </c>
      <c r="BE2331" s="3" t="s">
        <v>22749</v>
      </c>
      <c r="BF2331" s="3" t="s">
        <v>22753</v>
      </c>
      <c r="BG2331" s="3" t="s">
        <v>22754</v>
      </c>
    </row>
    <row r="2332" spans="1:59" ht="57" x14ac:dyDescent="0.45">
      <c r="A2332" s="2" t="s">
        <v>59</v>
      </c>
      <c r="B2332" s="2" t="s">
        <v>60</v>
      </c>
      <c r="C2332" s="2" t="s">
        <v>22739</v>
      </c>
      <c r="D2332" s="2" t="s">
        <v>22740</v>
      </c>
      <c r="E2332" s="2" t="s">
        <v>22741</v>
      </c>
      <c r="G2332" s="3" t="s">
        <v>62</v>
      </c>
      <c r="I2332" s="3" t="s">
        <v>61</v>
      </c>
      <c r="J2332" s="3" t="s">
        <v>61</v>
      </c>
      <c r="K2332" s="3" t="s">
        <v>63</v>
      </c>
      <c r="L2332" s="2" t="s">
        <v>22742</v>
      </c>
      <c r="M2332" s="2" t="s">
        <v>22743</v>
      </c>
      <c r="N2332" s="3" t="s">
        <v>1478</v>
      </c>
      <c r="O2332" s="2" t="s">
        <v>21984</v>
      </c>
      <c r="P2332" s="3" t="s">
        <v>65</v>
      </c>
      <c r="Q2332" s="2" t="s">
        <v>22744</v>
      </c>
      <c r="R2332" s="3" t="s">
        <v>66</v>
      </c>
      <c r="S2332" s="4">
        <v>39</v>
      </c>
      <c r="T2332" s="4">
        <v>152</v>
      </c>
      <c r="U2332" s="5" t="s">
        <v>2173</v>
      </c>
      <c r="V2332" s="5" t="s">
        <v>11108</v>
      </c>
      <c r="W2332" s="5" t="s">
        <v>67</v>
      </c>
      <c r="X2332" s="5" t="s">
        <v>67</v>
      </c>
      <c r="Y2332" s="4">
        <v>53</v>
      </c>
      <c r="Z2332" s="4">
        <v>27</v>
      </c>
      <c r="AA2332" s="4">
        <v>98</v>
      </c>
      <c r="AB2332" s="4">
        <v>1</v>
      </c>
      <c r="AC2332" s="4">
        <v>10</v>
      </c>
      <c r="AD2332" s="4">
        <v>32</v>
      </c>
      <c r="AE2332" s="4">
        <v>128</v>
      </c>
      <c r="AF2332" s="4">
        <v>0</v>
      </c>
      <c r="AG2332" s="4">
        <v>8</v>
      </c>
      <c r="AH2332" s="4">
        <v>19</v>
      </c>
      <c r="AI2332" s="4">
        <v>82</v>
      </c>
      <c r="AJ2332" s="4">
        <v>9</v>
      </c>
      <c r="AK2332" s="4">
        <v>29</v>
      </c>
      <c r="AL2332" s="4">
        <v>8</v>
      </c>
      <c r="AM2332" s="4">
        <v>41</v>
      </c>
      <c r="AN2332" s="4">
        <v>0</v>
      </c>
      <c r="AO2332" s="4">
        <v>0</v>
      </c>
      <c r="AP2332" s="4">
        <v>19</v>
      </c>
      <c r="AQ2332" s="4">
        <v>56</v>
      </c>
      <c r="AR2332" s="3" t="s">
        <v>61</v>
      </c>
      <c r="AS2332" s="3" t="s">
        <v>62</v>
      </c>
      <c r="AT2332" s="3" t="s">
        <v>62</v>
      </c>
      <c r="AV2332" s="6" t="str">
        <f>HYPERLINK("http://mcgill.on.worldcat.org/oclc/37480990","Catalog Record")</f>
        <v>Catalog Record</v>
      </c>
      <c r="AW2332" s="6" t="str">
        <f>HYPERLINK("http://www.worldcat.org/oclc/37480990","WorldCat Record")</f>
        <v>WorldCat Record</v>
      </c>
      <c r="AX2332" s="3" t="s">
        <v>22745</v>
      </c>
      <c r="AY2332" s="3" t="s">
        <v>22746</v>
      </c>
      <c r="AZ2332" s="3" t="s">
        <v>22747</v>
      </c>
      <c r="BA2332" s="3" t="s">
        <v>22747</v>
      </c>
      <c r="BB2332" s="3" t="s">
        <v>22755</v>
      </c>
      <c r="BC2332" s="3" t="s">
        <v>142</v>
      </c>
      <c r="BD2332" s="3" t="s">
        <v>68</v>
      </c>
      <c r="BE2332" s="3" t="s">
        <v>22749</v>
      </c>
      <c r="BF2332" s="3" t="s">
        <v>22755</v>
      </c>
      <c r="BG2332" s="3" t="s">
        <v>22756</v>
      </c>
    </row>
    <row r="2333" spans="1:59" ht="57" x14ac:dyDescent="0.45">
      <c r="A2333" s="2" t="s">
        <v>59</v>
      </c>
      <c r="B2333" s="2" t="s">
        <v>60</v>
      </c>
      <c r="C2333" s="2" t="s">
        <v>22757</v>
      </c>
      <c r="D2333" s="2" t="s">
        <v>22758</v>
      </c>
      <c r="E2333" s="2" t="s">
        <v>22759</v>
      </c>
      <c r="G2333" s="3" t="s">
        <v>62</v>
      </c>
      <c r="I2333" s="3" t="s">
        <v>62</v>
      </c>
      <c r="J2333" s="3" t="s">
        <v>62</v>
      </c>
      <c r="K2333" s="3" t="s">
        <v>63</v>
      </c>
      <c r="L2333" s="2" t="s">
        <v>22760</v>
      </c>
      <c r="M2333" s="2" t="s">
        <v>22761</v>
      </c>
      <c r="N2333" s="3" t="s">
        <v>894</v>
      </c>
      <c r="P2333" s="3" t="s">
        <v>65</v>
      </c>
      <c r="Q2333" s="2" t="s">
        <v>22762</v>
      </c>
      <c r="R2333" s="3" t="s">
        <v>66</v>
      </c>
      <c r="S2333" s="4">
        <v>4</v>
      </c>
      <c r="T2333" s="4">
        <v>4</v>
      </c>
      <c r="U2333" s="5" t="s">
        <v>22763</v>
      </c>
      <c r="V2333" s="5" t="s">
        <v>22763</v>
      </c>
      <c r="W2333" s="5" t="s">
        <v>67</v>
      </c>
      <c r="X2333" s="5" t="s">
        <v>67</v>
      </c>
      <c r="Y2333" s="4">
        <v>113</v>
      </c>
      <c r="Z2333" s="4">
        <v>11</v>
      </c>
      <c r="AA2333" s="4">
        <v>91</v>
      </c>
      <c r="AB2333" s="4">
        <v>2</v>
      </c>
      <c r="AC2333" s="4">
        <v>18</v>
      </c>
      <c r="AD2333" s="4">
        <v>41</v>
      </c>
      <c r="AE2333" s="4">
        <v>112</v>
      </c>
      <c r="AF2333" s="4">
        <v>1</v>
      </c>
      <c r="AG2333" s="4">
        <v>8</v>
      </c>
      <c r="AH2333" s="4">
        <v>38</v>
      </c>
      <c r="AI2333" s="4">
        <v>75</v>
      </c>
      <c r="AJ2333" s="4">
        <v>6</v>
      </c>
      <c r="AK2333" s="4">
        <v>21</v>
      </c>
      <c r="AL2333" s="4">
        <v>22</v>
      </c>
      <c r="AM2333" s="4">
        <v>41</v>
      </c>
      <c r="AN2333" s="4">
        <v>0</v>
      </c>
      <c r="AO2333" s="4">
        <v>0</v>
      </c>
      <c r="AP2333" s="4">
        <v>8</v>
      </c>
      <c r="AQ2333" s="4">
        <v>42</v>
      </c>
      <c r="AR2333" s="3" t="s">
        <v>62</v>
      </c>
      <c r="AS2333" s="3" t="s">
        <v>62</v>
      </c>
      <c r="AT2333" s="3" t="s">
        <v>62</v>
      </c>
      <c r="AV2333" s="6" t="str">
        <f>HYPERLINK("http://mcgill.on.worldcat.org/oclc/697261727","Catalog Record")</f>
        <v>Catalog Record</v>
      </c>
      <c r="AW2333" s="6" t="str">
        <f>HYPERLINK("http://www.worldcat.org/oclc/697261727","WorldCat Record")</f>
        <v>WorldCat Record</v>
      </c>
      <c r="AX2333" s="3" t="s">
        <v>22764</v>
      </c>
      <c r="AY2333" s="3" t="s">
        <v>22765</v>
      </c>
      <c r="AZ2333" s="3" t="s">
        <v>22766</v>
      </c>
      <c r="BA2333" s="3" t="s">
        <v>22766</v>
      </c>
      <c r="BB2333" s="3" t="s">
        <v>22767</v>
      </c>
      <c r="BC2333" s="3" t="s">
        <v>142</v>
      </c>
      <c r="BD2333" s="3" t="s">
        <v>68</v>
      </c>
      <c r="BE2333" s="3" t="s">
        <v>22768</v>
      </c>
      <c r="BF2333" s="3" t="s">
        <v>22767</v>
      </c>
      <c r="BG2333" s="3" t="s">
        <v>22769</v>
      </c>
    </row>
    <row r="2334" spans="1:59" ht="57" x14ac:dyDescent="0.45">
      <c r="A2334" s="2" t="s">
        <v>59</v>
      </c>
      <c r="B2334" s="2" t="s">
        <v>60</v>
      </c>
      <c r="C2334" s="2" t="s">
        <v>22770</v>
      </c>
      <c r="D2334" s="2" t="s">
        <v>22771</v>
      </c>
      <c r="E2334" s="2" t="s">
        <v>22772</v>
      </c>
      <c r="G2334" s="3" t="s">
        <v>62</v>
      </c>
      <c r="I2334" s="3" t="s">
        <v>62</v>
      </c>
      <c r="J2334" s="3" t="s">
        <v>62</v>
      </c>
      <c r="K2334" s="3" t="s">
        <v>63</v>
      </c>
      <c r="L2334" s="2" t="s">
        <v>22607</v>
      </c>
      <c r="M2334" s="2" t="s">
        <v>22773</v>
      </c>
      <c r="N2334" s="3" t="s">
        <v>820</v>
      </c>
      <c r="P2334" s="3" t="s">
        <v>65</v>
      </c>
      <c r="Q2334" s="2" t="s">
        <v>22774</v>
      </c>
      <c r="R2334" s="3" t="s">
        <v>66</v>
      </c>
      <c r="S2334" s="4">
        <v>11</v>
      </c>
      <c r="T2334" s="4">
        <v>11</v>
      </c>
      <c r="U2334" s="5" t="s">
        <v>22775</v>
      </c>
      <c r="V2334" s="5" t="s">
        <v>22775</v>
      </c>
      <c r="W2334" s="5" t="s">
        <v>13158</v>
      </c>
      <c r="X2334" s="5" t="s">
        <v>13158</v>
      </c>
      <c r="Y2334" s="4">
        <v>358</v>
      </c>
      <c r="Z2334" s="4">
        <v>33</v>
      </c>
      <c r="AA2334" s="4">
        <v>88</v>
      </c>
      <c r="AB2334" s="4">
        <v>2</v>
      </c>
      <c r="AC2334" s="4">
        <v>14</v>
      </c>
      <c r="AD2334" s="4">
        <v>103</v>
      </c>
      <c r="AE2334" s="4">
        <v>135</v>
      </c>
      <c r="AF2334" s="4">
        <v>1</v>
      </c>
      <c r="AG2334" s="4">
        <v>8</v>
      </c>
      <c r="AH2334" s="4">
        <v>88</v>
      </c>
      <c r="AI2334" s="4">
        <v>98</v>
      </c>
      <c r="AJ2334" s="4">
        <v>19</v>
      </c>
      <c r="AK2334" s="4">
        <v>26</v>
      </c>
      <c r="AL2334" s="4">
        <v>49</v>
      </c>
      <c r="AM2334" s="4">
        <v>53</v>
      </c>
      <c r="AN2334" s="4">
        <v>0</v>
      </c>
      <c r="AO2334" s="4">
        <v>0</v>
      </c>
      <c r="AP2334" s="4">
        <v>23</v>
      </c>
      <c r="AQ2334" s="4">
        <v>46</v>
      </c>
      <c r="AR2334" s="3" t="s">
        <v>62</v>
      </c>
      <c r="AS2334" s="3" t="s">
        <v>62</v>
      </c>
      <c r="AT2334" s="3" t="s">
        <v>62</v>
      </c>
      <c r="AV2334" s="6" t="str">
        <f>HYPERLINK("http://mcgill.on.worldcat.org/oclc/172521727","Catalog Record")</f>
        <v>Catalog Record</v>
      </c>
      <c r="AW2334" s="6" t="str">
        <f>HYPERLINK("http://www.worldcat.org/oclc/172521727","WorldCat Record")</f>
        <v>WorldCat Record</v>
      </c>
      <c r="AX2334" s="3" t="s">
        <v>22776</v>
      </c>
      <c r="AY2334" s="3" t="s">
        <v>22777</v>
      </c>
      <c r="AZ2334" s="3" t="s">
        <v>22778</v>
      </c>
      <c r="BA2334" s="3" t="s">
        <v>22778</v>
      </c>
      <c r="BB2334" s="3" t="s">
        <v>22779</v>
      </c>
      <c r="BC2334" s="3" t="s">
        <v>142</v>
      </c>
      <c r="BD2334" s="3" t="s">
        <v>68</v>
      </c>
      <c r="BE2334" s="3" t="s">
        <v>22780</v>
      </c>
      <c r="BF2334" s="3" t="s">
        <v>22779</v>
      </c>
      <c r="BG2334" s="3" t="s">
        <v>22781</v>
      </c>
    </row>
    <row r="2335" spans="1:59" ht="57" x14ac:dyDescent="0.45">
      <c r="A2335" s="2" t="s">
        <v>59</v>
      </c>
      <c r="B2335" s="2" t="s">
        <v>60</v>
      </c>
      <c r="C2335" s="2" t="s">
        <v>22782</v>
      </c>
      <c r="D2335" s="2" t="s">
        <v>22783</v>
      </c>
      <c r="E2335" s="2" t="s">
        <v>22784</v>
      </c>
      <c r="G2335" s="3" t="s">
        <v>62</v>
      </c>
      <c r="I2335" s="3" t="s">
        <v>62</v>
      </c>
      <c r="J2335" s="3" t="s">
        <v>62</v>
      </c>
      <c r="K2335" s="3" t="s">
        <v>63</v>
      </c>
      <c r="M2335" s="2" t="s">
        <v>1713</v>
      </c>
      <c r="N2335" s="3" t="s">
        <v>1155</v>
      </c>
      <c r="P2335" s="3" t="s">
        <v>65</v>
      </c>
      <c r="Q2335" s="2" t="s">
        <v>22159</v>
      </c>
      <c r="R2335" s="3" t="s">
        <v>66</v>
      </c>
      <c r="S2335" s="4">
        <v>3</v>
      </c>
      <c r="T2335" s="4">
        <v>3</v>
      </c>
      <c r="U2335" s="5" t="s">
        <v>22785</v>
      </c>
      <c r="V2335" s="5" t="s">
        <v>22785</v>
      </c>
      <c r="W2335" s="5" t="s">
        <v>67</v>
      </c>
      <c r="X2335" s="5" t="s">
        <v>67</v>
      </c>
      <c r="Y2335" s="4">
        <v>289</v>
      </c>
      <c r="Z2335" s="4">
        <v>17</v>
      </c>
      <c r="AA2335" s="4">
        <v>80</v>
      </c>
      <c r="AB2335" s="4">
        <v>1</v>
      </c>
      <c r="AC2335" s="4">
        <v>14</v>
      </c>
      <c r="AD2335" s="4">
        <v>83</v>
      </c>
      <c r="AE2335" s="4">
        <v>134</v>
      </c>
      <c r="AF2335" s="4">
        <v>0</v>
      </c>
      <c r="AG2335" s="4">
        <v>8</v>
      </c>
      <c r="AH2335" s="4">
        <v>78</v>
      </c>
      <c r="AI2335" s="4">
        <v>101</v>
      </c>
      <c r="AJ2335" s="4">
        <v>14</v>
      </c>
      <c r="AK2335" s="4">
        <v>24</v>
      </c>
      <c r="AL2335" s="4">
        <v>41</v>
      </c>
      <c r="AM2335" s="4">
        <v>53</v>
      </c>
      <c r="AN2335" s="4">
        <v>0</v>
      </c>
      <c r="AO2335" s="4">
        <v>0</v>
      </c>
      <c r="AP2335" s="4">
        <v>15</v>
      </c>
      <c r="AQ2335" s="4">
        <v>43</v>
      </c>
      <c r="AR2335" s="3" t="s">
        <v>62</v>
      </c>
      <c r="AS2335" s="3" t="s">
        <v>62</v>
      </c>
      <c r="AT2335" s="3" t="s">
        <v>62</v>
      </c>
      <c r="AV2335" s="6" t="str">
        <f>HYPERLINK("http://mcgill.on.worldcat.org/oclc/722452142","Catalog Record")</f>
        <v>Catalog Record</v>
      </c>
      <c r="AW2335" s="6" t="str">
        <f>HYPERLINK("http://www.worldcat.org/oclc/722452142","WorldCat Record")</f>
        <v>WorldCat Record</v>
      </c>
      <c r="AX2335" s="3" t="s">
        <v>22786</v>
      </c>
      <c r="AY2335" s="3" t="s">
        <v>22787</v>
      </c>
      <c r="AZ2335" s="3" t="s">
        <v>22788</v>
      </c>
      <c r="BA2335" s="3" t="s">
        <v>22788</v>
      </c>
      <c r="BB2335" s="3" t="s">
        <v>22789</v>
      </c>
      <c r="BC2335" s="3" t="s">
        <v>142</v>
      </c>
      <c r="BD2335" s="3" t="s">
        <v>68</v>
      </c>
      <c r="BE2335" s="3" t="s">
        <v>22790</v>
      </c>
      <c r="BF2335" s="3" t="s">
        <v>22789</v>
      </c>
      <c r="BG2335" s="3" t="s">
        <v>22791</v>
      </c>
    </row>
    <row r="2336" spans="1:59" ht="57" x14ac:dyDescent="0.45">
      <c r="A2336" s="2" t="s">
        <v>59</v>
      </c>
      <c r="B2336" s="2" t="s">
        <v>60</v>
      </c>
      <c r="C2336" s="2" t="s">
        <v>22792</v>
      </c>
      <c r="D2336" s="2" t="s">
        <v>22793</v>
      </c>
      <c r="E2336" s="2" t="s">
        <v>22794</v>
      </c>
      <c r="G2336" s="3" t="s">
        <v>62</v>
      </c>
      <c r="I2336" s="3" t="s">
        <v>62</v>
      </c>
      <c r="J2336" s="3" t="s">
        <v>62</v>
      </c>
      <c r="K2336" s="3" t="s">
        <v>63</v>
      </c>
      <c r="L2336" s="2" t="s">
        <v>22795</v>
      </c>
      <c r="M2336" s="2" t="s">
        <v>22796</v>
      </c>
      <c r="N2336" s="3" t="s">
        <v>116</v>
      </c>
      <c r="P2336" s="3" t="s">
        <v>65</v>
      </c>
      <c r="Q2336" s="2" t="s">
        <v>22797</v>
      </c>
      <c r="R2336" s="3" t="s">
        <v>66</v>
      </c>
      <c r="S2336" s="4">
        <v>0</v>
      </c>
      <c r="T2336" s="4">
        <v>0</v>
      </c>
      <c r="W2336" s="5" t="s">
        <v>67</v>
      </c>
      <c r="X2336" s="5" t="s">
        <v>67</v>
      </c>
      <c r="Y2336" s="4">
        <v>127</v>
      </c>
      <c r="Z2336" s="4">
        <v>13</v>
      </c>
      <c r="AA2336" s="4">
        <v>68</v>
      </c>
      <c r="AB2336" s="4">
        <v>2</v>
      </c>
      <c r="AC2336" s="4">
        <v>8</v>
      </c>
      <c r="AD2336" s="4">
        <v>55</v>
      </c>
      <c r="AE2336" s="4">
        <v>76</v>
      </c>
      <c r="AF2336" s="4">
        <v>1</v>
      </c>
      <c r="AG2336" s="4">
        <v>2</v>
      </c>
      <c r="AH2336" s="4">
        <v>51</v>
      </c>
      <c r="AI2336" s="4">
        <v>62</v>
      </c>
      <c r="AJ2336" s="4">
        <v>8</v>
      </c>
      <c r="AK2336" s="4">
        <v>14</v>
      </c>
      <c r="AL2336" s="4">
        <v>33</v>
      </c>
      <c r="AM2336" s="4">
        <v>38</v>
      </c>
      <c r="AN2336" s="4">
        <v>0</v>
      </c>
      <c r="AO2336" s="4">
        <v>0</v>
      </c>
      <c r="AP2336" s="4">
        <v>9</v>
      </c>
      <c r="AQ2336" s="4">
        <v>20</v>
      </c>
      <c r="AR2336" s="3" t="s">
        <v>62</v>
      </c>
      <c r="AS2336" s="3" t="s">
        <v>62</v>
      </c>
      <c r="AT2336" s="3" t="s">
        <v>62</v>
      </c>
      <c r="AV2336" s="6" t="str">
        <f>HYPERLINK("http://mcgill.on.worldcat.org/oclc/824342568","Catalog Record")</f>
        <v>Catalog Record</v>
      </c>
      <c r="AW2336" s="6" t="str">
        <f>HYPERLINK("http://www.worldcat.org/oclc/824342568","WorldCat Record")</f>
        <v>WorldCat Record</v>
      </c>
      <c r="AX2336" s="3" t="s">
        <v>22798</v>
      </c>
      <c r="AY2336" s="3" t="s">
        <v>22799</v>
      </c>
      <c r="AZ2336" s="3" t="s">
        <v>22800</v>
      </c>
      <c r="BA2336" s="3" t="s">
        <v>22800</v>
      </c>
      <c r="BB2336" s="3" t="s">
        <v>22801</v>
      </c>
      <c r="BC2336" s="3" t="s">
        <v>142</v>
      </c>
      <c r="BD2336" s="3" t="s">
        <v>68</v>
      </c>
      <c r="BE2336" s="3" t="s">
        <v>22802</v>
      </c>
      <c r="BF2336" s="3" t="s">
        <v>22801</v>
      </c>
      <c r="BG2336" s="3" t="s">
        <v>22803</v>
      </c>
    </row>
    <row r="2337" spans="1:59" ht="57" x14ac:dyDescent="0.45">
      <c r="A2337" s="2" t="s">
        <v>59</v>
      </c>
      <c r="B2337" s="2" t="s">
        <v>60</v>
      </c>
      <c r="C2337" s="2" t="s">
        <v>22804</v>
      </c>
      <c r="D2337" s="2" t="s">
        <v>22805</v>
      </c>
      <c r="E2337" s="2" t="s">
        <v>22806</v>
      </c>
      <c r="G2337" s="3" t="s">
        <v>62</v>
      </c>
      <c r="I2337" s="3" t="s">
        <v>62</v>
      </c>
      <c r="J2337" s="3" t="s">
        <v>62</v>
      </c>
      <c r="K2337" s="3" t="s">
        <v>63</v>
      </c>
      <c r="M2337" s="2" t="s">
        <v>21252</v>
      </c>
      <c r="N2337" s="3" t="s">
        <v>1155</v>
      </c>
      <c r="P2337" s="3" t="s">
        <v>65</v>
      </c>
      <c r="Q2337" s="2" t="s">
        <v>22807</v>
      </c>
      <c r="R2337" s="3" t="s">
        <v>66</v>
      </c>
      <c r="S2337" s="4">
        <v>0</v>
      </c>
      <c r="T2337" s="4">
        <v>0</v>
      </c>
      <c r="W2337" s="5" t="s">
        <v>67</v>
      </c>
      <c r="X2337" s="5" t="s">
        <v>67</v>
      </c>
      <c r="Y2337" s="4">
        <v>115</v>
      </c>
      <c r="Z2337" s="4">
        <v>13</v>
      </c>
      <c r="AA2337" s="4">
        <v>25</v>
      </c>
      <c r="AB2337" s="4">
        <v>1</v>
      </c>
      <c r="AC2337" s="4">
        <v>7</v>
      </c>
      <c r="AD2337" s="4">
        <v>59</v>
      </c>
      <c r="AE2337" s="4">
        <v>77</v>
      </c>
      <c r="AF2337" s="4">
        <v>0</v>
      </c>
      <c r="AG2337" s="4">
        <v>2</v>
      </c>
      <c r="AH2337" s="4">
        <v>55</v>
      </c>
      <c r="AI2337" s="4">
        <v>66</v>
      </c>
      <c r="AJ2337" s="4">
        <v>11</v>
      </c>
      <c r="AK2337" s="4">
        <v>15</v>
      </c>
      <c r="AL2337" s="4">
        <v>25</v>
      </c>
      <c r="AM2337" s="4">
        <v>31</v>
      </c>
      <c r="AN2337" s="4">
        <v>0</v>
      </c>
      <c r="AO2337" s="4">
        <v>0</v>
      </c>
      <c r="AP2337" s="4">
        <v>12</v>
      </c>
      <c r="AQ2337" s="4">
        <v>20</v>
      </c>
      <c r="AR2337" s="3" t="s">
        <v>62</v>
      </c>
      <c r="AS2337" s="3" t="s">
        <v>62</v>
      </c>
      <c r="AT2337" s="3" t="s">
        <v>62</v>
      </c>
      <c r="AV2337" s="6" t="str">
        <f>HYPERLINK("http://mcgill.on.worldcat.org/oclc/769544971","Catalog Record")</f>
        <v>Catalog Record</v>
      </c>
      <c r="AW2337" s="6" t="str">
        <f>HYPERLINK("http://www.worldcat.org/oclc/769544971","WorldCat Record")</f>
        <v>WorldCat Record</v>
      </c>
      <c r="AX2337" s="3" t="s">
        <v>22808</v>
      </c>
      <c r="AY2337" s="3" t="s">
        <v>22809</v>
      </c>
      <c r="AZ2337" s="3" t="s">
        <v>22810</v>
      </c>
      <c r="BA2337" s="3" t="s">
        <v>22810</v>
      </c>
      <c r="BB2337" s="3" t="s">
        <v>22811</v>
      </c>
      <c r="BC2337" s="3" t="s">
        <v>142</v>
      </c>
      <c r="BD2337" s="3" t="s">
        <v>68</v>
      </c>
      <c r="BE2337" s="3" t="s">
        <v>22812</v>
      </c>
      <c r="BF2337" s="3" t="s">
        <v>22811</v>
      </c>
      <c r="BG2337" s="3" t="s">
        <v>22813</v>
      </c>
    </row>
    <row r="2338" spans="1:59" ht="57" x14ac:dyDescent="0.45">
      <c r="A2338" s="2" t="s">
        <v>59</v>
      </c>
      <c r="B2338" s="2" t="s">
        <v>60</v>
      </c>
      <c r="C2338" s="2" t="s">
        <v>22814</v>
      </c>
      <c r="D2338" s="2" t="s">
        <v>22815</v>
      </c>
      <c r="E2338" s="2" t="s">
        <v>22816</v>
      </c>
      <c r="G2338" s="3" t="s">
        <v>62</v>
      </c>
      <c r="I2338" s="3" t="s">
        <v>62</v>
      </c>
      <c r="J2338" s="3" t="s">
        <v>62</v>
      </c>
      <c r="K2338" s="3" t="s">
        <v>63</v>
      </c>
      <c r="L2338" s="2" t="s">
        <v>22817</v>
      </c>
      <c r="M2338" s="2" t="s">
        <v>22818</v>
      </c>
      <c r="N2338" s="3" t="s">
        <v>116</v>
      </c>
      <c r="O2338" s="2" t="s">
        <v>168</v>
      </c>
      <c r="P2338" s="3" t="s">
        <v>65</v>
      </c>
      <c r="Q2338" s="2" t="s">
        <v>22059</v>
      </c>
      <c r="R2338" s="3" t="s">
        <v>66</v>
      </c>
      <c r="S2338" s="4">
        <v>1</v>
      </c>
      <c r="T2338" s="4">
        <v>1</v>
      </c>
      <c r="U2338" s="5" t="s">
        <v>22785</v>
      </c>
      <c r="V2338" s="5" t="s">
        <v>22785</v>
      </c>
      <c r="W2338" s="5" t="s">
        <v>67</v>
      </c>
      <c r="X2338" s="5" t="s">
        <v>67</v>
      </c>
      <c r="Y2338" s="4">
        <v>169</v>
      </c>
      <c r="Z2338" s="4">
        <v>19</v>
      </c>
      <c r="AA2338" s="4">
        <v>45</v>
      </c>
      <c r="AB2338" s="4">
        <v>1</v>
      </c>
      <c r="AC2338" s="4">
        <v>9</v>
      </c>
      <c r="AD2338" s="4">
        <v>76</v>
      </c>
      <c r="AE2338" s="4">
        <v>109</v>
      </c>
      <c r="AF2338" s="4">
        <v>0</v>
      </c>
      <c r="AG2338" s="4">
        <v>4</v>
      </c>
      <c r="AH2338" s="4">
        <v>71</v>
      </c>
      <c r="AI2338" s="4">
        <v>92</v>
      </c>
      <c r="AJ2338" s="4">
        <v>13</v>
      </c>
      <c r="AK2338" s="4">
        <v>20</v>
      </c>
      <c r="AL2338" s="4">
        <v>39</v>
      </c>
      <c r="AM2338" s="4">
        <v>49</v>
      </c>
      <c r="AN2338" s="4">
        <v>0</v>
      </c>
      <c r="AO2338" s="4">
        <v>0</v>
      </c>
      <c r="AP2338" s="4">
        <v>15</v>
      </c>
      <c r="AQ2338" s="4">
        <v>27</v>
      </c>
      <c r="AR2338" s="3" t="s">
        <v>62</v>
      </c>
      <c r="AS2338" s="3" t="s">
        <v>62</v>
      </c>
      <c r="AT2338" s="3" t="s">
        <v>62</v>
      </c>
      <c r="AV2338" s="6" t="str">
        <f>HYPERLINK("http://mcgill.on.worldcat.org/oclc/792885781","Catalog Record")</f>
        <v>Catalog Record</v>
      </c>
      <c r="AW2338" s="6" t="str">
        <f>HYPERLINK("http://www.worldcat.org/oclc/792885781","WorldCat Record")</f>
        <v>WorldCat Record</v>
      </c>
      <c r="AX2338" s="3" t="s">
        <v>22819</v>
      </c>
      <c r="AY2338" s="3" t="s">
        <v>22820</v>
      </c>
      <c r="AZ2338" s="3" t="s">
        <v>22821</v>
      </c>
      <c r="BA2338" s="3" t="s">
        <v>22821</v>
      </c>
      <c r="BB2338" s="3" t="s">
        <v>22822</v>
      </c>
      <c r="BC2338" s="3" t="s">
        <v>142</v>
      </c>
      <c r="BD2338" s="3" t="s">
        <v>68</v>
      </c>
      <c r="BE2338" s="3" t="s">
        <v>22823</v>
      </c>
      <c r="BF2338" s="3" t="s">
        <v>22822</v>
      </c>
      <c r="BG2338" s="3" t="s">
        <v>22824</v>
      </c>
    </row>
    <row r="2339" spans="1:59" ht="71.25" x14ac:dyDescent="0.45">
      <c r="A2339" s="2" t="s">
        <v>59</v>
      </c>
      <c r="B2339" s="2" t="s">
        <v>60</v>
      </c>
      <c r="C2339" s="2" t="s">
        <v>22825</v>
      </c>
      <c r="D2339" s="2" t="s">
        <v>22826</v>
      </c>
      <c r="E2339" s="2" t="s">
        <v>22827</v>
      </c>
      <c r="G2339" s="3" t="s">
        <v>62</v>
      </c>
      <c r="I2339" s="3" t="s">
        <v>62</v>
      </c>
      <c r="J2339" s="3" t="s">
        <v>62</v>
      </c>
      <c r="K2339" s="3" t="s">
        <v>63</v>
      </c>
      <c r="M2339" s="2" t="s">
        <v>6233</v>
      </c>
      <c r="N2339" s="3" t="s">
        <v>1097</v>
      </c>
      <c r="P2339" s="3" t="s">
        <v>65</v>
      </c>
      <c r="Q2339" s="2" t="s">
        <v>22828</v>
      </c>
      <c r="R2339" s="3" t="s">
        <v>66</v>
      </c>
      <c r="S2339" s="4">
        <v>9</v>
      </c>
      <c r="T2339" s="4">
        <v>9</v>
      </c>
      <c r="U2339" s="5" t="s">
        <v>328</v>
      </c>
      <c r="V2339" s="5" t="s">
        <v>328</v>
      </c>
      <c r="W2339" s="5" t="s">
        <v>67</v>
      </c>
      <c r="X2339" s="5" t="s">
        <v>67</v>
      </c>
      <c r="Y2339" s="4">
        <v>301</v>
      </c>
      <c r="Z2339" s="4">
        <v>19</v>
      </c>
      <c r="AA2339" s="4">
        <v>79</v>
      </c>
      <c r="AB2339" s="4">
        <v>2</v>
      </c>
      <c r="AC2339" s="4">
        <v>15</v>
      </c>
      <c r="AD2339" s="4">
        <v>101</v>
      </c>
      <c r="AE2339" s="4">
        <v>136</v>
      </c>
      <c r="AF2339" s="4">
        <v>1</v>
      </c>
      <c r="AG2339" s="4">
        <v>8</v>
      </c>
      <c r="AH2339" s="4">
        <v>93</v>
      </c>
      <c r="AI2339" s="4">
        <v>103</v>
      </c>
      <c r="AJ2339" s="4">
        <v>14</v>
      </c>
      <c r="AK2339" s="4">
        <v>25</v>
      </c>
      <c r="AL2339" s="4">
        <v>48</v>
      </c>
      <c r="AM2339" s="4">
        <v>53</v>
      </c>
      <c r="AN2339" s="4">
        <v>0</v>
      </c>
      <c r="AO2339" s="4">
        <v>0</v>
      </c>
      <c r="AP2339" s="4">
        <v>16</v>
      </c>
      <c r="AQ2339" s="4">
        <v>42</v>
      </c>
      <c r="AR2339" s="3" t="s">
        <v>62</v>
      </c>
      <c r="AS2339" s="3" t="s">
        <v>62</v>
      </c>
      <c r="AT2339" s="3" t="s">
        <v>62</v>
      </c>
      <c r="AV2339" s="6" t="str">
        <f>HYPERLINK("http://mcgill.on.worldcat.org/oclc/53138703","Catalog Record")</f>
        <v>Catalog Record</v>
      </c>
      <c r="AW2339" s="6" t="str">
        <f>HYPERLINK("http://www.worldcat.org/oclc/53138703","WorldCat Record")</f>
        <v>WorldCat Record</v>
      </c>
      <c r="AX2339" s="3" t="s">
        <v>22829</v>
      </c>
      <c r="AY2339" s="3" t="s">
        <v>22830</v>
      </c>
      <c r="AZ2339" s="3" t="s">
        <v>22831</v>
      </c>
      <c r="BA2339" s="3" t="s">
        <v>22831</v>
      </c>
      <c r="BB2339" s="3" t="s">
        <v>22832</v>
      </c>
      <c r="BC2339" s="3" t="s">
        <v>142</v>
      </c>
      <c r="BD2339" s="3" t="s">
        <v>68</v>
      </c>
      <c r="BE2339" s="3" t="s">
        <v>22833</v>
      </c>
      <c r="BF2339" s="3" t="s">
        <v>22832</v>
      </c>
      <c r="BG2339" s="3" t="s">
        <v>22834</v>
      </c>
    </row>
    <row r="2340" spans="1:59" ht="71.25" x14ac:dyDescent="0.45">
      <c r="A2340" s="2" t="s">
        <v>59</v>
      </c>
      <c r="B2340" s="2" t="s">
        <v>60</v>
      </c>
      <c r="C2340" s="2" t="s">
        <v>22835</v>
      </c>
      <c r="D2340" s="2" t="s">
        <v>22836</v>
      </c>
      <c r="E2340" s="2" t="s">
        <v>22837</v>
      </c>
      <c r="G2340" s="3" t="s">
        <v>62</v>
      </c>
      <c r="I2340" s="3" t="s">
        <v>62</v>
      </c>
      <c r="J2340" s="3" t="s">
        <v>62</v>
      </c>
      <c r="K2340" s="3" t="s">
        <v>63</v>
      </c>
      <c r="M2340" s="2" t="s">
        <v>22838</v>
      </c>
      <c r="N2340" s="3" t="s">
        <v>820</v>
      </c>
      <c r="P2340" s="3" t="s">
        <v>65</v>
      </c>
      <c r="R2340" s="3" t="s">
        <v>66</v>
      </c>
      <c r="S2340" s="4">
        <v>3</v>
      </c>
      <c r="T2340" s="4">
        <v>3</v>
      </c>
      <c r="U2340" s="5" t="s">
        <v>3998</v>
      </c>
      <c r="V2340" s="5" t="s">
        <v>3998</v>
      </c>
      <c r="W2340" s="5" t="s">
        <v>67</v>
      </c>
      <c r="X2340" s="5" t="s">
        <v>67</v>
      </c>
      <c r="Y2340" s="4">
        <v>174</v>
      </c>
      <c r="Z2340" s="4">
        <v>19</v>
      </c>
      <c r="AA2340" s="4">
        <v>101</v>
      </c>
      <c r="AB2340" s="4">
        <v>3</v>
      </c>
      <c r="AC2340" s="4">
        <v>18</v>
      </c>
      <c r="AD2340" s="4">
        <v>67</v>
      </c>
      <c r="AE2340" s="4">
        <v>123</v>
      </c>
      <c r="AF2340" s="4">
        <v>1</v>
      </c>
      <c r="AG2340" s="4">
        <v>8</v>
      </c>
      <c r="AH2340" s="4">
        <v>61</v>
      </c>
      <c r="AI2340" s="4">
        <v>87</v>
      </c>
      <c r="AJ2340" s="4">
        <v>14</v>
      </c>
      <c r="AK2340" s="4">
        <v>24</v>
      </c>
      <c r="AL2340" s="4">
        <v>31</v>
      </c>
      <c r="AM2340" s="4">
        <v>45</v>
      </c>
      <c r="AN2340" s="4">
        <v>0</v>
      </c>
      <c r="AO2340" s="4">
        <v>0</v>
      </c>
      <c r="AP2340" s="4">
        <v>14</v>
      </c>
      <c r="AQ2340" s="4">
        <v>45</v>
      </c>
      <c r="AR2340" s="3" t="s">
        <v>62</v>
      </c>
      <c r="AS2340" s="3" t="s">
        <v>62</v>
      </c>
      <c r="AT2340" s="3" t="s">
        <v>62</v>
      </c>
      <c r="AV2340" s="6" t="str">
        <f>HYPERLINK("http://mcgill.on.worldcat.org/oclc/262429792","Catalog Record")</f>
        <v>Catalog Record</v>
      </c>
      <c r="AW2340" s="6" t="str">
        <f>HYPERLINK("http://www.worldcat.org/oclc/262429792","WorldCat Record")</f>
        <v>WorldCat Record</v>
      </c>
      <c r="AX2340" s="3" t="s">
        <v>22839</v>
      </c>
      <c r="AY2340" s="3" t="s">
        <v>22840</v>
      </c>
      <c r="AZ2340" s="3" t="s">
        <v>22841</v>
      </c>
      <c r="BA2340" s="3" t="s">
        <v>22841</v>
      </c>
      <c r="BB2340" s="3" t="s">
        <v>22842</v>
      </c>
      <c r="BC2340" s="3" t="s">
        <v>142</v>
      </c>
      <c r="BD2340" s="3" t="s">
        <v>68</v>
      </c>
      <c r="BE2340" s="3" t="s">
        <v>22843</v>
      </c>
      <c r="BF2340" s="3" t="s">
        <v>22842</v>
      </c>
      <c r="BG2340" s="3" t="s">
        <v>22844</v>
      </c>
    </row>
    <row r="2341" spans="1:59" ht="71.25" x14ac:dyDescent="0.45">
      <c r="A2341" s="2" t="s">
        <v>59</v>
      </c>
      <c r="B2341" s="2" t="s">
        <v>60</v>
      </c>
      <c r="C2341" s="2" t="s">
        <v>22845</v>
      </c>
      <c r="D2341" s="2" t="s">
        <v>22846</v>
      </c>
      <c r="E2341" s="2" t="s">
        <v>22847</v>
      </c>
      <c r="G2341" s="3" t="s">
        <v>62</v>
      </c>
      <c r="I2341" s="3" t="s">
        <v>62</v>
      </c>
      <c r="J2341" s="3" t="s">
        <v>62</v>
      </c>
      <c r="K2341" s="3" t="s">
        <v>63</v>
      </c>
      <c r="M2341" s="2" t="s">
        <v>22848</v>
      </c>
      <c r="N2341" s="3" t="s">
        <v>894</v>
      </c>
      <c r="P2341" s="3" t="s">
        <v>65</v>
      </c>
      <c r="R2341" s="3" t="s">
        <v>66</v>
      </c>
      <c r="S2341" s="4">
        <v>4</v>
      </c>
      <c r="T2341" s="4">
        <v>4</v>
      </c>
      <c r="U2341" s="5" t="s">
        <v>22849</v>
      </c>
      <c r="V2341" s="5" t="s">
        <v>22849</v>
      </c>
      <c r="W2341" s="5" t="s">
        <v>67</v>
      </c>
      <c r="X2341" s="5" t="s">
        <v>67</v>
      </c>
      <c r="Y2341" s="4">
        <v>151</v>
      </c>
      <c r="Z2341" s="4">
        <v>13</v>
      </c>
      <c r="AA2341" s="4">
        <v>95</v>
      </c>
      <c r="AB2341" s="4">
        <v>2</v>
      </c>
      <c r="AC2341" s="4">
        <v>18</v>
      </c>
      <c r="AD2341" s="4">
        <v>54</v>
      </c>
      <c r="AE2341" s="4">
        <v>120</v>
      </c>
      <c r="AF2341" s="4">
        <v>1</v>
      </c>
      <c r="AG2341" s="4">
        <v>8</v>
      </c>
      <c r="AH2341" s="4">
        <v>49</v>
      </c>
      <c r="AI2341" s="4">
        <v>86</v>
      </c>
      <c r="AJ2341" s="4">
        <v>8</v>
      </c>
      <c r="AK2341" s="4">
        <v>20</v>
      </c>
      <c r="AL2341" s="4">
        <v>32</v>
      </c>
      <c r="AM2341" s="4">
        <v>49</v>
      </c>
      <c r="AN2341" s="4">
        <v>0</v>
      </c>
      <c r="AO2341" s="4">
        <v>0</v>
      </c>
      <c r="AP2341" s="4">
        <v>10</v>
      </c>
      <c r="AQ2341" s="4">
        <v>42</v>
      </c>
      <c r="AR2341" s="3" t="s">
        <v>62</v>
      </c>
      <c r="AS2341" s="3" t="s">
        <v>62</v>
      </c>
      <c r="AT2341" s="3" t="s">
        <v>62</v>
      </c>
      <c r="AV2341" s="6" t="str">
        <f>HYPERLINK("http://mcgill.on.worldcat.org/oclc/610870865","Catalog Record")</f>
        <v>Catalog Record</v>
      </c>
      <c r="AW2341" s="6" t="str">
        <f>HYPERLINK("http://www.worldcat.org/oclc/610870865","WorldCat Record")</f>
        <v>WorldCat Record</v>
      </c>
      <c r="AX2341" s="3" t="s">
        <v>22850</v>
      </c>
      <c r="AY2341" s="3" t="s">
        <v>22851</v>
      </c>
      <c r="AZ2341" s="3" t="s">
        <v>22852</v>
      </c>
      <c r="BA2341" s="3" t="s">
        <v>22852</v>
      </c>
      <c r="BB2341" s="3" t="s">
        <v>22853</v>
      </c>
      <c r="BC2341" s="3" t="s">
        <v>142</v>
      </c>
      <c r="BD2341" s="3" t="s">
        <v>68</v>
      </c>
      <c r="BE2341" s="3" t="s">
        <v>22854</v>
      </c>
      <c r="BF2341" s="3" t="s">
        <v>22853</v>
      </c>
      <c r="BG2341" s="3" t="s">
        <v>22855</v>
      </c>
    </row>
    <row r="2342" spans="1:59" ht="57" x14ac:dyDescent="0.45">
      <c r="A2342" s="2" t="s">
        <v>59</v>
      </c>
      <c r="B2342" s="2" t="s">
        <v>60</v>
      </c>
      <c r="C2342" s="2" t="s">
        <v>22856</v>
      </c>
      <c r="D2342" s="2" t="s">
        <v>22857</v>
      </c>
      <c r="E2342" s="2" t="s">
        <v>22858</v>
      </c>
      <c r="G2342" s="3" t="s">
        <v>62</v>
      </c>
      <c r="I2342" s="3" t="s">
        <v>62</v>
      </c>
      <c r="J2342" s="3" t="s">
        <v>62</v>
      </c>
      <c r="K2342" s="3" t="s">
        <v>63</v>
      </c>
      <c r="M2342" s="2" t="s">
        <v>22859</v>
      </c>
      <c r="N2342" s="3" t="s">
        <v>820</v>
      </c>
      <c r="P2342" s="3" t="s">
        <v>65</v>
      </c>
      <c r="Q2342" s="2" t="s">
        <v>22860</v>
      </c>
      <c r="R2342" s="3" t="s">
        <v>66</v>
      </c>
      <c r="S2342" s="4">
        <v>6</v>
      </c>
      <c r="T2342" s="4">
        <v>6</v>
      </c>
      <c r="U2342" s="5" t="s">
        <v>22260</v>
      </c>
      <c r="V2342" s="5" t="s">
        <v>22260</v>
      </c>
      <c r="W2342" s="5" t="s">
        <v>67</v>
      </c>
      <c r="X2342" s="5" t="s">
        <v>67</v>
      </c>
      <c r="Y2342" s="4">
        <v>195</v>
      </c>
      <c r="Z2342" s="4">
        <v>15</v>
      </c>
      <c r="AA2342" s="4">
        <v>101</v>
      </c>
      <c r="AB2342" s="4">
        <v>2</v>
      </c>
      <c r="AC2342" s="4">
        <v>17</v>
      </c>
      <c r="AD2342" s="4">
        <v>81</v>
      </c>
      <c r="AE2342" s="4">
        <v>139</v>
      </c>
      <c r="AF2342" s="4">
        <v>1</v>
      </c>
      <c r="AG2342" s="4">
        <v>8</v>
      </c>
      <c r="AH2342" s="4">
        <v>75</v>
      </c>
      <c r="AI2342" s="4">
        <v>103</v>
      </c>
      <c r="AJ2342" s="4">
        <v>10</v>
      </c>
      <c r="AK2342" s="4">
        <v>24</v>
      </c>
      <c r="AL2342" s="4">
        <v>46</v>
      </c>
      <c r="AM2342" s="4">
        <v>56</v>
      </c>
      <c r="AN2342" s="4">
        <v>0</v>
      </c>
      <c r="AO2342" s="4">
        <v>0</v>
      </c>
      <c r="AP2342" s="4">
        <v>11</v>
      </c>
      <c r="AQ2342" s="4">
        <v>45</v>
      </c>
      <c r="AR2342" s="3" t="s">
        <v>62</v>
      </c>
      <c r="AS2342" s="3" t="s">
        <v>62</v>
      </c>
      <c r="AT2342" s="3" t="s">
        <v>62</v>
      </c>
      <c r="AV2342" s="6" t="str">
        <f>HYPERLINK("http://mcgill.on.worldcat.org/oclc/225876140","Catalog Record")</f>
        <v>Catalog Record</v>
      </c>
      <c r="AW2342" s="6" t="str">
        <f>HYPERLINK("http://www.worldcat.org/oclc/225876140","WorldCat Record")</f>
        <v>WorldCat Record</v>
      </c>
      <c r="AX2342" s="3" t="s">
        <v>22861</v>
      </c>
      <c r="AY2342" s="3" t="s">
        <v>22862</v>
      </c>
      <c r="AZ2342" s="3" t="s">
        <v>22863</v>
      </c>
      <c r="BA2342" s="3" t="s">
        <v>22863</v>
      </c>
      <c r="BB2342" s="3" t="s">
        <v>22864</v>
      </c>
      <c r="BC2342" s="3" t="s">
        <v>142</v>
      </c>
      <c r="BD2342" s="3" t="s">
        <v>68</v>
      </c>
      <c r="BE2342" s="3" t="s">
        <v>22865</v>
      </c>
      <c r="BF2342" s="3" t="s">
        <v>22864</v>
      </c>
      <c r="BG2342" s="3" t="s">
        <v>22866</v>
      </c>
    </row>
    <row r="2343" spans="1:59" ht="71.25" x14ac:dyDescent="0.45">
      <c r="A2343" s="2" t="s">
        <v>59</v>
      </c>
      <c r="B2343" s="2" t="s">
        <v>60</v>
      </c>
      <c r="C2343" s="2" t="s">
        <v>22867</v>
      </c>
      <c r="D2343" s="2" t="s">
        <v>22868</v>
      </c>
      <c r="E2343" s="2" t="s">
        <v>22869</v>
      </c>
      <c r="G2343" s="3" t="s">
        <v>62</v>
      </c>
      <c r="I2343" s="3" t="s">
        <v>62</v>
      </c>
      <c r="J2343" s="3" t="s">
        <v>62</v>
      </c>
      <c r="K2343" s="3" t="s">
        <v>63</v>
      </c>
      <c r="M2343" s="2" t="s">
        <v>22870</v>
      </c>
      <c r="N2343" s="3" t="s">
        <v>958</v>
      </c>
      <c r="P2343" s="3" t="s">
        <v>65</v>
      </c>
      <c r="R2343" s="3" t="s">
        <v>66</v>
      </c>
      <c r="S2343" s="4">
        <v>9</v>
      </c>
      <c r="T2343" s="4">
        <v>9</v>
      </c>
      <c r="U2343" s="5" t="s">
        <v>22871</v>
      </c>
      <c r="V2343" s="5" t="s">
        <v>22871</v>
      </c>
      <c r="W2343" s="5" t="s">
        <v>67</v>
      </c>
      <c r="X2343" s="5" t="s">
        <v>67</v>
      </c>
      <c r="Y2343" s="4">
        <v>179</v>
      </c>
      <c r="Z2343" s="4">
        <v>13</v>
      </c>
      <c r="AA2343" s="4">
        <v>13</v>
      </c>
      <c r="AB2343" s="4">
        <v>2</v>
      </c>
      <c r="AC2343" s="4">
        <v>2</v>
      </c>
      <c r="AD2343" s="4">
        <v>80</v>
      </c>
      <c r="AE2343" s="4">
        <v>80</v>
      </c>
      <c r="AF2343" s="4">
        <v>1</v>
      </c>
      <c r="AG2343" s="4">
        <v>1</v>
      </c>
      <c r="AH2343" s="4">
        <v>73</v>
      </c>
      <c r="AI2343" s="4">
        <v>73</v>
      </c>
      <c r="AJ2343" s="4">
        <v>10</v>
      </c>
      <c r="AK2343" s="4">
        <v>10</v>
      </c>
      <c r="AL2343" s="4">
        <v>41</v>
      </c>
      <c r="AM2343" s="4">
        <v>41</v>
      </c>
      <c r="AN2343" s="4">
        <v>0</v>
      </c>
      <c r="AO2343" s="4">
        <v>0</v>
      </c>
      <c r="AP2343" s="4">
        <v>10</v>
      </c>
      <c r="AQ2343" s="4">
        <v>10</v>
      </c>
      <c r="AR2343" s="3" t="s">
        <v>62</v>
      </c>
      <c r="AS2343" s="3" t="s">
        <v>62</v>
      </c>
      <c r="AT2343" s="3" t="s">
        <v>61</v>
      </c>
      <c r="AU2343" s="6" t="str">
        <f>HYPERLINK("http://catalog.hathitrust.org/Record/003069361","HathiTrust Record")</f>
        <v>HathiTrust Record</v>
      </c>
      <c r="AV2343" s="6" t="str">
        <f>HYPERLINK("http://mcgill.on.worldcat.org/oclc/33311777","Catalog Record")</f>
        <v>Catalog Record</v>
      </c>
      <c r="AW2343" s="6" t="str">
        <f>HYPERLINK("http://www.worldcat.org/oclc/33311777","WorldCat Record")</f>
        <v>WorldCat Record</v>
      </c>
      <c r="AX2343" s="3" t="s">
        <v>22872</v>
      </c>
      <c r="AY2343" s="3" t="s">
        <v>22873</v>
      </c>
      <c r="AZ2343" s="3" t="s">
        <v>22874</v>
      </c>
      <c r="BA2343" s="3" t="s">
        <v>22874</v>
      </c>
      <c r="BB2343" s="3" t="s">
        <v>22875</v>
      </c>
      <c r="BC2343" s="3" t="s">
        <v>142</v>
      </c>
      <c r="BD2343" s="3" t="s">
        <v>68</v>
      </c>
      <c r="BE2343" s="3" t="s">
        <v>22876</v>
      </c>
      <c r="BF2343" s="3" t="s">
        <v>22875</v>
      </c>
      <c r="BG2343" s="3" t="s">
        <v>22877</v>
      </c>
    </row>
    <row r="2344" spans="1:59" ht="71.25" x14ac:dyDescent="0.45">
      <c r="A2344" s="2" t="s">
        <v>59</v>
      </c>
      <c r="B2344" s="2" t="s">
        <v>60</v>
      </c>
      <c r="C2344" s="2" t="s">
        <v>22878</v>
      </c>
      <c r="D2344" s="2" t="s">
        <v>22879</v>
      </c>
      <c r="E2344" s="2" t="s">
        <v>22880</v>
      </c>
      <c r="G2344" s="3" t="s">
        <v>62</v>
      </c>
      <c r="I2344" s="3" t="s">
        <v>62</v>
      </c>
      <c r="J2344" s="3" t="s">
        <v>62</v>
      </c>
      <c r="K2344" s="3" t="s">
        <v>63</v>
      </c>
      <c r="M2344" s="2" t="s">
        <v>22881</v>
      </c>
      <c r="N2344" s="3" t="s">
        <v>1465</v>
      </c>
      <c r="P2344" s="3" t="s">
        <v>65</v>
      </c>
      <c r="Q2344" s="2" t="s">
        <v>22882</v>
      </c>
      <c r="R2344" s="3" t="s">
        <v>66</v>
      </c>
      <c r="S2344" s="4">
        <v>6</v>
      </c>
      <c r="T2344" s="4">
        <v>6</v>
      </c>
      <c r="U2344" s="5" t="s">
        <v>22260</v>
      </c>
      <c r="V2344" s="5" t="s">
        <v>22260</v>
      </c>
      <c r="W2344" s="5" t="s">
        <v>67</v>
      </c>
      <c r="X2344" s="5" t="s">
        <v>67</v>
      </c>
      <c r="Y2344" s="4">
        <v>51</v>
      </c>
      <c r="Z2344" s="4">
        <v>11</v>
      </c>
      <c r="AA2344" s="4">
        <v>12</v>
      </c>
      <c r="AB2344" s="4">
        <v>2</v>
      </c>
      <c r="AC2344" s="4">
        <v>3</v>
      </c>
      <c r="AD2344" s="4">
        <v>23</v>
      </c>
      <c r="AE2344" s="4">
        <v>24</v>
      </c>
      <c r="AF2344" s="4">
        <v>1</v>
      </c>
      <c r="AG2344" s="4">
        <v>2</v>
      </c>
      <c r="AH2344" s="4">
        <v>19</v>
      </c>
      <c r="AI2344" s="4">
        <v>19</v>
      </c>
      <c r="AJ2344" s="4">
        <v>6</v>
      </c>
      <c r="AK2344" s="4">
        <v>7</v>
      </c>
      <c r="AL2344" s="4">
        <v>12</v>
      </c>
      <c r="AM2344" s="4">
        <v>12</v>
      </c>
      <c r="AN2344" s="4">
        <v>0</v>
      </c>
      <c r="AO2344" s="4">
        <v>0</v>
      </c>
      <c r="AP2344" s="4">
        <v>7</v>
      </c>
      <c r="AQ2344" s="4">
        <v>8</v>
      </c>
      <c r="AR2344" s="3" t="s">
        <v>62</v>
      </c>
      <c r="AS2344" s="3" t="s">
        <v>62</v>
      </c>
      <c r="AT2344" s="3" t="s">
        <v>62</v>
      </c>
      <c r="AV2344" s="6" t="str">
        <f>HYPERLINK("http://mcgill.on.worldcat.org/oclc/435711242","Catalog Record")</f>
        <v>Catalog Record</v>
      </c>
      <c r="AW2344" s="6" t="str">
        <f>HYPERLINK("http://www.worldcat.org/oclc/435711242","WorldCat Record")</f>
        <v>WorldCat Record</v>
      </c>
      <c r="AX2344" s="3" t="s">
        <v>22883</v>
      </c>
      <c r="AY2344" s="3" t="s">
        <v>22884</v>
      </c>
      <c r="AZ2344" s="3" t="s">
        <v>22885</v>
      </c>
      <c r="BA2344" s="3" t="s">
        <v>22885</v>
      </c>
      <c r="BB2344" s="3" t="s">
        <v>22886</v>
      </c>
      <c r="BC2344" s="3" t="s">
        <v>142</v>
      </c>
      <c r="BD2344" s="3" t="s">
        <v>68</v>
      </c>
      <c r="BE2344" s="3" t="s">
        <v>22887</v>
      </c>
      <c r="BF2344" s="3" t="s">
        <v>22886</v>
      </c>
      <c r="BG2344" s="3" t="s">
        <v>22888</v>
      </c>
    </row>
    <row r="2345" spans="1:59" ht="57" x14ac:dyDescent="0.45">
      <c r="A2345" s="2" t="s">
        <v>59</v>
      </c>
      <c r="B2345" s="2" t="s">
        <v>60</v>
      </c>
      <c r="C2345" s="2" t="s">
        <v>22889</v>
      </c>
      <c r="D2345" s="2" t="s">
        <v>22890</v>
      </c>
      <c r="E2345" s="2" t="s">
        <v>22891</v>
      </c>
      <c r="G2345" s="3" t="s">
        <v>62</v>
      </c>
      <c r="I2345" s="3" t="s">
        <v>62</v>
      </c>
      <c r="J2345" s="3" t="s">
        <v>62</v>
      </c>
      <c r="K2345" s="3" t="s">
        <v>63</v>
      </c>
      <c r="M2345" s="2" t="s">
        <v>22892</v>
      </c>
      <c r="N2345" s="3" t="s">
        <v>116</v>
      </c>
      <c r="P2345" s="3" t="s">
        <v>65</v>
      </c>
      <c r="Q2345" s="2" t="s">
        <v>22893</v>
      </c>
      <c r="R2345" s="3" t="s">
        <v>66</v>
      </c>
      <c r="S2345" s="4">
        <v>8</v>
      </c>
      <c r="T2345" s="4">
        <v>8</v>
      </c>
      <c r="U2345" s="5" t="s">
        <v>13746</v>
      </c>
      <c r="V2345" s="5" t="s">
        <v>13746</v>
      </c>
      <c r="W2345" s="5" t="s">
        <v>67</v>
      </c>
      <c r="X2345" s="5" t="s">
        <v>67</v>
      </c>
      <c r="Y2345" s="4">
        <v>134</v>
      </c>
      <c r="Z2345" s="4">
        <v>12</v>
      </c>
      <c r="AA2345" s="4">
        <v>31</v>
      </c>
      <c r="AB2345" s="4">
        <v>1</v>
      </c>
      <c r="AC2345" s="4">
        <v>5</v>
      </c>
      <c r="AD2345" s="4">
        <v>60</v>
      </c>
      <c r="AE2345" s="4">
        <v>92</v>
      </c>
      <c r="AF2345" s="4">
        <v>0</v>
      </c>
      <c r="AG2345" s="4">
        <v>1</v>
      </c>
      <c r="AH2345" s="4">
        <v>57</v>
      </c>
      <c r="AI2345" s="4">
        <v>78</v>
      </c>
      <c r="AJ2345" s="4">
        <v>8</v>
      </c>
      <c r="AK2345" s="4">
        <v>13</v>
      </c>
      <c r="AL2345" s="4">
        <v>37</v>
      </c>
      <c r="AM2345" s="4">
        <v>46</v>
      </c>
      <c r="AN2345" s="4">
        <v>0</v>
      </c>
      <c r="AO2345" s="4">
        <v>0</v>
      </c>
      <c r="AP2345" s="4">
        <v>9</v>
      </c>
      <c r="AQ2345" s="4">
        <v>20</v>
      </c>
      <c r="AR2345" s="3" t="s">
        <v>62</v>
      </c>
      <c r="AS2345" s="3" t="s">
        <v>62</v>
      </c>
      <c r="AT2345" s="3" t="s">
        <v>62</v>
      </c>
      <c r="AV2345" s="6" t="str">
        <f>HYPERLINK("http://mcgill.on.worldcat.org/oclc/775664097","Catalog Record")</f>
        <v>Catalog Record</v>
      </c>
      <c r="AW2345" s="6" t="str">
        <f>HYPERLINK("http://www.worldcat.org/oclc/775664097","WorldCat Record")</f>
        <v>WorldCat Record</v>
      </c>
      <c r="AX2345" s="3" t="s">
        <v>22894</v>
      </c>
      <c r="AY2345" s="3" t="s">
        <v>22895</v>
      </c>
      <c r="AZ2345" s="3" t="s">
        <v>22896</v>
      </c>
      <c r="BA2345" s="3" t="s">
        <v>22896</v>
      </c>
      <c r="BB2345" s="3" t="s">
        <v>22897</v>
      </c>
      <c r="BC2345" s="3" t="s">
        <v>142</v>
      </c>
      <c r="BD2345" s="3" t="s">
        <v>68</v>
      </c>
      <c r="BE2345" s="3" t="s">
        <v>22898</v>
      </c>
      <c r="BF2345" s="3" t="s">
        <v>22897</v>
      </c>
      <c r="BG2345" s="3" t="s">
        <v>22899</v>
      </c>
    </row>
    <row r="2346" spans="1:59" ht="57" x14ac:dyDescent="0.45">
      <c r="A2346" s="2" t="s">
        <v>59</v>
      </c>
      <c r="B2346" s="2" t="s">
        <v>60</v>
      </c>
      <c r="C2346" s="2" t="s">
        <v>22900</v>
      </c>
      <c r="D2346" s="2" t="s">
        <v>22901</v>
      </c>
      <c r="E2346" s="2" t="s">
        <v>22902</v>
      </c>
      <c r="G2346" s="3" t="s">
        <v>62</v>
      </c>
      <c r="I2346" s="3" t="s">
        <v>62</v>
      </c>
      <c r="J2346" s="3" t="s">
        <v>62</v>
      </c>
      <c r="K2346" s="3" t="s">
        <v>63</v>
      </c>
      <c r="L2346" s="2" t="s">
        <v>22903</v>
      </c>
      <c r="M2346" s="2" t="s">
        <v>19746</v>
      </c>
      <c r="N2346" s="3" t="s">
        <v>1604</v>
      </c>
      <c r="P2346" s="3" t="s">
        <v>65</v>
      </c>
      <c r="Q2346" s="2" t="s">
        <v>22904</v>
      </c>
      <c r="R2346" s="3" t="s">
        <v>66</v>
      </c>
      <c r="S2346" s="4">
        <v>17</v>
      </c>
      <c r="T2346" s="4">
        <v>17</v>
      </c>
      <c r="U2346" s="5" t="s">
        <v>11853</v>
      </c>
      <c r="V2346" s="5" t="s">
        <v>11853</v>
      </c>
      <c r="W2346" s="5" t="s">
        <v>67</v>
      </c>
      <c r="X2346" s="5" t="s">
        <v>67</v>
      </c>
      <c r="Y2346" s="4">
        <v>318</v>
      </c>
      <c r="Z2346" s="4">
        <v>25</v>
      </c>
      <c r="AA2346" s="4">
        <v>30</v>
      </c>
      <c r="AB2346" s="4">
        <v>2</v>
      </c>
      <c r="AC2346" s="4">
        <v>6</v>
      </c>
      <c r="AD2346" s="4">
        <v>106</v>
      </c>
      <c r="AE2346" s="4">
        <v>112</v>
      </c>
      <c r="AF2346" s="4">
        <v>1</v>
      </c>
      <c r="AG2346" s="4">
        <v>3</v>
      </c>
      <c r="AH2346" s="4">
        <v>92</v>
      </c>
      <c r="AI2346" s="4">
        <v>97</v>
      </c>
      <c r="AJ2346" s="4">
        <v>16</v>
      </c>
      <c r="AK2346" s="4">
        <v>19</v>
      </c>
      <c r="AL2346" s="4">
        <v>48</v>
      </c>
      <c r="AM2346" s="4">
        <v>50</v>
      </c>
      <c r="AN2346" s="4">
        <v>0</v>
      </c>
      <c r="AO2346" s="4">
        <v>0</v>
      </c>
      <c r="AP2346" s="4">
        <v>20</v>
      </c>
      <c r="AQ2346" s="4">
        <v>22</v>
      </c>
      <c r="AR2346" s="3" t="s">
        <v>62</v>
      </c>
      <c r="AS2346" s="3" t="s">
        <v>62</v>
      </c>
      <c r="AT2346" s="3" t="s">
        <v>61</v>
      </c>
      <c r="AU2346" s="6" t="str">
        <f>HYPERLINK("http://catalog.hathitrust.org/Record/002804526","HathiTrust Record")</f>
        <v>HathiTrust Record</v>
      </c>
      <c r="AV2346" s="6" t="str">
        <f>HYPERLINK("http://mcgill.on.worldcat.org/oclc/29548321","Catalog Record")</f>
        <v>Catalog Record</v>
      </c>
      <c r="AW2346" s="6" t="str">
        <f>HYPERLINK("http://www.worldcat.org/oclc/29548321","WorldCat Record")</f>
        <v>WorldCat Record</v>
      </c>
      <c r="AX2346" s="3" t="s">
        <v>22905</v>
      </c>
      <c r="AY2346" s="3" t="s">
        <v>22906</v>
      </c>
      <c r="AZ2346" s="3" t="s">
        <v>22907</v>
      </c>
      <c r="BA2346" s="3" t="s">
        <v>22907</v>
      </c>
      <c r="BB2346" s="3" t="s">
        <v>22908</v>
      </c>
      <c r="BC2346" s="3" t="s">
        <v>142</v>
      </c>
      <c r="BD2346" s="3" t="s">
        <v>68</v>
      </c>
      <c r="BE2346" s="3" t="s">
        <v>22909</v>
      </c>
      <c r="BF2346" s="3" t="s">
        <v>22908</v>
      </c>
      <c r="BG2346" s="3" t="s">
        <v>22910</v>
      </c>
    </row>
    <row r="2347" spans="1:59" ht="57" x14ac:dyDescent="0.45">
      <c r="A2347" s="2" t="s">
        <v>59</v>
      </c>
      <c r="B2347" s="2" t="s">
        <v>60</v>
      </c>
      <c r="C2347" s="2" t="s">
        <v>22911</v>
      </c>
      <c r="D2347" s="2" t="s">
        <v>22912</v>
      </c>
      <c r="E2347" s="2" t="s">
        <v>22913</v>
      </c>
      <c r="G2347" s="3" t="s">
        <v>62</v>
      </c>
      <c r="I2347" s="3" t="s">
        <v>62</v>
      </c>
      <c r="J2347" s="3" t="s">
        <v>62</v>
      </c>
      <c r="K2347" s="3" t="s">
        <v>63</v>
      </c>
      <c r="M2347" s="2" t="s">
        <v>22914</v>
      </c>
      <c r="N2347" s="3" t="s">
        <v>945</v>
      </c>
      <c r="P2347" s="3" t="s">
        <v>110</v>
      </c>
      <c r="R2347" s="3" t="s">
        <v>66</v>
      </c>
      <c r="S2347" s="4">
        <v>3</v>
      </c>
      <c r="T2347" s="4">
        <v>3</v>
      </c>
      <c r="U2347" s="5" t="s">
        <v>13451</v>
      </c>
      <c r="V2347" s="5" t="s">
        <v>13451</v>
      </c>
      <c r="W2347" s="5" t="s">
        <v>67</v>
      </c>
      <c r="X2347" s="5" t="s">
        <v>67</v>
      </c>
      <c r="Y2347" s="4">
        <v>6</v>
      </c>
      <c r="Z2347" s="4">
        <v>1</v>
      </c>
      <c r="AA2347" s="4">
        <v>5</v>
      </c>
      <c r="AB2347" s="4">
        <v>1</v>
      </c>
      <c r="AC2347" s="4">
        <v>4</v>
      </c>
      <c r="AD2347" s="4">
        <v>2</v>
      </c>
      <c r="AE2347" s="4">
        <v>5</v>
      </c>
      <c r="AF2347" s="4">
        <v>0</v>
      </c>
      <c r="AG2347" s="4">
        <v>2</v>
      </c>
      <c r="AH2347" s="4">
        <v>2</v>
      </c>
      <c r="AI2347" s="4">
        <v>4</v>
      </c>
      <c r="AJ2347" s="4">
        <v>0</v>
      </c>
      <c r="AK2347" s="4">
        <v>3</v>
      </c>
      <c r="AL2347" s="4">
        <v>2</v>
      </c>
      <c r="AM2347" s="4">
        <v>2</v>
      </c>
      <c r="AN2347" s="4">
        <v>0</v>
      </c>
      <c r="AO2347" s="4">
        <v>0</v>
      </c>
      <c r="AP2347" s="4">
        <v>0</v>
      </c>
      <c r="AQ2347" s="4">
        <v>3</v>
      </c>
      <c r="AR2347" s="3" t="s">
        <v>62</v>
      </c>
      <c r="AS2347" s="3" t="s">
        <v>62</v>
      </c>
      <c r="AT2347" s="3" t="s">
        <v>62</v>
      </c>
      <c r="AV2347" s="6" t="str">
        <f>HYPERLINK("http://mcgill.on.worldcat.org/oclc/132401775","Catalog Record")</f>
        <v>Catalog Record</v>
      </c>
      <c r="AW2347" s="6" t="str">
        <f>HYPERLINK("http://www.worldcat.org/oclc/132401775","WorldCat Record")</f>
        <v>WorldCat Record</v>
      </c>
      <c r="AX2347" s="3" t="s">
        <v>22915</v>
      </c>
      <c r="AY2347" s="3" t="s">
        <v>22916</v>
      </c>
      <c r="AZ2347" s="3" t="s">
        <v>22917</v>
      </c>
      <c r="BA2347" s="3" t="s">
        <v>22917</v>
      </c>
      <c r="BB2347" s="3" t="s">
        <v>22918</v>
      </c>
      <c r="BC2347" s="3" t="s">
        <v>142</v>
      </c>
      <c r="BD2347" s="3" t="s">
        <v>68</v>
      </c>
      <c r="BE2347" s="3" t="s">
        <v>22919</v>
      </c>
      <c r="BF2347" s="3" t="s">
        <v>22918</v>
      </c>
      <c r="BG2347" s="3" t="s">
        <v>22920</v>
      </c>
    </row>
    <row r="2348" spans="1:59" ht="57" x14ac:dyDescent="0.45">
      <c r="A2348" s="2" t="s">
        <v>59</v>
      </c>
      <c r="B2348" s="2" t="s">
        <v>60</v>
      </c>
      <c r="C2348" s="2" t="s">
        <v>22921</v>
      </c>
      <c r="D2348" s="2" t="s">
        <v>22922</v>
      </c>
      <c r="E2348" s="2" t="s">
        <v>22923</v>
      </c>
      <c r="G2348" s="3" t="s">
        <v>62</v>
      </c>
      <c r="I2348" s="3" t="s">
        <v>62</v>
      </c>
      <c r="J2348" s="3" t="s">
        <v>62</v>
      </c>
      <c r="K2348" s="3" t="s">
        <v>63</v>
      </c>
      <c r="L2348" s="2" t="s">
        <v>22924</v>
      </c>
      <c r="M2348" s="2" t="s">
        <v>22925</v>
      </c>
      <c r="N2348" s="3" t="s">
        <v>1155</v>
      </c>
      <c r="P2348" s="3" t="s">
        <v>65</v>
      </c>
      <c r="R2348" s="3" t="s">
        <v>66</v>
      </c>
      <c r="S2348" s="4">
        <v>1</v>
      </c>
      <c r="T2348" s="4">
        <v>1</v>
      </c>
      <c r="U2348" s="5" t="s">
        <v>22926</v>
      </c>
      <c r="V2348" s="5" t="s">
        <v>22926</v>
      </c>
      <c r="W2348" s="5" t="s">
        <v>67</v>
      </c>
      <c r="X2348" s="5" t="s">
        <v>67</v>
      </c>
      <c r="Y2348" s="4">
        <v>55</v>
      </c>
      <c r="Z2348" s="4">
        <v>9</v>
      </c>
      <c r="AA2348" s="4">
        <v>11</v>
      </c>
      <c r="AB2348" s="4">
        <v>1</v>
      </c>
      <c r="AC2348" s="4">
        <v>3</v>
      </c>
      <c r="AD2348" s="4">
        <v>23</v>
      </c>
      <c r="AE2348" s="4">
        <v>24</v>
      </c>
      <c r="AF2348" s="4">
        <v>0</v>
      </c>
      <c r="AG2348" s="4">
        <v>1</v>
      </c>
      <c r="AH2348" s="4">
        <v>21</v>
      </c>
      <c r="AI2348" s="4">
        <v>22</v>
      </c>
      <c r="AJ2348" s="4">
        <v>6</v>
      </c>
      <c r="AK2348" s="4">
        <v>7</v>
      </c>
      <c r="AL2348" s="4">
        <v>15</v>
      </c>
      <c r="AM2348" s="4">
        <v>15</v>
      </c>
      <c r="AN2348" s="4">
        <v>0</v>
      </c>
      <c r="AO2348" s="4">
        <v>0</v>
      </c>
      <c r="AP2348" s="4">
        <v>7</v>
      </c>
      <c r="AQ2348" s="4">
        <v>8</v>
      </c>
      <c r="AR2348" s="3" t="s">
        <v>62</v>
      </c>
      <c r="AS2348" s="3" t="s">
        <v>62</v>
      </c>
      <c r="AT2348" s="3" t="s">
        <v>62</v>
      </c>
      <c r="AV2348" s="6" t="str">
        <f>HYPERLINK("http://mcgill.on.worldcat.org/oclc/755072758","Catalog Record")</f>
        <v>Catalog Record</v>
      </c>
      <c r="AW2348" s="6" t="str">
        <f>HYPERLINK("http://www.worldcat.org/oclc/755072758","WorldCat Record")</f>
        <v>WorldCat Record</v>
      </c>
      <c r="AX2348" s="3" t="s">
        <v>22927</v>
      </c>
      <c r="AY2348" s="3" t="s">
        <v>22928</v>
      </c>
      <c r="AZ2348" s="3" t="s">
        <v>22929</v>
      </c>
      <c r="BA2348" s="3" t="s">
        <v>22929</v>
      </c>
      <c r="BB2348" s="3" t="s">
        <v>22930</v>
      </c>
      <c r="BC2348" s="3" t="s">
        <v>142</v>
      </c>
      <c r="BD2348" s="3" t="s">
        <v>68</v>
      </c>
      <c r="BE2348" s="3" t="s">
        <v>22931</v>
      </c>
      <c r="BF2348" s="3" t="s">
        <v>22930</v>
      </c>
      <c r="BG2348" s="3" t="s">
        <v>22932</v>
      </c>
    </row>
    <row r="2349" spans="1:59" ht="57" x14ac:dyDescent="0.45">
      <c r="A2349" s="2" t="s">
        <v>59</v>
      </c>
      <c r="B2349" s="2" t="s">
        <v>60</v>
      </c>
      <c r="C2349" s="2" t="s">
        <v>22933</v>
      </c>
      <c r="D2349" s="2" t="s">
        <v>22934</v>
      </c>
      <c r="E2349" s="2" t="s">
        <v>22935</v>
      </c>
      <c r="G2349" s="3" t="s">
        <v>62</v>
      </c>
      <c r="I2349" s="3" t="s">
        <v>62</v>
      </c>
      <c r="J2349" s="3" t="s">
        <v>62</v>
      </c>
      <c r="K2349" s="3" t="s">
        <v>63</v>
      </c>
      <c r="L2349" s="2" t="s">
        <v>22936</v>
      </c>
      <c r="M2349" s="2" t="s">
        <v>22937</v>
      </c>
      <c r="N2349" s="3" t="s">
        <v>894</v>
      </c>
      <c r="P2349" s="3" t="s">
        <v>65</v>
      </c>
      <c r="R2349" s="3" t="s">
        <v>66</v>
      </c>
      <c r="S2349" s="4">
        <v>0</v>
      </c>
      <c r="T2349" s="4">
        <v>0</v>
      </c>
      <c r="W2349" s="5" t="s">
        <v>67</v>
      </c>
      <c r="X2349" s="5" t="s">
        <v>67</v>
      </c>
      <c r="Y2349" s="4">
        <v>105</v>
      </c>
      <c r="Z2349" s="4">
        <v>14</v>
      </c>
      <c r="AA2349" s="4">
        <v>14</v>
      </c>
      <c r="AB2349" s="4">
        <v>1</v>
      </c>
      <c r="AC2349" s="4">
        <v>1</v>
      </c>
      <c r="AD2349" s="4">
        <v>54</v>
      </c>
      <c r="AE2349" s="4">
        <v>54</v>
      </c>
      <c r="AF2349" s="4">
        <v>0</v>
      </c>
      <c r="AG2349" s="4">
        <v>0</v>
      </c>
      <c r="AH2349" s="4">
        <v>48</v>
      </c>
      <c r="AI2349" s="4">
        <v>48</v>
      </c>
      <c r="AJ2349" s="4">
        <v>10</v>
      </c>
      <c r="AK2349" s="4">
        <v>10</v>
      </c>
      <c r="AL2349" s="4">
        <v>32</v>
      </c>
      <c r="AM2349" s="4">
        <v>32</v>
      </c>
      <c r="AN2349" s="4">
        <v>0</v>
      </c>
      <c r="AO2349" s="4">
        <v>0</v>
      </c>
      <c r="AP2349" s="4">
        <v>10</v>
      </c>
      <c r="AQ2349" s="4">
        <v>10</v>
      </c>
      <c r="AR2349" s="3" t="s">
        <v>62</v>
      </c>
      <c r="AS2349" s="3" t="s">
        <v>62</v>
      </c>
      <c r="AT2349" s="3" t="s">
        <v>62</v>
      </c>
      <c r="AV2349" s="6" t="str">
        <f>HYPERLINK("http://mcgill.on.worldcat.org/oclc/780277227","Catalog Record")</f>
        <v>Catalog Record</v>
      </c>
      <c r="AW2349" s="6" t="str">
        <f>HYPERLINK("http://www.worldcat.org/oclc/780277227","WorldCat Record")</f>
        <v>WorldCat Record</v>
      </c>
      <c r="AX2349" s="3" t="s">
        <v>22938</v>
      </c>
      <c r="AY2349" s="3" t="s">
        <v>22939</v>
      </c>
      <c r="AZ2349" s="3" t="s">
        <v>22940</v>
      </c>
      <c r="BA2349" s="3" t="s">
        <v>22940</v>
      </c>
      <c r="BB2349" s="3" t="s">
        <v>22941</v>
      </c>
      <c r="BC2349" s="3" t="s">
        <v>142</v>
      </c>
      <c r="BD2349" s="3" t="s">
        <v>68</v>
      </c>
      <c r="BE2349" s="3" t="s">
        <v>22942</v>
      </c>
      <c r="BF2349" s="3" t="s">
        <v>22941</v>
      </c>
      <c r="BG2349" s="3" t="s">
        <v>22943</v>
      </c>
    </row>
    <row r="2350" spans="1:59" ht="57" x14ac:dyDescent="0.45">
      <c r="A2350" s="2" t="s">
        <v>59</v>
      </c>
      <c r="B2350" s="2" t="s">
        <v>60</v>
      </c>
      <c r="C2350" s="2" t="s">
        <v>22944</v>
      </c>
      <c r="D2350" s="2" t="s">
        <v>22945</v>
      </c>
      <c r="E2350" s="2" t="s">
        <v>22946</v>
      </c>
      <c r="G2350" s="3" t="s">
        <v>62</v>
      </c>
      <c r="I2350" s="3" t="s">
        <v>62</v>
      </c>
      <c r="J2350" s="3" t="s">
        <v>62</v>
      </c>
      <c r="K2350" s="3" t="s">
        <v>63</v>
      </c>
      <c r="L2350" s="2" t="s">
        <v>22947</v>
      </c>
      <c r="M2350" s="2" t="s">
        <v>22948</v>
      </c>
      <c r="N2350" s="3" t="s">
        <v>1855</v>
      </c>
      <c r="P2350" s="3" t="s">
        <v>65</v>
      </c>
      <c r="Q2350" s="2" t="s">
        <v>16444</v>
      </c>
      <c r="R2350" s="3" t="s">
        <v>66</v>
      </c>
      <c r="S2350" s="4">
        <v>8</v>
      </c>
      <c r="T2350" s="4">
        <v>8</v>
      </c>
      <c r="U2350" s="5" t="s">
        <v>22949</v>
      </c>
      <c r="V2350" s="5" t="s">
        <v>22949</v>
      </c>
      <c r="W2350" s="5" t="s">
        <v>67</v>
      </c>
      <c r="X2350" s="5" t="s">
        <v>67</v>
      </c>
      <c r="Y2350" s="4">
        <v>166</v>
      </c>
      <c r="Z2350" s="4">
        <v>17</v>
      </c>
      <c r="AA2350" s="4">
        <v>100</v>
      </c>
      <c r="AB2350" s="4">
        <v>1</v>
      </c>
      <c r="AC2350" s="4">
        <v>17</v>
      </c>
      <c r="AD2350" s="4">
        <v>74</v>
      </c>
      <c r="AE2350" s="4">
        <v>129</v>
      </c>
      <c r="AF2350" s="4">
        <v>0</v>
      </c>
      <c r="AG2350" s="4">
        <v>8</v>
      </c>
      <c r="AH2350" s="4">
        <v>68</v>
      </c>
      <c r="AI2350" s="4">
        <v>94</v>
      </c>
      <c r="AJ2350" s="4">
        <v>11</v>
      </c>
      <c r="AK2350" s="4">
        <v>24</v>
      </c>
      <c r="AL2350" s="4">
        <v>41</v>
      </c>
      <c r="AM2350" s="4">
        <v>50</v>
      </c>
      <c r="AN2350" s="4">
        <v>0</v>
      </c>
      <c r="AO2350" s="4">
        <v>0</v>
      </c>
      <c r="AP2350" s="4">
        <v>12</v>
      </c>
      <c r="AQ2350" s="4">
        <v>45</v>
      </c>
      <c r="AR2350" s="3" t="s">
        <v>62</v>
      </c>
      <c r="AS2350" s="3" t="s">
        <v>62</v>
      </c>
      <c r="AT2350" s="3" t="s">
        <v>61</v>
      </c>
      <c r="AU2350" s="6" t="str">
        <f>HYPERLINK("http://catalog.hathitrust.org/Record/005061594","HathiTrust Record")</f>
        <v>HathiTrust Record</v>
      </c>
      <c r="AV2350" s="6" t="str">
        <f>HYPERLINK("http://mcgill.on.worldcat.org/oclc/52566622","Catalog Record")</f>
        <v>Catalog Record</v>
      </c>
      <c r="AW2350" s="6" t="str">
        <f>HYPERLINK("http://www.worldcat.org/oclc/52566622","WorldCat Record")</f>
        <v>WorldCat Record</v>
      </c>
      <c r="AX2350" s="3" t="s">
        <v>22950</v>
      </c>
      <c r="AY2350" s="3" t="s">
        <v>22951</v>
      </c>
      <c r="AZ2350" s="3" t="s">
        <v>22952</v>
      </c>
      <c r="BA2350" s="3" t="s">
        <v>22952</v>
      </c>
      <c r="BB2350" s="3" t="s">
        <v>22953</v>
      </c>
      <c r="BC2350" s="3" t="s">
        <v>142</v>
      </c>
      <c r="BD2350" s="3" t="s">
        <v>68</v>
      </c>
      <c r="BE2350" s="3" t="s">
        <v>22954</v>
      </c>
      <c r="BF2350" s="3" t="s">
        <v>22953</v>
      </c>
      <c r="BG2350" s="3" t="s">
        <v>22955</v>
      </c>
    </row>
    <row r="2351" spans="1:59" ht="57" x14ac:dyDescent="0.45">
      <c r="A2351" s="2" t="s">
        <v>59</v>
      </c>
      <c r="B2351" s="2" t="s">
        <v>60</v>
      </c>
      <c r="C2351" s="2" t="s">
        <v>22956</v>
      </c>
      <c r="D2351" s="2" t="s">
        <v>22957</v>
      </c>
      <c r="E2351" s="2" t="s">
        <v>22958</v>
      </c>
      <c r="G2351" s="3" t="s">
        <v>62</v>
      </c>
      <c r="I2351" s="3" t="s">
        <v>62</v>
      </c>
      <c r="J2351" s="3" t="s">
        <v>62</v>
      </c>
      <c r="K2351" s="3" t="s">
        <v>63</v>
      </c>
      <c r="L2351" s="2" t="s">
        <v>22959</v>
      </c>
      <c r="M2351" s="2" t="s">
        <v>22960</v>
      </c>
      <c r="N2351" s="3" t="s">
        <v>1604</v>
      </c>
      <c r="P2351" s="3" t="s">
        <v>65</v>
      </c>
      <c r="R2351" s="3" t="s">
        <v>66</v>
      </c>
      <c r="S2351" s="4">
        <v>33</v>
      </c>
      <c r="T2351" s="4">
        <v>33</v>
      </c>
      <c r="U2351" s="5" t="s">
        <v>22961</v>
      </c>
      <c r="V2351" s="5" t="s">
        <v>22961</v>
      </c>
      <c r="W2351" s="5" t="s">
        <v>67</v>
      </c>
      <c r="X2351" s="5" t="s">
        <v>67</v>
      </c>
      <c r="Y2351" s="4">
        <v>366</v>
      </c>
      <c r="Z2351" s="4">
        <v>18</v>
      </c>
      <c r="AA2351" s="4">
        <v>40</v>
      </c>
      <c r="AB2351" s="4">
        <v>2</v>
      </c>
      <c r="AC2351" s="4">
        <v>6</v>
      </c>
      <c r="AD2351" s="4">
        <v>106</v>
      </c>
      <c r="AE2351" s="4">
        <v>123</v>
      </c>
      <c r="AF2351" s="4">
        <v>1</v>
      </c>
      <c r="AG2351" s="4">
        <v>2</v>
      </c>
      <c r="AH2351" s="4">
        <v>100</v>
      </c>
      <c r="AI2351" s="4">
        <v>107</v>
      </c>
      <c r="AJ2351" s="4">
        <v>12</v>
      </c>
      <c r="AK2351" s="4">
        <v>18</v>
      </c>
      <c r="AL2351" s="4">
        <v>55</v>
      </c>
      <c r="AM2351" s="4">
        <v>58</v>
      </c>
      <c r="AN2351" s="4">
        <v>0</v>
      </c>
      <c r="AO2351" s="4">
        <v>0</v>
      </c>
      <c r="AP2351" s="4">
        <v>13</v>
      </c>
      <c r="AQ2351" s="4">
        <v>25</v>
      </c>
      <c r="AR2351" s="3" t="s">
        <v>62</v>
      </c>
      <c r="AS2351" s="3" t="s">
        <v>62</v>
      </c>
      <c r="AT2351" s="3" t="s">
        <v>62</v>
      </c>
      <c r="AV2351" s="6" t="str">
        <f>HYPERLINK("http://mcgill.on.worldcat.org/oclc/29548231","Catalog Record")</f>
        <v>Catalog Record</v>
      </c>
      <c r="AW2351" s="6" t="str">
        <f>HYPERLINK("http://www.worldcat.org/oclc/29548231","WorldCat Record")</f>
        <v>WorldCat Record</v>
      </c>
      <c r="AX2351" s="3" t="s">
        <v>22962</v>
      </c>
      <c r="AY2351" s="3" t="s">
        <v>22963</v>
      </c>
      <c r="AZ2351" s="3" t="s">
        <v>22964</v>
      </c>
      <c r="BA2351" s="3" t="s">
        <v>22964</v>
      </c>
      <c r="BB2351" s="3" t="s">
        <v>22965</v>
      </c>
      <c r="BC2351" s="3" t="s">
        <v>142</v>
      </c>
      <c r="BD2351" s="3" t="s">
        <v>68</v>
      </c>
      <c r="BE2351" s="3" t="s">
        <v>22966</v>
      </c>
      <c r="BF2351" s="3" t="s">
        <v>22965</v>
      </c>
      <c r="BG2351" s="3" t="s">
        <v>22967</v>
      </c>
    </row>
    <row r="2352" spans="1:59" ht="57" x14ac:dyDescent="0.45">
      <c r="A2352" s="2" t="s">
        <v>59</v>
      </c>
      <c r="B2352" s="2" t="s">
        <v>60</v>
      </c>
      <c r="C2352" s="2" t="s">
        <v>22968</v>
      </c>
      <c r="D2352" s="2" t="s">
        <v>22969</v>
      </c>
      <c r="E2352" s="2" t="s">
        <v>22970</v>
      </c>
      <c r="G2352" s="3" t="s">
        <v>62</v>
      </c>
      <c r="I2352" s="3" t="s">
        <v>62</v>
      </c>
      <c r="J2352" s="3" t="s">
        <v>62</v>
      </c>
      <c r="K2352" s="3" t="s">
        <v>63</v>
      </c>
      <c r="L2352" s="2" t="s">
        <v>22971</v>
      </c>
      <c r="M2352" s="2" t="s">
        <v>22972</v>
      </c>
      <c r="N2352" s="3" t="s">
        <v>2417</v>
      </c>
      <c r="P2352" s="3" t="s">
        <v>65</v>
      </c>
      <c r="R2352" s="3" t="s">
        <v>66</v>
      </c>
      <c r="S2352" s="4">
        <v>26</v>
      </c>
      <c r="T2352" s="4">
        <v>26</v>
      </c>
      <c r="U2352" s="5" t="s">
        <v>6656</v>
      </c>
      <c r="V2352" s="5" t="s">
        <v>6656</v>
      </c>
      <c r="W2352" s="5" t="s">
        <v>67</v>
      </c>
      <c r="X2352" s="5" t="s">
        <v>67</v>
      </c>
      <c r="Y2352" s="4">
        <v>476</v>
      </c>
      <c r="Z2352" s="4">
        <v>31</v>
      </c>
      <c r="AA2352" s="4">
        <v>96</v>
      </c>
      <c r="AB2352" s="4">
        <v>4</v>
      </c>
      <c r="AC2352" s="4">
        <v>18</v>
      </c>
      <c r="AD2352" s="4">
        <v>123</v>
      </c>
      <c r="AE2352" s="4">
        <v>150</v>
      </c>
      <c r="AF2352" s="4">
        <v>2</v>
      </c>
      <c r="AG2352" s="4">
        <v>8</v>
      </c>
      <c r="AH2352" s="4">
        <v>105</v>
      </c>
      <c r="AI2352" s="4">
        <v>111</v>
      </c>
      <c r="AJ2352" s="4">
        <v>20</v>
      </c>
      <c r="AK2352" s="4">
        <v>26</v>
      </c>
      <c r="AL2352" s="4">
        <v>56</v>
      </c>
      <c r="AM2352" s="4">
        <v>59</v>
      </c>
      <c r="AN2352" s="4">
        <v>0</v>
      </c>
      <c r="AO2352" s="4">
        <v>0</v>
      </c>
      <c r="AP2352" s="4">
        <v>26</v>
      </c>
      <c r="AQ2352" s="4">
        <v>48</v>
      </c>
      <c r="AR2352" s="3" t="s">
        <v>62</v>
      </c>
      <c r="AS2352" s="3" t="s">
        <v>62</v>
      </c>
      <c r="AT2352" s="3" t="s">
        <v>61</v>
      </c>
      <c r="AU2352" s="6" t="str">
        <f>HYPERLINK("http://catalog.hathitrust.org/Record/000914815","HathiTrust Record")</f>
        <v>HathiTrust Record</v>
      </c>
      <c r="AV2352" s="6" t="str">
        <f>HYPERLINK("http://mcgill.on.worldcat.org/oclc/14692574","Catalog Record")</f>
        <v>Catalog Record</v>
      </c>
      <c r="AW2352" s="6" t="str">
        <f>HYPERLINK("http://www.worldcat.org/oclc/14692574","WorldCat Record")</f>
        <v>WorldCat Record</v>
      </c>
      <c r="AX2352" s="3" t="s">
        <v>22973</v>
      </c>
      <c r="AY2352" s="3" t="s">
        <v>22974</v>
      </c>
      <c r="AZ2352" s="3" t="s">
        <v>22975</v>
      </c>
      <c r="BA2352" s="3" t="s">
        <v>22975</v>
      </c>
      <c r="BB2352" s="3" t="s">
        <v>22976</v>
      </c>
      <c r="BC2352" s="3" t="s">
        <v>142</v>
      </c>
      <c r="BD2352" s="3" t="s">
        <v>308</v>
      </c>
      <c r="BE2352" s="3" t="s">
        <v>22977</v>
      </c>
      <c r="BF2352" s="3" t="s">
        <v>22976</v>
      </c>
      <c r="BG2352" s="3" t="s">
        <v>22978</v>
      </c>
    </row>
    <row r="2353" spans="1:59" ht="114" x14ac:dyDescent="0.45">
      <c r="A2353" s="2" t="s">
        <v>59</v>
      </c>
      <c r="B2353" s="2" t="s">
        <v>690</v>
      </c>
      <c r="C2353" s="2" t="s">
        <v>22979</v>
      </c>
      <c r="D2353" s="2" t="s">
        <v>22980</v>
      </c>
      <c r="E2353" s="2" t="s">
        <v>22981</v>
      </c>
      <c r="G2353" s="3" t="s">
        <v>62</v>
      </c>
      <c r="I2353" s="3" t="s">
        <v>62</v>
      </c>
      <c r="J2353" s="3" t="s">
        <v>62</v>
      </c>
      <c r="K2353" s="3" t="s">
        <v>63</v>
      </c>
      <c r="M2353" s="2" t="s">
        <v>22982</v>
      </c>
      <c r="N2353" s="3" t="s">
        <v>1155</v>
      </c>
      <c r="O2353" s="2" t="s">
        <v>4916</v>
      </c>
      <c r="P2353" s="3" t="s">
        <v>4917</v>
      </c>
      <c r="Q2353" s="2" t="s">
        <v>22983</v>
      </c>
      <c r="R2353" s="3" t="s">
        <v>66</v>
      </c>
      <c r="S2353" s="4">
        <v>0</v>
      </c>
      <c r="T2353" s="4">
        <v>0</v>
      </c>
      <c r="W2353" s="5" t="s">
        <v>67</v>
      </c>
      <c r="X2353" s="5" t="s">
        <v>67</v>
      </c>
      <c r="Y2353" s="4">
        <v>28</v>
      </c>
      <c r="Z2353" s="4">
        <v>3</v>
      </c>
      <c r="AA2353" s="4">
        <v>3</v>
      </c>
      <c r="AB2353" s="4">
        <v>1</v>
      </c>
      <c r="AC2353" s="4">
        <v>1</v>
      </c>
      <c r="AD2353" s="4">
        <v>20</v>
      </c>
      <c r="AE2353" s="4">
        <v>20</v>
      </c>
      <c r="AF2353" s="4">
        <v>0</v>
      </c>
      <c r="AG2353" s="4">
        <v>0</v>
      </c>
      <c r="AH2353" s="4">
        <v>18</v>
      </c>
      <c r="AI2353" s="4">
        <v>18</v>
      </c>
      <c r="AJ2353" s="4">
        <v>1</v>
      </c>
      <c r="AK2353" s="4">
        <v>1</v>
      </c>
      <c r="AL2353" s="4">
        <v>18</v>
      </c>
      <c r="AM2353" s="4">
        <v>18</v>
      </c>
      <c r="AN2353" s="4">
        <v>0</v>
      </c>
      <c r="AO2353" s="4">
        <v>0</v>
      </c>
      <c r="AP2353" s="4">
        <v>1</v>
      </c>
      <c r="AQ2353" s="4">
        <v>1</v>
      </c>
      <c r="AR2353" s="3" t="s">
        <v>62</v>
      </c>
      <c r="AS2353" s="3" t="s">
        <v>62</v>
      </c>
      <c r="AT2353" s="3" t="s">
        <v>62</v>
      </c>
      <c r="AV2353" s="6" t="str">
        <f>HYPERLINK("http://mcgill.on.worldcat.org/oclc/785515421","Catalog Record")</f>
        <v>Catalog Record</v>
      </c>
      <c r="AW2353" s="6" t="str">
        <f>HYPERLINK("http://www.worldcat.org/oclc/785515421","WorldCat Record")</f>
        <v>WorldCat Record</v>
      </c>
      <c r="AX2353" s="3" t="s">
        <v>22984</v>
      </c>
      <c r="AY2353" s="3" t="s">
        <v>22985</v>
      </c>
      <c r="AZ2353" s="3" t="s">
        <v>22986</v>
      </c>
      <c r="BA2353" s="3" t="s">
        <v>22986</v>
      </c>
      <c r="BB2353" s="3" t="s">
        <v>22987</v>
      </c>
      <c r="BC2353" s="3" t="s">
        <v>142</v>
      </c>
      <c r="BD2353" s="3" t="s">
        <v>68</v>
      </c>
      <c r="BE2353" s="3" t="s">
        <v>22988</v>
      </c>
      <c r="BF2353" s="3" t="s">
        <v>22987</v>
      </c>
      <c r="BG2353" s="3" t="s">
        <v>22989</v>
      </c>
    </row>
    <row r="2354" spans="1:59" ht="57" x14ac:dyDescent="0.45">
      <c r="A2354" s="2" t="s">
        <v>59</v>
      </c>
      <c r="B2354" s="2" t="s">
        <v>60</v>
      </c>
      <c r="C2354" s="2" t="s">
        <v>22990</v>
      </c>
      <c r="D2354" s="2" t="s">
        <v>22991</v>
      </c>
      <c r="E2354" s="2" t="s">
        <v>22992</v>
      </c>
      <c r="G2354" s="3" t="s">
        <v>62</v>
      </c>
      <c r="I2354" s="3" t="s">
        <v>62</v>
      </c>
      <c r="J2354" s="3" t="s">
        <v>62</v>
      </c>
      <c r="K2354" s="3" t="s">
        <v>63</v>
      </c>
      <c r="L2354" s="2" t="s">
        <v>22993</v>
      </c>
      <c r="M2354" s="2" t="s">
        <v>22994</v>
      </c>
      <c r="N2354" s="3" t="s">
        <v>5180</v>
      </c>
      <c r="P2354" s="3" t="s">
        <v>65</v>
      </c>
      <c r="R2354" s="3" t="s">
        <v>66</v>
      </c>
      <c r="S2354" s="4">
        <v>0</v>
      </c>
      <c r="T2354" s="4">
        <v>0</v>
      </c>
      <c r="W2354" s="5" t="s">
        <v>67</v>
      </c>
      <c r="X2354" s="5" t="s">
        <v>67</v>
      </c>
      <c r="Y2354" s="4">
        <v>33</v>
      </c>
      <c r="Z2354" s="4">
        <v>3</v>
      </c>
      <c r="AA2354" s="4">
        <v>15</v>
      </c>
      <c r="AB2354" s="4">
        <v>1</v>
      </c>
      <c r="AC2354" s="4">
        <v>5</v>
      </c>
      <c r="AD2354" s="4">
        <v>21</v>
      </c>
      <c r="AE2354" s="4">
        <v>40</v>
      </c>
      <c r="AF2354" s="4">
        <v>0</v>
      </c>
      <c r="AG2354" s="4">
        <v>2</v>
      </c>
      <c r="AH2354" s="4">
        <v>19</v>
      </c>
      <c r="AI2354" s="4">
        <v>31</v>
      </c>
      <c r="AJ2354" s="4">
        <v>1</v>
      </c>
      <c r="AK2354" s="4">
        <v>8</v>
      </c>
      <c r="AL2354" s="4">
        <v>15</v>
      </c>
      <c r="AM2354" s="4">
        <v>22</v>
      </c>
      <c r="AN2354" s="4">
        <v>0</v>
      </c>
      <c r="AO2354" s="4">
        <v>0</v>
      </c>
      <c r="AP2354" s="4">
        <v>2</v>
      </c>
      <c r="AQ2354" s="4">
        <v>12</v>
      </c>
      <c r="AR2354" s="3" t="s">
        <v>62</v>
      </c>
      <c r="AS2354" s="3" t="s">
        <v>62</v>
      </c>
      <c r="AT2354" s="3" t="s">
        <v>62</v>
      </c>
      <c r="AV2354" s="6" t="str">
        <f>HYPERLINK("http://mcgill.on.worldcat.org/oclc/1006302356","Catalog Record")</f>
        <v>Catalog Record</v>
      </c>
      <c r="AW2354" s="6" t="str">
        <f>HYPERLINK("http://www.worldcat.org/oclc/1006302356","WorldCat Record")</f>
        <v>WorldCat Record</v>
      </c>
      <c r="AX2354" s="3" t="s">
        <v>22995</v>
      </c>
      <c r="AY2354" s="3" t="s">
        <v>22996</v>
      </c>
      <c r="AZ2354" s="3" t="s">
        <v>22997</v>
      </c>
      <c r="BA2354" s="3" t="s">
        <v>22997</v>
      </c>
      <c r="BB2354" s="3" t="s">
        <v>22998</v>
      </c>
      <c r="BC2354" s="3" t="s">
        <v>142</v>
      </c>
      <c r="BD2354" s="3" t="s">
        <v>68</v>
      </c>
      <c r="BE2354" s="3" t="s">
        <v>22999</v>
      </c>
      <c r="BF2354" s="3" t="s">
        <v>22998</v>
      </c>
      <c r="BG2354" s="3" t="s">
        <v>23000</v>
      </c>
    </row>
    <row r="2355" spans="1:59" ht="57" x14ac:dyDescent="0.45">
      <c r="A2355" s="2" t="s">
        <v>59</v>
      </c>
      <c r="B2355" s="2" t="s">
        <v>60</v>
      </c>
      <c r="C2355" s="2" t="s">
        <v>23001</v>
      </c>
      <c r="D2355" s="2" t="s">
        <v>23002</v>
      </c>
      <c r="E2355" s="2" t="s">
        <v>23003</v>
      </c>
      <c r="G2355" s="3" t="s">
        <v>62</v>
      </c>
      <c r="I2355" s="3" t="s">
        <v>62</v>
      </c>
      <c r="J2355" s="3" t="s">
        <v>62</v>
      </c>
      <c r="K2355" s="3" t="s">
        <v>63</v>
      </c>
      <c r="L2355" s="2" t="s">
        <v>23004</v>
      </c>
      <c r="M2355" s="2" t="s">
        <v>22293</v>
      </c>
      <c r="N2355" s="3" t="s">
        <v>894</v>
      </c>
      <c r="O2355" s="2" t="s">
        <v>168</v>
      </c>
      <c r="P2355" s="3" t="s">
        <v>65</v>
      </c>
      <c r="Q2355" s="2" t="s">
        <v>23005</v>
      </c>
      <c r="R2355" s="3" t="s">
        <v>66</v>
      </c>
      <c r="S2355" s="4">
        <v>1</v>
      </c>
      <c r="T2355" s="4">
        <v>1</v>
      </c>
      <c r="U2355" s="5" t="s">
        <v>23006</v>
      </c>
      <c r="V2355" s="5" t="s">
        <v>23006</v>
      </c>
      <c r="W2355" s="5" t="s">
        <v>67</v>
      </c>
      <c r="X2355" s="5" t="s">
        <v>67</v>
      </c>
      <c r="Y2355" s="4">
        <v>152</v>
      </c>
      <c r="Z2355" s="4">
        <v>19</v>
      </c>
      <c r="AA2355" s="4">
        <v>23</v>
      </c>
      <c r="AB2355" s="4">
        <v>1</v>
      </c>
      <c r="AC2355" s="4">
        <v>3</v>
      </c>
      <c r="AD2355" s="4">
        <v>72</v>
      </c>
      <c r="AE2355" s="4">
        <v>76</v>
      </c>
      <c r="AF2355" s="4">
        <v>0</v>
      </c>
      <c r="AG2355" s="4">
        <v>0</v>
      </c>
      <c r="AH2355" s="4">
        <v>67</v>
      </c>
      <c r="AI2355" s="4">
        <v>70</v>
      </c>
      <c r="AJ2355" s="4">
        <v>14</v>
      </c>
      <c r="AK2355" s="4">
        <v>15</v>
      </c>
      <c r="AL2355" s="4">
        <v>34</v>
      </c>
      <c r="AM2355" s="4">
        <v>37</v>
      </c>
      <c r="AN2355" s="4">
        <v>0</v>
      </c>
      <c r="AO2355" s="4">
        <v>0</v>
      </c>
      <c r="AP2355" s="4">
        <v>16</v>
      </c>
      <c r="AQ2355" s="4">
        <v>17</v>
      </c>
      <c r="AR2355" s="3" t="s">
        <v>62</v>
      </c>
      <c r="AS2355" s="3" t="s">
        <v>62</v>
      </c>
      <c r="AT2355" s="3" t="s">
        <v>62</v>
      </c>
      <c r="AV2355" s="6" t="str">
        <f>HYPERLINK("http://mcgill.on.worldcat.org/oclc/670481167","Catalog Record")</f>
        <v>Catalog Record</v>
      </c>
      <c r="AW2355" s="6" t="str">
        <f>HYPERLINK("http://www.worldcat.org/oclc/670481167","WorldCat Record")</f>
        <v>WorldCat Record</v>
      </c>
      <c r="AX2355" s="3" t="s">
        <v>23007</v>
      </c>
      <c r="AY2355" s="3" t="s">
        <v>23008</v>
      </c>
      <c r="AZ2355" s="3" t="s">
        <v>23009</v>
      </c>
      <c r="BA2355" s="3" t="s">
        <v>23009</v>
      </c>
      <c r="BB2355" s="3" t="s">
        <v>23010</v>
      </c>
      <c r="BC2355" s="3" t="s">
        <v>142</v>
      </c>
      <c r="BD2355" s="3" t="s">
        <v>68</v>
      </c>
      <c r="BE2355" s="3" t="s">
        <v>23011</v>
      </c>
      <c r="BF2355" s="3" t="s">
        <v>23010</v>
      </c>
      <c r="BG2355" s="3" t="s">
        <v>23012</v>
      </c>
    </row>
    <row r="2356" spans="1:59" ht="71.25" x14ac:dyDescent="0.45">
      <c r="A2356" s="2" t="s">
        <v>59</v>
      </c>
      <c r="B2356" s="2" t="s">
        <v>60</v>
      </c>
      <c r="C2356" s="2" t="s">
        <v>23013</v>
      </c>
      <c r="D2356" s="2" t="s">
        <v>23014</v>
      </c>
      <c r="E2356" s="2" t="s">
        <v>23015</v>
      </c>
      <c r="G2356" s="3" t="s">
        <v>62</v>
      </c>
      <c r="I2356" s="3" t="s">
        <v>62</v>
      </c>
      <c r="J2356" s="3" t="s">
        <v>62</v>
      </c>
      <c r="K2356" s="3" t="s">
        <v>63</v>
      </c>
      <c r="L2356" s="2" t="s">
        <v>23016</v>
      </c>
      <c r="M2356" s="2" t="s">
        <v>23017</v>
      </c>
      <c r="N2356" s="3" t="s">
        <v>1155</v>
      </c>
      <c r="P2356" s="3" t="s">
        <v>65</v>
      </c>
      <c r="Q2356" s="2" t="s">
        <v>23018</v>
      </c>
      <c r="R2356" s="3" t="s">
        <v>66</v>
      </c>
      <c r="S2356" s="4">
        <v>3</v>
      </c>
      <c r="T2356" s="4">
        <v>3</v>
      </c>
      <c r="U2356" s="5" t="s">
        <v>13166</v>
      </c>
      <c r="V2356" s="5" t="s">
        <v>13166</v>
      </c>
      <c r="W2356" s="5" t="s">
        <v>67</v>
      </c>
      <c r="X2356" s="5" t="s">
        <v>67</v>
      </c>
      <c r="Y2356" s="4">
        <v>117</v>
      </c>
      <c r="Z2356" s="4">
        <v>14</v>
      </c>
      <c r="AA2356" s="4">
        <v>69</v>
      </c>
      <c r="AB2356" s="4">
        <v>2</v>
      </c>
      <c r="AC2356" s="4">
        <v>8</v>
      </c>
      <c r="AD2356" s="4">
        <v>46</v>
      </c>
      <c r="AE2356" s="4">
        <v>86</v>
      </c>
      <c r="AF2356" s="4">
        <v>1</v>
      </c>
      <c r="AG2356" s="4">
        <v>2</v>
      </c>
      <c r="AH2356" s="4">
        <v>39</v>
      </c>
      <c r="AI2356" s="4">
        <v>67</v>
      </c>
      <c r="AJ2356" s="4">
        <v>9</v>
      </c>
      <c r="AK2356" s="4">
        <v>17</v>
      </c>
      <c r="AL2356" s="4">
        <v>25</v>
      </c>
      <c r="AM2356" s="4">
        <v>40</v>
      </c>
      <c r="AN2356" s="4">
        <v>0</v>
      </c>
      <c r="AO2356" s="4">
        <v>0</v>
      </c>
      <c r="AP2356" s="4">
        <v>11</v>
      </c>
      <c r="AQ2356" s="4">
        <v>25</v>
      </c>
      <c r="AR2356" s="3" t="s">
        <v>62</v>
      </c>
      <c r="AS2356" s="3" t="s">
        <v>62</v>
      </c>
      <c r="AT2356" s="3" t="s">
        <v>62</v>
      </c>
      <c r="AV2356" s="6" t="str">
        <f>HYPERLINK("http://mcgill.on.worldcat.org/oclc/748328824","Catalog Record")</f>
        <v>Catalog Record</v>
      </c>
      <c r="AW2356" s="6" t="str">
        <f>HYPERLINK("http://www.worldcat.org/oclc/748328824","WorldCat Record")</f>
        <v>WorldCat Record</v>
      </c>
      <c r="AX2356" s="3" t="s">
        <v>23019</v>
      </c>
      <c r="AY2356" s="3" t="s">
        <v>23020</v>
      </c>
      <c r="AZ2356" s="3" t="s">
        <v>23021</v>
      </c>
      <c r="BA2356" s="3" t="s">
        <v>23021</v>
      </c>
      <c r="BB2356" s="3" t="s">
        <v>23022</v>
      </c>
      <c r="BC2356" s="3" t="s">
        <v>142</v>
      </c>
      <c r="BD2356" s="3" t="s">
        <v>68</v>
      </c>
      <c r="BE2356" s="3" t="s">
        <v>23023</v>
      </c>
      <c r="BF2356" s="3" t="s">
        <v>23022</v>
      </c>
      <c r="BG2356" s="3" t="s">
        <v>23024</v>
      </c>
    </row>
    <row r="2357" spans="1:59" ht="71.25" x14ac:dyDescent="0.45">
      <c r="A2357" s="2" t="s">
        <v>59</v>
      </c>
      <c r="B2357" s="2" t="s">
        <v>60</v>
      </c>
      <c r="C2357" s="2" t="s">
        <v>23025</v>
      </c>
      <c r="D2357" s="2" t="s">
        <v>23026</v>
      </c>
      <c r="E2357" s="2" t="s">
        <v>23027</v>
      </c>
      <c r="G2357" s="3" t="s">
        <v>62</v>
      </c>
      <c r="I2357" s="3" t="s">
        <v>62</v>
      </c>
      <c r="J2357" s="3" t="s">
        <v>62</v>
      </c>
      <c r="K2357" s="3" t="s">
        <v>63</v>
      </c>
      <c r="M2357" s="2" t="s">
        <v>23028</v>
      </c>
      <c r="N2357" s="3" t="s">
        <v>945</v>
      </c>
      <c r="P2357" s="3" t="s">
        <v>65</v>
      </c>
      <c r="Q2357" s="2" t="s">
        <v>23029</v>
      </c>
      <c r="R2357" s="3" t="s">
        <v>66</v>
      </c>
      <c r="S2357" s="4">
        <v>20</v>
      </c>
      <c r="T2357" s="4">
        <v>20</v>
      </c>
      <c r="U2357" s="5" t="s">
        <v>23030</v>
      </c>
      <c r="V2357" s="5" t="s">
        <v>23030</v>
      </c>
      <c r="W2357" s="5" t="s">
        <v>67</v>
      </c>
      <c r="X2357" s="5" t="s">
        <v>67</v>
      </c>
      <c r="Y2357" s="4">
        <v>375</v>
      </c>
      <c r="Z2357" s="4">
        <v>24</v>
      </c>
      <c r="AA2357" s="4">
        <v>52</v>
      </c>
      <c r="AB2357" s="4">
        <v>2</v>
      </c>
      <c r="AC2357" s="4">
        <v>7</v>
      </c>
      <c r="AD2357" s="4">
        <v>95</v>
      </c>
      <c r="AE2357" s="4">
        <v>105</v>
      </c>
      <c r="AF2357" s="4">
        <v>1</v>
      </c>
      <c r="AG2357" s="4">
        <v>1</v>
      </c>
      <c r="AH2357" s="4">
        <v>84</v>
      </c>
      <c r="AI2357" s="4">
        <v>89</v>
      </c>
      <c r="AJ2357" s="4">
        <v>17</v>
      </c>
      <c r="AK2357" s="4">
        <v>18</v>
      </c>
      <c r="AL2357" s="4">
        <v>49</v>
      </c>
      <c r="AM2357" s="4">
        <v>50</v>
      </c>
      <c r="AN2357" s="4">
        <v>0</v>
      </c>
      <c r="AO2357" s="4">
        <v>0</v>
      </c>
      <c r="AP2357" s="4">
        <v>19</v>
      </c>
      <c r="AQ2357" s="4">
        <v>24</v>
      </c>
      <c r="AR2357" s="3" t="s">
        <v>62</v>
      </c>
      <c r="AS2357" s="3" t="s">
        <v>62</v>
      </c>
      <c r="AT2357" s="3" t="s">
        <v>62</v>
      </c>
      <c r="AV2357" s="6" t="str">
        <f>HYPERLINK("http://mcgill.on.worldcat.org/oclc/72151018","Catalog Record")</f>
        <v>Catalog Record</v>
      </c>
      <c r="AW2357" s="6" t="str">
        <f>HYPERLINK("http://www.worldcat.org/oclc/72151018","WorldCat Record")</f>
        <v>WorldCat Record</v>
      </c>
      <c r="AX2357" s="3" t="s">
        <v>23031</v>
      </c>
      <c r="AY2357" s="3" t="s">
        <v>23032</v>
      </c>
      <c r="AZ2357" s="3" t="s">
        <v>23033</v>
      </c>
      <c r="BA2357" s="3" t="s">
        <v>23033</v>
      </c>
      <c r="BB2357" s="3" t="s">
        <v>23034</v>
      </c>
      <c r="BC2357" s="3" t="s">
        <v>142</v>
      </c>
      <c r="BD2357" s="3" t="s">
        <v>68</v>
      </c>
      <c r="BE2357" s="3" t="s">
        <v>23035</v>
      </c>
      <c r="BF2357" s="3" t="s">
        <v>23034</v>
      </c>
      <c r="BG2357" s="3" t="s">
        <v>23036</v>
      </c>
    </row>
    <row r="2358" spans="1:59" ht="57" x14ac:dyDescent="0.45">
      <c r="A2358" s="2" t="s">
        <v>59</v>
      </c>
      <c r="B2358" s="2" t="s">
        <v>60</v>
      </c>
      <c r="C2358" s="2" t="s">
        <v>23037</v>
      </c>
      <c r="D2358" s="2" t="s">
        <v>23038</v>
      </c>
      <c r="E2358" s="2" t="s">
        <v>23039</v>
      </c>
      <c r="G2358" s="3" t="s">
        <v>62</v>
      </c>
      <c r="I2358" s="3" t="s">
        <v>62</v>
      </c>
      <c r="J2358" s="3" t="s">
        <v>62</v>
      </c>
      <c r="K2358" s="3" t="s">
        <v>63</v>
      </c>
      <c r="L2358" s="2" t="s">
        <v>23040</v>
      </c>
      <c r="M2358" s="2" t="s">
        <v>23041</v>
      </c>
      <c r="N2358" s="3" t="s">
        <v>116</v>
      </c>
      <c r="P2358" s="3" t="s">
        <v>65</v>
      </c>
      <c r="R2358" s="3" t="s">
        <v>66</v>
      </c>
      <c r="S2358" s="4">
        <v>6</v>
      </c>
      <c r="T2358" s="4">
        <v>6</v>
      </c>
      <c r="U2358" s="5" t="s">
        <v>15921</v>
      </c>
      <c r="V2358" s="5" t="s">
        <v>15921</v>
      </c>
      <c r="W2358" s="5" t="s">
        <v>67</v>
      </c>
      <c r="X2358" s="5" t="s">
        <v>67</v>
      </c>
      <c r="Y2358" s="4">
        <v>339</v>
      </c>
      <c r="Z2358" s="4">
        <v>24</v>
      </c>
      <c r="AA2358" s="4">
        <v>39</v>
      </c>
      <c r="AB2358" s="4">
        <v>1</v>
      </c>
      <c r="AC2358" s="4">
        <v>4</v>
      </c>
      <c r="AD2358" s="4">
        <v>91</v>
      </c>
      <c r="AE2358" s="4">
        <v>106</v>
      </c>
      <c r="AF2358" s="4">
        <v>0</v>
      </c>
      <c r="AG2358" s="4">
        <v>1</v>
      </c>
      <c r="AH2358" s="4">
        <v>82</v>
      </c>
      <c r="AI2358" s="4">
        <v>91</v>
      </c>
      <c r="AJ2358" s="4">
        <v>16</v>
      </c>
      <c r="AK2358" s="4">
        <v>17</v>
      </c>
      <c r="AL2358" s="4">
        <v>51</v>
      </c>
      <c r="AM2358" s="4">
        <v>53</v>
      </c>
      <c r="AN2358" s="4">
        <v>0</v>
      </c>
      <c r="AO2358" s="4">
        <v>0</v>
      </c>
      <c r="AP2358" s="4">
        <v>19</v>
      </c>
      <c r="AQ2358" s="4">
        <v>25</v>
      </c>
      <c r="AR2358" s="3" t="s">
        <v>62</v>
      </c>
      <c r="AS2358" s="3" t="s">
        <v>62</v>
      </c>
      <c r="AT2358" s="3" t="s">
        <v>62</v>
      </c>
      <c r="AV2358" s="6" t="str">
        <f>HYPERLINK("http://mcgill.on.worldcat.org/oclc/794816682","Catalog Record")</f>
        <v>Catalog Record</v>
      </c>
      <c r="AW2358" s="6" t="str">
        <f>HYPERLINK("http://www.worldcat.org/oclc/794816682","WorldCat Record")</f>
        <v>WorldCat Record</v>
      </c>
      <c r="AX2358" s="3" t="s">
        <v>23042</v>
      </c>
      <c r="AY2358" s="3" t="s">
        <v>23043</v>
      </c>
      <c r="AZ2358" s="3" t="s">
        <v>23044</v>
      </c>
      <c r="BA2358" s="3" t="s">
        <v>23044</v>
      </c>
      <c r="BB2358" s="3" t="s">
        <v>23045</v>
      </c>
      <c r="BC2358" s="3" t="s">
        <v>142</v>
      </c>
      <c r="BD2358" s="3" t="s">
        <v>68</v>
      </c>
      <c r="BE2358" s="3" t="s">
        <v>23046</v>
      </c>
      <c r="BF2358" s="3" t="s">
        <v>23045</v>
      </c>
      <c r="BG2358" s="3" t="s">
        <v>23047</v>
      </c>
    </row>
    <row r="2359" spans="1:59" ht="57" x14ac:dyDescent="0.45">
      <c r="A2359" s="2" t="s">
        <v>59</v>
      </c>
      <c r="B2359" s="2" t="s">
        <v>60</v>
      </c>
      <c r="C2359" s="2" t="s">
        <v>23048</v>
      </c>
      <c r="D2359" s="2" t="s">
        <v>23049</v>
      </c>
      <c r="E2359" s="2" t="s">
        <v>23050</v>
      </c>
      <c r="G2359" s="3" t="s">
        <v>62</v>
      </c>
      <c r="I2359" s="3" t="s">
        <v>62</v>
      </c>
      <c r="J2359" s="3" t="s">
        <v>62</v>
      </c>
      <c r="K2359" s="3" t="s">
        <v>63</v>
      </c>
      <c r="M2359" s="2" t="s">
        <v>23051</v>
      </c>
      <c r="N2359" s="3" t="s">
        <v>1465</v>
      </c>
      <c r="P2359" s="3" t="s">
        <v>65</v>
      </c>
      <c r="Q2359" s="2" t="s">
        <v>23052</v>
      </c>
      <c r="R2359" s="3" t="s">
        <v>66</v>
      </c>
      <c r="S2359" s="4">
        <v>1</v>
      </c>
      <c r="T2359" s="4">
        <v>1</v>
      </c>
      <c r="U2359" s="5" t="s">
        <v>2668</v>
      </c>
      <c r="V2359" s="5" t="s">
        <v>2668</v>
      </c>
      <c r="W2359" s="5" t="s">
        <v>67</v>
      </c>
      <c r="X2359" s="5" t="s">
        <v>67</v>
      </c>
      <c r="Y2359" s="4">
        <v>67</v>
      </c>
      <c r="Z2359" s="4">
        <v>9</v>
      </c>
      <c r="AA2359" s="4">
        <v>9</v>
      </c>
      <c r="AB2359" s="4">
        <v>2</v>
      </c>
      <c r="AC2359" s="4">
        <v>2</v>
      </c>
      <c r="AD2359" s="4">
        <v>37</v>
      </c>
      <c r="AE2359" s="4">
        <v>37</v>
      </c>
      <c r="AF2359" s="4">
        <v>0</v>
      </c>
      <c r="AG2359" s="4">
        <v>0</v>
      </c>
      <c r="AH2359" s="4">
        <v>35</v>
      </c>
      <c r="AI2359" s="4">
        <v>35</v>
      </c>
      <c r="AJ2359" s="4">
        <v>6</v>
      </c>
      <c r="AK2359" s="4">
        <v>6</v>
      </c>
      <c r="AL2359" s="4">
        <v>24</v>
      </c>
      <c r="AM2359" s="4">
        <v>24</v>
      </c>
      <c r="AN2359" s="4">
        <v>0</v>
      </c>
      <c r="AO2359" s="4">
        <v>0</v>
      </c>
      <c r="AP2359" s="4">
        <v>6</v>
      </c>
      <c r="AQ2359" s="4">
        <v>6</v>
      </c>
      <c r="AR2359" s="3" t="s">
        <v>62</v>
      </c>
      <c r="AS2359" s="3" t="s">
        <v>62</v>
      </c>
      <c r="AT2359" s="3" t="s">
        <v>62</v>
      </c>
      <c r="AV2359" s="6" t="str">
        <f>HYPERLINK("http://mcgill.on.worldcat.org/oclc/406112206","Catalog Record")</f>
        <v>Catalog Record</v>
      </c>
      <c r="AW2359" s="6" t="str">
        <f>HYPERLINK("http://www.worldcat.org/oclc/406112206","WorldCat Record")</f>
        <v>WorldCat Record</v>
      </c>
      <c r="AX2359" s="3" t="s">
        <v>23053</v>
      </c>
      <c r="AY2359" s="3" t="s">
        <v>23054</v>
      </c>
      <c r="AZ2359" s="3" t="s">
        <v>23055</v>
      </c>
      <c r="BA2359" s="3" t="s">
        <v>23055</v>
      </c>
      <c r="BB2359" s="3" t="s">
        <v>23056</v>
      </c>
      <c r="BC2359" s="3" t="s">
        <v>142</v>
      </c>
      <c r="BD2359" s="3" t="s">
        <v>68</v>
      </c>
      <c r="BE2359" s="3" t="s">
        <v>23057</v>
      </c>
      <c r="BF2359" s="3" t="s">
        <v>23056</v>
      </c>
      <c r="BG2359" s="3" t="s">
        <v>23058</v>
      </c>
    </row>
    <row r="2360" spans="1:59" ht="57" x14ac:dyDescent="0.45">
      <c r="A2360" s="2" t="s">
        <v>59</v>
      </c>
      <c r="B2360" s="2" t="s">
        <v>60</v>
      </c>
      <c r="C2360" s="2" t="s">
        <v>23059</v>
      </c>
      <c r="D2360" s="2" t="s">
        <v>23060</v>
      </c>
      <c r="E2360" s="2" t="s">
        <v>23061</v>
      </c>
      <c r="G2360" s="3" t="s">
        <v>62</v>
      </c>
      <c r="I2360" s="3" t="s">
        <v>62</v>
      </c>
      <c r="J2360" s="3" t="s">
        <v>62</v>
      </c>
      <c r="K2360" s="3" t="s">
        <v>63</v>
      </c>
      <c r="L2360" s="2" t="s">
        <v>23062</v>
      </c>
      <c r="M2360" s="2" t="s">
        <v>23063</v>
      </c>
      <c r="N2360" s="3" t="s">
        <v>1478</v>
      </c>
      <c r="O2360" s="2" t="s">
        <v>168</v>
      </c>
      <c r="P2360" s="3" t="s">
        <v>65</v>
      </c>
      <c r="R2360" s="3" t="s">
        <v>66</v>
      </c>
      <c r="S2360" s="4">
        <v>16</v>
      </c>
      <c r="T2360" s="4">
        <v>16</v>
      </c>
      <c r="U2360" s="5" t="s">
        <v>19869</v>
      </c>
      <c r="V2360" s="5" t="s">
        <v>19869</v>
      </c>
      <c r="W2360" s="5" t="s">
        <v>67</v>
      </c>
      <c r="X2360" s="5" t="s">
        <v>67</v>
      </c>
      <c r="Y2360" s="4">
        <v>241</v>
      </c>
      <c r="Z2360" s="4">
        <v>13</v>
      </c>
      <c r="AA2360" s="4">
        <v>15</v>
      </c>
      <c r="AB2360" s="4">
        <v>2</v>
      </c>
      <c r="AC2360" s="4">
        <v>4</v>
      </c>
      <c r="AD2360" s="4">
        <v>96</v>
      </c>
      <c r="AE2360" s="4">
        <v>98</v>
      </c>
      <c r="AF2360" s="4">
        <v>1</v>
      </c>
      <c r="AG2360" s="4">
        <v>3</v>
      </c>
      <c r="AH2360" s="4">
        <v>90</v>
      </c>
      <c r="AI2360" s="4">
        <v>90</v>
      </c>
      <c r="AJ2360" s="4">
        <v>10</v>
      </c>
      <c r="AK2360" s="4">
        <v>12</v>
      </c>
      <c r="AL2360" s="4">
        <v>49</v>
      </c>
      <c r="AM2360" s="4">
        <v>49</v>
      </c>
      <c r="AN2360" s="4">
        <v>0</v>
      </c>
      <c r="AO2360" s="4">
        <v>0</v>
      </c>
      <c r="AP2360" s="4">
        <v>11</v>
      </c>
      <c r="AQ2360" s="4">
        <v>12</v>
      </c>
      <c r="AR2360" s="3" t="s">
        <v>62</v>
      </c>
      <c r="AS2360" s="3" t="s">
        <v>62</v>
      </c>
      <c r="AT2360" s="3" t="s">
        <v>62</v>
      </c>
      <c r="AV2360" s="6" t="str">
        <f>HYPERLINK("http://mcgill.on.worldcat.org/oclc/34742474","Catalog Record")</f>
        <v>Catalog Record</v>
      </c>
      <c r="AW2360" s="6" t="str">
        <f>HYPERLINK("http://www.worldcat.org/oclc/34742474","WorldCat Record")</f>
        <v>WorldCat Record</v>
      </c>
      <c r="AX2360" s="3" t="s">
        <v>23064</v>
      </c>
      <c r="AY2360" s="3" t="s">
        <v>23065</v>
      </c>
      <c r="AZ2360" s="3" t="s">
        <v>23066</v>
      </c>
      <c r="BA2360" s="3" t="s">
        <v>23066</v>
      </c>
      <c r="BB2360" s="3" t="s">
        <v>23067</v>
      </c>
      <c r="BC2360" s="3" t="s">
        <v>142</v>
      </c>
      <c r="BD2360" s="3" t="s">
        <v>68</v>
      </c>
      <c r="BE2360" s="3" t="s">
        <v>23068</v>
      </c>
      <c r="BF2360" s="3" t="s">
        <v>23067</v>
      </c>
      <c r="BG2360" s="3" t="s">
        <v>23069</v>
      </c>
    </row>
    <row r="2361" spans="1:59" ht="57" x14ac:dyDescent="0.45">
      <c r="A2361" s="2" t="s">
        <v>59</v>
      </c>
      <c r="B2361" s="2" t="s">
        <v>60</v>
      </c>
      <c r="C2361" s="2" t="s">
        <v>23070</v>
      </c>
      <c r="D2361" s="2" t="s">
        <v>23071</v>
      </c>
      <c r="E2361" s="2" t="s">
        <v>23072</v>
      </c>
      <c r="G2361" s="3" t="s">
        <v>62</v>
      </c>
      <c r="I2361" s="3" t="s">
        <v>62</v>
      </c>
      <c r="J2361" s="3" t="s">
        <v>62</v>
      </c>
      <c r="K2361" s="3" t="s">
        <v>63</v>
      </c>
      <c r="L2361" s="2" t="s">
        <v>23073</v>
      </c>
      <c r="M2361" s="2" t="s">
        <v>23074</v>
      </c>
      <c r="N2361" s="3" t="s">
        <v>5180</v>
      </c>
      <c r="P2361" s="3" t="s">
        <v>65</v>
      </c>
      <c r="R2361" s="3" t="s">
        <v>66</v>
      </c>
      <c r="S2361" s="4">
        <v>0</v>
      </c>
      <c r="T2361" s="4">
        <v>0</v>
      </c>
      <c r="W2361" s="5" t="s">
        <v>67</v>
      </c>
      <c r="X2361" s="5" t="s">
        <v>67</v>
      </c>
      <c r="Y2361" s="4">
        <v>98</v>
      </c>
      <c r="Z2361" s="4">
        <v>6</v>
      </c>
      <c r="AA2361" s="4">
        <v>8</v>
      </c>
      <c r="AB2361" s="4">
        <v>2</v>
      </c>
      <c r="AC2361" s="4">
        <v>4</v>
      </c>
      <c r="AD2361" s="4">
        <v>45</v>
      </c>
      <c r="AE2361" s="4">
        <v>50</v>
      </c>
      <c r="AF2361" s="4">
        <v>1</v>
      </c>
      <c r="AG2361" s="4">
        <v>1</v>
      </c>
      <c r="AH2361" s="4">
        <v>42</v>
      </c>
      <c r="AI2361" s="4">
        <v>47</v>
      </c>
      <c r="AJ2361" s="4">
        <v>4</v>
      </c>
      <c r="AK2361" s="4">
        <v>4</v>
      </c>
      <c r="AL2361" s="4">
        <v>26</v>
      </c>
      <c r="AM2361" s="4">
        <v>29</v>
      </c>
      <c r="AN2361" s="4">
        <v>0</v>
      </c>
      <c r="AO2361" s="4">
        <v>0</v>
      </c>
      <c r="AP2361" s="4">
        <v>5</v>
      </c>
      <c r="AQ2361" s="4">
        <v>5</v>
      </c>
      <c r="AR2361" s="3" t="s">
        <v>62</v>
      </c>
      <c r="AS2361" s="3" t="s">
        <v>62</v>
      </c>
      <c r="AT2361" s="3" t="s">
        <v>62</v>
      </c>
      <c r="AV2361" s="6" t="str">
        <f>HYPERLINK("http://mcgill.on.worldcat.org/oclc/1003273285","Catalog Record")</f>
        <v>Catalog Record</v>
      </c>
      <c r="AW2361" s="6" t="str">
        <f>HYPERLINK("http://www.worldcat.org/oclc/1003273285","WorldCat Record")</f>
        <v>WorldCat Record</v>
      </c>
      <c r="AX2361" s="3" t="s">
        <v>23075</v>
      </c>
      <c r="AY2361" s="3" t="s">
        <v>23076</v>
      </c>
      <c r="AZ2361" s="3" t="s">
        <v>23077</v>
      </c>
      <c r="BA2361" s="3" t="s">
        <v>23077</v>
      </c>
      <c r="BB2361" s="3" t="s">
        <v>23078</v>
      </c>
      <c r="BC2361" s="3" t="s">
        <v>142</v>
      </c>
      <c r="BD2361" s="3" t="s">
        <v>68</v>
      </c>
      <c r="BE2361" s="3" t="s">
        <v>23079</v>
      </c>
      <c r="BF2361" s="3" t="s">
        <v>23078</v>
      </c>
      <c r="BG2361" s="3" t="s">
        <v>23080</v>
      </c>
    </row>
    <row r="2362" spans="1:59" ht="57" x14ac:dyDescent="0.45">
      <c r="A2362" s="2" t="s">
        <v>59</v>
      </c>
      <c r="B2362" s="2" t="s">
        <v>60</v>
      </c>
      <c r="C2362" s="2" t="s">
        <v>23081</v>
      </c>
      <c r="D2362" s="2" t="s">
        <v>23082</v>
      </c>
      <c r="E2362" s="2" t="s">
        <v>23083</v>
      </c>
      <c r="G2362" s="3" t="s">
        <v>62</v>
      </c>
      <c r="I2362" s="3" t="s">
        <v>62</v>
      </c>
      <c r="J2362" s="3" t="s">
        <v>62</v>
      </c>
      <c r="K2362" s="3" t="s">
        <v>63</v>
      </c>
      <c r="L2362" s="2" t="s">
        <v>23084</v>
      </c>
      <c r="M2362" s="2" t="s">
        <v>4009</v>
      </c>
      <c r="N2362" s="3" t="s">
        <v>149</v>
      </c>
      <c r="P2362" s="3" t="s">
        <v>65</v>
      </c>
      <c r="Q2362" s="2" t="s">
        <v>23085</v>
      </c>
      <c r="R2362" s="3" t="s">
        <v>66</v>
      </c>
      <c r="S2362" s="4">
        <v>3</v>
      </c>
      <c r="T2362" s="4">
        <v>3</v>
      </c>
      <c r="U2362" s="5" t="s">
        <v>23086</v>
      </c>
      <c r="V2362" s="5" t="s">
        <v>23086</v>
      </c>
      <c r="W2362" s="5" t="s">
        <v>67</v>
      </c>
      <c r="X2362" s="5" t="s">
        <v>67</v>
      </c>
      <c r="Y2362" s="4">
        <v>155</v>
      </c>
      <c r="Z2362" s="4">
        <v>12</v>
      </c>
      <c r="AA2362" s="4">
        <v>79</v>
      </c>
      <c r="AB2362" s="4">
        <v>1</v>
      </c>
      <c r="AC2362" s="4">
        <v>15</v>
      </c>
      <c r="AD2362" s="4">
        <v>51</v>
      </c>
      <c r="AE2362" s="4">
        <v>114</v>
      </c>
      <c r="AF2362" s="4">
        <v>0</v>
      </c>
      <c r="AG2362" s="4">
        <v>8</v>
      </c>
      <c r="AH2362" s="4">
        <v>47</v>
      </c>
      <c r="AI2362" s="4">
        <v>81</v>
      </c>
      <c r="AJ2362" s="4">
        <v>10</v>
      </c>
      <c r="AK2362" s="4">
        <v>22</v>
      </c>
      <c r="AL2362" s="4">
        <v>28</v>
      </c>
      <c r="AM2362" s="4">
        <v>41</v>
      </c>
      <c r="AN2362" s="4">
        <v>0</v>
      </c>
      <c r="AO2362" s="4">
        <v>0</v>
      </c>
      <c r="AP2362" s="4">
        <v>10</v>
      </c>
      <c r="AQ2362" s="4">
        <v>42</v>
      </c>
      <c r="AR2362" s="3" t="s">
        <v>62</v>
      </c>
      <c r="AS2362" s="3" t="s">
        <v>62</v>
      </c>
      <c r="AT2362" s="3" t="s">
        <v>62</v>
      </c>
      <c r="AV2362" s="6" t="str">
        <f>HYPERLINK("http://mcgill.on.worldcat.org/oclc/166374020","Catalog Record")</f>
        <v>Catalog Record</v>
      </c>
      <c r="AW2362" s="6" t="str">
        <f>HYPERLINK("http://www.worldcat.org/oclc/166374020","WorldCat Record")</f>
        <v>WorldCat Record</v>
      </c>
      <c r="AX2362" s="3" t="s">
        <v>23087</v>
      </c>
      <c r="AY2362" s="3" t="s">
        <v>23088</v>
      </c>
      <c r="AZ2362" s="3" t="s">
        <v>23089</v>
      </c>
      <c r="BA2362" s="3" t="s">
        <v>23089</v>
      </c>
      <c r="BB2362" s="3" t="s">
        <v>23090</v>
      </c>
      <c r="BC2362" s="3" t="s">
        <v>142</v>
      </c>
      <c r="BD2362" s="3" t="s">
        <v>68</v>
      </c>
      <c r="BE2362" s="3" t="s">
        <v>23091</v>
      </c>
      <c r="BF2362" s="3" t="s">
        <v>23090</v>
      </c>
      <c r="BG2362" s="3" t="s">
        <v>23092</v>
      </c>
    </row>
    <row r="2363" spans="1:59" ht="57" x14ac:dyDescent="0.45">
      <c r="A2363" s="2" t="s">
        <v>59</v>
      </c>
      <c r="B2363" s="2" t="s">
        <v>60</v>
      </c>
      <c r="C2363" s="2" t="s">
        <v>23093</v>
      </c>
      <c r="D2363" s="2" t="s">
        <v>23094</v>
      </c>
      <c r="E2363" s="2" t="s">
        <v>23095</v>
      </c>
      <c r="G2363" s="3" t="s">
        <v>62</v>
      </c>
      <c r="I2363" s="3" t="s">
        <v>62</v>
      </c>
      <c r="J2363" s="3" t="s">
        <v>62</v>
      </c>
      <c r="K2363" s="3" t="s">
        <v>63</v>
      </c>
      <c r="L2363" s="2" t="s">
        <v>23096</v>
      </c>
      <c r="M2363" s="2" t="s">
        <v>7378</v>
      </c>
      <c r="N2363" s="3" t="s">
        <v>542</v>
      </c>
      <c r="P2363" s="3" t="s">
        <v>65</v>
      </c>
      <c r="Q2363" s="2" t="s">
        <v>22159</v>
      </c>
      <c r="R2363" s="3" t="s">
        <v>66</v>
      </c>
      <c r="S2363" s="4">
        <v>9</v>
      </c>
      <c r="T2363" s="4">
        <v>9</v>
      </c>
      <c r="U2363" s="5" t="s">
        <v>4651</v>
      </c>
      <c r="V2363" s="5" t="s">
        <v>4651</v>
      </c>
      <c r="W2363" s="5" t="s">
        <v>67</v>
      </c>
      <c r="X2363" s="5" t="s">
        <v>67</v>
      </c>
      <c r="Y2363" s="4">
        <v>358</v>
      </c>
      <c r="Z2363" s="4">
        <v>20</v>
      </c>
      <c r="AA2363" s="4">
        <v>124</v>
      </c>
      <c r="AB2363" s="4">
        <v>2</v>
      </c>
      <c r="AC2363" s="4">
        <v>21</v>
      </c>
      <c r="AD2363" s="4">
        <v>105</v>
      </c>
      <c r="AE2363" s="4">
        <v>158</v>
      </c>
      <c r="AF2363" s="4">
        <v>1</v>
      </c>
      <c r="AG2363" s="4">
        <v>9</v>
      </c>
      <c r="AH2363" s="4">
        <v>96</v>
      </c>
      <c r="AI2363" s="4">
        <v>111</v>
      </c>
      <c r="AJ2363" s="4">
        <v>15</v>
      </c>
      <c r="AK2363" s="4">
        <v>28</v>
      </c>
      <c r="AL2363" s="4">
        <v>53</v>
      </c>
      <c r="AM2363" s="4">
        <v>57</v>
      </c>
      <c r="AN2363" s="4">
        <v>0</v>
      </c>
      <c r="AO2363" s="4">
        <v>0</v>
      </c>
      <c r="AP2363" s="4">
        <v>16</v>
      </c>
      <c r="AQ2363" s="4">
        <v>57</v>
      </c>
      <c r="AR2363" s="3" t="s">
        <v>62</v>
      </c>
      <c r="AS2363" s="3" t="s">
        <v>62</v>
      </c>
      <c r="AT2363" s="3" t="s">
        <v>61</v>
      </c>
      <c r="AU2363" s="6" t="str">
        <f>HYPERLINK("http://catalog.hathitrust.org/Record/004171493","HathiTrust Record")</f>
        <v>HathiTrust Record</v>
      </c>
      <c r="AV2363" s="6" t="str">
        <f>HYPERLINK("http://mcgill.on.worldcat.org/oclc/44802820","Catalog Record")</f>
        <v>Catalog Record</v>
      </c>
      <c r="AW2363" s="6" t="str">
        <f>HYPERLINK("http://www.worldcat.org/oclc/44802820","WorldCat Record")</f>
        <v>WorldCat Record</v>
      </c>
      <c r="AX2363" s="3" t="s">
        <v>23097</v>
      </c>
      <c r="AY2363" s="3" t="s">
        <v>23098</v>
      </c>
      <c r="AZ2363" s="3" t="s">
        <v>23099</v>
      </c>
      <c r="BA2363" s="3" t="s">
        <v>23099</v>
      </c>
      <c r="BB2363" s="3" t="s">
        <v>23100</v>
      </c>
      <c r="BC2363" s="3" t="s">
        <v>142</v>
      </c>
      <c r="BD2363" s="3" t="s">
        <v>68</v>
      </c>
      <c r="BE2363" s="3" t="s">
        <v>23101</v>
      </c>
      <c r="BF2363" s="3" t="s">
        <v>23100</v>
      </c>
      <c r="BG2363" s="3" t="s">
        <v>23102</v>
      </c>
    </row>
    <row r="2364" spans="1:59" ht="57" x14ac:dyDescent="0.45">
      <c r="A2364" s="2" t="s">
        <v>59</v>
      </c>
      <c r="B2364" s="2" t="s">
        <v>60</v>
      </c>
      <c r="C2364" s="2" t="s">
        <v>23103</v>
      </c>
      <c r="D2364" s="2" t="s">
        <v>23104</v>
      </c>
      <c r="E2364" s="2" t="s">
        <v>23105</v>
      </c>
      <c r="G2364" s="3" t="s">
        <v>62</v>
      </c>
      <c r="I2364" s="3" t="s">
        <v>62</v>
      </c>
      <c r="J2364" s="3" t="s">
        <v>62</v>
      </c>
      <c r="K2364" s="3" t="s">
        <v>63</v>
      </c>
      <c r="M2364" s="2" t="s">
        <v>23106</v>
      </c>
      <c r="N2364" s="3" t="s">
        <v>918</v>
      </c>
      <c r="P2364" s="3" t="s">
        <v>65</v>
      </c>
      <c r="Q2364" s="2" t="s">
        <v>23107</v>
      </c>
      <c r="R2364" s="3" t="s">
        <v>66</v>
      </c>
      <c r="S2364" s="4">
        <v>8</v>
      </c>
      <c r="T2364" s="4">
        <v>8</v>
      </c>
      <c r="U2364" s="5" t="s">
        <v>7678</v>
      </c>
      <c r="V2364" s="5" t="s">
        <v>7678</v>
      </c>
      <c r="W2364" s="5" t="s">
        <v>67</v>
      </c>
      <c r="X2364" s="5" t="s">
        <v>67</v>
      </c>
      <c r="Y2364" s="4">
        <v>194</v>
      </c>
      <c r="Z2364" s="4">
        <v>16</v>
      </c>
      <c r="AA2364" s="4">
        <v>17</v>
      </c>
      <c r="AB2364" s="4">
        <v>2</v>
      </c>
      <c r="AC2364" s="4">
        <v>3</v>
      </c>
      <c r="AD2364" s="4">
        <v>90</v>
      </c>
      <c r="AE2364" s="4">
        <v>90</v>
      </c>
      <c r="AF2364" s="4">
        <v>1</v>
      </c>
      <c r="AG2364" s="4">
        <v>1</v>
      </c>
      <c r="AH2364" s="4">
        <v>83</v>
      </c>
      <c r="AI2364" s="4">
        <v>83</v>
      </c>
      <c r="AJ2364" s="4">
        <v>12</v>
      </c>
      <c r="AK2364" s="4">
        <v>12</v>
      </c>
      <c r="AL2364" s="4">
        <v>48</v>
      </c>
      <c r="AM2364" s="4">
        <v>48</v>
      </c>
      <c r="AN2364" s="4">
        <v>0</v>
      </c>
      <c r="AO2364" s="4">
        <v>0</v>
      </c>
      <c r="AP2364" s="4">
        <v>13</v>
      </c>
      <c r="AQ2364" s="4">
        <v>13</v>
      </c>
      <c r="AR2364" s="3" t="s">
        <v>62</v>
      </c>
      <c r="AS2364" s="3" t="s">
        <v>62</v>
      </c>
      <c r="AT2364" s="3" t="s">
        <v>62</v>
      </c>
      <c r="AV2364" s="6" t="str">
        <f>HYPERLINK("http://mcgill.on.worldcat.org/oclc/51251757","Catalog Record")</f>
        <v>Catalog Record</v>
      </c>
      <c r="AW2364" s="6" t="str">
        <f>HYPERLINK("http://www.worldcat.org/oclc/51251757","WorldCat Record")</f>
        <v>WorldCat Record</v>
      </c>
      <c r="AX2364" s="3" t="s">
        <v>23108</v>
      </c>
      <c r="AY2364" s="3" t="s">
        <v>23109</v>
      </c>
      <c r="AZ2364" s="3" t="s">
        <v>23110</v>
      </c>
      <c r="BA2364" s="3" t="s">
        <v>23110</v>
      </c>
      <c r="BB2364" s="3" t="s">
        <v>23111</v>
      </c>
      <c r="BC2364" s="3" t="s">
        <v>142</v>
      </c>
      <c r="BD2364" s="3" t="s">
        <v>68</v>
      </c>
      <c r="BE2364" s="3" t="s">
        <v>23112</v>
      </c>
      <c r="BF2364" s="3" t="s">
        <v>23111</v>
      </c>
      <c r="BG2364" s="3" t="s">
        <v>23113</v>
      </c>
    </row>
    <row r="2365" spans="1:59" ht="57" x14ac:dyDescent="0.45">
      <c r="A2365" s="2" t="s">
        <v>59</v>
      </c>
      <c r="B2365" s="2" t="s">
        <v>60</v>
      </c>
      <c r="C2365" s="2" t="s">
        <v>23114</v>
      </c>
      <c r="D2365" s="2" t="s">
        <v>23115</v>
      </c>
      <c r="E2365" s="2" t="s">
        <v>23116</v>
      </c>
      <c r="G2365" s="3" t="s">
        <v>62</v>
      </c>
      <c r="I2365" s="3" t="s">
        <v>62</v>
      </c>
      <c r="J2365" s="3" t="s">
        <v>62</v>
      </c>
      <c r="K2365" s="3" t="s">
        <v>63</v>
      </c>
      <c r="L2365" s="2" t="s">
        <v>23117</v>
      </c>
      <c r="M2365" s="2" t="s">
        <v>23118</v>
      </c>
      <c r="N2365" s="3" t="s">
        <v>894</v>
      </c>
      <c r="P2365" s="3" t="s">
        <v>65</v>
      </c>
      <c r="R2365" s="3" t="s">
        <v>66</v>
      </c>
      <c r="S2365" s="4">
        <v>9</v>
      </c>
      <c r="T2365" s="4">
        <v>9</v>
      </c>
      <c r="U2365" s="5" t="s">
        <v>9625</v>
      </c>
      <c r="V2365" s="5" t="s">
        <v>9625</v>
      </c>
      <c r="W2365" s="5" t="s">
        <v>67</v>
      </c>
      <c r="X2365" s="5" t="s">
        <v>67</v>
      </c>
      <c r="Y2365" s="4">
        <v>311</v>
      </c>
      <c r="Z2365" s="4">
        <v>25</v>
      </c>
      <c r="AA2365" s="4">
        <v>27</v>
      </c>
      <c r="AB2365" s="4">
        <v>2</v>
      </c>
      <c r="AC2365" s="4">
        <v>3</v>
      </c>
      <c r="AD2365" s="4">
        <v>90</v>
      </c>
      <c r="AE2365" s="4">
        <v>93</v>
      </c>
      <c r="AF2365" s="4">
        <v>1</v>
      </c>
      <c r="AG2365" s="4">
        <v>2</v>
      </c>
      <c r="AH2365" s="4">
        <v>83</v>
      </c>
      <c r="AI2365" s="4">
        <v>85</v>
      </c>
      <c r="AJ2365" s="4">
        <v>16</v>
      </c>
      <c r="AK2365" s="4">
        <v>18</v>
      </c>
      <c r="AL2365" s="4">
        <v>44</v>
      </c>
      <c r="AM2365" s="4">
        <v>45</v>
      </c>
      <c r="AN2365" s="4">
        <v>0</v>
      </c>
      <c r="AO2365" s="4">
        <v>0</v>
      </c>
      <c r="AP2365" s="4">
        <v>18</v>
      </c>
      <c r="AQ2365" s="4">
        <v>20</v>
      </c>
      <c r="AR2365" s="3" t="s">
        <v>62</v>
      </c>
      <c r="AS2365" s="3" t="s">
        <v>62</v>
      </c>
      <c r="AT2365" s="3" t="s">
        <v>62</v>
      </c>
      <c r="AV2365" s="6" t="str">
        <f>HYPERLINK("http://mcgill.on.worldcat.org/oclc/681536503","Catalog Record")</f>
        <v>Catalog Record</v>
      </c>
      <c r="AW2365" s="6" t="str">
        <f>HYPERLINK("http://www.worldcat.org/oclc/681536503","WorldCat Record")</f>
        <v>WorldCat Record</v>
      </c>
      <c r="AX2365" s="3" t="s">
        <v>23119</v>
      </c>
      <c r="AY2365" s="3" t="s">
        <v>23120</v>
      </c>
      <c r="AZ2365" s="3" t="s">
        <v>23121</v>
      </c>
      <c r="BA2365" s="3" t="s">
        <v>23121</v>
      </c>
      <c r="BB2365" s="3" t="s">
        <v>23122</v>
      </c>
      <c r="BC2365" s="3" t="s">
        <v>142</v>
      </c>
      <c r="BD2365" s="3" t="s">
        <v>308</v>
      </c>
      <c r="BE2365" s="3" t="s">
        <v>23123</v>
      </c>
      <c r="BF2365" s="3" t="s">
        <v>23122</v>
      </c>
      <c r="BG2365" s="3" t="s">
        <v>23124</v>
      </c>
    </row>
    <row r="2366" spans="1:59" ht="57" x14ac:dyDescent="0.45">
      <c r="A2366" s="2" t="s">
        <v>59</v>
      </c>
      <c r="B2366" s="2" t="s">
        <v>60</v>
      </c>
      <c r="C2366" s="2" t="s">
        <v>23125</v>
      </c>
      <c r="D2366" s="2" t="s">
        <v>23126</v>
      </c>
      <c r="E2366" s="2" t="s">
        <v>23127</v>
      </c>
      <c r="G2366" s="3" t="s">
        <v>62</v>
      </c>
      <c r="I2366" s="3" t="s">
        <v>62</v>
      </c>
      <c r="J2366" s="3" t="s">
        <v>62</v>
      </c>
      <c r="K2366" s="3" t="s">
        <v>63</v>
      </c>
      <c r="L2366" s="2" t="s">
        <v>23128</v>
      </c>
      <c r="M2366" s="2" t="s">
        <v>23129</v>
      </c>
      <c r="N2366" s="3" t="s">
        <v>1604</v>
      </c>
      <c r="P2366" s="3" t="s">
        <v>65</v>
      </c>
      <c r="R2366" s="3" t="s">
        <v>66</v>
      </c>
      <c r="S2366" s="4">
        <v>12</v>
      </c>
      <c r="T2366" s="4">
        <v>12</v>
      </c>
      <c r="U2366" s="5" t="s">
        <v>15736</v>
      </c>
      <c r="V2366" s="5" t="s">
        <v>15736</v>
      </c>
      <c r="W2366" s="5" t="s">
        <v>67</v>
      </c>
      <c r="X2366" s="5" t="s">
        <v>67</v>
      </c>
      <c r="Y2366" s="4">
        <v>475</v>
      </c>
      <c r="Z2366" s="4">
        <v>24</v>
      </c>
      <c r="AA2366" s="4">
        <v>27</v>
      </c>
      <c r="AB2366" s="4">
        <v>2</v>
      </c>
      <c r="AC2366" s="4">
        <v>2</v>
      </c>
      <c r="AD2366" s="4">
        <v>106</v>
      </c>
      <c r="AE2366" s="4">
        <v>111</v>
      </c>
      <c r="AF2366" s="4">
        <v>1</v>
      </c>
      <c r="AG2366" s="4">
        <v>1</v>
      </c>
      <c r="AH2366" s="4">
        <v>94</v>
      </c>
      <c r="AI2366" s="4">
        <v>98</v>
      </c>
      <c r="AJ2366" s="4">
        <v>13</v>
      </c>
      <c r="AK2366" s="4">
        <v>14</v>
      </c>
      <c r="AL2366" s="4">
        <v>50</v>
      </c>
      <c r="AM2366" s="4">
        <v>52</v>
      </c>
      <c r="AN2366" s="4">
        <v>0</v>
      </c>
      <c r="AO2366" s="4">
        <v>0</v>
      </c>
      <c r="AP2366" s="4">
        <v>17</v>
      </c>
      <c r="AQ2366" s="4">
        <v>19</v>
      </c>
      <c r="AR2366" s="3" t="s">
        <v>62</v>
      </c>
      <c r="AS2366" s="3" t="s">
        <v>62</v>
      </c>
      <c r="AT2366" s="3" t="s">
        <v>61</v>
      </c>
      <c r="AU2366" s="6" t="str">
        <f>HYPERLINK("http://catalog.hathitrust.org/Record/002866981","HathiTrust Record")</f>
        <v>HathiTrust Record</v>
      </c>
      <c r="AV2366" s="6" t="str">
        <f>HYPERLINK("http://mcgill.on.worldcat.org/oclc/29563843","Catalog Record")</f>
        <v>Catalog Record</v>
      </c>
      <c r="AW2366" s="6" t="str">
        <f>HYPERLINK("http://www.worldcat.org/oclc/29563843","WorldCat Record")</f>
        <v>WorldCat Record</v>
      </c>
      <c r="AX2366" s="3" t="s">
        <v>23130</v>
      </c>
      <c r="AY2366" s="3" t="s">
        <v>23131</v>
      </c>
      <c r="AZ2366" s="3" t="s">
        <v>23132</v>
      </c>
      <c r="BA2366" s="3" t="s">
        <v>23132</v>
      </c>
      <c r="BB2366" s="3" t="s">
        <v>23133</v>
      </c>
      <c r="BC2366" s="3" t="s">
        <v>142</v>
      </c>
      <c r="BD2366" s="3" t="s">
        <v>68</v>
      </c>
      <c r="BE2366" s="3" t="s">
        <v>23134</v>
      </c>
      <c r="BF2366" s="3" t="s">
        <v>23133</v>
      </c>
      <c r="BG2366" s="3" t="s">
        <v>23135</v>
      </c>
    </row>
    <row r="2367" spans="1:59" ht="57" x14ac:dyDescent="0.45">
      <c r="A2367" s="2" t="s">
        <v>59</v>
      </c>
      <c r="B2367" s="2" t="s">
        <v>60</v>
      </c>
      <c r="C2367" s="2" t="s">
        <v>23136</v>
      </c>
      <c r="D2367" s="2" t="s">
        <v>23137</v>
      </c>
      <c r="E2367" s="2" t="s">
        <v>23138</v>
      </c>
      <c r="G2367" s="3" t="s">
        <v>62</v>
      </c>
      <c r="I2367" s="3" t="s">
        <v>62</v>
      </c>
      <c r="J2367" s="3" t="s">
        <v>62</v>
      </c>
      <c r="K2367" s="3" t="s">
        <v>63</v>
      </c>
      <c r="L2367" s="2" t="s">
        <v>23139</v>
      </c>
      <c r="M2367" s="2" t="s">
        <v>23140</v>
      </c>
      <c r="N2367" s="3" t="s">
        <v>149</v>
      </c>
      <c r="P2367" s="3" t="s">
        <v>65</v>
      </c>
      <c r="R2367" s="3" t="s">
        <v>66</v>
      </c>
      <c r="S2367" s="4">
        <v>0</v>
      </c>
      <c r="T2367" s="4">
        <v>0</v>
      </c>
      <c r="W2367" s="5" t="s">
        <v>67</v>
      </c>
      <c r="X2367" s="5" t="s">
        <v>67</v>
      </c>
      <c r="Y2367" s="4">
        <v>43</v>
      </c>
      <c r="Z2367" s="4">
        <v>3</v>
      </c>
      <c r="AA2367" s="4">
        <v>31</v>
      </c>
      <c r="AB2367" s="4">
        <v>1</v>
      </c>
      <c r="AC2367" s="4">
        <v>7</v>
      </c>
      <c r="AD2367" s="4">
        <v>15</v>
      </c>
      <c r="AE2367" s="4">
        <v>32</v>
      </c>
      <c r="AF2367" s="4">
        <v>0</v>
      </c>
      <c r="AG2367" s="4">
        <v>1</v>
      </c>
      <c r="AH2367" s="4">
        <v>15</v>
      </c>
      <c r="AI2367" s="4">
        <v>23</v>
      </c>
      <c r="AJ2367" s="4">
        <v>2</v>
      </c>
      <c r="AK2367" s="4">
        <v>3</v>
      </c>
      <c r="AL2367" s="4">
        <v>11</v>
      </c>
      <c r="AM2367" s="4">
        <v>19</v>
      </c>
      <c r="AN2367" s="4">
        <v>0</v>
      </c>
      <c r="AO2367" s="4">
        <v>0</v>
      </c>
      <c r="AP2367" s="4">
        <v>2</v>
      </c>
      <c r="AQ2367" s="4">
        <v>8</v>
      </c>
      <c r="AR2367" s="3" t="s">
        <v>62</v>
      </c>
      <c r="AS2367" s="3" t="s">
        <v>62</v>
      </c>
      <c r="AT2367" s="3" t="s">
        <v>62</v>
      </c>
      <c r="AV2367" s="6" t="str">
        <f>HYPERLINK("http://mcgill.on.worldcat.org/oclc/489720913","Catalog Record")</f>
        <v>Catalog Record</v>
      </c>
      <c r="AW2367" s="6" t="str">
        <f>HYPERLINK("http://www.worldcat.org/oclc/489720913","WorldCat Record")</f>
        <v>WorldCat Record</v>
      </c>
      <c r="AX2367" s="3" t="s">
        <v>23141</v>
      </c>
      <c r="AY2367" s="3" t="s">
        <v>23142</v>
      </c>
      <c r="AZ2367" s="3" t="s">
        <v>23143</v>
      </c>
      <c r="BA2367" s="3" t="s">
        <v>23143</v>
      </c>
      <c r="BB2367" s="3" t="s">
        <v>23144</v>
      </c>
      <c r="BC2367" s="3" t="s">
        <v>142</v>
      </c>
      <c r="BD2367" s="3" t="s">
        <v>68</v>
      </c>
      <c r="BE2367" s="3" t="s">
        <v>23145</v>
      </c>
      <c r="BF2367" s="3" t="s">
        <v>23144</v>
      </c>
      <c r="BG2367" s="3" t="s">
        <v>23146</v>
      </c>
    </row>
    <row r="2368" spans="1:59" ht="85.5" x14ac:dyDescent="0.45">
      <c r="A2368" s="2" t="s">
        <v>59</v>
      </c>
      <c r="B2368" s="2" t="s">
        <v>60</v>
      </c>
      <c r="C2368" s="2" t="s">
        <v>23147</v>
      </c>
      <c r="D2368" s="2" t="s">
        <v>23148</v>
      </c>
      <c r="E2368" s="2" t="s">
        <v>23149</v>
      </c>
      <c r="G2368" s="3" t="s">
        <v>62</v>
      </c>
      <c r="I2368" s="3" t="s">
        <v>62</v>
      </c>
      <c r="J2368" s="3" t="s">
        <v>62</v>
      </c>
      <c r="K2368" s="3" t="s">
        <v>63</v>
      </c>
      <c r="M2368" s="2" t="s">
        <v>23150</v>
      </c>
      <c r="N2368" s="3" t="s">
        <v>1212</v>
      </c>
      <c r="P2368" s="3" t="s">
        <v>65</v>
      </c>
      <c r="R2368" s="3" t="s">
        <v>66</v>
      </c>
      <c r="S2368" s="4">
        <v>11</v>
      </c>
      <c r="T2368" s="4">
        <v>11</v>
      </c>
      <c r="U2368" s="5" t="s">
        <v>23151</v>
      </c>
      <c r="V2368" s="5" t="s">
        <v>23151</v>
      </c>
      <c r="W2368" s="5" t="s">
        <v>67</v>
      </c>
      <c r="X2368" s="5" t="s">
        <v>67</v>
      </c>
      <c r="Y2368" s="4">
        <v>211</v>
      </c>
      <c r="Z2368" s="4">
        <v>13</v>
      </c>
      <c r="AA2368" s="4">
        <v>13</v>
      </c>
      <c r="AB2368" s="4">
        <v>1</v>
      </c>
      <c r="AC2368" s="4">
        <v>1</v>
      </c>
      <c r="AD2368" s="4">
        <v>88</v>
      </c>
      <c r="AE2368" s="4">
        <v>88</v>
      </c>
      <c r="AF2368" s="4">
        <v>0</v>
      </c>
      <c r="AG2368" s="4">
        <v>0</v>
      </c>
      <c r="AH2368" s="4">
        <v>81</v>
      </c>
      <c r="AI2368" s="4">
        <v>81</v>
      </c>
      <c r="AJ2368" s="4">
        <v>10</v>
      </c>
      <c r="AK2368" s="4">
        <v>10</v>
      </c>
      <c r="AL2368" s="4">
        <v>44</v>
      </c>
      <c r="AM2368" s="4">
        <v>44</v>
      </c>
      <c r="AN2368" s="4">
        <v>0</v>
      </c>
      <c r="AO2368" s="4">
        <v>0</v>
      </c>
      <c r="AP2368" s="4">
        <v>11</v>
      </c>
      <c r="AQ2368" s="4">
        <v>11</v>
      </c>
      <c r="AR2368" s="3" t="s">
        <v>62</v>
      </c>
      <c r="AS2368" s="3" t="s">
        <v>62</v>
      </c>
      <c r="AT2368" s="3" t="s">
        <v>61</v>
      </c>
      <c r="AU2368" s="6" t="str">
        <f>HYPERLINK("http://catalog.hathitrust.org/Record/004115694","HathiTrust Record")</f>
        <v>HathiTrust Record</v>
      </c>
      <c r="AV2368" s="6" t="str">
        <f>HYPERLINK("http://mcgill.on.worldcat.org/oclc/43036860","Catalog Record")</f>
        <v>Catalog Record</v>
      </c>
      <c r="AW2368" s="6" t="str">
        <f>HYPERLINK("http://www.worldcat.org/oclc/43036860","WorldCat Record")</f>
        <v>WorldCat Record</v>
      </c>
      <c r="AX2368" s="3" t="s">
        <v>23152</v>
      </c>
      <c r="AY2368" s="3" t="s">
        <v>23153</v>
      </c>
      <c r="AZ2368" s="3" t="s">
        <v>23154</v>
      </c>
      <c r="BA2368" s="3" t="s">
        <v>23154</v>
      </c>
      <c r="BB2368" s="3" t="s">
        <v>23155</v>
      </c>
      <c r="BC2368" s="3" t="s">
        <v>142</v>
      </c>
      <c r="BD2368" s="3" t="s">
        <v>68</v>
      </c>
      <c r="BE2368" s="3" t="s">
        <v>23156</v>
      </c>
      <c r="BF2368" s="3" t="s">
        <v>23155</v>
      </c>
      <c r="BG2368" s="3" t="s">
        <v>23157</v>
      </c>
    </row>
    <row r="2369" spans="1:59" ht="57" x14ac:dyDescent="0.45">
      <c r="A2369" s="2" t="s">
        <v>59</v>
      </c>
      <c r="B2369" s="2" t="s">
        <v>60</v>
      </c>
      <c r="C2369" s="2" t="s">
        <v>23158</v>
      </c>
      <c r="D2369" s="2" t="s">
        <v>23159</v>
      </c>
      <c r="E2369" s="2" t="s">
        <v>23160</v>
      </c>
      <c r="G2369" s="3" t="s">
        <v>62</v>
      </c>
      <c r="I2369" s="3" t="s">
        <v>62</v>
      </c>
      <c r="J2369" s="3" t="s">
        <v>62</v>
      </c>
      <c r="K2369" s="3" t="s">
        <v>63</v>
      </c>
      <c r="L2369" s="2" t="s">
        <v>23161</v>
      </c>
      <c r="M2369" s="2" t="s">
        <v>23162</v>
      </c>
      <c r="N2369" s="3" t="s">
        <v>116</v>
      </c>
      <c r="P2369" s="3" t="s">
        <v>65</v>
      </c>
      <c r="R2369" s="3" t="s">
        <v>66</v>
      </c>
      <c r="S2369" s="4">
        <v>1</v>
      </c>
      <c r="T2369" s="4">
        <v>1</v>
      </c>
      <c r="U2369" s="5" t="s">
        <v>18744</v>
      </c>
      <c r="V2369" s="5" t="s">
        <v>18744</v>
      </c>
      <c r="W2369" s="5" t="s">
        <v>67</v>
      </c>
      <c r="X2369" s="5" t="s">
        <v>67</v>
      </c>
      <c r="Y2369" s="4">
        <v>227</v>
      </c>
      <c r="Z2369" s="4">
        <v>18</v>
      </c>
      <c r="AA2369" s="4">
        <v>56</v>
      </c>
      <c r="AB2369" s="4">
        <v>2</v>
      </c>
      <c r="AC2369" s="4">
        <v>5</v>
      </c>
      <c r="AD2369" s="4">
        <v>67</v>
      </c>
      <c r="AE2369" s="4">
        <v>86</v>
      </c>
      <c r="AF2369" s="4">
        <v>1</v>
      </c>
      <c r="AG2369" s="4">
        <v>2</v>
      </c>
      <c r="AH2369" s="4">
        <v>60</v>
      </c>
      <c r="AI2369" s="4">
        <v>71</v>
      </c>
      <c r="AJ2369" s="4">
        <v>11</v>
      </c>
      <c r="AK2369" s="4">
        <v>16</v>
      </c>
      <c r="AL2369" s="4">
        <v>35</v>
      </c>
      <c r="AM2369" s="4">
        <v>40</v>
      </c>
      <c r="AN2369" s="4">
        <v>0</v>
      </c>
      <c r="AO2369" s="4">
        <v>0</v>
      </c>
      <c r="AP2369" s="4">
        <v>12</v>
      </c>
      <c r="AQ2369" s="4">
        <v>21</v>
      </c>
      <c r="AR2369" s="3" t="s">
        <v>62</v>
      </c>
      <c r="AS2369" s="3" t="s">
        <v>62</v>
      </c>
      <c r="AT2369" s="3" t="s">
        <v>62</v>
      </c>
      <c r="AV2369" s="6" t="str">
        <f>HYPERLINK("http://mcgill.on.worldcat.org/oclc/816512969","Catalog Record")</f>
        <v>Catalog Record</v>
      </c>
      <c r="AW2369" s="6" t="str">
        <f>HYPERLINK("http://www.worldcat.org/oclc/816512969","WorldCat Record")</f>
        <v>WorldCat Record</v>
      </c>
      <c r="AX2369" s="3" t="s">
        <v>23163</v>
      </c>
      <c r="AY2369" s="3" t="s">
        <v>23164</v>
      </c>
      <c r="AZ2369" s="3" t="s">
        <v>23165</v>
      </c>
      <c r="BA2369" s="3" t="s">
        <v>23165</v>
      </c>
      <c r="BB2369" s="3" t="s">
        <v>23166</v>
      </c>
      <c r="BC2369" s="3" t="s">
        <v>142</v>
      </c>
      <c r="BD2369" s="3" t="s">
        <v>68</v>
      </c>
      <c r="BE2369" s="3" t="s">
        <v>23167</v>
      </c>
      <c r="BF2369" s="3" t="s">
        <v>23166</v>
      </c>
      <c r="BG2369" s="3" t="s">
        <v>23168</v>
      </c>
    </row>
    <row r="2370" spans="1:59" ht="57" x14ac:dyDescent="0.45">
      <c r="A2370" s="2" t="s">
        <v>59</v>
      </c>
      <c r="B2370" s="2" t="s">
        <v>60</v>
      </c>
      <c r="C2370" s="2" t="s">
        <v>23169</v>
      </c>
      <c r="D2370" s="2" t="s">
        <v>23170</v>
      </c>
      <c r="E2370" s="2" t="s">
        <v>23171</v>
      </c>
      <c r="G2370" s="3" t="s">
        <v>62</v>
      </c>
      <c r="I2370" s="3" t="s">
        <v>62</v>
      </c>
      <c r="J2370" s="3" t="s">
        <v>62</v>
      </c>
      <c r="K2370" s="3" t="s">
        <v>63</v>
      </c>
      <c r="L2370" s="2" t="s">
        <v>23172</v>
      </c>
      <c r="M2370" s="2" t="s">
        <v>23173</v>
      </c>
      <c r="N2370" s="3" t="s">
        <v>1855</v>
      </c>
      <c r="P2370" s="3" t="s">
        <v>65</v>
      </c>
      <c r="R2370" s="3" t="s">
        <v>66</v>
      </c>
      <c r="S2370" s="4">
        <v>6</v>
      </c>
      <c r="T2370" s="4">
        <v>6</v>
      </c>
      <c r="U2370" s="5" t="s">
        <v>12812</v>
      </c>
      <c r="V2370" s="5" t="s">
        <v>12812</v>
      </c>
      <c r="W2370" s="5" t="s">
        <v>67</v>
      </c>
      <c r="X2370" s="5" t="s">
        <v>67</v>
      </c>
      <c r="Y2370" s="4">
        <v>411</v>
      </c>
      <c r="Z2370" s="4">
        <v>17</v>
      </c>
      <c r="AA2370" s="4">
        <v>19</v>
      </c>
      <c r="AB2370" s="4">
        <v>2</v>
      </c>
      <c r="AC2370" s="4">
        <v>3</v>
      </c>
      <c r="AD2370" s="4">
        <v>84</v>
      </c>
      <c r="AE2370" s="4">
        <v>84</v>
      </c>
      <c r="AF2370" s="4">
        <v>0</v>
      </c>
      <c r="AG2370" s="4">
        <v>0</v>
      </c>
      <c r="AH2370" s="4">
        <v>82</v>
      </c>
      <c r="AI2370" s="4">
        <v>82</v>
      </c>
      <c r="AJ2370" s="4">
        <v>8</v>
      </c>
      <c r="AK2370" s="4">
        <v>8</v>
      </c>
      <c r="AL2370" s="4">
        <v>41</v>
      </c>
      <c r="AM2370" s="4">
        <v>41</v>
      </c>
      <c r="AN2370" s="4">
        <v>0</v>
      </c>
      <c r="AO2370" s="4">
        <v>0</v>
      </c>
      <c r="AP2370" s="4">
        <v>9</v>
      </c>
      <c r="AQ2370" s="4">
        <v>9</v>
      </c>
      <c r="AR2370" s="3" t="s">
        <v>62</v>
      </c>
      <c r="AS2370" s="3" t="s">
        <v>62</v>
      </c>
      <c r="AT2370" s="3" t="s">
        <v>62</v>
      </c>
      <c r="AV2370" s="6" t="str">
        <f>HYPERLINK("http://mcgill.on.worldcat.org/oclc/61520527","Catalog Record")</f>
        <v>Catalog Record</v>
      </c>
      <c r="AW2370" s="6" t="str">
        <f>HYPERLINK("http://www.worldcat.org/oclc/61520527","WorldCat Record")</f>
        <v>WorldCat Record</v>
      </c>
      <c r="AX2370" s="3" t="s">
        <v>23174</v>
      </c>
      <c r="AY2370" s="3" t="s">
        <v>23175</v>
      </c>
      <c r="AZ2370" s="3" t="s">
        <v>23176</v>
      </c>
      <c r="BA2370" s="3" t="s">
        <v>23176</v>
      </c>
      <c r="BB2370" s="3" t="s">
        <v>23177</v>
      </c>
      <c r="BC2370" s="3" t="s">
        <v>142</v>
      </c>
      <c r="BD2370" s="3" t="s">
        <v>68</v>
      </c>
      <c r="BE2370" s="3" t="s">
        <v>23178</v>
      </c>
      <c r="BF2370" s="3" t="s">
        <v>23177</v>
      </c>
      <c r="BG2370" s="3" t="s">
        <v>23179</v>
      </c>
    </row>
    <row r="2371" spans="1:59" ht="57" x14ac:dyDescent="0.45">
      <c r="A2371" s="2" t="s">
        <v>59</v>
      </c>
      <c r="B2371" s="2" t="s">
        <v>60</v>
      </c>
      <c r="C2371" s="2" t="s">
        <v>23180</v>
      </c>
      <c r="D2371" s="2" t="s">
        <v>23181</v>
      </c>
      <c r="E2371" s="2" t="s">
        <v>23182</v>
      </c>
      <c r="G2371" s="3" t="s">
        <v>62</v>
      </c>
      <c r="I2371" s="3" t="s">
        <v>62</v>
      </c>
      <c r="J2371" s="3" t="s">
        <v>62</v>
      </c>
      <c r="K2371" s="3" t="s">
        <v>63</v>
      </c>
      <c r="L2371" s="2" t="s">
        <v>23183</v>
      </c>
      <c r="M2371" s="2" t="s">
        <v>23184</v>
      </c>
      <c r="N2371" s="3" t="s">
        <v>149</v>
      </c>
      <c r="P2371" s="3" t="s">
        <v>65</v>
      </c>
      <c r="R2371" s="3" t="s">
        <v>66</v>
      </c>
      <c r="S2371" s="4">
        <v>2</v>
      </c>
      <c r="T2371" s="4">
        <v>2</v>
      </c>
      <c r="U2371" s="5" t="s">
        <v>23185</v>
      </c>
      <c r="V2371" s="5" t="s">
        <v>23185</v>
      </c>
      <c r="W2371" s="5" t="s">
        <v>67</v>
      </c>
      <c r="X2371" s="5" t="s">
        <v>67</v>
      </c>
      <c r="Y2371" s="4">
        <v>338</v>
      </c>
      <c r="Z2371" s="4">
        <v>21</v>
      </c>
      <c r="AA2371" s="4">
        <v>24</v>
      </c>
      <c r="AB2371" s="4">
        <v>2</v>
      </c>
      <c r="AC2371" s="4">
        <v>4</v>
      </c>
      <c r="AD2371" s="4">
        <v>83</v>
      </c>
      <c r="AE2371" s="4">
        <v>83</v>
      </c>
      <c r="AF2371" s="4">
        <v>1</v>
      </c>
      <c r="AG2371" s="4">
        <v>1</v>
      </c>
      <c r="AH2371" s="4">
        <v>75</v>
      </c>
      <c r="AI2371" s="4">
        <v>75</v>
      </c>
      <c r="AJ2371" s="4">
        <v>12</v>
      </c>
      <c r="AK2371" s="4">
        <v>12</v>
      </c>
      <c r="AL2371" s="4">
        <v>43</v>
      </c>
      <c r="AM2371" s="4">
        <v>43</v>
      </c>
      <c r="AN2371" s="4">
        <v>0</v>
      </c>
      <c r="AO2371" s="4">
        <v>0</v>
      </c>
      <c r="AP2371" s="4">
        <v>14</v>
      </c>
      <c r="AQ2371" s="4">
        <v>14</v>
      </c>
      <c r="AR2371" s="3" t="s">
        <v>62</v>
      </c>
      <c r="AS2371" s="3" t="s">
        <v>62</v>
      </c>
      <c r="AT2371" s="3" t="s">
        <v>62</v>
      </c>
      <c r="AV2371" s="6" t="str">
        <f>HYPERLINK("http://mcgill.on.worldcat.org/oclc/317452880","Catalog Record")</f>
        <v>Catalog Record</v>
      </c>
      <c r="AW2371" s="6" t="str">
        <f>HYPERLINK("http://www.worldcat.org/oclc/317452880","WorldCat Record")</f>
        <v>WorldCat Record</v>
      </c>
      <c r="AX2371" s="3" t="s">
        <v>23186</v>
      </c>
      <c r="AY2371" s="3" t="s">
        <v>23187</v>
      </c>
      <c r="AZ2371" s="3" t="s">
        <v>23188</v>
      </c>
      <c r="BA2371" s="3" t="s">
        <v>23188</v>
      </c>
      <c r="BB2371" s="3" t="s">
        <v>23189</v>
      </c>
      <c r="BC2371" s="3" t="s">
        <v>142</v>
      </c>
      <c r="BD2371" s="3" t="s">
        <v>68</v>
      </c>
      <c r="BE2371" s="3" t="s">
        <v>23190</v>
      </c>
      <c r="BF2371" s="3" t="s">
        <v>23189</v>
      </c>
      <c r="BG2371" s="3" t="s">
        <v>23191</v>
      </c>
    </row>
    <row r="2372" spans="1:59" ht="57" x14ac:dyDescent="0.45">
      <c r="A2372" s="2" t="s">
        <v>59</v>
      </c>
      <c r="B2372" s="2" t="s">
        <v>60</v>
      </c>
      <c r="C2372" s="2" t="s">
        <v>23192</v>
      </c>
      <c r="D2372" s="2" t="s">
        <v>23193</v>
      </c>
      <c r="E2372" s="2" t="s">
        <v>23194</v>
      </c>
      <c r="G2372" s="3" t="s">
        <v>62</v>
      </c>
      <c r="I2372" s="3" t="s">
        <v>62</v>
      </c>
      <c r="J2372" s="3" t="s">
        <v>62</v>
      </c>
      <c r="K2372" s="3" t="s">
        <v>63</v>
      </c>
      <c r="L2372" s="2" t="s">
        <v>23195</v>
      </c>
      <c r="M2372" s="2" t="s">
        <v>23196</v>
      </c>
      <c r="N2372" s="3" t="s">
        <v>945</v>
      </c>
      <c r="P2372" s="3" t="s">
        <v>65</v>
      </c>
      <c r="R2372" s="3" t="s">
        <v>66</v>
      </c>
      <c r="S2372" s="4">
        <v>8</v>
      </c>
      <c r="T2372" s="4">
        <v>8</v>
      </c>
      <c r="U2372" s="5" t="s">
        <v>5925</v>
      </c>
      <c r="V2372" s="5" t="s">
        <v>5925</v>
      </c>
      <c r="W2372" s="5" t="s">
        <v>67</v>
      </c>
      <c r="X2372" s="5" t="s">
        <v>67</v>
      </c>
      <c r="Y2372" s="4">
        <v>296</v>
      </c>
      <c r="Z2372" s="4">
        <v>15</v>
      </c>
      <c r="AA2372" s="4">
        <v>16</v>
      </c>
      <c r="AB2372" s="4">
        <v>2</v>
      </c>
      <c r="AC2372" s="4">
        <v>3</v>
      </c>
      <c r="AD2372" s="4">
        <v>70</v>
      </c>
      <c r="AE2372" s="4">
        <v>71</v>
      </c>
      <c r="AF2372" s="4">
        <v>1</v>
      </c>
      <c r="AG2372" s="4">
        <v>2</v>
      </c>
      <c r="AH2372" s="4">
        <v>67</v>
      </c>
      <c r="AI2372" s="4">
        <v>68</v>
      </c>
      <c r="AJ2372" s="4">
        <v>7</v>
      </c>
      <c r="AK2372" s="4">
        <v>8</v>
      </c>
      <c r="AL2372" s="4">
        <v>35</v>
      </c>
      <c r="AM2372" s="4">
        <v>35</v>
      </c>
      <c r="AN2372" s="4">
        <v>0</v>
      </c>
      <c r="AO2372" s="4">
        <v>0</v>
      </c>
      <c r="AP2372" s="4">
        <v>7</v>
      </c>
      <c r="AQ2372" s="4">
        <v>8</v>
      </c>
      <c r="AR2372" s="3" t="s">
        <v>62</v>
      </c>
      <c r="AS2372" s="3" t="s">
        <v>62</v>
      </c>
      <c r="AT2372" s="3" t="s">
        <v>61</v>
      </c>
      <c r="AU2372" s="6" t="str">
        <f>HYPERLINK("http://catalog.hathitrust.org/Record/005565286","HathiTrust Record")</f>
        <v>HathiTrust Record</v>
      </c>
      <c r="AV2372" s="6" t="str">
        <f>HYPERLINK("http://mcgill.on.worldcat.org/oclc/79256742","Catalog Record")</f>
        <v>Catalog Record</v>
      </c>
      <c r="AW2372" s="6" t="str">
        <f>HYPERLINK("http://www.worldcat.org/oclc/79256742","WorldCat Record")</f>
        <v>WorldCat Record</v>
      </c>
      <c r="AX2372" s="3" t="s">
        <v>23197</v>
      </c>
      <c r="AY2372" s="3" t="s">
        <v>23198</v>
      </c>
      <c r="AZ2372" s="3" t="s">
        <v>23199</v>
      </c>
      <c r="BA2372" s="3" t="s">
        <v>23199</v>
      </c>
      <c r="BB2372" s="3" t="s">
        <v>23200</v>
      </c>
      <c r="BC2372" s="3" t="s">
        <v>142</v>
      </c>
      <c r="BD2372" s="3" t="s">
        <v>68</v>
      </c>
      <c r="BE2372" s="3" t="s">
        <v>23201</v>
      </c>
      <c r="BF2372" s="3" t="s">
        <v>23200</v>
      </c>
      <c r="BG2372" s="3" t="s">
        <v>23202</v>
      </c>
    </row>
    <row r="2373" spans="1:59" ht="57" x14ac:dyDescent="0.45">
      <c r="A2373" s="2" t="s">
        <v>59</v>
      </c>
      <c r="B2373" s="2" t="s">
        <v>60</v>
      </c>
      <c r="C2373" s="2" t="s">
        <v>23203</v>
      </c>
      <c r="D2373" s="2" t="s">
        <v>23204</v>
      </c>
      <c r="E2373" s="2" t="s">
        <v>23205</v>
      </c>
      <c r="G2373" s="3" t="s">
        <v>62</v>
      </c>
      <c r="I2373" s="3" t="s">
        <v>62</v>
      </c>
      <c r="J2373" s="3" t="s">
        <v>62</v>
      </c>
      <c r="K2373" s="3" t="s">
        <v>63</v>
      </c>
      <c r="L2373" s="2" t="s">
        <v>23206</v>
      </c>
      <c r="M2373" s="2" t="s">
        <v>23207</v>
      </c>
      <c r="N2373" s="3" t="s">
        <v>1604</v>
      </c>
      <c r="P2373" s="3" t="s">
        <v>65</v>
      </c>
      <c r="R2373" s="3" t="s">
        <v>66</v>
      </c>
      <c r="S2373" s="4">
        <v>16</v>
      </c>
      <c r="T2373" s="4">
        <v>16</v>
      </c>
      <c r="U2373" s="5" t="s">
        <v>5925</v>
      </c>
      <c r="V2373" s="5" t="s">
        <v>5925</v>
      </c>
      <c r="W2373" s="5" t="s">
        <v>67</v>
      </c>
      <c r="X2373" s="5" t="s">
        <v>67</v>
      </c>
      <c r="Y2373" s="4">
        <v>589</v>
      </c>
      <c r="Z2373" s="4">
        <v>19</v>
      </c>
      <c r="AA2373" s="4">
        <v>22</v>
      </c>
      <c r="AB2373" s="4">
        <v>1</v>
      </c>
      <c r="AC2373" s="4">
        <v>3</v>
      </c>
      <c r="AD2373" s="4">
        <v>103</v>
      </c>
      <c r="AE2373" s="4">
        <v>104</v>
      </c>
      <c r="AF2373" s="4">
        <v>0</v>
      </c>
      <c r="AG2373" s="4">
        <v>1</v>
      </c>
      <c r="AH2373" s="4">
        <v>93</v>
      </c>
      <c r="AI2373" s="4">
        <v>94</v>
      </c>
      <c r="AJ2373" s="4">
        <v>12</v>
      </c>
      <c r="AK2373" s="4">
        <v>13</v>
      </c>
      <c r="AL2373" s="4">
        <v>48</v>
      </c>
      <c r="AM2373" s="4">
        <v>48</v>
      </c>
      <c r="AN2373" s="4">
        <v>0</v>
      </c>
      <c r="AO2373" s="4">
        <v>0</v>
      </c>
      <c r="AP2373" s="4">
        <v>15</v>
      </c>
      <c r="AQ2373" s="4">
        <v>16</v>
      </c>
      <c r="AR2373" s="3" t="s">
        <v>62</v>
      </c>
      <c r="AS2373" s="3" t="s">
        <v>62</v>
      </c>
      <c r="AT2373" s="3" t="s">
        <v>61</v>
      </c>
      <c r="AU2373" s="6" t="str">
        <f>HYPERLINK("http://catalog.hathitrust.org/Record/002952635","HathiTrust Record")</f>
        <v>HathiTrust Record</v>
      </c>
      <c r="AV2373" s="6" t="str">
        <f>HYPERLINK("http://mcgill.on.worldcat.org/oclc/30892446","Catalog Record")</f>
        <v>Catalog Record</v>
      </c>
      <c r="AW2373" s="6" t="str">
        <f>HYPERLINK("http://www.worldcat.org/oclc/30892446","WorldCat Record")</f>
        <v>WorldCat Record</v>
      </c>
      <c r="AX2373" s="3" t="s">
        <v>23208</v>
      </c>
      <c r="AY2373" s="3" t="s">
        <v>23209</v>
      </c>
      <c r="AZ2373" s="3" t="s">
        <v>23210</v>
      </c>
      <c r="BA2373" s="3" t="s">
        <v>23210</v>
      </c>
      <c r="BB2373" s="3" t="s">
        <v>23211</v>
      </c>
      <c r="BC2373" s="3" t="s">
        <v>142</v>
      </c>
      <c r="BD2373" s="3" t="s">
        <v>68</v>
      </c>
      <c r="BE2373" s="3" t="s">
        <v>23212</v>
      </c>
      <c r="BF2373" s="3" t="s">
        <v>23211</v>
      </c>
      <c r="BG2373" s="3" t="s">
        <v>23213</v>
      </c>
    </row>
    <row r="2374" spans="1:59" ht="57" x14ac:dyDescent="0.45">
      <c r="A2374" s="2" t="s">
        <v>59</v>
      </c>
      <c r="B2374" s="2" t="s">
        <v>60</v>
      </c>
      <c r="C2374" s="2" t="s">
        <v>23214</v>
      </c>
      <c r="D2374" s="2" t="s">
        <v>23215</v>
      </c>
      <c r="E2374" s="2" t="s">
        <v>23216</v>
      </c>
      <c r="G2374" s="3" t="s">
        <v>62</v>
      </c>
      <c r="I2374" s="3" t="s">
        <v>62</v>
      </c>
      <c r="J2374" s="3" t="s">
        <v>62</v>
      </c>
      <c r="K2374" s="3" t="s">
        <v>63</v>
      </c>
      <c r="L2374" s="2" t="s">
        <v>23217</v>
      </c>
      <c r="M2374" s="2" t="s">
        <v>1436</v>
      </c>
      <c r="N2374" s="3" t="s">
        <v>1437</v>
      </c>
      <c r="P2374" s="3" t="s">
        <v>65</v>
      </c>
      <c r="R2374" s="3" t="s">
        <v>66</v>
      </c>
      <c r="S2374" s="4">
        <v>34</v>
      </c>
      <c r="T2374" s="4">
        <v>34</v>
      </c>
      <c r="U2374" s="5" t="s">
        <v>7393</v>
      </c>
      <c r="V2374" s="5" t="s">
        <v>7393</v>
      </c>
      <c r="W2374" s="5" t="s">
        <v>67</v>
      </c>
      <c r="X2374" s="5" t="s">
        <v>67</v>
      </c>
      <c r="Y2374" s="4">
        <v>439</v>
      </c>
      <c r="Z2374" s="4">
        <v>23</v>
      </c>
      <c r="AA2374" s="4">
        <v>110</v>
      </c>
      <c r="AB2374" s="4">
        <v>1</v>
      </c>
      <c r="AC2374" s="4">
        <v>21</v>
      </c>
      <c r="AD2374" s="4">
        <v>111</v>
      </c>
      <c r="AE2374" s="4">
        <v>157</v>
      </c>
      <c r="AF2374" s="4">
        <v>0</v>
      </c>
      <c r="AG2374" s="4">
        <v>9</v>
      </c>
      <c r="AH2374" s="4">
        <v>99</v>
      </c>
      <c r="AI2374" s="4">
        <v>107</v>
      </c>
      <c r="AJ2374" s="4">
        <v>15</v>
      </c>
      <c r="AK2374" s="4">
        <v>27</v>
      </c>
      <c r="AL2374" s="4">
        <v>55</v>
      </c>
      <c r="AM2374" s="4">
        <v>58</v>
      </c>
      <c r="AN2374" s="4">
        <v>0</v>
      </c>
      <c r="AO2374" s="4">
        <v>0</v>
      </c>
      <c r="AP2374" s="4">
        <v>15</v>
      </c>
      <c r="AQ2374" s="4">
        <v>55</v>
      </c>
      <c r="AR2374" s="3" t="s">
        <v>62</v>
      </c>
      <c r="AS2374" s="3" t="s">
        <v>62</v>
      </c>
      <c r="AT2374" s="3" t="s">
        <v>62</v>
      </c>
      <c r="AV2374" s="6" t="str">
        <f>HYPERLINK("http://mcgill.on.worldcat.org/oclc/38199369","Catalog Record")</f>
        <v>Catalog Record</v>
      </c>
      <c r="AW2374" s="6" t="str">
        <f>HYPERLINK("http://www.worldcat.org/oclc/38199369","WorldCat Record")</f>
        <v>WorldCat Record</v>
      </c>
      <c r="AX2374" s="3" t="s">
        <v>23218</v>
      </c>
      <c r="AY2374" s="3" t="s">
        <v>23219</v>
      </c>
      <c r="AZ2374" s="3" t="s">
        <v>23220</v>
      </c>
      <c r="BA2374" s="3" t="s">
        <v>23220</v>
      </c>
      <c r="BB2374" s="3" t="s">
        <v>23221</v>
      </c>
      <c r="BC2374" s="3" t="s">
        <v>142</v>
      </c>
      <c r="BD2374" s="3" t="s">
        <v>68</v>
      </c>
      <c r="BE2374" s="3" t="s">
        <v>23222</v>
      </c>
      <c r="BF2374" s="3" t="s">
        <v>23221</v>
      </c>
      <c r="BG2374" s="3" t="s">
        <v>23223</v>
      </c>
    </row>
    <row r="2375" spans="1:59" ht="57" x14ac:dyDescent="0.45">
      <c r="A2375" s="2" t="s">
        <v>59</v>
      </c>
      <c r="B2375" s="2" t="s">
        <v>60</v>
      </c>
      <c r="C2375" s="2" t="s">
        <v>23224</v>
      </c>
      <c r="D2375" s="2" t="s">
        <v>23225</v>
      </c>
      <c r="E2375" s="2" t="s">
        <v>23226</v>
      </c>
      <c r="G2375" s="3" t="s">
        <v>62</v>
      </c>
      <c r="I2375" s="3" t="s">
        <v>62</v>
      </c>
      <c r="J2375" s="3" t="s">
        <v>62</v>
      </c>
      <c r="K2375" s="3" t="s">
        <v>63</v>
      </c>
      <c r="M2375" s="2" t="s">
        <v>17930</v>
      </c>
      <c r="N2375" s="3" t="s">
        <v>1253</v>
      </c>
      <c r="P2375" s="3" t="s">
        <v>65</v>
      </c>
      <c r="R2375" s="3" t="s">
        <v>66</v>
      </c>
      <c r="S2375" s="4">
        <v>16</v>
      </c>
      <c r="T2375" s="4">
        <v>16</v>
      </c>
      <c r="U2375" s="5" t="s">
        <v>126</v>
      </c>
      <c r="V2375" s="5" t="s">
        <v>126</v>
      </c>
      <c r="W2375" s="5" t="s">
        <v>67</v>
      </c>
      <c r="X2375" s="5" t="s">
        <v>67</v>
      </c>
      <c r="Y2375" s="4">
        <v>877</v>
      </c>
      <c r="Z2375" s="4">
        <v>35</v>
      </c>
      <c r="AA2375" s="4">
        <v>38</v>
      </c>
      <c r="AB2375" s="4">
        <v>2</v>
      </c>
      <c r="AC2375" s="4">
        <v>5</v>
      </c>
      <c r="AD2375" s="4">
        <v>126</v>
      </c>
      <c r="AE2375" s="4">
        <v>129</v>
      </c>
      <c r="AF2375" s="4">
        <v>1</v>
      </c>
      <c r="AG2375" s="4">
        <v>4</v>
      </c>
      <c r="AH2375" s="4">
        <v>107</v>
      </c>
      <c r="AI2375" s="4">
        <v>108</v>
      </c>
      <c r="AJ2375" s="4">
        <v>19</v>
      </c>
      <c r="AK2375" s="4">
        <v>22</v>
      </c>
      <c r="AL2375" s="4">
        <v>58</v>
      </c>
      <c r="AM2375" s="4">
        <v>58</v>
      </c>
      <c r="AN2375" s="4">
        <v>0</v>
      </c>
      <c r="AO2375" s="4">
        <v>0</v>
      </c>
      <c r="AP2375" s="4">
        <v>25</v>
      </c>
      <c r="AQ2375" s="4">
        <v>27</v>
      </c>
      <c r="AR2375" s="3" t="s">
        <v>62</v>
      </c>
      <c r="AS2375" s="3" t="s">
        <v>62</v>
      </c>
      <c r="AT2375" s="3" t="s">
        <v>61</v>
      </c>
      <c r="AU2375" s="6" t="str">
        <f>HYPERLINK("http://catalog.hathitrust.org/Record/003140035","HathiTrust Record")</f>
        <v>HathiTrust Record</v>
      </c>
      <c r="AV2375" s="6" t="str">
        <f>HYPERLINK("http://mcgill.on.worldcat.org/oclc/35145708","Catalog Record")</f>
        <v>Catalog Record</v>
      </c>
      <c r="AW2375" s="6" t="str">
        <f>HYPERLINK("http://www.worldcat.org/oclc/35145708","WorldCat Record")</f>
        <v>WorldCat Record</v>
      </c>
      <c r="AX2375" s="3" t="s">
        <v>23227</v>
      </c>
      <c r="AY2375" s="3" t="s">
        <v>23228</v>
      </c>
      <c r="AZ2375" s="3" t="s">
        <v>23229</v>
      </c>
      <c r="BA2375" s="3" t="s">
        <v>23229</v>
      </c>
      <c r="BB2375" s="3" t="s">
        <v>23230</v>
      </c>
      <c r="BC2375" s="3" t="s">
        <v>142</v>
      </c>
      <c r="BD2375" s="3" t="s">
        <v>68</v>
      </c>
      <c r="BE2375" s="3" t="s">
        <v>23231</v>
      </c>
      <c r="BF2375" s="3" t="s">
        <v>23230</v>
      </c>
      <c r="BG2375" s="3" t="s">
        <v>23232</v>
      </c>
    </row>
    <row r="2376" spans="1:59" ht="57" x14ac:dyDescent="0.45">
      <c r="A2376" s="2" t="s">
        <v>59</v>
      </c>
      <c r="B2376" s="2" t="s">
        <v>60</v>
      </c>
      <c r="C2376" s="2" t="s">
        <v>23233</v>
      </c>
      <c r="D2376" s="2" t="s">
        <v>23234</v>
      </c>
      <c r="E2376" s="2" t="s">
        <v>23235</v>
      </c>
      <c r="G2376" s="3" t="s">
        <v>62</v>
      </c>
      <c r="I2376" s="3" t="s">
        <v>62</v>
      </c>
      <c r="J2376" s="3" t="s">
        <v>62</v>
      </c>
      <c r="K2376" s="3" t="s">
        <v>63</v>
      </c>
      <c r="L2376" s="2" t="s">
        <v>23236</v>
      </c>
      <c r="M2376" s="2" t="s">
        <v>23237</v>
      </c>
      <c r="N2376" s="3" t="s">
        <v>157</v>
      </c>
      <c r="P2376" s="3" t="s">
        <v>65</v>
      </c>
      <c r="Q2376" s="2" t="s">
        <v>15638</v>
      </c>
      <c r="R2376" s="3" t="s">
        <v>66</v>
      </c>
      <c r="S2376" s="4">
        <v>22</v>
      </c>
      <c r="T2376" s="4">
        <v>22</v>
      </c>
      <c r="U2376" s="5" t="s">
        <v>23238</v>
      </c>
      <c r="V2376" s="5" t="s">
        <v>23238</v>
      </c>
      <c r="W2376" s="5" t="s">
        <v>67</v>
      </c>
      <c r="X2376" s="5" t="s">
        <v>67</v>
      </c>
      <c r="Y2376" s="4">
        <v>465</v>
      </c>
      <c r="Z2376" s="4">
        <v>29</v>
      </c>
      <c r="AA2376" s="4">
        <v>33</v>
      </c>
      <c r="AB2376" s="4">
        <v>2</v>
      </c>
      <c r="AC2376" s="4">
        <v>5</v>
      </c>
      <c r="AD2376" s="4">
        <v>113</v>
      </c>
      <c r="AE2376" s="4">
        <v>117</v>
      </c>
      <c r="AF2376" s="4">
        <v>1</v>
      </c>
      <c r="AG2376" s="4">
        <v>4</v>
      </c>
      <c r="AH2376" s="4">
        <v>97</v>
      </c>
      <c r="AI2376" s="4">
        <v>98</v>
      </c>
      <c r="AJ2376" s="4">
        <v>19</v>
      </c>
      <c r="AK2376" s="4">
        <v>22</v>
      </c>
      <c r="AL2376" s="4">
        <v>53</v>
      </c>
      <c r="AM2376" s="4">
        <v>53</v>
      </c>
      <c r="AN2376" s="4">
        <v>0</v>
      </c>
      <c r="AO2376" s="4">
        <v>0</v>
      </c>
      <c r="AP2376" s="4">
        <v>25</v>
      </c>
      <c r="AQ2376" s="4">
        <v>28</v>
      </c>
      <c r="AR2376" s="3" t="s">
        <v>62</v>
      </c>
      <c r="AS2376" s="3" t="s">
        <v>62</v>
      </c>
      <c r="AT2376" s="3" t="s">
        <v>61</v>
      </c>
      <c r="AU2376" s="6" t="str">
        <f>HYPERLINK("http://catalog.hathitrust.org/Record/000107627","HathiTrust Record")</f>
        <v>HathiTrust Record</v>
      </c>
      <c r="AV2376" s="6" t="str">
        <f>HYPERLINK("http://mcgill.on.worldcat.org/oclc/8688543","Catalog Record")</f>
        <v>Catalog Record</v>
      </c>
      <c r="AW2376" s="6" t="str">
        <f>HYPERLINK("http://www.worldcat.org/oclc/8688543","WorldCat Record")</f>
        <v>WorldCat Record</v>
      </c>
      <c r="AX2376" s="3" t="s">
        <v>23239</v>
      </c>
      <c r="AY2376" s="3" t="s">
        <v>23240</v>
      </c>
      <c r="AZ2376" s="3" t="s">
        <v>23241</v>
      </c>
      <c r="BA2376" s="3" t="s">
        <v>23241</v>
      </c>
      <c r="BB2376" s="3" t="s">
        <v>23242</v>
      </c>
      <c r="BC2376" s="3" t="s">
        <v>142</v>
      </c>
      <c r="BD2376" s="3" t="s">
        <v>68</v>
      </c>
      <c r="BE2376" s="3" t="s">
        <v>23243</v>
      </c>
      <c r="BF2376" s="3" t="s">
        <v>23242</v>
      </c>
      <c r="BG2376" s="3" t="s">
        <v>23244</v>
      </c>
    </row>
    <row r="2377" spans="1:59" ht="57" x14ac:dyDescent="0.45">
      <c r="A2377" s="2" t="s">
        <v>59</v>
      </c>
      <c r="B2377" s="2" t="s">
        <v>60</v>
      </c>
      <c r="C2377" s="2" t="s">
        <v>23245</v>
      </c>
      <c r="D2377" s="2" t="s">
        <v>23246</v>
      </c>
      <c r="E2377" s="2" t="s">
        <v>23247</v>
      </c>
      <c r="G2377" s="3" t="s">
        <v>62</v>
      </c>
      <c r="I2377" s="3" t="s">
        <v>61</v>
      </c>
      <c r="J2377" s="3" t="s">
        <v>62</v>
      </c>
      <c r="K2377" s="3" t="s">
        <v>63</v>
      </c>
      <c r="L2377" s="2" t="s">
        <v>12964</v>
      </c>
      <c r="M2377" s="2" t="s">
        <v>23248</v>
      </c>
      <c r="N2377" s="3" t="s">
        <v>117</v>
      </c>
      <c r="P2377" s="3" t="s">
        <v>65</v>
      </c>
      <c r="R2377" s="3" t="s">
        <v>66</v>
      </c>
      <c r="S2377" s="4">
        <v>32</v>
      </c>
      <c r="T2377" s="4">
        <v>147</v>
      </c>
      <c r="U2377" s="5" t="s">
        <v>17815</v>
      </c>
      <c r="V2377" s="5" t="s">
        <v>17815</v>
      </c>
      <c r="W2377" s="5" t="s">
        <v>67</v>
      </c>
      <c r="X2377" s="5" t="s">
        <v>67</v>
      </c>
      <c r="Y2377" s="4">
        <v>1138</v>
      </c>
      <c r="Z2377" s="4">
        <v>48</v>
      </c>
      <c r="AA2377" s="4">
        <v>53</v>
      </c>
      <c r="AB2377" s="4">
        <v>3</v>
      </c>
      <c r="AC2377" s="4">
        <v>6</v>
      </c>
      <c r="AD2377" s="4">
        <v>136</v>
      </c>
      <c r="AE2377" s="4">
        <v>143</v>
      </c>
      <c r="AF2377" s="4">
        <v>1</v>
      </c>
      <c r="AG2377" s="4">
        <v>4</v>
      </c>
      <c r="AH2377" s="4">
        <v>109</v>
      </c>
      <c r="AI2377" s="4">
        <v>113</v>
      </c>
      <c r="AJ2377" s="4">
        <v>23</v>
      </c>
      <c r="AK2377" s="4">
        <v>26</v>
      </c>
      <c r="AL2377" s="4">
        <v>57</v>
      </c>
      <c r="AM2377" s="4">
        <v>58</v>
      </c>
      <c r="AN2377" s="4">
        <v>0</v>
      </c>
      <c r="AO2377" s="4">
        <v>0</v>
      </c>
      <c r="AP2377" s="4">
        <v>37</v>
      </c>
      <c r="AQ2377" s="4">
        <v>40</v>
      </c>
      <c r="AR2377" s="3" t="s">
        <v>62</v>
      </c>
      <c r="AS2377" s="3" t="s">
        <v>62</v>
      </c>
      <c r="AT2377" s="3" t="s">
        <v>61</v>
      </c>
      <c r="AU2377" s="6" t="str">
        <f>HYPERLINK("http://catalog.hathitrust.org/Record/000685121","HathiTrust Record")</f>
        <v>HathiTrust Record</v>
      </c>
      <c r="AV2377" s="6" t="str">
        <f>HYPERLINK("http://mcgill.on.worldcat.org/oclc/6040584","Catalog Record")</f>
        <v>Catalog Record</v>
      </c>
      <c r="AW2377" s="6" t="str">
        <f>HYPERLINK("http://www.worldcat.org/oclc/6040584","WorldCat Record")</f>
        <v>WorldCat Record</v>
      </c>
      <c r="AX2377" s="3" t="s">
        <v>23249</v>
      </c>
      <c r="AY2377" s="3" t="s">
        <v>23250</v>
      </c>
      <c r="AZ2377" s="3" t="s">
        <v>23251</v>
      </c>
      <c r="BA2377" s="3" t="s">
        <v>23251</v>
      </c>
      <c r="BB2377" s="3" t="s">
        <v>23252</v>
      </c>
      <c r="BC2377" s="3" t="s">
        <v>142</v>
      </c>
      <c r="BD2377" s="3" t="s">
        <v>68</v>
      </c>
      <c r="BE2377" s="3" t="s">
        <v>23253</v>
      </c>
      <c r="BF2377" s="3" t="s">
        <v>23252</v>
      </c>
      <c r="BG2377" s="3" t="s">
        <v>23254</v>
      </c>
    </row>
    <row r="2378" spans="1:59" ht="57" x14ac:dyDescent="0.45">
      <c r="A2378" s="2" t="s">
        <v>59</v>
      </c>
      <c r="B2378" s="2" t="s">
        <v>60</v>
      </c>
      <c r="C2378" s="2" t="s">
        <v>23245</v>
      </c>
      <c r="D2378" s="2" t="s">
        <v>23246</v>
      </c>
      <c r="E2378" s="2" t="s">
        <v>23247</v>
      </c>
      <c r="G2378" s="3" t="s">
        <v>62</v>
      </c>
      <c r="I2378" s="3" t="s">
        <v>61</v>
      </c>
      <c r="J2378" s="3" t="s">
        <v>62</v>
      </c>
      <c r="K2378" s="3" t="s">
        <v>63</v>
      </c>
      <c r="L2378" s="2" t="s">
        <v>12964</v>
      </c>
      <c r="M2378" s="2" t="s">
        <v>23248</v>
      </c>
      <c r="N2378" s="3" t="s">
        <v>117</v>
      </c>
      <c r="P2378" s="3" t="s">
        <v>65</v>
      </c>
      <c r="R2378" s="3" t="s">
        <v>66</v>
      </c>
      <c r="S2378" s="4">
        <v>39</v>
      </c>
      <c r="T2378" s="4">
        <v>147</v>
      </c>
      <c r="U2378" s="5" t="s">
        <v>21380</v>
      </c>
      <c r="V2378" s="5" t="s">
        <v>17815</v>
      </c>
      <c r="W2378" s="5" t="s">
        <v>67</v>
      </c>
      <c r="X2378" s="5" t="s">
        <v>67</v>
      </c>
      <c r="Y2378" s="4">
        <v>1138</v>
      </c>
      <c r="Z2378" s="4">
        <v>48</v>
      </c>
      <c r="AA2378" s="4">
        <v>53</v>
      </c>
      <c r="AB2378" s="4">
        <v>3</v>
      </c>
      <c r="AC2378" s="4">
        <v>6</v>
      </c>
      <c r="AD2378" s="4">
        <v>136</v>
      </c>
      <c r="AE2378" s="4">
        <v>143</v>
      </c>
      <c r="AF2378" s="4">
        <v>1</v>
      </c>
      <c r="AG2378" s="4">
        <v>4</v>
      </c>
      <c r="AH2378" s="4">
        <v>109</v>
      </c>
      <c r="AI2378" s="4">
        <v>113</v>
      </c>
      <c r="AJ2378" s="4">
        <v>23</v>
      </c>
      <c r="AK2378" s="4">
        <v>26</v>
      </c>
      <c r="AL2378" s="4">
        <v>57</v>
      </c>
      <c r="AM2378" s="4">
        <v>58</v>
      </c>
      <c r="AN2378" s="4">
        <v>0</v>
      </c>
      <c r="AO2378" s="4">
        <v>0</v>
      </c>
      <c r="AP2378" s="4">
        <v>37</v>
      </c>
      <c r="AQ2378" s="4">
        <v>40</v>
      </c>
      <c r="AR2378" s="3" t="s">
        <v>62</v>
      </c>
      <c r="AS2378" s="3" t="s">
        <v>62</v>
      </c>
      <c r="AT2378" s="3" t="s">
        <v>61</v>
      </c>
      <c r="AU2378" s="6" t="str">
        <f>HYPERLINK("http://catalog.hathitrust.org/Record/000685121","HathiTrust Record")</f>
        <v>HathiTrust Record</v>
      </c>
      <c r="AV2378" s="6" t="str">
        <f>HYPERLINK("http://mcgill.on.worldcat.org/oclc/6040584","Catalog Record")</f>
        <v>Catalog Record</v>
      </c>
      <c r="AW2378" s="6" t="str">
        <f>HYPERLINK("http://www.worldcat.org/oclc/6040584","WorldCat Record")</f>
        <v>WorldCat Record</v>
      </c>
      <c r="AX2378" s="3" t="s">
        <v>23249</v>
      </c>
      <c r="AY2378" s="3" t="s">
        <v>23250</v>
      </c>
      <c r="AZ2378" s="3" t="s">
        <v>23251</v>
      </c>
      <c r="BA2378" s="3" t="s">
        <v>23251</v>
      </c>
      <c r="BB2378" s="3" t="s">
        <v>23255</v>
      </c>
      <c r="BC2378" s="3" t="s">
        <v>142</v>
      </c>
      <c r="BD2378" s="3" t="s">
        <v>68</v>
      </c>
      <c r="BE2378" s="3" t="s">
        <v>23253</v>
      </c>
      <c r="BF2378" s="3" t="s">
        <v>23255</v>
      </c>
      <c r="BG2378" s="3" t="s">
        <v>23256</v>
      </c>
    </row>
    <row r="2379" spans="1:59" ht="57" x14ac:dyDescent="0.45">
      <c r="A2379" s="2" t="s">
        <v>59</v>
      </c>
      <c r="B2379" s="2" t="s">
        <v>60</v>
      </c>
      <c r="C2379" s="2" t="s">
        <v>23245</v>
      </c>
      <c r="D2379" s="2" t="s">
        <v>23246</v>
      </c>
      <c r="E2379" s="2" t="s">
        <v>23247</v>
      </c>
      <c r="G2379" s="3" t="s">
        <v>62</v>
      </c>
      <c r="I2379" s="3" t="s">
        <v>61</v>
      </c>
      <c r="J2379" s="3" t="s">
        <v>62</v>
      </c>
      <c r="K2379" s="3" t="s">
        <v>63</v>
      </c>
      <c r="L2379" s="2" t="s">
        <v>12964</v>
      </c>
      <c r="M2379" s="2" t="s">
        <v>23248</v>
      </c>
      <c r="N2379" s="3" t="s">
        <v>117</v>
      </c>
      <c r="P2379" s="3" t="s">
        <v>65</v>
      </c>
      <c r="R2379" s="3" t="s">
        <v>66</v>
      </c>
      <c r="S2379" s="4">
        <v>76</v>
      </c>
      <c r="T2379" s="4">
        <v>147</v>
      </c>
      <c r="U2379" s="5" t="s">
        <v>23257</v>
      </c>
      <c r="V2379" s="5" t="s">
        <v>17815</v>
      </c>
      <c r="W2379" s="5" t="s">
        <v>67</v>
      </c>
      <c r="X2379" s="5" t="s">
        <v>67</v>
      </c>
      <c r="Y2379" s="4">
        <v>1138</v>
      </c>
      <c r="Z2379" s="4">
        <v>48</v>
      </c>
      <c r="AA2379" s="4">
        <v>53</v>
      </c>
      <c r="AB2379" s="4">
        <v>3</v>
      </c>
      <c r="AC2379" s="4">
        <v>6</v>
      </c>
      <c r="AD2379" s="4">
        <v>136</v>
      </c>
      <c r="AE2379" s="4">
        <v>143</v>
      </c>
      <c r="AF2379" s="4">
        <v>1</v>
      </c>
      <c r="AG2379" s="4">
        <v>4</v>
      </c>
      <c r="AH2379" s="4">
        <v>109</v>
      </c>
      <c r="AI2379" s="4">
        <v>113</v>
      </c>
      <c r="AJ2379" s="4">
        <v>23</v>
      </c>
      <c r="AK2379" s="4">
        <v>26</v>
      </c>
      <c r="AL2379" s="4">
        <v>57</v>
      </c>
      <c r="AM2379" s="4">
        <v>58</v>
      </c>
      <c r="AN2379" s="4">
        <v>0</v>
      </c>
      <c r="AO2379" s="4">
        <v>0</v>
      </c>
      <c r="AP2379" s="4">
        <v>37</v>
      </c>
      <c r="AQ2379" s="4">
        <v>40</v>
      </c>
      <c r="AR2379" s="3" t="s">
        <v>62</v>
      </c>
      <c r="AS2379" s="3" t="s">
        <v>62</v>
      </c>
      <c r="AT2379" s="3" t="s">
        <v>61</v>
      </c>
      <c r="AU2379" s="6" t="str">
        <f>HYPERLINK("http://catalog.hathitrust.org/Record/000685121","HathiTrust Record")</f>
        <v>HathiTrust Record</v>
      </c>
      <c r="AV2379" s="6" t="str">
        <f>HYPERLINK("http://mcgill.on.worldcat.org/oclc/6040584","Catalog Record")</f>
        <v>Catalog Record</v>
      </c>
      <c r="AW2379" s="6" t="str">
        <f>HYPERLINK("http://www.worldcat.org/oclc/6040584","WorldCat Record")</f>
        <v>WorldCat Record</v>
      </c>
      <c r="AX2379" s="3" t="s">
        <v>23249</v>
      </c>
      <c r="AY2379" s="3" t="s">
        <v>23250</v>
      </c>
      <c r="AZ2379" s="3" t="s">
        <v>23251</v>
      </c>
      <c r="BA2379" s="3" t="s">
        <v>23251</v>
      </c>
      <c r="BB2379" s="3" t="s">
        <v>23258</v>
      </c>
      <c r="BC2379" s="3" t="s">
        <v>142</v>
      </c>
      <c r="BD2379" s="3" t="s">
        <v>308</v>
      </c>
      <c r="BE2379" s="3" t="s">
        <v>23253</v>
      </c>
      <c r="BF2379" s="3" t="s">
        <v>23258</v>
      </c>
      <c r="BG2379" s="3" t="s">
        <v>23259</v>
      </c>
    </row>
    <row r="2380" spans="1:59" ht="57" x14ac:dyDescent="0.45">
      <c r="A2380" s="2" t="s">
        <v>59</v>
      </c>
      <c r="B2380" s="2" t="s">
        <v>60</v>
      </c>
      <c r="C2380" s="2" t="s">
        <v>23260</v>
      </c>
      <c r="D2380" s="2" t="s">
        <v>23261</v>
      </c>
      <c r="E2380" s="2" t="s">
        <v>23262</v>
      </c>
      <c r="G2380" s="3" t="s">
        <v>62</v>
      </c>
      <c r="I2380" s="3" t="s">
        <v>62</v>
      </c>
      <c r="J2380" s="3" t="s">
        <v>62</v>
      </c>
      <c r="K2380" s="3" t="s">
        <v>63</v>
      </c>
      <c r="L2380" s="2" t="s">
        <v>23263</v>
      </c>
      <c r="M2380" s="2" t="s">
        <v>23264</v>
      </c>
      <c r="N2380" s="3" t="s">
        <v>1478</v>
      </c>
      <c r="O2380" s="2" t="s">
        <v>168</v>
      </c>
      <c r="P2380" s="3" t="s">
        <v>65</v>
      </c>
      <c r="R2380" s="3" t="s">
        <v>66</v>
      </c>
      <c r="S2380" s="4">
        <v>18</v>
      </c>
      <c r="T2380" s="4">
        <v>18</v>
      </c>
      <c r="U2380" s="5" t="s">
        <v>5925</v>
      </c>
      <c r="V2380" s="5" t="s">
        <v>5925</v>
      </c>
      <c r="W2380" s="5" t="s">
        <v>67</v>
      </c>
      <c r="X2380" s="5" t="s">
        <v>67</v>
      </c>
      <c r="Y2380" s="4">
        <v>162</v>
      </c>
      <c r="Z2380" s="4">
        <v>3</v>
      </c>
      <c r="AA2380" s="4">
        <v>3</v>
      </c>
      <c r="AB2380" s="4">
        <v>2</v>
      </c>
      <c r="AC2380" s="4">
        <v>2</v>
      </c>
      <c r="AD2380" s="4">
        <v>30</v>
      </c>
      <c r="AE2380" s="4">
        <v>30</v>
      </c>
      <c r="AF2380" s="4">
        <v>1</v>
      </c>
      <c r="AG2380" s="4">
        <v>1</v>
      </c>
      <c r="AH2380" s="4">
        <v>28</v>
      </c>
      <c r="AI2380" s="4">
        <v>28</v>
      </c>
      <c r="AJ2380" s="4">
        <v>2</v>
      </c>
      <c r="AK2380" s="4">
        <v>2</v>
      </c>
      <c r="AL2380" s="4">
        <v>21</v>
      </c>
      <c r="AM2380" s="4">
        <v>21</v>
      </c>
      <c r="AN2380" s="4">
        <v>0</v>
      </c>
      <c r="AO2380" s="4">
        <v>0</v>
      </c>
      <c r="AP2380" s="4">
        <v>2</v>
      </c>
      <c r="AQ2380" s="4">
        <v>2</v>
      </c>
      <c r="AR2380" s="3" t="s">
        <v>62</v>
      </c>
      <c r="AS2380" s="3" t="s">
        <v>62</v>
      </c>
      <c r="AT2380" s="3" t="s">
        <v>61</v>
      </c>
      <c r="AU2380" s="6" t="str">
        <f>HYPERLINK("http://catalog.hathitrust.org/Record/006000790","HathiTrust Record")</f>
        <v>HathiTrust Record</v>
      </c>
      <c r="AV2380" s="6" t="str">
        <f>HYPERLINK("http://mcgill.on.worldcat.org/oclc/34975110","Catalog Record")</f>
        <v>Catalog Record</v>
      </c>
      <c r="AW2380" s="6" t="str">
        <f>HYPERLINK("http://www.worldcat.org/oclc/34975110","WorldCat Record")</f>
        <v>WorldCat Record</v>
      </c>
      <c r="AX2380" s="3" t="s">
        <v>23265</v>
      </c>
      <c r="AY2380" s="3" t="s">
        <v>23266</v>
      </c>
      <c r="AZ2380" s="3" t="s">
        <v>23267</v>
      </c>
      <c r="BA2380" s="3" t="s">
        <v>23267</v>
      </c>
      <c r="BB2380" s="3" t="s">
        <v>23268</v>
      </c>
      <c r="BC2380" s="3" t="s">
        <v>142</v>
      </c>
      <c r="BD2380" s="3" t="s">
        <v>68</v>
      </c>
      <c r="BE2380" s="3" t="s">
        <v>23269</v>
      </c>
      <c r="BF2380" s="3" t="s">
        <v>23268</v>
      </c>
      <c r="BG2380" s="3" t="s">
        <v>23270</v>
      </c>
    </row>
    <row r="2381" spans="1:59" ht="57" x14ac:dyDescent="0.45">
      <c r="A2381" s="2" t="s">
        <v>59</v>
      </c>
      <c r="B2381" s="2" t="s">
        <v>60</v>
      </c>
      <c r="C2381" s="2" t="s">
        <v>23271</v>
      </c>
      <c r="D2381" s="2" t="s">
        <v>23272</v>
      </c>
      <c r="E2381" s="2" t="s">
        <v>23273</v>
      </c>
      <c r="G2381" s="3" t="s">
        <v>62</v>
      </c>
      <c r="I2381" s="3" t="s">
        <v>62</v>
      </c>
      <c r="J2381" s="3" t="s">
        <v>62</v>
      </c>
      <c r="K2381" s="3" t="s">
        <v>63</v>
      </c>
      <c r="L2381" s="2" t="s">
        <v>23274</v>
      </c>
      <c r="M2381" s="2" t="s">
        <v>23275</v>
      </c>
      <c r="N2381" s="3" t="s">
        <v>820</v>
      </c>
      <c r="P2381" s="3" t="s">
        <v>65</v>
      </c>
      <c r="R2381" s="3" t="s">
        <v>66</v>
      </c>
      <c r="S2381" s="4">
        <v>12</v>
      </c>
      <c r="T2381" s="4">
        <v>12</v>
      </c>
      <c r="U2381" s="5" t="s">
        <v>5925</v>
      </c>
      <c r="V2381" s="5" t="s">
        <v>5925</v>
      </c>
      <c r="W2381" s="5" t="s">
        <v>67</v>
      </c>
      <c r="X2381" s="5" t="s">
        <v>67</v>
      </c>
      <c r="Y2381" s="4">
        <v>543</v>
      </c>
      <c r="Z2381" s="4">
        <v>33</v>
      </c>
      <c r="AA2381" s="4">
        <v>35</v>
      </c>
      <c r="AB2381" s="4">
        <v>2</v>
      </c>
      <c r="AC2381" s="4">
        <v>4</v>
      </c>
      <c r="AD2381" s="4">
        <v>97</v>
      </c>
      <c r="AE2381" s="4">
        <v>97</v>
      </c>
      <c r="AF2381" s="4">
        <v>1</v>
      </c>
      <c r="AG2381" s="4">
        <v>1</v>
      </c>
      <c r="AH2381" s="4">
        <v>85</v>
      </c>
      <c r="AI2381" s="4">
        <v>85</v>
      </c>
      <c r="AJ2381" s="4">
        <v>16</v>
      </c>
      <c r="AK2381" s="4">
        <v>16</v>
      </c>
      <c r="AL2381" s="4">
        <v>44</v>
      </c>
      <c r="AM2381" s="4">
        <v>44</v>
      </c>
      <c r="AN2381" s="4">
        <v>0</v>
      </c>
      <c r="AO2381" s="4">
        <v>0</v>
      </c>
      <c r="AP2381" s="4">
        <v>20</v>
      </c>
      <c r="AQ2381" s="4">
        <v>20</v>
      </c>
      <c r="AR2381" s="3" t="s">
        <v>62</v>
      </c>
      <c r="AS2381" s="3" t="s">
        <v>62</v>
      </c>
      <c r="AT2381" s="3" t="s">
        <v>62</v>
      </c>
      <c r="AV2381" s="6" t="str">
        <f>HYPERLINK("http://mcgill.on.worldcat.org/oclc/175289879","Catalog Record")</f>
        <v>Catalog Record</v>
      </c>
      <c r="AW2381" s="6" t="str">
        <f>HYPERLINK("http://www.worldcat.org/oclc/175289879","WorldCat Record")</f>
        <v>WorldCat Record</v>
      </c>
      <c r="AX2381" s="3" t="s">
        <v>23276</v>
      </c>
      <c r="AY2381" s="3" t="s">
        <v>23277</v>
      </c>
      <c r="AZ2381" s="3" t="s">
        <v>23278</v>
      </c>
      <c r="BA2381" s="3" t="s">
        <v>23278</v>
      </c>
      <c r="BB2381" s="3" t="s">
        <v>23279</v>
      </c>
      <c r="BC2381" s="3" t="s">
        <v>142</v>
      </c>
      <c r="BD2381" s="3" t="s">
        <v>68</v>
      </c>
      <c r="BE2381" s="3" t="s">
        <v>23280</v>
      </c>
      <c r="BF2381" s="3" t="s">
        <v>23279</v>
      </c>
      <c r="BG2381" s="3" t="s">
        <v>23281</v>
      </c>
    </row>
    <row r="2382" spans="1:59" ht="57" x14ac:dyDescent="0.45">
      <c r="A2382" s="2" t="s">
        <v>59</v>
      </c>
      <c r="B2382" s="2" t="s">
        <v>60</v>
      </c>
      <c r="C2382" s="2" t="s">
        <v>23282</v>
      </c>
      <c r="D2382" s="2" t="s">
        <v>23283</v>
      </c>
      <c r="E2382" s="2" t="s">
        <v>23284</v>
      </c>
      <c r="G2382" s="3" t="s">
        <v>62</v>
      </c>
      <c r="I2382" s="3" t="s">
        <v>62</v>
      </c>
      <c r="J2382" s="3" t="s">
        <v>61</v>
      </c>
      <c r="K2382" s="3" t="s">
        <v>63</v>
      </c>
      <c r="L2382" s="2" t="s">
        <v>13068</v>
      </c>
      <c r="M2382" s="2" t="s">
        <v>23285</v>
      </c>
      <c r="N2382" s="3" t="s">
        <v>1097</v>
      </c>
      <c r="P2382" s="3" t="s">
        <v>65</v>
      </c>
      <c r="Q2382" s="2" t="s">
        <v>13123</v>
      </c>
      <c r="R2382" s="3" t="s">
        <v>66</v>
      </c>
      <c r="S2382" s="4">
        <v>11</v>
      </c>
      <c r="T2382" s="4">
        <v>11</v>
      </c>
      <c r="U2382" s="5" t="s">
        <v>23286</v>
      </c>
      <c r="V2382" s="5" t="s">
        <v>23286</v>
      </c>
      <c r="W2382" s="5" t="s">
        <v>67</v>
      </c>
      <c r="X2382" s="5" t="s">
        <v>67</v>
      </c>
      <c r="Y2382" s="4">
        <v>157</v>
      </c>
      <c r="Z2382" s="4">
        <v>20</v>
      </c>
      <c r="AA2382" s="4">
        <v>101</v>
      </c>
      <c r="AB2382" s="4">
        <v>2</v>
      </c>
      <c r="AC2382" s="4">
        <v>14</v>
      </c>
      <c r="AD2382" s="4">
        <v>42</v>
      </c>
      <c r="AE2382" s="4">
        <v>129</v>
      </c>
      <c r="AF2382" s="4">
        <v>1</v>
      </c>
      <c r="AG2382" s="4">
        <v>8</v>
      </c>
      <c r="AH2382" s="4">
        <v>35</v>
      </c>
      <c r="AI2382" s="4">
        <v>89</v>
      </c>
      <c r="AJ2382" s="4">
        <v>9</v>
      </c>
      <c r="AK2382" s="4">
        <v>28</v>
      </c>
      <c r="AL2382" s="4">
        <v>13</v>
      </c>
      <c r="AM2382" s="4">
        <v>45</v>
      </c>
      <c r="AN2382" s="4">
        <v>0</v>
      </c>
      <c r="AO2382" s="4">
        <v>0</v>
      </c>
      <c r="AP2382" s="4">
        <v>11</v>
      </c>
      <c r="AQ2382" s="4">
        <v>48</v>
      </c>
      <c r="AR2382" s="3" t="s">
        <v>62</v>
      </c>
      <c r="AS2382" s="3" t="s">
        <v>62</v>
      </c>
      <c r="AT2382" s="3" t="s">
        <v>61</v>
      </c>
      <c r="AU2382" s="6" t="str">
        <f>HYPERLINK("http://catalog.hathitrust.org/Record/004976991","HathiTrust Record")</f>
        <v>HathiTrust Record</v>
      </c>
      <c r="AV2382" s="6" t="str">
        <f>HYPERLINK("http://mcgill.on.worldcat.org/oclc/53356017","Catalog Record")</f>
        <v>Catalog Record</v>
      </c>
      <c r="AW2382" s="6" t="str">
        <f>HYPERLINK("http://www.worldcat.org/oclc/53356017","WorldCat Record")</f>
        <v>WorldCat Record</v>
      </c>
      <c r="AX2382" s="3" t="s">
        <v>23287</v>
      </c>
      <c r="AY2382" s="3" t="s">
        <v>23288</v>
      </c>
      <c r="AZ2382" s="3" t="s">
        <v>23289</v>
      </c>
      <c r="BA2382" s="3" t="s">
        <v>23289</v>
      </c>
      <c r="BB2382" s="3" t="s">
        <v>23290</v>
      </c>
      <c r="BC2382" s="3" t="s">
        <v>142</v>
      </c>
      <c r="BD2382" s="3" t="s">
        <v>68</v>
      </c>
      <c r="BE2382" s="3" t="s">
        <v>23291</v>
      </c>
      <c r="BF2382" s="3" t="s">
        <v>23290</v>
      </c>
      <c r="BG2382" s="3" t="s">
        <v>23292</v>
      </c>
    </row>
    <row r="2383" spans="1:59" ht="57" x14ac:dyDescent="0.45">
      <c r="A2383" s="2" t="s">
        <v>59</v>
      </c>
      <c r="B2383" s="2" t="s">
        <v>60</v>
      </c>
      <c r="C2383" s="2" t="s">
        <v>23293</v>
      </c>
      <c r="D2383" s="2" t="s">
        <v>23294</v>
      </c>
      <c r="E2383" s="2" t="s">
        <v>23295</v>
      </c>
      <c r="G2383" s="3" t="s">
        <v>62</v>
      </c>
      <c r="I2383" s="3" t="s">
        <v>62</v>
      </c>
      <c r="J2383" s="3" t="s">
        <v>62</v>
      </c>
      <c r="K2383" s="3" t="s">
        <v>63</v>
      </c>
      <c r="L2383" s="2" t="s">
        <v>22212</v>
      </c>
      <c r="M2383" s="2" t="s">
        <v>23296</v>
      </c>
      <c r="N2383" s="3" t="s">
        <v>1855</v>
      </c>
      <c r="P2383" s="3" t="s">
        <v>65</v>
      </c>
      <c r="R2383" s="3" t="s">
        <v>66</v>
      </c>
      <c r="S2383" s="4">
        <v>14</v>
      </c>
      <c r="T2383" s="4">
        <v>14</v>
      </c>
      <c r="U2383" s="5" t="s">
        <v>5925</v>
      </c>
      <c r="V2383" s="5" t="s">
        <v>5925</v>
      </c>
      <c r="W2383" s="5" t="s">
        <v>67</v>
      </c>
      <c r="X2383" s="5" t="s">
        <v>67</v>
      </c>
      <c r="Y2383" s="4">
        <v>416</v>
      </c>
      <c r="Z2383" s="4">
        <v>34</v>
      </c>
      <c r="AA2383" s="4">
        <v>88</v>
      </c>
      <c r="AB2383" s="4">
        <v>2</v>
      </c>
      <c r="AC2383" s="4">
        <v>15</v>
      </c>
      <c r="AD2383" s="4">
        <v>103</v>
      </c>
      <c r="AE2383" s="4">
        <v>142</v>
      </c>
      <c r="AF2383" s="4">
        <v>1</v>
      </c>
      <c r="AG2383" s="4">
        <v>8</v>
      </c>
      <c r="AH2383" s="4">
        <v>88</v>
      </c>
      <c r="AI2383" s="4">
        <v>104</v>
      </c>
      <c r="AJ2383" s="4">
        <v>19</v>
      </c>
      <c r="AK2383" s="4">
        <v>27</v>
      </c>
      <c r="AL2383" s="4">
        <v>44</v>
      </c>
      <c r="AM2383" s="4">
        <v>51</v>
      </c>
      <c r="AN2383" s="4">
        <v>0</v>
      </c>
      <c r="AO2383" s="4">
        <v>0</v>
      </c>
      <c r="AP2383" s="4">
        <v>26</v>
      </c>
      <c r="AQ2383" s="4">
        <v>49</v>
      </c>
      <c r="AR2383" s="3" t="s">
        <v>62</v>
      </c>
      <c r="AS2383" s="3" t="s">
        <v>62</v>
      </c>
      <c r="AT2383" s="3" t="s">
        <v>61</v>
      </c>
      <c r="AU2383" s="6" t="str">
        <f>HYPERLINK("http://catalog.hathitrust.org/Record/004983045","HathiTrust Record")</f>
        <v>HathiTrust Record</v>
      </c>
      <c r="AV2383" s="6" t="str">
        <f>HYPERLINK("http://mcgill.on.worldcat.org/oclc/57750095","Catalog Record")</f>
        <v>Catalog Record</v>
      </c>
      <c r="AW2383" s="6" t="str">
        <f>HYPERLINK("http://www.worldcat.org/oclc/57750095","WorldCat Record")</f>
        <v>WorldCat Record</v>
      </c>
      <c r="AX2383" s="3" t="s">
        <v>23297</v>
      </c>
      <c r="AY2383" s="3" t="s">
        <v>23298</v>
      </c>
      <c r="AZ2383" s="3" t="s">
        <v>23299</v>
      </c>
      <c r="BA2383" s="3" t="s">
        <v>23299</v>
      </c>
      <c r="BB2383" s="3" t="s">
        <v>23300</v>
      </c>
      <c r="BC2383" s="3" t="s">
        <v>142</v>
      </c>
      <c r="BD2383" s="3" t="s">
        <v>68</v>
      </c>
      <c r="BE2383" s="3" t="s">
        <v>23301</v>
      </c>
      <c r="BF2383" s="3" t="s">
        <v>23300</v>
      </c>
      <c r="BG2383" s="3" t="s">
        <v>23302</v>
      </c>
    </row>
    <row r="2384" spans="1:59" ht="57" x14ac:dyDescent="0.45">
      <c r="A2384" s="2" t="s">
        <v>59</v>
      </c>
      <c r="B2384" s="2" t="s">
        <v>60</v>
      </c>
      <c r="C2384" s="2" t="s">
        <v>23303</v>
      </c>
      <c r="D2384" s="2" t="s">
        <v>23304</v>
      </c>
      <c r="E2384" s="2" t="s">
        <v>23305</v>
      </c>
      <c r="G2384" s="3" t="s">
        <v>62</v>
      </c>
      <c r="I2384" s="3" t="s">
        <v>62</v>
      </c>
      <c r="J2384" s="3" t="s">
        <v>61</v>
      </c>
      <c r="K2384" s="3" t="s">
        <v>63</v>
      </c>
      <c r="L2384" s="2" t="s">
        <v>23306</v>
      </c>
      <c r="M2384" s="2" t="s">
        <v>23307</v>
      </c>
      <c r="N2384" s="3" t="s">
        <v>167</v>
      </c>
      <c r="O2384" s="2" t="s">
        <v>3280</v>
      </c>
      <c r="P2384" s="3" t="s">
        <v>65</v>
      </c>
      <c r="Q2384" s="2" t="s">
        <v>23308</v>
      </c>
      <c r="R2384" s="3" t="s">
        <v>66</v>
      </c>
      <c r="S2384" s="4">
        <v>18</v>
      </c>
      <c r="T2384" s="4">
        <v>18</v>
      </c>
      <c r="U2384" s="5" t="s">
        <v>5925</v>
      </c>
      <c r="V2384" s="5" t="s">
        <v>5925</v>
      </c>
      <c r="W2384" s="5" t="s">
        <v>67</v>
      </c>
      <c r="X2384" s="5" t="s">
        <v>67</v>
      </c>
      <c r="Y2384" s="4">
        <v>267</v>
      </c>
      <c r="Z2384" s="4">
        <v>17</v>
      </c>
      <c r="AA2384" s="4">
        <v>39</v>
      </c>
      <c r="AB2384" s="4">
        <v>2</v>
      </c>
      <c r="AC2384" s="4">
        <v>8</v>
      </c>
      <c r="AD2384" s="4">
        <v>83</v>
      </c>
      <c r="AE2384" s="4">
        <v>129</v>
      </c>
      <c r="AF2384" s="4">
        <v>1</v>
      </c>
      <c r="AG2384" s="4">
        <v>5</v>
      </c>
      <c r="AH2384" s="4">
        <v>74</v>
      </c>
      <c r="AI2384" s="4">
        <v>108</v>
      </c>
      <c r="AJ2384" s="4">
        <v>11</v>
      </c>
      <c r="AK2384" s="4">
        <v>19</v>
      </c>
      <c r="AL2384" s="4">
        <v>38</v>
      </c>
      <c r="AM2384" s="4">
        <v>57</v>
      </c>
      <c r="AN2384" s="4">
        <v>0</v>
      </c>
      <c r="AO2384" s="4">
        <v>0</v>
      </c>
      <c r="AP2384" s="4">
        <v>14</v>
      </c>
      <c r="AQ2384" s="4">
        <v>28</v>
      </c>
      <c r="AR2384" s="3" t="s">
        <v>62</v>
      </c>
      <c r="AS2384" s="3" t="s">
        <v>62</v>
      </c>
      <c r="AT2384" s="3" t="s">
        <v>61</v>
      </c>
      <c r="AU2384" s="6" t="str">
        <f>HYPERLINK("http://catalog.hathitrust.org/Record/004041117","HathiTrust Record")</f>
        <v>HathiTrust Record</v>
      </c>
      <c r="AV2384" s="6" t="str">
        <f>HYPERLINK("http://mcgill.on.worldcat.org/oclc/39539202","Catalog Record")</f>
        <v>Catalog Record</v>
      </c>
      <c r="AW2384" s="6" t="str">
        <f>HYPERLINK("http://www.worldcat.org/oclc/39539202","WorldCat Record")</f>
        <v>WorldCat Record</v>
      </c>
      <c r="AX2384" s="3" t="s">
        <v>23309</v>
      </c>
      <c r="AY2384" s="3" t="s">
        <v>23310</v>
      </c>
      <c r="AZ2384" s="3" t="s">
        <v>23311</v>
      </c>
      <c r="BA2384" s="3" t="s">
        <v>23311</v>
      </c>
      <c r="BB2384" s="3" t="s">
        <v>23312</v>
      </c>
      <c r="BC2384" s="3" t="s">
        <v>142</v>
      </c>
      <c r="BD2384" s="3" t="s">
        <v>68</v>
      </c>
      <c r="BE2384" s="3" t="s">
        <v>23313</v>
      </c>
      <c r="BF2384" s="3" t="s">
        <v>23312</v>
      </c>
      <c r="BG2384" s="3" t="s">
        <v>23314</v>
      </c>
    </row>
    <row r="2385" spans="1:59" ht="57" x14ac:dyDescent="0.45">
      <c r="A2385" s="2" t="s">
        <v>59</v>
      </c>
      <c r="B2385" s="2" t="s">
        <v>60</v>
      </c>
      <c r="C2385" s="2" t="s">
        <v>23315</v>
      </c>
      <c r="D2385" s="2" t="s">
        <v>23316</v>
      </c>
      <c r="E2385" s="2" t="s">
        <v>23317</v>
      </c>
      <c r="G2385" s="3" t="s">
        <v>62</v>
      </c>
      <c r="I2385" s="3" t="s">
        <v>62</v>
      </c>
      <c r="J2385" s="3" t="s">
        <v>62</v>
      </c>
      <c r="K2385" s="3" t="s">
        <v>63</v>
      </c>
      <c r="L2385" s="2" t="s">
        <v>23318</v>
      </c>
      <c r="M2385" s="2" t="s">
        <v>23319</v>
      </c>
      <c r="N2385" s="3" t="s">
        <v>1155</v>
      </c>
      <c r="P2385" s="3" t="s">
        <v>65</v>
      </c>
      <c r="R2385" s="3" t="s">
        <v>66</v>
      </c>
      <c r="S2385" s="4">
        <v>2</v>
      </c>
      <c r="T2385" s="4">
        <v>2</v>
      </c>
      <c r="U2385" s="5" t="s">
        <v>12812</v>
      </c>
      <c r="V2385" s="5" t="s">
        <v>12812</v>
      </c>
      <c r="W2385" s="5" t="s">
        <v>67</v>
      </c>
      <c r="X2385" s="5" t="s">
        <v>67</v>
      </c>
      <c r="Y2385" s="4">
        <v>423</v>
      </c>
      <c r="Z2385" s="4">
        <v>26</v>
      </c>
      <c r="AA2385" s="4">
        <v>37</v>
      </c>
      <c r="AB2385" s="4">
        <v>2</v>
      </c>
      <c r="AC2385" s="4">
        <v>8</v>
      </c>
      <c r="AD2385" s="4">
        <v>91</v>
      </c>
      <c r="AE2385" s="4">
        <v>113</v>
      </c>
      <c r="AF2385" s="4">
        <v>1</v>
      </c>
      <c r="AG2385" s="4">
        <v>4</v>
      </c>
      <c r="AH2385" s="4">
        <v>81</v>
      </c>
      <c r="AI2385" s="4">
        <v>98</v>
      </c>
      <c r="AJ2385" s="4">
        <v>16</v>
      </c>
      <c r="AK2385" s="4">
        <v>21</v>
      </c>
      <c r="AL2385" s="4">
        <v>43</v>
      </c>
      <c r="AM2385" s="4">
        <v>52</v>
      </c>
      <c r="AN2385" s="4">
        <v>0</v>
      </c>
      <c r="AO2385" s="4">
        <v>0</v>
      </c>
      <c r="AP2385" s="4">
        <v>18</v>
      </c>
      <c r="AQ2385" s="4">
        <v>24</v>
      </c>
      <c r="AR2385" s="3" t="s">
        <v>62</v>
      </c>
      <c r="AS2385" s="3" t="s">
        <v>62</v>
      </c>
      <c r="AT2385" s="3" t="s">
        <v>62</v>
      </c>
      <c r="AV2385" s="6" t="str">
        <f>HYPERLINK("http://mcgill.on.worldcat.org/oclc/756280565","Catalog Record")</f>
        <v>Catalog Record</v>
      </c>
      <c r="AW2385" s="6" t="str">
        <f>HYPERLINK("http://www.worldcat.org/oclc/756280565","WorldCat Record")</f>
        <v>WorldCat Record</v>
      </c>
      <c r="AX2385" s="3" t="s">
        <v>23320</v>
      </c>
      <c r="AY2385" s="3" t="s">
        <v>23321</v>
      </c>
      <c r="AZ2385" s="3" t="s">
        <v>23322</v>
      </c>
      <c r="BA2385" s="3" t="s">
        <v>23322</v>
      </c>
      <c r="BB2385" s="3" t="s">
        <v>23323</v>
      </c>
      <c r="BC2385" s="3" t="s">
        <v>142</v>
      </c>
      <c r="BD2385" s="3" t="s">
        <v>68</v>
      </c>
      <c r="BE2385" s="3" t="s">
        <v>23324</v>
      </c>
      <c r="BF2385" s="3" t="s">
        <v>23323</v>
      </c>
      <c r="BG2385" s="3" t="s">
        <v>23325</v>
      </c>
    </row>
    <row r="2386" spans="1:59" ht="57" x14ac:dyDescent="0.45">
      <c r="A2386" s="2" t="s">
        <v>59</v>
      </c>
      <c r="B2386" s="2" t="s">
        <v>60</v>
      </c>
      <c r="C2386" s="2" t="s">
        <v>23326</v>
      </c>
      <c r="D2386" s="2" t="s">
        <v>23327</v>
      </c>
      <c r="E2386" s="2" t="s">
        <v>23328</v>
      </c>
      <c r="G2386" s="3" t="s">
        <v>62</v>
      </c>
      <c r="I2386" s="3" t="s">
        <v>62</v>
      </c>
      <c r="J2386" s="3" t="s">
        <v>62</v>
      </c>
      <c r="K2386" s="3" t="s">
        <v>63</v>
      </c>
      <c r="L2386" s="2" t="s">
        <v>23329</v>
      </c>
      <c r="M2386" s="2" t="s">
        <v>23330</v>
      </c>
      <c r="N2386" s="3" t="s">
        <v>116</v>
      </c>
      <c r="P2386" s="3" t="s">
        <v>65</v>
      </c>
      <c r="Q2386" s="2" t="s">
        <v>23331</v>
      </c>
      <c r="R2386" s="3" t="s">
        <v>66</v>
      </c>
      <c r="S2386" s="4">
        <v>5</v>
      </c>
      <c r="T2386" s="4">
        <v>5</v>
      </c>
      <c r="U2386" s="5" t="s">
        <v>23332</v>
      </c>
      <c r="V2386" s="5" t="s">
        <v>23332</v>
      </c>
      <c r="W2386" s="5" t="s">
        <v>67</v>
      </c>
      <c r="X2386" s="5" t="s">
        <v>67</v>
      </c>
      <c r="Y2386" s="4">
        <v>593</v>
      </c>
      <c r="Z2386" s="4">
        <v>28</v>
      </c>
      <c r="AA2386" s="4">
        <v>32</v>
      </c>
      <c r="AB2386" s="4">
        <v>2</v>
      </c>
      <c r="AC2386" s="4">
        <v>6</v>
      </c>
      <c r="AD2386" s="4">
        <v>101</v>
      </c>
      <c r="AE2386" s="4">
        <v>104</v>
      </c>
      <c r="AF2386" s="4">
        <v>1</v>
      </c>
      <c r="AG2386" s="4">
        <v>4</v>
      </c>
      <c r="AH2386" s="4">
        <v>90</v>
      </c>
      <c r="AI2386" s="4">
        <v>91</v>
      </c>
      <c r="AJ2386" s="4">
        <v>15</v>
      </c>
      <c r="AK2386" s="4">
        <v>18</v>
      </c>
      <c r="AL2386" s="4">
        <v>51</v>
      </c>
      <c r="AM2386" s="4">
        <v>51</v>
      </c>
      <c r="AN2386" s="4">
        <v>0</v>
      </c>
      <c r="AO2386" s="4">
        <v>0</v>
      </c>
      <c r="AP2386" s="4">
        <v>20</v>
      </c>
      <c r="AQ2386" s="4">
        <v>22</v>
      </c>
      <c r="AR2386" s="3" t="s">
        <v>62</v>
      </c>
      <c r="AS2386" s="3" t="s">
        <v>62</v>
      </c>
      <c r="AT2386" s="3" t="s">
        <v>62</v>
      </c>
      <c r="AV2386" s="6" t="str">
        <f>HYPERLINK("http://mcgill.on.worldcat.org/oclc/827528895","Catalog Record")</f>
        <v>Catalog Record</v>
      </c>
      <c r="AW2386" s="6" t="str">
        <f>HYPERLINK("http://www.worldcat.org/oclc/827528895","WorldCat Record")</f>
        <v>WorldCat Record</v>
      </c>
      <c r="AX2386" s="3" t="s">
        <v>23333</v>
      </c>
      <c r="AY2386" s="3" t="s">
        <v>23334</v>
      </c>
      <c r="AZ2386" s="3" t="s">
        <v>23335</v>
      </c>
      <c r="BA2386" s="3" t="s">
        <v>23335</v>
      </c>
      <c r="BB2386" s="3" t="s">
        <v>23336</v>
      </c>
      <c r="BC2386" s="3" t="s">
        <v>142</v>
      </c>
      <c r="BD2386" s="3" t="s">
        <v>68</v>
      </c>
      <c r="BE2386" s="3" t="s">
        <v>23337</v>
      </c>
      <c r="BF2386" s="3" t="s">
        <v>23336</v>
      </c>
      <c r="BG2386" s="3" t="s">
        <v>23338</v>
      </c>
    </row>
    <row r="2387" spans="1:59" ht="57" x14ac:dyDescent="0.45">
      <c r="A2387" s="2" t="s">
        <v>59</v>
      </c>
      <c r="B2387" s="2" t="s">
        <v>60</v>
      </c>
      <c r="C2387" s="2" t="s">
        <v>23339</v>
      </c>
      <c r="D2387" s="2" t="s">
        <v>23340</v>
      </c>
      <c r="E2387" s="2" t="s">
        <v>23341</v>
      </c>
      <c r="G2387" s="3" t="s">
        <v>62</v>
      </c>
      <c r="I2387" s="3" t="s">
        <v>62</v>
      </c>
      <c r="J2387" s="3" t="s">
        <v>62</v>
      </c>
      <c r="K2387" s="3" t="s">
        <v>63</v>
      </c>
      <c r="L2387" s="2" t="s">
        <v>23342</v>
      </c>
      <c r="M2387" s="2" t="s">
        <v>23343</v>
      </c>
      <c r="N2387" s="3" t="s">
        <v>1059</v>
      </c>
      <c r="P2387" s="3" t="s">
        <v>65</v>
      </c>
      <c r="Q2387" s="2" t="s">
        <v>13961</v>
      </c>
      <c r="R2387" s="3" t="s">
        <v>66</v>
      </c>
      <c r="S2387" s="4">
        <v>10</v>
      </c>
      <c r="T2387" s="4">
        <v>10</v>
      </c>
      <c r="U2387" s="5" t="s">
        <v>3862</v>
      </c>
      <c r="V2387" s="5" t="s">
        <v>3862</v>
      </c>
      <c r="W2387" s="5" t="s">
        <v>67</v>
      </c>
      <c r="X2387" s="5" t="s">
        <v>67</v>
      </c>
      <c r="Y2387" s="4">
        <v>426</v>
      </c>
      <c r="Z2387" s="4">
        <v>21</v>
      </c>
      <c r="AA2387" s="4">
        <v>96</v>
      </c>
      <c r="AB2387" s="4">
        <v>2</v>
      </c>
      <c r="AC2387" s="4">
        <v>17</v>
      </c>
      <c r="AD2387" s="4">
        <v>102</v>
      </c>
      <c r="AE2387" s="4">
        <v>147</v>
      </c>
      <c r="AF2387" s="4">
        <v>1</v>
      </c>
      <c r="AG2387" s="4">
        <v>8</v>
      </c>
      <c r="AH2387" s="4">
        <v>94</v>
      </c>
      <c r="AI2387" s="4">
        <v>110</v>
      </c>
      <c r="AJ2387" s="4">
        <v>13</v>
      </c>
      <c r="AK2387" s="4">
        <v>25</v>
      </c>
      <c r="AL2387" s="4">
        <v>50</v>
      </c>
      <c r="AM2387" s="4">
        <v>57</v>
      </c>
      <c r="AN2387" s="4">
        <v>0</v>
      </c>
      <c r="AO2387" s="4">
        <v>0</v>
      </c>
      <c r="AP2387" s="4">
        <v>14</v>
      </c>
      <c r="AQ2387" s="4">
        <v>46</v>
      </c>
      <c r="AR2387" s="3" t="s">
        <v>62</v>
      </c>
      <c r="AS2387" s="3" t="s">
        <v>62</v>
      </c>
      <c r="AT2387" s="3" t="s">
        <v>61</v>
      </c>
      <c r="AU2387" s="6" t="str">
        <f>HYPERLINK("http://catalog.hathitrust.org/Record/005422247","HathiTrust Record")</f>
        <v>HathiTrust Record</v>
      </c>
      <c r="AV2387" s="6" t="str">
        <f>HYPERLINK("http://mcgill.on.worldcat.org/oclc/70199881","Catalog Record")</f>
        <v>Catalog Record</v>
      </c>
      <c r="AW2387" s="6" t="str">
        <f>HYPERLINK("http://www.worldcat.org/oclc/70199881","WorldCat Record")</f>
        <v>WorldCat Record</v>
      </c>
      <c r="AX2387" s="3" t="s">
        <v>23344</v>
      </c>
      <c r="AY2387" s="3" t="s">
        <v>23345</v>
      </c>
      <c r="AZ2387" s="3" t="s">
        <v>23346</v>
      </c>
      <c r="BA2387" s="3" t="s">
        <v>23346</v>
      </c>
      <c r="BB2387" s="3" t="s">
        <v>23347</v>
      </c>
      <c r="BC2387" s="3" t="s">
        <v>142</v>
      </c>
      <c r="BD2387" s="3" t="s">
        <v>68</v>
      </c>
      <c r="BE2387" s="3" t="s">
        <v>23348</v>
      </c>
      <c r="BF2387" s="3" t="s">
        <v>23347</v>
      </c>
      <c r="BG2387" s="3" t="s">
        <v>23349</v>
      </c>
    </row>
    <row r="2388" spans="1:59" ht="57" x14ac:dyDescent="0.45">
      <c r="A2388" s="2" t="s">
        <v>59</v>
      </c>
      <c r="B2388" s="2" t="s">
        <v>60</v>
      </c>
      <c r="C2388" s="2" t="s">
        <v>23350</v>
      </c>
      <c r="D2388" s="2" t="s">
        <v>23351</v>
      </c>
      <c r="E2388" s="2" t="s">
        <v>23352</v>
      </c>
      <c r="G2388" s="3" t="s">
        <v>62</v>
      </c>
      <c r="I2388" s="3" t="s">
        <v>62</v>
      </c>
      <c r="J2388" s="3" t="s">
        <v>62</v>
      </c>
      <c r="K2388" s="3" t="s">
        <v>63</v>
      </c>
      <c r="L2388" s="2" t="s">
        <v>23353</v>
      </c>
      <c r="M2388" s="2" t="s">
        <v>23354</v>
      </c>
      <c r="N2388" s="3" t="s">
        <v>181</v>
      </c>
      <c r="P2388" s="3" t="s">
        <v>65</v>
      </c>
      <c r="R2388" s="3" t="s">
        <v>66</v>
      </c>
      <c r="S2388" s="4">
        <v>11</v>
      </c>
      <c r="T2388" s="4">
        <v>11</v>
      </c>
      <c r="U2388" s="5" t="s">
        <v>23355</v>
      </c>
      <c r="V2388" s="5" t="s">
        <v>23355</v>
      </c>
      <c r="W2388" s="5" t="s">
        <v>67</v>
      </c>
      <c r="X2388" s="5" t="s">
        <v>67</v>
      </c>
      <c r="Y2388" s="4">
        <v>270</v>
      </c>
      <c r="Z2388" s="4">
        <v>18</v>
      </c>
      <c r="AA2388" s="4">
        <v>36</v>
      </c>
      <c r="AB2388" s="4">
        <v>2</v>
      </c>
      <c r="AC2388" s="4">
        <v>11</v>
      </c>
      <c r="AD2388" s="4">
        <v>66</v>
      </c>
      <c r="AE2388" s="4">
        <v>96</v>
      </c>
      <c r="AF2388" s="4">
        <v>1</v>
      </c>
      <c r="AG2388" s="4">
        <v>5</v>
      </c>
      <c r="AH2388" s="4">
        <v>55</v>
      </c>
      <c r="AI2388" s="4">
        <v>77</v>
      </c>
      <c r="AJ2388" s="4">
        <v>5</v>
      </c>
      <c r="AK2388" s="4">
        <v>13</v>
      </c>
      <c r="AL2388" s="4">
        <v>39</v>
      </c>
      <c r="AM2388" s="4">
        <v>46</v>
      </c>
      <c r="AN2388" s="4">
        <v>0</v>
      </c>
      <c r="AO2388" s="4">
        <v>0</v>
      </c>
      <c r="AP2388" s="4">
        <v>10</v>
      </c>
      <c r="AQ2388" s="4">
        <v>20</v>
      </c>
      <c r="AR2388" s="3" t="s">
        <v>62</v>
      </c>
      <c r="AS2388" s="3" t="s">
        <v>62</v>
      </c>
      <c r="AT2388" s="3" t="s">
        <v>62</v>
      </c>
      <c r="AV2388" s="6" t="str">
        <f>HYPERLINK("http://mcgill.on.worldcat.org/oclc/908084019","Catalog Record")</f>
        <v>Catalog Record</v>
      </c>
      <c r="AW2388" s="6" t="str">
        <f>HYPERLINK("http://www.worldcat.org/oclc/908084019","WorldCat Record")</f>
        <v>WorldCat Record</v>
      </c>
      <c r="AX2388" s="3" t="s">
        <v>23356</v>
      </c>
      <c r="AY2388" s="3" t="s">
        <v>23357</v>
      </c>
      <c r="AZ2388" s="3" t="s">
        <v>23358</v>
      </c>
      <c r="BA2388" s="3" t="s">
        <v>23358</v>
      </c>
      <c r="BB2388" s="3" t="s">
        <v>23359</v>
      </c>
      <c r="BC2388" s="3" t="s">
        <v>142</v>
      </c>
      <c r="BD2388" s="3" t="s">
        <v>308</v>
      </c>
      <c r="BE2388" s="3" t="s">
        <v>23360</v>
      </c>
      <c r="BF2388" s="3" t="s">
        <v>23359</v>
      </c>
      <c r="BG2388" s="3" t="s">
        <v>23361</v>
      </c>
    </row>
    <row r="2389" spans="1:59" ht="57" x14ac:dyDescent="0.45">
      <c r="A2389" s="2" t="s">
        <v>59</v>
      </c>
      <c r="B2389" s="2" t="s">
        <v>60</v>
      </c>
      <c r="C2389" s="2" t="s">
        <v>23362</v>
      </c>
      <c r="D2389" s="2" t="s">
        <v>23363</v>
      </c>
      <c r="E2389" s="2" t="s">
        <v>23364</v>
      </c>
      <c r="G2389" s="3" t="s">
        <v>62</v>
      </c>
      <c r="I2389" s="3" t="s">
        <v>61</v>
      </c>
      <c r="J2389" s="3" t="s">
        <v>62</v>
      </c>
      <c r="K2389" s="3" t="s">
        <v>63</v>
      </c>
      <c r="L2389" s="2" t="s">
        <v>14346</v>
      </c>
      <c r="M2389" s="2" t="s">
        <v>23365</v>
      </c>
      <c r="N2389" s="3" t="s">
        <v>1097</v>
      </c>
      <c r="P2389" s="3" t="s">
        <v>65</v>
      </c>
      <c r="R2389" s="3" t="s">
        <v>66</v>
      </c>
      <c r="S2389" s="4">
        <v>5</v>
      </c>
      <c r="T2389" s="4">
        <v>33</v>
      </c>
      <c r="U2389" s="5" t="s">
        <v>5925</v>
      </c>
      <c r="V2389" s="5" t="s">
        <v>16573</v>
      </c>
      <c r="W2389" s="5" t="s">
        <v>67</v>
      </c>
      <c r="X2389" s="5" t="s">
        <v>67</v>
      </c>
      <c r="Y2389" s="4">
        <v>1167</v>
      </c>
      <c r="Z2389" s="4">
        <v>47</v>
      </c>
      <c r="AA2389" s="4">
        <v>120</v>
      </c>
      <c r="AB2389" s="4">
        <v>2</v>
      </c>
      <c r="AC2389" s="4">
        <v>18</v>
      </c>
      <c r="AD2389" s="4">
        <v>126</v>
      </c>
      <c r="AE2389" s="4">
        <v>152</v>
      </c>
      <c r="AF2389" s="4">
        <v>1</v>
      </c>
      <c r="AG2389" s="4">
        <v>8</v>
      </c>
      <c r="AH2389" s="4">
        <v>104</v>
      </c>
      <c r="AI2389" s="4">
        <v>110</v>
      </c>
      <c r="AJ2389" s="4">
        <v>17</v>
      </c>
      <c r="AK2389" s="4">
        <v>24</v>
      </c>
      <c r="AL2389" s="4">
        <v>56</v>
      </c>
      <c r="AM2389" s="4">
        <v>57</v>
      </c>
      <c r="AN2389" s="4">
        <v>0</v>
      </c>
      <c r="AO2389" s="4">
        <v>0</v>
      </c>
      <c r="AP2389" s="4">
        <v>31</v>
      </c>
      <c r="AQ2389" s="4">
        <v>51</v>
      </c>
      <c r="AR2389" s="3" t="s">
        <v>62</v>
      </c>
      <c r="AS2389" s="3" t="s">
        <v>62</v>
      </c>
      <c r="AT2389" s="3" t="s">
        <v>61</v>
      </c>
      <c r="AU2389" s="6" t="str">
        <f>HYPERLINK("http://catalog.hathitrust.org/Record/004371134","HathiTrust Record")</f>
        <v>HathiTrust Record</v>
      </c>
      <c r="AV2389" s="6" t="str">
        <f>HYPERLINK("http://mcgill.on.worldcat.org/oclc/53887536","Catalog Record")</f>
        <v>Catalog Record</v>
      </c>
      <c r="AW2389" s="6" t="str">
        <f>HYPERLINK("http://www.worldcat.org/oclc/53887536","WorldCat Record")</f>
        <v>WorldCat Record</v>
      </c>
      <c r="AX2389" s="3" t="s">
        <v>23366</v>
      </c>
      <c r="AY2389" s="3" t="s">
        <v>23367</v>
      </c>
      <c r="AZ2389" s="3" t="s">
        <v>23368</v>
      </c>
      <c r="BA2389" s="3" t="s">
        <v>23368</v>
      </c>
      <c r="BB2389" s="3" t="s">
        <v>23369</v>
      </c>
      <c r="BC2389" s="3" t="s">
        <v>142</v>
      </c>
      <c r="BD2389" s="3" t="s">
        <v>68</v>
      </c>
      <c r="BE2389" s="3" t="s">
        <v>23370</v>
      </c>
      <c r="BF2389" s="3" t="s">
        <v>23369</v>
      </c>
      <c r="BG2389" s="3" t="s">
        <v>23371</v>
      </c>
    </row>
    <row r="2390" spans="1:59" ht="57" x14ac:dyDescent="0.45">
      <c r="A2390" s="2" t="s">
        <v>59</v>
      </c>
      <c r="B2390" s="2" t="s">
        <v>60</v>
      </c>
      <c r="C2390" s="2" t="s">
        <v>23362</v>
      </c>
      <c r="D2390" s="2" t="s">
        <v>23363</v>
      </c>
      <c r="E2390" s="2" t="s">
        <v>23364</v>
      </c>
      <c r="G2390" s="3" t="s">
        <v>62</v>
      </c>
      <c r="I2390" s="3" t="s">
        <v>61</v>
      </c>
      <c r="J2390" s="3" t="s">
        <v>62</v>
      </c>
      <c r="K2390" s="3" t="s">
        <v>63</v>
      </c>
      <c r="L2390" s="2" t="s">
        <v>14346</v>
      </c>
      <c r="M2390" s="2" t="s">
        <v>23365</v>
      </c>
      <c r="N2390" s="3" t="s">
        <v>1097</v>
      </c>
      <c r="P2390" s="3" t="s">
        <v>65</v>
      </c>
      <c r="R2390" s="3" t="s">
        <v>66</v>
      </c>
      <c r="S2390" s="4">
        <v>28</v>
      </c>
      <c r="T2390" s="4">
        <v>33</v>
      </c>
      <c r="U2390" s="5" t="s">
        <v>16573</v>
      </c>
      <c r="V2390" s="5" t="s">
        <v>16573</v>
      </c>
      <c r="W2390" s="5" t="s">
        <v>67</v>
      </c>
      <c r="X2390" s="5" t="s">
        <v>67</v>
      </c>
      <c r="Y2390" s="4">
        <v>1167</v>
      </c>
      <c r="Z2390" s="4">
        <v>47</v>
      </c>
      <c r="AA2390" s="4">
        <v>120</v>
      </c>
      <c r="AB2390" s="4">
        <v>2</v>
      </c>
      <c r="AC2390" s="4">
        <v>18</v>
      </c>
      <c r="AD2390" s="4">
        <v>126</v>
      </c>
      <c r="AE2390" s="4">
        <v>152</v>
      </c>
      <c r="AF2390" s="4">
        <v>1</v>
      </c>
      <c r="AG2390" s="4">
        <v>8</v>
      </c>
      <c r="AH2390" s="4">
        <v>104</v>
      </c>
      <c r="AI2390" s="4">
        <v>110</v>
      </c>
      <c r="AJ2390" s="4">
        <v>17</v>
      </c>
      <c r="AK2390" s="4">
        <v>24</v>
      </c>
      <c r="AL2390" s="4">
        <v>56</v>
      </c>
      <c r="AM2390" s="4">
        <v>57</v>
      </c>
      <c r="AN2390" s="4">
        <v>0</v>
      </c>
      <c r="AO2390" s="4">
        <v>0</v>
      </c>
      <c r="AP2390" s="4">
        <v>31</v>
      </c>
      <c r="AQ2390" s="4">
        <v>51</v>
      </c>
      <c r="AR2390" s="3" t="s">
        <v>62</v>
      </c>
      <c r="AS2390" s="3" t="s">
        <v>62</v>
      </c>
      <c r="AT2390" s="3" t="s">
        <v>61</v>
      </c>
      <c r="AU2390" s="6" t="str">
        <f>HYPERLINK("http://catalog.hathitrust.org/Record/004371134","HathiTrust Record")</f>
        <v>HathiTrust Record</v>
      </c>
      <c r="AV2390" s="6" t="str">
        <f>HYPERLINK("http://mcgill.on.worldcat.org/oclc/53887536","Catalog Record")</f>
        <v>Catalog Record</v>
      </c>
      <c r="AW2390" s="6" t="str">
        <f>HYPERLINK("http://www.worldcat.org/oclc/53887536","WorldCat Record")</f>
        <v>WorldCat Record</v>
      </c>
      <c r="AX2390" s="3" t="s">
        <v>23366</v>
      </c>
      <c r="AY2390" s="3" t="s">
        <v>23367</v>
      </c>
      <c r="AZ2390" s="3" t="s">
        <v>23368</v>
      </c>
      <c r="BA2390" s="3" t="s">
        <v>23368</v>
      </c>
      <c r="BB2390" s="3" t="s">
        <v>23372</v>
      </c>
      <c r="BC2390" s="3" t="s">
        <v>142</v>
      </c>
      <c r="BD2390" s="3" t="s">
        <v>68</v>
      </c>
      <c r="BE2390" s="3" t="s">
        <v>23370</v>
      </c>
      <c r="BF2390" s="3" t="s">
        <v>23372</v>
      </c>
      <c r="BG2390" s="3" t="s">
        <v>23373</v>
      </c>
    </row>
    <row r="2391" spans="1:59" ht="57" x14ac:dyDescent="0.45">
      <c r="A2391" s="2" t="s">
        <v>59</v>
      </c>
      <c r="B2391" s="2" t="s">
        <v>60</v>
      </c>
      <c r="C2391" s="2" t="s">
        <v>23374</v>
      </c>
      <c r="D2391" s="2" t="s">
        <v>23375</v>
      </c>
      <c r="E2391" s="2" t="s">
        <v>23376</v>
      </c>
      <c r="G2391" s="3" t="s">
        <v>62</v>
      </c>
      <c r="I2391" s="3" t="s">
        <v>61</v>
      </c>
      <c r="J2391" s="3" t="s">
        <v>62</v>
      </c>
      <c r="K2391" s="3" t="s">
        <v>63</v>
      </c>
      <c r="L2391" s="2" t="s">
        <v>14346</v>
      </c>
      <c r="M2391" s="2" t="s">
        <v>23377</v>
      </c>
      <c r="N2391" s="3" t="s">
        <v>167</v>
      </c>
      <c r="P2391" s="3" t="s">
        <v>65</v>
      </c>
      <c r="Q2391" s="2" t="s">
        <v>13961</v>
      </c>
      <c r="R2391" s="3" t="s">
        <v>66</v>
      </c>
      <c r="S2391" s="4">
        <v>24</v>
      </c>
      <c r="T2391" s="4">
        <v>79</v>
      </c>
      <c r="U2391" s="5" t="s">
        <v>23378</v>
      </c>
      <c r="V2391" s="5" t="s">
        <v>23378</v>
      </c>
      <c r="W2391" s="5" t="s">
        <v>67</v>
      </c>
      <c r="X2391" s="5" t="s">
        <v>67</v>
      </c>
      <c r="Y2391" s="4">
        <v>1159</v>
      </c>
      <c r="Z2391" s="4">
        <v>47</v>
      </c>
      <c r="AA2391" s="4">
        <v>110</v>
      </c>
      <c r="AB2391" s="4">
        <v>2</v>
      </c>
      <c r="AC2391" s="4">
        <v>14</v>
      </c>
      <c r="AD2391" s="4">
        <v>130</v>
      </c>
      <c r="AE2391" s="4">
        <v>157</v>
      </c>
      <c r="AF2391" s="4">
        <v>1</v>
      </c>
      <c r="AG2391" s="4">
        <v>8</v>
      </c>
      <c r="AH2391" s="4">
        <v>106</v>
      </c>
      <c r="AI2391" s="4">
        <v>112</v>
      </c>
      <c r="AJ2391" s="4">
        <v>19</v>
      </c>
      <c r="AK2391" s="4">
        <v>26</v>
      </c>
      <c r="AL2391" s="4">
        <v>55</v>
      </c>
      <c r="AM2391" s="4">
        <v>58</v>
      </c>
      <c r="AN2391" s="4">
        <v>0</v>
      </c>
      <c r="AO2391" s="4">
        <v>0</v>
      </c>
      <c r="AP2391" s="4">
        <v>30</v>
      </c>
      <c r="AQ2391" s="4">
        <v>51</v>
      </c>
      <c r="AR2391" s="3" t="s">
        <v>62</v>
      </c>
      <c r="AS2391" s="3" t="s">
        <v>62</v>
      </c>
      <c r="AT2391" s="3" t="s">
        <v>62</v>
      </c>
      <c r="AV2391" s="6" t="str">
        <f>HYPERLINK("http://mcgill.on.worldcat.org/oclc/40403736","Catalog Record")</f>
        <v>Catalog Record</v>
      </c>
      <c r="AW2391" s="6" t="str">
        <f>HYPERLINK("http://www.worldcat.org/oclc/40403736","WorldCat Record")</f>
        <v>WorldCat Record</v>
      </c>
      <c r="AX2391" s="3" t="s">
        <v>23379</v>
      </c>
      <c r="AY2391" s="3" t="s">
        <v>23380</v>
      </c>
      <c r="AZ2391" s="3" t="s">
        <v>23381</v>
      </c>
      <c r="BA2391" s="3" t="s">
        <v>23381</v>
      </c>
      <c r="BB2391" s="3" t="s">
        <v>23382</v>
      </c>
      <c r="BC2391" s="3" t="s">
        <v>142</v>
      </c>
      <c r="BD2391" s="3" t="s">
        <v>68</v>
      </c>
      <c r="BE2391" s="3" t="s">
        <v>23383</v>
      </c>
      <c r="BF2391" s="3" t="s">
        <v>23382</v>
      </c>
      <c r="BG2391" s="3" t="s">
        <v>23384</v>
      </c>
    </row>
    <row r="2392" spans="1:59" ht="57" x14ac:dyDescent="0.45">
      <c r="A2392" s="2" t="s">
        <v>59</v>
      </c>
      <c r="B2392" s="2" t="s">
        <v>60</v>
      </c>
      <c r="C2392" s="2" t="s">
        <v>23374</v>
      </c>
      <c r="D2392" s="2" t="s">
        <v>23375</v>
      </c>
      <c r="E2392" s="2" t="s">
        <v>23376</v>
      </c>
      <c r="G2392" s="3" t="s">
        <v>62</v>
      </c>
      <c r="I2392" s="3" t="s">
        <v>61</v>
      </c>
      <c r="J2392" s="3" t="s">
        <v>62</v>
      </c>
      <c r="K2392" s="3" t="s">
        <v>63</v>
      </c>
      <c r="L2392" s="2" t="s">
        <v>14346</v>
      </c>
      <c r="M2392" s="2" t="s">
        <v>23377</v>
      </c>
      <c r="N2392" s="3" t="s">
        <v>167</v>
      </c>
      <c r="P2392" s="3" t="s">
        <v>65</v>
      </c>
      <c r="Q2392" s="2" t="s">
        <v>13961</v>
      </c>
      <c r="R2392" s="3" t="s">
        <v>66</v>
      </c>
      <c r="S2392" s="4">
        <v>55</v>
      </c>
      <c r="T2392" s="4">
        <v>79</v>
      </c>
      <c r="U2392" s="5" t="s">
        <v>23385</v>
      </c>
      <c r="V2392" s="5" t="s">
        <v>23378</v>
      </c>
      <c r="W2392" s="5" t="s">
        <v>67</v>
      </c>
      <c r="X2392" s="5" t="s">
        <v>67</v>
      </c>
      <c r="Y2392" s="4">
        <v>1159</v>
      </c>
      <c r="Z2392" s="4">
        <v>47</v>
      </c>
      <c r="AA2392" s="4">
        <v>110</v>
      </c>
      <c r="AB2392" s="4">
        <v>2</v>
      </c>
      <c r="AC2392" s="4">
        <v>14</v>
      </c>
      <c r="AD2392" s="4">
        <v>130</v>
      </c>
      <c r="AE2392" s="4">
        <v>157</v>
      </c>
      <c r="AF2392" s="4">
        <v>1</v>
      </c>
      <c r="AG2392" s="4">
        <v>8</v>
      </c>
      <c r="AH2392" s="4">
        <v>106</v>
      </c>
      <c r="AI2392" s="4">
        <v>112</v>
      </c>
      <c r="AJ2392" s="4">
        <v>19</v>
      </c>
      <c r="AK2392" s="4">
        <v>26</v>
      </c>
      <c r="AL2392" s="4">
        <v>55</v>
      </c>
      <c r="AM2392" s="4">
        <v>58</v>
      </c>
      <c r="AN2392" s="4">
        <v>0</v>
      </c>
      <c r="AO2392" s="4">
        <v>0</v>
      </c>
      <c r="AP2392" s="4">
        <v>30</v>
      </c>
      <c r="AQ2392" s="4">
        <v>51</v>
      </c>
      <c r="AR2392" s="3" t="s">
        <v>62</v>
      </c>
      <c r="AS2392" s="3" t="s">
        <v>62</v>
      </c>
      <c r="AT2392" s="3" t="s">
        <v>62</v>
      </c>
      <c r="AV2392" s="6" t="str">
        <f>HYPERLINK("http://mcgill.on.worldcat.org/oclc/40403736","Catalog Record")</f>
        <v>Catalog Record</v>
      </c>
      <c r="AW2392" s="6" t="str">
        <f>HYPERLINK("http://www.worldcat.org/oclc/40403736","WorldCat Record")</f>
        <v>WorldCat Record</v>
      </c>
      <c r="AX2392" s="3" t="s">
        <v>23379</v>
      </c>
      <c r="AY2392" s="3" t="s">
        <v>23380</v>
      </c>
      <c r="AZ2392" s="3" t="s">
        <v>23381</v>
      </c>
      <c r="BA2392" s="3" t="s">
        <v>23381</v>
      </c>
      <c r="BB2392" s="3" t="s">
        <v>23386</v>
      </c>
      <c r="BC2392" s="3" t="s">
        <v>142</v>
      </c>
      <c r="BD2392" s="3" t="s">
        <v>68</v>
      </c>
      <c r="BE2392" s="3" t="s">
        <v>23383</v>
      </c>
      <c r="BF2392" s="3" t="s">
        <v>23386</v>
      </c>
      <c r="BG2392" s="3" t="s">
        <v>23387</v>
      </c>
    </row>
    <row r="2393" spans="1:59" ht="57" x14ac:dyDescent="0.45">
      <c r="A2393" s="2" t="s">
        <v>59</v>
      </c>
      <c r="B2393" s="2" t="s">
        <v>60</v>
      </c>
      <c r="C2393" s="2" t="s">
        <v>23388</v>
      </c>
      <c r="D2393" s="2" t="s">
        <v>23389</v>
      </c>
      <c r="E2393" s="2" t="s">
        <v>23390</v>
      </c>
      <c r="G2393" s="3" t="s">
        <v>62</v>
      </c>
      <c r="I2393" s="3" t="s">
        <v>61</v>
      </c>
      <c r="J2393" s="3" t="s">
        <v>62</v>
      </c>
      <c r="K2393" s="3" t="s">
        <v>63</v>
      </c>
      <c r="L2393" s="2" t="s">
        <v>23391</v>
      </c>
      <c r="M2393" s="2" t="s">
        <v>23392</v>
      </c>
      <c r="N2393" s="3" t="s">
        <v>820</v>
      </c>
      <c r="P2393" s="3" t="s">
        <v>65</v>
      </c>
      <c r="Q2393" s="2" t="s">
        <v>23393</v>
      </c>
      <c r="R2393" s="3" t="s">
        <v>66</v>
      </c>
      <c r="S2393" s="4">
        <v>1</v>
      </c>
      <c r="T2393" s="4">
        <v>8</v>
      </c>
      <c r="U2393" s="5" t="s">
        <v>23394</v>
      </c>
      <c r="V2393" s="5" t="s">
        <v>16573</v>
      </c>
      <c r="W2393" s="5" t="s">
        <v>67</v>
      </c>
      <c r="X2393" s="5" t="s">
        <v>67</v>
      </c>
      <c r="Y2393" s="4">
        <v>237</v>
      </c>
      <c r="Z2393" s="4">
        <v>18</v>
      </c>
      <c r="AA2393" s="4">
        <v>18</v>
      </c>
      <c r="AB2393" s="4">
        <v>2</v>
      </c>
      <c r="AC2393" s="4">
        <v>2</v>
      </c>
      <c r="AD2393" s="4">
        <v>78</v>
      </c>
      <c r="AE2393" s="4">
        <v>78</v>
      </c>
      <c r="AF2393" s="4">
        <v>1</v>
      </c>
      <c r="AG2393" s="4">
        <v>1</v>
      </c>
      <c r="AH2393" s="4">
        <v>72</v>
      </c>
      <c r="AI2393" s="4">
        <v>72</v>
      </c>
      <c r="AJ2393" s="4">
        <v>9</v>
      </c>
      <c r="AK2393" s="4">
        <v>9</v>
      </c>
      <c r="AL2393" s="4">
        <v>39</v>
      </c>
      <c r="AM2393" s="4">
        <v>39</v>
      </c>
      <c r="AN2393" s="4">
        <v>0</v>
      </c>
      <c r="AO2393" s="4">
        <v>0</v>
      </c>
      <c r="AP2393" s="4">
        <v>10</v>
      </c>
      <c r="AQ2393" s="4">
        <v>10</v>
      </c>
      <c r="AR2393" s="3" t="s">
        <v>62</v>
      </c>
      <c r="AS2393" s="3" t="s">
        <v>62</v>
      </c>
      <c r="AT2393" s="3" t="s">
        <v>62</v>
      </c>
      <c r="AV2393" s="6" t="str">
        <f>HYPERLINK("http://mcgill.on.worldcat.org/oclc/179797366","Catalog Record")</f>
        <v>Catalog Record</v>
      </c>
      <c r="AW2393" s="6" t="str">
        <f>HYPERLINK("http://www.worldcat.org/oclc/179797366","WorldCat Record")</f>
        <v>WorldCat Record</v>
      </c>
      <c r="AX2393" s="3" t="s">
        <v>23395</v>
      </c>
      <c r="AY2393" s="3" t="s">
        <v>23396</v>
      </c>
      <c r="AZ2393" s="3" t="s">
        <v>23397</v>
      </c>
      <c r="BA2393" s="3" t="s">
        <v>23397</v>
      </c>
      <c r="BB2393" s="3" t="s">
        <v>23398</v>
      </c>
      <c r="BC2393" s="3" t="s">
        <v>142</v>
      </c>
      <c r="BD2393" s="3" t="s">
        <v>68</v>
      </c>
      <c r="BE2393" s="3" t="s">
        <v>23399</v>
      </c>
      <c r="BF2393" s="3" t="s">
        <v>23398</v>
      </c>
      <c r="BG2393" s="3" t="s">
        <v>23400</v>
      </c>
    </row>
    <row r="2394" spans="1:59" ht="57" x14ac:dyDescent="0.45">
      <c r="A2394" s="2" t="s">
        <v>59</v>
      </c>
      <c r="B2394" s="2" t="s">
        <v>60</v>
      </c>
      <c r="C2394" s="2" t="s">
        <v>23388</v>
      </c>
      <c r="D2394" s="2" t="s">
        <v>23389</v>
      </c>
      <c r="E2394" s="2" t="s">
        <v>23390</v>
      </c>
      <c r="G2394" s="3" t="s">
        <v>62</v>
      </c>
      <c r="I2394" s="3" t="s">
        <v>61</v>
      </c>
      <c r="J2394" s="3" t="s">
        <v>62</v>
      </c>
      <c r="K2394" s="3" t="s">
        <v>63</v>
      </c>
      <c r="L2394" s="2" t="s">
        <v>23391</v>
      </c>
      <c r="M2394" s="2" t="s">
        <v>23392</v>
      </c>
      <c r="N2394" s="3" t="s">
        <v>820</v>
      </c>
      <c r="P2394" s="3" t="s">
        <v>65</v>
      </c>
      <c r="Q2394" s="2" t="s">
        <v>23393</v>
      </c>
      <c r="R2394" s="3" t="s">
        <v>66</v>
      </c>
      <c r="S2394" s="4">
        <v>7</v>
      </c>
      <c r="T2394" s="4">
        <v>8</v>
      </c>
      <c r="U2394" s="5" t="s">
        <v>16573</v>
      </c>
      <c r="V2394" s="5" t="s">
        <v>16573</v>
      </c>
      <c r="W2394" s="5" t="s">
        <v>67</v>
      </c>
      <c r="X2394" s="5" t="s">
        <v>67</v>
      </c>
      <c r="Y2394" s="4">
        <v>237</v>
      </c>
      <c r="Z2394" s="4">
        <v>18</v>
      </c>
      <c r="AA2394" s="4">
        <v>18</v>
      </c>
      <c r="AB2394" s="4">
        <v>2</v>
      </c>
      <c r="AC2394" s="4">
        <v>2</v>
      </c>
      <c r="AD2394" s="4">
        <v>78</v>
      </c>
      <c r="AE2394" s="4">
        <v>78</v>
      </c>
      <c r="AF2394" s="4">
        <v>1</v>
      </c>
      <c r="AG2394" s="4">
        <v>1</v>
      </c>
      <c r="AH2394" s="4">
        <v>72</v>
      </c>
      <c r="AI2394" s="4">
        <v>72</v>
      </c>
      <c r="AJ2394" s="4">
        <v>9</v>
      </c>
      <c r="AK2394" s="4">
        <v>9</v>
      </c>
      <c r="AL2394" s="4">
        <v>39</v>
      </c>
      <c r="AM2394" s="4">
        <v>39</v>
      </c>
      <c r="AN2394" s="4">
        <v>0</v>
      </c>
      <c r="AO2394" s="4">
        <v>0</v>
      </c>
      <c r="AP2394" s="4">
        <v>10</v>
      </c>
      <c r="AQ2394" s="4">
        <v>10</v>
      </c>
      <c r="AR2394" s="3" t="s">
        <v>62</v>
      </c>
      <c r="AS2394" s="3" t="s">
        <v>62</v>
      </c>
      <c r="AT2394" s="3" t="s">
        <v>62</v>
      </c>
      <c r="AV2394" s="6" t="str">
        <f>HYPERLINK("http://mcgill.on.worldcat.org/oclc/179797366","Catalog Record")</f>
        <v>Catalog Record</v>
      </c>
      <c r="AW2394" s="6" t="str">
        <f>HYPERLINK("http://www.worldcat.org/oclc/179797366","WorldCat Record")</f>
        <v>WorldCat Record</v>
      </c>
      <c r="AX2394" s="3" t="s">
        <v>23395</v>
      </c>
      <c r="AY2394" s="3" t="s">
        <v>23396</v>
      </c>
      <c r="AZ2394" s="3" t="s">
        <v>23397</v>
      </c>
      <c r="BA2394" s="3" t="s">
        <v>23397</v>
      </c>
      <c r="BB2394" s="3" t="s">
        <v>23401</v>
      </c>
      <c r="BC2394" s="3" t="s">
        <v>142</v>
      </c>
      <c r="BD2394" s="3" t="s">
        <v>68</v>
      </c>
      <c r="BE2394" s="3" t="s">
        <v>23399</v>
      </c>
      <c r="BF2394" s="3" t="s">
        <v>23401</v>
      </c>
      <c r="BG2394" s="3" t="s">
        <v>23402</v>
      </c>
    </row>
    <row r="2395" spans="1:59" ht="57" x14ac:dyDescent="0.45">
      <c r="A2395" s="2" t="s">
        <v>59</v>
      </c>
      <c r="B2395" s="2" t="s">
        <v>60</v>
      </c>
      <c r="C2395" s="2" t="s">
        <v>23403</v>
      </c>
      <c r="D2395" s="2" t="s">
        <v>23404</v>
      </c>
      <c r="E2395" s="2" t="s">
        <v>23405</v>
      </c>
      <c r="G2395" s="3" t="s">
        <v>62</v>
      </c>
      <c r="I2395" s="3" t="s">
        <v>62</v>
      </c>
      <c r="J2395" s="3" t="s">
        <v>62</v>
      </c>
      <c r="K2395" s="3" t="s">
        <v>63</v>
      </c>
      <c r="M2395" s="2" t="s">
        <v>18217</v>
      </c>
      <c r="N2395" s="3" t="s">
        <v>116</v>
      </c>
      <c r="P2395" s="3" t="s">
        <v>65</v>
      </c>
      <c r="R2395" s="3" t="s">
        <v>66</v>
      </c>
      <c r="S2395" s="4">
        <v>1</v>
      </c>
      <c r="T2395" s="4">
        <v>1</v>
      </c>
      <c r="U2395" s="5" t="s">
        <v>23406</v>
      </c>
      <c r="V2395" s="5" t="s">
        <v>23406</v>
      </c>
      <c r="W2395" s="5" t="s">
        <v>67</v>
      </c>
      <c r="X2395" s="5" t="s">
        <v>67</v>
      </c>
      <c r="Y2395" s="4">
        <v>135</v>
      </c>
      <c r="Z2395" s="4">
        <v>14</v>
      </c>
      <c r="AA2395" s="4">
        <v>18</v>
      </c>
      <c r="AB2395" s="4">
        <v>1</v>
      </c>
      <c r="AC2395" s="4">
        <v>5</v>
      </c>
      <c r="AD2395" s="4">
        <v>51</v>
      </c>
      <c r="AE2395" s="4">
        <v>54</v>
      </c>
      <c r="AF2395" s="4">
        <v>0</v>
      </c>
      <c r="AG2395" s="4">
        <v>3</v>
      </c>
      <c r="AH2395" s="4">
        <v>47</v>
      </c>
      <c r="AI2395" s="4">
        <v>48</v>
      </c>
      <c r="AJ2395" s="4">
        <v>10</v>
      </c>
      <c r="AK2395" s="4">
        <v>13</v>
      </c>
      <c r="AL2395" s="4">
        <v>29</v>
      </c>
      <c r="AM2395" s="4">
        <v>29</v>
      </c>
      <c r="AN2395" s="4">
        <v>0</v>
      </c>
      <c r="AO2395" s="4">
        <v>0</v>
      </c>
      <c r="AP2395" s="4">
        <v>11</v>
      </c>
      <c r="AQ2395" s="4">
        <v>13</v>
      </c>
      <c r="AR2395" s="3" t="s">
        <v>62</v>
      </c>
      <c r="AS2395" s="3" t="s">
        <v>62</v>
      </c>
      <c r="AT2395" s="3" t="s">
        <v>62</v>
      </c>
      <c r="AV2395" s="6" t="str">
        <f>HYPERLINK("http://mcgill.on.worldcat.org/oclc/818659520","Catalog Record")</f>
        <v>Catalog Record</v>
      </c>
      <c r="AW2395" s="6" t="str">
        <f>HYPERLINK("http://www.worldcat.org/oclc/818659520","WorldCat Record")</f>
        <v>WorldCat Record</v>
      </c>
      <c r="AX2395" s="3" t="s">
        <v>23407</v>
      </c>
      <c r="AY2395" s="3" t="s">
        <v>23408</v>
      </c>
      <c r="AZ2395" s="3" t="s">
        <v>23409</v>
      </c>
      <c r="BA2395" s="3" t="s">
        <v>23409</v>
      </c>
      <c r="BB2395" s="3" t="s">
        <v>23410</v>
      </c>
      <c r="BC2395" s="3" t="s">
        <v>142</v>
      </c>
      <c r="BD2395" s="3" t="s">
        <v>68</v>
      </c>
      <c r="BE2395" s="3" t="s">
        <v>23411</v>
      </c>
      <c r="BF2395" s="3" t="s">
        <v>23410</v>
      </c>
      <c r="BG2395" s="3" t="s">
        <v>23412</v>
      </c>
    </row>
    <row r="2396" spans="1:59" ht="71.25" x14ac:dyDescent="0.45">
      <c r="A2396" s="2" t="s">
        <v>59</v>
      </c>
      <c r="B2396" s="2" t="s">
        <v>60</v>
      </c>
      <c r="C2396" s="2" t="s">
        <v>23413</v>
      </c>
      <c r="D2396" s="2" t="s">
        <v>23414</v>
      </c>
      <c r="E2396" s="2" t="s">
        <v>23415</v>
      </c>
      <c r="G2396" s="3" t="s">
        <v>62</v>
      </c>
      <c r="I2396" s="3" t="s">
        <v>62</v>
      </c>
      <c r="J2396" s="3" t="s">
        <v>62</v>
      </c>
      <c r="K2396" s="3" t="s">
        <v>63</v>
      </c>
      <c r="L2396" s="2" t="s">
        <v>23416</v>
      </c>
      <c r="M2396" s="2" t="s">
        <v>23417</v>
      </c>
      <c r="N2396" s="3" t="s">
        <v>1855</v>
      </c>
      <c r="P2396" s="3" t="s">
        <v>65</v>
      </c>
      <c r="R2396" s="3" t="s">
        <v>66</v>
      </c>
      <c r="S2396" s="4">
        <v>8</v>
      </c>
      <c r="T2396" s="4">
        <v>8</v>
      </c>
      <c r="U2396" s="5" t="s">
        <v>126</v>
      </c>
      <c r="V2396" s="5" t="s">
        <v>126</v>
      </c>
      <c r="W2396" s="5" t="s">
        <v>67</v>
      </c>
      <c r="X2396" s="5" t="s">
        <v>67</v>
      </c>
      <c r="Y2396" s="4">
        <v>756</v>
      </c>
      <c r="Z2396" s="4">
        <v>34</v>
      </c>
      <c r="AA2396" s="4">
        <v>34</v>
      </c>
      <c r="AB2396" s="4">
        <v>2</v>
      </c>
      <c r="AC2396" s="4">
        <v>2</v>
      </c>
      <c r="AD2396" s="4">
        <v>113</v>
      </c>
      <c r="AE2396" s="4">
        <v>113</v>
      </c>
      <c r="AF2396" s="4">
        <v>0</v>
      </c>
      <c r="AG2396" s="4">
        <v>0</v>
      </c>
      <c r="AH2396" s="4">
        <v>101</v>
      </c>
      <c r="AI2396" s="4">
        <v>101</v>
      </c>
      <c r="AJ2396" s="4">
        <v>15</v>
      </c>
      <c r="AK2396" s="4">
        <v>15</v>
      </c>
      <c r="AL2396" s="4">
        <v>53</v>
      </c>
      <c r="AM2396" s="4">
        <v>53</v>
      </c>
      <c r="AN2396" s="4">
        <v>0</v>
      </c>
      <c r="AO2396" s="4">
        <v>0</v>
      </c>
      <c r="AP2396" s="4">
        <v>20</v>
      </c>
      <c r="AQ2396" s="4">
        <v>20</v>
      </c>
      <c r="AR2396" s="3" t="s">
        <v>62</v>
      </c>
      <c r="AS2396" s="3" t="s">
        <v>62</v>
      </c>
      <c r="AT2396" s="3" t="s">
        <v>62</v>
      </c>
      <c r="AV2396" s="6" t="str">
        <f>HYPERLINK("http://mcgill.on.worldcat.org/oclc/60644867","Catalog Record")</f>
        <v>Catalog Record</v>
      </c>
      <c r="AW2396" s="6" t="str">
        <f>HYPERLINK("http://www.worldcat.org/oclc/60644867","WorldCat Record")</f>
        <v>WorldCat Record</v>
      </c>
      <c r="AX2396" s="3" t="s">
        <v>23418</v>
      </c>
      <c r="AY2396" s="3" t="s">
        <v>23419</v>
      </c>
      <c r="AZ2396" s="3" t="s">
        <v>23420</v>
      </c>
      <c r="BA2396" s="3" t="s">
        <v>23420</v>
      </c>
      <c r="BB2396" s="3" t="s">
        <v>23421</v>
      </c>
      <c r="BC2396" s="3" t="s">
        <v>142</v>
      </c>
      <c r="BD2396" s="3" t="s">
        <v>68</v>
      </c>
      <c r="BE2396" s="3" t="s">
        <v>23422</v>
      </c>
      <c r="BF2396" s="3" t="s">
        <v>23421</v>
      </c>
      <c r="BG2396" s="3" t="s">
        <v>23423</v>
      </c>
    </row>
    <row r="2397" spans="1:59" ht="57" x14ac:dyDescent="0.45">
      <c r="A2397" s="2" t="s">
        <v>59</v>
      </c>
      <c r="B2397" s="2" t="s">
        <v>60</v>
      </c>
      <c r="C2397" s="2" t="s">
        <v>23424</v>
      </c>
      <c r="D2397" s="2" t="s">
        <v>23425</v>
      </c>
      <c r="E2397" s="2" t="s">
        <v>23426</v>
      </c>
      <c r="G2397" s="3" t="s">
        <v>62</v>
      </c>
      <c r="I2397" s="3" t="s">
        <v>62</v>
      </c>
      <c r="J2397" s="3" t="s">
        <v>62</v>
      </c>
      <c r="K2397" s="3" t="s">
        <v>63</v>
      </c>
      <c r="L2397" s="2" t="s">
        <v>23427</v>
      </c>
      <c r="M2397" s="2" t="s">
        <v>23428</v>
      </c>
      <c r="N2397" s="3" t="s">
        <v>125</v>
      </c>
      <c r="O2397" s="2" t="s">
        <v>933</v>
      </c>
      <c r="P2397" s="3" t="s">
        <v>65</v>
      </c>
      <c r="R2397" s="3" t="s">
        <v>66</v>
      </c>
      <c r="S2397" s="4">
        <v>26</v>
      </c>
      <c r="T2397" s="4">
        <v>26</v>
      </c>
      <c r="U2397" s="5" t="s">
        <v>5925</v>
      </c>
      <c r="V2397" s="5" t="s">
        <v>5925</v>
      </c>
      <c r="W2397" s="5" t="s">
        <v>67</v>
      </c>
      <c r="X2397" s="5" t="s">
        <v>67</v>
      </c>
      <c r="Y2397" s="4">
        <v>377</v>
      </c>
      <c r="Z2397" s="4">
        <v>19</v>
      </c>
      <c r="AA2397" s="4">
        <v>32</v>
      </c>
      <c r="AB2397" s="4">
        <v>2</v>
      </c>
      <c r="AC2397" s="4">
        <v>5</v>
      </c>
      <c r="AD2397" s="4">
        <v>90</v>
      </c>
      <c r="AE2397" s="4">
        <v>121</v>
      </c>
      <c r="AF2397" s="4">
        <v>0</v>
      </c>
      <c r="AG2397" s="4">
        <v>3</v>
      </c>
      <c r="AH2397" s="4">
        <v>81</v>
      </c>
      <c r="AI2397" s="4">
        <v>105</v>
      </c>
      <c r="AJ2397" s="4">
        <v>11</v>
      </c>
      <c r="AK2397" s="4">
        <v>22</v>
      </c>
      <c r="AL2397" s="4">
        <v>42</v>
      </c>
      <c r="AM2397" s="4">
        <v>52</v>
      </c>
      <c r="AN2397" s="4">
        <v>0</v>
      </c>
      <c r="AO2397" s="4">
        <v>0</v>
      </c>
      <c r="AP2397" s="4">
        <v>13</v>
      </c>
      <c r="AQ2397" s="4">
        <v>25</v>
      </c>
      <c r="AR2397" s="3" t="s">
        <v>62</v>
      </c>
      <c r="AS2397" s="3" t="s">
        <v>62</v>
      </c>
      <c r="AT2397" s="3" t="s">
        <v>61</v>
      </c>
      <c r="AU2397" s="6" t="str">
        <f>HYPERLINK("http://catalog.hathitrust.org/Record/001823067","HathiTrust Record")</f>
        <v>HathiTrust Record</v>
      </c>
      <c r="AV2397" s="6" t="str">
        <f>HYPERLINK("http://mcgill.on.worldcat.org/oclc/19739318","Catalog Record")</f>
        <v>Catalog Record</v>
      </c>
      <c r="AW2397" s="6" t="str">
        <f>HYPERLINK("http://www.worldcat.org/oclc/19739318","WorldCat Record")</f>
        <v>WorldCat Record</v>
      </c>
      <c r="AX2397" s="3" t="s">
        <v>23429</v>
      </c>
      <c r="AY2397" s="3" t="s">
        <v>23430</v>
      </c>
      <c r="AZ2397" s="3" t="s">
        <v>23431</v>
      </c>
      <c r="BA2397" s="3" t="s">
        <v>23431</v>
      </c>
      <c r="BB2397" s="3" t="s">
        <v>23432</v>
      </c>
      <c r="BC2397" s="3" t="s">
        <v>142</v>
      </c>
      <c r="BD2397" s="3" t="s">
        <v>68</v>
      </c>
      <c r="BE2397" s="3" t="s">
        <v>23433</v>
      </c>
      <c r="BF2397" s="3" t="s">
        <v>23432</v>
      </c>
      <c r="BG2397" s="3" t="s">
        <v>23434</v>
      </c>
    </row>
    <row r="2398" spans="1:59" ht="57" x14ac:dyDescent="0.45">
      <c r="A2398" s="2" t="s">
        <v>59</v>
      </c>
      <c r="B2398" s="2" t="s">
        <v>60</v>
      </c>
      <c r="C2398" s="2" t="s">
        <v>23435</v>
      </c>
      <c r="D2398" s="2" t="s">
        <v>23436</v>
      </c>
      <c r="E2398" s="2" t="s">
        <v>23437</v>
      </c>
      <c r="G2398" s="3" t="s">
        <v>62</v>
      </c>
      <c r="I2398" s="3" t="s">
        <v>62</v>
      </c>
      <c r="J2398" s="3" t="s">
        <v>62</v>
      </c>
      <c r="K2398" s="3" t="s">
        <v>63</v>
      </c>
      <c r="L2398" s="2" t="s">
        <v>23438</v>
      </c>
      <c r="M2398" s="2" t="s">
        <v>23439</v>
      </c>
      <c r="N2398" s="3" t="s">
        <v>894</v>
      </c>
      <c r="P2398" s="3" t="s">
        <v>65</v>
      </c>
      <c r="Q2398" s="2" t="s">
        <v>23440</v>
      </c>
      <c r="R2398" s="3" t="s">
        <v>66</v>
      </c>
      <c r="S2398" s="4">
        <v>1</v>
      </c>
      <c r="T2398" s="4">
        <v>1</v>
      </c>
      <c r="U2398" s="5" t="s">
        <v>23441</v>
      </c>
      <c r="V2398" s="5" t="s">
        <v>23441</v>
      </c>
      <c r="W2398" s="5" t="s">
        <v>67</v>
      </c>
      <c r="X2398" s="5" t="s">
        <v>67</v>
      </c>
      <c r="Y2398" s="4">
        <v>169</v>
      </c>
      <c r="Z2398" s="4">
        <v>17</v>
      </c>
      <c r="AA2398" s="4">
        <v>45</v>
      </c>
      <c r="AB2398" s="4">
        <v>1</v>
      </c>
      <c r="AC2398" s="4">
        <v>8</v>
      </c>
      <c r="AD2398" s="4">
        <v>64</v>
      </c>
      <c r="AE2398" s="4">
        <v>77</v>
      </c>
      <c r="AF2398" s="4">
        <v>0</v>
      </c>
      <c r="AG2398" s="4">
        <v>2</v>
      </c>
      <c r="AH2398" s="4">
        <v>57</v>
      </c>
      <c r="AI2398" s="4">
        <v>64</v>
      </c>
      <c r="AJ2398" s="4">
        <v>11</v>
      </c>
      <c r="AK2398" s="4">
        <v>13</v>
      </c>
      <c r="AL2398" s="4">
        <v>30</v>
      </c>
      <c r="AM2398" s="4">
        <v>34</v>
      </c>
      <c r="AN2398" s="4">
        <v>0</v>
      </c>
      <c r="AO2398" s="4">
        <v>0</v>
      </c>
      <c r="AP2398" s="4">
        <v>14</v>
      </c>
      <c r="AQ2398" s="4">
        <v>21</v>
      </c>
      <c r="AR2398" s="3" t="s">
        <v>62</v>
      </c>
      <c r="AS2398" s="3" t="s">
        <v>62</v>
      </c>
      <c r="AT2398" s="3" t="s">
        <v>62</v>
      </c>
      <c r="AV2398" s="6" t="str">
        <f>HYPERLINK("http://mcgill.on.worldcat.org/oclc/690088628","Catalog Record")</f>
        <v>Catalog Record</v>
      </c>
      <c r="AW2398" s="6" t="str">
        <f>HYPERLINK("http://www.worldcat.org/oclc/690088628","WorldCat Record")</f>
        <v>WorldCat Record</v>
      </c>
      <c r="AX2398" s="3" t="s">
        <v>23442</v>
      </c>
      <c r="AY2398" s="3" t="s">
        <v>23443</v>
      </c>
      <c r="AZ2398" s="3" t="s">
        <v>23444</v>
      </c>
      <c r="BA2398" s="3" t="s">
        <v>23444</v>
      </c>
      <c r="BB2398" s="3" t="s">
        <v>23445</v>
      </c>
      <c r="BC2398" s="3" t="s">
        <v>142</v>
      </c>
      <c r="BD2398" s="3" t="s">
        <v>68</v>
      </c>
      <c r="BE2398" s="3" t="s">
        <v>23446</v>
      </c>
      <c r="BF2398" s="3" t="s">
        <v>23445</v>
      </c>
      <c r="BG2398" s="3" t="s">
        <v>23447</v>
      </c>
    </row>
    <row r="2399" spans="1:59" ht="57" x14ac:dyDescent="0.45">
      <c r="A2399" s="2" t="s">
        <v>59</v>
      </c>
      <c r="B2399" s="2" t="s">
        <v>60</v>
      </c>
      <c r="C2399" s="2" t="s">
        <v>23448</v>
      </c>
      <c r="D2399" s="2" t="s">
        <v>23449</v>
      </c>
      <c r="E2399" s="2" t="s">
        <v>23450</v>
      </c>
      <c r="G2399" s="3" t="s">
        <v>62</v>
      </c>
      <c r="I2399" s="3" t="s">
        <v>62</v>
      </c>
      <c r="J2399" s="3" t="s">
        <v>62</v>
      </c>
      <c r="K2399" s="3" t="s">
        <v>63</v>
      </c>
      <c r="M2399" s="2" t="s">
        <v>23451</v>
      </c>
      <c r="N2399" s="3" t="s">
        <v>1604</v>
      </c>
      <c r="P2399" s="3" t="s">
        <v>65</v>
      </c>
      <c r="R2399" s="3" t="s">
        <v>66</v>
      </c>
      <c r="S2399" s="4">
        <v>12</v>
      </c>
      <c r="T2399" s="4">
        <v>12</v>
      </c>
      <c r="U2399" s="5" t="s">
        <v>1605</v>
      </c>
      <c r="V2399" s="5" t="s">
        <v>1605</v>
      </c>
      <c r="W2399" s="5" t="s">
        <v>67</v>
      </c>
      <c r="X2399" s="5" t="s">
        <v>67</v>
      </c>
      <c r="Y2399" s="4">
        <v>184</v>
      </c>
      <c r="Z2399" s="4">
        <v>10</v>
      </c>
      <c r="AA2399" s="4">
        <v>10</v>
      </c>
      <c r="AB2399" s="4">
        <v>1</v>
      </c>
      <c r="AC2399" s="4">
        <v>1</v>
      </c>
      <c r="AD2399" s="4">
        <v>60</v>
      </c>
      <c r="AE2399" s="4">
        <v>60</v>
      </c>
      <c r="AF2399" s="4">
        <v>0</v>
      </c>
      <c r="AG2399" s="4">
        <v>0</v>
      </c>
      <c r="AH2399" s="4">
        <v>53</v>
      </c>
      <c r="AI2399" s="4">
        <v>53</v>
      </c>
      <c r="AJ2399" s="4">
        <v>5</v>
      </c>
      <c r="AK2399" s="4">
        <v>5</v>
      </c>
      <c r="AL2399" s="4">
        <v>27</v>
      </c>
      <c r="AM2399" s="4">
        <v>27</v>
      </c>
      <c r="AN2399" s="4">
        <v>0</v>
      </c>
      <c r="AO2399" s="4">
        <v>0</v>
      </c>
      <c r="AP2399" s="4">
        <v>8</v>
      </c>
      <c r="AQ2399" s="4">
        <v>8</v>
      </c>
      <c r="AR2399" s="3" t="s">
        <v>62</v>
      </c>
      <c r="AS2399" s="3" t="s">
        <v>62</v>
      </c>
      <c r="AT2399" s="3" t="s">
        <v>61</v>
      </c>
      <c r="AU2399" s="6" t="str">
        <f>HYPERLINK("http://catalog.hathitrust.org/Record/002795072","HathiTrust Record")</f>
        <v>HathiTrust Record</v>
      </c>
      <c r="AV2399" s="6" t="str">
        <f>HYPERLINK("http://mcgill.on.worldcat.org/oclc/27935597","Catalog Record")</f>
        <v>Catalog Record</v>
      </c>
      <c r="AW2399" s="6" t="str">
        <f>HYPERLINK("http://www.worldcat.org/oclc/27935597","WorldCat Record")</f>
        <v>WorldCat Record</v>
      </c>
      <c r="AX2399" s="3" t="s">
        <v>23452</v>
      </c>
      <c r="AY2399" s="3" t="s">
        <v>23453</v>
      </c>
      <c r="AZ2399" s="3" t="s">
        <v>23454</v>
      </c>
      <c r="BA2399" s="3" t="s">
        <v>23454</v>
      </c>
      <c r="BB2399" s="3" t="s">
        <v>23455</v>
      </c>
      <c r="BC2399" s="3" t="s">
        <v>142</v>
      </c>
      <c r="BD2399" s="3" t="s">
        <v>68</v>
      </c>
      <c r="BE2399" s="3" t="s">
        <v>23456</v>
      </c>
      <c r="BF2399" s="3" t="s">
        <v>23455</v>
      </c>
      <c r="BG2399" s="3" t="s">
        <v>23457</v>
      </c>
    </row>
    <row r="2400" spans="1:59" ht="57" x14ac:dyDescent="0.45">
      <c r="A2400" s="2" t="s">
        <v>59</v>
      </c>
      <c r="B2400" s="2" t="s">
        <v>60</v>
      </c>
      <c r="C2400" s="2" t="s">
        <v>23458</v>
      </c>
      <c r="D2400" s="2" t="s">
        <v>23459</v>
      </c>
      <c r="E2400" s="2" t="s">
        <v>23460</v>
      </c>
      <c r="G2400" s="3" t="s">
        <v>62</v>
      </c>
      <c r="I2400" s="3" t="s">
        <v>62</v>
      </c>
      <c r="J2400" s="3" t="s">
        <v>62</v>
      </c>
      <c r="K2400" s="3" t="s">
        <v>63</v>
      </c>
      <c r="L2400" s="2" t="s">
        <v>23461</v>
      </c>
      <c r="M2400" s="2" t="s">
        <v>23462</v>
      </c>
      <c r="N2400" s="3" t="s">
        <v>1239</v>
      </c>
      <c r="P2400" s="3" t="s">
        <v>65</v>
      </c>
      <c r="R2400" s="3" t="s">
        <v>66</v>
      </c>
      <c r="S2400" s="4">
        <v>52</v>
      </c>
      <c r="T2400" s="4">
        <v>52</v>
      </c>
      <c r="U2400" s="5" t="s">
        <v>23463</v>
      </c>
      <c r="V2400" s="5" t="s">
        <v>23463</v>
      </c>
      <c r="W2400" s="5" t="s">
        <v>67</v>
      </c>
      <c r="X2400" s="5" t="s">
        <v>67</v>
      </c>
      <c r="Y2400" s="4">
        <v>901</v>
      </c>
      <c r="Z2400" s="4">
        <v>48</v>
      </c>
      <c r="AA2400" s="4">
        <v>70</v>
      </c>
      <c r="AB2400" s="4">
        <v>3</v>
      </c>
      <c r="AC2400" s="4">
        <v>9</v>
      </c>
      <c r="AD2400" s="4">
        <v>131</v>
      </c>
      <c r="AE2400" s="4">
        <v>145</v>
      </c>
      <c r="AF2400" s="4">
        <v>1</v>
      </c>
      <c r="AG2400" s="4">
        <v>5</v>
      </c>
      <c r="AH2400" s="4">
        <v>109</v>
      </c>
      <c r="AI2400" s="4">
        <v>111</v>
      </c>
      <c r="AJ2400" s="4">
        <v>18</v>
      </c>
      <c r="AK2400" s="4">
        <v>25</v>
      </c>
      <c r="AL2400" s="4">
        <v>58</v>
      </c>
      <c r="AM2400" s="4">
        <v>58</v>
      </c>
      <c r="AN2400" s="4">
        <v>0</v>
      </c>
      <c r="AO2400" s="4">
        <v>0</v>
      </c>
      <c r="AP2400" s="4">
        <v>29</v>
      </c>
      <c r="AQ2400" s="4">
        <v>42</v>
      </c>
      <c r="AR2400" s="3" t="s">
        <v>62</v>
      </c>
      <c r="AS2400" s="3" t="s">
        <v>62</v>
      </c>
      <c r="AT2400" s="3" t="s">
        <v>61</v>
      </c>
      <c r="AU2400" s="6" t="str">
        <f>HYPERLINK("http://catalog.hathitrust.org/Record/001545962","HathiTrust Record")</f>
        <v>HathiTrust Record</v>
      </c>
      <c r="AV2400" s="6" t="str">
        <f>HYPERLINK("http://mcgill.on.worldcat.org/oclc/19130574","Catalog Record")</f>
        <v>Catalog Record</v>
      </c>
      <c r="AW2400" s="6" t="str">
        <f>HYPERLINK("http://www.worldcat.org/oclc/19130574","WorldCat Record")</f>
        <v>WorldCat Record</v>
      </c>
      <c r="AX2400" s="3" t="s">
        <v>23464</v>
      </c>
      <c r="AY2400" s="3" t="s">
        <v>23465</v>
      </c>
      <c r="AZ2400" s="3" t="s">
        <v>23466</v>
      </c>
      <c r="BA2400" s="3" t="s">
        <v>23466</v>
      </c>
      <c r="BB2400" s="3" t="s">
        <v>23467</v>
      </c>
      <c r="BC2400" s="3" t="s">
        <v>142</v>
      </c>
      <c r="BD2400" s="3" t="s">
        <v>68</v>
      </c>
      <c r="BE2400" s="3" t="s">
        <v>23468</v>
      </c>
      <c r="BF2400" s="3" t="s">
        <v>23467</v>
      </c>
      <c r="BG2400" s="3" t="s">
        <v>23469</v>
      </c>
    </row>
    <row r="2401" spans="1:59" ht="57" x14ac:dyDescent="0.45">
      <c r="A2401" s="2" t="s">
        <v>59</v>
      </c>
      <c r="B2401" s="2" t="s">
        <v>60</v>
      </c>
      <c r="C2401" s="2" t="s">
        <v>23470</v>
      </c>
      <c r="D2401" s="2" t="s">
        <v>23471</v>
      </c>
      <c r="E2401" s="2" t="s">
        <v>23472</v>
      </c>
      <c r="G2401" s="3" t="s">
        <v>62</v>
      </c>
      <c r="I2401" s="3" t="s">
        <v>62</v>
      </c>
      <c r="J2401" s="3" t="s">
        <v>62</v>
      </c>
      <c r="K2401" s="3" t="s">
        <v>63</v>
      </c>
      <c r="L2401" s="2" t="s">
        <v>23473</v>
      </c>
      <c r="M2401" s="2" t="s">
        <v>23474</v>
      </c>
      <c r="N2401" s="3" t="s">
        <v>116</v>
      </c>
      <c r="P2401" s="3" t="s">
        <v>65</v>
      </c>
      <c r="R2401" s="3" t="s">
        <v>66</v>
      </c>
      <c r="S2401" s="4">
        <v>13</v>
      </c>
      <c r="T2401" s="4">
        <v>13</v>
      </c>
      <c r="U2401" s="5" t="s">
        <v>7408</v>
      </c>
      <c r="V2401" s="5" t="s">
        <v>7408</v>
      </c>
      <c r="W2401" s="5" t="s">
        <v>67</v>
      </c>
      <c r="X2401" s="5" t="s">
        <v>67</v>
      </c>
      <c r="Y2401" s="4">
        <v>337</v>
      </c>
      <c r="Z2401" s="4">
        <v>18</v>
      </c>
      <c r="AA2401" s="4">
        <v>53</v>
      </c>
      <c r="AB2401" s="4">
        <v>2</v>
      </c>
      <c r="AC2401" s="4">
        <v>6</v>
      </c>
      <c r="AD2401" s="4">
        <v>80</v>
      </c>
      <c r="AE2401" s="4">
        <v>103</v>
      </c>
      <c r="AF2401" s="4">
        <v>1</v>
      </c>
      <c r="AG2401" s="4">
        <v>3</v>
      </c>
      <c r="AH2401" s="4">
        <v>74</v>
      </c>
      <c r="AI2401" s="4">
        <v>83</v>
      </c>
      <c r="AJ2401" s="4">
        <v>9</v>
      </c>
      <c r="AK2401" s="4">
        <v>15</v>
      </c>
      <c r="AL2401" s="4">
        <v>44</v>
      </c>
      <c r="AM2401" s="4">
        <v>50</v>
      </c>
      <c r="AN2401" s="4">
        <v>0</v>
      </c>
      <c r="AO2401" s="4">
        <v>0</v>
      </c>
      <c r="AP2401" s="4">
        <v>11</v>
      </c>
      <c r="AQ2401" s="4">
        <v>23</v>
      </c>
      <c r="AR2401" s="3" t="s">
        <v>62</v>
      </c>
      <c r="AS2401" s="3" t="s">
        <v>62</v>
      </c>
      <c r="AT2401" s="3" t="s">
        <v>62</v>
      </c>
      <c r="AV2401" s="6" t="str">
        <f>HYPERLINK("http://mcgill.on.worldcat.org/oclc/834409169","Catalog Record")</f>
        <v>Catalog Record</v>
      </c>
      <c r="AW2401" s="6" t="str">
        <f>HYPERLINK("http://www.worldcat.org/oclc/834409169","WorldCat Record")</f>
        <v>WorldCat Record</v>
      </c>
      <c r="AX2401" s="3" t="s">
        <v>23475</v>
      </c>
      <c r="AY2401" s="3" t="s">
        <v>23476</v>
      </c>
      <c r="AZ2401" s="3" t="s">
        <v>23477</v>
      </c>
      <c r="BA2401" s="3" t="s">
        <v>23477</v>
      </c>
      <c r="BB2401" s="3" t="s">
        <v>23478</v>
      </c>
      <c r="BC2401" s="3" t="s">
        <v>142</v>
      </c>
      <c r="BD2401" s="3" t="s">
        <v>68</v>
      </c>
      <c r="BE2401" s="3" t="s">
        <v>23479</v>
      </c>
      <c r="BF2401" s="3" t="s">
        <v>23478</v>
      </c>
      <c r="BG2401" s="3" t="s">
        <v>23480</v>
      </c>
    </row>
    <row r="2402" spans="1:59" ht="57" x14ac:dyDescent="0.45">
      <c r="A2402" s="2" t="s">
        <v>59</v>
      </c>
      <c r="B2402" s="2" t="s">
        <v>60</v>
      </c>
      <c r="C2402" s="2" t="s">
        <v>23481</v>
      </c>
      <c r="D2402" s="2" t="s">
        <v>23482</v>
      </c>
      <c r="E2402" s="2" t="s">
        <v>23483</v>
      </c>
      <c r="G2402" s="3" t="s">
        <v>62</v>
      </c>
      <c r="I2402" s="3" t="s">
        <v>62</v>
      </c>
      <c r="J2402" s="3" t="s">
        <v>62</v>
      </c>
      <c r="K2402" s="3" t="s">
        <v>63</v>
      </c>
      <c r="L2402" s="2" t="s">
        <v>23484</v>
      </c>
      <c r="M2402" s="2" t="s">
        <v>3398</v>
      </c>
      <c r="N2402" s="3" t="s">
        <v>894</v>
      </c>
      <c r="P2402" s="3" t="s">
        <v>65</v>
      </c>
      <c r="Q2402" s="2" t="s">
        <v>18936</v>
      </c>
      <c r="R2402" s="3" t="s">
        <v>66</v>
      </c>
      <c r="S2402" s="4">
        <v>3</v>
      </c>
      <c r="T2402" s="4">
        <v>3</v>
      </c>
      <c r="U2402" s="5" t="s">
        <v>1640</v>
      </c>
      <c r="V2402" s="5" t="s">
        <v>1640</v>
      </c>
      <c r="W2402" s="5" t="s">
        <v>67</v>
      </c>
      <c r="X2402" s="5" t="s">
        <v>67</v>
      </c>
      <c r="Y2402" s="4">
        <v>460</v>
      </c>
      <c r="Z2402" s="4">
        <v>34</v>
      </c>
      <c r="AA2402" s="4">
        <v>91</v>
      </c>
      <c r="AB2402" s="4">
        <v>2</v>
      </c>
      <c r="AC2402" s="4">
        <v>15</v>
      </c>
      <c r="AD2402" s="4">
        <v>97</v>
      </c>
      <c r="AE2402" s="4">
        <v>132</v>
      </c>
      <c r="AF2402" s="4">
        <v>1</v>
      </c>
      <c r="AG2402" s="4">
        <v>8</v>
      </c>
      <c r="AH2402" s="4">
        <v>86</v>
      </c>
      <c r="AI2402" s="4">
        <v>97</v>
      </c>
      <c r="AJ2402" s="4">
        <v>16</v>
      </c>
      <c r="AK2402" s="4">
        <v>23</v>
      </c>
      <c r="AL2402" s="4">
        <v>46</v>
      </c>
      <c r="AM2402" s="4">
        <v>51</v>
      </c>
      <c r="AN2402" s="4">
        <v>0</v>
      </c>
      <c r="AO2402" s="4">
        <v>0</v>
      </c>
      <c r="AP2402" s="4">
        <v>21</v>
      </c>
      <c r="AQ2402" s="4">
        <v>45</v>
      </c>
      <c r="AR2402" s="3" t="s">
        <v>62</v>
      </c>
      <c r="AS2402" s="3" t="s">
        <v>62</v>
      </c>
      <c r="AT2402" s="3" t="s">
        <v>62</v>
      </c>
      <c r="AV2402" s="6" t="str">
        <f>HYPERLINK("http://mcgill.on.worldcat.org/oclc/707486678","Catalog Record")</f>
        <v>Catalog Record</v>
      </c>
      <c r="AW2402" s="6" t="str">
        <f>HYPERLINK("http://www.worldcat.org/oclc/707486678","WorldCat Record")</f>
        <v>WorldCat Record</v>
      </c>
      <c r="AX2402" s="3" t="s">
        <v>23485</v>
      </c>
      <c r="AY2402" s="3" t="s">
        <v>23486</v>
      </c>
      <c r="AZ2402" s="3" t="s">
        <v>23487</v>
      </c>
      <c r="BA2402" s="3" t="s">
        <v>23487</v>
      </c>
      <c r="BB2402" s="3" t="s">
        <v>23488</v>
      </c>
      <c r="BC2402" s="3" t="s">
        <v>142</v>
      </c>
      <c r="BD2402" s="3" t="s">
        <v>68</v>
      </c>
      <c r="BE2402" s="3" t="s">
        <v>23489</v>
      </c>
      <c r="BF2402" s="3" t="s">
        <v>23488</v>
      </c>
      <c r="BG2402" s="3" t="s">
        <v>23490</v>
      </c>
    </row>
    <row r="2403" spans="1:59" ht="57" x14ac:dyDescent="0.45">
      <c r="A2403" s="2" t="s">
        <v>59</v>
      </c>
      <c r="B2403" s="2" t="s">
        <v>60</v>
      </c>
      <c r="C2403" s="2" t="s">
        <v>23491</v>
      </c>
      <c r="D2403" s="2" t="s">
        <v>23492</v>
      </c>
      <c r="E2403" s="2" t="s">
        <v>23493</v>
      </c>
      <c r="G2403" s="3" t="s">
        <v>62</v>
      </c>
      <c r="I2403" s="3" t="s">
        <v>62</v>
      </c>
      <c r="J2403" s="3" t="s">
        <v>62</v>
      </c>
      <c r="K2403" s="3" t="s">
        <v>63</v>
      </c>
      <c r="L2403" s="2" t="s">
        <v>19197</v>
      </c>
      <c r="M2403" s="2" t="s">
        <v>23494</v>
      </c>
      <c r="N2403" s="3" t="s">
        <v>1855</v>
      </c>
      <c r="P2403" s="3" t="s">
        <v>65</v>
      </c>
      <c r="R2403" s="3" t="s">
        <v>66</v>
      </c>
      <c r="S2403" s="4">
        <v>7</v>
      </c>
      <c r="T2403" s="4">
        <v>7</v>
      </c>
      <c r="U2403" s="5" t="s">
        <v>23495</v>
      </c>
      <c r="V2403" s="5" t="s">
        <v>23495</v>
      </c>
      <c r="W2403" s="5" t="s">
        <v>67</v>
      </c>
      <c r="X2403" s="5" t="s">
        <v>67</v>
      </c>
      <c r="Y2403" s="4">
        <v>181</v>
      </c>
      <c r="Z2403" s="4">
        <v>12</v>
      </c>
      <c r="AA2403" s="4">
        <v>12</v>
      </c>
      <c r="AB2403" s="4">
        <v>2</v>
      </c>
      <c r="AC2403" s="4">
        <v>2</v>
      </c>
      <c r="AD2403" s="4">
        <v>80</v>
      </c>
      <c r="AE2403" s="4">
        <v>82</v>
      </c>
      <c r="AF2403" s="4">
        <v>1</v>
      </c>
      <c r="AG2403" s="4">
        <v>1</v>
      </c>
      <c r="AH2403" s="4">
        <v>74</v>
      </c>
      <c r="AI2403" s="4">
        <v>76</v>
      </c>
      <c r="AJ2403" s="4">
        <v>8</v>
      </c>
      <c r="AK2403" s="4">
        <v>8</v>
      </c>
      <c r="AL2403" s="4">
        <v>46</v>
      </c>
      <c r="AM2403" s="4">
        <v>47</v>
      </c>
      <c r="AN2403" s="4">
        <v>0</v>
      </c>
      <c r="AO2403" s="4">
        <v>0</v>
      </c>
      <c r="AP2403" s="4">
        <v>8</v>
      </c>
      <c r="AQ2403" s="4">
        <v>8</v>
      </c>
      <c r="AR2403" s="3" t="s">
        <v>62</v>
      </c>
      <c r="AS2403" s="3" t="s">
        <v>62</v>
      </c>
      <c r="AT2403" s="3" t="s">
        <v>61</v>
      </c>
      <c r="AU2403" s="6" t="str">
        <f>HYPERLINK("http://catalog.hathitrust.org/Record/004922264","HathiTrust Record")</f>
        <v>HathiTrust Record</v>
      </c>
      <c r="AV2403" s="6" t="str">
        <f>HYPERLINK("http://mcgill.on.worldcat.org/oclc/56599778","Catalog Record")</f>
        <v>Catalog Record</v>
      </c>
      <c r="AW2403" s="6" t="str">
        <f>HYPERLINK("http://www.worldcat.org/oclc/56599778","WorldCat Record")</f>
        <v>WorldCat Record</v>
      </c>
      <c r="AX2403" s="3" t="s">
        <v>23496</v>
      </c>
      <c r="AY2403" s="3" t="s">
        <v>23497</v>
      </c>
      <c r="AZ2403" s="3" t="s">
        <v>23498</v>
      </c>
      <c r="BA2403" s="3" t="s">
        <v>23498</v>
      </c>
      <c r="BB2403" s="3" t="s">
        <v>23499</v>
      </c>
      <c r="BC2403" s="3" t="s">
        <v>142</v>
      </c>
      <c r="BD2403" s="3" t="s">
        <v>68</v>
      </c>
      <c r="BE2403" s="3" t="s">
        <v>23500</v>
      </c>
      <c r="BF2403" s="3" t="s">
        <v>23499</v>
      </c>
      <c r="BG2403" s="3" t="s">
        <v>23501</v>
      </c>
    </row>
    <row r="2404" spans="1:59" ht="57" x14ac:dyDescent="0.45">
      <c r="A2404" s="2" t="s">
        <v>59</v>
      </c>
      <c r="B2404" s="2" t="s">
        <v>60</v>
      </c>
      <c r="C2404" s="2" t="s">
        <v>23502</v>
      </c>
      <c r="D2404" s="2" t="s">
        <v>23503</v>
      </c>
      <c r="E2404" s="2" t="s">
        <v>23504</v>
      </c>
      <c r="G2404" s="3" t="s">
        <v>62</v>
      </c>
      <c r="I2404" s="3" t="s">
        <v>62</v>
      </c>
      <c r="J2404" s="3" t="s">
        <v>62</v>
      </c>
      <c r="K2404" s="3" t="s">
        <v>63</v>
      </c>
      <c r="L2404" s="2" t="s">
        <v>23505</v>
      </c>
      <c r="M2404" s="2" t="s">
        <v>23506</v>
      </c>
      <c r="N2404" s="3" t="s">
        <v>1604</v>
      </c>
      <c r="P2404" s="3" t="s">
        <v>65</v>
      </c>
      <c r="Q2404" s="2" t="s">
        <v>23507</v>
      </c>
      <c r="R2404" s="3" t="s">
        <v>66</v>
      </c>
      <c r="S2404" s="4">
        <v>35</v>
      </c>
      <c r="T2404" s="4">
        <v>35</v>
      </c>
      <c r="U2404" s="5" t="s">
        <v>23508</v>
      </c>
      <c r="V2404" s="5" t="s">
        <v>23508</v>
      </c>
      <c r="W2404" s="5" t="s">
        <v>67</v>
      </c>
      <c r="X2404" s="5" t="s">
        <v>67</v>
      </c>
      <c r="Y2404" s="4">
        <v>277</v>
      </c>
      <c r="Z2404" s="4">
        <v>13</v>
      </c>
      <c r="AA2404" s="4">
        <v>20</v>
      </c>
      <c r="AB2404" s="4">
        <v>2</v>
      </c>
      <c r="AC2404" s="4">
        <v>5</v>
      </c>
      <c r="AD2404" s="4">
        <v>72</v>
      </c>
      <c r="AE2404" s="4">
        <v>77</v>
      </c>
      <c r="AF2404" s="4">
        <v>1</v>
      </c>
      <c r="AG2404" s="4">
        <v>1</v>
      </c>
      <c r="AH2404" s="4">
        <v>64</v>
      </c>
      <c r="AI2404" s="4">
        <v>67</v>
      </c>
      <c r="AJ2404" s="4">
        <v>8</v>
      </c>
      <c r="AK2404" s="4">
        <v>11</v>
      </c>
      <c r="AL2404" s="4">
        <v>36</v>
      </c>
      <c r="AM2404" s="4">
        <v>39</v>
      </c>
      <c r="AN2404" s="4">
        <v>0</v>
      </c>
      <c r="AO2404" s="4">
        <v>0</v>
      </c>
      <c r="AP2404" s="4">
        <v>11</v>
      </c>
      <c r="AQ2404" s="4">
        <v>14</v>
      </c>
      <c r="AR2404" s="3" t="s">
        <v>62</v>
      </c>
      <c r="AS2404" s="3" t="s">
        <v>62</v>
      </c>
      <c r="AT2404" s="3" t="s">
        <v>62</v>
      </c>
      <c r="AV2404" s="6" t="str">
        <f>HYPERLINK("http://mcgill.on.worldcat.org/oclc/28929672","Catalog Record")</f>
        <v>Catalog Record</v>
      </c>
      <c r="AW2404" s="6" t="str">
        <f>HYPERLINK("http://www.worldcat.org/oclc/28929672","WorldCat Record")</f>
        <v>WorldCat Record</v>
      </c>
      <c r="AX2404" s="3" t="s">
        <v>23509</v>
      </c>
      <c r="AY2404" s="3" t="s">
        <v>23510</v>
      </c>
      <c r="AZ2404" s="3" t="s">
        <v>23511</v>
      </c>
      <c r="BA2404" s="3" t="s">
        <v>23511</v>
      </c>
      <c r="BB2404" s="3" t="s">
        <v>23512</v>
      </c>
      <c r="BC2404" s="3" t="s">
        <v>142</v>
      </c>
      <c r="BD2404" s="3" t="s">
        <v>68</v>
      </c>
      <c r="BE2404" s="3" t="s">
        <v>23513</v>
      </c>
      <c r="BF2404" s="3" t="s">
        <v>23512</v>
      </c>
      <c r="BG2404" s="3" t="s">
        <v>23514</v>
      </c>
    </row>
    <row r="2405" spans="1:59" ht="71.25" x14ac:dyDescent="0.45">
      <c r="A2405" s="2" t="s">
        <v>59</v>
      </c>
      <c r="B2405" s="2" t="s">
        <v>60</v>
      </c>
      <c r="C2405" s="2" t="s">
        <v>23515</v>
      </c>
      <c r="D2405" s="2" t="s">
        <v>23516</v>
      </c>
      <c r="E2405" s="2" t="s">
        <v>23517</v>
      </c>
      <c r="G2405" s="3" t="s">
        <v>62</v>
      </c>
      <c r="I2405" s="3" t="s">
        <v>62</v>
      </c>
      <c r="J2405" s="3" t="s">
        <v>62</v>
      </c>
      <c r="K2405" s="3" t="s">
        <v>63</v>
      </c>
      <c r="M2405" s="2" t="s">
        <v>12845</v>
      </c>
      <c r="N2405" s="3" t="s">
        <v>918</v>
      </c>
      <c r="P2405" s="3" t="s">
        <v>65</v>
      </c>
      <c r="Q2405" s="2" t="s">
        <v>23518</v>
      </c>
      <c r="R2405" s="3" t="s">
        <v>66</v>
      </c>
      <c r="S2405" s="4">
        <v>19</v>
      </c>
      <c r="T2405" s="4">
        <v>19</v>
      </c>
      <c r="U2405" s="5" t="s">
        <v>11178</v>
      </c>
      <c r="V2405" s="5" t="s">
        <v>11178</v>
      </c>
      <c r="W2405" s="5" t="s">
        <v>67</v>
      </c>
      <c r="X2405" s="5" t="s">
        <v>67</v>
      </c>
      <c r="Y2405" s="4">
        <v>177</v>
      </c>
      <c r="Z2405" s="4">
        <v>12</v>
      </c>
      <c r="AA2405" s="4">
        <v>14</v>
      </c>
      <c r="AB2405" s="4">
        <v>1</v>
      </c>
      <c r="AC2405" s="4">
        <v>3</v>
      </c>
      <c r="AD2405" s="4">
        <v>76</v>
      </c>
      <c r="AE2405" s="4">
        <v>78</v>
      </c>
      <c r="AF2405" s="4">
        <v>0</v>
      </c>
      <c r="AG2405" s="4">
        <v>2</v>
      </c>
      <c r="AH2405" s="4">
        <v>71</v>
      </c>
      <c r="AI2405" s="4">
        <v>72</v>
      </c>
      <c r="AJ2405" s="4">
        <v>8</v>
      </c>
      <c r="AK2405" s="4">
        <v>10</v>
      </c>
      <c r="AL2405" s="4">
        <v>36</v>
      </c>
      <c r="AM2405" s="4">
        <v>36</v>
      </c>
      <c r="AN2405" s="4">
        <v>2</v>
      </c>
      <c r="AO2405" s="4">
        <v>2</v>
      </c>
      <c r="AP2405" s="4">
        <v>10</v>
      </c>
      <c r="AQ2405" s="4">
        <v>11</v>
      </c>
      <c r="AR2405" s="3" t="s">
        <v>62</v>
      </c>
      <c r="AS2405" s="3" t="s">
        <v>62</v>
      </c>
      <c r="AT2405" s="3" t="s">
        <v>61</v>
      </c>
      <c r="AU2405" s="6" t="str">
        <f>HYPERLINK("http://catalog.hathitrust.org/Record/004338338","HathiTrust Record")</f>
        <v>HathiTrust Record</v>
      </c>
      <c r="AV2405" s="6" t="str">
        <f>HYPERLINK("http://mcgill.on.worldcat.org/oclc/50006580","Catalog Record")</f>
        <v>Catalog Record</v>
      </c>
      <c r="AW2405" s="6" t="str">
        <f>HYPERLINK("http://www.worldcat.org/oclc/50006580","WorldCat Record")</f>
        <v>WorldCat Record</v>
      </c>
      <c r="AX2405" s="3" t="s">
        <v>23519</v>
      </c>
      <c r="AY2405" s="3" t="s">
        <v>23520</v>
      </c>
      <c r="AZ2405" s="3" t="s">
        <v>23521</v>
      </c>
      <c r="BA2405" s="3" t="s">
        <v>23521</v>
      </c>
      <c r="BB2405" s="3" t="s">
        <v>23522</v>
      </c>
      <c r="BC2405" s="3" t="s">
        <v>142</v>
      </c>
      <c r="BD2405" s="3" t="s">
        <v>68</v>
      </c>
      <c r="BE2405" s="3" t="s">
        <v>23523</v>
      </c>
      <c r="BF2405" s="3" t="s">
        <v>23522</v>
      </c>
      <c r="BG2405" s="3" t="s">
        <v>23524</v>
      </c>
    </row>
    <row r="2406" spans="1:59" ht="57" x14ac:dyDescent="0.45">
      <c r="A2406" s="2" t="s">
        <v>59</v>
      </c>
      <c r="B2406" s="2" t="s">
        <v>60</v>
      </c>
      <c r="C2406" s="2" t="s">
        <v>23525</v>
      </c>
      <c r="D2406" s="2" t="s">
        <v>23526</v>
      </c>
      <c r="E2406" s="2" t="s">
        <v>23527</v>
      </c>
      <c r="G2406" s="3" t="s">
        <v>62</v>
      </c>
      <c r="I2406" s="3" t="s">
        <v>62</v>
      </c>
      <c r="J2406" s="3" t="s">
        <v>62</v>
      </c>
      <c r="K2406" s="3" t="s">
        <v>63</v>
      </c>
      <c r="L2406" s="2" t="s">
        <v>23528</v>
      </c>
      <c r="M2406" s="2" t="s">
        <v>13251</v>
      </c>
      <c r="N2406" s="3" t="s">
        <v>149</v>
      </c>
      <c r="P2406" s="3" t="s">
        <v>65</v>
      </c>
      <c r="Q2406" s="2" t="s">
        <v>23529</v>
      </c>
      <c r="R2406" s="3" t="s">
        <v>66</v>
      </c>
      <c r="S2406" s="4">
        <v>12</v>
      </c>
      <c r="T2406" s="4">
        <v>12</v>
      </c>
      <c r="U2406" s="5" t="s">
        <v>23530</v>
      </c>
      <c r="V2406" s="5" t="s">
        <v>23530</v>
      </c>
      <c r="W2406" s="5" t="s">
        <v>67</v>
      </c>
      <c r="X2406" s="5" t="s">
        <v>67</v>
      </c>
      <c r="Y2406" s="4">
        <v>199</v>
      </c>
      <c r="Z2406" s="4">
        <v>23</v>
      </c>
      <c r="AA2406" s="4">
        <v>25</v>
      </c>
      <c r="AB2406" s="4">
        <v>2</v>
      </c>
      <c r="AC2406" s="4">
        <v>4</v>
      </c>
      <c r="AD2406" s="4">
        <v>77</v>
      </c>
      <c r="AE2406" s="4">
        <v>79</v>
      </c>
      <c r="AF2406" s="4">
        <v>1</v>
      </c>
      <c r="AG2406" s="4">
        <v>3</v>
      </c>
      <c r="AH2406" s="4">
        <v>66</v>
      </c>
      <c r="AI2406" s="4">
        <v>66</v>
      </c>
      <c r="AJ2406" s="4">
        <v>15</v>
      </c>
      <c r="AK2406" s="4">
        <v>17</v>
      </c>
      <c r="AL2406" s="4">
        <v>37</v>
      </c>
      <c r="AM2406" s="4">
        <v>37</v>
      </c>
      <c r="AN2406" s="4">
        <v>0</v>
      </c>
      <c r="AO2406" s="4">
        <v>0</v>
      </c>
      <c r="AP2406" s="4">
        <v>19</v>
      </c>
      <c r="AQ2406" s="4">
        <v>20</v>
      </c>
      <c r="AR2406" s="3" t="s">
        <v>62</v>
      </c>
      <c r="AS2406" s="3" t="s">
        <v>62</v>
      </c>
      <c r="AT2406" s="3" t="s">
        <v>62</v>
      </c>
      <c r="AV2406" s="6" t="str">
        <f>HYPERLINK("http://mcgill.on.worldcat.org/oclc/463307407","Catalog Record")</f>
        <v>Catalog Record</v>
      </c>
      <c r="AW2406" s="6" t="str">
        <f>HYPERLINK("http://www.worldcat.org/oclc/463307407","WorldCat Record")</f>
        <v>WorldCat Record</v>
      </c>
      <c r="AX2406" s="3" t="s">
        <v>23531</v>
      </c>
      <c r="AY2406" s="3" t="s">
        <v>23532</v>
      </c>
      <c r="AZ2406" s="3" t="s">
        <v>23533</v>
      </c>
      <c r="BA2406" s="3" t="s">
        <v>23533</v>
      </c>
      <c r="BB2406" s="3" t="s">
        <v>23534</v>
      </c>
      <c r="BC2406" s="3" t="s">
        <v>142</v>
      </c>
      <c r="BD2406" s="3" t="s">
        <v>68</v>
      </c>
      <c r="BE2406" s="3" t="s">
        <v>23535</v>
      </c>
      <c r="BF2406" s="3" t="s">
        <v>23534</v>
      </c>
      <c r="BG2406" s="3" t="s">
        <v>23536</v>
      </c>
    </row>
    <row r="2407" spans="1:59" ht="71.25" x14ac:dyDescent="0.45">
      <c r="A2407" s="2" t="s">
        <v>59</v>
      </c>
      <c r="B2407" s="2" t="s">
        <v>13360</v>
      </c>
      <c r="C2407" s="2" t="s">
        <v>23537</v>
      </c>
      <c r="D2407" s="2" t="s">
        <v>23538</v>
      </c>
      <c r="E2407" s="2" t="s">
        <v>23539</v>
      </c>
      <c r="G2407" s="3" t="s">
        <v>62</v>
      </c>
      <c r="I2407" s="3" t="s">
        <v>62</v>
      </c>
      <c r="J2407" s="3" t="s">
        <v>62</v>
      </c>
      <c r="K2407" s="3" t="s">
        <v>63</v>
      </c>
      <c r="L2407" s="2" t="s">
        <v>23540</v>
      </c>
      <c r="M2407" s="2" t="s">
        <v>23541</v>
      </c>
      <c r="N2407" s="3" t="s">
        <v>149</v>
      </c>
      <c r="P2407" s="3" t="s">
        <v>110</v>
      </c>
      <c r="Q2407" s="2" t="s">
        <v>23542</v>
      </c>
      <c r="R2407" s="3" t="s">
        <v>66</v>
      </c>
      <c r="S2407" s="4">
        <v>0</v>
      </c>
      <c r="T2407" s="4">
        <v>0</v>
      </c>
      <c r="W2407" s="5" t="s">
        <v>67</v>
      </c>
      <c r="X2407" s="5" t="s">
        <v>67</v>
      </c>
      <c r="Y2407" s="4">
        <v>11</v>
      </c>
      <c r="Z2407" s="4">
        <v>2</v>
      </c>
      <c r="AA2407" s="4">
        <v>14</v>
      </c>
      <c r="AB2407" s="4">
        <v>2</v>
      </c>
      <c r="AC2407" s="4">
        <v>11</v>
      </c>
      <c r="AD2407" s="4">
        <v>4</v>
      </c>
      <c r="AE2407" s="4">
        <v>10</v>
      </c>
      <c r="AF2407" s="4">
        <v>0</v>
      </c>
      <c r="AG2407" s="4">
        <v>4</v>
      </c>
      <c r="AH2407" s="4">
        <v>4</v>
      </c>
      <c r="AI2407" s="4">
        <v>7</v>
      </c>
      <c r="AJ2407" s="4">
        <v>0</v>
      </c>
      <c r="AK2407" s="4">
        <v>5</v>
      </c>
      <c r="AL2407" s="4">
        <v>4</v>
      </c>
      <c r="AM2407" s="4">
        <v>4</v>
      </c>
      <c r="AN2407" s="4">
        <v>0</v>
      </c>
      <c r="AO2407" s="4">
        <v>0</v>
      </c>
      <c r="AP2407" s="4">
        <v>0</v>
      </c>
      <c r="AQ2407" s="4">
        <v>5</v>
      </c>
      <c r="AR2407" s="3" t="s">
        <v>62</v>
      </c>
      <c r="AS2407" s="3" t="s">
        <v>62</v>
      </c>
      <c r="AT2407" s="3" t="s">
        <v>62</v>
      </c>
      <c r="AV2407" s="6" t="str">
        <f>HYPERLINK("http://mcgill.on.worldcat.org/oclc/662576506","Catalog Record")</f>
        <v>Catalog Record</v>
      </c>
      <c r="AW2407" s="6" t="str">
        <f>HYPERLINK("http://www.worldcat.org/oclc/662576506","WorldCat Record")</f>
        <v>WorldCat Record</v>
      </c>
      <c r="AX2407" s="3" t="s">
        <v>23543</v>
      </c>
      <c r="AY2407" s="3" t="s">
        <v>23544</v>
      </c>
      <c r="AZ2407" s="3" t="s">
        <v>23545</v>
      </c>
      <c r="BA2407" s="3" t="s">
        <v>23545</v>
      </c>
      <c r="BB2407" s="3" t="s">
        <v>23546</v>
      </c>
      <c r="BC2407" s="3" t="s">
        <v>142</v>
      </c>
      <c r="BD2407" s="3" t="s">
        <v>68</v>
      </c>
      <c r="BE2407" s="3" t="s">
        <v>23547</v>
      </c>
      <c r="BF2407" s="3" t="s">
        <v>23546</v>
      </c>
      <c r="BG2407" s="3" t="s">
        <v>23548</v>
      </c>
    </row>
    <row r="2408" spans="1:59" ht="57" x14ac:dyDescent="0.45">
      <c r="A2408" s="2" t="s">
        <v>59</v>
      </c>
      <c r="B2408" s="2" t="s">
        <v>60</v>
      </c>
      <c r="C2408" s="2" t="s">
        <v>23549</v>
      </c>
      <c r="D2408" s="2" t="s">
        <v>23550</v>
      </c>
      <c r="E2408" s="2" t="s">
        <v>23551</v>
      </c>
      <c r="G2408" s="3" t="s">
        <v>62</v>
      </c>
      <c r="I2408" s="3" t="s">
        <v>62</v>
      </c>
      <c r="J2408" s="3" t="s">
        <v>62</v>
      </c>
      <c r="K2408" s="3" t="s">
        <v>63</v>
      </c>
      <c r="M2408" s="2" t="s">
        <v>23552</v>
      </c>
      <c r="N2408" s="3" t="s">
        <v>918</v>
      </c>
      <c r="P2408" s="3" t="s">
        <v>65</v>
      </c>
      <c r="Q2408" s="2" t="s">
        <v>13123</v>
      </c>
      <c r="R2408" s="3" t="s">
        <v>66</v>
      </c>
      <c r="S2408" s="4">
        <v>45</v>
      </c>
      <c r="T2408" s="4">
        <v>45</v>
      </c>
      <c r="U2408" s="5" t="s">
        <v>16493</v>
      </c>
      <c r="V2408" s="5" t="s">
        <v>16493</v>
      </c>
      <c r="W2408" s="5" t="s">
        <v>67</v>
      </c>
      <c r="X2408" s="5" t="s">
        <v>67</v>
      </c>
      <c r="Y2408" s="4">
        <v>410</v>
      </c>
      <c r="Z2408" s="4">
        <v>27</v>
      </c>
      <c r="AA2408" s="4">
        <v>33</v>
      </c>
      <c r="AB2408" s="4">
        <v>2</v>
      </c>
      <c r="AC2408" s="4">
        <v>6</v>
      </c>
      <c r="AD2408" s="4">
        <v>111</v>
      </c>
      <c r="AE2408" s="4">
        <v>115</v>
      </c>
      <c r="AF2408" s="4">
        <v>1</v>
      </c>
      <c r="AG2408" s="4">
        <v>3</v>
      </c>
      <c r="AH2408" s="4">
        <v>95</v>
      </c>
      <c r="AI2408" s="4">
        <v>96</v>
      </c>
      <c r="AJ2408" s="4">
        <v>17</v>
      </c>
      <c r="AK2408" s="4">
        <v>20</v>
      </c>
      <c r="AL2408" s="4">
        <v>50</v>
      </c>
      <c r="AM2408" s="4">
        <v>50</v>
      </c>
      <c r="AN2408" s="4">
        <v>0</v>
      </c>
      <c r="AO2408" s="4">
        <v>0</v>
      </c>
      <c r="AP2408" s="4">
        <v>22</v>
      </c>
      <c r="AQ2408" s="4">
        <v>25</v>
      </c>
      <c r="AR2408" s="3" t="s">
        <v>62</v>
      </c>
      <c r="AS2408" s="3" t="s">
        <v>62</v>
      </c>
      <c r="AT2408" s="3" t="s">
        <v>61</v>
      </c>
      <c r="AU2408" s="6" t="str">
        <f>HYPERLINK("http://catalog.hathitrust.org/Record/004351596","HathiTrust Record")</f>
        <v>HathiTrust Record</v>
      </c>
      <c r="AV2408" s="6" t="str">
        <f>HYPERLINK("http://mcgill.on.worldcat.org/oclc/51728710","Catalog Record")</f>
        <v>Catalog Record</v>
      </c>
      <c r="AW2408" s="6" t="str">
        <f>HYPERLINK("http://www.worldcat.org/oclc/51728710","WorldCat Record")</f>
        <v>WorldCat Record</v>
      </c>
      <c r="AX2408" s="3" t="s">
        <v>23553</v>
      </c>
      <c r="AY2408" s="3" t="s">
        <v>23554</v>
      </c>
      <c r="AZ2408" s="3" t="s">
        <v>23555</v>
      </c>
      <c r="BA2408" s="3" t="s">
        <v>23555</v>
      </c>
      <c r="BB2408" s="3" t="s">
        <v>23556</v>
      </c>
      <c r="BC2408" s="3" t="s">
        <v>142</v>
      </c>
      <c r="BD2408" s="3" t="s">
        <v>68</v>
      </c>
      <c r="BE2408" s="3" t="s">
        <v>23557</v>
      </c>
      <c r="BF2408" s="3" t="s">
        <v>23556</v>
      </c>
      <c r="BG2408" s="3" t="s">
        <v>23558</v>
      </c>
    </row>
    <row r="2409" spans="1:59" ht="57" x14ac:dyDescent="0.45">
      <c r="A2409" s="2" t="s">
        <v>59</v>
      </c>
      <c r="B2409" s="2" t="s">
        <v>60</v>
      </c>
      <c r="C2409" s="2" t="s">
        <v>23559</v>
      </c>
      <c r="D2409" s="2" t="s">
        <v>23560</v>
      </c>
      <c r="E2409" s="2" t="s">
        <v>23561</v>
      </c>
      <c r="G2409" s="3" t="s">
        <v>62</v>
      </c>
      <c r="I2409" s="3" t="s">
        <v>62</v>
      </c>
      <c r="J2409" s="3" t="s">
        <v>62</v>
      </c>
      <c r="K2409" s="3" t="s">
        <v>63</v>
      </c>
      <c r="L2409" s="2" t="s">
        <v>23562</v>
      </c>
      <c r="M2409" s="2" t="s">
        <v>4047</v>
      </c>
      <c r="N2409" s="3" t="s">
        <v>945</v>
      </c>
      <c r="P2409" s="3" t="s">
        <v>65</v>
      </c>
      <c r="Q2409" s="2" t="s">
        <v>23563</v>
      </c>
      <c r="R2409" s="3" t="s">
        <v>66</v>
      </c>
      <c r="S2409" s="4">
        <v>24</v>
      </c>
      <c r="T2409" s="4">
        <v>24</v>
      </c>
      <c r="U2409" s="5" t="s">
        <v>23564</v>
      </c>
      <c r="V2409" s="5" t="s">
        <v>23564</v>
      </c>
      <c r="W2409" s="5" t="s">
        <v>67</v>
      </c>
      <c r="X2409" s="5" t="s">
        <v>67</v>
      </c>
      <c r="Y2409" s="4">
        <v>305</v>
      </c>
      <c r="Z2409" s="4">
        <v>23</v>
      </c>
      <c r="AA2409" s="4">
        <v>84</v>
      </c>
      <c r="AB2409" s="4">
        <v>2</v>
      </c>
      <c r="AC2409" s="4">
        <v>15</v>
      </c>
      <c r="AD2409" s="4">
        <v>66</v>
      </c>
      <c r="AE2409" s="4">
        <v>108</v>
      </c>
      <c r="AF2409" s="4">
        <v>1</v>
      </c>
      <c r="AG2409" s="4">
        <v>8</v>
      </c>
      <c r="AH2409" s="4">
        <v>54</v>
      </c>
      <c r="AI2409" s="4">
        <v>71</v>
      </c>
      <c r="AJ2409" s="4">
        <v>11</v>
      </c>
      <c r="AK2409" s="4">
        <v>20</v>
      </c>
      <c r="AL2409" s="4">
        <v>29</v>
      </c>
      <c r="AM2409" s="4">
        <v>36</v>
      </c>
      <c r="AN2409" s="4">
        <v>0</v>
      </c>
      <c r="AO2409" s="4">
        <v>0</v>
      </c>
      <c r="AP2409" s="4">
        <v>18</v>
      </c>
      <c r="AQ2409" s="4">
        <v>45</v>
      </c>
      <c r="AR2409" s="3" t="s">
        <v>62</v>
      </c>
      <c r="AS2409" s="3" t="s">
        <v>62</v>
      </c>
      <c r="AT2409" s="3" t="s">
        <v>62</v>
      </c>
      <c r="AV2409" s="6" t="str">
        <f>HYPERLINK("http://mcgill.on.worldcat.org/oclc/154677587","Catalog Record")</f>
        <v>Catalog Record</v>
      </c>
      <c r="AW2409" s="6" t="str">
        <f>HYPERLINK("http://www.worldcat.org/oclc/154677587","WorldCat Record")</f>
        <v>WorldCat Record</v>
      </c>
      <c r="AX2409" s="3" t="s">
        <v>23565</v>
      </c>
      <c r="AY2409" s="3" t="s">
        <v>23566</v>
      </c>
      <c r="AZ2409" s="3" t="s">
        <v>23567</v>
      </c>
      <c r="BA2409" s="3" t="s">
        <v>23567</v>
      </c>
      <c r="BB2409" s="3" t="s">
        <v>23568</v>
      </c>
      <c r="BC2409" s="3" t="s">
        <v>142</v>
      </c>
      <c r="BD2409" s="3" t="s">
        <v>68</v>
      </c>
      <c r="BE2409" s="3" t="s">
        <v>23569</v>
      </c>
      <c r="BF2409" s="3" t="s">
        <v>23568</v>
      </c>
      <c r="BG2409" s="3" t="s">
        <v>23570</v>
      </c>
    </row>
    <row r="2410" spans="1:59" ht="57" x14ac:dyDescent="0.45">
      <c r="A2410" s="2" t="s">
        <v>59</v>
      </c>
      <c r="B2410" s="2" t="s">
        <v>60</v>
      </c>
      <c r="C2410" s="2" t="s">
        <v>23571</v>
      </c>
      <c r="D2410" s="2" t="s">
        <v>23572</v>
      </c>
      <c r="E2410" s="2" t="s">
        <v>23573</v>
      </c>
      <c r="G2410" s="3" t="s">
        <v>62</v>
      </c>
      <c r="I2410" s="3" t="s">
        <v>62</v>
      </c>
      <c r="J2410" s="3" t="s">
        <v>62</v>
      </c>
      <c r="K2410" s="3" t="s">
        <v>63</v>
      </c>
      <c r="L2410" s="2" t="s">
        <v>23574</v>
      </c>
      <c r="M2410" s="2" t="s">
        <v>23575</v>
      </c>
      <c r="N2410" s="3" t="s">
        <v>894</v>
      </c>
      <c r="P2410" s="3" t="s">
        <v>65</v>
      </c>
      <c r="R2410" s="3" t="s">
        <v>66</v>
      </c>
      <c r="S2410" s="4">
        <v>2</v>
      </c>
      <c r="T2410" s="4">
        <v>2</v>
      </c>
      <c r="U2410" s="5" t="s">
        <v>23576</v>
      </c>
      <c r="V2410" s="5" t="s">
        <v>23576</v>
      </c>
      <c r="W2410" s="5" t="s">
        <v>67</v>
      </c>
      <c r="X2410" s="5" t="s">
        <v>67</v>
      </c>
      <c r="Y2410" s="4">
        <v>85</v>
      </c>
      <c r="Z2410" s="4">
        <v>13</v>
      </c>
      <c r="AA2410" s="4">
        <v>81</v>
      </c>
      <c r="AB2410" s="4">
        <v>2</v>
      </c>
      <c r="AC2410" s="4">
        <v>15</v>
      </c>
      <c r="AD2410" s="4">
        <v>31</v>
      </c>
      <c r="AE2410" s="4">
        <v>101</v>
      </c>
      <c r="AF2410" s="4">
        <v>1</v>
      </c>
      <c r="AG2410" s="4">
        <v>8</v>
      </c>
      <c r="AH2410" s="4">
        <v>27</v>
      </c>
      <c r="AI2410" s="4">
        <v>67</v>
      </c>
      <c r="AJ2410" s="4">
        <v>8</v>
      </c>
      <c r="AK2410" s="4">
        <v>22</v>
      </c>
      <c r="AL2410" s="4">
        <v>19</v>
      </c>
      <c r="AM2410" s="4">
        <v>35</v>
      </c>
      <c r="AN2410" s="4">
        <v>0</v>
      </c>
      <c r="AO2410" s="4">
        <v>0</v>
      </c>
      <c r="AP2410" s="4">
        <v>10</v>
      </c>
      <c r="AQ2410" s="4">
        <v>43</v>
      </c>
      <c r="AR2410" s="3" t="s">
        <v>62</v>
      </c>
      <c r="AS2410" s="3" t="s">
        <v>62</v>
      </c>
      <c r="AT2410" s="3" t="s">
        <v>62</v>
      </c>
      <c r="AV2410" s="6" t="str">
        <f>HYPERLINK("http://mcgill.on.worldcat.org/oclc/747008414","Catalog Record")</f>
        <v>Catalog Record</v>
      </c>
      <c r="AW2410" s="6" t="str">
        <f>HYPERLINK("http://www.worldcat.org/oclc/747008414","WorldCat Record")</f>
        <v>WorldCat Record</v>
      </c>
      <c r="AX2410" s="3" t="s">
        <v>23577</v>
      </c>
      <c r="AY2410" s="3" t="s">
        <v>23578</v>
      </c>
      <c r="AZ2410" s="3" t="s">
        <v>23579</v>
      </c>
      <c r="BA2410" s="3" t="s">
        <v>23579</v>
      </c>
      <c r="BB2410" s="3" t="s">
        <v>23580</v>
      </c>
      <c r="BC2410" s="3" t="s">
        <v>142</v>
      </c>
      <c r="BD2410" s="3" t="s">
        <v>68</v>
      </c>
      <c r="BE2410" s="3" t="s">
        <v>23581</v>
      </c>
      <c r="BF2410" s="3" t="s">
        <v>23580</v>
      </c>
      <c r="BG2410" s="3" t="s">
        <v>23582</v>
      </c>
    </row>
    <row r="2411" spans="1:59" ht="71.25" x14ac:dyDescent="0.45">
      <c r="A2411" s="2" t="s">
        <v>59</v>
      </c>
      <c r="B2411" s="2" t="s">
        <v>60</v>
      </c>
      <c r="C2411" s="2" t="s">
        <v>23583</v>
      </c>
      <c r="D2411" s="2" t="s">
        <v>23584</v>
      </c>
      <c r="E2411" s="2" t="s">
        <v>23585</v>
      </c>
      <c r="G2411" s="3" t="s">
        <v>62</v>
      </c>
      <c r="I2411" s="3" t="s">
        <v>62</v>
      </c>
      <c r="J2411" s="3" t="s">
        <v>62</v>
      </c>
      <c r="K2411" s="3" t="s">
        <v>63</v>
      </c>
      <c r="L2411" s="2" t="s">
        <v>23586</v>
      </c>
      <c r="M2411" s="2" t="s">
        <v>23587</v>
      </c>
      <c r="N2411" s="3" t="s">
        <v>820</v>
      </c>
      <c r="P2411" s="3" t="s">
        <v>65</v>
      </c>
      <c r="Q2411" s="2" t="s">
        <v>23588</v>
      </c>
      <c r="R2411" s="3" t="s">
        <v>66</v>
      </c>
      <c r="S2411" s="4">
        <v>2</v>
      </c>
      <c r="T2411" s="4">
        <v>2</v>
      </c>
      <c r="U2411" s="5" t="s">
        <v>23589</v>
      </c>
      <c r="V2411" s="5" t="s">
        <v>23589</v>
      </c>
      <c r="W2411" s="5" t="s">
        <v>67</v>
      </c>
      <c r="X2411" s="5" t="s">
        <v>67</v>
      </c>
      <c r="Y2411" s="4">
        <v>109</v>
      </c>
      <c r="Z2411" s="4">
        <v>13</v>
      </c>
      <c r="AA2411" s="4">
        <v>13</v>
      </c>
      <c r="AB2411" s="4">
        <v>4</v>
      </c>
      <c r="AC2411" s="4">
        <v>4</v>
      </c>
      <c r="AD2411" s="4">
        <v>45</v>
      </c>
      <c r="AE2411" s="4">
        <v>45</v>
      </c>
      <c r="AF2411" s="4">
        <v>1</v>
      </c>
      <c r="AG2411" s="4">
        <v>1</v>
      </c>
      <c r="AH2411" s="4">
        <v>42</v>
      </c>
      <c r="AI2411" s="4">
        <v>42</v>
      </c>
      <c r="AJ2411" s="4">
        <v>8</v>
      </c>
      <c r="AK2411" s="4">
        <v>8</v>
      </c>
      <c r="AL2411" s="4">
        <v>28</v>
      </c>
      <c r="AM2411" s="4">
        <v>28</v>
      </c>
      <c r="AN2411" s="4">
        <v>0</v>
      </c>
      <c r="AO2411" s="4">
        <v>0</v>
      </c>
      <c r="AP2411" s="4">
        <v>8</v>
      </c>
      <c r="AQ2411" s="4">
        <v>8</v>
      </c>
      <c r="AR2411" s="3" t="s">
        <v>62</v>
      </c>
      <c r="AS2411" s="3" t="s">
        <v>62</v>
      </c>
      <c r="AT2411" s="3" t="s">
        <v>62</v>
      </c>
      <c r="AV2411" s="6" t="str">
        <f>HYPERLINK("http://mcgill.on.worldcat.org/oclc/286498011","Catalog Record")</f>
        <v>Catalog Record</v>
      </c>
      <c r="AW2411" s="6" t="str">
        <f>HYPERLINK("http://www.worldcat.org/oclc/286498011","WorldCat Record")</f>
        <v>WorldCat Record</v>
      </c>
      <c r="AX2411" s="3" t="s">
        <v>23590</v>
      </c>
      <c r="AY2411" s="3" t="s">
        <v>23591</v>
      </c>
      <c r="AZ2411" s="3" t="s">
        <v>23592</v>
      </c>
      <c r="BA2411" s="3" t="s">
        <v>23592</v>
      </c>
      <c r="BB2411" s="3" t="s">
        <v>23593</v>
      </c>
      <c r="BC2411" s="3" t="s">
        <v>142</v>
      </c>
      <c r="BD2411" s="3" t="s">
        <v>68</v>
      </c>
      <c r="BE2411" s="3" t="s">
        <v>23594</v>
      </c>
      <c r="BF2411" s="3" t="s">
        <v>23593</v>
      </c>
      <c r="BG2411" s="3" t="s">
        <v>23595</v>
      </c>
    </row>
    <row r="2412" spans="1:59" ht="57" x14ac:dyDescent="0.45">
      <c r="A2412" s="2" t="s">
        <v>59</v>
      </c>
      <c r="B2412" s="2" t="s">
        <v>60</v>
      </c>
      <c r="C2412" s="2" t="s">
        <v>23596</v>
      </c>
      <c r="D2412" s="2" t="s">
        <v>23597</v>
      </c>
      <c r="E2412" s="2" t="s">
        <v>23598</v>
      </c>
      <c r="G2412" s="3" t="s">
        <v>62</v>
      </c>
      <c r="I2412" s="3" t="s">
        <v>62</v>
      </c>
      <c r="J2412" s="3" t="s">
        <v>62</v>
      </c>
      <c r="K2412" s="3" t="s">
        <v>63</v>
      </c>
      <c r="M2412" s="2" t="s">
        <v>23599</v>
      </c>
      <c r="N2412" s="3" t="s">
        <v>1155</v>
      </c>
      <c r="P2412" s="3" t="s">
        <v>65</v>
      </c>
      <c r="R2412" s="3" t="s">
        <v>66</v>
      </c>
      <c r="S2412" s="4">
        <v>5</v>
      </c>
      <c r="T2412" s="4">
        <v>5</v>
      </c>
      <c r="U2412" s="5" t="s">
        <v>8860</v>
      </c>
      <c r="V2412" s="5" t="s">
        <v>8860</v>
      </c>
      <c r="W2412" s="5" t="s">
        <v>67</v>
      </c>
      <c r="X2412" s="5" t="s">
        <v>67</v>
      </c>
      <c r="Y2412" s="4">
        <v>142</v>
      </c>
      <c r="Z2412" s="4">
        <v>57</v>
      </c>
      <c r="AA2412" s="4">
        <v>85</v>
      </c>
      <c r="AB2412" s="4">
        <v>2</v>
      </c>
      <c r="AC2412" s="4">
        <v>8</v>
      </c>
      <c r="AD2412" s="4">
        <v>77</v>
      </c>
      <c r="AE2412" s="4">
        <v>97</v>
      </c>
      <c r="AF2412" s="4">
        <v>1</v>
      </c>
      <c r="AG2412" s="4">
        <v>4</v>
      </c>
      <c r="AH2412" s="4">
        <v>52</v>
      </c>
      <c r="AI2412" s="4">
        <v>58</v>
      </c>
      <c r="AJ2412" s="4">
        <v>23</v>
      </c>
      <c r="AK2412" s="4">
        <v>25</v>
      </c>
      <c r="AL2412" s="4">
        <v>31</v>
      </c>
      <c r="AM2412" s="4">
        <v>34</v>
      </c>
      <c r="AN2412" s="4">
        <v>0</v>
      </c>
      <c r="AO2412" s="4">
        <v>0</v>
      </c>
      <c r="AP2412" s="4">
        <v>33</v>
      </c>
      <c r="AQ2412" s="4">
        <v>48</v>
      </c>
      <c r="AR2412" s="3" t="s">
        <v>61</v>
      </c>
      <c r="AS2412" s="3" t="s">
        <v>62</v>
      </c>
      <c r="AT2412" s="3" t="s">
        <v>62</v>
      </c>
      <c r="AV2412" s="6" t="str">
        <f>HYPERLINK("http://mcgill.on.worldcat.org/oclc/762958715","Catalog Record")</f>
        <v>Catalog Record</v>
      </c>
      <c r="AW2412" s="6" t="str">
        <f>HYPERLINK("http://www.worldcat.org/oclc/762958715","WorldCat Record")</f>
        <v>WorldCat Record</v>
      </c>
      <c r="AX2412" s="3" t="s">
        <v>23600</v>
      </c>
      <c r="AY2412" s="3" t="s">
        <v>23601</v>
      </c>
      <c r="AZ2412" s="3" t="s">
        <v>23602</v>
      </c>
      <c r="BA2412" s="3" t="s">
        <v>23602</v>
      </c>
      <c r="BB2412" s="3" t="s">
        <v>23603</v>
      </c>
      <c r="BC2412" s="3" t="s">
        <v>142</v>
      </c>
      <c r="BD2412" s="3" t="s">
        <v>68</v>
      </c>
      <c r="BE2412" s="3" t="s">
        <v>23604</v>
      </c>
      <c r="BF2412" s="3" t="s">
        <v>23603</v>
      </c>
      <c r="BG2412" s="3" t="s">
        <v>23605</v>
      </c>
    </row>
    <row r="2413" spans="1:59" ht="71.25" x14ac:dyDescent="0.45">
      <c r="A2413" s="2" t="s">
        <v>59</v>
      </c>
      <c r="B2413" s="2" t="s">
        <v>60</v>
      </c>
      <c r="C2413" s="2" t="s">
        <v>23606</v>
      </c>
      <c r="D2413" s="2" t="s">
        <v>23607</v>
      </c>
      <c r="E2413" s="2" t="s">
        <v>23608</v>
      </c>
      <c r="G2413" s="3" t="s">
        <v>62</v>
      </c>
      <c r="I2413" s="3" t="s">
        <v>62</v>
      </c>
      <c r="J2413" s="3" t="s">
        <v>62</v>
      </c>
      <c r="K2413" s="3" t="s">
        <v>63</v>
      </c>
      <c r="L2413" s="2" t="s">
        <v>23609</v>
      </c>
      <c r="M2413" s="2" t="s">
        <v>23610</v>
      </c>
      <c r="N2413" s="3" t="s">
        <v>970</v>
      </c>
      <c r="P2413" s="3" t="s">
        <v>65</v>
      </c>
      <c r="R2413" s="3" t="s">
        <v>66</v>
      </c>
      <c r="S2413" s="4">
        <v>37</v>
      </c>
      <c r="T2413" s="4">
        <v>37</v>
      </c>
      <c r="U2413" s="5" t="s">
        <v>8860</v>
      </c>
      <c r="V2413" s="5" t="s">
        <v>8860</v>
      </c>
      <c r="W2413" s="5" t="s">
        <v>67</v>
      </c>
      <c r="X2413" s="5" t="s">
        <v>67</v>
      </c>
      <c r="Y2413" s="4">
        <v>294</v>
      </c>
      <c r="Z2413" s="4">
        <v>17</v>
      </c>
      <c r="AA2413" s="4">
        <v>101</v>
      </c>
      <c r="AB2413" s="4">
        <v>2</v>
      </c>
      <c r="AC2413" s="4">
        <v>17</v>
      </c>
      <c r="AD2413" s="4">
        <v>73</v>
      </c>
      <c r="AE2413" s="4">
        <v>133</v>
      </c>
      <c r="AF2413" s="4">
        <v>1</v>
      </c>
      <c r="AG2413" s="4">
        <v>8</v>
      </c>
      <c r="AH2413" s="4">
        <v>61</v>
      </c>
      <c r="AI2413" s="4">
        <v>91</v>
      </c>
      <c r="AJ2413" s="4">
        <v>10</v>
      </c>
      <c r="AK2413" s="4">
        <v>24</v>
      </c>
      <c r="AL2413" s="4">
        <v>40</v>
      </c>
      <c r="AM2413" s="4">
        <v>50</v>
      </c>
      <c r="AN2413" s="4">
        <v>0</v>
      </c>
      <c r="AO2413" s="4">
        <v>0</v>
      </c>
      <c r="AP2413" s="4">
        <v>15</v>
      </c>
      <c r="AQ2413" s="4">
        <v>49</v>
      </c>
      <c r="AR2413" s="3" t="s">
        <v>62</v>
      </c>
      <c r="AS2413" s="3" t="s">
        <v>62</v>
      </c>
      <c r="AT2413" s="3" t="s">
        <v>61</v>
      </c>
      <c r="AU2413" s="6" t="str">
        <f>HYPERLINK("http://catalog.hathitrust.org/Record/003582501","HathiTrust Record")</f>
        <v>HathiTrust Record</v>
      </c>
      <c r="AV2413" s="6" t="str">
        <f>HYPERLINK("http://mcgill.on.worldcat.org/oclc/47900803","Catalog Record")</f>
        <v>Catalog Record</v>
      </c>
      <c r="AW2413" s="6" t="str">
        <f>HYPERLINK("http://www.worldcat.org/oclc/47900803","WorldCat Record")</f>
        <v>WorldCat Record</v>
      </c>
      <c r="AX2413" s="3" t="s">
        <v>23611</v>
      </c>
      <c r="AY2413" s="3" t="s">
        <v>23612</v>
      </c>
      <c r="AZ2413" s="3" t="s">
        <v>23613</v>
      </c>
      <c r="BA2413" s="3" t="s">
        <v>23613</v>
      </c>
      <c r="BB2413" s="3" t="s">
        <v>23614</v>
      </c>
      <c r="BC2413" s="3" t="s">
        <v>142</v>
      </c>
      <c r="BD2413" s="3" t="s">
        <v>68</v>
      </c>
      <c r="BE2413" s="3" t="s">
        <v>23615</v>
      </c>
      <c r="BF2413" s="3" t="s">
        <v>23614</v>
      </c>
      <c r="BG2413" s="3" t="s">
        <v>23616</v>
      </c>
    </row>
    <row r="2414" spans="1:59" ht="57" x14ac:dyDescent="0.45">
      <c r="A2414" s="2" t="s">
        <v>59</v>
      </c>
      <c r="B2414" s="2" t="s">
        <v>60</v>
      </c>
      <c r="C2414" s="2" t="s">
        <v>23617</v>
      </c>
      <c r="D2414" s="2" t="s">
        <v>23618</v>
      </c>
      <c r="E2414" s="2" t="s">
        <v>23619</v>
      </c>
      <c r="G2414" s="3" t="s">
        <v>62</v>
      </c>
      <c r="I2414" s="3" t="s">
        <v>62</v>
      </c>
      <c r="J2414" s="3" t="s">
        <v>62</v>
      </c>
      <c r="K2414" s="3" t="s">
        <v>63</v>
      </c>
      <c r="M2414" s="2" t="s">
        <v>6679</v>
      </c>
      <c r="N2414" s="3" t="s">
        <v>149</v>
      </c>
      <c r="P2414" s="3" t="s">
        <v>65</v>
      </c>
      <c r="R2414" s="3" t="s">
        <v>66</v>
      </c>
      <c r="S2414" s="4">
        <v>6</v>
      </c>
      <c r="T2414" s="4">
        <v>6</v>
      </c>
      <c r="U2414" s="5" t="s">
        <v>1640</v>
      </c>
      <c r="V2414" s="5" t="s">
        <v>1640</v>
      </c>
      <c r="W2414" s="5" t="s">
        <v>67</v>
      </c>
      <c r="X2414" s="5" t="s">
        <v>67</v>
      </c>
      <c r="Y2414" s="4">
        <v>463</v>
      </c>
      <c r="Z2414" s="4">
        <v>30</v>
      </c>
      <c r="AA2414" s="4">
        <v>33</v>
      </c>
      <c r="AB2414" s="4">
        <v>3</v>
      </c>
      <c r="AC2414" s="4">
        <v>5</v>
      </c>
      <c r="AD2414" s="4">
        <v>107</v>
      </c>
      <c r="AE2414" s="4">
        <v>110</v>
      </c>
      <c r="AF2414" s="4">
        <v>1</v>
      </c>
      <c r="AG2414" s="4">
        <v>3</v>
      </c>
      <c r="AH2414" s="4">
        <v>93</v>
      </c>
      <c r="AI2414" s="4">
        <v>94</v>
      </c>
      <c r="AJ2414" s="4">
        <v>17</v>
      </c>
      <c r="AK2414" s="4">
        <v>20</v>
      </c>
      <c r="AL2414" s="4">
        <v>52</v>
      </c>
      <c r="AM2414" s="4">
        <v>52</v>
      </c>
      <c r="AN2414" s="4">
        <v>0</v>
      </c>
      <c r="AO2414" s="4">
        <v>0</v>
      </c>
      <c r="AP2414" s="4">
        <v>22</v>
      </c>
      <c r="AQ2414" s="4">
        <v>24</v>
      </c>
      <c r="AR2414" s="3" t="s">
        <v>62</v>
      </c>
      <c r="AS2414" s="3" t="s">
        <v>62</v>
      </c>
      <c r="AT2414" s="3" t="s">
        <v>62</v>
      </c>
      <c r="AV2414" s="6" t="str">
        <f>HYPERLINK("http://mcgill.on.worldcat.org/oclc/313659296","Catalog Record")</f>
        <v>Catalog Record</v>
      </c>
      <c r="AW2414" s="6" t="str">
        <f>HYPERLINK("http://www.worldcat.org/oclc/313659296","WorldCat Record")</f>
        <v>WorldCat Record</v>
      </c>
      <c r="AX2414" s="3" t="s">
        <v>23620</v>
      </c>
      <c r="AY2414" s="3" t="s">
        <v>23621</v>
      </c>
      <c r="AZ2414" s="3" t="s">
        <v>23622</v>
      </c>
      <c r="BA2414" s="3" t="s">
        <v>23622</v>
      </c>
      <c r="BB2414" s="3" t="s">
        <v>23623</v>
      </c>
      <c r="BC2414" s="3" t="s">
        <v>142</v>
      </c>
      <c r="BD2414" s="3" t="s">
        <v>68</v>
      </c>
      <c r="BE2414" s="3" t="s">
        <v>23624</v>
      </c>
      <c r="BF2414" s="3" t="s">
        <v>23623</v>
      </c>
      <c r="BG2414" s="3" t="s">
        <v>23625</v>
      </c>
    </row>
    <row r="2415" spans="1:59" ht="57" x14ac:dyDescent="0.45">
      <c r="A2415" s="2" t="s">
        <v>59</v>
      </c>
      <c r="B2415" s="2" t="s">
        <v>60</v>
      </c>
      <c r="C2415" s="2" t="s">
        <v>23626</v>
      </c>
      <c r="D2415" s="2" t="s">
        <v>23627</v>
      </c>
      <c r="E2415" s="2" t="s">
        <v>23628</v>
      </c>
      <c r="G2415" s="3" t="s">
        <v>62</v>
      </c>
      <c r="I2415" s="3" t="s">
        <v>62</v>
      </c>
      <c r="J2415" s="3" t="s">
        <v>62</v>
      </c>
      <c r="K2415" s="3" t="s">
        <v>63</v>
      </c>
      <c r="M2415" s="2" t="s">
        <v>23629</v>
      </c>
      <c r="N2415" s="3" t="s">
        <v>1155</v>
      </c>
      <c r="P2415" s="3" t="s">
        <v>65</v>
      </c>
      <c r="R2415" s="3" t="s">
        <v>66</v>
      </c>
      <c r="S2415" s="4">
        <v>8</v>
      </c>
      <c r="T2415" s="4">
        <v>8</v>
      </c>
      <c r="U2415" s="5" t="s">
        <v>23630</v>
      </c>
      <c r="V2415" s="5" t="s">
        <v>23630</v>
      </c>
      <c r="W2415" s="5" t="s">
        <v>67</v>
      </c>
      <c r="X2415" s="5" t="s">
        <v>67</v>
      </c>
      <c r="Y2415" s="4">
        <v>235</v>
      </c>
      <c r="Z2415" s="4">
        <v>22</v>
      </c>
      <c r="AA2415" s="4">
        <v>56</v>
      </c>
      <c r="AB2415" s="4">
        <v>1</v>
      </c>
      <c r="AC2415" s="4">
        <v>10</v>
      </c>
      <c r="AD2415" s="4">
        <v>68</v>
      </c>
      <c r="AE2415" s="4">
        <v>114</v>
      </c>
      <c r="AF2415" s="4">
        <v>0</v>
      </c>
      <c r="AG2415" s="4">
        <v>4</v>
      </c>
      <c r="AH2415" s="4">
        <v>59</v>
      </c>
      <c r="AI2415" s="4">
        <v>94</v>
      </c>
      <c r="AJ2415" s="4">
        <v>13</v>
      </c>
      <c r="AK2415" s="4">
        <v>23</v>
      </c>
      <c r="AL2415" s="4">
        <v>31</v>
      </c>
      <c r="AM2415" s="4">
        <v>49</v>
      </c>
      <c r="AN2415" s="4">
        <v>0</v>
      </c>
      <c r="AO2415" s="4">
        <v>0</v>
      </c>
      <c r="AP2415" s="4">
        <v>16</v>
      </c>
      <c r="AQ2415" s="4">
        <v>31</v>
      </c>
      <c r="AR2415" s="3" t="s">
        <v>62</v>
      </c>
      <c r="AS2415" s="3" t="s">
        <v>62</v>
      </c>
      <c r="AT2415" s="3" t="s">
        <v>62</v>
      </c>
      <c r="AV2415" s="6" t="str">
        <f>HYPERLINK("http://mcgill.on.worldcat.org/oclc/764357614","Catalog Record")</f>
        <v>Catalog Record</v>
      </c>
      <c r="AW2415" s="6" t="str">
        <f>HYPERLINK("http://www.worldcat.org/oclc/764357614","WorldCat Record")</f>
        <v>WorldCat Record</v>
      </c>
      <c r="AX2415" s="3" t="s">
        <v>23631</v>
      </c>
      <c r="AY2415" s="3" t="s">
        <v>23632</v>
      </c>
      <c r="AZ2415" s="3" t="s">
        <v>23633</v>
      </c>
      <c r="BA2415" s="3" t="s">
        <v>23633</v>
      </c>
      <c r="BB2415" s="3" t="s">
        <v>23634</v>
      </c>
      <c r="BC2415" s="3" t="s">
        <v>142</v>
      </c>
      <c r="BD2415" s="3" t="s">
        <v>68</v>
      </c>
      <c r="BE2415" s="3" t="s">
        <v>23635</v>
      </c>
      <c r="BF2415" s="3" t="s">
        <v>23634</v>
      </c>
      <c r="BG2415" s="3" t="s">
        <v>23636</v>
      </c>
    </row>
    <row r="2416" spans="1:59" ht="71.25" x14ac:dyDescent="0.45">
      <c r="A2416" s="2" t="s">
        <v>59</v>
      </c>
      <c r="B2416" s="2" t="s">
        <v>60</v>
      </c>
      <c r="C2416" s="2" t="s">
        <v>23637</v>
      </c>
      <c r="D2416" s="2" t="s">
        <v>23638</v>
      </c>
      <c r="E2416" s="2" t="s">
        <v>23639</v>
      </c>
      <c r="G2416" s="3" t="s">
        <v>62</v>
      </c>
      <c r="I2416" s="3" t="s">
        <v>62</v>
      </c>
      <c r="J2416" s="3" t="s">
        <v>62</v>
      </c>
      <c r="K2416" s="3" t="s">
        <v>63</v>
      </c>
      <c r="M2416" s="2" t="s">
        <v>23640</v>
      </c>
      <c r="N2416" s="3" t="s">
        <v>1855</v>
      </c>
      <c r="P2416" s="3" t="s">
        <v>65</v>
      </c>
      <c r="R2416" s="3" t="s">
        <v>66</v>
      </c>
      <c r="S2416" s="4">
        <v>18</v>
      </c>
      <c r="T2416" s="4">
        <v>18</v>
      </c>
      <c r="U2416" s="5" t="s">
        <v>544</v>
      </c>
      <c r="V2416" s="5" t="s">
        <v>544</v>
      </c>
      <c r="W2416" s="5" t="s">
        <v>67</v>
      </c>
      <c r="X2416" s="5" t="s">
        <v>67</v>
      </c>
      <c r="Y2416" s="4">
        <v>325</v>
      </c>
      <c r="Z2416" s="4">
        <v>28</v>
      </c>
      <c r="AA2416" s="4">
        <v>100</v>
      </c>
      <c r="AB2416" s="4">
        <v>2</v>
      </c>
      <c r="AC2416" s="4">
        <v>17</v>
      </c>
      <c r="AD2416" s="4">
        <v>89</v>
      </c>
      <c r="AE2416" s="4">
        <v>128</v>
      </c>
      <c r="AF2416" s="4">
        <v>1</v>
      </c>
      <c r="AG2416" s="4">
        <v>8</v>
      </c>
      <c r="AH2416" s="4">
        <v>74</v>
      </c>
      <c r="AI2416" s="4">
        <v>87</v>
      </c>
      <c r="AJ2416" s="4">
        <v>19</v>
      </c>
      <c r="AK2416" s="4">
        <v>25</v>
      </c>
      <c r="AL2416" s="4">
        <v>39</v>
      </c>
      <c r="AM2416" s="4">
        <v>45</v>
      </c>
      <c r="AN2416" s="4">
        <v>0</v>
      </c>
      <c r="AO2416" s="4">
        <v>0</v>
      </c>
      <c r="AP2416" s="4">
        <v>25</v>
      </c>
      <c r="AQ2416" s="4">
        <v>51</v>
      </c>
      <c r="AR2416" s="3" t="s">
        <v>62</v>
      </c>
      <c r="AS2416" s="3" t="s">
        <v>62</v>
      </c>
      <c r="AT2416" s="3" t="s">
        <v>61</v>
      </c>
      <c r="AU2416" s="6" t="str">
        <f>HYPERLINK("http://catalog.hathitrust.org/Record/005033129","HathiTrust Record")</f>
        <v>HathiTrust Record</v>
      </c>
      <c r="AV2416" s="6" t="str">
        <f>HYPERLINK("http://mcgill.on.worldcat.org/oclc/56924719","Catalog Record")</f>
        <v>Catalog Record</v>
      </c>
      <c r="AW2416" s="6" t="str">
        <f>HYPERLINK("http://www.worldcat.org/oclc/56924719","WorldCat Record")</f>
        <v>WorldCat Record</v>
      </c>
      <c r="AX2416" s="3" t="s">
        <v>23641</v>
      </c>
      <c r="AY2416" s="3" t="s">
        <v>23642</v>
      </c>
      <c r="AZ2416" s="3" t="s">
        <v>23643</v>
      </c>
      <c r="BA2416" s="3" t="s">
        <v>23643</v>
      </c>
      <c r="BB2416" s="3" t="s">
        <v>23644</v>
      </c>
      <c r="BC2416" s="3" t="s">
        <v>142</v>
      </c>
      <c r="BD2416" s="3" t="s">
        <v>68</v>
      </c>
      <c r="BE2416" s="3" t="s">
        <v>23645</v>
      </c>
      <c r="BF2416" s="3" t="s">
        <v>23644</v>
      </c>
      <c r="BG2416" s="3" t="s">
        <v>23646</v>
      </c>
    </row>
    <row r="2417" spans="1:59" ht="57" x14ac:dyDescent="0.45">
      <c r="A2417" s="2" t="s">
        <v>59</v>
      </c>
      <c r="B2417" s="2" t="s">
        <v>60</v>
      </c>
      <c r="C2417" s="2" t="s">
        <v>23647</v>
      </c>
      <c r="D2417" s="2" t="s">
        <v>23648</v>
      </c>
      <c r="E2417" s="2" t="s">
        <v>23649</v>
      </c>
      <c r="G2417" s="3" t="s">
        <v>62</v>
      </c>
      <c r="I2417" s="3" t="s">
        <v>62</v>
      </c>
      <c r="J2417" s="3" t="s">
        <v>62</v>
      </c>
      <c r="K2417" s="3" t="s">
        <v>63</v>
      </c>
      <c r="L2417" s="2" t="s">
        <v>23650</v>
      </c>
      <c r="M2417" s="2" t="s">
        <v>23651</v>
      </c>
      <c r="N2417" s="3" t="s">
        <v>918</v>
      </c>
      <c r="P2417" s="3" t="s">
        <v>65</v>
      </c>
      <c r="Q2417" s="2" t="s">
        <v>23652</v>
      </c>
      <c r="R2417" s="3" t="s">
        <v>66</v>
      </c>
      <c r="S2417" s="4">
        <v>11</v>
      </c>
      <c r="T2417" s="4">
        <v>11</v>
      </c>
      <c r="U2417" s="5" t="s">
        <v>7367</v>
      </c>
      <c r="V2417" s="5" t="s">
        <v>7367</v>
      </c>
      <c r="W2417" s="5" t="s">
        <v>67</v>
      </c>
      <c r="X2417" s="5" t="s">
        <v>67</v>
      </c>
      <c r="Y2417" s="4">
        <v>265</v>
      </c>
      <c r="Z2417" s="4">
        <v>24</v>
      </c>
      <c r="AA2417" s="4">
        <v>33</v>
      </c>
      <c r="AB2417" s="4">
        <v>1</v>
      </c>
      <c r="AC2417" s="4">
        <v>6</v>
      </c>
      <c r="AD2417" s="4">
        <v>96</v>
      </c>
      <c r="AE2417" s="4">
        <v>108</v>
      </c>
      <c r="AF2417" s="4">
        <v>0</v>
      </c>
      <c r="AG2417" s="4">
        <v>2</v>
      </c>
      <c r="AH2417" s="4">
        <v>85</v>
      </c>
      <c r="AI2417" s="4">
        <v>94</v>
      </c>
      <c r="AJ2417" s="4">
        <v>14</v>
      </c>
      <c r="AK2417" s="4">
        <v>17</v>
      </c>
      <c r="AL2417" s="4">
        <v>49</v>
      </c>
      <c r="AM2417" s="4">
        <v>50</v>
      </c>
      <c r="AN2417" s="4">
        <v>0</v>
      </c>
      <c r="AO2417" s="4">
        <v>0</v>
      </c>
      <c r="AP2417" s="4">
        <v>17</v>
      </c>
      <c r="AQ2417" s="4">
        <v>21</v>
      </c>
      <c r="AR2417" s="3" t="s">
        <v>62</v>
      </c>
      <c r="AS2417" s="3" t="s">
        <v>62</v>
      </c>
      <c r="AT2417" s="3" t="s">
        <v>61</v>
      </c>
      <c r="AU2417" s="6" t="str">
        <f>HYPERLINK("http://catalog.hathitrust.org/Record/004353763","HathiTrust Record")</f>
        <v>HathiTrust Record</v>
      </c>
      <c r="AV2417" s="6" t="str">
        <f>HYPERLINK("http://mcgill.on.worldcat.org/oclc/52409552","Catalog Record")</f>
        <v>Catalog Record</v>
      </c>
      <c r="AW2417" s="6" t="str">
        <f>HYPERLINK("http://www.worldcat.org/oclc/52409552","WorldCat Record")</f>
        <v>WorldCat Record</v>
      </c>
      <c r="AX2417" s="3" t="s">
        <v>23653</v>
      </c>
      <c r="AY2417" s="3" t="s">
        <v>23654</v>
      </c>
      <c r="AZ2417" s="3" t="s">
        <v>23655</v>
      </c>
      <c r="BA2417" s="3" t="s">
        <v>23655</v>
      </c>
      <c r="BB2417" s="3" t="s">
        <v>23656</v>
      </c>
      <c r="BC2417" s="3" t="s">
        <v>142</v>
      </c>
      <c r="BD2417" s="3" t="s">
        <v>68</v>
      </c>
      <c r="BE2417" s="3" t="s">
        <v>23657</v>
      </c>
      <c r="BF2417" s="3" t="s">
        <v>23656</v>
      </c>
      <c r="BG2417" s="3" t="s">
        <v>23658</v>
      </c>
    </row>
    <row r="2418" spans="1:59" ht="57" x14ac:dyDescent="0.45">
      <c r="A2418" s="2" t="s">
        <v>59</v>
      </c>
      <c r="B2418" s="2" t="s">
        <v>60</v>
      </c>
      <c r="C2418" s="2" t="s">
        <v>23659</v>
      </c>
      <c r="D2418" s="2" t="s">
        <v>23660</v>
      </c>
      <c r="E2418" s="2" t="s">
        <v>23661</v>
      </c>
      <c r="G2418" s="3" t="s">
        <v>62</v>
      </c>
      <c r="I2418" s="3" t="s">
        <v>62</v>
      </c>
      <c r="J2418" s="3" t="s">
        <v>62</v>
      </c>
      <c r="K2418" s="3" t="s">
        <v>63</v>
      </c>
      <c r="L2418" s="2" t="s">
        <v>23662</v>
      </c>
      <c r="M2418" s="2" t="s">
        <v>23663</v>
      </c>
      <c r="N2418" s="3" t="s">
        <v>116</v>
      </c>
      <c r="P2418" s="3" t="s">
        <v>65</v>
      </c>
      <c r="Q2418" s="2" t="s">
        <v>23664</v>
      </c>
      <c r="R2418" s="3" t="s">
        <v>66</v>
      </c>
      <c r="S2418" s="4">
        <v>5</v>
      </c>
      <c r="T2418" s="4">
        <v>5</v>
      </c>
      <c r="U2418" s="5" t="s">
        <v>21489</v>
      </c>
      <c r="V2418" s="5" t="s">
        <v>21489</v>
      </c>
      <c r="W2418" s="5" t="s">
        <v>67</v>
      </c>
      <c r="X2418" s="5" t="s">
        <v>67</v>
      </c>
      <c r="Y2418" s="4">
        <v>203</v>
      </c>
      <c r="Z2418" s="4">
        <v>29</v>
      </c>
      <c r="AA2418" s="4">
        <v>110</v>
      </c>
      <c r="AB2418" s="4">
        <v>4</v>
      </c>
      <c r="AC2418" s="4">
        <v>16</v>
      </c>
      <c r="AD2418" s="4">
        <v>67</v>
      </c>
      <c r="AE2418" s="4">
        <v>129</v>
      </c>
      <c r="AF2418" s="4">
        <v>2</v>
      </c>
      <c r="AG2418" s="4">
        <v>8</v>
      </c>
      <c r="AH2418" s="4">
        <v>56</v>
      </c>
      <c r="AI2418" s="4">
        <v>89</v>
      </c>
      <c r="AJ2418" s="4">
        <v>16</v>
      </c>
      <c r="AK2418" s="4">
        <v>27</v>
      </c>
      <c r="AL2418" s="4">
        <v>32</v>
      </c>
      <c r="AM2418" s="4">
        <v>46</v>
      </c>
      <c r="AN2418" s="4">
        <v>0</v>
      </c>
      <c r="AO2418" s="4">
        <v>0</v>
      </c>
      <c r="AP2418" s="4">
        <v>19</v>
      </c>
      <c r="AQ2418" s="4">
        <v>49</v>
      </c>
      <c r="AR2418" s="3" t="s">
        <v>62</v>
      </c>
      <c r="AS2418" s="3" t="s">
        <v>62</v>
      </c>
      <c r="AT2418" s="3" t="s">
        <v>62</v>
      </c>
      <c r="AV2418" s="6" t="str">
        <f>HYPERLINK("http://mcgill.on.worldcat.org/oclc/758394379","Catalog Record")</f>
        <v>Catalog Record</v>
      </c>
      <c r="AW2418" s="6" t="str">
        <f>HYPERLINK("http://www.worldcat.org/oclc/758394379","WorldCat Record")</f>
        <v>WorldCat Record</v>
      </c>
      <c r="AX2418" s="3" t="s">
        <v>23665</v>
      </c>
      <c r="AY2418" s="3" t="s">
        <v>23666</v>
      </c>
      <c r="AZ2418" s="3" t="s">
        <v>23667</v>
      </c>
      <c r="BA2418" s="3" t="s">
        <v>23667</v>
      </c>
      <c r="BB2418" s="3" t="s">
        <v>23668</v>
      </c>
      <c r="BC2418" s="3" t="s">
        <v>142</v>
      </c>
      <c r="BD2418" s="3" t="s">
        <v>68</v>
      </c>
      <c r="BE2418" s="3" t="s">
        <v>23669</v>
      </c>
      <c r="BF2418" s="3" t="s">
        <v>23668</v>
      </c>
      <c r="BG2418" s="3" t="s">
        <v>23670</v>
      </c>
    </row>
    <row r="2419" spans="1:59" ht="57" x14ac:dyDescent="0.45">
      <c r="A2419" s="2" t="s">
        <v>59</v>
      </c>
      <c r="B2419" s="2" t="s">
        <v>60</v>
      </c>
      <c r="C2419" s="2" t="s">
        <v>23671</v>
      </c>
      <c r="D2419" s="2" t="s">
        <v>23672</v>
      </c>
      <c r="E2419" s="2" t="s">
        <v>23673</v>
      </c>
      <c r="G2419" s="3" t="s">
        <v>62</v>
      </c>
      <c r="I2419" s="3" t="s">
        <v>62</v>
      </c>
      <c r="J2419" s="3" t="s">
        <v>62</v>
      </c>
      <c r="K2419" s="3" t="s">
        <v>63</v>
      </c>
      <c r="M2419" s="2" t="s">
        <v>12800</v>
      </c>
      <c r="N2419" s="3" t="s">
        <v>149</v>
      </c>
      <c r="P2419" s="3" t="s">
        <v>65</v>
      </c>
      <c r="Q2419" s="2" t="s">
        <v>23674</v>
      </c>
      <c r="R2419" s="3" t="s">
        <v>66</v>
      </c>
      <c r="S2419" s="4">
        <v>5</v>
      </c>
      <c r="T2419" s="4">
        <v>5</v>
      </c>
      <c r="U2419" s="5" t="s">
        <v>17723</v>
      </c>
      <c r="V2419" s="5" t="s">
        <v>17723</v>
      </c>
      <c r="W2419" s="5" t="s">
        <v>67</v>
      </c>
      <c r="X2419" s="5" t="s">
        <v>67</v>
      </c>
      <c r="Y2419" s="4">
        <v>185</v>
      </c>
      <c r="Z2419" s="4">
        <v>22</v>
      </c>
      <c r="AA2419" s="4">
        <v>28</v>
      </c>
      <c r="AB2419" s="4">
        <v>2</v>
      </c>
      <c r="AC2419" s="4">
        <v>6</v>
      </c>
      <c r="AD2419" s="4">
        <v>72</v>
      </c>
      <c r="AE2419" s="4">
        <v>78</v>
      </c>
      <c r="AF2419" s="4">
        <v>1</v>
      </c>
      <c r="AG2419" s="4">
        <v>2</v>
      </c>
      <c r="AH2419" s="4">
        <v>62</v>
      </c>
      <c r="AI2419" s="4">
        <v>66</v>
      </c>
      <c r="AJ2419" s="4">
        <v>15</v>
      </c>
      <c r="AK2419" s="4">
        <v>16</v>
      </c>
      <c r="AL2419" s="4">
        <v>39</v>
      </c>
      <c r="AM2419" s="4">
        <v>41</v>
      </c>
      <c r="AN2419" s="4">
        <v>0</v>
      </c>
      <c r="AO2419" s="4">
        <v>0</v>
      </c>
      <c r="AP2419" s="4">
        <v>18</v>
      </c>
      <c r="AQ2419" s="4">
        <v>19</v>
      </c>
      <c r="AR2419" s="3" t="s">
        <v>62</v>
      </c>
      <c r="AS2419" s="3" t="s">
        <v>62</v>
      </c>
      <c r="AT2419" s="3" t="s">
        <v>62</v>
      </c>
      <c r="AV2419" s="6" t="str">
        <f>HYPERLINK("http://mcgill.on.worldcat.org/oclc/502029697","Catalog Record")</f>
        <v>Catalog Record</v>
      </c>
      <c r="AW2419" s="6" t="str">
        <f>HYPERLINK("http://www.worldcat.org/oclc/502029697","WorldCat Record")</f>
        <v>WorldCat Record</v>
      </c>
      <c r="AX2419" s="3" t="s">
        <v>23675</v>
      </c>
      <c r="AY2419" s="3" t="s">
        <v>23676</v>
      </c>
      <c r="AZ2419" s="3" t="s">
        <v>23677</v>
      </c>
      <c r="BA2419" s="3" t="s">
        <v>23677</v>
      </c>
      <c r="BB2419" s="3" t="s">
        <v>23678</v>
      </c>
      <c r="BC2419" s="3" t="s">
        <v>142</v>
      </c>
      <c r="BD2419" s="3" t="s">
        <v>68</v>
      </c>
      <c r="BE2419" s="3" t="s">
        <v>23679</v>
      </c>
      <c r="BF2419" s="3" t="s">
        <v>23678</v>
      </c>
      <c r="BG2419" s="3" t="s">
        <v>23680</v>
      </c>
    </row>
    <row r="2420" spans="1:59" ht="57" x14ac:dyDescent="0.45">
      <c r="A2420" s="2" t="s">
        <v>59</v>
      </c>
      <c r="B2420" s="2" t="s">
        <v>60</v>
      </c>
      <c r="C2420" s="2" t="s">
        <v>23681</v>
      </c>
      <c r="D2420" s="2" t="s">
        <v>23682</v>
      </c>
      <c r="E2420" s="2" t="s">
        <v>23683</v>
      </c>
      <c r="G2420" s="3" t="s">
        <v>62</v>
      </c>
      <c r="I2420" s="3" t="s">
        <v>62</v>
      </c>
      <c r="J2420" s="3" t="s">
        <v>62</v>
      </c>
      <c r="K2420" s="3" t="s">
        <v>63</v>
      </c>
      <c r="M2420" s="2" t="s">
        <v>9755</v>
      </c>
      <c r="N2420" s="3" t="s">
        <v>1155</v>
      </c>
      <c r="P2420" s="3" t="s">
        <v>65</v>
      </c>
      <c r="Q2420" s="2" t="s">
        <v>23684</v>
      </c>
      <c r="R2420" s="3" t="s">
        <v>66</v>
      </c>
      <c r="S2420" s="4">
        <v>2</v>
      </c>
      <c r="T2420" s="4">
        <v>2</v>
      </c>
      <c r="U2420" s="5" t="s">
        <v>3611</v>
      </c>
      <c r="V2420" s="5" t="s">
        <v>3611</v>
      </c>
      <c r="W2420" s="5" t="s">
        <v>67</v>
      </c>
      <c r="X2420" s="5" t="s">
        <v>67</v>
      </c>
      <c r="Y2420" s="4">
        <v>90</v>
      </c>
      <c r="Z2420" s="4">
        <v>3</v>
      </c>
      <c r="AA2420" s="4">
        <v>79</v>
      </c>
      <c r="AB2420" s="4">
        <v>1</v>
      </c>
      <c r="AC2420" s="4">
        <v>15</v>
      </c>
      <c r="AD2420" s="4">
        <v>31</v>
      </c>
      <c r="AE2420" s="4">
        <v>119</v>
      </c>
      <c r="AF2420" s="4">
        <v>0</v>
      </c>
      <c r="AG2420" s="4">
        <v>8</v>
      </c>
      <c r="AH2420" s="4">
        <v>31</v>
      </c>
      <c r="AI2420" s="4">
        <v>85</v>
      </c>
      <c r="AJ2420" s="4">
        <v>2</v>
      </c>
      <c r="AK2420" s="4">
        <v>22</v>
      </c>
      <c r="AL2420" s="4">
        <v>17</v>
      </c>
      <c r="AM2420" s="4">
        <v>44</v>
      </c>
      <c r="AN2420" s="4">
        <v>0</v>
      </c>
      <c r="AO2420" s="4">
        <v>0</v>
      </c>
      <c r="AP2420" s="4">
        <v>2</v>
      </c>
      <c r="AQ2420" s="4">
        <v>43</v>
      </c>
      <c r="AR2420" s="3" t="s">
        <v>62</v>
      </c>
      <c r="AS2420" s="3" t="s">
        <v>62</v>
      </c>
      <c r="AT2420" s="3" t="s">
        <v>62</v>
      </c>
      <c r="AV2420" s="6" t="str">
        <f>HYPERLINK("http://mcgill.on.worldcat.org/oclc/730404019","Catalog Record")</f>
        <v>Catalog Record</v>
      </c>
      <c r="AW2420" s="6" t="str">
        <f>HYPERLINK("http://www.worldcat.org/oclc/730404019","WorldCat Record")</f>
        <v>WorldCat Record</v>
      </c>
      <c r="AX2420" s="3" t="s">
        <v>23685</v>
      </c>
      <c r="AY2420" s="3" t="s">
        <v>23686</v>
      </c>
      <c r="AZ2420" s="3" t="s">
        <v>23687</v>
      </c>
      <c r="BA2420" s="3" t="s">
        <v>23687</v>
      </c>
      <c r="BB2420" s="3" t="s">
        <v>23688</v>
      </c>
      <c r="BC2420" s="3" t="s">
        <v>142</v>
      </c>
      <c r="BD2420" s="3" t="s">
        <v>68</v>
      </c>
      <c r="BE2420" s="3" t="s">
        <v>23689</v>
      </c>
      <c r="BF2420" s="3" t="s">
        <v>23688</v>
      </c>
      <c r="BG2420" s="3" t="s">
        <v>23690</v>
      </c>
    </row>
    <row r="2421" spans="1:59" ht="71.25" x14ac:dyDescent="0.45">
      <c r="A2421" s="2" t="s">
        <v>59</v>
      </c>
      <c r="B2421" s="2" t="s">
        <v>60</v>
      </c>
      <c r="C2421" s="2" t="s">
        <v>23691</v>
      </c>
      <c r="D2421" s="2" t="s">
        <v>23692</v>
      </c>
      <c r="E2421" s="2" t="s">
        <v>23693</v>
      </c>
      <c r="G2421" s="3" t="s">
        <v>62</v>
      </c>
      <c r="I2421" s="3" t="s">
        <v>62</v>
      </c>
      <c r="J2421" s="3" t="s">
        <v>62</v>
      </c>
      <c r="K2421" s="3" t="s">
        <v>63</v>
      </c>
      <c r="L2421" s="2" t="s">
        <v>23694</v>
      </c>
      <c r="M2421" s="2" t="s">
        <v>5568</v>
      </c>
      <c r="N2421" s="3" t="s">
        <v>1155</v>
      </c>
      <c r="P2421" s="3" t="s">
        <v>65</v>
      </c>
      <c r="Q2421" s="2" t="s">
        <v>23695</v>
      </c>
      <c r="R2421" s="3" t="s">
        <v>66</v>
      </c>
      <c r="S2421" s="4">
        <v>1</v>
      </c>
      <c r="T2421" s="4">
        <v>1</v>
      </c>
      <c r="W2421" s="5" t="s">
        <v>67</v>
      </c>
      <c r="X2421" s="5" t="s">
        <v>67</v>
      </c>
      <c r="Y2421" s="4">
        <v>129</v>
      </c>
      <c r="Z2421" s="4">
        <v>19</v>
      </c>
      <c r="AA2421" s="4">
        <v>24</v>
      </c>
      <c r="AB2421" s="4">
        <v>2</v>
      </c>
      <c r="AC2421" s="4">
        <v>5</v>
      </c>
      <c r="AD2421" s="4">
        <v>55</v>
      </c>
      <c r="AE2421" s="4">
        <v>64</v>
      </c>
      <c r="AF2421" s="4">
        <v>1</v>
      </c>
      <c r="AG2421" s="4">
        <v>1</v>
      </c>
      <c r="AH2421" s="4">
        <v>49</v>
      </c>
      <c r="AI2421" s="4">
        <v>57</v>
      </c>
      <c r="AJ2421" s="4">
        <v>14</v>
      </c>
      <c r="AK2421" s="4">
        <v>15</v>
      </c>
      <c r="AL2421" s="4">
        <v>25</v>
      </c>
      <c r="AM2421" s="4">
        <v>30</v>
      </c>
      <c r="AN2421" s="4">
        <v>0</v>
      </c>
      <c r="AO2421" s="4">
        <v>0</v>
      </c>
      <c r="AP2421" s="4">
        <v>16</v>
      </c>
      <c r="AQ2421" s="4">
        <v>17</v>
      </c>
      <c r="AR2421" s="3" t="s">
        <v>62</v>
      </c>
      <c r="AS2421" s="3" t="s">
        <v>62</v>
      </c>
      <c r="AT2421" s="3" t="s">
        <v>62</v>
      </c>
      <c r="AV2421" s="6" t="str">
        <f>HYPERLINK("http://mcgill.on.worldcat.org/oclc/757935678","Catalog Record")</f>
        <v>Catalog Record</v>
      </c>
      <c r="AW2421" s="6" t="str">
        <f>HYPERLINK("http://www.worldcat.org/oclc/757935678","WorldCat Record")</f>
        <v>WorldCat Record</v>
      </c>
      <c r="AX2421" s="3" t="s">
        <v>23696</v>
      </c>
      <c r="AY2421" s="3" t="s">
        <v>23697</v>
      </c>
      <c r="AZ2421" s="3" t="s">
        <v>23698</v>
      </c>
      <c r="BA2421" s="3" t="s">
        <v>23698</v>
      </c>
      <c r="BB2421" s="3" t="s">
        <v>23699</v>
      </c>
      <c r="BC2421" s="3" t="s">
        <v>142</v>
      </c>
      <c r="BD2421" s="3" t="s">
        <v>308</v>
      </c>
      <c r="BE2421" s="3" t="s">
        <v>23700</v>
      </c>
      <c r="BF2421" s="3" t="s">
        <v>23699</v>
      </c>
      <c r="BG2421" s="3" t="s">
        <v>23701</v>
      </c>
    </row>
    <row r="2422" spans="1:59" ht="71.25" x14ac:dyDescent="0.45">
      <c r="A2422" s="2" t="s">
        <v>59</v>
      </c>
      <c r="B2422" s="2" t="s">
        <v>60</v>
      </c>
      <c r="C2422" s="2" t="s">
        <v>23702</v>
      </c>
      <c r="D2422" s="2" t="s">
        <v>23703</v>
      </c>
      <c r="E2422" s="2" t="s">
        <v>23704</v>
      </c>
      <c r="G2422" s="3" t="s">
        <v>62</v>
      </c>
      <c r="I2422" s="3" t="s">
        <v>62</v>
      </c>
      <c r="J2422" s="3" t="s">
        <v>62</v>
      </c>
      <c r="K2422" s="3" t="s">
        <v>63</v>
      </c>
      <c r="L2422" s="2" t="s">
        <v>23705</v>
      </c>
      <c r="M2422" s="2" t="s">
        <v>23706</v>
      </c>
      <c r="N2422" s="3" t="s">
        <v>894</v>
      </c>
      <c r="P2422" s="3" t="s">
        <v>65</v>
      </c>
      <c r="R2422" s="3" t="s">
        <v>66</v>
      </c>
      <c r="S2422" s="4">
        <v>2</v>
      </c>
      <c r="T2422" s="4">
        <v>2</v>
      </c>
      <c r="U2422" s="5" t="s">
        <v>6038</v>
      </c>
      <c r="V2422" s="5" t="s">
        <v>6038</v>
      </c>
      <c r="W2422" s="5" t="s">
        <v>67</v>
      </c>
      <c r="X2422" s="5" t="s">
        <v>67</v>
      </c>
      <c r="Y2422" s="4">
        <v>130</v>
      </c>
      <c r="Z2422" s="4">
        <v>12</v>
      </c>
      <c r="AA2422" s="4">
        <v>26</v>
      </c>
      <c r="AB2422" s="4">
        <v>2</v>
      </c>
      <c r="AC2422" s="4">
        <v>5</v>
      </c>
      <c r="AD2422" s="4">
        <v>50</v>
      </c>
      <c r="AE2422" s="4">
        <v>84</v>
      </c>
      <c r="AF2422" s="4">
        <v>1</v>
      </c>
      <c r="AG2422" s="4">
        <v>2</v>
      </c>
      <c r="AH2422" s="4">
        <v>46</v>
      </c>
      <c r="AI2422" s="4">
        <v>74</v>
      </c>
      <c r="AJ2422" s="4">
        <v>8</v>
      </c>
      <c r="AK2422" s="4">
        <v>13</v>
      </c>
      <c r="AL2422" s="4">
        <v>27</v>
      </c>
      <c r="AM2422" s="4">
        <v>42</v>
      </c>
      <c r="AN2422" s="4">
        <v>0</v>
      </c>
      <c r="AO2422" s="4">
        <v>0</v>
      </c>
      <c r="AP2422" s="4">
        <v>8</v>
      </c>
      <c r="AQ2422" s="4">
        <v>17</v>
      </c>
      <c r="AR2422" s="3" t="s">
        <v>62</v>
      </c>
      <c r="AS2422" s="3" t="s">
        <v>62</v>
      </c>
      <c r="AT2422" s="3" t="s">
        <v>62</v>
      </c>
      <c r="AV2422" s="6" t="str">
        <f>HYPERLINK("http://mcgill.on.worldcat.org/oclc/724704425","Catalog Record")</f>
        <v>Catalog Record</v>
      </c>
      <c r="AW2422" s="6" t="str">
        <f>HYPERLINK("http://www.worldcat.org/oclc/724704425","WorldCat Record")</f>
        <v>WorldCat Record</v>
      </c>
      <c r="AX2422" s="3" t="s">
        <v>23707</v>
      </c>
      <c r="AY2422" s="3" t="s">
        <v>23708</v>
      </c>
      <c r="AZ2422" s="3" t="s">
        <v>23709</v>
      </c>
      <c r="BA2422" s="3" t="s">
        <v>23709</v>
      </c>
      <c r="BB2422" s="3" t="s">
        <v>23710</v>
      </c>
      <c r="BC2422" s="3" t="s">
        <v>142</v>
      </c>
      <c r="BD2422" s="3" t="s">
        <v>68</v>
      </c>
      <c r="BE2422" s="3" t="s">
        <v>23711</v>
      </c>
      <c r="BF2422" s="3" t="s">
        <v>23710</v>
      </c>
      <c r="BG2422" s="3" t="s">
        <v>23712</v>
      </c>
    </row>
    <row r="2423" spans="1:59" ht="71.25" x14ac:dyDescent="0.45">
      <c r="A2423" s="2" t="s">
        <v>59</v>
      </c>
      <c r="B2423" s="2" t="s">
        <v>60</v>
      </c>
      <c r="C2423" s="2" t="s">
        <v>23713</v>
      </c>
      <c r="D2423" s="2" t="s">
        <v>23714</v>
      </c>
      <c r="E2423" s="2" t="s">
        <v>23715</v>
      </c>
      <c r="G2423" s="3" t="s">
        <v>62</v>
      </c>
      <c r="I2423" s="3" t="s">
        <v>62</v>
      </c>
      <c r="J2423" s="3" t="s">
        <v>62</v>
      </c>
      <c r="K2423" s="3" t="s">
        <v>63</v>
      </c>
      <c r="L2423" s="2" t="s">
        <v>23716</v>
      </c>
      <c r="M2423" s="2" t="s">
        <v>4047</v>
      </c>
      <c r="N2423" s="3" t="s">
        <v>945</v>
      </c>
      <c r="P2423" s="3" t="s">
        <v>65</v>
      </c>
      <c r="Q2423" s="2" t="s">
        <v>23717</v>
      </c>
      <c r="R2423" s="3" t="s">
        <v>66</v>
      </c>
      <c r="S2423" s="4">
        <v>12</v>
      </c>
      <c r="T2423" s="4">
        <v>12</v>
      </c>
      <c r="U2423" s="5" t="s">
        <v>5362</v>
      </c>
      <c r="V2423" s="5" t="s">
        <v>5362</v>
      </c>
      <c r="W2423" s="5" t="s">
        <v>67</v>
      </c>
      <c r="X2423" s="5" t="s">
        <v>67</v>
      </c>
      <c r="Y2423" s="4">
        <v>205</v>
      </c>
      <c r="Z2423" s="4">
        <v>4</v>
      </c>
      <c r="AA2423" s="4">
        <v>80</v>
      </c>
      <c r="AB2423" s="4">
        <v>2</v>
      </c>
      <c r="AC2423" s="4">
        <v>15</v>
      </c>
      <c r="AD2423" s="4">
        <v>64</v>
      </c>
      <c r="AE2423" s="4">
        <v>124</v>
      </c>
      <c r="AF2423" s="4">
        <v>1</v>
      </c>
      <c r="AG2423" s="4">
        <v>8</v>
      </c>
      <c r="AH2423" s="4">
        <v>62</v>
      </c>
      <c r="AI2423" s="4">
        <v>91</v>
      </c>
      <c r="AJ2423" s="4">
        <v>3</v>
      </c>
      <c r="AK2423" s="4">
        <v>21</v>
      </c>
      <c r="AL2423" s="4">
        <v>38</v>
      </c>
      <c r="AM2423" s="4">
        <v>47</v>
      </c>
      <c r="AN2423" s="4">
        <v>0</v>
      </c>
      <c r="AO2423" s="4">
        <v>0</v>
      </c>
      <c r="AP2423" s="4">
        <v>3</v>
      </c>
      <c r="AQ2423" s="4">
        <v>42</v>
      </c>
      <c r="AR2423" s="3" t="s">
        <v>62</v>
      </c>
      <c r="AS2423" s="3" t="s">
        <v>62</v>
      </c>
      <c r="AT2423" s="3" t="s">
        <v>62</v>
      </c>
      <c r="AV2423" s="6" t="str">
        <f>HYPERLINK("http://mcgill.on.worldcat.org/oclc/70883080","Catalog Record")</f>
        <v>Catalog Record</v>
      </c>
      <c r="AW2423" s="6" t="str">
        <f>HYPERLINK("http://www.worldcat.org/oclc/70883080","WorldCat Record")</f>
        <v>WorldCat Record</v>
      </c>
      <c r="AX2423" s="3" t="s">
        <v>23718</v>
      </c>
      <c r="AY2423" s="3" t="s">
        <v>23719</v>
      </c>
      <c r="AZ2423" s="3" t="s">
        <v>23720</v>
      </c>
      <c r="BA2423" s="3" t="s">
        <v>23720</v>
      </c>
      <c r="BB2423" s="3" t="s">
        <v>23721</v>
      </c>
      <c r="BC2423" s="3" t="s">
        <v>142</v>
      </c>
      <c r="BD2423" s="3" t="s">
        <v>68</v>
      </c>
      <c r="BE2423" s="3" t="s">
        <v>23722</v>
      </c>
      <c r="BF2423" s="3" t="s">
        <v>23721</v>
      </c>
      <c r="BG2423" s="3" t="s">
        <v>23723</v>
      </c>
    </row>
    <row r="2424" spans="1:59" ht="57" x14ac:dyDescent="0.45">
      <c r="A2424" s="2" t="s">
        <v>59</v>
      </c>
      <c r="B2424" s="2" t="s">
        <v>60</v>
      </c>
      <c r="C2424" s="2" t="s">
        <v>23724</v>
      </c>
      <c r="D2424" s="2" t="s">
        <v>23725</v>
      </c>
      <c r="E2424" s="2" t="s">
        <v>23726</v>
      </c>
      <c r="G2424" s="3" t="s">
        <v>62</v>
      </c>
      <c r="I2424" s="3" t="s">
        <v>62</v>
      </c>
      <c r="J2424" s="3" t="s">
        <v>62</v>
      </c>
      <c r="K2424" s="3" t="s">
        <v>63</v>
      </c>
      <c r="M2424" s="2" t="s">
        <v>23727</v>
      </c>
      <c r="N2424" s="3" t="s">
        <v>116</v>
      </c>
      <c r="P2424" s="3" t="s">
        <v>65</v>
      </c>
      <c r="Q2424" s="2" t="s">
        <v>23728</v>
      </c>
      <c r="R2424" s="3" t="s">
        <v>66</v>
      </c>
      <c r="S2424" s="4">
        <v>0</v>
      </c>
      <c r="T2424" s="4">
        <v>0</v>
      </c>
      <c r="W2424" s="5" t="s">
        <v>67</v>
      </c>
      <c r="X2424" s="5" t="s">
        <v>67</v>
      </c>
      <c r="Y2424" s="4">
        <v>214</v>
      </c>
      <c r="Z2424" s="4">
        <v>15</v>
      </c>
      <c r="AA2424" s="4">
        <v>17</v>
      </c>
      <c r="AB2424" s="4">
        <v>2</v>
      </c>
      <c r="AC2424" s="4">
        <v>4</v>
      </c>
      <c r="AD2424" s="4">
        <v>55</v>
      </c>
      <c r="AE2424" s="4">
        <v>55</v>
      </c>
      <c r="AF2424" s="4">
        <v>0</v>
      </c>
      <c r="AG2424" s="4">
        <v>0</v>
      </c>
      <c r="AH2424" s="4">
        <v>52</v>
      </c>
      <c r="AI2424" s="4">
        <v>52</v>
      </c>
      <c r="AJ2424" s="4">
        <v>8</v>
      </c>
      <c r="AK2424" s="4">
        <v>8</v>
      </c>
      <c r="AL2424" s="4">
        <v>31</v>
      </c>
      <c r="AM2424" s="4">
        <v>31</v>
      </c>
      <c r="AN2424" s="4">
        <v>0</v>
      </c>
      <c r="AO2424" s="4">
        <v>0</v>
      </c>
      <c r="AP2424" s="4">
        <v>8</v>
      </c>
      <c r="AQ2424" s="4">
        <v>8</v>
      </c>
      <c r="AR2424" s="3" t="s">
        <v>62</v>
      </c>
      <c r="AS2424" s="3" t="s">
        <v>62</v>
      </c>
      <c r="AT2424" s="3" t="s">
        <v>62</v>
      </c>
      <c r="AV2424" s="6" t="str">
        <f>HYPERLINK("http://mcgill.on.worldcat.org/oclc/828143264","Catalog Record")</f>
        <v>Catalog Record</v>
      </c>
      <c r="AW2424" s="6" t="str">
        <f>HYPERLINK("http://www.worldcat.org/oclc/828143264","WorldCat Record")</f>
        <v>WorldCat Record</v>
      </c>
      <c r="AX2424" s="3" t="s">
        <v>23729</v>
      </c>
      <c r="AY2424" s="3" t="s">
        <v>23730</v>
      </c>
      <c r="AZ2424" s="3" t="s">
        <v>23731</v>
      </c>
      <c r="BA2424" s="3" t="s">
        <v>23731</v>
      </c>
      <c r="BB2424" s="3" t="s">
        <v>23732</v>
      </c>
      <c r="BC2424" s="3" t="s">
        <v>142</v>
      </c>
      <c r="BD2424" s="3" t="s">
        <v>68</v>
      </c>
      <c r="BE2424" s="3" t="s">
        <v>23733</v>
      </c>
      <c r="BF2424" s="3" t="s">
        <v>23732</v>
      </c>
      <c r="BG2424" s="3" t="s">
        <v>23734</v>
      </c>
    </row>
    <row r="2425" spans="1:59" ht="57" x14ac:dyDescent="0.45">
      <c r="A2425" s="2" t="s">
        <v>59</v>
      </c>
      <c r="B2425" s="2" t="s">
        <v>60</v>
      </c>
      <c r="C2425" s="2" t="s">
        <v>23735</v>
      </c>
      <c r="D2425" s="2" t="s">
        <v>23736</v>
      </c>
      <c r="E2425" s="2" t="s">
        <v>23737</v>
      </c>
      <c r="G2425" s="3" t="s">
        <v>62</v>
      </c>
      <c r="I2425" s="3" t="s">
        <v>62</v>
      </c>
      <c r="J2425" s="3" t="s">
        <v>62</v>
      </c>
      <c r="K2425" s="3" t="s">
        <v>63</v>
      </c>
      <c r="L2425" s="2" t="s">
        <v>23738</v>
      </c>
      <c r="M2425" s="2" t="s">
        <v>23739</v>
      </c>
      <c r="N2425" s="3" t="s">
        <v>1437</v>
      </c>
      <c r="P2425" s="3" t="s">
        <v>65</v>
      </c>
      <c r="R2425" s="3" t="s">
        <v>66</v>
      </c>
      <c r="S2425" s="4">
        <v>29</v>
      </c>
      <c r="T2425" s="4">
        <v>29</v>
      </c>
      <c r="U2425" s="5" t="s">
        <v>3862</v>
      </c>
      <c r="V2425" s="5" t="s">
        <v>3862</v>
      </c>
      <c r="W2425" s="5" t="s">
        <v>67</v>
      </c>
      <c r="X2425" s="5" t="s">
        <v>67</v>
      </c>
      <c r="Y2425" s="4">
        <v>376</v>
      </c>
      <c r="Z2425" s="4">
        <v>22</v>
      </c>
      <c r="AA2425" s="4">
        <v>31</v>
      </c>
      <c r="AB2425" s="4">
        <v>2</v>
      </c>
      <c r="AC2425" s="4">
        <v>6</v>
      </c>
      <c r="AD2425" s="4">
        <v>97</v>
      </c>
      <c r="AE2425" s="4">
        <v>106</v>
      </c>
      <c r="AF2425" s="4">
        <v>1</v>
      </c>
      <c r="AG2425" s="4">
        <v>2</v>
      </c>
      <c r="AH2425" s="4">
        <v>85</v>
      </c>
      <c r="AI2425" s="4">
        <v>88</v>
      </c>
      <c r="AJ2425" s="4">
        <v>18</v>
      </c>
      <c r="AK2425" s="4">
        <v>20</v>
      </c>
      <c r="AL2425" s="4">
        <v>42</v>
      </c>
      <c r="AM2425" s="4">
        <v>45</v>
      </c>
      <c r="AN2425" s="4">
        <v>0</v>
      </c>
      <c r="AO2425" s="4">
        <v>0</v>
      </c>
      <c r="AP2425" s="4">
        <v>20</v>
      </c>
      <c r="AQ2425" s="4">
        <v>26</v>
      </c>
      <c r="AR2425" s="3" t="s">
        <v>62</v>
      </c>
      <c r="AS2425" s="3" t="s">
        <v>62</v>
      </c>
      <c r="AT2425" s="3" t="s">
        <v>61</v>
      </c>
      <c r="AU2425" s="6" t="str">
        <f>HYPERLINK("http://catalog.hathitrust.org/Record/003975171","HathiTrust Record")</f>
        <v>HathiTrust Record</v>
      </c>
      <c r="AV2425" s="6" t="str">
        <f>HYPERLINK("http://mcgill.on.worldcat.org/oclc/39482325","Catalog Record")</f>
        <v>Catalog Record</v>
      </c>
      <c r="AW2425" s="6" t="str">
        <f>HYPERLINK("http://www.worldcat.org/oclc/39482325","WorldCat Record")</f>
        <v>WorldCat Record</v>
      </c>
      <c r="AX2425" s="3" t="s">
        <v>23740</v>
      </c>
      <c r="AY2425" s="3" t="s">
        <v>23741</v>
      </c>
      <c r="AZ2425" s="3" t="s">
        <v>23742</v>
      </c>
      <c r="BA2425" s="3" t="s">
        <v>23742</v>
      </c>
      <c r="BB2425" s="3" t="s">
        <v>23743</v>
      </c>
      <c r="BC2425" s="3" t="s">
        <v>142</v>
      </c>
      <c r="BD2425" s="3" t="s">
        <v>68</v>
      </c>
      <c r="BE2425" s="3" t="s">
        <v>23744</v>
      </c>
      <c r="BF2425" s="3" t="s">
        <v>23743</v>
      </c>
      <c r="BG2425" s="3" t="s">
        <v>23745</v>
      </c>
    </row>
    <row r="2426" spans="1:59" ht="57" x14ac:dyDescent="0.45">
      <c r="A2426" s="2" t="s">
        <v>59</v>
      </c>
      <c r="B2426" s="2" t="s">
        <v>60</v>
      </c>
      <c r="C2426" s="2" t="s">
        <v>23746</v>
      </c>
      <c r="D2426" s="2" t="s">
        <v>23747</v>
      </c>
      <c r="E2426" s="2" t="s">
        <v>23748</v>
      </c>
      <c r="G2426" s="3" t="s">
        <v>62</v>
      </c>
      <c r="I2426" s="3" t="s">
        <v>62</v>
      </c>
      <c r="J2426" s="3" t="s">
        <v>62</v>
      </c>
      <c r="K2426" s="3" t="s">
        <v>63</v>
      </c>
      <c r="M2426" s="2" t="s">
        <v>23749</v>
      </c>
      <c r="N2426" s="3" t="s">
        <v>1688</v>
      </c>
      <c r="P2426" s="3" t="s">
        <v>65</v>
      </c>
      <c r="Q2426" s="2" t="s">
        <v>23750</v>
      </c>
      <c r="R2426" s="3" t="s">
        <v>66</v>
      </c>
      <c r="S2426" s="4">
        <v>3</v>
      </c>
      <c r="T2426" s="4">
        <v>3</v>
      </c>
      <c r="U2426" s="5" t="s">
        <v>13230</v>
      </c>
      <c r="V2426" s="5" t="s">
        <v>13230</v>
      </c>
      <c r="W2426" s="5" t="s">
        <v>67</v>
      </c>
      <c r="X2426" s="5" t="s">
        <v>67</v>
      </c>
      <c r="Y2426" s="4">
        <v>82</v>
      </c>
      <c r="Z2426" s="4">
        <v>10</v>
      </c>
      <c r="AA2426" s="4">
        <v>78</v>
      </c>
      <c r="AB2426" s="4">
        <v>1</v>
      </c>
      <c r="AC2426" s="4">
        <v>15</v>
      </c>
      <c r="AD2426" s="4">
        <v>27</v>
      </c>
      <c r="AE2426" s="4">
        <v>111</v>
      </c>
      <c r="AF2426" s="4">
        <v>0</v>
      </c>
      <c r="AG2426" s="4">
        <v>8</v>
      </c>
      <c r="AH2426" s="4">
        <v>25</v>
      </c>
      <c r="AI2426" s="4">
        <v>78</v>
      </c>
      <c r="AJ2426" s="4">
        <v>6</v>
      </c>
      <c r="AK2426" s="4">
        <v>21</v>
      </c>
      <c r="AL2426" s="4">
        <v>17</v>
      </c>
      <c r="AM2426" s="4">
        <v>41</v>
      </c>
      <c r="AN2426" s="4">
        <v>0</v>
      </c>
      <c r="AO2426" s="4">
        <v>0</v>
      </c>
      <c r="AP2426" s="4">
        <v>7</v>
      </c>
      <c r="AQ2426" s="4">
        <v>41</v>
      </c>
      <c r="AR2426" s="3" t="s">
        <v>62</v>
      </c>
      <c r="AS2426" s="3" t="s">
        <v>62</v>
      </c>
      <c r="AT2426" s="3" t="s">
        <v>62</v>
      </c>
      <c r="AV2426" s="6" t="str">
        <f>HYPERLINK("http://mcgill.on.worldcat.org/oclc/826896284","Catalog Record")</f>
        <v>Catalog Record</v>
      </c>
      <c r="AW2426" s="6" t="str">
        <f>HYPERLINK("http://www.worldcat.org/oclc/826896284","WorldCat Record")</f>
        <v>WorldCat Record</v>
      </c>
      <c r="AX2426" s="3" t="s">
        <v>23751</v>
      </c>
      <c r="AY2426" s="3" t="s">
        <v>23752</v>
      </c>
      <c r="AZ2426" s="3" t="s">
        <v>23753</v>
      </c>
      <c r="BA2426" s="3" t="s">
        <v>23753</v>
      </c>
      <c r="BB2426" s="3" t="s">
        <v>23754</v>
      </c>
      <c r="BC2426" s="3" t="s">
        <v>142</v>
      </c>
      <c r="BD2426" s="3" t="s">
        <v>68</v>
      </c>
      <c r="BE2426" s="3" t="s">
        <v>23755</v>
      </c>
      <c r="BF2426" s="3" t="s">
        <v>23754</v>
      </c>
      <c r="BG2426" s="3" t="s">
        <v>23756</v>
      </c>
    </row>
    <row r="2427" spans="1:59" ht="57" x14ac:dyDescent="0.45">
      <c r="A2427" s="2" t="s">
        <v>59</v>
      </c>
      <c r="B2427" s="2" t="s">
        <v>60</v>
      </c>
      <c r="C2427" s="2" t="s">
        <v>23757</v>
      </c>
      <c r="D2427" s="2" t="s">
        <v>23758</v>
      </c>
      <c r="E2427" s="2" t="s">
        <v>23759</v>
      </c>
      <c r="G2427" s="3" t="s">
        <v>62</v>
      </c>
      <c r="I2427" s="3" t="s">
        <v>62</v>
      </c>
      <c r="J2427" s="3" t="s">
        <v>62</v>
      </c>
      <c r="K2427" s="3" t="s">
        <v>63</v>
      </c>
      <c r="M2427" s="2" t="s">
        <v>23760</v>
      </c>
      <c r="N2427" s="3" t="s">
        <v>1239</v>
      </c>
      <c r="P2427" s="3" t="s">
        <v>65</v>
      </c>
      <c r="R2427" s="3" t="s">
        <v>66</v>
      </c>
      <c r="S2427" s="4">
        <v>24</v>
      </c>
      <c r="T2427" s="4">
        <v>24</v>
      </c>
      <c r="U2427" s="5" t="s">
        <v>23761</v>
      </c>
      <c r="V2427" s="5" t="s">
        <v>23761</v>
      </c>
      <c r="W2427" s="5" t="s">
        <v>67</v>
      </c>
      <c r="X2427" s="5" t="s">
        <v>67</v>
      </c>
      <c r="Y2427" s="4">
        <v>325</v>
      </c>
      <c r="Z2427" s="4">
        <v>16</v>
      </c>
      <c r="AA2427" s="4">
        <v>20</v>
      </c>
      <c r="AB2427" s="4">
        <v>2</v>
      </c>
      <c r="AC2427" s="4">
        <v>6</v>
      </c>
      <c r="AD2427" s="4">
        <v>96</v>
      </c>
      <c r="AE2427" s="4">
        <v>99</v>
      </c>
      <c r="AF2427" s="4">
        <v>1</v>
      </c>
      <c r="AG2427" s="4">
        <v>4</v>
      </c>
      <c r="AH2427" s="4">
        <v>87</v>
      </c>
      <c r="AI2427" s="4">
        <v>88</v>
      </c>
      <c r="AJ2427" s="4">
        <v>14</v>
      </c>
      <c r="AK2427" s="4">
        <v>17</v>
      </c>
      <c r="AL2427" s="4">
        <v>47</v>
      </c>
      <c r="AM2427" s="4">
        <v>47</v>
      </c>
      <c r="AN2427" s="4">
        <v>0</v>
      </c>
      <c r="AO2427" s="4">
        <v>0</v>
      </c>
      <c r="AP2427" s="4">
        <v>14</v>
      </c>
      <c r="AQ2427" s="4">
        <v>16</v>
      </c>
      <c r="AR2427" s="3" t="s">
        <v>62</v>
      </c>
      <c r="AS2427" s="3" t="s">
        <v>62</v>
      </c>
      <c r="AT2427" s="3" t="s">
        <v>62</v>
      </c>
      <c r="AV2427" s="6" t="str">
        <f>HYPERLINK("http://mcgill.on.worldcat.org/oclc/18014594","Catalog Record")</f>
        <v>Catalog Record</v>
      </c>
      <c r="AW2427" s="6" t="str">
        <f>HYPERLINK("http://www.worldcat.org/oclc/18014594","WorldCat Record")</f>
        <v>WorldCat Record</v>
      </c>
      <c r="AX2427" s="3" t="s">
        <v>23762</v>
      </c>
      <c r="AY2427" s="3" t="s">
        <v>23763</v>
      </c>
      <c r="AZ2427" s="3" t="s">
        <v>23764</v>
      </c>
      <c r="BA2427" s="3" t="s">
        <v>23764</v>
      </c>
      <c r="BB2427" s="3" t="s">
        <v>23765</v>
      </c>
      <c r="BC2427" s="3" t="s">
        <v>142</v>
      </c>
      <c r="BD2427" s="3" t="s">
        <v>68</v>
      </c>
      <c r="BE2427" s="3" t="s">
        <v>23766</v>
      </c>
      <c r="BF2427" s="3" t="s">
        <v>23765</v>
      </c>
      <c r="BG2427" s="3" t="s">
        <v>23767</v>
      </c>
    </row>
    <row r="2428" spans="1:59" ht="57" x14ac:dyDescent="0.45">
      <c r="A2428" s="2" t="s">
        <v>59</v>
      </c>
      <c r="B2428" s="2" t="s">
        <v>60</v>
      </c>
      <c r="C2428" s="2" t="s">
        <v>23768</v>
      </c>
      <c r="D2428" s="2" t="s">
        <v>23769</v>
      </c>
      <c r="E2428" s="2" t="s">
        <v>23770</v>
      </c>
      <c r="G2428" s="3" t="s">
        <v>62</v>
      </c>
      <c r="I2428" s="3" t="s">
        <v>62</v>
      </c>
      <c r="J2428" s="3" t="s">
        <v>62</v>
      </c>
      <c r="K2428" s="3" t="s">
        <v>63</v>
      </c>
      <c r="M2428" s="2" t="s">
        <v>23771</v>
      </c>
      <c r="N2428" s="3" t="s">
        <v>1604</v>
      </c>
      <c r="P2428" s="3" t="s">
        <v>65</v>
      </c>
      <c r="Q2428" s="2" t="s">
        <v>23772</v>
      </c>
      <c r="R2428" s="3" t="s">
        <v>66</v>
      </c>
      <c r="S2428" s="4">
        <v>38</v>
      </c>
      <c r="T2428" s="4">
        <v>38</v>
      </c>
      <c r="U2428" s="5" t="s">
        <v>6038</v>
      </c>
      <c r="V2428" s="5" t="s">
        <v>6038</v>
      </c>
      <c r="W2428" s="5" t="s">
        <v>67</v>
      </c>
      <c r="X2428" s="5" t="s">
        <v>67</v>
      </c>
      <c r="Y2428" s="4">
        <v>481</v>
      </c>
      <c r="Z2428" s="4">
        <v>28</v>
      </c>
      <c r="AA2428" s="4">
        <v>32</v>
      </c>
      <c r="AB2428" s="4">
        <v>2</v>
      </c>
      <c r="AC2428" s="4">
        <v>6</v>
      </c>
      <c r="AD2428" s="4">
        <v>112</v>
      </c>
      <c r="AE2428" s="4">
        <v>115</v>
      </c>
      <c r="AF2428" s="4">
        <v>1</v>
      </c>
      <c r="AG2428" s="4">
        <v>4</v>
      </c>
      <c r="AH2428" s="4">
        <v>98</v>
      </c>
      <c r="AI2428" s="4">
        <v>99</v>
      </c>
      <c r="AJ2428" s="4">
        <v>17</v>
      </c>
      <c r="AK2428" s="4">
        <v>20</v>
      </c>
      <c r="AL2428" s="4">
        <v>53</v>
      </c>
      <c r="AM2428" s="4">
        <v>53</v>
      </c>
      <c r="AN2428" s="4">
        <v>0</v>
      </c>
      <c r="AO2428" s="4">
        <v>0</v>
      </c>
      <c r="AP2428" s="4">
        <v>22</v>
      </c>
      <c r="AQ2428" s="4">
        <v>24</v>
      </c>
      <c r="AR2428" s="3" t="s">
        <v>62</v>
      </c>
      <c r="AS2428" s="3" t="s">
        <v>62</v>
      </c>
      <c r="AT2428" s="3" t="s">
        <v>61</v>
      </c>
      <c r="AU2428" s="6" t="str">
        <f>HYPERLINK("http://catalog.hathitrust.org/Record/003124181","HathiTrust Record")</f>
        <v>HathiTrust Record</v>
      </c>
      <c r="AV2428" s="6" t="str">
        <f>HYPERLINK("http://mcgill.on.worldcat.org/oclc/30072671","Catalog Record")</f>
        <v>Catalog Record</v>
      </c>
      <c r="AW2428" s="6" t="str">
        <f>HYPERLINK("http://www.worldcat.org/oclc/30072671","WorldCat Record")</f>
        <v>WorldCat Record</v>
      </c>
      <c r="AX2428" s="3" t="s">
        <v>23773</v>
      </c>
      <c r="AY2428" s="3" t="s">
        <v>23774</v>
      </c>
      <c r="AZ2428" s="3" t="s">
        <v>23775</v>
      </c>
      <c r="BA2428" s="3" t="s">
        <v>23775</v>
      </c>
      <c r="BB2428" s="3" t="s">
        <v>23776</v>
      </c>
      <c r="BC2428" s="3" t="s">
        <v>142</v>
      </c>
      <c r="BD2428" s="3" t="s">
        <v>68</v>
      </c>
      <c r="BE2428" s="3" t="s">
        <v>23777</v>
      </c>
      <c r="BF2428" s="3" t="s">
        <v>23776</v>
      </c>
      <c r="BG2428" s="3" t="s">
        <v>23778</v>
      </c>
    </row>
    <row r="2429" spans="1:59" ht="57" x14ac:dyDescent="0.45">
      <c r="A2429" s="2" t="s">
        <v>59</v>
      </c>
      <c r="B2429" s="2" t="s">
        <v>60</v>
      </c>
      <c r="C2429" s="2" t="s">
        <v>23779</v>
      </c>
      <c r="D2429" s="2" t="s">
        <v>23780</v>
      </c>
      <c r="E2429" s="2" t="s">
        <v>23781</v>
      </c>
      <c r="G2429" s="3" t="s">
        <v>62</v>
      </c>
      <c r="I2429" s="3" t="s">
        <v>62</v>
      </c>
      <c r="J2429" s="3" t="s">
        <v>62</v>
      </c>
      <c r="K2429" s="3" t="s">
        <v>63</v>
      </c>
      <c r="L2429" s="2" t="s">
        <v>23782</v>
      </c>
      <c r="M2429" s="2" t="s">
        <v>23783</v>
      </c>
      <c r="N2429" s="3" t="s">
        <v>149</v>
      </c>
      <c r="P2429" s="3" t="s">
        <v>65</v>
      </c>
      <c r="Q2429" s="2" t="s">
        <v>23784</v>
      </c>
      <c r="R2429" s="3" t="s">
        <v>66</v>
      </c>
      <c r="S2429" s="4">
        <v>3</v>
      </c>
      <c r="T2429" s="4">
        <v>3</v>
      </c>
      <c r="U2429" s="5" t="s">
        <v>23785</v>
      </c>
      <c r="V2429" s="5" t="s">
        <v>23785</v>
      </c>
      <c r="W2429" s="5" t="s">
        <v>67</v>
      </c>
      <c r="X2429" s="5" t="s">
        <v>67</v>
      </c>
      <c r="Y2429" s="4">
        <v>237</v>
      </c>
      <c r="Z2429" s="4">
        <v>18</v>
      </c>
      <c r="AA2429" s="4">
        <v>30</v>
      </c>
      <c r="AB2429" s="4">
        <v>2</v>
      </c>
      <c r="AC2429" s="4">
        <v>11</v>
      </c>
      <c r="AD2429" s="4">
        <v>68</v>
      </c>
      <c r="AE2429" s="4">
        <v>83</v>
      </c>
      <c r="AF2429" s="4">
        <v>1</v>
      </c>
      <c r="AG2429" s="4">
        <v>6</v>
      </c>
      <c r="AH2429" s="4">
        <v>61</v>
      </c>
      <c r="AI2429" s="4">
        <v>70</v>
      </c>
      <c r="AJ2429" s="4">
        <v>10</v>
      </c>
      <c r="AK2429" s="4">
        <v>14</v>
      </c>
      <c r="AL2429" s="4">
        <v>36</v>
      </c>
      <c r="AM2429" s="4">
        <v>39</v>
      </c>
      <c r="AN2429" s="4">
        <v>0</v>
      </c>
      <c r="AO2429" s="4">
        <v>0</v>
      </c>
      <c r="AP2429" s="4">
        <v>13</v>
      </c>
      <c r="AQ2429" s="4">
        <v>18</v>
      </c>
      <c r="AR2429" s="3" t="s">
        <v>62</v>
      </c>
      <c r="AS2429" s="3" t="s">
        <v>62</v>
      </c>
      <c r="AT2429" s="3" t="s">
        <v>62</v>
      </c>
      <c r="AV2429" s="6" t="str">
        <f>HYPERLINK("http://mcgill.on.worldcat.org/oclc/437306650","Catalog Record")</f>
        <v>Catalog Record</v>
      </c>
      <c r="AW2429" s="6" t="str">
        <f>HYPERLINK("http://www.worldcat.org/oclc/437306650","WorldCat Record")</f>
        <v>WorldCat Record</v>
      </c>
      <c r="AX2429" s="3" t="s">
        <v>23786</v>
      </c>
      <c r="AY2429" s="3" t="s">
        <v>23787</v>
      </c>
      <c r="AZ2429" s="3" t="s">
        <v>23788</v>
      </c>
      <c r="BA2429" s="3" t="s">
        <v>23788</v>
      </c>
      <c r="BB2429" s="3" t="s">
        <v>23789</v>
      </c>
      <c r="BC2429" s="3" t="s">
        <v>142</v>
      </c>
      <c r="BD2429" s="3" t="s">
        <v>68</v>
      </c>
      <c r="BE2429" s="3" t="s">
        <v>23790</v>
      </c>
      <c r="BF2429" s="3" t="s">
        <v>23789</v>
      </c>
      <c r="BG2429" s="3" t="s">
        <v>23791</v>
      </c>
    </row>
    <row r="2430" spans="1:59" ht="57" x14ac:dyDescent="0.45">
      <c r="A2430" s="2" t="s">
        <v>59</v>
      </c>
      <c r="B2430" s="2" t="s">
        <v>60</v>
      </c>
      <c r="C2430" s="2" t="s">
        <v>23792</v>
      </c>
      <c r="D2430" s="2" t="s">
        <v>23793</v>
      </c>
      <c r="E2430" s="2" t="s">
        <v>23794</v>
      </c>
      <c r="G2430" s="3" t="s">
        <v>62</v>
      </c>
      <c r="I2430" s="3" t="s">
        <v>62</v>
      </c>
      <c r="J2430" s="3" t="s">
        <v>62</v>
      </c>
      <c r="K2430" s="3" t="s">
        <v>63</v>
      </c>
      <c r="M2430" s="2" t="s">
        <v>23795</v>
      </c>
      <c r="N2430" s="3" t="s">
        <v>1212</v>
      </c>
      <c r="P2430" s="3" t="s">
        <v>65</v>
      </c>
      <c r="Q2430" s="2" t="s">
        <v>23796</v>
      </c>
      <c r="R2430" s="3" t="s">
        <v>66</v>
      </c>
      <c r="S2430" s="4">
        <v>28</v>
      </c>
      <c r="T2430" s="4">
        <v>28</v>
      </c>
      <c r="U2430" s="5" t="s">
        <v>5337</v>
      </c>
      <c r="V2430" s="5" t="s">
        <v>5337</v>
      </c>
      <c r="W2430" s="5" t="s">
        <v>67</v>
      </c>
      <c r="X2430" s="5" t="s">
        <v>67</v>
      </c>
      <c r="Y2430" s="4">
        <v>191</v>
      </c>
      <c r="Z2430" s="4">
        <v>7</v>
      </c>
      <c r="AA2430" s="4">
        <v>8</v>
      </c>
      <c r="AB2430" s="4">
        <v>1</v>
      </c>
      <c r="AC2430" s="4">
        <v>2</v>
      </c>
      <c r="AD2430" s="4">
        <v>66</v>
      </c>
      <c r="AE2430" s="4">
        <v>67</v>
      </c>
      <c r="AF2430" s="4">
        <v>0</v>
      </c>
      <c r="AG2430" s="4">
        <v>1</v>
      </c>
      <c r="AH2430" s="4">
        <v>64</v>
      </c>
      <c r="AI2430" s="4">
        <v>65</v>
      </c>
      <c r="AJ2430" s="4">
        <v>5</v>
      </c>
      <c r="AK2430" s="4">
        <v>6</v>
      </c>
      <c r="AL2430" s="4">
        <v>35</v>
      </c>
      <c r="AM2430" s="4">
        <v>35</v>
      </c>
      <c r="AN2430" s="4">
        <v>0</v>
      </c>
      <c r="AO2430" s="4">
        <v>0</v>
      </c>
      <c r="AP2430" s="4">
        <v>6</v>
      </c>
      <c r="AQ2430" s="4">
        <v>7</v>
      </c>
      <c r="AR2430" s="3" t="s">
        <v>62</v>
      </c>
      <c r="AS2430" s="3" t="s">
        <v>62</v>
      </c>
      <c r="AT2430" s="3" t="s">
        <v>61</v>
      </c>
      <c r="AU2430" s="6" t="str">
        <f>HYPERLINK("http://catalog.hathitrust.org/Record/004090743","HathiTrust Record")</f>
        <v>HathiTrust Record</v>
      </c>
      <c r="AV2430" s="6" t="str">
        <f>HYPERLINK("http://mcgill.on.worldcat.org/oclc/42290899","Catalog Record")</f>
        <v>Catalog Record</v>
      </c>
      <c r="AW2430" s="6" t="str">
        <f>HYPERLINK("http://www.worldcat.org/oclc/42290899","WorldCat Record")</f>
        <v>WorldCat Record</v>
      </c>
      <c r="AX2430" s="3" t="s">
        <v>23797</v>
      </c>
      <c r="AY2430" s="3" t="s">
        <v>23798</v>
      </c>
      <c r="AZ2430" s="3" t="s">
        <v>23799</v>
      </c>
      <c r="BA2430" s="3" t="s">
        <v>23799</v>
      </c>
      <c r="BB2430" s="3" t="s">
        <v>23800</v>
      </c>
      <c r="BC2430" s="3" t="s">
        <v>142</v>
      </c>
      <c r="BD2430" s="3" t="s">
        <v>68</v>
      </c>
      <c r="BE2430" s="3" t="s">
        <v>23801</v>
      </c>
      <c r="BF2430" s="3" t="s">
        <v>23800</v>
      </c>
      <c r="BG2430" s="3" t="s">
        <v>23802</v>
      </c>
    </row>
    <row r="2431" spans="1:59" ht="57" x14ac:dyDescent="0.45">
      <c r="A2431" s="2" t="s">
        <v>59</v>
      </c>
      <c r="B2431" s="2" t="s">
        <v>60</v>
      </c>
      <c r="C2431" s="2" t="s">
        <v>23803</v>
      </c>
      <c r="D2431" s="2" t="s">
        <v>23804</v>
      </c>
      <c r="E2431" s="2" t="s">
        <v>23805</v>
      </c>
      <c r="G2431" s="3" t="s">
        <v>62</v>
      </c>
      <c r="I2431" s="3" t="s">
        <v>62</v>
      </c>
      <c r="J2431" s="3" t="s">
        <v>62</v>
      </c>
      <c r="K2431" s="3" t="s">
        <v>63</v>
      </c>
      <c r="M2431" s="2" t="s">
        <v>23806</v>
      </c>
      <c r="N2431" s="3" t="s">
        <v>918</v>
      </c>
      <c r="P2431" s="3" t="s">
        <v>65</v>
      </c>
      <c r="Q2431" s="2" t="s">
        <v>17318</v>
      </c>
      <c r="R2431" s="3" t="s">
        <v>66</v>
      </c>
      <c r="S2431" s="4">
        <v>8</v>
      </c>
      <c r="T2431" s="4">
        <v>8</v>
      </c>
      <c r="U2431" s="5" t="s">
        <v>21380</v>
      </c>
      <c r="V2431" s="5" t="s">
        <v>21380</v>
      </c>
      <c r="W2431" s="5" t="s">
        <v>67</v>
      </c>
      <c r="X2431" s="5" t="s">
        <v>67</v>
      </c>
      <c r="Y2431" s="4">
        <v>189</v>
      </c>
      <c r="Z2431" s="4">
        <v>16</v>
      </c>
      <c r="AA2431" s="4">
        <v>16</v>
      </c>
      <c r="AB2431" s="4">
        <v>2</v>
      </c>
      <c r="AC2431" s="4">
        <v>2</v>
      </c>
      <c r="AD2431" s="4">
        <v>42</v>
      </c>
      <c r="AE2431" s="4">
        <v>42</v>
      </c>
      <c r="AF2431" s="4">
        <v>1</v>
      </c>
      <c r="AG2431" s="4">
        <v>1</v>
      </c>
      <c r="AH2431" s="4">
        <v>36</v>
      </c>
      <c r="AI2431" s="4">
        <v>36</v>
      </c>
      <c r="AJ2431" s="4">
        <v>10</v>
      </c>
      <c r="AK2431" s="4">
        <v>10</v>
      </c>
      <c r="AL2431" s="4">
        <v>19</v>
      </c>
      <c r="AM2431" s="4">
        <v>19</v>
      </c>
      <c r="AN2431" s="4">
        <v>0</v>
      </c>
      <c r="AO2431" s="4">
        <v>0</v>
      </c>
      <c r="AP2431" s="4">
        <v>12</v>
      </c>
      <c r="AQ2431" s="4">
        <v>12</v>
      </c>
      <c r="AR2431" s="3" t="s">
        <v>62</v>
      </c>
      <c r="AS2431" s="3" t="s">
        <v>62</v>
      </c>
      <c r="AT2431" s="3" t="s">
        <v>61</v>
      </c>
      <c r="AU2431" s="6" t="str">
        <f>HYPERLINK("http://catalog.hathitrust.org/Record/004370655","HathiTrust Record")</f>
        <v>HathiTrust Record</v>
      </c>
      <c r="AV2431" s="6" t="str">
        <f>HYPERLINK("http://mcgill.on.worldcat.org/oclc/54060358","Catalog Record")</f>
        <v>Catalog Record</v>
      </c>
      <c r="AW2431" s="6" t="str">
        <f>HYPERLINK("http://www.worldcat.org/oclc/54060358","WorldCat Record")</f>
        <v>WorldCat Record</v>
      </c>
      <c r="AX2431" s="3" t="s">
        <v>23807</v>
      </c>
      <c r="AY2431" s="3" t="s">
        <v>23808</v>
      </c>
      <c r="AZ2431" s="3" t="s">
        <v>23809</v>
      </c>
      <c r="BA2431" s="3" t="s">
        <v>23809</v>
      </c>
      <c r="BB2431" s="3" t="s">
        <v>23810</v>
      </c>
      <c r="BC2431" s="3" t="s">
        <v>142</v>
      </c>
      <c r="BD2431" s="3" t="s">
        <v>68</v>
      </c>
      <c r="BE2431" s="3" t="s">
        <v>23811</v>
      </c>
      <c r="BF2431" s="3" t="s">
        <v>23810</v>
      </c>
      <c r="BG2431" s="3" t="s">
        <v>23812</v>
      </c>
    </row>
    <row r="2432" spans="1:59" ht="57" x14ac:dyDescent="0.45">
      <c r="A2432" s="2" t="s">
        <v>59</v>
      </c>
      <c r="B2432" s="2" t="s">
        <v>60</v>
      </c>
      <c r="C2432" s="2" t="s">
        <v>23813</v>
      </c>
      <c r="D2432" s="2" t="s">
        <v>23814</v>
      </c>
      <c r="E2432" s="2" t="s">
        <v>23815</v>
      </c>
      <c r="G2432" s="3" t="s">
        <v>62</v>
      </c>
      <c r="I2432" s="3" t="s">
        <v>62</v>
      </c>
      <c r="J2432" s="3" t="s">
        <v>62</v>
      </c>
      <c r="K2432" s="3" t="s">
        <v>63</v>
      </c>
      <c r="M2432" s="2" t="s">
        <v>23816</v>
      </c>
      <c r="N2432" s="3" t="s">
        <v>894</v>
      </c>
      <c r="P2432" s="3" t="s">
        <v>65</v>
      </c>
      <c r="Q2432" s="2" t="s">
        <v>22169</v>
      </c>
      <c r="R2432" s="3" t="s">
        <v>66</v>
      </c>
      <c r="S2432" s="4">
        <v>4</v>
      </c>
      <c r="T2432" s="4">
        <v>4</v>
      </c>
      <c r="U2432" s="5" t="s">
        <v>23817</v>
      </c>
      <c r="V2432" s="5" t="s">
        <v>23817</v>
      </c>
      <c r="W2432" s="5" t="s">
        <v>67</v>
      </c>
      <c r="X2432" s="5" t="s">
        <v>67</v>
      </c>
      <c r="Y2432" s="4">
        <v>203</v>
      </c>
      <c r="Z2432" s="4">
        <v>15</v>
      </c>
      <c r="AA2432" s="4">
        <v>32</v>
      </c>
      <c r="AB2432" s="4">
        <v>1</v>
      </c>
      <c r="AC2432" s="4">
        <v>7</v>
      </c>
      <c r="AD2432" s="4">
        <v>42</v>
      </c>
      <c r="AE2432" s="4">
        <v>76</v>
      </c>
      <c r="AF2432" s="4">
        <v>0</v>
      </c>
      <c r="AG2432" s="4">
        <v>4</v>
      </c>
      <c r="AH2432" s="4">
        <v>37</v>
      </c>
      <c r="AI2432" s="4">
        <v>63</v>
      </c>
      <c r="AJ2432" s="4">
        <v>9</v>
      </c>
      <c r="AK2432" s="4">
        <v>17</v>
      </c>
      <c r="AL2432" s="4">
        <v>17</v>
      </c>
      <c r="AM2432" s="4">
        <v>35</v>
      </c>
      <c r="AN2432" s="4">
        <v>0</v>
      </c>
      <c r="AO2432" s="4">
        <v>0</v>
      </c>
      <c r="AP2432" s="4">
        <v>12</v>
      </c>
      <c r="AQ2432" s="4">
        <v>23</v>
      </c>
      <c r="AR2432" s="3" t="s">
        <v>62</v>
      </c>
      <c r="AS2432" s="3" t="s">
        <v>62</v>
      </c>
      <c r="AT2432" s="3" t="s">
        <v>62</v>
      </c>
      <c r="AV2432" s="6" t="str">
        <f>HYPERLINK("http://mcgill.on.worldcat.org/oclc/671701618","Catalog Record")</f>
        <v>Catalog Record</v>
      </c>
      <c r="AW2432" s="6" t="str">
        <f>HYPERLINK("http://www.worldcat.org/oclc/671701618","WorldCat Record")</f>
        <v>WorldCat Record</v>
      </c>
      <c r="AX2432" s="3" t="s">
        <v>23818</v>
      </c>
      <c r="AY2432" s="3" t="s">
        <v>23819</v>
      </c>
      <c r="AZ2432" s="3" t="s">
        <v>23820</v>
      </c>
      <c r="BA2432" s="3" t="s">
        <v>23820</v>
      </c>
      <c r="BB2432" s="3" t="s">
        <v>23821</v>
      </c>
      <c r="BC2432" s="3" t="s">
        <v>142</v>
      </c>
      <c r="BD2432" s="3" t="s">
        <v>68</v>
      </c>
      <c r="BE2432" s="3" t="s">
        <v>23822</v>
      </c>
      <c r="BF2432" s="3" t="s">
        <v>23821</v>
      </c>
      <c r="BG2432" s="3" t="s">
        <v>23823</v>
      </c>
    </row>
    <row r="2433" spans="1:59" ht="57" x14ac:dyDescent="0.45">
      <c r="A2433" s="2" t="s">
        <v>59</v>
      </c>
      <c r="B2433" s="2" t="s">
        <v>60</v>
      </c>
      <c r="C2433" s="2" t="s">
        <v>23824</v>
      </c>
      <c r="D2433" s="2" t="s">
        <v>23825</v>
      </c>
      <c r="E2433" s="2" t="s">
        <v>23826</v>
      </c>
      <c r="G2433" s="3" t="s">
        <v>62</v>
      </c>
      <c r="I2433" s="3" t="s">
        <v>62</v>
      </c>
      <c r="J2433" s="3" t="s">
        <v>62</v>
      </c>
      <c r="K2433" s="3" t="s">
        <v>63</v>
      </c>
      <c r="M2433" s="2" t="s">
        <v>6141</v>
      </c>
      <c r="N2433" s="3" t="s">
        <v>894</v>
      </c>
      <c r="P2433" s="3" t="s">
        <v>65</v>
      </c>
      <c r="Q2433" s="2" t="s">
        <v>23827</v>
      </c>
      <c r="R2433" s="3" t="s">
        <v>66</v>
      </c>
      <c r="S2433" s="4">
        <v>9</v>
      </c>
      <c r="T2433" s="4">
        <v>9</v>
      </c>
      <c r="U2433" s="5" t="s">
        <v>4265</v>
      </c>
      <c r="V2433" s="5" t="s">
        <v>4265</v>
      </c>
      <c r="W2433" s="5" t="s">
        <v>67</v>
      </c>
      <c r="X2433" s="5" t="s">
        <v>67</v>
      </c>
      <c r="Y2433" s="4">
        <v>185</v>
      </c>
      <c r="Z2433" s="4">
        <v>23</v>
      </c>
      <c r="AA2433" s="4">
        <v>27</v>
      </c>
      <c r="AB2433" s="4">
        <v>2</v>
      </c>
      <c r="AC2433" s="4">
        <v>6</v>
      </c>
      <c r="AD2433" s="4">
        <v>87</v>
      </c>
      <c r="AE2433" s="4">
        <v>90</v>
      </c>
      <c r="AF2433" s="4">
        <v>1</v>
      </c>
      <c r="AG2433" s="4">
        <v>2</v>
      </c>
      <c r="AH2433" s="4">
        <v>77</v>
      </c>
      <c r="AI2433" s="4">
        <v>79</v>
      </c>
      <c r="AJ2433" s="4">
        <v>15</v>
      </c>
      <c r="AK2433" s="4">
        <v>16</v>
      </c>
      <c r="AL2433" s="4">
        <v>43</v>
      </c>
      <c r="AM2433" s="4">
        <v>44</v>
      </c>
      <c r="AN2433" s="4">
        <v>0</v>
      </c>
      <c r="AO2433" s="4">
        <v>0</v>
      </c>
      <c r="AP2433" s="4">
        <v>18</v>
      </c>
      <c r="AQ2433" s="4">
        <v>18</v>
      </c>
      <c r="AR2433" s="3" t="s">
        <v>62</v>
      </c>
      <c r="AS2433" s="3" t="s">
        <v>62</v>
      </c>
      <c r="AT2433" s="3" t="s">
        <v>62</v>
      </c>
      <c r="AV2433" s="6" t="str">
        <f>HYPERLINK("http://mcgill.on.worldcat.org/oclc/491890896","Catalog Record")</f>
        <v>Catalog Record</v>
      </c>
      <c r="AW2433" s="6" t="str">
        <f>HYPERLINK("http://www.worldcat.org/oclc/491890896","WorldCat Record")</f>
        <v>WorldCat Record</v>
      </c>
      <c r="AX2433" s="3" t="s">
        <v>23828</v>
      </c>
      <c r="AY2433" s="3" t="s">
        <v>23829</v>
      </c>
      <c r="AZ2433" s="3" t="s">
        <v>23830</v>
      </c>
      <c r="BA2433" s="3" t="s">
        <v>23830</v>
      </c>
      <c r="BB2433" s="3" t="s">
        <v>23831</v>
      </c>
      <c r="BC2433" s="3" t="s">
        <v>142</v>
      </c>
      <c r="BD2433" s="3" t="s">
        <v>68</v>
      </c>
      <c r="BE2433" s="3" t="s">
        <v>23832</v>
      </c>
      <c r="BF2433" s="3" t="s">
        <v>23831</v>
      </c>
      <c r="BG2433" s="3" t="s">
        <v>23833</v>
      </c>
    </row>
    <row r="2434" spans="1:59" ht="57" x14ac:dyDescent="0.45">
      <c r="A2434" s="2" t="s">
        <v>59</v>
      </c>
      <c r="B2434" s="2" t="s">
        <v>60</v>
      </c>
      <c r="C2434" s="2" t="s">
        <v>23834</v>
      </c>
      <c r="D2434" s="2" t="s">
        <v>23835</v>
      </c>
      <c r="E2434" s="2" t="s">
        <v>23836</v>
      </c>
      <c r="G2434" s="3" t="s">
        <v>62</v>
      </c>
      <c r="I2434" s="3" t="s">
        <v>62</v>
      </c>
      <c r="J2434" s="3" t="s">
        <v>62</v>
      </c>
      <c r="K2434" s="3" t="s">
        <v>63</v>
      </c>
      <c r="L2434" s="2" t="s">
        <v>20750</v>
      </c>
      <c r="M2434" s="2" t="s">
        <v>20751</v>
      </c>
      <c r="N2434" s="3" t="s">
        <v>1059</v>
      </c>
      <c r="P2434" s="3" t="s">
        <v>65</v>
      </c>
      <c r="R2434" s="3" t="s">
        <v>66</v>
      </c>
      <c r="S2434" s="4">
        <v>32</v>
      </c>
      <c r="T2434" s="4">
        <v>32</v>
      </c>
      <c r="U2434" s="5" t="s">
        <v>19339</v>
      </c>
      <c r="V2434" s="5" t="s">
        <v>19339</v>
      </c>
      <c r="W2434" s="5" t="s">
        <v>67</v>
      </c>
      <c r="X2434" s="5" t="s">
        <v>67</v>
      </c>
      <c r="Y2434" s="4">
        <v>853</v>
      </c>
      <c r="Z2434" s="4">
        <v>46</v>
      </c>
      <c r="AA2434" s="4">
        <v>82</v>
      </c>
      <c r="AB2434" s="4">
        <v>1</v>
      </c>
      <c r="AC2434" s="4">
        <v>11</v>
      </c>
      <c r="AD2434" s="4">
        <v>122</v>
      </c>
      <c r="AE2434" s="4">
        <v>144</v>
      </c>
      <c r="AF2434" s="4">
        <v>0</v>
      </c>
      <c r="AG2434" s="4">
        <v>6</v>
      </c>
      <c r="AH2434" s="4">
        <v>103</v>
      </c>
      <c r="AI2434" s="4">
        <v>108</v>
      </c>
      <c r="AJ2434" s="4">
        <v>18</v>
      </c>
      <c r="AK2434" s="4">
        <v>26</v>
      </c>
      <c r="AL2434" s="4">
        <v>51</v>
      </c>
      <c r="AM2434" s="4">
        <v>53</v>
      </c>
      <c r="AN2434" s="4">
        <v>0</v>
      </c>
      <c r="AO2434" s="4">
        <v>0</v>
      </c>
      <c r="AP2434" s="4">
        <v>29</v>
      </c>
      <c r="AQ2434" s="4">
        <v>46</v>
      </c>
      <c r="AR2434" s="3" t="s">
        <v>62</v>
      </c>
      <c r="AS2434" s="3" t="s">
        <v>62</v>
      </c>
      <c r="AT2434" s="3" t="s">
        <v>61</v>
      </c>
      <c r="AU2434" s="6" t="str">
        <f>HYPERLINK("http://catalog.hathitrust.org/Record/005283468","HathiTrust Record")</f>
        <v>HathiTrust Record</v>
      </c>
      <c r="AV2434" s="6" t="str">
        <f>HYPERLINK("http://mcgill.on.worldcat.org/oclc/65187292","Catalog Record")</f>
        <v>Catalog Record</v>
      </c>
      <c r="AW2434" s="6" t="str">
        <f>HYPERLINK("http://www.worldcat.org/oclc/65187292","WorldCat Record")</f>
        <v>WorldCat Record</v>
      </c>
      <c r="AX2434" s="3" t="s">
        <v>23837</v>
      </c>
      <c r="AY2434" s="3" t="s">
        <v>23838</v>
      </c>
      <c r="AZ2434" s="3" t="s">
        <v>23839</v>
      </c>
      <c r="BA2434" s="3" t="s">
        <v>23839</v>
      </c>
      <c r="BB2434" s="3" t="s">
        <v>23840</v>
      </c>
      <c r="BC2434" s="3" t="s">
        <v>142</v>
      </c>
      <c r="BD2434" s="3" t="s">
        <v>68</v>
      </c>
      <c r="BE2434" s="3" t="s">
        <v>23841</v>
      </c>
      <c r="BF2434" s="3" t="s">
        <v>23840</v>
      </c>
      <c r="BG2434" s="3" t="s">
        <v>23842</v>
      </c>
    </row>
    <row r="2435" spans="1:59" ht="57" x14ac:dyDescent="0.45">
      <c r="A2435" s="2" t="s">
        <v>59</v>
      </c>
      <c r="B2435" s="2" t="s">
        <v>60</v>
      </c>
      <c r="C2435" s="2" t="s">
        <v>23843</v>
      </c>
      <c r="D2435" s="2" t="s">
        <v>23844</v>
      </c>
      <c r="E2435" s="2" t="s">
        <v>23845</v>
      </c>
      <c r="G2435" s="3" t="s">
        <v>62</v>
      </c>
      <c r="I2435" s="3" t="s">
        <v>62</v>
      </c>
      <c r="J2435" s="3" t="s">
        <v>62</v>
      </c>
      <c r="K2435" s="3" t="s">
        <v>63</v>
      </c>
      <c r="L2435" s="2" t="s">
        <v>23846</v>
      </c>
      <c r="M2435" s="2" t="s">
        <v>4862</v>
      </c>
      <c r="N2435" s="3" t="s">
        <v>1465</v>
      </c>
      <c r="P2435" s="3" t="s">
        <v>65</v>
      </c>
      <c r="R2435" s="3" t="s">
        <v>66</v>
      </c>
      <c r="S2435" s="4">
        <v>16</v>
      </c>
      <c r="T2435" s="4">
        <v>16</v>
      </c>
      <c r="U2435" s="5" t="s">
        <v>23847</v>
      </c>
      <c r="V2435" s="5" t="s">
        <v>23847</v>
      </c>
      <c r="W2435" s="5" t="s">
        <v>67</v>
      </c>
      <c r="X2435" s="5" t="s">
        <v>67</v>
      </c>
      <c r="Y2435" s="4">
        <v>306</v>
      </c>
      <c r="Z2435" s="4">
        <v>24</v>
      </c>
      <c r="AA2435" s="4">
        <v>29</v>
      </c>
      <c r="AB2435" s="4">
        <v>3</v>
      </c>
      <c r="AC2435" s="4">
        <v>6</v>
      </c>
      <c r="AD2435" s="4">
        <v>96</v>
      </c>
      <c r="AE2435" s="4">
        <v>99</v>
      </c>
      <c r="AF2435" s="4">
        <v>1</v>
      </c>
      <c r="AG2435" s="4">
        <v>3</v>
      </c>
      <c r="AH2435" s="4">
        <v>85</v>
      </c>
      <c r="AI2435" s="4">
        <v>86</v>
      </c>
      <c r="AJ2435" s="4">
        <v>17</v>
      </c>
      <c r="AK2435" s="4">
        <v>20</v>
      </c>
      <c r="AL2435" s="4">
        <v>50</v>
      </c>
      <c r="AM2435" s="4">
        <v>50</v>
      </c>
      <c r="AN2435" s="4">
        <v>0</v>
      </c>
      <c r="AO2435" s="4">
        <v>0</v>
      </c>
      <c r="AP2435" s="4">
        <v>18</v>
      </c>
      <c r="AQ2435" s="4">
        <v>21</v>
      </c>
      <c r="AR2435" s="3" t="s">
        <v>62</v>
      </c>
      <c r="AS2435" s="3" t="s">
        <v>62</v>
      </c>
      <c r="AT2435" s="3" t="s">
        <v>62</v>
      </c>
      <c r="AV2435" s="6" t="str">
        <f>HYPERLINK("http://mcgill.on.worldcat.org/oclc/299280524","Catalog Record")</f>
        <v>Catalog Record</v>
      </c>
      <c r="AW2435" s="6" t="str">
        <f>HYPERLINK("http://www.worldcat.org/oclc/299280524","WorldCat Record")</f>
        <v>WorldCat Record</v>
      </c>
      <c r="AX2435" s="3" t="s">
        <v>23848</v>
      </c>
      <c r="AY2435" s="3" t="s">
        <v>23849</v>
      </c>
      <c r="AZ2435" s="3" t="s">
        <v>23850</v>
      </c>
      <c r="BA2435" s="3" t="s">
        <v>23850</v>
      </c>
      <c r="BB2435" s="3" t="s">
        <v>23851</v>
      </c>
      <c r="BC2435" s="3" t="s">
        <v>142</v>
      </c>
      <c r="BD2435" s="3" t="s">
        <v>68</v>
      </c>
      <c r="BE2435" s="3" t="s">
        <v>23852</v>
      </c>
      <c r="BF2435" s="3" t="s">
        <v>23851</v>
      </c>
      <c r="BG2435" s="3" t="s">
        <v>23853</v>
      </c>
    </row>
    <row r="2436" spans="1:59" ht="71.25" x14ac:dyDescent="0.45">
      <c r="A2436" s="2" t="s">
        <v>59</v>
      </c>
      <c r="B2436" s="2" t="s">
        <v>60</v>
      </c>
      <c r="C2436" s="2" t="s">
        <v>23854</v>
      </c>
      <c r="D2436" s="2" t="s">
        <v>23855</v>
      </c>
      <c r="E2436" s="2" t="s">
        <v>23856</v>
      </c>
      <c r="G2436" s="3" t="s">
        <v>62</v>
      </c>
      <c r="I2436" s="3" t="s">
        <v>62</v>
      </c>
      <c r="J2436" s="3" t="s">
        <v>62</v>
      </c>
      <c r="K2436" s="3" t="s">
        <v>63</v>
      </c>
      <c r="L2436" s="2" t="s">
        <v>13485</v>
      </c>
      <c r="M2436" s="2" t="s">
        <v>17930</v>
      </c>
      <c r="N2436" s="3" t="s">
        <v>1253</v>
      </c>
      <c r="P2436" s="3" t="s">
        <v>65</v>
      </c>
      <c r="R2436" s="3" t="s">
        <v>66</v>
      </c>
      <c r="S2436" s="4">
        <v>44</v>
      </c>
      <c r="T2436" s="4">
        <v>44</v>
      </c>
      <c r="U2436" s="5" t="s">
        <v>6038</v>
      </c>
      <c r="V2436" s="5" t="s">
        <v>6038</v>
      </c>
      <c r="W2436" s="5" t="s">
        <v>67</v>
      </c>
      <c r="X2436" s="5" t="s">
        <v>67</v>
      </c>
      <c r="Y2436" s="4">
        <v>489</v>
      </c>
      <c r="Z2436" s="4">
        <v>24</v>
      </c>
      <c r="AA2436" s="4">
        <v>100</v>
      </c>
      <c r="AB2436" s="4">
        <v>2</v>
      </c>
      <c r="AC2436" s="4">
        <v>17</v>
      </c>
      <c r="AD2436" s="4">
        <v>107</v>
      </c>
      <c r="AE2436" s="4">
        <v>146</v>
      </c>
      <c r="AF2436" s="4">
        <v>1</v>
      </c>
      <c r="AG2436" s="4">
        <v>8</v>
      </c>
      <c r="AH2436" s="4">
        <v>93</v>
      </c>
      <c r="AI2436" s="4">
        <v>106</v>
      </c>
      <c r="AJ2436" s="4">
        <v>15</v>
      </c>
      <c r="AK2436" s="4">
        <v>25</v>
      </c>
      <c r="AL2436" s="4">
        <v>50</v>
      </c>
      <c r="AM2436" s="4">
        <v>56</v>
      </c>
      <c r="AN2436" s="4">
        <v>0</v>
      </c>
      <c r="AO2436" s="4">
        <v>0</v>
      </c>
      <c r="AP2436" s="4">
        <v>21</v>
      </c>
      <c r="AQ2436" s="4">
        <v>50</v>
      </c>
      <c r="AR2436" s="3" t="s">
        <v>62</v>
      </c>
      <c r="AS2436" s="3" t="s">
        <v>62</v>
      </c>
      <c r="AT2436" s="3" t="s">
        <v>61</v>
      </c>
      <c r="AU2436" s="6" t="str">
        <f>HYPERLINK("http://catalog.hathitrust.org/Record/003944941","HathiTrust Record")</f>
        <v>HathiTrust Record</v>
      </c>
      <c r="AV2436" s="6" t="str">
        <f>HYPERLINK("http://mcgill.on.worldcat.org/oclc/36783701","Catalog Record")</f>
        <v>Catalog Record</v>
      </c>
      <c r="AW2436" s="6" t="str">
        <f>HYPERLINK("http://www.worldcat.org/oclc/36783701","WorldCat Record")</f>
        <v>WorldCat Record</v>
      </c>
      <c r="AX2436" s="3" t="s">
        <v>23857</v>
      </c>
      <c r="AY2436" s="3" t="s">
        <v>23858</v>
      </c>
      <c r="AZ2436" s="3" t="s">
        <v>23859</v>
      </c>
      <c r="BA2436" s="3" t="s">
        <v>23859</v>
      </c>
      <c r="BB2436" s="3" t="s">
        <v>23860</v>
      </c>
      <c r="BC2436" s="3" t="s">
        <v>142</v>
      </c>
      <c r="BD2436" s="3" t="s">
        <v>68</v>
      </c>
      <c r="BE2436" s="3" t="s">
        <v>23861</v>
      </c>
      <c r="BF2436" s="3" t="s">
        <v>23860</v>
      </c>
      <c r="BG2436" s="3" t="s">
        <v>23862</v>
      </c>
    </row>
    <row r="2437" spans="1:59" ht="71.25" x14ac:dyDescent="0.45">
      <c r="A2437" s="2" t="s">
        <v>59</v>
      </c>
      <c r="B2437" s="2" t="s">
        <v>60</v>
      </c>
      <c r="C2437" s="2" t="s">
        <v>23863</v>
      </c>
      <c r="D2437" s="2" t="s">
        <v>23864</v>
      </c>
      <c r="E2437" s="2" t="s">
        <v>23865</v>
      </c>
      <c r="G2437" s="3" t="s">
        <v>62</v>
      </c>
      <c r="I2437" s="3" t="s">
        <v>62</v>
      </c>
      <c r="J2437" s="3" t="s">
        <v>62</v>
      </c>
      <c r="K2437" s="3" t="s">
        <v>63</v>
      </c>
      <c r="M2437" s="2" t="s">
        <v>23866</v>
      </c>
      <c r="N2437" s="3" t="s">
        <v>1688</v>
      </c>
      <c r="P2437" s="3" t="s">
        <v>65</v>
      </c>
      <c r="R2437" s="3" t="s">
        <v>66</v>
      </c>
      <c r="S2437" s="4">
        <v>2</v>
      </c>
      <c r="T2437" s="4">
        <v>2</v>
      </c>
      <c r="U2437" s="5" t="s">
        <v>20564</v>
      </c>
      <c r="V2437" s="5" t="s">
        <v>20564</v>
      </c>
      <c r="W2437" s="5" t="s">
        <v>67</v>
      </c>
      <c r="X2437" s="5" t="s">
        <v>67</v>
      </c>
      <c r="Y2437" s="4">
        <v>164</v>
      </c>
      <c r="Z2437" s="4">
        <v>15</v>
      </c>
      <c r="AA2437" s="4">
        <v>49</v>
      </c>
      <c r="AB2437" s="4">
        <v>2</v>
      </c>
      <c r="AC2437" s="4">
        <v>6</v>
      </c>
      <c r="AD2437" s="4">
        <v>51</v>
      </c>
      <c r="AE2437" s="4">
        <v>73</v>
      </c>
      <c r="AF2437" s="4">
        <v>1</v>
      </c>
      <c r="AG2437" s="4">
        <v>2</v>
      </c>
      <c r="AH2437" s="4">
        <v>47</v>
      </c>
      <c r="AI2437" s="4">
        <v>60</v>
      </c>
      <c r="AJ2437" s="4">
        <v>10</v>
      </c>
      <c r="AK2437" s="4">
        <v>15</v>
      </c>
      <c r="AL2437" s="4">
        <v>26</v>
      </c>
      <c r="AM2437" s="4">
        <v>32</v>
      </c>
      <c r="AN2437" s="4">
        <v>0</v>
      </c>
      <c r="AO2437" s="4">
        <v>0</v>
      </c>
      <c r="AP2437" s="4">
        <v>12</v>
      </c>
      <c r="AQ2437" s="4">
        <v>22</v>
      </c>
      <c r="AR2437" s="3" t="s">
        <v>62</v>
      </c>
      <c r="AS2437" s="3" t="s">
        <v>62</v>
      </c>
      <c r="AT2437" s="3" t="s">
        <v>62</v>
      </c>
      <c r="AV2437" s="6" t="str">
        <f>HYPERLINK("http://mcgill.on.worldcat.org/oclc/829738687","Catalog Record")</f>
        <v>Catalog Record</v>
      </c>
      <c r="AW2437" s="6" t="str">
        <f>HYPERLINK("http://www.worldcat.org/oclc/829738687","WorldCat Record")</f>
        <v>WorldCat Record</v>
      </c>
      <c r="AX2437" s="3" t="s">
        <v>23867</v>
      </c>
      <c r="AY2437" s="3" t="s">
        <v>23868</v>
      </c>
      <c r="AZ2437" s="3" t="s">
        <v>23869</v>
      </c>
      <c r="BA2437" s="3" t="s">
        <v>23869</v>
      </c>
      <c r="BB2437" s="3" t="s">
        <v>23870</v>
      </c>
      <c r="BC2437" s="3" t="s">
        <v>142</v>
      </c>
      <c r="BD2437" s="3" t="s">
        <v>68</v>
      </c>
      <c r="BE2437" s="3" t="s">
        <v>23871</v>
      </c>
      <c r="BF2437" s="3" t="s">
        <v>23870</v>
      </c>
      <c r="BG2437" s="3" t="s">
        <v>23872</v>
      </c>
    </row>
    <row r="2438" spans="1:59" ht="71.25" x14ac:dyDescent="0.45">
      <c r="A2438" s="2" t="s">
        <v>59</v>
      </c>
      <c r="B2438" s="2" t="s">
        <v>60</v>
      </c>
      <c r="C2438" s="2" t="s">
        <v>23873</v>
      </c>
      <c r="D2438" s="2" t="s">
        <v>23874</v>
      </c>
      <c r="E2438" s="2" t="s">
        <v>23875</v>
      </c>
      <c r="G2438" s="3" t="s">
        <v>62</v>
      </c>
      <c r="I2438" s="3" t="s">
        <v>62</v>
      </c>
      <c r="J2438" s="3" t="s">
        <v>62</v>
      </c>
      <c r="K2438" s="3" t="s">
        <v>63</v>
      </c>
      <c r="L2438" s="2" t="s">
        <v>23876</v>
      </c>
      <c r="M2438" s="2" t="s">
        <v>23877</v>
      </c>
      <c r="N2438" s="3" t="s">
        <v>1465</v>
      </c>
      <c r="P2438" s="3" t="s">
        <v>65</v>
      </c>
      <c r="R2438" s="3" t="s">
        <v>66</v>
      </c>
      <c r="S2438" s="4">
        <v>12</v>
      </c>
      <c r="T2438" s="4">
        <v>12</v>
      </c>
      <c r="U2438" s="5" t="s">
        <v>15414</v>
      </c>
      <c r="V2438" s="5" t="s">
        <v>15414</v>
      </c>
      <c r="W2438" s="5" t="s">
        <v>67</v>
      </c>
      <c r="X2438" s="5" t="s">
        <v>67</v>
      </c>
      <c r="Y2438" s="4">
        <v>231</v>
      </c>
      <c r="Z2438" s="4">
        <v>23</v>
      </c>
      <c r="AA2438" s="4">
        <v>107</v>
      </c>
      <c r="AB2438" s="4">
        <v>4</v>
      </c>
      <c r="AC2438" s="4">
        <v>19</v>
      </c>
      <c r="AD2438" s="4">
        <v>77</v>
      </c>
      <c r="AE2438" s="4">
        <v>133</v>
      </c>
      <c r="AF2438" s="4">
        <v>1</v>
      </c>
      <c r="AG2438" s="4">
        <v>8</v>
      </c>
      <c r="AH2438" s="4">
        <v>64</v>
      </c>
      <c r="AI2438" s="4">
        <v>92</v>
      </c>
      <c r="AJ2438" s="4">
        <v>14</v>
      </c>
      <c r="AK2438" s="4">
        <v>25</v>
      </c>
      <c r="AL2438" s="4">
        <v>41</v>
      </c>
      <c r="AM2438" s="4">
        <v>51</v>
      </c>
      <c r="AN2438" s="4">
        <v>0</v>
      </c>
      <c r="AO2438" s="4">
        <v>0</v>
      </c>
      <c r="AP2438" s="4">
        <v>18</v>
      </c>
      <c r="AQ2438" s="4">
        <v>48</v>
      </c>
      <c r="AR2438" s="3" t="s">
        <v>62</v>
      </c>
      <c r="AS2438" s="3" t="s">
        <v>62</v>
      </c>
      <c r="AT2438" s="3" t="s">
        <v>62</v>
      </c>
      <c r="AV2438" s="6" t="str">
        <f>HYPERLINK("http://mcgill.on.worldcat.org/oclc/262429439","Catalog Record")</f>
        <v>Catalog Record</v>
      </c>
      <c r="AW2438" s="6" t="str">
        <f>HYPERLINK("http://www.worldcat.org/oclc/262429439","WorldCat Record")</f>
        <v>WorldCat Record</v>
      </c>
      <c r="AX2438" s="3" t="s">
        <v>23878</v>
      </c>
      <c r="AY2438" s="3" t="s">
        <v>23879</v>
      </c>
      <c r="AZ2438" s="3" t="s">
        <v>23880</v>
      </c>
      <c r="BA2438" s="3" t="s">
        <v>23880</v>
      </c>
      <c r="BB2438" s="3" t="s">
        <v>23881</v>
      </c>
      <c r="BC2438" s="3" t="s">
        <v>142</v>
      </c>
      <c r="BD2438" s="3" t="s">
        <v>68</v>
      </c>
      <c r="BE2438" s="3" t="s">
        <v>23882</v>
      </c>
      <c r="BF2438" s="3" t="s">
        <v>23881</v>
      </c>
      <c r="BG2438" s="3" t="s">
        <v>23883</v>
      </c>
    </row>
    <row r="2439" spans="1:59" ht="57" x14ac:dyDescent="0.45">
      <c r="A2439" s="2" t="s">
        <v>59</v>
      </c>
      <c r="B2439" s="2" t="s">
        <v>60</v>
      </c>
      <c r="C2439" s="2" t="s">
        <v>23884</v>
      </c>
      <c r="D2439" s="2" t="s">
        <v>23885</v>
      </c>
      <c r="E2439" s="2" t="s">
        <v>23886</v>
      </c>
      <c r="G2439" s="3" t="s">
        <v>62</v>
      </c>
      <c r="I2439" s="3" t="s">
        <v>62</v>
      </c>
      <c r="J2439" s="3" t="s">
        <v>62</v>
      </c>
      <c r="K2439" s="3" t="s">
        <v>63</v>
      </c>
      <c r="L2439" s="2" t="s">
        <v>23887</v>
      </c>
      <c r="M2439" s="2" t="s">
        <v>23888</v>
      </c>
      <c r="N2439" s="3" t="s">
        <v>894</v>
      </c>
      <c r="P2439" s="3" t="s">
        <v>65</v>
      </c>
      <c r="R2439" s="3" t="s">
        <v>66</v>
      </c>
      <c r="S2439" s="4">
        <v>3</v>
      </c>
      <c r="T2439" s="4">
        <v>3</v>
      </c>
      <c r="U2439" s="5" t="s">
        <v>23889</v>
      </c>
      <c r="V2439" s="5" t="s">
        <v>23889</v>
      </c>
      <c r="W2439" s="5" t="s">
        <v>67</v>
      </c>
      <c r="X2439" s="5" t="s">
        <v>67</v>
      </c>
      <c r="Y2439" s="4">
        <v>327</v>
      </c>
      <c r="Z2439" s="4">
        <v>33</v>
      </c>
      <c r="AA2439" s="4">
        <v>106</v>
      </c>
      <c r="AB2439" s="4">
        <v>2</v>
      </c>
      <c r="AC2439" s="4">
        <v>18</v>
      </c>
      <c r="AD2439" s="4">
        <v>103</v>
      </c>
      <c r="AE2439" s="4">
        <v>140</v>
      </c>
      <c r="AF2439" s="4">
        <v>1</v>
      </c>
      <c r="AG2439" s="4">
        <v>8</v>
      </c>
      <c r="AH2439" s="4">
        <v>93</v>
      </c>
      <c r="AI2439" s="4">
        <v>102</v>
      </c>
      <c r="AJ2439" s="4">
        <v>17</v>
      </c>
      <c r="AK2439" s="4">
        <v>26</v>
      </c>
      <c r="AL2439" s="4">
        <v>47</v>
      </c>
      <c r="AM2439" s="4">
        <v>51</v>
      </c>
      <c r="AN2439" s="4">
        <v>0</v>
      </c>
      <c r="AO2439" s="4">
        <v>0</v>
      </c>
      <c r="AP2439" s="4">
        <v>21</v>
      </c>
      <c r="AQ2439" s="4">
        <v>49</v>
      </c>
      <c r="AR2439" s="3" t="s">
        <v>62</v>
      </c>
      <c r="AS2439" s="3" t="s">
        <v>62</v>
      </c>
      <c r="AT2439" s="3" t="s">
        <v>62</v>
      </c>
      <c r="AV2439" s="6" t="str">
        <f>HYPERLINK("http://mcgill.on.worldcat.org/oclc/635463772","Catalog Record")</f>
        <v>Catalog Record</v>
      </c>
      <c r="AW2439" s="6" t="str">
        <f>HYPERLINK("http://www.worldcat.org/oclc/635463772","WorldCat Record")</f>
        <v>WorldCat Record</v>
      </c>
      <c r="AX2439" s="3" t="s">
        <v>23890</v>
      </c>
      <c r="AY2439" s="3" t="s">
        <v>23891</v>
      </c>
      <c r="AZ2439" s="3" t="s">
        <v>23892</v>
      </c>
      <c r="BA2439" s="3" t="s">
        <v>23892</v>
      </c>
      <c r="BB2439" s="3" t="s">
        <v>23893</v>
      </c>
      <c r="BC2439" s="3" t="s">
        <v>142</v>
      </c>
      <c r="BD2439" s="3" t="s">
        <v>68</v>
      </c>
      <c r="BE2439" s="3" t="s">
        <v>23894</v>
      </c>
      <c r="BF2439" s="3" t="s">
        <v>23893</v>
      </c>
      <c r="BG2439" s="3" t="s">
        <v>23895</v>
      </c>
    </row>
    <row r="2440" spans="1:59" ht="57" x14ac:dyDescent="0.45">
      <c r="A2440" s="2" t="s">
        <v>59</v>
      </c>
      <c r="B2440" s="2" t="s">
        <v>60</v>
      </c>
      <c r="C2440" s="2" t="s">
        <v>23896</v>
      </c>
      <c r="D2440" s="2" t="s">
        <v>23897</v>
      </c>
      <c r="E2440" s="2" t="s">
        <v>23898</v>
      </c>
      <c r="G2440" s="3" t="s">
        <v>62</v>
      </c>
      <c r="I2440" s="3" t="s">
        <v>62</v>
      </c>
      <c r="J2440" s="3" t="s">
        <v>62</v>
      </c>
      <c r="K2440" s="3" t="s">
        <v>63</v>
      </c>
      <c r="M2440" s="2" t="s">
        <v>14062</v>
      </c>
      <c r="N2440" s="3" t="s">
        <v>918</v>
      </c>
      <c r="P2440" s="3" t="s">
        <v>65</v>
      </c>
      <c r="R2440" s="3" t="s">
        <v>66</v>
      </c>
      <c r="S2440" s="4">
        <v>10</v>
      </c>
      <c r="T2440" s="4">
        <v>10</v>
      </c>
      <c r="U2440" s="5" t="s">
        <v>4759</v>
      </c>
      <c r="V2440" s="5" t="s">
        <v>4759</v>
      </c>
      <c r="W2440" s="5" t="s">
        <v>67</v>
      </c>
      <c r="X2440" s="5" t="s">
        <v>67</v>
      </c>
      <c r="Y2440" s="4">
        <v>227</v>
      </c>
      <c r="Z2440" s="4">
        <v>23</v>
      </c>
      <c r="AA2440" s="4">
        <v>27</v>
      </c>
      <c r="AB2440" s="4">
        <v>2</v>
      </c>
      <c r="AC2440" s="4">
        <v>3</v>
      </c>
      <c r="AD2440" s="4">
        <v>65</v>
      </c>
      <c r="AE2440" s="4">
        <v>68</v>
      </c>
      <c r="AF2440" s="4">
        <v>1</v>
      </c>
      <c r="AG2440" s="4">
        <v>2</v>
      </c>
      <c r="AH2440" s="4">
        <v>53</v>
      </c>
      <c r="AI2440" s="4">
        <v>55</v>
      </c>
      <c r="AJ2440" s="4">
        <v>14</v>
      </c>
      <c r="AK2440" s="4">
        <v>17</v>
      </c>
      <c r="AL2440" s="4">
        <v>26</v>
      </c>
      <c r="AM2440" s="4">
        <v>26</v>
      </c>
      <c r="AN2440" s="4">
        <v>0</v>
      </c>
      <c r="AO2440" s="4">
        <v>0</v>
      </c>
      <c r="AP2440" s="4">
        <v>20</v>
      </c>
      <c r="AQ2440" s="4">
        <v>23</v>
      </c>
      <c r="AR2440" s="3" t="s">
        <v>62</v>
      </c>
      <c r="AS2440" s="3" t="s">
        <v>62</v>
      </c>
      <c r="AT2440" s="3" t="s">
        <v>62</v>
      </c>
      <c r="AV2440" s="6" t="str">
        <f>HYPERLINK("http://mcgill.on.worldcat.org/oclc/52056715","Catalog Record")</f>
        <v>Catalog Record</v>
      </c>
      <c r="AW2440" s="6" t="str">
        <f>HYPERLINK("http://www.worldcat.org/oclc/52056715","WorldCat Record")</f>
        <v>WorldCat Record</v>
      </c>
      <c r="AX2440" s="3" t="s">
        <v>23899</v>
      </c>
      <c r="AY2440" s="3" t="s">
        <v>23900</v>
      </c>
      <c r="AZ2440" s="3" t="s">
        <v>23901</v>
      </c>
      <c r="BA2440" s="3" t="s">
        <v>23901</v>
      </c>
      <c r="BB2440" s="3" t="s">
        <v>23902</v>
      </c>
      <c r="BC2440" s="3" t="s">
        <v>142</v>
      </c>
      <c r="BD2440" s="3" t="s">
        <v>68</v>
      </c>
      <c r="BE2440" s="3" t="s">
        <v>23903</v>
      </c>
      <c r="BF2440" s="3" t="s">
        <v>23902</v>
      </c>
      <c r="BG2440" s="3" t="s">
        <v>23904</v>
      </c>
    </row>
    <row r="2441" spans="1:59" ht="57" x14ac:dyDescent="0.45">
      <c r="A2441" s="2" t="s">
        <v>59</v>
      </c>
      <c r="B2441" s="2" t="s">
        <v>60</v>
      </c>
      <c r="C2441" s="2" t="s">
        <v>23905</v>
      </c>
      <c r="D2441" s="2" t="s">
        <v>23906</v>
      </c>
      <c r="E2441" s="2" t="s">
        <v>23907</v>
      </c>
      <c r="G2441" s="3" t="s">
        <v>62</v>
      </c>
      <c r="I2441" s="3" t="s">
        <v>62</v>
      </c>
      <c r="J2441" s="3" t="s">
        <v>62</v>
      </c>
      <c r="K2441" s="3" t="s">
        <v>63</v>
      </c>
      <c r="M2441" s="2" t="s">
        <v>23908</v>
      </c>
      <c r="N2441" s="3" t="s">
        <v>167</v>
      </c>
      <c r="P2441" s="3" t="s">
        <v>65</v>
      </c>
      <c r="R2441" s="3" t="s">
        <v>66</v>
      </c>
      <c r="S2441" s="4">
        <v>27</v>
      </c>
      <c r="T2441" s="4">
        <v>27</v>
      </c>
      <c r="U2441" s="5" t="s">
        <v>6557</v>
      </c>
      <c r="V2441" s="5" t="s">
        <v>6557</v>
      </c>
      <c r="W2441" s="5" t="s">
        <v>67</v>
      </c>
      <c r="X2441" s="5" t="s">
        <v>67</v>
      </c>
      <c r="Y2441" s="4">
        <v>366</v>
      </c>
      <c r="Z2441" s="4">
        <v>20</v>
      </c>
      <c r="AA2441" s="4">
        <v>53</v>
      </c>
      <c r="AB2441" s="4">
        <v>2</v>
      </c>
      <c r="AC2441" s="4">
        <v>10</v>
      </c>
      <c r="AD2441" s="4">
        <v>93</v>
      </c>
      <c r="AE2441" s="4">
        <v>106</v>
      </c>
      <c r="AF2441" s="4">
        <v>1</v>
      </c>
      <c r="AG2441" s="4">
        <v>4</v>
      </c>
      <c r="AH2441" s="4">
        <v>82</v>
      </c>
      <c r="AI2441" s="4">
        <v>88</v>
      </c>
      <c r="AJ2441" s="4">
        <v>14</v>
      </c>
      <c r="AK2441" s="4">
        <v>21</v>
      </c>
      <c r="AL2441" s="4">
        <v>40</v>
      </c>
      <c r="AM2441" s="4">
        <v>42</v>
      </c>
      <c r="AN2441" s="4">
        <v>0</v>
      </c>
      <c r="AO2441" s="4">
        <v>0</v>
      </c>
      <c r="AP2441" s="4">
        <v>17</v>
      </c>
      <c r="AQ2441" s="4">
        <v>27</v>
      </c>
      <c r="AR2441" s="3" t="s">
        <v>62</v>
      </c>
      <c r="AS2441" s="3" t="s">
        <v>62</v>
      </c>
      <c r="AT2441" s="3" t="s">
        <v>61</v>
      </c>
      <c r="AU2441" s="6" t="str">
        <f>HYPERLINK("http://catalog.hathitrust.org/Record/004061688","HathiTrust Record")</f>
        <v>HathiTrust Record</v>
      </c>
      <c r="AV2441" s="6" t="str">
        <f>HYPERLINK("http://mcgill.on.worldcat.org/oclc/43243905","Catalog Record")</f>
        <v>Catalog Record</v>
      </c>
      <c r="AW2441" s="6" t="str">
        <f>HYPERLINK("http://www.worldcat.org/oclc/43243905","WorldCat Record")</f>
        <v>WorldCat Record</v>
      </c>
      <c r="AX2441" s="3" t="s">
        <v>23909</v>
      </c>
      <c r="AY2441" s="3" t="s">
        <v>23910</v>
      </c>
      <c r="AZ2441" s="3" t="s">
        <v>23911</v>
      </c>
      <c r="BA2441" s="3" t="s">
        <v>23911</v>
      </c>
      <c r="BB2441" s="3" t="s">
        <v>23912</v>
      </c>
      <c r="BC2441" s="3" t="s">
        <v>142</v>
      </c>
      <c r="BD2441" s="3" t="s">
        <v>68</v>
      </c>
      <c r="BE2441" s="3" t="s">
        <v>23913</v>
      </c>
      <c r="BF2441" s="3" t="s">
        <v>23912</v>
      </c>
      <c r="BG2441" s="3" t="s">
        <v>23914</v>
      </c>
    </row>
    <row r="2442" spans="1:59" ht="57" x14ac:dyDescent="0.45">
      <c r="A2442" s="2" t="s">
        <v>59</v>
      </c>
      <c r="B2442" s="2" t="s">
        <v>60</v>
      </c>
      <c r="C2442" s="2" t="s">
        <v>23915</v>
      </c>
      <c r="D2442" s="2" t="s">
        <v>23916</v>
      </c>
      <c r="E2442" s="2" t="s">
        <v>23917</v>
      </c>
      <c r="G2442" s="3" t="s">
        <v>62</v>
      </c>
      <c r="I2442" s="3" t="s">
        <v>62</v>
      </c>
      <c r="J2442" s="3" t="s">
        <v>62</v>
      </c>
      <c r="K2442" s="3" t="s">
        <v>63</v>
      </c>
      <c r="L2442" s="2" t="s">
        <v>23918</v>
      </c>
      <c r="M2442" s="2" t="s">
        <v>23919</v>
      </c>
      <c r="N2442" s="3" t="s">
        <v>1855</v>
      </c>
      <c r="P2442" s="3" t="s">
        <v>65</v>
      </c>
      <c r="R2442" s="3" t="s">
        <v>66</v>
      </c>
      <c r="S2442" s="4">
        <v>14</v>
      </c>
      <c r="T2442" s="4">
        <v>14</v>
      </c>
      <c r="U2442" s="5" t="s">
        <v>1640</v>
      </c>
      <c r="V2442" s="5" t="s">
        <v>1640</v>
      </c>
      <c r="W2442" s="5" t="s">
        <v>67</v>
      </c>
      <c r="X2442" s="5" t="s">
        <v>67</v>
      </c>
      <c r="Y2442" s="4">
        <v>486</v>
      </c>
      <c r="Z2442" s="4">
        <v>29</v>
      </c>
      <c r="AA2442" s="4">
        <v>34</v>
      </c>
      <c r="AB2442" s="4">
        <v>2</v>
      </c>
      <c r="AC2442" s="4">
        <v>6</v>
      </c>
      <c r="AD2442" s="4">
        <v>115</v>
      </c>
      <c r="AE2442" s="4">
        <v>118</v>
      </c>
      <c r="AF2442" s="4">
        <v>1</v>
      </c>
      <c r="AG2442" s="4">
        <v>2</v>
      </c>
      <c r="AH2442" s="4">
        <v>99</v>
      </c>
      <c r="AI2442" s="4">
        <v>101</v>
      </c>
      <c r="AJ2442" s="4">
        <v>14</v>
      </c>
      <c r="AK2442" s="4">
        <v>15</v>
      </c>
      <c r="AL2442" s="4">
        <v>52</v>
      </c>
      <c r="AM2442" s="4">
        <v>53</v>
      </c>
      <c r="AN2442" s="4">
        <v>0</v>
      </c>
      <c r="AO2442" s="4">
        <v>0</v>
      </c>
      <c r="AP2442" s="4">
        <v>22</v>
      </c>
      <c r="AQ2442" s="4">
        <v>24</v>
      </c>
      <c r="AR2442" s="3" t="s">
        <v>62</v>
      </c>
      <c r="AS2442" s="3" t="s">
        <v>62</v>
      </c>
      <c r="AT2442" s="3" t="s">
        <v>62</v>
      </c>
      <c r="AV2442" s="6" t="str">
        <f>HYPERLINK("http://mcgill.on.worldcat.org/oclc/57434172","Catalog Record")</f>
        <v>Catalog Record</v>
      </c>
      <c r="AW2442" s="6" t="str">
        <f>HYPERLINK("http://www.worldcat.org/oclc/57434172","WorldCat Record")</f>
        <v>WorldCat Record</v>
      </c>
      <c r="AX2442" s="3" t="s">
        <v>23920</v>
      </c>
      <c r="AY2442" s="3" t="s">
        <v>23921</v>
      </c>
      <c r="AZ2442" s="3" t="s">
        <v>23922</v>
      </c>
      <c r="BA2442" s="3" t="s">
        <v>23922</v>
      </c>
      <c r="BB2442" s="3" t="s">
        <v>23923</v>
      </c>
      <c r="BC2442" s="3" t="s">
        <v>142</v>
      </c>
      <c r="BD2442" s="3" t="s">
        <v>68</v>
      </c>
      <c r="BE2442" s="3" t="s">
        <v>23924</v>
      </c>
      <c r="BF2442" s="3" t="s">
        <v>23923</v>
      </c>
      <c r="BG2442" s="3" t="s">
        <v>23925</v>
      </c>
    </row>
    <row r="2443" spans="1:59" ht="71.25" x14ac:dyDescent="0.45">
      <c r="A2443" s="2" t="s">
        <v>59</v>
      </c>
      <c r="B2443" s="2" t="s">
        <v>60</v>
      </c>
      <c r="C2443" s="2" t="s">
        <v>23926</v>
      </c>
      <c r="D2443" s="2" t="s">
        <v>23927</v>
      </c>
      <c r="E2443" s="2" t="s">
        <v>23928</v>
      </c>
      <c r="G2443" s="3" t="s">
        <v>62</v>
      </c>
      <c r="I2443" s="3" t="s">
        <v>62</v>
      </c>
      <c r="J2443" s="3" t="s">
        <v>62</v>
      </c>
      <c r="K2443" s="3" t="s">
        <v>63</v>
      </c>
      <c r="M2443" s="2" t="s">
        <v>7677</v>
      </c>
      <c r="N2443" s="3" t="s">
        <v>820</v>
      </c>
      <c r="P2443" s="3" t="s">
        <v>65</v>
      </c>
      <c r="Q2443" s="2" t="s">
        <v>23929</v>
      </c>
      <c r="R2443" s="3" t="s">
        <v>66</v>
      </c>
      <c r="S2443" s="4">
        <v>8</v>
      </c>
      <c r="T2443" s="4">
        <v>8</v>
      </c>
      <c r="U2443" s="5" t="s">
        <v>23930</v>
      </c>
      <c r="V2443" s="5" t="s">
        <v>23930</v>
      </c>
      <c r="W2443" s="5" t="s">
        <v>67</v>
      </c>
      <c r="X2443" s="5" t="s">
        <v>67</v>
      </c>
      <c r="Y2443" s="4">
        <v>233</v>
      </c>
      <c r="Z2443" s="4">
        <v>19</v>
      </c>
      <c r="AA2443" s="4">
        <v>25</v>
      </c>
      <c r="AB2443" s="4">
        <v>2</v>
      </c>
      <c r="AC2443" s="4">
        <v>6</v>
      </c>
      <c r="AD2443" s="4">
        <v>84</v>
      </c>
      <c r="AE2443" s="4">
        <v>92</v>
      </c>
      <c r="AF2443" s="4">
        <v>1</v>
      </c>
      <c r="AG2443" s="4">
        <v>2</v>
      </c>
      <c r="AH2443" s="4">
        <v>77</v>
      </c>
      <c r="AI2443" s="4">
        <v>82</v>
      </c>
      <c r="AJ2443" s="4">
        <v>14</v>
      </c>
      <c r="AK2443" s="4">
        <v>15</v>
      </c>
      <c r="AL2443" s="4">
        <v>41</v>
      </c>
      <c r="AM2443" s="4">
        <v>44</v>
      </c>
      <c r="AN2443" s="4">
        <v>0</v>
      </c>
      <c r="AO2443" s="4">
        <v>0</v>
      </c>
      <c r="AP2443" s="4">
        <v>16</v>
      </c>
      <c r="AQ2443" s="4">
        <v>19</v>
      </c>
      <c r="AR2443" s="3" t="s">
        <v>62</v>
      </c>
      <c r="AS2443" s="3" t="s">
        <v>62</v>
      </c>
      <c r="AT2443" s="3" t="s">
        <v>62</v>
      </c>
      <c r="AV2443" s="6" t="str">
        <f>HYPERLINK("http://mcgill.on.worldcat.org/oclc/202542260","Catalog Record")</f>
        <v>Catalog Record</v>
      </c>
      <c r="AW2443" s="6" t="str">
        <f>HYPERLINK("http://www.worldcat.org/oclc/202542260","WorldCat Record")</f>
        <v>WorldCat Record</v>
      </c>
      <c r="AX2443" s="3" t="s">
        <v>23931</v>
      </c>
      <c r="AY2443" s="3" t="s">
        <v>23932</v>
      </c>
      <c r="AZ2443" s="3" t="s">
        <v>23933</v>
      </c>
      <c r="BA2443" s="3" t="s">
        <v>23933</v>
      </c>
      <c r="BB2443" s="3" t="s">
        <v>23934</v>
      </c>
      <c r="BC2443" s="3" t="s">
        <v>142</v>
      </c>
      <c r="BD2443" s="3" t="s">
        <v>68</v>
      </c>
      <c r="BE2443" s="3" t="s">
        <v>23935</v>
      </c>
      <c r="BF2443" s="3" t="s">
        <v>23934</v>
      </c>
      <c r="BG2443" s="3" t="s">
        <v>23936</v>
      </c>
    </row>
    <row r="2444" spans="1:59" ht="57" x14ac:dyDescent="0.45">
      <c r="A2444" s="2" t="s">
        <v>59</v>
      </c>
      <c r="B2444" s="2" t="s">
        <v>60</v>
      </c>
      <c r="C2444" s="2" t="s">
        <v>23937</v>
      </c>
      <c r="D2444" s="2" t="s">
        <v>23938</v>
      </c>
      <c r="E2444" s="2" t="s">
        <v>23939</v>
      </c>
      <c r="G2444" s="3" t="s">
        <v>62</v>
      </c>
      <c r="I2444" s="3" t="s">
        <v>62</v>
      </c>
      <c r="J2444" s="3" t="s">
        <v>62</v>
      </c>
      <c r="K2444" s="3" t="s">
        <v>63</v>
      </c>
      <c r="L2444" s="2" t="s">
        <v>23940</v>
      </c>
      <c r="M2444" s="2" t="s">
        <v>1189</v>
      </c>
      <c r="N2444" s="3" t="s">
        <v>149</v>
      </c>
      <c r="P2444" s="3" t="s">
        <v>65</v>
      </c>
      <c r="Q2444" s="2" t="s">
        <v>23941</v>
      </c>
      <c r="R2444" s="3" t="s">
        <v>66</v>
      </c>
      <c r="S2444" s="4">
        <v>3</v>
      </c>
      <c r="T2444" s="4">
        <v>3</v>
      </c>
      <c r="U2444" s="5" t="s">
        <v>23942</v>
      </c>
      <c r="V2444" s="5" t="s">
        <v>23942</v>
      </c>
      <c r="W2444" s="5" t="s">
        <v>67</v>
      </c>
      <c r="X2444" s="5" t="s">
        <v>67</v>
      </c>
      <c r="Y2444" s="4">
        <v>137</v>
      </c>
      <c r="Z2444" s="4">
        <v>10</v>
      </c>
      <c r="AA2444" s="4">
        <v>61</v>
      </c>
      <c r="AB2444" s="4">
        <v>2</v>
      </c>
      <c r="AC2444" s="4">
        <v>17</v>
      </c>
      <c r="AD2444" s="4">
        <v>53</v>
      </c>
      <c r="AE2444" s="4">
        <v>99</v>
      </c>
      <c r="AF2444" s="4">
        <v>0</v>
      </c>
      <c r="AG2444" s="4">
        <v>7</v>
      </c>
      <c r="AH2444" s="4">
        <v>52</v>
      </c>
      <c r="AI2444" s="4">
        <v>62</v>
      </c>
      <c r="AJ2444" s="4">
        <v>6</v>
      </c>
      <c r="AK2444" s="4">
        <v>23</v>
      </c>
      <c r="AL2444" s="4">
        <v>35</v>
      </c>
      <c r="AM2444" s="4">
        <v>37</v>
      </c>
      <c r="AN2444" s="4">
        <v>0</v>
      </c>
      <c r="AO2444" s="4">
        <v>0</v>
      </c>
      <c r="AP2444" s="4">
        <v>6</v>
      </c>
      <c r="AQ2444" s="4">
        <v>46</v>
      </c>
      <c r="AR2444" s="3" t="s">
        <v>62</v>
      </c>
      <c r="AS2444" s="3" t="s">
        <v>62</v>
      </c>
      <c r="AT2444" s="3" t="s">
        <v>62</v>
      </c>
      <c r="AV2444" s="6" t="str">
        <f>HYPERLINK("http://mcgill.on.worldcat.org/oclc/311759165","Catalog Record")</f>
        <v>Catalog Record</v>
      </c>
      <c r="AW2444" s="6" t="str">
        <f>HYPERLINK("http://www.worldcat.org/oclc/311759165","WorldCat Record")</f>
        <v>WorldCat Record</v>
      </c>
      <c r="AX2444" s="3" t="s">
        <v>23943</v>
      </c>
      <c r="AY2444" s="3" t="s">
        <v>23944</v>
      </c>
      <c r="AZ2444" s="3" t="s">
        <v>23945</v>
      </c>
      <c r="BA2444" s="3" t="s">
        <v>23945</v>
      </c>
      <c r="BB2444" s="3" t="s">
        <v>23946</v>
      </c>
      <c r="BC2444" s="3" t="s">
        <v>142</v>
      </c>
      <c r="BD2444" s="3" t="s">
        <v>68</v>
      </c>
      <c r="BE2444" s="3" t="s">
        <v>23947</v>
      </c>
      <c r="BF2444" s="3" t="s">
        <v>23946</v>
      </c>
      <c r="BG2444" s="3" t="s">
        <v>23948</v>
      </c>
    </row>
    <row r="2445" spans="1:59" ht="71.25" x14ac:dyDescent="0.45">
      <c r="A2445" s="2" t="s">
        <v>59</v>
      </c>
      <c r="B2445" s="2" t="s">
        <v>60</v>
      </c>
      <c r="C2445" s="2" t="s">
        <v>23949</v>
      </c>
      <c r="D2445" s="2" t="s">
        <v>23950</v>
      </c>
      <c r="E2445" s="2" t="s">
        <v>23951</v>
      </c>
      <c r="G2445" s="3" t="s">
        <v>62</v>
      </c>
      <c r="I2445" s="3" t="s">
        <v>62</v>
      </c>
      <c r="J2445" s="3" t="s">
        <v>62</v>
      </c>
      <c r="K2445" s="3" t="s">
        <v>63</v>
      </c>
      <c r="L2445" s="2" t="s">
        <v>23952</v>
      </c>
      <c r="M2445" s="2" t="s">
        <v>7677</v>
      </c>
      <c r="N2445" s="3" t="s">
        <v>820</v>
      </c>
      <c r="P2445" s="3" t="s">
        <v>65</v>
      </c>
      <c r="R2445" s="3" t="s">
        <v>66</v>
      </c>
      <c r="S2445" s="4">
        <v>8</v>
      </c>
      <c r="T2445" s="4">
        <v>8</v>
      </c>
      <c r="U2445" s="5" t="s">
        <v>6222</v>
      </c>
      <c r="V2445" s="5" t="s">
        <v>6222</v>
      </c>
      <c r="W2445" s="5" t="s">
        <v>67</v>
      </c>
      <c r="X2445" s="5" t="s">
        <v>67</v>
      </c>
      <c r="Y2445" s="4">
        <v>448</v>
      </c>
      <c r="Z2445" s="4">
        <v>34</v>
      </c>
      <c r="AA2445" s="4">
        <v>41</v>
      </c>
      <c r="AB2445" s="4">
        <v>2</v>
      </c>
      <c r="AC2445" s="4">
        <v>7</v>
      </c>
      <c r="AD2445" s="4">
        <v>118</v>
      </c>
      <c r="AE2445" s="4">
        <v>124</v>
      </c>
      <c r="AF2445" s="4">
        <v>1</v>
      </c>
      <c r="AG2445" s="4">
        <v>3</v>
      </c>
      <c r="AH2445" s="4">
        <v>99</v>
      </c>
      <c r="AI2445" s="4">
        <v>103</v>
      </c>
      <c r="AJ2445" s="4">
        <v>20</v>
      </c>
      <c r="AK2445" s="4">
        <v>23</v>
      </c>
      <c r="AL2445" s="4">
        <v>53</v>
      </c>
      <c r="AM2445" s="4">
        <v>55</v>
      </c>
      <c r="AN2445" s="4">
        <v>0</v>
      </c>
      <c r="AO2445" s="4">
        <v>0</v>
      </c>
      <c r="AP2445" s="4">
        <v>26</v>
      </c>
      <c r="AQ2445" s="4">
        <v>29</v>
      </c>
      <c r="AR2445" s="3" t="s">
        <v>62</v>
      </c>
      <c r="AS2445" s="3" t="s">
        <v>62</v>
      </c>
      <c r="AT2445" s="3" t="s">
        <v>62</v>
      </c>
      <c r="AV2445" s="6" t="str">
        <f>HYPERLINK("http://mcgill.on.worldcat.org/oclc/156845801","Catalog Record")</f>
        <v>Catalog Record</v>
      </c>
      <c r="AW2445" s="6" t="str">
        <f>HYPERLINK("http://www.worldcat.org/oclc/156845801","WorldCat Record")</f>
        <v>WorldCat Record</v>
      </c>
      <c r="AX2445" s="3" t="s">
        <v>23953</v>
      </c>
      <c r="AY2445" s="3" t="s">
        <v>23954</v>
      </c>
      <c r="AZ2445" s="3" t="s">
        <v>23955</v>
      </c>
      <c r="BA2445" s="3" t="s">
        <v>23955</v>
      </c>
      <c r="BB2445" s="3" t="s">
        <v>23956</v>
      </c>
      <c r="BC2445" s="3" t="s">
        <v>142</v>
      </c>
      <c r="BD2445" s="3" t="s">
        <v>308</v>
      </c>
      <c r="BE2445" s="3" t="s">
        <v>23957</v>
      </c>
      <c r="BF2445" s="3" t="s">
        <v>23956</v>
      </c>
      <c r="BG2445" s="3" t="s">
        <v>23958</v>
      </c>
    </row>
    <row r="2446" spans="1:59" ht="71.25" x14ac:dyDescent="0.45">
      <c r="A2446" s="2" t="s">
        <v>59</v>
      </c>
      <c r="B2446" s="2" t="s">
        <v>60</v>
      </c>
      <c r="C2446" s="2" t="s">
        <v>23959</v>
      </c>
      <c r="D2446" s="2" t="s">
        <v>23960</v>
      </c>
      <c r="E2446" s="2" t="s">
        <v>23961</v>
      </c>
      <c r="G2446" s="3" t="s">
        <v>62</v>
      </c>
      <c r="I2446" s="3" t="s">
        <v>62</v>
      </c>
      <c r="J2446" s="3" t="s">
        <v>62</v>
      </c>
      <c r="K2446" s="3" t="s">
        <v>63</v>
      </c>
      <c r="L2446" s="2" t="s">
        <v>23962</v>
      </c>
      <c r="M2446" s="2" t="s">
        <v>1760</v>
      </c>
      <c r="N2446" s="3" t="s">
        <v>894</v>
      </c>
      <c r="P2446" s="3" t="s">
        <v>65</v>
      </c>
      <c r="R2446" s="3" t="s">
        <v>66</v>
      </c>
      <c r="S2446" s="4">
        <v>4</v>
      </c>
      <c r="T2446" s="4">
        <v>4</v>
      </c>
      <c r="U2446" s="5" t="s">
        <v>1640</v>
      </c>
      <c r="V2446" s="5" t="s">
        <v>1640</v>
      </c>
      <c r="W2446" s="5" t="s">
        <v>67</v>
      </c>
      <c r="X2446" s="5" t="s">
        <v>67</v>
      </c>
      <c r="Y2446" s="4">
        <v>420</v>
      </c>
      <c r="Z2446" s="4">
        <v>25</v>
      </c>
      <c r="AA2446" s="4">
        <v>33</v>
      </c>
      <c r="AB2446" s="4">
        <v>2</v>
      </c>
      <c r="AC2446" s="4">
        <v>8</v>
      </c>
      <c r="AD2446" s="4">
        <v>88</v>
      </c>
      <c r="AE2446" s="4">
        <v>104</v>
      </c>
      <c r="AF2446" s="4">
        <v>1</v>
      </c>
      <c r="AG2446" s="4">
        <v>4</v>
      </c>
      <c r="AH2446" s="4">
        <v>80</v>
      </c>
      <c r="AI2446" s="4">
        <v>91</v>
      </c>
      <c r="AJ2446" s="4">
        <v>15</v>
      </c>
      <c r="AK2446" s="4">
        <v>18</v>
      </c>
      <c r="AL2446" s="4">
        <v>42</v>
      </c>
      <c r="AM2446" s="4">
        <v>47</v>
      </c>
      <c r="AN2446" s="4">
        <v>0</v>
      </c>
      <c r="AO2446" s="4">
        <v>0</v>
      </c>
      <c r="AP2446" s="4">
        <v>19</v>
      </c>
      <c r="AQ2446" s="4">
        <v>23</v>
      </c>
      <c r="AR2446" s="3" t="s">
        <v>62</v>
      </c>
      <c r="AS2446" s="3" t="s">
        <v>62</v>
      </c>
      <c r="AT2446" s="3" t="s">
        <v>62</v>
      </c>
      <c r="AV2446" s="6" t="str">
        <f>HYPERLINK("http://mcgill.on.worldcat.org/oclc/611551570","Catalog Record")</f>
        <v>Catalog Record</v>
      </c>
      <c r="AW2446" s="6" t="str">
        <f>HYPERLINK("http://www.worldcat.org/oclc/611551570","WorldCat Record")</f>
        <v>WorldCat Record</v>
      </c>
      <c r="AX2446" s="3" t="s">
        <v>23963</v>
      </c>
      <c r="AY2446" s="3" t="s">
        <v>23964</v>
      </c>
      <c r="AZ2446" s="3" t="s">
        <v>23965</v>
      </c>
      <c r="BA2446" s="3" t="s">
        <v>23965</v>
      </c>
      <c r="BB2446" s="3" t="s">
        <v>23966</v>
      </c>
      <c r="BC2446" s="3" t="s">
        <v>142</v>
      </c>
      <c r="BD2446" s="3" t="s">
        <v>68</v>
      </c>
      <c r="BE2446" s="3" t="s">
        <v>23967</v>
      </c>
      <c r="BF2446" s="3" t="s">
        <v>23966</v>
      </c>
      <c r="BG2446" s="3" t="s">
        <v>23968</v>
      </c>
    </row>
    <row r="2447" spans="1:59" ht="57" x14ac:dyDescent="0.45">
      <c r="A2447" s="2" t="s">
        <v>59</v>
      </c>
      <c r="B2447" s="2" t="s">
        <v>60</v>
      </c>
      <c r="C2447" s="2" t="s">
        <v>23969</v>
      </c>
      <c r="D2447" s="2" t="s">
        <v>23970</v>
      </c>
      <c r="E2447" s="2" t="s">
        <v>23971</v>
      </c>
      <c r="G2447" s="3" t="s">
        <v>62</v>
      </c>
      <c r="I2447" s="3" t="s">
        <v>62</v>
      </c>
      <c r="J2447" s="3" t="s">
        <v>62</v>
      </c>
      <c r="K2447" s="3" t="s">
        <v>63</v>
      </c>
      <c r="L2447" s="2" t="s">
        <v>23972</v>
      </c>
      <c r="M2447" s="2" t="s">
        <v>23973</v>
      </c>
      <c r="N2447" s="3" t="s">
        <v>19337</v>
      </c>
      <c r="O2447" s="2" t="s">
        <v>3280</v>
      </c>
      <c r="P2447" s="3" t="s">
        <v>65</v>
      </c>
      <c r="R2447" s="3" t="s">
        <v>66</v>
      </c>
      <c r="S2447" s="4">
        <v>1</v>
      </c>
      <c r="T2447" s="4">
        <v>1</v>
      </c>
      <c r="U2447" s="5" t="s">
        <v>11153</v>
      </c>
      <c r="V2447" s="5" t="s">
        <v>11153</v>
      </c>
      <c r="W2447" s="5" t="s">
        <v>67</v>
      </c>
      <c r="X2447" s="5" t="s">
        <v>67</v>
      </c>
      <c r="Y2447" s="4">
        <v>31</v>
      </c>
      <c r="Z2447" s="4">
        <v>3</v>
      </c>
      <c r="AA2447" s="4">
        <v>8</v>
      </c>
      <c r="AB2447" s="4">
        <v>1</v>
      </c>
      <c r="AC2447" s="4">
        <v>1</v>
      </c>
      <c r="AD2447" s="4">
        <v>10</v>
      </c>
      <c r="AE2447" s="4">
        <v>18</v>
      </c>
      <c r="AF2447" s="4">
        <v>0</v>
      </c>
      <c r="AG2447" s="4">
        <v>0</v>
      </c>
      <c r="AH2447" s="4">
        <v>10</v>
      </c>
      <c r="AI2447" s="4">
        <v>17</v>
      </c>
      <c r="AJ2447" s="4">
        <v>1</v>
      </c>
      <c r="AK2447" s="4">
        <v>4</v>
      </c>
      <c r="AL2447" s="4">
        <v>6</v>
      </c>
      <c r="AM2447" s="4">
        <v>10</v>
      </c>
      <c r="AN2447" s="4">
        <v>0</v>
      </c>
      <c r="AO2447" s="4">
        <v>0</v>
      </c>
      <c r="AP2447" s="4">
        <v>1</v>
      </c>
      <c r="AQ2447" s="4">
        <v>4</v>
      </c>
      <c r="AR2447" s="3" t="s">
        <v>62</v>
      </c>
      <c r="AS2447" s="3" t="s">
        <v>62</v>
      </c>
      <c r="AT2447" s="3" t="s">
        <v>62</v>
      </c>
      <c r="AV2447" s="6" t="str">
        <f>HYPERLINK("http://mcgill.on.worldcat.org/oclc/1019838997","Catalog Record")</f>
        <v>Catalog Record</v>
      </c>
      <c r="AW2447" s="6" t="str">
        <f>HYPERLINK("http://www.worldcat.org/oclc/1019838997","WorldCat Record")</f>
        <v>WorldCat Record</v>
      </c>
      <c r="AX2447" s="3" t="s">
        <v>23974</v>
      </c>
      <c r="AY2447" s="3" t="s">
        <v>23975</v>
      </c>
      <c r="AZ2447" s="3" t="s">
        <v>23976</v>
      </c>
      <c r="BA2447" s="3" t="s">
        <v>23976</v>
      </c>
      <c r="BB2447" s="3" t="s">
        <v>23977</v>
      </c>
      <c r="BC2447" s="3" t="s">
        <v>142</v>
      </c>
      <c r="BD2447" s="3" t="s">
        <v>68</v>
      </c>
      <c r="BE2447" s="3" t="s">
        <v>23978</v>
      </c>
      <c r="BF2447" s="3" t="s">
        <v>23977</v>
      </c>
      <c r="BG2447" s="3" t="s">
        <v>23979</v>
      </c>
    </row>
    <row r="2448" spans="1:59" ht="57" x14ac:dyDescent="0.45">
      <c r="A2448" s="2" t="s">
        <v>59</v>
      </c>
      <c r="B2448" s="2" t="s">
        <v>60</v>
      </c>
      <c r="C2448" s="2" t="s">
        <v>23980</v>
      </c>
      <c r="D2448" s="2" t="s">
        <v>23981</v>
      </c>
      <c r="E2448" s="2" t="s">
        <v>23982</v>
      </c>
      <c r="F2448" s="3" t="s">
        <v>23983</v>
      </c>
      <c r="G2448" s="3" t="s">
        <v>62</v>
      </c>
      <c r="I2448" s="3" t="s">
        <v>62</v>
      </c>
      <c r="J2448" s="3" t="s">
        <v>62</v>
      </c>
      <c r="K2448" s="3" t="s">
        <v>63</v>
      </c>
      <c r="L2448" s="2" t="s">
        <v>23984</v>
      </c>
      <c r="M2448" s="2" t="s">
        <v>23985</v>
      </c>
      <c r="N2448" s="3" t="s">
        <v>1059</v>
      </c>
      <c r="O2448" s="2" t="s">
        <v>933</v>
      </c>
      <c r="P2448" s="3" t="s">
        <v>65</v>
      </c>
      <c r="R2448" s="3" t="s">
        <v>66</v>
      </c>
      <c r="S2448" s="4">
        <v>2</v>
      </c>
      <c r="T2448" s="4">
        <v>2</v>
      </c>
      <c r="U2448" s="5" t="s">
        <v>4265</v>
      </c>
      <c r="V2448" s="5" t="s">
        <v>4265</v>
      </c>
      <c r="W2448" s="5" t="s">
        <v>67</v>
      </c>
      <c r="X2448" s="5" t="s">
        <v>67</v>
      </c>
      <c r="Y2448" s="4">
        <v>139</v>
      </c>
      <c r="Z2448" s="4">
        <v>10</v>
      </c>
      <c r="AA2448" s="4">
        <v>56</v>
      </c>
      <c r="AB2448" s="4">
        <v>2</v>
      </c>
      <c r="AC2448" s="4">
        <v>12</v>
      </c>
      <c r="AD2448" s="4">
        <v>25</v>
      </c>
      <c r="AE2448" s="4">
        <v>99</v>
      </c>
      <c r="AF2448" s="4">
        <v>0</v>
      </c>
      <c r="AG2448" s="4">
        <v>5</v>
      </c>
      <c r="AH2448" s="4">
        <v>24</v>
      </c>
      <c r="AI2448" s="4">
        <v>77</v>
      </c>
      <c r="AJ2448" s="4">
        <v>3</v>
      </c>
      <c r="AK2448" s="4">
        <v>21</v>
      </c>
      <c r="AL2448" s="4">
        <v>14</v>
      </c>
      <c r="AM2448" s="4">
        <v>41</v>
      </c>
      <c r="AN2448" s="4">
        <v>0</v>
      </c>
      <c r="AO2448" s="4">
        <v>0</v>
      </c>
      <c r="AP2448" s="4">
        <v>3</v>
      </c>
      <c r="AQ2448" s="4">
        <v>30</v>
      </c>
      <c r="AR2448" s="3" t="s">
        <v>62</v>
      </c>
      <c r="AS2448" s="3" t="s">
        <v>62</v>
      </c>
      <c r="AT2448" s="3" t="s">
        <v>62</v>
      </c>
      <c r="AV2448" s="6" t="str">
        <f>HYPERLINK("http://mcgill.on.worldcat.org/oclc/65425944","Catalog Record")</f>
        <v>Catalog Record</v>
      </c>
      <c r="AW2448" s="6" t="str">
        <f>HYPERLINK("http://www.worldcat.org/oclc/65425944","WorldCat Record")</f>
        <v>WorldCat Record</v>
      </c>
      <c r="AX2448" s="3" t="s">
        <v>23986</v>
      </c>
      <c r="AY2448" s="3" t="s">
        <v>23987</v>
      </c>
      <c r="AZ2448" s="3" t="s">
        <v>23988</v>
      </c>
      <c r="BA2448" s="3" t="s">
        <v>23988</v>
      </c>
      <c r="BB2448" s="3" t="s">
        <v>23989</v>
      </c>
      <c r="BC2448" s="3" t="s">
        <v>142</v>
      </c>
      <c r="BD2448" s="3" t="s">
        <v>68</v>
      </c>
      <c r="BE2448" s="3" t="s">
        <v>23990</v>
      </c>
      <c r="BF2448" s="3" t="s">
        <v>23989</v>
      </c>
      <c r="BG2448" s="3" t="s">
        <v>23991</v>
      </c>
    </row>
    <row r="2449" spans="1:59" ht="57" x14ac:dyDescent="0.45">
      <c r="A2449" s="2" t="s">
        <v>59</v>
      </c>
      <c r="B2449" s="2" t="s">
        <v>60</v>
      </c>
      <c r="C2449" s="2" t="s">
        <v>23992</v>
      </c>
      <c r="D2449" s="2" t="s">
        <v>23993</v>
      </c>
      <c r="E2449" s="2" t="s">
        <v>23994</v>
      </c>
      <c r="G2449" s="3" t="s">
        <v>62</v>
      </c>
      <c r="I2449" s="3" t="s">
        <v>62</v>
      </c>
      <c r="J2449" s="3" t="s">
        <v>62</v>
      </c>
      <c r="K2449" s="3" t="s">
        <v>63</v>
      </c>
      <c r="L2449" s="2" t="s">
        <v>23995</v>
      </c>
      <c r="M2449" s="2" t="s">
        <v>1200</v>
      </c>
      <c r="N2449" s="3" t="s">
        <v>1155</v>
      </c>
      <c r="O2449" s="2" t="s">
        <v>168</v>
      </c>
      <c r="P2449" s="3" t="s">
        <v>65</v>
      </c>
      <c r="R2449" s="3" t="s">
        <v>66</v>
      </c>
      <c r="S2449" s="4">
        <v>3</v>
      </c>
      <c r="T2449" s="4">
        <v>3</v>
      </c>
      <c r="U2449" s="5" t="s">
        <v>23996</v>
      </c>
      <c r="V2449" s="5" t="s">
        <v>23996</v>
      </c>
      <c r="W2449" s="5" t="s">
        <v>67</v>
      </c>
      <c r="X2449" s="5" t="s">
        <v>67</v>
      </c>
      <c r="Y2449" s="4">
        <v>671</v>
      </c>
      <c r="Z2449" s="4">
        <v>29</v>
      </c>
      <c r="AA2449" s="4">
        <v>44</v>
      </c>
      <c r="AB2449" s="4">
        <v>2</v>
      </c>
      <c r="AC2449" s="4">
        <v>7</v>
      </c>
      <c r="AD2449" s="4">
        <v>77</v>
      </c>
      <c r="AE2449" s="4">
        <v>83</v>
      </c>
      <c r="AF2449" s="4">
        <v>0</v>
      </c>
      <c r="AG2449" s="4">
        <v>1</v>
      </c>
      <c r="AH2449" s="4">
        <v>71</v>
      </c>
      <c r="AI2449" s="4">
        <v>73</v>
      </c>
      <c r="AJ2449" s="4">
        <v>9</v>
      </c>
      <c r="AK2449" s="4">
        <v>12</v>
      </c>
      <c r="AL2449" s="4">
        <v>39</v>
      </c>
      <c r="AM2449" s="4">
        <v>39</v>
      </c>
      <c r="AN2449" s="4">
        <v>0</v>
      </c>
      <c r="AO2449" s="4">
        <v>0</v>
      </c>
      <c r="AP2449" s="4">
        <v>11</v>
      </c>
      <c r="AQ2449" s="4">
        <v>15</v>
      </c>
      <c r="AR2449" s="3" t="s">
        <v>62</v>
      </c>
      <c r="AS2449" s="3" t="s">
        <v>62</v>
      </c>
      <c r="AT2449" s="3" t="s">
        <v>62</v>
      </c>
      <c r="AV2449" s="6" t="str">
        <f>HYPERLINK("http://mcgill.on.worldcat.org/oclc/758388801","Catalog Record")</f>
        <v>Catalog Record</v>
      </c>
      <c r="AW2449" s="6" t="str">
        <f>HYPERLINK("http://www.worldcat.org/oclc/758388801","WorldCat Record")</f>
        <v>WorldCat Record</v>
      </c>
      <c r="AX2449" s="3" t="s">
        <v>23997</v>
      </c>
      <c r="AY2449" s="3" t="s">
        <v>23998</v>
      </c>
      <c r="AZ2449" s="3" t="s">
        <v>23999</v>
      </c>
      <c r="BA2449" s="3" t="s">
        <v>23999</v>
      </c>
      <c r="BB2449" s="3" t="s">
        <v>24000</v>
      </c>
      <c r="BC2449" s="3" t="s">
        <v>142</v>
      </c>
      <c r="BD2449" s="3" t="s">
        <v>68</v>
      </c>
      <c r="BE2449" s="3" t="s">
        <v>24001</v>
      </c>
      <c r="BF2449" s="3" t="s">
        <v>24000</v>
      </c>
      <c r="BG2449" s="3" t="s">
        <v>24002</v>
      </c>
    </row>
    <row r="2450" spans="1:59" ht="57" x14ac:dyDescent="0.45">
      <c r="A2450" s="2" t="s">
        <v>59</v>
      </c>
      <c r="B2450" s="2" t="s">
        <v>60</v>
      </c>
      <c r="C2450" s="2" t="s">
        <v>24003</v>
      </c>
      <c r="D2450" s="2" t="s">
        <v>24004</v>
      </c>
      <c r="E2450" s="2" t="s">
        <v>24005</v>
      </c>
      <c r="G2450" s="3" t="s">
        <v>62</v>
      </c>
      <c r="I2450" s="3" t="s">
        <v>62</v>
      </c>
      <c r="J2450" s="3" t="s">
        <v>62</v>
      </c>
      <c r="K2450" s="3" t="s">
        <v>63</v>
      </c>
      <c r="L2450" s="2" t="s">
        <v>24006</v>
      </c>
      <c r="M2450" s="2" t="s">
        <v>24007</v>
      </c>
      <c r="N2450" s="3" t="s">
        <v>1465</v>
      </c>
      <c r="P2450" s="3" t="s">
        <v>65</v>
      </c>
      <c r="Q2450" s="2" t="s">
        <v>24008</v>
      </c>
      <c r="R2450" s="3" t="s">
        <v>66</v>
      </c>
      <c r="S2450" s="4">
        <v>2</v>
      </c>
      <c r="T2450" s="4">
        <v>2</v>
      </c>
      <c r="U2450" s="5" t="s">
        <v>24009</v>
      </c>
      <c r="V2450" s="5" t="s">
        <v>24009</v>
      </c>
      <c r="W2450" s="5" t="s">
        <v>67</v>
      </c>
      <c r="X2450" s="5" t="s">
        <v>67</v>
      </c>
      <c r="Y2450" s="4">
        <v>259</v>
      </c>
      <c r="Z2450" s="4">
        <v>21</v>
      </c>
      <c r="AA2450" s="4">
        <v>72</v>
      </c>
      <c r="AB2450" s="4">
        <v>3</v>
      </c>
      <c r="AC2450" s="4">
        <v>9</v>
      </c>
      <c r="AD2450" s="4">
        <v>64</v>
      </c>
      <c r="AE2450" s="4">
        <v>98</v>
      </c>
      <c r="AF2450" s="4">
        <v>1</v>
      </c>
      <c r="AG2450" s="4">
        <v>2</v>
      </c>
      <c r="AH2450" s="4">
        <v>54</v>
      </c>
      <c r="AI2450" s="4">
        <v>77</v>
      </c>
      <c r="AJ2450" s="4">
        <v>12</v>
      </c>
      <c r="AK2450" s="4">
        <v>16</v>
      </c>
      <c r="AL2450" s="4">
        <v>33</v>
      </c>
      <c r="AM2450" s="4">
        <v>45</v>
      </c>
      <c r="AN2450" s="4">
        <v>0</v>
      </c>
      <c r="AO2450" s="4">
        <v>0</v>
      </c>
      <c r="AP2450" s="4">
        <v>16</v>
      </c>
      <c r="AQ2450" s="4">
        <v>28</v>
      </c>
      <c r="AR2450" s="3" t="s">
        <v>62</v>
      </c>
      <c r="AS2450" s="3" t="s">
        <v>62</v>
      </c>
      <c r="AT2450" s="3" t="s">
        <v>62</v>
      </c>
      <c r="AV2450" s="6" t="str">
        <f>HYPERLINK("http://mcgill.on.worldcat.org/oclc/320193428","Catalog Record")</f>
        <v>Catalog Record</v>
      </c>
      <c r="AW2450" s="6" t="str">
        <f>HYPERLINK("http://www.worldcat.org/oclc/320193428","WorldCat Record")</f>
        <v>WorldCat Record</v>
      </c>
      <c r="AX2450" s="3" t="s">
        <v>24010</v>
      </c>
      <c r="AY2450" s="3" t="s">
        <v>24011</v>
      </c>
      <c r="AZ2450" s="3" t="s">
        <v>24012</v>
      </c>
      <c r="BA2450" s="3" t="s">
        <v>24012</v>
      </c>
      <c r="BB2450" s="3" t="s">
        <v>24013</v>
      </c>
      <c r="BC2450" s="3" t="s">
        <v>142</v>
      </c>
      <c r="BD2450" s="3" t="s">
        <v>68</v>
      </c>
      <c r="BE2450" s="3" t="s">
        <v>24014</v>
      </c>
      <c r="BF2450" s="3" t="s">
        <v>24013</v>
      </c>
      <c r="BG2450" s="3" t="s">
        <v>24015</v>
      </c>
    </row>
    <row r="2451" spans="1:59" ht="57" x14ac:dyDescent="0.45">
      <c r="A2451" s="2" t="s">
        <v>59</v>
      </c>
      <c r="B2451" s="2" t="s">
        <v>60</v>
      </c>
      <c r="C2451" s="2" t="s">
        <v>24016</v>
      </c>
      <c r="D2451" s="2" t="s">
        <v>24017</v>
      </c>
      <c r="E2451" s="2" t="s">
        <v>24018</v>
      </c>
      <c r="G2451" s="3" t="s">
        <v>62</v>
      </c>
      <c r="I2451" s="3" t="s">
        <v>62</v>
      </c>
      <c r="J2451" s="3" t="s">
        <v>62</v>
      </c>
      <c r="K2451" s="3" t="s">
        <v>63</v>
      </c>
      <c r="L2451" s="2" t="s">
        <v>24019</v>
      </c>
      <c r="M2451" s="2" t="s">
        <v>24020</v>
      </c>
      <c r="N2451" s="3" t="s">
        <v>529</v>
      </c>
      <c r="P2451" s="3" t="s">
        <v>65</v>
      </c>
      <c r="R2451" s="3" t="s">
        <v>66</v>
      </c>
      <c r="S2451" s="4">
        <v>7</v>
      </c>
      <c r="T2451" s="4">
        <v>7</v>
      </c>
      <c r="U2451" s="5" t="s">
        <v>17974</v>
      </c>
      <c r="V2451" s="5" t="s">
        <v>17974</v>
      </c>
      <c r="W2451" s="5" t="s">
        <v>67</v>
      </c>
      <c r="X2451" s="5" t="s">
        <v>67</v>
      </c>
      <c r="Y2451" s="4">
        <v>216</v>
      </c>
      <c r="Z2451" s="4">
        <v>12</v>
      </c>
      <c r="AA2451" s="4">
        <v>16</v>
      </c>
      <c r="AB2451" s="4">
        <v>2</v>
      </c>
      <c r="AC2451" s="4">
        <v>3</v>
      </c>
      <c r="AD2451" s="4">
        <v>81</v>
      </c>
      <c r="AE2451" s="4">
        <v>86</v>
      </c>
      <c r="AF2451" s="4">
        <v>1</v>
      </c>
      <c r="AG2451" s="4">
        <v>2</v>
      </c>
      <c r="AH2451" s="4">
        <v>73</v>
      </c>
      <c r="AI2451" s="4">
        <v>76</v>
      </c>
      <c r="AJ2451" s="4">
        <v>10</v>
      </c>
      <c r="AK2451" s="4">
        <v>12</v>
      </c>
      <c r="AL2451" s="4">
        <v>43</v>
      </c>
      <c r="AM2451" s="4">
        <v>45</v>
      </c>
      <c r="AN2451" s="4">
        <v>0</v>
      </c>
      <c r="AO2451" s="4">
        <v>0</v>
      </c>
      <c r="AP2451" s="4">
        <v>11</v>
      </c>
      <c r="AQ2451" s="4">
        <v>14</v>
      </c>
      <c r="AR2451" s="3" t="s">
        <v>62</v>
      </c>
      <c r="AS2451" s="3" t="s">
        <v>62</v>
      </c>
      <c r="AT2451" s="3" t="s">
        <v>61</v>
      </c>
      <c r="AU2451" s="6" t="str">
        <f>HYPERLINK("http://catalog.hathitrust.org/Record/000484926","HathiTrust Record")</f>
        <v>HathiTrust Record</v>
      </c>
      <c r="AV2451" s="6" t="str">
        <f>HYPERLINK("http://mcgill.on.worldcat.org/oclc/11548619","Catalog Record")</f>
        <v>Catalog Record</v>
      </c>
      <c r="AW2451" s="6" t="str">
        <f>HYPERLINK("http://www.worldcat.org/oclc/11548619","WorldCat Record")</f>
        <v>WorldCat Record</v>
      </c>
      <c r="AX2451" s="3" t="s">
        <v>24021</v>
      </c>
      <c r="AY2451" s="3" t="s">
        <v>24022</v>
      </c>
      <c r="AZ2451" s="3" t="s">
        <v>24023</v>
      </c>
      <c r="BA2451" s="3" t="s">
        <v>24023</v>
      </c>
      <c r="BB2451" s="3" t="s">
        <v>24024</v>
      </c>
      <c r="BC2451" s="3" t="s">
        <v>142</v>
      </c>
      <c r="BD2451" s="3" t="s">
        <v>68</v>
      </c>
      <c r="BE2451" s="3" t="s">
        <v>24025</v>
      </c>
      <c r="BF2451" s="3" t="s">
        <v>24024</v>
      </c>
      <c r="BG2451" s="3" t="s">
        <v>24026</v>
      </c>
    </row>
    <row r="2452" spans="1:59" ht="57" x14ac:dyDescent="0.45">
      <c r="A2452" s="2" t="s">
        <v>59</v>
      </c>
      <c r="B2452" s="2" t="s">
        <v>60</v>
      </c>
      <c r="C2452" s="2" t="s">
        <v>24027</v>
      </c>
      <c r="D2452" s="2" t="s">
        <v>24028</v>
      </c>
      <c r="E2452" s="2" t="s">
        <v>24029</v>
      </c>
      <c r="G2452" s="3" t="s">
        <v>62</v>
      </c>
      <c r="I2452" s="3" t="s">
        <v>62</v>
      </c>
      <c r="J2452" s="3" t="s">
        <v>62</v>
      </c>
      <c r="K2452" s="3" t="s">
        <v>63</v>
      </c>
      <c r="M2452" s="2" t="s">
        <v>24030</v>
      </c>
      <c r="N2452" s="3" t="s">
        <v>149</v>
      </c>
      <c r="P2452" s="3" t="s">
        <v>65</v>
      </c>
      <c r="Q2452" s="2" t="s">
        <v>24031</v>
      </c>
      <c r="R2452" s="3" t="s">
        <v>66</v>
      </c>
      <c r="S2452" s="4">
        <v>3</v>
      </c>
      <c r="T2452" s="4">
        <v>3</v>
      </c>
      <c r="U2452" s="5" t="s">
        <v>782</v>
      </c>
      <c r="V2452" s="5" t="s">
        <v>782</v>
      </c>
      <c r="W2452" s="5" t="s">
        <v>67</v>
      </c>
      <c r="X2452" s="5" t="s">
        <v>67</v>
      </c>
      <c r="Y2452" s="4">
        <v>87</v>
      </c>
      <c r="Z2452" s="4">
        <v>11</v>
      </c>
      <c r="AA2452" s="4">
        <v>95</v>
      </c>
      <c r="AB2452" s="4">
        <v>1</v>
      </c>
      <c r="AC2452" s="4">
        <v>17</v>
      </c>
      <c r="AD2452" s="4">
        <v>37</v>
      </c>
      <c r="AE2452" s="4">
        <v>117</v>
      </c>
      <c r="AF2452" s="4">
        <v>0</v>
      </c>
      <c r="AG2452" s="4">
        <v>8</v>
      </c>
      <c r="AH2452" s="4">
        <v>35</v>
      </c>
      <c r="AI2452" s="4">
        <v>79</v>
      </c>
      <c r="AJ2452" s="4">
        <v>8</v>
      </c>
      <c r="AK2452" s="4">
        <v>24</v>
      </c>
      <c r="AL2452" s="4">
        <v>18</v>
      </c>
      <c r="AM2452" s="4">
        <v>41</v>
      </c>
      <c r="AN2452" s="4">
        <v>0</v>
      </c>
      <c r="AO2452" s="4">
        <v>0</v>
      </c>
      <c r="AP2452" s="4">
        <v>8</v>
      </c>
      <c r="AQ2452" s="4">
        <v>45</v>
      </c>
      <c r="AR2452" s="3" t="s">
        <v>62</v>
      </c>
      <c r="AS2452" s="3" t="s">
        <v>62</v>
      </c>
      <c r="AT2452" s="3" t="s">
        <v>62</v>
      </c>
      <c r="AV2452" s="6" t="str">
        <f>HYPERLINK("http://mcgill.on.worldcat.org/oclc/664352668","Catalog Record")</f>
        <v>Catalog Record</v>
      </c>
      <c r="AW2452" s="6" t="str">
        <f>HYPERLINK("http://www.worldcat.org/oclc/664352668","WorldCat Record")</f>
        <v>WorldCat Record</v>
      </c>
      <c r="AX2452" s="3" t="s">
        <v>24032</v>
      </c>
      <c r="AY2452" s="3" t="s">
        <v>24033</v>
      </c>
      <c r="AZ2452" s="3" t="s">
        <v>24034</v>
      </c>
      <c r="BA2452" s="3" t="s">
        <v>24034</v>
      </c>
      <c r="BB2452" s="3" t="s">
        <v>24035</v>
      </c>
      <c r="BC2452" s="3" t="s">
        <v>142</v>
      </c>
      <c r="BD2452" s="3" t="s">
        <v>68</v>
      </c>
      <c r="BE2452" s="3" t="s">
        <v>24036</v>
      </c>
      <c r="BF2452" s="3" t="s">
        <v>24035</v>
      </c>
      <c r="BG2452" s="3" t="s">
        <v>24037</v>
      </c>
    </row>
    <row r="2453" spans="1:59" ht="57" x14ac:dyDescent="0.45">
      <c r="A2453" s="2" t="s">
        <v>59</v>
      </c>
      <c r="B2453" s="2" t="s">
        <v>60</v>
      </c>
      <c r="C2453" s="2" t="s">
        <v>24038</v>
      </c>
      <c r="D2453" s="2" t="s">
        <v>24039</v>
      </c>
      <c r="E2453" s="2" t="s">
        <v>24040</v>
      </c>
      <c r="G2453" s="3" t="s">
        <v>62</v>
      </c>
      <c r="H2453" s="3" t="s">
        <v>3960</v>
      </c>
      <c r="I2453" s="3" t="s">
        <v>62</v>
      </c>
      <c r="J2453" s="3" t="s">
        <v>62</v>
      </c>
      <c r="K2453" s="3" t="s">
        <v>63</v>
      </c>
      <c r="M2453" s="2" t="s">
        <v>24041</v>
      </c>
      <c r="N2453" s="3" t="s">
        <v>19337</v>
      </c>
      <c r="P2453" s="3" t="s">
        <v>65</v>
      </c>
      <c r="R2453" s="3" t="s">
        <v>66</v>
      </c>
      <c r="S2453" s="4">
        <v>0</v>
      </c>
      <c r="T2453" s="4">
        <v>0</v>
      </c>
      <c r="W2453" s="5" t="s">
        <v>18980</v>
      </c>
      <c r="X2453" s="5" t="s">
        <v>18980</v>
      </c>
      <c r="Y2453" s="4">
        <v>37</v>
      </c>
      <c r="Z2453" s="4">
        <v>3</v>
      </c>
      <c r="AA2453" s="4">
        <v>8</v>
      </c>
      <c r="AB2453" s="4">
        <v>1</v>
      </c>
      <c r="AC2453" s="4">
        <v>3</v>
      </c>
      <c r="AD2453" s="4">
        <v>20</v>
      </c>
      <c r="AE2453" s="4">
        <v>29</v>
      </c>
      <c r="AF2453" s="4">
        <v>0</v>
      </c>
      <c r="AG2453" s="4">
        <v>1</v>
      </c>
      <c r="AH2453" s="4">
        <v>19</v>
      </c>
      <c r="AI2453" s="4">
        <v>25</v>
      </c>
      <c r="AJ2453" s="4">
        <v>2</v>
      </c>
      <c r="AK2453" s="4">
        <v>5</v>
      </c>
      <c r="AL2453" s="4">
        <v>16</v>
      </c>
      <c r="AM2453" s="4">
        <v>21</v>
      </c>
      <c r="AN2453" s="4">
        <v>0</v>
      </c>
      <c r="AO2453" s="4">
        <v>0</v>
      </c>
      <c r="AP2453" s="4">
        <v>2</v>
      </c>
      <c r="AQ2453" s="4">
        <v>6</v>
      </c>
      <c r="AR2453" s="3" t="s">
        <v>62</v>
      </c>
      <c r="AS2453" s="3" t="s">
        <v>62</v>
      </c>
      <c r="AT2453" s="3" t="s">
        <v>62</v>
      </c>
      <c r="AV2453" s="6" t="str">
        <f>HYPERLINK("http://mcgill.on.worldcat.org/oclc/1048290228","Catalog Record")</f>
        <v>Catalog Record</v>
      </c>
      <c r="AW2453" s="6" t="str">
        <f>HYPERLINK("http://www.worldcat.org/oclc/1048290228","WorldCat Record")</f>
        <v>WorldCat Record</v>
      </c>
      <c r="AX2453" s="3" t="s">
        <v>24042</v>
      </c>
      <c r="AY2453" s="3" t="s">
        <v>24043</v>
      </c>
      <c r="AZ2453" s="3" t="s">
        <v>24044</v>
      </c>
      <c r="BA2453" s="3" t="s">
        <v>24044</v>
      </c>
      <c r="BB2453" s="3" t="s">
        <v>24045</v>
      </c>
      <c r="BC2453" s="3" t="s">
        <v>142</v>
      </c>
      <c r="BD2453" s="3" t="s">
        <v>68</v>
      </c>
      <c r="BE2453" s="3" t="s">
        <v>24046</v>
      </c>
      <c r="BF2453" s="3" t="s">
        <v>24045</v>
      </c>
      <c r="BG2453" s="3" t="s">
        <v>24047</v>
      </c>
    </row>
    <row r="2454" spans="1:59" ht="57" x14ac:dyDescent="0.45">
      <c r="A2454" s="2" t="s">
        <v>59</v>
      </c>
      <c r="B2454" s="2" t="s">
        <v>60</v>
      </c>
      <c r="C2454" s="2" t="s">
        <v>24048</v>
      </c>
      <c r="D2454" s="2" t="s">
        <v>24049</v>
      </c>
      <c r="E2454" s="2" t="s">
        <v>24050</v>
      </c>
      <c r="G2454" s="3" t="s">
        <v>62</v>
      </c>
      <c r="I2454" s="3" t="s">
        <v>62</v>
      </c>
      <c r="J2454" s="3" t="s">
        <v>62</v>
      </c>
      <c r="K2454" s="3" t="s">
        <v>63</v>
      </c>
      <c r="L2454" s="2" t="s">
        <v>24051</v>
      </c>
      <c r="M2454" s="2" t="s">
        <v>24052</v>
      </c>
      <c r="N2454" s="3" t="s">
        <v>918</v>
      </c>
      <c r="P2454" s="3" t="s">
        <v>65</v>
      </c>
      <c r="R2454" s="3" t="s">
        <v>66</v>
      </c>
      <c r="S2454" s="4">
        <v>25</v>
      </c>
      <c r="T2454" s="4">
        <v>25</v>
      </c>
      <c r="U2454" s="5" t="s">
        <v>7170</v>
      </c>
      <c r="V2454" s="5" t="s">
        <v>7170</v>
      </c>
      <c r="W2454" s="5" t="s">
        <v>67</v>
      </c>
      <c r="X2454" s="5" t="s">
        <v>67</v>
      </c>
      <c r="Y2454" s="4">
        <v>335</v>
      </c>
      <c r="Z2454" s="4">
        <v>19</v>
      </c>
      <c r="AA2454" s="4">
        <v>20</v>
      </c>
      <c r="AB2454" s="4">
        <v>1</v>
      </c>
      <c r="AC2454" s="4">
        <v>2</v>
      </c>
      <c r="AD2454" s="4">
        <v>87</v>
      </c>
      <c r="AE2454" s="4">
        <v>88</v>
      </c>
      <c r="AF2454" s="4">
        <v>0</v>
      </c>
      <c r="AG2454" s="4">
        <v>1</v>
      </c>
      <c r="AH2454" s="4">
        <v>76</v>
      </c>
      <c r="AI2454" s="4">
        <v>77</v>
      </c>
      <c r="AJ2454" s="4">
        <v>10</v>
      </c>
      <c r="AK2454" s="4">
        <v>11</v>
      </c>
      <c r="AL2454" s="4">
        <v>41</v>
      </c>
      <c r="AM2454" s="4">
        <v>41</v>
      </c>
      <c r="AN2454" s="4">
        <v>0</v>
      </c>
      <c r="AO2454" s="4">
        <v>0</v>
      </c>
      <c r="AP2454" s="4">
        <v>15</v>
      </c>
      <c r="AQ2454" s="4">
        <v>16</v>
      </c>
      <c r="AR2454" s="3" t="s">
        <v>62</v>
      </c>
      <c r="AS2454" s="3" t="s">
        <v>62</v>
      </c>
      <c r="AT2454" s="3" t="s">
        <v>62</v>
      </c>
      <c r="AV2454" s="6" t="str">
        <f>HYPERLINK("http://mcgill.on.worldcat.org/oclc/50023415","Catalog Record")</f>
        <v>Catalog Record</v>
      </c>
      <c r="AW2454" s="6" t="str">
        <f>HYPERLINK("http://www.worldcat.org/oclc/50023415","WorldCat Record")</f>
        <v>WorldCat Record</v>
      </c>
      <c r="AX2454" s="3" t="s">
        <v>24053</v>
      </c>
      <c r="AY2454" s="3" t="s">
        <v>24054</v>
      </c>
      <c r="AZ2454" s="3" t="s">
        <v>24055</v>
      </c>
      <c r="BA2454" s="3" t="s">
        <v>24055</v>
      </c>
      <c r="BB2454" s="3" t="s">
        <v>24056</v>
      </c>
      <c r="BC2454" s="3" t="s">
        <v>142</v>
      </c>
      <c r="BD2454" s="3" t="s">
        <v>68</v>
      </c>
      <c r="BE2454" s="3" t="s">
        <v>24057</v>
      </c>
      <c r="BF2454" s="3" t="s">
        <v>24056</v>
      </c>
      <c r="BG2454" s="3" t="s">
        <v>24058</v>
      </c>
    </row>
    <row r="2455" spans="1:59" ht="57" x14ac:dyDescent="0.45">
      <c r="A2455" s="2" t="s">
        <v>59</v>
      </c>
      <c r="B2455" s="2" t="s">
        <v>60</v>
      </c>
      <c r="C2455" s="2" t="s">
        <v>24059</v>
      </c>
      <c r="D2455" s="2" t="s">
        <v>24060</v>
      </c>
      <c r="E2455" s="2" t="s">
        <v>24061</v>
      </c>
      <c r="G2455" s="3" t="s">
        <v>62</v>
      </c>
      <c r="I2455" s="3" t="s">
        <v>62</v>
      </c>
      <c r="J2455" s="3" t="s">
        <v>62</v>
      </c>
      <c r="K2455" s="3" t="s">
        <v>63</v>
      </c>
      <c r="M2455" s="2" t="s">
        <v>24062</v>
      </c>
      <c r="N2455" s="3" t="s">
        <v>1059</v>
      </c>
      <c r="P2455" s="3" t="s">
        <v>65</v>
      </c>
      <c r="R2455" s="3" t="s">
        <v>66</v>
      </c>
      <c r="S2455" s="4">
        <v>5</v>
      </c>
      <c r="T2455" s="4">
        <v>5</v>
      </c>
      <c r="U2455" s="5" t="s">
        <v>358</v>
      </c>
      <c r="V2455" s="5" t="s">
        <v>358</v>
      </c>
      <c r="W2455" s="5" t="s">
        <v>67</v>
      </c>
      <c r="X2455" s="5" t="s">
        <v>67</v>
      </c>
      <c r="Y2455" s="4">
        <v>211</v>
      </c>
      <c r="Z2455" s="4">
        <v>22</v>
      </c>
      <c r="AA2455" s="4">
        <v>84</v>
      </c>
      <c r="AB2455" s="4">
        <v>2</v>
      </c>
      <c r="AC2455" s="4">
        <v>15</v>
      </c>
      <c r="AD2455" s="4">
        <v>81</v>
      </c>
      <c r="AE2455" s="4">
        <v>131</v>
      </c>
      <c r="AF2455" s="4">
        <v>1</v>
      </c>
      <c r="AG2455" s="4">
        <v>8</v>
      </c>
      <c r="AH2455" s="4">
        <v>71</v>
      </c>
      <c r="AI2455" s="4">
        <v>96</v>
      </c>
      <c r="AJ2455" s="4">
        <v>9</v>
      </c>
      <c r="AK2455" s="4">
        <v>24</v>
      </c>
      <c r="AL2455" s="4">
        <v>38</v>
      </c>
      <c r="AM2455" s="4">
        <v>50</v>
      </c>
      <c r="AN2455" s="4">
        <v>0</v>
      </c>
      <c r="AO2455" s="4">
        <v>0</v>
      </c>
      <c r="AP2455" s="4">
        <v>15</v>
      </c>
      <c r="AQ2455" s="4">
        <v>44</v>
      </c>
      <c r="AR2455" s="3" t="s">
        <v>62</v>
      </c>
      <c r="AS2455" s="3" t="s">
        <v>62</v>
      </c>
      <c r="AT2455" s="3" t="s">
        <v>61</v>
      </c>
      <c r="AU2455" s="6" t="str">
        <f>HYPERLINK("http://catalog.hathitrust.org/Record/005130925","HathiTrust Record")</f>
        <v>HathiTrust Record</v>
      </c>
      <c r="AV2455" s="6" t="str">
        <f>HYPERLINK("http://mcgill.on.worldcat.org/oclc/60838308","Catalog Record")</f>
        <v>Catalog Record</v>
      </c>
      <c r="AW2455" s="6" t="str">
        <f>HYPERLINK("http://www.worldcat.org/oclc/60838308","WorldCat Record")</f>
        <v>WorldCat Record</v>
      </c>
      <c r="AX2455" s="3" t="s">
        <v>24063</v>
      </c>
      <c r="AY2455" s="3" t="s">
        <v>24064</v>
      </c>
      <c r="AZ2455" s="3" t="s">
        <v>24065</v>
      </c>
      <c r="BA2455" s="3" t="s">
        <v>24065</v>
      </c>
      <c r="BB2455" s="3" t="s">
        <v>24066</v>
      </c>
      <c r="BC2455" s="3" t="s">
        <v>142</v>
      </c>
      <c r="BD2455" s="3" t="s">
        <v>68</v>
      </c>
      <c r="BE2455" s="3" t="s">
        <v>24067</v>
      </c>
      <c r="BF2455" s="3" t="s">
        <v>24066</v>
      </c>
      <c r="BG2455" s="3" t="s">
        <v>24068</v>
      </c>
    </row>
    <row r="2456" spans="1:59" ht="57" x14ac:dyDescent="0.45">
      <c r="A2456" s="2" t="s">
        <v>59</v>
      </c>
      <c r="B2456" s="2" t="s">
        <v>60</v>
      </c>
      <c r="C2456" s="2" t="s">
        <v>24069</v>
      </c>
      <c r="D2456" s="2" t="s">
        <v>24070</v>
      </c>
      <c r="E2456" s="2" t="s">
        <v>24071</v>
      </c>
      <c r="G2456" s="3" t="s">
        <v>62</v>
      </c>
      <c r="I2456" s="3" t="s">
        <v>62</v>
      </c>
      <c r="J2456" s="3" t="s">
        <v>62</v>
      </c>
      <c r="K2456" s="3" t="s">
        <v>63</v>
      </c>
      <c r="L2456" s="2" t="s">
        <v>24072</v>
      </c>
      <c r="M2456" s="2" t="s">
        <v>24073</v>
      </c>
      <c r="N2456" s="3" t="s">
        <v>820</v>
      </c>
      <c r="P2456" s="3" t="s">
        <v>65</v>
      </c>
      <c r="Q2456" s="2" t="s">
        <v>24074</v>
      </c>
      <c r="R2456" s="3" t="s">
        <v>66</v>
      </c>
      <c r="S2456" s="4">
        <v>14</v>
      </c>
      <c r="T2456" s="4">
        <v>14</v>
      </c>
      <c r="U2456" s="5" t="s">
        <v>15578</v>
      </c>
      <c r="V2456" s="5" t="s">
        <v>15578</v>
      </c>
      <c r="W2456" s="5" t="s">
        <v>67</v>
      </c>
      <c r="X2456" s="5" t="s">
        <v>67</v>
      </c>
      <c r="Y2456" s="4">
        <v>377</v>
      </c>
      <c r="Z2456" s="4">
        <v>38</v>
      </c>
      <c r="AA2456" s="4">
        <v>40</v>
      </c>
      <c r="AB2456" s="4">
        <v>3</v>
      </c>
      <c r="AC2456" s="4">
        <v>4</v>
      </c>
      <c r="AD2456" s="4">
        <v>96</v>
      </c>
      <c r="AE2456" s="4">
        <v>97</v>
      </c>
      <c r="AF2456" s="4">
        <v>1</v>
      </c>
      <c r="AG2456" s="4">
        <v>2</v>
      </c>
      <c r="AH2456" s="4">
        <v>80</v>
      </c>
      <c r="AI2456" s="4">
        <v>80</v>
      </c>
      <c r="AJ2456" s="4">
        <v>16</v>
      </c>
      <c r="AK2456" s="4">
        <v>17</v>
      </c>
      <c r="AL2456" s="4">
        <v>42</v>
      </c>
      <c r="AM2456" s="4">
        <v>42</v>
      </c>
      <c r="AN2456" s="4">
        <v>0</v>
      </c>
      <c r="AO2456" s="4">
        <v>0</v>
      </c>
      <c r="AP2456" s="4">
        <v>26</v>
      </c>
      <c r="AQ2456" s="4">
        <v>26</v>
      </c>
      <c r="AR2456" s="3" t="s">
        <v>62</v>
      </c>
      <c r="AS2456" s="3" t="s">
        <v>62</v>
      </c>
      <c r="AT2456" s="3" t="s">
        <v>61</v>
      </c>
      <c r="AU2456" s="6" t="str">
        <f>HYPERLINK("http://catalog.hathitrust.org/Record/005887459","HathiTrust Record")</f>
        <v>HathiTrust Record</v>
      </c>
      <c r="AV2456" s="6" t="str">
        <f>HYPERLINK("http://mcgill.on.worldcat.org/oclc/316861470","Catalog Record")</f>
        <v>Catalog Record</v>
      </c>
      <c r="AW2456" s="6" t="str">
        <f>HYPERLINK("http://www.worldcat.org/oclc/316861470","WorldCat Record")</f>
        <v>WorldCat Record</v>
      </c>
      <c r="AX2456" s="3" t="s">
        <v>24075</v>
      </c>
      <c r="AY2456" s="3" t="s">
        <v>24076</v>
      </c>
      <c r="AZ2456" s="3" t="s">
        <v>24077</v>
      </c>
      <c r="BA2456" s="3" t="s">
        <v>24077</v>
      </c>
      <c r="BB2456" s="3" t="s">
        <v>24078</v>
      </c>
      <c r="BC2456" s="3" t="s">
        <v>142</v>
      </c>
      <c r="BD2456" s="3" t="s">
        <v>68</v>
      </c>
      <c r="BE2456" s="3" t="s">
        <v>24079</v>
      </c>
      <c r="BF2456" s="3" t="s">
        <v>24078</v>
      </c>
      <c r="BG2456" s="3" t="s">
        <v>24080</v>
      </c>
    </row>
    <row r="2457" spans="1:59" ht="57" x14ac:dyDescent="0.45">
      <c r="A2457" s="2" t="s">
        <v>59</v>
      </c>
      <c r="B2457" s="2" t="s">
        <v>60</v>
      </c>
      <c r="C2457" s="2" t="s">
        <v>24081</v>
      </c>
      <c r="D2457" s="2" t="s">
        <v>24082</v>
      </c>
      <c r="E2457" s="2" t="s">
        <v>24083</v>
      </c>
      <c r="G2457" s="3" t="s">
        <v>62</v>
      </c>
      <c r="I2457" s="3" t="s">
        <v>62</v>
      </c>
      <c r="J2457" s="3" t="s">
        <v>62</v>
      </c>
      <c r="K2457" s="3" t="s">
        <v>63</v>
      </c>
      <c r="M2457" s="2" t="s">
        <v>24084</v>
      </c>
      <c r="N2457" s="3" t="s">
        <v>958</v>
      </c>
      <c r="P2457" s="3" t="s">
        <v>65</v>
      </c>
      <c r="Q2457" s="2" t="s">
        <v>24085</v>
      </c>
      <c r="R2457" s="3" t="s">
        <v>66</v>
      </c>
      <c r="S2457" s="4">
        <v>25</v>
      </c>
      <c r="T2457" s="4">
        <v>25</v>
      </c>
      <c r="U2457" s="5" t="s">
        <v>4094</v>
      </c>
      <c r="V2457" s="5" t="s">
        <v>4094</v>
      </c>
      <c r="W2457" s="5" t="s">
        <v>67</v>
      </c>
      <c r="X2457" s="5" t="s">
        <v>67</v>
      </c>
      <c r="Y2457" s="4">
        <v>222</v>
      </c>
      <c r="Z2457" s="4">
        <v>16</v>
      </c>
      <c r="AA2457" s="4">
        <v>17</v>
      </c>
      <c r="AB2457" s="4">
        <v>1</v>
      </c>
      <c r="AC2457" s="4">
        <v>2</v>
      </c>
      <c r="AD2457" s="4">
        <v>48</v>
      </c>
      <c r="AE2457" s="4">
        <v>49</v>
      </c>
      <c r="AF2457" s="4">
        <v>0</v>
      </c>
      <c r="AG2457" s="4">
        <v>1</v>
      </c>
      <c r="AH2457" s="4">
        <v>42</v>
      </c>
      <c r="AI2457" s="4">
        <v>42</v>
      </c>
      <c r="AJ2457" s="4">
        <v>6</v>
      </c>
      <c r="AK2457" s="4">
        <v>7</v>
      </c>
      <c r="AL2457" s="4">
        <v>20</v>
      </c>
      <c r="AM2457" s="4">
        <v>20</v>
      </c>
      <c r="AN2457" s="4">
        <v>0</v>
      </c>
      <c r="AO2457" s="4">
        <v>0</v>
      </c>
      <c r="AP2457" s="4">
        <v>11</v>
      </c>
      <c r="AQ2457" s="4">
        <v>11</v>
      </c>
      <c r="AR2457" s="3" t="s">
        <v>62</v>
      </c>
      <c r="AS2457" s="3" t="s">
        <v>62</v>
      </c>
      <c r="AT2457" s="3" t="s">
        <v>62</v>
      </c>
      <c r="AV2457" s="6" t="str">
        <f>HYPERLINK("http://mcgill.on.worldcat.org/oclc/31436290","Catalog Record")</f>
        <v>Catalog Record</v>
      </c>
      <c r="AW2457" s="6" t="str">
        <f>HYPERLINK("http://www.worldcat.org/oclc/31436290","WorldCat Record")</f>
        <v>WorldCat Record</v>
      </c>
      <c r="AX2457" s="3" t="s">
        <v>24086</v>
      </c>
      <c r="AY2457" s="3" t="s">
        <v>24087</v>
      </c>
      <c r="AZ2457" s="3" t="s">
        <v>24088</v>
      </c>
      <c r="BA2457" s="3" t="s">
        <v>24088</v>
      </c>
      <c r="BB2457" s="3" t="s">
        <v>24089</v>
      </c>
      <c r="BC2457" s="3" t="s">
        <v>142</v>
      </c>
      <c r="BD2457" s="3" t="s">
        <v>68</v>
      </c>
      <c r="BE2457" s="3" t="s">
        <v>24090</v>
      </c>
      <c r="BF2457" s="3" t="s">
        <v>24089</v>
      </c>
      <c r="BG2457" s="3" t="s">
        <v>24091</v>
      </c>
    </row>
    <row r="2458" spans="1:59" ht="57" x14ac:dyDescent="0.45">
      <c r="A2458" s="2" t="s">
        <v>59</v>
      </c>
      <c r="B2458" s="2" t="s">
        <v>60</v>
      </c>
      <c r="C2458" s="2" t="s">
        <v>24092</v>
      </c>
      <c r="D2458" s="2" t="s">
        <v>24093</v>
      </c>
      <c r="E2458" s="2" t="s">
        <v>24094</v>
      </c>
      <c r="G2458" s="3" t="s">
        <v>62</v>
      </c>
      <c r="I2458" s="3" t="s">
        <v>62</v>
      </c>
      <c r="J2458" s="3" t="s">
        <v>62</v>
      </c>
      <c r="K2458" s="3" t="s">
        <v>63</v>
      </c>
      <c r="M2458" s="2" t="s">
        <v>24095</v>
      </c>
      <c r="N2458" s="3" t="s">
        <v>958</v>
      </c>
      <c r="P2458" s="3" t="s">
        <v>65</v>
      </c>
      <c r="R2458" s="3" t="s">
        <v>66</v>
      </c>
      <c r="S2458" s="4">
        <v>34</v>
      </c>
      <c r="T2458" s="4">
        <v>34</v>
      </c>
      <c r="U2458" s="5" t="s">
        <v>18548</v>
      </c>
      <c r="V2458" s="5" t="s">
        <v>18548</v>
      </c>
      <c r="W2458" s="5" t="s">
        <v>67</v>
      </c>
      <c r="X2458" s="5" t="s">
        <v>67</v>
      </c>
      <c r="Y2458" s="4">
        <v>252</v>
      </c>
      <c r="Z2458" s="4">
        <v>16</v>
      </c>
      <c r="AA2458" s="4">
        <v>17</v>
      </c>
      <c r="AB2458" s="4">
        <v>2</v>
      </c>
      <c r="AC2458" s="4">
        <v>3</v>
      </c>
      <c r="AD2458" s="4">
        <v>75</v>
      </c>
      <c r="AE2458" s="4">
        <v>76</v>
      </c>
      <c r="AF2458" s="4">
        <v>1</v>
      </c>
      <c r="AG2458" s="4">
        <v>2</v>
      </c>
      <c r="AH2458" s="4">
        <v>68</v>
      </c>
      <c r="AI2458" s="4">
        <v>69</v>
      </c>
      <c r="AJ2458" s="4">
        <v>12</v>
      </c>
      <c r="AK2458" s="4">
        <v>13</v>
      </c>
      <c r="AL2458" s="4">
        <v>38</v>
      </c>
      <c r="AM2458" s="4">
        <v>38</v>
      </c>
      <c r="AN2458" s="4">
        <v>0</v>
      </c>
      <c r="AO2458" s="4">
        <v>0</v>
      </c>
      <c r="AP2458" s="4">
        <v>14</v>
      </c>
      <c r="AQ2458" s="4">
        <v>15</v>
      </c>
      <c r="AR2458" s="3" t="s">
        <v>62</v>
      </c>
      <c r="AS2458" s="3" t="s">
        <v>62</v>
      </c>
      <c r="AT2458" s="3" t="s">
        <v>61</v>
      </c>
      <c r="AU2458" s="6" t="str">
        <f>HYPERLINK("http://catalog.hathitrust.org/Record/003038432","HathiTrust Record")</f>
        <v>HathiTrust Record</v>
      </c>
      <c r="AV2458" s="6" t="str">
        <f>HYPERLINK("http://mcgill.on.worldcat.org/oclc/33078326","Catalog Record")</f>
        <v>Catalog Record</v>
      </c>
      <c r="AW2458" s="6" t="str">
        <f>HYPERLINK("http://www.worldcat.org/oclc/33078326","WorldCat Record")</f>
        <v>WorldCat Record</v>
      </c>
      <c r="AX2458" s="3" t="s">
        <v>24096</v>
      </c>
      <c r="AY2458" s="3" t="s">
        <v>24097</v>
      </c>
      <c r="AZ2458" s="3" t="s">
        <v>24098</v>
      </c>
      <c r="BA2458" s="3" t="s">
        <v>24098</v>
      </c>
      <c r="BB2458" s="3" t="s">
        <v>24099</v>
      </c>
      <c r="BC2458" s="3" t="s">
        <v>142</v>
      </c>
      <c r="BD2458" s="3" t="s">
        <v>68</v>
      </c>
      <c r="BE2458" s="3" t="s">
        <v>24100</v>
      </c>
      <c r="BF2458" s="3" t="s">
        <v>24099</v>
      </c>
      <c r="BG2458" s="3" t="s">
        <v>24101</v>
      </c>
    </row>
    <row r="2459" spans="1:59" ht="57" x14ac:dyDescent="0.45">
      <c r="A2459" s="2" t="s">
        <v>59</v>
      </c>
      <c r="B2459" s="2" t="s">
        <v>60</v>
      </c>
      <c r="C2459" s="2" t="s">
        <v>24102</v>
      </c>
      <c r="D2459" s="2" t="s">
        <v>24103</v>
      </c>
      <c r="E2459" s="2" t="s">
        <v>24104</v>
      </c>
      <c r="G2459" s="3" t="s">
        <v>62</v>
      </c>
      <c r="I2459" s="3" t="s">
        <v>62</v>
      </c>
      <c r="J2459" s="3" t="s">
        <v>62</v>
      </c>
      <c r="K2459" s="3" t="s">
        <v>63</v>
      </c>
      <c r="M2459" s="2" t="s">
        <v>24105</v>
      </c>
      <c r="N2459" s="3" t="s">
        <v>918</v>
      </c>
      <c r="P2459" s="3" t="s">
        <v>65</v>
      </c>
      <c r="R2459" s="3" t="s">
        <v>66</v>
      </c>
      <c r="S2459" s="4">
        <v>11</v>
      </c>
      <c r="T2459" s="4">
        <v>11</v>
      </c>
      <c r="U2459" s="5" t="s">
        <v>358</v>
      </c>
      <c r="V2459" s="5" t="s">
        <v>358</v>
      </c>
      <c r="W2459" s="5" t="s">
        <v>67</v>
      </c>
      <c r="X2459" s="5" t="s">
        <v>67</v>
      </c>
      <c r="Y2459" s="4">
        <v>259</v>
      </c>
      <c r="Z2459" s="4">
        <v>28</v>
      </c>
      <c r="AA2459" s="4">
        <v>85</v>
      </c>
      <c r="AB2459" s="4">
        <v>1</v>
      </c>
      <c r="AC2459" s="4">
        <v>15</v>
      </c>
      <c r="AD2459" s="4">
        <v>83</v>
      </c>
      <c r="AE2459" s="4">
        <v>128</v>
      </c>
      <c r="AF2459" s="4">
        <v>0</v>
      </c>
      <c r="AG2459" s="4">
        <v>8</v>
      </c>
      <c r="AH2459" s="4">
        <v>67</v>
      </c>
      <c r="AI2459" s="4">
        <v>90</v>
      </c>
      <c r="AJ2459" s="4">
        <v>14</v>
      </c>
      <c r="AK2459" s="4">
        <v>24</v>
      </c>
      <c r="AL2459" s="4">
        <v>38</v>
      </c>
      <c r="AM2459" s="4">
        <v>47</v>
      </c>
      <c r="AN2459" s="4">
        <v>0</v>
      </c>
      <c r="AO2459" s="4">
        <v>0</v>
      </c>
      <c r="AP2459" s="4">
        <v>22</v>
      </c>
      <c r="AQ2459" s="4">
        <v>45</v>
      </c>
      <c r="AR2459" s="3" t="s">
        <v>62</v>
      </c>
      <c r="AS2459" s="3" t="s">
        <v>62</v>
      </c>
      <c r="AT2459" s="3" t="s">
        <v>61</v>
      </c>
      <c r="AU2459" s="6" t="str">
        <f>HYPERLINK("http://catalog.hathitrust.org/Record/004348524","HathiTrust Record")</f>
        <v>HathiTrust Record</v>
      </c>
      <c r="AV2459" s="6" t="str">
        <f>HYPERLINK("http://mcgill.on.worldcat.org/oclc/51779614","Catalog Record")</f>
        <v>Catalog Record</v>
      </c>
      <c r="AW2459" s="6" t="str">
        <f>HYPERLINK("http://www.worldcat.org/oclc/51779614","WorldCat Record")</f>
        <v>WorldCat Record</v>
      </c>
      <c r="AX2459" s="3" t="s">
        <v>24106</v>
      </c>
      <c r="AY2459" s="3" t="s">
        <v>24107</v>
      </c>
      <c r="AZ2459" s="3" t="s">
        <v>24108</v>
      </c>
      <c r="BA2459" s="3" t="s">
        <v>24108</v>
      </c>
      <c r="BB2459" s="3" t="s">
        <v>24109</v>
      </c>
      <c r="BC2459" s="3" t="s">
        <v>142</v>
      </c>
      <c r="BD2459" s="3" t="s">
        <v>68</v>
      </c>
      <c r="BE2459" s="3" t="s">
        <v>24110</v>
      </c>
      <c r="BF2459" s="3" t="s">
        <v>24109</v>
      </c>
      <c r="BG2459" s="3" t="s">
        <v>24111</v>
      </c>
    </row>
    <row r="2460" spans="1:59" ht="71.25" x14ac:dyDescent="0.45">
      <c r="A2460" s="2" t="s">
        <v>59</v>
      </c>
      <c r="B2460" s="2" t="s">
        <v>60</v>
      </c>
      <c r="C2460" s="2" t="s">
        <v>24112</v>
      </c>
      <c r="D2460" s="2" t="s">
        <v>24113</v>
      </c>
      <c r="E2460" s="2" t="s">
        <v>24114</v>
      </c>
      <c r="G2460" s="3" t="s">
        <v>62</v>
      </c>
      <c r="I2460" s="3" t="s">
        <v>62</v>
      </c>
      <c r="J2460" s="3" t="s">
        <v>62</v>
      </c>
      <c r="K2460" s="3" t="s">
        <v>63</v>
      </c>
      <c r="L2460" s="2" t="s">
        <v>24115</v>
      </c>
      <c r="M2460" s="2" t="s">
        <v>24116</v>
      </c>
      <c r="N2460" s="3" t="s">
        <v>1688</v>
      </c>
      <c r="O2460" s="2" t="s">
        <v>168</v>
      </c>
      <c r="P2460" s="3" t="s">
        <v>65</v>
      </c>
      <c r="Q2460" s="2" t="s">
        <v>24117</v>
      </c>
      <c r="R2460" s="3" t="s">
        <v>66</v>
      </c>
      <c r="S2460" s="4">
        <v>1</v>
      </c>
      <c r="T2460" s="4">
        <v>1</v>
      </c>
      <c r="U2460" s="5" t="s">
        <v>509</v>
      </c>
      <c r="V2460" s="5" t="s">
        <v>509</v>
      </c>
      <c r="W2460" s="5" t="s">
        <v>13158</v>
      </c>
      <c r="X2460" s="5" t="s">
        <v>13158</v>
      </c>
      <c r="Y2460" s="4">
        <v>348</v>
      </c>
      <c r="Z2460" s="4">
        <v>27</v>
      </c>
      <c r="AA2460" s="4">
        <v>27</v>
      </c>
      <c r="AB2460" s="4">
        <v>2</v>
      </c>
      <c r="AC2460" s="4">
        <v>2</v>
      </c>
      <c r="AD2460" s="4">
        <v>95</v>
      </c>
      <c r="AE2460" s="4">
        <v>95</v>
      </c>
      <c r="AF2460" s="4">
        <v>1</v>
      </c>
      <c r="AG2460" s="4">
        <v>1</v>
      </c>
      <c r="AH2460" s="4">
        <v>80</v>
      </c>
      <c r="AI2460" s="4">
        <v>80</v>
      </c>
      <c r="AJ2460" s="4">
        <v>15</v>
      </c>
      <c r="AK2460" s="4">
        <v>15</v>
      </c>
      <c r="AL2460" s="4">
        <v>50</v>
      </c>
      <c r="AM2460" s="4">
        <v>50</v>
      </c>
      <c r="AN2460" s="4">
        <v>0</v>
      </c>
      <c r="AO2460" s="4">
        <v>0</v>
      </c>
      <c r="AP2460" s="4">
        <v>21</v>
      </c>
      <c r="AQ2460" s="4">
        <v>21</v>
      </c>
      <c r="AR2460" s="3" t="s">
        <v>62</v>
      </c>
      <c r="AS2460" s="3" t="s">
        <v>62</v>
      </c>
      <c r="AT2460" s="3" t="s">
        <v>62</v>
      </c>
      <c r="AV2460" s="6" t="str">
        <f>HYPERLINK("http://mcgill.on.worldcat.org/oclc/842880456","Catalog Record")</f>
        <v>Catalog Record</v>
      </c>
      <c r="AW2460" s="6" t="str">
        <f>HYPERLINK("http://www.worldcat.org/oclc/842880456","WorldCat Record")</f>
        <v>WorldCat Record</v>
      </c>
      <c r="AX2460" s="3" t="s">
        <v>24118</v>
      </c>
      <c r="AY2460" s="3" t="s">
        <v>24119</v>
      </c>
      <c r="AZ2460" s="3" t="s">
        <v>24120</v>
      </c>
      <c r="BA2460" s="3" t="s">
        <v>24120</v>
      </c>
      <c r="BB2460" s="3" t="s">
        <v>24121</v>
      </c>
      <c r="BC2460" s="3" t="s">
        <v>142</v>
      </c>
      <c r="BD2460" s="3" t="s">
        <v>68</v>
      </c>
      <c r="BE2460" s="3" t="s">
        <v>24122</v>
      </c>
      <c r="BF2460" s="3" t="s">
        <v>24121</v>
      </c>
      <c r="BG2460" s="3" t="s">
        <v>24123</v>
      </c>
    </row>
    <row r="2461" spans="1:59" ht="57" x14ac:dyDescent="0.45">
      <c r="A2461" s="2" t="s">
        <v>59</v>
      </c>
      <c r="B2461" s="2" t="s">
        <v>60</v>
      </c>
      <c r="C2461" s="2" t="s">
        <v>24124</v>
      </c>
      <c r="D2461" s="2" t="s">
        <v>24125</v>
      </c>
      <c r="E2461" s="2" t="s">
        <v>24126</v>
      </c>
      <c r="G2461" s="3" t="s">
        <v>62</v>
      </c>
      <c r="I2461" s="3" t="s">
        <v>62</v>
      </c>
      <c r="J2461" s="3" t="s">
        <v>62</v>
      </c>
      <c r="K2461" s="3" t="s">
        <v>63</v>
      </c>
      <c r="M2461" s="2" t="s">
        <v>4009</v>
      </c>
      <c r="N2461" s="3" t="s">
        <v>149</v>
      </c>
      <c r="P2461" s="3" t="s">
        <v>65</v>
      </c>
      <c r="R2461" s="3" t="s">
        <v>66</v>
      </c>
      <c r="S2461" s="4">
        <v>10</v>
      </c>
      <c r="T2461" s="4">
        <v>10</v>
      </c>
      <c r="U2461" s="5" t="s">
        <v>24127</v>
      </c>
      <c r="V2461" s="5" t="s">
        <v>24127</v>
      </c>
      <c r="W2461" s="5" t="s">
        <v>67</v>
      </c>
      <c r="X2461" s="5" t="s">
        <v>67</v>
      </c>
      <c r="Y2461" s="4">
        <v>235</v>
      </c>
      <c r="Z2461" s="4">
        <v>27</v>
      </c>
      <c r="AA2461" s="4">
        <v>88</v>
      </c>
      <c r="AB2461" s="4">
        <v>2</v>
      </c>
      <c r="AC2461" s="4">
        <v>15</v>
      </c>
      <c r="AD2461" s="4">
        <v>82</v>
      </c>
      <c r="AE2461" s="4">
        <v>133</v>
      </c>
      <c r="AF2461" s="4">
        <v>1</v>
      </c>
      <c r="AG2461" s="4">
        <v>8</v>
      </c>
      <c r="AH2461" s="4">
        <v>72</v>
      </c>
      <c r="AI2461" s="4">
        <v>97</v>
      </c>
      <c r="AJ2461" s="4">
        <v>15</v>
      </c>
      <c r="AK2461" s="4">
        <v>24</v>
      </c>
      <c r="AL2461" s="4">
        <v>41</v>
      </c>
      <c r="AM2461" s="4">
        <v>52</v>
      </c>
      <c r="AN2461" s="4">
        <v>0</v>
      </c>
      <c r="AO2461" s="4">
        <v>0</v>
      </c>
      <c r="AP2461" s="4">
        <v>20</v>
      </c>
      <c r="AQ2461" s="4">
        <v>46</v>
      </c>
      <c r="AR2461" s="3" t="s">
        <v>62</v>
      </c>
      <c r="AS2461" s="3" t="s">
        <v>62</v>
      </c>
      <c r="AT2461" s="3" t="s">
        <v>62</v>
      </c>
      <c r="AV2461" s="6" t="str">
        <f>HYPERLINK("http://mcgill.on.worldcat.org/oclc/176946525","Catalog Record")</f>
        <v>Catalog Record</v>
      </c>
      <c r="AW2461" s="6" t="str">
        <f>HYPERLINK("http://www.worldcat.org/oclc/176946525","WorldCat Record")</f>
        <v>WorldCat Record</v>
      </c>
      <c r="AX2461" s="3" t="s">
        <v>24128</v>
      </c>
      <c r="AY2461" s="3" t="s">
        <v>24129</v>
      </c>
      <c r="AZ2461" s="3" t="s">
        <v>24130</v>
      </c>
      <c r="BA2461" s="3" t="s">
        <v>24130</v>
      </c>
      <c r="BB2461" s="3" t="s">
        <v>24131</v>
      </c>
      <c r="BC2461" s="3" t="s">
        <v>142</v>
      </c>
      <c r="BD2461" s="3" t="s">
        <v>68</v>
      </c>
      <c r="BE2461" s="3" t="s">
        <v>24132</v>
      </c>
      <c r="BF2461" s="3" t="s">
        <v>24131</v>
      </c>
      <c r="BG2461" s="3" t="s">
        <v>24133</v>
      </c>
    </row>
    <row r="2462" spans="1:59" ht="57" x14ac:dyDescent="0.45">
      <c r="A2462" s="2" t="s">
        <v>59</v>
      </c>
      <c r="B2462" s="2" t="s">
        <v>60</v>
      </c>
      <c r="C2462" s="2" t="s">
        <v>24134</v>
      </c>
      <c r="D2462" s="2" t="s">
        <v>24135</v>
      </c>
      <c r="E2462" s="2" t="s">
        <v>24136</v>
      </c>
      <c r="G2462" s="3" t="s">
        <v>62</v>
      </c>
      <c r="I2462" s="3" t="s">
        <v>62</v>
      </c>
      <c r="J2462" s="3" t="s">
        <v>62</v>
      </c>
      <c r="K2462" s="3" t="s">
        <v>63</v>
      </c>
      <c r="M2462" s="2" t="s">
        <v>4009</v>
      </c>
      <c r="N2462" s="3" t="s">
        <v>149</v>
      </c>
      <c r="P2462" s="3" t="s">
        <v>65</v>
      </c>
      <c r="Q2462" s="2" t="s">
        <v>24137</v>
      </c>
      <c r="R2462" s="3" t="s">
        <v>66</v>
      </c>
      <c r="S2462" s="4">
        <v>6</v>
      </c>
      <c r="T2462" s="4">
        <v>6</v>
      </c>
      <c r="U2462" s="5" t="s">
        <v>18548</v>
      </c>
      <c r="V2462" s="5" t="s">
        <v>18548</v>
      </c>
      <c r="W2462" s="5" t="s">
        <v>67</v>
      </c>
      <c r="X2462" s="5" t="s">
        <v>67</v>
      </c>
      <c r="Y2462" s="4">
        <v>203</v>
      </c>
      <c r="Z2462" s="4">
        <v>21</v>
      </c>
      <c r="AA2462" s="4">
        <v>27</v>
      </c>
      <c r="AB2462" s="4">
        <v>3</v>
      </c>
      <c r="AC2462" s="4">
        <v>9</v>
      </c>
      <c r="AD2462" s="4">
        <v>35</v>
      </c>
      <c r="AE2462" s="4">
        <v>41</v>
      </c>
      <c r="AF2462" s="4">
        <v>1</v>
      </c>
      <c r="AG2462" s="4">
        <v>4</v>
      </c>
      <c r="AH2462" s="4">
        <v>27</v>
      </c>
      <c r="AI2462" s="4">
        <v>31</v>
      </c>
      <c r="AJ2462" s="4">
        <v>8</v>
      </c>
      <c r="AK2462" s="4">
        <v>11</v>
      </c>
      <c r="AL2462" s="4">
        <v>17</v>
      </c>
      <c r="AM2462" s="4">
        <v>19</v>
      </c>
      <c r="AN2462" s="4">
        <v>0</v>
      </c>
      <c r="AO2462" s="4">
        <v>0</v>
      </c>
      <c r="AP2462" s="4">
        <v>14</v>
      </c>
      <c r="AQ2462" s="4">
        <v>16</v>
      </c>
      <c r="AR2462" s="3" t="s">
        <v>62</v>
      </c>
      <c r="AS2462" s="3" t="s">
        <v>62</v>
      </c>
      <c r="AT2462" s="3" t="s">
        <v>62</v>
      </c>
      <c r="AV2462" s="6" t="str">
        <f>HYPERLINK("http://mcgill.on.worldcat.org/oclc/166378608","Catalog Record")</f>
        <v>Catalog Record</v>
      </c>
      <c r="AW2462" s="6" t="str">
        <f>HYPERLINK("http://www.worldcat.org/oclc/166378608","WorldCat Record")</f>
        <v>WorldCat Record</v>
      </c>
      <c r="AX2462" s="3" t="s">
        <v>24138</v>
      </c>
      <c r="AY2462" s="3" t="s">
        <v>24139</v>
      </c>
      <c r="AZ2462" s="3" t="s">
        <v>24140</v>
      </c>
      <c r="BA2462" s="3" t="s">
        <v>24140</v>
      </c>
      <c r="BB2462" s="3" t="s">
        <v>24141</v>
      </c>
      <c r="BC2462" s="3" t="s">
        <v>142</v>
      </c>
      <c r="BD2462" s="3" t="s">
        <v>68</v>
      </c>
      <c r="BE2462" s="3" t="s">
        <v>24142</v>
      </c>
      <c r="BF2462" s="3" t="s">
        <v>24141</v>
      </c>
      <c r="BG2462" s="3" t="s">
        <v>24143</v>
      </c>
    </row>
    <row r="2463" spans="1:59" ht="57" x14ac:dyDescent="0.45">
      <c r="A2463" s="2" t="s">
        <v>59</v>
      </c>
      <c r="B2463" s="2" t="s">
        <v>60</v>
      </c>
      <c r="C2463" s="2" t="s">
        <v>24144</v>
      </c>
      <c r="D2463" s="2" t="s">
        <v>24145</v>
      </c>
      <c r="E2463" s="2" t="s">
        <v>24146</v>
      </c>
      <c r="G2463" s="3" t="s">
        <v>62</v>
      </c>
      <c r="I2463" s="3" t="s">
        <v>62</v>
      </c>
      <c r="J2463" s="3" t="s">
        <v>62</v>
      </c>
      <c r="K2463" s="3" t="s">
        <v>63</v>
      </c>
      <c r="L2463" s="2" t="s">
        <v>24147</v>
      </c>
      <c r="M2463" s="2" t="s">
        <v>24148</v>
      </c>
      <c r="N2463" s="3" t="s">
        <v>1437</v>
      </c>
      <c r="P2463" s="3" t="s">
        <v>65</v>
      </c>
      <c r="Q2463" s="2" t="s">
        <v>24149</v>
      </c>
      <c r="R2463" s="3" t="s">
        <v>66</v>
      </c>
      <c r="S2463" s="4">
        <v>31</v>
      </c>
      <c r="T2463" s="4">
        <v>31</v>
      </c>
      <c r="U2463" s="5" t="s">
        <v>19463</v>
      </c>
      <c r="V2463" s="5" t="s">
        <v>19463</v>
      </c>
      <c r="W2463" s="5" t="s">
        <v>67</v>
      </c>
      <c r="X2463" s="5" t="s">
        <v>67</v>
      </c>
      <c r="Y2463" s="4">
        <v>325</v>
      </c>
      <c r="Z2463" s="4">
        <v>21</v>
      </c>
      <c r="AA2463" s="4">
        <v>22</v>
      </c>
      <c r="AB2463" s="4">
        <v>2</v>
      </c>
      <c r="AC2463" s="4">
        <v>2</v>
      </c>
      <c r="AD2463" s="4">
        <v>95</v>
      </c>
      <c r="AE2463" s="4">
        <v>95</v>
      </c>
      <c r="AF2463" s="4">
        <v>1</v>
      </c>
      <c r="AG2463" s="4">
        <v>1</v>
      </c>
      <c r="AH2463" s="4">
        <v>85</v>
      </c>
      <c r="AI2463" s="4">
        <v>85</v>
      </c>
      <c r="AJ2463" s="4">
        <v>15</v>
      </c>
      <c r="AK2463" s="4">
        <v>15</v>
      </c>
      <c r="AL2463" s="4">
        <v>47</v>
      </c>
      <c r="AM2463" s="4">
        <v>47</v>
      </c>
      <c r="AN2463" s="4">
        <v>0</v>
      </c>
      <c r="AO2463" s="4">
        <v>0</v>
      </c>
      <c r="AP2463" s="4">
        <v>16</v>
      </c>
      <c r="AQ2463" s="4">
        <v>16</v>
      </c>
      <c r="AR2463" s="3" t="s">
        <v>62</v>
      </c>
      <c r="AS2463" s="3" t="s">
        <v>62</v>
      </c>
      <c r="AT2463" s="3" t="s">
        <v>61</v>
      </c>
      <c r="AU2463" s="6" t="str">
        <f>HYPERLINK("http://catalog.hathitrust.org/Record/003982202","HathiTrust Record")</f>
        <v>HathiTrust Record</v>
      </c>
      <c r="AV2463" s="6" t="str">
        <f>HYPERLINK("http://mcgill.on.worldcat.org/oclc/37806100","Catalog Record")</f>
        <v>Catalog Record</v>
      </c>
      <c r="AW2463" s="6" t="str">
        <f>HYPERLINK("http://www.worldcat.org/oclc/37806100","WorldCat Record")</f>
        <v>WorldCat Record</v>
      </c>
      <c r="AX2463" s="3" t="s">
        <v>24150</v>
      </c>
      <c r="AY2463" s="3" t="s">
        <v>24151</v>
      </c>
      <c r="AZ2463" s="3" t="s">
        <v>24152</v>
      </c>
      <c r="BA2463" s="3" t="s">
        <v>24152</v>
      </c>
      <c r="BB2463" s="3" t="s">
        <v>24153</v>
      </c>
      <c r="BC2463" s="3" t="s">
        <v>142</v>
      </c>
      <c r="BD2463" s="3" t="s">
        <v>68</v>
      </c>
      <c r="BE2463" s="3" t="s">
        <v>24154</v>
      </c>
      <c r="BF2463" s="3" t="s">
        <v>24153</v>
      </c>
      <c r="BG2463" s="3" t="s">
        <v>24155</v>
      </c>
    </row>
    <row r="2464" spans="1:59" ht="57" x14ac:dyDescent="0.45">
      <c r="A2464" s="2" t="s">
        <v>59</v>
      </c>
      <c r="B2464" s="2" t="s">
        <v>60</v>
      </c>
      <c r="C2464" s="2" t="s">
        <v>24156</v>
      </c>
      <c r="D2464" s="2" t="s">
        <v>24157</v>
      </c>
      <c r="E2464" s="2" t="s">
        <v>24158</v>
      </c>
      <c r="G2464" s="3" t="s">
        <v>62</v>
      </c>
      <c r="I2464" s="3" t="s">
        <v>61</v>
      </c>
      <c r="J2464" s="3" t="s">
        <v>61</v>
      </c>
      <c r="K2464" s="3" t="s">
        <v>63</v>
      </c>
      <c r="L2464" s="2" t="s">
        <v>24159</v>
      </c>
      <c r="M2464" s="2" t="s">
        <v>24160</v>
      </c>
      <c r="N2464" s="3" t="s">
        <v>1097</v>
      </c>
      <c r="P2464" s="3" t="s">
        <v>65</v>
      </c>
      <c r="Q2464" s="2" t="s">
        <v>24161</v>
      </c>
      <c r="R2464" s="3" t="s">
        <v>66</v>
      </c>
      <c r="S2464" s="4">
        <v>12</v>
      </c>
      <c r="T2464" s="4">
        <v>22</v>
      </c>
      <c r="U2464" s="5" t="s">
        <v>24127</v>
      </c>
      <c r="V2464" s="5" t="s">
        <v>24127</v>
      </c>
      <c r="W2464" s="5" t="s">
        <v>67</v>
      </c>
      <c r="X2464" s="5" t="s">
        <v>67</v>
      </c>
      <c r="Y2464" s="4">
        <v>351</v>
      </c>
      <c r="Z2464" s="4">
        <v>36</v>
      </c>
      <c r="AA2464" s="4">
        <v>53</v>
      </c>
      <c r="AB2464" s="4">
        <v>2</v>
      </c>
      <c r="AC2464" s="4">
        <v>7</v>
      </c>
      <c r="AD2464" s="4">
        <v>73</v>
      </c>
      <c r="AE2464" s="4">
        <v>97</v>
      </c>
      <c r="AF2464" s="4">
        <v>1</v>
      </c>
      <c r="AG2464" s="4">
        <v>3</v>
      </c>
      <c r="AH2464" s="4">
        <v>58</v>
      </c>
      <c r="AI2464" s="4">
        <v>74</v>
      </c>
      <c r="AJ2464" s="4">
        <v>18</v>
      </c>
      <c r="AK2464" s="4">
        <v>21</v>
      </c>
      <c r="AL2464" s="4">
        <v>26</v>
      </c>
      <c r="AM2464" s="4">
        <v>37</v>
      </c>
      <c r="AN2464" s="4">
        <v>0</v>
      </c>
      <c r="AO2464" s="4">
        <v>0</v>
      </c>
      <c r="AP2464" s="4">
        <v>26</v>
      </c>
      <c r="AQ2464" s="4">
        <v>33</v>
      </c>
      <c r="AR2464" s="3" t="s">
        <v>62</v>
      </c>
      <c r="AS2464" s="3" t="s">
        <v>62</v>
      </c>
      <c r="AT2464" s="3" t="s">
        <v>61</v>
      </c>
      <c r="AU2464" s="6" t="str">
        <f>HYPERLINK("http://catalog.hathitrust.org/Record/004764604","HathiTrust Record")</f>
        <v>HathiTrust Record</v>
      </c>
      <c r="AV2464" s="6" t="str">
        <f>HYPERLINK("http://mcgill.on.worldcat.org/oclc/55970796","Catalog Record")</f>
        <v>Catalog Record</v>
      </c>
      <c r="AW2464" s="6" t="str">
        <f>HYPERLINK("http://www.worldcat.org/oclc/55970796","WorldCat Record")</f>
        <v>WorldCat Record</v>
      </c>
      <c r="AX2464" s="3" t="s">
        <v>24162</v>
      </c>
      <c r="AY2464" s="3" t="s">
        <v>24163</v>
      </c>
      <c r="AZ2464" s="3" t="s">
        <v>24164</v>
      </c>
      <c r="BA2464" s="3" t="s">
        <v>24164</v>
      </c>
      <c r="BB2464" s="3" t="s">
        <v>24165</v>
      </c>
      <c r="BC2464" s="3" t="s">
        <v>142</v>
      </c>
      <c r="BD2464" s="3" t="s">
        <v>68</v>
      </c>
      <c r="BE2464" s="3" t="s">
        <v>24166</v>
      </c>
      <c r="BF2464" s="3" t="s">
        <v>24165</v>
      </c>
      <c r="BG2464" s="3" t="s">
        <v>24167</v>
      </c>
    </row>
    <row r="2465" spans="1:59" ht="57" x14ac:dyDescent="0.45">
      <c r="A2465" s="2" t="s">
        <v>59</v>
      </c>
      <c r="B2465" s="2" t="s">
        <v>60</v>
      </c>
      <c r="C2465" s="2" t="s">
        <v>24156</v>
      </c>
      <c r="D2465" s="2" t="s">
        <v>24157</v>
      </c>
      <c r="E2465" s="2" t="s">
        <v>24158</v>
      </c>
      <c r="G2465" s="3" t="s">
        <v>62</v>
      </c>
      <c r="I2465" s="3" t="s">
        <v>61</v>
      </c>
      <c r="J2465" s="3" t="s">
        <v>61</v>
      </c>
      <c r="K2465" s="3" t="s">
        <v>63</v>
      </c>
      <c r="L2465" s="2" t="s">
        <v>24159</v>
      </c>
      <c r="M2465" s="2" t="s">
        <v>24160</v>
      </c>
      <c r="N2465" s="3" t="s">
        <v>1097</v>
      </c>
      <c r="P2465" s="3" t="s">
        <v>65</v>
      </c>
      <c r="Q2465" s="2" t="s">
        <v>24161</v>
      </c>
      <c r="R2465" s="3" t="s">
        <v>66</v>
      </c>
      <c r="S2465" s="4">
        <v>10</v>
      </c>
      <c r="T2465" s="4">
        <v>22</v>
      </c>
      <c r="U2465" s="5" t="s">
        <v>24168</v>
      </c>
      <c r="V2465" s="5" t="s">
        <v>24127</v>
      </c>
      <c r="W2465" s="5" t="s">
        <v>67</v>
      </c>
      <c r="X2465" s="5" t="s">
        <v>67</v>
      </c>
      <c r="Y2465" s="4">
        <v>351</v>
      </c>
      <c r="Z2465" s="4">
        <v>36</v>
      </c>
      <c r="AA2465" s="4">
        <v>53</v>
      </c>
      <c r="AB2465" s="4">
        <v>2</v>
      </c>
      <c r="AC2465" s="4">
        <v>7</v>
      </c>
      <c r="AD2465" s="4">
        <v>73</v>
      </c>
      <c r="AE2465" s="4">
        <v>97</v>
      </c>
      <c r="AF2465" s="4">
        <v>1</v>
      </c>
      <c r="AG2465" s="4">
        <v>3</v>
      </c>
      <c r="AH2465" s="4">
        <v>58</v>
      </c>
      <c r="AI2465" s="4">
        <v>74</v>
      </c>
      <c r="AJ2465" s="4">
        <v>18</v>
      </c>
      <c r="AK2465" s="4">
        <v>21</v>
      </c>
      <c r="AL2465" s="4">
        <v>26</v>
      </c>
      <c r="AM2465" s="4">
        <v>37</v>
      </c>
      <c r="AN2465" s="4">
        <v>0</v>
      </c>
      <c r="AO2465" s="4">
        <v>0</v>
      </c>
      <c r="AP2465" s="4">
        <v>26</v>
      </c>
      <c r="AQ2465" s="4">
        <v>33</v>
      </c>
      <c r="AR2465" s="3" t="s">
        <v>62</v>
      </c>
      <c r="AS2465" s="3" t="s">
        <v>62</v>
      </c>
      <c r="AT2465" s="3" t="s">
        <v>61</v>
      </c>
      <c r="AU2465" s="6" t="str">
        <f>HYPERLINK("http://catalog.hathitrust.org/Record/004764604","HathiTrust Record")</f>
        <v>HathiTrust Record</v>
      </c>
      <c r="AV2465" s="6" t="str">
        <f>HYPERLINK("http://mcgill.on.worldcat.org/oclc/55970796","Catalog Record")</f>
        <v>Catalog Record</v>
      </c>
      <c r="AW2465" s="6" t="str">
        <f>HYPERLINK("http://www.worldcat.org/oclc/55970796","WorldCat Record")</f>
        <v>WorldCat Record</v>
      </c>
      <c r="AX2465" s="3" t="s">
        <v>24162</v>
      </c>
      <c r="AY2465" s="3" t="s">
        <v>24163</v>
      </c>
      <c r="AZ2465" s="3" t="s">
        <v>24164</v>
      </c>
      <c r="BA2465" s="3" t="s">
        <v>24164</v>
      </c>
      <c r="BB2465" s="3" t="s">
        <v>24169</v>
      </c>
      <c r="BC2465" s="3" t="s">
        <v>142</v>
      </c>
      <c r="BD2465" s="3" t="s">
        <v>68</v>
      </c>
      <c r="BE2465" s="3" t="s">
        <v>24166</v>
      </c>
      <c r="BF2465" s="3" t="s">
        <v>24169</v>
      </c>
      <c r="BG2465" s="3" t="s">
        <v>24170</v>
      </c>
    </row>
    <row r="2466" spans="1:59" ht="57" x14ac:dyDescent="0.45">
      <c r="A2466" s="2" t="s">
        <v>59</v>
      </c>
      <c r="B2466" s="2" t="s">
        <v>60</v>
      </c>
      <c r="C2466" s="2" t="s">
        <v>24171</v>
      </c>
      <c r="D2466" s="2" t="s">
        <v>24172</v>
      </c>
      <c r="E2466" s="2" t="s">
        <v>24173</v>
      </c>
      <c r="G2466" s="3" t="s">
        <v>62</v>
      </c>
      <c r="I2466" s="3" t="s">
        <v>62</v>
      </c>
      <c r="J2466" s="3" t="s">
        <v>61</v>
      </c>
      <c r="K2466" s="3" t="s">
        <v>63</v>
      </c>
      <c r="L2466" s="2" t="s">
        <v>24159</v>
      </c>
      <c r="M2466" s="2" t="s">
        <v>4080</v>
      </c>
      <c r="N2466" s="3" t="s">
        <v>894</v>
      </c>
      <c r="O2466" s="2" t="s">
        <v>933</v>
      </c>
      <c r="P2466" s="3" t="s">
        <v>65</v>
      </c>
      <c r="Q2466" s="2" t="s">
        <v>24161</v>
      </c>
      <c r="R2466" s="3" t="s">
        <v>66</v>
      </c>
      <c r="S2466" s="4">
        <v>4</v>
      </c>
      <c r="T2466" s="4">
        <v>4</v>
      </c>
      <c r="U2466" s="5" t="s">
        <v>24174</v>
      </c>
      <c r="V2466" s="5" t="s">
        <v>24174</v>
      </c>
      <c r="W2466" s="5" t="s">
        <v>67</v>
      </c>
      <c r="X2466" s="5" t="s">
        <v>67</v>
      </c>
      <c r="Y2466" s="4">
        <v>95</v>
      </c>
      <c r="Z2466" s="4">
        <v>9</v>
      </c>
      <c r="AA2466" s="4">
        <v>53</v>
      </c>
      <c r="AB2466" s="4">
        <v>1</v>
      </c>
      <c r="AC2466" s="4">
        <v>7</v>
      </c>
      <c r="AD2466" s="4">
        <v>13</v>
      </c>
      <c r="AE2466" s="4">
        <v>97</v>
      </c>
      <c r="AF2466" s="4">
        <v>0</v>
      </c>
      <c r="AG2466" s="4">
        <v>3</v>
      </c>
      <c r="AH2466" s="4">
        <v>9</v>
      </c>
      <c r="AI2466" s="4">
        <v>74</v>
      </c>
      <c r="AJ2466" s="4">
        <v>1</v>
      </c>
      <c r="AK2466" s="4">
        <v>21</v>
      </c>
      <c r="AL2466" s="4">
        <v>5</v>
      </c>
      <c r="AM2466" s="4">
        <v>37</v>
      </c>
      <c r="AN2466" s="4">
        <v>0</v>
      </c>
      <c r="AO2466" s="4">
        <v>0</v>
      </c>
      <c r="AP2466" s="4">
        <v>6</v>
      </c>
      <c r="AQ2466" s="4">
        <v>33</v>
      </c>
      <c r="AR2466" s="3" t="s">
        <v>62</v>
      </c>
      <c r="AS2466" s="3" t="s">
        <v>62</v>
      </c>
      <c r="AT2466" s="3" t="s">
        <v>62</v>
      </c>
      <c r="AV2466" s="6" t="str">
        <f>HYPERLINK("http://mcgill.on.worldcat.org/oclc/651078213","Catalog Record")</f>
        <v>Catalog Record</v>
      </c>
      <c r="AW2466" s="6" t="str">
        <f>HYPERLINK("http://www.worldcat.org/oclc/651078213","WorldCat Record")</f>
        <v>WorldCat Record</v>
      </c>
      <c r="AX2466" s="3" t="s">
        <v>24162</v>
      </c>
      <c r="AY2466" s="3" t="s">
        <v>24175</v>
      </c>
      <c r="AZ2466" s="3" t="s">
        <v>24176</v>
      </c>
      <c r="BA2466" s="3" t="s">
        <v>24176</v>
      </c>
      <c r="BB2466" s="3" t="s">
        <v>24177</v>
      </c>
      <c r="BC2466" s="3" t="s">
        <v>142</v>
      </c>
      <c r="BD2466" s="3" t="s">
        <v>68</v>
      </c>
      <c r="BE2466" s="3" t="s">
        <v>24178</v>
      </c>
      <c r="BF2466" s="3" t="s">
        <v>24177</v>
      </c>
      <c r="BG2466" s="3" t="s">
        <v>24179</v>
      </c>
    </row>
    <row r="2467" spans="1:59" ht="71.25" x14ac:dyDescent="0.45">
      <c r="A2467" s="2" t="s">
        <v>59</v>
      </c>
      <c r="B2467" s="2" t="s">
        <v>60</v>
      </c>
      <c r="C2467" s="2" t="s">
        <v>24180</v>
      </c>
      <c r="D2467" s="2" t="s">
        <v>24181</v>
      </c>
      <c r="E2467" s="2" t="s">
        <v>24182</v>
      </c>
      <c r="G2467" s="3" t="s">
        <v>62</v>
      </c>
      <c r="I2467" s="3" t="s">
        <v>62</v>
      </c>
      <c r="J2467" s="3" t="s">
        <v>62</v>
      </c>
      <c r="K2467" s="3" t="s">
        <v>63</v>
      </c>
      <c r="L2467" s="2" t="s">
        <v>24183</v>
      </c>
      <c r="M2467" s="2" t="s">
        <v>20575</v>
      </c>
      <c r="N2467" s="3" t="s">
        <v>1465</v>
      </c>
      <c r="P2467" s="3" t="s">
        <v>65</v>
      </c>
      <c r="R2467" s="3" t="s">
        <v>66</v>
      </c>
      <c r="S2467" s="4">
        <v>14</v>
      </c>
      <c r="T2467" s="4">
        <v>14</v>
      </c>
      <c r="U2467" s="5" t="s">
        <v>10499</v>
      </c>
      <c r="V2467" s="5" t="s">
        <v>10499</v>
      </c>
      <c r="W2467" s="5" t="s">
        <v>67</v>
      </c>
      <c r="X2467" s="5" t="s">
        <v>67</v>
      </c>
      <c r="Y2467" s="4">
        <v>187</v>
      </c>
      <c r="Z2467" s="4">
        <v>20</v>
      </c>
      <c r="AA2467" s="4">
        <v>31</v>
      </c>
      <c r="AB2467" s="4">
        <v>2</v>
      </c>
      <c r="AC2467" s="4">
        <v>7</v>
      </c>
      <c r="AD2467" s="4">
        <v>45</v>
      </c>
      <c r="AE2467" s="4">
        <v>66</v>
      </c>
      <c r="AF2467" s="4">
        <v>1</v>
      </c>
      <c r="AG2467" s="4">
        <v>3</v>
      </c>
      <c r="AH2467" s="4">
        <v>38</v>
      </c>
      <c r="AI2467" s="4">
        <v>53</v>
      </c>
      <c r="AJ2467" s="4">
        <v>10</v>
      </c>
      <c r="AK2467" s="4">
        <v>15</v>
      </c>
      <c r="AL2467" s="4">
        <v>21</v>
      </c>
      <c r="AM2467" s="4">
        <v>32</v>
      </c>
      <c r="AN2467" s="4">
        <v>0</v>
      </c>
      <c r="AO2467" s="4">
        <v>0</v>
      </c>
      <c r="AP2467" s="4">
        <v>14</v>
      </c>
      <c r="AQ2467" s="4">
        <v>20</v>
      </c>
      <c r="AR2467" s="3" t="s">
        <v>62</v>
      </c>
      <c r="AS2467" s="3" t="s">
        <v>62</v>
      </c>
      <c r="AT2467" s="3" t="s">
        <v>62</v>
      </c>
      <c r="AV2467" s="6" t="str">
        <f>HYPERLINK("http://mcgill.on.worldcat.org/oclc/166379414","Catalog Record")</f>
        <v>Catalog Record</v>
      </c>
      <c r="AW2467" s="6" t="str">
        <f>HYPERLINK("http://www.worldcat.org/oclc/166379414","WorldCat Record")</f>
        <v>WorldCat Record</v>
      </c>
      <c r="AX2467" s="3" t="s">
        <v>24184</v>
      </c>
      <c r="AY2467" s="3" t="s">
        <v>24185</v>
      </c>
      <c r="AZ2467" s="3" t="s">
        <v>24186</v>
      </c>
      <c r="BA2467" s="3" t="s">
        <v>24186</v>
      </c>
      <c r="BB2467" s="3" t="s">
        <v>24187</v>
      </c>
      <c r="BC2467" s="3" t="s">
        <v>142</v>
      </c>
      <c r="BD2467" s="3" t="s">
        <v>68</v>
      </c>
      <c r="BE2467" s="3" t="s">
        <v>24188</v>
      </c>
      <c r="BF2467" s="3" t="s">
        <v>24187</v>
      </c>
      <c r="BG2467" s="3" t="s">
        <v>24189</v>
      </c>
    </row>
    <row r="2468" spans="1:59" ht="71.25" x14ac:dyDescent="0.45">
      <c r="A2468" s="2" t="s">
        <v>59</v>
      </c>
      <c r="B2468" s="2" t="s">
        <v>60</v>
      </c>
      <c r="C2468" s="2" t="s">
        <v>24190</v>
      </c>
      <c r="D2468" s="2" t="s">
        <v>24191</v>
      </c>
      <c r="E2468" s="2" t="s">
        <v>24192</v>
      </c>
      <c r="G2468" s="3" t="s">
        <v>62</v>
      </c>
      <c r="I2468" s="3" t="s">
        <v>62</v>
      </c>
      <c r="J2468" s="3" t="s">
        <v>62</v>
      </c>
      <c r="K2468" s="3" t="s">
        <v>63</v>
      </c>
      <c r="M2468" s="2" t="s">
        <v>24193</v>
      </c>
      <c r="N2468" s="3" t="s">
        <v>1604</v>
      </c>
      <c r="P2468" s="3" t="s">
        <v>65</v>
      </c>
      <c r="Q2468" s="2" t="s">
        <v>24194</v>
      </c>
      <c r="R2468" s="3" t="s">
        <v>66</v>
      </c>
      <c r="S2468" s="4">
        <v>25</v>
      </c>
      <c r="T2468" s="4">
        <v>25</v>
      </c>
      <c r="U2468" s="5" t="s">
        <v>24195</v>
      </c>
      <c r="V2468" s="5" t="s">
        <v>24195</v>
      </c>
      <c r="W2468" s="5" t="s">
        <v>67</v>
      </c>
      <c r="X2468" s="5" t="s">
        <v>67</v>
      </c>
      <c r="Y2468" s="4">
        <v>355</v>
      </c>
      <c r="Z2468" s="4">
        <v>27</v>
      </c>
      <c r="AA2468" s="4">
        <v>37</v>
      </c>
      <c r="AB2468" s="4">
        <v>4</v>
      </c>
      <c r="AC2468" s="4">
        <v>8</v>
      </c>
      <c r="AD2468" s="4">
        <v>100</v>
      </c>
      <c r="AE2468" s="4">
        <v>108</v>
      </c>
      <c r="AF2468" s="4">
        <v>2</v>
      </c>
      <c r="AG2468" s="4">
        <v>3</v>
      </c>
      <c r="AH2468" s="4">
        <v>85</v>
      </c>
      <c r="AI2468" s="4">
        <v>87</v>
      </c>
      <c r="AJ2468" s="4">
        <v>14</v>
      </c>
      <c r="AK2468" s="4">
        <v>17</v>
      </c>
      <c r="AL2468" s="4">
        <v>44</v>
      </c>
      <c r="AM2468" s="4">
        <v>46</v>
      </c>
      <c r="AN2468" s="4">
        <v>0</v>
      </c>
      <c r="AO2468" s="4">
        <v>0</v>
      </c>
      <c r="AP2468" s="4">
        <v>20</v>
      </c>
      <c r="AQ2468" s="4">
        <v>25</v>
      </c>
      <c r="AR2468" s="3" t="s">
        <v>62</v>
      </c>
      <c r="AS2468" s="3" t="s">
        <v>62</v>
      </c>
      <c r="AT2468" s="3" t="s">
        <v>62</v>
      </c>
      <c r="AV2468" s="6" t="str">
        <f>HYPERLINK("http://mcgill.on.worldcat.org/oclc/29361272","Catalog Record")</f>
        <v>Catalog Record</v>
      </c>
      <c r="AW2468" s="6" t="str">
        <f>HYPERLINK("http://www.worldcat.org/oclc/29361272","WorldCat Record")</f>
        <v>WorldCat Record</v>
      </c>
      <c r="AX2468" s="3" t="s">
        <v>24196</v>
      </c>
      <c r="AY2468" s="3" t="s">
        <v>24197</v>
      </c>
      <c r="AZ2468" s="3" t="s">
        <v>24198</v>
      </c>
      <c r="BA2468" s="3" t="s">
        <v>24198</v>
      </c>
      <c r="BB2468" s="3" t="s">
        <v>24199</v>
      </c>
      <c r="BC2468" s="3" t="s">
        <v>142</v>
      </c>
      <c r="BD2468" s="3" t="s">
        <v>68</v>
      </c>
      <c r="BE2468" s="3" t="s">
        <v>24200</v>
      </c>
      <c r="BF2468" s="3" t="s">
        <v>24199</v>
      </c>
      <c r="BG2468" s="3" t="s">
        <v>24201</v>
      </c>
    </row>
    <row r="2469" spans="1:59" ht="57" x14ac:dyDescent="0.45">
      <c r="A2469" s="2" t="s">
        <v>59</v>
      </c>
      <c r="B2469" s="2" t="s">
        <v>60</v>
      </c>
      <c r="C2469" s="2" t="s">
        <v>24202</v>
      </c>
      <c r="D2469" s="2" t="s">
        <v>24203</v>
      </c>
      <c r="E2469" s="2" t="s">
        <v>24204</v>
      </c>
      <c r="G2469" s="3" t="s">
        <v>62</v>
      </c>
      <c r="I2469" s="3" t="s">
        <v>62</v>
      </c>
      <c r="J2469" s="3" t="s">
        <v>62</v>
      </c>
      <c r="K2469" s="3" t="s">
        <v>63</v>
      </c>
      <c r="L2469" s="2" t="s">
        <v>24205</v>
      </c>
      <c r="M2469" s="2" t="s">
        <v>24206</v>
      </c>
      <c r="N2469" s="3" t="s">
        <v>149</v>
      </c>
      <c r="P2469" s="3" t="s">
        <v>65</v>
      </c>
      <c r="R2469" s="3" t="s">
        <v>66</v>
      </c>
      <c r="S2469" s="4">
        <v>3</v>
      </c>
      <c r="T2469" s="4">
        <v>3</v>
      </c>
      <c r="U2469" s="5" t="s">
        <v>24207</v>
      </c>
      <c r="V2469" s="5" t="s">
        <v>24207</v>
      </c>
      <c r="W2469" s="5" t="s">
        <v>67</v>
      </c>
      <c r="X2469" s="5" t="s">
        <v>67</v>
      </c>
      <c r="Y2469" s="4">
        <v>106</v>
      </c>
      <c r="Z2469" s="4">
        <v>5</v>
      </c>
      <c r="AA2469" s="4">
        <v>6</v>
      </c>
      <c r="AB2469" s="4">
        <v>1</v>
      </c>
      <c r="AC2469" s="4">
        <v>2</v>
      </c>
      <c r="AD2469" s="4">
        <v>22</v>
      </c>
      <c r="AE2469" s="4">
        <v>23</v>
      </c>
      <c r="AF2469" s="4">
        <v>0</v>
      </c>
      <c r="AG2469" s="4">
        <v>1</v>
      </c>
      <c r="AH2469" s="4">
        <v>21</v>
      </c>
      <c r="AI2469" s="4">
        <v>21</v>
      </c>
      <c r="AJ2469" s="4">
        <v>1</v>
      </c>
      <c r="AK2469" s="4">
        <v>2</v>
      </c>
      <c r="AL2469" s="4">
        <v>13</v>
      </c>
      <c r="AM2469" s="4">
        <v>13</v>
      </c>
      <c r="AN2469" s="4">
        <v>5</v>
      </c>
      <c r="AO2469" s="4">
        <v>5</v>
      </c>
      <c r="AP2469" s="4">
        <v>2</v>
      </c>
      <c r="AQ2469" s="4">
        <v>3</v>
      </c>
      <c r="AR2469" s="3" t="s">
        <v>62</v>
      </c>
      <c r="AS2469" s="3" t="s">
        <v>62</v>
      </c>
      <c r="AT2469" s="3" t="s">
        <v>61</v>
      </c>
      <c r="AU2469" s="6" t="str">
        <f>HYPERLINK("http://catalog.hathitrust.org/Record/007544765","HathiTrust Record")</f>
        <v>HathiTrust Record</v>
      </c>
      <c r="AV2469" s="6" t="str">
        <f>HYPERLINK("http://mcgill.on.worldcat.org/oclc/320802993","Catalog Record")</f>
        <v>Catalog Record</v>
      </c>
      <c r="AW2469" s="6" t="str">
        <f>HYPERLINK("http://www.worldcat.org/oclc/320802993","WorldCat Record")</f>
        <v>WorldCat Record</v>
      </c>
      <c r="AX2469" s="3" t="s">
        <v>24208</v>
      </c>
      <c r="AY2469" s="3" t="s">
        <v>24209</v>
      </c>
      <c r="AZ2469" s="3" t="s">
        <v>24210</v>
      </c>
      <c r="BA2469" s="3" t="s">
        <v>24210</v>
      </c>
      <c r="BB2469" s="3" t="s">
        <v>24211</v>
      </c>
      <c r="BC2469" s="3" t="s">
        <v>142</v>
      </c>
      <c r="BD2469" s="3" t="s">
        <v>68</v>
      </c>
      <c r="BE2469" s="3" t="s">
        <v>24212</v>
      </c>
      <c r="BF2469" s="3" t="s">
        <v>24211</v>
      </c>
      <c r="BG2469" s="3" t="s">
        <v>24213</v>
      </c>
    </row>
    <row r="2470" spans="1:59" ht="57" x14ac:dyDescent="0.45">
      <c r="A2470" s="2" t="s">
        <v>59</v>
      </c>
      <c r="B2470" s="2" t="s">
        <v>60</v>
      </c>
      <c r="C2470" s="2" t="s">
        <v>24214</v>
      </c>
      <c r="D2470" s="2" t="s">
        <v>24215</v>
      </c>
      <c r="E2470" s="2" t="s">
        <v>24216</v>
      </c>
      <c r="G2470" s="3" t="s">
        <v>62</v>
      </c>
      <c r="I2470" s="3" t="s">
        <v>62</v>
      </c>
      <c r="J2470" s="3" t="s">
        <v>61</v>
      </c>
      <c r="K2470" s="3" t="s">
        <v>63</v>
      </c>
      <c r="L2470" s="2" t="s">
        <v>24217</v>
      </c>
      <c r="M2470" s="2" t="s">
        <v>24218</v>
      </c>
      <c r="N2470" s="3" t="s">
        <v>84</v>
      </c>
      <c r="P2470" s="3" t="s">
        <v>65</v>
      </c>
      <c r="Q2470" s="2" t="s">
        <v>24219</v>
      </c>
      <c r="R2470" s="3" t="s">
        <v>66</v>
      </c>
      <c r="S2470" s="4">
        <v>24</v>
      </c>
      <c r="T2470" s="4">
        <v>24</v>
      </c>
      <c r="U2470" s="5" t="s">
        <v>3985</v>
      </c>
      <c r="V2470" s="5" t="s">
        <v>3985</v>
      </c>
      <c r="W2470" s="5" t="s">
        <v>67</v>
      </c>
      <c r="X2470" s="5" t="s">
        <v>67</v>
      </c>
      <c r="Y2470" s="4">
        <v>311</v>
      </c>
      <c r="Z2470" s="4">
        <v>25</v>
      </c>
      <c r="AA2470" s="4">
        <v>50</v>
      </c>
      <c r="AB2470" s="4">
        <v>1</v>
      </c>
      <c r="AC2470" s="4">
        <v>6</v>
      </c>
      <c r="AD2470" s="4">
        <v>84</v>
      </c>
      <c r="AE2470" s="4">
        <v>115</v>
      </c>
      <c r="AF2470" s="4">
        <v>0</v>
      </c>
      <c r="AG2470" s="4">
        <v>4</v>
      </c>
      <c r="AH2470" s="4">
        <v>70</v>
      </c>
      <c r="AI2470" s="4">
        <v>93</v>
      </c>
      <c r="AJ2470" s="4">
        <v>13</v>
      </c>
      <c r="AK2470" s="4">
        <v>21</v>
      </c>
      <c r="AL2470" s="4">
        <v>37</v>
      </c>
      <c r="AM2470" s="4">
        <v>44</v>
      </c>
      <c r="AN2470" s="4">
        <v>0</v>
      </c>
      <c r="AO2470" s="4">
        <v>0</v>
      </c>
      <c r="AP2470" s="4">
        <v>21</v>
      </c>
      <c r="AQ2470" s="4">
        <v>32</v>
      </c>
      <c r="AR2470" s="3" t="s">
        <v>62</v>
      </c>
      <c r="AS2470" s="3" t="s">
        <v>62</v>
      </c>
      <c r="AT2470" s="3" t="s">
        <v>62</v>
      </c>
      <c r="AV2470" s="6" t="str">
        <f>HYPERLINK("http://mcgill.on.worldcat.org/oclc/23689954","Catalog Record")</f>
        <v>Catalog Record</v>
      </c>
      <c r="AW2470" s="6" t="str">
        <f>HYPERLINK("http://www.worldcat.org/oclc/23689954","WorldCat Record")</f>
        <v>WorldCat Record</v>
      </c>
      <c r="AX2470" s="3" t="s">
        <v>24220</v>
      </c>
      <c r="AY2470" s="3" t="s">
        <v>24221</v>
      </c>
      <c r="AZ2470" s="3" t="s">
        <v>24222</v>
      </c>
      <c r="BA2470" s="3" t="s">
        <v>24222</v>
      </c>
      <c r="BB2470" s="3" t="s">
        <v>24223</v>
      </c>
      <c r="BC2470" s="3" t="s">
        <v>142</v>
      </c>
      <c r="BD2470" s="3" t="s">
        <v>68</v>
      </c>
      <c r="BE2470" s="3" t="s">
        <v>24224</v>
      </c>
      <c r="BF2470" s="3" t="s">
        <v>24223</v>
      </c>
      <c r="BG2470" s="3" t="s">
        <v>24225</v>
      </c>
    </row>
    <row r="2471" spans="1:59" ht="57" x14ac:dyDescent="0.45">
      <c r="A2471" s="2" t="s">
        <v>59</v>
      </c>
      <c r="B2471" s="2" t="s">
        <v>60</v>
      </c>
      <c r="C2471" s="2" t="s">
        <v>24226</v>
      </c>
      <c r="D2471" s="2" t="s">
        <v>24227</v>
      </c>
      <c r="E2471" s="2" t="s">
        <v>24216</v>
      </c>
      <c r="G2471" s="3" t="s">
        <v>62</v>
      </c>
      <c r="I2471" s="3" t="s">
        <v>62</v>
      </c>
      <c r="J2471" s="3" t="s">
        <v>61</v>
      </c>
      <c r="K2471" s="3" t="s">
        <v>63</v>
      </c>
      <c r="L2471" s="2" t="s">
        <v>24228</v>
      </c>
      <c r="M2471" s="2" t="s">
        <v>24229</v>
      </c>
      <c r="N2471" s="3" t="s">
        <v>1437</v>
      </c>
      <c r="O2471" s="2" t="s">
        <v>3280</v>
      </c>
      <c r="P2471" s="3" t="s">
        <v>65</v>
      </c>
      <c r="Q2471" s="2" t="s">
        <v>24219</v>
      </c>
      <c r="R2471" s="3" t="s">
        <v>66</v>
      </c>
      <c r="S2471" s="4">
        <v>29</v>
      </c>
      <c r="T2471" s="4">
        <v>29</v>
      </c>
      <c r="U2471" s="5" t="s">
        <v>4094</v>
      </c>
      <c r="V2471" s="5" t="s">
        <v>4094</v>
      </c>
      <c r="W2471" s="5" t="s">
        <v>67</v>
      </c>
      <c r="X2471" s="5" t="s">
        <v>67</v>
      </c>
      <c r="Y2471" s="4">
        <v>282</v>
      </c>
      <c r="Z2471" s="4">
        <v>19</v>
      </c>
      <c r="AA2471" s="4">
        <v>50</v>
      </c>
      <c r="AB2471" s="4">
        <v>2</v>
      </c>
      <c r="AC2471" s="4">
        <v>6</v>
      </c>
      <c r="AD2471" s="4">
        <v>54</v>
      </c>
      <c r="AE2471" s="4">
        <v>115</v>
      </c>
      <c r="AF2471" s="4">
        <v>1</v>
      </c>
      <c r="AG2471" s="4">
        <v>4</v>
      </c>
      <c r="AH2471" s="4">
        <v>48</v>
      </c>
      <c r="AI2471" s="4">
        <v>93</v>
      </c>
      <c r="AJ2471" s="4">
        <v>11</v>
      </c>
      <c r="AK2471" s="4">
        <v>21</v>
      </c>
      <c r="AL2471" s="4">
        <v>20</v>
      </c>
      <c r="AM2471" s="4">
        <v>44</v>
      </c>
      <c r="AN2471" s="4">
        <v>0</v>
      </c>
      <c r="AO2471" s="4">
        <v>0</v>
      </c>
      <c r="AP2471" s="4">
        <v>14</v>
      </c>
      <c r="AQ2471" s="4">
        <v>32</v>
      </c>
      <c r="AR2471" s="3" t="s">
        <v>62</v>
      </c>
      <c r="AS2471" s="3" t="s">
        <v>62</v>
      </c>
      <c r="AT2471" s="3" t="s">
        <v>61</v>
      </c>
      <c r="AU2471" s="6" t="str">
        <f>HYPERLINK("http://catalog.hathitrust.org/Record/012279955","HathiTrust Record")</f>
        <v>HathiTrust Record</v>
      </c>
      <c r="AV2471" s="6" t="str">
        <f>HYPERLINK("http://mcgill.on.worldcat.org/oclc/36858087","Catalog Record")</f>
        <v>Catalog Record</v>
      </c>
      <c r="AW2471" s="6" t="str">
        <f>HYPERLINK("http://www.worldcat.org/oclc/36858087","WorldCat Record")</f>
        <v>WorldCat Record</v>
      </c>
      <c r="AX2471" s="3" t="s">
        <v>24220</v>
      </c>
      <c r="AY2471" s="3" t="s">
        <v>24230</v>
      </c>
      <c r="AZ2471" s="3" t="s">
        <v>24231</v>
      </c>
      <c r="BA2471" s="3" t="s">
        <v>24231</v>
      </c>
      <c r="BB2471" s="3" t="s">
        <v>24232</v>
      </c>
      <c r="BC2471" s="3" t="s">
        <v>142</v>
      </c>
      <c r="BD2471" s="3" t="s">
        <v>68</v>
      </c>
      <c r="BE2471" s="3" t="s">
        <v>24233</v>
      </c>
      <c r="BF2471" s="3" t="s">
        <v>24232</v>
      </c>
      <c r="BG2471" s="3" t="s">
        <v>24234</v>
      </c>
    </row>
    <row r="2472" spans="1:59" ht="57" x14ac:dyDescent="0.45">
      <c r="A2472" s="2" t="s">
        <v>59</v>
      </c>
      <c r="B2472" s="2" t="s">
        <v>60</v>
      </c>
      <c r="C2472" s="2" t="s">
        <v>24235</v>
      </c>
      <c r="D2472" s="2" t="s">
        <v>24236</v>
      </c>
      <c r="E2472" s="2" t="s">
        <v>24237</v>
      </c>
      <c r="G2472" s="3" t="s">
        <v>62</v>
      </c>
      <c r="I2472" s="3" t="s">
        <v>62</v>
      </c>
      <c r="J2472" s="3" t="s">
        <v>61</v>
      </c>
      <c r="K2472" s="3" t="s">
        <v>63</v>
      </c>
      <c r="L2472" s="2" t="s">
        <v>24217</v>
      </c>
      <c r="M2472" s="2" t="s">
        <v>24238</v>
      </c>
      <c r="N2472" s="3" t="s">
        <v>945</v>
      </c>
      <c r="O2472" s="2" t="s">
        <v>906</v>
      </c>
      <c r="P2472" s="3" t="s">
        <v>65</v>
      </c>
      <c r="Q2472" s="2" t="s">
        <v>24239</v>
      </c>
      <c r="R2472" s="3" t="s">
        <v>66</v>
      </c>
      <c r="S2472" s="4">
        <v>14</v>
      </c>
      <c r="T2472" s="4">
        <v>14</v>
      </c>
      <c r="U2472" s="5" t="s">
        <v>795</v>
      </c>
      <c r="V2472" s="5" t="s">
        <v>795</v>
      </c>
      <c r="W2472" s="5" t="s">
        <v>67</v>
      </c>
      <c r="X2472" s="5" t="s">
        <v>67</v>
      </c>
      <c r="Y2472" s="4">
        <v>187</v>
      </c>
      <c r="Z2472" s="4">
        <v>16</v>
      </c>
      <c r="AA2472" s="4">
        <v>50</v>
      </c>
      <c r="AB2472" s="4">
        <v>2</v>
      </c>
      <c r="AC2472" s="4">
        <v>6</v>
      </c>
      <c r="AD2472" s="4">
        <v>39</v>
      </c>
      <c r="AE2472" s="4">
        <v>115</v>
      </c>
      <c r="AF2472" s="4">
        <v>1</v>
      </c>
      <c r="AG2472" s="4">
        <v>4</v>
      </c>
      <c r="AH2472" s="4">
        <v>32</v>
      </c>
      <c r="AI2472" s="4">
        <v>93</v>
      </c>
      <c r="AJ2472" s="4">
        <v>8</v>
      </c>
      <c r="AK2472" s="4">
        <v>21</v>
      </c>
      <c r="AL2472" s="4">
        <v>14</v>
      </c>
      <c r="AM2472" s="4">
        <v>44</v>
      </c>
      <c r="AN2472" s="4">
        <v>0</v>
      </c>
      <c r="AO2472" s="4">
        <v>0</v>
      </c>
      <c r="AP2472" s="4">
        <v>11</v>
      </c>
      <c r="AQ2472" s="4">
        <v>32</v>
      </c>
      <c r="AR2472" s="3" t="s">
        <v>62</v>
      </c>
      <c r="AS2472" s="3" t="s">
        <v>62</v>
      </c>
      <c r="AT2472" s="3" t="s">
        <v>61</v>
      </c>
      <c r="AU2472" s="6" t="str">
        <f>HYPERLINK("http://catalog.hathitrust.org/Record/005561396","HathiTrust Record")</f>
        <v>HathiTrust Record</v>
      </c>
      <c r="AV2472" s="6" t="str">
        <f>HYPERLINK("http://mcgill.on.worldcat.org/oclc/68045661","Catalog Record")</f>
        <v>Catalog Record</v>
      </c>
      <c r="AW2472" s="6" t="str">
        <f>HYPERLINK("http://www.worldcat.org/oclc/68045661","WorldCat Record")</f>
        <v>WorldCat Record</v>
      </c>
      <c r="AX2472" s="3" t="s">
        <v>24220</v>
      </c>
      <c r="AY2472" s="3" t="s">
        <v>24240</v>
      </c>
      <c r="AZ2472" s="3" t="s">
        <v>24241</v>
      </c>
      <c r="BA2472" s="3" t="s">
        <v>24241</v>
      </c>
      <c r="BB2472" s="3" t="s">
        <v>24242</v>
      </c>
      <c r="BC2472" s="3" t="s">
        <v>142</v>
      </c>
      <c r="BD2472" s="3" t="s">
        <v>68</v>
      </c>
      <c r="BE2472" s="3" t="s">
        <v>24243</v>
      </c>
      <c r="BF2472" s="3" t="s">
        <v>24242</v>
      </c>
      <c r="BG2472" s="3" t="s">
        <v>24244</v>
      </c>
    </row>
    <row r="2473" spans="1:59" ht="71.25" x14ac:dyDescent="0.45">
      <c r="A2473" s="2" t="s">
        <v>59</v>
      </c>
      <c r="B2473" s="2" t="s">
        <v>60</v>
      </c>
      <c r="C2473" s="2" t="s">
        <v>24245</v>
      </c>
      <c r="D2473" s="2" t="s">
        <v>24246</v>
      </c>
      <c r="E2473" s="2" t="s">
        <v>24247</v>
      </c>
      <c r="G2473" s="3" t="s">
        <v>62</v>
      </c>
      <c r="I2473" s="3" t="s">
        <v>62</v>
      </c>
      <c r="J2473" s="3" t="s">
        <v>62</v>
      </c>
      <c r="K2473" s="3" t="s">
        <v>63</v>
      </c>
      <c r="L2473" s="2" t="s">
        <v>24248</v>
      </c>
      <c r="M2473" s="2" t="s">
        <v>2882</v>
      </c>
      <c r="N2473" s="3" t="s">
        <v>1688</v>
      </c>
      <c r="P2473" s="3" t="s">
        <v>65</v>
      </c>
      <c r="Q2473" s="2" t="s">
        <v>24249</v>
      </c>
      <c r="R2473" s="3" t="s">
        <v>66</v>
      </c>
      <c r="S2473" s="4">
        <v>7</v>
      </c>
      <c r="T2473" s="4">
        <v>7</v>
      </c>
      <c r="U2473" s="5" t="s">
        <v>24250</v>
      </c>
      <c r="V2473" s="5" t="s">
        <v>24250</v>
      </c>
      <c r="W2473" s="5" t="s">
        <v>67</v>
      </c>
      <c r="X2473" s="5" t="s">
        <v>67</v>
      </c>
      <c r="Y2473" s="4">
        <v>108</v>
      </c>
      <c r="Z2473" s="4">
        <v>13</v>
      </c>
      <c r="AA2473" s="4">
        <v>19</v>
      </c>
      <c r="AB2473" s="4">
        <v>1</v>
      </c>
      <c r="AC2473" s="4">
        <v>3</v>
      </c>
      <c r="AD2473" s="4">
        <v>49</v>
      </c>
      <c r="AE2473" s="4">
        <v>58</v>
      </c>
      <c r="AF2473" s="4">
        <v>0</v>
      </c>
      <c r="AG2473" s="4">
        <v>0</v>
      </c>
      <c r="AH2473" s="4">
        <v>47</v>
      </c>
      <c r="AI2473" s="4">
        <v>55</v>
      </c>
      <c r="AJ2473" s="4">
        <v>8</v>
      </c>
      <c r="AK2473" s="4">
        <v>11</v>
      </c>
      <c r="AL2473" s="4">
        <v>30</v>
      </c>
      <c r="AM2473" s="4">
        <v>33</v>
      </c>
      <c r="AN2473" s="4">
        <v>0</v>
      </c>
      <c r="AO2473" s="4">
        <v>0</v>
      </c>
      <c r="AP2473" s="4">
        <v>10</v>
      </c>
      <c r="AQ2473" s="4">
        <v>13</v>
      </c>
      <c r="AR2473" s="3" t="s">
        <v>62</v>
      </c>
      <c r="AS2473" s="3" t="s">
        <v>62</v>
      </c>
      <c r="AT2473" s="3" t="s">
        <v>62</v>
      </c>
      <c r="AV2473" s="6" t="str">
        <f>HYPERLINK("http://mcgill.on.worldcat.org/oclc/857981678","Catalog Record")</f>
        <v>Catalog Record</v>
      </c>
      <c r="AW2473" s="6" t="str">
        <f>HYPERLINK("http://www.worldcat.org/oclc/857981678","WorldCat Record")</f>
        <v>WorldCat Record</v>
      </c>
      <c r="AX2473" s="3" t="s">
        <v>24251</v>
      </c>
      <c r="AY2473" s="3" t="s">
        <v>24252</v>
      </c>
      <c r="AZ2473" s="3" t="s">
        <v>24253</v>
      </c>
      <c r="BA2473" s="3" t="s">
        <v>24253</v>
      </c>
      <c r="BB2473" s="3" t="s">
        <v>24254</v>
      </c>
      <c r="BC2473" s="3" t="s">
        <v>142</v>
      </c>
      <c r="BD2473" s="3" t="s">
        <v>68</v>
      </c>
      <c r="BE2473" s="3" t="s">
        <v>24255</v>
      </c>
      <c r="BF2473" s="3" t="s">
        <v>24254</v>
      </c>
      <c r="BG2473" s="3" t="s">
        <v>24256</v>
      </c>
    </row>
    <row r="2474" spans="1:59" ht="71.25" x14ac:dyDescent="0.45">
      <c r="A2474" s="2" t="s">
        <v>59</v>
      </c>
      <c r="B2474" s="2" t="s">
        <v>60</v>
      </c>
      <c r="C2474" s="2" t="s">
        <v>24257</v>
      </c>
      <c r="D2474" s="2" t="s">
        <v>24258</v>
      </c>
      <c r="E2474" s="2" t="s">
        <v>24259</v>
      </c>
      <c r="G2474" s="3" t="s">
        <v>62</v>
      </c>
      <c r="I2474" s="3" t="s">
        <v>62</v>
      </c>
      <c r="J2474" s="3" t="s">
        <v>62</v>
      </c>
      <c r="K2474" s="3" t="s">
        <v>63</v>
      </c>
      <c r="L2474" s="2" t="s">
        <v>24260</v>
      </c>
      <c r="M2474" s="2" t="s">
        <v>5879</v>
      </c>
      <c r="N2474" s="3" t="s">
        <v>1155</v>
      </c>
      <c r="P2474" s="3" t="s">
        <v>65</v>
      </c>
      <c r="R2474" s="3" t="s">
        <v>66</v>
      </c>
      <c r="S2474" s="4">
        <v>4</v>
      </c>
      <c r="T2474" s="4">
        <v>4</v>
      </c>
      <c r="U2474" s="5" t="s">
        <v>10499</v>
      </c>
      <c r="V2474" s="5" t="s">
        <v>10499</v>
      </c>
      <c r="W2474" s="5" t="s">
        <v>67</v>
      </c>
      <c r="X2474" s="5" t="s">
        <v>67</v>
      </c>
      <c r="Y2474" s="4">
        <v>200</v>
      </c>
      <c r="Z2474" s="4">
        <v>27</v>
      </c>
      <c r="AA2474" s="4">
        <v>36</v>
      </c>
      <c r="AB2474" s="4">
        <v>2</v>
      </c>
      <c r="AC2474" s="4">
        <v>7</v>
      </c>
      <c r="AD2474" s="4">
        <v>75</v>
      </c>
      <c r="AE2474" s="4">
        <v>83</v>
      </c>
      <c r="AF2474" s="4">
        <v>1</v>
      </c>
      <c r="AG2474" s="4">
        <v>2</v>
      </c>
      <c r="AH2474" s="4">
        <v>64</v>
      </c>
      <c r="AI2474" s="4">
        <v>70</v>
      </c>
      <c r="AJ2474" s="4">
        <v>16</v>
      </c>
      <c r="AK2474" s="4">
        <v>18</v>
      </c>
      <c r="AL2474" s="4">
        <v>34</v>
      </c>
      <c r="AM2474" s="4">
        <v>37</v>
      </c>
      <c r="AN2474" s="4">
        <v>0</v>
      </c>
      <c r="AO2474" s="4">
        <v>0</v>
      </c>
      <c r="AP2474" s="4">
        <v>21</v>
      </c>
      <c r="AQ2474" s="4">
        <v>22</v>
      </c>
      <c r="AR2474" s="3" t="s">
        <v>62</v>
      </c>
      <c r="AS2474" s="3" t="s">
        <v>62</v>
      </c>
      <c r="AT2474" s="3" t="s">
        <v>62</v>
      </c>
      <c r="AV2474" s="6" t="str">
        <f>HYPERLINK("http://mcgill.on.worldcat.org/oclc/694393752","Catalog Record")</f>
        <v>Catalog Record</v>
      </c>
      <c r="AW2474" s="6" t="str">
        <f>HYPERLINK("http://www.worldcat.org/oclc/694393752","WorldCat Record")</f>
        <v>WorldCat Record</v>
      </c>
      <c r="AX2474" s="3" t="s">
        <v>24261</v>
      </c>
      <c r="AY2474" s="3" t="s">
        <v>24262</v>
      </c>
      <c r="AZ2474" s="3" t="s">
        <v>24263</v>
      </c>
      <c r="BA2474" s="3" t="s">
        <v>24263</v>
      </c>
      <c r="BB2474" s="3" t="s">
        <v>24264</v>
      </c>
      <c r="BC2474" s="3" t="s">
        <v>142</v>
      </c>
      <c r="BD2474" s="3" t="s">
        <v>68</v>
      </c>
      <c r="BE2474" s="3" t="s">
        <v>24265</v>
      </c>
      <c r="BF2474" s="3" t="s">
        <v>24264</v>
      </c>
      <c r="BG2474" s="3" t="s">
        <v>24266</v>
      </c>
    </row>
    <row r="2475" spans="1:59" ht="71.25" x14ac:dyDescent="0.45">
      <c r="A2475" s="2" t="s">
        <v>59</v>
      </c>
      <c r="B2475" s="2" t="s">
        <v>60</v>
      </c>
      <c r="C2475" s="2" t="s">
        <v>24267</v>
      </c>
      <c r="D2475" s="2" t="s">
        <v>24268</v>
      </c>
      <c r="E2475" s="2" t="s">
        <v>24269</v>
      </c>
      <c r="G2475" s="3" t="s">
        <v>62</v>
      </c>
      <c r="I2475" s="3" t="s">
        <v>62</v>
      </c>
      <c r="J2475" s="3" t="s">
        <v>61</v>
      </c>
      <c r="K2475" s="3" t="s">
        <v>63</v>
      </c>
      <c r="L2475" s="2" t="s">
        <v>24270</v>
      </c>
      <c r="M2475" s="2" t="s">
        <v>24271</v>
      </c>
      <c r="N2475" s="3" t="s">
        <v>542</v>
      </c>
      <c r="P2475" s="3" t="s">
        <v>65</v>
      </c>
      <c r="R2475" s="3" t="s">
        <v>66</v>
      </c>
      <c r="S2475" s="4">
        <v>11</v>
      </c>
      <c r="T2475" s="4">
        <v>11</v>
      </c>
      <c r="U2475" s="5" t="s">
        <v>19964</v>
      </c>
      <c r="V2475" s="5" t="s">
        <v>19964</v>
      </c>
      <c r="W2475" s="5" t="s">
        <v>67</v>
      </c>
      <c r="X2475" s="5" t="s">
        <v>67</v>
      </c>
      <c r="Y2475" s="4">
        <v>829</v>
      </c>
      <c r="Z2475" s="4">
        <v>30</v>
      </c>
      <c r="AA2475" s="4">
        <v>47</v>
      </c>
      <c r="AB2475" s="4">
        <v>1</v>
      </c>
      <c r="AC2475" s="4">
        <v>3</v>
      </c>
      <c r="AD2475" s="4">
        <v>110</v>
      </c>
      <c r="AE2475" s="4">
        <v>127</v>
      </c>
      <c r="AF2475" s="4">
        <v>0</v>
      </c>
      <c r="AG2475" s="4">
        <v>2</v>
      </c>
      <c r="AH2475" s="4">
        <v>98</v>
      </c>
      <c r="AI2475" s="4">
        <v>106</v>
      </c>
      <c r="AJ2475" s="4">
        <v>14</v>
      </c>
      <c r="AK2475" s="4">
        <v>18</v>
      </c>
      <c r="AL2475" s="4">
        <v>52</v>
      </c>
      <c r="AM2475" s="4">
        <v>55</v>
      </c>
      <c r="AN2475" s="4">
        <v>0</v>
      </c>
      <c r="AO2475" s="4">
        <v>0</v>
      </c>
      <c r="AP2475" s="4">
        <v>18</v>
      </c>
      <c r="AQ2475" s="4">
        <v>29</v>
      </c>
      <c r="AR2475" s="3" t="s">
        <v>62</v>
      </c>
      <c r="AS2475" s="3" t="s">
        <v>62</v>
      </c>
      <c r="AT2475" s="3" t="s">
        <v>62</v>
      </c>
      <c r="AV2475" s="6" t="str">
        <f>HYPERLINK("http://mcgill.on.worldcat.org/oclc/44268110","Catalog Record")</f>
        <v>Catalog Record</v>
      </c>
      <c r="AW2475" s="6" t="str">
        <f>HYPERLINK("http://www.worldcat.org/oclc/44268110","WorldCat Record")</f>
        <v>WorldCat Record</v>
      </c>
      <c r="AX2475" s="3" t="s">
        <v>24272</v>
      </c>
      <c r="AY2475" s="3" t="s">
        <v>24273</v>
      </c>
      <c r="AZ2475" s="3" t="s">
        <v>24274</v>
      </c>
      <c r="BA2475" s="3" t="s">
        <v>24274</v>
      </c>
      <c r="BB2475" s="3" t="s">
        <v>24275</v>
      </c>
      <c r="BC2475" s="3" t="s">
        <v>142</v>
      </c>
      <c r="BD2475" s="3" t="s">
        <v>68</v>
      </c>
      <c r="BE2475" s="3" t="s">
        <v>24276</v>
      </c>
      <c r="BF2475" s="3" t="s">
        <v>24275</v>
      </c>
      <c r="BG2475" s="3" t="s">
        <v>24277</v>
      </c>
    </row>
    <row r="2476" spans="1:59" ht="71.25" x14ac:dyDescent="0.45">
      <c r="A2476" s="2" t="s">
        <v>59</v>
      </c>
      <c r="B2476" s="2" t="s">
        <v>60</v>
      </c>
      <c r="C2476" s="2" t="s">
        <v>24278</v>
      </c>
      <c r="D2476" s="2" t="s">
        <v>24279</v>
      </c>
      <c r="E2476" s="2" t="s">
        <v>24280</v>
      </c>
      <c r="G2476" s="3" t="s">
        <v>62</v>
      </c>
      <c r="I2476" s="3" t="s">
        <v>62</v>
      </c>
      <c r="J2476" s="3" t="s">
        <v>61</v>
      </c>
      <c r="K2476" s="3" t="s">
        <v>63</v>
      </c>
      <c r="L2476" s="2" t="s">
        <v>24270</v>
      </c>
      <c r="M2476" s="2" t="s">
        <v>24281</v>
      </c>
      <c r="N2476" s="3" t="s">
        <v>945</v>
      </c>
      <c r="O2476" s="2" t="s">
        <v>933</v>
      </c>
      <c r="P2476" s="3" t="s">
        <v>65</v>
      </c>
      <c r="R2476" s="3" t="s">
        <v>66</v>
      </c>
      <c r="S2476" s="4">
        <v>10</v>
      </c>
      <c r="T2476" s="4">
        <v>10</v>
      </c>
      <c r="U2476" s="5" t="s">
        <v>5583</v>
      </c>
      <c r="V2476" s="5" t="s">
        <v>5583</v>
      </c>
      <c r="W2476" s="5" t="s">
        <v>67</v>
      </c>
      <c r="X2476" s="5" t="s">
        <v>67</v>
      </c>
      <c r="Y2476" s="4">
        <v>338</v>
      </c>
      <c r="Z2476" s="4">
        <v>29</v>
      </c>
      <c r="AA2476" s="4">
        <v>47</v>
      </c>
      <c r="AB2476" s="4">
        <v>2</v>
      </c>
      <c r="AC2476" s="4">
        <v>3</v>
      </c>
      <c r="AD2476" s="4">
        <v>82</v>
      </c>
      <c r="AE2476" s="4">
        <v>127</v>
      </c>
      <c r="AF2476" s="4">
        <v>1</v>
      </c>
      <c r="AG2476" s="4">
        <v>2</v>
      </c>
      <c r="AH2476" s="4">
        <v>69</v>
      </c>
      <c r="AI2476" s="4">
        <v>106</v>
      </c>
      <c r="AJ2476" s="4">
        <v>13</v>
      </c>
      <c r="AK2476" s="4">
        <v>18</v>
      </c>
      <c r="AL2476" s="4">
        <v>34</v>
      </c>
      <c r="AM2476" s="4">
        <v>55</v>
      </c>
      <c r="AN2476" s="4">
        <v>0</v>
      </c>
      <c r="AO2476" s="4">
        <v>0</v>
      </c>
      <c r="AP2476" s="4">
        <v>20</v>
      </c>
      <c r="AQ2476" s="4">
        <v>29</v>
      </c>
      <c r="AR2476" s="3" t="s">
        <v>62</v>
      </c>
      <c r="AS2476" s="3" t="s">
        <v>62</v>
      </c>
      <c r="AT2476" s="3" t="s">
        <v>61</v>
      </c>
      <c r="AU2476" s="6" t="str">
        <f>HYPERLINK("http://catalog.hathitrust.org/Record/005587322","HathiTrust Record")</f>
        <v>HathiTrust Record</v>
      </c>
      <c r="AV2476" s="6" t="str">
        <f>HYPERLINK("http://mcgill.on.worldcat.org/oclc/77573897","Catalog Record")</f>
        <v>Catalog Record</v>
      </c>
      <c r="AW2476" s="6" t="str">
        <f>HYPERLINK("http://www.worldcat.org/oclc/77573897","WorldCat Record")</f>
        <v>WorldCat Record</v>
      </c>
      <c r="AX2476" s="3" t="s">
        <v>24272</v>
      </c>
      <c r="AY2476" s="3" t="s">
        <v>24282</v>
      </c>
      <c r="AZ2476" s="3" t="s">
        <v>24283</v>
      </c>
      <c r="BA2476" s="3" t="s">
        <v>24283</v>
      </c>
      <c r="BB2476" s="3" t="s">
        <v>24284</v>
      </c>
      <c r="BC2476" s="3" t="s">
        <v>142</v>
      </c>
      <c r="BD2476" s="3" t="s">
        <v>68</v>
      </c>
      <c r="BE2476" s="3" t="s">
        <v>24285</v>
      </c>
      <c r="BF2476" s="3" t="s">
        <v>24284</v>
      </c>
      <c r="BG2476" s="3" t="s">
        <v>24286</v>
      </c>
    </row>
    <row r="2477" spans="1:59" ht="71.25" x14ac:dyDescent="0.45">
      <c r="A2477" s="2" t="s">
        <v>59</v>
      </c>
      <c r="B2477" s="2" t="s">
        <v>60</v>
      </c>
      <c r="C2477" s="2" t="s">
        <v>24287</v>
      </c>
      <c r="D2477" s="2" t="s">
        <v>24288</v>
      </c>
      <c r="E2477" s="2" t="s">
        <v>24289</v>
      </c>
      <c r="G2477" s="3" t="s">
        <v>62</v>
      </c>
      <c r="I2477" s="3" t="s">
        <v>62</v>
      </c>
      <c r="J2477" s="3" t="s">
        <v>62</v>
      </c>
      <c r="K2477" s="3" t="s">
        <v>63</v>
      </c>
      <c r="M2477" s="2" t="s">
        <v>19678</v>
      </c>
      <c r="N2477" s="3" t="s">
        <v>1155</v>
      </c>
      <c r="P2477" s="3" t="s">
        <v>65</v>
      </c>
      <c r="R2477" s="3" t="s">
        <v>66</v>
      </c>
      <c r="S2477" s="4">
        <v>4</v>
      </c>
      <c r="T2477" s="4">
        <v>4</v>
      </c>
      <c r="U2477" s="5" t="s">
        <v>22961</v>
      </c>
      <c r="V2477" s="5" t="s">
        <v>22961</v>
      </c>
      <c r="W2477" s="5" t="s">
        <v>67</v>
      </c>
      <c r="X2477" s="5" t="s">
        <v>67</v>
      </c>
      <c r="Y2477" s="4">
        <v>411</v>
      </c>
      <c r="Z2477" s="4">
        <v>23</v>
      </c>
      <c r="AA2477" s="4">
        <v>38</v>
      </c>
      <c r="AB2477" s="4">
        <v>2</v>
      </c>
      <c r="AC2477" s="4">
        <v>5</v>
      </c>
      <c r="AD2477" s="4">
        <v>69</v>
      </c>
      <c r="AE2477" s="4">
        <v>85</v>
      </c>
      <c r="AF2477" s="4">
        <v>1</v>
      </c>
      <c r="AG2477" s="4">
        <v>2</v>
      </c>
      <c r="AH2477" s="4">
        <v>59</v>
      </c>
      <c r="AI2477" s="4">
        <v>71</v>
      </c>
      <c r="AJ2477" s="4">
        <v>12</v>
      </c>
      <c r="AK2477" s="4">
        <v>16</v>
      </c>
      <c r="AL2477" s="4">
        <v>33</v>
      </c>
      <c r="AM2477" s="4">
        <v>40</v>
      </c>
      <c r="AN2477" s="4">
        <v>0</v>
      </c>
      <c r="AO2477" s="4">
        <v>0</v>
      </c>
      <c r="AP2477" s="4">
        <v>18</v>
      </c>
      <c r="AQ2477" s="4">
        <v>23</v>
      </c>
      <c r="AR2477" s="3" t="s">
        <v>62</v>
      </c>
      <c r="AS2477" s="3" t="s">
        <v>62</v>
      </c>
      <c r="AT2477" s="3" t="s">
        <v>62</v>
      </c>
      <c r="AV2477" s="6" t="str">
        <f>HYPERLINK("http://mcgill.on.worldcat.org/oclc/757462042","Catalog Record")</f>
        <v>Catalog Record</v>
      </c>
      <c r="AW2477" s="6" t="str">
        <f>HYPERLINK("http://www.worldcat.org/oclc/757462042","WorldCat Record")</f>
        <v>WorldCat Record</v>
      </c>
      <c r="AX2477" s="3" t="s">
        <v>24290</v>
      </c>
      <c r="AY2477" s="3" t="s">
        <v>24291</v>
      </c>
      <c r="AZ2477" s="3" t="s">
        <v>24292</v>
      </c>
      <c r="BA2477" s="3" t="s">
        <v>24292</v>
      </c>
      <c r="BB2477" s="3" t="s">
        <v>24293</v>
      </c>
      <c r="BC2477" s="3" t="s">
        <v>142</v>
      </c>
      <c r="BD2477" s="3" t="s">
        <v>68</v>
      </c>
      <c r="BE2477" s="3" t="s">
        <v>24294</v>
      </c>
      <c r="BF2477" s="3" t="s">
        <v>24293</v>
      </c>
      <c r="BG2477" s="3" t="s">
        <v>24295</v>
      </c>
    </row>
    <row r="2478" spans="1:59" ht="71.25" x14ac:dyDescent="0.45">
      <c r="A2478" s="2" t="s">
        <v>59</v>
      </c>
      <c r="B2478" s="2" t="s">
        <v>60</v>
      </c>
      <c r="C2478" s="2" t="s">
        <v>24296</v>
      </c>
      <c r="D2478" s="2" t="s">
        <v>24297</v>
      </c>
      <c r="E2478" s="2" t="s">
        <v>24298</v>
      </c>
      <c r="G2478" s="3" t="s">
        <v>62</v>
      </c>
      <c r="I2478" s="3" t="s">
        <v>62</v>
      </c>
      <c r="J2478" s="3" t="s">
        <v>62</v>
      </c>
      <c r="K2478" s="3" t="s">
        <v>63</v>
      </c>
      <c r="L2478" s="2" t="s">
        <v>24299</v>
      </c>
      <c r="M2478" s="2" t="s">
        <v>24300</v>
      </c>
      <c r="N2478" s="3" t="s">
        <v>149</v>
      </c>
      <c r="P2478" s="3" t="s">
        <v>65</v>
      </c>
      <c r="R2478" s="3" t="s">
        <v>66</v>
      </c>
      <c r="S2478" s="4">
        <v>4</v>
      </c>
      <c r="T2478" s="4">
        <v>4</v>
      </c>
      <c r="U2478" s="5" t="s">
        <v>2195</v>
      </c>
      <c r="V2478" s="5" t="s">
        <v>2195</v>
      </c>
      <c r="W2478" s="5" t="s">
        <v>67</v>
      </c>
      <c r="X2478" s="5" t="s">
        <v>67</v>
      </c>
      <c r="Y2478" s="4">
        <v>198</v>
      </c>
      <c r="Z2478" s="4">
        <v>21</v>
      </c>
      <c r="AA2478" s="4">
        <v>23</v>
      </c>
      <c r="AB2478" s="4">
        <v>2</v>
      </c>
      <c r="AC2478" s="4">
        <v>2</v>
      </c>
      <c r="AD2478" s="4">
        <v>48</v>
      </c>
      <c r="AE2478" s="4">
        <v>51</v>
      </c>
      <c r="AF2478" s="4">
        <v>0</v>
      </c>
      <c r="AG2478" s="4">
        <v>0</v>
      </c>
      <c r="AH2478" s="4">
        <v>42</v>
      </c>
      <c r="AI2478" s="4">
        <v>43</v>
      </c>
      <c r="AJ2478" s="4">
        <v>7</v>
      </c>
      <c r="AK2478" s="4">
        <v>8</v>
      </c>
      <c r="AL2478" s="4">
        <v>24</v>
      </c>
      <c r="AM2478" s="4">
        <v>24</v>
      </c>
      <c r="AN2478" s="4">
        <v>0</v>
      </c>
      <c r="AO2478" s="4">
        <v>0</v>
      </c>
      <c r="AP2478" s="4">
        <v>11</v>
      </c>
      <c r="AQ2478" s="4">
        <v>13</v>
      </c>
      <c r="AR2478" s="3" t="s">
        <v>62</v>
      </c>
      <c r="AS2478" s="3" t="s">
        <v>62</v>
      </c>
      <c r="AT2478" s="3" t="s">
        <v>62</v>
      </c>
      <c r="AV2478" s="6" t="str">
        <f>HYPERLINK("http://mcgill.on.worldcat.org/oclc/320804466","Catalog Record")</f>
        <v>Catalog Record</v>
      </c>
      <c r="AW2478" s="6" t="str">
        <f>HYPERLINK("http://www.worldcat.org/oclc/320804466","WorldCat Record")</f>
        <v>WorldCat Record</v>
      </c>
      <c r="AX2478" s="3" t="s">
        <v>24301</v>
      </c>
      <c r="AY2478" s="3" t="s">
        <v>24302</v>
      </c>
      <c r="AZ2478" s="3" t="s">
        <v>24303</v>
      </c>
      <c r="BA2478" s="3" t="s">
        <v>24303</v>
      </c>
      <c r="BB2478" s="3" t="s">
        <v>24304</v>
      </c>
      <c r="BC2478" s="3" t="s">
        <v>142</v>
      </c>
      <c r="BD2478" s="3" t="s">
        <v>68</v>
      </c>
      <c r="BE2478" s="3" t="s">
        <v>24305</v>
      </c>
      <c r="BF2478" s="3" t="s">
        <v>24304</v>
      </c>
      <c r="BG2478" s="3" t="s">
        <v>24306</v>
      </c>
    </row>
    <row r="2479" spans="1:59" ht="71.25" x14ac:dyDescent="0.45">
      <c r="A2479" s="2" t="s">
        <v>59</v>
      </c>
      <c r="B2479" s="2" t="s">
        <v>60</v>
      </c>
      <c r="C2479" s="2" t="s">
        <v>24307</v>
      </c>
      <c r="D2479" s="2" t="s">
        <v>24308</v>
      </c>
      <c r="E2479" s="2" t="s">
        <v>24309</v>
      </c>
      <c r="G2479" s="3" t="s">
        <v>62</v>
      </c>
      <c r="I2479" s="3" t="s">
        <v>62</v>
      </c>
      <c r="J2479" s="3" t="s">
        <v>62</v>
      </c>
      <c r="K2479" s="3" t="s">
        <v>63</v>
      </c>
      <c r="M2479" s="2" t="s">
        <v>24310</v>
      </c>
      <c r="N2479" s="3" t="s">
        <v>1688</v>
      </c>
      <c r="O2479" s="2" t="s">
        <v>696</v>
      </c>
      <c r="P2479" s="3" t="s">
        <v>65</v>
      </c>
      <c r="R2479" s="3" t="s">
        <v>66</v>
      </c>
      <c r="S2479" s="4">
        <v>0</v>
      </c>
      <c r="T2479" s="4">
        <v>0</v>
      </c>
      <c r="W2479" s="5" t="s">
        <v>67</v>
      </c>
      <c r="X2479" s="5" t="s">
        <v>67</v>
      </c>
      <c r="Y2479" s="4">
        <v>2</v>
      </c>
      <c r="Z2479" s="4">
        <v>1</v>
      </c>
      <c r="AA2479" s="4">
        <v>1</v>
      </c>
      <c r="AB2479" s="4">
        <v>1</v>
      </c>
      <c r="AC2479" s="4">
        <v>1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3" t="s">
        <v>62</v>
      </c>
      <c r="AS2479" s="3" t="s">
        <v>62</v>
      </c>
      <c r="AT2479" s="3" t="s">
        <v>62</v>
      </c>
      <c r="AV2479" s="6" t="str">
        <f>HYPERLINK("http://mcgill.on.worldcat.org/oclc/935073111","Catalog Record")</f>
        <v>Catalog Record</v>
      </c>
      <c r="AW2479" s="6" t="str">
        <f>HYPERLINK("http://www.worldcat.org/oclc/935073111","WorldCat Record")</f>
        <v>WorldCat Record</v>
      </c>
      <c r="AX2479" s="3" t="s">
        <v>24311</v>
      </c>
      <c r="AY2479" s="3" t="s">
        <v>24312</v>
      </c>
      <c r="AZ2479" s="3" t="s">
        <v>24313</v>
      </c>
      <c r="BA2479" s="3" t="s">
        <v>24313</v>
      </c>
      <c r="BB2479" s="3" t="s">
        <v>24314</v>
      </c>
      <c r="BC2479" s="3" t="s">
        <v>142</v>
      </c>
      <c r="BD2479" s="3" t="s">
        <v>68</v>
      </c>
      <c r="BE2479" s="3" t="s">
        <v>24315</v>
      </c>
      <c r="BF2479" s="3" t="s">
        <v>24314</v>
      </c>
      <c r="BG2479" s="3" t="s">
        <v>24316</v>
      </c>
    </row>
    <row r="2480" spans="1:59" ht="57" x14ac:dyDescent="0.45">
      <c r="A2480" s="2" t="s">
        <v>59</v>
      </c>
      <c r="B2480" s="2" t="s">
        <v>60</v>
      </c>
      <c r="C2480" s="2" t="s">
        <v>24317</v>
      </c>
      <c r="D2480" s="2" t="s">
        <v>24318</v>
      </c>
      <c r="E2480" s="2" t="s">
        <v>24319</v>
      </c>
      <c r="G2480" s="3" t="s">
        <v>62</v>
      </c>
      <c r="I2480" s="3" t="s">
        <v>62</v>
      </c>
      <c r="J2480" s="3" t="s">
        <v>62</v>
      </c>
      <c r="K2480" s="3" t="s">
        <v>63</v>
      </c>
      <c r="M2480" s="2" t="s">
        <v>24320</v>
      </c>
      <c r="N2480" s="3" t="s">
        <v>807</v>
      </c>
      <c r="P2480" s="3" t="s">
        <v>65</v>
      </c>
      <c r="Q2480" s="2" t="s">
        <v>24321</v>
      </c>
      <c r="R2480" s="3" t="s">
        <v>66</v>
      </c>
      <c r="S2480" s="4">
        <v>26</v>
      </c>
      <c r="T2480" s="4">
        <v>26</v>
      </c>
      <c r="U2480" s="5" t="s">
        <v>17655</v>
      </c>
      <c r="V2480" s="5" t="s">
        <v>17655</v>
      </c>
      <c r="W2480" s="5" t="s">
        <v>67</v>
      </c>
      <c r="X2480" s="5" t="s">
        <v>67</v>
      </c>
      <c r="Y2480" s="4">
        <v>399</v>
      </c>
      <c r="Z2480" s="4">
        <v>10</v>
      </c>
      <c r="AA2480" s="4">
        <v>15</v>
      </c>
      <c r="AB2480" s="4">
        <v>2</v>
      </c>
      <c r="AC2480" s="4">
        <v>7</v>
      </c>
      <c r="AD2480" s="4">
        <v>84</v>
      </c>
      <c r="AE2480" s="4">
        <v>88</v>
      </c>
      <c r="AF2480" s="4">
        <v>1</v>
      </c>
      <c r="AG2480" s="4">
        <v>5</v>
      </c>
      <c r="AH2480" s="4">
        <v>76</v>
      </c>
      <c r="AI2480" s="4">
        <v>77</v>
      </c>
      <c r="AJ2480" s="4">
        <v>6</v>
      </c>
      <c r="AK2480" s="4">
        <v>9</v>
      </c>
      <c r="AL2480" s="4">
        <v>41</v>
      </c>
      <c r="AM2480" s="4">
        <v>41</v>
      </c>
      <c r="AN2480" s="4">
        <v>0</v>
      </c>
      <c r="AO2480" s="4">
        <v>0</v>
      </c>
      <c r="AP2480" s="4">
        <v>9</v>
      </c>
      <c r="AQ2480" s="4">
        <v>12</v>
      </c>
      <c r="AR2480" s="3" t="s">
        <v>62</v>
      </c>
      <c r="AS2480" s="3" t="s">
        <v>62</v>
      </c>
      <c r="AT2480" s="3" t="s">
        <v>62</v>
      </c>
      <c r="AV2480" s="6" t="str">
        <f>HYPERLINK("http://mcgill.on.worldcat.org/oclc/24010537","Catalog Record")</f>
        <v>Catalog Record</v>
      </c>
      <c r="AW2480" s="6" t="str">
        <f>HYPERLINK("http://www.worldcat.org/oclc/24010537","WorldCat Record")</f>
        <v>WorldCat Record</v>
      </c>
      <c r="AX2480" s="3" t="s">
        <v>24322</v>
      </c>
      <c r="AY2480" s="3" t="s">
        <v>24323</v>
      </c>
      <c r="AZ2480" s="3" t="s">
        <v>24324</v>
      </c>
      <c r="BA2480" s="3" t="s">
        <v>24324</v>
      </c>
      <c r="BB2480" s="3" t="s">
        <v>24325</v>
      </c>
      <c r="BC2480" s="3" t="s">
        <v>142</v>
      </c>
      <c r="BD2480" s="3" t="s">
        <v>68</v>
      </c>
      <c r="BE2480" s="3" t="s">
        <v>24326</v>
      </c>
      <c r="BF2480" s="3" t="s">
        <v>24325</v>
      </c>
      <c r="BG2480" s="3" t="s">
        <v>24327</v>
      </c>
    </row>
    <row r="2481" spans="1:59" ht="57" x14ac:dyDescent="0.45">
      <c r="A2481" s="2" t="s">
        <v>59</v>
      </c>
      <c r="B2481" s="2" t="s">
        <v>60</v>
      </c>
      <c r="C2481" s="2" t="s">
        <v>24328</v>
      </c>
      <c r="D2481" s="2" t="s">
        <v>24329</v>
      </c>
      <c r="E2481" s="2" t="s">
        <v>24330</v>
      </c>
      <c r="G2481" s="3" t="s">
        <v>62</v>
      </c>
      <c r="I2481" s="3" t="s">
        <v>62</v>
      </c>
      <c r="J2481" s="3" t="s">
        <v>62</v>
      </c>
      <c r="K2481" s="3" t="s">
        <v>63</v>
      </c>
      <c r="M2481" s="2" t="s">
        <v>24331</v>
      </c>
      <c r="N2481" s="3" t="s">
        <v>84</v>
      </c>
      <c r="P2481" s="3" t="s">
        <v>65</v>
      </c>
      <c r="R2481" s="3" t="s">
        <v>66</v>
      </c>
      <c r="S2481" s="4">
        <v>49</v>
      </c>
      <c r="T2481" s="4">
        <v>49</v>
      </c>
      <c r="U2481" s="5" t="s">
        <v>24332</v>
      </c>
      <c r="V2481" s="5" t="s">
        <v>24332</v>
      </c>
      <c r="W2481" s="5" t="s">
        <v>67</v>
      </c>
      <c r="X2481" s="5" t="s">
        <v>67</v>
      </c>
      <c r="Y2481" s="4">
        <v>90</v>
      </c>
      <c r="Z2481" s="4">
        <v>50</v>
      </c>
      <c r="AA2481" s="4">
        <v>55</v>
      </c>
      <c r="AB2481" s="4">
        <v>3</v>
      </c>
      <c r="AC2481" s="4">
        <v>6</v>
      </c>
      <c r="AD2481" s="4">
        <v>53</v>
      </c>
      <c r="AE2481" s="4">
        <v>57</v>
      </c>
      <c r="AF2481" s="4">
        <v>1</v>
      </c>
      <c r="AG2481" s="4">
        <v>4</v>
      </c>
      <c r="AH2481" s="4">
        <v>30</v>
      </c>
      <c r="AI2481" s="4">
        <v>31</v>
      </c>
      <c r="AJ2481" s="4">
        <v>21</v>
      </c>
      <c r="AK2481" s="4">
        <v>24</v>
      </c>
      <c r="AL2481" s="4">
        <v>15</v>
      </c>
      <c r="AM2481" s="4">
        <v>15</v>
      </c>
      <c r="AN2481" s="4">
        <v>0</v>
      </c>
      <c r="AO2481" s="4">
        <v>0</v>
      </c>
      <c r="AP2481" s="4">
        <v>33</v>
      </c>
      <c r="AQ2481" s="4">
        <v>36</v>
      </c>
      <c r="AR2481" s="3" t="s">
        <v>61</v>
      </c>
      <c r="AS2481" s="3" t="s">
        <v>62</v>
      </c>
      <c r="AT2481" s="3" t="s">
        <v>62</v>
      </c>
      <c r="AV2481" s="6" t="str">
        <f>HYPERLINK("http://mcgill.on.worldcat.org/oclc/30920497","Catalog Record")</f>
        <v>Catalog Record</v>
      </c>
      <c r="AW2481" s="6" t="str">
        <f>HYPERLINK("http://www.worldcat.org/oclc/30920497","WorldCat Record")</f>
        <v>WorldCat Record</v>
      </c>
      <c r="AX2481" s="3" t="s">
        <v>24333</v>
      </c>
      <c r="AY2481" s="3" t="s">
        <v>24334</v>
      </c>
      <c r="AZ2481" s="3" t="s">
        <v>24335</v>
      </c>
      <c r="BA2481" s="3" t="s">
        <v>24335</v>
      </c>
      <c r="BB2481" s="3" t="s">
        <v>24336</v>
      </c>
      <c r="BC2481" s="3" t="s">
        <v>142</v>
      </c>
      <c r="BD2481" s="3" t="s">
        <v>68</v>
      </c>
      <c r="BE2481" s="3" t="s">
        <v>24337</v>
      </c>
      <c r="BF2481" s="3" t="s">
        <v>24336</v>
      </c>
      <c r="BG2481" s="3" t="s">
        <v>24338</v>
      </c>
    </row>
    <row r="2482" spans="1:59" ht="57" x14ac:dyDescent="0.45">
      <c r="A2482" s="2" t="s">
        <v>59</v>
      </c>
      <c r="B2482" s="2" t="s">
        <v>60</v>
      </c>
      <c r="C2482" s="2" t="s">
        <v>24339</v>
      </c>
      <c r="D2482" s="2" t="s">
        <v>24340</v>
      </c>
      <c r="E2482" s="2" t="s">
        <v>24341</v>
      </c>
      <c r="G2482" s="3" t="s">
        <v>62</v>
      </c>
      <c r="I2482" s="3" t="s">
        <v>62</v>
      </c>
      <c r="J2482" s="3" t="s">
        <v>62</v>
      </c>
      <c r="K2482" s="3" t="s">
        <v>63</v>
      </c>
      <c r="M2482" s="2" t="s">
        <v>11718</v>
      </c>
      <c r="N2482" s="3" t="s">
        <v>1212</v>
      </c>
      <c r="P2482" s="3" t="s">
        <v>65</v>
      </c>
      <c r="Q2482" s="2" t="s">
        <v>12823</v>
      </c>
      <c r="R2482" s="3" t="s">
        <v>66</v>
      </c>
      <c r="S2482" s="4">
        <v>24</v>
      </c>
      <c r="T2482" s="4">
        <v>24</v>
      </c>
      <c r="U2482" s="5" t="s">
        <v>24342</v>
      </c>
      <c r="V2482" s="5" t="s">
        <v>24342</v>
      </c>
      <c r="W2482" s="5" t="s">
        <v>67</v>
      </c>
      <c r="X2482" s="5" t="s">
        <v>67</v>
      </c>
      <c r="Y2482" s="4">
        <v>452</v>
      </c>
      <c r="Z2482" s="4">
        <v>27</v>
      </c>
      <c r="AA2482" s="4">
        <v>100</v>
      </c>
      <c r="AB2482" s="4">
        <v>2</v>
      </c>
      <c r="AC2482" s="4">
        <v>19</v>
      </c>
      <c r="AD2482" s="4">
        <v>110</v>
      </c>
      <c r="AE2482" s="4">
        <v>154</v>
      </c>
      <c r="AF2482" s="4">
        <v>1</v>
      </c>
      <c r="AG2482" s="4">
        <v>9</v>
      </c>
      <c r="AH2482" s="4">
        <v>98</v>
      </c>
      <c r="AI2482" s="4">
        <v>106</v>
      </c>
      <c r="AJ2482" s="4">
        <v>17</v>
      </c>
      <c r="AK2482" s="4">
        <v>28</v>
      </c>
      <c r="AL2482" s="4">
        <v>53</v>
      </c>
      <c r="AM2482" s="4">
        <v>55</v>
      </c>
      <c r="AN2482" s="4">
        <v>0</v>
      </c>
      <c r="AO2482" s="4">
        <v>0</v>
      </c>
      <c r="AP2482" s="4">
        <v>21</v>
      </c>
      <c r="AQ2482" s="4">
        <v>58</v>
      </c>
      <c r="AR2482" s="3" t="s">
        <v>62</v>
      </c>
      <c r="AS2482" s="3" t="s">
        <v>62</v>
      </c>
      <c r="AT2482" s="3" t="s">
        <v>62</v>
      </c>
      <c r="AV2482" s="6" t="str">
        <f>HYPERLINK("http://mcgill.on.worldcat.org/oclc/50664882","Catalog Record")</f>
        <v>Catalog Record</v>
      </c>
      <c r="AW2482" s="6" t="str">
        <f>HYPERLINK("http://www.worldcat.org/oclc/50664882","WorldCat Record")</f>
        <v>WorldCat Record</v>
      </c>
      <c r="AX2482" s="3" t="s">
        <v>24343</v>
      </c>
      <c r="AY2482" s="3" t="s">
        <v>24344</v>
      </c>
      <c r="AZ2482" s="3" t="s">
        <v>24345</v>
      </c>
      <c r="BA2482" s="3" t="s">
        <v>24345</v>
      </c>
      <c r="BB2482" s="3" t="s">
        <v>24346</v>
      </c>
      <c r="BC2482" s="3" t="s">
        <v>142</v>
      </c>
      <c r="BD2482" s="3" t="s">
        <v>68</v>
      </c>
      <c r="BE2482" s="3" t="s">
        <v>24347</v>
      </c>
      <c r="BF2482" s="3" t="s">
        <v>24346</v>
      </c>
      <c r="BG2482" s="3" t="s">
        <v>24348</v>
      </c>
    </row>
    <row r="2483" spans="1:59" ht="114" x14ac:dyDescent="0.45">
      <c r="A2483" s="2" t="s">
        <v>59</v>
      </c>
      <c r="B2483" s="2" t="s">
        <v>690</v>
      </c>
      <c r="C2483" s="2" t="s">
        <v>24349</v>
      </c>
      <c r="D2483" s="2" t="s">
        <v>24350</v>
      </c>
      <c r="E2483" s="2" t="s">
        <v>24351</v>
      </c>
      <c r="G2483" s="3" t="s">
        <v>62</v>
      </c>
      <c r="I2483" s="3" t="s">
        <v>62</v>
      </c>
      <c r="J2483" s="3" t="s">
        <v>62</v>
      </c>
      <c r="K2483" s="3" t="s">
        <v>63</v>
      </c>
      <c r="L2483" s="2" t="s">
        <v>24352</v>
      </c>
      <c r="M2483" s="2" t="s">
        <v>24353</v>
      </c>
      <c r="N2483" s="3" t="s">
        <v>181</v>
      </c>
      <c r="P2483" s="3" t="s">
        <v>697</v>
      </c>
      <c r="Q2483" s="2" t="s">
        <v>24354</v>
      </c>
      <c r="R2483" s="3" t="s">
        <v>66</v>
      </c>
      <c r="S2483" s="4">
        <v>0</v>
      </c>
      <c r="T2483" s="4">
        <v>0</v>
      </c>
      <c r="W2483" s="5" t="s">
        <v>67</v>
      </c>
      <c r="X2483" s="5" t="s">
        <v>67</v>
      </c>
      <c r="Y2483" s="4">
        <v>1</v>
      </c>
      <c r="Z2483" s="4">
        <v>1</v>
      </c>
      <c r="AA2483" s="4">
        <v>1</v>
      </c>
      <c r="AB2483" s="4">
        <v>1</v>
      </c>
      <c r="AC2483" s="4">
        <v>1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3" t="s">
        <v>61</v>
      </c>
      <c r="AS2483" s="3" t="s">
        <v>62</v>
      </c>
      <c r="AT2483" s="3" t="s">
        <v>62</v>
      </c>
      <c r="AV2483" s="6" t="str">
        <f>HYPERLINK("http://mcgill.on.worldcat.org/oclc/1083096721","Catalog Record")</f>
        <v>Catalog Record</v>
      </c>
      <c r="AW2483" s="6" t="str">
        <f>HYPERLINK("http://www.worldcat.org/oclc/1083096721","WorldCat Record")</f>
        <v>WorldCat Record</v>
      </c>
      <c r="AX2483" s="3" t="s">
        <v>24355</v>
      </c>
      <c r="AY2483" s="3" t="s">
        <v>24356</v>
      </c>
      <c r="AZ2483" s="3" t="s">
        <v>24357</v>
      </c>
      <c r="BA2483" s="3" t="s">
        <v>24357</v>
      </c>
      <c r="BB2483" s="3" t="s">
        <v>24358</v>
      </c>
      <c r="BC2483" s="3" t="s">
        <v>142</v>
      </c>
      <c r="BD2483" s="3" t="s">
        <v>68</v>
      </c>
      <c r="BE2483" s="3" t="s">
        <v>24359</v>
      </c>
      <c r="BF2483" s="3" t="s">
        <v>24358</v>
      </c>
      <c r="BG2483" s="3" t="s">
        <v>24360</v>
      </c>
    </row>
    <row r="2484" spans="1:59" ht="57" x14ac:dyDescent="0.45">
      <c r="A2484" s="2" t="s">
        <v>59</v>
      </c>
      <c r="B2484" s="2" t="s">
        <v>60</v>
      </c>
      <c r="C2484" s="2" t="s">
        <v>24361</v>
      </c>
      <c r="D2484" s="2" t="s">
        <v>24362</v>
      </c>
      <c r="E2484" s="2" t="s">
        <v>24363</v>
      </c>
      <c r="G2484" s="3" t="s">
        <v>62</v>
      </c>
      <c r="I2484" s="3" t="s">
        <v>62</v>
      </c>
      <c r="J2484" s="3" t="s">
        <v>62</v>
      </c>
      <c r="K2484" s="3" t="s">
        <v>63</v>
      </c>
      <c r="L2484" s="2" t="s">
        <v>24364</v>
      </c>
      <c r="M2484" s="2" t="s">
        <v>3567</v>
      </c>
      <c r="N2484" s="3" t="s">
        <v>894</v>
      </c>
      <c r="P2484" s="3" t="s">
        <v>65</v>
      </c>
      <c r="R2484" s="3" t="s">
        <v>66</v>
      </c>
      <c r="S2484" s="4">
        <v>1</v>
      </c>
      <c r="T2484" s="4">
        <v>1</v>
      </c>
      <c r="U2484" s="5" t="s">
        <v>24365</v>
      </c>
      <c r="V2484" s="5" t="s">
        <v>24365</v>
      </c>
      <c r="W2484" s="5" t="s">
        <v>67</v>
      </c>
      <c r="X2484" s="5" t="s">
        <v>67</v>
      </c>
      <c r="Y2484" s="4">
        <v>69</v>
      </c>
      <c r="Z2484" s="4">
        <v>10</v>
      </c>
      <c r="AA2484" s="4">
        <v>50</v>
      </c>
      <c r="AB2484" s="4">
        <v>1</v>
      </c>
      <c r="AC2484" s="4">
        <v>8</v>
      </c>
      <c r="AD2484" s="4">
        <v>21</v>
      </c>
      <c r="AE2484" s="4">
        <v>37</v>
      </c>
      <c r="AF2484" s="4">
        <v>0</v>
      </c>
      <c r="AG2484" s="4">
        <v>2</v>
      </c>
      <c r="AH2484" s="4">
        <v>19</v>
      </c>
      <c r="AI2484" s="4">
        <v>25</v>
      </c>
      <c r="AJ2484" s="4">
        <v>7</v>
      </c>
      <c r="AK2484" s="4">
        <v>10</v>
      </c>
      <c r="AL2484" s="4">
        <v>10</v>
      </c>
      <c r="AM2484" s="4">
        <v>15</v>
      </c>
      <c r="AN2484" s="4">
        <v>0</v>
      </c>
      <c r="AO2484" s="4">
        <v>0</v>
      </c>
      <c r="AP2484" s="4">
        <v>8</v>
      </c>
      <c r="AQ2484" s="4">
        <v>17</v>
      </c>
      <c r="AR2484" s="3" t="s">
        <v>62</v>
      </c>
      <c r="AS2484" s="3" t="s">
        <v>62</v>
      </c>
      <c r="AT2484" s="3" t="s">
        <v>62</v>
      </c>
      <c r="AV2484" s="6" t="str">
        <f>HYPERLINK("http://mcgill.on.worldcat.org/oclc/690539577","Catalog Record")</f>
        <v>Catalog Record</v>
      </c>
      <c r="AW2484" s="6" t="str">
        <f>HYPERLINK("http://www.worldcat.org/oclc/690539577","WorldCat Record")</f>
        <v>WorldCat Record</v>
      </c>
      <c r="AX2484" s="3" t="s">
        <v>24366</v>
      </c>
      <c r="AY2484" s="3" t="s">
        <v>24367</v>
      </c>
      <c r="AZ2484" s="3" t="s">
        <v>24368</v>
      </c>
      <c r="BA2484" s="3" t="s">
        <v>24368</v>
      </c>
      <c r="BB2484" s="3" t="s">
        <v>24369</v>
      </c>
      <c r="BC2484" s="3" t="s">
        <v>142</v>
      </c>
      <c r="BD2484" s="3" t="s">
        <v>68</v>
      </c>
      <c r="BE2484" s="3" t="s">
        <v>24370</v>
      </c>
      <c r="BF2484" s="3" t="s">
        <v>24369</v>
      </c>
      <c r="BG2484" s="3" t="s">
        <v>24371</v>
      </c>
    </row>
    <row r="2485" spans="1:59" ht="57" x14ac:dyDescent="0.45">
      <c r="A2485" s="2" t="s">
        <v>59</v>
      </c>
      <c r="B2485" s="2" t="s">
        <v>60</v>
      </c>
      <c r="C2485" s="2" t="s">
        <v>24372</v>
      </c>
      <c r="D2485" s="2" t="s">
        <v>24373</v>
      </c>
      <c r="E2485" s="2" t="s">
        <v>24374</v>
      </c>
      <c r="G2485" s="3" t="s">
        <v>62</v>
      </c>
      <c r="I2485" s="3" t="s">
        <v>61</v>
      </c>
      <c r="J2485" s="3" t="s">
        <v>62</v>
      </c>
      <c r="K2485" s="3" t="s">
        <v>63</v>
      </c>
      <c r="M2485" s="2" t="s">
        <v>24375</v>
      </c>
      <c r="N2485" s="3" t="s">
        <v>625</v>
      </c>
      <c r="P2485" s="3" t="s">
        <v>65</v>
      </c>
      <c r="Q2485" s="2" t="s">
        <v>24376</v>
      </c>
      <c r="R2485" s="3" t="s">
        <v>66</v>
      </c>
      <c r="S2485" s="4">
        <v>14</v>
      </c>
      <c r="T2485" s="4">
        <v>37</v>
      </c>
      <c r="U2485" s="5" t="s">
        <v>20929</v>
      </c>
      <c r="V2485" s="5" t="s">
        <v>24377</v>
      </c>
      <c r="W2485" s="5" t="s">
        <v>67</v>
      </c>
      <c r="X2485" s="5" t="s">
        <v>67</v>
      </c>
      <c r="Y2485" s="4">
        <v>833</v>
      </c>
      <c r="Z2485" s="4">
        <v>51</v>
      </c>
      <c r="AA2485" s="4">
        <v>116</v>
      </c>
      <c r="AB2485" s="4">
        <v>4</v>
      </c>
      <c r="AC2485" s="4">
        <v>18</v>
      </c>
      <c r="AD2485" s="4">
        <v>135</v>
      </c>
      <c r="AE2485" s="4">
        <v>156</v>
      </c>
      <c r="AF2485" s="4">
        <v>2</v>
      </c>
      <c r="AG2485" s="4">
        <v>8</v>
      </c>
      <c r="AH2485" s="4">
        <v>107</v>
      </c>
      <c r="AI2485" s="4">
        <v>112</v>
      </c>
      <c r="AJ2485" s="4">
        <v>20</v>
      </c>
      <c r="AK2485" s="4">
        <v>26</v>
      </c>
      <c r="AL2485" s="4">
        <v>58</v>
      </c>
      <c r="AM2485" s="4">
        <v>60</v>
      </c>
      <c r="AN2485" s="4">
        <v>0</v>
      </c>
      <c r="AO2485" s="4">
        <v>0</v>
      </c>
      <c r="AP2485" s="4">
        <v>36</v>
      </c>
      <c r="AQ2485" s="4">
        <v>52</v>
      </c>
      <c r="AR2485" s="3" t="s">
        <v>62</v>
      </c>
      <c r="AS2485" s="3" t="s">
        <v>62</v>
      </c>
      <c r="AT2485" s="3" t="s">
        <v>61</v>
      </c>
      <c r="AU2485" s="6" t="str">
        <f>HYPERLINK("http://catalog.hathitrust.org/Record/000595267","HathiTrust Record")</f>
        <v>HathiTrust Record</v>
      </c>
      <c r="AV2485" s="6" t="str">
        <f>HYPERLINK("http://mcgill.on.worldcat.org/oclc/13269816","Catalog Record")</f>
        <v>Catalog Record</v>
      </c>
      <c r="AW2485" s="6" t="str">
        <f>HYPERLINK("http://www.worldcat.org/oclc/13269816","WorldCat Record")</f>
        <v>WorldCat Record</v>
      </c>
      <c r="AX2485" s="3" t="s">
        <v>24378</v>
      </c>
      <c r="AY2485" s="3" t="s">
        <v>24379</v>
      </c>
      <c r="AZ2485" s="3" t="s">
        <v>24380</v>
      </c>
      <c r="BA2485" s="3" t="s">
        <v>24380</v>
      </c>
      <c r="BB2485" s="3" t="s">
        <v>24381</v>
      </c>
      <c r="BC2485" s="3" t="s">
        <v>142</v>
      </c>
      <c r="BD2485" s="3" t="s">
        <v>308</v>
      </c>
      <c r="BE2485" s="3" t="s">
        <v>24382</v>
      </c>
      <c r="BF2485" s="3" t="s">
        <v>24381</v>
      </c>
      <c r="BG2485" s="3" t="s">
        <v>24383</v>
      </c>
    </row>
    <row r="2486" spans="1:59" ht="57" x14ac:dyDescent="0.45">
      <c r="A2486" s="2" t="s">
        <v>59</v>
      </c>
      <c r="B2486" s="2" t="s">
        <v>60</v>
      </c>
      <c r="C2486" s="2" t="s">
        <v>24372</v>
      </c>
      <c r="D2486" s="2" t="s">
        <v>24373</v>
      </c>
      <c r="E2486" s="2" t="s">
        <v>24374</v>
      </c>
      <c r="G2486" s="3" t="s">
        <v>62</v>
      </c>
      <c r="I2486" s="3" t="s">
        <v>61</v>
      </c>
      <c r="J2486" s="3" t="s">
        <v>62</v>
      </c>
      <c r="K2486" s="3" t="s">
        <v>63</v>
      </c>
      <c r="M2486" s="2" t="s">
        <v>24375</v>
      </c>
      <c r="N2486" s="3" t="s">
        <v>625</v>
      </c>
      <c r="P2486" s="3" t="s">
        <v>65</v>
      </c>
      <c r="Q2486" s="2" t="s">
        <v>24376</v>
      </c>
      <c r="R2486" s="3" t="s">
        <v>66</v>
      </c>
      <c r="S2486" s="4">
        <v>23</v>
      </c>
      <c r="T2486" s="4">
        <v>37</v>
      </c>
      <c r="U2486" s="5" t="s">
        <v>24377</v>
      </c>
      <c r="V2486" s="5" t="s">
        <v>24377</v>
      </c>
      <c r="W2486" s="5" t="s">
        <v>67</v>
      </c>
      <c r="X2486" s="5" t="s">
        <v>67</v>
      </c>
      <c r="Y2486" s="4">
        <v>833</v>
      </c>
      <c r="Z2486" s="4">
        <v>51</v>
      </c>
      <c r="AA2486" s="4">
        <v>116</v>
      </c>
      <c r="AB2486" s="4">
        <v>4</v>
      </c>
      <c r="AC2486" s="4">
        <v>18</v>
      </c>
      <c r="AD2486" s="4">
        <v>135</v>
      </c>
      <c r="AE2486" s="4">
        <v>156</v>
      </c>
      <c r="AF2486" s="4">
        <v>2</v>
      </c>
      <c r="AG2486" s="4">
        <v>8</v>
      </c>
      <c r="AH2486" s="4">
        <v>107</v>
      </c>
      <c r="AI2486" s="4">
        <v>112</v>
      </c>
      <c r="AJ2486" s="4">
        <v>20</v>
      </c>
      <c r="AK2486" s="4">
        <v>26</v>
      </c>
      <c r="AL2486" s="4">
        <v>58</v>
      </c>
      <c r="AM2486" s="4">
        <v>60</v>
      </c>
      <c r="AN2486" s="4">
        <v>0</v>
      </c>
      <c r="AO2486" s="4">
        <v>0</v>
      </c>
      <c r="AP2486" s="4">
        <v>36</v>
      </c>
      <c r="AQ2486" s="4">
        <v>52</v>
      </c>
      <c r="AR2486" s="3" t="s">
        <v>62</v>
      </c>
      <c r="AS2486" s="3" t="s">
        <v>62</v>
      </c>
      <c r="AT2486" s="3" t="s">
        <v>61</v>
      </c>
      <c r="AU2486" s="6" t="str">
        <f>HYPERLINK("http://catalog.hathitrust.org/Record/000595267","HathiTrust Record")</f>
        <v>HathiTrust Record</v>
      </c>
      <c r="AV2486" s="6" t="str">
        <f>HYPERLINK("http://mcgill.on.worldcat.org/oclc/13269816","Catalog Record")</f>
        <v>Catalog Record</v>
      </c>
      <c r="AW2486" s="6" t="str">
        <f>HYPERLINK("http://www.worldcat.org/oclc/13269816","WorldCat Record")</f>
        <v>WorldCat Record</v>
      </c>
      <c r="AX2486" s="3" t="s">
        <v>24378</v>
      </c>
      <c r="AY2486" s="3" t="s">
        <v>24379</v>
      </c>
      <c r="AZ2486" s="3" t="s">
        <v>24380</v>
      </c>
      <c r="BA2486" s="3" t="s">
        <v>24380</v>
      </c>
      <c r="BB2486" s="3" t="s">
        <v>24384</v>
      </c>
      <c r="BC2486" s="3" t="s">
        <v>142</v>
      </c>
      <c r="BD2486" s="3" t="s">
        <v>68</v>
      </c>
      <c r="BE2486" s="3" t="s">
        <v>24382</v>
      </c>
      <c r="BF2486" s="3" t="s">
        <v>24384</v>
      </c>
      <c r="BG2486" s="3" t="s">
        <v>24385</v>
      </c>
    </row>
    <row r="2487" spans="1:59" ht="71.25" x14ac:dyDescent="0.45">
      <c r="A2487" s="2" t="s">
        <v>59</v>
      </c>
      <c r="B2487" s="2" t="s">
        <v>60</v>
      </c>
      <c r="C2487" s="2" t="s">
        <v>24386</v>
      </c>
      <c r="D2487" s="2" t="s">
        <v>24387</v>
      </c>
      <c r="E2487" s="2" t="s">
        <v>24388</v>
      </c>
      <c r="G2487" s="3" t="s">
        <v>62</v>
      </c>
      <c r="I2487" s="3" t="s">
        <v>62</v>
      </c>
      <c r="J2487" s="3" t="s">
        <v>62</v>
      </c>
      <c r="K2487" s="3" t="s">
        <v>63</v>
      </c>
      <c r="L2487" s="2" t="s">
        <v>24389</v>
      </c>
      <c r="M2487" s="2" t="s">
        <v>24390</v>
      </c>
      <c r="N2487" s="3" t="s">
        <v>125</v>
      </c>
      <c r="P2487" s="3" t="s">
        <v>65</v>
      </c>
      <c r="R2487" s="3" t="s">
        <v>66</v>
      </c>
      <c r="S2487" s="4">
        <v>18</v>
      </c>
      <c r="T2487" s="4">
        <v>18</v>
      </c>
      <c r="U2487" s="5" t="s">
        <v>2801</v>
      </c>
      <c r="V2487" s="5" t="s">
        <v>2801</v>
      </c>
      <c r="W2487" s="5" t="s">
        <v>67</v>
      </c>
      <c r="X2487" s="5" t="s">
        <v>67</v>
      </c>
      <c r="Y2487" s="4">
        <v>43</v>
      </c>
      <c r="Z2487" s="4">
        <v>37</v>
      </c>
      <c r="AA2487" s="4">
        <v>41</v>
      </c>
      <c r="AB2487" s="4">
        <v>3</v>
      </c>
      <c r="AC2487" s="4">
        <v>6</v>
      </c>
      <c r="AD2487" s="4">
        <v>30</v>
      </c>
      <c r="AE2487" s="4">
        <v>33</v>
      </c>
      <c r="AF2487" s="4">
        <v>2</v>
      </c>
      <c r="AG2487" s="4">
        <v>5</v>
      </c>
      <c r="AH2487" s="4">
        <v>14</v>
      </c>
      <c r="AI2487" s="4">
        <v>15</v>
      </c>
      <c r="AJ2487" s="4">
        <v>19</v>
      </c>
      <c r="AK2487" s="4">
        <v>22</v>
      </c>
      <c r="AL2487" s="4">
        <v>2</v>
      </c>
      <c r="AM2487" s="4">
        <v>2</v>
      </c>
      <c r="AN2487" s="4">
        <v>0</v>
      </c>
      <c r="AO2487" s="4">
        <v>0</v>
      </c>
      <c r="AP2487" s="4">
        <v>28</v>
      </c>
      <c r="AQ2487" s="4">
        <v>31</v>
      </c>
      <c r="AR2487" s="3" t="s">
        <v>61</v>
      </c>
      <c r="AS2487" s="3" t="s">
        <v>62</v>
      </c>
      <c r="AT2487" s="3" t="s">
        <v>62</v>
      </c>
      <c r="AV2487" s="6" t="str">
        <f>HYPERLINK("http://mcgill.on.worldcat.org/oclc/22118700","Catalog Record")</f>
        <v>Catalog Record</v>
      </c>
      <c r="AW2487" s="6" t="str">
        <f>HYPERLINK("http://www.worldcat.org/oclc/22118700","WorldCat Record")</f>
        <v>WorldCat Record</v>
      </c>
      <c r="AX2487" s="3" t="s">
        <v>24391</v>
      </c>
      <c r="AY2487" s="3" t="s">
        <v>24392</v>
      </c>
      <c r="AZ2487" s="3" t="s">
        <v>24393</v>
      </c>
      <c r="BA2487" s="3" t="s">
        <v>24393</v>
      </c>
      <c r="BB2487" s="3" t="s">
        <v>24394</v>
      </c>
      <c r="BC2487" s="3" t="s">
        <v>142</v>
      </c>
      <c r="BD2487" s="3" t="s">
        <v>68</v>
      </c>
      <c r="BE2487" s="3" t="s">
        <v>24395</v>
      </c>
      <c r="BF2487" s="3" t="s">
        <v>24394</v>
      </c>
      <c r="BG2487" s="3" t="s">
        <v>24396</v>
      </c>
    </row>
    <row r="2488" spans="1:59" ht="57" x14ac:dyDescent="0.45">
      <c r="A2488" s="2" t="s">
        <v>59</v>
      </c>
      <c r="B2488" s="2" t="s">
        <v>60</v>
      </c>
      <c r="C2488" s="2" t="s">
        <v>24397</v>
      </c>
      <c r="D2488" s="2" t="s">
        <v>24398</v>
      </c>
      <c r="E2488" s="2" t="s">
        <v>24399</v>
      </c>
      <c r="G2488" s="3" t="s">
        <v>62</v>
      </c>
      <c r="I2488" s="3" t="s">
        <v>62</v>
      </c>
      <c r="J2488" s="3" t="s">
        <v>61</v>
      </c>
      <c r="K2488" s="3" t="s">
        <v>63</v>
      </c>
      <c r="M2488" s="2" t="s">
        <v>24400</v>
      </c>
      <c r="N2488" s="3" t="s">
        <v>918</v>
      </c>
      <c r="O2488" s="2" t="s">
        <v>933</v>
      </c>
      <c r="P2488" s="3" t="s">
        <v>65</v>
      </c>
      <c r="Q2488" s="2" t="s">
        <v>24401</v>
      </c>
      <c r="R2488" s="3" t="s">
        <v>66</v>
      </c>
      <c r="S2488" s="4">
        <v>16</v>
      </c>
      <c r="T2488" s="4">
        <v>16</v>
      </c>
      <c r="U2488" s="5" t="s">
        <v>5147</v>
      </c>
      <c r="V2488" s="5" t="s">
        <v>5147</v>
      </c>
      <c r="W2488" s="5" t="s">
        <v>67</v>
      </c>
      <c r="X2488" s="5" t="s">
        <v>67</v>
      </c>
      <c r="Y2488" s="4">
        <v>234</v>
      </c>
      <c r="Z2488" s="4">
        <v>22</v>
      </c>
      <c r="AA2488" s="4">
        <v>31</v>
      </c>
      <c r="AB2488" s="4">
        <v>1</v>
      </c>
      <c r="AC2488" s="4">
        <v>5</v>
      </c>
      <c r="AD2488" s="4">
        <v>82</v>
      </c>
      <c r="AE2488" s="4">
        <v>116</v>
      </c>
      <c r="AF2488" s="4">
        <v>0</v>
      </c>
      <c r="AG2488" s="4">
        <v>4</v>
      </c>
      <c r="AH2488" s="4">
        <v>71</v>
      </c>
      <c r="AI2488" s="4">
        <v>98</v>
      </c>
      <c r="AJ2488" s="4">
        <v>14</v>
      </c>
      <c r="AK2488" s="4">
        <v>20</v>
      </c>
      <c r="AL2488" s="4">
        <v>37</v>
      </c>
      <c r="AM2488" s="4">
        <v>49</v>
      </c>
      <c r="AN2488" s="4">
        <v>0</v>
      </c>
      <c r="AO2488" s="4">
        <v>0</v>
      </c>
      <c r="AP2488" s="4">
        <v>18</v>
      </c>
      <c r="AQ2488" s="4">
        <v>25</v>
      </c>
      <c r="AR2488" s="3" t="s">
        <v>62</v>
      </c>
      <c r="AS2488" s="3" t="s">
        <v>62</v>
      </c>
      <c r="AT2488" s="3" t="s">
        <v>61</v>
      </c>
      <c r="AU2488" s="6" t="str">
        <f>HYPERLINK("http://catalog.hathitrust.org/Record/007142611","HathiTrust Record")</f>
        <v>HathiTrust Record</v>
      </c>
      <c r="AV2488" s="6" t="str">
        <f>HYPERLINK("http://mcgill.on.worldcat.org/oclc/49977262","Catalog Record")</f>
        <v>Catalog Record</v>
      </c>
      <c r="AW2488" s="6" t="str">
        <f>HYPERLINK("http://www.worldcat.org/oclc/49977262","WorldCat Record")</f>
        <v>WorldCat Record</v>
      </c>
      <c r="AX2488" s="3" t="s">
        <v>24402</v>
      </c>
      <c r="AY2488" s="3" t="s">
        <v>24403</v>
      </c>
      <c r="AZ2488" s="3" t="s">
        <v>24404</v>
      </c>
      <c r="BA2488" s="3" t="s">
        <v>24404</v>
      </c>
      <c r="BB2488" s="3" t="s">
        <v>24405</v>
      </c>
      <c r="BC2488" s="3" t="s">
        <v>142</v>
      </c>
      <c r="BD2488" s="3" t="s">
        <v>68</v>
      </c>
      <c r="BE2488" s="3" t="s">
        <v>24406</v>
      </c>
      <c r="BF2488" s="3" t="s">
        <v>24405</v>
      </c>
      <c r="BG2488" s="3" t="s">
        <v>24407</v>
      </c>
    </row>
    <row r="2489" spans="1:59" ht="71.25" x14ac:dyDescent="0.45">
      <c r="A2489" s="2" t="s">
        <v>59</v>
      </c>
      <c r="B2489" s="2" t="s">
        <v>60</v>
      </c>
      <c r="C2489" s="2" t="s">
        <v>24408</v>
      </c>
      <c r="D2489" s="2" t="s">
        <v>24409</v>
      </c>
      <c r="E2489" s="2" t="s">
        <v>24410</v>
      </c>
      <c r="G2489" s="3" t="s">
        <v>62</v>
      </c>
      <c r="I2489" s="3" t="s">
        <v>62</v>
      </c>
      <c r="J2489" s="3" t="s">
        <v>62</v>
      </c>
      <c r="K2489" s="3" t="s">
        <v>63</v>
      </c>
      <c r="M2489" s="2" t="s">
        <v>5214</v>
      </c>
      <c r="N2489" s="3" t="s">
        <v>945</v>
      </c>
      <c r="P2489" s="3" t="s">
        <v>65</v>
      </c>
      <c r="R2489" s="3" t="s">
        <v>66</v>
      </c>
      <c r="S2489" s="4">
        <v>7</v>
      </c>
      <c r="T2489" s="4">
        <v>7</v>
      </c>
      <c r="U2489" s="5" t="s">
        <v>22961</v>
      </c>
      <c r="V2489" s="5" t="s">
        <v>22961</v>
      </c>
      <c r="W2489" s="5" t="s">
        <v>67</v>
      </c>
      <c r="X2489" s="5" t="s">
        <v>67</v>
      </c>
      <c r="Y2489" s="4">
        <v>363</v>
      </c>
      <c r="Z2489" s="4">
        <v>32</v>
      </c>
      <c r="AA2489" s="4">
        <v>38</v>
      </c>
      <c r="AB2489" s="4">
        <v>2</v>
      </c>
      <c r="AC2489" s="4">
        <v>7</v>
      </c>
      <c r="AD2489" s="4">
        <v>112</v>
      </c>
      <c r="AE2489" s="4">
        <v>116</v>
      </c>
      <c r="AF2489" s="4">
        <v>1</v>
      </c>
      <c r="AG2489" s="4">
        <v>3</v>
      </c>
      <c r="AH2489" s="4">
        <v>97</v>
      </c>
      <c r="AI2489" s="4">
        <v>99</v>
      </c>
      <c r="AJ2489" s="4">
        <v>20</v>
      </c>
      <c r="AK2489" s="4">
        <v>21</v>
      </c>
      <c r="AL2489" s="4">
        <v>49</v>
      </c>
      <c r="AM2489" s="4">
        <v>50</v>
      </c>
      <c r="AN2489" s="4">
        <v>0</v>
      </c>
      <c r="AO2489" s="4">
        <v>0</v>
      </c>
      <c r="AP2489" s="4">
        <v>24</v>
      </c>
      <c r="AQ2489" s="4">
        <v>27</v>
      </c>
      <c r="AR2489" s="3" t="s">
        <v>62</v>
      </c>
      <c r="AS2489" s="3" t="s">
        <v>62</v>
      </c>
      <c r="AT2489" s="3" t="s">
        <v>61</v>
      </c>
      <c r="AU2489" s="6" t="str">
        <f>HYPERLINK("http://catalog.hathitrust.org/Record/005562075","HathiTrust Record")</f>
        <v>HathiTrust Record</v>
      </c>
      <c r="AV2489" s="6" t="str">
        <f>HYPERLINK("http://mcgill.on.worldcat.org/oclc/67405669","Catalog Record")</f>
        <v>Catalog Record</v>
      </c>
      <c r="AW2489" s="6" t="str">
        <f>HYPERLINK("http://www.worldcat.org/oclc/67405669","WorldCat Record")</f>
        <v>WorldCat Record</v>
      </c>
      <c r="AX2489" s="3" t="s">
        <v>24411</v>
      </c>
      <c r="AY2489" s="3" t="s">
        <v>24412</v>
      </c>
      <c r="AZ2489" s="3" t="s">
        <v>24413</v>
      </c>
      <c r="BA2489" s="3" t="s">
        <v>24413</v>
      </c>
      <c r="BB2489" s="3" t="s">
        <v>24414</v>
      </c>
      <c r="BC2489" s="3" t="s">
        <v>142</v>
      </c>
      <c r="BD2489" s="3" t="s">
        <v>68</v>
      </c>
      <c r="BE2489" s="3" t="s">
        <v>24415</v>
      </c>
      <c r="BF2489" s="3" t="s">
        <v>24414</v>
      </c>
      <c r="BG2489" s="3" t="s">
        <v>24416</v>
      </c>
    </row>
    <row r="2490" spans="1:59" ht="71.25" x14ac:dyDescent="0.45">
      <c r="A2490" s="2" t="s">
        <v>59</v>
      </c>
      <c r="B2490" s="2" t="s">
        <v>60</v>
      </c>
      <c r="C2490" s="2" t="s">
        <v>24417</v>
      </c>
      <c r="D2490" s="2" t="s">
        <v>24418</v>
      </c>
      <c r="E2490" s="2" t="s">
        <v>24419</v>
      </c>
      <c r="G2490" s="3" t="s">
        <v>62</v>
      </c>
      <c r="I2490" s="3" t="s">
        <v>62</v>
      </c>
      <c r="J2490" s="3" t="s">
        <v>62</v>
      </c>
      <c r="K2490" s="3" t="s">
        <v>63</v>
      </c>
      <c r="M2490" s="2" t="s">
        <v>24420</v>
      </c>
      <c r="N2490" s="3" t="s">
        <v>1212</v>
      </c>
      <c r="P2490" s="3" t="s">
        <v>65</v>
      </c>
      <c r="R2490" s="3" t="s">
        <v>66</v>
      </c>
      <c r="S2490" s="4">
        <v>12</v>
      </c>
      <c r="T2490" s="4">
        <v>12</v>
      </c>
      <c r="U2490" s="5" t="s">
        <v>16573</v>
      </c>
      <c r="V2490" s="5" t="s">
        <v>16573</v>
      </c>
      <c r="W2490" s="5" t="s">
        <v>67</v>
      </c>
      <c r="X2490" s="5" t="s">
        <v>67</v>
      </c>
      <c r="Y2490" s="4">
        <v>144</v>
      </c>
      <c r="Z2490" s="4">
        <v>7</v>
      </c>
      <c r="AA2490" s="4">
        <v>109</v>
      </c>
      <c r="AB2490" s="4">
        <v>2</v>
      </c>
      <c r="AC2490" s="4">
        <v>20</v>
      </c>
      <c r="AD2490" s="4">
        <v>36</v>
      </c>
      <c r="AE2490" s="4">
        <v>123</v>
      </c>
      <c r="AF2490" s="4">
        <v>0</v>
      </c>
      <c r="AG2490" s="4">
        <v>9</v>
      </c>
      <c r="AH2490" s="4">
        <v>33</v>
      </c>
      <c r="AI2490" s="4">
        <v>84</v>
      </c>
      <c r="AJ2490" s="4">
        <v>4</v>
      </c>
      <c r="AK2490" s="4">
        <v>22</v>
      </c>
      <c r="AL2490" s="4">
        <v>18</v>
      </c>
      <c r="AM2490" s="4">
        <v>44</v>
      </c>
      <c r="AN2490" s="4">
        <v>0</v>
      </c>
      <c r="AO2490" s="4">
        <v>0</v>
      </c>
      <c r="AP2490" s="4">
        <v>4</v>
      </c>
      <c r="AQ2490" s="4">
        <v>43</v>
      </c>
      <c r="AR2490" s="3" t="s">
        <v>62</v>
      </c>
      <c r="AS2490" s="3" t="s">
        <v>62</v>
      </c>
      <c r="AT2490" s="3" t="s">
        <v>61</v>
      </c>
      <c r="AU2490" s="6" t="str">
        <f>HYPERLINK("http://catalog.hathitrust.org/Record/004069638","HathiTrust Record")</f>
        <v>HathiTrust Record</v>
      </c>
      <c r="AV2490" s="6" t="str">
        <f>HYPERLINK("http://mcgill.on.worldcat.org/oclc/46365954","Catalog Record")</f>
        <v>Catalog Record</v>
      </c>
      <c r="AW2490" s="6" t="str">
        <f>HYPERLINK("http://www.worldcat.org/oclc/46365954","WorldCat Record")</f>
        <v>WorldCat Record</v>
      </c>
      <c r="AX2490" s="3" t="s">
        <v>24421</v>
      </c>
      <c r="AY2490" s="3" t="s">
        <v>24422</v>
      </c>
      <c r="AZ2490" s="3" t="s">
        <v>24423</v>
      </c>
      <c r="BA2490" s="3" t="s">
        <v>24423</v>
      </c>
      <c r="BB2490" s="3" t="s">
        <v>24424</v>
      </c>
      <c r="BC2490" s="3" t="s">
        <v>142</v>
      </c>
      <c r="BD2490" s="3" t="s">
        <v>68</v>
      </c>
      <c r="BE2490" s="3" t="s">
        <v>24425</v>
      </c>
      <c r="BF2490" s="3" t="s">
        <v>24424</v>
      </c>
      <c r="BG2490" s="3" t="s">
        <v>24426</v>
      </c>
    </row>
    <row r="2491" spans="1:59" ht="57" x14ac:dyDescent="0.45">
      <c r="A2491" s="2" t="s">
        <v>59</v>
      </c>
      <c r="B2491" s="2" t="s">
        <v>60</v>
      </c>
      <c r="C2491" s="2" t="s">
        <v>24427</v>
      </c>
      <c r="D2491" s="2" t="s">
        <v>24428</v>
      </c>
      <c r="E2491" s="2" t="s">
        <v>24429</v>
      </c>
      <c r="G2491" s="3" t="s">
        <v>62</v>
      </c>
      <c r="I2491" s="3" t="s">
        <v>62</v>
      </c>
      <c r="J2491" s="3" t="s">
        <v>62</v>
      </c>
      <c r="K2491" s="3" t="s">
        <v>63</v>
      </c>
      <c r="L2491" s="2" t="s">
        <v>24430</v>
      </c>
      <c r="M2491" s="2" t="s">
        <v>24431</v>
      </c>
      <c r="N2491" s="3" t="s">
        <v>945</v>
      </c>
      <c r="O2491" s="2" t="s">
        <v>168</v>
      </c>
      <c r="P2491" s="3" t="s">
        <v>65</v>
      </c>
      <c r="R2491" s="3" t="s">
        <v>66</v>
      </c>
      <c r="S2491" s="4">
        <v>3</v>
      </c>
      <c r="T2491" s="4">
        <v>3</v>
      </c>
      <c r="U2491" s="5" t="s">
        <v>15578</v>
      </c>
      <c r="V2491" s="5" t="s">
        <v>15578</v>
      </c>
      <c r="W2491" s="5" t="s">
        <v>67</v>
      </c>
      <c r="X2491" s="5" t="s">
        <v>67</v>
      </c>
      <c r="Y2491" s="4">
        <v>264</v>
      </c>
      <c r="Z2491" s="4">
        <v>15</v>
      </c>
      <c r="AA2491" s="4">
        <v>31</v>
      </c>
      <c r="AB2491" s="4">
        <v>1</v>
      </c>
      <c r="AC2491" s="4">
        <v>3</v>
      </c>
      <c r="AD2491" s="4">
        <v>98</v>
      </c>
      <c r="AE2491" s="4">
        <v>112</v>
      </c>
      <c r="AF2491" s="4">
        <v>0</v>
      </c>
      <c r="AG2491" s="4">
        <v>0</v>
      </c>
      <c r="AH2491" s="4">
        <v>94</v>
      </c>
      <c r="AI2491" s="4">
        <v>99</v>
      </c>
      <c r="AJ2491" s="4">
        <v>12</v>
      </c>
      <c r="AK2491" s="4">
        <v>15</v>
      </c>
      <c r="AL2491" s="4">
        <v>48</v>
      </c>
      <c r="AM2491" s="4">
        <v>52</v>
      </c>
      <c r="AN2491" s="4">
        <v>0</v>
      </c>
      <c r="AO2491" s="4">
        <v>0</v>
      </c>
      <c r="AP2491" s="4">
        <v>12</v>
      </c>
      <c r="AQ2491" s="4">
        <v>21</v>
      </c>
      <c r="AR2491" s="3" t="s">
        <v>62</v>
      </c>
      <c r="AS2491" s="3" t="s">
        <v>62</v>
      </c>
      <c r="AT2491" s="3" t="s">
        <v>61</v>
      </c>
      <c r="AU2491" s="6" t="str">
        <f>HYPERLINK("http://catalog.hathitrust.org/Record/005539075","HathiTrust Record")</f>
        <v>HathiTrust Record</v>
      </c>
      <c r="AV2491" s="6" t="str">
        <f>HYPERLINK("http://mcgill.on.worldcat.org/oclc/70884927","Catalog Record")</f>
        <v>Catalog Record</v>
      </c>
      <c r="AW2491" s="6" t="str">
        <f>HYPERLINK("http://www.worldcat.org/oclc/70884927","WorldCat Record")</f>
        <v>WorldCat Record</v>
      </c>
      <c r="AX2491" s="3" t="s">
        <v>24432</v>
      </c>
      <c r="AY2491" s="3" t="s">
        <v>24433</v>
      </c>
      <c r="AZ2491" s="3" t="s">
        <v>24434</v>
      </c>
      <c r="BA2491" s="3" t="s">
        <v>24434</v>
      </c>
      <c r="BB2491" s="3" t="s">
        <v>24435</v>
      </c>
      <c r="BC2491" s="3" t="s">
        <v>142</v>
      </c>
      <c r="BD2491" s="3" t="s">
        <v>68</v>
      </c>
      <c r="BE2491" s="3" t="s">
        <v>24436</v>
      </c>
      <c r="BF2491" s="3" t="s">
        <v>24435</v>
      </c>
      <c r="BG2491" s="3" t="s">
        <v>24437</v>
      </c>
    </row>
    <row r="2492" spans="1:59" ht="71.25" x14ac:dyDescent="0.45">
      <c r="A2492" s="2" t="s">
        <v>59</v>
      </c>
      <c r="B2492" s="2" t="s">
        <v>60</v>
      </c>
      <c r="C2492" s="2" t="s">
        <v>24438</v>
      </c>
      <c r="D2492" s="2" t="s">
        <v>24439</v>
      </c>
      <c r="E2492" s="2" t="s">
        <v>24440</v>
      </c>
      <c r="G2492" s="3" t="s">
        <v>62</v>
      </c>
      <c r="I2492" s="3" t="s">
        <v>62</v>
      </c>
      <c r="J2492" s="3" t="s">
        <v>62</v>
      </c>
      <c r="K2492" s="3" t="s">
        <v>63</v>
      </c>
      <c r="L2492" s="2" t="s">
        <v>24441</v>
      </c>
      <c r="M2492" s="2" t="s">
        <v>21466</v>
      </c>
      <c r="N2492" s="3" t="s">
        <v>116</v>
      </c>
      <c r="P2492" s="3" t="s">
        <v>65</v>
      </c>
      <c r="Q2492" s="2" t="s">
        <v>8496</v>
      </c>
      <c r="R2492" s="3" t="s">
        <v>66</v>
      </c>
      <c r="S2492" s="4">
        <v>0</v>
      </c>
      <c r="T2492" s="4">
        <v>0</v>
      </c>
      <c r="W2492" s="5" t="s">
        <v>67</v>
      </c>
      <c r="X2492" s="5" t="s">
        <v>67</v>
      </c>
      <c r="Y2492" s="4">
        <v>69</v>
      </c>
      <c r="Z2492" s="4">
        <v>13</v>
      </c>
      <c r="AA2492" s="4">
        <v>78</v>
      </c>
      <c r="AB2492" s="4">
        <v>1</v>
      </c>
      <c r="AC2492" s="4">
        <v>14</v>
      </c>
      <c r="AD2492" s="4">
        <v>36</v>
      </c>
      <c r="AE2492" s="4">
        <v>108</v>
      </c>
      <c r="AF2492" s="4">
        <v>0</v>
      </c>
      <c r="AG2492" s="4">
        <v>8</v>
      </c>
      <c r="AH2492" s="4">
        <v>33</v>
      </c>
      <c r="AI2492" s="4">
        <v>75</v>
      </c>
      <c r="AJ2492" s="4">
        <v>10</v>
      </c>
      <c r="AK2492" s="4">
        <v>21</v>
      </c>
      <c r="AL2492" s="4">
        <v>18</v>
      </c>
      <c r="AM2492" s="4">
        <v>39</v>
      </c>
      <c r="AN2492" s="4">
        <v>0</v>
      </c>
      <c r="AO2492" s="4">
        <v>0</v>
      </c>
      <c r="AP2492" s="4">
        <v>11</v>
      </c>
      <c r="AQ2492" s="4">
        <v>41</v>
      </c>
      <c r="AR2492" s="3" t="s">
        <v>62</v>
      </c>
      <c r="AS2492" s="3" t="s">
        <v>62</v>
      </c>
      <c r="AT2492" s="3" t="s">
        <v>62</v>
      </c>
      <c r="AV2492" s="6" t="str">
        <f>HYPERLINK("http://mcgill.on.worldcat.org/oclc/809456909","Catalog Record")</f>
        <v>Catalog Record</v>
      </c>
      <c r="AW2492" s="6" t="str">
        <f>HYPERLINK("http://www.worldcat.org/oclc/809456909","WorldCat Record")</f>
        <v>WorldCat Record</v>
      </c>
      <c r="AX2492" s="3" t="s">
        <v>24442</v>
      </c>
      <c r="AY2492" s="3" t="s">
        <v>24443</v>
      </c>
      <c r="AZ2492" s="3" t="s">
        <v>24444</v>
      </c>
      <c r="BA2492" s="3" t="s">
        <v>24444</v>
      </c>
      <c r="BB2492" s="3" t="s">
        <v>24445</v>
      </c>
      <c r="BC2492" s="3" t="s">
        <v>142</v>
      </c>
      <c r="BD2492" s="3" t="s">
        <v>68</v>
      </c>
      <c r="BE2492" s="3" t="s">
        <v>24446</v>
      </c>
      <c r="BF2492" s="3" t="s">
        <v>24445</v>
      </c>
      <c r="BG2492" s="3" t="s">
        <v>24447</v>
      </c>
    </row>
    <row r="2493" spans="1:59" ht="57" x14ac:dyDescent="0.45">
      <c r="A2493" s="2" t="s">
        <v>59</v>
      </c>
      <c r="B2493" s="2" t="s">
        <v>60</v>
      </c>
      <c r="C2493" s="2" t="s">
        <v>24448</v>
      </c>
      <c r="D2493" s="2" t="s">
        <v>24449</v>
      </c>
      <c r="E2493" s="2" t="s">
        <v>24450</v>
      </c>
      <c r="G2493" s="3" t="s">
        <v>62</v>
      </c>
      <c r="I2493" s="3" t="s">
        <v>62</v>
      </c>
      <c r="J2493" s="3" t="s">
        <v>62</v>
      </c>
      <c r="K2493" s="3" t="s">
        <v>63</v>
      </c>
      <c r="L2493" s="2" t="s">
        <v>24451</v>
      </c>
      <c r="M2493" s="2" t="s">
        <v>24452</v>
      </c>
      <c r="N2493" s="3" t="s">
        <v>1688</v>
      </c>
      <c r="P2493" s="3" t="s">
        <v>65</v>
      </c>
      <c r="Q2493" s="2" t="s">
        <v>24453</v>
      </c>
      <c r="R2493" s="3" t="s">
        <v>66</v>
      </c>
      <c r="S2493" s="4">
        <v>1</v>
      </c>
      <c r="T2493" s="4">
        <v>1</v>
      </c>
      <c r="U2493" s="5" t="s">
        <v>24454</v>
      </c>
      <c r="V2493" s="5" t="s">
        <v>24454</v>
      </c>
      <c r="W2493" s="5" t="s">
        <v>67</v>
      </c>
      <c r="X2493" s="5" t="s">
        <v>67</v>
      </c>
      <c r="Y2493" s="4">
        <v>131</v>
      </c>
      <c r="Z2493" s="4">
        <v>20</v>
      </c>
      <c r="AA2493" s="4">
        <v>86</v>
      </c>
      <c r="AB2493" s="4">
        <v>1</v>
      </c>
      <c r="AC2493" s="4">
        <v>14</v>
      </c>
      <c r="AD2493" s="4">
        <v>55</v>
      </c>
      <c r="AE2493" s="4">
        <v>118</v>
      </c>
      <c r="AF2493" s="4">
        <v>0</v>
      </c>
      <c r="AG2493" s="4">
        <v>8</v>
      </c>
      <c r="AH2493" s="4">
        <v>50</v>
      </c>
      <c r="AI2493" s="4">
        <v>83</v>
      </c>
      <c r="AJ2493" s="4">
        <v>12</v>
      </c>
      <c r="AK2493" s="4">
        <v>23</v>
      </c>
      <c r="AL2493" s="4">
        <v>29</v>
      </c>
      <c r="AM2493" s="4">
        <v>43</v>
      </c>
      <c r="AN2493" s="4">
        <v>0</v>
      </c>
      <c r="AO2493" s="4">
        <v>0</v>
      </c>
      <c r="AP2493" s="4">
        <v>14</v>
      </c>
      <c r="AQ2493" s="4">
        <v>44</v>
      </c>
      <c r="AR2493" s="3" t="s">
        <v>62</v>
      </c>
      <c r="AS2493" s="3" t="s">
        <v>62</v>
      </c>
      <c r="AT2493" s="3" t="s">
        <v>62</v>
      </c>
      <c r="AV2493" s="6" t="str">
        <f>HYPERLINK("http://mcgill.on.worldcat.org/oclc/872985669","Catalog Record")</f>
        <v>Catalog Record</v>
      </c>
      <c r="AW2493" s="6" t="str">
        <f>HYPERLINK("http://www.worldcat.org/oclc/872985669","WorldCat Record")</f>
        <v>WorldCat Record</v>
      </c>
      <c r="AX2493" s="3" t="s">
        <v>24455</v>
      </c>
      <c r="AY2493" s="3" t="s">
        <v>24456</v>
      </c>
      <c r="AZ2493" s="3" t="s">
        <v>24457</v>
      </c>
      <c r="BA2493" s="3" t="s">
        <v>24457</v>
      </c>
      <c r="BB2493" s="3" t="s">
        <v>24458</v>
      </c>
      <c r="BC2493" s="3" t="s">
        <v>142</v>
      </c>
      <c r="BD2493" s="3" t="s">
        <v>68</v>
      </c>
      <c r="BE2493" s="3" t="s">
        <v>24459</v>
      </c>
      <c r="BF2493" s="3" t="s">
        <v>24458</v>
      </c>
      <c r="BG2493" s="3" t="s">
        <v>24460</v>
      </c>
    </row>
    <row r="2494" spans="1:59" ht="57" x14ac:dyDescent="0.45">
      <c r="A2494" s="2" t="s">
        <v>59</v>
      </c>
      <c r="B2494" s="2" t="s">
        <v>60</v>
      </c>
      <c r="C2494" s="2" t="s">
        <v>24461</v>
      </c>
      <c r="D2494" s="2" t="s">
        <v>24462</v>
      </c>
      <c r="E2494" s="2" t="s">
        <v>24463</v>
      </c>
      <c r="G2494" s="3" t="s">
        <v>62</v>
      </c>
      <c r="I2494" s="3" t="s">
        <v>62</v>
      </c>
      <c r="J2494" s="3" t="s">
        <v>62</v>
      </c>
      <c r="K2494" s="3" t="s">
        <v>63</v>
      </c>
      <c r="L2494" s="2" t="s">
        <v>24464</v>
      </c>
      <c r="M2494" s="2" t="s">
        <v>24465</v>
      </c>
      <c r="N2494" s="3" t="s">
        <v>1253</v>
      </c>
      <c r="P2494" s="3" t="s">
        <v>65</v>
      </c>
      <c r="R2494" s="3" t="s">
        <v>66</v>
      </c>
      <c r="S2494" s="4">
        <v>4</v>
      </c>
      <c r="T2494" s="4">
        <v>4</v>
      </c>
      <c r="U2494" s="5" t="s">
        <v>11459</v>
      </c>
      <c r="V2494" s="5" t="s">
        <v>11459</v>
      </c>
      <c r="W2494" s="5" t="s">
        <v>67</v>
      </c>
      <c r="X2494" s="5" t="s">
        <v>67</v>
      </c>
      <c r="Y2494" s="4">
        <v>756</v>
      </c>
      <c r="Z2494" s="4">
        <v>27</v>
      </c>
      <c r="AA2494" s="4">
        <v>30</v>
      </c>
      <c r="AB2494" s="4">
        <v>2</v>
      </c>
      <c r="AC2494" s="4">
        <v>4</v>
      </c>
      <c r="AD2494" s="4">
        <v>113</v>
      </c>
      <c r="AE2494" s="4">
        <v>117</v>
      </c>
      <c r="AF2494" s="4">
        <v>1</v>
      </c>
      <c r="AG2494" s="4">
        <v>3</v>
      </c>
      <c r="AH2494" s="4">
        <v>101</v>
      </c>
      <c r="AI2494" s="4">
        <v>103</v>
      </c>
      <c r="AJ2494" s="4">
        <v>15</v>
      </c>
      <c r="AK2494" s="4">
        <v>17</v>
      </c>
      <c r="AL2494" s="4">
        <v>53</v>
      </c>
      <c r="AM2494" s="4">
        <v>54</v>
      </c>
      <c r="AN2494" s="4">
        <v>0</v>
      </c>
      <c r="AO2494" s="4">
        <v>0</v>
      </c>
      <c r="AP2494" s="4">
        <v>19</v>
      </c>
      <c r="AQ2494" s="4">
        <v>21</v>
      </c>
      <c r="AR2494" s="3" t="s">
        <v>62</v>
      </c>
      <c r="AS2494" s="3" t="s">
        <v>62</v>
      </c>
      <c r="AT2494" s="3" t="s">
        <v>61</v>
      </c>
      <c r="AU2494" s="6" t="str">
        <f>HYPERLINK("http://catalog.hathitrust.org/Record/003152584","HathiTrust Record")</f>
        <v>HathiTrust Record</v>
      </c>
      <c r="AV2494" s="6" t="str">
        <f>HYPERLINK("http://mcgill.on.worldcat.org/oclc/36379674","Catalog Record")</f>
        <v>Catalog Record</v>
      </c>
      <c r="AW2494" s="6" t="str">
        <f>HYPERLINK("http://www.worldcat.org/oclc/36379674","WorldCat Record")</f>
        <v>WorldCat Record</v>
      </c>
      <c r="AX2494" s="3" t="s">
        <v>24466</v>
      </c>
      <c r="AY2494" s="3" t="s">
        <v>24467</v>
      </c>
      <c r="AZ2494" s="3" t="s">
        <v>24468</v>
      </c>
      <c r="BA2494" s="3" t="s">
        <v>24468</v>
      </c>
      <c r="BB2494" s="3" t="s">
        <v>24469</v>
      </c>
      <c r="BC2494" s="3" t="s">
        <v>142</v>
      </c>
      <c r="BD2494" s="3" t="s">
        <v>68</v>
      </c>
      <c r="BE2494" s="3" t="s">
        <v>24470</v>
      </c>
      <c r="BF2494" s="3" t="s">
        <v>24469</v>
      </c>
      <c r="BG2494" s="3" t="s">
        <v>24471</v>
      </c>
    </row>
    <row r="2495" spans="1:59" ht="71.25" x14ac:dyDescent="0.45">
      <c r="A2495" s="2" t="s">
        <v>59</v>
      </c>
      <c r="B2495" s="2" t="s">
        <v>13360</v>
      </c>
      <c r="C2495" s="2" t="s">
        <v>24472</v>
      </c>
      <c r="D2495" s="2" t="s">
        <v>24473</v>
      </c>
      <c r="E2495" s="2" t="s">
        <v>24474</v>
      </c>
      <c r="G2495" s="3" t="s">
        <v>62</v>
      </c>
      <c r="I2495" s="3" t="s">
        <v>62</v>
      </c>
      <c r="J2495" s="3" t="s">
        <v>62</v>
      </c>
      <c r="K2495" s="3" t="s">
        <v>63</v>
      </c>
      <c r="M2495" s="2" t="s">
        <v>24475</v>
      </c>
      <c r="N2495" s="3" t="s">
        <v>945</v>
      </c>
      <c r="P2495" s="3" t="s">
        <v>65</v>
      </c>
      <c r="Q2495" s="2" t="s">
        <v>24476</v>
      </c>
      <c r="R2495" s="3" t="s">
        <v>66</v>
      </c>
      <c r="S2495" s="4">
        <v>28</v>
      </c>
      <c r="T2495" s="4">
        <v>28</v>
      </c>
      <c r="U2495" s="5" t="s">
        <v>24477</v>
      </c>
      <c r="V2495" s="5" t="s">
        <v>24477</v>
      </c>
      <c r="W2495" s="5" t="s">
        <v>67</v>
      </c>
      <c r="X2495" s="5" t="s">
        <v>67</v>
      </c>
      <c r="Y2495" s="4">
        <v>337</v>
      </c>
      <c r="Z2495" s="4">
        <v>35</v>
      </c>
      <c r="AA2495" s="4">
        <v>38</v>
      </c>
      <c r="AB2495" s="4">
        <v>2</v>
      </c>
      <c r="AC2495" s="4">
        <v>5</v>
      </c>
      <c r="AD2495" s="4">
        <v>97</v>
      </c>
      <c r="AE2495" s="4">
        <v>99</v>
      </c>
      <c r="AF2495" s="4">
        <v>1</v>
      </c>
      <c r="AG2495" s="4">
        <v>3</v>
      </c>
      <c r="AH2495" s="4">
        <v>80</v>
      </c>
      <c r="AI2495" s="4">
        <v>81</v>
      </c>
      <c r="AJ2495" s="4">
        <v>19</v>
      </c>
      <c r="AK2495" s="4">
        <v>21</v>
      </c>
      <c r="AL2495" s="4">
        <v>46</v>
      </c>
      <c r="AM2495" s="4">
        <v>46</v>
      </c>
      <c r="AN2495" s="4">
        <v>2</v>
      </c>
      <c r="AO2495" s="4">
        <v>2</v>
      </c>
      <c r="AP2495" s="4">
        <v>25</v>
      </c>
      <c r="AQ2495" s="4">
        <v>26</v>
      </c>
      <c r="AR2495" s="3" t="s">
        <v>62</v>
      </c>
      <c r="AS2495" s="3" t="s">
        <v>62</v>
      </c>
      <c r="AT2495" s="3" t="s">
        <v>61</v>
      </c>
      <c r="AU2495" s="6" t="str">
        <f>HYPERLINK("http://catalog.hathitrust.org/Record/005644101","HathiTrust Record")</f>
        <v>HathiTrust Record</v>
      </c>
      <c r="AV2495" s="6" t="str">
        <f>HYPERLINK("http://mcgill.on.worldcat.org/oclc/144223479","Catalog Record")</f>
        <v>Catalog Record</v>
      </c>
      <c r="AW2495" s="6" t="str">
        <f>HYPERLINK("http://www.worldcat.org/oclc/144223479","WorldCat Record")</f>
        <v>WorldCat Record</v>
      </c>
      <c r="AX2495" s="3" t="s">
        <v>24478</v>
      </c>
      <c r="AY2495" s="3" t="s">
        <v>24479</v>
      </c>
      <c r="AZ2495" s="3" t="s">
        <v>24480</v>
      </c>
      <c r="BA2495" s="3" t="s">
        <v>24480</v>
      </c>
      <c r="BB2495" s="3" t="s">
        <v>24481</v>
      </c>
      <c r="BC2495" s="3" t="s">
        <v>142</v>
      </c>
      <c r="BD2495" s="3" t="s">
        <v>68</v>
      </c>
      <c r="BE2495" s="3" t="s">
        <v>24482</v>
      </c>
      <c r="BF2495" s="3" t="s">
        <v>24481</v>
      </c>
      <c r="BG2495" s="3" t="s">
        <v>24483</v>
      </c>
    </row>
    <row r="2496" spans="1:59" ht="57" x14ac:dyDescent="0.45">
      <c r="A2496" s="2" t="s">
        <v>59</v>
      </c>
      <c r="B2496" s="2" t="s">
        <v>60</v>
      </c>
      <c r="C2496" s="2" t="s">
        <v>24484</v>
      </c>
      <c r="D2496" s="2" t="s">
        <v>24485</v>
      </c>
      <c r="E2496" s="2" t="s">
        <v>24486</v>
      </c>
      <c r="G2496" s="3" t="s">
        <v>62</v>
      </c>
      <c r="I2496" s="3" t="s">
        <v>62</v>
      </c>
      <c r="J2496" s="3" t="s">
        <v>62</v>
      </c>
      <c r="K2496" s="3" t="s">
        <v>63</v>
      </c>
      <c r="M2496" s="2" t="s">
        <v>24487</v>
      </c>
      <c r="N2496" s="3" t="s">
        <v>820</v>
      </c>
      <c r="P2496" s="3" t="s">
        <v>65</v>
      </c>
      <c r="R2496" s="3" t="s">
        <v>66</v>
      </c>
      <c r="S2496" s="4">
        <v>7</v>
      </c>
      <c r="T2496" s="4">
        <v>7</v>
      </c>
      <c r="U2496" s="5" t="s">
        <v>1553</v>
      </c>
      <c r="V2496" s="5" t="s">
        <v>1553</v>
      </c>
      <c r="W2496" s="5" t="s">
        <v>67</v>
      </c>
      <c r="X2496" s="5" t="s">
        <v>67</v>
      </c>
      <c r="Y2496" s="4">
        <v>240</v>
      </c>
      <c r="Z2496" s="4">
        <v>20</v>
      </c>
      <c r="AA2496" s="4">
        <v>107</v>
      </c>
      <c r="AB2496" s="4">
        <v>2</v>
      </c>
      <c r="AC2496" s="4">
        <v>17</v>
      </c>
      <c r="AD2496" s="4">
        <v>63</v>
      </c>
      <c r="AE2496" s="4">
        <v>130</v>
      </c>
      <c r="AF2496" s="4">
        <v>1</v>
      </c>
      <c r="AG2496" s="4">
        <v>8</v>
      </c>
      <c r="AH2496" s="4">
        <v>55</v>
      </c>
      <c r="AI2496" s="4">
        <v>92</v>
      </c>
      <c r="AJ2496" s="4">
        <v>13</v>
      </c>
      <c r="AK2496" s="4">
        <v>24</v>
      </c>
      <c r="AL2496" s="4">
        <v>33</v>
      </c>
      <c r="AM2496" s="4">
        <v>50</v>
      </c>
      <c r="AN2496" s="4">
        <v>5</v>
      </c>
      <c r="AO2496" s="4">
        <v>5</v>
      </c>
      <c r="AP2496" s="4">
        <v>15</v>
      </c>
      <c r="AQ2496" s="4">
        <v>47</v>
      </c>
      <c r="AR2496" s="3" t="s">
        <v>62</v>
      </c>
      <c r="AS2496" s="3" t="s">
        <v>62</v>
      </c>
      <c r="AT2496" s="3" t="s">
        <v>61</v>
      </c>
      <c r="AU2496" s="6" t="str">
        <f>HYPERLINK("http://catalog.hathitrust.org/Record/010616549","HathiTrust Record")</f>
        <v>HathiTrust Record</v>
      </c>
      <c r="AV2496" s="6" t="str">
        <f>HYPERLINK("http://mcgill.on.worldcat.org/oclc/190967323","Catalog Record")</f>
        <v>Catalog Record</v>
      </c>
      <c r="AW2496" s="6" t="str">
        <f>HYPERLINK("http://www.worldcat.org/oclc/190967323","WorldCat Record")</f>
        <v>WorldCat Record</v>
      </c>
      <c r="AX2496" s="3" t="s">
        <v>24488</v>
      </c>
      <c r="AY2496" s="3" t="s">
        <v>24489</v>
      </c>
      <c r="AZ2496" s="3" t="s">
        <v>24490</v>
      </c>
      <c r="BA2496" s="3" t="s">
        <v>24490</v>
      </c>
      <c r="BB2496" s="3" t="s">
        <v>24491</v>
      </c>
      <c r="BC2496" s="3" t="s">
        <v>142</v>
      </c>
      <c r="BD2496" s="3" t="s">
        <v>68</v>
      </c>
      <c r="BE2496" s="3" t="s">
        <v>24492</v>
      </c>
      <c r="BF2496" s="3" t="s">
        <v>24491</v>
      </c>
      <c r="BG2496" s="3" t="s">
        <v>24493</v>
      </c>
    </row>
    <row r="2497" spans="1:59" ht="57" x14ac:dyDescent="0.45">
      <c r="A2497" s="2" t="s">
        <v>59</v>
      </c>
      <c r="B2497" s="2" t="s">
        <v>60</v>
      </c>
      <c r="C2497" s="2" t="s">
        <v>24494</v>
      </c>
      <c r="D2497" s="2" t="s">
        <v>24495</v>
      </c>
      <c r="E2497" s="2" t="s">
        <v>24496</v>
      </c>
      <c r="G2497" s="3" t="s">
        <v>62</v>
      </c>
      <c r="I2497" s="3" t="s">
        <v>62</v>
      </c>
      <c r="J2497" s="3" t="s">
        <v>62</v>
      </c>
      <c r="K2497" s="3" t="s">
        <v>63</v>
      </c>
      <c r="M2497" s="2" t="s">
        <v>24497</v>
      </c>
      <c r="N2497" s="3" t="s">
        <v>1155</v>
      </c>
      <c r="P2497" s="3" t="s">
        <v>65</v>
      </c>
      <c r="R2497" s="3" t="s">
        <v>66</v>
      </c>
      <c r="S2497" s="4">
        <v>2</v>
      </c>
      <c r="T2497" s="4">
        <v>2</v>
      </c>
      <c r="U2497" s="5" t="s">
        <v>10172</v>
      </c>
      <c r="V2497" s="5" t="s">
        <v>10172</v>
      </c>
      <c r="W2497" s="5" t="s">
        <v>67</v>
      </c>
      <c r="X2497" s="5" t="s">
        <v>67</v>
      </c>
      <c r="Y2497" s="4">
        <v>200</v>
      </c>
      <c r="Z2497" s="4">
        <v>20</v>
      </c>
      <c r="AA2497" s="4">
        <v>23</v>
      </c>
      <c r="AB2497" s="4">
        <v>2</v>
      </c>
      <c r="AC2497" s="4">
        <v>4</v>
      </c>
      <c r="AD2497" s="4">
        <v>77</v>
      </c>
      <c r="AE2497" s="4">
        <v>82</v>
      </c>
      <c r="AF2497" s="4">
        <v>1</v>
      </c>
      <c r="AG2497" s="4">
        <v>1</v>
      </c>
      <c r="AH2497" s="4">
        <v>72</v>
      </c>
      <c r="AI2497" s="4">
        <v>76</v>
      </c>
      <c r="AJ2497" s="4">
        <v>14</v>
      </c>
      <c r="AK2497" s="4">
        <v>15</v>
      </c>
      <c r="AL2497" s="4">
        <v>39</v>
      </c>
      <c r="AM2497" s="4">
        <v>41</v>
      </c>
      <c r="AN2497" s="4">
        <v>0</v>
      </c>
      <c r="AO2497" s="4">
        <v>0</v>
      </c>
      <c r="AP2497" s="4">
        <v>15</v>
      </c>
      <c r="AQ2497" s="4">
        <v>16</v>
      </c>
      <c r="AR2497" s="3" t="s">
        <v>62</v>
      </c>
      <c r="AS2497" s="3" t="s">
        <v>62</v>
      </c>
      <c r="AT2497" s="3" t="s">
        <v>62</v>
      </c>
      <c r="AV2497" s="6" t="str">
        <f>HYPERLINK("http://mcgill.on.worldcat.org/oclc/694396636","Catalog Record")</f>
        <v>Catalog Record</v>
      </c>
      <c r="AW2497" s="6" t="str">
        <f>HYPERLINK("http://www.worldcat.org/oclc/694396636","WorldCat Record")</f>
        <v>WorldCat Record</v>
      </c>
      <c r="AX2497" s="3" t="s">
        <v>24498</v>
      </c>
      <c r="AY2497" s="3" t="s">
        <v>24499</v>
      </c>
      <c r="AZ2497" s="3" t="s">
        <v>24500</v>
      </c>
      <c r="BA2497" s="3" t="s">
        <v>24500</v>
      </c>
      <c r="BB2497" s="3" t="s">
        <v>24501</v>
      </c>
      <c r="BC2497" s="3" t="s">
        <v>142</v>
      </c>
      <c r="BD2497" s="3" t="s">
        <v>68</v>
      </c>
      <c r="BE2497" s="3" t="s">
        <v>24502</v>
      </c>
      <c r="BF2497" s="3" t="s">
        <v>24501</v>
      </c>
      <c r="BG2497" s="3" t="s">
        <v>24503</v>
      </c>
    </row>
    <row r="2498" spans="1:59" ht="57" x14ac:dyDescent="0.45">
      <c r="A2498" s="2" t="s">
        <v>59</v>
      </c>
      <c r="B2498" s="2" t="s">
        <v>60</v>
      </c>
      <c r="C2498" s="2" t="s">
        <v>24504</v>
      </c>
      <c r="D2498" s="2" t="s">
        <v>24505</v>
      </c>
      <c r="E2498" s="2" t="s">
        <v>24506</v>
      </c>
      <c r="G2498" s="3" t="s">
        <v>62</v>
      </c>
      <c r="I2498" s="3" t="s">
        <v>62</v>
      </c>
      <c r="J2498" s="3" t="s">
        <v>62</v>
      </c>
      <c r="K2498" s="3" t="s">
        <v>63</v>
      </c>
      <c r="L2498" s="2" t="s">
        <v>24507</v>
      </c>
      <c r="M2498" s="2" t="s">
        <v>24508</v>
      </c>
      <c r="N2498" s="3" t="s">
        <v>149</v>
      </c>
      <c r="P2498" s="3" t="s">
        <v>65</v>
      </c>
      <c r="Q2498" s="2" t="s">
        <v>24509</v>
      </c>
      <c r="R2498" s="3" t="s">
        <v>66</v>
      </c>
      <c r="S2498" s="4">
        <v>3</v>
      </c>
      <c r="T2498" s="4">
        <v>3</v>
      </c>
      <c r="U2498" s="5" t="s">
        <v>22481</v>
      </c>
      <c r="V2498" s="5" t="s">
        <v>22481</v>
      </c>
      <c r="W2498" s="5" t="s">
        <v>67</v>
      </c>
      <c r="X2498" s="5" t="s">
        <v>67</v>
      </c>
      <c r="Y2498" s="4">
        <v>129</v>
      </c>
      <c r="Z2498" s="4">
        <v>8</v>
      </c>
      <c r="AA2498" s="4">
        <v>23</v>
      </c>
      <c r="AB2498" s="4">
        <v>1</v>
      </c>
      <c r="AC2498" s="4">
        <v>8</v>
      </c>
      <c r="AD2498" s="4">
        <v>26</v>
      </c>
      <c r="AE2498" s="4">
        <v>50</v>
      </c>
      <c r="AF2498" s="4">
        <v>0</v>
      </c>
      <c r="AG2498" s="4">
        <v>4</v>
      </c>
      <c r="AH2498" s="4">
        <v>23</v>
      </c>
      <c r="AI2498" s="4">
        <v>43</v>
      </c>
      <c r="AJ2498" s="4">
        <v>5</v>
      </c>
      <c r="AK2498" s="4">
        <v>11</v>
      </c>
      <c r="AL2498" s="4">
        <v>14</v>
      </c>
      <c r="AM2498" s="4">
        <v>24</v>
      </c>
      <c r="AN2498" s="4">
        <v>0</v>
      </c>
      <c r="AO2498" s="4">
        <v>0</v>
      </c>
      <c r="AP2498" s="4">
        <v>6</v>
      </c>
      <c r="AQ2498" s="4">
        <v>14</v>
      </c>
      <c r="AR2498" s="3" t="s">
        <v>62</v>
      </c>
      <c r="AS2498" s="3" t="s">
        <v>62</v>
      </c>
      <c r="AT2498" s="3" t="s">
        <v>62</v>
      </c>
      <c r="AV2498" s="6" t="str">
        <f>HYPERLINK("http://mcgill.on.worldcat.org/oclc/223810649","Catalog Record")</f>
        <v>Catalog Record</v>
      </c>
      <c r="AW2498" s="6" t="str">
        <f>HYPERLINK("http://www.worldcat.org/oclc/223810649","WorldCat Record")</f>
        <v>WorldCat Record</v>
      </c>
      <c r="AX2498" s="3" t="s">
        <v>24510</v>
      </c>
      <c r="AY2498" s="3" t="s">
        <v>24511</v>
      </c>
      <c r="AZ2498" s="3" t="s">
        <v>24512</v>
      </c>
      <c r="BA2498" s="3" t="s">
        <v>24512</v>
      </c>
      <c r="BB2498" s="3" t="s">
        <v>24513</v>
      </c>
      <c r="BC2498" s="3" t="s">
        <v>142</v>
      </c>
      <c r="BD2498" s="3" t="s">
        <v>68</v>
      </c>
      <c r="BE2498" s="3" t="s">
        <v>24514</v>
      </c>
      <c r="BF2498" s="3" t="s">
        <v>24513</v>
      </c>
      <c r="BG2498" s="3" t="s">
        <v>24515</v>
      </c>
    </row>
    <row r="2499" spans="1:59" ht="57" x14ac:dyDescent="0.45">
      <c r="A2499" s="2" t="s">
        <v>59</v>
      </c>
      <c r="B2499" s="2" t="s">
        <v>60</v>
      </c>
      <c r="C2499" s="2" t="s">
        <v>24516</v>
      </c>
      <c r="D2499" s="2" t="s">
        <v>24517</v>
      </c>
      <c r="E2499" s="2" t="s">
        <v>24518</v>
      </c>
      <c r="G2499" s="3" t="s">
        <v>62</v>
      </c>
      <c r="I2499" s="3" t="s">
        <v>61</v>
      </c>
      <c r="J2499" s="3" t="s">
        <v>62</v>
      </c>
      <c r="K2499" s="3" t="s">
        <v>63</v>
      </c>
      <c r="L2499" s="2" t="s">
        <v>24519</v>
      </c>
      <c r="M2499" s="2" t="s">
        <v>24520</v>
      </c>
      <c r="N2499" s="3" t="s">
        <v>106</v>
      </c>
      <c r="P2499" s="3" t="s">
        <v>65</v>
      </c>
      <c r="Q2499" s="2" t="s">
        <v>24521</v>
      </c>
      <c r="R2499" s="3" t="s">
        <v>66</v>
      </c>
      <c r="S2499" s="4">
        <v>33</v>
      </c>
      <c r="T2499" s="4">
        <v>101</v>
      </c>
      <c r="U2499" s="5" t="s">
        <v>24522</v>
      </c>
      <c r="V2499" s="5" t="s">
        <v>7076</v>
      </c>
      <c r="W2499" s="5" t="s">
        <v>67</v>
      </c>
      <c r="X2499" s="5" t="s">
        <v>67</v>
      </c>
      <c r="Y2499" s="4">
        <v>182</v>
      </c>
      <c r="Z2499" s="4">
        <v>88</v>
      </c>
      <c r="AA2499" s="4">
        <v>118</v>
      </c>
      <c r="AB2499" s="4">
        <v>4</v>
      </c>
      <c r="AC2499" s="4">
        <v>21</v>
      </c>
      <c r="AD2499" s="4">
        <v>82</v>
      </c>
      <c r="AE2499" s="4">
        <v>101</v>
      </c>
      <c r="AF2499" s="4">
        <v>1</v>
      </c>
      <c r="AG2499" s="4">
        <v>9</v>
      </c>
      <c r="AH2499" s="4">
        <v>48</v>
      </c>
      <c r="AI2499" s="4">
        <v>50</v>
      </c>
      <c r="AJ2499" s="4">
        <v>22</v>
      </c>
      <c r="AK2499" s="4">
        <v>30</v>
      </c>
      <c r="AL2499" s="4">
        <v>26</v>
      </c>
      <c r="AM2499" s="4">
        <v>26</v>
      </c>
      <c r="AN2499" s="4">
        <v>0</v>
      </c>
      <c r="AO2499" s="4">
        <v>0</v>
      </c>
      <c r="AP2499" s="4">
        <v>42</v>
      </c>
      <c r="AQ2499" s="4">
        <v>59</v>
      </c>
      <c r="AR2499" s="3" t="s">
        <v>61</v>
      </c>
      <c r="AS2499" s="3" t="s">
        <v>62</v>
      </c>
      <c r="AT2499" s="3" t="s">
        <v>61</v>
      </c>
      <c r="AU2499" s="6" t="str">
        <f>HYPERLINK("http://catalog.hathitrust.org/Record/002197555","HathiTrust Record")</f>
        <v>HathiTrust Record</v>
      </c>
      <c r="AV2499" s="6" t="str">
        <f>HYPERLINK("http://mcgill.on.worldcat.org/oclc/9753070","Catalog Record")</f>
        <v>Catalog Record</v>
      </c>
      <c r="AW2499" s="6" t="str">
        <f>HYPERLINK("http://www.worldcat.org/oclc/9753070","WorldCat Record")</f>
        <v>WorldCat Record</v>
      </c>
      <c r="AX2499" s="3" t="s">
        <v>24523</v>
      </c>
      <c r="AY2499" s="3" t="s">
        <v>24524</v>
      </c>
      <c r="AZ2499" s="3" t="s">
        <v>24525</v>
      </c>
      <c r="BA2499" s="3" t="s">
        <v>24525</v>
      </c>
      <c r="BB2499" s="3" t="s">
        <v>24526</v>
      </c>
      <c r="BC2499" s="3" t="s">
        <v>142</v>
      </c>
      <c r="BD2499" s="3" t="s">
        <v>68</v>
      </c>
      <c r="BE2499" s="3" t="s">
        <v>24527</v>
      </c>
      <c r="BF2499" s="3" t="s">
        <v>24526</v>
      </c>
      <c r="BG2499" s="3" t="s">
        <v>24528</v>
      </c>
    </row>
    <row r="2500" spans="1:59" ht="57" x14ac:dyDescent="0.45">
      <c r="A2500" s="2" t="s">
        <v>59</v>
      </c>
      <c r="B2500" s="2" t="s">
        <v>60</v>
      </c>
      <c r="C2500" s="2" t="s">
        <v>24516</v>
      </c>
      <c r="D2500" s="2" t="s">
        <v>24517</v>
      </c>
      <c r="E2500" s="2" t="s">
        <v>24518</v>
      </c>
      <c r="G2500" s="3" t="s">
        <v>62</v>
      </c>
      <c r="I2500" s="3" t="s">
        <v>61</v>
      </c>
      <c r="J2500" s="3" t="s">
        <v>62</v>
      </c>
      <c r="K2500" s="3" t="s">
        <v>63</v>
      </c>
      <c r="L2500" s="2" t="s">
        <v>24519</v>
      </c>
      <c r="M2500" s="2" t="s">
        <v>24520</v>
      </c>
      <c r="N2500" s="3" t="s">
        <v>106</v>
      </c>
      <c r="P2500" s="3" t="s">
        <v>65</v>
      </c>
      <c r="Q2500" s="2" t="s">
        <v>24521</v>
      </c>
      <c r="R2500" s="3" t="s">
        <v>66</v>
      </c>
      <c r="S2500" s="4">
        <v>29</v>
      </c>
      <c r="T2500" s="4">
        <v>101</v>
      </c>
      <c r="U2500" s="5" t="s">
        <v>7076</v>
      </c>
      <c r="V2500" s="5" t="s">
        <v>7076</v>
      </c>
      <c r="W2500" s="5" t="s">
        <v>67</v>
      </c>
      <c r="X2500" s="5" t="s">
        <v>67</v>
      </c>
      <c r="Y2500" s="4">
        <v>182</v>
      </c>
      <c r="Z2500" s="4">
        <v>88</v>
      </c>
      <c r="AA2500" s="4">
        <v>118</v>
      </c>
      <c r="AB2500" s="4">
        <v>4</v>
      </c>
      <c r="AC2500" s="4">
        <v>21</v>
      </c>
      <c r="AD2500" s="4">
        <v>82</v>
      </c>
      <c r="AE2500" s="4">
        <v>101</v>
      </c>
      <c r="AF2500" s="4">
        <v>1</v>
      </c>
      <c r="AG2500" s="4">
        <v>9</v>
      </c>
      <c r="AH2500" s="4">
        <v>48</v>
      </c>
      <c r="AI2500" s="4">
        <v>50</v>
      </c>
      <c r="AJ2500" s="4">
        <v>22</v>
      </c>
      <c r="AK2500" s="4">
        <v>30</v>
      </c>
      <c r="AL2500" s="4">
        <v>26</v>
      </c>
      <c r="AM2500" s="4">
        <v>26</v>
      </c>
      <c r="AN2500" s="4">
        <v>0</v>
      </c>
      <c r="AO2500" s="4">
        <v>0</v>
      </c>
      <c r="AP2500" s="4">
        <v>42</v>
      </c>
      <c r="AQ2500" s="4">
        <v>59</v>
      </c>
      <c r="AR2500" s="3" t="s">
        <v>61</v>
      </c>
      <c r="AS2500" s="3" t="s">
        <v>62</v>
      </c>
      <c r="AT2500" s="3" t="s">
        <v>61</v>
      </c>
      <c r="AU2500" s="6" t="str">
        <f>HYPERLINK("http://catalog.hathitrust.org/Record/002197555","HathiTrust Record")</f>
        <v>HathiTrust Record</v>
      </c>
      <c r="AV2500" s="6" t="str">
        <f>HYPERLINK("http://mcgill.on.worldcat.org/oclc/9753070","Catalog Record")</f>
        <v>Catalog Record</v>
      </c>
      <c r="AW2500" s="6" t="str">
        <f>HYPERLINK("http://www.worldcat.org/oclc/9753070","WorldCat Record")</f>
        <v>WorldCat Record</v>
      </c>
      <c r="AX2500" s="3" t="s">
        <v>24523</v>
      </c>
      <c r="AY2500" s="3" t="s">
        <v>24524</v>
      </c>
      <c r="AZ2500" s="3" t="s">
        <v>24525</v>
      </c>
      <c r="BA2500" s="3" t="s">
        <v>24525</v>
      </c>
      <c r="BB2500" s="3" t="s">
        <v>24529</v>
      </c>
      <c r="BC2500" s="3" t="s">
        <v>142</v>
      </c>
      <c r="BD2500" s="3" t="s">
        <v>68</v>
      </c>
      <c r="BE2500" s="3" t="s">
        <v>24527</v>
      </c>
      <c r="BF2500" s="3" t="s">
        <v>24529</v>
      </c>
      <c r="BG2500" s="3" t="s">
        <v>24530</v>
      </c>
    </row>
    <row r="2501" spans="1:59" ht="57" x14ac:dyDescent="0.45">
      <c r="A2501" s="2" t="s">
        <v>59</v>
      </c>
      <c r="B2501" s="2" t="s">
        <v>60</v>
      </c>
      <c r="C2501" s="2" t="s">
        <v>24516</v>
      </c>
      <c r="D2501" s="2" t="s">
        <v>24517</v>
      </c>
      <c r="E2501" s="2" t="s">
        <v>24518</v>
      </c>
      <c r="G2501" s="3" t="s">
        <v>62</v>
      </c>
      <c r="I2501" s="3" t="s">
        <v>61</v>
      </c>
      <c r="J2501" s="3" t="s">
        <v>62</v>
      </c>
      <c r="K2501" s="3" t="s">
        <v>63</v>
      </c>
      <c r="L2501" s="2" t="s">
        <v>24519</v>
      </c>
      <c r="M2501" s="2" t="s">
        <v>24520</v>
      </c>
      <c r="N2501" s="3" t="s">
        <v>106</v>
      </c>
      <c r="P2501" s="3" t="s">
        <v>65</v>
      </c>
      <c r="Q2501" s="2" t="s">
        <v>24521</v>
      </c>
      <c r="R2501" s="3" t="s">
        <v>66</v>
      </c>
      <c r="S2501" s="4">
        <v>39</v>
      </c>
      <c r="T2501" s="4">
        <v>101</v>
      </c>
      <c r="U2501" s="5" t="s">
        <v>24531</v>
      </c>
      <c r="V2501" s="5" t="s">
        <v>7076</v>
      </c>
      <c r="W2501" s="5" t="s">
        <v>67</v>
      </c>
      <c r="X2501" s="5" t="s">
        <v>67</v>
      </c>
      <c r="Y2501" s="4">
        <v>182</v>
      </c>
      <c r="Z2501" s="4">
        <v>88</v>
      </c>
      <c r="AA2501" s="4">
        <v>118</v>
      </c>
      <c r="AB2501" s="4">
        <v>4</v>
      </c>
      <c r="AC2501" s="4">
        <v>21</v>
      </c>
      <c r="AD2501" s="4">
        <v>82</v>
      </c>
      <c r="AE2501" s="4">
        <v>101</v>
      </c>
      <c r="AF2501" s="4">
        <v>1</v>
      </c>
      <c r="AG2501" s="4">
        <v>9</v>
      </c>
      <c r="AH2501" s="4">
        <v>48</v>
      </c>
      <c r="AI2501" s="4">
        <v>50</v>
      </c>
      <c r="AJ2501" s="4">
        <v>22</v>
      </c>
      <c r="AK2501" s="4">
        <v>30</v>
      </c>
      <c r="AL2501" s="4">
        <v>26</v>
      </c>
      <c r="AM2501" s="4">
        <v>26</v>
      </c>
      <c r="AN2501" s="4">
        <v>0</v>
      </c>
      <c r="AO2501" s="4">
        <v>0</v>
      </c>
      <c r="AP2501" s="4">
        <v>42</v>
      </c>
      <c r="AQ2501" s="4">
        <v>59</v>
      </c>
      <c r="AR2501" s="3" t="s">
        <v>61</v>
      </c>
      <c r="AS2501" s="3" t="s">
        <v>62</v>
      </c>
      <c r="AT2501" s="3" t="s">
        <v>61</v>
      </c>
      <c r="AU2501" s="6" t="str">
        <f>HYPERLINK("http://catalog.hathitrust.org/Record/002197555","HathiTrust Record")</f>
        <v>HathiTrust Record</v>
      </c>
      <c r="AV2501" s="6" t="str">
        <f>HYPERLINK("http://mcgill.on.worldcat.org/oclc/9753070","Catalog Record")</f>
        <v>Catalog Record</v>
      </c>
      <c r="AW2501" s="6" t="str">
        <f>HYPERLINK("http://www.worldcat.org/oclc/9753070","WorldCat Record")</f>
        <v>WorldCat Record</v>
      </c>
      <c r="AX2501" s="3" t="s">
        <v>24523</v>
      </c>
      <c r="AY2501" s="3" t="s">
        <v>24524</v>
      </c>
      <c r="AZ2501" s="3" t="s">
        <v>24525</v>
      </c>
      <c r="BA2501" s="3" t="s">
        <v>24525</v>
      </c>
      <c r="BB2501" s="3" t="s">
        <v>24532</v>
      </c>
      <c r="BC2501" s="3" t="s">
        <v>142</v>
      </c>
      <c r="BD2501" s="3" t="s">
        <v>68</v>
      </c>
      <c r="BE2501" s="3" t="s">
        <v>24527</v>
      </c>
      <c r="BF2501" s="3" t="s">
        <v>24532</v>
      </c>
      <c r="BG2501" s="3" t="s">
        <v>24533</v>
      </c>
    </row>
    <row r="2502" spans="1:59" ht="57" x14ac:dyDescent="0.45">
      <c r="A2502" s="2" t="s">
        <v>59</v>
      </c>
      <c r="B2502" s="2" t="s">
        <v>60</v>
      </c>
      <c r="C2502" s="2" t="s">
        <v>24534</v>
      </c>
      <c r="D2502" s="2" t="s">
        <v>24535</v>
      </c>
      <c r="E2502" s="2" t="s">
        <v>24536</v>
      </c>
      <c r="G2502" s="3" t="s">
        <v>62</v>
      </c>
      <c r="I2502" s="3" t="s">
        <v>61</v>
      </c>
      <c r="J2502" s="3" t="s">
        <v>62</v>
      </c>
      <c r="K2502" s="3" t="s">
        <v>63</v>
      </c>
      <c r="L2502" s="2" t="s">
        <v>16467</v>
      </c>
      <c r="M2502" s="2" t="s">
        <v>24537</v>
      </c>
      <c r="N2502" s="3" t="s">
        <v>1097</v>
      </c>
      <c r="P2502" s="3" t="s">
        <v>65</v>
      </c>
      <c r="R2502" s="3" t="s">
        <v>66</v>
      </c>
      <c r="S2502" s="4">
        <v>29</v>
      </c>
      <c r="T2502" s="4">
        <v>65</v>
      </c>
      <c r="U2502" s="5" t="s">
        <v>14301</v>
      </c>
      <c r="V2502" s="5" t="s">
        <v>14301</v>
      </c>
      <c r="W2502" s="5" t="s">
        <v>67</v>
      </c>
      <c r="X2502" s="5" t="s">
        <v>67</v>
      </c>
      <c r="Y2502" s="4">
        <v>728</v>
      </c>
      <c r="Z2502" s="4">
        <v>43</v>
      </c>
      <c r="AA2502" s="4">
        <v>49</v>
      </c>
      <c r="AB2502" s="4">
        <v>4</v>
      </c>
      <c r="AC2502" s="4">
        <v>8</v>
      </c>
      <c r="AD2502" s="4">
        <v>117</v>
      </c>
      <c r="AE2502" s="4">
        <v>121</v>
      </c>
      <c r="AF2502" s="4">
        <v>2</v>
      </c>
      <c r="AG2502" s="4">
        <v>4</v>
      </c>
      <c r="AH2502" s="4">
        <v>97</v>
      </c>
      <c r="AI2502" s="4">
        <v>99</v>
      </c>
      <c r="AJ2502" s="4">
        <v>16</v>
      </c>
      <c r="AK2502" s="4">
        <v>20</v>
      </c>
      <c r="AL2502" s="4">
        <v>55</v>
      </c>
      <c r="AM2502" s="4">
        <v>55</v>
      </c>
      <c r="AN2502" s="4">
        <v>0</v>
      </c>
      <c r="AO2502" s="4">
        <v>0</v>
      </c>
      <c r="AP2502" s="4">
        <v>26</v>
      </c>
      <c r="AQ2502" s="4">
        <v>29</v>
      </c>
      <c r="AR2502" s="3" t="s">
        <v>62</v>
      </c>
      <c r="AS2502" s="3" t="s">
        <v>62</v>
      </c>
      <c r="AT2502" s="3" t="s">
        <v>62</v>
      </c>
      <c r="AV2502" s="6" t="str">
        <f>HYPERLINK("http://mcgill.on.worldcat.org/oclc/53215789","Catalog Record")</f>
        <v>Catalog Record</v>
      </c>
      <c r="AW2502" s="6" t="str">
        <f>HYPERLINK("http://www.worldcat.org/oclc/53215789","WorldCat Record")</f>
        <v>WorldCat Record</v>
      </c>
      <c r="AX2502" s="3" t="s">
        <v>24538</v>
      </c>
      <c r="AY2502" s="3" t="s">
        <v>24539</v>
      </c>
      <c r="AZ2502" s="3" t="s">
        <v>24540</v>
      </c>
      <c r="BA2502" s="3" t="s">
        <v>24540</v>
      </c>
      <c r="BB2502" s="3" t="s">
        <v>24541</v>
      </c>
      <c r="BC2502" s="3" t="s">
        <v>142</v>
      </c>
      <c r="BD2502" s="3" t="s">
        <v>68</v>
      </c>
      <c r="BE2502" s="3" t="s">
        <v>24542</v>
      </c>
      <c r="BF2502" s="3" t="s">
        <v>24541</v>
      </c>
      <c r="BG2502" s="3" t="s">
        <v>24543</v>
      </c>
    </row>
    <row r="2503" spans="1:59" ht="57" x14ac:dyDescent="0.45">
      <c r="A2503" s="2" t="s">
        <v>59</v>
      </c>
      <c r="B2503" s="2" t="s">
        <v>60</v>
      </c>
      <c r="C2503" s="2" t="s">
        <v>24534</v>
      </c>
      <c r="D2503" s="2" t="s">
        <v>24535</v>
      </c>
      <c r="E2503" s="2" t="s">
        <v>24536</v>
      </c>
      <c r="G2503" s="3" t="s">
        <v>62</v>
      </c>
      <c r="I2503" s="3" t="s">
        <v>61</v>
      </c>
      <c r="J2503" s="3" t="s">
        <v>62</v>
      </c>
      <c r="K2503" s="3" t="s">
        <v>63</v>
      </c>
      <c r="L2503" s="2" t="s">
        <v>16467</v>
      </c>
      <c r="M2503" s="2" t="s">
        <v>24537</v>
      </c>
      <c r="N2503" s="3" t="s">
        <v>1097</v>
      </c>
      <c r="P2503" s="3" t="s">
        <v>65</v>
      </c>
      <c r="R2503" s="3" t="s">
        <v>66</v>
      </c>
      <c r="S2503" s="4">
        <v>36</v>
      </c>
      <c r="T2503" s="4">
        <v>65</v>
      </c>
      <c r="U2503" s="5" t="s">
        <v>24544</v>
      </c>
      <c r="V2503" s="5" t="s">
        <v>14301</v>
      </c>
      <c r="W2503" s="5" t="s">
        <v>67</v>
      </c>
      <c r="X2503" s="5" t="s">
        <v>67</v>
      </c>
      <c r="Y2503" s="4">
        <v>728</v>
      </c>
      <c r="Z2503" s="4">
        <v>43</v>
      </c>
      <c r="AA2503" s="4">
        <v>49</v>
      </c>
      <c r="AB2503" s="4">
        <v>4</v>
      </c>
      <c r="AC2503" s="4">
        <v>8</v>
      </c>
      <c r="AD2503" s="4">
        <v>117</v>
      </c>
      <c r="AE2503" s="4">
        <v>121</v>
      </c>
      <c r="AF2503" s="4">
        <v>2</v>
      </c>
      <c r="AG2503" s="4">
        <v>4</v>
      </c>
      <c r="AH2503" s="4">
        <v>97</v>
      </c>
      <c r="AI2503" s="4">
        <v>99</v>
      </c>
      <c r="AJ2503" s="4">
        <v>16</v>
      </c>
      <c r="AK2503" s="4">
        <v>20</v>
      </c>
      <c r="AL2503" s="4">
        <v>55</v>
      </c>
      <c r="AM2503" s="4">
        <v>55</v>
      </c>
      <c r="AN2503" s="4">
        <v>0</v>
      </c>
      <c r="AO2503" s="4">
        <v>0</v>
      </c>
      <c r="AP2503" s="4">
        <v>26</v>
      </c>
      <c r="AQ2503" s="4">
        <v>29</v>
      </c>
      <c r="AR2503" s="3" t="s">
        <v>62</v>
      </c>
      <c r="AS2503" s="3" t="s">
        <v>62</v>
      </c>
      <c r="AT2503" s="3" t="s">
        <v>62</v>
      </c>
      <c r="AV2503" s="6" t="str">
        <f>HYPERLINK("http://mcgill.on.worldcat.org/oclc/53215789","Catalog Record")</f>
        <v>Catalog Record</v>
      </c>
      <c r="AW2503" s="6" t="str">
        <f>HYPERLINK("http://www.worldcat.org/oclc/53215789","WorldCat Record")</f>
        <v>WorldCat Record</v>
      </c>
      <c r="AX2503" s="3" t="s">
        <v>24538</v>
      </c>
      <c r="AY2503" s="3" t="s">
        <v>24539</v>
      </c>
      <c r="AZ2503" s="3" t="s">
        <v>24540</v>
      </c>
      <c r="BA2503" s="3" t="s">
        <v>24540</v>
      </c>
      <c r="BB2503" s="3" t="s">
        <v>24545</v>
      </c>
      <c r="BC2503" s="3" t="s">
        <v>142</v>
      </c>
      <c r="BD2503" s="3" t="s">
        <v>68</v>
      </c>
      <c r="BE2503" s="3" t="s">
        <v>24542</v>
      </c>
      <c r="BF2503" s="3" t="s">
        <v>24545</v>
      </c>
      <c r="BG2503" s="3" t="s">
        <v>24546</v>
      </c>
    </row>
    <row r="2504" spans="1:59" ht="57" x14ac:dyDescent="0.45">
      <c r="A2504" s="2" t="s">
        <v>59</v>
      </c>
      <c r="B2504" s="2" t="s">
        <v>60</v>
      </c>
      <c r="C2504" s="2" t="s">
        <v>24547</v>
      </c>
      <c r="D2504" s="2" t="s">
        <v>24548</v>
      </c>
      <c r="E2504" s="2" t="s">
        <v>24549</v>
      </c>
      <c r="G2504" s="3" t="s">
        <v>62</v>
      </c>
      <c r="I2504" s="3" t="s">
        <v>62</v>
      </c>
      <c r="J2504" s="3" t="s">
        <v>62</v>
      </c>
      <c r="K2504" s="3" t="s">
        <v>63</v>
      </c>
      <c r="L2504" s="2" t="s">
        <v>24550</v>
      </c>
      <c r="M2504" s="2" t="s">
        <v>24551</v>
      </c>
      <c r="N2504" s="3" t="s">
        <v>1155</v>
      </c>
      <c r="O2504" s="2" t="s">
        <v>933</v>
      </c>
      <c r="P2504" s="3" t="s">
        <v>65</v>
      </c>
      <c r="R2504" s="3" t="s">
        <v>66</v>
      </c>
      <c r="S2504" s="4">
        <v>2</v>
      </c>
      <c r="T2504" s="4">
        <v>2</v>
      </c>
      <c r="U2504" s="5" t="s">
        <v>24552</v>
      </c>
      <c r="V2504" s="5" t="s">
        <v>24552</v>
      </c>
      <c r="W2504" s="5" t="s">
        <v>67</v>
      </c>
      <c r="X2504" s="5" t="s">
        <v>67</v>
      </c>
      <c r="Y2504" s="4">
        <v>213</v>
      </c>
      <c r="Z2504" s="4">
        <v>18</v>
      </c>
      <c r="AA2504" s="4">
        <v>89</v>
      </c>
      <c r="AB2504" s="4">
        <v>2</v>
      </c>
      <c r="AC2504" s="4">
        <v>15</v>
      </c>
      <c r="AD2504" s="4">
        <v>56</v>
      </c>
      <c r="AE2504" s="4">
        <v>147</v>
      </c>
      <c r="AF2504" s="4">
        <v>1</v>
      </c>
      <c r="AG2504" s="4">
        <v>8</v>
      </c>
      <c r="AH2504" s="4">
        <v>52</v>
      </c>
      <c r="AI2504" s="4">
        <v>110</v>
      </c>
      <c r="AJ2504" s="4">
        <v>12</v>
      </c>
      <c r="AK2504" s="4">
        <v>25</v>
      </c>
      <c r="AL2504" s="4">
        <v>27</v>
      </c>
      <c r="AM2504" s="4">
        <v>57</v>
      </c>
      <c r="AN2504" s="4">
        <v>0</v>
      </c>
      <c r="AO2504" s="4">
        <v>0</v>
      </c>
      <c r="AP2504" s="4">
        <v>13</v>
      </c>
      <c r="AQ2504" s="4">
        <v>47</v>
      </c>
      <c r="AR2504" s="3" t="s">
        <v>62</v>
      </c>
      <c r="AS2504" s="3" t="s">
        <v>62</v>
      </c>
      <c r="AT2504" s="3" t="s">
        <v>62</v>
      </c>
      <c r="AV2504" s="6" t="str">
        <f>HYPERLINK("http://mcgill.on.worldcat.org/oclc/755698771","Catalog Record")</f>
        <v>Catalog Record</v>
      </c>
      <c r="AW2504" s="6" t="str">
        <f>HYPERLINK("http://www.worldcat.org/oclc/755698771","WorldCat Record")</f>
        <v>WorldCat Record</v>
      </c>
      <c r="AX2504" s="3" t="s">
        <v>24553</v>
      </c>
      <c r="AY2504" s="3" t="s">
        <v>24554</v>
      </c>
      <c r="AZ2504" s="3" t="s">
        <v>24555</v>
      </c>
      <c r="BA2504" s="3" t="s">
        <v>24555</v>
      </c>
      <c r="BB2504" s="3" t="s">
        <v>24556</v>
      </c>
      <c r="BC2504" s="3" t="s">
        <v>142</v>
      </c>
      <c r="BD2504" s="3" t="s">
        <v>68</v>
      </c>
      <c r="BE2504" s="3" t="s">
        <v>24557</v>
      </c>
      <c r="BF2504" s="3" t="s">
        <v>24556</v>
      </c>
      <c r="BG2504" s="3" t="s">
        <v>24558</v>
      </c>
    </row>
    <row r="2505" spans="1:59" ht="57" x14ac:dyDescent="0.45">
      <c r="A2505" s="2" t="s">
        <v>59</v>
      </c>
      <c r="B2505" s="2" t="s">
        <v>60</v>
      </c>
      <c r="C2505" s="2" t="s">
        <v>24559</v>
      </c>
      <c r="D2505" s="2" t="s">
        <v>24560</v>
      </c>
      <c r="E2505" s="2" t="s">
        <v>24561</v>
      </c>
      <c r="G2505" s="3" t="s">
        <v>62</v>
      </c>
      <c r="I2505" s="3" t="s">
        <v>62</v>
      </c>
      <c r="J2505" s="3" t="s">
        <v>61</v>
      </c>
      <c r="K2505" s="3" t="s">
        <v>63</v>
      </c>
      <c r="L2505" s="2" t="s">
        <v>24562</v>
      </c>
      <c r="M2505" s="2" t="s">
        <v>24563</v>
      </c>
      <c r="N2505" s="3" t="s">
        <v>116</v>
      </c>
      <c r="O2505" s="2" t="s">
        <v>3280</v>
      </c>
      <c r="P2505" s="3" t="s">
        <v>65</v>
      </c>
      <c r="R2505" s="3" t="s">
        <v>66</v>
      </c>
      <c r="S2505" s="4">
        <v>0</v>
      </c>
      <c r="T2505" s="4">
        <v>0</v>
      </c>
      <c r="W2505" s="5" t="s">
        <v>67</v>
      </c>
      <c r="X2505" s="5" t="s">
        <v>67</v>
      </c>
      <c r="Y2505" s="4">
        <v>158</v>
      </c>
      <c r="Z2505" s="4">
        <v>18</v>
      </c>
      <c r="AA2505" s="4">
        <v>65</v>
      </c>
      <c r="AB2505" s="4">
        <v>2</v>
      </c>
      <c r="AC2505" s="4">
        <v>11</v>
      </c>
      <c r="AD2505" s="4">
        <v>59</v>
      </c>
      <c r="AE2505" s="4">
        <v>114</v>
      </c>
      <c r="AF2505" s="4">
        <v>1</v>
      </c>
      <c r="AG2505" s="4">
        <v>4</v>
      </c>
      <c r="AH2505" s="4">
        <v>53</v>
      </c>
      <c r="AI2505" s="4">
        <v>93</v>
      </c>
      <c r="AJ2505" s="4">
        <v>13</v>
      </c>
      <c r="AK2505" s="4">
        <v>21</v>
      </c>
      <c r="AL2505" s="4">
        <v>28</v>
      </c>
      <c r="AM2505" s="4">
        <v>47</v>
      </c>
      <c r="AN2505" s="4">
        <v>0</v>
      </c>
      <c r="AO2505" s="4">
        <v>0</v>
      </c>
      <c r="AP2505" s="4">
        <v>14</v>
      </c>
      <c r="AQ2505" s="4">
        <v>28</v>
      </c>
      <c r="AR2505" s="3" t="s">
        <v>62</v>
      </c>
      <c r="AS2505" s="3" t="s">
        <v>62</v>
      </c>
      <c r="AT2505" s="3" t="s">
        <v>62</v>
      </c>
      <c r="AV2505" s="6" t="str">
        <f>HYPERLINK("http://mcgill.on.worldcat.org/oclc/843035164","Catalog Record")</f>
        <v>Catalog Record</v>
      </c>
      <c r="AW2505" s="6" t="str">
        <f>HYPERLINK("http://www.worldcat.org/oclc/843035164","WorldCat Record")</f>
        <v>WorldCat Record</v>
      </c>
      <c r="AX2505" s="3" t="s">
        <v>24564</v>
      </c>
      <c r="AY2505" s="3" t="s">
        <v>24565</v>
      </c>
      <c r="AZ2505" s="3" t="s">
        <v>24566</v>
      </c>
      <c r="BA2505" s="3" t="s">
        <v>24566</v>
      </c>
      <c r="BB2505" s="3" t="s">
        <v>24567</v>
      </c>
      <c r="BC2505" s="3" t="s">
        <v>142</v>
      </c>
      <c r="BD2505" s="3" t="s">
        <v>68</v>
      </c>
      <c r="BE2505" s="3" t="s">
        <v>24568</v>
      </c>
      <c r="BF2505" s="3" t="s">
        <v>24567</v>
      </c>
      <c r="BG2505" s="3" t="s">
        <v>24569</v>
      </c>
    </row>
    <row r="2506" spans="1:59" ht="57" x14ac:dyDescent="0.45">
      <c r="A2506" s="2" t="s">
        <v>59</v>
      </c>
      <c r="B2506" s="2" t="s">
        <v>60</v>
      </c>
      <c r="C2506" s="2" t="s">
        <v>24570</v>
      </c>
      <c r="D2506" s="2" t="s">
        <v>24571</v>
      </c>
      <c r="E2506" s="2" t="s">
        <v>24572</v>
      </c>
      <c r="G2506" s="3" t="s">
        <v>62</v>
      </c>
      <c r="I2506" s="3" t="s">
        <v>62</v>
      </c>
      <c r="J2506" s="3" t="s">
        <v>62</v>
      </c>
      <c r="K2506" s="3" t="s">
        <v>63</v>
      </c>
      <c r="L2506" s="2" t="s">
        <v>24573</v>
      </c>
      <c r="M2506" s="2" t="s">
        <v>24574</v>
      </c>
      <c r="N2506" s="3" t="s">
        <v>116</v>
      </c>
      <c r="O2506" s="2" t="s">
        <v>1748</v>
      </c>
      <c r="P2506" s="3" t="s">
        <v>65</v>
      </c>
      <c r="R2506" s="3" t="s">
        <v>66</v>
      </c>
      <c r="S2506" s="4">
        <v>7</v>
      </c>
      <c r="T2506" s="4">
        <v>7</v>
      </c>
      <c r="U2506" s="5" t="s">
        <v>12004</v>
      </c>
      <c r="V2506" s="5" t="s">
        <v>12004</v>
      </c>
      <c r="W2506" s="5" t="s">
        <v>67</v>
      </c>
      <c r="X2506" s="5" t="s">
        <v>67</v>
      </c>
      <c r="Y2506" s="4">
        <v>552</v>
      </c>
      <c r="Z2506" s="4">
        <v>36</v>
      </c>
      <c r="AA2506" s="4">
        <v>41</v>
      </c>
      <c r="AB2506" s="4">
        <v>3</v>
      </c>
      <c r="AC2506" s="4">
        <v>7</v>
      </c>
      <c r="AD2506" s="4">
        <v>84</v>
      </c>
      <c r="AE2506" s="4">
        <v>87</v>
      </c>
      <c r="AF2506" s="4">
        <v>1</v>
      </c>
      <c r="AG2506" s="4">
        <v>2</v>
      </c>
      <c r="AH2506" s="4">
        <v>75</v>
      </c>
      <c r="AI2506" s="4">
        <v>77</v>
      </c>
      <c r="AJ2506" s="4">
        <v>13</v>
      </c>
      <c r="AK2506" s="4">
        <v>15</v>
      </c>
      <c r="AL2506" s="4">
        <v>45</v>
      </c>
      <c r="AM2506" s="4">
        <v>45</v>
      </c>
      <c r="AN2506" s="4">
        <v>0</v>
      </c>
      <c r="AO2506" s="4">
        <v>0</v>
      </c>
      <c r="AP2506" s="4">
        <v>16</v>
      </c>
      <c r="AQ2506" s="4">
        <v>18</v>
      </c>
      <c r="AR2506" s="3" t="s">
        <v>62</v>
      </c>
      <c r="AS2506" s="3" t="s">
        <v>62</v>
      </c>
      <c r="AT2506" s="3" t="s">
        <v>62</v>
      </c>
      <c r="AV2506" s="6" t="str">
        <f>HYPERLINK("http://mcgill.on.worldcat.org/oclc/827256545","Catalog Record")</f>
        <v>Catalog Record</v>
      </c>
      <c r="AW2506" s="6" t="str">
        <f>HYPERLINK("http://www.worldcat.org/oclc/827256545","WorldCat Record")</f>
        <v>WorldCat Record</v>
      </c>
      <c r="AX2506" s="3" t="s">
        <v>24575</v>
      </c>
      <c r="AY2506" s="3" t="s">
        <v>24576</v>
      </c>
      <c r="AZ2506" s="3" t="s">
        <v>24577</v>
      </c>
      <c r="BA2506" s="3" t="s">
        <v>24577</v>
      </c>
      <c r="BB2506" s="3" t="s">
        <v>24578</v>
      </c>
      <c r="BC2506" s="3" t="s">
        <v>142</v>
      </c>
      <c r="BD2506" s="3" t="s">
        <v>308</v>
      </c>
      <c r="BE2506" s="3" t="s">
        <v>24579</v>
      </c>
      <c r="BF2506" s="3" t="s">
        <v>24578</v>
      </c>
      <c r="BG2506" s="3" t="s">
        <v>24580</v>
      </c>
    </row>
    <row r="2507" spans="1:59" ht="57" x14ac:dyDescent="0.45">
      <c r="A2507" s="2" t="s">
        <v>59</v>
      </c>
      <c r="B2507" s="2" t="s">
        <v>60</v>
      </c>
      <c r="C2507" s="2" t="s">
        <v>24581</v>
      </c>
      <c r="D2507" s="2" t="s">
        <v>24582</v>
      </c>
      <c r="E2507" s="2" t="s">
        <v>24583</v>
      </c>
      <c r="G2507" s="3" t="s">
        <v>62</v>
      </c>
      <c r="I2507" s="3" t="s">
        <v>62</v>
      </c>
      <c r="J2507" s="3" t="s">
        <v>62</v>
      </c>
      <c r="K2507" s="3" t="s">
        <v>63</v>
      </c>
      <c r="M2507" s="2" t="s">
        <v>14816</v>
      </c>
      <c r="N2507" s="3" t="s">
        <v>1918</v>
      </c>
      <c r="P2507" s="3" t="s">
        <v>65</v>
      </c>
      <c r="R2507" s="3" t="s">
        <v>66</v>
      </c>
      <c r="S2507" s="4">
        <v>2</v>
      </c>
      <c r="T2507" s="4">
        <v>2</v>
      </c>
      <c r="U2507" s="5" t="s">
        <v>8982</v>
      </c>
      <c r="V2507" s="5" t="s">
        <v>8982</v>
      </c>
      <c r="W2507" s="5" t="s">
        <v>67</v>
      </c>
      <c r="X2507" s="5" t="s">
        <v>67</v>
      </c>
      <c r="Y2507" s="4">
        <v>117</v>
      </c>
      <c r="Z2507" s="4">
        <v>5</v>
      </c>
      <c r="AA2507" s="4">
        <v>12</v>
      </c>
      <c r="AB2507" s="4">
        <v>2</v>
      </c>
      <c r="AC2507" s="4">
        <v>5</v>
      </c>
      <c r="AD2507" s="4">
        <v>32</v>
      </c>
      <c r="AE2507" s="4">
        <v>49</v>
      </c>
      <c r="AF2507" s="4">
        <v>1</v>
      </c>
      <c r="AG2507" s="4">
        <v>1</v>
      </c>
      <c r="AH2507" s="4">
        <v>30</v>
      </c>
      <c r="AI2507" s="4">
        <v>45</v>
      </c>
      <c r="AJ2507" s="4">
        <v>3</v>
      </c>
      <c r="AK2507" s="4">
        <v>7</v>
      </c>
      <c r="AL2507" s="4">
        <v>21</v>
      </c>
      <c r="AM2507" s="4">
        <v>29</v>
      </c>
      <c r="AN2507" s="4">
        <v>0</v>
      </c>
      <c r="AO2507" s="4">
        <v>0</v>
      </c>
      <c r="AP2507" s="4">
        <v>3</v>
      </c>
      <c r="AQ2507" s="4">
        <v>7</v>
      </c>
      <c r="AR2507" s="3" t="s">
        <v>62</v>
      </c>
      <c r="AS2507" s="3" t="s">
        <v>62</v>
      </c>
      <c r="AT2507" s="3" t="s">
        <v>62</v>
      </c>
      <c r="AV2507" s="6" t="str">
        <f>HYPERLINK("http://mcgill.on.worldcat.org/oclc/954007345","Catalog Record")</f>
        <v>Catalog Record</v>
      </c>
      <c r="AW2507" s="6" t="str">
        <f>HYPERLINK("http://www.worldcat.org/oclc/954007345","WorldCat Record")</f>
        <v>WorldCat Record</v>
      </c>
      <c r="AX2507" s="3" t="s">
        <v>24584</v>
      </c>
      <c r="AY2507" s="3" t="s">
        <v>24585</v>
      </c>
      <c r="AZ2507" s="3" t="s">
        <v>24586</v>
      </c>
      <c r="BA2507" s="3" t="s">
        <v>24586</v>
      </c>
      <c r="BB2507" s="3" t="s">
        <v>24587</v>
      </c>
      <c r="BC2507" s="3" t="s">
        <v>142</v>
      </c>
      <c r="BD2507" s="3" t="s">
        <v>68</v>
      </c>
      <c r="BE2507" s="3" t="s">
        <v>24588</v>
      </c>
      <c r="BF2507" s="3" t="s">
        <v>24587</v>
      </c>
      <c r="BG2507" s="3" t="s">
        <v>24589</v>
      </c>
    </row>
    <row r="2508" spans="1:59" ht="57" x14ac:dyDescent="0.45">
      <c r="A2508" s="2" t="s">
        <v>59</v>
      </c>
      <c r="B2508" s="2" t="s">
        <v>60</v>
      </c>
      <c r="C2508" s="2" t="s">
        <v>24590</v>
      </c>
      <c r="D2508" s="2" t="s">
        <v>24591</v>
      </c>
      <c r="E2508" s="2" t="s">
        <v>24592</v>
      </c>
      <c r="G2508" s="3" t="s">
        <v>62</v>
      </c>
      <c r="I2508" s="3" t="s">
        <v>62</v>
      </c>
      <c r="J2508" s="3" t="s">
        <v>62</v>
      </c>
      <c r="K2508" s="3" t="s">
        <v>63</v>
      </c>
      <c r="M2508" s="2" t="s">
        <v>24593</v>
      </c>
      <c r="N2508" s="3" t="s">
        <v>894</v>
      </c>
      <c r="P2508" s="3" t="s">
        <v>65</v>
      </c>
      <c r="Q2508" s="2" t="s">
        <v>22169</v>
      </c>
      <c r="R2508" s="3" t="s">
        <v>66</v>
      </c>
      <c r="S2508" s="4">
        <v>3</v>
      </c>
      <c r="T2508" s="4">
        <v>3</v>
      </c>
      <c r="U2508" s="5" t="s">
        <v>13146</v>
      </c>
      <c r="V2508" s="5" t="s">
        <v>13146</v>
      </c>
      <c r="W2508" s="5" t="s">
        <v>67</v>
      </c>
      <c r="X2508" s="5" t="s">
        <v>67</v>
      </c>
      <c r="Y2508" s="4">
        <v>159</v>
      </c>
      <c r="Z2508" s="4">
        <v>17</v>
      </c>
      <c r="AA2508" s="4">
        <v>39</v>
      </c>
      <c r="AB2508" s="4">
        <v>1</v>
      </c>
      <c r="AC2508" s="4">
        <v>10</v>
      </c>
      <c r="AD2508" s="4">
        <v>44</v>
      </c>
      <c r="AE2508" s="4">
        <v>86</v>
      </c>
      <c r="AF2508" s="4">
        <v>0</v>
      </c>
      <c r="AG2508" s="4">
        <v>5</v>
      </c>
      <c r="AH2508" s="4">
        <v>38</v>
      </c>
      <c r="AI2508" s="4">
        <v>70</v>
      </c>
      <c r="AJ2508" s="4">
        <v>11</v>
      </c>
      <c r="AK2508" s="4">
        <v>20</v>
      </c>
      <c r="AL2508" s="4">
        <v>18</v>
      </c>
      <c r="AM2508" s="4">
        <v>36</v>
      </c>
      <c r="AN2508" s="4">
        <v>0</v>
      </c>
      <c r="AO2508" s="4">
        <v>0</v>
      </c>
      <c r="AP2508" s="4">
        <v>15</v>
      </c>
      <c r="AQ2508" s="4">
        <v>26</v>
      </c>
      <c r="AR2508" s="3" t="s">
        <v>62</v>
      </c>
      <c r="AS2508" s="3" t="s">
        <v>62</v>
      </c>
      <c r="AT2508" s="3" t="s">
        <v>62</v>
      </c>
      <c r="AV2508" s="6" t="str">
        <f>HYPERLINK("http://mcgill.on.worldcat.org/oclc/679941456","Catalog Record")</f>
        <v>Catalog Record</v>
      </c>
      <c r="AW2508" s="6" t="str">
        <f>HYPERLINK("http://www.worldcat.org/oclc/679941456","WorldCat Record")</f>
        <v>WorldCat Record</v>
      </c>
      <c r="AX2508" s="3" t="s">
        <v>24594</v>
      </c>
      <c r="AY2508" s="3" t="s">
        <v>24595</v>
      </c>
      <c r="AZ2508" s="3" t="s">
        <v>24596</v>
      </c>
      <c r="BA2508" s="3" t="s">
        <v>24596</v>
      </c>
      <c r="BB2508" s="3" t="s">
        <v>24597</v>
      </c>
      <c r="BC2508" s="3" t="s">
        <v>142</v>
      </c>
      <c r="BD2508" s="3" t="s">
        <v>68</v>
      </c>
      <c r="BE2508" s="3" t="s">
        <v>24598</v>
      </c>
      <c r="BF2508" s="3" t="s">
        <v>24597</v>
      </c>
      <c r="BG2508" s="3" t="s">
        <v>24599</v>
      </c>
    </row>
    <row r="2509" spans="1:59" ht="71.25" x14ac:dyDescent="0.45">
      <c r="A2509" s="2" t="s">
        <v>59</v>
      </c>
      <c r="B2509" s="2" t="s">
        <v>60</v>
      </c>
      <c r="C2509" s="2" t="s">
        <v>24600</v>
      </c>
      <c r="D2509" s="2" t="s">
        <v>24601</v>
      </c>
      <c r="E2509" s="2" t="s">
        <v>24602</v>
      </c>
      <c r="G2509" s="3" t="s">
        <v>62</v>
      </c>
      <c r="I2509" s="3" t="s">
        <v>62</v>
      </c>
      <c r="J2509" s="3" t="s">
        <v>62</v>
      </c>
      <c r="K2509" s="3" t="s">
        <v>63</v>
      </c>
      <c r="M2509" s="2" t="s">
        <v>24603</v>
      </c>
      <c r="N2509" s="3" t="s">
        <v>894</v>
      </c>
      <c r="P2509" s="3" t="s">
        <v>65</v>
      </c>
      <c r="R2509" s="3" t="s">
        <v>66</v>
      </c>
      <c r="S2509" s="4">
        <v>1</v>
      </c>
      <c r="T2509" s="4">
        <v>1</v>
      </c>
      <c r="U2509" s="5" t="s">
        <v>24604</v>
      </c>
      <c r="V2509" s="5" t="s">
        <v>24604</v>
      </c>
      <c r="W2509" s="5" t="s">
        <v>67</v>
      </c>
      <c r="X2509" s="5" t="s">
        <v>67</v>
      </c>
      <c r="Y2509" s="4">
        <v>139</v>
      </c>
      <c r="Z2509" s="4">
        <v>33</v>
      </c>
      <c r="AA2509" s="4">
        <v>114</v>
      </c>
      <c r="AB2509" s="4">
        <v>2</v>
      </c>
      <c r="AC2509" s="4">
        <v>19</v>
      </c>
      <c r="AD2509" s="4">
        <v>69</v>
      </c>
      <c r="AE2509" s="4">
        <v>127</v>
      </c>
      <c r="AF2509" s="4">
        <v>1</v>
      </c>
      <c r="AG2509" s="4">
        <v>8</v>
      </c>
      <c r="AH2509" s="4">
        <v>54</v>
      </c>
      <c r="AI2509" s="4">
        <v>84</v>
      </c>
      <c r="AJ2509" s="4">
        <v>21</v>
      </c>
      <c r="AK2509" s="4">
        <v>28</v>
      </c>
      <c r="AL2509" s="4">
        <v>25</v>
      </c>
      <c r="AM2509" s="4">
        <v>41</v>
      </c>
      <c r="AN2509" s="4">
        <v>0</v>
      </c>
      <c r="AO2509" s="4">
        <v>0</v>
      </c>
      <c r="AP2509" s="4">
        <v>24</v>
      </c>
      <c r="AQ2509" s="4">
        <v>53</v>
      </c>
      <c r="AR2509" s="3" t="s">
        <v>61</v>
      </c>
      <c r="AS2509" s="3" t="s">
        <v>62</v>
      </c>
      <c r="AT2509" s="3" t="s">
        <v>62</v>
      </c>
      <c r="AV2509" s="6" t="str">
        <f>HYPERLINK("http://mcgill.on.worldcat.org/oclc/726556378","Catalog Record")</f>
        <v>Catalog Record</v>
      </c>
      <c r="AW2509" s="6" t="str">
        <f>HYPERLINK("http://www.worldcat.org/oclc/726556378","WorldCat Record")</f>
        <v>WorldCat Record</v>
      </c>
      <c r="AX2509" s="3" t="s">
        <v>24605</v>
      </c>
      <c r="AY2509" s="3" t="s">
        <v>24606</v>
      </c>
      <c r="AZ2509" s="3" t="s">
        <v>24607</v>
      </c>
      <c r="BA2509" s="3" t="s">
        <v>24607</v>
      </c>
      <c r="BB2509" s="3" t="s">
        <v>24608</v>
      </c>
      <c r="BC2509" s="3" t="s">
        <v>142</v>
      </c>
      <c r="BD2509" s="3" t="s">
        <v>68</v>
      </c>
      <c r="BE2509" s="3" t="s">
        <v>24609</v>
      </c>
      <c r="BF2509" s="3" t="s">
        <v>24608</v>
      </c>
      <c r="BG2509" s="3" t="s">
        <v>24610</v>
      </c>
    </row>
    <row r="2510" spans="1:59" ht="71.25" x14ac:dyDescent="0.45">
      <c r="A2510" s="2" t="s">
        <v>59</v>
      </c>
      <c r="B2510" s="2" t="s">
        <v>60</v>
      </c>
      <c r="C2510" s="2" t="s">
        <v>24611</v>
      </c>
      <c r="D2510" s="2" t="s">
        <v>24612</v>
      </c>
      <c r="E2510" s="2" t="s">
        <v>24613</v>
      </c>
      <c r="G2510" s="3" t="s">
        <v>62</v>
      </c>
      <c r="I2510" s="3" t="s">
        <v>62</v>
      </c>
      <c r="J2510" s="3" t="s">
        <v>61</v>
      </c>
      <c r="K2510" s="3" t="s">
        <v>63</v>
      </c>
      <c r="L2510" s="2" t="s">
        <v>24614</v>
      </c>
      <c r="M2510" s="2" t="s">
        <v>24615</v>
      </c>
      <c r="N2510" s="3" t="s">
        <v>1478</v>
      </c>
      <c r="P2510" s="3" t="s">
        <v>65</v>
      </c>
      <c r="Q2510" s="2" t="s">
        <v>24616</v>
      </c>
      <c r="R2510" s="3" t="s">
        <v>66</v>
      </c>
      <c r="S2510" s="4">
        <v>50</v>
      </c>
      <c r="T2510" s="4">
        <v>50</v>
      </c>
      <c r="U2510" s="5" t="s">
        <v>14087</v>
      </c>
      <c r="V2510" s="5" t="s">
        <v>14087</v>
      </c>
      <c r="W2510" s="5" t="s">
        <v>67</v>
      </c>
      <c r="X2510" s="5" t="s">
        <v>67</v>
      </c>
      <c r="Y2510" s="4">
        <v>403</v>
      </c>
      <c r="Z2510" s="4">
        <v>33</v>
      </c>
      <c r="AA2510" s="4">
        <v>79</v>
      </c>
      <c r="AB2510" s="4">
        <v>2</v>
      </c>
      <c r="AC2510" s="4">
        <v>15</v>
      </c>
      <c r="AD2510" s="4">
        <v>108</v>
      </c>
      <c r="AE2510" s="4">
        <v>133</v>
      </c>
      <c r="AF2510" s="4">
        <v>1</v>
      </c>
      <c r="AG2510" s="4">
        <v>6</v>
      </c>
      <c r="AH2510" s="4">
        <v>88</v>
      </c>
      <c r="AI2510" s="4">
        <v>101</v>
      </c>
      <c r="AJ2510" s="4">
        <v>19</v>
      </c>
      <c r="AK2510" s="4">
        <v>26</v>
      </c>
      <c r="AL2510" s="4">
        <v>47</v>
      </c>
      <c r="AM2510" s="4">
        <v>53</v>
      </c>
      <c r="AN2510" s="4">
        <v>0</v>
      </c>
      <c r="AO2510" s="4">
        <v>0</v>
      </c>
      <c r="AP2510" s="4">
        <v>27</v>
      </c>
      <c r="AQ2510" s="4">
        <v>40</v>
      </c>
      <c r="AR2510" s="3" t="s">
        <v>62</v>
      </c>
      <c r="AS2510" s="3" t="s">
        <v>62</v>
      </c>
      <c r="AT2510" s="3" t="s">
        <v>61</v>
      </c>
      <c r="AU2510" s="6" t="str">
        <f>HYPERLINK("http://catalog.hathitrust.org/Record/003116314","HathiTrust Record")</f>
        <v>HathiTrust Record</v>
      </c>
      <c r="AV2510" s="6" t="str">
        <f>HYPERLINK("http://mcgill.on.worldcat.org/oclc/35844216","Catalog Record")</f>
        <v>Catalog Record</v>
      </c>
      <c r="AW2510" s="6" t="str">
        <f>HYPERLINK("http://www.worldcat.org/oclc/35844216","WorldCat Record")</f>
        <v>WorldCat Record</v>
      </c>
      <c r="AX2510" s="3" t="s">
        <v>24617</v>
      </c>
      <c r="AY2510" s="3" t="s">
        <v>24618</v>
      </c>
      <c r="AZ2510" s="3" t="s">
        <v>24619</v>
      </c>
      <c r="BA2510" s="3" t="s">
        <v>24619</v>
      </c>
      <c r="BB2510" s="3" t="s">
        <v>24620</v>
      </c>
      <c r="BC2510" s="3" t="s">
        <v>142</v>
      </c>
      <c r="BD2510" s="3" t="s">
        <v>68</v>
      </c>
      <c r="BE2510" s="3" t="s">
        <v>24621</v>
      </c>
      <c r="BF2510" s="3" t="s">
        <v>24620</v>
      </c>
      <c r="BG2510" s="3" t="s">
        <v>24622</v>
      </c>
    </row>
    <row r="2511" spans="1:59" ht="71.25" x14ac:dyDescent="0.45">
      <c r="A2511" s="2" t="s">
        <v>59</v>
      </c>
      <c r="B2511" s="2" t="s">
        <v>60</v>
      </c>
      <c r="C2511" s="2" t="s">
        <v>24623</v>
      </c>
      <c r="D2511" s="2" t="s">
        <v>24624</v>
      </c>
      <c r="E2511" s="2" t="s">
        <v>24625</v>
      </c>
      <c r="G2511" s="3" t="s">
        <v>62</v>
      </c>
      <c r="I2511" s="3" t="s">
        <v>62</v>
      </c>
      <c r="J2511" s="3" t="s">
        <v>61</v>
      </c>
      <c r="K2511" s="3" t="s">
        <v>63</v>
      </c>
      <c r="L2511" s="2" t="s">
        <v>24626</v>
      </c>
      <c r="M2511" s="2" t="s">
        <v>14973</v>
      </c>
      <c r="N2511" s="3" t="s">
        <v>1465</v>
      </c>
      <c r="O2511" s="2" t="s">
        <v>3280</v>
      </c>
      <c r="P2511" s="3" t="s">
        <v>65</v>
      </c>
      <c r="R2511" s="3" t="s">
        <v>66</v>
      </c>
      <c r="S2511" s="4">
        <v>15</v>
      </c>
      <c r="T2511" s="4">
        <v>15</v>
      </c>
      <c r="U2511" s="5" t="s">
        <v>111</v>
      </c>
      <c r="V2511" s="5" t="s">
        <v>111</v>
      </c>
      <c r="W2511" s="5" t="s">
        <v>67</v>
      </c>
      <c r="X2511" s="5" t="s">
        <v>67</v>
      </c>
      <c r="Y2511" s="4">
        <v>138</v>
      </c>
      <c r="Z2511" s="4">
        <v>12</v>
      </c>
      <c r="AA2511" s="4">
        <v>79</v>
      </c>
      <c r="AB2511" s="4">
        <v>2</v>
      </c>
      <c r="AC2511" s="4">
        <v>15</v>
      </c>
      <c r="AD2511" s="4">
        <v>41</v>
      </c>
      <c r="AE2511" s="4">
        <v>133</v>
      </c>
      <c r="AF2511" s="4">
        <v>0</v>
      </c>
      <c r="AG2511" s="4">
        <v>6</v>
      </c>
      <c r="AH2511" s="4">
        <v>38</v>
      </c>
      <c r="AI2511" s="4">
        <v>101</v>
      </c>
      <c r="AJ2511" s="4">
        <v>9</v>
      </c>
      <c r="AK2511" s="4">
        <v>26</v>
      </c>
      <c r="AL2511" s="4">
        <v>22</v>
      </c>
      <c r="AM2511" s="4">
        <v>53</v>
      </c>
      <c r="AN2511" s="4">
        <v>0</v>
      </c>
      <c r="AO2511" s="4">
        <v>0</v>
      </c>
      <c r="AP2511" s="4">
        <v>10</v>
      </c>
      <c r="AQ2511" s="4">
        <v>40</v>
      </c>
      <c r="AR2511" s="3" t="s">
        <v>62</v>
      </c>
      <c r="AS2511" s="3" t="s">
        <v>62</v>
      </c>
      <c r="AT2511" s="3" t="s">
        <v>62</v>
      </c>
      <c r="AV2511" s="6" t="str">
        <f>HYPERLINK("http://mcgill.on.worldcat.org/oclc/300402241","Catalog Record")</f>
        <v>Catalog Record</v>
      </c>
      <c r="AW2511" s="6" t="str">
        <f>HYPERLINK("http://www.worldcat.org/oclc/300402241","WorldCat Record")</f>
        <v>WorldCat Record</v>
      </c>
      <c r="AX2511" s="3" t="s">
        <v>24617</v>
      </c>
      <c r="AY2511" s="3" t="s">
        <v>24627</v>
      </c>
      <c r="AZ2511" s="3" t="s">
        <v>24628</v>
      </c>
      <c r="BA2511" s="3" t="s">
        <v>24628</v>
      </c>
      <c r="BB2511" s="3" t="s">
        <v>24629</v>
      </c>
      <c r="BC2511" s="3" t="s">
        <v>142</v>
      </c>
      <c r="BD2511" s="3" t="s">
        <v>68</v>
      </c>
      <c r="BE2511" s="3" t="s">
        <v>24630</v>
      </c>
      <c r="BF2511" s="3" t="s">
        <v>24629</v>
      </c>
      <c r="BG2511" s="3" t="s">
        <v>24631</v>
      </c>
    </row>
    <row r="2512" spans="1:59" ht="57" x14ac:dyDescent="0.45">
      <c r="A2512" s="2" t="s">
        <v>59</v>
      </c>
      <c r="B2512" s="2" t="s">
        <v>60</v>
      </c>
      <c r="C2512" s="2" t="s">
        <v>24632</v>
      </c>
      <c r="D2512" s="2" t="s">
        <v>24633</v>
      </c>
      <c r="E2512" s="2" t="s">
        <v>24634</v>
      </c>
      <c r="G2512" s="3" t="s">
        <v>62</v>
      </c>
      <c r="I2512" s="3" t="s">
        <v>62</v>
      </c>
      <c r="J2512" s="3" t="s">
        <v>61</v>
      </c>
      <c r="K2512" s="3" t="s">
        <v>63</v>
      </c>
      <c r="L2512" s="2" t="s">
        <v>24635</v>
      </c>
      <c r="M2512" s="2" t="s">
        <v>24636</v>
      </c>
      <c r="N2512" s="3" t="s">
        <v>894</v>
      </c>
      <c r="O2512" s="2" t="s">
        <v>933</v>
      </c>
      <c r="P2512" s="3" t="s">
        <v>65</v>
      </c>
      <c r="R2512" s="3" t="s">
        <v>66</v>
      </c>
      <c r="S2512" s="4">
        <v>1</v>
      </c>
      <c r="T2512" s="4">
        <v>1</v>
      </c>
      <c r="U2512" s="5" t="s">
        <v>24637</v>
      </c>
      <c r="V2512" s="5" t="s">
        <v>24637</v>
      </c>
      <c r="W2512" s="5" t="s">
        <v>67</v>
      </c>
      <c r="X2512" s="5" t="s">
        <v>67</v>
      </c>
      <c r="Y2512" s="4">
        <v>306</v>
      </c>
      <c r="Z2512" s="4">
        <v>26</v>
      </c>
      <c r="AA2512" s="4">
        <v>46</v>
      </c>
      <c r="AB2512" s="4">
        <v>2</v>
      </c>
      <c r="AC2512" s="4">
        <v>5</v>
      </c>
      <c r="AD2512" s="4">
        <v>85</v>
      </c>
      <c r="AE2512" s="4">
        <v>126</v>
      </c>
      <c r="AF2512" s="4">
        <v>1</v>
      </c>
      <c r="AG2512" s="4">
        <v>2</v>
      </c>
      <c r="AH2512" s="4">
        <v>74</v>
      </c>
      <c r="AI2512" s="4">
        <v>104</v>
      </c>
      <c r="AJ2512" s="4">
        <v>16</v>
      </c>
      <c r="AK2512" s="4">
        <v>20</v>
      </c>
      <c r="AL2512" s="4">
        <v>36</v>
      </c>
      <c r="AM2512" s="4">
        <v>54</v>
      </c>
      <c r="AN2512" s="4">
        <v>0</v>
      </c>
      <c r="AO2512" s="4">
        <v>0</v>
      </c>
      <c r="AP2512" s="4">
        <v>21</v>
      </c>
      <c r="AQ2512" s="4">
        <v>31</v>
      </c>
      <c r="AR2512" s="3" t="s">
        <v>62</v>
      </c>
      <c r="AS2512" s="3" t="s">
        <v>62</v>
      </c>
      <c r="AT2512" s="3" t="s">
        <v>62</v>
      </c>
      <c r="AV2512" s="6" t="str">
        <f>HYPERLINK("http://mcgill.on.worldcat.org/oclc/657270860","Catalog Record")</f>
        <v>Catalog Record</v>
      </c>
      <c r="AW2512" s="6" t="str">
        <f>HYPERLINK("http://www.worldcat.org/oclc/657270860","WorldCat Record")</f>
        <v>WorldCat Record</v>
      </c>
      <c r="AX2512" s="3" t="s">
        <v>24638</v>
      </c>
      <c r="AY2512" s="3" t="s">
        <v>24639</v>
      </c>
      <c r="AZ2512" s="3" t="s">
        <v>24640</v>
      </c>
      <c r="BA2512" s="3" t="s">
        <v>24640</v>
      </c>
      <c r="BB2512" s="3" t="s">
        <v>24641</v>
      </c>
      <c r="BC2512" s="3" t="s">
        <v>142</v>
      </c>
      <c r="BD2512" s="3" t="s">
        <v>68</v>
      </c>
      <c r="BE2512" s="3" t="s">
        <v>24642</v>
      </c>
      <c r="BF2512" s="3" t="s">
        <v>24641</v>
      </c>
      <c r="BG2512" s="3" t="s">
        <v>24643</v>
      </c>
    </row>
    <row r="2513" spans="1:59" ht="57" x14ac:dyDescent="0.45">
      <c r="A2513" s="2" t="s">
        <v>59</v>
      </c>
      <c r="B2513" s="2" t="s">
        <v>60</v>
      </c>
      <c r="C2513" s="2" t="s">
        <v>24644</v>
      </c>
      <c r="D2513" s="2" t="s">
        <v>24645</v>
      </c>
      <c r="E2513" s="2" t="s">
        <v>24646</v>
      </c>
      <c r="G2513" s="3" t="s">
        <v>62</v>
      </c>
      <c r="I2513" s="3" t="s">
        <v>62</v>
      </c>
      <c r="J2513" s="3" t="s">
        <v>62</v>
      </c>
      <c r="K2513" s="3" t="s">
        <v>63</v>
      </c>
      <c r="M2513" s="2" t="s">
        <v>24647</v>
      </c>
      <c r="N2513" s="3" t="s">
        <v>181</v>
      </c>
      <c r="P2513" s="3" t="s">
        <v>65</v>
      </c>
      <c r="Q2513" s="2" t="s">
        <v>24648</v>
      </c>
      <c r="R2513" s="3" t="s">
        <v>66</v>
      </c>
      <c r="S2513" s="4">
        <v>7</v>
      </c>
      <c r="T2513" s="4">
        <v>7</v>
      </c>
      <c r="U2513" s="5" t="s">
        <v>24649</v>
      </c>
      <c r="V2513" s="5" t="s">
        <v>24649</v>
      </c>
      <c r="W2513" s="5" t="s">
        <v>67</v>
      </c>
      <c r="X2513" s="5" t="s">
        <v>67</v>
      </c>
      <c r="Y2513" s="4">
        <v>57</v>
      </c>
      <c r="Z2513" s="4">
        <v>8</v>
      </c>
      <c r="AA2513" s="4">
        <v>15</v>
      </c>
      <c r="AB2513" s="4">
        <v>2</v>
      </c>
      <c r="AC2513" s="4">
        <v>6</v>
      </c>
      <c r="AD2513" s="4">
        <v>26</v>
      </c>
      <c r="AE2513" s="4">
        <v>47</v>
      </c>
      <c r="AF2513" s="4">
        <v>1</v>
      </c>
      <c r="AG2513" s="4">
        <v>2</v>
      </c>
      <c r="AH2513" s="4">
        <v>22</v>
      </c>
      <c r="AI2513" s="4">
        <v>42</v>
      </c>
      <c r="AJ2513" s="4">
        <v>5</v>
      </c>
      <c r="AK2513" s="4">
        <v>9</v>
      </c>
      <c r="AL2513" s="4">
        <v>15</v>
      </c>
      <c r="AM2513" s="4">
        <v>27</v>
      </c>
      <c r="AN2513" s="4">
        <v>0</v>
      </c>
      <c r="AO2513" s="4">
        <v>0</v>
      </c>
      <c r="AP2513" s="4">
        <v>6</v>
      </c>
      <c r="AQ2513" s="4">
        <v>10</v>
      </c>
      <c r="AR2513" s="3" t="s">
        <v>62</v>
      </c>
      <c r="AS2513" s="3" t="s">
        <v>62</v>
      </c>
      <c r="AT2513" s="3" t="s">
        <v>62</v>
      </c>
      <c r="AV2513" s="6" t="str">
        <f>HYPERLINK("http://mcgill.on.worldcat.org/oclc/903363376","Catalog Record")</f>
        <v>Catalog Record</v>
      </c>
      <c r="AW2513" s="6" t="str">
        <f>HYPERLINK("http://www.worldcat.org/oclc/903363376","WorldCat Record")</f>
        <v>WorldCat Record</v>
      </c>
      <c r="AX2513" s="3" t="s">
        <v>24650</v>
      </c>
      <c r="AY2513" s="3" t="s">
        <v>24651</v>
      </c>
      <c r="AZ2513" s="3" t="s">
        <v>24652</v>
      </c>
      <c r="BA2513" s="3" t="s">
        <v>24652</v>
      </c>
      <c r="BB2513" s="3" t="s">
        <v>24653</v>
      </c>
      <c r="BC2513" s="3" t="s">
        <v>142</v>
      </c>
      <c r="BD2513" s="3" t="s">
        <v>308</v>
      </c>
      <c r="BE2513" s="3" t="s">
        <v>24654</v>
      </c>
      <c r="BF2513" s="3" t="s">
        <v>24653</v>
      </c>
      <c r="BG2513" s="3" t="s">
        <v>24655</v>
      </c>
    </row>
    <row r="2514" spans="1:59" ht="57" x14ac:dyDescent="0.45">
      <c r="A2514" s="2" t="s">
        <v>59</v>
      </c>
      <c r="B2514" s="2" t="s">
        <v>60</v>
      </c>
      <c r="C2514" s="2" t="s">
        <v>24656</v>
      </c>
      <c r="D2514" s="2" t="s">
        <v>24657</v>
      </c>
      <c r="E2514" s="2" t="s">
        <v>24658</v>
      </c>
      <c r="G2514" s="3" t="s">
        <v>62</v>
      </c>
      <c r="I2514" s="3" t="s">
        <v>62</v>
      </c>
      <c r="J2514" s="3" t="s">
        <v>62</v>
      </c>
      <c r="K2514" s="3" t="s">
        <v>63</v>
      </c>
      <c r="L2514" s="2" t="s">
        <v>24659</v>
      </c>
      <c r="M2514" s="2" t="s">
        <v>24660</v>
      </c>
      <c r="N2514" s="3" t="s">
        <v>149</v>
      </c>
      <c r="P2514" s="3" t="s">
        <v>65</v>
      </c>
      <c r="R2514" s="3" t="s">
        <v>66</v>
      </c>
      <c r="S2514" s="4">
        <v>1</v>
      </c>
      <c r="T2514" s="4">
        <v>1</v>
      </c>
      <c r="U2514" s="5" t="s">
        <v>24661</v>
      </c>
      <c r="V2514" s="5" t="s">
        <v>24661</v>
      </c>
      <c r="W2514" s="5" t="s">
        <v>67</v>
      </c>
      <c r="X2514" s="5" t="s">
        <v>67</v>
      </c>
      <c r="Y2514" s="4">
        <v>481</v>
      </c>
      <c r="Z2514" s="4">
        <v>27</v>
      </c>
      <c r="AA2514" s="4">
        <v>28</v>
      </c>
      <c r="AB2514" s="4">
        <v>3</v>
      </c>
      <c r="AC2514" s="4">
        <v>4</v>
      </c>
      <c r="AD2514" s="4">
        <v>82</v>
      </c>
      <c r="AE2514" s="4">
        <v>83</v>
      </c>
      <c r="AF2514" s="4">
        <v>1</v>
      </c>
      <c r="AG2514" s="4">
        <v>2</v>
      </c>
      <c r="AH2514" s="4">
        <v>70</v>
      </c>
      <c r="AI2514" s="4">
        <v>70</v>
      </c>
      <c r="AJ2514" s="4">
        <v>14</v>
      </c>
      <c r="AK2514" s="4">
        <v>14</v>
      </c>
      <c r="AL2514" s="4">
        <v>43</v>
      </c>
      <c r="AM2514" s="4">
        <v>43</v>
      </c>
      <c r="AN2514" s="4">
        <v>0</v>
      </c>
      <c r="AO2514" s="4">
        <v>0</v>
      </c>
      <c r="AP2514" s="4">
        <v>18</v>
      </c>
      <c r="AQ2514" s="4">
        <v>19</v>
      </c>
      <c r="AR2514" s="3" t="s">
        <v>62</v>
      </c>
      <c r="AS2514" s="3" t="s">
        <v>62</v>
      </c>
      <c r="AT2514" s="3" t="s">
        <v>62</v>
      </c>
      <c r="AV2514" s="6" t="str">
        <f>HYPERLINK("http://mcgill.on.worldcat.org/oclc/601100926","Catalog Record")</f>
        <v>Catalog Record</v>
      </c>
      <c r="AW2514" s="6" t="str">
        <f>HYPERLINK("http://www.worldcat.org/oclc/601100926","WorldCat Record")</f>
        <v>WorldCat Record</v>
      </c>
      <c r="AX2514" s="3" t="s">
        <v>24662</v>
      </c>
      <c r="AY2514" s="3" t="s">
        <v>24663</v>
      </c>
      <c r="AZ2514" s="3" t="s">
        <v>24664</v>
      </c>
      <c r="BA2514" s="3" t="s">
        <v>24664</v>
      </c>
      <c r="BB2514" s="3" t="s">
        <v>24665</v>
      </c>
      <c r="BC2514" s="3" t="s">
        <v>142</v>
      </c>
      <c r="BD2514" s="3" t="s">
        <v>68</v>
      </c>
      <c r="BE2514" s="3" t="s">
        <v>24666</v>
      </c>
      <c r="BF2514" s="3" t="s">
        <v>24665</v>
      </c>
      <c r="BG2514" s="3" t="s">
        <v>24667</v>
      </c>
    </row>
    <row r="2515" spans="1:59" ht="71.25" x14ac:dyDescent="0.45">
      <c r="A2515" s="2" t="s">
        <v>59</v>
      </c>
      <c r="B2515" s="2" t="s">
        <v>60</v>
      </c>
      <c r="C2515" s="2" t="s">
        <v>24668</v>
      </c>
      <c r="D2515" s="2" t="s">
        <v>24669</v>
      </c>
      <c r="E2515" s="2" t="s">
        <v>24670</v>
      </c>
      <c r="G2515" s="3" t="s">
        <v>62</v>
      </c>
      <c r="I2515" s="3" t="s">
        <v>62</v>
      </c>
      <c r="J2515" s="3" t="s">
        <v>62</v>
      </c>
      <c r="K2515" s="3" t="s">
        <v>63</v>
      </c>
      <c r="M2515" s="2" t="s">
        <v>24671</v>
      </c>
      <c r="N2515" s="3" t="s">
        <v>1097</v>
      </c>
      <c r="P2515" s="3" t="s">
        <v>65</v>
      </c>
      <c r="R2515" s="3" t="s">
        <v>66</v>
      </c>
      <c r="S2515" s="4">
        <v>16</v>
      </c>
      <c r="T2515" s="4">
        <v>16</v>
      </c>
      <c r="U2515" s="5" t="s">
        <v>17655</v>
      </c>
      <c r="V2515" s="5" t="s">
        <v>17655</v>
      </c>
      <c r="W2515" s="5" t="s">
        <v>67</v>
      </c>
      <c r="X2515" s="5" t="s">
        <v>67</v>
      </c>
      <c r="Y2515" s="4">
        <v>447</v>
      </c>
      <c r="Z2515" s="4">
        <v>44</v>
      </c>
      <c r="AA2515" s="4">
        <v>49</v>
      </c>
      <c r="AB2515" s="4">
        <v>5</v>
      </c>
      <c r="AC2515" s="4">
        <v>8</v>
      </c>
      <c r="AD2515" s="4">
        <v>106</v>
      </c>
      <c r="AE2515" s="4">
        <v>115</v>
      </c>
      <c r="AF2515" s="4">
        <v>2</v>
      </c>
      <c r="AG2515" s="4">
        <v>5</v>
      </c>
      <c r="AH2515" s="4">
        <v>85</v>
      </c>
      <c r="AI2515" s="4">
        <v>91</v>
      </c>
      <c r="AJ2515" s="4">
        <v>19</v>
      </c>
      <c r="AK2515" s="4">
        <v>23</v>
      </c>
      <c r="AL2515" s="4">
        <v>45</v>
      </c>
      <c r="AM2515" s="4">
        <v>47</v>
      </c>
      <c r="AN2515" s="4">
        <v>0</v>
      </c>
      <c r="AO2515" s="4">
        <v>0</v>
      </c>
      <c r="AP2515" s="4">
        <v>30</v>
      </c>
      <c r="AQ2515" s="4">
        <v>34</v>
      </c>
      <c r="AR2515" s="3" t="s">
        <v>62</v>
      </c>
      <c r="AS2515" s="3" t="s">
        <v>62</v>
      </c>
      <c r="AT2515" s="3" t="s">
        <v>61</v>
      </c>
      <c r="AU2515" s="6" t="str">
        <f>HYPERLINK("http://catalog.hathitrust.org/Record/005033992","HathiTrust Record")</f>
        <v>HathiTrust Record</v>
      </c>
      <c r="AV2515" s="6" t="str">
        <f>HYPERLINK("http://mcgill.on.worldcat.org/oclc/53476479","Catalog Record")</f>
        <v>Catalog Record</v>
      </c>
      <c r="AW2515" s="6" t="str">
        <f>HYPERLINK("http://www.worldcat.org/oclc/53476479","WorldCat Record")</f>
        <v>WorldCat Record</v>
      </c>
      <c r="AX2515" s="3" t="s">
        <v>24672</v>
      </c>
      <c r="AY2515" s="3" t="s">
        <v>24673</v>
      </c>
      <c r="AZ2515" s="3" t="s">
        <v>24674</v>
      </c>
      <c r="BA2515" s="3" t="s">
        <v>24674</v>
      </c>
      <c r="BB2515" s="3" t="s">
        <v>24675</v>
      </c>
      <c r="BC2515" s="3" t="s">
        <v>142</v>
      </c>
      <c r="BD2515" s="3" t="s">
        <v>68</v>
      </c>
      <c r="BE2515" s="3" t="s">
        <v>24676</v>
      </c>
      <c r="BF2515" s="3" t="s">
        <v>24675</v>
      </c>
      <c r="BG2515" s="3" t="s">
        <v>24677</v>
      </c>
    </row>
    <row r="2516" spans="1:59" ht="71.25" x14ac:dyDescent="0.45">
      <c r="A2516" s="2" t="s">
        <v>59</v>
      </c>
      <c r="B2516" s="2" t="s">
        <v>60</v>
      </c>
      <c r="C2516" s="2" t="s">
        <v>24678</v>
      </c>
      <c r="D2516" s="2" t="s">
        <v>24679</v>
      </c>
      <c r="E2516" s="2" t="s">
        <v>24680</v>
      </c>
      <c r="G2516" s="3" t="s">
        <v>62</v>
      </c>
      <c r="I2516" s="3" t="s">
        <v>62</v>
      </c>
      <c r="J2516" s="3" t="s">
        <v>62</v>
      </c>
      <c r="K2516" s="3" t="s">
        <v>63</v>
      </c>
      <c r="L2516" s="2" t="s">
        <v>24681</v>
      </c>
      <c r="M2516" s="2" t="s">
        <v>24682</v>
      </c>
      <c r="N2516" s="3" t="s">
        <v>894</v>
      </c>
      <c r="P2516" s="3" t="s">
        <v>65</v>
      </c>
      <c r="R2516" s="3" t="s">
        <v>66</v>
      </c>
      <c r="S2516" s="4">
        <v>8</v>
      </c>
      <c r="T2516" s="4">
        <v>8</v>
      </c>
      <c r="U2516" s="5" t="s">
        <v>17714</v>
      </c>
      <c r="V2516" s="5" t="s">
        <v>17714</v>
      </c>
      <c r="W2516" s="5" t="s">
        <v>67</v>
      </c>
      <c r="X2516" s="5" t="s">
        <v>67</v>
      </c>
      <c r="Y2516" s="4">
        <v>139</v>
      </c>
      <c r="Z2516" s="4">
        <v>20</v>
      </c>
      <c r="AA2516" s="4">
        <v>33</v>
      </c>
      <c r="AB2516" s="4">
        <v>1</v>
      </c>
      <c r="AC2516" s="4">
        <v>5</v>
      </c>
      <c r="AD2516" s="4">
        <v>63</v>
      </c>
      <c r="AE2516" s="4">
        <v>82</v>
      </c>
      <c r="AF2516" s="4">
        <v>0</v>
      </c>
      <c r="AG2516" s="4">
        <v>1</v>
      </c>
      <c r="AH2516" s="4">
        <v>56</v>
      </c>
      <c r="AI2516" s="4">
        <v>69</v>
      </c>
      <c r="AJ2516" s="4">
        <v>14</v>
      </c>
      <c r="AK2516" s="4">
        <v>18</v>
      </c>
      <c r="AL2516" s="4">
        <v>31</v>
      </c>
      <c r="AM2516" s="4">
        <v>36</v>
      </c>
      <c r="AN2516" s="4">
        <v>0</v>
      </c>
      <c r="AO2516" s="4">
        <v>0</v>
      </c>
      <c r="AP2516" s="4">
        <v>16</v>
      </c>
      <c r="AQ2516" s="4">
        <v>23</v>
      </c>
      <c r="AR2516" s="3" t="s">
        <v>62</v>
      </c>
      <c r="AS2516" s="3" t="s">
        <v>62</v>
      </c>
      <c r="AT2516" s="3" t="s">
        <v>62</v>
      </c>
      <c r="AV2516" s="6" t="str">
        <f>HYPERLINK("http://mcgill.on.worldcat.org/oclc/750150912","Catalog Record")</f>
        <v>Catalog Record</v>
      </c>
      <c r="AW2516" s="6" t="str">
        <f>HYPERLINK("http://www.worldcat.org/oclc/750150912","WorldCat Record")</f>
        <v>WorldCat Record</v>
      </c>
      <c r="AX2516" s="3" t="s">
        <v>24683</v>
      </c>
      <c r="AY2516" s="3" t="s">
        <v>24684</v>
      </c>
      <c r="AZ2516" s="3" t="s">
        <v>24685</v>
      </c>
      <c r="BA2516" s="3" t="s">
        <v>24685</v>
      </c>
      <c r="BB2516" s="3" t="s">
        <v>24686</v>
      </c>
      <c r="BC2516" s="3" t="s">
        <v>142</v>
      </c>
      <c r="BD2516" s="3" t="s">
        <v>308</v>
      </c>
      <c r="BE2516" s="3" t="s">
        <v>24687</v>
      </c>
      <c r="BF2516" s="3" t="s">
        <v>24686</v>
      </c>
      <c r="BG2516" s="3" t="s">
        <v>24688</v>
      </c>
    </row>
    <row r="2517" spans="1:59" ht="71.25" x14ac:dyDescent="0.45">
      <c r="A2517" s="2" t="s">
        <v>59</v>
      </c>
      <c r="B2517" s="2" t="s">
        <v>60</v>
      </c>
      <c r="C2517" s="2" t="s">
        <v>24689</v>
      </c>
      <c r="D2517" s="2" t="s">
        <v>24690</v>
      </c>
      <c r="E2517" s="2" t="s">
        <v>24691</v>
      </c>
      <c r="G2517" s="3" t="s">
        <v>62</v>
      </c>
      <c r="I2517" s="3" t="s">
        <v>62</v>
      </c>
      <c r="J2517" s="3" t="s">
        <v>62</v>
      </c>
      <c r="K2517" s="3" t="s">
        <v>63</v>
      </c>
      <c r="L2517" s="2" t="s">
        <v>24692</v>
      </c>
      <c r="M2517" s="2" t="s">
        <v>1841</v>
      </c>
      <c r="N2517" s="3" t="s">
        <v>820</v>
      </c>
      <c r="P2517" s="3" t="s">
        <v>65</v>
      </c>
      <c r="Q2517" s="2" t="s">
        <v>12823</v>
      </c>
      <c r="R2517" s="3" t="s">
        <v>66</v>
      </c>
      <c r="S2517" s="4">
        <v>10</v>
      </c>
      <c r="T2517" s="4">
        <v>10</v>
      </c>
      <c r="U2517" s="5" t="s">
        <v>22785</v>
      </c>
      <c r="V2517" s="5" t="s">
        <v>22785</v>
      </c>
      <c r="W2517" s="5" t="s">
        <v>67</v>
      </c>
      <c r="X2517" s="5" t="s">
        <v>67</v>
      </c>
      <c r="Y2517" s="4">
        <v>229</v>
      </c>
      <c r="Z2517" s="4">
        <v>25</v>
      </c>
      <c r="AA2517" s="4">
        <v>83</v>
      </c>
      <c r="AB2517" s="4">
        <v>2</v>
      </c>
      <c r="AC2517" s="4">
        <v>15</v>
      </c>
      <c r="AD2517" s="4">
        <v>80</v>
      </c>
      <c r="AE2517" s="4">
        <v>123</v>
      </c>
      <c r="AF2517" s="4">
        <v>1</v>
      </c>
      <c r="AG2517" s="4">
        <v>8</v>
      </c>
      <c r="AH2517" s="4">
        <v>70</v>
      </c>
      <c r="AI2517" s="4">
        <v>88</v>
      </c>
      <c r="AJ2517" s="4">
        <v>15</v>
      </c>
      <c r="AK2517" s="4">
        <v>23</v>
      </c>
      <c r="AL2517" s="4">
        <v>36</v>
      </c>
      <c r="AM2517" s="4">
        <v>44</v>
      </c>
      <c r="AN2517" s="4">
        <v>0</v>
      </c>
      <c r="AO2517" s="4">
        <v>0</v>
      </c>
      <c r="AP2517" s="4">
        <v>19</v>
      </c>
      <c r="AQ2517" s="4">
        <v>45</v>
      </c>
      <c r="AR2517" s="3" t="s">
        <v>62</v>
      </c>
      <c r="AS2517" s="3" t="s">
        <v>62</v>
      </c>
      <c r="AT2517" s="3" t="s">
        <v>62</v>
      </c>
      <c r="AV2517" s="6" t="str">
        <f>HYPERLINK("http://mcgill.on.worldcat.org/oclc/166360348","Catalog Record")</f>
        <v>Catalog Record</v>
      </c>
      <c r="AW2517" s="6" t="str">
        <f>HYPERLINK("http://www.worldcat.org/oclc/166360348","WorldCat Record")</f>
        <v>WorldCat Record</v>
      </c>
      <c r="AX2517" s="3" t="s">
        <v>24693</v>
      </c>
      <c r="AY2517" s="3" t="s">
        <v>24694</v>
      </c>
      <c r="AZ2517" s="3" t="s">
        <v>24695</v>
      </c>
      <c r="BA2517" s="3" t="s">
        <v>24695</v>
      </c>
      <c r="BB2517" s="3" t="s">
        <v>24696</v>
      </c>
      <c r="BC2517" s="3" t="s">
        <v>142</v>
      </c>
      <c r="BD2517" s="3" t="s">
        <v>68</v>
      </c>
      <c r="BE2517" s="3" t="s">
        <v>24697</v>
      </c>
      <c r="BF2517" s="3" t="s">
        <v>24696</v>
      </c>
      <c r="BG2517" s="3" t="s">
        <v>24698</v>
      </c>
    </row>
    <row r="2518" spans="1:59" ht="71.25" x14ac:dyDescent="0.45">
      <c r="A2518" s="2" t="s">
        <v>59</v>
      </c>
      <c r="B2518" s="2" t="s">
        <v>60</v>
      </c>
      <c r="C2518" s="2" t="s">
        <v>24699</v>
      </c>
      <c r="D2518" s="2" t="s">
        <v>24700</v>
      </c>
      <c r="E2518" s="2" t="s">
        <v>24701</v>
      </c>
      <c r="G2518" s="3" t="s">
        <v>62</v>
      </c>
      <c r="I2518" s="3" t="s">
        <v>62</v>
      </c>
      <c r="J2518" s="3" t="s">
        <v>62</v>
      </c>
      <c r="K2518" s="3" t="s">
        <v>63</v>
      </c>
      <c r="L2518" s="2" t="s">
        <v>24702</v>
      </c>
      <c r="M2518" s="2" t="s">
        <v>17185</v>
      </c>
      <c r="N2518" s="3" t="s">
        <v>1155</v>
      </c>
      <c r="P2518" s="3" t="s">
        <v>65</v>
      </c>
      <c r="Q2518" s="2" t="s">
        <v>24703</v>
      </c>
      <c r="R2518" s="3" t="s">
        <v>66</v>
      </c>
      <c r="S2518" s="4">
        <v>2</v>
      </c>
      <c r="T2518" s="4">
        <v>2</v>
      </c>
      <c r="U2518" s="5" t="s">
        <v>1749</v>
      </c>
      <c r="V2518" s="5" t="s">
        <v>1749</v>
      </c>
      <c r="W2518" s="5" t="s">
        <v>67</v>
      </c>
      <c r="X2518" s="5" t="s">
        <v>67</v>
      </c>
      <c r="Y2518" s="4">
        <v>90</v>
      </c>
      <c r="Z2518" s="4">
        <v>14</v>
      </c>
      <c r="AA2518" s="4">
        <v>14</v>
      </c>
      <c r="AB2518" s="4">
        <v>2</v>
      </c>
      <c r="AC2518" s="4">
        <v>2</v>
      </c>
      <c r="AD2518" s="4">
        <v>46</v>
      </c>
      <c r="AE2518" s="4">
        <v>46</v>
      </c>
      <c r="AF2518" s="4">
        <v>1</v>
      </c>
      <c r="AG2518" s="4">
        <v>1</v>
      </c>
      <c r="AH2518" s="4">
        <v>44</v>
      </c>
      <c r="AI2518" s="4">
        <v>44</v>
      </c>
      <c r="AJ2518" s="4">
        <v>12</v>
      </c>
      <c r="AK2518" s="4">
        <v>12</v>
      </c>
      <c r="AL2518" s="4">
        <v>26</v>
      </c>
      <c r="AM2518" s="4">
        <v>26</v>
      </c>
      <c r="AN2518" s="4">
        <v>0</v>
      </c>
      <c r="AO2518" s="4">
        <v>0</v>
      </c>
      <c r="AP2518" s="4">
        <v>12</v>
      </c>
      <c r="AQ2518" s="4">
        <v>12</v>
      </c>
      <c r="AR2518" s="3" t="s">
        <v>62</v>
      </c>
      <c r="AS2518" s="3" t="s">
        <v>62</v>
      </c>
      <c r="AT2518" s="3" t="s">
        <v>62</v>
      </c>
      <c r="AV2518" s="6" t="str">
        <f>HYPERLINK("http://mcgill.on.worldcat.org/oclc/778990881","Catalog Record")</f>
        <v>Catalog Record</v>
      </c>
      <c r="AW2518" s="6" t="str">
        <f>HYPERLINK("http://www.worldcat.org/oclc/778990881","WorldCat Record")</f>
        <v>WorldCat Record</v>
      </c>
      <c r="AX2518" s="3" t="s">
        <v>24704</v>
      </c>
      <c r="AY2518" s="3" t="s">
        <v>24705</v>
      </c>
      <c r="AZ2518" s="3" t="s">
        <v>24706</v>
      </c>
      <c r="BA2518" s="3" t="s">
        <v>24706</v>
      </c>
      <c r="BB2518" s="3" t="s">
        <v>24707</v>
      </c>
      <c r="BC2518" s="3" t="s">
        <v>142</v>
      </c>
      <c r="BD2518" s="3" t="s">
        <v>68</v>
      </c>
      <c r="BE2518" s="3" t="s">
        <v>24708</v>
      </c>
      <c r="BF2518" s="3" t="s">
        <v>24707</v>
      </c>
      <c r="BG2518" s="3" t="s">
        <v>24709</v>
      </c>
    </row>
    <row r="2519" spans="1:59" ht="71.25" x14ac:dyDescent="0.45">
      <c r="A2519" s="2" t="s">
        <v>59</v>
      </c>
      <c r="B2519" s="2" t="s">
        <v>60</v>
      </c>
      <c r="C2519" s="2" t="s">
        <v>24710</v>
      </c>
      <c r="D2519" s="2" t="s">
        <v>24711</v>
      </c>
      <c r="E2519" s="2" t="s">
        <v>24712</v>
      </c>
      <c r="G2519" s="3" t="s">
        <v>62</v>
      </c>
      <c r="I2519" s="3" t="s">
        <v>62</v>
      </c>
      <c r="J2519" s="3" t="s">
        <v>62</v>
      </c>
      <c r="K2519" s="3" t="s">
        <v>63</v>
      </c>
      <c r="L2519" s="2" t="s">
        <v>24713</v>
      </c>
      <c r="M2519" s="2" t="s">
        <v>3135</v>
      </c>
      <c r="N2519" s="3" t="s">
        <v>945</v>
      </c>
      <c r="P2519" s="3" t="s">
        <v>65</v>
      </c>
      <c r="Q2519" s="2" t="s">
        <v>22159</v>
      </c>
      <c r="R2519" s="3" t="s">
        <v>66</v>
      </c>
      <c r="S2519" s="4">
        <v>35</v>
      </c>
      <c r="T2519" s="4">
        <v>35</v>
      </c>
      <c r="U2519" s="5" t="s">
        <v>24714</v>
      </c>
      <c r="V2519" s="5" t="s">
        <v>24714</v>
      </c>
      <c r="W2519" s="5" t="s">
        <v>67</v>
      </c>
      <c r="X2519" s="5" t="s">
        <v>67</v>
      </c>
      <c r="Y2519" s="4">
        <v>450</v>
      </c>
      <c r="Z2519" s="4">
        <v>27</v>
      </c>
      <c r="AA2519" s="4">
        <v>104</v>
      </c>
      <c r="AB2519" s="4">
        <v>3</v>
      </c>
      <c r="AC2519" s="4">
        <v>19</v>
      </c>
      <c r="AD2519" s="4">
        <v>105</v>
      </c>
      <c r="AE2519" s="4">
        <v>156</v>
      </c>
      <c r="AF2519" s="4">
        <v>1</v>
      </c>
      <c r="AG2519" s="4">
        <v>9</v>
      </c>
      <c r="AH2519" s="4">
        <v>92</v>
      </c>
      <c r="AI2519" s="4">
        <v>107</v>
      </c>
      <c r="AJ2519" s="4">
        <v>16</v>
      </c>
      <c r="AK2519" s="4">
        <v>27</v>
      </c>
      <c r="AL2519" s="4">
        <v>50</v>
      </c>
      <c r="AM2519" s="4">
        <v>56</v>
      </c>
      <c r="AN2519" s="4">
        <v>0</v>
      </c>
      <c r="AO2519" s="4">
        <v>0</v>
      </c>
      <c r="AP2519" s="4">
        <v>19</v>
      </c>
      <c r="AQ2519" s="4">
        <v>56</v>
      </c>
      <c r="AR2519" s="3" t="s">
        <v>62</v>
      </c>
      <c r="AS2519" s="3" t="s">
        <v>62</v>
      </c>
      <c r="AT2519" s="3" t="s">
        <v>61</v>
      </c>
      <c r="AU2519" s="6" t="str">
        <f>HYPERLINK("http://catalog.hathitrust.org/Record/005417457","HathiTrust Record")</f>
        <v>HathiTrust Record</v>
      </c>
      <c r="AV2519" s="6" t="str">
        <f>HYPERLINK("http://mcgill.on.worldcat.org/oclc/68220992","Catalog Record")</f>
        <v>Catalog Record</v>
      </c>
      <c r="AW2519" s="6" t="str">
        <f>HYPERLINK("http://www.worldcat.org/oclc/68220992","WorldCat Record")</f>
        <v>WorldCat Record</v>
      </c>
      <c r="AX2519" s="3" t="s">
        <v>24715</v>
      </c>
      <c r="AY2519" s="3" t="s">
        <v>24716</v>
      </c>
      <c r="AZ2519" s="3" t="s">
        <v>24717</v>
      </c>
      <c r="BA2519" s="3" t="s">
        <v>24717</v>
      </c>
      <c r="BB2519" s="3" t="s">
        <v>24718</v>
      </c>
      <c r="BC2519" s="3" t="s">
        <v>142</v>
      </c>
      <c r="BD2519" s="3" t="s">
        <v>68</v>
      </c>
      <c r="BE2519" s="3" t="s">
        <v>24719</v>
      </c>
      <c r="BF2519" s="3" t="s">
        <v>24718</v>
      </c>
      <c r="BG2519" s="3" t="s">
        <v>24720</v>
      </c>
    </row>
    <row r="2520" spans="1:59" ht="71.25" x14ac:dyDescent="0.45">
      <c r="A2520" s="2" t="s">
        <v>59</v>
      </c>
      <c r="B2520" s="2" t="s">
        <v>60</v>
      </c>
      <c r="C2520" s="2" t="s">
        <v>24721</v>
      </c>
      <c r="D2520" s="2" t="s">
        <v>24722</v>
      </c>
      <c r="E2520" s="2" t="s">
        <v>24723</v>
      </c>
      <c r="G2520" s="3" t="s">
        <v>62</v>
      </c>
      <c r="I2520" s="3" t="s">
        <v>62</v>
      </c>
      <c r="J2520" s="3" t="s">
        <v>62</v>
      </c>
      <c r="K2520" s="3" t="s">
        <v>63</v>
      </c>
      <c r="L2520" s="2" t="s">
        <v>24724</v>
      </c>
      <c r="M2520" s="2" t="s">
        <v>17739</v>
      </c>
      <c r="N2520" s="3" t="s">
        <v>894</v>
      </c>
      <c r="P2520" s="3" t="s">
        <v>65</v>
      </c>
      <c r="R2520" s="3" t="s">
        <v>66</v>
      </c>
      <c r="S2520" s="4">
        <v>1</v>
      </c>
      <c r="T2520" s="4">
        <v>1</v>
      </c>
      <c r="U2520" s="5" t="s">
        <v>24637</v>
      </c>
      <c r="V2520" s="5" t="s">
        <v>24637</v>
      </c>
      <c r="W2520" s="5" t="s">
        <v>67</v>
      </c>
      <c r="X2520" s="5" t="s">
        <v>67</v>
      </c>
      <c r="Y2520" s="4">
        <v>245</v>
      </c>
      <c r="Z2520" s="4">
        <v>20</v>
      </c>
      <c r="AA2520" s="4">
        <v>100</v>
      </c>
      <c r="AB2520" s="4">
        <v>2</v>
      </c>
      <c r="AC2520" s="4">
        <v>19</v>
      </c>
      <c r="AD2520" s="4">
        <v>87</v>
      </c>
      <c r="AE2520" s="4">
        <v>142</v>
      </c>
      <c r="AF2520" s="4">
        <v>1</v>
      </c>
      <c r="AG2520" s="4">
        <v>8</v>
      </c>
      <c r="AH2520" s="4">
        <v>80</v>
      </c>
      <c r="AI2520" s="4">
        <v>104</v>
      </c>
      <c r="AJ2520" s="4">
        <v>13</v>
      </c>
      <c r="AK2520" s="4">
        <v>24</v>
      </c>
      <c r="AL2520" s="4">
        <v>44</v>
      </c>
      <c r="AM2520" s="4">
        <v>57</v>
      </c>
      <c r="AN2520" s="4">
        <v>0</v>
      </c>
      <c r="AO2520" s="4">
        <v>0</v>
      </c>
      <c r="AP2520" s="4">
        <v>15</v>
      </c>
      <c r="AQ2520" s="4">
        <v>46</v>
      </c>
      <c r="AR2520" s="3" t="s">
        <v>62</v>
      </c>
      <c r="AS2520" s="3" t="s">
        <v>62</v>
      </c>
      <c r="AT2520" s="3" t="s">
        <v>62</v>
      </c>
      <c r="AV2520" s="6" t="str">
        <f>HYPERLINK("http://mcgill.on.worldcat.org/oclc/691927401","Catalog Record")</f>
        <v>Catalog Record</v>
      </c>
      <c r="AW2520" s="6" t="str">
        <f>HYPERLINK("http://www.worldcat.org/oclc/691927401","WorldCat Record")</f>
        <v>WorldCat Record</v>
      </c>
      <c r="AX2520" s="3" t="s">
        <v>24725</v>
      </c>
      <c r="AY2520" s="3" t="s">
        <v>24726</v>
      </c>
      <c r="AZ2520" s="3" t="s">
        <v>24727</v>
      </c>
      <c r="BA2520" s="3" t="s">
        <v>24727</v>
      </c>
      <c r="BB2520" s="3" t="s">
        <v>24728</v>
      </c>
      <c r="BC2520" s="3" t="s">
        <v>142</v>
      </c>
      <c r="BD2520" s="3" t="s">
        <v>68</v>
      </c>
      <c r="BE2520" s="3" t="s">
        <v>24729</v>
      </c>
      <c r="BF2520" s="3" t="s">
        <v>24728</v>
      </c>
      <c r="BG2520" s="3" t="s">
        <v>24730</v>
      </c>
    </row>
    <row r="2521" spans="1:59" ht="57" x14ac:dyDescent="0.45">
      <c r="A2521" s="2" t="s">
        <v>59</v>
      </c>
      <c r="B2521" s="2" t="s">
        <v>60</v>
      </c>
      <c r="C2521" s="2" t="s">
        <v>24731</v>
      </c>
      <c r="D2521" s="2" t="s">
        <v>24732</v>
      </c>
      <c r="E2521" s="2" t="s">
        <v>24733</v>
      </c>
      <c r="G2521" s="3" t="s">
        <v>62</v>
      </c>
      <c r="I2521" s="3" t="s">
        <v>62</v>
      </c>
      <c r="J2521" s="3" t="s">
        <v>62</v>
      </c>
      <c r="K2521" s="3" t="s">
        <v>63</v>
      </c>
      <c r="L2521" s="2" t="s">
        <v>24734</v>
      </c>
      <c r="M2521" s="2" t="s">
        <v>24735</v>
      </c>
      <c r="N2521" s="3" t="s">
        <v>181</v>
      </c>
      <c r="P2521" s="3" t="s">
        <v>110</v>
      </c>
      <c r="R2521" s="3" t="s">
        <v>66</v>
      </c>
      <c r="S2521" s="4">
        <v>1</v>
      </c>
      <c r="T2521" s="4">
        <v>1</v>
      </c>
      <c r="U2521" s="5" t="s">
        <v>4759</v>
      </c>
      <c r="V2521" s="5" t="s">
        <v>4759</v>
      </c>
      <c r="W2521" s="5" t="s">
        <v>67</v>
      </c>
      <c r="X2521" s="5" t="s">
        <v>67</v>
      </c>
      <c r="Y2521" s="4">
        <v>5</v>
      </c>
      <c r="Z2521" s="4">
        <v>2</v>
      </c>
      <c r="AA2521" s="4">
        <v>21</v>
      </c>
      <c r="AB2521" s="4">
        <v>1</v>
      </c>
      <c r="AC2521" s="4">
        <v>16</v>
      </c>
      <c r="AD2521" s="4">
        <v>3</v>
      </c>
      <c r="AE2521" s="4">
        <v>12</v>
      </c>
      <c r="AF2521" s="4">
        <v>0</v>
      </c>
      <c r="AG2521" s="4">
        <v>5</v>
      </c>
      <c r="AH2521" s="4">
        <v>3</v>
      </c>
      <c r="AI2521" s="4">
        <v>5</v>
      </c>
      <c r="AJ2521" s="4">
        <v>1</v>
      </c>
      <c r="AK2521" s="4">
        <v>7</v>
      </c>
      <c r="AL2521" s="4">
        <v>1</v>
      </c>
      <c r="AM2521" s="4">
        <v>1</v>
      </c>
      <c r="AN2521" s="4">
        <v>0</v>
      </c>
      <c r="AO2521" s="4">
        <v>0</v>
      </c>
      <c r="AP2521" s="4">
        <v>1</v>
      </c>
      <c r="AQ2521" s="4">
        <v>7</v>
      </c>
      <c r="AR2521" s="3" t="s">
        <v>61</v>
      </c>
      <c r="AS2521" s="3" t="s">
        <v>62</v>
      </c>
      <c r="AT2521" s="3" t="s">
        <v>62</v>
      </c>
      <c r="AV2521" s="6" t="str">
        <f>HYPERLINK("http://mcgill.on.worldcat.org/oclc/944305964","Catalog Record")</f>
        <v>Catalog Record</v>
      </c>
      <c r="AW2521" s="6" t="str">
        <f>HYPERLINK("http://www.worldcat.org/oclc/944305964","WorldCat Record")</f>
        <v>WorldCat Record</v>
      </c>
      <c r="AX2521" s="3" t="s">
        <v>24736</v>
      </c>
      <c r="AY2521" s="3" t="s">
        <v>24737</v>
      </c>
      <c r="AZ2521" s="3" t="s">
        <v>24738</v>
      </c>
      <c r="BA2521" s="3" t="s">
        <v>24738</v>
      </c>
      <c r="BB2521" s="3" t="s">
        <v>24739</v>
      </c>
      <c r="BC2521" s="3" t="s">
        <v>142</v>
      </c>
      <c r="BD2521" s="3" t="s">
        <v>68</v>
      </c>
      <c r="BE2521" s="3" t="s">
        <v>24740</v>
      </c>
      <c r="BF2521" s="3" t="s">
        <v>24739</v>
      </c>
      <c r="BG2521" s="3" t="s">
        <v>24741</v>
      </c>
    </row>
    <row r="2522" spans="1:59" ht="57" x14ac:dyDescent="0.45">
      <c r="A2522" s="2" t="s">
        <v>59</v>
      </c>
      <c r="B2522" s="2" t="s">
        <v>60</v>
      </c>
      <c r="C2522" s="2" t="s">
        <v>24742</v>
      </c>
      <c r="D2522" s="2" t="s">
        <v>24743</v>
      </c>
      <c r="E2522" s="2" t="s">
        <v>24744</v>
      </c>
      <c r="G2522" s="3" t="s">
        <v>62</v>
      </c>
      <c r="I2522" s="3" t="s">
        <v>62</v>
      </c>
      <c r="J2522" s="3" t="s">
        <v>62</v>
      </c>
      <c r="K2522" s="3" t="s">
        <v>63</v>
      </c>
      <c r="M2522" s="2" t="s">
        <v>24745</v>
      </c>
      <c r="N2522" s="3" t="s">
        <v>149</v>
      </c>
      <c r="P2522" s="3" t="s">
        <v>65</v>
      </c>
      <c r="Q2522" s="2" t="s">
        <v>24746</v>
      </c>
      <c r="R2522" s="3" t="s">
        <v>66</v>
      </c>
      <c r="S2522" s="4">
        <v>0</v>
      </c>
      <c r="T2522" s="4">
        <v>0</v>
      </c>
      <c r="W2522" s="5" t="s">
        <v>67</v>
      </c>
      <c r="X2522" s="5" t="s">
        <v>67</v>
      </c>
      <c r="Y2522" s="4">
        <v>182</v>
      </c>
      <c r="Z2522" s="4">
        <v>16</v>
      </c>
      <c r="AA2522" s="4">
        <v>99</v>
      </c>
      <c r="AB2522" s="4">
        <v>2</v>
      </c>
      <c r="AC2522" s="4">
        <v>17</v>
      </c>
      <c r="AD2522" s="4">
        <v>65</v>
      </c>
      <c r="AE2522" s="4">
        <v>129</v>
      </c>
      <c r="AF2522" s="4">
        <v>1</v>
      </c>
      <c r="AG2522" s="4">
        <v>8</v>
      </c>
      <c r="AH2522" s="4">
        <v>60</v>
      </c>
      <c r="AI2522" s="4">
        <v>92</v>
      </c>
      <c r="AJ2522" s="4">
        <v>8</v>
      </c>
      <c r="AK2522" s="4">
        <v>22</v>
      </c>
      <c r="AL2522" s="4">
        <v>37</v>
      </c>
      <c r="AM2522" s="4">
        <v>49</v>
      </c>
      <c r="AN2522" s="4">
        <v>0</v>
      </c>
      <c r="AO2522" s="4">
        <v>0</v>
      </c>
      <c r="AP2522" s="4">
        <v>9</v>
      </c>
      <c r="AQ2522" s="4">
        <v>44</v>
      </c>
      <c r="AR2522" s="3" t="s">
        <v>62</v>
      </c>
      <c r="AS2522" s="3" t="s">
        <v>62</v>
      </c>
      <c r="AT2522" s="3" t="s">
        <v>62</v>
      </c>
      <c r="AV2522" s="6" t="str">
        <f>HYPERLINK("http://mcgill.on.worldcat.org/oclc/456728973","Catalog Record")</f>
        <v>Catalog Record</v>
      </c>
      <c r="AW2522" s="6" t="str">
        <f>HYPERLINK("http://www.worldcat.org/oclc/456728973","WorldCat Record")</f>
        <v>WorldCat Record</v>
      </c>
      <c r="AX2522" s="3" t="s">
        <v>24747</v>
      </c>
      <c r="AY2522" s="3" t="s">
        <v>24748</v>
      </c>
      <c r="AZ2522" s="3" t="s">
        <v>24749</v>
      </c>
      <c r="BA2522" s="3" t="s">
        <v>24749</v>
      </c>
      <c r="BB2522" s="3" t="s">
        <v>24750</v>
      </c>
      <c r="BC2522" s="3" t="s">
        <v>142</v>
      </c>
      <c r="BD2522" s="3" t="s">
        <v>68</v>
      </c>
      <c r="BE2522" s="3" t="s">
        <v>24751</v>
      </c>
      <c r="BF2522" s="3" t="s">
        <v>24750</v>
      </c>
      <c r="BG2522" s="3" t="s">
        <v>24752</v>
      </c>
    </row>
    <row r="2523" spans="1:59" ht="71.25" x14ac:dyDescent="0.45">
      <c r="A2523" s="2" t="s">
        <v>59</v>
      </c>
      <c r="B2523" s="2" t="s">
        <v>60</v>
      </c>
      <c r="C2523" s="2" t="s">
        <v>24753</v>
      </c>
      <c r="D2523" s="2" t="s">
        <v>24754</v>
      </c>
      <c r="E2523" s="2" t="s">
        <v>24755</v>
      </c>
      <c r="G2523" s="3" t="s">
        <v>62</v>
      </c>
      <c r="I2523" s="3" t="s">
        <v>62</v>
      </c>
      <c r="J2523" s="3" t="s">
        <v>62</v>
      </c>
      <c r="K2523" s="3" t="s">
        <v>63</v>
      </c>
      <c r="M2523" s="2" t="s">
        <v>6067</v>
      </c>
      <c r="N2523" s="3" t="s">
        <v>894</v>
      </c>
      <c r="P2523" s="3" t="s">
        <v>65</v>
      </c>
      <c r="Q2523" s="2" t="s">
        <v>24756</v>
      </c>
      <c r="R2523" s="3" t="s">
        <v>66</v>
      </c>
      <c r="S2523" s="4">
        <v>2</v>
      </c>
      <c r="T2523" s="4">
        <v>2</v>
      </c>
      <c r="U2523" s="5" t="s">
        <v>24757</v>
      </c>
      <c r="V2523" s="5" t="s">
        <v>24757</v>
      </c>
      <c r="W2523" s="5" t="s">
        <v>67</v>
      </c>
      <c r="X2523" s="5" t="s">
        <v>67</v>
      </c>
      <c r="Y2523" s="4">
        <v>110</v>
      </c>
      <c r="Z2523" s="4">
        <v>13</v>
      </c>
      <c r="AA2523" s="4">
        <v>80</v>
      </c>
      <c r="AB2523" s="4">
        <v>1</v>
      </c>
      <c r="AC2523" s="4">
        <v>15</v>
      </c>
      <c r="AD2523" s="4">
        <v>51</v>
      </c>
      <c r="AE2523" s="4">
        <v>106</v>
      </c>
      <c r="AF2523" s="4">
        <v>0</v>
      </c>
      <c r="AG2523" s="4">
        <v>8</v>
      </c>
      <c r="AH2523" s="4">
        <v>48</v>
      </c>
      <c r="AI2523" s="4">
        <v>74</v>
      </c>
      <c r="AJ2523" s="4">
        <v>9</v>
      </c>
      <c r="AK2523" s="4">
        <v>20</v>
      </c>
      <c r="AL2523" s="4">
        <v>29</v>
      </c>
      <c r="AM2523" s="4">
        <v>40</v>
      </c>
      <c r="AN2523" s="4">
        <v>0</v>
      </c>
      <c r="AO2523" s="4">
        <v>0</v>
      </c>
      <c r="AP2523" s="4">
        <v>9</v>
      </c>
      <c r="AQ2523" s="4">
        <v>40</v>
      </c>
      <c r="AR2523" s="3" t="s">
        <v>62</v>
      </c>
      <c r="AS2523" s="3" t="s">
        <v>62</v>
      </c>
      <c r="AT2523" s="3" t="s">
        <v>62</v>
      </c>
      <c r="AV2523" s="6" t="str">
        <f>HYPERLINK("http://mcgill.on.worldcat.org/oclc/716070211","Catalog Record")</f>
        <v>Catalog Record</v>
      </c>
      <c r="AW2523" s="6" t="str">
        <f>HYPERLINK("http://www.worldcat.org/oclc/716070211","WorldCat Record")</f>
        <v>WorldCat Record</v>
      </c>
      <c r="AX2523" s="3" t="s">
        <v>24758</v>
      </c>
      <c r="AY2523" s="3" t="s">
        <v>24759</v>
      </c>
      <c r="AZ2523" s="3" t="s">
        <v>24760</v>
      </c>
      <c r="BA2523" s="3" t="s">
        <v>24760</v>
      </c>
      <c r="BB2523" s="3" t="s">
        <v>24761</v>
      </c>
      <c r="BC2523" s="3" t="s">
        <v>142</v>
      </c>
      <c r="BD2523" s="3" t="s">
        <v>68</v>
      </c>
      <c r="BE2523" s="3" t="s">
        <v>24762</v>
      </c>
      <c r="BF2523" s="3" t="s">
        <v>24761</v>
      </c>
      <c r="BG2523" s="3" t="s">
        <v>24763</v>
      </c>
    </row>
    <row r="2524" spans="1:59" ht="57" x14ac:dyDescent="0.45">
      <c r="A2524" s="2" t="s">
        <v>59</v>
      </c>
      <c r="B2524" s="2" t="s">
        <v>60</v>
      </c>
      <c r="C2524" s="2" t="s">
        <v>24764</v>
      </c>
      <c r="D2524" s="2" t="s">
        <v>24765</v>
      </c>
      <c r="E2524" s="2" t="s">
        <v>24766</v>
      </c>
      <c r="G2524" s="3" t="s">
        <v>62</v>
      </c>
      <c r="I2524" s="3" t="s">
        <v>62</v>
      </c>
      <c r="J2524" s="3" t="s">
        <v>62</v>
      </c>
      <c r="K2524" s="3" t="s">
        <v>63</v>
      </c>
      <c r="M2524" s="2" t="s">
        <v>13240</v>
      </c>
      <c r="N2524" s="3" t="s">
        <v>116</v>
      </c>
      <c r="P2524" s="3" t="s">
        <v>65</v>
      </c>
      <c r="Q2524" s="2" t="s">
        <v>24767</v>
      </c>
      <c r="R2524" s="3" t="s">
        <v>66</v>
      </c>
      <c r="S2524" s="4">
        <v>3</v>
      </c>
      <c r="T2524" s="4">
        <v>3</v>
      </c>
      <c r="U2524" s="5" t="s">
        <v>20687</v>
      </c>
      <c r="V2524" s="5" t="s">
        <v>20687</v>
      </c>
      <c r="W2524" s="5" t="s">
        <v>67</v>
      </c>
      <c r="X2524" s="5" t="s">
        <v>67</v>
      </c>
      <c r="Y2524" s="4">
        <v>127</v>
      </c>
      <c r="Z2524" s="4">
        <v>13</v>
      </c>
      <c r="AA2524" s="4">
        <v>16</v>
      </c>
      <c r="AB2524" s="4">
        <v>2</v>
      </c>
      <c r="AC2524" s="4">
        <v>5</v>
      </c>
      <c r="AD2524" s="4">
        <v>54</v>
      </c>
      <c r="AE2524" s="4">
        <v>56</v>
      </c>
      <c r="AF2524" s="4">
        <v>1</v>
      </c>
      <c r="AG2524" s="4">
        <v>3</v>
      </c>
      <c r="AH2524" s="4">
        <v>48</v>
      </c>
      <c r="AI2524" s="4">
        <v>49</v>
      </c>
      <c r="AJ2524" s="4">
        <v>9</v>
      </c>
      <c r="AK2524" s="4">
        <v>11</v>
      </c>
      <c r="AL2524" s="4">
        <v>28</v>
      </c>
      <c r="AM2524" s="4">
        <v>28</v>
      </c>
      <c r="AN2524" s="4">
        <v>0</v>
      </c>
      <c r="AO2524" s="4">
        <v>0</v>
      </c>
      <c r="AP2524" s="4">
        <v>11</v>
      </c>
      <c r="AQ2524" s="4">
        <v>12</v>
      </c>
      <c r="AR2524" s="3" t="s">
        <v>62</v>
      </c>
      <c r="AS2524" s="3" t="s">
        <v>62</v>
      </c>
      <c r="AT2524" s="3" t="s">
        <v>62</v>
      </c>
      <c r="AV2524" s="6" t="str">
        <f>HYPERLINK("http://mcgill.on.worldcat.org/oclc/842316259","Catalog Record")</f>
        <v>Catalog Record</v>
      </c>
      <c r="AW2524" s="6" t="str">
        <f>HYPERLINK("http://www.worldcat.org/oclc/842316259","WorldCat Record")</f>
        <v>WorldCat Record</v>
      </c>
      <c r="AX2524" s="3" t="s">
        <v>24768</v>
      </c>
      <c r="AY2524" s="3" t="s">
        <v>24769</v>
      </c>
      <c r="AZ2524" s="3" t="s">
        <v>24770</v>
      </c>
      <c r="BA2524" s="3" t="s">
        <v>24770</v>
      </c>
      <c r="BB2524" s="3" t="s">
        <v>24771</v>
      </c>
      <c r="BC2524" s="3" t="s">
        <v>142</v>
      </c>
      <c r="BD2524" s="3" t="s">
        <v>68</v>
      </c>
      <c r="BE2524" s="3" t="s">
        <v>24772</v>
      </c>
      <c r="BF2524" s="3" t="s">
        <v>24771</v>
      </c>
      <c r="BG2524" s="3" t="s">
        <v>24773</v>
      </c>
    </row>
    <row r="2525" spans="1:59" ht="57" x14ac:dyDescent="0.45">
      <c r="A2525" s="2" t="s">
        <v>59</v>
      </c>
      <c r="B2525" s="2" t="s">
        <v>60</v>
      </c>
      <c r="C2525" s="2" t="s">
        <v>24774</v>
      </c>
      <c r="D2525" s="2" t="s">
        <v>24775</v>
      </c>
      <c r="E2525" s="2" t="s">
        <v>24776</v>
      </c>
      <c r="G2525" s="3" t="s">
        <v>62</v>
      </c>
      <c r="I2525" s="3" t="s">
        <v>62</v>
      </c>
      <c r="J2525" s="3" t="s">
        <v>62</v>
      </c>
      <c r="K2525" s="3" t="s">
        <v>63</v>
      </c>
      <c r="M2525" s="2" t="s">
        <v>24777</v>
      </c>
      <c r="N2525" s="3" t="s">
        <v>970</v>
      </c>
      <c r="P2525" s="3" t="s">
        <v>65</v>
      </c>
      <c r="R2525" s="3" t="s">
        <v>66</v>
      </c>
      <c r="S2525" s="4">
        <v>11</v>
      </c>
      <c r="T2525" s="4">
        <v>11</v>
      </c>
      <c r="U2525" s="5" t="s">
        <v>4759</v>
      </c>
      <c r="V2525" s="5" t="s">
        <v>4759</v>
      </c>
      <c r="W2525" s="5" t="s">
        <v>67</v>
      </c>
      <c r="X2525" s="5" t="s">
        <v>67</v>
      </c>
      <c r="Y2525" s="4">
        <v>326</v>
      </c>
      <c r="Z2525" s="4">
        <v>28</v>
      </c>
      <c r="AA2525" s="4">
        <v>52</v>
      </c>
      <c r="AB2525" s="4">
        <v>2</v>
      </c>
      <c r="AC2525" s="4">
        <v>7</v>
      </c>
      <c r="AD2525" s="4">
        <v>107</v>
      </c>
      <c r="AE2525" s="4">
        <v>112</v>
      </c>
      <c r="AF2525" s="4">
        <v>1</v>
      </c>
      <c r="AG2525" s="4">
        <v>2</v>
      </c>
      <c r="AH2525" s="4">
        <v>93</v>
      </c>
      <c r="AI2525" s="4">
        <v>96</v>
      </c>
      <c r="AJ2525" s="4">
        <v>17</v>
      </c>
      <c r="AK2525" s="4">
        <v>18</v>
      </c>
      <c r="AL2525" s="4">
        <v>49</v>
      </c>
      <c r="AM2525" s="4">
        <v>50</v>
      </c>
      <c r="AN2525" s="4">
        <v>0</v>
      </c>
      <c r="AO2525" s="4">
        <v>0</v>
      </c>
      <c r="AP2525" s="4">
        <v>23</v>
      </c>
      <c r="AQ2525" s="4">
        <v>24</v>
      </c>
      <c r="AR2525" s="3" t="s">
        <v>62</v>
      </c>
      <c r="AS2525" s="3" t="s">
        <v>62</v>
      </c>
      <c r="AT2525" s="3" t="s">
        <v>62</v>
      </c>
      <c r="AV2525" s="6" t="str">
        <f>HYPERLINK("http://mcgill.on.worldcat.org/oclc/48942890","Catalog Record")</f>
        <v>Catalog Record</v>
      </c>
      <c r="AW2525" s="6" t="str">
        <f>HYPERLINK("http://www.worldcat.org/oclc/48942890","WorldCat Record")</f>
        <v>WorldCat Record</v>
      </c>
      <c r="AX2525" s="3" t="s">
        <v>24778</v>
      </c>
      <c r="AY2525" s="3" t="s">
        <v>24779</v>
      </c>
      <c r="AZ2525" s="3" t="s">
        <v>24780</v>
      </c>
      <c r="BA2525" s="3" t="s">
        <v>24780</v>
      </c>
      <c r="BB2525" s="3" t="s">
        <v>24781</v>
      </c>
      <c r="BC2525" s="3" t="s">
        <v>142</v>
      </c>
      <c r="BD2525" s="3" t="s">
        <v>68</v>
      </c>
      <c r="BE2525" s="3" t="s">
        <v>24782</v>
      </c>
      <c r="BF2525" s="3" t="s">
        <v>24781</v>
      </c>
      <c r="BG2525" s="3" t="s">
        <v>24783</v>
      </c>
    </row>
    <row r="2526" spans="1:59" ht="57" x14ac:dyDescent="0.45">
      <c r="A2526" s="2" t="s">
        <v>59</v>
      </c>
      <c r="B2526" s="2" t="s">
        <v>60</v>
      </c>
      <c r="C2526" s="2" t="s">
        <v>24784</v>
      </c>
      <c r="D2526" s="2" t="s">
        <v>24785</v>
      </c>
      <c r="E2526" s="2" t="s">
        <v>24786</v>
      </c>
      <c r="G2526" s="3" t="s">
        <v>62</v>
      </c>
      <c r="I2526" s="3" t="s">
        <v>62</v>
      </c>
      <c r="J2526" s="3" t="s">
        <v>62</v>
      </c>
      <c r="K2526" s="3" t="s">
        <v>63</v>
      </c>
      <c r="L2526" s="2" t="s">
        <v>24787</v>
      </c>
      <c r="M2526" s="2" t="s">
        <v>4009</v>
      </c>
      <c r="N2526" s="3" t="s">
        <v>149</v>
      </c>
      <c r="P2526" s="3" t="s">
        <v>65</v>
      </c>
      <c r="Q2526" s="2" t="s">
        <v>24788</v>
      </c>
      <c r="R2526" s="3" t="s">
        <v>66</v>
      </c>
      <c r="S2526" s="4">
        <v>3</v>
      </c>
      <c r="T2526" s="4">
        <v>3</v>
      </c>
      <c r="U2526" s="5" t="s">
        <v>10681</v>
      </c>
      <c r="V2526" s="5" t="s">
        <v>10681</v>
      </c>
      <c r="W2526" s="5" t="s">
        <v>67</v>
      </c>
      <c r="X2526" s="5" t="s">
        <v>67</v>
      </c>
      <c r="Y2526" s="4">
        <v>196</v>
      </c>
      <c r="Z2526" s="4">
        <v>20</v>
      </c>
      <c r="AA2526" s="4">
        <v>30</v>
      </c>
      <c r="AB2526" s="4">
        <v>2</v>
      </c>
      <c r="AC2526" s="4">
        <v>7</v>
      </c>
      <c r="AD2526" s="4">
        <v>42</v>
      </c>
      <c r="AE2526" s="4">
        <v>67</v>
      </c>
      <c r="AF2526" s="4">
        <v>1</v>
      </c>
      <c r="AG2526" s="4">
        <v>3</v>
      </c>
      <c r="AH2526" s="4">
        <v>33</v>
      </c>
      <c r="AI2526" s="4">
        <v>56</v>
      </c>
      <c r="AJ2526" s="4">
        <v>12</v>
      </c>
      <c r="AK2526" s="4">
        <v>16</v>
      </c>
      <c r="AL2526" s="4">
        <v>17</v>
      </c>
      <c r="AM2526" s="4">
        <v>32</v>
      </c>
      <c r="AN2526" s="4">
        <v>0</v>
      </c>
      <c r="AO2526" s="4">
        <v>0</v>
      </c>
      <c r="AP2526" s="4">
        <v>16</v>
      </c>
      <c r="AQ2526" s="4">
        <v>20</v>
      </c>
      <c r="AR2526" s="3" t="s">
        <v>62</v>
      </c>
      <c r="AS2526" s="3" t="s">
        <v>62</v>
      </c>
      <c r="AT2526" s="3" t="s">
        <v>62</v>
      </c>
      <c r="AV2526" s="6" t="str">
        <f>HYPERLINK("http://mcgill.on.worldcat.org/oclc/429634751","Catalog Record")</f>
        <v>Catalog Record</v>
      </c>
      <c r="AW2526" s="6" t="str">
        <f>HYPERLINK("http://www.worldcat.org/oclc/429634751","WorldCat Record")</f>
        <v>WorldCat Record</v>
      </c>
      <c r="AX2526" s="3" t="s">
        <v>24789</v>
      </c>
      <c r="AY2526" s="3" t="s">
        <v>24790</v>
      </c>
      <c r="AZ2526" s="3" t="s">
        <v>24791</v>
      </c>
      <c r="BA2526" s="3" t="s">
        <v>24791</v>
      </c>
      <c r="BB2526" s="3" t="s">
        <v>24792</v>
      </c>
      <c r="BC2526" s="3" t="s">
        <v>142</v>
      </c>
      <c r="BD2526" s="3" t="s">
        <v>68</v>
      </c>
      <c r="BE2526" s="3" t="s">
        <v>24793</v>
      </c>
      <c r="BF2526" s="3" t="s">
        <v>24792</v>
      </c>
      <c r="BG2526" s="3" t="s">
        <v>24794</v>
      </c>
    </row>
    <row r="2527" spans="1:59" ht="57" x14ac:dyDescent="0.45">
      <c r="A2527" s="2" t="s">
        <v>59</v>
      </c>
      <c r="B2527" s="2" t="s">
        <v>60</v>
      </c>
      <c r="C2527" s="2" t="s">
        <v>24795</v>
      </c>
      <c r="D2527" s="2" t="s">
        <v>24796</v>
      </c>
      <c r="E2527" s="2" t="s">
        <v>24797</v>
      </c>
      <c r="G2527" s="3" t="s">
        <v>62</v>
      </c>
      <c r="I2527" s="3" t="s">
        <v>62</v>
      </c>
      <c r="J2527" s="3" t="s">
        <v>62</v>
      </c>
      <c r="K2527" s="3" t="s">
        <v>63</v>
      </c>
      <c r="L2527" s="2" t="s">
        <v>24798</v>
      </c>
      <c r="M2527" s="2" t="s">
        <v>24799</v>
      </c>
      <c r="N2527" s="3" t="s">
        <v>149</v>
      </c>
      <c r="P2527" s="3" t="s">
        <v>65</v>
      </c>
      <c r="R2527" s="3" t="s">
        <v>66</v>
      </c>
      <c r="S2527" s="4">
        <v>5</v>
      </c>
      <c r="T2527" s="4">
        <v>5</v>
      </c>
      <c r="U2527" s="5" t="s">
        <v>4759</v>
      </c>
      <c r="V2527" s="5" t="s">
        <v>4759</v>
      </c>
      <c r="W2527" s="5" t="s">
        <v>67</v>
      </c>
      <c r="X2527" s="5" t="s">
        <v>67</v>
      </c>
      <c r="Y2527" s="4">
        <v>317</v>
      </c>
      <c r="Z2527" s="4">
        <v>27</v>
      </c>
      <c r="AA2527" s="4">
        <v>30</v>
      </c>
      <c r="AB2527" s="4">
        <v>2</v>
      </c>
      <c r="AC2527" s="4">
        <v>4</v>
      </c>
      <c r="AD2527" s="4">
        <v>84</v>
      </c>
      <c r="AE2527" s="4">
        <v>87</v>
      </c>
      <c r="AF2527" s="4">
        <v>1</v>
      </c>
      <c r="AG2527" s="4">
        <v>3</v>
      </c>
      <c r="AH2527" s="4">
        <v>74</v>
      </c>
      <c r="AI2527" s="4">
        <v>75</v>
      </c>
      <c r="AJ2527" s="4">
        <v>18</v>
      </c>
      <c r="AK2527" s="4">
        <v>20</v>
      </c>
      <c r="AL2527" s="4">
        <v>38</v>
      </c>
      <c r="AM2527" s="4">
        <v>38</v>
      </c>
      <c r="AN2527" s="4">
        <v>0</v>
      </c>
      <c r="AO2527" s="4">
        <v>0</v>
      </c>
      <c r="AP2527" s="4">
        <v>20</v>
      </c>
      <c r="AQ2527" s="4">
        <v>23</v>
      </c>
      <c r="AR2527" s="3" t="s">
        <v>62</v>
      </c>
      <c r="AS2527" s="3" t="s">
        <v>62</v>
      </c>
      <c r="AT2527" s="3" t="s">
        <v>62</v>
      </c>
      <c r="AV2527" s="6" t="str">
        <f>HYPERLINK("http://mcgill.on.worldcat.org/oclc/617508894","Catalog Record")</f>
        <v>Catalog Record</v>
      </c>
      <c r="AW2527" s="6" t="str">
        <f>HYPERLINK("http://www.worldcat.org/oclc/617508894","WorldCat Record")</f>
        <v>WorldCat Record</v>
      </c>
      <c r="AX2527" s="3" t="s">
        <v>24800</v>
      </c>
      <c r="AY2527" s="3" t="s">
        <v>24801</v>
      </c>
      <c r="AZ2527" s="3" t="s">
        <v>24802</v>
      </c>
      <c r="BA2527" s="3" t="s">
        <v>24802</v>
      </c>
      <c r="BB2527" s="3" t="s">
        <v>24803</v>
      </c>
      <c r="BC2527" s="3" t="s">
        <v>142</v>
      </c>
      <c r="BD2527" s="3" t="s">
        <v>68</v>
      </c>
      <c r="BE2527" s="3" t="s">
        <v>24804</v>
      </c>
      <c r="BF2527" s="3" t="s">
        <v>24803</v>
      </c>
      <c r="BG2527" s="3" t="s">
        <v>24805</v>
      </c>
    </row>
    <row r="2528" spans="1:59" ht="71.25" x14ac:dyDescent="0.45">
      <c r="A2528" s="2" t="s">
        <v>59</v>
      </c>
      <c r="B2528" s="2" t="s">
        <v>60</v>
      </c>
      <c r="C2528" s="2" t="s">
        <v>24806</v>
      </c>
      <c r="D2528" s="2" t="s">
        <v>24807</v>
      </c>
      <c r="E2528" s="2" t="s">
        <v>24808</v>
      </c>
      <c r="F2528" s="3" t="s">
        <v>88</v>
      </c>
      <c r="G2528" s="3" t="s">
        <v>61</v>
      </c>
      <c r="I2528" s="3" t="s">
        <v>62</v>
      </c>
      <c r="J2528" s="3" t="s">
        <v>62</v>
      </c>
      <c r="K2528" s="3" t="s">
        <v>63</v>
      </c>
      <c r="M2528" s="2" t="s">
        <v>24809</v>
      </c>
      <c r="N2528" s="3" t="s">
        <v>1688</v>
      </c>
      <c r="P2528" s="3" t="s">
        <v>65</v>
      </c>
      <c r="Q2528" s="2" t="s">
        <v>24810</v>
      </c>
      <c r="R2528" s="3" t="s">
        <v>66</v>
      </c>
      <c r="S2528" s="4">
        <v>0</v>
      </c>
      <c r="T2528" s="4">
        <v>0</v>
      </c>
      <c r="W2528" s="5" t="s">
        <v>67</v>
      </c>
      <c r="X2528" s="5" t="s">
        <v>67</v>
      </c>
      <c r="Y2528" s="4">
        <v>35</v>
      </c>
      <c r="Z2528" s="4">
        <v>5</v>
      </c>
      <c r="AA2528" s="4">
        <v>6</v>
      </c>
      <c r="AB2528" s="4">
        <v>1</v>
      </c>
      <c r="AC2528" s="4">
        <v>2</v>
      </c>
      <c r="AD2528" s="4">
        <v>9</v>
      </c>
      <c r="AE2528" s="4">
        <v>10</v>
      </c>
      <c r="AF2528" s="4">
        <v>0</v>
      </c>
      <c r="AG2528" s="4">
        <v>1</v>
      </c>
      <c r="AH2528" s="4">
        <v>7</v>
      </c>
      <c r="AI2528" s="4">
        <v>8</v>
      </c>
      <c r="AJ2528" s="4">
        <v>2</v>
      </c>
      <c r="AK2528" s="4">
        <v>3</v>
      </c>
      <c r="AL2528" s="4">
        <v>3</v>
      </c>
      <c r="AM2528" s="4">
        <v>3</v>
      </c>
      <c r="AN2528" s="4">
        <v>0</v>
      </c>
      <c r="AO2528" s="4">
        <v>0</v>
      </c>
      <c r="AP2528" s="4">
        <v>4</v>
      </c>
      <c r="AQ2528" s="4">
        <v>5</v>
      </c>
      <c r="AR2528" s="3" t="s">
        <v>62</v>
      </c>
      <c r="AS2528" s="3" t="s">
        <v>62</v>
      </c>
      <c r="AT2528" s="3" t="s">
        <v>62</v>
      </c>
      <c r="AV2528" s="6" t="str">
        <f>HYPERLINK("http://mcgill.on.worldcat.org/oclc/841557745","Catalog Record")</f>
        <v>Catalog Record</v>
      </c>
      <c r="AW2528" s="6" t="str">
        <f>HYPERLINK("http://www.worldcat.org/oclc/841557745","WorldCat Record")</f>
        <v>WorldCat Record</v>
      </c>
      <c r="AX2528" s="3" t="s">
        <v>24811</v>
      </c>
      <c r="AY2528" s="3" t="s">
        <v>24812</v>
      </c>
      <c r="AZ2528" s="3" t="s">
        <v>24813</v>
      </c>
      <c r="BA2528" s="3" t="s">
        <v>24813</v>
      </c>
      <c r="BB2528" s="3" t="s">
        <v>24814</v>
      </c>
      <c r="BC2528" s="3" t="s">
        <v>142</v>
      </c>
      <c r="BD2528" s="3" t="s">
        <v>68</v>
      </c>
      <c r="BE2528" s="3" t="s">
        <v>24815</v>
      </c>
      <c r="BF2528" s="3" t="s">
        <v>24814</v>
      </c>
      <c r="BG2528" s="3" t="s">
        <v>24816</v>
      </c>
    </row>
    <row r="2529" spans="1:59" ht="71.25" x14ac:dyDescent="0.45">
      <c r="A2529" s="2" t="s">
        <v>59</v>
      </c>
      <c r="B2529" s="2" t="s">
        <v>60</v>
      </c>
      <c r="C2529" s="2" t="s">
        <v>24806</v>
      </c>
      <c r="D2529" s="2" t="s">
        <v>24807</v>
      </c>
      <c r="E2529" s="2" t="s">
        <v>24808</v>
      </c>
      <c r="F2529" s="3" t="s">
        <v>87</v>
      </c>
      <c r="G2529" s="3" t="s">
        <v>61</v>
      </c>
      <c r="I2529" s="3" t="s">
        <v>62</v>
      </c>
      <c r="J2529" s="3" t="s">
        <v>62</v>
      </c>
      <c r="K2529" s="3" t="s">
        <v>63</v>
      </c>
      <c r="M2529" s="2" t="s">
        <v>24809</v>
      </c>
      <c r="N2529" s="3" t="s">
        <v>1688</v>
      </c>
      <c r="P2529" s="3" t="s">
        <v>65</v>
      </c>
      <c r="Q2529" s="2" t="s">
        <v>24810</v>
      </c>
      <c r="R2529" s="3" t="s">
        <v>66</v>
      </c>
      <c r="S2529" s="4">
        <v>0</v>
      </c>
      <c r="T2529" s="4">
        <v>0</v>
      </c>
      <c r="W2529" s="5" t="s">
        <v>67</v>
      </c>
      <c r="X2529" s="5" t="s">
        <v>67</v>
      </c>
      <c r="Y2529" s="4">
        <v>35</v>
      </c>
      <c r="Z2529" s="4">
        <v>5</v>
      </c>
      <c r="AA2529" s="4">
        <v>6</v>
      </c>
      <c r="AB2529" s="4">
        <v>1</v>
      </c>
      <c r="AC2529" s="4">
        <v>2</v>
      </c>
      <c r="AD2529" s="4">
        <v>9</v>
      </c>
      <c r="AE2529" s="4">
        <v>10</v>
      </c>
      <c r="AF2529" s="4">
        <v>0</v>
      </c>
      <c r="AG2529" s="4">
        <v>1</v>
      </c>
      <c r="AH2529" s="4">
        <v>7</v>
      </c>
      <c r="AI2529" s="4">
        <v>8</v>
      </c>
      <c r="AJ2529" s="4">
        <v>2</v>
      </c>
      <c r="AK2529" s="4">
        <v>3</v>
      </c>
      <c r="AL2529" s="4">
        <v>3</v>
      </c>
      <c r="AM2529" s="4">
        <v>3</v>
      </c>
      <c r="AN2529" s="4">
        <v>0</v>
      </c>
      <c r="AO2529" s="4">
        <v>0</v>
      </c>
      <c r="AP2529" s="4">
        <v>4</v>
      </c>
      <c r="AQ2529" s="4">
        <v>5</v>
      </c>
      <c r="AR2529" s="3" t="s">
        <v>62</v>
      </c>
      <c r="AS2529" s="3" t="s">
        <v>62</v>
      </c>
      <c r="AT2529" s="3" t="s">
        <v>62</v>
      </c>
      <c r="AV2529" s="6" t="str">
        <f>HYPERLINK("http://mcgill.on.worldcat.org/oclc/841557745","Catalog Record")</f>
        <v>Catalog Record</v>
      </c>
      <c r="AW2529" s="6" t="str">
        <f>HYPERLINK("http://www.worldcat.org/oclc/841557745","WorldCat Record")</f>
        <v>WorldCat Record</v>
      </c>
      <c r="AX2529" s="3" t="s">
        <v>24811</v>
      </c>
      <c r="AY2529" s="3" t="s">
        <v>24812</v>
      </c>
      <c r="AZ2529" s="3" t="s">
        <v>24813</v>
      </c>
      <c r="BA2529" s="3" t="s">
        <v>24813</v>
      </c>
      <c r="BB2529" s="3" t="s">
        <v>24817</v>
      </c>
      <c r="BC2529" s="3" t="s">
        <v>142</v>
      </c>
      <c r="BD2529" s="3" t="s">
        <v>68</v>
      </c>
      <c r="BE2529" s="3" t="s">
        <v>24815</v>
      </c>
      <c r="BF2529" s="3" t="s">
        <v>24817</v>
      </c>
      <c r="BG2529" s="3" t="s">
        <v>24818</v>
      </c>
    </row>
    <row r="2530" spans="1:59" ht="71.25" x14ac:dyDescent="0.45">
      <c r="A2530" s="2" t="s">
        <v>59</v>
      </c>
      <c r="B2530" s="2" t="s">
        <v>60</v>
      </c>
      <c r="C2530" s="2" t="s">
        <v>24806</v>
      </c>
      <c r="D2530" s="2" t="s">
        <v>24807</v>
      </c>
      <c r="E2530" s="2" t="s">
        <v>24808</v>
      </c>
      <c r="F2530" s="3" t="s">
        <v>86</v>
      </c>
      <c r="G2530" s="3" t="s">
        <v>61</v>
      </c>
      <c r="I2530" s="3" t="s">
        <v>62</v>
      </c>
      <c r="J2530" s="3" t="s">
        <v>62</v>
      </c>
      <c r="K2530" s="3" t="s">
        <v>63</v>
      </c>
      <c r="M2530" s="2" t="s">
        <v>24809</v>
      </c>
      <c r="N2530" s="3" t="s">
        <v>1688</v>
      </c>
      <c r="P2530" s="3" t="s">
        <v>65</v>
      </c>
      <c r="Q2530" s="2" t="s">
        <v>24810</v>
      </c>
      <c r="R2530" s="3" t="s">
        <v>66</v>
      </c>
      <c r="S2530" s="4">
        <v>0</v>
      </c>
      <c r="T2530" s="4">
        <v>0</v>
      </c>
      <c r="W2530" s="5" t="s">
        <v>67</v>
      </c>
      <c r="X2530" s="5" t="s">
        <v>67</v>
      </c>
      <c r="Y2530" s="4">
        <v>35</v>
      </c>
      <c r="Z2530" s="4">
        <v>5</v>
      </c>
      <c r="AA2530" s="4">
        <v>6</v>
      </c>
      <c r="AB2530" s="4">
        <v>1</v>
      </c>
      <c r="AC2530" s="4">
        <v>2</v>
      </c>
      <c r="AD2530" s="4">
        <v>9</v>
      </c>
      <c r="AE2530" s="4">
        <v>10</v>
      </c>
      <c r="AF2530" s="4">
        <v>0</v>
      </c>
      <c r="AG2530" s="4">
        <v>1</v>
      </c>
      <c r="AH2530" s="4">
        <v>7</v>
      </c>
      <c r="AI2530" s="4">
        <v>8</v>
      </c>
      <c r="AJ2530" s="4">
        <v>2</v>
      </c>
      <c r="AK2530" s="4">
        <v>3</v>
      </c>
      <c r="AL2530" s="4">
        <v>3</v>
      </c>
      <c r="AM2530" s="4">
        <v>3</v>
      </c>
      <c r="AN2530" s="4">
        <v>0</v>
      </c>
      <c r="AO2530" s="4">
        <v>0</v>
      </c>
      <c r="AP2530" s="4">
        <v>4</v>
      </c>
      <c r="AQ2530" s="4">
        <v>5</v>
      </c>
      <c r="AR2530" s="3" t="s">
        <v>62</v>
      </c>
      <c r="AS2530" s="3" t="s">
        <v>62</v>
      </c>
      <c r="AT2530" s="3" t="s">
        <v>62</v>
      </c>
      <c r="AV2530" s="6" t="str">
        <f>HYPERLINK("http://mcgill.on.worldcat.org/oclc/841557745","Catalog Record")</f>
        <v>Catalog Record</v>
      </c>
      <c r="AW2530" s="6" t="str">
        <f>HYPERLINK("http://www.worldcat.org/oclc/841557745","WorldCat Record")</f>
        <v>WorldCat Record</v>
      </c>
      <c r="AX2530" s="3" t="s">
        <v>24811</v>
      </c>
      <c r="AY2530" s="3" t="s">
        <v>24812</v>
      </c>
      <c r="AZ2530" s="3" t="s">
        <v>24813</v>
      </c>
      <c r="BA2530" s="3" t="s">
        <v>24813</v>
      </c>
      <c r="BB2530" s="3" t="s">
        <v>24819</v>
      </c>
      <c r="BC2530" s="3" t="s">
        <v>142</v>
      </c>
      <c r="BD2530" s="3" t="s">
        <v>68</v>
      </c>
      <c r="BE2530" s="3" t="s">
        <v>24815</v>
      </c>
      <c r="BF2530" s="3" t="s">
        <v>24819</v>
      </c>
      <c r="BG2530" s="3" t="s">
        <v>24820</v>
      </c>
    </row>
    <row r="2531" spans="1:59" ht="71.25" x14ac:dyDescent="0.45">
      <c r="A2531" s="2" t="s">
        <v>59</v>
      </c>
      <c r="B2531" s="2" t="s">
        <v>60</v>
      </c>
      <c r="C2531" s="2" t="s">
        <v>24806</v>
      </c>
      <c r="D2531" s="2" t="s">
        <v>24807</v>
      </c>
      <c r="E2531" s="2" t="s">
        <v>24808</v>
      </c>
      <c r="F2531" s="3" t="s">
        <v>90</v>
      </c>
      <c r="G2531" s="3" t="s">
        <v>61</v>
      </c>
      <c r="I2531" s="3" t="s">
        <v>62</v>
      </c>
      <c r="J2531" s="3" t="s">
        <v>62</v>
      </c>
      <c r="K2531" s="3" t="s">
        <v>63</v>
      </c>
      <c r="M2531" s="2" t="s">
        <v>24809</v>
      </c>
      <c r="N2531" s="3" t="s">
        <v>1688</v>
      </c>
      <c r="P2531" s="3" t="s">
        <v>65</v>
      </c>
      <c r="Q2531" s="2" t="s">
        <v>24810</v>
      </c>
      <c r="R2531" s="3" t="s">
        <v>66</v>
      </c>
      <c r="S2531" s="4">
        <v>0</v>
      </c>
      <c r="T2531" s="4">
        <v>0</v>
      </c>
      <c r="W2531" s="5" t="s">
        <v>67</v>
      </c>
      <c r="X2531" s="5" t="s">
        <v>67</v>
      </c>
      <c r="Y2531" s="4">
        <v>35</v>
      </c>
      <c r="Z2531" s="4">
        <v>5</v>
      </c>
      <c r="AA2531" s="4">
        <v>6</v>
      </c>
      <c r="AB2531" s="4">
        <v>1</v>
      </c>
      <c r="AC2531" s="4">
        <v>2</v>
      </c>
      <c r="AD2531" s="4">
        <v>9</v>
      </c>
      <c r="AE2531" s="4">
        <v>10</v>
      </c>
      <c r="AF2531" s="4">
        <v>0</v>
      </c>
      <c r="AG2531" s="4">
        <v>1</v>
      </c>
      <c r="AH2531" s="4">
        <v>7</v>
      </c>
      <c r="AI2531" s="4">
        <v>8</v>
      </c>
      <c r="AJ2531" s="4">
        <v>2</v>
      </c>
      <c r="AK2531" s="4">
        <v>3</v>
      </c>
      <c r="AL2531" s="4">
        <v>3</v>
      </c>
      <c r="AM2531" s="4">
        <v>3</v>
      </c>
      <c r="AN2531" s="4">
        <v>0</v>
      </c>
      <c r="AO2531" s="4">
        <v>0</v>
      </c>
      <c r="AP2531" s="4">
        <v>4</v>
      </c>
      <c r="AQ2531" s="4">
        <v>5</v>
      </c>
      <c r="AR2531" s="3" t="s">
        <v>62</v>
      </c>
      <c r="AS2531" s="3" t="s">
        <v>62</v>
      </c>
      <c r="AT2531" s="3" t="s">
        <v>62</v>
      </c>
      <c r="AV2531" s="6" t="str">
        <f>HYPERLINK("http://mcgill.on.worldcat.org/oclc/841557745","Catalog Record")</f>
        <v>Catalog Record</v>
      </c>
      <c r="AW2531" s="6" t="str">
        <f>HYPERLINK("http://www.worldcat.org/oclc/841557745","WorldCat Record")</f>
        <v>WorldCat Record</v>
      </c>
      <c r="AX2531" s="3" t="s">
        <v>24811</v>
      </c>
      <c r="AY2531" s="3" t="s">
        <v>24812</v>
      </c>
      <c r="AZ2531" s="3" t="s">
        <v>24813</v>
      </c>
      <c r="BA2531" s="3" t="s">
        <v>24813</v>
      </c>
      <c r="BB2531" s="3" t="s">
        <v>24821</v>
      </c>
      <c r="BC2531" s="3" t="s">
        <v>142</v>
      </c>
      <c r="BD2531" s="3" t="s">
        <v>68</v>
      </c>
      <c r="BE2531" s="3" t="s">
        <v>24815</v>
      </c>
      <c r="BF2531" s="3" t="s">
        <v>24821</v>
      </c>
      <c r="BG2531" s="3" t="s">
        <v>24822</v>
      </c>
    </row>
    <row r="2532" spans="1:59" ht="57" x14ac:dyDescent="0.45">
      <c r="A2532" s="2" t="s">
        <v>59</v>
      </c>
      <c r="B2532" s="2" t="s">
        <v>60</v>
      </c>
      <c r="C2532" s="2" t="s">
        <v>24823</v>
      </c>
      <c r="D2532" s="2" t="s">
        <v>24824</v>
      </c>
      <c r="E2532" s="2" t="s">
        <v>24825</v>
      </c>
      <c r="G2532" s="3" t="s">
        <v>62</v>
      </c>
      <c r="I2532" s="3" t="s">
        <v>62</v>
      </c>
      <c r="J2532" s="3" t="s">
        <v>62</v>
      </c>
      <c r="K2532" s="3" t="s">
        <v>63</v>
      </c>
      <c r="L2532" s="2" t="s">
        <v>24826</v>
      </c>
      <c r="M2532" s="2" t="s">
        <v>24827</v>
      </c>
      <c r="N2532" s="3" t="s">
        <v>894</v>
      </c>
      <c r="P2532" s="3" t="s">
        <v>65</v>
      </c>
      <c r="R2532" s="3" t="s">
        <v>66</v>
      </c>
      <c r="S2532" s="4">
        <v>0</v>
      </c>
      <c r="T2532" s="4">
        <v>0</v>
      </c>
      <c r="W2532" s="5" t="s">
        <v>67</v>
      </c>
      <c r="X2532" s="5" t="s">
        <v>67</v>
      </c>
      <c r="Y2532" s="4">
        <v>138</v>
      </c>
      <c r="Z2532" s="4">
        <v>13</v>
      </c>
      <c r="AA2532" s="4">
        <v>79</v>
      </c>
      <c r="AB2532" s="4">
        <v>2</v>
      </c>
      <c r="AC2532" s="4">
        <v>14</v>
      </c>
      <c r="AD2532" s="4">
        <v>57</v>
      </c>
      <c r="AE2532" s="4">
        <v>120</v>
      </c>
      <c r="AF2532" s="4">
        <v>1</v>
      </c>
      <c r="AG2532" s="4">
        <v>8</v>
      </c>
      <c r="AH2532" s="4">
        <v>52</v>
      </c>
      <c r="AI2532" s="4">
        <v>86</v>
      </c>
      <c r="AJ2532" s="4">
        <v>10</v>
      </c>
      <c r="AK2532" s="4">
        <v>23</v>
      </c>
      <c r="AL2532" s="4">
        <v>33</v>
      </c>
      <c r="AM2532" s="4">
        <v>49</v>
      </c>
      <c r="AN2532" s="4">
        <v>0</v>
      </c>
      <c r="AO2532" s="4">
        <v>0</v>
      </c>
      <c r="AP2532" s="4">
        <v>11</v>
      </c>
      <c r="AQ2532" s="4">
        <v>41</v>
      </c>
      <c r="AR2532" s="3" t="s">
        <v>62</v>
      </c>
      <c r="AS2532" s="3" t="s">
        <v>62</v>
      </c>
      <c r="AT2532" s="3" t="s">
        <v>62</v>
      </c>
      <c r="AV2532" s="6" t="str">
        <f>HYPERLINK("http://mcgill.on.worldcat.org/oclc/707726511","Catalog Record")</f>
        <v>Catalog Record</v>
      </c>
      <c r="AW2532" s="6" t="str">
        <f>HYPERLINK("http://www.worldcat.org/oclc/707726511","WorldCat Record")</f>
        <v>WorldCat Record</v>
      </c>
      <c r="AX2532" s="3" t="s">
        <v>24828</v>
      </c>
      <c r="AY2532" s="3" t="s">
        <v>24829</v>
      </c>
      <c r="AZ2532" s="3" t="s">
        <v>24830</v>
      </c>
      <c r="BA2532" s="3" t="s">
        <v>24830</v>
      </c>
      <c r="BB2532" s="3" t="s">
        <v>24831</v>
      </c>
      <c r="BC2532" s="3" t="s">
        <v>142</v>
      </c>
      <c r="BD2532" s="3" t="s">
        <v>68</v>
      </c>
      <c r="BE2532" s="3" t="s">
        <v>24832</v>
      </c>
      <c r="BF2532" s="3" t="s">
        <v>24831</v>
      </c>
      <c r="BG2532" s="3" t="s">
        <v>24833</v>
      </c>
    </row>
    <row r="2533" spans="1:59" ht="57" x14ac:dyDescent="0.45">
      <c r="A2533" s="2" t="s">
        <v>59</v>
      </c>
      <c r="B2533" s="2" t="s">
        <v>60</v>
      </c>
      <c r="C2533" s="2" t="s">
        <v>24834</v>
      </c>
      <c r="D2533" s="2" t="s">
        <v>24835</v>
      </c>
      <c r="E2533" s="2" t="s">
        <v>24836</v>
      </c>
      <c r="G2533" s="3" t="s">
        <v>62</v>
      </c>
      <c r="I2533" s="3" t="s">
        <v>62</v>
      </c>
      <c r="J2533" s="3" t="s">
        <v>62</v>
      </c>
      <c r="K2533" s="3" t="s">
        <v>63</v>
      </c>
      <c r="L2533" s="2" t="s">
        <v>24837</v>
      </c>
      <c r="M2533" s="2" t="s">
        <v>24838</v>
      </c>
      <c r="N2533" s="3" t="s">
        <v>1155</v>
      </c>
      <c r="O2533" s="2" t="s">
        <v>1748</v>
      </c>
      <c r="P2533" s="3" t="s">
        <v>65</v>
      </c>
      <c r="Q2533" s="2" t="s">
        <v>24839</v>
      </c>
      <c r="R2533" s="3" t="s">
        <v>66</v>
      </c>
      <c r="S2533" s="4">
        <v>3</v>
      </c>
      <c r="T2533" s="4">
        <v>3</v>
      </c>
      <c r="U2533" s="5" t="s">
        <v>24840</v>
      </c>
      <c r="V2533" s="5" t="s">
        <v>24840</v>
      </c>
      <c r="W2533" s="5" t="s">
        <v>67</v>
      </c>
      <c r="X2533" s="5" t="s">
        <v>67</v>
      </c>
      <c r="Y2533" s="4">
        <v>103</v>
      </c>
      <c r="Z2533" s="4">
        <v>14</v>
      </c>
      <c r="AA2533" s="4">
        <v>49</v>
      </c>
      <c r="AB2533" s="4">
        <v>2</v>
      </c>
      <c r="AC2533" s="4">
        <v>5</v>
      </c>
      <c r="AD2533" s="4">
        <v>52</v>
      </c>
      <c r="AE2533" s="4">
        <v>78</v>
      </c>
      <c r="AF2533" s="4">
        <v>1</v>
      </c>
      <c r="AG2533" s="4">
        <v>2</v>
      </c>
      <c r="AH2533" s="4">
        <v>48</v>
      </c>
      <c r="AI2533" s="4">
        <v>64</v>
      </c>
      <c r="AJ2533" s="4">
        <v>7</v>
      </c>
      <c r="AK2533" s="4">
        <v>15</v>
      </c>
      <c r="AL2533" s="4">
        <v>32</v>
      </c>
      <c r="AM2533" s="4">
        <v>40</v>
      </c>
      <c r="AN2533" s="4">
        <v>0</v>
      </c>
      <c r="AO2533" s="4">
        <v>0</v>
      </c>
      <c r="AP2533" s="4">
        <v>10</v>
      </c>
      <c r="AQ2533" s="4">
        <v>22</v>
      </c>
      <c r="AR2533" s="3" t="s">
        <v>62</v>
      </c>
      <c r="AS2533" s="3" t="s">
        <v>62</v>
      </c>
      <c r="AT2533" s="3" t="s">
        <v>62</v>
      </c>
      <c r="AV2533" s="6" t="str">
        <f>HYPERLINK("http://mcgill.on.worldcat.org/oclc/800640467","Catalog Record")</f>
        <v>Catalog Record</v>
      </c>
      <c r="AW2533" s="6" t="str">
        <f>HYPERLINK("http://www.worldcat.org/oclc/800640467","WorldCat Record")</f>
        <v>WorldCat Record</v>
      </c>
      <c r="AX2533" s="3" t="s">
        <v>24841</v>
      </c>
      <c r="AY2533" s="3" t="s">
        <v>24842</v>
      </c>
      <c r="AZ2533" s="3" t="s">
        <v>24843</v>
      </c>
      <c r="BA2533" s="3" t="s">
        <v>24843</v>
      </c>
      <c r="BB2533" s="3" t="s">
        <v>24844</v>
      </c>
      <c r="BC2533" s="3" t="s">
        <v>142</v>
      </c>
      <c r="BD2533" s="3" t="s">
        <v>68</v>
      </c>
      <c r="BE2533" s="3" t="s">
        <v>24845</v>
      </c>
      <c r="BF2533" s="3" t="s">
        <v>24844</v>
      </c>
      <c r="BG2533" s="3" t="s">
        <v>24846</v>
      </c>
    </row>
    <row r="2534" spans="1:59" ht="71.25" x14ac:dyDescent="0.45">
      <c r="A2534" s="2" t="s">
        <v>59</v>
      </c>
      <c r="B2534" s="2" t="s">
        <v>60</v>
      </c>
      <c r="C2534" s="2" t="s">
        <v>24847</v>
      </c>
      <c r="D2534" s="2" t="s">
        <v>24848</v>
      </c>
      <c r="E2534" s="2" t="s">
        <v>24849</v>
      </c>
      <c r="G2534" s="3" t="s">
        <v>62</v>
      </c>
      <c r="I2534" s="3" t="s">
        <v>62</v>
      </c>
      <c r="J2534" s="3" t="s">
        <v>62</v>
      </c>
      <c r="K2534" s="3" t="s">
        <v>63</v>
      </c>
      <c r="L2534" s="2" t="s">
        <v>24850</v>
      </c>
      <c r="M2534" s="2" t="s">
        <v>3350</v>
      </c>
      <c r="N2534" s="3" t="s">
        <v>894</v>
      </c>
      <c r="P2534" s="3" t="s">
        <v>65</v>
      </c>
      <c r="R2534" s="3" t="s">
        <v>66</v>
      </c>
      <c r="S2534" s="4">
        <v>4</v>
      </c>
      <c r="T2534" s="4">
        <v>4</v>
      </c>
      <c r="U2534" s="5" t="s">
        <v>24757</v>
      </c>
      <c r="V2534" s="5" t="s">
        <v>24757</v>
      </c>
      <c r="W2534" s="5" t="s">
        <v>67</v>
      </c>
      <c r="X2534" s="5" t="s">
        <v>67</v>
      </c>
      <c r="Y2534" s="4">
        <v>305</v>
      </c>
      <c r="Z2534" s="4">
        <v>25</v>
      </c>
      <c r="AA2534" s="4">
        <v>35</v>
      </c>
      <c r="AB2534" s="4">
        <v>2</v>
      </c>
      <c r="AC2534" s="4">
        <v>6</v>
      </c>
      <c r="AD2534" s="4">
        <v>86</v>
      </c>
      <c r="AE2534" s="4">
        <v>102</v>
      </c>
      <c r="AF2534" s="4">
        <v>1</v>
      </c>
      <c r="AG2534" s="4">
        <v>3</v>
      </c>
      <c r="AH2534" s="4">
        <v>76</v>
      </c>
      <c r="AI2534" s="4">
        <v>86</v>
      </c>
      <c r="AJ2534" s="4">
        <v>16</v>
      </c>
      <c r="AK2534" s="4">
        <v>22</v>
      </c>
      <c r="AL2534" s="4">
        <v>42</v>
      </c>
      <c r="AM2534" s="4">
        <v>47</v>
      </c>
      <c r="AN2534" s="4">
        <v>0</v>
      </c>
      <c r="AO2534" s="4">
        <v>0</v>
      </c>
      <c r="AP2534" s="4">
        <v>19</v>
      </c>
      <c r="AQ2534" s="4">
        <v>27</v>
      </c>
      <c r="AR2534" s="3" t="s">
        <v>62</v>
      </c>
      <c r="AS2534" s="3" t="s">
        <v>62</v>
      </c>
      <c r="AT2534" s="3" t="s">
        <v>62</v>
      </c>
      <c r="AV2534" s="6" t="str">
        <f>HYPERLINK("http://mcgill.on.worldcat.org/oclc/713185479","Catalog Record")</f>
        <v>Catalog Record</v>
      </c>
      <c r="AW2534" s="6" t="str">
        <f>HYPERLINK("http://www.worldcat.org/oclc/713185479","WorldCat Record")</f>
        <v>WorldCat Record</v>
      </c>
      <c r="AX2534" s="3" t="s">
        <v>24851</v>
      </c>
      <c r="AY2534" s="3" t="s">
        <v>24852</v>
      </c>
      <c r="AZ2534" s="3" t="s">
        <v>24853</v>
      </c>
      <c r="BA2534" s="3" t="s">
        <v>24853</v>
      </c>
      <c r="BB2534" s="3" t="s">
        <v>24854</v>
      </c>
      <c r="BC2534" s="3" t="s">
        <v>142</v>
      </c>
      <c r="BD2534" s="3" t="s">
        <v>68</v>
      </c>
      <c r="BE2534" s="3" t="s">
        <v>24855</v>
      </c>
      <c r="BF2534" s="3" t="s">
        <v>24854</v>
      </c>
      <c r="BG2534" s="3" t="s">
        <v>24856</v>
      </c>
    </row>
    <row r="2535" spans="1:59" ht="71.25" x14ac:dyDescent="0.45">
      <c r="A2535" s="2" t="s">
        <v>59</v>
      </c>
      <c r="B2535" s="2" t="s">
        <v>60</v>
      </c>
      <c r="C2535" s="2" t="s">
        <v>24857</v>
      </c>
      <c r="D2535" s="2" t="s">
        <v>24858</v>
      </c>
      <c r="E2535" s="2" t="s">
        <v>24859</v>
      </c>
      <c r="G2535" s="3" t="s">
        <v>62</v>
      </c>
      <c r="I2535" s="3" t="s">
        <v>62</v>
      </c>
      <c r="J2535" s="3" t="s">
        <v>62</v>
      </c>
      <c r="K2535" s="3" t="s">
        <v>63</v>
      </c>
      <c r="M2535" s="2" t="s">
        <v>24860</v>
      </c>
      <c r="N2535" s="3" t="s">
        <v>1855</v>
      </c>
      <c r="O2535" s="2" t="s">
        <v>24861</v>
      </c>
      <c r="P2535" s="3" t="s">
        <v>65</v>
      </c>
      <c r="R2535" s="3" t="s">
        <v>66</v>
      </c>
      <c r="S2535" s="4">
        <v>14</v>
      </c>
      <c r="T2535" s="4">
        <v>14</v>
      </c>
      <c r="U2535" s="5" t="s">
        <v>24332</v>
      </c>
      <c r="V2535" s="5" t="s">
        <v>24332</v>
      </c>
      <c r="W2535" s="5" t="s">
        <v>67</v>
      </c>
      <c r="X2535" s="5" t="s">
        <v>67</v>
      </c>
      <c r="Y2535" s="4">
        <v>769</v>
      </c>
      <c r="Z2535" s="4">
        <v>38</v>
      </c>
      <c r="AA2535" s="4">
        <v>46</v>
      </c>
      <c r="AB2535" s="4">
        <v>3</v>
      </c>
      <c r="AC2535" s="4">
        <v>10</v>
      </c>
      <c r="AD2535" s="4">
        <v>116</v>
      </c>
      <c r="AE2535" s="4">
        <v>121</v>
      </c>
      <c r="AF2535" s="4">
        <v>1</v>
      </c>
      <c r="AG2535" s="4">
        <v>5</v>
      </c>
      <c r="AH2535" s="4">
        <v>101</v>
      </c>
      <c r="AI2535" s="4">
        <v>102</v>
      </c>
      <c r="AJ2535" s="4">
        <v>13</v>
      </c>
      <c r="AK2535" s="4">
        <v>17</v>
      </c>
      <c r="AL2535" s="4">
        <v>55</v>
      </c>
      <c r="AM2535" s="4">
        <v>55</v>
      </c>
      <c r="AN2535" s="4">
        <v>0</v>
      </c>
      <c r="AO2535" s="4">
        <v>0</v>
      </c>
      <c r="AP2535" s="4">
        <v>21</v>
      </c>
      <c r="AQ2535" s="4">
        <v>25</v>
      </c>
      <c r="AR2535" s="3" t="s">
        <v>62</v>
      </c>
      <c r="AS2535" s="3" t="s">
        <v>62</v>
      </c>
      <c r="AT2535" s="3" t="s">
        <v>61</v>
      </c>
      <c r="AU2535" s="6" t="str">
        <f>HYPERLINK("http://catalog.hathitrust.org/Record/004990418","HathiTrust Record")</f>
        <v>HathiTrust Record</v>
      </c>
      <c r="AV2535" s="6" t="str">
        <f>HYPERLINK("http://mcgill.on.worldcat.org/oclc/57574152","Catalog Record")</f>
        <v>Catalog Record</v>
      </c>
      <c r="AW2535" s="6" t="str">
        <f>HYPERLINK("http://www.worldcat.org/oclc/57574152","WorldCat Record")</f>
        <v>WorldCat Record</v>
      </c>
      <c r="AX2535" s="3" t="s">
        <v>24862</v>
      </c>
      <c r="AY2535" s="3" t="s">
        <v>24863</v>
      </c>
      <c r="AZ2535" s="3" t="s">
        <v>24864</v>
      </c>
      <c r="BA2535" s="3" t="s">
        <v>24864</v>
      </c>
      <c r="BB2535" s="3" t="s">
        <v>24865</v>
      </c>
      <c r="BC2535" s="3" t="s">
        <v>142</v>
      </c>
      <c r="BD2535" s="3" t="s">
        <v>68</v>
      </c>
      <c r="BE2535" s="3" t="s">
        <v>24866</v>
      </c>
      <c r="BF2535" s="3" t="s">
        <v>24865</v>
      </c>
      <c r="BG2535" s="3" t="s">
        <v>24867</v>
      </c>
    </row>
    <row r="2536" spans="1:59" ht="57" x14ac:dyDescent="0.45">
      <c r="A2536" s="2" t="s">
        <v>59</v>
      </c>
      <c r="B2536" s="2" t="s">
        <v>60</v>
      </c>
      <c r="C2536" s="2" t="s">
        <v>24868</v>
      </c>
      <c r="D2536" s="2" t="s">
        <v>24869</v>
      </c>
      <c r="E2536" s="2" t="s">
        <v>24870</v>
      </c>
      <c r="G2536" s="3" t="s">
        <v>62</v>
      </c>
      <c r="I2536" s="3" t="s">
        <v>62</v>
      </c>
      <c r="J2536" s="3" t="s">
        <v>62</v>
      </c>
      <c r="K2536" s="3" t="s">
        <v>63</v>
      </c>
      <c r="L2536" s="2" t="s">
        <v>24871</v>
      </c>
      <c r="M2536" s="2" t="s">
        <v>24872</v>
      </c>
      <c r="N2536" s="3" t="s">
        <v>149</v>
      </c>
      <c r="P2536" s="3" t="s">
        <v>65</v>
      </c>
      <c r="Q2536" s="2" t="s">
        <v>24873</v>
      </c>
      <c r="R2536" s="3" t="s">
        <v>66</v>
      </c>
      <c r="S2536" s="4">
        <v>0</v>
      </c>
      <c r="T2536" s="4">
        <v>0</v>
      </c>
      <c r="W2536" s="5" t="s">
        <v>67</v>
      </c>
      <c r="X2536" s="5" t="s">
        <v>67</v>
      </c>
      <c r="Y2536" s="4">
        <v>127</v>
      </c>
      <c r="Z2536" s="4">
        <v>15</v>
      </c>
      <c r="AA2536" s="4">
        <v>50</v>
      </c>
      <c r="AB2536" s="4">
        <v>2</v>
      </c>
      <c r="AC2536" s="4">
        <v>8</v>
      </c>
      <c r="AD2536" s="4">
        <v>63</v>
      </c>
      <c r="AE2536" s="4">
        <v>75</v>
      </c>
      <c r="AF2536" s="4">
        <v>1</v>
      </c>
      <c r="AG2536" s="4">
        <v>1</v>
      </c>
      <c r="AH2536" s="4">
        <v>56</v>
      </c>
      <c r="AI2536" s="4">
        <v>63</v>
      </c>
      <c r="AJ2536" s="4">
        <v>11</v>
      </c>
      <c r="AK2536" s="4">
        <v>13</v>
      </c>
      <c r="AL2536" s="4">
        <v>34</v>
      </c>
      <c r="AM2536" s="4">
        <v>37</v>
      </c>
      <c r="AN2536" s="4">
        <v>0</v>
      </c>
      <c r="AO2536" s="4">
        <v>0</v>
      </c>
      <c r="AP2536" s="4">
        <v>12</v>
      </c>
      <c r="AQ2536" s="4">
        <v>18</v>
      </c>
      <c r="AR2536" s="3" t="s">
        <v>62</v>
      </c>
      <c r="AS2536" s="3" t="s">
        <v>62</v>
      </c>
      <c r="AT2536" s="3" t="s">
        <v>62</v>
      </c>
      <c r="AV2536" s="6" t="str">
        <f>HYPERLINK("http://mcgill.on.worldcat.org/oclc/477269492","Catalog Record")</f>
        <v>Catalog Record</v>
      </c>
      <c r="AW2536" s="6" t="str">
        <f>HYPERLINK("http://www.worldcat.org/oclc/477269492","WorldCat Record")</f>
        <v>WorldCat Record</v>
      </c>
      <c r="AX2536" s="3" t="s">
        <v>24874</v>
      </c>
      <c r="AY2536" s="3" t="s">
        <v>24875</v>
      </c>
      <c r="AZ2536" s="3" t="s">
        <v>24876</v>
      </c>
      <c r="BA2536" s="3" t="s">
        <v>24876</v>
      </c>
      <c r="BB2536" s="3" t="s">
        <v>24877</v>
      </c>
      <c r="BC2536" s="3" t="s">
        <v>142</v>
      </c>
      <c r="BD2536" s="3" t="s">
        <v>68</v>
      </c>
      <c r="BE2536" s="3" t="s">
        <v>24878</v>
      </c>
      <c r="BF2536" s="3" t="s">
        <v>24877</v>
      </c>
      <c r="BG2536" s="3" t="s">
        <v>24879</v>
      </c>
    </row>
    <row r="2537" spans="1:59" ht="57" x14ac:dyDescent="0.45">
      <c r="A2537" s="2" t="s">
        <v>59</v>
      </c>
      <c r="B2537" s="2" t="s">
        <v>60</v>
      </c>
      <c r="C2537" s="2" t="s">
        <v>24880</v>
      </c>
      <c r="D2537" s="2" t="s">
        <v>24881</v>
      </c>
      <c r="E2537" s="2" t="s">
        <v>24882</v>
      </c>
      <c r="G2537" s="3" t="s">
        <v>62</v>
      </c>
      <c r="I2537" s="3" t="s">
        <v>62</v>
      </c>
      <c r="J2537" s="3" t="s">
        <v>62</v>
      </c>
      <c r="K2537" s="3" t="s">
        <v>63</v>
      </c>
      <c r="L2537" s="2" t="s">
        <v>24883</v>
      </c>
      <c r="M2537" s="2" t="s">
        <v>24884</v>
      </c>
      <c r="N2537" s="3" t="s">
        <v>945</v>
      </c>
      <c r="P2537" s="3" t="s">
        <v>65</v>
      </c>
      <c r="R2537" s="3" t="s">
        <v>66</v>
      </c>
      <c r="S2537" s="4">
        <v>5</v>
      </c>
      <c r="T2537" s="4">
        <v>5</v>
      </c>
      <c r="U2537" s="5" t="s">
        <v>1554</v>
      </c>
      <c r="V2537" s="5" t="s">
        <v>1554</v>
      </c>
      <c r="W2537" s="5" t="s">
        <v>67</v>
      </c>
      <c r="X2537" s="5" t="s">
        <v>67</v>
      </c>
      <c r="Y2537" s="4">
        <v>154</v>
      </c>
      <c r="Z2537" s="4">
        <v>19</v>
      </c>
      <c r="AA2537" s="4">
        <v>48</v>
      </c>
      <c r="AB2537" s="4">
        <v>2</v>
      </c>
      <c r="AC2537" s="4">
        <v>9</v>
      </c>
      <c r="AD2537" s="4">
        <v>55</v>
      </c>
      <c r="AE2537" s="4">
        <v>64</v>
      </c>
      <c r="AF2537" s="4">
        <v>1</v>
      </c>
      <c r="AG2537" s="4">
        <v>2</v>
      </c>
      <c r="AH2537" s="4">
        <v>48</v>
      </c>
      <c r="AI2537" s="4">
        <v>54</v>
      </c>
      <c r="AJ2537" s="4">
        <v>12</v>
      </c>
      <c r="AK2537" s="4">
        <v>14</v>
      </c>
      <c r="AL2537" s="4">
        <v>26</v>
      </c>
      <c r="AM2537" s="4">
        <v>27</v>
      </c>
      <c r="AN2537" s="4">
        <v>0</v>
      </c>
      <c r="AO2537" s="4">
        <v>0</v>
      </c>
      <c r="AP2537" s="4">
        <v>14</v>
      </c>
      <c r="AQ2537" s="4">
        <v>17</v>
      </c>
      <c r="AR2537" s="3" t="s">
        <v>62</v>
      </c>
      <c r="AS2537" s="3" t="s">
        <v>62</v>
      </c>
      <c r="AT2537" s="3" t="s">
        <v>62</v>
      </c>
      <c r="AV2537" s="6" t="str">
        <f>HYPERLINK("http://mcgill.on.worldcat.org/oclc/70335115","Catalog Record")</f>
        <v>Catalog Record</v>
      </c>
      <c r="AW2537" s="6" t="str">
        <f>HYPERLINK("http://www.worldcat.org/oclc/70335115","WorldCat Record")</f>
        <v>WorldCat Record</v>
      </c>
      <c r="AX2537" s="3" t="s">
        <v>24885</v>
      </c>
      <c r="AY2537" s="3" t="s">
        <v>24886</v>
      </c>
      <c r="AZ2537" s="3" t="s">
        <v>24887</v>
      </c>
      <c r="BA2537" s="3" t="s">
        <v>24887</v>
      </c>
      <c r="BB2537" s="3" t="s">
        <v>24888</v>
      </c>
      <c r="BC2537" s="3" t="s">
        <v>142</v>
      </c>
      <c r="BD2537" s="3" t="s">
        <v>68</v>
      </c>
      <c r="BE2537" s="3" t="s">
        <v>24889</v>
      </c>
      <c r="BF2537" s="3" t="s">
        <v>24888</v>
      </c>
      <c r="BG2537" s="3" t="s">
        <v>24890</v>
      </c>
    </row>
    <row r="2538" spans="1:59" ht="57" x14ac:dyDescent="0.45">
      <c r="A2538" s="2" t="s">
        <v>59</v>
      </c>
      <c r="B2538" s="2" t="s">
        <v>60</v>
      </c>
      <c r="C2538" s="2" t="s">
        <v>24891</v>
      </c>
      <c r="D2538" s="2" t="s">
        <v>24892</v>
      </c>
      <c r="E2538" s="2" t="s">
        <v>24893</v>
      </c>
      <c r="G2538" s="3" t="s">
        <v>62</v>
      </c>
      <c r="I2538" s="3" t="s">
        <v>62</v>
      </c>
      <c r="J2538" s="3" t="s">
        <v>62</v>
      </c>
      <c r="K2538" s="3" t="s">
        <v>63</v>
      </c>
      <c r="L2538" s="2" t="s">
        <v>24894</v>
      </c>
      <c r="M2538" s="2" t="s">
        <v>24895</v>
      </c>
      <c r="N2538" s="3" t="s">
        <v>1465</v>
      </c>
      <c r="P2538" s="3" t="s">
        <v>65</v>
      </c>
      <c r="Q2538" s="2" t="s">
        <v>24896</v>
      </c>
      <c r="R2538" s="3" t="s">
        <v>66</v>
      </c>
      <c r="S2538" s="4">
        <v>6</v>
      </c>
      <c r="T2538" s="4">
        <v>6</v>
      </c>
      <c r="U2538" s="5" t="s">
        <v>16011</v>
      </c>
      <c r="V2538" s="5" t="s">
        <v>16011</v>
      </c>
      <c r="W2538" s="5" t="s">
        <v>67</v>
      </c>
      <c r="X2538" s="5" t="s">
        <v>67</v>
      </c>
      <c r="Y2538" s="4">
        <v>215</v>
      </c>
      <c r="Z2538" s="4">
        <v>25</v>
      </c>
      <c r="AA2538" s="4">
        <v>28</v>
      </c>
      <c r="AB2538" s="4">
        <v>3</v>
      </c>
      <c r="AC2538" s="4">
        <v>6</v>
      </c>
      <c r="AD2538" s="4">
        <v>63</v>
      </c>
      <c r="AE2538" s="4">
        <v>66</v>
      </c>
      <c r="AF2538" s="4">
        <v>1</v>
      </c>
      <c r="AG2538" s="4">
        <v>4</v>
      </c>
      <c r="AH2538" s="4">
        <v>52</v>
      </c>
      <c r="AI2538" s="4">
        <v>53</v>
      </c>
      <c r="AJ2538" s="4">
        <v>16</v>
      </c>
      <c r="AK2538" s="4">
        <v>19</v>
      </c>
      <c r="AL2538" s="4">
        <v>28</v>
      </c>
      <c r="AM2538" s="4">
        <v>28</v>
      </c>
      <c r="AN2538" s="4">
        <v>0</v>
      </c>
      <c r="AO2538" s="4">
        <v>0</v>
      </c>
      <c r="AP2538" s="4">
        <v>19</v>
      </c>
      <c r="AQ2538" s="4">
        <v>21</v>
      </c>
      <c r="AR2538" s="3" t="s">
        <v>62</v>
      </c>
      <c r="AS2538" s="3" t="s">
        <v>62</v>
      </c>
      <c r="AT2538" s="3" t="s">
        <v>61</v>
      </c>
      <c r="AU2538" s="6" t="str">
        <f>HYPERLINK("http://catalog.hathitrust.org/Record/006769320","HathiTrust Record")</f>
        <v>HathiTrust Record</v>
      </c>
      <c r="AV2538" s="6" t="str">
        <f>HYPERLINK("http://mcgill.on.worldcat.org/oclc/237788695","Catalog Record")</f>
        <v>Catalog Record</v>
      </c>
      <c r="AW2538" s="6" t="str">
        <f>HYPERLINK("http://www.worldcat.org/oclc/237788695","WorldCat Record")</f>
        <v>WorldCat Record</v>
      </c>
      <c r="AX2538" s="3" t="s">
        <v>24897</v>
      </c>
      <c r="AY2538" s="3" t="s">
        <v>24898</v>
      </c>
      <c r="AZ2538" s="3" t="s">
        <v>24899</v>
      </c>
      <c r="BA2538" s="3" t="s">
        <v>24899</v>
      </c>
      <c r="BB2538" s="3" t="s">
        <v>24900</v>
      </c>
      <c r="BC2538" s="3" t="s">
        <v>142</v>
      </c>
      <c r="BD2538" s="3" t="s">
        <v>68</v>
      </c>
      <c r="BE2538" s="3" t="s">
        <v>24901</v>
      </c>
      <c r="BF2538" s="3" t="s">
        <v>24900</v>
      </c>
      <c r="BG2538" s="3" t="s">
        <v>24902</v>
      </c>
    </row>
    <row r="2539" spans="1:59" ht="57" x14ac:dyDescent="0.45">
      <c r="A2539" s="2" t="s">
        <v>59</v>
      </c>
      <c r="B2539" s="2" t="s">
        <v>60</v>
      </c>
      <c r="C2539" s="2" t="s">
        <v>24903</v>
      </c>
      <c r="D2539" s="2" t="s">
        <v>24904</v>
      </c>
      <c r="E2539" s="2" t="s">
        <v>24905</v>
      </c>
      <c r="G2539" s="3" t="s">
        <v>62</v>
      </c>
      <c r="I2539" s="3" t="s">
        <v>62</v>
      </c>
      <c r="J2539" s="3" t="s">
        <v>62</v>
      </c>
      <c r="K2539" s="3" t="s">
        <v>63</v>
      </c>
      <c r="M2539" s="2" t="s">
        <v>24906</v>
      </c>
      <c r="N2539" s="3" t="s">
        <v>894</v>
      </c>
      <c r="P2539" s="3" t="s">
        <v>65</v>
      </c>
      <c r="Q2539" s="2" t="s">
        <v>24907</v>
      </c>
      <c r="R2539" s="3" t="s">
        <v>66</v>
      </c>
      <c r="S2539" s="4">
        <v>1</v>
      </c>
      <c r="T2539" s="4">
        <v>1</v>
      </c>
      <c r="U2539" s="5" t="s">
        <v>16011</v>
      </c>
      <c r="V2539" s="5" t="s">
        <v>16011</v>
      </c>
      <c r="W2539" s="5" t="s">
        <v>67</v>
      </c>
      <c r="X2539" s="5" t="s">
        <v>67</v>
      </c>
      <c r="Y2539" s="4">
        <v>35</v>
      </c>
      <c r="Z2539" s="4">
        <v>4</v>
      </c>
      <c r="AA2539" s="4">
        <v>35</v>
      </c>
      <c r="AB2539" s="4">
        <v>1</v>
      </c>
      <c r="AC2539" s="4">
        <v>7</v>
      </c>
      <c r="AD2539" s="4">
        <v>17</v>
      </c>
      <c r="AE2539" s="4">
        <v>31</v>
      </c>
      <c r="AF2539" s="4">
        <v>0</v>
      </c>
      <c r="AG2539" s="4">
        <v>1</v>
      </c>
      <c r="AH2539" s="4">
        <v>16</v>
      </c>
      <c r="AI2539" s="4">
        <v>21</v>
      </c>
      <c r="AJ2539" s="4">
        <v>3</v>
      </c>
      <c r="AK2539" s="4">
        <v>5</v>
      </c>
      <c r="AL2539" s="4">
        <v>11</v>
      </c>
      <c r="AM2539" s="4">
        <v>15</v>
      </c>
      <c r="AN2539" s="4">
        <v>0</v>
      </c>
      <c r="AO2539" s="4">
        <v>0</v>
      </c>
      <c r="AP2539" s="4">
        <v>3</v>
      </c>
      <c r="AQ2539" s="4">
        <v>11</v>
      </c>
      <c r="AR2539" s="3" t="s">
        <v>62</v>
      </c>
      <c r="AS2539" s="3" t="s">
        <v>62</v>
      </c>
      <c r="AT2539" s="3" t="s">
        <v>62</v>
      </c>
      <c r="AV2539" s="6" t="str">
        <f>HYPERLINK("http://mcgill.on.worldcat.org/oclc/730414891","Catalog Record")</f>
        <v>Catalog Record</v>
      </c>
      <c r="AW2539" s="6" t="str">
        <f>HYPERLINK("http://www.worldcat.org/oclc/730414891","WorldCat Record")</f>
        <v>WorldCat Record</v>
      </c>
      <c r="AX2539" s="3" t="s">
        <v>24908</v>
      </c>
      <c r="AY2539" s="3" t="s">
        <v>24909</v>
      </c>
      <c r="AZ2539" s="3" t="s">
        <v>24910</v>
      </c>
      <c r="BA2539" s="3" t="s">
        <v>24910</v>
      </c>
      <c r="BB2539" s="3" t="s">
        <v>24911</v>
      </c>
      <c r="BC2539" s="3" t="s">
        <v>142</v>
      </c>
      <c r="BD2539" s="3" t="s">
        <v>68</v>
      </c>
      <c r="BE2539" s="3" t="s">
        <v>24912</v>
      </c>
      <c r="BF2539" s="3" t="s">
        <v>24911</v>
      </c>
      <c r="BG2539" s="3" t="s">
        <v>24913</v>
      </c>
    </row>
    <row r="2540" spans="1:59" ht="71.25" x14ac:dyDescent="0.45">
      <c r="A2540" s="2" t="s">
        <v>59</v>
      </c>
      <c r="B2540" s="2" t="s">
        <v>60</v>
      </c>
      <c r="C2540" s="2" t="s">
        <v>24914</v>
      </c>
      <c r="D2540" s="2" t="s">
        <v>24915</v>
      </c>
      <c r="E2540" s="2" t="s">
        <v>24916</v>
      </c>
      <c r="G2540" s="3" t="s">
        <v>62</v>
      </c>
      <c r="I2540" s="3" t="s">
        <v>62</v>
      </c>
      <c r="J2540" s="3" t="s">
        <v>62</v>
      </c>
      <c r="K2540" s="3" t="s">
        <v>63</v>
      </c>
      <c r="M2540" s="2" t="s">
        <v>24917</v>
      </c>
      <c r="N2540" s="3" t="s">
        <v>149</v>
      </c>
      <c r="P2540" s="3" t="s">
        <v>110</v>
      </c>
      <c r="Q2540" s="2" t="s">
        <v>24918</v>
      </c>
      <c r="R2540" s="3" t="s">
        <v>66</v>
      </c>
      <c r="S2540" s="4">
        <v>0</v>
      </c>
      <c r="T2540" s="4">
        <v>0</v>
      </c>
      <c r="W2540" s="5" t="s">
        <v>67</v>
      </c>
      <c r="X2540" s="5" t="s">
        <v>67</v>
      </c>
      <c r="Y2540" s="4">
        <v>37</v>
      </c>
      <c r="Z2540" s="4">
        <v>22</v>
      </c>
      <c r="AA2540" s="4">
        <v>118</v>
      </c>
      <c r="AB2540" s="4">
        <v>17</v>
      </c>
      <c r="AC2540" s="4">
        <v>29</v>
      </c>
      <c r="AD2540" s="4">
        <v>9</v>
      </c>
      <c r="AE2540" s="4">
        <v>94</v>
      </c>
      <c r="AF2540" s="4">
        <v>4</v>
      </c>
      <c r="AG2540" s="4">
        <v>8</v>
      </c>
      <c r="AH2540" s="4">
        <v>2</v>
      </c>
      <c r="AI2540" s="4">
        <v>55</v>
      </c>
      <c r="AJ2540" s="4">
        <v>6</v>
      </c>
      <c r="AK2540" s="4">
        <v>24</v>
      </c>
      <c r="AL2540" s="4">
        <v>0</v>
      </c>
      <c r="AM2540" s="4">
        <v>25</v>
      </c>
      <c r="AN2540" s="4">
        <v>0</v>
      </c>
      <c r="AO2540" s="4">
        <v>0</v>
      </c>
      <c r="AP2540" s="4">
        <v>7</v>
      </c>
      <c r="AQ2540" s="4">
        <v>47</v>
      </c>
      <c r="AR2540" s="3" t="s">
        <v>61</v>
      </c>
      <c r="AS2540" s="3" t="s">
        <v>62</v>
      </c>
      <c r="AT2540" s="3" t="s">
        <v>62</v>
      </c>
      <c r="AV2540" s="6" t="str">
        <f>HYPERLINK("http://mcgill.on.worldcat.org/oclc/463768393","Catalog Record")</f>
        <v>Catalog Record</v>
      </c>
      <c r="AW2540" s="6" t="str">
        <f>HYPERLINK("http://www.worldcat.org/oclc/463768393","WorldCat Record")</f>
        <v>WorldCat Record</v>
      </c>
      <c r="AX2540" s="3" t="s">
        <v>24919</v>
      </c>
      <c r="AY2540" s="3" t="s">
        <v>24920</v>
      </c>
      <c r="AZ2540" s="3" t="s">
        <v>24921</v>
      </c>
      <c r="BA2540" s="3" t="s">
        <v>24921</v>
      </c>
      <c r="BB2540" s="3" t="s">
        <v>24922</v>
      </c>
      <c r="BC2540" s="3" t="s">
        <v>142</v>
      </c>
      <c r="BD2540" s="3" t="s">
        <v>68</v>
      </c>
      <c r="BE2540" s="3" t="s">
        <v>24923</v>
      </c>
      <c r="BF2540" s="3" t="s">
        <v>24922</v>
      </c>
      <c r="BG2540" s="3" t="s">
        <v>24924</v>
      </c>
    </row>
    <row r="2541" spans="1:59" ht="71.25" x14ac:dyDescent="0.45">
      <c r="A2541" s="2" t="s">
        <v>59</v>
      </c>
      <c r="B2541" s="2" t="s">
        <v>60</v>
      </c>
      <c r="C2541" s="2" t="s">
        <v>24925</v>
      </c>
      <c r="D2541" s="2" t="s">
        <v>24926</v>
      </c>
      <c r="E2541" s="2" t="s">
        <v>24927</v>
      </c>
      <c r="G2541" s="3" t="s">
        <v>62</v>
      </c>
      <c r="I2541" s="3" t="s">
        <v>62</v>
      </c>
      <c r="J2541" s="3" t="s">
        <v>62</v>
      </c>
      <c r="K2541" s="3" t="s">
        <v>63</v>
      </c>
      <c r="L2541" s="2" t="s">
        <v>24928</v>
      </c>
      <c r="M2541" s="2" t="s">
        <v>18790</v>
      </c>
      <c r="N2541" s="3" t="s">
        <v>945</v>
      </c>
      <c r="P2541" s="3" t="s">
        <v>65</v>
      </c>
      <c r="Q2541" s="2" t="s">
        <v>24929</v>
      </c>
      <c r="R2541" s="3" t="s">
        <v>66</v>
      </c>
      <c r="S2541" s="4">
        <v>3</v>
      </c>
      <c r="T2541" s="4">
        <v>3</v>
      </c>
      <c r="U2541" s="5" t="s">
        <v>4265</v>
      </c>
      <c r="V2541" s="5" t="s">
        <v>4265</v>
      </c>
      <c r="W2541" s="5" t="s">
        <v>67</v>
      </c>
      <c r="X2541" s="5" t="s">
        <v>67</v>
      </c>
      <c r="Y2541" s="4">
        <v>145</v>
      </c>
      <c r="Z2541" s="4">
        <v>11</v>
      </c>
      <c r="AA2541" s="4">
        <v>17</v>
      </c>
      <c r="AB2541" s="4">
        <v>2</v>
      </c>
      <c r="AC2541" s="4">
        <v>2</v>
      </c>
      <c r="AD2541" s="4">
        <v>55</v>
      </c>
      <c r="AE2541" s="4">
        <v>58</v>
      </c>
      <c r="AF2541" s="4">
        <v>1</v>
      </c>
      <c r="AG2541" s="4">
        <v>1</v>
      </c>
      <c r="AH2541" s="4">
        <v>50</v>
      </c>
      <c r="AI2541" s="4">
        <v>51</v>
      </c>
      <c r="AJ2541" s="4">
        <v>8</v>
      </c>
      <c r="AK2541" s="4">
        <v>10</v>
      </c>
      <c r="AL2541" s="4">
        <v>25</v>
      </c>
      <c r="AM2541" s="4">
        <v>26</v>
      </c>
      <c r="AN2541" s="4">
        <v>0</v>
      </c>
      <c r="AO2541" s="4">
        <v>0</v>
      </c>
      <c r="AP2541" s="4">
        <v>10</v>
      </c>
      <c r="AQ2541" s="4">
        <v>13</v>
      </c>
      <c r="AR2541" s="3" t="s">
        <v>62</v>
      </c>
      <c r="AS2541" s="3" t="s">
        <v>62</v>
      </c>
      <c r="AT2541" s="3" t="s">
        <v>61</v>
      </c>
      <c r="AU2541" s="6" t="str">
        <f>HYPERLINK("http://catalog.hathitrust.org/Record/006953824","HathiTrust Record")</f>
        <v>HathiTrust Record</v>
      </c>
      <c r="AV2541" s="6" t="str">
        <f>HYPERLINK("http://mcgill.on.worldcat.org/oclc/156863692","Catalog Record")</f>
        <v>Catalog Record</v>
      </c>
      <c r="AW2541" s="6" t="str">
        <f>HYPERLINK("http://www.worldcat.org/oclc/156863692","WorldCat Record")</f>
        <v>WorldCat Record</v>
      </c>
      <c r="AX2541" s="3" t="s">
        <v>24930</v>
      </c>
      <c r="AY2541" s="3" t="s">
        <v>24931</v>
      </c>
      <c r="AZ2541" s="3" t="s">
        <v>24932</v>
      </c>
      <c r="BA2541" s="3" t="s">
        <v>24932</v>
      </c>
      <c r="BB2541" s="3" t="s">
        <v>24933</v>
      </c>
      <c r="BC2541" s="3" t="s">
        <v>142</v>
      </c>
      <c r="BD2541" s="3" t="s">
        <v>68</v>
      </c>
      <c r="BE2541" s="3" t="s">
        <v>24934</v>
      </c>
      <c r="BF2541" s="3" t="s">
        <v>24933</v>
      </c>
      <c r="BG2541" s="3" t="s">
        <v>24935</v>
      </c>
    </row>
    <row r="2542" spans="1:59" ht="57" x14ac:dyDescent="0.45">
      <c r="A2542" s="2" t="s">
        <v>59</v>
      </c>
      <c r="B2542" s="2" t="s">
        <v>60</v>
      </c>
      <c r="C2542" s="2" t="s">
        <v>24936</v>
      </c>
      <c r="D2542" s="2" t="s">
        <v>24937</v>
      </c>
      <c r="E2542" s="2" t="s">
        <v>24938</v>
      </c>
      <c r="G2542" s="3" t="s">
        <v>62</v>
      </c>
      <c r="I2542" s="3" t="s">
        <v>62</v>
      </c>
      <c r="J2542" s="3" t="s">
        <v>62</v>
      </c>
      <c r="K2542" s="3" t="s">
        <v>63</v>
      </c>
      <c r="M2542" s="2" t="s">
        <v>19599</v>
      </c>
      <c r="N2542" s="3" t="s">
        <v>820</v>
      </c>
      <c r="P2542" s="3" t="s">
        <v>65</v>
      </c>
      <c r="Q2542" s="2" t="s">
        <v>24939</v>
      </c>
      <c r="R2542" s="3" t="s">
        <v>66</v>
      </c>
      <c r="S2542" s="4">
        <v>4</v>
      </c>
      <c r="T2542" s="4">
        <v>4</v>
      </c>
      <c r="U2542" s="5" t="s">
        <v>4265</v>
      </c>
      <c r="V2542" s="5" t="s">
        <v>4265</v>
      </c>
      <c r="W2542" s="5" t="s">
        <v>67</v>
      </c>
      <c r="X2542" s="5" t="s">
        <v>67</v>
      </c>
      <c r="Y2542" s="4">
        <v>165</v>
      </c>
      <c r="Z2542" s="4">
        <v>17</v>
      </c>
      <c r="AA2542" s="4">
        <v>18</v>
      </c>
      <c r="AB2542" s="4">
        <v>1</v>
      </c>
      <c r="AC2542" s="4">
        <v>2</v>
      </c>
      <c r="AD2542" s="4">
        <v>72</v>
      </c>
      <c r="AE2542" s="4">
        <v>73</v>
      </c>
      <c r="AF2542" s="4">
        <v>0</v>
      </c>
      <c r="AG2542" s="4">
        <v>1</v>
      </c>
      <c r="AH2542" s="4">
        <v>67</v>
      </c>
      <c r="AI2542" s="4">
        <v>67</v>
      </c>
      <c r="AJ2542" s="4">
        <v>13</v>
      </c>
      <c r="AK2542" s="4">
        <v>14</v>
      </c>
      <c r="AL2542" s="4">
        <v>39</v>
      </c>
      <c r="AM2542" s="4">
        <v>39</v>
      </c>
      <c r="AN2542" s="4">
        <v>0</v>
      </c>
      <c r="AO2542" s="4">
        <v>0</v>
      </c>
      <c r="AP2542" s="4">
        <v>14</v>
      </c>
      <c r="AQ2542" s="4">
        <v>15</v>
      </c>
      <c r="AR2542" s="3" t="s">
        <v>62</v>
      </c>
      <c r="AS2542" s="3" t="s">
        <v>62</v>
      </c>
      <c r="AT2542" s="3" t="s">
        <v>61</v>
      </c>
      <c r="AU2542" s="6" t="str">
        <f>HYPERLINK("http://catalog.hathitrust.org/Record/005660435","HathiTrust Record")</f>
        <v>HathiTrust Record</v>
      </c>
      <c r="AV2542" s="6" t="str">
        <f>HYPERLINK("http://mcgill.on.worldcat.org/oclc/148725172","Catalog Record")</f>
        <v>Catalog Record</v>
      </c>
      <c r="AW2542" s="6" t="str">
        <f>HYPERLINK("http://www.worldcat.org/oclc/148725172","WorldCat Record")</f>
        <v>WorldCat Record</v>
      </c>
      <c r="AX2542" s="3" t="s">
        <v>24940</v>
      </c>
      <c r="AY2542" s="3" t="s">
        <v>24941</v>
      </c>
      <c r="AZ2542" s="3" t="s">
        <v>24942</v>
      </c>
      <c r="BA2542" s="3" t="s">
        <v>24942</v>
      </c>
      <c r="BB2542" s="3" t="s">
        <v>24943</v>
      </c>
      <c r="BC2542" s="3" t="s">
        <v>142</v>
      </c>
      <c r="BD2542" s="3" t="s">
        <v>68</v>
      </c>
      <c r="BE2542" s="3" t="s">
        <v>24944</v>
      </c>
      <c r="BF2542" s="3" t="s">
        <v>24943</v>
      </c>
      <c r="BG2542" s="3" t="s">
        <v>24945</v>
      </c>
    </row>
    <row r="2543" spans="1:59" ht="57" x14ac:dyDescent="0.45">
      <c r="A2543" s="2" t="s">
        <v>59</v>
      </c>
      <c r="B2543" s="2" t="s">
        <v>60</v>
      </c>
      <c r="C2543" s="2" t="s">
        <v>24946</v>
      </c>
      <c r="D2543" s="2" t="s">
        <v>24947</v>
      </c>
      <c r="E2543" s="2" t="s">
        <v>24948</v>
      </c>
      <c r="G2543" s="3" t="s">
        <v>62</v>
      </c>
      <c r="I2543" s="3" t="s">
        <v>62</v>
      </c>
      <c r="J2543" s="3" t="s">
        <v>62</v>
      </c>
      <c r="K2543" s="3" t="s">
        <v>63</v>
      </c>
      <c r="L2543" s="2" t="s">
        <v>24949</v>
      </c>
      <c r="M2543" s="2" t="s">
        <v>893</v>
      </c>
      <c r="N2543" s="3" t="s">
        <v>894</v>
      </c>
      <c r="P2543" s="3" t="s">
        <v>65</v>
      </c>
      <c r="R2543" s="3" t="s">
        <v>66</v>
      </c>
      <c r="S2543" s="4">
        <v>3</v>
      </c>
      <c r="T2543" s="4">
        <v>3</v>
      </c>
      <c r="U2543" s="5" t="s">
        <v>24950</v>
      </c>
      <c r="V2543" s="5" t="s">
        <v>24950</v>
      </c>
      <c r="W2543" s="5" t="s">
        <v>67</v>
      </c>
      <c r="X2543" s="5" t="s">
        <v>67</v>
      </c>
      <c r="Y2543" s="4">
        <v>253</v>
      </c>
      <c r="Z2543" s="4">
        <v>24</v>
      </c>
      <c r="AA2543" s="4">
        <v>85</v>
      </c>
      <c r="AB2543" s="4">
        <v>2</v>
      </c>
      <c r="AC2543" s="4">
        <v>15</v>
      </c>
      <c r="AD2543" s="4">
        <v>86</v>
      </c>
      <c r="AE2543" s="4">
        <v>133</v>
      </c>
      <c r="AF2543" s="4">
        <v>1</v>
      </c>
      <c r="AG2543" s="4">
        <v>8</v>
      </c>
      <c r="AH2543" s="4">
        <v>74</v>
      </c>
      <c r="AI2543" s="4">
        <v>97</v>
      </c>
      <c r="AJ2543" s="4">
        <v>14</v>
      </c>
      <c r="AK2543" s="4">
        <v>23</v>
      </c>
      <c r="AL2543" s="4">
        <v>39</v>
      </c>
      <c r="AM2543" s="4">
        <v>50</v>
      </c>
      <c r="AN2543" s="4">
        <v>0</v>
      </c>
      <c r="AO2543" s="4">
        <v>0</v>
      </c>
      <c r="AP2543" s="4">
        <v>20</v>
      </c>
      <c r="AQ2543" s="4">
        <v>45</v>
      </c>
      <c r="AR2543" s="3" t="s">
        <v>62</v>
      </c>
      <c r="AS2543" s="3" t="s">
        <v>62</v>
      </c>
      <c r="AT2543" s="3" t="s">
        <v>62</v>
      </c>
      <c r="AV2543" s="6" t="str">
        <f>HYPERLINK("http://mcgill.on.worldcat.org/oclc/681536395","Catalog Record")</f>
        <v>Catalog Record</v>
      </c>
      <c r="AW2543" s="6" t="str">
        <f>HYPERLINK("http://www.worldcat.org/oclc/681536395","WorldCat Record")</f>
        <v>WorldCat Record</v>
      </c>
      <c r="AX2543" s="3" t="s">
        <v>24951</v>
      </c>
      <c r="AY2543" s="3" t="s">
        <v>24952</v>
      </c>
      <c r="AZ2543" s="3" t="s">
        <v>24953</v>
      </c>
      <c r="BA2543" s="3" t="s">
        <v>24953</v>
      </c>
      <c r="BB2543" s="3" t="s">
        <v>24954</v>
      </c>
      <c r="BC2543" s="3" t="s">
        <v>142</v>
      </c>
      <c r="BD2543" s="3" t="s">
        <v>68</v>
      </c>
      <c r="BE2543" s="3" t="s">
        <v>24955</v>
      </c>
      <c r="BF2543" s="3" t="s">
        <v>24954</v>
      </c>
      <c r="BG2543" s="3" t="s">
        <v>24956</v>
      </c>
    </row>
    <row r="2544" spans="1:59" ht="57" x14ac:dyDescent="0.45">
      <c r="A2544" s="2" t="s">
        <v>59</v>
      </c>
      <c r="B2544" s="2" t="s">
        <v>60</v>
      </c>
      <c r="C2544" s="2" t="s">
        <v>24957</v>
      </c>
      <c r="D2544" s="2" t="s">
        <v>24958</v>
      </c>
      <c r="E2544" s="2" t="s">
        <v>24959</v>
      </c>
      <c r="G2544" s="3" t="s">
        <v>62</v>
      </c>
      <c r="I2544" s="3" t="s">
        <v>62</v>
      </c>
      <c r="J2544" s="3" t="s">
        <v>62</v>
      </c>
      <c r="K2544" s="3" t="s">
        <v>63</v>
      </c>
      <c r="L2544" s="2" t="s">
        <v>24960</v>
      </c>
      <c r="M2544" s="2" t="s">
        <v>24961</v>
      </c>
      <c r="N2544" s="3" t="s">
        <v>894</v>
      </c>
      <c r="P2544" s="3" t="s">
        <v>65</v>
      </c>
      <c r="Q2544" s="2" t="s">
        <v>24962</v>
      </c>
      <c r="R2544" s="3" t="s">
        <v>66</v>
      </c>
      <c r="S2544" s="4">
        <v>3</v>
      </c>
      <c r="T2544" s="4">
        <v>3</v>
      </c>
      <c r="U2544" s="5" t="s">
        <v>17306</v>
      </c>
      <c r="V2544" s="5" t="s">
        <v>17306</v>
      </c>
      <c r="W2544" s="5" t="s">
        <v>67</v>
      </c>
      <c r="X2544" s="5" t="s">
        <v>67</v>
      </c>
      <c r="Y2544" s="4">
        <v>329</v>
      </c>
      <c r="Z2544" s="4">
        <v>27</v>
      </c>
      <c r="AA2544" s="4">
        <v>90</v>
      </c>
      <c r="AB2544" s="4">
        <v>2</v>
      </c>
      <c r="AC2544" s="4">
        <v>14</v>
      </c>
      <c r="AD2544" s="4">
        <v>98</v>
      </c>
      <c r="AE2544" s="4">
        <v>142</v>
      </c>
      <c r="AF2544" s="4">
        <v>1</v>
      </c>
      <c r="AG2544" s="4">
        <v>8</v>
      </c>
      <c r="AH2544" s="4">
        <v>87</v>
      </c>
      <c r="AI2544" s="4">
        <v>105</v>
      </c>
      <c r="AJ2544" s="4">
        <v>16</v>
      </c>
      <c r="AK2544" s="4">
        <v>24</v>
      </c>
      <c r="AL2544" s="4">
        <v>45</v>
      </c>
      <c r="AM2544" s="4">
        <v>54</v>
      </c>
      <c r="AN2544" s="4">
        <v>0</v>
      </c>
      <c r="AO2544" s="4">
        <v>0</v>
      </c>
      <c r="AP2544" s="4">
        <v>20</v>
      </c>
      <c r="AQ2544" s="4">
        <v>46</v>
      </c>
      <c r="AR2544" s="3" t="s">
        <v>62</v>
      </c>
      <c r="AS2544" s="3" t="s">
        <v>62</v>
      </c>
      <c r="AT2544" s="3" t="s">
        <v>62</v>
      </c>
      <c r="AV2544" s="6" t="str">
        <f>HYPERLINK("http://mcgill.on.worldcat.org/oclc/678923918","Catalog Record")</f>
        <v>Catalog Record</v>
      </c>
      <c r="AW2544" s="6" t="str">
        <f>HYPERLINK("http://www.worldcat.org/oclc/678923918","WorldCat Record")</f>
        <v>WorldCat Record</v>
      </c>
      <c r="AX2544" s="3" t="s">
        <v>24963</v>
      </c>
      <c r="AY2544" s="3" t="s">
        <v>24964</v>
      </c>
      <c r="AZ2544" s="3" t="s">
        <v>24965</v>
      </c>
      <c r="BA2544" s="3" t="s">
        <v>24965</v>
      </c>
      <c r="BB2544" s="3" t="s">
        <v>24966</v>
      </c>
      <c r="BC2544" s="3" t="s">
        <v>142</v>
      </c>
      <c r="BD2544" s="3" t="s">
        <v>68</v>
      </c>
      <c r="BE2544" s="3" t="s">
        <v>24967</v>
      </c>
      <c r="BF2544" s="3" t="s">
        <v>24966</v>
      </c>
      <c r="BG2544" s="3" t="s">
        <v>24968</v>
      </c>
    </row>
    <row r="2545" spans="1:59" ht="57" x14ac:dyDescent="0.45">
      <c r="A2545" s="2" t="s">
        <v>59</v>
      </c>
      <c r="B2545" s="2" t="s">
        <v>60</v>
      </c>
      <c r="C2545" s="2" t="s">
        <v>24969</v>
      </c>
      <c r="D2545" s="2" t="s">
        <v>24970</v>
      </c>
      <c r="E2545" s="2" t="s">
        <v>24971</v>
      </c>
      <c r="G2545" s="3" t="s">
        <v>62</v>
      </c>
      <c r="I2545" s="3" t="s">
        <v>62</v>
      </c>
      <c r="J2545" s="3" t="s">
        <v>62</v>
      </c>
      <c r="K2545" s="3" t="s">
        <v>63</v>
      </c>
      <c r="M2545" s="2" t="s">
        <v>8238</v>
      </c>
      <c r="N2545" s="3" t="s">
        <v>1097</v>
      </c>
      <c r="P2545" s="3" t="s">
        <v>65</v>
      </c>
      <c r="R2545" s="3" t="s">
        <v>66</v>
      </c>
      <c r="S2545" s="4">
        <v>8</v>
      </c>
      <c r="T2545" s="4">
        <v>8</v>
      </c>
      <c r="U2545" s="5" t="s">
        <v>24972</v>
      </c>
      <c r="V2545" s="5" t="s">
        <v>24972</v>
      </c>
      <c r="W2545" s="5" t="s">
        <v>67</v>
      </c>
      <c r="X2545" s="5" t="s">
        <v>67</v>
      </c>
      <c r="Y2545" s="4">
        <v>360</v>
      </c>
      <c r="Z2545" s="4">
        <v>20</v>
      </c>
      <c r="AA2545" s="4">
        <v>24</v>
      </c>
      <c r="AB2545" s="4">
        <v>2</v>
      </c>
      <c r="AC2545" s="4">
        <v>4</v>
      </c>
      <c r="AD2545" s="4">
        <v>98</v>
      </c>
      <c r="AE2545" s="4">
        <v>104</v>
      </c>
      <c r="AF2545" s="4">
        <v>1</v>
      </c>
      <c r="AG2545" s="4">
        <v>3</v>
      </c>
      <c r="AH2545" s="4">
        <v>85</v>
      </c>
      <c r="AI2545" s="4">
        <v>89</v>
      </c>
      <c r="AJ2545" s="4">
        <v>13</v>
      </c>
      <c r="AK2545" s="4">
        <v>15</v>
      </c>
      <c r="AL2545" s="4">
        <v>47</v>
      </c>
      <c r="AM2545" s="4">
        <v>49</v>
      </c>
      <c r="AN2545" s="4">
        <v>0</v>
      </c>
      <c r="AO2545" s="4">
        <v>0</v>
      </c>
      <c r="AP2545" s="4">
        <v>18</v>
      </c>
      <c r="AQ2545" s="4">
        <v>21</v>
      </c>
      <c r="AR2545" s="3" t="s">
        <v>62</v>
      </c>
      <c r="AS2545" s="3" t="s">
        <v>62</v>
      </c>
      <c r="AT2545" s="3" t="s">
        <v>61</v>
      </c>
      <c r="AU2545" s="6" t="str">
        <f>HYPERLINK("http://catalog.hathitrust.org/Record/004730165","HathiTrust Record")</f>
        <v>HathiTrust Record</v>
      </c>
      <c r="AV2545" s="6" t="str">
        <f>HYPERLINK("http://mcgill.on.worldcat.org/oclc/54479216","Catalog Record")</f>
        <v>Catalog Record</v>
      </c>
      <c r="AW2545" s="6" t="str">
        <f>HYPERLINK("http://www.worldcat.org/oclc/54479216","WorldCat Record")</f>
        <v>WorldCat Record</v>
      </c>
      <c r="AX2545" s="3" t="s">
        <v>24973</v>
      </c>
      <c r="AY2545" s="3" t="s">
        <v>24974</v>
      </c>
      <c r="AZ2545" s="3" t="s">
        <v>24975</v>
      </c>
      <c r="BA2545" s="3" t="s">
        <v>24975</v>
      </c>
      <c r="BB2545" s="3" t="s">
        <v>24976</v>
      </c>
      <c r="BC2545" s="3" t="s">
        <v>142</v>
      </c>
      <c r="BD2545" s="3" t="s">
        <v>68</v>
      </c>
      <c r="BE2545" s="3" t="s">
        <v>24977</v>
      </c>
      <c r="BF2545" s="3" t="s">
        <v>24976</v>
      </c>
      <c r="BG2545" s="3" t="s">
        <v>24978</v>
      </c>
    </row>
    <row r="2546" spans="1:59" ht="71.25" x14ac:dyDescent="0.45">
      <c r="A2546" s="2" t="s">
        <v>59</v>
      </c>
      <c r="B2546" s="2" t="s">
        <v>60</v>
      </c>
      <c r="C2546" s="2" t="s">
        <v>24979</v>
      </c>
      <c r="D2546" s="2" t="s">
        <v>24980</v>
      </c>
      <c r="E2546" s="2" t="s">
        <v>24981</v>
      </c>
      <c r="G2546" s="3" t="s">
        <v>62</v>
      </c>
      <c r="I2546" s="3" t="s">
        <v>62</v>
      </c>
      <c r="J2546" s="3" t="s">
        <v>62</v>
      </c>
      <c r="K2546" s="3" t="s">
        <v>63</v>
      </c>
      <c r="L2546" s="2" t="s">
        <v>19012</v>
      </c>
      <c r="M2546" s="2" t="s">
        <v>24982</v>
      </c>
      <c r="N2546" s="3" t="s">
        <v>820</v>
      </c>
      <c r="P2546" s="3" t="s">
        <v>65</v>
      </c>
      <c r="R2546" s="3" t="s">
        <v>66</v>
      </c>
      <c r="S2546" s="4">
        <v>5</v>
      </c>
      <c r="T2546" s="4">
        <v>5</v>
      </c>
      <c r="U2546" s="5" t="s">
        <v>24983</v>
      </c>
      <c r="V2546" s="5" t="s">
        <v>24983</v>
      </c>
      <c r="W2546" s="5" t="s">
        <v>67</v>
      </c>
      <c r="X2546" s="5" t="s">
        <v>67</v>
      </c>
      <c r="Y2546" s="4">
        <v>292</v>
      </c>
      <c r="Z2546" s="4">
        <v>27</v>
      </c>
      <c r="AA2546" s="4">
        <v>29</v>
      </c>
      <c r="AB2546" s="4">
        <v>2</v>
      </c>
      <c r="AC2546" s="4">
        <v>4</v>
      </c>
      <c r="AD2546" s="4">
        <v>89</v>
      </c>
      <c r="AE2546" s="4">
        <v>90</v>
      </c>
      <c r="AF2546" s="4">
        <v>1</v>
      </c>
      <c r="AG2546" s="4">
        <v>1</v>
      </c>
      <c r="AH2546" s="4">
        <v>78</v>
      </c>
      <c r="AI2546" s="4">
        <v>79</v>
      </c>
      <c r="AJ2546" s="4">
        <v>14</v>
      </c>
      <c r="AK2546" s="4">
        <v>14</v>
      </c>
      <c r="AL2546" s="4">
        <v>44</v>
      </c>
      <c r="AM2546" s="4">
        <v>44</v>
      </c>
      <c r="AN2546" s="4">
        <v>0</v>
      </c>
      <c r="AO2546" s="4">
        <v>0</v>
      </c>
      <c r="AP2546" s="4">
        <v>18</v>
      </c>
      <c r="AQ2546" s="4">
        <v>18</v>
      </c>
      <c r="AR2546" s="3" t="s">
        <v>62</v>
      </c>
      <c r="AS2546" s="3" t="s">
        <v>62</v>
      </c>
      <c r="AT2546" s="3" t="s">
        <v>62</v>
      </c>
      <c r="AV2546" s="6" t="str">
        <f>HYPERLINK("http://mcgill.on.worldcat.org/oclc/213080745","Catalog Record")</f>
        <v>Catalog Record</v>
      </c>
      <c r="AW2546" s="6" t="str">
        <f>HYPERLINK("http://www.worldcat.org/oclc/213080745","WorldCat Record")</f>
        <v>WorldCat Record</v>
      </c>
      <c r="AX2546" s="3" t="s">
        <v>24984</v>
      </c>
      <c r="AY2546" s="3" t="s">
        <v>24985</v>
      </c>
      <c r="AZ2546" s="3" t="s">
        <v>24986</v>
      </c>
      <c r="BA2546" s="3" t="s">
        <v>24986</v>
      </c>
      <c r="BB2546" s="3" t="s">
        <v>24987</v>
      </c>
      <c r="BC2546" s="3" t="s">
        <v>142</v>
      </c>
      <c r="BD2546" s="3" t="s">
        <v>68</v>
      </c>
      <c r="BE2546" s="3" t="s">
        <v>24988</v>
      </c>
      <c r="BF2546" s="3" t="s">
        <v>24987</v>
      </c>
      <c r="BG2546" s="3" t="s">
        <v>24989</v>
      </c>
    </row>
    <row r="2547" spans="1:59" ht="57" x14ac:dyDescent="0.45">
      <c r="A2547" s="2" t="s">
        <v>59</v>
      </c>
      <c r="B2547" s="2" t="s">
        <v>60</v>
      </c>
      <c r="C2547" s="2" t="s">
        <v>24990</v>
      </c>
      <c r="D2547" s="2" t="s">
        <v>24991</v>
      </c>
      <c r="E2547" s="2" t="s">
        <v>24992</v>
      </c>
      <c r="G2547" s="3" t="s">
        <v>62</v>
      </c>
      <c r="I2547" s="3" t="s">
        <v>62</v>
      </c>
      <c r="J2547" s="3" t="s">
        <v>62</v>
      </c>
      <c r="K2547" s="3" t="s">
        <v>63</v>
      </c>
      <c r="M2547" s="2" t="s">
        <v>24993</v>
      </c>
      <c r="N2547" s="3" t="s">
        <v>1688</v>
      </c>
      <c r="P2547" s="3" t="s">
        <v>65</v>
      </c>
      <c r="Q2547" s="2" t="s">
        <v>24994</v>
      </c>
      <c r="R2547" s="3" t="s">
        <v>66</v>
      </c>
      <c r="S2547" s="4">
        <v>1</v>
      </c>
      <c r="T2547" s="4">
        <v>1</v>
      </c>
      <c r="U2547" s="5" t="s">
        <v>24995</v>
      </c>
      <c r="V2547" s="5" t="s">
        <v>24995</v>
      </c>
      <c r="W2547" s="5" t="s">
        <v>67</v>
      </c>
      <c r="X2547" s="5" t="s">
        <v>67</v>
      </c>
      <c r="Y2547" s="4">
        <v>114</v>
      </c>
      <c r="Z2547" s="4">
        <v>12</v>
      </c>
      <c r="AA2547" s="4">
        <v>41</v>
      </c>
      <c r="AB2547" s="4">
        <v>1</v>
      </c>
      <c r="AC2547" s="4">
        <v>14</v>
      </c>
      <c r="AD2547" s="4">
        <v>51</v>
      </c>
      <c r="AE2547" s="4">
        <v>94</v>
      </c>
      <c r="AF2547" s="4">
        <v>0</v>
      </c>
      <c r="AG2547" s="4">
        <v>6</v>
      </c>
      <c r="AH2547" s="4">
        <v>46</v>
      </c>
      <c r="AI2547" s="4">
        <v>74</v>
      </c>
      <c r="AJ2547" s="4">
        <v>8</v>
      </c>
      <c r="AK2547" s="4">
        <v>17</v>
      </c>
      <c r="AL2547" s="4">
        <v>30</v>
      </c>
      <c r="AM2547" s="4">
        <v>42</v>
      </c>
      <c r="AN2547" s="4">
        <v>0</v>
      </c>
      <c r="AO2547" s="4">
        <v>0</v>
      </c>
      <c r="AP2547" s="4">
        <v>9</v>
      </c>
      <c r="AQ2547" s="4">
        <v>26</v>
      </c>
      <c r="AR2547" s="3" t="s">
        <v>62</v>
      </c>
      <c r="AS2547" s="3" t="s">
        <v>62</v>
      </c>
      <c r="AT2547" s="3" t="s">
        <v>62</v>
      </c>
      <c r="AV2547" s="6" t="str">
        <f>HYPERLINK("http://mcgill.on.worldcat.org/oclc/849822558","Catalog Record")</f>
        <v>Catalog Record</v>
      </c>
      <c r="AW2547" s="6" t="str">
        <f>HYPERLINK("http://www.worldcat.org/oclc/849822558","WorldCat Record")</f>
        <v>WorldCat Record</v>
      </c>
      <c r="AX2547" s="3" t="s">
        <v>24996</v>
      </c>
      <c r="AY2547" s="3" t="s">
        <v>24997</v>
      </c>
      <c r="AZ2547" s="3" t="s">
        <v>24998</v>
      </c>
      <c r="BA2547" s="3" t="s">
        <v>24998</v>
      </c>
      <c r="BB2547" s="3" t="s">
        <v>24999</v>
      </c>
      <c r="BC2547" s="3" t="s">
        <v>142</v>
      </c>
      <c r="BD2547" s="3" t="s">
        <v>68</v>
      </c>
      <c r="BE2547" s="3" t="s">
        <v>25000</v>
      </c>
      <c r="BF2547" s="3" t="s">
        <v>24999</v>
      </c>
      <c r="BG2547" s="3" t="s">
        <v>25001</v>
      </c>
    </row>
    <row r="2548" spans="1:59" ht="71.25" x14ac:dyDescent="0.45">
      <c r="A2548" s="2" t="s">
        <v>59</v>
      </c>
      <c r="B2548" s="2" t="s">
        <v>60</v>
      </c>
      <c r="C2548" s="2" t="s">
        <v>25002</v>
      </c>
      <c r="D2548" s="2" t="s">
        <v>25003</v>
      </c>
      <c r="E2548" s="2" t="s">
        <v>25004</v>
      </c>
      <c r="G2548" s="3" t="s">
        <v>62</v>
      </c>
      <c r="I2548" s="3" t="s">
        <v>62</v>
      </c>
      <c r="J2548" s="3" t="s">
        <v>62</v>
      </c>
      <c r="K2548" s="3" t="s">
        <v>63</v>
      </c>
      <c r="L2548" s="2" t="s">
        <v>25005</v>
      </c>
      <c r="M2548" s="2" t="s">
        <v>1189</v>
      </c>
      <c r="N2548" s="3" t="s">
        <v>149</v>
      </c>
      <c r="P2548" s="3" t="s">
        <v>65</v>
      </c>
      <c r="Q2548" s="2" t="s">
        <v>25006</v>
      </c>
      <c r="R2548" s="3" t="s">
        <v>66</v>
      </c>
      <c r="S2548" s="4">
        <v>6</v>
      </c>
      <c r="T2548" s="4">
        <v>6</v>
      </c>
      <c r="U2548" s="5" t="s">
        <v>3364</v>
      </c>
      <c r="V2548" s="5" t="s">
        <v>3364</v>
      </c>
      <c r="W2548" s="5" t="s">
        <v>67</v>
      </c>
      <c r="X2548" s="5" t="s">
        <v>67</v>
      </c>
      <c r="Y2548" s="4">
        <v>184</v>
      </c>
      <c r="Z2548" s="4">
        <v>20</v>
      </c>
      <c r="AA2548" s="4">
        <v>26</v>
      </c>
      <c r="AB2548" s="4">
        <v>2</v>
      </c>
      <c r="AC2548" s="4">
        <v>6</v>
      </c>
      <c r="AD2548" s="4">
        <v>78</v>
      </c>
      <c r="AE2548" s="4">
        <v>83</v>
      </c>
      <c r="AF2548" s="4">
        <v>0</v>
      </c>
      <c r="AG2548" s="4">
        <v>1</v>
      </c>
      <c r="AH2548" s="4">
        <v>70</v>
      </c>
      <c r="AI2548" s="4">
        <v>73</v>
      </c>
      <c r="AJ2548" s="4">
        <v>11</v>
      </c>
      <c r="AK2548" s="4">
        <v>12</v>
      </c>
      <c r="AL2548" s="4">
        <v>39</v>
      </c>
      <c r="AM2548" s="4">
        <v>41</v>
      </c>
      <c r="AN2548" s="4">
        <v>0</v>
      </c>
      <c r="AO2548" s="4">
        <v>0</v>
      </c>
      <c r="AP2548" s="4">
        <v>15</v>
      </c>
      <c r="AQ2548" s="4">
        <v>17</v>
      </c>
      <c r="AR2548" s="3" t="s">
        <v>62</v>
      </c>
      <c r="AS2548" s="3" t="s">
        <v>62</v>
      </c>
      <c r="AT2548" s="3" t="s">
        <v>62</v>
      </c>
      <c r="AV2548" s="6" t="str">
        <f>HYPERLINK("http://mcgill.on.worldcat.org/oclc/326670521","Catalog Record")</f>
        <v>Catalog Record</v>
      </c>
      <c r="AW2548" s="6" t="str">
        <f>HYPERLINK("http://www.worldcat.org/oclc/326670521","WorldCat Record")</f>
        <v>WorldCat Record</v>
      </c>
      <c r="AX2548" s="3" t="s">
        <v>25007</v>
      </c>
      <c r="AY2548" s="3" t="s">
        <v>25008</v>
      </c>
      <c r="AZ2548" s="3" t="s">
        <v>25009</v>
      </c>
      <c r="BA2548" s="3" t="s">
        <v>25009</v>
      </c>
      <c r="BB2548" s="3" t="s">
        <v>25010</v>
      </c>
      <c r="BC2548" s="3" t="s">
        <v>142</v>
      </c>
      <c r="BD2548" s="3" t="s">
        <v>68</v>
      </c>
      <c r="BE2548" s="3" t="s">
        <v>25011</v>
      </c>
      <c r="BF2548" s="3" t="s">
        <v>25010</v>
      </c>
      <c r="BG2548" s="3" t="s">
        <v>25012</v>
      </c>
    </row>
    <row r="2549" spans="1:59" ht="57" x14ac:dyDescent="0.45">
      <c r="A2549" s="2" t="s">
        <v>59</v>
      </c>
      <c r="B2549" s="2" t="s">
        <v>60</v>
      </c>
      <c r="C2549" s="2" t="s">
        <v>25013</v>
      </c>
      <c r="D2549" s="2" t="s">
        <v>25014</v>
      </c>
      <c r="E2549" s="2" t="s">
        <v>25015</v>
      </c>
      <c r="G2549" s="3" t="s">
        <v>62</v>
      </c>
      <c r="I2549" s="3" t="s">
        <v>62</v>
      </c>
      <c r="J2549" s="3" t="s">
        <v>62</v>
      </c>
      <c r="K2549" s="3" t="s">
        <v>63</v>
      </c>
      <c r="L2549" s="2" t="s">
        <v>25016</v>
      </c>
      <c r="M2549" s="2" t="s">
        <v>25017</v>
      </c>
      <c r="N2549" s="3" t="s">
        <v>3160</v>
      </c>
      <c r="O2549" s="2" t="s">
        <v>168</v>
      </c>
      <c r="P2549" s="3" t="s">
        <v>65</v>
      </c>
      <c r="R2549" s="3" t="s">
        <v>66</v>
      </c>
      <c r="S2549" s="4">
        <v>44</v>
      </c>
      <c r="T2549" s="4">
        <v>44</v>
      </c>
      <c r="U2549" s="5" t="s">
        <v>822</v>
      </c>
      <c r="V2549" s="5" t="s">
        <v>822</v>
      </c>
      <c r="W2549" s="5" t="s">
        <v>67</v>
      </c>
      <c r="X2549" s="5" t="s">
        <v>67</v>
      </c>
      <c r="Y2549" s="4">
        <v>1464</v>
      </c>
      <c r="Z2549" s="4">
        <v>37</v>
      </c>
      <c r="AA2549" s="4">
        <v>68</v>
      </c>
      <c r="AB2549" s="4">
        <v>1</v>
      </c>
      <c r="AC2549" s="4">
        <v>8</v>
      </c>
      <c r="AD2549" s="4">
        <v>79</v>
      </c>
      <c r="AE2549" s="4">
        <v>105</v>
      </c>
      <c r="AF2549" s="4">
        <v>0</v>
      </c>
      <c r="AG2549" s="4">
        <v>4</v>
      </c>
      <c r="AH2549" s="4">
        <v>70</v>
      </c>
      <c r="AI2549" s="4">
        <v>88</v>
      </c>
      <c r="AJ2549" s="4">
        <v>9</v>
      </c>
      <c r="AK2549" s="4">
        <v>18</v>
      </c>
      <c r="AL2549" s="4">
        <v>42</v>
      </c>
      <c r="AM2549" s="4">
        <v>48</v>
      </c>
      <c r="AN2549" s="4">
        <v>0</v>
      </c>
      <c r="AO2549" s="4">
        <v>0</v>
      </c>
      <c r="AP2549" s="4">
        <v>13</v>
      </c>
      <c r="AQ2549" s="4">
        <v>24</v>
      </c>
      <c r="AR2549" s="3" t="s">
        <v>62</v>
      </c>
      <c r="AS2549" s="3" t="s">
        <v>62</v>
      </c>
      <c r="AT2549" s="3" t="s">
        <v>61</v>
      </c>
      <c r="AU2549" s="6" t="str">
        <f>HYPERLINK("http://catalog.hathitrust.org/Record/000765361","HathiTrust Record")</f>
        <v>HathiTrust Record</v>
      </c>
      <c r="AV2549" s="6" t="str">
        <f>HYPERLINK("http://mcgill.on.worldcat.org/oclc/5831220","Catalog Record")</f>
        <v>Catalog Record</v>
      </c>
      <c r="AW2549" s="6" t="str">
        <f>HYPERLINK("http://www.worldcat.org/oclc/5831220","WorldCat Record")</f>
        <v>WorldCat Record</v>
      </c>
      <c r="AX2549" s="3" t="s">
        <v>25018</v>
      </c>
      <c r="AY2549" s="3" t="s">
        <v>25019</v>
      </c>
      <c r="AZ2549" s="3" t="s">
        <v>25020</v>
      </c>
      <c r="BA2549" s="3" t="s">
        <v>25020</v>
      </c>
      <c r="BB2549" s="3" t="s">
        <v>25021</v>
      </c>
      <c r="BC2549" s="3" t="s">
        <v>142</v>
      </c>
      <c r="BD2549" s="3" t="s">
        <v>68</v>
      </c>
      <c r="BE2549" s="3" t="s">
        <v>25022</v>
      </c>
      <c r="BF2549" s="3" t="s">
        <v>25021</v>
      </c>
      <c r="BG2549" s="3" t="s">
        <v>25023</v>
      </c>
    </row>
    <row r="2550" spans="1:59" ht="57" x14ac:dyDescent="0.45">
      <c r="A2550" s="2" t="s">
        <v>59</v>
      </c>
      <c r="B2550" s="2" t="s">
        <v>60</v>
      </c>
      <c r="C2550" s="2" t="s">
        <v>25024</v>
      </c>
      <c r="D2550" s="2" t="s">
        <v>25025</v>
      </c>
      <c r="E2550" s="2" t="s">
        <v>25026</v>
      </c>
      <c r="G2550" s="3" t="s">
        <v>62</v>
      </c>
      <c r="I2550" s="3" t="s">
        <v>62</v>
      </c>
      <c r="J2550" s="3" t="s">
        <v>62</v>
      </c>
      <c r="K2550" s="3" t="s">
        <v>63</v>
      </c>
      <c r="L2550" s="2" t="s">
        <v>25027</v>
      </c>
      <c r="M2550" s="2" t="s">
        <v>25028</v>
      </c>
      <c r="N2550" s="3" t="s">
        <v>1688</v>
      </c>
      <c r="P2550" s="3" t="s">
        <v>65</v>
      </c>
      <c r="R2550" s="3" t="s">
        <v>66</v>
      </c>
      <c r="S2550" s="4">
        <v>0</v>
      </c>
      <c r="T2550" s="4">
        <v>0</v>
      </c>
      <c r="W2550" s="5" t="s">
        <v>67</v>
      </c>
      <c r="X2550" s="5" t="s">
        <v>67</v>
      </c>
      <c r="Y2550" s="4">
        <v>81</v>
      </c>
      <c r="Z2550" s="4">
        <v>10</v>
      </c>
      <c r="AA2550" s="4">
        <v>26</v>
      </c>
      <c r="AB2550" s="4">
        <v>1</v>
      </c>
      <c r="AC2550" s="4">
        <v>4</v>
      </c>
      <c r="AD2550" s="4">
        <v>35</v>
      </c>
      <c r="AE2550" s="4">
        <v>51</v>
      </c>
      <c r="AF2550" s="4">
        <v>0</v>
      </c>
      <c r="AG2550" s="4">
        <v>0</v>
      </c>
      <c r="AH2550" s="4">
        <v>32</v>
      </c>
      <c r="AI2550" s="4">
        <v>45</v>
      </c>
      <c r="AJ2550" s="4">
        <v>7</v>
      </c>
      <c r="AK2550" s="4">
        <v>9</v>
      </c>
      <c r="AL2550" s="4">
        <v>24</v>
      </c>
      <c r="AM2550" s="4">
        <v>28</v>
      </c>
      <c r="AN2550" s="4">
        <v>0</v>
      </c>
      <c r="AO2550" s="4">
        <v>0</v>
      </c>
      <c r="AP2550" s="4">
        <v>7</v>
      </c>
      <c r="AQ2550" s="4">
        <v>12</v>
      </c>
      <c r="AR2550" s="3" t="s">
        <v>62</v>
      </c>
      <c r="AS2550" s="3" t="s">
        <v>62</v>
      </c>
      <c r="AT2550" s="3" t="s">
        <v>62</v>
      </c>
      <c r="AV2550" s="6" t="str">
        <f>HYPERLINK("http://mcgill.on.worldcat.org/oclc/862962046","Catalog Record")</f>
        <v>Catalog Record</v>
      </c>
      <c r="AW2550" s="6" t="str">
        <f>HYPERLINK("http://www.worldcat.org/oclc/862962046","WorldCat Record")</f>
        <v>WorldCat Record</v>
      </c>
      <c r="AX2550" s="3" t="s">
        <v>25029</v>
      </c>
      <c r="AY2550" s="3" t="s">
        <v>25030</v>
      </c>
      <c r="AZ2550" s="3" t="s">
        <v>25031</v>
      </c>
      <c r="BA2550" s="3" t="s">
        <v>25031</v>
      </c>
      <c r="BB2550" s="3" t="s">
        <v>25032</v>
      </c>
      <c r="BC2550" s="3" t="s">
        <v>142</v>
      </c>
      <c r="BD2550" s="3" t="s">
        <v>68</v>
      </c>
      <c r="BE2550" s="3" t="s">
        <v>25033</v>
      </c>
      <c r="BF2550" s="3" t="s">
        <v>25032</v>
      </c>
      <c r="BG2550" s="3" t="s">
        <v>25034</v>
      </c>
    </row>
    <row r="2551" spans="1:59" ht="57" x14ac:dyDescent="0.45">
      <c r="A2551" s="2" t="s">
        <v>59</v>
      </c>
      <c r="B2551" s="2" t="s">
        <v>60</v>
      </c>
      <c r="C2551" s="2" t="s">
        <v>25035</v>
      </c>
      <c r="D2551" s="2" t="s">
        <v>25036</v>
      </c>
      <c r="E2551" s="2" t="s">
        <v>25037</v>
      </c>
      <c r="G2551" s="3" t="s">
        <v>62</v>
      </c>
      <c r="I2551" s="3" t="s">
        <v>62</v>
      </c>
      <c r="J2551" s="3" t="s">
        <v>62</v>
      </c>
      <c r="K2551" s="3" t="s">
        <v>63</v>
      </c>
      <c r="M2551" s="2" t="s">
        <v>25038</v>
      </c>
      <c r="N2551" s="3" t="s">
        <v>894</v>
      </c>
      <c r="O2551" s="2" t="s">
        <v>168</v>
      </c>
      <c r="P2551" s="3" t="s">
        <v>65</v>
      </c>
      <c r="Q2551" s="2" t="s">
        <v>25039</v>
      </c>
      <c r="R2551" s="3" t="s">
        <v>66</v>
      </c>
      <c r="S2551" s="4">
        <v>3</v>
      </c>
      <c r="T2551" s="4">
        <v>3</v>
      </c>
      <c r="U2551" s="5" t="s">
        <v>25040</v>
      </c>
      <c r="V2551" s="5" t="s">
        <v>25040</v>
      </c>
      <c r="W2551" s="5" t="s">
        <v>67</v>
      </c>
      <c r="X2551" s="5" t="s">
        <v>67</v>
      </c>
      <c r="Y2551" s="4">
        <v>100</v>
      </c>
      <c r="Z2551" s="4">
        <v>11</v>
      </c>
      <c r="AA2551" s="4">
        <v>106</v>
      </c>
      <c r="AB2551" s="4">
        <v>2</v>
      </c>
      <c r="AC2551" s="4">
        <v>17</v>
      </c>
      <c r="AD2551" s="4">
        <v>34</v>
      </c>
      <c r="AE2551" s="4">
        <v>110</v>
      </c>
      <c r="AF2551" s="4">
        <v>1</v>
      </c>
      <c r="AG2551" s="4">
        <v>8</v>
      </c>
      <c r="AH2551" s="4">
        <v>29</v>
      </c>
      <c r="AI2551" s="4">
        <v>73</v>
      </c>
      <c r="AJ2551" s="4">
        <v>8</v>
      </c>
      <c r="AK2551" s="4">
        <v>22</v>
      </c>
      <c r="AL2551" s="4">
        <v>17</v>
      </c>
      <c r="AM2551" s="4">
        <v>36</v>
      </c>
      <c r="AN2551" s="4">
        <v>0</v>
      </c>
      <c r="AO2551" s="4">
        <v>0</v>
      </c>
      <c r="AP2551" s="4">
        <v>9</v>
      </c>
      <c r="AQ2551" s="4">
        <v>46</v>
      </c>
      <c r="AR2551" s="3" t="s">
        <v>62</v>
      </c>
      <c r="AS2551" s="3" t="s">
        <v>62</v>
      </c>
      <c r="AT2551" s="3" t="s">
        <v>62</v>
      </c>
      <c r="AV2551" s="6" t="str">
        <f>HYPERLINK("http://mcgill.on.worldcat.org/oclc/760285116","Catalog Record")</f>
        <v>Catalog Record</v>
      </c>
      <c r="AW2551" s="6" t="str">
        <f>HYPERLINK("http://www.worldcat.org/oclc/760285116","WorldCat Record")</f>
        <v>WorldCat Record</v>
      </c>
      <c r="AX2551" s="3" t="s">
        <v>25041</v>
      </c>
      <c r="AY2551" s="3" t="s">
        <v>25042</v>
      </c>
      <c r="AZ2551" s="3" t="s">
        <v>25043</v>
      </c>
      <c r="BA2551" s="3" t="s">
        <v>25043</v>
      </c>
      <c r="BB2551" s="3" t="s">
        <v>25044</v>
      </c>
      <c r="BC2551" s="3" t="s">
        <v>142</v>
      </c>
      <c r="BD2551" s="3" t="s">
        <v>68</v>
      </c>
      <c r="BE2551" s="3" t="s">
        <v>25045</v>
      </c>
      <c r="BF2551" s="3" t="s">
        <v>25044</v>
      </c>
      <c r="BG2551" s="3" t="s">
        <v>25046</v>
      </c>
    </row>
    <row r="2552" spans="1:59" ht="71.25" x14ac:dyDescent="0.45">
      <c r="A2552" s="2" t="s">
        <v>59</v>
      </c>
      <c r="B2552" s="2" t="s">
        <v>60</v>
      </c>
      <c r="C2552" s="2" t="s">
        <v>25047</v>
      </c>
      <c r="D2552" s="2" t="s">
        <v>25048</v>
      </c>
      <c r="E2552" s="2" t="s">
        <v>25049</v>
      </c>
      <c r="G2552" s="3" t="s">
        <v>62</v>
      </c>
      <c r="I2552" s="3" t="s">
        <v>62</v>
      </c>
      <c r="J2552" s="3" t="s">
        <v>62</v>
      </c>
      <c r="K2552" s="3" t="s">
        <v>63</v>
      </c>
      <c r="M2552" s="2" t="s">
        <v>25050</v>
      </c>
      <c r="N2552" s="3" t="s">
        <v>1155</v>
      </c>
      <c r="P2552" s="3" t="s">
        <v>65</v>
      </c>
      <c r="R2552" s="3" t="s">
        <v>66</v>
      </c>
      <c r="S2552" s="4">
        <v>2</v>
      </c>
      <c r="T2552" s="4">
        <v>2</v>
      </c>
      <c r="U2552" s="5" t="s">
        <v>17874</v>
      </c>
      <c r="V2552" s="5" t="s">
        <v>17874</v>
      </c>
      <c r="W2552" s="5" t="s">
        <v>67</v>
      </c>
      <c r="X2552" s="5" t="s">
        <v>67</v>
      </c>
      <c r="Y2552" s="4">
        <v>200</v>
      </c>
      <c r="Z2552" s="4">
        <v>32</v>
      </c>
      <c r="AA2552" s="4">
        <v>90</v>
      </c>
      <c r="AB2552" s="4">
        <v>2</v>
      </c>
      <c r="AC2552" s="4">
        <v>14</v>
      </c>
      <c r="AD2552" s="4">
        <v>80</v>
      </c>
      <c r="AE2552" s="4">
        <v>125</v>
      </c>
      <c r="AF2552" s="4">
        <v>1</v>
      </c>
      <c r="AG2552" s="4">
        <v>8</v>
      </c>
      <c r="AH2552" s="4">
        <v>67</v>
      </c>
      <c r="AI2552" s="4">
        <v>87</v>
      </c>
      <c r="AJ2552" s="4">
        <v>15</v>
      </c>
      <c r="AK2552" s="4">
        <v>24</v>
      </c>
      <c r="AL2552" s="4">
        <v>35</v>
      </c>
      <c r="AM2552" s="4">
        <v>44</v>
      </c>
      <c r="AN2552" s="4">
        <v>0</v>
      </c>
      <c r="AO2552" s="4">
        <v>0</v>
      </c>
      <c r="AP2552" s="4">
        <v>23</v>
      </c>
      <c r="AQ2552" s="4">
        <v>48</v>
      </c>
      <c r="AR2552" s="3" t="s">
        <v>62</v>
      </c>
      <c r="AS2552" s="3" t="s">
        <v>62</v>
      </c>
      <c r="AT2552" s="3" t="s">
        <v>62</v>
      </c>
      <c r="AV2552" s="6" t="str">
        <f>HYPERLINK("http://mcgill.on.worldcat.org/oclc/801605694","Catalog Record")</f>
        <v>Catalog Record</v>
      </c>
      <c r="AW2552" s="6" t="str">
        <f>HYPERLINK("http://www.worldcat.org/oclc/801605694","WorldCat Record")</f>
        <v>WorldCat Record</v>
      </c>
      <c r="AX2552" s="3" t="s">
        <v>25051</v>
      </c>
      <c r="AY2552" s="3" t="s">
        <v>25052</v>
      </c>
      <c r="AZ2552" s="3" t="s">
        <v>25053</v>
      </c>
      <c r="BA2552" s="3" t="s">
        <v>25053</v>
      </c>
      <c r="BB2552" s="3" t="s">
        <v>25054</v>
      </c>
      <c r="BC2552" s="3" t="s">
        <v>142</v>
      </c>
      <c r="BD2552" s="3" t="s">
        <v>68</v>
      </c>
      <c r="BE2552" s="3" t="s">
        <v>25055</v>
      </c>
      <c r="BF2552" s="3" t="s">
        <v>25054</v>
      </c>
      <c r="BG2552" s="3" t="s">
        <v>25056</v>
      </c>
    </row>
    <row r="2553" spans="1:59" ht="57" x14ac:dyDescent="0.45">
      <c r="A2553" s="2" t="s">
        <v>59</v>
      </c>
      <c r="B2553" s="2" t="s">
        <v>60</v>
      </c>
      <c r="C2553" s="2" t="s">
        <v>25057</v>
      </c>
      <c r="D2553" s="2" t="s">
        <v>25058</v>
      </c>
      <c r="E2553" s="2" t="s">
        <v>25059</v>
      </c>
      <c r="G2553" s="3" t="s">
        <v>62</v>
      </c>
      <c r="I2553" s="3" t="s">
        <v>62</v>
      </c>
      <c r="J2553" s="3" t="s">
        <v>62</v>
      </c>
      <c r="K2553" s="3" t="s">
        <v>63</v>
      </c>
      <c r="M2553" s="2" t="s">
        <v>25060</v>
      </c>
      <c r="N2553" s="3" t="s">
        <v>1688</v>
      </c>
      <c r="P2553" s="3" t="s">
        <v>65</v>
      </c>
      <c r="R2553" s="3" t="s">
        <v>66</v>
      </c>
      <c r="S2553" s="4">
        <v>7</v>
      </c>
      <c r="T2553" s="4">
        <v>7</v>
      </c>
      <c r="U2553" s="5" t="s">
        <v>13023</v>
      </c>
      <c r="V2553" s="5" t="s">
        <v>13023</v>
      </c>
      <c r="W2553" s="5" t="s">
        <v>67</v>
      </c>
      <c r="X2553" s="5" t="s">
        <v>67</v>
      </c>
      <c r="Y2553" s="4">
        <v>124</v>
      </c>
      <c r="Z2553" s="4">
        <v>27</v>
      </c>
      <c r="AA2553" s="4">
        <v>117</v>
      </c>
      <c r="AB2553" s="4">
        <v>2</v>
      </c>
      <c r="AC2553" s="4">
        <v>19</v>
      </c>
      <c r="AD2553" s="4">
        <v>63</v>
      </c>
      <c r="AE2553" s="4">
        <v>124</v>
      </c>
      <c r="AF2553" s="4">
        <v>1</v>
      </c>
      <c r="AG2553" s="4">
        <v>8</v>
      </c>
      <c r="AH2553" s="4">
        <v>49</v>
      </c>
      <c r="AI2553" s="4">
        <v>81</v>
      </c>
      <c r="AJ2553" s="4">
        <v>16</v>
      </c>
      <c r="AK2553" s="4">
        <v>27</v>
      </c>
      <c r="AL2553" s="4">
        <v>29</v>
      </c>
      <c r="AM2553" s="4">
        <v>42</v>
      </c>
      <c r="AN2553" s="4">
        <v>0</v>
      </c>
      <c r="AO2553" s="4">
        <v>0</v>
      </c>
      <c r="AP2553" s="4">
        <v>20</v>
      </c>
      <c r="AQ2553" s="4">
        <v>52</v>
      </c>
      <c r="AR2553" s="3" t="s">
        <v>61</v>
      </c>
      <c r="AS2553" s="3" t="s">
        <v>62</v>
      </c>
      <c r="AT2553" s="3" t="s">
        <v>62</v>
      </c>
      <c r="AV2553" s="6" t="str">
        <f>HYPERLINK("http://mcgill.on.worldcat.org/oclc/842499914","Catalog Record")</f>
        <v>Catalog Record</v>
      </c>
      <c r="AW2553" s="6" t="str">
        <f>HYPERLINK("http://www.worldcat.org/oclc/842499914","WorldCat Record")</f>
        <v>WorldCat Record</v>
      </c>
      <c r="AX2553" s="3" t="s">
        <v>25061</v>
      </c>
      <c r="AY2553" s="3" t="s">
        <v>25062</v>
      </c>
      <c r="AZ2553" s="3" t="s">
        <v>25063</v>
      </c>
      <c r="BA2553" s="3" t="s">
        <v>25063</v>
      </c>
      <c r="BB2553" s="3" t="s">
        <v>25064</v>
      </c>
      <c r="BC2553" s="3" t="s">
        <v>142</v>
      </c>
      <c r="BD2553" s="3" t="s">
        <v>68</v>
      </c>
      <c r="BE2553" s="3" t="s">
        <v>25065</v>
      </c>
      <c r="BF2553" s="3" t="s">
        <v>25064</v>
      </c>
      <c r="BG2553" s="3" t="s">
        <v>25066</v>
      </c>
    </row>
    <row r="2554" spans="1:59" ht="57" x14ac:dyDescent="0.45">
      <c r="A2554" s="2" t="s">
        <v>59</v>
      </c>
      <c r="B2554" s="2" t="s">
        <v>60</v>
      </c>
      <c r="C2554" s="2" t="s">
        <v>25067</v>
      </c>
      <c r="D2554" s="2" t="s">
        <v>25068</v>
      </c>
      <c r="E2554" s="2" t="s">
        <v>25069</v>
      </c>
      <c r="G2554" s="3" t="s">
        <v>62</v>
      </c>
      <c r="I2554" s="3" t="s">
        <v>62</v>
      </c>
      <c r="J2554" s="3" t="s">
        <v>62</v>
      </c>
      <c r="K2554" s="3" t="s">
        <v>63</v>
      </c>
      <c r="L2554" s="2" t="s">
        <v>25070</v>
      </c>
      <c r="M2554" s="2" t="s">
        <v>3915</v>
      </c>
      <c r="N2554" s="3" t="s">
        <v>1155</v>
      </c>
      <c r="P2554" s="3" t="s">
        <v>65</v>
      </c>
      <c r="R2554" s="3" t="s">
        <v>66</v>
      </c>
      <c r="S2554" s="4">
        <v>2</v>
      </c>
      <c r="T2554" s="4">
        <v>2</v>
      </c>
      <c r="U2554" s="5" t="s">
        <v>25071</v>
      </c>
      <c r="V2554" s="5" t="s">
        <v>25071</v>
      </c>
      <c r="W2554" s="5" t="s">
        <v>67</v>
      </c>
      <c r="X2554" s="5" t="s">
        <v>67</v>
      </c>
      <c r="Y2554" s="4">
        <v>260</v>
      </c>
      <c r="Z2554" s="4">
        <v>24</v>
      </c>
      <c r="AA2554" s="4">
        <v>54</v>
      </c>
      <c r="AB2554" s="4">
        <v>2</v>
      </c>
      <c r="AC2554" s="4">
        <v>4</v>
      </c>
      <c r="AD2554" s="4">
        <v>71</v>
      </c>
      <c r="AE2554" s="4">
        <v>87</v>
      </c>
      <c r="AF2554" s="4">
        <v>1</v>
      </c>
      <c r="AG2554" s="4">
        <v>1</v>
      </c>
      <c r="AH2554" s="4">
        <v>62</v>
      </c>
      <c r="AI2554" s="4">
        <v>69</v>
      </c>
      <c r="AJ2554" s="4">
        <v>14</v>
      </c>
      <c r="AK2554" s="4">
        <v>17</v>
      </c>
      <c r="AL2554" s="4">
        <v>31</v>
      </c>
      <c r="AM2554" s="4">
        <v>36</v>
      </c>
      <c r="AN2554" s="4">
        <v>0</v>
      </c>
      <c r="AO2554" s="4">
        <v>0</v>
      </c>
      <c r="AP2554" s="4">
        <v>18</v>
      </c>
      <c r="AQ2554" s="4">
        <v>26</v>
      </c>
      <c r="AR2554" s="3" t="s">
        <v>62</v>
      </c>
      <c r="AS2554" s="3" t="s">
        <v>62</v>
      </c>
      <c r="AT2554" s="3" t="s">
        <v>62</v>
      </c>
      <c r="AV2554" s="6" t="str">
        <f>HYPERLINK("http://mcgill.on.worldcat.org/oclc/767864259","Catalog Record")</f>
        <v>Catalog Record</v>
      </c>
      <c r="AW2554" s="6" t="str">
        <f>HYPERLINK("http://www.worldcat.org/oclc/767864259","WorldCat Record")</f>
        <v>WorldCat Record</v>
      </c>
      <c r="AX2554" s="3" t="s">
        <v>25072</v>
      </c>
      <c r="AY2554" s="3" t="s">
        <v>25073</v>
      </c>
      <c r="AZ2554" s="3" t="s">
        <v>25074</v>
      </c>
      <c r="BA2554" s="3" t="s">
        <v>25074</v>
      </c>
      <c r="BB2554" s="3" t="s">
        <v>25075</v>
      </c>
      <c r="BC2554" s="3" t="s">
        <v>142</v>
      </c>
      <c r="BD2554" s="3" t="s">
        <v>68</v>
      </c>
      <c r="BE2554" s="3" t="s">
        <v>25076</v>
      </c>
      <c r="BF2554" s="3" t="s">
        <v>25075</v>
      </c>
      <c r="BG2554" s="3" t="s">
        <v>25077</v>
      </c>
    </row>
    <row r="2555" spans="1:59" ht="57" x14ac:dyDescent="0.45">
      <c r="A2555" s="2" t="s">
        <v>59</v>
      </c>
      <c r="B2555" s="2" t="s">
        <v>60</v>
      </c>
      <c r="C2555" s="2" t="s">
        <v>25078</v>
      </c>
      <c r="D2555" s="2" t="s">
        <v>25079</v>
      </c>
      <c r="E2555" s="2" t="s">
        <v>25080</v>
      </c>
      <c r="G2555" s="3" t="s">
        <v>62</v>
      </c>
      <c r="I2555" s="3" t="s">
        <v>62</v>
      </c>
      <c r="J2555" s="3" t="s">
        <v>62</v>
      </c>
      <c r="K2555" s="3" t="s">
        <v>63</v>
      </c>
      <c r="M2555" s="2" t="s">
        <v>25081</v>
      </c>
      <c r="N2555" s="3" t="s">
        <v>1855</v>
      </c>
      <c r="P2555" s="3" t="s">
        <v>65</v>
      </c>
      <c r="R2555" s="3" t="s">
        <v>66</v>
      </c>
      <c r="S2555" s="4">
        <v>6</v>
      </c>
      <c r="T2555" s="4">
        <v>6</v>
      </c>
      <c r="U2555" s="5" t="s">
        <v>25082</v>
      </c>
      <c r="V2555" s="5" t="s">
        <v>25082</v>
      </c>
      <c r="W2555" s="5" t="s">
        <v>67</v>
      </c>
      <c r="X2555" s="5" t="s">
        <v>67</v>
      </c>
      <c r="Y2555" s="4">
        <v>174</v>
      </c>
      <c r="Z2555" s="4">
        <v>17</v>
      </c>
      <c r="AA2555" s="4">
        <v>101</v>
      </c>
      <c r="AB2555" s="4">
        <v>2</v>
      </c>
      <c r="AC2555" s="4">
        <v>19</v>
      </c>
      <c r="AD2555" s="4">
        <v>58</v>
      </c>
      <c r="AE2555" s="4">
        <v>118</v>
      </c>
      <c r="AF2555" s="4">
        <v>1</v>
      </c>
      <c r="AG2555" s="4">
        <v>8</v>
      </c>
      <c r="AH2555" s="4">
        <v>50</v>
      </c>
      <c r="AI2555" s="4">
        <v>81</v>
      </c>
      <c r="AJ2555" s="4">
        <v>11</v>
      </c>
      <c r="AK2555" s="4">
        <v>22</v>
      </c>
      <c r="AL2555" s="4">
        <v>29</v>
      </c>
      <c r="AM2555" s="4">
        <v>42</v>
      </c>
      <c r="AN2555" s="4">
        <v>0</v>
      </c>
      <c r="AO2555" s="4">
        <v>0</v>
      </c>
      <c r="AP2555" s="4">
        <v>13</v>
      </c>
      <c r="AQ2555" s="4">
        <v>45</v>
      </c>
      <c r="AR2555" s="3" t="s">
        <v>62</v>
      </c>
      <c r="AS2555" s="3" t="s">
        <v>62</v>
      </c>
      <c r="AT2555" s="3" t="s">
        <v>62</v>
      </c>
      <c r="AV2555" s="6" t="str">
        <f>HYPERLINK("http://mcgill.on.worldcat.org/oclc/61477845","Catalog Record")</f>
        <v>Catalog Record</v>
      </c>
      <c r="AW2555" s="6" t="str">
        <f>HYPERLINK("http://www.worldcat.org/oclc/61477845","WorldCat Record")</f>
        <v>WorldCat Record</v>
      </c>
      <c r="AX2555" s="3" t="s">
        <v>25083</v>
      </c>
      <c r="AY2555" s="3" t="s">
        <v>25084</v>
      </c>
      <c r="AZ2555" s="3" t="s">
        <v>25085</v>
      </c>
      <c r="BA2555" s="3" t="s">
        <v>25085</v>
      </c>
      <c r="BB2555" s="3" t="s">
        <v>25086</v>
      </c>
      <c r="BC2555" s="3" t="s">
        <v>142</v>
      </c>
      <c r="BD2555" s="3" t="s">
        <v>68</v>
      </c>
      <c r="BE2555" s="3" t="s">
        <v>25087</v>
      </c>
      <c r="BF2555" s="3" t="s">
        <v>25086</v>
      </c>
      <c r="BG2555" s="3" t="s">
        <v>25088</v>
      </c>
    </row>
    <row r="2556" spans="1:59" ht="71.25" x14ac:dyDescent="0.45">
      <c r="A2556" s="2" t="s">
        <v>59</v>
      </c>
      <c r="B2556" s="2" t="s">
        <v>60</v>
      </c>
      <c r="C2556" s="2" t="s">
        <v>25089</v>
      </c>
      <c r="D2556" s="2" t="s">
        <v>25090</v>
      </c>
      <c r="E2556" s="2" t="s">
        <v>25091</v>
      </c>
      <c r="G2556" s="3" t="s">
        <v>62</v>
      </c>
      <c r="I2556" s="3" t="s">
        <v>62</v>
      </c>
      <c r="J2556" s="3" t="s">
        <v>62</v>
      </c>
      <c r="K2556" s="3" t="s">
        <v>63</v>
      </c>
      <c r="M2556" s="2" t="s">
        <v>25092</v>
      </c>
      <c r="N2556" s="3" t="s">
        <v>918</v>
      </c>
      <c r="P2556" s="3" t="s">
        <v>65</v>
      </c>
      <c r="Q2556" s="2" t="s">
        <v>21543</v>
      </c>
      <c r="R2556" s="3" t="s">
        <v>66</v>
      </c>
      <c r="S2556" s="4">
        <v>14</v>
      </c>
      <c r="T2556" s="4">
        <v>14</v>
      </c>
      <c r="U2556" s="5" t="s">
        <v>25093</v>
      </c>
      <c r="V2556" s="5" t="s">
        <v>25093</v>
      </c>
      <c r="W2556" s="5" t="s">
        <v>67</v>
      </c>
      <c r="X2556" s="5" t="s">
        <v>67</v>
      </c>
      <c r="Y2556" s="4">
        <v>209</v>
      </c>
      <c r="Z2556" s="4">
        <v>18</v>
      </c>
      <c r="AA2556" s="4">
        <v>20</v>
      </c>
      <c r="AB2556" s="4">
        <v>1</v>
      </c>
      <c r="AC2556" s="4">
        <v>3</v>
      </c>
      <c r="AD2556" s="4">
        <v>90</v>
      </c>
      <c r="AE2556" s="4">
        <v>92</v>
      </c>
      <c r="AF2556" s="4">
        <v>0</v>
      </c>
      <c r="AG2556" s="4">
        <v>2</v>
      </c>
      <c r="AH2556" s="4">
        <v>82</v>
      </c>
      <c r="AI2556" s="4">
        <v>83</v>
      </c>
      <c r="AJ2556" s="4">
        <v>13</v>
      </c>
      <c r="AK2556" s="4">
        <v>15</v>
      </c>
      <c r="AL2556" s="4">
        <v>46</v>
      </c>
      <c r="AM2556" s="4">
        <v>46</v>
      </c>
      <c r="AN2556" s="4">
        <v>0</v>
      </c>
      <c r="AO2556" s="4">
        <v>0</v>
      </c>
      <c r="AP2556" s="4">
        <v>16</v>
      </c>
      <c r="AQ2556" s="4">
        <v>17</v>
      </c>
      <c r="AR2556" s="3" t="s">
        <v>62</v>
      </c>
      <c r="AS2556" s="3" t="s">
        <v>62</v>
      </c>
      <c r="AT2556" s="3" t="s">
        <v>61</v>
      </c>
      <c r="AU2556" s="6" t="str">
        <f>HYPERLINK("http://catalog.hathitrust.org/Record/004320063","HathiTrust Record")</f>
        <v>HathiTrust Record</v>
      </c>
      <c r="AV2556" s="6" t="str">
        <f>HYPERLINK("http://mcgill.on.worldcat.org/oclc/49386386","Catalog Record")</f>
        <v>Catalog Record</v>
      </c>
      <c r="AW2556" s="6" t="str">
        <f>HYPERLINK("http://www.worldcat.org/oclc/49386386","WorldCat Record")</f>
        <v>WorldCat Record</v>
      </c>
      <c r="AX2556" s="3" t="s">
        <v>25094</v>
      </c>
      <c r="AY2556" s="3" t="s">
        <v>25095</v>
      </c>
      <c r="AZ2556" s="3" t="s">
        <v>25096</v>
      </c>
      <c r="BA2556" s="3" t="s">
        <v>25096</v>
      </c>
      <c r="BB2556" s="3" t="s">
        <v>25097</v>
      </c>
      <c r="BC2556" s="3" t="s">
        <v>142</v>
      </c>
      <c r="BD2556" s="3" t="s">
        <v>68</v>
      </c>
      <c r="BE2556" s="3" t="s">
        <v>25098</v>
      </c>
      <c r="BF2556" s="3" t="s">
        <v>25097</v>
      </c>
      <c r="BG2556" s="3" t="s">
        <v>25099</v>
      </c>
    </row>
    <row r="2557" spans="1:59" ht="57" x14ac:dyDescent="0.45">
      <c r="A2557" s="2" t="s">
        <v>59</v>
      </c>
      <c r="B2557" s="2" t="s">
        <v>60</v>
      </c>
      <c r="C2557" s="2" t="s">
        <v>25100</v>
      </c>
      <c r="D2557" s="2" t="s">
        <v>25101</v>
      </c>
      <c r="E2557" s="2" t="s">
        <v>25102</v>
      </c>
      <c r="G2557" s="3" t="s">
        <v>62</v>
      </c>
      <c r="I2557" s="3" t="s">
        <v>62</v>
      </c>
      <c r="J2557" s="3" t="s">
        <v>62</v>
      </c>
      <c r="K2557" s="3" t="s">
        <v>63</v>
      </c>
      <c r="L2557" s="2" t="s">
        <v>25103</v>
      </c>
      <c r="M2557" s="2" t="s">
        <v>25104</v>
      </c>
      <c r="N2557" s="3" t="s">
        <v>1688</v>
      </c>
      <c r="P2557" s="3" t="s">
        <v>65</v>
      </c>
      <c r="Q2557" s="2" t="s">
        <v>25105</v>
      </c>
      <c r="R2557" s="3" t="s">
        <v>66</v>
      </c>
      <c r="S2557" s="4">
        <v>0</v>
      </c>
      <c r="T2557" s="4">
        <v>0</v>
      </c>
      <c r="W2557" s="5" t="s">
        <v>67</v>
      </c>
      <c r="X2557" s="5" t="s">
        <v>67</v>
      </c>
      <c r="Y2557" s="4">
        <v>119</v>
      </c>
      <c r="Z2557" s="4">
        <v>20</v>
      </c>
      <c r="AA2557" s="4">
        <v>88</v>
      </c>
      <c r="AB2557" s="4">
        <v>1</v>
      </c>
      <c r="AC2557" s="4">
        <v>15</v>
      </c>
      <c r="AD2557" s="4">
        <v>49</v>
      </c>
      <c r="AE2557" s="4">
        <v>123</v>
      </c>
      <c r="AF2557" s="4">
        <v>0</v>
      </c>
      <c r="AG2557" s="4">
        <v>8</v>
      </c>
      <c r="AH2557" s="4">
        <v>43</v>
      </c>
      <c r="AI2557" s="4">
        <v>87</v>
      </c>
      <c r="AJ2557" s="4">
        <v>14</v>
      </c>
      <c r="AK2557" s="4">
        <v>24</v>
      </c>
      <c r="AL2557" s="4">
        <v>25</v>
      </c>
      <c r="AM2557" s="4">
        <v>46</v>
      </c>
      <c r="AN2557" s="4">
        <v>0</v>
      </c>
      <c r="AO2557" s="4">
        <v>0</v>
      </c>
      <c r="AP2557" s="4">
        <v>16</v>
      </c>
      <c r="AQ2557" s="4">
        <v>45</v>
      </c>
      <c r="AR2557" s="3" t="s">
        <v>62</v>
      </c>
      <c r="AS2557" s="3" t="s">
        <v>62</v>
      </c>
      <c r="AT2557" s="3" t="s">
        <v>62</v>
      </c>
      <c r="AV2557" s="6" t="str">
        <f>HYPERLINK("http://mcgill.on.worldcat.org/oclc/853113768","Catalog Record")</f>
        <v>Catalog Record</v>
      </c>
      <c r="AW2557" s="6" t="str">
        <f>HYPERLINK("http://www.worldcat.org/oclc/853113768","WorldCat Record")</f>
        <v>WorldCat Record</v>
      </c>
      <c r="AX2557" s="3" t="s">
        <v>25106</v>
      </c>
      <c r="AY2557" s="3" t="s">
        <v>25107</v>
      </c>
      <c r="AZ2557" s="3" t="s">
        <v>25108</v>
      </c>
      <c r="BA2557" s="3" t="s">
        <v>25108</v>
      </c>
      <c r="BB2557" s="3" t="s">
        <v>25109</v>
      </c>
      <c r="BC2557" s="3" t="s">
        <v>142</v>
      </c>
      <c r="BD2557" s="3" t="s">
        <v>68</v>
      </c>
      <c r="BE2557" s="3" t="s">
        <v>25110</v>
      </c>
      <c r="BF2557" s="3" t="s">
        <v>25109</v>
      </c>
      <c r="BG2557" s="3" t="s">
        <v>25111</v>
      </c>
    </row>
    <row r="2558" spans="1:59" ht="57" x14ac:dyDescent="0.45">
      <c r="A2558" s="2" t="s">
        <v>59</v>
      </c>
      <c r="B2558" s="2" t="s">
        <v>60</v>
      </c>
      <c r="C2558" s="2" t="s">
        <v>25112</v>
      </c>
      <c r="D2558" s="2" t="s">
        <v>25113</v>
      </c>
      <c r="E2558" s="2" t="s">
        <v>25114</v>
      </c>
      <c r="G2558" s="3" t="s">
        <v>62</v>
      </c>
      <c r="I2558" s="3" t="s">
        <v>62</v>
      </c>
      <c r="J2558" s="3" t="s">
        <v>62</v>
      </c>
      <c r="K2558" s="3" t="s">
        <v>63</v>
      </c>
      <c r="M2558" s="2" t="s">
        <v>25115</v>
      </c>
      <c r="N2558" s="3" t="s">
        <v>116</v>
      </c>
      <c r="P2558" s="3" t="s">
        <v>65</v>
      </c>
      <c r="Q2558" s="2" t="s">
        <v>19942</v>
      </c>
      <c r="R2558" s="3" t="s">
        <v>66</v>
      </c>
      <c r="S2558" s="4">
        <v>0</v>
      </c>
      <c r="T2558" s="4">
        <v>0</v>
      </c>
      <c r="W2558" s="5" t="s">
        <v>67</v>
      </c>
      <c r="X2558" s="5" t="s">
        <v>67</v>
      </c>
      <c r="Y2558" s="4">
        <v>126</v>
      </c>
      <c r="Z2558" s="4">
        <v>20</v>
      </c>
      <c r="AA2558" s="4">
        <v>107</v>
      </c>
      <c r="AB2558" s="4">
        <v>2</v>
      </c>
      <c r="AC2558" s="4">
        <v>15</v>
      </c>
      <c r="AD2558" s="4">
        <v>52</v>
      </c>
      <c r="AE2558" s="4">
        <v>128</v>
      </c>
      <c r="AF2558" s="4">
        <v>1</v>
      </c>
      <c r="AG2558" s="4">
        <v>8</v>
      </c>
      <c r="AH2558" s="4">
        <v>44</v>
      </c>
      <c r="AI2558" s="4">
        <v>88</v>
      </c>
      <c r="AJ2558" s="4">
        <v>12</v>
      </c>
      <c r="AK2558" s="4">
        <v>25</v>
      </c>
      <c r="AL2558" s="4">
        <v>28</v>
      </c>
      <c r="AM2558" s="4">
        <v>48</v>
      </c>
      <c r="AN2558" s="4">
        <v>0</v>
      </c>
      <c r="AO2558" s="4">
        <v>0</v>
      </c>
      <c r="AP2558" s="4">
        <v>16</v>
      </c>
      <c r="AQ2558" s="4">
        <v>49</v>
      </c>
      <c r="AR2558" s="3" t="s">
        <v>62</v>
      </c>
      <c r="AS2558" s="3" t="s">
        <v>62</v>
      </c>
      <c r="AT2558" s="3" t="s">
        <v>62</v>
      </c>
      <c r="AV2558" s="6" t="str">
        <f>HYPERLINK("http://mcgill.on.worldcat.org/oclc/778425793","Catalog Record")</f>
        <v>Catalog Record</v>
      </c>
      <c r="AW2558" s="6" t="str">
        <f>HYPERLINK("http://www.worldcat.org/oclc/778425793","WorldCat Record")</f>
        <v>WorldCat Record</v>
      </c>
      <c r="AX2558" s="3" t="s">
        <v>25116</v>
      </c>
      <c r="AY2558" s="3" t="s">
        <v>25117</v>
      </c>
      <c r="AZ2558" s="3" t="s">
        <v>25118</v>
      </c>
      <c r="BA2558" s="3" t="s">
        <v>25118</v>
      </c>
      <c r="BB2558" s="3" t="s">
        <v>25119</v>
      </c>
      <c r="BC2558" s="3" t="s">
        <v>142</v>
      </c>
      <c r="BD2558" s="3" t="s">
        <v>68</v>
      </c>
      <c r="BE2558" s="3" t="s">
        <v>25120</v>
      </c>
      <c r="BF2558" s="3" t="s">
        <v>25119</v>
      </c>
      <c r="BG2558" s="3" t="s">
        <v>25121</v>
      </c>
    </row>
    <row r="2559" spans="1:59" ht="57" x14ac:dyDescent="0.45">
      <c r="A2559" s="2" t="s">
        <v>59</v>
      </c>
      <c r="B2559" s="2" t="s">
        <v>60</v>
      </c>
      <c r="C2559" s="2" t="s">
        <v>25122</v>
      </c>
      <c r="D2559" s="2" t="s">
        <v>25123</v>
      </c>
      <c r="E2559" s="2" t="s">
        <v>25124</v>
      </c>
      <c r="G2559" s="3" t="s">
        <v>62</v>
      </c>
      <c r="I2559" s="3" t="s">
        <v>62</v>
      </c>
      <c r="J2559" s="3" t="s">
        <v>62</v>
      </c>
      <c r="K2559" s="3" t="s">
        <v>63</v>
      </c>
      <c r="M2559" s="2" t="s">
        <v>25125</v>
      </c>
      <c r="N2559" s="3" t="s">
        <v>894</v>
      </c>
      <c r="P2559" s="3" t="s">
        <v>110</v>
      </c>
      <c r="Q2559" s="2" t="s">
        <v>21651</v>
      </c>
      <c r="R2559" s="3" t="s">
        <v>66</v>
      </c>
      <c r="S2559" s="4">
        <v>0</v>
      </c>
      <c r="T2559" s="4">
        <v>0</v>
      </c>
      <c r="W2559" s="5" t="s">
        <v>67</v>
      </c>
      <c r="X2559" s="5" t="s">
        <v>67</v>
      </c>
      <c r="Y2559" s="4">
        <v>27</v>
      </c>
      <c r="Z2559" s="4">
        <v>24</v>
      </c>
      <c r="AA2559" s="4">
        <v>113</v>
      </c>
      <c r="AB2559" s="4">
        <v>17</v>
      </c>
      <c r="AC2559" s="4">
        <v>28</v>
      </c>
      <c r="AD2559" s="4">
        <v>13</v>
      </c>
      <c r="AE2559" s="4">
        <v>91</v>
      </c>
      <c r="AF2559" s="4">
        <v>8</v>
      </c>
      <c r="AG2559" s="4">
        <v>10</v>
      </c>
      <c r="AH2559" s="4">
        <v>2</v>
      </c>
      <c r="AI2559" s="4">
        <v>53</v>
      </c>
      <c r="AJ2559" s="4">
        <v>7</v>
      </c>
      <c r="AK2559" s="4">
        <v>22</v>
      </c>
      <c r="AL2559" s="4">
        <v>0</v>
      </c>
      <c r="AM2559" s="4">
        <v>26</v>
      </c>
      <c r="AN2559" s="4">
        <v>0</v>
      </c>
      <c r="AO2559" s="4">
        <v>0</v>
      </c>
      <c r="AP2559" s="4">
        <v>11</v>
      </c>
      <c r="AQ2559" s="4">
        <v>45</v>
      </c>
      <c r="AR2559" s="3" t="s">
        <v>61</v>
      </c>
      <c r="AS2559" s="3" t="s">
        <v>62</v>
      </c>
      <c r="AT2559" s="3" t="s">
        <v>62</v>
      </c>
      <c r="AV2559" s="6" t="str">
        <f>HYPERLINK("http://mcgill.on.worldcat.org/oclc/712851682","Catalog Record")</f>
        <v>Catalog Record</v>
      </c>
      <c r="AW2559" s="6" t="str">
        <f>HYPERLINK("http://www.worldcat.org/oclc/712851682","WorldCat Record")</f>
        <v>WorldCat Record</v>
      </c>
      <c r="AX2559" s="3" t="s">
        <v>25126</v>
      </c>
      <c r="AY2559" s="3" t="s">
        <v>25127</v>
      </c>
      <c r="AZ2559" s="3" t="s">
        <v>25128</v>
      </c>
      <c r="BA2559" s="3" t="s">
        <v>25128</v>
      </c>
      <c r="BB2559" s="3" t="s">
        <v>25129</v>
      </c>
      <c r="BC2559" s="3" t="s">
        <v>142</v>
      </c>
      <c r="BD2559" s="3" t="s">
        <v>68</v>
      </c>
      <c r="BE2559" s="3" t="s">
        <v>25130</v>
      </c>
      <c r="BF2559" s="3" t="s">
        <v>25129</v>
      </c>
      <c r="BG2559" s="3" t="s">
        <v>25131</v>
      </c>
    </row>
    <row r="2560" spans="1:59" ht="57" x14ac:dyDescent="0.45">
      <c r="A2560" s="2" t="s">
        <v>59</v>
      </c>
      <c r="B2560" s="2" t="s">
        <v>60</v>
      </c>
      <c r="C2560" s="2" t="s">
        <v>25132</v>
      </c>
      <c r="D2560" s="2" t="s">
        <v>25133</v>
      </c>
      <c r="E2560" s="2" t="s">
        <v>25134</v>
      </c>
      <c r="G2560" s="3" t="s">
        <v>62</v>
      </c>
      <c r="I2560" s="3" t="s">
        <v>62</v>
      </c>
      <c r="J2560" s="3" t="s">
        <v>62</v>
      </c>
      <c r="K2560" s="3" t="s">
        <v>63</v>
      </c>
      <c r="M2560" s="2" t="s">
        <v>22293</v>
      </c>
      <c r="N2560" s="3" t="s">
        <v>894</v>
      </c>
      <c r="P2560" s="3" t="s">
        <v>65</v>
      </c>
      <c r="R2560" s="3" t="s">
        <v>66</v>
      </c>
      <c r="S2560" s="4">
        <v>0</v>
      </c>
      <c r="T2560" s="4">
        <v>0</v>
      </c>
      <c r="W2560" s="5" t="s">
        <v>67</v>
      </c>
      <c r="X2560" s="5" t="s">
        <v>67</v>
      </c>
      <c r="Y2560" s="4">
        <v>175</v>
      </c>
      <c r="Z2560" s="4">
        <v>18</v>
      </c>
      <c r="AA2560" s="4">
        <v>27</v>
      </c>
      <c r="AB2560" s="4">
        <v>1</v>
      </c>
      <c r="AC2560" s="4">
        <v>4</v>
      </c>
      <c r="AD2560" s="4">
        <v>70</v>
      </c>
      <c r="AE2560" s="4">
        <v>87</v>
      </c>
      <c r="AF2560" s="4">
        <v>0</v>
      </c>
      <c r="AG2560" s="4">
        <v>1</v>
      </c>
      <c r="AH2560" s="4">
        <v>66</v>
      </c>
      <c r="AI2560" s="4">
        <v>79</v>
      </c>
      <c r="AJ2560" s="4">
        <v>11</v>
      </c>
      <c r="AK2560" s="4">
        <v>16</v>
      </c>
      <c r="AL2560" s="4">
        <v>31</v>
      </c>
      <c r="AM2560" s="4">
        <v>40</v>
      </c>
      <c r="AN2560" s="4">
        <v>0</v>
      </c>
      <c r="AO2560" s="4">
        <v>0</v>
      </c>
      <c r="AP2560" s="4">
        <v>14</v>
      </c>
      <c r="AQ2560" s="4">
        <v>19</v>
      </c>
      <c r="AR2560" s="3" t="s">
        <v>62</v>
      </c>
      <c r="AS2560" s="3" t="s">
        <v>62</v>
      </c>
      <c r="AT2560" s="3" t="s">
        <v>62</v>
      </c>
      <c r="AV2560" s="6" t="str">
        <f>HYPERLINK("http://mcgill.on.worldcat.org/oclc/692287911","Catalog Record")</f>
        <v>Catalog Record</v>
      </c>
      <c r="AW2560" s="6" t="str">
        <f>HYPERLINK("http://www.worldcat.org/oclc/692287911","WorldCat Record")</f>
        <v>WorldCat Record</v>
      </c>
      <c r="AX2560" s="3" t="s">
        <v>25135</v>
      </c>
      <c r="AY2560" s="3" t="s">
        <v>25136</v>
      </c>
      <c r="AZ2560" s="3" t="s">
        <v>25137</v>
      </c>
      <c r="BA2560" s="3" t="s">
        <v>25137</v>
      </c>
      <c r="BB2560" s="3" t="s">
        <v>25138</v>
      </c>
      <c r="BC2560" s="3" t="s">
        <v>142</v>
      </c>
      <c r="BD2560" s="3" t="s">
        <v>68</v>
      </c>
      <c r="BE2560" s="3" t="s">
        <v>25139</v>
      </c>
      <c r="BF2560" s="3" t="s">
        <v>25138</v>
      </c>
      <c r="BG2560" s="3" t="s">
        <v>25140</v>
      </c>
    </row>
    <row r="2561" spans="1:59" ht="57" x14ac:dyDescent="0.45">
      <c r="A2561" s="2" t="s">
        <v>59</v>
      </c>
      <c r="B2561" s="2" t="s">
        <v>60</v>
      </c>
      <c r="C2561" s="2" t="s">
        <v>25141</v>
      </c>
      <c r="D2561" s="2" t="s">
        <v>25142</v>
      </c>
      <c r="E2561" s="2" t="s">
        <v>25143</v>
      </c>
      <c r="G2561" s="3" t="s">
        <v>62</v>
      </c>
      <c r="I2561" s="3" t="s">
        <v>62</v>
      </c>
      <c r="J2561" s="3" t="s">
        <v>62</v>
      </c>
      <c r="K2561" s="3" t="s">
        <v>63</v>
      </c>
      <c r="L2561" s="2" t="s">
        <v>25144</v>
      </c>
      <c r="M2561" s="2" t="s">
        <v>25145</v>
      </c>
      <c r="N2561" s="3" t="s">
        <v>945</v>
      </c>
      <c r="P2561" s="3" t="s">
        <v>65</v>
      </c>
      <c r="R2561" s="3" t="s">
        <v>66</v>
      </c>
      <c r="S2561" s="4">
        <v>18</v>
      </c>
      <c r="T2561" s="4">
        <v>18</v>
      </c>
      <c r="U2561" s="5" t="s">
        <v>25146</v>
      </c>
      <c r="V2561" s="5" t="s">
        <v>25146</v>
      </c>
      <c r="W2561" s="5" t="s">
        <v>67</v>
      </c>
      <c r="X2561" s="5" t="s">
        <v>67</v>
      </c>
      <c r="Y2561" s="4">
        <v>381</v>
      </c>
      <c r="Z2561" s="4">
        <v>26</v>
      </c>
      <c r="AA2561" s="4">
        <v>27</v>
      </c>
      <c r="AB2561" s="4">
        <v>2</v>
      </c>
      <c r="AC2561" s="4">
        <v>3</v>
      </c>
      <c r="AD2561" s="4">
        <v>95</v>
      </c>
      <c r="AE2561" s="4">
        <v>98</v>
      </c>
      <c r="AF2561" s="4">
        <v>1</v>
      </c>
      <c r="AG2561" s="4">
        <v>2</v>
      </c>
      <c r="AH2561" s="4">
        <v>84</v>
      </c>
      <c r="AI2561" s="4">
        <v>86</v>
      </c>
      <c r="AJ2561" s="4">
        <v>17</v>
      </c>
      <c r="AK2561" s="4">
        <v>18</v>
      </c>
      <c r="AL2561" s="4">
        <v>44</v>
      </c>
      <c r="AM2561" s="4">
        <v>46</v>
      </c>
      <c r="AN2561" s="4">
        <v>0</v>
      </c>
      <c r="AO2561" s="4">
        <v>0</v>
      </c>
      <c r="AP2561" s="4">
        <v>21</v>
      </c>
      <c r="AQ2561" s="4">
        <v>21</v>
      </c>
      <c r="AR2561" s="3" t="s">
        <v>62</v>
      </c>
      <c r="AS2561" s="3" t="s">
        <v>62</v>
      </c>
      <c r="AT2561" s="3" t="s">
        <v>61</v>
      </c>
      <c r="AU2561" s="6" t="str">
        <f>HYPERLINK("http://catalog.hathitrust.org/Record/005571384","HathiTrust Record")</f>
        <v>HathiTrust Record</v>
      </c>
      <c r="AV2561" s="6" t="str">
        <f>HYPERLINK("http://mcgill.on.worldcat.org/oclc/77004129","Catalog Record")</f>
        <v>Catalog Record</v>
      </c>
      <c r="AW2561" s="6" t="str">
        <f>HYPERLINK("http://www.worldcat.org/oclc/77004129","WorldCat Record")</f>
        <v>WorldCat Record</v>
      </c>
      <c r="AX2561" s="3" t="s">
        <v>25147</v>
      </c>
      <c r="AY2561" s="3" t="s">
        <v>25148</v>
      </c>
      <c r="AZ2561" s="3" t="s">
        <v>25149</v>
      </c>
      <c r="BA2561" s="3" t="s">
        <v>25149</v>
      </c>
      <c r="BB2561" s="3" t="s">
        <v>25150</v>
      </c>
      <c r="BC2561" s="3" t="s">
        <v>142</v>
      </c>
      <c r="BD2561" s="3" t="s">
        <v>68</v>
      </c>
      <c r="BE2561" s="3" t="s">
        <v>25151</v>
      </c>
      <c r="BF2561" s="3" t="s">
        <v>25150</v>
      </c>
      <c r="BG2561" s="3" t="s">
        <v>25152</v>
      </c>
    </row>
    <row r="2562" spans="1:59" ht="57" x14ac:dyDescent="0.45">
      <c r="A2562" s="2" t="s">
        <v>59</v>
      </c>
      <c r="B2562" s="2" t="s">
        <v>60</v>
      </c>
      <c r="C2562" s="2" t="s">
        <v>25153</v>
      </c>
      <c r="D2562" s="2" t="s">
        <v>25154</v>
      </c>
      <c r="E2562" s="2" t="s">
        <v>25155</v>
      </c>
      <c r="G2562" s="3" t="s">
        <v>62</v>
      </c>
      <c r="I2562" s="3" t="s">
        <v>62</v>
      </c>
      <c r="J2562" s="3" t="s">
        <v>62</v>
      </c>
      <c r="K2562" s="3" t="s">
        <v>63</v>
      </c>
      <c r="M2562" s="2" t="s">
        <v>25156</v>
      </c>
      <c r="N2562" s="3" t="s">
        <v>1155</v>
      </c>
      <c r="P2562" s="3" t="s">
        <v>65</v>
      </c>
      <c r="Q2562" s="2" t="s">
        <v>22549</v>
      </c>
      <c r="R2562" s="3" t="s">
        <v>66</v>
      </c>
      <c r="S2562" s="4">
        <v>1</v>
      </c>
      <c r="T2562" s="4">
        <v>1</v>
      </c>
      <c r="U2562" s="5" t="s">
        <v>25157</v>
      </c>
      <c r="V2562" s="5" t="s">
        <v>25157</v>
      </c>
      <c r="W2562" s="5" t="s">
        <v>67</v>
      </c>
      <c r="X2562" s="5" t="s">
        <v>67</v>
      </c>
      <c r="Y2562" s="4">
        <v>105</v>
      </c>
      <c r="Z2562" s="4">
        <v>18</v>
      </c>
      <c r="AA2562" s="4">
        <v>78</v>
      </c>
      <c r="AB2562" s="4">
        <v>1</v>
      </c>
      <c r="AC2562" s="4">
        <v>15</v>
      </c>
      <c r="AD2562" s="4">
        <v>42</v>
      </c>
      <c r="AE2562" s="4">
        <v>103</v>
      </c>
      <c r="AF2562" s="4">
        <v>0</v>
      </c>
      <c r="AG2562" s="4">
        <v>8</v>
      </c>
      <c r="AH2562" s="4">
        <v>37</v>
      </c>
      <c r="AI2562" s="4">
        <v>71</v>
      </c>
      <c r="AJ2562" s="4">
        <v>14</v>
      </c>
      <c r="AK2562" s="4">
        <v>24</v>
      </c>
      <c r="AL2562" s="4">
        <v>22</v>
      </c>
      <c r="AM2562" s="4">
        <v>34</v>
      </c>
      <c r="AN2562" s="4">
        <v>0</v>
      </c>
      <c r="AO2562" s="4">
        <v>0</v>
      </c>
      <c r="AP2562" s="4">
        <v>15</v>
      </c>
      <c r="AQ2562" s="4">
        <v>42</v>
      </c>
      <c r="AR2562" s="3" t="s">
        <v>62</v>
      </c>
      <c r="AS2562" s="3" t="s">
        <v>62</v>
      </c>
      <c r="AT2562" s="3" t="s">
        <v>62</v>
      </c>
      <c r="AV2562" s="6" t="str">
        <f>HYPERLINK("http://mcgill.on.worldcat.org/oclc/808802613","Catalog Record")</f>
        <v>Catalog Record</v>
      </c>
      <c r="AW2562" s="6" t="str">
        <f>HYPERLINK("http://www.worldcat.org/oclc/808802613","WorldCat Record")</f>
        <v>WorldCat Record</v>
      </c>
      <c r="AX2562" s="3" t="s">
        <v>25158</v>
      </c>
      <c r="AY2562" s="3" t="s">
        <v>25159</v>
      </c>
      <c r="AZ2562" s="3" t="s">
        <v>25160</v>
      </c>
      <c r="BA2562" s="3" t="s">
        <v>25160</v>
      </c>
      <c r="BB2562" s="3" t="s">
        <v>25161</v>
      </c>
      <c r="BC2562" s="3" t="s">
        <v>142</v>
      </c>
      <c r="BD2562" s="3" t="s">
        <v>68</v>
      </c>
      <c r="BE2562" s="3" t="s">
        <v>25162</v>
      </c>
      <c r="BF2562" s="3" t="s">
        <v>25161</v>
      </c>
      <c r="BG2562" s="3" t="s">
        <v>25163</v>
      </c>
    </row>
    <row r="2563" spans="1:59" ht="57" x14ac:dyDescent="0.45">
      <c r="A2563" s="2" t="s">
        <v>59</v>
      </c>
      <c r="B2563" s="2" t="s">
        <v>60</v>
      </c>
      <c r="C2563" s="2" t="s">
        <v>25164</v>
      </c>
      <c r="D2563" s="2" t="s">
        <v>25165</v>
      </c>
      <c r="E2563" s="2" t="s">
        <v>25166</v>
      </c>
      <c r="G2563" s="3" t="s">
        <v>62</v>
      </c>
      <c r="I2563" s="3" t="s">
        <v>62</v>
      </c>
      <c r="J2563" s="3" t="s">
        <v>62</v>
      </c>
      <c r="K2563" s="3" t="s">
        <v>63</v>
      </c>
      <c r="M2563" s="2" t="s">
        <v>17653</v>
      </c>
      <c r="N2563" s="3" t="s">
        <v>1688</v>
      </c>
      <c r="P2563" s="3" t="s">
        <v>65</v>
      </c>
      <c r="Q2563" s="2" t="s">
        <v>25167</v>
      </c>
      <c r="R2563" s="3" t="s">
        <v>66</v>
      </c>
      <c r="S2563" s="4">
        <v>0</v>
      </c>
      <c r="T2563" s="4">
        <v>0</v>
      </c>
      <c r="W2563" s="5" t="s">
        <v>67</v>
      </c>
      <c r="X2563" s="5" t="s">
        <v>67</v>
      </c>
      <c r="Y2563" s="4">
        <v>157</v>
      </c>
      <c r="Z2563" s="4">
        <v>23</v>
      </c>
      <c r="AA2563" s="4">
        <v>33</v>
      </c>
      <c r="AB2563" s="4">
        <v>2</v>
      </c>
      <c r="AC2563" s="4">
        <v>7</v>
      </c>
      <c r="AD2563" s="4">
        <v>68</v>
      </c>
      <c r="AE2563" s="4">
        <v>80</v>
      </c>
      <c r="AF2563" s="4">
        <v>1</v>
      </c>
      <c r="AG2563" s="4">
        <v>3</v>
      </c>
      <c r="AH2563" s="4">
        <v>59</v>
      </c>
      <c r="AI2563" s="4">
        <v>67</v>
      </c>
      <c r="AJ2563" s="4">
        <v>12</v>
      </c>
      <c r="AK2563" s="4">
        <v>16</v>
      </c>
      <c r="AL2563" s="4">
        <v>31</v>
      </c>
      <c r="AM2563" s="4">
        <v>35</v>
      </c>
      <c r="AN2563" s="4">
        <v>0</v>
      </c>
      <c r="AO2563" s="4">
        <v>0</v>
      </c>
      <c r="AP2563" s="4">
        <v>16</v>
      </c>
      <c r="AQ2563" s="4">
        <v>22</v>
      </c>
      <c r="AR2563" s="3" t="s">
        <v>62</v>
      </c>
      <c r="AS2563" s="3" t="s">
        <v>62</v>
      </c>
      <c r="AT2563" s="3" t="s">
        <v>62</v>
      </c>
      <c r="AV2563" s="6" t="str">
        <f>HYPERLINK("http://mcgill.on.worldcat.org/oclc/816031129","Catalog Record")</f>
        <v>Catalog Record</v>
      </c>
      <c r="AW2563" s="6" t="str">
        <f>HYPERLINK("http://www.worldcat.org/oclc/816031129","WorldCat Record")</f>
        <v>WorldCat Record</v>
      </c>
      <c r="AX2563" s="3" t="s">
        <v>25168</v>
      </c>
      <c r="AY2563" s="3" t="s">
        <v>25169</v>
      </c>
      <c r="AZ2563" s="3" t="s">
        <v>25170</v>
      </c>
      <c r="BA2563" s="3" t="s">
        <v>25170</v>
      </c>
      <c r="BB2563" s="3" t="s">
        <v>25171</v>
      </c>
      <c r="BC2563" s="3" t="s">
        <v>142</v>
      </c>
      <c r="BD2563" s="3" t="s">
        <v>68</v>
      </c>
      <c r="BE2563" s="3" t="s">
        <v>25172</v>
      </c>
      <c r="BF2563" s="3" t="s">
        <v>25171</v>
      </c>
      <c r="BG2563" s="3" t="s">
        <v>25173</v>
      </c>
    </row>
    <row r="2564" spans="1:59" ht="57" x14ac:dyDescent="0.45">
      <c r="A2564" s="2" t="s">
        <v>59</v>
      </c>
      <c r="B2564" s="2" t="s">
        <v>60</v>
      </c>
      <c r="C2564" s="2" t="s">
        <v>25174</v>
      </c>
      <c r="D2564" s="2" t="s">
        <v>25175</v>
      </c>
      <c r="E2564" s="2" t="s">
        <v>25176</v>
      </c>
      <c r="G2564" s="3" t="s">
        <v>62</v>
      </c>
      <c r="I2564" s="3" t="s">
        <v>62</v>
      </c>
      <c r="J2564" s="3" t="s">
        <v>62</v>
      </c>
      <c r="K2564" s="3" t="s">
        <v>63</v>
      </c>
      <c r="M2564" s="2" t="s">
        <v>6141</v>
      </c>
      <c r="N2564" s="3" t="s">
        <v>894</v>
      </c>
      <c r="P2564" s="3" t="s">
        <v>65</v>
      </c>
      <c r="R2564" s="3" t="s">
        <v>66</v>
      </c>
      <c r="S2564" s="4">
        <v>2</v>
      </c>
      <c r="T2564" s="4">
        <v>2</v>
      </c>
      <c r="U2564" s="5" t="s">
        <v>25177</v>
      </c>
      <c r="V2564" s="5" t="s">
        <v>25177</v>
      </c>
      <c r="W2564" s="5" t="s">
        <v>67</v>
      </c>
      <c r="X2564" s="5" t="s">
        <v>67</v>
      </c>
      <c r="Y2564" s="4">
        <v>258</v>
      </c>
      <c r="Z2564" s="4">
        <v>30</v>
      </c>
      <c r="AA2564" s="4">
        <v>84</v>
      </c>
      <c r="AB2564" s="4">
        <v>2</v>
      </c>
      <c r="AC2564" s="4">
        <v>15</v>
      </c>
      <c r="AD2564" s="4">
        <v>94</v>
      </c>
      <c r="AE2564" s="4">
        <v>132</v>
      </c>
      <c r="AF2564" s="4">
        <v>1</v>
      </c>
      <c r="AG2564" s="4">
        <v>8</v>
      </c>
      <c r="AH2564" s="4">
        <v>80</v>
      </c>
      <c r="AI2564" s="4">
        <v>96</v>
      </c>
      <c r="AJ2564" s="4">
        <v>16</v>
      </c>
      <c r="AK2564" s="4">
        <v>24</v>
      </c>
      <c r="AL2564" s="4">
        <v>42</v>
      </c>
      <c r="AM2564" s="4">
        <v>50</v>
      </c>
      <c r="AN2564" s="4">
        <v>0</v>
      </c>
      <c r="AO2564" s="4">
        <v>0</v>
      </c>
      <c r="AP2564" s="4">
        <v>23</v>
      </c>
      <c r="AQ2564" s="4">
        <v>45</v>
      </c>
      <c r="AR2564" s="3" t="s">
        <v>62</v>
      </c>
      <c r="AS2564" s="3" t="s">
        <v>62</v>
      </c>
      <c r="AT2564" s="3" t="s">
        <v>62</v>
      </c>
      <c r="AV2564" s="6" t="str">
        <f>HYPERLINK("http://mcgill.on.worldcat.org/oclc/673412861","Catalog Record")</f>
        <v>Catalog Record</v>
      </c>
      <c r="AW2564" s="6" t="str">
        <f>HYPERLINK("http://www.worldcat.org/oclc/673412861","WorldCat Record")</f>
        <v>WorldCat Record</v>
      </c>
      <c r="AX2564" s="3" t="s">
        <v>25178</v>
      </c>
      <c r="AY2564" s="3" t="s">
        <v>25179</v>
      </c>
      <c r="AZ2564" s="3" t="s">
        <v>25180</v>
      </c>
      <c r="BA2564" s="3" t="s">
        <v>25180</v>
      </c>
      <c r="BB2564" s="3" t="s">
        <v>25181</v>
      </c>
      <c r="BC2564" s="3" t="s">
        <v>142</v>
      </c>
      <c r="BD2564" s="3" t="s">
        <v>68</v>
      </c>
      <c r="BE2564" s="3" t="s">
        <v>25182</v>
      </c>
      <c r="BF2564" s="3" t="s">
        <v>25181</v>
      </c>
      <c r="BG2564" s="3" t="s">
        <v>25183</v>
      </c>
    </row>
    <row r="2565" spans="1:59" ht="57" x14ac:dyDescent="0.45">
      <c r="A2565" s="2" t="s">
        <v>59</v>
      </c>
      <c r="B2565" s="2" t="s">
        <v>60</v>
      </c>
      <c r="C2565" s="2" t="s">
        <v>25184</v>
      </c>
      <c r="D2565" s="2" t="s">
        <v>25185</v>
      </c>
      <c r="E2565" s="2" t="s">
        <v>25186</v>
      </c>
      <c r="G2565" s="3" t="s">
        <v>62</v>
      </c>
      <c r="I2565" s="3" t="s">
        <v>62</v>
      </c>
      <c r="J2565" s="3" t="s">
        <v>62</v>
      </c>
      <c r="K2565" s="3" t="s">
        <v>63</v>
      </c>
      <c r="M2565" s="2" t="s">
        <v>9755</v>
      </c>
      <c r="N2565" s="3" t="s">
        <v>1155</v>
      </c>
      <c r="P2565" s="3" t="s">
        <v>65</v>
      </c>
      <c r="Q2565" s="2" t="s">
        <v>13000</v>
      </c>
      <c r="R2565" s="3" t="s">
        <v>66</v>
      </c>
      <c r="S2565" s="4">
        <v>0</v>
      </c>
      <c r="T2565" s="4">
        <v>0</v>
      </c>
      <c r="W2565" s="5" t="s">
        <v>67</v>
      </c>
      <c r="X2565" s="5" t="s">
        <v>67</v>
      </c>
      <c r="Y2565" s="4">
        <v>181</v>
      </c>
      <c r="Z2565" s="4">
        <v>20</v>
      </c>
      <c r="AA2565" s="4">
        <v>26</v>
      </c>
      <c r="AB2565" s="4">
        <v>2</v>
      </c>
      <c r="AC2565" s="4">
        <v>6</v>
      </c>
      <c r="AD2565" s="4">
        <v>63</v>
      </c>
      <c r="AE2565" s="4">
        <v>75</v>
      </c>
      <c r="AF2565" s="4">
        <v>1</v>
      </c>
      <c r="AG2565" s="4">
        <v>2</v>
      </c>
      <c r="AH2565" s="4">
        <v>57</v>
      </c>
      <c r="AI2565" s="4">
        <v>68</v>
      </c>
      <c r="AJ2565" s="4">
        <v>14</v>
      </c>
      <c r="AK2565" s="4">
        <v>16</v>
      </c>
      <c r="AL2565" s="4">
        <v>30</v>
      </c>
      <c r="AM2565" s="4">
        <v>35</v>
      </c>
      <c r="AN2565" s="4">
        <v>0</v>
      </c>
      <c r="AO2565" s="4">
        <v>0</v>
      </c>
      <c r="AP2565" s="4">
        <v>16</v>
      </c>
      <c r="AQ2565" s="4">
        <v>18</v>
      </c>
      <c r="AR2565" s="3" t="s">
        <v>62</v>
      </c>
      <c r="AS2565" s="3" t="s">
        <v>62</v>
      </c>
      <c r="AT2565" s="3" t="s">
        <v>62</v>
      </c>
      <c r="AV2565" s="6" t="str">
        <f>HYPERLINK("http://mcgill.on.worldcat.org/oclc/635487235","Catalog Record")</f>
        <v>Catalog Record</v>
      </c>
      <c r="AW2565" s="6" t="str">
        <f>HYPERLINK("http://www.worldcat.org/oclc/635487235","WorldCat Record")</f>
        <v>WorldCat Record</v>
      </c>
      <c r="AX2565" s="3" t="s">
        <v>25187</v>
      </c>
      <c r="AY2565" s="3" t="s">
        <v>25188</v>
      </c>
      <c r="AZ2565" s="3" t="s">
        <v>25189</v>
      </c>
      <c r="BA2565" s="3" t="s">
        <v>25189</v>
      </c>
      <c r="BB2565" s="3" t="s">
        <v>25190</v>
      </c>
      <c r="BC2565" s="3" t="s">
        <v>142</v>
      </c>
      <c r="BD2565" s="3" t="s">
        <v>68</v>
      </c>
      <c r="BE2565" s="3" t="s">
        <v>25191</v>
      </c>
      <c r="BF2565" s="3" t="s">
        <v>25190</v>
      </c>
      <c r="BG2565" s="3" t="s">
        <v>25192</v>
      </c>
    </row>
    <row r="2566" spans="1:59" ht="57" x14ac:dyDescent="0.45">
      <c r="A2566" s="2" t="s">
        <v>59</v>
      </c>
      <c r="B2566" s="2" t="s">
        <v>60</v>
      </c>
      <c r="C2566" s="2" t="s">
        <v>25193</v>
      </c>
      <c r="D2566" s="2" t="s">
        <v>25194</v>
      </c>
      <c r="E2566" s="2" t="s">
        <v>25195</v>
      </c>
      <c r="G2566" s="3" t="s">
        <v>62</v>
      </c>
      <c r="I2566" s="3" t="s">
        <v>62</v>
      </c>
      <c r="J2566" s="3" t="s">
        <v>62</v>
      </c>
      <c r="K2566" s="3" t="s">
        <v>63</v>
      </c>
      <c r="L2566" s="2" t="s">
        <v>25196</v>
      </c>
      <c r="M2566" s="2" t="s">
        <v>25197</v>
      </c>
      <c r="N2566" s="3" t="s">
        <v>1253</v>
      </c>
      <c r="P2566" s="3" t="s">
        <v>65</v>
      </c>
      <c r="R2566" s="3" t="s">
        <v>66</v>
      </c>
      <c r="S2566" s="4">
        <v>34</v>
      </c>
      <c r="T2566" s="4">
        <v>34</v>
      </c>
      <c r="U2566" s="5" t="s">
        <v>17272</v>
      </c>
      <c r="V2566" s="5" t="s">
        <v>17272</v>
      </c>
      <c r="W2566" s="5" t="s">
        <v>67</v>
      </c>
      <c r="X2566" s="5" t="s">
        <v>67</v>
      </c>
      <c r="Y2566" s="4">
        <v>500</v>
      </c>
      <c r="Z2566" s="4">
        <v>22</v>
      </c>
      <c r="AA2566" s="4">
        <v>47</v>
      </c>
      <c r="AB2566" s="4">
        <v>1</v>
      </c>
      <c r="AC2566" s="4">
        <v>5</v>
      </c>
      <c r="AD2566" s="4">
        <v>101</v>
      </c>
      <c r="AE2566" s="4">
        <v>124</v>
      </c>
      <c r="AF2566" s="4">
        <v>0</v>
      </c>
      <c r="AG2566" s="4">
        <v>4</v>
      </c>
      <c r="AH2566" s="4">
        <v>85</v>
      </c>
      <c r="AI2566" s="4">
        <v>97</v>
      </c>
      <c r="AJ2566" s="4">
        <v>10</v>
      </c>
      <c r="AK2566" s="4">
        <v>21</v>
      </c>
      <c r="AL2566" s="4">
        <v>43</v>
      </c>
      <c r="AM2566" s="4">
        <v>48</v>
      </c>
      <c r="AN2566" s="4">
        <v>0</v>
      </c>
      <c r="AO2566" s="4">
        <v>0</v>
      </c>
      <c r="AP2566" s="4">
        <v>19</v>
      </c>
      <c r="AQ2566" s="4">
        <v>35</v>
      </c>
      <c r="AR2566" s="3" t="s">
        <v>62</v>
      </c>
      <c r="AS2566" s="3" t="s">
        <v>62</v>
      </c>
      <c r="AT2566" s="3" t="s">
        <v>61</v>
      </c>
      <c r="AU2566" s="6" t="str">
        <f>HYPERLINK("http://catalog.hathitrust.org/Record/003189639","HathiTrust Record")</f>
        <v>HathiTrust Record</v>
      </c>
      <c r="AV2566" s="6" t="str">
        <f>HYPERLINK("http://mcgill.on.worldcat.org/oclc/36170770","Catalog Record")</f>
        <v>Catalog Record</v>
      </c>
      <c r="AW2566" s="6" t="str">
        <f>HYPERLINK("http://www.worldcat.org/oclc/36170770","WorldCat Record")</f>
        <v>WorldCat Record</v>
      </c>
      <c r="AX2566" s="3" t="s">
        <v>25198</v>
      </c>
      <c r="AY2566" s="3" t="s">
        <v>25199</v>
      </c>
      <c r="AZ2566" s="3" t="s">
        <v>25200</v>
      </c>
      <c r="BA2566" s="3" t="s">
        <v>25200</v>
      </c>
      <c r="BB2566" s="3" t="s">
        <v>25201</v>
      </c>
      <c r="BC2566" s="3" t="s">
        <v>142</v>
      </c>
      <c r="BD2566" s="3" t="s">
        <v>68</v>
      </c>
      <c r="BE2566" s="3" t="s">
        <v>25202</v>
      </c>
      <c r="BF2566" s="3" t="s">
        <v>25201</v>
      </c>
      <c r="BG2566" s="3" t="s">
        <v>25203</v>
      </c>
    </row>
    <row r="2567" spans="1:59" ht="57" x14ac:dyDescent="0.45">
      <c r="A2567" s="2" t="s">
        <v>59</v>
      </c>
      <c r="B2567" s="2" t="s">
        <v>60</v>
      </c>
      <c r="C2567" s="2" t="s">
        <v>25204</v>
      </c>
      <c r="D2567" s="2" t="s">
        <v>25205</v>
      </c>
      <c r="E2567" s="2" t="s">
        <v>25206</v>
      </c>
      <c r="G2567" s="3" t="s">
        <v>62</v>
      </c>
      <c r="I2567" s="3" t="s">
        <v>62</v>
      </c>
      <c r="J2567" s="3" t="s">
        <v>62</v>
      </c>
      <c r="K2567" s="3" t="s">
        <v>63</v>
      </c>
      <c r="M2567" s="2" t="s">
        <v>4009</v>
      </c>
      <c r="N2567" s="3" t="s">
        <v>149</v>
      </c>
      <c r="P2567" s="3" t="s">
        <v>65</v>
      </c>
      <c r="R2567" s="3" t="s">
        <v>66</v>
      </c>
      <c r="S2567" s="4">
        <v>3</v>
      </c>
      <c r="T2567" s="4">
        <v>3</v>
      </c>
      <c r="U2567" s="5" t="s">
        <v>4265</v>
      </c>
      <c r="V2567" s="5" t="s">
        <v>4265</v>
      </c>
      <c r="W2567" s="5" t="s">
        <v>67</v>
      </c>
      <c r="X2567" s="5" t="s">
        <v>67</v>
      </c>
      <c r="Y2567" s="4">
        <v>273</v>
      </c>
      <c r="Z2567" s="4">
        <v>22</v>
      </c>
      <c r="AA2567" s="4">
        <v>26</v>
      </c>
      <c r="AB2567" s="4">
        <v>3</v>
      </c>
      <c r="AC2567" s="4">
        <v>6</v>
      </c>
      <c r="AD2567" s="4">
        <v>60</v>
      </c>
      <c r="AE2567" s="4">
        <v>63</v>
      </c>
      <c r="AF2567" s="4">
        <v>1</v>
      </c>
      <c r="AG2567" s="4">
        <v>4</v>
      </c>
      <c r="AH2567" s="4">
        <v>51</v>
      </c>
      <c r="AI2567" s="4">
        <v>52</v>
      </c>
      <c r="AJ2567" s="4">
        <v>10</v>
      </c>
      <c r="AK2567" s="4">
        <v>13</v>
      </c>
      <c r="AL2567" s="4">
        <v>28</v>
      </c>
      <c r="AM2567" s="4">
        <v>28</v>
      </c>
      <c r="AN2567" s="4">
        <v>0</v>
      </c>
      <c r="AO2567" s="4">
        <v>0</v>
      </c>
      <c r="AP2567" s="4">
        <v>15</v>
      </c>
      <c r="AQ2567" s="4">
        <v>18</v>
      </c>
      <c r="AR2567" s="3" t="s">
        <v>62</v>
      </c>
      <c r="AS2567" s="3" t="s">
        <v>62</v>
      </c>
      <c r="AT2567" s="3" t="s">
        <v>62</v>
      </c>
      <c r="AV2567" s="6" t="str">
        <f>HYPERLINK("http://mcgill.on.worldcat.org/oclc/166361473","Catalog Record")</f>
        <v>Catalog Record</v>
      </c>
      <c r="AW2567" s="6" t="str">
        <f>HYPERLINK("http://www.worldcat.org/oclc/166361473","WorldCat Record")</f>
        <v>WorldCat Record</v>
      </c>
      <c r="AX2567" s="3" t="s">
        <v>25207</v>
      </c>
      <c r="AY2567" s="3" t="s">
        <v>25208</v>
      </c>
      <c r="AZ2567" s="3" t="s">
        <v>25209</v>
      </c>
      <c r="BA2567" s="3" t="s">
        <v>25209</v>
      </c>
      <c r="BB2567" s="3" t="s">
        <v>25210</v>
      </c>
      <c r="BC2567" s="3" t="s">
        <v>142</v>
      </c>
      <c r="BD2567" s="3" t="s">
        <v>68</v>
      </c>
      <c r="BE2567" s="3" t="s">
        <v>25211</v>
      </c>
      <c r="BF2567" s="3" t="s">
        <v>25210</v>
      </c>
      <c r="BG2567" s="3" t="s">
        <v>25212</v>
      </c>
    </row>
    <row r="2568" spans="1:59" ht="71.25" x14ac:dyDescent="0.45">
      <c r="A2568" s="2" t="s">
        <v>59</v>
      </c>
      <c r="B2568" s="2" t="s">
        <v>60</v>
      </c>
      <c r="C2568" s="2" t="s">
        <v>25213</v>
      </c>
      <c r="D2568" s="2" t="s">
        <v>25214</v>
      </c>
      <c r="E2568" s="2" t="s">
        <v>25215</v>
      </c>
      <c r="G2568" s="3" t="s">
        <v>62</v>
      </c>
      <c r="I2568" s="3" t="s">
        <v>62</v>
      </c>
      <c r="J2568" s="3" t="s">
        <v>62</v>
      </c>
      <c r="K2568" s="3" t="s">
        <v>63</v>
      </c>
      <c r="M2568" s="2" t="s">
        <v>13272</v>
      </c>
      <c r="N2568" s="3" t="s">
        <v>894</v>
      </c>
      <c r="P2568" s="3" t="s">
        <v>65</v>
      </c>
      <c r="Q2568" s="2" t="s">
        <v>25216</v>
      </c>
      <c r="R2568" s="3" t="s">
        <v>66</v>
      </c>
      <c r="S2568" s="4">
        <v>0</v>
      </c>
      <c r="T2568" s="4">
        <v>0</v>
      </c>
      <c r="W2568" s="5" t="s">
        <v>67</v>
      </c>
      <c r="X2568" s="5" t="s">
        <v>67</v>
      </c>
      <c r="Y2568" s="4">
        <v>146</v>
      </c>
      <c r="Z2568" s="4">
        <v>18</v>
      </c>
      <c r="AA2568" s="4">
        <v>18</v>
      </c>
      <c r="AB2568" s="4">
        <v>2</v>
      </c>
      <c r="AC2568" s="4">
        <v>2</v>
      </c>
      <c r="AD2568" s="4">
        <v>64</v>
      </c>
      <c r="AE2568" s="4">
        <v>64</v>
      </c>
      <c r="AF2568" s="4">
        <v>1</v>
      </c>
      <c r="AG2568" s="4">
        <v>1</v>
      </c>
      <c r="AH2568" s="4">
        <v>57</v>
      </c>
      <c r="AI2568" s="4">
        <v>57</v>
      </c>
      <c r="AJ2568" s="4">
        <v>12</v>
      </c>
      <c r="AK2568" s="4">
        <v>12</v>
      </c>
      <c r="AL2568" s="4">
        <v>34</v>
      </c>
      <c r="AM2568" s="4">
        <v>34</v>
      </c>
      <c r="AN2568" s="4">
        <v>0</v>
      </c>
      <c r="AO2568" s="4">
        <v>0</v>
      </c>
      <c r="AP2568" s="4">
        <v>15</v>
      </c>
      <c r="AQ2568" s="4">
        <v>15</v>
      </c>
      <c r="AR2568" s="3" t="s">
        <v>62</v>
      </c>
      <c r="AS2568" s="3" t="s">
        <v>62</v>
      </c>
      <c r="AT2568" s="3" t="s">
        <v>62</v>
      </c>
      <c r="AV2568" s="6" t="str">
        <f>HYPERLINK("http://mcgill.on.worldcat.org/oclc/747713068","Catalog Record")</f>
        <v>Catalog Record</v>
      </c>
      <c r="AW2568" s="6" t="str">
        <f>HYPERLINK("http://www.worldcat.org/oclc/747713068","WorldCat Record")</f>
        <v>WorldCat Record</v>
      </c>
      <c r="AX2568" s="3" t="s">
        <v>25217</v>
      </c>
      <c r="AY2568" s="3" t="s">
        <v>25218</v>
      </c>
      <c r="AZ2568" s="3" t="s">
        <v>25219</v>
      </c>
      <c r="BA2568" s="3" t="s">
        <v>25219</v>
      </c>
      <c r="BB2568" s="3" t="s">
        <v>25220</v>
      </c>
      <c r="BC2568" s="3" t="s">
        <v>142</v>
      </c>
      <c r="BD2568" s="3" t="s">
        <v>68</v>
      </c>
      <c r="BE2568" s="3" t="s">
        <v>25221</v>
      </c>
      <c r="BF2568" s="3" t="s">
        <v>25220</v>
      </c>
      <c r="BG2568" s="3" t="s">
        <v>25222</v>
      </c>
    </row>
    <row r="2569" spans="1:59" ht="57" x14ac:dyDescent="0.45">
      <c r="A2569" s="2" t="s">
        <v>59</v>
      </c>
      <c r="B2569" s="2" t="s">
        <v>60</v>
      </c>
      <c r="C2569" s="2" t="s">
        <v>25223</v>
      </c>
      <c r="D2569" s="2" t="s">
        <v>25224</v>
      </c>
      <c r="E2569" s="2" t="s">
        <v>25225</v>
      </c>
      <c r="G2569" s="3" t="s">
        <v>62</v>
      </c>
      <c r="I2569" s="3" t="s">
        <v>62</v>
      </c>
      <c r="J2569" s="3" t="s">
        <v>61</v>
      </c>
      <c r="K2569" s="3" t="s">
        <v>63</v>
      </c>
      <c r="L2569" s="2" t="s">
        <v>25226</v>
      </c>
      <c r="M2569" s="2" t="s">
        <v>25227</v>
      </c>
      <c r="N2569" s="3" t="s">
        <v>149</v>
      </c>
      <c r="O2569" s="2" t="s">
        <v>906</v>
      </c>
      <c r="P2569" s="3" t="s">
        <v>65</v>
      </c>
      <c r="R2569" s="3" t="s">
        <v>66</v>
      </c>
      <c r="S2569" s="4">
        <v>10</v>
      </c>
      <c r="T2569" s="4">
        <v>10</v>
      </c>
      <c r="U2569" s="5" t="s">
        <v>25228</v>
      </c>
      <c r="V2569" s="5" t="s">
        <v>25228</v>
      </c>
      <c r="W2569" s="5" t="s">
        <v>67</v>
      </c>
      <c r="X2569" s="5" t="s">
        <v>67</v>
      </c>
      <c r="Y2569" s="4">
        <v>240</v>
      </c>
      <c r="Z2569" s="4">
        <v>23</v>
      </c>
      <c r="AA2569" s="4">
        <v>92</v>
      </c>
      <c r="AB2569" s="4">
        <v>2</v>
      </c>
      <c r="AC2569" s="4">
        <v>7</v>
      </c>
      <c r="AD2569" s="4">
        <v>69</v>
      </c>
      <c r="AE2569" s="4">
        <v>140</v>
      </c>
      <c r="AF2569" s="4">
        <v>1</v>
      </c>
      <c r="AG2569" s="4">
        <v>4</v>
      </c>
      <c r="AH2569" s="4">
        <v>61</v>
      </c>
      <c r="AI2569" s="4">
        <v>107</v>
      </c>
      <c r="AJ2569" s="4">
        <v>14</v>
      </c>
      <c r="AK2569" s="4">
        <v>26</v>
      </c>
      <c r="AL2569" s="4">
        <v>30</v>
      </c>
      <c r="AM2569" s="4">
        <v>54</v>
      </c>
      <c r="AN2569" s="4">
        <v>0</v>
      </c>
      <c r="AO2569" s="4">
        <v>0</v>
      </c>
      <c r="AP2569" s="4">
        <v>17</v>
      </c>
      <c r="AQ2569" s="4">
        <v>41</v>
      </c>
      <c r="AR2569" s="3" t="s">
        <v>62</v>
      </c>
      <c r="AS2569" s="3" t="s">
        <v>62</v>
      </c>
      <c r="AT2569" s="3" t="s">
        <v>62</v>
      </c>
      <c r="AV2569" s="6" t="str">
        <f>HYPERLINK("http://mcgill.on.worldcat.org/oclc/441196673","Catalog Record")</f>
        <v>Catalog Record</v>
      </c>
      <c r="AW2569" s="6" t="str">
        <f>HYPERLINK("http://www.worldcat.org/oclc/441196673","WorldCat Record")</f>
        <v>WorldCat Record</v>
      </c>
      <c r="AX2569" s="3" t="s">
        <v>25229</v>
      </c>
      <c r="AY2569" s="3" t="s">
        <v>25230</v>
      </c>
      <c r="AZ2569" s="3" t="s">
        <v>25231</v>
      </c>
      <c r="BA2569" s="3" t="s">
        <v>25231</v>
      </c>
      <c r="BB2569" s="3" t="s">
        <v>25232</v>
      </c>
      <c r="BC2569" s="3" t="s">
        <v>142</v>
      </c>
      <c r="BD2569" s="3" t="s">
        <v>68</v>
      </c>
      <c r="BE2569" s="3" t="s">
        <v>25233</v>
      </c>
      <c r="BF2569" s="3" t="s">
        <v>25232</v>
      </c>
      <c r="BG2569" s="3" t="s">
        <v>25234</v>
      </c>
    </row>
    <row r="2570" spans="1:59" ht="57" x14ac:dyDescent="0.45">
      <c r="A2570" s="2" t="s">
        <v>59</v>
      </c>
      <c r="B2570" s="2" t="s">
        <v>60</v>
      </c>
      <c r="C2570" s="2" t="s">
        <v>25235</v>
      </c>
      <c r="D2570" s="2" t="s">
        <v>25236</v>
      </c>
      <c r="E2570" s="2" t="s">
        <v>25237</v>
      </c>
      <c r="G2570" s="3" t="s">
        <v>62</v>
      </c>
      <c r="I2570" s="3" t="s">
        <v>62</v>
      </c>
      <c r="J2570" s="3" t="s">
        <v>62</v>
      </c>
      <c r="K2570" s="3" t="s">
        <v>63</v>
      </c>
      <c r="M2570" s="2" t="s">
        <v>12436</v>
      </c>
      <c r="N2570" s="3" t="s">
        <v>1253</v>
      </c>
      <c r="P2570" s="3" t="s">
        <v>65</v>
      </c>
      <c r="Q2570" s="2" t="s">
        <v>25238</v>
      </c>
      <c r="R2570" s="3" t="s">
        <v>66</v>
      </c>
      <c r="S2570" s="4">
        <v>30</v>
      </c>
      <c r="T2570" s="4">
        <v>30</v>
      </c>
      <c r="U2570" s="5" t="s">
        <v>7890</v>
      </c>
      <c r="V2570" s="5" t="s">
        <v>7890</v>
      </c>
      <c r="W2570" s="5" t="s">
        <v>67</v>
      </c>
      <c r="X2570" s="5" t="s">
        <v>67</v>
      </c>
      <c r="Y2570" s="4">
        <v>318</v>
      </c>
      <c r="Z2570" s="4">
        <v>20</v>
      </c>
      <c r="AA2570" s="4">
        <v>20</v>
      </c>
      <c r="AB2570" s="4">
        <v>4</v>
      </c>
      <c r="AC2570" s="4">
        <v>4</v>
      </c>
      <c r="AD2570" s="4">
        <v>81</v>
      </c>
      <c r="AE2570" s="4">
        <v>81</v>
      </c>
      <c r="AF2570" s="4">
        <v>2</v>
      </c>
      <c r="AG2570" s="4">
        <v>2</v>
      </c>
      <c r="AH2570" s="4">
        <v>72</v>
      </c>
      <c r="AI2570" s="4">
        <v>72</v>
      </c>
      <c r="AJ2570" s="4">
        <v>13</v>
      </c>
      <c r="AK2570" s="4">
        <v>13</v>
      </c>
      <c r="AL2570" s="4">
        <v>33</v>
      </c>
      <c r="AM2570" s="4">
        <v>33</v>
      </c>
      <c r="AN2570" s="4">
        <v>0</v>
      </c>
      <c r="AO2570" s="4">
        <v>0</v>
      </c>
      <c r="AP2570" s="4">
        <v>18</v>
      </c>
      <c r="AQ2570" s="4">
        <v>18</v>
      </c>
      <c r="AR2570" s="3" t="s">
        <v>62</v>
      </c>
      <c r="AS2570" s="3" t="s">
        <v>62</v>
      </c>
      <c r="AT2570" s="3" t="s">
        <v>61</v>
      </c>
      <c r="AU2570" s="6" t="str">
        <f>HYPERLINK("http://catalog.hathitrust.org/Record/003182982","HathiTrust Record")</f>
        <v>HathiTrust Record</v>
      </c>
      <c r="AV2570" s="6" t="str">
        <f>HYPERLINK("http://mcgill.on.worldcat.org/oclc/36315763","Catalog Record")</f>
        <v>Catalog Record</v>
      </c>
      <c r="AW2570" s="6" t="str">
        <f>HYPERLINK("http://www.worldcat.org/oclc/36315763","WorldCat Record")</f>
        <v>WorldCat Record</v>
      </c>
      <c r="AX2570" s="3" t="s">
        <v>25239</v>
      </c>
      <c r="AY2570" s="3" t="s">
        <v>25240</v>
      </c>
      <c r="AZ2570" s="3" t="s">
        <v>25241</v>
      </c>
      <c r="BA2570" s="3" t="s">
        <v>25241</v>
      </c>
      <c r="BB2570" s="3" t="s">
        <v>25242</v>
      </c>
      <c r="BC2570" s="3" t="s">
        <v>142</v>
      </c>
      <c r="BD2570" s="3" t="s">
        <v>68</v>
      </c>
      <c r="BE2570" s="3" t="s">
        <v>25243</v>
      </c>
      <c r="BF2570" s="3" t="s">
        <v>25242</v>
      </c>
      <c r="BG2570" s="3" t="s">
        <v>25244</v>
      </c>
    </row>
    <row r="2571" spans="1:59" ht="57" x14ac:dyDescent="0.45">
      <c r="A2571" s="2" t="s">
        <v>59</v>
      </c>
      <c r="B2571" s="2" t="s">
        <v>60</v>
      </c>
      <c r="C2571" s="2" t="s">
        <v>25245</v>
      </c>
      <c r="D2571" s="2" t="s">
        <v>25246</v>
      </c>
      <c r="E2571" s="2" t="s">
        <v>25247</v>
      </c>
      <c r="G2571" s="3" t="s">
        <v>62</v>
      </c>
      <c r="I2571" s="3" t="s">
        <v>62</v>
      </c>
      <c r="J2571" s="3" t="s">
        <v>62</v>
      </c>
      <c r="K2571" s="3" t="s">
        <v>63</v>
      </c>
      <c r="M2571" s="2" t="s">
        <v>25248</v>
      </c>
      <c r="N2571" s="3" t="s">
        <v>149</v>
      </c>
      <c r="P2571" s="3" t="s">
        <v>114</v>
      </c>
      <c r="R2571" s="3" t="s">
        <v>66</v>
      </c>
      <c r="S2571" s="4">
        <v>0</v>
      </c>
      <c r="T2571" s="4">
        <v>0</v>
      </c>
      <c r="W2571" s="5" t="s">
        <v>67</v>
      </c>
      <c r="X2571" s="5" t="s">
        <v>67</v>
      </c>
      <c r="Y2571" s="4">
        <v>10</v>
      </c>
      <c r="Z2571" s="4">
        <v>2</v>
      </c>
      <c r="AA2571" s="4">
        <v>2</v>
      </c>
      <c r="AB2571" s="4">
        <v>1</v>
      </c>
      <c r="AC2571" s="4">
        <v>1</v>
      </c>
      <c r="AD2571" s="4">
        <v>6</v>
      </c>
      <c r="AE2571" s="4">
        <v>6</v>
      </c>
      <c r="AF2571" s="4">
        <v>0</v>
      </c>
      <c r="AG2571" s="4">
        <v>0</v>
      </c>
      <c r="AH2571" s="4">
        <v>6</v>
      </c>
      <c r="AI2571" s="4">
        <v>6</v>
      </c>
      <c r="AJ2571" s="4">
        <v>1</v>
      </c>
      <c r="AK2571" s="4">
        <v>1</v>
      </c>
      <c r="AL2571" s="4">
        <v>4</v>
      </c>
      <c r="AM2571" s="4">
        <v>4</v>
      </c>
      <c r="AN2571" s="4">
        <v>0</v>
      </c>
      <c r="AO2571" s="4">
        <v>0</v>
      </c>
      <c r="AP2571" s="4">
        <v>1</v>
      </c>
      <c r="AQ2571" s="4">
        <v>1</v>
      </c>
      <c r="AR2571" s="3" t="s">
        <v>62</v>
      </c>
      <c r="AS2571" s="3" t="s">
        <v>62</v>
      </c>
      <c r="AT2571" s="3" t="s">
        <v>62</v>
      </c>
      <c r="AV2571" s="6" t="str">
        <f>HYPERLINK("http://mcgill.on.worldcat.org/oclc/671537770","Catalog Record")</f>
        <v>Catalog Record</v>
      </c>
      <c r="AW2571" s="6" t="str">
        <f>HYPERLINK("http://www.worldcat.org/oclc/671537770","WorldCat Record")</f>
        <v>WorldCat Record</v>
      </c>
      <c r="AX2571" s="3" t="s">
        <v>25249</v>
      </c>
      <c r="AY2571" s="3" t="s">
        <v>25250</v>
      </c>
      <c r="AZ2571" s="3" t="s">
        <v>25251</v>
      </c>
      <c r="BA2571" s="3" t="s">
        <v>25251</v>
      </c>
      <c r="BB2571" s="3" t="s">
        <v>25252</v>
      </c>
      <c r="BC2571" s="3" t="s">
        <v>142</v>
      </c>
      <c r="BD2571" s="3" t="s">
        <v>68</v>
      </c>
      <c r="BE2571" s="3" t="s">
        <v>25253</v>
      </c>
      <c r="BF2571" s="3" t="s">
        <v>25252</v>
      </c>
      <c r="BG2571" s="3" t="s">
        <v>25254</v>
      </c>
    </row>
    <row r="2572" spans="1:59" ht="57" x14ac:dyDescent="0.45">
      <c r="A2572" s="2" t="s">
        <v>59</v>
      </c>
      <c r="B2572" s="2" t="s">
        <v>60</v>
      </c>
      <c r="C2572" s="2" t="s">
        <v>25255</v>
      </c>
      <c r="D2572" s="2" t="s">
        <v>25256</v>
      </c>
      <c r="E2572" s="2" t="s">
        <v>25257</v>
      </c>
      <c r="G2572" s="3" t="s">
        <v>62</v>
      </c>
      <c r="I2572" s="3" t="s">
        <v>62</v>
      </c>
      <c r="J2572" s="3" t="s">
        <v>62</v>
      </c>
      <c r="K2572" s="3" t="s">
        <v>63</v>
      </c>
      <c r="L2572" s="2" t="s">
        <v>13449</v>
      </c>
      <c r="M2572" s="2" t="s">
        <v>22960</v>
      </c>
      <c r="N2572" s="3" t="s">
        <v>1604</v>
      </c>
      <c r="P2572" s="3" t="s">
        <v>65</v>
      </c>
      <c r="R2572" s="3" t="s">
        <v>66</v>
      </c>
      <c r="S2572" s="4">
        <v>28</v>
      </c>
      <c r="T2572" s="4">
        <v>28</v>
      </c>
      <c r="U2572" s="5" t="s">
        <v>25258</v>
      </c>
      <c r="V2572" s="5" t="s">
        <v>25258</v>
      </c>
      <c r="W2572" s="5" t="s">
        <v>67</v>
      </c>
      <c r="X2572" s="5" t="s">
        <v>67</v>
      </c>
      <c r="Y2572" s="4">
        <v>356</v>
      </c>
      <c r="Z2572" s="4">
        <v>20</v>
      </c>
      <c r="AA2572" s="4">
        <v>22</v>
      </c>
      <c r="AB2572" s="4">
        <v>2</v>
      </c>
      <c r="AC2572" s="4">
        <v>4</v>
      </c>
      <c r="AD2572" s="4">
        <v>116</v>
      </c>
      <c r="AE2572" s="4">
        <v>118</v>
      </c>
      <c r="AF2572" s="4">
        <v>1</v>
      </c>
      <c r="AG2572" s="4">
        <v>3</v>
      </c>
      <c r="AH2572" s="4">
        <v>106</v>
      </c>
      <c r="AI2572" s="4">
        <v>107</v>
      </c>
      <c r="AJ2572" s="4">
        <v>13</v>
      </c>
      <c r="AK2572" s="4">
        <v>15</v>
      </c>
      <c r="AL2572" s="4">
        <v>54</v>
      </c>
      <c r="AM2572" s="4">
        <v>54</v>
      </c>
      <c r="AN2572" s="4">
        <v>0</v>
      </c>
      <c r="AO2572" s="4">
        <v>0</v>
      </c>
      <c r="AP2572" s="4">
        <v>18</v>
      </c>
      <c r="AQ2572" s="4">
        <v>20</v>
      </c>
      <c r="AR2572" s="3" t="s">
        <v>62</v>
      </c>
      <c r="AS2572" s="3" t="s">
        <v>62</v>
      </c>
      <c r="AT2572" s="3" t="s">
        <v>61</v>
      </c>
      <c r="AU2572" s="6" t="str">
        <f>HYPERLINK("http://catalog.hathitrust.org/Record/002886352","HathiTrust Record")</f>
        <v>HathiTrust Record</v>
      </c>
      <c r="AV2572" s="6" t="str">
        <f>HYPERLINK("http://mcgill.on.worldcat.org/oclc/28853829","Catalog Record")</f>
        <v>Catalog Record</v>
      </c>
      <c r="AW2572" s="6" t="str">
        <f>HYPERLINK("http://www.worldcat.org/oclc/28853829","WorldCat Record")</f>
        <v>WorldCat Record</v>
      </c>
      <c r="AX2572" s="3" t="s">
        <v>25259</v>
      </c>
      <c r="AY2572" s="3" t="s">
        <v>25260</v>
      </c>
      <c r="AZ2572" s="3" t="s">
        <v>25261</v>
      </c>
      <c r="BA2572" s="3" t="s">
        <v>25261</v>
      </c>
      <c r="BB2572" s="3" t="s">
        <v>25262</v>
      </c>
      <c r="BC2572" s="3" t="s">
        <v>142</v>
      </c>
      <c r="BD2572" s="3" t="s">
        <v>68</v>
      </c>
      <c r="BE2572" s="3" t="s">
        <v>25263</v>
      </c>
      <c r="BF2572" s="3" t="s">
        <v>25262</v>
      </c>
      <c r="BG2572" s="3" t="s">
        <v>25264</v>
      </c>
    </row>
    <row r="2573" spans="1:59" ht="57" x14ac:dyDescent="0.45">
      <c r="A2573" s="2" t="s">
        <v>59</v>
      </c>
      <c r="B2573" s="2" t="s">
        <v>60</v>
      </c>
      <c r="C2573" s="2" t="s">
        <v>25265</v>
      </c>
      <c r="D2573" s="2" t="s">
        <v>25266</v>
      </c>
      <c r="E2573" s="2" t="s">
        <v>25267</v>
      </c>
      <c r="G2573" s="3" t="s">
        <v>62</v>
      </c>
      <c r="I2573" s="3" t="s">
        <v>62</v>
      </c>
      <c r="J2573" s="3" t="s">
        <v>62</v>
      </c>
      <c r="K2573" s="3" t="s">
        <v>63</v>
      </c>
      <c r="L2573" s="2" t="s">
        <v>25268</v>
      </c>
      <c r="M2573" s="2" t="s">
        <v>25269</v>
      </c>
      <c r="N2573" s="3" t="s">
        <v>970</v>
      </c>
      <c r="P2573" s="3" t="s">
        <v>65</v>
      </c>
      <c r="Q2573" s="2" t="s">
        <v>13123</v>
      </c>
      <c r="R2573" s="3" t="s">
        <v>66</v>
      </c>
      <c r="S2573" s="4">
        <v>31</v>
      </c>
      <c r="T2573" s="4">
        <v>31</v>
      </c>
      <c r="U2573" s="5" t="s">
        <v>11794</v>
      </c>
      <c r="V2573" s="5" t="s">
        <v>11794</v>
      </c>
      <c r="W2573" s="5" t="s">
        <v>67</v>
      </c>
      <c r="X2573" s="5" t="s">
        <v>67</v>
      </c>
      <c r="Y2573" s="4">
        <v>314</v>
      </c>
      <c r="Z2573" s="4">
        <v>25</v>
      </c>
      <c r="AA2573" s="4">
        <v>31</v>
      </c>
      <c r="AB2573" s="4">
        <v>3</v>
      </c>
      <c r="AC2573" s="4">
        <v>8</v>
      </c>
      <c r="AD2573" s="4">
        <v>97</v>
      </c>
      <c r="AE2573" s="4">
        <v>101</v>
      </c>
      <c r="AF2573" s="4">
        <v>1</v>
      </c>
      <c r="AG2573" s="4">
        <v>4</v>
      </c>
      <c r="AH2573" s="4">
        <v>84</v>
      </c>
      <c r="AI2573" s="4">
        <v>86</v>
      </c>
      <c r="AJ2573" s="4">
        <v>15</v>
      </c>
      <c r="AK2573" s="4">
        <v>18</v>
      </c>
      <c r="AL2573" s="4">
        <v>45</v>
      </c>
      <c r="AM2573" s="4">
        <v>45</v>
      </c>
      <c r="AN2573" s="4">
        <v>0</v>
      </c>
      <c r="AO2573" s="4">
        <v>0</v>
      </c>
      <c r="AP2573" s="4">
        <v>20</v>
      </c>
      <c r="AQ2573" s="4">
        <v>24</v>
      </c>
      <c r="AR2573" s="3" t="s">
        <v>62</v>
      </c>
      <c r="AS2573" s="3" t="s">
        <v>62</v>
      </c>
      <c r="AT2573" s="3" t="s">
        <v>61</v>
      </c>
      <c r="AU2573" s="6" t="str">
        <f>HYPERLINK("http://catalog.hathitrust.org/Record/004250390","HathiTrust Record")</f>
        <v>HathiTrust Record</v>
      </c>
      <c r="AV2573" s="6" t="str">
        <f>HYPERLINK("http://mcgill.on.worldcat.org/oclc/48544108","Catalog Record")</f>
        <v>Catalog Record</v>
      </c>
      <c r="AW2573" s="6" t="str">
        <f>HYPERLINK("http://www.worldcat.org/oclc/48544108","WorldCat Record")</f>
        <v>WorldCat Record</v>
      </c>
      <c r="AX2573" s="3" t="s">
        <v>25270</v>
      </c>
      <c r="AY2573" s="3" t="s">
        <v>25271</v>
      </c>
      <c r="AZ2573" s="3" t="s">
        <v>25272</v>
      </c>
      <c r="BA2573" s="3" t="s">
        <v>25272</v>
      </c>
      <c r="BB2573" s="3" t="s">
        <v>25273</v>
      </c>
      <c r="BC2573" s="3" t="s">
        <v>142</v>
      </c>
      <c r="BD2573" s="3" t="s">
        <v>68</v>
      </c>
      <c r="BE2573" s="3" t="s">
        <v>25274</v>
      </c>
      <c r="BF2573" s="3" t="s">
        <v>25273</v>
      </c>
      <c r="BG2573" s="3" t="s">
        <v>25275</v>
      </c>
    </row>
    <row r="2574" spans="1:59" ht="57" x14ac:dyDescent="0.45">
      <c r="A2574" s="2" t="s">
        <v>59</v>
      </c>
      <c r="B2574" s="2" t="s">
        <v>60</v>
      </c>
      <c r="C2574" s="2" t="s">
        <v>25276</v>
      </c>
      <c r="D2574" s="2" t="s">
        <v>25277</v>
      </c>
      <c r="E2574" s="2" t="s">
        <v>25278</v>
      </c>
      <c r="G2574" s="3" t="s">
        <v>62</v>
      </c>
      <c r="I2574" s="3" t="s">
        <v>62</v>
      </c>
      <c r="J2574" s="3" t="s">
        <v>62</v>
      </c>
      <c r="K2574" s="3" t="s">
        <v>63</v>
      </c>
      <c r="M2574" s="2" t="s">
        <v>25279</v>
      </c>
      <c r="N2574" s="3" t="s">
        <v>1465</v>
      </c>
      <c r="P2574" s="3" t="s">
        <v>65</v>
      </c>
      <c r="R2574" s="3" t="s">
        <v>66</v>
      </c>
      <c r="S2574" s="4">
        <v>6</v>
      </c>
      <c r="T2574" s="4">
        <v>6</v>
      </c>
      <c r="U2574" s="5" t="s">
        <v>10863</v>
      </c>
      <c r="V2574" s="5" t="s">
        <v>10863</v>
      </c>
      <c r="W2574" s="5" t="s">
        <v>67</v>
      </c>
      <c r="X2574" s="5" t="s">
        <v>67</v>
      </c>
      <c r="Y2574" s="4">
        <v>25</v>
      </c>
      <c r="Z2574" s="4">
        <v>10</v>
      </c>
      <c r="AA2574" s="4">
        <v>10</v>
      </c>
      <c r="AB2574" s="4">
        <v>2</v>
      </c>
      <c r="AC2574" s="4">
        <v>2</v>
      </c>
      <c r="AD2574" s="4">
        <v>11</v>
      </c>
      <c r="AE2574" s="4">
        <v>11</v>
      </c>
      <c r="AF2574" s="4">
        <v>0</v>
      </c>
      <c r="AG2574" s="4">
        <v>0</v>
      </c>
      <c r="AH2574" s="4">
        <v>7</v>
      </c>
      <c r="AI2574" s="4">
        <v>7</v>
      </c>
      <c r="AJ2574" s="4">
        <v>5</v>
      </c>
      <c r="AK2574" s="4">
        <v>5</v>
      </c>
      <c r="AL2574" s="4">
        <v>2</v>
      </c>
      <c r="AM2574" s="4">
        <v>2</v>
      </c>
      <c r="AN2574" s="4">
        <v>0</v>
      </c>
      <c r="AO2574" s="4">
        <v>0</v>
      </c>
      <c r="AP2574" s="4">
        <v>7</v>
      </c>
      <c r="AQ2574" s="4">
        <v>7</v>
      </c>
      <c r="AR2574" s="3" t="s">
        <v>62</v>
      </c>
      <c r="AS2574" s="3" t="s">
        <v>62</v>
      </c>
      <c r="AT2574" s="3" t="s">
        <v>62</v>
      </c>
      <c r="AV2574" s="6" t="str">
        <f>HYPERLINK("http://mcgill.on.worldcat.org/oclc/403631125","Catalog Record")</f>
        <v>Catalog Record</v>
      </c>
      <c r="AW2574" s="6" t="str">
        <f>HYPERLINK("http://www.worldcat.org/oclc/403631125","WorldCat Record")</f>
        <v>WorldCat Record</v>
      </c>
      <c r="AX2574" s="3" t="s">
        <v>25280</v>
      </c>
      <c r="AY2574" s="3" t="s">
        <v>25281</v>
      </c>
      <c r="AZ2574" s="3" t="s">
        <v>25282</v>
      </c>
      <c r="BA2574" s="3" t="s">
        <v>25282</v>
      </c>
      <c r="BB2574" s="3" t="s">
        <v>25283</v>
      </c>
      <c r="BC2574" s="3" t="s">
        <v>142</v>
      </c>
      <c r="BD2574" s="3" t="s">
        <v>68</v>
      </c>
      <c r="BE2574" s="3" t="s">
        <v>25284</v>
      </c>
      <c r="BF2574" s="3" t="s">
        <v>25283</v>
      </c>
      <c r="BG2574" s="3" t="s">
        <v>25285</v>
      </c>
    </row>
    <row r="2575" spans="1:59" ht="57" x14ac:dyDescent="0.45">
      <c r="A2575" s="2" t="s">
        <v>59</v>
      </c>
      <c r="B2575" s="2" t="s">
        <v>60</v>
      </c>
      <c r="C2575" s="2" t="s">
        <v>25286</v>
      </c>
      <c r="D2575" s="2" t="s">
        <v>25287</v>
      </c>
      <c r="E2575" s="2" t="s">
        <v>25288</v>
      </c>
      <c r="G2575" s="3" t="s">
        <v>62</v>
      </c>
      <c r="I2575" s="3" t="s">
        <v>61</v>
      </c>
      <c r="J2575" s="3" t="s">
        <v>62</v>
      </c>
      <c r="K2575" s="3" t="s">
        <v>63</v>
      </c>
      <c r="L2575" s="2" t="s">
        <v>25289</v>
      </c>
      <c r="M2575" s="2" t="s">
        <v>25290</v>
      </c>
      <c r="N2575" s="3" t="s">
        <v>117</v>
      </c>
      <c r="P2575" s="3" t="s">
        <v>65</v>
      </c>
      <c r="R2575" s="3" t="s">
        <v>66</v>
      </c>
      <c r="S2575" s="4">
        <v>12</v>
      </c>
      <c r="T2575" s="4">
        <v>38</v>
      </c>
      <c r="U2575" s="5" t="s">
        <v>25291</v>
      </c>
      <c r="V2575" s="5" t="s">
        <v>25292</v>
      </c>
      <c r="W2575" s="5" t="s">
        <v>67</v>
      </c>
      <c r="X2575" s="5" t="s">
        <v>67</v>
      </c>
      <c r="Y2575" s="4">
        <v>697</v>
      </c>
      <c r="Z2575" s="4">
        <v>27</v>
      </c>
      <c r="AA2575" s="4">
        <v>47</v>
      </c>
      <c r="AB2575" s="4">
        <v>2</v>
      </c>
      <c r="AC2575" s="4">
        <v>7</v>
      </c>
      <c r="AD2575" s="4">
        <v>111</v>
      </c>
      <c r="AE2575" s="4">
        <v>135</v>
      </c>
      <c r="AF2575" s="4">
        <v>0</v>
      </c>
      <c r="AG2575" s="4">
        <v>4</v>
      </c>
      <c r="AH2575" s="4">
        <v>91</v>
      </c>
      <c r="AI2575" s="4">
        <v>108</v>
      </c>
      <c r="AJ2575" s="4">
        <v>13</v>
      </c>
      <c r="AK2575" s="4">
        <v>24</v>
      </c>
      <c r="AL2575" s="4">
        <v>50</v>
      </c>
      <c r="AM2575" s="4">
        <v>58</v>
      </c>
      <c r="AN2575" s="4">
        <v>0</v>
      </c>
      <c r="AO2575" s="4">
        <v>2</v>
      </c>
      <c r="AP2575" s="4">
        <v>23</v>
      </c>
      <c r="AQ2575" s="4">
        <v>35</v>
      </c>
      <c r="AR2575" s="3" t="s">
        <v>62</v>
      </c>
      <c r="AS2575" s="3" t="s">
        <v>62</v>
      </c>
      <c r="AT2575" s="3" t="s">
        <v>61</v>
      </c>
      <c r="AU2575" s="6" t="str">
        <f>HYPERLINK("http://catalog.hathitrust.org/Record/000265260","HathiTrust Record")</f>
        <v>HathiTrust Record</v>
      </c>
      <c r="AV2575" s="6" t="str">
        <f>HYPERLINK("http://mcgill.on.worldcat.org/oclc/6588463","Catalog Record")</f>
        <v>Catalog Record</v>
      </c>
      <c r="AW2575" s="6" t="str">
        <f>HYPERLINK("http://www.worldcat.org/oclc/6588463","WorldCat Record")</f>
        <v>WorldCat Record</v>
      </c>
      <c r="AX2575" s="3" t="s">
        <v>25293</v>
      </c>
      <c r="AY2575" s="3" t="s">
        <v>25294</v>
      </c>
      <c r="AZ2575" s="3" t="s">
        <v>25295</v>
      </c>
      <c r="BA2575" s="3" t="s">
        <v>25295</v>
      </c>
      <c r="BB2575" s="3" t="s">
        <v>25296</v>
      </c>
      <c r="BC2575" s="3" t="s">
        <v>142</v>
      </c>
      <c r="BD2575" s="3" t="s">
        <v>68</v>
      </c>
      <c r="BE2575" s="3" t="s">
        <v>25297</v>
      </c>
      <c r="BF2575" s="3" t="s">
        <v>25296</v>
      </c>
      <c r="BG2575" s="3" t="s">
        <v>25298</v>
      </c>
    </row>
    <row r="2576" spans="1:59" ht="57" x14ac:dyDescent="0.45">
      <c r="A2576" s="2" t="s">
        <v>59</v>
      </c>
      <c r="B2576" s="2" t="s">
        <v>60</v>
      </c>
      <c r="C2576" s="2" t="s">
        <v>25286</v>
      </c>
      <c r="D2576" s="2" t="s">
        <v>25287</v>
      </c>
      <c r="E2576" s="2" t="s">
        <v>25288</v>
      </c>
      <c r="G2576" s="3" t="s">
        <v>62</v>
      </c>
      <c r="I2576" s="3" t="s">
        <v>61</v>
      </c>
      <c r="J2576" s="3" t="s">
        <v>62</v>
      </c>
      <c r="K2576" s="3" t="s">
        <v>63</v>
      </c>
      <c r="L2576" s="2" t="s">
        <v>25289</v>
      </c>
      <c r="M2576" s="2" t="s">
        <v>25290</v>
      </c>
      <c r="N2576" s="3" t="s">
        <v>117</v>
      </c>
      <c r="P2576" s="3" t="s">
        <v>65</v>
      </c>
      <c r="R2576" s="3" t="s">
        <v>66</v>
      </c>
      <c r="S2576" s="4">
        <v>22</v>
      </c>
      <c r="T2576" s="4">
        <v>38</v>
      </c>
      <c r="U2576" s="5" t="s">
        <v>25292</v>
      </c>
      <c r="V2576" s="5" t="s">
        <v>25292</v>
      </c>
      <c r="W2576" s="5" t="s">
        <v>67</v>
      </c>
      <c r="X2576" s="5" t="s">
        <v>67</v>
      </c>
      <c r="Y2576" s="4">
        <v>697</v>
      </c>
      <c r="Z2576" s="4">
        <v>27</v>
      </c>
      <c r="AA2576" s="4">
        <v>47</v>
      </c>
      <c r="AB2576" s="4">
        <v>2</v>
      </c>
      <c r="AC2576" s="4">
        <v>7</v>
      </c>
      <c r="AD2576" s="4">
        <v>111</v>
      </c>
      <c r="AE2576" s="4">
        <v>135</v>
      </c>
      <c r="AF2576" s="4">
        <v>0</v>
      </c>
      <c r="AG2576" s="4">
        <v>4</v>
      </c>
      <c r="AH2576" s="4">
        <v>91</v>
      </c>
      <c r="AI2576" s="4">
        <v>108</v>
      </c>
      <c r="AJ2576" s="4">
        <v>13</v>
      </c>
      <c r="AK2576" s="4">
        <v>24</v>
      </c>
      <c r="AL2576" s="4">
        <v>50</v>
      </c>
      <c r="AM2576" s="4">
        <v>58</v>
      </c>
      <c r="AN2576" s="4">
        <v>0</v>
      </c>
      <c r="AO2576" s="4">
        <v>2</v>
      </c>
      <c r="AP2576" s="4">
        <v>23</v>
      </c>
      <c r="AQ2576" s="4">
        <v>35</v>
      </c>
      <c r="AR2576" s="3" t="s">
        <v>62</v>
      </c>
      <c r="AS2576" s="3" t="s">
        <v>62</v>
      </c>
      <c r="AT2576" s="3" t="s">
        <v>61</v>
      </c>
      <c r="AU2576" s="6" t="str">
        <f>HYPERLINK("http://catalog.hathitrust.org/Record/000265260","HathiTrust Record")</f>
        <v>HathiTrust Record</v>
      </c>
      <c r="AV2576" s="6" t="str">
        <f>HYPERLINK("http://mcgill.on.worldcat.org/oclc/6588463","Catalog Record")</f>
        <v>Catalog Record</v>
      </c>
      <c r="AW2576" s="6" t="str">
        <f>HYPERLINK("http://www.worldcat.org/oclc/6588463","WorldCat Record")</f>
        <v>WorldCat Record</v>
      </c>
      <c r="AX2576" s="3" t="s">
        <v>25293</v>
      </c>
      <c r="AY2576" s="3" t="s">
        <v>25294</v>
      </c>
      <c r="AZ2576" s="3" t="s">
        <v>25295</v>
      </c>
      <c r="BA2576" s="3" t="s">
        <v>25295</v>
      </c>
      <c r="BB2576" s="3" t="s">
        <v>25299</v>
      </c>
      <c r="BC2576" s="3" t="s">
        <v>142</v>
      </c>
      <c r="BD2576" s="3" t="s">
        <v>68</v>
      </c>
      <c r="BE2576" s="3" t="s">
        <v>25297</v>
      </c>
      <c r="BF2576" s="3" t="s">
        <v>25299</v>
      </c>
      <c r="BG2576" s="3" t="s">
        <v>25300</v>
      </c>
    </row>
    <row r="2577" spans="1:59" ht="57" x14ac:dyDescent="0.45">
      <c r="A2577" s="2" t="s">
        <v>59</v>
      </c>
      <c r="B2577" s="2" t="s">
        <v>60</v>
      </c>
      <c r="C2577" s="2" t="s">
        <v>25286</v>
      </c>
      <c r="D2577" s="2" t="s">
        <v>25287</v>
      </c>
      <c r="E2577" s="2" t="s">
        <v>25288</v>
      </c>
      <c r="G2577" s="3" t="s">
        <v>62</v>
      </c>
      <c r="I2577" s="3" t="s">
        <v>61</v>
      </c>
      <c r="J2577" s="3" t="s">
        <v>62</v>
      </c>
      <c r="K2577" s="3" t="s">
        <v>63</v>
      </c>
      <c r="L2577" s="2" t="s">
        <v>25289</v>
      </c>
      <c r="M2577" s="2" t="s">
        <v>25290</v>
      </c>
      <c r="N2577" s="3" t="s">
        <v>117</v>
      </c>
      <c r="P2577" s="3" t="s">
        <v>65</v>
      </c>
      <c r="R2577" s="3" t="s">
        <v>66</v>
      </c>
      <c r="S2577" s="4">
        <v>4</v>
      </c>
      <c r="T2577" s="4">
        <v>38</v>
      </c>
      <c r="U2577" s="5" t="s">
        <v>25301</v>
      </c>
      <c r="V2577" s="5" t="s">
        <v>25292</v>
      </c>
      <c r="W2577" s="5" t="s">
        <v>67</v>
      </c>
      <c r="X2577" s="5" t="s">
        <v>67</v>
      </c>
      <c r="Y2577" s="4">
        <v>697</v>
      </c>
      <c r="Z2577" s="4">
        <v>27</v>
      </c>
      <c r="AA2577" s="4">
        <v>47</v>
      </c>
      <c r="AB2577" s="4">
        <v>2</v>
      </c>
      <c r="AC2577" s="4">
        <v>7</v>
      </c>
      <c r="AD2577" s="4">
        <v>111</v>
      </c>
      <c r="AE2577" s="4">
        <v>135</v>
      </c>
      <c r="AF2577" s="4">
        <v>0</v>
      </c>
      <c r="AG2577" s="4">
        <v>4</v>
      </c>
      <c r="AH2577" s="4">
        <v>91</v>
      </c>
      <c r="AI2577" s="4">
        <v>108</v>
      </c>
      <c r="AJ2577" s="4">
        <v>13</v>
      </c>
      <c r="AK2577" s="4">
        <v>24</v>
      </c>
      <c r="AL2577" s="4">
        <v>50</v>
      </c>
      <c r="AM2577" s="4">
        <v>58</v>
      </c>
      <c r="AN2577" s="4">
        <v>0</v>
      </c>
      <c r="AO2577" s="4">
        <v>2</v>
      </c>
      <c r="AP2577" s="4">
        <v>23</v>
      </c>
      <c r="AQ2577" s="4">
        <v>35</v>
      </c>
      <c r="AR2577" s="3" t="s">
        <v>62</v>
      </c>
      <c r="AS2577" s="3" t="s">
        <v>62</v>
      </c>
      <c r="AT2577" s="3" t="s">
        <v>61</v>
      </c>
      <c r="AU2577" s="6" t="str">
        <f>HYPERLINK("http://catalog.hathitrust.org/Record/000265260","HathiTrust Record")</f>
        <v>HathiTrust Record</v>
      </c>
      <c r="AV2577" s="6" t="str">
        <f>HYPERLINK("http://mcgill.on.worldcat.org/oclc/6588463","Catalog Record")</f>
        <v>Catalog Record</v>
      </c>
      <c r="AW2577" s="6" t="str">
        <f>HYPERLINK("http://www.worldcat.org/oclc/6588463","WorldCat Record")</f>
        <v>WorldCat Record</v>
      </c>
      <c r="AX2577" s="3" t="s">
        <v>25293</v>
      </c>
      <c r="AY2577" s="3" t="s">
        <v>25294</v>
      </c>
      <c r="AZ2577" s="3" t="s">
        <v>25295</v>
      </c>
      <c r="BA2577" s="3" t="s">
        <v>25295</v>
      </c>
      <c r="BB2577" s="3" t="s">
        <v>25302</v>
      </c>
      <c r="BC2577" s="3" t="s">
        <v>142</v>
      </c>
      <c r="BD2577" s="3" t="s">
        <v>68</v>
      </c>
      <c r="BE2577" s="3" t="s">
        <v>25297</v>
      </c>
      <c r="BF2577" s="3" t="s">
        <v>25302</v>
      </c>
      <c r="BG2577" s="3" t="s">
        <v>25303</v>
      </c>
    </row>
    <row r="2578" spans="1:59" ht="57" x14ac:dyDescent="0.45">
      <c r="A2578" s="2" t="s">
        <v>59</v>
      </c>
      <c r="B2578" s="2" t="s">
        <v>60</v>
      </c>
      <c r="C2578" s="2" t="s">
        <v>25304</v>
      </c>
      <c r="D2578" s="2" t="s">
        <v>25305</v>
      </c>
      <c r="E2578" s="2" t="s">
        <v>25306</v>
      </c>
      <c r="G2578" s="3" t="s">
        <v>62</v>
      </c>
      <c r="I2578" s="3" t="s">
        <v>62</v>
      </c>
      <c r="J2578" s="3" t="s">
        <v>61</v>
      </c>
      <c r="K2578" s="3" t="s">
        <v>63</v>
      </c>
      <c r="L2578" s="2" t="s">
        <v>25307</v>
      </c>
      <c r="M2578" s="2" t="s">
        <v>25308</v>
      </c>
      <c r="N2578" s="3" t="s">
        <v>149</v>
      </c>
      <c r="P2578" s="3" t="s">
        <v>65</v>
      </c>
      <c r="Q2578" s="2" t="s">
        <v>25309</v>
      </c>
      <c r="R2578" s="3" t="s">
        <v>66</v>
      </c>
      <c r="S2578" s="4">
        <v>1</v>
      </c>
      <c r="T2578" s="4">
        <v>1</v>
      </c>
      <c r="U2578" s="5" t="s">
        <v>25310</v>
      </c>
      <c r="V2578" s="5" t="s">
        <v>25310</v>
      </c>
      <c r="W2578" s="5" t="s">
        <v>67</v>
      </c>
      <c r="X2578" s="5" t="s">
        <v>67</v>
      </c>
      <c r="Y2578" s="4">
        <v>112</v>
      </c>
      <c r="Z2578" s="4">
        <v>9</v>
      </c>
      <c r="AA2578" s="4">
        <v>95</v>
      </c>
      <c r="AB2578" s="4">
        <v>1</v>
      </c>
      <c r="AC2578" s="4">
        <v>13</v>
      </c>
      <c r="AD2578" s="4">
        <v>32</v>
      </c>
      <c r="AE2578" s="4">
        <v>120</v>
      </c>
      <c r="AF2578" s="4">
        <v>0</v>
      </c>
      <c r="AG2578" s="4">
        <v>7</v>
      </c>
      <c r="AH2578" s="4">
        <v>32</v>
      </c>
      <c r="AI2578" s="4">
        <v>88</v>
      </c>
      <c r="AJ2578" s="4">
        <v>5</v>
      </c>
      <c r="AK2578" s="4">
        <v>23</v>
      </c>
      <c r="AL2578" s="4">
        <v>19</v>
      </c>
      <c r="AM2578" s="4">
        <v>39</v>
      </c>
      <c r="AN2578" s="4">
        <v>0</v>
      </c>
      <c r="AO2578" s="4">
        <v>0</v>
      </c>
      <c r="AP2578" s="4">
        <v>5</v>
      </c>
      <c r="AQ2578" s="4">
        <v>41</v>
      </c>
      <c r="AR2578" s="3" t="s">
        <v>62</v>
      </c>
      <c r="AS2578" s="3" t="s">
        <v>62</v>
      </c>
      <c r="AT2578" s="3" t="s">
        <v>62</v>
      </c>
      <c r="AV2578" s="6" t="str">
        <f>HYPERLINK("http://mcgill.on.worldcat.org/oclc/624419600","Catalog Record")</f>
        <v>Catalog Record</v>
      </c>
      <c r="AW2578" s="6" t="str">
        <f>HYPERLINK("http://www.worldcat.org/oclc/624419600","WorldCat Record")</f>
        <v>WorldCat Record</v>
      </c>
      <c r="AX2578" s="3" t="s">
        <v>25311</v>
      </c>
      <c r="AY2578" s="3" t="s">
        <v>25312</v>
      </c>
      <c r="AZ2578" s="3" t="s">
        <v>25313</v>
      </c>
      <c r="BA2578" s="3" t="s">
        <v>25313</v>
      </c>
      <c r="BB2578" s="3" t="s">
        <v>25314</v>
      </c>
      <c r="BC2578" s="3" t="s">
        <v>142</v>
      </c>
      <c r="BD2578" s="3" t="s">
        <v>68</v>
      </c>
      <c r="BE2578" s="3" t="s">
        <v>25315</v>
      </c>
      <c r="BF2578" s="3" t="s">
        <v>25314</v>
      </c>
      <c r="BG2578" s="3" t="s">
        <v>25316</v>
      </c>
    </row>
    <row r="2579" spans="1:59" ht="57" x14ac:dyDescent="0.45">
      <c r="A2579" s="2" t="s">
        <v>59</v>
      </c>
      <c r="B2579" s="2" t="s">
        <v>60</v>
      </c>
      <c r="C2579" s="2" t="s">
        <v>25317</v>
      </c>
      <c r="D2579" s="2" t="s">
        <v>25318</v>
      </c>
      <c r="E2579" s="2" t="s">
        <v>25319</v>
      </c>
      <c r="G2579" s="3" t="s">
        <v>62</v>
      </c>
      <c r="I2579" s="3" t="s">
        <v>62</v>
      </c>
      <c r="J2579" s="3" t="s">
        <v>62</v>
      </c>
      <c r="K2579" s="3" t="s">
        <v>63</v>
      </c>
      <c r="L2579" s="2" t="s">
        <v>25320</v>
      </c>
      <c r="M2579" s="2" t="s">
        <v>25321</v>
      </c>
      <c r="N2579" s="3" t="s">
        <v>1604</v>
      </c>
      <c r="P2579" s="3" t="s">
        <v>65</v>
      </c>
      <c r="R2579" s="3" t="s">
        <v>66</v>
      </c>
      <c r="S2579" s="4">
        <v>23</v>
      </c>
      <c r="T2579" s="4">
        <v>23</v>
      </c>
      <c r="U2579" s="5" t="s">
        <v>6427</v>
      </c>
      <c r="V2579" s="5" t="s">
        <v>6427</v>
      </c>
      <c r="W2579" s="5" t="s">
        <v>67</v>
      </c>
      <c r="X2579" s="5" t="s">
        <v>67</v>
      </c>
      <c r="Y2579" s="4">
        <v>198</v>
      </c>
      <c r="Z2579" s="4">
        <v>11</v>
      </c>
      <c r="AA2579" s="4">
        <v>13</v>
      </c>
      <c r="AB2579" s="4">
        <v>1</v>
      </c>
      <c r="AC2579" s="4">
        <v>2</v>
      </c>
      <c r="AD2579" s="4">
        <v>50</v>
      </c>
      <c r="AE2579" s="4">
        <v>52</v>
      </c>
      <c r="AF2579" s="4">
        <v>0</v>
      </c>
      <c r="AG2579" s="4">
        <v>1</v>
      </c>
      <c r="AH2579" s="4">
        <v>46</v>
      </c>
      <c r="AI2579" s="4">
        <v>46</v>
      </c>
      <c r="AJ2579" s="4">
        <v>8</v>
      </c>
      <c r="AK2579" s="4">
        <v>9</v>
      </c>
      <c r="AL2579" s="4">
        <v>26</v>
      </c>
      <c r="AM2579" s="4">
        <v>26</v>
      </c>
      <c r="AN2579" s="4">
        <v>0</v>
      </c>
      <c r="AO2579" s="4">
        <v>0</v>
      </c>
      <c r="AP2579" s="4">
        <v>9</v>
      </c>
      <c r="AQ2579" s="4">
        <v>10</v>
      </c>
      <c r="AR2579" s="3" t="s">
        <v>62</v>
      </c>
      <c r="AS2579" s="3" t="s">
        <v>62</v>
      </c>
      <c r="AT2579" s="3" t="s">
        <v>61</v>
      </c>
      <c r="AU2579" s="6" t="str">
        <f>HYPERLINK("http://catalog.hathitrust.org/Record/004531551","HathiTrust Record")</f>
        <v>HathiTrust Record</v>
      </c>
      <c r="AV2579" s="6" t="str">
        <f>HYPERLINK("http://mcgill.on.worldcat.org/oclc/28675249","Catalog Record")</f>
        <v>Catalog Record</v>
      </c>
      <c r="AW2579" s="6" t="str">
        <f>HYPERLINK("http://www.worldcat.org/oclc/28675249","WorldCat Record")</f>
        <v>WorldCat Record</v>
      </c>
      <c r="AX2579" s="3" t="s">
        <v>25322</v>
      </c>
      <c r="AY2579" s="3" t="s">
        <v>25323</v>
      </c>
      <c r="AZ2579" s="3" t="s">
        <v>25324</v>
      </c>
      <c r="BA2579" s="3" t="s">
        <v>25324</v>
      </c>
      <c r="BB2579" s="3" t="s">
        <v>25325</v>
      </c>
      <c r="BC2579" s="3" t="s">
        <v>142</v>
      </c>
      <c r="BD2579" s="3" t="s">
        <v>68</v>
      </c>
      <c r="BE2579" s="3" t="s">
        <v>25326</v>
      </c>
      <c r="BF2579" s="3" t="s">
        <v>25325</v>
      </c>
      <c r="BG2579" s="3" t="s">
        <v>25327</v>
      </c>
    </row>
    <row r="2580" spans="1:59" ht="57" x14ac:dyDescent="0.45">
      <c r="A2580" s="2" t="s">
        <v>59</v>
      </c>
      <c r="B2580" s="2" t="s">
        <v>60</v>
      </c>
      <c r="C2580" s="2" t="s">
        <v>25328</v>
      </c>
      <c r="D2580" s="2" t="s">
        <v>25329</v>
      </c>
      <c r="E2580" s="2" t="s">
        <v>25330</v>
      </c>
      <c r="G2580" s="3" t="s">
        <v>62</v>
      </c>
      <c r="I2580" s="3" t="s">
        <v>62</v>
      </c>
      <c r="J2580" s="3" t="s">
        <v>62</v>
      </c>
      <c r="K2580" s="3" t="s">
        <v>63</v>
      </c>
      <c r="L2580" s="2" t="s">
        <v>25331</v>
      </c>
      <c r="M2580" s="2" t="s">
        <v>25332</v>
      </c>
      <c r="N2580" s="3" t="s">
        <v>1253</v>
      </c>
      <c r="P2580" s="3" t="s">
        <v>65</v>
      </c>
      <c r="Q2580" s="2" t="s">
        <v>25333</v>
      </c>
      <c r="R2580" s="3" t="s">
        <v>66</v>
      </c>
      <c r="S2580" s="4">
        <v>15</v>
      </c>
      <c r="T2580" s="4">
        <v>15</v>
      </c>
      <c r="U2580" s="5" t="s">
        <v>25228</v>
      </c>
      <c r="V2580" s="5" t="s">
        <v>25228</v>
      </c>
      <c r="W2580" s="5" t="s">
        <v>67</v>
      </c>
      <c r="X2580" s="5" t="s">
        <v>67</v>
      </c>
      <c r="Y2580" s="4">
        <v>412</v>
      </c>
      <c r="Z2580" s="4">
        <v>34</v>
      </c>
      <c r="AA2580" s="4">
        <v>124</v>
      </c>
      <c r="AB2580" s="4">
        <v>2</v>
      </c>
      <c r="AC2580" s="4">
        <v>22</v>
      </c>
      <c r="AD2580" s="4">
        <v>113</v>
      </c>
      <c r="AE2580" s="4">
        <v>156</v>
      </c>
      <c r="AF2580" s="4">
        <v>1</v>
      </c>
      <c r="AG2580" s="4">
        <v>9</v>
      </c>
      <c r="AH2580" s="4">
        <v>97</v>
      </c>
      <c r="AI2580" s="4">
        <v>108</v>
      </c>
      <c r="AJ2580" s="4">
        <v>18</v>
      </c>
      <c r="AK2580" s="4">
        <v>26</v>
      </c>
      <c r="AL2580" s="4">
        <v>53</v>
      </c>
      <c r="AM2580" s="4">
        <v>56</v>
      </c>
      <c r="AN2580" s="4">
        <v>0</v>
      </c>
      <c r="AO2580" s="4">
        <v>0</v>
      </c>
      <c r="AP2580" s="4">
        <v>25</v>
      </c>
      <c r="AQ2580" s="4">
        <v>56</v>
      </c>
      <c r="AR2580" s="3" t="s">
        <v>62</v>
      </c>
      <c r="AS2580" s="3" t="s">
        <v>62</v>
      </c>
      <c r="AT2580" s="3" t="s">
        <v>61</v>
      </c>
      <c r="AU2580" s="6" t="str">
        <f>HYPERLINK("http://catalog.hathitrust.org/Record/003963114","HathiTrust Record")</f>
        <v>HathiTrust Record</v>
      </c>
      <c r="AV2580" s="6" t="str">
        <f>HYPERLINK("http://mcgill.on.worldcat.org/oclc/36307840","Catalog Record")</f>
        <v>Catalog Record</v>
      </c>
      <c r="AW2580" s="6" t="str">
        <f>HYPERLINK("http://www.worldcat.org/oclc/36307840","WorldCat Record")</f>
        <v>WorldCat Record</v>
      </c>
      <c r="AX2580" s="3" t="s">
        <v>25334</v>
      </c>
      <c r="AY2580" s="3" t="s">
        <v>25335</v>
      </c>
      <c r="AZ2580" s="3" t="s">
        <v>25336</v>
      </c>
      <c r="BA2580" s="3" t="s">
        <v>25336</v>
      </c>
      <c r="BB2580" s="3" t="s">
        <v>25337</v>
      </c>
      <c r="BC2580" s="3" t="s">
        <v>142</v>
      </c>
      <c r="BD2580" s="3" t="s">
        <v>68</v>
      </c>
      <c r="BE2580" s="3" t="s">
        <v>25338</v>
      </c>
      <c r="BF2580" s="3" t="s">
        <v>25337</v>
      </c>
      <c r="BG2580" s="3" t="s">
        <v>25339</v>
      </c>
    </row>
    <row r="2581" spans="1:59" ht="57" x14ac:dyDescent="0.45">
      <c r="A2581" s="2" t="s">
        <v>59</v>
      </c>
      <c r="B2581" s="2" t="s">
        <v>60</v>
      </c>
      <c r="C2581" s="2" t="s">
        <v>25340</v>
      </c>
      <c r="D2581" s="2" t="s">
        <v>25341</v>
      </c>
      <c r="E2581" s="2" t="s">
        <v>25342</v>
      </c>
      <c r="G2581" s="3" t="s">
        <v>62</v>
      </c>
      <c r="I2581" s="3" t="s">
        <v>62</v>
      </c>
      <c r="J2581" s="3" t="s">
        <v>62</v>
      </c>
      <c r="K2581" s="3" t="s">
        <v>63</v>
      </c>
      <c r="L2581" s="2" t="s">
        <v>25343</v>
      </c>
      <c r="M2581" s="2" t="s">
        <v>25344</v>
      </c>
      <c r="N2581" s="3" t="s">
        <v>1212</v>
      </c>
      <c r="P2581" s="3" t="s">
        <v>65</v>
      </c>
      <c r="R2581" s="3" t="s">
        <v>66</v>
      </c>
      <c r="S2581" s="4">
        <v>16</v>
      </c>
      <c r="T2581" s="4">
        <v>16</v>
      </c>
      <c r="U2581" s="5" t="s">
        <v>25228</v>
      </c>
      <c r="V2581" s="5" t="s">
        <v>25228</v>
      </c>
      <c r="W2581" s="5" t="s">
        <v>67</v>
      </c>
      <c r="X2581" s="5" t="s">
        <v>67</v>
      </c>
      <c r="Y2581" s="4">
        <v>158</v>
      </c>
      <c r="Z2581" s="4">
        <v>10</v>
      </c>
      <c r="AA2581" s="4">
        <v>10</v>
      </c>
      <c r="AB2581" s="4">
        <v>2</v>
      </c>
      <c r="AC2581" s="4">
        <v>2</v>
      </c>
      <c r="AD2581" s="4">
        <v>51</v>
      </c>
      <c r="AE2581" s="4">
        <v>51</v>
      </c>
      <c r="AF2581" s="4">
        <v>1</v>
      </c>
      <c r="AG2581" s="4">
        <v>1</v>
      </c>
      <c r="AH2581" s="4">
        <v>47</v>
      </c>
      <c r="AI2581" s="4">
        <v>47</v>
      </c>
      <c r="AJ2581" s="4">
        <v>5</v>
      </c>
      <c r="AK2581" s="4">
        <v>5</v>
      </c>
      <c r="AL2581" s="4">
        <v>23</v>
      </c>
      <c r="AM2581" s="4">
        <v>23</v>
      </c>
      <c r="AN2581" s="4">
        <v>0</v>
      </c>
      <c r="AO2581" s="4">
        <v>0</v>
      </c>
      <c r="AP2581" s="4">
        <v>9</v>
      </c>
      <c r="AQ2581" s="4">
        <v>9</v>
      </c>
      <c r="AR2581" s="3" t="s">
        <v>62</v>
      </c>
      <c r="AS2581" s="3" t="s">
        <v>62</v>
      </c>
      <c r="AT2581" s="3" t="s">
        <v>61</v>
      </c>
      <c r="AU2581" s="6" t="str">
        <f>HYPERLINK("http://catalog.hathitrust.org/Record/004131639","HathiTrust Record")</f>
        <v>HathiTrust Record</v>
      </c>
      <c r="AV2581" s="6" t="str">
        <f>HYPERLINK("http://mcgill.on.worldcat.org/oclc/43417821","Catalog Record")</f>
        <v>Catalog Record</v>
      </c>
      <c r="AW2581" s="6" t="str">
        <f>HYPERLINK("http://www.worldcat.org/oclc/43417821","WorldCat Record")</f>
        <v>WorldCat Record</v>
      </c>
      <c r="AX2581" s="3" t="s">
        <v>25345</v>
      </c>
      <c r="AY2581" s="3" t="s">
        <v>25346</v>
      </c>
      <c r="AZ2581" s="3" t="s">
        <v>25347</v>
      </c>
      <c r="BA2581" s="3" t="s">
        <v>25347</v>
      </c>
      <c r="BB2581" s="3" t="s">
        <v>25348</v>
      </c>
      <c r="BC2581" s="3" t="s">
        <v>142</v>
      </c>
      <c r="BD2581" s="3" t="s">
        <v>68</v>
      </c>
      <c r="BE2581" s="3" t="s">
        <v>25349</v>
      </c>
      <c r="BF2581" s="3" t="s">
        <v>25348</v>
      </c>
      <c r="BG2581" s="3" t="s">
        <v>25350</v>
      </c>
    </row>
    <row r="2582" spans="1:59" ht="57" x14ac:dyDescent="0.45">
      <c r="A2582" s="2" t="s">
        <v>59</v>
      </c>
      <c r="B2582" s="2" t="s">
        <v>60</v>
      </c>
      <c r="C2582" s="2" t="s">
        <v>25351</v>
      </c>
      <c r="D2582" s="2" t="s">
        <v>25352</v>
      </c>
      <c r="E2582" s="2" t="s">
        <v>25353</v>
      </c>
      <c r="G2582" s="3" t="s">
        <v>62</v>
      </c>
      <c r="I2582" s="3" t="s">
        <v>62</v>
      </c>
      <c r="J2582" s="3" t="s">
        <v>62</v>
      </c>
      <c r="K2582" s="3" t="s">
        <v>63</v>
      </c>
      <c r="M2582" s="2" t="s">
        <v>4047</v>
      </c>
      <c r="N2582" s="3" t="s">
        <v>945</v>
      </c>
      <c r="P2582" s="3" t="s">
        <v>65</v>
      </c>
      <c r="Q2582" s="2" t="s">
        <v>12823</v>
      </c>
      <c r="R2582" s="3" t="s">
        <v>66</v>
      </c>
      <c r="S2582" s="4">
        <v>18</v>
      </c>
      <c r="T2582" s="4">
        <v>18</v>
      </c>
      <c r="U2582" s="5" t="s">
        <v>25354</v>
      </c>
      <c r="V2582" s="5" t="s">
        <v>25354</v>
      </c>
      <c r="W2582" s="5" t="s">
        <v>67</v>
      </c>
      <c r="X2582" s="5" t="s">
        <v>67</v>
      </c>
      <c r="Y2582" s="4">
        <v>269</v>
      </c>
      <c r="Z2582" s="4">
        <v>23</v>
      </c>
      <c r="AA2582" s="4">
        <v>66</v>
      </c>
      <c r="AB2582" s="4">
        <v>2</v>
      </c>
      <c r="AC2582" s="4">
        <v>17</v>
      </c>
      <c r="AD2582" s="4">
        <v>90</v>
      </c>
      <c r="AE2582" s="4">
        <v>129</v>
      </c>
      <c r="AF2582" s="4">
        <v>1</v>
      </c>
      <c r="AG2582" s="4">
        <v>8</v>
      </c>
      <c r="AH2582" s="4">
        <v>81</v>
      </c>
      <c r="AI2582" s="4">
        <v>90</v>
      </c>
      <c r="AJ2582" s="4">
        <v>14</v>
      </c>
      <c r="AK2582" s="4">
        <v>25</v>
      </c>
      <c r="AL2582" s="4">
        <v>45</v>
      </c>
      <c r="AM2582" s="4">
        <v>46</v>
      </c>
      <c r="AN2582" s="4">
        <v>0</v>
      </c>
      <c r="AO2582" s="4">
        <v>0</v>
      </c>
      <c r="AP2582" s="4">
        <v>17</v>
      </c>
      <c r="AQ2582" s="4">
        <v>49</v>
      </c>
      <c r="AR2582" s="3" t="s">
        <v>62</v>
      </c>
      <c r="AS2582" s="3" t="s">
        <v>62</v>
      </c>
      <c r="AT2582" s="3" t="s">
        <v>61</v>
      </c>
      <c r="AU2582" s="6" t="str">
        <f>HYPERLINK("http://catalog.hathitrust.org/Record/005417507","HathiTrust Record")</f>
        <v>HathiTrust Record</v>
      </c>
      <c r="AV2582" s="6" t="str">
        <f>HYPERLINK("http://mcgill.on.worldcat.org/oclc/69680059","Catalog Record")</f>
        <v>Catalog Record</v>
      </c>
      <c r="AW2582" s="6" t="str">
        <f>HYPERLINK("http://www.worldcat.org/oclc/69680059","WorldCat Record")</f>
        <v>WorldCat Record</v>
      </c>
      <c r="AX2582" s="3" t="s">
        <v>25355</v>
      </c>
      <c r="AY2582" s="3" t="s">
        <v>25356</v>
      </c>
      <c r="AZ2582" s="3" t="s">
        <v>25357</v>
      </c>
      <c r="BA2582" s="3" t="s">
        <v>25357</v>
      </c>
      <c r="BB2582" s="3" t="s">
        <v>25358</v>
      </c>
      <c r="BC2582" s="3" t="s">
        <v>142</v>
      </c>
      <c r="BD2582" s="3" t="s">
        <v>68</v>
      </c>
      <c r="BE2582" s="3" t="s">
        <v>25359</v>
      </c>
      <c r="BF2582" s="3" t="s">
        <v>25358</v>
      </c>
      <c r="BG2582" s="3" t="s">
        <v>25360</v>
      </c>
    </row>
    <row r="2583" spans="1:59" ht="57" x14ac:dyDescent="0.45">
      <c r="A2583" s="2" t="s">
        <v>59</v>
      </c>
      <c r="B2583" s="2" t="s">
        <v>60</v>
      </c>
      <c r="C2583" s="2" t="s">
        <v>25361</v>
      </c>
      <c r="D2583" s="2" t="s">
        <v>25362</v>
      </c>
      <c r="E2583" s="2" t="s">
        <v>25363</v>
      </c>
      <c r="G2583" s="3" t="s">
        <v>62</v>
      </c>
      <c r="I2583" s="3" t="s">
        <v>62</v>
      </c>
      <c r="J2583" s="3" t="s">
        <v>62</v>
      </c>
      <c r="K2583" s="3" t="s">
        <v>63</v>
      </c>
      <c r="L2583" s="2" t="s">
        <v>25364</v>
      </c>
      <c r="M2583" s="2" t="s">
        <v>25365</v>
      </c>
      <c r="N2583" s="3" t="s">
        <v>1688</v>
      </c>
      <c r="P2583" s="3" t="s">
        <v>65</v>
      </c>
      <c r="R2583" s="3" t="s">
        <v>66</v>
      </c>
      <c r="S2583" s="4">
        <v>1</v>
      </c>
      <c r="T2583" s="4">
        <v>1</v>
      </c>
      <c r="U2583" s="5" t="s">
        <v>1584</v>
      </c>
      <c r="V2583" s="5" t="s">
        <v>1584</v>
      </c>
      <c r="W2583" s="5" t="s">
        <v>67</v>
      </c>
      <c r="X2583" s="5" t="s">
        <v>67</v>
      </c>
      <c r="Y2583" s="4">
        <v>140</v>
      </c>
      <c r="Z2583" s="4">
        <v>20</v>
      </c>
      <c r="AA2583" s="4">
        <v>27</v>
      </c>
      <c r="AB2583" s="4">
        <v>2</v>
      </c>
      <c r="AC2583" s="4">
        <v>7</v>
      </c>
      <c r="AD2583" s="4">
        <v>53</v>
      </c>
      <c r="AE2583" s="4">
        <v>62</v>
      </c>
      <c r="AF2583" s="4">
        <v>1</v>
      </c>
      <c r="AG2583" s="4">
        <v>3</v>
      </c>
      <c r="AH2583" s="4">
        <v>45</v>
      </c>
      <c r="AI2583" s="4">
        <v>51</v>
      </c>
      <c r="AJ2583" s="4">
        <v>12</v>
      </c>
      <c r="AK2583" s="4">
        <v>15</v>
      </c>
      <c r="AL2583" s="4">
        <v>28</v>
      </c>
      <c r="AM2583" s="4">
        <v>32</v>
      </c>
      <c r="AN2583" s="4">
        <v>0</v>
      </c>
      <c r="AO2583" s="4">
        <v>0</v>
      </c>
      <c r="AP2583" s="4">
        <v>15</v>
      </c>
      <c r="AQ2583" s="4">
        <v>18</v>
      </c>
      <c r="AR2583" s="3" t="s">
        <v>62</v>
      </c>
      <c r="AS2583" s="3" t="s">
        <v>62</v>
      </c>
      <c r="AT2583" s="3" t="s">
        <v>62</v>
      </c>
      <c r="AV2583" s="6" t="str">
        <f>HYPERLINK("http://mcgill.on.worldcat.org/oclc/881520652","Catalog Record")</f>
        <v>Catalog Record</v>
      </c>
      <c r="AW2583" s="6" t="str">
        <f>HYPERLINK("http://www.worldcat.org/oclc/881520652","WorldCat Record")</f>
        <v>WorldCat Record</v>
      </c>
      <c r="AX2583" s="3" t="s">
        <v>25366</v>
      </c>
      <c r="AY2583" s="3" t="s">
        <v>25367</v>
      </c>
      <c r="AZ2583" s="3" t="s">
        <v>25368</v>
      </c>
      <c r="BA2583" s="3" t="s">
        <v>25368</v>
      </c>
      <c r="BB2583" s="3" t="s">
        <v>25369</v>
      </c>
      <c r="BC2583" s="3" t="s">
        <v>142</v>
      </c>
      <c r="BD2583" s="3" t="s">
        <v>68</v>
      </c>
      <c r="BE2583" s="3" t="s">
        <v>25370</v>
      </c>
      <c r="BF2583" s="3" t="s">
        <v>25369</v>
      </c>
      <c r="BG2583" s="3" t="s">
        <v>25371</v>
      </c>
    </row>
    <row r="2584" spans="1:59" ht="57" x14ac:dyDescent="0.45">
      <c r="A2584" s="2" t="s">
        <v>59</v>
      </c>
      <c r="B2584" s="2" t="s">
        <v>60</v>
      </c>
      <c r="C2584" s="2" t="s">
        <v>25372</v>
      </c>
      <c r="D2584" s="2" t="s">
        <v>25373</v>
      </c>
      <c r="E2584" s="2" t="s">
        <v>25374</v>
      </c>
      <c r="G2584" s="3" t="s">
        <v>62</v>
      </c>
      <c r="I2584" s="3" t="s">
        <v>62</v>
      </c>
      <c r="J2584" s="3" t="s">
        <v>62</v>
      </c>
      <c r="K2584" s="3" t="s">
        <v>63</v>
      </c>
      <c r="L2584" s="2" t="s">
        <v>25375</v>
      </c>
      <c r="M2584" s="2" t="s">
        <v>25376</v>
      </c>
      <c r="N2584" s="3" t="s">
        <v>3160</v>
      </c>
      <c r="P2584" s="3" t="s">
        <v>65</v>
      </c>
      <c r="Q2584" s="2" t="s">
        <v>25377</v>
      </c>
      <c r="R2584" s="3" t="s">
        <v>66</v>
      </c>
      <c r="S2584" s="4">
        <v>1</v>
      </c>
      <c r="T2584" s="4">
        <v>1</v>
      </c>
      <c r="U2584" s="5" t="s">
        <v>25378</v>
      </c>
      <c r="V2584" s="5" t="s">
        <v>25378</v>
      </c>
      <c r="W2584" s="5" t="s">
        <v>67</v>
      </c>
      <c r="X2584" s="5" t="s">
        <v>67</v>
      </c>
      <c r="Y2584" s="4">
        <v>77</v>
      </c>
      <c r="Z2584" s="4">
        <v>6</v>
      </c>
      <c r="AA2584" s="4">
        <v>7</v>
      </c>
      <c r="AB2584" s="4">
        <v>2</v>
      </c>
      <c r="AC2584" s="4">
        <v>3</v>
      </c>
      <c r="AD2584" s="4">
        <v>32</v>
      </c>
      <c r="AE2584" s="4">
        <v>33</v>
      </c>
      <c r="AF2584" s="4">
        <v>1</v>
      </c>
      <c r="AG2584" s="4">
        <v>2</v>
      </c>
      <c r="AH2584" s="4">
        <v>29</v>
      </c>
      <c r="AI2584" s="4">
        <v>30</v>
      </c>
      <c r="AJ2584" s="4">
        <v>4</v>
      </c>
      <c r="AK2584" s="4">
        <v>5</v>
      </c>
      <c r="AL2584" s="4">
        <v>22</v>
      </c>
      <c r="AM2584" s="4">
        <v>22</v>
      </c>
      <c r="AN2584" s="4">
        <v>0</v>
      </c>
      <c r="AO2584" s="4">
        <v>0</v>
      </c>
      <c r="AP2584" s="4">
        <v>4</v>
      </c>
      <c r="AQ2584" s="4">
        <v>5</v>
      </c>
      <c r="AR2584" s="3" t="s">
        <v>62</v>
      </c>
      <c r="AS2584" s="3" t="s">
        <v>62</v>
      </c>
      <c r="AT2584" s="3" t="s">
        <v>61</v>
      </c>
      <c r="AU2584" s="6" t="str">
        <f>HYPERLINK("http://catalog.hathitrust.org/Record/000193407","HathiTrust Record")</f>
        <v>HathiTrust Record</v>
      </c>
      <c r="AV2584" s="6" t="str">
        <f>HYPERLINK("http://mcgill.on.worldcat.org/oclc/8451700","Catalog Record")</f>
        <v>Catalog Record</v>
      </c>
      <c r="AW2584" s="6" t="str">
        <f>HYPERLINK("http://www.worldcat.org/oclc/8451700","WorldCat Record")</f>
        <v>WorldCat Record</v>
      </c>
      <c r="AX2584" s="3" t="s">
        <v>25379</v>
      </c>
      <c r="AY2584" s="3" t="s">
        <v>25380</v>
      </c>
      <c r="AZ2584" s="3" t="s">
        <v>25381</v>
      </c>
      <c r="BA2584" s="3" t="s">
        <v>25381</v>
      </c>
      <c r="BB2584" s="3" t="s">
        <v>25382</v>
      </c>
      <c r="BC2584" s="3" t="s">
        <v>142</v>
      </c>
      <c r="BD2584" s="3" t="s">
        <v>68</v>
      </c>
      <c r="BE2584" s="3" t="s">
        <v>25383</v>
      </c>
      <c r="BF2584" s="3" t="s">
        <v>25382</v>
      </c>
      <c r="BG2584" s="3" t="s">
        <v>25384</v>
      </c>
    </row>
    <row r="2585" spans="1:59" ht="57" x14ac:dyDescent="0.45">
      <c r="A2585" s="2" t="s">
        <v>59</v>
      </c>
      <c r="B2585" s="2" t="s">
        <v>60</v>
      </c>
      <c r="C2585" s="2" t="s">
        <v>25385</v>
      </c>
      <c r="D2585" s="2" t="s">
        <v>25386</v>
      </c>
      <c r="E2585" s="2" t="s">
        <v>25387</v>
      </c>
      <c r="G2585" s="3" t="s">
        <v>62</v>
      </c>
      <c r="I2585" s="3" t="s">
        <v>62</v>
      </c>
      <c r="J2585" s="3" t="s">
        <v>62</v>
      </c>
      <c r="K2585" s="3" t="s">
        <v>63</v>
      </c>
      <c r="L2585" s="2" t="s">
        <v>25388</v>
      </c>
      <c r="M2585" s="2" t="s">
        <v>25389</v>
      </c>
      <c r="N2585" s="3" t="s">
        <v>945</v>
      </c>
      <c r="P2585" s="3" t="s">
        <v>65</v>
      </c>
      <c r="R2585" s="3" t="s">
        <v>66</v>
      </c>
      <c r="S2585" s="4">
        <v>12</v>
      </c>
      <c r="T2585" s="4">
        <v>12</v>
      </c>
      <c r="U2585" s="5" t="s">
        <v>17874</v>
      </c>
      <c r="V2585" s="5" t="s">
        <v>17874</v>
      </c>
      <c r="W2585" s="5" t="s">
        <v>67</v>
      </c>
      <c r="X2585" s="5" t="s">
        <v>67</v>
      </c>
      <c r="Y2585" s="4">
        <v>370</v>
      </c>
      <c r="Z2585" s="4">
        <v>33</v>
      </c>
      <c r="AA2585" s="4">
        <v>65</v>
      </c>
      <c r="AB2585" s="4">
        <v>2</v>
      </c>
      <c r="AC2585" s="4">
        <v>11</v>
      </c>
      <c r="AD2585" s="4">
        <v>99</v>
      </c>
      <c r="AE2585" s="4">
        <v>110</v>
      </c>
      <c r="AF2585" s="4">
        <v>1</v>
      </c>
      <c r="AG2585" s="4">
        <v>4</v>
      </c>
      <c r="AH2585" s="4">
        <v>85</v>
      </c>
      <c r="AI2585" s="4">
        <v>90</v>
      </c>
      <c r="AJ2585" s="4">
        <v>16</v>
      </c>
      <c r="AK2585" s="4">
        <v>21</v>
      </c>
      <c r="AL2585" s="4">
        <v>44</v>
      </c>
      <c r="AM2585" s="4">
        <v>46</v>
      </c>
      <c r="AN2585" s="4">
        <v>0</v>
      </c>
      <c r="AO2585" s="4">
        <v>0</v>
      </c>
      <c r="AP2585" s="4">
        <v>23</v>
      </c>
      <c r="AQ2585" s="4">
        <v>31</v>
      </c>
      <c r="AR2585" s="3" t="s">
        <v>62</v>
      </c>
      <c r="AS2585" s="3" t="s">
        <v>62</v>
      </c>
      <c r="AT2585" s="3" t="s">
        <v>61</v>
      </c>
      <c r="AU2585" s="6" t="str">
        <f>HYPERLINK("http://catalog.hathitrust.org/Record/005635143","HathiTrust Record")</f>
        <v>HathiTrust Record</v>
      </c>
      <c r="AV2585" s="6" t="str">
        <f>HYPERLINK("http://mcgill.on.worldcat.org/oclc/170036709","Catalog Record")</f>
        <v>Catalog Record</v>
      </c>
      <c r="AW2585" s="6" t="str">
        <f>HYPERLINK("http://www.worldcat.org/oclc/170036709","WorldCat Record")</f>
        <v>WorldCat Record</v>
      </c>
      <c r="AX2585" s="3" t="s">
        <v>25390</v>
      </c>
      <c r="AY2585" s="3" t="s">
        <v>25391</v>
      </c>
      <c r="AZ2585" s="3" t="s">
        <v>25392</v>
      </c>
      <c r="BA2585" s="3" t="s">
        <v>25392</v>
      </c>
      <c r="BB2585" s="3" t="s">
        <v>25393</v>
      </c>
      <c r="BC2585" s="3" t="s">
        <v>142</v>
      </c>
      <c r="BD2585" s="3" t="s">
        <v>68</v>
      </c>
      <c r="BE2585" s="3" t="s">
        <v>25394</v>
      </c>
      <c r="BF2585" s="3" t="s">
        <v>25393</v>
      </c>
      <c r="BG2585" s="3" t="s">
        <v>25395</v>
      </c>
    </row>
    <row r="2586" spans="1:59" ht="57" x14ac:dyDescent="0.45">
      <c r="A2586" s="2" t="s">
        <v>59</v>
      </c>
      <c r="B2586" s="2" t="s">
        <v>60</v>
      </c>
      <c r="C2586" s="2" t="s">
        <v>25396</v>
      </c>
      <c r="D2586" s="2" t="s">
        <v>25397</v>
      </c>
      <c r="E2586" s="2" t="s">
        <v>25398</v>
      </c>
      <c r="G2586" s="3" t="s">
        <v>62</v>
      </c>
      <c r="I2586" s="3" t="s">
        <v>62</v>
      </c>
      <c r="J2586" s="3" t="s">
        <v>62</v>
      </c>
      <c r="K2586" s="3" t="s">
        <v>63</v>
      </c>
      <c r="M2586" s="2" t="s">
        <v>10244</v>
      </c>
      <c r="N2586" s="3" t="s">
        <v>894</v>
      </c>
      <c r="P2586" s="3" t="s">
        <v>65</v>
      </c>
      <c r="Q2586" s="2" t="s">
        <v>25399</v>
      </c>
      <c r="R2586" s="3" t="s">
        <v>66</v>
      </c>
      <c r="S2586" s="4">
        <v>0</v>
      </c>
      <c r="T2586" s="4">
        <v>0</v>
      </c>
      <c r="W2586" s="5" t="s">
        <v>67</v>
      </c>
      <c r="X2586" s="5" t="s">
        <v>67</v>
      </c>
      <c r="Y2586" s="4">
        <v>30</v>
      </c>
      <c r="Z2586" s="4">
        <v>2</v>
      </c>
      <c r="AA2586" s="4">
        <v>3</v>
      </c>
      <c r="AB2586" s="4">
        <v>1</v>
      </c>
      <c r="AC2586" s="4">
        <v>1</v>
      </c>
      <c r="AD2586" s="4">
        <v>14</v>
      </c>
      <c r="AE2586" s="4">
        <v>15</v>
      </c>
      <c r="AF2586" s="4">
        <v>0</v>
      </c>
      <c r="AG2586" s="4">
        <v>0</v>
      </c>
      <c r="AH2586" s="4">
        <v>14</v>
      </c>
      <c r="AI2586" s="4">
        <v>14</v>
      </c>
      <c r="AJ2586" s="4">
        <v>1</v>
      </c>
      <c r="AK2586" s="4">
        <v>2</v>
      </c>
      <c r="AL2586" s="4">
        <v>11</v>
      </c>
      <c r="AM2586" s="4">
        <v>11</v>
      </c>
      <c r="AN2586" s="4">
        <v>0</v>
      </c>
      <c r="AO2586" s="4">
        <v>0</v>
      </c>
      <c r="AP2586" s="4">
        <v>1</v>
      </c>
      <c r="AQ2586" s="4">
        <v>2</v>
      </c>
      <c r="AR2586" s="3" t="s">
        <v>62</v>
      </c>
      <c r="AS2586" s="3" t="s">
        <v>62</v>
      </c>
      <c r="AT2586" s="3" t="s">
        <v>62</v>
      </c>
      <c r="AV2586" s="6" t="str">
        <f>HYPERLINK("http://mcgill.on.worldcat.org/oclc/753295454","Catalog Record")</f>
        <v>Catalog Record</v>
      </c>
      <c r="AW2586" s="6" t="str">
        <f>HYPERLINK("http://www.worldcat.org/oclc/753295454","WorldCat Record")</f>
        <v>WorldCat Record</v>
      </c>
      <c r="AX2586" s="3" t="s">
        <v>25400</v>
      </c>
      <c r="AY2586" s="3" t="s">
        <v>25401</v>
      </c>
      <c r="AZ2586" s="3" t="s">
        <v>25402</v>
      </c>
      <c r="BA2586" s="3" t="s">
        <v>25402</v>
      </c>
      <c r="BB2586" s="3" t="s">
        <v>25403</v>
      </c>
      <c r="BC2586" s="3" t="s">
        <v>142</v>
      </c>
      <c r="BD2586" s="3" t="s">
        <v>68</v>
      </c>
      <c r="BE2586" s="3" t="s">
        <v>25404</v>
      </c>
      <c r="BF2586" s="3" t="s">
        <v>25403</v>
      </c>
      <c r="BG2586" s="3" t="s">
        <v>25405</v>
      </c>
    </row>
    <row r="2587" spans="1:59" ht="57" x14ac:dyDescent="0.45">
      <c r="A2587" s="2" t="s">
        <v>59</v>
      </c>
      <c r="B2587" s="2" t="s">
        <v>60</v>
      </c>
      <c r="C2587" s="2" t="s">
        <v>25406</v>
      </c>
      <c r="D2587" s="2" t="s">
        <v>25407</v>
      </c>
      <c r="E2587" s="2" t="s">
        <v>25408</v>
      </c>
      <c r="G2587" s="3" t="s">
        <v>62</v>
      </c>
      <c r="I2587" s="3" t="s">
        <v>61</v>
      </c>
      <c r="J2587" s="3" t="s">
        <v>62</v>
      </c>
      <c r="K2587" s="3" t="s">
        <v>63</v>
      </c>
      <c r="L2587" s="2" t="s">
        <v>25226</v>
      </c>
      <c r="M2587" s="2" t="s">
        <v>25409</v>
      </c>
      <c r="N2587" s="3" t="s">
        <v>568</v>
      </c>
      <c r="O2587" s="2" t="s">
        <v>25410</v>
      </c>
      <c r="P2587" s="3" t="s">
        <v>65</v>
      </c>
      <c r="Q2587" s="2" t="s">
        <v>25411</v>
      </c>
      <c r="R2587" s="3" t="s">
        <v>66</v>
      </c>
      <c r="S2587" s="4">
        <v>12</v>
      </c>
      <c r="T2587" s="4">
        <v>26</v>
      </c>
      <c r="U2587" s="5" t="s">
        <v>17393</v>
      </c>
      <c r="V2587" s="5" t="s">
        <v>17393</v>
      </c>
      <c r="W2587" s="5" t="s">
        <v>67</v>
      </c>
      <c r="X2587" s="5" t="s">
        <v>67</v>
      </c>
      <c r="Y2587" s="4">
        <v>342</v>
      </c>
      <c r="Z2587" s="4">
        <v>21</v>
      </c>
      <c r="AA2587" s="4">
        <v>52</v>
      </c>
      <c r="AB2587" s="4">
        <v>3</v>
      </c>
      <c r="AC2587" s="4">
        <v>7</v>
      </c>
      <c r="AD2587" s="4">
        <v>94</v>
      </c>
      <c r="AE2587" s="4">
        <v>137</v>
      </c>
      <c r="AF2587" s="4">
        <v>1</v>
      </c>
      <c r="AG2587" s="4">
        <v>5</v>
      </c>
      <c r="AH2587" s="4">
        <v>85</v>
      </c>
      <c r="AI2587" s="4">
        <v>109</v>
      </c>
      <c r="AJ2587" s="4">
        <v>14</v>
      </c>
      <c r="AK2587" s="4">
        <v>27</v>
      </c>
      <c r="AL2587" s="4">
        <v>42</v>
      </c>
      <c r="AM2587" s="4">
        <v>56</v>
      </c>
      <c r="AN2587" s="4">
        <v>0</v>
      </c>
      <c r="AO2587" s="4">
        <v>0</v>
      </c>
      <c r="AP2587" s="4">
        <v>14</v>
      </c>
      <c r="AQ2587" s="4">
        <v>36</v>
      </c>
      <c r="AR2587" s="3" t="s">
        <v>62</v>
      </c>
      <c r="AS2587" s="3" t="s">
        <v>62</v>
      </c>
      <c r="AT2587" s="3" t="s">
        <v>61</v>
      </c>
      <c r="AU2587" s="6" t="str">
        <f>HYPERLINK("http://catalog.hathitrust.org/Record/000839886","HathiTrust Record")</f>
        <v>HathiTrust Record</v>
      </c>
      <c r="AV2587" s="6" t="str">
        <f>HYPERLINK("http://mcgill.on.worldcat.org/oclc/13395900","Catalog Record")</f>
        <v>Catalog Record</v>
      </c>
      <c r="AW2587" s="6" t="str">
        <f>HYPERLINK("http://www.worldcat.org/oclc/13395900","WorldCat Record")</f>
        <v>WorldCat Record</v>
      </c>
      <c r="AX2587" s="3" t="s">
        <v>25412</v>
      </c>
      <c r="AY2587" s="3" t="s">
        <v>25413</v>
      </c>
      <c r="AZ2587" s="3" t="s">
        <v>25414</v>
      </c>
      <c r="BA2587" s="3" t="s">
        <v>25414</v>
      </c>
      <c r="BB2587" s="3" t="s">
        <v>25415</v>
      </c>
      <c r="BC2587" s="3" t="s">
        <v>142</v>
      </c>
      <c r="BD2587" s="3" t="s">
        <v>68</v>
      </c>
      <c r="BE2587" s="3" t="s">
        <v>25416</v>
      </c>
      <c r="BF2587" s="3" t="s">
        <v>25415</v>
      </c>
      <c r="BG2587" s="3" t="s">
        <v>25417</v>
      </c>
    </row>
    <row r="2588" spans="1:59" ht="57" x14ac:dyDescent="0.45">
      <c r="A2588" s="2" t="s">
        <v>59</v>
      </c>
      <c r="B2588" s="2" t="s">
        <v>60</v>
      </c>
      <c r="C2588" s="2" t="s">
        <v>25406</v>
      </c>
      <c r="D2588" s="2" t="s">
        <v>25407</v>
      </c>
      <c r="E2588" s="2" t="s">
        <v>25408</v>
      </c>
      <c r="G2588" s="3" t="s">
        <v>62</v>
      </c>
      <c r="I2588" s="3" t="s">
        <v>61</v>
      </c>
      <c r="J2588" s="3" t="s">
        <v>62</v>
      </c>
      <c r="K2588" s="3" t="s">
        <v>63</v>
      </c>
      <c r="L2588" s="2" t="s">
        <v>25226</v>
      </c>
      <c r="M2588" s="2" t="s">
        <v>25409</v>
      </c>
      <c r="N2588" s="3" t="s">
        <v>568</v>
      </c>
      <c r="O2588" s="2" t="s">
        <v>25410</v>
      </c>
      <c r="P2588" s="3" t="s">
        <v>65</v>
      </c>
      <c r="Q2588" s="2" t="s">
        <v>25411</v>
      </c>
      <c r="R2588" s="3" t="s">
        <v>66</v>
      </c>
      <c r="S2588" s="4">
        <v>14</v>
      </c>
      <c r="T2588" s="4">
        <v>26</v>
      </c>
      <c r="U2588" s="5" t="s">
        <v>25418</v>
      </c>
      <c r="V2588" s="5" t="s">
        <v>17393</v>
      </c>
      <c r="W2588" s="5" t="s">
        <v>67</v>
      </c>
      <c r="X2588" s="5" t="s">
        <v>67</v>
      </c>
      <c r="Y2588" s="4">
        <v>342</v>
      </c>
      <c r="Z2588" s="4">
        <v>21</v>
      </c>
      <c r="AA2588" s="4">
        <v>52</v>
      </c>
      <c r="AB2588" s="4">
        <v>3</v>
      </c>
      <c r="AC2588" s="4">
        <v>7</v>
      </c>
      <c r="AD2588" s="4">
        <v>94</v>
      </c>
      <c r="AE2588" s="4">
        <v>137</v>
      </c>
      <c r="AF2588" s="4">
        <v>1</v>
      </c>
      <c r="AG2588" s="4">
        <v>5</v>
      </c>
      <c r="AH2588" s="4">
        <v>85</v>
      </c>
      <c r="AI2588" s="4">
        <v>109</v>
      </c>
      <c r="AJ2588" s="4">
        <v>14</v>
      </c>
      <c r="AK2588" s="4">
        <v>27</v>
      </c>
      <c r="AL2588" s="4">
        <v>42</v>
      </c>
      <c r="AM2588" s="4">
        <v>56</v>
      </c>
      <c r="AN2588" s="4">
        <v>0</v>
      </c>
      <c r="AO2588" s="4">
        <v>0</v>
      </c>
      <c r="AP2588" s="4">
        <v>14</v>
      </c>
      <c r="AQ2588" s="4">
        <v>36</v>
      </c>
      <c r="AR2588" s="3" t="s">
        <v>62</v>
      </c>
      <c r="AS2588" s="3" t="s">
        <v>62</v>
      </c>
      <c r="AT2588" s="3" t="s">
        <v>61</v>
      </c>
      <c r="AU2588" s="6" t="str">
        <f>HYPERLINK("http://catalog.hathitrust.org/Record/000839886","HathiTrust Record")</f>
        <v>HathiTrust Record</v>
      </c>
      <c r="AV2588" s="6" t="str">
        <f>HYPERLINK("http://mcgill.on.worldcat.org/oclc/13395900","Catalog Record")</f>
        <v>Catalog Record</v>
      </c>
      <c r="AW2588" s="6" t="str">
        <f>HYPERLINK("http://www.worldcat.org/oclc/13395900","WorldCat Record")</f>
        <v>WorldCat Record</v>
      </c>
      <c r="AX2588" s="3" t="s">
        <v>25412</v>
      </c>
      <c r="AY2588" s="3" t="s">
        <v>25413</v>
      </c>
      <c r="AZ2588" s="3" t="s">
        <v>25414</v>
      </c>
      <c r="BA2588" s="3" t="s">
        <v>25414</v>
      </c>
      <c r="BB2588" s="3" t="s">
        <v>25419</v>
      </c>
      <c r="BC2588" s="3" t="s">
        <v>142</v>
      </c>
      <c r="BD2588" s="3" t="s">
        <v>68</v>
      </c>
      <c r="BE2588" s="3" t="s">
        <v>25416</v>
      </c>
      <c r="BF2588" s="3" t="s">
        <v>25419</v>
      </c>
      <c r="BG2588" s="3" t="s">
        <v>25420</v>
      </c>
    </row>
    <row r="2589" spans="1:59" ht="57" x14ac:dyDescent="0.45">
      <c r="A2589" s="2" t="s">
        <v>59</v>
      </c>
      <c r="B2589" s="2" t="s">
        <v>60</v>
      </c>
      <c r="C2589" s="2" t="s">
        <v>25421</v>
      </c>
      <c r="D2589" s="2" t="s">
        <v>25422</v>
      </c>
      <c r="E2589" s="2" t="s">
        <v>25423</v>
      </c>
      <c r="G2589" s="3" t="s">
        <v>62</v>
      </c>
      <c r="I2589" s="3" t="s">
        <v>61</v>
      </c>
      <c r="J2589" s="3" t="s">
        <v>62</v>
      </c>
      <c r="K2589" s="3" t="s">
        <v>63</v>
      </c>
      <c r="M2589" s="2" t="s">
        <v>25424</v>
      </c>
      <c r="N2589" s="3" t="s">
        <v>1855</v>
      </c>
      <c r="P2589" s="3" t="s">
        <v>65</v>
      </c>
      <c r="Q2589" s="2" t="s">
        <v>25425</v>
      </c>
      <c r="R2589" s="3" t="s">
        <v>66</v>
      </c>
      <c r="S2589" s="4">
        <v>21</v>
      </c>
      <c r="T2589" s="4">
        <v>36</v>
      </c>
      <c r="U2589" s="5" t="s">
        <v>128</v>
      </c>
      <c r="V2589" s="5" t="s">
        <v>25426</v>
      </c>
      <c r="W2589" s="5" t="s">
        <v>67</v>
      </c>
      <c r="X2589" s="5" t="s">
        <v>67</v>
      </c>
      <c r="Y2589" s="4">
        <v>400</v>
      </c>
      <c r="Z2589" s="4">
        <v>26</v>
      </c>
      <c r="AA2589" s="4">
        <v>30</v>
      </c>
      <c r="AB2589" s="4">
        <v>2</v>
      </c>
      <c r="AC2589" s="4">
        <v>6</v>
      </c>
      <c r="AD2589" s="4">
        <v>105</v>
      </c>
      <c r="AE2589" s="4">
        <v>106</v>
      </c>
      <c r="AF2589" s="4">
        <v>1</v>
      </c>
      <c r="AG2589" s="4">
        <v>2</v>
      </c>
      <c r="AH2589" s="4">
        <v>96</v>
      </c>
      <c r="AI2589" s="4">
        <v>97</v>
      </c>
      <c r="AJ2589" s="4">
        <v>18</v>
      </c>
      <c r="AK2589" s="4">
        <v>19</v>
      </c>
      <c r="AL2589" s="4">
        <v>47</v>
      </c>
      <c r="AM2589" s="4">
        <v>47</v>
      </c>
      <c r="AN2589" s="4">
        <v>0</v>
      </c>
      <c r="AO2589" s="4">
        <v>0</v>
      </c>
      <c r="AP2589" s="4">
        <v>18</v>
      </c>
      <c r="AQ2589" s="4">
        <v>19</v>
      </c>
      <c r="AR2589" s="3" t="s">
        <v>62</v>
      </c>
      <c r="AS2589" s="3" t="s">
        <v>62</v>
      </c>
      <c r="AT2589" s="3" t="s">
        <v>61</v>
      </c>
      <c r="AU2589" s="6" t="str">
        <f>HYPERLINK("http://catalog.hathitrust.org/Record/004940829","HathiTrust Record")</f>
        <v>HathiTrust Record</v>
      </c>
      <c r="AV2589" s="6" t="str">
        <f>HYPERLINK("http://mcgill.on.worldcat.org/oclc/55797974","Catalog Record")</f>
        <v>Catalog Record</v>
      </c>
      <c r="AW2589" s="6" t="str">
        <f>HYPERLINK("http://www.worldcat.org/oclc/55797974","WorldCat Record")</f>
        <v>WorldCat Record</v>
      </c>
      <c r="AX2589" s="3" t="s">
        <v>25427</v>
      </c>
      <c r="AY2589" s="3" t="s">
        <v>25428</v>
      </c>
      <c r="AZ2589" s="3" t="s">
        <v>25429</v>
      </c>
      <c r="BA2589" s="3" t="s">
        <v>25429</v>
      </c>
      <c r="BB2589" s="3" t="s">
        <v>25430</v>
      </c>
      <c r="BC2589" s="3" t="s">
        <v>142</v>
      </c>
      <c r="BD2589" s="3" t="s">
        <v>68</v>
      </c>
      <c r="BE2589" s="3" t="s">
        <v>25431</v>
      </c>
      <c r="BF2589" s="3" t="s">
        <v>25430</v>
      </c>
      <c r="BG2589" s="3" t="s">
        <v>25432</v>
      </c>
    </row>
    <row r="2590" spans="1:59" ht="57" x14ac:dyDescent="0.45">
      <c r="A2590" s="2" t="s">
        <v>59</v>
      </c>
      <c r="B2590" s="2" t="s">
        <v>60</v>
      </c>
      <c r="C2590" s="2" t="s">
        <v>25421</v>
      </c>
      <c r="D2590" s="2" t="s">
        <v>25422</v>
      </c>
      <c r="E2590" s="2" t="s">
        <v>25423</v>
      </c>
      <c r="G2590" s="3" t="s">
        <v>62</v>
      </c>
      <c r="I2590" s="3" t="s">
        <v>61</v>
      </c>
      <c r="J2590" s="3" t="s">
        <v>62</v>
      </c>
      <c r="K2590" s="3" t="s">
        <v>63</v>
      </c>
      <c r="M2590" s="2" t="s">
        <v>25424</v>
      </c>
      <c r="N2590" s="3" t="s">
        <v>1855</v>
      </c>
      <c r="P2590" s="3" t="s">
        <v>65</v>
      </c>
      <c r="Q2590" s="2" t="s">
        <v>25425</v>
      </c>
      <c r="R2590" s="3" t="s">
        <v>66</v>
      </c>
      <c r="S2590" s="4">
        <v>15</v>
      </c>
      <c r="T2590" s="4">
        <v>36</v>
      </c>
      <c r="U2590" s="5" t="s">
        <v>25426</v>
      </c>
      <c r="V2590" s="5" t="s">
        <v>25426</v>
      </c>
      <c r="W2590" s="5" t="s">
        <v>67</v>
      </c>
      <c r="X2590" s="5" t="s">
        <v>67</v>
      </c>
      <c r="Y2590" s="4">
        <v>400</v>
      </c>
      <c r="Z2590" s="4">
        <v>26</v>
      </c>
      <c r="AA2590" s="4">
        <v>30</v>
      </c>
      <c r="AB2590" s="4">
        <v>2</v>
      </c>
      <c r="AC2590" s="4">
        <v>6</v>
      </c>
      <c r="AD2590" s="4">
        <v>105</v>
      </c>
      <c r="AE2590" s="4">
        <v>106</v>
      </c>
      <c r="AF2590" s="4">
        <v>1</v>
      </c>
      <c r="AG2590" s="4">
        <v>2</v>
      </c>
      <c r="AH2590" s="4">
        <v>96</v>
      </c>
      <c r="AI2590" s="4">
        <v>97</v>
      </c>
      <c r="AJ2590" s="4">
        <v>18</v>
      </c>
      <c r="AK2590" s="4">
        <v>19</v>
      </c>
      <c r="AL2590" s="4">
        <v>47</v>
      </c>
      <c r="AM2590" s="4">
        <v>47</v>
      </c>
      <c r="AN2590" s="4">
        <v>0</v>
      </c>
      <c r="AO2590" s="4">
        <v>0</v>
      </c>
      <c r="AP2590" s="4">
        <v>18</v>
      </c>
      <c r="AQ2590" s="4">
        <v>19</v>
      </c>
      <c r="AR2590" s="3" t="s">
        <v>62</v>
      </c>
      <c r="AS2590" s="3" t="s">
        <v>62</v>
      </c>
      <c r="AT2590" s="3" t="s">
        <v>61</v>
      </c>
      <c r="AU2590" s="6" t="str">
        <f>HYPERLINK("http://catalog.hathitrust.org/Record/004940829","HathiTrust Record")</f>
        <v>HathiTrust Record</v>
      </c>
      <c r="AV2590" s="6" t="str">
        <f>HYPERLINK("http://mcgill.on.worldcat.org/oclc/55797974","Catalog Record")</f>
        <v>Catalog Record</v>
      </c>
      <c r="AW2590" s="6" t="str">
        <f>HYPERLINK("http://www.worldcat.org/oclc/55797974","WorldCat Record")</f>
        <v>WorldCat Record</v>
      </c>
      <c r="AX2590" s="3" t="s">
        <v>25427</v>
      </c>
      <c r="AY2590" s="3" t="s">
        <v>25428</v>
      </c>
      <c r="AZ2590" s="3" t="s">
        <v>25429</v>
      </c>
      <c r="BA2590" s="3" t="s">
        <v>25429</v>
      </c>
      <c r="BB2590" s="3" t="s">
        <v>25433</v>
      </c>
      <c r="BC2590" s="3" t="s">
        <v>142</v>
      </c>
      <c r="BD2590" s="3" t="s">
        <v>68</v>
      </c>
      <c r="BE2590" s="3" t="s">
        <v>25431</v>
      </c>
      <c r="BF2590" s="3" t="s">
        <v>25433</v>
      </c>
      <c r="BG2590" s="3" t="s">
        <v>25434</v>
      </c>
    </row>
    <row r="2591" spans="1:59" ht="57" x14ac:dyDescent="0.45">
      <c r="A2591" s="2" t="s">
        <v>59</v>
      </c>
      <c r="B2591" s="2" t="s">
        <v>60</v>
      </c>
      <c r="C2591" s="2" t="s">
        <v>25435</v>
      </c>
      <c r="D2591" s="2" t="s">
        <v>25436</v>
      </c>
      <c r="E2591" s="2" t="s">
        <v>25437</v>
      </c>
      <c r="G2591" s="3" t="s">
        <v>62</v>
      </c>
      <c r="I2591" s="3" t="s">
        <v>62</v>
      </c>
      <c r="J2591" s="3" t="s">
        <v>62</v>
      </c>
      <c r="K2591" s="3" t="s">
        <v>63</v>
      </c>
      <c r="M2591" s="2" t="s">
        <v>8328</v>
      </c>
      <c r="N2591" s="3" t="s">
        <v>1465</v>
      </c>
      <c r="P2591" s="3" t="s">
        <v>65</v>
      </c>
      <c r="Q2591" s="2" t="s">
        <v>25438</v>
      </c>
      <c r="R2591" s="3" t="s">
        <v>66</v>
      </c>
      <c r="S2591" s="4">
        <v>3</v>
      </c>
      <c r="T2591" s="4">
        <v>3</v>
      </c>
      <c r="U2591" s="5" t="s">
        <v>12780</v>
      </c>
      <c r="V2591" s="5" t="s">
        <v>12780</v>
      </c>
      <c r="W2591" s="5" t="s">
        <v>67</v>
      </c>
      <c r="X2591" s="5" t="s">
        <v>67</v>
      </c>
      <c r="Y2591" s="4">
        <v>137</v>
      </c>
      <c r="Z2591" s="4">
        <v>15</v>
      </c>
      <c r="AA2591" s="4">
        <v>97</v>
      </c>
      <c r="AB2591" s="4">
        <v>3</v>
      </c>
      <c r="AC2591" s="4">
        <v>18</v>
      </c>
      <c r="AD2591" s="4">
        <v>61</v>
      </c>
      <c r="AE2591" s="4">
        <v>125</v>
      </c>
      <c r="AF2591" s="4">
        <v>1</v>
      </c>
      <c r="AG2591" s="4">
        <v>8</v>
      </c>
      <c r="AH2591" s="4">
        <v>55</v>
      </c>
      <c r="AI2591" s="4">
        <v>88</v>
      </c>
      <c r="AJ2591" s="4">
        <v>9</v>
      </c>
      <c r="AK2591" s="4">
        <v>24</v>
      </c>
      <c r="AL2591" s="4">
        <v>32</v>
      </c>
      <c r="AM2591" s="4">
        <v>43</v>
      </c>
      <c r="AN2591" s="4">
        <v>0</v>
      </c>
      <c r="AO2591" s="4">
        <v>0</v>
      </c>
      <c r="AP2591" s="4">
        <v>12</v>
      </c>
      <c r="AQ2591" s="4">
        <v>46</v>
      </c>
      <c r="AR2591" s="3" t="s">
        <v>62</v>
      </c>
      <c r="AS2591" s="3" t="s">
        <v>62</v>
      </c>
      <c r="AT2591" s="3" t="s">
        <v>62</v>
      </c>
      <c r="AV2591" s="6" t="str">
        <f>HYPERLINK("http://mcgill.on.worldcat.org/oclc/245566054","Catalog Record")</f>
        <v>Catalog Record</v>
      </c>
      <c r="AW2591" s="6" t="str">
        <f>HYPERLINK("http://www.worldcat.org/oclc/245566054","WorldCat Record")</f>
        <v>WorldCat Record</v>
      </c>
      <c r="AX2591" s="3" t="s">
        <v>25439</v>
      </c>
      <c r="AY2591" s="3" t="s">
        <v>25440</v>
      </c>
      <c r="AZ2591" s="3" t="s">
        <v>25441</v>
      </c>
      <c r="BA2591" s="3" t="s">
        <v>25441</v>
      </c>
      <c r="BB2591" s="3" t="s">
        <v>25442</v>
      </c>
      <c r="BC2591" s="3" t="s">
        <v>142</v>
      </c>
      <c r="BD2591" s="3" t="s">
        <v>68</v>
      </c>
      <c r="BE2591" s="3" t="s">
        <v>25443</v>
      </c>
      <c r="BF2591" s="3" t="s">
        <v>25442</v>
      </c>
      <c r="BG2591" s="3" t="s">
        <v>25444</v>
      </c>
    </row>
    <row r="2592" spans="1:59" ht="57" x14ac:dyDescent="0.45">
      <c r="A2592" s="2" t="s">
        <v>59</v>
      </c>
      <c r="B2592" s="2" t="s">
        <v>60</v>
      </c>
      <c r="C2592" s="2" t="s">
        <v>25445</v>
      </c>
      <c r="D2592" s="2" t="s">
        <v>25446</v>
      </c>
      <c r="E2592" s="2" t="s">
        <v>25447</v>
      </c>
      <c r="G2592" s="3" t="s">
        <v>62</v>
      </c>
      <c r="I2592" s="3" t="s">
        <v>62</v>
      </c>
      <c r="J2592" s="3" t="s">
        <v>62</v>
      </c>
      <c r="K2592" s="3" t="s">
        <v>63</v>
      </c>
      <c r="M2592" s="2" t="s">
        <v>25448</v>
      </c>
      <c r="N2592" s="3" t="s">
        <v>1059</v>
      </c>
      <c r="O2592" s="2" t="s">
        <v>168</v>
      </c>
      <c r="P2592" s="3" t="s">
        <v>65</v>
      </c>
      <c r="R2592" s="3" t="s">
        <v>66</v>
      </c>
      <c r="S2592" s="4">
        <v>12</v>
      </c>
      <c r="T2592" s="4">
        <v>12</v>
      </c>
      <c r="U2592" s="5" t="s">
        <v>128</v>
      </c>
      <c r="V2592" s="5" t="s">
        <v>128</v>
      </c>
      <c r="W2592" s="5" t="s">
        <v>67</v>
      </c>
      <c r="X2592" s="5" t="s">
        <v>67</v>
      </c>
      <c r="Y2592" s="4">
        <v>284</v>
      </c>
      <c r="Z2592" s="4">
        <v>20</v>
      </c>
      <c r="AA2592" s="4">
        <v>51</v>
      </c>
      <c r="AB2592" s="4">
        <v>2</v>
      </c>
      <c r="AC2592" s="4">
        <v>4</v>
      </c>
      <c r="AD2592" s="4">
        <v>101</v>
      </c>
      <c r="AE2592" s="4">
        <v>118</v>
      </c>
      <c r="AF2592" s="4">
        <v>1</v>
      </c>
      <c r="AG2592" s="4">
        <v>1</v>
      </c>
      <c r="AH2592" s="4">
        <v>91</v>
      </c>
      <c r="AI2592" s="4">
        <v>100</v>
      </c>
      <c r="AJ2592" s="4">
        <v>14</v>
      </c>
      <c r="AK2592" s="4">
        <v>16</v>
      </c>
      <c r="AL2592" s="4">
        <v>48</v>
      </c>
      <c r="AM2592" s="4">
        <v>52</v>
      </c>
      <c r="AN2592" s="4">
        <v>0</v>
      </c>
      <c r="AO2592" s="4">
        <v>0</v>
      </c>
      <c r="AP2592" s="4">
        <v>16</v>
      </c>
      <c r="AQ2592" s="4">
        <v>26</v>
      </c>
      <c r="AR2592" s="3" t="s">
        <v>62</v>
      </c>
      <c r="AS2592" s="3" t="s">
        <v>62</v>
      </c>
      <c r="AT2592" s="3" t="s">
        <v>62</v>
      </c>
      <c r="AV2592" s="6" t="str">
        <f>HYPERLINK("http://mcgill.on.worldcat.org/oclc/60375439","Catalog Record")</f>
        <v>Catalog Record</v>
      </c>
      <c r="AW2592" s="6" t="str">
        <f>HYPERLINK("http://www.worldcat.org/oclc/60375439","WorldCat Record")</f>
        <v>WorldCat Record</v>
      </c>
      <c r="AX2592" s="3" t="s">
        <v>25449</v>
      </c>
      <c r="AY2592" s="3" t="s">
        <v>25450</v>
      </c>
      <c r="AZ2592" s="3" t="s">
        <v>25451</v>
      </c>
      <c r="BA2592" s="3" t="s">
        <v>25451</v>
      </c>
      <c r="BB2592" s="3" t="s">
        <v>25452</v>
      </c>
      <c r="BC2592" s="3" t="s">
        <v>142</v>
      </c>
      <c r="BD2592" s="3" t="s">
        <v>68</v>
      </c>
      <c r="BE2592" s="3" t="s">
        <v>25453</v>
      </c>
      <c r="BF2592" s="3" t="s">
        <v>25452</v>
      </c>
      <c r="BG2592" s="3" t="s">
        <v>25454</v>
      </c>
    </row>
    <row r="2593" spans="1:59" ht="57" x14ac:dyDescent="0.45">
      <c r="A2593" s="2" t="s">
        <v>59</v>
      </c>
      <c r="B2593" s="2" t="s">
        <v>60</v>
      </c>
      <c r="C2593" s="2" t="s">
        <v>25455</v>
      </c>
      <c r="D2593" s="2" t="s">
        <v>25456</v>
      </c>
      <c r="E2593" s="2" t="s">
        <v>25457</v>
      </c>
      <c r="G2593" s="3" t="s">
        <v>62</v>
      </c>
      <c r="I2593" s="3" t="s">
        <v>62</v>
      </c>
      <c r="J2593" s="3" t="s">
        <v>62</v>
      </c>
      <c r="K2593" s="3" t="s">
        <v>63</v>
      </c>
      <c r="M2593" s="2" t="s">
        <v>25458</v>
      </c>
      <c r="N2593" s="3" t="s">
        <v>1212</v>
      </c>
      <c r="P2593" s="3" t="s">
        <v>65</v>
      </c>
      <c r="Q2593" s="2" t="s">
        <v>16347</v>
      </c>
      <c r="R2593" s="3" t="s">
        <v>66</v>
      </c>
      <c r="S2593" s="4">
        <v>43</v>
      </c>
      <c r="T2593" s="4">
        <v>43</v>
      </c>
      <c r="U2593" s="5" t="s">
        <v>25459</v>
      </c>
      <c r="V2593" s="5" t="s">
        <v>25459</v>
      </c>
      <c r="W2593" s="5" t="s">
        <v>67</v>
      </c>
      <c r="X2593" s="5" t="s">
        <v>67</v>
      </c>
      <c r="Y2593" s="4">
        <v>263</v>
      </c>
      <c r="Z2593" s="4">
        <v>13</v>
      </c>
      <c r="AA2593" s="4">
        <v>14</v>
      </c>
      <c r="AB2593" s="4">
        <v>1</v>
      </c>
      <c r="AC2593" s="4">
        <v>2</v>
      </c>
      <c r="AD2593" s="4">
        <v>87</v>
      </c>
      <c r="AE2593" s="4">
        <v>88</v>
      </c>
      <c r="AF2593" s="4">
        <v>0</v>
      </c>
      <c r="AG2593" s="4">
        <v>1</v>
      </c>
      <c r="AH2593" s="4">
        <v>81</v>
      </c>
      <c r="AI2593" s="4">
        <v>81</v>
      </c>
      <c r="AJ2593" s="4">
        <v>10</v>
      </c>
      <c r="AK2593" s="4">
        <v>11</v>
      </c>
      <c r="AL2593" s="4">
        <v>48</v>
      </c>
      <c r="AM2593" s="4">
        <v>48</v>
      </c>
      <c r="AN2593" s="4">
        <v>0</v>
      </c>
      <c r="AO2593" s="4">
        <v>0</v>
      </c>
      <c r="AP2593" s="4">
        <v>11</v>
      </c>
      <c r="AQ2593" s="4">
        <v>11</v>
      </c>
      <c r="AR2593" s="3" t="s">
        <v>62</v>
      </c>
      <c r="AS2593" s="3" t="s">
        <v>62</v>
      </c>
      <c r="AT2593" s="3" t="s">
        <v>61</v>
      </c>
      <c r="AU2593" s="6" t="str">
        <f>HYPERLINK("http://catalog.hathitrust.org/Record/004090450","HathiTrust Record")</f>
        <v>HathiTrust Record</v>
      </c>
      <c r="AV2593" s="6" t="str">
        <f>HYPERLINK("http://mcgill.on.worldcat.org/oclc/42009446","Catalog Record")</f>
        <v>Catalog Record</v>
      </c>
      <c r="AW2593" s="6" t="str">
        <f>HYPERLINK("http://www.worldcat.org/oclc/42009446","WorldCat Record")</f>
        <v>WorldCat Record</v>
      </c>
      <c r="AX2593" s="3" t="s">
        <v>25460</v>
      </c>
      <c r="AY2593" s="3" t="s">
        <v>25461</v>
      </c>
      <c r="AZ2593" s="3" t="s">
        <v>25462</v>
      </c>
      <c r="BA2593" s="3" t="s">
        <v>25462</v>
      </c>
      <c r="BB2593" s="3" t="s">
        <v>25463</v>
      </c>
      <c r="BC2593" s="3" t="s">
        <v>142</v>
      </c>
      <c r="BD2593" s="3" t="s">
        <v>68</v>
      </c>
      <c r="BE2593" s="3" t="s">
        <v>25464</v>
      </c>
      <c r="BF2593" s="3" t="s">
        <v>25463</v>
      </c>
      <c r="BG2593" s="3" t="s">
        <v>25465</v>
      </c>
    </row>
    <row r="2594" spans="1:59" ht="71.25" x14ac:dyDescent="0.45">
      <c r="A2594" s="2" t="s">
        <v>59</v>
      </c>
      <c r="B2594" s="2" t="s">
        <v>60</v>
      </c>
      <c r="C2594" s="2" t="s">
        <v>25466</v>
      </c>
      <c r="D2594" s="2" t="s">
        <v>25467</v>
      </c>
      <c r="E2594" s="2" t="s">
        <v>25468</v>
      </c>
      <c r="G2594" s="3" t="s">
        <v>62</v>
      </c>
      <c r="I2594" s="3" t="s">
        <v>62</v>
      </c>
      <c r="J2594" s="3" t="s">
        <v>62</v>
      </c>
      <c r="K2594" s="3" t="s">
        <v>63</v>
      </c>
      <c r="M2594" s="2" t="s">
        <v>25469</v>
      </c>
      <c r="N2594" s="3" t="s">
        <v>1059</v>
      </c>
      <c r="P2594" s="3" t="s">
        <v>65</v>
      </c>
      <c r="R2594" s="3" t="s">
        <v>66</v>
      </c>
      <c r="S2594" s="4">
        <v>22</v>
      </c>
      <c r="T2594" s="4">
        <v>22</v>
      </c>
      <c r="U2594" s="5" t="s">
        <v>25459</v>
      </c>
      <c r="V2594" s="5" t="s">
        <v>25459</v>
      </c>
      <c r="W2594" s="5" t="s">
        <v>67</v>
      </c>
      <c r="X2594" s="5" t="s">
        <v>67</v>
      </c>
      <c r="Y2594" s="4">
        <v>334</v>
      </c>
      <c r="Z2594" s="4">
        <v>31</v>
      </c>
      <c r="AA2594" s="4">
        <v>62</v>
      </c>
      <c r="AB2594" s="4">
        <v>3</v>
      </c>
      <c r="AC2594" s="4">
        <v>8</v>
      </c>
      <c r="AD2594" s="4">
        <v>101</v>
      </c>
      <c r="AE2594" s="4">
        <v>109</v>
      </c>
      <c r="AF2594" s="4">
        <v>1</v>
      </c>
      <c r="AG2594" s="4">
        <v>1</v>
      </c>
      <c r="AH2594" s="4">
        <v>87</v>
      </c>
      <c r="AI2594" s="4">
        <v>90</v>
      </c>
      <c r="AJ2594" s="4">
        <v>15</v>
      </c>
      <c r="AK2594" s="4">
        <v>18</v>
      </c>
      <c r="AL2594" s="4">
        <v>47</v>
      </c>
      <c r="AM2594" s="4">
        <v>48</v>
      </c>
      <c r="AN2594" s="4">
        <v>0</v>
      </c>
      <c r="AO2594" s="4">
        <v>0</v>
      </c>
      <c r="AP2594" s="4">
        <v>21</v>
      </c>
      <c r="AQ2594" s="4">
        <v>27</v>
      </c>
      <c r="AR2594" s="3" t="s">
        <v>62</v>
      </c>
      <c r="AS2594" s="3" t="s">
        <v>62</v>
      </c>
      <c r="AT2594" s="3" t="s">
        <v>62</v>
      </c>
      <c r="AV2594" s="6" t="str">
        <f>HYPERLINK("http://mcgill.on.worldcat.org/oclc/62226039","Catalog Record")</f>
        <v>Catalog Record</v>
      </c>
      <c r="AW2594" s="6" t="str">
        <f>HYPERLINK("http://www.worldcat.org/oclc/62226039","WorldCat Record")</f>
        <v>WorldCat Record</v>
      </c>
      <c r="AX2594" s="3" t="s">
        <v>25470</v>
      </c>
      <c r="AY2594" s="3" t="s">
        <v>25471</v>
      </c>
      <c r="AZ2594" s="3" t="s">
        <v>25472</v>
      </c>
      <c r="BA2594" s="3" t="s">
        <v>25472</v>
      </c>
      <c r="BB2594" s="3" t="s">
        <v>25473</v>
      </c>
      <c r="BC2594" s="3" t="s">
        <v>142</v>
      </c>
      <c r="BD2594" s="3" t="s">
        <v>68</v>
      </c>
      <c r="BE2594" s="3" t="s">
        <v>25474</v>
      </c>
      <c r="BF2594" s="3" t="s">
        <v>25473</v>
      </c>
      <c r="BG2594" s="3" t="s">
        <v>25475</v>
      </c>
    </row>
    <row r="2595" spans="1:59" ht="71.25" x14ac:dyDescent="0.45">
      <c r="A2595" s="2" t="s">
        <v>59</v>
      </c>
      <c r="B2595" s="2" t="s">
        <v>60</v>
      </c>
      <c r="C2595" s="2" t="s">
        <v>25476</v>
      </c>
      <c r="D2595" s="2" t="s">
        <v>25477</v>
      </c>
      <c r="E2595" s="2" t="s">
        <v>25478</v>
      </c>
      <c r="G2595" s="3" t="s">
        <v>62</v>
      </c>
      <c r="I2595" s="3" t="s">
        <v>62</v>
      </c>
      <c r="J2595" s="3" t="s">
        <v>62</v>
      </c>
      <c r="K2595" s="3" t="s">
        <v>63</v>
      </c>
      <c r="L2595" s="2" t="s">
        <v>25479</v>
      </c>
      <c r="M2595" s="2" t="s">
        <v>25480</v>
      </c>
      <c r="N2595" s="3" t="s">
        <v>820</v>
      </c>
      <c r="P2595" s="3" t="s">
        <v>65</v>
      </c>
      <c r="R2595" s="3" t="s">
        <v>66</v>
      </c>
      <c r="S2595" s="4">
        <v>4</v>
      </c>
      <c r="T2595" s="4">
        <v>4</v>
      </c>
      <c r="U2595" s="5" t="s">
        <v>5547</v>
      </c>
      <c r="V2595" s="5" t="s">
        <v>5547</v>
      </c>
      <c r="W2595" s="5" t="s">
        <v>67</v>
      </c>
      <c r="X2595" s="5" t="s">
        <v>67</v>
      </c>
      <c r="Y2595" s="4">
        <v>154</v>
      </c>
      <c r="Z2595" s="4">
        <v>15</v>
      </c>
      <c r="AA2595" s="4">
        <v>57</v>
      </c>
      <c r="AB2595" s="4">
        <v>2</v>
      </c>
      <c r="AC2595" s="4">
        <v>9</v>
      </c>
      <c r="AD2595" s="4">
        <v>67</v>
      </c>
      <c r="AE2595" s="4">
        <v>97</v>
      </c>
      <c r="AF2595" s="4">
        <v>1</v>
      </c>
      <c r="AG2595" s="4">
        <v>2</v>
      </c>
      <c r="AH2595" s="4">
        <v>60</v>
      </c>
      <c r="AI2595" s="4">
        <v>79</v>
      </c>
      <c r="AJ2595" s="4">
        <v>12</v>
      </c>
      <c r="AK2595" s="4">
        <v>17</v>
      </c>
      <c r="AL2595" s="4">
        <v>33</v>
      </c>
      <c r="AM2595" s="4">
        <v>42</v>
      </c>
      <c r="AN2595" s="4">
        <v>0</v>
      </c>
      <c r="AO2595" s="4">
        <v>0</v>
      </c>
      <c r="AP2595" s="4">
        <v>13</v>
      </c>
      <c r="AQ2595" s="4">
        <v>25</v>
      </c>
      <c r="AR2595" s="3" t="s">
        <v>62</v>
      </c>
      <c r="AS2595" s="3" t="s">
        <v>62</v>
      </c>
      <c r="AT2595" s="3" t="s">
        <v>62</v>
      </c>
      <c r="AV2595" s="6" t="str">
        <f>HYPERLINK("http://mcgill.on.worldcat.org/oclc/192079334","Catalog Record")</f>
        <v>Catalog Record</v>
      </c>
      <c r="AW2595" s="6" t="str">
        <f>HYPERLINK("http://www.worldcat.org/oclc/192079334","WorldCat Record")</f>
        <v>WorldCat Record</v>
      </c>
      <c r="AX2595" s="3" t="s">
        <v>25481</v>
      </c>
      <c r="AY2595" s="3" t="s">
        <v>25482</v>
      </c>
      <c r="AZ2595" s="3" t="s">
        <v>25483</v>
      </c>
      <c r="BA2595" s="3" t="s">
        <v>25483</v>
      </c>
      <c r="BB2595" s="3" t="s">
        <v>25484</v>
      </c>
      <c r="BC2595" s="3" t="s">
        <v>142</v>
      </c>
      <c r="BD2595" s="3" t="s">
        <v>68</v>
      </c>
      <c r="BE2595" s="3" t="s">
        <v>25485</v>
      </c>
      <c r="BF2595" s="3" t="s">
        <v>25484</v>
      </c>
      <c r="BG2595" s="3" t="s">
        <v>25486</v>
      </c>
    </row>
    <row r="2596" spans="1:59" ht="71.25" x14ac:dyDescent="0.45">
      <c r="A2596" s="2" t="s">
        <v>59</v>
      </c>
      <c r="B2596" s="2" t="s">
        <v>60</v>
      </c>
      <c r="C2596" s="2" t="s">
        <v>25487</v>
      </c>
      <c r="D2596" s="2" t="s">
        <v>25488</v>
      </c>
      <c r="E2596" s="2" t="s">
        <v>25489</v>
      </c>
      <c r="G2596" s="3" t="s">
        <v>62</v>
      </c>
      <c r="I2596" s="3" t="s">
        <v>62</v>
      </c>
      <c r="J2596" s="3" t="s">
        <v>62</v>
      </c>
      <c r="K2596" s="3" t="s">
        <v>63</v>
      </c>
      <c r="M2596" s="2" t="s">
        <v>25490</v>
      </c>
      <c r="N2596" s="3" t="s">
        <v>894</v>
      </c>
      <c r="P2596" s="3" t="s">
        <v>65</v>
      </c>
      <c r="R2596" s="3" t="s">
        <v>66</v>
      </c>
      <c r="S2596" s="4">
        <v>4</v>
      </c>
      <c r="T2596" s="4">
        <v>4</v>
      </c>
      <c r="U2596" s="5" t="s">
        <v>25459</v>
      </c>
      <c r="V2596" s="5" t="s">
        <v>25459</v>
      </c>
      <c r="W2596" s="5" t="s">
        <v>67</v>
      </c>
      <c r="X2596" s="5" t="s">
        <v>67</v>
      </c>
      <c r="Y2596" s="4">
        <v>179</v>
      </c>
      <c r="Z2596" s="4">
        <v>14</v>
      </c>
      <c r="AA2596" s="4">
        <v>16</v>
      </c>
      <c r="AB2596" s="4">
        <v>1</v>
      </c>
      <c r="AC2596" s="4">
        <v>3</v>
      </c>
      <c r="AD2596" s="4">
        <v>53</v>
      </c>
      <c r="AE2596" s="4">
        <v>54</v>
      </c>
      <c r="AF2596" s="4">
        <v>0</v>
      </c>
      <c r="AG2596" s="4">
        <v>0</v>
      </c>
      <c r="AH2596" s="4">
        <v>49</v>
      </c>
      <c r="AI2596" s="4">
        <v>50</v>
      </c>
      <c r="AJ2596" s="4">
        <v>10</v>
      </c>
      <c r="AK2596" s="4">
        <v>10</v>
      </c>
      <c r="AL2596" s="4">
        <v>32</v>
      </c>
      <c r="AM2596" s="4">
        <v>32</v>
      </c>
      <c r="AN2596" s="4">
        <v>0</v>
      </c>
      <c r="AO2596" s="4">
        <v>0</v>
      </c>
      <c r="AP2596" s="4">
        <v>11</v>
      </c>
      <c r="AQ2596" s="4">
        <v>11</v>
      </c>
      <c r="AR2596" s="3" t="s">
        <v>62</v>
      </c>
      <c r="AS2596" s="3" t="s">
        <v>62</v>
      </c>
      <c r="AT2596" s="3" t="s">
        <v>62</v>
      </c>
      <c r="AV2596" s="6" t="str">
        <f>HYPERLINK("http://mcgill.on.worldcat.org/oclc/670484528","Catalog Record")</f>
        <v>Catalog Record</v>
      </c>
      <c r="AW2596" s="6" t="str">
        <f>HYPERLINK("http://www.worldcat.org/oclc/670484528","WorldCat Record")</f>
        <v>WorldCat Record</v>
      </c>
      <c r="AX2596" s="3" t="s">
        <v>25491</v>
      </c>
      <c r="AY2596" s="3" t="s">
        <v>25492</v>
      </c>
      <c r="AZ2596" s="3" t="s">
        <v>25493</v>
      </c>
      <c r="BA2596" s="3" t="s">
        <v>25493</v>
      </c>
      <c r="BB2596" s="3" t="s">
        <v>25494</v>
      </c>
      <c r="BC2596" s="3" t="s">
        <v>142</v>
      </c>
      <c r="BD2596" s="3" t="s">
        <v>68</v>
      </c>
      <c r="BE2596" s="3" t="s">
        <v>25495</v>
      </c>
      <c r="BF2596" s="3" t="s">
        <v>25494</v>
      </c>
      <c r="BG2596" s="3" t="s">
        <v>25496</v>
      </c>
    </row>
    <row r="2597" spans="1:59" ht="57" x14ac:dyDescent="0.45">
      <c r="A2597" s="2" t="s">
        <v>59</v>
      </c>
      <c r="B2597" s="2" t="s">
        <v>60</v>
      </c>
      <c r="C2597" s="2" t="s">
        <v>25497</v>
      </c>
      <c r="D2597" s="2" t="s">
        <v>25498</v>
      </c>
      <c r="E2597" s="2" t="s">
        <v>25499</v>
      </c>
      <c r="G2597" s="3" t="s">
        <v>62</v>
      </c>
      <c r="I2597" s="3" t="s">
        <v>62</v>
      </c>
      <c r="J2597" s="3" t="s">
        <v>62</v>
      </c>
      <c r="K2597" s="3" t="s">
        <v>63</v>
      </c>
      <c r="L2597" s="2" t="s">
        <v>25500</v>
      </c>
      <c r="M2597" s="2" t="s">
        <v>20575</v>
      </c>
      <c r="N2597" s="3" t="s">
        <v>1465</v>
      </c>
      <c r="P2597" s="3" t="s">
        <v>65</v>
      </c>
      <c r="Q2597" s="2" t="s">
        <v>4093</v>
      </c>
      <c r="R2597" s="3" t="s">
        <v>66</v>
      </c>
      <c r="S2597" s="4">
        <v>10</v>
      </c>
      <c r="T2597" s="4">
        <v>10</v>
      </c>
      <c r="U2597" s="5" t="s">
        <v>22961</v>
      </c>
      <c r="V2597" s="5" t="s">
        <v>22961</v>
      </c>
      <c r="W2597" s="5" t="s">
        <v>67</v>
      </c>
      <c r="X2597" s="5" t="s">
        <v>67</v>
      </c>
      <c r="Y2597" s="4">
        <v>185</v>
      </c>
      <c r="Z2597" s="4">
        <v>15</v>
      </c>
      <c r="AA2597" s="4">
        <v>16</v>
      </c>
      <c r="AB2597" s="4">
        <v>2</v>
      </c>
      <c r="AC2597" s="4">
        <v>3</v>
      </c>
      <c r="AD2597" s="4">
        <v>29</v>
      </c>
      <c r="AE2597" s="4">
        <v>30</v>
      </c>
      <c r="AF2597" s="4">
        <v>0</v>
      </c>
      <c r="AG2597" s="4">
        <v>1</v>
      </c>
      <c r="AH2597" s="4">
        <v>24</v>
      </c>
      <c r="AI2597" s="4">
        <v>24</v>
      </c>
      <c r="AJ2597" s="4">
        <v>8</v>
      </c>
      <c r="AK2597" s="4">
        <v>9</v>
      </c>
      <c r="AL2597" s="4">
        <v>13</v>
      </c>
      <c r="AM2597" s="4">
        <v>13</v>
      </c>
      <c r="AN2597" s="4">
        <v>0</v>
      </c>
      <c r="AO2597" s="4">
        <v>0</v>
      </c>
      <c r="AP2597" s="4">
        <v>10</v>
      </c>
      <c r="AQ2597" s="4">
        <v>11</v>
      </c>
      <c r="AR2597" s="3" t="s">
        <v>62</v>
      </c>
      <c r="AS2597" s="3" t="s">
        <v>62</v>
      </c>
      <c r="AT2597" s="3" t="s">
        <v>62</v>
      </c>
      <c r="AV2597" s="6" t="str">
        <f>HYPERLINK("http://mcgill.on.worldcat.org/oclc/244057418","Catalog Record")</f>
        <v>Catalog Record</v>
      </c>
      <c r="AW2597" s="6" t="str">
        <f>HYPERLINK("http://www.worldcat.org/oclc/244057418","WorldCat Record")</f>
        <v>WorldCat Record</v>
      </c>
      <c r="AX2597" s="3" t="s">
        <v>25501</v>
      </c>
      <c r="AY2597" s="3" t="s">
        <v>25502</v>
      </c>
      <c r="AZ2597" s="3" t="s">
        <v>25503</v>
      </c>
      <c r="BA2597" s="3" t="s">
        <v>25503</v>
      </c>
      <c r="BB2597" s="3" t="s">
        <v>25504</v>
      </c>
      <c r="BC2597" s="3" t="s">
        <v>142</v>
      </c>
      <c r="BD2597" s="3" t="s">
        <v>68</v>
      </c>
      <c r="BE2597" s="3" t="s">
        <v>25505</v>
      </c>
      <c r="BF2597" s="3" t="s">
        <v>25504</v>
      </c>
      <c r="BG2597" s="3" t="s">
        <v>25506</v>
      </c>
    </row>
    <row r="2598" spans="1:59" ht="57" x14ac:dyDescent="0.45">
      <c r="A2598" s="2" t="s">
        <v>59</v>
      </c>
      <c r="B2598" s="2" t="s">
        <v>60</v>
      </c>
      <c r="C2598" s="2" t="s">
        <v>25507</v>
      </c>
      <c r="D2598" s="2" t="s">
        <v>25508</v>
      </c>
      <c r="E2598" s="2" t="s">
        <v>25509</v>
      </c>
      <c r="G2598" s="3" t="s">
        <v>62</v>
      </c>
      <c r="I2598" s="3" t="s">
        <v>62</v>
      </c>
      <c r="J2598" s="3" t="s">
        <v>61</v>
      </c>
      <c r="K2598" s="3" t="s">
        <v>63</v>
      </c>
      <c r="L2598" s="2" t="s">
        <v>3409</v>
      </c>
      <c r="M2598" s="2" t="s">
        <v>25510</v>
      </c>
      <c r="N2598" s="3" t="s">
        <v>958</v>
      </c>
      <c r="P2598" s="3" t="s">
        <v>65</v>
      </c>
      <c r="R2598" s="3" t="s">
        <v>66</v>
      </c>
      <c r="S2598" s="4">
        <v>4</v>
      </c>
      <c r="T2598" s="4">
        <v>4</v>
      </c>
      <c r="U2598" s="5" t="s">
        <v>6809</v>
      </c>
      <c r="V2598" s="5" t="s">
        <v>6809</v>
      </c>
      <c r="W2598" s="5" t="s">
        <v>67</v>
      </c>
      <c r="X2598" s="5" t="s">
        <v>67</v>
      </c>
      <c r="Y2598" s="4">
        <v>401</v>
      </c>
      <c r="Z2598" s="4">
        <v>22</v>
      </c>
      <c r="AA2598" s="4">
        <v>26</v>
      </c>
      <c r="AB2598" s="4">
        <v>2</v>
      </c>
      <c r="AC2598" s="4">
        <v>4</v>
      </c>
      <c r="AD2598" s="4">
        <v>90</v>
      </c>
      <c r="AE2598" s="4">
        <v>95</v>
      </c>
      <c r="AF2598" s="4">
        <v>1</v>
      </c>
      <c r="AG2598" s="4">
        <v>3</v>
      </c>
      <c r="AH2598" s="4">
        <v>79</v>
      </c>
      <c r="AI2598" s="4">
        <v>81</v>
      </c>
      <c r="AJ2598" s="4">
        <v>15</v>
      </c>
      <c r="AK2598" s="4">
        <v>18</v>
      </c>
      <c r="AL2598" s="4">
        <v>42</v>
      </c>
      <c r="AM2598" s="4">
        <v>43</v>
      </c>
      <c r="AN2598" s="4">
        <v>0</v>
      </c>
      <c r="AO2598" s="4">
        <v>0</v>
      </c>
      <c r="AP2598" s="4">
        <v>19</v>
      </c>
      <c r="AQ2598" s="4">
        <v>22</v>
      </c>
      <c r="AR2598" s="3" t="s">
        <v>62</v>
      </c>
      <c r="AS2598" s="3" t="s">
        <v>62</v>
      </c>
      <c r="AT2598" s="3" t="s">
        <v>62</v>
      </c>
      <c r="AV2598" s="6" t="str">
        <f>HYPERLINK("http://mcgill.on.worldcat.org/oclc/32429357","Catalog Record")</f>
        <v>Catalog Record</v>
      </c>
      <c r="AW2598" s="6" t="str">
        <f>HYPERLINK("http://www.worldcat.org/oclc/32429357","WorldCat Record")</f>
        <v>WorldCat Record</v>
      </c>
      <c r="AX2598" s="3" t="s">
        <v>25511</v>
      </c>
      <c r="AY2598" s="3" t="s">
        <v>25512</v>
      </c>
      <c r="AZ2598" s="3" t="s">
        <v>25513</v>
      </c>
      <c r="BA2598" s="3" t="s">
        <v>25513</v>
      </c>
      <c r="BB2598" s="3" t="s">
        <v>25514</v>
      </c>
      <c r="BC2598" s="3" t="s">
        <v>142</v>
      </c>
      <c r="BD2598" s="3" t="s">
        <v>68</v>
      </c>
      <c r="BE2598" s="3" t="s">
        <v>25515</v>
      </c>
      <c r="BF2598" s="3" t="s">
        <v>25514</v>
      </c>
      <c r="BG2598" s="3" t="s">
        <v>25516</v>
      </c>
    </row>
    <row r="2599" spans="1:59" ht="57" x14ac:dyDescent="0.45">
      <c r="A2599" s="2" t="s">
        <v>59</v>
      </c>
      <c r="B2599" s="2" t="s">
        <v>60</v>
      </c>
      <c r="C2599" s="2" t="s">
        <v>25517</v>
      </c>
      <c r="D2599" s="2" t="s">
        <v>25518</v>
      </c>
      <c r="E2599" s="2" t="s">
        <v>25509</v>
      </c>
      <c r="G2599" s="3" t="s">
        <v>62</v>
      </c>
      <c r="I2599" s="3" t="s">
        <v>62</v>
      </c>
      <c r="J2599" s="3" t="s">
        <v>61</v>
      </c>
      <c r="K2599" s="3" t="s">
        <v>63</v>
      </c>
      <c r="L2599" s="2" t="s">
        <v>3409</v>
      </c>
      <c r="M2599" s="2" t="s">
        <v>25519</v>
      </c>
      <c r="N2599" s="3" t="s">
        <v>1855</v>
      </c>
      <c r="P2599" s="3" t="s">
        <v>65</v>
      </c>
      <c r="R2599" s="3" t="s">
        <v>66</v>
      </c>
      <c r="S2599" s="4">
        <v>10</v>
      </c>
      <c r="T2599" s="4">
        <v>10</v>
      </c>
      <c r="U2599" s="5" t="s">
        <v>12354</v>
      </c>
      <c r="V2599" s="5" t="s">
        <v>12354</v>
      </c>
      <c r="W2599" s="5" t="s">
        <v>67</v>
      </c>
      <c r="X2599" s="5" t="s">
        <v>67</v>
      </c>
      <c r="Y2599" s="4">
        <v>2</v>
      </c>
      <c r="Z2599" s="4">
        <v>0</v>
      </c>
      <c r="AA2599" s="4">
        <v>26</v>
      </c>
      <c r="AB2599" s="4">
        <v>0</v>
      </c>
      <c r="AC2599" s="4">
        <v>4</v>
      </c>
      <c r="AD2599" s="4">
        <v>0</v>
      </c>
      <c r="AE2599" s="4">
        <v>95</v>
      </c>
      <c r="AF2599" s="4">
        <v>0</v>
      </c>
      <c r="AG2599" s="4">
        <v>3</v>
      </c>
      <c r="AH2599" s="4">
        <v>0</v>
      </c>
      <c r="AI2599" s="4">
        <v>81</v>
      </c>
      <c r="AJ2599" s="4">
        <v>0</v>
      </c>
      <c r="AK2599" s="4">
        <v>18</v>
      </c>
      <c r="AL2599" s="4">
        <v>0</v>
      </c>
      <c r="AM2599" s="4">
        <v>43</v>
      </c>
      <c r="AN2599" s="4">
        <v>0</v>
      </c>
      <c r="AO2599" s="4">
        <v>0</v>
      </c>
      <c r="AP2599" s="4">
        <v>0</v>
      </c>
      <c r="AQ2599" s="4">
        <v>22</v>
      </c>
      <c r="AR2599" s="3" t="s">
        <v>62</v>
      </c>
      <c r="AS2599" s="3" t="s">
        <v>62</v>
      </c>
      <c r="AT2599" s="3" t="s">
        <v>62</v>
      </c>
      <c r="AV2599" s="6" t="str">
        <f>HYPERLINK("http://mcgill.on.worldcat.org/oclc/691102844","Catalog Record")</f>
        <v>Catalog Record</v>
      </c>
      <c r="AW2599" s="6" t="str">
        <f>HYPERLINK("http://www.worldcat.org/oclc/691102844","WorldCat Record")</f>
        <v>WorldCat Record</v>
      </c>
      <c r="AX2599" s="3" t="s">
        <v>25511</v>
      </c>
      <c r="AY2599" s="3" t="s">
        <v>25520</v>
      </c>
      <c r="AZ2599" s="3" t="s">
        <v>25521</v>
      </c>
      <c r="BA2599" s="3" t="s">
        <v>25521</v>
      </c>
      <c r="BB2599" s="3" t="s">
        <v>25522</v>
      </c>
      <c r="BC2599" s="3" t="s">
        <v>142</v>
      </c>
      <c r="BD2599" s="3" t="s">
        <v>308</v>
      </c>
      <c r="BE2599" s="3" t="s">
        <v>25523</v>
      </c>
      <c r="BF2599" s="3" t="s">
        <v>25522</v>
      </c>
      <c r="BG2599" s="3" t="s">
        <v>25524</v>
      </c>
    </row>
    <row r="2600" spans="1:59" ht="57" x14ac:dyDescent="0.45">
      <c r="A2600" s="2" t="s">
        <v>59</v>
      </c>
      <c r="B2600" s="2" t="s">
        <v>60</v>
      </c>
      <c r="C2600" s="2" t="s">
        <v>25525</v>
      </c>
      <c r="D2600" s="2" t="s">
        <v>25526</v>
      </c>
      <c r="E2600" s="2" t="s">
        <v>25527</v>
      </c>
      <c r="G2600" s="3" t="s">
        <v>62</v>
      </c>
      <c r="I2600" s="3" t="s">
        <v>62</v>
      </c>
      <c r="J2600" s="3" t="s">
        <v>62</v>
      </c>
      <c r="K2600" s="3" t="s">
        <v>63</v>
      </c>
      <c r="M2600" s="2" t="s">
        <v>25528</v>
      </c>
      <c r="N2600" s="3" t="s">
        <v>1465</v>
      </c>
      <c r="P2600" s="3" t="s">
        <v>65</v>
      </c>
      <c r="Q2600" s="2" t="s">
        <v>25529</v>
      </c>
      <c r="R2600" s="3" t="s">
        <v>66</v>
      </c>
      <c r="S2600" s="4">
        <v>10</v>
      </c>
      <c r="T2600" s="4">
        <v>10</v>
      </c>
      <c r="U2600" s="5" t="s">
        <v>25530</v>
      </c>
      <c r="V2600" s="5" t="s">
        <v>25530</v>
      </c>
      <c r="W2600" s="5" t="s">
        <v>67</v>
      </c>
      <c r="X2600" s="5" t="s">
        <v>67</v>
      </c>
      <c r="Y2600" s="4">
        <v>248</v>
      </c>
      <c r="Z2600" s="4">
        <v>25</v>
      </c>
      <c r="AA2600" s="4">
        <v>26</v>
      </c>
      <c r="AB2600" s="4">
        <v>3</v>
      </c>
      <c r="AC2600" s="4">
        <v>4</v>
      </c>
      <c r="AD2600" s="4">
        <v>81</v>
      </c>
      <c r="AE2600" s="4">
        <v>82</v>
      </c>
      <c r="AF2600" s="4">
        <v>1</v>
      </c>
      <c r="AG2600" s="4">
        <v>2</v>
      </c>
      <c r="AH2600" s="4">
        <v>71</v>
      </c>
      <c r="AI2600" s="4">
        <v>72</v>
      </c>
      <c r="AJ2600" s="4">
        <v>16</v>
      </c>
      <c r="AK2600" s="4">
        <v>17</v>
      </c>
      <c r="AL2600" s="4">
        <v>41</v>
      </c>
      <c r="AM2600" s="4">
        <v>41</v>
      </c>
      <c r="AN2600" s="4">
        <v>0</v>
      </c>
      <c r="AO2600" s="4">
        <v>0</v>
      </c>
      <c r="AP2600" s="4">
        <v>19</v>
      </c>
      <c r="AQ2600" s="4">
        <v>20</v>
      </c>
      <c r="AR2600" s="3" t="s">
        <v>62</v>
      </c>
      <c r="AS2600" s="3" t="s">
        <v>62</v>
      </c>
      <c r="AT2600" s="3" t="s">
        <v>61</v>
      </c>
      <c r="AU2600" s="6" t="str">
        <f>HYPERLINK("http://catalog.hathitrust.org/Record/006857632","HathiTrust Record")</f>
        <v>HathiTrust Record</v>
      </c>
      <c r="AV2600" s="6" t="str">
        <f>HYPERLINK("http://mcgill.on.worldcat.org/oclc/320622239","Catalog Record")</f>
        <v>Catalog Record</v>
      </c>
      <c r="AW2600" s="6" t="str">
        <f>HYPERLINK("http://www.worldcat.org/oclc/320622239","WorldCat Record")</f>
        <v>WorldCat Record</v>
      </c>
      <c r="AX2600" s="3" t="s">
        <v>25531</v>
      </c>
      <c r="AY2600" s="3" t="s">
        <v>25532</v>
      </c>
      <c r="AZ2600" s="3" t="s">
        <v>25533</v>
      </c>
      <c r="BA2600" s="3" t="s">
        <v>25533</v>
      </c>
      <c r="BB2600" s="3" t="s">
        <v>25534</v>
      </c>
      <c r="BC2600" s="3" t="s">
        <v>142</v>
      </c>
      <c r="BD2600" s="3" t="s">
        <v>68</v>
      </c>
      <c r="BE2600" s="3" t="s">
        <v>25535</v>
      </c>
      <c r="BF2600" s="3" t="s">
        <v>25534</v>
      </c>
      <c r="BG2600" s="3" t="s">
        <v>25536</v>
      </c>
    </row>
    <row r="2601" spans="1:59" ht="57" x14ac:dyDescent="0.45">
      <c r="A2601" s="2" t="s">
        <v>59</v>
      </c>
      <c r="B2601" s="2" t="s">
        <v>60</v>
      </c>
      <c r="C2601" s="2" t="s">
        <v>25537</v>
      </c>
      <c r="D2601" s="2" t="s">
        <v>25538</v>
      </c>
      <c r="E2601" s="2" t="s">
        <v>25539</v>
      </c>
      <c r="G2601" s="3" t="s">
        <v>62</v>
      </c>
      <c r="I2601" s="3" t="s">
        <v>62</v>
      </c>
      <c r="J2601" s="3" t="s">
        <v>62</v>
      </c>
      <c r="K2601" s="3" t="s">
        <v>63</v>
      </c>
      <c r="M2601" s="2" t="s">
        <v>1781</v>
      </c>
      <c r="N2601" s="3" t="s">
        <v>149</v>
      </c>
      <c r="P2601" s="3" t="s">
        <v>65</v>
      </c>
      <c r="Q2601" s="2" t="s">
        <v>1782</v>
      </c>
      <c r="R2601" s="3" t="s">
        <v>66</v>
      </c>
      <c r="S2601" s="4">
        <v>10</v>
      </c>
      <c r="T2601" s="4">
        <v>10</v>
      </c>
      <c r="U2601" s="5" t="s">
        <v>19383</v>
      </c>
      <c r="V2601" s="5" t="s">
        <v>19383</v>
      </c>
      <c r="W2601" s="5" t="s">
        <v>67</v>
      </c>
      <c r="X2601" s="5" t="s">
        <v>67</v>
      </c>
      <c r="Y2601" s="4">
        <v>177</v>
      </c>
      <c r="Z2601" s="4">
        <v>20</v>
      </c>
      <c r="AA2601" s="4">
        <v>97</v>
      </c>
      <c r="AB2601" s="4">
        <v>2</v>
      </c>
      <c r="AC2601" s="4">
        <v>17</v>
      </c>
      <c r="AD2601" s="4">
        <v>69</v>
      </c>
      <c r="AE2601" s="4">
        <v>130</v>
      </c>
      <c r="AF2601" s="4">
        <v>1</v>
      </c>
      <c r="AG2601" s="4">
        <v>8</v>
      </c>
      <c r="AH2601" s="4">
        <v>63</v>
      </c>
      <c r="AI2601" s="4">
        <v>93</v>
      </c>
      <c r="AJ2601" s="4">
        <v>16</v>
      </c>
      <c r="AK2601" s="4">
        <v>25</v>
      </c>
      <c r="AL2601" s="4">
        <v>35</v>
      </c>
      <c r="AM2601" s="4">
        <v>50</v>
      </c>
      <c r="AN2601" s="4">
        <v>0</v>
      </c>
      <c r="AO2601" s="4">
        <v>0</v>
      </c>
      <c r="AP2601" s="4">
        <v>18</v>
      </c>
      <c r="AQ2601" s="4">
        <v>47</v>
      </c>
      <c r="AR2601" s="3" t="s">
        <v>62</v>
      </c>
      <c r="AS2601" s="3" t="s">
        <v>62</v>
      </c>
      <c r="AT2601" s="3" t="s">
        <v>62</v>
      </c>
      <c r="AV2601" s="6" t="str">
        <f>HYPERLINK("http://mcgill.on.worldcat.org/oclc/432982929","Catalog Record")</f>
        <v>Catalog Record</v>
      </c>
      <c r="AW2601" s="6" t="str">
        <f>HYPERLINK("http://www.worldcat.org/oclc/432982929","WorldCat Record")</f>
        <v>WorldCat Record</v>
      </c>
      <c r="AX2601" s="3" t="s">
        <v>25540</v>
      </c>
      <c r="AY2601" s="3" t="s">
        <v>25541</v>
      </c>
      <c r="AZ2601" s="3" t="s">
        <v>25542</v>
      </c>
      <c r="BA2601" s="3" t="s">
        <v>25542</v>
      </c>
      <c r="BB2601" s="3" t="s">
        <v>25543</v>
      </c>
      <c r="BC2601" s="3" t="s">
        <v>142</v>
      </c>
      <c r="BD2601" s="3" t="s">
        <v>68</v>
      </c>
      <c r="BE2601" s="3" t="s">
        <v>25544</v>
      </c>
      <c r="BF2601" s="3" t="s">
        <v>25543</v>
      </c>
      <c r="BG2601" s="3" t="s">
        <v>25545</v>
      </c>
    </row>
    <row r="2602" spans="1:59" ht="57" x14ac:dyDescent="0.45">
      <c r="A2602" s="2" t="s">
        <v>59</v>
      </c>
      <c r="B2602" s="2" t="s">
        <v>60</v>
      </c>
      <c r="C2602" s="2" t="s">
        <v>25546</v>
      </c>
      <c r="D2602" s="2" t="s">
        <v>25547</v>
      </c>
      <c r="E2602" s="2" t="s">
        <v>25548</v>
      </c>
      <c r="G2602" s="3" t="s">
        <v>62</v>
      </c>
      <c r="I2602" s="3" t="s">
        <v>62</v>
      </c>
      <c r="J2602" s="3" t="s">
        <v>62</v>
      </c>
      <c r="K2602" s="3" t="s">
        <v>63</v>
      </c>
      <c r="M2602" s="2" t="s">
        <v>4758</v>
      </c>
      <c r="N2602" s="3" t="s">
        <v>945</v>
      </c>
      <c r="P2602" s="3" t="s">
        <v>65</v>
      </c>
      <c r="Q2602" s="2" t="s">
        <v>1782</v>
      </c>
      <c r="R2602" s="3" t="s">
        <v>66</v>
      </c>
      <c r="S2602" s="4">
        <v>11</v>
      </c>
      <c r="T2602" s="4">
        <v>11</v>
      </c>
      <c r="U2602" s="5" t="s">
        <v>25549</v>
      </c>
      <c r="V2602" s="5" t="s">
        <v>25549</v>
      </c>
      <c r="W2602" s="5" t="s">
        <v>67</v>
      </c>
      <c r="X2602" s="5" t="s">
        <v>67</v>
      </c>
      <c r="Y2602" s="4">
        <v>271</v>
      </c>
      <c r="Z2602" s="4">
        <v>27</v>
      </c>
      <c r="AA2602" s="4">
        <v>102</v>
      </c>
      <c r="AB2602" s="4">
        <v>2</v>
      </c>
      <c r="AC2602" s="4">
        <v>17</v>
      </c>
      <c r="AD2602" s="4">
        <v>86</v>
      </c>
      <c r="AE2602" s="4">
        <v>139</v>
      </c>
      <c r="AF2602" s="4">
        <v>1</v>
      </c>
      <c r="AG2602" s="4">
        <v>8</v>
      </c>
      <c r="AH2602" s="4">
        <v>75</v>
      </c>
      <c r="AI2602" s="4">
        <v>100</v>
      </c>
      <c r="AJ2602" s="4">
        <v>18</v>
      </c>
      <c r="AK2602" s="4">
        <v>26</v>
      </c>
      <c r="AL2602" s="4">
        <v>41</v>
      </c>
      <c r="AM2602" s="4">
        <v>55</v>
      </c>
      <c r="AN2602" s="4">
        <v>0</v>
      </c>
      <c r="AO2602" s="4">
        <v>0</v>
      </c>
      <c r="AP2602" s="4">
        <v>21</v>
      </c>
      <c r="AQ2602" s="4">
        <v>49</v>
      </c>
      <c r="AR2602" s="3" t="s">
        <v>62</v>
      </c>
      <c r="AS2602" s="3" t="s">
        <v>62</v>
      </c>
      <c r="AT2602" s="3" t="s">
        <v>61</v>
      </c>
      <c r="AU2602" s="6" t="str">
        <f>HYPERLINK("http://catalog.hathitrust.org/Record/005660484","HathiTrust Record")</f>
        <v>HathiTrust Record</v>
      </c>
      <c r="AV2602" s="6" t="str">
        <f>HYPERLINK("http://mcgill.on.worldcat.org/oclc/122309101","Catalog Record")</f>
        <v>Catalog Record</v>
      </c>
      <c r="AW2602" s="6" t="str">
        <f>HYPERLINK("http://www.worldcat.org/oclc/122309101","WorldCat Record")</f>
        <v>WorldCat Record</v>
      </c>
      <c r="AX2602" s="3" t="s">
        <v>25550</v>
      </c>
      <c r="AY2602" s="3" t="s">
        <v>25551</v>
      </c>
      <c r="AZ2602" s="3" t="s">
        <v>25552</v>
      </c>
      <c r="BA2602" s="3" t="s">
        <v>25552</v>
      </c>
      <c r="BB2602" s="3" t="s">
        <v>25553</v>
      </c>
      <c r="BC2602" s="3" t="s">
        <v>142</v>
      </c>
      <c r="BD2602" s="3" t="s">
        <v>68</v>
      </c>
      <c r="BE2602" s="3" t="s">
        <v>25554</v>
      </c>
      <c r="BF2602" s="3" t="s">
        <v>25553</v>
      </c>
      <c r="BG2602" s="3" t="s">
        <v>25555</v>
      </c>
    </row>
    <row r="2603" spans="1:59" ht="71.25" x14ac:dyDescent="0.45">
      <c r="A2603" s="2" t="s">
        <v>59</v>
      </c>
      <c r="B2603" s="2" t="s">
        <v>60</v>
      </c>
      <c r="C2603" s="2" t="s">
        <v>25556</v>
      </c>
      <c r="D2603" s="2" t="s">
        <v>25557</v>
      </c>
      <c r="E2603" s="2" t="s">
        <v>25558</v>
      </c>
      <c r="G2603" s="3" t="s">
        <v>62</v>
      </c>
      <c r="I2603" s="3" t="s">
        <v>62</v>
      </c>
      <c r="J2603" s="3" t="s">
        <v>62</v>
      </c>
      <c r="K2603" s="3" t="s">
        <v>63</v>
      </c>
      <c r="L2603" s="2" t="s">
        <v>25559</v>
      </c>
      <c r="M2603" s="2" t="s">
        <v>25560</v>
      </c>
      <c r="N2603" s="3" t="s">
        <v>1465</v>
      </c>
      <c r="P2603" s="3" t="s">
        <v>65</v>
      </c>
      <c r="Q2603" s="2" t="s">
        <v>25561</v>
      </c>
      <c r="R2603" s="3" t="s">
        <v>66</v>
      </c>
      <c r="S2603" s="4">
        <v>11</v>
      </c>
      <c r="T2603" s="4">
        <v>11</v>
      </c>
      <c r="U2603" s="5" t="s">
        <v>25549</v>
      </c>
      <c r="V2603" s="5" t="s">
        <v>25549</v>
      </c>
      <c r="W2603" s="5" t="s">
        <v>67</v>
      </c>
      <c r="X2603" s="5" t="s">
        <v>67</v>
      </c>
      <c r="Y2603" s="4">
        <v>29</v>
      </c>
      <c r="Z2603" s="4">
        <v>2</v>
      </c>
      <c r="AA2603" s="4">
        <v>108</v>
      </c>
      <c r="AB2603" s="4">
        <v>2</v>
      </c>
      <c r="AC2603" s="4">
        <v>18</v>
      </c>
      <c r="AD2603" s="4">
        <v>0</v>
      </c>
      <c r="AE2603" s="4">
        <v>143</v>
      </c>
      <c r="AF2603" s="4">
        <v>0</v>
      </c>
      <c r="AG2603" s="4">
        <v>8</v>
      </c>
      <c r="AH2603" s="4">
        <v>0</v>
      </c>
      <c r="AI2603" s="4">
        <v>100</v>
      </c>
      <c r="AJ2603" s="4">
        <v>0</v>
      </c>
      <c r="AK2603" s="4">
        <v>26</v>
      </c>
      <c r="AL2603" s="4">
        <v>0</v>
      </c>
      <c r="AM2603" s="4">
        <v>51</v>
      </c>
      <c r="AN2603" s="4">
        <v>0</v>
      </c>
      <c r="AO2603" s="4">
        <v>0</v>
      </c>
      <c r="AP2603" s="4">
        <v>0</v>
      </c>
      <c r="AQ2603" s="4">
        <v>53</v>
      </c>
      <c r="AR2603" s="3" t="s">
        <v>62</v>
      </c>
      <c r="AS2603" s="3" t="s">
        <v>62</v>
      </c>
      <c r="AT2603" s="3" t="s">
        <v>62</v>
      </c>
      <c r="AV2603" s="6" t="str">
        <f>HYPERLINK("http://mcgill.on.worldcat.org/oclc/277203901","Catalog Record")</f>
        <v>Catalog Record</v>
      </c>
      <c r="AW2603" s="6" t="str">
        <f>HYPERLINK("http://www.worldcat.org/oclc/277203901","WorldCat Record")</f>
        <v>WorldCat Record</v>
      </c>
      <c r="AX2603" s="3" t="s">
        <v>25562</v>
      </c>
      <c r="AY2603" s="3" t="s">
        <v>25563</v>
      </c>
      <c r="AZ2603" s="3" t="s">
        <v>25564</v>
      </c>
      <c r="BA2603" s="3" t="s">
        <v>25564</v>
      </c>
      <c r="BB2603" s="3" t="s">
        <v>25565</v>
      </c>
      <c r="BC2603" s="3" t="s">
        <v>142</v>
      </c>
      <c r="BD2603" s="3" t="s">
        <v>68</v>
      </c>
      <c r="BE2603" s="3" t="s">
        <v>25566</v>
      </c>
      <c r="BF2603" s="3" t="s">
        <v>25565</v>
      </c>
      <c r="BG2603" s="3" t="s">
        <v>25567</v>
      </c>
    </row>
    <row r="2604" spans="1:59" ht="71.25" x14ac:dyDescent="0.45">
      <c r="A2604" s="2" t="s">
        <v>59</v>
      </c>
      <c r="B2604" s="2" t="s">
        <v>60</v>
      </c>
      <c r="C2604" s="2" t="s">
        <v>25568</v>
      </c>
      <c r="D2604" s="2" t="s">
        <v>25569</v>
      </c>
      <c r="E2604" s="2" t="s">
        <v>25570</v>
      </c>
      <c r="G2604" s="3" t="s">
        <v>62</v>
      </c>
      <c r="I2604" s="3" t="s">
        <v>62</v>
      </c>
      <c r="J2604" s="3" t="s">
        <v>62</v>
      </c>
      <c r="K2604" s="3" t="s">
        <v>63</v>
      </c>
      <c r="L2604" s="2" t="s">
        <v>25571</v>
      </c>
      <c r="M2604" s="2" t="s">
        <v>6999</v>
      </c>
      <c r="N2604" s="3" t="s">
        <v>149</v>
      </c>
      <c r="P2604" s="3" t="s">
        <v>65</v>
      </c>
      <c r="R2604" s="3" t="s">
        <v>66</v>
      </c>
      <c r="S2604" s="4">
        <v>6</v>
      </c>
      <c r="T2604" s="4">
        <v>6</v>
      </c>
      <c r="U2604" s="5" t="s">
        <v>13230</v>
      </c>
      <c r="V2604" s="5" t="s">
        <v>13230</v>
      </c>
      <c r="W2604" s="5" t="s">
        <v>67</v>
      </c>
      <c r="X2604" s="5" t="s">
        <v>67</v>
      </c>
      <c r="Y2604" s="4">
        <v>210</v>
      </c>
      <c r="Z2604" s="4">
        <v>25</v>
      </c>
      <c r="AA2604" s="4">
        <v>30</v>
      </c>
      <c r="AB2604" s="4">
        <v>2</v>
      </c>
      <c r="AC2604" s="4">
        <v>5</v>
      </c>
      <c r="AD2604" s="4">
        <v>86</v>
      </c>
      <c r="AE2604" s="4">
        <v>93</v>
      </c>
      <c r="AF2604" s="4">
        <v>1</v>
      </c>
      <c r="AG2604" s="4">
        <v>2</v>
      </c>
      <c r="AH2604" s="4">
        <v>76</v>
      </c>
      <c r="AI2604" s="4">
        <v>82</v>
      </c>
      <c r="AJ2604" s="4">
        <v>16</v>
      </c>
      <c r="AK2604" s="4">
        <v>18</v>
      </c>
      <c r="AL2604" s="4">
        <v>39</v>
      </c>
      <c r="AM2604" s="4">
        <v>42</v>
      </c>
      <c r="AN2604" s="4">
        <v>0</v>
      </c>
      <c r="AO2604" s="4">
        <v>0</v>
      </c>
      <c r="AP2604" s="4">
        <v>20</v>
      </c>
      <c r="AQ2604" s="4">
        <v>22</v>
      </c>
      <c r="AR2604" s="3" t="s">
        <v>62</v>
      </c>
      <c r="AS2604" s="3" t="s">
        <v>62</v>
      </c>
      <c r="AT2604" s="3" t="s">
        <v>62</v>
      </c>
      <c r="AV2604" s="6" t="str">
        <f>HYPERLINK("http://mcgill.on.worldcat.org/oclc/609541078","Catalog Record")</f>
        <v>Catalog Record</v>
      </c>
      <c r="AW2604" s="6" t="str">
        <f>HYPERLINK("http://www.worldcat.org/oclc/609541078","WorldCat Record")</f>
        <v>WorldCat Record</v>
      </c>
      <c r="AX2604" s="3" t="s">
        <v>25572</v>
      </c>
      <c r="AY2604" s="3" t="s">
        <v>25573</v>
      </c>
      <c r="AZ2604" s="3" t="s">
        <v>25574</v>
      </c>
      <c r="BA2604" s="3" t="s">
        <v>25574</v>
      </c>
      <c r="BB2604" s="3" t="s">
        <v>25575</v>
      </c>
      <c r="BC2604" s="3" t="s">
        <v>142</v>
      </c>
      <c r="BD2604" s="3" t="s">
        <v>68</v>
      </c>
      <c r="BE2604" s="3" t="s">
        <v>25576</v>
      </c>
      <c r="BF2604" s="3" t="s">
        <v>25575</v>
      </c>
      <c r="BG2604" s="3" t="s">
        <v>25577</v>
      </c>
    </row>
    <row r="2605" spans="1:59" ht="57" x14ac:dyDescent="0.45">
      <c r="A2605" s="2" t="s">
        <v>59</v>
      </c>
      <c r="B2605" s="2" t="s">
        <v>60</v>
      </c>
      <c r="C2605" s="2" t="s">
        <v>25578</v>
      </c>
      <c r="D2605" s="2" t="s">
        <v>25579</v>
      </c>
      <c r="E2605" s="2" t="s">
        <v>25580</v>
      </c>
      <c r="G2605" s="3" t="s">
        <v>62</v>
      </c>
      <c r="I2605" s="3" t="s">
        <v>62</v>
      </c>
      <c r="J2605" s="3" t="s">
        <v>62</v>
      </c>
      <c r="K2605" s="3" t="s">
        <v>63</v>
      </c>
      <c r="L2605" s="2" t="s">
        <v>25581</v>
      </c>
      <c r="M2605" s="2" t="s">
        <v>6523</v>
      </c>
      <c r="N2605" s="3" t="s">
        <v>1059</v>
      </c>
      <c r="P2605" s="3" t="s">
        <v>65</v>
      </c>
      <c r="Q2605" s="2" t="s">
        <v>6306</v>
      </c>
      <c r="R2605" s="3" t="s">
        <v>66</v>
      </c>
      <c r="S2605" s="4">
        <v>15</v>
      </c>
      <c r="T2605" s="4">
        <v>15</v>
      </c>
      <c r="U2605" s="5" t="s">
        <v>473</v>
      </c>
      <c r="V2605" s="5" t="s">
        <v>473</v>
      </c>
      <c r="W2605" s="5" t="s">
        <v>67</v>
      </c>
      <c r="X2605" s="5" t="s">
        <v>67</v>
      </c>
      <c r="Y2605" s="4">
        <v>287</v>
      </c>
      <c r="Z2605" s="4">
        <v>20</v>
      </c>
      <c r="AA2605" s="4">
        <v>63</v>
      </c>
      <c r="AB2605" s="4">
        <v>2</v>
      </c>
      <c r="AC2605" s="4">
        <v>17</v>
      </c>
      <c r="AD2605" s="4">
        <v>92</v>
      </c>
      <c r="AE2605" s="4">
        <v>126</v>
      </c>
      <c r="AF2605" s="4">
        <v>1</v>
      </c>
      <c r="AG2605" s="4">
        <v>8</v>
      </c>
      <c r="AH2605" s="4">
        <v>85</v>
      </c>
      <c r="AI2605" s="4">
        <v>88</v>
      </c>
      <c r="AJ2605" s="4">
        <v>15</v>
      </c>
      <c r="AK2605" s="4">
        <v>25</v>
      </c>
      <c r="AL2605" s="4">
        <v>47</v>
      </c>
      <c r="AM2605" s="4">
        <v>47</v>
      </c>
      <c r="AN2605" s="4">
        <v>0</v>
      </c>
      <c r="AO2605" s="4">
        <v>0</v>
      </c>
      <c r="AP2605" s="4">
        <v>17</v>
      </c>
      <c r="AQ2605" s="4">
        <v>49</v>
      </c>
      <c r="AR2605" s="3" t="s">
        <v>62</v>
      </c>
      <c r="AS2605" s="3" t="s">
        <v>62</v>
      </c>
      <c r="AT2605" s="3" t="s">
        <v>62</v>
      </c>
      <c r="AV2605" s="6" t="str">
        <f>HYPERLINK("http://mcgill.on.worldcat.org/oclc/63660230","Catalog Record")</f>
        <v>Catalog Record</v>
      </c>
      <c r="AW2605" s="6" t="str">
        <f>HYPERLINK("http://www.worldcat.org/oclc/63660230","WorldCat Record")</f>
        <v>WorldCat Record</v>
      </c>
      <c r="AX2605" s="3" t="s">
        <v>25582</v>
      </c>
      <c r="AY2605" s="3" t="s">
        <v>25583</v>
      </c>
      <c r="AZ2605" s="3" t="s">
        <v>25584</v>
      </c>
      <c r="BA2605" s="3" t="s">
        <v>25584</v>
      </c>
      <c r="BB2605" s="3" t="s">
        <v>25585</v>
      </c>
      <c r="BC2605" s="3" t="s">
        <v>142</v>
      </c>
      <c r="BD2605" s="3" t="s">
        <v>68</v>
      </c>
      <c r="BE2605" s="3" t="s">
        <v>25586</v>
      </c>
      <c r="BF2605" s="3" t="s">
        <v>25585</v>
      </c>
      <c r="BG2605" s="3" t="s">
        <v>25587</v>
      </c>
    </row>
    <row r="2606" spans="1:59" ht="57" x14ac:dyDescent="0.45">
      <c r="A2606" s="2" t="s">
        <v>59</v>
      </c>
      <c r="B2606" s="2" t="s">
        <v>60</v>
      </c>
      <c r="C2606" s="2" t="s">
        <v>25588</v>
      </c>
      <c r="D2606" s="2" t="s">
        <v>25589</v>
      </c>
      <c r="E2606" s="2" t="s">
        <v>25590</v>
      </c>
      <c r="G2606" s="3" t="s">
        <v>62</v>
      </c>
      <c r="I2606" s="3" t="s">
        <v>62</v>
      </c>
      <c r="J2606" s="3" t="s">
        <v>62</v>
      </c>
      <c r="K2606" s="3" t="s">
        <v>63</v>
      </c>
      <c r="L2606" s="2" t="s">
        <v>25591</v>
      </c>
      <c r="M2606" s="2" t="s">
        <v>25592</v>
      </c>
      <c r="N2606" s="3" t="s">
        <v>1253</v>
      </c>
      <c r="P2606" s="3" t="s">
        <v>65</v>
      </c>
      <c r="Q2606" s="2" t="s">
        <v>25593</v>
      </c>
      <c r="R2606" s="3" t="s">
        <v>66</v>
      </c>
      <c r="S2606" s="4">
        <v>5</v>
      </c>
      <c r="T2606" s="4">
        <v>5</v>
      </c>
      <c r="U2606" s="5" t="s">
        <v>19383</v>
      </c>
      <c r="V2606" s="5" t="s">
        <v>19383</v>
      </c>
      <c r="W2606" s="5" t="s">
        <v>67</v>
      </c>
      <c r="X2606" s="5" t="s">
        <v>67</v>
      </c>
      <c r="Y2606" s="4">
        <v>186</v>
      </c>
      <c r="Z2606" s="4">
        <v>8</v>
      </c>
      <c r="AA2606" s="4">
        <v>8</v>
      </c>
      <c r="AB2606" s="4">
        <v>1</v>
      </c>
      <c r="AC2606" s="4">
        <v>1</v>
      </c>
      <c r="AD2606" s="4">
        <v>81</v>
      </c>
      <c r="AE2606" s="4">
        <v>81</v>
      </c>
      <c r="AF2606" s="4">
        <v>0</v>
      </c>
      <c r="AG2606" s="4">
        <v>0</v>
      </c>
      <c r="AH2606" s="4">
        <v>77</v>
      </c>
      <c r="AI2606" s="4">
        <v>77</v>
      </c>
      <c r="AJ2606" s="4">
        <v>6</v>
      </c>
      <c r="AK2606" s="4">
        <v>6</v>
      </c>
      <c r="AL2606" s="4">
        <v>52</v>
      </c>
      <c r="AM2606" s="4">
        <v>52</v>
      </c>
      <c r="AN2606" s="4">
        <v>0</v>
      </c>
      <c r="AO2606" s="4">
        <v>0</v>
      </c>
      <c r="AP2606" s="4">
        <v>6</v>
      </c>
      <c r="AQ2606" s="4">
        <v>6</v>
      </c>
      <c r="AR2606" s="3" t="s">
        <v>62</v>
      </c>
      <c r="AS2606" s="3" t="s">
        <v>62</v>
      </c>
      <c r="AT2606" s="3" t="s">
        <v>62</v>
      </c>
      <c r="AV2606" s="6" t="str">
        <f>HYPERLINK("http://mcgill.on.worldcat.org/oclc/36074561","Catalog Record")</f>
        <v>Catalog Record</v>
      </c>
      <c r="AW2606" s="6" t="str">
        <f>HYPERLINK("http://www.worldcat.org/oclc/36074561","WorldCat Record")</f>
        <v>WorldCat Record</v>
      </c>
      <c r="AX2606" s="3" t="s">
        <v>25594</v>
      </c>
      <c r="AY2606" s="3" t="s">
        <v>25595</v>
      </c>
      <c r="AZ2606" s="3" t="s">
        <v>25596</v>
      </c>
      <c r="BA2606" s="3" t="s">
        <v>25596</v>
      </c>
      <c r="BB2606" s="3" t="s">
        <v>25597</v>
      </c>
      <c r="BC2606" s="3" t="s">
        <v>142</v>
      </c>
      <c r="BD2606" s="3" t="s">
        <v>68</v>
      </c>
      <c r="BE2606" s="3" t="s">
        <v>25598</v>
      </c>
      <c r="BF2606" s="3" t="s">
        <v>25597</v>
      </c>
      <c r="BG2606" s="3" t="s">
        <v>25599</v>
      </c>
    </row>
    <row r="2607" spans="1:59" ht="71.25" x14ac:dyDescent="0.45">
      <c r="A2607" s="2" t="s">
        <v>59</v>
      </c>
      <c r="B2607" s="2" t="s">
        <v>60</v>
      </c>
      <c r="C2607" s="2" t="s">
        <v>25600</v>
      </c>
      <c r="D2607" s="2" t="s">
        <v>25601</v>
      </c>
      <c r="E2607" s="2" t="s">
        <v>25602</v>
      </c>
      <c r="G2607" s="3" t="s">
        <v>62</v>
      </c>
      <c r="I2607" s="3" t="s">
        <v>62</v>
      </c>
      <c r="J2607" s="3" t="s">
        <v>62</v>
      </c>
      <c r="K2607" s="3" t="s">
        <v>63</v>
      </c>
      <c r="M2607" s="2" t="s">
        <v>19800</v>
      </c>
      <c r="N2607" s="3" t="s">
        <v>149</v>
      </c>
      <c r="P2607" s="3" t="s">
        <v>65</v>
      </c>
      <c r="R2607" s="3" t="s">
        <v>66</v>
      </c>
      <c r="S2607" s="4">
        <v>5</v>
      </c>
      <c r="T2607" s="4">
        <v>5</v>
      </c>
      <c r="U2607" s="5" t="s">
        <v>25549</v>
      </c>
      <c r="V2607" s="5" t="s">
        <v>25549</v>
      </c>
      <c r="W2607" s="5" t="s">
        <v>67</v>
      </c>
      <c r="X2607" s="5" t="s">
        <v>67</v>
      </c>
      <c r="Y2607" s="4">
        <v>280</v>
      </c>
      <c r="Z2607" s="4">
        <v>29</v>
      </c>
      <c r="AA2607" s="4">
        <v>55</v>
      </c>
      <c r="AB2607" s="4">
        <v>2</v>
      </c>
      <c r="AC2607" s="4">
        <v>4</v>
      </c>
      <c r="AD2607" s="4">
        <v>71</v>
      </c>
      <c r="AE2607" s="4">
        <v>80</v>
      </c>
      <c r="AF2607" s="4">
        <v>1</v>
      </c>
      <c r="AG2607" s="4">
        <v>1</v>
      </c>
      <c r="AH2607" s="4">
        <v>64</v>
      </c>
      <c r="AI2607" s="4">
        <v>69</v>
      </c>
      <c r="AJ2607" s="4">
        <v>14</v>
      </c>
      <c r="AK2607" s="4">
        <v>16</v>
      </c>
      <c r="AL2607" s="4">
        <v>34</v>
      </c>
      <c r="AM2607" s="4">
        <v>36</v>
      </c>
      <c r="AN2607" s="4">
        <v>0</v>
      </c>
      <c r="AO2607" s="4">
        <v>0</v>
      </c>
      <c r="AP2607" s="4">
        <v>16</v>
      </c>
      <c r="AQ2607" s="4">
        <v>21</v>
      </c>
      <c r="AR2607" s="3" t="s">
        <v>62</v>
      </c>
      <c r="AS2607" s="3" t="s">
        <v>62</v>
      </c>
      <c r="AT2607" s="3" t="s">
        <v>62</v>
      </c>
      <c r="AV2607" s="6" t="str">
        <f>HYPERLINK("http://mcgill.on.worldcat.org/oclc/432995264","Catalog Record")</f>
        <v>Catalog Record</v>
      </c>
      <c r="AW2607" s="6" t="str">
        <f>HYPERLINK("http://www.worldcat.org/oclc/432995264","WorldCat Record")</f>
        <v>WorldCat Record</v>
      </c>
      <c r="AX2607" s="3" t="s">
        <v>25603</v>
      </c>
      <c r="AY2607" s="3" t="s">
        <v>25604</v>
      </c>
      <c r="AZ2607" s="3" t="s">
        <v>25605</v>
      </c>
      <c r="BA2607" s="3" t="s">
        <v>25605</v>
      </c>
      <c r="BB2607" s="3" t="s">
        <v>25606</v>
      </c>
      <c r="BC2607" s="3" t="s">
        <v>142</v>
      </c>
      <c r="BD2607" s="3" t="s">
        <v>68</v>
      </c>
      <c r="BE2607" s="3" t="s">
        <v>25607</v>
      </c>
      <c r="BF2607" s="3" t="s">
        <v>25606</v>
      </c>
      <c r="BG2607" s="3" t="s">
        <v>25608</v>
      </c>
    </row>
    <row r="2608" spans="1:59" ht="71.25" x14ac:dyDescent="0.45">
      <c r="A2608" s="2" t="s">
        <v>59</v>
      </c>
      <c r="B2608" s="2" t="s">
        <v>60</v>
      </c>
      <c r="C2608" s="2" t="s">
        <v>25609</v>
      </c>
      <c r="D2608" s="2" t="s">
        <v>25610</v>
      </c>
      <c r="E2608" s="2" t="s">
        <v>25611</v>
      </c>
      <c r="G2608" s="3" t="s">
        <v>62</v>
      </c>
      <c r="I2608" s="3" t="s">
        <v>62</v>
      </c>
      <c r="J2608" s="3" t="s">
        <v>62</v>
      </c>
      <c r="K2608" s="3" t="s">
        <v>63</v>
      </c>
      <c r="M2608" s="2" t="s">
        <v>25612</v>
      </c>
      <c r="N2608" s="3" t="s">
        <v>1059</v>
      </c>
      <c r="P2608" s="3" t="s">
        <v>65</v>
      </c>
      <c r="R2608" s="3" t="s">
        <v>66</v>
      </c>
      <c r="S2608" s="4">
        <v>4</v>
      </c>
      <c r="T2608" s="4">
        <v>4</v>
      </c>
      <c r="U2608" s="5" t="s">
        <v>25613</v>
      </c>
      <c r="V2608" s="5" t="s">
        <v>25613</v>
      </c>
      <c r="W2608" s="5" t="s">
        <v>67</v>
      </c>
      <c r="X2608" s="5" t="s">
        <v>67</v>
      </c>
      <c r="Y2608" s="4">
        <v>80</v>
      </c>
      <c r="Z2608" s="4">
        <v>6</v>
      </c>
      <c r="AA2608" s="4">
        <v>6</v>
      </c>
      <c r="AB2608" s="4">
        <v>1</v>
      </c>
      <c r="AC2608" s="4">
        <v>1</v>
      </c>
      <c r="AD2608" s="4">
        <v>40</v>
      </c>
      <c r="AE2608" s="4">
        <v>41</v>
      </c>
      <c r="AF2608" s="4">
        <v>0</v>
      </c>
      <c r="AG2608" s="4">
        <v>0</v>
      </c>
      <c r="AH2608" s="4">
        <v>37</v>
      </c>
      <c r="AI2608" s="4">
        <v>38</v>
      </c>
      <c r="AJ2608" s="4">
        <v>4</v>
      </c>
      <c r="AK2608" s="4">
        <v>4</v>
      </c>
      <c r="AL2608" s="4">
        <v>29</v>
      </c>
      <c r="AM2608" s="4">
        <v>30</v>
      </c>
      <c r="AN2608" s="4">
        <v>0</v>
      </c>
      <c r="AO2608" s="4">
        <v>0</v>
      </c>
      <c r="AP2608" s="4">
        <v>5</v>
      </c>
      <c r="AQ2608" s="4">
        <v>5</v>
      </c>
      <c r="AR2608" s="3" t="s">
        <v>62</v>
      </c>
      <c r="AS2608" s="3" t="s">
        <v>62</v>
      </c>
      <c r="AT2608" s="3" t="s">
        <v>61</v>
      </c>
      <c r="AU2608" s="6" t="str">
        <f>HYPERLINK("http://catalog.hathitrust.org/Record/005411569","HathiTrust Record")</f>
        <v>HathiTrust Record</v>
      </c>
      <c r="AV2608" s="6" t="str">
        <f>HYPERLINK("http://mcgill.on.worldcat.org/oclc/82365409","Catalog Record")</f>
        <v>Catalog Record</v>
      </c>
      <c r="AW2608" s="6" t="str">
        <f>HYPERLINK("http://www.worldcat.org/oclc/82365409","WorldCat Record")</f>
        <v>WorldCat Record</v>
      </c>
      <c r="AX2608" s="3" t="s">
        <v>25614</v>
      </c>
      <c r="AY2608" s="3" t="s">
        <v>25615</v>
      </c>
      <c r="AZ2608" s="3" t="s">
        <v>25616</v>
      </c>
      <c r="BA2608" s="3" t="s">
        <v>25616</v>
      </c>
      <c r="BB2608" s="3" t="s">
        <v>25617</v>
      </c>
      <c r="BC2608" s="3" t="s">
        <v>142</v>
      </c>
      <c r="BD2608" s="3" t="s">
        <v>68</v>
      </c>
      <c r="BE2608" s="3" t="s">
        <v>25618</v>
      </c>
      <c r="BF2608" s="3" t="s">
        <v>25617</v>
      </c>
      <c r="BG2608" s="3" t="s">
        <v>25619</v>
      </c>
    </row>
    <row r="2609" spans="1:59" ht="57" x14ac:dyDescent="0.45">
      <c r="A2609" s="2" t="s">
        <v>59</v>
      </c>
      <c r="B2609" s="2" t="s">
        <v>60</v>
      </c>
      <c r="C2609" s="2" t="s">
        <v>25620</v>
      </c>
      <c r="D2609" s="2" t="s">
        <v>25621</v>
      </c>
      <c r="E2609" s="2" t="s">
        <v>25622</v>
      </c>
      <c r="G2609" s="3" t="s">
        <v>62</v>
      </c>
      <c r="I2609" s="3" t="s">
        <v>62</v>
      </c>
      <c r="J2609" s="3" t="s">
        <v>62</v>
      </c>
      <c r="K2609" s="3" t="s">
        <v>63</v>
      </c>
      <c r="L2609" s="2" t="s">
        <v>25623</v>
      </c>
      <c r="M2609" s="2" t="s">
        <v>25624</v>
      </c>
      <c r="N2609" s="3" t="s">
        <v>181</v>
      </c>
      <c r="P2609" s="3" t="s">
        <v>65</v>
      </c>
      <c r="R2609" s="3" t="s">
        <v>66</v>
      </c>
      <c r="S2609" s="4">
        <v>3</v>
      </c>
      <c r="T2609" s="4">
        <v>3</v>
      </c>
      <c r="U2609" s="5" t="s">
        <v>25549</v>
      </c>
      <c r="V2609" s="5" t="s">
        <v>25549</v>
      </c>
      <c r="W2609" s="5" t="s">
        <v>67</v>
      </c>
      <c r="X2609" s="5" t="s">
        <v>67</v>
      </c>
      <c r="Y2609" s="4">
        <v>59</v>
      </c>
      <c r="Z2609" s="4">
        <v>16</v>
      </c>
      <c r="AA2609" s="4">
        <v>29</v>
      </c>
      <c r="AB2609" s="4">
        <v>2</v>
      </c>
      <c r="AC2609" s="4">
        <v>6</v>
      </c>
      <c r="AD2609" s="4">
        <v>38</v>
      </c>
      <c r="AE2609" s="4">
        <v>59</v>
      </c>
      <c r="AF2609" s="4">
        <v>1</v>
      </c>
      <c r="AG2609" s="4">
        <v>3</v>
      </c>
      <c r="AH2609" s="4">
        <v>31</v>
      </c>
      <c r="AI2609" s="4">
        <v>45</v>
      </c>
      <c r="AJ2609" s="4">
        <v>8</v>
      </c>
      <c r="AK2609" s="4">
        <v>16</v>
      </c>
      <c r="AL2609" s="4">
        <v>21</v>
      </c>
      <c r="AM2609" s="4">
        <v>27</v>
      </c>
      <c r="AN2609" s="4">
        <v>0</v>
      </c>
      <c r="AO2609" s="4">
        <v>0</v>
      </c>
      <c r="AP2609" s="4">
        <v>9</v>
      </c>
      <c r="AQ2609" s="4">
        <v>19</v>
      </c>
      <c r="AR2609" s="3" t="s">
        <v>62</v>
      </c>
      <c r="AS2609" s="3" t="s">
        <v>62</v>
      </c>
      <c r="AT2609" s="3" t="s">
        <v>62</v>
      </c>
      <c r="AV2609" s="6" t="str">
        <f>HYPERLINK("http://mcgill.on.worldcat.org/oclc/934194335","Catalog Record")</f>
        <v>Catalog Record</v>
      </c>
      <c r="AW2609" s="6" t="str">
        <f>HYPERLINK("http://www.worldcat.org/oclc/934194335","WorldCat Record")</f>
        <v>WorldCat Record</v>
      </c>
      <c r="AX2609" s="3" t="s">
        <v>25625</v>
      </c>
      <c r="AY2609" s="3" t="s">
        <v>25626</v>
      </c>
      <c r="AZ2609" s="3" t="s">
        <v>25627</v>
      </c>
      <c r="BA2609" s="3" t="s">
        <v>25627</v>
      </c>
      <c r="BB2609" s="3" t="s">
        <v>25628</v>
      </c>
      <c r="BC2609" s="3" t="s">
        <v>142</v>
      </c>
      <c r="BD2609" s="3" t="s">
        <v>68</v>
      </c>
      <c r="BE2609" s="3" t="s">
        <v>25629</v>
      </c>
      <c r="BF2609" s="3" t="s">
        <v>25628</v>
      </c>
      <c r="BG2609" s="3" t="s">
        <v>25630</v>
      </c>
    </row>
    <row r="2610" spans="1:59" ht="57" x14ac:dyDescent="0.45">
      <c r="A2610" s="2" t="s">
        <v>59</v>
      </c>
      <c r="B2610" s="2" t="s">
        <v>60</v>
      </c>
      <c r="C2610" s="2" t="s">
        <v>25631</v>
      </c>
      <c r="D2610" s="2" t="s">
        <v>25632</v>
      </c>
      <c r="E2610" s="2" t="s">
        <v>25633</v>
      </c>
      <c r="G2610" s="3" t="s">
        <v>62</v>
      </c>
      <c r="I2610" s="3" t="s">
        <v>62</v>
      </c>
      <c r="J2610" s="3" t="s">
        <v>62</v>
      </c>
      <c r="K2610" s="3" t="s">
        <v>63</v>
      </c>
      <c r="M2610" s="2" t="s">
        <v>25634</v>
      </c>
      <c r="N2610" s="3" t="s">
        <v>19337</v>
      </c>
      <c r="P2610" s="3" t="s">
        <v>326</v>
      </c>
      <c r="Q2610" s="2" t="s">
        <v>25635</v>
      </c>
      <c r="R2610" s="3" t="s">
        <v>66</v>
      </c>
      <c r="S2610" s="4">
        <v>0</v>
      </c>
      <c r="T2610" s="4">
        <v>0</v>
      </c>
      <c r="W2610" s="5" t="s">
        <v>25636</v>
      </c>
      <c r="X2610" s="5" t="s">
        <v>25636</v>
      </c>
      <c r="Y2610" s="4">
        <v>17</v>
      </c>
      <c r="Z2610" s="4">
        <v>2</v>
      </c>
      <c r="AA2610" s="4">
        <v>3</v>
      </c>
      <c r="AB2610" s="4">
        <v>1</v>
      </c>
      <c r="AC2610" s="4">
        <v>2</v>
      </c>
      <c r="AD2610" s="4">
        <v>12</v>
      </c>
      <c r="AE2610" s="4">
        <v>12</v>
      </c>
      <c r="AF2610" s="4">
        <v>0</v>
      </c>
      <c r="AG2610" s="4">
        <v>0</v>
      </c>
      <c r="AH2610" s="4">
        <v>12</v>
      </c>
      <c r="AI2610" s="4">
        <v>12</v>
      </c>
      <c r="AJ2610" s="4">
        <v>0</v>
      </c>
      <c r="AK2610" s="4">
        <v>0</v>
      </c>
      <c r="AL2610" s="4">
        <v>10</v>
      </c>
      <c r="AM2610" s="4">
        <v>10</v>
      </c>
      <c r="AN2610" s="4">
        <v>0</v>
      </c>
      <c r="AO2610" s="4">
        <v>0</v>
      </c>
      <c r="AP2610" s="4">
        <v>0</v>
      </c>
      <c r="AQ2610" s="4">
        <v>0</v>
      </c>
      <c r="AR2610" s="3" t="s">
        <v>62</v>
      </c>
      <c r="AS2610" s="3" t="s">
        <v>62</v>
      </c>
      <c r="AT2610" s="3" t="s">
        <v>62</v>
      </c>
      <c r="AV2610" s="6" t="str">
        <f>HYPERLINK("http://mcgill.on.worldcat.org/oclc/1134621191","Catalog Record")</f>
        <v>Catalog Record</v>
      </c>
      <c r="AW2610" s="6" t="str">
        <f>HYPERLINK("http://www.worldcat.org/oclc/1134621191","WorldCat Record")</f>
        <v>WorldCat Record</v>
      </c>
      <c r="AX2610" s="3" t="s">
        <v>25637</v>
      </c>
      <c r="AY2610" s="3" t="s">
        <v>25638</v>
      </c>
      <c r="AZ2610" s="3" t="s">
        <v>25639</v>
      </c>
      <c r="BA2610" s="3" t="s">
        <v>25639</v>
      </c>
      <c r="BB2610" s="3" t="s">
        <v>25640</v>
      </c>
      <c r="BC2610" s="3" t="s">
        <v>142</v>
      </c>
      <c r="BD2610" s="3" t="s">
        <v>68</v>
      </c>
      <c r="BE2610" s="3" t="s">
        <v>25641</v>
      </c>
      <c r="BF2610" s="3" t="s">
        <v>25640</v>
      </c>
      <c r="BG2610" s="3" t="s">
        <v>25642</v>
      </c>
    </row>
    <row r="2611" spans="1:59" ht="71.25" x14ac:dyDescent="0.45">
      <c r="A2611" s="2" t="s">
        <v>59</v>
      </c>
      <c r="B2611" s="2" t="s">
        <v>60</v>
      </c>
      <c r="C2611" s="2" t="s">
        <v>25643</v>
      </c>
      <c r="D2611" s="2" t="s">
        <v>25644</v>
      </c>
      <c r="E2611" s="2" t="s">
        <v>25645</v>
      </c>
      <c r="G2611" s="3" t="s">
        <v>62</v>
      </c>
      <c r="I2611" s="3" t="s">
        <v>62</v>
      </c>
      <c r="J2611" s="3" t="s">
        <v>62</v>
      </c>
      <c r="K2611" s="3" t="s">
        <v>63</v>
      </c>
      <c r="L2611" s="2" t="s">
        <v>25646</v>
      </c>
      <c r="M2611" s="2" t="s">
        <v>25647</v>
      </c>
      <c r="N2611" s="3" t="s">
        <v>1855</v>
      </c>
      <c r="O2611" s="2" t="s">
        <v>168</v>
      </c>
      <c r="P2611" s="3" t="s">
        <v>65</v>
      </c>
      <c r="R2611" s="3" t="s">
        <v>66</v>
      </c>
      <c r="S2611" s="4">
        <v>8</v>
      </c>
      <c r="T2611" s="4">
        <v>8</v>
      </c>
      <c r="U2611" s="5" t="s">
        <v>25549</v>
      </c>
      <c r="V2611" s="5" t="s">
        <v>25549</v>
      </c>
      <c r="W2611" s="5" t="s">
        <v>67</v>
      </c>
      <c r="X2611" s="5" t="s">
        <v>67</v>
      </c>
      <c r="Y2611" s="4">
        <v>848</v>
      </c>
      <c r="Z2611" s="4">
        <v>41</v>
      </c>
      <c r="AA2611" s="4">
        <v>43</v>
      </c>
      <c r="AB2611" s="4">
        <v>1</v>
      </c>
      <c r="AC2611" s="4">
        <v>2</v>
      </c>
      <c r="AD2611" s="4">
        <v>110</v>
      </c>
      <c r="AE2611" s="4">
        <v>111</v>
      </c>
      <c r="AF2611" s="4">
        <v>0</v>
      </c>
      <c r="AG2611" s="4">
        <v>0</v>
      </c>
      <c r="AH2611" s="4">
        <v>99</v>
      </c>
      <c r="AI2611" s="4">
        <v>99</v>
      </c>
      <c r="AJ2611" s="4">
        <v>13</v>
      </c>
      <c r="AK2611" s="4">
        <v>14</v>
      </c>
      <c r="AL2611" s="4">
        <v>53</v>
      </c>
      <c r="AM2611" s="4">
        <v>53</v>
      </c>
      <c r="AN2611" s="4">
        <v>0</v>
      </c>
      <c r="AO2611" s="4">
        <v>0</v>
      </c>
      <c r="AP2611" s="4">
        <v>17</v>
      </c>
      <c r="AQ2611" s="4">
        <v>18</v>
      </c>
      <c r="AR2611" s="3" t="s">
        <v>62</v>
      </c>
      <c r="AS2611" s="3" t="s">
        <v>62</v>
      </c>
      <c r="AT2611" s="3" t="s">
        <v>61</v>
      </c>
      <c r="AU2611" s="6" t="str">
        <f>HYPERLINK("http://catalog.hathitrust.org/Record/005081552","HathiTrust Record")</f>
        <v>HathiTrust Record</v>
      </c>
      <c r="AV2611" s="6" t="str">
        <f>HYPERLINK("http://mcgill.on.worldcat.org/oclc/58546024","Catalog Record")</f>
        <v>Catalog Record</v>
      </c>
      <c r="AW2611" s="6" t="str">
        <f>HYPERLINK("http://www.worldcat.org/oclc/58546024","WorldCat Record")</f>
        <v>WorldCat Record</v>
      </c>
      <c r="AX2611" s="3" t="s">
        <v>25648</v>
      </c>
      <c r="AY2611" s="3" t="s">
        <v>25649</v>
      </c>
      <c r="AZ2611" s="3" t="s">
        <v>25650</v>
      </c>
      <c r="BA2611" s="3" t="s">
        <v>25650</v>
      </c>
      <c r="BB2611" s="3" t="s">
        <v>25651</v>
      </c>
      <c r="BC2611" s="3" t="s">
        <v>142</v>
      </c>
      <c r="BD2611" s="3" t="s">
        <v>68</v>
      </c>
      <c r="BE2611" s="3" t="s">
        <v>25652</v>
      </c>
      <c r="BF2611" s="3" t="s">
        <v>25651</v>
      </c>
      <c r="BG2611" s="3" t="s">
        <v>25653</v>
      </c>
    </row>
    <row r="2612" spans="1:59" ht="57" x14ac:dyDescent="0.45">
      <c r="A2612" s="2" t="s">
        <v>59</v>
      </c>
      <c r="B2612" s="2" t="s">
        <v>60</v>
      </c>
      <c r="C2612" s="2" t="s">
        <v>25654</v>
      </c>
      <c r="D2612" s="2" t="s">
        <v>25655</v>
      </c>
      <c r="E2612" s="2" t="s">
        <v>25656</v>
      </c>
      <c r="G2612" s="3" t="s">
        <v>62</v>
      </c>
      <c r="I2612" s="3" t="s">
        <v>62</v>
      </c>
      <c r="J2612" s="3" t="s">
        <v>62</v>
      </c>
      <c r="K2612" s="3" t="s">
        <v>63</v>
      </c>
      <c r="L2612" s="2" t="s">
        <v>25657</v>
      </c>
      <c r="M2612" s="2" t="s">
        <v>25658</v>
      </c>
      <c r="N2612" s="3" t="s">
        <v>945</v>
      </c>
      <c r="P2612" s="3" t="s">
        <v>114</v>
      </c>
      <c r="R2612" s="3" t="s">
        <v>66</v>
      </c>
      <c r="S2612" s="4">
        <v>1</v>
      </c>
      <c r="T2612" s="4">
        <v>1</v>
      </c>
      <c r="U2612" s="5" t="s">
        <v>4276</v>
      </c>
      <c r="V2612" s="5" t="s">
        <v>4276</v>
      </c>
      <c r="W2612" s="5" t="s">
        <v>67</v>
      </c>
      <c r="X2612" s="5" t="s">
        <v>67</v>
      </c>
      <c r="Y2612" s="4">
        <v>31</v>
      </c>
      <c r="Z2612" s="4">
        <v>4</v>
      </c>
      <c r="AA2612" s="4">
        <v>4</v>
      </c>
      <c r="AB2612" s="4">
        <v>1</v>
      </c>
      <c r="AC2612" s="4">
        <v>1</v>
      </c>
      <c r="AD2612" s="4">
        <v>11</v>
      </c>
      <c r="AE2612" s="4">
        <v>11</v>
      </c>
      <c r="AF2612" s="4">
        <v>0</v>
      </c>
      <c r="AG2612" s="4">
        <v>0</v>
      </c>
      <c r="AH2612" s="4">
        <v>11</v>
      </c>
      <c r="AI2612" s="4">
        <v>11</v>
      </c>
      <c r="AJ2612" s="4">
        <v>2</v>
      </c>
      <c r="AK2612" s="4">
        <v>2</v>
      </c>
      <c r="AL2612" s="4">
        <v>9</v>
      </c>
      <c r="AM2612" s="4">
        <v>9</v>
      </c>
      <c r="AN2612" s="4">
        <v>0</v>
      </c>
      <c r="AO2612" s="4">
        <v>0</v>
      </c>
      <c r="AP2612" s="4">
        <v>2</v>
      </c>
      <c r="AQ2612" s="4">
        <v>2</v>
      </c>
      <c r="AR2612" s="3" t="s">
        <v>62</v>
      </c>
      <c r="AS2612" s="3" t="s">
        <v>62</v>
      </c>
      <c r="AT2612" s="3" t="s">
        <v>62</v>
      </c>
      <c r="AV2612" s="6" t="str">
        <f>HYPERLINK("http://mcgill.on.worldcat.org/oclc/91790343","Catalog Record")</f>
        <v>Catalog Record</v>
      </c>
      <c r="AW2612" s="6" t="str">
        <f>HYPERLINK("http://www.worldcat.org/oclc/91790343","WorldCat Record")</f>
        <v>WorldCat Record</v>
      </c>
      <c r="AX2612" s="3" t="s">
        <v>25659</v>
      </c>
      <c r="AY2612" s="3" t="s">
        <v>25660</v>
      </c>
      <c r="AZ2612" s="3" t="s">
        <v>25661</v>
      </c>
      <c r="BA2612" s="3" t="s">
        <v>25661</v>
      </c>
      <c r="BB2612" s="3" t="s">
        <v>25662</v>
      </c>
      <c r="BC2612" s="3" t="s">
        <v>142</v>
      </c>
      <c r="BD2612" s="3" t="s">
        <v>68</v>
      </c>
      <c r="BE2612" s="3" t="s">
        <v>25663</v>
      </c>
      <c r="BF2612" s="3" t="s">
        <v>25662</v>
      </c>
      <c r="BG2612" s="3" t="s">
        <v>25664</v>
      </c>
    </row>
    <row r="2613" spans="1:59" ht="57" x14ac:dyDescent="0.45">
      <c r="A2613" s="2" t="s">
        <v>59</v>
      </c>
      <c r="B2613" s="2" t="s">
        <v>60</v>
      </c>
      <c r="C2613" s="2" t="s">
        <v>25665</v>
      </c>
      <c r="D2613" s="2" t="s">
        <v>25666</v>
      </c>
      <c r="E2613" s="2" t="s">
        <v>25667</v>
      </c>
      <c r="G2613" s="3" t="s">
        <v>62</v>
      </c>
      <c r="I2613" s="3" t="s">
        <v>62</v>
      </c>
      <c r="J2613" s="3" t="s">
        <v>62</v>
      </c>
      <c r="K2613" s="3" t="s">
        <v>63</v>
      </c>
      <c r="M2613" s="2" t="s">
        <v>25668</v>
      </c>
      <c r="N2613" s="3" t="s">
        <v>149</v>
      </c>
      <c r="P2613" s="3" t="s">
        <v>65</v>
      </c>
      <c r="Q2613" s="2" t="s">
        <v>25669</v>
      </c>
      <c r="R2613" s="3" t="s">
        <v>66</v>
      </c>
      <c r="S2613" s="4">
        <v>6</v>
      </c>
      <c r="T2613" s="4">
        <v>6</v>
      </c>
      <c r="U2613" s="5" t="s">
        <v>25670</v>
      </c>
      <c r="V2613" s="5" t="s">
        <v>25670</v>
      </c>
      <c r="W2613" s="5" t="s">
        <v>67</v>
      </c>
      <c r="X2613" s="5" t="s">
        <v>67</v>
      </c>
      <c r="Y2613" s="4">
        <v>64</v>
      </c>
      <c r="Z2613" s="4">
        <v>9</v>
      </c>
      <c r="AA2613" s="4">
        <v>11</v>
      </c>
      <c r="AB2613" s="4">
        <v>1</v>
      </c>
      <c r="AC2613" s="4">
        <v>3</v>
      </c>
      <c r="AD2613" s="4">
        <v>34</v>
      </c>
      <c r="AE2613" s="4">
        <v>37</v>
      </c>
      <c r="AF2613" s="4">
        <v>0</v>
      </c>
      <c r="AG2613" s="4">
        <v>2</v>
      </c>
      <c r="AH2613" s="4">
        <v>32</v>
      </c>
      <c r="AI2613" s="4">
        <v>34</v>
      </c>
      <c r="AJ2613" s="4">
        <v>8</v>
      </c>
      <c r="AK2613" s="4">
        <v>10</v>
      </c>
      <c r="AL2613" s="4">
        <v>20</v>
      </c>
      <c r="AM2613" s="4">
        <v>21</v>
      </c>
      <c r="AN2613" s="4">
        <v>0</v>
      </c>
      <c r="AO2613" s="4">
        <v>0</v>
      </c>
      <c r="AP2613" s="4">
        <v>8</v>
      </c>
      <c r="AQ2613" s="4">
        <v>9</v>
      </c>
      <c r="AR2613" s="3" t="s">
        <v>62</v>
      </c>
      <c r="AS2613" s="3" t="s">
        <v>62</v>
      </c>
      <c r="AT2613" s="3" t="s">
        <v>62</v>
      </c>
      <c r="AV2613" s="6" t="str">
        <f>HYPERLINK("http://mcgill.on.worldcat.org/oclc/648480782","Catalog Record")</f>
        <v>Catalog Record</v>
      </c>
      <c r="AW2613" s="6" t="str">
        <f>HYPERLINK("http://www.worldcat.org/oclc/648480782","WorldCat Record")</f>
        <v>WorldCat Record</v>
      </c>
      <c r="AX2613" s="3" t="s">
        <v>25671</v>
      </c>
      <c r="AY2613" s="3" t="s">
        <v>25672</v>
      </c>
      <c r="AZ2613" s="3" t="s">
        <v>25673</v>
      </c>
      <c r="BA2613" s="3" t="s">
        <v>25673</v>
      </c>
      <c r="BB2613" s="3" t="s">
        <v>25674</v>
      </c>
      <c r="BC2613" s="3" t="s">
        <v>142</v>
      </c>
      <c r="BD2613" s="3" t="s">
        <v>68</v>
      </c>
      <c r="BE2613" s="3" t="s">
        <v>25675</v>
      </c>
      <c r="BF2613" s="3" t="s">
        <v>25674</v>
      </c>
      <c r="BG2613" s="3" t="s">
        <v>25676</v>
      </c>
    </row>
    <row r="2614" spans="1:59" ht="57" x14ac:dyDescent="0.45">
      <c r="A2614" s="2" t="s">
        <v>59</v>
      </c>
      <c r="B2614" s="2" t="s">
        <v>60</v>
      </c>
      <c r="C2614" s="2" t="s">
        <v>25677</v>
      </c>
      <c r="D2614" s="2" t="s">
        <v>25678</v>
      </c>
      <c r="E2614" s="2" t="s">
        <v>25679</v>
      </c>
      <c r="G2614" s="3" t="s">
        <v>62</v>
      </c>
      <c r="I2614" s="3" t="s">
        <v>62</v>
      </c>
      <c r="J2614" s="3" t="s">
        <v>62</v>
      </c>
      <c r="K2614" s="3" t="s">
        <v>63</v>
      </c>
      <c r="M2614" s="2" t="s">
        <v>25680</v>
      </c>
      <c r="N2614" s="3" t="s">
        <v>894</v>
      </c>
      <c r="P2614" s="3" t="s">
        <v>65</v>
      </c>
      <c r="Q2614" s="2" t="s">
        <v>25681</v>
      </c>
      <c r="R2614" s="3" t="s">
        <v>66</v>
      </c>
      <c r="S2614" s="4">
        <v>1</v>
      </c>
      <c r="T2614" s="4">
        <v>1</v>
      </c>
      <c r="U2614" s="5" t="s">
        <v>25682</v>
      </c>
      <c r="V2614" s="5" t="s">
        <v>25682</v>
      </c>
      <c r="W2614" s="5" t="s">
        <v>67</v>
      </c>
      <c r="X2614" s="5" t="s">
        <v>67</v>
      </c>
      <c r="Y2614" s="4">
        <v>36</v>
      </c>
      <c r="Z2614" s="4">
        <v>3</v>
      </c>
      <c r="AA2614" s="4">
        <v>74</v>
      </c>
      <c r="AB2614" s="4">
        <v>1</v>
      </c>
      <c r="AC2614" s="4">
        <v>15</v>
      </c>
      <c r="AD2614" s="4">
        <v>13</v>
      </c>
      <c r="AE2614" s="4">
        <v>85</v>
      </c>
      <c r="AF2614" s="4">
        <v>0</v>
      </c>
      <c r="AG2614" s="4">
        <v>8</v>
      </c>
      <c r="AH2614" s="4">
        <v>13</v>
      </c>
      <c r="AI2614" s="4">
        <v>55</v>
      </c>
      <c r="AJ2614" s="4">
        <v>2</v>
      </c>
      <c r="AK2614" s="4">
        <v>16</v>
      </c>
      <c r="AL2614" s="4">
        <v>9</v>
      </c>
      <c r="AM2614" s="4">
        <v>28</v>
      </c>
      <c r="AN2614" s="4">
        <v>0</v>
      </c>
      <c r="AO2614" s="4">
        <v>0</v>
      </c>
      <c r="AP2614" s="4">
        <v>2</v>
      </c>
      <c r="AQ2614" s="4">
        <v>35</v>
      </c>
      <c r="AR2614" s="3" t="s">
        <v>62</v>
      </c>
      <c r="AS2614" s="3" t="s">
        <v>62</v>
      </c>
      <c r="AT2614" s="3" t="s">
        <v>62</v>
      </c>
      <c r="AV2614" s="6" t="str">
        <f>HYPERLINK("http://mcgill.on.worldcat.org/oclc/785080185","Catalog Record")</f>
        <v>Catalog Record</v>
      </c>
      <c r="AW2614" s="6" t="str">
        <f>HYPERLINK("http://www.worldcat.org/oclc/785080185","WorldCat Record")</f>
        <v>WorldCat Record</v>
      </c>
      <c r="AX2614" s="3" t="s">
        <v>25683</v>
      </c>
      <c r="AY2614" s="3" t="s">
        <v>25684</v>
      </c>
      <c r="AZ2614" s="3" t="s">
        <v>25685</v>
      </c>
      <c r="BA2614" s="3" t="s">
        <v>25685</v>
      </c>
      <c r="BB2614" s="3" t="s">
        <v>25686</v>
      </c>
      <c r="BC2614" s="3" t="s">
        <v>142</v>
      </c>
      <c r="BD2614" s="3" t="s">
        <v>68</v>
      </c>
      <c r="BE2614" s="3" t="s">
        <v>25687</v>
      </c>
      <c r="BF2614" s="3" t="s">
        <v>25686</v>
      </c>
      <c r="BG2614" s="3" t="s">
        <v>25688</v>
      </c>
    </row>
    <row r="2615" spans="1:59" ht="57" x14ac:dyDescent="0.45">
      <c r="A2615" s="2" t="s">
        <v>59</v>
      </c>
      <c r="B2615" s="2" t="s">
        <v>60</v>
      </c>
      <c r="C2615" s="2" t="s">
        <v>25689</v>
      </c>
      <c r="D2615" s="2" t="s">
        <v>25690</v>
      </c>
      <c r="E2615" s="2" t="s">
        <v>25691</v>
      </c>
      <c r="G2615" s="3" t="s">
        <v>62</v>
      </c>
      <c r="I2615" s="3" t="s">
        <v>62</v>
      </c>
      <c r="J2615" s="3" t="s">
        <v>62</v>
      </c>
      <c r="K2615" s="3" t="s">
        <v>63</v>
      </c>
      <c r="L2615" s="2" t="s">
        <v>25692</v>
      </c>
      <c r="M2615" s="2" t="s">
        <v>25693</v>
      </c>
      <c r="N2615" s="3" t="s">
        <v>1253</v>
      </c>
      <c r="P2615" s="3" t="s">
        <v>65</v>
      </c>
      <c r="Q2615" s="2" t="s">
        <v>20230</v>
      </c>
      <c r="R2615" s="3" t="s">
        <v>66</v>
      </c>
      <c r="S2615" s="4">
        <v>34</v>
      </c>
      <c r="T2615" s="4">
        <v>34</v>
      </c>
      <c r="U2615" s="5" t="s">
        <v>5682</v>
      </c>
      <c r="V2615" s="5" t="s">
        <v>5682</v>
      </c>
      <c r="W2615" s="5" t="s">
        <v>67</v>
      </c>
      <c r="X2615" s="5" t="s">
        <v>67</v>
      </c>
      <c r="Y2615" s="4">
        <v>236</v>
      </c>
      <c r="Z2615" s="4">
        <v>19</v>
      </c>
      <c r="AA2615" s="4">
        <v>26</v>
      </c>
      <c r="AB2615" s="4">
        <v>4</v>
      </c>
      <c r="AC2615" s="4">
        <v>9</v>
      </c>
      <c r="AD2615" s="4">
        <v>83</v>
      </c>
      <c r="AE2615" s="4">
        <v>88</v>
      </c>
      <c r="AF2615" s="4">
        <v>2</v>
      </c>
      <c r="AG2615" s="4">
        <v>4</v>
      </c>
      <c r="AH2615" s="4">
        <v>72</v>
      </c>
      <c r="AI2615" s="4">
        <v>75</v>
      </c>
      <c r="AJ2615" s="4">
        <v>11</v>
      </c>
      <c r="AK2615" s="4">
        <v>14</v>
      </c>
      <c r="AL2615" s="4">
        <v>43</v>
      </c>
      <c r="AM2615" s="4">
        <v>44</v>
      </c>
      <c r="AN2615" s="4">
        <v>0</v>
      </c>
      <c r="AO2615" s="4">
        <v>0</v>
      </c>
      <c r="AP2615" s="4">
        <v>13</v>
      </c>
      <c r="AQ2615" s="4">
        <v>16</v>
      </c>
      <c r="AR2615" s="3" t="s">
        <v>62</v>
      </c>
      <c r="AS2615" s="3" t="s">
        <v>62</v>
      </c>
      <c r="AT2615" s="3" t="s">
        <v>62</v>
      </c>
      <c r="AV2615" s="6" t="str">
        <f>HYPERLINK("http://mcgill.on.worldcat.org/oclc/38313495","Catalog Record")</f>
        <v>Catalog Record</v>
      </c>
      <c r="AW2615" s="6" t="str">
        <f>HYPERLINK("http://www.worldcat.org/oclc/38313495","WorldCat Record")</f>
        <v>WorldCat Record</v>
      </c>
      <c r="AX2615" s="3" t="s">
        <v>25694</v>
      </c>
      <c r="AY2615" s="3" t="s">
        <v>25695</v>
      </c>
      <c r="AZ2615" s="3" t="s">
        <v>25696</v>
      </c>
      <c r="BA2615" s="3" t="s">
        <v>25696</v>
      </c>
      <c r="BB2615" s="3" t="s">
        <v>25697</v>
      </c>
      <c r="BC2615" s="3" t="s">
        <v>142</v>
      </c>
      <c r="BD2615" s="3" t="s">
        <v>68</v>
      </c>
      <c r="BE2615" s="3" t="s">
        <v>25698</v>
      </c>
      <c r="BF2615" s="3" t="s">
        <v>25697</v>
      </c>
      <c r="BG2615" s="3" t="s">
        <v>25699</v>
      </c>
    </row>
    <row r="2616" spans="1:59" ht="57" x14ac:dyDescent="0.45">
      <c r="A2616" s="2" t="s">
        <v>59</v>
      </c>
      <c r="B2616" s="2" t="s">
        <v>60</v>
      </c>
      <c r="C2616" s="2" t="s">
        <v>25700</v>
      </c>
      <c r="D2616" s="2" t="s">
        <v>25701</v>
      </c>
      <c r="E2616" s="2" t="s">
        <v>25702</v>
      </c>
      <c r="G2616" s="3" t="s">
        <v>62</v>
      </c>
      <c r="I2616" s="3" t="s">
        <v>62</v>
      </c>
      <c r="J2616" s="3" t="s">
        <v>62</v>
      </c>
      <c r="K2616" s="3" t="s">
        <v>63</v>
      </c>
      <c r="M2616" s="2" t="s">
        <v>25703</v>
      </c>
      <c r="N2616" s="3" t="s">
        <v>1073</v>
      </c>
      <c r="P2616" s="3" t="s">
        <v>114</v>
      </c>
      <c r="Q2616" s="2" t="s">
        <v>25704</v>
      </c>
      <c r="R2616" s="3" t="s">
        <v>66</v>
      </c>
      <c r="S2616" s="4">
        <v>2</v>
      </c>
      <c r="T2616" s="4">
        <v>2</v>
      </c>
      <c r="U2616" s="5" t="s">
        <v>4276</v>
      </c>
      <c r="V2616" s="5" t="s">
        <v>4276</v>
      </c>
      <c r="W2616" s="5" t="s">
        <v>67</v>
      </c>
      <c r="X2616" s="5" t="s">
        <v>67</v>
      </c>
      <c r="Y2616" s="4">
        <v>96</v>
      </c>
      <c r="Z2616" s="4">
        <v>6</v>
      </c>
      <c r="AA2616" s="4">
        <v>7</v>
      </c>
      <c r="AB2616" s="4">
        <v>1</v>
      </c>
      <c r="AC2616" s="4">
        <v>2</v>
      </c>
      <c r="AD2616" s="4">
        <v>35</v>
      </c>
      <c r="AE2616" s="4">
        <v>36</v>
      </c>
      <c r="AF2616" s="4">
        <v>0</v>
      </c>
      <c r="AG2616" s="4">
        <v>1</v>
      </c>
      <c r="AH2616" s="4">
        <v>33</v>
      </c>
      <c r="AI2616" s="4">
        <v>33</v>
      </c>
      <c r="AJ2616" s="4">
        <v>3</v>
      </c>
      <c r="AK2616" s="4">
        <v>4</v>
      </c>
      <c r="AL2616" s="4">
        <v>22</v>
      </c>
      <c r="AM2616" s="4">
        <v>22</v>
      </c>
      <c r="AN2616" s="4">
        <v>0</v>
      </c>
      <c r="AO2616" s="4">
        <v>0</v>
      </c>
      <c r="AP2616" s="4">
        <v>3</v>
      </c>
      <c r="AQ2616" s="4">
        <v>3</v>
      </c>
      <c r="AR2616" s="3" t="s">
        <v>62</v>
      </c>
      <c r="AS2616" s="3" t="s">
        <v>62</v>
      </c>
      <c r="AT2616" s="3" t="s">
        <v>61</v>
      </c>
      <c r="AU2616" s="6" t="str">
        <f>HYPERLINK("http://catalog.hathitrust.org/Record/000254455","HathiTrust Record")</f>
        <v>HathiTrust Record</v>
      </c>
      <c r="AV2616" s="6" t="str">
        <f>HYPERLINK("http://mcgill.on.worldcat.org/oclc/3096657","Catalog Record")</f>
        <v>Catalog Record</v>
      </c>
      <c r="AW2616" s="6" t="str">
        <f>HYPERLINK("http://www.worldcat.org/oclc/3096657","WorldCat Record")</f>
        <v>WorldCat Record</v>
      </c>
      <c r="AX2616" s="3" t="s">
        <v>25705</v>
      </c>
      <c r="AY2616" s="3" t="s">
        <v>25706</v>
      </c>
      <c r="AZ2616" s="3" t="s">
        <v>25707</v>
      </c>
      <c r="BA2616" s="3" t="s">
        <v>25707</v>
      </c>
      <c r="BB2616" s="3" t="s">
        <v>25708</v>
      </c>
      <c r="BC2616" s="3" t="s">
        <v>142</v>
      </c>
      <c r="BD2616" s="3" t="s">
        <v>68</v>
      </c>
      <c r="BE2616" s="3" t="s">
        <v>25709</v>
      </c>
      <c r="BF2616" s="3" t="s">
        <v>25708</v>
      </c>
      <c r="BG2616" s="3" t="s">
        <v>25710</v>
      </c>
    </row>
    <row r="2617" spans="1:59" ht="114" x14ac:dyDescent="0.45">
      <c r="A2617" s="2" t="s">
        <v>59</v>
      </c>
      <c r="B2617" s="2" t="s">
        <v>690</v>
      </c>
      <c r="C2617" s="2" t="s">
        <v>25711</v>
      </c>
      <c r="D2617" s="2" t="s">
        <v>25712</v>
      </c>
      <c r="E2617" s="2" t="s">
        <v>25713</v>
      </c>
      <c r="G2617" s="3" t="s">
        <v>62</v>
      </c>
      <c r="I2617" s="3" t="s">
        <v>62</v>
      </c>
      <c r="J2617" s="3" t="s">
        <v>62</v>
      </c>
      <c r="K2617" s="3" t="s">
        <v>63</v>
      </c>
      <c r="L2617" s="2" t="s">
        <v>25714</v>
      </c>
      <c r="M2617" s="2" t="s">
        <v>25715</v>
      </c>
      <c r="N2617" s="3" t="s">
        <v>149</v>
      </c>
      <c r="O2617" s="2" t="s">
        <v>696</v>
      </c>
      <c r="P2617" s="3" t="s">
        <v>697</v>
      </c>
      <c r="R2617" s="3" t="s">
        <v>66</v>
      </c>
      <c r="S2617" s="4">
        <v>0</v>
      </c>
      <c r="T2617" s="4">
        <v>0</v>
      </c>
      <c r="W2617" s="5" t="s">
        <v>67</v>
      </c>
      <c r="X2617" s="5" t="s">
        <v>67</v>
      </c>
      <c r="Y2617" s="4">
        <v>10</v>
      </c>
      <c r="Z2617" s="4">
        <v>3</v>
      </c>
      <c r="AA2617" s="4">
        <v>3</v>
      </c>
      <c r="AB2617" s="4">
        <v>1</v>
      </c>
      <c r="AC2617" s="4">
        <v>1</v>
      </c>
      <c r="AD2617" s="4">
        <v>7</v>
      </c>
      <c r="AE2617" s="4">
        <v>7</v>
      </c>
      <c r="AF2617" s="4">
        <v>0</v>
      </c>
      <c r="AG2617" s="4">
        <v>0</v>
      </c>
      <c r="AH2617" s="4">
        <v>7</v>
      </c>
      <c r="AI2617" s="4">
        <v>7</v>
      </c>
      <c r="AJ2617" s="4">
        <v>1</v>
      </c>
      <c r="AK2617" s="4">
        <v>1</v>
      </c>
      <c r="AL2617" s="4">
        <v>6</v>
      </c>
      <c r="AM2617" s="4">
        <v>6</v>
      </c>
      <c r="AN2617" s="4">
        <v>0</v>
      </c>
      <c r="AO2617" s="4">
        <v>0</v>
      </c>
      <c r="AP2617" s="4">
        <v>1</v>
      </c>
      <c r="AQ2617" s="4">
        <v>1</v>
      </c>
      <c r="AR2617" s="3" t="s">
        <v>62</v>
      </c>
      <c r="AS2617" s="3" t="s">
        <v>62</v>
      </c>
      <c r="AT2617" s="3" t="s">
        <v>62</v>
      </c>
      <c r="AV2617" s="6" t="str">
        <f>HYPERLINK("http://mcgill.on.worldcat.org/oclc/808630724","Catalog Record")</f>
        <v>Catalog Record</v>
      </c>
      <c r="AW2617" s="6" t="str">
        <f>HYPERLINK("http://www.worldcat.org/oclc/808630724","WorldCat Record")</f>
        <v>WorldCat Record</v>
      </c>
      <c r="AX2617" s="3" t="s">
        <v>25716</v>
      </c>
      <c r="AY2617" s="3" t="s">
        <v>25717</v>
      </c>
      <c r="AZ2617" s="3" t="s">
        <v>25718</v>
      </c>
      <c r="BA2617" s="3" t="s">
        <v>25718</v>
      </c>
      <c r="BB2617" s="3" t="s">
        <v>25719</v>
      </c>
      <c r="BC2617" s="3" t="s">
        <v>142</v>
      </c>
      <c r="BD2617" s="3" t="s">
        <v>68</v>
      </c>
      <c r="BE2617" s="3" t="s">
        <v>25720</v>
      </c>
      <c r="BF2617" s="3" t="s">
        <v>25719</v>
      </c>
      <c r="BG2617" s="3" t="s">
        <v>25721</v>
      </c>
    </row>
    <row r="2618" spans="1:59" ht="57" x14ac:dyDescent="0.45">
      <c r="A2618" s="2" t="s">
        <v>59</v>
      </c>
      <c r="B2618" s="2" t="s">
        <v>60</v>
      </c>
      <c r="C2618" s="2" t="s">
        <v>25722</v>
      </c>
      <c r="D2618" s="2" t="s">
        <v>25723</v>
      </c>
      <c r="E2618" s="2" t="s">
        <v>25724</v>
      </c>
      <c r="G2618" s="3" t="s">
        <v>62</v>
      </c>
      <c r="I2618" s="3" t="s">
        <v>62</v>
      </c>
      <c r="J2618" s="3" t="s">
        <v>62</v>
      </c>
      <c r="K2618" s="3" t="s">
        <v>63</v>
      </c>
      <c r="L2618" s="2" t="s">
        <v>25725</v>
      </c>
      <c r="M2618" s="2" t="s">
        <v>25726</v>
      </c>
      <c r="N2618" s="3" t="s">
        <v>1097</v>
      </c>
      <c r="P2618" s="3" t="s">
        <v>114</v>
      </c>
      <c r="R2618" s="3" t="s">
        <v>66</v>
      </c>
      <c r="S2618" s="4">
        <v>2</v>
      </c>
      <c r="T2618" s="4">
        <v>2</v>
      </c>
      <c r="U2618" s="5" t="s">
        <v>497</v>
      </c>
      <c r="V2618" s="5" t="s">
        <v>497</v>
      </c>
      <c r="W2618" s="5" t="s">
        <v>67</v>
      </c>
      <c r="X2618" s="5" t="s">
        <v>67</v>
      </c>
      <c r="Y2618" s="4">
        <v>47</v>
      </c>
      <c r="Z2618" s="4">
        <v>4</v>
      </c>
      <c r="AA2618" s="4">
        <v>4</v>
      </c>
      <c r="AB2618" s="4">
        <v>1</v>
      </c>
      <c r="AC2618" s="4">
        <v>1</v>
      </c>
      <c r="AD2618" s="4">
        <v>11</v>
      </c>
      <c r="AE2618" s="4">
        <v>11</v>
      </c>
      <c r="AF2618" s="4">
        <v>0</v>
      </c>
      <c r="AG2618" s="4">
        <v>0</v>
      </c>
      <c r="AH2618" s="4">
        <v>11</v>
      </c>
      <c r="AI2618" s="4">
        <v>11</v>
      </c>
      <c r="AJ2618" s="4">
        <v>2</v>
      </c>
      <c r="AK2618" s="4">
        <v>2</v>
      </c>
      <c r="AL2618" s="4">
        <v>10</v>
      </c>
      <c r="AM2618" s="4">
        <v>10</v>
      </c>
      <c r="AN2618" s="4">
        <v>0</v>
      </c>
      <c r="AO2618" s="4">
        <v>0</v>
      </c>
      <c r="AP2618" s="4">
        <v>2</v>
      </c>
      <c r="AQ2618" s="4">
        <v>2</v>
      </c>
      <c r="AR2618" s="3" t="s">
        <v>62</v>
      </c>
      <c r="AS2618" s="3" t="s">
        <v>62</v>
      </c>
      <c r="AT2618" s="3" t="s">
        <v>62</v>
      </c>
      <c r="AV2618" s="6" t="str">
        <f>HYPERLINK("http://mcgill.on.worldcat.org/oclc/54695941","Catalog Record")</f>
        <v>Catalog Record</v>
      </c>
      <c r="AW2618" s="6" t="str">
        <f>HYPERLINK("http://www.worldcat.org/oclc/54695941","WorldCat Record")</f>
        <v>WorldCat Record</v>
      </c>
      <c r="AX2618" s="3" t="s">
        <v>25727</v>
      </c>
      <c r="AY2618" s="3" t="s">
        <v>25728</v>
      </c>
      <c r="AZ2618" s="3" t="s">
        <v>25729</v>
      </c>
      <c r="BA2618" s="3" t="s">
        <v>25729</v>
      </c>
      <c r="BB2618" s="3" t="s">
        <v>25730</v>
      </c>
      <c r="BC2618" s="3" t="s">
        <v>142</v>
      </c>
      <c r="BD2618" s="3" t="s">
        <v>68</v>
      </c>
      <c r="BE2618" s="3" t="s">
        <v>25731</v>
      </c>
      <c r="BF2618" s="3" t="s">
        <v>25730</v>
      </c>
      <c r="BG2618" s="3" t="s">
        <v>25732</v>
      </c>
    </row>
    <row r="2619" spans="1:59" ht="71.25" x14ac:dyDescent="0.45">
      <c r="A2619" s="2" t="s">
        <v>59</v>
      </c>
      <c r="B2619" s="2" t="s">
        <v>60</v>
      </c>
      <c r="C2619" s="2" t="s">
        <v>25733</v>
      </c>
      <c r="D2619" s="2" t="s">
        <v>25734</v>
      </c>
      <c r="E2619" s="2" t="s">
        <v>25735</v>
      </c>
      <c r="F2619" s="3" t="s">
        <v>90</v>
      </c>
      <c r="G2619" s="3" t="s">
        <v>61</v>
      </c>
      <c r="I2619" s="3" t="s">
        <v>62</v>
      </c>
      <c r="J2619" s="3" t="s">
        <v>62</v>
      </c>
      <c r="K2619" s="3" t="s">
        <v>63</v>
      </c>
      <c r="M2619" s="2" t="s">
        <v>25736</v>
      </c>
      <c r="N2619" s="3" t="s">
        <v>1465</v>
      </c>
      <c r="P2619" s="3" t="s">
        <v>65</v>
      </c>
      <c r="Q2619" s="2" t="s">
        <v>25737</v>
      </c>
      <c r="R2619" s="3" t="s">
        <v>66</v>
      </c>
      <c r="S2619" s="4">
        <v>5</v>
      </c>
      <c r="T2619" s="4">
        <v>13</v>
      </c>
      <c r="U2619" s="5" t="s">
        <v>7625</v>
      </c>
      <c r="V2619" s="5" t="s">
        <v>7625</v>
      </c>
      <c r="W2619" s="5" t="s">
        <v>67</v>
      </c>
      <c r="X2619" s="5" t="s">
        <v>67</v>
      </c>
      <c r="Y2619" s="4">
        <v>126</v>
      </c>
      <c r="Z2619" s="4">
        <v>14</v>
      </c>
      <c r="AA2619" s="4">
        <v>19</v>
      </c>
      <c r="AB2619" s="4">
        <v>2</v>
      </c>
      <c r="AC2619" s="4">
        <v>3</v>
      </c>
      <c r="AD2619" s="4">
        <v>55</v>
      </c>
      <c r="AE2619" s="4">
        <v>62</v>
      </c>
      <c r="AF2619" s="4">
        <v>1</v>
      </c>
      <c r="AG2619" s="4">
        <v>2</v>
      </c>
      <c r="AH2619" s="4">
        <v>48</v>
      </c>
      <c r="AI2619" s="4">
        <v>53</v>
      </c>
      <c r="AJ2619" s="4">
        <v>8</v>
      </c>
      <c r="AK2619" s="4">
        <v>11</v>
      </c>
      <c r="AL2619" s="4">
        <v>29</v>
      </c>
      <c r="AM2619" s="4">
        <v>33</v>
      </c>
      <c r="AN2619" s="4">
        <v>0</v>
      </c>
      <c r="AO2619" s="4">
        <v>0</v>
      </c>
      <c r="AP2619" s="4">
        <v>12</v>
      </c>
      <c r="AQ2619" s="4">
        <v>14</v>
      </c>
      <c r="AR2619" s="3" t="s">
        <v>62</v>
      </c>
      <c r="AS2619" s="3" t="s">
        <v>62</v>
      </c>
      <c r="AT2619" s="3" t="s">
        <v>62</v>
      </c>
      <c r="AV2619" s="6" t="str">
        <f>HYPERLINK("http://mcgill.on.worldcat.org/oclc/320622150","Catalog Record")</f>
        <v>Catalog Record</v>
      </c>
      <c r="AW2619" s="6" t="str">
        <f>HYPERLINK("http://www.worldcat.org/oclc/320622150","WorldCat Record")</f>
        <v>WorldCat Record</v>
      </c>
      <c r="AX2619" s="3" t="s">
        <v>25738</v>
      </c>
      <c r="AY2619" s="3" t="s">
        <v>25739</v>
      </c>
      <c r="AZ2619" s="3" t="s">
        <v>25740</v>
      </c>
      <c r="BA2619" s="3" t="s">
        <v>25740</v>
      </c>
      <c r="BB2619" s="3" t="s">
        <v>25741</v>
      </c>
      <c r="BC2619" s="3" t="s">
        <v>142</v>
      </c>
      <c r="BD2619" s="3" t="s">
        <v>68</v>
      </c>
      <c r="BE2619" s="3" t="s">
        <v>25742</v>
      </c>
      <c r="BF2619" s="3" t="s">
        <v>25741</v>
      </c>
      <c r="BG2619" s="3" t="s">
        <v>25743</v>
      </c>
    </row>
    <row r="2620" spans="1:59" ht="71.25" x14ac:dyDescent="0.45">
      <c r="A2620" s="2" t="s">
        <v>59</v>
      </c>
      <c r="B2620" s="2" t="s">
        <v>60</v>
      </c>
      <c r="C2620" s="2" t="s">
        <v>25733</v>
      </c>
      <c r="D2620" s="2" t="s">
        <v>25734</v>
      </c>
      <c r="E2620" s="2" t="s">
        <v>25735</v>
      </c>
      <c r="F2620" s="3" t="s">
        <v>87</v>
      </c>
      <c r="G2620" s="3" t="s">
        <v>61</v>
      </c>
      <c r="I2620" s="3" t="s">
        <v>62</v>
      </c>
      <c r="J2620" s="3" t="s">
        <v>62</v>
      </c>
      <c r="K2620" s="3" t="s">
        <v>63</v>
      </c>
      <c r="M2620" s="2" t="s">
        <v>25736</v>
      </c>
      <c r="N2620" s="3" t="s">
        <v>1465</v>
      </c>
      <c r="P2620" s="3" t="s">
        <v>65</v>
      </c>
      <c r="Q2620" s="2" t="s">
        <v>25737</v>
      </c>
      <c r="R2620" s="3" t="s">
        <v>66</v>
      </c>
      <c r="S2620" s="4">
        <v>8</v>
      </c>
      <c r="T2620" s="4">
        <v>13</v>
      </c>
      <c r="U2620" s="5" t="s">
        <v>7625</v>
      </c>
      <c r="V2620" s="5" t="s">
        <v>7625</v>
      </c>
      <c r="W2620" s="5" t="s">
        <v>67</v>
      </c>
      <c r="X2620" s="5" t="s">
        <v>67</v>
      </c>
      <c r="Y2620" s="4">
        <v>126</v>
      </c>
      <c r="Z2620" s="4">
        <v>14</v>
      </c>
      <c r="AA2620" s="4">
        <v>19</v>
      </c>
      <c r="AB2620" s="4">
        <v>2</v>
      </c>
      <c r="AC2620" s="4">
        <v>3</v>
      </c>
      <c r="AD2620" s="4">
        <v>55</v>
      </c>
      <c r="AE2620" s="4">
        <v>62</v>
      </c>
      <c r="AF2620" s="4">
        <v>1</v>
      </c>
      <c r="AG2620" s="4">
        <v>2</v>
      </c>
      <c r="AH2620" s="4">
        <v>48</v>
      </c>
      <c r="AI2620" s="4">
        <v>53</v>
      </c>
      <c r="AJ2620" s="4">
        <v>8</v>
      </c>
      <c r="AK2620" s="4">
        <v>11</v>
      </c>
      <c r="AL2620" s="4">
        <v>29</v>
      </c>
      <c r="AM2620" s="4">
        <v>33</v>
      </c>
      <c r="AN2620" s="4">
        <v>0</v>
      </c>
      <c r="AO2620" s="4">
        <v>0</v>
      </c>
      <c r="AP2620" s="4">
        <v>12</v>
      </c>
      <c r="AQ2620" s="4">
        <v>14</v>
      </c>
      <c r="AR2620" s="3" t="s">
        <v>62</v>
      </c>
      <c r="AS2620" s="3" t="s">
        <v>62</v>
      </c>
      <c r="AT2620" s="3" t="s">
        <v>62</v>
      </c>
      <c r="AV2620" s="6" t="str">
        <f>HYPERLINK("http://mcgill.on.worldcat.org/oclc/320622150","Catalog Record")</f>
        <v>Catalog Record</v>
      </c>
      <c r="AW2620" s="6" t="str">
        <f>HYPERLINK("http://www.worldcat.org/oclc/320622150","WorldCat Record")</f>
        <v>WorldCat Record</v>
      </c>
      <c r="AX2620" s="3" t="s">
        <v>25738</v>
      </c>
      <c r="AY2620" s="3" t="s">
        <v>25739</v>
      </c>
      <c r="AZ2620" s="3" t="s">
        <v>25740</v>
      </c>
      <c r="BA2620" s="3" t="s">
        <v>25740</v>
      </c>
      <c r="BB2620" s="3" t="s">
        <v>25744</v>
      </c>
      <c r="BC2620" s="3" t="s">
        <v>142</v>
      </c>
      <c r="BD2620" s="3" t="s">
        <v>68</v>
      </c>
      <c r="BE2620" s="3" t="s">
        <v>25742</v>
      </c>
      <c r="BF2620" s="3" t="s">
        <v>25744</v>
      </c>
      <c r="BG2620" s="3" t="s">
        <v>25745</v>
      </c>
    </row>
    <row r="2621" spans="1:59" ht="71.25" x14ac:dyDescent="0.45">
      <c r="A2621" s="2" t="s">
        <v>59</v>
      </c>
      <c r="B2621" s="2" t="s">
        <v>60</v>
      </c>
      <c r="C2621" s="2" t="s">
        <v>25746</v>
      </c>
      <c r="D2621" s="2" t="s">
        <v>25747</v>
      </c>
      <c r="E2621" s="2" t="s">
        <v>25748</v>
      </c>
      <c r="G2621" s="3" t="s">
        <v>62</v>
      </c>
      <c r="I2621" s="3" t="s">
        <v>62</v>
      </c>
      <c r="J2621" s="3" t="s">
        <v>62</v>
      </c>
      <c r="K2621" s="3" t="s">
        <v>63</v>
      </c>
      <c r="L2621" s="2" t="s">
        <v>25749</v>
      </c>
      <c r="M2621" s="2" t="s">
        <v>25750</v>
      </c>
      <c r="N2621" s="3" t="s">
        <v>5180</v>
      </c>
      <c r="P2621" s="3" t="s">
        <v>110</v>
      </c>
      <c r="R2621" s="3" t="s">
        <v>66</v>
      </c>
      <c r="S2621" s="4">
        <v>0</v>
      </c>
      <c r="T2621" s="4">
        <v>0</v>
      </c>
      <c r="W2621" s="5" t="s">
        <v>67</v>
      </c>
      <c r="X2621" s="5" t="s">
        <v>67</v>
      </c>
      <c r="Y2621" s="4">
        <v>7</v>
      </c>
      <c r="Z2621" s="4">
        <v>6</v>
      </c>
      <c r="AA2621" s="4">
        <v>16</v>
      </c>
      <c r="AB2621" s="4">
        <v>2</v>
      </c>
      <c r="AC2621" s="4">
        <v>10</v>
      </c>
      <c r="AD2621" s="4">
        <v>5</v>
      </c>
      <c r="AE2621" s="4">
        <v>11</v>
      </c>
      <c r="AF2621" s="4">
        <v>1</v>
      </c>
      <c r="AG2621" s="4">
        <v>5</v>
      </c>
      <c r="AH2621" s="4">
        <v>4</v>
      </c>
      <c r="AI2621" s="4">
        <v>5</v>
      </c>
      <c r="AJ2621" s="4">
        <v>4</v>
      </c>
      <c r="AK2621" s="4">
        <v>8</v>
      </c>
      <c r="AL2621" s="4">
        <v>2</v>
      </c>
      <c r="AM2621" s="4">
        <v>2</v>
      </c>
      <c r="AN2621" s="4">
        <v>0</v>
      </c>
      <c r="AO2621" s="4">
        <v>0</v>
      </c>
      <c r="AP2621" s="4">
        <v>4</v>
      </c>
      <c r="AQ2621" s="4">
        <v>9</v>
      </c>
      <c r="AR2621" s="3" t="s">
        <v>61</v>
      </c>
      <c r="AS2621" s="3" t="s">
        <v>62</v>
      </c>
      <c r="AT2621" s="3" t="s">
        <v>62</v>
      </c>
      <c r="AV2621" s="6" t="str">
        <f>HYPERLINK("http://mcgill.on.worldcat.org/oclc/1066135460","Catalog Record")</f>
        <v>Catalog Record</v>
      </c>
      <c r="AW2621" s="6" t="str">
        <f>HYPERLINK("http://www.worldcat.org/oclc/1066135460","WorldCat Record")</f>
        <v>WorldCat Record</v>
      </c>
      <c r="AX2621" s="3" t="s">
        <v>25751</v>
      </c>
      <c r="AY2621" s="3" t="s">
        <v>25752</v>
      </c>
      <c r="AZ2621" s="3" t="s">
        <v>25753</v>
      </c>
      <c r="BA2621" s="3" t="s">
        <v>25753</v>
      </c>
      <c r="BB2621" s="3" t="s">
        <v>25754</v>
      </c>
      <c r="BC2621" s="3" t="s">
        <v>142</v>
      </c>
      <c r="BD2621" s="3" t="s">
        <v>68</v>
      </c>
      <c r="BE2621" s="3" t="s">
        <v>25755</v>
      </c>
      <c r="BF2621" s="3" t="s">
        <v>25754</v>
      </c>
      <c r="BG2621" s="3" t="s">
        <v>25756</v>
      </c>
    </row>
    <row r="2622" spans="1:59" ht="71.25" x14ac:dyDescent="0.45">
      <c r="A2622" s="2" t="s">
        <v>59</v>
      </c>
      <c r="B2622" s="2" t="s">
        <v>60</v>
      </c>
      <c r="C2622" s="2" t="s">
        <v>25757</v>
      </c>
      <c r="D2622" s="2" t="s">
        <v>25758</v>
      </c>
      <c r="E2622" s="2" t="s">
        <v>25759</v>
      </c>
      <c r="G2622" s="3" t="s">
        <v>62</v>
      </c>
      <c r="I2622" s="3" t="s">
        <v>62</v>
      </c>
      <c r="J2622" s="3" t="s">
        <v>62</v>
      </c>
      <c r="K2622" s="3" t="s">
        <v>63</v>
      </c>
      <c r="L2622" s="2" t="s">
        <v>25760</v>
      </c>
      <c r="M2622" s="2" t="s">
        <v>25761</v>
      </c>
      <c r="N2622" s="3" t="s">
        <v>945</v>
      </c>
      <c r="P2622" s="3" t="s">
        <v>65</v>
      </c>
      <c r="R2622" s="3" t="s">
        <v>66</v>
      </c>
      <c r="S2622" s="4">
        <v>11</v>
      </c>
      <c r="T2622" s="4">
        <v>11</v>
      </c>
      <c r="U2622" s="5" t="s">
        <v>25762</v>
      </c>
      <c r="V2622" s="5" t="s">
        <v>25762</v>
      </c>
      <c r="W2622" s="5" t="s">
        <v>67</v>
      </c>
      <c r="X2622" s="5" t="s">
        <v>67</v>
      </c>
      <c r="Y2622" s="4">
        <v>172</v>
      </c>
      <c r="Z2622" s="4">
        <v>15</v>
      </c>
      <c r="AA2622" s="4">
        <v>92</v>
      </c>
      <c r="AB2622" s="4">
        <v>2</v>
      </c>
      <c r="AC2622" s="4">
        <v>14</v>
      </c>
      <c r="AD2622" s="4">
        <v>62</v>
      </c>
      <c r="AE2622" s="4">
        <v>127</v>
      </c>
      <c r="AF2622" s="4">
        <v>1</v>
      </c>
      <c r="AG2622" s="4">
        <v>8</v>
      </c>
      <c r="AH2622" s="4">
        <v>55</v>
      </c>
      <c r="AI2622" s="4">
        <v>89</v>
      </c>
      <c r="AJ2622" s="4">
        <v>10</v>
      </c>
      <c r="AK2622" s="4">
        <v>23</v>
      </c>
      <c r="AL2622" s="4">
        <v>29</v>
      </c>
      <c r="AM2622" s="4">
        <v>46</v>
      </c>
      <c r="AN2622" s="4">
        <v>0</v>
      </c>
      <c r="AO2622" s="4">
        <v>0</v>
      </c>
      <c r="AP2622" s="4">
        <v>12</v>
      </c>
      <c r="AQ2622" s="4">
        <v>45</v>
      </c>
      <c r="AR2622" s="3" t="s">
        <v>62</v>
      </c>
      <c r="AS2622" s="3" t="s">
        <v>62</v>
      </c>
      <c r="AT2622" s="3" t="s">
        <v>62</v>
      </c>
      <c r="AV2622" s="6" t="str">
        <f>HYPERLINK("http://mcgill.on.worldcat.org/oclc/77795692","Catalog Record")</f>
        <v>Catalog Record</v>
      </c>
      <c r="AW2622" s="6" t="str">
        <f>HYPERLINK("http://www.worldcat.org/oclc/77795692","WorldCat Record")</f>
        <v>WorldCat Record</v>
      </c>
      <c r="AX2622" s="3" t="s">
        <v>25763</v>
      </c>
      <c r="AY2622" s="3" t="s">
        <v>25764</v>
      </c>
      <c r="AZ2622" s="3" t="s">
        <v>25765</v>
      </c>
      <c r="BA2622" s="3" t="s">
        <v>25765</v>
      </c>
      <c r="BB2622" s="3" t="s">
        <v>25766</v>
      </c>
      <c r="BC2622" s="3" t="s">
        <v>142</v>
      </c>
      <c r="BD2622" s="3" t="s">
        <v>68</v>
      </c>
      <c r="BE2622" s="3" t="s">
        <v>25767</v>
      </c>
      <c r="BF2622" s="3" t="s">
        <v>25766</v>
      </c>
      <c r="BG2622" s="3" t="s">
        <v>25768</v>
      </c>
    </row>
    <row r="2623" spans="1:59" ht="71.25" x14ac:dyDescent="0.45">
      <c r="A2623" s="2" t="s">
        <v>59</v>
      </c>
      <c r="B2623" s="2" t="s">
        <v>60</v>
      </c>
      <c r="C2623" s="2" t="s">
        <v>25769</v>
      </c>
      <c r="D2623" s="2" t="s">
        <v>25770</v>
      </c>
      <c r="E2623" s="2" t="s">
        <v>25771</v>
      </c>
      <c r="G2623" s="3" t="s">
        <v>62</v>
      </c>
      <c r="I2623" s="3" t="s">
        <v>62</v>
      </c>
      <c r="J2623" s="3" t="s">
        <v>62</v>
      </c>
      <c r="K2623" s="3" t="s">
        <v>63</v>
      </c>
      <c r="L2623" s="2" t="s">
        <v>25772</v>
      </c>
      <c r="M2623" s="2" t="s">
        <v>25773</v>
      </c>
      <c r="N2623" s="3" t="s">
        <v>894</v>
      </c>
      <c r="P2623" s="3" t="s">
        <v>65</v>
      </c>
      <c r="R2623" s="3" t="s">
        <v>66</v>
      </c>
      <c r="S2623" s="4">
        <v>2</v>
      </c>
      <c r="T2623" s="4">
        <v>2</v>
      </c>
      <c r="U2623" s="5" t="s">
        <v>23006</v>
      </c>
      <c r="V2623" s="5" t="s">
        <v>23006</v>
      </c>
      <c r="W2623" s="5" t="s">
        <v>67</v>
      </c>
      <c r="X2623" s="5" t="s">
        <v>67</v>
      </c>
      <c r="Y2623" s="4">
        <v>137</v>
      </c>
      <c r="Z2623" s="4">
        <v>18</v>
      </c>
      <c r="AA2623" s="4">
        <v>25</v>
      </c>
      <c r="AB2623" s="4">
        <v>2</v>
      </c>
      <c r="AC2623" s="4">
        <v>5</v>
      </c>
      <c r="AD2623" s="4">
        <v>56</v>
      </c>
      <c r="AE2623" s="4">
        <v>70</v>
      </c>
      <c r="AF2623" s="4">
        <v>1</v>
      </c>
      <c r="AG2623" s="4">
        <v>2</v>
      </c>
      <c r="AH2623" s="4">
        <v>48</v>
      </c>
      <c r="AI2623" s="4">
        <v>60</v>
      </c>
      <c r="AJ2623" s="4">
        <v>13</v>
      </c>
      <c r="AK2623" s="4">
        <v>17</v>
      </c>
      <c r="AL2623" s="4">
        <v>23</v>
      </c>
      <c r="AM2623" s="4">
        <v>31</v>
      </c>
      <c r="AN2623" s="4">
        <v>0</v>
      </c>
      <c r="AO2623" s="4">
        <v>0</v>
      </c>
      <c r="AP2623" s="4">
        <v>15</v>
      </c>
      <c r="AQ2623" s="4">
        <v>19</v>
      </c>
      <c r="AR2623" s="3" t="s">
        <v>62</v>
      </c>
      <c r="AS2623" s="3" t="s">
        <v>62</v>
      </c>
      <c r="AT2623" s="3" t="s">
        <v>62</v>
      </c>
      <c r="AV2623" s="6" t="str">
        <f>HYPERLINK("http://mcgill.on.worldcat.org/oclc/724657087","Catalog Record")</f>
        <v>Catalog Record</v>
      </c>
      <c r="AW2623" s="6" t="str">
        <f>HYPERLINK("http://www.worldcat.org/oclc/724657087","WorldCat Record")</f>
        <v>WorldCat Record</v>
      </c>
      <c r="AX2623" s="3" t="s">
        <v>25774</v>
      </c>
      <c r="AY2623" s="3" t="s">
        <v>25775</v>
      </c>
      <c r="AZ2623" s="3" t="s">
        <v>25776</v>
      </c>
      <c r="BA2623" s="3" t="s">
        <v>25776</v>
      </c>
      <c r="BB2623" s="3" t="s">
        <v>25777</v>
      </c>
      <c r="BC2623" s="3" t="s">
        <v>142</v>
      </c>
      <c r="BD2623" s="3" t="s">
        <v>68</v>
      </c>
      <c r="BE2623" s="3" t="s">
        <v>25778</v>
      </c>
      <c r="BF2623" s="3" t="s">
        <v>25777</v>
      </c>
      <c r="BG2623" s="3" t="s">
        <v>25779</v>
      </c>
    </row>
    <row r="2624" spans="1:59" ht="71.25" x14ac:dyDescent="0.45">
      <c r="A2624" s="2" t="s">
        <v>59</v>
      </c>
      <c r="B2624" s="2" t="s">
        <v>60</v>
      </c>
      <c r="C2624" s="2" t="s">
        <v>25780</v>
      </c>
      <c r="D2624" s="2" t="s">
        <v>25781</v>
      </c>
      <c r="E2624" s="2" t="s">
        <v>25782</v>
      </c>
      <c r="G2624" s="3" t="s">
        <v>62</v>
      </c>
      <c r="I2624" s="3" t="s">
        <v>62</v>
      </c>
      <c r="J2624" s="3" t="s">
        <v>62</v>
      </c>
      <c r="K2624" s="3" t="s">
        <v>63</v>
      </c>
      <c r="M2624" s="2" t="s">
        <v>14964</v>
      </c>
      <c r="N2624" s="3" t="s">
        <v>894</v>
      </c>
      <c r="P2624" s="3" t="s">
        <v>65</v>
      </c>
      <c r="R2624" s="3" t="s">
        <v>66</v>
      </c>
      <c r="S2624" s="4">
        <v>4</v>
      </c>
      <c r="T2624" s="4">
        <v>4</v>
      </c>
      <c r="U2624" s="5" t="s">
        <v>12354</v>
      </c>
      <c r="V2624" s="5" t="s">
        <v>12354</v>
      </c>
      <c r="W2624" s="5" t="s">
        <v>67</v>
      </c>
      <c r="X2624" s="5" t="s">
        <v>67</v>
      </c>
      <c r="Y2624" s="4">
        <v>291</v>
      </c>
      <c r="Z2624" s="4">
        <v>20</v>
      </c>
      <c r="AA2624" s="4">
        <v>24</v>
      </c>
      <c r="AB2624" s="4">
        <v>1</v>
      </c>
      <c r="AC2624" s="4">
        <v>5</v>
      </c>
      <c r="AD2624" s="4">
        <v>81</v>
      </c>
      <c r="AE2624" s="4">
        <v>84</v>
      </c>
      <c r="AF2624" s="4">
        <v>1</v>
      </c>
      <c r="AG2624" s="4">
        <v>4</v>
      </c>
      <c r="AH2624" s="4">
        <v>74</v>
      </c>
      <c r="AI2624" s="4">
        <v>75</v>
      </c>
      <c r="AJ2624" s="4">
        <v>12</v>
      </c>
      <c r="AK2624" s="4">
        <v>14</v>
      </c>
      <c r="AL2624" s="4">
        <v>39</v>
      </c>
      <c r="AM2624" s="4">
        <v>39</v>
      </c>
      <c r="AN2624" s="4">
        <v>0</v>
      </c>
      <c r="AO2624" s="4">
        <v>0</v>
      </c>
      <c r="AP2624" s="4">
        <v>14</v>
      </c>
      <c r="AQ2624" s="4">
        <v>17</v>
      </c>
      <c r="AR2624" s="3" t="s">
        <v>62</v>
      </c>
      <c r="AS2624" s="3" t="s">
        <v>62</v>
      </c>
      <c r="AT2624" s="3" t="s">
        <v>62</v>
      </c>
      <c r="AV2624" s="6" t="str">
        <f>HYPERLINK("http://mcgill.on.worldcat.org/oclc/526116855","Catalog Record")</f>
        <v>Catalog Record</v>
      </c>
      <c r="AW2624" s="6" t="str">
        <f>HYPERLINK("http://www.worldcat.org/oclc/526116855","WorldCat Record")</f>
        <v>WorldCat Record</v>
      </c>
      <c r="AX2624" s="3" t="s">
        <v>25783</v>
      </c>
      <c r="AY2624" s="3" t="s">
        <v>25784</v>
      </c>
      <c r="AZ2624" s="3" t="s">
        <v>25785</v>
      </c>
      <c r="BA2624" s="3" t="s">
        <v>25785</v>
      </c>
      <c r="BB2624" s="3" t="s">
        <v>25786</v>
      </c>
      <c r="BC2624" s="3" t="s">
        <v>142</v>
      </c>
      <c r="BD2624" s="3" t="s">
        <v>308</v>
      </c>
      <c r="BE2624" s="3" t="s">
        <v>25787</v>
      </c>
      <c r="BF2624" s="3" t="s">
        <v>25786</v>
      </c>
      <c r="BG2624" s="3" t="s">
        <v>25788</v>
      </c>
    </row>
    <row r="2625" spans="1:59" ht="71.25" x14ac:dyDescent="0.45">
      <c r="A2625" s="2" t="s">
        <v>59</v>
      </c>
      <c r="B2625" s="2" t="s">
        <v>60</v>
      </c>
      <c r="C2625" s="2" t="s">
        <v>25789</v>
      </c>
      <c r="D2625" s="2" t="s">
        <v>25790</v>
      </c>
      <c r="E2625" s="2" t="s">
        <v>25791</v>
      </c>
      <c r="G2625" s="3" t="s">
        <v>62</v>
      </c>
      <c r="I2625" s="3" t="s">
        <v>62</v>
      </c>
      <c r="J2625" s="3" t="s">
        <v>62</v>
      </c>
      <c r="K2625" s="3" t="s">
        <v>63</v>
      </c>
      <c r="M2625" s="2" t="s">
        <v>25792</v>
      </c>
      <c r="N2625" s="3" t="s">
        <v>116</v>
      </c>
      <c r="P2625" s="3" t="s">
        <v>65</v>
      </c>
      <c r="Q2625" s="2" t="s">
        <v>18253</v>
      </c>
      <c r="R2625" s="3" t="s">
        <v>66</v>
      </c>
      <c r="S2625" s="4">
        <v>1</v>
      </c>
      <c r="T2625" s="4">
        <v>1</v>
      </c>
      <c r="U2625" s="5" t="s">
        <v>25793</v>
      </c>
      <c r="V2625" s="5" t="s">
        <v>25793</v>
      </c>
      <c r="W2625" s="5" t="s">
        <v>67</v>
      </c>
      <c r="X2625" s="5" t="s">
        <v>67</v>
      </c>
      <c r="Y2625" s="4">
        <v>64</v>
      </c>
      <c r="Z2625" s="4">
        <v>7</v>
      </c>
      <c r="AA2625" s="4">
        <v>74</v>
      </c>
      <c r="AB2625" s="4">
        <v>2</v>
      </c>
      <c r="AC2625" s="4">
        <v>16</v>
      </c>
      <c r="AD2625" s="4">
        <v>23</v>
      </c>
      <c r="AE2625" s="4">
        <v>102</v>
      </c>
      <c r="AF2625" s="4">
        <v>1</v>
      </c>
      <c r="AG2625" s="4">
        <v>9</v>
      </c>
      <c r="AH2625" s="4">
        <v>20</v>
      </c>
      <c r="AI2625" s="4">
        <v>69</v>
      </c>
      <c r="AJ2625" s="4">
        <v>5</v>
      </c>
      <c r="AK2625" s="4">
        <v>19</v>
      </c>
      <c r="AL2625" s="4">
        <v>14</v>
      </c>
      <c r="AM2625" s="4">
        <v>36</v>
      </c>
      <c r="AN2625" s="4">
        <v>0</v>
      </c>
      <c r="AO2625" s="4">
        <v>0</v>
      </c>
      <c r="AP2625" s="4">
        <v>5</v>
      </c>
      <c r="AQ2625" s="4">
        <v>39</v>
      </c>
      <c r="AR2625" s="3" t="s">
        <v>62</v>
      </c>
      <c r="AS2625" s="3" t="s">
        <v>62</v>
      </c>
      <c r="AT2625" s="3" t="s">
        <v>62</v>
      </c>
      <c r="AV2625" s="6" t="str">
        <f>HYPERLINK("http://mcgill.on.worldcat.org/oclc/819741515","Catalog Record")</f>
        <v>Catalog Record</v>
      </c>
      <c r="AW2625" s="6" t="str">
        <f>HYPERLINK("http://www.worldcat.org/oclc/819741515","WorldCat Record")</f>
        <v>WorldCat Record</v>
      </c>
      <c r="AX2625" s="3" t="s">
        <v>25794</v>
      </c>
      <c r="AY2625" s="3" t="s">
        <v>25795</v>
      </c>
      <c r="AZ2625" s="3" t="s">
        <v>25796</v>
      </c>
      <c r="BA2625" s="3" t="s">
        <v>25796</v>
      </c>
      <c r="BB2625" s="3" t="s">
        <v>25797</v>
      </c>
      <c r="BC2625" s="3" t="s">
        <v>142</v>
      </c>
      <c r="BD2625" s="3" t="s">
        <v>68</v>
      </c>
      <c r="BE2625" s="3" t="s">
        <v>25798</v>
      </c>
      <c r="BF2625" s="3" t="s">
        <v>25797</v>
      </c>
      <c r="BG2625" s="3" t="s">
        <v>25799</v>
      </c>
    </row>
    <row r="2626" spans="1:59" ht="71.25" x14ac:dyDescent="0.45">
      <c r="A2626" s="2" t="s">
        <v>59</v>
      </c>
      <c r="B2626" s="2" t="s">
        <v>60</v>
      </c>
      <c r="C2626" s="2" t="s">
        <v>25800</v>
      </c>
      <c r="D2626" s="2" t="s">
        <v>25801</v>
      </c>
      <c r="E2626" s="2" t="s">
        <v>25802</v>
      </c>
      <c r="G2626" s="3" t="s">
        <v>62</v>
      </c>
      <c r="I2626" s="3" t="s">
        <v>62</v>
      </c>
      <c r="J2626" s="3" t="s">
        <v>62</v>
      </c>
      <c r="K2626" s="3" t="s">
        <v>63</v>
      </c>
      <c r="M2626" s="2" t="s">
        <v>25803</v>
      </c>
      <c r="N2626" s="3" t="s">
        <v>894</v>
      </c>
      <c r="P2626" s="3" t="s">
        <v>65</v>
      </c>
      <c r="Q2626" s="2" t="s">
        <v>25804</v>
      </c>
      <c r="R2626" s="3" t="s">
        <v>66</v>
      </c>
      <c r="S2626" s="4">
        <v>2</v>
      </c>
      <c r="T2626" s="4">
        <v>2</v>
      </c>
      <c r="U2626" s="5" t="s">
        <v>1605</v>
      </c>
      <c r="V2626" s="5" t="s">
        <v>1605</v>
      </c>
      <c r="W2626" s="5" t="s">
        <v>67</v>
      </c>
      <c r="X2626" s="5" t="s">
        <v>67</v>
      </c>
      <c r="Y2626" s="4">
        <v>67</v>
      </c>
      <c r="Z2626" s="4">
        <v>13</v>
      </c>
      <c r="AA2626" s="4">
        <v>18</v>
      </c>
      <c r="AB2626" s="4">
        <v>1</v>
      </c>
      <c r="AC2626" s="4">
        <v>4</v>
      </c>
      <c r="AD2626" s="4">
        <v>19</v>
      </c>
      <c r="AE2626" s="4">
        <v>26</v>
      </c>
      <c r="AF2626" s="4">
        <v>0</v>
      </c>
      <c r="AG2626" s="4">
        <v>1</v>
      </c>
      <c r="AH2626" s="4">
        <v>16</v>
      </c>
      <c r="AI2626" s="4">
        <v>23</v>
      </c>
      <c r="AJ2626" s="4">
        <v>9</v>
      </c>
      <c r="AK2626" s="4">
        <v>11</v>
      </c>
      <c r="AL2626" s="4">
        <v>8</v>
      </c>
      <c r="AM2626" s="4">
        <v>11</v>
      </c>
      <c r="AN2626" s="4">
        <v>0</v>
      </c>
      <c r="AO2626" s="4">
        <v>0</v>
      </c>
      <c r="AP2626" s="4">
        <v>10</v>
      </c>
      <c r="AQ2626" s="4">
        <v>12</v>
      </c>
      <c r="AR2626" s="3" t="s">
        <v>62</v>
      </c>
      <c r="AS2626" s="3" t="s">
        <v>62</v>
      </c>
      <c r="AT2626" s="3" t="s">
        <v>62</v>
      </c>
      <c r="AV2626" s="6" t="str">
        <f>HYPERLINK("http://mcgill.on.worldcat.org/oclc/742002679","Catalog Record")</f>
        <v>Catalog Record</v>
      </c>
      <c r="AW2626" s="6" t="str">
        <f>HYPERLINK("http://www.worldcat.org/oclc/742002679","WorldCat Record")</f>
        <v>WorldCat Record</v>
      </c>
      <c r="AX2626" s="3" t="s">
        <v>25805</v>
      </c>
      <c r="AY2626" s="3" t="s">
        <v>25806</v>
      </c>
      <c r="AZ2626" s="3" t="s">
        <v>25807</v>
      </c>
      <c r="BA2626" s="3" t="s">
        <v>25807</v>
      </c>
      <c r="BB2626" s="3" t="s">
        <v>25808</v>
      </c>
      <c r="BC2626" s="3" t="s">
        <v>142</v>
      </c>
      <c r="BD2626" s="3" t="s">
        <v>68</v>
      </c>
      <c r="BE2626" s="3" t="s">
        <v>25809</v>
      </c>
      <c r="BF2626" s="3" t="s">
        <v>25808</v>
      </c>
      <c r="BG2626" s="3" t="s">
        <v>25810</v>
      </c>
    </row>
    <row r="2627" spans="1:59" ht="57" x14ac:dyDescent="0.45">
      <c r="A2627" s="2" t="s">
        <v>59</v>
      </c>
      <c r="B2627" s="2" t="s">
        <v>60</v>
      </c>
      <c r="C2627" s="2" t="s">
        <v>25811</v>
      </c>
      <c r="D2627" s="2" t="s">
        <v>25812</v>
      </c>
      <c r="E2627" s="2" t="s">
        <v>25813</v>
      </c>
      <c r="G2627" s="3" t="s">
        <v>62</v>
      </c>
      <c r="I2627" s="3" t="s">
        <v>62</v>
      </c>
      <c r="J2627" s="3" t="s">
        <v>62</v>
      </c>
      <c r="K2627" s="3" t="s">
        <v>63</v>
      </c>
      <c r="L2627" s="2" t="s">
        <v>24713</v>
      </c>
      <c r="M2627" s="2" t="s">
        <v>25814</v>
      </c>
      <c r="N2627" s="3" t="s">
        <v>970</v>
      </c>
      <c r="P2627" s="3" t="s">
        <v>65</v>
      </c>
      <c r="Q2627" s="2" t="s">
        <v>22159</v>
      </c>
      <c r="R2627" s="3" t="s">
        <v>66</v>
      </c>
      <c r="S2627" s="4">
        <v>8</v>
      </c>
      <c r="T2627" s="4">
        <v>8</v>
      </c>
      <c r="U2627" s="5" t="s">
        <v>24714</v>
      </c>
      <c r="V2627" s="5" t="s">
        <v>24714</v>
      </c>
      <c r="W2627" s="5" t="s">
        <v>67</v>
      </c>
      <c r="X2627" s="5" t="s">
        <v>67</v>
      </c>
      <c r="Y2627" s="4">
        <v>382</v>
      </c>
      <c r="Z2627" s="4">
        <v>19</v>
      </c>
      <c r="AA2627" s="4">
        <v>114</v>
      </c>
      <c r="AB2627" s="4">
        <v>3</v>
      </c>
      <c r="AC2627" s="4">
        <v>19</v>
      </c>
      <c r="AD2627" s="4">
        <v>98</v>
      </c>
      <c r="AE2627" s="4">
        <v>146</v>
      </c>
      <c r="AF2627" s="4">
        <v>1</v>
      </c>
      <c r="AG2627" s="4">
        <v>8</v>
      </c>
      <c r="AH2627" s="4">
        <v>86</v>
      </c>
      <c r="AI2627" s="4">
        <v>105</v>
      </c>
      <c r="AJ2627" s="4">
        <v>11</v>
      </c>
      <c r="AK2627" s="4">
        <v>26</v>
      </c>
      <c r="AL2627" s="4">
        <v>51</v>
      </c>
      <c r="AM2627" s="4">
        <v>55</v>
      </c>
      <c r="AN2627" s="4">
        <v>0</v>
      </c>
      <c r="AO2627" s="4">
        <v>0</v>
      </c>
      <c r="AP2627" s="4">
        <v>14</v>
      </c>
      <c r="AQ2627" s="4">
        <v>48</v>
      </c>
      <c r="AR2627" s="3" t="s">
        <v>62</v>
      </c>
      <c r="AS2627" s="3" t="s">
        <v>62</v>
      </c>
      <c r="AT2627" s="3" t="s">
        <v>62</v>
      </c>
      <c r="AV2627" s="6" t="str">
        <f>HYPERLINK("http://mcgill.on.worldcat.org/oclc/46402100","Catalog Record")</f>
        <v>Catalog Record</v>
      </c>
      <c r="AW2627" s="6" t="str">
        <f>HYPERLINK("http://www.worldcat.org/oclc/46402100","WorldCat Record")</f>
        <v>WorldCat Record</v>
      </c>
      <c r="AX2627" s="3" t="s">
        <v>25815</v>
      </c>
      <c r="AY2627" s="3" t="s">
        <v>25816</v>
      </c>
      <c r="AZ2627" s="3" t="s">
        <v>25817</v>
      </c>
      <c r="BA2627" s="3" t="s">
        <v>25817</v>
      </c>
      <c r="BB2627" s="3" t="s">
        <v>25818</v>
      </c>
      <c r="BC2627" s="3" t="s">
        <v>142</v>
      </c>
      <c r="BD2627" s="3" t="s">
        <v>68</v>
      </c>
      <c r="BE2627" s="3" t="s">
        <v>25819</v>
      </c>
      <c r="BF2627" s="3" t="s">
        <v>25818</v>
      </c>
      <c r="BG2627" s="3" t="s">
        <v>25820</v>
      </c>
    </row>
    <row r="2628" spans="1:59" ht="57" x14ac:dyDescent="0.45">
      <c r="A2628" s="2" t="s">
        <v>59</v>
      </c>
      <c r="B2628" s="2" t="s">
        <v>60</v>
      </c>
      <c r="C2628" s="2" t="s">
        <v>25821</v>
      </c>
      <c r="D2628" s="2" t="s">
        <v>25822</v>
      </c>
      <c r="E2628" s="2" t="s">
        <v>25823</v>
      </c>
      <c r="G2628" s="3" t="s">
        <v>62</v>
      </c>
      <c r="I2628" s="3" t="s">
        <v>62</v>
      </c>
      <c r="J2628" s="3" t="s">
        <v>62</v>
      </c>
      <c r="K2628" s="3" t="s">
        <v>63</v>
      </c>
      <c r="L2628" s="2" t="s">
        <v>24692</v>
      </c>
      <c r="M2628" s="2" t="s">
        <v>13251</v>
      </c>
      <c r="N2628" s="3" t="s">
        <v>149</v>
      </c>
      <c r="P2628" s="3" t="s">
        <v>65</v>
      </c>
      <c r="R2628" s="3" t="s">
        <v>66</v>
      </c>
      <c r="S2628" s="4">
        <v>2</v>
      </c>
      <c r="T2628" s="4">
        <v>2</v>
      </c>
      <c r="U2628" s="5" t="s">
        <v>25824</v>
      </c>
      <c r="V2628" s="5" t="s">
        <v>25824</v>
      </c>
      <c r="W2628" s="5" t="s">
        <v>67</v>
      </c>
      <c r="X2628" s="5" t="s">
        <v>67</v>
      </c>
      <c r="Y2628" s="4">
        <v>170</v>
      </c>
      <c r="Z2628" s="4">
        <v>17</v>
      </c>
      <c r="AA2628" s="4">
        <v>19</v>
      </c>
      <c r="AB2628" s="4">
        <v>1</v>
      </c>
      <c r="AC2628" s="4">
        <v>3</v>
      </c>
      <c r="AD2628" s="4">
        <v>54</v>
      </c>
      <c r="AE2628" s="4">
        <v>57</v>
      </c>
      <c r="AF2628" s="4">
        <v>0</v>
      </c>
      <c r="AG2628" s="4">
        <v>2</v>
      </c>
      <c r="AH2628" s="4">
        <v>49</v>
      </c>
      <c r="AI2628" s="4">
        <v>51</v>
      </c>
      <c r="AJ2628" s="4">
        <v>11</v>
      </c>
      <c r="AK2628" s="4">
        <v>13</v>
      </c>
      <c r="AL2628" s="4">
        <v>28</v>
      </c>
      <c r="AM2628" s="4">
        <v>28</v>
      </c>
      <c r="AN2628" s="4">
        <v>0</v>
      </c>
      <c r="AO2628" s="4">
        <v>0</v>
      </c>
      <c r="AP2628" s="4">
        <v>13</v>
      </c>
      <c r="AQ2628" s="4">
        <v>14</v>
      </c>
      <c r="AR2628" s="3" t="s">
        <v>62</v>
      </c>
      <c r="AS2628" s="3" t="s">
        <v>62</v>
      </c>
      <c r="AT2628" s="3" t="s">
        <v>62</v>
      </c>
      <c r="AV2628" s="6" t="str">
        <f>HYPERLINK("http://mcgill.on.worldcat.org/oclc/670206847","Catalog Record")</f>
        <v>Catalog Record</v>
      </c>
      <c r="AW2628" s="6" t="str">
        <f>HYPERLINK("http://www.worldcat.org/oclc/670206847","WorldCat Record")</f>
        <v>WorldCat Record</v>
      </c>
      <c r="AX2628" s="3" t="s">
        <v>25825</v>
      </c>
      <c r="AY2628" s="3" t="s">
        <v>25826</v>
      </c>
      <c r="AZ2628" s="3" t="s">
        <v>25827</v>
      </c>
      <c r="BA2628" s="3" t="s">
        <v>25827</v>
      </c>
      <c r="BB2628" s="3" t="s">
        <v>25828</v>
      </c>
      <c r="BC2628" s="3" t="s">
        <v>142</v>
      </c>
      <c r="BD2628" s="3" t="s">
        <v>68</v>
      </c>
      <c r="BE2628" s="3" t="s">
        <v>25829</v>
      </c>
      <c r="BF2628" s="3" t="s">
        <v>25828</v>
      </c>
      <c r="BG2628" s="3" t="s">
        <v>25830</v>
      </c>
    </row>
    <row r="2629" spans="1:59" ht="57" x14ac:dyDescent="0.45">
      <c r="A2629" s="2" t="s">
        <v>59</v>
      </c>
      <c r="B2629" s="2" t="s">
        <v>60</v>
      </c>
      <c r="C2629" s="2" t="s">
        <v>25831</v>
      </c>
      <c r="D2629" s="2" t="s">
        <v>25832</v>
      </c>
      <c r="E2629" s="2" t="s">
        <v>25833</v>
      </c>
      <c r="G2629" s="3" t="s">
        <v>62</v>
      </c>
      <c r="I2629" s="3" t="s">
        <v>62</v>
      </c>
      <c r="J2629" s="3" t="s">
        <v>62</v>
      </c>
      <c r="K2629" s="3" t="s">
        <v>63</v>
      </c>
      <c r="M2629" s="2" t="s">
        <v>12999</v>
      </c>
      <c r="N2629" s="3" t="s">
        <v>116</v>
      </c>
      <c r="P2629" s="3" t="s">
        <v>65</v>
      </c>
      <c r="Q2629" s="2" t="s">
        <v>25834</v>
      </c>
      <c r="R2629" s="3" t="s">
        <v>66</v>
      </c>
      <c r="S2629" s="4">
        <v>3</v>
      </c>
      <c r="T2629" s="4">
        <v>3</v>
      </c>
      <c r="U2629" s="5" t="s">
        <v>25835</v>
      </c>
      <c r="V2629" s="5" t="s">
        <v>25835</v>
      </c>
      <c r="W2629" s="5" t="s">
        <v>67</v>
      </c>
      <c r="X2629" s="5" t="s">
        <v>67</v>
      </c>
      <c r="Y2629" s="4">
        <v>168</v>
      </c>
      <c r="Z2629" s="4">
        <v>18</v>
      </c>
      <c r="AA2629" s="4">
        <v>84</v>
      </c>
      <c r="AB2629" s="4">
        <v>1</v>
      </c>
      <c r="AC2629" s="4">
        <v>15</v>
      </c>
      <c r="AD2629" s="4">
        <v>65</v>
      </c>
      <c r="AE2629" s="4">
        <v>125</v>
      </c>
      <c r="AF2629" s="4">
        <v>0</v>
      </c>
      <c r="AG2629" s="4">
        <v>8</v>
      </c>
      <c r="AH2629" s="4">
        <v>58</v>
      </c>
      <c r="AI2629" s="4">
        <v>88</v>
      </c>
      <c r="AJ2629" s="4">
        <v>10</v>
      </c>
      <c r="AK2629" s="4">
        <v>24</v>
      </c>
      <c r="AL2629" s="4">
        <v>31</v>
      </c>
      <c r="AM2629" s="4">
        <v>44</v>
      </c>
      <c r="AN2629" s="4">
        <v>0</v>
      </c>
      <c r="AO2629" s="4">
        <v>0</v>
      </c>
      <c r="AP2629" s="4">
        <v>14</v>
      </c>
      <c r="AQ2629" s="4">
        <v>46</v>
      </c>
      <c r="AR2629" s="3" t="s">
        <v>62</v>
      </c>
      <c r="AS2629" s="3" t="s">
        <v>62</v>
      </c>
      <c r="AT2629" s="3" t="s">
        <v>62</v>
      </c>
      <c r="AV2629" s="6" t="str">
        <f>HYPERLINK("http://mcgill.on.worldcat.org/oclc/776535188","Catalog Record")</f>
        <v>Catalog Record</v>
      </c>
      <c r="AW2629" s="6" t="str">
        <f>HYPERLINK("http://www.worldcat.org/oclc/776535188","WorldCat Record")</f>
        <v>WorldCat Record</v>
      </c>
      <c r="AX2629" s="3" t="s">
        <v>25836</v>
      </c>
      <c r="AY2629" s="3" t="s">
        <v>25837</v>
      </c>
      <c r="AZ2629" s="3" t="s">
        <v>25838</v>
      </c>
      <c r="BA2629" s="3" t="s">
        <v>25838</v>
      </c>
      <c r="BB2629" s="3" t="s">
        <v>25839</v>
      </c>
      <c r="BC2629" s="3" t="s">
        <v>142</v>
      </c>
      <c r="BD2629" s="3" t="s">
        <v>68</v>
      </c>
      <c r="BE2629" s="3" t="s">
        <v>25840</v>
      </c>
      <c r="BF2629" s="3" t="s">
        <v>25839</v>
      </c>
      <c r="BG2629" s="3" t="s">
        <v>25841</v>
      </c>
    </row>
    <row r="2630" spans="1:59" ht="71.25" x14ac:dyDescent="0.45">
      <c r="A2630" s="2" t="s">
        <v>59</v>
      </c>
      <c r="B2630" s="2" t="s">
        <v>60</v>
      </c>
      <c r="C2630" s="2" t="s">
        <v>25842</v>
      </c>
      <c r="D2630" s="2" t="s">
        <v>25843</v>
      </c>
      <c r="E2630" s="2" t="s">
        <v>25844</v>
      </c>
      <c r="G2630" s="3" t="s">
        <v>62</v>
      </c>
      <c r="I2630" s="3" t="s">
        <v>62</v>
      </c>
      <c r="J2630" s="3" t="s">
        <v>62</v>
      </c>
      <c r="K2630" s="3" t="s">
        <v>63</v>
      </c>
      <c r="M2630" s="2" t="s">
        <v>19678</v>
      </c>
      <c r="N2630" s="3" t="s">
        <v>1155</v>
      </c>
      <c r="P2630" s="3" t="s">
        <v>65</v>
      </c>
      <c r="R2630" s="3" t="s">
        <v>66</v>
      </c>
      <c r="S2630" s="4">
        <v>8</v>
      </c>
      <c r="T2630" s="4">
        <v>8</v>
      </c>
      <c r="U2630" s="5" t="s">
        <v>19857</v>
      </c>
      <c r="V2630" s="5" t="s">
        <v>19857</v>
      </c>
      <c r="W2630" s="5" t="s">
        <v>67</v>
      </c>
      <c r="X2630" s="5" t="s">
        <v>67</v>
      </c>
      <c r="Y2630" s="4">
        <v>311</v>
      </c>
      <c r="Z2630" s="4">
        <v>24</v>
      </c>
      <c r="AA2630" s="4">
        <v>36</v>
      </c>
      <c r="AB2630" s="4">
        <v>3</v>
      </c>
      <c r="AC2630" s="4">
        <v>6</v>
      </c>
      <c r="AD2630" s="4">
        <v>54</v>
      </c>
      <c r="AE2630" s="4">
        <v>66</v>
      </c>
      <c r="AF2630" s="4">
        <v>1</v>
      </c>
      <c r="AG2630" s="4">
        <v>2</v>
      </c>
      <c r="AH2630" s="4">
        <v>45</v>
      </c>
      <c r="AI2630" s="4">
        <v>55</v>
      </c>
      <c r="AJ2630" s="4">
        <v>11</v>
      </c>
      <c r="AK2630" s="4">
        <v>13</v>
      </c>
      <c r="AL2630" s="4">
        <v>29</v>
      </c>
      <c r="AM2630" s="4">
        <v>35</v>
      </c>
      <c r="AN2630" s="4">
        <v>0</v>
      </c>
      <c r="AO2630" s="4">
        <v>0</v>
      </c>
      <c r="AP2630" s="4">
        <v>15</v>
      </c>
      <c r="AQ2630" s="4">
        <v>18</v>
      </c>
      <c r="AR2630" s="3" t="s">
        <v>62</v>
      </c>
      <c r="AS2630" s="3" t="s">
        <v>62</v>
      </c>
      <c r="AT2630" s="3" t="s">
        <v>62</v>
      </c>
      <c r="AV2630" s="6" t="str">
        <f>HYPERLINK("http://mcgill.on.worldcat.org/oclc/757462061","Catalog Record")</f>
        <v>Catalog Record</v>
      </c>
      <c r="AW2630" s="6" t="str">
        <f>HYPERLINK("http://www.worldcat.org/oclc/757462061","WorldCat Record")</f>
        <v>WorldCat Record</v>
      </c>
      <c r="AX2630" s="3" t="s">
        <v>25845</v>
      </c>
      <c r="AY2630" s="3" t="s">
        <v>25846</v>
      </c>
      <c r="AZ2630" s="3" t="s">
        <v>25847</v>
      </c>
      <c r="BA2630" s="3" t="s">
        <v>25847</v>
      </c>
      <c r="BB2630" s="3" t="s">
        <v>25848</v>
      </c>
      <c r="BC2630" s="3" t="s">
        <v>142</v>
      </c>
      <c r="BD2630" s="3" t="s">
        <v>68</v>
      </c>
      <c r="BE2630" s="3" t="s">
        <v>25849</v>
      </c>
      <c r="BF2630" s="3" t="s">
        <v>25848</v>
      </c>
      <c r="BG2630" s="3" t="s">
        <v>25850</v>
      </c>
    </row>
    <row r="2631" spans="1:59" ht="57" x14ac:dyDescent="0.45">
      <c r="A2631" s="2" t="s">
        <v>59</v>
      </c>
      <c r="B2631" s="2" t="s">
        <v>60</v>
      </c>
      <c r="C2631" s="2" t="s">
        <v>25851</v>
      </c>
      <c r="D2631" s="2" t="s">
        <v>25852</v>
      </c>
      <c r="E2631" s="2" t="s">
        <v>25853</v>
      </c>
      <c r="G2631" s="3" t="s">
        <v>62</v>
      </c>
      <c r="I2631" s="3" t="s">
        <v>62</v>
      </c>
      <c r="J2631" s="3" t="s">
        <v>62</v>
      </c>
      <c r="K2631" s="3" t="s">
        <v>63</v>
      </c>
      <c r="L2631" s="2" t="s">
        <v>3470</v>
      </c>
      <c r="M2631" s="2" t="s">
        <v>25854</v>
      </c>
      <c r="N2631" s="3" t="s">
        <v>149</v>
      </c>
      <c r="P2631" s="3" t="s">
        <v>65</v>
      </c>
      <c r="Q2631" s="2" t="s">
        <v>25855</v>
      </c>
      <c r="R2631" s="3" t="s">
        <v>66</v>
      </c>
      <c r="S2631" s="4">
        <v>14</v>
      </c>
      <c r="T2631" s="4">
        <v>14</v>
      </c>
      <c r="U2631" s="5" t="s">
        <v>934</v>
      </c>
      <c r="V2631" s="5" t="s">
        <v>934</v>
      </c>
      <c r="W2631" s="5" t="s">
        <v>67</v>
      </c>
      <c r="X2631" s="5" t="s">
        <v>67</v>
      </c>
      <c r="Y2631" s="4">
        <v>246</v>
      </c>
      <c r="Z2631" s="4">
        <v>22</v>
      </c>
      <c r="AA2631" s="4">
        <v>86</v>
      </c>
      <c r="AB2631" s="4">
        <v>1</v>
      </c>
      <c r="AC2631" s="4">
        <v>14</v>
      </c>
      <c r="AD2631" s="4">
        <v>91</v>
      </c>
      <c r="AE2631" s="4">
        <v>116</v>
      </c>
      <c r="AF2631" s="4">
        <v>0</v>
      </c>
      <c r="AG2631" s="4">
        <v>4</v>
      </c>
      <c r="AH2631" s="4">
        <v>81</v>
      </c>
      <c r="AI2631" s="4">
        <v>94</v>
      </c>
      <c r="AJ2631" s="4">
        <v>14</v>
      </c>
      <c r="AK2631" s="4">
        <v>21</v>
      </c>
      <c r="AL2631" s="4">
        <v>42</v>
      </c>
      <c r="AM2631" s="4">
        <v>46</v>
      </c>
      <c r="AN2631" s="4">
        <v>0</v>
      </c>
      <c r="AO2631" s="4">
        <v>0</v>
      </c>
      <c r="AP2631" s="4">
        <v>17</v>
      </c>
      <c r="AQ2631" s="4">
        <v>32</v>
      </c>
      <c r="AR2631" s="3" t="s">
        <v>62</v>
      </c>
      <c r="AS2631" s="3" t="s">
        <v>62</v>
      </c>
      <c r="AT2631" s="3" t="s">
        <v>62</v>
      </c>
      <c r="AV2631" s="6" t="str">
        <f>HYPERLINK("http://mcgill.on.worldcat.org/oclc/421146810","Catalog Record")</f>
        <v>Catalog Record</v>
      </c>
      <c r="AW2631" s="6" t="str">
        <f>HYPERLINK("http://www.worldcat.org/oclc/421146810","WorldCat Record")</f>
        <v>WorldCat Record</v>
      </c>
      <c r="AX2631" s="3" t="s">
        <v>25856</v>
      </c>
      <c r="AY2631" s="3" t="s">
        <v>25857</v>
      </c>
      <c r="AZ2631" s="3" t="s">
        <v>25858</v>
      </c>
      <c r="BA2631" s="3" t="s">
        <v>25858</v>
      </c>
      <c r="BB2631" s="3" t="s">
        <v>25859</v>
      </c>
      <c r="BC2631" s="3" t="s">
        <v>142</v>
      </c>
      <c r="BD2631" s="3" t="s">
        <v>68</v>
      </c>
      <c r="BE2631" s="3" t="s">
        <v>25860</v>
      </c>
      <c r="BF2631" s="3" t="s">
        <v>25859</v>
      </c>
      <c r="BG2631" s="3" t="s">
        <v>25861</v>
      </c>
    </row>
    <row r="2632" spans="1:59" ht="57" x14ac:dyDescent="0.45">
      <c r="A2632" s="2" t="s">
        <v>59</v>
      </c>
      <c r="B2632" s="2" t="s">
        <v>60</v>
      </c>
      <c r="C2632" s="2" t="s">
        <v>25862</v>
      </c>
      <c r="D2632" s="2" t="s">
        <v>25863</v>
      </c>
      <c r="E2632" s="2" t="s">
        <v>25864</v>
      </c>
      <c r="G2632" s="3" t="s">
        <v>62</v>
      </c>
      <c r="I2632" s="3" t="s">
        <v>62</v>
      </c>
      <c r="J2632" s="3" t="s">
        <v>62</v>
      </c>
      <c r="K2632" s="3" t="s">
        <v>63</v>
      </c>
      <c r="L2632" s="2" t="s">
        <v>20750</v>
      </c>
      <c r="M2632" s="2" t="s">
        <v>25865</v>
      </c>
      <c r="N2632" s="3" t="s">
        <v>1465</v>
      </c>
      <c r="P2632" s="3" t="s">
        <v>65</v>
      </c>
      <c r="Q2632" s="2" t="s">
        <v>25866</v>
      </c>
      <c r="R2632" s="3" t="s">
        <v>66</v>
      </c>
      <c r="S2632" s="4">
        <v>12</v>
      </c>
      <c r="T2632" s="4">
        <v>12</v>
      </c>
      <c r="U2632" s="5" t="s">
        <v>25867</v>
      </c>
      <c r="V2632" s="5" t="s">
        <v>25867</v>
      </c>
      <c r="W2632" s="5" t="s">
        <v>67</v>
      </c>
      <c r="X2632" s="5" t="s">
        <v>67</v>
      </c>
      <c r="Y2632" s="4">
        <v>383</v>
      </c>
      <c r="Z2632" s="4">
        <v>30</v>
      </c>
      <c r="AA2632" s="4">
        <v>51</v>
      </c>
      <c r="AB2632" s="4">
        <v>3</v>
      </c>
      <c r="AC2632" s="4">
        <v>11</v>
      </c>
      <c r="AD2632" s="4">
        <v>80</v>
      </c>
      <c r="AE2632" s="4">
        <v>100</v>
      </c>
      <c r="AF2632" s="4">
        <v>1</v>
      </c>
      <c r="AG2632" s="4">
        <v>5</v>
      </c>
      <c r="AH2632" s="4">
        <v>69</v>
      </c>
      <c r="AI2632" s="4">
        <v>82</v>
      </c>
      <c r="AJ2632" s="4">
        <v>13</v>
      </c>
      <c r="AK2632" s="4">
        <v>21</v>
      </c>
      <c r="AL2632" s="4">
        <v>34</v>
      </c>
      <c r="AM2632" s="4">
        <v>39</v>
      </c>
      <c r="AN2632" s="4">
        <v>0</v>
      </c>
      <c r="AO2632" s="4">
        <v>0</v>
      </c>
      <c r="AP2632" s="4">
        <v>19</v>
      </c>
      <c r="AQ2632" s="4">
        <v>29</v>
      </c>
      <c r="AR2632" s="3" t="s">
        <v>62</v>
      </c>
      <c r="AS2632" s="3" t="s">
        <v>62</v>
      </c>
      <c r="AT2632" s="3" t="s">
        <v>62</v>
      </c>
      <c r="AV2632" s="6" t="str">
        <f>HYPERLINK("http://mcgill.on.worldcat.org/oclc/314378966","Catalog Record")</f>
        <v>Catalog Record</v>
      </c>
      <c r="AW2632" s="6" t="str">
        <f>HYPERLINK("http://www.worldcat.org/oclc/314378966","WorldCat Record")</f>
        <v>WorldCat Record</v>
      </c>
      <c r="AX2632" s="3" t="s">
        <v>25868</v>
      </c>
      <c r="AY2632" s="3" t="s">
        <v>25869</v>
      </c>
      <c r="AZ2632" s="3" t="s">
        <v>25870</v>
      </c>
      <c r="BA2632" s="3" t="s">
        <v>25870</v>
      </c>
      <c r="BB2632" s="3" t="s">
        <v>25871</v>
      </c>
      <c r="BC2632" s="3" t="s">
        <v>142</v>
      </c>
      <c r="BD2632" s="3" t="s">
        <v>68</v>
      </c>
      <c r="BE2632" s="3" t="s">
        <v>25872</v>
      </c>
      <c r="BF2632" s="3" t="s">
        <v>25871</v>
      </c>
      <c r="BG2632" s="3" t="s">
        <v>25873</v>
      </c>
    </row>
    <row r="2633" spans="1:59" ht="57" x14ac:dyDescent="0.45">
      <c r="A2633" s="2" t="s">
        <v>59</v>
      </c>
      <c r="B2633" s="2" t="s">
        <v>60</v>
      </c>
      <c r="C2633" s="2" t="s">
        <v>25874</v>
      </c>
      <c r="D2633" s="2" t="s">
        <v>25875</v>
      </c>
      <c r="E2633" s="2" t="s">
        <v>25876</v>
      </c>
      <c r="G2633" s="3" t="s">
        <v>62</v>
      </c>
      <c r="I2633" s="3" t="s">
        <v>62</v>
      </c>
      <c r="J2633" s="3" t="s">
        <v>62</v>
      </c>
      <c r="K2633" s="3" t="s">
        <v>63</v>
      </c>
      <c r="L2633" s="2" t="s">
        <v>25877</v>
      </c>
      <c r="M2633" s="2" t="s">
        <v>25878</v>
      </c>
      <c r="N2633" s="3" t="s">
        <v>1155</v>
      </c>
      <c r="P2633" s="3" t="s">
        <v>65</v>
      </c>
      <c r="R2633" s="3" t="s">
        <v>66</v>
      </c>
      <c r="S2633" s="4">
        <v>6</v>
      </c>
      <c r="T2633" s="4">
        <v>6</v>
      </c>
      <c r="U2633" s="5" t="s">
        <v>13095</v>
      </c>
      <c r="V2633" s="5" t="s">
        <v>13095</v>
      </c>
      <c r="W2633" s="5" t="s">
        <v>67</v>
      </c>
      <c r="X2633" s="5" t="s">
        <v>67</v>
      </c>
      <c r="Y2633" s="4">
        <v>171</v>
      </c>
      <c r="Z2633" s="4">
        <v>16</v>
      </c>
      <c r="AA2633" s="4">
        <v>106</v>
      </c>
      <c r="AB2633" s="4">
        <v>1</v>
      </c>
      <c r="AC2633" s="4">
        <v>15</v>
      </c>
      <c r="AD2633" s="4">
        <v>29</v>
      </c>
      <c r="AE2633" s="4">
        <v>109</v>
      </c>
      <c r="AF2633" s="4">
        <v>0</v>
      </c>
      <c r="AG2633" s="4">
        <v>8</v>
      </c>
      <c r="AH2633" s="4">
        <v>25</v>
      </c>
      <c r="AI2633" s="4">
        <v>71</v>
      </c>
      <c r="AJ2633" s="4">
        <v>7</v>
      </c>
      <c r="AK2633" s="4">
        <v>24</v>
      </c>
      <c r="AL2633" s="4">
        <v>13</v>
      </c>
      <c r="AM2633" s="4">
        <v>37</v>
      </c>
      <c r="AN2633" s="4">
        <v>0</v>
      </c>
      <c r="AO2633" s="4">
        <v>0</v>
      </c>
      <c r="AP2633" s="4">
        <v>9</v>
      </c>
      <c r="AQ2633" s="4">
        <v>45</v>
      </c>
      <c r="AR2633" s="3" t="s">
        <v>62</v>
      </c>
      <c r="AS2633" s="3" t="s">
        <v>62</v>
      </c>
      <c r="AT2633" s="3" t="s">
        <v>62</v>
      </c>
      <c r="AV2633" s="6" t="str">
        <f>HYPERLINK("http://mcgill.on.worldcat.org/oclc/711041611","Catalog Record")</f>
        <v>Catalog Record</v>
      </c>
      <c r="AW2633" s="6" t="str">
        <f>HYPERLINK("http://www.worldcat.org/oclc/711041611","WorldCat Record")</f>
        <v>WorldCat Record</v>
      </c>
      <c r="AX2633" s="3" t="s">
        <v>25879</v>
      </c>
      <c r="AY2633" s="3" t="s">
        <v>25880</v>
      </c>
      <c r="AZ2633" s="3" t="s">
        <v>25881</v>
      </c>
      <c r="BA2633" s="3" t="s">
        <v>25881</v>
      </c>
      <c r="BB2633" s="3" t="s">
        <v>25882</v>
      </c>
      <c r="BC2633" s="3" t="s">
        <v>142</v>
      </c>
      <c r="BD2633" s="3" t="s">
        <v>68</v>
      </c>
      <c r="BE2633" s="3" t="s">
        <v>25883</v>
      </c>
      <c r="BF2633" s="3" t="s">
        <v>25882</v>
      </c>
      <c r="BG2633" s="3" t="s">
        <v>25884</v>
      </c>
    </row>
    <row r="2634" spans="1:59" ht="57" x14ac:dyDescent="0.45">
      <c r="A2634" s="2" t="s">
        <v>59</v>
      </c>
      <c r="B2634" s="2" t="s">
        <v>60</v>
      </c>
      <c r="C2634" s="2" t="s">
        <v>25885</v>
      </c>
      <c r="D2634" s="2" t="s">
        <v>25886</v>
      </c>
      <c r="E2634" s="2" t="s">
        <v>25887</v>
      </c>
      <c r="G2634" s="3" t="s">
        <v>62</v>
      </c>
      <c r="I2634" s="3" t="s">
        <v>61</v>
      </c>
      <c r="J2634" s="3" t="s">
        <v>62</v>
      </c>
      <c r="K2634" s="3" t="s">
        <v>63</v>
      </c>
      <c r="M2634" s="2" t="s">
        <v>18790</v>
      </c>
      <c r="N2634" s="3" t="s">
        <v>945</v>
      </c>
      <c r="P2634" s="3" t="s">
        <v>65</v>
      </c>
      <c r="R2634" s="3" t="s">
        <v>66</v>
      </c>
      <c r="S2634" s="4">
        <v>8</v>
      </c>
      <c r="T2634" s="4">
        <v>107</v>
      </c>
      <c r="U2634" s="5" t="s">
        <v>25888</v>
      </c>
      <c r="V2634" s="5" t="s">
        <v>25889</v>
      </c>
      <c r="W2634" s="5" t="s">
        <v>67</v>
      </c>
      <c r="X2634" s="5" t="s">
        <v>67</v>
      </c>
      <c r="Y2634" s="4">
        <v>209</v>
      </c>
      <c r="Z2634" s="4">
        <v>20</v>
      </c>
      <c r="AA2634" s="4">
        <v>26</v>
      </c>
      <c r="AB2634" s="4">
        <v>4</v>
      </c>
      <c r="AC2634" s="4">
        <v>6</v>
      </c>
      <c r="AD2634" s="4">
        <v>49</v>
      </c>
      <c r="AE2634" s="4">
        <v>54</v>
      </c>
      <c r="AF2634" s="4">
        <v>2</v>
      </c>
      <c r="AG2634" s="4">
        <v>3</v>
      </c>
      <c r="AH2634" s="4">
        <v>39</v>
      </c>
      <c r="AI2634" s="4">
        <v>43</v>
      </c>
      <c r="AJ2634" s="4">
        <v>9</v>
      </c>
      <c r="AK2634" s="4">
        <v>11</v>
      </c>
      <c r="AL2634" s="4">
        <v>19</v>
      </c>
      <c r="AM2634" s="4">
        <v>20</v>
      </c>
      <c r="AN2634" s="4">
        <v>0</v>
      </c>
      <c r="AO2634" s="4">
        <v>0</v>
      </c>
      <c r="AP2634" s="4">
        <v>15</v>
      </c>
      <c r="AQ2634" s="4">
        <v>18</v>
      </c>
      <c r="AR2634" s="3" t="s">
        <v>62</v>
      </c>
      <c r="AS2634" s="3" t="s">
        <v>62</v>
      </c>
      <c r="AT2634" s="3" t="s">
        <v>61</v>
      </c>
      <c r="AU2634" s="6" t="str">
        <f>HYPERLINK("http://catalog.hathitrust.org/Record/005557669","HathiTrust Record")</f>
        <v>HathiTrust Record</v>
      </c>
      <c r="AV2634" s="6" t="str">
        <f>HYPERLINK("http://mcgill.on.worldcat.org/oclc/77116826","Catalog Record")</f>
        <v>Catalog Record</v>
      </c>
      <c r="AW2634" s="6" t="str">
        <f>HYPERLINK("http://www.worldcat.org/oclc/77116826","WorldCat Record")</f>
        <v>WorldCat Record</v>
      </c>
      <c r="AX2634" s="3" t="s">
        <v>25890</v>
      </c>
      <c r="AY2634" s="3" t="s">
        <v>25891</v>
      </c>
      <c r="AZ2634" s="3" t="s">
        <v>25892</v>
      </c>
      <c r="BA2634" s="3" t="s">
        <v>25892</v>
      </c>
      <c r="BB2634" s="3" t="s">
        <v>25893</v>
      </c>
      <c r="BC2634" s="3" t="s">
        <v>142</v>
      </c>
      <c r="BD2634" s="3" t="s">
        <v>68</v>
      </c>
      <c r="BE2634" s="3" t="s">
        <v>25894</v>
      </c>
      <c r="BF2634" s="3" t="s">
        <v>25893</v>
      </c>
      <c r="BG2634" s="3" t="s">
        <v>25895</v>
      </c>
    </row>
    <row r="2635" spans="1:59" ht="57" x14ac:dyDescent="0.45">
      <c r="A2635" s="2" t="s">
        <v>59</v>
      </c>
      <c r="B2635" s="2" t="s">
        <v>60</v>
      </c>
      <c r="C2635" s="2" t="s">
        <v>25885</v>
      </c>
      <c r="D2635" s="2" t="s">
        <v>25886</v>
      </c>
      <c r="E2635" s="2" t="s">
        <v>25887</v>
      </c>
      <c r="G2635" s="3" t="s">
        <v>62</v>
      </c>
      <c r="I2635" s="3" t="s">
        <v>61</v>
      </c>
      <c r="J2635" s="3" t="s">
        <v>62</v>
      </c>
      <c r="K2635" s="3" t="s">
        <v>63</v>
      </c>
      <c r="M2635" s="2" t="s">
        <v>18790</v>
      </c>
      <c r="N2635" s="3" t="s">
        <v>945</v>
      </c>
      <c r="P2635" s="3" t="s">
        <v>65</v>
      </c>
      <c r="R2635" s="3" t="s">
        <v>66</v>
      </c>
      <c r="S2635" s="4">
        <v>12</v>
      </c>
      <c r="T2635" s="4">
        <v>107</v>
      </c>
      <c r="U2635" s="5" t="s">
        <v>25889</v>
      </c>
      <c r="V2635" s="5" t="s">
        <v>25889</v>
      </c>
      <c r="W2635" s="5" t="s">
        <v>67</v>
      </c>
      <c r="X2635" s="5" t="s">
        <v>67</v>
      </c>
      <c r="Y2635" s="4">
        <v>209</v>
      </c>
      <c r="Z2635" s="4">
        <v>20</v>
      </c>
      <c r="AA2635" s="4">
        <v>26</v>
      </c>
      <c r="AB2635" s="4">
        <v>4</v>
      </c>
      <c r="AC2635" s="4">
        <v>6</v>
      </c>
      <c r="AD2635" s="4">
        <v>49</v>
      </c>
      <c r="AE2635" s="4">
        <v>54</v>
      </c>
      <c r="AF2635" s="4">
        <v>2</v>
      </c>
      <c r="AG2635" s="4">
        <v>3</v>
      </c>
      <c r="AH2635" s="4">
        <v>39</v>
      </c>
      <c r="AI2635" s="4">
        <v>43</v>
      </c>
      <c r="AJ2635" s="4">
        <v>9</v>
      </c>
      <c r="AK2635" s="4">
        <v>11</v>
      </c>
      <c r="AL2635" s="4">
        <v>19</v>
      </c>
      <c r="AM2635" s="4">
        <v>20</v>
      </c>
      <c r="AN2635" s="4">
        <v>0</v>
      </c>
      <c r="AO2635" s="4">
        <v>0</v>
      </c>
      <c r="AP2635" s="4">
        <v>15</v>
      </c>
      <c r="AQ2635" s="4">
        <v>18</v>
      </c>
      <c r="AR2635" s="3" t="s">
        <v>62</v>
      </c>
      <c r="AS2635" s="3" t="s">
        <v>62</v>
      </c>
      <c r="AT2635" s="3" t="s">
        <v>61</v>
      </c>
      <c r="AU2635" s="6" t="str">
        <f>HYPERLINK("http://catalog.hathitrust.org/Record/005557669","HathiTrust Record")</f>
        <v>HathiTrust Record</v>
      </c>
      <c r="AV2635" s="6" t="str">
        <f>HYPERLINK("http://mcgill.on.worldcat.org/oclc/77116826","Catalog Record")</f>
        <v>Catalog Record</v>
      </c>
      <c r="AW2635" s="6" t="str">
        <f>HYPERLINK("http://www.worldcat.org/oclc/77116826","WorldCat Record")</f>
        <v>WorldCat Record</v>
      </c>
      <c r="AX2635" s="3" t="s">
        <v>25890</v>
      </c>
      <c r="AY2635" s="3" t="s">
        <v>25891</v>
      </c>
      <c r="AZ2635" s="3" t="s">
        <v>25892</v>
      </c>
      <c r="BA2635" s="3" t="s">
        <v>25892</v>
      </c>
      <c r="BB2635" s="3" t="s">
        <v>25896</v>
      </c>
      <c r="BC2635" s="3" t="s">
        <v>142</v>
      </c>
      <c r="BD2635" s="3" t="s">
        <v>68</v>
      </c>
      <c r="BE2635" s="3" t="s">
        <v>25894</v>
      </c>
      <c r="BF2635" s="3" t="s">
        <v>25896</v>
      </c>
      <c r="BG2635" s="3" t="s">
        <v>25897</v>
      </c>
    </row>
    <row r="2636" spans="1:59" ht="57" x14ac:dyDescent="0.45">
      <c r="A2636" s="2" t="s">
        <v>59</v>
      </c>
      <c r="B2636" s="2" t="s">
        <v>60</v>
      </c>
      <c r="C2636" s="2" t="s">
        <v>25885</v>
      </c>
      <c r="D2636" s="2" t="s">
        <v>25886</v>
      </c>
      <c r="E2636" s="2" t="s">
        <v>25887</v>
      </c>
      <c r="G2636" s="3" t="s">
        <v>62</v>
      </c>
      <c r="I2636" s="3" t="s">
        <v>61</v>
      </c>
      <c r="J2636" s="3" t="s">
        <v>62</v>
      </c>
      <c r="K2636" s="3" t="s">
        <v>63</v>
      </c>
      <c r="M2636" s="2" t="s">
        <v>18790</v>
      </c>
      <c r="N2636" s="3" t="s">
        <v>945</v>
      </c>
      <c r="P2636" s="3" t="s">
        <v>65</v>
      </c>
      <c r="R2636" s="3" t="s">
        <v>66</v>
      </c>
      <c r="S2636" s="4">
        <v>56</v>
      </c>
      <c r="T2636" s="4">
        <v>107</v>
      </c>
      <c r="U2636" s="5" t="s">
        <v>25898</v>
      </c>
      <c r="V2636" s="5" t="s">
        <v>25889</v>
      </c>
      <c r="W2636" s="5" t="s">
        <v>67</v>
      </c>
      <c r="X2636" s="5" t="s">
        <v>67</v>
      </c>
      <c r="Y2636" s="4">
        <v>209</v>
      </c>
      <c r="Z2636" s="4">
        <v>20</v>
      </c>
      <c r="AA2636" s="4">
        <v>26</v>
      </c>
      <c r="AB2636" s="4">
        <v>4</v>
      </c>
      <c r="AC2636" s="4">
        <v>6</v>
      </c>
      <c r="AD2636" s="4">
        <v>49</v>
      </c>
      <c r="AE2636" s="4">
        <v>54</v>
      </c>
      <c r="AF2636" s="4">
        <v>2</v>
      </c>
      <c r="AG2636" s="4">
        <v>3</v>
      </c>
      <c r="AH2636" s="4">
        <v>39</v>
      </c>
      <c r="AI2636" s="4">
        <v>43</v>
      </c>
      <c r="AJ2636" s="4">
        <v>9</v>
      </c>
      <c r="AK2636" s="4">
        <v>11</v>
      </c>
      <c r="AL2636" s="4">
        <v>19</v>
      </c>
      <c r="AM2636" s="4">
        <v>20</v>
      </c>
      <c r="AN2636" s="4">
        <v>0</v>
      </c>
      <c r="AO2636" s="4">
        <v>0</v>
      </c>
      <c r="AP2636" s="4">
        <v>15</v>
      </c>
      <c r="AQ2636" s="4">
        <v>18</v>
      </c>
      <c r="AR2636" s="3" t="s">
        <v>62</v>
      </c>
      <c r="AS2636" s="3" t="s">
        <v>62</v>
      </c>
      <c r="AT2636" s="3" t="s">
        <v>61</v>
      </c>
      <c r="AU2636" s="6" t="str">
        <f>HYPERLINK("http://catalog.hathitrust.org/Record/005557669","HathiTrust Record")</f>
        <v>HathiTrust Record</v>
      </c>
      <c r="AV2636" s="6" t="str">
        <f>HYPERLINK("http://mcgill.on.worldcat.org/oclc/77116826","Catalog Record")</f>
        <v>Catalog Record</v>
      </c>
      <c r="AW2636" s="6" t="str">
        <f>HYPERLINK("http://www.worldcat.org/oclc/77116826","WorldCat Record")</f>
        <v>WorldCat Record</v>
      </c>
      <c r="AX2636" s="3" t="s">
        <v>25890</v>
      </c>
      <c r="AY2636" s="3" t="s">
        <v>25891</v>
      </c>
      <c r="AZ2636" s="3" t="s">
        <v>25892</v>
      </c>
      <c r="BA2636" s="3" t="s">
        <v>25892</v>
      </c>
      <c r="BB2636" s="3" t="s">
        <v>25899</v>
      </c>
      <c r="BC2636" s="3" t="s">
        <v>142</v>
      </c>
      <c r="BD2636" s="3" t="s">
        <v>68</v>
      </c>
      <c r="BE2636" s="3" t="s">
        <v>25894</v>
      </c>
      <c r="BF2636" s="3" t="s">
        <v>25899</v>
      </c>
      <c r="BG2636" s="3" t="s">
        <v>25900</v>
      </c>
    </row>
    <row r="2637" spans="1:59" ht="57" x14ac:dyDescent="0.45">
      <c r="A2637" s="2" t="s">
        <v>59</v>
      </c>
      <c r="B2637" s="2" t="s">
        <v>60</v>
      </c>
      <c r="C2637" s="2" t="s">
        <v>25885</v>
      </c>
      <c r="D2637" s="2" t="s">
        <v>25886</v>
      </c>
      <c r="E2637" s="2" t="s">
        <v>25887</v>
      </c>
      <c r="G2637" s="3" t="s">
        <v>62</v>
      </c>
      <c r="I2637" s="3" t="s">
        <v>61</v>
      </c>
      <c r="J2637" s="3" t="s">
        <v>62</v>
      </c>
      <c r="K2637" s="3" t="s">
        <v>63</v>
      </c>
      <c r="M2637" s="2" t="s">
        <v>18790</v>
      </c>
      <c r="N2637" s="3" t="s">
        <v>945</v>
      </c>
      <c r="P2637" s="3" t="s">
        <v>65</v>
      </c>
      <c r="R2637" s="3" t="s">
        <v>66</v>
      </c>
      <c r="S2637" s="4">
        <v>31</v>
      </c>
      <c r="T2637" s="4">
        <v>107</v>
      </c>
      <c r="U2637" s="5" t="s">
        <v>25901</v>
      </c>
      <c r="V2637" s="5" t="s">
        <v>25889</v>
      </c>
      <c r="W2637" s="5" t="s">
        <v>67</v>
      </c>
      <c r="X2637" s="5" t="s">
        <v>67</v>
      </c>
      <c r="Y2637" s="4">
        <v>209</v>
      </c>
      <c r="Z2637" s="4">
        <v>20</v>
      </c>
      <c r="AA2637" s="4">
        <v>26</v>
      </c>
      <c r="AB2637" s="4">
        <v>4</v>
      </c>
      <c r="AC2637" s="4">
        <v>6</v>
      </c>
      <c r="AD2637" s="4">
        <v>49</v>
      </c>
      <c r="AE2637" s="4">
        <v>54</v>
      </c>
      <c r="AF2637" s="4">
        <v>2</v>
      </c>
      <c r="AG2637" s="4">
        <v>3</v>
      </c>
      <c r="AH2637" s="4">
        <v>39</v>
      </c>
      <c r="AI2637" s="4">
        <v>43</v>
      </c>
      <c r="AJ2637" s="4">
        <v>9</v>
      </c>
      <c r="AK2637" s="4">
        <v>11</v>
      </c>
      <c r="AL2637" s="4">
        <v>19</v>
      </c>
      <c r="AM2637" s="4">
        <v>20</v>
      </c>
      <c r="AN2637" s="4">
        <v>0</v>
      </c>
      <c r="AO2637" s="4">
        <v>0</v>
      </c>
      <c r="AP2637" s="4">
        <v>15</v>
      </c>
      <c r="AQ2637" s="4">
        <v>18</v>
      </c>
      <c r="AR2637" s="3" t="s">
        <v>62</v>
      </c>
      <c r="AS2637" s="3" t="s">
        <v>62</v>
      </c>
      <c r="AT2637" s="3" t="s">
        <v>61</v>
      </c>
      <c r="AU2637" s="6" t="str">
        <f>HYPERLINK("http://catalog.hathitrust.org/Record/005557669","HathiTrust Record")</f>
        <v>HathiTrust Record</v>
      </c>
      <c r="AV2637" s="6" t="str">
        <f>HYPERLINK("http://mcgill.on.worldcat.org/oclc/77116826","Catalog Record")</f>
        <v>Catalog Record</v>
      </c>
      <c r="AW2637" s="6" t="str">
        <f>HYPERLINK("http://www.worldcat.org/oclc/77116826","WorldCat Record")</f>
        <v>WorldCat Record</v>
      </c>
      <c r="AX2637" s="3" t="s">
        <v>25890</v>
      </c>
      <c r="AY2637" s="3" t="s">
        <v>25891</v>
      </c>
      <c r="AZ2637" s="3" t="s">
        <v>25892</v>
      </c>
      <c r="BA2637" s="3" t="s">
        <v>25892</v>
      </c>
      <c r="BB2637" s="3" t="s">
        <v>25902</v>
      </c>
      <c r="BC2637" s="3" t="s">
        <v>142</v>
      </c>
      <c r="BD2637" s="3" t="s">
        <v>68</v>
      </c>
      <c r="BE2637" s="3" t="s">
        <v>25894</v>
      </c>
      <c r="BF2637" s="3" t="s">
        <v>25902</v>
      </c>
      <c r="BG2637" s="3" t="s">
        <v>25903</v>
      </c>
    </row>
    <row r="2638" spans="1:59" ht="85.5" x14ac:dyDescent="0.45">
      <c r="A2638" s="2" t="s">
        <v>59</v>
      </c>
      <c r="B2638" s="2" t="s">
        <v>5257</v>
      </c>
      <c r="C2638" s="2" t="s">
        <v>25904</v>
      </c>
      <c r="D2638" s="2" t="s">
        <v>25905</v>
      </c>
      <c r="E2638" s="2" t="s">
        <v>25906</v>
      </c>
      <c r="G2638" s="3" t="s">
        <v>62</v>
      </c>
      <c r="I2638" s="3" t="s">
        <v>62</v>
      </c>
      <c r="J2638" s="3" t="s">
        <v>62</v>
      </c>
      <c r="K2638" s="3" t="s">
        <v>63</v>
      </c>
      <c r="M2638" s="2" t="s">
        <v>16837</v>
      </c>
      <c r="N2638" s="3" t="s">
        <v>1155</v>
      </c>
      <c r="P2638" s="3" t="s">
        <v>65</v>
      </c>
      <c r="Q2638" s="2" t="s">
        <v>25907</v>
      </c>
      <c r="R2638" s="3" t="s">
        <v>66</v>
      </c>
      <c r="S2638" s="4">
        <v>3</v>
      </c>
      <c r="T2638" s="4">
        <v>3</v>
      </c>
      <c r="U2638" s="5" t="s">
        <v>123</v>
      </c>
      <c r="V2638" s="5" t="s">
        <v>123</v>
      </c>
      <c r="W2638" s="5" t="s">
        <v>67</v>
      </c>
      <c r="X2638" s="5" t="s">
        <v>67</v>
      </c>
      <c r="Y2638" s="4">
        <v>161</v>
      </c>
      <c r="Z2638" s="4">
        <v>11</v>
      </c>
      <c r="AA2638" s="4">
        <v>11</v>
      </c>
      <c r="AB2638" s="4">
        <v>1</v>
      </c>
      <c r="AC2638" s="4">
        <v>1</v>
      </c>
      <c r="AD2638" s="4">
        <v>52</v>
      </c>
      <c r="AE2638" s="4">
        <v>52</v>
      </c>
      <c r="AF2638" s="4">
        <v>0</v>
      </c>
      <c r="AG2638" s="4">
        <v>0</v>
      </c>
      <c r="AH2638" s="4">
        <v>48</v>
      </c>
      <c r="AI2638" s="4">
        <v>48</v>
      </c>
      <c r="AJ2638" s="4">
        <v>7</v>
      </c>
      <c r="AK2638" s="4">
        <v>7</v>
      </c>
      <c r="AL2638" s="4">
        <v>26</v>
      </c>
      <c r="AM2638" s="4">
        <v>26</v>
      </c>
      <c r="AN2638" s="4">
        <v>0</v>
      </c>
      <c r="AO2638" s="4">
        <v>0</v>
      </c>
      <c r="AP2638" s="4">
        <v>9</v>
      </c>
      <c r="AQ2638" s="4">
        <v>9</v>
      </c>
      <c r="AR2638" s="3" t="s">
        <v>62</v>
      </c>
      <c r="AS2638" s="3" t="s">
        <v>62</v>
      </c>
      <c r="AT2638" s="3" t="s">
        <v>62</v>
      </c>
      <c r="AV2638" s="6" t="str">
        <f>HYPERLINK("http://mcgill.on.worldcat.org/oclc/762373559","Catalog Record")</f>
        <v>Catalog Record</v>
      </c>
      <c r="AW2638" s="6" t="str">
        <f>HYPERLINK("http://www.worldcat.org/oclc/762373559","WorldCat Record")</f>
        <v>WorldCat Record</v>
      </c>
      <c r="AX2638" s="3" t="s">
        <v>25908</v>
      </c>
      <c r="AY2638" s="3" t="s">
        <v>25909</v>
      </c>
      <c r="AZ2638" s="3" t="s">
        <v>25910</v>
      </c>
      <c r="BA2638" s="3" t="s">
        <v>25910</v>
      </c>
      <c r="BB2638" s="3" t="s">
        <v>25911</v>
      </c>
      <c r="BC2638" s="3" t="s">
        <v>142</v>
      </c>
      <c r="BD2638" s="3" t="s">
        <v>68</v>
      </c>
      <c r="BE2638" s="3" t="s">
        <v>25912</v>
      </c>
      <c r="BF2638" s="3" t="s">
        <v>25911</v>
      </c>
      <c r="BG2638" s="3" t="s">
        <v>25913</v>
      </c>
    </row>
    <row r="2639" spans="1:59" ht="57" x14ac:dyDescent="0.45">
      <c r="A2639" s="2" t="s">
        <v>59</v>
      </c>
      <c r="B2639" s="2" t="s">
        <v>60</v>
      </c>
      <c r="C2639" s="2" t="s">
        <v>25914</v>
      </c>
      <c r="D2639" s="2" t="s">
        <v>25915</v>
      </c>
      <c r="E2639" s="2" t="s">
        <v>25916</v>
      </c>
      <c r="G2639" s="3" t="s">
        <v>62</v>
      </c>
      <c r="I2639" s="3" t="s">
        <v>61</v>
      </c>
      <c r="J2639" s="3" t="s">
        <v>61</v>
      </c>
      <c r="K2639" s="3" t="s">
        <v>63</v>
      </c>
      <c r="L2639" s="2" t="s">
        <v>15045</v>
      </c>
      <c r="M2639" s="2" t="s">
        <v>25917</v>
      </c>
      <c r="N2639" s="3" t="s">
        <v>1437</v>
      </c>
      <c r="P2639" s="3" t="s">
        <v>65</v>
      </c>
      <c r="R2639" s="3" t="s">
        <v>66</v>
      </c>
      <c r="S2639" s="4">
        <v>2</v>
      </c>
      <c r="T2639" s="4">
        <v>29</v>
      </c>
      <c r="U2639" s="5" t="s">
        <v>14932</v>
      </c>
      <c r="V2639" s="5" t="s">
        <v>123</v>
      </c>
      <c r="W2639" s="5" t="s">
        <v>67</v>
      </c>
      <c r="X2639" s="5" t="s">
        <v>67</v>
      </c>
      <c r="Y2639" s="4">
        <v>346</v>
      </c>
      <c r="Z2639" s="4">
        <v>18</v>
      </c>
      <c r="AA2639" s="4">
        <v>64</v>
      </c>
      <c r="AB2639" s="4">
        <v>1</v>
      </c>
      <c r="AC2639" s="4">
        <v>11</v>
      </c>
      <c r="AD2639" s="4">
        <v>71</v>
      </c>
      <c r="AE2639" s="4">
        <v>128</v>
      </c>
      <c r="AF2639" s="4">
        <v>0</v>
      </c>
      <c r="AG2639" s="4">
        <v>5</v>
      </c>
      <c r="AH2639" s="4">
        <v>61</v>
      </c>
      <c r="AI2639" s="4">
        <v>100</v>
      </c>
      <c r="AJ2639" s="4">
        <v>12</v>
      </c>
      <c r="AK2639" s="4">
        <v>24</v>
      </c>
      <c r="AL2639" s="4">
        <v>30</v>
      </c>
      <c r="AM2639" s="4">
        <v>47</v>
      </c>
      <c r="AN2639" s="4">
        <v>0</v>
      </c>
      <c r="AO2639" s="4">
        <v>0</v>
      </c>
      <c r="AP2639" s="4">
        <v>16</v>
      </c>
      <c r="AQ2639" s="4">
        <v>38</v>
      </c>
      <c r="AR2639" s="3" t="s">
        <v>62</v>
      </c>
      <c r="AS2639" s="3" t="s">
        <v>62</v>
      </c>
      <c r="AT2639" s="3" t="s">
        <v>62</v>
      </c>
      <c r="AV2639" s="6" t="str">
        <f>HYPERLINK("http://mcgill.on.worldcat.org/oclc/37451859","Catalog Record")</f>
        <v>Catalog Record</v>
      </c>
      <c r="AW2639" s="6" t="str">
        <f>HYPERLINK("http://www.worldcat.org/oclc/37451859","WorldCat Record")</f>
        <v>WorldCat Record</v>
      </c>
      <c r="AX2639" s="3" t="s">
        <v>25918</v>
      </c>
      <c r="AY2639" s="3" t="s">
        <v>25919</v>
      </c>
      <c r="AZ2639" s="3" t="s">
        <v>25920</v>
      </c>
      <c r="BA2639" s="3" t="s">
        <v>25920</v>
      </c>
      <c r="BB2639" s="3" t="s">
        <v>25921</v>
      </c>
      <c r="BC2639" s="3" t="s">
        <v>142</v>
      </c>
      <c r="BD2639" s="3" t="s">
        <v>68</v>
      </c>
      <c r="BE2639" s="3" t="s">
        <v>25922</v>
      </c>
      <c r="BF2639" s="3" t="s">
        <v>25921</v>
      </c>
      <c r="BG2639" s="3" t="s">
        <v>25923</v>
      </c>
    </row>
    <row r="2640" spans="1:59" ht="57" x14ac:dyDescent="0.45">
      <c r="A2640" s="2" t="s">
        <v>59</v>
      </c>
      <c r="B2640" s="2" t="s">
        <v>60</v>
      </c>
      <c r="C2640" s="2" t="s">
        <v>25914</v>
      </c>
      <c r="D2640" s="2" t="s">
        <v>25915</v>
      </c>
      <c r="E2640" s="2" t="s">
        <v>25916</v>
      </c>
      <c r="G2640" s="3" t="s">
        <v>62</v>
      </c>
      <c r="I2640" s="3" t="s">
        <v>61</v>
      </c>
      <c r="J2640" s="3" t="s">
        <v>61</v>
      </c>
      <c r="K2640" s="3" t="s">
        <v>63</v>
      </c>
      <c r="L2640" s="2" t="s">
        <v>15045</v>
      </c>
      <c r="M2640" s="2" t="s">
        <v>25917</v>
      </c>
      <c r="N2640" s="3" t="s">
        <v>1437</v>
      </c>
      <c r="P2640" s="3" t="s">
        <v>65</v>
      </c>
      <c r="R2640" s="3" t="s">
        <v>66</v>
      </c>
      <c r="S2640" s="4">
        <v>27</v>
      </c>
      <c r="T2640" s="4">
        <v>29</v>
      </c>
      <c r="U2640" s="5" t="s">
        <v>123</v>
      </c>
      <c r="V2640" s="5" t="s">
        <v>123</v>
      </c>
      <c r="W2640" s="5" t="s">
        <v>67</v>
      </c>
      <c r="X2640" s="5" t="s">
        <v>67</v>
      </c>
      <c r="Y2640" s="4">
        <v>346</v>
      </c>
      <c r="Z2640" s="4">
        <v>18</v>
      </c>
      <c r="AA2640" s="4">
        <v>64</v>
      </c>
      <c r="AB2640" s="4">
        <v>1</v>
      </c>
      <c r="AC2640" s="4">
        <v>11</v>
      </c>
      <c r="AD2640" s="4">
        <v>71</v>
      </c>
      <c r="AE2640" s="4">
        <v>128</v>
      </c>
      <c r="AF2640" s="4">
        <v>0</v>
      </c>
      <c r="AG2640" s="4">
        <v>5</v>
      </c>
      <c r="AH2640" s="4">
        <v>61</v>
      </c>
      <c r="AI2640" s="4">
        <v>100</v>
      </c>
      <c r="AJ2640" s="4">
        <v>12</v>
      </c>
      <c r="AK2640" s="4">
        <v>24</v>
      </c>
      <c r="AL2640" s="4">
        <v>30</v>
      </c>
      <c r="AM2640" s="4">
        <v>47</v>
      </c>
      <c r="AN2640" s="4">
        <v>0</v>
      </c>
      <c r="AO2640" s="4">
        <v>0</v>
      </c>
      <c r="AP2640" s="4">
        <v>16</v>
      </c>
      <c r="AQ2640" s="4">
        <v>38</v>
      </c>
      <c r="AR2640" s="3" t="s">
        <v>62</v>
      </c>
      <c r="AS2640" s="3" t="s">
        <v>62</v>
      </c>
      <c r="AT2640" s="3" t="s">
        <v>62</v>
      </c>
      <c r="AV2640" s="6" t="str">
        <f>HYPERLINK("http://mcgill.on.worldcat.org/oclc/37451859","Catalog Record")</f>
        <v>Catalog Record</v>
      </c>
      <c r="AW2640" s="6" t="str">
        <f>HYPERLINK("http://www.worldcat.org/oclc/37451859","WorldCat Record")</f>
        <v>WorldCat Record</v>
      </c>
      <c r="AX2640" s="3" t="s">
        <v>25918</v>
      </c>
      <c r="AY2640" s="3" t="s">
        <v>25919</v>
      </c>
      <c r="AZ2640" s="3" t="s">
        <v>25920</v>
      </c>
      <c r="BA2640" s="3" t="s">
        <v>25920</v>
      </c>
      <c r="BB2640" s="3" t="s">
        <v>25924</v>
      </c>
      <c r="BC2640" s="3" t="s">
        <v>142</v>
      </c>
      <c r="BD2640" s="3" t="s">
        <v>68</v>
      </c>
      <c r="BE2640" s="3" t="s">
        <v>25922</v>
      </c>
      <c r="BF2640" s="3" t="s">
        <v>25924</v>
      </c>
      <c r="BG2640" s="3" t="s">
        <v>25925</v>
      </c>
    </row>
    <row r="2641" spans="1:59" ht="57" x14ac:dyDescent="0.45">
      <c r="A2641" s="2" t="s">
        <v>59</v>
      </c>
      <c r="B2641" s="2" t="s">
        <v>60</v>
      </c>
      <c r="C2641" s="2" t="s">
        <v>25926</v>
      </c>
      <c r="D2641" s="2" t="s">
        <v>25927</v>
      </c>
      <c r="E2641" s="2" t="s">
        <v>25916</v>
      </c>
      <c r="G2641" s="3" t="s">
        <v>62</v>
      </c>
      <c r="I2641" s="3" t="s">
        <v>61</v>
      </c>
      <c r="J2641" s="3" t="s">
        <v>61</v>
      </c>
      <c r="K2641" s="3" t="s">
        <v>63</v>
      </c>
      <c r="L2641" s="2" t="s">
        <v>15045</v>
      </c>
      <c r="M2641" s="2" t="s">
        <v>25928</v>
      </c>
      <c r="N2641" s="3" t="s">
        <v>542</v>
      </c>
      <c r="O2641" s="2" t="s">
        <v>933</v>
      </c>
      <c r="P2641" s="3" t="s">
        <v>65</v>
      </c>
      <c r="R2641" s="3" t="s">
        <v>66</v>
      </c>
      <c r="S2641" s="4">
        <v>16</v>
      </c>
      <c r="T2641" s="4">
        <v>24</v>
      </c>
      <c r="U2641" s="5" t="s">
        <v>123</v>
      </c>
      <c r="V2641" s="5" t="s">
        <v>123</v>
      </c>
      <c r="W2641" s="5" t="s">
        <v>67</v>
      </c>
      <c r="X2641" s="5" t="s">
        <v>67</v>
      </c>
      <c r="Y2641" s="4">
        <v>252</v>
      </c>
      <c r="Z2641" s="4">
        <v>21</v>
      </c>
      <c r="AA2641" s="4">
        <v>64</v>
      </c>
      <c r="AB2641" s="4">
        <v>3</v>
      </c>
      <c r="AC2641" s="4">
        <v>11</v>
      </c>
      <c r="AD2641" s="4">
        <v>56</v>
      </c>
      <c r="AE2641" s="4">
        <v>128</v>
      </c>
      <c r="AF2641" s="4">
        <v>1</v>
      </c>
      <c r="AG2641" s="4">
        <v>5</v>
      </c>
      <c r="AH2641" s="4">
        <v>49</v>
      </c>
      <c r="AI2641" s="4">
        <v>100</v>
      </c>
      <c r="AJ2641" s="4">
        <v>13</v>
      </c>
      <c r="AK2641" s="4">
        <v>24</v>
      </c>
      <c r="AL2641" s="4">
        <v>26</v>
      </c>
      <c r="AM2641" s="4">
        <v>47</v>
      </c>
      <c r="AN2641" s="4">
        <v>0</v>
      </c>
      <c r="AO2641" s="4">
        <v>0</v>
      </c>
      <c r="AP2641" s="4">
        <v>15</v>
      </c>
      <c r="AQ2641" s="4">
        <v>38</v>
      </c>
      <c r="AR2641" s="3" t="s">
        <v>62</v>
      </c>
      <c r="AS2641" s="3" t="s">
        <v>62</v>
      </c>
      <c r="AT2641" s="3" t="s">
        <v>61</v>
      </c>
      <c r="AU2641" s="6" t="str">
        <f>HYPERLINK("http://catalog.hathitrust.org/Record/004183357","HathiTrust Record")</f>
        <v>HathiTrust Record</v>
      </c>
      <c r="AV2641" s="6" t="str">
        <f>HYPERLINK("http://mcgill.on.worldcat.org/oclc/45363238","Catalog Record")</f>
        <v>Catalog Record</v>
      </c>
      <c r="AW2641" s="6" t="str">
        <f>HYPERLINK("http://www.worldcat.org/oclc/45363238","WorldCat Record")</f>
        <v>WorldCat Record</v>
      </c>
      <c r="AX2641" s="3" t="s">
        <v>25918</v>
      </c>
      <c r="AY2641" s="3" t="s">
        <v>25929</v>
      </c>
      <c r="AZ2641" s="3" t="s">
        <v>25930</v>
      </c>
      <c r="BA2641" s="3" t="s">
        <v>25930</v>
      </c>
      <c r="BB2641" s="3" t="s">
        <v>25931</v>
      </c>
      <c r="BC2641" s="3" t="s">
        <v>142</v>
      </c>
      <c r="BD2641" s="3" t="s">
        <v>68</v>
      </c>
      <c r="BE2641" s="3" t="s">
        <v>25932</v>
      </c>
      <c r="BF2641" s="3" t="s">
        <v>25931</v>
      </c>
      <c r="BG2641" s="3" t="s">
        <v>25933</v>
      </c>
    </row>
    <row r="2642" spans="1:59" ht="57" x14ac:dyDescent="0.45">
      <c r="A2642" s="2" t="s">
        <v>59</v>
      </c>
      <c r="B2642" s="2" t="s">
        <v>60</v>
      </c>
      <c r="C2642" s="2" t="s">
        <v>25926</v>
      </c>
      <c r="D2642" s="2" t="s">
        <v>25927</v>
      </c>
      <c r="E2642" s="2" t="s">
        <v>25916</v>
      </c>
      <c r="G2642" s="3" t="s">
        <v>62</v>
      </c>
      <c r="I2642" s="3" t="s">
        <v>61</v>
      </c>
      <c r="J2642" s="3" t="s">
        <v>61</v>
      </c>
      <c r="K2642" s="3" t="s">
        <v>63</v>
      </c>
      <c r="L2642" s="2" t="s">
        <v>15045</v>
      </c>
      <c r="M2642" s="2" t="s">
        <v>25928</v>
      </c>
      <c r="N2642" s="3" t="s">
        <v>542</v>
      </c>
      <c r="O2642" s="2" t="s">
        <v>933</v>
      </c>
      <c r="P2642" s="3" t="s">
        <v>65</v>
      </c>
      <c r="R2642" s="3" t="s">
        <v>66</v>
      </c>
      <c r="S2642" s="4">
        <v>8</v>
      </c>
      <c r="T2642" s="4">
        <v>24</v>
      </c>
      <c r="U2642" s="5" t="s">
        <v>14932</v>
      </c>
      <c r="V2642" s="5" t="s">
        <v>123</v>
      </c>
      <c r="W2642" s="5" t="s">
        <v>67</v>
      </c>
      <c r="X2642" s="5" t="s">
        <v>67</v>
      </c>
      <c r="Y2642" s="4">
        <v>252</v>
      </c>
      <c r="Z2642" s="4">
        <v>21</v>
      </c>
      <c r="AA2642" s="4">
        <v>64</v>
      </c>
      <c r="AB2642" s="4">
        <v>3</v>
      </c>
      <c r="AC2642" s="4">
        <v>11</v>
      </c>
      <c r="AD2642" s="4">
        <v>56</v>
      </c>
      <c r="AE2642" s="4">
        <v>128</v>
      </c>
      <c r="AF2642" s="4">
        <v>1</v>
      </c>
      <c r="AG2642" s="4">
        <v>5</v>
      </c>
      <c r="AH2642" s="4">
        <v>49</v>
      </c>
      <c r="AI2642" s="4">
        <v>100</v>
      </c>
      <c r="AJ2642" s="4">
        <v>13</v>
      </c>
      <c r="AK2642" s="4">
        <v>24</v>
      </c>
      <c r="AL2642" s="4">
        <v>26</v>
      </c>
      <c r="AM2642" s="4">
        <v>47</v>
      </c>
      <c r="AN2642" s="4">
        <v>0</v>
      </c>
      <c r="AO2642" s="4">
        <v>0</v>
      </c>
      <c r="AP2642" s="4">
        <v>15</v>
      </c>
      <c r="AQ2642" s="4">
        <v>38</v>
      </c>
      <c r="AR2642" s="3" t="s">
        <v>62</v>
      </c>
      <c r="AS2642" s="3" t="s">
        <v>62</v>
      </c>
      <c r="AT2642" s="3" t="s">
        <v>61</v>
      </c>
      <c r="AU2642" s="6" t="str">
        <f>HYPERLINK("http://catalog.hathitrust.org/Record/004183357","HathiTrust Record")</f>
        <v>HathiTrust Record</v>
      </c>
      <c r="AV2642" s="6" t="str">
        <f>HYPERLINK("http://mcgill.on.worldcat.org/oclc/45363238","Catalog Record")</f>
        <v>Catalog Record</v>
      </c>
      <c r="AW2642" s="6" t="str">
        <f>HYPERLINK("http://www.worldcat.org/oclc/45363238","WorldCat Record")</f>
        <v>WorldCat Record</v>
      </c>
      <c r="AX2642" s="3" t="s">
        <v>25918</v>
      </c>
      <c r="AY2642" s="3" t="s">
        <v>25929</v>
      </c>
      <c r="AZ2642" s="3" t="s">
        <v>25930</v>
      </c>
      <c r="BA2642" s="3" t="s">
        <v>25930</v>
      </c>
      <c r="BB2642" s="3" t="s">
        <v>25934</v>
      </c>
      <c r="BC2642" s="3" t="s">
        <v>142</v>
      </c>
      <c r="BD2642" s="3" t="s">
        <v>68</v>
      </c>
      <c r="BE2642" s="3" t="s">
        <v>25932</v>
      </c>
      <c r="BF2642" s="3" t="s">
        <v>25934</v>
      </c>
      <c r="BG2642" s="3" t="s">
        <v>25935</v>
      </c>
    </row>
    <row r="2643" spans="1:59" ht="57" x14ac:dyDescent="0.45">
      <c r="A2643" s="2" t="s">
        <v>59</v>
      </c>
      <c r="B2643" s="2" t="s">
        <v>60</v>
      </c>
      <c r="C2643" s="2" t="s">
        <v>25936</v>
      </c>
      <c r="D2643" s="2" t="s">
        <v>25937</v>
      </c>
      <c r="E2643" s="2" t="s">
        <v>25916</v>
      </c>
      <c r="G2643" s="3" t="s">
        <v>62</v>
      </c>
      <c r="I2643" s="3" t="s">
        <v>62</v>
      </c>
      <c r="J2643" s="3" t="s">
        <v>61</v>
      </c>
      <c r="K2643" s="3" t="s">
        <v>63</v>
      </c>
      <c r="L2643" s="2" t="s">
        <v>15045</v>
      </c>
      <c r="M2643" s="2" t="s">
        <v>19054</v>
      </c>
      <c r="N2643" s="3" t="s">
        <v>894</v>
      </c>
      <c r="O2643" s="2" t="s">
        <v>919</v>
      </c>
      <c r="P2643" s="3" t="s">
        <v>65</v>
      </c>
      <c r="R2643" s="3" t="s">
        <v>66</v>
      </c>
      <c r="S2643" s="4">
        <v>4</v>
      </c>
      <c r="T2643" s="4">
        <v>4</v>
      </c>
      <c r="U2643" s="5" t="s">
        <v>25938</v>
      </c>
      <c r="V2643" s="5" t="s">
        <v>25938</v>
      </c>
      <c r="W2643" s="5" t="s">
        <v>67</v>
      </c>
      <c r="X2643" s="5" t="s">
        <v>67</v>
      </c>
      <c r="Y2643" s="4">
        <v>170</v>
      </c>
      <c r="Z2643" s="4">
        <v>18</v>
      </c>
      <c r="AA2643" s="4">
        <v>64</v>
      </c>
      <c r="AB2643" s="4">
        <v>2</v>
      </c>
      <c r="AC2643" s="4">
        <v>11</v>
      </c>
      <c r="AD2643" s="4">
        <v>34</v>
      </c>
      <c r="AE2643" s="4">
        <v>128</v>
      </c>
      <c r="AF2643" s="4">
        <v>1</v>
      </c>
      <c r="AG2643" s="4">
        <v>5</v>
      </c>
      <c r="AH2643" s="4">
        <v>29</v>
      </c>
      <c r="AI2643" s="4">
        <v>100</v>
      </c>
      <c r="AJ2643" s="4">
        <v>9</v>
      </c>
      <c r="AK2643" s="4">
        <v>24</v>
      </c>
      <c r="AL2643" s="4">
        <v>14</v>
      </c>
      <c r="AM2643" s="4">
        <v>47</v>
      </c>
      <c r="AN2643" s="4">
        <v>0</v>
      </c>
      <c r="AO2643" s="4">
        <v>0</v>
      </c>
      <c r="AP2643" s="4">
        <v>12</v>
      </c>
      <c r="AQ2643" s="4">
        <v>38</v>
      </c>
      <c r="AR2643" s="3" t="s">
        <v>62</v>
      </c>
      <c r="AS2643" s="3" t="s">
        <v>62</v>
      </c>
      <c r="AT2643" s="3" t="s">
        <v>62</v>
      </c>
      <c r="AV2643" s="6" t="str">
        <f>HYPERLINK("http://mcgill.on.worldcat.org/oclc/495597262","Catalog Record")</f>
        <v>Catalog Record</v>
      </c>
      <c r="AW2643" s="6" t="str">
        <f>HYPERLINK("http://www.worldcat.org/oclc/495597262","WorldCat Record")</f>
        <v>WorldCat Record</v>
      </c>
      <c r="AX2643" s="3" t="s">
        <v>25918</v>
      </c>
      <c r="AY2643" s="3" t="s">
        <v>25939</v>
      </c>
      <c r="AZ2643" s="3" t="s">
        <v>25940</v>
      </c>
      <c r="BA2643" s="3" t="s">
        <v>25940</v>
      </c>
      <c r="BB2643" s="3" t="s">
        <v>25941</v>
      </c>
      <c r="BC2643" s="3" t="s">
        <v>142</v>
      </c>
      <c r="BD2643" s="3" t="s">
        <v>68</v>
      </c>
      <c r="BE2643" s="3" t="s">
        <v>25942</v>
      </c>
      <c r="BF2643" s="3" t="s">
        <v>25941</v>
      </c>
      <c r="BG2643" s="3" t="s">
        <v>25943</v>
      </c>
    </row>
    <row r="2644" spans="1:59" ht="57" x14ac:dyDescent="0.45">
      <c r="A2644" s="2" t="s">
        <v>59</v>
      </c>
      <c r="B2644" s="2" t="s">
        <v>60</v>
      </c>
      <c r="C2644" s="2" t="s">
        <v>25944</v>
      </c>
      <c r="D2644" s="2" t="s">
        <v>25945</v>
      </c>
      <c r="E2644" s="2" t="s">
        <v>25916</v>
      </c>
      <c r="G2644" s="3" t="s">
        <v>62</v>
      </c>
      <c r="I2644" s="3" t="s">
        <v>62</v>
      </c>
      <c r="J2644" s="3" t="s">
        <v>61</v>
      </c>
      <c r="K2644" s="3" t="s">
        <v>63</v>
      </c>
      <c r="L2644" s="2" t="s">
        <v>25946</v>
      </c>
      <c r="M2644" s="2" t="s">
        <v>25947</v>
      </c>
      <c r="N2644" s="3" t="s">
        <v>116</v>
      </c>
      <c r="O2644" s="2" t="s">
        <v>4282</v>
      </c>
      <c r="P2644" s="3" t="s">
        <v>65</v>
      </c>
      <c r="R2644" s="3" t="s">
        <v>66</v>
      </c>
      <c r="S2644" s="4">
        <v>3</v>
      </c>
      <c r="T2644" s="4">
        <v>3</v>
      </c>
      <c r="U2644" s="5" t="s">
        <v>25948</v>
      </c>
      <c r="V2644" s="5" t="s">
        <v>25948</v>
      </c>
      <c r="W2644" s="5" t="s">
        <v>67</v>
      </c>
      <c r="X2644" s="5" t="s">
        <v>67</v>
      </c>
      <c r="Y2644" s="4">
        <v>128</v>
      </c>
      <c r="Z2644" s="4">
        <v>12</v>
      </c>
      <c r="AA2644" s="4">
        <v>64</v>
      </c>
      <c r="AB2644" s="4">
        <v>2</v>
      </c>
      <c r="AC2644" s="4">
        <v>11</v>
      </c>
      <c r="AD2644" s="4">
        <v>30</v>
      </c>
      <c r="AE2644" s="4">
        <v>128</v>
      </c>
      <c r="AF2644" s="4">
        <v>1</v>
      </c>
      <c r="AG2644" s="4">
        <v>5</v>
      </c>
      <c r="AH2644" s="4">
        <v>25</v>
      </c>
      <c r="AI2644" s="4">
        <v>100</v>
      </c>
      <c r="AJ2644" s="4">
        <v>7</v>
      </c>
      <c r="AK2644" s="4">
        <v>24</v>
      </c>
      <c r="AL2644" s="4">
        <v>14</v>
      </c>
      <c r="AM2644" s="4">
        <v>47</v>
      </c>
      <c r="AN2644" s="4">
        <v>0</v>
      </c>
      <c r="AO2644" s="4">
        <v>0</v>
      </c>
      <c r="AP2644" s="4">
        <v>9</v>
      </c>
      <c r="AQ2644" s="4">
        <v>38</v>
      </c>
      <c r="AR2644" s="3" t="s">
        <v>62</v>
      </c>
      <c r="AS2644" s="3" t="s">
        <v>62</v>
      </c>
      <c r="AT2644" s="3" t="s">
        <v>62</v>
      </c>
      <c r="AV2644" s="6" t="str">
        <f>HYPERLINK("http://mcgill.on.worldcat.org/oclc/756767688","Catalog Record")</f>
        <v>Catalog Record</v>
      </c>
      <c r="AW2644" s="6" t="str">
        <f>HYPERLINK("http://www.worldcat.org/oclc/756767688","WorldCat Record")</f>
        <v>WorldCat Record</v>
      </c>
      <c r="AX2644" s="3" t="s">
        <v>25918</v>
      </c>
      <c r="AY2644" s="3" t="s">
        <v>25949</v>
      </c>
      <c r="AZ2644" s="3" t="s">
        <v>25950</v>
      </c>
      <c r="BA2644" s="3" t="s">
        <v>25950</v>
      </c>
      <c r="BB2644" s="3" t="s">
        <v>25951</v>
      </c>
      <c r="BC2644" s="3" t="s">
        <v>142</v>
      </c>
      <c r="BD2644" s="3" t="s">
        <v>68</v>
      </c>
      <c r="BE2644" s="3" t="s">
        <v>25952</v>
      </c>
      <c r="BF2644" s="3" t="s">
        <v>25951</v>
      </c>
      <c r="BG2644" s="3" t="s">
        <v>25953</v>
      </c>
    </row>
    <row r="2645" spans="1:59" ht="57" x14ac:dyDescent="0.45">
      <c r="A2645" s="2" t="s">
        <v>59</v>
      </c>
      <c r="B2645" s="2" t="s">
        <v>60</v>
      </c>
      <c r="C2645" s="2" t="s">
        <v>25954</v>
      </c>
      <c r="D2645" s="2" t="s">
        <v>25955</v>
      </c>
      <c r="E2645" s="2" t="s">
        <v>25956</v>
      </c>
      <c r="G2645" s="3" t="s">
        <v>62</v>
      </c>
      <c r="I2645" s="3" t="s">
        <v>62</v>
      </c>
      <c r="J2645" s="3" t="s">
        <v>62</v>
      </c>
      <c r="K2645" s="3" t="s">
        <v>63</v>
      </c>
      <c r="L2645" s="2" t="s">
        <v>25957</v>
      </c>
      <c r="M2645" s="2" t="s">
        <v>25958</v>
      </c>
      <c r="N2645" s="3" t="s">
        <v>1155</v>
      </c>
      <c r="P2645" s="3" t="s">
        <v>65</v>
      </c>
      <c r="R2645" s="3" t="s">
        <v>66</v>
      </c>
      <c r="S2645" s="4">
        <v>11</v>
      </c>
      <c r="T2645" s="4">
        <v>11</v>
      </c>
      <c r="U2645" s="5" t="s">
        <v>8054</v>
      </c>
      <c r="V2645" s="5" t="s">
        <v>8054</v>
      </c>
      <c r="W2645" s="5" t="s">
        <v>67</v>
      </c>
      <c r="X2645" s="5" t="s">
        <v>67</v>
      </c>
      <c r="Y2645" s="4">
        <v>204</v>
      </c>
      <c r="Z2645" s="4">
        <v>22</v>
      </c>
      <c r="AA2645" s="4">
        <v>35</v>
      </c>
      <c r="AB2645" s="4">
        <v>2</v>
      </c>
      <c r="AC2645" s="4">
        <v>9</v>
      </c>
      <c r="AD2645" s="4">
        <v>48</v>
      </c>
      <c r="AE2645" s="4">
        <v>65</v>
      </c>
      <c r="AF2645" s="4">
        <v>0</v>
      </c>
      <c r="AG2645" s="4">
        <v>3</v>
      </c>
      <c r="AH2645" s="4">
        <v>37</v>
      </c>
      <c r="AI2645" s="4">
        <v>49</v>
      </c>
      <c r="AJ2645" s="4">
        <v>12</v>
      </c>
      <c r="AK2645" s="4">
        <v>16</v>
      </c>
      <c r="AL2645" s="4">
        <v>15</v>
      </c>
      <c r="AM2645" s="4">
        <v>21</v>
      </c>
      <c r="AN2645" s="4">
        <v>0</v>
      </c>
      <c r="AO2645" s="4">
        <v>0</v>
      </c>
      <c r="AP2645" s="4">
        <v>18</v>
      </c>
      <c r="AQ2645" s="4">
        <v>24</v>
      </c>
      <c r="AR2645" s="3" t="s">
        <v>62</v>
      </c>
      <c r="AS2645" s="3" t="s">
        <v>62</v>
      </c>
      <c r="AT2645" s="3" t="s">
        <v>62</v>
      </c>
      <c r="AV2645" s="6" t="str">
        <f>HYPERLINK("http://mcgill.on.worldcat.org/oclc/733232937","Catalog Record")</f>
        <v>Catalog Record</v>
      </c>
      <c r="AW2645" s="6" t="str">
        <f>HYPERLINK("http://www.worldcat.org/oclc/733232937","WorldCat Record")</f>
        <v>WorldCat Record</v>
      </c>
      <c r="AX2645" s="3" t="s">
        <v>25959</v>
      </c>
      <c r="AY2645" s="3" t="s">
        <v>25960</v>
      </c>
      <c r="AZ2645" s="3" t="s">
        <v>25961</v>
      </c>
      <c r="BA2645" s="3" t="s">
        <v>25961</v>
      </c>
      <c r="BB2645" s="3" t="s">
        <v>25962</v>
      </c>
      <c r="BC2645" s="3" t="s">
        <v>142</v>
      </c>
      <c r="BD2645" s="3" t="s">
        <v>68</v>
      </c>
      <c r="BE2645" s="3" t="s">
        <v>25963</v>
      </c>
      <c r="BF2645" s="3" t="s">
        <v>25962</v>
      </c>
      <c r="BG2645" s="3" t="s">
        <v>25964</v>
      </c>
    </row>
    <row r="2646" spans="1:59" ht="57" x14ac:dyDescent="0.45">
      <c r="A2646" s="2" t="s">
        <v>59</v>
      </c>
      <c r="B2646" s="2" t="s">
        <v>60</v>
      </c>
      <c r="C2646" s="2" t="s">
        <v>25965</v>
      </c>
      <c r="D2646" s="2" t="s">
        <v>25966</v>
      </c>
      <c r="E2646" s="2" t="s">
        <v>25967</v>
      </c>
      <c r="G2646" s="3" t="s">
        <v>62</v>
      </c>
      <c r="I2646" s="3" t="s">
        <v>62</v>
      </c>
      <c r="J2646" s="3" t="s">
        <v>62</v>
      </c>
      <c r="K2646" s="3" t="s">
        <v>63</v>
      </c>
      <c r="L2646" s="2" t="s">
        <v>25968</v>
      </c>
      <c r="M2646" s="2" t="s">
        <v>20303</v>
      </c>
      <c r="N2646" s="3" t="s">
        <v>1465</v>
      </c>
      <c r="P2646" s="3" t="s">
        <v>65</v>
      </c>
      <c r="Q2646" s="2" t="s">
        <v>25969</v>
      </c>
      <c r="R2646" s="3" t="s">
        <v>66</v>
      </c>
      <c r="S2646" s="4">
        <v>25</v>
      </c>
      <c r="T2646" s="4">
        <v>25</v>
      </c>
      <c r="U2646" s="5" t="s">
        <v>907</v>
      </c>
      <c r="V2646" s="5" t="s">
        <v>907</v>
      </c>
      <c r="W2646" s="5" t="s">
        <v>67</v>
      </c>
      <c r="X2646" s="5" t="s">
        <v>67</v>
      </c>
      <c r="Y2646" s="4">
        <v>186</v>
      </c>
      <c r="Z2646" s="4">
        <v>24</v>
      </c>
      <c r="AA2646" s="4">
        <v>27</v>
      </c>
      <c r="AB2646" s="4">
        <v>2</v>
      </c>
      <c r="AC2646" s="4">
        <v>2</v>
      </c>
      <c r="AD2646" s="4">
        <v>64</v>
      </c>
      <c r="AE2646" s="4">
        <v>78</v>
      </c>
      <c r="AF2646" s="4">
        <v>0</v>
      </c>
      <c r="AG2646" s="4">
        <v>0</v>
      </c>
      <c r="AH2646" s="4">
        <v>52</v>
      </c>
      <c r="AI2646" s="4">
        <v>64</v>
      </c>
      <c r="AJ2646" s="4">
        <v>13</v>
      </c>
      <c r="AK2646" s="4">
        <v>13</v>
      </c>
      <c r="AL2646" s="4">
        <v>23</v>
      </c>
      <c r="AM2646" s="4">
        <v>30</v>
      </c>
      <c r="AN2646" s="4">
        <v>0</v>
      </c>
      <c r="AO2646" s="4">
        <v>0</v>
      </c>
      <c r="AP2646" s="4">
        <v>21</v>
      </c>
      <c r="AQ2646" s="4">
        <v>23</v>
      </c>
      <c r="AR2646" s="3" t="s">
        <v>62</v>
      </c>
      <c r="AS2646" s="3" t="s">
        <v>62</v>
      </c>
      <c r="AT2646" s="3" t="s">
        <v>61</v>
      </c>
      <c r="AU2646" s="6" t="str">
        <f>HYPERLINK("http://catalog.hathitrust.org/Record/005985791","HathiTrust Record")</f>
        <v>HathiTrust Record</v>
      </c>
      <c r="AV2646" s="6" t="str">
        <f>HYPERLINK("http://mcgill.on.worldcat.org/oclc/233283708","Catalog Record")</f>
        <v>Catalog Record</v>
      </c>
      <c r="AW2646" s="6" t="str">
        <f>HYPERLINK("http://www.worldcat.org/oclc/233283708","WorldCat Record")</f>
        <v>WorldCat Record</v>
      </c>
      <c r="AX2646" s="3" t="s">
        <v>25970</v>
      </c>
      <c r="AY2646" s="3" t="s">
        <v>25971</v>
      </c>
      <c r="AZ2646" s="3" t="s">
        <v>25972</v>
      </c>
      <c r="BA2646" s="3" t="s">
        <v>25972</v>
      </c>
      <c r="BB2646" s="3" t="s">
        <v>25973</v>
      </c>
      <c r="BC2646" s="3" t="s">
        <v>142</v>
      </c>
      <c r="BD2646" s="3" t="s">
        <v>68</v>
      </c>
      <c r="BE2646" s="3" t="s">
        <v>25974</v>
      </c>
      <c r="BF2646" s="3" t="s">
        <v>25973</v>
      </c>
      <c r="BG2646" s="3" t="s">
        <v>25975</v>
      </c>
    </row>
    <row r="2647" spans="1:59" ht="57" x14ac:dyDescent="0.45">
      <c r="A2647" s="2" t="s">
        <v>59</v>
      </c>
      <c r="B2647" s="2" t="s">
        <v>60</v>
      </c>
      <c r="C2647" s="2" t="s">
        <v>25976</v>
      </c>
      <c r="D2647" s="2" t="s">
        <v>25977</v>
      </c>
      <c r="E2647" s="2" t="s">
        <v>25978</v>
      </c>
      <c r="G2647" s="3" t="s">
        <v>62</v>
      </c>
      <c r="I2647" s="3" t="s">
        <v>62</v>
      </c>
      <c r="J2647" s="3" t="s">
        <v>62</v>
      </c>
      <c r="K2647" s="3" t="s">
        <v>63</v>
      </c>
      <c r="L2647" s="2" t="s">
        <v>25979</v>
      </c>
      <c r="M2647" s="2" t="s">
        <v>4009</v>
      </c>
      <c r="N2647" s="3" t="s">
        <v>149</v>
      </c>
      <c r="O2647" s="2" t="s">
        <v>168</v>
      </c>
      <c r="P2647" s="3" t="s">
        <v>65</v>
      </c>
      <c r="Q2647" s="2" t="s">
        <v>25980</v>
      </c>
      <c r="R2647" s="3" t="s">
        <v>66</v>
      </c>
      <c r="S2647" s="4">
        <v>0</v>
      </c>
      <c r="T2647" s="4">
        <v>0</v>
      </c>
      <c r="W2647" s="5" t="s">
        <v>67</v>
      </c>
      <c r="X2647" s="5" t="s">
        <v>67</v>
      </c>
      <c r="Y2647" s="4">
        <v>346</v>
      </c>
      <c r="Z2647" s="4">
        <v>25</v>
      </c>
      <c r="AA2647" s="4">
        <v>30</v>
      </c>
      <c r="AB2647" s="4">
        <v>2</v>
      </c>
      <c r="AC2647" s="4">
        <v>7</v>
      </c>
      <c r="AD2647" s="4">
        <v>83</v>
      </c>
      <c r="AE2647" s="4">
        <v>88</v>
      </c>
      <c r="AF2647" s="4">
        <v>1</v>
      </c>
      <c r="AG2647" s="4">
        <v>6</v>
      </c>
      <c r="AH2647" s="4">
        <v>73</v>
      </c>
      <c r="AI2647" s="4">
        <v>74</v>
      </c>
      <c r="AJ2647" s="4">
        <v>16</v>
      </c>
      <c r="AK2647" s="4">
        <v>20</v>
      </c>
      <c r="AL2647" s="4">
        <v>38</v>
      </c>
      <c r="AM2647" s="4">
        <v>38</v>
      </c>
      <c r="AN2647" s="4">
        <v>0</v>
      </c>
      <c r="AO2647" s="4">
        <v>0</v>
      </c>
      <c r="AP2647" s="4">
        <v>18</v>
      </c>
      <c r="AQ2647" s="4">
        <v>22</v>
      </c>
      <c r="AR2647" s="3" t="s">
        <v>62</v>
      </c>
      <c r="AS2647" s="3" t="s">
        <v>62</v>
      </c>
      <c r="AT2647" s="3" t="s">
        <v>62</v>
      </c>
      <c r="AV2647" s="6" t="str">
        <f>HYPERLINK("http://mcgill.on.worldcat.org/oclc/457164570","Catalog Record")</f>
        <v>Catalog Record</v>
      </c>
      <c r="AW2647" s="6" t="str">
        <f>HYPERLINK("http://www.worldcat.org/oclc/457164570","WorldCat Record")</f>
        <v>WorldCat Record</v>
      </c>
      <c r="AX2647" s="3" t="s">
        <v>25981</v>
      </c>
      <c r="AY2647" s="3" t="s">
        <v>25982</v>
      </c>
      <c r="AZ2647" s="3" t="s">
        <v>25983</v>
      </c>
      <c r="BA2647" s="3" t="s">
        <v>25983</v>
      </c>
      <c r="BB2647" s="3" t="s">
        <v>25984</v>
      </c>
      <c r="BC2647" s="3" t="s">
        <v>142</v>
      </c>
      <c r="BD2647" s="3" t="s">
        <v>68</v>
      </c>
      <c r="BE2647" s="3" t="s">
        <v>25985</v>
      </c>
      <c r="BF2647" s="3" t="s">
        <v>25984</v>
      </c>
      <c r="BG2647" s="3" t="s">
        <v>25986</v>
      </c>
    </row>
    <row r="2648" spans="1:59" ht="57" x14ac:dyDescent="0.45">
      <c r="A2648" s="2" t="s">
        <v>59</v>
      </c>
      <c r="B2648" s="2" t="s">
        <v>60</v>
      </c>
      <c r="C2648" s="2" t="s">
        <v>25987</v>
      </c>
      <c r="D2648" s="2" t="s">
        <v>25988</v>
      </c>
      <c r="E2648" s="2" t="s">
        <v>25989</v>
      </c>
      <c r="G2648" s="3" t="s">
        <v>62</v>
      </c>
      <c r="I2648" s="3" t="s">
        <v>62</v>
      </c>
      <c r="J2648" s="3" t="s">
        <v>61</v>
      </c>
      <c r="K2648" s="3" t="s">
        <v>63</v>
      </c>
      <c r="L2648" s="2" t="s">
        <v>24883</v>
      </c>
      <c r="M2648" s="2" t="s">
        <v>25990</v>
      </c>
      <c r="N2648" s="3" t="s">
        <v>1465</v>
      </c>
      <c r="O2648" s="2" t="s">
        <v>933</v>
      </c>
      <c r="P2648" s="3" t="s">
        <v>65</v>
      </c>
      <c r="R2648" s="3" t="s">
        <v>66</v>
      </c>
      <c r="S2648" s="4">
        <v>4</v>
      </c>
      <c r="T2648" s="4">
        <v>4</v>
      </c>
      <c r="U2648" s="5" t="s">
        <v>13680</v>
      </c>
      <c r="V2648" s="5" t="s">
        <v>13680</v>
      </c>
      <c r="W2648" s="5" t="s">
        <v>67</v>
      </c>
      <c r="X2648" s="5" t="s">
        <v>67</v>
      </c>
      <c r="Y2648" s="4">
        <v>145</v>
      </c>
      <c r="Z2648" s="4">
        <v>16</v>
      </c>
      <c r="AA2648" s="4">
        <v>49</v>
      </c>
      <c r="AB2648" s="4">
        <v>3</v>
      </c>
      <c r="AC2648" s="4">
        <v>13</v>
      </c>
      <c r="AD2648" s="4">
        <v>35</v>
      </c>
      <c r="AE2648" s="4">
        <v>100</v>
      </c>
      <c r="AF2648" s="4">
        <v>0</v>
      </c>
      <c r="AG2648" s="4">
        <v>6</v>
      </c>
      <c r="AH2648" s="4">
        <v>32</v>
      </c>
      <c r="AI2648" s="4">
        <v>78</v>
      </c>
      <c r="AJ2648" s="4">
        <v>7</v>
      </c>
      <c r="AK2648" s="4">
        <v>20</v>
      </c>
      <c r="AL2648" s="4">
        <v>19</v>
      </c>
      <c r="AM2648" s="4">
        <v>32</v>
      </c>
      <c r="AN2648" s="4">
        <v>0</v>
      </c>
      <c r="AO2648" s="4">
        <v>0</v>
      </c>
      <c r="AP2648" s="4">
        <v>8</v>
      </c>
      <c r="AQ2648" s="4">
        <v>30</v>
      </c>
      <c r="AR2648" s="3" t="s">
        <v>62</v>
      </c>
      <c r="AS2648" s="3" t="s">
        <v>62</v>
      </c>
      <c r="AT2648" s="3" t="s">
        <v>62</v>
      </c>
      <c r="AV2648" s="6" t="str">
        <f>HYPERLINK("http://mcgill.on.worldcat.org/oclc/271104185","Catalog Record")</f>
        <v>Catalog Record</v>
      </c>
      <c r="AW2648" s="6" t="str">
        <f>HYPERLINK("http://www.worldcat.org/oclc/271104185","WorldCat Record")</f>
        <v>WorldCat Record</v>
      </c>
      <c r="AX2648" s="3" t="s">
        <v>25991</v>
      </c>
      <c r="AY2648" s="3" t="s">
        <v>25992</v>
      </c>
      <c r="AZ2648" s="3" t="s">
        <v>25993</v>
      </c>
      <c r="BA2648" s="3" t="s">
        <v>25993</v>
      </c>
      <c r="BB2648" s="3" t="s">
        <v>25994</v>
      </c>
      <c r="BC2648" s="3" t="s">
        <v>142</v>
      </c>
      <c r="BD2648" s="3" t="s">
        <v>68</v>
      </c>
      <c r="BE2648" s="3" t="s">
        <v>25995</v>
      </c>
      <c r="BF2648" s="3" t="s">
        <v>25994</v>
      </c>
      <c r="BG2648" s="3" t="s">
        <v>25996</v>
      </c>
    </row>
    <row r="2649" spans="1:59" ht="57" x14ac:dyDescent="0.45">
      <c r="A2649" s="2" t="s">
        <v>59</v>
      </c>
      <c r="B2649" s="2" t="s">
        <v>60</v>
      </c>
      <c r="C2649" s="2" t="s">
        <v>25997</v>
      </c>
      <c r="D2649" s="2" t="s">
        <v>25998</v>
      </c>
      <c r="E2649" s="2" t="s">
        <v>25999</v>
      </c>
      <c r="G2649" s="3" t="s">
        <v>62</v>
      </c>
      <c r="I2649" s="3" t="s">
        <v>62</v>
      </c>
      <c r="J2649" s="3" t="s">
        <v>62</v>
      </c>
      <c r="K2649" s="3" t="s">
        <v>63</v>
      </c>
      <c r="M2649" s="2" t="s">
        <v>26000</v>
      </c>
      <c r="N2649" s="3" t="s">
        <v>149</v>
      </c>
      <c r="P2649" s="3" t="s">
        <v>65</v>
      </c>
      <c r="R2649" s="3" t="s">
        <v>66</v>
      </c>
      <c r="S2649" s="4">
        <v>5</v>
      </c>
      <c r="T2649" s="4">
        <v>5</v>
      </c>
      <c r="U2649" s="5" t="s">
        <v>8054</v>
      </c>
      <c r="V2649" s="5" t="s">
        <v>8054</v>
      </c>
      <c r="W2649" s="5" t="s">
        <v>67</v>
      </c>
      <c r="X2649" s="5" t="s">
        <v>67</v>
      </c>
      <c r="Y2649" s="4">
        <v>131</v>
      </c>
      <c r="Z2649" s="4">
        <v>12</v>
      </c>
      <c r="AA2649" s="4">
        <v>45</v>
      </c>
      <c r="AB2649" s="4">
        <v>3</v>
      </c>
      <c r="AC2649" s="4">
        <v>12</v>
      </c>
      <c r="AD2649" s="4">
        <v>28</v>
      </c>
      <c r="AE2649" s="4">
        <v>48</v>
      </c>
      <c r="AF2649" s="4">
        <v>2</v>
      </c>
      <c r="AG2649" s="4">
        <v>5</v>
      </c>
      <c r="AH2649" s="4">
        <v>23</v>
      </c>
      <c r="AI2649" s="4">
        <v>33</v>
      </c>
      <c r="AJ2649" s="4">
        <v>7</v>
      </c>
      <c r="AK2649" s="4">
        <v>13</v>
      </c>
      <c r="AL2649" s="4">
        <v>11</v>
      </c>
      <c r="AM2649" s="4">
        <v>17</v>
      </c>
      <c r="AN2649" s="4">
        <v>0</v>
      </c>
      <c r="AO2649" s="4">
        <v>0</v>
      </c>
      <c r="AP2649" s="4">
        <v>9</v>
      </c>
      <c r="AQ2649" s="4">
        <v>19</v>
      </c>
      <c r="AR2649" s="3" t="s">
        <v>62</v>
      </c>
      <c r="AS2649" s="3" t="s">
        <v>62</v>
      </c>
      <c r="AT2649" s="3" t="s">
        <v>62</v>
      </c>
      <c r="AV2649" s="6" t="str">
        <f>HYPERLINK("http://mcgill.on.worldcat.org/oclc/640084629","Catalog Record")</f>
        <v>Catalog Record</v>
      </c>
      <c r="AW2649" s="6" t="str">
        <f>HYPERLINK("http://www.worldcat.org/oclc/640084629","WorldCat Record")</f>
        <v>WorldCat Record</v>
      </c>
      <c r="AX2649" s="3" t="s">
        <v>26001</v>
      </c>
      <c r="AY2649" s="3" t="s">
        <v>26002</v>
      </c>
      <c r="AZ2649" s="3" t="s">
        <v>26003</v>
      </c>
      <c r="BA2649" s="3" t="s">
        <v>26003</v>
      </c>
      <c r="BB2649" s="3" t="s">
        <v>26004</v>
      </c>
      <c r="BC2649" s="3" t="s">
        <v>142</v>
      </c>
      <c r="BD2649" s="3" t="s">
        <v>68</v>
      </c>
      <c r="BE2649" s="3" t="s">
        <v>26005</v>
      </c>
      <c r="BF2649" s="3" t="s">
        <v>26004</v>
      </c>
      <c r="BG2649" s="3" t="s">
        <v>26006</v>
      </c>
    </row>
    <row r="2650" spans="1:59" ht="71.25" x14ac:dyDescent="0.45">
      <c r="A2650" s="2" t="s">
        <v>59</v>
      </c>
      <c r="B2650" s="2" t="s">
        <v>60</v>
      </c>
      <c r="C2650" s="2" t="s">
        <v>26007</v>
      </c>
      <c r="D2650" s="2" t="s">
        <v>26008</v>
      </c>
      <c r="E2650" s="2" t="s">
        <v>26009</v>
      </c>
      <c r="F2650" s="3" t="s">
        <v>87</v>
      </c>
      <c r="G2650" s="3" t="s">
        <v>61</v>
      </c>
      <c r="I2650" s="3" t="s">
        <v>62</v>
      </c>
      <c r="J2650" s="3" t="s">
        <v>62</v>
      </c>
      <c r="K2650" s="3" t="s">
        <v>63</v>
      </c>
      <c r="M2650" s="2" t="s">
        <v>26010</v>
      </c>
      <c r="N2650" s="3" t="s">
        <v>1688</v>
      </c>
      <c r="P2650" s="3" t="s">
        <v>65</v>
      </c>
      <c r="R2650" s="3" t="s">
        <v>66</v>
      </c>
      <c r="S2650" s="4">
        <v>3</v>
      </c>
      <c r="T2650" s="4">
        <v>5</v>
      </c>
      <c r="U2650" s="5" t="s">
        <v>5455</v>
      </c>
      <c r="V2650" s="5" t="s">
        <v>5455</v>
      </c>
      <c r="W2650" s="5" t="s">
        <v>67</v>
      </c>
      <c r="X2650" s="5" t="s">
        <v>67</v>
      </c>
      <c r="Y2650" s="4">
        <v>144</v>
      </c>
      <c r="Z2650" s="4">
        <v>11</v>
      </c>
      <c r="AA2650" s="4">
        <v>26</v>
      </c>
      <c r="AB2650" s="4">
        <v>2</v>
      </c>
      <c r="AC2650" s="4">
        <v>5</v>
      </c>
      <c r="AD2650" s="4">
        <v>40</v>
      </c>
      <c r="AE2650" s="4">
        <v>53</v>
      </c>
      <c r="AF2650" s="4">
        <v>1</v>
      </c>
      <c r="AG2650" s="4">
        <v>2</v>
      </c>
      <c r="AH2650" s="4">
        <v>35</v>
      </c>
      <c r="AI2650" s="4">
        <v>45</v>
      </c>
      <c r="AJ2650" s="4">
        <v>6</v>
      </c>
      <c r="AK2650" s="4">
        <v>7</v>
      </c>
      <c r="AL2650" s="4">
        <v>22</v>
      </c>
      <c r="AM2650" s="4">
        <v>28</v>
      </c>
      <c r="AN2650" s="4">
        <v>0</v>
      </c>
      <c r="AO2650" s="4">
        <v>0</v>
      </c>
      <c r="AP2650" s="4">
        <v>7</v>
      </c>
      <c r="AQ2650" s="4">
        <v>9</v>
      </c>
      <c r="AR2650" s="3" t="s">
        <v>62</v>
      </c>
      <c r="AS2650" s="3" t="s">
        <v>62</v>
      </c>
      <c r="AT2650" s="3" t="s">
        <v>62</v>
      </c>
      <c r="AV2650" s="6" t="str">
        <f>HYPERLINK("http://mcgill.on.worldcat.org/oclc/780481242","Catalog Record")</f>
        <v>Catalog Record</v>
      </c>
      <c r="AW2650" s="6" t="str">
        <f>HYPERLINK("http://www.worldcat.org/oclc/780481242","WorldCat Record")</f>
        <v>WorldCat Record</v>
      </c>
      <c r="AX2650" s="3" t="s">
        <v>26011</v>
      </c>
      <c r="AY2650" s="3" t="s">
        <v>26012</v>
      </c>
      <c r="AZ2650" s="3" t="s">
        <v>26013</v>
      </c>
      <c r="BA2650" s="3" t="s">
        <v>26013</v>
      </c>
      <c r="BB2650" s="3" t="s">
        <v>26014</v>
      </c>
      <c r="BC2650" s="3" t="s">
        <v>142</v>
      </c>
      <c r="BD2650" s="3" t="s">
        <v>68</v>
      </c>
      <c r="BE2650" s="3" t="s">
        <v>26015</v>
      </c>
      <c r="BF2650" s="3" t="s">
        <v>26014</v>
      </c>
      <c r="BG2650" s="3" t="s">
        <v>26016</v>
      </c>
    </row>
    <row r="2651" spans="1:59" ht="71.25" x14ac:dyDescent="0.45">
      <c r="A2651" s="2" t="s">
        <v>59</v>
      </c>
      <c r="B2651" s="2" t="s">
        <v>60</v>
      </c>
      <c r="C2651" s="2" t="s">
        <v>26007</v>
      </c>
      <c r="D2651" s="2" t="s">
        <v>26008</v>
      </c>
      <c r="E2651" s="2" t="s">
        <v>26009</v>
      </c>
      <c r="F2651" s="3" t="s">
        <v>90</v>
      </c>
      <c r="G2651" s="3" t="s">
        <v>61</v>
      </c>
      <c r="I2651" s="3" t="s">
        <v>62</v>
      </c>
      <c r="J2651" s="3" t="s">
        <v>62</v>
      </c>
      <c r="K2651" s="3" t="s">
        <v>63</v>
      </c>
      <c r="M2651" s="2" t="s">
        <v>26010</v>
      </c>
      <c r="N2651" s="3" t="s">
        <v>1688</v>
      </c>
      <c r="P2651" s="3" t="s">
        <v>65</v>
      </c>
      <c r="R2651" s="3" t="s">
        <v>66</v>
      </c>
      <c r="S2651" s="4">
        <v>2</v>
      </c>
      <c r="T2651" s="4">
        <v>5</v>
      </c>
      <c r="U2651" s="5" t="s">
        <v>26017</v>
      </c>
      <c r="V2651" s="5" t="s">
        <v>5455</v>
      </c>
      <c r="W2651" s="5" t="s">
        <v>67</v>
      </c>
      <c r="X2651" s="5" t="s">
        <v>67</v>
      </c>
      <c r="Y2651" s="4">
        <v>144</v>
      </c>
      <c r="Z2651" s="4">
        <v>11</v>
      </c>
      <c r="AA2651" s="4">
        <v>26</v>
      </c>
      <c r="AB2651" s="4">
        <v>2</v>
      </c>
      <c r="AC2651" s="4">
        <v>5</v>
      </c>
      <c r="AD2651" s="4">
        <v>40</v>
      </c>
      <c r="AE2651" s="4">
        <v>53</v>
      </c>
      <c r="AF2651" s="4">
        <v>1</v>
      </c>
      <c r="AG2651" s="4">
        <v>2</v>
      </c>
      <c r="AH2651" s="4">
        <v>35</v>
      </c>
      <c r="AI2651" s="4">
        <v>45</v>
      </c>
      <c r="AJ2651" s="4">
        <v>6</v>
      </c>
      <c r="AK2651" s="4">
        <v>7</v>
      </c>
      <c r="AL2651" s="4">
        <v>22</v>
      </c>
      <c r="AM2651" s="4">
        <v>28</v>
      </c>
      <c r="AN2651" s="4">
        <v>0</v>
      </c>
      <c r="AO2651" s="4">
        <v>0</v>
      </c>
      <c r="AP2651" s="4">
        <v>7</v>
      </c>
      <c r="AQ2651" s="4">
        <v>9</v>
      </c>
      <c r="AR2651" s="3" t="s">
        <v>62</v>
      </c>
      <c r="AS2651" s="3" t="s">
        <v>62</v>
      </c>
      <c r="AT2651" s="3" t="s">
        <v>62</v>
      </c>
      <c r="AV2651" s="6" t="str">
        <f>HYPERLINK("http://mcgill.on.worldcat.org/oclc/780481242","Catalog Record")</f>
        <v>Catalog Record</v>
      </c>
      <c r="AW2651" s="6" t="str">
        <f>HYPERLINK("http://www.worldcat.org/oclc/780481242","WorldCat Record")</f>
        <v>WorldCat Record</v>
      </c>
      <c r="AX2651" s="3" t="s">
        <v>26011</v>
      </c>
      <c r="AY2651" s="3" t="s">
        <v>26012</v>
      </c>
      <c r="AZ2651" s="3" t="s">
        <v>26013</v>
      </c>
      <c r="BA2651" s="3" t="s">
        <v>26013</v>
      </c>
      <c r="BB2651" s="3" t="s">
        <v>26018</v>
      </c>
      <c r="BC2651" s="3" t="s">
        <v>142</v>
      </c>
      <c r="BD2651" s="3" t="s">
        <v>68</v>
      </c>
      <c r="BE2651" s="3" t="s">
        <v>26015</v>
      </c>
      <c r="BF2651" s="3" t="s">
        <v>26018</v>
      </c>
      <c r="BG2651" s="3" t="s">
        <v>26019</v>
      </c>
    </row>
    <row r="2652" spans="1:59" ht="57" x14ac:dyDescent="0.45">
      <c r="A2652" s="2" t="s">
        <v>59</v>
      </c>
      <c r="B2652" s="2" t="s">
        <v>60</v>
      </c>
      <c r="C2652" s="2" t="s">
        <v>26020</v>
      </c>
      <c r="D2652" s="2" t="s">
        <v>26021</v>
      </c>
      <c r="E2652" s="2" t="s">
        <v>26022</v>
      </c>
      <c r="G2652" s="3" t="s">
        <v>62</v>
      </c>
      <c r="I2652" s="3" t="s">
        <v>61</v>
      </c>
      <c r="J2652" s="3" t="s">
        <v>62</v>
      </c>
      <c r="K2652" s="3" t="s">
        <v>63</v>
      </c>
      <c r="L2652" s="2" t="s">
        <v>26023</v>
      </c>
      <c r="M2652" s="2" t="s">
        <v>26024</v>
      </c>
      <c r="N2652" s="3" t="s">
        <v>1855</v>
      </c>
      <c r="P2652" s="3" t="s">
        <v>65</v>
      </c>
      <c r="R2652" s="3" t="s">
        <v>66</v>
      </c>
      <c r="S2652" s="4">
        <v>4</v>
      </c>
      <c r="T2652" s="4">
        <v>5</v>
      </c>
      <c r="U2652" s="5" t="s">
        <v>26025</v>
      </c>
      <c r="V2652" s="5" t="s">
        <v>12655</v>
      </c>
      <c r="W2652" s="5" t="s">
        <v>67</v>
      </c>
      <c r="X2652" s="5" t="s">
        <v>67</v>
      </c>
      <c r="Y2652" s="4">
        <v>399</v>
      </c>
      <c r="Z2652" s="4">
        <v>22</v>
      </c>
      <c r="AA2652" s="4">
        <v>97</v>
      </c>
      <c r="AB2652" s="4">
        <v>1</v>
      </c>
      <c r="AC2652" s="4">
        <v>18</v>
      </c>
      <c r="AD2652" s="4">
        <v>90</v>
      </c>
      <c r="AE2652" s="4">
        <v>137</v>
      </c>
      <c r="AF2652" s="4">
        <v>0</v>
      </c>
      <c r="AG2652" s="4">
        <v>8</v>
      </c>
      <c r="AH2652" s="4">
        <v>82</v>
      </c>
      <c r="AI2652" s="4">
        <v>99</v>
      </c>
      <c r="AJ2652" s="4">
        <v>13</v>
      </c>
      <c r="AK2652" s="4">
        <v>25</v>
      </c>
      <c r="AL2652" s="4">
        <v>37</v>
      </c>
      <c r="AM2652" s="4">
        <v>46</v>
      </c>
      <c r="AN2652" s="4">
        <v>0</v>
      </c>
      <c r="AO2652" s="4">
        <v>0</v>
      </c>
      <c r="AP2652" s="4">
        <v>17</v>
      </c>
      <c r="AQ2652" s="4">
        <v>48</v>
      </c>
      <c r="AR2652" s="3" t="s">
        <v>62</v>
      </c>
      <c r="AS2652" s="3" t="s">
        <v>62</v>
      </c>
      <c r="AT2652" s="3" t="s">
        <v>62</v>
      </c>
      <c r="AV2652" s="6" t="str">
        <f>HYPERLINK("http://mcgill.on.worldcat.org/oclc/55067158","Catalog Record")</f>
        <v>Catalog Record</v>
      </c>
      <c r="AW2652" s="6" t="str">
        <f>HYPERLINK("http://www.worldcat.org/oclc/55067158","WorldCat Record")</f>
        <v>WorldCat Record</v>
      </c>
      <c r="AX2652" s="3" t="s">
        <v>26026</v>
      </c>
      <c r="AY2652" s="3" t="s">
        <v>26027</v>
      </c>
      <c r="AZ2652" s="3" t="s">
        <v>26028</v>
      </c>
      <c r="BA2652" s="3" t="s">
        <v>26028</v>
      </c>
      <c r="BB2652" s="3" t="s">
        <v>26029</v>
      </c>
      <c r="BC2652" s="3" t="s">
        <v>142</v>
      </c>
      <c r="BD2652" s="3" t="s">
        <v>68</v>
      </c>
      <c r="BE2652" s="3" t="s">
        <v>26030</v>
      </c>
      <c r="BF2652" s="3" t="s">
        <v>26029</v>
      </c>
      <c r="BG2652" s="3" t="s">
        <v>26031</v>
      </c>
    </row>
    <row r="2653" spans="1:59" ht="57" x14ac:dyDescent="0.45">
      <c r="A2653" s="2" t="s">
        <v>59</v>
      </c>
      <c r="B2653" s="2" t="s">
        <v>60</v>
      </c>
      <c r="C2653" s="2" t="s">
        <v>26020</v>
      </c>
      <c r="D2653" s="2" t="s">
        <v>26021</v>
      </c>
      <c r="E2653" s="2" t="s">
        <v>26022</v>
      </c>
      <c r="G2653" s="3" t="s">
        <v>62</v>
      </c>
      <c r="I2653" s="3" t="s">
        <v>61</v>
      </c>
      <c r="J2653" s="3" t="s">
        <v>62</v>
      </c>
      <c r="K2653" s="3" t="s">
        <v>63</v>
      </c>
      <c r="L2653" s="2" t="s">
        <v>26023</v>
      </c>
      <c r="M2653" s="2" t="s">
        <v>26024</v>
      </c>
      <c r="N2653" s="3" t="s">
        <v>1855</v>
      </c>
      <c r="P2653" s="3" t="s">
        <v>65</v>
      </c>
      <c r="R2653" s="3" t="s">
        <v>66</v>
      </c>
      <c r="S2653" s="4">
        <v>1</v>
      </c>
      <c r="T2653" s="4">
        <v>5</v>
      </c>
      <c r="U2653" s="5" t="s">
        <v>12655</v>
      </c>
      <c r="V2653" s="5" t="s">
        <v>12655</v>
      </c>
      <c r="W2653" s="5" t="s">
        <v>67</v>
      </c>
      <c r="X2653" s="5" t="s">
        <v>67</v>
      </c>
      <c r="Y2653" s="4">
        <v>399</v>
      </c>
      <c r="Z2653" s="4">
        <v>22</v>
      </c>
      <c r="AA2653" s="4">
        <v>97</v>
      </c>
      <c r="AB2653" s="4">
        <v>1</v>
      </c>
      <c r="AC2653" s="4">
        <v>18</v>
      </c>
      <c r="AD2653" s="4">
        <v>90</v>
      </c>
      <c r="AE2653" s="4">
        <v>137</v>
      </c>
      <c r="AF2653" s="4">
        <v>0</v>
      </c>
      <c r="AG2653" s="4">
        <v>8</v>
      </c>
      <c r="AH2653" s="4">
        <v>82</v>
      </c>
      <c r="AI2653" s="4">
        <v>99</v>
      </c>
      <c r="AJ2653" s="4">
        <v>13</v>
      </c>
      <c r="AK2653" s="4">
        <v>25</v>
      </c>
      <c r="AL2653" s="4">
        <v>37</v>
      </c>
      <c r="AM2653" s="4">
        <v>46</v>
      </c>
      <c r="AN2653" s="4">
        <v>0</v>
      </c>
      <c r="AO2653" s="4">
        <v>0</v>
      </c>
      <c r="AP2653" s="4">
        <v>17</v>
      </c>
      <c r="AQ2653" s="4">
        <v>48</v>
      </c>
      <c r="AR2653" s="3" t="s">
        <v>62</v>
      </c>
      <c r="AS2653" s="3" t="s">
        <v>62</v>
      </c>
      <c r="AT2653" s="3" t="s">
        <v>62</v>
      </c>
      <c r="AV2653" s="6" t="str">
        <f>HYPERLINK("http://mcgill.on.worldcat.org/oclc/55067158","Catalog Record")</f>
        <v>Catalog Record</v>
      </c>
      <c r="AW2653" s="6" t="str">
        <f>HYPERLINK("http://www.worldcat.org/oclc/55067158","WorldCat Record")</f>
        <v>WorldCat Record</v>
      </c>
      <c r="AX2653" s="3" t="s">
        <v>26026</v>
      </c>
      <c r="AY2653" s="3" t="s">
        <v>26027</v>
      </c>
      <c r="AZ2653" s="3" t="s">
        <v>26028</v>
      </c>
      <c r="BA2653" s="3" t="s">
        <v>26028</v>
      </c>
      <c r="BB2653" s="3" t="s">
        <v>26032</v>
      </c>
      <c r="BC2653" s="3" t="s">
        <v>142</v>
      </c>
      <c r="BD2653" s="3" t="s">
        <v>68</v>
      </c>
      <c r="BE2653" s="3" t="s">
        <v>26030</v>
      </c>
      <c r="BF2653" s="3" t="s">
        <v>26032</v>
      </c>
      <c r="BG2653" s="3" t="s">
        <v>26033</v>
      </c>
    </row>
    <row r="2654" spans="1:59" ht="57" x14ac:dyDescent="0.45">
      <c r="A2654" s="2" t="s">
        <v>59</v>
      </c>
      <c r="B2654" s="2" t="s">
        <v>60</v>
      </c>
      <c r="C2654" s="2" t="s">
        <v>26034</v>
      </c>
      <c r="D2654" s="2" t="s">
        <v>26035</v>
      </c>
      <c r="E2654" s="2" t="s">
        <v>26036</v>
      </c>
      <c r="G2654" s="3" t="s">
        <v>62</v>
      </c>
      <c r="I2654" s="3" t="s">
        <v>62</v>
      </c>
      <c r="J2654" s="3" t="s">
        <v>62</v>
      </c>
      <c r="K2654" s="3" t="s">
        <v>63</v>
      </c>
      <c r="L2654" s="2" t="s">
        <v>26037</v>
      </c>
      <c r="M2654" s="2" t="s">
        <v>6999</v>
      </c>
      <c r="N2654" s="3" t="s">
        <v>149</v>
      </c>
      <c r="P2654" s="3" t="s">
        <v>65</v>
      </c>
      <c r="R2654" s="3" t="s">
        <v>66</v>
      </c>
      <c r="S2654" s="4">
        <v>11</v>
      </c>
      <c r="T2654" s="4">
        <v>11</v>
      </c>
      <c r="U2654" s="5" t="s">
        <v>10009</v>
      </c>
      <c r="V2654" s="5" t="s">
        <v>10009</v>
      </c>
      <c r="W2654" s="5" t="s">
        <v>67</v>
      </c>
      <c r="X2654" s="5" t="s">
        <v>67</v>
      </c>
      <c r="Y2654" s="4">
        <v>149</v>
      </c>
      <c r="Z2654" s="4">
        <v>16</v>
      </c>
      <c r="AA2654" s="4">
        <v>21</v>
      </c>
      <c r="AB2654" s="4">
        <v>1</v>
      </c>
      <c r="AC2654" s="4">
        <v>4</v>
      </c>
      <c r="AD2654" s="4">
        <v>59</v>
      </c>
      <c r="AE2654" s="4">
        <v>62</v>
      </c>
      <c r="AF2654" s="4">
        <v>0</v>
      </c>
      <c r="AG2654" s="4">
        <v>1</v>
      </c>
      <c r="AH2654" s="4">
        <v>56</v>
      </c>
      <c r="AI2654" s="4">
        <v>57</v>
      </c>
      <c r="AJ2654" s="4">
        <v>12</v>
      </c>
      <c r="AK2654" s="4">
        <v>15</v>
      </c>
      <c r="AL2654" s="4">
        <v>36</v>
      </c>
      <c r="AM2654" s="4">
        <v>36</v>
      </c>
      <c r="AN2654" s="4">
        <v>0</v>
      </c>
      <c r="AO2654" s="4">
        <v>0</v>
      </c>
      <c r="AP2654" s="4">
        <v>12</v>
      </c>
      <c r="AQ2654" s="4">
        <v>15</v>
      </c>
      <c r="AR2654" s="3" t="s">
        <v>62</v>
      </c>
      <c r="AS2654" s="3" t="s">
        <v>62</v>
      </c>
      <c r="AT2654" s="3" t="s">
        <v>62</v>
      </c>
      <c r="AV2654" s="6" t="str">
        <f>HYPERLINK("http://mcgill.on.worldcat.org/oclc/436623477","Catalog Record")</f>
        <v>Catalog Record</v>
      </c>
      <c r="AW2654" s="6" t="str">
        <f>HYPERLINK("http://www.worldcat.org/oclc/436623477","WorldCat Record")</f>
        <v>WorldCat Record</v>
      </c>
      <c r="AX2654" s="3" t="s">
        <v>26038</v>
      </c>
      <c r="AY2654" s="3" t="s">
        <v>26039</v>
      </c>
      <c r="AZ2654" s="3" t="s">
        <v>26040</v>
      </c>
      <c r="BA2654" s="3" t="s">
        <v>26040</v>
      </c>
      <c r="BB2654" s="3" t="s">
        <v>26041</v>
      </c>
      <c r="BC2654" s="3" t="s">
        <v>142</v>
      </c>
      <c r="BD2654" s="3" t="s">
        <v>68</v>
      </c>
      <c r="BE2654" s="3" t="s">
        <v>26042</v>
      </c>
      <c r="BF2654" s="3" t="s">
        <v>26041</v>
      </c>
      <c r="BG2654" s="3" t="s">
        <v>26043</v>
      </c>
    </row>
    <row r="2655" spans="1:59" ht="57" x14ac:dyDescent="0.45">
      <c r="A2655" s="2" t="s">
        <v>59</v>
      </c>
      <c r="B2655" s="2" t="s">
        <v>60</v>
      </c>
      <c r="C2655" s="2" t="s">
        <v>26044</v>
      </c>
      <c r="D2655" s="2" t="s">
        <v>26045</v>
      </c>
      <c r="E2655" s="2" t="s">
        <v>26046</v>
      </c>
      <c r="G2655" s="3" t="s">
        <v>62</v>
      </c>
      <c r="I2655" s="3" t="s">
        <v>62</v>
      </c>
      <c r="J2655" s="3" t="s">
        <v>62</v>
      </c>
      <c r="K2655" s="3" t="s">
        <v>63</v>
      </c>
      <c r="L2655" s="2" t="s">
        <v>22924</v>
      </c>
      <c r="M2655" s="2" t="s">
        <v>26047</v>
      </c>
      <c r="N2655" s="3" t="s">
        <v>1465</v>
      </c>
      <c r="P2655" s="3" t="s">
        <v>65</v>
      </c>
      <c r="R2655" s="3" t="s">
        <v>66</v>
      </c>
      <c r="S2655" s="4">
        <v>8</v>
      </c>
      <c r="T2655" s="4">
        <v>8</v>
      </c>
      <c r="U2655" s="5" t="s">
        <v>10009</v>
      </c>
      <c r="V2655" s="5" t="s">
        <v>10009</v>
      </c>
      <c r="W2655" s="5" t="s">
        <v>67</v>
      </c>
      <c r="X2655" s="5" t="s">
        <v>67</v>
      </c>
      <c r="Y2655" s="4">
        <v>198</v>
      </c>
      <c r="Z2655" s="4">
        <v>22</v>
      </c>
      <c r="AA2655" s="4">
        <v>29</v>
      </c>
      <c r="AB2655" s="4">
        <v>2</v>
      </c>
      <c r="AC2655" s="4">
        <v>5</v>
      </c>
      <c r="AD2655" s="4">
        <v>88</v>
      </c>
      <c r="AE2655" s="4">
        <v>96</v>
      </c>
      <c r="AF2655" s="4">
        <v>0</v>
      </c>
      <c r="AG2655" s="4">
        <v>1</v>
      </c>
      <c r="AH2655" s="4">
        <v>80</v>
      </c>
      <c r="AI2655" s="4">
        <v>84</v>
      </c>
      <c r="AJ2655" s="4">
        <v>16</v>
      </c>
      <c r="AK2655" s="4">
        <v>19</v>
      </c>
      <c r="AL2655" s="4">
        <v>45</v>
      </c>
      <c r="AM2655" s="4">
        <v>47</v>
      </c>
      <c r="AN2655" s="4">
        <v>0</v>
      </c>
      <c r="AO2655" s="4">
        <v>0</v>
      </c>
      <c r="AP2655" s="4">
        <v>18</v>
      </c>
      <c r="AQ2655" s="4">
        <v>23</v>
      </c>
      <c r="AR2655" s="3" t="s">
        <v>62</v>
      </c>
      <c r="AS2655" s="3" t="s">
        <v>62</v>
      </c>
      <c r="AT2655" s="3" t="s">
        <v>62</v>
      </c>
      <c r="AV2655" s="6" t="str">
        <f>HYPERLINK("http://mcgill.on.worldcat.org/oclc/298778547","Catalog Record")</f>
        <v>Catalog Record</v>
      </c>
      <c r="AW2655" s="6" t="str">
        <f>HYPERLINK("http://www.worldcat.org/oclc/298778547","WorldCat Record")</f>
        <v>WorldCat Record</v>
      </c>
      <c r="AX2655" s="3" t="s">
        <v>26048</v>
      </c>
      <c r="AY2655" s="3" t="s">
        <v>26049</v>
      </c>
      <c r="AZ2655" s="3" t="s">
        <v>26050</v>
      </c>
      <c r="BA2655" s="3" t="s">
        <v>26050</v>
      </c>
      <c r="BB2655" s="3" t="s">
        <v>26051</v>
      </c>
      <c r="BC2655" s="3" t="s">
        <v>142</v>
      </c>
      <c r="BD2655" s="3" t="s">
        <v>68</v>
      </c>
      <c r="BE2655" s="3" t="s">
        <v>26052</v>
      </c>
      <c r="BF2655" s="3" t="s">
        <v>26051</v>
      </c>
      <c r="BG2655" s="3" t="s">
        <v>26053</v>
      </c>
    </row>
    <row r="2656" spans="1:59" ht="71.25" x14ac:dyDescent="0.45">
      <c r="A2656" s="2" t="s">
        <v>59</v>
      </c>
      <c r="B2656" s="2" t="s">
        <v>60</v>
      </c>
      <c r="C2656" s="2" t="s">
        <v>26054</v>
      </c>
      <c r="D2656" s="2" t="s">
        <v>26055</v>
      </c>
      <c r="E2656" s="2" t="s">
        <v>26056</v>
      </c>
      <c r="G2656" s="3" t="s">
        <v>62</v>
      </c>
      <c r="I2656" s="3" t="s">
        <v>62</v>
      </c>
      <c r="J2656" s="3" t="s">
        <v>62</v>
      </c>
      <c r="K2656" s="3" t="s">
        <v>63</v>
      </c>
      <c r="M2656" s="2" t="s">
        <v>9401</v>
      </c>
      <c r="N2656" s="3" t="s">
        <v>1478</v>
      </c>
      <c r="P2656" s="3" t="s">
        <v>65</v>
      </c>
      <c r="R2656" s="3" t="s">
        <v>66</v>
      </c>
      <c r="S2656" s="4">
        <v>22</v>
      </c>
      <c r="T2656" s="4">
        <v>22</v>
      </c>
      <c r="U2656" s="5" t="s">
        <v>26057</v>
      </c>
      <c r="V2656" s="5" t="s">
        <v>26057</v>
      </c>
      <c r="W2656" s="5" t="s">
        <v>67</v>
      </c>
      <c r="X2656" s="5" t="s">
        <v>67</v>
      </c>
      <c r="Y2656" s="4">
        <v>131</v>
      </c>
      <c r="Z2656" s="4">
        <v>2</v>
      </c>
      <c r="AA2656" s="4">
        <v>2</v>
      </c>
      <c r="AB2656" s="4">
        <v>1</v>
      </c>
      <c r="AC2656" s="4">
        <v>1</v>
      </c>
      <c r="AD2656" s="4">
        <v>50</v>
      </c>
      <c r="AE2656" s="4">
        <v>50</v>
      </c>
      <c r="AF2656" s="4">
        <v>0</v>
      </c>
      <c r="AG2656" s="4">
        <v>0</v>
      </c>
      <c r="AH2656" s="4">
        <v>50</v>
      </c>
      <c r="AI2656" s="4">
        <v>50</v>
      </c>
      <c r="AJ2656" s="4">
        <v>1</v>
      </c>
      <c r="AK2656" s="4">
        <v>1</v>
      </c>
      <c r="AL2656" s="4">
        <v>24</v>
      </c>
      <c r="AM2656" s="4">
        <v>24</v>
      </c>
      <c r="AN2656" s="4">
        <v>0</v>
      </c>
      <c r="AO2656" s="4">
        <v>0</v>
      </c>
      <c r="AP2656" s="4">
        <v>1</v>
      </c>
      <c r="AQ2656" s="4">
        <v>1</v>
      </c>
      <c r="AR2656" s="3" t="s">
        <v>62</v>
      </c>
      <c r="AS2656" s="3" t="s">
        <v>62</v>
      </c>
      <c r="AT2656" s="3" t="s">
        <v>61</v>
      </c>
      <c r="AU2656" s="6" t="str">
        <f>HYPERLINK("http://catalog.hathitrust.org/Record/003126380","HathiTrust Record")</f>
        <v>HathiTrust Record</v>
      </c>
      <c r="AV2656" s="6" t="str">
        <f>HYPERLINK("http://mcgill.on.worldcat.org/oclc/34823876","Catalog Record")</f>
        <v>Catalog Record</v>
      </c>
      <c r="AW2656" s="6" t="str">
        <f>HYPERLINK("http://www.worldcat.org/oclc/34823876","WorldCat Record")</f>
        <v>WorldCat Record</v>
      </c>
      <c r="AX2656" s="3" t="s">
        <v>26058</v>
      </c>
      <c r="AY2656" s="3" t="s">
        <v>26059</v>
      </c>
      <c r="AZ2656" s="3" t="s">
        <v>26060</v>
      </c>
      <c r="BA2656" s="3" t="s">
        <v>26060</v>
      </c>
      <c r="BB2656" s="3" t="s">
        <v>26061</v>
      </c>
      <c r="BC2656" s="3" t="s">
        <v>142</v>
      </c>
      <c r="BD2656" s="3" t="s">
        <v>68</v>
      </c>
      <c r="BE2656" s="3" t="s">
        <v>26062</v>
      </c>
      <c r="BF2656" s="3" t="s">
        <v>26061</v>
      </c>
      <c r="BG2656" s="3" t="s">
        <v>26063</v>
      </c>
    </row>
    <row r="2657" spans="1:59" ht="57" x14ac:dyDescent="0.45">
      <c r="A2657" s="2" t="s">
        <v>59</v>
      </c>
      <c r="B2657" s="2" t="s">
        <v>60</v>
      </c>
      <c r="C2657" s="2" t="s">
        <v>26064</v>
      </c>
      <c r="D2657" s="2" t="s">
        <v>26065</v>
      </c>
      <c r="E2657" s="2" t="s">
        <v>26066</v>
      </c>
      <c r="G2657" s="3" t="s">
        <v>62</v>
      </c>
      <c r="I2657" s="3" t="s">
        <v>61</v>
      </c>
      <c r="J2657" s="3" t="s">
        <v>62</v>
      </c>
      <c r="K2657" s="3" t="s">
        <v>63</v>
      </c>
      <c r="M2657" s="2" t="s">
        <v>26067</v>
      </c>
      <c r="N2657" s="3" t="s">
        <v>1604</v>
      </c>
      <c r="P2657" s="3" t="s">
        <v>65</v>
      </c>
      <c r="Q2657" s="2" t="s">
        <v>26068</v>
      </c>
      <c r="R2657" s="3" t="s">
        <v>66</v>
      </c>
      <c r="S2657" s="4">
        <v>18</v>
      </c>
      <c r="T2657" s="4">
        <v>18</v>
      </c>
      <c r="U2657" s="5" t="s">
        <v>19032</v>
      </c>
      <c r="V2657" s="5" t="s">
        <v>19032</v>
      </c>
      <c r="W2657" s="5" t="s">
        <v>67</v>
      </c>
      <c r="X2657" s="5" t="s">
        <v>67</v>
      </c>
      <c r="Y2657" s="4">
        <v>219</v>
      </c>
      <c r="Z2657" s="4">
        <v>21</v>
      </c>
      <c r="AA2657" s="4">
        <v>25</v>
      </c>
      <c r="AB2657" s="4">
        <v>3</v>
      </c>
      <c r="AC2657" s="4">
        <v>6</v>
      </c>
      <c r="AD2657" s="4">
        <v>95</v>
      </c>
      <c r="AE2657" s="4">
        <v>99</v>
      </c>
      <c r="AF2657" s="4">
        <v>1</v>
      </c>
      <c r="AG2657" s="4">
        <v>4</v>
      </c>
      <c r="AH2657" s="4">
        <v>85</v>
      </c>
      <c r="AI2657" s="4">
        <v>87</v>
      </c>
      <c r="AJ2657" s="4">
        <v>14</v>
      </c>
      <c r="AK2657" s="4">
        <v>18</v>
      </c>
      <c r="AL2657" s="4">
        <v>45</v>
      </c>
      <c r="AM2657" s="4">
        <v>45</v>
      </c>
      <c r="AN2657" s="4">
        <v>0</v>
      </c>
      <c r="AO2657" s="4">
        <v>0</v>
      </c>
      <c r="AP2657" s="4">
        <v>17</v>
      </c>
      <c r="AQ2657" s="4">
        <v>20</v>
      </c>
      <c r="AR2657" s="3" t="s">
        <v>62</v>
      </c>
      <c r="AS2657" s="3" t="s">
        <v>62</v>
      </c>
      <c r="AT2657" s="3" t="s">
        <v>61</v>
      </c>
      <c r="AU2657" s="6" t="str">
        <f>HYPERLINK("http://catalog.hathitrust.org/Record/002867379","HathiTrust Record")</f>
        <v>HathiTrust Record</v>
      </c>
      <c r="AV2657" s="6" t="str">
        <f>HYPERLINK("http://mcgill.on.worldcat.org/oclc/30736980","Catalog Record")</f>
        <v>Catalog Record</v>
      </c>
      <c r="AW2657" s="6" t="str">
        <f>HYPERLINK("http://www.worldcat.org/oclc/30736980","WorldCat Record")</f>
        <v>WorldCat Record</v>
      </c>
      <c r="AX2657" s="3" t="s">
        <v>26069</v>
      </c>
      <c r="AY2657" s="3" t="s">
        <v>26070</v>
      </c>
      <c r="AZ2657" s="3" t="s">
        <v>26071</v>
      </c>
      <c r="BA2657" s="3" t="s">
        <v>26071</v>
      </c>
      <c r="BB2657" s="3" t="s">
        <v>26072</v>
      </c>
      <c r="BC2657" s="3" t="s">
        <v>142</v>
      </c>
      <c r="BD2657" s="3" t="s">
        <v>68</v>
      </c>
      <c r="BE2657" s="3" t="s">
        <v>26073</v>
      </c>
      <c r="BF2657" s="3" t="s">
        <v>26072</v>
      </c>
      <c r="BG2657" s="3" t="s">
        <v>26074</v>
      </c>
    </row>
    <row r="2658" spans="1:59" ht="57" x14ac:dyDescent="0.45">
      <c r="A2658" s="2" t="s">
        <v>59</v>
      </c>
      <c r="B2658" s="2" t="s">
        <v>60</v>
      </c>
      <c r="C2658" s="2" t="s">
        <v>26075</v>
      </c>
      <c r="D2658" s="2" t="s">
        <v>26076</v>
      </c>
      <c r="E2658" s="2" t="s">
        <v>26077</v>
      </c>
      <c r="G2658" s="3" t="s">
        <v>62</v>
      </c>
      <c r="I2658" s="3" t="s">
        <v>62</v>
      </c>
      <c r="J2658" s="3" t="s">
        <v>62</v>
      </c>
      <c r="K2658" s="3" t="s">
        <v>63</v>
      </c>
      <c r="L2658" s="2" t="s">
        <v>26078</v>
      </c>
      <c r="M2658" s="2" t="s">
        <v>26079</v>
      </c>
      <c r="N2658" s="3" t="s">
        <v>149</v>
      </c>
      <c r="P2658" s="3" t="s">
        <v>65</v>
      </c>
      <c r="R2658" s="3" t="s">
        <v>66</v>
      </c>
      <c r="S2658" s="4">
        <v>1</v>
      </c>
      <c r="T2658" s="4">
        <v>1</v>
      </c>
      <c r="U2658" s="5" t="s">
        <v>26080</v>
      </c>
      <c r="V2658" s="5" t="s">
        <v>26080</v>
      </c>
      <c r="W2658" s="5" t="s">
        <v>67</v>
      </c>
      <c r="X2658" s="5" t="s">
        <v>67</v>
      </c>
      <c r="Y2658" s="4">
        <v>142</v>
      </c>
      <c r="Z2658" s="4">
        <v>15</v>
      </c>
      <c r="AA2658" s="4">
        <v>17</v>
      </c>
      <c r="AB2658" s="4">
        <v>2</v>
      </c>
      <c r="AC2658" s="4">
        <v>4</v>
      </c>
      <c r="AD2658" s="4">
        <v>50</v>
      </c>
      <c r="AE2658" s="4">
        <v>50</v>
      </c>
      <c r="AF2658" s="4">
        <v>0</v>
      </c>
      <c r="AG2658" s="4">
        <v>0</v>
      </c>
      <c r="AH2658" s="4">
        <v>45</v>
      </c>
      <c r="AI2658" s="4">
        <v>45</v>
      </c>
      <c r="AJ2658" s="4">
        <v>10</v>
      </c>
      <c r="AK2658" s="4">
        <v>10</v>
      </c>
      <c r="AL2658" s="4">
        <v>25</v>
      </c>
      <c r="AM2658" s="4">
        <v>25</v>
      </c>
      <c r="AN2658" s="4">
        <v>0</v>
      </c>
      <c r="AO2658" s="4">
        <v>0</v>
      </c>
      <c r="AP2658" s="4">
        <v>11</v>
      </c>
      <c r="AQ2658" s="4">
        <v>11</v>
      </c>
      <c r="AR2658" s="3" t="s">
        <v>62</v>
      </c>
      <c r="AS2658" s="3" t="s">
        <v>62</v>
      </c>
      <c r="AT2658" s="3" t="s">
        <v>62</v>
      </c>
      <c r="AV2658" s="6" t="str">
        <f>HYPERLINK("http://mcgill.on.worldcat.org/oclc/368029703","Catalog Record")</f>
        <v>Catalog Record</v>
      </c>
      <c r="AW2658" s="6" t="str">
        <f>HYPERLINK("http://www.worldcat.org/oclc/368029703","WorldCat Record")</f>
        <v>WorldCat Record</v>
      </c>
      <c r="AX2658" s="3" t="s">
        <v>26081</v>
      </c>
      <c r="AY2658" s="3" t="s">
        <v>26082</v>
      </c>
      <c r="AZ2658" s="3" t="s">
        <v>26083</v>
      </c>
      <c r="BA2658" s="3" t="s">
        <v>26083</v>
      </c>
      <c r="BB2658" s="3" t="s">
        <v>26084</v>
      </c>
      <c r="BC2658" s="3" t="s">
        <v>142</v>
      </c>
      <c r="BD2658" s="3" t="s">
        <v>68</v>
      </c>
      <c r="BE2658" s="3" t="s">
        <v>26085</v>
      </c>
      <c r="BF2658" s="3" t="s">
        <v>26084</v>
      </c>
      <c r="BG2658" s="3" t="s">
        <v>26086</v>
      </c>
    </row>
    <row r="2659" spans="1:59" ht="57" x14ac:dyDescent="0.45">
      <c r="A2659" s="2" t="s">
        <v>59</v>
      </c>
      <c r="B2659" s="2" t="s">
        <v>60</v>
      </c>
      <c r="C2659" s="2" t="s">
        <v>26087</v>
      </c>
      <c r="D2659" s="2" t="s">
        <v>26088</v>
      </c>
      <c r="E2659" s="2" t="s">
        <v>26089</v>
      </c>
      <c r="G2659" s="3" t="s">
        <v>62</v>
      </c>
      <c r="I2659" s="3" t="s">
        <v>62</v>
      </c>
      <c r="J2659" s="3" t="s">
        <v>62</v>
      </c>
      <c r="K2659" s="3" t="s">
        <v>63</v>
      </c>
      <c r="M2659" s="2" t="s">
        <v>26090</v>
      </c>
      <c r="N2659" s="3" t="s">
        <v>208</v>
      </c>
      <c r="P2659" s="3" t="s">
        <v>65</v>
      </c>
      <c r="R2659" s="3" t="s">
        <v>66</v>
      </c>
      <c r="S2659" s="4">
        <v>4</v>
      </c>
      <c r="T2659" s="4">
        <v>4</v>
      </c>
      <c r="U2659" s="5" t="s">
        <v>2316</v>
      </c>
      <c r="V2659" s="5" t="s">
        <v>2316</v>
      </c>
      <c r="W2659" s="5" t="s">
        <v>67</v>
      </c>
      <c r="X2659" s="5" t="s">
        <v>67</v>
      </c>
      <c r="Y2659" s="4">
        <v>148</v>
      </c>
      <c r="Z2659" s="4">
        <v>7</v>
      </c>
      <c r="AA2659" s="4">
        <v>15</v>
      </c>
      <c r="AB2659" s="4">
        <v>1</v>
      </c>
      <c r="AC2659" s="4">
        <v>5</v>
      </c>
      <c r="AD2659" s="4">
        <v>44</v>
      </c>
      <c r="AE2659" s="4">
        <v>52</v>
      </c>
      <c r="AF2659" s="4">
        <v>0</v>
      </c>
      <c r="AG2659" s="4">
        <v>2</v>
      </c>
      <c r="AH2659" s="4">
        <v>40</v>
      </c>
      <c r="AI2659" s="4">
        <v>45</v>
      </c>
      <c r="AJ2659" s="4">
        <v>2</v>
      </c>
      <c r="AK2659" s="4">
        <v>8</v>
      </c>
      <c r="AL2659" s="4">
        <v>27</v>
      </c>
      <c r="AM2659" s="4">
        <v>29</v>
      </c>
      <c r="AN2659" s="4">
        <v>0</v>
      </c>
      <c r="AO2659" s="4">
        <v>0</v>
      </c>
      <c r="AP2659" s="4">
        <v>4</v>
      </c>
      <c r="AQ2659" s="4">
        <v>10</v>
      </c>
      <c r="AR2659" s="3" t="s">
        <v>62</v>
      </c>
      <c r="AS2659" s="3" t="s">
        <v>62</v>
      </c>
      <c r="AT2659" s="3" t="s">
        <v>62</v>
      </c>
      <c r="AV2659" s="6" t="str">
        <f>HYPERLINK("http://mcgill.on.worldcat.org/oclc/908375270","Catalog Record")</f>
        <v>Catalog Record</v>
      </c>
      <c r="AW2659" s="6" t="str">
        <f>HYPERLINK("http://www.worldcat.org/oclc/908375270","WorldCat Record")</f>
        <v>WorldCat Record</v>
      </c>
      <c r="AX2659" s="3" t="s">
        <v>26091</v>
      </c>
      <c r="AY2659" s="3" t="s">
        <v>26092</v>
      </c>
      <c r="AZ2659" s="3" t="s">
        <v>26093</v>
      </c>
      <c r="BA2659" s="3" t="s">
        <v>26093</v>
      </c>
      <c r="BB2659" s="3" t="s">
        <v>26094</v>
      </c>
      <c r="BC2659" s="3" t="s">
        <v>142</v>
      </c>
      <c r="BD2659" s="3" t="s">
        <v>68</v>
      </c>
      <c r="BE2659" s="3" t="s">
        <v>26095</v>
      </c>
      <c r="BF2659" s="3" t="s">
        <v>26094</v>
      </c>
      <c r="BG2659" s="3" t="s">
        <v>26096</v>
      </c>
    </row>
    <row r="2660" spans="1:59" ht="57" x14ac:dyDescent="0.45">
      <c r="A2660" s="2" t="s">
        <v>59</v>
      </c>
      <c r="B2660" s="2" t="s">
        <v>60</v>
      </c>
      <c r="C2660" s="2" t="s">
        <v>26097</v>
      </c>
      <c r="D2660" s="2" t="s">
        <v>26098</v>
      </c>
      <c r="E2660" s="2" t="s">
        <v>26099</v>
      </c>
      <c r="G2660" s="3" t="s">
        <v>62</v>
      </c>
      <c r="I2660" s="3" t="s">
        <v>62</v>
      </c>
      <c r="J2660" s="3" t="s">
        <v>62</v>
      </c>
      <c r="K2660" s="3" t="s">
        <v>63</v>
      </c>
      <c r="L2660" s="2" t="s">
        <v>26100</v>
      </c>
      <c r="M2660" s="2" t="s">
        <v>26101</v>
      </c>
      <c r="N2660" s="3" t="s">
        <v>542</v>
      </c>
      <c r="P2660" s="3" t="s">
        <v>65</v>
      </c>
      <c r="R2660" s="3" t="s">
        <v>66</v>
      </c>
      <c r="S2660" s="4">
        <v>10</v>
      </c>
      <c r="T2660" s="4">
        <v>10</v>
      </c>
      <c r="U2660" s="5" t="s">
        <v>26102</v>
      </c>
      <c r="V2660" s="5" t="s">
        <v>26102</v>
      </c>
      <c r="W2660" s="5" t="s">
        <v>67</v>
      </c>
      <c r="X2660" s="5" t="s">
        <v>67</v>
      </c>
      <c r="Y2660" s="4">
        <v>439</v>
      </c>
      <c r="Z2660" s="4">
        <v>31</v>
      </c>
      <c r="AA2660" s="4">
        <v>32</v>
      </c>
      <c r="AB2660" s="4">
        <v>2</v>
      </c>
      <c r="AC2660" s="4">
        <v>3</v>
      </c>
      <c r="AD2660" s="4">
        <v>116</v>
      </c>
      <c r="AE2660" s="4">
        <v>117</v>
      </c>
      <c r="AF2660" s="4">
        <v>1</v>
      </c>
      <c r="AG2660" s="4">
        <v>2</v>
      </c>
      <c r="AH2660" s="4">
        <v>100</v>
      </c>
      <c r="AI2660" s="4">
        <v>100</v>
      </c>
      <c r="AJ2660" s="4">
        <v>16</v>
      </c>
      <c r="AK2660" s="4">
        <v>17</v>
      </c>
      <c r="AL2660" s="4">
        <v>53</v>
      </c>
      <c r="AM2660" s="4">
        <v>53</v>
      </c>
      <c r="AN2660" s="4">
        <v>0</v>
      </c>
      <c r="AO2660" s="4">
        <v>0</v>
      </c>
      <c r="AP2660" s="4">
        <v>23</v>
      </c>
      <c r="AQ2660" s="4">
        <v>23</v>
      </c>
      <c r="AR2660" s="3" t="s">
        <v>62</v>
      </c>
      <c r="AS2660" s="3" t="s">
        <v>62</v>
      </c>
      <c r="AT2660" s="3" t="s">
        <v>62</v>
      </c>
      <c r="AV2660" s="6" t="str">
        <f>HYPERLINK("http://mcgill.on.worldcat.org/oclc/46240233","Catalog Record")</f>
        <v>Catalog Record</v>
      </c>
      <c r="AW2660" s="6" t="str">
        <f>HYPERLINK("http://www.worldcat.org/oclc/46240233","WorldCat Record")</f>
        <v>WorldCat Record</v>
      </c>
      <c r="AX2660" s="3" t="s">
        <v>26103</v>
      </c>
      <c r="AY2660" s="3" t="s">
        <v>26104</v>
      </c>
      <c r="AZ2660" s="3" t="s">
        <v>26105</v>
      </c>
      <c r="BA2660" s="3" t="s">
        <v>26105</v>
      </c>
      <c r="BB2660" s="3" t="s">
        <v>26106</v>
      </c>
      <c r="BC2660" s="3" t="s">
        <v>142</v>
      </c>
      <c r="BD2660" s="3" t="s">
        <v>68</v>
      </c>
      <c r="BE2660" s="3" t="s">
        <v>26107</v>
      </c>
      <c r="BF2660" s="3" t="s">
        <v>26106</v>
      </c>
      <c r="BG2660" s="3" t="s">
        <v>26108</v>
      </c>
    </row>
    <row r="2661" spans="1:59" ht="57" x14ac:dyDescent="0.45">
      <c r="A2661" s="2" t="s">
        <v>59</v>
      </c>
      <c r="B2661" s="2" t="s">
        <v>60</v>
      </c>
      <c r="C2661" s="2" t="s">
        <v>26109</v>
      </c>
      <c r="D2661" s="2" t="s">
        <v>26110</v>
      </c>
      <c r="E2661" s="2" t="s">
        <v>26111</v>
      </c>
      <c r="G2661" s="3" t="s">
        <v>62</v>
      </c>
      <c r="I2661" s="3" t="s">
        <v>61</v>
      </c>
      <c r="J2661" s="3" t="s">
        <v>62</v>
      </c>
      <c r="K2661" s="3" t="s">
        <v>63</v>
      </c>
      <c r="L2661" s="2" t="s">
        <v>26112</v>
      </c>
      <c r="M2661" s="2" t="s">
        <v>26113</v>
      </c>
      <c r="N2661" s="3" t="s">
        <v>1212</v>
      </c>
      <c r="P2661" s="3" t="s">
        <v>65</v>
      </c>
      <c r="Q2661" s="2" t="s">
        <v>26114</v>
      </c>
      <c r="R2661" s="3" t="s">
        <v>66</v>
      </c>
      <c r="S2661" s="4">
        <v>22</v>
      </c>
      <c r="T2661" s="4">
        <v>48</v>
      </c>
      <c r="U2661" s="5" t="s">
        <v>1982</v>
      </c>
      <c r="V2661" s="5" t="s">
        <v>2801</v>
      </c>
      <c r="W2661" s="5" t="s">
        <v>67</v>
      </c>
      <c r="X2661" s="5" t="s">
        <v>67</v>
      </c>
      <c r="Y2661" s="4">
        <v>995</v>
      </c>
      <c r="Z2661" s="4">
        <v>36</v>
      </c>
      <c r="AA2661" s="4">
        <v>37</v>
      </c>
      <c r="AB2661" s="4">
        <v>2</v>
      </c>
      <c r="AC2661" s="4">
        <v>3</v>
      </c>
      <c r="AD2661" s="4">
        <v>119</v>
      </c>
      <c r="AE2661" s="4">
        <v>120</v>
      </c>
      <c r="AF2661" s="4">
        <v>1</v>
      </c>
      <c r="AG2661" s="4">
        <v>2</v>
      </c>
      <c r="AH2661" s="4">
        <v>100</v>
      </c>
      <c r="AI2661" s="4">
        <v>101</v>
      </c>
      <c r="AJ2661" s="4">
        <v>15</v>
      </c>
      <c r="AK2661" s="4">
        <v>16</v>
      </c>
      <c r="AL2661" s="4">
        <v>52</v>
      </c>
      <c r="AM2661" s="4">
        <v>52</v>
      </c>
      <c r="AN2661" s="4">
        <v>0</v>
      </c>
      <c r="AO2661" s="4">
        <v>0</v>
      </c>
      <c r="AP2661" s="4">
        <v>25</v>
      </c>
      <c r="AQ2661" s="4">
        <v>26</v>
      </c>
      <c r="AR2661" s="3" t="s">
        <v>62</v>
      </c>
      <c r="AS2661" s="3" t="s">
        <v>62</v>
      </c>
      <c r="AT2661" s="3" t="s">
        <v>62</v>
      </c>
      <c r="AV2661" s="6" t="str">
        <f>HYPERLINK("http://mcgill.on.worldcat.org/oclc/42954383","Catalog Record")</f>
        <v>Catalog Record</v>
      </c>
      <c r="AW2661" s="6" t="str">
        <f>HYPERLINK("http://www.worldcat.org/oclc/42954383","WorldCat Record")</f>
        <v>WorldCat Record</v>
      </c>
      <c r="AX2661" s="3" t="s">
        <v>26115</v>
      </c>
      <c r="AY2661" s="3" t="s">
        <v>26116</v>
      </c>
      <c r="AZ2661" s="3" t="s">
        <v>26117</v>
      </c>
      <c r="BA2661" s="3" t="s">
        <v>26117</v>
      </c>
      <c r="BB2661" s="3" t="s">
        <v>26118</v>
      </c>
      <c r="BC2661" s="3" t="s">
        <v>142</v>
      </c>
      <c r="BD2661" s="3" t="s">
        <v>68</v>
      </c>
      <c r="BE2661" s="3" t="s">
        <v>26119</v>
      </c>
      <c r="BF2661" s="3" t="s">
        <v>26118</v>
      </c>
      <c r="BG2661" s="3" t="s">
        <v>26120</v>
      </c>
    </row>
    <row r="2662" spans="1:59" ht="57" x14ac:dyDescent="0.45">
      <c r="A2662" s="2" t="s">
        <v>59</v>
      </c>
      <c r="B2662" s="2" t="s">
        <v>60</v>
      </c>
      <c r="C2662" s="2" t="s">
        <v>26109</v>
      </c>
      <c r="D2662" s="2" t="s">
        <v>26110</v>
      </c>
      <c r="E2662" s="2" t="s">
        <v>26111</v>
      </c>
      <c r="G2662" s="3" t="s">
        <v>62</v>
      </c>
      <c r="I2662" s="3" t="s">
        <v>61</v>
      </c>
      <c r="J2662" s="3" t="s">
        <v>62</v>
      </c>
      <c r="K2662" s="3" t="s">
        <v>63</v>
      </c>
      <c r="L2662" s="2" t="s">
        <v>26112</v>
      </c>
      <c r="M2662" s="2" t="s">
        <v>26113</v>
      </c>
      <c r="N2662" s="3" t="s">
        <v>1212</v>
      </c>
      <c r="P2662" s="3" t="s">
        <v>65</v>
      </c>
      <c r="Q2662" s="2" t="s">
        <v>26114</v>
      </c>
      <c r="R2662" s="3" t="s">
        <v>66</v>
      </c>
      <c r="S2662" s="4">
        <v>26</v>
      </c>
      <c r="T2662" s="4">
        <v>48</v>
      </c>
      <c r="U2662" s="5" t="s">
        <v>2801</v>
      </c>
      <c r="V2662" s="5" t="s">
        <v>2801</v>
      </c>
      <c r="W2662" s="5" t="s">
        <v>67</v>
      </c>
      <c r="X2662" s="5" t="s">
        <v>67</v>
      </c>
      <c r="Y2662" s="4">
        <v>995</v>
      </c>
      <c r="Z2662" s="4">
        <v>36</v>
      </c>
      <c r="AA2662" s="4">
        <v>37</v>
      </c>
      <c r="AB2662" s="4">
        <v>2</v>
      </c>
      <c r="AC2662" s="4">
        <v>3</v>
      </c>
      <c r="AD2662" s="4">
        <v>119</v>
      </c>
      <c r="AE2662" s="4">
        <v>120</v>
      </c>
      <c r="AF2662" s="4">
        <v>1</v>
      </c>
      <c r="AG2662" s="4">
        <v>2</v>
      </c>
      <c r="AH2662" s="4">
        <v>100</v>
      </c>
      <c r="AI2662" s="4">
        <v>101</v>
      </c>
      <c r="AJ2662" s="4">
        <v>15</v>
      </c>
      <c r="AK2662" s="4">
        <v>16</v>
      </c>
      <c r="AL2662" s="4">
        <v>52</v>
      </c>
      <c r="AM2662" s="4">
        <v>52</v>
      </c>
      <c r="AN2662" s="4">
        <v>0</v>
      </c>
      <c r="AO2662" s="4">
        <v>0</v>
      </c>
      <c r="AP2662" s="4">
        <v>25</v>
      </c>
      <c r="AQ2662" s="4">
        <v>26</v>
      </c>
      <c r="AR2662" s="3" t="s">
        <v>62</v>
      </c>
      <c r="AS2662" s="3" t="s">
        <v>62</v>
      </c>
      <c r="AT2662" s="3" t="s">
        <v>62</v>
      </c>
      <c r="AV2662" s="6" t="str">
        <f>HYPERLINK("http://mcgill.on.worldcat.org/oclc/42954383","Catalog Record")</f>
        <v>Catalog Record</v>
      </c>
      <c r="AW2662" s="6" t="str">
        <f>HYPERLINK("http://www.worldcat.org/oclc/42954383","WorldCat Record")</f>
        <v>WorldCat Record</v>
      </c>
      <c r="AX2662" s="3" t="s">
        <v>26115</v>
      </c>
      <c r="AY2662" s="3" t="s">
        <v>26116</v>
      </c>
      <c r="AZ2662" s="3" t="s">
        <v>26117</v>
      </c>
      <c r="BA2662" s="3" t="s">
        <v>26117</v>
      </c>
      <c r="BB2662" s="3" t="s">
        <v>26121</v>
      </c>
      <c r="BC2662" s="3" t="s">
        <v>142</v>
      </c>
      <c r="BD2662" s="3" t="s">
        <v>68</v>
      </c>
      <c r="BE2662" s="3" t="s">
        <v>26119</v>
      </c>
      <c r="BF2662" s="3" t="s">
        <v>26121</v>
      </c>
      <c r="BG2662" s="3" t="s">
        <v>26122</v>
      </c>
    </row>
    <row r="2663" spans="1:59" ht="57" x14ac:dyDescent="0.45">
      <c r="A2663" s="2" t="s">
        <v>59</v>
      </c>
      <c r="B2663" s="2" t="s">
        <v>60</v>
      </c>
      <c r="C2663" s="2" t="s">
        <v>26123</v>
      </c>
      <c r="D2663" s="2" t="s">
        <v>26124</v>
      </c>
      <c r="E2663" s="2" t="s">
        <v>26125</v>
      </c>
      <c r="G2663" s="3" t="s">
        <v>62</v>
      </c>
      <c r="I2663" s="3" t="s">
        <v>62</v>
      </c>
      <c r="J2663" s="3" t="s">
        <v>62</v>
      </c>
      <c r="K2663" s="3" t="s">
        <v>63</v>
      </c>
      <c r="L2663" s="2" t="s">
        <v>26126</v>
      </c>
      <c r="M2663" s="2" t="s">
        <v>26127</v>
      </c>
      <c r="N2663" s="3" t="s">
        <v>195</v>
      </c>
      <c r="P2663" s="3" t="s">
        <v>65</v>
      </c>
      <c r="R2663" s="3" t="s">
        <v>66</v>
      </c>
      <c r="S2663" s="4">
        <v>8</v>
      </c>
      <c r="T2663" s="4">
        <v>8</v>
      </c>
      <c r="U2663" s="5" t="s">
        <v>4360</v>
      </c>
      <c r="V2663" s="5" t="s">
        <v>4360</v>
      </c>
      <c r="W2663" s="5" t="s">
        <v>67</v>
      </c>
      <c r="X2663" s="5" t="s">
        <v>67</v>
      </c>
      <c r="Y2663" s="4">
        <v>727</v>
      </c>
      <c r="Z2663" s="4">
        <v>26</v>
      </c>
      <c r="AA2663" s="4">
        <v>27</v>
      </c>
      <c r="AB2663" s="4">
        <v>2</v>
      </c>
      <c r="AC2663" s="4">
        <v>2</v>
      </c>
      <c r="AD2663" s="4">
        <v>119</v>
      </c>
      <c r="AE2663" s="4">
        <v>119</v>
      </c>
      <c r="AF2663" s="4">
        <v>1</v>
      </c>
      <c r="AG2663" s="4">
        <v>1</v>
      </c>
      <c r="AH2663" s="4">
        <v>103</v>
      </c>
      <c r="AI2663" s="4">
        <v>103</v>
      </c>
      <c r="AJ2663" s="4">
        <v>17</v>
      </c>
      <c r="AK2663" s="4">
        <v>17</v>
      </c>
      <c r="AL2663" s="4">
        <v>58</v>
      </c>
      <c r="AM2663" s="4">
        <v>58</v>
      </c>
      <c r="AN2663" s="4">
        <v>0</v>
      </c>
      <c r="AO2663" s="4">
        <v>0</v>
      </c>
      <c r="AP2663" s="4">
        <v>21</v>
      </c>
      <c r="AQ2663" s="4">
        <v>21</v>
      </c>
      <c r="AR2663" s="3" t="s">
        <v>62</v>
      </c>
      <c r="AS2663" s="3" t="s">
        <v>62</v>
      </c>
      <c r="AT2663" s="3" t="s">
        <v>61</v>
      </c>
      <c r="AU2663" s="6" t="str">
        <f>HYPERLINK("http://catalog.hathitrust.org/Record/002817646","HathiTrust Record")</f>
        <v>HathiTrust Record</v>
      </c>
      <c r="AV2663" s="6" t="str">
        <f>HYPERLINK("http://mcgill.on.worldcat.org/oclc/27897148","Catalog Record")</f>
        <v>Catalog Record</v>
      </c>
      <c r="AW2663" s="6" t="str">
        <f>HYPERLINK("http://www.worldcat.org/oclc/27897148","WorldCat Record")</f>
        <v>WorldCat Record</v>
      </c>
      <c r="AX2663" s="3" t="s">
        <v>26128</v>
      </c>
      <c r="AY2663" s="3" t="s">
        <v>26129</v>
      </c>
      <c r="AZ2663" s="3" t="s">
        <v>26130</v>
      </c>
      <c r="BA2663" s="3" t="s">
        <v>26130</v>
      </c>
      <c r="BB2663" s="3" t="s">
        <v>26131</v>
      </c>
      <c r="BC2663" s="3" t="s">
        <v>142</v>
      </c>
      <c r="BD2663" s="3" t="s">
        <v>68</v>
      </c>
      <c r="BE2663" s="3" t="s">
        <v>26132</v>
      </c>
      <c r="BF2663" s="3" t="s">
        <v>26131</v>
      </c>
      <c r="BG2663" s="3" t="s">
        <v>26133</v>
      </c>
    </row>
    <row r="2664" spans="1:59" ht="57" x14ac:dyDescent="0.45">
      <c r="A2664" s="2" t="s">
        <v>59</v>
      </c>
      <c r="B2664" s="2" t="s">
        <v>60</v>
      </c>
      <c r="C2664" s="2" t="s">
        <v>26134</v>
      </c>
      <c r="D2664" s="2" t="s">
        <v>26135</v>
      </c>
      <c r="E2664" s="2" t="s">
        <v>26136</v>
      </c>
      <c r="G2664" s="3" t="s">
        <v>62</v>
      </c>
      <c r="I2664" s="3" t="s">
        <v>62</v>
      </c>
      <c r="J2664" s="3" t="s">
        <v>62</v>
      </c>
      <c r="K2664" s="3" t="s">
        <v>63</v>
      </c>
      <c r="L2664" s="2" t="s">
        <v>26137</v>
      </c>
      <c r="M2664" s="2" t="s">
        <v>26138</v>
      </c>
      <c r="N2664" s="3" t="s">
        <v>1155</v>
      </c>
      <c r="P2664" s="3" t="s">
        <v>65</v>
      </c>
      <c r="R2664" s="3" t="s">
        <v>66</v>
      </c>
      <c r="S2664" s="4">
        <v>0</v>
      </c>
      <c r="T2664" s="4">
        <v>0</v>
      </c>
      <c r="W2664" s="5" t="s">
        <v>67</v>
      </c>
      <c r="X2664" s="5" t="s">
        <v>67</v>
      </c>
      <c r="Y2664" s="4">
        <v>197</v>
      </c>
      <c r="Z2664" s="4">
        <v>19</v>
      </c>
      <c r="AA2664" s="4">
        <v>133</v>
      </c>
      <c r="AB2664" s="4">
        <v>1</v>
      </c>
      <c r="AC2664" s="4">
        <v>18</v>
      </c>
      <c r="AD2664" s="4">
        <v>89</v>
      </c>
      <c r="AE2664" s="4">
        <v>145</v>
      </c>
      <c r="AF2664" s="4">
        <v>0</v>
      </c>
      <c r="AG2664" s="4">
        <v>8</v>
      </c>
      <c r="AH2664" s="4">
        <v>83</v>
      </c>
      <c r="AI2664" s="4">
        <v>102</v>
      </c>
      <c r="AJ2664" s="4">
        <v>12</v>
      </c>
      <c r="AK2664" s="4">
        <v>25</v>
      </c>
      <c r="AL2664" s="4">
        <v>48</v>
      </c>
      <c r="AM2664" s="4">
        <v>54</v>
      </c>
      <c r="AN2664" s="4">
        <v>0</v>
      </c>
      <c r="AO2664" s="4">
        <v>0</v>
      </c>
      <c r="AP2664" s="4">
        <v>14</v>
      </c>
      <c r="AQ2664" s="4">
        <v>51</v>
      </c>
      <c r="AR2664" s="3" t="s">
        <v>62</v>
      </c>
      <c r="AS2664" s="3" t="s">
        <v>62</v>
      </c>
      <c r="AT2664" s="3" t="s">
        <v>62</v>
      </c>
      <c r="AV2664" s="6" t="str">
        <f>HYPERLINK("http://mcgill.on.worldcat.org/oclc/663954305","Catalog Record")</f>
        <v>Catalog Record</v>
      </c>
      <c r="AW2664" s="6" t="str">
        <f>HYPERLINK("http://www.worldcat.org/oclc/663954305","WorldCat Record")</f>
        <v>WorldCat Record</v>
      </c>
      <c r="AX2664" s="3" t="s">
        <v>26139</v>
      </c>
      <c r="AY2664" s="3" t="s">
        <v>26140</v>
      </c>
      <c r="AZ2664" s="3" t="s">
        <v>26141</v>
      </c>
      <c r="BA2664" s="3" t="s">
        <v>26141</v>
      </c>
      <c r="BB2664" s="3" t="s">
        <v>26142</v>
      </c>
      <c r="BC2664" s="3" t="s">
        <v>142</v>
      </c>
      <c r="BD2664" s="3" t="s">
        <v>68</v>
      </c>
      <c r="BE2664" s="3" t="s">
        <v>26143</v>
      </c>
      <c r="BF2664" s="3" t="s">
        <v>26142</v>
      </c>
      <c r="BG2664" s="3" t="s">
        <v>26144</v>
      </c>
    </row>
    <row r="2665" spans="1:59" ht="57" x14ac:dyDescent="0.45">
      <c r="A2665" s="2" t="s">
        <v>59</v>
      </c>
      <c r="B2665" s="2" t="s">
        <v>60</v>
      </c>
      <c r="C2665" s="2" t="s">
        <v>26145</v>
      </c>
      <c r="D2665" s="2" t="s">
        <v>26146</v>
      </c>
      <c r="E2665" s="2" t="s">
        <v>26147</v>
      </c>
      <c r="G2665" s="3" t="s">
        <v>62</v>
      </c>
      <c r="I2665" s="3" t="s">
        <v>62</v>
      </c>
      <c r="J2665" s="3" t="s">
        <v>62</v>
      </c>
      <c r="K2665" s="3" t="s">
        <v>63</v>
      </c>
      <c r="L2665" s="2" t="s">
        <v>6488</v>
      </c>
      <c r="M2665" s="2" t="s">
        <v>26148</v>
      </c>
      <c r="N2665" s="3" t="s">
        <v>116</v>
      </c>
      <c r="P2665" s="3" t="s">
        <v>65</v>
      </c>
      <c r="R2665" s="3" t="s">
        <v>66</v>
      </c>
      <c r="S2665" s="4">
        <v>3</v>
      </c>
      <c r="T2665" s="4">
        <v>3</v>
      </c>
      <c r="U2665" s="5" t="s">
        <v>20378</v>
      </c>
      <c r="V2665" s="5" t="s">
        <v>20378</v>
      </c>
      <c r="W2665" s="5" t="s">
        <v>67</v>
      </c>
      <c r="X2665" s="5" t="s">
        <v>67</v>
      </c>
      <c r="Y2665" s="4">
        <v>215</v>
      </c>
      <c r="Z2665" s="4">
        <v>21</v>
      </c>
      <c r="AA2665" s="4">
        <v>25</v>
      </c>
      <c r="AB2665" s="4">
        <v>2</v>
      </c>
      <c r="AC2665" s="4">
        <v>4</v>
      </c>
      <c r="AD2665" s="4">
        <v>79</v>
      </c>
      <c r="AE2665" s="4">
        <v>83</v>
      </c>
      <c r="AF2665" s="4">
        <v>1</v>
      </c>
      <c r="AG2665" s="4">
        <v>2</v>
      </c>
      <c r="AH2665" s="4">
        <v>70</v>
      </c>
      <c r="AI2665" s="4">
        <v>72</v>
      </c>
      <c r="AJ2665" s="4">
        <v>14</v>
      </c>
      <c r="AK2665" s="4">
        <v>17</v>
      </c>
      <c r="AL2665" s="4">
        <v>38</v>
      </c>
      <c r="AM2665" s="4">
        <v>38</v>
      </c>
      <c r="AN2665" s="4">
        <v>0</v>
      </c>
      <c r="AO2665" s="4">
        <v>0</v>
      </c>
      <c r="AP2665" s="4">
        <v>18</v>
      </c>
      <c r="AQ2665" s="4">
        <v>20</v>
      </c>
      <c r="AR2665" s="3" t="s">
        <v>62</v>
      </c>
      <c r="AS2665" s="3" t="s">
        <v>62</v>
      </c>
      <c r="AT2665" s="3" t="s">
        <v>62</v>
      </c>
      <c r="AV2665" s="6" t="str">
        <f>HYPERLINK("http://mcgill.on.worldcat.org/oclc/823139809","Catalog Record")</f>
        <v>Catalog Record</v>
      </c>
      <c r="AW2665" s="6" t="str">
        <f>HYPERLINK("http://www.worldcat.org/oclc/823139809","WorldCat Record")</f>
        <v>WorldCat Record</v>
      </c>
      <c r="AX2665" s="3" t="s">
        <v>26149</v>
      </c>
      <c r="AY2665" s="3" t="s">
        <v>26150</v>
      </c>
      <c r="AZ2665" s="3" t="s">
        <v>26151</v>
      </c>
      <c r="BA2665" s="3" t="s">
        <v>26151</v>
      </c>
      <c r="BB2665" s="3" t="s">
        <v>26152</v>
      </c>
      <c r="BC2665" s="3" t="s">
        <v>142</v>
      </c>
      <c r="BD2665" s="3" t="s">
        <v>68</v>
      </c>
      <c r="BE2665" s="3" t="s">
        <v>26153</v>
      </c>
      <c r="BF2665" s="3" t="s">
        <v>26152</v>
      </c>
      <c r="BG2665" s="3" t="s">
        <v>26154</v>
      </c>
    </row>
    <row r="2666" spans="1:59" ht="57" x14ac:dyDescent="0.45">
      <c r="A2666" s="2" t="s">
        <v>59</v>
      </c>
      <c r="B2666" s="2" t="s">
        <v>60</v>
      </c>
      <c r="C2666" s="2" t="s">
        <v>26155</v>
      </c>
      <c r="D2666" s="2" t="s">
        <v>26156</v>
      </c>
      <c r="E2666" s="2" t="s">
        <v>26157</v>
      </c>
      <c r="G2666" s="3" t="s">
        <v>62</v>
      </c>
      <c r="I2666" s="3" t="s">
        <v>62</v>
      </c>
      <c r="J2666" s="3" t="s">
        <v>62</v>
      </c>
      <c r="K2666" s="3" t="s">
        <v>63</v>
      </c>
      <c r="M2666" s="2" t="s">
        <v>9224</v>
      </c>
      <c r="N2666" s="3" t="s">
        <v>1855</v>
      </c>
      <c r="P2666" s="3" t="s">
        <v>65</v>
      </c>
      <c r="R2666" s="3" t="s">
        <v>66</v>
      </c>
      <c r="S2666" s="4">
        <v>10</v>
      </c>
      <c r="T2666" s="4">
        <v>10</v>
      </c>
      <c r="U2666" s="5" t="s">
        <v>11202</v>
      </c>
      <c r="V2666" s="5" t="s">
        <v>11202</v>
      </c>
      <c r="W2666" s="5" t="s">
        <v>67</v>
      </c>
      <c r="X2666" s="5" t="s">
        <v>67</v>
      </c>
      <c r="Y2666" s="4">
        <v>253</v>
      </c>
      <c r="Z2666" s="4">
        <v>18</v>
      </c>
      <c r="AA2666" s="4">
        <v>61</v>
      </c>
      <c r="AB2666" s="4">
        <v>2</v>
      </c>
      <c r="AC2666" s="4">
        <v>17</v>
      </c>
      <c r="AD2666" s="4">
        <v>67</v>
      </c>
      <c r="AE2666" s="4">
        <v>106</v>
      </c>
      <c r="AF2666" s="4">
        <v>1</v>
      </c>
      <c r="AG2666" s="4">
        <v>8</v>
      </c>
      <c r="AH2666" s="4">
        <v>60</v>
      </c>
      <c r="AI2666" s="4">
        <v>69</v>
      </c>
      <c r="AJ2666" s="4">
        <v>13</v>
      </c>
      <c r="AK2666" s="4">
        <v>24</v>
      </c>
      <c r="AL2666" s="4">
        <v>31</v>
      </c>
      <c r="AM2666" s="4">
        <v>32</v>
      </c>
      <c r="AN2666" s="4">
        <v>0</v>
      </c>
      <c r="AO2666" s="4">
        <v>0</v>
      </c>
      <c r="AP2666" s="4">
        <v>14</v>
      </c>
      <c r="AQ2666" s="4">
        <v>46</v>
      </c>
      <c r="AR2666" s="3" t="s">
        <v>62</v>
      </c>
      <c r="AS2666" s="3" t="s">
        <v>62</v>
      </c>
      <c r="AT2666" s="3" t="s">
        <v>62</v>
      </c>
      <c r="AV2666" s="6" t="str">
        <f>HYPERLINK("http://mcgill.on.worldcat.org/oclc/59881741","Catalog Record")</f>
        <v>Catalog Record</v>
      </c>
      <c r="AW2666" s="6" t="str">
        <f>HYPERLINK("http://www.worldcat.org/oclc/59881741","WorldCat Record")</f>
        <v>WorldCat Record</v>
      </c>
      <c r="AX2666" s="3" t="s">
        <v>26158</v>
      </c>
      <c r="AY2666" s="3" t="s">
        <v>26159</v>
      </c>
      <c r="AZ2666" s="3" t="s">
        <v>26160</v>
      </c>
      <c r="BA2666" s="3" t="s">
        <v>26160</v>
      </c>
      <c r="BB2666" s="3" t="s">
        <v>26161</v>
      </c>
      <c r="BC2666" s="3" t="s">
        <v>142</v>
      </c>
      <c r="BD2666" s="3" t="s">
        <v>68</v>
      </c>
      <c r="BE2666" s="3" t="s">
        <v>26162</v>
      </c>
      <c r="BF2666" s="3" t="s">
        <v>26161</v>
      </c>
      <c r="BG2666" s="3" t="s">
        <v>26163</v>
      </c>
    </row>
    <row r="2667" spans="1:59" ht="57" x14ac:dyDescent="0.45">
      <c r="A2667" s="2" t="s">
        <v>59</v>
      </c>
      <c r="B2667" s="2" t="s">
        <v>60</v>
      </c>
      <c r="C2667" s="2" t="s">
        <v>26164</v>
      </c>
      <c r="D2667" s="2" t="s">
        <v>26165</v>
      </c>
      <c r="E2667" s="2" t="s">
        <v>26166</v>
      </c>
      <c r="G2667" s="3" t="s">
        <v>62</v>
      </c>
      <c r="I2667" s="3" t="s">
        <v>62</v>
      </c>
      <c r="J2667" s="3" t="s">
        <v>62</v>
      </c>
      <c r="K2667" s="3" t="s">
        <v>63</v>
      </c>
      <c r="M2667" s="2" t="s">
        <v>26167</v>
      </c>
      <c r="N2667" s="3" t="s">
        <v>894</v>
      </c>
      <c r="P2667" s="3" t="s">
        <v>65</v>
      </c>
      <c r="Q2667" s="2" t="s">
        <v>26168</v>
      </c>
      <c r="R2667" s="3" t="s">
        <v>66</v>
      </c>
      <c r="S2667" s="4">
        <v>3</v>
      </c>
      <c r="T2667" s="4">
        <v>3</v>
      </c>
      <c r="U2667" s="5" t="s">
        <v>26169</v>
      </c>
      <c r="V2667" s="5" t="s">
        <v>26169</v>
      </c>
      <c r="W2667" s="5" t="s">
        <v>67</v>
      </c>
      <c r="X2667" s="5" t="s">
        <v>67</v>
      </c>
      <c r="Y2667" s="4">
        <v>310</v>
      </c>
      <c r="Z2667" s="4">
        <v>28</v>
      </c>
      <c r="AA2667" s="4">
        <v>108</v>
      </c>
      <c r="AB2667" s="4">
        <v>2</v>
      </c>
      <c r="AC2667" s="4">
        <v>19</v>
      </c>
      <c r="AD2667" s="4">
        <v>103</v>
      </c>
      <c r="AE2667" s="4">
        <v>144</v>
      </c>
      <c r="AF2667" s="4">
        <v>1</v>
      </c>
      <c r="AG2667" s="4">
        <v>8</v>
      </c>
      <c r="AH2667" s="4">
        <v>91</v>
      </c>
      <c r="AI2667" s="4">
        <v>105</v>
      </c>
      <c r="AJ2667" s="4">
        <v>16</v>
      </c>
      <c r="AK2667" s="4">
        <v>26</v>
      </c>
      <c r="AL2667" s="4">
        <v>50</v>
      </c>
      <c r="AM2667" s="4">
        <v>55</v>
      </c>
      <c r="AN2667" s="4">
        <v>0</v>
      </c>
      <c r="AO2667" s="4">
        <v>0</v>
      </c>
      <c r="AP2667" s="4">
        <v>21</v>
      </c>
      <c r="AQ2667" s="4">
        <v>50</v>
      </c>
      <c r="AR2667" s="3" t="s">
        <v>62</v>
      </c>
      <c r="AS2667" s="3" t="s">
        <v>62</v>
      </c>
      <c r="AT2667" s="3" t="s">
        <v>62</v>
      </c>
      <c r="AV2667" s="6" t="str">
        <f>HYPERLINK("http://mcgill.on.worldcat.org/oclc/712115611","Catalog Record")</f>
        <v>Catalog Record</v>
      </c>
      <c r="AW2667" s="6" t="str">
        <f>HYPERLINK("http://www.worldcat.org/oclc/712115611","WorldCat Record")</f>
        <v>WorldCat Record</v>
      </c>
      <c r="AX2667" s="3" t="s">
        <v>26170</v>
      </c>
      <c r="AY2667" s="3" t="s">
        <v>26171</v>
      </c>
      <c r="AZ2667" s="3" t="s">
        <v>26172</v>
      </c>
      <c r="BA2667" s="3" t="s">
        <v>26172</v>
      </c>
      <c r="BB2667" s="3" t="s">
        <v>26173</v>
      </c>
      <c r="BC2667" s="3" t="s">
        <v>142</v>
      </c>
      <c r="BD2667" s="3" t="s">
        <v>68</v>
      </c>
      <c r="BE2667" s="3" t="s">
        <v>26174</v>
      </c>
      <c r="BF2667" s="3" t="s">
        <v>26173</v>
      </c>
      <c r="BG2667" s="3" t="s">
        <v>26175</v>
      </c>
    </row>
    <row r="2668" spans="1:59" ht="57" x14ac:dyDescent="0.45">
      <c r="A2668" s="2" t="s">
        <v>59</v>
      </c>
      <c r="B2668" s="2" t="s">
        <v>60</v>
      </c>
      <c r="C2668" s="2" t="s">
        <v>26176</v>
      </c>
      <c r="D2668" s="2" t="s">
        <v>26177</v>
      </c>
      <c r="E2668" s="2" t="s">
        <v>26178</v>
      </c>
      <c r="G2668" s="3" t="s">
        <v>62</v>
      </c>
      <c r="I2668" s="3" t="s">
        <v>62</v>
      </c>
      <c r="J2668" s="3" t="s">
        <v>62</v>
      </c>
      <c r="K2668" s="3" t="s">
        <v>63</v>
      </c>
      <c r="L2668" s="2" t="s">
        <v>26179</v>
      </c>
      <c r="M2668" s="2" t="s">
        <v>9755</v>
      </c>
      <c r="N2668" s="3" t="s">
        <v>1155</v>
      </c>
      <c r="P2668" s="3" t="s">
        <v>65</v>
      </c>
      <c r="Q2668" s="2" t="s">
        <v>26180</v>
      </c>
      <c r="R2668" s="3" t="s">
        <v>66</v>
      </c>
      <c r="S2668" s="4">
        <v>11</v>
      </c>
      <c r="T2668" s="4">
        <v>11</v>
      </c>
      <c r="U2668" s="5" t="s">
        <v>16727</v>
      </c>
      <c r="V2668" s="5" t="s">
        <v>16727</v>
      </c>
      <c r="W2668" s="5" t="s">
        <v>67</v>
      </c>
      <c r="X2668" s="5" t="s">
        <v>67</v>
      </c>
      <c r="Y2668" s="4">
        <v>227</v>
      </c>
      <c r="Z2668" s="4">
        <v>21</v>
      </c>
      <c r="AA2668" s="4">
        <v>84</v>
      </c>
      <c r="AB2668" s="4">
        <v>2</v>
      </c>
      <c r="AC2668" s="4">
        <v>15</v>
      </c>
      <c r="AD2668" s="4">
        <v>78</v>
      </c>
      <c r="AE2668" s="4">
        <v>133</v>
      </c>
      <c r="AF2668" s="4">
        <v>1</v>
      </c>
      <c r="AG2668" s="4">
        <v>8</v>
      </c>
      <c r="AH2668" s="4">
        <v>69</v>
      </c>
      <c r="AI2668" s="4">
        <v>97</v>
      </c>
      <c r="AJ2668" s="4">
        <v>12</v>
      </c>
      <c r="AK2668" s="4">
        <v>24</v>
      </c>
      <c r="AL2668" s="4">
        <v>38</v>
      </c>
      <c r="AM2668" s="4">
        <v>51</v>
      </c>
      <c r="AN2668" s="4">
        <v>0</v>
      </c>
      <c r="AO2668" s="4">
        <v>0</v>
      </c>
      <c r="AP2668" s="4">
        <v>16</v>
      </c>
      <c r="AQ2668" s="4">
        <v>45</v>
      </c>
      <c r="AR2668" s="3" t="s">
        <v>62</v>
      </c>
      <c r="AS2668" s="3" t="s">
        <v>62</v>
      </c>
      <c r="AT2668" s="3" t="s">
        <v>62</v>
      </c>
      <c r="AV2668" s="6" t="str">
        <f>HYPERLINK("http://mcgill.on.worldcat.org/oclc/666242868","Catalog Record")</f>
        <v>Catalog Record</v>
      </c>
      <c r="AW2668" s="6" t="str">
        <f>HYPERLINK("http://www.worldcat.org/oclc/666242868","WorldCat Record")</f>
        <v>WorldCat Record</v>
      </c>
      <c r="AX2668" s="3" t="s">
        <v>26181</v>
      </c>
      <c r="AY2668" s="3" t="s">
        <v>26182</v>
      </c>
      <c r="AZ2668" s="3" t="s">
        <v>26183</v>
      </c>
      <c r="BA2668" s="3" t="s">
        <v>26183</v>
      </c>
      <c r="BB2668" s="3" t="s">
        <v>26184</v>
      </c>
      <c r="BC2668" s="3" t="s">
        <v>142</v>
      </c>
      <c r="BD2668" s="3" t="s">
        <v>308</v>
      </c>
      <c r="BE2668" s="3" t="s">
        <v>26185</v>
      </c>
      <c r="BF2668" s="3" t="s">
        <v>26184</v>
      </c>
      <c r="BG2668" s="3" t="s">
        <v>26186</v>
      </c>
    </row>
    <row r="2669" spans="1:59" ht="71.25" x14ac:dyDescent="0.45">
      <c r="A2669" s="2" t="s">
        <v>59</v>
      </c>
      <c r="B2669" s="2" t="s">
        <v>60</v>
      </c>
      <c r="C2669" s="2" t="s">
        <v>26187</v>
      </c>
      <c r="D2669" s="2" t="s">
        <v>26188</v>
      </c>
      <c r="E2669" s="2" t="s">
        <v>26189</v>
      </c>
      <c r="G2669" s="3" t="s">
        <v>62</v>
      </c>
      <c r="I2669" s="3" t="s">
        <v>62</v>
      </c>
      <c r="J2669" s="3" t="s">
        <v>62</v>
      </c>
      <c r="K2669" s="3" t="s">
        <v>63</v>
      </c>
      <c r="L2669" s="2" t="s">
        <v>26190</v>
      </c>
      <c r="M2669" s="2" t="s">
        <v>3350</v>
      </c>
      <c r="N2669" s="3" t="s">
        <v>894</v>
      </c>
      <c r="P2669" s="3" t="s">
        <v>65</v>
      </c>
      <c r="R2669" s="3" t="s">
        <v>66</v>
      </c>
      <c r="S2669" s="4">
        <v>2</v>
      </c>
      <c r="T2669" s="4">
        <v>2</v>
      </c>
      <c r="U2669" s="5" t="s">
        <v>26191</v>
      </c>
      <c r="V2669" s="5" t="s">
        <v>26191</v>
      </c>
      <c r="W2669" s="5" t="s">
        <v>67</v>
      </c>
      <c r="X2669" s="5" t="s">
        <v>67</v>
      </c>
      <c r="Y2669" s="4">
        <v>282</v>
      </c>
      <c r="Z2669" s="4">
        <v>24</v>
      </c>
      <c r="AA2669" s="4">
        <v>27</v>
      </c>
      <c r="AB2669" s="4">
        <v>2</v>
      </c>
      <c r="AC2669" s="4">
        <v>5</v>
      </c>
      <c r="AD2669" s="4">
        <v>93</v>
      </c>
      <c r="AE2669" s="4">
        <v>96</v>
      </c>
      <c r="AF2669" s="4">
        <v>1</v>
      </c>
      <c r="AG2669" s="4">
        <v>4</v>
      </c>
      <c r="AH2669" s="4">
        <v>83</v>
      </c>
      <c r="AI2669" s="4">
        <v>84</v>
      </c>
      <c r="AJ2669" s="4">
        <v>14</v>
      </c>
      <c r="AK2669" s="4">
        <v>17</v>
      </c>
      <c r="AL2669" s="4">
        <v>44</v>
      </c>
      <c r="AM2669" s="4">
        <v>44</v>
      </c>
      <c r="AN2669" s="4">
        <v>0</v>
      </c>
      <c r="AO2669" s="4">
        <v>0</v>
      </c>
      <c r="AP2669" s="4">
        <v>19</v>
      </c>
      <c r="AQ2669" s="4">
        <v>21</v>
      </c>
      <c r="AR2669" s="3" t="s">
        <v>62</v>
      </c>
      <c r="AS2669" s="3" t="s">
        <v>62</v>
      </c>
      <c r="AT2669" s="3" t="s">
        <v>62</v>
      </c>
      <c r="AV2669" s="6" t="str">
        <f>HYPERLINK("http://mcgill.on.worldcat.org/oclc/670481201","Catalog Record")</f>
        <v>Catalog Record</v>
      </c>
      <c r="AW2669" s="6" t="str">
        <f>HYPERLINK("http://www.worldcat.org/oclc/670481201","WorldCat Record")</f>
        <v>WorldCat Record</v>
      </c>
      <c r="AX2669" s="3" t="s">
        <v>26192</v>
      </c>
      <c r="AY2669" s="3" t="s">
        <v>26193</v>
      </c>
      <c r="AZ2669" s="3" t="s">
        <v>26194</v>
      </c>
      <c r="BA2669" s="3" t="s">
        <v>26194</v>
      </c>
      <c r="BB2669" s="3" t="s">
        <v>26195</v>
      </c>
      <c r="BC2669" s="3" t="s">
        <v>142</v>
      </c>
      <c r="BD2669" s="3" t="s">
        <v>68</v>
      </c>
      <c r="BE2669" s="3" t="s">
        <v>26196</v>
      </c>
      <c r="BF2669" s="3" t="s">
        <v>26195</v>
      </c>
      <c r="BG2669" s="3" t="s">
        <v>26197</v>
      </c>
    </row>
    <row r="2670" spans="1:59" ht="57" x14ac:dyDescent="0.45">
      <c r="A2670" s="2" t="s">
        <v>59</v>
      </c>
      <c r="B2670" s="2" t="s">
        <v>60</v>
      </c>
      <c r="C2670" s="2" t="s">
        <v>26198</v>
      </c>
      <c r="D2670" s="2" t="s">
        <v>26199</v>
      </c>
      <c r="E2670" s="2" t="s">
        <v>26200</v>
      </c>
      <c r="G2670" s="3" t="s">
        <v>62</v>
      </c>
      <c r="I2670" s="3" t="s">
        <v>62</v>
      </c>
      <c r="J2670" s="3" t="s">
        <v>62</v>
      </c>
      <c r="K2670" s="3" t="s">
        <v>63</v>
      </c>
      <c r="M2670" s="2" t="s">
        <v>26201</v>
      </c>
      <c r="N2670" s="3" t="s">
        <v>1465</v>
      </c>
      <c r="P2670" s="3" t="s">
        <v>65</v>
      </c>
      <c r="R2670" s="3" t="s">
        <v>66</v>
      </c>
      <c r="S2670" s="4">
        <v>2</v>
      </c>
      <c r="T2670" s="4">
        <v>2</v>
      </c>
      <c r="U2670" s="5" t="s">
        <v>7824</v>
      </c>
      <c r="V2670" s="5" t="s">
        <v>7824</v>
      </c>
      <c r="W2670" s="5" t="s">
        <v>67</v>
      </c>
      <c r="X2670" s="5" t="s">
        <v>67</v>
      </c>
      <c r="Y2670" s="4">
        <v>74</v>
      </c>
      <c r="Z2670" s="4">
        <v>11</v>
      </c>
      <c r="AA2670" s="4">
        <v>12</v>
      </c>
      <c r="AB2670" s="4">
        <v>2</v>
      </c>
      <c r="AC2670" s="4">
        <v>3</v>
      </c>
      <c r="AD2670" s="4">
        <v>31</v>
      </c>
      <c r="AE2670" s="4">
        <v>32</v>
      </c>
      <c r="AF2670" s="4">
        <v>1</v>
      </c>
      <c r="AG2670" s="4">
        <v>2</v>
      </c>
      <c r="AH2670" s="4">
        <v>24</v>
      </c>
      <c r="AI2670" s="4">
        <v>24</v>
      </c>
      <c r="AJ2670" s="4">
        <v>8</v>
      </c>
      <c r="AK2670" s="4">
        <v>9</v>
      </c>
      <c r="AL2670" s="4">
        <v>18</v>
      </c>
      <c r="AM2670" s="4">
        <v>18</v>
      </c>
      <c r="AN2670" s="4">
        <v>0</v>
      </c>
      <c r="AO2670" s="4">
        <v>0</v>
      </c>
      <c r="AP2670" s="4">
        <v>10</v>
      </c>
      <c r="AQ2670" s="4">
        <v>10</v>
      </c>
      <c r="AR2670" s="3" t="s">
        <v>62</v>
      </c>
      <c r="AS2670" s="3" t="s">
        <v>62</v>
      </c>
      <c r="AT2670" s="3" t="s">
        <v>62</v>
      </c>
      <c r="AV2670" s="6" t="str">
        <f>HYPERLINK("http://mcgill.on.worldcat.org/oclc/458728341","Catalog Record")</f>
        <v>Catalog Record</v>
      </c>
      <c r="AW2670" s="6" t="str">
        <f>HYPERLINK("http://www.worldcat.org/oclc/458728341","WorldCat Record")</f>
        <v>WorldCat Record</v>
      </c>
      <c r="AX2670" s="3" t="s">
        <v>26202</v>
      </c>
      <c r="AY2670" s="3" t="s">
        <v>26203</v>
      </c>
      <c r="AZ2670" s="3" t="s">
        <v>26204</v>
      </c>
      <c r="BA2670" s="3" t="s">
        <v>26204</v>
      </c>
      <c r="BB2670" s="3" t="s">
        <v>26205</v>
      </c>
      <c r="BC2670" s="3" t="s">
        <v>142</v>
      </c>
      <c r="BD2670" s="3" t="s">
        <v>68</v>
      </c>
      <c r="BE2670" s="3" t="s">
        <v>26206</v>
      </c>
      <c r="BF2670" s="3" t="s">
        <v>26205</v>
      </c>
      <c r="BG2670" s="3" t="s">
        <v>26207</v>
      </c>
    </row>
    <row r="2671" spans="1:59" ht="57" x14ac:dyDescent="0.45">
      <c r="A2671" s="2" t="s">
        <v>59</v>
      </c>
      <c r="B2671" s="2" t="s">
        <v>60</v>
      </c>
      <c r="C2671" s="2" t="s">
        <v>26208</v>
      </c>
      <c r="D2671" s="2" t="s">
        <v>26209</v>
      </c>
      <c r="E2671" s="2" t="s">
        <v>26210</v>
      </c>
      <c r="G2671" s="3" t="s">
        <v>62</v>
      </c>
      <c r="I2671" s="3" t="s">
        <v>62</v>
      </c>
      <c r="J2671" s="3" t="s">
        <v>62</v>
      </c>
      <c r="K2671" s="3" t="s">
        <v>63</v>
      </c>
      <c r="M2671" s="2" t="s">
        <v>26211</v>
      </c>
      <c r="N2671" s="3" t="s">
        <v>208</v>
      </c>
      <c r="P2671" s="3" t="s">
        <v>65</v>
      </c>
      <c r="Q2671" s="2" t="s">
        <v>26212</v>
      </c>
      <c r="R2671" s="3" t="s">
        <v>66</v>
      </c>
      <c r="S2671" s="4">
        <v>0</v>
      </c>
      <c r="T2671" s="4">
        <v>0</v>
      </c>
      <c r="W2671" s="5" t="s">
        <v>67</v>
      </c>
      <c r="X2671" s="5" t="s">
        <v>67</v>
      </c>
      <c r="Y2671" s="4">
        <v>83</v>
      </c>
      <c r="Z2671" s="4">
        <v>31</v>
      </c>
      <c r="AA2671" s="4">
        <v>92</v>
      </c>
      <c r="AB2671" s="4">
        <v>2</v>
      </c>
      <c r="AC2671" s="4">
        <v>15</v>
      </c>
      <c r="AD2671" s="4">
        <v>49</v>
      </c>
      <c r="AE2671" s="4">
        <v>105</v>
      </c>
      <c r="AF2671" s="4">
        <v>1</v>
      </c>
      <c r="AG2671" s="4">
        <v>8</v>
      </c>
      <c r="AH2671" s="4">
        <v>34</v>
      </c>
      <c r="AI2671" s="4">
        <v>64</v>
      </c>
      <c r="AJ2671" s="4">
        <v>13</v>
      </c>
      <c r="AK2671" s="4">
        <v>23</v>
      </c>
      <c r="AL2671" s="4">
        <v>21</v>
      </c>
      <c r="AM2671" s="4">
        <v>33</v>
      </c>
      <c r="AN2671" s="4">
        <v>0</v>
      </c>
      <c r="AO2671" s="4">
        <v>0</v>
      </c>
      <c r="AP2671" s="4">
        <v>20</v>
      </c>
      <c r="AQ2671" s="4">
        <v>49</v>
      </c>
      <c r="AR2671" s="3" t="s">
        <v>61</v>
      </c>
      <c r="AS2671" s="3" t="s">
        <v>62</v>
      </c>
      <c r="AT2671" s="3" t="s">
        <v>62</v>
      </c>
      <c r="AV2671" s="6" t="str">
        <f>HYPERLINK("http://mcgill.on.worldcat.org/oclc/890512016","Catalog Record")</f>
        <v>Catalog Record</v>
      </c>
      <c r="AW2671" s="6" t="str">
        <f>HYPERLINK("http://www.worldcat.org/oclc/890512016","WorldCat Record")</f>
        <v>WorldCat Record</v>
      </c>
      <c r="AX2671" s="3" t="s">
        <v>26213</v>
      </c>
      <c r="AY2671" s="3" t="s">
        <v>26214</v>
      </c>
      <c r="AZ2671" s="3" t="s">
        <v>26215</v>
      </c>
      <c r="BA2671" s="3" t="s">
        <v>26215</v>
      </c>
      <c r="BB2671" s="3" t="s">
        <v>26216</v>
      </c>
      <c r="BC2671" s="3" t="s">
        <v>142</v>
      </c>
      <c r="BD2671" s="3" t="s">
        <v>68</v>
      </c>
      <c r="BE2671" s="3" t="s">
        <v>26217</v>
      </c>
      <c r="BF2671" s="3" t="s">
        <v>26216</v>
      </c>
      <c r="BG2671" s="3" t="s">
        <v>26218</v>
      </c>
    </row>
    <row r="2672" spans="1:59" ht="71.25" x14ac:dyDescent="0.45">
      <c r="A2672" s="2" t="s">
        <v>59</v>
      </c>
      <c r="B2672" s="2" t="s">
        <v>60</v>
      </c>
      <c r="C2672" s="2" t="s">
        <v>26219</v>
      </c>
      <c r="D2672" s="2" t="s">
        <v>26220</v>
      </c>
      <c r="E2672" s="2" t="s">
        <v>26221</v>
      </c>
      <c r="G2672" s="3" t="s">
        <v>62</v>
      </c>
      <c r="I2672" s="3" t="s">
        <v>62</v>
      </c>
      <c r="J2672" s="3" t="s">
        <v>62</v>
      </c>
      <c r="K2672" s="3" t="s">
        <v>63</v>
      </c>
      <c r="L2672" s="2" t="s">
        <v>26222</v>
      </c>
      <c r="M2672" s="2" t="s">
        <v>26223</v>
      </c>
      <c r="N2672" s="3" t="s">
        <v>894</v>
      </c>
      <c r="P2672" s="3" t="s">
        <v>65</v>
      </c>
      <c r="R2672" s="3" t="s">
        <v>66</v>
      </c>
      <c r="S2672" s="4">
        <v>0</v>
      </c>
      <c r="T2672" s="4">
        <v>0</v>
      </c>
      <c r="W2672" s="5" t="s">
        <v>67</v>
      </c>
      <c r="X2672" s="5" t="s">
        <v>67</v>
      </c>
      <c r="Y2672" s="4">
        <v>44</v>
      </c>
      <c r="Z2672" s="4">
        <v>4</v>
      </c>
      <c r="AA2672" s="4">
        <v>4</v>
      </c>
      <c r="AB2672" s="4">
        <v>1</v>
      </c>
      <c r="AC2672" s="4">
        <v>1</v>
      </c>
      <c r="AD2672" s="4">
        <v>15</v>
      </c>
      <c r="AE2672" s="4">
        <v>15</v>
      </c>
      <c r="AF2672" s="4">
        <v>0</v>
      </c>
      <c r="AG2672" s="4">
        <v>0</v>
      </c>
      <c r="AH2672" s="4">
        <v>15</v>
      </c>
      <c r="AI2672" s="4">
        <v>15</v>
      </c>
      <c r="AJ2672" s="4">
        <v>3</v>
      </c>
      <c r="AK2672" s="4">
        <v>3</v>
      </c>
      <c r="AL2672" s="4">
        <v>11</v>
      </c>
      <c r="AM2672" s="4">
        <v>11</v>
      </c>
      <c r="AN2672" s="4">
        <v>0</v>
      </c>
      <c r="AO2672" s="4">
        <v>0</v>
      </c>
      <c r="AP2672" s="4">
        <v>3</v>
      </c>
      <c r="AQ2672" s="4">
        <v>3</v>
      </c>
      <c r="AR2672" s="3" t="s">
        <v>62</v>
      </c>
      <c r="AS2672" s="3" t="s">
        <v>62</v>
      </c>
      <c r="AT2672" s="3" t="s">
        <v>62</v>
      </c>
      <c r="AV2672" s="6" t="str">
        <f>HYPERLINK("http://mcgill.on.worldcat.org/oclc/776777387","Catalog Record")</f>
        <v>Catalog Record</v>
      </c>
      <c r="AW2672" s="6" t="str">
        <f>HYPERLINK("http://www.worldcat.org/oclc/776777387","WorldCat Record")</f>
        <v>WorldCat Record</v>
      </c>
      <c r="AX2672" s="3" t="s">
        <v>26224</v>
      </c>
      <c r="AY2672" s="3" t="s">
        <v>26225</v>
      </c>
      <c r="AZ2672" s="3" t="s">
        <v>26226</v>
      </c>
      <c r="BA2672" s="3" t="s">
        <v>26226</v>
      </c>
      <c r="BB2672" s="3" t="s">
        <v>26227</v>
      </c>
      <c r="BC2672" s="3" t="s">
        <v>142</v>
      </c>
      <c r="BD2672" s="3" t="s">
        <v>68</v>
      </c>
      <c r="BE2672" s="3" t="s">
        <v>26228</v>
      </c>
      <c r="BF2672" s="3" t="s">
        <v>26227</v>
      </c>
      <c r="BG2672" s="3" t="s">
        <v>26229</v>
      </c>
    </row>
    <row r="2673" spans="1:59" ht="57" x14ac:dyDescent="0.45">
      <c r="A2673" s="2" t="s">
        <v>59</v>
      </c>
      <c r="B2673" s="2" t="s">
        <v>60</v>
      </c>
      <c r="C2673" s="2" t="s">
        <v>26230</v>
      </c>
      <c r="D2673" s="2" t="s">
        <v>26231</v>
      </c>
      <c r="E2673" s="2" t="s">
        <v>26232</v>
      </c>
      <c r="G2673" s="3" t="s">
        <v>62</v>
      </c>
      <c r="I2673" s="3" t="s">
        <v>62</v>
      </c>
      <c r="J2673" s="3" t="s">
        <v>62</v>
      </c>
      <c r="K2673" s="3" t="s">
        <v>63</v>
      </c>
      <c r="L2673" s="2" t="s">
        <v>26233</v>
      </c>
      <c r="M2673" s="2" t="s">
        <v>26234</v>
      </c>
      <c r="N2673" s="3" t="s">
        <v>918</v>
      </c>
      <c r="P2673" s="3" t="s">
        <v>65</v>
      </c>
      <c r="R2673" s="3" t="s">
        <v>66</v>
      </c>
      <c r="S2673" s="4">
        <v>10</v>
      </c>
      <c r="T2673" s="4">
        <v>10</v>
      </c>
      <c r="U2673" s="5" t="s">
        <v>21489</v>
      </c>
      <c r="V2673" s="5" t="s">
        <v>21489</v>
      </c>
      <c r="W2673" s="5" t="s">
        <v>67</v>
      </c>
      <c r="X2673" s="5" t="s">
        <v>67</v>
      </c>
      <c r="Y2673" s="4">
        <v>1071</v>
      </c>
      <c r="Z2673" s="4">
        <v>53</v>
      </c>
      <c r="AA2673" s="4">
        <v>55</v>
      </c>
      <c r="AB2673" s="4">
        <v>3</v>
      </c>
      <c r="AC2673" s="4">
        <v>5</v>
      </c>
      <c r="AD2673" s="4">
        <v>105</v>
      </c>
      <c r="AE2673" s="4">
        <v>107</v>
      </c>
      <c r="AF2673" s="4">
        <v>1</v>
      </c>
      <c r="AG2673" s="4">
        <v>3</v>
      </c>
      <c r="AH2673" s="4">
        <v>85</v>
      </c>
      <c r="AI2673" s="4">
        <v>86</v>
      </c>
      <c r="AJ2673" s="4">
        <v>14</v>
      </c>
      <c r="AK2673" s="4">
        <v>16</v>
      </c>
      <c r="AL2673" s="4">
        <v>42</v>
      </c>
      <c r="AM2673" s="4">
        <v>42</v>
      </c>
      <c r="AN2673" s="4">
        <v>0</v>
      </c>
      <c r="AO2673" s="4">
        <v>0</v>
      </c>
      <c r="AP2673" s="4">
        <v>27</v>
      </c>
      <c r="AQ2673" s="4">
        <v>28</v>
      </c>
      <c r="AR2673" s="3" t="s">
        <v>62</v>
      </c>
      <c r="AS2673" s="3" t="s">
        <v>62</v>
      </c>
      <c r="AT2673" s="3" t="s">
        <v>61</v>
      </c>
      <c r="AU2673" s="6" t="str">
        <f>HYPERLINK("http://catalog.hathitrust.org/Record/004710928","HathiTrust Record")</f>
        <v>HathiTrust Record</v>
      </c>
      <c r="AV2673" s="6" t="str">
        <f>HYPERLINK("http://mcgill.on.worldcat.org/oclc/51854673","Catalog Record")</f>
        <v>Catalog Record</v>
      </c>
      <c r="AW2673" s="6" t="str">
        <f>HYPERLINK("http://www.worldcat.org/oclc/51854673","WorldCat Record")</f>
        <v>WorldCat Record</v>
      </c>
      <c r="AX2673" s="3" t="s">
        <v>26235</v>
      </c>
      <c r="AY2673" s="3" t="s">
        <v>26236</v>
      </c>
      <c r="AZ2673" s="3" t="s">
        <v>26237</v>
      </c>
      <c r="BA2673" s="3" t="s">
        <v>26237</v>
      </c>
      <c r="BB2673" s="3" t="s">
        <v>26238</v>
      </c>
      <c r="BC2673" s="3" t="s">
        <v>142</v>
      </c>
      <c r="BD2673" s="3" t="s">
        <v>68</v>
      </c>
      <c r="BE2673" s="3" t="s">
        <v>26239</v>
      </c>
      <c r="BF2673" s="3" t="s">
        <v>26238</v>
      </c>
      <c r="BG2673" s="3" t="s">
        <v>26240</v>
      </c>
    </row>
    <row r="2674" spans="1:59" ht="71.25" x14ac:dyDescent="0.45">
      <c r="A2674" s="2" t="s">
        <v>59</v>
      </c>
      <c r="B2674" s="2" t="s">
        <v>60</v>
      </c>
      <c r="C2674" s="2" t="s">
        <v>26241</v>
      </c>
      <c r="D2674" s="2" t="s">
        <v>26242</v>
      </c>
      <c r="E2674" s="2" t="s">
        <v>26243</v>
      </c>
      <c r="G2674" s="3" t="s">
        <v>62</v>
      </c>
      <c r="I2674" s="3" t="s">
        <v>62</v>
      </c>
      <c r="J2674" s="3" t="s">
        <v>62</v>
      </c>
      <c r="K2674" s="3" t="s">
        <v>63</v>
      </c>
      <c r="L2674" s="2" t="s">
        <v>26244</v>
      </c>
      <c r="M2674" s="2" t="s">
        <v>13240</v>
      </c>
      <c r="N2674" s="3" t="s">
        <v>116</v>
      </c>
      <c r="P2674" s="3" t="s">
        <v>65</v>
      </c>
      <c r="Q2674" s="2" t="s">
        <v>26245</v>
      </c>
      <c r="R2674" s="3" t="s">
        <v>66</v>
      </c>
      <c r="S2674" s="4">
        <v>0</v>
      </c>
      <c r="T2674" s="4">
        <v>0</v>
      </c>
      <c r="W2674" s="5" t="s">
        <v>67</v>
      </c>
      <c r="X2674" s="5" t="s">
        <v>67</v>
      </c>
      <c r="Y2674" s="4">
        <v>116</v>
      </c>
      <c r="Z2674" s="4">
        <v>14</v>
      </c>
      <c r="AA2674" s="4">
        <v>17</v>
      </c>
      <c r="AB2674" s="4">
        <v>1</v>
      </c>
      <c r="AC2674" s="4">
        <v>4</v>
      </c>
      <c r="AD2674" s="4">
        <v>46</v>
      </c>
      <c r="AE2674" s="4">
        <v>48</v>
      </c>
      <c r="AF2674" s="4">
        <v>0</v>
      </c>
      <c r="AG2674" s="4">
        <v>2</v>
      </c>
      <c r="AH2674" s="4">
        <v>42</v>
      </c>
      <c r="AI2674" s="4">
        <v>43</v>
      </c>
      <c r="AJ2674" s="4">
        <v>11</v>
      </c>
      <c r="AK2674" s="4">
        <v>13</v>
      </c>
      <c r="AL2674" s="4">
        <v>23</v>
      </c>
      <c r="AM2674" s="4">
        <v>23</v>
      </c>
      <c r="AN2674" s="4">
        <v>0</v>
      </c>
      <c r="AO2674" s="4">
        <v>0</v>
      </c>
      <c r="AP2674" s="4">
        <v>12</v>
      </c>
      <c r="AQ2674" s="4">
        <v>13</v>
      </c>
      <c r="AR2674" s="3" t="s">
        <v>62</v>
      </c>
      <c r="AS2674" s="3" t="s">
        <v>62</v>
      </c>
      <c r="AT2674" s="3" t="s">
        <v>62</v>
      </c>
      <c r="AV2674" s="6" t="str">
        <f>HYPERLINK("http://mcgill.on.worldcat.org/oclc/840934544","Catalog Record")</f>
        <v>Catalog Record</v>
      </c>
      <c r="AW2674" s="6" t="str">
        <f>HYPERLINK("http://www.worldcat.org/oclc/840934544","WorldCat Record")</f>
        <v>WorldCat Record</v>
      </c>
      <c r="AX2674" s="3" t="s">
        <v>26246</v>
      </c>
      <c r="AY2674" s="3" t="s">
        <v>26247</v>
      </c>
      <c r="AZ2674" s="3" t="s">
        <v>26248</v>
      </c>
      <c r="BA2674" s="3" t="s">
        <v>26248</v>
      </c>
      <c r="BB2674" s="3" t="s">
        <v>26249</v>
      </c>
      <c r="BC2674" s="3" t="s">
        <v>142</v>
      </c>
      <c r="BD2674" s="3" t="s">
        <v>68</v>
      </c>
      <c r="BE2674" s="3" t="s">
        <v>26250</v>
      </c>
      <c r="BF2674" s="3" t="s">
        <v>26249</v>
      </c>
      <c r="BG2674" s="3" t="s">
        <v>26251</v>
      </c>
    </row>
    <row r="2675" spans="1:59" ht="71.25" x14ac:dyDescent="0.45">
      <c r="A2675" s="2" t="s">
        <v>59</v>
      </c>
      <c r="B2675" s="2" t="s">
        <v>60</v>
      </c>
      <c r="C2675" s="2" t="s">
        <v>26252</v>
      </c>
      <c r="D2675" s="2" t="s">
        <v>26253</v>
      </c>
      <c r="E2675" s="2" t="s">
        <v>26254</v>
      </c>
      <c r="G2675" s="3" t="s">
        <v>62</v>
      </c>
      <c r="I2675" s="3" t="s">
        <v>62</v>
      </c>
      <c r="J2675" s="3" t="s">
        <v>62</v>
      </c>
      <c r="K2675" s="3" t="s">
        <v>63</v>
      </c>
      <c r="L2675" s="2" t="s">
        <v>26255</v>
      </c>
      <c r="M2675" s="2" t="s">
        <v>1009</v>
      </c>
      <c r="N2675" s="3" t="s">
        <v>894</v>
      </c>
      <c r="P2675" s="3" t="s">
        <v>65</v>
      </c>
      <c r="R2675" s="3" t="s">
        <v>66</v>
      </c>
      <c r="S2675" s="4">
        <v>1</v>
      </c>
      <c r="T2675" s="4">
        <v>1</v>
      </c>
      <c r="U2675" s="5" t="s">
        <v>158</v>
      </c>
      <c r="V2675" s="5" t="s">
        <v>158</v>
      </c>
      <c r="W2675" s="5" t="s">
        <v>67</v>
      </c>
      <c r="X2675" s="5" t="s">
        <v>67</v>
      </c>
      <c r="Y2675" s="4">
        <v>273</v>
      </c>
      <c r="Z2675" s="4">
        <v>26</v>
      </c>
      <c r="AA2675" s="4">
        <v>34</v>
      </c>
      <c r="AB2675" s="4">
        <v>2</v>
      </c>
      <c r="AC2675" s="4">
        <v>7</v>
      </c>
      <c r="AD2675" s="4">
        <v>90</v>
      </c>
      <c r="AE2675" s="4">
        <v>101</v>
      </c>
      <c r="AF2675" s="4">
        <v>1</v>
      </c>
      <c r="AG2675" s="4">
        <v>3</v>
      </c>
      <c r="AH2675" s="4">
        <v>78</v>
      </c>
      <c r="AI2675" s="4">
        <v>86</v>
      </c>
      <c r="AJ2675" s="4">
        <v>18</v>
      </c>
      <c r="AK2675" s="4">
        <v>20</v>
      </c>
      <c r="AL2675" s="4">
        <v>39</v>
      </c>
      <c r="AM2675" s="4">
        <v>41</v>
      </c>
      <c r="AN2675" s="4">
        <v>0</v>
      </c>
      <c r="AO2675" s="4">
        <v>0</v>
      </c>
      <c r="AP2675" s="4">
        <v>21</v>
      </c>
      <c r="AQ2675" s="4">
        <v>24</v>
      </c>
      <c r="AR2675" s="3" t="s">
        <v>62</v>
      </c>
      <c r="AS2675" s="3" t="s">
        <v>62</v>
      </c>
      <c r="AT2675" s="3" t="s">
        <v>62</v>
      </c>
      <c r="AV2675" s="6" t="str">
        <f>HYPERLINK("http://mcgill.on.worldcat.org/oclc/449888895","Catalog Record")</f>
        <v>Catalog Record</v>
      </c>
      <c r="AW2675" s="6" t="str">
        <f>HYPERLINK("http://www.worldcat.org/oclc/449888895","WorldCat Record")</f>
        <v>WorldCat Record</v>
      </c>
      <c r="AX2675" s="3" t="s">
        <v>26256</v>
      </c>
      <c r="AY2675" s="3" t="s">
        <v>26257</v>
      </c>
      <c r="AZ2675" s="3" t="s">
        <v>26258</v>
      </c>
      <c r="BA2675" s="3" t="s">
        <v>26258</v>
      </c>
      <c r="BB2675" s="3" t="s">
        <v>26259</v>
      </c>
      <c r="BC2675" s="3" t="s">
        <v>142</v>
      </c>
      <c r="BD2675" s="3" t="s">
        <v>68</v>
      </c>
      <c r="BE2675" s="3" t="s">
        <v>26260</v>
      </c>
      <c r="BF2675" s="3" t="s">
        <v>26259</v>
      </c>
      <c r="BG2675" s="3" t="s">
        <v>26261</v>
      </c>
    </row>
    <row r="2676" spans="1:59" ht="57" x14ac:dyDescent="0.45">
      <c r="A2676" s="2" t="s">
        <v>59</v>
      </c>
      <c r="B2676" s="2" t="s">
        <v>60</v>
      </c>
      <c r="C2676" s="2" t="s">
        <v>26262</v>
      </c>
      <c r="D2676" s="2" t="s">
        <v>26263</v>
      </c>
      <c r="E2676" s="2" t="s">
        <v>26264</v>
      </c>
      <c r="G2676" s="3" t="s">
        <v>62</v>
      </c>
      <c r="I2676" s="3" t="s">
        <v>62</v>
      </c>
      <c r="J2676" s="3" t="s">
        <v>62</v>
      </c>
      <c r="K2676" s="3" t="s">
        <v>63</v>
      </c>
      <c r="L2676" s="2" t="s">
        <v>26265</v>
      </c>
      <c r="M2676" s="2" t="s">
        <v>26266</v>
      </c>
      <c r="N2676" s="3" t="s">
        <v>1155</v>
      </c>
      <c r="P2676" s="3" t="s">
        <v>65</v>
      </c>
      <c r="R2676" s="3" t="s">
        <v>66</v>
      </c>
      <c r="S2676" s="4">
        <v>5</v>
      </c>
      <c r="T2676" s="4">
        <v>5</v>
      </c>
      <c r="U2676" s="5" t="s">
        <v>2853</v>
      </c>
      <c r="V2676" s="5" t="s">
        <v>2853</v>
      </c>
      <c r="W2676" s="5" t="s">
        <v>67</v>
      </c>
      <c r="X2676" s="5" t="s">
        <v>67</v>
      </c>
      <c r="Y2676" s="4">
        <v>58</v>
      </c>
      <c r="Z2676" s="4">
        <v>5</v>
      </c>
      <c r="AA2676" s="4">
        <v>8</v>
      </c>
      <c r="AB2676" s="4">
        <v>1</v>
      </c>
      <c r="AC2676" s="4">
        <v>4</v>
      </c>
      <c r="AD2676" s="4">
        <v>15</v>
      </c>
      <c r="AE2676" s="4">
        <v>16</v>
      </c>
      <c r="AF2676" s="4">
        <v>0</v>
      </c>
      <c r="AG2676" s="4">
        <v>1</v>
      </c>
      <c r="AH2676" s="4">
        <v>15</v>
      </c>
      <c r="AI2676" s="4">
        <v>15</v>
      </c>
      <c r="AJ2676" s="4">
        <v>1</v>
      </c>
      <c r="AK2676" s="4">
        <v>2</v>
      </c>
      <c r="AL2676" s="4">
        <v>12</v>
      </c>
      <c r="AM2676" s="4">
        <v>12</v>
      </c>
      <c r="AN2676" s="4">
        <v>0</v>
      </c>
      <c r="AO2676" s="4">
        <v>0</v>
      </c>
      <c r="AP2676" s="4">
        <v>1</v>
      </c>
      <c r="AQ2676" s="4">
        <v>2</v>
      </c>
      <c r="AR2676" s="3" t="s">
        <v>62</v>
      </c>
      <c r="AS2676" s="3" t="s">
        <v>62</v>
      </c>
      <c r="AT2676" s="3" t="s">
        <v>62</v>
      </c>
      <c r="AV2676" s="6" t="str">
        <f>HYPERLINK("http://mcgill.on.worldcat.org/oclc/800042944","Catalog Record")</f>
        <v>Catalog Record</v>
      </c>
      <c r="AW2676" s="6" t="str">
        <f>HYPERLINK("http://www.worldcat.org/oclc/800042944","WorldCat Record")</f>
        <v>WorldCat Record</v>
      </c>
      <c r="AX2676" s="3" t="s">
        <v>26267</v>
      </c>
      <c r="AY2676" s="3" t="s">
        <v>26268</v>
      </c>
      <c r="AZ2676" s="3" t="s">
        <v>26269</v>
      </c>
      <c r="BA2676" s="3" t="s">
        <v>26269</v>
      </c>
      <c r="BB2676" s="3" t="s">
        <v>26270</v>
      </c>
      <c r="BC2676" s="3" t="s">
        <v>142</v>
      </c>
      <c r="BD2676" s="3" t="s">
        <v>68</v>
      </c>
      <c r="BE2676" s="3" t="s">
        <v>26271</v>
      </c>
      <c r="BF2676" s="3" t="s">
        <v>26270</v>
      </c>
      <c r="BG2676" s="3" t="s">
        <v>26272</v>
      </c>
    </row>
    <row r="2677" spans="1:59" ht="57" x14ac:dyDescent="0.45">
      <c r="A2677" s="2" t="s">
        <v>59</v>
      </c>
      <c r="B2677" s="2" t="s">
        <v>60</v>
      </c>
      <c r="C2677" s="2" t="s">
        <v>26273</v>
      </c>
      <c r="D2677" s="2" t="s">
        <v>26274</v>
      </c>
      <c r="E2677" s="2" t="s">
        <v>26275</v>
      </c>
      <c r="G2677" s="3" t="s">
        <v>62</v>
      </c>
      <c r="I2677" s="3" t="s">
        <v>62</v>
      </c>
      <c r="J2677" s="3" t="s">
        <v>62</v>
      </c>
      <c r="K2677" s="3" t="s">
        <v>63</v>
      </c>
      <c r="L2677" s="2" t="s">
        <v>26276</v>
      </c>
      <c r="M2677" s="2" t="s">
        <v>3915</v>
      </c>
      <c r="N2677" s="3" t="s">
        <v>1155</v>
      </c>
      <c r="P2677" s="3" t="s">
        <v>65</v>
      </c>
      <c r="R2677" s="3" t="s">
        <v>66</v>
      </c>
      <c r="S2677" s="4">
        <v>2</v>
      </c>
      <c r="T2677" s="4">
        <v>2</v>
      </c>
      <c r="U2677" s="5" t="s">
        <v>15237</v>
      </c>
      <c r="V2677" s="5" t="s">
        <v>15237</v>
      </c>
      <c r="W2677" s="5" t="s">
        <v>67</v>
      </c>
      <c r="X2677" s="5" t="s">
        <v>67</v>
      </c>
      <c r="Y2677" s="4">
        <v>170</v>
      </c>
      <c r="Z2677" s="4">
        <v>18</v>
      </c>
      <c r="AA2677" s="4">
        <v>25</v>
      </c>
      <c r="AB2677" s="4">
        <v>1</v>
      </c>
      <c r="AC2677" s="4">
        <v>4</v>
      </c>
      <c r="AD2677" s="4">
        <v>66</v>
      </c>
      <c r="AE2677" s="4">
        <v>83</v>
      </c>
      <c r="AF2677" s="4">
        <v>0</v>
      </c>
      <c r="AG2677" s="4">
        <v>1</v>
      </c>
      <c r="AH2677" s="4">
        <v>60</v>
      </c>
      <c r="AI2677" s="4">
        <v>75</v>
      </c>
      <c r="AJ2677" s="4">
        <v>12</v>
      </c>
      <c r="AK2677" s="4">
        <v>16</v>
      </c>
      <c r="AL2677" s="4">
        <v>32</v>
      </c>
      <c r="AM2677" s="4">
        <v>41</v>
      </c>
      <c r="AN2677" s="4">
        <v>0</v>
      </c>
      <c r="AO2677" s="4">
        <v>0</v>
      </c>
      <c r="AP2677" s="4">
        <v>14</v>
      </c>
      <c r="AQ2677" s="4">
        <v>18</v>
      </c>
      <c r="AR2677" s="3" t="s">
        <v>62</v>
      </c>
      <c r="AS2677" s="3" t="s">
        <v>62</v>
      </c>
      <c r="AT2677" s="3" t="s">
        <v>62</v>
      </c>
      <c r="AV2677" s="6" t="str">
        <f>HYPERLINK("http://mcgill.on.worldcat.org/oclc/798059549","Catalog Record")</f>
        <v>Catalog Record</v>
      </c>
      <c r="AW2677" s="6" t="str">
        <f>HYPERLINK("http://www.worldcat.org/oclc/798059549","WorldCat Record")</f>
        <v>WorldCat Record</v>
      </c>
      <c r="AX2677" s="3" t="s">
        <v>26277</v>
      </c>
      <c r="AY2677" s="3" t="s">
        <v>26278</v>
      </c>
      <c r="AZ2677" s="3" t="s">
        <v>26279</v>
      </c>
      <c r="BA2677" s="3" t="s">
        <v>26279</v>
      </c>
      <c r="BB2677" s="3" t="s">
        <v>26280</v>
      </c>
      <c r="BC2677" s="3" t="s">
        <v>142</v>
      </c>
      <c r="BD2677" s="3" t="s">
        <v>68</v>
      </c>
      <c r="BE2677" s="3" t="s">
        <v>26281</v>
      </c>
      <c r="BF2677" s="3" t="s">
        <v>26280</v>
      </c>
      <c r="BG2677" s="3" t="s">
        <v>26282</v>
      </c>
    </row>
    <row r="2678" spans="1:59" ht="57" x14ac:dyDescent="0.45">
      <c r="A2678" s="2" t="s">
        <v>59</v>
      </c>
      <c r="B2678" s="2" t="s">
        <v>60</v>
      </c>
      <c r="C2678" s="2" t="s">
        <v>26283</v>
      </c>
      <c r="D2678" s="2" t="s">
        <v>26284</v>
      </c>
      <c r="E2678" s="2" t="s">
        <v>26285</v>
      </c>
      <c r="G2678" s="3" t="s">
        <v>62</v>
      </c>
      <c r="I2678" s="3" t="s">
        <v>62</v>
      </c>
      <c r="J2678" s="3" t="s">
        <v>62</v>
      </c>
      <c r="K2678" s="3" t="s">
        <v>63</v>
      </c>
      <c r="M2678" s="2" t="s">
        <v>26286</v>
      </c>
      <c r="N2678" s="3" t="s">
        <v>116</v>
      </c>
      <c r="P2678" s="3" t="s">
        <v>65</v>
      </c>
      <c r="R2678" s="3" t="s">
        <v>66</v>
      </c>
      <c r="S2678" s="4">
        <v>1</v>
      </c>
      <c r="T2678" s="4">
        <v>1</v>
      </c>
      <c r="U2678" s="5" t="s">
        <v>26287</v>
      </c>
      <c r="V2678" s="5" t="s">
        <v>26287</v>
      </c>
      <c r="W2678" s="5" t="s">
        <v>67</v>
      </c>
      <c r="X2678" s="5" t="s">
        <v>67</v>
      </c>
      <c r="Y2678" s="4">
        <v>179</v>
      </c>
      <c r="Z2678" s="4">
        <v>18</v>
      </c>
      <c r="AA2678" s="4">
        <v>21</v>
      </c>
      <c r="AB2678" s="4">
        <v>2</v>
      </c>
      <c r="AC2678" s="4">
        <v>5</v>
      </c>
      <c r="AD2678" s="4">
        <v>58</v>
      </c>
      <c r="AE2678" s="4">
        <v>59</v>
      </c>
      <c r="AF2678" s="4">
        <v>1</v>
      </c>
      <c r="AG2678" s="4">
        <v>2</v>
      </c>
      <c r="AH2678" s="4">
        <v>53</v>
      </c>
      <c r="AI2678" s="4">
        <v>53</v>
      </c>
      <c r="AJ2678" s="4">
        <v>11</v>
      </c>
      <c r="AK2678" s="4">
        <v>12</v>
      </c>
      <c r="AL2678" s="4">
        <v>34</v>
      </c>
      <c r="AM2678" s="4">
        <v>34</v>
      </c>
      <c r="AN2678" s="4">
        <v>0</v>
      </c>
      <c r="AO2678" s="4">
        <v>0</v>
      </c>
      <c r="AP2678" s="4">
        <v>13</v>
      </c>
      <c r="AQ2678" s="4">
        <v>14</v>
      </c>
      <c r="AR2678" s="3" t="s">
        <v>62</v>
      </c>
      <c r="AS2678" s="3" t="s">
        <v>62</v>
      </c>
      <c r="AT2678" s="3" t="s">
        <v>62</v>
      </c>
      <c r="AV2678" s="6" t="str">
        <f>HYPERLINK("http://mcgill.on.worldcat.org/oclc/528428780","Catalog Record")</f>
        <v>Catalog Record</v>
      </c>
      <c r="AW2678" s="6" t="str">
        <f>HYPERLINK("http://www.worldcat.org/oclc/528428780","WorldCat Record")</f>
        <v>WorldCat Record</v>
      </c>
      <c r="AX2678" s="3" t="s">
        <v>26288</v>
      </c>
      <c r="AY2678" s="3" t="s">
        <v>26289</v>
      </c>
      <c r="AZ2678" s="3" t="s">
        <v>26290</v>
      </c>
      <c r="BA2678" s="3" t="s">
        <v>26290</v>
      </c>
      <c r="BB2678" s="3" t="s">
        <v>26291</v>
      </c>
      <c r="BC2678" s="3" t="s">
        <v>142</v>
      </c>
      <c r="BD2678" s="3" t="s">
        <v>68</v>
      </c>
      <c r="BE2678" s="3" t="s">
        <v>26292</v>
      </c>
      <c r="BF2678" s="3" t="s">
        <v>26291</v>
      </c>
      <c r="BG2678" s="3" t="s">
        <v>26293</v>
      </c>
    </row>
    <row r="2679" spans="1:59" ht="57" x14ac:dyDescent="0.45">
      <c r="A2679" s="2" t="s">
        <v>59</v>
      </c>
      <c r="B2679" s="2" t="s">
        <v>60</v>
      </c>
      <c r="C2679" s="2" t="s">
        <v>26294</v>
      </c>
      <c r="D2679" s="2" t="s">
        <v>26295</v>
      </c>
      <c r="E2679" s="2" t="s">
        <v>26296</v>
      </c>
      <c r="G2679" s="3" t="s">
        <v>62</v>
      </c>
      <c r="I2679" s="3" t="s">
        <v>62</v>
      </c>
      <c r="J2679" s="3" t="s">
        <v>62</v>
      </c>
      <c r="K2679" s="3" t="s">
        <v>63</v>
      </c>
      <c r="M2679" s="2" t="s">
        <v>26297</v>
      </c>
      <c r="N2679" s="3" t="s">
        <v>116</v>
      </c>
      <c r="P2679" s="3" t="s">
        <v>65</v>
      </c>
      <c r="R2679" s="3" t="s">
        <v>66</v>
      </c>
      <c r="S2679" s="4">
        <v>3</v>
      </c>
      <c r="T2679" s="4">
        <v>3</v>
      </c>
      <c r="U2679" s="5" t="s">
        <v>26298</v>
      </c>
      <c r="V2679" s="5" t="s">
        <v>26298</v>
      </c>
      <c r="W2679" s="5" t="s">
        <v>67</v>
      </c>
      <c r="X2679" s="5" t="s">
        <v>67</v>
      </c>
      <c r="Y2679" s="4">
        <v>185</v>
      </c>
      <c r="Z2679" s="4">
        <v>16</v>
      </c>
      <c r="AA2679" s="4">
        <v>26</v>
      </c>
      <c r="AB2679" s="4">
        <v>1</v>
      </c>
      <c r="AC2679" s="4">
        <v>5</v>
      </c>
      <c r="AD2679" s="4">
        <v>60</v>
      </c>
      <c r="AE2679" s="4">
        <v>88</v>
      </c>
      <c r="AF2679" s="4">
        <v>0</v>
      </c>
      <c r="AG2679" s="4">
        <v>2</v>
      </c>
      <c r="AH2679" s="4">
        <v>54</v>
      </c>
      <c r="AI2679" s="4">
        <v>78</v>
      </c>
      <c r="AJ2679" s="4">
        <v>9</v>
      </c>
      <c r="AK2679" s="4">
        <v>17</v>
      </c>
      <c r="AL2679" s="4">
        <v>30</v>
      </c>
      <c r="AM2679" s="4">
        <v>42</v>
      </c>
      <c r="AN2679" s="4">
        <v>0</v>
      </c>
      <c r="AO2679" s="4">
        <v>0</v>
      </c>
      <c r="AP2679" s="4">
        <v>12</v>
      </c>
      <c r="AQ2679" s="4">
        <v>19</v>
      </c>
      <c r="AR2679" s="3" t="s">
        <v>62</v>
      </c>
      <c r="AS2679" s="3" t="s">
        <v>62</v>
      </c>
      <c r="AT2679" s="3" t="s">
        <v>62</v>
      </c>
      <c r="AV2679" s="6" t="str">
        <f>HYPERLINK("http://mcgill.on.worldcat.org/oclc/798059551","Catalog Record")</f>
        <v>Catalog Record</v>
      </c>
      <c r="AW2679" s="6" t="str">
        <f>HYPERLINK("http://www.worldcat.org/oclc/798059551","WorldCat Record")</f>
        <v>WorldCat Record</v>
      </c>
      <c r="AX2679" s="3" t="s">
        <v>26299</v>
      </c>
      <c r="AY2679" s="3" t="s">
        <v>26300</v>
      </c>
      <c r="AZ2679" s="3" t="s">
        <v>26301</v>
      </c>
      <c r="BA2679" s="3" t="s">
        <v>26301</v>
      </c>
      <c r="BB2679" s="3" t="s">
        <v>26302</v>
      </c>
      <c r="BC2679" s="3" t="s">
        <v>142</v>
      </c>
      <c r="BD2679" s="3" t="s">
        <v>68</v>
      </c>
      <c r="BE2679" s="3" t="s">
        <v>26303</v>
      </c>
      <c r="BF2679" s="3" t="s">
        <v>26302</v>
      </c>
      <c r="BG2679" s="3" t="s">
        <v>26304</v>
      </c>
    </row>
    <row r="2680" spans="1:59" ht="71.25" x14ac:dyDescent="0.45">
      <c r="A2680" s="2" t="s">
        <v>59</v>
      </c>
      <c r="B2680" s="2" t="s">
        <v>60</v>
      </c>
      <c r="C2680" s="2" t="s">
        <v>26305</v>
      </c>
      <c r="D2680" s="2" t="s">
        <v>26306</v>
      </c>
      <c r="E2680" s="2" t="s">
        <v>26307</v>
      </c>
      <c r="G2680" s="3" t="s">
        <v>62</v>
      </c>
      <c r="I2680" s="3" t="s">
        <v>62</v>
      </c>
      <c r="J2680" s="3" t="s">
        <v>62</v>
      </c>
      <c r="K2680" s="3" t="s">
        <v>63</v>
      </c>
      <c r="L2680" s="2" t="s">
        <v>26308</v>
      </c>
      <c r="M2680" s="2" t="s">
        <v>1189</v>
      </c>
      <c r="N2680" s="3" t="s">
        <v>149</v>
      </c>
      <c r="P2680" s="3" t="s">
        <v>65</v>
      </c>
      <c r="Q2680" s="2" t="s">
        <v>26309</v>
      </c>
      <c r="R2680" s="3" t="s">
        <v>66</v>
      </c>
      <c r="S2680" s="4">
        <v>7</v>
      </c>
      <c r="T2680" s="4">
        <v>7</v>
      </c>
      <c r="U2680" s="5" t="s">
        <v>123</v>
      </c>
      <c r="V2680" s="5" t="s">
        <v>123</v>
      </c>
      <c r="W2680" s="5" t="s">
        <v>67</v>
      </c>
      <c r="X2680" s="5" t="s">
        <v>67</v>
      </c>
      <c r="Y2680" s="4">
        <v>261</v>
      </c>
      <c r="Z2680" s="4">
        <v>25</v>
      </c>
      <c r="AA2680" s="4">
        <v>104</v>
      </c>
      <c r="AB2680" s="4">
        <v>3</v>
      </c>
      <c r="AC2680" s="4">
        <v>19</v>
      </c>
      <c r="AD2680" s="4">
        <v>83</v>
      </c>
      <c r="AE2680" s="4">
        <v>148</v>
      </c>
      <c r="AF2680" s="4">
        <v>1</v>
      </c>
      <c r="AG2680" s="4">
        <v>8</v>
      </c>
      <c r="AH2680" s="4">
        <v>74</v>
      </c>
      <c r="AI2680" s="4">
        <v>103</v>
      </c>
      <c r="AJ2680" s="4">
        <v>14</v>
      </c>
      <c r="AK2680" s="4">
        <v>28</v>
      </c>
      <c r="AL2680" s="4">
        <v>43</v>
      </c>
      <c r="AM2680" s="4">
        <v>54</v>
      </c>
      <c r="AN2680" s="4">
        <v>0</v>
      </c>
      <c r="AO2680" s="4">
        <v>0</v>
      </c>
      <c r="AP2680" s="4">
        <v>17</v>
      </c>
      <c r="AQ2680" s="4">
        <v>55</v>
      </c>
      <c r="AR2680" s="3" t="s">
        <v>62</v>
      </c>
      <c r="AS2680" s="3" t="s">
        <v>62</v>
      </c>
      <c r="AT2680" s="3" t="s">
        <v>62</v>
      </c>
      <c r="AV2680" s="6" t="str">
        <f>HYPERLINK("http://mcgill.on.worldcat.org/oclc/277196171","Catalog Record")</f>
        <v>Catalog Record</v>
      </c>
      <c r="AW2680" s="6" t="str">
        <f>HYPERLINK("http://www.worldcat.org/oclc/277196171","WorldCat Record")</f>
        <v>WorldCat Record</v>
      </c>
      <c r="AX2680" s="3" t="s">
        <v>26310</v>
      </c>
      <c r="AY2680" s="3" t="s">
        <v>26311</v>
      </c>
      <c r="AZ2680" s="3" t="s">
        <v>26312</v>
      </c>
      <c r="BA2680" s="3" t="s">
        <v>26312</v>
      </c>
      <c r="BB2680" s="3" t="s">
        <v>26313</v>
      </c>
      <c r="BC2680" s="3" t="s">
        <v>142</v>
      </c>
      <c r="BD2680" s="3" t="s">
        <v>308</v>
      </c>
      <c r="BE2680" s="3" t="s">
        <v>26314</v>
      </c>
      <c r="BF2680" s="3" t="s">
        <v>26313</v>
      </c>
      <c r="BG2680" s="3" t="s">
        <v>26315</v>
      </c>
    </row>
    <row r="2681" spans="1:59" ht="57" x14ac:dyDescent="0.45">
      <c r="A2681" s="2" t="s">
        <v>59</v>
      </c>
      <c r="B2681" s="2" t="s">
        <v>60</v>
      </c>
      <c r="C2681" s="2" t="s">
        <v>26316</v>
      </c>
      <c r="D2681" s="2" t="s">
        <v>26317</v>
      </c>
      <c r="E2681" s="2" t="s">
        <v>26318</v>
      </c>
      <c r="G2681" s="3" t="s">
        <v>62</v>
      </c>
      <c r="I2681" s="3" t="s">
        <v>62</v>
      </c>
      <c r="J2681" s="3" t="s">
        <v>62</v>
      </c>
      <c r="K2681" s="3" t="s">
        <v>63</v>
      </c>
      <c r="L2681" s="2" t="s">
        <v>26319</v>
      </c>
      <c r="M2681" s="2" t="s">
        <v>17739</v>
      </c>
      <c r="N2681" s="3" t="s">
        <v>894</v>
      </c>
      <c r="P2681" s="3" t="s">
        <v>65</v>
      </c>
      <c r="R2681" s="3" t="s">
        <v>66</v>
      </c>
      <c r="S2681" s="4">
        <v>3</v>
      </c>
      <c r="T2681" s="4">
        <v>3</v>
      </c>
      <c r="U2681" s="5" t="s">
        <v>26320</v>
      </c>
      <c r="V2681" s="5" t="s">
        <v>26320</v>
      </c>
      <c r="W2681" s="5" t="s">
        <v>67</v>
      </c>
      <c r="X2681" s="5" t="s">
        <v>67</v>
      </c>
      <c r="Y2681" s="4">
        <v>363</v>
      </c>
      <c r="Z2681" s="4">
        <v>30</v>
      </c>
      <c r="AA2681" s="4">
        <v>106</v>
      </c>
      <c r="AB2681" s="4">
        <v>2</v>
      </c>
      <c r="AC2681" s="4">
        <v>18</v>
      </c>
      <c r="AD2681" s="4">
        <v>102</v>
      </c>
      <c r="AE2681" s="4">
        <v>149</v>
      </c>
      <c r="AF2681" s="4">
        <v>1</v>
      </c>
      <c r="AG2681" s="4">
        <v>8</v>
      </c>
      <c r="AH2681" s="4">
        <v>90</v>
      </c>
      <c r="AI2681" s="4">
        <v>108</v>
      </c>
      <c r="AJ2681" s="4">
        <v>16</v>
      </c>
      <c r="AK2681" s="4">
        <v>26</v>
      </c>
      <c r="AL2681" s="4">
        <v>49</v>
      </c>
      <c r="AM2681" s="4">
        <v>58</v>
      </c>
      <c r="AN2681" s="4">
        <v>0</v>
      </c>
      <c r="AO2681" s="4">
        <v>0</v>
      </c>
      <c r="AP2681" s="4">
        <v>22</v>
      </c>
      <c r="AQ2681" s="4">
        <v>50</v>
      </c>
      <c r="AR2681" s="3" t="s">
        <v>62</v>
      </c>
      <c r="AS2681" s="3" t="s">
        <v>62</v>
      </c>
      <c r="AT2681" s="3" t="s">
        <v>62</v>
      </c>
      <c r="AV2681" s="6" t="str">
        <f>HYPERLINK("http://mcgill.on.worldcat.org/oclc/690585248","Catalog Record")</f>
        <v>Catalog Record</v>
      </c>
      <c r="AW2681" s="6" t="str">
        <f>HYPERLINK("http://www.worldcat.org/oclc/690585248","WorldCat Record")</f>
        <v>WorldCat Record</v>
      </c>
      <c r="AX2681" s="3" t="s">
        <v>26321</v>
      </c>
      <c r="AY2681" s="3" t="s">
        <v>26322</v>
      </c>
      <c r="AZ2681" s="3" t="s">
        <v>26323</v>
      </c>
      <c r="BA2681" s="3" t="s">
        <v>26323</v>
      </c>
      <c r="BB2681" s="3" t="s">
        <v>26324</v>
      </c>
      <c r="BC2681" s="3" t="s">
        <v>142</v>
      </c>
      <c r="BD2681" s="3" t="s">
        <v>68</v>
      </c>
      <c r="BE2681" s="3" t="s">
        <v>26325</v>
      </c>
      <c r="BF2681" s="3" t="s">
        <v>26324</v>
      </c>
      <c r="BG2681" s="3" t="s">
        <v>26326</v>
      </c>
    </row>
    <row r="2682" spans="1:59" ht="57" x14ac:dyDescent="0.45">
      <c r="A2682" s="2" t="s">
        <v>59</v>
      </c>
      <c r="B2682" s="2" t="s">
        <v>60</v>
      </c>
      <c r="C2682" s="2" t="s">
        <v>26327</v>
      </c>
      <c r="D2682" s="2" t="s">
        <v>26328</v>
      </c>
      <c r="E2682" s="2" t="s">
        <v>26329</v>
      </c>
      <c r="G2682" s="3" t="s">
        <v>62</v>
      </c>
      <c r="I2682" s="3" t="s">
        <v>62</v>
      </c>
      <c r="J2682" s="3" t="s">
        <v>62</v>
      </c>
      <c r="K2682" s="3" t="s">
        <v>63</v>
      </c>
      <c r="L2682" s="2" t="s">
        <v>26330</v>
      </c>
      <c r="M2682" s="2" t="s">
        <v>19678</v>
      </c>
      <c r="N2682" s="3" t="s">
        <v>1155</v>
      </c>
      <c r="P2682" s="3" t="s">
        <v>65</v>
      </c>
      <c r="R2682" s="3" t="s">
        <v>66</v>
      </c>
      <c r="S2682" s="4">
        <v>4</v>
      </c>
      <c r="T2682" s="4">
        <v>4</v>
      </c>
      <c r="U2682" s="5" t="s">
        <v>26331</v>
      </c>
      <c r="V2682" s="5" t="s">
        <v>26331</v>
      </c>
      <c r="W2682" s="5" t="s">
        <v>67</v>
      </c>
      <c r="X2682" s="5" t="s">
        <v>67</v>
      </c>
      <c r="Y2682" s="4">
        <v>202</v>
      </c>
      <c r="Z2682" s="4">
        <v>16</v>
      </c>
      <c r="AA2682" s="4">
        <v>27</v>
      </c>
      <c r="AB2682" s="4">
        <v>1</v>
      </c>
      <c r="AC2682" s="4">
        <v>4</v>
      </c>
      <c r="AD2682" s="4">
        <v>49</v>
      </c>
      <c r="AE2682" s="4">
        <v>56</v>
      </c>
      <c r="AF2682" s="4">
        <v>0</v>
      </c>
      <c r="AG2682" s="4">
        <v>1</v>
      </c>
      <c r="AH2682" s="4">
        <v>45</v>
      </c>
      <c r="AI2682" s="4">
        <v>51</v>
      </c>
      <c r="AJ2682" s="4">
        <v>5</v>
      </c>
      <c r="AK2682" s="4">
        <v>7</v>
      </c>
      <c r="AL2682" s="4">
        <v>30</v>
      </c>
      <c r="AM2682" s="4">
        <v>32</v>
      </c>
      <c r="AN2682" s="4">
        <v>0</v>
      </c>
      <c r="AO2682" s="4">
        <v>0</v>
      </c>
      <c r="AP2682" s="4">
        <v>8</v>
      </c>
      <c r="AQ2682" s="4">
        <v>10</v>
      </c>
      <c r="AR2682" s="3" t="s">
        <v>62</v>
      </c>
      <c r="AS2682" s="3" t="s">
        <v>62</v>
      </c>
      <c r="AT2682" s="3" t="s">
        <v>62</v>
      </c>
      <c r="AV2682" s="6" t="str">
        <f>HYPERLINK("http://mcgill.on.worldcat.org/oclc/706409852","Catalog Record")</f>
        <v>Catalog Record</v>
      </c>
      <c r="AW2682" s="6" t="str">
        <f>HYPERLINK("http://www.worldcat.org/oclc/706409852","WorldCat Record")</f>
        <v>WorldCat Record</v>
      </c>
      <c r="AX2682" s="3" t="s">
        <v>26332</v>
      </c>
      <c r="AY2682" s="3" t="s">
        <v>26333</v>
      </c>
      <c r="AZ2682" s="3" t="s">
        <v>26334</v>
      </c>
      <c r="BA2682" s="3" t="s">
        <v>26334</v>
      </c>
      <c r="BB2682" s="3" t="s">
        <v>26335</v>
      </c>
      <c r="BC2682" s="3" t="s">
        <v>142</v>
      </c>
      <c r="BD2682" s="3" t="s">
        <v>68</v>
      </c>
      <c r="BE2682" s="3" t="s">
        <v>26336</v>
      </c>
      <c r="BF2682" s="3" t="s">
        <v>26335</v>
      </c>
      <c r="BG2682" s="3" t="s">
        <v>26337</v>
      </c>
    </row>
    <row r="2683" spans="1:59" ht="57" x14ac:dyDescent="0.45">
      <c r="A2683" s="2" t="s">
        <v>59</v>
      </c>
      <c r="B2683" s="2" t="s">
        <v>60</v>
      </c>
      <c r="C2683" s="2" t="s">
        <v>26338</v>
      </c>
      <c r="D2683" s="2" t="s">
        <v>26339</v>
      </c>
      <c r="E2683" s="2" t="s">
        <v>26340</v>
      </c>
      <c r="G2683" s="3" t="s">
        <v>62</v>
      </c>
      <c r="I2683" s="3" t="s">
        <v>62</v>
      </c>
      <c r="J2683" s="3" t="s">
        <v>62</v>
      </c>
      <c r="K2683" s="3" t="s">
        <v>63</v>
      </c>
      <c r="L2683" s="2" t="s">
        <v>26341</v>
      </c>
      <c r="M2683" s="2" t="s">
        <v>26342</v>
      </c>
      <c r="N2683" s="3" t="s">
        <v>894</v>
      </c>
      <c r="P2683" s="3" t="s">
        <v>65</v>
      </c>
      <c r="Q2683" s="2" t="s">
        <v>19497</v>
      </c>
      <c r="R2683" s="3" t="s">
        <v>66</v>
      </c>
      <c r="S2683" s="4">
        <v>4</v>
      </c>
      <c r="T2683" s="4">
        <v>4</v>
      </c>
      <c r="U2683" s="5" t="s">
        <v>26343</v>
      </c>
      <c r="V2683" s="5" t="s">
        <v>26343</v>
      </c>
      <c r="W2683" s="5" t="s">
        <v>67</v>
      </c>
      <c r="X2683" s="5" t="s">
        <v>67</v>
      </c>
      <c r="Y2683" s="4">
        <v>101</v>
      </c>
      <c r="Z2683" s="4">
        <v>10</v>
      </c>
      <c r="AA2683" s="4">
        <v>90</v>
      </c>
      <c r="AB2683" s="4">
        <v>2</v>
      </c>
      <c r="AC2683" s="4">
        <v>16</v>
      </c>
      <c r="AD2683" s="4">
        <v>21</v>
      </c>
      <c r="AE2683" s="4">
        <v>114</v>
      </c>
      <c r="AF2683" s="4">
        <v>1</v>
      </c>
      <c r="AG2683" s="4">
        <v>8</v>
      </c>
      <c r="AH2683" s="4">
        <v>17</v>
      </c>
      <c r="AI2683" s="4">
        <v>74</v>
      </c>
      <c r="AJ2683" s="4">
        <v>5</v>
      </c>
      <c r="AK2683" s="4">
        <v>23</v>
      </c>
      <c r="AL2683" s="4">
        <v>12</v>
      </c>
      <c r="AM2683" s="4">
        <v>41</v>
      </c>
      <c r="AN2683" s="4">
        <v>0</v>
      </c>
      <c r="AO2683" s="4">
        <v>0</v>
      </c>
      <c r="AP2683" s="4">
        <v>6</v>
      </c>
      <c r="AQ2683" s="4">
        <v>48</v>
      </c>
      <c r="AR2683" s="3" t="s">
        <v>62</v>
      </c>
      <c r="AS2683" s="3" t="s">
        <v>62</v>
      </c>
      <c r="AT2683" s="3" t="s">
        <v>62</v>
      </c>
      <c r="AV2683" s="6" t="str">
        <f>HYPERLINK("http://mcgill.on.worldcat.org/oclc/756882471","Catalog Record")</f>
        <v>Catalog Record</v>
      </c>
      <c r="AW2683" s="6" t="str">
        <f>HYPERLINK("http://www.worldcat.org/oclc/756882471","WorldCat Record")</f>
        <v>WorldCat Record</v>
      </c>
      <c r="AX2683" s="3" t="s">
        <v>26344</v>
      </c>
      <c r="AY2683" s="3" t="s">
        <v>26345</v>
      </c>
      <c r="AZ2683" s="3" t="s">
        <v>26346</v>
      </c>
      <c r="BA2683" s="3" t="s">
        <v>26346</v>
      </c>
      <c r="BB2683" s="3" t="s">
        <v>26347</v>
      </c>
      <c r="BC2683" s="3" t="s">
        <v>142</v>
      </c>
      <c r="BD2683" s="3" t="s">
        <v>68</v>
      </c>
      <c r="BE2683" s="3" t="s">
        <v>26348</v>
      </c>
      <c r="BF2683" s="3" t="s">
        <v>26347</v>
      </c>
      <c r="BG2683" s="3" t="s">
        <v>26349</v>
      </c>
    </row>
    <row r="2684" spans="1:59" ht="57" x14ac:dyDescent="0.45">
      <c r="A2684" s="2" t="s">
        <v>59</v>
      </c>
      <c r="B2684" s="2" t="s">
        <v>60</v>
      </c>
      <c r="C2684" s="2" t="s">
        <v>26350</v>
      </c>
      <c r="D2684" s="2" t="s">
        <v>26351</v>
      </c>
      <c r="E2684" s="2" t="s">
        <v>26352</v>
      </c>
      <c r="G2684" s="3" t="s">
        <v>62</v>
      </c>
      <c r="I2684" s="3" t="s">
        <v>62</v>
      </c>
      <c r="J2684" s="3" t="s">
        <v>62</v>
      </c>
      <c r="K2684" s="3" t="s">
        <v>63</v>
      </c>
      <c r="L2684" s="2" t="s">
        <v>26353</v>
      </c>
      <c r="M2684" s="2" t="s">
        <v>26354</v>
      </c>
      <c r="N2684" s="3" t="s">
        <v>918</v>
      </c>
      <c r="P2684" s="3" t="s">
        <v>65</v>
      </c>
      <c r="R2684" s="3" t="s">
        <v>66</v>
      </c>
      <c r="S2684" s="4">
        <v>21</v>
      </c>
      <c r="T2684" s="4">
        <v>21</v>
      </c>
      <c r="U2684" s="5" t="s">
        <v>26355</v>
      </c>
      <c r="V2684" s="5" t="s">
        <v>26355</v>
      </c>
      <c r="W2684" s="5" t="s">
        <v>67</v>
      </c>
      <c r="X2684" s="5" t="s">
        <v>67</v>
      </c>
      <c r="Y2684" s="4">
        <v>349</v>
      </c>
      <c r="Z2684" s="4">
        <v>25</v>
      </c>
      <c r="AA2684" s="4">
        <v>81</v>
      </c>
      <c r="AB2684" s="4">
        <v>3</v>
      </c>
      <c r="AC2684" s="4">
        <v>15</v>
      </c>
      <c r="AD2684" s="4">
        <v>91</v>
      </c>
      <c r="AE2684" s="4">
        <v>137</v>
      </c>
      <c r="AF2684" s="4">
        <v>2</v>
      </c>
      <c r="AG2684" s="4">
        <v>8</v>
      </c>
      <c r="AH2684" s="4">
        <v>81</v>
      </c>
      <c r="AI2684" s="4">
        <v>102</v>
      </c>
      <c r="AJ2684" s="4">
        <v>11</v>
      </c>
      <c r="AK2684" s="4">
        <v>24</v>
      </c>
      <c r="AL2684" s="4">
        <v>44</v>
      </c>
      <c r="AM2684" s="4">
        <v>55</v>
      </c>
      <c r="AN2684" s="4">
        <v>0</v>
      </c>
      <c r="AO2684" s="4">
        <v>0</v>
      </c>
      <c r="AP2684" s="4">
        <v>15</v>
      </c>
      <c r="AQ2684" s="4">
        <v>43</v>
      </c>
      <c r="AR2684" s="3" t="s">
        <v>62</v>
      </c>
      <c r="AS2684" s="3" t="s">
        <v>62</v>
      </c>
      <c r="AT2684" s="3" t="s">
        <v>62</v>
      </c>
      <c r="AV2684" s="6" t="str">
        <f>HYPERLINK("http://mcgill.on.worldcat.org/oclc/51505328","Catalog Record")</f>
        <v>Catalog Record</v>
      </c>
      <c r="AW2684" s="6" t="str">
        <f>HYPERLINK("http://www.worldcat.org/oclc/51505328","WorldCat Record")</f>
        <v>WorldCat Record</v>
      </c>
      <c r="AX2684" s="3" t="s">
        <v>26356</v>
      </c>
      <c r="AY2684" s="3" t="s">
        <v>26357</v>
      </c>
      <c r="AZ2684" s="3" t="s">
        <v>26358</v>
      </c>
      <c r="BA2684" s="3" t="s">
        <v>26358</v>
      </c>
      <c r="BB2684" s="3" t="s">
        <v>26359</v>
      </c>
      <c r="BC2684" s="3" t="s">
        <v>142</v>
      </c>
      <c r="BD2684" s="3" t="s">
        <v>68</v>
      </c>
      <c r="BE2684" s="3" t="s">
        <v>26360</v>
      </c>
      <c r="BF2684" s="3" t="s">
        <v>26359</v>
      </c>
      <c r="BG2684" s="3" t="s">
        <v>26361</v>
      </c>
    </row>
    <row r="2685" spans="1:59" ht="71.25" x14ac:dyDescent="0.45">
      <c r="A2685" s="2" t="s">
        <v>59</v>
      </c>
      <c r="B2685" s="2" t="s">
        <v>60</v>
      </c>
      <c r="C2685" s="2" t="s">
        <v>26362</v>
      </c>
      <c r="D2685" s="2" t="s">
        <v>26363</v>
      </c>
      <c r="E2685" s="2" t="s">
        <v>26364</v>
      </c>
      <c r="G2685" s="3" t="s">
        <v>62</v>
      </c>
      <c r="I2685" s="3" t="s">
        <v>62</v>
      </c>
      <c r="J2685" s="3" t="s">
        <v>62</v>
      </c>
      <c r="K2685" s="3" t="s">
        <v>63</v>
      </c>
      <c r="M2685" s="2" t="s">
        <v>26365</v>
      </c>
      <c r="N2685" s="3" t="s">
        <v>1212</v>
      </c>
      <c r="P2685" s="3" t="s">
        <v>65</v>
      </c>
      <c r="Q2685" s="2" t="s">
        <v>3508</v>
      </c>
      <c r="R2685" s="3" t="s">
        <v>66</v>
      </c>
      <c r="S2685" s="4">
        <v>4</v>
      </c>
      <c r="T2685" s="4">
        <v>4</v>
      </c>
      <c r="U2685" s="5" t="s">
        <v>1981</v>
      </c>
      <c r="V2685" s="5" t="s">
        <v>1981</v>
      </c>
      <c r="W2685" s="5" t="s">
        <v>67</v>
      </c>
      <c r="X2685" s="5" t="s">
        <v>67</v>
      </c>
      <c r="Y2685" s="4">
        <v>777</v>
      </c>
      <c r="Z2685" s="4">
        <v>34</v>
      </c>
      <c r="AA2685" s="4">
        <v>70</v>
      </c>
      <c r="AB2685" s="4">
        <v>2</v>
      </c>
      <c r="AC2685" s="4">
        <v>8</v>
      </c>
      <c r="AD2685" s="4">
        <v>115</v>
      </c>
      <c r="AE2685" s="4">
        <v>131</v>
      </c>
      <c r="AF2685" s="4">
        <v>1</v>
      </c>
      <c r="AG2685" s="4">
        <v>4</v>
      </c>
      <c r="AH2685" s="4">
        <v>97</v>
      </c>
      <c r="AI2685" s="4">
        <v>104</v>
      </c>
      <c r="AJ2685" s="4">
        <v>17</v>
      </c>
      <c r="AK2685" s="4">
        <v>22</v>
      </c>
      <c r="AL2685" s="4">
        <v>52</v>
      </c>
      <c r="AM2685" s="4">
        <v>55</v>
      </c>
      <c r="AN2685" s="4">
        <v>0</v>
      </c>
      <c r="AO2685" s="4">
        <v>0</v>
      </c>
      <c r="AP2685" s="4">
        <v>26</v>
      </c>
      <c r="AQ2685" s="4">
        <v>35</v>
      </c>
      <c r="AR2685" s="3" t="s">
        <v>62</v>
      </c>
      <c r="AS2685" s="3" t="s">
        <v>62</v>
      </c>
      <c r="AT2685" s="3" t="s">
        <v>62</v>
      </c>
      <c r="AV2685" s="6" t="str">
        <f>HYPERLINK("http://mcgill.on.worldcat.org/oclc/43032502","Catalog Record")</f>
        <v>Catalog Record</v>
      </c>
      <c r="AW2685" s="6" t="str">
        <f>HYPERLINK("http://www.worldcat.org/oclc/43032502","WorldCat Record")</f>
        <v>WorldCat Record</v>
      </c>
      <c r="AX2685" s="3" t="s">
        <v>26366</v>
      </c>
      <c r="AY2685" s="3" t="s">
        <v>26367</v>
      </c>
      <c r="AZ2685" s="3" t="s">
        <v>26368</v>
      </c>
      <c r="BA2685" s="3" t="s">
        <v>26368</v>
      </c>
      <c r="BB2685" s="3" t="s">
        <v>26369</v>
      </c>
      <c r="BC2685" s="3" t="s">
        <v>142</v>
      </c>
      <c r="BD2685" s="3" t="s">
        <v>68</v>
      </c>
      <c r="BE2685" s="3" t="s">
        <v>26370</v>
      </c>
      <c r="BF2685" s="3" t="s">
        <v>26369</v>
      </c>
      <c r="BG2685" s="3" t="s">
        <v>26371</v>
      </c>
    </row>
    <row r="2686" spans="1:59" ht="71.25" x14ac:dyDescent="0.45">
      <c r="A2686" s="2" t="s">
        <v>59</v>
      </c>
      <c r="B2686" s="2" t="s">
        <v>60</v>
      </c>
      <c r="C2686" s="2" t="s">
        <v>26372</v>
      </c>
      <c r="D2686" s="2" t="s">
        <v>26373</v>
      </c>
      <c r="E2686" s="2" t="s">
        <v>26374</v>
      </c>
      <c r="G2686" s="3" t="s">
        <v>62</v>
      </c>
      <c r="I2686" s="3" t="s">
        <v>62</v>
      </c>
      <c r="J2686" s="3" t="s">
        <v>62</v>
      </c>
      <c r="K2686" s="3" t="s">
        <v>63</v>
      </c>
      <c r="M2686" s="2" t="s">
        <v>26375</v>
      </c>
      <c r="N2686" s="3" t="s">
        <v>894</v>
      </c>
      <c r="P2686" s="3" t="s">
        <v>65</v>
      </c>
      <c r="R2686" s="3" t="s">
        <v>66</v>
      </c>
      <c r="S2686" s="4">
        <v>4</v>
      </c>
      <c r="T2686" s="4">
        <v>4</v>
      </c>
      <c r="U2686" s="5" t="s">
        <v>26355</v>
      </c>
      <c r="V2686" s="5" t="s">
        <v>26355</v>
      </c>
      <c r="W2686" s="5" t="s">
        <v>67</v>
      </c>
      <c r="X2686" s="5" t="s">
        <v>67</v>
      </c>
      <c r="Y2686" s="4">
        <v>94</v>
      </c>
      <c r="Z2686" s="4">
        <v>8</v>
      </c>
      <c r="AA2686" s="4">
        <v>11</v>
      </c>
      <c r="AB2686" s="4">
        <v>1</v>
      </c>
      <c r="AC2686" s="4">
        <v>4</v>
      </c>
      <c r="AD2686" s="4">
        <v>15</v>
      </c>
      <c r="AE2686" s="4">
        <v>16</v>
      </c>
      <c r="AF2686" s="4">
        <v>0</v>
      </c>
      <c r="AG2686" s="4">
        <v>1</v>
      </c>
      <c r="AH2686" s="4">
        <v>14</v>
      </c>
      <c r="AI2686" s="4">
        <v>14</v>
      </c>
      <c r="AJ2686" s="4">
        <v>2</v>
      </c>
      <c r="AK2686" s="4">
        <v>3</v>
      </c>
      <c r="AL2686" s="4">
        <v>9</v>
      </c>
      <c r="AM2686" s="4">
        <v>9</v>
      </c>
      <c r="AN2686" s="4">
        <v>0</v>
      </c>
      <c r="AO2686" s="4">
        <v>0</v>
      </c>
      <c r="AP2686" s="4">
        <v>3</v>
      </c>
      <c r="AQ2686" s="4">
        <v>4</v>
      </c>
      <c r="AR2686" s="3" t="s">
        <v>62</v>
      </c>
      <c r="AS2686" s="3" t="s">
        <v>62</v>
      </c>
      <c r="AT2686" s="3" t="s">
        <v>62</v>
      </c>
      <c r="AV2686" s="6" t="str">
        <f>HYPERLINK("http://mcgill.on.worldcat.org/oclc/713185476","Catalog Record")</f>
        <v>Catalog Record</v>
      </c>
      <c r="AW2686" s="6" t="str">
        <f>HYPERLINK("http://www.worldcat.org/oclc/713185476","WorldCat Record")</f>
        <v>WorldCat Record</v>
      </c>
      <c r="AX2686" s="3" t="s">
        <v>26376</v>
      </c>
      <c r="AY2686" s="3" t="s">
        <v>26377</v>
      </c>
      <c r="AZ2686" s="3" t="s">
        <v>26378</v>
      </c>
      <c r="BA2686" s="3" t="s">
        <v>26378</v>
      </c>
      <c r="BB2686" s="3" t="s">
        <v>26379</v>
      </c>
      <c r="BC2686" s="3" t="s">
        <v>142</v>
      </c>
      <c r="BD2686" s="3" t="s">
        <v>68</v>
      </c>
      <c r="BE2686" s="3" t="s">
        <v>26380</v>
      </c>
      <c r="BF2686" s="3" t="s">
        <v>26379</v>
      </c>
      <c r="BG2686" s="3" t="s">
        <v>26381</v>
      </c>
    </row>
    <row r="2687" spans="1:59" ht="57" x14ac:dyDescent="0.45">
      <c r="A2687" s="2" t="s">
        <v>59</v>
      </c>
      <c r="B2687" s="2" t="s">
        <v>60</v>
      </c>
      <c r="C2687" s="2" t="s">
        <v>26382</v>
      </c>
      <c r="D2687" s="2" t="s">
        <v>26383</v>
      </c>
      <c r="E2687" s="2" t="s">
        <v>26384</v>
      </c>
      <c r="G2687" s="3" t="s">
        <v>62</v>
      </c>
      <c r="I2687" s="3" t="s">
        <v>62</v>
      </c>
      <c r="J2687" s="3" t="s">
        <v>62</v>
      </c>
      <c r="K2687" s="3" t="s">
        <v>63</v>
      </c>
      <c r="M2687" s="2" t="s">
        <v>26385</v>
      </c>
      <c r="N2687" s="3" t="s">
        <v>1253</v>
      </c>
      <c r="P2687" s="3" t="s">
        <v>65</v>
      </c>
      <c r="R2687" s="3" t="s">
        <v>66</v>
      </c>
      <c r="S2687" s="4">
        <v>9</v>
      </c>
      <c r="T2687" s="4">
        <v>9</v>
      </c>
      <c r="U2687" s="5" t="s">
        <v>5147</v>
      </c>
      <c r="V2687" s="5" t="s">
        <v>5147</v>
      </c>
      <c r="W2687" s="5" t="s">
        <v>67</v>
      </c>
      <c r="X2687" s="5" t="s">
        <v>67</v>
      </c>
      <c r="Y2687" s="4">
        <v>29</v>
      </c>
      <c r="Z2687" s="4">
        <v>4</v>
      </c>
      <c r="AA2687" s="4">
        <v>5</v>
      </c>
      <c r="AB2687" s="4">
        <v>1</v>
      </c>
      <c r="AC2687" s="4">
        <v>1</v>
      </c>
      <c r="AD2687" s="4">
        <v>15</v>
      </c>
      <c r="AE2687" s="4">
        <v>16</v>
      </c>
      <c r="AF2687" s="4">
        <v>0</v>
      </c>
      <c r="AG2687" s="4">
        <v>0</v>
      </c>
      <c r="AH2687" s="4">
        <v>15</v>
      </c>
      <c r="AI2687" s="4">
        <v>16</v>
      </c>
      <c r="AJ2687" s="4">
        <v>2</v>
      </c>
      <c r="AK2687" s="4">
        <v>3</v>
      </c>
      <c r="AL2687" s="4">
        <v>10</v>
      </c>
      <c r="AM2687" s="4">
        <v>10</v>
      </c>
      <c r="AN2687" s="4">
        <v>0</v>
      </c>
      <c r="AO2687" s="4">
        <v>0</v>
      </c>
      <c r="AP2687" s="4">
        <v>2</v>
      </c>
      <c r="AQ2687" s="4">
        <v>3</v>
      </c>
      <c r="AR2687" s="3" t="s">
        <v>62</v>
      </c>
      <c r="AS2687" s="3" t="s">
        <v>62</v>
      </c>
      <c r="AT2687" s="3" t="s">
        <v>61</v>
      </c>
      <c r="AU2687" s="6" t="str">
        <f>HYPERLINK("http://catalog.hathitrust.org/Record/006209446","HathiTrust Record")</f>
        <v>HathiTrust Record</v>
      </c>
      <c r="AV2687" s="6" t="str">
        <f>HYPERLINK("http://mcgill.on.worldcat.org/oclc/37498008","Catalog Record")</f>
        <v>Catalog Record</v>
      </c>
      <c r="AW2687" s="6" t="str">
        <f>HYPERLINK("http://www.worldcat.org/oclc/37498008","WorldCat Record")</f>
        <v>WorldCat Record</v>
      </c>
      <c r="AX2687" s="3" t="s">
        <v>26386</v>
      </c>
      <c r="AY2687" s="3" t="s">
        <v>26387</v>
      </c>
      <c r="AZ2687" s="3" t="s">
        <v>26388</v>
      </c>
      <c r="BA2687" s="3" t="s">
        <v>26388</v>
      </c>
      <c r="BB2687" s="3" t="s">
        <v>26389</v>
      </c>
      <c r="BC2687" s="3" t="s">
        <v>142</v>
      </c>
      <c r="BD2687" s="3" t="s">
        <v>68</v>
      </c>
      <c r="BE2687" s="3" t="s">
        <v>26390</v>
      </c>
      <c r="BF2687" s="3" t="s">
        <v>26389</v>
      </c>
      <c r="BG2687" s="3" t="s">
        <v>26391</v>
      </c>
    </row>
    <row r="2688" spans="1:59" ht="57" x14ac:dyDescent="0.45">
      <c r="A2688" s="2" t="s">
        <v>59</v>
      </c>
      <c r="B2688" s="2" t="s">
        <v>60</v>
      </c>
      <c r="C2688" s="2" t="s">
        <v>26392</v>
      </c>
      <c r="D2688" s="2" t="s">
        <v>26393</v>
      </c>
      <c r="E2688" s="2" t="s">
        <v>26394</v>
      </c>
      <c r="G2688" s="3" t="s">
        <v>62</v>
      </c>
      <c r="I2688" s="3" t="s">
        <v>62</v>
      </c>
      <c r="J2688" s="3" t="s">
        <v>62</v>
      </c>
      <c r="K2688" s="3" t="s">
        <v>63</v>
      </c>
      <c r="L2688" s="2" t="s">
        <v>26395</v>
      </c>
      <c r="M2688" s="2" t="s">
        <v>9755</v>
      </c>
      <c r="N2688" s="3" t="s">
        <v>1155</v>
      </c>
      <c r="P2688" s="3" t="s">
        <v>65</v>
      </c>
      <c r="Q2688" s="2" t="s">
        <v>26396</v>
      </c>
      <c r="R2688" s="3" t="s">
        <v>66</v>
      </c>
      <c r="S2688" s="4">
        <v>1</v>
      </c>
      <c r="T2688" s="4">
        <v>1</v>
      </c>
      <c r="U2688" s="5" t="s">
        <v>26397</v>
      </c>
      <c r="V2688" s="5" t="s">
        <v>26397</v>
      </c>
      <c r="W2688" s="5" t="s">
        <v>67</v>
      </c>
      <c r="X2688" s="5" t="s">
        <v>67</v>
      </c>
      <c r="Y2688" s="4">
        <v>127</v>
      </c>
      <c r="Z2688" s="4">
        <v>17</v>
      </c>
      <c r="AA2688" s="4">
        <v>79</v>
      </c>
      <c r="AB2688" s="4">
        <v>2</v>
      </c>
      <c r="AC2688" s="4">
        <v>15</v>
      </c>
      <c r="AD2688" s="4">
        <v>50</v>
      </c>
      <c r="AE2688" s="4">
        <v>110</v>
      </c>
      <c r="AF2688" s="4">
        <v>1</v>
      </c>
      <c r="AG2688" s="4">
        <v>8</v>
      </c>
      <c r="AH2688" s="4">
        <v>42</v>
      </c>
      <c r="AI2688" s="4">
        <v>75</v>
      </c>
      <c r="AJ2688" s="4">
        <v>13</v>
      </c>
      <c r="AK2688" s="4">
        <v>22</v>
      </c>
      <c r="AL2688" s="4">
        <v>23</v>
      </c>
      <c r="AM2688" s="4">
        <v>38</v>
      </c>
      <c r="AN2688" s="4">
        <v>0</v>
      </c>
      <c r="AO2688" s="4">
        <v>0</v>
      </c>
      <c r="AP2688" s="4">
        <v>13</v>
      </c>
      <c r="AQ2688" s="4">
        <v>41</v>
      </c>
      <c r="AR2688" s="3" t="s">
        <v>62</v>
      </c>
      <c r="AS2688" s="3" t="s">
        <v>62</v>
      </c>
      <c r="AT2688" s="3" t="s">
        <v>62</v>
      </c>
      <c r="AV2688" s="6" t="str">
        <f>HYPERLINK("http://mcgill.on.worldcat.org/oclc/191925548","Catalog Record")</f>
        <v>Catalog Record</v>
      </c>
      <c r="AW2688" s="6" t="str">
        <f>HYPERLINK("http://www.worldcat.org/oclc/191925548","WorldCat Record")</f>
        <v>WorldCat Record</v>
      </c>
      <c r="AX2688" s="3" t="s">
        <v>26398</v>
      </c>
      <c r="AY2688" s="3" t="s">
        <v>26399</v>
      </c>
      <c r="AZ2688" s="3" t="s">
        <v>26400</v>
      </c>
      <c r="BA2688" s="3" t="s">
        <v>26400</v>
      </c>
      <c r="BB2688" s="3" t="s">
        <v>26401</v>
      </c>
      <c r="BC2688" s="3" t="s">
        <v>142</v>
      </c>
      <c r="BD2688" s="3" t="s">
        <v>68</v>
      </c>
      <c r="BE2688" s="3" t="s">
        <v>26402</v>
      </c>
      <c r="BF2688" s="3" t="s">
        <v>26401</v>
      </c>
      <c r="BG2688" s="3" t="s">
        <v>26403</v>
      </c>
    </row>
    <row r="2689" spans="1:59" ht="57" x14ac:dyDescent="0.45">
      <c r="A2689" s="2" t="s">
        <v>59</v>
      </c>
      <c r="B2689" s="2" t="s">
        <v>60</v>
      </c>
      <c r="C2689" s="2" t="s">
        <v>26404</v>
      </c>
      <c r="D2689" s="2" t="s">
        <v>26405</v>
      </c>
      <c r="E2689" s="2" t="s">
        <v>26406</v>
      </c>
      <c r="G2689" s="3" t="s">
        <v>62</v>
      </c>
      <c r="I2689" s="3" t="s">
        <v>62</v>
      </c>
      <c r="J2689" s="3" t="s">
        <v>62</v>
      </c>
      <c r="K2689" s="3" t="s">
        <v>63</v>
      </c>
      <c r="M2689" s="2" t="s">
        <v>16665</v>
      </c>
      <c r="N2689" s="3" t="s">
        <v>807</v>
      </c>
      <c r="P2689" s="3" t="s">
        <v>65</v>
      </c>
      <c r="Q2689" s="2" t="s">
        <v>21651</v>
      </c>
      <c r="R2689" s="3" t="s">
        <v>66</v>
      </c>
      <c r="S2689" s="4">
        <v>22</v>
      </c>
      <c r="T2689" s="4">
        <v>22</v>
      </c>
      <c r="U2689" s="5" t="s">
        <v>751</v>
      </c>
      <c r="V2689" s="5" t="s">
        <v>751</v>
      </c>
      <c r="W2689" s="5" t="s">
        <v>67</v>
      </c>
      <c r="X2689" s="5" t="s">
        <v>67</v>
      </c>
      <c r="Y2689" s="4">
        <v>317</v>
      </c>
      <c r="Z2689" s="4">
        <v>19</v>
      </c>
      <c r="AA2689" s="4">
        <v>25</v>
      </c>
      <c r="AB2689" s="4">
        <v>2</v>
      </c>
      <c r="AC2689" s="4">
        <v>7</v>
      </c>
      <c r="AD2689" s="4">
        <v>102</v>
      </c>
      <c r="AE2689" s="4">
        <v>105</v>
      </c>
      <c r="AF2689" s="4">
        <v>1</v>
      </c>
      <c r="AG2689" s="4">
        <v>3</v>
      </c>
      <c r="AH2689" s="4">
        <v>93</v>
      </c>
      <c r="AI2689" s="4">
        <v>94</v>
      </c>
      <c r="AJ2689" s="4">
        <v>15</v>
      </c>
      <c r="AK2689" s="4">
        <v>18</v>
      </c>
      <c r="AL2689" s="4">
        <v>50</v>
      </c>
      <c r="AM2689" s="4">
        <v>50</v>
      </c>
      <c r="AN2689" s="4">
        <v>0</v>
      </c>
      <c r="AO2689" s="4">
        <v>0</v>
      </c>
      <c r="AP2689" s="4">
        <v>17</v>
      </c>
      <c r="AQ2689" s="4">
        <v>19</v>
      </c>
      <c r="AR2689" s="3" t="s">
        <v>62</v>
      </c>
      <c r="AS2689" s="3" t="s">
        <v>62</v>
      </c>
      <c r="AT2689" s="3" t="s">
        <v>61</v>
      </c>
      <c r="AU2689" s="6" t="str">
        <f>HYPERLINK("http://catalog.hathitrust.org/Record/002461149","HathiTrust Record")</f>
        <v>HathiTrust Record</v>
      </c>
      <c r="AV2689" s="6" t="str">
        <f>HYPERLINK("http://mcgill.on.worldcat.org/oclc/22386981","Catalog Record")</f>
        <v>Catalog Record</v>
      </c>
      <c r="AW2689" s="6" t="str">
        <f>HYPERLINK("http://www.worldcat.org/oclc/22386981","WorldCat Record")</f>
        <v>WorldCat Record</v>
      </c>
      <c r="AX2689" s="3" t="s">
        <v>26407</v>
      </c>
      <c r="AY2689" s="3" t="s">
        <v>26408</v>
      </c>
      <c r="AZ2689" s="3" t="s">
        <v>26409</v>
      </c>
      <c r="BA2689" s="3" t="s">
        <v>26409</v>
      </c>
      <c r="BB2689" s="3" t="s">
        <v>26410</v>
      </c>
      <c r="BC2689" s="3" t="s">
        <v>142</v>
      </c>
      <c r="BD2689" s="3" t="s">
        <v>68</v>
      </c>
      <c r="BE2689" s="3" t="s">
        <v>26411</v>
      </c>
      <c r="BF2689" s="3" t="s">
        <v>26410</v>
      </c>
      <c r="BG2689" s="3" t="s">
        <v>26412</v>
      </c>
    </row>
    <row r="2690" spans="1:59" ht="114" x14ac:dyDescent="0.45">
      <c r="A2690" s="2" t="s">
        <v>59</v>
      </c>
      <c r="B2690" s="2" t="s">
        <v>690</v>
      </c>
      <c r="C2690" s="2" t="s">
        <v>26413</v>
      </c>
      <c r="D2690" s="2" t="s">
        <v>26414</v>
      </c>
      <c r="E2690" s="2" t="s">
        <v>26415</v>
      </c>
      <c r="G2690" s="3" t="s">
        <v>62</v>
      </c>
      <c r="I2690" s="3" t="s">
        <v>62</v>
      </c>
      <c r="J2690" s="3" t="s">
        <v>62</v>
      </c>
      <c r="K2690" s="3" t="s">
        <v>63</v>
      </c>
      <c r="L2690" s="2" t="s">
        <v>26416</v>
      </c>
      <c r="M2690" s="2" t="s">
        <v>26417</v>
      </c>
      <c r="N2690" s="3" t="s">
        <v>1688</v>
      </c>
      <c r="O2690" s="2" t="s">
        <v>696</v>
      </c>
      <c r="P2690" s="3" t="s">
        <v>697</v>
      </c>
      <c r="Q2690" s="2" t="s">
        <v>15876</v>
      </c>
      <c r="R2690" s="3" t="s">
        <v>66</v>
      </c>
      <c r="S2690" s="4">
        <v>0</v>
      </c>
      <c r="T2690" s="4">
        <v>0</v>
      </c>
      <c r="W2690" s="5" t="s">
        <v>67</v>
      </c>
      <c r="X2690" s="5" t="s">
        <v>67</v>
      </c>
      <c r="Y2690" s="4">
        <v>15</v>
      </c>
      <c r="Z2690" s="4">
        <v>1</v>
      </c>
      <c r="AA2690" s="4">
        <v>1</v>
      </c>
      <c r="AB2690" s="4">
        <v>1</v>
      </c>
      <c r="AC2690" s="4">
        <v>1</v>
      </c>
      <c r="AD2690" s="4">
        <v>11</v>
      </c>
      <c r="AE2690" s="4">
        <v>11</v>
      </c>
      <c r="AF2690" s="4">
        <v>0</v>
      </c>
      <c r="AG2690" s="4">
        <v>0</v>
      </c>
      <c r="AH2690" s="4">
        <v>11</v>
      </c>
      <c r="AI2690" s="4">
        <v>11</v>
      </c>
      <c r="AJ2690" s="4">
        <v>0</v>
      </c>
      <c r="AK2690" s="4">
        <v>0</v>
      </c>
      <c r="AL2690" s="4">
        <v>10</v>
      </c>
      <c r="AM2690" s="4">
        <v>10</v>
      </c>
      <c r="AN2690" s="4">
        <v>0</v>
      </c>
      <c r="AO2690" s="4">
        <v>0</v>
      </c>
      <c r="AP2690" s="4">
        <v>0</v>
      </c>
      <c r="AQ2690" s="4">
        <v>0</v>
      </c>
      <c r="AR2690" s="3" t="s">
        <v>62</v>
      </c>
      <c r="AS2690" s="3" t="s">
        <v>62</v>
      </c>
      <c r="AT2690" s="3" t="s">
        <v>62</v>
      </c>
      <c r="AV2690" s="6" t="str">
        <f>HYPERLINK("http://mcgill.on.worldcat.org/oclc/870959192","Catalog Record")</f>
        <v>Catalog Record</v>
      </c>
      <c r="AW2690" s="6" t="str">
        <f>HYPERLINK("http://www.worldcat.org/oclc/870959192","WorldCat Record")</f>
        <v>WorldCat Record</v>
      </c>
      <c r="AX2690" s="3" t="s">
        <v>26418</v>
      </c>
      <c r="AY2690" s="3" t="s">
        <v>26419</v>
      </c>
      <c r="AZ2690" s="3" t="s">
        <v>26420</v>
      </c>
      <c r="BA2690" s="3" t="s">
        <v>26420</v>
      </c>
      <c r="BB2690" s="3" t="s">
        <v>26421</v>
      </c>
      <c r="BC2690" s="3" t="s">
        <v>142</v>
      </c>
      <c r="BD2690" s="3" t="s">
        <v>68</v>
      </c>
      <c r="BE2690" s="3" t="s">
        <v>26422</v>
      </c>
      <c r="BF2690" s="3" t="s">
        <v>26421</v>
      </c>
      <c r="BG2690" s="3" t="s">
        <v>26423</v>
      </c>
    </row>
    <row r="2691" spans="1:59" ht="57" x14ac:dyDescent="0.45">
      <c r="A2691" s="2" t="s">
        <v>59</v>
      </c>
      <c r="B2691" s="2" t="s">
        <v>60</v>
      </c>
      <c r="C2691" s="2" t="s">
        <v>26424</v>
      </c>
      <c r="D2691" s="2" t="s">
        <v>26425</v>
      </c>
      <c r="E2691" s="2" t="s">
        <v>26426</v>
      </c>
      <c r="G2691" s="3" t="s">
        <v>62</v>
      </c>
      <c r="I2691" s="3" t="s">
        <v>61</v>
      </c>
      <c r="J2691" s="3" t="s">
        <v>62</v>
      </c>
      <c r="K2691" s="3" t="s">
        <v>63</v>
      </c>
      <c r="L2691" s="2" t="s">
        <v>26427</v>
      </c>
      <c r="M2691" s="2" t="s">
        <v>26428</v>
      </c>
      <c r="N2691" s="3" t="s">
        <v>970</v>
      </c>
      <c r="P2691" s="3" t="s">
        <v>65</v>
      </c>
      <c r="R2691" s="3" t="s">
        <v>66</v>
      </c>
      <c r="S2691" s="4">
        <v>39</v>
      </c>
      <c r="T2691" s="4">
        <v>76</v>
      </c>
      <c r="U2691" s="5" t="s">
        <v>26429</v>
      </c>
      <c r="V2691" s="5" t="s">
        <v>26430</v>
      </c>
      <c r="W2691" s="5" t="s">
        <v>67</v>
      </c>
      <c r="X2691" s="5" t="s">
        <v>67</v>
      </c>
      <c r="Y2691" s="4">
        <v>249</v>
      </c>
      <c r="Z2691" s="4">
        <v>65</v>
      </c>
      <c r="AA2691" s="4">
        <v>121</v>
      </c>
      <c r="AB2691" s="4">
        <v>2</v>
      </c>
      <c r="AC2691" s="4">
        <v>19</v>
      </c>
      <c r="AD2691" s="4">
        <v>111</v>
      </c>
      <c r="AE2691" s="4">
        <v>146</v>
      </c>
      <c r="AF2691" s="4">
        <v>1</v>
      </c>
      <c r="AG2691" s="4">
        <v>9</v>
      </c>
      <c r="AH2691" s="4">
        <v>79</v>
      </c>
      <c r="AI2691" s="4">
        <v>94</v>
      </c>
      <c r="AJ2691" s="4">
        <v>22</v>
      </c>
      <c r="AK2691" s="4">
        <v>29</v>
      </c>
      <c r="AL2691" s="4">
        <v>40</v>
      </c>
      <c r="AM2691" s="4">
        <v>46</v>
      </c>
      <c r="AN2691" s="4">
        <v>0</v>
      </c>
      <c r="AO2691" s="4">
        <v>0</v>
      </c>
      <c r="AP2691" s="4">
        <v>37</v>
      </c>
      <c r="AQ2691" s="4">
        <v>59</v>
      </c>
      <c r="AR2691" s="3" t="s">
        <v>61</v>
      </c>
      <c r="AS2691" s="3" t="s">
        <v>62</v>
      </c>
      <c r="AT2691" s="3" t="s">
        <v>62</v>
      </c>
      <c r="AV2691" s="6" t="str">
        <f>HYPERLINK("http://mcgill.on.worldcat.org/oclc/50111865","Catalog Record")</f>
        <v>Catalog Record</v>
      </c>
      <c r="AW2691" s="6" t="str">
        <f>HYPERLINK("http://www.worldcat.org/oclc/50111865","WorldCat Record")</f>
        <v>WorldCat Record</v>
      </c>
      <c r="AX2691" s="3" t="s">
        <v>26431</v>
      </c>
      <c r="AY2691" s="3" t="s">
        <v>26432</v>
      </c>
      <c r="AZ2691" s="3" t="s">
        <v>26433</v>
      </c>
      <c r="BA2691" s="3" t="s">
        <v>26433</v>
      </c>
      <c r="BB2691" s="3" t="s">
        <v>26434</v>
      </c>
      <c r="BC2691" s="3" t="s">
        <v>142</v>
      </c>
      <c r="BD2691" s="3" t="s">
        <v>308</v>
      </c>
      <c r="BE2691" s="3" t="s">
        <v>26435</v>
      </c>
      <c r="BF2691" s="3" t="s">
        <v>26434</v>
      </c>
      <c r="BG2691" s="3" t="s">
        <v>26436</v>
      </c>
    </row>
    <row r="2692" spans="1:59" ht="57" x14ac:dyDescent="0.45">
      <c r="A2692" s="2" t="s">
        <v>59</v>
      </c>
      <c r="B2692" s="2" t="s">
        <v>60</v>
      </c>
      <c r="C2692" s="2" t="s">
        <v>26424</v>
      </c>
      <c r="D2692" s="2" t="s">
        <v>26425</v>
      </c>
      <c r="E2692" s="2" t="s">
        <v>26426</v>
      </c>
      <c r="G2692" s="3" t="s">
        <v>62</v>
      </c>
      <c r="I2692" s="3" t="s">
        <v>61</v>
      </c>
      <c r="J2692" s="3" t="s">
        <v>62</v>
      </c>
      <c r="K2692" s="3" t="s">
        <v>63</v>
      </c>
      <c r="L2692" s="2" t="s">
        <v>26427</v>
      </c>
      <c r="M2692" s="2" t="s">
        <v>26428</v>
      </c>
      <c r="N2692" s="3" t="s">
        <v>970</v>
      </c>
      <c r="P2692" s="3" t="s">
        <v>65</v>
      </c>
      <c r="R2692" s="3" t="s">
        <v>66</v>
      </c>
      <c r="S2692" s="4">
        <v>37</v>
      </c>
      <c r="T2692" s="4">
        <v>76</v>
      </c>
      <c r="U2692" s="5" t="s">
        <v>26430</v>
      </c>
      <c r="V2692" s="5" t="s">
        <v>26430</v>
      </c>
      <c r="W2692" s="5" t="s">
        <v>67</v>
      </c>
      <c r="X2692" s="5" t="s">
        <v>67</v>
      </c>
      <c r="Y2692" s="4">
        <v>249</v>
      </c>
      <c r="Z2692" s="4">
        <v>65</v>
      </c>
      <c r="AA2692" s="4">
        <v>121</v>
      </c>
      <c r="AB2692" s="4">
        <v>2</v>
      </c>
      <c r="AC2692" s="4">
        <v>19</v>
      </c>
      <c r="AD2692" s="4">
        <v>111</v>
      </c>
      <c r="AE2692" s="4">
        <v>146</v>
      </c>
      <c r="AF2692" s="4">
        <v>1</v>
      </c>
      <c r="AG2692" s="4">
        <v>9</v>
      </c>
      <c r="AH2692" s="4">
        <v>79</v>
      </c>
      <c r="AI2692" s="4">
        <v>94</v>
      </c>
      <c r="AJ2692" s="4">
        <v>22</v>
      </c>
      <c r="AK2692" s="4">
        <v>29</v>
      </c>
      <c r="AL2692" s="4">
        <v>40</v>
      </c>
      <c r="AM2692" s="4">
        <v>46</v>
      </c>
      <c r="AN2692" s="4">
        <v>0</v>
      </c>
      <c r="AO2692" s="4">
        <v>0</v>
      </c>
      <c r="AP2692" s="4">
        <v>37</v>
      </c>
      <c r="AQ2692" s="4">
        <v>59</v>
      </c>
      <c r="AR2692" s="3" t="s">
        <v>61</v>
      </c>
      <c r="AS2692" s="3" t="s">
        <v>62</v>
      </c>
      <c r="AT2692" s="3" t="s">
        <v>62</v>
      </c>
      <c r="AV2692" s="6" t="str">
        <f>HYPERLINK("http://mcgill.on.worldcat.org/oclc/50111865","Catalog Record")</f>
        <v>Catalog Record</v>
      </c>
      <c r="AW2692" s="6" t="str">
        <f>HYPERLINK("http://www.worldcat.org/oclc/50111865","WorldCat Record")</f>
        <v>WorldCat Record</v>
      </c>
      <c r="AX2692" s="3" t="s">
        <v>26431</v>
      </c>
      <c r="AY2692" s="3" t="s">
        <v>26432</v>
      </c>
      <c r="AZ2692" s="3" t="s">
        <v>26433</v>
      </c>
      <c r="BA2692" s="3" t="s">
        <v>26433</v>
      </c>
      <c r="BB2692" s="3" t="s">
        <v>26437</v>
      </c>
      <c r="BC2692" s="3" t="s">
        <v>142</v>
      </c>
      <c r="BD2692" s="3" t="s">
        <v>68</v>
      </c>
      <c r="BE2692" s="3" t="s">
        <v>26435</v>
      </c>
      <c r="BF2692" s="3" t="s">
        <v>26437</v>
      </c>
      <c r="BG2692" s="3" t="s">
        <v>26438</v>
      </c>
    </row>
    <row r="2693" spans="1:59" ht="71.25" x14ac:dyDescent="0.45">
      <c r="A2693" s="2" t="s">
        <v>59</v>
      </c>
      <c r="B2693" s="2" t="s">
        <v>60</v>
      </c>
      <c r="C2693" s="2" t="s">
        <v>26439</v>
      </c>
      <c r="D2693" s="2" t="s">
        <v>26440</v>
      </c>
      <c r="E2693" s="2" t="s">
        <v>26441</v>
      </c>
      <c r="G2693" s="3" t="s">
        <v>62</v>
      </c>
      <c r="I2693" s="3" t="s">
        <v>62</v>
      </c>
      <c r="J2693" s="3" t="s">
        <v>62</v>
      </c>
      <c r="K2693" s="3" t="s">
        <v>63</v>
      </c>
      <c r="L2693" s="2" t="s">
        <v>26442</v>
      </c>
      <c r="M2693" s="2" t="s">
        <v>26443</v>
      </c>
      <c r="N2693" s="3" t="s">
        <v>181</v>
      </c>
      <c r="P2693" s="3" t="s">
        <v>65</v>
      </c>
      <c r="Q2693" s="2" t="s">
        <v>26444</v>
      </c>
      <c r="R2693" s="3" t="s">
        <v>66</v>
      </c>
      <c r="S2693" s="4">
        <v>1</v>
      </c>
      <c r="T2693" s="4">
        <v>1</v>
      </c>
      <c r="U2693" s="5" t="s">
        <v>26445</v>
      </c>
      <c r="V2693" s="5" t="s">
        <v>26445</v>
      </c>
      <c r="W2693" s="5" t="s">
        <v>67</v>
      </c>
      <c r="X2693" s="5" t="s">
        <v>67</v>
      </c>
      <c r="Y2693" s="4">
        <v>105</v>
      </c>
      <c r="Z2693" s="4">
        <v>7</v>
      </c>
      <c r="AA2693" s="4">
        <v>29</v>
      </c>
      <c r="AB2693" s="4">
        <v>1</v>
      </c>
      <c r="AC2693" s="4">
        <v>6</v>
      </c>
      <c r="AD2693" s="4">
        <v>47</v>
      </c>
      <c r="AE2693" s="4">
        <v>79</v>
      </c>
      <c r="AF2693" s="4">
        <v>0</v>
      </c>
      <c r="AG2693" s="4">
        <v>3</v>
      </c>
      <c r="AH2693" s="4">
        <v>45</v>
      </c>
      <c r="AI2693" s="4">
        <v>65</v>
      </c>
      <c r="AJ2693" s="4">
        <v>5</v>
      </c>
      <c r="AK2693" s="4">
        <v>16</v>
      </c>
      <c r="AL2693" s="4">
        <v>29</v>
      </c>
      <c r="AM2693" s="4">
        <v>40</v>
      </c>
      <c r="AN2693" s="4">
        <v>0</v>
      </c>
      <c r="AO2693" s="4">
        <v>0</v>
      </c>
      <c r="AP2693" s="4">
        <v>5</v>
      </c>
      <c r="AQ2693" s="4">
        <v>22</v>
      </c>
      <c r="AR2693" s="3" t="s">
        <v>62</v>
      </c>
      <c r="AS2693" s="3" t="s">
        <v>61</v>
      </c>
      <c r="AT2693" s="3" t="s">
        <v>62</v>
      </c>
      <c r="AU2693" s="6" t="str">
        <f>HYPERLINK("http://catalog.hathitrust.org/Record/101687669","HathiTrust Record")</f>
        <v>HathiTrust Record</v>
      </c>
      <c r="AV2693" s="6" t="str">
        <f>HYPERLINK("http://mcgill.on.worldcat.org/oclc/946142263","Catalog Record")</f>
        <v>Catalog Record</v>
      </c>
      <c r="AW2693" s="6" t="str">
        <f>HYPERLINK("http://www.worldcat.org/oclc/946142263","WorldCat Record")</f>
        <v>WorldCat Record</v>
      </c>
      <c r="AX2693" s="3" t="s">
        <v>26446</v>
      </c>
      <c r="AY2693" s="3" t="s">
        <v>26447</v>
      </c>
      <c r="AZ2693" s="3" t="s">
        <v>26448</v>
      </c>
      <c r="BA2693" s="3" t="s">
        <v>26448</v>
      </c>
      <c r="BB2693" s="3" t="s">
        <v>26449</v>
      </c>
      <c r="BC2693" s="3" t="s">
        <v>142</v>
      </c>
      <c r="BD2693" s="3" t="s">
        <v>68</v>
      </c>
      <c r="BE2693" s="3" t="s">
        <v>26450</v>
      </c>
      <c r="BF2693" s="3" t="s">
        <v>26449</v>
      </c>
      <c r="BG2693" s="3" t="s">
        <v>26451</v>
      </c>
    </row>
    <row r="2694" spans="1:59" ht="71.25" x14ac:dyDescent="0.45">
      <c r="A2694" s="2" t="s">
        <v>59</v>
      </c>
      <c r="B2694" s="2" t="s">
        <v>60</v>
      </c>
      <c r="C2694" s="2" t="s">
        <v>26452</v>
      </c>
      <c r="D2694" s="2" t="s">
        <v>26453</v>
      </c>
      <c r="E2694" s="2" t="s">
        <v>26454</v>
      </c>
      <c r="G2694" s="3" t="s">
        <v>62</v>
      </c>
      <c r="I2694" s="3" t="s">
        <v>62</v>
      </c>
      <c r="J2694" s="3" t="s">
        <v>62</v>
      </c>
      <c r="K2694" s="3" t="s">
        <v>63</v>
      </c>
      <c r="L2694" s="2" t="s">
        <v>14737</v>
      </c>
      <c r="M2694" s="2" t="s">
        <v>26455</v>
      </c>
      <c r="N2694" s="3" t="s">
        <v>970</v>
      </c>
      <c r="P2694" s="3" t="s">
        <v>65</v>
      </c>
      <c r="Q2694" s="2" t="s">
        <v>26456</v>
      </c>
      <c r="R2694" s="3" t="s">
        <v>66</v>
      </c>
      <c r="S2694" s="4">
        <v>36</v>
      </c>
      <c r="T2694" s="4">
        <v>36</v>
      </c>
      <c r="U2694" s="5" t="s">
        <v>26457</v>
      </c>
      <c r="V2694" s="5" t="s">
        <v>26457</v>
      </c>
      <c r="W2694" s="5" t="s">
        <v>67</v>
      </c>
      <c r="X2694" s="5" t="s">
        <v>67</v>
      </c>
      <c r="Y2694" s="4">
        <v>775</v>
      </c>
      <c r="Z2694" s="4">
        <v>50</v>
      </c>
      <c r="AA2694" s="4">
        <v>57</v>
      </c>
      <c r="AB2694" s="4">
        <v>4</v>
      </c>
      <c r="AC2694" s="4">
        <v>10</v>
      </c>
      <c r="AD2694" s="4">
        <v>126</v>
      </c>
      <c r="AE2694" s="4">
        <v>130</v>
      </c>
      <c r="AF2694" s="4">
        <v>2</v>
      </c>
      <c r="AG2694" s="4">
        <v>5</v>
      </c>
      <c r="AH2694" s="4">
        <v>100</v>
      </c>
      <c r="AI2694" s="4">
        <v>102</v>
      </c>
      <c r="AJ2694" s="4">
        <v>19</v>
      </c>
      <c r="AK2694" s="4">
        <v>21</v>
      </c>
      <c r="AL2694" s="4">
        <v>54</v>
      </c>
      <c r="AM2694" s="4">
        <v>54</v>
      </c>
      <c r="AN2694" s="4">
        <v>0</v>
      </c>
      <c r="AO2694" s="4">
        <v>0</v>
      </c>
      <c r="AP2694" s="4">
        <v>34</v>
      </c>
      <c r="AQ2694" s="4">
        <v>36</v>
      </c>
      <c r="AR2694" s="3" t="s">
        <v>62</v>
      </c>
      <c r="AS2694" s="3" t="s">
        <v>62</v>
      </c>
      <c r="AT2694" s="3" t="s">
        <v>62</v>
      </c>
      <c r="AV2694" s="6" t="str">
        <f>HYPERLINK("http://mcgill.on.worldcat.org/oclc/47863236","Catalog Record")</f>
        <v>Catalog Record</v>
      </c>
      <c r="AW2694" s="6" t="str">
        <f>HYPERLINK("http://www.worldcat.org/oclc/47863236","WorldCat Record")</f>
        <v>WorldCat Record</v>
      </c>
      <c r="AX2694" s="3" t="s">
        <v>26458</v>
      </c>
      <c r="AY2694" s="3" t="s">
        <v>26459</v>
      </c>
      <c r="AZ2694" s="3" t="s">
        <v>26460</v>
      </c>
      <c r="BA2694" s="3" t="s">
        <v>26460</v>
      </c>
      <c r="BB2694" s="3" t="s">
        <v>26461</v>
      </c>
      <c r="BC2694" s="3" t="s">
        <v>142</v>
      </c>
      <c r="BD2694" s="3" t="s">
        <v>68</v>
      </c>
      <c r="BE2694" s="3" t="s">
        <v>26462</v>
      </c>
      <c r="BF2694" s="3" t="s">
        <v>26461</v>
      </c>
      <c r="BG2694" s="3" t="s">
        <v>26463</v>
      </c>
    </row>
    <row r="2695" spans="1:59" ht="71.25" x14ac:dyDescent="0.45">
      <c r="A2695" s="2" t="s">
        <v>59</v>
      </c>
      <c r="B2695" s="2" t="s">
        <v>60</v>
      </c>
      <c r="C2695" s="2" t="s">
        <v>26464</v>
      </c>
      <c r="D2695" s="2" t="s">
        <v>26465</v>
      </c>
      <c r="E2695" s="2" t="s">
        <v>26466</v>
      </c>
      <c r="G2695" s="3" t="s">
        <v>62</v>
      </c>
      <c r="I2695" s="3" t="s">
        <v>62</v>
      </c>
      <c r="J2695" s="3" t="s">
        <v>62</v>
      </c>
      <c r="K2695" s="3" t="s">
        <v>63</v>
      </c>
      <c r="L2695" s="2" t="s">
        <v>26467</v>
      </c>
      <c r="M2695" s="2" t="s">
        <v>12576</v>
      </c>
      <c r="N2695" s="3" t="s">
        <v>167</v>
      </c>
      <c r="P2695" s="3" t="s">
        <v>65</v>
      </c>
      <c r="Q2695" s="2" t="s">
        <v>18650</v>
      </c>
      <c r="R2695" s="3" t="s">
        <v>66</v>
      </c>
      <c r="S2695" s="4">
        <v>26</v>
      </c>
      <c r="T2695" s="4">
        <v>26</v>
      </c>
      <c r="U2695" s="5" t="s">
        <v>26468</v>
      </c>
      <c r="V2695" s="5" t="s">
        <v>26468</v>
      </c>
      <c r="W2695" s="5" t="s">
        <v>67</v>
      </c>
      <c r="X2695" s="5" t="s">
        <v>67</v>
      </c>
      <c r="Y2695" s="4">
        <v>1101</v>
      </c>
      <c r="Z2695" s="4">
        <v>24</v>
      </c>
      <c r="AA2695" s="4">
        <v>35</v>
      </c>
      <c r="AB2695" s="4">
        <v>2</v>
      </c>
      <c r="AC2695" s="4">
        <v>9</v>
      </c>
      <c r="AD2695" s="4">
        <v>122</v>
      </c>
      <c r="AE2695" s="4">
        <v>130</v>
      </c>
      <c r="AF2695" s="4">
        <v>1</v>
      </c>
      <c r="AG2695" s="4">
        <v>6</v>
      </c>
      <c r="AH2695" s="4">
        <v>106</v>
      </c>
      <c r="AI2695" s="4">
        <v>108</v>
      </c>
      <c r="AJ2695" s="4">
        <v>14</v>
      </c>
      <c r="AK2695" s="4">
        <v>18</v>
      </c>
      <c r="AL2695" s="4">
        <v>58</v>
      </c>
      <c r="AM2695" s="4">
        <v>59</v>
      </c>
      <c r="AN2695" s="4">
        <v>0</v>
      </c>
      <c r="AO2695" s="4">
        <v>0</v>
      </c>
      <c r="AP2695" s="4">
        <v>18</v>
      </c>
      <c r="AQ2695" s="4">
        <v>24</v>
      </c>
      <c r="AR2695" s="3" t="s">
        <v>62</v>
      </c>
      <c r="AS2695" s="3" t="s">
        <v>62</v>
      </c>
      <c r="AT2695" s="3" t="s">
        <v>62</v>
      </c>
      <c r="AV2695" s="6" t="str">
        <f>HYPERLINK("http://mcgill.on.worldcat.org/oclc/40179760","Catalog Record")</f>
        <v>Catalog Record</v>
      </c>
      <c r="AW2695" s="6" t="str">
        <f>HYPERLINK("http://www.worldcat.org/oclc/40179760","WorldCat Record")</f>
        <v>WorldCat Record</v>
      </c>
      <c r="AX2695" s="3" t="s">
        <v>26469</v>
      </c>
      <c r="AY2695" s="3" t="s">
        <v>26470</v>
      </c>
      <c r="AZ2695" s="3" t="s">
        <v>26471</v>
      </c>
      <c r="BA2695" s="3" t="s">
        <v>26471</v>
      </c>
      <c r="BB2695" s="3" t="s">
        <v>26472</v>
      </c>
      <c r="BC2695" s="3" t="s">
        <v>142</v>
      </c>
      <c r="BD2695" s="3" t="s">
        <v>8544</v>
      </c>
      <c r="BE2695" s="3" t="s">
        <v>26473</v>
      </c>
      <c r="BF2695" s="3" t="s">
        <v>26472</v>
      </c>
      <c r="BG2695" s="3" t="s">
        <v>26474</v>
      </c>
    </row>
    <row r="2696" spans="1:59" ht="71.25" x14ac:dyDescent="0.45">
      <c r="A2696" s="2" t="s">
        <v>59</v>
      </c>
      <c r="B2696" s="2" t="s">
        <v>60</v>
      </c>
      <c r="C2696" s="2" t="s">
        <v>26475</v>
      </c>
      <c r="D2696" s="2" t="s">
        <v>26476</v>
      </c>
      <c r="E2696" s="2" t="s">
        <v>26477</v>
      </c>
      <c r="G2696" s="3" t="s">
        <v>62</v>
      </c>
      <c r="I2696" s="3" t="s">
        <v>62</v>
      </c>
      <c r="J2696" s="3" t="s">
        <v>62</v>
      </c>
      <c r="K2696" s="3" t="s">
        <v>63</v>
      </c>
      <c r="L2696" s="2" t="s">
        <v>20494</v>
      </c>
      <c r="M2696" s="2" t="s">
        <v>10539</v>
      </c>
      <c r="N2696" s="3" t="s">
        <v>1212</v>
      </c>
      <c r="P2696" s="3" t="s">
        <v>65</v>
      </c>
      <c r="R2696" s="3" t="s">
        <v>66</v>
      </c>
      <c r="S2696" s="4">
        <v>3</v>
      </c>
      <c r="T2696" s="4">
        <v>3</v>
      </c>
      <c r="U2696" s="5" t="s">
        <v>5570</v>
      </c>
      <c r="V2696" s="5" t="s">
        <v>5570</v>
      </c>
      <c r="W2696" s="5" t="s">
        <v>67</v>
      </c>
      <c r="X2696" s="5" t="s">
        <v>67</v>
      </c>
      <c r="Y2696" s="4">
        <v>245</v>
      </c>
      <c r="Z2696" s="4">
        <v>11</v>
      </c>
      <c r="AA2696" s="4">
        <v>11</v>
      </c>
      <c r="AB2696" s="4">
        <v>1</v>
      </c>
      <c r="AC2696" s="4">
        <v>1</v>
      </c>
      <c r="AD2696" s="4">
        <v>78</v>
      </c>
      <c r="AE2696" s="4">
        <v>78</v>
      </c>
      <c r="AF2696" s="4">
        <v>0</v>
      </c>
      <c r="AG2696" s="4">
        <v>0</v>
      </c>
      <c r="AH2696" s="4">
        <v>74</v>
      </c>
      <c r="AI2696" s="4">
        <v>74</v>
      </c>
      <c r="AJ2696" s="4">
        <v>8</v>
      </c>
      <c r="AK2696" s="4">
        <v>8</v>
      </c>
      <c r="AL2696" s="4">
        <v>39</v>
      </c>
      <c r="AM2696" s="4">
        <v>39</v>
      </c>
      <c r="AN2696" s="4">
        <v>0</v>
      </c>
      <c r="AO2696" s="4">
        <v>0</v>
      </c>
      <c r="AP2696" s="4">
        <v>9</v>
      </c>
      <c r="AQ2696" s="4">
        <v>9</v>
      </c>
      <c r="AR2696" s="3" t="s">
        <v>62</v>
      </c>
      <c r="AS2696" s="3" t="s">
        <v>62</v>
      </c>
      <c r="AT2696" s="3" t="s">
        <v>62</v>
      </c>
      <c r="AV2696" s="6" t="str">
        <f>HYPERLINK("http://mcgill.on.worldcat.org/oclc/44701141","Catalog Record")</f>
        <v>Catalog Record</v>
      </c>
      <c r="AW2696" s="6" t="str">
        <f>HYPERLINK("http://www.worldcat.org/oclc/44701141","WorldCat Record")</f>
        <v>WorldCat Record</v>
      </c>
      <c r="AX2696" s="3" t="s">
        <v>26478</v>
      </c>
      <c r="AY2696" s="3" t="s">
        <v>26479</v>
      </c>
      <c r="AZ2696" s="3" t="s">
        <v>26480</v>
      </c>
      <c r="BA2696" s="3" t="s">
        <v>26480</v>
      </c>
      <c r="BB2696" s="3" t="s">
        <v>26481</v>
      </c>
      <c r="BC2696" s="3" t="s">
        <v>142</v>
      </c>
      <c r="BD2696" s="3" t="s">
        <v>68</v>
      </c>
      <c r="BE2696" s="3" t="s">
        <v>26482</v>
      </c>
      <c r="BF2696" s="3" t="s">
        <v>26481</v>
      </c>
      <c r="BG2696" s="3" t="s">
        <v>26483</v>
      </c>
    </row>
    <row r="2697" spans="1:59" ht="57" x14ac:dyDescent="0.45">
      <c r="A2697" s="2" t="s">
        <v>59</v>
      </c>
      <c r="B2697" s="2" t="s">
        <v>60</v>
      </c>
      <c r="C2697" s="2" t="s">
        <v>26484</v>
      </c>
      <c r="D2697" s="2" t="s">
        <v>26485</v>
      </c>
      <c r="E2697" s="2" t="s">
        <v>26486</v>
      </c>
      <c r="G2697" s="3" t="s">
        <v>62</v>
      </c>
      <c r="I2697" s="3" t="s">
        <v>62</v>
      </c>
      <c r="J2697" s="3" t="s">
        <v>62</v>
      </c>
      <c r="K2697" s="3" t="s">
        <v>63</v>
      </c>
      <c r="L2697" s="2" t="s">
        <v>26487</v>
      </c>
      <c r="M2697" s="2" t="s">
        <v>1009</v>
      </c>
      <c r="N2697" s="3" t="s">
        <v>894</v>
      </c>
      <c r="P2697" s="3" t="s">
        <v>65</v>
      </c>
      <c r="Q2697" s="2" t="s">
        <v>23695</v>
      </c>
      <c r="R2697" s="3" t="s">
        <v>66</v>
      </c>
      <c r="S2697" s="4">
        <v>2</v>
      </c>
      <c r="T2697" s="4">
        <v>2</v>
      </c>
      <c r="U2697" s="5" t="s">
        <v>22961</v>
      </c>
      <c r="V2697" s="5" t="s">
        <v>22961</v>
      </c>
      <c r="W2697" s="5" t="s">
        <v>67</v>
      </c>
      <c r="X2697" s="5" t="s">
        <v>67</v>
      </c>
      <c r="Y2697" s="4">
        <v>127</v>
      </c>
      <c r="Z2697" s="4">
        <v>20</v>
      </c>
      <c r="AA2697" s="4">
        <v>33</v>
      </c>
      <c r="AB2697" s="4">
        <v>1</v>
      </c>
      <c r="AC2697" s="4">
        <v>6</v>
      </c>
      <c r="AD2697" s="4">
        <v>55</v>
      </c>
      <c r="AE2697" s="4">
        <v>84</v>
      </c>
      <c r="AF2697" s="4">
        <v>0</v>
      </c>
      <c r="AG2697" s="4">
        <v>2</v>
      </c>
      <c r="AH2697" s="4">
        <v>48</v>
      </c>
      <c r="AI2697" s="4">
        <v>71</v>
      </c>
      <c r="AJ2697" s="4">
        <v>11</v>
      </c>
      <c r="AK2697" s="4">
        <v>13</v>
      </c>
      <c r="AL2697" s="4">
        <v>24</v>
      </c>
      <c r="AM2697" s="4">
        <v>35</v>
      </c>
      <c r="AN2697" s="4">
        <v>0</v>
      </c>
      <c r="AO2697" s="4">
        <v>0</v>
      </c>
      <c r="AP2697" s="4">
        <v>15</v>
      </c>
      <c r="AQ2697" s="4">
        <v>21</v>
      </c>
      <c r="AR2697" s="3" t="s">
        <v>62</v>
      </c>
      <c r="AS2697" s="3" t="s">
        <v>62</v>
      </c>
      <c r="AT2697" s="3" t="s">
        <v>62</v>
      </c>
      <c r="AV2697" s="6" t="str">
        <f>HYPERLINK("http://mcgill.on.worldcat.org/oclc/709812358","Catalog Record")</f>
        <v>Catalog Record</v>
      </c>
      <c r="AW2697" s="6" t="str">
        <f>HYPERLINK("http://www.worldcat.org/oclc/709812358","WorldCat Record")</f>
        <v>WorldCat Record</v>
      </c>
      <c r="AX2697" s="3" t="s">
        <v>26488</v>
      </c>
      <c r="AY2697" s="3" t="s">
        <v>26489</v>
      </c>
      <c r="AZ2697" s="3" t="s">
        <v>26490</v>
      </c>
      <c r="BA2697" s="3" t="s">
        <v>26490</v>
      </c>
      <c r="BB2697" s="3" t="s">
        <v>26491</v>
      </c>
      <c r="BC2697" s="3" t="s">
        <v>142</v>
      </c>
      <c r="BD2697" s="3" t="s">
        <v>68</v>
      </c>
      <c r="BE2697" s="3" t="s">
        <v>26492</v>
      </c>
      <c r="BF2697" s="3" t="s">
        <v>26491</v>
      </c>
      <c r="BG2697" s="3" t="s">
        <v>26493</v>
      </c>
    </row>
    <row r="2698" spans="1:59" ht="57" x14ac:dyDescent="0.45">
      <c r="A2698" s="2" t="s">
        <v>59</v>
      </c>
      <c r="B2698" s="2" t="s">
        <v>60</v>
      </c>
      <c r="C2698" s="2" t="s">
        <v>26494</v>
      </c>
      <c r="D2698" s="2" t="s">
        <v>26495</v>
      </c>
      <c r="E2698" s="2" t="s">
        <v>26496</v>
      </c>
      <c r="G2698" s="3" t="s">
        <v>62</v>
      </c>
      <c r="I2698" s="3" t="s">
        <v>62</v>
      </c>
      <c r="J2698" s="3" t="s">
        <v>62</v>
      </c>
      <c r="K2698" s="3" t="s">
        <v>63</v>
      </c>
      <c r="M2698" s="2" t="s">
        <v>26497</v>
      </c>
      <c r="N2698" s="3" t="s">
        <v>1688</v>
      </c>
      <c r="P2698" s="3" t="s">
        <v>65</v>
      </c>
      <c r="Q2698" s="2" t="s">
        <v>26498</v>
      </c>
      <c r="R2698" s="3" t="s">
        <v>66</v>
      </c>
      <c r="S2698" s="4">
        <v>6</v>
      </c>
      <c r="T2698" s="4">
        <v>6</v>
      </c>
      <c r="U2698" s="5" t="s">
        <v>26499</v>
      </c>
      <c r="V2698" s="5" t="s">
        <v>26499</v>
      </c>
      <c r="W2698" s="5" t="s">
        <v>67</v>
      </c>
      <c r="X2698" s="5" t="s">
        <v>67</v>
      </c>
      <c r="Y2698" s="4">
        <v>127</v>
      </c>
      <c r="Z2698" s="4">
        <v>17</v>
      </c>
      <c r="AA2698" s="4">
        <v>35</v>
      </c>
      <c r="AB2698" s="4">
        <v>1</v>
      </c>
      <c r="AC2698" s="4">
        <v>6</v>
      </c>
      <c r="AD2698" s="4">
        <v>59</v>
      </c>
      <c r="AE2698" s="4">
        <v>95</v>
      </c>
      <c r="AF2698" s="4">
        <v>0</v>
      </c>
      <c r="AG2698" s="4">
        <v>1</v>
      </c>
      <c r="AH2698" s="4">
        <v>53</v>
      </c>
      <c r="AI2698" s="4">
        <v>80</v>
      </c>
      <c r="AJ2698" s="4">
        <v>10</v>
      </c>
      <c r="AK2698" s="4">
        <v>15</v>
      </c>
      <c r="AL2698" s="4">
        <v>32</v>
      </c>
      <c r="AM2698" s="4">
        <v>45</v>
      </c>
      <c r="AN2698" s="4">
        <v>0</v>
      </c>
      <c r="AO2698" s="4">
        <v>0</v>
      </c>
      <c r="AP2698" s="4">
        <v>12</v>
      </c>
      <c r="AQ2698" s="4">
        <v>22</v>
      </c>
      <c r="AR2698" s="3" t="s">
        <v>62</v>
      </c>
      <c r="AS2698" s="3" t="s">
        <v>62</v>
      </c>
      <c r="AT2698" s="3" t="s">
        <v>62</v>
      </c>
      <c r="AV2698" s="6" t="str">
        <f>HYPERLINK("http://mcgill.on.worldcat.org/oclc/843862181","Catalog Record")</f>
        <v>Catalog Record</v>
      </c>
      <c r="AW2698" s="6" t="str">
        <f>HYPERLINK("http://www.worldcat.org/oclc/843862181","WorldCat Record")</f>
        <v>WorldCat Record</v>
      </c>
      <c r="AX2698" s="3" t="s">
        <v>26500</v>
      </c>
      <c r="AY2698" s="3" t="s">
        <v>26501</v>
      </c>
      <c r="AZ2698" s="3" t="s">
        <v>26502</v>
      </c>
      <c r="BA2698" s="3" t="s">
        <v>26502</v>
      </c>
      <c r="BB2698" s="3" t="s">
        <v>26503</v>
      </c>
      <c r="BC2698" s="3" t="s">
        <v>142</v>
      </c>
      <c r="BD2698" s="3" t="s">
        <v>68</v>
      </c>
      <c r="BE2698" s="3" t="s">
        <v>26504</v>
      </c>
      <c r="BF2698" s="3" t="s">
        <v>26503</v>
      </c>
      <c r="BG2698" s="3" t="s">
        <v>26505</v>
      </c>
    </row>
    <row r="2699" spans="1:59" ht="57" x14ac:dyDescent="0.45">
      <c r="A2699" s="2" t="s">
        <v>59</v>
      </c>
      <c r="B2699" s="2" t="s">
        <v>60</v>
      </c>
      <c r="C2699" s="2" t="s">
        <v>26506</v>
      </c>
      <c r="D2699" s="2" t="s">
        <v>26507</v>
      </c>
      <c r="E2699" s="2" t="s">
        <v>26508</v>
      </c>
      <c r="G2699" s="3" t="s">
        <v>62</v>
      </c>
      <c r="I2699" s="3" t="s">
        <v>62</v>
      </c>
      <c r="J2699" s="3" t="s">
        <v>62</v>
      </c>
      <c r="K2699" s="3" t="s">
        <v>63</v>
      </c>
      <c r="L2699" s="2" t="s">
        <v>26509</v>
      </c>
      <c r="M2699" s="2" t="s">
        <v>26510</v>
      </c>
      <c r="N2699" s="3" t="s">
        <v>1478</v>
      </c>
      <c r="P2699" s="3" t="s">
        <v>65</v>
      </c>
      <c r="Q2699" s="2" t="s">
        <v>18780</v>
      </c>
      <c r="R2699" s="3" t="s">
        <v>66</v>
      </c>
      <c r="S2699" s="4">
        <v>19</v>
      </c>
      <c r="T2699" s="4">
        <v>19</v>
      </c>
      <c r="U2699" s="5" t="s">
        <v>9350</v>
      </c>
      <c r="V2699" s="5" t="s">
        <v>9350</v>
      </c>
      <c r="W2699" s="5" t="s">
        <v>67</v>
      </c>
      <c r="X2699" s="5" t="s">
        <v>67</v>
      </c>
      <c r="Y2699" s="4">
        <v>538</v>
      </c>
      <c r="Z2699" s="4">
        <v>28</v>
      </c>
      <c r="AA2699" s="4">
        <v>36</v>
      </c>
      <c r="AB2699" s="4">
        <v>2</v>
      </c>
      <c r="AC2699" s="4">
        <v>7</v>
      </c>
      <c r="AD2699" s="4">
        <v>127</v>
      </c>
      <c r="AE2699" s="4">
        <v>129</v>
      </c>
      <c r="AF2699" s="4">
        <v>1</v>
      </c>
      <c r="AG2699" s="4">
        <v>3</v>
      </c>
      <c r="AH2699" s="4">
        <v>108</v>
      </c>
      <c r="AI2699" s="4">
        <v>109</v>
      </c>
      <c r="AJ2699" s="4">
        <v>14</v>
      </c>
      <c r="AK2699" s="4">
        <v>16</v>
      </c>
      <c r="AL2699" s="4">
        <v>62</v>
      </c>
      <c r="AM2699" s="4">
        <v>62</v>
      </c>
      <c r="AN2699" s="4">
        <v>0</v>
      </c>
      <c r="AO2699" s="4">
        <v>0</v>
      </c>
      <c r="AP2699" s="4">
        <v>22</v>
      </c>
      <c r="AQ2699" s="4">
        <v>23</v>
      </c>
      <c r="AR2699" s="3" t="s">
        <v>62</v>
      </c>
      <c r="AS2699" s="3" t="s">
        <v>62</v>
      </c>
      <c r="AT2699" s="3" t="s">
        <v>62</v>
      </c>
      <c r="AV2699" s="6" t="str">
        <f>HYPERLINK("http://mcgill.on.worldcat.org/oclc/33080087","Catalog Record")</f>
        <v>Catalog Record</v>
      </c>
      <c r="AW2699" s="6" t="str">
        <f>HYPERLINK("http://www.worldcat.org/oclc/33080087","WorldCat Record")</f>
        <v>WorldCat Record</v>
      </c>
      <c r="AX2699" s="3" t="s">
        <v>26511</v>
      </c>
      <c r="AY2699" s="3" t="s">
        <v>26512</v>
      </c>
      <c r="AZ2699" s="3" t="s">
        <v>26513</v>
      </c>
      <c r="BA2699" s="3" t="s">
        <v>26513</v>
      </c>
      <c r="BB2699" s="3" t="s">
        <v>26514</v>
      </c>
      <c r="BC2699" s="3" t="s">
        <v>142</v>
      </c>
      <c r="BD2699" s="3" t="s">
        <v>68</v>
      </c>
      <c r="BE2699" s="3" t="s">
        <v>26515</v>
      </c>
      <c r="BF2699" s="3" t="s">
        <v>26514</v>
      </c>
      <c r="BG2699" s="3" t="s">
        <v>26516</v>
      </c>
    </row>
    <row r="2700" spans="1:59" ht="57" x14ac:dyDescent="0.45">
      <c r="A2700" s="2" t="s">
        <v>59</v>
      </c>
      <c r="B2700" s="2" t="s">
        <v>60</v>
      </c>
      <c r="C2700" s="2" t="s">
        <v>26517</v>
      </c>
      <c r="D2700" s="2" t="s">
        <v>26518</v>
      </c>
      <c r="E2700" s="2" t="s">
        <v>26519</v>
      </c>
      <c r="G2700" s="3" t="s">
        <v>62</v>
      </c>
      <c r="I2700" s="3" t="s">
        <v>62</v>
      </c>
      <c r="J2700" s="3" t="s">
        <v>62</v>
      </c>
      <c r="K2700" s="3" t="s">
        <v>63</v>
      </c>
      <c r="L2700" s="2" t="s">
        <v>26520</v>
      </c>
      <c r="M2700" s="2" t="s">
        <v>26521</v>
      </c>
      <c r="N2700" s="3" t="s">
        <v>1097</v>
      </c>
      <c r="P2700" s="3" t="s">
        <v>65</v>
      </c>
      <c r="Q2700" s="2" t="s">
        <v>26522</v>
      </c>
      <c r="R2700" s="3" t="s">
        <v>66</v>
      </c>
      <c r="S2700" s="4">
        <v>12</v>
      </c>
      <c r="T2700" s="4">
        <v>12</v>
      </c>
      <c r="U2700" s="5" t="s">
        <v>11095</v>
      </c>
      <c r="V2700" s="5" t="s">
        <v>11095</v>
      </c>
      <c r="W2700" s="5" t="s">
        <v>67</v>
      </c>
      <c r="X2700" s="5" t="s">
        <v>67</v>
      </c>
      <c r="Y2700" s="4">
        <v>310</v>
      </c>
      <c r="Z2700" s="4">
        <v>27</v>
      </c>
      <c r="AA2700" s="4">
        <v>83</v>
      </c>
      <c r="AB2700" s="4">
        <v>3</v>
      </c>
      <c r="AC2700" s="4">
        <v>15</v>
      </c>
      <c r="AD2700" s="4">
        <v>101</v>
      </c>
      <c r="AE2700" s="4">
        <v>134</v>
      </c>
      <c r="AF2700" s="4">
        <v>2</v>
      </c>
      <c r="AG2700" s="4">
        <v>8</v>
      </c>
      <c r="AH2700" s="4">
        <v>87</v>
      </c>
      <c r="AI2700" s="4">
        <v>99</v>
      </c>
      <c r="AJ2700" s="4">
        <v>15</v>
      </c>
      <c r="AK2700" s="4">
        <v>25</v>
      </c>
      <c r="AL2700" s="4">
        <v>52</v>
      </c>
      <c r="AM2700" s="4">
        <v>54</v>
      </c>
      <c r="AN2700" s="4">
        <v>0</v>
      </c>
      <c r="AO2700" s="4">
        <v>0</v>
      </c>
      <c r="AP2700" s="4">
        <v>20</v>
      </c>
      <c r="AQ2700" s="4">
        <v>43</v>
      </c>
      <c r="AR2700" s="3" t="s">
        <v>62</v>
      </c>
      <c r="AS2700" s="3" t="s">
        <v>62</v>
      </c>
      <c r="AT2700" s="3" t="s">
        <v>62</v>
      </c>
      <c r="AV2700" s="6" t="str">
        <f>HYPERLINK("http://mcgill.on.worldcat.org/oclc/52990767","Catalog Record")</f>
        <v>Catalog Record</v>
      </c>
      <c r="AW2700" s="6" t="str">
        <f>HYPERLINK("http://www.worldcat.org/oclc/52990767","WorldCat Record")</f>
        <v>WorldCat Record</v>
      </c>
      <c r="AX2700" s="3" t="s">
        <v>26523</v>
      </c>
      <c r="AY2700" s="3" t="s">
        <v>26524</v>
      </c>
      <c r="AZ2700" s="3" t="s">
        <v>26525</v>
      </c>
      <c r="BA2700" s="3" t="s">
        <v>26525</v>
      </c>
      <c r="BB2700" s="3" t="s">
        <v>26526</v>
      </c>
      <c r="BC2700" s="3" t="s">
        <v>142</v>
      </c>
      <c r="BD2700" s="3" t="s">
        <v>308</v>
      </c>
      <c r="BE2700" s="3" t="s">
        <v>26527</v>
      </c>
      <c r="BF2700" s="3" t="s">
        <v>26526</v>
      </c>
      <c r="BG2700" s="3" t="s">
        <v>26528</v>
      </c>
    </row>
    <row r="2701" spans="1:59" ht="57" x14ac:dyDescent="0.45">
      <c r="A2701" s="2" t="s">
        <v>59</v>
      </c>
      <c r="B2701" s="2" t="s">
        <v>60</v>
      </c>
      <c r="C2701" s="2" t="s">
        <v>26529</v>
      </c>
      <c r="D2701" s="2" t="s">
        <v>26530</v>
      </c>
      <c r="E2701" s="2" t="s">
        <v>26531</v>
      </c>
      <c r="G2701" s="3" t="s">
        <v>62</v>
      </c>
      <c r="I2701" s="3" t="s">
        <v>62</v>
      </c>
      <c r="J2701" s="3" t="s">
        <v>62</v>
      </c>
      <c r="K2701" s="3" t="s">
        <v>63</v>
      </c>
      <c r="M2701" s="2" t="s">
        <v>19900</v>
      </c>
      <c r="N2701" s="3" t="s">
        <v>1155</v>
      </c>
      <c r="P2701" s="3" t="s">
        <v>65</v>
      </c>
      <c r="Q2701" s="2" t="s">
        <v>15920</v>
      </c>
      <c r="R2701" s="3" t="s">
        <v>66</v>
      </c>
      <c r="S2701" s="4">
        <v>0</v>
      </c>
      <c r="T2701" s="4">
        <v>0</v>
      </c>
      <c r="W2701" s="5" t="s">
        <v>67</v>
      </c>
      <c r="X2701" s="5" t="s">
        <v>67</v>
      </c>
      <c r="Y2701" s="4">
        <v>211</v>
      </c>
      <c r="Z2701" s="4">
        <v>17</v>
      </c>
      <c r="AA2701" s="4">
        <v>93</v>
      </c>
      <c r="AB2701" s="4">
        <v>1</v>
      </c>
      <c r="AC2701" s="4">
        <v>18</v>
      </c>
      <c r="AD2701" s="4">
        <v>78</v>
      </c>
      <c r="AE2701" s="4">
        <v>134</v>
      </c>
      <c r="AF2701" s="4">
        <v>0</v>
      </c>
      <c r="AG2701" s="4">
        <v>8</v>
      </c>
      <c r="AH2701" s="4">
        <v>73</v>
      </c>
      <c r="AI2701" s="4">
        <v>101</v>
      </c>
      <c r="AJ2701" s="4">
        <v>13</v>
      </c>
      <c r="AK2701" s="4">
        <v>24</v>
      </c>
      <c r="AL2701" s="4">
        <v>39</v>
      </c>
      <c r="AM2701" s="4">
        <v>54</v>
      </c>
      <c r="AN2701" s="4">
        <v>0</v>
      </c>
      <c r="AO2701" s="4">
        <v>0</v>
      </c>
      <c r="AP2701" s="4">
        <v>14</v>
      </c>
      <c r="AQ2701" s="4">
        <v>43</v>
      </c>
      <c r="AR2701" s="3" t="s">
        <v>62</v>
      </c>
      <c r="AS2701" s="3" t="s">
        <v>62</v>
      </c>
      <c r="AT2701" s="3" t="s">
        <v>61</v>
      </c>
      <c r="AU2701" s="6" t="str">
        <f>HYPERLINK("http://catalog.hathitrust.org/Record/012146165","HathiTrust Record")</f>
        <v>HathiTrust Record</v>
      </c>
      <c r="AV2701" s="6" t="str">
        <f>HYPERLINK("http://mcgill.on.worldcat.org/oclc/732847930","Catalog Record")</f>
        <v>Catalog Record</v>
      </c>
      <c r="AW2701" s="6" t="str">
        <f>HYPERLINK("http://www.worldcat.org/oclc/732847930","WorldCat Record")</f>
        <v>WorldCat Record</v>
      </c>
      <c r="AX2701" s="3" t="s">
        <v>26532</v>
      </c>
      <c r="AY2701" s="3" t="s">
        <v>26533</v>
      </c>
      <c r="AZ2701" s="3" t="s">
        <v>26534</v>
      </c>
      <c r="BA2701" s="3" t="s">
        <v>26534</v>
      </c>
      <c r="BB2701" s="3" t="s">
        <v>26535</v>
      </c>
      <c r="BC2701" s="3" t="s">
        <v>142</v>
      </c>
      <c r="BD2701" s="3" t="s">
        <v>68</v>
      </c>
      <c r="BE2701" s="3" t="s">
        <v>26536</v>
      </c>
      <c r="BF2701" s="3" t="s">
        <v>26535</v>
      </c>
      <c r="BG2701" s="3" t="s">
        <v>26537</v>
      </c>
    </row>
    <row r="2702" spans="1:59" ht="57" x14ac:dyDescent="0.45">
      <c r="A2702" s="2" t="s">
        <v>59</v>
      </c>
      <c r="B2702" s="2" t="s">
        <v>60</v>
      </c>
      <c r="C2702" s="2" t="s">
        <v>26538</v>
      </c>
      <c r="D2702" s="2" t="s">
        <v>26539</v>
      </c>
      <c r="E2702" s="2" t="s">
        <v>26540</v>
      </c>
      <c r="G2702" s="3" t="s">
        <v>62</v>
      </c>
      <c r="I2702" s="3" t="s">
        <v>62</v>
      </c>
      <c r="J2702" s="3" t="s">
        <v>62</v>
      </c>
      <c r="K2702" s="3" t="s">
        <v>63</v>
      </c>
      <c r="L2702" s="2" t="s">
        <v>26541</v>
      </c>
      <c r="M2702" s="2" t="s">
        <v>26542</v>
      </c>
      <c r="N2702" s="3" t="s">
        <v>894</v>
      </c>
      <c r="P2702" s="3" t="s">
        <v>65</v>
      </c>
      <c r="Q2702" s="2" t="s">
        <v>26543</v>
      </c>
      <c r="R2702" s="3" t="s">
        <v>66</v>
      </c>
      <c r="S2702" s="4">
        <v>5</v>
      </c>
      <c r="T2702" s="4">
        <v>5</v>
      </c>
      <c r="U2702" s="5" t="s">
        <v>26544</v>
      </c>
      <c r="V2702" s="5" t="s">
        <v>26544</v>
      </c>
      <c r="W2702" s="5" t="s">
        <v>67</v>
      </c>
      <c r="X2702" s="5" t="s">
        <v>67</v>
      </c>
      <c r="Y2702" s="4">
        <v>192</v>
      </c>
      <c r="Z2702" s="4">
        <v>29</v>
      </c>
      <c r="AA2702" s="4">
        <v>97</v>
      </c>
      <c r="AB2702" s="4">
        <v>2</v>
      </c>
      <c r="AC2702" s="4">
        <v>17</v>
      </c>
      <c r="AD2702" s="4">
        <v>89</v>
      </c>
      <c r="AE2702" s="4">
        <v>136</v>
      </c>
      <c r="AF2702" s="4">
        <v>1</v>
      </c>
      <c r="AG2702" s="4">
        <v>8</v>
      </c>
      <c r="AH2702" s="4">
        <v>75</v>
      </c>
      <c r="AI2702" s="4">
        <v>96</v>
      </c>
      <c r="AJ2702" s="4">
        <v>17</v>
      </c>
      <c r="AK2702" s="4">
        <v>27</v>
      </c>
      <c r="AL2702" s="4">
        <v>38</v>
      </c>
      <c r="AM2702" s="4">
        <v>49</v>
      </c>
      <c r="AN2702" s="4">
        <v>0</v>
      </c>
      <c r="AO2702" s="4">
        <v>0</v>
      </c>
      <c r="AP2702" s="4">
        <v>21</v>
      </c>
      <c r="AQ2702" s="4">
        <v>49</v>
      </c>
      <c r="AR2702" s="3" t="s">
        <v>61</v>
      </c>
      <c r="AS2702" s="3" t="s">
        <v>62</v>
      </c>
      <c r="AT2702" s="3" t="s">
        <v>62</v>
      </c>
      <c r="AV2702" s="6" t="str">
        <f>HYPERLINK("http://mcgill.on.worldcat.org/oclc/671530720","Catalog Record")</f>
        <v>Catalog Record</v>
      </c>
      <c r="AW2702" s="6" t="str">
        <f>HYPERLINK("http://www.worldcat.org/oclc/671530720","WorldCat Record")</f>
        <v>WorldCat Record</v>
      </c>
      <c r="AX2702" s="3" t="s">
        <v>26545</v>
      </c>
      <c r="AY2702" s="3" t="s">
        <v>26546</v>
      </c>
      <c r="AZ2702" s="3" t="s">
        <v>26547</v>
      </c>
      <c r="BA2702" s="3" t="s">
        <v>26547</v>
      </c>
      <c r="BB2702" s="3" t="s">
        <v>26548</v>
      </c>
      <c r="BC2702" s="3" t="s">
        <v>142</v>
      </c>
      <c r="BD2702" s="3" t="s">
        <v>308</v>
      </c>
      <c r="BE2702" s="3" t="s">
        <v>26549</v>
      </c>
      <c r="BF2702" s="3" t="s">
        <v>26548</v>
      </c>
      <c r="BG2702" s="3" t="s">
        <v>26550</v>
      </c>
    </row>
    <row r="2703" spans="1:59" ht="57" x14ac:dyDescent="0.45">
      <c r="A2703" s="2" t="s">
        <v>59</v>
      </c>
      <c r="B2703" s="2" t="s">
        <v>60</v>
      </c>
      <c r="C2703" s="2" t="s">
        <v>26551</v>
      </c>
      <c r="D2703" s="2" t="s">
        <v>26552</v>
      </c>
      <c r="E2703" s="2" t="s">
        <v>26553</v>
      </c>
      <c r="G2703" s="3" t="s">
        <v>62</v>
      </c>
      <c r="I2703" s="3" t="s">
        <v>62</v>
      </c>
      <c r="J2703" s="3" t="s">
        <v>62</v>
      </c>
      <c r="K2703" s="3" t="s">
        <v>63</v>
      </c>
      <c r="L2703" s="2" t="s">
        <v>18648</v>
      </c>
      <c r="M2703" s="2" t="s">
        <v>12856</v>
      </c>
      <c r="N2703" s="3" t="s">
        <v>1155</v>
      </c>
      <c r="P2703" s="3" t="s">
        <v>65</v>
      </c>
      <c r="Q2703" s="2" t="s">
        <v>22562</v>
      </c>
      <c r="R2703" s="3" t="s">
        <v>66</v>
      </c>
      <c r="S2703" s="4">
        <v>1</v>
      </c>
      <c r="T2703" s="4">
        <v>1</v>
      </c>
      <c r="U2703" s="5" t="s">
        <v>4105</v>
      </c>
      <c r="V2703" s="5" t="s">
        <v>4105</v>
      </c>
      <c r="W2703" s="5" t="s">
        <v>67</v>
      </c>
      <c r="X2703" s="5" t="s">
        <v>67</v>
      </c>
      <c r="Y2703" s="4">
        <v>347</v>
      </c>
      <c r="Z2703" s="4">
        <v>24</v>
      </c>
      <c r="AA2703" s="4">
        <v>54</v>
      </c>
      <c r="AB2703" s="4">
        <v>2</v>
      </c>
      <c r="AC2703" s="4">
        <v>5</v>
      </c>
      <c r="AD2703" s="4">
        <v>82</v>
      </c>
      <c r="AE2703" s="4">
        <v>93</v>
      </c>
      <c r="AF2703" s="4">
        <v>1</v>
      </c>
      <c r="AG2703" s="4">
        <v>2</v>
      </c>
      <c r="AH2703" s="4">
        <v>70</v>
      </c>
      <c r="AI2703" s="4">
        <v>73</v>
      </c>
      <c r="AJ2703" s="4">
        <v>14</v>
      </c>
      <c r="AK2703" s="4">
        <v>17</v>
      </c>
      <c r="AL2703" s="4">
        <v>40</v>
      </c>
      <c r="AM2703" s="4">
        <v>41</v>
      </c>
      <c r="AN2703" s="4">
        <v>0</v>
      </c>
      <c r="AO2703" s="4">
        <v>0</v>
      </c>
      <c r="AP2703" s="4">
        <v>18</v>
      </c>
      <c r="AQ2703" s="4">
        <v>26</v>
      </c>
      <c r="AR2703" s="3" t="s">
        <v>62</v>
      </c>
      <c r="AS2703" s="3" t="s">
        <v>62</v>
      </c>
      <c r="AT2703" s="3" t="s">
        <v>62</v>
      </c>
      <c r="AV2703" s="6" t="str">
        <f>HYPERLINK("http://mcgill.on.worldcat.org/oclc/760971096","Catalog Record")</f>
        <v>Catalog Record</v>
      </c>
      <c r="AW2703" s="6" t="str">
        <f>HYPERLINK("http://www.worldcat.org/oclc/760971096","WorldCat Record")</f>
        <v>WorldCat Record</v>
      </c>
      <c r="AX2703" s="3" t="s">
        <v>26554</v>
      </c>
      <c r="AY2703" s="3" t="s">
        <v>26555</v>
      </c>
      <c r="AZ2703" s="3" t="s">
        <v>26556</v>
      </c>
      <c r="BA2703" s="3" t="s">
        <v>26556</v>
      </c>
      <c r="BB2703" s="3" t="s">
        <v>26557</v>
      </c>
      <c r="BC2703" s="3" t="s">
        <v>142</v>
      </c>
      <c r="BD2703" s="3" t="s">
        <v>68</v>
      </c>
      <c r="BE2703" s="3" t="s">
        <v>26558</v>
      </c>
      <c r="BF2703" s="3" t="s">
        <v>26557</v>
      </c>
      <c r="BG2703" s="3" t="s">
        <v>26559</v>
      </c>
    </row>
    <row r="2704" spans="1:59" ht="71.25" x14ac:dyDescent="0.45">
      <c r="A2704" s="2" t="s">
        <v>59</v>
      </c>
      <c r="B2704" s="2" t="s">
        <v>60</v>
      </c>
      <c r="C2704" s="2" t="s">
        <v>26560</v>
      </c>
      <c r="D2704" s="2" t="s">
        <v>26561</v>
      </c>
      <c r="E2704" s="2" t="s">
        <v>26562</v>
      </c>
      <c r="G2704" s="3" t="s">
        <v>62</v>
      </c>
      <c r="I2704" s="3" t="s">
        <v>62</v>
      </c>
      <c r="J2704" s="3" t="s">
        <v>62</v>
      </c>
      <c r="K2704" s="3" t="s">
        <v>63</v>
      </c>
      <c r="M2704" s="2" t="s">
        <v>26563</v>
      </c>
      <c r="N2704" s="3" t="s">
        <v>1253</v>
      </c>
      <c r="P2704" s="3" t="s">
        <v>65</v>
      </c>
      <c r="R2704" s="3" t="s">
        <v>66</v>
      </c>
      <c r="S2704" s="4">
        <v>31</v>
      </c>
      <c r="T2704" s="4">
        <v>31</v>
      </c>
      <c r="U2704" s="5" t="s">
        <v>26544</v>
      </c>
      <c r="V2704" s="5" t="s">
        <v>26544</v>
      </c>
      <c r="W2704" s="5" t="s">
        <v>67</v>
      </c>
      <c r="X2704" s="5" t="s">
        <v>67</v>
      </c>
      <c r="Y2704" s="4">
        <v>611</v>
      </c>
      <c r="Z2704" s="4">
        <v>29</v>
      </c>
      <c r="AA2704" s="4">
        <v>34</v>
      </c>
      <c r="AB2704" s="4">
        <v>2</v>
      </c>
      <c r="AC2704" s="4">
        <v>3</v>
      </c>
      <c r="AD2704" s="4">
        <v>116</v>
      </c>
      <c r="AE2704" s="4">
        <v>125</v>
      </c>
      <c r="AF2704" s="4">
        <v>1</v>
      </c>
      <c r="AG2704" s="4">
        <v>2</v>
      </c>
      <c r="AH2704" s="4">
        <v>102</v>
      </c>
      <c r="AI2704" s="4">
        <v>109</v>
      </c>
      <c r="AJ2704" s="4">
        <v>16</v>
      </c>
      <c r="AK2704" s="4">
        <v>20</v>
      </c>
      <c r="AL2704" s="4">
        <v>53</v>
      </c>
      <c r="AM2704" s="4">
        <v>57</v>
      </c>
      <c r="AN2704" s="4">
        <v>0</v>
      </c>
      <c r="AO2704" s="4">
        <v>0</v>
      </c>
      <c r="AP2704" s="4">
        <v>22</v>
      </c>
      <c r="AQ2704" s="4">
        <v>26</v>
      </c>
      <c r="AR2704" s="3" t="s">
        <v>62</v>
      </c>
      <c r="AS2704" s="3" t="s">
        <v>62</v>
      </c>
      <c r="AT2704" s="3" t="s">
        <v>62</v>
      </c>
      <c r="AV2704" s="6" t="str">
        <f>HYPERLINK("http://mcgill.on.worldcat.org/oclc/37187401","Catalog Record")</f>
        <v>Catalog Record</v>
      </c>
      <c r="AW2704" s="6" t="str">
        <f>HYPERLINK("http://www.worldcat.org/oclc/37187401","WorldCat Record")</f>
        <v>WorldCat Record</v>
      </c>
      <c r="AX2704" s="3" t="s">
        <v>26564</v>
      </c>
      <c r="AY2704" s="3" t="s">
        <v>26565</v>
      </c>
      <c r="AZ2704" s="3" t="s">
        <v>26566</v>
      </c>
      <c r="BA2704" s="3" t="s">
        <v>26566</v>
      </c>
      <c r="BB2704" s="3" t="s">
        <v>26567</v>
      </c>
      <c r="BC2704" s="3" t="s">
        <v>142</v>
      </c>
      <c r="BD2704" s="3" t="s">
        <v>68</v>
      </c>
      <c r="BE2704" s="3" t="s">
        <v>26568</v>
      </c>
      <c r="BF2704" s="3" t="s">
        <v>26567</v>
      </c>
      <c r="BG2704" s="3" t="s">
        <v>26569</v>
      </c>
    </row>
    <row r="2705" spans="1:59" ht="57" x14ac:dyDescent="0.45">
      <c r="A2705" s="2" t="s">
        <v>59</v>
      </c>
      <c r="B2705" s="2" t="s">
        <v>60</v>
      </c>
      <c r="C2705" s="2" t="s">
        <v>26570</v>
      </c>
      <c r="D2705" s="2" t="s">
        <v>26571</v>
      </c>
      <c r="E2705" s="2" t="s">
        <v>26572</v>
      </c>
      <c r="G2705" s="3" t="s">
        <v>62</v>
      </c>
      <c r="I2705" s="3" t="s">
        <v>62</v>
      </c>
      <c r="J2705" s="3" t="s">
        <v>62</v>
      </c>
      <c r="K2705" s="3" t="s">
        <v>63</v>
      </c>
      <c r="L2705" s="2" t="s">
        <v>26573</v>
      </c>
      <c r="M2705" s="2" t="s">
        <v>26574</v>
      </c>
      <c r="N2705" s="3" t="s">
        <v>1212</v>
      </c>
      <c r="P2705" s="3" t="s">
        <v>65</v>
      </c>
      <c r="R2705" s="3" t="s">
        <v>66</v>
      </c>
      <c r="S2705" s="4">
        <v>22</v>
      </c>
      <c r="T2705" s="4">
        <v>22</v>
      </c>
      <c r="U2705" s="5" t="s">
        <v>26544</v>
      </c>
      <c r="V2705" s="5" t="s">
        <v>26544</v>
      </c>
      <c r="W2705" s="5" t="s">
        <v>67</v>
      </c>
      <c r="X2705" s="5" t="s">
        <v>67</v>
      </c>
      <c r="Y2705" s="4">
        <v>419</v>
      </c>
      <c r="Z2705" s="4">
        <v>25</v>
      </c>
      <c r="AA2705" s="4">
        <v>29</v>
      </c>
      <c r="AB2705" s="4">
        <v>2</v>
      </c>
      <c r="AC2705" s="4">
        <v>6</v>
      </c>
      <c r="AD2705" s="4">
        <v>106</v>
      </c>
      <c r="AE2705" s="4">
        <v>108</v>
      </c>
      <c r="AF2705" s="4">
        <v>1</v>
      </c>
      <c r="AG2705" s="4">
        <v>3</v>
      </c>
      <c r="AH2705" s="4">
        <v>97</v>
      </c>
      <c r="AI2705" s="4">
        <v>98</v>
      </c>
      <c r="AJ2705" s="4">
        <v>15</v>
      </c>
      <c r="AK2705" s="4">
        <v>17</v>
      </c>
      <c r="AL2705" s="4">
        <v>48</v>
      </c>
      <c r="AM2705" s="4">
        <v>48</v>
      </c>
      <c r="AN2705" s="4">
        <v>0</v>
      </c>
      <c r="AO2705" s="4">
        <v>0</v>
      </c>
      <c r="AP2705" s="4">
        <v>19</v>
      </c>
      <c r="AQ2705" s="4">
        <v>20</v>
      </c>
      <c r="AR2705" s="3" t="s">
        <v>62</v>
      </c>
      <c r="AS2705" s="3" t="s">
        <v>62</v>
      </c>
      <c r="AT2705" s="3" t="s">
        <v>62</v>
      </c>
      <c r="AV2705" s="6" t="str">
        <f>HYPERLINK("http://mcgill.on.worldcat.org/oclc/43790343","Catalog Record")</f>
        <v>Catalog Record</v>
      </c>
      <c r="AW2705" s="6" t="str">
        <f>HYPERLINK("http://www.worldcat.org/oclc/43790343","WorldCat Record")</f>
        <v>WorldCat Record</v>
      </c>
      <c r="AX2705" s="3" t="s">
        <v>26575</v>
      </c>
      <c r="AY2705" s="3" t="s">
        <v>26576</v>
      </c>
      <c r="AZ2705" s="3" t="s">
        <v>26577</v>
      </c>
      <c r="BA2705" s="3" t="s">
        <v>26577</v>
      </c>
      <c r="BB2705" s="3" t="s">
        <v>26578</v>
      </c>
      <c r="BC2705" s="3" t="s">
        <v>142</v>
      </c>
      <c r="BD2705" s="3" t="s">
        <v>68</v>
      </c>
      <c r="BE2705" s="3" t="s">
        <v>26579</v>
      </c>
      <c r="BF2705" s="3" t="s">
        <v>26578</v>
      </c>
      <c r="BG2705" s="3" t="s">
        <v>26580</v>
      </c>
    </row>
    <row r="2706" spans="1:59" ht="85.5" x14ac:dyDescent="0.45">
      <c r="A2706" s="2" t="s">
        <v>59</v>
      </c>
      <c r="B2706" s="2" t="s">
        <v>60</v>
      </c>
      <c r="C2706" s="2" t="s">
        <v>26581</v>
      </c>
      <c r="D2706" s="2" t="s">
        <v>26582</v>
      </c>
      <c r="E2706" s="2" t="s">
        <v>26583</v>
      </c>
      <c r="G2706" s="3" t="s">
        <v>62</v>
      </c>
      <c r="I2706" s="3" t="s">
        <v>62</v>
      </c>
      <c r="J2706" s="3" t="s">
        <v>62</v>
      </c>
      <c r="K2706" s="3" t="s">
        <v>63</v>
      </c>
      <c r="M2706" s="2" t="s">
        <v>26584</v>
      </c>
      <c r="N2706" s="3" t="s">
        <v>116</v>
      </c>
      <c r="P2706" s="3" t="s">
        <v>65</v>
      </c>
      <c r="Q2706" s="2" t="s">
        <v>26585</v>
      </c>
      <c r="R2706" s="3" t="s">
        <v>66</v>
      </c>
      <c r="S2706" s="4">
        <v>0</v>
      </c>
      <c r="T2706" s="4">
        <v>0</v>
      </c>
      <c r="W2706" s="5" t="s">
        <v>67</v>
      </c>
      <c r="X2706" s="5" t="s">
        <v>67</v>
      </c>
      <c r="Y2706" s="4">
        <v>52</v>
      </c>
      <c r="Z2706" s="4">
        <v>9</v>
      </c>
      <c r="AA2706" s="4">
        <v>82</v>
      </c>
      <c r="AB2706" s="4">
        <v>1</v>
      </c>
      <c r="AC2706" s="4">
        <v>14</v>
      </c>
      <c r="AD2706" s="4">
        <v>27</v>
      </c>
      <c r="AE2706" s="4">
        <v>105</v>
      </c>
      <c r="AF2706" s="4">
        <v>0</v>
      </c>
      <c r="AG2706" s="4">
        <v>8</v>
      </c>
      <c r="AH2706" s="4">
        <v>24</v>
      </c>
      <c r="AI2706" s="4">
        <v>71</v>
      </c>
      <c r="AJ2706" s="4">
        <v>6</v>
      </c>
      <c r="AK2706" s="4">
        <v>20</v>
      </c>
      <c r="AL2706" s="4">
        <v>16</v>
      </c>
      <c r="AM2706" s="4">
        <v>39</v>
      </c>
      <c r="AN2706" s="4">
        <v>0</v>
      </c>
      <c r="AO2706" s="4">
        <v>0</v>
      </c>
      <c r="AP2706" s="4">
        <v>7</v>
      </c>
      <c r="AQ2706" s="4">
        <v>40</v>
      </c>
      <c r="AR2706" s="3" t="s">
        <v>62</v>
      </c>
      <c r="AS2706" s="3" t="s">
        <v>62</v>
      </c>
      <c r="AT2706" s="3" t="s">
        <v>62</v>
      </c>
      <c r="AV2706" s="6" t="str">
        <f>HYPERLINK("http://mcgill.on.worldcat.org/oclc/841198094","Catalog Record")</f>
        <v>Catalog Record</v>
      </c>
      <c r="AW2706" s="6" t="str">
        <f>HYPERLINK("http://www.worldcat.org/oclc/841198094","WorldCat Record")</f>
        <v>WorldCat Record</v>
      </c>
      <c r="AX2706" s="3" t="s">
        <v>26586</v>
      </c>
      <c r="AY2706" s="3" t="s">
        <v>26587</v>
      </c>
      <c r="AZ2706" s="3" t="s">
        <v>26588</v>
      </c>
      <c r="BA2706" s="3" t="s">
        <v>26588</v>
      </c>
      <c r="BB2706" s="3" t="s">
        <v>26589</v>
      </c>
      <c r="BC2706" s="3" t="s">
        <v>142</v>
      </c>
      <c r="BD2706" s="3" t="s">
        <v>68</v>
      </c>
      <c r="BE2706" s="3" t="s">
        <v>26590</v>
      </c>
      <c r="BF2706" s="3" t="s">
        <v>26589</v>
      </c>
      <c r="BG2706" s="3" t="s">
        <v>26591</v>
      </c>
    </row>
    <row r="2707" spans="1:59" ht="57" x14ac:dyDescent="0.45">
      <c r="A2707" s="2" t="s">
        <v>59</v>
      </c>
      <c r="B2707" s="2" t="s">
        <v>60</v>
      </c>
      <c r="C2707" s="2" t="s">
        <v>26592</v>
      </c>
      <c r="D2707" s="2" t="s">
        <v>26593</v>
      </c>
      <c r="E2707" s="2" t="s">
        <v>26594</v>
      </c>
      <c r="G2707" s="3" t="s">
        <v>62</v>
      </c>
      <c r="I2707" s="3" t="s">
        <v>62</v>
      </c>
      <c r="J2707" s="3" t="s">
        <v>62</v>
      </c>
      <c r="K2707" s="3" t="s">
        <v>63</v>
      </c>
      <c r="M2707" s="2" t="s">
        <v>5025</v>
      </c>
      <c r="N2707" s="3" t="s">
        <v>167</v>
      </c>
      <c r="P2707" s="3" t="s">
        <v>65</v>
      </c>
      <c r="Q2707" s="2" t="s">
        <v>3508</v>
      </c>
      <c r="R2707" s="3" t="s">
        <v>66</v>
      </c>
      <c r="S2707" s="4">
        <v>12</v>
      </c>
      <c r="T2707" s="4">
        <v>12</v>
      </c>
      <c r="U2707" s="5" t="s">
        <v>5455</v>
      </c>
      <c r="V2707" s="5" t="s">
        <v>5455</v>
      </c>
      <c r="W2707" s="5" t="s">
        <v>67</v>
      </c>
      <c r="X2707" s="5" t="s">
        <v>67</v>
      </c>
      <c r="Y2707" s="4">
        <v>362</v>
      </c>
      <c r="Z2707" s="4">
        <v>24</v>
      </c>
      <c r="AA2707" s="4">
        <v>33</v>
      </c>
      <c r="AB2707" s="4">
        <v>2</v>
      </c>
      <c r="AC2707" s="4">
        <v>7</v>
      </c>
      <c r="AD2707" s="4">
        <v>113</v>
      </c>
      <c r="AE2707" s="4">
        <v>122</v>
      </c>
      <c r="AF2707" s="4">
        <v>1</v>
      </c>
      <c r="AG2707" s="4">
        <v>3</v>
      </c>
      <c r="AH2707" s="4">
        <v>98</v>
      </c>
      <c r="AI2707" s="4">
        <v>105</v>
      </c>
      <c r="AJ2707" s="4">
        <v>17</v>
      </c>
      <c r="AK2707" s="4">
        <v>20</v>
      </c>
      <c r="AL2707" s="4">
        <v>51</v>
      </c>
      <c r="AM2707" s="4">
        <v>53</v>
      </c>
      <c r="AN2707" s="4">
        <v>0</v>
      </c>
      <c r="AO2707" s="4">
        <v>0</v>
      </c>
      <c r="AP2707" s="4">
        <v>21</v>
      </c>
      <c r="AQ2707" s="4">
        <v>24</v>
      </c>
      <c r="AR2707" s="3" t="s">
        <v>62</v>
      </c>
      <c r="AS2707" s="3" t="s">
        <v>62</v>
      </c>
      <c r="AT2707" s="3" t="s">
        <v>62</v>
      </c>
      <c r="AV2707" s="6" t="str">
        <f>HYPERLINK("http://mcgill.on.worldcat.org/oclc/39614847","Catalog Record")</f>
        <v>Catalog Record</v>
      </c>
      <c r="AW2707" s="6" t="str">
        <f>HYPERLINK("http://www.worldcat.org/oclc/39614847","WorldCat Record")</f>
        <v>WorldCat Record</v>
      </c>
      <c r="AX2707" s="3" t="s">
        <v>26595</v>
      </c>
      <c r="AY2707" s="3" t="s">
        <v>26596</v>
      </c>
      <c r="AZ2707" s="3" t="s">
        <v>26597</v>
      </c>
      <c r="BA2707" s="3" t="s">
        <v>26597</v>
      </c>
      <c r="BB2707" s="3" t="s">
        <v>26598</v>
      </c>
      <c r="BC2707" s="3" t="s">
        <v>142</v>
      </c>
      <c r="BD2707" s="3" t="s">
        <v>68</v>
      </c>
      <c r="BE2707" s="3" t="s">
        <v>26599</v>
      </c>
      <c r="BF2707" s="3" t="s">
        <v>26598</v>
      </c>
      <c r="BG2707" s="3" t="s">
        <v>26600</v>
      </c>
    </row>
    <row r="2708" spans="1:59" ht="57" x14ac:dyDescent="0.45">
      <c r="A2708" s="2" t="s">
        <v>59</v>
      </c>
      <c r="B2708" s="2" t="s">
        <v>60</v>
      </c>
      <c r="C2708" s="2" t="s">
        <v>26601</v>
      </c>
      <c r="D2708" s="2" t="s">
        <v>26602</v>
      </c>
      <c r="E2708" s="2" t="s">
        <v>26603</v>
      </c>
      <c r="G2708" s="3" t="s">
        <v>62</v>
      </c>
      <c r="I2708" s="3" t="s">
        <v>62</v>
      </c>
      <c r="J2708" s="3" t="s">
        <v>61</v>
      </c>
      <c r="K2708" s="3" t="s">
        <v>63</v>
      </c>
      <c r="L2708" s="2" t="s">
        <v>26604</v>
      </c>
      <c r="M2708" s="2" t="s">
        <v>11718</v>
      </c>
      <c r="N2708" s="3" t="s">
        <v>1212</v>
      </c>
      <c r="P2708" s="3" t="s">
        <v>65</v>
      </c>
      <c r="Q2708" s="2" t="s">
        <v>21577</v>
      </c>
      <c r="R2708" s="3" t="s">
        <v>66</v>
      </c>
      <c r="S2708" s="4">
        <v>8</v>
      </c>
      <c r="T2708" s="4">
        <v>8</v>
      </c>
      <c r="U2708" s="5" t="s">
        <v>20118</v>
      </c>
      <c r="V2708" s="5" t="s">
        <v>20118</v>
      </c>
      <c r="W2708" s="5" t="s">
        <v>67</v>
      </c>
      <c r="X2708" s="5" t="s">
        <v>67</v>
      </c>
      <c r="Y2708" s="4">
        <v>606</v>
      </c>
      <c r="Z2708" s="4">
        <v>34</v>
      </c>
      <c r="AA2708" s="4">
        <v>112</v>
      </c>
      <c r="AB2708" s="4">
        <v>3</v>
      </c>
      <c r="AC2708" s="4">
        <v>21</v>
      </c>
      <c r="AD2708" s="4">
        <v>110</v>
      </c>
      <c r="AE2708" s="4">
        <v>149</v>
      </c>
      <c r="AF2708" s="4">
        <v>2</v>
      </c>
      <c r="AG2708" s="4">
        <v>9</v>
      </c>
      <c r="AH2708" s="4">
        <v>94</v>
      </c>
      <c r="AI2708" s="4">
        <v>105</v>
      </c>
      <c r="AJ2708" s="4">
        <v>16</v>
      </c>
      <c r="AK2708" s="4">
        <v>27</v>
      </c>
      <c r="AL2708" s="4">
        <v>49</v>
      </c>
      <c r="AM2708" s="4">
        <v>53</v>
      </c>
      <c r="AN2708" s="4">
        <v>0</v>
      </c>
      <c r="AO2708" s="4">
        <v>0</v>
      </c>
      <c r="AP2708" s="4">
        <v>24</v>
      </c>
      <c r="AQ2708" s="4">
        <v>53</v>
      </c>
      <c r="AR2708" s="3" t="s">
        <v>62</v>
      </c>
      <c r="AS2708" s="3" t="s">
        <v>62</v>
      </c>
      <c r="AT2708" s="3" t="s">
        <v>62</v>
      </c>
      <c r="AV2708" s="6" t="str">
        <f>HYPERLINK("http://mcgill.on.worldcat.org/oclc/41338934","Catalog Record")</f>
        <v>Catalog Record</v>
      </c>
      <c r="AW2708" s="6" t="str">
        <f>HYPERLINK("http://www.worldcat.org/oclc/41338934","WorldCat Record")</f>
        <v>WorldCat Record</v>
      </c>
      <c r="AX2708" s="3" t="s">
        <v>26605</v>
      </c>
      <c r="AY2708" s="3" t="s">
        <v>26606</v>
      </c>
      <c r="AZ2708" s="3" t="s">
        <v>26607</v>
      </c>
      <c r="BA2708" s="3" t="s">
        <v>26607</v>
      </c>
      <c r="BB2708" s="3" t="s">
        <v>26608</v>
      </c>
      <c r="BC2708" s="3" t="s">
        <v>142</v>
      </c>
      <c r="BD2708" s="3" t="s">
        <v>68</v>
      </c>
      <c r="BE2708" s="3" t="s">
        <v>26609</v>
      </c>
      <c r="BF2708" s="3" t="s">
        <v>26608</v>
      </c>
      <c r="BG2708" s="3" t="s">
        <v>26610</v>
      </c>
    </row>
    <row r="2709" spans="1:59" ht="57" x14ac:dyDescent="0.45">
      <c r="A2709" s="2" t="s">
        <v>59</v>
      </c>
      <c r="B2709" s="2" t="s">
        <v>60</v>
      </c>
      <c r="C2709" s="2" t="s">
        <v>26611</v>
      </c>
      <c r="D2709" s="2" t="s">
        <v>26612</v>
      </c>
      <c r="E2709" s="2" t="s">
        <v>26603</v>
      </c>
      <c r="G2709" s="3" t="s">
        <v>62</v>
      </c>
      <c r="I2709" s="3" t="s">
        <v>62</v>
      </c>
      <c r="J2709" s="3" t="s">
        <v>61</v>
      </c>
      <c r="K2709" s="3" t="s">
        <v>63</v>
      </c>
      <c r="L2709" s="2" t="s">
        <v>26604</v>
      </c>
      <c r="M2709" s="2" t="s">
        <v>6523</v>
      </c>
      <c r="N2709" s="3" t="s">
        <v>1059</v>
      </c>
      <c r="O2709" s="2" t="s">
        <v>933</v>
      </c>
      <c r="P2709" s="3" t="s">
        <v>65</v>
      </c>
      <c r="Q2709" s="2" t="s">
        <v>21577</v>
      </c>
      <c r="R2709" s="3" t="s">
        <v>66</v>
      </c>
      <c r="S2709" s="4">
        <v>9</v>
      </c>
      <c r="T2709" s="4">
        <v>9</v>
      </c>
      <c r="U2709" s="5" t="s">
        <v>23257</v>
      </c>
      <c r="V2709" s="5" t="s">
        <v>23257</v>
      </c>
      <c r="W2709" s="5" t="s">
        <v>67</v>
      </c>
      <c r="X2709" s="5" t="s">
        <v>67</v>
      </c>
      <c r="Y2709" s="4">
        <v>294</v>
      </c>
      <c r="Z2709" s="4">
        <v>25</v>
      </c>
      <c r="AA2709" s="4">
        <v>112</v>
      </c>
      <c r="AB2709" s="4">
        <v>1</v>
      </c>
      <c r="AC2709" s="4">
        <v>21</v>
      </c>
      <c r="AD2709" s="4">
        <v>67</v>
      </c>
      <c r="AE2709" s="4">
        <v>149</v>
      </c>
      <c r="AF2709" s="4">
        <v>0</v>
      </c>
      <c r="AG2709" s="4">
        <v>9</v>
      </c>
      <c r="AH2709" s="4">
        <v>59</v>
      </c>
      <c r="AI2709" s="4">
        <v>105</v>
      </c>
      <c r="AJ2709" s="4">
        <v>15</v>
      </c>
      <c r="AK2709" s="4">
        <v>27</v>
      </c>
      <c r="AL2709" s="4">
        <v>34</v>
      </c>
      <c r="AM2709" s="4">
        <v>53</v>
      </c>
      <c r="AN2709" s="4">
        <v>0</v>
      </c>
      <c r="AO2709" s="4">
        <v>0</v>
      </c>
      <c r="AP2709" s="4">
        <v>18</v>
      </c>
      <c r="AQ2709" s="4">
        <v>53</v>
      </c>
      <c r="AR2709" s="3" t="s">
        <v>62</v>
      </c>
      <c r="AS2709" s="3" t="s">
        <v>62</v>
      </c>
      <c r="AT2709" s="3" t="s">
        <v>62</v>
      </c>
      <c r="AV2709" s="6" t="str">
        <f>HYPERLINK("http://mcgill.on.worldcat.org/oclc/60557332","Catalog Record")</f>
        <v>Catalog Record</v>
      </c>
      <c r="AW2709" s="6" t="str">
        <f>HYPERLINK("http://www.worldcat.org/oclc/60557332","WorldCat Record")</f>
        <v>WorldCat Record</v>
      </c>
      <c r="AX2709" s="3" t="s">
        <v>26605</v>
      </c>
      <c r="AY2709" s="3" t="s">
        <v>26613</v>
      </c>
      <c r="AZ2709" s="3" t="s">
        <v>26614</v>
      </c>
      <c r="BA2709" s="3" t="s">
        <v>26614</v>
      </c>
      <c r="BB2709" s="3" t="s">
        <v>26615</v>
      </c>
      <c r="BC2709" s="3" t="s">
        <v>142</v>
      </c>
      <c r="BD2709" s="3" t="s">
        <v>68</v>
      </c>
      <c r="BE2709" s="3" t="s">
        <v>26616</v>
      </c>
      <c r="BF2709" s="3" t="s">
        <v>26615</v>
      </c>
      <c r="BG2709" s="3" t="s">
        <v>26617</v>
      </c>
    </row>
    <row r="2710" spans="1:59" ht="57" x14ac:dyDescent="0.45">
      <c r="A2710" s="2" t="s">
        <v>59</v>
      </c>
      <c r="B2710" s="2" t="s">
        <v>60</v>
      </c>
      <c r="C2710" s="2" t="s">
        <v>26618</v>
      </c>
      <c r="D2710" s="2" t="s">
        <v>26619</v>
      </c>
      <c r="E2710" s="2" t="s">
        <v>26620</v>
      </c>
      <c r="G2710" s="3" t="s">
        <v>62</v>
      </c>
      <c r="I2710" s="3" t="s">
        <v>62</v>
      </c>
      <c r="J2710" s="3" t="s">
        <v>62</v>
      </c>
      <c r="K2710" s="3" t="s">
        <v>63</v>
      </c>
      <c r="L2710" s="2" t="s">
        <v>1131</v>
      </c>
      <c r="M2710" s="2" t="s">
        <v>26621</v>
      </c>
      <c r="N2710" s="3" t="s">
        <v>970</v>
      </c>
      <c r="P2710" s="3" t="s">
        <v>65</v>
      </c>
      <c r="R2710" s="3" t="s">
        <v>66</v>
      </c>
      <c r="S2710" s="4">
        <v>14</v>
      </c>
      <c r="T2710" s="4">
        <v>14</v>
      </c>
      <c r="U2710" s="5" t="s">
        <v>4782</v>
      </c>
      <c r="V2710" s="5" t="s">
        <v>4782</v>
      </c>
      <c r="W2710" s="5" t="s">
        <v>67</v>
      </c>
      <c r="X2710" s="5" t="s">
        <v>67</v>
      </c>
      <c r="Y2710" s="4">
        <v>271</v>
      </c>
      <c r="Z2710" s="4">
        <v>24</v>
      </c>
      <c r="AA2710" s="4">
        <v>33</v>
      </c>
      <c r="AB2710" s="4">
        <v>2</v>
      </c>
      <c r="AC2710" s="4">
        <v>6</v>
      </c>
      <c r="AD2710" s="4">
        <v>78</v>
      </c>
      <c r="AE2710" s="4">
        <v>84</v>
      </c>
      <c r="AF2710" s="4">
        <v>1</v>
      </c>
      <c r="AG2710" s="4">
        <v>4</v>
      </c>
      <c r="AH2710" s="4">
        <v>65</v>
      </c>
      <c r="AI2710" s="4">
        <v>69</v>
      </c>
      <c r="AJ2710" s="4">
        <v>13</v>
      </c>
      <c r="AK2710" s="4">
        <v>17</v>
      </c>
      <c r="AL2710" s="4">
        <v>31</v>
      </c>
      <c r="AM2710" s="4">
        <v>34</v>
      </c>
      <c r="AN2710" s="4">
        <v>0</v>
      </c>
      <c r="AO2710" s="4">
        <v>0</v>
      </c>
      <c r="AP2710" s="4">
        <v>20</v>
      </c>
      <c r="AQ2710" s="4">
        <v>23</v>
      </c>
      <c r="AR2710" s="3" t="s">
        <v>62</v>
      </c>
      <c r="AS2710" s="3" t="s">
        <v>62</v>
      </c>
      <c r="AT2710" s="3" t="s">
        <v>62</v>
      </c>
      <c r="AV2710" s="6" t="str">
        <f>HYPERLINK("http://mcgill.on.worldcat.org/oclc/48754263","Catalog Record")</f>
        <v>Catalog Record</v>
      </c>
      <c r="AW2710" s="6" t="str">
        <f>HYPERLINK("http://www.worldcat.org/oclc/48754263","WorldCat Record")</f>
        <v>WorldCat Record</v>
      </c>
      <c r="AX2710" s="3" t="s">
        <v>26622</v>
      </c>
      <c r="AY2710" s="3" t="s">
        <v>26623</v>
      </c>
      <c r="AZ2710" s="3" t="s">
        <v>26624</v>
      </c>
      <c r="BA2710" s="3" t="s">
        <v>26624</v>
      </c>
      <c r="BB2710" s="3" t="s">
        <v>26625</v>
      </c>
      <c r="BC2710" s="3" t="s">
        <v>142</v>
      </c>
      <c r="BD2710" s="3" t="s">
        <v>68</v>
      </c>
      <c r="BE2710" s="3" t="s">
        <v>26626</v>
      </c>
      <c r="BF2710" s="3" t="s">
        <v>26625</v>
      </c>
      <c r="BG2710" s="3" t="s">
        <v>26627</v>
      </c>
    </row>
    <row r="2711" spans="1:59" ht="57" x14ac:dyDescent="0.45">
      <c r="A2711" s="2" t="s">
        <v>59</v>
      </c>
      <c r="B2711" s="2" t="s">
        <v>60</v>
      </c>
      <c r="C2711" s="2" t="s">
        <v>26628</v>
      </c>
      <c r="D2711" s="2" t="s">
        <v>26629</v>
      </c>
      <c r="E2711" s="2" t="s">
        <v>26630</v>
      </c>
      <c r="G2711" s="3" t="s">
        <v>62</v>
      </c>
      <c r="I2711" s="3" t="s">
        <v>62</v>
      </c>
      <c r="J2711" s="3" t="s">
        <v>62</v>
      </c>
      <c r="K2711" s="3" t="s">
        <v>63</v>
      </c>
      <c r="L2711" s="2" t="s">
        <v>26631</v>
      </c>
      <c r="M2711" s="2" t="s">
        <v>8031</v>
      </c>
      <c r="N2711" s="3" t="s">
        <v>149</v>
      </c>
      <c r="O2711" s="2" t="s">
        <v>168</v>
      </c>
      <c r="P2711" s="3" t="s">
        <v>65</v>
      </c>
      <c r="Q2711" s="2" t="s">
        <v>12063</v>
      </c>
      <c r="R2711" s="3" t="s">
        <v>66</v>
      </c>
      <c r="S2711" s="4">
        <v>3</v>
      </c>
      <c r="T2711" s="4">
        <v>3</v>
      </c>
      <c r="U2711" s="5" t="s">
        <v>25938</v>
      </c>
      <c r="V2711" s="5" t="s">
        <v>25938</v>
      </c>
      <c r="W2711" s="5" t="s">
        <v>67</v>
      </c>
      <c r="X2711" s="5" t="s">
        <v>67</v>
      </c>
      <c r="Y2711" s="4">
        <v>237</v>
      </c>
      <c r="Z2711" s="4">
        <v>29</v>
      </c>
      <c r="AA2711" s="4">
        <v>36</v>
      </c>
      <c r="AB2711" s="4">
        <v>2</v>
      </c>
      <c r="AC2711" s="4">
        <v>7</v>
      </c>
      <c r="AD2711" s="4">
        <v>94</v>
      </c>
      <c r="AE2711" s="4">
        <v>100</v>
      </c>
      <c r="AF2711" s="4">
        <v>1</v>
      </c>
      <c r="AG2711" s="4">
        <v>4</v>
      </c>
      <c r="AH2711" s="4">
        <v>82</v>
      </c>
      <c r="AI2711" s="4">
        <v>85</v>
      </c>
      <c r="AJ2711" s="4">
        <v>18</v>
      </c>
      <c r="AK2711" s="4">
        <v>21</v>
      </c>
      <c r="AL2711" s="4">
        <v>41</v>
      </c>
      <c r="AM2711" s="4">
        <v>42</v>
      </c>
      <c r="AN2711" s="4">
        <v>0</v>
      </c>
      <c r="AO2711" s="4">
        <v>0</v>
      </c>
      <c r="AP2711" s="4">
        <v>21</v>
      </c>
      <c r="AQ2711" s="4">
        <v>25</v>
      </c>
      <c r="AR2711" s="3" t="s">
        <v>62</v>
      </c>
      <c r="AS2711" s="3" t="s">
        <v>62</v>
      </c>
      <c r="AT2711" s="3" t="s">
        <v>62</v>
      </c>
      <c r="AV2711" s="6" t="str">
        <f>HYPERLINK("http://mcgill.on.worldcat.org/oclc/607977736","Catalog Record")</f>
        <v>Catalog Record</v>
      </c>
      <c r="AW2711" s="6" t="str">
        <f>HYPERLINK("http://www.worldcat.org/oclc/607977736","WorldCat Record")</f>
        <v>WorldCat Record</v>
      </c>
      <c r="AX2711" s="3" t="s">
        <v>26632</v>
      </c>
      <c r="AY2711" s="3" t="s">
        <v>26633</v>
      </c>
      <c r="AZ2711" s="3" t="s">
        <v>26634</v>
      </c>
      <c r="BA2711" s="3" t="s">
        <v>26634</v>
      </c>
      <c r="BB2711" s="3" t="s">
        <v>26635</v>
      </c>
      <c r="BC2711" s="3" t="s">
        <v>142</v>
      </c>
      <c r="BD2711" s="3" t="s">
        <v>68</v>
      </c>
      <c r="BE2711" s="3" t="s">
        <v>26636</v>
      </c>
      <c r="BF2711" s="3" t="s">
        <v>26635</v>
      </c>
      <c r="BG2711" s="3" t="s">
        <v>26637</v>
      </c>
    </row>
    <row r="2712" spans="1:59" ht="57" x14ac:dyDescent="0.45">
      <c r="A2712" s="2" t="s">
        <v>59</v>
      </c>
      <c r="B2712" s="2" t="s">
        <v>60</v>
      </c>
      <c r="C2712" s="2" t="s">
        <v>26638</v>
      </c>
      <c r="D2712" s="2" t="s">
        <v>26639</v>
      </c>
      <c r="E2712" s="2" t="s">
        <v>26640</v>
      </c>
      <c r="G2712" s="3" t="s">
        <v>62</v>
      </c>
      <c r="I2712" s="3" t="s">
        <v>62</v>
      </c>
      <c r="J2712" s="3" t="s">
        <v>62</v>
      </c>
      <c r="K2712" s="3" t="s">
        <v>63</v>
      </c>
      <c r="M2712" s="2" t="s">
        <v>26641</v>
      </c>
      <c r="N2712" s="3" t="s">
        <v>1253</v>
      </c>
      <c r="P2712" s="3" t="s">
        <v>65</v>
      </c>
      <c r="Q2712" s="2" t="s">
        <v>26642</v>
      </c>
      <c r="R2712" s="3" t="s">
        <v>66</v>
      </c>
      <c r="S2712" s="4">
        <v>32</v>
      </c>
      <c r="T2712" s="4">
        <v>32</v>
      </c>
      <c r="U2712" s="5" t="s">
        <v>26643</v>
      </c>
      <c r="V2712" s="5" t="s">
        <v>26643</v>
      </c>
      <c r="W2712" s="5" t="s">
        <v>67</v>
      </c>
      <c r="X2712" s="5" t="s">
        <v>67</v>
      </c>
      <c r="Y2712" s="4">
        <v>146</v>
      </c>
      <c r="Z2712" s="4">
        <v>9</v>
      </c>
      <c r="AA2712" s="4">
        <v>82</v>
      </c>
      <c r="AB2712" s="4">
        <v>1</v>
      </c>
      <c r="AC2712" s="4">
        <v>14</v>
      </c>
      <c r="AD2712" s="4">
        <v>59</v>
      </c>
      <c r="AE2712" s="4">
        <v>119</v>
      </c>
      <c r="AF2712" s="4">
        <v>0</v>
      </c>
      <c r="AG2712" s="4">
        <v>8</v>
      </c>
      <c r="AH2712" s="4">
        <v>56</v>
      </c>
      <c r="AI2712" s="4">
        <v>86</v>
      </c>
      <c r="AJ2712" s="4">
        <v>4</v>
      </c>
      <c r="AK2712" s="4">
        <v>20</v>
      </c>
      <c r="AL2712" s="4">
        <v>40</v>
      </c>
      <c r="AM2712" s="4">
        <v>47</v>
      </c>
      <c r="AN2712" s="4">
        <v>0</v>
      </c>
      <c r="AO2712" s="4">
        <v>0</v>
      </c>
      <c r="AP2712" s="4">
        <v>5</v>
      </c>
      <c r="AQ2712" s="4">
        <v>40</v>
      </c>
      <c r="AR2712" s="3" t="s">
        <v>62</v>
      </c>
      <c r="AS2712" s="3" t="s">
        <v>62</v>
      </c>
      <c r="AT2712" s="3" t="s">
        <v>62</v>
      </c>
      <c r="AV2712" s="6" t="str">
        <f>HYPERLINK("http://mcgill.on.worldcat.org/oclc/36755938","Catalog Record")</f>
        <v>Catalog Record</v>
      </c>
      <c r="AW2712" s="6" t="str">
        <f>HYPERLINK("http://www.worldcat.org/oclc/36755938","WorldCat Record")</f>
        <v>WorldCat Record</v>
      </c>
      <c r="AX2712" s="3" t="s">
        <v>26644</v>
      </c>
      <c r="AY2712" s="3" t="s">
        <v>26645</v>
      </c>
      <c r="AZ2712" s="3" t="s">
        <v>26646</v>
      </c>
      <c r="BA2712" s="3" t="s">
        <v>26646</v>
      </c>
      <c r="BB2712" s="3" t="s">
        <v>26647</v>
      </c>
      <c r="BC2712" s="3" t="s">
        <v>142</v>
      </c>
      <c r="BD2712" s="3" t="s">
        <v>308</v>
      </c>
      <c r="BE2712" s="3" t="s">
        <v>26648</v>
      </c>
      <c r="BF2712" s="3" t="s">
        <v>26647</v>
      </c>
      <c r="BG2712" s="3" t="s">
        <v>26649</v>
      </c>
    </row>
    <row r="2713" spans="1:59" ht="57" x14ac:dyDescent="0.45">
      <c r="A2713" s="2" t="s">
        <v>59</v>
      </c>
      <c r="B2713" s="2" t="s">
        <v>60</v>
      </c>
      <c r="C2713" s="2" t="s">
        <v>26650</v>
      </c>
      <c r="D2713" s="2" t="s">
        <v>26651</v>
      </c>
      <c r="E2713" s="2" t="s">
        <v>26652</v>
      </c>
      <c r="G2713" s="3" t="s">
        <v>62</v>
      </c>
      <c r="I2713" s="3" t="s">
        <v>62</v>
      </c>
      <c r="J2713" s="3" t="s">
        <v>62</v>
      </c>
      <c r="K2713" s="3" t="s">
        <v>63</v>
      </c>
      <c r="M2713" s="2" t="s">
        <v>9755</v>
      </c>
      <c r="N2713" s="3" t="s">
        <v>1155</v>
      </c>
      <c r="P2713" s="3" t="s">
        <v>65</v>
      </c>
      <c r="R2713" s="3" t="s">
        <v>66</v>
      </c>
      <c r="S2713" s="4">
        <v>10</v>
      </c>
      <c r="T2713" s="4">
        <v>10</v>
      </c>
      <c r="U2713" s="5" t="s">
        <v>3596</v>
      </c>
      <c r="V2713" s="5" t="s">
        <v>3596</v>
      </c>
      <c r="W2713" s="5" t="s">
        <v>67</v>
      </c>
      <c r="X2713" s="5" t="s">
        <v>67</v>
      </c>
      <c r="Y2713" s="4">
        <v>283</v>
      </c>
      <c r="Z2713" s="4">
        <v>30</v>
      </c>
      <c r="AA2713" s="4">
        <v>34</v>
      </c>
      <c r="AB2713" s="4">
        <v>2</v>
      </c>
      <c r="AC2713" s="4">
        <v>6</v>
      </c>
      <c r="AD2713" s="4">
        <v>74</v>
      </c>
      <c r="AE2713" s="4">
        <v>78</v>
      </c>
      <c r="AF2713" s="4">
        <v>1</v>
      </c>
      <c r="AG2713" s="4">
        <v>4</v>
      </c>
      <c r="AH2713" s="4">
        <v>58</v>
      </c>
      <c r="AI2713" s="4">
        <v>60</v>
      </c>
      <c r="AJ2713" s="4">
        <v>15</v>
      </c>
      <c r="AK2713" s="4">
        <v>18</v>
      </c>
      <c r="AL2713" s="4">
        <v>35</v>
      </c>
      <c r="AM2713" s="4">
        <v>36</v>
      </c>
      <c r="AN2713" s="4">
        <v>0</v>
      </c>
      <c r="AO2713" s="4">
        <v>0</v>
      </c>
      <c r="AP2713" s="4">
        <v>23</v>
      </c>
      <c r="AQ2713" s="4">
        <v>25</v>
      </c>
      <c r="AR2713" s="3" t="s">
        <v>62</v>
      </c>
      <c r="AS2713" s="3" t="s">
        <v>62</v>
      </c>
      <c r="AT2713" s="3" t="s">
        <v>62</v>
      </c>
      <c r="AV2713" s="6" t="str">
        <f>HYPERLINK("http://mcgill.on.worldcat.org/oclc/674933026","Catalog Record")</f>
        <v>Catalog Record</v>
      </c>
      <c r="AW2713" s="6" t="str">
        <f>HYPERLINK("http://www.worldcat.org/oclc/674933026","WorldCat Record")</f>
        <v>WorldCat Record</v>
      </c>
      <c r="AX2713" s="3" t="s">
        <v>26653</v>
      </c>
      <c r="AY2713" s="3" t="s">
        <v>26654</v>
      </c>
      <c r="AZ2713" s="3" t="s">
        <v>26655</v>
      </c>
      <c r="BA2713" s="3" t="s">
        <v>26655</v>
      </c>
      <c r="BB2713" s="3" t="s">
        <v>26656</v>
      </c>
      <c r="BC2713" s="3" t="s">
        <v>142</v>
      </c>
      <c r="BD2713" s="3" t="s">
        <v>68</v>
      </c>
      <c r="BE2713" s="3" t="s">
        <v>26657</v>
      </c>
      <c r="BF2713" s="3" t="s">
        <v>26656</v>
      </c>
      <c r="BG2713" s="3" t="s">
        <v>26658</v>
      </c>
    </row>
    <row r="2714" spans="1:59" ht="57" x14ac:dyDescent="0.45">
      <c r="A2714" s="2" t="s">
        <v>59</v>
      </c>
      <c r="B2714" s="2" t="s">
        <v>60</v>
      </c>
      <c r="C2714" s="2" t="s">
        <v>26659</v>
      </c>
      <c r="D2714" s="2" t="s">
        <v>26660</v>
      </c>
      <c r="E2714" s="2" t="s">
        <v>26661</v>
      </c>
      <c r="G2714" s="3" t="s">
        <v>62</v>
      </c>
      <c r="I2714" s="3" t="s">
        <v>62</v>
      </c>
      <c r="J2714" s="3" t="s">
        <v>62</v>
      </c>
      <c r="K2714" s="3" t="s">
        <v>63</v>
      </c>
      <c r="L2714" s="2" t="s">
        <v>26662</v>
      </c>
      <c r="M2714" s="2" t="s">
        <v>26663</v>
      </c>
      <c r="N2714" s="3" t="s">
        <v>945</v>
      </c>
      <c r="P2714" s="3" t="s">
        <v>65</v>
      </c>
      <c r="R2714" s="3" t="s">
        <v>66</v>
      </c>
      <c r="S2714" s="4">
        <v>46</v>
      </c>
      <c r="T2714" s="4">
        <v>46</v>
      </c>
      <c r="U2714" s="5" t="s">
        <v>3611</v>
      </c>
      <c r="V2714" s="5" t="s">
        <v>3611</v>
      </c>
      <c r="W2714" s="5" t="s">
        <v>67</v>
      </c>
      <c r="X2714" s="5" t="s">
        <v>67</v>
      </c>
      <c r="Y2714" s="4">
        <v>731</v>
      </c>
      <c r="Z2714" s="4">
        <v>51</v>
      </c>
      <c r="AA2714" s="4">
        <v>56</v>
      </c>
      <c r="AB2714" s="4">
        <v>2</v>
      </c>
      <c r="AC2714" s="4">
        <v>6</v>
      </c>
      <c r="AD2714" s="4">
        <v>123</v>
      </c>
      <c r="AE2714" s="4">
        <v>125</v>
      </c>
      <c r="AF2714" s="4">
        <v>1</v>
      </c>
      <c r="AG2714" s="4">
        <v>3</v>
      </c>
      <c r="AH2714" s="4">
        <v>101</v>
      </c>
      <c r="AI2714" s="4">
        <v>102</v>
      </c>
      <c r="AJ2714" s="4">
        <v>18</v>
      </c>
      <c r="AK2714" s="4">
        <v>20</v>
      </c>
      <c r="AL2714" s="4">
        <v>53</v>
      </c>
      <c r="AM2714" s="4">
        <v>53</v>
      </c>
      <c r="AN2714" s="4">
        <v>0</v>
      </c>
      <c r="AO2714" s="4">
        <v>0</v>
      </c>
      <c r="AP2714" s="4">
        <v>33</v>
      </c>
      <c r="AQ2714" s="4">
        <v>34</v>
      </c>
      <c r="AR2714" s="3" t="s">
        <v>62</v>
      </c>
      <c r="AS2714" s="3" t="s">
        <v>62</v>
      </c>
      <c r="AT2714" s="3" t="s">
        <v>62</v>
      </c>
      <c r="AV2714" s="6" t="str">
        <f>HYPERLINK("http://mcgill.on.worldcat.org/oclc/67374730","Catalog Record")</f>
        <v>Catalog Record</v>
      </c>
      <c r="AW2714" s="6" t="str">
        <f>HYPERLINK("http://www.worldcat.org/oclc/67374730","WorldCat Record")</f>
        <v>WorldCat Record</v>
      </c>
      <c r="AX2714" s="3" t="s">
        <v>26664</v>
      </c>
      <c r="AY2714" s="3" t="s">
        <v>26665</v>
      </c>
      <c r="AZ2714" s="3" t="s">
        <v>26666</v>
      </c>
      <c r="BA2714" s="3" t="s">
        <v>26666</v>
      </c>
      <c r="BB2714" s="3" t="s">
        <v>26667</v>
      </c>
      <c r="BC2714" s="3" t="s">
        <v>142</v>
      </c>
      <c r="BD2714" s="3" t="s">
        <v>68</v>
      </c>
      <c r="BE2714" s="3" t="s">
        <v>26668</v>
      </c>
      <c r="BF2714" s="3" t="s">
        <v>26667</v>
      </c>
      <c r="BG2714" s="3" t="s">
        <v>26669</v>
      </c>
    </row>
    <row r="2715" spans="1:59" ht="57" x14ac:dyDescent="0.45">
      <c r="A2715" s="2" t="s">
        <v>59</v>
      </c>
      <c r="B2715" s="2" t="s">
        <v>60</v>
      </c>
      <c r="C2715" s="2" t="s">
        <v>26670</v>
      </c>
      <c r="D2715" s="2" t="s">
        <v>26671</v>
      </c>
      <c r="E2715" s="2" t="s">
        <v>26672</v>
      </c>
      <c r="G2715" s="3" t="s">
        <v>62</v>
      </c>
      <c r="I2715" s="3" t="s">
        <v>62</v>
      </c>
      <c r="J2715" s="3" t="s">
        <v>62</v>
      </c>
      <c r="K2715" s="3" t="s">
        <v>63</v>
      </c>
      <c r="M2715" s="2" t="s">
        <v>26673</v>
      </c>
      <c r="N2715" s="3" t="s">
        <v>894</v>
      </c>
      <c r="P2715" s="3" t="s">
        <v>65</v>
      </c>
      <c r="Q2715" s="2" t="s">
        <v>22860</v>
      </c>
      <c r="R2715" s="3" t="s">
        <v>66</v>
      </c>
      <c r="S2715" s="4">
        <v>3</v>
      </c>
      <c r="T2715" s="4">
        <v>3</v>
      </c>
      <c r="U2715" s="5" t="s">
        <v>15498</v>
      </c>
      <c r="V2715" s="5" t="s">
        <v>15498</v>
      </c>
      <c r="W2715" s="5" t="s">
        <v>67</v>
      </c>
      <c r="X2715" s="5" t="s">
        <v>67</v>
      </c>
      <c r="Y2715" s="4">
        <v>202</v>
      </c>
      <c r="Z2715" s="4">
        <v>24</v>
      </c>
      <c r="AA2715" s="4">
        <v>81</v>
      </c>
      <c r="AB2715" s="4">
        <v>2</v>
      </c>
      <c r="AC2715" s="4">
        <v>14</v>
      </c>
      <c r="AD2715" s="4">
        <v>78</v>
      </c>
      <c r="AE2715" s="4">
        <v>122</v>
      </c>
      <c r="AF2715" s="4">
        <v>1</v>
      </c>
      <c r="AG2715" s="4">
        <v>8</v>
      </c>
      <c r="AH2715" s="4">
        <v>68</v>
      </c>
      <c r="AI2715" s="4">
        <v>89</v>
      </c>
      <c r="AJ2715" s="4">
        <v>15</v>
      </c>
      <c r="AK2715" s="4">
        <v>24</v>
      </c>
      <c r="AL2715" s="4">
        <v>38</v>
      </c>
      <c r="AM2715" s="4">
        <v>46</v>
      </c>
      <c r="AN2715" s="4">
        <v>0</v>
      </c>
      <c r="AO2715" s="4">
        <v>0</v>
      </c>
      <c r="AP2715" s="4">
        <v>18</v>
      </c>
      <c r="AQ2715" s="4">
        <v>42</v>
      </c>
      <c r="AR2715" s="3" t="s">
        <v>62</v>
      </c>
      <c r="AS2715" s="3" t="s">
        <v>62</v>
      </c>
      <c r="AT2715" s="3" t="s">
        <v>62</v>
      </c>
      <c r="AV2715" s="6" t="str">
        <f>HYPERLINK("http://mcgill.on.worldcat.org/oclc/701104684","Catalog Record")</f>
        <v>Catalog Record</v>
      </c>
      <c r="AW2715" s="6" t="str">
        <f>HYPERLINK("http://www.worldcat.org/oclc/701104684","WorldCat Record")</f>
        <v>WorldCat Record</v>
      </c>
      <c r="AX2715" s="3" t="s">
        <v>26674</v>
      </c>
      <c r="AY2715" s="3" t="s">
        <v>26675</v>
      </c>
      <c r="AZ2715" s="3" t="s">
        <v>26676</v>
      </c>
      <c r="BA2715" s="3" t="s">
        <v>26676</v>
      </c>
      <c r="BB2715" s="3" t="s">
        <v>26677</v>
      </c>
      <c r="BC2715" s="3" t="s">
        <v>142</v>
      </c>
      <c r="BD2715" s="3" t="s">
        <v>68</v>
      </c>
      <c r="BE2715" s="3" t="s">
        <v>26678</v>
      </c>
      <c r="BF2715" s="3" t="s">
        <v>26677</v>
      </c>
      <c r="BG2715" s="3" t="s">
        <v>26679</v>
      </c>
    </row>
    <row r="2716" spans="1:59" ht="71.25" x14ac:dyDescent="0.45">
      <c r="A2716" s="2" t="s">
        <v>59</v>
      </c>
      <c r="B2716" s="2" t="s">
        <v>60</v>
      </c>
      <c r="C2716" s="2" t="s">
        <v>26680</v>
      </c>
      <c r="D2716" s="2" t="s">
        <v>26681</v>
      </c>
      <c r="E2716" s="2" t="s">
        <v>26682</v>
      </c>
      <c r="G2716" s="3" t="s">
        <v>62</v>
      </c>
      <c r="I2716" s="3" t="s">
        <v>62</v>
      </c>
      <c r="J2716" s="3" t="s">
        <v>62</v>
      </c>
      <c r="K2716" s="3" t="s">
        <v>63</v>
      </c>
      <c r="M2716" s="2" t="s">
        <v>26683</v>
      </c>
      <c r="N2716" s="3" t="s">
        <v>1465</v>
      </c>
      <c r="P2716" s="3" t="s">
        <v>65</v>
      </c>
      <c r="R2716" s="3" t="s">
        <v>66</v>
      </c>
      <c r="S2716" s="4">
        <v>7</v>
      </c>
      <c r="T2716" s="4">
        <v>7</v>
      </c>
      <c r="U2716" s="5" t="s">
        <v>7845</v>
      </c>
      <c r="V2716" s="5" t="s">
        <v>7845</v>
      </c>
      <c r="W2716" s="5" t="s">
        <v>67</v>
      </c>
      <c r="X2716" s="5" t="s">
        <v>67</v>
      </c>
      <c r="Y2716" s="4">
        <v>278</v>
      </c>
      <c r="Z2716" s="4">
        <v>34</v>
      </c>
      <c r="AA2716" s="4">
        <v>65</v>
      </c>
      <c r="AB2716" s="4">
        <v>3</v>
      </c>
      <c r="AC2716" s="4">
        <v>10</v>
      </c>
      <c r="AD2716" s="4">
        <v>93</v>
      </c>
      <c r="AE2716" s="4">
        <v>101</v>
      </c>
      <c r="AF2716" s="4">
        <v>1</v>
      </c>
      <c r="AG2716" s="4">
        <v>3</v>
      </c>
      <c r="AH2716" s="4">
        <v>81</v>
      </c>
      <c r="AI2716" s="4">
        <v>85</v>
      </c>
      <c r="AJ2716" s="4">
        <v>18</v>
      </c>
      <c r="AK2716" s="4">
        <v>20</v>
      </c>
      <c r="AL2716" s="4">
        <v>44</v>
      </c>
      <c r="AM2716" s="4">
        <v>47</v>
      </c>
      <c r="AN2716" s="4">
        <v>0</v>
      </c>
      <c r="AO2716" s="4">
        <v>0</v>
      </c>
      <c r="AP2716" s="4">
        <v>22</v>
      </c>
      <c r="AQ2716" s="4">
        <v>26</v>
      </c>
      <c r="AR2716" s="3" t="s">
        <v>62</v>
      </c>
      <c r="AS2716" s="3" t="s">
        <v>62</v>
      </c>
      <c r="AT2716" s="3" t="s">
        <v>61</v>
      </c>
      <c r="AU2716" s="6" t="str">
        <f>HYPERLINK("http://catalog.hathitrust.org/Record/006780108","HathiTrust Record")</f>
        <v>HathiTrust Record</v>
      </c>
      <c r="AV2716" s="6" t="str">
        <f>HYPERLINK("http://mcgill.on.worldcat.org/oclc/232980975","Catalog Record")</f>
        <v>Catalog Record</v>
      </c>
      <c r="AW2716" s="6" t="str">
        <f>HYPERLINK("http://www.worldcat.org/oclc/232980975","WorldCat Record")</f>
        <v>WorldCat Record</v>
      </c>
      <c r="AX2716" s="3" t="s">
        <v>26684</v>
      </c>
      <c r="AY2716" s="3" t="s">
        <v>26685</v>
      </c>
      <c r="AZ2716" s="3" t="s">
        <v>26686</v>
      </c>
      <c r="BA2716" s="3" t="s">
        <v>26686</v>
      </c>
      <c r="BB2716" s="3" t="s">
        <v>26687</v>
      </c>
      <c r="BC2716" s="3" t="s">
        <v>142</v>
      </c>
      <c r="BD2716" s="3" t="s">
        <v>68</v>
      </c>
      <c r="BE2716" s="3" t="s">
        <v>26688</v>
      </c>
      <c r="BF2716" s="3" t="s">
        <v>26687</v>
      </c>
      <c r="BG2716" s="3" t="s">
        <v>26689</v>
      </c>
    </row>
    <row r="2717" spans="1:59" ht="57" x14ac:dyDescent="0.45">
      <c r="A2717" s="2" t="s">
        <v>59</v>
      </c>
      <c r="B2717" s="2" t="s">
        <v>60</v>
      </c>
      <c r="C2717" s="2" t="s">
        <v>26690</v>
      </c>
      <c r="D2717" s="2" t="s">
        <v>26691</v>
      </c>
      <c r="E2717" s="2" t="s">
        <v>26692</v>
      </c>
      <c r="G2717" s="3" t="s">
        <v>62</v>
      </c>
      <c r="I2717" s="3" t="s">
        <v>62</v>
      </c>
      <c r="J2717" s="3" t="s">
        <v>62</v>
      </c>
      <c r="K2717" s="3" t="s">
        <v>63</v>
      </c>
      <c r="L2717" s="2" t="s">
        <v>26693</v>
      </c>
      <c r="M2717" s="2" t="s">
        <v>26694</v>
      </c>
      <c r="N2717" s="3" t="s">
        <v>149</v>
      </c>
      <c r="P2717" s="3" t="s">
        <v>65</v>
      </c>
      <c r="Q2717" s="2" t="s">
        <v>13123</v>
      </c>
      <c r="R2717" s="3" t="s">
        <v>66</v>
      </c>
      <c r="S2717" s="4">
        <v>15</v>
      </c>
      <c r="T2717" s="4">
        <v>15</v>
      </c>
      <c r="U2717" s="5" t="s">
        <v>26695</v>
      </c>
      <c r="V2717" s="5" t="s">
        <v>26695</v>
      </c>
      <c r="W2717" s="5" t="s">
        <v>67</v>
      </c>
      <c r="X2717" s="5" t="s">
        <v>67</v>
      </c>
      <c r="Y2717" s="4">
        <v>573</v>
      </c>
      <c r="Z2717" s="4">
        <v>36</v>
      </c>
      <c r="AA2717" s="4">
        <v>94</v>
      </c>
      <c r="AB2717" s="4">
        <v>3</v>
      </c>
      <c r="AC2717" s="4">
        <v>15</v>
      </c>
      <c r="AD2717" s="4">
        <v>108</v>
      </c>
      <c r="AE2717" s="4">
        <v>148</v>
      </c>
      <c r="AF2717" s="4">
        <v>1</v>
      </c>
      <c r="AG2717" s="4">
        <v>8</v>
      </c>
      <c r="AH2717" s="4">
        <v>91</v>
      </c>
      <c r="AI2717" s="4">
        <v>107</v>
      </c>
      <c r="AJ2717" s="4">
        <v>18</v>
      </c>
      <c r="AK2717" s="4">
        <v>25</v>
      </c>
      <c r="AL2717" s="4">
        <v>51</v>
      </c>
      <c r="AM2717" s="4">
        <v>57</v>
      </c>
      <c r="AN2717" s="4">
        <v>0</v>
      </c>
      <c r="AO2717" s="4">
        <v>0</v>
      </c>
      <c r="AP2717" s="4">
        <v>26</v>
      </c>
      <c r="AQ2717" s="4">
        <v>50</v>
      </c>
      <c r="AR2717" s="3" t="s">
        <v>62</v>
      </c>
      <c r="AS2717" s="3" t="s">
        <v>62</v>
      </c>
      <c r="AT2717" s="3" t="s">
        <v>62</v>
      </c>
      <c r="AV2717" s="6" t="str">
        <f>HYPERLINK("http://mcgill.on.worldcat.org/oclc/437054040","Catalog Record")</f>
        <v>Catalog Record</v>
      </c>
      <c r="AW2717" s="6" t="str">
        <f>HYPERLINK("http://www.worldcat.org/oclc/437054040","WorldCat Record")</f>
        <v>WorldCat Record</v>
      </c>
      <c r="AX2717" s="3" t="s">
        <v>26696</v>
      </c>
      <c r="AY2717" s="3" t="s">
        <v>26697</v>
      </c>
      <c r="AZ2717" s="3" t="s">
        <v>26698</v>
      </c>
      <c r="BA2717" s="3" t="s">
        <v>26698</v>
      </c>
      <c r="BB2717" s="3" t="s">
        <v>26699</v>
      </c>
      <c r="BC2717" s="3" t="s">
        <v>142</v>
      </c>
      <c r="BD2717" s="3" t="s">
        <v>68</v>
      </c>
      <c r="BE2717" s="3" t="s">
        <v>26700</v>
      </c>
      <c r="BF2717" s="3" t="s">
        <v>26699</v>
      </c>
      <c r="BG2717" s="3" t="s">
        <v>26701</v>
      </c>
    </row>
    <row r="2718" spans="1:59" ht="71.25" x14ac:dyDescent="0.45">
      <c r="A2718" s="2" t="s">
        <v>59</v>
      </c>
      <c r="B2718" s="2" t="s">
        <v>60</v>
      </c>
      <c r="C2718" s="2" t="s">
        <v>26702</v>
      </c>
      <c r="D2718" s="2" t="s">
        <v>26703</v>
      </c>
      <c r="E2718" s="2" t="s">
        <v>26704</v>
      </c>
      <c r="G2718" s="3" t="s">
        <v>62</v>
      </c>
      <c r="I2718" s="3" t="s">
        <v>61</v>
      </c>
      <c r="J2718" s="3" t="s">
        <v>61</v>
      </c>
      <c r="K2718" s="3" t="s">
        <v>63</v>
      </c>
      <c r="M2718" s="2" t="s">
        <v>26705</v>
      </c>
      <c r="N2718" s="3" t="s">
        <v>958</v>
      </c>
      <c r="P2718" s="3" t="s">
        <v>65</v>
      </c>
      <c r="R2718" s="3" t="s">
        <v>66</v>
      </c>
      <c r="S2718" s="4">
        <v>88</v>
      </c>
      <c r="T2718" s="4">
        <v>171</v>
      </c>
      <c r="U2718" s="5" t="s">
        <v>26706</v>
      </c>
      <c r="V2718" s="5" t="s">
        <v>26707</v>
      </c>
      <c r="W2718" s="5" t="s">
        <v>67</v>
      </c>
      <c r="X2718" s="5" t="s">
        <v>67</v>
      </c>
      <c r="Y2718" s="4">
        <v>738</v>
      </c>
      <c r="Z2718" s="4">
        <v>45</v>
      </c>
      <c r="AA2718" s="4">
        <v>80</v>
      </c>
      <c r="AB2718" s="4">
        <v>4</v>
      </c>
      <c r="AC2718" s="4">
        <v>11</v>
      </c>
      <c r="AD2718" s="4">
        <v>112</v>
      </c>
      <c r="AE2718" s="4">
        <v>153</v>
      </c>
      <c r="AF2718" s="4">
        <v>2</v>
      </c>
      <c r="AG2718" s="4">
        <v>6</v>
      </c>
      <c r="AH2718" s="4">
        <v>87</v>
      </c>
      <c r="AI2718" s="4">
        <v>113</v>
      </c>
      <c r="AJ2718" s="4">
        <v>19</v>
      </c>
      <c r="AK2718" s="4">
        <v>27</v>
      </c>
      <c r="AL2718" s="4">
        <v>46</v>
      </c>
      <c r="AM2718" s="4">
        <v>59</v>
      </c>
      <c r="AN2718" s="4">
        <v>0</v>
      </c>
      <c r="AO2718" s="4">
        <v>0</v>
      </c>
      <c r="AP2718" s="4">
        <v>34</v>
      </c>
      <c r="AQ2718" s="4">
        <v>50</v>
      </c>
      <c r="AR2718" s="3" t="s">
        <v>62</v>
      </c>
      <c r="AS2718" s="3" t="s">
        <v>62</v>
      </c>
      <c r="AT2718" s="3" t="s">
        <v>61</v>
      </c>
      <c r="AU2718" s="6" t="str">
        <f>HYPERLINK("http://catalog.hathitrust.org/Record/003044864","HathiTrust Record")</f>
        <v>HathiTrust Record</v>
      </c>
      <c r="AV2718" s="6" t="str">
        <f>HYPERLINK("http://mcgill.on.worldcat.org/oclc/30978901","Catalog Record")</f>
        <v>Catalog Record</v>
      </c>
      <c r="AW2718" s="6" t="str">
        <f>HYPERLINK("http://www.worldcat.org/oclc/30978901","WorldCat Record")</f>
        <v>WorldCat Record</v>
      </c>
      <c r="AX2718" s="3" t="s">
        <v>20721</v>
      </c>
      <c r="AY2718" s="3" t="s">
        <v>26708</v>
      </c>
      <c r="AZ2718" s="3" t="s">
        <v>26709</v>
      </c>
      <c r="BA2718" s="3" t="s">
        <v>26709</v>
      </c>
      <c r="BB2718" s="3" t="s">
        <v>26710</v>
      </c>
      <c r="BC2718" s="3" t="s">
        <v>142</v>
      </c>
      <c r="BD2718" s="3" t="s">
        <v>68</v>
      </c>
      <c r="BE2718" s="3" t="s">
        <v>26711</v>
      </c>
      <c r="BF2718" s="3" t="s">
        <v>26710</v>
      </c>
      <c r="BG2718" s="3" t="s">
        <v>26712</v>
      </c>
    </row>
    <row r="2719" spans="1:59" ht="71.25" x14ac:dyDescent="0.45">
      <c r="A2719" s="2" t="s">
        <v>59</v>
      </c>
      <c r="B2719" s="2" t="s">
        <v>60</v>
      </c>
      <c r="C2719" s="2" t="s">
        <v>26702</v>
      </c>
      <c r="D2719" s="2" t="s">
        <v>26703</v>
      </c>
      <c r="E2719" s="2" t="s">
        <v>26704</v>
      </c>
      <c r="G2719" s="3" t="s">
        <v>62</v>
      </c>
      <c r="I2719" s="3" t="s">
        <v>61</v>
      </c>
      <c r="J2719" s="3" t="s">
        <v>61</v>
      </c>
      <c r="K2719" s="3" t="s">
        <v>63</v>
      </c>
      <c r="M2719" s="2" t="s">
        <v>26705</v>
      </c>
      <c r="N2719" s="3" t="s">
        <v>958</v>
      </c>
      <c r="P2719" s="3" t="s">
        <v>65</v>
      </c>
      <c r="R2719" s="3" t="s">
        <v>66</v>
      </c>
      <c r="S2719" s="4">
        <v>83</v>
      </c>
      <c r="T2719" s="4">
        <v>171</v>
      </c>
      <c r="U2719" s="5" t="s">
        <v>26707</v>
      </c>
      <c r="V2719" s="5" t="s">
        <v>26707</v>
      </c>
      <c r="W2719" s="5" t="s">
        <v>67</v>
      </c>
      <c r="X2719" s="5" t="s">
        <v>67</v>
      </c>
      <c r="Y2719" s="4">
        <v>738</v>
      </c>
      <c r="Z2719" s="4">
        <v>45</v>
      </c>
      <c r="AA2719" s="4">
        <v>80</v>
      </c>
      <c r="AB2719" s="4">
        <v>4</v>
      </c>
      <c r="AC2719" s="4">
        <v>11</v>
      </c>
      <c r="AD2719" s="4">
        <v>112</v>
      </c>
      <c r="AE2719" s="4">
        <v>153</v>
      </c>
      <c r="AF2719" s="4">
        <v>2</v>
      </c>
      <c r="AG2719" s="4">
        <v>6</v>
      </c>
      <c r="AH2719" s="4">
        <v>87</v>
      </c>
      <c r="AI2719" s="4">
        <v>113</v>
      </c>
      <c r="AJ2719" s="4">
        <v>19</v>
      </c>
      <c r="AK2719" s="4">
        <v>27</v>
      </c>
      <c r="AL2719" s="4">
        <v>46</v>
      </c>
      <c r="AM2719" s="4">
        <v>59</v>
      </c>
      <c r="AN2719" s="4">
        <v>0</v>
      </c>
      <c r="AO2719" s="4">
        <v>0</v>
      </c>
      <c r="AP2719" s="4">
        <v>34</v>
      </c>
      <c r="AQ2719" s="4">
        <v>50</v>
      </c>
      <c r="AR2719" s="3" t="s">
        <v>62</v>
      </c>
      <c r="AS2719" s="3" t="s">
        <v>62</v>
      </c>
      <c r="AT2719" s="3" t="s">
        <v>61</v>
      </c>
      <c r="AU2719" s="6" t="str">
        <f>HYPERLINK("http://catalog.hathitrust.org/Record/003044864","HathiTrust Record")</f>
        <v>HathiTrust Record</v>
      </c>
      <c r="AV2719" s="6" t="str">
        <f>HYPERLINK("http://mcgill.on.worldcat.org/oclc/30978901","Catalog Record")</f>
        <v>Catalog Record</v>
      </c>
      <c r="AW2719" s="6" t="str">
        <f>HYPERLINK("http://www.worldcat.org/oclc/30978901","WorldCat Record")</f>
        <v>WorldCat Record</v>
      </c>
      <c r="AX2719" s="3" t="s">
        <v>20721</v>
      </c>
      <c r="AY2719" s="3" t="s">
        <v>26708</v>
      </c>
      <c r="AZ2719" s="3" t="s">
        <v>26709</v>
      </c>
      <c r="BA2719" s="3" t="s">
        <v>26709</v>
      </c>
      <c r="BB2719" s="3" t="s">
        <v>26713</v>
      </c>
      <c r="BC2719" s="3" t="s">
        <v>142</v>
      </c>
      <c r="BD2719" s="3" t="s">
        <v>68</v>
      </c>
      <c r="BE2719" s="3" t="s">
        <v>26711</v>
      </c>
      <c r="BF2719" s="3" t="s">
        <v>26713</v>
      </c>
      <c r="BG2719" s="3" t="s">
        <v>26714</v>
      </c>
    </row>
    <row r="2720" spans="1:59" ht="57" x14ac:dyDescent="0.45">
      <c r="A2720" s="2" t="s">
        <v>59</v>
      </c>
      <c r="B2720" s="2" t="s">
        <v>60</v>
      </c>
      <c r="C2720" s="2" t="s">
        <v>26715</v>
      </c>
      <c r="D2720" s="2" t="s">
        <v>26716</v>
      </c>
      <c r="E2720" s="2" t="s">
        <v>26717</v>
      </c>
      <c r="G2720" s="3" t="s">
        <v>62</v>
      </c>
      <c r="I2720" s="3" t="s">
        <v>62</v>
      </c>
      <c r="J2720" s="3" t="s">
        <v>62</v>
      </c>
      <c r="K2720" s="3" t="s">
        <v>63</v>
      </c>
      <c r="L2720" s="2" t="s">
        <v>26718</v>
      </c>
      <c r="M2720" s="2" t="s">
        <v>26719</v>
      </c>
      <c r="N2720" s="3" t="s">
        <v>2417</v>
      </c>
      <c r="P2720" s="3" t="s">
        <v>65</v>
      </c>
      <c r="R2720" s="3" t="s">
        <v>66</v>
      </c>
      <c r="S2720" s="4">
        <v>20</v>
      </c>
      <c r="T2720" s="4">
        <v>20</v>
      </c>
      <c r="U2720" s="5" t="s">
        <v>6427</v>
      </c>
      <c r="V2720" s="5" t="s">
        <v>6427</v>
      </c>
      <c r="W2720" s="5" t="s">
        <v>67</v>
      </c>
      <c r="X2720" s="5" t="s">
        <v>67</v>
      </c>
      <c r="Y2720" s="4">
        <v>245</v>
      </c>
      <c r="Z2720" s="4">
        <v>17</v>
      </c>
      <c r="AA2720" s="4">
        <v>21</v>
      </c>
      <c r="AB2720" s="4">
        <v>1</v>
      </c>
      <c r="AC2720" s="4">
        <v>2</v>
      </c>
      <c r="AD2720" s="4">
        <v>57</v>
      </c>
      <c r="AE2720" s="4">
        <v>79</v>
      </c>
      <c r="AF2720" s="4">
        <v>0</v>
      </c>
      <c r="AG2720" s="4">
        <v>1</v>
      </c>
      <c r="AH2720" s="4">
        <v>48</v>
      </c>
      <c r="AI2720" s="4">
        <v>67</v>
      </c>
      <c r="AJ2720" s="4">
        <v>9</v>
      </c>
      <c r="AK2720" s="4">
        <v>11</v>
      </c>
      <c r="AL2720" s="4">
        <v>19</v>
      </c>
      <c r="AM2720" s="4">
        <v>26</v>
      </c>
      <c r="AN2720" s="4">
        <v>0</v>
      </c>
      <c r="AO2720" s="4">
        <v>0</v>
      </c>
      <c r="AP2720" s="4">
        <v>13</v>
      </c>
      <c r="AQ2720" s="4">
        <v>17</v>
      </c>
      <c r="AR2720" s="3" t="s">
        <v>62</v>
      </c>
      <c r="AS2720" s="3" t="s">
        <v>62</v>
      </c>
      <c r="AT2720" s="3" t="s">
        <v>61</v>
      </c>
      <c r="AU2720" s="6" t="str">
        <f>HYPERLINK("http://catalog.hathitrust.org/Record/007106121","HathiTrust Record")</f>
        <v>HathiTrust Record</v>
      </c>
      <c r="AV2720" s="6" t="str">
        <f>HYPERLINK("http://mcgill.on.worldcat.org/oclc/15660014","Catalog Record")</f>
        <v>Catalog Record</v>
      </c>
      <c r="AW2720" s="6" t="str">
        <f>HYPERLINK("http://www.worldcat.org/oclc/15660014","WorldCat Record")</f>
        <v>WorldCat Record</v>
      </c>
      <c r="AX2720" s="3" t="s">
        <v>26720</v>
      </c>
      <c r="AY2720" s="3" t="s">
        <v>26721</v>
      </c>
      <c r="AZ2720" s="3" t="s">
        <v>26722</v>
      </c>
      <c r="BA2720" s="3" t="s">
        <v>26722</v>
      </c>
      <c r="BB2720" s="3" t="s">
        <v>26723</v>
      </c>
      <c r="BC2720" s="3" t="s">
        <v>142</v>
      </c>
      <c r="BD2720" s="3" t="s">
        <v>68</v>
      </c>
      <c r="BE2720" s="3" t="s">
        <v>26724</v>
      </c>
      <c r="BF2720" s="3" t="s">
        <v>26723</v>
      </c>
      <c r="BG2720" s="3" t="s">
        <v>26725</v>
      </c>
    </row>
    <row r="2721" spans="1:59" ht="57" x14ac:dyDescent="0.45">
      <c r="A2721" s="2" t="s">
        <v>59</v>
      </c>
      <c r="B2721" s="2" t="s">
        <v>60</v>
      </c>
      <c r="C2721" s="2" t="s">
        <v>26726</v>
      </c>
      <c r="D2721" s="2" t="s">
        <v>26727</v>
      </c>
      <c r="E2721" s="2" t="s">
        <v>26728</v>
      </c>
      <c r="G2721" s="3" t="s">
        <v>62</v>
      </c>
      <c r="I2721" s="3" t="s">
        <v>61</v>
      </c>
      <c r="J2721" s="3" t="s">
        <v>62</v>
      </c>
      <c r="K2721" s="3" t="s">
        <v>63</v>
      </c>
      <c r="M2721" s="2" t="s">
        <v>26729</v>
      </c>
      <c r="N2721" s="3" t="s">
        <v>1253</v>
      </c>
      <c r="P2721" s="3" t="s">
        <v>65</v>
      </c>
      <c r="Q2721" s="2" t="s">
        <v>26730</v>
      </c>
      <c r="R2721" s="3" t="s">
        <v>66</v>
      </c>
      <c r="S2721" s="4">
        <v>9</v>
      </c>
      <c r="T2721" s="4">
        <v>13</v>
      </c>
      <c r="U2721" s="5" t="s">
        <v>12353</v>
      </c>
      <c r="V2721" s="5" t="s">
        <v>11022</v>
      </c>
      <c r="W2721" s="5" t="s">
        <v>67</v>
      </c>
      <c r="X2721" s="5" t="s">
        <v>67</v>
      </c>
      <c r="Y2721" s="4">
        <v>223</v>
      </c>
      <c r="Z2721" s="4">
        <v>14</v>
      </c>
      <c r="AA2721" s="4">
        <v>96</v>
      </c>
      <c r="AB2721" s="4">
        <v>1</v>
      </c>
      <c r="AC2721" s="4">
        <v>17</v>
      </c>
      <c r="AD2721" s="4">
        <v>83</v>
      </c>
      <c r="AE2721" s="4">
        <v>131</v>
      </c>
      <c r="AF2721" s="4">
        <v>0</v>
      </c>
      <c r="AG2721" s="4">
        <v>8</v>
      </c>
      <c r="AH2721" s="4">
        <v>76</v>
      </c>
      <c r="AI2721" s="4">
        <v>95</v>
      </c>
      <c r="AJ2721" s="4">
        <v>11</v>
      </c>
      <c r="AK2721" s="4">
        <v>23</v>
      </c>
      <c r="AL2721" s="4">
        <v>46</v>
      </c>
      <c r="AM2721" s="4">
        <v>51</v>
      </c>
      <c r="AN2721" s="4">
        <v>0</v>
      </c>
      <c r="AO2721" s="4">
        <v>0</v>
      </c>
      <c r="AP2721" s="4">
        <v>11</v>
      </c>
      <c r="AQ2721" s="4">
        <v>44</v>
      </c>
      <c r="AR2721" s="3" t="s">
        <v>62</v>
      </c>
      <c r="AS2721" s="3" t="s">
        <v>62</v>
      </c>
      <c r="AT2721" s="3" t="s">
        <v>62</v>
      </c>
      <c r="AV2721" s="6" t="str">
        <f>HYPERLINK("http://mcgill.on.worldcat.org/oclc/36316019","Catalog Record")</f>
        <v>Catalog Record</v>
      </c>
      <c r="AW2721" s="6" t="str">
        <f>HYPERLINK("http://www.worldcat.org/oclc/36316019","WorldCat Record")</f>
        <v>WorldCat Record</v>
      </c>
      <c r="AX2721" s="3" t="s">
        <v>26731</v>
      </c>
      <c r="AY2721" s="3" t="s">
        <v>26732</v>
      </c>
      <c r="AZ2721" s="3" t="s">
        <v>26733</v>
      </c>
      <c r="BA2721" s="3" t="s">
        <v>26733</v>
      </c>
      <c r="BB2721" s="3" t="s">
        <v>26734</v>
      </c>
      <c r="BC2721" s="3" t="s">
        <v>142</v>
      </c>
      <c r="BD2721" s="3" t="s">
        <v>68</v>
      </c>
      <c r="BE2721" s="3" t="s">
        <v>26735</v>
      </c>
      <c r="BF2721" s="3" t="s">
        <v>26734</v>
      </c>
      <c r="BG2721" s="3" t="s">
        <v>26736</v>
      </c>
    </row>
    <row r="2722" spans="1:59" ht="57" x14ac:dyDescent="0.45">
      <c r="A2722" s="2" t="s">
        <v>59</v>
      </c>
      <c r="B2722" s="2" t="s">
        <v>60</v>
      </c>
      <c r="C2722" s="2" t="s">
        <v>26726</v>
      </c>
      <c r="D2722" s="2" t="s">
        <v>26727</v>
      </c>
      <c r="E2722" s="2" t="s">
        <v>26728</v>
      </c>
      <c r="G2722" s="3" t="s">
        <v>62</v>
      </c>
      <c r="I2722" s="3" t="s">
        <v>61</v>
      </c>
      <c r="J2722" s="3" t="s">
        <v>62</v>
      </c>
      <c r="K2722" s="3" t="s">
        <v>63</v>
      </c>
      <c r="M2722" s="2" t="s">
        <v>26729</v>
      </c>
      <c r="N2722" s="3" t="s">
        <v>1253</v>
      </c>
      <c r="P2722" s="3" t="s">
        <v>65</v>
      </c>
      <c r="Q2722" s="2" t="s">
        <v>26730</v>
      </c>
      <c r="R2722" s="3" t="s">
        <v>66</v>
      </c>
      <c r="S2722" s="4">
        <v>4</v>
      </c>
      <c r="T2722" s="4">
        <v>13</v>
      </c>
      <c r="U2722" s="5" t="s">
        <v>11022</v>
      </c>
      <c r="V2722" s="5" t="s">
        <v>11022</v>
      </c>
      <c r="W2722" s="5" t="s">
        <v>67</v>
      </c>
      <c r="X2722" s="5" t="s">
        <v>67</v>
      </c>
      <c r="Y2722" s="4">
        <v>223</v>
      </c>
      <c r="Z2722" s="4">
        <v>14</v>
      </c>
      <c r="AA2722" s="4">
        <v>96</v>
      </c>
      <c r="AB2722" s="4">
        <v>1</v>
      </c>
      <c r="AC2722" s="4">
        <v>17</v>
      </c>
      <c r="AD2722" s="4">
        <v>83</v>
      </c>
      <c r="AE2722" s="4">
        <v>131</v>
      </c>
      <c r="AF2722" s="4">
        <v>0</v>
      </c>
      <c r="AG2722" s="4">
        <v>8</v>
      </c>
      <c r="AH2722" s="4">
        <v>76</v>
      </c>
      <c r="AI2722" s="4">
        <v>95</v>
      </c>
      <c r="AJ2722" s="4">
        <v>11</v>
      </c>
      <c r="AK2722" s="4">
        <v>23</v>
      </c>
      <c r="AL2722" s="4">
        <v>46</v>
      </c>
      <c r="AM2722" s="4">
        <v>51</v>
      </c>
      <c r="AN2722" s="4">
        <v>0</v>
      </c>
      <c r="AO2722" s="4">
        <v>0</v>
      </c>
      <c r="AP2722" s="4">
        <v>11</v>
      </c>
      <c r="AQ2722" s="4">
        <v>44</v>
      </c>
      <c r="AR2722" s="3" t="s">
        <v>62</v>
      </c>
      <c r="AS2722" s="3" t="s">
        <v>62</v>
      </c>
      <c r="AT2722" s="3" t="s">
        <v>62</v>
      </c>
      <c r="AV2722" s="6" t="str">
        <f>HYPERLINK("http://mcgill.on.worldcat.org/oclc/36316019","Catalog Record")</f>
        <v>Catalog Record</v>
      </c>
      <c r="AW2722" s="6" t="str">
        <f>HYPERLINK("http://www.worldcat.org/oclc/36316019","WorldCat Record")</f>
        <v>WorldCat Record</v>
      </c>
      <c r="AX2722" s="3" t="s">
        <v>26731</v>
      </c>
      <c r="AY2722" s="3" t="s">
        <v>26732</v>
      </c>
      <c r="AZ2722" s="3" t="s">
        <v>26733</v>
      </c>
      <c r="BA2722" s="3" t="s">
        <v>26733</v>
      </c>
      <c r="BB2722" s="3" t="s">
        <v>26737</v>
      </c>
      <c r="BC2722" s="3" t="s">
        <v>142</v>
      </c>
      <c r="BD2722" s="3" t="s">
        <v>68</v>
      </c>
      <c r="BE2722" s="3" t="s">
        <v>26735</v>
      </c>
      <c r="BF2722" s="3" t="s">
        <v>26737</v>
      </c>
      <c r="BG2722" s="3" t="s">
        <v>26738</v>
      </c>
    </row>
    <row r="2723" spans="1:59" ht="57" x14ac:dyDescent="0.45">
      <c r="A2723" s="2" t="s">
        <v>59</v>
      </c>
      <c r="B2723" s="2" t="s">
        <v>60</v>
      </c>
      <c r="C2723" s="2" t="s">
        <v>26739</v>
      </c>
      <c r="D2723" s="2" t="s">
        <v>26740</v>
      </c>
      <c r="E2723" s="2" t="s">
        <v>26741</v>
      </c>
      <c r="G2723" s="3" t="s">
        <v>62</v>
      </c>
      <c r="I2723" s="3" t="s">
        <v>62</v>
      </c>
      <c r="J2723" s="3" t="s">
        <v>62</v>
      </c>
      <c r="K2723" s="3" t="s">
        <v>63</v>
      </c>
      <c r="M2723" s="2" t="s">
        <v>26742</v>
      </c>
      <c r="N2723" s="3" t="s">
        <v>84</v>
      </c>
      <c r="P2723" s="3" t="s">
        <v>65</v>
      </c>
      <c r="Q2723" s="2" t="s">
        <v>26743</v>
      </c>
      <c r="R2723" s="3" t="s">
        <v>66</v>
      </c>
      <c r="S2723" s="4">
        <v>31</v>
      </c>
      <c r="T2723" s="4">
        <v>31</v>
      </c>
      <c r="U2723" s="5" t="s">
        <v>3424</v>
      </c>
      <c r="V2723" s="5" t="s">
        <v>3424</v>
      </c>
      <c r="W2723" s="5" t="s">
        <v>67</v>
      </c>
      <c r="X2723" s="5" t="s">
        <v>67</v>
      </c>
      <c r="Y2723" s="4">
        <v>554</v>
      </c>
      <c r="Z2723" s="4">
        <v>32</v>
      </c>
      <c r="AA2723" s="4">
        <v>34</v>
      </c>
      <c r="AB2723" s="4">
        <v>2</v>
      </c>
      <c r="AC2723" s="4">
        <v>4</v>
      </c>
      <c r="AD2723" s="4">
        <v>121</v>
      </c>
      <c r="AE2723" s="4">
        <v>123</v>
      </c>
      <c r="AF2723" s="4">
        <v>1</v>
      </c>
      <c r="AG2723" s="4">
        <v>3</v>
      </c>
      <c r="AH2723" s="4">
        <v>102</v>
      </c>
      <c r="AI2723" s="4">
        <v>103</v>
      </c>
      <c r="AJ2723" s="4">
        <v>19</v>
      </c>
      <c r="AK2723" s="4">
        <v>21</v>
      </c>
      <c r="AL2723" s="4">
        <v>55</v>
      </c>
      <c r="AM2723" s="4">
        <v>55</v>
      </c>
      <c r="AN2723" s="4">
        <v>0</v>
      </c>
      <c r="AO2723" s="4">
        <v>0</v>
      </c>
      <c r="AP2723" s="4">
        <v>27</v>
      </c>
      <c r="AQ2723" s="4">
        <v>28</v>
      </c>
      <c r="AR2723" s="3" t="s">
        <v>62</v>
      </c>
      <c r="AS2723" s="3" t="s">
        <v>62</v>
      </c>
      <c r="AT2723" s="3" t="s">
        <v>61</v>
      </c>
      <c r="AU2723" s="6" t="str">
        <f>HYPERLINK("http://catalog.hathitrust.org/Record/002565009","HathiTrust Record")</f>
        <v>HathiTrust Record</v>
      </c>
      <c r="AV2723" s="6" t="str">
        <f>HYPERLINK("http://mcgill.on.worldcat.org/oclc/24378785","Catalog Record")</f>
        <v>Catalog Record</v>
      </c>
      <c r="AW2723" s="6" t="str">
        <f>HYPERLINK("http://www.worldcat.org/oclc/24378785","WorldCat Record")</f>
        <v>WorldCat Record</v>
      </c>
      <c r="AX2723" s="3" t="s">
        <v>26744</v>
      </c>
      <c r="AY2723" s="3" t="s">
        <v>26745</v>
      </c>
      <c r="AZ2723" s="3" t="s">
        <v>26746</v>
      </c>
      <c r="BA2723" s="3" t="s">
        <v>26746</v>
      </c>
      <c r="BB2723" s="3" t="s">
        <v>26747</v>
      </c>
      <c r="BC2723" s="3" t="s">
        <v>142</v>
      </c>
      <c r="BD2723" s="3" t="s">
        <v>68</v>
      </c>
      <c r="BE2723" s="3" t="s">
        <v>26748</v>
      </c>
      <c r="BF2723" s="3" t="s">
        <v>26747</v>
      </c>
      <c r="BG2723" s="3" t="s">
        <v>26749</v>
      </c>
    </row>
    <row r="2724" spans="1:59" ht="57" x14ac:dyDescent="0.45">
      <c r="A2724" s="2" t="s">
        <v>59</v>
      </c>
      <c r="B2724" s="2" t="s">
        <v>60</v>
      </c>
      <c r="C2724" s="2" t="s">
        <v>26750</v>
      </c>
      <c r="D2724" s="2" t="s">
        <v>26751</v>
      </c>
      <c r="E2724" s="2" t="s">
        <v>26752</v>
      </c>
      <c r="G2724" s="3" t="s">
        <v>62</v>
      </c>
      <c r="I2724" s="3" t="s">
        <v>62</v>
      </c>
      <c r="J2724" s="3" t="s">
        <v>62</v>
      </c>
      <c r="K2724" s="3" t="s">
        <v>63</v>
      </c>
      <c r="M2724" s="2" t="s">
        <v>26753</v>
      </c>
      <c r="N2724" s="3" t="s">
        <v>1465</v>
      </c>
      <c r="P2724" s="3" t="s">
        <v>65</v>
      </c>
      <c r="R2724" s="3" t="s">
        <v>66</v>
      </c>
      <c r="S2724" s="4">
        <v>4</v>
      </c>
      <c r="T2724" s="4">
        <v>4</v>
      </c>
      <c r="U2724" s="5" t="s">
        <v>2316</v>
      </c>
      <c r="V2724" s="5" t="s">
        <v>2316</v>
      </c>
      <c r="W2724" s="5" t="s">
        <v>67</v>
      </c>
      <c r="X2724" s="5" t="s">
        <v>67</v>
      </c>
      <c r="Y2724" s="4">
        <v>203</v>
      </c>
      <c r="Z2724" s="4">
        <v>21</v>
      </c>
      <c r="AA2724" s="4">
        <v>29</v>
      </c>
      <c r="AB2724" s="4">
        <v>3</v>
      </c>
      <c r="AC2724" s="4">
        <v>7</v>
      </c>
      <c r="AD2724" s="4">
        <v>75</v>
      </c>
      <c r="AE2724" s="4">
        <v>80</v>
      </c>
      <c r="AF2724" s="4">
        <v>1</v>
      </c>
      <c r="AG2724" s="4">
        <v>3</v>
      </c>
      <c r="AH2724" s="4">
        <v>65</v>
      </c>
      <c r="AI2724" s="4">
        <v>66</v>
      </c>
      <c r="AJ2724" s="4">
        <v>15</v>
      </c>
      <c r="AK2724" s="4">
        <v>18</v>
      </c>
      <c r="AL2724" s="4">
        <v>37</v>
      </c>
      <c r="AM2724" s="4">
        <v>37</v>
      </c>
      <c r="AN2724" s="4">
        <v>0</v>
      </c>
      <c r="AO2724" s="4">
        <v>0</v>
      </c>
      <c r="AP2724" s="4">
        <v>17</v>
      </c>
      <c r="AQ2724" s="4">
        <v>22</v>
      </c>
      <c r="AR2724" s="3" t="s">
        <v>62</v>
      </c>
      <c r="AS2724" s="3" t="s">
        <v>62</v>
      </c>
      <c r="AT2724" s="3" t="s">
        <v>62</v>
      </c>
      <c r="AV2724" s="6" t="str">
        <f>HYPERLINK("http://mcgill.on.worldcat.org/oclc/259265669","Catalog Record")</f>
        <v>Catalog Record</v>
      </c>
      <c r="AW2724" s="6" t="str">
        <f>HYPERLINK("http://www.worldcat.org/oclc/259265669","WorldCat Record")</f>
        <v>WorldCat Record</v>
      </c>
      <c r="AX2724" s="3" t="s">
        <v>26754</v>
      </c>
      <c r="AY2724" s="3" t="s">
        <v>26755</v>
      </c>
      <c r="AZ2724" s="3" t="s">
        <v>26756</v>
      </c>
      <c r="BA2724" s="3" t="s">
        <v>26756</v>
      </c>
      <c r="BB2724" s="3" t="s">
        <v>26757</v>
      </c>
      <c r="BC2724" s="3" t="s">
        <v>142</v>
      </c>
      <c r="BD2724" s="3" t="s">
        <v>68</v>
      </c>
      <c r="BE2724" s="3" t="s">
        <v>26758</v>
      </c>
      <c r="BF2724" s="3" t="s">
        <v>26757</v>
      </c>
      <c r="BG2724" s="3" t="s">
        <v>26759</v>
      </c>
    </row>
    <row r="2725" spans="1:59" ht="57" x14ac:dyDescent="0.45">
      <c r="A2725" s="2" t="s">
        <v>59</v>
      </c>
      <c r="B2725" s="2" t="s">
        <v>60</v>
      </c>
      <c r="C2725" s="2" t="s">
        <v>26760</v>
      </c>
      <c r="D2725" s="2" t="s">
        <v>26761</v>
      </c>
      <c r="E2725" s="2" t="s">
        <v>26762</v>
      </c>
      <c r="G2725" s="3" t="s">
        <v>62</v>
      </c>
      <c r="I2725" s="3" t="s">
        <v>62</v>
      </c>
      <c r="J2725" s="3" t="s">
        <v>62</v>
      </c>
      <c r="K2725" s="3" t="s">
        <v>63</v>
      </c>
      <c r="L2725" s="2" t="s">
        <v>26763</v>
      </c>
      <c r="M2725" s="2" t="s">
        <v>12678</v>
      </c>
      <c r="N2725" s="3" t="s">
        <v>1059</v>
      </c>
      <c r="P2725" s="3" t="s">
        <v>65</v>
      </c>
      <c r="R2725" s="3" t="s">
        <v>66</v>
      </c>
      <c r="S2725" s="4">
        <v>14</v>
      </c>
      <c r="T2725" s="4">
        <v>14</v>
      </c>
      <c r="U2725" s="5" t="s">
        <v>6427</v>
      </c>
      <c r="V2725" s="5" t="s">
        <v>6427</v>
      </c>
      <c r="W2725" s="5" t="s">
        <v>67</v>
      </c>
      <c r="X2725" s="5" t="s">
        <v>67</v>
      </c>
      <c r="Y2725" s="4">
        <v>431</v>
      </c>
      <c r="Z2725" s="4">
        <v>29</v>
      </c>
      <c r="AA2725" s="4">
        <v>101</v>
      </c>
      <c r="AB2725" s="4">
        <v>2</v>
      </c>
      <c r="AC2725" s="4">
        <v>17</v>
      </c>
      <c r="AD2725" s="4">
        <v>112</v>
      </c>
      <c r="AE2725" s="4">
        <v>146</v>
      </c>
      <c r="AF2725" s="4">
        <v>1</v>
      </c>
      <c r="AG2725" s="4">
        <v>8</v>
      </c>
      <c r="AH2725" s="4">
        <v>97</v>
      </c>
      <c r="AI2725" s="4">
        <v>102</v>
      </c>
      <c r="AJ2725" s="4">
        <v>17</v>
      </c>
      <c r="AK2725" s="4">
        <v>25</v>
      </c>
      <c r="AL2725" s="4">
        <v>53</v>
      </c>
      <c r="AM2725" s="4">
        <v>56</v>
      </c>
      <c r="AN2725" s="4">
        <v>0</v>
      </c>
      <c r="AO2725" s="4">
        <v>0</v>
      </c>
      <c r="AP2725" s="4">
        <v>22</v>
      </c>
      <c r="AQ2725" s="4">
        <v>51</v>
      </c>
      <c r="AR2725" s="3" t="s">
        <v>62</v>
      </c>
      <c r="AS2725" s="3" t="s">
        <v>62</v>
      </c>
      <c r="AT2725" s="3" t="s">
        <v>61</v>
      </c>
      <c r="AU2725" s="6" t="str">
        <f>HYPERLINK("http://catalog.hathitrust.org/Record/005225314","HathiTrust Record")</f>
        <v>HathiTrust Record</v>
      </c>
      <c r="AV2725" s="6" t="str">
        <f>HYPERLINK("http://mcgill.on.worldcat.org/oclc/57693405","Catalog Record")</f>
        <v>Catalog Record</v>
      </c>
      <c r="AW2725" s="6" t="str">
        <f>HYPERLINK("http://www.worldcat.org/oclc/57693405","WorldCat Record")</f>
        <v>WorldCat Record</v>
      </c>
      <c r="AX2725" s="3" t="s">
        <v>26764</v>
      </c>
      <c r="AY2725" s="3" t="s">
        <v>26765</v>
      </c>
      <c r="AZ2725" s="3" t="s">
        <v>26766</v>
      </c>
      <c r="BA2725" s="3" t="s">
        <v>26766</v>
      </c>
      <c r="BB2725" s="3" t="s">
        <v>26767</v>
      </c>
      <c r="BC2725" s="3" t="s">
        <v>142</v>
      </c>
      <c r="BD2725" s="3" t="s">
        <v>68</v>
      </c>
      <c r="BE2725" s="3" t="s">
        <v>26768</v>
      </c>
      <c r="BF2725" s="3" t="s">
        <v>26767</v>
      </c>
      <c r="BG2725" s="3" t="s">
        <v>26769</v>
      </c>
    </row>
    <row r="2726" spans="1:59" ht="57" x14ac:dyDescent="0.45">
      <c r="A2726" s="2" t="s">
        <v>59</v>
      </c>
      <c r="B2726" s="2" t="s">
        <v>60</v>
      </c>
      <c r="C2726" s="2" t="s">
        <v>26770</v>
      </c>
      <c r="D2726" s="2" t="s">
        <v>26771</v>
      </c>
      <c r="E2726" s="2" t="s">
        <v>26772</v>
      </c>
      <c r="G2726" s="3" t="s">
        <v>62</v>
      </c>
      <c r="I2726" s="3" t="s">
        <v>62</v>
      </c>
      <c r="J2726" s="3" t="s">
        <v>62</v>
      </c>
      <c r="K2726" s="3" t="s">
        <v>63</v>
      </c>
      <c r="L2726" s="2" t="s">
        <v>26773</v>
      </c>
      <c r="M2726" s="2" t="s">
        <v>9667</v>
      </c>
      <c r="N2726" s="3" t="s">
        <v>894</v>
      </c>
      <c r="P2726" s="3" t="s">
        <v>65</v>
      </c>
      <c r="R2726" s="3" t="s">
        <v>66</v>
      </c>
      <c r="S2726" s="4">
        <v>3</v>
      </c>
      <c r="T2726" s="4">
        <v>3</v>
      </c>
      <c r="U2726" s="5" t="s">
        <v>2596</v>
      </c>
      <c r="V2726" s="5" t="s">
        <v>2596</v>
      </c>
      <c r="W2726" s="5" t="s">
        <v>67</v>
      </c>
      <c r="X2726" s="5" t="s">
        <v>67</v>
      </c>
      <c r="Y2726" s="4">
        <v>583</v>
      </c>
      <c r="Z2726" s="4">
        <v>32</v>
      </c>
      <c r="AA2726" s="4">
        <v>92</v>
      </c>
      <c r="AB2726" s="4">
        <v>1</v>
      </c>
      <c r="AC2726" s="4">
        <v>15</v>
      </c>
      <c r="AD2726" s="4">
        <v>93</v>
      </c>
      <c r="AE2726" s="4">
        <v>129</v>
      </c>
      <c r="AF2726" s="4">
        <v>0</v>
      </c>
      <c r="AG2726" s="4">
        <v>8</v>
      </c>
      <c r="AH2726" s="4">
        <v>83</v>
      </c>
      <c r="AI2726" s="4">
        <v>94</v>
      </c>
      <c r="AJ2726" s="4">
        <v>15</v>
      </c>
      <c r="AK2726" s="4">
        <v>24</v>
      </c>
      <c r="AL2726" s="4">
        <v>43</v>
      </c>
      <c r="AM2726" s="4">
        <v>48</v>
      </c>
      <c r="AN2726" s="4">
        <v>0</v>
      </c>
      <c r="AO2726" s="4">
        <v>0</v>
      </c>
      <c r="AP2726" s="4">
        <v>20</v>
      </c>
      <c r="AQ2726" s="4">
        <v>46</v>
      </c>
      <c r="AR2726" s="3" t="s">
        <v>62</v>
      </c>
      <c r="AS2726" s="3" t="s">
        <v>62</v>
      </c>
      <c r="AT2726" s="3" t="s">
        <v>62</v>
      </c>
      <c r="AV2726" s="6" t="str">
        <f>HYPERLINK("http://mcgill.on.worldcat.org/oclc/697036802","Catalog Record")</f>
        <v>Catalog Record</v>
      </c>
      <c r="AW2726" s="6" t="str">
        <f>HYPERLINK("http://www.worldcat.org/oclc/697036802","WorldCat Record")</f>
        <v>WorldCat Record</v>
      </c>
      <c r="AX2726" s="3" t="s">
        <v>26774</v>
      </c>
      <c r="AY2726" s="3" t="s">
        <v>26775</v>
      </c>
      <c r="AZ2726" s="3" t="s">
        <v>26776</v>
      </c>
      <c r="BA2726" s="3" t="s">
        <v>26776</v>
      </c>
      <c r="BB2726" s="3" t="s">
        <v>26777</v>
      </c>
      <c r="BC2726" s="3" t="s">
        <v>142</v>
      </c>
      <c r="BD2726" s="3" t="s">
        <v>68</v>
      </c>
      <c r="BE2726" s="3" t="s">
        <v>26778</v>
      </c>
      <c r="BF2726" s="3" t="s">
        <v>26777</v>
      </c>
      <c r="BG2726" s="3" t="s">
        <v>26779</v>
      </c>
    </row>
    <row r="2727" spans="1:59" ht="57" x14ac:dyDescent="0.45">
      <c r="A2727" s="2" t="s">
        <v>59</v>
      </c>
      <c r="B2727" s="2" t="s">
        <v>60</v>
      </c>
      <c r="C2727" s="2" t="s">
        <v>26780</v>
      </c>
      <c r="D2727" s="2" t="s">
        <v>26781</v>
      </c>
      <c r="E2727" s="2" t="s">
        <v>26782</v>
      </c>
      <c r="G2727" s="3" t="s">
        <v>62</v>
      </c>
      <c r="I2727" s="3" t="s">
        <v>62</v>
      </c>
      <c r="J2727" s="3" t="s">
        <v>62</v>
      </c>
      <c r="K2727" s="3" t="s">
        <v>63</v>
      </c>
      <c r="M2727" s="2" t="s">
        <v>26783</v>
      </c>
      <c r="N2727" s="3" t="s">
        <v>1437</v>
      </c>
      <c r="P2727" s="3" t="s">
        <v>65</v>
      </c>
      <c r="Q2727" s="2" t="s">
        <v>3508</v>
      </c>
      <c r="R2727" s="3" t="s">
        <v>66</v>
      </c>
      <c r="S2727" s="4">
        <v>31</v>
      </c>
      <c r="T2727" s="4">
        <v>31</v>
      </c>
      <c r="U2727" s="5" t="s">
        <v>19890</v>
      </c>
      <c r="V2727" s="5" t="s">
        <v>19890</v>
      </c>
      <c r="W2727" s="5" t="s">
        <v>67</v>
      </c>
      <c r="X2727" s="5" t="s">
        <v>67</v>
      </c>
      <c r="Y2727" s="4">
        <v>621</v>
      </c>
      <c r="Z2727" s="4">
        <v>27</v>
      </c>
      <c r="AA2727" s="4">
        <v>30</v>
      </c>
      <c r="AB2727" s="4">
        <v>2</v>
      </c>
      <c r="AC2727" s="4">
        <v>5</v>
      </c>
      <c r="AD2727" s="4">
        <v>112</v>
      </c>
      <c r="AE2727" s="4">
        <v>114</v>
      </c>
      <c r="AF2727" s="4">
        <v>1</v>
      </c>
      <c r="AG2727" s="4">
        <v>3</v>
      </c>
      <c r="AH2727" s="4">
        <v>94</v>
      </c>
      <c r="AI2727" s="4">
        <v>95</v>
      </c>
      <c r="AJ2727" s="4">
        <v>16</v>
      </c>
      <c r="AK2727" s="4">
        <v>18</v>
      </c>
      <c r="AL2727" s="4">
        <v>50</v>
      </c>
      <c r="AM2727" s="4">
        <v>50</v>
      </c>
      <c r="AN2727" s="4">
        <v>0</v>
      </c>
      <c r="AO2727" s="4">
        <v>0</v>
      </c>
      <c r="AP2727" s="4">
        <v>23</v>
      </c>
      <c r="AQ2727" s="4">
        <v>25</v>
      </c>
      <c r="AR2727" s="3" t="s">
        <v>62</v>
      </c>
      <c r="AS2727" s="3" t="s">
        <v>62</v>
      </c>
      <c r="AT2727" s="3" t="s">
        <v>62</v>
      </c>
      <c r="AV2727" s="6" t="str">
        <f>HYPERLINK("http://mcgill.on.worldcat.org/oclc/37955759","Catalog Record")</f>
        <v>Catalog Record</v>
      </c>
      <c r="AW2727" s="6" t="str">
        <f>HYPERLINK("http://www.worldcat.org/oclc/37955759","WorldCat Record")</f>
        <v>WorldCat Record</v>
      </c>
      <c r="AX2727" s="3" t="s">
        <v>26784</v>
      </c>
      <c r="AY2727" s="3" t="s">
        <v>26785</v>
      </c>
      <c r="AZ2727" s="3" t="s">
        <v>26786</v>
      </c>
      <c r="BA2727" s="3" t="s">
        <v>26786</v>
      </c>
      <c r="BB2727" s="3" t="s">
        <v>26787</v>
      </c>
      <c r="BC2727" s="3" t="s">
        <v>142</v>
      </c>
      <c r="BD2727" s="3" t="s">
        <v>68</v>
      </c>
      <c r="BE2727" s="3" t="s">
        <v>26788</v>
      </c>
      <c r="BF2727" s="3" t="s">
        <v>26787</v>
      </c>
      <c r="BG2727" s="3" t="s">
        <v>26789</v>
      </c>
    </row>
    <row r="2728" spans="1:59" ht="57" x14ac:dyDescent="0.45">
      <c r="A2728" s="2" t="s">
        <v>59</v>
      </c>
      <c r="B2728" s="2" t="s">
        <v>60</v>
      </c>
      <c r="C2728" s="2" t="s">
        <v>26790</v>
      </c>
      <c r="D2728" s="2" t="s">
        <v>26791</v>
      </c>
      <c r="E2728" s="2" t="s">
        <v>26792</v>
      </c>
      <c r="G2728" s="3" t="s">
        <v>62</v>
      </c>
      <c r="I2728" s="3" t="s">
        <v>62</v>
      </c>
      <c r="J2728" s="3" t="s">
        <v>62</v>
      </c>
      <c r="K2728" s="3" t="s">
        <v>63</v>
      </c>
      <c r="M2728" s="2" t="s">
        <v>7220</v>
      </c>
      <c r="N2728" s="3" t="s">
        <v>1059</v>
      </c>
      <c r="O2728" s="2" t="s">
        <v>933</v>
      </c>
      <c r="P2728" s="3" t="s">
        <v>65</v>
      </c>
      <c r="Q2728" s="2" t="s">
        <v>3508</v>
      </c>
      <c r="R2728" s="3" t="s">
        <v>66</v>
      </c>
      <c r="S2728" s="4">
        <v>8</v>
      </c>
      <c r="T2728" s="4">
        <v>8</v>
      </c>
      <c r="U2728" s="5" t="s">
        <v>6427</v>
      </c>
      <c r="V2728" s="5" t="s">
        <v>6427</v>
      </c>
      <c r="W2728" s="5" t="s">
        <v>67</v>
      </c>
      <c r="X2728" s="5" t="s">
        <v>67</v>
      </c>
      <c r="Y2728" s="4">
        <v>431</v>
      </c>
      <c r="Z2728" s="4">
        <v>30</v>
      </c>
      <c r="AA2728" s="4">
        <v>39</v>
      </c>
      <c r="AB2728" s="4">
        <v>1</v>
      </c>
      <c r="AC2728" s="4">
        <v>9</v>
      </c>
      <c r="AD2728" s="4">
        <v>101</v>
      </c>
      <c r="AE2728" s="4">
        <v>107</v>
      </c>
      <c r="AF2728" s="4">
        <v>0</v>
      </c>
      <c r="AG2728" s="4">
        <v>4</v>
      </c>
      <c r="AH2728" s="4">
        <v>88</v>
      </c>
      <c r="AI2728" s="4">
        <v>91</v>
      </c>
      <c r="AJ2728" s="4">
        <v>18</v>
      </c>
      <c r="AK2728" s="4">
        <v>22</v>
      </c>
      <c r="AL2728" s="4">
        <v>46</v>
      </c>
      <c r="AM2728" s="4">
        <v>46</v>
      </c>
      <c r="AN2728" s="4">
        <v>0</v>
      </c>
      <c r="AO2728" s="4">
        <v>0</v>
      </c>
      <c r="AP2728" s="4">
        <v>23</v>
      </c>
      <c r="AQ2728" s="4">
        <v>27</v>
      </c>
      <c r="AR2728" s="3" t="s">
        <v>62</v>
      </c>
      <c r="AS2728" s="3" t="s">
        <v>62</v>
      </c>
      <c r="AT2728" s="3" t="s">
        <v>62</v>
      </c>
      <c r="AV2728" s="6" t="str">
        <f>HYPERLINK("http://mcgill.on.worldcat.org/oclc/62161198","Catalog Record")</f>
        <v>Catalog Record</v>
      </c>
      <c r="AW2728" s="6" t="str">
        <f>HYPERLINK("http://www.worldcat.org/oclc/62161198","WorldCat Record")</f>
        <v>WorldCat Record</v>
      </c>
      <c r="AX2728" s="3" t="s">
        <v>26793</v>
      </c>
      <c r="AY2728" s="3" t="s">
        <v>26794</v>
      </c>
      <c r="AZ2728" s="3" t="s">
        <v>26795</v>
      </c>
      <c r="BA2728" s="3" t="s">
        <v>26795</v>
      </c>
      <c r="BB2728" s="3" t="s">
        <v>26796</v>
      </c>
      <c r="BC2728" s="3" t="s">
        <v>142</v>
      </c>
      <c r="BD2728" s="3" t="s">
        <v>68</v>
      </c>
      <c r="BE2728" s="3" t="s">
        <v>26797</v>
      </c>
      <c r="BF2728" s="3" t="s">
        <v>26796</v>
      </c>
      <c r="BG2728" s="3" t="s">
        <v>26798</v>
      </c>
    </row>
    <row r="2729" spans="1:59" ht="57" x14ac:dyDescent="0.45">
      <c r="A2729" s="2" t="s">
        <v>59</v>
      </c>
      <c r="B2729" s="2" t="s">
        <v>60</v>
      </c>
      <c r="C2729" s="2" t="s">
        <v>26799</v>
      </c>
      <c r="D2729" s="2" t="s">
        <v>26800</v>
      </c>
      <c r="E2729" s="2" t="s">
        <v>26801</v>
      </c>
      <c r="G2729" s="3" t="s">
        <v>62</v>
      </c>
      <c r="I2729" s="3" t="s">
        <v>62</v>
      </c>
      <c r="J2729" s="3" t="s">
        <v>62</v>
      </c>
      <c r="K2729" s="3" t="s">
        <v>63</v>
      </c>
      <c r="M2729" s="2" t="s">
        <v>26802</v>
      </c>
      <c r="N2729" s="3" t="s">
        <v>181</v>
      </c>
      <c r="P2729" s="3" t="s">
        <v>110</v>
      </c>
      <c r="R2729" s="3" t="s">
        <v>66</v>
      </c>
      <c r="S2729" s="4">
        <v>1</v>
      </c>
      <c r="T2729" s="4">
        <v>1</v>
      </c>
      <c r="U2729" s="5" t="s">
        <v>26803</v>
      </c>
      <c r="V2729" s="5" t="s">
        <v>26803</v>
      </c>
      <c r="W2729" s="5" t="s">
        <v>67</v>
      </c>
      <c r="X2729" s="5" t="s">
        <v>67</v>
      </c>
      <c r="Y2729" s="4">
        <v>5</v>
      </c>
      <c r="Z2729" s="4">
        <v>2</v>
      </c>
      <c r="AA2729" s="4">
        <v>5</v>
      </c>
      <c r="AB2729" s="4">
        <v>1</v>
      </c>
      <c r="AC2729" s="4">
        <v>3</v>
      </c>
      <c r="AD2729" s="4">
        <v>4</v>
      </c>
      <c r="AE2729" s="4">
        <v>6</v>
      </c>
      <c r="AF2729" s="4">
        <v>0</v>
      </c>
      <c r="AG2729" s="4">
        <v>1</v>
      </c>
      <c r="AH2729" s="4">
        <v>3</v>
      </c>
      <c r="AI2729" s="4">
        <v>4</v>
      </c>
      <c r="AJ2729" s="4">
        <v>1</v>
      </c>
      <c r="AK2729" s="4">
        <v>3</v>
      </c>
      <c r="AL2729" s="4">
        <v>3</v>
      </c>
      <c r="AM2729" s="4">
        <v>3</v>
      </c>
      <c r="AN2729" s="4">
        <v>0</v>
      </c>
      <c r="AO2729" s="4">
        <v>0</v>
      </c>
      <c r="AP2729" s="4">
        <v>1</v>
      </c>
      <c r="AQ2729" s="4">
        <v>3</v>
      </c>
      <c r="AR2729" s="3" t="s">
        <v>62</v>
      </c>
      <c r="AS2729" s="3" t="s">
        <v>62</v>
      </c>
      <c r="AT2729" s="3" t="s">
        <v>62</v>
      </c>
      <c r="AV2729" s="6" t="str">
        <f>HYPERLINK("http://mcgill.on.worldcat.org/oclc/993751087","Catalog Record")</f>
        <v>Catalog Record</v>
      </c>
      <c r="AW2729" s="6" t="str">
        <f>HYPERLINK("http://www.worldcat.org/oclc/993751087","WorldCat Record")</f>
        <v>WorldCat Record</v>
      </c>
      <c r="AX2729" s="3" t="s">
        <v>26804</v>
      </c>
      <c r="AY2729" s="3" t="s">
        <v>26805</v>
      </c>
      <c r="AZ2729" s="3" t="s">
        <v>26806</v>
      </c>
      <c r="BA2729" s="3" t="s">
        <v>26806</v>
      </c>
      <c r="BB2729" s="3" t="s">
        <v>26807</v>
      </c>
      <c r="BC2729" s="3" t="s">
        <v>142</v>
      </c>
      <c r="BD2729" s="3" t="s">
        <v>68</v>
      </c>
      <c r="BE2729" s="3" t="s">
        <v>26808</v>
      </c>
      <c r="BF2729" s="3" t="s">
        <v>26807</v>
      </c>
      <c r="BG2729" s="3" t="s">
        <v>26809</v>
      </c>
    </row>
    <row r="2730" spans="1:59" ht="57" x14ac:dyDescent="0.45">
      <c r="A2730" s="2" t="s">
        <v>59</v>
      </c>
      <c r="B2730" s="2" t="s">
        <v>60</v>
      </c>
      <c r="C2730" s="2" t="s">
        <v>26810</v>
      </c>
      <c r="D2730" s="2" t="s">
        <v>26811</v>
      </c>
      <c r="E2730" s="2" t="s">
        <v>26812</v>
      </c>
      <c r="G2730" s="3" t="s">
        <v>62</v>
      </c>
      <c r="I2730" s="3" t="s">
        <v>62</v>
      </c>
      <c r="J2730" s="3" t="s">
        <v>62</v>
      </c>
      <c r="K2730" s="3" t="s">
        <v>63</v>
      </c>
      <c r="M2730" s="2" t="s">
        <v>26813</v>
      </c>
      <c r="N2730" s="3" t="s">
        <v>894</v>
      </c>
      <c r="P2730" s="3" t="s">
        <v>65</v>
      </c>
      <c r="Q2730" s="2" t="s">
        <v>19721</v>
      </c>
      <c r="R2730" s="3" t="s">
        <v>66</v>
      </c>
      <c r="S2730" s="4">
        <v>7</v>
      </c>
      <c r="T2730" s="4">
        <v>7</v>
      </c>
      <c r="U2730" s="5" t="s">
        <v>222</v>
      </c>
      <c r="V2730" s="5" t="s">
        <v>222</v>
      </c>
      <c r="W2730" s="5" t="s">
        <v>67</v>
      </c>
      <c r="X2730" s="5" t="s">
        <v>67</v>
      </c>
      <c r="Y2730" s="4">
        <v>292</v>
      </c>
      <c r="Z2730" s="4">
        <v>32</v>
      </c>
      <c r="AA2730" s="4">
        <v>117</v>
      </c>
      <c r="AB2730" s="4">
        <v>2</v>
      </c>
      <c r="AC2730" s="4">
        <v>18</v>
      </c>
      <c r="AD2730" s="4">
        <v>108</v>
      </c>
      <c r="AE2730" s="4">
        <v>144</v>
      </c>
      <c r="AF2730" s="4">
        <v>1</v>
      </c>
      <c r="AG2730" s="4">
        <v>8</v>
      </c>
      <c r="AH2730" s="4">
        <v>94</v>
      </c>
      <c r="AI2730" s="4">
        <v>102</v>
      </c>
      <c r="AJ2730" s="4">
        <v>17</v>
      </c>
      <c r="AK2730" s="4">
        <v>26</v>
      </c>
      <c r="AL2730" s="4">
        <v>54</v>
      </c>
      <c r="AM2730" s="4">
        <v>58</v>
      </c>
      <c r="AN2730" s="4">
        <v>0</v>
      </c>
      <c r="AO2730" s="4">
        <v>0</v>
      </c>
      <c r="AP2730" s="4">
        <v>25</v>
      </c>
      <c r="AQ2730" s="4">
        <v>54</v>
      </c>
      <c r="AR2730" s="3" t="s">
        <v>62</v>
      </c>
      <c r="AS2730" s="3" t="s">
        <v>62</v>
      </c>
      <c r="AT2730" s="3" t="s">
        <v>62</v>
      </c>
      <c r="AV2730" s="6" t="str">
        <f>HYPERLINK("http://mcgill.on.worldcat.org/oclc/692291872","Catalog Record")</f>
        <v>Catalog Record</v>
      </c>
      <c r="AW2730" s="6" t="str">
        <f>HYPERLINK("http://www.worldcat.org/oclc/692291872","WorldCat Record")</f>
        <v>WorldCat Record</v>
      </c>
      <c r="AX2730" s="3" t="s">
        <v>26814</v>
      </c>
      <c r="AY2730" s="3" t="s">
        <v>26815</v>
      </c>
      <c r="AZ2730" s="3" t="s">
        <v>26816</v>
      </c>
      <c r="BA2730" s="3" t="s">
        <v>26816</v>
      </c>
      <c r="BB2730" s="3" t="s">
        <v>26817</v>
      </c>
      <c r="BC2730" s="3" t="s">
        <v>142</v>
      </c>
      <c r="BD2730" s="3" t="s">
        <v>68</v>
      </c>
      <c r="BE2730" s="3" t="s">
        <v>26818</v>
      </c>
      <c r="BF2730" s="3" t="s">
        <v>26817</v>
      </c>
      <c r="BG2730" s="3" t="s">
        <v>26819</v>
      </c>
    </row>
    <row r="2731" spans="1:59" ht="57" x14ac:dyDescent="0.45">
      <c r="A2731" s="2" t="s">
        <v>59</v>
      </c>
      <c r="B2731" s="2" t="s">
        <v>60</v>
      </c>
      <c r="C2731" s="2" t="s">
        <v>26820</v>
      </c>
      <c r="D2731" s="2" t="s">
        <v>26821</v>
      </c>
      <c r="E2731" s="2" t="s">
        <v>26822</v>
      </c>
      <c r="F2731" s="3" t="s">
        <v>86</v>
      </c>
      <c r="G2731" s="3" t="s">
        <v>61</v>
      </c>
      <c r="I2731" s="3" t="s">
        <v>62</v>
      </c>
      <c r="J2731" s="3" t="s">
        <v>62</v>
      </c>
      <c r="K2731" s="3" t="s">
        <v>63</v>
      </c>
      <c r="M2731" s="2" t="s">
        <v>26823</v>
      </c>
      <c r="N2731" s="3" t="s">
        <v>1918</v>
      </c>
      <c r="P2731" s="3" t="s">
        <v>65</v>
      </c>
      <c r="Q2731" s="2" t="s">
        <v>26824</v>
      </c>
      <c r="R2731" s="3" t="s">
        <v>66</v>
      </c>
      <c r="S2731" s="4">
        <v>0</v>
      </c>
      <c r="T2731" s="4">
        <v>0</v>
      </c>
      <c r="W2731" s="5" t="s">
        <v>67</v>
      </c>
      <c r="X2731" s="5" t="s">
        <v>67</v>
      </c>
      <c r="Y2731" s="4">
        <v>30</v>
      </c>
      <c r="Z2731" s="4">
        <v>1</v>
      </c>
      <c r="AA2731" s="4">
        <v>1</v>
      </c>
      <c r="AB2731" s="4">
        <v>1</v>
      </c>
      <c r="AC2731" s="4">
        <v>1</v>
      </c>
      <c r="AD2731" s="4">
        <v>7</v>
      </c>
      <c r="AE2731" s="4">
        <v>7</v>
      </c>
      <c r="AF2731" s="4">
        <v>0</v>
      </c>
      <c r="AG2731" s="4">
        <v>0</v>
      </c>
      <c r="AH2731" s="4">
        <v>6</v>
      </c>
      <c r="AI2731" s="4">
        <v>6</v>
      </c>
      <c r="AJ2731" s="4">
        <v>0</v>
      </c>
      <c r="AK2731" s="4">
        <v>0</v>
      </c>
      <c r="AL2731" s="4">
        <v>4</v>
      </c>
      <c r="AM2731" s="4">
        <v>4</v>
      </c>
      <c r="AN2731" s="4">
        <v>0</v>
      </c>
      <c r="AO2731" s="4">
        <v>0</v>
      </c>
      <c r="AP2731" s="4">
        <v>0</v>
      </c>
      <c r="AQ2731" s="4">
        <v>0</v>
      </c>
      <c r="AR2731" s="3" t="s">
        <v>62</v>
      </c>
      <c r="AS2731" s="3" t="s">
        <v>62</v>
      </c>
      <c r="AT2731" s="3" t="s">
        <v>62</v>
      </c>
      <c r="AV2731" s="6" t="str">
        <f>HYPERLINK("http://mcgill.on.worldcat.org/oclc/945571312","Catalog Record")</f>
        <v>Catalog Record</v>
      </c>
      <c r="AW2731" s="6" t="str">
        <f>HYPERLINK("http://www.worldcat.org/oclc/945571312","WorldCat Record")</f>
        <v>WorldCat Record</v>
      </c>
      <c r="AX2731" s="3" t="s">
        <v>26825</v>
      </c>
      <c r="AY2731" s="3" t="s">
        <v>26826</v>
      </c>
      <c r="AZ2731" s="3" t="s">
        <v>26827</v>
      </c>
      <c r="BA2731" s="3" t="s">
        <v>26827</v>
      </c>
      <c r="BB2731" s="3" t="s">
        <v>26828</v>
      </c>
      <c r="BC2731" s="3" t="s">
        <v>142</v>
      </c>
      <c r="BD2731" s="3" t="s">
        <v>68</v>
      </c>
      <c r="BE2731" s="3" t="s">
        <v>26829</v>
      </c>
      <c r="BF2731" s="3" t="s">
        <v>26828</v>
      </c>
      <c r="BG2731" s="3" t="s">
        <v>26830</v>
      </c>
    </row>
    <row r="2732" spans="1:59" ht="57" x14ac:dyDescent="0.45">
      <c r="A2732" s="2" t="s">
        <v>59</v>
      </c>
      <c r="B2732" s="2" t="s">
        <v>60</v>
      </c>
      <c r="C2732" s="2" t="s">
        <v>26820</v>
      </c>
      <c r="D2732" s="2" t="s">
        <v>26821</v>
      </c>
      <c r="E2732" s="2" t="s">
        <v>26822</v>
      </c>
      <c r="F2732" s="3" t="s">
        <v>88</v>
      </c>
      <c r="G2732" s="3" t="s">
        <v>61</v>
      </c>
      <c r="I2732" s="3" t="s">
        <v>62</v>
      </c>
      <c r="J2732" s="3" t="s">
        <v>62</v>
      </c>
      <c r="K2732" s="3" t="s">
        <v>63</v>
      </c>
      <c r="M2732" s="2" t="s">
        <v>26823</v>
      </c>
      <c r="N2732" s="3" t="s">
        <v>1918</v>
      </c>
      <c r="P2732" s="3" t="s">
        <v>65</v>
      </c>
      <c r="Q2732" s="2" t="s">
        <v>26824</v>
      </c>
      <c r="R2732" s="3" t="s">
        <v>66</v>
      </c>
      <c r="S2732" s="4">
        <v>0</v>
      </c>
      <c r="T2732" s="4">
        <v>0</v>
      </c>
      <c r="W2732" s="5" t="s">
        <v>67</v>
      </c>
      <c r="X2732" s="5" t="s">
        <v>67</v>
      </c>
      <c r="Y2732" s="4">
        <v>30</v>
      </c>
      <c r="Z2732" s="4">
        <v>1</v>
      </c>
      <c r="AA2732" s="4">
        <v>1</v>
      </c>
      <c r="AB2732" s="4">
        <v>1</v>
      </c>
      <c r="AC2732" s="4">
        <v>1</v>
      </c>
      <c r="AD2732" s="4">
        <v>7</v>
      </c>
      <c r="AE2732" s="4">
        <v>7</v>
      </c>
      <c r="AF2732" s="4">
        <v>0</v>
      </c>
      <c r="AG2732" s="4">
        <v>0</v>
      </c>
      <c r="AH2732" s="4">
        <v>6</v>
      </c>
      <c r="AI2732" s="4">
        <v>6</v>
      </c>
      <c r="AJ2732" s="4">
        <v>0</v>
      </c>
      <c r="AK2732" s="4">
        <v>0</v>
      </c>
      <c r="AL2732" s="4">
        <v>4</v>
      </c>
      <c r="AM2732" s="4">
        <v>4</v>
      </c>
      <c r="AN2732" s="4">
        <v>0</v>
      </c>
      <c r="AO2732" s="4">
        <v>0</v>
      </c>
      <c r="AP2732" s="4">
        <v>0</v>
      </c>
      <c r="AQ2732" s="4">
        <v>0</v>
      </c>
      <c r="AR2732" s="3" t="s">
        <v>62</v>
      </c>
      <c r="AS2732" s="3" t="s">
        <v>62</v>
      </c>
      <c r="AT2732" s="3" t="s">
        <v>62</v>
      </c>
      <c r="AV2732" s="6" t="str">
        <f>HYPERLINK("http://mcgill.on.worldcat.org/oclc/945571312","Catalog Record")</f>
        <v>Catalog Record</v>
      </c>
      <c r="AW2732" s="6" t="str">
        <f>HYPERLINK("http://www.worldcat.org/oclc/945571312","WorldCat Record")</f>
        <v>WorldCat Record</v>
      </c>
      <c r="AX2732" s="3" t="s">
        <v>26825</v>
      </c>
      <c r="AY2732" s="3" t="s">
        <v>26826</v>
      </c>
      <c r="AZ2732" s="3" t="s">
        <v>26827</v>
      </c>
      <c r="BA2732" s="3" t="s">
        <v>26827</v>
      </c>
      <c r="BB2732" s="3" t="s">
        <v>26831</v>
      </c>
      <c r="BC2732" s="3" t="s">
        <v>142</v>
      </c>
      <c r="BD2732" s="3" t="s">
        <v>68</v>
      </c>
      <c r="BE2732" s="3" t="s">
        <v>26829</v>
      </c>
      <c r="BF2732" s="3" t="s">
        <v>26831</v>
      </c>
      <c r="BG2732" s="3" t="s">
        <v>26832</v>
      </c>
    </row>
    <row r="2733" spans="1:59" ht="57" x14ac:dyDescent="0.45">
      <c r="A2733" s="2" t="s">
        <v>59</v>
      </c>
      <c r="B2733" s="2" t="s">
        <v>60</v>
      </c>
      <c r="C2733" s="2" t="s">
        <v>26820</v>
      </c>
      <c r="D2733" s="2" t="s">
        <v>26821</v>
      </c>
      <c r="E2733" s="2" t="s">
        <v>26822</v>
      </c>
      <c r="F2733" s="3" t="s">
        <v>87</v>
      </c>
      <c r="G2733" s="3" t="s">
        <v>61</v>
      </c>
      <c r="I2733" s="3" t="s">
        <v>62</v>
      </c>
      <c r="J2733" s="3" t="s">
        <v>62</v>
      </c>
      <c r="K2733" s="3" t="s">
        <v>63</v>
      </c>
      <c r="M2733" s="2" t="s">
        <v>26823</v>
      </c>
      <c r="N2733" s="3" t="s">
        <v>1918</v>
      </c>
      <c r="P2733" s="3" t="s">
        <v>65</v>
      </c>
      <c r="Q2733" s="2" t="s">
        <v>26824</v>
      </c>
      <c r="R2733" s="3" t="s">
        <v>66</v>
      </c>
      <c r="S2733" s="4">
        <v>0</v>
      </c>
      <c r="T2733" s="4">
        <v>0</v>
      </c>
      <c r="W2733" s="5" t="s">
        <v>67</v>
      </c>
      <c r="X2733" s="5" t="s">
        <v>67</v>
      </c>
      <c r="Y2733" s="4">
        <v>30</v>
      </c>
      <c r="Z2733" s="4">
        <v>1</v>
      </c>
      <c r="AA2733" s="4">
        <v>1</v>
      </c>
      <c r="AB2733" s="4">
        <v>1</v>
      </c>
      <c r="AC2733" s="4">
        <v>1</v>
      </c>
      <c r="AD2733" s="4">
        <v>7</v>
      </c>
      <c r="AE2733" s="4">
        <v>7</v>
      </c>
      <c r="AF2733" s="4">
        <v>0</v>
      </c>
      <c r="AG2733" s="4">
        <v>0</v>
      </c>
      <c r="AH2733" s="4">
        <v>6</v>
      </c>
      <c r="AI2733" s="4">
        <v>6</v>
      </c>
      <c r="AJ2733" s="4">
        <v>0</v>
      </c>
      <c r="AK2733" s="4">
        <v>0</v>
      </c>
      <c r="AL2733" s="4">
        <v>4</v>
      </c>
      <c r="AM2733" s="4">
        <v>4</v>
      </c>
      <c r="AN2733" s="4">
        <v>0</v>
      </c>
      <c r="AO2733" s="4">
        <v>0</v>
      </c>
      <c r="AP2733" s="4">
        <v>0</v>
      </c>
      <c r="AQ2733" s="4">
        <v>0</v>
      </c>
      <c r="AR2733" s="3" t="s">
        <v>62</v>
      </c>
      <c r="AS2733" s="3" t="s">
        <v>62</v>
      </c>
      <c r="AT2733" s="3" t="s">
        <v>62</v>
      </c>
      <c r="AV2733" s="6" t="str">
        <f>HYPERLINK("http://mcgill.on.worldcat.org/oclc/945571312","Catalog Record")</f>
        <v>Catalog Record</v>
      </c>
      <c r="AW2733" s="6" t="str">
        <f>HYPERLINK("http://www.worldcat.org/oclc/945571312","WorldCat Record")</f>
        <v>WorldCat Record</v>
      </c>
      <c r="AX2733" s="3" t="s">
        <v>26825</v>
      </c>
      <c r="AY2733" s="3" t="s">
        <v>26826</v>
      </c>
      <c r="AZ2733" s="3" t="s">
        <v>26827</v>
      </c>
      <c r="BA2733" s="3" t="s">
        <v>26827</v>
      </c>
      <c r="BB2733" s="3" t="s">
        <v>26833</v>
      </c>
      <c r="BC2733" s="3" t="s">
        <v>142</v>
      </c>
      <c r="BD2733" s="3" t="s">
        <v>68</v>
      </c>
      <c r="BE2733" s="3" t="s">
        <v>26829</v>
      </c>
      <c r="BF2733" s="3" t="s">
        <v>26833</v>
      </c>
      <c r="BG2733" s="3" t="s">
        <v>26834</v>
      </c>
    </row>
    <row r="2734" spans="1:59" ht="57" x14ac:dyDescent="0.45">
      <c r="A2734" s="2" t="s">
        <v>59</v>
      </c>
      <c r="B2734" s="2" t="s">
        <v>60</v>
      </c>
      <c r="C2734" s="2" t="s">
        <v>26820</v>
      </c>
      <c r="D2734" s="2" t="s">
        <v>26821</v>
      </c>
      <c r="E2734" s="2" t="s">
        <v>26822</v>
      </c>
      <c r="F2734" s="3" t="s">
        <v>90</v>
      </c>
      <c r="G2734" s="3" t="s">
        <v>61</v>
      </c>
      <c r="I2734" s="3" t="s">
        <v>62</v>
      </c>
      <c r="J2734" s="3" t="s">
        <v>62</v>
      </c>
      <c r="K2734" s="3" t="s">
        <v>63</v>
      </c>
      <c r="M2734" s="2" t="s">
        <v>26823</v>
      </c>
      <c r="N2734" s="3" t="s">
        <v>1918</v>
      </c>
      <c r="P2734" s="3" t="s">
        <v>65</v>
      </c>
      <c r="Q2734" s="2" t="s">
        <v>26824</v>
      </c>
      <c r="R2734" s="3" t="s">
        <v>66</v>
      </c>
      <c r="S2734" s="4">
        <v>0</v>
      </c>
      <c r="T2734" s="4">
        <v>0</v>
      </c>
      <c r="W2734" s="5" t="s">
        <v>67</v>
      </c>
      <c r="X2734" s="5" t="s">
        <v>67</v>
      </c>
      <c r="Y2734" s="4">
        <v>30</v>
      </c>
      <c r="Z2734" s="4">
        <v>1</v>
      </c>
      <c r="AA2734" s="4">
        <v>1</v>
      </c>
      <c r="AB2734" s="4">
        <v>1</v>
      </c>
      <c r="AC2734" s="4">
        <v>1</v>
      </c>
      <c r="AD2734" s="4">
        <v>7</v>
      </c>
      <c r="AE2734" s="4">
        <v>7</v>
      </c>
      <c r="AF2734" s="4">
        <v>0</v>
      </c>
      <c r="AG2734" s="4">
        <v>0</v>
      </c>
      <c r="AH2734" s="4">
        <v>6</v>
      </c>
      <c r="AI2734" s="4">
        <v>6</v>
      </c>
      <c r="AJ2734" s="4">
        <v>0</v>
      </c>
      <c r="AK2734" s="4">
        <v>0</v>
      </c>
      <c r="AL2734" s="4">
        <v>4</v>
      </c>
      <c r="AM2734" s="4">
        <v>4</v>
      </c>
      <c r="AN2734" s="4">
        <v>0</v>
      </c>
      <c r="AO2734" s="4">
        <v>0</v>
      </c>
      <c r="AP2734" s="4">
        <v>0</v>
      </c>
      <c r="AQ2734" s="4">
        <v>0</v>
      </c>
      <c r="AR2734" s="3" t="s">
        <v>62</v>
      </c>
      <c r="AS2734" s="3" t="s">
        <v>62</v>
      </c>
      <c r="AT2734" s="3" t="s">
        <v>62</v>
      </c>
      <c r="AV2734" s="6" t="str">
        <f>HYPERLINK("http://mcgill.on.worldcat.org/oclc/945571312","Catalog Record")</f>
        <v>Catalog Record</v>
      </c>
      <c r="AW2734" s="6" t="str">
        <f>HYPERLINK("http://www.worldcat.org/oclc/945571312","WorldCat Record")</f>
        <v>WorldCat Record</v>
      </c>
      <c r="AX2734" s="3" t="s">
        <v>26825</v>
      </c>
      <c r="AY2734" s="3" t="s">
        <v>26826</v>
      </c>
      <c r="AZ2734" s="3" t="s">
        <v>26827</v>
      </c>
      <c r="BA2734" s="3" t="s">
        <v>26827</v>
      </c>
      <c r="BB2734" s="3" t="s">
        <v>26835</v>
      </c>
      <c r="BC2734" s="3" t="s">
        <v>142</v>
      </c>
      <c r="BD2734" s="3" t="s">
        <v>68</v>
      </c>
      <c r="BE2734" s="3" t="s">
        <v>26829</v>
      </c>
      <c r="BF2734" s="3" t="s">
        <v>26835</v>
      </c>
      <c r="BG2734" s="3" t="s">
        <v>26836</v>
      </c>
    </row>
    <row r="2735" spans="1:59" ht="57" x14ac:dyDescent="0.45">
      <c r="A2735" s="2" t="s">
        <v>59</v>
      </c>
      <c r="B2735" s="2" t="s">
        <v>60</v>
      </c>
      <c r="C2735" s="2" t="s">
        <v>26837</v>
      </c>
      <c r="D2735" s="2" t="s">
        <v>26838</v>
      </c>
      <c r="E2735" s="2" t="s">
        <v>26839</v>
      </c>
      <c r="G2735" s="3" t="s">
        <v>62</v>
      </c>
      <c r="I2735" s="3" t="s">
        <v>62</v>
      </c>
      <c r="J2735" s="3" t="s">
        <v>62</v>
      </c>
      <c r="K2735" s="3" t="s">
        <v>63</v>
      </c>
      <c r="M2735" s="2" t="s">
        <v>20283</v>
      </c>
      <c r="N2735" s="3" t="s">
        <v>1155</v>
      </c>
      <c r="P2735" s="3" t="s">
        <v>65</v>
      </c>
      <c r="Q2735" s="2" t="s">
        <v>18147</v>
      </c>
      <c r="R2735" s="3" t="s">
        <v>66</v>
      </c>
      <c r="S2735" s="4">
        <v>3</v>
      </c>
      <c r="T2735" s="4">
        <v>3</v>
      </c>
      <c r="U2735" s="5" t="s">
        <v>7845</v>
      </c>
      <c r="V2735" s="5" t="s">
        <v>7845</v>
      </c>
      <c r="W2735" s="5" t="s">
        <v>67</v>
      </c>
      <c r="X2735" s="5" t="s">
        <v>67</v>
      </c>
      <c r="Y2735" s="4">
        <v>244</v>
      </c>
      <c r="Z2735" s="4">
        <v>26</v>
      </c>
      <c r="AA2735" s="4">
        <v>52</v>
      </c>
      <c r="AB2735" s="4">
        <v>2</v>
      </c>
      <c r="AC2735" s="4">
        <v>11</v>
      </c>
      <c r="AD2735" s="4">
        <v>70</v>
      </c>
      <c r="AE2735" s="4">
        <v>110</v>
      </c>
      <c r="AF2735" s="4">
        <v>1</v>
      </c>
      <c r="AG2735" s="4">
        <v>5</v>
      </c>
      <c r="AH2735" s="4">
        <v>59</v>
      </c>
      <c r="AI2735" s="4">
        <v>84</v>
      </c>
      <c r="AJ2735" s="4">
        <v>14</v>
      </c>
      <c r="AK2735" s="4">
        <v>20</v>
      </c>
      <c r="AL2735" s="4">
        <v>27</v>
      </c>
      <c r="AM2735" s="4">
        <v>43</v>
      </c>
      <c r="AN2735" s="4">
        <v>0</v>
      </c>
      <c r="AO2735" s="4">
        <v>0</v>
      </c>
      <c r="AP2735" s="4">
        <v>20</v>
      </c>
      <c r="AQ2735" s="4">
        <v>33</v>
      </c>
      <c r="AR2735" s="3" t="s">
        <v>62</v>
      </c>
      <c r="AS2735" s="3" t="s">
        <v>62</v>
      </c>
      <c r="AT2735" s="3" t="s">
        <v>62</v>
      </c>
      <c r="AV2735" s="6" t="str">
        <f>HYPERLINK("http://mcgill.on.worldcat.org/oclc/726620649","Catalog Record")</f>
        <v>Catalog Record</v>
      </c>
      <c r="AW2735" s="6" t="str">
        <f>HYPERLINK("http://www.worldcat.org/oclc/726620649","WorldCat Record")</f>
        <v>WorldCat Record</v>
      </c>
      <c r="AX2735" s="3" t="s">
        <v>26840</v>
      </c>
      <c r="AY2735" s="3" t="s">
        <v>26841</v>
      </c>
      <c r="AZ2735" s="3" t="s">
        <v>26842</v>
      </c>
      <c r="BA2735" s="3" t="s">
        <v>26842</v>
      </c>
      <c r="BB2735" s="3" t="s">
        <v>26843</v>
      </c>
      <c r="BC2735" s="3" t="s">
        <v>142</v>
      </c>
      <c r="BD2735" s="3" t="s">
        <v>68</v>
      </c>
      <c r="BE2735" s="3" t="s">
        <v>26844</v>
      </c>
      <c r="BF2735" s="3" t="s">
        <v>26843</v>
      </c>
      <c r="BG2735" s="3" t="s">
        <v>26845</v>
      </c>
    </row>
    <row r="2736" spans="1:59" ht="57" x14ac:dyDescent="0.45">
      <c r="A2736" s="2" t="s">
        <v>59</v>
      </c>
      <c r="B2736" s="2" t="s">
        <v>60</v>
      </c>
      <c r="C2736" s="2" t="s">
        <v>26846</v>
      </c>
      <c r="D2736" s="2" t="s">
        <v>26847</v>
      </c>
      <c r="E2736" s="2" t="s">
        <v>26848</v>
      </c>
      <c r="G2736" s="3" t="s">
        <v>62</v>
      </c>
      <c r="I2736" s="3" t="s">
        <v>62</v>
      </c>
      <c r="J2736" s="3" t="s">
        <v>62</v>
      </c>
      <c r="K2736" s="3" t="s">
        <v>63</v>
      </c>
      <c r="L2736" s="2" t="s">
        <v>26849</v>
      </c>
      <c r="M2736" s="2" t="s">
        <v>26850</v>
      </c>
      <c r="N2736" s="3" t="s">
        <v>181</v>
      </c>
      <c r="P2736" s="3" t="s">
        <v>65</v>
      </c>
      <c r="Q2736" s="2" t="s">
        <v>26851</v>
      </c>
      <c r="R2736" s="3" t="s">
        <v>66</v>
      </c>
      <c r="S2736" s="4">
        <v>1</v>
      </c>
      <c r="T2736" s="4">
        <v>1</v>
      </c>
      <c r="U2736" s="5" t="s">
        <v>2011</v>
      </c>
      <c r="V2736" s="5" t="s">
        <v>2011</v>
      </c>
      <c r="W2736" s="5" t="s">
        <v>67</v>
      </c>
      <c r="X2736" s="5" t="s">
        <v>67</v>
      </c>
      <c r="Y2736" s="4">
        <v>88</v>
      </c>
      <c r="Z2736" s="4">
        <v>6</v>
      </c>
      <c r="AA2736" s="4">
        <v>18</v>
      </c>
      <c r="AB2736" s="4">
        <v>1</v>
      </c>
      <c r="AC2736" s="4">
        <v>7</v>
      </c>
      <c r="AD2736" s="4">
        <v>36</v>
      </c>
      <c r="AE2736" s="4">
        <v>55</v>
      </c>
      <c r="AF2736" s="4">
        <v>0</v>
      </c>
      <c r="AG2736" s="4">
        <v>3</v>
      </c>
      <c r="AH2736" s="4">
        <v>33</v>
      </c>
      <c r="AI2736" s="4">
        <v>46</v>
      </c>
      <c r="AJ2736" s="4">
        <v>2</v>
      </c>
      <c r="AK2736" s="4">
        <v>10</v>
      </c>
      <c r="AL2736" s="4">
        <v>23</v>
      </c>
      <c r="AM2736" s="4">
        <v>32</v>
      </c>
      <c r="AN2736" s="4">
        <v>0</v>
      </c>
      <c r="AO2736" s="4">
        <v>0</v>
      </c>
      <c r="AP2736" s="4">
        <v>3</v>
      </c>
      <c r="AQ2736" s="4">
        <v>11</v>
      </c>
      <c r="AR2736" s="3" t="s">
        <v>62</v>
      </c>
      <c r="AS2736" s="3" t="s">
        <v>62</v>
      </c>
      <c r="AT2736" s="3" t="s">
        <v>62</v>
      </c>
      <c r="AV2736" s="6" t="str">
        <f>HYPERLINK("http://mcgill.on.worldcat.org/oclc/913573107","Catalog Record")</f>
        <v>Catalog Record</v>
      </c>
      <c r="AW2736" s="6" t="str">
        <f>HYPERLINK("http://www.worldcat.org/oclc/913573107","WorldCat Record")</f>
        <v>WorldCat Record</v>
      </c>
      <c r="AX2736" s="3" t="s">
        <v>26852</v>
      </c>
      <c r="AY2736" s="3" t="s">
        <v>26853</v>
      </c>
      <c r="AZ2736" s="3" t="s">
        <v>26854</v>
      </c>
      <c r="BA2736" s="3" t="s">
        <v>26854</v>
      </c>
      <c r="BB2736" s="3" t="s">
        <v>26855</v>
      </c>
      <c r="BC2736" s="3" t="s">
        <v>142</v>
      </c>
      <c r="BD2736" s="3" t="s">
        <v>68</v>
      </c>
      <c r="BE2736" s="3" t="s">
        <v>26856</v>
      </c>
      <c r="BF2736" s="3" t="s">
        <v>26855</v>
      </c>
      <c r="BG2736" s="3" t="s">
        <v>26857</v>
      </c>
    </row>
    <row r="2737" spans="1:59" ht="57" x14ac:dyDescent="0.45">
      <c r="A2737" s="2" t="s">
        <v>59</v>
      </c>
      <c r="B2737" s="2" t="s">
        <v>60</v>
      </c>
      <c r="C2737" s="2" t="s">
        <v>26858</v>
      </c>
      <c r="D2737" s="2" t="s">
        <v>26859</v>
      </c>
      <c r="E2737" s="2" t="s">
        <v>26860</v>
      </c>
      <c r="G2737" s="3" t="s">
        <v>62</v>
      </c>
      <c r="I2737" s="3" t="s">
        <v>62</v>
      </c>
      <c r="J2737" s="3" t="s">
        <v>62</v>
      </c>
      <c r="K2737" s="3" t="s">
        <v>63</v>
      </c>
      <c r="L2737" s="2" t="s">
        <v>26861</v>
      </c>
      <c r="M2737" s="2" t="s">
        <v>26862</v>
      </c>
      <c r="N2737" s="3" t="s">
        <v>894</v>
      </c>
      <c r="P2737" s="3" t="s">
        <v>65</v>
      </c>
      <c r="Q2737" s="2" t="s">
        <v>26863</v>
      </c>
      <c r="R2737" s="3" t="s">
        <v>66</v>
      </c>
      <c r="S2737" s="4">
        <v>1</v>
      </c>
      <c r="T2737" s="4">
        <v>1</v>
      </c>
      <c r="U2737" s="5" t="s">
        <v>26864</v>
      </c>
      <c r="V2737" s="5" t="s">
        <v>26864</v>
      </c>
      <c r="W2737" s="5" t="s">
        <v>67</v>
      </c>
      <c r="X2737" s="5" t="s">
        <v>67</v>
      </c>
      <c r="Y2737" s="4">
        <v>186</v>
      </c>
      <c r="Z2737" s="4">
        <v>20</v>
      </c>
      <c r="AA2737" s="4">
        <v>82</v>
      </c>
      <c r="AB2737" s="4">
        <v>2</v>
      </c>
      <c r="AC2737" s="4">
        <v>15</v>
      </c>
      <c r="AD2737" s="4">
        <v>68</v>
      </c>
      <c r="AE2737" s="4">
        <v>119</v>
      </c>
      <c r="AF2737" s="4">
        <v>1</v>
      </c>
      <c r="AG2737" s="4">
        <v>8</v>
      </c>
      <c r="AH2737" s="4">
        <v>62</v>
      </c>
      <c r="AI2737" s="4">
        <v>85</v>
      </c>
      <c r="AJ2737" s="4">
        <v>12</v>
      </c>
      <c r="AK2737" s="4">
        <v>22</v>
      </c>
      <c r="AL2737" s="4">
        <v>35</v>
      </c>
      <c r="AM2737" s="4">
        <v>47</v>
      </c>
      <c r="AN2737" s="4">
        <v>0</v>
      </c>
      <c r="AO2737" s="4">
        <v>0</v>
      </c>
      <c r="AP2737" s="4">
        <v>13</v>
      </c>
      <c r="AQ2737" s="4">
        <v>42</v>
      </c>
      <c r="AR2737" s="3" t="s">
        <v>62</v>
      </c>
      <c r="AS2737" s="3" t="s">
        <v>62</v>
      </c>
      <c r="AT2737" s="3" t="s">
        <v>62</v>
      </c>
      <c r="AV2737" s="6" t="str">
        <f>HYPERLINK("http://mcgill.on.worldcat.org/oclc/607574264","Catalog Record")</f>
        <v>Catalog Record</v>
      </c>
      <c r="AW2737" s="6" t="str">
        <f>HYPERLINK("http://www.worldcat.org/oclc/607574264","WorldCat Record")</f>
        <v>WorldCat Record</v>
      </c>
      <c r="AX2737" s="3" t="s">
        <v>26865</v>
      </c>
      <c r="AY2737" s="3" t="s">
        <v>26866</v>
      </c>
      <c r="AZ2737" s="3" t="s">
        <v>26867</v>
      </c>
      <c r="BA2737" s="3" t="s">
        <v>26867</v>
      </c>
      <c r="BB2737" s="3" t="s">
        <v>26868</v>
      </c>
      <c r="BC2737" s="3" t="s">
        <v>142</v>
      </c>
      <c r="BD2737" s="3" t="s">
        <v>68</v>
      </c>
      <c r="BE2737" s="3" t="s">
        <v>26869</v>
      </c>
      <c r="BF2737" s="3" t="s">
        <v>26868</v>
      </c>
      <c r="BG2737" s="3" t="s">
        <v>26870</v>
      </c>
    </row>
    <row r="2738" spans="1:59" ht="57" x14ac:dyDescent="0.45">
      <c r="A2738" s="2" t="s">
        <v>59</v>
      </c>
      <c r="B2738" s="2" t="s">
        <v>60</v>
      </c>
      <c r="C2738" s="2" t="s">
        <v>26871</v>
      </c>
      <c r="D2738" s="2" t="s">
        <v>26872</v>
      </c>
      <c r="E2738" s="2" t="s">
        <v>26873</v>
      </c>
      <c r="G2738" s="3" t="s">
        <v>62</v>
      </c>
      <c r="I2738" s="3" t="s">
        <v>62</v>
      </c>
      <c r="J2738" s="3" t="s">
        <v>62</v>
      </c>
      <c r="K2738" s="3" t="s">
        <v>63</v>
      </c>
      <c r="M2738" s="2" t="s">
        <v>13295</v>
      </c>
      <c r="N2738" s="3" t="s">
        <v>894</v>
      </c>
      <c r="P2738" s="3" t="s">
        <v>65</v>
      </c>
      <c r="Q2738" s="2" t="s">
        <v>26874</v>
      </c>
      <c r="R2738" s="3" t="s">
        <v>66</v>
      </c>
      <c r="S2738" s="4">
        <v>6</v>
      </c>
      <c r="T2738" s="4">
        <v>6</v>
      </c>
      <c r="U2738" s="5" t="s">
        <v>2365</v>
      </c>
      <c r="V2738" s="5" t="s">
        <v>2365</v>
      </c>
      <c r="W2738" s="5" t="s">
        <v>67</v>
      </c>
      <c r="X2738" s="5" t="s">
        <v>67</v>
      </c>
      <c r="Y2738" s="4">
        <v>211</v>
      </c>
      <c r="Z2738" s="4">
        <v>15</v>
      </c>
      <c r="AA2738" s="4">
        <v>17</v>
      </c>
      <c r="AB2738" s="4">
        <v>2</v>
      </c>
      <c r="AC2738" s="4">
        <v>4</v>
      </c>
      <c r="AD2738" s="4">
        <v>59</v>
      </c>
      <c r="AE2738" s="4">
        <v>61</v>
      </c>
      <c r="AF2738" s="4">
        <v>1</v>
      </c>
      <c r="AG2738" s="4">
        <v>3</v>
      </c>
      <c r="AH2738" s="4">
        <v>54</v>
      </c>
      <c r="AI2738" s="4">
        <v>55</v>
      </c>
      <c r="AJ2738" s="4">
        <v>10</v>
      </c>
      <c r="AK2738" s="4">
        <v>12</v>
      </c>
      <c r="AL2738" s="4">
        <v>29</v>
      </c>
      <c r="AM2738" s="4">
        <v>29</v>
      </c>
      <c r="AN2738" s="4">
        <v>0</v>
      </c>
      <c r="AO2738" s="4">
        <v>0</v>
      </c>
      <c r="AP2738" s="4">
        <v>14</v>
      </c>
      <c r="AQ2738" s="4">
        <v>16</v>
      </c>
      <c r="AR2738" s="3" t="s">
        <v>62</v>
      </c>
      <c r="AS2738" s="3" t="s">
        <v>62</v>
      </c>
      <c r="AT2738" s="3" t="s">
        <v>62</v>
      </c>
      <c r="AV2738" s="6" t="str">
        <f>HYPERLINK("http://mcgill.on.worldcat.org/oclc/711643480","Catalog Record")</f>
        <v>Catalog Record</v>
      </c>
      <c r="AW2738" s="6" t="str">
        <f>HYPERLINK("http://www.worldcat.org/oclc/711643480","WorldCat Record")</f>
        <v>WorldCat Record</v>
      </c>
      <c r="AX2738" s="3" t="s">
        <v>26875</v>
      </c>
      <c r="AY2738" s="3" t="s">
        <v>26876</v>
      </c>
      <c r="AZ2738" s="3" t="s">
        <v>26877</v>
      </c>
      <c r="BA2738" s="3" t="s">
        <v>26877</v>
      </c>
      <c r="BB2738" s="3" t="s">
        <v>26878</v>
      </c>
      <c r="BC2738" s="3" t="s">
        <v>142</v>
      </c>
      <c r="BD2738" s="3" t="s">
        <v>68</v>
      </c>
      <c r="BE2738" s="3" t="s">
        <v>26879</v>
      </c>
      <c r="BF2738" s="3" t="s">
        <v>26878</v>
      </c>
      <c r="BG2738" s="3" t="s">
        <v>26880</v>
      </c>
    </row>
    <row r="2739" spans="1:59" ht="57" x14ac:dyDescent="0.45">
      <c r="A2739" s="2" t="s">
        <v>59</v>
      </c>
      <c r="B2739" s="2" t="s">
        <v>60</v>
      </c>
      <c r="C2739" s="2" t="s">
        <v>26881</v>
      </c>
      <c r="D2739" s="2" t="s">
        <v>26882</v>
      </c>
      <c r="E2739" s="2" t="s">
        <v>26883</v>
      </c>
      <c r="G2739" s="3" t="s">
        <v>62</v>
      </c>
      <c r="I2739" s="3" t="s">
        <v>62</v>
      </c>
      <c r="J2739" s="3" t="s">
        <v>62</v>
      </c>
      <c r="K2739" s="3" t="s">
        <v>63</v>
      </c>
      <c r="M2739" s="2" t="s">
        <v>26884</v>
      </c>
      <c r="N2739" s="3" t="s">
        <v>149</v>
      </c>
      <c r="P2739" s="3" t="s">
        <v>114</v>
      </c>
      <c r="Q2739" s="2" t="s">
        <v>26885</v>
      </c>
      <c r="R2739" s="3" t="s">
        <v>66</v>
      </c>
      <c r="S2739" s="4">
        <v>2</v>
      </c>
      <c r="T2739" s="4">
        <v>2</v>
      </c>
      <c r="U2739" s="5" t="s">
        <v>22481</v>
      </c>
      <c r="V2739" s="5" t="s">
        <v>22481</v>
      </c>
      <c r="W2739" s="5" t="s">
        <v>67</v>
      </c>
      <c r="X2739" s="5" t="s">
        <v>67</v>
      </c>
      <c r="Y2739" s="4">
        <v>7</v>
      </c>
      <c r="Z2739" s="4">
        <v>3</v>
      </c>
      <c r="AA2739" s="4">
        <v>5</v>
      </c>
      <c r="AB2739" s="4">
        <v>1</v>
      </c>
      <c r="AC2739" s="4">
        <v>3</v>
      </c>
      <c r="AD2739" s="4">
        <v>5</v>
      </c>
      <c r="AE2739" s="4">
        <v>7</v>
      </c>
      <c r="AF2739" s="4">
        <v>0</v>
      </c>
      <c r="AG2739" s="4">
        <v>0</v>
      </c>
      <c r="AH2739" s="4">
        <v>5</v>
      </c>
      <c r="AI2739" s="4">
        <v>7</v>
      </c>
      <c r="AJ2739" s="4">
        <v>2</v>
      </c>
      <c r="AK2739" s="4">
        <v>2</v>
      </c>
      <c r="AL2739" s="4">
        <v>2</v>
      </c>
      <c r="AM2739" s="4">
        <v>3</v>
      </c>
      <c r="AN2739" s="4">
        <v>0</v>
      </c>
      <c r="AO2739" s="4">
        <v>0</v>
      </c>
      <c r="AP2739" s="4">
        <v>2</v>
      </c>
      <c r="AQ2739" s="4">
        <v>2</v>
      </c>
      <c r="AR2739" s="3" t="s">
        <v>62</v>
      </c>
      <c r="AS2739" s="3" t="s">
        <v>62</v>
      </c>
      <c r="AT2739" s="3" t="s">
        <v>62</v>
      </c>
      <c r="AV2739" s="6" t="str">
        <f>HYPERLINK("http://mcgill.on.worldcat.org/oclc/698942660","Catalog Record")</f>
        <v>Catalog Record</v>
      </c>
      <c r="AW2739" s="6" t="str">
        <f>HYPERLINK("http://www.worldcat.org/oclc/698942660","WorldCat Record")</f>
        <v>WorldCat Record</v>
      </c>
      <c r="AX2739" s="3" t="s">
        <v>26886</v>
      </c>
      <c r="AY2739" s="3" t="s">
        <v>26887</v>
      </c>
      <c r="AZ2739" s="3" t="s">
        <v>26888</v>
      </c>
      <c r="BA2739" s="3" t="s">
        <v>26888</v>
      </c>
      <c r="BB2739" s="3" t="s">
        <v>26889</v>
      </c>
      <c r="BC2739" s="3" t="s">
        <v>142</v>
      </c>
      <c r="BD2739" s="3" t="s">
        <v>68</v>
      </c>
      <c r="BE2739" s="3" t="s">
        <v>26890</v>
      </c>
      <c r="BF2739" s="3" t="s">
        <v>26889</v>
      </c>
      <c r="BG2739" s="3" t="s">
        <v>26891</v>
      </c>
    </row>
    <row r="2740" spans="1:59" ht="57" x14ac:dyDescent="0.45">
      <c r="A2740" s="2" t="s">
        <v>59</v>
      </c>
      <c r="B2740" s="2" t="s">
        <v>60</v>
      </c>
      <c r="C2740" s="2" t="s">
        <v>26892</v>
      </c>
      <c r="D2740" s="2" t="s">
        <v>26893</v>
      </c>
      <c r="E2740" s="2" t="s">
        <v>26894</v>
      </c>
      <c r="G2740" s="3" t="s">
        <v>62</v>
      </c>
      <c r="I2740" s="3" t="s">
        <v>62</v>
      </c>
      <c r="J2740" s="3" t="s">
        <v>62</v>
      </c>
      <c r="K2740" s="3" t="s">
        <v>63</v>
      </c>
      <c r="L2740" s="2" t="s">
        <v>26895</v>
      </c>
      <c r="M2740" s="2" t="s">
        <v>16983</v>
      </c>
      <c r="N2740" s="3" t="s">
        <v>149</v>
      </c>
      <c r="P2740" s="3" t="s">
        <v>65</v>
      </c>
      <c r="R2740" s="3" t="s">
        <v>66</v>
      </c>
      <c r="S2740" s="4">
        <v>7</v>
      </c>
      <c r="T2740" s="4">
        <v>7</v>
      </c>
      <c r="U2740" s="5" t="s">
        <v>10752</v>
      </c>
      <c r="V2740" s="5" t="s">
        <v>10752</v>
      </c>
      <c r="W2740" s="5" t="s">
        <v>67</v>
      </c>
      <c r="X2740" s="5" t="s">
        <v>67</v>
      </c>
      <c r="Y2740" s="4">
        <v>270</v>
      </c>
      <c r="Z2740" s="4">
        <v>30</v>
      </c>
      <c r="AA2740" s="4">
        <v>68</v>
      </c>
      <c r="AB2740" s="4">
        <v>3</v>
      </c>
      <c r="AC2740" s="4">
        <v>11</v>
      </c>
      <c r="AD2740" s="4">
        <v>84</v>
      </c>
      <c r="AE2740" s="4">
        <v>111</v>
      </c>
      <c r="AF2740" s="4">
        <v>1</v>
      </c>
      <c r="AG2740" s="4">
        <v>3</v>
      </c>
      <c r="AH2740" s="4">
        <v>72</v>
      </c>
      <c r="AI2740" s="4">
        <v>86</v>
      </c>
      <c r="AJ2740" s="4">
        <v>19</v>
      </c>
      <c r="AK2740" s="4">
        <v>23</v>
      </c>
      <c r="AL2740" s="4">
        <v>41</v>
      </c>
      <c r="AM2740" s="4">
        <v>49</v>
      </c>
      <c r="AN2740" s="4">
        <v>0</v>
      </c>
      <c r="AO2740" s="4">
        <v>0</v>
      </c>
      <c r="AP2740" s="4">
        <v>22</v>
      </c>
      <c r="AQ2740" s="4">
        <v>33</v>
      </c>
      <c r="AR2740" s="3" t="s">
        <v>62</v>
      </c>
      <c r="AS2740" s="3" t="s">
        <v>62</v>
      </c>
      <c r="AT2740" s="3" t="s">
        <v>62</v>
      </c>
      <c r="AV2740" s="6" t="str">
        <f>HYPERLINK("http://mcgill.on.worldcat.org/oclc/463854381","Catalog Record")</f>
        <v>Catalog Record</v>
      </c>
      <c r="AW2740" s="6" t="str">
        <f>HYPERLINK("http://www.worldcat.org/oclc/463854381","WorldCat Record")</f>
        <v>WorldCat Record</v>
      </c>
      <c r="AX2740" s="3" t="s">
        <v>26896</v>
      </c>
      <c r="AY2740" s="3" t="s">
        <v>26897</v>
      </c>
      <c r="AZ2740" s="3" t="s">
        <v>26898</v>
      </c>
      <c r="BA2740" s="3" t="s">
        <v>26898</v>
      </c>
      <c r="BB2740" s="3" t="s">
        <v>26899</v>
      </c>
      <c r="BC2740" s="3" t="s">
        <v>142</v>
      </c>
      <c r="BD2740" s="3" t="s">
        <v>68</v>
      </c>
      <c r="BE2740" s="3" t="s">
        <v>26900</v>
      </c>
      <c r="BF2740" s="3" t="s">
        <v>26899</v>
      </c>
      <c r="BG2740" s="3" t="s">
        <v>26901</v>
      </c>
    </row>
    <row r="2741" spans="1:59" ht="57" x14ac:dyDescent="0.45">
      <c r="A2741" s="2" t="s">
        <v>59</v>
      </c>
      <c r="B2741" s="2" t="s">
        <v>60</v>
      </c>
      <c r="C2741" s="2" t="s">
        <v>26902</v>
      </c>
      <c r="D2741" s="2" t="s">
        <v>26903</v>
      </c>
      <c r="E2741" s="2" t="s">
        <v>26904</v>
      </c>
      <c r="G2741" s="3" t="s">
        <v>62</v>
      </c>
      <c r="I2741" s="3" t="s">
        <v>62</v>
      </c>
      <c r="J2741" s="3" t="s">
        <v>62</v>
      </c>
      <c r="K2741" s="3" t="s">
        <v>63</v>
      </c>
      <c r="L2741" s="2" t="s">
        <v>26905</v>
      </c>
      <c r="M2741" s="2" t="s">
        <v>26906</v>
      </c>
      <c r="N2741" s="3" t="s">
        <v>208</v>
      </c>
      <c r="P2741" s="3" t="s">
        <v>65</v>
      </c>
      <c r="R2741" s="3" t="s">
        <v>66</v>
      </c>
      <c r="S2741" s="4">
        <v>0</v>
      </c>
      <c r="T2741" s="4">
        <v>0</v>
      </c>
      <c r="W2741" s="5" t="s">
        <v>67</v>
      </c>
      <c r="X2741" s="5" t="s">
        <v>67</v>
      </c>
      <c r="Y2741" s="4">
        <v>97</v>
      </c>
      <c r="Z2741" s="4">
        <v>11</v>
      </c>
      <c r="AA2741" s="4">
        <v>17</v>
      </c>
      <c r="AB2741" s="4">
        <v>1</v>
      </c>
      <c r="AC2741" s="4">
        <v>3</v>
      </c>
      <c r="AD2741" s="4">
        <v>43</v>
      </c>
      <c r="AE2741" s="4">
        <v>58</v>
      </c>
      <c r="AF2741" s="4">
        <v>0</v>
      </c>
      <c r="AG2741" s="4">
        <v>0</v>
      </c>
      <c r="AH2741" s="4">
        <v>39</v>
      </c>
      <c r="AI2741" s="4">
        <v>51</v>
      </c>
      <c r="AJ2741" s="4">
        <v>6</v>
      </c>
      <c r="AK2741" s="4">
        <v>9</v>
      </c>
      <c r="AL2741" s="4">
        <v>23</v>
      </c>
      <c r="AM2741" s="4">
        <v>32</v>
      </c>
      <c r="AN2741" s="4">
        <v>0</v>
      </c>
      <c r="AO2741" s="4">
        <v>0</v>
      </c>
      <c r="AP2741" s="4">
        <v>7</v>
      </c>
      <c r="AQ2741" s="4">
        <v>11</v>
      </c>
      <c r="AR2741" s="3" t="s">
        <v>62</v>
      </c>
      <c r="AS2741" s="3" t="s">
        <v>62</v>
      </c>
      <c r="AT2741" s="3" t="s">
        <v>62</v>
      </c>
      <c r="AV2741" s="6" t="str">
        <f>HYPERLINK("http://mcgill.on.worldcat.org/oclc/913116884","Catalog Record")</f>
        <v>Catalog Record</v>
      </c>
      <c r="AW2741" s="6" t="str">
        <f>HYPERLINK("http://www.worldcat.org/oclc/913116884","WorldCat Record")</f>
        <v>WorldCat Record</v>
      </c>
      <c r="AX2741" s="3" t="s">
        <v>26907</v>
      </c>
      <c r="AY2741" s="3" t="s">
        <v>26908</v>
      </c>
      <c r="AZ2741" s="3" t="s">
        <v>26909</v>
      </c>
      <c r="BA2741" s="3" t="s">
        <v>26909</v>
      </c>
      <c r="BB2741" s="3" t="s">
        <v>26910</v>
      </c>
      <c r="BC2741" s="3" t="s">
        <v>142</v>
      </c>
      <c r="BD2741" s="3" t="s">
        <v>68</v>
      </c>
      <c r="BE2741" s="3" t="s">
        <v>26911</v>
      </c>
      <c r="BF2741" s="3" t="s">
        <v>26910</v>
      </c>
      <c r="BG2741" s="3" t="s">
        <v>26912</v>
      </c>
    </row>
    <row r="2742" spans="1:59" ht="57" x14ac:dyDescent="0.45">
      <c r="A2742" s="2" t="s">
        <v>59</v>
      </c>
      <c r="B2742" s="2" t="s">
        <v>60</v>
      </c>
      <c r="C2742" s="2" t="s">
        <v>26913</v>
      </c>
      <c r="D2742" s="2" t="s">
        <v>26914</v>
      </c>
      <c r="E2742" s="2" t="s">
        <v>26915</v>
      </c>
      <c r="G2742" s="3" t="s">
        <v>62</v>
      </c>
      <c r="I2742" s="3" t="s">
        <v>61</v>
      </c>
      <c r="J2742" s="3" t="s">
        <v>61</v>
      </c>
      <c r="K2742" s="3" t="s">
        <v>63</v>
      </c>
      <c r="M2742" s="2" t="s">
        <v>4873</v>
      </c>
      <c r="N2742" s="3" t="s">
        <v>918</v>
      </c>
      <c r="O2742" s="2" t="s">
        <v>933</v>
      </c>
      <c r="P2742" s="3" t="s">
        <v>65</v>
      </c>
      <c r="R2742" s="3" t="s">
        <v>66</v>
      </c>
      <c r="S2742" s="4">
        <v>16</v>
      </c>
      <c r="T2742" s="4">
        <v>40</v>
      </c>
      <c r="U2742" s="5" t="s">
        <v>26916</v>
      </c>
      <c r="V2742" s="5" t="s">
        <v>26916</v>
      </c>
      <c r="W2742" s="5" t="s">
        <v>67</v>
      </c>
      <c r="X2742" s="5" t="s">
        <v>67</v>
      </c>
      <c r="Y2742" s="4">
        <v>600</v>
      </c>
      <c r="Z2742" s="4">
        <v>32</v>
      </c>
      <c r="AA2742" s="4">
        <v>92</v>
      </c>
      <c r="AB2742" s="4">
        <v>2</v>
      </c>
      <c r="AC2742" s="4">
        <v>12</v>
      </c>
      <c r="AD2742" s="4">
        <v>104</v>
      </c>
      <c r="AE2742" s="4">
        <v>142</v>
      </c>
      <c r="AF2742" s="4">
        <v>1</v>
      </c>
      <c r="AG2742" s="4">
        <v>5</v>
      </c>
      <c r="AH2742" s="4">
        <v>93</v>
      </c>
      <c r="AI2742" s="4">
        <v>110</v>
      </c>
      <c r="AJ2742" s="4">
        <v>16</v>
      </c>
      <c r="AK2742" s="4">
        <v>23</v>
      </c>
      <c r="AL2742" s="4">
        <v>45</v>
      </c>
      <c r="AM2742" s="4">
        <v>58</v>
      </c>
      <c r="AN2742" s="4">
        <v>0</v>
      </c>
      <c r="AO2742" s="4">
        <v>0</v>
      </c>
      <c r="AP2742" s="4">
        <v>20</v>
      </c>
      <c r="AQ2742" s="4">
        <v>41</v>
      </c>
      <c r="AR2742" s="3" t="s">
        <v>62</v>
      </c>
      <c r="AS2742" s="3" t="s">
        <v>62</v>
      </c>
      <c r="AT2742" s="3" t="s">
        <v>61</v>
      </c>
      <c r="AU2742" s="6" t="str">
        <f>HYPERLINK("http://catalog.hathitrust.org/Record/004347273","HathiTrust Record")</f>
        <v>HathiTrust Record</v>
      </c>
      <c r="AV2742" s="6" t="str">
        <f>HYPERLINK("http://mcgill.on.worldcat.org/oclc/52030773","Catalog Record")</f>
        <v>Catalog Record</v>
      </c>
      <c r="AW2742" s="6" t="str">
        <f>HYPERLINK("http://www.worldcat.org/oclc/52030773","WorldCat Record")</f>
        <v>WorldCat Record</v>
      </c>
      <c r="AX2742" s="3" t="s">
        <v>26917</v>
      </c>
      <c r="AY2742" s="3" t="s">
        <v>26918</v>
      </c>
      <c r="AZ2742" s="3" t="s">
        <v>26919</v>
      </c>
      <c r="BA2742" s="3" t="s">
        <v>26919</v>
      </c>
      <c r="BB2742" s="3" t="s">
        <v>26920</v>
      </c>
      <c r="BC2742" s="3" t="s">
        <v>142</v>
      </c>
      <c r="BD2742" s="3" t="s">
        <v>68</v>
      </c>
      <c r="BE2742" s="3" t="s">
        <v>26921</v>
      </c>
      <c r="BF2742" s="3" t="s">
        <v>26920</v>
      </c>
      <c r="BG2742" s="3" t="s">
        <v>26922</v>
      </c>
    </row>
    <row r="2743" spans="1:59" ht="57" x14ac:dyDescent="0.45">
      <c r="A2743" s="2" t="s">
        <v>59</v>
      </c>
      <c r="B2743" s="2" t="s">
        <v>60</v>
      </c>
      <c r="C2743" s="2" t="s">
        <v>26913</v>
      </c>
      <c r="D2743" s="2" t="s">
        <v>26914</v>
      </c>
      <c r="E2743" s="2" t="s">
        <v>26915</v>
      </c>
      <c r="G2743" s="3" t="s">
        <v>62</v>
      </c>
      <c r="I2743" s="3" t="s">
        <v>61</v>
      </c>
      <c r="J2743" s="3" t="s">
        <v>61</v>
      </c>
      <c r="K2743" s="3" t="s">
        <v>63</v>
      </c>
      <c r="M2743" s="2" t="s">
        <v>4873</v>
      </c>
      <c r="N2743" s="3" t="s">
        <v>918</v>
      </c>
      <c r="O2743" s="2" t="s">
        <v>933</v>
      </c>
      <c r="P2743" s="3" t="s">
        <v>65</v>
      </c>
      <c r="R2743" s="3" t="s">
        <v>66</v>
      </c>
      <c r="S2743" s="4">
        <v>24</v>
      </c>
      <c r="T2743" s="4">
        <v>40</v>
      </c>
      <c r="U2743" s="5" t="s">
        <v>26923</v>
      </c>
      <c r="V2743" s="5" t="s">
        <v>26916</v>
      </c>
      <c r="W2743" s="5" t="s">
        <v>67</v>
      </c>
      <c r="X2743" s="5" t="s">
        <v>67</v>
      </c>
      <c r="Y2743" s="4">
        <v>600</v>
      </c>
      <c r="Z2743" s="4">
        <v>32</v>
      </c>
      <c r="AA2743" s="4">
        <v>92</v>
      </c>
      <c r="AB2743" s="4">
        <v>2</v>
      </c>
      <c r="AC2743" s="4">
        <v>12</v>
      </c>
      <c r="AD2743" s="4">
        <v>104</v>
      </c>
      <c r="AE2743" s="4">
        <v>142</v>
      </c>
      <c r="AF2743" s="4">
        <v>1</v>
      </c>
      <c r="AG2743" s="4">
        <v>5</v>
      </c>
      <c r="AH2743" s="4">
        <v>93</v>
      </c>
      <c r="AI2743" s="4">
        <v>110</v>
      </c>
      <c r="AJ2743" s="4">
        <v>16</v>
      </c>
      <c r="AK2743" s="4">
        <v>23</v>
      </c>
      <c r="AL2743" s="4">
        <v>45</v>
      </c>
      <c r="AM2743" s="4">
        <v>58</v>
      </c>
      <c r="AN2743" s="4">
        <v>0</v>
      </c>
      <c r="AO2743" s="4">
        <v>0</v>
      </c>
      <c r="AP2743" s="4">
        <v>20</v>
      </c>
      <c r="AQ2743" s="4">
        <v>41</v>
      </c>
      <c r="AR2743" s="3" t="s">
        <v>62</v>
      </c>
      <c r="AS2743" s="3" t="s">
        <v>62</v>
      </c>
      <c r="AT2743" s="3" t="s">
        <v>61</v>
      </c>
      <c r="AU2743" s="6" t="str">
        <f>HYPERLINK("http://catalog.hathitrust.org/Record/004347273","HathiTrust Record")</f>
        <v>HathiTrust Record</v>
      </c>
      <c r="AV2743" s="6" t="str">
        <f>HYPERLINK("http://mcgill.on.worldcat.org/oclc/52030773","Catalog Record")</f>
        <v>Catalog Record</v>
      </c>
      <c r="AW2743" s="6" t="str">
        <f>HYPERLINK("http://www.worldcat.org/oclc/52030773","WorldCat Record")</f>
        <v>WorldCat Record</v>
      </c>
      <c r="AX2743" s="3" t="s">
        <v>26917</v>
      </c>
      <c r="AY2743" s="3" t="s">
        <v>26918</v>
      </c>
      <c r="AZ2743" s="3" t="s">
        <v>26919</v>
      </c>
      <c r="BA2743" s="3" t="s">
        <v>26919</v>
      </c>
      <c r="BB2743" s="3" t="s">
        <v>26924</v>
      </c>
      <c r="BC2743" s="3" t="s">
        <v>142</v>
      </c>
      <c r="BD2743" s="3" t="s">
        <v>68</v>
      </c>
      <c r="BE2743" s="3" t="s">
        <v>26921</v>
      </c>
      <c r="BF2743" s="3" t="s">
        <v>26924</v>
      </c>
      <c r="BG2743" s="3" t="s">
        <v>26925</v>
      </c>
    </row>
    <row r="2744" spans="1:59" ht="57" x14ac:dyDescent="0.45">
      <c r="A2744" s="2" t="s">
        <v>59</v>
      </c>
      <c r="B2744" s="2" t="s">
        <v>60</v>
      </c>
      <c r="C2744" s="2" t="s">
        <v>26926</v>
      </c>
      <c r="D2744" s="2" t="s">
        <v>26927</v>
      </c>
      <c r="E2744" s="2" t="s">
        <v>26928</v>
      </c>
      <c r="G2744" s="3" t="s">
        <v>62</v>
      </c>
      <c r="I2744" s="3" t="s">
        <v>62</v>
      </c>
      <c r="J2744" s="3" t="s">
        <v>61</v>
      </c>
      <c r="K2744" s="3" t="s">
        <v>63</v>
      </c>
      <c r="M2744" s="2" t="s">
        <v>26929</v>
      </c>
      <c r="N2744" s="3" t="s">
        <v>894</v>
      </c>
      <c r="O2744" s="2" t="s">
        <v>906</v>
      </c>
      <c r="P2744" s="3" t="s">
        <v>65</v>
      </c>
      <c r="R2744" s="3" t="s">
        <v>66</v>
      </c>
      <c r="S2744" s="4">
        <v>5</v>
      </c>
      <c r="T2744" s="4">
        <v>5</v>
      </c>
      <c r="U2744" s="5" t="s">
        <v>473</v>
      </c>
      <c r="V2744" s="5" t="s">
        <v>473</v>
      </c>
      <c r="W2744" s="5" t="s">
        <v>67</v>
      </c>
      <c r="X2744" s="5" t="s">
        <v>67</v>
      </c>
      <c r="Y2744" s="4">
        <v>574</v>
      </c>
      <c r="Z2744" s="4">
        <v>31</v>
      </c>
      <c r="AA2744" s="4">
        <v>92</v>
      </c>
      <c r="AB2744" s="4">
        <v>2</v>
      </c>
      <c r="AC2744" s="4">
        <v>12</v>
      </c>
      <c r="AD2744" s="4">
        <v>78</v>
      </c>
      <c r="AE2744" s="4">
        <v>142</v>
      </c>
      <c r="AF2744" s="4">
        <v>0</v>
      </c>
      <c r="AG2744" s="4">
        <v>5</v>
      </c>
      <c r="AH2744" s="4">
        <v>68</v>
      </c>
      <c r="AI2744" s="4">
        <v>110</v>
      </c>
      <c r="AJ2744" s="4">
        <v>11</v>
      </c>
      <c r="AK2744" s="4">
        <v>23</v>
      </c>
      <c r="AL2744" s="4">
        <v>35</v>
      </c>
      <c r="AM2744" s="4">
        <v>58</v>
      </c>
      <c r="AN2744" s="4">
        <v>0</v>
      </c>
      <c r="AO2744" s="4">
        <v>0</v>
      </c>
      <c r="AP2744" s="4">
        <v>17</v>
      </c>
      <c r="AQ2744" s="4">
        <v>41</v>
      </c>
      <c r="AR2744" s="3" t="s">
        <v>62</v>
      </c>
      <c r="AS2744" s="3" t="s">
        <v>62</v>
      </c>
      <c r="AT2744" s="3" t="s">
        <v>62</v>
      </c>
      <c r="AV2744" s="6" t="str">
        <f>HYPERLINK("http://mcgill.on.worldcat.org/oclc/690904788","Catalog Record")</f>
        <v>Catalog Record</v>
      </c>
      <c r="AW2744" s="6" t="str">
        <f>HYPERLINK("http://www.worldcat.org/oclc/690904788","WorldCat Record")</f>
        <v>WorldCat Record</v>
      </c>
      <c r="AX2744" s="3" t="s">
        <v>26917</v>
      </c>
      <c r="AY2744" s="3" t="s">
        <v>26930</v>
      </c>
      <c r="AZ2744" s="3" t="s">
        <v>26931</v>
      </c>
      <c r="BA2744" s="3" t="s">
        <v>26931</v>
      </c>
      <c r="BB2744" s="3" t="s">
        <v>26932</v>
      </c>
      <c r="BC2744" s="3" t="s">
        <v>142</v>
      </c>
      <c r="BD2744" s="3" t="s">
        <v>68</v>
      </c>
      <c r="BE2744" s="3" t="s">
        <v>26933</v>
      </c>
      <c r="BF2744" s="3" t="s">
        <v>26932</v>
      </c>
      <c r="BG2744" s="3" t="s">
        <v>26934</v>
      </c>
    </row>
    <row r="2745" spans="1:59" ht="57" x14ac:dyDescent="0.45">
      <c r="A2745" s="2" t="s">
        <v>59</v>
      </c>
      <c r="B2745" s="2" t="s">
        <v>60</v>
      </c>
      <c r="C2745" s="2" t="s">
        <v>26935</v>
      </c>
      <c r="D2745" s="2" t="s">
        <v>26936</v>
      </c>
      <c r="E2745" s="2" t="s">
        <v>26937</v>
      </c>
      <c r="G2745" s="3" t="s">
        <v>62</v>
      </c>
      <c r="I2745" s="3" t="s">
        <v>62</v>
      </c>
      <c r="J2745" s="3" t="s">
        <v>62</v>
      </c>
      <c r="K2745" s="3" t="s">
        <v>63</v>
      </c>
      <c r="L2745" s="2" t="s">
        <v>26938</v>
      </c>
      <c r="M2745" s="2" t="s">
        <v>26939</v>
      </c>
      <c r="N2745" s="3" t="s">
        <v>181</v>
      </c>
      <c r="P2745" s="3" t="s">
        <v>110</v>
      </c>
      <c r="Q2745" s="2" t="s">
        <v>26940</v>
      </c>
      <c r="R2745" s="3" t="s">
        <v>66</v>
      </c>
      <c r="S2745" s="4">
        <v>3</v>
      </c>
      <c r="T2745" s="4">
        <v>3</v>
      </c>
      <c r="W2745" s="5" t="s">
        <v>971</v>
      </c>
      <c r="X2745" s="5" t="s">
        <v>971</v>
      </c>
      <c r="Y2745" s="4">
        <v>3</v>
      </c>
      <c r="Z2745" s="4">
        <v>1</v>
      </c>
      <c r="AA2745" s="4">
        <v>19</v>
      </c>
      <c r="AB2745" s="4">
        <v>1</v>
      </c>
      <c r="AC2745" s="4">
        <v>12</v>
      </c>
      <c r="AD2745" s="4">
        <v>0</v>
      </c>
      <c r="AE2745" s="4">
        <v>13</v>
      </c>
      <c r="AF2745" s="4">
        <v>0</v>
      </c>
      <c r="AG2745" s="4">
        <v>5</v>
      </c>
      <c r="AH2745" s="4">
        <v>0</v>
      </c>
      <c r="AI2745" s="4">
        <v>6</v>
      </c>
      <c r="AJ2745" s="4">
        <v>0</v>
      </c>
      <c r="AK2745" s="4">
        <v>9</v>
      </c>
      <c r="AL2745" s="4">
        <v>0</v>
      </c>
      <c r="AM2745" s="4">
        <v>2</v>
      </c>
      <c r="AN2745" s="4">
        <v>0</v>
      </c>
      <c r="AO2745" s="4">
        <v>0</v>
      </c>
      <c r="AP2745" s="4">
        <v>0</v>
      </c>
      <c r="AQ2745" s="4">
        <v>10</v>
      </c>
      <c r="AR2745" s="3" t="s">
        <v>62</v>
      </c>
      <c r="AS2745" s="3" t="s">
        <v>62</v>
      </c>
      <c r="AT2745" s="3" t="s">
        <v>62</v>
      </c>
      <c r="AV2745" s="6" t="str">
        <f>HYPERLINK("http://mcgill.on.worldcat.org/oclc/1089812421","Catalog Record")</f>
        <v>Catalog Record</v>
      </c>
      <c r="AW2745" s="6" t="str">
        <f>HYPERLINK("http://www.worldcat.org/oclc/1089812421","WorldCat Record")</f>
        <v>WorldCat Record</v>
      </c>
      <c r="AX2745" s="3" t="s">
        <v>26941</v>
      </c>
      <c r="AY2745" s="3" t="s">
        <v>26942</v>
      </c>
      <c r="AZ2745" s="3" t="s">
        <v>26943</v>
      </c>
      <c r="BA2745" s="3" t="s">
        <v>26943</v>
      </c>
      <c r="BB2745" s="3" t="s">
        <v>26944</v>
      </c>
      <c r="BC2745" s="3" t="s">
        <v>142</v>
      </c>
      <c r="BD2745" s="3" t="s">
        <v>308</v>
      </c>
      <c r="BE2745" s="3" t="s">
        <v>26945</v>
      </c>
      <c r="BF2745" s="3" t="s">
        <v>26944</v>
      </c>
      <c r="BG2745" s="3" t="s">
        <v>26946</v>
      </c>
    </row>
    <row r="2746" spans="1:59" ht="57" x14ac:dyDescent="0.45">
      <c r="A2746" s="2" t="s">
        <v>59</v>
      </c>
      <c r="B2746" s="2" t="s">
        <v>60</v>
      </c>
      <c r="C2746" s="2" t="s">
        <v>26947</v>
      </c>
      <c r="D2746" s="2" t="s">
        <v>26948</v>
      </c>
      <c r="E2746" s="2" t="s">
        <v>26949</v>
      </c>
      <c r="G2746" s="3" t="s">
        <v>62</v>
      </c>
      <c r="I2746" s="3" t="s">
        <v>62</v>
      </c>
      <c r="J2746" s="3" t="s">
        <v>62</v>
      </c>
      <c r="K2746" s="3" t="s">
        <v>63</v>
      </c>
      <c r="M2746" s="2" t="s">
        <v>26950</v>
      </c>
      <c r="N2746" s="3" t="s">
        <v>116</v>
      </c>
      <c r="P2746" s="3" t="s">
        <v>65</v>
      </c>
      <c r="Q2746" s="2" t="s">
        <v>26951</v>
      </c>
      <c r="R2746" s="3" t="s">
        <v>66</v>
      </c>
      <c r="S2746" s="4">
        <v>3</v>
      </c>
      <c r="T2746" s="4">
        <v>3</v>
      </c>
      <c r="U2746" s="5" t="s">
        <v>26952</v>
      </c>
      <c r="V2746" s="5" t="s">
        <v>26952</v>
      </c>
      <c r="W2746" s="5" t="s">
        <v>67</v>
      </c>
      <c r="X2746" s="5" t="s">
        <v>67</v>
      </c>
      <c r="Y2746" s="4">
        <v>92</v>
      </c>
      <c r="Z2746" s="4">
        <v>16</v>
      </c>
      <c r="AA2746" s="4">
        <v>24</v>
      </c>
      <c r="AB2746" s="4">
        <v>1</v>
      </c>
      <c r="AC2746" s="4">
        <v>6</v>
      </c>
      <c r="AD2746" s="4">
        <v>43</v>
      </c>
      <c r="AE2746" s="4">
        <v>48</v>
      </c>
      <c r="AF2746" s="4">
        <v>0</v>
      </c>
      <c r="AG2746" s="4">
        <v>2</v>
      </c>
      <c r="AH2746" s="4">
        <v>38</v>
      </c>
      <c r="AI2746" s="4">
        <v>40</v>
      </c>
      <c r="AJ2746" s="4">
        <v>13</v>
      </c>
      <c r="AK2746" s="4">
        <v>16</v>
      </c>
      <c r="AL2746" s="4">
        <v>25</v>
      </c>
      <c r="AM2746" s="4">
        <v>27</v>
      </c>
      <c r="AN2746" s="4">
        <v>0</v>
      </c>
      <c r="AO2746" s="4">
        <v>0</v>
      </c>
      <c r="AP2746" s="4">
        <v>14</v>
      </c>
      <c r="AQ2746" s="4">
        <v>16</v>
      </c>
      <c r="AR2746" s="3" t="s">
        <v>62</v>
      </c>
      <c r="AS2746" s="3" t="s">
        <v>62</v>
      </c>
      <c r="AT2746" s="3" t="s">
        <v>62</v>
      </c>
      <c r="AV2746" s="6" t="str">
        <f>HYPERLINK("http://mcgill.on.worldcat.org/oclc/851414242","Catalog Record")</f>
        <v>Catalog Record</v>
      </c>
      <c r="AW2746" s="6" t="str">
        <f>HYPERLINK("http://www.worldcat.org/oclc/851414242","WorldCat Record")</f>
        <v>WorldCat Record</v>
      </c>
      <c r="AX2746" s="3" t="s">
        <v>26953</v>
      </c>
      <c r="AY2746" s="3" t="s">
        <v>26954</v>
      </c>
      <c r="AZ2746" s="3" t="s">
        <v>26955</v>
      </c>
      <c r="BA2746" s="3" t="s">
        <v>26955</v>
      </c>
      <c r="BB2746" s="3" t="s">
        <v>26956</v>
      </c>
      <c r="BC2746" s="3" t="s">
        <v>142</v>
      </c>
      <c r="BD2746" s="3" t="s">
        <v>68</v>
      </c>
      <c r="BE2746" s="3" t="s">
        <v>26957</v>
      </c>
      <c r="BF2746" s="3" t="s">
        <v>26956</v>
      </c>
      <c r="BG2746" s="3" t="s">
        <v>26958</v>
      </c>
    </row>
    <row r="2747" spans="1:59" ht="57" x14ac:dyDescent="0.45">
      <c r="A2747" s="2" t="s">
        <v>59</v>
      </c>
      <c r="B2747" s="2" t="s">
        <v>60</v>
      </c>
      <c r="C2747" s="2" t="s">
        <v>26959</v>
      </c>
      <c r="D2747" s="2" t="s">
        <v>26960</v>
      </c>
      <c r="E2747" s="2" t="s">
        <v>26961</v>
      </c>
      <c r="G2747" s="3" t="s">
        <v>62</v>
      </c>
      <c r="I2747" s="3" t="s">
        <v>62</v>
      </c>
      <c r="J2747" s="3" t="s">
        <v>62</v>
      </c>
      <c r="K2747" s="3" t="s">
        <v>63</v>
      </c>
      <c r="L2747" s="2" t="s">
        <v>26962</v>
      </c>
      <c r="M2747" s="2" t="s">
        <v>26963</v>
      </c>
      <c r="N2747" s="3" t="s">
        <v>149</v>
      </c>
      <c r="P2747" s="3" t="s">
        <v>65</v>
      </c>
      <c r="R2747" s="3" t="s">
        <v>66</v>
      </c>
      <c r="S2747" s="4">
        <v>1</v>
      </c>
      <c r="T2747" s="4">
        <v>1</v>
      </c>
      <c r="U2747" s="5" t="s">
        <v>26964</v>
      </c>
      <c r="V2747" s="5" t="s">
        <v>26964</v>
      </c>
      <c r="W2747" s="5" t="s">
        <v>67</v>
      </c>
      <c r="X2747" s="5" t="s">
        <v>67</v>
      </c>
      <c r="Y2747" s="4">
        <v>163</v>
      </c>
      <c r="Z2747" s="4">
        <v>10</v>
      </c>
      <c r="AA2747" s="4">
        <v>10</v>
      </c>
      <c r="AB2747" s="4">
        <v>1</v>
      </c>
      <c r="AC2747" s="4">
        <v>1</v>
      </c>
      <c r="AD2747" s="4">
        <v>44</v>
      </c>
      <c r="AE2747" s="4">
        <v>44</v>
      </c>
      <c r="AF2747" s="4">
        <v>0</v>
      </c>
      <c r="AG2747" s="4">
        <v>0</v>
      </c>
      <c r="AH2747" s="4">
        <v>42</v>
      </c>
      <c r="AI2747" s="4">
        <v>42</v>
      </c>
      <c r="AJ2747" s="4">
        <v>5</v>
      </c>
      <c r="AK2747" s="4">
        <v>5</v>
      </c>
      <c r="AL2747" s="4">
        <v>23</v>
      </c>
      <c r="AM2747" s="4">
        <v>23</v>
      </c>
      <c r="AN2747" s="4">
        <v>0</v>
      </c>
      <c r="AO2747" s="4">
        <v>0</v>
      </c>
      <c r="AP2747" s="4">
        <v>7</v>
      </c>
      <c r="AQ2747" s="4">
        <v>7</v>
      </c>
      <c r="AR2747" s="3" t="s">
        <v>62</v>
      </c>
      <c r="AS2747" s="3" t="s">
        <v>62</v>
      </c>
      <c r="AT2747" s="3" t="s">
        <v>62</v>
      </c>
      <c r="AV2747" s="6" t="str">
        <f>HYPERLINK("http://mcgill.on.worldcat.org/oclc/456171304","Catalog Record")</f>
        <v>Catalog Record</v>
      </c>
      <c r="AW2747" s="6" t="str">
        <f>HYPERLINK("http://www.worldcat.org/oclc/456171304","WorldCat Record")</f>
        <v>WorldCat Record</v>
      </c>
      <c r="AX2747" s="3" t="s">
        <v>26965</v>
      </c>
      <c r="AY2747" s="3" t="s">
        <v>26966</v>
      </c>
      <c r="AZ2747" s="3" t="s">
        <v>26967</v>
      </c>
      <c r="BA2747" s="3" t="s">
        <v>26967</v>
      </c>
      <c r="BB2747" s="3" t="s">
        <v>26968</v>
      </c>
      <c r="BC2747" s="3" t="s">
        <v>142</v>
      </c>
      <c r="BD2747" s="3" t="s">
        <v>68</v>
      </c>
      <c r="BE2747" s="3" t="s">
        <v>26969</v>
      </c>
      <c r="BF2747" s="3" t="s">
        <v>26968</v>
      </c>
      <c r="BG2747" s="3" t="s">
        <v>26970</v>
      </c>
    </row>
    <row r="2748" spans="1:59" ht="57" x14ac:dyDescent="0.45">
      <c r="A2748" s="2" t="s">
        <v>59</v>
      </c>
      <c r="B2748" s="2" t="s">
        <v>60</v>
      </c>
      <c r="C2748" s="2" t="s">
        <v>26971</v>
      </c>
      <c r="D2748" s="2" t="s">
        <v>26972</v>
      </c>
      <c r="E2748" s="2" t="s">
        <v>26973</v>
      </c>
      <c r="G2748" s="3" t="s">
        <v>62</v>
      </c>
      <c r="I2748" s="3" t="s">
        <v>62</v>
      </c>
      <c r="J2748" s="3" t="s">
        <v>62</v>
      </c>
      <c r="K2748" s="3" t="s">
        <v>63</v>
      </c>
      <c r="L2748" s="2" t="s">
        <v>26974</v>
      </c>
      <c r="M2748" s="2" t="s">
        <v>26975</v>
      </c>
      <c r="N2748" s="3" t="s">
        <v>116</v>
      </c>
      <c r="P2748" s="3" t="s">
        <v>65</v>
      </c>
      <c r="R2748" s="3" t="s">
        <v>66</v>
      </c>
      <c r="S2748" s="4">
        <v>3</v>
      </c>
      <c r="T2748" s="4">
        <v>3</v>
      </c>
      <c r="U2748" s="5" t="s">
        <v>21489</v>
      </c>
      <c r="V2748" s="5" t="s">
        <v>21489</v>
      </c>
      <c r="W2748" s="5" t="s">
        <v>67</v>
      </c>
      <c r="X2748" s="5" t="s">
        <v>67</v>
      </c>
      <c r="Y2748" s="4">
        <v>279</v>
      </c>
      <c r="Z2748" s="4">
        <v>22</v>
      </c>
      <c r="AA2748" s="4">
        <v>85</v>
      </c>
      <c r="AB2748" s="4">
        <v>1</v>
      </c>
      <c r="AC2748" s="4">
        <v>15</v>
      </c>
      <c r="AD2748" s="4">
        <v>65</v>
      </c>
      <c r="AE2748" s="4">
        <v>128</v>
      </c>
      <c r="AF2748" s="4">
        <v>0</v>
      </c>
      <c r="AG2748" s="4">
        <v>8</v>
      </c>
      <c r="AH2748" s="4">
        <v>56</v>
      </c>
      <c r="AI2748" s="4">
        <v>92</v>
      </c>
      <c r="AJ2748" s="4">
        <v>10</v>
      </c>
      <c r="AK2748" s="4">
        <v>23</v>
      </c>
      <c r="AL2748" s="4">
        <v>33</v>
      </c>
      <c r="AM2748" s="4">
        <v>48</v>
      </c>
      <c r="AN2748" s="4">
        <v>0</v>
      </c>
      <c r="AO2748" s="4">
        <v>0</v>
      </c>
      <c r="AP2748" s="4">
        <v>16</v>
      </c>
      <c r="AQ2748" s="4">
        <v>45</v>
      </c>
      <c r="AR2748" s="3" t="s">
        <v>62</v>
      </c>
      <c r="AS2748" s="3" t="s">
        <v>62</v>
      </c>
      <c r="AT2748" s="3" t="s">
        <v>62</v>
      </c>
      <c r="AV2748" s="6" t="str">
        <f>HYPERLINK("http://mcgill.on.worldcat.org/oclc/794041221","Catalog Record")</f>
        <v>Catalog Record</v>
      </c>
      <c r="AW2748" s="6" t="str">
        <f>HYPERLINK("http://www.worldcat.org/oclc/794041221","WorldCat Record")</f>
        <v>WorldCat Record</v>
      </c>
      <c r="AX2748" s="3" t="s">
        <v>26976</v>
      </c>
      <c r="AY2748" s="3" t="s">
        <v>26977</v>
      </c>
      <c r="AZ2748" s="3" t="s">
        <v>26978</v>
      </c>
      <c r="BA2748" s="3" t="s">
        <v>26978</v>
      </c>
      <c r="BB2748" s="3" t="s">
        <v>26979</v>
      </c>
      <c r="BC2748" s="3" t="s">
        <v>142</v>
      </c>
      <c r="BD2748" s="3" t="s">
        <v>68</v>
      </c>
      <c r="BE2748" s="3" t="s">
        <v>26980</v>
      </c>
      <c r="BF2748" s="3" t="s">
        <v>26979</v>
      </c>
      <c r="BG2748" s="3" t="s">
        <v>26981</v>
      </c>
    </row>
    <row r="2749" spans="1:59" ht="57" x14ac:dyDescent="0.45">
      <c r="A2749" s="2" t="s">
        <v>59</v>
      </c>
      <c r="B2749" s="2" t="s">
        <v>60</v>
      </c>
      <c r="C2749" s="2" t="s">
        <v>26982</v>
      </c>
      <c r="D2749" s="2" t="s">
        <v>26983</v>
      </c>
      <c r="E2749" s="2" t="s">
        <v>26984</v>
      </c>
      <c r="G2749" s="3" t="s">
        <v>62</v>
      </c>
      <c r="I2749" s="3" t="s">
        <v>62</v>
      </c>
      <c r="J2749" s="3" t="s">
        <v>61</v>
      </c>
      <c r="K2749" s="3" t="s">
        <v>63</v>
      </c>
      <c r="L2749" s="2" t="s">
        <v>26985</v>
      </c>
      <c r="M2749" s="2" t="s">
        <v>26986</v>
      </c>
      <c r="N2749" s="3" t="s">
        <v>167</v>
      </c>
      <c r="P2749" s="3" t="s">
        <v>65</v>
      </c>
      <c r="R2749" s="3" t="s">
        <v>66</v>
      </c>
      <c r="S2749" s="4">
        <v>58</v>
      </c>
      <c r="T2749" s="4">
        <v>58</v>
      </c>
      <c r="U2749" s="5" t="s">
        <v>17655</v>
      </c>
      <c r="V2749" s="5" t="s">
        <v>17655</v>
      </c>
      <c r="W2749" s="5" t="s">
        <v>67</v>
      </c>
      <c r="X2749" s="5" t="s">
        <v>67</v>
      </c>
      <c r="Y2749" s="4">
        <v>668</v>
      </c>
      <c r="Z2749" s="4">
        <v>49</v>
      </c>
      <c r="AA2749" s="4">
        <v>101</v>
      </c>
      <c r="AB2749" s="4">
        <v>2</v>
      </c>
      <c r="AC2749" s="4">
        <v>17</v>
      </c>
      <c r="AD2749" s="4">
        <v>131</v>
      </c>
      <c r="AE2749" s="4">
        <v>154</v>
      </c>
      <c r="AF2749" s="4">
        <v>1</v>
      </c>
      <c r="AG2749" s="4">
        <v>6</v>
      </c>
      <c r="AH2749" s="4">
        <v>108</v>
      </c>
      <c r="AI2749" s="4">
        <v>113</v>
      </c>
      <c r="AJ2749" s="4">
        <v>21</v>
      </c>
      <c r="AK2749" s="4">
        <v>28</v>
      </c>
      <c r="AL2749" s="4">
        <v>54</v>
      </c>
      <c r="AM2749" s="4">
        <v>58</v>
      </c>
      <c r="AN2749" s="4">
        <v>0</v>
      </c>
      <c r="AO2749" s="4">
        <v>0</v>
      </c>
      <c r="AP2749" s="4">
        <v>32</v>
      </c>
      <c r="AQ2749" s="4">
        <v>50</v>
      </c>
      <c r="AR2749" s="3" t="s">
        <v>62</v>
      </c>
      <c r="AS2749" s="3" t="s">
        <v>62</v>
      </c>
      <c r="AT2749" s="3" t="s">
        <v>61</v>
      </c>
      <c r="AU2749" s="6" t="str">
        <f>HYPERLINK("http://catalog.hathitrust.org/Record/102324815","HathiTrust Record")</f>
        <v>HathiTrust Record</v>
      </c>
      <c r="AV2749" s="6" t="str">
        <f>HYPERLINK("http://mcgill.on.worldcat.org/oclc/39399438","Catalog Record")</f>
        <v>Catalog Record</v>
      </c>
      <c r="AW2749" s="6" t="str">
        <f>HYPERLINK("http://www.worldcat.org/oclc/39399438","WorldCat Record")</f>
        <v>WorldCat Record</v>
      </c>
      <c r="AX2749" s="3" t="s">
        <v>26987</v>
      </c>
      <c r="AY2749" s="3" t="s">
        <v>26988</v>
      </c>
      <c r="AZ2749" s="3" t="s">
        <v>26989</v>
      </c>
      <c r="BA2749" s="3" t="s">
        <v>26989</v>
      </c>
      <c r="BB2749" s="3" t="s">
        <v>26990</v>
      </c>
      <c r="BC2749" s="3" t="s">
        <v>142</v>
      </c>
      <c r="BD2749" s="3" t="s">
        <v>68</v>
      </c>
      <c r="BE2749" s="3" t="s">
        <v>26991</v>
      </c>
      <c r="BF2749" s="3" t="s">
        <v>26990</v>
      </c>
      <c r="BG2749" s="3" t="s">
        <v>26992</v>
      </c>
    </row>
    <row r="2750" spans="1:59" ht="57" x14ac:dyDescent="0.45">
      <c r="A2750" s="2" t="s">
        <v>59</v>
      </c>
      <c r="B2750" s="2" t="s">
        <v>60</v>
      </c>
      <c r="C2750" s="2" t="s">
        <v>26993</v>
      </c>
      <c r="D2750" s="2" t="s">
        <v>26994</v>
      </c>
      <c r="E2750" s="2" t="s">
        <v>26984</v>
      </c>
      <c r="G2750" s="3" t="s">
        <v>62</v>
      </c>
      <c r="I2750" s="3" t="s">
        <v>61</v>
      </c>
      <c r="J2750" s="3" t="s">
        <v>61</v>
      </c>
      <c r="K2750" s="3" t="s">
        <v>63</v>
      </c>
      <c r="L2750" s="2" t="s">
        <v>26985</v>
      </c>
      <c r="M2750" s="2" t="s">
        <v>26995</v>
      </c>
      <c r="N2750" s="3" t="s">
        <v>1212</v>
      </c>
      <c r="P2750" s="3" t="s">
        <v>65</v>
      </c>
      <c r="R2750" s="3" t="s">
        <v>66</v>
      </c>
      <c r="S2750" s="4">
        <v>33</v>
      </c>
      <c r="T2750" s="4">
        <v>68</v>
      </c>
      <c r="U2750" s="5" t="s">
        <v>12377</v>
      </c>
      <c r="V2750" s="5" t="s">
        <v>3589</v>
      </c>
      <c r="W2750" s="5" t="s">
        <v>67</v>
      </c>
      <c r="X2750" s="5" t="s">
        <v>67</v>
      </c>
      <c r="Y2750" s="4">
        <v>49</v>
      </c>
      <c r="Z2750" s="4">
        <v>4</v>
      </c>
      <c r="AA2750" s="4">
        <v>101</v>
      </c>
      <c r="AB2750" s="4">
        <v>1</v>
      </c>
      <c r="AC2750" s="4">
        <v>17</v>
      </c>
      <c r="AD2750" s="4">
        <v>4</v>
      </c>
      <c r="AE2750" s="4">
        <v>154</v>
      </c>
      <c r="AF2750" s="4">
        <v>0</v>
      </c>
      <c r="AG2750" s="4">
        <v>6</v>
      </c>
      <c r="AH2750" s="4">
        <v>3</v>
      </c>
      <c r="AI2750" s="4">
        <v>113</v>
      </c>
      <c r="AJ2750" s="4">
        <v>1</v>
      </c>
      <c r="AK2750" s="4">
        <v>28</v>
      </c>
      <c r="AL2750" s="4">
        <v>2</v>
      </c>
      <c r="AM2750" s="4">
        <v>58</v>
      </c>
      <c r="AN2750" s="4">
        <v>0</v>
      </c>
      <c r="AO2750" s="4">
        <v>0</v>
      </c>
      <c r="AP2750" s="4">
        <v>2</v>
      </c>
      <c r="AQ2750" s="4">
        <v>50</v>
      </c>
      <c r="AR2750" s="3" t="s">
        <v>62</v>
      </c>
      <c r="AS2750" s="3" t="s">
        <v>62</v>
      </c>
      <c r="AT2750" s="3" t="s">
        <v>61</v>
      </c>
      <c r="AU2750" s="6" t="str">
        <f>HYPERLINK("http://catalog.hathitrust.org/Record/102324815","HathiTrust Record")</f>
        <v>HathiTrust Record</v>
      </c>
      <c r="AV2750" s="6" t="str">
        <f>HYPERLINK("http://mcgill.on.worldcat.org/oclc/55800346","Catalog Record")</f>
        <v>Catalog Record</v>
      </c>
      <c r="AW2750" s="6" t="str">
        <f>HYPERLINK("http://www.worldcat.org/oclc/55800346","WorldCat Record")</f>
        <v>WorldCat Record</v>
      </c>
      <c r="AX2750" s="3" t="s">
        <v>26987</v>
      </c>
      <c r="AY2750" s="3" t="s">
        <v>26996</v>
      </c>
      <c r="AZ2750" s="3" t="s">
        <v>26997</v>
      </c>
      <c r="BA2750" s="3" t="s">
        <v>26997</v>
      </c>
      <c r="BB2750" s="3" t="s">
        <v>26998</v>
      </c>
      <c r="BC2750" s="3" t="s">
        <v>142</v>
      </c>
      <c r="BD2750" s="3" t="s">
        <v>68</v>
      </c>
      <c r="BE2750" s="3" t="s">
        <v>26999</v>
      </c>
      <c r="BF2750" s="3" t="s">
        <v>26998</v>
      </c>
      <c r="BG2750" s="3" t="s">
        <v>27000</v>
      </c>
    </row>
    <row r="2751" spans="1:59" ht="57" x14ac:dyDescent="0.45">
      <c r="A2751" s="2" t="s">
        <v>59</v>
      </c>
      <c r="B2751" s="2" t="s">
        <v>60</v>
      </c>
      <c r="C2751" s="2" t="s">
        <v>26993</v>
      </c>
      <c r="D2751" s="2" t="s">
        <v>26994</v>
      </c>
      <c r="E2751" s="2" t="s">
        <v>26984</v>
      </c>
      <c r="G2751" s="3" t="s">
        <v>62</v>
      </c>
      <c r="I2751" s="3" t="s">
        <v>61</v>
      </c>
      <c r="J2751" s="3" t="s">
        <v>61</v>
      </c>
      <c r="K2751" s="3" t="s">
        <v>63</v>
      </c>
      <c r="L2751" s="2" t="s">
        <v>26985</v>
      </c>
      <c r="M2751" s="2" t="s">
        <v>26995</v>
      </c>
      <c r="N2751" s="3" t="s">
        <v>1212</v>
      </c>
      <c r="P2751" s="3" t="s">
        <v>65</v>
      </c>
      <c r="R2751" s="3" t="s">
        <v>66</v>
      </c>
      <c r="S2751" s="4">
        <v>35</v>
      </c>
      <c r="T2751" s="4">
        <v>68</v>
      </c>
      <c r="U2751" s="5" t="s">
        <v>3589</v>
      </c>
      <c r="V2751" s="5" t="s">
        <v>3589</v>
      </c>
      <c r="W2751" s="5" t="s">
        <v>67</v>
      </c>
      <c r="X2751" s="5" t="s">
        <v>67</v>
      </c>
      <c r="Y2751" s="4">
        <v>49</v>
      </c>
      <c r="Z2751" s="4">
        <v>4</v>
      </c>
      <c r="AA2751" s="4">
        <v>101</v>
      </c>
      <c r="AB2751" s="4">
        <v>1</v>
      </c>
      <c r="AC2751" s="4">
        <v>17</v>
      </c>
      <c r="AD2751" s="4">
        <v>4</v>
      </c>
      <c r="AE2751" s="4">
        <v>154</v>
      </c>
      <c r="AF2751" s="4">
        <v>0</v>
      </c>
      <c r="AG2751" s="4">
        <v>6</v>
      </c>
      <c r="AH2751" s="4">
        <v>3</v>
      </c>
      <c r="AI2751" s="4">
        <v>113</v>
      </c>
      <c r="AJ2751" s="4">
        <v>1</v>
      </c>
      <c r="AK2751" s="4">
        <v>28</v>
      </c>
      <c r="AL2751" s="4">
        <v>2</v>
      </c>
      <c r="AM2751" s="4">
        <v>58</v>
      </c>
      <c r="AN2751" s="4">
        <v>0</v>
      </c>
      <c r="AO2751" s="4">
        <v>0</v>
      </c>
      <c r="AP2751" s="4">
        <v>2</v>
      </c>
      <c r="AQ2751" s="4">
        <v>50</v>
      </c>
      <c r="AR2751" s="3" t="s">
        <v>62</v>
      </c>
      <c r="AS2751" s="3" t="s">
        <v>62</v>
      </c>
      <c r="AT2751" s="3" t="s">
        <v>61</v>
      </c>
      <c r="AU2751" s="6" t="str">
        <f>HYPERLINK("http://catalog.hathitrust.org/Record/102324815","HathiTrust Record")</f>
        <v>HathiTrust Record</v>
      </c>
      <c r="AV2751" s="6" t="str">
        <f>HYPERLINK("http://mcgill.on.worldcat.org/oclc/55800346","Catalog Record")</f>
        <v>Catalog Record</v>
      </c>
      <c r="AW2751" s="6" t="str">
        <f>HYPERLINK("http://www.worldcat.org/oclc/55800346","WorldCat Record")</f>
        <v>WorldCat Record</v>
      </c>
      <c r="AX2751" s="3" t="s">
        <v>26987</v>
      </c>
      <c r="AY2751" s="3" t="s">
        <v>26996</v>
      </c>
      <c r="AZ2751" s="3" t="s">
        <v>26997</v>
      </c>
      <c r="BA2751" s="3" t="s">
        <v>26997</v>
      </c>
      <c r="BB2751" s="3" t="s">
        <v>27001</v>
      </c>
      <c r="BC2751" s="3" t="s">
        <v>142</v>
      </c>
      <c r="BD2751" s="3" t="s">
        <v>68</v>
      </c>
      <c r="BE2751" s="3" t="s">
        <v>26999</v>
      </c>
      <c r="BF2751" s="3" t="s">
        <v>27001</v>
      </c>
      <c r="BG2751" s="3" t="s">
        <v>27002</v>
      </c>
    </row>
    <row r="2752" spans="1:59" ht="57" x14ac:dyDescent="0.45">
      <c r="A2752" s="2" t="s">
        <v>59</v>
      </c>
      <c r="B2752" s="2" t="s">
        <v>60</v>
      </c>
      <c r="C2752" s="2" t="s">
        <v>27003</v>
      </c>
      <c r="D2752" s="2" t="s">
        <v>27004</v>
      </c>
      <c r="E2752" s="2" t="s">
        <v>27005</v>
      </c>
      <c r="G2752" s="3" t="s">
        <v>62</v>
      </c>
      <c r="I2752" s="3" t="s">
        <v>62</v>
      </c>
      <c r="J2752" s="3" t="s">
        <v>62</v>
      </c>
      <c r="K2752" s="3" t="s">
        <v>63</v>
      </c>
      <c r="M2752" s="2" t="s">
        <v>27006</v>
      </c>
      <c r="N2752" s="3" t="s">
        <v>1465</v>
      </c>
      <c r="P2752" s="3" t="s">
        <v>65</v>
      </c>
      <c r="Q2752" s="2" t="s">
        <v>27007</v>
      </c>
      <c r="R2752" s="3" t="s">
        <v>66</v>
      </c>
      <c r="S2752" s="4">
        <v>2</v>
      </c>
      <c r="T2752" s="4">
        <v>2</v>
      </c>
      <c r="U2752" s="5" t="s">
        <v>4265</v>
      </c>
      <c r="V2752" s="5" t="s">
        <v>4265</v>
      </c>
      <c r="W2752" s="5" t="s">
        <v>67</v>
      </c>
      <c r="X2752" s="5" t="s">
        <v>67</v>
      </c>
      <c r="Y2752" s="4">
        <v>134</v>
      </c>
      <c r="Z2752" s="4">
        <v>14</v>
      </c>
      <c r="AA2752" s="4">
        <v>18</v>
      </c>
      <c r="AB2752" s="4">
        <v>2</v>
      </c>
      <c r="AC2752" s="4">
        <v>4</v>
      </c>
      <c r="AD2752" s="4">
        <v>59</v>
      </c>
      <c r="AE2752" s="4">
        <v>62</v>
      </c>
      <c r="AF2752" s="4">
        <v>0</v>
      </c>
      <c r="AG2752" s="4">
        <v>1</v>
      </c>
      <c r="AH2752" s="4">
        <v>53</v>
      </c>
      <c r="AI2752" s="4">
        <v>54</v>
      </c>
      <c r="AJ2752" s="4">
        <v>10</v>
      </c>
      <c r="AK2752" s="4">
        <v>11</v>
      </c>
      <c r="AL2752" s="4">
        <v>32</v>
      </c>
      <c r="AM2752" s="4">
        <v>33</v>
      </c>
      <c r="AN2752" s="4">
        <v>0</v>
      </c>
      <c r="AO2752" s="4">
        <v>0</v>
      </c>
      <c r="AP2752" s="4">
        <v>11</v>
      </c>
      <c r="AQ2752" s="4">
        <v>13</v>
      </c>
      <c r="AR2752" s="3" t="s">
        <v>62</v>
      </c>
      <c r="AS2752" s="3" t="s">
        <v>62</v>
      </c>
      <c r="AT2752" s="3" t="s">
        <v>62</v>
      </c>
      <c r="AV2752" s="6" t="str">
        <f>HYPERLINK("http://mcgill.on.worldcat.org/oclc/286472836","Catalog Record")</f>
        <v>Catalog Record</v>
      </c>
      <c r="AW2752" s="6" t="str">
        <f>HYPERLINK("http://www.worldcat.org/oclc/286472836","WorldCat Record")</f>
        <v>WorldCat Record</v>
      </c>
      <c r="AX2752" s="3" t="s">
        <v>27008</v>
      </c>
      <c r="AY2752" s="3" t="s">
        <v>27009</v>
      </c>
      <c r="AZ2752" s="3" t="s">
        <v>27010</v>
      </c>
      <c r="BA2752" s="3" t="s">
        <v>27010</v>
      </c>
      <c r="BB2752" s="3" t="s">
        <v>27011</v>
      </c>
      <c r="BC2752" s="3" t="s">
        <v>142</v>
      </c>
      <c r="BD2752" s="3" t="s">
        <v>68</v>
      </c>
      <c r="BE2752" s="3" t="s">
        <v>27012</v>
      </c>
      <c r="BF2752" s="3" t="s">
        <v>27011</v>
      </c>
      <c r="BG2752" s="3" t="s">
        <v>27013</v>
      </c>
    </row>
    <row r="2753" spans="1:59" ht="71.25" x14ac:dyDescent="0.45">
      <c r="A2753" s="2" t="s">
        <v>59</v>
      </c>
      <c r="B2753" s="2" t="s">
        <v>60</v>
      </c>
      <c r="C2753" s="2" t="s">
        <v>27014</v>
      </c>
      <c r="D2753" s="2" t="s">
        <v>27015</v>
      </c>
      <c r="E2753" s="2" t="s">
        <v>27016</v>
      </c>
      <c r="G2753" s="3" t="s">
        <v>62</v>
      </c>
      <c r="I2753" s="3" t="s">
        <v>62</v>
      </c>
      <c r="J2753" s="3" t="s">
        <v>62</v>
      </c>
      <c r="K2753" s="3" t="s">
        <v>63</v>
      </c>
      <c r="L2753" s="2" t="s">
        <v>27017</v>
      </c>
      <c r="M2753" s="2" t="s">
        <v>27018</v>
      </c>
      <c r="N2753" s="3" t="s">
        <v>1155</v>
      </c>
      <c r="O2753" s="2" t="s">
        <v>27019</v>
      </c>
      <c r="P2753" s="3" t="s">
        <v>65</v>
      </c>
      <c r="R2753" s="3" t="s">
        <v>66</v>
      </c>
      <c r="S2753" s="4">
        <v>7</v>
      </c>
      <c r="T2753" s="4">
        <v>7</v>
      </c>
      <c r="U2753" s="5" t="s">
        <v>27020</v>
      </c>
      <c r="V2753" s="5" t="s">
        <v>27020</v>
      </c>
      <c r="W2753" s="5" t="s">
        <v>67</v>
      </c>
      <c r="X2753" s="5" t="s">
        <v>67</v>
      </c>
      <c r="Y2753" s="4">
        <v>163</v>
      </c>
      <c r="Z2753" s="4">
        <v>12</v>
      </c>
      <c r="AA2753" s="4">
        <v>13</v>
      </c>
      <c r="AB2753" s="4">
        <v>1</v>
      </c>
      <c r="AC2753" s="4">
        <v>2</v>
      </c>
      <c r="AD2753" s="4">
        <v>29</v>
      </c>
      <c r="AE2753" s="4">
        <v>30</v>
      </c>
      <c r="AF2753" s="4">
        <v>0</v>
      </c>
      <c r="AG2753" s="4">
        <v>1</v>
      </c>
      <c r="AH2753" s="4">
        <v>26</v>
      </c>
      <c r="AI2753" s="4">
        <v>26</v>
      </c>
      <c r="AJ2753" s="4">
        <v>10</v>
      </c>
      <c r="AK2753" s="4">
        <v>11</v>
      </c>
      <c r="AL2753" s="4">
        <v>16</v>
      </c>
      <c r="AM2753" s="4">
        <v>16</v>
      </c>
      <c r="AN2753" s="4">
        <v>0</v>
      </c>
      <c r="AO2753" s="4">
        <v>0</v>
      </c>
      <c r="AP2753" s="4">
        <v>11</v>
      </c>
      <c r="AQ2753" s="4">
        <v>12</v>
      </c>
      <c r="AR2753" s="3" t="s">
        <v>62</v>
      </c>
      <c r="AS2753" s="3" t="s">
        <v>62</v>
      </c>
      <c r="AT2753" s="3" t="s">
        <v>62</v>
      </c>
      <c r="AV2753" s="6" t="str">
        <f>HYPERLINK("http://mcgill.on.worldcat.org/oclc/769546516","Catalog Record")</f>
        <v>Catalog Record</v>
      </c>
      <c r="AW2753" s="6" t="str">
        <f>HYPERLINK("http://www.worldcat.org/oclc/769546516","WorldCat Record")</f>
        <v>WorldCat Record</v>
      </c>
      <c r="AX2753" s="3" t="s">
        <v>27021</v>
      </c>
      <c r="AY2753" s="3" t="s">
        <v>27022</v>
      </c>
      <c r="AZ2753" s="3" t="s">
        <v>27023</v>
      </c>
      <c r="BA2753" s="3" t="s">
        <v>27023</v>
      </c>
      <c r="BB2753" s="3" t="s">
        <v>27024</v>
      </c>
      <c r="BC2753" s="3" t="s">
        <v>142</v>
      </c>
      <c r="BD2753" s="3" t="s">
        <v>68</v>
      </c>
      <c r="BE2753" s="3" t="s">
        <v>27025</v>
      </c>
      <c r="BF2753" s="3" t="s">
        <v>27024</v>
      </c>
      <c r="BG2753" s="3" t="s">
        <v>27026</v>
      </c>
    </row>
    <row r="2754" spans="1:59" ht="57" x14ac:dyDescent="0.45">
      <c r="A2754" s="2" t="s">
        <v>59</v>
      </c>
      <c r="B2754" s="2" t="s">
        <v>60</v>
      </c>
      <c r="C2754" s="2" t="s">
        <v>27027</v>
      </c>
      <c r="D2754" s="2" t="s">
        <v>27028</v>
      </c>
      <c r="E2754" s="2" t="s">
        <v>27029</v>
      </c>
      <c r="G2754" s="3" t="s">
        <v>62</v>
      </c>
      <c r="I2754" s="3" t="s">
        <v>62</v>
      </c>
      <c r="J2754" s="3" t="s">
        <v>62</v>
      </c>
      <c r="K2754" s="3" t="s">
        <v>63</v>
      </c>
      <c r="L2754" s="2" t="s">
        <v>27030</v>
      </c>
      <c r="M2754" s="2" t="s">
        <v>27031</v>
      </c>
      <c r="N2754" s="3" t="s">
        <v>149</v>
      </c>
      <c r="P2754" s="3" t="s">
        <v>65</v>
      </c>
      <c r="Q2754" s="2" t="s">
        <v>17318</v>
      </c>
      <c r="R2754" s="3" t="s">
        <v>66</v>
      </c>
      <c r="S2754" s="4">
        <v>3</v>
      </c>
      <c r="T2754" s="4">
        <v>3</v>
      </c>
      <c r="U2754" s="5" t="s">
        <v>27032</v>
      </c>
      <c r="V2754" s="5" t="s">
        <v>27032</v>
      </c>
      <c r="W2754" s="5" t="s">
        <v>67</v>
      </c>
      <c r="X2754" s="5" t="s">
        <v>67</v>
      </c>
      <c r="Y2754" s="4">
        <v>215</v>
      </c>
      <c r="Z2754" s="4">
        <v>18</v>
      </c>
      <c r="AA2754" s="4">
        <v>103</v>
      </c>
      <c r="AB2754" s="4">
        <v>2</v>
      </c>
      <c r="AC2754" s="4">
        <v>17</v>
      </c>
      <c r="AD2754" s="4">
        <v>61</v>
      </c>
      <c r="AE2754" s="4">
        <v>128</v>
      </c>
      <c r="AF2754" s="4">
        <v>1</v>
      </c>
      <c r="AG2754" s="4">
        <v>8</v>
      </c>
      <c r="AH2754" s="4">
        <v>54</v>
      </c>
      <c r="AI2754" s="4">
        <v>89</v>
      </c>
      <c r="AJ2754" s="4">
        <v>8</v>
      </c>
      <c r="AK2754" s="4">
        <v>23</v>
      </c>
      <c r="AL2754" s="4">
        <v>35</v>
      </c>
      <c r="AM2754" s="4">
        <v>50</v>
      </c>
      <c r="AN2754" s="4">
        <v>5</v>
      </c>
      <c r="AO2754" s="4">
        <v>5</v>
      </c>
      <c r="AP2754" s="4">
        <v>11</v>
      </c>
      <c r="AQ2754" s="4">
        <v>47</v>
      </c>
      <c r="AR2754" s="3" t="s">
        <v>62</v>
      </c>
      <c r="AS2754" s="3" t="s">
        <v>62</v>
      </c>
      <c r="AT2754" s="3" t="s">
        <v>61</v>
      </c>
      <c r="AU2754" s="6" t="str">
        <f>HYPERLINK("http://catalog.hathitrust.org/Record/007807444","HathiTrust Record")</f>
        <v>HathiTrust Record</v>
      </c>
      <c r="AV2754" s="6" t="str">
        <f>HYPERLINK("http://mcgill.on.worldcat.org/oclc/463648239","Catalog Record")</f>
        <v>Catalog Record</v>
      </c>
      <c r="AW2754" s="6" t="str">
        <f>HYPERLINK("http://www.worldcat.org/oclc/463648239","WorldCat Record")</f>
        <v>WorldCat Record</v>
      </c>
      <c r="AX2754" s="3" t="s">
        <v>27033</v>
      </c>
      <c r="AY2754" s="3" t="s">
        <v>27034</v>
      </c>
      <c r="AZ2754" s="3" t="s">
        <v>27035</v>
      </c>
      <c r="BA2754" s="3" t="s">
        <v>27035</v>
      </c>
      <c r="BB2754" s="3" t="s">
        <v>27036</v>
      </c>
      <c r="BC2754" s="3" t="s">
        <v>142</v>
      </c>
      <c r="BD2754" s="3" t="s">
        <v>68</v>
      </c>
      <c r="BE2754" s="3" t="s">
        <v>27037</v>
      </c>
      <c r="BF2754" s="3" t="s">
        <v>27036</v>
      </c>
      <c r="BG2754" s="3" t="s">
        <v>27038</v>
      </c>
    </row>
    <row r="2755" spans="1:59" ht="57" x14ac:dyDescent="0.45">
      <c r="A2755" s="2" t="s">
        <v>59</v>
      </c>
      <c r="B2755" s="2" t="s">
        <v>60</v>
      </c>
      <c r="C2755" s="2" t="s">
        <v>27039</v>
      </c>
      <c r="D2755" s="2" t="s">
        <v>27040</v>
      </c>
      <c r="E2755" s="2" t="s">
        <v>27041</v>
      </c>
      <c r="G2755" s="3" t="s">
        <v>62</v>
      </c>
      <c r="I2755" s="3" t="s">
        <v>62</v>
      </c>
      <c r="J2755" s="3" t="s">
        <v>62</v>
      </c>
      <c r="K2755" s="3" t="s">
        <v>63</v>
      </c>
      <c r="L2755" s="2" t="s">
        <v>27042</v>
      </c>
      <c r="M2755" s="2" t="s">
        <v>13194</v>
      </c>
      <c r="N2755" s="3" t="s">
        <v>894</v>
      </c>
      <c r="P2755" s="3" t="s">
        <v>65</v>
      </c>
      <c r="R2755" s="3" t="s">
        <v>66</v>
      </c>
      <c r="S2755" s="4">
        <v>0</v>
      </c>
      <c r="T2755" s="4">
        <v>0</v>
      </c>
      <c r="W2755" s="5" t="s">
        <v>67</v>
      </c>
      <c r="X2755" s="5" t="s">
        <v>67</v>
      </c>
      <c r="Y2755" s="4">
        <v>156</v>
      </c>
      <c r="Z2755" s="4">
        <v>22</v>
      </c>
      <c r="AA2755" s="4">
        <v>84</v>
      </c>
      <c r="AB2755" s="4">
        <v>1</v>
      </c>
      <c r="AC2755" s="4">
        <v>14</v>
      </c>
      <c r="AD2755" s="4">
        <v>72</v>
      </c>
      <c r="AE2755" s="4">
        <v>116</v>
      </c>
      <c r="AF2755" s="4">
        <v>0</v>
      </c>
      <c r="AG2755" s="4">
        <v>8</v>
      </c>
      <c r="AH2755" s="4">
        <v>64</v>
      </c>
      <c r="AI2755" s="4">
        <v>82</v>
      </c>
      <c r="AJ2755" s="4">
        <v>15</v>
      </c>
      <c r="AK2755" s="4">
        <v>24</v>
      </c>
      <c r="AL2755" s="4">
        <v>35</v>
      </c>
      <c r="AM2755" s="4">
        <v>42</v>
      </c>
      <c r="AN2755" s="4">
        <v>0</v>
      </c>
      <c r="AO2755" s="4">
        <v>0</v>
      </c>
      <c r="AP2755" s="4">
        <v>18</v>
      </c>
      <c r="AQ2755" s="4">
        <v>45</v>
      </c>
      <c r="AR2755" s="3" t="s">
        <v>62</v>
      </c>
      <c r="AS2755" s="3" t="s">
        <v>62</v>
      </c>
      <c r="AT2755" s="3" t="s">
        <v>62</v>
      </c>
      <c r="AV2755" s="6" t="str">
        <f>HYPERLINK("http://mcgill.on.worldcat.org/oclc/657602645","Catalog Record")</f>
        <v>Catalog Record</v>
      </c>
      <c r="AW2755" s="6" t="str">
        <f>HYPERLINK("http://www.worldcat.org/oclc/657602645","WorldCat Record")</f>
        <v>WorldCat Record</v>
      </c>
      <c r="AX2755" s="3" t="s">
        <v>27043</v>
      </c>
      <c r="AY2755" s="3" t="s">
        <v>27044</v>
      </c>
      <c r="AZ2755" s="3" t="s">
        <v>27045</v>
      </c>
      <c r="BA2755" s="3" t="s">
        <v>27045</v>
      </c>
      <c r="BB2755" s="3" t="s">
        <v>27046</v>
      </c>
      <c r="BC2755" s="3" t="s">
        <v>142</v>
      </c>
      <c r="BD2755" s="3" t="s">
        <v>68</v>
      </c>
      <c r="BE2755" s="3" t="s">
        <v>27047</v>
      </c>
      <c r="BF2755" s="3" t="s">
        <v>27046</v>
      </c>
      <c r="BG2755" s="3" t="s">
        <v>27048</v>
      </c>
    </row>
    <row r="2756" spans="1:59" ht="57" x14ac:dyDescent="0.45">
      <c r="A2756" s="2" t="s">
        <v>59</v>
      </c>
      <c r="B2756" s="2" t="s">
        <v>60</v>
      </c>
      <c r="C2756" s="2" t="s">
        <v>27049</v>
      </c>
      <c r="D2756" s="2" t="s">
        <v>27050</v>
      </c>
      <c r="E2756" s="2" t="s">
        <v>27051</v>
      </c>
      <c r="G2756" s="3" t="s">
        <v>62</v>
      </c>
      <c r="I2756" s="3" t="s">
        <v>62</v>
      </c>
      <c r="J2756" s="3" t="s">
        <v>62</v>
      </c>
      <c r="K2756" s="3" t="s">
        <v>63</v>
      </c>
      <c r="L2756" s="2" t="s">
        <v>25144</v>
      </c>
      <c r="M2756" s="2" t="s">
        <v>27052</v>
      </c>
      <c r="N2756" s="3" t="s">
        <v>1855</v>
      </c>
      <c r="O2756" s="2" t="s">
        <v>933</v>
      </c>
      <c r="P2756" s="3" t="s">
        <v>65</v>
      </c>
      <c r="R2756" s="3" t="s">
        <v>66</v>
      </c>
      <c r="S2756" s="4">
        <v>19</v>
      </c>
      <c r="T2756" s="4">
        <v>19</v>
      </c>
      <c r="U2756" s="5" t="s">
        <v>12354</v>
      </c>
      <c r="V2756" s="5" t="s">
        <v>12354</v>
      </c>
      <c r="W2756" s="5" t="s">
        <v>67</v>
      </c>
      <c r="X2756" s="5" t="s">
        <v>67</v>
      </c>
      <c r="Y2756" s="4">
        <v>230</v>
      </c>
      <c r="Z2756" s="4">
        <v>18</v>
      </c>
      <c r="AA2756" s="4">
        <v>60</v>
      </c>
      <c r="AB2756" s="4">
        <v>0</v>
      </c>
      <c r="AC2756" s="4">
        <v>6</v>
      </c>
      <c r="AD2756" s="4">
        <v>64</v>
      </c>
      <c r="AE2756" s="4">
        <v>111</v>
      </c>
      <c r="AF2756" s="4">
        <v>0</v>
      </c>
      <c r="AG2756" s="4">
        <v>5</v>
      </c>
      <c r="AH2756" s="4">
        <v>56</v>
      </c>
      <c r="AI2756" s="4">
        <v>85</v>
      </c>
      <c r="AJ2756" s="4">
        <v>11</v>
      </c>
      <c r="AK2756" s="4">
        <v>25</v>
      </c>
      <c r="AL2756" s="4">
        <v>27</v>
      </c>
      <c r="AM2756" s="4">
        <v>41</v>
      </c>
      <c r="AN2756" s="4">
        <v>0</v>
      </c>
      <c r="AO2756" s="4">
        <v>0</v>
      </c>
      <c r="AP2756" s="4">
        <v>14</v>
      </c>
      <c r="AQ2756" s="4">
        <v>35</v>
      </c>
      <c r="AR2756" s="3" t="s">
        <v>62</v>
      </c>
      <c r="AS2756" s="3" t="s">
        <v>62</v>
      </c>
      <c r="AT2756" s="3" t="s">
        <v>62</v>
      </c>
      <c r="AV2756" s="6" t="str">
        <f>HYPERLINK("http://mcgill.on.worldcat.org/oclc/56912751","Catalog Record")</f>
        <v>Catalog Record</v>
      </c>
      <c r="AW2756" s="6" t="str">
        <f>HYPERLINK("http://www.worldcat.org/oclc/56912751","WorldCat Record")</f>
        <v>WorldCat Record</v>
      </c>
      <c r="AX2756" s="3" t="s">
        <v>27053</v>
      </c>
      <c r="AY2756" s="3" t="s">
        <v>27054</v>
      </c>
      <c r="AZ2756" s="3" t="s">
        <v>27055</v>
      </c>
      <c r="BA2756" s="3" t="s">
        <v>27055</v>
      </c>
      <c r="BB2756" s="3" t="s">
        <v>27056</v>
      </c>
      <c r="BC2756" s="3" t="s">
        <v>142</v>
      </c>
      <c r="BD2756" s="3" t="s">
        <v>308</v>
      </c>
      <c r="BE2756" s="3" t="s">
        <v>27057</v>
      </c>
      <c r="BF2756" s="3" t="s">
        <v>27056</v>
      </c>
      <c r="BG2756" s="3" t="s">
        <v>27058</v>
      </c>
    </row>
    <row r="2757" spans="1:59" ht="57" x14ac:dyDescent="0.45">
      <c r="A2757" s="2" t="s">
        <v>59</v>
      </c>
      <c r="B2757" s="2" t="s">
        <v>60</v>
      </c>
      <c r="C2757" s="2" t="s">
        <v>27059</v>
      </c>
      <c r="D2757" s="2" t="s">
        <v>27060</v>
      </c>
      <c r="E2757" s="2" t="s">
        <v>27061</v>
      </c>
      <c r="G2757" s="3" t="s">
        <v>62</v>
      </c>
      <c r="I2757" s="3" t="s">
        <v>62</v>
      </c>
      <c r="J2757" s="3" t="s">
        <v>62</v>
      </c>
      <c r="K2757" s="3" t="s">
        <v>63</v>
      </c>
      <c r="M2757" s="2" t="s">
        <v>12999</v>
      </c>
      <c r="N2757" s="3" t="s">
        <v>116</v>
      </c>
      <c r="P2757" s="3" t="s">
        <v>65</v>
      </c>
      <c r="Q2757" s="2" t="s">
        <v>27062</v>
      </c>
      <c r="R2757" s="3" t="s">
        <v>66</v>
      </c>
      <c r="S2757" s="4">
        <v>3</v>
      </c>
      <c r="T2757" s="4">
        <v>3</v>
      </c>
      <c r="U2757" s="5" t="s">
        <v>27063</v>
      </c>
      <c r="V2757" s="5" t="s">
        <v>27063</v>
      </c>
      <c r="W2757" s="5" t="s">
        <v>67</v>
      </c>
      <c r="X2757" s="5" t="s">
        <v>67</v>
      </c>
      <c r="Y2757" s="4">
        <v>150</v>
      </c>
      <c r="Z2757" s="4">
        <v>17</v>
      </c>
      <c r="AA2757" s="4">
        <v>26</v>
      </c>
      <c r="AB2757" s="4">
        <v>1</v>
      </c>
      <c r="AC2757" s="4">
        <v>6</v>
      </c>
      <c r="AD2757" s="4">
        <v>59</v>
      </c>
      <c r="AE2757" s="4">
        <v>73</v>
      </c>
      <c r="AF2757" s="4">
        <v>0</v>
      </c>
      <c r="AG2757" s="4">
        <v>2</v>
      </c>
      <c r="AH2757" s="4">
        <v>55</v>
      </c>
      <c r="AI2757" s="4">
        <v>66</v>
      </c>
      <c r="AJ2757" s="4">
        <v>11</v>
      </c>
      <c r="AK2757" s="4">
        <v>15</v>
      </c>
      <c r="AL2757" s="4">
        <v>30</v>
      </c>
      <c r="AM2757" s="4">
        <v>37</v>
      </c>
      <c r="AN2757" s="4">
        <v>0</v>
      </c>
      <c r="AO2757" s="4">
        <v>0</v>
      </c>
      <c r="AP2757" s="4">
        <v>12</v>
      </c>
      <c r="AQ2757" s="4">
        <v>16</v>
      </c>
      <c r="AR2757" s="3" t="s">
        <v>62</v>
      </c>
      <c r="AS2757" s="3" t="s">
        <v>62</v>
      </c>
      <c r="AT2757" s="3" t="s">
        <v>62</v>
      </c>
      <c r="AV2757" s="6" t="str">
        <f>HYPERLINK("http://mcgill.on.worldcat.org/oclc/759915218","Catalog Record")</f>
        <v>Catalog Record</v>
      </c>
      <c r="AW2757" s="6" t="str">
        <f>HYPERLINK("http://www.worldcat.org/oclc/759915218","WorldCat Record")</f>
        <v>WorldCat Record</v>
      </c>
      <c r="AX2757" s="3" t="s">
        <v>27064</v>
      </c>
      <c r="AY2757" s="3" t="s">
        <v>27065</v>
      </c>
      <c r="AZ2757" s="3" t="s">
        <v>27066</v>
      </c>
      <c r="BA2757" s="3" t="s">
        <v>27066</v>
      </c>
      <c r="BB2757" s="3" t="s">
        <v>27067</v>
      </c>
      <c r="BC2757" s="3" t="s">
        <v>142</v>
      </c>
      <c r="BD2757" s="3" t="s">
        <v>68</v>
      </c>
      <c r="BE2757" s="3" t="s">
        <v>27068</v>
      </c>
      <c r="BF2757" s="3" t="s">
        <v>27067</v>
      </c>
      <c r="BG2757" s="3" t="s">
        <v>27069</v>
      </c>
    </row>
    <row r="2758" spans="1:59" ht="57" x14ac:dyDescent="0.45">
      <c r="A2758" s="2" t="s">
        <v>59</v>
      </c>
      <c r="B2758" s="2" t="s">
        <v>60</v>
      </c>
      <c r="C2758" s="2" t="s">
        <v>27070</v>
      </c>
      <c r="D2758" s="2" t="s">
        <v>27071</v>
      </c>
      <c r="E2758" s="2" t="s">
        <v>27072</v>
      </c>
      <c r="G2758" s="3" t="s">
        <v>62</v>
      </c>
      <c r="I2758" s="3" t="s">
        <v>62</v>
      </c>
      <c r="J2758" s="3" t="s">
        <v>62</v>
      </c>
      <c r="K2758" s="3" t="s">
        <v>63</v>
      </c>
      <c r="L2758" s="2" t="s">
        <v>27073</v>
      </c>
      <c r="M2758" s="2" t="s">
        <v>9889</v>
      </c>
      <c r="N2758" s="3" t="s">
        <v>1465</v>
      </c>
      <c r="P2758" s="3" t="s">
        <v>65</v>
      </c>
      <c r="R2758" s="3" t="s">
        <v>66</v>
      </c>
      <c r="S2758" s="4">
        <v>14</v>
      </c>
      <c r="T2758" s="4">
        <v>14</v>
      </c>
      <c r="U2758" s="5" t="s">
        <v>9625</v>
      </c>
      <c r="V2758" s="5" t="s">
        <v>9625</v>
      </c>
      <c r="W2758" s="5" t="s">
        <v>67</v>
      </c>
      <c r="X2758" s="5" t="s">
        <v>67</v>
      </c>
      <c r="Y2758" s="4">
        <v>295</v>
      </c>
      <c r="Z2758" s="4">
        <v>25</v>
      </c>
      <c r="AA2758" s="4">
        <v>28</v>
      </c>
      <c r="AB2758" s="4">
        <v>2</v>
      </c>
      <c r="AC2758" s="4">
        <v>5</v>
      </c>
      <c r="AD2758" s="4">
        <v>92</v>
      </c>
      <c r="AE2758" s="4">
        <v>95</v>
      </c>
      <c r="AF2758" s="4">
        <v>1</v>
      </c>
      <c r="AG2758" s="4">
        <v>4</v>
      </c>
      <c r="AH2758" s="4">
        <v>82</v>
      </c>
      <c r="AI2758" s="4">
        <v>82</v>
      </c>
      <c r="AJ2758" s="4">
        <v>14</v>
      </c>
      <c r="AK2758" s="4">
        <v>17</v>
      </c>
      <c r="AL2758" s="4">
        <v>45</v>
      </c>
      <c r="AM2758" s="4">
        <v>45</v>
      </c>
      <c r="AN2758" s="4">
        <v>0</v>
      </c>
      <c r="AO2758" s="4">
        <v>0</v>
      </c>
      <c r="AP2758" s="4">
        <v>18</v>
      </c>
      <c r="AQ2758" s="4">
        <v>20</v>
      </c>
      <c r="AR2758" s="3" t="s">
        <v>62</v>
      </c>
      <c r="AS2758" s="3" t="s">
        <v>62</v>
      </c>
      <c r="AT2758" s="3" t="s">
        <v>62</v>
      </c>
      <c r="AV2758" s="6" t="str">
        <f>HYPERLINK("http://mcgill.on.worldcat.org/oclc/245598422","Catalog Record")</f>
        <v>Catalog Record</v>
      </c>
      <c r="AW2758" s="6" t="str">
        <f>HYPERLINK("http://www.worldcat.org/oclc/245598422","WorldCat Record")</f>
        <v>WorldCat Record</v>
      </c>
      <c r="AX2758" s="3" t="s">
        <v>27074</v>
      </c>
      <c r="AY2758" s="3" t="s">
        <v>27075</v>
      </c>
      <c r="AZ2758" s="3" t="s">
        <v>27076</v>
      </c>
      <c r="BA2758" s="3" t="s">
        <v>27076</v>
      </c>
      <c r="BB2758" s="3" t="s">
        <v>27077</v>
      </c>
      <c r="BC2758" s="3" t="s">
        <v>142</v>
      </c>
      <c r="BD2758" s="3" t="s">
        <v>68</v>
      </c>
      <c r="BE2758" s="3" t="s">
        <v>27078</v>
      </c>
      <c r="BF2758" s="3" t="s">
        <v>27077</v>
      </c>
      <c r="BG2758" s="3" t="s">
        <v>27079</v>
      </c>
    </row>
    <row r="2759" spans="1:59" ht="57" x14ac:dyDescent="0.45">
      <c r="A2759" s="2" t="s">
        <v>59</v>
      </c>
      <c r="B2759" s="2" t="s">
        <v>60</v>
      </c>
      <c r="C2759" s="2" t="s">
        <v>27080</v>
      </c>
      <c r="D2759" s="2" t="s">
        <v>27081</v>
      </c>
      <c r="E2759" s="2" t="s">
        <v>27082</v>
      </c>
      <c r="G2759" s="3" t="s">
        <v>62</v>
      </c>
      <c r="I2759" s="3" t="s">
        <v>62</v>
      </c>
      <c r="J2759" s="3" t="s">
        <v>62</v>
      </c>
      <c r="K2759" s="3" t="s">
        <v>63</v>
      </c>
      <c r="L2759" s="2" t="s">
        <v>12952</v>
      </c>
      <c r="M2759" s="2" t="s">
        <v>27083</v>
      </c>
      <c r="N2759" s="3" t="s">
        <v>1688</v>
      </c>
      <c r="P2759" s="3" t="s">
        <v>65</v>
      </c>
      <c r="Q2759" s="2" t="s">
        <v>27084</v>
      </c>
      <c r="R2759" s="3" t="s">
        <v>66</v>
      </c>
      <c r="S2759" s="4">
        <v>14</v>
      </c>
      <c r="T2759" s="4">
        <v>14</v>
      </c>
      <c r="U2759" s="5" t="s">
        <v>1099</v>
      </c>
      <c r="V2759" s="5" t="s">
        <v>1099</v>
      </c>
      <c r="W2759" s="5" t="s">
        <v>67</v>
      </c>
      <c r="X2759" s="5" t="s">
        <v>67</v>
      </c>
      <c r="Y2759" s="4">
        <v>545</v>
      </c>
      <c r="Z2759" s="4">
        <v>27</v>
      </c>
      <c r="AA2759" s="4">
        <v>77</v>
      </c>
      <c r="AB2759" s="4">
        <v>4</v>
      </c>
      <c r="AC2759" s="4">
        <v>17</v>
      </c>
      <c r="AD2759" s="4">
        <v>96</v>
      </c>
      <c r="AE2759" s="4">
        <v>130</v>
      </c>
      <c r="AF2759" s="4">
        <v>2</v>
      </c>
      <c r="AG2759" s="4">
        <v>8</v>
      </c>
      <c r="AH2759" s="4">
        <v>82</v>
      </c>
      <c r="AI2759" s="4">
        <v>98</v>
      </c>
      <c r="AJ2759" s="4">
        <v>11</v>
      </c>
      <c r="AK2759" s="4">
        <v>26</v>
      </c>
      <c r="AL2759" s="4">
        <v>46</v>
      </c>
      <c r="AM2759" s="4">
        <v>55</v>
      </c>
      <c r="AN2759" s="4">
        <v>0</v>
      </c>
      <c r="AO2759" s="4">
        <v>0</v>
      </c>
      <c r="AP2759" s="4">
        <v>19</v>
      </c>
      <c r="AQ2759" s="4">
        <v>39</v>
      </c>
      <c r="AR2759" s="3" t="s">
        <v>62</v>
      </c>
      <c r="AS2759" s="3" t="s">
        <v>62</v>
      </c>
      <c r="AT2759" s="3" t="s">
        <v>62</v>
      </c>
      <c r="AV2759" s="6" t="str">
        <f>HYPERLINK("http://mcgill.on.worldcat.org/oclc/854906247","Catalog Record")</f>
        <v>Catalog Record</v>
      </c>
      <c r="AW2759" s="6" t="str">
        <f>HYPERLINK("http://www.worldcat.org/oclc/854906247","WorldCat Record")</f>
        <v>WorldCat Record</v>
      </c>
      <c r="AX2759" s="3" t="s">
        <v>27085</v>
      </c>
      <c r="AY2759" s="3" t="s">
        <v>27086</v>
      </c>
      <c r="AZ2759" s="3" t="s">
        <v>27087</v>
      </c>
      <c r="BA2759" s="3" t="s">
        <v>27087</v>
      </c>
      <c r="BB2759" s="3" t="s">
        <v>27088</v>
      </c>
      <c r="BC2759" s="3" t="s">
        <v>142</v>
      </c>
      <c r="BD2759" s="3" t="s">
        <v>1003</v>
      </c>
      <c r="BE2759" s="3" t="s">
        <v>27089</v>
      </c>
      <c r="BF2759" s="3" t="s">
        <v>27088</v>
      </c>
      <c r="BG2759" s="3" t="s">
        <v>27090</v>
      </c>
    </row>
    <row r="2760" spans="1:59" ht="57" x14ac:dyDescent="0.45">
      <c r="A2760" s="2" t="s">
        <v>59</v>
      </c>
      <c r="B2760" s="2" t="s">
        <v>60</v>
      </c>
      <c r="C2760" s="2" t="s">
        <v>27091</v>
      </c>
      <c r="D2760" s="2" t="s">
        <v>27092</v>
      </c>
      <c r="E2760" s="2" t="s">
        <v>27093</v>
      </c>
      <c r="G2760" s="3" t="s">
        <v>62</v>
      </c>
      <c r="I2760" s="3" t="s">
        <v>62</v>
      </c>
      <c r="J2760" s="3" t="s">
        <v>62</v>
      </c>
      <c r="K2760" s="3" t="s">
        <v>63</v>
      </c>
      <c r="L2760" s="2" t="s">
        <v>27094</v>
      </c>
      <c r="M2760" s="2" t="s">
        <v>27095</v>
      </c>
      <c r="N2760" s="3" t="s">
        <v>1155</v>
      </c>
      <c r="P2760" s="3" t="s">
        <v>65</v>
      </c>
      <c r="Q2760" s="2" t="s">
        <v>19912</v>
      </c>
      <c r="R2760" s="3" t="s">
        <v>66</v>
      </c>
      <c r="S2760" s="4">
        <v>0</v>
      </c>
      <c r="T2760" s="4">
        <v>0</v>
      </c>
      <c r="W2760" s="5" t="s">
        <v>67</v>
      </c>
      <c r="X2760" s="5" t="s">
        <v>67</v>
      </c>
      <c r="Y2760" s="4">
        <v>38</v>
      </c>
      <c r="Z2760" s="4">
        <v>1</v>
      </c>
      <c r="AA2760" s="4">
        <v>26</v>
      </c>
      <c r="AB2760" s="4">
        <v>1</v>
      </c>
      <c r="AC2760" s="4">
        <v>4</v>
      </c>
      <c r="AD2760" s="4">
        <v>4</v>
      </c>
      <c r="AE2760" s="4">
        <v>79</v>
      </c>
      <c r="AF2760" s="4">
        <v>0</v>
      </c>
      <c r="AG2760" s="4">
        <v>1</v>
      </c>
      <c r="AH2760" s="4">
        <v>4</v>
      </c>
      <c r="AI2760" s="4">
        <v>71</v>
      </c>
      <c r="AJ2760" s="4">
        <v>0</v>
      </c>
      <c r="AK2760" s="4">
        <v>14</v>
      </c>
      <c r="AL2760" s="4">
        <v>3</v>
      </c>
      <c r="AM2760" s="4">
        <v>37</v>
      </c>
      <c r="AN2760" s="4">
        <v>0</v>
      </c>
      <c r="AO2760" s="4">
        <v>0</v>
      </c>
      <c r="AP2760" s="4">
        <v>0</v>
      </c>
      <c r="AQ2760" s="4">
        <v>16</v>
      </c>
      <c r="AR2760" s="3" t="s">
        <v>62</v>
      </c>
      <c r="AS2760" s="3" t="s">
        <v>62</v>
      </c>
      <c r="AT2760" s="3" t="s">
        <v>62</v>
      </c>
      <c r="AV2760" s="6" t="str">
        <f>HYPERLINK("http://mcgill.on.worldcat.org/oclc/795337461","Catalog Record")</f>
        <v>Catalog Record</v>
      </c>
      <c r="AW2760" s="6" t="str">
        <f>HYPERLINK("http://www.worldcat.org/oclc/795337461","WorldCat Record")</f>
        <v>WorldCat Record</v>
      </c>
      <c r="AX2760" s="3" t="s">
        <v>27096</v>
      </c>
      <c r="AY2760" s="3" t="s">
        <v>27097</v>
      </c>
      <c r="AZ2760" s="3" t="s">
        <v>27098</v>
      </c>
      <c r="BA2760" s="3" t="s">
        <v>27098</v>
      </c>
      <c r="BB2760" s="3" t="s">
        <v>27099</v>
      </c>
      <c r="BC2760" s="3" t="s">
        <v>142</v>
      </c>
      <c r="BD2760" s="3" t="s">
        <v>68</v>
      </c>
      <c r="BE2760" s="3" t="s">
        <v>27100</v>
      </c>
      <c r="BF2760" s="3" t="s">
        <v>27099</v>
      </c>
      <c r="BG2760" s="3" t="s">
        <v>27101</v>
      </c>
    </row>
    <row r="2761" spans="1:59" ht="57" x14ac:dyDescent="0.45">
      <c r="A2761" s="2" t="s">
        <v>59</v>
      </c>
      <c r="B2761" s="2" t="s">
        <v>60</v>
      </c>
      <c r="C2761" s="2" t="s">
        <v>27102</v>
      </c>
      <c r="D2761" s="2" t="s">
        <v>27103</v>
      </c>
      <c r="E2761" s="2" t="s">
        <v>27104</v>
      </c>
      <c r="G2761" s="3" t="s">
        <v>62</v>
      </c>
      <c r="I2761" s="3" t="s">
        <v>62</v>
      </c>
      <c r="J2761" s="3" t="s">
        <v>62</v>
      </c>
      <c r="K2761" s="3" t="s">
        <v>63</v>
      </c>
      <c r="L2761" s="2" t="s">
        <v>27105</v>
      </c>
      <c r="M2761" s="2" t="s">
        <v>18217</v>
      </c>
      <c r="N2761" s="3" t="s">
        <v>116</v>
      </c>
      <c r="P2761" s="3" t="s">
        <v>65</v>
      </c>
      <c r="R2761" s="3" t="s">
        <v>66</v>
      </c>
      <c r="S2761" s="4">
        <v>3</v>
      </c>
      <c r="T2761" s="4">
        <v>3</v>
      </c>
      <c r="U2761" s="5" t="s">
        <v>19869</v>
      </c>
      <c r="V2761" s="5" t="s">
        <v>19869</v>
      </c>
      <c r="W2761" s="5" t="s">
        <v>67</v>
      </c>
      <c r="X2761" s="5" t="s">
        <v>67</v>
      </c>
      <c r="Y2761" s="4">
        <v>132</v>
      </c>
      <c r="Z2761" s="4">
        <v>15</v>
      </c>
      <c r="AA2761" s="4">
        <v>16</v>
      </c>
      <c r="AB2761" s="4">
        <v>1</v>
      </c>
      <c r="AC2761" s="4">
        <v>2</v>
      </c>
      <c r="AD2761" s="4">
        <v>49</v>
      </c>
      <c r="AE2761" s="4">
        <v>50</v>
      </c>
      <c r="AF2761" s="4">
        <v>0</v>
      </c>
      <c r="AG2761" s="4">
        <v>1</v>
      </c>
      <c r="AH2761" s="4">
        <v>43</v>
      </c>
      <c r="AI2761" s="4">
        <v>44</v>
      </c>
      <c r="AJ2761" s="4">
        <v>9</v>
      </c>
      <c r="AK2761" s="4">
        <v>10</v>
      </c>
      <c r="AL2761" s="4">
        <v>23</v>
      </c>
      <c r="AM2761" s="4">
        <v>23</v>
      </c>
      <c r="AN2761" s="4">
        <v>0</v>
      </c>
      <c r="AO2761" s="4">
        <v>0</v>
      </c>
      <c r="AP2761" s="4">
        <v>12</v>
      </c>
      <c r="AQ2761" s="4">
        <v>13</v>
      </c>
      <c r="AR2761" s="3" t="s">
        <v>62</v>
      </c>
      <c r="AS2761" s="3" t="s">
        <v>62</v>
      </c>
      <c r="AT2761" s="3" t="s">
        <v>62</v>
      </c>
      <c r="AV2761" s="6" t="str">
        <f>HYPERLINK("http://mcgill.on.worldcat.org/oclc/802103122","Catalog Record")</f>
        <v>Catalog Record</v>
      </c>
      <c r="AW2761" s="6" t="str">
        <f>HYPERLINK("http://www.worldcat.org/oclc/802103122","WorldCat Record")</f>
        <v>WorldCat Record</v>
      </c>
      <c r="AX2761" s="3" t="s">
        <v>27106</v>
      </c>
      <c r="AY2761" s="3" t="s">
        <v>27107</v>
      </c>
      <c r="AZ2761" s="3" t="s">
        <v>27108</v>
      </c>
      <c r="BA2761" s="3" t="s">
        <v>27108</v>
      </c>
      <c r="BB2761" s="3" t="s">
        <v>27109</v>
      </c>
      <c r="BC2761" s="3" t="s">
        <v>142</v>
      </c>
      <c r="BD2761" s="3" t="s">
        <v>68</v>
      </c>
      <c r="BE2761" s="3" t="s">
        <v>27110</v>
      </c>
      <c r="BF2761" s="3" t="s">
        <v>27109</v>
      </c>
      <c r="BG2761" s="3" t="s">
        <v>27111</v>
      </c>
    </row>
    <row r="2762" spans="1:59" ht="57" x14ac:dyDescent="0.45">
      <c r="A2762" s="2" t="s">
        <v>13313</v>
      </c>
      <c r="B2762" s="2" t="s">
        <v>60</v>
      </c>
      <c r="C2762" s="2" t="s">
        <v>27112</v>
      </c>
      <c r="D2762" s="2" t="s">
        <v>27113</v>
      </c>
      <c r="E2762" s="2" t="s">
        <v>27114</v>
      </c>
      <c r="G2762" s="3" t="s">
        <v>62</v>
      </c>
      <c r="I2762" s="3" t="s">
        <v>62</v>
      </c>
      <c r="J2762" s="3" t="s">
        <v>62</v>
      </c>
      <c r="K2762" s="3" t="s">
        <v>63</v>
      </c>
      <c r="L2762" s="2" t="s">
        <v>27115</v>
      </c>
      <c r="M2762" s="2" t="s">
        <v>27116</v>
      </c>
      <c r="N2762" s="3" t="s">
        <v>1097</v>
      </c>
      <c r="O2762" s="2" t="s">
        <v>27117</v>
      </c>
      <c r="P2762" s="3" t="s">
        <v>65</v>
      </c>
      <c r="Q2762" s="2" t="s">
        <v>27118</v>
      </c>
      <c r="R2762" s="3" t="s">
        <v>66</v>
      </c>
      <c r="S2762" s="4">
        <v>3</v>
      </c>
      <c r="T2762" s="4">
        <v>3</v>
      </c>
      <c r="U2762" s="5" t="s">
        <v>2753</v>
      </c>
      <c r="V2762" s="5" t="s">
        <v>2753</v>
      </c>
      <c r="W2762" s="5" t="s">
        <v>67</v>
      </c>
      <c r="X2762" s="5" t="s">
        <v>67</v>
      </c>
      <c r="Y2762" s="4">
        <v>192</v>
      </c>
      <c r="Z2762" s="4">
        <v>13</v>
      </c>
      <c r="AA2762" s="4">
        <v>38</v>
      </c>
      <c r="AB2762" s="4">
        <v>2</v>
      </c>
      <c r="AC2762" s="4">
        <v>7</v>
      </c>
      <c r="AD2762" s="4">
        <v>73</v>
      </c>
      <c r="AE2762" s="4">
        <v>88</v>
      </c>
      <c r="AF2762" s="4">
        <v>1</v>
      </c>
      <c r="AG2762" s="4">
        <v>1</v>
      </c>
      <c r="AH2762" s="4">
        <v>67</v>
      </c>
      <c r="AI2762" s="4">
        <v>77</v>
      </c>
      <c r="AJ2762" s="4">
        <v>7</v>
      </c>
      <c r="AK2762" s="4">
        <v>12</v>
      </c>
      <c r="AL2762" s="4">
        <v>41</v>
      </c>
      <c r="AM2762" s="4">
        <v>44</v>
      </c>
      <c r="AN2762" s="4">
        <v>0</v>
      </c>
      <c r="AO2762" s="4">
        <v>0</v>
      </c>
      <c r="AP2762" s="4">
        <v>9</v>
      </c>
      <c r="AQ2762" s="4">
        <v>17</v>
      </c>
      <c r="AR2762" s="3" t="s">
        <v>62</v>
      </c>
      <c r="AS2762" s="3" t="s">
        <v>62</v>
      </c>
      <c r="AT2762" s="3" t="s">
        <v>61</v>
      </c>
      <c r="AU2762" s="6" t="str">
        <f>HYPERLINK("http://catalog.hathitrust.org/Record/004913914","HathiTrust Record")</f>
        <v>HathiTrust Record</v>
      </c>
      <c r="AV2762" s="6" t="str">
        <f>HYPERLINK("http://mcgill.on.worldcat.org/oclc/56456129","Catalog Record")</f>
        <v>Catalog Record</v>
      </c>
      <c r="AW2762" s="6" t="str">
        <f>HYPERLINK("http://www.worldcat.org/oclc/56456129","WorldCat Record")</f>
        <v>WorldCat Record</v>
      </c>
      <c r="AX2762" s="3" t="s">
        <v>27119</v>
      </c>
      <c r="AY2762" s="3" t="s">
        <v>27120</v>
      </c>
      <c r="AZ2762" s="3" t="s">
        <v>27121</v>
      </c>
      <c r="BA2762" s="3" t="s">
        <v>27121</v>
      </c>
      <c r="BB2762" s="3" t="s">
        <v>27122</v>
      </c>
      <c r="BC2762" s="3" t="s">
        <v>142</v>
      </c>
      <c r="BD2762" s="3" t="s">
        <v>68</v>
      </c>
      <c r="BE2762" s="3" t="s">
        <v>27123</v>
      </c>
      <c r="BF2762" s="3" t="s">
        <v>27122</v>
      </c>
      <c r="BG2762" s="3" t="s">
        <v>27124</v>
      </c>
    </row>
    <row r="2763" spans="1:59" ht="57" x14ac:dyDescent="0.45">
      <c r="A2763" s="2" t="s">
        <v>59</v>
      </c>
      <c r="B2763" s="2" t="s">
        <v>60</v>
      </c>
      <c r="C2763" s="2" t="s">
        <v>27125</v>
      </c>
      <c r="D2763" s="2" t="s">
        <v>27126</v>
      </c>
      <c r="E2763" s="2" t="s">
        <v>27127</v>
      </c>
      <c r="G2763" s="3" t="s">
        <v>62</v>
      </c>
      <c r="I2763" s="3" t="s">
        <v>62</v>
      </c>
      <c r="J2763" s="3" t="s">
        <v>61</v>
      </c>
      <c r="K2763" s="3" t="s">
        <v>63</v>
      </c>
      <c r="M2763" s="2" t="s">
        <v>27128</v>
      </c>
      <c r="N2763" s="3" t="s">
        <v>1059</v>
      </c>
      <c r="O2763" s="2" t="s">
        <v>27129</v>
      </c>
      <c r="P2763" s="3" t="s">
        <v>65</v>
      </c>
      <c r="R2763" s="3" t="s">
        <v>66</v>
      </c>
      <c r="S2763" s="4">
        <v>23</v>
      </c>
      <c r="T2763" s="4">
        <v>23</v>
      </c>
      <c r="U2763" s="5" t="s">
        <v>27130</v>
      </c>
      <c r="V2763" s="5" t="s">
        <v>27130</v>
      </c>
      <c r="W2763" s="5" t="s">
        <v>67</v>
      </c>
      <c r="X2763" s="5" t="s">
        <v>67</v>
      </c>
      <c r="Y2763" s="4">
        <v>380</v>
      </c>
      <c r="Z2763" s="4">
        <v>23</v>
      </c>
      <c r="AA2763" s="4">
        <v>55</v>
      </c>
      <c r="AB2763" s="4">
        <v>2</v>
      </c>
      <c r="AC2763" s="4">
        <v>10</v>
      </c>
      <c r="AD2763" s="4">
        <v>87</v>
      </c>
      <c r="AE2763" s="4">
        <v>125</v>
      </c>
      <c r="AF2763" s="4">
        <v>1</v>
      </c>
      <c r="AG2763" s="4">
        <v>5</v>
      </c>
      <c r="AH2763" s="4">
        <v>80</v>
      </c>
      <c r="AI2763" s="4">
        <v>103</v>
      </c>
      <c r="AJ2763" s="4">
        <v>13</v>
      </c>
      <c r="AK2763" s="4">
        <v>24</v>
      </c>
      <c r="AL2763" s="4">
        <v>42</v>
      </c>
      <c r="AM2763" s="4">
        <v>53</v>
      </c>
      <c r="AN2763" s="4">
        <v>0</v>
      </c>
      <c r="AO2763" s="4">
        <v>0</v>
      </c>
      <c r="AP2763" s="4">
        <v>15</v>
      </c>
      <c r="AQ2763" s="4">
        <v>32</v>
      </c>
      <c r="AR2763" s="3" t="s">
        <v>62</v>
      </c>
      <c r="AS2763" s="3" t="s">
        <v>62</v>
      </c>
      <c r="AT2763" s="3" t="s">
        <v>62</v>
      </c>
      <c r="AV2763" s="6" t="str">
        <f>HYPERLINK("http://mcgill.on.worldcat.org/oclc/61879125","Catalog Record")</f>
        <v>Catalog Record</v>
      </c>
      <c r="AW2763" s="6" t="str">
        <f>HYPERLINK("http://www.worldcat.org/oclc/61879125","WorldCat Record")</f>
        <v>WorldCat Record</v>
      </c>
      <c r="AX2763" s="3" t="s">
        <v>27131</v>
      </c>
      <c r="AY2763" s="3" t="s">
        <v>27132</v>
      </c>
      <c r="AZ2763" s="3" t="s">
        <v>27133</v>
      </c>
      <c r="BA2763" s="3" t="s">
        <v>27133</v>
      </c>
      <c r="BB2763" s="3" t="s">
        <v>27134</v>
      </c>
      <c r="BC2763" s="3" t="s">
        <v>142</v>
      </c>
      <c r="BD2763" s="3" t="s">
        <v>68</v>
      </c>
      <c r="BE2763" s="3" t="s">
        <v>27135</v>
      </c>
      <c r="BF2763" s="3" t="s">
        <v>27134</v>
      </c>
      <c r="BG2763" s="3" t="s">
        <v>27136</v>
      </c>
    </row>
    <row r="2764" spans="1:59" ht="57" x14ac:dyDescent="0.45">
      <c r="A2764" s="2" t="s">
        <v>59</v>
      </c>
      <c r="B2764" s="2" t="s">
        <v>60</v>
      </c>
      <c r="C2764" s="2" t="s">
        <v>27137</v>
      </c>
      <c r="D2764" s="2" t="s">
        <v>27138</v>
      </c>
      <c r="E2764" s="2" t="s">
        <v>27139</v>
      </c>
      <c r="G2764" s="3" t="s">
        <v>62</v>
      </c>
      <c r="I2764" s="3" t="s">
        <v>62</v>
      </c>
      <c r="J2764" s="3" t="s">
        <v>62</v>
      </c>
      <c r="K2764" s="3" t="s">
        <v>63</v>
      </c>
      <c r="L2764" s="2" t="s">
        <v>27140</v>
      </c>
      <c r="M2764" s="2" t="s">
        <v>13626</v>
      </c>
      <c r="N2764" s="3" t="s">
        <v>1855</v>
      </c>
      <c r="P2764" s="3" t="s">
        <v>65</v>
      </c>
      <c r="R2764" s="3" t="s">
        <v>66</v>
      </c>
      <c r="S2764" s="4">
        <v>9</v>
      </c>
      <c r="T2764" s="4">
        <v>9</v>
      </c>
      <c r="U2764" s="5" t="s">
        <v>27141</v>
      </c>
      <c r="V2764" s="5" t="s">
        <v>27141</v>
      </c>
      <c r="W2764" s="5" t="s">
        <v>67</v>
      </c>
      <c r="X2764" s="5" t="s">
        <v>67</v>
      </c>
      <c r="Y2764" s="4">
        <v>271</v>
      </c>
      <c r="Z2764" s="4">
        <v>29</v>
      </c>
      <c r="AA2764" s="4">
        <v>84</v>
      </c>
      <c r="AB2764" s="4">
        <v>2</v>
      </c>
      <c r="AC2764" s="4">
        <v>15</v>
      </c>
      <c r="AD2764" s="4">
        <v>96</v>
      </c>
      <c r="AE2764" s="4">
        <v>137</v>
      </c>
      <c r="AF2764" s="4">
        <v>1</v>
      </c>
      <c r="AG2764" s="4">
        <v>8</v>
      </c>
      <c r="AH2764" s="4">
        <v>84</v>
      </c>
      <c r="AI2764" s="4">
        <v>102</v>
      </c>
      <c r="AJ2764" s="4">
        <v>16</v>
      </c>
      <c r="AK2764" s="4">
        <v>25</v>
      </c>
      <c r="AL2764" s="4">
        <v>45</v>
      </c>
      <c r="AM2764" s="4">
        <v>53</v>
      </c>
      <c r="AN2764" s="4">
        <v>0</v>
      </c>
      <c r="AO2764" s="4">
        <v>0</v>
      </c>
      <c r="AP2764" s="4">
        <v>21</v>
      </c>
      <c r="AQ2764" s="4">
        <v>45</v>
      </c>
      <c r="AR2764" s="3" t="s">
        <v>62</v>
      </c>
      <c r="AS2764" s="3" t="s">
        <v>62</v>
      </c>
      <c r="AT2764" s="3" t="s">
        <v>62</v>
      </c>
      <c r="AV2764" s="6" t="str">
        <f>HYPERLINK("http://mcgill.on.worldcat.org/oclc/58546874","Catalog Record")</f>
        <v>Catalog Record</v>
      </c>
      <c r="AW2764" s="6" t="str">
        <f>HYPERLINK("http://www.worldcat.org/oclc/58546874","WorldCat Record")</f>
        <v>WorldCat Record</v>
      </c>
      <c r="AX2764" s="3" t="s">
        <v>27142</v>
      </c>
      <c r="AY2764" s="3" t="s">
        <v>27143</v>
      </c>
      <c r="AZ2764" s="3" t="s">
        <v>27144</v>
      </c>
      <c r="BA2764" s="3" t="s">
        <v>27144</v>
      </c>
      <c r="BB2764" s="3" t="s">
        <v>27145</v>
      </c>
      <c r="BC2764" s="3" t="s">
        <v>142</v>
      </c>
      <c r="BD2764" s="3" t="s">
        <v>68</v>
      </c>
      <c r="BE2764" s="3" t="s">
        <v>27146</v>
      </c>
      <c r="BF2764" s="3" t="s">
        <v>27145</v>
      </c>
      <c r="BG2764" s="3" t="s">
        <v>27147</v>
      </c>
    </row>
    <row r="2765" spans="1:59" ht="57" x14ac:dyDescent="0.45">
      <c r="A2765" s="2" t="s">
        <v>59</v>
      </c>
      <c r="B2765" s="2" t="s">
        <v>60</v>
      </c>
      <c r="C2765" s="2" t="s">
        <v>27148</v>
      </c>
      <c r="D2765" s="2" t="s">
        <v>27149</v>
      </c>
      <c r="E2765" s="2" t="s">
        <v>27150</v>
      </c>
      <c r="G2765" s="3" t="s">
        <v>62</v>
      </c>
      <c r="I2765" s="3" t="s">
        <v>62</v>
      </c>
      <c r="J2765" s="3" t="s">
        <v>62</v>
      </c>
      <c r="K2765" s="3" t="s">
        <v>63</v>
      </c>
      <c r="L2765" s="2" t="s">
        <v>27151</v>
      </c>
      <c r="M2765" s="2" t="s">
        <v>27152</v>
      </c>
      <c r="N2765" s="3" t="s">
        <v>1155</v>
      </c>
      <c r="P2765" s="3" t="s">
        <v>65</v>
      </c>
      <c r="R2765" s="3" t="s">
        <v>66</v>
      </c>
      <c r="S2765" s="4">
        <v>14</v>
      </c>
      <c r="T2765" s="4">
        <v>14</v>
      </c>
      <c r="U2765" s="5" t="s">
        <v>27153</v>
      </c>
      <c r="V2765" s="5" t="s">
        <v>27153</v>
      </c>
      <c r="W2765" s="5" t="s">
        <v>67</v>
      </c>
      <c r="X2765" s="5" t="s">
        <v>67</v>
      </c>
      <c r="Y2765" s="4">
        <v>491</v>
      </c>
      <c r="Z2765" s="4">
        <v>36</v>
      </c>
      <c r="AA2765" s="4">
        <v>46</v>
      </c>
      <c r="AB2765" s="4">
        <v>4</v>
      </c>
      <c r="AC2765" s="4">
        <v>10</v>
      </c>
      <c r="AD2765" s="4">
        <v>95</v>
      </c>
      <c r="AE2765" s="4">
        <v>114</v>
      </c>
      <c r="AF2765" s="4">
        <v>2</v>
      </c>
      <c r="AG2765" s="4">
        <v>5</v>
      </c>
      <c r="AH2765" s="4">
        <v>78</v>
      </c>
      <c r="AI2765" s="4">
        <v>94</v>
      </c>
      <c r="AJ2765" s="4">
        <v>14</v>
      </c>
      <c r="AK2765" s="4">
        <v>21</v>
      </c>
      <c r="AL2765" s="4">
        <v>45</v>
      </c>
      <c r="AM2765" s="4">
        <v>52</v>
      </c>
      <c r="AN2765" s="4">
        <v>0</v>
      </c>
      <c r="AO2765" s="4">
        <v>0</v>
      </c>
      <c r="AP2765" s="4">
        <v>24</v>
      </c>
      <c r="AQ2765" s="4">
        <v>30</v>
      </c>
      <c r="AR2765" s="3" t="s">
        <v>62</v>
      </c>
      <c r="AS2765" s="3" t="s">
        <v>62</v>
      </c>
      <c r="AT2765" s="3" t="s">
        <v>62</v>
      </c>
      <c r="AV2765" s="6" t="str">
        <f>HYPERLINK("http://mcgill.on.worldcat.org/oclc/753915105","Catalog Record")</f>
        <v>Catalog Record</v>
      </c>
      <c r="AW2765" s="6" t="str">
        <f>HYPERLINK("http://www.worldcat.org/oclc/753915105","WorldCat Record")</f>
        <v>WorldCat Record</v>
      </c>
      <c r="AX2765" s="3" t="s">
        <v>27154</v>
      </c>
      <c r="AY2765" s="3" t="s">
        <v>27155</v>
      </c>
      <c r="AZ2765" s="3" t="s">
        <v>27156</v>
      </c>
      <c r="BA2765" s="3" t="s">
        <v>27156</v>
      </c>
      <c r="BB2765" s="3" t="s">
        <v>27157</v>
      </c>
      <c r="BC2765" s="3" t="s">
        <v>142</v>
      </c>
      <c r="BD2765" s="3" t="s">
        <v>68</v>
      </c>
      <c r="BE2765" s="3" t="s">
        <v>27158</v>
      </c>
      <c r="BF2765" s="3" t="s">
        <v>27157</v>
      </c>
      <c r="BG2765" s="3" t="s">
        <v>27159</v>
      </c>
    </row>
    <row r="2766" spans="1:59" ht="57" x14ac:dyDescent="0.45">
      <c r="A2766" s="2" t="s">
        <v>59</v>
      </c>
      <c r="B2766" s="2" t="s">
        <v>60</v>
      </c>
      <c r="C2766" s="2" t="s">
        <v>27160</v>
      </c>
      <c r="D2766" s="2" t="s">
        <v>27161</v>
      </c>
      <c r="E2766" s="2" t="s">
        <v>27162</v>
      </c>
      <c r="G2766" s="3" t="s">
        <v>62</v>
      </c>
      <c r="I2766" s="3" t="s">
        <v>62</v>
      </c>
      <c r="J2766" s="3" t="s">
        <v>62</v>
      </c>
      <c r="K2766" s="3" t="s">
        <v>63</v>
      </c>
      <c r="L2766" s="2" t="s">
        <v>27163</v>
      </c>
      <c r="M2766" s="2" t="s">
        <v>27164</v>
      </c>
      <c r="N2766" s="3" t="s">
        <v>1855</v>
      </c>
      <c r="P2766" s="3" t="s">
        <v>65</v>
      </c>
      <c r="R2766" s="3" t="s">
        <v>66</v>
      </c>
      <c r="S2766" s="4">
        <v>9</v>
      </c>
      <c r="T2766" s="4">
        <v>9</v>
      </c>
      <c r="U2766" s="5" t="s">
        <v>24477</v>
      </c>
      <c r="V2766" s="5" t="s">
        <v>24477</v>
      </c>
      <c r="W2766" s="5" t="s">
        <v>67</v>
      </c>
      <c r="X2766" s="5" t="s">
        <v>67</v>
      </c>
      <c r="Y2766" s="4">
        <v>415</v>
      </c>
      <c r="Z2766" s="4">
        <v>27</v>
      </c>
      <c r="AA2766" s="4">
        <v>62</v>
      </c>
      <c r="AB2766" s="4">
        <v>1</v>
      </c>
      <c r="AC2766" s="4">
        <v>10</v>
      </c>
      <c r="AD2766" s="4">
        <v>94</v>
      </c>
      <c r="AE2766" s="4">
        <v>111</v>
      </c>
      <c r="AF2766" s="4">
        <v>0</v>
      </c>
      <c r="AG2766" s="4">
        <v>3</v>
      </c>
      <c r="AH2766" s="4">
        <v>84</v>
      </c>
      <c r="AI2766" s="4">
        <v>93</v>
      </c>
      <c r="AJ2766" s="4">
        <v>13</v>
      </c>
      <c r="AK2766" s="4">
        <v>20</v>
      </c>
      <c r="AL2766" s="4">
        <v>43</v>
      </c>
      <c r="AM2766" s="4">
        <v>47</v>
      </c>
      <c r="AN2766" s="4">
        <v>5</v>
      </c>
      <c r="AO2766" s="4">
        <v>5</v>
      </c>
      <c r="AP2766" s="4">
        <v>18</v>
      </c>
      <c r="AQ2766" s="4">
        <v>28</v>
      </c>
      <c r="AR2766" s="3" t="s">
        <v>62</v>
      </c>
      <c r="AS2766" s="3" t="s">
        <v>62</v>
      </c>
      <c r="AT2766" s="3" t="s">
        <v>61</v>
      </c>
      <c r="AU2766" s="6" t="str">
        <f>HYPERLINK("http://catalog.hathitrust.org/Record/005038108","HathiTrust Record")</f>
        <v>HathiTrust Record</v>
      </c>
      <c r="AV2766" s="6" t="str">
        <f>HYPERLINK("http://mcgill.on.worldcat.org/oclc/59711384","Catalog Record")</f>
        <v>Catalog Record</v>
      </c>
      <c r="AW2766" s="6" t="str">
        <f>HYPERLINK("http://www.worldcat.org/oclc/59711384","WorldCat Record")</f>
        <v>WorldCat Record</v>
      </c>
      <c r="AX2766" s="3" t="s">
        <v>27165</v>
      </c>
      <c r="AY2766" s="3" t="s">
        <v>27166</v>
      </c>
      <c r="AZ2766" s="3" t="s">
        <v>27167</v>
      </c>
      <c r="BA2766" s="3" t="s">
        <v>27167</v>
      </c>
      <c r="BB2766" s="3" t="s">
        <v>27168</v>
      </c>
      <c r="BC2766" s="3" t="s">
        <v>142</v>
      </c>
      <c r="BD2766" s="3" t="s">
        <v>68</v>
      </c>
      <c r="BE2766" s="3" t="s">
        <v>27169</v>
      </c>
      <c r="BF2766" s="3" t="s">
        <v>27168</v>
      </c>
      <c r="BG2766" s="3" t="s">
        <v>27170</v>
      </c>
    </row>
    <row r="2767" spans="1:59" ht="57" x14ac:dyDescent="0.45">
      <c r="A2767" s="2" t="s">
        <v>59</v>
      </c>
      <c r="B2767" s="2" t="s">
        <v>60</v>
      </c>
      <c r="C2767" s="2" t="s">
        <v>27171</v>
      </c>
      <c r="D2767" s="2" t="s">
        <v>27172</v>
      </c>
      <c r="E2767" s="2" t="s">
        <v>27173</v>
      </c>
      <c r="G2767" s="3" t="s">
        <v>62</v>
      </c>
      <c r="I2767" s="3" t="s">
        <v>62</v>
      </c>
      <c r="J2767" s="3" t="s">
        <v>62</v>
      </c>
      <c r="K2767" s="3" t="s">
        <v>63</v>
      </c>
      <c r="L2767" s="2" t="s">
        <v>27174</v>
      </c>
      <c r="M2767" s="2" t="s">
        <v>27175</v>
      </c>
      <c r="N2767" s="3" t="s">
        <v>1918</v>
      </c>
      <c r="O2767" s="2" t="s">
        <v>1748</v>
      </c>
      <c r="P2767" s="3" t="s">
        <v>65</v>
      </c>
      <c r="Q2767" s="2" t="s">
        <v>27176</v>
      </c>
      <c r="R2767" s="3" t="s">
        <v>66</v>
      </c>
      <c r="S2767" s="4">
        <v>0</v>
      </c>
      <c r="T2767" s="4">
        <v>0</v>
      </c>
      <c r="W2767" s="5" t="s">
        <v>67</v>
      </c>
      <c r="X2767" s="5" t="s">
        <v>67</v>
      </c>
      <c r="Y2767" s="4">
        <v>142</v>
      </c>
      <c r="Z2767" s="4">
        <v>10</v>
      </c>
      <c r="AA2767" s="4">
        <v>15</v>
      </c>
      <c r="AB2767" s="4">
        <v>1</v>
      </c>
      <c r="AC2767" s="4">
        <v>4</v>
      </c>
      <c r="AD2767" s="4">
        <v>56</v>
      </c>
      <c r="AE2767" s="4">
        <v>60</v>
      </c>
      <c r="AF2767" s="4">
        <v>0</v>
      </c>
      <c r="AG2767" s="4">
        <v>1</v>
      </c>
      <c r="AH2767" s="4">
        <v>50</v>
      </c>
      <c r="AI2767" s="4">
        <v>52</v>
      </c>
      <c r="AJ2767" s="4">
        <v>6</v>
      </c>
      <c r="AK2767" s="4">
        <v>9</v>
      </c>
      <c r="AL2767" s="4">
        <v>36</v>
      </c>
      <c r="AM2767" s="4">
        <v>37</v>
      </c>
      <c r="AN2767" s="4">
        <v>0</v>
      </c>
      <c r="AO2767" s="4">
        <v>0</v>
      </c>
      <c r="AP2767" s="4">
        <v>8</v>
      </c>
      <c r="AQ2767" s="4">
        <v>11</v>
      </c>
      <c r="AR2767" s="3" t="s">
        <v>62</v>
      </c>
      <c r="AS2767" s="3" t="s">
        <v>62</v>
      </c>
      <c r="AT2767" s="3" t="s">
        <v>62</v>
      </c>
      <c r="AV2767" s="6" t="str">
        <f>HYPERLINK("http://mcgill.on.worldcat.org/oclc/961009761","Catalog Record")</f>
        <v>Catalog Record</v>
      </c>
      <c r="AW2767" s="6" t="str">
        <f>HYPERLINK("http://www.worldcat.org/oclc/961009761","WorldCat Record")</f>
        <v>WorldCat Record</v>
      </c>
      <c r="AX2767" s="3" t="s">
        <v>27177</v>
      </c>
      <c r="AY2767" s="3" t="s">
        <v>27178</v>
      </c>
      <c r="AZ2767" s="3" t="s">
        <v>27179</v>
      </c>
      <c r="BA2767" s="3" t="s">
        <v>27179</v>
      </c>
      <c r="BB2767" s="3" t="s">
        <v>27180</v>
      </c>
      <c r="BC2767" s="3" t="s">
        <v>142</v>
      </c>
      <c r="BD2767" s="3" t="s">
        <v>68</v>
      </c>
      <c r="BE2767" s="3" t="s">
        <v>27181</v>
      </c>
      <c r="BF2767" s="3" t="s">
        <v>27180</v>
      </c>
      <c r="BG2767" s="3" t="s">
        <v>27182</v>
      </c>
    </row>
    <row r="2768" spans="1:59" ht="57" x14ac:dyDescent="0.45">
      <c r="A2768" s="2" t="s">
        <v>59</v>
      </c>
      <c r="B2768" s="2" t="s">
        <v>60</v>
      </c>
      <c r="C2768" s="2" t="s">
        <v>27183</v>
      </c>
      <c r="D2768" s="2" t="s">
        <v>27184</v>
      </c>
      <c r="E2768" s="2" t="s">
        <v>27185</v>
      </c>
      <c r="G2768" s="3" t="s">
        <v>62</v>
      </c>
      <c r="I2768" s="3" t="s">
        <v>62</v>
      </c>
      <c r="J2768" s="3" t="s">
        <v>62</v>
      </c>
      <c r="K2768" s="3" t="s">
        <v>63</v>
      </c>
      <c r="L2768" s="2" t="s">
        <v>21300</v>
      </c>
      <c r="M2768" s="2" t="s">
        <v>27186</v>
      </c>
      <c r="N2768" s="3" t="s">
        <v>542</v>
      </c>
      <c r="P2768" s="3" t="s">
        <v>65</v>
      </c>
      <c r="R2768" s="3" t="s">
        <v>66</v>
      </c>
      <c r="S2768" s="4">
        <v>12</v>
      </c>
      <c r="T2768" s="4">
        <v>12</v>
      </c>
      <c r="U2768" s="5" t="s">
        <v>1749</v>
      </c>
      <c r="V2768" s="5" t="s">
        <v>1749</v>
      </c>
      <c r="W2768" s="5" t="s">
        <v>67</v>
      </c>
      <c r="X2768" s="5" t="s">
        <v>67</v>
      </c>
      <c r="Y2768" s="4">
        <v>340</v>
      </c>
      <c r="Z2768" s="4">
        <v>23</v>
      </c>
      <c r="AA2768" s="4">
        <v>25</v>
      </c>
      <c r="AB2768" s="4">
        <v>2</v>
      </c>
      <c r="AC2768" s="4">
        <v>4</v>
      </c>
      <c r="AD2768" s="4">
        <v>105</v>
      </c>
      <c r="AE2768" s="4">
        <v>105</v>
      </c>
      <c r="AF2768" s="4">
        <v>1</v>
      </c>
      <c r="AG2768" s="4">
        <v>1</v>
      </c>
      <c r="AH2768" s="4">
        <v>95</v>
      </c>
      <c r="AI2768" s="4">
        <v>95</v>
      </c>
      <c r="AJ2768" s="4">
        <v>13</v>
      </c>
      <c r="AK2768" s="4">
        <v>13</v>
      </c>
      <c r="AL2768" s="4">
        <v>50</v>
      </c>
      <c r="AM2768" s="4">
        <v>50</v>
      </c>
      <c r="AN2768" s="4">
        <v>0</v>
      </c>
      <c r="AO2768" s="4">
        <v>0</v>
      </c>
      <c r="AP2768" s="4">
        <v>18</v>
      </c>
      <c r="AQ2768" s="4">
        <v>18</v>
      </c>
      <c r="AR2768" s="3" t="s">
        <v>62</v>
      </c>
      <c r="AS2768" s="3" t="s">
        <v>62</v>
      </c>
      <c r="AT2768" s="3" t="s">
        <v>62</v>
      </c>
      <c r="AV2768" s="6" t="str">
        <f>HYPERLINK("http://mcgill.on.worldcat.org/oclc/44067042","Catalog Record")</f>
        <v>Catalog Record</v>
      </c>
      <c r="AW2768" s="6" t="str">
        <f>HYPERLINK("http://www.worldcat.org/oclc/44067042","WorldCat Record")</f>
        <v>WorldCat Record</v>
      </c>
      <c r="AX2768" s="3" t="s">
        <v>27187</v>
      </c>
      <c r="AY2768" s="3" t="s">
        <v>27188</v>
      </c>
      <c r="AZ2768" s="3" t="s">
        <v>27189</v>
      </c>
      <c r="BA2768" s="3" t="s">
        <v>27189</v>
      </c>
      <c r="BB2768" s="3" t="s">
        <v>27190</v>
      </c>
      <c r="BC2768" s="3" t="s">
        <v>142</v>
      </c>
      <c r="BD2768" s="3" t="s">
        <v>68</v>
      </c>
      <c r="BE2768" s="3" t="s">
        <v>27191</v>
      </c>
      <c r="BF2768" s="3" t="s">
        <v>27190</v>
      </c>
      <c r="BG2768" s="3" t="s">
        <v>27192</v>
      </c>
    </row>
    <row r="2769" spans="1:59" ht="57" x14ac:dyDescent="0.45">
      <c r="A2769" s="2" t="s">
        <v>59</v>
      </c>
      <c r="B2769" s="2" t="s">
        <v>60</v>
      </c>
      <c r="C2769" s="2" t="s">
        <v>27193</v>
      </c>
      <c r="D2769" s="2" t="s">
        <v>27194</v>
      </c>
      <c r="E2769" s="2" t="s">
        <v>27195</v>
      </c>
      <c r="G2769" s="3" t="s">
        <v>62</v>
      </c>
      <c r="I2769" s="3" t="s">
        <v>62</v>
      </c>
      <c r="J2769" s="3" t="s">
        <v>62</v>
      </c>
      <c r="K2769" s="3" t="s">
        <v>63</v>
      </c>
      <c r="M2769" s="2" t="s">
        <v>1189</v>
      </c>
      <c r="N2769" s="3" t="s">
        <v>149</v>
      </c>
      <c r="P2769" s="3" t="s">
        <v>65</v>
      </c>
      <c r="Q2769" s="2" t="s">
        <v>15094</v>
      </c>
      <c r="R2769" s="3" t="s">
        <v>66</v>
      </c>
      <c r="S2769" s="4">
        <v>5</v>
      </c>
      <c r="T2769" s="4">
        <v>5</v>
      </c>
      <c r="U2769" s="5" t="s">
        <v>27196</v>
      </c>
      <c r="V2769" s="5" t="s">
        <v>27196</v>
      </c>
      <c r="W2769" s="5" t="s">
        <v>67</v>
      </c>
      <c r="X2769" s="5" t="s">
        <v>67</v>
      </c>
      <c r="Y2769" s="4">
        <v>263</v>
      </c>
      <c r="Z2769" s="4">
        <v>33</v>
      </c>
      <c r="AA2769" s="4">
        <v>89</v>
      </c>
      <c r="AB2769" s="4">
        <v>2</v>
      </c>
      <c r="AC2769" s="4">
        <v>15</v>
      </c>
      <c r="AD2769" s="4">
        <v>91</v>
      </c>
      <c r="AE2769" s="4">
        <v>133</v>
      </c>
      <c r="AF2769" s="4">
        <v>1</v>
      </c>
      <c r="AG2769" s="4">
        <v>8</v>
      </c>
      <c r="AH2769" s="4">
        <v>78</v>
      </c>
      <c r="AI2769" s="4">
        <v>96</v>
      </c>
      <c r="AJ2769" s="4">
        <v>17</v>
      </c>
      <c r="AK2769" s="4">
        <v>24</v>
      </c>
      <c r="AL2769" s="4">
        <v>43</v>
      </c>
      <c r="AM2769" s="4">
        <v>52</v>
      </c>
      <c r="AN2769" s="4">
        <v>0</v>
      </c>
      <c r="AO2769" s="4">
        <v>0</v>
      </c>
      <c r="AP2769" s="4">
        <v>21</v>
      </c>
      <c r="AQ2769" s="4">
        <v>45</v>
      </c>
      <c r="AR2769" s="3" t="s">
        <v>62</v>
      </c>
      <c r="AS2769" s="3" t="s">
        <v>62</v>
      </c>
      <c r="AT2769" s="3" t="s">
        <v>62</v>
      </c>
      <c r="AV2769" s="6" t="str">
        <f>HYPERLINK("http://mcgill.on.worldcat.org/oclc/263977951","Catalog Record")</f>
        <v>Catalog Record</v>
      </c>
      <c r="AW2769" s="6" t="str">
        <f>HYPERLINK("http://www.worldcat.org/oclc/263977951","WorldCat Record")</f>
        <v>WorldCat Record</v>
      </c>
      <c r="AX2769" s="3" t="s">
        <v>27197</v>
      </c>
      <c r="AY2769" s="3" t="s">
        <v>27198</v>
      </c>
      <c r="AZ2769" s="3" t="s">
        <v>27199</v>
      </c>
      <c r="BA2769" s="3" t="s">
        <v>27199</v>
      </c>
      <c r="BB2769" s="3" t="s">
        <v>27200</v>
      </c>
      <c r="BC2769" s="3" t="s">
        <v>142</v>
      </c>
      <c r="BD2769" s="3" t="s">
        <v>68</v>
      </c>
      <c r="BE2769" s="3" t="s">
        <v>27201</v>
      </c>
      <c r="BF2769" s="3" t="s">
        <v>27200</v>
      </c>
      <c r="BG2769" s="3" t="s">
        <v>27202</v>
      </c>
    </row>
    <row r="2770" spans="1:59" ht="57" x14ac:dyDescent="0.45">
      <c r="A2770" s="2" t="s">
        <v>59</v>
      </c>
      <c r="B2770" s="2" t="s">
        <v>60</v>
      </c>
      <c r="C2770" s="2" t="s">
        <v>27203</v>
      </c>
      <c r="D2770" s="2" t="s">
        <v>27204</v>
      </c>
      <c r="E2770" s="2" t="s">
        <v>27205</v>
      </c>
      <c r="G2770" s="3" t="s">
        <v>62</v>
      </c>
      <c r="I2770" s="3" t="s">
        <v>62</v>
      </c>
      <c r="J2770" s="3" t="s">
        <v>62</v>
      </c>
      <c r="K2770" s="3" t="s">
        <v>63</v>
      </c>
      <c r="L2770" s="2" t="s">
        <v>27206</v>
      </c>
      <c r="M2770" s="2" t="s">
        <v>4009</v>
      </c>
      <c r="N2770" s="3" t="s">
        <v>149</v>
      </c>
      <c r="P2770" s="3" t="s">
        <v>65</v>
      </c>
      <c r="R2770" s="3" t="s">
        <v>66</v>
      </c>
      <c r="S2770" s="4">
        <v>7</v>
      </c>
      <c r="T2770" s="4">
        <v>7</v>
      </c>
      <c r="U2770" s="5" t="s">
        <v>9625</v>
      </c>
      <c r="V2770" s="5" t="s">
        <v>9625</v>
      </c>
      <c r="W2770" s="5" t="s">
        <v>67</v>
      </c>
      <c r="X2770" s="5" t="s">
        <v>67</v>
      </c>
      <c r="Y2770" s="4">
        <v>447</v>
      </c>
      <c r="Z2770" s="4">
        <v>29</v>
      </c>
      <c r="AA2770" s="4">
        <v>35</v>
      </c>
      <c r="AB2770" s="4">
        <v>2</v>
      </c>
      <c r="AC2770" s="4">
        <v>7</v>
      </c>
      <c r="AD2770" s="4">
        <v>90</v>
      </c>
      <c r="AE2770" s="4">
        <v>96</v>
      </c>
      <c r="AF2770" s="4">
        <v>1</v>
      </c>
      <c r="AG2770" s="4">
        <v>3</v>
      </c>
      <c r="AH2770" s="4">
        <v>79</v>
      </c>
      <c r="AI2770" s="4">
        <v>84</v>
      </c>
      <c r="AJ2770" s="4">
        <v>15</v>
      </c>
      <c r="AK2770" s="4">
        <v>17</v>
      </c>
      <c r="AL2770" s="4">
        <v>43</v>
      </c>
      <c r="AM2770" s="4">
        <v>44</v>
      </c>
      <c r="AN2770" s="4">
        <v>0</v>
      </c>
      <c r="AO2770" s="4">
        <v>0</v>
      </c>
      <c r="AP2770" s="4">
        <v>20</v>
      </c>
      <c r="AQ2770" s="4">
        <v>21</v>
      </c>
      <c r="AR2770" s="3" t="s">
        <v>62</v>
      </c>
      <c r="AS2770" s="3" t="s">
        <v>62</v>
      </c>
      <c r="AT2770" s="3" t="s">
        <v>62</v>
      </c>
      <c r="AV2770" s="6" t="str">
        <f>HYPERLINK("http://mcgill.on.worldcat.org/oclc/244057507","Catalog Record")</f>
        <v>Catalog Record</v>
      </c>
      <c r="AW2770" s="6" t="str">
        <f>HYPERLINK("http://www.worldcat.org/oclc/244057507","WorldCat Record")</f>
        <v>WorldCat Record</v>
      </c>
      <c r="AX2770" s="3" t="s">
        <v>27207</v>
      </c>
      <c r="AY2770" s="3" t="s">
        <v>27208</v>
      </c>
      <c r="AZ2770" s="3" t="s">
        <v>27209</v>
      </c>
      <c r="BA2770" s="3" t="s">
        <v>27209</v>
      </c>
      <c r="BB2770" s="3" t="s">
        <v>27210</v>
      </c>
      <c r="BC2770" s="3" t="s">
        <v>142</v>
      </c>
      <c r="BD2770" s="3" t="s">
        <v>68</v>
      </c>
      <c r="BE2770" s="3" t="s">
        <v>27211</v>
      </c>
      <c r="BF2770" s="3" t="s">
        <v>27210</v>
      </c>
      <c r="BG2770" s="3" t="s">
        <v>27212</v>
      </c>
    </row>
    <row r="2771" spans="1:59" ht="57" x14ac:dyDescent="0.45">
      <c r="A2771" s="2" t="s">
        <v>59</v>
      </c>
      <c r="B2771" s="2" t="s">
        <v>60</v>
      </c>
      <c r="C2771" s="2" t="s">
        <v>27213</v>
      </c>
      <c r="D2771" s="2" t="s">
        <v>27214</v>
      </c>
      <c r="E2771" s="2" t="s">
        <v>27215</v>
      </c>
      <c r="G2771" s="3" t="s">
        <v>62</v>
      </c>
      <c r="I2771" s="3" t="s">
        <v>62</v>
      </c>
      <c r="J2771" s="3" t="s">
        <v>62</v>
      </c>
      <c r="K2771" s="3" t="s">
        <v>63</v>
      </c>
      <c r="L2771" s="2" t="s">
        <v>27216</v>
      </c>
      <c r="M2771" s="2" t="s">
        <v>13777</v>
      </c>
      <c r="N2771" s="3" t="s">
        <v>1155</v>
      </c>
      <c r="P2771" s="3" t="s">
        <v>65</v>
      </c>
      <c r="R2771" s="3" t="s">
        <v>66</v>
      </c>
      <c r="S2771" s="4">
        <v>5</v>
      </c>
      <c r="T2771" s="4">
        <v>5</v>
      </c>
      <c r="U2771" s="5" t="s">
        <v>27217</v>
      </c>
      <c r="V2771" s="5" t="s">
        <v>27217</v>
      </c>
      <c r="W2771" s="5" t="s">
        <v>67</v>
      </c>
      <c r="X2771" s="5" t="s">
        <v>67</v>
      </c>
      <c r="Y2771" s="4">
        <v>288</v>
      </c>
      <c r="Z2771" s="4">
        <v>22</v>
      </c>
      <c r="AA2771" s="4">
        <v>91</v>
      </c>
      <c r="AB2771" s="4">
        <v>2</v>
      </c>
      <c r="AC2771" s="4">
        <v>14</v>
      </c>
      <c r="AD2771" s="4">
        <v>92</v>
      </c>
      <c r="AE2771" s="4">
        <v>140</v>
      </c>
      <c r="AF2771" s="4">
        <v>1</v>
      </c>
      <c r="AG2771" s="4">
        <v>8</v>
      </c>
      <c r="AH2771" s="4">
        <v>84</v>
      </c>
      <c r="AI2771" s="4">
        <v>102</v>
      </c>
      <c r="AJ2771" s="4">
        <v>14</v>
      </c>
      <c r="AK2771" s="4">
        <v>25</v>
      </c>
      <c r="AL2771" s="4">
        <v>47</v>
      </c>
      <c r="AM2771" s="4">
        <v>55</v>
      </c>
      <c r="AN2771" s="4">
        <v>0</v>
      </c>
      <c r="AO2771" s="4">
        <v>0</v>
      </c>
      <c r="AP2771" s="4">
        <v>17</v>
      </c>
      <c r="AQ2771" s="4">
        <v>48</v>
      </c>
      <c r="AR2771" s="3" t="s">
        <v>62</v>
      </c>
      <c r="AS2771" s="3" t="s">
        <v>62</v>
      </c>
      <c r="AT2771" s="3" t="s">
        <v>62</v>
      </c>
      <c r="AV2771" s="6" t="str">
        <f>HYPERLINK("http://mcgill.on.worldcat.org/oclc/780063873","Catalog Record")</f>
        <v>Catalog Record</v>
      </c>
      <c r="AW2771" s="6" t="str">
        <f>HYPERLINK("http://www.worldcat.org/oclc/780063873","WorldCat Record")</f>
        <v>WorldCat Record</v>
      </c>
      <c r="AX2771" s="3" t="s">
        <v>27218</v>
      </c>
      <c r="AY2771" s="3" t="s">
        <v>27219</v>
      </c>
      <c r="AZ2771" s="3" t="s">
        <v>27220</v>
      </c>
      <c r="BA2771" s="3" t="s">
        <v>27220</v>
      </c>
      <c r="BB2771" s="3" t="s">
        <v>27221</v>
      </c>
      <c r="BC2771" s="3" t="s">
        <v>142</v>
      </c>
      <c r="BD2771" s="3" t="s">
        <v>308</v>
      </c>
      <c r="BE2771" s="3" t="s">
        <v>27222</v>
      </c>
      <c r="BF2771" s="3" t="s">
        <v>27221</v>
      </c>
      <c r="BG2771" s="3" t="s">
        <v>27223</v>
      </c>
    </row>
    <row r="2772" spans="1:59" ht="57" x14ac:dyDescent="0.45">
      <c r="A2772" s="2" t="s">
        <v>59</v>
      </c>
      <c r="B2772" s="2" t="s">
        <v>60</v>
      </c>
      <c r="C2772" s="2" t="s">
        <v>27224</v>
      </c>
      <c r="D2772" s="2" t="s">
        <v>27225</v>
      </c>
      <c r="E2772" s="2" t="s">
        <v>27226</v>
      </c>
      <c r="G2772" s="3" t="s">
        <v>62</v>
      </c>
      <c r="I2772" s="3" t="s">
        <v>62</v>
      </c>
      <c r="J2772" s="3" t="s">
        <v>62</v>
      </c>
      <c r="K2772" s="3" t="s">
        <v>63</v>
      </c>
      <c r="L2772" s="2" t="s">
        <v>27227</v>
      </c>
      <c r="M2772" s="2" t="s">
        <v>14263</v>
      </c>
      <c r="N2772" s="3" t="s">
        <v>820</v>
      </c>
      <c r="P2772" s="3" t="s">
        <v>65</v>
      </c>
      <c r="R2772" s="3" t="s">
        <v>66</v>
      </c>
      <c r="S2772" s="4">
        <v>19</v>
      </c>
      <c r="T2772" s="4">
        <v>19</v>
      </c>
      <c r="U2772" s="5" t="s">
        <v>22260</v>
      </c>
      <c r="V2772" s="5" t="s">
        <v>22260</v>
      </c>
      <c r="W2772" s="5" t="s">
        <v>67</v>
      </c>
      <c r="X2772" s="5" t="s">
        <v>67</v>
      </c>
      <c r="Y2772" s="4">
        <v>408</v>
      </c>
      <c r="Z2772" s="4">
        <v>34</v>
      </c>
      <c r="AA2772" s="4">
        <v>44</v>
      </c>
      <c r="AB2772" s="4">
        <v>2</v>
      </c>
      <c r="AC2772" s="4">
        <v>8</v>
      </c>
      <c r="AD2772" s="4">
        <v>115</v>
      </c>
      <c r="AE2772" s="4">
        <v>124</v>
      </c>
      <c r="AF2772" s="4">
        <v>1</v>
      </c>
      <c r="AG2772" s="4">
        <v>4</v>
      </c>
      <c r="AH2772" s="4">
        <v>99</v>
      </c>
      <c r="AI2772" s="4">
        <v>103</v>
      </c>
      <c r="AJ2772" s="4">
        <v>19</v>
      </c>
      <c r="AK2772" s="4">
        <v>22</v>
      </c>
      <c r="AL2772" s="4">
        <v>55</v>
      </c>
      <c r="AM2772" s="4">
        <v>57</v>
      </c>
      <c r="AN2772" s="4">
        <v>0</v>
      </c>
      <c r="AO2772" s="4">
        <v>0</v>
      </c>
      <c r="AP2772" s="4">
        <v>24</v>
      </c>
      <c r="AQ2772" s="4">
        <v>29</v>
      </c>
      <c r="AR2772" s="3" t="s">
        <v>62</v>
      </c>
      <c r="AS2772" s="3" t="s">
        <v>62</v>
      </c>
      <c r="AT2772" s="3" t="s">
        <v>61</v>
      </c>
      <c r="AU2772" s="6" t="str">
        <f>HYPERLINK("http://catalog.hathitrust.org/Record/005635211","HathiTrust Record")</f>
        <v>HathiTrust Record</v>
      </c>
      <c r="AV2772" s="6" t="str">
        <f>HYPERLINK("http://mcgill.on.worldcat.org/oclc/79256819","Catalog Record")</f>
        <v>Catalog Record</v>
      </c>
      <c r="AW2772" s="6" t="str">
        <f>HYPERLINK("http://www.worldcat.org/oclc/79256819","WorldCat Record")</f>
        <v>WorldCat Record</v>
      </c>
      <c r="AX2772" s="3" t="s">
        <v>27228</v>
      </c>
      <c r="AY2772" s="3" t="s">
        <v>27229</v>
      </c>
      <c r="AZ2772" s="3" t="s">
        <v>27230</v>
      </c>
      <c r="BA2772" s="3" t="s">
        <v>27230</v>
      </c>
      <c r="BB2772" s="3" t="s">
        <v>27231</v>
      </c>
      <c r="BC2772" s="3" t="s">
        <v>142</v>
      </c>
      <c r="BD2772" s="3" t="s">
        <v>68</v>
      </c>
      <c r="BE2772" s="3" t="s">
        <v>27232</v>
      </c>
      <c r="BF2772" s="3" t="s">
        <v>27231</v>
      </c>
      <c r="BG2772" s="3" t="s">
        <v>27233</v>
      </c>
    </row>
    <row r="2773" spans="1:59" ht="57" x14ac:dyDescent="0.45">
      <c r="A2773" s="2" t="s">
        <v>59</v>
      </c>
      <c r="B2773" s="2" t="s">
        <v>60</v>
      </c>
      <c r="C2773" s="2" t="s">
        <v>27234</v>
      </c>
      <c r="D2773" s="2" t="s">
        <v>27235</v>
      </c>
      <c r="E2773" s="2" t="s">
        <v>27236</v>
      </c>
      <c r="G2773" s="3" t="s">
        <v>62</v>
      </c>
      <c r="I2773" s="3" t="s">
        <v>61</v>
      </c>
      <c r="J2773" s="3" t="s">
        <v>62</v>
      </c>
      <c r="K2773" s="3" t="s">
        <v>63</v>
      </c>
      <c r="L2773" s="2" t="s">
        <v>25692</v>
      </c>
      <c r="M2773" s="2" t="s">
        <v>27237</v>
      </c>
      <c r="N2773" s="3" t="s">
        <v>167</v>
      </c>
      <c r="P2773" s="3" t="s">
        <v>65</v>
      </c>
      <c r="Q2773" s="2" t="s">
        <v>14627</v>
      </c>
      <c r="R2773" s="3" t="s">
        <v>66</v>
      </c>
      <c r="S2773" s="4">
        <v>26</v>
      </c>
      <c r="T2773" s="4">
        <v>147</v>
      </c>
      <c r="U2773" s="5" t="s">
        <v>27238</v>
      </c>
      <c r="V2773" s="5" t="s">
        <v>27238</v>
      </c>
      <c r="W2773" s="5" t="s">
        <v>67</v>
      </c>
      <c r="X2773" s="5" t="s">
        <v>67</v>
      </c>
      <c r="Y2773" s="4">
        <v>577</v>
      </c>
      <c r="Z2773" s="4">
        <v>36</v>
      </c>
      <c r="AA2773" s="4">
        <v>40</v>
      </c>
      <c r="AB2773" s="4">
        <v>3</v>
      </c>
      <c r="AC2773" s="4">
        <v>7</v>
      </c>
      <c r="AD2773" s="4">
        <v>123</v>
      </c>
      <c r="AE2773" s="4">
        <v>126</v>
      </c>
      <c r="AF2773" s="4">
        <v>1</v>
      </c>
      <c r="AG2773" s="4">
        <v>4</v>
      </c>
      <c r="AH2773" s="4">
        <v>104</v>
      </c>
      <c r="AI2773" s="4">
        <v>105</v>
      </c>
      <c r="AJ2773" s="4">
        <v>19</v>
      </c>
      <c r="AK2773" s="4">
        <v>22</v>
      </c>
      <c r="AL2773" s="4">
        <v>59</v>
      </c>
      <c r="AM2773" s="4">
        <v>59</v>
      </c>
      <c r="AN2773" s="4">
        <v>0</v>
      </c>
      <c r="AO2773" s="4">
        <v>0</v>
      </c>
      <c r="AP2773" s="4">
        <v>27</v>
      </c>
      <c r="AQ2773" s="4">
        <v>29</v>
      </c>
      <c r="AR2773" s="3" t="s">
        <v>62</v>
      </c>
      <c r="AS2773" s="3" t="s">
        <v>62</v>
      </c>
      <c r="AT2773" s="3" t="s">
        <v>62</v>
      </c>
      <c r="AV2773" s="6" t="str">
        <f>HYPERLINK("http://mcgill.on.worldcat.org/oclc/39800562","Catalog Record")</f>
        <v>Catalog Record</v>
      </c>
      <c r="AW2773" s="6" t="str">
        <f>HYPERLINK("http://www.worldcat.org/oclc/39800562","WorldCat Record")</f>
        <v>WorldCat Record</v>
      </c>
      <c r="AX2773" s="3" t="s">
        <v>27239</v>
      </c>
      <c r="AY2773" s="3" t="s">
        <v>27240</v>
      </c>
      <c r="AZ2773" s="3" t="s">
        <v>27241</v>
      </c>
      <c r="BA2773" s="3" t="s">
        <v>27241</v>
      </c>
      <c r="BB2773" s="3" t="s">
        <v>27242</v>
      </c>
      <c r="BC2773" s="3" t="s">
        <v>142</v>
      </c>
      <c r="BD2773" s="3" t="s">
        <v>68</v>
      </c>
      <c r="BE2773" s="3" t="s">
        <v>27243</v>
      </c>
      <c r="BF2773" s="3" t="s">
        <v>27242</v>
      </c>
      <c r="BG2773" s="3" t="s">
        <v>27244</v>
      </c>
    </row>
    <row r="2774" spans="1:59" ht="57" x14ac:dyDescent="0.45">
      <c r="A2774" s="2" t="s">
        <v>59</v>
      </c>
      <c r="B2774" s="2" t="s">
        <v>60</v>
      </c>
      <c r="C2774" s="2" t="s">
        <v>27234</v>
      </c>
      <c r="D2774" s="2" t="s">
        <v>27235</v>
      </c>
      <c r="E2774" s="2" t="s">
        <v>27236</v>
      </c>
      <c r="G2774" s="3" t="s">
        <v>62</v>
      </c>
      <c r="I2774" s="3" t="s">
        <v>61</v>
      </c>
      <c r="J2774" s="3" t="s">
        <v>62</v>
      </c>
      <c r="K2774" s="3" t="s">
        <v>63</v>
      </c>
      <c r="L2774" s="2" t="s">
        <v>25692</v>
      </c>
      <c r="M2774" s="2" t="s">
        <v>27237</v>
      </c>
      <c r="N2774" s="3" t="s">
        <v>167</v>
      </c>
      <c r="P2774" s="3" t="s">
        <v>65</v>
      </c>
      <c r="Q2774" s="2" t="s">
        <v>14627</v>
      </c>
      <c r="R2774" s="3" t="s">
        <v>66</v>
      </c>
      <c r="S2774" s="4">
        <v>29</v>
      </c>
      <c r="T2774" s="4">
        <v>147</v>
      </c>
      <c r="U2774" s="5" t="s">
        <v>14111</v>
      </c>
      <c r="V2774" s="5" t="s">
        <v>27238</v>
      </c>
      <c r="W2774" s="5" t="s">
        <v>67</v>
      </c>
      <c r="X2774" s="5" t="s">
        <v>67</v>
      </c>
      <c r="Y2774" s="4">
        <v>577</v>
      </c>
      <c r="Z2774" s="4">
        <v>36</v>
      </c>
      <c r="AA2774" s="4">
        <v>40</v>
      </c>
      <c r="AB2774" s="4">
        <v>3</v>
      </c>
      <c r="AC2774" s="4">
        <v>7</v>
      </c>
      <c r="AD2774" s="4">
        <v>123</v>
      </c>
      <c r="AE2774" s="4">
        <v>126</v>
      </c>
      <c r="AF2774" s="4">
        <v>1</v>
      </c>
      <c r="AG2774" s="4">
        <v>4</v>
      </c>
      <c r="AH2774" s="4">
        <v>104</v>
      </c>
      <c r="AI2774" s="4">
        <v>105</v>
      </c>
      <c r="AJ2774" s="4">
        <v>19</v>
      </c>
      <c r="AK2774" s="4">
        <v>22</v>
      </c>
      <c r="AL2774" s="4">
        <v>59</v>
      </c>
      <c r="AM2774" s="4">
        <v>59</v>
      </c>
      <c r="AN2774" s="4">
        <v>0</v>
      </c>
      <c r="AO2774" s="4">
        <v>0</v>
      </c>
      <c r="AP2774" s="4">
        <v>27</v>
      </c>
      <c r="AQ2774" s="4">
        <v>29</v>
      </c>
      <c r="AR2774" s="3" t="s">
        <v>62</v>
      </c>
      <c r="AS2774" s="3" t="s">
        <v>62</v>
      </c>
      <c r="AT2774" s="3" t="s">
        <v>62</v>
      </c>
      <c r="AV2774" s="6" t="str">
        <f>HYPERLINK("http://mcgill.on.worldcat.org/oclc/39800562","Catalog Record")</f>
        <v>Catalog Record</v>
      </c>
      <c r="AW2774" s="6" t="str">
        <f>HYPERLINK("http://www.worldcat.org/oclc/39800562","WorldCat Record")</f>
        <v>WorldCat Record</v>
      </c>
      <c r="AX2774" s="3" t="s">
        <v>27239</v>
      </c>
      <c r="AY2774" s="3" t="s">
        <v>27240</v>
      </c>
      <c r="AZ2774" s="3" t="s">
        <v>27241</v>
      </c>
      <c r="BA2774" s="3" t="s">
        <v>27241</v>
      </c>
      <c r="BB2774" s="3" t="s">
        <v>27245</v>
      </c>
      <c r="BC2774" s="3" t="s">
        <v>142</v>
      </c>
      <c r="BD2774" s="3" t="s">
        <v>68</v>
      </c>
      <c r="BE2774" s="3" t="s">
        <v>27243</v>
      </c>
      <c r="BF2774" s="3" t="s">
        <v>27245</v>
      </c>
      <c r="BG2774" s="3" t="s">
        <v>27246</v>
      </c>
    </row>
    <row r="2775" spans="1:59" ht="57" x14ac:dyDescent="0.45">
      <c r="A2775" s="2" t="s">
        <v>59</v>
      </c>
      <c r="B2775" s="2" t="s">
        <v>60</v>
      </c>
      <c r="C2775" s="2" t="s">
        <v>27234</v>
      </c>
      <c r="D2775" s="2" t="s">
        <v>27235</v>
      </c>
      <c r="E2775" s="2" t="s">
        <v>27236</v>
      </c>
      <c r="G2775" s="3" t="s">
        <v>62</v>
      </c>
      <c r="I2775" s="3" t="s">
        <v>61</v>
      </c>
      <c r="J2775" s="3" t="s">
        <v>62</v>
      </c>
      <c r="K2775" s="3" t="s">
        <v>63</v>
      </c>
      <c r="L2775" s="2" t="s">
        <v>25692</v>
      </c>
      <c r="M2775" s="2" t="s">
        <v>27237</v>
      </c>
      <c r="N2775" s="3" t="s">
        <v>167</v>
      </c>
      <c r="P2775" s="3" t="s">
        <v>65</v>
      </c>
      <c r="Q2775" s="2" t="s">
        <v>14627</v>
      </c>
      <c r="R2775" s="3" t="s">
        <v>66</v>
      </c>
      <c r="S2775" s="4">
        <v>92</v>
      </c>
      <c r="T2775" s="4">
        <v>147</v>
      </c>
      <c r="U2775" s="5" t="s">
        <v>27247</v>
      </c>
      <c r="V2775" s="5" t="s">
        <v>27238</v>
      </c>
      <c r="W2775" s="5" t="s">
        <v>67</v>
      </c>
      <c r="X2775" s="5" t="s">
        <v>67</v>
      </c>
      <c r="Y2775" s="4">
        <v>577</v>
      </c>
      <c r="Z2775" s="4">
        <v>36</v>
      </c>
      <c r="AA2775" s="4">
        <v>40</v>
      </c>
      <c r="AB2775" s="4">
        <v>3</v>
      </c>
      <c r="AC2775" s="4">
        <v>7</v>
      </c>
      <c r="AD2775" s="4">
        <v>123</v>
      </c>
      <c r="AE2775" s="4">
        <v>126</v>
      </c>
      <c r="AF2775" s="4">
        <v>1</v>
      </c>
      <c r="AG2775" s="4">
        <v>4</v>
      </c>
      <c r="AH2775" s="4">
        <v>104</v>
      </c>
      <c r="AI2775" s="4">
        <v>105</v>
      </c>
      <c r="AJ2775" s="4">
        <v>19</v>
      </c>
      <c r="AK2775" s="4">
        <v>22</v>
      </c>
      <c r="AL2775" s="4">
        <v>59</v>
      </c>
      <c r="AM2775" s="4">
        <v>59</v>
      </c>
      <c r="AN2775" s="4">
        <v>0</v>
      </c>
      <c r="AO2775" s="4">
        <v>0</v>
      </c>
      <c r="AP2775" s="4">
        <v>27</v>
      </c>
      <c r="AQ2775" s="4">
        <v>29</v>
      </c>
      <c r="AR2775" s="3" t="s">
        <v>62</v>
      </c>
      <c r="AS2775" s="3" t="s">
        <v>62</v>
      </c>
      <c r="AT2775" s="3" t="s">
        <v>62</v>
      </c>
      <c r="AV2775" s="6" t="str">
        <f>HYPERLINK("http://mcgill.on.worldcat.org/oclc/39800562","Catalog Record")</f>
        <v>Catalog Record</v>
      </c>
      <c r="AW2775" s="6" t="str">
        <f>HYPERLINK("http://www.worldcat.org/oclc/39800562","WorldCat Record")</f>
        <v>WorldCat Record</v>
      </c>
      <c r="AX2775" s="3" t="s">
        <v>27239</v>
      </c>
      <c r="AY2775" s="3" t="s">
        <v>27240</v>
      </c>
      <c r="AZ2775" s="3" t="s">
        <v>27241</v>
      </c>
      <c r="BA2775" s="3" t="s">
        <v>27241</v>
      </c>
      <c r="BB2775" s="3" t="s">
        <v>27248</v>
      </c>
      <c r="BC2775" s="3" t="s">
        <v>142</v>
      </c>
      <c r="BD2775" s="3" t="s">
        <v>308</v>
      </c>
      <c r="BE2775" s="3" t="s">
        <v>27243</v>
      </c>
      <c r="BF2775" s="3" t="s">
        <v>27248</v>
      </c>
      <c r="BG2775" s="3" t="s">
        <v>27249</v>
      </c>
    </row>
    <row r="2776" spans="1:59" ht="57" x14ac:dyDescent="0.45">
      <c r="A2776" s="2" t="s">
        <v>59</v>
      </c>
      <c r="B2776" s="2" t="s">
        <v>60</v>
      </c>
      <c r="C2776" s="2" t="s">
        <v>27250</v>
      </c>
      <c r="D2776" s="2" t="s">
        <v>27251</v>
      </c>
      <c r="E2776" s="2" t="s">
        <v>27252</v>
      </c>
      <c r="G2776" s="3" t="s">
        <v>62</v>
      </c>
      <c r="I2776" s="3" t="s">
        <v>62</v>
      </c>
      <c r="J2776" s="3" t="s">
        <v>62</v>
      </c>
      <c r="K2776" s="3" t="s">
        <v>63</v>
      </c>
      <c r="L2776" s="2" t="s">
        <v>27253</v>
      </c>
      <c r="M2776" s="2" t="s">
        <v>27254</v>
      </c>
      <c r="N2776" s="3" t="s">
        <v>1465</v>
      </c>
      <c r="P2776" s="3" t="s">
        <v>65</v>
      </c>
      <c r="R2776" s="3" t="s">
        <v>66</v>
      </c>
      <c r="S2776" s="4">
        <v>3</v>
      </c>
      <c r="T2776" s="4">
        <v>3</v>
      </c>
      <c r="U2776" s="5" t="s">
        <v>15716</v>
      </c>
      <c r="V2776" s="5" t="s">
        <v>15716</v>
      </c>
      <c r="W2776" s="5" t="s">
        <v>67</v>
      </c>
      <c r="X2776" s="5" t="s">
        <v>67</v>
      </c>
      <c r="Y2776" s="4">
        <v>428</v>
      </c>
      <c r="Z2776" s="4">
        <v>31</v>
      </c>
      <c r="AA2776" s="4">
        <v>38</v>
      </c>
      <c r="AB2776" s="4">
        <v>3</v>
      </c>
      <c r="AC2776" s="4">
        <v>9</v>
      </c>
      <c r="AD2776" s="4">
        <v>81</v>
      </c>
      <c r="AE2776" s="4">
        <v>84</v>
      </c>
      <c r="AF2776" s="4">
        <v>2</v>
      </c>
      <c r="AG2776" s="4">
        <v>5</v>
      </c>
      <c r="AH2776" s="4">
        <v>68</v>
      </c>
      <c r="AI2776" s="4">
        <v>69</v>
      </c>
      <c r="AJ2776" s="4">
        <v>18</v>
      </c>
      <c r="AK2776" s="4">
        <v>21</v>
      </c>
      <c r="AL2776" s="4">
        <v>34</v>
      </c>
      <c r="AM2776" s="4">
        <v>34</v>
      </c>
      <c r="AN2776" s="4">
        <v>0</v>
      </c>
      <c r="AO2776" s="4">
        <v>0</v>
      </c>
      <c r="AP2776" s="4">
        <v>24</v>
      </c>
      <c r="AQ2776" s="4">
        <v>26</v>
      </c>
      <c r="AR2776" s="3" t="s">
        <v>62</v>
      </c>
      <c r="AS2776" s="3" t="s">
        <v>62</v>
      </c>
      <c r="AT2776" s="3" t="s">
        <v>62</v>
      </c>
      <c r="AV2776" s="6" t="str">
        <f>HYPERLINK("http://mcgill.on.worldcat.org/oclc/259716152","Catalog Record")</f>
        <v>Catalog Record</v>
      </c>
      <c r="AW2776" s="6" t="str">
        <f>HYPERLINK("http://www.worldcat.org/oclc/259716152","WorldCat Record")</f>
        <v>WorldCat Record</v>
      </c>
      <c r="AX2776" s="3" t="s">
        <v>27255</v>
      </c>
      <c r="AY2776" s="3" t="s">
        <v>27256</v>
      </c>
      <c r="AZ2776" s="3" t="s">
        <v>27257</v>
      </c>
      <c r="BA2776" s="3" t="s">
        <v>27257</v>
      </c>
      <c r="BB2776" s="3" t="s">
        <v>27258</v>
      </c>
      <c r="BC2776" s="3" t="s">
        <v>142</v>
      </c>
      <c r="BD2776" s="3" t="s">
        <v>68</v>
      </c>
      <c r="BE2776" s="3" t="s">
        <v>27259</v>
      </c>
      <c r="BF2776" s="3" t="s">
        <v>27258</v>
      </c>
      <c r="BG2776" s="3" t="s">
        <v>27260</v>
      </c>
    </row>
    <row r="2777" spans="1:59" ht="57" x14ac:dyDescent="0.45">
      <c r="A2777" s="2" t="s">
        <v>59</v>
      </c>
      <c r="B2777" s="2" t="s">
        <v>60</v>
      </c>
      <c r="C2777" s="2" t="s">
        <v>27261</v>
      </c>
      <c r="D2777" s="2" t="s">
        <v>27262</v>
      </c>
      <c r="E2777" s="2" t="s">
        <v>27263</v>
      </c>
      <c r="G2777" s="3" t="s">
        <v>62</v>
      </c>
      <c r="I2777" s="3" t="s">
        <v>62</v>
      </c>
      <c r="J2777" s="3" t="s">
        <v>62</v>
      </c>
      <c r="K2777" s="3" t="s">
        <v>63</v>
      </c>
      <c r="L2777" s="2" t="s">
        <v>13250</v>
      </c>
      <c r="M2777" s="2" t="s">
        <v>27264</v>
      </c>
      <c r="N2777" s="3" t="s">
        <v>1097</v>
      </c>
      <c r="O2777" s="2" t="s">
        <v>933</v>
      </c>
      <c r="P2777" s="3" t="s">
        <v>65</v>
      </c>
      <c r="R2777" s="3" t="s">
        <v>66</v>
      </c>
      <c r="S2777" s="4">
        <v>2</v>
      </c>
      <c r="T2777" s="4">
        <v>2</v>
      </c>
      <c r="U2777" s="5" t="s">
        <v>16573</v>
      </c>
      <c r="V2777" s="5" t="s">
        <v>16573</v>
      </c>
      <c r="W2777" s="5" t="s">
        <v>67</v>
      </c>
      <c r="X2777" s="5" t="s">
        <v>67</v>
      </c>
      <c r="Y2777" s="4">
        <v>29</v>
      </c>
      <c r="Z2777" s="4">
        <v>4</v>
      </c>
      <c r="AA2777" s="4">
        <v>44</v>
      </c>
      <c r="AB2777" s="4">
        <v>1</v>
      </c>
      <c r="AC2777" s="4">
        <v>3</v>
      </c>
      <c r="AD2777" s="4">
        <v>4</v>
      </c>
      <c r="AE2777" s="4">
        <v>39</v>
      </c>
      <c r="AF2777" s="4">
        <v>0</v>
      </c>
      <c r="AG2777" s="4">
        <v>2</v>
      </c>
      <c r="AH2777" s="4">
        <v>3</v>
      </c>
      <c r="AI2777" s="4">
        <v>25</v>
      </c>
      <c r="AJ2777" s="4">
        <v>1</v>
      </c>
      <c r="AK2777" s="4">
        <v>19</v>
      </c>
      <c r="AL2777" s="4">
        <v>2</v>
      </c>
      <c r="AM2777" s="4">
        <v>13</v>
      </c>
      <c r="AN2777" s="4">
        <v>0</v>
      </c>
      <c r="AO2777" s="4">
        <v>0</v>
      </c>
      <c r="AP2777" s="4">
        <v>2</v>
      </c>
      <c r="AQ2777" s="4">
        <v>22</v>
      </c>
      <c r="AR2777" s="3" t="s">
        <v>62</v>
      </c>
      <c r="AS2777" s="3" t="s">
        <v>62</v>
      </c>
      <c r="AT2777" s="3" t="s">
        <v>62</v>
      </c>
      <c r="AV2777" s="6" t="str">
        <f>HYPERLINK("http://mcgill.on.worldcat.org/oclc/57551095","Catalog Record")</f>
        <v>Catalog Record</v>
      </c>
      <c r="AW2777" s="6" t="str">
        <f>HYPERLINK("http://www.worldcat.org/oclc/57551095","WorldCat Record")</f>
        <v>WorldCat Record</v>
      </c>
      <c r="AX2777" s="3" t="s">
        <v>27265</v>
      </c>
      <c r="AY2777" s="3" t="s">
        <v>27266</v>
      </c>
      <c r="AZ2777" s="3" t="s">
        <v>27267</v>
      </c>
      <c r="BA2777" s="3" t="s">
        <v>27267</v>
      </c>
      <c r="BB2777" s="3" t="s">
        <v>27268</v>
      </c>
      <c r="BC2777" s="3" t="s">
        <v>142</v>
      </c>
      <c r="BD2777" s="3" t="s">
        <v>68</v>
      </c>
      <c r="BE2777" s="3" t="s">
        <v>27269</v>
      </c>
      <c r="BF2777" s="3" t="s">
        <v>27268</v>
      </c>
      <c r="BG2777" s="3" t="s">
        <v>27270</v>
      </c>
    </row>
    <row r="2778" spans="1:59" ht="57" x14ac:dyDescent="0.45">
      <c r="A2778" s="2" t="s">
        <v>59</v>
      </c>
      <c r="B2778" s="2" t="s">
        <v>60</v>
      </c>
      <c r="C2778" s="2" t="s">
        <v>27271</v>
      </c>
      <c r="D2778" s="2" t="s">
        <v>27272</v>
      </c>
      <c r="E2778" s="2" t="s">
        <v>27273</v>
      </c>
      <c r="G2778" s="3" t="s">
        <v>62</v>
      </c>
      <c r="I2778" s="3" t="s">
        <v>62</v>
      </c>
      <c r="J2778" s="3" t="s">
        <v>62</v>
      </c>
      <c r="K2778" s="3" t="s">
        <v>63</v>
      </c>
      <c r="L2778" s="2" t="s">
        <v>27274</v>
      </c>
      <c r="M2778" s="2" t="s">
        <v>27275</v>
      </c>
      <c r="N2778" s="3" t="s">
        <v>820</v>
      </c>
      <c r="P2778" s="3" t="s">
        <v>65</v>
      </c>
      <c r="Q2778" s="2" t="s">
        <v>17318</v>
      </c>
      <c r="R2778" s="3" t="s">
        <v>66</v>
      </c>
      <c r="S2778" s="4">
        <v>9</v>
      </c>
      <c r="T2778" s="4">
        <v>9</v>
      </c>
      <c r="U2778" s="5" t="s">
        <v>27276</v>
      </c>
      <c r="V2778" s="5" t="s">
        <v>27276</v>
      </c>
      <c r="W2778" s="5" t="s">
        <v>67</v>
      </c>
      <c r="X2778" s="5" t="s">
        <v>67</v>
      </c>
      <c r="Y2778" s="4">
        <v>212</v>
      </c>
      <c r="Z2778" s="4">
        <v>22</v>
      </c>
      <c r="AA2778" s="4">
        <v>102</v>
      </c>
      <c r="AB2778" s="4">
        <v>2</v>
      </c>
      <c r="AC2778" s="4">
        <v>17</v>
      </c>
      <c r="AD2778" s="4">
        <v>67</v>
      </c>
      <c r="AE2778" s="4">
        <v>127</v>
      </c>
      <c r="AF2778" s="4">
        <v>1</v>
      </c>
      <c r="AG2778" s="4">
        <v>8</v>
      </c>
      <c r="AH2778" s="4">
        <v>58</v>
      </c>
      <c r="AI2778" s="4">
        <v>88</v>
      </c>
      <c r="AJ2778" s="4">
        <v>13</v>
      </c>
      <c r="AK2778" s="4">
        <v>23</v>
      </c>
      <c r="AL2778" s="4">
        <v>32</v>
      </c>
      <c r="AM2778" s="4">
        <v>46</v>
      </c>
      <c r="AN2778" s="4">
        <v>0</v>
      </c>
      <c r="AO2778" s="4">
        <v>0</v>
      </c>
      <c r="AP2778" s="4">
        <v>17</v>
      </c>
      <c r="AQ2778" s="4">
        <v>47</v>
      </c>
      <c r="AR2778" s="3" t="s">
        <v>62</v>
      </c>
      <c r="AS2778" s="3" t="s">
        <v>62</v>
      </c>
      <c r="AT2778" s="3" t="s">
        <v>61</v>
      </c>
      <c r="AU2778" s="6" t="str">
        <f>HYPERLINK("http://catalog.hathitrust.org/Record/005810280","HathiTrust Record")</f>
        <v>HathiTrust Record</v>
      </c>
      <c r="AV2778" s="6" t="str">
        <f>HYPERLINK("http://mcgill.on.worldcat.org/oclc/148823418","Catalog Record")</f>
        <v>Catalog Record</v>
      </c>
      <c r="AW2778" s="6" t="str">
        <f>HYPERLINK("http://www.worldcat.org/oclc/148823418","WorldCat Record")</f>
        <v>WorldCat Record</v>
      </c>
      <c r="AX2778" s="3" t="s">
        <v>27277</v>
      </c>
      <c r="AY2778" s="3" t="s">
        <v>27278</v>
      </c>
      <c r="AZ2778" s="3" t="s">
        <v>27279</v>
      </c>
      <c r="BA2778" s="3" t="s">
        <v>27279</v>
      </c>
      <c r="BB2778" s="3" t="s">
        <v>27280</v>
      </c>
      <c r="BC2778" s="3" t="s">
        <v>142</v>
      </c>
      <c r="BD2778" s="3" t="s">
        <v>68</v>
      </c>
      <c r="BE2778" s="3" t="s">
        <v>27281</v>
      </c>
      <c r="BF2778" s="3" t="s">
        <v>27280</v>
      </c>
      <c r="BG2778" s="3" t="s">
        <v>27282</v>
      </c>
    </row>
    <row r="2779" spans="1:59" ht="71.25" x14ac:dyDescent="0.45">
      <c r="A2779" s="2" t="s">
        <v>59</v>
      </c>
      <c r="B2779" s="2" t="s">
        <v>60</v>
      </c>
      <c r="C2779" s="2" t="s">
        <v>27283</v>
      </c>
      <c r="D2779" s="2" t="s">
        <v>27284</v>
      </c>
      <c r="E2779" s="2" t="s">
        <v>27285</v>
      </c>
      <c r="G2779" s="3" t="s">
        <v>62</v>
      </c>
      <c r="I2779" s="3" t="s">
        <v>61</v>
      </c>
      <c r="J2779" s="3" t="s">
        <v>62</v>
      </c>
      <c r="K2779" s="3" t="s">
        <v>63</v>
      </c>
      <c r="L2779" s="2" t="s">
        <v>27286</v>
      </c>
      <c r="M2779" s="2" t="s">
        <v>541</v>
      </c>
      <c r="N2779" s="3" t="s">
        <v>542</v>
      </c>
      <c r="P2779" s="3" t="s">
        <v>65</v>
      </c>
      <c r="Q2779" s="2" t="s">
        <v>21779</v>
      </c>
      <c r="R2779" s="3" t="s">
        <v>66</v>
      </c>
      <c r="S2779" s="4">
        <v>77</v>
      </c>
      <c r="T2779" s="4">
        <v>115</v>
      </c>
      <c r="U2779" s="5" t="s">
        <v>12639</v>
      </c>
      <c r="V2779" s="5" t="s">
        <v>14051</v>
      </c>
      <c r="W2779" s="5" t="s">
        <v>67</v>
      </c>
      <c r="X2779" s="5" t="s">
        <v>67</v>
      </c>
      <c r="Y2779" s="4">
        <v>431</v>
      </c>
      <c r="Z2779" s="4">
        <v>52</v>
      </c>
      <c r="AA2779" s="4">
        <v>74</v>
      </c>
      <c r="AB2779" s="4">
        <v>4</v>
      </c>
      <c r="AC2779" s="4">
        <v>11</v>
      </c>
      <c r="AD2779" s="4">
        <v>77</v>
      </c>
      <c r="AE2779" s="4">
        <v>140</v>
      </c>
      <c r="AF2779" s="4">
        <v>1</v>
      </c>
      <c r="AG2779" s="4">
        <v>4</v>
      </c>
      <c r="AH2779" s="4">
        <v>55</v>
      </c>
      <c r="AI2779" s="4">
        <v>108</v>
      </c>
      <c r="AJ2779" s="4">
        <v>20</v>
      </c>
      <c r="AK2779" s="4">
        <v>25</v>
      </c>
      <c r="AL2779" s="4">
        <v>27</v>
      </c>
      <c r="AM2779" s="4">
        <v>54</v>
      </c>
      <c r="AN2779" s="4">
        <v>0</v>
      </c>
      <c r="AO2779" s="4">
        <v>0</v>
      </c>
      <c r="AP2779" s="4">
        <v>32</v>
      </c>
      <c r="AQ2779" s="4">
        <v>43</v>
      </c>
      <c r="AR2779" s="3" t="s">
        <v>62</v>
      </c>
      <c r="AS2779" s="3" t="s">
        <v>62</v>
      </c>
      <c r="AT2779" s="3" t="s">
        <v>62</v>
      </c>
      <c r="AV2779" s="6" t="str">
        <f>HYPERLINK("http://mcgill.on.worldcat.org/oclc/54838521","Catalog Record")</f>
        <v>Catalog Record</v>
      </c>
      <c r="AW2779" s="6" t="str">
        <f>HYPERLINK("http://www.worldcat.org/oclc/54838521","WorldCat Record")</f>
        <v>WorldCat Record</v>
      </c>
      <c r="AX2779" s="3" t="s">
        <v>27287</v>
      </c>
      <c r="AY2779" s="3" t="s">
        <v>27288</v>
      </c>
      <c r="AZ2779" s="3" t="s">
        <v>27289</v>
      </c>
      <c r="BA2779" s="3" t="s">
        <v>27289</v>
      </c>
      <c r="BB2779" s="3" t="s">
        <v>27290</v>
      </c>
      <c r="BC2779" s="3" t="s">
        <v>142</v>
      </c>
      <c r="BD2779" s="3" t="s">
        <v>308</v>
      </c>
      <c r="BE2779" s="3" t="s">
        <v>27291</v>
      </c>
      <c r="BF2779" s="3" t="s">
        <v>27290</v>
      </c>
      <c r="BG2779" s="3" t="s">
        <v>27292</v>
      </c>
    </row>
    <row r="2780" spans="1:59" ht="71.25" x14ac:dyDescent="0.45">
      <c r="A2780" s="2" t="s">
        <v>59</v>
      </c>
      <c r="B2780" s="2" t="s">
        <v>60</v>
      </c>
      <c r="C2780" s="2" t="s">
        <v>27283</v>
      </c>
      <c r="D2780" s="2" t="s">
        <v>27284</v>
      </c>
      <c r="E2780" s="2" t="s">
        <v>27285</v>
      </c>
      <c r="G2780" s="3" t="s">
        <v>62</v>
      </c>
      <c r="I2780" s="3" t="s">
        <v>61</v>
      </c>
      <c r="J2780" s="3" t="s">
        <v>62</v>
      </c>
      <c r="K2780" s="3" t="s">
        <v>63</v>
      </c>
      <c r="L2780" s="2" t="s">
        <v>27286</v>
      </c>
      <c r="M2780" s="2" t="s">
        <v>541</v>
      </c>
      <c r="N2780" s="3" t="s">
        <v>542</v>
      </c>
      <c r="P2780" s="3" t="s">
        <v>65</v>
      </c>
      <c r="Q2780" s="2" t="s">
        <v>21779</v>
      </c>
      <c r="R2780" s="3" t="s">
        <v>66</v>
      </c>
      <c r="S2780" s="4">
        <v>38</v>
      </c>
      <c r="T2780" s="4">
        <v>115</v>
      </c>
      <c r="U2780" s="5" t="s">
        <v>14051</v>
      </c>
      <c r="V2780" s="5" t="s">
        <v>14051</v>
      </c>
      <c r="W2780" s="5" t="s">
        <v>67</v>
      </c>
      <c r="X2780" s="5" t="s">
        <v>67</v>
      </c>
      <c r="Y2780" s="4">
        <v>431</v>
      </c>
      <c r="Z2780" s="4">
        <v>52</v>
      </c>
      <c r="AA2780" s="4">
        <v>74</v>
      </c>
      <c r="AB2780" s="4">
        <v>4</v>
      </c>
      <c r="AC2780" s="4">
        <v>11</v>
      </c>
      <c r="AD2780" s="4">
        <v>77</v>
      </c>
      <c r="AE2780" s="4">
        <v>140</v>
      </c>
      <c r="AF2780" s="4">
        <v>1</v>
      </c>
      <c r="AG2780" s="4">
        <v>4</v>
      </c>
      <c r="AH2780" s="4">
        <v>55</v>
      </c>
      <c r="AI2780" s="4">
        <v>108</v>
      </c>
      <c r="AJ2780" s="4">
        <v>20</v>
      </c>
      <c r="AK2780" s="4">
        <v>25</v>
      </c>
      <c r="AL2780" s="4">
        <v>27</v>
      </c>
      <c r="AM2780" s="4">
        <v>54</v>
      </c>
      <c r="AN2780" s="4">
        <v>0</v>
      </c>
      <c r="AO2780" s="4">
        <v>0</v>
      </c>
      <c r="AP2780" s="4">
        <v>32</v>
      </c>
      <c r="AQ2780" s="4">
        <v>43</v>
      </c>
      <c r="AR2780" s="3" t="s">
        <v>62</v>
      </c>
      <c r="AS2780" s="3" t="s">
        <v>62</v>
      </c>
      <c r="AT2780" s="3" t="s">
        <v>62</v>
      </c>
      <c r="AV2780" s="6" t="str">
        <f>HYPERLINK("http://mcgill.on.worldcat.org/oclc/54838521","Catalog Record")</f>
        <v>Catalog Record</v>
      </c>
      <c r="AW2780" s="6" t="str">
        <f>HYPERLINK("http://www.worldcat.org/oclc/54838521","WorldCat Record")</f>
        <v>WorldCat Record</v>
      </c>
      <c r="AX2780" s="3" t="s">
        <v>27287</v>
      </c>
      <c r="AY2780" s="3" t="s">
        <v>27288</v>
      </c>
      <c r="AZ2780" s="3" t="s">
        <v>27289</v>
      </c>
      <c r="BA2780" s="3" t="s">
        <v>27289</v>
      </c>
      <c r="BB2780" s="3" t="s">
        <v>27293</v>
      </c>
      <c r="BC2780" s="3" t="s">
        <v>142</v>
      </c>
      <c r="BD2780" s="3" t="s">
        <v>308</v>
      </c>
      <c r="BE2780" s="3" t="s">
        <v>27291</v>
      </c>
      <c r="BF2780" s="3" t="s">
        <v>27293</v>
      </c>
      <c r="BG2780" s="3" t="s">
        <v>27294</v>
      </c>
    </row>
    <row r="2781" spans="1:59" ht="71.25" x14ac:dyDescent="0.45">
      <c r="A2781" s="2" t="s">
        <v>59</v>
      </c>
      <c r="B2781" s="2" t="s">
        <v>60</v>
      </c>
      <c r="C2781" s="2" t="s">
        <v>27295</v>
      </c>
      <c r="D2781" s="2" t="s">
        <v>27296</v>
      </c>
      <c r="E2781" s="2" t="s">
        <v>27297</v>
      </c>
      <c r="G2781" s="3" t="s">
        <v>62</v>
      </c>
      <c r="I2781" s="3" t="s">
        <v>62</v>
      </c>
      <c r="J2781" s="3" t="s">
        <v>62</v>
      </c>
      <c r="K2781" s="3" t="s">
        <v>63</v>
      </c>
      <c r="L2781" s="2" t="s">
        <v>27298</v>
      </c>
      <c r="M2781" s="2" t="s">
        <v>20129</v>
      </c>
      <c r="N2781" s="3" t="s">
        <v>1918</v>
      </c>
      <c r="P2781" s="3" t="s">
        <v>65</v>
      </c>
      <c r="Q2781" s="2" t="s">
        <v>21779</v>
      </c>
      <c r="R2781" s="3" t="s">
        <v>66</v>
      </c>
      <c r="S2781" s="4">
        <v>1</v>
      </c>
      <c r="T2781" s="4">
        <v>1</v>
      </c>
      <c r="U2781" s="5" t="s">
        <v>4283</v>
      </c>
      <c r="V2781" s="5" t="s">
        <v>4283</v>
      </c>
      <c r="W2781" s="5" t="s">
        <v>67</v>
      </c>
      <c r="X2781" s="5" t="s">
        <v>67</v>
      </c>
      <c r="Y2781" s="4">
        <v>88</v>
      </c>
      <c r="Z2781" s="4">
        <v>6</v>
      </c>
      <c r="AA2781" s="4">
        <v>23</v>
      </c>
      <c r="AB2781" s="4">
        <v>4</v>
      </c>
      <c r="AC2781" s="4">
        <v>13</v>
      </c>
      <c r="AD2781" s="4">
        <v>34</v>
      </c>
      <c r="AE2781" s="4">
        <v>61</v>
      </c>
      <c r="AF2781" s="4">
        <v>1</v>
      </c>
      <c r="AG2781" s="4">
        <v>5</v>
      </c>
      <c r="AH2781" s="4">
        <v>31</v>
      </c>
      <c r="AI2781" s="4">
        <v>51</v>
      </c>
      <c r="AJ2781" s="4">
        <v>2</v>
      </c>
      <c r="AK2781" s="4">
        <v>10</v>
      </c>
      <c r="AL2781" s="4">
        <v>23</v>
      </c>
      <c r="AM2781" s="4">
        <v>35</v>
      </c>
      <c r="AN2781" s="4">
        <v>0</v>
      </c>
      <c r="AO2781" s="4">
        <v>0</v>
      </c>
      <c r="AP2781" s="4">
        <v>3</v>
      </c>
      <c r="AQ2781" s="4">
        <v>12</v>
      </c>
      <c r="AR2781" s="3" t="s">
        <v>62</v>
      </c>
      <c r="AS2781" s="3" t="s">
        <v>62</v>
      </c>
      <c r="AT2781" s="3" t="s">
        <v>62</v>
      </c>
      <c r="AV2781" s="6" t="str">
        <f>HYPERLINK("http://mcgill.on.worldcat.org/oclc/978539883","Catalog Record")</f>
        <v>Catalog Record</v>
      </c>
      <c r="AW2781" s="6" t="str">
        <f>HYPERLINK("http://www.worldcat.org/oclc/978539883","WorldCat Record")</f>
        <v>WorldCat Record</v>
      </c>
      <c r="AX2781" s="3" t="s">
        <v>27299</v>
      </c>
      <c r="AY2781" s="3" t="s">
        <v>27300</v>
      </c>
      <c r="AZ2781" s="3" t="s">
        <v>27301</v>
      </c>
      <c r="BA2781" s="3" t="s">
        <v>27301</v>
      </c>
      <c r="BB2781" s="3" t="s">
        <v>27302</v>
      </c>
      <c r="BC2781" s="3" t="s">
        <v>142</v>
      </c>
      <c r="BD2781" s="3" t="s">
        <v>68</v>
      </c>
      <c r="BE2781" s="3" t="s">
        <v>27303</v>
      </c>
      <c r="BF2781" s="3" t="s">
        <v>27302</v>
      </c>
      <c r="BG2781" s="3" t="s">
        <v>27304</v>
      </c>
    </row>
    <row r="2782" spans="1:59" ht="71.25" x14ac:dyDescent="0.45">
      <c r="A2782" s="2" t="s">
        <v>59</v>
      </c>
      <c r="B2782" s="2" t="s">
        <v>60</v>
      </c>
      <c r="C2782" s="2" t="s">
        <v>27305</v>
      </c>
      <c r="D2782" s="2" t="s">
        <v>27306</v>
      </c>
      <c r="E2782" s="2" t="s">
        <v>27307</v>
      </c>
      <c r="G2782" s="3" t="s">
        <v>62</v>
      </c>
      <c r="I2782" s="3" t="s">
        <v>62</v>
      </c>
      <c r="J2782" s="3" t="s">
        <v>62</v>
      </c>
      <c r="K2782" s="3" t="s">
        <v>63</v>
      </c>
      <c r="L2782" s="2" t="s">
        <v>27308</v>
      </c>
      <c r="M2782" s="2" t="s">
        <v>20575</v>
      </c>
      <c r="N2782" s="3" t="s">
        <v>1465</v>
      </c>
      <c r="P2782" s="3" t="s">
        <v>65</v>
      </c>
      <c r="R2782" s="3" t="s">
        <v>66</v>
      </c>
      <c r="S2782" s="4">
        <v>6</v>
      </c>
      <c r="T2782" s="4">
        <v>6</v>
      </c>
      <c r="U2782" s="5" t="s">
        <v>27309</v>
      </c>
      <c r="V2782" s="5" t="s">
        <v>27309</v>
      </c>
      <c r="W2782" s="5" t="s">
        <v>67</v>
      </c>
      <c r="X2782" s="5" t="s">
        <v>67</v>
      </c>
      <c r="Y2782" s="4">
        <v>170</v>
      </c>
      <c r="Z2782" s="4">
        <v>13</v>
      </c>
      <c r="AA2782" s="4">
        <v>16</v>
      </c>
      <c r="AB2782" s="4">
        <v>2</v>
      </c>
      <c r="AC2782" s="4">
        <v>4</v>
      </c>
      <c r="AD2782" s="4">
        <v>38</v>
      </c>
      <c r="AE2782" s="4">
        <v>41</v>
      </c>
      <c r="AF2782" s="4">
        <v>1</v>
      </c>
      <c r="AG2782" s="4">
        <v>3</v>
      </c>
      <c r="AH2782" s="4">
        <v>34</v>
      </c>
      <c r="AI2782" s="4">
        <v>34</v>
      </c>
      <c r="AJ2782" s="4">
        <v>9</v>
      </c>
      <c r="AK2782" s="4">
        <v>12</v>
      </c>
      <c r="AL2782" s="4">
        <v>21</v>
      </c>
      <c r="AM2782" s="4">
        <v>21</v>
      </c>
      <c r="AN2782" s="4">
        <v>0</v>
      </c>
      <c r="AO2782" s="4">
        <v>0</v>
      </c>
      <c r="AP2782" s="4">
        <v>10</v>
      </c>
      <c r="AQ2782" s="4">
        <v>12</v>
      </c>
      <c r="AR2782" s="3" t="s">
        <v>62</v>
      </c>
      <c r="AS2782" s="3" t="s">
        <v>62</v>
      </c>
      <c r="AT2782" s="3" t="s">
        <v>62</v>
      </c>
      <c r="AV2782" s="6" t="str">
        <f>HYPERLINK("http://mcgill.on.worldcat.org/oclc/435544594","Catalog Record")</f>
        <v>Catalog Record</v>
      </c>
      <c r="AW2782" s="6" t="str">
        <f>HYPERLINK("http://www.worldcat.org/oclc/435544594","WorldCat Record")</f>
        <v>WorldCat Record</v>
      </c>
      <c r="AX2782" s="3" t="s">
        <v>27310</v>
      </c>
      <c r="AY2782" s="3" t="s">
        <v>27311</v>
      </c>
      <c r="AZ2782" s="3" t="s">
        <v>27312</v>
      </c>
      <c r="BA2782" s="3" t="s">
        <v>27312</v>
      </c>
      <c r="BB2782" s="3" t="s">
        <v>27313</v>
      </c>
      <c r="BC2782" s="3" t="s">
        <v>142</v>
      </c>
      <c r="BD2782" s="3" t="s">
        <v>68</v>
      </c>
      <c r="BE2782" s="3" t="s">
        <v>27314</v>
      </c>
      <c r="BF2782" s="3" t="s">
        <v>27313</v>
      </c>
      <c r="BG2782" s="3" t="s">
        <v>27315</v>
      </c>
    </row>
    <row r="2783" spans="1:59" ht="71.25" x14ac:dyDescent="0.45">
      <c r="A2783" s="2" t="s">
        <v>59</v>
      </c>
      <c r="B2783" s="2" t="s">
        <v>60</v>
      </c>
      <c r="C2783" s="2" t="s">
        <v>27316</v>
      </c>
      <c r="D2783" s="2" t="s">
        <v>27317</v>
      </c>
      <c r="E2783" s="2" t="s">
        <v>27318</v>
      </c>
      <c r="G2783" s="3" t="s">
        <v>62</v>
      </c>
      <c r="I2783" s="3" t="s">
        <v>62</v>
      </c>
      <c r="J2783" s="3" t="s">
        <v>61</v>
      </c>
      <c r="K2783" s="3" t="s">
        <v>63</v>
      </c>
      <c r="L2783" s="2" t="s">
        <v>13305</v>
      </c>
      <c r="M2783" s="2" t="s">
        <v>23462</v>
      </c>
      <c r="N2783" s="3" t="s">
        <v>1239</v>
      </c>
      <c r="P2783" s="3" t="s">
        <v>65</v>
      </c>
      <c r="Q2783" s="2" t="s">
        <v>12823</v>
      </c>
      <c r="R2783" s="3" t="s">
        <v>66</v>
      </c>
      <c r="S2783" s="4">
        <v>101</v>
      </c>
      <c r="T2783" s="4">
        <v>101</v>
      </c>
      <c r="U2783" s="5" t="s">
        <v>27319</v>
      </c>
      <c r="V2783" s="5" t="s">
        <v>27319</v>
      </c>
      <c r="W2783" s="5" t="s">
        <v>67</v>
      </c>
      <c r="X2783" s="5" t="s">
        <v>67</v>
      </c>
      <c r="Y2783" s="4">
        <v>1127</v>
      </c>
      <c r="Z2783" s="4">
        <v>70</v>
      </c>
      <c r="AA2783" s="4">
        <v>83</v>
      </c>
      <c r="AB2783" s="4">
        <v>3</v>
      </c>
      <c r="AC2783" s="4">
        <v>8</v>
      </c>
      <c r="AD2783" s="4">
        <v>140</v>
      </c>
      <c r="AE2783" s="4">
        <v>148</v>
      </c>
      <c r="AF2783" s="4">
        <v>1</v>
      </c>
      <c r="AG2783" s="4">
        <v>5</v>
      </c>
      <c r="AH2783" s="4">
        <v>113</v>
      </c>
      <c r="AI2783" s="4">
        <v>114</v>
      </c>
      <c r="AJ2783" s="4">
        <v>24</v>
      </c>
      <c r="AK2783" s="4">
        <v>27</v>
      </c>
      <c r="AL2783" s="4">
        <v>58</v>
      </c>
      <c r="AM2783" s="4">
        <v>58</v>
      </c>
      <c r="AN2783" s="4">
        <v>0</v>
      </c>
      <c r="AO2783" s="4">
        <v>0</v>
      </c>
      <c r="AP2783" s="4">
        <v>36</v>
      </c>
      <c r="AQ2783" s="4">
        <v>43</v>
      </c>
      <c r="AR2783" s="3" t="s">
        <v>62</v>
      </c>
      <c r="AS2783" s="3" t="s">
        <v>62</v>
      </c>
      <c r="AT2783" s="3" t="s">
        <v>61</v>
      </c>
      <c r="AU2783" s="6" t="str">
        <f>HYPERLINK("http://catalog.hathitrust.org/Record/001529835","HathiTrust Record")</f>
        <v>HathiTrust Record</v>
      </c>
      <c r="AV2783" s="6" t="str">
        <f>HYPERLINK("http://mcgill.on.worldcat.org/oclc/18291588","Catalog Record")</f>
        <v>Catalog Record</v>
      </c>
      <c r="AW2783" s="6" t="str">
        <f>HYPERLINK("http://www.worldcat.org/oclc/18291588","WorldCat Record")</f>
        <v>WorldCat Record</v>
      </c>
      <c r="AX2783" s="3" t="s">
        <v>27320</v>
      </c>
      <c r="AY2783" s="3" t="s">
        <v>27321</v>
      </c>
      <c r="AZ2783" s="3" t="s">
        <v>27322</v>
      </c>
      <c r="BA2783" s="3" t="s">
        <v>27322</v>
      </c>
      <c r="BB2783" s="3" t="s">
        <v>27323</v>
      </c>
      <c r="BC2783" s="3" t="s">
        <v>142</v>
      </c>
      <c r="BD2783" s="3" t="s">
        <v>68</v>
      </c>
      <c r="BE2783" s="3" t="s">
        <v>27324</v>
      </c>
      <c r="BF2783" s="3" t="s">
        <v>27323</v>
      </c>
      <c r="BG2783" s="3" t="s">
        <v>27325</v>
      </c>
    </row>
    <row r="2784" spans="1:59" ht="71.25" x14ac:dyDescent="0.45">
      <c r="A2784" s="2" t="s">
        <v>59</v>
      </c>
      <c r="B2784" s="2" t="s">
        <v>60</v>
      </c>
      <c r="C2784" s="2" t="s">
        <v>27326</v>
      </c>
      <c r="D2784" s="2" t="s">
        <v>27327</v>
      </c>
      <c r="E2784" s="2" t="s">
        <v>27328</v>
      </c>
      <c r="G2784" s="3" t="s">
        <v>62</v>
      </c>
      <c r="I2784" s="3" t="s">
        <v>62</v>
      </c>
      <c r="J2784" s="3" t="s">
        <v>62</v>
      </c>
      <c r="K2784" s="3" t="s">
        <v>63</v>
      </c>
      <c r="M2784" s="2" t="s">
        <v>27329</v>
      </c>
      <c r="N2784" s="3" t="s">
        <v>149</v>
      </c>
      <c r="P2784" s="3" t="s">
        <v>65</v>
      </c>
      <c r="R2784" s="3" t="s">
        <v>66</v>
      </c>
      <c r="S2784" s="4">
        <v>3</v>
      </c>
      <c r="T2784" s="4">
        <v>3</v>
      </c>
      <c r="U2784" s="5" t="s">
        <v>27330</v>
      </c>
      <c r="V2784" s="5" t="s">
        <v>27330</v>
      </c>
      <c r="W2784" s="5" t="s">
        <v>67</v>
      </c>
      <c r="X2784" s="5" t="s">
        <v>67</v>
      </c>
      <c r="Y2784" s="4">
        <v>371</v>
      </c>
      <c r="Z2784" s="4">
        <v>27</v>
      </c>
      <c r="AA2784" s="4">
        <v>33</v>
      </c>
      <c r="AB2784" s="4">
        <v>2</v>
      </c>
      <c r="AC2784" s="4">
        <v>5</v>
      </c>
      <c r="AD2784" s="4">
        <v>100</v>
      </c>
      <c r="AE2784" s="4">
        <v>105</v>
      </c>
      <c r="AF2784" s="4">
        <v>1</v>
      </c>
      <c r="AG2784" s="4">
        <v>3</v>
      </c>
      <c r="AH2784" s="4">
        <v>90</v>
      </c>
      <c r="AI2784" s="4">
        <v>91</v>
      </c>
      <c r="AJ2784" s="4">
        <v>15</v>
      </c>
      <c r="AK2784" s="4">
        <v>18</v>
      </c>
      <c r="AL2784" s="4">
        <v>47</v>
      </c>
      <c r="AM2784" s="4">
        <v>47</v>
      </c>
      <c r="AN2784" s="4">
        <v>0</v>
      </c>
      <c r="AO2784" s="4">
        <v>0</v>
      </c>
      <c r="AP2784" s="4">
        <v>19</v>
      </c>
      <c r="AQ2784" s="4">
        <v>24</v>
      </c>
      <c r="AR2784" s="3" t="s">
        <v>62</v>
      </c>
      <c r="AS2784" s="3" t="s">
        <v>62</v>
      </c>
      <c r="AT2784" s="3" t="s">
        <v>62</v>
      </c>
      <c r="AV2784" s="6" t="str">
        <f>HYPERLINK("http://mcgill.on.worldcat.org/oclc/318874998","Catalog Record")</f>
        <v>Catalog Record</v>
      </c>
      <c r="AW2784" s="6" t="str">
        <f>HYPERLINK("http://www.worldcat.org/oclc/318874998","WorldCat Record")</f>
        <v>WorldCat Record</v>
      </c>
      <c r="AX2784" s="3" t="s">
        <v>27331</v>
      </c>
      <c r="AY2784" s="3" t="s">
        <v>27332</v>
      </c>
      <c r="AZ2784" s="3" t="s">
        <v>27333</v>
      </c>
      <c r="BA2784" s="3" t="s">
        <v>27333</v>
      </c>
      <c r="BB2784" s="3" t="s">
        <v>27334</v>
      </c>
      <c r="BC2784" s="3" t="s">
        <v>142</v>
      </c>
      <c r="BD2784" s="3" t="s">
        <v>68</v>
      </c>
      <c r="BE2784" s="3" t="s">
        <v>27335</v>
      </c>
      <c r="BF2784" s="3" t="s">
        <v>27334</v>
      </c>
      <c r="BG2784" s="3" t="s">
        <v>27336</v>
      </c>
    </row>
    <row r="2785" spans="1:59" ht="71.25" x14ac:dyDescent="0.45">
      <c r="A2785" s="2" t="s">
        <v>59</v>
      </c>
      <c r="B2785" s="2" t="s">
        <v>60</v>
      </c>
      <c r="C2785" s="2" t="s">
        <v>27337</v>
      </c>
      <c r="D2785" s="2" t="s">
        <v>27338</v>
      </c>
      <c r="E2785" s="2" t="s">
        <v>27339</v>
      </c>
      <c r="G2785" s="3" t="s">
        <v>62</v>
      </c>
      <c r="I2785" s="3" t="s">
        <v>62</v>
      </c>
      <c r="J2785" s="3" t="s">
        <v>62</v>
      </c>
      <c r="K2785" s="3" t="s">
        <v>63</v>
      </c>
      <c r="M2785" s="2" t="s">
        <v>27340</v>
      </c>
      <c r="N2785" s="3" t="s">
        <v>1097</v>
      </c>
      <c r="P2785" s="3" t="s">
        <v>65</v>
      </c>
      <c r="R2785" s="3" t="s">
        <v>66</v>
      </c>
      <c r="S2785" s="4">
        <v>31</v>
      </c>
      <c r="T2785" s="4">
        <v>31</v>
      </c>
      <c r="U2785" s="5" t="s">
        <v>9767</v>
      </c>
      <c r="V2785" s="5" t="s">
        <v>9767</v>
      </c>
      <c r="W2785" s="5" t="s">
        <v>67</v>
      </c>
      <c r="X2785" s="5" t="s">
        <v>67</v>
      </c>
      <c r="Y2785" s="4">
        <v>583</v>
      </c>
      <c r="Z2785" s="4">
        <v>42</v>
      </c>
      <c r="AA2785" s="4">
        <v>53</v>
      </c>
      <c r="AB2785" s="4">
        <v>2</v>
      </c>
      <c r="AC2785" s="4">
        <v>7</v>
      </c>
      <c r="AD2785" s="4">
        <v>125</v>
      </c>
      <c r="AE2785" s="4">
        <v>134</v>
      </c>
      <c r="AF2785" s="4">
        <v>1</v>
      </c>
      <c r="AG2785" s="4">
        <v>4</v>
      </c>
      <c r="AH2785" s="4">
        <v>102</v>
      </c>
      <c r="AI2785" s="4">
        <v>107</v>
      </c>
      <c r="AJ2785" s="4">
        <v>17</v>
      </c>
      <c r="AK2785" s="4">
        <v>24</v>
      </c>
      <c r="AL2785" s="4">
        <v>53</v>
      </c>
      <c r="AM2785" s="4">
        <v>54</v>
      </c>
      <c r="AN2785" s="4">
        <v>0</v>
      </c>
      <c r="AO2785" s="4">
        <v>0</v>
      </c>
      <c r="AP2785" s="4">
        <v>29</v>
      </c>
      <c r="AQ2785" s="4">
        <v>36</v>
      </c>
      <c r="AR2785" s="3" t="s">
        <v>62</v>
      </c>
      <c r="AS2785" s="3" t="s">
        <v>62</v>
      </c>
      <c r="AT2785" s="3" t="s">
        <v>61</v>
      </c>
      <c r="AU2785" s="6" t="str">
        <f>HYPERLINK("http://catalog.hathitrust.org/Record/004361935","HathiTrust Record")</f>
        <v>HathiTrust Record</v>
      </c>
      <c r="AV2785" s="6" t="str">
        <f>HYPERLINK("http://mcgill.on.worldcat.org/oclc/52587503","Catalog Record")</f>
        <v>Catalog Record</v>
      </c>
      <c r="AW2785" s="6" t="str">
        <f>HYPERLINK("http://www.worldcat.org/oclc/52587503","WorldCat Record")</f>
        <v>WorldCat Record</v>
      </c>
      <c r="AX2785" s="3" t="s">
        <v>27341</v>
      </c>
      <c r="AY2785" s="3" t="s">
        <v>27342</v>
      </c>
      <c r="AZ2785" s="3" t="s">
        <v>27343</v>
      </c>
      <c r="BA2785" s="3" t="s">
        <v>27343</v>
      </c>
      <c r="BB2785" s="3" t="s">
        <v>27344</v>
      </c>
      <c r="BC2785" s="3" t="s">
        <v>142</v>
      </c>
      <c r="BD2785" s="3" t="s">
        <v>68</v>
      </c>
      <c r="BE2785" s="3" t="s">
        <v>27345</v>
      </c>
      <c r="BF2785" s="3" t="s">
        <v>27344</v>
      </c>
      <c r="BG2785" s="3" t="s">
        <v>27346</v>
      </c>
    </row>
    <row r="2786" spans="1:59" ht="57" x14ac:dyDescent="0.45">
      <c r="A2786" s="2" t="s">
        <v>59</v>
      </c>
      <c r="B2786" s="2" t="s">
        <v>60</v>
      </c>
      <c r="C2786" s="2" t="s">
        <v>27347</v>
      </c>
      <c r="D2786" s="2" t="s">
        <v>27348</v>
      </c>
      <c r="E2786" s="2" t="s">
        <v>27349</v>
      </c>
      <c r="G2786" s="3" t="s">
        <v>62</v>
      </c>
      <c r="I2786" s="3" t="s">
        <v>61</v>
      </c>
      <c r="J2786" s="3" t="s">
        <v>61</v>
      </c>
      <c r="K2786" s="3" t="s">
        <v>63</v>
      </c>
      <c r="M2786" s="2" t="s">
        <v>11266</v>
      </c>
      <c r="N2786" s="3" t="s">
        <v>918</v>
      </c>
      <c r="P2786" s="3" t="s">
        <v>65</v>
      </c>
      <c r="R2786" s="3" t="s">
        <v>66</v>
      </c>
      <c r="S2786" s="4">
        <v>19</v>
      </c>
      <c r="T2786" s="4">
        <v>34</v>
      </c>
      <c r="U2786" s="5" t="s">
        <v>27350</v>
      </c>
      <c r="V2786" s="5" t="s">
        <v>25228</v>
      </c>
      <c r="W2786" s="5" t="s">
        <v>67</v>
      </c>
      <c r="X2786" s="5" t="s">
        <v>67</v>
      </c>
      <c r="Y2786" s="4">
        <v>394</v>
      </c>
      <c r="Z2786" s="4">
        <v>31</v>
      </c>
      <c r="AA2786" s="4">
        <v>51</v>
      </c>
      <c r="AB2786" s="4">
        <v>1</v>
      </c>
      <c r="AC2786" s="4">
        <v>8</v>
      </c>
      <c r="AD2786" s="4">
        <v>78</v>
      </c>
      <c r="AE2786" s="4">
        <v>107</v>
      </c>
      <c r="AF2786" s="4">
        <v>0</v>
      </c>
      <c r="AG2786" s="4">
        <v>4</v>
      </c>
      <c r="AH2786" s="4">
        <v>67</v>
      </c>
      <c r="AI2786" s="4">
        <v>86</v>
      </c>
      <c r="AJ2786" s="4">
        <v>12</v>
      </c>
      <c r="AK2786" s="4">
        <v>20</v>
      </c>
      <c r="AL2786" s="4">
        <v>35</v>
      </c>
      <c r="AM2786" s="4">
        <v>47</v>
      </c>
      <c r="AN2786" s="4">
        <v>0</v>
      </c>
      <c r="AO2786" s="4">
        <v>0</v>
      </c>
      <c r="AP2786" s="4">
        <v>19</v>
      </c>
      <c r="AQ2786" s="4">
        <v>32</v>
      </c>
      <c r="AR2786" s="3" t="s">
        <v>62</v>
      </c>
      <c r="AS2786" s="3" t="s">
        <v>62</v>
      </c>
      <c r="AT2786" s="3" t="s">
        <v>62</v>
      </c>
      <c r="AV2786" s="6" t="str">
        <f>HYPERLINK("http://mcgill.on.worldcat.org/oclc/49785856","Catalog Record")</f>
        <v>Catalog Record</v>
      </c>
      <c r="AW2786" s="6" t="str">
        <f>HYPERLINK("http://www.worldcat.org/oclc/49785856","WorldCat Record")</f>
        <v>WorldCat Record</v>
      </c>
      <c r="AX2786" s="3" t="s">
        <v>27351</v>
      </c>
      <c r="AY2786" s="3" t="s">
        <v>27352</v>
      </c>
      <c r="AZ2786" s="3" t="s">
        <v>27353</v>
      </c>
      <c r="BA2786" s="3" t="s">
        <v>27353</v>
      </c>
      <c r="BB2786" s="3" t="s">
        <v>27354</v>
      </c>
      <c r="BC2786" s="3" t="s">
        <v>142</v>
      </c>
      <c r="BD2786" s="3" t="s">
        <v>68</v>
      </c>
      <c r="BE2786" s="3" t="s">
        <v>27355</v>
      </c>
      <c r="BF2786" s="3" t="s">
        <v>27354</v>
      </c>
      <c r="BG2786" s="3" t="s">
        <v>27356</v>
      </c>
    </row>
    <row r="2787" spans="1:59" ht="57" x14ac:dyDescent="0.45">
      <c r="A2787" s="2" t="s">
        <v>59</v>
      </c>
      <c r="B2787" s="2" t="s">
        <v>60</v>
      </c>
      <c r="C2787" s="2" t="s">
        <v>27347</v>
      </c>
      <c r="D2787" s="2" t="s">
        <v>27348</v>
      </c>
      <c r="E2787" s="2" t="s">
        <v>27349</v>
      </c>
      <c r="G2787" s="3" t="s">
        <v>62</v>
      </c>
      <c r="I2787" s="3" t="s">
        <v>61</v>
      </c>
      <c r="J2787" s="3" t="s">
        <v>61</v>
      </c>
      <c r="K2787" s="3" t="s">
        <v>63</v>
      </c>
      <c r="M2787" s="2" t="s">
        <v>11266</v>
      </c>
      <c r="N2787" s="3" t="s">
        <v>918</v>
      </c>
      <c r="P2787" s="3" t="s">
        <v>65</v>
      </c>
      <c r="R2787" s="3" t="s">
        <v>66</v>
      </c>
      <c r="S2787" s="4">
        <v>15</v>
      </c>
      <c r="T2787" s="4">
        <v>34</v>
      </c>
      <c r="U2787" s="5" t="s">
        <v>25228</v>
      </c>
      <c r="V2787" s="5" t="s">
        <v>25228</v>
      </c>
      <c r="W2787" s="5" t="s">
        <v>67</v>
      </c>
      <c r="X2787" s="5" t="s">
        <v>67</v>
      </c>
      <c r="Y2787" s="4">
        <v>394</v>
      </c>
      <c r="Z2787" s="4">
        <v>31</v>
      </c>
      <c r="AA2787" s="4">
        <v>51</v>
      </c>
      <c r="AB2787" s="4">
        <v>1</v>
      </c>
      <c r="AC2787" s="4">
        <v>8</v>
      </c>
      <c r="AD2787" s="4">
        <v>78</v>
      </c>
      <c r="AE2787" s="4">
        <v>107</v>
      </c>
      <c r="AF2787" s="4">
        <v>0</v>
      </c>
      <c r="AG2787" s="4">
        <v>4</v>
      </c>
      <c r="AH2787" s="4">
        <v>67</v>
      </c>
      <c r="AI2787" s="4">
        <v>86</v>
      </c>
      <c r="AJ2787" s="4">
        <v>12</v>
      </c>
      <c r="AK2787" s="4">
        <v>20</v>
      </c>
      <c r="AL2787" s="4">
        <v>35</v>
      </c>
      <c r="AM2787" s="4">
        <v>47</v>
      </c>
      <c r="AN2787" s="4">
        <v>0</v>
      </c>
      <c r="AO2787" s="4">
        <v>0</v>
      </c>
      <c r="AP2787" s="4">
        <v>19</v>
      </c>
      <c r="AQ2787" s="4">
        <v>32</v>
      </c>
      <c r="AR2787" s="3" t="s">
        <v>62</v>
      </c>
      <c r="AS2787" s="3" t="s">
        <v>62</v>
      </c>
      <c r="AT2787" s="3" t="s">
        <v>62</v>
      </c>
      <c r="AV2787" s="6" t="str">
        <f>HYPERLINK("http://mcgill.on.worldcat.org/oclc/49785856","Catalog Record")</f>
        <v>Catalog Record</v>
      </c>
      <c r="AW2787" s="6" t="str">
        <f>HYPERLINK("http://www.worldcat.org/oclc/49785856","WorldCat Record")</f>
        <v>WorldCat Record</v>
      </c>
      <c r="AX2787" s="3" t="s">
        <v>27351</v>
      </c>
      <c r="AY2787" s="3" t="s">
        <v>27352</v>
      </c>
      <c r="AZ2787" s="3" t="s">
        <v>27353</v>
      </c>
      <c r="BA2787" s="3" t="s">
        <v>27353</v>
      </c>
      <c r="BB2787" s="3" t="s">
        <v>27357</v>
      </c>
      <c r="BC2787" s="3" t="s">
        <v>142</v>
      </c>
      <c r="BD2787" s="3" t="s">
        <v>68</v>
      </c>
      <c r="BE2787" s="3" t="s">
        <v>27355</v>
      </c>
      <c r="BF2787" s="3" t="s">
        <v>27357</v>
      </c>
      <c r="BG2787" s="3" t="s">
        <v>27358</v>
      </c>
    </row>
    <row r="2788" spans="1:59" ht="57" x14ac:dyDescent="0.45">
      <c r="A2788" s="2" t="s">
        <v>59</v>
      </c>
      <c r="B2788" s="2" t="s">
        <v>60</v>
      </c>
      <c r="C2788" s="2" t="s">
        <v>27359</v>
      </c>
      <c r="D2788" s="2" t="s">
        <v>27360</v>
      </c>
      <c r="E2788" s="2" t="s">
        <v>27349</v>
      </c>
      <c r="G2788" s="3" t="s">
        <v>62</v>
      </c>
      <c r="I2788" s="3" t="s">
        <v>62</v>
      </c>
      <c r="J2788" s="3" t="s">
        <v>61</v>
      </c>
      <c r="K2788" s="3" t="s">
        <v>63</v>
      </c>
      <c r="M2788" s="2" t="s">
        <v>27361</v>
      </c>
      <c r="N2788" s="3" t="s">
        <v>1465</v>
      </c>
      <c r="O2788" s="2" t="s">
        <v>933</v>
      </c>
      <c r="P2788" s="3" t="s">
        <v>65</v>
      </c>
      <c r="R2788" s="3" t="s">
        <v>66</v>
      </c>
      <c r="S2788" s="4">
        <v>9</v>
      </c>
      <c r="T2788" s="4">
        <v>9</v>
      </c>
      <c r="U2788" s="5" t="s">
        <v>10727</v>
      </c>
      <c r="V2788" s="5" t="s">
        <v>10727</v>
      </c>
      <c r="W2788" s="5" t="s">
        <v>67</v>
      </c>
      <c r="X2788" s="5" t="s">
        <v>67</v>
      </c>
      <c r="Y2788" s="4">
        <v>332</v>
      </c>
      <c r="Z2788" s="4">
        <v>23</v>
      </c>
      <c r="AA2788" s="4">
        <v>51</v>
      </c>
      <c r="AB2788" s="4">
        <v>1</v>
      </c>
      <c r="AC2788" s="4">
        <v>8</v>
      </c>
      <c r="AD2788" s="4">
        <v>53</v>
      </c>
      <c r="AE2788" s="4">
        <v>107</v>
      </c>
      <c r="AF2788" s="4">
        <v>0</v>
      </c>
      <c r="AG2788" s="4">
        <v>4</v>
      </c>
      <c r="AH2788" s="4">
        <v>43</v>
      </c>
      <c r="AI2788" s="4">
        <v>86</v>
      </c>
      <c r="AJ2788" s="4">
        <v>10</v>
      </c>
      <c r="AK2788" s="4">
        <v>20</v>
      </c>
      <c r="AL2788" s="4">
        <v>24</v>
      </c>
      <c r="AM2788" s="4">
        <v>47</v>
      </c>
      <c r="AN2788" s="4">
        <v>0</v>
      </c>
      <c r="AO2788" s="4">
        <v>0</v>
      </c>
      <c r="AP2788" s="4">
        <v>17</v>
      </c>
      <c r="AQ2788" s="4">
        <v>32</v>
      </c>
      <c r="AR2788" s="3" t="s">
        <v>62</v>
      </c>
      <c r="AS2788" s="3" t="s">
        <v>62</v>
      </c>
      <c r="AT2788" s="3" t="s">
        <v>61</v>
      </c>
      <c r="AU2788" s="6" t="str">
        <f>HYPERLINK("http://catalog.hathitrust.org/Record/006308894","HathiTrust Record")</f>
        <v>HathiTrust Record</v>
      </c>
      <c r="AV2788" s="6" t="str">
        <f>HYPERLINK("http://mcgill.on.worldcat.org/oclc/231884257","Catalog Record")</f>
        <v>Catalog Record</v>
      </c>
      <c r="AW2788" s="6" t="str">
        <f>HYPERLINK("http://www.worldcat.org/oclc/231884257","WorldCat Record")</f>
        <v>WorldCat Record</v>
      </c>
      <c r="AX2788" s="3" t="s">
        <v>27351</v>
      </c>
      <c r="AY2788" s="3" t="s">
        <v>27362</v>
      </c>
      <c r="AZ2788" s="3" t="s">
        <v>27363</v>
      </c>
      <c r="BA2788" s="3" t="s">
        <v>27363</v>
      </c>
      <c r="BB2788" s="3" t="s">
        <v>27364</v>
      </c>
      <c r="BC2788" s="3" t="s">
        <v>142</v>
      </c>
      <c r="BD2788" s="3" t="s">
        <v>68</v>
      </c>
      <c r="BE2788" s="3" t="s">
        <v>27365</v>
      </c>
      <c r="BF2788" s="3" t="s">
        <v>27364</v>
      </c>
      <c r="BG2788" s="3" t="s">
        <v>27366</v>
      </c>
    </row>
    <row r="2789" spans="1:59" ht="57" x14ac:dyDescent="0.45">
      <c r="A2789" s="2" t="s">
        <v>59</v>
      </c>
      <c r="B2789" s="2" t="s">
        <v>60</v>
      </c>
      <c r="C2789" s="2" t="s">
        <v>27367</v>
      </c>
      <c r="D2789" s="2" t="s">
        <v>27368</v>
      </c>
      <c r="E2789" s="2" t="s">
        <v>27369</v>
      </c>
      <c r="G2789" s="3" t="s">
        <v>62</v>
      </c>
      <c r="I2789" s="3" t="s">
        <v>62</v>
      </c>
      <c r="J2789" s="3" t="s">
        <v>62</v>
      </c>
      <c r="K2789" s="3" t="s">
        <v>63</v>
      </c>
      <c r="L2789" s="2" t="s">
        <v>27370</v>
      </c>
      <c r="M2789" s="2" t="s">
        <v>27371</v>
      </c>
      <c r="N2789" s="3" t="s">
        <v>1437</v>
      </c>
      <c r="P2789" s="3" t="s">
        <v>65</v>
      </c>
      <c r="R2789" s="3" t="s">
        <v>66</v>
      </c>
      <c r="S2789" s="4">
        <v>19</v>
      </c>
      <c r="T2789" s="4">
        <v>19</v>
      </c>
      <c r="U2789" s="5" t="s">
        <v>5254</v>
      </c>
      <c r="V2789" s="5" t="s">
        <v>5254</v>
      </c>
      <c r="W2789" s="5" t="s">
        <v>67</v>
      </c>
      <c r="X2789" s="5" t="s">
        <v>67</v>
      </c>
      <c r="Y2789" s="4">
        <v>830</v>
      </c>
      <c r="Z2789" s="4">
        <v>44</v>
      </c>
      <c r="AA2789" s="4">
        <v>66</v>
      </c>
      <c r="AB2789" s="4">
        <v>2</v>
      </c>
      <c r="AC2789" s="4">
        <v>9</v>
      </c>
      <c r="AD2789" s="4">
        <v>128</v>
      </c>
      <c r="AE2789" s="4">
        <v>141</v>
      </c>
      <c r="AF2789" s="4">
        <v>1</v>
      </c>
      <c r="AG2789" s="4">
        <v>4</v>
      </c>
      <c r="AH2789" s="4">
        <v>110</v>
      </c>
      <c r="AI2789" s="4">
        <v>112</v>
      </c>
      <c r="AJ2789" s="4">
        <v>21</v>
      </c>
      <c r="AK2789" s="4">
        <v>23</v>
      </c>
      <c r="AL2789" s="4">
        <v>59</v>
      </c>
      <c r="AM2789" s="4">
        <v>61</v>
      </c>
      <c r="AN2789" s="4">
        <v>0</v>
      </c>
      <c r="AO2789" s="4">
        <v>0</v>
      </c>
      <c r="AP2789" s="4">
        <v>26</v>
      </c>
      <c r="AQ2789" s="4">
        <v>36</v>
      </c>
      <c r="AR2789" s="3" t="s">
        <v>62</v>
      </c>
      <c r="AS2789" s="3" t="s">
        <v>62</v>
      </c>
      <c r="AT2789" s="3" t="s">
        <v>61</v>
      </c>
      <c r="AU2789" s="6" t="str">
        <f>HYPERLINK("http://catalog.hathitrust.org/Record/003978216","HathiTrust Record")</f>
        <v>HathiTrust Record</v>
      </c>
      <c r="AV2789" s="6" t="str">
        <f>HYPERLINK("http://mcgill.on.worldcat.org/oclc/37819954","Catalog Record")</f>
        <v>Catalog Record</v>
      </c>
      <c r="AW2789" s="6" t="str">
        <f>HYPERLINK("http://www.worldcat.org/oclc/37819954","WorldCat Record")</f>
        <v>WorldCat Record</v>
      </c>
      <c r="AX2789" s="3" t="s">
        <v>27372</v>
      </c>
      <c r="AY2789" s="3" t="s">
        <v>27373</v>
      </c>
      <c r="AZ2789" s="3" t="s">
        <v>27374</v>
      </c>
      <c r="BA2789" s="3" t="s">
        <v>27374</v>
      </c>
      <c r="BB2789" s="3" t="s">
        <v>27375</v>
      </c>
      <c r="BC2789" s="3" t="s">
        <v>142</v>
      </c>
      <c r="BD2789" s="3" t="s">
        <v>308</v>
      </c>
      <c r="BE2789" s="3" t="s">
        <v>27376</v>
      </c>
      <c r="BF2789" s="3" t="s">
        <v>27375</v>
      </c>
      <c r="BG2789" s="3" t="s">
        <v>27377</v>
      </c>
    </row>
    <row r="2790" spans="1:59" ht="57" x14ac:dyDescent="0.45">
      <c r="A2790" s="2" t="s">
        <v>59</v>
      </c>
      <c r="B2790" s="2" t="s">
        <v>60</v>
      </c>
      <c r="C2790" s="2" t="s">
        <v>27378</v>
      </c>
      <c r="D2790" s="2" t="s">
        <v>27379</v>
      </c>
      <c r="E2790" s="2" t="s">
        <v>27380</v>
      </c>
      <c r="G2790" s="3" t="s">
        <v>62</v>
      </c>
      <c r="I2790" s="3" t="s">
        <v>62</v>
      </c>
      <c r="J2790" s="3" t="s">
        <v>62</v>
      </c>
      <c r="K2790" s="3" t="s">
        <v>63</v>
      </c>
      <c r="L2790" s="2" t="s">
        <v>27381</v>
      </c>
      <c r="M2790" s="2" t="s">
        <v>27382</v>
      </c>
      <c r="N2790" s="3" t="s">
        <v>958</v>
      </c>
      <c r="P2790" s="3" t="s">
        <v>65</v>
      </c>
      <c r="R2790" s="3" t="s">
        <v>66</v>
      </c>
      <c r="S2790" s="4">
        <v>88</v>
      </c>
      <c r="T2790" s="4">
        <v>88</v>
      </c>
      <c r="U2790" s="5" t="s">
        <v>5594</v>
      </c>
      <c r="V2790" s="5" t="s">
        <v>5594</v>
      </c>
      <c r="W2790" s="5" t="s">
        <v>67</v>
      </c>
      <c r="X2790" s="5" t="s">
        <v>67</v>
      </c>
      <c r="Y2790" s="4">
        <v>353</v>
      </c>
      <c r="Z2790" s="4">
        <v>25</v>
      </c>
      <c r="AA2790" s="4">
        <v>30</v>
      </c>
      <c r="AB2790" s="4">
        <v>2</v>
      </c>
      <c r="AC2790" s="4">
        <v>7</v>
      </c>
      <c r="AD2790" s="4">
        <v>107</v>
      </c>
      <c r="AE2790" s="4">
        <v>110</v>
      </c>
      <c r="AF2790" s="4">
        <v>1</v>
      </c>
      <c r="AG2790" s="4">
        <v>4</v>
      </c>
      <c r="AH2790" s="4">
        <v>95</v>
      </c>
      <c r="AI2790" s="4">
        <v>96</v>
      </c>
      <c r="AJ2790" s="4">
        <v>15</v>
      </c>
      <c r="AK2790" s="4">
        <v>18</v>
      </c>
      <c r="AL2790" s="4">
        <v>51</v>
      </c>
      <c r="AM2790" s="4">
        <v>51</v>
      </c>
      <c r="AN2790" s="4">
        <v>0</v>
      </c>
      <c r="AO2790" s="4">
        <v>0</v>
      </c>
      <c r="AP2790" s="4">
        <v>21</v>
      </c>
      <c r="AQ2790" s="4">
        <v>23</v>
      </c>
      <c r="AR2790" s="3" t="s">
        <v>62</v>
      </c>
      <c r="AS2790" s="3" t="s">
        <v>62</v>
      </c>
      <c r="AT2790" s="3" t="s">
        <v>62</v>
      </c>
      <c r="AV2790" s="6" t="str">
        <f>HYPERLINK("http://mcgill.on.worldcat.org/oclc/32346756","Catalog Record")</f>
        <v>Catalog Record</v>
      </c>
      <c r="AW2790" s="6" t="str">
        <f>HYPERLINK("http://www.worldcat.org/oclc/32346756","WorldCat Record")</f>
        <v>WorldCat Record</v>
      </c>
      <c r="AX2790" s="3" t="s">
        <v>27383</v>
      </c>
      <c r="AY2790" s="3" t="s">
        <v>27384</v>
      </c>
      <c r="AZ2790" s="3" t="s">
        <v>27385</v>
      </c>
      <c r="BA2790" s="3" t="s">
        <v>27385</v>
      </c>
      <c r="BB2790" s="3" t="s">
        <v>27386</v>
      </c>
      <c r="BC2790" s="3" t="s">
        <v>142</v>
      </c>
      <c r="BD2790" s="3" t="s">
        <v>68</v>
      </c>
      <c r="BE2790" s="3" t="s">
        <v>27387</v>
      </c>
      <c r="BF2790" s="3" t="s">
        <v>27386</v>
      </c>
      <c r="BG2790" s="3" t="s">
        <v>27388</v>
      </c>
    </row>
    <row r="2791" spans="1:59" ht="57" x14ac:dyDescent="0.45">
      <c r="A2791" s="2" t="s">
        <v>59</v>
      </c>
      <c r="B2791" s="2" t="s">
        <v>60</v>
      </c>
      <c r="C2791" s="2" t="s">
        <v>27389</v>
      </c>
      <c r="D2791" s="2" t="s">
        <v>27390</v>
      </c>
      <c r="E2791" s="2" t="s">
        <v>27391</v>
      </c>
      <c r="G2791" s="3" t="s">
        <v>61</v>
      </c>
      <c r="I2791" s="3" t="s">
        <v>62</v>
      </c>
      <c r="J2791" s="3" t="s">
        <v>62</v>
      </c>
      <c r="K2791" s="3" t="s">
        <v>63</v>
      </c>
      <c r="M2791" s="2" t="s">
        <v>27392</v>
      </c>
      <c r="N2791" s="3" t="s">
        <v>1155</v>
      </c>
      <c r="P2791" s="3" t="s">
        <v>65</v>
      </c>
      <c r="Q2791" s="2" t="s">
        <v>27393</v>
      </c>
      <c r="R2791" s="3" t="s">
        <v>66</v>
      </c>
      <c r="S2791" s="4">
        <v>3</v>
      </c>
      <c r="T2791" s="4">
        <v>3</v>
      </c>
      <c r="U2791" s="5" t="s">
        <v>5880</v>
      </c>
      <c r="V2791" s="5" t="s">
        <v>5880</v>
      </c>
      <c r="W2791" s="5" t="s">
        <v>67</v>
      </c>
      <c r="X2791" s="5" t="s">
        <v>67</v>
      </c>
      <c r="Y2791" s="4">
        <v>135</v>
      </c>
      <c r="Z2791" s="4">
        <v>14</v>
      </c>
      <c r="AA2791" s="4">
        <v>19</v>
      </c>
      <c r="AB2791" s="4">
        <v>1</v>
      </c>
      <c r="AC2791" s="4">
        <v>2</v>
      </c>
      <c r="AD2791" s="4">
        <v>54</v>
      </c>
      <c r="AE2791" s="4">
        <v>59</v>
      </c>
      <c r="AF2791" s="4">
        <v>0</v>
      </c>
      <c r="AG2791" s="4">
        <v>1</v>
      </c>
      <c r="AH2791" s="4">
        <v>52</v>
      </c>
      <c r="AI2791" s="4">
        <v>54</v>
      </c>
      <c r="AJ2791" s="4">
        <v>9</v>
      </c>
      <c r="AK2791" s="4">
        <v>12</v>
      </c>
      <c r="AL2791" s="4">
        <v>32</v>
      </c>
      <c r="AM2791" s="4">
        <v>32</v>
      </c>
      <c r="AN2791" s="4">
        <v>0</v>
      </c>
      <c r="AO2791" s="4">
        <v>0</v>
      </c>
      <c r="AP2791" s="4">
        <v>9</v>
      </c>
      <c r="AQ2791" s="4">
        <v>14</v>
      </c>
      <c r="AR2791" s="3" t="s">
        <v>62</v>
      </c>
      <c r="AS2791" s="3" t="s">
        <v>62</v>
      </c>
      <c r="AT2791" s="3" t="s">
        <v>62</v>
      </c>
      <c r="AV2791" s="6" t="str">
        <f>HYPERLINK("http://mcgill.on.worldcat.org/oclc/793099472","Catalog Record")</f>
        <v>Catalog Record</v>
      </c>
      <c r="AW2791" s="6" t="str">
        <f>HYPERLINK("http://www.worldcat.org/oclc/793099472","WorldCat Record")</f>
        <v>WorldCat Record</v>
      </c>
      <c r="AX2791" s="3" t="s">
        <v>27394</v>
      </c>
      <c r="AY2791" s="3" t="s">
        <v>27395</v>
      </c>
      <c r="AZ2791" s="3" t="s">
        <v>27396</v>
      </c>
      <c r="BA2791" s="3" t="s">
        <v>27396</v>
      </c>
      <c r="BB2791" s="3" t="s">
        <v>27397</v>
      </c>
      <c r="BC2791" s="3" t="s">
        <v>142</v>
      </c>
      <c r="BD2791" s="3" t="s">
        <v>3549</v>
      </c>
      <c r="BE2791" s="3" t="s">
        <v>27398</v>
      </c>
      <c r="BF2791" s="3" t="s">
        <v>27397</v>
      </c>
      <c r="BG2791" s="3" t="s">
        <v>27399</v>
      </c>
    </row>
    <row r="2792" spans="1:59" ht="57" x14ac:dyDescent="0.45">
      <c r="A2792" s="2" t="s">
        <v>59</v>
      </c>
      <c r="B2792" s="2" t="s">
        <v>60</v>
      </c>
      <c r="C2792" s="2" t="s">
        <v>27400</v>
      </c>
      <c r="D2792" s="2" t="s">
        <v>27401</v>
      </c>
      <c r="E2792" s="2" t="s">
        <v>27402</v>
      </c>
      <c r="G2792" s="3" t="s">
        <v>62</v>
      </c>
      <c r="I2792" s="3" t="s">
        <v>62</v>
      </c>
      <c r="J2792" s="3" t="s">
        <v>62</v>
      </c>
      <c r="K2792" s="3" t="s">
        <v>63</v>
      </c>
      <c r="M2792" s="2" t="s">
        <v>27403</v>
      </c>
      <c r="N2792" s="3" t="s">
        <v>1155</v>
      </c>
      <c r="O2792" s="2" t="s">
        <v>933</v>
      </c>
      <c r="P2792" s="3" t="s">
        <v>65</v>
      </c>
      <c r="Q2792" s="2" t="s">
        <v>27404</v>
      </c>
      <c r="R2792" s="3" t="s">
        <v>66</v>
      </c>
      <c r="S2792" s="4">
        <v>0</v>
      </c>
      <c r="T2792" s="4">
        <v>0</v>
      </c>
      <c r="W2792" s="5" t="s">
        <v>67</v>
      </c>
      <c r="X2792" s="5" t="s">
        <v>67</v>
      </c>
      <c r="Y2792" s="4">
        <v>41</v>
      </c>
      <c r="Z2792" s="4">
        <v>10</v>
      </c>
      <c r="AA2792" s="4">
        <v>100</v>
      </c>
      <c r="AB2792" s="4">
        <v>1</v>
      </c>
      <c r="AC2792" s="4">
        <v>18</v>
      </c>
      <c r="AD2792" s="4">
        <v>17</v>
      </c>
      <c r="AE2792" s="4">
        <v>115</v>
      </c>
      <c r="AF2792" s="4">
        <v>0</v>
      </c>
      <c r="AG2792" s="4">
        <v>9</v>
      </c>
      <c r="AH2792" s="4">
        <v>13</v>
      </c>
      <c r="AI2792" s="4">
        <v>71</v>
      </c>
      <c r="AJ2792" s="4">
        <v>5</v>
      </c>
      <c r="AK2792" s="4">
        <v>25</v>
      </c>
      <c r="AL2792" s="4">
        <v>6</v>
      </c>
      <c r="AM2792" s="4">
        <v>34</v>
      </c>
      <c r="AN2792" s="4">
        <v>0</v>
      </c>
      <c r="AO2792" s="4">
        <v>0</v>
      </c>
      <c r="AP2792" s="4">
        <v>7</v>
      </c>
      <c r="AQ2792" s="4">
        <v>52</v>
      </c>
      <c r="AR2792" s="3" t="s">
        <v>62</v>
      </c>
      <c r="AS2792" s="3" t="s">
        <v>62</v>
      </c>
      <c r="AT2792" s="3" t="s">
        <v>62</v>
      </c>
      <c r="AV2792" s="6" t="str">
        <f>HYPERLINK("http://mcgill.on.worldcat.org/oclc/810124881","Catalog Record")</f>
        <v>Catalog Record</v>
      </c>
      <c r="AW2792" s="6" t="str">
        <f>HYPERLINK("http://www.worldcat.org/oclc/810124881","WorldCat Record")</f>
        <v>WorldCat Record</v>
      </c>
      <c r="AX2792" s="3" t="s">
        <v>27405</v>
      </c>
      <c r="AY2792" s="3" t="s">
        <v>27406</v>
      </c>
      <c r="AZ2792" s="3" t="s">
        <v>27407</v>
      </c>
      <c r="BA2792" s="3" t="s">
        <v>27407</v>
      </c>
      <c r="BB2792" s="3" t="s">
        <v>27408</v>
      </c>
      <c r="BC2792" s="3" t="s">
        <v>142</v>
      </c>
      <c r="BD2792" s="3" t="s">
        <v>68</v>
      </c>
      <c r="BE2792" s="3" t="s">
        <v>27409</v>
      </c>
      <c r="BF2792" s="3" t="s">
        <v>27408</v>
      </c>
      <c r="BG2792" s="3" t="s">
        <v>27410</v>
      </c>
    </row>
    <row r="2793" spans="1:59" ht="57" x14ac:dyDescent="0.45">
      <c r="A2793" s="2" t="s">
        <v>59</v>
      </c>
      <c r="B2793" s="2" t="s">
        <v>60</v>
      </c>
      <c r="C2793" s="2" t="s">
        <v>27411</v>
      </c>
      <c r="D2793" s="2" t="s">
        <v>27412</v>
      </c>
      <c r="E2793" s="2" t="s">
        <v>27413</v>
      </c>
      <c r="G2793" s="3" t="s">
        <v>62</v>
      </c>
      <c r="I2793" s="3" t="s">
        <v>62</v>
      </c>
      <c r="J2793" s="3" t="s">
        <v>62</v>
      </c>
      <c r="K2793" s="3" t="s">
        <v>63</v>
      </c>
      <c r="M2793" s="2" t="s">
        <v>27414</v>
      </c>
      <c r="N2793" s="3" t="s">
        <v>149</v>
      </c>
      <c r="P2793" s="3" t="s">
        <v>65</v>
      </c>
      <c r="R2793" s="3" t="s">
        <v>66</v>
      </c>
      <c r="S2793" s="4">
        <v>1</v>
      </c>
      <c r="T2793" s="4">
        <v>1</v>
      </c>
      <c r="U2793" s="5" t="s">
        <v>8911</v>
      </c>
      <c r="V2793" s="5" t="s">
        <v>8911</v>
      </c>
      <c r="W2793" s="5" t="s">
        <v>67</v>
      </c>
      <c r="X2793" s="5" t="s">
        <v>67</v>
      </c>
      <c r="Y2793" s="4">
        <v>116</v>
      </c>
      <c r="Z2793" s="4">
        <v>18</v>
      </c>
      <c r="AA2793" s="4">
        <v>102</v>
      </c>
      <c r="AB2793" s="4">
        <v>2</v>
      </c>
      <c r="AC2793" s="4">
        <v>18</v>
      </c>
      <c r="AD2793" s="4">
        <v>55</v>
      </c>
      <c r="AE2793" s="4">
        <v>116</v>
      </c>
      <c r="AF2793" s="4">
        <v>1</v>
      </c>
      <c r="AG2793" s="4">
        <v>8</v>
      </c>
      <c r="AH2793" s="4">
        <v>49</v>
      </c>
      <c r="AI2793" s="4">
        <v>80</v>
      </c>
      <c r="AJ2793" s="4">
        <v>15</v>
      </c>
      <c r="AK2793" s="4">
        <v>24</v>
      </c>
      <c r="AL2793" s="4">
        <v>25</v>
      </c>
      <c r="AM2793" s="4">
        <v>40</v>
      </c>
      <c r="AN2793" s="4">
        <v>0</v>
      </c>
      <c r="AO2793" s="4">
        <v>0</v>
      </c>
      <c r="AP2793" s="4">
        <v>15</v>
      </c>
      <c r="AQ2793" s="4">
        <v>45</v>
      </c>
      <c r="AR2793" s="3" t="s">
        <v>62</v>
      </c>
      <c r="AS2793" s="3" t="s">
        <v>62</v>
      </c>
      <c r="AT2793" s="3" t="s">
        <v>62</v>
      </c>
      <c r="AV2793" s="6" t="str">
        <f>HYPERLINK("http://mcgill.on.worldcat.org/oclc/471811305","Catalog Record")</f>
        <v>Catalog Record</v>
      </c>
      <c r="AW2793" s="6" t="str">
        <f>HYPERLINK("http://www.worldcat.org/oclc/471811305","WorldCat Record")</f>
        <v>WorldCat Record</v>
      </c>
      <c r="AX2793" s="3" t="s">
        <v>27415</v>
      </c>
      <c r="AY2793" s="3" t="s">
        <v>27416</v>
      </c>
      <c r="AZ2793" s="3" t="s">
        <v>27417</v>
      </c>
      <c r="BA2793" s="3" t="s">
        <v>27417</v>
      </c>
      <c r="BB2793" s="3" t="s">
        <v>27418</v>
      </c>
      <c r="BC2793" s="3" t="s">
        <v>142</v>
      </c>
      <c r="BD2793" s="3" t="s">
        <v>68</v>
      </c>
      <c r="BE2793" s="3" t="s">
        <v>27419</v>
      </c>
      <c r="BF2793" s="3" t="s">
        <v>27418</v>
      </c>
      <c r="BG2793" s="3" t="s">
        <v>27420</v>
      </c>
    </row>
    <row r="2794" spans="1:59" ht="57" x14ac:dyDescent="0.45">
      <c r="A2794" s="2" t="s">
        <v>59</v>
      </c>
      <c r="B2794" s="2" t="s">
        <v>60</v>
      </c>
      <c r="C2794" s="2" t="s">
        <v>27421</v>
      </c>
      <c r="D2794" s="2" t="s">
        <v>27422</v>
      </c>
      <c r="E2794" s="2" t="s">
        <v>27423</v>
      </c>
      <c r="G2794" s="3" t="s">
        <v>62</v>
      </c>
      <c r="I2794" s="3" t="s">
        <v>61</v>
      </c>
      <c r="J2794" s="3" t="s">
        <v>62</v>
      </c>
      <c r="K2794" s="3" t="s">
        <v>63</v>
      </c>
      <c r="M2794" s="2" t="s">
        <v>27424</v>
      </c>
      <c r="N2794" s="3" t="s">
        <v>945</v>
      </c>
      <c r="P2794" s="3" t="s">
        <v>65</v>
      </c>
      <c r="R2794" s="3" t="s">
        <v>66</v>
      </c>
      <c r="S2794" s="4">
        <v>32</v>
      </c>
      <c r="T2794" s="4">
        <v>52</v>
      </c>
      <c r="U2794" s="5" t="s">
        <v>531</v>
      </c>
      <c r="V2794" s="5" t="s">
        <v>741</v>
      </c>
      <c r="W2794" s="5" t="s">
        <v>67</v>
      </c>
      <c r="X2794" s="5" t="s">
        <v>67</v>
      </c>
      <c r="Y2794" s="4">
        <v>416</v>
      </c>
      <c r="Z2794" s="4">
        <v>35</v>
      </c>
      <c r="AA2794" s="4">
        <v>39</v>
      </c>
      <c r="AB2794" s="4">
        <v>2</v>
      </c>
      <c r="AC2794" s="4">
        <v>6</v>
      </c>
      <c r="AD2794" s="4">
        <v>119</v>
      </c>
      <c r="AE2794" s="4">
        <v>122</v>
      </c>
      <c r="AF2794" s="4">
        <v>1</v>
      </c>
      <c r="AG2794" s="4">
        <v>4</v>
      </c>
      <c r="AH2794" s="4">
        <v>105</v>
      </c>
      <c r="AI2794" s="4">
        <v>106</v>
      </c>
      <c r="AJ2794" s="4">
        <v>20</v>
      </c>
      <c r="AK2794" s="4">
        <v>23</v>
      </c>
      <c r="AL2794" s="4">
        <v>52</v>
      </c>
      <c r="AM2794" s="4">
        <v>52</v>
      </c>
      <c r="AN2794" s="4">
        <v>0</v>
      </c>
      <c r="AO2794" s="4">
        <v>0</v>
      </c>
      <c r="AP2794" s="4">
        <v>24</v>
      </c>
      <c r="AQ2794" s="4">
        <v>26</v>
      </c>
      <c r="AR2794" s="3" t="s">
        <v>62</v>
      </c>
      <c r="AS2794" s="3" t="s">
        <v>62</v>
      </c>
      <c r="AT2794" s="3" t="s">
        <v>62</v>
      </c>
      <c r="AV2794" s="6" t="str">
        <f>HYPERLINK("http://mcgill.on.worldcat.org/oclc/71004148","Catalog Record")</f>
        <v>Catalog Record</v>
      </c>
      <c r="AW2794" s="6" t="str">
        <f>HYPERLINK("http://www.worldcat.org/oclc/71004148","WorldCat Record")</f>
        <v>WorldCat Record</v>
      </c>
      <c r="AX2794" s="3" t="s">
        <v>27425</v>
      </c>
      <c r="AY2794" s="3" t="s">
        <v>27426</v>
      </c>
      <c r="AZ2794" s="3" t="s">
        <v>27427</v>
      </c>
      <c r="BA2794" s="3" t="s">
        <v>27427</v>
      </c>
      <c r="BB2794" s="3" t="s">
        <v>27428</v>
      </c>
      <c r="BC2794" s="3" t="s">
        <v>142</v>
      </c>
      <c r="BD2794" s="3" t="s">
        <v>308</v>
      </c>
      <c r="BE2794" s="3" t="s">
        <v>27429</v>
      </c>
      <c r="BF2794" s="3" t="s">
        <v>27428</v>
      </c>
      <c r="BG2794" s="3" t="s">
        <v>27430</v>
      </c>
    </row>
    <row r="2795" spans="1:59" ht="57" x14ac:dyDescent="0.45">
      <c r="A2795" s="2" t="s">
        <v>59</v>
      </c>
      <c r="B2795" s="2" t="s">
        <v>60</v>
      </c>
      <c r="C2795" s="2" t="s">
        <v>27421</v>
      </c>
      <c r="D2795" s="2" t="s">
        <v>27422</v>
      </c>
      <c r="E2795" s="2" t="s">
        <v>27423</v>
      </c>
      <c r="G2795" s="3" t="s">
        <v>62</v>
      </c>
      <c r="I2795" s="3" t="s">
        <v>61</v>
      </c>
      <c r="J2795" s="3" t="s">
        <v>62</v>
      </c>
      <c r="K2795" s="3" t="s">
        <v>63</v>
      </c>
      <c r="M2795" s="2" t="s">
        <v>27424</v>
      </c>
      <c r="N2795" s="3" t="s">
        <v>945</v>
      </c>
      <c r="P2795" s="3" t="s">
        <v>65</v>
      </c>
      <c r="R2795" s="3" t="s">
        <v>66</v>
      </c>
      <c r="S2795" s="4">
        <v>20</v>
      </c>
      <c r="T2795" s="4">
        <v>52</v>
      </c>
      <c r="U2795" s="5" t="s">
        <v>741</v>
      </c>
      <c r="V2795" s="5" t="s">
        <v>741</v>
      </c>
      <c r="W2795" s="5" t="s">
        <v>67</v>
      </c>
      <c r="X2795" s="5" t="s">
        <v>67</v>
      </c>
      <c r="Y2795" s="4">
        <v>416</v>
      </c>
      <c r="Z2795" s="4">
        <v>35</v>
      </c>
      <c r="AA2795" s="4">
        <v>39</v>
      </c>
      <c r="AB2795" s="4">
        <v>2</v>
      </c>
      <c r="AC2795" s="4">
        <v>6</v>
      </c>
      <c r="AD2795" s="4">
        <v>119</v>
      </c>
      <c r="AE2795" s="4">
        <v>122</v>
      </c>
      <c r="AF2795" s="4">
        <v>1</v>
      </c>
      <c r="AG2795" s="4">
        <v>4</v>
      </c>
      <c r="AH2795" s="4">
        <v>105</v>
      </c>
      <c r="AI2795" s="4">
        <v>106</v>
      </c>
      <c r="AJ2795" s="4">
        <v>20</v>
      </c>
      <c r="AK2795" s="4">
        <v>23</v>
      </c>
      <c r="AL2795" s="4">
        <v>52</v>
      </c>
      <c r="AM2795" s="4">
        <v>52</v>
      </c>
      <c r="AN2795" s="4">
        <v>0</v>
      </c>
      <c r="AO2795" s="4">
        <v>0</v>
      </c>
      <c r="AP2795" s="4">
        <v>24</v>
      </c>
      <c r="AQ2795" s="4">
        <v>26</v>
      </c>
      <c r="AR2795" s="3" t="s">
        <v>62</v>
      </c>
      <c r="AS2795" s="3" t="s">
        <v>62</v>
      </c>
      <c r="AT2795" s="3" t="s">
        <v>62</v>
      </c>
      <c r="AV2795" s="6" t="str">
        <f>HYPERLINK("http://mcgill.on.worldcat.org/oclc/71004148","Catalog Record")</f>
        <v>Catalog Record</v>
      </c>
      <c r="AW2795" s="6" t="str">
        <f>HYPERLINK("http://www.worldcat.org/oclc/71004148","WorldCat Record")</f>
        <v>WorldCat Record</v>
      </c>
      <c r="AX2795" s="3" t="s">
        <v>27425</v>
      </c>
      <c r="AY2795" s="3" t="s">
        <v>27426</v>
      </c>
      <c r="AZ2795" s="3" t="s">
        <v>27427</v>
      </c>
      <c r="BA2795" s="3" t="s">
        <v>27427</v>
      </c>
      <c r="BB2795" s="3" t="s">
        <v>27431</v>
      </c>
      <c r="BC2795" s="3" t="s">
        <v>142</v>
      </c>
      <c r="BD2795" s="3" t="s">
        <v>68</v>
      </c>
      <c r="BE2795" s="3" t="s">
        <v>27429</v>
      </c>
      <c r="BF2795" s="3" t="s">
        <v>27431</v>
      </c>
      <c r="BG2795" s="3" t="s">
        <v>27432</v>
      </c>
    </row>
    <row r="2796" spans="1:59" ht="57" x14ac:dyDescent="0.45">
      <c r="A2796" s="2" t="s">
        <v>59</v>
      </c>
      <c r="B2796" s="2" t="s">
        <v>60</v>
      </c>
      <c r="C2796" s="2" t="s">
        <v>27433</v>
      </c>
      <c r="D2796" s="2" t="s">
        <v>27434</v>
      </c>
      <c r="E2796" s="2" t="s">
        <v>27435</v>
      </c>
      <c r="G2796" s="3" t="s">
        <v>62</v>
      </c>
      <c r="I2796" s="3" t="s">
        <v>62</v>
      </c>
      <c r="J2796" s="3" t="s">
        <v>62</v>
      </c>
      <c r="K2796" s="3" t="s">
        <v>63</v>
      </c>
      <c r="L2796" s="2" t="s">
        <v>27436</v>
      </c>
      <c r="M2796" s="2" t="s">
        <v>27437</v>
      </c>
      <c r="N2796" s="3" t="s">
        <v>1212</v>
      </c>
      <c r="P2796" s="3" t="s">
        <v>65</v>
      </c>
      <c r="Q2796" s="2" t="s">
        <v>27438</v>
      </c>
      <c r="R2796" s="3" t="s">
        <v>66</v>
      </c>
      <c r="S2796" s="4">
        <v>62</v>
      </c>
      <c r="T2796" s="4">
        <v>62</v>
      </c>
      <c r="U2796" s="5" t="s">
        <v>2406</v>
      </c>
      <c r="V2796" s="5" t="s">
        <v>2406</v>
      </c>
      <c r="W2796" s="5" t="s">
        <v>67</v>
      </c>
      <c r="X2796" s="5" t="s">
        <v>67</v>
      </c>
      <c r="Y2796" s="4">
        <v>807</v>
      </c>
      <c r="Z2796" s="4">
        <v>44</v>
      </c>
      <c r="AA2796" s="4">
        <v>49</v>
      </c>
      <c r="AB2796" s="4">
        <v>2</v>
      </c>
      <c r="AC2796" s="4">
        <v>7</v>
      </c>
      <c r="AD2796" s="4">
        <v>131</v>
      </c>
      <c r="AE2796" s="4">
        <v>135</v>
      </c>
      <c r="AF2796" s="4">
        <v>1</v>
      </c>
      <c r="AG2796" s="4">
        <v>5</v>
      </c>
      <c r="AH2796" s="4">
        <v>107</v>
      </c>
      <c r="AI2796" s="4">
        <v>108</v>
      </c>
      <c r="AJ2796" s="4">
        <v>18</v>
      </c>
      <c r="AK2796" s="4">
        <v>22</v>
      </c>
      <c r="AL2796" s="4">
        <v>56</v>
      </c>
      <c r="AM2796" s="4">
        <v>56</v>
      </c>
      <c r="AN2796" s="4">
        <v>0</v>
      </c>
      <c r="AO2796" s="4">
        <v>0</v>
      </c>
      <c r="AP2796" s="4">
        <v>32</v>
      </c>
      <c r="AQ2796" s="4">
        <v>35</v>
      </c>
      <c r="AR2796" s="3" t="s">
        <v>62</v>
      </c>
      <c r="AS2796" s="3" t="s">
        <v>62</v>
      </c>
      <c r="AT2796" s="3" t="s">
        <v>61</v>
      </c>
      <c r="AU2796" s="6" t="str">
        <f>HYPERLINK("http://catalog.hathitrust.org/Record/004124338","HathiTrust Record")</f>
        <v>HathiTrust Record</v>
      </c>
      <c r="AV2796" s="6" t="str">
        <f>HYPERLINK("http://mcgill.on.worldcat.org/oclc/43706959","Catalog Record")</f>
        <v>Catalog Record</v>
      </c>
      <c r="AW2796" s="6" t="str">
        <f>HYPERLINK("http://www.worldcat.org/oclc/43706959","WorldCat Record")</f>
        <v>WorldCat Record</v>
      </c>
      <c r="AX2796" s="3" t="s">
        <v>27439</v>
      </c>
      <c r="AY2796" s="3" t="s">
        <v>27440</v>
      </c>
      <c r="AZ2796" s="3" t="s">
        <v>27441</v>
      </c>
      <c r="BA2796" s="3" t="s">
        <v>27441</v>
      </c>
      <c r="BB2796" s="3" t="s">
        <v>27442</v>
      </c>
      <c r="BC2796" s="3" t="s">
        <v>142</v>
      </c>
      <c r="BD2796" s="3" t="s">
        <v>68</v>
      </c>
      <c r="BE2796" s="3" t="s">
        <v>27443</v>
      </c>
      <c r="BF2796" s="3" t="s">
        <v>27442</v>
      </c>
      <c r="BG2796" s="3" t="s">
        <v>27444</v>
      </c>
    </row>
    <row r="2797" spans="1:59" ht="57" x14ac:dyDescent="0.45">
      <c r="A2797" s="2" t="s">
        <v>59</v>
      </c>
      <c r="B2797" s="2" t="s">
        <v>60</v>
      </c>
      <c r="C2797" s="2" t="s">
        <v>27445</v>
      </c>
      <c r="D2797" s="2" t="s">
        <v>27446</v>
      </c>
      <c r="E2797" s="2" t="s">
        <v>27447</v>
      </c>
      <c r="G2797" s="3" t="s">
        <v>62</v>
      </c>
      <c r="I2797" s="3" t="s">
        <v>62</v>
      </c>
      <c r="J2797" s="3" t="s">
        <v>62</v>
      </c>
      <c r="K2797" s="3" t="s">
        <v>63</v>
      </c>
      <c r="L2797" s="2" t="s">
        <v>27448</v>
      </c>
      <c r="M2797" s="2" t="s">
        <v>27449</v>
      </c>
      <c r="N2797" s="3" t="s">
        <v>116</v>
      </c>
      <c r="P2797" s="3" t="s">
        <v>65</v>
      </c>
      <c r="Q2797" s="2" t="s">
        <v>27450</v>
      </c>
      <c r="R2797" s="3" t="s">
        <v>66</v>
      </c>
      <c r="S2797" s="4">
        <v>1</v>
      </c>
      <c r="T2797" s="4">
        <v>1</v>
      </c>
      <c r="U2797" s="5" t="s">
        <v>20775</v>
      </c>
      <c r="V2797" s="5" t="s">
        <v>20775</v>
      </c>
      <c r="W2797" s="5" t="s">
        <v>67</v>
      </c>
      <c r="X2797" s="5" t="s">
        <v>67</v>
      </c>
      <c r="Y2797" s="4">
        <v>116</v>
      </c>
      <c r="Z2797" s="4">
        <v>13</v>
      </c>
      <c r="AA2797" s="4">
        <v>18</v>
      </c>
      <c r="AB2797" s="4">
        <v>2</v>
      </c>
      <c r="AC2797" s="4">
        <v>7</v>
      </c>
      <c r="AD2797" s="4">
        <v>54</v>
      </c>
      <c r="AE2797" s="4">
        <v>58</v>
      </c>
      <c r="AF2797" s="4">
        <v>1</v>
      </c>
      <c r="AG2797" s="4">
        <v>3</v>
      </c>
      <c r="AH2797" s="4">
        <v>48</v>
      </c>
      <c r="AI2797" s="4">
        <v>51</v>
      </c>
      <c r="AJ2797" s="4">
        <v>10</v>
      </c>
      <c r="AK2797" s="4">
        <v>12</v>
      </c>
      <c r="AL2797" s="4">
        <v>30</v>
      </c>
      <c r="AM2797" s="4">
        <v>31</v>
      </c>
      <c r="AN2797" s="4">
        <v>0</v>
      </c>
      <c r="AO2797" s="4">
        <v>0</v>
      </c>
      <c r="AP2797" s="4">
        <v>10</v>
      </c>
      <c r="AQ2797" s="4">
        <v>11</v>
      </c>
      <c r="AR2797" s="3" t="s">
        <v>62</v>
      </c>
      <c r="AS2797" s="3" t="s">
        <v>62</v>
      </c>
      <c r="AT2797" s="3" t="s">
        <v>62</v>
      </c>
      <c r="AV2797" s="6" t="str">
        <f>HYPERLINK("http://mcgill.on.worldcat.org/oclc/764304858","Catalog Record")</f>
        <v>Catalog Record</v>
      </c>
      <c r="AW2797" s="6" t="str">
        <f>HYPERLINK("http://www.worldcat.org/oclc/764304858","WorldCat Record")</f>
        <v>WorldCat Record</v>
      </c>
      <c r="AX2797" s="3" t="s">
        <v>27451</v>
      </c>
      <c r="AY2797" s="3" t="s">
        <v>27452</v>
      </c>
      <c r="AZ2797" s="3" t="s">
        <v>27453</v>
      </c>
      <c r="BA2797" s="3" t="s">
        <v>27453</v>
      </c>
      <c r="BB2797" s="3" t="s">
        <v>27454</v>
      </c>
      <c r="BC2797" s="3" t="s">
        <v>142</v>
      </c>
      <c r="BD2797" s="3" t="s">
        <v>68</v>
      </c>
      <c r="BE2797" s="3" t="s">
        <v>27455</v>
      </c>
      <c r="BF2797" s="3" t="s">
        <v>27454</v>
      </c>
      <c r="BG2797" s="3" t="s">
        <v>27456</v>
      </c>
    </row>
    <row r="2798" spans="1:59" ht="57" x14ac:dyDescent="0.45">
      <c r="A2798" s="2" t="s">
        <v>59</v>
      </c>
      <c r="B2798" s="2" t="s">
        <v>60</v>
      </c>
      <c r="C2798" s="2" t="s">
        <v>27457</v>
      </c>
      <c r="D2798" s="2" t="s">
        <v>27458</v>
      </c>
      <c r="E2798" s="2" t="s">
        <v>27459</v>
      </c>
      <c r="G2798" s="3" t="s">
        <v>62</v>
      </c>
      <c r="I2798" s="3" t="s">
        <v>62</v>
      </c>
      <c r="J2798" s="3" t="s">
        <v>62</v>
      </c>
      <c r="K2798" s="3" t="s">
        <v>63</v>
      </c>
      <c r="L2798" s="2" t="s">
        <v>24430</v>
      </c>
      <c r="M2798" s="2" t="s">
        <v>27460</v>
      </c>
      <c r="N2798" s="3" t="s">
        <v>1478</v>
      </c>
      <c r="O2798" s="2" t="s">
        <v>168</v>
      </c>
      <c r="P2798" s="3" t="s">
        <v>65</v>
      </c>
      <c r="R2798" s="3" t="s">
        <v>66</v>
      </c>
      <c r="S2798" s="4">
        <v>39</v>
      </c>
      <c r="T2798" s="4">
        <v>39</v>
      </c>
      <c r="U2798" s="5" t="s">
        <v>10429</v>
      </c>
      <c r="V2798" s="5" t="s">
        <v>10429</v>
      </c>
      <c r="W2798" s="5" t="s">
        <v>67</v>
      </c>
      <c r="X2798" s="5" t="s">
        <v>67</v>
      </c>
      <c r="Y2798" s="4">
        <v>475</v>
      </c>
      <c r="Z2798" s="4">
        <v>38</v>
      </c>
      <c r="AA2798" s="4">
        <v>41</v>
      </c>
      <c r="AB2798" s="4">
        <v>2</v>
      </c>
      <c r="AC2798" s="4">
        <v>5</v>
      </c>
      <c r="AD2798" s="4">
        <v>124</v>
      </c>
      <c r="AE2798" s="4">
        <v>126</v>
      </c>
      <c r="AF2798" s="4">
        <v>1</v>
      </c>
      <c r="AG2798" s="4">
        <v>3</v>
      </c>
      <c r="AH2798" s="4">
        <v>100</v>
      </c>
      <c r="AI2798" s="4">
        <v>101</v>
      </c>
      <c r="AJ2798" s="4">
        <v>19</v>
      </c>
      <c r="AK2798" s="4">
        <v>21</v>
      </c>
      <c r="AL2798" s="4">
        <v>54</v>
      </c>
      <c r="AM2798" s="4">
        <v>54</v>
      </c>
      <c r="AN2798" s="4">
        <v>0</v>
      </c>
      <c r="AO2798" s="4">
        <v>2</v>
      </c>
      <c r="AP2798" s="4">
        <v>29</v>
      </c>
      <c r="AQ2798" s="4">
        <v>31</v>
      </c>
      <c r="AR2798" s="3" t="s">
        <v>62</v>
      </c>
      <c r="AS2798" s="3" t="s">
        <v>62</v>
      </c>
      <c r="AT2798" s="3" t="s">
        <v>61</v>
      </c>
      <c r="AU2798" s="6" t="str">
        <f>HYPERLINK("http://catalog.hathitrust.org/Record/003077575","HathiTrust Record")</f>
        <v>HathiTrust Record</v>
      </c>
      <c r="AV2798" s="6" t="str">
        <f>HYPERLINK("http://mcgill.on.worldcat.org/oclc/32923159","Catalog Record")</f>
        <v>Catalog Record</v>
      </c>
      <c r="AW2798" s="6" t="str">
        <f>HYPERLINK("http://www.worldcat.org/oclc/32923159","WorldCat Record")</f>
        <v>WorldCat Record</v>
      </c>
      <c r="AX2798" s="3" t="s">
        <v>27461</v>
      </c>
      <c r="AY2798" s="3" t="s">
        <v>27462</v>
      </c>
      <c r="AZ2798" s="3" t="s">
        <v>27463</v>
      </c>
      <c r="BA2798" s="3" t="s">
        <v>27463</v>
      </c>
      <c r="BB2798" s="3" t="s">
        <v>27464</v>
      </c>
      <c r="BC2798" s="3" t="s">
        <v>142</v>
      </c>
      <c r="BD2798" s="3" t="s">
        <v>68</v>
      </c>
      <c r="BE2798" s="3" t="s">
        <v>27465</v>
      </c>
      <c r="BF2798" s="3" t="s">
        <v>27464</v>
      </c>
      <c r="BG2798" s="3" t="s">
        <v>27466</v>
      </c>
    </row>
    <row r="2799" spans="1:59" ht="57" x14ac:dyDescent="0.45">
      <c r="A2799" s="2" t="s">
        <v>59</v>
      </c>
      <c r="B2799" s="2" t="s">
        <v>60</v>
      </c>
      <c r="C2799" s="2" t="s">
        <v>27467</v>
      </c>
      <c r="D2799" s="2" t="s">
        <v>27468</v>
      </c>
      <c r="E2799" s="2" t="s">
        <v>27469</v>
      </c>
      <c r="G2799" s="3" t="s">
        <v>62</v>
      </c>
      <c r="I2799" s="3" t="s">
        <v>62</v>
      </c>
      <c r="J2799" s="3" t="s">
        <v>62</v>
      </c>
      <c r="K2799" s="3" t="s">
        <v>63</v>
      </c>
      <c r="L2799" s="2" t="s">
        <v>27470</v>
      </c>
      <c r="M2799" s="2" t="s">
        <v>27471</v>
      </c>
      <c r="N2799" s="3" t="s">
        <v>208</v>
      </c>
      <c r="P2799" s="3" t="s">
        <v>65</v>
      </c>
      <c r="R2799" s="3" t="s">
        <v>66</v>
      </c>
      <c r="S2799" s="4">
        <v>12</v>
      </c>
      <c r="T2799" s="4">
        <v>12</v>
      </c>
      <c r="U2799" s="5" t="s">
        <v>27472</v>
      </c>
      <c r="V2799" s="5" t="s">
        <v>27472</v>
      </c>
      <c r="W2799" s="5" t="s">
        <v>67</v>
      </c>
      <c r="X2799" s="5" t="s">
        <v>67</v>
      </c>
      <c r="Y2799" s="4">
        <v>1832</v>
      </c>
      <c r="Z2799" s="4">
        <v>52</v>
      </c>
      <c r="AA2799" s="4">
        <v>84</v>
      </c>
      <c r="AB2799" s="4">
        <v>4</v>
      </c>
      <c r="AC2799" s="4">
        <v>9</v>
      </c>
      <c r="AD2799" s="4">
        <v>105</v>
      </c>
      <c r="AE2799" s="4">
        <v>124</v>
      </c>
      <c r="AF2799" s="4">
        <v>1</v>
      </c>
      <c r="AG2799" s="4">
        <v>2</v>
      </c>
      <c r="AH2799" s="4">
        <v>89</v>
      </c>
      <c r="AI2799" s="4">
        <v>97</v>
      </c>
      <c r="AJ2799" s="4">
        <v>10</v>
      </c>
      <c r="AK2799" s="4">
        <v>18</v>
      </c>
      <c r="AL2799" s="4">
        <v>49</v>
      </c>
      <c r="AM2799" s="4">
        <v>52</v>
      </c>
      <c r="AN2799" s="4">
        <v>0</v>
      </c>
      <c r="AO2799" s="4">
        <v>0</v>
      </c>
      <c r="AP2799" s="4">
        <v>20</v>
      </c>
      <c r="AQ2799" s="4">
        <v>31</v>
      </c>
      <c r="AR2799" s="3" t="s">
        <v>62</v>
      </c>
      <c r="AS2799" s="3" t="s">
        <v>62</v>
      </c>
      <c r="AT2799" s="3" t="s">
        <v>62</v>
      </c>
      <c r="AV2799" s="6" t="str">
        <f>HYPERLINK("http://mcgill.on.worldcat.org/oclc/922549181","Catalog Record")</f>
        <v>Catalog Record</v>
      </c>
      <c r="AW2799" s="6" t="str">
        <f>HYPERLINK("http://www.worldcat.org/oclc/922549181","WorldCat Record")</f>
        <v>WorldCat Record</v>
      </c>
      <c r="AX2799" s="3" t="s">
        <v>27473</v>
      </c>
      <c r="AY2799" s="3" t="s">
        <v>27474</v>
      </c>
      <c r="AZ2799" s="3" t="s">
        <v>27475</v>
      </c>
      <c r="BA2799" s="3" t="s">
        <v>27475</v>
      </c>
      <c r="BB2799" s="3" t="s">
        <v>27476</v>
      </c>
      <c r="BC2799" s="3" t="s">
        <v>142</v>
      </c>
      <c r="BD2799" s="3" t="s">
        <v>308</v>
      </c>
      <c r="BE2799" s="3" t="s">
        <v>27477</v>
      </c>
      <c r="BF2799" s="3" t="s">
        <v>27476</v>
      </c>
      <c r="BG2799" s="3" t="s">
        <v>27478</v>
      </c>
    </row>
    <row r="2800" spans="1:59" ht="57" x14ac:dyDescent="0.45">
      <c r="A2800" s="2" t="s">
        <v>59</v>
      </c>
      <c r="B2800" s="2" t="s">
        <v>60</v>
      </c>
      <c r="C2800" s="2" t="s">
        <v>27479</v>
      </c>
      <c r="D2800" s="2" t="s">
        <v>27480</v>
      </c>
      <c r="E2800" s="2" t="s">
        <v>27481</v>
      </c>
      <c r="G2800" s="3" t="s">
        <v>62</v>
      </c>
      <c r="I2800" s="3" t="s">
        <v>62</v>
      </c>
      <c r="J2800" s="3" t="s">
        <v>62</v>
      </c>
      <c r="K2800" s="3" t="s">
        <v>63</v>
      </c>
      <c r="M2800" s="2" t="s">
        <v>11910</v>
      </c>
      <c r="N2800" s="3" t="s">
        <v>149</v>
      </c>
      <c r="P2800" s="3" t="s">
        <v>65</v>
      </c>
      <c r="Q2800" s="2" t="s">
        <v>27482</v>
      </c>
      <c r="R2800" s="3" t="s">
        <v>66</v>
      </c>
      <c r="S2800" s="4">
        <v>5</v>
      </c>
      <c r="T2800" s="4">
        <v>5</v>
      </c>
      <c r="U2800" s="5" t="s">
        <v>473</v>
      </c>
      <c r="V2800" s="5" t="s">
        <v>473</v>
      </c>
      <c r="W2800" s="5" t="s">
        <v>67</v>
      </c>
      <c r="X2800" s="5" t="s">
        <v>67</v>
      </c>
      <c r="Y2800" s="4">
        <v>354</v>
      </c>
      <c r="Z2800" s="4">
        <v>30</v>
      </c>
      <c r="AA2800" s="4">
        <v>97</v>
      </c>
      <c r="AB2800" s="4">
        <v>2</v>
      </c>
      <c r="AC2800" s="4">
        <v>14</v>
      </c>
      <c r="AD2800" s="4">
        <v>82</v>
      </c>
      <c r="AE2800" s="4">
        <v>131</v>
      </c>
      <c r="AF2800" s="4">
        <v>1</v>
      </c>
      <c r="AG2800" s="4">
        <v>8</v>
      </c>
      <c r="AH2800" s="4">
        <v>71</v>
      </c>
      <c r="AI2800" s="4">
        <v>94</v>
      </c>
      <c r="AJ2800" s="4">
        <v>16</v>
      </c>
      <c r="AK2800" s="4">
        <v>25</v>
      </c>
      <c r="AL2800" s="4">
        <v>39</v>
      </c>
      <c r="AM2800" s="4">
        <v>49</v>
      </c>
      <c r="AN2800" s="4">
        <v>0</v>
      </c>
      <c r="AO2800" s="4">
        <v>0</v>
      </c>
      <c r="AP2800" s="4">
        <v>20</v>
      </c>
      <c r="AQ2800" s="4">
        <v>47</v>
      </c>
      <c r="AR2800" s="3" t="s">
        <v>62</v>
      </c>
      <c r="AS2800" s="3" t="s">
        <v>62</v>
      </c>
      <c r="AT2800" s="3" t="s">
        <v>62</v>
      </c>
      <c r="AV2800" s="6" t="str">
        <f>HYPERLINK("http://mcgill.on.worldcat.org/oclc/609529034","Catalog Record")</f>
        <v>Catalog Record</v>
      </c>
      <c r="AW2800" s="6" t="str">
        <f>HYPERLINK("http://www.worldcat.org/oclc/609529034","WorldCat Record")</f>
        <v>WorldCat Record</v>
      </c>
      <c r="AX2800" s="3" t="s">
        <v>27483</v>
      </c>
      <c r="AY2800" s="3" t="s">
        <v>27484</v>
      </c>
      <c r="AZ2800" s="3" t="s">
        <v>27485</v>
      </c>
      <c r="BA2800" s="3" t="s">
        <v>27485</v>
      </c>
      <c r="BB2800" s="3" t="s">
        <v>27486</v>
      </c>
      <c r="BC2800" s="3" t="s">
        <v>142</v>
      </c>
      <c r="BD2800" s="3" t="s">
        <v>68</v>
      </c>
      <c r="BE2800" s="3" t="s">
        <v>27487</v>
      </c>
      <c r="BF2800" s="3" t="s">
        <v>27486</v>
      </c>
      <c r="BG2800" s="3" t="s">
        <v>27488</v>
      </c>
    </row>
    <row r="2801" spans="1:59" ht="71.25" x14ac:dyDescent="0.45">
      <c r="A2801" s="2" t="s">
        <v>59</v>
      </c>
      <c r="B2801" s="2" t="s">
        <v>60</v>
      </c>
      <c r="C2801" s="2" t="s">
        <v>27489</v>
      </c>
      <c r="D2801" s="2" t="s">
        <v>27490</v>
      </c>
      <c r="E2801" s="2" t="s">
        <v>27491</v>
      </c>
      <c r="G2801" s="3" t="s">
        <v>62</v>
      </c>
      <c r="I2801" s="3" t="s">
        <v>62</v>
      </c>
      <c r="J2801" s="3" t="s">
        <v>62</v>
      </c>
      <c r="K2801" s="3" t="s">
        <v>63</v>
      </c>
      <c r="M2801" s="2" t="s">
        <v>27492</v>
      </c>
      <c r="N2801" s="3" t="s">
        <v>149</v>
      </c>
      <c r="P2801" s="3" t="s">
        <v>65</v>
      </c>
      <c r="R2801" s="3" t="s">
        <v>66</v>
      </c>
      <c r="S2801" s="4">
        <v>2</v>
      </c>
      <c r="T2801" s="4">
        <v>2</v>
      </c>
      <c r="U2801" s="5" t="s">
        <v>26169</v>
      </c>
      <c r="V2801" s="5" t="s">
        <v>26169</v>
      </c>
      <c r="W2801" s="5" t="s">
        <v>67</v>
      </c>
      <c r="X2801" s="5" t="s">
        <v>67</v>
      </c>
      <c r="Y2801" s="4">
        <v>83</v>
      </c>
      <c r="Z2801" s="4">
        <v>9</v>
      </c>
      <c r="AA2801" s="4">
        <v>14</v>
      </c>
      <c r="AB2801" s="4">
        <v>2</v>
      </c>
      <c r="AC2801" s="4">
        <v>5</v>
      </c>
      <c r="AD2801" s="4">
        <v>37</v>
      </c>
      <c r="AE2801" s="4">
        <v>41</v>
      </c>
      <c r="AF2801" s="4">
        <v>1</v>
      </c>
      <c r="AG2801" s="4">
        <v>2</v>
      </c>
      <c r="AH2801" s="4">
        <v>34</v>
      </c>
      <c r="AI2801" s="4">
        <v>37</v>
      </c>
      <c r="AJ2801" s="4">
        <v>5</v>
      </c>
      <c r="AK2801" s="4">
        <v>7</v>
      </c>
      <c r="AL2801" s="4">
        <v>23</v>
      </c>
      <c r="AM2801" s="4">
        <v>25</v>
      </c>
      <c r="AN2801" s="4">
        <v>0</v>
      </c>
      <c r="AO2801" s="4">
        <v>0</v>
      </c>
      <c r="AP2801" s="4">
        <v>6</v>
      </c>
      <c r="AQ2801" s="4">
        <v>8</v>
      </c>
      <c r="AR2801" s="3" t="s">
        <v>62</v>
      </c>
      <c r="AS2801" s="3" t="s">
        <v>62</v>
      </c>
      <c r="AT2801" s="3" t="s">
        <v>62</v>
      </c>
      <c r="AV2801" s="6" t="str">
        <f>HYPERLINK("http://mcgill.on.worldcat.org/oclc/630470360","Catalog Record")</f>
        <v>Catalog Record</v>
      </c>
      <c r="AW2801" s="6" t="str">
        <f>HYPERLINK("http://www.worldcat.org/oclc/630470360","WorldCat Record")</f>
        <v>WorldCat Record</v>
      </c>
      <c r="AX2801" s="3" t="s">
        <v>27493</v>
      </c>
      <c r="AY2801" s="3" t="s">
        <v>27494</v>
      </c>
      <c r="AZ2801" s="3" t="s">
        <v>27495</v>
      </c>
      <c r="BA2801" s="3" t="s">
        <v>27495</v>
      </c>
      <c r="BB2801" s="3" t="s">
        <v>27496</v>
      </c>
      <c r="BC2801" s="3" t="s">
        <v>142</v>
      </c>
      <c r="BD2801" s="3" t="s">
        <v>68</v>
      </c>
      <c r="BE2801" s="3" t="s">
        <v>27497</v>
      </c>
      <c r="BF2801" s="3" t="s">
        <v>27496</v>
      </c>
      <c r="BG2801" s="3" t="s">
        <v>27498</v>
      </c>
    </row>
    <row r="2802" spans="1:59" ht="71.25" x14ac:dyDescent="0.45">
      <c r="A2802" s="2" t="s">
        <v>59</v>
      </c>
      <c r="B2802" s="2" t="s">
        <v>60</v>
      </c>
      <c r="C2802" s="2" t="s">
        <v>27499</v>
      </c>
      <c r="D2802" s="2" t="s">
        <v>27500</v>
      </c>
      <c r="E2802" s="2" t="s">
        <v>27501</v>
      </c>
      <c r="G2802" s="3" t="s">
        <v>62</v>
      </c>
      <c r="I2802" s="3" t="s">
        <v>62</v>
      </c>
      <c r="J2802" s="3" t="s">
        <v>62</v>
      </c>
      <c r="K2802" s="3" t="s">
        <v>63</v>
      </c>
      <c r="L2802" s="2" t="s">
        <v>27502</v>
      </c>
      <c r="M2802" s="2" t="s">
        <v>27503</v>
      </c>
      <c r="N2802" s="3" t="s">
        <v>1465</v>
      </c>
      <c r="P2802" s="3" t="s">
        <v>65</v>
      </c>
      <c r="R2802" s="3" t="s">
        <v>66</v>
      </c>
      <c r="S2802" s="4">
        <v>7</v>
      </c>
      <c r="T2802" s="4">
        <v>7</v>
      </c>
      <c r="U2802" s="5" t="s">
        <v>26343</v>
      </c>
      <c r="V2802" s="5" t="s">
        <v>26343</v>
      </c>
      <c r="W2802" s="5" t="s">
        <v>67</v>
      </c>
      <c r="X2802" s="5" t="s">
        <v>67</v>
      </c>
      <c r="Y2802" s="4">
        <v>291</v>
      </c>
      <c r="Z2802" s="4">
        <v>26</v>
      </c>
      <c r="AA2802" s="4">
        <v>31</v>
      </c>
      <c r="AB2802" s="4">
        <v>2</v>
      </c>
      <c r="AC2802" s="4">
        <v>4</v>
      </c>
      <c r="AD2802" s="4">
        <v>96</v>
      </c>
      <c r="AE2802" s="4">
        <v>104</v>
      </c>
      <c r="AF2802" s="4">
        <v>0</v>
      </c>
      <c r="AG2802" s="4">
        <v>2</v>
      </c>
      <c r="AH2802" s="4">
        <v>85</v>
      </c>
      <c r="AI2802" s="4">
        <v>88</v>
      </c>
      <c r="AJ2802" s="4">
        <v>15</v>
      </c>
      <c r="AK2802" s="4">
        <v>18</v>
      </c>
      <c r="AL2802" s="4">
        <v>49</v>
      </c>
      <c r="AM2802" s="4">
        <v>50</v>
      </c>
      <c r="AN2802" s="4">
        <v>0</v>
      </c>
      <c r="AO2802" s="4">
        <v>0</v>
      </c>
      <c r="AP2802" s="4">
        <v>18</v>
      </c>
      <c r="AQ2802" s="4">
        <v>22</v>
      </c>
      <c r="AR2802" s="3" t="s">
        <v>62</v>
      </c>
      <c r="AS2802" s="3" t="s">
        <v>62</v>
      </c>
      <c r="AT2802" s="3" t="s">
        <v>62</v>
      </c>
      <c r="AV2802" s="6" t="str">
        <f>HYPERLINK("http://mcgill.on.worldcat.org/oclc/316826743","Catalog Record")</f>
        <v>Catalog Record</v>
      </c>
      <c r="AW2802" s="6" t="str">
        <f>HYPERLINK("http://www.worldcat.org/oclc/316826743","WorldCat Record")</f>
        <v>WorldCat Record</v>
      </c>
      <c r="AX2802" s="3" t="s">
        <v>27504</v>
      </c>
      <c r="AY2802" s="3" t="s">
        <v>27505</v>
      </c>
      <c r="AZ2802" s="3" t="s">
        <v>27506</v>
      </c>
      <c r="BA2802" s="3" t="s">
        <v>27506</v>
      </c>
      <c r="BB2802" s="3" t="s">
        <v>27507</v>
      </c>
      <c r="BC2802" s="3" t="s">
        <v>142</v>
      </c>
      <c r="BD2802" s="3" t="s">
        <v>68</v>
      </c>
      <c r="BE2802" s="3" t="s">
        <v>27508</v>
      </c>
      <c r="BF2802" s="3" t="s">
        <v>27507</v>
      </c>
      <c r="BG2802" s="3" t="s">
        <v>27509</v>
      </c>
    </row>
    <row r="2803" spans="1:59" ht="57" x14ac:dyDescent="0.45">
      <c r="A2803" s="2" t="s">
        <v>59</v>
      </c>
      <c r="B2803" s="2" t="s">
        <v>60</v>
      </c>
      <c r="C2803" s="2" t="s">
        <v>27510</v>
      </c>
      <c r="D2803" s="2" t="s">
        <v>27511</v>
      </c>
      <c r="E2803" s="2" t="s">
        <v>27512</v>
      </c>
      <c r="G2803" s="3" t="s">
        <v>62</v>
      </c>
      <c r="I2803" s="3" t="s">
        <v>62</v>
      </c>
      <c r="J2803" s="3" t="s">
        <v>62</v>
      </c>
      <c r="K2803" s="3" t="s">
        <v>63</v>
      </c>
      <c r="L2803" s="2" t="s">
        <v>27513</v>
      </c>
      <c r="M2803" s="2" t="s">
        <v>12424</v>
      </c>
      <c r="N2803" s="3" t="s">
        <v>116</v>
      </c>
      <c r="P2803" s="3" t="s">
        <v>65</v>
      </c>
      <c r="Q2803" s="2" t="s">
        <v>27514</v>
      </c>
      <c r="R2803" s="3" t="s">
        <v>66</v>
      </c>
      <c r="S2803" s="4">
        <v>0</v>
      </c>
      <c r="T2803" s="4">
        <v>0</v>
      </c>
      <c r="W2803" s="5" t="s">
        <v>67</v>
      </c>
      <c r="X2803" s="5" t="s">
        <v>67</v>
      </c>
      <c r="Y2803" s="4">
        <v>140</v>
      </c>
      <c r="Z2803" s="4">
        <v>22</v>
      </c>
      <c r="AA2803" s="4">
        <v>115</v>
      </c>
      <c r="AB2803" s="4">
        <v>1</v>
      </c>
      <c r="AC2803" s="4">
        <v>20</v>
      </c>
      <c r="AD2803" s="4">
        <v>76</v>
      </c>
      <c r="AE2803" s="4">
        <v>128</v>
      </c>
      <c r="AF2803" s="4">
        <v>0</v>
      </c>
      <c r="AG2803" s="4">
        <v>8</v>
      </c>
      <c r="AH2803" s="4">
        <v>64</v>
      </c>
      <c r="AI2803" s="4">
        <v>86</v>
      </c>
      <c r="AJ2803" s="4">
        <v>16</v>
      </c>
      <c r="AK2803" s="4">
        <v>27</v>
      </c>
      <c r="AL2803" s="4">
        <v>37</v>
      </c>
      <c r="AM2803" s="4">
        <v>44</v>
      </c>
      <c r="AN2803" s="4">
        <v>0</v>
      </c>
      <c r="AO2803" s="4">
        <v>0</v>
      </c>
      <c r="AP2803" s="4">
        <v>17</v>
      </c>
      <c r="AQ2803" s="4">
        <v>52</v>
      </c>
      <c r="AR2803" s="3" t="s">
        <v>61</v>
      </c>
      <c r="AS2803" s="3" t="s">
        <v>62</v>
      </c>
      <c r="AT2803" s="3" t="s">
        <v>62</v>
      </c>
      <c r="AV2803" s="6" t="str">
        <f>HYPERLINK("http://mcgill.on.worldcat.org/oclc/858716716","Catalog Record")</f>
        <v>Catalog Record</v>
      </c>
      <c r="AW2803" s="6" t="str">
        <f>HYPERLINK("http://www.worldcat.org/oclc/858716716","WorldCat Record")</f>
        <v>WorldCat Record</v>
      </c>
      <c r="AX2803" s="3" t="s">
        <v>27515</v>
      </c>
      <c r="AY2803" s="3" t="s">
        <v>27516</v>
      </c>
      <c r="AZ2803" s="3" t="s">
        <v>27517</v>
      </c>
      <c r="BA2803" s="3" t="s">
        <v>27517</v>
      </c>
      <c r="BB2803" s="3" t="s">
        <v>27518</v>
      </c>
      <c r="BC2803" s="3" t="s">
        <v>142</v>
      </c>
      <c r="BD2803" s="3" t="s">
        <v>68</v>
      </c>
      <c r="BE2803" s="3" t="s">
        <v>27519</v>
      </c>
      <c r="BF2803" s="3" t="s">
        <v>27518</v>
      </c>
      <c r="BG2803" s="3" t="s">
        <v>27520</v>
      </c>
    </row>
    <row r="2804" spans="1:59" ht="71.25" x14ac:dyDescent="0.45">
      <c r="A2804" s="2" t="s">
        <v>59</v>
      </c>
      <c r="B2804" s="2" t="s">
        <v>60</v>
      </c>
      <c r="C2804" s="2" t="s">
        <v>27521</v>
      </c>
      <c r="D2804" s="2" t="s">
        <v>27522</v>
      </c>
      <c r="E2804" s="2" t="s">
        <v>27523</v>
      </c>
      <c r="G2804" s="3" t="s">
        <v>62</v>
      </c>
      <c r="I2804" s="3" t="s">
        <v>62</v>
      </c>
      <c r="J2804" s="3" t="s">
        <v>62</v>
      </c>
      <c r="K2804" s="3" t="s">
        <v>63</v>
      </c>
      <c r="L2804" s="2" t="s">
        <v>27524</v>
      </c>
      <c r="M2804" s="2" t="s">
        <v>27525</v>
      </c>
      <c r="N2804" s="3" t="s">
        <v>820</v>
      </c>
      <c r="P2804" s="3" t="s">
        <v>65</v>
      </c>
      <c r="R2804" s="3" t="s">
        <v>66</v>
      </c>
      <c r="S2804" s="4">
        <v>24</v>
      </c>
      <c r="T2804" s="4">
        <v>24</v>
      </c>
      <c r="U2804" s="5" t="s">
        <v>27526</v>
      </c>
      <c r="V2804" s="5" t="s">
        <v>27526</v>
      </c>
      <c r="W2804" s="5" t="s">
        <v>67</v>
      </c>
      <c r="X2804" s="5" t="s">
        <v>67</v>
      </c>
      <c r="Y2804" s="4">
        <v>309</v>
      </c>
      <c r="Z2804" s="4">
        <v>23</v>
      </c>
      <c r="AA2804" s="4">
        <v>33</v>
      </c>
      <c r="AB2804" s="4">
        <v>3</v>
      </c>
      <c r="AC2804" s="4">
        <v>7</v>
      </c>
      <c r="AD2804" s="4">
        <v>97</v>
      </c>
      <c r="AE2804" s="4">
        <v>108</v>
      </c>
      <c r="AF2804" s="4">
        <v>1</v>
      </c>
      <c r="AG2804" s="4">
        <v>3</v>
      </c>
      <c r="AH2804" s="4">
        <v>88</v>
      </c>
      <c r="AI2804" s="4">
        <v>94</v>
      </c>
      <c r="AJ2804" s="4">
        <v>14</v>
      </c>
      <c r="AK2804" s="4">
        <v>18</v>
      </c>
      <c r="AL2804" s="4">
        <v>51</v>
      </c>
      <c r="AM2804" s="4">
        <v>52</v>
      </c>
      <c r="AN2804" s="4">
        <v>0</v>
      </c>
      <c r="AO2804" s="4">
        <v>0</v>
      </c>
      <c r="AP2804" s="4">
        <v>17</v>
      </c>
      <c r="AQ2804" s="4">
        <v>23</v>
      </c>
      <c r="AR2804" s="3" t="s">
        <v>62</v>
      </c>
      <c r="AS2804" s="3" t="s">
        <v>62</v>
      </c>
      <c r="AT2804" s="3" t="s">
        <v>62</v>
      </c>
      <c r="AV2804" s="6" t="str">
        <f>HYPERLINK("http://mcgill.on.worldcat.org/oclc/179103773","Catalog Record")</f>
        <v>Catalog Record</v>
      </c>
      <c r="AW2804" s="6" t="str">
        <f>HYPERLINK("http://www.worldcat.org/oclc/179103773","WorldCat Record")</f>
        <v>WorldCat Record</v>
      </c>
      <c r="AX2804" s="3" t="s">
        <v>27527</v>
      </c>
      <c r="AY2804" s="3" t="s">
        <v>27528</v>
      </c>
      <c r="AZ2804" s="3" t="s">
        <v>27529</v>
      </c>
      <c r="BA2804" s="3" t="s">
        <v>27529</v>
      </c>
      <c r="BB2804" s="3" t="s">
        <v>27530</v>
      </c>
      <c r="BC2804" s="3" t="s">
        <v>142</v>
      </c>
      <c r="BD2804" s="3" t="s">
        <v>68</v>
      </c>
      <c r="BE2804" s="3" t="s">
        <v>27531</v>
      </c>
      <c r="BF2804" s="3" t="s">
        <v>27530</v>
      </c>
      <c r="BG2804" s="3" t="s">
        <v>27532</v>
      </c>
    </row>
    <row r="2805" spans="1:59" ht="71.25" x14ac:dyDescent="0.45">
      <c r="A2805" s="2" t="s">
        <v>59</v>
      </c>
      <c r="B2805" s="2" t="s">
        <v>60</v>
      </c>
      <c r="C2805" s="2" t="s">
        <v>27533</v>
      </c>
      <c r="D2805" s="2" t="s">
        <v>27534</v>
      </c>
      <c r="E2805" s="2" t="s">
        <v>27535</v>
      </c>
      <c r="G2805" s="3" t="s">
        <v>62</v>
      </c>
      <c r="I2805" s="3" t="s">
        <v>62</v>
      </c>
      <c r="J2805" s="3" t="s">
        <v>62</v>
      </c>
      <c r="K2805" s="3" t="s">
        <v>63</v>
      </c>
      <c r="L2805" s="2" t="s">
        <v>12952</v>
      </c>
      <c r="M2805" s="2" t="s">
        <v>27237</v>
      </c>
      <c r="N2805" s="3" t="s">
        <v>167</v>
      </c>
      <c r="P2805" s="3" t="s">
        <v>65</v>
      </c>
      <c r="R2805" s="3" t="s">
        <v>66</v>
      </c>
      <c r="S2805" s="4">
        <v>24</v>
      </c>
      <c r="T2805" s="4">
        <v>24</v>
      </c>
      <c r="U2805" s="5" t="s">
        <v>5430</v>
      </c>
      <c r="V2805" s="5" t="s">
        <v>5430</v>
      </c>
      <c r="W2805" s="5" t="s">
        <v>67</v>
      </c>
      <c r="X2805" s="5" t="s">
        <v>67</v>
      </c>
      <c r="Y2805" s="4">
        <v>424</v>
      </c>
      <c r="Z2805" s="4">
        <v>24</v>
      </c>
      <c r="AA2805" s="4">
        <v>26</v>
      </c>
      <c r="AB2805" s="4">
        <v>2</v>
      </c>
      <c r="AC2805" s="4">
        <v>4</v>
      </c>
      <c r="AD2805" s="4">
        <v>116</v>
      </c>
      <c r="AE2805" s="4">
        <v>118</v>
      </c>
      <c r="AF2805" s="4">
        <v>1</v>
      </c>
      <c r="AG2805" s="4">
        <v>3</v>
      </c>
      <c r="AH2805" s="4">
        <v>103</v>
      </c>
      <c r="AI2805" s="4">
        <v>104</v>
      </c>
      <c r="AJ2805" s="4">
        <v>15</v>
      </c>
      <c r="AK2805" s="4">
        <v>17</v>
      </c>
      <c r="AL2805" s="4">
        <v>55</v>
      </c>
      <c r="AM2805" s="4">
        <v>55</v>
      </c>
      <c r="AN2805" s="4">
        <v>0</v>
      </c>
      <c r="AO2805" s="4">
        <v>0</v>
      </c>
      <c r="AP2805" s="4">
        <v>19</v>
      </c>
      <c r="AQ2805" s="4">
        <v>20</v>
      </c>
      <c r="AR2805" s="3" t="s">
        <v>62</v>
      </c>
      <c r="AS2805" s="3" t="s">
        <v>62</v>
      </c>
      <c r="AT2805" s="3" t="s">
        <v>62</v>
      </c>
      <c r="AV2805" s="6" t="str">
        <f>HYPERLINK("http://mcgill.on.worldcat.org/oclc/41266266","Catalog Record")</f>
        <v>Catalog Record</v>
      </c>
      <c r="AW2805" s="6" t="str">
        <f>HYPERLINK("http://www.worldcat.org/oclc/41266266","WorldCat Record")</f>
        <v>WorldCat Record</v>
      </c>
      <c r="AX2805" s="3" t="s">
        <v>27536</v>
      </c>
      <c r="AY2805" s="3" t="s">
        <v>27537</v>
      </c>
      <c r="AZ2805" s="3" t="s">
        <v>27538</v>
      </c>
      <c r="BA2805" s="3" t="s">
        <v>27538</v>
      </c>
      <c r="BB2805" s="3" t="s">
        <v>27539</v>
      </c>
      <c r="BC2805" s="3" t="s">
        <v>142</v>
      </c>
      <c r="BD2805" s="3" t="s">
        <v>68</v>
      </c>
      <c r="BE2805" s="3" t="s">
        <v>27540</v>
      </c>
      <c r="BF2805" s="3" t="s">
        <v>27539</v>
      </c>
      <c r="BG2805" s="3" t="s">
        <v>27541</v>
      </c>
    </row>
    <row r="2806" spans="1:59" ht="71.25" x14ac:dyDescent="0.45">
      <c r="A2806" s="2" t="s">
        <v>59</v>
      </c>
      <c r="B2806" s="2" t="s">
        <v>60</v>
      </c>
      <c r="C2806" s="2" t="s">
        <v>27542</v>
      </c>
      <c r="D2806" s="2" t="s">
        <v>27543</v>
      </c>
      <c r="E2806" s="2" t="s">
        <v>27544</v>
      </c>
      <c r="G2806" s="3" t="s">
        <v>62</v>
      </c>
      <c r="I2806" s="3" t="s">
        <v>62</v>
      </c>
      <c r="J2806" s="3" t="s">
        <v>62</v>
      </c>
      <c r="K2806" s="3" t="s">
        <v>63</v>
      </c>
      <c r="L2806" s="2" t="s">
        <v>27545</v>
      </c>
      <c r="M2806" s="2" t="s">
        <v>7220</v>
      </c>
      <c r="N2806" s="3" t="s">
        <v>1059</v>
      </c>
      <c r="P2806" s="3" t="s">
        <v>65</v>
      </c>
      <c r="Q2806" s="2" t="s">
        <v>3508</v>
      </c>
      <c r="R2806" s="3" t="s">
        <v>66</v>
      </c>
      <c r="S2806" s="4">
        <v>6</v>
      </c>
      <c r="T2806" s="4">
        <v>6</v>
      </c>
      <c r="U2806" s="5" t="s">
        <v>473</v>
      </c>
      <c r="V2806" s="5" t="s">
        <v>473</v>
      </c>
      <c r="W2806" s="5" t="s">
        <v>67</v>
      </c>
      <c r="X2806" s="5" t="s">
        <v>67</v>
      </c>
      <c r="Y2806" s="4">
        <v>282</v>
      </c>
      <c r="Z2806" s="4">
        <v>17</v>
      </c>
      <c r="AA2806" s="4">
        <v>79</v>
      </c>
      <c r="AB2806" s="4">
        <v>2</v>
      </c>
      <c r="AC2806" s="4">
        <v>15</v>
      </c>
      <c r="AD2806" s="4">
        <v>94</v>
      </c>
      <c r="AE2806" s="4">
        <v>135</v>
      </c>
      <c r="AF2806" s="4">
        <v>1</v>
      </c>
      <c r="AG2806" s="4">
        <v>8</v>
      </c>
      <c r="AH2806" s="4">
        <v>88</v>
      </c>
      <c r="AI2806" s="4">
        <v>104</v>
      </c>
      <c r="AJ2806" s="4">
        <v>13</v>
      </c>
      <c r="AK2806" s="4">
        <v>24</v>
      </c>
      <c r="AL2806" s="4">
        <v>45</v>
      </c>
      <c r="AM2806" s="4">
        <v>54</v>
      </c>
      <c r="AN2806" s="4">
        <v>0</v>
      </c>
      <c r="AO2806" s="4">
        <v>0</v>
      </c>
      <c r="AP2806" s="4">
        <v>13</v>
      </c>
      <c r="AQ2806" s="4">
        <v>41</v>
      </c>
      <c r="AR2806" s="3" t="s">
        <v>62</v>
      </c>
      <c r="AS2806" s="3" t="s">
        <v>62</v>
      </c>
      <c r="AT2806" s="3" t="s">
        <v>62</v>
      </c>
      <c r="AV2806" s="6" t="str">
        <f>HYPERLINK("http://mcgill.on.worldcat.org/oclc/61200745","Catalog Record")</f>
        <v>Catalog Record</v>
      </c>
      <c r="AW2806" s="6" t="str">
        <f>HYPERLINK("http://www.worldcat.org/oclc/61200745","WorldCat Record")</f>
        <v>WorldCat Record</v>
      </c>
      <c r="AX2806" s="3" t="s">
        <v>27546</v>
      </c>
      <c r="AY2806" s="3" t="s">
        <v>27547</v>
      </c>
      <c r="AZ2806" s="3" t="s">
        <v>27548</v>
      </c>
      <c r="BA2806" s="3" t="s">
        <v>27548</v>
      </c>
      <c r="BB2806" s="3" t="s">
        <v>27549</v>
      </c>
      <c r="BC2806" s="3" t="s">
        <v>142</v>
      </c>
      <c r="BD2806" s="3" t="s">
        <v>68</v>
      </c>
      <c r="BE2806" s="3" t="s">
        <v>27550</v>
      </c>
      <c r="BF2806" s="3" t="s">
        <v>27549</v>
      </c>
      <c r="BG2806" s="3" t="s">
        <v>27551</v>
      </c>
    </row>
    <row r="2807" spans="1:59" ht="71.25" x14ac:dyDescent="0.45">
      <c r="A2807" s="2" t="s">
        <v>59</v>
      </c>
      <c r="B2807" s="2" t="s">
        <v>60</v>
      </c>
      <c r="C2807" s="2" t="s">
        <v>27552</v>
      </c>
      <c r="D2807" s="2" t="s">
        <v>27553</v>
      </c>
      <c r="E2807" s="2" t="s">
        <v>27554</v>
      </c>
      <c r="G2807" s="3" t="s">
        <v>62</v>
      </c>
      <c r="I2807" s="3" t="s">
        <v>62</v>
      </c>
      <c r="J2807" s="3" t="s">
        <v>62</v>
      </c>
      <c r="K2807" s="3" t="s">
        <v>63</v>
      </c>
      <c r="L2807" s="2" t="s">
        <v>27555</v>
      </c>
      <c r="M2807" s="2" t="s">
        <v>27556</v>
      </c>
      <c r="N2807" s="3" t="s">
        <v>945</v>
      </c>
      <c r="P2807" s="3" t="s">
        <v>65</v>
      </c>
      <c r="Q2807" s="2" t="s">
        <v>27557</v>
      </c>
      <c r="R2807" s="3" t="s">
        <v>66</v>
      </c>
      <c r="S2807" s="4">
        <v>11</v>
      </c>
      <c r="T2807" s="4">
        <v>11</v>
      </c>
      <c r="U2807" s="5" t="s">
        <v>6500</v>
      </c>
      <c r="V2807" s="5" t="s">
        <v>6500</v>
      </c>
      <c r="W2807" s="5" t="s">
        <v>67</v>
      </c>
      <c r="X2807" s="5" t="s">
        <v>67</v>
      </c>
      <c r="Y2807" s="4">
        <v>476</v>
      </c>
      <c r="Z2807" s="4">
        <v>33</v>
      </c>
      <c r="AA2807" s="4">
        <v>116</v>
      </c>
      <c r="AB2807" s="4">
        <v>2</v>
      </c>
      <c r="AC2807" s="4">
        <v>19</v>
      </c>
      <c r="AD2807" s="4">
        <v>117</v>
      </c>
      <c r="AE2807" s="4">
        <v>152</v>
      </c>
      <c r="AF2807" s="4">
        <v>1</v>
      </c>
      <c r="AG2807" s="4">
        <v>8</v>
      </c>
      <c r="AH2807" s="4">
        <v>102</v>
      </c>
      <c r="AI2807" s="4">
        <v>110</v>
      </c>
      <c r="AJ2807" s="4">
        <v>16</v>
      </c>
      <c r="AK2807" s="4">
        <v>26</v>
      </c>
      <c r="AL2807" s="4">
        <v>55</v>
      </c>
      <c r="AM2807" s="4">
        <v>59</v>
      </c>
      <c r="AN2807" s="4">
        <v>0</v>
      </c>
      <c r="AO2807" s="4">
        <v>0</v>
      </c>
      <c r="AP2807" s="4">
        <v>21</v>
      </c>
      <c r="AQ2807" s="4">
        <v>49</v>
      </c>
      <c r="AR2807" s="3" t="s">
        <v>62</v>
      </c>
      <c r="AS2807" s="3" t="s">
        <v>62</v>
      </c>
      <c r="AT2807" s="3" t="s">
        <v>61</v>
      </c>
      <c r="AU2807" s="6" t="str">
        <f>HYPERLINK("http://catalog.hathitrust.org/Record/005422594","HathiTrust Record")</f>
        <v>HathiTrust Record</v>
      </c>
      <c r="AV2807" s="6" t="str">
        <f>HYPERLINK("http://mcgill.on.worldcat.org/oclc/70199883","Catalog Record")</f>
        <v>Catalog Record</v>
      </c>
      <c r="AW2807" s="6" t="str">
        <f>HYPERLINK("http://www.worldcat.org/oclc/70199883","WorldCat Record")</f>
        <v>WorldCat Record</v>
      </c>
      <c r="AX2807" s="3" t="s">
        <v>27558</v>
      </c>
      <c r="AY2807" s="3" t="s">
        <v>27559</v>
      </c>
      <c r="AZ2807" s="3" t="s">
        <v>27560</v>
      </c>
      <c r="BA2807" s="3" t="s">
        <v>27560</v>
      </c>
      <c r="BB2807" s="3" t="s">
        <v>27561</v>
      </c>
      <c r="BC2807" s="3" t="s">
        <v>142</v>
      </c>
      <c r="BD2807" s="3" t="s">
        <v>308</v>
      </c>
      <c r="BE2807" s="3" t="s">
        <v>27562</v>
      </c>
      <c r="BF2807" s="3" t="s">
        <v>27561</v>
      </c>
      <c r="BG2807" s="3" t="s">
        <v>27563</v>
      </c>
    </row>
    <row r="2808" spans="1:59" ht="57" x14ac:dyDescent="0.45">
      <c r="A2808" s="2" t="s">
        <v>59</v>
      </c>
      <c r="B2808" s="2" t="s">
        <v>60</v>
      </c>
      <c r="C2808" s="2" t="s">
        <v>27564</v>
      </c>
      <c r="D2808" s="2" t="s">
        <v>27565</v>
      </c>
      <c r="E2808" s="2" t="s">
        <v>27566</v>
      </c>
      <c r="G2808" s="3" t="s">
        <v>62</v>
      </c>
      <c r="I2808" s="3" t="s">
        <v>62</v>
      </c>
      <c r="J2808" s="3" t="s">
        <v>62</v>
      </c>
      <c r="K2808" s="3" t="s">
        <v>63</v>
      </c>
      <c r="L2808" s="2" t="s">
        <v>27567</v>
      </c>
      <c r="M2808" s="2" t="s">
        <v>27568</v>
      </c>
      <c r="N2808" s="3" t="s">
        <v>116</v>
      </c>
      <c r="P2808" s="3" t="s">
        <v>65</v>
      </c>
      <c r="R2808" s="3" t="s">
        <v>66</v>
      </c>
      <c r="S2808" s="4">
        <v>6</v>
      </c>
      <c r="T2808" s="4">
        <v>6</v>
      </c>
      <c r="U2808" s="5" t="s">
        <v>8454</v>
      </c>
      <c r="V2808" s="5" t="s">
        <v>8454</v>
      </c>
      <c r="W2808" s="5" t="s">
        <v>67</v>
      </c>
      <c r="X2808" s="5" t="s">
        <v>67</v>
      </c>
      <c r="Y2808" s="4">
        <v>165</v>
      </c>
      <c r="Z2808" s="4">
        <v>17</v>
      </c>
      <c r="AA2808" s="4">
        <v>26</v>
      </c>
      <c r="AB2808" s="4">
        <v>1</v>
      </c>
      <c r="AC2808" s="4">
        <v>4</v>
      </c>
      <c r="AD2808" s="4">
        <v>62</v>
      </c>
      <c r="AE2808" s="4">
        <v>83</v>
      </c>
      <c r="AF2808" s="4">
        <v>0</v>
      </c>
      <c r="AG2808" s="4">
        <v>1</v>
      </c>
      <c r="AH2808" s="4">
        <v>57</v>
      </c>
      <c r="AI2808" s="4">
        <v>74</v>
      </c>
      <c r="AJ2808" s="4">
        <v>11</v>
      </c>
      <c r="AK2808" s="4">
        <v>17</v>
      </c>
      <c r="AL2808" s="4">
        <v>30</v>
      </c>
      <c r="AM2808" s="4">
        <v>39</v>
      </c>
      <c r="AN2808" s="4">
        <v>0</v>
      </c>
      <c r="AO2808" s="4">
        <v>0</v>
      </c>
      <c r="AP2808" s="4">
        <v>13</v>
      </c>
      <c r="AQ2808" s="4">
        <v>19</v>
      </c>
      <c r="AR2808" s="3" t="s">
        <v>62</v>
      </c>
      <c r="AS2808" s="3" t="s">
        <v>62</v>
      </c>
      <c r="AT2808" s="3" t="s">
        <v>62</v>
      </c>
      <c r="AV2808" s="6" t="str">
        <f>HYPERLINK("http://mcgill.on.worldcat.org/oclc/792880313","Catalog Record")</f>
        <v>Catalog Record</v>
      </c>
      <c r="AW2808" s="6" t="str">
        <f>HYPERLINK("http://www.worldcat.org/oclc/792880313","WorldCat Record")</f>
        <v>WorldCat Record</v>
      </c>
      <c r="AX2808" s="3" t="s">
        <v>27569</v>
      </c>
      <c r="AY2808" s="3" t="s">
        <v>27570</v>
      </c>
      <c r="AZ2808" s="3" t="s">
        <v>27571</v>
      </c>
      <c r="BA2808" s="3" t="s">
        <v>27571</v>
      </c>
      <c r="BB2808" s="3" t="s">
        <v>27572</v>
      </c>
      <c r="BC2808" s="3" t="s">
        <v>142</v>
      </c>
      <c r="BD2808" s="3" t="s">
        <v>68</v>
      </c>
      <c r="BE2808" s="3" t="s">
        <v>27573</v>
      </c>
      <c r="BF2808" s="3" t="s">
        <v>27572</v>
      </c>
      <c r="BG2808" s="3" t="s">
        <v>27574</v>
      </c>
    </row>
    <row r="2809" spans="1:59" ht="57" x14ac:dyDescent="0.45">
      <c r="A2809" s="2" t="s">
        <v>59</v>
      </c>
      <c r="B2809" s="2" t="s">
        <v>60</v>
      </c>
      <c r="C2809" s="2" t="s">
        <v>27575</v>
      </c>
      <c r="D2809" s="2" t="s">
        <v>27576</v>
      </c>
      <c r="E2809" s="2" t="s">
        <v>27577</v>
      </c>
      <c r="G2809" s="3" t="s">
        <v>62</v>
      </c>
      <c r="I2809" s="3" t="s">
        <v>62</v>
      </c>
      <c r="J2809" s="3" t="s">
        <v>62</v>
      </c>
      <c r="K2809" s="3" t="s">
        <v>63</v>
      </c>
      <c r="M2809" s="2" t="s">
        <v>17573</v>
      </c>
      <c r="N2809" s="3" t="s">
        <v>918</v>
      </c>
      <c r="P2809" s="3" t="s">
        <v>65</v>
      </c>
      <c r="R2809" s="3" t="s">
        <v>66</v>
      </c>
      <c r="S2809" s="4">
        <v>4</v>
      </c>
      <c r="T2809" s="4">
        <v>4</v>
      </c>
      <c r="U2809" s="5" t="s">
        <v>473</v>
      </c>
      <c r="V2809" s="5" t="s">
        <v>473</v>
      </c>
      <c r="W2809" s="5" t="s">
        <v>67</v>
      </c>
      <c r="X2809" s="5" t="s">
        <v>67</v>
      </c>
      <c r="Y2809" s="4">
        <v>519</v>
      </c>
      <c r="Z2809" s="4">
        <v>33</v>
      </c>
      <c r="AA2809" s="4">
        <v>103</v>
      </c>
      <c r="AB2809" s="4">
        <v>2</v>
      </c>
      <c r="AC2809" s="4">
        <v>19</v>
      </c>
      <c r="AD2809" s="4">
        <v>117</v>
      </c>
      <c r="AE2809" s="4">
        <v>154</v>
      </c>
      <c r="AF2809" s="4">
        <v>1</v>
      </c>
      <c r="AG2809" s="4">
        <v>9</v>
      </c>
      <c r="AH2809" s="4">
        <v>100</v>
      </c>
      <c r="AI2809" s="4">
        <v>106</v>
      </c>
      <c r="AJ2809" s="4">
        <v>17</v>
      </c>
      <c r="AK2809" s="4">
        <v>27</v>
      </c>
      <c r="AL2809" s="4">
        <v>51</v>
      </c>
      <c r="AM2809" s="4">
        <v>54</v>
      </c>
      <c r="AN2809" s="4">
        <v>0</v>
      </c>
      <c r="AO2809" s="4">
        <v>0</v>
      </c>
      <c r="AP2809" s="4">
        <v>24</v>
      </c>
      <c r="AQ2809" s="4">
        <v>56</v>
      </c>
      <c r="AR2809" s="3" t="s">
        <v>62</v>
      </c>
      <c r="AS2809" s="3" t="s">
        <v>62</v>
      </c>
      <c r="AT2809" s="3" t="s">
        <v>62</v>
      </c>
      <c r="AV2809" s="6" t="str">
        <f>HYPERLINK("http://mcgill.on.worldcat.org/oclc/51763890","Catalog Record")</f>
        <v>Catalog Record</v>
      </c>
      <c r="AW2809" s="6" t="str">
        <f>HYPERLINK("http://www.worldcat.org/oclc/51763890","WorldCat Record")</f>
        <v>WorldCat Record</v>
      </c>
      <c r="AX2809" s="3" t="s">
        <v>27578</v>
      </c>
      <c r="AY2809" s="3" t="s">
        <v>27579</v>
      </c>
      <c r="AZ2809" s="3" t="s">
        <v>27580</v>
      </c>
      <c r="BA2809" s="3" t="s">
        <v>27580</v>
      </c>
      <c r="BB2809" s="3" t="s">
        <v>27581</v>
      </c>
      <c r="BC2809" s="3" t="s">
        <v>142</v>
      </c>
      <c r="BD2809" s="3" t="s">
        <v>68</v>
      </c>
      <c r="BE2809" s="3" t="s">
        <v>27582</v>
      </c>
      <c r="BF2809" s="3" t="s">
        <v>27581</v>
      </c>
      <c r="BG2809" s="3" t="s">
        <v>27583</v>
      </c>
    </row>
    <row r="2810" spans="1:59" ht="57" x14ac:dyDescent="0.45">
      <c r="A2810" s="2" t="s">
        <v>59</v>
      </c>
      <c r="B2810" s="2" t="s">
        <v>60</v>
      </c>
      <c r="C2810" s="2" t="s">
        <v>27584</v>
      </c>
      <c r="D2810" s="2" t="s">
        <v>27585</v>
      </c>
      <c r="E2810" s="2" t="s">
        <v>27586</v>
      </c>
      <c r="G2810" s="3" t="s">
        <v>62</v>
      </c>
      <c r="I2810" s="3" t="s">
        <v>62</v>
      </c>
      <c r="J2810" s="3" t="s">
        <v>62</v>
      </c>
      <c r="K2810" s="3" t="s">
        <v>63</v>
      </c>
      <c r="M2810" s="2" t="s">
        <v>27587</v>
      </c>
      <c r="N2810" s="3" t="s">
        <v>894</v>
      </c>
      <c r="P2810" s="3" t="s">
        <v>65</v>
      </c>
      <c r="R2810" s="3" t="s">
        <v>66</v>
      </c>
      <c r="S2810" s="4">
        <v>3</v>
      </c>
      <c r="T2810" s="4">
        <v>3</v>
      </c>
      <c r="U2810" s="5" t="s">
        <v>3220</v>
      </c>
      <c r="V2810" s="5" t="s">
        <v>3220</v>
      </c>
      <c r="W2810" s="5" t="s">
        <v>67</v>
      </c>
      <c r="X2810" s="5" t="s">
        <v>67</v>
      </c>
      <c r="Y2810" s="4">
        <v>59</v>
      </c>
      <c r="Z2810" s="4">
        <v>10</v>
      </c>
      <c r="AA2810" s="4">
        <v>74</v>
      </c>
      <c r="AB2810" s="4">
        <v>1</v>
      </c>
      <c r="AC2810" s="4">
        <v>14</v>
      </c>
      <c r="AD2810" s="4">
        <v>28</v>
      </c>
      <c r="AE2810" s="4">
        <v>92</v>
      </c>
      <c r="AF2810" s="4">
        <v>0</v>
      </c>
      <c r="AG2810" s="4">
        <v>8</v>
      </c>
      <c r="AH2810" s="4">
        <v>27</v>
      </c>
      <c r="AI2810" s="4">
        <v>61</v>
      </c>
      <c r="AJ2810" s="4">
        <v>9</v>
      </c>
      <c r="AK2810" s="4">
        <v>18</v>
      </c>
      <c r="AL2810" s="4">
        <v>15</v>
      </c>
      <c r="AM2810" s="4">
        <v>33</v>
      </c>
      <c r="AN2810" s="4">
        <v>0</v>
      </c>
      <c r="AO2810" s="4">
        <v>0</v>
      </c>
      <c r="AP2810" s="4">
        <v>9</v>
      </c>
      <c r="AQ2810" s="4">
        <v>39</v>
      </c>
      <c r="AR2810" s="3" t="s">
        <v>62</v>
      </c>
      <c r="AS2810" s="3" t="s">
        <v>62</v>
      </c>
      <c r="AT2810" s="3" t="s">
        <v>62</v>
      </c>
      <c r="AV2810" s="6" t="str">
        <f>HYPERLINK("http://mcgill.on.worldcat.org/oclc/741733747","Catalog Record")</f>
        <v>Catalog Record</v>
      </c>
      <c r="AW2810" s="6" t="str">
        <f>HYPERLINK("http://www.worldcat.org/oclc/741733747","WorldCat Record")</f>
        <v>WorldCat Record</v>
      </c>
      <c r="AX2810" s="3" t="s">
        <v>27588</v>
      </c>
      <c r="AY2810" s="3" t="s">
        <v>27589</v>
      </c>
      <c r="AZ2810" s="3" t="s">
        <v>27590</v>
      </c>
      <c r="BA2810" s="3" t="s">
        <v>27590</v>
      </c>
      <c r="BB2810" s="3" t="s">
        <v>27591</v>
      </c>
      <c r="BC2810" s="3" t="s">
        <v>142</v>
      </c>
      <c r="BD2810" s="3" t="s">
        <v>68</v>
      </c>
      <c r="BE2810" s="3" t="s">
        <v>27592</v>
      </c>
      <c r="BF2810" s="3" t="s">
        <v>27591</v>
      </c>
      <c r="BG2810" s="3" t="s">
        <v>27593</v>
      </c>
    </row>
    <row r="2811" spans="1:59" ht="71.25" x14ac:dyDescent="0.45">
      <c r="A2811" s="2" t="s">
        <v>59</v>
      </c>
      <c r="B2811" s="2" t="s">
        <v>60</v>
      </c>
      <c r="C2811" s="2" t="s">
        <v>27594</v>
      </c>
      <c r="D2811" s="2" t="s">
        <v>27595</v>
      </c>
      <c r="E2811" s="2" t="s">
        <v>27596</v>
      </c>
      <c r="G2811" s="3" t="s">
        <v>62</v>
      </c>
      <c r="I2811" s="3" t="s">
        <v>62</v>
      </c>
      <c r="J2811" s="3" t="s">
        <v>62</v>
      </c>
      <c r="K2811" s="3" t="s">
        <v>63</v>
      </c>
      <c r="M2811" s="2" t="s">
        <v>27597</v>
      </c>
      <c r="N2811" s="3" t="s">
        <v>1155</v>
      </c>
      <c r="P2811" s="3" t="s">
        <v>65</v>
      </c>
      <c r="R2811" s="3" t="s">
        <v>66</v>
      </c>
      <c r="S2811" s="4">
        <v>4</v>
      </c>
      <c r="T2811" s="4">
        <v>4</v>
      </c>
      <c r="U2811" s="5" t="s">
        <v>27598</v>
      </c>
      <c r="V2811" s="5" t="s">
        <v>27598</v>
      </c>
      <c r="W2811" s="5" t="s">
        <v>67</v>
      </c>
      <c r="X2811" s="5" t="s">
        <v>67</v>
      </c>
      <c r="Y2811" s="4">
        <v>312</v>
      </c>
      <c r="Z2811" s="4">
        <v>26</v>
      </c>
      <c r="AA2811" s="4">
        <v>38</v>
      </c>
      <c r="AB2811" s="4">
        <v>4</v>
      </c>
      <c r="AC2811" s="4">
        <v>10</v>
      </c>
      <c r="AD2811" s="4">
        <v>94</v>
      </c>
      <c r="AE2811" s="4">
        <v>106</v>
      </c>
      <c r="AF2811" s="4">
        <v>2</v>
      </c>
      <c r="AG2811" s="4">
        <v>5</v>
      </c>
      <c r="AH2811" s="4">
        <v>86</v>
      </c>
      <c r="AI2811" s="4">
        <v>90</v>
      </c>
      <c r="AJ2811" s="4">
        <v>16</v>
      </c>
      <c r="AK2811" s="4">
        <v>21</v>
      </c>
      <c r="AL2811" s="4">
        <v>45</v>
      </c>
      <c r="AM2811" s="4">
        <v>46</v>
      </c>
      <c r="AN2811" s="4">
        <v>0</v>
      </c>
      <c r="AO2811" s="4">
        <v>0</v>
      </c>
      <c r="AP2811" s="4">
        <v>18</v>
      </c>
      <c r="AQ2811" s="4">
        <v>27</v>
      </c>
      <c r="AR2811" s="3" t="s">
        <v>62</v>
      </c>
      <c r="AS2811" s="3" t="s">
        <v>62</v>
      </c>
      <c r="AT2811" s="3" t="s">
        <v>62</v>
      </c>
      <c r="AV2811" s="6" t="str">
        <f>HYPERLINK("http://mcgill.on.worldcat.org/oclc/751835558","Catalog Record")</f>
        <v>Catalog Record</v>
      </c>
      <c r="AW2811" s="6" t="str">
        <f>HYPERLINK("http://www.worldcat.org/oclc/751835558","WorldCat Record")</f>
        <v>WorldCat Record</v>
      </c>
      <c r="AX2811" s="3" t="s">
        <v>27599</v>
      </c>
      <c r="AY2811" s="3" t="s">
        <v>27600</v>
      </c>
      <c r="AZ2811" s="3" t="s">
        <v>27601</v>
      </c>
      <c r="BA2811" s="3" t="s">
        <v>27601</v>
      </c>
      <c r="BB2811" s="3" t="s">
        <v>27602</v>
      </c>
      <c r="BC2811" s="3" t="s">
        <v>142</v>
      </c>
      <c r="BD2811" s="3" t="s">
        <v>68</v>
      </c>
      <c r="BE2811" s="3" t="s">
        <v>27603</v>
      </c>
      <c r="BF2811" s="3" t="s">
        <v>27602</v>
      </c>
      <c r="BG2811" s="3" t="s">
        <v>27604</v>
      </c>
    </row>
    <row r="2812" spans="1:59" ht="57" x14ac:dyDescent="0.45">
      <c r="A2812" s="2" t="s">
        <v>59</v>
      </c>
      <c r="B2812" s="2" t="s">
        <v>60</v>
      </c>
      <c r="C2812" s="2" t="s">
        <v>27605</v>
      </c>
      <c r="D2812" s="2" t="s">
        <v>27606</v>
      </c>
      <c r="E2812" s="2" t="s">
        <v>27607</v>
      </c>
      <c r="G2812" s="3" t="s">
        <v>62</v>
      </c>
      <c r="I2812" s="3" t="s">
        <v>62</v>
      </c>
      <c r="J2812" s="3" t="s">
        <v>62</v>
      </c>
      <c r="K2812" s="3" t="s">
        <v>63</v>
      </c>
      <c r="L2812" s="2" t="s">
        <v>27608</v>
      </c>
      <c r="M2812" s="2" t="s">
        <v>27609</v>
      </c>
      <c r="N2812" s="3" t="s">
        <v>945</v>
      </c>
      <c r="P2812" s="3" t="s">
        <v>65</v>
      </c>
      <c r="Q2812" s="2" t="s">
        <v>27610</v>
      </c>
      <c r="R2812" s="3" t="s">
        <v>66</v>
      </c>
      <c r="S2812" s="4">
        <v>12</v>
      </c>
      <c r="T2812" s="4">
        <v>12</v>
      </c>
      <c r="U2812" s="5" t="s">
        <v>473</v>
      </c>
      <c r="V2812" s="5" t="s">
        <v>473</v>
      </c>
      <c r="W2812" s="5" t="s">
        <v>67</v>
      </c>
      <c r="X2812" s="5" t="s">
        <v>67</v>
      </c>
      <c r="Y2812" s="4">
        <v>105</v>
      </c>
      <c r="Z2812" s="4">
        <v>8</v>
      </c>
      <c r="AA2812" s="4">
        <v>102</v>
      </c>
      <c r="AB2812" s="4">
        <v>1</v>
      </c>
      <c r="AC2812" s="4">
        <v>17</v>
      </c>
      <c r="AD2812" s="4">
        <v>37</v>
      </c>
      <c r="AE2812" s="4">
        <v>116</v>
      </c>
      <c r="AF2812" s="4">
        <v>0</v>
      </c>
      <c r="AG2812" s="4">
        <v>8</v>
      </c>
      <c r="AH2812" s="4">
        <v>34</v>
      </c>
      <c r="AI2812" s="4">
        <v>80</v>
      </c>
      <c r="AJ2812" s="4">
        <v>4</v>
      </c>
      <c r="AK2812" s="4">
        <v>22</v>
      </c>
      <c r="AL2812" s="4">
        <v>20</v>
      </c>
      <c r="AM2812" s="4">
        <v>38</v>
      </c>
      <c r="AN2812" s="4">
        <v>0</v>
      </c>
      <c r="AO2812" s="4">
        <v>0</v>
      </c>
      <c r="AP2812" s="4">
        <v>5</v>
      </c>
      <c r="AQ2812" s="4">
        <v>43</v>
      </c>
      <c r="AR2812" s="3" t="s">
        <v>62</v>
      </c>
      <c r="AS2812" s="3" t="s">
        <v>62</v>
      </c>
      <c r="AT2812" s="3" t="s">
        <v>62</v>
      </c>
      <c r="AV2812" s="6" t="str">
        <f>HYPERLINK("http://mcgill.on.worldcat.org/oclc/127107633","Catalog Record")</f>
        <v>Catalog Record</v>
      </c>
      <c r="AW2812" s="6" t="str">
        <f>HYPERLINK("http://www.worldcat.org/oclc/127107633","WorldCat Record")</f>
        <v>WorldCat Record</v>
      </c>
      <c r="AX2812" s="3" t="s">
        <v>27611</v>
      </c>
      <c r="AY2812" s="3" t="s">
        <v>27612</v>
      </c>
      <c r="AZ2812" s="3" t="s">
        <v>27613</v>
      </c>
      <c r="BA2812" s="3" t="s">
        <v>27613</v>
      </c>
      <c r="BB2812" s="3" t="s">
        <v>27614</v>
      </c>
      <c r="BC2812" s="3" t="s">
        <v>142</v>
      </c>
      <c r="BD2812" s="3" t="s">
        <v>68</v>
      </c>
      <c r="BE2812" s="3" t="s">
        <v>27615</v>
      </c>
      <c r="BF2812" s="3" t="s">
        <v>27614</v>
      </c>
      <c r="BG2812" s="3" t="s">
        <v>27616</v>
      </c>
    </row>
    <row r="2813" spans="1:59" ht="57" x14ac:dyDescent="0.45">
      <c r="A2813" s="2" t="s">
        <v>59</v>
      </c>
      <c r="B2813" s="2" t="s">
        <v>60</v>
      </c>
      <c r="C2813" s="2" t="s">
        <v>27617</v>
      </c>
      <c r="D2813" s="2" t="s">
        <v>27618</v>
      </c>
      <c r="E2813" s="2" t="s">
        <v>27619</v>
      </c>
      <c r="G2813" s="3" t="s">
        <v>62</v>
      </c>
      <c r="I2813" s="3" t="s">
        <v>62</v>
      </c>
      <c r="J2813" s="3" t="s">
        <v>62</v>
      </c>
      <c r="K2813" s="3" t="s">
        <v>63</v>
      </c>
      <c r="L2813" s="2" t="s">
        <v>27620</v>
      </c>
      <c r="M2813" s="2" t="s">
        <v>1009</v>
      </c>
      <c r="N2813" s="3" t="s">
        <v>894</v>
      </c>
      <c r="P2813" s="3" t="s">
        <v>65</v>
      </c>
      <c r="Q2813" s="2" t="s">
        <v>23695</v>
      </c>
      <c r="R2813" s="3" t="s">
        <v>66</v>
      </c>
      <c r="S2813" s="4">
        <v>3</v>
      </c>
      <c r="T2813" s="4">
        <v>3</v>
      </c>
      <c r="U2813" s="5" t="s">
        <v>27621</v>
      </c>
      <c r="V2813" s="5" t="s">
        <v>27621</v>
      </c>
      <c r="W2813" s="5" t="s">
        <v>67</v>
      </c>
      <c r="X2813" s="5" t="s">
        <v>67</v>
      </c>
      <c r="Y2813" s="4">
        <v>262</v>
      </c>
      <c r="Z2813" s="4">
        <v>22</v>
      </c>
      <c r="AA2813" s="4">
        <v>84</v>
      </c>
      <c r="AB2813" s="4">
        <v>2</v>
      </c>
      <c r="AC2813" s="4">
        <v>15</v>
      </c>
      <c r="AD2813" s="4">
        <v>84</v>
      </c>
      <c r="AE2813" s="4">
        <v>135</v>
      </c>
      <c r="AF2813" s="4">
        <v>1</v>
      </c>
      <c r="AG2813" s="4">
        <v>8</v>
      </c>
      <c r="AH2813" s="4">
        <v>76</v>
      </c>
      <c r="AI2813" s="4">
        <v>98</v>
      </c>
      <c r="AJ2813" s="4">
        <v>15</v>
      </c>
      <c r="AK2813" s="4">
        <v>25</v>
      </c>
      <c r="AL2813" s="4">
        <v>37</v>
      </c>
      <c r="AM2813" s="4">
        <v>51</v>
      </c>
      <c r="AN2813" s="4">
        <v>0</v>
      </c>
      <c r="AO2813" s="4">
        <v>0</v>
      </c>
      <c r="AP2813" s="4">
        <v>18</v>
      </c>
      <c r="AQ2813" s="4">
        <v>47</v>
      </c>
      <c r="AR2813" s="3" t="s">
        <v>62</v>
      </c>
      <c r="AS2813" s="3" t="s">
        <v>62</v>
      </c>
      <c r="AT2813" s="3" t="s">
        <v>62</v>
      </c>
      <c r="AV2813" s="6" t="str">
        <f>HYPERLINK("http://mcgill.on.worldcat.org/oclc/432998214","Catalog Record")</f>
        <v>Catalog Record</v>
      </c>
      <c r="AW2813" s="6" t="str">
        <f>HYPERLINK("http://www.worldcat.org/oclc/432998214","WorldCat Record")</f>
        <v>WorldCat Record</v>
      </c>
      <c r="AX2813" s="3" t="s">
        <v>27622</v>
      </c>
      <c r="AY2813" s="3" t="s">
        <v>27623</v>
      </c>
      <c r="AZ2813" s="3" t="s">
        <v>27624</v>
      </c>
      <c r="BA2813" s="3" t="s">
        <v>27624</v>
      </c>
      <c r="BB2813" s="3" t="s">
        <v>27625</v>
      </c>
      <c r="BC2813" s="3" t="s">
        <v>142</v>
      </c>
      <c r="BD2813" s="3" t="s">
        <v>68</v>
      </c>
      <c r="BE2813" s="3" t="s">
        <v>27626</v>
      </c>
      <c r="BF2813" s="3" t="s">
        <v>27625</v>
      </c>
      <c r="BG2813" s="3" t="s">
        <v>27627</v>
      </c>
    </row>
    <row r="2814" spans="1:59" ht="71.25" x14ac:dyDescent="0.45">
      <c r="A2814" s="2" t="s">
        <v>59</v>
      </c>
      <c r="B2814" s="2" t="s">
        <v>60</v>
      </c>
      <c r="C2814" s="2" t="s">
        <v>27628</v>
      </c>
      <c r="D2814" s="2" t="s">
        <v>27629</v>
      </c>
      <c r="E2814" s="2" t="s">
        <v>27630</v>
      </c>
      <c r="G2814" s="3" t="s">
        <v>62</v>
      </c>
      <c r="I2814" s="3" t="s">
        <v>62</v>
      </c>
      <c r="J2814" s="3" t="s">
        <v>62</v>
      </c>
      <c r="K2814" s="3" t="s">
        <v>63</v>
      </c>
      <c r="L2814" s="2" t="s">
        <v>27631</v>
      </c>
      <c r="M2814" s="2" t="s">
        <v>15337</v>
      </c>
      <c r="N2814" s="3" t="s">
        <v>149</v>
      </c>
      <c r="P2814" s="3" t="s">
        <v>65</v>
      </c>
      <c r="R2814" s="3" t="s">
        <v>66</v>
      </c>
      <c r="S2814" s="4">
        <v>1</v>
      </c>
      <c r="T2814" s="4">
        <v>1</v>
      </c>
      <c r="U2814" s="5" t="s">
        <v>15716</v>
      </c>
      <c r="V2814" s="5" t="s">
        <v>15716</v>
      </c>
      <c r="W2814" s="5" t="s">
        <v>67</v>
      </c>
      <c r="X2814" s="5" t="s">
        <v>67</v>
      </c>
      <c r="Y2814" s="4">
        <v>55</v>
      </c>
      <c r="Z2814" s="4">
        <v>6</v>
      </c>
      <c r="AA2814" s="4">
        <v>76</v>
      </c>
      <c r="AB2814" s="4">
        <v>1</v>
      </c>
      <c r="AC2814" s="4">
        <v>14</v>
      </c>
      <c r="AD2814" s="4">
        <v>24</v>
      </c>
      <c r="AE2814" s="4">
        <v>87</v>
      </c>
      <c r="AF2814" s="4">
        <v>0</v>
      </c>
      <c r="AG2814" s="4">
        <v>8</v>
      </c>
      <c r="AH2814" s="4">
        <v>20</v>
      </c>
      <c r="AI2814" s="4">
        <v>56</v>
      </c>
      <c r="AJ2814" s="4">
        <v>5</v>
      </c>
      <c r="AK2814" s="4">
        <v>16</v>
      </c>
      <c r="AL2814" s="4">
        <v>14</v>
      </c>
      <c r="AM2814" s="4">
        <v>29</v>
      </c>
      <c r="AN2814" s="4">
        <v>0</v>
      </c>
      <c r="AO2814" s="4">
        <v>0</v>
      </c>
      <c r="AP2814" s="4">
        <v>5</v>
      </c>
      <c r="AQ2814" s="4">
        <v>36</v>
      </c>
      <c r="AR2814" s="3" t="s">
        <v>62</v>
      </c>
      <c r="AS2814" s="3" t="s">
        <v>62</v>
      </c>
      <c r="AT2814" s="3" t="s">
        <v>62</v>
      </c>
      <c r="AV2814" s="6" t="str">
        <f>HYPERLINK("http://mcgill.on.worldcat.org/oclc/490808828","Catalog Record")</f>
        <v>Catalog Record</v>
      </c>
      <c r="AW2814" s="6" t="str">
        <f>HYPERLINK("http://www.worldcat.org/oclc/490808828","WorldCat Record")</f>
        <v>WorldCat Record</v>
      </c>
      <c r="AX2814" s="3" t="s">
        <v>27632</v>
      </c>
      <c r="AY2814" s="3" t="s">
        <v>27633</v>
      </c>
      <c r="AZ2814" s="3" t="s">
        <v>27634</v>
      </c>
      <c r="BA2814" s="3" t="s">
        <v>27634</v>
      </c>
      <c r="BB2814" s="3" t="s">
        <v>27635</v>
      </c>
      <c r="BC2814" s="3" t="s">
        <v>142</v>
      </c>
      <c r="BD2814" s="3" t="s">
        <v>68</v>
      </c>
      <c r="BE2814" s="3" t="s">
        <v>27636</v>
      </c>
      <c r="BF2814" s="3" t="s">
        <v>27635</v>
      </c>
      <c r="BG2814" s="3" t="s">
        <v>27637</v>
      </c>
    </row>
    <row r="2815" spans="1:59" ht="57" x14ac:dyDescent="0.45">
      <c r="A2815" s="2" t="s">
        <v>59</v>
      </c>
      <c r="B2815" s="2" t="s">
        <v>60</v>
      </c>
      <c r="C2815" s="2" t="s">
        <v>27638</v>
      </c>
      <c r="D2815" s="2" t="s">
        <v>27639</v>
      </c>
      <c r="E2815" s="2" t="s">
        <v>27640</v>
      </c>
      <c r="G2815" s="3" t="s">
        <v>62</v>
      </c>
      <c r="I2815" s="3" t="s">
        <v>62</v>
      </c>
      <c r="J2815" s="3" t="s">
        <v>62</v>
      </c>
      <c r="K2815" s="3" t="s">
        <v>63</v>
      </c>
      <c r="L2815" s="2" t="s">
        <v>27641</v>
      </c>
      <c r="M2815" s="2" t="s">
        <v>27642</v>
      </c>
      <c r="N2815" s="3" t="s">
        <v>116</v>
      </c>
      <c r="P2815" s="3" t="s">
        <v>65</v>
      </c>
      <c r="Q2815" s="2" t="s">
        <v>27643</v>
      </c>
      <c r="R2815" s="3" t="s">
        <v>66</v>
      </c>
      <c r="S2815" s="4">
        <v>1</v>
      </c>
      <c r="T2815" s="4">
        <v>1</v>
      </c>
      <c r="U2815" s="5" t="s">
        <v>23761</v>
      </c>
      <c r="V2815" s="5" t="s">
        <v>23761</v>
      </c>
      <c r="W2815" s="5" t="s">
        <v>67</v>
      </c>
      <c r="X2815" s="5" t="s">
        <v>67</v>
      </c>
      <c r="Y2815" s="4">
        <v>148</v>
      </c>
      <c r="Z2815" s="4">
        <v>12</v>
      </c>
      <c r="AA2815" s="4">
        <v>20</v>
      </c>
      <c r="AB2815" s="4">
        <v>1</v>
      </c>
      <c r="AC2815" s="4">
        <v>4</v>
      </c>
      <c r="AD2815" s="4">
        <v>66</v>
      </c>
      <c r="AE2815" s="4">
        <v>72</v>
      </c>
      <c r="AF2815" s="4">
        <v>0</v>
      </c>
      <c r="AG2815" s="4">
        <v>1</v>
      </c>
      <c r="AH2815" s="4">
        <v>62</v>
      </c>
      <c r="AI2815" s="4">
        <v>65</v>
      </c>
      <c r="AJ2815" s="4">
        <v>8</v>
      </c>
      <c r="AK2815" s="4">
        <v>13</v>
      </c>
      <c r="AL2815" s="4">
        <v>38</v>
      </c>
      <c r="AM2815" s="4">
        <v>39</v>
      </c>
      <c r="AN2815" s="4">
        <v>0</v>
      </c>
      <c r="AO2815" s="4">
        <v>0</v>
      </c>
      <c r="AP2815" s="4">
        <v>9</v>
      </c>
      <c r="AQ2815" s="4">
        <v>13</v>
      </c>
      <c r="AR2815" s="3" t="s">
        <v>62</v>
      </c>
      <c r="AS2815" s="3" t="s">
        <v>62</v>
      </c>
      <c r="AT2815" s="3" t="s">
        <v>62</v>
      </c>
      <c r="AV2815" s="6" t="str">
        <f>HYPERLINK("http://mcgill.on.worldcat.org/oclc/810534003","Catalog Record")</f>
        <v>Catalog Record</v>
      </c>
      <c r="AW2815" s="6" t="str">
        <f>HYPERLINK("http://www.worldcat.org/oclc/810534003","WorldCat Record")</f>
        <v>WorldCat Record</v>
      </c>
      <c r="AX2815" s="3" t="s">
        <v>27644</v>
      </c>
      <c r="AY2815" s="3" t="s">
        <v>27645</v>
      </c>
      <c r="AZ2815" s="3" t="s">
        <v>27646</v>
      </c>
      <c r="BA2815" s="3" t="s">
        <v>27646</v>
      </c>
      <c r="BB2815" s="3" t="s">
        <v>27647</v>
      </c>
      <c r="BC2815" s="3" t="s">
        <v>142</v>
      </c>
      <c r="BD2815" s="3" t="s">
        <v>68</v>
      </c>
      <c r="BE2815" s="3" t="s">
        <v>27648</v>
      </c>
      <c r="BF2815" s="3" t="s">
        <v>27647</v>
      </c>
      <c r="BG2815" s="3" t="s">
        <v>27649</v>
      </c>
    </row>
    <row r="2816" spans="1:59" ht="71.25" x14ac:dyDescent="0.45">
      <c r="A2816" s="2" t="s">
        <v>59</v>
      </c>
      <c r="B2816" s="2" t="s">
        <v>60</v>
      </c>
      <c r="C2816" s="2" t="s">
        <v>27650</v>
      </c>
      <c r="D2816" s="2" t="s">
        <v>27651</v>
      </c>
      <c r="E2816" s="2" t="s">
        <v>27652</v>
      </c>
      <c r="G2816" s="3" t="s">
        <v>62</v>
      </c>
      <c r="I2816" s="3" t="s">
        <v>62</v>
      </c>
      <c r="J2816" s="3" t="s">
        <v>62</v>
      </c>
      <c r="K2816" s="3" t="s">
        <v>63</v>
      </c>
      <c r="L2816" s="2" t="s">
        <v>27653</v>
      </c>
      <c r="M2816" s="2" t="s">
        <v>27654</v>
      </c>
      <c r="N2816" s="3" t="s">
        <v>149</v>
      </c>
      <c r="P2816" s="3" t="s">
        <v>65</v>
      </c>
      <c r="R2816" s="3" t="s">
        <v>66</v>
      </c>
      <c r="S2816" s="4">
        <v>2</v>
      </c>
      <c r="T2816" s="4">
        <v>2</v>
      </c>
      <c r="U2816" s="5" t="s">
        <v>27655</v>
      </c>
      <c r="V2816" s="5" t="s">
        <v>27655</v>
      </c>
      <c r="W2816" s="5" t="s">
        <v>67</v>
      </c>
      <c r="X2816" s="5" t="s">
        <v>67</v>
      </c>
      <c r="Y2816" s="4">
        <v>177</v>
      </c>
      <c r="Z2816" s="4">
        <v>17</v>
      </c>
      <c r="AA2816" s="4">
        <v>58</v>
      </c>
      <c r="AB2816" s="4">
        <v>2</v>
      </c>
      <c r="AC2816" s="4">
        <v>10</v>
      </c>
      <c r="AD2816" s="4">
        <v>74</v>
      </c>
      <c r="AE2816" s="4">
        <v>86</v>
      </c>
      <c r="AF2816" s="4">
        <v>1</v>
      </c>
      <c r="AG2816" s="4">
        <v>3</v>
      </c>
      <c r="AH2816" s="4">
        <v>68</v>
      </c>
      <c r="AI2816" s="4">
        <v>72</v>
      </c>
      <c r="AJ2816" s="4">
        <v>13</v>
      </c>
      <c r="AK2816" s="4">
        <v>17</v>
      </c>
      <c r="AL2816" s="4">
        <v>39</v>
      </c>
      <c r="AM2816" s="4">
        <v>40</v>
      </c>
      <c r="AN2816" s="4">
        <v>0</v>
      </c>
      <c r="AO2816" s="4">
        <v>0</v>
      </c>
      <c r="AP2816" s="4">
        <v>14</v>
      </c>
      <c r="AQ2816" s="4">
        <v>22</v>
      </c>
      <c r="AR2816" s="3" t="s">
        <v>62</v>
      </c>
      <c r="AS2816" s="3" t="s">
        <v>62</v>
      </c>
      <c r="AT2816" s="3" t="s">
        <v>62</v>
      </c>
      <c r="AV2816" s="6" t="str">
        <f>HYPERLINK("http://mcgill.on.worldcat.org/oclc/429816917","Catalog Record")</f>
        <v>Catalog Record</v>
      </c>
      <c r="AW2816" s="6" t="str">
        <f>HYPERLINK("http://www.worldcat.org/oclc/429816917","WorldCat Record")</f>
        <v>WorldCat Record</v>
      </c>
      <c r="AX2816" s="3" t="s">
        <v>27656</v>
      </c>
      <c r="AY2816" s="3" t="s">
        <v>27657</v>
      </c>
      <c r="AZ2816" s="3" t="s">
        <v>27658</v>
      </c>
      <c r="BA2816" s="3" t="s">
        <v>27658</v>
      </c>
      <c r="BB2816" s="3" t="s">
        <v>27659</v>
      </c>
      <c r="BC2816" s="3" t="s">
        <v>142</v>
      </c>
      <c r="BD2816" s="3" t="s">
        <v>68</v>
      </c>
      <c r="BE2816" s="3" t="s">
        <v>27660</v>
      </c>
      <c r="BF2816" s="3" t="s">
        <v>27659</v>
      </c>
      <c r="BG2816" s="3" t="s">
        <v>27661</v>
      </c>
    </row>
    <row r="2817" spans="1:59" ht="71.25" x14ac:dyDescent="0.45">
      <c r="A2817" s="2" t="s">
        <v>59</v>
      </c>
      <c r="B2817" s="2" t="s">
        <v>60</v>
      </c>
      <c r="C2817" s="2" t="s">
        <v>27662</v>
      </c>
      <c r="D2817" s="2" t="s">
        <v>27663</v>
      </c>
      <c r="E2817" s="2" t="s">
        <v>27664</v>
      </c>
      <c r="G2817" s="3" t="s">
        <v>62</v>
      </c>
      <c r="I2817" s="3" t="s">
        <v>62</v>
      </c>
      <c r="J2817" s="3" t="s">
        <v>62</v>
      </c>
      <c r="K2817" s="3" t="s">
        <v>63</v>
      </c>
      <c r="M2817" s="2" t="s">
        <v>13668</v>
      </c>
      <c r="N2817" s="3" t="s">
        <v>970</v>
      </c>
      <c r="P2817" s="3" t="s">
        <v>65</v>
      </c>
      <c r="Q2817" s="2" t="s">
        <v>21543</v>
      </c>
      <c r="R2817" s="3" t="s">
        <v>66</v>
      </c>
      <c r="S2817" s="4">
        <v>32</v>
      </c>
      <c r="T2817" s="4">
        <v>32</v>
      </c>
      <c r="U2817" s="5" t="s">
        <v>27665</v>
      </c>
      <c r="V2817" s="5" t="s">
        <v>27665</v>
      </c>
      <c r="W2817" s="5" t="s">
        <v>67</v>
      </c>
      <c r="X2817" s="5" t="s">
        <v>67</v>
      </c>
      <c r="Y2817" s="4">
        <v>269</v>
      </c>
      <c r="Z2817" s="4">
        <v>16</v>
      </c>
      <c r="AA2817" s="4">
        <v>17</v>
      </c>
      <c r="AB2817" s="4">
        <v>1</v>
      </c>
      <c r="AC2817" s="4">
        <v>2</v>
      </c>
      <c r="AD2817" s="4">
        <v>93</v>
      </c>
      <c r="AE2817" s="4">
        <v>94</v>
      </c>
      <c r="AF2817" s="4">
        <v>0</v>
      </c>
      <c r="AG2817" s="4">
        <v>1</v>
      </c>
      <c r="AH2817" s="4">
        <v>84</v>
      </c>
      <c r="AI2817" s="4">
        <v>85</v>
      </c>
      <c r="AJ2817" s="4">
        <v>11</v>
      </c>
      <c r="AK2817" s="4">
        <v>12</v>
      </c>
      <c r="AL2817" s="4">
        <v>46</v>
      </c>
      <c r="AM2817" s="4">
        <v>46</v>
      </c>
      <c r="AN2817" s="4">
        <v>0</v>
      </c>
      <c r="AO2817" s="4">
        <v>0</v>
      </c>
      <c r="AP2817" s="4">
        <v>14</v>
      </c>
      <c r="AQ2817" s="4">
        <v>15</v>
      </c>
      <c r="AR2817" s="3" t="s">
        <v>62</v>
      </c>
      <c r="AS2817" s="3" t="s">
        <v>62</v>
      </c>
      <c r="AT2817" s="3" t="s">
        <v>61</v>
      </c>
      <c r="AU2817" s="6" t="str">
        <f>HYPERLINK("http://catalog.hathitrust.org/Record/004295010","HathiTrust Record")</f>
        <v>HathiTrust Record</v>
      </c>
      <c r="AV2817" s="6" t="str">
        <f>HYPERLINK("http://mcgill.on.worldcat.org/oclc/50590768","Catalog Record")</f>
        <v>Catalog Record</v>
      </c>
      <c r="AW2817" s="6" t="str">
        <f>HYPERLINK("http://www.worldcat.org/oclc/50590768","WorldCat Record")</f>
        <v>WorldCat Record</v>
      </c>
      <c r="AX2817" s="3" t="s">
        <v>27666</v>
      </c>
      <c r="AY2817" s="3" t="s">
        <v>27667</v>
      </c>
      <c r="AZ2817" s="3" t="s">
        <v>27668</v>
      </c>
      <c r="BA2817" s="3" t="s">
        <v>27668</v>
      </c>
      <c r="BB2817" s="3" t="s">
        <v>27669</v>
      </c>
      <c r="BC2817" s="3" t="s">
        <v>142</v>
      </c>
      <c r="BD2817" s="3" t="s">
        <v>68</v>
      </c>
      <c r="BE2817" s="3" t="s">
        <v>27670</v>
      </c>
      <c r="BF2817" s="3" t="s">
        <v>27669</v>
      </c>
      <c r="BG2817" s="3" t="s">
        <v>27671</v>
      </c>
    </row>
    <row r="2818" spans="1:59" ht="71.25" x14ac:dyDescent="0.45">
      <c r="A2818" s="2" t="s">
        <v>59</v>
      </c>
      <c r="B2818" s="2" t="s">
        <v>60</v>
      </c>
      <c r="C2818" s="2" t="s">
        <v>27672</v>
      </c>
      <c r="D2818" s="2" t="s">
        <v>27673</v>
      </c>
      <c r="E2818" s="2" t="s">
        <v>27674</v>
      </c>
      <c r="G2818" s="3" t="s">
        <v>62</v>
      </c>
      <c r="I2818" s="3" t="s">
        <v>62</v>
      </c>
      <c r="J2818" s="3" t="s">
        <v>62</v>
      </c>
      <c r="K2818" s="3" t="s">
        <v>63</v>
      </c>
      <c r="L2818" s="2" t="s">
        <v>27675</v>
      </c>
      <c r="M2818" s="2" t="s">
        <v>1189</v>
      </c>
      <c r="N2818" s="3" t="s">
        <v>149</v>
      </c>
      <c r="P2818" s="3" t="s">
        <v>65</v>
      </c>
      <c r="Q2818" s="2" t="s">
        <v>27676</v>
      </c>
      <c r="R2818" s="3" t="s">
        <v>66</v>
      </c>
      <c r="S2818" s="4">
        <v>1</v>
      </c>
      <c r="T2818" s="4">
        <v>1</v>
      </c>
      <c r="U2818" s="5" t="s">
        <v>27677</v>
      </c>
      <c r="V2818" s="5" t="s">
        <v>27677</v>
      </c>
      <c r="W2818" s="5" t="s">
        <v>67</v>
      </c>
      <c r="X2818" s="5" t="s">
        <v>67</v>
      </c>
      <c r="Y2818" s="4">
        <v>190</v>
      </c>
      <c r="Z2818" s="4">
        <v>19</v>
      </c>
      <c r="AA2818" s="4">
        <v>84</v>
      </c>
      <c r="AB2818" s="4">
        <v>2</v>
      </c>
      <c r="AC2818" s="4">
        <v>15</v>
      </c>
      <c r="AD2818" s="4">
        <v>79</v>
      </c>
      <c r="AE2818" s="4">
        <v>132</v>
      </c>
      <c r="AF2818" s="4">
        <v>1</v>
      </c>
      <c r="AG2818" s="4">
        <v>8</v>
      </c>
      <c r="AH2818" s="4">
        <v>70</v>
      </c>
      <c r="AI2818" s="4">
        <v>95</v>
      </c>
      <c r="AJ2818" s="4">
        <v>14</v>
      </c>
      <c r="AK2818" s="4">
        <v>25</v>
      </c>
      <c r="AL2818" s="4">
        <v>40</v>
      </c>
      <c r="AM2818" s="4">
        <v>50</v>
      </c>
      <c r="AN2818" s="4">
        <v>0</v>
      </c>
      <c r="AO2818" s="4">
        <v>0</v>
      </c>
      <c r="AP2818" s="4">
        <v>16</v>
      </c>
      <c r="AQ2818" s="4">
        <v>46</v>
      </c>
      <c r="AR2818" s="3" t="s">
        <v>62</v>
      </c>
      <c r="AS2818" s="3" t="s">
        <v>62</v>
      </c>
      <c r="AT2818" s="3" t="s">
        <v>62</v>
      </c>
      <c r="AV2818" s="6" t="str">
        <f>HYPERLINK("http://mcgill.on.worldcat.org/oclc/495780872","Catalog Record")</f>
        <v>Catalog Record</v>
      </c>
      <c r="AW2818" s="6" t="str">
        <f>HYPERLINK("http://www.worldcat.org/oclc/495780872","WorldCat Record")</f>
        <v>WorldCat Record</v>
      </c>
      <c r="AX2818" s="3" t="s">
        <v>27678</v>
      </c>
      <c r="AY2818" s="3" t="s">
        <v>27679</v>
      </c>
      <c r="AZ2818" s="3" t="s">
        <v>27680</v>
      </c>
      <c r="BA2818" s="3" t="s">
        <v>27680</v>
      </c>
      <c r="BB2818" s="3" t="s">
        <v>27681</v>
      </c>
      <c r="BC2818" s="3" t="s">
        <v>142</v>
      </c>
      <c r="BD2818" s="3" t="s">
        <v>68</v>
      </c>
      <c r="BE2818" s="3" t="s">
        <v>27682</v>
      </c>
      <c r="BF2818" s="3" t="s">
        <v>27681</v>
      </c>
      <c r="BG2818" s="3" t="s">
        <v>27683</v>
      </c>
    </row>
    <row r="2819" spans="1:59" ht="57" x14ac:dyDescent="0.45">
      <c r="A2819" s="2" t="s">
        <v>59</v>
      </c>
      <c r="B2819" s="2" t="s">
        <v>60</v>
      </c>
      <c r="C2819" s="2" t="s">
        <v>27684</v>
      </c>
      <c r="D2819" s="2" t="s">
        <v>27685</v>
      </c>
      <c r="E2819" s="2" t="s">
        <v>27686</v>
      </c>
      <c r="G2819" s="3" t="s">
        <v>62</v>
      </c>
      <c r="I2819" s="3" t="s">
        <v>62</v>
      </c>
      <c r="J2819" s="3" t="s">
        <v>62</v>
      </c>
      <c r="K2819" s="3" t="s">
        <v>63</v>
      </c>
      <c r="L2819" s="2" t="s">
        <v>27687</v>
      </c>
      <c r="M2819" s="2" t="s">
        <v>27688</v>
      </c>
      <c r="N2819" s="3" t="s">
        <v>116</v>
      </c>
      <c r="P2819" s="3" t="s">
        <v>110</v>
      </c>
      <c r="Q2819" s="2" t="s">
        <v>27689</v>
      </c>
      <c r="R2819" s="3" t="s">
        <v>66</v>
      </c>
      <c r="S2819" s="4">
        <v>2</v>
      </c>
      <c r="T2819" s="4">
        <v>2</v>
      </c>
      <c r="U2819" s="5" t="s">
        <v>12497</v>
      </c>
      <c r="V2819" s="5" t="s">
        <v>12497</v>
      </c>
      <c r="W2819" s="5" t="s">
        <v>67</v>
      </c>
      <c r="X2819" s="5" t="s">
        <v>67</v>
      </c>
      <c r="Y2819" s="4">
        <v>11</v>
      </c>
      <c r="Z2819" s="4">
        <v>6</v>
      </c>
      <c r="AA2819" s="4">
        <v>22</v>
      </c>
      <c r="AB2819" s="4">
        <v>1</v>
      </c>
      <c r="AC2819" s="4">
        <v>13</v>
      </c>
      <c r="AD2819" s="4">
        <v>7</v>
      </c>
      <c r="AE2819" s="4">
        <v>16</v>
      </c>
      <c r="AF2819" s="4">
        <v>0</v>
      </c>
      <c r="AG2819" s="4">
        <v>6</v>
      </c>
      <c r="AH2819" s="4">
        <v>7</v>
      </c>
      <c r="AI2819" s="4">
        <v>8</v>
      </c>
      <c r="AJ2819" s="4">
        <v>3</v>
      </c>
      <c r="AK2819" s="4">
        <v>9</v>
      </c>
      <c r="AL2819" s="4">
        <v>4</v>
      </c>
      <c r="AM2819" s="4">
        <v>4</v>
      </c>
      <c r="AN2819" s="4">
        <v>0</v>
      </c>
      <c r="AO2819" s="4">
        <v>0</v>
      </c>
      <c r="AP2819" s="4">
        <v>3</v>
      </c>
      <c r="AQ2819" s="4">
        <v>9</v>
      </c>
      <c r="AR2819" s="3" t="s">
        <v>61</v>
      </c>
      <c r="AS2819" s="3" t="s">
        <v>62</v>
      </c>
      <c r="AT2819" s="3" t="s">
        <v>62</v>
      </c>
      <c r="AV2819" s="6" t="str">
        <f>HYPERLINK("http://mcgill.on.worldcat.org/oclc/864083883","Catalog Record")</f>
        <v>Catalog Record</v>
      </c>
      <c r="AW2819" s="6" t="str">
        <f>HYPERLINK("http://www.worldcat.org/oclc/864083883","WorldCat Record")</f>
        <v>WorldCat Record</v>
      </c>
      <c r="AX2819" s="3" t="s">
        <v>27690</v>
      </c>
      <c r="AY2819" s="3" t="s">
        <v>27691</v>
      </c>
      <c r="AZ2819" s="3" t="s">
        <v>27692</v>
      </c>
      <c r="BA2819" s="3" t="s">
        <v>27692</v>
      </c>
      <c r="BB2819" s="3" t="s">
        <v>27693</v>
      </c>
      <c r="BC2819" s="3" t="s">
        <v>142</v>
      </c>
      <c r="BD2819" s="3" t="s">
        <v>68</v>
      </c>
      <c r="BE2819" s="3" t="s">
        <v>27694</v>
      </c>
      <c r="BF2819" s="3" t="s">
        <v>27693</v>
      </c>
      <c r="BG2819" s="3" t="s">
        <v>27695</v>
      </c>
    </row>
    <row r="2820" spans="1:59" ht="57" x14ac:dyDescent="0.45">
      <c r="A2820" s="2" t="s">
        <v>59</v>
      </c>
      <c r="B2820" s="2" t="s">
        <v>60</v>
      </c>
      <c r="C2820" s="2" t="s">
        <v>27696</v>
      </c>
      <c r="D2820" s="2" t="s">
        <v>27697</v>
      </c>
      <c r="E2820" s="2" t="s">
        <v>27698</v>
      </c>
      <c r="G2820" s="3" t="s">
        <v>62</v>
      </c>
      <c r="I2820" s="3" t="s">
        <v>62</v>
      </c>
      <c r="J2820" s="3" t="s">
        <v>62</v>
      </c>
      <c r="K2820" s="3" t="s">
        <v>63</v>
      </c>
      <c r="M2820" s="2" t="s">
        <v>27699</v>
      </c>
      <c r="N2820" s="3" t="s">
        <v>894</v>
      </c>
      <c r="P2820" s="3" t="s">
        <v>65</v>
      </c>
      <c r="R2820" s="3" t="s">
        <v>66</v>
      </c>
      <c r="S2820" s="4">
        <v>3</v>
      </c>
      <c r="T2820" s="4">
        <v>3</v>
      </c>
      <c r="U2820" s="5" t="s">
        <v>27700</v>
      </c>
      <c r="V2820" s="5" t="s">
        <v>27700</v>
      </c>
      <c r="W2820" s="5" t="s">
        <v>67</v>
      </c>
      <c r="X2820" s="5" t="s">
        <v>67</v>
      </c>
      <c r="Y2820" s="4">
        <v>204</v>
      </c>
      <c r="Z2820" s="4">
        <v>15</v>
      </c>
      <c r="AA2820" s="4">
        <v>15</v>
      </c>
      <c r="AB2820" s="4">
        <v>1</v>
      </c>
      <c r="AC2820" s="4">
        <v>1</v>
      </c>
      <c r="AD2820" s="4">
        <v>51</v>
      </c>
      <c r="AE2820" s="4">
        <v>51</v>
      </c>
      <c r="AF2820" s="4">
        <v>0</v>
      </c>
      <c r="AG2820" s="4">
        <v>0</v>
      </c>
      <c r="AH2820" s="4">
        <v>45</v>
      </c>
      <c r="AI2820" s="4">
        <v>45</v>
      </c>
      <c r="AJ2820" s="4">
        <v>9</v>
      </c>
      <c r="AK2820" s="4">
        <v>9</v>
      </c>
      <c r="AL2820" s="4">
        <v>27</v>
      </c>
      <c r="AM2820" s="4">
        <v>27</v>
      </c>
      <c r="AN2820" s="4">
        <v>0</v>
      </c>
      <c r="AO2820" s="4">
        <v>0</v>
      </c>
      <c r="AP2820" s="4">
        <v>12</v>
      </c>
      <c r="AQ2820" s="4">
        <v>12</v>
      </c>
      <c r="AR2820" s="3" t="s">
        <v>62</v>
      </c>
      <c r="AS2820" s="3" t="s">
        <v>62</v>
      </c>
      <c r="AT2820" s="3" t="s">
        <v>62</v>
      </c>
      <c r="AV2820" s="6" t="str">
        <f>HYPERLINK("http://mcgill.on.worldcat.org/oclc/767579872","Catalog Record")</f>
        <v>Catalog Record</v>
      </c>
      <c r="AW2820" s="6" t="str">
        <f>HYPERLINK("http://www.worldcat.org/oclc/767579872","WorldCat Record")</f>
        <v>WorldCat Record</v>
      </c>
      <c r="AX2820" s="3" t="s">
        <v>27701</v>
      </c>
      <c r="AY2820" s="3" t="s">
        <v>27702</v>
      </c>
      <c r="AZ2820" s="3" t="s">
        <v>27703</v>
      </c>
      <c r="BA2820" s="3" t="s">
        <v>27703</v>
      </c>
      <c r="BB2820" s="3" t="s">
        <v>27704</v>
      </c>
      <c r="BC2820" s="3" t="s">
        <v>142</v>
      </c>
      <c r="BD2820" s="3" t="s">
        <v>68</v>
      </c>
      <c r="BE2820" s="3" t="s">
        <v>27705</v>
      </c>
      <c r="BF2820" s="3" t="s">
        <v>27704</v>
      </c>
      <c r="BG2820" s="3" t="s">
        <v>27706</v>
      </c>
    </row>
    <row r="2821" spans="1:59" ht="57" x14ac:dyDescent="0.45">
      <c r="A2821" s="2" t="s">
        <v>59</v>
      </c>
      <c r="B2821" s="2" t="s">
        <v>60</v>
      </c>
      <c r="C2821" s="2" t="s">
        <v>27707</v>
      </c>
      <c r="D2821" s="2" t="s">
        <v>27708</v>
      </c>
      <c r="E2821" s="2" t="s">
        <v>27709</v>
      </c>
      <c r="G2821" s="3" t="s">
        <v>62</v>
      </c>
      <c r="I2821" s="3" t="s">
        <v>62</v>
      </c>
      <c r="J2821" s="3" t="s">
        <v>62</v>
      </c>
      <c r="K2821" s="3" t="s">
        <v>63</v>
      </c>
      <c r="L2821" s="2" t="s">
        <v>27710</v>
      </c>
      <c r="M2821" s="2" t="s">
        <v>27711</v>
      </c>
      <c r="N2821" s="3" t="s">
        <v>1855</v>
      </c>
      <c r="P2821" s="3" t="s">
        <v>65</v>
      </c>
      <c r="R2821" s="3" t="s">
        <v>66</v>
      </c>
      <c r="S2821" s="4">
        <v>16</v>
      </c>
      <c r="T2821" s="4">
        <v>16</v>
      </c>
      <c r="U2821" s="5" t="s">
        <v>12086</v>
      </c>
      <c r="V2821" s="5" t="s">
        <v>12086</v>
      </c>
      <c r="W2821" s="5" t="s">
        <v>67</v>
      </c>
      <c r="X2821" s="5" t="s">
        <v>67</v>
      </c>
      <c r="Y2821" s="4">
        <v>375</v>
      </c>
      <c r="Z2821" s="4">
        <v>38</v>
      </c>
      <c r="AA2821" s="4">
        <v>73</v>
      </c>
      <c r="AB2821" s="4">
        <v>2</v>
      </c>
      <c r="AC2821" s="4">
        <v>9</v>
      </c>
      <c r="AD2821" s="4">
        <v>80</v>
      </c>
      <c r="AE2821" s="4">
        <v>93</v>
      </c>
      <c r="AF2821" s="4">
        <v>1</v>
      </c>
      <c r="AG2821" s="4">
        <v>3</v>
      </c>
      <c r="AH2821" s="4">
        <v>64</v>
      </c>
      <c r="AI2821" s="4">
        <v>68</v>
      </c>
      <c r="AJ2821" s="4">
        <v>18</v>
      </c>
      <c r="AK2821" s="4">
        <v>21</v>
      </c>
      <c r="AL2821" s="4">
        <v>28</v>
      </c>
      <c r="AM2821" s="4">
        <v>31</v>
      </c>
      <c r="AN2821" s="4">
        <v>0</v>
      </c>
      <c r="AO2821" s="4">
        <v>0</v>
      </c>
      <c r="AP2821" s="4">
        <v>27</v>
      </c>
      <c r="AQ2821" s="4">
        <v>35</v>
      </c>
      <c r="AR2821" s="3" t="s">
        <v>62</v>
      </c>
      <c r="AS2821" s="3" t="s">
        <v>62</v>
      </c>
      <c r="AT2821" s="3" t="s">
        <v>61</v>
      </c>
      <c r="AU2821" s="6" t="str">
        <f>HYPERLINK("http://catalog.hathitrust.org/Record/004945843","HathiTrust Record")</f>
        <v>HathiTrust Record</v>
      </c>
      <c r="AV2821" s="6" t="str">
        <f>HYPERLINK("http://mcgill.on.worldcat.org/oclc/56806244","Catalog Record")</f>
        <v>Catalog Record</v>
      </c>
      <c r="AW2821" s="6" t="str">
        <f>HYPERLINK("http://www.worldcat.org/oclc/56806244","WorldCat Record")</f>
        <v>WorldCat Record</v>
      </c>
      <c r="AX2821" s="3" t="s">
        <v>27712</v>
      </c>
      <c r="AY2821" s="3" t="s">
        <v>27713</v>
      </c>
      <c r="AZ2821" s="3" t="s">
        <v>27714</v>
      </c>
      <c r="BA2821" s="3" t="s">
        <v>27714</v>
      </c>
      <c r="BB2821" s="3" t="s">
        <v>27715</v>
      </c>
      <c r="BC2821" s="3" t="s">
        <v>142</v>
      </c>
      <c r="BD2821" s="3" t="s">
        <v>308</v>
      </c>
      <c r="BE2821" s="3" t="s">
        <v>27716</v>
      </c>
      <c r="BF2821" s="3" t="s">
        <v>27715</v>
      </c>
      <c r="BG2821" s="3" t="s">
        <v>27717</v>
      </c>
    </row>
    <row r="2822" spans="1:59" ht="57" x14ac:dyDescent="0.45">
      <c r="A2822" s="2" t="s">
        <v>59</v>
      </c>
      <c r="B2822" s="2" t="s">
        <v>60</v>
      </c>
      <c r="C2822" s="2" t="s">
        <v>27718</v>
      </c>
      <c r="D2822" s="2" t="s">
        <v>27719</v>
      </c>
      <c r="E2822" s="2" t="s">
        <v>27720</v>
      </c>
      <c r="G2822" s="3" t="s">
        <v>62</v>
      </c>
      <c r="I2822" s="3" t="s">
        <v>62</v>
      </c>
      <c r="J2822" s="3" t="s">
        <v>62</v>
      </c>
      <c r="K2822" s="3" t="s">
        <v>63</v>
      </c>
      <c r="L2822" s="2" t="s">
        <v>27721</v>
      </c>
      <c r="M2822" s="2" t="s">
        <v>27722</v>
      </c>
      <c r="N2822" s="3" t="s">
        <v>918</v>
      </c>
      <c r="P2822" s="3" t="s">
        <v>65</v>
      </c>
      <c r="Q2822" s="2" t="s">
        <v>17318</v>
      </c>
      <c r="R2822" s="3" t="s">
        <v>66</v>
      </c>
      <c r="S2822" s="4">
        <v>24</v>
      </c>
      <c r="T2822" s="4">
        <v>24</v>
      </c>
      <c r="U2822" s="5" t="s">
        <v>22148</v>
      </c>
      <c r="V2822" s="5" t="s">
        <v>22148</v>
      </c>
      <c r="W2822" s="5" t="s">
        <v>67</v>
      </c>
      <c r="X2822" s="5" t="s">
        <v>67</v>
      </c>
      <c r="Y2822" s="4">
        <v>389</v>
      </c>
      <c r="Z2822" s="4">
        <v>24</v>
      </c>
      <c r="AA2822" s="4">
        <v>103</v>
      </c>
      <c r="AB2822" s="4">
        <v>1</v>
      </c>
      <c r="AC2822" s="4">
        <v>17</v>
      </c>
      <c r="AD2822" s="4">
        <v>86</v>
      </c>
      <c r="AE2822" s="4">
        <v>139</v>
      </c>
      <c r="AF2822" s="4">
        <v>0</v>
      </c>
      <c r="AG2822" s="4">
        <v>8</v>
      </c>
      <c r="AH2822" s="4">
        <v>73</v>
      </c>
      <c r="AI2822" s="4">
        <v>99</v>
      </c>
      <c r="AJ2822" s="4">
        <v>13</v>
      </c>
      <c r="AK2822" s="4">
        <v>25</v>
      </c>
      <c r="AL2822" s="4">
        <v>40</v>
      </c>
      <c r="AM2822" s="4">
        <v>51</v>
      </c>
      <c r="AN2822" s="4">
        <v>0</v>
      </c>
      <c r="AO2822" s="4">
        <v>0</v>
      </c>
      <c r="AP2822" s="4">
        <v>18</v>
      </c>
      <c r="AQ2822" s="4">
        <v>49</v>
      </c>
      <c r="AR2822" s="3" t="s">
        <v>62</v>
      </c>
      <c r="AS2822" s="3" t="s">
        <v>62</v>
      </c>
      <c r="AT2822" s="3" t="s">
        <v>62</v>
      </c>
      <c r="AV2822" s="6" t="str">
        <f>HYPERLINK("http://mcgill.on.worldcat.org/oclc/50322741","Catalog Record")</f>
        <v>Catalog Record</v>
      </c>
      <c r="AW2822" s="6" t="str">
        <f>HYPERLINK("http://www.worldcat.org/oclc/50322741","WorldCat Record")</f>
        <v>WorldCat Record</v>
      </c>
      <c r="AX2822" s="3" t="s">
        <v>27723</v>
      </c>
      <c r="AY2822" s="3" t="s">
        <v>27724</v>
      </c>
      <c r="AZ2822" s="3" t="s">
        <v>27725</v>
      </c>
      <c r="BA2822" s="3" t="s">
        <v>27725</v>
      </c>
      <c r="BB2822" s="3" t="s">
        <v>27726</v>
      </c>
      <c r="BC2822" s="3" t="s">
        <v>142</v>
      </c>
      <c r="BD2822" s="3" t="s">
        <v>68</v>
      </c>
      <c r="BE2822" s="3" t="s">
        <v>27727</v>
      </c>
      <c r="BF2822" s="3" t="s">
        <v>27726</v>
      </c>
      <c r="BG2822" s="3" t="s">
        <v>27728</v>
      </c>
    </row>
    <row r="2823" spans="1:59" ht="57" x14ac:dyDescent="0.45">
      <c r="A2823" s="2" t="s">
        <v>59</v>
      </c>
      <c r="B2823" s="2" t="s">
        <v>60</v>
      </c>
      <c r="C2823" s="2" t="s">
        <v>27729</v>
      </c>
      <c r="D2823" s="2" t="s">
        <v>27730</v>
      </c>
      <c r="E2823" s="2" t="s">
        <v>27731</v>
      </c>
      <c r="G2823" s="3" t="s">
        <v>62</v>
      </c>
      <c r="I2823" s="3" t="s">
        <v>62</v>
      </c>
      <c r="J2823" s="3" t="s">
        <v>62</v>
      </c>
      <c r="K2823" s="3" t="s">
        <v>63</v>
      </c>
      <c r="M2823" s="2" t="s">
        <v>27732</v>
      </c>
      <c r="N2823" s="3" t="s">
        <v>1059</v>
      </c>
      <c r="P2823" s="3" t="s">
        <v>65</v>
      </c>
      <c r="Q2823" s="2" t="s">
        <v>17318</v>
      </c>
      <c r="R2823" s="3" t="s">
        <v>66</v>
      </c>
      <c r="S2823" s="4">
        <v>18</v>
      </c>
      <c r="T2823" s="4">
        <v>18</v>
      </c>
      <c r="U2823" s="5" t="s">
        <v>10764</v>
      </c>
      <c r="V2823" s="5" t="s">
        <v>10764</v>
      </c>
      <c r="W2823" s="5" t="s">
        <v>67</v>
      </c>
      <c r="X2823" s="5" t="s">
        <v>67</v>
      </c>
      <c r="Y2823" s="4">
        <v>216</v>
      </c>
      <c r="Z2823" s="4">
        <v>27</v>
      </c>
      <c r="AA2823" s="4">
        <v>30</v>
      </c>
      <c r="AB2823" s="4">
        <v>2</v>
      </c>
      <c r="AC2823" s="4">
        <v>4</v>
      </c>
      <c r="AD2823" s="4">
        <v>52</v>
      </c>
      <c r="AE2823" s="4">
        <v>54</v>
      </c>
      <c r="AF2823" s="4">
        <v>1</v>
      </c>
      <c r="AG2823" s="4">
        <v>3</v>
      </c>
      <c r="AH2823" s="4">
        <v>42</v>
      </c>
      <c r="AI2823" s="4">
        <v>43</v>
      </c>
      <c r="AJ2823" s="4">
        <v>14</v>
      </c>
      <c r="AK2823" s="4">
        <v>16</v>
      </c>
      <c r="AL2823" s="4">
        <v>24</v>
      </c>
      <c r="AM2823" s="4">
        <v>24</v>
      </c>
      <c r="AN2823" s="4">
        <v>0</v>
      </c>
      <c r="AO2823" s="4">
        <v>0</v>
      </c>
      <c r="AP2823" s="4">
        <v>18</v>
      </c>
      <c r="AQ2823" s="4">
        <v>19</v>
      </c>
      <c r="AR2823" s="3" t="s">
        <v>62</v>
      </c>
      <c r="AS2823" s="3" t="s">
        <v>62</v>
      </c>
      <c r="AT2823" s="3" t="s">
        <v>62</v>
      </c>
      <c r="AV2823" s="6" t="str">
        <f>HYPERLINK("http://mcgill.on.worldcat.org/oclc/62532598","Catalog Record")</f>
        <v>Catalog Record</v>
      </c>
      <c r="AW2823" s="6" t="str">
        <f>HYPERLINK("http://www.worldcat.org/oclc/62532598","WorldCat Record")</f>
        <v>WorldCat Record</v>
      </c>
      <c r="AX2823" s="3" t="s">
        <v>27733</v>
      </c>
      <c r="AY2823" s="3" t="s">
        <v>27734</v>
      </c>
      <c r="AZ2823" s="3" t="s">
        <v>27735</v>
      </c>
      <c r="BA2823" s="3" t="s">
        <v>27735</v>
      </c>
      <c r="BB2823" s="3" t="s">
        <v>27736</v>
      </c>
      <c r="BC2823" s="3" t="s">
        <v>142</v>
      </c>
      <c r="BD2823" s="3" t="s">
        <v>308</v>
      </c>
      <c r="BE2823" s="3" t="s">
        <v>27737</v>
      </c>
      <c r="BF2823" s="3" t="s">
        <v>27736</v>
      </c>
      <c r="BG2823" s="3" t="s">
        <v>27738</v>
      </c>
    </row>
    <row r="2824" spans="1:59" ht="57" x14ac:dyDescent="0.45">
      <c r="A2824" s="2" t="s">
        <v>59</v>
      </c>
      <c r="B2824" s="2" t="s">
        <v>60</v>
      </c>
      <c r="C2824" s="2" t="s">
        <v>27739</v>
      </c>
      <c r="D2824" s="2" t="s">
        <v>27740</v>
      </c>
      <c r="E2824" s="2" t="s">
        <v>27741</v>
      </c>
      <c r="G2824" s="3" t="s">
        <v>62</v>
      </c>
      <c r="I2824" s="3" t="s">
        <v>62</v>
      </c>
      <c r="J2824" s="3" t="s">
        <v>62</v>
      </c>
      <c r="K2824" s="3" t="s">
        <v>63</v>
      </c>
      <c r="L2824" s="2" t="s">
        <v>27742</v>
      </c>
      <c r="M2824" s="2" t="s">
        <v>27743</v>
      </c>
      <c r="N2824" s="3" t="s">
        <v>820</v>
      </c>
      <c r="P2824" s="3" t="s">
        <v>65</v>
      </c>
      <c r="R2824" s="3" t="s">
        <v>66</v>
      </c>
      <c r="S2824" s="4">
        <v>5</v>
      </c>
      <c r="T2824" s="4">
        <v>5</v>
      </c>
      <c r="U2824" s="5" t="s">
        <v>12086</v>
      </c>
      <c r="V2824" s="5" t="s">
        <v>12086</v>
      </c>
      <c r="W2824" s="5" t="s">
        <v>67</v>
      </c>
      <c r="X2824" s="5" t="s">
        <v>67</v>
      </c>
      <c r="Y2824" s="4">
        <v>404</v>
      </c>
      <c r="Z2824" s="4">
        <v>35</v>
      </c>
      <c r="AA2824" s="4">
        <v>37</v>
      </c>
      <c r="AB2824" s="4">
        <v>2</v>
      </c>
      <c r="AC2824" s="4">
        <v>4</v>
      </c>
      <c r="AD2824" s="4">
        <v>104</v>
      </c>
      <c r="AE2824" s="4">
        <v>106</v>
      </c>
      <c r="AF2824" s="4">
        <v>1</v>
      </c>
      <c r="AG2824" s="4">
        <v>3</v>
      </c>
      <c r="AH2824" s="4">
        <v>88</v>
      </c>
      <c r="AI2824" s="4">
        <v>89</v>
      </c>
      <c r="AJ2824" s="4">
        <v>18</v>
      </c>
      <c r="AK2824" s="4">
        <v>20</v>
      </c>
      <c r="AL2824" s="4">
        <v>46</v>
      </c>
      <c r="AM2824" s="4">
        <v>46</v>
      </c>
      <c r="AN2824" s="4">
        <v>0</v>
      </c>
      <c r="AO2824" s="4">
        <v>0</v>
      </c>
      <c r="AP2824" s="4">
        <v>24</v>
      </c>
      <c r="AQ2824" s="4">
        <v>26</v>
      </c>
      <c r="AR2824" s="3" t="s">
        <v>62</v>
      </c>
      <c r="AS2824" s="3" t="s">
        <v>62</v>
      </c>
      <c r="AT2824" s="3" t="s">
        <v>61</v>
      </c>
      <c r="AU2824" s="6" t="str">
        <f>HYPERLINK("http://catalog.hathitrust.org/Record/005621097","HathiTrust Record")</f>
        <v>HathiTrust Record</v>
      </c>
      <c r="AV2824" s="6" t="str">
        <f>HYPERLINK("http://mcgill.on.worldcat.org/oclc/123390925","Catalog Record")</f>
        <v>Catalog Record</v>
      </c>
      <c r="AW2824" s="6" t="str">
        <f>HYPERLINK("http://www.worldcat.org/oclc/123390925","WorldCat Record")</f>
        <v>WorldCat Record</v>
      </c>
      <c r="AX2824" s="3" t="s">
        <v>27744</v>
      </c>
      <c r="AY2824" s="3" t="s">
        <v>27745</v>
      </c>
      <c r="AZ2824" s="3" t="s">
        <v>27746</v>
      </c>
      <c r="BA2824" s="3" t="s">
        <v>27746</v>
      </c>
      <c r="BB2824" s="3" t="s">
        <v>27747</v>
      </c>
      <c r="BC2824" s="3" t="s">
        <v>142</v>
      </c>
      <c r="BD2824" s="3" t="s">
        <v>68</v>
      </c>
      <c r="BE2824" s="3" t="s">
        <v>27748</v>
      </c>
      <c r="BF2824" s="3" t="s">
        <v>27747</v>
      </c>
      <c r="BG2824" s="3" t="s">
        <v>27749</v>
      </c>
    </row>
    <row r="2825" spans="1:59" ht="57" x14ac:dyDescent="0.45">
      <c r="A2825" s="2" t="s">
        <v>59</v>
      </c>
      <c r="B2825" s="2" t="s">
        <v>60</v>
      </c>
      <c r="C2825" s="2" t="s">
        <v>27750</v>
      </c>
      <c r="D2825" s="2" t="s">
        <v>27751</v>
      </c>
      <c r="E2825" s="2" t="s">
        <v>27752</v>
      </c>
      <c r="G2825" s="3" t="s">
        <v>62</v>
      </c>
      <c r="I2825" s="3" t="s">
        <v>62</v>
      </c>
      <c r="J2825" s="3" t="s">
        <v>61</v>
      </c>
      <c r="K2825" s="3" t="s">
        <v>63</v>
      </c>
      <c r="M2825" s="2" t="s">
        <v>13812</v>
      </c>
      <c r="N2825" s="3" t="s">
        <v>542</v>
      </c>
      <c r="O2825" s="2" t="s">
        <v>933</v>
      </c>
      <c r="P2825" s="3" t="s">
        <v>65</v>
      </c>
      <c r="Q2825" s="2" t="s">
        <v>12823</v>
      </c>
      <c r="R2825" s="3" t="s">
        <v>66</v>
      </c>
      <c r="S2825" s="4">
        <v>28</v>
      </c>
      <c r="T2825" s="4">
        <v>28</v>
      </c>
      <c r="U2825" s="5" t="s">
        <v>1281</v>
      </c>
      <c r="V2825" s="5" t="s">
        <v>1281</v>
      </c>
      <c r="W2825" s="5" t="s">
        <v>67</v>
      </c>
      <c r="X2825" s="5" t="s">
        <v>67</v>
      </c>
      <c r="Y2825" s="4">
        <v>439</v>
      </c>
      <c r="Z2825" s="4">
        <v>26</v>
      </c>
      <c r="AA2825" s="4">
        <v>77</v>
      </c>
      <c r="AB2825" s="4">
        <v>3</v>
      </c>
      <c r="AC2825" s="4">
        <v>19</v>
      </c>
      <c r="AD2825" s="4">
        <v>94</v>
      </c>
      <c r="AE2825" s="4">
        <v>156</v>
      </c>
      <c r="AF2825" s="4">
        <v>1</v>
      </c>
      <c r="AG2825" s="4">
        <v>9</v>
      </c>
      <c r="AH2825" s="4">
        <v>84</v>
      </c>
      <c r="AI2825" s="4">
        <v>112</v>
      </c>
      <c r="AJ2825" s="4">
        <v>15</v>
      </c>
      <c r="AK2825" s="4">
        <v>27</v>
      </c>
      <c r="AL2825" s="4">
        <v>43</v>
      </c>
      <c r="AM2825" s="4">
        <v>56</v>
      </c>
      <c r="AN2825" s="4">
        <v>0</v>
      </c>
      <c r="AO2825" s="4">
        <v>0</v>
      </c>
      <c r="AP2825" s="4">
        <v>18</v>
      </c>
      <c r="AQ2825" s="4">
        <v>55</v>
      </c>
      <c r="AR2825" s="3" t="s">
        <v>62</v>
      </c>
      <c r="AS2825" s="3" t="s">
        <v>62</v>
      </c>
      <c r="AT2825" s="3" t="s">
        <v>62</v>
      </c>
      <c r="AV2825" s="6" t="str">
        <f>HYPERLINK("http://mcgill.on.worldcat.org/oclc/45172651","Catalog Record")</f>
        <v>Catalog Record</v>
      </c>
      <c r="AW2825" s="6" t="str">
        <f>HYPERLINK("http://www.worldcat.org/oclc/45172651","WorldCat Record")</f>
        <v>WorldCat Record</v>
      </c>
      <c r="AX2825" s="3" t="s">
        <v>27753</v>
      </c>
      <c r="AY2825" s="3" t="s">
        <v>27754</v>
      </c>
      <c r="AZ2825" s="3" t="s">
        <v>27755</v>
      </c>
      <c r="BA2825" s="3" t="s">
        <v>27755</v>
      </c>
      <c r="BB2825" s="3" t="s">
        <v>27756</v>
      </c>
      <c r="BC2825" s="3" t="s">
        <v>142</v>
      </c>
      <c r="BD2825" s="3" t="s">
        <v>68</v>
      </c>
      <c r="BE2825" s="3" t="s">
        <v>27757</v>
      </c>
      <c r="BF2825" s="3" t="s">
        <v>27756</v>
      </c>
      <c r="BG2825" s="3" t="s">
        <v>27758</v>
      </c>
    </row>
    <row r="2826" spans="1:59" ht="57" x14ac:dyDescent="0.45">
      <c r="A2826" s="2" t="s">
        <v>59</v>
      </c>
      <c r="B2826" s="2" t="s">
        <v>60</v>
      </c>
      <c r="C2826" s="2" t="s">
        <v>27759</v>
      </c>
      <c r="D2826" s="2" t="s">
        <v>27760</v>
      </c>
      <c r="E2826" s="2" t="s">
        <v>27761</v>
      </c>
      <c r="G2826" s="3" t="s">
        <v>62</v>
      </c>
      <c r="I2826" s="3" t="s">
        <v>62</v>
      </c>
      <c r="J2826" s="3" t="s">
        <v>61</v>
      </c>
      <c r="K2826" s="3" t="s">
        <v>63</v>
      </c>
      <c r="M2826" s="2" t="s">
        <v>27762</v>
      </c>
      <c r="N2826" s="3" t="s">
        <v>1155</v>
      </c>
      <c r="P2826" s="3" t="s">
        <v>65</v>
      </c>
      <c r="Q2826" s="2" t="s">
        <v>27763</v>
      </c>
      <c r="R2826" s="3" t="s">
        <v>66</v>
      </c>
      <c r="S2826" s="4">
        <v>2</v>
      </c>
      <c r="T2826" s="4">
        <v>2</v>
      </c>
      <c r="U2826" s="5" t="s">
        <v>27764</v>
      </c>
      <c r="V2826" s="5" t="s">
        <v>27764</v>
      </c>
      <c r="W2826" s="5" t="s">
        <v>67</v>
      </c>
      <c r="X2826" s="5" t="s">
        <v>67</v>
      </c>
      <c r="Y2826" s="4">
        <v>107</v>
      </c>
      <c r="Z2826" s="4">
        <v>11</v>
      </c>
      <c r="AA2826" s="4">
        <v>82</v>
      </c>
      <c r="AB2826" s="4">
        <v>2</v>
      </c>
      <c r="AC2826" s="4">
        <v>14</v>
      </c>
      <c r="AD2826" s="4">
        <v>40</v>
      </c>
      <c r="AE2826" s="4">
        <v>113</v>
      </c>
      <c r="AF2826" s="4">
        <v>1</v>
      </c>
      <c r="AG2826" s="4">
        <v>8</v>
      </c>
      <c r="AH2826" s="4">
        <v>33</v>
      </c>
      <c r="AI2826" s="4">
        <v>76</v>
      </c>
      <c r="AJ2826" s="4">
        <v>6</v>
      </c>
      <c r="AK2826" s="4">
        <v>21</v>
      </c>
      <c r="AL2826" s="4">
        <v>23</v>
      </c>
      <c r="AM2826" s="4">
        <v>39</v>
      </c>
      <c r="AN2826" s="4">
        <v>0</v>
      </c>
      <c r="AO2826" s="4">
        <v>0</v>
      </c>
      <c r="AP2826" s="4">
        <v>9</v>
      </c>
      <c r="AQ2826" s="4">
        <v>45</v>
      </c>
      <c r="AR2826" s="3" t="s">
        <v>62</v>
      </c>
      <c r="AS2826" s="3" t="s">
        <v>62</v>
      </c>
      <c r="AT2826" s="3" t="s">
        <v>62</v>
      </c>
      <c r="AV2826" s="6" t="str">
        <f>HYPERLINK("http://mcgill.on.worldcat.org/oclc/809124273","Catalog Record")</f>
        <v>Catalog Record</v>
      </c>
      <c r="AW2826" s="6" t="str">
        <f>HYPERLINK("http://www.worldcat.org/oclc/809124273","WorldCat Record")</f>
        <v>WorldCat Record</v>
      </c>
      <c r="AX2826" s="3" t="s">
        <v>27765</v>
      </c>
      <c r="AY2826" s="3" t="s">
        <v>27766</v>
      </c>
      <c r="AZ2826" s="3" t="s">
        <v>27767</v>
      </c>
      <c r="BA2826" s="3" t="s">
        <v>27767</v>
      </c>
      <c r="BB2826" s="3" t="s">
        <v>27768</v>
      </c>
      <c r="BC2826" s="3" t="s">
        <v>142</v>
      </c>
      <c r="BD2826" s="3" t="s">
        <v>68</v>
      </c>
      <c r="BE2826" s="3" t="s">
        <v>27769</v>
      </c>
      <c r="BF2826" s="3" t="s">
        <v>27768</v>
      </c>
      <c r="BG2826" s="3" t="s">
        <v>27770</v>
      </c>
    </row>
    <row r="2827" spans="1:59" ht="57" x14ac:dyDescent="0.45">
      <c r="A2827" s="2" t="s">
        <v>59</v>
      </c>
      <c r="B2827" s="2" t="s">
        <v>60</v>
      </c>
      <c r="C2827" s="2" t="s">
        <v>27771</v>
      </c>
      <c r="D2827" s="2" t="s">
        <v>27772</v>
      </c>
      <c r="E2827" s="2" t="s">
        <v>27773</v>
      </c>
      <c r="G2827" s="3" t="s">
        <v>62</v>
      </c>
      <c r="I2827" s="3" t="s">
        <v>62</v>
      </c>
      <c r="J2827" s="3" t="s">
        <v>62</v>
      </c>
      <c r="K2827" s="3" t="s">
        <v>63</v>
      </c>
      <c r="L2827" s="2" t="s">
        <v>27774</v>
      </c>
      <c r="M2827" s="2" t="s">
        <v>27775</v>
      </c>
      <c r="N2827" s="3" t="s">
        <v>820</v>
      </c>
      <c r="P2827" s="3" t="s">
        <v>65</v>
      </c>
      <c r="R2827" s="3" t="s">
        <v>66</v>
      </c>
      <c r="S2827" s="4">
        <v>4</v>
      </c>
      <c r="T2827" s="4">
        <v>4</v>
      </c>
      <c r="U2827" s="5" t="s">
        <v>4176</v>
      </c>
      <c r="V2827" s="5" t="s">
        <v>4176</v>
      </c>
      <c r="W2827" s="5" t="s">
        <v>67</v>
      </c>
      <c r="X2827" s="5" t="s">
        <v>67</v>
      </c>
      <c r="Y2827" s="4">
        <v>227</v>
      </c>
      <c r="Z2827" s="4">
        <v>23</v>
      </c>
      <c r="AA2827" s="4">
        <v>27</v>
      </c>
      <c r="AB2827" s="4">
        <v>2</v>
      </c>
      <c r="AC2827" s="4">
        <v>5</v>
      </c>
      <c r="AD2827" s="4">
        <v>73</v>
      </c>
      <c r="AE2827" s="4">
        <v>77</v>
      </c>
      <c r="AF2827" s="4">
        <v>1</v>
      </c>
      <c r="AG2827" s="4">
        <v>3</v>
      </c>
      <c r="AH2827" s="4">
        <v>64</v>
      </c>
      <c r="AI2827" s="4">
        <v>67</v>
      </c>
      <c r="AJ2827" s="4">
        <v>14</v>
      </c>
      <c r="AK2827" s="4">
        <v>17</v>
      </c>
      <c r="AL2827" s="4">
        <v>37</v>
      </c>
      <c r="AM2827" s="4">
        <v>37</v>
      </c>
      <c r="AN2827" s="4">
        <v>0</v>
      </c>
      <c r="AO2827" s="4">
        <v>0</v>
      </c>
      <c r="AP2827" s="4">
        <v>17</v>
      </c>
      <c r="AQ2827" s="4">
        <v>20</v>
      </c>
      <c r="AR2827" s="3" t="s">
        <v>62</v>
      </c>
      <c r="AS2827" s="3" t="s">
        <v>62</v>
      </c>
      <c r="AT2827" s="3" t="s">
        <v>61</v>
      </c>
      <c r="AU2827" s="6" t="str">
        <f>HYPERLINK("http://catalog.hathitrust.org/Record/005896209","HathiTrust Record")</f>
        <v>HathiTrust Record</v>
      </c>
      <c r="AV2827" s="6" t="str">
        <f>HYPERLINK("http://mcgill.on.worldcat.org/oclc/212847169","Catalog Record")</f>
        <v>Catalog Record</v>
      </c>
      <c r="AW2827" s="6" t="str">
        <f>HYPERLINK("http://www.worldcat.org/oclc/212847169","WorldCat Record")</f>
        <v>WorldCat Record</v>
      </c>
      <c r="AX2827" s="3" t="s">
        <v>27776</v>
      </c>
      <c r="AY2827" s="3" t="s">
        <v>27777</v>
      </c>
      <c r="AZ2827" s="3" t="s">
        <v>27778</v>
      </c>
      <c r="BA2827" s="3" t="s">
        <v>27778</v>
      </c>
      <c r="BB2827" s="3" t="s">
        <v>27779</v>
      </c>
      <c r="BC2827" s="3" t="s">
        <v>142</v>
      </c>
      <c r="BD2827" s="3" t="s">
        <v>68</v>
      </c>
      <c r="BE2827" s="3" t="s">
        <v>27780</v>
      </c>
      <c r="BF2827" s="3" t="s">
        <v>27779</v>
      </c>
      <c r="BG2827" s="3" t="s">
        <v>27781</v>
      </c>
    </row>
    <row r="2828" spans="1:59" ht="57" x14ac:dyDescent="0.45">
      <c r="A2828" s="2" t="s">
        <v>59</v>
      </c>
      <c r="B2828" s="2" t="s">
        <v>60</v>
      </c>
      <c r="C2828" s="2" t="s">
        <v>27782</v>
      </c>
      <c r="D2828" s="2" t="s">
        <v>27783</v>
      </c>
      <c r="E2828" s="2" t="s">
        <v>27784</v>
      </c>
      <c r="G2828" s="3" t="s">
        <v>62</v>
      </c>
      <c r="I2828" s="3" t="s">
        <v>62</v>
      </c>
      <c r="J2828" s="3" t="s">
        <v>62</v>
      </c>
      <c r="K2828" s="3" t="s">
        <v>63</v>
      </c>
      <c r="M2828" s="2" t="s">
        <v>27785</v>
      </c>
      <c r="N2828" s="3" t="s">
        <v>1155</v>
      </c>
      <c r="P2828" s="3" t="s">
        <v>182</v>
      </c>
      <c r="R2828" s="3" t="s">
        <v>66</v>
      </c>
      <c r="S2828" s="4">
        <v>1</v>
      </c>
      <c r="T2828" s="4">
        <v>1</v>
      </c>
      <c r="U2828" s="5" t="s">
        <v>27786</v>
      </c>
      <c r="V2828" s="5" t="s">
        <v>27786</v>
      </c>
      <c r="W2828" s="5" t="s">
        <v>67</v>
      </c>
      <c r="X2828" s="5" t="s">
        <v>67</v>
      </c>
      <c r="Y2828" s="4">
        <v>4</v>
      </c>
      <c r="Z2828" s="4">
        <v>1</v>
      </c>
      <c r="AA2828" s="4">
        <v>1</v>
      </c>
      <c r="AB2828" s="4">
        <v>1</v>
      </c>
      <c r="AC2828" s="4">
        <v>1</v>
      </c>
      <c r="AD2828" s="4">
        <v>1</v>
      </c>
      <c r="AE2828" s="4">
        <v>9</v>
      </c>
      <c r="AF2828" s="4">
        <v>0</v>
      </c>
      <c r="AG2828" s="4">
        <v>0</v>
      </c>
      <c r="AH2828" s="4">
        <v>1</v>
      </c>
      <c r="AI2828" s="4">
        <v>8</v>
      </c>
      <c r="AJ2828" s="4">
        <v>0</v>
      </c>
      <c r="AK2828" s="4">
        <v>0</v>
      </c>
      <c r="AL2828" s="4">
        <v>0</v>
      </c>
      <c r="AM2828" s="4">
        <v>5</v>
      </c>
      <c r="AN2828" s="4">
        <v>0</v>
      </c>
      <c r="AO2828" s="4">
        <v>0</v>
      </c>
      <c r="AP2828" s="4">
        <v>0</v>
      </c>
      <c r="AQ2828" s="4">
        <v>0</v>
      </c>
      <c r="AR2828" s="3" t="s">
        <v>62</v>
      </c>
      <c r="AS2828" s="3" t="s">
        <v>62</v>
      </c>
      <c r="AT2828" s="3" t="s">
        <v>62</v>
      </c>
      <c r="AV2828" s="6" t="str">
        <f>HYPERLINK("http://mcgill.on.worldcat.org/oclc/842840544","Catalog Record")</f>
        <v>Catalog Record</v>
      </c>
      <c r="AW2828" s="6" t="str">
        <f>HYPERLINK("http://www.worldcat.org/oclc/842840544","WorldCat Record")</f>
        <v>WorldCat Record</v>
      </c>
      <c r="AX2828" s="3" t="s">
        <v>27787</v>
      </c>
      <c r="AY2828" s="3" t="s">
        <v>27788</v>
      </c>
      <c r="AZ2828" s="3" t="s">
        <v>27789</v>
      </c>
      <c r="BA2828" s="3" t="s">
        <v>27789</v>
      </c>
      <c r="BB2828" s="3" t="s">
        <v>27790</v>
      </c>
      <c r="BC2828" s="3" t="s">
        <v>142</v>
      </c>
      <c r="BD2828" s="3" t="s">
        <v>68</v>
      </c>
      <c r="BF2828" s="3" t="s">
        <v>27790</v>
      </c>
      <c r="BG2828" s="3" t="s">
        <v>27791</v>
      </c>
    </row>
    <row r="2829" spans="1:59" ht="57" x14ac:dyDescent="0.45">
      <c r="A2829" s="2" t="s">
        <v>59</v>
      </c>
      <c r="B2829" s="2" t="s">
        <v>60</v>
      </c>
      <c r="C2829" s="2" t="s">
        <v>27792</v>
      </c>
      <c r="D2829" s="2" t="s">
        <v>27793</v>
      </c>
      <c r="E2829" s="2" t="s">
        <v>27794</v>
      </c>
      <c r="G2829" s="3" t="s">
        <v>62</v>
      </c>
      <c r="I2829" s="3" t="s">
        <v>62</v>
      </c>
      <c r="J2829" s="3" t="s">
        <v>61</v>
      </c>
      <c r="K2829" s="3" t="s">
        <v>63</v>
      </c>
      <c r="L2829" s="2" t="s">
        <v>27795</v>
      </c>
      <c r="M2829" s="2" t="s">
        <v>27796</v>
      </c>
      <c r="N2829" s="3" t="s">
        <v>1212</v>
      </c>
      <c r="P2829" s="3" t="s">
        <v>65</v>
      </c>
      <c r="R2829" s="3" t="s">
        <v>66</v>
      </c>
      <c r="S2829" s="4">
        <v>33</v>
      </c>
      <c r="T2829" s="4">
        <v>33</v>
      </c>
      <c r="U2829" s="5" t="s">
        <v>128</v>
      </c>
      <c r="V2829" s="5" t="s">
        <v>128</v>
      </c>
      <c r="W2829" s="5" t="s">
        <v>67</v>
      </c>
      <c r="X2829" s="5" t="s">
        <v>67</v>
      </c>
      <c r="Y2829" s="4">
        <v>351</v>
      </c>
      <c r="Z2829" s="4">
        <v>18</v>
      </c>
      <c r="AA2829" s="4">
        <v>44</v>
      </c>
      <c r="AB2829" s="4">
        <v>2</v>
      </c>
      <c r="AC2829" s="4">
        <v>8</v>
      </c>
      <c r="AD2829" s="4">
        <v>91</v>
      </c>
      <c r="AE2829" s="4">
        <v>129</v>
      </c>
      <c r="AF2829" s="4">
        <v>1</v>
      </c>
      <c r="AG2829" s="4">
        <v>5</v>
      </c>
      <c r="AH2829" s="4">
        <v>80</v>
      </c>
      <c r="AI2829" s="4">
        <v>106</v>
      </c>
      <c r="AJ2829" s="4">
        <v>10</v>
      </c>
      <c r="AK2829" s="4">
        <v>25</v>
      </c>
      <c r="AL2829" s="4">
        <v>44</v>
      </c>
      <c r="AM2829" s="4">
        <v>55</v>
      </c>
      <c r="AN2829" s="4">
        <v>0</v>
      </c>
      <c r="AO2829" s="4">
        <v>0</v>
      </c>
      <c r="AP2829" s="4">
        <v>14</v>
      </c>
      <c r="AQ2829" s="4">
        <v>34</v>
      </c>
      <c r="AR2829" s="3" t="s">
        <v>62</v>
      </c>
      <c r="AS2829" s="3" t="s">
        <v>62</v>
      </c>
      <c r="AT2829" s="3" t="s">
        <v>62</v>
      </c>
      <c r="AV2829" s="6" t="str">
        <f>HYPERLINK("http://mcgill.on.worldcat.org/oclc/41592999","Catalog Record")</f>
        <v>Catalog Record</v>
      </c>
      <c r="AW2829" s="6" t="str">
        <f>HYPERLINK("http://www.worldcat.org/oclc/41592999","WorldCat Record")</f>
        <v>WorldCat Record</v>
      </c>
      <c r="AX2829" s="3" t="s">
        <v>27797</v>
      </c>
      <c r="AY2829" s="3" t="s">
        <v>27798</v>
      </c>
      <c r="AZ2829" s="3" t="s">
        <v>27799</v>
      </c>
      <c r="BA2829" s="3" t="s">
        <v>27799</v>
      </c>
      <c r="BB2829" s="3" t="s">
        <v>27800</v>
      </c>
      <c r="BC2829" s="3" t="s">
        <v>142</v>
      </c>
      <c r="BD2829" s="3" t="s">
        <v>68</v>
      </c>
      <c r="BE2829" s="3" t="s">
        <v>27801</v>
      </c>
      <c r="BF2829" s="3" t="s">
        <v>27800</v>
      </c>
      <c r="BG2829" s="3" t="s">
        <v>27802</v>
      </c>
    </row>
    <row r="2830" spans="1:59" ht="57" x14ac:dyDescent="0.45">
      <c r="A2830" s="2" t="s">
        <v>59</v>
      </c>
      <c r="B2830" s="2" t="s">
        <v>60</v>
      </c>
      <c r="C2830" s="2" t="s">
        <v>27803</v>
      </c>
      <c r="D2830" s="2" t="s">
        <v>27804</v>
      </c>
      <c r="E2830" s="2" t="s">
        <v>27805</v>
      </c>
      <c r="G2830" s="3" t="s">
        <v>62</v>
      </c>
      <c r="I2830" s="3" t="s">
        <v>62</v>
      </c>
      <c r="J2830" s="3" t="s">
        <v>61</v>
      </c>
      <c r="K2830" s="3" t="s">
        <v>63</v>
      </c>
      <c r="L2830" s="2" t="s">
        <v>27795</v>
      </c>
      <c r="M2830" s="2" t="s">
        <v>3350</v>
      </c>
      <c r="N2830" s="3" t="s">
        <v>894</v>
      </c>
      <c r="O2830" s="2" t="s">
        <v>933</v>
      </c>
      <c r="P2830" s="3" t="s">
        <v>65</v>
      </c>
      <c r="R2830" s="3" t="s">
        <v>66</v>
      </c>
      <c r="S2830" s="4">
        <v>5</v>
      </c>
      <c r="T2830" s="4">
        <v>5</v>
      </c>
      <c r="U2830" s="5" t="s">
        <v>12361</v>
      </c>
      <c r="V2830" s="5" t="s">
        <v>12361</v>
      </c>
      <c r="W2830" s="5" t="s">
        <v>67</v>
      </c>
      <c r="X2830" s="5" t="s">
        <v>67</v>
      </c>
      <c r="Y2830" s="4">
        <v>287</v>
      </c>
      <c r="Z2830" s="4">
        <v>26</v>
      </c>
      <c r="AA2830" s="4">
        <v>44</v>
      </c>
      <c r="AB2830" s="4">
        <v>2</v>
      </c>
      <c r="AC2830" s="4">
        <v>8</v>
      </c>
      <c r="AD2830" s="4">
        <v>81</v>
      </c>
      <c r="AE2830" s="4">
        <v>129</v>
      </c>
      <c r="AF2830" s="4">
        <v>1</v>
      </c>
      <c r="AG2830" s="4">
        <v>5</v>
      </c>
      <c r="AH2830" s="4">
        <v>70</v>
      </c>
      <c r="AI2830" s="4">
        <v>106</v>
      </c>
      <c r="AJ2830" s="4">
        <v>15</v>
      </c>
      <c r="AK2830" s="4">
        <v>25</v>
      </c>
      <c r="AL2830" s="4">
        <v>35</v>
      </c>
      <c r="AM2830" s="4">
        <v>55</v>
      </c>
      <c r="AN2830" s="4">
        <v>0</v>
      </c>
      <c r="AO2830" s="4">
        <v>0</v>
      </c>
      <c r="AP2830" s="4">
        <v>21</v>
      </c>
      <c r="AQ2830" s="4">
        <v>34</v>
      </c>
      <c r="AR2830" s="3" t="s">
        <v>62</v>
      </c>
      <c r="AS2830" s="3" t="s">
        <v>62</v>
      </c>
      <c r="AT2830" s="3" t="s">
        <v>62</v>
      </c>
      <c r="AV2830" s="6" t="str">
        <f>HYPERLINK("http://mcgill.on.worldcat.org/oclc/656768484","Catalog Record")</f>
        <v>Catalog Record</v>
      </c>
      <c r="AW2830" s="6" t="str">
        <f>HYPERLINK("http://www.worldcat.org/oclc/656768484","WorldCat Record")</f>
        <v>WorldCat Record</v>
      </c>
      <c r="AX2830" s="3" t="s">
        <v>27797</v>
      </c>
      <c r="AY2830" s="3" t="s">
        <v>27806</v>
      </c>
      <c r="AZ2830" s="3" t="s">
        <v>27807</v>
      </c>
      <c r="BA2830" s="3" t="s">
        <v>27807</v>
      </c>
      <c r="BB2830" s="3" t="s">
        <v>27808</v>
      </c>
      <c r="BC2830" s="3" t="s">
        <v>142</v>
      </c>
      <c r="BD2830" s="3" t="s">
        <v>308</v>
      </c>
      <c r="BE2830" s="3" t="s">
        <v>27809</v>
      </c>
      <c r="BF2830" s="3" t="s">
        <v>27808</v>
      </c>
      <c r="BG2830" s="3" t="s">
        <v>27810</v>
      </c>
    </row>
    <row r="2831" spans="1:59" ht="57" x14ac:dyDescent="0.45">
      <c r="A2831" s="2" t="s">
        <v>59</v>
      </c>
      <c r="B2831" s="2" t="s">
        <v>60</v>
      </c>
      <c r="C2831" s="2" t="s">
        <v>27811</v>
      </c>
      <c r="D2831" s="2" t="s">
        <v>27812</v>
      </c>
      <c r="E2831" s="2" t="s">
        <v>27813</v>
      </c>
      <c r="G2831" s="3" t="s">
        <v>62</v>
      </c>
      <c r="I2831" s="3" t="s">
        <v>62</v>
      </c>
      <c r="J2831" s="3" t="s">
        <v>62</v>
      </c>
      <c r="K2831" s="3" t="s">
        <v>63</v>
      </c>
      <c r="M2831" s="2" t="s">
        <v>27814</v>
      </c>
      <c r="N2831" s="3" t="s">
        <v>149</v>
      </c>
      <c r="O2831" s="2" t="s">
        <v>27815</v>
      </c>
      <c r="P2831" s="3" t="s">
        <v>65</v>
      </c>
      <c r="Q2831" s="2" t="s">
        <v>27816</v>
      </c>
      <c r="R2831" s="3" t="s">
        <v>66</v>
      </c>
      <c r="S2831" s="4">
        <v>2</v>
      </c>
      <c r="T2831" s="4">
        <v>2</v>
      </c>
      <c r="U2831" s="5" t="s">
        <v>12437</v>
      </c>
      <c r="V2831" s="5" t="s">
        <v>12437</v>
      </c>
      <c r="W2831" s="5" t="s">
        <v>67</v>
      </c>
      <c r="X2831" s="5" t="s">
        <v>67</v>
      </c>
      <c r="Y2831" s="4">
        <v>101</v>
      </c>
      <c r="Z2831" s="4">
        <v>9</v>
      </c>
      <c r="AA2831" s="4">
        <v>10</v>
      </c>
      <c r="AB2831" s="4">
        <v>1</v>
      </c>
      <c r="AC2831" s="4">
        <v>1</v>
      </c>
      <c r="AD2831" s="4">
        <v>37</v>
      </c>
      <c r="AE2831" s="4">
        <v>43</v>
      </c>
      <c r="AF2831" s="4">
        <v>0</v>
      </c>
      <c r="AG2831" s="4">
        <v>0</v>
      </c>
      <c r="AH2831" s="4">
        <v>34</v>
      </c>
      <c r="AI2831" s="4">
        <v>38</v>
      </c>
      <c r="AJ2831" s="4">
        <v>7</v>
      </c>
      <c r="AK2831" s="4">
        <v>8</v>
      </c>
      <c r="AL2831" s="4">
        <v>19</v>
      </c>
      <c r="AM2831" s="4">
        <v>23</v>
      </c>
      <c r="AN2831" s="4">
        <v>0</v>
      </c>
      <c r="AO2831" s="4">
        <v>0</v>
      </c>
      <c r="AP2831" s="4">
        <v>8</v>
      </c>
      <c r="AQ2831" s="4">
        <v>9</v>
      </c>
      <c r="AR2831" s="3" t="s">
        <v>62</v>
      </c>
      <c r="AS2831" s="3" t="s">
        <v>62</v>
      </c>
      <c r="AT2831" s="3" t="s">
        <v>62</v>
      </c>
      <c r="AV2831" s="6" t="str">
        <f>HYPERLINK("http://mcgill.on.worldcat.org/oclc/697691222","Catalog Record")</f>
        <v>Catalog Record</v>
      </c>
      <c r="AW2831" s="6" t="str">
        <f>HYPERLINK("http://www.worldcat.org/oclc/697691222","WorldCat Record")</f>
        <v>WorldCat Record</v>
      </c>
      <c r="AX2831" s="3" t="s">
        <v>27817</v>
      </c>
      <c r="AY2831" s="3" t="s">
        <v>27818</v>
      </c>
      <c r="AZ2831" s="3" t="s">
        <v>27819</v>
      </c>
      <c r="BA2831" s="3" t="s">
        <v>27819</v>
      </c>
      <c r="BB2831" s="3" t="s">
        <v>27820</v>
      </c>
      <c r="BC2831" s="3" t="s">
        <v>142</v>
      </c>
      <c r="BD2831" s="3" t="s">
        <v>68</v>
      </c>
      <c r="BE2831" s="3" t="s">
        <v>27821</v>
      </c>
      <c r="BF2831" s="3" t="s">
        <v>27820</v>
      </c>
      <c r="BG2831" s="3" t="s">
        <v>27822</v>
      </c>
    </row>
    <row r="2832" spans="1:59" ht="57" x14ac:dyDescent="0.45">
      <c r="A2832" s="2" t="s">
        <v>59</v>
      </c>
      <c r="B2832" s="2" t="s">
        <v>60</v>
      </c>
      <c r="C2832" s="2" t="s">
        <v>27823</v>
      </c>
      <c r="D2832" s="2" t="s">
        <v>27824</v>
      </c>
      <c r="E2832" s="2" t="s">
        <v>27825</v>
      </c>
      <c r="G2832" s="3" t="s">
        <v>62</v>
      </c>
      <c r="I2832" s="3" t="s">
        <v>62</v>
      </c>
      <c r="J2832" s="3" t="s">
        <v>62</v>
      </c>
      <c r="K2832" s="3" t="s">
        <v>63</v>
      </c>
      <c r="L2832" s="2" t="s">
        <v>27826</v>
      </c>
      <c r="M2832" s="2" t="s">
        <v>27827</v>
      </c>
      <c r="N2832" s="3" t="s">
        <v>1155</v>
      </c>
      <c r="P2832" s="3" t="s">
        <v>65</v>
      </c>
      <c r="Q2832" s="2" t="s">
        <v>27828</v>
      </c>
      <c r="R2832" s="3" t="s">
        <v>66</v>
      </c>
      <c r="S2832" s="4">
        <v>1</v>
      </c>
      <c r="T2832" s="4">
        <v>1</v>
      </c>
      <c r="W2832" s="5" t="s">
        <v>67</v>
      </c>
      <c r="X2832" s="5" t="s">
        <v>67</v>
      </c>
      <c r="Y2832" s="4">
        <v>151</v>
      </c>
      <c r="Z2832" s="4">
        <v>15</v>
      </c>
      <c r="AA2832" s="4">
        <v>25</v>
      </c>
      <c r="AB2832" s="4">
        <v>1</v>
      </c>
      <c r="AC2832" s="4">
        <v>6</v>
      </c>
      <c r="AD2832" s="4">
        <v>59</v>
      </c>
      <c r="AE2832" s="4">
        <v>81</v>
      </c>
      <c r="AF2832" s="4">
        <v>0</v>
      </c>
      <c r="AG2832" s="4">
        <v>3</v>
      </c>
      <c r="AH2832" s="4">
        <v>56</v>
      </c>
      <c r="AI2832" s="4">
        <v>74</v>
      </c>
      <c r="AJ2832" s="4">
        <v>9</v>
      </c>
      <c r="AK2832" s="4">
        <v>17</v>
      </c>
      <c r="AL2832" s="4">
        <v>31</v>
      </c>
      <c r="AM2832" s="4">
        <v>39</v>
      </c>
      <c r="AN2832" s="4">
        <v>0</v>
      </c>
      <c r="AO2832" s="4">
        <v>0</v>
      </c>
      <c r="AP2832" s="4">
        <v>10</v>
      </c>
      <c r="AQ2832" s="4">
        <v>18</v>
      </c>
      <c r="AR2832" s="3" t="s">
        <v>62</v>
      </c>
      <c r="AS2832" s="3" t="s">
        <v>62</v>
      </c>
      <c r="AT2832" s="3" t="s">
        <v>62</v>
      </c>
      <c r="AV2832" s="6" t="str">
        <f>HYPERLINK("http://mcgill.on.worldcat.org/oclc/792880398","Catalog Record")</f>
        <v>Catalog Record</v>
      </c>
      <c r="AW2832" s="6" t="str">
        <f>HYPERLINK("http://www.worldcat.org/oclc/792880398","WorldCat Record")</f>
        <v>WorldCat Record</v>
      </c>
      <c r="AX2832" s="3" t="s">
        <v>27829</v>
      </c>
      <c r="AY2832" s="3" t="s">
        <v>27830</v>
      </c>
      <c r="AZ2832" s="3" t="s">
        <v>27831</v>
      </c>
      <c r="BA2832" s="3" t="s">
        <v>27831</v>
      </c>
      <c r="BB2832" s="3" t="s">
        <v>27832</v>
      </c>
      <c r="BC2832" s="3" t="s">
        <v>142</v>
      </c>
      <c r="BD2832" s="3" t="s">
        <v>308</v>
      </c>
      <c r="BE2832" s="3" t="s">
        <v>27833</v>
      </c>
      <c r="BF2832" s="3" t="s">
        <v>27832</v>
      </c>
      <c r="BG2832" s="3" t="s">
        <v>27834</v>
      </c>
    </row>
    <row r="2833" spans="1:59" ht="57" x14ac:dyDescent="0.45">
      <c r="A2833" s="2" t="s">
        <v>59</v>
      </c>
      <c r="B2833" s="2" t="s">
        <v>60</v>
      </c>
      <c r="C2833" s="2" t="s">
        <v>27835</v>
      </c>
      <c r="D2833" s="2" t="s">
        <v>27836</v>
      </c>
      <c r="E2833" s="2" t="s">
        <v>27837</v>
      </c>
      <c r="G2833" s="3" t="s">
        <v>62</v>
      </c>
      <c r="I2833" s="3" t="s">
        <v>62</v>
      </c>
      <c r="J2833" s="3" t="s">
        <v>62</v>
      </c>
      <c r="K2833" s="3" t="s">
        <v>63</v>
      </c>
      <c r="L2833" s="2" t="s">
        <v>27838</v>
      </c>
      <c r="M2833" s="2" t="s">
        <v>4047</v>
      </c>
      <c r="N2833" s="3" t="s">
        <v>945</v>
      </c>
      <c r="P2833" s="3" t="s">
        <v>65</v>
      </c>
      <c r="R2833" s="3" t="s">
        <v>66</v>
      </c>
      <c r="S2833" s="4">
        <v>8</v>
      </c>
      <c r="T2833" s="4">
        <v>8</v>
      </c>
      <c r="U2833" s="5" t="s">
        <v>128</v>
      </c>
      <c r="V2833" s="5" t="s">
        <v>128</v>
      </c>
      <c r="W2833" s="5" t="s">
        <v>67</v>
      </c>
      <c r="X2833" s="5" t="s">
        <v>67</v>
      </c>
      <c r="Y2833" s="4">
        <v>297</v>
      </c>
      <c r="Z2833" s="4">
        <v>27</v>
      </c>
      <c r="AA2833" s="4">
        <v>32</v>
      </c>
      <c r="AB2833" s="4">
        <v>2</v>
      </c>
      <c r="AC2833" s="4">
        <v>6</v>
      </c>
      <c r="AD2833" s="4">
        <v>98</v>
      </c>
      <c r="AE2833" s="4">
        <v>102</v>
      </c>
      <c r="AF2833" s="4">
        <v>1</v>
      </c>
      <c r="AG2833" s="4">
        <v>2</v>
      </c>
      <c r="AH2833" s="4">
        <v>86</v>
      </c>
      <c r="AI2833" s="4">
        <v>88</v>
      </c>
      <c r="AJ2833" s="4">
        <v>17</v>
      </c>
      <c r="AK2833" s="4">
        <v>18</v>
      </c>
      <c r="AL2833" s="4">
        <v>45</v>
      </c>
      <c r="AM2833" s="4">
        <v>47</v>
      </c>
      <c r="AN2833" s="4">
        <v>0</v>
      </c>
      <c r="AO2833" s="4">
        <v>0</v>
      </c>
      <c r="AP2833" s="4">
        <v>20</v>
      </c>
      <c r="AQ2833" s="4">
        <v>21</v>
      </c>
      <c r="AR2833" s="3" t="s">
        <v>62</v>
      </c>
      <c r="AS2833" s="3" t="s">
        <v>62</v>
      </c>
      <c r="AT2833" s="3" t="s">
        <v>62</v>
      </c>
      <c r="AV2833" s="6" t="str">
        <f>HYPERLINK("http://mcgill.on.worldcat.org/oclc/123136580","Catalog Record")</f>
        <v>Catalog Record</v>
      </c>
      <c r="AW2833" s="6" t="str">
        <f>HYPERLINK("http://www.worldcat.org/oclc/123136580","WorldCat Record")</f>
        <v>WorldCat Record</v>
      </c>
      <c r="AX2833" s="3" t="s">
        <v>27839</v>
      </c>
      <c r="AY2833" s="3" t="s">
        <v>27840</v>
      </c>
      <c r="AZ2833" s="3" t="s">
        <v>27841</v>
      </c>
      <c r="BA2833" s="3" t="s">
        <v>27841</v>
      </c>
      <c r="BB2833" s="3" t="s">
        <v>27842</v>
      </c>
      <c r="BC2833" s="3" t="s">
        <v>142</v>
      </c>
      <c r="BD2833" s="3" t="s">
        <v>308</v>
      </c>
      <c r="BE2833" s="3" t="s">
        <v>27843</v>
      </c>
      <c r="BF2833" s="3" t="s">
        <v>27842</v>
      </c>
      <c r="BG2833" s="3" t="s">
        <v>27844</v>
      </c>
    </row>
    <row r="2834" spans="1:59" ht="57" x14ac:dyDescent="0.45">
      <c r="A2834" s="2" t="s">
        <v>59</v>
      </c>
      <c r="B2834" s="2" t="s">
        <v>60</v>
      </c>
      <c r="C2834" s="2" t="s">
        <v>27845</v>
      </c>
      <c r="D2834" s="2" t="s">
        <v>27846</v>
      </c>
      <c r="E2834" s="2" t="s">
        <v>27847</v>
      </c>
      <c r="G2834" s="3" t="s">
        <v>62</v>
      </c>
      <c r="I2834" s="3" t="s">
        <v>62</v>
      </c>
      <c r="J2834" s="3" t="s">
        <v>62</v>
      </c>
      <c r="K2834" s="3" t="s">
        <v>63</v>
      </c>
      <c r="L2834" s="2" t="s">
        <v>27848</v>
      </c>
      <c r="M2834" s="2" t="s">
        <v>27849</v>
      </c>
      <c r="N2834" s="3" t="s">
        <v>149</v>
      </c>
      <c r="P2834" s="3" t="s">
        <v>65</v>
      </c>
      <c r="R2834" s="3" t="s">
        <v>66</v>
      </c>
      <c r="S2834" s="4">
        <v>1</v>
      </c>
      <c r="T2834" s="4">
        <v>1</v>
      </c>
      <c r="U2834" s="5" t="s">
        <v>15989</v>
      </c>
      <c r="V2834" s="5" t="s">
        <v>15989</v>
      </c>
      <c r="W2834" s="5" t="s">
        <v>67</v>
      </c>
      <c r="X2834" s="5" t="s">
        <v>67</v>
      </c>
      <c r="Y2834" s="4">
        <v>333</v>
      </c>
      <c r="Z2834" s="4">
        <v>28</v>
      </c>
      <c r="AA2834" s="4">
        <v>31</v>
      </c>
      <c r="AB2834" s="4">
        <v>2</v>
      </c>
      <c r="AC2834" s="4">
        <v>5</v>
      </c>
      <c r="AD2834" s="4">
        <v>89</v>
      </c>
      <c r="AE2834" s="4">
        <v>90</v>
      </c>
      <c r="AF2834" s="4">
        <v>1</v>
      </c>
      <c r="AG2834" s="4">
        <v>2</v>
      </c>
      <c r="AH2834" s="4">
        <v>76</v>
      </c>
      <c r="AI2834" s="4">
        <v>77</v>
      </c>
      <c r="AJ2834" s="4">
        <v>16</v>
      </c>
      <c r="AK2834" s="4">
        <v>17</v>
      </c>
      <c r="AL2834" s="4">
        <v>42</v>
      </c>
      <c r="AM2834" s="4">
        <v>42</v>
      </c>
      <c r="AN2834" s="4">
        <v>0</v>
      </c>
      <c r="AO2834" s="4">
        <v>0</v>
      </c>
      <c r="AP2834" s="4">
        <v>22</v>
      </c>
      <c r="AQ2834" s="4">
        <v>23</v>
      </c>
      <c r="AR2834" s="3" t="s">
        <v>62</v>
      </c>
      <c r="AS2834" s="3" t="s">
        <v>62</v>
      </c>
      <c r="AT2834" s="3" t="s">
        <v>62</v>
      </c>
      <c r="AV2834" s="6" t="str">
        <f>HYPERLINK("http://mcgill.on.worldcat.org/oclc/573196842","Catalog Record")</f>
        <v>Catalog Record</v>
      </c>
      <c r="AW2834" s="6" t="str">
        <f>HYPERLINK("http://www.worldcat.org/oclc/573196842","WorldCat Record")</f>
        <v>WorldCat Record</v>
      </c>
      <c r="AX2834" s="3" t="s">
        <v>27850</v>
      </c>
      <c r="AY2834" s="3" t="s">
        <v>27851</v>
      </c>
      <c r="AZ2834" s="3" t="s">
        <v>27852</v>
      </c>
      <c r="BA2834" s="3" t="s">
        <v>27852</v>
      </c>
      <c r="BB2834" s="3" t="s">
        <v>27853</v>
      </c>
      <c r="BC2834" s="3" t="s">
        <v>142</v>
      </c>
      <c r="BD2834" s="3" t="s">
        <v>68</v>
      </c>
      <c r="BE2834" s="3" t="s">
        <v>27854</v>
      </c>
      <c r="BF2834" s="3" t="s">
        <v>27853</v>
      </c>
      <c r="BG2834" s="3" t="s">
        <v>27855</v>
      </c>
    </row>
    <row r="2835" spans="1:59" ht="57" x14ac:dyDescent="0.45">
      <c r="A2835" s="2" t="s">
        <v>59</v>
      </c>
      <c r="B2835" s="2" t="s">
        <v>60</v>
      </c>
      <c r="C2835" s="2" t="s">
        <v>27856</v>
      </c>
      <c r="D2835" s="2" t="s">
        <v>27857</v>
      </c>
      <c r="E2835" s="2" t="s">
        <v>27858</v>
      </c>
      <c r="G2835" s="3" t="s">
        <v>62</v>
      </c>
      <c r="I2835" s="3" t="s">
        <v>62</v>
      </c>
      <c r="J2835" s="3" t="s">
        <v>62</v>
      </c>
      <c r="K2835" s="3" t="s">
        <v>63</v>
      </c>
      <c r="M2835" s="2" t="s">
        <v>27859</v>
      </c>
      <c r="N2835" s="3" t="s">
        <v>1155</v>
      </c>
      <c r="P2835" s="3" t="s">
        <v>65</v>
      </c>
      <c r="R2835" s="3" t="s">
        <v>66</v>
      </c>
      <c r="S2835" s="4">
        <v>8</v>
      </c>
      <c r="T2835" s="4">
        <v>8</v>
      </c>
      <c r="U2835" s="5" t="s">
        <v>25835</v>
      </c>
      <c r="V2835" s="5" t="s">
        <v>25835</v>
      </c>
      <c r="W2835" s="5" t="s">
        <v>67</v>
      </c>
      <c r="X2835" s="5" t="s">
        <v>67</v>
      </c>
      <c r="Y2835" s="4">
        <v>155</v>
      </c>
      <c r="Z2835" s="4">
        <v>15</v>
      </c>
      <c r="AA2835" s="4">
        <v>48</v>
      </c>
      <c r="AB2835" s="4">
        <v>1</v>
      </c>
      <c r="AC2835" s="4">
        <v>3</v>
      </c>
      <c r="AD2835" s="4">
        <v>56</v>
      </c>
      <c r="AE2835" s="4">
        <v>72</v>
      </c>
      <c r="AF2835" s="4">
        <v>0</v>
      </c>
      <c r="AG2835" s="4">
        <v>0</v>
      </c>
      <c r="AH2835" s="4">
        <v>53</v>
      </c>
      <c r="AI2835" s="4">
        <v>58</v>
      </c>
      <c r="AJ2835" s="4">
        <v>11</v>
      </c>
      <c r="AK2835" s="4">
        <v>15</v>
      </c>
      <c r="AL2835" s="4">
        <v>30</v>
      </c>
      <c r="AM2835" s="4">
        <v>36</v>
      </c>
      <c r="AN2835" s="4">
        <v>0</v>
      </c>
      <c r="AO2835" s="4">
        <v>0</v>
      </c>
      <c r="AP2835" s="4">
        <v>12</v>
      </c>
      <c r="AQ2835" s="4">
        <v>21</v>
      </c>
      <c r="AR2835" s="3" t="s">
        <v>62</v>
      </c>
      <c r="AS2835" s="3" t="s">
        <v>62</v>
      </c>
      <c r="AT2835" s="3" t="s">
        <v>62</v>
      </c>
      <c r="AV2835" s="6" t="str">
        <f>HYPERLINK("http://mcgill.on.worldcat.org/oclc/781848503","Catalog Record")</f>
        <v>Catalog Record</v>
      </c>
      <c r="AW2835" s="6" t="str">
        <f>HYPERLINK("http://www.worldcat.org/oclc/781848503","WorldCat Record")</f>
        <v>WorldCat Record</v>
      </c>
      <c r="AX2835" s="3" t="s">
        <v>27860</v>
      </c>
      <c r="AY2835" s="3" t="s">
        <v>27861</v>
      </c>
      <c r="AZ2835" s="3" t="s">
        <v>27862</v>
      </c>
      <c r="BA2835" s="3" t="s">
        <v>27862</v>
      </c>
      <c r="BB2835" s="3" t="s">
        <v>27863</v>
      </c>
      <c r="BC2835" s="3" t="s">
        <v>142</v>
      </c>
      <c r="BD2835" s="3" t="s">
        <v>68</v>
      </c>
      <c r="BE2835" s="3" t="s">
        <v>27864</v>
      </c>
      <c r="BF2835" s="3" t="s">
        <v>27863</v>
      </c>
      <c r="BG2835" s="3" t="s">
        <v>27865</v>
      </c>
    </row>
    <row r="2836" spans="1:59" ht="71.25" x14ac:dyDescent="0.45">
      <c r="A2836" s="2" t="s">
        <v>59</v>
      </c>
      <c r="B2836" s="2" t="s">
        <v>60</v>
      </c>
      <c r="C2836" s="2" t="s">
        <v>27866</v>
      </c>
      <c r="D2836" s="2" t="s">
        <v>27867</v>
      </c>
      <c r="E2836" s="2" t="s">
        <v>27868</v>
      </c>
      <c r="G2836" s="3" t="s">
        <v>62</v>
      </c>
      <c r="I2836" s="3" t="s">
        <v>62</v>
      </c>
      <c r="J2836" s="3" t="s">
        <v>62</v>
      </c>
      <c r="K2836" s="3" t="s">
        <v>63</v>
      </c>
      <c r="L2836" s="2" t="s">
        <v>27869</v>
      </c>
      <c r="M2836" s="2" t="s">
        <v>27870</v>
      </c>
      <c r="N2836" s="3" t="s">
        <v>894</v>
      </c>
      <c r="P2836" s="3" t="s">
        <v>65</v>
      </c>
      <c r="R2836" s="3" t="s">
        <v>66</v>
      </c>
      <c r="S2836" s="4">
        <v>17</v>
      </c>
      <c r="T2836" s="4">
        <v>17</v>
      </c>
      <c r="U2836" s="5" t="s">
        <v>4106</v>
      </c>
      <c r="V2836" s="5" t="s">
        <v>4106</v>
      </c>
      <c r="W2836" s="5" t="s">
        <v>67</v>
      </c>
      <c r="X2836" s="5" t="s">
        <v>67</v>
      </c>
      <c r="Y2836" s="4">
        <v>522</v>
      </c>
      <c r="Z2836" s="4">
        <v>33</v>
      </c>
      <c r="AA2836" s="4">
        <v>93</v>
      </c>
      <c r="AB2836" s="4">
        <v>2</v>
      </c>
      <c r="AC2836" s="4">
        <v>16</v>
      </c>
      <c r="AD2836" s="4">
        <v>110</v>
      </c>
      <c r="AE2836" s="4">
        <v>145</v>
      </c>
      <c r="AF2836" s="4">
        <v>1</v>
      </c>
      <c r="AG2836" s="4">
        <v>8</v>
      </c>
      <c r="AH2836" s="4">
        <v>95</v>
      </c>
      <c r="AI2836" s="4">
        <v>105</v>
      </c>
      <c r="AJ2836" s="4">
        <v>16</v>
      </c>
      <c r="AK2836" s="4">
        <v>25</v>
      </c>
      <c r="AL2836" s="4">
        <v>51</v>
      </c>
      <c r="AM2836" s="4">
        <v>55</v>
      </c>
      <c r="AN2836" s="4">
        <v>0</v>
      </c>
      <c r="AO2836" s="4">
        <v>0</v>
      </c>
      <c r="AP2836" s="4">
        <v>24</v>
      </c>
      <c r="AQ2836" s="4">
        <v>49</v>
      </c>
      <c r="AR2836" s="3" t="s">
        <v>62</v>
      </c>
      <c r="AS2836" s="3" t="s">
        <v>62</v>
      </c>
      <c r="AT2836" s="3" t="s">
        <v>62</v>
      </c>
      <c r="AV2836" s="6" t="str">
        <f>HYPERLINK("http://mcgill.on.worldcat.org/oclc/632133135","Catalog Record")</f>
        <v>Catalog Record</v>
      </c>
      <c r="AW2836" s="6" t="str">
        <f>HYPERLINK("http://www.worldcat.org/oclc/632133135","WorldCat Record")</f>
        <v>WorldCat Record</v>
      </c>
      <c r="AX2836" s="3" t="s">
        <v>27871</v>
      </c>
      <c r="AY2836" s="3" t="s">
        <v>27872</v>
      </c>
      <c r="AZ2836" s="3" t="s">
        <v>27873</v>
      </c>
      <c r="BA2836" s="3" t="s">
        <v>27873</v>
      </c>
      <c r="BB2836" s="3" t="s">
        <v>27874</v>
      </c>
      <c r="BC2836" s="3" t="s">
        <v>142</v>
      </c>
      <c r="BD2836" s="3" t="s">
        <v>68</v>
      </c>
      <c r="BE2836" s="3" t="s">
        <v>27875</v>
      </c>
      <c r="BF2836" s="3" t="s">
        <v>27874</v>
      </c>
      <c r="BG2836" s="3" t="s">
        <v>27876</v>
      </c>
    </row>
    <row r="2837" spans="1:59" ht="57" x14ac:dyDescent="0.45">
      <c r="A2837" s="2" t="s">
        <v>59</v>
      </c>
      <c r="B2837" s="2" t="s">
        <v>60</v>
      </c>
      <c r="C2837" s="2" t="s">
        <v>27877</v>
      </c>
      <c r="D2837" s="2" t="s">
        <v>27878</v>
      </c>
      <c r="E2837" s="2" t="s">
        <v>27879</v>
      </c>
      <c r="G2837" s="3" t="s">
        <v>62</v>
      </c>
      <c r="I2837" s="3" t="s">
        <v>62</v>
      </c>
      <c r="J2837" s="3" t="s">
        <v>62</v>
      </c>
      <c r="K2837" s="3" t="s">
        <v>63</v>
      </c>
      <c r="M2837" s="2" t="s">
        <v>27880</v>
      </c>
      <c r="N2837" s="3" t="s">
        <v>116</v>
      </c>
      <c r="P2837" s="3" t="s">
        <v>65</v>
      </c>
      <c r="Q2837" s="2" t="s">
        <v>22034</v>
      </c>
      <c r="R2837" s="3" t="s">
        <v>66</v>
      </c>
      <c r="S2837" s="4">
        <v>9</v>
      </c>
      <c r="T2837" s="4">
        <v>9</v>
      </c>
      <c r="U2837" s="5" t="s">
        <v>128</v>
      </c>
      <c r="V2837" s="5" t="s">
        <v>128</v>
      </c>
      <c r="W2837" s="5" t="s">
        <v>67</v>
      </c>
      <c r="X2837" s="5" t="s">
        <v>67</v>
      </c>
      <c r="Y2837" s="4">
        <v>164</v>
      </c>
      <c r="Z2837" s="4">
        <v>17</v>
      </c>
      <c r="AA2837" s="4">
        <v>88</v>
      </c>
      <c r="AB2837" s="4">
        <v>2</v>
      </c>
      <c r="AC2837" s="4">
        <v>14</v>
      </c>
      <c r="AD2837" s="4">
        <v>50</v>
      </c>
      <c r="AE2837" s="4">
        <v>122</v>
      </c>
      <c r="AF2837" s="4">
        <v>1</v>
      </c>
      <c r="AG2837" s="4">
        <v>8</v>
      </c>
      <c r="AH2837" s="4">
        <v>43</v>
      </c>
      <c r="AI2837" s="4">
        <v>84</v>
      </c>
      <c r="AJ2837" s="4">
        <v>9</v>
      </c>
      <c r="AK2837" s="4">
        <v>24</v>
      </c>
      <c r="AL2837" s="4">
        <v>28</v>
      </c>
      <c r="AM2837" s="4">
        <v>44</v>
      </c>
      <c r="AN2837" s="4">
        <v>0</v>
      </c>
      <c r="AO2837" s="4">
        <v>0</v>
      </c>
      <c r="AP2837" s="4">
        <v>11</v>
      </c>
      <c r="AQ2837" s="4">
        <v>47</v>
      </c>
      <c r="AR2837" s="3" t="s">
        <v>62</v>
      </c>
      <c r="AS2837" s="3" t="s">
        <v>62</v>
      </c>
      <c r="AT2837" s="3" t="s">
        <v>62</v>
      </c>
      <c r="AV2837" s="6" t="str">
        <f>HYPERLINK("http://mcgill.on.worldcat.org/oclc/825099930","Catalog Record")</f>
        <v>Catalog Record</v>
      </c>
      <c r="AW2837" s="6" t="str">
        <f>HYPERLINK("http://www.worldcat.org/oclc/825099930","WorldCat Record")</f>
        <v>WorldCat Record</v>
      </c>
      <c r="AX2837" s="3" t="s">
        <v>27881</v>
      </c>
      <c r="AY2837" s="3" t="s">
        <v>27882</v>
      </c>
      <c r="AZ2837" s="3" t="s">
        <v>27883</v>
      </c>
      <c r="BA2837" s="3" t="s">
        <v>27883</v>
      </c>
      <c r="BB2837" s="3" t="s">
        <v>27884</v>
      </c>
      <c r="BC2837" s="3" t="s">
        <v>142</v>
      </c>
      <c r="BD2837" s="3" t="s">
        <v>308</v>
      </c>
      <c r="BE2837" s="3" t="s">
        <v>27885</v>
      </c>
      <c r="BF2837" s="3" t="s">
        <v>27884</v>
      </c>
      <c r="BG2837" s="3" t="s">
        <v>27886</v>
      </c>
    </row>
    <row r="2838" spans="1:59" ht="57" x14ac:dyDescent="0.45">
      <c r="A2838" s="2" t="s">
        <v>59</v>
      </c>
      <c r="B2838" s="2" t="s">
        <v>60</v>
      </c>
      <c r="C2838" s="2" t="s">
        <v>27887</v>
      </c>
      <c r="D2838" s="2" t="s">
        <v>27888</v>
      </c>
      <c r="E2838" s="2" t="s">
        <v>27889</v>
      </c>
      <c r="G2838" s="3" t="s">
        <v>62</v>
      </c>
      <c r="I2838" s="3" t="s">
        <v>62</v>
      </c>
      <c r="J2838" s="3" t="s">
        <v>62</v>
      </c>
      <c r="K2838" s="3" t="s">
        <v>63</v>
      </c>
      <c r="L2838" s="2" t="s">
        <v>27890</v>
      </c>
      <c r="M2838" s="2" t="s">
        <v>9755</v>
      </c>
      <c r="N2838" s="3" t="s">
        <v>1155</v>
      </c>
      <c r="P2838" s="3" t="s">
        <v>65</v>
      </c>
      <c r="Q2838" s="2" t="s">
        <v>23695</v>
      </c>
      <c r="R2838" s="3" t="s">
        <v>66</v>
      </c>
      <c r="S2838" s="4">
        <v>6</v>
      </c>
      <c r="T2838" s="4">
        <v>6</v>
      </c>
      <c r="U2838" s="5" t="s">
        <v>14145</v>
      </c>
      <c r="V2838" s="5" t="s">
        <v>14145</v>
      </c>
      <c r="W2838" s="5" t="s">
        <v>67</v>
      </c>
      <c r="X2838" s="5" t="s">
        <v>67</v>
      </c>
      <c r="Y2838" s="4">
        <v>162</v>
      </c>
      <c r="Z2838" s="4">
        <v>21</v>
      </c>
      <c r="AA2838" s="4">
        <v>82</v>
      </c>
      <c r="AB2838" s="4">
        <v>2</v>
      </c>
      <c r="AC2838" s="4">
        <v>15</v>
      </c>
      <c r="AD2838" s="4">
        <v>62</v>
      </c>
      <c r="AE2838" s="4">
        <v>123</v>
      </c>
      <c r="AF2838" s="4">
        <v>1</v>
      </c>
      <c r="AG2838" s="4">
        <v>8</v>
      </c>
      <c r="AH2838" s="4">
        <v>56</v>
      </c>
      <c r="AI2838" s="4">
        <v>89</v>
      </c>
      <c r="AJ2838" s="4">
        <v>12</v>
      </c>
      <c r="AK2838" s="4">
        <v>23</v>
      </c>
      <c r="AL2838" s="4">
        <v>33</v>
      </c>
      <c r="AM2838" s="4">
        <v>45</v>
      </c>
      <c r="AN2838" s="4">
        <v>0</v>
      </c>
      <c r="AO2838" s="4">
        <v>0</v>
      </c>
      <c r="AP2838" s="4">
        <v>14</v>
      </c>
      <c r="AQ2838" s="4">
        <v>43</v>
      </c>
      <c r="AR2838" s="3" t="s">
        <v>62</v>
      </c>
      <c r="AS2838" s="3" t="s">
        <v>62</v>
      </c>
      <c r="AT2838" s="3" t="s">
        <v>62</v>
      </c>
      <c r="AV2838" s="6" t="str">
        <f>HYPERLINK("http://mcgill.on.worldcat.org/oclc/741542051","Catalog Record")</f>
        <v>Catalog Record</v>
      </c>
      <c r="AW2838" s="6" t="str">
        <f>HYPERLINK("http://www.worldcat.org/oclc/741542051","WorldCat Record")</f>
        <v>WorldCat Record</v>
      </c>
      <c r="AX2838" s="3" t="s">
        <v>27891</v>
      </c>
      <c r="AY2838" s="3" t="s">
        <v>27892</v>
      </c>
      <c r="AZ2838" s="3" t="s">
        <v>27893</v>
      </c>
      <c r="BA2838" s="3" t="s">
        <v>27893</v>
      </c>
      <c r="BB2838" s="3" t="s">
        <v>27894</v>
      </c>
      <c r="BC2838" s="3" t="s">
        <v>142</v>
      </c>
      <c r="BD2838" s="3" t="s">
        <v>308</v>
      </c>
      <c r="BE2838" s="3" t="s">
        <v>27895</v>
      </c>
      <c r="BF2838" s="3" t="s">
        <v>27894</v>
      </c>
      <c r="BG2838" s="3" t="s">
        <v>27896</v>
      </c>
    </row>
    <row r="2839" spans="1:59" ht="71.25" x14ac:dyDescent="0.45">
      <c r="A2839" s="2" t="s">
        <v>59</v>
      </c>
      <c r="B2839" s="2" t="s">
        <v>60</v>
      </c>
      <c r="C2839" s="2" t="s">
        <v>27897</v>
      </c>
      <c r="D2839" s="2" t="s">
        <v>27898</v>
      </c>
      <c r="E2839" s="2" t="s">
        <v>27899</v>
      </c>
      <c r="F2839" s="3" t="s">
        <v>90</v>
      </c>
      <c r="G2839" s="3" t="s">
        <v>61</v>
      </c>
      <c r="I2839" s="3" t="s">
        <v>62</v>
      </c>
      <c r="J2839" s="3" t="s">
        <v>62</v>
      </c>
      <c r="K2839" s="3" t="s">
        <v>63</v>
      </c>
      <c r="M2839" s="2" t="s">
        <v>4009</v>
      </c>
      <c r="N2839" s="3" t="s">
        <v>149</v>
      </c>
      <c r="P2839" s="3" t="s">
        <v>65</v>
      </c>
      <c r="Q2839" s="2" t="s">
        <v>26824</v>
      </c>
      <c r="R2839" s="3" t="s">
        <v>66</v>
      </c>
      <c r="S2839" s="4">
        <v>0</v>
      </c>
      <c r="T2839" s="4">
        <v>5</v>
      </c>
      <c r="V2839" s="5" t="s">
        <v>27900</v>
      </c>
      <c r="W2839" s="5" t="s">
        <v>67</v>
      </c>
      <c r="X2839" s="5" t="s">
        <v>67</v>
      </c>
      <c r="Y2839" s="4">
        <v>90</v>
      </c>
      <c r="Z2839" s="4">
        <v>10</v>
      </c>
      <c r="AA2839" s="4">
        <v>13</v>
      </c>
      <c r="AB2839" s="4">
        <v>1</v>
      </c>
      <c r="AC2839" s="4">
        <v>4</v>
      </c>
      <c r="AD2839" s="4">
        <v>33</v>
      </c>
      <c r="AE2839" s="4">
        <v>36</v>
      </c>
      <c r="AF2839" s="4">
        <v>0</v>
      </c>
      <c r="AG2839" s="4">
        <v>3</v>
      </c>
      <c r="AH2839" s="4">
        <v>27</v>
      </c>
      <c r="AI2839" s="4">
        <v>28</v>
      </c>
      <c r="AJ2839" s="4">
        <v>6</v>
      </c>
      <c r="AK2839" s="4">
        <v>8</v>
      </c>
      <c r="AL2839" s="4">
        <v>18</v>
      </c>
      <c r="AM2839" s="4">
        <v>18</v>
      </c>
      <c r="AN2839" s="4">
        <v>0</v>
      </c>
      <c r="AO2839" s="4">
        <v>0</v>
      </c>
      <c r="AP2839" s="4">
        <v>8</v>
      </c>
      <c r="AQ2839" s="4">
        <v>11</v>
      </c>
      <c r="AR2839" s="3" t="s">
        <v>62</v>
      </c>
      <c r="AS2839" s="3" t="s">
        <v>62</v>
      </c>
      <c r="AT2839" s="3" t="s">
        <v>61</v>
      </c>
      <c r="AU2839" s="6" t="str">
        <f>HYPERLINK("http://catalog.hathitrust.org/Record/010616613","HathiTrust Record")</f>
        <v>HathiTrust Record</v>
      </c>
      <c r="AV2839" s="6" t="str">
        <f>HYPERLINK("http://mcgill.on.worldcat.org/oclc/424554619","Catalog Record")</f>
        <v>Catalog Record</v>
      </c>
      <c r="AW2839" s="6" t="str">
        <f>HYPERLINK("http://www.worldcat.org/oclc/424554619","WorldCat Record")</f>
        <v>WorldCat Record</v>
      </c>
      <c r="AX2839" s="3" t="s">
        <v>27901</v>
      </c>
      <c r="AY2839" s="3" t="s">
        <v>27902</v>
      </c>
      <c r="AZ2839" s="3" t="s">
        <v>27903</v>
      </c>
      <c r="BA2839" s="3" t="s">
        <v>27903</v>
      </c>
      <c r="BB2839" s="3" t="s">
        <v>27904</v>
      </c>
      <c r="BC2839" s="3" t="s">
        <v>142</v>
      </c>
      <c r="BD2839" s="3" t="s">
        <v>68</v>
      </c>
      <c r="BE2839" s="3" t="s">
        <v>27905</v>
      </c>
      <c r="BF2839" s="3" t="s">
        <v>27904</v>
      </c>
      <c r="BG2839" s="3" t="s">
        <v>27906</v>
      </c>
    </row>
    <row r="2840" spans="1:59" ht="71.25" x14ac:dyDescent="0.45">
      <c r="A2840" s="2" t="s">
        <v>59</v>
      </c>
      <c r="B2840" s="2" t="s">
        <v>60</v>
      </c>
      <c r="C2840" s="2" t="s">
        <v>27897</v>
      </c>
      <c r="D2840" s="2" t="s">
        <v>27898</v>
      </c>
      <c r="E2840" s="2" t="s">
        <v>27899</v>
      </c>
      <c r="F2840" s="3" t="s">
        <v>87</v>
      </c>
      <c r="G2840" s="3" t="s">
        <v>61</v>
      </c>
      <c r="I2840" s="3" t="s">
        <v>62</v>
      </c>
      <c r="J2840" s="3" t="s">
        <v>62</v>
      </c>
      <c r="K2840" s="3" t="s">
        <v>63</v>
      </c>
      <c r="M2840" s="2" t="s">
        <v>4009</v>
      </c>
      <c r="N2840" s="3" t="s">
        <v>149</v>
      </c>
      <c r="P2840" s="3" t="s">
        <v>65</v>
      </c>
      <c r="Q2840" s="2" t="s">
        <v>26824</v>
      </c>
      <c r="R2840" s="3" t="s">
        <v>66</v>
      </c>
      <c r="S2840" s="4">
        <v>5</v>
      </c>
      <c r="T2840" s="4">
        <v>5</v>
      </c>
      <c r="U2840" s="5" t="s">
        <v>27900</v>
      </c>
      <c r="V2840" s="5" t="s">
        <v>27900</v>
      </c>
      <c r="W2840" s="5" t="s">
        <v>67</v>
      </c>
      <c r="X2840" s="5" t="s">
        <v>67</v>
      </c>
      <c r="Y2840" s="4">
        <v>90</v>
      </c>
      <c r="Z2840" s="4">
        <v>10</v>
      </c>
      <c r="AA2840" s="4">
        <v>13</v>
      </c>
      <c r="AB2840" s="4">
        <v>1</v>
      </c>
      <c r="AC2840" s="4">
        <v>4</v>
      </c>
      <c r="AD2840" s="4">
        <v>33</v>
      </c>
      <c r="AE2840" s="4">
        <v>36</v>
      </c>
      <c r="AF2840" s="4">
        <v>0</v>
      </c>
      <c r="AG2840" s="4">
        <v>3</v>
      </c>
      <c r="AH2840" s="4">
        <v>27</v>
      </c>
      <c r="AI2840" s="4">
        <v>28</v>
      </c>
      <c r="AJ2840" s="4">
        <v>6</v>
      </c>
      <c r="AK2840" s="4">
        <v>8</v>
      </c>
      <c r="AL2840" s="4">
        <v>18</v>
      </c>
      <c r="AM2840" s="4">
        <v>18</v>
      </c>
      <c r="AN2840" s="4">
        <v>0</v>
      </c>
      <c r="AO2840" s="4">
        <v>0</v>
      </c>
      <c r="AP2840" s="4">
        <v>8</v>
      </c>
      <c r="AQ2840" s="4">
        <v>11</v>
      </c>
      <c r="AR2840" s="3" t="s">
        <v>62</v>
      </c>
      <c r="AS2840" s="3" t="s">
        <v>62</v>
      </c>
      <c r="AT2840" s="3" t="s">
        <v>61</v>
      </c>
      <c r="AU2840" s="6" t="str">
        <f>HYPERLINK("http://catalog.hathitrust.org/Record/010616613","HathiTrust Record")</f>
        <v>HathiTrust Record</v>
      </c>
      <c r="AV2840" s="6" t="str">
        <f>HYPERLINK("http://mcgill.on.worldcat.org/oclc/424554619","Catalog Record")</f>
        <v>Catalog Record</v>
      </c>
      <c r="AW2840" s="6" t="str">
        <f>HYPERLINK("http://www.worldcat.org/oclc/424554619","WorldCat Record")</f>
        <v>WorldCat Record</v>
      </c>
      <c r="AX2840" s="3" t="s">
        <v>27901</v>
      </c>
      <c r="AY2840" s="3" t="s">
        <v>27902</v>
      </c>
      <c r="AZ2840" s="3" t="s">
        <v>27903</v>
      </c>
      <c r="BA2840" s="3" t="s">
        <v>27903</v>
      </c>
      <c r="BB2840" s="3" t="s">
        <v>27907</v>
      </c>
      <c r="BC2840" s="3" t="s">
        <v>142</v>
      </c>
      <c r="BD2840" s="3" t="s">
        <v>308</v>
      </c>
      <c r="BE2840" s="3" t="s">
        <v>27905</v>
      </c>
      <c r="BF2840" s="3" t="s">
        <v>27907</v>
      </c>
      <c r="BG2840" s="3" t="s">
        <v>27908</v>
      </c>
    </row>
    <row r="2841" spans="1:59" ht="71.25" x14ac:dyDescent="0.45">
      <c r="A2841" s="2" t="s">
        <v>59</v>
      </c>
      <c r="B2841" s="2" t="s">
        <v>60</v>
      </c>
      <c r="C2841" s="2" t="s">
        <v>27909</v>
      </c>
      <c r="D2841" s="2" t="s">
        <v>27910</v>
      </c>
      <c r="E2841" s="2" t="s">
        <v>27911</v>
      </c>
      <c r="G2841" s="3" t="s">
        <v>62</v>
      </c>
      <c r="I2841" s="3" t="s">
        <v>62</v>
      </c>
      <c r="J2841" s="3" t="s">
        <v>62</v>
      </c>
      <c r="K2841" s="3" t="s">
        <v>63</v>
      </c>
      <c r="L2841" s="2" t="s">
        <v>27912</v>
      </c>
      <c r="M2841" s="2" t="s">
        <v>27913</v>
      </c>
      <c r="N2841" s="3" t="s">
        <v>149</v>
      </c>
      <c r="P2841" s="3" t="s">
        <v>65</v>
      </c>
      <c r="Q2841" s="2" t="s">
        <v>27914</v>
      </c>
      <c r="R2841" s="3" t="s">
        <v>66</v>
      </c>
      <c r="S2841" s="4">
        <v>8</v>
      </c>
      <c r="T2841" s="4">
        <v>8</v>
      </c>
      <c r="U2841" s="5" t="s">
        <v>2331</v>
      </c>
      <c r="V2841" s="5" t="s">
        <v>2331</v>
      </c>
      <c r="W2841" s="5" t="s">
        <v>67</v>
      </c>
      <c r="X2841" s="5" t="s">
        <v>67</v>
      </c>
      <c r="Y2841" s="4">
        <v>137</v>
      </c>
      <c r="Z2841" s="4">
        <v>11</v>
      </c>
      <c r="AA2841" s="4">
        <v>22</v>
      </c>
      <c r="AB2841" s="4">
        <v>1</v>
      </c>
      <c r="AC2841" s="4">
        <v>5</v>
      </c>
      <c r="AD2841" s="4">
        <v>60</v>
      </c>
      <c r="AE2841" s="4">
        <v>76</v>
      </c>
      <c r="AF2841" s="4">
        <v>0</v>
      </c>
      <c r="AG2841" s="4">
        <v>1</v>
      </c>
      <c r="AH2841" s="4">
        <v>57</v>
      </c>
      <c r="AI2841" s="4">
        <v>68</v>
      </c>
      <c r="AJ2841" s="4">
        <v>8</v>
      </c>
      <c r="AK2841" s="4">
        <v>12</v>
      </c>
      <c r="AL2841" s="4">
        <v>35</v>
      </c>
      <c r="AM2841" s="4">
        <v>41</v>
      </c>
      <c r="AN2841" s="4">
        <v>0</v>
      </c>
      <c r="AO2841" s="4">
        <v>0</v>
      </c>
      <c r="AP2841" s="4">
        <v>8</v>
      </c>
      <c r="AQ2841" s="4">
        <v>12</v>
      </c>
      <c r="AR2841" s="3" t="s">
        <v>62</v>
      </c>
      <c r="AS2841" s="3" t="s">
        <v>62</v>
      </c>
      <c r="AT2841" s="3" t="s">
        <v>62</v>
      </c>
      <c r="AV2841" s="6" t="str">
        <f>HYPERLINK("http://mcgill.on.worldcat.org/oclc/610206195","Catalog Record")</f>
        <v>Catalog Record</v>
      </c>
      <c r="AW2841" s="6" t="str">
        <f>HYPERLINK("http://www.worldcat.org/oclc/610206195","WorldCat Record")</f>
        <v>WorldCat Record</v>
      </c>
      <c r="AX2841" s="3" t="s">
        <v>27915</v>
      </c>
      <c r="AY2841" s="3" t="s">
        <v>27916</v>
      </c>
      <c r="AZ2841" s="3" t="s">
        <v>27917</v>
      </c>
      <c r="BA2841" s="3" t="s">
        <v>27917</v>
      </c>
      <c r="BB2841" s="3" t="s">
        <v>27918</v>
      </c>
      <c r="BC2841" s="3" t="s">
        <v>142</v>
      </c>
      <c r="BD2841" s="3" t="s">
        <v>68</v>
      </c>
      <c r="BE2841" s="3" t="s">
        <v>27919</v>
      </c>
      <c r="BF2841" s="3" t="s">
        <v>27918</v>
      </c>
      <c r="BG2841" s="3" t="s">
        <v>27920</v>
      </c>
    </row>
    <row r="2842" spans="1:59" ht="71.25" x14ac:dyDescent="0.45">
      <c r="A2842" s="2" t="s">
        <v>59</v>
      </c>
      <c r="B2842" s="2" t="s">
        <v>60</v>
      </c>
      <c r="C2842" s="2" t="s">
        <v>27921</v>
      </c>
      <c r="D2842" s="2" t="s">
        <v>27922</v>
      </c>
      <c r="E2842" s="2" t="s">
        <v>27923</v>
      </c>
      <c r="G2842" s="3" t="s">
        <v>62</v>
      </c>
      <c r="I2842" s="3" t="s">
        <v>62</v>
      </c>
      <c r="J2842" s="3" t="s">
        <v>62</v>
      </c>
      <c r="K2842" s="3" t="s">
        <v>63</v>
      </c>
      <c r="M2842" s="2" t="s">
        <v>27924</v>
      </c>
      <c r="N2842" s="3" t="s">
        <v>1478</v>
      </c>
      <c r="P2842" s="3" t="s">
        <v>65</v>
      </c>
      <c r="Q2842" s="2" t="s">
        <v>27925</v>
      </c>
      <c r="R2842" s="3" t="s">
        <v>66</v>
      </c>
      <c r="S2842" s="4">
        <v>31</v>
      </c>
      <c r="T2842" s="4">
        <v>31</v>
      </c>
      <c r="U2842" s="5" t="s">
        <v>27926</v>
      </c>
      <c r="V2842" s="5" t="s">
        <v>27926</v>
      </c>
      <c r="W2842" s="5" t="s">
        <v>67</v>
      </c>
      <c r="X2842" s="5" t="s">
        <v>67</v>
      </c>
      <c r="Y2842" s="4">
        <v>214</v>
      </c>
      <c r="Z2842" s="4">
        <v>15</v>
      </c>
      <c r="AA2842" s="4">
        <v>16</v>
      </c>
      <c r="AB2842" s="4">
        <v>2</v>
      </c>
      <c r="AC2842" s="4">
        <v>3</v>
      </c>
      <c r="AD2842" s="4">
        <v>82</v>
      </c>
      <c r="AE2842" s="4">
        <v>83</v>
      </c>
      <c r="AF2842" s="4">
        <v>1</v>
      </c>
      <c r="AG2842" s="4">
        <v>2</v>
      </c>
      <c r="AH2842" s="4">
        <v>75</v>
      </c>
      <c r="AI2842" s="4">
        <v>75</v>
      </c>
      <c r="AJ2842" s="4">
        <v>11</v>
      </c>
      <c r="AK2842" s="4">
        <v>12</v>
      </c>
      <c r="AL2842" s="4">
        <v>42</v>
      </c>
      <c r="AM2842" s="4">
        <v>42</v>
      </c>
      <c r="AN2842" s="4">
        <v>0</v>
      </c>
      <c r="AO2842" s="4">
        <v>0</v>
      </c>
      <c r="AP2842" s="4">
        <v>13</v>
      </c>
      <c r="AQ2842" s="4">
        <v>13</v>
      </c>
      <c r="AR2842" s="3" t="s">
        <v>62</v>
      </c>
      <c r="AS2842" s="3" t="s">
        <v>62</v>
      </c>
      <c r="AT2842" s="3" t="s">
        <v>61</v>
      </c>
      <c r="AU2842" s="6" t="str">
        <f>HYPERLINK("http://catalog.hathitrust.org/Record/003137326","HathiTrust Record")</f>
        <v>HathiTrust Record</v>
      </c>
      <c r="AV2842" s="6" t="str">
        <f>HYPERLINK("http://mcgill.on.worldcat.org/oclc/33898387","Catalog Record")</f>
        <v>Catalog Record</v>
      </c>
      <c r="AW2842" s="6" t="str">
        <f>HYPERLINK("http://www.worldcat.org/oclc/33898387","WorldCat Record")</f>
        <v>WorldCat Record</v>
      </c>
      <c r="AX2842" s="3" t="s">
        <v>27927</v>
      </c>
      <c r="AY2842" s="3" t="s">
        <v>27928</v>
      </c>
      <c r="AZ2842" s="3" t="s">
        <v>27929</v>
      </c>
      <c r="BA2842" s="3" t="s">
        <v>27929</v>
      </c>
      <c r="BB2842" s="3" t="s">
        <v>27930</v>
      </c>
      <c r="BC2842" s="3" t="s">
        <v>142</v>
      </c>
      <c r="BD2842" s="3" t="s">
        <v>68</v>
      </c>
      <c r="BE2842" s="3" t="s">
        <v>27931</v>
      </c>
      <c r="BF2842" s="3" t="s">
        <v>27930</v>
      </c>
      <c r="BG2842" s="3" t="s">
        <v>27932</v>
      </c>
    </row>
    <row r="2843" spans="1:59" ht="71.25" x14ac:dyDescent="0.45">
      <c r="A2843" s="2" t="s">
        <v>59</v>
      </c>
      <c r="B2843" s="2" t="s">
        <v>60</v>
      </c>
      <c r="C2843" s="2" t="s">
        <v>27933</v>
      </c>
      <c r="D2843" s="2" t="s">
        <v>27934</v>
      </c>
      <c r="E2843" s="2" t="s">
        <v>27935</v>
      </c>
      <c r="G2843" s="3" t="s">
        <v>62</v>
      </c>
      <c r="I2843" s="3" t="s">
        <v>62</v>
      </c>
      <c r="J2843" s="3" t="s">
        <v>62</v>
      </c>
      <c r="K2843" s="3" t="s">
        <v>63</v>
      </c>
      <c r="L2843" s="2" t="s">
        <v>27936</v>
      </c>
      <c r="M2843" s="2" t="s">
        <v>27937</v>
      </c>
      <c r="N2843" s="3" t="s">
        <v>1155</v>
      </c>
      <c r="P2843" s="3" t="s">
        <v>65</v>
      </c>
      <c r="R2843" s="3" t="s">
        <v>66</v>
      </c>
      <c r="S2843" s="4">
        <v>2</v>
      </c>
      <c r="T2843" s="4">
        <v>2</v>
      </c>
      <c r="U2843" s="5" t="s">
        <v>27938</v>
      </c>
      <c r="V2843" s="5" t="s">
        <v>27938</v>
      </c>
      <c r="W2843" s="5" t="s">
        <v>67</v>
      </c>
      <c r="X2843" s="5" t="s">
        <v>67</v>
      </c>
      <c r="Y2843" s="4">
        <v>157</v>
      </c>
      <c r="Z2843" s="4">
        <v>23</v>
      </c>
      <c r="AA2843" s="4">
        <v>97</v>
      </c>
      <c r="AB2843" s="4">
        <v>2</v>
      </c>
      <c r="AC2843" s="4">
        <v>18</v>
      </c>
      <c r="AD2843" s="4">
        <v>65</v>
      </c>
      <c r="AE2843" s="4">
        <v>125</v>
      </c>
      <c r="AF2843" s="4">
        <v>1</v>
      </c>
      <c r="AG2843" s="4">
        <v>8</v>
      </c>
      <c r="AH2843" s="4">
        <v>57</v>
      </c>
      <c r="AI2843" s="4">
        <v>88</v>
      </c>
      <c r="AJ2843" s="4">
        <v>13</v>
      </c>
      <c r="AK2843" s="4">
        <v>25</v>
      </c>
      <c r="AL2843" s="4">
        <v>33</v>
      </c>
      <c r="AM2843" s="4">
        <v>48</v>
      </c>
      <c r="AN2843" s="4">
        <v>0</v>
      </c>
      <c r="AO2843" s="4">
        <v>0</v>
      </c>
      <c r="AP2843" s="4">
        <v>17</v>
      </c>
      <c r="AQ2843" s="4">
        <v>48</v>
      </c>
      <c r="AR2843" s="3" t="s">
        <v>62</v>
      </c>
      <c r="AS2843" s="3" t="s">
        <v>62</v>
      </c>
      <c r="AT2843" s="3" t="s">
        <v>62</v>
      </c>
      <c r="AV2843" s="6" t="str">
        <f>HYPERLINK("http://mcgill.on.worldcat.org/oclc/796392062","Catalog Record")</f>
        <v>Catalog Record</v>
      </c>
      <c r="AW2843" s="6" t="str">
        <f>HYPERLINK("http://www.worldcat.org/oclc/796392062","WorldCat Record")</f>
        <v>WorldCat Record</v>
      </c>
      <c r="AX2843" s="3" t="s">
        <v>27939</v>
      </c>
      <c r="AY2843" s="3" t="s">
        <v>27940</v>
      </c>
      <c r="AZ2843" s="3" t="s">
        <v>27941</v>
      </c>
      <c r="BA2843" s="3" t="s">
        <v>27941</v>
      </c>
      <c r="BB2843" s="3" t="s">
        <v>27942</v>
      </c>
      <c r="BC2843" s="3" t="s">
        <v>142</v>
      </c>
      <c r="BD2843" s="3" t="s">
        <v>68</v>
      </c>
      <c r="BE2843" s="3" t="s">
        <v>27943</v>
      </c>
      <c r="BF2843" s="3" t="s">
        <v>27942</v>
      </c>
      <c r="BG2843" s="3" t="s">
        <v>27944</v>
      </c>
    </row>
    <row r="2844" spans="1:59" ht="57" x14ac:dyDescent="0.45">
      <c r="A2844" s="2" t="s">
        <v>59</v>
      </c>
      <c r="B2844" s="2" t="s">
        <v>60</v>
      </c>
      <c r="C2844" s="2" t="s">
        <v>27945</v>
      </c>
      <c r="D2844" s="2" t="s">
        <v>27946</v>
      </c>
      <c r="E2844" s="2" t="s">
        <v>27947</v>
      </c>
      <c r="G2844" s="3" t="s">
        <v>62</v>
      </c>
      <c r="I2844" s="3" t="s">
        <v>62</v>
      </c>
      <c r="J2844" s="3" t="s">
        <v>62</v>
      </c>
      <c r="K2844" s="3" t="s">
        <v>63</v>
      </c>
      <c r="L2844" s="2" t="s">
        <v>27948</v>
      </c>
      <c r="M2844" s="2" t="s">
        <v>18524</v>
      </c>
      <c r="N2844" s="3" t="s">
        <v>116</v>
      </c>
      <c r="P2844" s="3" t="s">
        <v>65</v>
      </c>
      <c r="R2844" s="3" t="s">
        <v>66</v>
      </c>
      <c r="S2844" s="4">
        <v>1</v>
      </c>
      <c r="T2844" s="4">
        <v>1</v>
      </c>
      <c r="U2844" s="5" t="s">
        <v>16336</v>
      </c>
      <c r="V2844" s="5" t="s">
        <v>16336</v>
      </c>
      <c r="W2844" s="5" t="s">
        <v>67</v>
      </c>
      <c r="X2844" s="5" t="s">
        <v>67</v>
      </c>
      <c r="Y2844" s="4">
        <v>128</v>
      </c>
      <c r="Z2844" s="4">
        <v>15</v>
      </c>
      <c r="AA2844" s="4">
        <v>80</v>
      </c>
      <c r="AB2844" s="4">
        <v>2</v>
      </c>
      <c r="AC2844" s="4">
        <v>14</v>
      </c>
      <c r="AD2844" s="4">
        <v>53</v>
      </c>
      <c r="AE2844" s="4">
        <v>108</v>
      </c>
      <c r="AF2844" s="4">
        <v>1</v>
      </c>
      <c r="AG2844" s="4">
        <v>8</v>
      </c>
      <c r="AH2844" s="4">
        <v>49</v>
      </c>
      <c r="AI2844" s="4">
        <v>76</v>
      </c>
      <c r="AJ2844" s="4">
        <v>9</v>
      </c>
      <c r="AK2844" s="4">
        <v>22</v>
      </c>
      <c r="AL2844" s="4">
        <v>31</v>
      </c>
      <c r="AM2844" s="4">
        <v>40</v>
      </c>
      <c r="AN2844" s="4">
        <v>0</v>
      </c>
      <c r="AO2844" s="4">
        <v>0</v>
      </c>
      <c r="AP2844" s="4">
        <v>11</v>
      </c>
      <c r="AQ2844" s="4">
        <v>42</v>
      </c>
      <c r="AR2844" s="3" t="s">
        <v>62</v>
      </c>
      <c r="AS2844" s="3" t="s">
        <v>62</v>
      </c>
      <c r="AT2844" s="3" t="s">
        <v>62</v>
      </c>
      <c r="AV2844" s="6" t="str">
        <f>HYPERLINK("http://mcgill.on.worldcat.org/oclc/812509035","Catalog Record")</f>
        <v>Catalog Record</v>
      </c>
      <c r="AW2844" s="6" t="str">
        <f>HYPERLINK("http://www.worldcat.org/oclc/812509035","WorldCat Record")</f>
        <v>WorldCat Record</v>
      </c>
      <c r="AX2844" s="3" t="s">
        <v>27949</v>
      </c>
      <c r="AY2844" s="3" t="s">
        <v>27950</v>
      </c>
      <c r="AZ2844" s="3" t="s">
        <v>27951</v>
      </c>
      <c r="BA2844" s="3" t="s">
        <v>27951</v>
      </c>
      <c r="BB2844" s="3" t="s">
        <v>27952</v>
      </c>
      <c r="BC2844" s="3" t="s">
        <v>142</v>
      </c>
      <c r="BD2844" s="3" t="s">
        <v>68</v>
      </c>
      <c r="BE2844" s="3" t="s">
        <v>27953</v>
      </c>
      <c r="BF2844" s="3" t="s">
        <v>27952</v>
      </c>
      <c r="BG2844" s="3" t="s">
        <v>27954</v>
      </c>
    </row>
    <row r="2845" spans="1:59" ht="57" x14ac:dyDescent="0.45">
      <c r="A2845" s="2" t="s">
        <v>59</v>
      </c>
      <c r="B2845" s="2" t="s">
        <v>60</v>
      </c>
      <c r="C2845" s="2" t="s">
        <v>27955</v>
      </c>
      <c r="D2845" s="2" t="s">
        <v>27956</v>
      </c>
      <c r="E2845" s="2" t="s">
        <v>27957</v>
      </c>
      <c r="G2845" s="3" t="s">
        <v>62</v>
      </c>
      <c r="I2845" s="3" t="s">
        <v>62</v>
      </c>
      <c r="J2845" s="3" t="s">
        <v>62</v>
      </c>
      <c r="K2845" s="3" t="s">
        <v>63</v>
      </c>
      <c r="L2845" s="2" t="s">
        <v>27958</v>
      </c>
      <c r="M2845" s="2" t="s">
        <v>27959</v>
      </c>
      <c r="N2845" s="3" t="s">
        <v>1155</v>
      </c>
      <c r="P2845" s="3" t="s">
        <v>110</v>
      </c>
      <c r="Q2845" s="2" t="s">
        <v>27960</v>
      </c>
      <c r="R2845" s="3" t="s">
        <v>66</v>
      </c>
      <c r="S2845" s="4">
        <v>0</v>
      </c>
      <c r="T2845" s="4">
        <v>0</v>
      </c>
      <c r="W2845" s="5" t="s">
        <v>67</v>
      </c>
      <c r="X2845" s="5" t="s">
        <v>67</v>
      </c>
      <c r="Y2845" s="4">
        <v>26</v>
      </c>
      <c r="Z2845" s="4">
        <v>8</v>
      </c>
      <c r="AA2845" s="4">
        <v>38</v>
      </c>
      <c r="AB2845" s="4">
        <v>2</v>
      </c>
      <c r="AC2845" s="4">
        <v>10</v>
      </c>
      <c r="AD2845" s="4">
        <v>19</v>
      </c>
      <c r="AE2845" s="4">
        <v>42</v>
      </c>
      <c r="AF2845" s="4">
        <v>1</v>
      </c>
      <c r="AG2845" s="4">
        <v>5</v>
      </c>
      <c r="AH2845" s="4">
        <v>17</v>
      </c>
      <c r="AI2845" s="4">
        <v>24</v>
      </c>
      <c r="AJ2845" s="4">
        <v>6</v>
      </c>
      <c r="AK2845" s="4">
        <v>17</v>
      </c>
      <c r="AL2845" s="4">
        <v>14</v>
      </c>
      <c r="AM2845" s="4">
        <v>16</v>
      </c>
      <c r="AN2845" s="4">
        <v>0</v>
      </c>
      <c r="AO2845" s="4">
        <v>0</v>
      </c>
      <c r="AP2845" s="4">
        <v>6</v>
      </c>
      <c r="AQ2845" s="4">
        <v>24</v>
      </c>
      <c r="AR2845" s="3" t="s">
        <v>61</v>
      </c>
      <c r="AS2845" s="3" t="s">
        <v>62</v>
      </c>
      <c r="AT2845" s="3" t="s">
        <v>62</v>
      </c>
      <c r="AV2845" s="6" t="str">
        <f>HYPERLINK("http://mcgill.on.worldcat.org/oclc/819097763","Catalog Record")</f>
        <v>Catalog Record</v>
      </c>
      <c r="AW2845" s="6" t="str">
        <f>HYPERLINK("http://www.worldcat.org/oclc/819097763","WorldCat Record")</f>
        <v>WorldCat Record</v>
      </c>
      <c r="AX2845" s="3" t="s">
        <v>27961</v>
      </c>
      <c r="AY2845" s="3" t="s">
        <v>27962</v>
      </c>
      <c r="AZ2845" s="3" t="s">
        <v>27963</v>
      </c>
      <c r="BA2845" s="3" t="s">
        <v>27963</v>
      </c>
      <c r="BB2845" s="3" t="s">
        <v>27964</v>
      </c>
      <c r="BC2845" s="3" t="s">
        <v>142</v>
      </c>
      <c r="BD2845" s="3" t="s">
        <v>68</v>
      </c>
      <c r="BE2845" s="3" t="s">
        <v>27965</v>
      </c>
      <c r="BF2845" s="3" t="s">
        <v>27964</v>
      </c>
      <c r="BG2845" s="3" t="s">
        <v>27966</v>
      </c>
    </row>
    <row r="2846" spans="1:59" ht="71.25" x14ac:dyDescent="0.45">
      <c r="A2846" s="2" t="s">
        <v>59</v>
      </c>
      <c r="B2846" s="2" t="s">
        <v>60</v>
      </c>
      <c r="C2846" s="2" t="s">
        <v>27967</v>
      </c>
      <c r="D2846" s="2" t="s">
        <v>27968</v>
      </c>
      <c r="E2846" s="2" t="s">
        <v>27969</v>
      </c>
      <c r="G2846" s="3" t="s">
        <v>62</v>
      </c>
      <c r="I2846" s="3" t="s">
        <v>62</v>
      </c>
      <c r="J2846" s="3" t="s">
        <v>62</v>
      </c>
      <c r="K2846" s="3" t="s">
        <v>63</v>
      </c>
      <c r="M2846" s="2" t="s">
        <v>27970</v>
      </c>
      <c r="N2846" s="3" t="s">
        <v>1097</v>
      </c>
      <c r="P2846" s="3" t="s">
        <v>65</v>
      </c>
      <c r="R2846" s="3" t="s">
        <v>66</v>
      </c>
      <c r="S2846" s="4">
        <v>35</v>
      </c>
      <c r="T2846" s="4">
        <v>35</v>
      </c>
      <c r="U2846" s="5" t="s">
        <v>27665</v>
      </c>
      <c r="V2846" s="5" t="s">
        <v>27665</v>
      </c>
      <c r="W2846" s="5" t="s">
        <v>67</v>
      </c>
      <c r="X2846" s="5" t="s">
        <v>67</v>
      </c>
      <c r="Y2846" s="4">
        <v>728</v>
      </c>
      <c r="Z2846" s="4">
        <v>38</v>
      </c>
      <c r="AA2846" s="4">
        <v>42</v>
      </c>
      <c r="AB2846" s="4">
        <v>2</v>
      </c>
      <c r="AC2846" s="4">
        <v>6</v>
      </c>
      <c r="AD2846" s="4">
        <v>115</v>
      </c>
      <c r="AE2846" s="4">
        <v>117</v>
      </c>
      <c r="AF2846" s="4">
        <v>1</v>
      </c>
      <c r="AG2846" s="4">
        <v>3</v>
      </c>
      <c r="AH2846" s="4">
        <v>97</v>
      </c>
      <c r="AI2846" s="4">
        <v>98</v>
      </c>
      <c r="AJ2846" s="4">
        <v>19</v>
      </c>
      <c r="AK2846" s="4">
        <v>21</v>
      </c>
      <c r="AL2846" s="4">
        <v>49</v>
      </c>
      <c r="AM2846" s="4">
        <v>49</v>
      </c>
      <c r="AN2846" s="4">
        <v>0</v>
      </c>
      <c r="AO2846" s="4">
        <v>0</v>
      </c>
      <c r="AP2846" s="4">
        <v>27</v>
      </c>
      <c r="AQ2846" s="4">
        <v>29</v>
      </c>
      <c r="AR2846" s="3" t="s">
        <v>62</v>
      </c>
      <c r="AS2846" s="3" t="s">
        <v>62</v>
      </c>
      <c r="AT2846" s="3" t="s">
        <v>61</v>
      </c>
      <c r="AU2846" s="6" t="str">
        <f>HYPERLINK("http://catalog.hathitrust.org/Record/004916228","HathiTrust Record")</f>
        <v>HathiTrust Record</v>
      </c>
      <c r="AV2846" s="6" t="str">
        <f>HYPERLINK("http://mcgill.on.worldcat.org/oclc/54822942","Catalog Record")</f>
        <v>Catalog Record</v>
      </c>
      <c r="AW2846" s="6" t="str">
        <f>HYPERLINK("http://www.worldcat.org/oclc/54822942","WorldCat Record")</f>
        <v>WorldCat Record</v>
      </c>
      <c r="AX2846" s="3" t="s">
        <v>27971</v>
      </c>
      <c r="AY2846" s="3" t="s">
        <v>27972</v>
      </c>
      <c r="AZ2846" s="3" t="s">
        <v>27973</v>
      </c>
      <c r="BA2846" s="3" t="s">
        <v>27973</v>
      </c>
      <c r="BB2846" s="3" t="s">
        <v>27974</v>
      </c>
      <c r="BC2846" s="3" t="s">
        <v>142</v>
      </c>
      <c r="BD2846" s="3" t="s">
        <v>68</v>
      </c>
      <c r="BE2846" s="3" t="s">
        <v>27975</v>
      </c>
      <c r="BF2846" s="3" t="s">
        <v>27974</v>
      </c>
      <c r="BG2846" s="3" t="s">
        <v>27976</v>
      </c>
    </row>
    <row r="2847" spans="1:59" ht="71.25" x14ac:dyDescent="0.45">
      <c r="A2847" s="2" t="s">
        <v>59</v>
      </c>
      <c r="B2847" s="2" t="s">
        <v>60</v>
      </c>
      <c r="C2847" s="2" t="s">
        <v>27977</v>
      </c>
      <c r="D2847" s="2" t="s">
        <v>27978</v>
      </c>
      <c r="E2847" s="2" t="s">
        <v>27979</v>
      </c>
      <c r="G2847" s="3" t="s">
        <v>62</v>
      </c>
      <c r="I2847" s="3" t="s">
        <v>62</v>
      </c>
      <c r="J2847" s="3" t="s">
        <v>62</v>
      </c>
      <c r="K2847" s="3" t="s">
        <v>63</v>
      </c>
      <c r="L2847" s="2" t="s">
        <v>27980</v>
      </c>
      <c r="M2847" s="2" t="s">
        <v>27981</v>
      </c>
      <c r="N2847" s="3" t="s">
        <v>181</v>
      </c>
      <c r="P2847" s="3" t="s">
        <v>65</v>
      </c>
      <c r="R2847" s="3" t="s">
        <v>66</v>
      </c>
      <c r="S2847" s="4">
        <v>4</v>
      </c>
      <c r="T2847" s="4">
        <v>4</v>
      </c>
      <c r="W2847" s="5" t="s">
        <v>67</v>
      </c>
      <c r="X2847" s="5" t="s">
        <v>67</v>
      </c>
      <c r="Y2847" s="4">
        <v>137</v>
      </c>
      <c r="Z2847" s="4">
        <v>33</v>
      </c>
      <c r="AA2847" s="4">
        <v>97</v>
      </c>
      <c r="AB2847" s="4">
        <v>2</v>
      </c>
      <c r="AC2847" s="4">
        <v>14</v>
      </c>
      <c r="AD2847" s="4">
        <v>53</v>
      </c>
      <c r="AE2847" s="4">
        <v>120</v>
      </c>
      <c r="AF2847" s="4">
        <v>1</v>
      </c>
      <c r="AG2847" s="4">
        <v>8</v>
      </c>
      <c r="AH2847" s="4">
        <v>38</v>
      </c>
      <c r="AI2847" s="4">
        <v>77</v>
      </c>
      <c r="AJ2847" s="4">
        <v>12</v>
      </c>
      <c r="AK2847" s="4">
        <v>25</v>
      </c>
      <c r="AL2847" s="4">
        <v>25</v>
      </c>
      <c r="AM2847" s="4">
        <v>39</v>
      </c>
      <c r="AN2847" s="4">
        <v>0</v>
      </c>
      <c r="AO2847" s="4">
        <v>0</v>
      </c>
      <c r="AP2847" s="4">
        <v>20</v>
      </c>
      <c r="AQ2847" s="4">
        <v>51</v>
      </c>
      <c r="AR2847" s="3" t="s">
        <v>61</v>
      </c>
      <c r="AS2847" s="3" t="s">
        <v>62</v>
      </c>
      <c r="AT2847" s="3" t="s">
        <v>62</v>
      </c>
      <c r="AV2847" s="6" t="str">
        <f>HYPERLINK("http://mcgill.on.worldcat.org/oclc/939203738","Catalog Record")</f>
        <v>Catalog Record</v>
      </c>
      <c r="AW2847" s="6" t="str">
        <f>HYPERLINK("http://www.worldcat.org/oclc/939203738","WorldCat Record")</f>
        <v>WorldCat Record</v>
      </c>
      <c r="AX2847" s="3" t="s">
        <v>27982</v>
      </c>
      <c r="AY2847" s="3" t="s">
        <v>27983</v>
      </c>
      <c r="AZ2847" s="3" t="s">
        <v>27984</v>
      </c>
      <c r="BA2847" s="3" t="s">
        <v>27984</v>
      </c>
      <c r="BB2847" s="3" t="s">
        <v>27985</v>
      </c>
      <c r="BC2847" s="3" t="s">
        <v>142</v>
      </c>
      <c r="BD2847" s="3" t="s">
        <v>308</v>
      </c>
      <c r="BE2847" s="3" t="s">
        <v>27986</v>
      </c>
      <c r="BF2847" s="3" t="s">
        <v>27985</v>
      </c>
      <c r="BG2847" s="3" t="s">
        <v>27987</v>
      </c>
    </row>
    <row r="2848" spans="1:59" ht="71.25" x14ac:dyDescent="0.45">
      <c r="A2848" s="2" t="s">
        <v>59</v>
      </c>
      <c r="B2848" s="2" t="s">
        <v>60</v>
      </c>
      <c r="C2848" s="2" t="s">
        <v>27988</v>
      </c>
      <c r="D2848" s="2" t="s">
        <v>27989</v>
      </c>
      <c r="E2848" s="2" t="s">
        <v>27990</v>
      </c>
      <c r="G2848" s="3" t="s">
        <v>62</v>
      </c>
      <c r="I2848" s="3" t="s">
        <v>62</v>
      </c>
      <c r="J2848" s="3" t="s">
        <v>62</v>
      </c>
      <c r="K2848" s="3" t="s">
        <v>63</v>
      </c>
      <c r="L2848" s="2" t="s">
        <v>27991</v>
      </c>
      <c r="M2848" s="2" t="s">
        <v>19678</v>
      </c>
      <c r="N2848" s="3" t="s">
        <v>1155</v>
      </c>
      <c r="P2848" s="3" t="s">
        <v>65</v>
      </c>
      <c r="R2848" s="3" t="s">
        <v>66</v>
      </c>
      <c r="S2848" s="4">
        <v>4</v>
      </c>
      <c r="T2848" s="4">
        <v>4</v>
      </c>
      <c r="U2848" s="5" t="s">
        <v>27992</v>
      </c>
      <c r="V2848" s="5" t="s">
        <v>27992</v>
      </c>
      <c r="W2848" s="5" t="s">
        <v>67</v>
      </c>
      <c r="X2848" s="5" t="s">
        <v>67</v>
      </c>
      <c r="Y2848" s="4">
        <v>143</v>
      </c>
      <c r="Z2848" s="4">
        <v>18</v>
      </c>
      <c r="AA2848" s="4">
        <v>22</v>
      </c>
      <c r="AB2848" s="4">
        <v>2</v>
      </c>
      <c r="AC2848" s="4">
        <v>5</v>
      </c>
      <c r="AD2848" s="4">
        <v>61</v>
      </c>
      <c r="AE2848" s="4">
        <v>67</v>
      </c>
      <c r="AF2848" s="4">
        <v>1</v>
      </c>
      <c r="AG2848" s="4">
        <v>2</v>
      </c>
      <c r="AH2848" s="4">
        <v>49</v>
      </c>
      <c r="AI2848" s="4">
        <v>54</v>
      </c>
      <c r="AJ2848" s="4">
        <v>10</v>
      </c>
      <c r="AK2848" s="4">
        <v>12</v>
      </c>
      <c r="AL2848" s="4">
        <v>32</v>
      </c>
      <c r="AM2848" s="4">
        <v>34</v>
      </c>
      <c r="AN2848" s="4">
        <v>0</v>
      </c>
      <c r="AO2848" s="4">
        <v>0</v>
      </c>
      <c r="AP2848" s="4">
        <v>14</v>
      </c>
      <c r="AQ2848" s="4">
        <v>16</v>
      </c>
      <c r="AR2848" s="3" t="s">
        <v>62</v>
      </c>
      <c r="AS2848" s="3" t="s">
        <v>62</v>
      </c>
      <c r="AT2848" s="3" t="s">
        <v>62</v>
      </c>
      <c r="AV2848" s="6" t="str">
        <f>HYPERLINK("http://mcgill.on.worldcat.org/oclc/757461948","Catalog Record")</f>
        <v>Catalog Record</v>
      </c>
      <c r="AW2848" s="6" t="str">
        <f>HYPERLINK("http://www.worldcat.org/oclc/757461948","WorldCat Record")</f>
        <v>WorldCat Record</v>
      </c>
      <c r="AX2848" s="3" t="s">
        <v>27993</v>
      </c>
      <c r="AY2848" s="3" t="s">
        <v>27994</v>
      </c>
      <c r="AZ2848" s="3" t="s">
        <v>27995</v>
      </c>
      <c r="BA2848" s="3" t="s">
        <v>27995</v>
      </c>
      <c r="BB2848" s="3" t="s">
        <v>27996</v>
      </c>
      <c r="BC2848" s="3" t="s">
        <v>142</v>
      </c>
      <c r="BD2848" s="3" t="s">
        <v>68</v>
      </c>
      <c r="BE2848" s="3" t="s">
        <v>27997</v>
      </c>
      <c r="BF2848" s="3" t="s">
        <v>27996</v>
      </c>
      <c r="BG2848" s="3" t="s">
        <v>27998</v>
      </c>
    </row>
    <row r="2849" spans="1:59" ht="71.25" x14ac:dyDescent="0.45">
      <c r="A2849" s="2" t="s">
        <v>59</v>
      </c>
      <c r="B2849" s="2" t="s">
        <v>60</v>
      </c>
      <c r="C2849" s="2" t="s">
        <v>27999</v>
      </c>
      <c r="D2849" s="2" t="s">
        <v>28000</v>
      </c>
      <c r="E2849" s="2" t="s">
        <v>28001</v>
      </c>
      <c r="G2849" s="3" t="s">
        <v>62</v>
      </c>
      <c r="I2849" s="3" t="s">
        <v>62</v>
      </c>
      <c r="J2849" s="3" t="s">
        <v>62</v>
      </c>
      <c r="K2849" s="3" t="s">
        <v>63</v>
      </c>
      <c r="L2849" s="2" t="s">
        <v>28002</v>
      </c>
      <c r="M2849" s="2" t="s">
        <v>1189</v>
      </c>
      <c r="N2849" s="3" t="s">
        <v>149</v>
      </c>
      <c r="P2849" s="3" t="s">
        <v>65</v>
      </c>
      <c r="R2849" s="3" t="s">
        <v>66</v>
      </c>
      <c r="S2849" s="4">
        <v>2</v>
      </c>
      <c r="T2849" s="4">
        <v>2</v>
      </c>
      <c r="U2849" s="5" t="s">
        <v>28003</v>
      </c>
      <c r="V2849" s="5" t="s">
        <v>28003</v>
      </c>
      <c r="W2849" s="5" t="s">
        <v>67</v>
      </c>
      <c r="X2849" s="5" t="s">
        <v>67</v>
      </c>
      <c r="Y2849" s="4">
        <v>314</v>
      </c>
      <c r="Z2849" s="4">
        <v>28</v>
      </c>
      <c r="AA2849" s="4">
        <v>89</v>
      </c>
      <c r="AB2849" s="4">
        <v>3</v>
      </c>
      <c r="AC2849" s="4">
        <v>16</v>
      </c>
      <c r="AD2849" s="4">
        <v>92</v>
      </c>
      <c r="AE2849" s="4">
        <v>140</v>
      </c>
      <c r="AF2849" s="4">
        <v>1</v>
      </c>
      <c r="AG2849" s="4">
        <v>8</v>
      </c>
      <c r="AH2849" s="4">
        <v>85</v>
      </c>
      <c r="AI2849" s="4">
        <v>104</v>
      </c>
      <c r="AJ2849" s="4">
        <v>14</v>
      </c>
      <c r="AK2849" s="4">
        <v>24</v>
      </c>
      <c r="AL2849" s="4">
        <v>46</v>
      </c>
      <c r="AM2849" s="4">
        <v>54</v>
      </c>
      <c r="AN2849" s="4">
        <v>0</v>
      </c>
      <c r="AO2849" s="4">
        <v>0</v>
      </c>
      <c r="AP2849" s="4">
        <v>18</v>
      </c>
      <c r="AQ2849" s="4">
        <v>46</v>
      </c>
      <c r="AR2849" s="3" t="s">
        <v>62</v>
      </c>
      <c r="AS2849" s="3" t="s">
        <v>62</v>
      </c>
      <c r="AT2849" s="3" t="s">
        <v>62</v>
      </c>
      <c r="AV2849" s="6" t="str">
        <f>HYPERLINK("http://mcgill.on.worldcat.org/oclc/277195971","Catalog Record")</f>
        <v>Catalog Record</v>
      </c>
      <c r="AW2849" s="6" t="str">
        <f>HYPERLINK("http://www.worldcat.org/oclc/277195971","WorldCat Record")</f>
        <v>WorldCat Record</v>
      </c>
      <c r="AX2849" s="3" t="s">
        <v>28004</v>
      </c>
      <c r="AY2849" s="3" t="s">
        <v>28005</v>
      </c>
      <c r="AZ2849" s="3" t="s">
        <v>28006</v>
      </c>
      <c r="BA2849" s="3" t="s">
        <v>28006</v>
      </c>
      <c r="BB2849" s="3" t="s">
        <v>28007</v>
      </c>
      <c r="BC2849" s="3" t="s">
        <v>142</v>
      </c>
      <c r="BD2849" s="3" t="s">
        <v>68</v>
      </c>
      <c r="BE2849" s="3" t="s">
        <v>28008</v>
      </c>
      <c r="BF2849" s="3" t="s">
        <v>28007</v>
      </c>
      <c r="BG2849" s="3" t="s">
        <v>28009</v>
      </c>
    </row>
    <row r="2850" spans="1:59" ht="71.25" x14ac:dyDescent="0.45">
      <c r="A2850" s="2" t="s">
        <v>59</v>
      </c>
      <c r="B2850" s="2" t="s">
        <v>60</v>
      </c>
      <c r="C2850" s="2" t="s">
        <v>28010</v>
      </c>
      <c r="D2850" s="2" t="s">
        <v>28011</v>
      </c>
      <c r="E2850" s="2" t="s">
        <v>28012</v>
      </c>
      <c r="G2850" s="3" t="s">
        <v>62</v>
      </c>
      <c r="I2850" s="3" t="s">
        <v>62</v>
      </c>
      <c r="J2850" s="3" t="s">
        <v>62</v>
      </c>
      <c r="K2850" s="3" t="s">
        <v>63</v>
      </c>
      <c r="M2850" s="2" t="s">
        <v>28013</v>
      </c>
      <c r="N2850" s="3" t="s">
        <v>1465</v>
      </c>
      <c r="P2850" s="3" t="s">
        <v>65</v>
      </c>
      <c r="R2850" s="3" t="s">
        <v>66</v>
      </c>
      <c r="S2850" s="4">
        <v>14</v>
      </c>
      <c r="T2850" s="4">
        <v>14</v>
      </c>
      <c r="U2850" s="5" t="s">
        <v>1268</v>
      </c>
      <c r="V2850" s="5" t="s">
        <v>1268</v>
      </c>
      <c r="W2850" s="5" t="s">
        <v>67</v>
      </c>
      <c r="X2850" s="5" t="s">
        <v>67</v>
      </c>
      <c r="Y2850" s="4">
        <v>246</v>
      </c>
      <c r="Z2850" s="4">
        <v>29</v>
      </c>
      <c r="AA2850" s="4">
        <v>31</v>
      </c>
      <c r="AB2850" s="4">
        <v>3</v>
      </c>
      <c r="AC2850" s="4">
        <v>5</v>
      </c>
      <c r="AD2850" s="4">
        <v>81</v>
      </c>
      <c r="AE2850" s="4">
        <v>82</v>
      </c>
      <c r="AF2850" s="4">
        <v>1</v>
      </c>
      <c r="AG2850" s="4">
        <v>1</v>
      </c>
      <c r="AH2850" s="4">
        <v>71</v>
      </c>
      <c r="AI2850" s="4">
        <v>71</v>
      </c>
      <c r="AJ2850" s="4">
        <v>16</v>
      </c>
      <c r="AK2850" s="4">
        <v>16</v>
      </c>
      <c r="AL2850" s="4">
        <v>42</v>
      </c>
      <c r="AM2850" s="4">
        <v>43</v>
      </c>
      <c r="AN2850" s="4">
        <v>0</v>
      </c>
      <c r="AO2850" s="4">
        <v>0</v>
      </c>
      <c r="AP2850" s="4">
        <v>20</v>
      </c>
      <c r="AQ2850" s="4">
        <v>20</v>
      </c>
      <c r="AR2850" s="3" t="s">
        <v>62</v>
      </c>
      <c r="AS2850" s="3" t="s">
        <v>62</v>
      </c>
      <c r="AT2850" s="3" t="s">
        <v>62</v>
      </c>
      <c r="AV2850" s="6" t="str">
        <f>HYPERLINK("http://mcgill.on.worldcat.org/oclc/386706606","Catalog Record")</f>
        <v>Catalog Record</v>
      </c>
      <c r="AW2850" s="6" t="str">
        <f>HYPERLINK("http://www.worldcat.org/oclc/386706606","WorldCat Record")</f>
        <v>WorldCat Record</v>
      </c>
      <c r="AX2850" s="3" t="s">
        <v>28014</v>
      </c>
      <c r="AY2850" s="3" t="s">
        <v>28015</v>
      </c>
      <c r="AZ2850" s="3" t="s">
        <v>28016</v>
      </c>
      <c r="BA2850" s="3" t="s">
        <v>28016</v>
      </c>
      <c r="BB2850" s="3" t="s">
        <v>28017</v>
      </c>
      <c r="BC2850" s="3" t="s">
        <v>142</v>
      </c>
      <c r="BD2850" s="3" t="s">
        <v>308</v>
      </c>
      <c r="BE2850" s="3" t="s">
        <v>28018</v>
      </c>
      <c r="BF2850" s="3" t="s">
        <v>28017</v>
      </c>
      <c r="BG2850" s="3" t="s">
        <v>28019</v>
      </c>
    </row>
    <row r="2851" spans="1:59" ht="71.25" x14ac:dyDescent="0.45">
      <c r="A2851" s="2" t="s">
        <v>59</v>
      </c>
      <c r="B2851" s="2" t="s">
        <v>60</v>
      </c>
      <c r="C2851" s="2" t="s">
        <v>28020</v>
      </c>
      <c r="D2851" s="2" t="s">
        <v>28021</v>
      </c>
      <c r="E2851" s="2" t="s">
        <v>28022</v>
      </c>
      <c r="G2851" s="3" t="s">
        <v>62</v>
      </c>
      <c r="I2851" s="3" t="s">
        <v>62</v>
      </c>
      <c r="J2851" s="3" t="s">
        <v>62</v>
      </c>
      <c r="K2851" s="3" t="s">
        <v>63</v>
      </c>
      <c r="L2851" s="2" t="s">
        <v>28023</v>
      </c>
      <c r="M2851" s="2" t="s">
        <v>28024</v>
      </c>
      <c r="N2851" s="3" t="s">
        <v>1855</v>
      </c>
      <c r="P2851" s="3" t="s">
        <v>65</v>
      </c>
      <c r="R2851" s="3" t="s">
        <v>66</v>
      </c>
      <c r="S2851" s="4">
        <v>6</v>
      </c>
      <c r="T2851" s="4">
        <v>6</v>
      </c>
      <c r="U2851" s="5" t="s">
        <v>17596</v>
      </c>
      <c r="V2851" s="5" t="s">
        <v>17596</v>
      </c>
      <c r="W2851" s="5" t="s">
        <v>67</v>
      </c>
      <c r="X2851" s="5" t="s">
        <v>67</v>
      </c>
      <c r="Y2851" s="4">
        <v>577</v>
      </c>
      <c r="Z2851" s="4">
        <v>13</v>
      </c>
      <c r="AA2851" s="4">
        <v>14</v>
      </c>
      <c r="AB2851" s="4">
        <v>1</v>
      </c>
      <c r="AC2851" s="4">
        <v>1</v>
      </c>
      <c r="AD2851" s="4">
        <v>79</v>
      </c>
      <c r="AE2851" s="4">
        <v>80</v>
      </c>
      <c r="AF2851" s="4">
        <v>0</v>
      </c>
      <c r="AG2851" s="4">
        <v>0</v>
      </c>
      <c r="AH2851" s="4">
        <v>75</v>
      </c>
      <c r="AI2851" s="4">
        <v>76</v>
      </c>
      <c r="AJ2851" s="4">
        <v>5</v>
      </c>
      <c r="AK2851" s="4">
        <v>6</v>
      </c>
      <c r="AL2851" s="4">
        <v>39</v>
      </c>
      <c r="AM2851" s="4">
        <v>39</v>
      </c>
      <c r="AN2851" s="4">
        <v>0</v>
      </c>
      <c r="AO2851" s="4">
        <v>0</v>
      </c>
      <c r="AP2851" s="4">
        <v>5</v>
      </c>
      <c r="AQ2851" s="4">
        <v>6</v>
      </c>
      <c r="AR2851" s="3" t="s">
        <v>62</v>
      </c>
      <c r="AS2851" s="3" t="s">
        <v>62</v>
      </c>
      <c r="AT2851" s="3" t="s">
        <v>61</v>
      </c>
      <c r="AU2851" s="6" t="str">
        <f>HYPERLINK("http://catalog.hathitrust.org/Record/005097181","HathiTrust Record")</f>
        <v>HathiTrust Record</v>
      </c>
      <c r="AV2851" s="6" t="str">
        <f>HYPERLINK("http://mcgill.on.worldcat.org/oclc/61684137","Catalog Record")</f>
        <v>Catalog Record</v>
      </c>
      <c r="AW2851" s="6" t="str">
        <f>HYPERLINK("http://www.worldcat.org/oclc/61684137","WorldCat Record")</f>
        <v>WorldCat Record</v>
      </c>
      <c r="AX2851" s="3" t="s">
        <v>28025</v>
      </c>
      <c r="AY2851" s="3" t="s">
        <v>28026</v>
      </c>
      <c r="AZ2851" s="3" t="s">
        <v>28027</v>
      </c>
      <c r="BA2851" s="3" t="s">
        <v>28027</v>
      </c>
      <c r="BB2851" s="3" t="s">
        <v>28028</v>
      </c>
      <c r="BC2851" s="3" t="s">
        <v>142</v>
      </c>
      <c r="BD2851" s="3" t="s">
        <v>68</v>
      </c>
      <c r="BE2851" s="3" t="s">
        <v>28029</v>
      </c>
      <c r="BF2851" s="3" t="s">
        <v>28028</v>
      </c>
      <c r="BG2851" s="3" t="s">
        <v>28030</v>
      </c>
    </row>
    <row r="2852" spans="1:59" ht="57" x14ac:dyDescent="0.45">
      <c r="A2852" s="2" t="s">
        <v>59</v>
      </c>
      <c r="B2852" s="2" t="s">
        <v>60</v>
      </c>
      <c r="C2852" s="2" t="s">
        <v>28031</v>
      </c>
      <c r="D2852" s="2" t="s">
        <v>28032</v>
      </c>
      <c r="E2852" s="2" t="s">
        <v>28033</v>
      </c>
      <c r="G2852" s="3" t="s">
        <v>62</v>
      </c>
      <c r="I2852" s="3" t="s">
        <v>61</v>
      </c>
      <c r="J2852" s="3" t="s">
        <v>62</v>
      </c>
      <c r="K2852" s="3" t="s">
        <v>63</v>
      </c>
      <c r="M2852" s="2" t="s">
        <v>28034</v>
      </c>
      <c r="N2852" s="3" t="s">
        <v>583</v>
      </c>
      <c r="P2852" s="3" t="s">
        <v>65</v>
      </c>
      <c r="R2852" s="3" t="s">
        <v>66</v>
      </c>
      <c r="S2852" s="4">
        <v>19</v>
      </c>
      <c r="T2852" s="4">
        <v>75</v>
      </c>
      <c r="U2852" s="5" t="s">
        <v>28035</v>
      </c>
      <c r="V2852" s="5" t="s">
        <v>19475</v>
      </c>
      <c r="W2852" s="5" t="s">
        <v>67</v>
      </c>
      <c r="X2852" s="5" t="s">
        <v>67</v>
      </c>
      <c r="Y2852" s="4">
        <v>977</v>
      </c>
      <c r="Z2852" s="4">
        <v>56</v>
      </c>
      <c r="AA2852" s="4">
        <v>63</v>
      </c>
      <c r="AB2852" s="4">
        <v>3</v>
      </c>
      <c r="AC2852" s="4">
        <v>7</v>
      </c>
      <c r="AD2852" s="4">
        <v>131</v>
      </c>
      <c r="AE2852" s="4">
        <v>134</v>
      </c>
      <c r="AF2852" s="4">
        <v>1</v>
      </c>
      <c r="AG2852" s="4">
        <v>3</v>
      </c>
      <c r="AH2852" s="4">
        <v>106</v>
      </c>
      <c r="AI2852" s="4">
        <v>108</v>
      </c>
      <c r="AJ2852" s="4">
        <v>21</v>
      </c>
      <c r="AK2852" s="4">
        <v>24</v>
      </c>
      <c r="AL2852" s="4">
        <v>56</v>
      </c>
      <c r="AM2852" s="4">
        <v>56</v>
      </c>
      <c r="AN2852" s="4">
        <v>0</v>
      </c>
      <c r="AO2852" s="4">
        <v>0</v>
      </c>
      <c r="AP2852" s="4">
        <v>34</v>
      </c>
      <c r="AQ2852" s="4">
        <v>36</v>
      </c>
      <c r="AR2852" s="3" t="s">
        <v>62</v>
      </c>
      <c r="AS2852" s="3" t="s">
        <v>62</v>
      </c>
      <c r="AT2852" s="3" t="s">
        <v>61</v>
      </c>
      <c r="AU2852" s="6" t="str">
        <f>HYPERLINK("http://catalog.hathitrust.org/Record/000752413","HathiTrust Record")</f>
        <v>HathiTrust Record</v>
      </c>
      <c r="AV2852" s="6" t="str">
        <f>HYPERLINK("http://mcgill.on.worldcat.org/oclc/3433296","Catalog Record")</f>
        <v>Catalog Record</v>
      </c>
      <c r="AW2852" s="6" t="str">
        <f>HYPERLINK("http://www.worldcat.org/oclc/3433296","WorldCat Record")</f>
        <v>WorldCat Record</v>
      </c>
      <c r="AX2852" s="3" t="s">
        <v>28036</v>
      </c>
      <c r="AY2852" s="3" t="s">
        <v>28037</v>
      </c>
      <c r="AZ2852" s="3" t="s">
        <v>28038</v>
      </c>
      <c r="BA2852" s="3" t="s">
        <v>28038</v>
      </c>
      <c r="BB2852" s="3" t="s">
        <v>28039</v>
      </c>
      <c r="BC2852" s="3" t="s">
        <v>142</v>
      </c>
      <c r="BD2852" s="3" t="s">
        <v>68</v>
      </c>
      <c r="BE2852" s="3" t="s">
        <v>28040</v>
      </c>
      <c r="BF2852" s="3" t="s">
        <v>28039</v>
      </c>
      <c r="BG2852" s="3" t="s">
        <v>28041</v>
      </c>
    </row>
    <row r="2853" spans="1:59" ht="57" x14ac:dyDescent="0.45">
      <c r="A2853" s="2" t="s">
        <v>59</v>
      </c>
      <c r="B2853" s="2" t="s">
        <v>60</v>
      </c>
      <c r="C2853" s="2" t="s">
        <v>28031</v>
      </c>
      <c r="D2853" s="2" t="s">
        <v>28032</v>
      </c>
      <c r="E2853" s="2" t="s">
        <v>28033</v>
      </c>
      <c r="G2853" s="3" t="s">
        <v>62</v>
      </c>
      <c r="I2853" s="3" t="s">
        <v>61</v>
      </c>
      <c r="J2853" s="3" t="s">
        <v>62</v>
      </c>
      <c r="K2853" s="3" t="s">
        <v>63</v>
      </c>
      <c r="M2853" s="2" t="s">
        <v>28034</v>
      </c>
      <c r="N2853" s="3" t="s">
        <v>583</v>
      </c>
      <c r="P2853" s="3" t="s">
        <v>65</v>
      </c>
      <c r="R2853" s="3" t="s">
        <v>66</v>
      </c>
      <c r="S2853" s="4">
        <v>25</v>
      </c>
      <c r="T2853" s="4">
        <v>75</v>
      </c>
      <c r="U2853" s="5" t="s">
        <v>28042</v>
      </c>
      <c r="V2853" s="5" t="s">
        <v>19475</v>
      </c>
      <c r="W2853" s="5" t="s">
        <v>67</v>
      </c>
      <c r="X2853" s="5" t="s">
        <v>67</v>
      </c>
      <c r="Y2853" s="4">
        <v>977</v>
      </c>
      <c r="Z2853" s="4">
        <v>56</v>
      </c>
      <c r="AA2853" s="4">
        <v>63</v>
      </c>
      <c r="AB2853" s="4">
        <v>3</v>
      </c>
      <c r="AC2853" s="4">
        <v>7</v>
      </c>
      <c r="AD2853" s="4">
        <v>131</v>
      </c>
      <c r="AE2853" s="4">
        <v>134</v>
      </c>
      <c r="AF2853" s="4">
        <v>1</v>
      </c>
      <c r="AG2853" s="4">
        <v>3</v>
      </c>
      <c r="AH2853" s="4">
        <v>106</v>
      </c>
      <c r="AI2853" s="4">
        <v>108</v>
      </c>
      <c r="AJ2853" s="4">
        <v>21</v>
      </c>
      <c r="AK2853" s="4">
        <v>24</v>
      </c>
      <c r="AL2853" s="4">
        <v>56</v>
      </c>
      <c r="AM2853" s="4">
        <v>56</v>
      </c>
      <c r="AN2853" s="4">
        <v>0</v>
      </c>
      <c r="AO2853" s="4">
        <v>0</v>
      </c>
      <c r="AP2853" s="4">
        <v>34</v>
      </c>
      <c r="AQ2853" s="4">
        <v>36</v>
      </c>
      <c r="AR2853" s="3" t="s">
        <v>62</v>
      </c>
      <c r="AS2853" s="3" t="s">
        <v>62</v>
      </c>
      <c r="AT2853" s="3" t="s">
        <v>61</v>
      </c>
      <c r="AU2853" s="6" t="str">
        <f>HYPERLINK("http://catalog.hathitrust.org/Record/000752413","HathiTrust Record")</f>
        <v>HathiTrust Record</v>
      </c>
      <c r="AV2853" s="6" t="str">
        <f>HYPERLINK("http://mcgill.on.worldcat.org/oclc/3433296","Catalog Record")</f>
        <v>Catalog Record</v>
      </c>
      <c r="AW2853" s="6" t="str">
        <f>HYPERLINK("http://www.worldcat.org/oclc/3433296","WorldCat Record")</f>
        <v>WorldCat Record</v>
      </c>
      <c r="AX2853" s="3" t="s">
        <v>28036</v>
      </c>
      <c r="AY2853" s="3" t="s">
        <v>28037</v>
      </c>
      <c r="AZ2853" s="3" t="s">
        <v>28038</v>
      </c>
      <c r="BA2853" s="3" t="s">
        <v>28038</v>
      </c>
      <c r="BB2853" s="3" t="s">
        <v>28043</v>
      </c>
      <c r="BC2853" s="3" t="s">
        <v>142</v>
      </c>
      <c r="BD2853" s="3" t="s">
        <v>68</v>
      </c>
      <c r="BE2853" s="3" t="s">
        <v>28040</v>
      </c>
      <c r="BF2853" s="3" t="s">
        <v>28043</v>
      </c>
      <c r="BG2853" s="3" t="s">
        <v>28044</v>
      </c>
    </row>
    <row r="2854" spans="1:59" ht="57" x14ac:dyDescent="0.45">
      <c r="A2854" s="2" t="s">
        <v>59</v>
      </c>
      <c r="B2854" s="2" t="s">
        <v>60</v>
      </c>
      <c r="C2854" s="2" t="s">
        <v>28031</v>
      </c>
      <c r="D2854" s="2" t="s">
        <v>28032</v>
      </c>
      <c r="E2854" s="2" t="s">
        <v>28033</v>
      </c>
      <c r="G2854" s="3" t="s">
        <v>62</v>
      </c>
      <c r="I2854" s="3" t="s">
        <v>61</v>
      </c>
      <c r="J2854" s="3" t="s">
        <v>62</v>
      </c>
      <c r="K2854" s="3" t="s">
        <v>63</v>
      </c>
      <c r="M2854" s="2" t="s">
        <v>28034</v>
      </c>
      <c r="N2854" s="3" t="s">
        <v>583</v>
      </c>
      <c r="P2854" s="3" t="s">
        <v>65</v>
      </c>
      <c r="R2854" s="3" t="s">
        <v>66</v>
      </c>
      <c r="S2854" s="4">
        <v>31</v>
      </c>
      <c r="T2854" s="4">
        <v>75</v>
      </c>
      <c r="U2854" s="5" t="s">
        <v>19475</v>
      </c>
      <c r="V2854" s="5" t="s">
        <v>19475</v>
      </c>
      <c r="W2854" s="5" t="s">
        <v>67</v>
      </c>
      <c r="X2854" s="5" t="s">
        <v>67</v>
      </c>
      <c r="Y2854" s="4">
        <v>977</v>
      </c>
      <c r="Z2854" s="4">
        <v>56</v>
      </c>
      <c r="AA2854" s="4">
        <v>63</v>
      </c>
      <c r="AB2854" s="4">
        <v>3</v>
      </c>
      <c r="AC2854" s="4">
        <v>7</v>
      </c>
      <c r="AD2854" s="4">
        <v>131</v>
      </c>
      <c r="AE2854" s="4">
        <v>134</v>
      </c>
      <c r="AF2854" s="4">
        <v>1</v>
      </c>
      <c r="AG2854" s="4">
        <v>3</v>
      </c>
      <c r="AH2854" s="4">
        <v>106</v>
      </c>
      <c r="AI2854" s="4">
        <v>108</v>
      </c>
      <c r="AJ2854" s="4">
        <v>21</v>
      </c>
      <c r="AK2854" s="4">
        <v>24</v>
      </c>
      <c r="AL2854" s="4">
        <v>56</v>
      </c>
      <c r="AM2854" s="4">
        <v>56</v>
      </c>
      <c r="AN2854" s="4">
        <v>0</v>
      </c>
      <c r="AO2854" s="4">
        <v>0</v>
      </c>
      <c r="AP2854" s="4">
        <v>34</v>
      </c>
      <c r="AQ2854" s="4">
        <v>36</v>
      </c>
      <c r="AR2854" s="3" t="s">
        <v>62</v>
      </c>
      <c r="AS2854" s="3" t="s">
        <v>62</v>
      </c>
      <c r="AT2854" s="3" t="s">
        <v>61</v>
      </c>
      <c r="AU2854" s="6" t="str">
        <f>HYPERLINK("http://catalog.hathitrust.org/Record/000752413","HathiTrust Record")</f>
        <v>HathiTrust Record</v>
      </c>
      <c r="AV2854" s="6" t="str">
        <f>HYPERLINK("http://mcgill.on.worldcat.org/oclc/3433296","Catalog Record")</f>
        <v>Catalog Record</v>
      </c>
      <c r="AW2854" s="6" t="str">
        <f>HYPERLINK("http://www.worldcat.org/oclc/3433296","WorldCat Record")</f>
        <v>WorldCat Record</v>
      </c>
      <c r="AX2854" s="3" t="s">
        <v>28036</v>
      </c>
      <c r="AY2854" s="3" t="s">
        <v>28037</v>
      </c>
      <c r="AZ2854" s="3" t="s">
        <v>28038</v>
      </c>
      <c r="BA2854" s="3" t="s">
        <v>28038</v>
      </c>
      <c r="BB2854" s="3" t="s">
        <v>28045</v>
      </c>
      <c r="BC2854" s="3" t="s">
        <v>142</v>
      </c>
      <c r="BD2854" s="3" t="s">
        <v>68</v>
      </c>
      <c r="BE2854" s="3" t="s">
        <v>28040</v>
      </c>
      <c r="BF2854" s="3" t="s">
        <v>28045</v>
      </c>
      <c r="BG2854" s="3" t="s">
        <v>28046</v>
      </c>
    </row>
    <row r="2855" spans="1:59" ht="57" x14ac:dyDescent="0.45">
      <c r="A2855" s="2" t="s">
        <v>59</v>
      </c>
      <c r="B2855" s="2" t="s">
        <v>60</v>
      </c>
      <c r="C2855" s="2" t="s">
        <v>28047</v>
      </c>
      <c r="D2855" s="2" t="s">
        <v>28048</v>
      </c>
      <c r="E2855" s="2" t="s">
        <v>28049</v>
      </c>
      <c r="G2855" s="3" t="s">
        <v>62</v>
      </c>
      <c r="I2855" s="3" t="s">
        <v>62</v>
      </c>
      <c r="J2855" s="3" t="s">
        <v>62</v>
      </c>
      <c r="K2855" s="3" t="s">
        <v>63</v>
      </c>
      <c r="M2855" s="2" t="s">
        <v>28050</v>
      </c>
      <c r="N2855" s="3" t="s">
        <v>149</v>
      </c>
      <c r="P2855" s="3" t="s">
        <v>65</v>
      </c>
      <c r="R2855" s="3" t="s">
        <v>66</v>
      </c>
      <c r="S2855" s="4">
        <v>2</v>
      </c>
      <c r="T2855" s="4">
        <v>2</v>
      </c>
      <c r="U2855" s="5" t="s">
        <v>28051</v>
      </c>
      <c r="V2855" s="5" t="s">
        <v>28051</v>
      </c>
      <c r="W2855" s="5" t="s">
        <v>67</v>
      </c>
      <c r="X2855" s="5" t="s">
        <v>67</v>
      </c>
      <c r="Y2855" s="4">
        <v>71</v>
      </c>
      <c r="Z2855" s="4">
        <v>12</v>
      </c>
      <c r="AA2855" s="4">
        <v>17</v>
      </c>
      <c r="AB2855" s="4">
        <v>2</v>
      </c>
      <c r="AC2855" s="4">
        <v>5</v>
      </c>
      <c r="AD2855" s="4">
        <v>29</v>
      </c>
      <c r="AE2855" s="4">
        <v>41</v>
      </c>
      <c r="AF2855" s="4">
        <v>1</v>
      </c>
      <c r="AG2855" s="4">
        <v>2</v>
      </c>
      <c r="AH2855" s="4">
        <v>26</v>
      </c>
      <c r="AI2855" s="4">
        <v>36</v>
      </c>
      <c r="AJ2855" s="4">
        <v>9</v>
      </c>
      <c r="AK2855" s="4">
        <v>11</v>
      </c>
      <c r="AL2855" s="4">
        <v>19</v>
      </c>
      <c r="AM2855" s="4">
        <v>23</v>
      </c>
      <c r="AN2855" s="4">
        <v>0</v>
      </c>
      <c r="AO2855" s="4">
        <v>0</v>
      </c>
      <c r="AP2855" s="4">
        <v>9</v>
      </c>
      <c r="AQ2855" s="4">
        <v>10</v>
      </c>
      <c r="AR2855" s="3" t="s">
        <v>62</v>
      </c>
      <c r="AS2855" s="3" t="s">
        <v>62</v>
      </c>
      <c r="AT2855" s="3" t="s">
        <v>62</v>
      </c>
      <c r="AV2855" s="6" t="str">
        <f>HYPERLINK("http://mcgill.on.worldcat.org/oclc/551122622","Catalog Record")</f>
        <v>Catalog Record</v>
      </c>
      <c r="AW2855" s="6" t="str">
        <f>HYPERLINK("http://www.worldcat.org/oclc/551122622","WorldCat Record")</f>
        <v>WorldCat Record</v>
      </c>
      <c r="AX2855" s="3" t="s">
        <v>28052</v>
      </c>
      <c r="AY2855" s="3" t="s">
        <v>28053</v>
      </c>
      <c r="AZ2855" s="3" t="s">
        <v>28054</v>
      </c>
      <c r="BA2855" s="3" t="s">
        <v>28054</v>
      </c>
      <c r="BB2855" s="3" t="s">
        <v>28055</v>
      </c>
      <c r="BC2855" s="3" t="s">
        <v>142</v>
      </c>
      <c r="BD2855" s="3" t="s">
        <v>68</v>
      </c>
      <c r="BE2855" s="3" t="s">
        <v>28056</v>
      </c>
      <c r="BF2855" s="3" t="s">
        <v>28055</v>
      </c>
      <c r="BG2855" s="3" t="s">
        <v>28057</v>
      </c>
    </row>
    <row r="2856" spans="1:59" ht="71.25" x14ac:dyDescent="0.45">
      <c r="A2856" s="2" t="s">
        <v>59</v>
      </c>
      <c r="B2856" s="2" t="s">
        <v>60</v>
      </c>
      <c r="C2856" s="2" t="s">
        <v>28058</v>
      </c>
      <c r="D2856" s="2" t="s">
        <v>28059</v>
      </c>
      <c r="E2856" s="2" t="s">
        <v>28060</v>
      </c>
      <c r="G2856" s="3" t="s">
        <v>62</v>
      </c>
      <c r="I2856" s="3" t="s">
        <v>62</v>
      </c>
      <c r="J2856" s="3" t="s">
        <v>62</v>
      </c>
      <c r="K2856" s="3" t="s">
        <v>63</v>
      </c>
      <c r="L2856" s="2" t="s">
        <v>28061</v>
      </c>
      <c r="M2856" s="2" t="s">
        <v>28062</v>
      </c>
      <c r="N2856" s="3" t="s">
        <v>894</v>
      </c>
      <c r="P2856" s="3" t="s">
        <v>65</v>
      </c>
      <c r="Q2856" s="2" t="s">
        <v>28063</v>
      </c>
      <c r="R2856" s="3" t="s">
        <v>66</v>
      </c>
      <c r="S2856" s="4">
        <v>10</v>
      </c>
      <c r="T2856" s="4">
        <v>10</v>
      </c>
      <c r="U2856" s="5" t="s">
        <v>28064</v>
      </c>
      <c r="V2856" s="5" t="s">
        <v>28064</v>
      </c>
      <c r="W2856" s="5" t="s">
        <v>67</v>
      </c>
      <c r="X2856" s="5" t="s">
        <v>67</v>
      </c>
      <c r="Y2856" s="4">
        <v>380</v>
      </c>
      <c r="Z2856" s="4">
        <v>28</v>
      </c>
      <c r="AA2856" s="4">
        <v>41</v>
      </c>
      <c r="AB2856" s="4">
        <v>2</v>
      </c>
      <c r="AC2856" s="4">
        <v>8</v>
      </c>
      <c r="AD2856" s="4">
        <v>101</v>
      </c>
      <c r="AE2856" s="4">
        <v>115</v>
      </c>
      <c r="AF2856" s="4">
        <v>1</v>
      </c>
      <c r="AG2856" s="4">
        <v>4</v>
      </c>
      <c r="AH2856" s="4">
        <v>86</v>
      </c>
      <c r="AI2856" s="4">
        <v>92</v>
      </c>
      <c r="AJ2856" s="4">
        <v>16</v>
      </c>
      <c r="AK2856" s="4">
        <v>22</v>
      </c>
      <c r="AL2856" s="4">
        <v>50</v>
      </c>
      <c r="AM2856" s="4">
        <v>52</v>
      </c>
      <c r="AN2856" s="4">
        <v>0</v>
      </c>
      <c r="AO2856" s="4">
        <v>0</v>
      </c>
      <c r="AP2856" s="4">
        <v>22</v>
      </c>
      <c r="AQ2856" s="4">
        <v>31</v>
      </c>
      <c r="AR2856" s="3" t="s">
        <v>62</v>
      </c>
      <c r="AS2856" s="3" t="s">
        <v>62</v>
      </c>
      <c r="AT2856" s="3" t="s">
        <v>62</v>
      </c>
      <c r="AV2856" s="6" t="str">
        <f>HYPERLINK("http://mcgill.on.worldcat.org/oclc/700406654","Catalog Record")</f>
        <v>Catalog Record</v>
      </c>
      <c r="AW2856" s="6" t="str">
        <f>HYPERLINK("http://www.worldcat.org/oclc/700406654","WorldCat Record")</f>
        <v>WorldCat Record</v>
      </c>
      <c r="AX2856" s="3" t="s">
        <v>28065</v>
      </c>
      <c r="AY2856" s="3" t="s">
        <v>28066</v>
      </c>
      <c r="AZ2856" s="3" t="s">
        <v>28067</v>
      </c>
      <c r="BA2856" s="3" t="s">
        <v>28067</v>
      </c>
      <c r="BB2856" s="3" t="s">
        <v>28068</v>
      </c>
      <c r="BC2856" s="3" t="s">
        <v>142</v>
      </c>
      <c r="BD2856" s="3" t="s">
        <v>308</v>
      </c>
      <c r="BE2856" s="3" t="s">
        <v>28069</v>
      </c>
      <c r="BF2856" s="3" t="s">
        <v>28068</v>
      </c>
      <c r="BG2856" s="3" t="s">
        <v>28070</v>
      </c>
    </row>
    <row r="2857" spans="1:59" ht="57" x14ac:dyDescent="0.45">
      <c r="A2857" s="2" t="s">
        <v>59</v>
      </c>
      <c r="B2857" s="2" t="s">
        <v>60</v>
      </c>
      <c r="C2857" s="2" t="s">
        <v>28071</v>
      </c>
      <c r="D2857" s="2" t="s">
        <v>28072</v>
      </c>
      <c r="E2857" s="2" t="s">
        <v>28073</v>
      </c>
      <c r="G2857" s="3" t="s">
        <v>62</v>
      </c>
      <c r="I2857" s="3" t="s">
        <v>62</v>
      </c>
      <c r="J2857" s="3" t="s">
        <v>62</v>
      </c>
      <c r="K2857" s="3" t="s">
        <v>63</v>
      </c>
      <c r="L2857" s="2" t="s">
        <v>28074</v>
      </c>
      <c r="M2857" s="2" t="s">
        <v>28075</v>
      </c>
      <c r="N2857" s="3" t="s">
        <v>1478</v>
      </c>
      <c r="P2857" s="3" t="s">
        <v>65</v>
      </c>
      <c r="Q2857" s="2" t="s">
        <v>28076</v>
      </c>
      <c r="R2857" s="3" t="s">
        <v>66</v>
      </c>
      <c r="S2857" s="4">
        <v>8</v>
      </c>
      <c r="T2857" s="4">
        <v>8</v>
      </c>
      <c r="U2857" s="5" t="s">
        <v>28077</v>
      </c>
      <c r="V2857" s="5" t="s">
        <v>28077</v>
      </c>
      <c r="W2857" s="5" t="s">
        <v>67</v>
      </c>
      <c r="X2857" s="5" t="s">
        <v>67</v>
      </c>
      <c r="Y2857" s="4">
        <v>225</v>
      </c>
      <c r="Z2857" s="4">
        <v>22</v>
      </c>
      <c r="AA2857" s="4">
        <v>28</v>
      </c>
      <c r="AB2857" s="4">
        <v>2</v>
      </c>
      <c r="AC2857" s="4">
        <v>7</v>
      </c>
      <c r="AD2857" s="4">
        <v>68</v>
      </c>
      <c r="AE2857" s="4">
        <v>77</v>
      </c>
      <c r="AF2857" s="4">
        <v>1</v>
      </c>
      <c r="AG2857" s="4">
        <v>3</v>
      </c>
      <c r="AH2857" s="4">
        <v>57</v>
      </c>
      <c r="AI2857" s="4">
        <v>65</v>
      </c>
      <c r="AJ2857" s="4">
        <v>16</v>
      </c>
      <c r="AK2857" s="4">
        <v>18</v>
      </c>
      <c r="AL2857" s="4">
        <v>32</v>
      </c>
      <c r="AM2857" s="4">
        <v>34</v>
      </c>
      <c r="AN2857" s="4">
        <v>0</v>
      </c>
      <c r="AO2857" s="4">
        <v>0</v>
      </c>
      <c r="AP2857" s="4">
        <v>18</v>
      </c>
      <c r="AQ2857" s="4">
        <v>19</v>
      </c>
      <c r="AR2857" s="3" t="s">
        <v>62</v>
      </c>
      <c r="AS2857" s="3" t="s">
        <v>62</v>
      </c>
      <c r="AT2857" s="3" t="s">
        <v>61</v>
      </c>
      <c r="AU2857" s="6" t="str">
        <f>HYPERLINK("http://catalog.hathitrust.org/Record/003132054","HathiTrust Record")</f>
        <v>HathiTrust Record</v>
      </c>
      <c r="AV2857" s="6" t="str">
        <f>HYPERLINK("http://mcgill.on.worldcat.org/oclc/35693108","Catalog Record")</f>
        <v>Catalog Record</v>
      </c>
      <c r="AW2857" s="6" t="str">
        <f>HYPERLINK("http://www.worldcat.org/oclc/35693108","WorldCat Record")</f>
        <v>WorldCat Record</v>
      </c>
      <c r="AX2857" s="3" t="s">
        <v>28078</v>
      </c>
      <c r="AY2857" s="3" t="s">
        <v>28079</v>
      </c>
      <c r="AZ2857" s="3" t="s">
        <v>28080</v>
      </c>
      <c r="BA2857" s="3" t="s">
        <v>28080</v>
      </c>
      <c r="BB2857" s="3" t="s">
        <v>28081</v>
      </c>
      <c r="BC2857" s="3" t="s">
        <v>142</v>
      </c>
      <c r="BD2857" s="3" t="s">
        <v>68</v>
      </c>
      <c r="BE2857" s="3" t="s">
        <v>28082</v>
      </c>
      <c r="BF2857" s="3" t="s">
        <v>28081</v>
      </c>
      <c r="BG2857" s="3" t="s">
        <v>28083</v>
      </c>
    </row>
    <row r="2858" spans="1:59" ht="57" x14ac:dyDescent="0.45">
      <c r="A2858" s="2" t="s">
        <v>59</v>
      </c>
      <c r="B2858" s="2" t="s">
        <v>60</v>
      </c>
      <c r="C2858" s="2" t="s">
        <v>28084</v>
      </c>
      <c r="D2858" s="2" t="s">
        <v>28085</v>
      </c>
      <c r="E2858" s="2" t="s">
        <v>28086</v>
      </c>
      <c r="F2858" s="3" t="s">
        <v>2402</v>
      </c>
      <c r="G2858" s="3" t="s">
        <v>62</v>
      </c>
      <c r="I2858" s="3" t="s">
        <v>62</v>
      </c>
      <c r="J2858" s="3" t="s">
        <v>62</v>
      </c>
      <c r="K2858" s="3" t="s">
        <v>63</v>
      </c>
      <c r="L2858" s="2" t="s">
        <v>28087</v>
      </c>
      <c r="M2858" s="2" t="s">
        <v>28088</v>
      </c>
      <c r="N2858" s="3" t="s">
        <v>918</v>
      </c>
      <c r="P2858" s="3" t="s">
        <v>65</v>
      </c>
      <c r="Q2858" s="2" t="s">
        <v>28089</v>
      </c>
      <c r="R2858" s="3" t="s">
        <v>66</v>
      </c>
      <c r="S2858" s="4">
        <v>6</v>
      </c>
      <c r="T2858" s="4">
        <v>6</v>
      </c>
      <c r="U2858" s="5" t="s">
        <v>28090</v>
      </c>
      <c r="V2858" s="5" t="s">
        <v>28090</v>
      </c>
      <c r="W2858" s="5" t="s">
        <v>67</v>
      </c>
      <c r="X2858" s="5" t="s">
        <v>67</v>
      </c>
      <c r="Y2858" s="4">
        <v>102</v>
      </c>
      <c r="Z2858" s="4">
        <v>8</v>
      </c>
      <c r="AA2858" s="4">
        <v>9</v>
      </c>
      <c r="AB2858" s="4">
        <v>1</v>
      </c>
      <c r="AC2858" s="4">
        <v>1</v>
      </c>
      <c r="AD2858" s="4">
        <v>47</v>
      </c>
      <c r="AE2858" s="4">
        <v>48</v>
      </c>
      <c r="AF2858" s="4">
        <v>0</v>
      </c>
      <c r="AG2858" s="4">
        <v>0</v>
      </c>
      <c r="AH2858" s="4">
        <v>45</v>
      </c>
      <c r="AI2858" s="4">
        <v>45</v>
      </c>
      <c r="AJ2858" s="4">
        <v>5</v>
      </c>
      <c r="AK2858" s="4">
        <v>6</v>
      </c>
      <c r="AL2858" s="4">
        <v>32</v>
      </c>
      <c r="AM2858" s="4">
        <v>32</v>
      </c>
      <c r="AN2858" s="4">
        <v>0</v>
      </c>
      <c r="AO2858" s="4">
        <v>0</v>
      </c>
      <c r="AP2858" s="4">
        <v>6</v>
      </c>
      <c r="AQ2858" s="4">
        <v>7</v>
      </c>
      <c r="AR2858" s="3" t="s">
        <v>62</v>
      </c>
      <c r="AS2858" s="3" t="s">
        <v>62</v>
      </c>
      <c r="AT2858" s="3" t="s">
        <v>62</v>
      </c>
      <c r="AV2858" s="6" t="str">
        <f>HYPERLINK("http://mcgill.on.worldcat.org/oclc/51258176","Catalog Record")</f>
        <v>Catalog Record</v>
      </c>
      <c r="AW2858" s="6" t="str">
        <f>HYPERLINK("http://www.worldcat.org/oclc/51258176","WorldCat Record")</f>
        <v>WorldCat Record</v>
      </c>
      <c r="AX2858" s="3" t="s">
        <v>28091</v>
      </c>
      <c r="AY2858" s="3" t="s">
        <v>28092</v>
      </c>
      <c r="AZ2858" s="3" t="s">
        <v>28093</v>
      </c>
      <c r="BA2858" s="3" t="s">
        <v>28093</v>
      </c>
      <c r="BB2858" s="3" t="s">
        <v>28094</v>
      </c>
      <c r="BC2858" s="3" t="s">
        <v>142</v>
      </c>
      <c r="BD2858" s="3" t="s">
        <v>68</v>
      </c>
      <c r="BE2858" s="3" t="s">
        <v>28095</v>
      </c>
      <c r="BF2858" s="3" t="s">
        <v>28094</v>
      </c>
      <c r="BG2858" s="3" t="s">
        <v>28096</v>
      </c>
    </row>
    <row r="2859" spans="1:59" ht="57" x14ac:dyDescent="0.45">
      <c r="A2859" s="2" t="s">
        <v>59</v>
      </c>
      <c r="B2859" s="2" t="s">
        <v>60</v>
      </c>
      <c r="C2859" s="2" t="s">
        <v>28097</v>
      </c>
      <c r="D2859" s="2" t="s">
        <v>28098</v>
      </c>
      <c r="E2859" s="2" t="s">
        <v>28099</v>
      </c>
      <c r="G2859" s="3" t="s">
        <v>62</v>
      </c>
      <c r="I2859" s="3" t="s">
        <v>62</v>
      </c>
      <c r="J2859" s="3" t="s">
        <v>62</v>
      </c>
      <c r="K2859" s="3" t="s">
        <v>63</v>
      </c>
      <c r="M2859" s="2" t="s">
        <v>9766</v>
      </c>
      <c r="N2859" s="3" t="s">
        <v>542</v>
      </c>
      <c r="P2859" s="3" t="s">
        <v>65</v>
      </c>
      <c r="R2859" s="3" t="s">
        <v>66</v>
      </c>
      <c r="S2859" s="4">
        <v>7</v>
      </c>
      <c r="T2859" s="4">
        <v>7</v>
      </c>
      <c r="U2859" s="5" t="s">
        <v>12304</v>
      </c>
      <c r="V2859" s="5" t="s">
        <v>12304</v>
      </c>
      <c r="W2859" s="5" t="s">
        <v>67</v>
      </c>
      <c r="X2859" s="5" t="s">
        <v>67</v>
      </c>
      <c r="Y2859" s="4">
        <v>164</v>
      </c>
      <c r="Z2859" s="4">
        <v>13</v>
      </c>
      <c r="AA2859" s="4">
        <v>14</v>
      </c>
      <c r="AB2859" s="4">
        <v>3</v>
      </c>
      <c r="AC2859" s="4">
        <v>4</v>
      </c>
      <c r="AD2859" s="4">
        <v>78</v>
      </c>
      <c r="AE2859" s="4">
        <v>79</v>
      </c>
      <c r="AF2859" s="4">
        <v>1</v>
      </c>
      <c r="AG2859" s="4">
        <v>2</v>
      </c>
      <c r="AH2859" s="4">
        <v>71</v>
      </c>
      <c r="AI2859" s="4">
        <v>72</v>
      </c>
      <c r="AJ2859" s="4">
        <v>10</v>
      </c>
      <c r="AK2859" s="4">
        <v>11</v>
      </c>
      <c r="AL2859" s="4">
        <v>45</v>
      </c>
      <c r="AM2859" s="4">
        <v>45</v>
      </c>
      <c r="AN2859" s="4">
        <v>0</v>
      </c>
      <c r="AO2859" s="4">
        <v>0</v>
      </c>
      <c r="AP2859" s="4">
        <v>10</v>
      </c>
      <c r="AQ2859" s="4">
        <v>11</v>
      </c>
      <c r="AR2859" s="3" t="s">
        <v>62</v>
      </c>
      <c r="AS2859" s="3" t="s">
        <v>62</v>
      </c>
      <c r="AT2859" s="3" t="s">
        <v>61</v>
      </c>
      <c r="AU2859" s="6" t="str">
        <f>HYPERLINK("http://catalog.hathitrust.org/Record/003559945","HathiTrust Record")</f>
        <v>HathiTrust Record</v>
      </c>
      <c r="AV2859" s="6" t="str">
        <f>HYPERLINK("http://mcgill.on.worldcat.org/oclc/45484483","Catalog Record")</f>
        <v>Catalog Record</v>
      </c>
      <c r="AW2859" s="6" t="str">
        <f>HYPERLINK("http://www.worldcat.org/oclc/45484483","WorldCat Record")</f>
        <v>WorldCat Record</v>
      </c>
      <c r="AX2859" s="3" t="s">
        <v>28100</v>
      </c>
      <c r="AY2859" s="3" t="s">
        <v>28101</v>
      </c>
      <c r="AZ2859" s="3" t="s">
        <v>28102</v>
      </c>
      <c r="BA2859" s="3" t="s">
        <v>28102</v>
      </c>
      <c r="BB2859" s="3" t="s">
        <v>28103</v>
      </c>
      <c r="BC2859" s="3" t="s">
        <v>142</v>
      </c>
      <c r="BD2859" s="3" t="s">
        <v>68</v>
      </c>
      <c r="BE2859" s="3" t="s">
        <v>28104</v>
      </c>
      <c r="BF2859" s="3" t="s">
        <v>28103</v>
      </c>
      <c r="BG2859" s="3" t="s">
        <v>28105</v>
      </c>
    </row>
    <row r="2860" spans="1:59" ht="57" x14ac:dyDescent="0.45">
      <c r="A2860" s="2" t="s">
        <v>59</v>
      </c>
      <c r="B2860" s="2" t="s">
        <v>60</v>
      </c>
      <c r="C2860" s="2" t="s">
        <v>28106</v>
      </c>
      <c r="D2860" s="2" t="s">
        <v>28107</v>
      </c>
      <c r="E2860" s="2" t="s">
        <v>28108</v>
      </c>
      <c r="G2860" s="3" t="s">
        <v>62</v>
      </c>
      <c r="I2860" s="3" t="s">
        <v>62</v>
      </c>
      <c r="J2860" s="3" t="s">
        <v>62</v>
      </c>
      <c r="K2860" s="3" t="s">
        <v>63</v>
      </c>
      <c r="M2860" s="2" t="s">
        <v>4371</v>
      </c>
      <c r="N2860" s="3" t="s">
        <v>945</v>
      </c>
      <c r="P2860" s="3" t="s">
        <v>65</v>
      </c>
      <c r="Q2860" s="2" t="s">
        <v>28109</v>
      </c>
      <c r="R2860" s="3" t="s">
        <v>66</v>
      </c>
      <c r="S2860" s="4">
        <v>4</v>
      </c>
      <c r="T2860" s="4">
        <v>4</v>
      </c>
      <c r="U2860" s="5" t="s">
        <v>445</v>
      </c>
      <c r="V2860" s="5" t="s">
        <v>445</v>
      </c>
      <c r="W2860" s="5" t="s">
        <v>67</v>
      </c>
      <c r="X2860" s="5" t="s">
        <v>67</v>
      </c>
      <c r="Y2860" s="4">
        <v>103</v>
      </c>
      <c r="Z2860" s="4">
        <v>13</v>
      </c>
      <c r="AA2860" s="4">
        <v>96</v>
      </c>
      <c r="AB2860" s="4">
        <v>1</v>
      </c>
      <c r="AC2860" s="4">
        <v>17</v>
      </c>
      <c r="AD2860" s="4">
        <v>48</v>
      </c>
      <c r="AE2860" s="4">
        <v>113</v>
      </c>
      <c r="AF2860" s="4">
        <v>0</v>
      </c>
      <c r="AG2860" s="4">
        <v>8</v>
      </c>
      <c r="AH2860" s="4">
        <v>43</v>
      </c>
      <c r="AI2860" s="4">
        <v>77</v>
      </c>
      <c r="AJ2860" s="4">
        <v>10</v>
      </c>
      <c r="AK2860" s="4">
        <v>23</v>
      </c>
      <c r="AL2860" s="4">
        <v>30</v>
      </c>
      <c r="AM2860" s="4">
        <v>42</v>
      </c>
      <c r="AN2860" s="4">
        <v>0</v>
      </c>
      <c r="AO2860" s="4">
        <v>0</v>
      </c>
      <c r="AP2860" s="4">
        <v>11</v>
      </c>
      <c r="AQ2860" s="4">
        <v>44</v>
      </c>
      <c r="AR2860" s="3" t="s">
        <v>62</v>
      </c>
      <c r="AS2860" s="3" t="s">
        <v>62</v>
      </c>
      <c r="AT2860" s="3" t="s">
        <v>62</v>
      </c>
      <c r="AV2860" s="6" t="str">
        <f>HYPERLINK("http://mcgill.on.worldcat.org/oclc/136725510","Catalog Record")</f>
        <v>Catalog Record</v>
      </c>
      <c r="AW2860" s="6" t="str">
        <f>HYPERLINK("http://www.worldcat.org/oclc/136725510","WorldCat Record")</f>
        <v>WorldCat Record</v>
      </c>
      <c r="AX2860" s="3" t="s">
        <v>28110</v>
      </c>
      <c r="AY2860" s="3" t="s">
        <v>28111</v>
      </c>
      <c r="AZ2860" s="3" t="s">
        <v>28112</v>
      </c>
      <c r="BA2860" s="3" t="s">
        <v>28112</v>
      </c>
      <c r="BB2860" s="3" t="s">
        <v>28113</v>
      </c>
      <c r="BC2860" s="3" t="s">
        <v>142</v>
      </c>
      <c r="BD2860" s="3" t="s">
        <v>68</v>
      </c>
      <c r="BE2860" s="3" t="s">
        <v>28114</v>
      </c>
      <c r="BF2860" s="3" t="s">
        <v>28113</v>
      </c>
      <c r="BG2860" s="3" t="s">
        <v>28115</v>
      </c>
    </row>
    <row r="2861" spans="1:59" ht="57" x14ac:dyDescent="0.45">
      <c r="A2861" s="2" t="s">
        <v>59</v>
      </c>
      <c r="B2861" s="2" t="s">
        <v>60</v>
      </c>
      <c r="C2861" s="2" t="s">
        <v>28116</v>
      </c>
      <c r="D2861" s="2" t="s">
        <v>28117</v>
      </c>
      <c r="E2861" s="2" t="s">
        <v>28118</v>
      </c>
      <c r="F2861" s="3" t="s">
        <v>87</v>
      </c>
      <c r="G2861" s="3" t="s">
        <v>61</v>
      </c>
      <c r="I2861" s="3" t="s">
        <v>62</v>
      </c>
      <c r="J2861" s="3" t="s">
        <v>62</v>
      </c>
      <c r="K2861" s="3" t="s">
        <v>63</v>
      </c>
      <c r="M2861" s="2" t="s">
        <v>28119</v>
      </c>
      <c r="N2861" s="3" t="s">
        <v>945</v>
      </c>
      <c r="P2861" s="3" t="s">
        <v>65</v>
      </c>
      <c r="R2861" s="3" t="s">
        <v>66</v>
      </c>
      <c r="S2861" s="4">
        <v>2</v>
      </c>
      <c r="T2861" s="4">
        <v>3</v>
      </c>
      <c r="U2861" s="5" t="s">
        <v>12304</v>
      </c>
      <c r="V2861" s="5" t="s">
        <v>12304</v>
      </c>
      <c r="W2861" s="5" t="s">
        <v>67</v>
      </c>
      <c r="X2861" s="5" t="s">
        <v>67</v>
      </c>
      <c r="Y2861" s="4">
        <v>103</v>
      </c>
      <c r="Z2861" s="4">
        <v>7</v>
      </c>
      <c r="AA2861" s="4">
        <v>17</v>
      </c>
      <c r="AB2861" s="4">
        <v>1</v>
      </c>
      <c r="AC2861" s="4">
        <v>5</v>
      </c>
      <c r="AD2861" s="4">
        <v>53</v>
      </c>
      <c r="AE2861" s="4">
        <v>63</v>
      </c>
      <c r="AF2861" s="4">
        <v>0</v>
      </c>
      <c r="AG2861" s="4">
        <v>3</v>
      </c>
      <c r="AH2861" s="4">
        <v>48</v>
      </c>
      <c r="AI2861" s="4">
        <v>55</v>
      </c>
      <c r="AJ2861" s="4">
        <v>5</v>
      </c>
      <c r="AK2861" s="4">
        <v>13</v>
      </c>
      <c r="AL2861" s="4">
        <v>34</v>
      </c>
      <c r="AM2861" s="4">
        <v>36</v>
      </c>
      <c r="AN2861" s="4">
        <v>0</v>
      </c>
      <c r="AO2861" s="4">
        <v>0</v>
      </c>
      <c r="AP2861" s="4">
        <v>6</v>
      </c>
      <c r="AQ2861" s="4">
        <v>13</v>
      </c>
      <c r="AR2861" s="3" t="s">
        <v>62</v>
      </c>
      <c r="AS2861" s="3" t="s">
        <v>62</v>
      </c>
      <c r="AT2861" s="3" t="s">
        <v>62</v>
      </c>
      <c r="AV2861" s="6" t="str">
        <f>HYPERLINK("http://mcgill.on.worldcat.org/oclc/70230769","Catalog Record")</f>
        <v>Catalog Record</v>
      </c>
      <c r="AW2861" s="6" t="str">
        <f>HYPERLINK("http://www.worldcat.org/oclc/70230769","WorldCat Record")</f>
        <v>WorldCat Record</v>
      </c>
      <c r="AX2861" s="3" t="s">
        <v>28120</v>
      </c>
      <c r="AY2861" s="3" t="s">
        <v>28121</v>
      </c>
      <c r="AZ2861" s="3" t="s">
        <v>28122</v>
      </c>
      <c r="BA2861" s="3" t="s">
        <v>28122</v>
      </c>
      <c r="BB2861" s="3" t="s">
        <v>28123</v>
      </c>
      <c r="BC2861" s="3" t="s">
        <v>142</v>
      </c>
      <c r="BD2861" s="3" t="s">
        <v>68</v>
      </c>
      <c r="BE2861" s="3" t="s">
        <v>28124</v>
      </c>
      <c r="BF2861" s="3" t="s">
        <v>28123</v>
      </c>
      <c r="BG2861" s="3" t="s">
        <v>28125</v>
      </c>
    </row>
    <row r="2862" spans="1:59" ht="57" x14ac:dyDescent="0.45">
      <c r="A2862" s="2" t="s">
        <v>59</v>
      </c>
      <c r="B2862" s="2" t="s">
        <v>60</v>
      </c>
      <c r="C2862" s="2" t="s">
        <v>28116</v>
      </c>
      <c r="D2862" s="2" t="s">
        <v>28117</v>
      </c>
      <c r="E2862" s="2" t="s">
        <v>28118</v>
      </c>
      <c r="F2862" s="3" t="s">
        <v>90</v>
      </c>
      <c r="G2862" s="3" t="s">
        <v>61</v>
      </c>
      <c r="I2862" s="3" t="s">
        <v>62</v>
      </c>
      <c r="J2862" s="3" t="s">
        <v>62</v>
      </c>
      <c r="K2862" s="3" t="s">
        <v>63</v>
      </c>
      <c r="M2862" s="2" t="s">
        <v>28119</v>
      </c>
      <c r="N2862" s="3" t="s">
        <v>945</v>
      </c>
      <c r="P2862" s="3" t="s">
        <v>65</v>
      </c>
      <c r="R2862" s="3" t="s">
        <v>66</v>
      </c>
      <c r="S2862" s="4">
        <v>1</v>
      </c>
      <c r="T2862" s="4">
        <v>3</v>
      </c>
      <c r="U2862" s="5" t="s">
        <v>12304</v>
      </c>
      <c r="V2862" s="5" t="s">
        <v>12304</v>
      </c>
      <c r="W2862" s="5" t="s">
        <v>67</v>
      </c>
      <c r="X2862" s="5" t="s">
        <v>67</v>
      </c>
      <c r="Y2862" s="4">
        <v>103</v>
      </c>
      <c r="Z2862" s="4">
        <v>7</v>
      </c>
      <c r="AA2862" s="4">
        <v>17</v>
      </c>
      <c r="AB2862" s="4">
        <v>1</v>
      </c>
      <c r="AC2862" s="4">
        <v>5</v>
      </c>
      <c r="AD2862" s="4">
        <v>53</v>
      </c>
      <c r="AE2862" s="4">
        <v>63</v>
      </c>
      <c r="AF2862" s="4">
        <v>0</v>
      </c>
      <c r="AG2862" s="4">
        <v>3</v>
      </c>
      <c r="AH2862" s="4">
        <v>48</v>
      </c>
      <c r="AI2862" s="4">
        <v>55</v>
      </c>
      <c r="AJ2862" s="4">
        <v>5</v>
      </c>
      <c r="AK2862" s="4">
        <v>13</v>
      </c>
      <c r="AL2862" s="4">
        <v>34</v>
      </c>
      <c r="AM2862" s="4">
        <v>36</v>
      </c>
      <c r="AN2862" s="4">
        <v>0</v>
      </c>
      <c r="AO2862" s="4">
        <v>0</v>
      </c>
      <c r="AP2862" s="4">
        <v>6</v>
      </c>
      <c r="AQ2862" s="4">
        <v>13</v>
      </c>
      <c r="AR2862" s="3" t="s">
        <v>62</v>
      </c>
      <c r="AS2862" s="3" t="s">
        <v>62</v>
      </c>
      <c r="AT2862" s="3" t="s">
        <v>62</v>
      </c>
      <c r="AV2862" s="6" t="str">
        <f>HYPERLINK("http://mcgill.on.worldcat.org/oclc/70230769","Catalog Record")</f>
        <v>Catalog Record</v>
      </c>
      <c r="AW2862" s="6" t="str">
        <f>HYPERLINK("http://www.worldcat.org/oclc/70230769","WorldCat Record")</f>
        <v>WorldCat Record</v>
      </c>
      <c r="AX2862" s="3" t="s">
        <v>28120</v>
      </c>
      <c r="AY2862" s="3" t="s">
        <v>28121</v>
      </c>
      <c r="AZ2862" s="3" t="s">
        <v>28122</v>
      </c>
      <c r="BA2862" s="3" t="s">
        <v>28122</v>
      </c>
      <c r="BB2862" s="3" t="s">
        <v>28126</v>
      </c>
      <c r="BC2862" s="3" t="s">
        <v>142</v>
      </c>
      <c r="BD2862" s="3" t="s">
        <v>68</v>
      </c>
      <c r="BE2862" s="3" t="s">
        <v>28124</v>
      </c>
      <c r="BF2862" s="3" t="s">
        <v>28126</v>
      </c>
      <c r="BG2862" s="3" t="s">
        <v>28127</v>
      </c>
    </row>
    <row r="2863" spans="1:59" ht="57" x14ac:dyDescent="0.45">
      <c r="A2863" s="2" t="s">
        <v>59</v>
      </c>
      <c r="B2863" s="2" t="s">
        <v>60</v>
      </c>
      <c r="C2863" s="2" t="s">
        <v>28128</v>
      </c>
      <c r="D2863" s="2" t="s">
        <v>28129</v>
      </c>
      <c r="E2863" s="2" t="s">
        <v>28130</v>
      </c>
      <c r="G2863" s="3" t="s">
        <v>62</v>
      </c>
      <c r="I2863" s="3" t="s">
        <v>62</v>
      </c>
      <c r="J2863" s="3" t="s">
        <v>62</v>
      </c>
      <c r="K2863" s="3" t="s">
        <v>63</v>
      </c>
      <c r="L2863" s="2" t="s">
        <v>28131</v>
      </c>
      <c r="M2863" s="2" t="s">
        <v>28132</v>
      </c>
      <c r="N2863" s="3" t="s">
        <v>625</v>
      </c>
      <c r="P2863" s="3" t="s">
        <v>65</v>
      </c>
      <c r="R2863" s="3" t="s">
        <v>66</v>
      </c>
      <c r="S2863" s="4">
        <v>7</v>
      </c>
      <c r="T2863" s="4">
        <v>7</v>
      </c>
      <c r="U2863" s="5" t="s">
        <v>28133</v>
      </c>
      <c r="V2863" s="5" t="s">
        <v>28133</v>
      </c>
      <c r="W2863" s="5" t="s">
        <v>67</v>
      </c>
      <c r="X2863" s="5" t="s">
        <v>67</v>
      </c>
      <c r="Y2863" s="4">
        <v>344</v>
      </c>
      <c r="Z2863" s="4">
        <v>17</v>
      </c>
      <c r="AA2863" s="4">
        <v>20</v>
      </c>
      <c r="AB2863" s="4">
        <v>2</v>
      </c>
      <c r="AC2863" s="4">
        <v>5</v>
      </c>
      <c r="AD2863" s="4">
        <v>89</v>
      </c>
      <c r="AE2863" s="4">
        <v>93</v>
      </c>
      <c r="AF2863" s="4">
        <v>1</v>
      </c>
      <c r="AG2863" s="4">
        <v>4</v>
      </c>
      <c r="AH2863" s="4">
        <v>80</v>
      </c>
      <c r="AI2863" s="4">
        <v>82</v>
      </c>
      <c r="AJ2863" s="4">
        <v>14</v>
      </c>
      <c r="AK2863" s="4">
        <v>17</v>
      </c>
      <c r="AL2863" s="4">
        <v>44</v>
      </c>
      <c r="AM2863" s="4">
        <v>44</v>
      </c>
      <c r="AN2863" s="4">
        <v>0</v>
      </c>
      <c r="AO2863" s="4">
        <v>0</v>
      </c>
      <c r="AP2863" s="4">
        <v>15</v>
      </c>
      <c r="AQ2863" s="4">
        <v>17</v>
      </c>
      <c r="AR2863" s="3" t="s">
        <v>62</v>
      </c>
      <c r="AS2863" s="3" t="s">
        <v>62</v>
      </c>
      <c r="AT2863" s="3" t="s">
        <v>61</v>
      </c>
      <c r="AU2863" s="6" t="str">
        <f>HYPERLINK("http://catalog.hathitrust.org/Record/000827682","HathiTrust Record")</f>
        <v>HathiTrust Record</v>
      </c>
      <c r="AV2863" s="6" t="str">
        <f>HYPERLINK("http://mcgill.on.worldcat.org/oclc/12749757","Catalog Record")</f>
        <v>Catalog Record</v>
      </c>
      <c r="AW2863" s="6" t="str">
        <f>HYPERLINK("http://www.worldcat.org/oclc/12749757","WorldCat Record")</f>
        <v>WorldCat Record</v>
      </c>
      <c r="AX2863" s="3" t="s">
        <v>28134</v>
      </c>
      <c r="AY2863" s="3" t="s">
        <v>28135</v>
      </c>
      <c r="AZ2863" s="3" t="s">
        <v>28136</v>
      </c>
      <c r="BA2863" s="3" t="s">
        <v>28136</v>
      </c>
      <c r="BB2863" s="3" t="s">
        <v>28137</v>
      </c>
      <c r="BC2863" s="3" t="s">
        <v>142</v>
      </c>
      <c r="BD2863" s="3" t="s">
        <v>68</v>
      </c>
      <c r="BE2863" s="3" t="s">
        <v>28138</v>
      </c>
      <c r="BF2863" s="3" t="s">
        <v>28137</v>
      </c>
      <c r="BG2863" s="3" t="s">
        <v>28139</v>
      </c>
    </row>
    <row r="2864" spans="1:59" ht="57" x14ac:dyDescent="0.45">
      <c r="A2864" s="2" t="s">
        <v>13313</v>
      </c>
      <c r="B2864" s="2" t="s">
        <v>60</v>
      </c>
      <c r="C2864" s="2" t="s">
        <v>28140</v>
      </c>
      <c r="D2864" s="2" t="s">
        <v>28141</v>
      </c>
      <c r="E2864" s="2" t="s">
        <v>28142</v>
      </c>
      <c r="G2864" s="3" t="s">
        <v>62</v>
      </c>
      <c r="I2864" s="3" t="s">
        <v>62</v>
      </c>
      <c r="J2864" s="3" t="s">
        <v>62</v>
      </c>
      <c r="K2864" s="3" t="s">
        <v>63</v>
      </c>
      <c r="L2864" s="2" t="s">
        <v>28143</v>
      </c>
      <c r="M2864" s="2" t="s">
        <v>4951</v>
      </c>
      <c r="N2864" s="3" t="s">
        <v>625</v>
      </c>
      <c r="P2864" s="3" t="s">
        <v>65</v>
      </c>
      <c r="Q2864" s="2" t="s">
        <v>28144</v>
      </c>
      <c r="R2864" s="3" t="s">
        <v>66</v>
      </c>
      <c r="S2864" s="4">
        <v>12</v>
      </c>
      <c r="T2864" s="4">
        <v>12</v>
      </c>
      <c r="U2864" s="5" t="s">
        <v>12411</v>
      </c>
      <c r="V2864" s="5" t="s">
        <v>12411</v>
      </c>
      <c r="W2864" s="5" t="s">
        <v>67</v>
      </c>
      <c r="X2864" s="5" t="s">
        <v>67</v>
      </c>
      <c r="Y2864" s="4">
        <v>421</v>
      </c>
      <c r="Z2864" s="4">
        <v>27</v>
      </c>
      <c r="AA2864" s="4">
        <v>34</v>
      </c>
      <c r="AB2864" s="4">
        <v>2</v>
      </c>
      <c r="AC2864" s="4">
        <v>9</v>
      </c>
      <c r="AD2864" s="4">
        <v>111</v>
      </c>
      <c r="AE2864" s="4">
        <v>116</v>
      </c>
      <c r="AF2864" s="4">
        <v>1</v>
      </c>
      <c r="AG2864" s="4">
        <v>6</v>
      </c>
      <c r="AH2864" s="4">
        <v>99</v>
      </c>
      <c r="AI2864" s="4">
        <v>100</v>
      </c>
      <c r="AJ2864" s="4">
        <v>17</v>
      </c>
      <c r="AK2864" s="4">
        <v>21</v>
      </c>
      <c r="AL2864" s="4">
        <v>54</v>
      </c>
      <c r="AM2864" s="4">
        <v>54</v>
      </c>
      <c r="AN2864" s="4">
        <v>0</v>
      </c>
      <c r="AO2864" s="4">
        <v>0</v>
      </c>
      <c r="AP2864" s="4">
        <v>20</v>
      </c>
      <c r="AQ2864" s="4">
        <v>24</v>
      </c>
      <c r="AR2864" s="3" t="s">
        <v>62</v>
      </c>
      <c r="AS2864" s="3" t="s">
        <v>62</v>
      </c>
      <c r="AT2864" s="3" t="s">
        <v>62</v>
      </c>
      <c r="AV2864" s="6" t="str">
        <f>HYPERLINK("http://mcgill.on.worldcat.org/oclc/13331683","Catalog Record")</f>
        <v>Catalog Record</v>
      </c>
      <c r="AW2864" s="6" t="str">
        <f>HYPERLINK("http://www.worldcat.org/oclc/13331683","WorldCat Record")</f>
        <v>WorldCat Record</v>
      </c>
      <c r="AX2864" s="3" t="s">
        <v>28145</v>
      </c>
      <c r="AY2864" s="3" t="s">
        <v>28146</v>
      </c>
      <c r="AZ2864" s="3" t="s">
        <v>28147</v>
      </c>
      <c r="BA2864" s="3" t="s">
        <v>28147</v>
      </c>
      <c r="BB2864" s="3" t="s">
        <v>28148</v>
      </c>
      <c r="BC2864" s="3" t="s">
        <v>142</v>
      </c>
      <c r="BD2864" s="3" t="s">
        <v>68</v>
      </c>
      <c r="BE2864" s="3" t="s">
        <v>28149</v>
      </c>
      <c r="BF2864" s="3" t="s">
        <v>28148</v>
      </c>
      <c r="BG2864" s="3" t="s">
        <v>28150</v>
      </c>
    </row>
    <row r="2865" spans="1:59" ht="57" x14ac:dyDescent="0.45">
      <c r="A2865" s="2" t="s">
        <v>59</v>
      </c>
      <c r="B2865" s="2" t="s">
        <v>60</v>
      </c>
      <c r="C2865" s="2" t="s">
        <v>28151</v>
      </c>
      <c r="D2865" s="2" t="s">
        <v>28152</v>
      </c>
      <c r="E2865" s="2" t="s">
        <v>28153</v>
      </c>
      <c r="G2865" s="3" t="s">
        <v>62</v>
      </c>
      <c r="I2865" s="3" t="s">
        <v>62</v>
      </c>
      <c r="J2865" s="3" t="s">
        <v>62</v>
      </c>
      <c r="K2865" s="3" t="s">
        <v>63</v>
      </c>
      <c r="M2865" s="2" t="s">
        <v>23783</v>
      </c>
      <c r="N2865" s="3" t="s">
        <v>149</v>
      </c>
      <c r="P2865" s="3" t="s">
        <v>65</v>
      </c>
      <c r="Q2865" s="2" t="s">
        <v>3014</v>
      </c>
      <c r="R2865" s="3" t="s">
        <v>66</v>
      </c>
      <c r="S2865" s="4">
        <v>6</v>
      </c>
      <c r="T2865" s="4">
        <v>6</v>
      </c>
      <c r="U2865" s="5" t="s">
        <v>28154</v>
      </c>
      <c r="V2865" s="5" t="s">
        <v>28154</v>
      </c>
      <c r="W2865" s="5" t="s">
        <v>67</v>
      </c>
      <c r="X2865" s="5" t="s">
        <v>67</v>
      </c>
      <c r="Y2865" s="4">
        <v>143</v>
      </c>
      <c r="Z2865" s="4">
        <v>13</v>
      </c>
      <c r="AA2865" s="4">
        <v>43</v>
      </c>
      <c r="AB2865" s="4">
        <v>1</v>
      </c>
      <c r="AC2865" s="4">
        <v>11</v>
      </c>
      <c r="AD2865" s="4">
        <v>45</v>
      </c>
      <c r="AE2865" s="4">
        <v>98</v>
      </c>
      <c r="AF2865" s="4">
        <v>0</v>
      </c>
      <c r="AG2865" s="4">
        <v>6</v>
      </c>
      <c r="AH2865" s="4">
        <v>39</v>
      </c>
      <c r="AI2865" s="4">
        <v>75</v>
      </c>
      <c r="AJ2865" s="4">
        <v>7</v>
      </c>
      <c r="AK2865" s="4">
        <v>19</v>
      </c>
      <c r="AL2865" s="4">
        <v>23</v>
      </c>
      <c r="AM2865" s="4">
        <v>44</v>
      </c>
      <c r="AN2865" s="4">
        <v>0</v>
      </c>
      <c r="AO2865" s="4">
        <v>0</v>
      </c>
      <c r="AP2865" s="4">
        <v>10</v>
      </c>
      <c r="AQ2865" s="4">
        <v>30</v>
      </c>
      <c r="AR2865" s="3" t="s">
        <v>62</v>
      </c>
      <c r="AS2865" s="3" t="s">
        <v>62</v>
      </c>
      <c r="AT2865" s="3" t="s">
        <v>62</v>
      </c>
      <c r="AV2865" s="6" t="str">
        <f>HYPERLINK("http://mcgill.on.worldcat.org/oclc/500823419","Catalog Record")</f>
        <v>Catalog Record</v>
      </c>
      <c r="AW2865" s="6" t="str">
        <f>HYPERLINK("http://www.worldcat.org/oclc/500823419","WorldCat Record")</f>
        <v>WorldCat Record</v>
      </c>
      <c r="AX2865" s="3" t="s">
        <v>28155</v>
      </c>
      <c r="AY2865" s="3" t="s">
        <v>28156</v>
      </c>
      <c r="AZ2865" s="3" t="s">
        <v>28157</v>
      </c>
      <c r="BA2865" s="3" t="s">
        <v>28157</v>
      </c>
      <c r="BB2865" s="3" t="s">
        <v>28158</v>
      </c>
      <c r="BC2865" s="3" t="s">
        <v>142</v>
      </c>
      <c r="BD2865" s="3" t="s">
        <v>68</v>
      </c>
      <c r="BE2865" s="3" t="s">
        <v>28159</v>
      </c>
      <c r="BF2865" s="3" t="s">
        <v>28158</v>
      </c>
      <c r="BG2865" s="3" t="s">
        <v>28160</v>
      </c>
    </row>
    <row r="2866" spans="1:59" ht="71.25" x14ac:dyDescent="0.45">
      <c r="A2866" s="2" t="s">
        <v>13313</v>
      </c>
      <c r="B2866" s="2" t="s">
        <v>60</v>
      </c>
      <c r="C2866" s="2" t="s">
        <v>28161</v>
      </c>
      <c r="D2866" s="2" t="s">
        <v>28162</v>
      </c>
      <c r="E2866" s="2" t="s">
        <v>28163</v>
      </c>
      <c r="G2866" s="3" t="s">
        <v>62</v>
      </c>
      <c r="I2866" s="3" t="s">
        <v>62</v>
      </c>
      <c r="J2866" s="3" t="s">
        <v>61</v>
      </c>
      <c r="K2866" s="3" t="s">
        <v>63</v>
      </c>
      <c r="L2866" s="2" t="s">
        <v>28164</v>
      </c>
      <c r="M2866" s="2" t="s">
        <v>28165</v>
      </c>
      <c r="N2866" s="3" t="s">
        <v>1212</v>
      </c>
      <c r="P2866" s="3" t="s">
        <v>65</v>
      </c>
      <c r="Q2866" s="2" t="s">
        <v>28166</v>
      </c>
      <c r="R2866" s="3" t="s">
        <v>66</v>
      </c>
      <c r="S2866" s="4">
        <v>71</v>
      </c>
      <c r="T2866" s="4">
        <v>71</v>
      </c>
      <c r="U2866" s="5" t="s">
        <v>20357</v>
      </c>
      <c r="V2866" s="5" t="s">
        <v>20357</v>
      </c>
      <c r="W2866" s="5" t="s">
        <v>67</v>
      </c>
      <c r="X2866" s="5" t="s">
        <v>67</v>
      </c>
      <c r="Y2866" s="4">
        <v>385</v>
      </c>
      <c r="Z2866" s="4">
        <v>17</v>
      </c>
      <c r="AA2866" s="4">
        <v>38</v>
      </c>
      <c r="AB2866" s="4">
        <v>3</v>
      </c>
      <c r="AC2866" s="4">
        <v>12</v>
      </c>
      <c r="AD2866" s="4">
        <v>83</v>
      </c>
      <c r="AE2866" s="4">
        <v>115</v>
      </c>
      <c r="AF2866" s="4">
        <v>1</v>
      </c>
      <c r="AG2866" s="4">
        <v>8</v>
      </c>
      <c r="AH2866" s="4">
        <v>75</v>
      </c>
      <c r="AI2866" s="4">
        <v>92</v>
      </c>
      <c r="AJ2866" s="4">
        <v>11</v>
      </c>
      <c r="AK2866" s="4">
        <v>22</v>
      </c>
      <c r="AL2866" s="4">
        <v>47</v>
      </c>
      <c r="AM2866" s="4">
        <v>53</v>
      </c>
      <c r="AN2866" s="4">
        <v>0</v>
      </c>
      <c r="AO2866" s="4">
        <v>0</v>
      </c>
      <c r="AP2866" s="4">
        <v>13</v>
      </c>
      <c r="AQ2866" s="4">
        <v>30</v>
      </c>
      <c r="AR2866" s="3" t="s">
        <v>62</v>
      </c>
      <c r="AS2866" s="3" t="s">
        <v>62</v>
      </c>
      <c r="AT2866" s="3" t="s">
        <v>61</v>
      </c>
      <c r="AU2866" s="6" t="str">
        <f>HYPERLINK("http://catalog.hathitrust.org/Record/004076860","HathiTrust Record")</f>
        <v>HathiTrust Record</v>
      </c>
      <c r="AV2866" s="6" t="str">
        <f>HYPERLINK("http://mcgill.on.worldcat.org/oclc/43324289","Catalog Record")</f>
        <v>Catalog Record</v>
      </c>
      <c r="AW2866" s="6" t="str">
        <f>HYPERLINK("http://www.worldcat.org/oclc/43324289","WorldCat Record")</f>
        <v>WorldCat Record</v>
      </c>
      <c r="AX2866" s="3" t="s">
        <v>28167</v>
      </c>
      <c r="AY2866" s="3" t="s">
        <v>28168</v>
      </c>
      <c r="AZ2866" s="3" t="s">
        <v>28169</v>
      </c>
      <c r="BA2866" s="3" t="s">
        <v>28169</v>
      </c>
      <c r="BB2866" s="3" t="s">
        <v>28170</v>
      </c>
      <c r="BC2866" s="3" t="s">
        <v>142</v>
      </c>
      <c r="BD2866" s="3" t="s">
        <v>68</v>
      </c>
      <c r="BE2866" s="3" t="s">
        <v>28171</v>
      </c>
      <c r="BF2866" s="3" t="s">
        <v>28170</v>
      </c>
      <c r="BG2866" s="3" t="s">
        <v>28172</v>
      </c>
    </row>
    <row r="2867" spans="1:59" ht="57" x14ac:dyDescent="0.45">
      <c r="A2867" s="2" t="s">
        <v>59</v>
      </c>
      <c r="B2867" s="2" t="s">
        <v>60</v>
      </c>
      <c r="C2867" s="2" t="s">
        <v>28173</v>
      </c>
      <c r="D2867" s="2" t="s">
        <v>28174</v>
      </c>
      <c r="E2867" s="2" t="s">
        <v>28175</v>
      </c>
      <c r="G2867" s="3" t="s">
        <v>62</v>
      </c>
      <c r="I2867" s="3" t="s">
        <v>61</v>
      </c>
      <c r="J2867" s="3" t="s">
        <v>61</v>
      </c>
      <c r="K2867" s="3" t="s">
        <v>63</v>
      </c>
      <c r="L2867" s="2" t="s">
        <v>28164</v>
      </c>
      <c r="M2867" s="2" t="s">
        <v>28176</v>
      </c>
      <c r="N2867" s="3" t="s">
        <v>1465</v>
      </c>
      <c r="O2867" s="2" t="s">
        <v>933</v>
      </c>
      <c r="P2867" s="3" t="s">
        <v>65</v>
      </c>
      <c r="Q2867" s="2" t="s">
        <v>28166</v>
      </c>
      <c r="R2867" s="3" t="s">
        <v>66</v>
      </c>
      <c r="S2867" s="4">
        <v>34</v>
      </c>
      <c r="T2867" s="4">
        <v>66</v>
      </c>
      <c r="U2867" s="5" t="s">
        <v>28177</v>
      </c>
      <c r="V2867" s="5" t="s">
        <v>11732</v>
      </c>
      <c r="W2867" s="5" t="s">
        <v>67</v>
      </c>
      <c r="X2867" s="5" t="s">
        <v>67</v>
      </c>
      <c r="Y2867" s="4">
        <v>263</v>
      </c>
      <c r="Z2867" s="4">
        <v>22</v>
      </c>
      <c r="AA2867" s="4">
        <v>38</v>
      </c>
      <c r="AB2867" s="4">
        <v>1</v>
      </c>
      <c r="AC2867" s="4">
        <v>12</v>
      </c>
      <c r="AD2867" s="4">
        <v>77</v>
      </c>
      <c r="AE2867" s="4">
        <v>115</v>
      </c>
      <c r="AF2867" s="4">
        <v>0</v>
      </c>
      <c r="AG2867" s="4">
        <v>8</v>
      </c>
      <c r="AH2867" s="4">
        <v>64</v>
      </c>
      <c r="AI2867" s="4">
        <v>92</v>
      </c>
      <c r="AJ2867" s="4">
        <v>14</v>
      </c>
      <c r="AK2867" s="4">
        <v>22</v>
      </c>
      <c r="AL2867" s="4">
        <v>43</v>
      </c>
      <c r="AM2867" s="4">
        <v>53</v>
      </c>
      <c r="AN2867" s="4">
        <v>0</v>
      </c>
      <c r="AO2867" s="4">
        <v>0</v>
      </c>
      <c r="AP2867" s="4">
        <v>19</v>
      </c>
      <c r="AQ2867" s="4">
        <v>30</v>
      </c>
      <c r="AR2867" s="3" t="s">
        <v>62</v>
      </c>
      <c r="AS2867" s="3" t="s">
        <v>62</v>
      </c>
      <c r="AT2867" s="3" t="s">
        <v>62</v>
      </c>
      <c r="AV2867" s="6" t="str">
        <f>HYPERLINK("http://mcgill.on.worldcat.org/oclc/213375806","Catalog Record")</f>
        <v>Catalog Record</v>
      </c>
      <c r="AW2867" s="6" t="str">
        <f>HYPERLINK("http://www.worldcat.org/oclc/213375806","WorldCat Record")</f>
        <v>WorldCat Record</v>
      </c>
      <c r="AX2867" s="3" t="s">
        <v>28167</v>
      </c>
      <c r="AY2867" s="3" t="s">
        <v>28178</v>
      </c>
      <c r="AZ2867" s="3" t="s">
        <v>28179</v>
      </c>
      <c r="BA2867" s="3" t="s">
        <v>28179</v>
      </c>
      <c r="BB2867" s="3" t="s">
        <v>28180</v>
      </c>
      <c r="BC2867" s="3" t="s">
        <v>142</v>
      </c>
      <c r="BD2867" s="3" t="s">
        <v>68</v>
      </c>
      <c r="BE2867" s="3" t="s">
        <v>28181</v>
      </c>
      <c r="BF2867" s="3" t="s">
        <v>28180</v>
      </c>
      <c r="BG2867" s="3" t="s">
        <v>28182</v>
      </c>
    </row>
    <row r="2868" spans="1:59" ht="57" x14ac:dyDescent="0.45">
      <c r="A2868" s="2" t="s">
        <v>59</v>
      </c>
      <c r="B2868" s="2" t="s">
        <v>60</v>
      </c>
      <c r="C2868" s="2" t="s">
        <v>28173</v>
      </c>
      <c r="D2868" s="2" t="s">
        <v>28174</v>
      </c>
      <c r="E2868" s="2" t="s">
        <v>28175</v>
      </c>
      <c r="G2868" s="3" t="s">
        <v>62</v>
      </c>
      <c r="I2868" s="3" t="s">
        <v>61</v>
      </c>
      <c r="J2868" s="3" t="s">
        <v>61</v>
      </c>
      <c r="K2868" s="3" t="s">
        <v>63</v>
      </c>
      <c r="L2868" s="2" t="s">
        <v>28164</v>
      </c>
      <c r="M2868" s="2" t="s">
        <v>28176</v>
      </c>
      <c r="N2868" s="3" t="s">
        <v>1465</v>
      </c>
      <c r="O2868" s="2" t="s">
        <v>933</v>
      </c>
      <c r="P2868" s="3" t="s">
        <v>65</v>
      </c>
      <c r="Q2868" s="2" t="s">
        <v>28166</v>
      </c>
      <c r="R2868" s="3" t="s">
        <v>66</v>
      </c>
      <c r="S2868" s="4">
        <v>32</v>
      </c>
      <c r="T2868" s="4">
        <v>66</v>
      </c>
      <c r="U2868" s="5" t="s">
        <v>11732</v>
      </c>
      <c r="V2868" s="5" t="s">
        <v>11732</v>
      </c>
      <c r="W2868" s="5" t="s">
        <v>67</v>
      </c>
      <c r="X2868" s="5" t="s">
        <v>67</v>
      </c>
      <c r="Y2868" s="4">
        <v>263</v>
      </c>
      <c r="Z2868" s="4">
        <v>22</v>
      </c>
      <c r="AA2868" s="4">
        <v>38</v>
      </c>
      <c r="AB2868" s="4">
        <v>1</v>
      </c>
      <c r="AC2868" s="4">
        <v>12</v>
      </c>
      <c r="AD2868" s="4">
        <v>77</v>
      </c>
      <c r="AE2868" s="4">
        <v>115</v>
      </c>
      <c r="AF2868" s="4">
        <v>0</v>
      </c>
      <c r="AG2868" s="4">
        <v>8</v>
      </c>
      <c r="AH2868" s="4">
        <v>64</v>
      </c>
      <c r="AI2868" s="4">
        <v>92</v>
      </c>
      <c r="AJ2868" s="4">
        <v>14</v>
      </c>
      <c r="AK2868" s="4">
        <v>22</v>
      </c>
      <c r="AL2868" s="4">
        <v>43</v>
      </c>
      <c r="AM2868" s="4">
        <v>53</v>
      </c>
      <c r="AN2868" s="4">
        <v>0</v>
      </c>
      <c r="AO2868" s="4">
        <v>0</v>
      </c>
      <c r="AP2868" s="4">
        <v>19</v>
      </c>
      <c r="AQ2868" s="4">
        <v>30</v>
      </c>
      <c r="AR2868" s="3" t="s">
        <v>62</v>
      </c>
      <c r="AS2868" s="3" t="s">
        <v>62</v>
      </c>
      <c r="AT2868" s="3" t="s">
        <v>62</v>
      </c>
      <c r="AV2868" s="6" t="str">
        <f>HYPERLINK("http://mcgill.on.worldcat.org/oclc/213375806","Catalog Record")</f>
        <v>Catalog Record</v>
      </c>
      <c r="AW2868" s="6" t="str">
        <f>HYPERLINK("http://www.worldcat.org/oclc/213375806","WorldCat Record")</f>
        <v>WorldCat Record</v>
      </c>
      <c r="AX2868" s="3" t="s">
        <v>28167</v>
      </c>
      <c r="AY2868" s="3" t="s">
        <v>28178</v>
      </c>
      <c r="AZ2868" s="3" t="s">
        <v>28179</v>
      </c>
      <c r="BA2868" s="3" t="s">
        <v>28179</v>
      </c>
      <c r="BB2868" s="3" t="s">
        <v>28183</v>
      </c>
      <c r="BC2868" s="3" t="s">
        <v>142</v>
      </c>
      <c r="BD2868" s="3" t="s">
        <v>308</v>
      </c>
      <c r="BE2868" s="3" t="s">
        <v>28181</v>
      </c>
      <c r="BF2868" s="3" t="s">
        <v>28183</v>
      </c>
      <c r="BG2868" s="3" t="s">
        <v>28184</v>
      </c>
    </row>
    <row r="2869" spans="1:59" ht="57" x14ac:dyDescent="0.45">
      <c r="A2869" s="2" t="s">
        <v>59</v>
      </c>
      <c r="B2869" s="2" t="s">
        <v>60</v>
      </c>
      <c r="C2869" s="2" t="s">
        <v>28185</v>
      </c>
      <c r="D2869" s="2" t="s">
        <v>28186</v>
      </c>
      <c r="E2869" s="2" t="s">
        <v>28187</v>
      </c>
      <c r="G2869" s="3" t="s">
        <v>62</v>
      </c>
      <c r="I2869" s="3" t="s">
        <v>62</v>
      </c>
      <c r="J2869" s="3" t="s">
        <v>62</v>
      </c>
      <c r="K2869" s="3" t="s">
        <v>63</v>
      </c>
      <c r="L2869" s="2" t="s">
        <v>28188</v>
      </c>
      <c r="M2869" s="2" t="s">
        <v>28189</v>
      </c>
      <c r="N2869" s="3" t="s">
        <v>894</v>
      </c>
      <c r="P2869" s="3" t="s">
        <v>65</v>
      </c>
      <c r="R2869" s="3" t="s">
        <v>66</v>
      </c>
      <c r="S2869" s="4">
        <v>0</v>
      </c>
      <c r="T2869" s="4">
        <v>0</v>
      </c>
      <c r="W2869" s="5" t="s">
        <v>67</v>
      </c>
      <c r="X2869" s="5" t="s">
        <v>67</v>
      </c>
      <c r="Y2869" s="4">
        <v>74</v>
      </c>
      <c r="Z2869" s="4">
        <v>13</v>
      </c>
      <c r="AA2869" s="4">
        <v>94</v>
      </c>
      <c r="AB2869" s="4">
        <v>1</v>
      </c>
      <c r="AC2869" s="4">
        <v>17</v>
      </c>
      <c r="AD2869" s="4">
        <v>38</v>
      </c>
      <c r="AE2869" s="4">
        <v>112</v>
      </c>
      <c r="AF2869" s="4">
        <v>0</v>
      </c>
      <c r="AG2869" s="4">
        <v>8</v>
      </c>
      <c r="AH2869" s="4">
        <v>36</v>
      </c>
      <c r="AI2869" s="4">
        <v>78</v>
      </c>
      <c r="AJ2869" s="4">
        <v>11</v>
      </c>
      <c r="AK2869" s="4">
        <v>23</v>
      </c>
      <c r="AL2869" s="4">
        <v>20</v>
      </c>
      <c r="AM2869" s="4">
        <v>40</v>
      </c>
      <c r="AN2869" s="4">
        <v>0</v>
      </c>
      <c r="AO2869" s="4">
        <v>0</v>
      </c>
      <c r="AP2869" s="4">
        <v>11</v>
      </c>
      <c r="AQ2869" s="4">
        <v>44</v>
      </c>
      <c r="AR2869" s="3" t="s">
        <v>62</v>
      </c>
      <c r="AS2869" s="3" t="s">
        <v>62</v>
      </c>
      <c r="AT2869" s="3" t="s">
        <v>62</v>
      </c>
      <c r="AV2869" s="6" t="str">
        <f>HYPERLINK("http://mcgill.on.worldcat.org/oclc/426796350","Catalog Record")</f>
        <v>Catalog Record</v>
      </c>
      <c r="AW2869" s="6" t="str">
        <f>HYPERLINK("http://www.worldcat.org/oclc/426796350","WorldCat Record")</f>
        <v>WorldCat Record</v>
      </c>
      <c r="AX2869" s="3" t="s">
        <v>28190</v>
      </c>
      <c r="AY2869" s="3" t="s">
        <v>28191</v>
      </c>
      <c r="AZ2869" s="3" t="s">
        <v>28192</v>
      </c>
      <c r="BA2869" s="3" t="s">
        <v>28192</v>
      </c>
      <c r="BB2869" s="3" t="s">
        <v>28193</v>
      </c>
      <c r="BC2869" s="3" t="s">
        <v>142</v>
      </c>
      <c r="BD2869" s="3" t="s">
        <v>68</v>
      </c>
      <c r="BE2869" s="3" t="s">
        <v>28194</v>
      </c>
      <c r="BF2869" s="3" t="s">
        <v>28193</v>
      </c>
      <c r="BG2869" s="3" t="s">
        <v>28195</v>
      </c>
    </row>
    <row r="2870" spans="1:59" ht="71.25" x14ac:dyDescent="0.45">
      <c r="A2870" s="2" t="s">
        <v>59</v>
      </c>
      <c r="B2870" s="2" t="s">
        <v>60</v>
      </c>
      <c r="C2870" s="2" t="s">
        <v>28196</v>
      </c>
      <c r="D2870" s="2" t="s">
        <v>28197</v>
      </c>
      <c r="E2870" s="2" t="s">
        <v>28198</v>
      </c>
      <c r="G2870" s="3" t="s">
        <v>62</v>
      </c>
      <c r="I2870" s="3" t="s">
        <v>62</v>
      </c>
      <c r="J2870" s="3" t="s">
        <v>62</v>
      </c>
      <c r="K2870" s="3" t="s">
        <v>63</v>
      </c>
      <c r="M2870" s="2" t="s">
        <v>28199</v>
      </c>
      <c r="N2870" s="3" t="s">
        <v>1918</v>
      </c>
      <c r="P2870" s="3" t="s">
        <v>65</v>
      </c>
      <c r="R2870" s="3" t="s">
        <v>66</v>
      </c>
      <c r="S2870" s="4">
        <v>0</v>
      </c>
      <c r="T2870" s="4">
        <v>0</v>
      </c>
      <c r="W2870" s="5" t="s">
        <v>67</v>
      </c>
      <c r="X2870" s="5" t="s">
        <v>67</v>
      </c>
      <c r="Y2870" s="4">
        <v>24</v>
      </c>
      <c r="Z2870" s="4">
        <v>4</v>
      </c>
      <c r="AA2870" s="4">
        <v>6</v>
      </c>
      <c r="AB2870" s="4">
        <v>1</v>
      </c>
      <c r="AC2870" s="4">
        <v>3</v>
      </c>
      <c r="AD2870" s="4">
        <v>15</v>
      </c>
      <c r="AE2870" s="4">
        <v>15</v>
      </c>
      <c r="AF2870" s="4">
        <v>0</v>
      </c>
      <c r="AG2870" s="4">
        <v>0</v>
      </c>
      <c r="AH2870" s="4">
        <v>15</v>
      </c>
      <c r="AI2870" s="4">
        <v>15</v>
      </c>
      <c r="AJ2870" s="4">
        <v>3</v>
      </c>
      <c r="AK2870" s="4">
        <v>3</v>
      </c>
      <c r="AL2870" s="4">
        <v>10</v>
      </c>
      <c r="AM2870" s="4">
        <v>10</v>
      </c>
      <c r="AN2870" s="4">
        <v>0</v>
      </c>
      <c r="AO2870" s="4">
        <v>0</v>
      </c>
      <c r="AP2870" s="4">
        <v>3</v>
      </c>
      <c r="AQ2870" s="4">
        <v>3</v>
      </c>
      <c r="AR2870" s="3" t="s">
        <v>62</v>
      </c>
      <c r="AS2870" s="3" t="s">
        <v>62</v>
      </c>
      <c r="AT2870" s="3" t="s">
        <v>62</v>
      </c>
      <c r="AV2870" s="6" t="str">
        <f>HYPERLINK("http://mcgill.on.worldcat.org/oclc/1008898116","Catalog Record")</f>
        <v>Catalog Record</v>
      </c>
      <c r="AW2870" s="6" t="str">
        <f>HYPERLINK("http://www.worldcat.org/oclc/1008898116","WorldCat Record")</f>
        <v>WorldCat Record</v>
      </c>
      <c r="AX2870" s="3" t="s">
        <v>28200</v>
      </c>
      <c r="AY2870" s="3" t="s">
        <v>28201</v>
      </c>
      <c r="AZ2870" s="3" t="s">
        <v>28202</v>
      </c>
      <c r="BA2870" s="3" t="s">
        <v>28202</v>
      </c>
      <c r="BB2870" s="3" t="s">
        <v>28203</v>
      </c>
      <c r="BC2870" s="3" t="s">
        <v>142</v>
      </c>
      <c r="BD2870" s="3" t="s">
        <v>68</v>
      </c>
      <c r="BE2870" s="3" t="s">
        <v>28204</v>
      </c>
      <c r="BF2870" s="3" t="s">
        <v>28203</v>
      </c>
      <c r="BG2870" s="3" t="s">
        <v>28205</v>
      </c>
    </row>
    <row r="2871" spans="1:59" ht="57" x14ac:dyDescent="0.45">
      <c r="A2871" s="2" t="s">
        <v>13313</v>
      </c>
      <c r="B2871" s="2" t="s">
        <v>60</v>
      </c>
      <c r="C2871" s="2" t="s">
        <v>28206</v>
      </c>
      <c r="D2871" s="2" t="s">
        <v>28207</v>
      </c>
      <c r="E2871" s="2" t="s">
        <v>28208</v>
      </c>
      <c r="G2871" s="3" t="s">
        <v>61</v>
      </c>
      <c r="I2871" s="3" t="s">
        <v>62</v>
      </c>
      <c r="J2871" s="3" t="s">
        <v>62</v>
      </c>
      <c r="K2871" s="3" t="s">
        <v>63</v>
      </c>
      <c r="M2871" s="2" t="s">
        <v>28209</v>
      </c>
      <c r="N2871" s="3" t="s">
        <v>116</v>
      </c>
      <c r="P2871" s="3" t="s">
        <v>65</v>
      </c>
      <c r="Q2871" s="2" t="s">
        <v>28210</v>
      </c>
      <c r="R2871" s="3" t="s">
        <v>66</v>
      </c>
      <c r="S2871" s="4">
        <v>1</v>
      </c>
      <c r="T2871" s="4">
        <v>1</v>
      </c>
      <c r="U2871" s="5" t="s">
        <v>28211</v>
      </c>
      <c r="V2871" s="5" t="s">
        <v>28211</v>
      </c>
      <c r="W2871" s="5" t="s">
        <v>67</v>
      </c>
      <c r="X2871" s="5" t="s">
        <v>67</v>
      </c>
      <c r="Y2871" s="4">
        <v>6</v>
      </c>
      <c r="Z2871" s="4">
        <v>1</v>
      </c>
      <c r="AA2871" s="4">
        <v>1</v>
      </c>
      <c r="AB2871" s="4">
        <v>1</v>
      </c>
      <c r="AC2871" s="4">
        <v>1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3" t="s">
        <v>62</v>
      </c>
      <c r="AS2871" s="3" t="s">
        <v>62</v>
      </c>
      <c r="AT2871" s="3" t="s">
        <v>62</v>
      </c>
      <c r="AV2871" s="6" t="str">
        <f>HYPERLINK("http://mcgill.on.worldcat.org/oclc/863949987","Catalog Record")</f>
        <v>Catalog Record</v>
      </c>
      <c r="AW2871" s="6" t="str">
        <f>HYPERLINK("http://www.worldcat.org/oclc/863949987","WorldCat Record")</f>
        <v>WorldCat Record</v>
      </c>
      <c r="AX2871" s="3" t="s">
        <v>28212</v>
      </c>
      <c r="AY2871" s="3" t="s">
        <v>28213</v>
      </c>
      <c r="AZ2871" s="3" t="s">
        <v>28214</v>
      </c>
      <c r="BA2871" s="3" t="s">
        <v>28214</v>
      </c>
      <c r="BB2871" s="3" t="s">
        <v>28215</v>
      </c>
      <c r="BC2871" s="3" t="s">
        <v>142</v>
      </c>
      <c r="BD2871" s="3" t="s">
        <v>68</v>
      </c>
      <c r="BE2871" s="3" t="s">
        <v>28216</v>
      </c>
      <c r="BF2871" s="3" t="s">
        <v>28215</v>
      </c>
      <c r="BG2871" s="3" t="s">
        <v>28217</v>
      </c>
    </row>
    <row r="2872" spans="1:59" ht="57" x14ac:dyDescent="0.45">
      <c r="A2872" s="2" t="s">
        <v>59</v>
      </c>
      <c r="B2872" s="2" t="s">
        <v>60</v>
      </c>
      <c r="C2872" s="2" t="s">
        <v>28218</v>
      </c>
      <c r="D2872" s="2" t="s">
        <v>28219</v>
      </c>
      <c r="E2872" s="2" t="s">
        <v>28220</v>
      </c>
      <c r="G2872" s="3" t="s">
        <v>62</v>
      </c>
      <c r="I2872" s="3" t="s">
        <v>62</v>
      </c>
      <c r="J2872" s="3" t="s">
        <v>62</v>
      </c>
      <c r="K2872" s="3" t="s">
        <v>63</v>
      </c>
      <c r="L2872" s="2" t="s">
        <v>28221</v>
      </c>
      <c r="M2872" s="2" t="s">
        <v>28222</v>
      </c>
      <c r="N2872" s="3" t="s">
        <v>84</v>
      </c>
      <c r="P2872" s="3" t="s">
        <v>65</v>
      </c>
      <c r="R2872" s="3" t="s">
        <v>66</v>
      </c>
      <c r="S2872" s="4">
        <v>5</v>
      </c>
      <c r="T2872" s="4">
        <v>5</v>
      </c>
      <c r="U2872" s="5" t="s">
        <v>28223</v>
      </c>
      <c r="V2872" s="5" t="s">
        <v>28223</v>
      </c>
      <c r="W2872" s="5" t="s">
        <v>67</v>
      </c>
      <c r="X2872" s="5" t="s">
        <v>67</v>
      </c>
      <c r="Y2872" s="4">
        <v>232</v>
      </c>
      <c r="Z2872" s="4">
        <v>13</v>
      </c>
      <c r="AA2872" s="4">
        <v>92</v>
      </c>
      <c r="AB2872" s="4">
        <v>2</v>
      </c>
      <c r="AC2872" s="4">
        <v>17</v>
      </c>
      <c r="AD2872" s="4">
        <v>96</v>
      </c>
      <c r="AE2872" s="4">
        <v>145</v>
      </c>
      <c r="AF2872" s="4">
        <v>1</v>
      </c>
      <c r="AG2872" s="4">
        <v>8</v>
      </c>
      <c r="AH2872" s="4">
        <v>88</v>
      </c>
      <c r="AI2872" s="4">
        <v>105</v>
      </c>
      <c r="AJ2872" s="4">
        <v>10</v>
      </c>
      <c r="AK2872" s="4">
        <v>24</v>
      </c>
      <c r="AL2872" s="4">
        <v>53</v>
      </c>
      <c r="AM2872" s="4">
        <v>59</v>
      </c>
      <c r="AN2872" s="4">
        <v>0</v>
      </c>
      <c r="AO2872" s="4">
        <v>0</v>
      </c>
      <c r="AP2872" s="4">
        <v>11</v>
      </c>
      <c r="AQ2872" s="4">
        <v>46</v>
      </c>
      <c r="AR2872" s="3" t="s">
        <v>62</v>
      </c>
      <c r="AS2872" s="3" t="s">
        <v>62</v>
      </c>
      <c r="AT2872" s="3" t="s">
        <v>62</v>
      </c>
      <c r="AV2872" s="6" t="str">
        <f>HYPERLINK("http://mcgill.on.worldcat.org/oclc/25369157","Catalog Record")</f>
        <v>Catalog Record</v>
      </c>
      <c r="AW2872" s="6" t="str">
        <f>HYPERLINK("http://www.worldcat.org/oclc/25369157","WorldCat Record")</f>
        <v>WorldCat Record</v>
      </c>
      <c r="AX2872" s="3" t="s">
        <v>28224</v>
      </c>
      <c r="AY2872" s="3" t="s">
        <v>28225</v>
      </c>
      <c r="AZ2872" s="3" t="s">
        <v>28226</v>
      </c>
      <c r="BA2872" s="3" t="s">
        <v>28226</v>
      </c>
      <c r="BB2872" s="3" t="s">
        <v>28227</v>
      </c>
      <c r="BC2872" s="3" t="s">
        <v>142</v>
      </c>
      <c r="BD2872" s="3" t="s">
        <v>68</v>
      </c>
      <c r="BE2872" s="3" t="s">
        <v>28228</v>
      </c>
      <c r="BF2872" s="3" t="s">
        <v>28227</v>
      </c>
      <c r="BG2872" s="3" t="s">
        <v>28229</v>
      </c>
    </row>
    <row r="2873" spans="1:59" ht="57" x14ac:dyDescent="0.45">
      <c r="A2873" s="2" t="s">
        <v>59</v>
      </c>
      <c r="B2873" s="2" t="s">
        <v>60</v>
      </c>
      <c r="C2873" s="2" t="s">
        <v>28230</v>
      </c>
      <c r="D2873" s="2" t="s">
        <v>28231</v>
      </c>
      <c r="E2873" s="2" t="s">
        <v>28232</v>
      </c>
      <c r="G2873" s="3" t="s">
        <v>62</v>
      </c>
      <c r="I2873" s="3" t="s">
        <v>62</v>
      </c>
      <c r="J2873" s="3" t="s">
        <v>62</v>
      </c>
      <c r="K2873" s="3" t="s">
        <v>63</v>
      </c>
      <c r="M2873" s="2" t="s">
        <v>26986</v>
      </c>
      <c r="N2873" s="3" t="s">
        <v>167</v>
      </c>
      <c r="P2873" s="3" t="s">
        <v>65</v>
      </c>
      <c r="R2873" s="3" t="s">
        <v>66</v>
      </c>
      <c r="S2873" s="4">
        <v>10</v>
      </c>
      <c r="T2873" s="4">
        <v>10</v>
      </c>
      <c r="U2873" s="5" t="s">
        <v>28233</v>
      </c>
      <c r="V2873" s="5" t="s">
        <v>28233</v>
      </c>
      <c r="W2873" s="5" t="s">
        <v>67</v>
      </c>
      <c r="X2873" s="5" t="s">
        <v>67</v>
      </c>
      <c r="Y2873" s="4">
        <v>243</v>
      </c>
      <c r="Z2873" s="4">
        <v>18</v>
      </c>
      <c r="AA2873" s="4">
        <v>94</v>
      </c>
      <c r="AB2873" s="4">
        <v>1</v>
      </c>
      <c r="AC2873" s="4">
        <v>17</v>
      </c>
      <c r="AD2873" s="4">
        <v>93</v>
      </c>
      <c r="AE2873" s="4">
        <v>134</v>
      </c>
      <c r="AF2873" s="4">
        <v>0</v>
      </c>
      <c r="AG2873" s="4">
        <v>8</v>
      </c>
      <c r="AH2873" s="4">
        <v>87</v>
      </c>
      <c r="AI2873" s="4">
        <v>100</v>
      </c>
      <c r="AJ2873" s="4">
        <v>12</v>
      </c>
      <c r="AK2873" s="4">
        <v>23</v>
      </c>
      <c r="AL2873" s="4">
        <v>48</v>
      </c>
      <c r="AM2873" s="4">
        <v>50</v>
      </c>
      <c r="AN2873" s="4">
        <v>0</v>
      </c>
      <c r="AO2873" s="4">
        <v>0</v>
      </c>
      <c r="AP2873" s="4">
        <v>14</v>
      </c>
      <c r="AQ2873" s="4">
        <v>44</v>
      </c>
      <c r="AR2873" s="3" t="s">
        <v>62</v>
      </c>
      <c r="AS2873" s="3" t="s">
        <v>62</v>
      </c>
      <c r="AT2873" s="3" t="s">
        <v>62</v>
      </c>
      <c r="AV2873" s="6" t="str">
        <f>HYPERLINK("http://mcgill.on.worldcat.org/oclc/41070720","Catalog Record")</f>
        <v>Catalog Record</v>
      </c>
      <c r="AW2873" s="6" t="str">
        <f>HYPERLINK("http://www.worldcat.org/oclc/41070720","WorldCat Record")</f>
        <v>WorldCat Record</v>
      </c>
      <c r="AX2873" s="3" t="s">
        <v>28234</v>
      </c>
      <c r="AY2873" s="3" t="s">
        <v>28235</v>
      </c>
      <c r="AZ2873" s="3" t="s">
        <v>28236</v>
      </c>
      <c r="BA2873" s="3" t="s">
        <v>28236</v>
      </c>
      <c r="BB2873" s="3" t="s">
        <v>28237</v>
      </c>
      <c r="BC2873" s="3" t="s">
        <v>142</v>
      </c>
      <c r="BD2873" s="3" t="s">
        <v>68</v>
      </c>
      <c r="BE2873" s="3" t="s">
        <v>28238</v>
      </c>
      <c r="BF2873" s="3" t="s">
        <v>28237</v>
      </c>
      <c r="BG2873" s="3" t="s">
        <v>28239</v>
      </c>
    </row>
    <row r="2874" spans="1:59" ht="57" x14ac:dyDescent="0.45">
      <c r="A2874" s="2" t="s">
        <v>59</v>
      </c>
      <c r="B2874" s="2" t="s">
        <v>60</v>
      </c>
      <c r="C2874" s="2" t="s">
        <v>28240</v>
      </c>
      <c r="D2874" s="2" t="s">
        <v>28241</v>
      </c>
      <c r="E2874" s="2" t="s">
        <v>28242</v>
      </c>
      <c r="G2874" s="3" t="s">
        <v>62</v>
      </c>
      <c r="I2874" s="3" t="s">
        <v>62</v>
      </c>
      <c r="J2874" s="3" t="s">
        <v>62</v>
      </c>
      <c r="K2874" s="3" t="s">
        <v>63</v>
      </c>
      <c r="L2874" s="2" t="s">
        <v>904</v>
      </c>
      <c r="M2874" s="2" t="s">
        <v>28243</v>
      </c>
      <c r="N2874" s="3" t="s">
        <v>894</v>
      </c>
      <c r="P2874" s="3" t="s">
        <v>65</v>
      </c>
      <c r="R2874" s="3" t="s">
        <v>66</v>
      </c>
      <c r="S2874" s="4">
        <v>11</v>
      </c>
      <c r="T2874" s="4">
        <v>11</v>
      </c>
      <c r="U2874" s="5" t="s">
        <v>9189</v>
      </c>
      <c r="V2874" s="5" t="s">
        <v>9189</v>
      </c>
      <c r="W2874" s="5" t="s">
        <v>67</v>
      </c>
      <c r="X2874" s="5" t="s">
        <v>67</v>
      </c>
      <c r="Y2874" s="4">
        <v>290</v>
      </c>
      <c r="Z2874" s="4">
        <v>17</v>
      </c>
      <c r="AA2874" s="4">
        <v>84</v>
      </c>
      <c r="AB2874" s="4">
        <v>1</v>
      </c>
      <c r="AC2874" s="4">
        <v>16</v>
      </c>
      <c r="AD2874" s="4">
        <v>68</v>
      </c>
      <c r="AE2874" s="4">
        <v>132</v>
      </c>
      <c r="AF2874" s="4">
        <v>0</v>
      </c>
      <c r="AG2874" s="4">
        <v>8</v>
      </c>
      <c r="AH2874" s="4">
        <v>60</v>
      </c>
      <c r="AI2874" s="4">
        <v>96</v>
      </c>
      <c r="AJ2874" s="4">
        <v>9</v>
      </c>
      <c r="AK2874" s="4">
        <v>25</v>
      </c>
      <c r="AL2874" s="4">
        <v>35</v>
      </c>
      <c r="AM2874" s="4">
        <v>50</v>
      </c>
      <c r="AN2874" s="4">
        <v>0</v>
      </c>
      <c r="AO2874" s="4">
        <v>0</v>
      </c>
      <c r="AP2874" s="4">
        <v>12</v>
      </c>
      <c r="AQ2874" s="4">
        <v>45</v>
      </c>
      <c r="AR2874" s="3" t="s">
        <v>62</v>
      </c>
      <c r="AS2874" s="3" t="s">
        <v>62</v>
      </c>
      <c r="AT2874" s="3" t="s">
        <v>62</v>
      </c>
      <c r="AV2874" s="6" t="str">
        <f>HYPERLINK("http://mcgill.on.worldcat.org/oclc/651914359","Catalog Record")</f>
        <v>Catalog Record</v>
      </c>
      <c r="AW2874" s="6" t="str">
        <f>HYPERLINK("http://www.worldcat.org/oclc/651914359","WorldCat Record")</f>
        <v>WorldCat Record</v>
      </c>
      <c r="AX2874" s="3" t="s">
        <v>28244</v>
      </c>
      <c r="AY2874" s="3" t="s">
        <v>28245</v>
      </c>
      <c r="AZ2874" s="3" t="s">
        <v>28246</v>
      </c>
      <c r="BA2874" s="3" t="s">
        <v>28246</v>
      </c>
      <c r="BB2874" s="3" t="s">
        <v>28247</v>
      </c>
      <c r="BC2874" s="3" t="s">
        <v>142</v>
      </c>
      <c r="BD2874" s="3" t="s">
        <v>68</v>
      </c>
      <c r="BE2874" s="3" t="s">
        <v>28248</v>
      </c>
      <c r="BF2874" s="3" t="s">
        <v>28247</v>
      </c>
      <c r="BG2874" s="3" t="s">
        <v>28249</v>
      </c>
    </row>
    <row r="2875" spans="1:59" ht="57" x14ac:dyDescent="0.45">
      <c r="A2875" s="2" t="s">
        <v>59</v>
      </c>
      <c r="B2875" s="2" t="s">
        <v>60</v>
      </c>
      <c r="C2875" s="2" t="s">
        <v>28250</v>
      </c>
      <c r="D2875" s="2" t="s">
        <v>28251</v>
      </c>
      <c r="E2875" s="2" t="s">
        <v>28252</v>
      </c>
      <c r="G2875" s="3" t="s">
        <v>62</v>
      </c>
      <c r="I2875" s="3" t="s">
        <v>62</v>
      </c>
      <c r="J2875" s="3" t="s">
        <v>61</v>
      </c>
      <c r="K2875" s="3" t="s">
        <v>63</v>
      </c>
      <c r="L2875" s="2" t="s">
        <v>904</v>
      </c>
      <c r="M2875" s="2" t="s">
        <v>1266</v>
      </c>
      <c r="N2875" s="3" t="s">
        <v>1059</v>
      </c>
      <c r="O2875" s="2" t="s">
        <v>933</v>
      </c>
      <c r="P2875" s="3" t="s">
        <v>65</v>
      </c>
      <c r="R2875" s="3" t="s">
        <v>66</v>
      </c>
      <c r="S2875" s="4">
        <v>12</v>
      </c>
      <c r="T2875" s="4">
        <v>12</v>
      </c>
      <c r="U2875" s="5" t="s">
        <v>9189</v>
      </c>
      <c r="V2875" s="5" t="s">
        <v>9189</v>
      </c>
      <c r="W2875" s="5" t="s">
        <v>67</v>
      </c>
      <c r="X2875" s="5" t="s">
        <v>67</v>
      </c>
      <c r="Y2875" s="4">
        <v>471</v>
      </c>
      <c r="Z2875" s="4">
        <v>34</v>
      </c>
      <c r="AA2875" s="4">
        <v>146</v>
      </c>
      <c r="AB2875" s="4">
        <v>3</v>
      </c>
      <c r="AC2875" s="4">
        <v>23</v>
      </c>
      <c r="AD2875" s="4">
        <v>81</v>
      </c>
      <c r="AE2875" s="4">
        <v>165</v>
      </c>
      <c r="AF2875" s="4">
        <v>1</v>
      </c>
      <c r="AG2875" s="4">
        <v>9</v>
      </c>
      <c r="AH2875" s="4">
        <v>67</v>
      </c>
      <c r="AI2875" s="4">
        <v>115</v>
      </c>
      <c r="AJ2875" s="4">
        <v>15</v>
      </c>
      <c r="AK2875" s="4">
        <v>28</v>
      </c>
      <c r="AL2875" s="4">
        <v>39</v>
      </c>
      <c r="AM2875" s="4">
        <v>60</v>
      </c>
      <c r="AN2875" s="4">
        <v>0</v>
      </c>
      <c r="AO2875" s="4">
        <v>0</v>
      </c>
      <c r="AP2875" s="4">
        <v>21</v>
      </c>
      <c r="AQ2875" s="4">
        <v>59</v>
      </c>
      <c r="AR2875" s="3" t="s">
        <v>62</v>
      </c>
      <c r="AS2875" s="3" t="s">
        <v>62</v>
      </c>
      <c r="AT2875" s="3" t="s">
        <v>62</v>
      </c>
      <c r="AV2875" s="6" t="str">
        <f>HYPERLINK("http://mcgill.on.worldcat.org/oclc/67945044","Catalog Record")</f>
        <v>Catalog Record</v>
      </c>
      <c r="AW2875" s="6" t="str">
        <f>HYPERLINK("http://www.worldcat.org/oclc/67945044","WorldCat Record")</f>
        <v>WorldCat Record</v>
      </c>
      <c r="AX2875" s="3" t="s">
        <v>28253</v>
      </c>
      <c r="AY2875" s="3" t="s">
        <v>28254</v>
      </c>
      <c r="AZ2875" s="3" t="s">
        <v>28255</v>
      </c>
      <c r="BA2875" s="3" t="s">
        <v>28255</v>
      </c>
      <c r="BB2875" s="3" t="s">
        <v>28256</v>
      </c>
      <c r="BC2875" s="3" t="s">
        <v>142</v>
      </c>
      <c r="BD2875" s="3" t="s">
        <v>68</v>
      </c>
      <c r="BE2875" s="3" t="s">
        <v>28257</v>
      </c>
      <c r="BF2875" s="3" t="s">
        <v>28256</v>
      </c>
      <c r="BG2875" s="3" t="s">
        <v>28258</v>
      </c>
    </row>
    <row r="2876" spans="1:59" ht="57" x14ac:dyDescent="0.45">
      <c r="A2876" s="2" t="s">
        <v>59</v>
      </c>
      <c r="B2876" s="2" t="s">
        <v>60</v>
      </c>
      <c r="C2876" s="2" t="s">
        <v>28259</v>
      </c>
      <c r="D2876" s="2" t="s">
        <v>28260</v>
      </c>
      <c r="E2876" s="2" t="s">
        <v>28261</v>
      </c>
      <c r="G2876" s="3" t="s">
        <v>62</v>
      </c>
      <c r="I2876" s="3" t="s">
        <v>62</v>
      </c>
      <c r="J2876" s="3" t="s">
        <v>62</v>
      </c>
      <c r="K2876" s="3" t="s">
        <v>63</v>
      </c>
      <c r="M2876" s="2" t="s">
        <v>28262</v>
      </c>
      <c r="N2876" s="3" t="s">
        <v>945</v>
      </c>
      <c r="P2876" s="3" t="s">
        <v>65</v>
      </c>
      <c r="R2876" s="3" t="s">
        <v>66</v>
      </c>
      <c r="S2876" s="4">
        <v>2</v>
      </c>
      <c r="T2876" s="4">
        <v>2</v>
      </c>
      <c r="U2876" s="5" t="s">
        <v>9189</v>
      </c>
      <c r="V2876" s="5" t="s">
        <v>9189</v>
      </c>
      <c r="W2876" s="5" t="s">
        <v>67</v>
      </c>
      <c r="X2876" s="5" t="s">
        <v>67</v>
      </c>
      <c r="Y2876" s="4">
        <v>38</v>
      </c>
      <c r="Z2876" s="4">
        <v>7</v>
      </c>
      <c r="AA2876" s="4">
        <v>84</v>
      </c>
      <c r="AB2876" s="4">
        <v>1</v>
      </c>
      <c r="AC2876" s="4">
        <v>14</v>
      </c>
      <c r="AD2876" s="4">
        <v>24</v>
      </c>
      <c r="AE2876" s="4">
        <v>106</v>
      </c>
      <c r="AF2876" s="4">
        <v>0</v>
      </c>
      <c r="AG2876" s="4">
        <v>8</v>
      </c>
      <c r="AH2876" s="4">
        <v>21</v>
      </c>
      <c r="AI2876" s="4">
        <v>70</v>
      </c>
      <c r="AJ2876" s="4">
        <v>5</v>
      </c>
      <c r="AK2876" s="4">
        <v>21</v>
      </c>
      <c r="AL2876" s="4">
        <v>17</v>
      </c>
      <c r="AM2876" s="4">
        <v>39</v>
      </c>
      <c r="AN2876" s="4">
        <v>0</v>
      </c>
      <c r="AO2876" s="4">
        <v>0</v>
      </c>
      <c r="AP2876" s="4">
        <v>5</v>
      </c>
      <c r="AQ2876" s="4">
        <v>42</v>
      </c>
      <c r="AR2876" s="3" t="s">
        <v>62</v>
      </c>
      <c r="AS2876" s="3" t="s">
        <v>62</v>
      </c>
      <c r="AT2876" s="3" t="s">
        <v>62</v>
      </c>
      <c r="AV2876" s="6" t="str">
        <f>HYPERLINK("http://mcgill.on.worldcat.org/oclc/153576492","Catalog Record")</f>
        <v>Catalog Record</v>
      </c>
      <c r="AW2876" s="6" t="str">
        <f>HYPERLINK("http://www.worldcat.org/oclc/153576492","WorldCat Record")</f>
        <v>WorldCat Record</v>
      </c>
      <c r="AX2876" s="3" t="s">
        <v>28263</v>
      </c>
      <c r="AY2876" s="3" t="s">
        <v>28264</v>
      </c>
      <c r="AZ2876" s="3" t="s">
        <v>28265</v>
      </c>
      <c r="BA2876" s="3" t="s">
        <v>28265</v>
      </c>
      <c r="BB2876" s="3" t="s">
        <v>28266</v>
      </c>
      <c r="BC2876" s="3" t="s">
        <v>142</v>
      </c>
      <c r="BD2876" s="3" t="s">
        <v>68</v>
      </c>
      <c r="BE2876" s="3" t="s">
        <v>28267</v>
      </c>
      <c r="BF2876" s="3" t="s">
        <v>28266</v>
      </c>
      <c r="BG2876" s="3" t="s">
        <v>28268</v>
      </c>
    </row>
    <row r="2877" spans="1:59" ht="57" x14ac:dyDescent="0.45">
      <c r="A2877" s="2" t="s">
        <v>59</v>
      </c>
      <c r="B2877" s="2" t="s">
        <v>60</v>
      </c>
      <c r="C2877" s="2" t="s">
        <v>28269</v>
      </c>
      <c r="D2877" s="2" t="s">
        <v>28270</v>
      </c>
      <c r="E2877" s="2" t="s">
        <v>28271</v>
      </c>
      <c r="G2877" s="3" t="s">
        <v>62</v>
      </c>
      <c r="I2877" s="3" t="s">
        <v>62</v>
      </c>
      <c r="J2877" s="3" t="s">
        <v>62</v>
      </c>
      <c r="K2877" s="3" t="s">
        <v>63</v>
      </c>
      <c r="L2877" s="2" t="s">
        <v>28272</v>
      </c>
      <c r="M2877" s="2" t="s">
        <v>28273</v>
      </c>
      <c r="N2877" s="3" t="s">
        <v>894</v>
      </c>
      <c r="P2877" s="3" t="s">
        <v>65</v>
      </c>
      <c r="Q2877" s="2" t="s">
        <v>28274</v>
      </c>
      <c r="R2877" s="3" t="s">
        <v>66</v>
      </c>
      <c r="S2877" s="4">
        <v>6</v>
      </c>
      <c r="T2877" s="4">
        <v>6</v>
      </c>
      <c r="U2877" s="5" t="s">
        <v>28275</v>
      </c>
      <c r="V2877" s="5" t="s">
        <v>28275</v>
      </c>
      <c r="W2877" s="5" t="s">
        <v>67</v>
      </c>
      <c r="X2877" s="5" t="s">
        <v>67</v>
      </c>
      <c r="Y2877" s="4">
        <v>245</v>
      </c>
      <c r="Z2877" s="4">
        <v>25</v>
      </c>
      <c r="AA2877" s="4">
        <v>100</v>
      </c>
      <c r="AB2877" s="4">
        <v>2</v>
      </c>
      <c r="AC2877" s="4">
        <v>18</v>
      </c>
      <c r="AD2877" s="4">
        <v>92</v>
      </c>
      <c r="AE2877" s="4">
        <v>144</v>
      </c>
      <c r="AF2877" s="4">
        <v>1</v>
      </c>
      <c r="AG2877" s="4">
        <v>8</v>
      </c>
      <c r="AH2877" s="4">
        <v>79</v>
      </c>
      <c r="AI2877" s="4">
        <v>104</v>
      </c>
      <c r="AJ2877" s="4">
        <v>20</v>
      </c>
      <c r="AK2877" s="4">
        <v>27</v>
      </c>
      <c r="AL2877" s="4">
        <v>49</v>
      </c>
      <c r="AM2877" s="4">
        <v>58</v>
      </c>
      <c r="AN2877" s="4">
        <v>0</v>
      </c>
      <c r="AO2877" s="4">
        <v>0</v>
      </c>
      <c r="AP2877" s="4">
        <v>21</v>
      </c>
      <c r="AQ2877" s="4">
        <v>50</v>
      </c>
      <c r="AR2877" s="3" t="s">
        <v>62</v>
      </c>
      <c r="AS2877" s="3" t="s">
        <v>62</v>
      </c>
      <c r="AT2877" s="3" t="s">
        <v>62</v>
      </c>
      <c r="AV2877" s="6" t="str">
        <f>HYPERLINK("http://mcgill.on.worldcat.org/oclc/708761605","Catalog Record")</f>
        <v>Catalog Record</v>
      </c>
      <c r="AW2877" s="6" t="str">
        <f>HYPERLINK("http://www.worldcat.org/oclc/708761605","WorldCat Record")</f>
        <v>WorldCat Record</v>
      </c>
      <c r="AX2877" s="3" t="s">
        <v>28276</v>
      </c>
      <c r="AY2877" s="3" t="s">
        <v>28277</v>
      </c>
      <c r="AZ2877" s="3" t="s">
        <v>28278</v>
      </c>
      <c r="BA2877" s="3" t="s">
        <v>28278</v>
      </c>
      <c r="BB2877" s="3" t="s">
        <v>28279</v>
      </c>
      <c r="BC2877" s="3" t="s">
        <v>142</v>
      </c>
      <c r="BD2877" s="3" t="s">
        <v>68</v>
      </c>
      <c r="BE2877" s="3" t="s">
        <v>28280</v>
      </c>
      <c r="BF2877" s="3" t="s">
        <v>28279</v>
      </c>
      <c r="BG2877" s="3" t="s">
        <v>28281</v>
      </c>
    </row>
    <row r="2878" spans="1:59" ht="57" x14ac:dyDescent="0.45">
      <c r="A2878" s="2" t="s">
        <v>59</v>
      </c>
      <c r="B2878" s="2" t="s">
        <v>60</v>
      </c>
      <c r="C2878" s="2" t="s">
        <v>28282</v>
      </c>
      <c r="D2878" s="2" t="s">
        <v>28283</v>
      </c>
      <c r="E2878" s="2" t="s">
        <v>28284</v>
      </c>
      <c r="G2878" s="3" t="s">
        <v>62</v>
      </c>
      <c r="I2878" s="3" t="s">
        <v>62</v>
      </c>
      <c r="J2878" s="3" t="s">
        <v>62</v>
      </c>
      <c r="K2878" s="3" t="s">
        <v>63</v>
      </c>
      <c r="L2878" s="2" t="s">
        <v>28285</v>
      </c>
      <c r="M2878" s="2" t="s">
        <v>28286</v>
      </c>
      <c r="N2878" s="3" t="s">
        <v>1155</v>
      </c>
      <c r="P2878" s="3" t="s">
        <v>65</v>
      </c>
      <c r="R2878" s="3" t="s">
        <v>66</v>
      </c>
      <c r="S2878" s="4">
        <v>1</v>
      </c>
      <c r="T2878" s="4">
        <v>1</v>
      </c>
      <c r="U2878" s="5" t="s">
        <v>28287</v>
      </c>
      <c r="V2878" s="5" t="s">
        <v>28287</v>
      </c>
      <c r="W2878" s="5" t="s">
        <v>67</v>
      </c>
      <c r="X2878" s="5" t="s">
        <v>67</v>
      </c>
      <c r="Y2878" s="4">
        <v>118</v>
      </c>
      <c r="Z2878" s="4">
        <v>12</v>
      </c>
      <c r="AA2878" s="4">
        <v>28</v>
      </c>
      <c r="AB2878" s="4">
        <v>1</v>
      </c>
      <c r="AC2878" s="4">
        <v>5</v>
      </c>
      <c r="AD2878" s="4">
        <v>61</v>
      </c>
      <c r="AE2878" s="4">
        <v>80</v>
      </c>
      <c r="AF2878" s="4">
        <v>0</v>
      </c>
      <c r="AG2878" s="4">
        <v>1</v>
      </c>
      <c r="AH2878" s="4">
        <v>55</v>
      </c>
      <c r="AI2878" s="4">
        <v>68</v>
      </c>
      <c r="AJ2878" s="4">
        <v>10</v>
      </c>
      <c r="AK2878" s="4">
        <v>16</v>
      </c>
      <c r="AL2878" s="4">
        <v>32</v>
      </c>
      <c r="AM2878" s="4">
        <v>37</v>
      </c>
      <c r="AN2878" s="4">
        <v>0</v>
      </c>
      <c r="AO2878" s="4">
        <v>0</v>
      </c>
      <c r="AP2878" s="4">
        <v>11</v>
      </c>
      <c r="AQ2878" s="4">
        <v>22</v>
      </c>
      <c r="AR2878" s="3" t="s">
        <v>62</v>
      </c>
      <c r="AS2878" s="3" t="s">
        <v>62</v>
      </c>
      <c r="AT2878" s="3" t="s">
        <v>62</v>
      </c>
      <c r="AV2878" s="6" t="str">
        <f>HYPERLINK("http://mcgill.on.worldcat.org/oclc/767566631","Catalog Record")</f>
        <v>Catalog Record</v>
      </c>
      <c r="AW2878" s="6" t="str">
        <f>HYPERLINK("http://www.worldcat.org/oclc/767566631","WorldCat Record")</f>
        <v>WorldCat Record</v>
      </c>
      <c r="AX2878" s="3" t="s">
        <v>28288</v>
      </c>
      <c r="AY2878" s="3" t="s">
        <v>28289</v>
      </c>
      <c r="AZ2878" s="3" t="s">
        <v>28290</v>
      </c>
      <c r="BA2878" s="3" t="s">
        <v>28290</v>
      </c>
      <c r="BB2878" s="3" t="s">
        <v>28291</v>
      </c>
      <c r="BC2878" s="3" t="s">
        <v>142</v>
      </c>
      <c r="BD2878" s="3" t="s">
        <v>68</v>
      </c>
      <c r="BE2878" s="3" t="s">
        <v>28292</v>
      </c>
      <c r="BF2878" s="3" t="s">
        <v>28291</v>
      </c>
      <c r="BG2878" s="3" t="s">
        <v>28293</v>
      </c>
    </row>
    <row r="2879" spans="1:59" ht="71.25" x14ac:dyDescent="0.45">
      <c r="A2879" s="2" t="s">
        <v>13313</v>
      </c>
      <c r="B2879" s="2" t="s">
        <v>60</v>
      </c>
      <c r="C2879" s="2" t="s">
        <v>28294</v>
      </c>
      <c r="D2879" s="2" t="s">
        <v>28295</v>
      </c>
      <c r="E2879" s="2" t="s">
        <v>28296</v>
      </c>
      <c r="G2879" s="3" t="s">
        <v>62</v>
      </c>
      <c r="I2879" s="3" t="s">
        <v>62</v>
      </c>
      <c r="J2879" s="3" t="s">
        <v>62</v>
      </c>
      <c r="K2879" s="3" t="s">
        <v>63</v>
      </c>
      <c r="L2879" s="2" t="s">
        <v>28297</v>
      </c>
      <c r="M2879" s="2" t="s">
        <v>26986</v>
      </c>
      <c r="N2879" s="3" t="s">
        <v>167</v>
      </c>
      <c r="P2879" s="3" t="s">
        <v>65</v>
      </c>
      <c r="R2879" s="3" t="s">
        <v>66</v>
      </c>
      <c r="S2879" s="4">
        <v>54</v>
      </c>
      <c r="T2879" s="4">
        <v>54</v>
      </c>
      <c r="U2879" s="5" t="s">
        <v>18463</v>
      </c>
      <c r="V2879" s="5" t="s">
        <v>18463</v>
      </c>
      <c r="W2879" s="5" t="s">
        <v>67</v>
      </c>
      <c r="X2879" s="5" t="s">
        <v>67</v>
      </c>
      <c r="Y2879" s="4">
        <v>409</v>
      </c>
      <c r="Z2879" s="4">
        <v>27</v>
      </c>
      <c r="AA2879" s="4">
        <v>42</v>
      </c>
      <c r="AB2879" s="4">
        <v>2</v>
      </c>
      <c r="AC2879" s="4">
        <v>12</v>
      </c>
      <c r="AD2879" s="4">
        <v>86</v>
      </c>
      <c r="AE2879" s="4">
        <v>107</v>
      </c>
      <c r="AF2879" s="4">
        <v>0</v>
      </c>
      <c r="AG2879" s="4">
        <v>5</v>
      </c>
      <c r="AH2879" s="4">
        <v>72</v>
      </c>
      <c r="AI2879" s="4">
        <v>86</v>
      </c>
      <c r="AJ2879" s="4">
        <v>16</v>
      </c>
      <c r="AK2879" s="4">
        <v>23</v>
      </c>
      <c r="AL2879" s="4">
        <v>43</v>
      </c>
      <c r="AM2879" s="4">
        <v>50</v>
      </c>
      <c r="AN2879" s="4">
        <v>0</v>
      </c>
      <c r="AO2879" s="4">
        <v>0</v>
      </c>
      <c r="AP2879" s="4">
        <v>20</v>
      </c>
      <c r="AQ2879" s="4">
        <v>28</v>
      </c>
      <c r="AR2879" s="3" t="s">
        <v>62</v>
      </c>
      <c r="AS2879" s="3" t="s">
        <v>62</v>
      </c>
      <c r="AT2879" s="3" t="s">
        <v>62</v>
      </c>
      <c r="AV2879" s="6" t="str">
        <f>HYPERLINK("http://mcgill.on.worldcat.org/oclc/40848647","Catalog Record")</f>
        <v>Catalog Record</v>
      </c>
      <c r="AW2879" s="6" t="str">
        <f>HYPERLINK("http://www.worldcat.org/oclc/40848647","WorldCat Record")</f>
        <v>WorldCat Record</v>
      </c>
      <c r="AX2879" s="3" t="s">
        <v>28298</v>
      </c>
      <c r="AY2879" s="3" t="s">
        <v>28299</v>
      </c>
      <c r="AZ2879" s="3" t="s">
        <v>28300</v>
      </c>
      <c r="BA2879" s="3" t="s">
        <v>28300</v>
      </c>
      <c r="BB2879" s="3" t="s">
        <v>28301</v>
      </c>
      <c r="BC2879" s="3" t="s">
        <v>142</v>
      </c>
      <c r="BD2879" s="3" t="s">
        <v>68</v>
      </c>
      <c r="BE2879" s="3" t="s">
        <v>28302</v>
      </c>
      <c r="BF2879" s="3" t="s">
        <v>28301</v>
      </c>
      <c r="BG2879" s="3" t="s">
        <v>28303</v>
      </c>
    </row>
    <row r="2880" spans="1:59" ht="57" x14ac:dyDescent="0.45">
      <c r="A2880" s="2" t="s">
        <v>59</v>
      </c>
      <c r="B2880" s="2" t="s">
        <v>60</v>
      </c>
      <c r="C2880" s="2" t="s">
        <v>28304</v>
      </c>
      <c r="D2880" s="2" t="s">
        <v>28305</v>
      </c>
      <c r="E2880" s="2" t="s">
        <v>28306</v>
      </c>
      <c r="G2880" s="3" t="s">
        <v>62</v>
      </c>
      <c r="I2880" s="3" t="s">
        <v>62</v>
      </c>
      <c r="J2880" s="3" t="s">
        <v>62</v>
      </c>
      <c r="K2880" s="3" t="s">
        <v>63</v>
      </c>
      <c r="L2880" s="2" t="s">
        <v>28307</v>
      </c>
      <c r="M2880" s="2" t="s">
        <v>26950</v>
      </c>
      <c r="N2880" s="3" t="s">
        <v>116</v>
      </c>
      <c r="P2880" s="3" t="s">
        <v>65</v>
      </c>
      <c r="Q2880" s="2" t="s">
        <v>28308</v>
      </c>
      <c r="R2880" s="3" t="s">
        <v>66</v>
      </c>
      <c r="S2880" s="4">
        <v>2</v>
      </c>
      <c r="T2880" s="4">
        <v>2</v>
      </c>
      <c r="U2880" s="5" t="s">
        <v>28309</v>
      </c>
      <c r="V2880" s="5" t="s">
        <v>28309</v>
      </c>
      <c r="W2880" s="5" t="s">
        <v>67</v>
      </c>
      <c r="X2880" s="5" t="s">
        <v>67</v>
      </c>
      <c r="Y2880" s="4">
        <v>93</v>
      </c>
      <c r="Z2880" s="4">
        <v>13</v>
      </c>
      <c r="AA2880" s="4">
        <v>13</v>
      </c>
      <c r="AB2880" s="4">
        <v>1</v>
      </c>
      <c r="AC2880" s="4">
        <v>1</v>
      </c>
      <c r="AD2880" s="4">
        <v>39</v>
      </c>
      <c r="AE2880" s="4">
        <v>41</v>
      </c>
      <c r="AF2880" s="4">
        <v>0</v>
      </c>
      <c r="AG2880" s="4">
        <v>0</v>
      </c>
      <c r="AH2880" s="4">
        <v>34</v>
      </c>
      <c r="AI2880" s="4">
        <v>36</v>
      </c>
      <c r="AJ2880" s="4">
        <v>11</v>
      </c>
      <c r="AK2880" s="4">
        <v>11</v>
      </c>
      <c r="AL2880" s="4">
        <v>23</v>
      </c>
      <c r="AM2880" s="4">
        <v>25</v>
      </c>
      <c r="AN2880" s="4">
        <v>0</v>
      </c>
      <c r="AO2880" s="4">
        <v>0</v>
      </c>
      <c r="AP2880" s="4">
        <v>11</v>
      </c>
      <c r="AQ2880" s="4">
        <v>11</v>
      </c>
      <c r="AR2880" s="3" t="s">
        <v>62</v>
      </c>
      <c r="AS2880" s="3" t="s">
        <v>62</v>
      </c>
      <c r="AT2880" s="3" t="s">
        <v>62</v>
      </c>
      <c r="AV2880" s="6" t="str">
        <f>HYPERLINK("http://mcgill.on.worldcat.org/oclc/844074044","Catalog Record")</f>
        <v>Catalog Record</v>
      </c>
      <c r="AW2880" s="6" t="str">
        <f>HYPERLINK("http://www.worldcat.org/oclc/844074044","WorldCat Record")</f>
        <v>WorldCat Record</v>
      </c>
      <c r="AX2880" s="3" t="s">
        <v>28310</v>
      </c>
      <c r="AY2880" s="3" t="s">
        <v>28311</v>
      </c>
      <c r="AZ2880" s="3" t="s">
        <v>28312</v>
      </c>
      <c r="BA2880" s="3" t="s">
        <v>28312</v>
      </c>
      <c r="BB2880" s="3" t="s">
        <v>28313</v>
      </c>
      <c r="BC2880" s="3" t="s">
        <v>142</v>
      </c>
      <c r="BD2880" s="3" t="s">
        <v>68</v>
      </c>
      <c r="BE2880" s="3" t="s">
        <v>28314</v>
      </c>
      <c r="BF2880" s="3" t="s">
        <v>28313</v>
      </c>
      <c r="BG2880" s="3" t="s">
        <v>28315</v>
      </c>
    </row>
    <row r="2881" spans="1:59" ht="57" x14ac:dyDescent="0.45">
      <c r="A2881" s="2" t="s">
        <v>59</v>
      </c>
      <c r="B2881" s="2" t="s">
        <v>60</v>
      </c>
      <c r="C2881" s="2" t="s">
        <v>28316</v>
      </c>
      <c r="D2881" s="2" t="s">
        <v>28317</v>
      </c>
      <c r="E2881" s="2" t="s">
        <v>28318</v>
      </c>
      <c r="G2881" s="3" t="s">
        <v>62</v>
      </c>
      <c r="I2881" s="3" t="s">
        <v>62</v>
      </c>
      <c r="J2881" s="3" t="s">
        <v>62</v>
      </c>
      <c r="K2881" s="3" t="s">
        <v>63</v>
      </c>
      <c r="L2881" s="2" t="s">
        <v>28319</v>
      </c>
      <c r="M2881" s="2" t="s">
        <v>28320</v>
      </c>
      <c r="N2881" s="3" t="s">
        <v>1604</v>
      </c>
      <c r="P2881" s="3" t="s">
        <v>65</v>
      </c>
      <c r="Q2881" s="2" t="s">
        <v>28321</v>
      </c>
      <c r="R2881" s="3" t="s">
        <v>66</v>
      </c>
      <c r="S2881" s="4">
        <v>34</v>
      </c>
      <c r="T2881" s="4">
        <v>34</v>
      </c>
      <c r="U2881" s="5" t="s">
        <v>28322</v>
      </c>
      <c r="V2881" s="5" t="s">
        <v>28322</v>
      </c>
      <c r="W2881" s="5" t="s">
        <v>67</v>
      </c>
      <c r="X2881" s="5" t="s">
        <v>67</v>
      </c>
      <c r="Y2881" s="4">
        <v>198</v>
      </c>
      <c r="Z2881" s="4">
        <v>15</v>
      </c>
      <c r="AA2881" s="4">
        <v>16</v>
      </c>
      <c r="AB2881" s="4">
        <v>1</v>
      </c>
      <c r="AC2881" s="4">
        <v>2</v>
      </c>
      <c r="AD2881" s="4">
        <v>65</v>
      </c>
      <c r="AE2881" s="4">
        <v>66</v>
      </c>
      <c r="AF2881" s="4">
        <v>0</v>
      </c>
      <c r="AG2881" s="4">
        <v>1</v>
      </c>
      <c r="AH2881" s="4">
        <v>56</v>
      </c>
      <c r="AI2881" s="4">
        <v>56</v>
      </c>
      <c r="AJ2881" s="4">
        <v>10</v>
      </c>
      <c r="AK2881" s="4">
        <v>11</v>
      </c>
      <c r="AL2881" s="4">
        <v>32</v>
      </c>
      <c r="AM2881" s="4">
        <v>32</v>
      </c>
      <c r="AN2881" s="4">
        <v>0</v>
      </c>
      <c r="AO2881" s="4">
        <v>0</v>
      </c>
      <c r="AP2881" s="4">
        <v>12</v>
      </c>
      <c r="AQ2881" s="4">
        <v>12</v>
      </c>
      <c r="AR2881" s="3" t="s">
        <v>62</v>
      </c>
      <c r="AS2881" s="3" t="s">
        <v>62</v>
      </c>
      <c r="AT2881" s="3" t="s">
        <v>62</v>
      </c>
      <c r="AV2881" s="6" t="str">
        <f>HYPERLINK("http://mcgill.on.worldcat.org/oclc/29598688","Catalog Record")</f>
        <v>Catalog Record</v>
      </c>
      <c r="AW2881" s="6" t="str">
        <f>HYPERLINK("http://www.worldcat.org/oclc/29598688","WorldCat Record")</f>
        <v>WorldCat Record</v>
      </c>
      <c r="AX2881" s="3" t="s">
        <v>28323</v>
      </c>
      <c r="AY2881" s="3" t="s">
        <v>28324</v>
      </c>
      <c r="AZ2881" s="3" t="s">
        <v>28325</v>
      </c>
      <c r="BA2881" s="3" t="s">
        <v>28325</v>
      </c>
      <c r="BB2881" s="3" t="s">
        <v>28326</v>
      </c>
      <c r="BC2881" s="3" t="s">
        <v>142</v>
      </c>
      <c r="BD2881" s="3" t="s">
        <v>68</v>
      </c>
      <c r="BE2881" s="3" t="s">
        <v>28327</v>
      </c>
      <c r="BF2881" s="3" t="s">
        <v>28326</v>
      </c>
      <c r="BG2881" s="3" t="s">
        <v>28328</v>
      </c>
    </row>
    <row r="2882" spans="1:59" ht="57" x14ac:dyDescent="0.45">
      <c r="A2882" s="2" t="s">
        <v>59</v>
      </c>
      <c r="B2882" s="2" t="s">
        <v>60</v>
      </c>
      <c r="C2882" s="2" t="s">
        <v>28329</v>
      </c>
      <c r="D2882" s="2" t="s">
        <v>28330</v>
      </c>
      <c r="E2882" s="2" t="s">
        <v>28331</v>
      </c>
      <c r="G2882" s="3" t="s">
        <v>62</v>
      </c>
      <c r="I2882" s="3" t="s">
        <v>62</v>
      </c>
      <c r="J2882" s="3" t="s">
        <v>62</v>
      </c>
      <c r="K2882" s="3" t="s">
        <v>63</v>
      </c>
      <c r="L2882" s="2" t="s">
        <v>28332</v>
      </c>
      <c r="M2882" s="2" t="s">
        <v>28333</v>
      </c>
      <c r="N2882" s="3" t="s">
        <v>1059</v>
      </c>
      <c r="P2882" s="3" t="s">
        <v>65</v>
      </c>
      <c r="Q2882" s="2" t="s">
        <v>12051</v>
      </c>
      <c r="R2882" s="3" t="s">
        <v>66</v>
      </c>
      <c r="S2882" s="4">
        <v>9</v>
      </c>
      <c r="T2882" s="4">
        <v>9</v>
      </c>
      <c r="U2882" s="5" t="s">
        <v>28334</v>
      </c>
      <c r="V2882" s="5" t="s">
        <v>28334</v>
      </c>
      <c r="W2882" s="5" t="s">
        <v>67</v>
      </c>
      <c r="X2882" s="5" t="s">
        <v>67</v>
      </c>
      <c r="Y2882" s="4">
        <v>177</v>
      </c>
      <c r="Z2882" s="4">
        <v>25</v>
      </c>
      <c r="AA2882" s="4">
        <v>117</v>
      </c>
      <c r="AB2882" s="4">
        <v>2</v>
      </c>
      <c r="AC2882" s="4">
        <v>23</v>
      </c>
      <c r="AD2882" s="4">
        <v>94</v>
      </c>
      <c r="AE2882" s="4">
        <v>144</v>
      </c>
      <c r="AF2882" s="4">
        <v>1</v>
      </c>
      <c r="AG2882" s="4">
        <v>9</v>
      </c>
      <c r="AH2882" s="4">
        <v>81</v>
      </c>
      <c r="AI2882" s="4">
        <v>97</v>
      </c>
      <c r="AJ2882" s="4">
        <v>19</v>
      </c>
      <c r="AK2882" s="4">
        <v>28</v>
      </c>
      <c r="AL2882" s="4">
        <v>46</v>
      </c>
      <c r="AM2882" s="4">
        <v>53</v>
      </c>
      <c r="AN2882" s="4">
        <v>0</v>
      </c>
      <c r="AO2882" s="4">
        <v>0</v>
      </c>
      <c r="AP2882" s="4">
        <v>21</v>
      </c>
      <c r="AQ2882" s="4">
        <v>55</v>
      </c>
      <c r="AR2882" s="3" t="s">
        <v>61</v>
      </c>
      <c r="AS2882" s="3" t="s">
        <v>62</v>
      </c>
      <c r="AT2882" s="3" t="s">
        <v>61</v>
      </c>
      <c r="AU2882" s="6" t="str">
        <f>HYPERLINK("http://catalog.hathitrust.org/Record/005397770","HathiTrust Record")</f>
        <v>HathiTrust Record</v>
      </c>
      <c r="AV2882" s="6" t="str">
        <f>HYPERLINK("http://mcgill.on.worldcat.org/oclc/63705393","Catalog Record")</f>
        <v>Catalog Record</v>
      </c>
      <c r="AW2882" s="6" t="str">
        <f>HYPERLINK("http://www.worldcat.org/oclc/63705393","WorldCat Record")</f>
        <v>WorldCat Record</v>
      </c>
      <c r="AX2882" s="3" t="s">
        <v>28335</v>
      </c>
      <c r="AY2882" s="3" t="s">
        <v>28336</v>
      </c>
      <c r="AZ2882" s="3" t="s">
        <v>28337</v>
      </c>
      <c r="BA2882" s="3" t="s">
        <v>28337</v>
      </c>
      <c r="BB2882" s="3" t="s">
        <v>28338</v>
      </c>
      <c r="BC2882" s="3" t="s">
        <v>142</v>
      </c>
      <c r="BD2882" s="3" t="s">
        <v>68</v>
      </c>
      <c r="BE2882" s="3" t="s">
        <v>28339</v>
      </c>
      <c r="BF2882" s="3" t="s">
        <v>28338</v>
      </c>
      <c r="BG2882" s="3" t="s">
        <v>28340</v>
      </c>
    </row>
    <row r="2883" spans="1:59" ht="57" x14ac:dyDescent="0.45">
      <c r="A2883" s="2" t="s">
        <v>59</v>
      </c>
      <c r="B2883" s="2" t="s">
        <v>60</v>
      </c>
      <c r="C2883" s="2" t="s">
        <v>28341</v>
      </c>
      <c r="D2883" s="2" t="s">
        <v>28342</v>
      </c>
      <c r="E2883" s="2" t="s">
        <v>28343</v>
      </c>
      <c r="G2883" s="3" t="s">
        <v>62</v>
      </c>
      <c r="I2883" s="3" t="s">
        <v>62</v>
      </c>
      <c r="J2883" s="3" t="s">
        <v>62</v>
      </c>
      <c r="K2883" s="3" t="s">
        <v>63</v>
      </c>
      <c r="L2883" s="2" t="s">
        <v>6821</v>
      </c>
      <c r="M2883" s="2" t="s">
        <v>28344</v>
      </c>
      <c r="N2883" s="3" t="s">
        <v>583</v>
      </c>
      <c r="P2883" s="3" t="s">
        <v>110</v>
      </c>
      <c r="R2883" s="3" t="s">
        <v>66</v>
      </c>
      <c r="S2883" s="4">
        <v>18</v>
      </c>
      <c r="T2883" s="4">
        <v>18</v>
      </c>
      <c r="U2883" s="5" t="s">
        <v>7824</v>
      </c>
      <c r="V2883" s="5" t="s">
        <v>7824</v>
      </c>
      <c r="W2883" s="5" t="s">
        <v>67</v>
      </c>
      <c r="X2883" s="5" t="s">
        <v>67</v>
      </c>
      <c r="Y2883" s="4">
        <v>241</v>
      </c>
      <c r="Z2883" s="4">
        <v>21</v>
      </c>
      <c r="AA2883" s="4">
        <v>36</v>
      </c>
      <c r="AB2883" s="4">
        <v>3</v>
      </c>
      <c r="AC2883" s="4">
        <v>13</v>
      </c>
      <c r="AD2883" s="4">
        <v>96</v>
      </c>
      <c r="AE2883" s="4">
        <v>108</v>
      </c>
      <c r="AF2883" s="4">
        <v>1</v>
      </c>
      <c r="AG2883" s="4">
        <v>7</v>
      </c>
      <c r="AH2883" s="4">
        <v>85</v>
      </c>
      <c r="AI2883" s="4">
        <v>88</v>
      </c>
      <c r="AJ2883" s="4">
        <v>13</v>
      </c>
      <c r="AK2883" s="4">
        <v>20</v>
      </c>
      <c r="AL2883" s="4">
        <v>52</v>
      </c>
      <c r="AM2883" s="4">
        <v>53</v>
      </c>
      <c r="AN2883" s="4">
        <v>0</v>
      </c>
      <c r="AO2883" s="4">
        <v>2</v>
      </c>
      <c r="AP2883" s="4">
        <v>16</v>
      </c>
      <c r="AQ2883" s="4">
        <v>26</v>
      </c>
      <c r="AR2883" s="3" t="s">
        <v>62</v>
      </c>
      <c r="AS2883" s="3" t="s">
        <v>62</v>
      </c>
      <c r="AT2883" s="3" t="s">
        <v>61</v>
      </c>
      <c r="AU2883" s="6" t="str">
        <f>HYPERLINK("http://catalog.hathitrust.org/Record/000700291","HathiTrust Record")</f>
        <v>HathiTrust Record</v>
      </c>
      <c r="AV2883" s="6" t="str">
        <f>HYPERLINK("http://mcgill.on.worldcat.org/oclc/9532340","Catalog Record")</f>
        <v>Catalog Record</v>
      </c>
      <c r="AW2883" s="6" t="str">
        <f>HYPERLINK("http://www.worldcat.org/oclc/9532340","WorldCat Record")</f>
        <v>WorldCat Record</v>
      </c>
      <c r="AX2883" s="3" t="s">
        <v>28345</v>
      </c>
      <c r="AY2883" s="3" t="s">
        <v>28346</v>
      </c>
      <c r="AZ2883" s="3" t="s">
        <v>28347</v>
      </c>
      <c r="BA2883" s="3" t="s">
        <v>28347</v>
      </c>
      <c r="BB2883" s="3" t="s">
        <v>28348</v>
      </c>
      <c r="BC2883" s="3" t="s">
        <v>142</v>
      </c>
      <c r="BD2883" s="3" t="s">
        <v>308</v>
      </c>
      <c r="BE2883" s="3" t="s">
        <v>28349</v>
      </c>
      <c r="BF2883" s="3" t="s">
        <v>28348</v>
      </c>
      <c r="BG2883" s="3" t="s">
        <v>28350</v>
      </c>
    </row>
    <row r="2884" spans="1:59" ht="57" x14ac:dyDescent="0.45">
      <c r="A2884" s="2" t="s">
        <v>59</v>
      </c>
      <c r="B2884" s="2" t="s">
        <v>60</v>
      </c>
      <c r="C2884" s="2" t="s">
        <v>28351</v>
      </c>
      <c r="D2884" s="2" t="s">
        <v>28352</v>
      </c>
      <c r="E2884" s="2" t="s">
        <v>28353</v>
      </c>
      <c r="G2884" s="3" t="s">
        <v>62</v>
      </c>
      <c r="I2884" s="3" t="s">
        <v>62</v>
      </c>
      <c r="J2884" s="3" t="s">
        <v>62</v>
      </c>
      <c r="K2884" s="3" t="s">
        <v>63</v>
      </c>
      <c r="L2884" s="2" t="s">
        <v>6821</v>
      </c>
      <c r="M2884" s="2" t="s">
        <v>28354</v>
      </c>
      <c r="N2884" s="3" t="s">
        <v>529</v>
      </c>
      <c r="P2884" s="3" t="s">
        <v>110</v>
      </c>
      <c r="R2884" s="3" t="s">
        <v>66</v>
      </c>
      <c r="S2884" s="4">
        <v>50</v>
      </c>
      <c r="T2884" s="4">
        <v>50</v>
      </c>
      <c r="U2884" s="5" t="s">
        <v>28355</v>
      </c>
      <c r="V2884" s="5" t="s">
        <v>28355</v>
      </c>
      <c r="W2884" s="5" t="s">
        <v>67</v>
      </c>
      <c r="X2884" s="5" t="s">
        <v>67</v>
      </c>
      <c r="Y2884" s="4">
        <v>296</v>
      </c>
      <c r="Z2884" s="4">
        <v>33</v>
      </c>
      <c r="AA2884" s="4">
        <v>46</v>
      </c>
      <c r="AB2884" s="4">
        <v>1</v>
      </c>
      <c r="AC2884" s="4">
        <v>11</v>
      </c>
      <c r="AD2884" s="4">
        <v>109</v>
      </c>
      <c r="AE2884" s="4">
        <v>118</v>
      </c>
      <c r="AF2884" s="4">
        <v>0</v>
      </c>
      <c r="AG2884" s="4">
        <v>5</v>
      </c>
      <c r="AH2884" s="4">
        <v>89</v>
      </c>
      <c r="AI2884" s="4">
        <v>92</v>
      </c>
      <c r="AJ2884" s="4">
        <v>20</v>
      </c>
      <c r="AK2884" s="4">
        <v>24</v>
      </c>
      <c r="AL2884" s="4">
        <v>53</v>
      </c>
      <c r="AM2884" s="4">
        <v>54</v>
      </c>
      <c r="AN2884" s="4">
        <v>1</v>
      </c>
      <c r="AO2884" s="4">
        <v>1</v>
      </c>
      <c r="AP2884" s="4">
        <v>28</v>
      </c>
      <c r="AQ2884" s="4">
        <v>34</v>
      </c>
      <c r="AR2884" s="3" t="s">
        <v>62</v>
      </c>
      <c r="AS2884" s="3" t="s">
        <v>62</v>
      </c>
      <c r="AT2884" s="3" t="s">
        <v>61</v>
      </c>
      <c r="AU2884" s="6" t="str">
        <f>HYPERLINK("http://catalog.hathitrust.org/Record/000625519","HathiTrust Record")</f>
        <v>HathiTrust Record</v>
      </c>
      <c r="AV2884" s="6" t="str">
        <f>HYPERLINK("http://mcgill.on.worldcat.org/oclc/13190951","Catalog Record")</f>
        <v>Catalog Record</v>
      </c>
      <c r="AW2884" s="6" t="str">
        <f>HYPERLINK("http://www.worldcat.org/oclc/13190951","WorldCat Record")</f>
        <v>WorldCat Record</v>
      </c>
      <c r="AX2884" s="3" t="s">
        <v>28356</v>
      </c>
      <c r="AY2884" s="3" t="s">
        <v>28357</v>
      </c>
      <c r="AZ2884" s="3" t="s">
        <v>28358</v>
      </c>
      <c r="BA2884" s="3" t="s">
        <v>28358</v>
      </c>
      <c r="BB2884" s="3" t="s">
        <v>28359</v>
      </c>
      <c r="BC2884" s="3" t="s">
        <v>142</v>
      </c>
      <c r="BD2884" s="3" t="s">
        <v>68</v>
      </c>
      <c r="BE2884" s="3" t="s">
        <v>28360</v>
      </c>
      <c r="BF2884" s="3" t="s">
        <v>28359</v>
      </c>
      <c r="BG2884" s="3" t="s">
        <v>28361</v>
      </c>
    </row>
    <row r="2885" spans="1:59" ht="57" x14ac:dyDescent="0.45">
      <c r="A2885" s="2" t="s">
        <v>59</v>
      </c>
      <c r="B2885" s="2" t="s">
        <v>60</v>
      </c>
      <c r="C2885" s="2" t="s">
        <v>28362</v>
      </c>
      <c r="D2885" s="2" t="s">
        <v>28363</v>
      </c>
      <c r="E2885" s="2" t="s">
        <v>28364</v>
      </c>
      <c r="G2885" s="3" t="s">
        <v>62</v>
      </c>
      <c r="I2885" s="3" t="s">
        <v>61</v>
      </c>
      <c r="J2885" s="3" t="s">
        <v>62</v>
      </c>
      <c r="K2885" s="3" t="s">
        <v>63</v>
      </c>
      <c r="L2885" s="2" t="s">
        <v>6821</v>
      </c>
      <c r="M2885" s="2" t="s">
        <v>28365</v>
      </c>
      <c r="N2885" s="3" t="s">
        <v>2417</v>
      </c>
      <c r="O2885" s="2" t="s">
        <v>168</v>
      </c>
      <c r="P2885" s="3" t="s">
        <v>65</v>
      </c>
      <c r="R2885" s="3" t="s">
        <v>66</v>
      </c>
      <c r="S2885" s="4">
        <v>57</v>
      </c>
      <c r="T2885" s="4">
        <v>96</v>
      </c>
      <c r="U2885" s="5" t="s">
        <v>6838</v>
      </c>
      <c r="V2885" s="5" t="s">
        <v>6838</v>
      </c>
      <c r="W2885" s="5" t="s">
        <v>67</v>
      </c>
      <c r="X2885" s="5" t="s">
        <v>67</v>
      </c>
      <c r="Y2885" s="4">
        <v>554</v>
      </c>
      <c r="Z2885" s="4">
        <v>40</v>
      </c>
      <c r="AA2885" s="4">
        <v>48</v>
      </c>
      <c r="AB2885" s="4">
        <v>3</v>
      </c>
      <c r="AC2885" s="4">
        <v>4</v>
      </c>
      <c r="AD2885" s="4">
        <v>119</v>
      </c>
      <c r="AE2885" s="4">
        <v>130</v>
      </c>
      <c r="AF2885" s="4">
        <v>1</v>
      </c>
      <c r="AG2885" s="4">
        <v>2</v>
      </c>
      <c r="AH2885" s="4">
        <v>102</v>
      </c>
      <c r="AI2885" s="4">
        <v>108</v>
      </c>
      <c r="AJ2885" s="4">
        <v>18</v>
      </c>
      <c r="AK2885" s="4">
        <v>20</v>
      </c>
      <c r="AL2885" s="4">
        <v>56</v>
      </c>
      <c r="AM2885" s="4">
        <v>59</v>
      </c>
      <c r="AN2885" s="4">
        <v>0</v>
      </c>
      <c r="AO2885" s="4">
        <v>0</v>
      </c>
      <c r="AP2885" s="4">
        <v>23</v>
      </c>
      <c r="AQ2885" s="4">
        <v>29</v>
      </c>
      <c r="AR2885" s="3" t="s">
        <v>62</v>
      </c>
      <c r="AS2885" s="3" t="s">
        <v>62</v>
      </c>
      <c r="AT2885" s="3" t="s">
        <v>62</v>
      </c>
      <c r="AV2885" s="6" t="str">
        <f>HYPERLINK("http://mcgill.on.worldcat.org/oclc/16982286","Catalog Record")</f>
        <v>Catalog Record</v>
      </c>
      <c r="AW2885" s="6" t="str">
        <f>HYPERLINK("http://www.worldcat.org/oclc/16982286","WorldCat Record")</f>
        <v>WorldCat Record</v>
      </c>
      <c r="AX2885" s="3" t="s">
        <v>28366</v>
      </c>
      <c r="AY2885" s="3" t="s">
        <v>28367</v>
      </c>
      <c r="AZ2885" s="3" t="s">
        <v>28368</v>
      </c>
      <c r="BA2885" s="3" t="s">
        <v>28368</v>
      </c>
      <c r="BB2885" s="3" t="s">
        <v>28369</v>
      </c>
      <c r="BC2885" s="3" t="s">
        <v>142</v>
      </c>
      <c r="BD2885" s="3" t="s">
        <v>68</v>
      </c>
      <c r="BE2885" s="3" t="s">
        <v>28370</v>
      </c>
      <c r="BF2885" s="3" t="s">
        <v>28369</v>
      </c>
      <c r="BG2885" s="3" t="s">
        <v>28371</v>
      </c>
    </row>
    <row r="2886" spans="1:59" ht="57" x14ac:dyDescent="0.45">
      <c r="A2886" s="2" t="s">
        <v>59</v>
      </c>
      <c r="B2886" s="2" t="s">
        <v>60</v>
      </c>
      <c r="C2886" s="2" t="s">
        <v>28362</v>
      </c>
      <c r="D2886" s="2" t="s">
        <v>28363</v>
      </c>
      <c r="E2886" s="2" t="s">
        <v>28364</v>
      </c>
      <c r="G2886" s="3" t="s">
        <v>62</v>
      </c>
      <c r="I2886" s="3" t="s">
        <v>61</v>
      </c>
      <c r="J2886" s="3" t="s">
        <v>62</v>
      </c>
      <c r="K2886" s="3" t="s">
        <v>63</v>
      </c>
      <c r="L2886" s="2" t="s">
        <v>6821</v>
      </c>
      <c r="M2886" s="2" t="s">
        <v>28365</v>
      </c>
      <c r="N2886" s="3" t="s">
        <v>2417</v>
      </c>
      <c r="O2886" s="2" t="s">
        <v>168</v>
      </c>
      <c r="P2886" s="3" t="s">
        <v>65</v>
      </c>
      <c r="R2886" s="3" t="s">
        <v>66</v>
      </c>
      <c r="S2886" s="4">
        <v>39</v>
      </c>
      <c r="T2886" s="4">
        <v>96</v>
      </c>
      <c r="U2886" s="5" t="s">
        <v>10320</v>
      </c>
      <c r="V2886" s="5" t="s">
        <v>6838</v>
      </c>
      <c r="W2886" s="5" t="s">
        <v>67</v>
      </c>
      <c r="X2886" s="5" t="s">
        <v>67</v>
      </c>
      <c r="Y2886" s="4">
        <v>554</v>
      </c>
      <c r="Z2886" s="4">
        <v>40</v>
      </c>
      <c r="AA2886" s="4">
        <v>48</v>
      </c>
      <c r="AB2886" s="4">
        <v>3</v>
      </c>
      <c r="AC2886" s="4">
        <v>4</v>
      </c>
      <c r="AD2886" s="4">
        <v>119</v>
      </c>
      <c r="AE2886" s="4">
        <v>130</v>
      </c>
      <c r="AF2886" s="4">
        <v>1</v>
      </c>
      <c r="AG2886" s="4">
        <v>2</v>
      </c>
      <c r="AH2886" s="4">
        <v>102</v>
      </c>
      <c r="AI2886" s="4">
        <v>108</v>
      </c>
      <c r="AJ2886" s="4">
        <v>18</v>
      </c>
      <c r="AK2886" s="4">
        <v>20</v>
      </c>
      <c r="AL2886" s="4">
        <v>56</v>
      </c>
      <c r="AM2886" s="4">
        <v>59</v>
      </c>
      <c r="AN2886" s="4">
        <v>0</v>
      </c>
      <c r="AO2886" s="4">
        <v>0</v>
      </c>
      <c r="AP2886" s="4">
        <v>23</v>
      </c>
      <c r="AQ2886" s="4">
        <v>29</v>
      </c>
      <c r="AR2886" s="3" t="s">
        <v>62</v>
      </c>
      <c r="AS2886" s="3" t="s">
        <v>62</v>
      </c>
      <c r="AT2886" s="3" t="s">
        <v>62</v>
      </c>
      <c r="AV2886" s="6" t="str">
        <f>HYPERLINK("http://mcgill.on.worldcat.org/oclc/16982286","Catalog Record")</f>
        <v>Catalog Record</v>
      </c>
      <c r="AW2886" s="6" t="str">
        <f>HYPERLINK("http://www.worldcat.org/oclc/16982286","WorldCat Record")</f>
        <v>WorldCat Record</v>
      </c>
      <c r="AX2886" s="3" t="s">
        <v>28366</v>
      </c>
      <c r="AY2886" s="3" t="s">
        <v>28367</v>
      </c>
      <c r="AZ2886" s="3" t="s">
        <v>28368</v>
      </c>
      <c r="BA2886" s="3" t="s">
        <v>28368</v>
      </c>
      <c r="BB2886" s="3" t="s">
        <v>28372</v>
      </c>
      <c r="BC2886" s="3" t="s">
        <v>142</v>
      </c>
      <c r="BD2886" s="3" t="s">
        <v>68</v>
      </c>
      <c r="BE2886" s="3" t="s">
        <v>28370</v>
      </c>
      <c r="BF2886" s="3" t="s">
        <v>28372</v>
      </c>
      <c r="BG2886" s="3" t="s">
        <v>28373</v>
      </c>
    </row>
    <row r="2887" spans="1:59" ht="57" x14ac:dyDescent="0.45">
      <c r="A2887" s="2" t="s">
        <v>59</v>
      </c>
      <c r="B2887" s="2" t="s">
        <v>60</v>
      </c>
      <c r="C2887" s="2" t="s">
        <v>28374</v>
      </c>
      <c r="D2887" s="2" t="s">
        <v>28375</v>
      </c>
      <c r="E2887" s="2" t="s">
        <v>28376</v>
      </c>
      <c r="G2887" s="3" t="s">
        <v>62</v>
      </c>
      <c r="I2887" s="3" t="s">
        <v>62</v>
      </c>
      <c r="J2887" s="3" t="s">
        <v>61</v>
      </c>
      <c r="K2887" s="3" t="s">
        <v>63</v>
      </c>
      <c r="L2887" s="2" t="s">
        <v>6821</v>
      </c>
      <c r="M2887" s="2" t="s">
        <v>28377</v>
      </c>
      <c r="N2887" s="3" t="s">
        <v>529</v>
      </c>
      <c r="O2887" s="2" t="s">
        <v>168</v>
      </c>
      <c r="P2887" s="3" t="s">
        <v>65</v>
      </c>
      <c r="R2887" s="3" t="s">
        <v>66</v>
      </c>
      <c r="S2887" s="4">
        <v>52</v>
      </c>
      <c r="T2887" s="4">
        <v>52</v>
      </c>
      <c r="U2887" s="5" t="s">
        <v>6370</v>
      </c>
      <c r="V2887" s="5" t="s">
        <v>6370</v>
      </c>
      <c r="W2887" s="5" t="s">
        <v>67</v>
      </c>
      <c r="X2887" s="5" t="s">
        <v>67</v>
      </c>
      <c r="Y2887" s="4">
        <v>509</v>
      </c>
      <c r="Z2887" s="4">
        <v>36</v>
      </c>
      <c r="AA2887" s="4">
        <v>49</v>
      </c>
      <c r="AB2887" s="4">
        <v>1</v>
      </c>
      <c r="AC2887" s="4">
        <v>4</v>
      </c>
      <c r="AD2887" s="4">
        <v>115</v>
      </c>
      <c r="AE2887" s="4">
        <v>131</v>
      </c>
      <c r="AF2887" s="4">
        <v>0</v>
      </c>
      <c r="AG2887" s="4">
        <v>2</v>
      </c>
      <c r="AH2887" s="4">
        <v>99</v>
      </c>
      <c r="AI2887" s="4">
        <v>107</v>
      </c>
      <c r="AJ2887" s="4">
        <v>16</v>
      </c>
      <c r="AK2887" s="4">
        <v>19</v>
      </c>
      <c r="AL2887" s="4">
        <v>56</v>
      </c>
      <c r="AM2887" s="4">
        <v>60</v>
      </c>
      <c r="AN2887" s="4">
        <v>0</v>
      </c>
      <c r="AO2887" s="4">
        <v>0</v>
      </c>
      <c r="AP2887" s="4">
        <v>20</v>
      </c>
      <c r="AQ2887" s="4">
        <v>30</v>
      </c>
      <c r="AR2887" s="3" t="s">
        <v>62</v>
      </c>
      <c r="AS2887" s="3" t="s">
        <v>62</v>
      </c>
      <c r="AT2887" s="3" t="s">
        <v>62</v>
      </c>
      <c r="AV2887" s="6" t="str">
        <f>HYPERLINK("http://mcgill.on.worldcat.org/oclc/11043410","Catalog Record")</f>
        <v>Catalog Record</v>
      </c>
      <c r="AW2887" s="6" t="str">
        <f>HYPERLINK("http://www.worldcat.org/oclc/11043410","WorldCat Record")</f>
        <v>WorldCat Record</v>
      </c>
      <c r="AX2887" s="3" t="s">
        <v>28378</v>
      </c>
      <c r="AY2887" s="3" t="s">
        <v>28379</v>
      </c>
      <c r="AZ2887" s="3" t="s">
        <v>28380</v>
      </c>
      <c r="BA2887" s="3" t="s">
        <v>28380</v>
      </c>
      <c r="BB2887" s="3" t="s">
        <v>28381</v>
      </c>
      <c r="BC2887" s="3" t="s">
        <v>142</v>
      </c>
      <c r="BD2887" s="3" t="s">
        <v>68</v>
      </c>
      <c r="BE2887" s="3" t="s">
        <v>28382</v>
      </c>
      <c r="BF2887" s="3" t="s">
        <v>28381</v>
      </c>
      <c r="BG2887" s="3" t="s">
        <v>28383</v>
      </c>
    </row>
    <row r="2888" spans="1:59" ht="57" x14ac:dyDescent="0.45">
      <c r="A2888" s="2" t="s">
        <v>59</v>
      </c>
      <c r="B2888" s="2" t="s">
        <v>60</v>
      </c>
      <c r="C2888" s="2" t="s">
        <v>28384</v>
      </c>
      <c r="D2888" s="2" t="s">
        <v>28385</v>
      </c>
      <c r="E2888" s="2" t="s">
        <v>28386</v>
      </c>
      <c r="G2888" s="3" t="s">
        <v>62</v>
      </c>
      <c r="I2888" s="3" t="s">
        <v>62</v>
      </c>
      <c r="J2888" s="3" t="s">
        <v>61</v>
      </c>
      <c r="K2888" s="3" t="s">
        <v>63</v>
      </c>
      <c r="L2888" s="2" t="s">
        <v>6821</v>
      </c>
      <c r="M2888" s="2" t="s">
        <v>28387</v>
      </c>
      <c r="N2888" s="3" t="s">
        <v>1465</v>
      </c>
      <c r="O2888" s="2" t="s">
        <v>28388</v>
      </c>
      <c r="P2888" s="3" t="s">
        <v>65</v>
      </c>
      <c r="R2888" s="3" t="s">
        <v>66</v>
      </c>
      <c r="S2888" s="4">
        <v>12</v>
      </c>
      <c r="T2888" s="4">
        <v>12</v>
      </c>
      <c r="U2888" s="5" t="s">
        <v>21004</v>
      </c>
      <c r="V2888" s="5" t="s">
        <v>21004</v>
      </c>
      <c r="W2888" s="5" t="s">
        <v>67</v>
      </c>
      <c r="X2888" s="5" t="s">
        <v>67</v>
      </c>
      <c r="Y2888" s="4">
        <v>49</v>
      </c>
      <c r="Z2888" s="4">
        <v>6</v>
      </c>
      <c r="AA2888" s="4">
        <v>49</v>
      </c>
      <c r="AB2888" s="4">
        <v>3</v>
      </c>
      <c r="AC2888" s="4">
        <v>4</v>
      </c>
      <c r="AD2888" s="4">
        <v>16</v>
      </c>
      <c r="AE2888" s="4">
        <v>131</v>
      </c>
      <c r="AF2888" s="4">
        <v>1</v>
      </c>
      <c r="AG2888" s="4">
        <v>2</v>
      </c>
      <c r="AH2888" s="4">
        <v>14</v>
      </c>
      <c r="AI2888" s="4">
        <v>107</v>
      </c>
      <c r="AJ2888" s="4">
        <v>3</v>
      </c>
      <c r="AK2888" s="4">
        <v>19</v>
      </c>
      <c r="AL2888" s="4">
        <v>10</v>
      </c>
      <c r="AM2888" s="4">
        <v>60</v>
      </c>
      <c r="AN2888" s="4">
        <v>0</v>
      </c>
      <c r="AO2888" s="4">
        <v>0</v>
      </c>
      <c r="AP2888" s="4">
        <v>3</v>
      </c>
      <c r="AQ2888" s="4">
        <v>30</v>
      </c>
      <c r="AR2888" s="3" t="s">
        <v>62</v>
      </c>
      <c r="AS2888" s="3" t="s">
        <v>62</v>
      </c>
      <c r="AT2888" s="3" t="s">
        <v>61</v>
      </c>
      <c r="AU2888" s="6" t="str">
        <f>HYPERLINK("http://catalog.hathitrust.org/Record/012281110","HathiTrust Record")</f>
        <v>HathiTrust Record</v>
      </c>
      <c r="AV2888" s="6" t="str">
        <f>HYPERLINK("http://mcgill.on.worldcat.org/oclc/318428642","Catalog Record")</f>
        <v>Catalog Record</v>
      </c>
      <c r="AW2888" s="6" t="str">
        <f>HYPERLINK("http://www.worldcat.org/oclc/318428642","WorldCat Record")</f>
        <v>WorldCat Record</v>
      </c>
      <c r="AX2888" s="3" t="s">
        <v>28378</v>
      </c>
      <c r="AY2888" s="3" t="s">
        <v>28389</v>
      </c>
      <c r="AZ2888" s="3" t="s">
        <v>28390</v>
      </c>
      <c r="BA2888" s="3" t="s">
        <v>28390</v>
      </c>
      <c r="BB2888" s="3" t="s">
        <v>28391</v>
      </c>
      <c r="BC2888" s="3" t="s">
        <v>142</v>
      </c>
      <c r="BD2888" s="3" t="s">
        <v>308</v>
      </c>
      <c r="BE2888" s="3" t="s">
        <v>28392</v>
      </c>
      <c r="BF2888" s="3" t="s">
        <v>28391</v>
      </c>
      <c r="BG2888" s="3" t="s">
        <v>28393</v>
      </c>
    </row>
    <row r="2889" spans="1:59" ht="57" x14ac:dyDescent="0.45">
      <c r="A2889" s="2" t="s">
        <v>59</v>
      </c>
      <c r="B2889" s="2" t="s">
        <v>60</v>
      </c>
      <c r="C2889" s="2" t="s">
        <v>28394</v>
      </c>
      <c r="D2889" s="2" t="s">
        <v>28395</v>
      </c>
      <c r="E2889" s="2" t="s">
        <v>28396</v>
      </c>
      <c r="G2889" s="3" t="s">
        <v>62</v>
      </c>
      <c r="I2889" s="3" t="s">
        <v>61</v>
      </c>
      <c r="J2889" s="3" t="s">
        <v>62</v>
      </c>
      <c r="K2889" s="3" t="s">
        <v>63</v>
      </c>
      <c r="L2889" s="2" t="s">
        <v>6821</v>
      </c>
      <c r="M2889" s="2" t="s">
        <v>28397</v>
      </c>
      <c r="N2889" s="3" t="s">
        <v>157</v>
      </c>
      <c r="P2889" s="3" t="s">
        <v>110</v>
      </c>
      <c r="Q2889" s="2" t="s">
        <v>28398</v>
      </c>
      <c r="R2889" s="3" t="s">
        <v>66</v>
      </c>
      <c r="S2889" s="4">
        <v>0</v>
      </c>
      <c r="T2889" s="4">
        <v>37</v>
      </c>
      <c r="V2889" s="5" t="s">
        <v>2406</v>
      </c>
      <c r="W2889" s="5" t="s">
        <v>67</v>
      </c>
      <c r="X2889" s="5" t="s">
        <v>67</v>
      </c>
      <c r="Y2889" s="4">
        <v>57</v>
      </c>
      <c r="Z2889" s="4">
        <v>17</v>
      </c>
      <c r="AA2889" s="4">
        <v>31</v>
      </c>
      <c r="AB2889" s="4">
        <v>1</v>
      </c>
      <c r="AC2889" s="4">
        <v>13</v>
      </c>
      <c r="AD2889" s="4">
        <v>21</v>
      </c>
      <c r="AE2889" s="4">
        <v>30</v>
      </c>
      <c r="AF2889" s="4">
        <v>0</v>
      </c>
      <c r="AG2889" s="4">
        <v>5</v>
      </c>
      <c r="AH2889" s="4">
        <v>16</v>
      </c>
      <c r="AI2889" s="4">
        <v>21</v>
      </c>
      <c r="AJ2889" s="4">
        <v>10</v>
      </c>
      <c r="AK2889" s="4">
        <v>15</v>
      </c>
      <c r="AL2889" s="4">
        <v>5</v>
      </c>
      <c r="AM2889" s="4">
        <v>7</v>
      </c>
      <c r="AN2889" s="4">
        <v>0</v>
      </c>
      <c r="AO2889" s="4">
        <v>0</v>
      </c>
      <c r="AP2889" s="4">
        <v>12</v>
      </c>
      <c r="AQ2889" s="4">
        <v>17</v>
      </c>
      <c r="AR2889" s="3" t="s">
        <v>62</v>
      </c>
      <c r="AS2889" s="3" t="s">
        <v>62</v>
      </c>
      <c r="AT2889" s="3" t="s">
        <v>61</v>
      </c>
      <c r="AU2889" s="6" t="str">
        <f>HYPERLINK("http://catalog.hathitrust.org/Record/000189216","HathiTrust Record")</f>
        <v>HathiTrust Record</v>
      </c>
      <c r="AV2889" s="6" t="str">
        <f>HYPERLINK("http://mcgill.on.worldcat.org/oclc/234135604","Catalog Record")</f>
        <v>Catalog Record</v>
      </c>
      <c r="AW2889" s="6" t="str">
        <f>HYPERLINK("http://www.worldcat.org/oclc/234135604","WorldCat Record")</f>
        <v>WorldCat Record</v>
      </c>
      <c r="AX2889" s="3" t="s">
        <v>28399</v>
      </c>
      <c r="AY2889" s="3" t="s">
        <v>28400</v>
      </c>
      <c r="AZ2889" s="3" t="s">
        <v>28401</v>
      </c>
      <c r="BA2889" s="3" t="s">
        <v>28401</v>
      </c>
      <c r="BB2889" s="3" t="s">
        <v>28402</v>
      </c>
      <c r="BC2889" s="3" t="s">
        <v>142</v>
      </c>
      <c r="BD2889" s="3" t="s">
        <v>68</v>
      </c>
      <c r="BE2889" s="3" t="s">
        <v>28403</v>
      </c>
      <c r="BF2889" s="3" t="s">
        <v>28402</v>
      </c>
      <c r="BG2889" s="3" t="s">
        <v>28404</v>
      </c>
    </row>
    <row r="2890" spans="1:59" ht="57" x14ac:dyDescent="0.45">
      <c r="A2890" s="2" t="s">
        <v>59</v>
      </c>
      <c r="B2890" s="2" t="s">
        <v>60</v>
      </c>
      <c r="C2890" s="2" t="s">
        <v>28394</v>
      </c>
      <c r="D2890" s="2" t="s">
        <v>28395</v>
      </c>
      <c r="E2890" s="2" t="s">
        <v>28396</v>
      </c>
      <c r="G2890" s="3" t="s">
        <v>62</v>
      </c>
      <c r="I2890" s="3" t="s">
        <v>61</v>
      </c>
      <c r="J2890" s="3" t="s">
        <v>62</v>
      </c>
      <c r="K2890" s="3" t="s">
        <v>63</v>
      </c>
      <c r="L2890" s="2" t="s">
        <v>6821</v>
      </c>
      <c r="M2890" s="2" t="s">
        <v>28397</v>
      </c>
      <c r="N2890" s="3" t="s">
        <v>157</v>
      </c>
      <c r="P2890" s="3" t="s">
        <v>110</v>
      </c>
      <c r="Q2890" s="2" t="s">
        <v>28398</v>
      </c>
      <c r="R2890" s="3" t="s">
        <v>66</v>
      </c>
      <c r="S2890" s="4">
        <v>14</v>
      </c>
      <c r="T2890" s="4">
        <v>37</v>
      </c>
      <c r="U2890" s="5" t="s">
        <v>28405</v>
      </c>
      <c r="V2890" s="5" t="s">
        <v>2406</v>
      </c>
      <c r="W2890" s="5" t="s">
        <v>67</v>
      </c>
      <c r="X2890" s="5" t="s">
        <v>67</v>
      </c>
      <c r="Y2890" s="4">
        <v>57</v>
      </c>
      <c r="Z2890" s="4">
        <v>17</v>
      </c>
      <c r="AA2890" s="4">
        <v>31</v>
      </c>
      <c r="AB2890" s="4">
        <v>1</v>
      </c>
      <c r="AC2890" s="4">
        <v>13</v>
      </c>
      <c r="AD2890" s="4">
        <v>21</v>
      </c>
      <c r="AE2890" s="4">
        <v>30</v>
      </c>
      <c r="AF2890" s="4">
        <v>0</v>
      </c>
      <c r="AG2890" s="4">
        <v>5</v>
      </c>
      <c r="AH2890" s="4">
        <v>16</v>
      </c>
      <c r="AI2890" s="4">
        <v>21</v>
      </c>
      <c r="AJ2890" s="4">
        <v>10</v>
      </c>
      <c r="AK2890" s="4">
        <v>15</v>
      </c>
      <c r="AL2890" s="4">
        <v>5</v>
      </c>
      <c r="AM2890" s="4">
        <v>7</v>
      </c>
      <c r="AN2890" s="4">
        <v>0</v>
      </c>
      <c r="AO2890" s="4">
        <v>0</v>
      </c>
      <c r="AP2890" s="4">
        <v>12</v>
      </c>
      <c r="AQ2890" s="4">
        <v>17</v>
      </c>
      <c r="AR2890" s="3" t="s">
        <v>62</v>
      </c>
      <c r="AS2890" s="3" t="s">
        <v>62</v>
      </c>
      <c r="AT2890" s="3" t="s">
        <v>61</v>
      </c>
      <c r="AU2890" s="6" t="str">
        <f>HYPERLINK("http://catalog.hathitrust.org/Record/000189216","HathiTrust Record")</f>
        <v>HathiTrust Record</v>
      </c>
      <c r="AV2890" s="6" t="str">
        <f>HYPERLINK("http://mcgill.on.worldcat.org/oclc/234135604","Catalog Record")</f>
        <v>Catalog Record</v>
      </c>
      <c r="AW2890" s="6" t="str">
        <f>HYPERLINK("http://www.worldcat.org/oclc/234135604","WorldCat Record")</f>
        <v>WorldCat Record</v>
      </c>
      <c r="AX2890" s="3" t="s">
        <v>28399</v>
      </c>
      <c r="AY2890" s="3" t="s">
        <v>28400</v>
      </c>
      <c r="AZ2890" s="3" t="s">
        <v>28401</v>
      </c>
      <c r="BA2890" s="3" t="s">
        <v>28401</v>
      </c>
      <c r="BB2890" s="3" t="s">
        <v>28406</v>
      </c>
      <c r="BC2890" s="3" t="s">
        <v>142</v>
      </c>
      <c r="BD2890" s="3" t="s">
        <v>68</v>
      </c>
      <c r="BE2890" s="3" t="s">
        <v>28403</v>
      </c>
      <c r="BF2890" s="3" t="s">
        <v>28406</v>
      </c>
      <c r="BG2890" s="3" t="s">
        <v>28407</v>
      </c>
    </row>
    <row r="2891" spans="1:59" ht="57" x14ac:dyDescent="0.45">
      <c r="A2891" s="2" t="s">
        <v>59</v>
      </c>
      <c r="B2891" s="2" t="s">
        <v>60</v>
      </c>
      <c r="C2891" s="2" t="s">
        <v>28394</v>
      </c>
      <c r="D2891" s="2" t="s">
        <v>28395</v>
      </c>
      <c r="E2891" s="2" t="s">
        <v>28396</v>
      </c>
      <c r="G2891" s="3" t="s">
        <v>62</v>
      </c>
      <c r="I2891" s="3" t="s">
        <v>61</v>
      </c>
      <c r="J2891" s="3" t="s">
        <v>62</v>
      </c>
      <c r="K2891" s="3" t="s">
        <v>63</v>
      </c>
      <c r="L2891" s="2" t="s">
        <v>6821</v>
      </c>
      <c r="M2891" s="2" t="s">
        <v>28397</v>
      </c>
      <c r="N2891" s="3" t="s">
        <v>157</v>
      </c>
      <c r="P2891" s="3" t="s">
        <v>110</v>
      </c>
      <c r="Q2891" s="2" t="s">
        <v>28398</v>
      </c>
      <c r="R2891" s="3" t="s">
        <v>66</v>
      </c>
      <c r="S2891" s="4">
        <v>23</v>
      </c>
      <c r="T2891" s="4">
        <v>37</v>
      </c>
      <c r="U2891" s="5" t="s">
        <v>2406</v>
      </c>
      <c r="V2891" s="5" t="s">
        <v>2406</v>
      </c>
      <c r="W2891" s="5" t="s">
        <v>67</v>
      </c>
      <c r="X2891" s="5" t="s">
        <v>67</v>
      </c>
      <c r="Y2891" s="4">
        <v>57</v>
      </c>
      <c r="Z2891" s="4">
        <v>17</v>
      </c>
      <c r="AA2891" s="4">
        <v>31</v>
      </c>
      <c r="AB2891" s="4">
        <v>1</v>
      </c>
      <c r="AC2891" s="4">
        <v>13</v>
      </c>
      <c r="AD2891" s="4">
        <v>21</v>
      </c>
      <c r="AE2891" s="4">
        <v>30</v>
      </c>
      <c r="AF2891" s="4">
        <v>0</v>
      </c>
      <c r="AG2891" s="4">
        <v>5</v>
      </c>
      <c r="AH2891" s="4">
        <v>16</v>
      </c>
      <c r="AI2891" s="4">
        <v>21</v>
      </c>
      <c r="AJ2891" s="4">
        <v>10</v>
      </c>
      <c r="AK2891" s="4">
        <v>15</v>
      </c>
      <c r="AL2891" s="4">
        <v>5</v>
      </c>
      <c r="AM2891" s="4">
        <v>7</v>
      </c>
      <c r="AN2891" s="4">
        <v>0</v>
      </c>
      <c r="AO2891" s="4">
        <v>0</v>
      </c>
      <c r="AP2891" s="4">
        <v>12</v>
      </c>
      <c r="AQ2891" s="4">
        <v>17</v>
      </c>
      <c r="AR2891" s="3" t="s">
        <v>62</v>
      </c>
      <c r="AS2891" s="3" t="s">
        <v>62</v>
      </c>
      <c r="AT2891" s="3" t="s">
        <v>61</v>
      </c>
      <c r="AU2891" s="6" t="str">
        <f>HYPERLINK("http://catalog.hathitrust.org/Record/000189216","HathiTrust Record")</f>
        <v>HathiTrust Record</v>
      </c>
      <c r="AV2891" s="6" t="str">
        <f>HYPERLINK("http://mcgill.on.worldcat.org/oclc/234135604","Catalog Record")</f>
        <v>Catalog Record</v>
      </c>
      <c r="AW2891" s="6" t="str">
        <f>HYPERLINK("http://www.worldcat.org/oclc/234135604","WorldCat Record")</f>
        <v>WorldCat Record</v>
      </c>
      <c r="AX2891" s="3" t="s">
        <v>28399</v>
      </c>
      <c r="AY2891" s="3" t="s">
        <v>28400</v>
      </c>
      <c r="AZ2891" s="3" t="s">
        <v>28401</v>
      </c>
      <c r="BA2891" s="3" t="s">
        <v>28401</v>
      </c>
      <c r="BB2891" s="3" t="s">
        <v>28408</v>
      </c>
      <c r="BC2891" s="3" t="s">
        <v>142</v>
      </c>
      <c r="BD2891" s="3" t="s">
        <v>308</v>
      </c>
      <c r="BE2891" s="3" t="s">
        <v>28403</v>
      </c>
      <c r="BF2891" s="3" t="s">
        <v>28408</v>
      </c>
      <c r="BG2891" s="3" t="s">
        <v>28409</v>
      </c>
    </row>
    <row r="2892" spans="1:59" ht="57" x14ac:dyDescent="0.45">
      <c r="A2892" s="2" t="s">
        <v>59</v>
      </c>
      <c r="B2892" s="2" t="s">
        <v>60</v>
      </c>
      <c r="C2892" s="2" t="s">
        <v>28410</v>
      </c>
      <c r="D2892" s="2" t="s">
        <v>28411</v>
      </c>
      <c r="E2892" s="2" t="s">
        <v>28412</v>
      </c>
      <c r="G2892" s="3" t="s">
        <v>62</v>
      </c>
      <c r="I2892" s="3" t="s">
        <v>62</v>
      </c>
      <c r="J2892" s="3" t="s">
        <v>62</v>
      </c>
      <c r="K2892" s="3" t="s">
        <v>63</v>
      </c>
      <c r="L2892" s="2" t="s">
        <v>6821</v>
      </c>
      <c r="M2892" s="2" t="s">
        <v>28377</v>
      </c>
      <c r="N2892" s="3" t="s">
        <v>529</v>
      </c>
      <c r="O2892" s="2" t="s">
        <v>168</v>
      </c>
      <c r="P2892" s="3" t="s">
        <v>65</v>
      </c>
      <c r="R2892" s="3" t="s">
        <v>66</v>
      </c>
      <c r="S2892" s="4">
        <v>56</v>
      </c>
      <c r="T2892" s="4">
        <v>56</v>
      </c>
      <c r="U2892" s="5" t="s">
        <v>28413</v>
      </c>
      <c r="V2892" s="5" t="s">
        <v>28413</v>
      </c>
      <c r="W2892" s="5" t="s">
        <v>67</v>
      </c>
      <c r="X2892" s="5" t="s">
        <v>67</v>
      </c>
      <c r="Y2892" s="4">
        <v>649</v>
      </c>
      <c r="Z2892" s="4">
        <v>41</v>
      </c>
      <c r="AA2892" s="4">
        <v>42</v>
      </c>
      <c r="AB2892" s="4">
        <v>1</v>
      </c>
      <c r="AC2892" s="4">
        <v>2</v>
      </c>
      <c r="AD2892" s="4">
        <v>125</v>
      </c>
      <c r="AE2892" s="4">
        <v>126</v>
      </c>
      <c r="AF2892" s="4">
        <v>0</v>
      </c>
      <c r="AG2892" s="4">
        <v>1</v>
      </c>
      <c r="AH2892" s="4">
        <v>102</v>
      </c>
      <c r="AI2892" s="4">
        <v>102</v>
      </c>
      <c r="AJ2892" s="4">
        <v>19</v>
      </c>
      <c r="AK2892" s="4">
        <v>20</v>
      </c>
      <c r="AL2892" s="4">
        <v>57</v>
      </c>
      <c r="AM2892" s="4">
        <v>57</v>
      </c>
      <c r="AN2892" s="4">
        <v>0</v>
      </c>
      <c r="AO2892" s="4">
        <v>0</v>
      </c>
      <c r="AP2892" s="4">
        <v>27</v>
      </c>
      <c r="AQ2892" s="4">
        <v>28</v>
      </c>
      <c r="AR2892" s="3" t="s">
        <v>62</v>
      </c>
      <c r="AS2892" s="3" t="s">
        <v>62</v>
      </c>
      <c r="AT2892" s="3" t="s">
        <v>61</v>
      </c>
      <c r="AU2892" s="6" t="str">
        <f>HYPERLINK("http://catalog.hathitrust.org/Record/000406184","HathiTrust Record")</f>
        <v>HathiTrust Record</v>
      </c>
      <c r="AV2892" s="6" t="str">
        <f>HYPERLINK("http://mcgill.on.worldcat.org/oclc/10949763","Catalog Record")</f>
        <v>Catalog Record</v>
      </c>
      <c r="AW2892" s="6" t="str">
        <f>HYPERLINK("http://www.worldcat.org/oclc/10949763","WorldCat Record")</f>
        <v>WorldCat Record</v>
      </c>
      <c r="AX2892" s="3" t="s">
        <v>28414</v>
      </c>
      <c r="AY2892" s="3" t="s">
        <v>28415</v>
      </c>
      <c r="AZ2892" s="3" t="s">
        <v>28416</v>
      </c>
      <c r="BA2892" s="3" t="s">
        <v>28416</v>
      </c>
      <c r="BB2892" s="3" t="s">
        <v>28417</v>
      </c>
      <c r="BC2892" s="3" t="s">
        <v>142</v>
      </c>
      <c r="BD2892" s="3" t="s">
        <v>68</v>
      </c>
      <c r="BE2892" s="3" t="s">
        <v>28418</v>
      </c>
      <c r="BF2892" s="3" t="s">
        <v>28417</v>
      </c>
      <c r="BG2892" s="3" t="s">
        <v>28419</v>
      </c>
    </row>
    <row r="2893" spans="1:59" ht="57" x14ac:dyDescent="0.45">
      <c r="A2893" s="2" t="s">
        <v>59</v>
      </c>
      <c r="B2893" s="2" t="s">
        <v>60</v>
      </c>
      <c r="C2893" s="2" t="s">
        <v>28420</v>
      </c>
      <c r="D2893" s="2" t="s">
        <v>28421</v>
      </c>
      <c r="E2893" s="2" t="s">
        <v>28412</v>
      </c>
      <c r="G2893" s="3" t="s">
        <v>62</v>
      </c>
      <c r="I2893" s="3" t="s">
        <v>61</v>
      </c>
      <c r="J2893" s="3" t="s">
        <v>62</v>
      </c>
      <c r="K2893" s="3" t="s">
        <v>63</v>
      </c>
      <c r="L2893" s="2" t="s">
        <v>6821</v>
      </c>
      <c r="M2893" s="2" t="s">
        <v>28422</v>
      </c>
      <c r="N2893" s="3" t="s">
        <v>807</v>
      </c>
      <c r="P2893" s="3" t="s">
        <v>65</v>
      </c>
      <c r="R2893" s="3" t="s">
        <v>66</v>
      </c>
      <c r="S2893" s="4">
        <v>27</v>
      </c>
      <c r="T2893" s="4">
        <v>115</v>
      </c>
      <c r="U2893" s="5" t="s">
        <v>28423</v>
      </c>
      <c r="V2893" s="5" t="s">
        <v>22716</v>
      </c>
      <c r="W2893" s="5" t="s">
        <v>67</v>
      </c>
      <c r="X2893" s="5" t="s">
        <v>67</v>
      </c>
      <c r="Y2893" s="4">
        <v>24</v>
      </c>
      <c r="Z2893" s="4">
        <v>4</v>
      </c>
      <c r="AA2893" s="4">
        <v>18</v>
      </c>
      <c r="AB2893" s="4">
        <v>1</v>
      </c>
      <c r="AC2893" s="4">
        <v>4</v>
      </c>
      <c r="AD2893" s="4">
        <v>3</v>
      </c>
      <c r="AE2893" s="4">
        <v>36</v>
      </c>
      <c r="AF2893" s="4">
        <v>0</v>
      </c>
      <c r="AG2893" s="4">
        <v>2</v>
      </c>
      <c r="AH2893" s="4">
        <v>2</v>
      </c>
      <c r="AI2893" s="4">
        <v>29</v>
      </c>
      <c r="AJ2893" s="4">
        <v>1</v>
      </c>
      <c r="AK2893" s="4">
        <v>8</v>
      </c>
      <c r="AL2893" s="4">
        <v>1</v>
      </c>
      <c r="AM2893" s="4">
        <v>19</v>
      </c>
      <c r="AN2893" s="4">
        <v>0</v>
      </c>
      <c r="AO2893" s="4">
        <v>0</v>
      </c>
      <c r="AP2893" s="4">
        <v>2</v>
      </c>
      <c r="AQ2893" s="4">
        <v>12</v>
      </c>
      <c r="AR2893" s="3" t="s">
        <v>62</v>
      </c>
      <c r="AS2893" s="3" t="s">
        <v>62</v>
      </c>
      <c r="AT2893" s="3" t="s">
        <v>62</v>
      </c>
      <c r="AV2893" s="6" t="str">
        <f>HYPERLINK("http://mcgill.on.worldcat.org/oclc/222158492","Catalog Record")</f>
        <v>Catalog Record</v>
      </c>
      <c r="AW2893" s="6" t="str">
        <f>HYPERLINK("http://www.worldcat.org/oclc/222158492","WorldCat Record")</f>
        <v>WorldCat Record</v>
      </c>
      <c r="AX2893" s="3" t="s">
        <v>28424</v>
      </c>
      <c r="AY2893" s="3" t="s">
        <v>28425</v>
      </c>
      <c r="AZ2893" s="3" t="s">
        <v>28426</v>
      </c>
      <c r="BA2893" s="3" t="s">
        <v>28426</v>
      </c>
      <c r="BB2893" s="3" t="s">
        <v>28427</v>
      </c>
      <c r="BC2893" s="3" t="s">
        <v>142</v>
      </c>
      <c r="BD2893" s="3" t="s">
        <v>68</v>
      </c>
      <c r="BE2893" s="3" t="s">
        <v>28428</v>
      </c>
      <c r="BF2893" s="3" t="s">
        <v>28427</v>
      </c>
      <c r="BG2893" s="3" t="s">
        <v>28429</v>
      </c>
    </row>
    <row r="2894" spans="1:59" ht="57" x14ac:dyDescent="0.45">
      <c r="A2894" s="2" t="s">
        <v>59</v>
      </c>
      <c r="B2894" s="2" t="s">
        <v>60</v>
      </c>
      <c r="C2894" s="2" t="s">
        <v>28420</v>
      </c>
      <c r="D2894" s="2" t="s">
        <v>28421</v>
      </c>
      <c r="E2894" s="2" t="s">
        <v>28412</v>
      </c>
      <c r="G2894" s="3" t="s">
        <v>62</v>
      </c>
      <c r="I2894" s="3" t="s">
        <v>61</v>
      </c>
      <c r="J2894" s="3" t="s">
        <v>62</v>
      </c>
      <c r="K2894" s="3" t="s">
        <v>63</v>
      </c>
      <c r="L2894" s="2" t="s">
        <v>6821</v>
      </c>
      <c r="M2894" s="2" t="s">
        <v>28422</v>
      </c>
      <c r="N2894" s="3" t="s">
        <v>807</v>
      </c>
      <c r="P2894" s="3" t="s">
        <v>65</v>
      </c>
      <c r="R2894" s="3" t="s">
        <v>66</v>
      </c>
      <c r="S2894" s="4">
        <v>32</v>
      </c>
      <c r="T2894" s="4">
        <v>115</v>
      </c>
      <c r="U2894" s="5" t="s">
        <v>22716</v>
      </c>
      <c r="V2894" s="5" t="s">
        <v>22716</v>
      </c>
      <c r="W2894" s="5" t="s">
        <v>67</v>
      </c>
      <c r="X2894" s="5" t="s">
        <v>67</v>
      </c>
      <c r="Y2894" s="4">
        <v>24</v>
      </c>
      <c r="Z2894" s="4">
        <v>4</v>
      </c>
      <c r="AA2894" s="4">
        <v>18</v>
      </c>
      <c r="AB2894" s="4">
        <v>1</v>
      </c>
      <c r="AC2894" s="4">
        <v>4</v>
      </c>
      <c r="AD2894" s="4">
        <v>3</v>
      </c>
      <c r="AE2894" s="4">
        <v>36</v>
      </c>
      <c r="AF2894" s="4">
        <v>0</v>
      </c>
      <c r="AG2894" s="4">
        <v>2</v>
      </c>
      <c r="AH2894" s="4">
        <v>2</v>
      </c>
      <c r="AI2894" s="4">
        <v>29</v>
      </c>
      <c r="AJ2894" s="4">
        <v>1</v>
      </c>
      <c r="AK2894" s="4">
        <v>8</v>
      </c>
      <c r="AL2894" s="4">
        <v>1</v>
      </c>
      <c r="AM2894" s="4">
        <v>19</v>
      </c>
      <c r="AN2894" s="4">
        <v>0</v>
      </c>
      <c r="AO2894" s="4">
        <v>0</v>
      </c>
      <c r="AP2894" s="4">
        <v>2</v>
      </c>
      <c r="AQ2894" s="4">
        <v>12</v>
      </c>
      <c r="AR2894" s="3" t="s">
        <v>62</v>
      </c>
      <c r="AS2894" s="3" t="s">
        <v>62</v>
      </c>
      <c r="AT2894" s="3" t="s">
        <v>62</v>
      </c>
      <c r="AV2894" s="6" t="str">
        <f>HYPERLINK("http://mcgill.on.worldcat.org/oclc/222158492","Catalog Record")</f>
        <v>Catalog Record</v>
      </c>
      <c r="AW2894" s="6" t="str">
        <f>HYPERLINK("http://www.worldcat.org/oclc/222158492","WorldCat Record")</f>
        <v>WorldCat Record</v>
      </c>
      <c r="AX2894" s="3" t="s">
        <v>28424</v>
      </c>
      <c r="AY2894" s="3" t="s">
        <v>28425</v>
      </c>
      <c r="AZ2894" s="3" t="s">
        <v>28426</v>
      </c>
      <c r="BA2894" s="3" t="s">
        <v>28426</v>
      </c>
      <c r="BB2894" s="3" t="s">
        <v>28430</v>
      </c>
      <c r="BC2894" s="3" t="s">
        <v>142</v>
      </c>
      <c r="BD2894" s="3" t="s">
        <v>68</v>
      </c>
      <c r="BE2894" s="3" t="s">
        <v>28428</v>
      </c>
      <c r="BF2894" s="3" t="s">
        <v>28430</v>
      </c>
      <c r="BG2894" s="3" t="s">
        <v>28431</v>
      </c>
    </row>
    <row r="2895" spans="1:59" ht="57" x14ac:dyDescent="0.45">
      <c r="A2895" s="2" t="s">
        <v>59</v>
      </c>
      <c r="B2895" s="2" t="s">
        <v>60</v>
      </c>
      <c r="C2895" s="2" t="s">
        <v>28420</v>
      </c>
      <c r="D2895" s="2" t="s">
        <v>28421</v>
      </c>
      <c r="E2895" s="2" t="s">
        <v>28412</v>
      </c>
      <c r="G2895" s="3" t="s">
        <v>62</v>
      </c>
      <c r="I2895" s="3" t="s">
        <v>61</v>
      </c>
      <c r="J2895" s="3" t="s">
        <v>62</v>
      </c>
      <c r="K2895" s="3" t="s">
        <v>63</v>
      </c>
      <c r="L2895" s="2" t="s">
        <v>6821</v>
      </c>
      <c r="M2895" s="2" t="s">
        <v>28422</v>
      </c>
      <c r="N2895" s="3" t="s">
        <v>807</v>
      </c>
      <c r="P2895" s="3" t="s">
        <v>65</v>
      </c>
      <c r="R2895" s="3" t="s">
        <v>66</v>
      </c>
      <c r="S2895" s="4">
        <v>56</v>
      </c>
      <c r="T2895" s="4">
        <v>115</v>
      </c>
      <c r="U2895" s="5" t="s">
        <v>3162</v>
      </c>
      <c r="V2895" s="5" t="s">
        <v>22716</v>
      </c>
      <c r="W2895" s="5" t="s">
        <v>67</v>
      </c>
      <c r="X2895" s="5" t="s">
        <v>67</v>
      </c>
      <c r="Y2895" s="4">
        <v>24</v>
      </c>
      <c r="Z2895" s="4">
        <v>4</v>
      </c>
      <c r="AA2895" s="4">
        <v>18</v>
      </c>
      <c r="AB2895" s="4">
        <v>1</v>
      </c>
      <c r="AC2895" s="4">
        <v>4</v>
      </c>
      <c r="AD2895" s="4">
        <v>3</v>
      </c>
      <c r="AE2895" s="4">
        <v>36</v>
      </c>
      <c r="AF2895" s="4">
        <v>0</v>
      </c>
      <c r="AG2895" s="4">
        <v>2</v>
      </c>
      <c r="AH2895" s="4">
        <v>2</v>
      </c>
      <c r="AI2895" s="4">
        <v>29</v>
      </c>
      <c r="AJ2895" s="4">
        <v>1</v>
      </c>
      <c r="AK2895" s="4">
        <v>8</v>
      </c>
      <c r="AL2895" s="4">
        <v>1</v>
      </c>
      <c r="AM2895" s="4">
        <v>19</v>
      </c>
      <c r="AN2895" s="4">
        <v>0</v>
      </c>
      <c r="AO2895" s="4">
        <v>0</v>
      </c>
      <c r="AP2895" s="4">
        <v>2</v>
      </c>
      <c r="AQ2895" s="4">
        <v>12</v>
      </c>
      <c r="AR2895" s="3" t="s">
        <v>62</v>
      </c>
      <c r="AS2895" s="3" t="s">
        <v>62</v>
      </c>
      <c r="AT2895" s="3" t="s">
        <v>62</v>
      </c>
      <c r="AV2895" s="6" t="str">
        <f>HYPERLINK("http://mcgill.on.worldcat.org/oclc/222158492","Catalog Record")</f>
        <v>Catalog Record</v>
      </c>
      <c r="AW2895" s="6" t="str">
        <f>HYPERLINK("http://www.worldcat.org/oclc/222158492","WorldCat Record")</f>
        <v>WorldCat Record</v>
      </c>
      <c r="AX2895" s="3" t="s">
        <v>28424</v>
      </c>
      <c r="AY2895" s="3" t="s">
        <v>28425</v>
      </c>
      <c r="AZ2895" s="3" t="s">
        <v>28426</v>
      </c>
      <c r="BA2895" s="3" t="s">
        <v>28426</v>
      </c>
      <c r="BB2895" s="3" t="s">
        <v>28432</v>
      </c>
      <c r="BC2895" s="3" t="s">
        <v>142</v>
      </c>
      <c r="BD2895" s="3" t="s">
        <v>68</v>
      </c>
      <c r="BE2895" s="3" t="s">
        <v>28428</v>
      </c>
      <c r="BF2895" s="3" t="s">
        <v>28432</v>
      </c>
      <c r="BG2895" s="3" t="s">
        <v>28433</v>
      </c>
    </row>
    <row r="2896" spans="1:59" ht="57" x14ac:dyDescent="0.45">
      <c r="A2896" s="2" t="s">
        <v>59</v>
      </c>
      <c r="B2896" s="2" t="s">
        <v>60</v>
      </c>
      <c r="C2896" s="2" t="s">
        <v>28434</v>
      </c>
      <c r="D2896" s="2" t="s">
        <v>28435</v>
      </c>
      <c r="E2896" s="2" t="s">
        <v>28436</v>
      </c>
      <c r="G2896" s="3" t="s">
        <v>62</v>
      </c>
      <c r="I2896" s="3" t="s">
        <v>62</v>
      </c>
      <c r="J2896" s="3" t="s">
        <v>61</v>
      </c>
      <c r="K2896" s="3" t="s">
        <v>63</v>
      </c>
      <c r="L2896" s="2" t="s">
        <v>6821</v>
      </c>
      <c r="M2896" s="2" t="s">
        <v>28437</v>
      </c>
      <c r="N2896" s="3" t="s">
        <v>2107</v>
      </c>
      <c r="P2896" s="3" t="s">
        <v>65</v>
      </c>
      <c r="R2896" s="3" t="s">
        <v>66</v>
      </c>
      <c r="S2896" s="4">
        <v>70</v>
      </c>
      <c r="T2896" s="4">
        <v>70</v>
      </c>
      <c r="U2896" s="5" t="s">
        <v>28438</v>
      </c>
      <c r="V2896" s="5" t="s">
        <v>28438</v>
      </c>
      <c r="W2896" s="5" t="s">
        <v>67</v>
      </c>
      <c r="X2896" s="5" t="s">
        <v>67</v>
      </c>
      <c r="Y2896" s="4">
        <v>83</v>
      </c>
      <c r="Z2896" s="4">
        <v>7</v>
      </c>
      <c r="AA2896" s="4">
        <v>65</v>
      </c>
      <c r="AB2896" s="4">
        <v>2</v>
      </c>
      <c r="AC2896" s="4">
        <v>6</v>
      </c>
      <c r="AD2896" s="4">
        <v>25</v>
      </c>
      <c r="AE2896" s="4">
        <v>140</v>
      </c>
      <c r="AF2896" s="4">
        <v>1</v>
      </c>
      <c r="AG2896" s="4">
        <v>3</v>
      </c>
      <c r="AH2896" s="4">
        <v>21</v>
      </c>
      <c r="AI2896" s="4">
        <v>109</v>
      </c>
      <c r="AJ2896" s="4">
        <v>5</v>
      </c>
      <c r="AK2896" s="4">
        <v>23</v>
      </c>
      <c r="AL2896" s="4">
        <v>13</v>
      </c>
      <c r="AM2896" s="4">
        <v>58</v>
      </c>
      <c r="AN2896" s="4">
        <v>3</v>
      </c>
      <c r="AO2896" s="4">
        <v>3</v>
      </c>
      <c r="AP2896" s="4">
        <v>6</v>
      </c>
      <c r="AQ2896" s="4">
        <v>38</v>
      </c>
      <c r="AR2896" s="3" t="s">
        <v>62</v>
      </c>
      <c r="AS2896" s="3" t="s">
        <v>62</v>
      </c>
      <c r="AT2896" s="3" t="s">
        <v>61</v>
      </c>
      <c r="AU2896" s="6" t="str">
        <f>HYPERLINK("http://catalog.hathitrust.org/Record/000376766","HathiTrust Record")</f>
        <v>HathiTrust Record</v>
      </c>
      <c r="AV2896" s="6" t="str">
        <f>HYPERLINK("http://mcgill.on.worldcat.org/oclc/15222101","Catalog Record")</f>
        <v>Catalog Record</v>
      </c>
      <c r="AW2896" s="6" t="str">
        <f>HYPERLINK("http://www.worldcat.org/oclc/15222101","WorldCat Record")</f>
        <v>WorldCat Record</v>
      </c>
      <c r="AX2896" s="3" t="s">
        <v>28439</v>
      </c>
      <c r="AY2896" s="3" t="s">
        <v>28440</v>
      </c>
      <c r="AZ2896" s="3" t="s">
        <v>28441</v>
      </c>
      <c r="BA2896" s="3" t="s">
        <v>28441</v>
      </c>
      <c r="BB2896" s="3" t="s">
        <v>28442</v>
      </c>
      <c r="BC2896" s="3" t="s">
        <v>142</v>
      </c>
      <c r="BD2896" s="3" t="s">
        <v>308</v>
      </c>
      <c r="BE2896" s="3" t="s">
        <v>28443</v>
      </c>
      <c r="BF2896" s="3" t="s">
        <v>28442</v>
      </c>
      <c r="BG2896" s="3" t="s">
        <v>28444</v>
      </c>
    </row>
    <row r="2897" spans="1:59" ht="57" x14ac:dyDescent="0.45">
      <c r="A2897" s="2" t="s">
        <v>59</v>
      </c>
      <c r="B2897" s="2" t="s">
        <v>60</v>
      </c>
      <c r="C2897" s="2" t="s">
        <v>28445</v>
      </c>
      <c r="D2897" s="2" t="s">
        <v>28446</v>
      </c>
      <c r="E2897" s="2" t="s">
        <v>28447</v>
      </c>
      <c r="G2897" s="3" t="s">
        <v>62</v>
      </c>
      <c r="I2897" s="3" t="s">
        <v>62</v>
      </c>
      <c r="J2897" s="3" t="s">
        <v>62</v>
      </c>
      <c r="K2897" s="3" t="s">
        <v>63</v>
      </c>
      <c r="M2897" s="2" t="s">
        <v>28448</v>
      </c>
      <c r="N2897" s="3" t="s">
        <v>2107</v>
      </c>
      <c r="P2897" s="3" t="s">
        <v>65</v>
      </c>
      <c r="Q2897" s="2" t="s">
        <v>28449</v>
      </c>
      <c r="R2897" s="3" t="s">
        <v>66</v>
      </c>
      <c r="S2897" s="4">
        <v>52</v>
      </c>
      <c r="T2897" s="4">
        <v>52</v>
      </c>
      <c r="U2897" s="5" t="s">
        <v>28450</v>
      </c>
      <c r="V2897" s="5" t="s">
        <v>28450</v>
      </c>
      <c r="W2897" s="5" t="s">
        <v>67</v>
      </c>
      <c r="X2897" s="5" t="s">
        <v>67</v>
      </c>
      <c r="Y2897" s="4">
        <v>327</v>
      </c>
      <c r="Z2897" s="4">
        <v>26</v>
      </c>
      <c r="AA2897" s="4">
        <v>87</v>
      </c>
      <c r="AB2897" s="4">
        <v>3</v>
      </c>
      <c r="AC2897" s="4">
        <v>16</v>
      </c>
      <c r="AD2897" s="4">
        <v>109</v>
      </c>
      <c r="AE2897" s="4">
        <v>146</v>
      </c>
      <c r="AF2897" s="4">
        <v>1</v>
      </c>
      <c r="AG2897" s="4">
        <v>9</v>
      </c>
      <c r="AH2897" s="4">
        <v>95</v>
      </c>
      <c r="AI2897" s="4">
        <v>107</v>
      </c>
      <c r="AJ2897" s="4">
        <v>20</v>
      </c>
      <c r="AK2897" s="4">
        <v>26</v>
      </c>
      <c r="AL2897" s="4">
        <v>52</v>
      </c>
      <c r="AM2897" s="4">
        <v>57</v>
      </c>
      <c r="AN2897" s="4">
        <v>0</v>
      </c>
      <c r="AO2897" s="4">
        <v>0</v>
      </c>
      <c r="AP2897" s="4">
        <v>23</v>
      </c>
      <c r="AQ2897" s="4">
        <v>49</v>
      </c>
      <c r="AR2897" s="3" t="s">
        <v>62</v>
      </c>
      <c r="AS2897" s="3" t="s">
        <v>62</v>
      </c>
      <c r="AT2897" s="3" t="s">
        <v>61</v>
      </c>
      <c r="AU2897" s="6" t="str">
        <f>HYPERLINK("http://catalog.hathitrust.org/Record/000564018","HathiTrust Record")</f>
        <v>HathiTrust Record</v>
      </c>
      <c r="AV2897" s="6" t="str">
        <f>HYPERLINK("http://mcgill.on.worldcat.org/oclc/10726990","Catalog Record")</f>
        <v>Catalog Record</v>
      </c>
      <c r="AW2897" s="6" t="str">
        <f>HYPERLINK("http://www.worldcat.org/oclc/10726990","WorldCat Record")</f>
        <v>WorldCat Record</v>
      </c>
      <c r="AX2897" s="3" t="s">
        <v>28451</v>
      </c>
      <c r="AY2897" s="3" t="s">
        <v>28452</v>
      </c>
      <c r="AZ2897" s="3" t="s">
        <v>28453</v>
      </c>
      <c r="BA2897" s="3" t="s">
        <v>28453</v>
      </c>
      <c r="BB2897" s="3" t="s">
        <v>28454</v>
      </c>
      <c r="BC2897" s="3" t="s">
        <v>142</v>
      </c>
      <c r="BD2897" s="3" t="s">
        <v>68</v>
      </c>
      <c r="BE2897" s="3" t="s">
        <v>28455</v>
      </c>
      <c r="BF2897" s="3" t="s">
        <v>28454</v>
      </c>
      <c r="BG2897" s="3" t="s">
        <v>28456</v>
      </c>
    </row>
    <row r="2898" spans="1:59" ht="57" x14ac:dyDescent="0.45">
      <c r="A2898" s="2" t="s">
        <v>59</v>
      </c>
      <c r="B2898" s="2" t="s">
        <v>60</v>
      </c>
      <c r="C2898" s="2" t="s">
        <v>28457</v>
      </c>
      <c r="D2898" s="2" t="s">
        <v>28458</v>
      </c>
      <c r="E2898" s="2" t="s">
        <v>28459</v>
      </c>
      <c r="G2898" s="3" t="s">
        <v>62</v>
      </c>
      <c r="I2898" s="3" t="s">
        <v>62</v>
      </c>
      <c r="J2898" s="3" t="s">
        <v>62</v>
      </c>
      <c r="K2898" s="3" t="s">
        <v>63</v>
      </c>
      <c r="L2898" s="2" t="s">
        <v>28460</v>
      </c>
      <c r="M2898" s="2" t="s">
        <v>28461</v>
      </c>
      <c r="N2898" s="3" t="s">
        <v>583</v>
      </c>
      <c r="P2898" s="3" t="s">
        <v>182</v>
      </c>
      <c r="Q2898" s="2" t="s">
        <v>28462</v>
      </c>
      <c r="R2898" s="3" t="s">
        <v>66</v>
      </c>
      <c r="S2898" s="4">
        <v>3</v>
      </c>
      <c r="T2898" s="4">
        <v>3</v>
      </c>
      <c r="U2898" s="5" t="s">
        <v>1268</v>
      </c>
      <c r="V2898" s="5" t="s">
        <v>1268</v>
      </c>
      <c r="W2898" s="5" t="s">
        <v>67</v>
      </c>
      <c r="X2898" s="5" t="s">
        <v>67</v>
      </c>
      <c r="Y2898" s="4">
        <v>24</v>
      </c>
      <c r="Z2898" s="4">
        <v>1</v>
      </c>
      <c r="AA2898" s="4">
        <v>1</v>
      </c>
      <c r="AB2898" s="4">
        <v>1</v>
      </c>
      <c r="AC2898" s="4">
        <v>1</v>
      </c>
      <c r="AD2898" s="4">
        <v>17</v>
      </c>
      <c r="AE2898" s="4">
        <v>18</v>
      </c>
      <c r="AF2898" s="4">
        <v>0</v>
      </c>
      <c r="AG2898" s="4">
        <v>0</v>
      </c>
      <c r="AH2898" s="4">
        <v>16</v>
      </c>
      <c r="AI2898" s="4">
        <v>17</v>
      </c>
      <c r="AJ2898" s="4">
        <v>0</v>
      </c>
      <c r="AK2898" s="4">
        <v>0</v>
      </c>
      <c r="AL2898" s="4">
        <v>11</v>
      </c>
      <c r="AM2898" s="4">
        <v>12</v>
      </c>
      <c r="AN2898" s="4">
        <v>0</v>
      </c>
      <c r="AO2898" s="4">
        <v>0</v>
      </c>
      <c r="AP2898" s="4">
        <v>0</v>
      </c>
      <c r="AQ2898" s="4">
        <v>0</v>
      </c>
      <c r="AR2898" s="3" t="s">
        <v>62</v>
      </c>
      <c r="AS2898" s="3" t="s">
        <v>62</v>
      </c>
      <c r="AT2898" s="3" t="s">
        <v>61</v>
      </c>
      <c r="AU2898" s="6" t="str">
        <f>HYPERLINK("http://catalog.hathitrust.org/Record/007883470","HathiTrust Record")</f>
        <v>HathiTrust Record</v>
      </c>
      <c r="AV2898" s="6" t="str">
        <f>HYPERLINK("http://mcgill.on.worldcat.org/oclc/4056198","Catalog Record")</f>
        <v>Catalog Record</v>
      </c>
      <c r="AW2898" s="6" t="str">
        <f>HYPERLINK("http://www.worldcat.org/oclc/4056198","WorldCat Record")</f>
        <v>WorldCat Record</v>
      </c>
      <c r="AX2898" s="3" t="s">
        <v>28463</v>
      </c>
      <c r="AY2898" s="3" t="s">
        <v>28464</v>
      </c>
      <c r="AZ2898" s="3" t="s">
        <v>28465</v>
      </c>
      <c r="BA2898" s="3" t="s">
        <v>28465</v>
      </c>
      <c r="BB2898" s="3" t="s">
        <v>28466</v>
      </c>
      <c r="BC2898" s="3" t="s">
        <v>142</v>
      </c>
      <c r="BD2898" s="3" t="s">
        <v>68</v>
      </c>
      <c r="BF2898" s="3" t="s">
        <v>28466</v>
      </c>
      <c r="BG2898" s="3" t="s">
        <v>28467</v>
      </c>
    </row>
    <row r="2899" spans="1:59" ht="57" x14ac:dyDescent="0.45">
      <c r="A2899" s="2" t="s">
        <v>59</v>
      </c>
      <c r="B2899" s="2" t="s">
        <v>60</v>
      </c>
      <c r="C2899" s="2" t="s">
        <v>28468</v>
      </c>
      <c r="D2899" s="2" t="s">
        <v>28469</v>
      </c>
      <c r="E2899" s="2" t="s">
        <v>28470</v>
      </c>
      <c r="G2899" s="3" t="s">
        <v>62</v>
      </c>
      <c r="I2899" s="3" t="s">
        <v>62</v>
      </c>
      <c r="J2899" s="3" t="s">
        <v>61</v>
      </c>
      <c r="K2899" s="3" t="s">
        <v>63</v>
      </c>
      <c r="L2899" s="2" t="s">
        <v>12399</v>
      </c>
      <c r="M2899" s="2" t="s">
        <v>969</v>
      </c>
      <c r="N2899" s="3" t="s">
        <v>970</v>
      </c>
      <c r="P2899" s="3" t="s">
        <v>65</v>
      </c>
      <c r="R2899" s="3" t="s">
        <v>66</v>
      </c>
      <c r="S2899" s="4">
        <v>27</v>
      </c>
      <c r="T2899" s="4">
        <v>27</v>
      </c>
      <c r="U2899" s="5" t="s">
        <v>2406</v>
      </c>
      <c r="V2899" s="5" t="s">
        <v>2406</v>
      </c>
      <c r="W2899" s="5" t="s">
        <v>67</v>
      </c>
      <c r="X2899" s="5" t="s">
        <v>67</v>
      </c>
      <c r="Y2899" s="4">
        <v>512</v>
      </c>
      <c r="Z2899" s="4">
        <v>35</v>
      </c>
      <c r="AA2899" s="4">
        <v>80</v>
      </c>
      <c r="AB2899" s="4">
        <v>4</v>
      </c>
      <c r="AC2899" s="4">
        <v>20</v>
      </c>
      <c r="AD2899" s="4">
        <v>96</v>
      </c>
      <c r="AE2899" s="4">
        <v>146</v>
      </c>
      <c r="AF2899" s="4">
        <v>1</v>
      </c>
      <c r="AG2899" s="4">
        <v>9</v>
      </c>
      <c r="AH2899" s="4">
        <v>80</v>
      </c>
      <c r="AI2899" s="4">
        <v>103</v>
      </c>
      <c r="AJ2899" s="4">
        <v>15</v>
      </c>
      <c r="AK2899" s="4">
        <v>25</v>
      </c>
      <c r="AL2899" s="4">
        <v>45</v>
      </c>
      <c r="AM2899" s="4">
        <v>53</v>
      </c>
      <c r="AN2899" s="4">
        <v>0</v>
      </c>
      <c r="AO2899" s="4">
        <v>0</v>
      </c>
      <c r="AP2899" s="4">
        <v>22</v>
      </c>
      <c r="AQ2899" s="4">
        <v>52</v>
      </c>
      <c r="AR2899" s="3" t="s">
        <v>62</v>
      </c>
      <c r="AS2899" s="3" t="s">
        <v>62</v>
      </c>
      <c r="AT2899" s="3" t="s">
        <v>61</v>
      </c>
      <c r="AU2899" s="6" t="str">
        <f>HYPERLINK("http://catalog.hathitrust.org/Record/004229881","HathiTrust Record")</f>
        <v>HathiTrust Record</v>
      </c>
      <c r="AV2899" s="6" t="str">
        <f>HYPERLINK("http://mcgill.on.worldcat.org/oclc/47971851","Catalog Record")</f>
        <v>Catalog Record</v>
      </c>
      <c r="AW2899" s="6" t="str">
        <f>HYPERLINK("http://www.worldcat.org/oclc/47971851","WorldCat Record")</f>
        <v>WorldCat Record</v>
      </c>
      <c r="AX2899" s="3" t="s">
        <v>28471</v>
      </c>
      <c r="AY2899" s="3" t="s">
        <v>28472</v>
      </c>
      <c r="AZ2899" s="3" t="s">
        <v>28473</v>
      </c>
      <c r="BA2899" s="3" t="s">
        <v>28473</v>
      </c>
      <c r="BB2899" s="3" t="s">
        <v>28474</v>
      </c>
      <c r="BC2899" s="3" t="s">
        <v>142</v>
      </c>
      <c r="BD2899" s="3" t="s">
        <v>68</v>
      </c>
      <c r="BE2899" s="3" t="s">
        <v>28475</v>
      </c>
      <c r="BF2899" s="3" t="s">
        <v>28474</v>
      </c>
      <c r="BG2899" s="3" t="s">
        <v>28476</v>
      </c>
    </row>
    <row r="2900" spans="1:59" ht="57" x14ac:dyDescent="0.45">
      <c r="A2900" s="2" t="s">
        <v>59</v>
      </c>
      <c r="B2900" s="2" t="s">
        <v>60</v>
      </c>
      <c r="C2900" s="2" t="s">
        <v>28477</v>
      </c>
      <c r="D2900" s="2" t="s">
        <v>28478</v>
      </c>
      <c r="E2900" s="2" t="s">
        <v>28470</v>
      </c>
      <c r="G2900" s="3" t="s">
        <v>62</v>
      </c>
      <c r="I2900" s="3" t="s">
        <v>62</v>
      </c>
      <c r="J2900" s="3" t="s">
        <v>61</v>
      </c>
      <c r="K2900" s="3" t="s">
        <v>63</v>
      </c>
      <c r="L2900" s="2" t="s">
        <v>12399</v>
      </c>
      <c r="M2900" s="2" t="s">
        <v>28479</v>
      </c>
      <c r="N2900" s="3" t="s">
        <v>945</v>
      </c>
      <c r="O2900" s="2" t="s">
        <v>933</v>
      </c>
      <c r="P2900" s="3" t="s">
        <v>65</v>
      </c>
      <c r="Q2900" s="2" t="s">
        <v>28480</v>
      </c>
      <c r="R2900" s="3" t="s">
        <v>66</v>
      </c>
      <c r="S2900" s="4">
        <v>18</v>
      </c>
      <c r="T2900" s="4">
        <v>18</v>
      </c>
      <c r="U2900" s="5" t="s">
        <v>10950</v>
      </c>
      <c r="V2900" s="5" t="s">
        <v>10950</v>
      </c>
      <c r="W2900" s="5" t="s">
        <v>67</v>
      </c>
      <c r="X2900" s="5" t="s">
        <v>67</v>
      </c>
      <c r="Y2900" s="4">
        <v>412</v>
      </c>
      <c r="Z2900" s="4">
        <v>28</v>
      </c>
      <c r="AA2900" s="4">
        <v>80</v>
      </c>
      <c r="AB2900" s="4">
        <v>4</v>
      </c>
      <c r="AC2900" s="4">
        <v>20</v>
      </c>
      <c r="AD2900" s="4">
        <v>75</v>
      </c>
      <c r="AE2900" s="4">
        <v>146</v>
      </c>
      <c r="AF2900" s="4">
        <v>2</v>
      </c>
      <c r="AG2900" s="4">
        <v>9</v>
      </c>
      <c r="AH2900" s="4">
        <v>62</v>
      </c>
      <c r="AI2900" s="4">
        <v>103</v>
      </c>
      <c r="AJ2900" s="4">
        <v>14</v>
      </c>
      <c r="AK2900" s="4">
        <v>25</v>
      </c>
      <c r="AL2900" s="4">
        <v>32</v>
      </c>
      <c r="AM2900" s="4">
        <v>53</v>
      </c>
      <c r="AN2900" s="4">
        <v>0</v>
      </c>
      <c r="AO2900" s="4">
        <v>0</v>
      </c>
      <c r="AP2900" s="4">
        <v>20</v>
      </c>
      <c r="AQ2900" s="4">
        <v>52</v>
      </c>
      <c r="AR2900" s="3" t="s">
        <v>62</v>
      </c>
      <c r="AS2900" s="3" t="s">
        <v>62</v>
      </c>
      <c r="AT2900" s="3" t="s">
        <v>62</v>
      </c>
      <c r="AV2900" s="6" t="str">
        <f>HYPERLINK("http://mcgill.on.worldcat.org/oclc/70864411","Catalog Record")</f>
        <v>Catalog Record</v>
      </c>
      <c r="AW2900" s="6" t="str">
        <f>HYPERLINK("http://www.worldcat.org/oclc/70864411","WorldCat Record")</f>
        <v>WorldCat Record</v>
      </c>
      <c r="AX2900" s="3" t="s">
        <v>28471</v>
      </c>
      <c r="AY2900" s="3" t="s">
        <v>28481</v>
      </c>
      <c r="AZ2900" s="3" t="s">
        <v>28482</v>
      </c>
      <c r="BA2900" s="3" t="s">
        <v>28482</v>
      </c>
      <c r="BB2900" s="3" t="s">
        <v>28483</v>
      </c>
      <c r="BC2900" s="3" t="s">
        <v>142</v>
      </c>
      <c r="BD2900" s="3" t="s">
        <v>68</v>
      </c>
      <c r="BE2900" s="3" t="s">
        <v>28484</v>
      </c>
      <c r="BF2900" s="3" t="s">
        <v>28483</v>
      </c>
      <c r="BG2900" s="3" t="s">
        <v>28485</v>
      </c>
    </row>
    <row r="2901" spans="1:59" ht="57" x14ac:dyDescent="0.45">
      <c r="A2901" s="2" t="s">
        <v>59</v>
      </c>
      <c r="B2901" s="2" t="s">
        <v>60</v>
      </c>
      <c r="C2901" s="2" t="s">
        <v>28486</v>
      </c>
      <c r="D2901" s="2" t="s">
        <v>28487</v>
      </c>
      <c r="E2901" s="2" t="s">
        <v>28470</v>
      </c>
      <c r="G2901" s="3" t="s">
        <v>62</v>
      </c>
      <c r="I2901" s="3" t="s">
        <v>62</v>
      </c>
      <c r="J2901" s="3" t="s">
        <v>61</v>
      </c>
      <c r="K2901" s="3" t="s">
        <v>63</v>
      </c>
      <c r="L2901" s="2" t="s">
        <v>28488</v>
      </c>
      <c r="M2901" s="2" t="s">
        <v>28489</v>
      </c>
      <c r="N2901" s="3" t="s">
        <v>1918</v>
      </c>
      <c r="O2901" s="2" t="s">
        <v>14488</v>
      </c>
      <c r="P2901" s="3" t="s">
        <v>65</v>
      </c>
      <c r="Q2901" s="2" t="s">
        <v>14639</v>
      </c>
      <c r="R2901" s="3" t="s">
        <v>66</v>
      </c>
      <c r="S2901" s="4">
        <v>4</v>
      </c>
      <c r="T2901" s="4">
        <v>4</v>
      </c>
      <c r="U2901" s="5" t="s">
        <v>22641</v>
      </c>
      <c r="V2901" s="5" t="s">
        <v>22641</v>
      </c>
      <c r="W2901" s="5" t="s">
        <v>67</v>
      </c>
      <c r="X2901" s="5" t="s">
        <v>67</v>
      </c>
      <c r="Y2901" s="4">
        <v>71</v>
      </c>
      <c r="Z2901" s="4">
        <v>4</v>
      </c>
      <c r="AA2901" s="4">
        <v>80</v>
      </c>
      <c r="AB2901" s="4">
        <v>1</v>
      </c>
      <c r="AC2901" s="4">
        <v>20</v>
      </c>
      <c r="AD2901" s="4">
        <v>16</v>
      </c>
      <c r="AE2901" s="4">
        <v>146</v>
      </c>
      <c r="AF2901" s="4">
        <v>0</v>
      </c>
      <c r="AG2901" s="4">
        <v>9</v>
      </c>
      <c r="AH2901" s="4">
        <v>14</v>
      </c>
      <c r="AI2901" s="4">
        <v>103</v>
      </c>
      <c r="AJ2901" s="4">
        <v>3</v>
      </c>
      <c r="AK2901" s="4">
        <v>25</v>
      </c>
      <c r="AL2901" s="4">
        <v>7</v>
      </c>
      <c r="AM2901" s="4">
        <v>53</v>
      </c>
      <c r="AN2901" s="4">
        <v>0</v>
      </c>
      <c r="AO2901" s="4">
        <v>0</v>
      </c>
      <c r="AP2901" s="4">
        <v>3</v>
      </c>
      <c r="AQ2901" s="4">
        <v>52</v>
      </c>
      <c r="AR2901" s="3" t="s">
        <v>62</v>
      </c>
      <c r="AS2901" s="3" t="s">
        <v>62</v>
      </c>
      <c r="AT2901" s="3" t="s">
        <v>62</v>
      </c>
      <c r="AV2901" s="6" t="str">
        <f>HYPERLINK("http://mcgill.on.worldcat.org/oclc/966668154","Catalog Record")</f>
        <v>Catalog Record</v>
      </c>
      <c r="AW2901" s="6" t="str">
        <f>HYPERLINK("http://www.worldcat.org/oclc/966668154","WorldCat Record")</f>
        <v>WorldCat Record</v>
      </c>
      <c r="AX2901" s="3" t="s">
        <v>28471</v>
      </c>
      <c r="AY2901" s="3" t="s">
        <v>28490</v>
      </c>
      <c r="AZ2901" s="3" t="s">
        <v>28491</v>
      </c>
      <c r="BA2901" s="3" t="s">
        <v>28491</v>
      </c>
      <c r="BB2901" s="3" t="s">
        <v>28492</v>
      </c>
      <c r="BC2901" s="3" t="s">
        <v>142</v>
      </c>
      <c r="BD2901" s="3" t="s">
        <v>68</v>
      </c>
      <c r="BE2901" s="3" t="s">
        <v>28493</v>
      </c>
      <c r="BF2901" s="3" t="s">
        <v>28492</v>
      </c>
      <c r="BG2901" s="3" t="s">
        <v>28494</v>
      </c>
    </row>
    <row r="2902" spans="1:59" ht="57" x14ac:dyDescent="0.45">
      <c r="A2902" s="2" t="s">
        <v>59</v>
      </c>
      <c r="B2902" s="2" t="s">
        <v>60</v>
      </c>
      <c r="C2902" s="2" t="s">
        <v>28495</v>
      </c>
      <c r="D2902" s="2" t="s">
        <v>28496</v>
      </c>
      <c r="E2902" s="2" t="s">
        <v>28497</v>
      </c>
      <c r="G2902" s="3" t="s">
        <v>62</v>
      </c>
      <c r="I2902" s="3" t="s">
        <v>62</v>
      </c>
      <c r="J2902" s="3" t="s">
        <v>62</v>
      </c>
      <c r="K2902" s="3" t="s">
        <v>63</v>
      </c>
      <c r="L2902" s="2" t="s">
        <v>28498</v>
      </c>
      <c r="M2902" s="2" t="s">
        <v>28499</v>
      </c>
      <c r="N2902" s="3" t="s">
        <v>125</v>
      </c>
      <c r="P2902" s="3" t="s">
        <v>65</v>
      </c>
      <c r="R2902" s="3" t="s">
        <v>66</v>
      </c>
      <c r="S2902" s="4">
        <v>15</v>
      </c>
      <c r="T2902" s="4">
        <v>15</v>
      </c>
      <c r="U2902" s="5" t="s">
        <v>22641</v>
      </c>
      <c r="V2902" s="5" t="s">
        <v>22641</v>
      </c>
      <c r="W2902" s="5" t="s">
        <v>67</v>
      </c>
      <c r="X2902" s="5" t="s">
        <v>67</v>
      </c>
      <c r="Y2902" s="4">
        <v>280</v>
      </c>
      <c r="Z2902" s="4">
        <v>15</v>
      </c>
      <c r="AA2902" s="4">
        <v>97</v>
      </c>
      <c r="AB2902" s="4">
        <v>1</v>
      </c>
      <c r="AC2902" s="4">
        <v>17</v>
      </c>
      <c r="AD2902" s="4">
        <v>96</v>
      </c>
      <c r="AE2902" s="4">
        <v>138</v>
      </c>
      <c r="AF2902" s="4">
        <v>0</v>
      </c>
      <c r="AG2902" s="4">
        <v>8</v>
      </c>
      <c r="AH2902" s="4">
        <v>90</v>
      </c>
      <c r="AI2902" s="4">
        <v>104</v>
      </c>
      <c r="AJ2902" s="4">
        <v>11</v>
      </c>
      <c r="AK2902" s="4">
        <v>23</v>
      </c>
      <c r="AL2902" s="4">
        <v>53</v>
      </c>
      <c r="AM2902" s="4">
        <v>56</v>
      </c>
      <c r="AN2902" s="4">
        <v>0</v>
      </c>
      <c r="AO2902" s="4">
        <v>0</v>
      </c>
      <c r="AP2902" s="4">
        <v>12</v>
      </c>
      <c r="AQ2902" s="4">
        <v>44</v>
      </c>
      <c r="AR2902" s="3" t="s">
        <v>62</v>
      </c>
      <c r="AS2902" s="3" t="s">
        <v>62</v>
      </c>
      <c r="AT2902" s="3" t="s">
        <v>61</v>
      </c>
      <c r="AU2902" s="6" t="str">
        <f>HYPERLINK("http://catalog.hathitrust.org/Record/002427947","HathiTrust Record")</f>
        <v>HathiTrust Record</v>
      </c>
      <c r="AV2902" s="6" t="str">
        <f>HYPERLINK("http://mcgill.on.worldcat.org/oclc/20672115","Catalog Record")</f>
        <v>Catalog Record</v>
      </c>
      <c r="AW2902" s="6" t="str">
        <f>HYPERLINK("http://www.worldcat.org/oclc/20672115","WorldCat Record")</f>
        <v>WorldCat Record</v>
      </c>
      <c r="AX2902" s="3" t="s">
        <v>28500</v>
      </c>
      <c r="AY2902" s="3" t="s">
        <v>28501</v>
      </c>
      <c r="AZ2902" s="3" t="s">
        <v>28502</v>
      </c>
      <c r="BA2902" s="3" t="s">
        <v>28502</v>
      </c>
      <c r="BB2902" s="3" t="s">
        <v>28503</v>
      </c>
      <c r="BC2902" s="3" t="s">
        <v>142</v>
      </c>
      <c r="BD2902" s="3" t="s">
        <v>68</v>
      </c>
      <c r="BE2902" s="3" t="s">
        <v>28504</v>
      </c>
      <c r="BF2902" s="3" t="s">
        <v>28503</v>
      </c>
      <c r="BG2902" s="3" t="s">
        <v>28505</v>
      </c>
    </row>
    <row r="2903" spans="1:59" ht="57" x14ac:dyDescent="0.45">
      <c r="A2903" s="2" t="s">
        <v>59</v>
      </c>
      <c r="B2903" s="2" t="s">
        <v>60</v>
      </c>
      <c r="C2903" s="2" t="s">
        <v>28506</v>
      </c>
      <c r="D2903" s="2" t="s">
        <v>28507</v>
      </c>
      <c r="E2903" s="2" t="s">
        <v>28508</v>
      </c>
      <c r="G2903" s="3" t="s">
        <v>62</v>
      </c>
      <c r="I2903" s="3" t="s">
        <v>62</v>
      </c>
      <c r="J2903" s="3" t="s">
        <v>62</v>
      </c>
      <c r="K2903" s="3" t="s">
        <v>63</v>
      </c>
      <c r="L2903" s="2" t="s">
        <v>28509</v>
      </c>
      <c r="M2903" s="2" t="s">
        <v>28510</v>
      </c>
      <c r="N2903" s="3" t="s">
        <v>1253</v>
      </c>
      <c r="P2903" s="3" t="s">
        <v>65</v>
      </c>
      <c r="R2903" s="3" t="s">
        <v>66</v>
      </c>
      <c r="S2903" s="4">
        <v>45</v>
      </c>
      <c r="T2903" s="4">
        <v>45</v>
      </c>
      <c r="U2903" s="5" t="s">
        <v>10950</v>
      </c>
      <c r="V2903" s="5" t="s">
        <v>10950</v>
      </c>
      <c r="W2903" s="5" t="s">
        <v>67</v>
      </c>
      <c r="X2903" s="5" t="s">
        <v>67</v>
      </c>
      <c r="Y2903" s="4">
        <v>65</v>
      </c>
      <c r="Z2903" s="4">
        <v>10</v>
      </c>
      <c r="AA2903" s="4">
        <v>10</v>
      </c>
      <c r="AB2903" s="4">
        <v>1</v>
      </c>
      <c r="AC2903" s="4">
        <v>1</v>
      </c>
      <c r="AD2903" s="4">
        <v>6</v>
      </c>
      <c r="AE2903" s="4">
        <v>6</v>
      </c>
      <c r="AF2903" s="4">
        <v>0</v>
      </c>
      <c r="AG2903" s="4">
        <v>0</v>
      </c>
      <c r="AH2903" s="4">
        <v>5</v>
      </c>
      <c r="AI2903" s="4">
        <v>5</v>
      </c>
      <c r="AJ2903" s="4">
        <v>4</v>
      </c>
      <c r="AK2903" s="4">
        <v>4</v>
      </c>
      <c r="AL2903" s="4">
        <v>2</v>
      </c>
      <c r="AM2903" s="4">
        <v>2</v>
      </c>
      <c r="AN2903" s="4">
        <v>0</v>
      </c>
      <c r="AO2903" s="4">
        <v>0</v>
      </c>
      <c r="AP2903" s="4">
        <v>5</v>
      </c>
      <c r="AQ2903" s="4">
        <v>5</v>
      </c>
      <c r="AR2903" s="3" t="s">
        <v>62</v>
      </c>
      <c r="AS2903" s="3" t="s">
        <v>62</v>
      </c>
      <c r="AT2903" s="3" t="s">
        <v>61</v>
      </c>
      <c r="AU2903" s="6" t="str">
        <f>HYPERLINK("http://catalog.hathitrust.org/Record/009802260","HathiTrust Record")</f>
        <v>HathiTrust Record</v>
      </c>
      <c r="AV2903" s="6" t="str">
        <f>HYPERLINK("http://mcgill.on.worldcat.org/oclc/41967795","Catalog Record")</f>
        <v>Catalog Record</v>
      </c>
      <c r="AW2903" s="6" t="str">
        <f>HYPERLINK("http://www.worldcat.org/oclc/41967795","WorldCat Record")</f>
        <v>WorldCat Record</v>
      </c>
      <c r="AX2903" s="3" t="s">
        <v>28511</v>
      </c>
      <c r="AY2903" s="3" t="s">
        <v>28512</v>
      </c>
      <c r="AZ2903" s="3" t="s">
        <v>28513</v>
      </c>
      <c r="BA2903" s="3" t="s">
        <v>28513</v>
      </c>
      <c r="BB2903" s="3" t="s">
        <v>28514</v>
      </c>
      <c r="BC2903" s="3" t="s">
        <v>142</v>
      </c>
      <c r="BD2903" s="3" t="s">
        <v>68</v>
      </c>
      <c r="BE2903" s="3" t="s">
        <v>28515</v>
      </c>
      <c r="BF2903" s="3" t="s">
        <v>28514</v>
      </c>
      <c r="BG2903" s="3" t="s">
        <v>28516</v>
      </c>
    </row>
    <row r="2904" spans="1:59" ht="57" x14ac:dyDescent="0.45">
      <c r="A2904" s="2" t="s">
        <v>59</v>
      </c>
      <c r="B2904" s="2" t="s">
        <v>60</v>
      </c>
      <c r="C2904" s="2" t="s">
        <v>28517</v>
      </c>
      <c r="D2904" s="2" t="s">
        <v>28518</v>
      </c>
      <c r="E2904" s="2" t="s">
        <v>28519</v>
      </c>
      <c r="G2904" s="3" t="s">
        <v>62</v>
      </c>
      <c r="I2904" s="3" t="s">
        <v>62</v>
      </c>
      <c r="J2904" s="3" t="s">
        <v>62</v>
      </c>
      <c r="K2904" s="3" t="s">
        <v>63</v>
      </c>
      <c r="L2904" s="2" t="s">
        <v>28520</v>
      </c>
      <c r="M2904" s="2" t="s">
        <v>13581</v>
      </c>
      <c r="N2904" s="3" t="s">
        <v>1918</v>
      </c>
      <c r="P2904" s="3" t="s">
        <v>65</v>
      </c>
      <c r="R2904" s="3" t="s">
        <v>66</v>
      </c>
      <c r="S2904" s="4">
        <v>0</v>
      </c>
      <c r="T2904" s="4">
        <v>0</v>
      </c>
      <c r="W2904" s="5" t="s">
        <v>67</v>
      </c>
      <c r="X2904" s="5" t="s">
        <v>67</v>
      </c>
      <c r="Y2904" s="4">
        <v>23</v>
      </c>
      <c r="Z2904" s="4">
        <v>3</v>
      </c>
      <c r="AA2904" s="4">
        <v>6</v>
      </c>
      <c r="AB2904" s="4">
        <v>1</v>
      </c>
      <c r="AC2904" s="4">
        <v>4</v>
      </c>
      <c r="AD2904" s="4">
        <v>12</v>
      </c>
      <c r="AE2904" s="4">
        <v>13</v>
      </c>
      <c r="AF2904" s="4">
        <v>0</v>
      </c>
      <c r="AG2904" s="4">
        <v>1</v>
      </c>
      <c r="AH2904" s="4">
        <v>12</v>
      </c>
      <c r="AI2904" s="4">
        <v>13</v>
      </c>
      <c r="AJ2904" s="4">
        <v>2</v>
      </c>
      <c r="AK2904" s="4">
        <v>3</v>
      </c>
      <c r="AL2904" s="4">
        <v>9</v>
      </c>
      <c r="AM2904" s="4">
        <v>9</v>
      </c>
      <c r="AN2904" s="4">
        <v>0</v>
      </c>
      <c r="AO2904" s="4">
        <v>0</v>
      </c>
      <c r="AP2904" s="4">
        <v>2</v>
      </c>
      <c r="AQ2904" s="4">
        <v>3</v>
      </c>
      <c r="AR2904" s="3" t="s">
        <v>62</v>
      </c>
      <c r="AS2904" s="3" t="s">
        <v>62</v>
      </c>
      <c r="AT2904" s="3" t="s">
        <v>62</v>
      </c>
      <c r="AV2904" s="6" t="str">
        <f>HYPERLINK("http://mcgill.on.worldcat.org/oclc/1000352581","Catalog Record")</f>
        <v>Catalog Record</v>
      </c>
      <c r="AW2904" s="6" t="str">
        <f>HYPERLINK("http://www.worldcat.org/oclc/1000352581","WorldCat Record")</f>
        <v>WorldCat Record</v>
      </c>
      <c r="AX2904" s="3" t="s">
        <v>28521</v>
      </c>
      <c r="AY2904" s="3" t="s">
        <v>28522</v>
      </c>
      <c r="AZ2904" s="3" t="s">
        <v>28523</v>
      </c>
      <c r="BA2904" s="3" t="s">
        <v>28523</v>
      </c>
      <c r="BB2904" s="3" t="s">
        <v>28524</v>
      </c>
      <c r="BC2904" s="3" t="s">
        <v>142</v>
      </c>
      <c r="BD2904" s="3" t="s">
        <v>68</v>
      </c>
      <c r="BE2904" s="3" t="s">
        <v>28525</v>
      </c>
      <c r="BF2904" s="3" t="s">
        <v>28524</v>
      </c>
      <c r="BG2904" s="3" t="s">
        <v>28526</v>
      </c>
    </row>
    <row r="2905" spans="1:59" ht="57" x14ac:dyDescent="0.45">
      <c r="A2905" s="2" t="s">
        <v>59</v>
      </c>
      <c r="B2905" s="2" t="s">
        <v>60</v>
      </c>
      <c r="C2905" s="2" t="s">
        <v>28527</v>
      </c>
      <c r="D2905" s="2" t="s">
        <v>28528</v>
      </c>
      <c r="E2905" s="2" t="s">
        <v>28529</v>
      </c>
      <c r="G2905" s="3" t="s">
        <v>62</v>
      </c>
      <c r="I2905" s="3" t="s">
        <v>62</v>
      </c>
      <c r="J2905" s="3" t="s">
        <v>61</v>
      </c>
      <c r="K2905" s="3" t="s">
        <v>63</v>
      </c>
      <c r="L2905" s="2" t="s">
        <v>1131</v>
      </c>
      <c r="M2905" s="2" t="s">
        <v>28530</v>
      </c>
      <c r="N2905" s="3" t="s">
        <v>820</v>
      </c>
      <c r="O2905" s="2" t="s">
        <v>933</v>
      </c>
      <c r="P2905" s="3" t="s">
        <v>65</v>
      </c>
      <c r="R2905" s="3" t="s">
        <v>66</v>
      </c>
      <c r="S2905" s="4">
        <v>8</v>
      </c>
      <c r="T2905" s="4">
        <v>8</v>
      </c>
      <c r="U2905" s="5" t="s">
        <v>28531</v>
      </c>
      <c r="V2905" s="5" t="s">
        <v>28531</v>
      </c>
      <c r="W2905" s="5" t="s">
        <v>67</v>
      </c>
      <c r="X2905" s="5" t="s">
        <v>67</v>
      </c>
      <c r="Y2905" s="4">
        <v>383</v>
      </c>
      <c r="Z2905" s="4">
        <v>34</v>
      </c>
      <c r="AA2905" s="4">
        <v>52</v>
      </c>
      <c r="AB2905" s="4">
        <v>2</v>
      </c>
      <c r="AC2905" s="4">
        <v>5</v>
      </c>
      <c r="AD2905" s="4">
        <v>72</v>
      </c>
      <c r="AE2905" s="4">
        <v>125</v>
      </c>
      <c r="AF2905" s="4">
        <v>1</v>
      </c>
      <c r="AG2905" s="4">
        <v>3</v>
      </c>
      <c r="AH2905" s="4">
        <v>59</v>
      </c>
      <c r="AI2905" s="4">
        <v>100</v>
      </c>
      <c r="AJ2905" s="4">
        <v>17</v>
      </c>
      <c r="AK2905" s="4">
        <v>22</v>
      </c>
      <c r="AL2905" s="4">
        <v>33</v>
      </c>
      <c r="AM2905" s="4">
        <v>52</v>
      </c>
      <c r="AN2905" s="4">
        <v>0</v>
      </c>
      <c r="AO2905" s="4">
        <v>0</v>
      </c>
      <c r="AP2905" s="4">
        <v>23</v>
      </c>
      <c r="AQ2905" s="4">
        <v>34</v>
      </c>
      <c r="AR2905" s="3" t="s">
        <v>62</v>
      </c>
      <c r="AS2905" s="3" t="s">
        <v>62</v>
      </c>
      <c r="AT2905" s="3" t="s">
        <v>61</v>
      </c>
      <c r="AU2905" s="6" t="str">
        <f>HYPERLINK("http://catalog.hathitrust.org/Record/005865870","HathiTrust Record")</f>
        <v>HathiTrust Record</v>
      </c>
      <c r="AV2905" s="6" t="str">
        <f>HYPERLINK("http://mcgill.on.worldcat.org/oclc/180689992","Catalog Record")</f>
        <v>Catalog Record</v>
      </c>
      <c r="AW2905" s="6" t="str">
        <f>HYPERLINK("http://www.worldcat.org/oclc/180689992","WorldCat Record")</f>
        <v>WorldCat Record</v>
      </c>
      <c r="AX2905" s="3" t="s">
        <v>28532</v>
      </c>
      <c r="AY2905" s="3" t="s">
        <v>28533</v>
      </c>
      <c r="AZ2905" s="3" t="s">
        <v>28534</v>
      </c>
      <c r="BA2905" s="3" t="s">
        <v>28534</v>
      </c>
      <c r="BB2905" s="3" t="s">
        <v>28535</v>
      </c>
      <c r="BC2905" s="3" t="s">
        <v>142</v>
      </c>
      <c r="BD2905" s="3" t="s">
        <v>68</v>
      </c>
      <c r="BE2905" s="3" t="s">
        <v>28536</v>
      </c>
      <c r="BF2905" s="3" t="s">
        <v>28535</v>
      </c>
      <c r="BG2905" s="3" t="s">
        <v>28537</v>
      </c>
    </row>
    <row r="2906" spans="1:59" ht="57" x14ac:dyDescent="0.45">
      <c r="A2906" s="2" t="s">
        <v>59</v>
      </c>
      <c r="B2906" s="2" t="s">
        <v>60</v>
      </c>
      <c r="C2906" s="2" t="s">
        <v>28538</v>
      </c>
      <c r="D2906" s="2" t="s">
        <v>28539</v>
      </c>
      <c r="E2906" s="2" t="s">
        <v>28540</v>
      </c>
      <c r="G2906" s="3" t="s">
        <v>62</v>
      </c>
      <c r="I2906" s="3" t="s">
        <v>62</v>
      </c>
      <c r="J2906" s="3" t="s">
        <v>62</v>
      </c>
      <c r="K2906" s="3" t="s">
        <v>63</v>
      </c>
      <c r="L2906" s="2" t="s">
        <v>28541</v>
      </c>
      <c r="M2906" s="2" t="s">
        <v>28542</v>
      </c>
      <c r="N2906" s="3" t="s">
        <v>167</v>
      </c>
      <c r="P2906" s="3" t="s">
        <v>65</v>
      </c>
      <c r="Q2906" s="2" t="s">
        <v>28543</v>
      </c>
      <c r="R2906" s="3" t="s">
        <v>66</v>
      </c>
      <c r="S2906" s="4">
        <v>4</v>
      </c>
      <c r="T2906" s="4">
        <v>4</v>
      </c>
      <c r="U2906" s="5" t="s">
        <v>8148</v>
      </c>
      <c r="V2906" s="5" t="s">
        <v>8148</v>
      </c>
      <c r="W2906" s="5" t="s">
        <v>67</v>
      </c>
      <c r="X2906" s="5" t="s">
        <v>67</v>
      </c>
      <c r="Y2906" s="4">
        <v>99</v>
      </c>
      <c r="Z2906" s="4">
        <v>11</v>
      </c>
      <c r="AA2906" s="4">
        <v>11</v>
      </c>
      <c r="AB2906" s="4">
        <v>1</v>
      </c>
      <c r="AC2906" s="4">
        <v>1</v>
      </c>
      <c r="AD2906" s="4">
        <v>50</v>
      </c>
      <c r="AE2906" s="4">
        <v>50</v>
      </c>
      <c r="AF2906" s="4">
        <v>0</v>
      </c>
      <c r="AG2906" s="4">
        <v>0</v>
      </c>
      <c r="AH2906" s="4">
        <v>46</v>
      </c>
      <c r="AI2906" s="4">
        <v>46</v>
      </c>
      <c r="AJ2906" s="4">
        <v>7</v>
      </c>
      <c r="AK2906" s="4">
        <v>7</v>
      </c>
      <c r="AL2906" s="4">
        <v>22</v>
      </c>
      <c r="AM2906" s="4">
        <v>22</v>
      </c>
      <c r="AN2906" s="4">
        <v>0</v>
      </c>
      <c r="AO2906" s="4">
        <v>0</v>
      </c>
      <c r="AP2906" s="4">
        <v>6</v>
      </c>
      <c r="AQ2906" s="4">
        <v>6</v>
      </c>
      <c r="AR2906" s="3" t="s">
        <v>62</v>
      </c>
      <c r="AS2906" s="3" t="s">
        <v>62</v>
      </c>
      <c r="AT2906" s="3" t="s">
        <v>61</v>
      </c>
      <c r="AU2906" s="6" t="str">
        <f>HYPERLINK("http://catalog.hathitrust.org/Record/006953911","HathiTrust Record")</f>
        <v>HathiTrust Record</v>
      </c>
      <c r="AV2906" s="6" t="str">
        <f>HYPERLINK("http://mcgill.on.worldcat.org/oclc/39951745","Catalog Record")</f>
        <v>Catalog Record</v>
      </c>
      <c r="AW2906" s="6" t="str">
        <f>HYPERLINK("http://www.worldcat.org/oclc/39951745","WorldCat Record")</f>
        <v>WorldCat Record</v>
      </c>
      <c r="AX2906" s="3" t="s">
        <v>28544</v>
      </c>
      <c r="AY2906" s="3" t="s">
        <v>28545</v>
      </c>
      <c r="AZ2906" s="3" t="s">
        <v>28546</v>
      </c>
      <c r="BA2906" s="3" t="s">
        <v>28546</v>
      </c>
      <c r="BB2906" s="3" t="s">
        <v>28547</v>
      </c>
      <c r="BC2906" s="3" t="s">
        <v>142</v>
      </c>
      <c r="BD2906" s="3" t="s">
        <v>68</v>
      </c>
      <c r="BE2906" s="3" t="s">
        <v>28548</v>
      </c>
      <c r="BF2906" s="3" t="s">
        <v>28547</v>
      </c>
      <c r="BG2906" s="3" t="s">
        <v>28549</v>
      </c>
    </row>
    <row r="2907" spans="1:59" ht="57" x14ac:dyDescent="0.45">
      <c r="A2907" s="2" t="s">
        <v>59</v>
      </c>
      <c r="B2907" s="2" t="s">
        <v>60</v>
      </c>
      <c r="C2907" s="2" t="s">
        <v>28550</v>
      </c>
      <c r="D2907" s="2" t="s">
        <v>28551</v>
      </c>
      <c r="E2907" s="2" t="s">
        <v>28552</v>
      </c>
      <c r="G2907" s="3" t="s">
        <v>62</v>
      </c>
      <c r="I2907" s="3" t="s">
        <v>62</v>
      </c>
      <c r="J2907" s="3" t="s">
        <v>62</v>
      </c>
      <c r="K2907" s="3" t="s">
        <v>63</v>
      </c>
      <c r="L2907" s="2" t="s">
        <v>28553</v>
      </c>
      <c r="M2907" s="2" t="s">
        <v>28554</v>
      </c>
      <c r="N2907" s="3" t="s">
        <v>495</v>
      </c>
      <c r="P2907" s="3" t="s">
        <v>65</v>
      </c>
      <c r="Q2907" s="2" t="s">
        <v>28555</v>
      </c>
      <c r="R2907" s="3" t="s">
        <v>66</v>
      </c>
      <c r="S2907" s="4">
        <v>14</v>
      </c>
      <c r="T2907" s="4">
        <v>14</v>
      </c>
      <c r="U2907" s="5" t="s">
        <v>28556</v>
      </c>
      <c r="V2907" s="5" t="s">
        <v>28556</v>
      </c>
      <c r="W2907" s="5" t="s">
        <v>67</v>
      </c>
      <c r="X2907" s="5" t="s">
        <v>67</v>
      </c>
      <c r="Y2907" s="4">
        <v>23</v>
      </c>
      <c r="Z2907" s="4">
        <v>2</v>
      </c>
      <c r="AA2907" s="4">
        <v>3</v>
      </c>
      <c r="AB2907" s="4">
        <v>1</v>
      </c>
      <c r="AC2907" s="4">
        <v>2</v>
      </c>
      <c r="AD2907" s="4">
        <v>10</v>
      </c>
      <c r="AE2907" s="4">
        <v>11</v>
      </c>
      <c r="AF2907" s="4">
        <v>0</v>
      </c>
      <c r="AG2907" s="4">
        <v>1</v>
      </c>
      <c r="AH2907" s="4">
        <v>8</v>
      </c>
      <c r="AI2907" s="4">
        <v>8</v>
      </c>
      <c r="AJ2907" s="4">
        <v>0</v>
      </c>
      <c r="AK2907" s="4">
        <v>1</v>
      </c>
      <c r="AL2907" s="4">
        <v>5</v>
      </c>
      <c r="AM2907" s="4">
        <v>5</v>
      </c>
      <c r="AN2907" s="4">
        <v>0</v>
      </c>
      <c r="AO2907" s="4">
        <v>0</v>
      </c>
      <c r="AP2907" s="4">
        <v>1</v>
      </c>
      <c r="AQ2907" s="4">
        <v>2</v>
      </c>
      <c r="AR2907" s="3" t="s">
        <v>62</v>
      </c>
      <c r="AS2907" s="3" t="s">
        <v>62</v>
      </c>
      <c r="AT2907" s="3" t="s">
        <v>62</v>
      </c>
      <c r="AV2907" s="6" t="str">
        <f>HYPERLINK("http://mcgill.on.worldcat.org/oclc/2612124","Catalog Record")</f>
        <v>Catalog Record</v>
      </c>
      <c r="AW2907" s="6" t="str">
        <f>HYPERLINK("http://www.worldcat.org/oclc/2612124","WorldCat Record")</f>
        <v>WorldCat Record</v>
      </c>
      <c r="AX2907" s="3" t="s">
        <v>28557</v>
      </c>
      <c r="AY2907" s="3" t="s">
        <v>28558</v>
      </c>
      <c r="AZ2907" s="3" t="s">
        <v>28559</v>
      </c>
      <c r="BA2907" s="3" t="s">
        <v>28559</v>
      </c>
      <c r="BB2907" s="3" t="s">
        <v>28560</v>
      </c>
      <c r="BC2907" s="3" t="s">
        <v>142</v>
      </c>
      <c r="BD2907" s="3" t="s">
        <v>68</v>
      </c>
      <c r="BF2907" s="3" t="s">
        <v>28560</v>
      </c>
      <c r="BG2907" s="3" t="s">
        <v>28561</v>
      </c>
    </row>
    <row r="2908" spans="1:59" ht="57" x14ac:dyDescent="0.45">
      <c r="A2908" s="2" t="s">
        <v>59</v>
      </c>
      <c r="B2908" s="2" t="s">
        <v>60</v>
      </c>
      <c r="C2908" s="2" t="s">
        <v>28562</v>
      </c>
      <c r="D2908" s="2" t="s">
        <v>28563</v>
      </c>
      <c r="E2908" s="2" t="s">
        <v>28564</v>
      </c>
      <c r="G2908" s="3" t="s">
        <v>62</v>
      </c>
      <c r="I2908" s="3" t="s">
        <v>62</v>
      </c>
      <c r="J2908" s="3" t="s">
        <v>61</v>
      </c>
      <c r="K2908" s="3" t="s">
        <v>63</v>
      </c>
      <c r="L2908" s="2" t="s">
        <v>28565</v>
      </c>
      <c r="M2908" s="2" t="s">
        <v>28566</v>
      </c>
      <c r="N2908" s="3" t="s">
        <v>1688</v>
      </c>
      <c r="O2908" s="2" t="s">
        <v>28567</v>
      </c>
      <c r="P2908" s="3" t="s">
        <v>110</v>
      </c>
      <c r="Q2908" s="2" t="s">
        <v>28568</v>
      </c>
      <c r="R2908" s="3" t="s">
        <v>66</v>
      </c>
      <c r="S2908" s="4">
        <v>0</v>
      </c>
      <c r="T2908" s="4">
        <v>0</v>
      </c>
      <c r="W2908" s="5" t="s">
        <v>67</v>
      </c>
      <c r="X2908" s="5" t="s">
        <v>67</v>
      </c>
      <c r="Y2908" s="4">
        <v>2</v>
      </c>
      <c r="Z2908" s="4">
        <v>2</v>
      </c>
      <c r="AA2908" s="4">
        <v>17</v>
      </c>
      <c r="AB2908" s="4">
        <v>1</v>
      </c>
      <c r="AC2908" s="4">
        <v>11</v>
      </c>
      <c r="AD2908" s="4">
        <v>1</v>
      </c>
      <c r="AE2908" s="4">
        <v>13</v>
      </c>
      <c r="AF2908" s="4">
        <v>0</v>
      </c>
      <c r="AG2908" s="4">
        <v>4</v>
      </c>
      <c r="AH2908" s="4">
        <v>1</v>
      </c>
      <c r="AI2908" s="4">
        <v>8</v>
      </c>
      <c r="AJ2908" s="4">
        <v>1</v>
      </c>
      <c r="AK2908" s="4">
        <v>7</v>
      </c>
      <c r="AL2908" s="4">
        <v>0</v>
      </c>
      <c r="AM2908" s="4">
        <v>5</v>
      </c>
      <c r="AN2908" s="4">
        <v>0</v>
      </c>
      <c r="AO2908" s="4">
        <v>0</v>
      </c>
      <c r="AP2908" s="4">
        <v>1</v>
      </c>
      <c r="AQ2908" s="4">
        <v>7</v>
      </c>
      <c r="AR2908" s="3" t="s">
        <v>62</v>
      </c>
      <c r="AS2908" s="3" t="s">
        <v>62</v>
      </c>
      <c r="AT2908" s="3" t="s">
        <v>62</v>
      </c>
      <c r="AV2908" s="6" t="str">
        <f>HYPERLINK("http://mcgill.on.worldcat.org/oclc/905112365","Catalog Record")</f>
        <v>Catalog Record</v>
      </c>
      <c r="AW2908" s="6" t="str">
        <f>HYPERLINK("http://www.worldcat.org/oclc/905112365","WorldCat Record")</f>
        <v>WorldCat Record</v>
      </c>
      <c r="AX2908" s="3" t="s">
        <v>28569</v>
      </c>
      <c r="AY2908" s="3" t="s">
        <v>28570</v>
      </c>
      <c r="AZ2908" s="3" t="s">
        <v>28571</v>
      </c>
      <c r="BA2908" s="3" t="s">
        <v>28571</v>
      </c>
      <c r="BB2908" s="3" t="s">
        <v>28572</v>
      </c>
      <c r="BC2908" s="3" t="s">
        <v>142</v>
      </c>
      <c r="BD2908" s="3" t="s">
        <v>68</v>
      </c>
      <c r="BE2908" s="3" t="s">
        <v>28573</v>
      </c>
      <c r="BF2908" s="3" t="s">
        <v>28572</v>
      </c>
      <c r="BG2908" s="3" t="s">
        <v>28574</v>
      </c>
    </row>
    <row r="2909" spans="1:59" ht="57" x14ac:dyDescent="0.45">
      <c r="A2909" s="2" t="s">
        <v>59</v>
      </c>
      <c r="B2909" s="2" t="s">
        <v>60</v>
      </c>
      <c r="C2909" s="2" t="s">
        <v>28575</v>
      </c>
      <c r="D2909" s="2" t="s">
        <v>28576</v>
      </c>
      <c r="E2909" s="2" t="s">
        <v>28577</v>
      </c>
      <c r="G2909" s="3" t="s">
        <v>62</v>
      </c>
      <c r="I2909" s="3" t="s">
        <v>62</v>
      </c>
      <c r="J2909" s="3" t="s">
        <v>62</v>
      </c>
      <c r="K2909" s="3" t="s">
        <v>63</v>
      </c>
      <c r="L2909" s="2" t="s">
        <v>28578</v>
      </c>
      <c r="M2909" s="2" t="s">
        <v>17617</v>
      </c>
      <c r="N2909" s="3" t="s">
        <v>125</v>
      </c>
      <c r="P2909" s="3" t="s">
        <v>65</v>
      </c>
      <c r="Q2909" s="2" t="s">
        <v>17618</v>
      </c>
      <c r="R2909" s="3" t="s">
        <v>66</v>
      </c>
      <c r="S2909" s="4">
        <v>25</v>
      </c>
      <c r="T2909" s="4">
        <v>25</v>
      </c>
      <c r="U2909" s="5" t="s">
        <v>22641</v>
      </c>
      <c r="V2909" s="5" t="s">
        <v>22641</v>
      </c>
      <c r="W2909" s="5" t="s">
        <v>67</v>
      </c>
      <c r="X2909" s="5" t="s">
        <v>67</v>
      </c>
      <c r="Y2909" s="4">
        <v>587</v>
      </c>
      <c r="Z2909" s="4">
        <v>41</v>
      </c>
      <c r="AA2909" s="4">
        <v>113</v>
      </c>
      <c r="AB2909" s="4">
        <v>2</v>
      </c>
      <c r="AC2909" s="4">
        <v>17</v>
      </c>
      <c r="AD2909" s="4">
        <v>129</v>
      </c>
      <c r="AE2909" s="4">
        <v>155</v>
      </c>
      <c r="AF2909" s="4">
        <v>1</v>
      </c>
      <c r="AG2909" s="4">
        <v>8</v>
      </c>
      <c r="AH2909" s="4">
        <v>104</v>
      </c>
      <c r="AI2909" s="4">
        <v>110</v>
      </c>
      <c r="AJ2909" s="4">
        <v>18</v>
      </c>
      <c r="AK2909" s="4">
        <v>26</v>
      </c>
      <c r="AL2909" s="4">
        <v>58</v>
      </c>
      <c r="AM2909" s="4">
        <v>59</v>
      </c>
      <c r="AN2909" s="4">
        <v>0</v>
      </c>
      <c r="AO2909" s="4">
        <v>0</v>
      </c>
      <c r="AP2909" s="4">
        <v>31</v>
      </c>
      <c r="AQ2909" s="4">
        <v>53</v>
      </c>
      <c r="AR2909" s="3" t="s">
        <v>62</v>
      </c>
      <c r="AS2909" s="3" t="s">
        <v>62</v>
      </c>
      <c r="AT2909" s="3" t="s">
        <v>61</v>
      </c>
      <c r="AU2909" s="6" t="str">
        <f>HYPERLINK("http://catalog.hathitrust.org/Record/002224363","HathiTrust Record")</f>
        <v>HathiTrust Record</v>
      </c>
      <c r="AV2909" s="6" t="str">
        <f>HYPERLINK("http://mcgill.on.worldcat.org/oclc/20561552","Catalog Record")</f>
        <v>Catalog Record</v>
      </c>
      <c r="AW2909" s="6" t="str">
        <f>HYPERLINK("http://www.worldcat.org/oclc/20561552","WorldCat Record")</f>
        <v>WorldCat Record</v>
      </c>
      <c r="AX2909" s="3" t="s">
        <v>28579</v>
      </c>
      <c r="AY2909" s="3" t="s">
        <v>28580</v>
      </c>
      <c r="AZ2909" s="3" t="s">
        <v>28581</v>
      </c>
      <c r="BA2909" s="3" t="s">
        <v>28581</v>
      </c>
      <c r="BB2909" s="3" t="s">
        <v>28582</v>
      </c>
      <c r="BC2909" s="3" t="s">
        <v>142</v>
      </c>
      <c r="BD2909" s="3" t="s">
        <v>68</v>
      </c>
      <c r="BE2909" s="3" t="s">
        <v>28583</v>
      </c>
      <c r="BF2909" s="3" t="s">
        <v>28582</v>
      </c>
      <c r="BG2909" s="3" t="s">
        <v>28584</v>
      </c>
    </row>
    <row r="2910" spans="1:59" ht="57" x14ac:dyDescent="0.45">
      <c r="A2910" s="2" t="s">
        <v>59</v>
      </c>
      <c r="B2910" s="2" t="s">
        <v>60</v>
      </c>
      <c r="C2910" s="2" t="s">
        <v>28585</v>
      </c>
      <c r="D2910" s="2" t="s">
        <v>28586</v>
      </c>
      <c r="E2910" s="2" t="s">
        <v>28587</v>
      </c>
      <c r="G2910" s="3" t="s">
        <v>62</v>
      </c>
      <c r="I2910" s="3" t="s">
        <v>61</v>
      </c>
      <c r="J2910" s="3" t="s">
        <v>62</v>
      </c>
      <c r="K2910" s="3" t="s">
        <v>63</v>
      </c>
      <c r="L2910" s="2" t="s">
        <v>28578</v>
      </c>
      <c r="M2910" s="2" t="s">
        <v>28588</v>
      </c>
      <c r="N2910" s="3" t="s">
        <v>157</v>
      </c>
      <c r="P2910" s="3" t="s">
        <v>65</v>
      </c>
      <c r="Q2910" s="2" t="s">
        <v>17618</v>
      </c>
      <c r="R2910" s="3" t="s">
        <v>66</v>
      </c>
      <c r="S2910" s="4">
        <v>5</v>
      </c>
      <c r="T2910" s="4">
        <v>9</v>
      </c>
      <c r="U2910" s="5" t="s">
        <v>28589</v>
      </c>
      <c r="V2910" s="5" t="s">
        <v>22641</v>
      </c>
      <c r="W2910" s="5" t="s">
        <v>67</v>
      </c>
      <c r="X2910" s="5" t="s">
        <v>67</v>
      </c>
      <c r="Y2910" s="4">
        <v>697</v>
      </c>
      <c r="Z2910" s="4">
        <v>45</v>
      </c>
      <c r="AA2910" s="4">
        <v>49</v>
      </c>
      <c r="AB2910" s="4">
        <v>3</v>
      </c>
      <c r="AC2910" s="4">
        <v>7</v>
      </c>
      <c r="AD2910" s="4">
        <v>132</v>
      </c>
      <c r="AE2910" s="4">
        <v>136</v>
      </c>
      <c r="AF2910" s="4">
        <v>2</v>
      </c>
      <c r="AG2910" s="4">
        <v>5</v>
      </c>
      <c r="AH2910" s="4">
        <v>107</v>
      </c>
      <c r="AI2910" s="4">
        <v>109</v>
      </c>
      <c r="AJ2910" s="4">
        <v>22</v>
      </c>
      <c r="AK2910" s="4">
        <v>25</v>
      </c>
      <c r="AL2910" s="4">
        <v>56</v>
      </c>
      <c r="AM2910" s="4">
        <v>57</v>
      </c>
      <c r="AN2910" s="4">
        <v>0</v>
      </c>
      <c r="AO2910" s="4">
        <v>0</v>
      </c>
      <c r="AP2910" s="4">
        <v>35</v>
      </c>
      <c r="AQ2910" s="4">
        <v>37</v>
      </c>
      <c r="AR2910" s="3" t="s">
        <v>62</v>
      </c>
      <c r="AS2910" s="3" t="s">
        <v>62</v>
      </c>
      <c r="AT2910" s="3" t="s">
        <v>61</v>
      </c>
      <c r="AU2910" s="6" t="str">
        <f>HYPERLINK("http://catalog.hathitrust.org/Record/000188852","HathiTrust Record")</f>
        <v>HathiTrust Record</v>
      </c>
      <c r="AV2910" s="6" t="str">
        <f>HYPERLINK("http://mcgill.on.worldcat.org/oclc/8306756","Catalog Record")</f>
        <v>Catalog Record</v>
      </c>
      <c r="AW2910" s="6" t="str">
        <f>HYPERLINK("http://www.worldcat.org/oclc/8306756","WorldCat Record")</f>
        <v>WorldCat Record</v>
      </c>
      <c r="AX2910" s="3" t="s">
        <v>28590</v>
      </c>
      <c r="AY2910" s="3" t="s">
        <v>28591</v>
      </c>
      <c r="AZ2910" s="3" t="s">
        <v>28592</v>
      </c>
      <c r="BA2910" s="3" t="s">
        <v>28592</v>
      </c>
      <c r="BB2910" s="3" t="s">
        <v>28593</v>
      </c>
      <c r="BC2910" s="3" t="s">
        <v>142</v>
      </c>
      <c r="BD2910" s="3" t="s">
        <v>68</v>
      </c>
      <c r="BE2910" s="3" t="s">
        <v>28594</v>
      </c>
      <c r="BF2910" s="3" t="s">
        <v>28593</v>
      </c>
      <c r="BG2910" s="3" t="s">
        <v>28595</v>
      </c>
    </row>
    <row r="2911" spans="1:59" ht="57" x14ac:dyDescent="0.45">
      <c r="A2911" s="2" t="s">
        <v>59</v>
      </c>
      <c r="B2911" s="2" t="s">
        <v>60</v>
      </c>
      <c r="C2911" s="2" t="s">
        <v>28585</v>
      </c>
      <c r="D2911" s="2" t="s">
        <v>28586</v>
      </c>
      <c r="E2911" s="2" t="s">
        <v>28587</v>
      </c>
      <c r="G2911" s="3" t="s">
        <v>62</v>
      </c>
      <c r="I2911" s="3" t="s">
        <v>61</v>
      </c>
      <c r="J2911" s="3" t="s">
        <v>62</v>
      </c>
      <c r="K2911" s="3" t="s">
        <v>63</v>
      </c>
      <c r="L2911" s="2" t="s">
        <v>28578</v>
      </c>
      <c r="M2911" s="2" t="s">
        <v>28588</v>
      </c>
      <c r="N2911" s="3" t="s">
        <v>157</v>
      </c>
      <c r="P2911" s="3" t="s">
        <v>65</v>
      </c>
      <c r="Q2911" s="2" t="s">
        <v>17618</v>
      </c>
      <c r="R2911" s="3" t="s">
        <v>66</v>
      </c>
      <c r="S2911" s="4">
        <v>4</v>
      </c>
      <c r="T2911" s="4">
        <v>9</v>
      </c>
      <c r="U2911" s="5" t="s">
        <v>22641</v>
      </c>
      <c r="V2911" s="5" t="s">
        <v>22641</v>
      </c>
      <c r="W2911" s="5" t="s">
        <v>67</v>
      </c>
      <c r="X2911" s="5" t="s">
        <v>67</v>
      </c>
      <c r="Y2911" s="4">
        <v>697</v>
      </c>
      <c r="Z2911" s="4">
        <v>45</v>
      </c>
      <c r="AA2911" s="4">
        <v>49</v>
      </c>
      <c r="AB2911" s="4">
        <v>3</v>
      </c>
      <c r="AC2911" s="4">
        <v>7</v>
      </c>
      <c r="AD2911" s="4">
        <v>132</v>
      </c>
      <c r="AE2911" s="4">
        <v>136</v>
      </c>
      <c r="AF2911" s="4">
        <v>2</v>
      </c>
      <c r="AG2911" s="4">
        <v>5</v>
      </c>
      <c r="AH2911" s="4">
        <v>107</v>
      </c>
      <c r="AI2911" s="4">
        <v>109</v>
      </c>
      <c r="AJ2911" s="4">
        <v>22</v>
      </c>
      <c r="AK2911" s="4">
        <v>25</v>
      </c>
      <c r="AL2911" s="4">
        <v>56</v>
      </c>
      <c r="AM2911" s="4">
        <v>57</v>
      </c>
      <c r="AN2911" s="4">
        <v>0</v>
      </c>
      <c r="AO2911" s="4">
        <v>0</v>
      </c>
      <c r="AP2911" s="4">
        <v>35</v>
      </c>
      <c r="AQ2911" s="4">
        <v>37</v>
      </c>
      <c r="AR2911" s="3" t="s">
        <v>62</v>
      </c>
      <c r="AS2911" s="3" t="s">
        <v>62</v>
      </c>
      <c r="AT2911" s="3" t="s">
        <v>61</v>
      </c>
      <c r="AU2911" s="6" t="str">
        <f>HYPERLINK("http://catalog.hathitrust.org/Record/000188852","HathiTrust Record")</f>
        <v>HathiTrust Record</v>
      </c>
      <c r="AV2911" s="6" t="str">
        <f>HYPERLINK("http://mcgill.on.worldcat.org/oclc/8306756","Catalog Record")</f>
        <v>Catalog Record</v>
      </c>
      <c r="AW2911" s="6" t="str">
        <f>HYPERLINK("http://www.worldcat.org/oclc/8306756","WorldCat Record")</f>
        <v>WorldCat Record</v>
      </c>
      <c r="AX2911" s="3" t="s">
        <v>28590</v>
      </c>
      <c r="AY2911" s="3" t="s">
        <v>28591</v>
      </c>
      <c r="AZ2911" s="3" t="s">
        <v>28592</v>
      </c>
      <c r="BA2911" s="3" t="s">
        <v>28592</v>
      </c>
      <c r="BB2911" s="3" t="s">
        <v>28596</v>
      </c>
      <c r="BC2911" s="3" t="s">
        <v>142</v>
      </c>
      <c r="BD2911" s="3" t="s">
        <v>68</v>
      </c>
      <c r="BE2911" s="3" t="s">
        <v>28594</v>
      </c>
      <c r="BF2911" s="3" t="s">
        <v>28596</v>
      </c>
      <c r="BG2911" s="3" t="s">
        <v>28597</v>
      </c>
    </row>
    <row r="2912" spans="1:59" ht="57" x14ac:dyDescent="0.45">
      <c r="A2912" s="2" t="s">
        <v>59</v>
      </c>
      <c r="B2912" s="2" t="s">
        <v>60</v>
      </c>
      <c r="C2912" s="2" t="s">
        <v>28599</v>
      </c>
      <c r="D2912" s="2" t="s">
        <v>28600</v>
      </c>
      <c r="E2912" s="2" t="s">
        <v>28601</v>
      </c>
      <c r="G2912" s="3" t="s">
        <v>62</v>
      </c>
      <c r="I2912" s="3" t="s">
        <v>62</v>
      </c>
      <c r="J2912" s="3" t="s">
        <v>62</v>
      </c>
      <c r="K2912" s="3" t="s">
        <v>63</v>
      </c>
      <c r="L2912" s="2" t="s">
        <v>28602</v>
      </c>
      <c r="M2912" s="2" t="s">
        <v>28603</v>
      </c>
      <c r="N2912" s="3" t="s">
        <v>149</v>
      </c>
      <c r="P2912" s="3" t="s">
        <v>65</v>
      </c>
      <c r="Q2912" s="2" t="s">
        <v>28604</v>
      </c>
      <c r="R2912" s="3" t="s">
        <v>66</v>
      </c>
      <c r="S2912" s="4">
        <v>0</v>
      </c>
      <c r="T2912" s="4">
        <v>0</v>
      </c>
      <c r="W2912" s="5" t="s">
        <v>67</v>
      </c>
      <c r="X2912" s="5" t="s">
        <v>67</v>
      </c>
      <c r="Y2912" s="4">
        <v>23</v>
      </c>
      <c r="Z2912" s="4">
        <v>12</v>
      </c>
      <c r="AA2912" s="4">
        <v>12</v>
      </c>
      <c r="AB2912" s="4">
        <v>1</v>
      </c>
      <c r="AC2912" s="4">
        <v>1</v>
      </c>
      <c r="AD2912" s="4">
        <v>15</v>
      </c>
      <c r="AE2912" s="4">
        <v>15</v>
      </c>
      <c r="AF2912" s="4">
        <v>0</v>
      </c>
      <c r="AG2912" s="4">
        <v>0</v>
      </c>
      <c r="AH2912" s="4">
        <v>11</v>
      </c>
      <c r="AI2912" s="4">
        <v>11</v>
      </c>
      <c r="AJ2912" s="4">
        <v>9</v>
      </c>
      <c r="AK2912" s="4">
        <v>9</v>
      </c>
      <c r="AL2912" s="4">
        <v>7</v>
      </c>
      <c r="AM2912" s="4">
        <v>7</v>
      </c>
      <c r="AN2912" s="4">
        <v>0</v>
      </c>
      <c r="AO2912" s="4">
        <v>0</v>
      </c>
      <c r="AP2912" s="4">
        <v>8</v>
      </c>
      <c r="AQ2912" s="4">
        <v>8</v>
      </c>
      <c r="AR2912" s="3" t="s">
        <v>62</v>
      </c>
      <c r="AS2912" s="3" t="s">
        <v>62</v>
      </c>
      <c r="AT2912" s="3" t="s">
        <v>62</v>
      </c>
      <c r="AV2912" s="6" t="str">
        <f>HYPERLINK("http://mcgill.on.worldcat.org/oclc/565924061","Catalog Record")</f>
        <v>Catalog Record</v>
      </c>
      <c r="AW2912" s="6" t="str">
        <f>HYPERLINK("http://www.worldcat.org/oclc/565924061","WorldCat Record")</f>
        <v>WorldCat Record</v>
      </c>
      <c r="AX2912" s="3" t="s">
        <v>28605</v>
      </c>
      <c r="AY2912" s="3" t="s">
        <v>28606</v>
      </c>
      <c r="AZ2912" s="3" t="s">
        <v>28607</v>
      </c>
      <c r="BA2912" s="3" t="s">
        <v>28607</v>
      </c>
      <c r="BB2912" s="3" t="s">
        <v>28608</v>
      </c>
      <c r="BC2912" s="3" t="s">
        <v>142</v>
      </c>
      <c r="BD2912" s="3" t="s">
        <v>68</v>
      </c>
      <c r="BE2912" s="3" t="s">
        <v>28609</v>
      </c>
      <c r="BF2912" s="3" t="s">
        <v>28608</v>
      </c>
      <c r="BG2912" s="3" t="s">
        <v>28610</v>
      </c>
    </row>
    <row r="2913" spans="1:59" ht="57" x14ac:dyDescent="0.45">
      <c r="A2913" s="2" t="s">
        <v>59</v>
      </c>
      <c r="B2913" s="2" t="s">
        <v>60</v>
      </c>
      <c r="C2913" s="2" t="s">
        <v>28611</v>
      </c>
      <c r="D2913" s="2" t="s">
        <v>28612</v>
      </c>
      <c r="E2913" s="2" t="s">
        <v>28613</v>
      </c>
      <c r="G2913" s="3" t="s">
        <v>62</v>
      </c>
      <c r="I2913" s="3" t="s">
        <v>62</v>
      </c>
      <c r="J2913" s="3" t="s">
        <v>62</v>
      </c>
      <c r="K2913" s="3" t="s">
        <v>63</v>
      </c>
      <c r="L2913" s="2" t="s">
        <v>28614</v>
      </c>
      <c r="M2913" s="2" t="s">
        <v>28615</v>
      </c>
      <c r="N2913" s="3" t="s">
        <v>149</v>
      </c>
      <c r="P2913" s="3" t="s">
        <v>65</v>
      </c>
      <c r="R2913" s="3" t="s">
        <v>66</v>
      </c>
      <c r="S2913" s="4">
        <v>0</v>
      </c>
      <c r="T2913" s="4">
        <v>0</v>
      </c>
      <c r="W2913" s="5" t="s">
        <v>67</v>
      </c>
      <c r="X2913" s="5" t="s">
        <v>67</v>
      </c>
      <c r="Y2913" s="4">
        <v>137</v>
      </c>
      <c r="Z2913" s="4">
        <v>22</v>
      </c>
      <c r="AA2913" s="4">
        <v>107</v>
      </c>
      <c r="AB2913" s="4">
        <v>1</v>
      </c>
      <c r="AC2913" s="4">
        <v>19</v>
      </c>
      <c r="AD2913" s="4">
        <v>75</v>
      </c>
      <c r="AE2913" s="4">
        <v>138</v>
      </c>
      <c r="AF2913" s="4">
        <v>0</v>
      </c>
      <c r="AG2913" s="4">
        <v>8</v>
      </c>
      <c r="AH2913" s="4">
        <v>65</v>
      </c>
      <c r="AI2913" s="4">
        <v>97</v>
      </c>
      <c r="AJ2913" s="4">
        <v>17</v>
      </c>
      <c r="AK2913" s="4">
        <v>27</v>
      </c>
      <c r="AL2913" s="4">
        <v>38</v>
      </c>
      <c r="AM2913" s="4">
        <v>51</v>
      </c>
      <c r="AN2913" s="4">
        <v>0</v>
      </c>
      <c r="AO2913" s="4">
        <v>0</v>
      </c>
      <c r="AP2913" s="4">
        <v>18</v>
      </c>
      <c r="AQ2913" s="4">
        <v>50</v>
      </c>
      <c r="AR2913" s="3" t="s">
        <v>61</v>
      </c>
      <c r="AS2913" s="3" t="s">
        <v>62</v>
      </c>
      <c r="AT2913" s="3" t="s">
        <v>62</v>
      </c>
      <c r="AV2913" s="6" t="str">
        <f>HYPERLINK("http://mcgill.on.worldcat.org/oclc/466659909","Catalog Record")</f>
        <v>Catalog Record</v>
      </c>
      <c r="AW2913" s="6" t="str">
        <f>HYPERLINK("http://www.worldcat.org/oclc/466659909","WorldCat Record")</f>
        <v>WorldCat Record</v>
      </c>
      <c r="AX2913" s="3" t="s">
        <v>28616</v>
      </c>
      <c r="AY2913" s="3" t="s">
        <v>28617</v>
      </c>
      <c r="AZ2913" s="3" t="s">
        <v>28618</v>
      </c>
      <c r="BA2913" s="3" t="s">
        <v>28618</v>
      </c>
      <c r="BB2913" s="3" t="s">
        <v>28619</v>
      </c>
      <c r="BC2913" s="3" t="s">
        <v>142</v>
      </c>
      <c r="BD2913" s="3" t="s">
        <v>68</v>
      </c>
      <c r="BE2913" s="3" t="s">
        <v>28620</v>
      </c>
      <c r="BF2913" s="3" t="s">
        <v>28619</v>
      </c>
      <c r="BG2913" s="3" t="s">
        <v>28621</v>
      </c>
    </row>
    <row r="2914" spans="1:59" ht="57" x14ac:dyDescent="0.45">
      <c r="A2914" s="2" t="s">
        <v>59</v>
      </c>
      <c r="B2914" s="2" t="s">
        <v>60</v>
      </c>
      <c r="C2914" s="2" t="s">
        <v>28622</v>
      </c>
      <c r="D2914" s="2" t="s">
        <v>28623</v>
      </c>
      <c r="E2914" s="2" t="s">
        <v>28624</v>
      </c>
      <c r="G2914" s="3" t="s">
        <v>62</v>
      </c>
      <c r="I2914" s="3" t="s">
        <v>62</v>
      </c>
      <c r="J2914" s="3" t="s">
        <v>62</v>
      </c>
      <c r="K2914" s="3" t="s">
        <v>63</v>
      </c>
      <c r="L2914" s="2" t="s">
        <v>28625</v>
      </c>
      <c r="M2914" s="2" t="s">
        <v>3668</v>
      </c>
      <c r="N2914" s="3" t="s">
        <v>894</v>
      </c>
      <c r="P2914" s="3" t="s">
        <v>65</v>
      </c>
      <c r="Q2914" s="2" t="s">
        <v>28626</v>
      </c>
      <c r="R2914" s="3" t="s">
        <v>66</v>
      </c>
      <c r="S2914" s="4">
        <v>0</v>
      </c>
      <c r="T2914" s="4">
        <v>0</v>
      </c>
      <c r="W2914" s="5" t="s">
        <v>67</v>
      </c>
      <c r="X2914" s="5" t="s">
        <v>67</v>
      </c>
      <c r="Y2914" s="4">
        <v>79</v>
      </c>
      <c r="Z2914" s="4">
        <v>9</v>
      </c>
      <c r="AA2914" s="4">
        <v>88</v>
      </c>
      <c r="AB2914" s="4">
        <v>1</v>
      </c>
      <c r="AC2914" s="4">
        <v>17</v>
      </c>
      <c r="AD2914" s="4">
        <v>37</v>
      </c>
      <c r="AE2914" s="4">
        <v>106</v>
      </c>
      <c r="AF2914" s="4">
        <v>0</v>
      </c>
      <c r="AG2914" s="4">
        <v>8</v>
      </c>
      <c r="AH2914" s="4">
        <v>36</v>
      </c>
      <c r="AI2914" s="4">
        <v>72</v>
      </c>
      <c r="AJ2914" s="4">
        <v>6</v>
      </c>
      <c r="AK2914" s="4">
        <v>20</v>
      </c>
      <c r="AL2914" s="4">
        <v>23</v>
      </c>
      <c r="AM2914" s="4">
        <v>40</v>
      </c>
      <c r="AN2914" s="4">
        <v>0</v>
      </c>
      <c r="AO2914" s="4">
        <v>0</v>
      </c>
      <c r="AP2914" s="4">
        <v>6</v>
      </c>
      <c r="AQ2914" s="4">
        <v>41</v>
      </c>
      <c r="AR2914" s="3" t="s">
        <v>62</v>
      </c>
      <c r="AS2914" s="3" t="s">
        <v>62</v>
      </c>
      <c r="AT2914" s="3" t="s">
        <v>62</v>
      </c>
      <c r="AV2914" s="6" t="str">
        <f>HYPERLINK("http://mcgill.on.worldcat.org/oclc/690585548","Catalog Record")</f>
        <v>Catalog Record</v>
      </c>
      <c r="AW2914" s="6" t="str">
        <f>HYPERLINK("http://www.worldcat.org/oclc/690585548","WorldCat Record")</f>
        <v>WorldCat Record</v>
      </c>
      <c r="AX2914" s="3" t="s">
        <v>28627</v>
      </c>
      <c r="AY2914" s="3" t="s">
        <v>28628</v>
      </c>
      <c r="AZ2914" s="3" t="s">
        <v>28629</v>
      </c>
      <c r="BA2914" s="3" t="s">
        <v>28629</v>
      </c>
      <c r="BB2914" s="3" t="s">
        <v>28630</v>
      </c>
      <c r="BC2914" s="3" t="s">
        <v>142</v>
      </c>
      <c r="BD2914" s="3" t="s">
        <v>68</v>
      </c>
      <c r="BE2914" s="3" t="s">
        <v>28631</v>
      </c>
      <c r="BF2914" s="3" t="s">
        <v>28630</v>
      </c>
      <c r="BG2914" s="3" t="s">
        <v>28632</v>
      </c>
    </row>
    <row r="2915" spans="1:59" ht="57" x14ac:dyDescent="0.45">
      <c r="A2915" s="2" t="s">
        <v>59</v>
      </c>
      <c r="B2915" s="2" t="s">
        <v>60</v>
      </c>
      <c r="C2915" s="2" t="s">
        <v>28633</v>
      </c>
      <c r="D2915" s="2" t="s">
        <v>28634</v>
      </c>
      <c r="E2915" s="2" t="s">
        <v>28635</v>
      </c>
      <c r="G2915" s="3" t="s">
        <v>62</v>
      </c>
      <c r="I2915" s="3" t="s">
        <v>62</v>
      </c>
      <c r="J2915" s="3" t="s">
        <v>62</v>
      </c>
      <c r="K2915" s="3" t="s">
        <v>63</v>
      </c>
      <c r="L2915" s="2" t="s">
        <v>28636</v>
      </c>
      <c r="M2915" s="2" t="s">
        <v>28637</v>
      </c>
      <c r="N2915" s="3" t="s">
        <v>149</v>
      </c>
      <c r="P2915" s="3" t="s">
        <v>110</v>
      </c>
      <c r="Q2915" s="2" t="s">
        <v>28638</v>
      </c>
      <c r="R2915" s="3" t="s">
        <v>66</v>
      </c>
      <c r="S2915" s="4">
        <v>0</v>
      </c>
      <c r="T2915" s="4">
        <v>0</v>
      </c>
      <c r="W2915" s="5" t="s">
        <v>67</v>
      </c>
      <c r="X2915" s="5" t="s">
        <v>67</v>
      </c>
      <c r="Y2915" s="4">
        <v>4</v>
      </c>
      <c r="Z2915" s="4">
        <v>1</v>
      </c>
      <c r="AA2915" s="4">
        <v>10</v>
      </c>
      <c r="AB2915" s="4">
        <v>1</v>
      </c>
      <c r="AC2915" s="4">
        <v>8</v>
      </c>
      <c r="AD2915" s="4">
        <v>0</v>
      </c>
      <c r="AE2915" s="4">
        <v>6</v>
      </c>
      <c r="AF2915" s="4">
        <v>0</v>
      </c>
      <c r="AG2915" s="4">
        <v>4</v>
      </c>
      <c r="AH2915" s="4">
        <v>0</v>
      </c>
      <c r="AI2915" s="4">
        <v>3</v>
      </c>
      <c r="AJ2915" s="4">
        <v>0</v>
      </c>
      <c r="AK2915" s="4">
        <v>6</v>
      </c>
      <c r="AL2915" s="4">
        <v>0</v>
      </c>
      <c r="AM2915" s="4">
        <v>0</v>
      </c>
      <c r="AN2915" s="4">
        <v>0</v>
      </c>
      <c r="AO2915" s="4">
        <v>0</v>
      </c>
      <c r="AP2915" s="4">
        <v>0</v>
      </c>
      <c r="AQ2915" s="4">
        <v>5</v>
      </c>
      <c r="AR2915" s="3" t="s">
        <v>62</v>
      </c>
      <c r="AS2915" s="3" t="s">
        <v>62</v>
      </c>
      <c r="AT2915" s="3" t="s">
        <v>62</v>
      </c>
      <c r="AV2915" s="6" t="str">
        <f>HYPERLINK("http://mcgill.on.worldcat.org/oclc/688494683","Catalog Record")</f>
        <v>Catalog Record</v>
      </c>
      <c r="AW2915" s="6" t="str">
        <f>HYPERLINK("http://www.worldcat.org/oclc/688494683","WorldCat Record")</f>
        <v>WorldCat Record</v>
      </c>
      <c r="AX2915" s="3" t="s">
        <v>28639</v>
      </c>
      <c r="AY2915" s="3" t="s">
        <v>28640</v>
      </c>
      <c r="AZ2915" s="3" t="s">
        <v>28641</v>
      </c>
      <c r="BA2915" s="3" t="s">
        <v>28641</v>
      </c>
      <c r="BB2915" s="3" t="s">
        <v>28642</v>
      </c>
      <c r="BC2915" s="3" t="s">
        <v>142</v>
      </c>
      <c r="BD2915" s="3" t="s">
        <v>68</v>
      </c>
      <c r="BE2915" s="3" t="s">
        <v>28643</v>
      </c>
      <c r="BF2915" s="3" t="s">
        <v>28642</v>
      </c>
      <c r="BG2915" s="3" t="s">
        <v>28644</v>
      </c>
    </row>
    <row r="2916" spans="1:59" ht="57" x14ac:dyDescent="0.45">
      <c r="A2916" s="2" t="s">
        <v>59</v>
      </c>
      <c r="B2916" s="2" t="s">
        <v>60</v>
      </c>
      <c r="C2916" s="2" t="s">
        <v>28645</v>
      </c>
      <c r="D2916" s="2" t="s">
        <v>28646</v>
      </c>
      <c r="E2916" s="2" t="s">
        <v>28647</v>
      </c>
      <c r="G2916" s="3" t="s">
        <v>62</v>
      </c>
      <c r="I2916" s="3" t="s">
        <v>61</v>
      </c>
      <c r="J2916" s="3" t="s">
        <v>62</v>
      </c>
      <c r="K2916" s="3" t="s">
        <v>63</v>
      </c>
      <c r="L2916" s="2" t="s">
        <v>28636</v>
      </c>
      <c r="M2916" s="2" t="s">
        <v>28648</v>
      </c>
      <c r="N2916" s="3" t="s">
        <v>1212</v>
      </c>
      <c r="O2916" s="2" t="s">
        <v>168</v>
      </c>
      <c r="P2916" s="3" t="s">
        <v>65</v>
      </c>
      <c r="R2916" s="3" t="s">
        <v>66</v>
      </c>
      <c r="S2916" s="4">
        <v>10</v>
      </c>
      <c r="T2916" s="4">
        <v>19</v>
      </c>
      <c r="U2916" s="5" t="s">
        <v>18361</v>
      </c>
      <c r="V2916" s="5" t="s">
        <v>18361</v>
      </c>
      <c r="W2916" s="5" t="s">
        <v>67</v>
      </c>
      <c r="X2916" s="5" t="s">
        <v>67</v>
      </c>
      <c r="Y2916" s="4">
        <v>727</v>
      </c>
      <c r="Z2916" s="4">
        <v>44</v>
      </c>
      <c r="AA2916" s="4">
        <v>60</v>
      </c>
      <c r="AB2916" s="4">
        <v>3</v>
      </c>
      <c r="AC2916" s="4">
        <v>7</v>
      </c>
      <c r="AD2916" s="4">
        <v>103</v>
      </c>
      <c r="AE2916" s="4">
        <v>127</v>
      </c>
      <c r="AF2916" s="4">
        <v>2</v>
      </c>
      <c r="AG2916" s="4">
        <v>3</v>
      </c>
      <c r="AH2916" s="4">
        <v>85</v>
      </c>
      <c r="AI2916" s="4">
        <v>102</v>
      </c>
      <c r="AJ2916" s="4">
        <v>17</v>
      </c>
      <c r="AK2916" s="4">
        <v>24</v>
      </c>
      <c r="AL2916" s="4">
        <v>44</v>
      </c>
      <c r="AM2916" s="4">
        <v>54</v>
      </c>
      <c r="AN2916" s="4">
        <v>0</v>
      </c>
      <c r="AO2916" s="4">
        <v>0</v>
      </c>
      <c r="AP2916" s="4">
        <v>25</v>
      </c>
      <c r="AQ2916" s="4">
        <v>34</v>
      </c>
      <c r="AR2916" s="3" t="s">
        <v>62</v>
      </c>
      <c r="AS2916" s="3" t="s">
        <v>62</v>
      </c>
      <c r="AT2916" s="3" t="s">
        <v>61</v>
      </c>
      <c r="AU2916" s="6" t="str">
        <f>HYPERLINK("http://catalog.hathitrust.org/Record/004061698","HathiTrust Record")</f>
        <v>HathiTrust Record</v>
      </c>
      <c r="AV2916" s="6" t="str">
        <f>HYPERLINK("http://mcgill.on.worldcat.org/oclc/41326537","Catalog Record")</f>
        <v>Catalog Record</v>
      </c>
      <c r="AW2916" s="6" t="str">
        <f>HYPERLINK("http://www.worldcat.org/oclc/41326537","WorldCat Record")</f>
        <v>WorldCat Record</v>
      </c>
      <c r="AX2916" s="3" t="s">
        <v>28649</v>
      </c>
      <c r="AY2916" s="3" t="s">
        <v>28650</v>
      </c>
      <c r="AZ2916" s="3" t="s">
        <v>28651</v>
      </c>
      <c r="BA2916" s="3" t="s">
        <v>28651</v>
      </c>
      <c r="BB2916" s="3" t="s">
        <v>28652</v>
      </c>
      <c r="BC2916" s="3" t="s">
        <v>142</v>
      </c>
      <c r="BD2916" s="3" t="s">
        <v>68</v>
      </c>
      <c r="BE2916" s="3" t="s">
        <v>28653</v>
      </c>
      <c r="BF2916" s="3" t="s">
        <v>28652</v>
      </c>
      <c r="BG2916" s="3" t="s">
        <v>28654</v>
      </c>
    </row>
    <row r="2917" spans="1:59" ht="57" x14ac:dyDescent="0.45">
      <c r="A2917" s="2" t="s">
        <v>59</v>
      </c>
      <c r="B2917" s="2" t="s">
        <v>60</v>
      </c>
      <c r="C2917" s="2" t="s">
        <v>28645</v>
      </c>
      <c r="D2917" s="2" t="s">
        <v>28646</v>
      </c>
      <c r="E2917" s="2" t="s">
        <v>28647</v>
      </c>
      <c r="G2917" s="3" t="s">
        <v>62</v>
      </c>
      <c r="I2917" s="3" t="s">
        <v>61</v>
      </c>
      <c r="J2917" s="3" t="s">
        <v>62</v>
      </c>
      <c r="K2917" s="3" t="s">
        <v>63</v>
      </c>
      <c r="L2917" s="2" t="s">
        <v>28636</v>
      </c>
      <c r="M2917" s="2" t="s">
        <v>28648</v>
      </c>
      <c r="N2917" s="3" t="s">
        <v>1212</v>
      </c>
      <c r="O2917" s="2" t="s">
        <v>168</v>
      </c>
      <c r="P2917" s="3" t="s">
        <v>65</v>
      </c>
      <c r="R2917" s="3" t="s">
        <v>66</v>
      </c>
      <c r="S2917" s="4">
        <v>9</v>
      </c>
      <c r="T2917" s="4">
        <v>19</v>
      </c>
      <c r="U2917" s="5" t="s">
        <v>28655</v>
      </c>
      <c r="V2917" s="5" t="s">
        <v>18361</v>
      </c>
      <c r="W2917" s="5" t="s">
        <v>67</v>
      </c>
      <c r="X2917" s="5" t="s">
        <v>67</v>
      </c>
      <c r="Y2917" s="4">
        <v>727</v>
      </c>
      <c r="Z2917" s="4">
        <v>44</v>
      </c>
      <c r="AA2917" s="4">
        <v>60</v>
      </c>
      <c r="AB2917" s="4">
        <v>3</v>
      </c>
      <c r="AC2917" s="4">
        <v>7</v>
      </c>
      <c r="AD2917" s="4">
        <v>103</v>
      </c>
      <c r="AE2917" s="4">
        <v>127</v>
      </c>
      <c r="AF2917" s="4">
        <v>2</v>
      </c>
      <c r="AG2917" s="4">
        <v>3</v>
      </c>
      <c r="AH2917" s="4">
        <v>85</v>
      </c>
      <c r="AI2917" s="4">
        <v>102</v>
      </c>
      <c r="AJ2917" s="4">
        <v>17</v>
      </c>
      <c r="AK2917" s="4">
        <v>24</v>
      </c>
      <c r="AL2917" s="4">
        <v>44</v>
      </c>
      <c r="AM2917" s="4">
        <v>54</v>
      </c>
      <c r="AN2917" s="4">
        <v>0</v>
      </c>
      <c r="AO2917" s="4">
        <v>0</v>
      </c>
      <c r="AP2917" s="4">
        <v>25</v>
      </c>
      <c r="AQ2917" s="4">
        <v>34</v>
      </c>
      <c r="AR2917" s="3" t="s">
        <v>62</v>
      </c>
      <c r="AS2917" s="3" t="s">
        <v>62</v>
      </c>
      <c r="AT2917" s="3" t="s">
        <v>61</v>
      </c>
      <c r="AU2917" s="6" t="str">
        <f>HYPERLINK("http://catalog.hathitrust.org/Record/004061698","HathiTrust Record")</f>
        <v>HathiTrust Record</v>
      </c>
      <c r="AV2917" s="6" t="str">
        <f>HYPERLINK("http://mcgill.on.worldcat.org/oclc/41326537","Catalog Record")</f>
        <v>Catalog Record</v>
      </c>
      <c r="AW2917" s="6" t="str">
        <f>HYPERLINK("http://www.worldcat.org/oclc/41326537","WorldCat Record")</f>
        <v>WorldCat Record</v>
      </c>
      <c r="AX2917" s="3" t="s">
        <v>28649</v>
      </c>
      <c r="AY2917" s="3" t="s">
        <v>28650</v>
      </c>
      <c r="AZ2917" s="3" t="s">
        <v>28651</v>
      </c>
      <c r="BA2917" s="3" t="s">
        <v>28651</v>
      </c>
      <c r="BB2917" s="3" t="s">
        <v>28656</v>
      </c>
      <c r="BC2917" s="3" t="s">
        <v>142</v>
      </c>
      <c r="BD2917" s="3" t="s">
        <v>68</v>
      </c>
      <c r="BE2917" s="3" t="s">
        <v>28653</v>
      </c>
      <c r="BF2917" s="3" t="s">
        <v>28656</v>
      </c>
      <c r="BG2917" s="3" t="s">
        <v>28657</v>
      </c>
    </row>
    <row r="2918" spans="1:59" ht="57" x14ac:dyDescent="0.45">
      <c r="A2918" s="2" t="s">
        <v>59</v>
      </c>
      <c r="B2918" s="2" t="s">
        <v>60</v>
      </c>
      <c r="C2918" s="2" t="s">
        <v>28658</v>
      </c>
      <c r="D2918" s="2" t="s">
        <v>28659</v>
      </c>
      <c r="E2918" s="2" t="s">
        <v>28660</v>
      </c>
      <c r="G2918" s="3" t="s">
        <v>62</v>
      </c>
      <c r="I2918" s="3" t="s">
        <v>61</v>
      </c>
      <c r="J2918" s="3" t="s">
        <v>62</v>
      </c>
      <c r="K2918" s="3" t="s">
        <v>63</v>
      </c>
      <c r="L2918" s="2" t="s">
        <v>28661</v>
      </c>
      <c r="M2918" s="2" t="s">
        <v>28662</v>
      </c>
      <c r="N2918" s="3" t="s">
        <v>480</v>
      </c>
      <c r="P2918" s="3" t="s">
        <v>65</v>
      </c>
      <c r="Q2918" s="2" t="s">
        <v>17618</v>
      </c>
      <c r="R2918" s="3" t="s">
        <v>66</v>
      </c>
      <c r="S2918" s="4">
        <v>63</v>
      </c>
      <c r="T2918" s="4">
        <v>110</v>
      </c>
      <c r="U2918" s="5" t="s">
        <v>28663</v>
      </c>
      <c r="V2918" s="5" t="s">
        <v>15839</v>
      </c>
      <c r="W2918" s="5" t="s">
        <v>67</v>
      </c>
      <c r="X2918" s="5" t="s">
        <v>67</v>
      </c>
      <c r="Y2918" s="4">
        <v>878</v>
      </c>
      <c r="Z2918" s="4">
        <v>52</v>
      </c>
      <c r="AA2918" s="4">
        <v>130</v>
      </c>
      <c r="AB2918" s="4">
        <v>3</v>
      </c>
      <c r="AC2918" s="4">
        <v>19</v>
      </c>
      <c r="AD2918" s="4">
        <v>137</v>
      </c>
      <c r="AE2918" s="4">
        <v>166</v>
      </c>
      <c r="AF2918" s="4">
        <v>1</v>
      </c>
      <c r="AG2918" s="4">
        <v>9</v>
      </c>
      <c r="AH2918" s="4">
        <v>107</v>
      </c>
      <c r="AI2918" s="4">
        <v>115</v>
      </c>
      <c r="AJ2918" s="4">
        <v>17</v>
      </c>
      <c r="AK2918" s="4">
        <v>28</v>
      </c>
      <c r="AL2918" s="4">
        <v>59</v>
      </c>
      <c r="AM2918" s="4">
        <v>60</v>
      </c>
      <c r="AN2918" s="4">
        <v>0</v>
      </c>
      <c r="AO2918" s="4">
        <v>0</v>
      </c>
      <c r="AP2918" s="4">
        <v>37</v>
      </c>
      <c r="AQ2918" s="4">
        <v>59</v>
      </c>
      <c r="AR2918" s="3" t="s">
        <v>62</v>
      </c>
      <c r="AS2918" s="3" t="s">
        <v>62</v>
      </c>
      <c r="AT2918" s="3" t="s">
        <v>61</v>
      </c>
      <c r="AU2918" s="6" t="str">
        <f>HYPERLINK("http://catalog.hathitrust.org/Record/007115389","HathiTrust Record")</f>
        <v>HathiTrust Record</v>
      </c>
      <c r="AV2918" s="6" t="str">
        <f>HYPERLINK("http://mcgill.on.worldcat.org/oclc/4003437","Catalog Record")</f>
        <v>Catalog Record</v>
      </c>
      <c r="AW2918" s="6" t="str">
        <f>HYPERLINK("http://www.worldcat.org/oclc/4003437","WorldCat Record")</f>
        <v>WorldCat Record</v>
      </c>
      <c r="AX2918" s="3" t="s">
        <v>28664</v>
      </c>
      <c r="AY2918" s="3" t="s">
        <v>28665</v>
      </c>
      <c r="AZ2918" s="3" t="s">
        <v>28666</v>
      </c>
      <c r="BA2918" s="3" t="s">
        <v>28666</v>
      </c>
      <c r="BB2918" s="3" t="s">
        <v>28667</v>
      </c>
      <c r="BC2918" s="3" t="s">
        <v>142</v>
      </c>
      <c r="BD2918" s="3" t="s">
        <v>68</v>
      </c>
      <c r="BE2918" s="3" t="s">
        <v>28668</v>
      </c>
      <c r="BF2918" s="3" t="s">
        <v>28667</v>
      </c>
      <c r="BG2918" s="3" t="s">
        <v>28669</v>
      </c>
    </row>
    <row r="2919" spans="1:59" ht="57" x14ac:dyDescent="0.45">
      <c r="A2919" s="2" t="s">
        <v>59</v>
      </c>
      <c r="B2919" s="2" t="s">
        <v>60</v>
      </c>
      <c r="C2919" s="2" t="s">
        <v>28658</v>
      </c>
      <c r="D2919" s="2" t="s">
        <v>28659</v>
      </c>
      <c r="E2919" s="2" t="s">
        <v>28660</v>
      </c>
      <c r="G2919" s="3" t="s">
        <v>62</v>
      </c>
      <c r="I2919" s="3" t="s">
        <v>61</v>
      </c>
      <c r="J2919" s="3" t="s">
        <v>62</v>
      </c>
      <c r="K2919" s="3" t="s">
        <v>63</v>
      </c>
      <c r="L2919" s="2" t="s">
        <v>28661</v>
      </c>
      <c r="M2919" s="2" t="s">
        <v>28662</v>
      </c>
      <c r="N2919" s="3" t="s">
        <v>480</v>
      </c>
      <c r="P2919" s="3" t="s">
        <v>65</v>
      </c>
      <c r="Q2919" s="2" t="s">
        <v>17618</v>
      </c>
      <c r="R2919" s="3" t="s">
        <v>66</v>
      </c>
      <c r="S2919" s="4">
        <v>47</v>
      </c>
      <c r="T2919" s="4">
        <v>110</v>
      </c>
      <c r="U2919" s="5" t="s">
        <v>15839</v>
      </c>
      <c r="V2919" s="5" t="s">
        <v>15839</v>
      </c>
      <c r="W2919" s="5" t="s">
        <v>67</v>
      </c>
      <c r="X2919" s="5" t="s">
        <v>67</v>
      </c>
      <c r="Y2919" s="4">
        <v>878</v>
      </c>
      <c r="Z2919" s="4">
        <v>52</v>
      </c>
      <c r="AA2919" s="4">
        <v>130</v>
      </c>
      <c r="AB2919" s="4">
        <v>3</v>
      </c>
      <c r="AC2919" s="4">
        <v>19</v>
      </c>
      <c r="AD2919" s="4">
        <v>137</v>
      </c>
      <c r="AE2919" s="4">
        <v>166</v>
      </c>
      <c r="AF2919" s="4">
        <v>1</v>
      </c>
      <c r="AG2919" s="4">
        <v>9</v>
      </c>
      <c r="AH2919" s="4">
        <v>107</v>
      </c>
      <c r="AI2919" s="4">
        <v>115</v>
      </c>
      <c r="AJ2919" s="4">
        <v>17</v>
      </c>
      <c r="AK2919" s="4">
        <v>28</v>
      </c>
      <c r="AL2919" s="4">
        <v>59</v>
      </c>
      <c r="AM2919" s="4">
        <v>60</v>
      </c>
      <c r="AN2919" s="4">
        <v>0</v>
      </c>
      <c r="AO2919" s="4">
        <v>0</v>
      </c>
      <c r="AP2919" s="4">
        <v>37</v>
      </c>
      <c r="AQ2919" s="4">
        <v>59</v>
      </c>
      <c r="AR2919" s="3" t="s">
        <v>62</v>
      </c>
      <c r="AS2919" s="3" t="s">
        <v>62</v>
      </c>
      <c r="AT2919" s="3" t="s">
        <v>61</v>
      </c>
      <c r="AU2919" s="6" t="str">
        <f>HYPERLINK("http://catalog.hathitrust.org/Record/007115389","HathiTrust Record")</f>
        <v>HathiTrust Record</v>
      </c>
      <c r="AV2919" s="6" t="str">
        <f>HYPERLINK("http://mcgill.on.worldcat.org/oclc/4003437","Catalog Record")</f>
        <v>Catalog Record</v>
      </c>
      <c r="AW2919" s="6" t="str">
        <f>HYPERLINK("http://www.worldcat.org/oclc/4003437","WorldCat Record")</f>
        <v>WorldCat Record</v>
      </c>
      <c r="AX2919" s="3" t="s">
        <v>28664</v>
      </c>
      <c r="AY2919" s="3" t="s">
        <v>28665</v>
      </c>
      <c r="AZ2919" s="3" t="s">
        <v>28666</v>
      </c>
      <c r="BA2919" s="3" t="s">
        <v>28666</v>
      </c>
      <c r="BB2919" s="3" t="s">
        <v>28670</v>
      </c>
      <c r="BC2919" s="3" t="s">
        <v>142</v>
      </c>
      <c r="BD2919" s="3" t="s">
        <v>308</v>
      </c>
      <c r="BE2919" s="3" t="s">
        <v>28668</v>
      </c>
      <c r="BF2919" s="3" t="s">
        <v>28670</v>
      </c>
      <c r="BG2919" s="3" t="s">
        <v>28671</v>
      </c>
    </row>
    <row r="2920" spans="1:59" ht="57" x14ac:dyDescent="0.45">
      <c r="A2920" s="2" t="s">
        <v>59</v>
      </c>
      <c r="B2920" s="2" t="s">
        <v>60</v>
      </c>
      <c r="C2920" s="2" t="s">
        <v>28672</v>
      </c>
      <c r="D2920" s="2" t="s">
        <v>28673</v>
      </c>
      <c r="E2920" s="2" t="s">
        <v>28674</v>
      </c>
      <c r="G2920" s="3" t="s">
        <v>62</v>
      </c>
      <c r="I2920" s="3" t="s">
        <v>62</v>
      </c>
      <c r="J2920" s="3" t="s">
        <v>62</v>
      </c>
      <c r="K2920" s="3" t="s">
        <v>63</v>
      </c>
      <c r="L2920" s="2" t="s">
        <v>28636</v>
      </c>
      <c r="M2920" s="2" t="s">
        <v>28675</v>
      </c>
      <c r="N2920" s="3" t="s">
        <v>2107</v>
      </c>
      <c r="O2920" s="2" t="s">
        <v>28676</v>
      </c>
      <c r="P2920" s="3" t="s">
        <v>182</v>
      </c>
      <c r="Q2920" s="2" t="s">
        <v>28677</v>
      </c>
      <c r="R2920" s="3" t="s">
        <v>66</v>
      </c>
      <c r="S2920" s="4">
        <v>15</v>
      </c>
      <c r="T2920" s="4">
        <v>15</v>
      </c>
      <c r="U2920" s="5" t="s">
        <v>9213</v>
      </c>
      <c r="V2920" s="5" t="s">
        <v>9213</v>
      </c>
      <c r="W2920" s="5" t="s">
        <v>67</v>
      </c>
      <c r="X2920" s="5" t="s">
        <v>67</v>
      </c>
      <c r="Y2920" s="4">
        <v>94</v>
      </c>
      <c r="Z2920" s="4">
        <v>8</v>
      </c>
      <c r="AA2920" s="4">
        <v>9</v>
      </c>
      <c r="AB2920" s="4">
        <v>1</v>
      </c>
      <c r="AC2920" s="4">
        <v>2</v>
      </c>
      <c r="AD2920" s="4">
        <v>44</v>
      </c>
      <c r="AE2920" s="4">
        <v>47</v>
      </c>
      <c r="AF2920" s="4">
        <v>0</v>
      </c>
      <c r="AG2920" s="4">
        <v>1</v>
      </c>
      <c r="AH2920" s="4">
        <v>41</v>
      </c>
      <c r="AI2920" s="4">
        <v>43</v>
      </c>
      <c r="AJ2920" s="4">
        <v>5</v>
      </c>
      <c r="AK2920" s="4">
        <v>6</v>
      </c>
      <c r="AL2920" s="4">
        <v>26</v>
      </c>
      <c r="AM2920" s="4">
        <v>27</v>
      </c>
      <c r="AN2920" s="4">
        <v>0</v>
      </c>
      <c r="AO2920" s="4">
        <v>0</v>
      </c>
      <c r="AP2920" s="4">
        <v>6</v>
      </c>
      <c r="AQ2920" s="4">
        <v>6</v>
      </c>
      <c r="AR2920" s="3" t="s">
        <v>62</v>
      </c>
      <c r="AS2920" s="3" t="s">
        <v>62</v>
      </c>
      <c r="AT2920" s="3" t="s">
        <v>61</v>
      </c>
      <c r="AU2920" s="6" t="str">
        <f>HYPERLINK("http://catalog.hathitrust.org/Record/007103442","HathiTrust Record")</f>
        <v>HathiTrust Record</v>
      </c>
      <c r="AV2920" s="6" t="str">
        <f>HYPERLINK("http://mcgill.on.worldcat.org/oclc/13004384","Catalog Record")</f>
        <v>Catalog Record</v>
      </c>
      <c r="AW2920" s="6" t="str">
        <f>HYPERLINK("http://www.worldcat.org/oclc/13004384","WorldCat Record")</f>
        <v>WorldCat Record</v>
      </c>
      <c r="AX2920" s="3" t="s">
        <v>28678</v>
      </c>
      <c r="AY2920" s="3" t="s">
        <v>28679</v>
      </c>
      <c r="AZ2920" s="3" t="s">
        <v>28680</v>
      </c>
      <c r="BA2920" s="3" t="s">
        <v>28680</v>
      </c>
      <c r="BB2920" s="3" t="s">
        <v>28681</v>
      </c>
      <c r="BC2920" s="3" t="s">
        <v>142</v>
      </c>
      <c r="BD2920" s="3" t="s">
        <v>68</v>
      </c>
      <c r="BE2920" s="3" t="s">
        <v>28682</v>
      </c>
      <c r="BF2920" s="3" t="s">
        <v>28681</v>
      </c>
      <c r="BG2920" s="3" t="s">
        <v>28683</v>
      </c>
    </row>
    <row r="2921" spans="1:59" ht="57" x14ac:dyDescent="0.45">
      <c r="A2921" s="2" t="s">
        <v>59</v>
      </c>
      <c r="B2921" s="2" t="s">
        <v>60</v>
      </c>
      <c r="C2921" s="2" t="s">
        <v>28684</v>
      </c>
      <c r="D2921" s="2" t="s">
        <v>28685</v>
      </c>
      <c r="E2921" s="2" t="s">
        <v>28686</v>
      </c>
      <c r="G2921" s="3" t="s">
        <v>62</v>
      </c>
      <c r="I2921" s="3" t="s">
        <v>61</v>
      </c>
      <c r="J2921" s="3" t="s">
        <v>62</v>
      </c>
      <c r="K2921" s="3" t="s">
        <v>63</v>
      </c>
      <c r="L2921" s="2" t="s">
        <v>28636</v>
      </c>
      <c r="M2921" s="2" t="s">
        <v>28687</v>
      </c>
      <c r="N2921" s="3" t="s">
        <v>2107</v>
      </c>
      <c r="P2921" s="3" t="s">
        <v>65</v>
      </c>
      <c r="Q2921" s="2" t="s">
        <v>17618</v>
      </c>
      <c r="R2921" s="3" t="s">
        <v>66</v>
      </c>
      <c r="S2921" s="4">
        <v>32</v>
      </c>
      <c r="T2921" s="4">
        <v>102</v>
      </c>
      <c r="U2921" s="5" t="s">
        <v>21004</v>
      </c>
      <c r="V2921" s="5" t="s">
        <v>12351</v>
      </c>
      <c r="W2921" s="5" t="s">
        <v>67</v>
      </c>
      <c r="X2921" s="5" t="s">
        <v>67</v>
      </c>
      <c r="Y2921" s="4">
        <v>894</v>
      </c>
      <c r="Z2921" s="4">
        <v>50</v>
      </c>
      <c r="AA2921" s="4">
        <v>69</v>
      </c>
      <c r="AB2921" s="4">
        <v>2</v>
      </c>
      <c r="AC2921" s="4">
        <v>10</v>
      </c>
      <c r="AD2921" s="4">
        <v>125</v>
      </c>
      <c r="AE2921" s="4">
        <v>147</v>
      </c>
      <c r="AF2921" s="4">
        <v>1</v>
      </c>
      <c r="AG2921" s="4">
        <v>6</v>
      </c>
      <c r="AH2921" s="4">
        <v>102</v>
      </c>
      <c r="AI2921" s="4">
        <v>111</v>
      </c>
      <c r="AJ2921" s="4">
        <v>21</v>
      </c>
      <c r="AK2921" s="4">
        <v>27</v>
      </c>
      <c r="AL2921" s="4">
        <v>55</v>
      </c>
      <c r="AM2921" s="4">
        <v>61</v>
      </c>
      <c r="AN2921" s="4">
        <v>0</v>
      </c>
      <c r="AO2921" s="4">
        <v>0</v>
      </c>
      <c r="AP2921" s="4">
        <v>34</v>
      </c>
      <c r="AQ2921" s="4">
        <v>45</v>
      </c>
      <c r="AR2921" s="3" t="s">
        <v>62</v>
      </c>
      <c r="AS2921" s="3" t="s">
        <v>62</v>
      </c>
      <c r="AT2921" s="3" t="s">
        <v>61</v>
      </c>
      <c r="AU2921" s="6" t="str">
        <f>HYPERLINK("http://catalog.hathitrust.org/Record/000120855","HathiTrust Record")</f>
        <v>HathiTrust Record</v>
      </c>
      <c r="AV2921" s="6" t="str">
        <f>HYPERLINK("http://mcgill.on.worldcat.org/oclc/9412976","Catalog Record")</f>
        <v>Catalog Record</v>
      </c>
      <c r="AW2921" s="6" t="str">
        <f>HYPERLINK("http://www.worldcat.org/oclc/9412976","WorldCat Record")</f>
        <v>WorldCat Record</v>
      </c>
      <c r="AX2921" s="3" t="s">
        <v>28688</v>
      </c>
      <c r="AY2921" s="3" t="s">
        <v>28689</v>
      </c>
      <c r="AZ2921" s="3" t="s">
        <v>28690</v>
      </c>
      <c r="BA2921" s="3" t="s">
        <v>28690</v>
      </c>
      <c r="BB2921" s="3" t="s">
        <v>28691</v>
      </c>
      <c r="BC2921" s="3" t="s">
        <v>142</v>
      </c>
      <c r="BD2921" s="3" t="s">
        <v>308</v>
      </c>
      <c r="BE2921" s="3" t="s">
        <v>28692</v>
      </c>
      <c r="BF2921" s="3" t="s">
        <v>28691</v>
      </c>
      <c r="BG2921" s="3" t="s">
        <v>28693</v>
      </c>
    </row>
    <row r="2922" spans="1:59" ht="57" x14ac:dyDescent="0.45">
      <c r="A2922" s="2" t="s">
        <v>59</v>
      </c>
      <c r="B2922" s="2" t="s">
        <v>60</v>
      </c>
      <c r="C2922" s="2" t="s">
        <v>28684</v>
      </c>
      <c r="D2922" s="2" t="s">
        <v>28685</v>
      </c>
      <c r="E2922" s="2" t="s">
        <v>28686</v>
      </c>
      <c r="G2922" s="3" t="s">
        <v>62</v>
      </c>
      <c r="I2922" s="3" t="s">
        <v>61</v>
      </c>
      <c r="J2922" s="3" t="s">
        <v>62</v>
      </c>
      <c r="K2922" s="3" t="s">
        <v>63</v>
      </c>
      <c r="L2922" s="2" t="s">
        <v>28636</v>
      </c>
      <c r="M2922" s="2" t="s">
        <v>28687</v>
      </c>
      <c r="N2922" s="3" t="s">
        <v>2107</v>
      </c>
      <c r="P2922" s="3" t="s">
        <v>65</v>
      </c>
      <c r="Q2922" s="2" t="s">
        <v>17618</v>
      </c>
      <c r="R2922" s="3" t="s">
        <v>66</v>
      </c>
      <c r="S2922" s="4">
        <v>32</v>
      </c>
      <c r="T2922" s="4">
        <v>102</v>
      </c>
      <c r="U2922" s="5" t="s">
        <v>10280</v>
      </c>
      <c r="V2922" s="5" t="s">
        <v>12351</v>
      </c>
      <c r="W2922" s="5" t="s">
        <v>67</v>
      </c>
      <c r="X2922" s="5" t="s">
        <v>67</v>
      </c>
      <c r="Y2922" s="4">
        <v>894</v>
      </c>
      <c r="Z2922" s="4">
        <v>50</v>
      </c>
      <c r="AA2922" s="4">
        <v>69</v>
      </c>
      <c r="AB2922" s="4">
        <v>2</v>
      </c>
      <c r="AC2922" s="4">
        <v>10</v>
      </c>
      <c r="AD2922" s="4">
        <v>125</v>
      </c>
      <c r="AE2922" s="4">
        <v>147</v>
      </c>
      <c r="AF2922" s="4">
        <v>1</v>
      </c>
      <c r="AG2922" s="4">
        <v>6</v>
      </c>
      <c r="AH2922" s="4">
        <v>102</v>
      </c>
      <c r="AI2922" s="4">
        <v>111</v>
      </c>
      <c r="AJ2922" s="4">
        <v>21</v>
      </c>
      <c r="AK2922" s="4">
        <v>27</v>
      </c>
      <c r="AL2922" s="4">
        <v>55</v>
      </c>
      <c r="AM2922" s="4">
        <v>61</v>
      </c>
      <c r="AN2922" s="4">
        <v>0</v>
      </c>
      <c r="AO2922" s="4">
        <v>0</v>
      </c>
      <c r="AP2922" s="4">
        <v>34</v>
      </c>
      <c r="AQ2922" s="4">
        <v>45</v>
      </c>
      <c r="AR2922" s="3" t="s">
        <v>62</v>
      </c>
      <c r="AS2922" s="3" t="s">
        <v>62</v>
      </c>
      <c r="AT2922" s="3" t="s">
        <v>61</v>
      </c>
      <c r="AU2922" s="6" t="str">
        <f>HYPERLINK("http://catalog.hathitrust.org/Record/000120855","HathiTrust Record")</f>
        <v>HathiTrust Record</v>
      </c>
      <c r="AV2922" s="6" t="str">
        <f>HYPERLINK("http://mcgill.on.worldcat.org/oclc/9412976","Catalog Record")</f>
        <v>Catalog Record</v>
      </c>
      <c r="AW2922" s="6" t="str">
        <f>HYPERLINK("http://www.worldcat.org/oclc/9412976","WorldCat Record")</f>
        <v>WorldCat Record</v>
      </c>
      <c r="AX2922" s="3" t="s">
        <v>28688</v>
      </c>
      <c r="AY2922" s="3" t="s">
        <v>28689</v>
      </c>
      <c r="AZ2922" s="3" t="s">
        <v>28690</v>
      </c>
      <c r="BA2922" s="3" t="s">
        <v>28690</v>
      </c>
      <c r="BB2922" s="3" t="s">
        <v>28694</v>
      </c>
      <c r="BC2922" s="3" t="s">
        <v>142</v>
      </c>
      <c r="BD2922" s="3" t="s">
        <v>68</v>
      </c>
      <c r="BE2922" s="3" t="s">
        <v>28692</v>
      </c>
      <c r="BF2922" s="3" t="s">
        <v>28694</v>
      </c>
      <c r="BG2922" s="3" t="s">
        <v>28695</v>
      </c>
    </row>
    <row r="2923" spans="1:59" ht="57" x14ac:dyDescent="0.45">
      <c r="A2923" s="2" t="s">
        <v>59</v>
      </c>
      <c r="B2923" s="2" t="s">
        <v>60</v>
      </c>
      <c r="C2923" s="2" t="s">
        <v>28684</v>
      </c>
      <c r="D2923" s="2" t="s">
        <v>28685</v>
      </c>
      <c r="E2923" s="2" t="s">
        <v>28686</v>
      </c>
      <c r="G2923" s="3" t="s">
        <v>62</v>
      </c>
      <c r="I2923" s="3" t="s">
        <v>61</v>
      </c>
      <c r="J2923" s="3" t="s">
        <v>62</v>
      </c>
      <c r="K2923" s="3" t="s">
        <v>63</v>
      </c>
      <c r="L2923" s="2" t="s">
        <v>28636</v>
      </c>
      <c r="M2923" s="2" t="s">
        <v>28687</v>
      </c>
      <c r="N2923" s="3" t="s">
        <v>2107</v>
      </c>
      <c r="P2923" s="3" t="s">
        <v>65</v>
      </c>
      <c r="Q2923" s="2" t="s">
        <v>17618</v>
      </c>
      <c r="R2923" s="3" t="s">
        <v>66</v>
      </c>
      <c r="S2923" s="4">
        <v>38</v>
      </c>
      <c r="T2923" s="4">
        <v>102</v>
      </c>
      <c r="U2923" s="5" t="s">
        <v>12351</v>
      </c>
      <c r="V2923" s="5" t="s">
        <v>12351</v>
      </c>
      <c r="W2923" s="5" t="s">
        <v>67</v>
      </c>
      <c r="X2923" s="5" t="s">
        <v>67</v>
      </c>
      <c r="Y2923" s="4">
        <v>894</v>
      </c>
      <c r="Z2923" s="4">
        <v>50</v>
      </c>
      <c r="AA2923" s="4">
        <v>69</v>
      </c>
      <c r="AB2923" s="4">
        <v>2</v>
      </c>
      <c r="AC2923" s="4">
        <v>10</v>
      </c>
      <c r="AD2923" s="4">
        <v>125</v>
      </c>
      <c r="AE2923" s="4">
        <v>147</v>
      </c>
      <c r="AF2923" s="4">
        <v>1</v>
      </c>
      <c r="AG2923" s="4">
        <v>6</v>
      </c>
      <c r="AH2923" s="4">
        <v>102</v>
      </c>
      <c r="AI2923" s="4">
        <v>111</v>
      </c>
      <c r="AJ2923" s="4">
        <v>21</v>
      </c>
      <c r="AK2923" s="4">
        <v>27</v>
      </c>
      <c r="AL2923" s="4">
        <v>55</v>
      </c>
      <c r="AM2923" s="4">
        <v>61</v>
      </c>
      <c r="AN2923" s="4">
        <v>0</v>
      </c>
      <c r="AO2923" s="4">
        <v>0</v>
      </c>
      <c r="AP2923" s="4">
        <v>34</v>
      </c>
      <c r="AQ2923" s="4">
        <v>45</v>
      </c>
      <c r="AR2923" s="3" t="s">
        <v>62</v>
      </c>
      <c r="AS2923" s="3" t="s">
        <v>62</v>
      </c>
      <c r="AT2923" s="3" t="s">
        <v>61</v>
      </c>
      <c r="AU2923" s="6" t="str">
        <f>HYPERLINK("http://catalog.hathitrust.org/Record/000120855","HathiTrust Record")</f>
        <v>HathiTrust Record</v>
      </c>
      <c r="AV2923" s="6" t="str">
        <f>HYPERLINK("http://mcgill.on.worldcat.org/oclc/9412976","Catalog Record")</f>
        <v>Catalog Record</v>
      </c>
      <c r="AW2923" s="6" t="str">
        <f>HYPERLINK("http://www.worldcat.org/oclc/9412976","WorldCat Record")</f>
        <v>WorldCat Record</v>
      </c>
      <c r="AX2923" s="3" t="s">
        <v>28688</v>
      </c>
      <c r="AY2923" s="3" t="s">
        <v>28689</v>
      </c>
      <c r="AZ2923" s="3" t="s">
        <v>28690</v>
      </c>
      <c r="BA2923" s="3" t="s">
        <v>28690</v>
      </c>
      <c r="BB2923" s="3" t="s">
        <v>28696</v>
      </c>
      <c r="BC2923" s="3" t="s">
        <v>142</v>
      </c>
      <c r="BD2923" s="3" t="s">
        <v>68</v>
      </c>
      <c r="BE2923" s="3" t="s">
        <v>28692</v>
      </c>
      <c r="BF2923" s="3" t="s">
        <v>28696</v>
      </c>
      <c r="BG2923" s="3" t="s">
        <v>28697</v>
      </c>
    </row>
    <row r="2924" spans="1:59" ht="57" x14ac:dyDescent="0.45">
      <c r="A2924" s="2" t="s">
        <v>59</v>
      </c>
      <c r="B2924" s="2" t="s">
        <v>60</v>
      </c>
      <c r="C2924" s="2" t="s">
        <v>28698</v>
      </c>
      <c r="D2924" s="2" t="s">
        <v>28699</v>
      </c>
      <c r="E2924" s="2" t="s">
        <v>28700</v>
      </c>
      <c r="G2924" s="3" t="s">
        <v>62</v>
      </c>
      <c r="I2924" s="3" t="s">
        <v>62</v>
      </c>
      <c r="J2924" s="3" t="s">
        <v>62</v>
      </c>
      <c r="K2924" s="3" t="s">
        <v>63</v>
      </c>
      <c r="L2924" s="2" t="s">
        <v>28636</v>
      </c>
      <c r="M2924" s="2" t="s">
        <v>28701</v>
      </c>
      <c r="N2924" s="3" t="s">
        <v>2417</v>
      </c>
      <c r="P2924" s="3" t="s">
        <v>110</v>
      </c>
      <c r="R2924" s="3" t="s">
        <v>66</v>
      </c>
      <c r="S2924" s="4">
        <v>34</v>
      </c>
      <c r="T2924" s="4">
        <v>34</v>
      </c>
      <c r="U2924" s="5" t="s">
        <v>28702</v>
      </c>
      <c r="V2924" s="5" t="s">
        <v>28702</v>
      </c>
      <c r="W2924" s="5" t="s">
        <v>67</v>
      </c>
      <c r="X2924" s="5" t="s">
        <v>67</v>
      </c>
      <c r="Y2924" s="4">
        <v>38</v>
      </c>
      <c r="Z2924" s="4">
        <v>11</v>
      </c>
      <c r="AA2924" s="4">
        <v>28</v>
      </c>
      <c r="AB2924" s="4">
        <v>1</v>
      </c>
      <c r="AC2924" s="4">
        <v>12</v>
      </c>
      <c r="AD2924" s="4">
        <v>11</v>
      </c>
      <c r="AE2924" s="4">
        <v>24</v>
      </c>
      <c r="AF2924" s="4">
        <v>0</v>
      </c>
      <c r="AG2924" s="4">
        <v>5</v>
      </c>
      <c r="AH2924" s="4">
        <v>8</v>
      </c>
      <c r="AI2924" s="4">
        <v>13</v>
      </c>
      <c r="AJ2924" s="4">
        <v>5</v>
      </c>
      <c r="AK2924" s="4">
        <v>14</v>
      </c>
      <c r="AL2924" s="4">
        <v>5</v>
      </c>
      <c r="AM2924" s="4">
        <v>5</v>
      </c>
      <c r="AN2924" s="4">
        <v>0</v>
      </c>
      <c r="AO2924" s="4">
        <v>0</v>
      </c>
      <c r="AP2924" s="4">
        <v>7</v>
      </c>
      <c r="AQ2924" s="4">
        <v>16</v>
      </c>
      <c r="AR2924" s="3" t="s">
        <v>62</v>
      </c>
      <c r="AS2924" s="3" t="s">
        <v>62</v>
      </c>
      <c r="AT2924" s="3" t="s">
        <v>61</v>
      </c>
      <c r="AU2924" s="6" t="str">
        <f>HYPERLINK("http://catalog.hathitrust.org/Record/001534574","HathiTrust Record")</f>
        <v>HathiTrust Record</v>
      </c>
      <c r="AV2924" s="6" t="str">
        <f>HYPERLINK("http://mcgill.on.worldcat.org/oclc/18971881","Catalog Record")</f>
        <v>Catalog Record</v>
      </c>
      <c r="AW2924" s="6" t="str">
        <f>HYPERLINK("http://www.worldcat.org/oclc/18971881","WorldCat Record")</f>
        <v>WorldCat Record</v>
      </c>
      <c r="AX2924" s="3" t="s">
        <v>28703</v>
      </c>
      <c r="AY2924" s="3" t="s">
        <v>28704</v>
      </c>
      <c r="AZ2924" s="3" t="s">
        <v>28705</v>
      </c>
      <c r="BA2924" s="3" t="s">
        <v>28705</v>
      </c>
      <c r="BB2924" s="3" t="s">
        <v>28706</v>
      </c>
      <c r="BC2924" s="3" t="s">
        <v>142</v>
      </c>
      <c r="BD2924" s="3" t="s">
        <v>68</v>
      </c>
      <c r="BE2924" s="3" t="s">
        <v>28707</v>
      </c>
      <c r="BF2924" s="3" t="s">
        <v>28706</v>
      </c>
      <c r="BG2924" s="3" t="s">
        <v>28708</v>
      </c>
    </row>
    <row r="2925" spans="1:59" ht="57" x14ac:dyDescent="0.45">
      <c r="A2925" s="2" t="s">
        <v>59</v>
      </c>
      <c r="B2925" s="2" t="s">
        <v>60</v>
      </c>
      <c r="C2925" s="2" t="s">
        <v>28709</v>
      </c>
      <c r="D2925" s="2" t="s">
        <v>28710</v>
      </c>
      <c r="E2925" s="2" t="s">
        <v>28711</v>
      </c>
      <c r="G2925" s="3" t="s">
        <v>62</v>
      </c>
      <c r="I2925" s="3" t="s">
        <v>61</v>
      </c>
      <c r="J2925" s="3" t="s">
        <v>62</v>
      </c>
      <c r="K2925" s="3" t="s">
        <v>63</v>
      </c>
      <c r="L2925" s="2" t="s">
        <v>28636</v>
      </c>
      <c r="M2925" s="2" t="s">
        <v>28712</v>
      </c>
      <c r="N2925" s="3" t="s">
        <v>1073</v>
      </c>
      <c r="P2925" s="3" t="s">
        <v>65</v>
      </c>
      <c r="Q2925" s="2" t="s">
        <v>17618</v>
      </c>
      <c r="R2925" s="3" t="s">
        <v>66</v>
      </c>
      <c r="S2925" s="4">
        <v>30</v>
      </c>
      <c r="T2925" s="4">
        <v>135</v>
      </c>
      <c r="U2925" s="5" t="s">
        <v>25292</v>
      </c>
      <c r="V2925" s="5" t="s">
        <v>28713</v>
      </c>
      <c r="W2925" s="5" t="s">
        <v>67</v>
      </c>
      <c r="X2925" s="5" t="s">
        <v>67</v>
      </c>
      <c r="Y2925" s="4">
        <v>1060</v>
      </c>
      <c r="Z2925" s="4">
        <v>56</v>
      </c>
      <c r="AA2925" s="4">
        <v>80</v>
      </c>
      <c r="AB2925" s="4">
        <v>3</v>
      </c>
      <c r="AC2925" s="4">
        <v>14</v>
      </c>
      <c r="AD2925" s="4">
        <v>136</v>
      </c>
      <c r="AE2925" s="4">
        <v>156</v>
      </c>
      <c r="AF2925" s="4">
        <v>2</v>
      </c>
      <c r="AG2925" s="4">
        <v>6</v>
      </c>
      <c r="AH2925" s="4">
        <v>104</v>
      </c>
      <c r="AI2925" s="4">
        <v>114</v>
      </c>
      <c r="AJ2925" s="4">
        <v>21</v>
      </c>
      <c r="AK2925" s="4">
        <v>28</v>
      </c>
      <c r="AL2925" s="4">
        <v>58</v>
      </c>
      <c r="AM2925" s="4">
        <v>63</v>
      </c>
      <c r="AN2925" s="4">
        <v>0</v>
      </c>
      <c r="AO2925" s="4">
        <v>5</v>
      </c>
      <c r="AP2925" s="4">
        <v>39</v>
      </c>
      <c r="AQ2925" s="4">
        <v>48</v>
      </c>
      <c r="AR2925" s="3" t="s">
        <v>62</v>
      </c>
      <c r="AS2925" s="3" t="s">
        <v>62</v>
      </c>
      <c r="AT2925" s="3" t="s">
        <v>61</v>
      </c>
      <c r="AU2925" s="6" t="str">
        <f>HYPERLINK("http://catalog.hathitrust.org/Record/000043602","HathiTrust Record")</f>
        <v>HathiTrust Record</v>
      </c>
      <c r="AV2925" s="6" t="str">
        <f>HYPERLINK("http://mcgill.on.worldcat.org/oclc/1195082","Catalog Record")</f>
        <v>Catalog Record</v>
      </c>
      <c r="AW2925" s="6" t="str">
        <f>HYPERLINK("http://www.worldcat.org/oclc/1195082","WorldCat Record")</f>
        <v>WorldCat Record</v>
      </c>
      <c r="AX2925" s="3" t="s">
        <v>28714</v>
      </c>
      <c r="AY2925" s="3" t="s">
        <v>28715</v>
      </c>
      <c r="AZ2925" s="3" t="s">
        <v>28716</v>
      </c>
      <c r="BA2925" s="3" t="s">
        <v>28716</v>
      </c>
      <c r="BB2925" s="3" t="s">
        <v>28717</v>
      </c>
      <c r="BC2925" s="3" t="s">
        <v>142</v>
      </c>
      <c r="BD2925" s="3" t="s">
        <v>68</v>
      </c>
      <c r="BE2925" s="3" t="s">
        <v>28718</v>
      </c>
      <c r="BF2925" s="3" t="s">
        <v>28717</v>
      </c>
      <c r="BG2925" s="3" t="s">
        <v>28719</v>
      </c>
    </row>
    <row r="2926" spans="1:59" ht="57" x14ac:dyDescent="0.45">
      <c r="A2926" s="2" t="s">
        <v>59</v>
      </c>
      <c r="B2926" s="2" t="s">
        <v>60</v>
      </c>
      <c r="C2926" s="2" t="s">
        <v>28709</v>
      </c>
      <c r="D2926" s="2" t="s">
        <v>28710</v>
      </c>
      <c r="E2926" s="2" t="s">
        <v>28711</v>
      </c>
      <c r="G2926" s="3" t="s">
        <v>62</v>
      </c>
      <c r="I2926" s="3" t="s">
        <v>61</v>
      </c>
      <c r="J2926" s="3" t="s">
        <v>62</v>
      </c>
      <c r="K2926" s="3" t="s">
        <v>63</v>
      </c>
      <c r="L2926" s="2" t="s">
        <v>28636</v>
      </c>
      <c r="M2926" s="2" t="s">
        <v>28712</v>
      </c>
      <c r="N2926" s="3" t="s">
        <v>1073</v>
      </c>
      <c r="P2926" s="3" t="s">
        <v>65</v>
      </c>
      <c r="Q2926" s="2" t="s">
        <v>17618</v>
      </c>
      <c r="R2926" s="3" t="s">
        <v>66</v>
      </c>
      <c r="S2926" s="4">
        <v>53</v>
      </c>
      <c r="T2926" s="4">
        <v>135</v>
      </c>
      <c r="U2926" s="5" t="s">
        <v>28713</v>
      </c>
      <c r="V2926" s="5" t="s">
        <v>28713</v>
      </c>
      <c r="W2926" s="5" t="s">
        <v>67</v>
      </c>
      <c r="X2926" s="5" t="s">
        <v>67</v>
      </c>
      <c r="Y2926" s="4">
        <v>1060</v>
      </c>
      <c r="Z2926" s="4">
        <v>56</v>
      </c>
      <c r="AA2926" s="4">
        <v>80</v>
      </c>
      <c r="AB2926" s="4">
        <v>3</v>
      </c>
      <c r="AC2926" s="4">
        <v>14</v>
      </c>
      <c r="AD2926" s="4">
        <v>136</v>
      </c>
      <c r="AE2926" s="4">
        <v>156</v>
      </c>
      <c r="AF2926" s="4">
        <v>2</v>
      </c>
      <c r="AG2926" s="4">
        <v>6</v>
      </c>
      <c r="AH2926" s="4">
        <v>104</v>
      </c>
      <c r="AI2926" s="4">
        <v>114</v>
      </c>
      <c r="AJ2926" s="4">
        <v>21</v>
      </c>
      <c r="AK2926" s="4">
        <v>28</v>
      </c>
      <c r="AL2926" s="4">
        <v>58</v>
      </c>
      <c r="AM2926" s="4">
        <v>63</v>
      </c>
      <c r="AN2926" s="4">
        <v>0</v>
      </c>
      <c r="AO2926" s="4">
        <v>5</v>
      </c>
      <c r="AP2926" s="4">
        <v>39</v>
      </c>
      <c r="AQ2926" s="4">
        <v>48</v>
      </c>
      <c r="AR2926" s="3" t="s">
        <v>62</v>
      </c>
      <c r="AS2926" s="3" t="s">
        <v>62</v>
      </c>
      <c r="AT2926" s="3" t="s">
        <v>61</v>
      </c>
      <c r="AU2926" s="6" t="str">
        <f>HYPERLINK("http://catalog.hathitrust.org/Record/000043602","HathiTrust Record")</f>
        <v>HathiTrust Record</v>
      </c>
      <c r="AV2926" s="6" t="str">
        <f>HYPERLINK("http://mcgill.on.worldcat.org/oclc/1195082","Catalog Record")</f>
        <v>Catalog Record</v>
      </c>
      <c r="AW2926" s="6" t="str">
        <f>HYPERLINK("http://www.worldcat.org/oclc/1195082","WorldCat Record")</f>
        <v>WorldCat Record</v>
      </c>
      <c r="AX2926" s="3" t="s">
        <v>28714</v>
      </c>
      <c r="AY2926" s="3" t="s">
        <v>28715</v>
      </c>
      <c r="AZ2926" s="3" t="s">
        <v>28716</v>
      </c>
      <c r="BA2926" s="3" t="s">
        <v>28716</v>
      </c>
      <c r="BB2926" s="3" t="s">
        <v>28720</v>
      </c>
      <c r="BC2926" s="3" t="s">
        <v>142</v>
      </c>
      <c r="BD2926" s="3" t="s">
        <v>68</v>
      </c>
      <c r="BE2926" s="3" t="s">
        <v>28718</v>
      </c>
      <c r="BF2926" s="3" t="s">
        <v>28720</v>
      </c>
      <c r="BG2926" s="3" t="s">
        <v>28721</v>
      </c>
    </row>
    <row r="2927" spans="1:59" ht="71.25" x14ac:dyDescent="0.45">
      <c r="A2927" s="2" t="s">
        <v>59</v>
      </c>
      <c r="B2927" s="2" t="s">
        <v>13360</v>
      </c>
      <c r="C2927" s="2" t="s">
        <v>28709</v>
      </c>
      <c r="D2927" s="2" t="s">
        <v>28710</v>
      </c>
      <c r="E2927" s="2" t="s">
        <v>28711</v>
      </c>
      <c r="G2927" s="3" t="s">
        <v>62</v>
      </c>
      <c r="I2927" s="3" t="s">
        <v>61</v>
      </c>
      <c r="J2927" s="3" t="s">
        <v>62</v>
      </c>
      <c r="K2927" s="3" t="s">
        <v>63</v>
      </c>
      <c r="L2927" s="2" t="s">
        <v>28636</v>
      </c>
      <c r="M2927" s="2" t="s">
        <v>28712</v>
      </c>
      <c r="N2927" s="3" t="s">
        <v>1073</v>
      </c>
      <c r="P2927" s="3" t="s">
        <v>65</v>
      </c>
      <c r="Q2927" s="2" t="s">
        <v>17618</v>
      </c>
      <c r="R2927" s="3" t="s">
        <v>66</v>
      </c>
      <c r="S2927" s="4">
        <v>10</v>
      </c>
      <c r="T2927" s="4">
        <v>135</v>
      </c>
      <c r="U2927" s="5" t="s">
        <v>28722</v>
      </c>
      <c r="V2927" s="5" t="s">
        <v>28713</v>
      </c>
      <c r="W2927" s="5" t="s">
        <v>67</v>
      </c>
      <c r="X2927" s="5" t="s">
        <v>67</v>
      </c>
      <c r="Y2927" s="4">
        <v>1060</v>
      </c>
      <c r="Z2927" s="4">
        <v>56</v>
      </c>
      <c r="AA2927" s="4">
        <v>80</v>
      </c>
      <c r="AB2927" s="4">
        <v>3</v>
      </c>
      <c r="AC2927" s="4">
        <v>14</v>
      </c>
      <c r="AD2927" s="4">
        <v>136</v>
      </c>
      <c r="AE2927" s="4">
        <v>156</v>
      </c>
      <c r="AF2927" s="4">
        <v>2</v>
      </c>
      <c r="AG2927" s="4">
        <v>6</v>
      </c>
      <c r="AH2927" s="4">
        <v>104</v>
      </c>
      <c r="AI2927" s="4">
        <v>114</v>
      </c>
      <c r="AJ2927" s="4">
        <v>21</v>
      </c>
      <c r="AK2927" s="4">
        <v>28</v>
      </c>
      <c r="AL2927" s="4">
        <v>58</v>
      </c>
      <c r="AM2927" s="4">
        <v>63</v>
      </c>
      <c r="AN2927" s="4">
        <v>0</v>
      </c>
      <c r="AO2927" s="4">
        <v>5</v>
      </c>
      <c r="AP2927" s="4">
        <v>39</v>
      </c>
      <c r="AQ2927" s="4">
        <v>48</v>
      </c>
      <c r="AR2927" s="3" t="s">
        <v>62</v>
      </c>
      <c r="AS2927" s="3" t="s">
        <v>62</v>
      </c>
      <c r="AT2927" s="3" t="s">
        <v>61</v>
      </c>
      <c r="AU2927" s="6" t="str">
        <f>HYPERLINK("http://catalog.hathitrust.org/Record/000043602","HathiTrust Record")</f>
        <v>HathiTrust Record</v>
      </c>
      <c r="AV2927" s="6" t="str">
        <f>HYPERLINK("http://mcgill.on.worldcat.org/oclc/1195082","Catalog Record")</f>
        <v>Catalog Record</v>
      </c>
      <c r="AW2927" s="6" t="str">
        <f>HYPERLINK("http://www.worldcat.org/oclc/1195082","WorldCat Record")</f>
        <v>WorldCat Record</v>
      </c>
      <c r="AX2927" s="3" t="s">
        <v>28714</v>
      </c>
      <c r="AY2927" s="3" t="s">
        <v>28715</v>
      </c>
      <c r="AZ2927" s="3" t="s">
        <v>28716</v>
      </c>
      <c r="BA2927" s="3" t="s">
        <v>28716</v>
      </c>
      <c r="BB2927" s="3" t="s">
        <v>28723</v>
      </c>
      <c r="BC2927" s="3" t="s">
        <v>142</v>
      </c>
      <c r="BD2927" s="3" t="s">
        <v>68</v>
      </c>
      <c r="BE2927" s="3" t="s">
        <v>28718</v>
      </c>
      <c r="BF2927" s="3" t="s">
        <v>28723</v>
      </c>
      <c r="BG2927" s="3" t="s">
        <v>28724</v>
      </c>
    </row>
    <row r="2928" spans="1:59" ht="57" x14ac:dyDescent="0.45">
      <c r="A2928" s="2" t="s">
        <v>59</v>
      </c>
      <c r="B2928" s="2" t="s">
        <v>60</v>
      </c>
      <c r="C2928" s="2" t="s">
        <v>28709</v>
      </c>
      <c r="D2928" s="2" t="s">
        <v>28710</v>
      </c>
      <c r="E2928" s="2" t="s">
        <v>28711</v>
      </c>
      <c r="G2928" s="3" t="s">
        <v>62</v>
      </c>
      <c r="I2928" s="3" t="s">
        <v>61</v>
      </c>
      <c r="J2928" s="3" t="s">
        <v>62</v>
      </c>
      <c r="K2928" s="3" t="s">
        <v>63</v>
      </c>
      <c r="L2928" s="2" t="s">
        <v>28636</v>
      </c>
      <c r="M2928" s="2" t="s">
        <v>28712</v>
      </c>
      <c r="N2928" s="3" t="s">
        <v>1073</v>
      </c>
      <c r="P2928" s="3" t="s">
        <v>65</v>
      </c>
      <c r="Q2928" s="2" t="s">
        <v>17618</v>
      </c>
      <c r="R2928" s="3" t="s">
        <v>66</v>
      </c>
      <c r="S2928" s="4">
        <v>42</v>
      </c>
      <c r="T2928" s="4">
        <v>135</v>
      </c>
      <c r="U2928" s="5" t="s">
        <v>21004</v>
      </c>
      <c r="V2928" s="5" t="s">
        <v>28713</v>
      </c>
      <c r="W2928" s="5" t="s">
        <v>67</v>
      </c>
      <c r="X2928" s="5" t="s">
        <v>67</v>
      </c>
      <c r="Y2928" s="4">
        <v>1060</v>
      </c>
      <c r="Z2928" s="4">
        <v>56</v>
      </c>
      <c r="AA2928" s="4">
        <v>80</v>
      </c>
      <c r="AB2928" s="4">
        <v>3</v>
      </c>
      <c r="AC2928" s="4">
        <v>14</v>
      </c>
      <c r="AD2928" s="4">
        <v>136</v>
      </c>
      <c r="AE2928" s="4">
        <v>156</v>
      </c>
      <c r="AF2928" s="4">
        <v>2</v>
      </c>
      <c r="AG2928" s="4">
        <v>6</v>
      </c>
      <c r="AH2928" s="4">
        <v>104</v>
      </c>
      <c r="AI2928" s="4">
        <v>114</v>
      </c>
      <c r="AJ2928" s="4">
        <v>21</v>
      </c>
      <c r="AK2928" s="4">
        <v>28</v>
      </c>
      <c r="AL2928" s="4">
        <v>58</v>
      </c>
      <c r="AM2928" s="4">
        <v>63</v>
      </c>
      <c r="AN2928" s="4">
        <v>0</v>
      </c>
      <c r="AO2928" s="4">
        <v>5</v>
      </c>
      <c r="AP2928" s="4">
        <v>39</v>
      </c>
      <c r="AQ2928" s="4">
        <v>48</v>
      </c>
      <c r="AR2928" s="3" t="s">
        <v>62</v>
      </c>
      <c r="AS2928" s="3" t="s">
        <v>62</v>
      </c>
      <c r="AT2928" s="3" t="s">
        <v>61</v>
      </c>
      <c r="AU2928" s="6" t="str">
        <f>HYPERLINK("http://catalog.hathitrust.org/Record/000043602","HathiTrust Record")</f>
        <v>HathiTrust Record</v>
      </c>
      <c r="AV2928" s="6" t="str">
        <f>HYPERLINK("http://mcgill.on.worldcat.org/oclc/1195082","Catalog Record")</f>
        <v>Catalog Record</v>
      </c>
      <c r="AW2928" s="6" t="str">
        <f>HYPERLINK("http://www.worldcat.org/oclc/1195082","WorldCat Record")</f>
        <v>WorldCat Record</v>
      </c>
      <c r="AX2928" s="3" t="s">
        <v>28714</v>
      </c>
      <c r="AY2928" s="3" t="s">
        <v>28715</v>
      </c>
      <c r="AZ2928" s="3" t="s">
        <v>28716</v>
      </c>
      <c r="BA2928" s="3" t="s">
        <v>28716</v>
      </c>
      <c r="BB2928" s="3" t="s">
        <v>28725</v>
      </c>
      <c r="BC2928" s="3" t="s">
        <v>142</v>
      </c>
      <c r="BD2928" s="3" t="s">
        <v>308</v>
      </c>
      <c r="BE2928" s="3" t="s">
        <v>28718</v>
      </c>
      <c r="BF2928" s="3" t="s">
        <v>28725</v>
      </c>
      <c r="BG2928" s="3" t="s">
        <v>28726</v>
      </c>
    </row>
    <row r="2929" spans="1:59" ht="57" x14ac:dyDescent="0.45">
      <c r="A2929" s="2" t="s">
        <v>59</v>
      </c>
      <c r="B2929" s="2" t="s">
        <v>60</v>
      </c>
      <c r="C2929" s="2" t="s">
        <v>28727</v>
      </c>
      <c r="D2929" s="2" t="s">
        <v>28728</v>
      </c>
      <c r="E2929" s="2" t="s">
        <v>28729</v>
      </c>
      <c r="G2929" s="3" t="s">
        <v>62</v>
      </c>
      <c r="I2929" s="3" t="s">
        <v>62</v>
      </c>
      <c r="J2929" s="3" t="s">
        <v>62</v>
      </c>
      <c r="K2929" s="3" t="s">
        <v>63</v>
      </c>
      <c r="L2929" s="2" t="s">
        <v>28730</v>
      </c>
      <c r="M2929" s="2" t="s">
        <v>28731</v>
      </c>
      <c r="N2929" s="3" t="s">
        <v>195</v>
      </c>
      <c r="P2929" s="3" t="s">
        <v>110</v>
      </c>
      <c r="R2929" s="3" t="s">
        <v>66</v>
      </c>
      <c r="S2929" s="4">
        <v>11</v>
      </c>
      <c r="T2929" s="4">
        <v>11</v>
      </c>
      <c r="U2929" s="5" t="s">
        <v>15498</v>
      </c>
      <c r="V2929" s="5" t="s">
        <v>15498</v>
      </c>
      <c r="W2929" s="5" t="s">
        <v>67</v>
      </c>
      <c r="X2929" s="5" t="s">
        <v>67</v>
      </c>
      <c r="Y2929" s="4">
        <v>36</v>
      </c>
      <c r="Z2929" s="4">
        <v>12</v>
      </c>
      <c r="AA2929" s="4">
        <v>32</v>
      </c>
      <c r="AB2929" s="4">
        <v>2</v>
      </c>
      <c r="AC2929" s="4">
        <v>14</v>
      </c>
      <c r="AD2929" s="4">
        <v>27</v>
      </c>
      <c r="AE2929" s="4">
        <v>47</v>
      </c>
      <c r="AF2929" s="4">
        <v>0</v>
      </c>
      <c r="AG2929" s="4">
        <v>4</v>
      </c>
      <c r="AH2929" s="4">
        <v>21</v>
      </c>
      <c r="AI2929" s="4">
        <v>34</v>
      </c>
      <c r="AJ2929" s="4">
        <v>8</v>
      </c>
      <c r="AK2929" s="4">
        <v>17</v>
      </c>
      <c r="AL2929" s="4">
        <v>8</v>
      </c>
      <c r="AM2929" s="4">
        <v>18</v>
      </c>
      <c r="AN2929" s="4">
        <v>0</v>
      </c>
      <c r="AO2929" s="4">
        <v>0</v>
      </c>
      <c r="AP2929" s="4">
        <v>10</v>
      </c>
      <c r="AQ2929" s="4">
        <v>19</v>
      </c>
      <c r="AR2929" s="3" t="s">
        <v>62</v>
      </c>
      <c r="AS2929" s="3" t="s">
        <v>62</v>
      </c>
      <c r="AT2929" s="3" t="s">
        <v>62</v>
      </c>
      <c r="AV2929" s="6" t="str">
        <f>HYPERLINK("http://mcgill.on.worldcat.org/oclc/32273060","Catalog Record")</f>
        <v>Catalog Record</v>
      </c>
      <c r="AW2929" s="6" t="str">
        <f>HYPERLINK("http://www.worldcat.org/oclc/32273060","WorldCat Record")</f>
        <v>WorldCat Record</v>
      </c>
      <c r="AX2929" s="3" t="s">
        <v>28732</v>
      </c>
      <c r="AY2929" s="3" t="s">
        <v>28733</v>
      </c>
      <c r="AZ2929" s="3" t="s">
        <v>28734</v>
      </c>
      <c r="BA2929" s="3" t="s">
        <v>28734</v>
      </c>
      <c r="BB2929" s="3" t="s">
        <v>28735</v>
      </c>
      <c r="BC2929" s="3" t="s">
        <v>142</v>
      </c>
      <c r="BD2929" s="3" t="s">
        <v>68</v>
      </c>
      <c r="BE2929" s="3" t="s">
        <v>28736</v>
      </c>
      <c r="BF2929" s="3" t="s">
        <v>28735</v>
      </c>
      <c r="BG2929" s="3" t="s">
        <v>28737</v>
      </c>
    </row>
    <row r="2930" spans="1:59" ht="57" x14ac:dyDescent="0.45">
      <c r="A2930" s="2" t="s">
        <v>59</v>
      </c>
      <c r="B2930" s="2" t="s">
        <v>60</v>
      </c>
      <c r="C2930" s="2" t="s">
        <v>28738</v>
      </c>
      <c r="D2930" s="2" t="s">
        <v>28739</v>
      </c>
      <c r="E2930" s="2" t="s">
        <v>28740</v>
      </c>
      <c r="G2930" s="3" t="s">
        <v>62</v>
      </c>
      <c r="I2930" s="3" t="s">
        <v>62</v>
      </c>
      <c r="J2930" s="3" t="s">
        <v>62</v>
      </c>
      <c r="K2930" s="3" t="s">
        <v>63</v>
      </c>
      <c r="M2930" s="2" t="s">
        <v>24375</v>
      </c>
      <c r="N2930" s="3" t="s">
        <v>625</v>
      </c>
      <c r="P2930" s="3" t="s">
        <v>65</v>
      </c>
      <c r="Q2930" s="2" t="s">
        <v>17618</v>
      </c>
      <c r="R2930" s="3" t="s">
        <v>66</v>
      </c>
      <c r="S2930" s="4">
        <v>5</v>
      </c>
      <c r="T2930" s="4">
        <v>5</v>
      </c>
      <c r="U2930" s="5" t="s">
        <v>544</v>
      </c>
      <c r="V2930" s="5" t="s">
        <v>544</v>
      </c>
      <c r="W2930" s="5" t="s">
        <v>67</v>
      </c>
      <c r="X2930" s="5" t="s">
        <v>67</v>
      </c>
      <c r="Y2930" s="4">
        <v>350</v>
      </c>
      <c r="Z2930" s="4">
        <v>24</v>
      </c>
      <c r="AA2930" s="4">
        <v>27</v>
      </c>
      <c r="AB2930" s="4">
        <v>2</v>
      </c>
      <c r="AC2930" s="4">
        <v>5</v>
      </c>
      <c r="AD2930" s="4">
        <v>113</v>
      </c>
      <c r="AE2930" s="4">
        <v>115</v>
      </c>
      <c r="AF2930" s="4">
        <v>1</v>
      </c>
      <c r="AG2930" s="4">
        <v>3</v>
      </c>
      <c r="AH2930" s="4">
        <v>104</v>
      </c>
      <c r="AI2930" s="4">
        <v>105</v>
      </c>
      <c r="AJ2930" s="4">
        <v>16</v>
      </c>
      <c r="AK2930" s="4">
        <v>18</v>
      </c>
      <c r="AL2930" s="4">
        <v>55</v>
      </c>
      <c r="AM2930" s="4">
        <v>55</v>
      </c>
      <c r="AN2930" s="4">
        <v>0</v>
      </c>
      <c r="AO2930" s="4">
        <v>0</v>
      </c>
      <c r="AP2930" s="4">
        <v>17</v>
      </c>
      <c r="AQ2930" s="4">
        <v>19</v>
      </c>
      <c r="AR2930" s="3" t="s">
        <v>62</v>
      </c>
      <c r="AS2930" s="3" t="s">
        <v>62</v>
      </c>
      <c r="AT2930" s="3" t="s">
        <v>61</v>
      </c>
      <c r="AU2930" s="6" t="str">
        <f>HYPERLINK("http://catalog.hathitrust.org/Record/000433929","HathiTrust Record")</f>
        <v>HathiTrust Record</v>
      </c>
      <c r="AV2930" s="6" t="str">
        <f>HYPERLINK("http://mcgill.on.worldcat.org/oclc/13094187","Catalog Record")</f>
        <v>Catalog Record</v>
      </c>
      <c r="AW2930" s="6" t="str">
        <f>HYPERLINK("http://www.worldcat.org/oclc/13094187","WorldCat Record")</f>
        <v>WorldCat Record</v>
      </c>
      <c r="AX2930" s="3" t="s">
        <v>28741</v>
      </c>
      <c r="AY2930" s="3" t="s">
        <v>28742</v>
      </c>
      <c r="AZ2930" s="3" t="s">
        <v>28743</v>
      </c>
      <c r="BA2930" s="3" t="s">
        <v>28743</v>
      </c>
      <c r="BB2930" s="3" t="s">
        <v>28744</v>
      </c>
      <c r="BC2930" s="3" t="s">
        <v>142</v>
      </c>
      <c r="BD2930" s="3" t="s">
        <v>68</v>
      </c>
      <c r="BE2930" s="3" t="s">
        <v>28745</v>
      </c>
      <c r="BF2930" s="3" t="s">
        <v>28744</v>
      </c>
      <c r="BG2930" s="3" t="s">
        <v>28746</v>
      </c>
    </row>
    <row r="2931" spans="1:59" ht="71.25" x14ac:dyDescent="0.45">
      <c r="A2931" s="2" t="s">
        <v>59</v>
      </c>
      <c r="B2931" s="2" t="s">
        <v>60</v>
      </c>
      <c r="C2931" s="2" t="s">
        <v>28747</v>
      </c>
      <c r="D2931" s="2" t="s">
        <v>28748</v>
      </c>
      <c r="E2931" s="2" t="s">
        <v>28749</v>
      </c>
      <c r="G2931" s="3" t="s">
        <v>62</v>
      </c>
      <c r="I2931" s="3" t="s">
        <v>62</v>
      </c>
      <c r="J2931" s="3" t="s">
        <v>62</v>
      </c>
      <c r="K2931" s="3" t="s">
        <v>63</v>
      </c>
      <c r="L2931" s="2" t="s">
        <v>28750</v>
      </c>
      <c r="M2931" s="2" t="s">
        <v>28751</v>
      </c>
      <c r="N2931" s="3" t="s">
        <v>568</v>
      </c>
      <c r="P2931" s="3" t="s">
        <v>65</v>
      </c>
      <c r="Q2931" s="2" t="s">
        <v>28752</v>
      </c>
      <c r="R2931" s="3" t="s">
        <v>66</v>
      </c>
      <c r="S2931" s="4">
        <v>34</v>
      </c>
      <c r="T2931" s="4">
        <v>34</v>
      </c>
      <c r="U2931" s="5" t="s">
        <v>7667</v>
      </c>
      <c r="V2931" s="5" t="s">
        <v>7667</v>
      </c>
      <c r="W2931" s="5" t="s">
        <v>67</v>
      </c>
      <c r="X2931" s="5" t="s">
        <v>67</v>
      </c>
      <c r="Y2931" s="4">
        <v>372</v>
      </c>
      <c r="Z2931" s="4">
        <v>29</v>
      </c>
      <c r="AA2931" s="4">
        <v>34</v>
      </c>
      <c r="AB2931" s="4">
        <v>2</v>
      </c>
      <c r="AC2931" s="4">
        <v>4</v>
      </c>
      <c r="AD2931" s="4">
        <v>110</v>
      </c>
      <c r="AE2931" s="4">
        <v>122</v>
      </c>
      <c r="AF2931" s="4">
        <v>1</v>
      </c>
      <c r="AG2931" s="4">
        <v>3</v>
      </c>
      <c r="AH2931" s="4">
        <v>92</v>
      </c>
      <c r="AI2931" s="4">
        <v>99</v>
      </c>
      <c r="AJ2931" s="4">
        <v>17</v>
      </c>
      <c r="AK2931" s="4">
        <v>21</v>
      </c>
      <c r="AL2931" s="4">
        <v>51</v>
      </c>
      <c r="AM2931" s="4">
        <v>55</v>
      </c>
      <c r="AN2931" s="4">
        <v>0</v>
      </c>
      <c r="AO2931" s="4">
        <v>0</v>
      </c>
      <c r="AP2931" s="4">
        <v>22</v>
      </c>
      <c r="AQ2931" s="4">
        <v>26</v>
      </c>
      <c r="AR2931" s="3" t="s">
        <v>62</v>
      </c>
      <c r="AS2931" s="3" t="s">
        <v>62</v>
      </c>
      <c r="AT2931" s="3" t="s">
        <v>62</v>
      </c>
      <c r="AV2931" s="6" t="str">
        <f>HYPERLINK("http://mcgill.on.worldcat.org/oclc/13669623","Catalog Record")</f>
        <v>Catalog Record</v>
      </c>
      <c r="AW2931" s="6" t="str">
        <f>HYPERLINK("http://www.worldcat.org/oclc/13669623","WorldCat Record")</f>
        <v>WorldCat Record</v>
      </c>
      <c r="AX2931" s="3" t="s">
        <v>28753</v>
      </c>
      <c r="AY2931" s="3" t="s">
        <v>28754</v>
      </c>
      <c r="AZ2931" s="3" t="s">
        <v>28755</v>
      </c>
      <c r="BA2931" s="3" t="s">
        <v>28755</v>
      </c>
      <c r="BB2931" s="3" t="s">
        <v>28756</v>
      </c>
      <c r="BC2931" s="3" t="s">
        <v>142</v>
      </c>
      <c r="BD2931" s="3" t="s">
        <v>308</v>
      </c>
      <c r="BE2931" s="3" t="s">
        <v>28757</v>
      </c>
      <c r="BF2931" s="3" t="s">
        <v>28756</v>
      </c>
      <c r="BG2931" s="3" t="s">
        <v>28758</v>
      </c>
    </row>
    <row r="2932" spans="1:59" ht="57" x14ac:dyDescent="0.45">
      <c r="A2932" s="2" t="s">
        <v>59</v>
      </c>
      <c r="B2932" s="2" t="s">
        <v>60</v>
      </c>
      <c r="C2932" s="2" t="s">
        <v>28759</v>
      </c>
      <c r="D2932" s="2" t="s">
        <v>28760</v>
      </c>
      <c r="E2932" s="2" t="s">
        <v>28761</v>
      </c>
      <c r="G2932" s="3" t="s">
        <v>62</v>
      </c>
      <c r="I2932" s="3" t="s">
        <v>62</v>
      </c>
      <c r="J2932" s="3" t="s">
        <v>62</v>
      </c>
      <c r="K2932" s="3" t="s">
        <v>63</v>
      </c>
      <c r="L2932" s="2" t="s">
        <v>28750</v>
      </c>
      <c r="M2932" s="2" t="s">
        <v>28762</v>
      </c>
      <c r="N2932" s="3" t="s">
        <v>2107</v>
      </c>
      <c r="P2932" s="3" t="s">
        <v>65</v>
      </c>
      <c r="R2932" s="3" t="s">
        <v>66</v>
      </c>
      <c r="S2932" s="4">
        <v>32</v>
      </c>
      <c r="T2932" s="4">
        <v>32</v>
      </c>
      <c r="U2932" s="5" t="s">
        <v>21004</v>
      </c>
      <c r="V2932" s="5" t="s">
        <v>21004</v>
      </c>
      <c r="W2932" s="5" t="s">
        <v>67</v>
      </c>
      <c r="X2932" s="5" t="s">
        <v>67</v>
      </c>
      <c r="Y2932" s="4">
        <v>29</v>
      </c>
      <c r="Z2932" s="4">
        <v>7</v>
      </c>
      <c r="AA2932" s="4">
        <v>26</v>
      </c>
      <c r="AB2932" s="4">
        <v>1</v>
      </c>
      <c r="AC2932" s="4">
        <v>5</v>
      </c>
      <c r="AD2932" s="4">
        <v>16</v>
      </c>
      <c r="AE2932" s="4">
        <v>115</v>
      </c>
      <c r="AF2932" s="4">
        <v>0</v>
      </c>
      <c r="AG2932" s="4">
        <v>4</v>
      </c>
      <c r="AH2932" s="4">
        <v>13</v>
      </c>
      <c r="AI2932" s="4">
        <v>105</v>
      </c>
      <c r="AJ2932" s="4">
        <v>4</v>
      </c>
      <c r="AK2932" s="4">
        <v>18</v>
      </c>
      <c r="AL2932" s="4">
        <v>10</v>
      </c>
      <c r="AM2932" s="4">
        <v>58</v>
      </c>
      <c r="AN2932" s="4">
        <v>0</v>
      </c>
      <c r="AO2932" s="4">
        <v>0</v>
      </c>
      <c r="AP2932" s="4">
        <v>4</v>
      </c>
      <c r="AQ2932" s="4">
        <v>19</v>
      </c>
      <c r="AR2932" s="3" t="s">
        <v>62</v>
      </c>
      <c r="AS2932" s="3" t="s">
        <v>62</v>
      </c>
      <c r="AT2932" s="3" t="s">
        <v>61</v>
      </c>
      <c r="AU2932" s="6" t="str">
        <f>HYPERLINK("http://catalog.hathitrust.org/Record/000240880","HathiTrust Record")</f>
        <v>HathiTrust Record</v>
      </c>
      <c r="AV2932" s="6" t="str">
        <f>HYPERLINK("http://mcgill.on.worldcat.org/oclc/123160622","Catalog Record")</f>
        <v>Catalog Record</v>
      </c>
      <c r="AW2932" s="6" t="str">
        <f>HYPERLINK("http://www.worldcat.org/oclc/123160622","WorldCat Record")</f>
        <v>WorldCat Record</v>
      </c>
      <c r="AX2932" s="3" t="s">
        <v>28763</v>
      </c>
      <c r="AY2932" s="3" t="s">
        <v>28764</v>
      </c>
      <c r="AZ2932" s="3" t="s">
        <v>28765</v>
      </c>
      <c r="BA2932" s="3" t="s">
        <v>28765</v>
      </c>
      <c r="BB2932" s="3" t="s">
        <v>28766</v>
      </c>
      <c r="BC2932" s="3" t="s">
        <v>142</v>
      </c>
      <c r="BD2932" s="3" t="s">
        <v>308</v>
      </c>
      <c r="BE2932" s="3" t="s">
        <v>28767</v>
      </c>
      <c r="BF2932" s="3" t="s">
        <v>28766</v>
      </c>
      <c r="BG2932" s="3" t="s">
        <v>28768</v>
      </c>
    </row>
    <row r="2933" spans="1:59" ht="57" x14ac:dyDescent="0.45">
      <c r="A2933" s="2" t="s">
        <v>927</v>
      </c>
      <c r="B2933" s="2" t="s">
        <v>928</v>
      </c>
      <c r="C2933" s="2" t="s">
        <v>28769</v>
      </c>
      <c r="D2933" s="2" t="s">
        <v>28770</v>
      </c>
      <c r="E2933" s="2" t="s">
        <v>28771</v>
      </c>
      <c r="G2933" s="3" t="s">
        <v>62</v>
      </c>
      <c r="I2933" s="3" t="s">
        <v>62</v>
      </c>
      <c r="J2933" s="3" t="s">
        <v>62</v>
      </c>
      <c r="K2933" s="3" t="s">
        <v>63</v>
      </c>
      <c r="L2933" s="2" t="s">
        <v>28750</v>
      </c>
      <c r="M2933" s="2" t="s">
        <v>28772</v>
      </c>
      <c r="N2933" s="3" t="s">
        <v>480</v>
      </c>
      <c r="P2933" s="3" t="s">
        <v>110</v>
      </c>
      <c r="Q2933" s="2" t="s">
        <v>28773</v>
      </c>
      <c r="R2933" s="3" t="s">
        <v>66</v>
      </c>
      <c r="S2933" s="4">
        <v>1</v>
      </c>
      <c r="T2933" s="4">
        <v>1</v>
      </c>
      <c r="U2933" s="5" t="s">
        <v>18207</v>
      </c>
      <c r="V2933" s="5" t="s">
        <v>18207</v>
      </c>
      <c r="W2933" s="5" t="s">
        <v>67</v>
      </c>
      <c r="X2933" s="5" t="s">
        <v>67</v>
      </c>
      <c r="Y2933" s="4">
        <v>153</v>
      </c>
      <c r="Z2933" s="4">
        <v>14</v>
      </c>
      <c r="AA2933" s="4">
        <v>46</v>
      </c>
      <c r="AB2933" s="4">
        <v>1</v>
      </c>
      <c r="AC2933" s="4">
        <v>16</v>
      </c>
      <c r="AD2933" s="4">
        <v>69</v>
      </c>
      <c r="AE2933" s="4">
        <v>99</v>
      </c>
      <c r="AF2933" s="4">
        <v>0</v>
      </c>
      <c r="AG2933" s="4">
        <v>5</v>
      </c>
      <c r="AH2933" s="4">
        <v>65</v>
      </c>
      <c r="AI2933" s="4">
        <v>81</v>
      </c>
      <c r="AJ2933" s="4">
        <v>9</v>
      </c>
      <c r="AK2933" s="4">
        <v>21</v>
      </c>
      <c r="AL2933" s="4">
        <v>40</v>
      </c>
      <c r="AM2933" s="4">
        <v>48</v>
      </c>
      <c r="AN2933" s="4">
        <v>0</v>
      </c>
      <c r="AO2933" s="4">
        <v>0</v>
      </c>
      <c r="AP2933" s="4">
        <v>10</v>
      </c>
      <c r="AQ2933" s="4">
        <v>28</v>
      </c>
      <c r="AR2933" s="3" t="s">
        <v>62</v>
      </c>
      <c r="AS2933" s="3" t="s">
        <v>62</v>
      </c>
      <c r="AT2933" s="3" t="s">
        <v>62</v>
      </c>
      <c r="AV2933" s="6" t="str">
        <f>HYPERLINK("http://mcgill.on.worldcat.org/oclc/6225144","Catalog Record")</f>
        <v>Catalog Record</v>
      </c>
      <c r="AW2933" s="6" t="str">
        <f>HYPERLINK("http://www.worldcat.org/oclc/6225144","WorldCat Record")</f>
        <v>WorldCat Record</v>
      </c>
      <c r="AX2933" s="3" t="s">
        <v>28774</v>
      </c>
      <c r="AY2933" s="3" t="s">
        <v>28775</v>
      </c>
      <c r="AZ2933" s="3" t="s">
        <v>28776</v>
      </c>
      <c r="BA2933" s="3" t="s">
        <v>28776</v>
      </c>
      <c r="BB2933" s="3" t="s">
        <v>28777</v>
      </c>
      <c r="BC2933" s="3" t="s">
        <v>142</v>
      </c>
      <c r="BD2933" s="3" t="s">
        <v>68</v>
      </c>
      <c r="BE2933" s="3" t="s">
        <v>28778</v>
      </c>
      <c r="BF2933" s="3" t="s">
        <v>28777</v>
      </c>
      <c r="BG2933" s="3" t="s">
        <v>28779</v>
      </c>
    </row>
    <row r="2934" spans="1:59" ht="57" x14ac:dyDescent="0.45">
      <c r="A2934" s="2" t="s">
        <v>59</v>
      </c>
      <c r="B2934" s="2" t="s">
        <v>60</v>
      </c>
      <c r="C2934" s="2" t="s">
        <v>28780</v>
      </c>
      <c r="D2934" s="2" t="s">
        <v>28781</v>
      </c>
      <c r="E2934" s="2" t="s">
        <v>28782</v>
      </c>
      <c r="G2934" s="3" t="s">
        <v>62</v>
      </c>
      <c r="I2934" s="3" t="s">
        <v>62</v>
      </c>
      <c r="J2934" s="3" t="s">
        <v>62</v>
      </c>
      <c r="K2934" s="3" t="s">
        <v>63</v>
      </c>
      <c r="L2934" s="2" t="s">
        <v>28750</v>
      </c>
      <c r="M2934" s="2" t="s">
        <v>28783</v>
      </c>
      <c r="N2934" s="3" t="s">
        <v>157</v>
      </c>
      <c r="P2934" s="3" t="s">
        <v>65</v>
      </c>
      <c r="Q2934" s="2" t="s">
        <v>17618</v>
      </c>
      <c r="R2934" s="3" t="s">
        <v>66</v>
      </c>
      <c r="S2934" s="4">
        <v>8</v>
      </c>
      <c r="T2934" s="4">
        <v>8</v>
      </c>
      <c r="U2934" s="5" t="s">
        <v>2621</v>
      </c>
      <c r="V2934" s="5" t="s">
        <v>2621</v>
      </c>
      <c r="W2934" s="5" t="s">
        <v>67</v>
      </c>
      <c r="X2934" s="5" t="s">
        <v>67</v>
      </c>
      <c r="Y2934" s="4">
        <v>502</v>
      </c>
      <c r="Z2934" s="4">
        <v>36</v>
      </c>
      <c r="AA2934" s="4">
        <v>109</v>
      </c>
      <c r="AB2934" s="4">
        <v>1</v>
      </c>
      <c r="AC2934" s="4">
        <v>18</v>
      </c>
      <c r="AD2934" s="4">
        <v>122</v>
      </c>
      <c r="AE2934" s="4">
        <v>151</v>
      </c>
      <c r="AF2934" s="4">
        <v>0</v>
      </c>
      <c r="AG2934" s="4">
        <v>8</v>
      </c>
      <c r="AH2934" s="4">
        <v>105</v>
      </c>
      <c r="AI2934" s="4">
        <v>112</v>
      </c>
      <c r="AJ2934" s="4">
        <v>22</v>
      </c>
      <c r="AK2934" s="4">
        <v>27</v>
      </c>
      <c r="AL2934" s="4">
        <v>55</v>
      </c>
      <c r="AM2934" s="4">
        <v>59</v>
      </c>
      <c r="AN2934" s="4">
        <v>0</v>
      </c>
      <c r="AO2934" s="4">
        <v>0</v>
      </c>
      <c r="AP2934" s="4">
        <v>28</v>
      </c>
      <c r="AQ2934" s="4">
        <v>49</v>
      </c>
      <c r="AR2934" s="3" t="s">
        <v>62</v>
      </c>
      <c r="AS2934" s="3" t="s">
        <v>62</v>
      </c>
      <c r="AT2934" s="3" t="s">
        <v>62</v>
      </c>
      <c r="AV2934" s="6" t="str">
        <f>HYPERLINK("http://mcgill.on.worldcat.org/oclc/7836147","Catalog Record")</f>
        <v>Catalog Record</v>
      </c>
      <c r="AW2934" s="6" t="str">
        <f>HYPERLINK("http://www.worldcat.org/oclc/7836147","WorldCat Record")</f>
        <v>WorldCat Record</v>
      </c>
      <c r="AX2934" s="3" t="s">
        <v>28784</v>
      </c>
      <c r="AY2934" s="3" t="s">
        <v>28785</v>
      </c>
      <c r="AZ2934" s="3" t="s">
        <v>28786</v>
      </c>
      <c r="BA2934" s="3" t="s">
        <v>28786</v>
      </c>
      <c r="BB2934" s="3" t="s">
        <v>28787</v>
      </c>
      <c r="BC2934" s="3" t="s">
        <v>142</v>
      </c>
      <c r="BD2934" s="3" t="s">
        <v>68</v>
      </c>
      <c r="BE2934" s="3" t="s">
        <v>28788</v>
      </c>
      <c r="BF2934" s="3" t="s">
        <v>28787</v>
      </c>
      <c r="BG2934" s="3" t="s">
        <v>28789</v>
      </c>
    </row>
    <row r="2935" spans="1:59" ht="71.25" x14ac:dyDescent="0.45">
      <c r="A2935" s="2" t="s">
        <v>59</v>
      </c>
      <c r="B2935" s="2" t="s">
        <v>60</v>
      </c>
      <c r="C2935" s="2" t="s">
        <v>28790</v>
      </c>
      <c r="D2935" s="2" t="s">
        <v>28791</v>
      </c>
      <c r="E2935" s="2" t="s">
        <v>28792</v>
      </c>
      <c r="G2935" s="3" t="s">
        <v>62</v>
      </c>
      <c r="I2935" s="3" t="s">
        <v>62</v>
      </c>
      <c r="J2935" s="3" t="s">
        <v>62</v>
      </c>
      <c r="K2935" s="3" t="s">
        <v>63</v>
      </c>
      <c r="L2935" s="2" t="s">
        <v>28750</v>
      </c>
      <c r="M2935" s="2" t="s">
        <v>28793</v>
      </c>
      <c r="N2935" s="3" t="s">
        <v>195</v>
      </c>
      <c r="P2935" s="3" t="s">
        <v>65</v>
      </c>
      <c r="R2935" s="3" t="s">
        <v>66</v>
      </c>
      <c r="S2935" s="4">
        <v>21</v>
      </c>
      <c r="T2935" s="4">
        <v>21</v>
      </c>
      <c r="U2935" s="5" t="s">
        <v>25670</v>
      </c>
      <c r="V2935" s="5" t="s">
        <v>25670</v>
      </c>
      <c r="W2935" s="5" t="s">
        <v>67</v>
      </c>
      <c r="X2935" s="5" t="s">
        <v>67</v>
      </c>
      <c r="Y2935" s="4">
        <v>272</v>
      </c>
      <c r="Z2935" s="4">
        <v>22</v>
      </c>
      <c r="AA2935" s="4">
        <v>22</v>
      </c>
      <c r="AB2935" s="4">
        <v>2</v>
      </c>
      <c r="AC2935" s="4">
        <v>2</v>
      </c>
      <c r="AD2935" s="4">
        <v>107</v>
      </c>
      <c r="AE2935" s="4">
        <v>107</v>
      </c>
      <c r="AF2935" s="4">
        <v>1</v>
      </c>
      <c r="AG2935" s="4">
        <v>1</v>
      </c>
      <c r="AH2935" s="4">
        <v>94</v>
      </c>
      <c r="AI2935" s="4">
        <v>94</v>
      </c>
      <c r="AJ2935" s="4">
        <v>14</v>
      </c>
      <c r="AK2935" s="4">
        <v>14</v>
      </c>
      <c r="AL2935" s="4">
        <v>52</v>
      </c>
      <c r="AM2935" s="4">
        <v>52</v>
      </c>
      <c r="AN2935" s="4">
        <v>0</v>
      </c>
      <c r="AO2935" s="4">
        <v>0</v>
      </c>
      <c r="AP2935" s="4">
        <v>18</v>
      </c>
      <c r="AQ2935" s="4">
        <v>18</v>
      </c>
      <c r="AR2935" s="3" t="s">
        <v>62</v>
      </c>
      <c r="AS2935" s="3" t="s">
        <v>62</v>
      </c>
      <c r="AT2935" s="3" t="s">
        <v>62</v>
      </c>
      <c r="AV2935" s="6" t="str">
        <f>HYPERLINK("http://mcgill.on.worldcat.org/oclc/25964529","Catalog Record")</f>
        <v>Catalog Record</v>
      </c>
      <c r="AW2935" s="6" t="str">
        <f>HYPERLINK("http://www.worldcat.org/oclc/25964529","WorldCat Record")</f>
        <v>WorldCat Record</v>
      </c>
      <c r="AX2935" s="3" t="s">
        <v>28794</v>
      </c>
      <c r="AY2935" s="3" t="s">
        <v>28795</v>
      </c>
      <c r="AZ2935" s="3" t="s">
        <v>28796</v>
      </c>
      <c r="BA2935" s="3" t="s">
        <v>28796</v>
      </c>
      <c r="BB2935" s="3" t="s">
        <v>28797</v>
      </c>
      <c r="BC2935" s="3" t="s">
        <v>142</v>
      </c>
      <c r="BD2935" s="3" t="s">
        <v>308</v>
      </c>
      <c r="BE2935" s="3" t="s">
        <v>28798</v>
      </c>
      <c r="BF2935" s="3" t="s">
        <v>28797</v>
      </c>
      <c r="BG2935" s="3" t="s">
        <v>28799</v>
      </c>
    </row>
    <row r="2936" spans="1:59" ht="57" x14ac:dyDescent="0.45">
      <c r="A2936" s="2" t="s">
        <v>59</v>
      </c>
      <c r="B2936" s="2" t="s">
        <v>60</v>
      </c>
      <c r="C2936" s="2" t="s">
        <v>28800</v>
      </c>
      <c r="D2936" s="2" t="s">
        <v>28801</v>
      </c>
      <c r="E2936" s="2" t="s">
        <v>28802</v>
      </c>
      <c r="G2936" s="3" t="s">
        <v>62</v>
      </c>
      <c r="I2936" s="3" t="s">
        <v>62</v>
      </c>
      <c r="J2936" s="3" t="s">
        <v>61</v>
      </c>
      <c r="K2936" s="3" t="s">
        <v>63</v>
      </c>
      <c r="L2936" s="2" t="s">
        <v>28803</v>
      </c>
      <c r="M2936" s="2" t="s">
        <v>28804</v>
      </c>
      <c r="N2936" s="3" t="s">
        <v>1155</v>
      </c>
      <c r="O2936" s="2" t="s">
        <v>933</v>
      </c>
      <c r="P2936" s="3" t="s">
        <v>65</v>
      </c>
      <c r="R2936" s="3" t="s">
        <v>66</v>
      </c>
      <c r="S2936" s="4">
        <v>4</v>
      </c>
      <c r="T2936" s="4">
        <v>4</v>
      </c>
      <c r="U2936" s="5" t="s">
        <v>17428</v>
      </c>
      <c r="V2936" s="5" t="s">
        <v>17428</v>
      </c>
      <c r="W2936" s="5" t="s">
        <v>67</v>
      </c>
      <c r="X2936" s="5" t="s">
        <v>67</v>
      </c>
      <c r="Y2936" s="4">
        <v>220</v>
      </c>
      <c r="Z2936" s="4">
        <v>25</v>
      </c>
      <c r="AA2936" s="4">
        <v>103</v>
      </c>
      <c r="AB2936" s="4">
        <v>3</v>
      </c>
      <c r="AC2936" s="4">
        <v>16</v>
      </c>
      <c r="AD2936" s="4">
        <v>42</v>
      </c>
      <c r="AE2936" s="4">
        <v>131</v>
      </c>
      <c r="AF2936" s="4">
        <v>1</v>
      </c>
      <c r="AG2936" s="4">
        <v>8</v>
      </c>
      <c r="AH2936" s="4">
        <v>33</v>
      </c>
      <c r="AI2936" s="4">
        <v>89</v>
      </c>
      <c r="AJ2936" s="4">
        <v>10</v>
      </c>
      <c r="AK2936" s="4">
        <v>25</v>
      </c>
      <c r="AL2936" s="4">
        <v>21</v>
      </c>
      <c r="AM2936" s="4">
        <v>47</v>
      </c>
      <c r="AN2936" s="4">
        <v>0</v>
      </c>
      <c r="AO2936" s="4">
        <v>0</v>
      </c>
      <c r="AP2936" s="4">
        <v>14</v>
      </c>
      <c r="AQ2936" s="4">
        <v>50</v>
      </c>
      <c r="AR2936" s="3" t="s">
        <v>62</v>
      </c>
      <c r="AS2936" s="3" t="s">
        <v>62</v>
      </c>
      <c r="AT2936" s="3" t="s">
        <v>62</v>
      </c>
      <c r="AV2936" s="6" t="str">
        <f>HYPERLINK("http://mcgill.on.worldcat.org/oclc/760291938","Catalog Record")</f>
        <v>Catalog Record</v>
      </c>
      <c r="AW2936" s="6" t="str">
        <f>HYPERLINK("http://www.worldcat.org/oclc/760291938","WorldCat Record")</f>
        <v>WorldCat Record</v>
      </c>
      <c r="AX2936" s="3" t="s">
        <v>28805</v>
      </c>
      <c r="AY2936" s="3" t="s">
        <v>28806</v>
      </c>
      <c r="AZ2936" s="3" t="s">
        <v>28807</v>
      </c>
      <c r="BA2936" s="3" t="s">
        <v>28807</v>
      </c>
      <c r="BB2936" s="3" t="s">
        <v>28808</v>
      </c>
      <c r="BC2936" s="3" t="s">
        <v>142</v>
      </c>
      <c r="BD2936" s="3" t="s">
        <v>68</v>
      </c>
      <c r="BE2936" s="3" t="s">
        <v>28809</v>
      </c>
      <c r="BF2936" s="3" t="s">
        <v>28808</v>
      </c>
      <c r="BG2936" s="3" t="s">
        <v>28810</v>
      </c>
    </row>
    <row r="2937" spans="1:59" ht="57" x14ac:dyDescent="0.45">
      <c r="A2937" s="2" t="s">
        <v>59</v>
      </c>
      <c r="B2937" s="2" t="s">
        <v>60</v>
      </c>
      <c r="C2937" s="2" t="s">
        <v>28811</v>
      </c>
      <c r="D2937" s="2" t="s">
        <v>28812</v>
      </c>
      <c r="E2937" s="2" t="s">
        <v>28813</v>
      </c>
      <c r="G2937" s="3" t="s">
        <v>62</v>
      </c>
      <c r="I2937" s="3" t="s">
        <v>62</v>
      </c>
      <c r="J2937" s="3" t="s">
        <v>62</v>
      </c>
      <c r="K2937" s="3" t="s">
        <v>63</v>
      </c>
      <c r="M2937" s="2" t="s">
        <v>28814</v>
      </c>
      <c r="N2937" s="3" t="s">
        <v>106</v>
      </c>
      <c r="P2937" s="3" t="s">
        <v>65</v>
      </c>
      <c r="Q2937" s="2" t="s">
        <v>28815</v>
      </c>
      <c r="R2937" s="3" t="s">
        <v>66</v>
      </c>
      <c r="S2937" s="4">
        <v>8</v>
      </c>
      <c r="T2937" s="4">
        <v>8</v>
      </c>
      <c r="U2937" s="5" t="s">
        <v>22202</v>
      </c>
      <c r="V2937" s="5" t="s">
        <v>22202</v>
      </c>
      <c r="W2937" s="5" t="s">
        <v>67</v>
      </c>
      <c r="X2937" s="5" t="s">
        <v>67</v>
      </c>
      <c r="Y2937" s="4">
        <v>255</v>
      </c>
      <c r="Z2937" s="4">
        <v>25</v>
      </c>
      <c r="AA2937" s="4">
        <v>98</v>
      </c>
      <c r="AB2937" s="4">
        <v>1</v>
      </c>
      <c r="AC2937" s="4">
        <v>17</v>
      </c>
      <c r="AD2937" s="4">
        <v>102</v>
      </c>
      <c r="AE2937" s="4">
        <v>135</v>
      </c>
      <c r="AF2937" s="4">
        <v>0</v>
      </c>
      <c r="AG2937" s="4">
        <v>8</v>
      </c>
      <c r="AH2937" s="4">
        <v>88</v>
      </c>
      <c r="AI2937" s="4">
        <v>97</v>
      </c>
      <c r="AJ2937" s="4">
        <v>16</v>
      </c>
      <c r="AK2937" s="4">
        <v>24</v>
      </c>
      <c r="AL2937" s="4">
        <v>49</v>
      </c>
      <c r="AM2937" s="4">
        <v>51</v>
      </c>
      <c r="AN2937" s="4">
        <v>5</v>
      </c>
      <c r="AO2937" s="4">
        <v>5</v>
      </c>
      <c r="AP2937" s="4">
        <v>22</v>
      </c>
      <c r="AQ2937" s="4">
        <v>47</v>
      </c>
      <c r="AR2937" s="3" t="s">
        <v>62</v>
      </c>
      <c r="AS2937" s="3" t="s">
        <v>62</v>
      </c>
      <c r="AT2937" s="3" t="s">
        <v>61</v>
      </c>
      <c r="AU2937" s="6" t="str">
        <f>HYPERLINK("http://catalog.hathitrust.org/Record/000243402","HathiTrust Record")</f>
        <v>HathiTrust Record</v>
      </c>
      <c r="AV2937" s="6" t="str">
        <f>HYPERLINK("http://mcgill.on.worldcat.org/oclc/9960828","Catalog Record")</f>
        <v>Catalog Record</v>
      </c>
      <c r="AW2937" s="6" t="str">
        <f>HYPERLINK("http://www.worldcat.org/oclc/9960828","WorldCat Record")</f>
        <v>WorldCat Record</v>
      </c>
      <c r="AX2937" s="3" t="s">
        <v>28816</v>
      </c>
      <c r="AY2937" s="3" t="s">
        <v>28817</v>
      </c>
      <c r="AZ2937" s="3" t="s">
        <v>28818</v>
      </c>
      <c r="BA2937" s="3" t="s">
        <v>28818</v>
      </c>
      <c r="BB2937" s="3" t="s">
        <v>28819</v>
      </c>
      <c r="BC2937" s="3" t="s">
        <v>142</v>
      </c>
      <c r="BD2937" s="3" t="s">
        <v>68</v>
      </c>
      <c r="BE2937" s="3" t="s">
        <v>28820</v>
      </c>
      <c r="BF2937" s="3" t="s">
        <v>28819</v>
      </c>
      <c r="BG2937" s="3" t="s">
        <v>28821</v>
      </c>
    </row>
    <row r="2938" spans="1:59" ht="57" x14ac:dyDescent="0.45">
      <c r="A2938" s="2" t="s">
        <v>59</v>
      </c>
      <c r="B2938" s="2" t="s">
        <v>60</v>
      </c>
      <c r="C2938" s="2" t="s">
        <v>28822</v>
      </c>
      <c r="D2938" s="2" t="s">
        <v>28823</v>
      </c>
      <c r="E2938" s="2" t="s">
        <v>28824</v>
      </c>
      <c r="G2938" s="3" t="s">
        <v>62</v>
      </c>
      <c r="I2938" s="3" t="s">
        <v>62</v>
      </c>
      <c r="J2938" s="3" t="s">
        <v>62</v>
      </c>
      <c r="K2938" s="3" t="s">
        <v>63</v>
      </c>
      <c r="L2938" s="2" t="s">
        <v>28825</v>
      </c>
      <c r="M2938" s="2" t="s">
        <v>28826</v>
      </c>
      <c r="N2938" s="3" t="s">
        <v>542</v>
      </c>
      <c r="P2938" s="3" t="s">
        <v>65</v>
      </c>
      <c r="R2938" s="3" t="s">
        <v>66</v>
      </c>
      <c r="S2938" s="4">
        <v>11</v>
      </c>
      <c r="T2938" s="4">
        <v>11</v>
      </c>
      <c r="U2938" s="5" t="s">
        <v>8270</v>
      </c>
      <c r="V2938" s="5" t="s">
        <v>8270</v>
      </c>
      <c r="W2938" s="5" t="s">
        <v>67</v>
      </c>
      <c r="X2938" s="5" t="s">
        <v>67</v>
      </c>
      <c r="Y2938" s="4">
        <v>219</v>
      </c>
      <c r="Z2938" s="4">
        <v>14</v>
      </c>
      <c r="AA2938" s="4">
        <v>15</v>
      </c>
      <c r="AB2938" s="4">
        <v>2</v>
      </c>
      <c r="AC2938" s="4">
        <v>3</v>
      </c>
      <c r="AD2938" s="4">
        <v>77</v>
      </c>
      <c r="AE2938" s="4">
        <v>78</v>
      </c>
      <c r="AF2938" s="4">
        <v>0</v>
      </c>
      <c r="AG2938" s="4">
        <v>1</v>
      </c>
      <c r="AH2938" s="4">
        <v>73</v>
      </c>
      <c r="AI2938" s="4">
        <v>74</v>
      </c>
      <c r="AJ2938" s="4">
        <v>11</v>
      </c>
      <c r="AK2938" s="4">
        <v>12</v>
      </c>
      <c r="AL2938" s="4">
        <v>43</v>
      </c>
      <c r="AM2938" s="4">
        <v>43</v>
      </c>
      <c r="AN2938" s="4">
        <v>0</v>
      </c>
      <c r="AO2938" s="4">
        <v>0</v>
      </c>
      <c r="AP2938" s="4">
        <v>11</v>
      </c>
      <c r="AQ2938" s="4">
        <v>12</v>
      </c>
      <c r="AR2938" s="3" t="s">
        <v>62</v>
      </c>
      <c r="AS2938" s="3" t="s">
        <v>62</v>
      </c>
      <c r="AT2938" s="3" t="s">
        <v>62</v>
      </c>
      <c r="AV2938" s="6" t="str">
        <f>HYPERLINK("http://mcgill.on.worldcat.org/oclc/43561678","Catalog Record")</f>
        <v>Catalog Record</v>
      </c>
      <c r="AW2938" s="6" t="str">
        <f>HYPERLINK("http://www.worldcat.org/oclc/43561678","WorldCat Record")</f>
        <v>WorldCat Record</v>
      </c>
      <c r="AX2938" s="3" t="s">
        <v>28827</v>
      </c>
      <c r="AY2938" s="3" t="s">
        <v>28828</v>
      </c>
      <c r="AZ2938" s="3" t="s">
        <v>28829</v>
      </c>
      <c r="BA2938" s="3" t="s">
        <v>28829</v>
      </c>
      <c r="BB2938" s="3" t="s">
        <v>28830</v>
      </c>
      <c r="BC2938" s="3" t="s">
        <v>142</v>
      </c>
      <c r="BD2938" s="3" t="s">
        <v>68</v>
      </c>
      <c r="BE2938" s="3" t="s">
        <v>28831</v>
      </c>
      <c r="BF2938" s="3" t="s">
        <v>28830</v>
      </c>
      <c r="BG2938" s="3" t="s">
        <v>28832</v>
      </c>
    </row>
    <row r="2939" spans="1:59" ht="57" x14ac:dyDescent="0.45">
      <c r="A2939" s="2" t="s">
        <v>59</v>
      </c>
      <c r="B2939" s="2" t="s">
        <v>60</v>
      </c>
      <c r="C2939" s="2" t="s">
        <v>28833</v>
      </c>
      <c r="D2939" s="2" t="s">
        <v>28834</v>
      </c>
      <c r="E2939" s="2" t="s">
        <v>28835</v>
      </c>
      <c r="G2939" s="3" t="s">
        <v>62</v>
      </c>
      <c r="I2939" s="3" t="s">
        <v>62</v>
      </c>
      <c r="J2939" s="3" t="s">
        <v>62</v>
      </c>
      <c r="K2939" s="3" t="s">
        <v>63</v>
      </c>
      <c r="L2939" s="2" t="s">
        <v>13204</v>
      </c>
      <c r="M2939" s="2" t="s">
        <v>4009</v>
      </c>
      <c r="N2939" s="3" t="s">
        <v>149</v>
      </c>
      <c r="P2939" s="3" t="s">
        <v>65</v>
      </c>
      <c r="R2939" s="3" t="s">
        <v>66</v>
      </c>
      <c r="S2939" s="4">
        <v>18</v>
      </c>
      <c r="T2939" s="4">
        <v>18</v>
      </c>
      <c r="U2939" s="5" t="s">
        <v>13218</v>
      </c>
      <c r="V2939" s="5" t="s">
        <v>13218</v>
      </c>
      <c r="W2939" s="5" t="s">
        <v>67</v>
      </c>
      <c r="X2939" s="5" t="s">
        <v>67</v>
      </c>
      <c r="Y2939" s="4">
        <v>295</v>
      </c>
      <c r="Z2939" s="4">
        <v>26</v>
      </c>
      <c r="AA2939" s="4">
        <v>34</v>
      </c>
      <c r="AB2939" s="4">
        <v>3</v>
      </c>
      <c r="AC2939" s="4">
        <v>8</v>
      </c>
      <c r="AD2939" s="4">
        <v>87</v>
      </c>
      <c r="AE2939" s="4">
        <v>92</v>
      </c>
      <c r="AF2939" s="4">
        <v>1</v>
      </c>
      <c r="AG2939" s="4">
        <v>3</v>
      </c>
      <c r="AH2939" s="4">
        <v>74</v>
      </c>
      <c r="AI2939" s="4">
        <v>77</v>
      </c>
      <c r="AJ2939" s="4">
        <v>16</v>
      </c>
      <c r="AK2939" s="4">
        <v>18</v>
      </c>
      <c r="AL2939" s="4">
        <v>41</v>
      </c>
      <c r="AM2939" s="4">
        <v>42</v>
      </c>
      <c r="AN2939" s="4">
        <v>0</v>
      </c>
      <c r="AO2939" s="4">
        <v>0</v>
      </c>
      <c r="AP2939" s="4">
        <v>21</v>
      </c>
      <c r="AQ2939" s="4">
        <v>22</v>
      </c>
      <c r="AR2939" s="3" t="s">
        <v>62</v>
      </c>
      <c r="AS2939" s="3" t="s">
        <v>62</v>
      </c>
      <c r="AT2939" s="3" t="s">
        <v>62</v>
      </c>
      <c r="AV2939" s="6" t="str">
        <f>HYPERLINK("http://mcgill.on.worldcat.org/oclc/318100517","Catalog Record")</f>
        <v>Catalog Record</v>
      </c>
      <c r="AW2939" s="6" t="str">
        <f>HYPERLINK("http://www.worldcat.org/oclc/318100517","WorldCat Record")</f>
        <v>WorldCat Record</v>
      </c>
      <c r="AX2939" s="3" t="s">
        <v>28836</v>
      </c>
      <c r="AY2939" s="3" t="s">
        <v>28837</v>
      </c>
      <c r="AZ2939" s="3" t="s">
        <v>28838</v>
      </c>
      <c r="BA2939" s="3" t="s">
        <v>28838</v>
      </c>
      <c r="BB2939" s="3" t="s">
        <v>28839</v>
      </c>
      <c r="BC2939" s="3" t="s">
        <v>142</v>
      </c>
      <c r="BD2939" s="3" t="s">
        <v>68</v>
      </c>
      <c r="BE2939" s="3" t="s">
        <v>28840</v>
      </c>
      <c r="BF2939" s="3" t="s">
        <v>28839</v>
      </c>
      <c r="BG2939" s="3" t="s">
        <v>28841</v>
      </c>
    </row>
    <row r="2940" spans="1:59" ht="57" x14ac:dyDescent="0.45">
      <c r="A2940" s="2" t="s">
        <v>59</v>
      </c>
      <c r="B2940" s="2" t="s">
        <v>60</v>
      </c>
      <c r="C2940" s="2" t="s">
        <v>28842</v>
      </c>
      <c r="D2940" s="2" t="s">
        <v>28843</v>
      </c>
      <c r="E2940" s="2" t="s">
        <v>28844</v>
      </c>
      <c r="G2940" s="3" t="s">
        <v>62</v>
      </c>
      <c r="H2940" s="3" t="s">
        <v>28845</v>
      </c>
      <c r="I2940" s="3" t="s">
        <v>61</v>
      </c>
      <c r="J2940" s="3" t="s">
        <v>61</v>
      </c>
      <c r="K2940" s="3" t="s">
        <v>63</v>
      </c>
      <c r="L2940" s="2" t="s">
        <v>6704</v>
      </c>
      <c r="M2940" s="2" t="s">
        <v>28846</v>
      </c>
      <c r="N2940" s="3" t="s">
        <v>625</v>
      </c>
      <c r="P2940" s="3" t="s">
        <v>65</v>
      </c>
      <c r="R2940" s="3" t="s">
        <v>66</v>
      </c>
      <c r="S2940" s="4">
        <v>0</v>
      </c>
      <c r="T2940" s="4">
        <v>96</v>
      </c>
      <c r="V2940" s="5" t="s">
        <v>28847</v>
      </c>
      <c r="W2940" s="5" t="s">
        <v>6809</v>
      </c>
      <c r="X2940" s="5" t="s">
        <v>6809</v>
      </c>
      <c r="Y2940" s="4">
        <v>775</v>
      </c>
      <c r="Z2940" s="4">
        <v>58</v>
      </c>
      <c r="AA2940" s="4">
        <v>68</v>
      </c>
      <c r="AB2940" s="4">
        <v>3</v>
      </c>
      <c r="AC2940" s="4">
        <v>7</v>
      </c>
      <c r="AD2940" s="4">
        <v>126</v>
      </c>
      <c r="AE2940" s="4">
        <v>145</v>
      </c>
      <c r="AF2940" s="4">
        <v>2</v>
      </c>
      <c r="AG2940" s="4">
        <v>5</v>
      </c>
      <c r="AH2940" s="4">
        <v>96</v>
      </c>
      <c r="AI2940" s="4">
        <v>111</v>
      </c>
      <c r="AJ2940" s="4">
        <v>15</v>
      </c>
      <c r="AK2940" s="4">
        <v>21</v>
      </c>
      <c r="AL2940" s="4">
        <v>52</v>
      </c>
      <c r="AM2940" s="4">
        <v>59</v>
      </c>
      <c r="AN2940" s="4">
        <v>0</v>
      </c>
      <c r="AO2940" s="4">
        <v>0</v>
      </c>
      <c r="AP2940" s="4">
        <v>35</v>
      </c>
      <c r="AQ2940" s="4">
        <v>41</v>
      </c>
      <c r="AR2940" s="3" t="s">
        <v>62</v>
      </c>
      <c r="AS2940" s="3" t="s">
        <v>62</v>
      </c>
      <c r="AT2940" s="3" t="s">
        <v>62</v>
      </c>
      <c r="AV2940" s="6" t="str">
        <f>HYPERLINK("http://mcgill.on.worldcat.org/oclc/13559620","Catalog Record")</f>
        <v>Catalog Record</v>
      </c>
      <c r="AW2940" s="6" t="str">
        <f>HYPERLINK("http://www.worldcat.org/oclc/13559620","WorldCat Record")</f>
        <v>WorldCat Record</v>
      </c>
      <c r="AX2940" s="3" t="s">
        <v>28848</v>
      </c>
      <c r="AY2940" s="3" t="s">
        <v>28849</v>
      </c>
      <c r="AZ2940" s="3" t="s">
        <v>28850</v>
      </c>
      <c r="BA2940" s="3" t="s">
        <v>28850</v>
      </c>
      <c r="BB2940" s="3" t="s">
        <v>28851</v>
      </c>
      <c r="BC2940" s="3" t="s">
        <v>142</v>
      </c>
      <c r="BD2940" s="3" t="s">
        <v>68</v>
      </c>
      <c r="BE2940" s="3" t="s">
        <v>28852</v>
      </c>
      <c r="BF2940" s="3" t="s">
        <v>28851</v>
      </c>
      <c r="BG2940" s="3" t="s">
        <v>28853</v>
      </c>
    </row>
    <row r="2941" spans="1:59" ht="57" x14ac:dyDescent="0.45">
      <c r="A2941" s="2" t="s">
        <v>59</v>
      </c>
      <c r="B2941" s="2" t="s">
        <v>60</v>
      </c>
      <c r="C2941" s="2" t="s">
        <v>28842</v>
      </c>
      <c r="D2941" s="2" t="s">
        <v>28843</v>
      </c>
      <c r="E2941" s="2" t="s">
        <v>28844</v>
      </c>
      <c r="G2941" s="3" t="s">
        <v>62</v>
      </c>
      <c r="I2941" s="3" t="s">
        <v>61</v>
      </c>
      <c r="J2941" s="3" t="s">
        <v>61</v>
      </c>
      <c r="K2941" s="3" t="s">
        <v>63</v>
      </c>
      <c r="L2941" s="2" t="s">
        <v>6704</v>
      </c>
      <c r="M2941" s="2" t="s">
        <v>28846</v>
      </c>
      <c r="N2941" s="3" t="s">
        <v>625</v>
      </c>
      <c r="P2941" s="3" t="s">
        <v>65</v>
      </c>
      <c r="R2941" s="3" t="s">
        <v>66</v>
      </c>
      <c r="S2941" s="4">
        <v>95</v>
      </c>
      <c r="T2941" s="4">
        <v>96</v>
      </c>
      <c r="U2941" s="5" t="s">
        <v>28854</v>
      </c>
      <c r="V2941" s="5" t="s">
        <v>28847</v>
      </c>
      <c r="W2941" s="5" t="s">
        <v>67</v>
      </c>
      <c r="X2941" s="5" t="s">
        <v>6809</v>
      </c>
      <c r="Y2941" s="4">
        <v>775</v>
      </c>
      <c r="Z2941" s="4">
        <v>58</v>
      </c>
      <c r="AA2941" s="4">
        <v>68</v>
      </c>
      <c r="AB2941" s="4">
        <v>3</v>
      </c>
      <c r="AC2941" s="4">
        <v>7</v>
      </c>
      <c r="AD2941" s="4">
        <v>126</v>
      </c>
      <c r="AE2941" s="4">
        <v>145</v>
      </c>
      <c r="AF2941" s="4">
        <v>2</v>
      </c>
      <c r="AG2941" s="4">
        <v>5</v>
      </c>
      <c r="AH2941" s="4">
        <v>96</v>
      </c>
      <c r="AI2941" s="4">
        <v>111</v>
      </c>
      <c r="AJ2941" s="4">
        <v>15</v>
      </c>
      <c r="AK2941" s="4">
        <v>21</v>
      </c>
      <c r="AL2941" s="4">
        <v>52</v>
      </c>
      <c r="AM2941" s="4">
        <v>59</v>
      </c>
      <c r="AN2941" s="4">
        <v>0</v>
      </c>
      <c r="AO2941" s="4">
        <v>0</v>
      </c>
      <c r="AP2941" s="4">
        <v>35</v>
      </c>
      <c r="AQ2941" s="4">
        <v>41</v>
      </c>
      <c r="AR2941" s="3" t="s">
        <v>62</v>
      </c>
      <c r="AS2941" s="3" t="s">
        <v>62</v>
      </c>
      <c r="AT2941" s="3" t="s">
        <v>62</v>
      </c>
      <c r="AV2941" s="6" t="str">
        <f>HYPERLINK("http://mcgill.on.worldcat.org/oclc/13559620","Catalog Record")</f>
        <v>Catalog Record</v>
      </c>
      <c r="AW2941" s="6" t="str">
        <f>HYPERLINK("http://www.worldcat.org/oclc/13559620","WorldCat Record")</f>
        <v>WorldCat Record</v>
      </c>
      <c r="AX2941" s="3" t="s">
        <v>28848</v>
      </c>
      <c r="AY2941" s="3" t="s">
        <v>28849</v>
      </c>
      <c r="AZ2941" s="3" t="s">
        <v>28850</v>
      </c>
      <c r="BA2941" s="3" t="s">
        <v>28850</v>
      </c>
      <c r="BB2941" s="3" t="s">
        <v>28855</v>
      </c>
      <c r="BC2941" s="3" t="s">
        <v>142</v>
      </c>
      <c r="BD2941" s="3" t="s">
        <v>68</v>
      </c>
      <c r="BE2941" s="3" t="s">
        <v>28852</v>
      </c>
      <c r="BF2941" s="3" t="s">
        <v>28855</v>
      </c>
      <c r="BG2941" s="3" t="s">
        <v>28856</v>
      </c>
    </row>
    <row r="2942" spans="1:59" ht="57" x14ac:dyDescent="0.45">
      <c r="A2942" s="2" t="s">
        <v>59</v>
      </c>
      <c r="B2942" s="2" t="s">
        <v>60</v>
      </c>
      <c r="C2942" s="2" t="s">
        <v>28842</v>
      </c>
      <c r="D2942" s="2" t="s">
        <v>28843</v>
      </c>
      <c r="E2942" s="2" t="s">
        <v>28844</v>
      </c>
      <c r="G2942" s="3" t="s">
        <v>62</v>
      </c>
      <c r="H2942" s="3" t="s">
        <v>3960</v>
      </c>
      <c r="I2942" s="3" t="s">
        <v>61</v>
      </c>
      <c r="J2942" s="3" t="s">
        <v>61</v>
      </c>
      <c r="K2942" s="3" t="s">
        <v>63</v>
      </c>
      <c r="L2942" s="2" t="s">
        <v>6704</v>
      </c>
      <c r="M2942" s="2" t="s">
        <v>28846</v>
      </c>
      <c r="N2942" s="3" t="s">
        <v>625</v>
      </c>
      <c r="P2942" s="3" t="s">
        <v>65</v>
      </c>
      <c r="R2942" s="3" t="s">
        <v>66</v>
      </c>
      <c r="S2942" s="4">
        <v>0</v>
      </c>
      <c r="T2942" s="4">
        <v>96</v>
      </c>
      <c r="V2942" s="5" t="s">
        <v>28847</v>
      </c>
      <c r="W2942" s="5" t="s">
        <v>6809</v>
      </c>
      <c r="X2942" s="5" t="s">
        <v>6809</v>
      </c>
      <c r="Y2942" s="4">
        <v>775</v>
      </c>
      <c r="Z2942" s="4">
        <v>58</v>
      </c>
      <c r="AA2942" s="4">
        <v>68</v>
      </c>
      <c r="AB2942" s="4">
        <v>3</v>
      </c>
      <c r="AC2942" s="4">
        <v>7</v>
      </c>
      <c r="AD2942" s="4">
        <v>126</v>
      </c>
      <c r="AE2942" s="4">
        <v>145</v>
      </c>
      <c r="AF2942" s="4">
        <v>2</v>
      </c>
      <c r="AG2942" s="4">
        <v>5</v>
      </c>
      <c r="AH2942" s="4">
        <v>96</v>
      </c>
      <c r="AI2942" s="4">
        <v>111</v>
      </c>
      <c r="AJ2942" s="4">
        <v>15</v>
      </c>
      <c r="AK2942" s="4">
        <v>21</v>
      </c>
      <c r="AL2942" s="4">
        <v>52</v>
      </c>
      <c r="AM2942" s="4">
        <v>59</v>
      </c>
      <c r="AN2942" s="4">
        <v>0</v>
      </c>
      <c r="AO2942" s="4">
        <v>0</v>
      </c>
      <c r="AP2942" s="4">
        <v>35</v>
      </c>
      <c r="AQ2942" s="4">
        <v>41</v>
      </c>
      <c r="AR2942" s="3" t="s">
        <v>62</v>
      </c>
      <c r="AS2942" s="3" t="s">
        <v>62</v>
      </c>
      <c r="AT2942" s="3" t="s">
        <v>62</v>
      </c>
      <c r="AV2942" s="6" t="str">
        <f>HYPERLINK("http://mcgill.on.worldcat.org/oclc/13559620","Catalog Record")</f>
        <v>Catalog Record</v>
      </c>
      <c r="AW2942" s="6" t="str">
        <f>HYPERLINK("http://www.worldcat.org/oclc/13559620","WorldCat Record")</f>
        <v>WorldCat Record</v>
      </c>
      <c r="AX2942" s="3" t="s">
        <v>28848</v>
      </c>
      <c r="AY2942" s="3" t="s">
        <v>28849</v>
      </c>
      <c r="AZ2942" s="3" t="s">
        <v>28850</v>
      </c>
      <c r="BA2942" s="3" t="s">
        <v>28850</v>
      </c>
      <c r="BB2942" s="3" t="s">
        <v>28857</v>
      </c>
      <c r="BC2942" s="3" t="s">
        <v>142</v>
      </c>
      <c r="BD2942" s="3" t="s">
        <v>68</v>
      </c>
      <c r="BE2942" s="3" t="s">
        <v>28852</v>
      </c>
      <c r="BF2942" s="3" t="s">
        <v>28857</v>
      </c>
      <c r="BG2942" s="3" t="s">
        <v>28858</v>
      </c>
    </row>
    <row r="2943" spans="1:59" ht="57" x14ac:dyDescent="0.45">
      <c r="A2943" s="2" t="s">
        <v>59</v>
      </c>
      <c r="B2943" s="2" t="s">
        <v>60</v>
      </c>
      <c r="C2943" s="2" t="s">
        <v>28842</v>
      </c>
      <c r="D2943" s="2" t="s">
        <v>28843</v>
      </c>
      <c r="E2943" s="2" t="s">
        <v>28844</v>
      </c>
      <c r="G2943" s="3" t="s">
        <v>62</v>
      </c>
      <c r="H2943" s="3" t="s">
        <v>28859</v>
      </c>
      <c r="I2943" s="3" t="s">
        <v>61</v>
      </c>
      <c r="J2943" s="3" t="s">
        <v>61</v>
      </c>
      <c r="K2943" s="3" t="s">
        <v>63</v>
      </c>
      <c r="L2943" s="2" t="s">
        <v>6704</v>
      </c>
      <c r="M2943" s="2" t="s">
        <v>28846</v>
      </c>
      <c r="N2943" s="3" t="s">
        <v>625</v>
      </c>
      <c r="P2943" s="3" t="s">
        <v>65</v>
      </c>
      <c r="R2943" s="3" t="s">
        <v>66</v>
      </c>
      <c r="S2943" s="4">
        <v>1</v>
      </c>
      <c r="T2943" s="4">
        <v>96</v>
      </c>
      <c r="U2943" s="5" t="s">
        <v>28847</v>
      </c>
      <c r="V2943" s="5" t="s">
        <v>28847</v>
      </c>
      <c r="W2943" s="5" t="s">
        <v>6809</v>
      </c>
      <c r="X2943" s="5" t="s">
        <v>6809</v>
      </c>
      <c r="Y2943" s="4">
        <v>775</v>
      </c>
      <c r="Z2943" s="4">
        <v>58</v>
      </c>
      <c r="AA2943" s="4">
        <v>68</v>
      </c>
      <c r="AB2943" s="4">
        <v>3</v>
      </c>
      <c r="AC2943" s="4">
        <v>7</v>
      </c>
      <c r="AD2943" s="4">
        <v>126</v>
      </c>
      <c r="AE2943" s="4">
        <v>145</v>
      </c>
      <c r="AF2943" s="4">
        <v>2</v>
      </c>
      <c r="AG2943" s="4">
        <v>5</v>
      </c>
      <c r="AH2943" s="4">
        <v>96</v>
      </c>
      <c r="AI2943" s="4">
        <v>111</v>
      </c>
      <c r="AJ2943" s="4">
        <v>15</v>
      </c>
      <c r="AK2943" s="4">
        <v>21</v>
      </c>
      <c r="AL2943" s="4">
        <v>52</v>
      </c>
      <c r="AM2943" s="4">
        <v>59</v>
      </c>
      <c r="AN2943" s="4">
        <v>0</v>
      </c>
      <c r="AO2943" s="4">
        <v>0</v>
      </c>
      <c r="AP2943" s="4">
        <v>35</v>
      </c>
      <c r="AQ2943" s="4">
        <v>41</v>
      </c>
      <c r="AR2943" s="3" t="s">
        <v>62</v>
      </c>
      <c r="AS2943" s="3" t="s">
        <v>62</v>
      </c>
      <c r="AT2943" s="3" t="s">
        <v>62</v>
      </c>
      <c r="AV2943" s="6" t="str">
        <f>HYPERLINK("http://mcgill.on.worldcat.org/oclc/13559620","Catalog Record")</f>
        <v>Catalog Record</v>
      </c>
      <c r="AW2943" s="6" t="str">
        <f>HYPERLINK("http://www.worldcat.org/oclc/13559620","WorldCat Record")</f>
        <v>WorldCat Record</v>
      </c>
      <c r="AX2943" s="3" t="s">
        <v>28848</v>
      </c>
      <c r="AY2943" s="3" t="s">
        <v>28849</v>
      </c>
      <c r="AZ2943" s="3" t="s">
        <v>28850</v>
      </c>
      <c r="BA2943" s="3" t="s">
        <v>28850</v>
      </c>
      <c r="BB2943" s="3" t="s">
        <v>28860</v>
      </c>
      <c r="BC2943" s="3" t="s">
        <v>142</v>
      </c>
      <c r="BD2943" s="3" t="s">
        <v>68</v>
      </c>
      <c r="BE2943" s="3" t="s">
        <v>28852</v>
      </c>
      <c r="BF2943" s="3" t="s">
        <v>28860</v>
      </c>
      <c r="BG2943" s="3" t="s">
        <v>28861</v>
      </c>
    </row>
    <row r="2944" spans="1:59" ht="57" x14ac:dyDescent="0.45">
      <c r="A2944" s="2" t="s">
        <v>59</v>
      </c>
      <c r="B2944" s="2" t="s">
        <v>60</v>
      </c>
      <c r="C2944" s="2" t="s">
        <v>28862</v>
      </c>
      <c r="D2944" s="2" t="s">
        <v>28863</v>
      </c>
      <c r="E2944" s="2" t="s">
        <v>28844</v>
      </c>
      <c r="G2944" s="3" t="s">
        <v>62</v>
      </c>
      <c r="I2944" s="3" t="s">
        <v>61</v>
      </c>
      <c r="J2944" s="3" t="s">
        <v>61</v>
      </c>
      <c r="K2944" s="3" t="s">
        <v>63</v>
      </c>
      <c r="L2944" s="2" t="s">
        <v>6704</v>
      </c>
      <c r="M2944" s="2" t="s">
        <v>28864</v>
      </c>
      <c r="N2944" s="3" t="s">
        <v>625</v>
      </c>
      <c r="P2944" s="3" t="s">
        <v>65</v>
      </c>
      <c r="R2944" s="3" t="s">
        <v>66</v>
      </c>
      <c r="S2944" s="4">
        <v>100</v>
      </c>
      <c r="T2944" s="4">
        <v>100</v>
      </c>
      <c r="U2944" s="5" t="s">
        <v>28865</v>
      </c>
      <c r="V2944" s="5" t="s">
        <v>28865</v>
      </c>
      <c r="W2944" s="5" t="s">
        <v>67</v>
      </c>
      <c r="X2944" s="5" t="s">
        <v>67</v>
      </c>
      <c r="Y2944" s="4">
        <v>247</v>
      </c>
      <c r="Z2944" s="4">
        <v>12</v>
      </c>
      <c r="AA2944" s="4">
        <v>68</v>
      </c>
      <c r="AB2944" s="4">
        <v>1</v>
      </c>
      <c r="AC2944" s="4">
        <v>7</v>
      </c>
      <c r="AD2944" s="4">
        <v>40</v>
      </c>
      <c r="AE2944" s="4">
        <v>145</v>
      </c>
      <c r="AF2944" s="4">
        <v>0</v>
      </c>
      <c r="AG2944" s="4">
        <v>5</v>
      </c>
      <c r="AH2944" s="4">
        <v>36</v>
      </c>
      <c r="AI2944" s="4">
        <v>111</v>
      </c>
      <c r="AJ2944" s="4">
        <v>7</v>
      </c>
      <c r="AK2944" s="4">
        <v>21</v>
      </c>
      <c r="AL2944" s="4">
        <v>21</v>
      </c>
      <c r="AM2944" s="4">
        <v>59</v>
      </c>
      <c r="AN2944" s="4">
        <v>0</v>
      </c>
      <c r="AO2944" s="4">
        <v>0</v>
      </c>
      <c r="AP2944" s="4">
        <v>8</v>
      </c>
      <c r="AQ2944" s="4">
        <v>41</v>
      </c>
      <c r="AR2944" s="3" t="s">
        <v>62</v>
      </c>
      <c r="AS2944" s="3" t="s">
        <v>62</v>
      </c>
      <c r="AT2944" s="3" t="s">
        <v>62</v>
      </c>
      <c r="AV2944" s="6" t="str">
        <f>HYPERLINK("http://mcgill.on.worldcat.org/oclc/59246387","Catalog Record")</f>
        <v>Catalog Record</v>
      </c>
      <c r="AW2944" s="6" t="str">
        <f>HYPERLINK("http://www.worldcat.org/oclc/59246387","WorldCat Record")</f>
        <v>WorldCat Record</v>
      </c>
      <c r="AX2944" s="3" t="s">
        <v>28848</v>
      </c>
      <c r="AY2944" s="3" t="s">
        <v>28866</v>
      </c>
      <c r="AZ2944" s="3" t="s">
        <v>28867</v>
      </c>
      <c r="BA2944" s="3" t="s">
        <v>28867</v>
      </c>
      <c r="BB2944" s="3" t="s">
        <v>28868</v>
      </c>
      <c r="BC2944" s="3" t="s">
        <v>142</v>
      </c>
      <c r="BD2944" s="3" t="s">
        <v>68</v>
      </c>
      <c r="BE2944" s="3" t="s">
        <v>28869</v>
      </c>
      <c r="BF2944" s="3" t="s">
        <v>28868</v>
      </c>
      <c r="BG2944" s="3" t="s">
        <v>28870</v>
      </c>
    </row>
    <row r="2945" spans="1:59" ht="57" x14ac:dyDescent="0.45">
      <c r="A2945" s="2" t="s">
        <v>59</v>
      </c>
      <c r="B2945" s="2" t="s">
        <v>60</v>
      </c>
      <c r="C2945" s="2" t="s">
        <v>28871</v>
      </c>
      <c r="D2945" s="2" t="s">
        <v>28872</v>
      </c>
      <c r="E2945" s="2" t="s">
        <v>28873</v>
      </c>
      <c r="G2945" s="3" t="s">
        <v>62</v>
      </c>
      <c r="I2945" s="3" t="s">
        <v>62</v>
      </c>
      <c r="J2945" s="3" t="s">
        <v>62</v>
      </c>
      <c r="K2945" s="3" t="s">
        <v>63</v>
      </c>
      <c r="L2945" s="2" t="s">
        <v>6704</v>
      </c>
      <c r="M2945" s="2" t="s">
        <v>28874</v>
      </c>
      <c r="N2945" s="3" t="s">
        <v>117</v>
      </c>
      <c r="P2945" s="3" t="s">
        <v>182</v>
      </c>
      <c r="Q2945" s="2" t="s">
        <v>28875</v>
      </c>
      <c r="R2945" s="3" t="s">
        <v>66</v>
      </c>
      <c r="S2945" s="4">
        <v>4</v>
      </c>
      <c r="T2945" s="4">
        <v>4</v>
      </c>
      <c r="U2945" s="5" t="s">
        <v>19395</v>
      </c>
      <c r="V2945" s="5" t="s">
        <v>19395</v>
      </c>
      <c r="W2945" s="5" t="s">
        <v>67</v>
      </c>
      <c r="X2945" s="5" t="s">
        <v>67</v>
      </c>
      <c r="Y2945" s="4">
        <v>9</v>
      </c>
      <c r="Z2945" s="4">
        <v>4</v>
      </c>
      <c r="AA2945" s="4">
        <v>4</v>
      </c>
      <c r="AB2945" s="4">
        <v>1</v>
      </c>
      <c r="AC2945" s="4">
        <v>1</v>
      </c>
      <c r="AD2945" s="4">
        <v>4</v>
      </c>
      <c r="AE2945" s="4">
        <v>4</v>
      </c>
      <c r="AF2945" s="4">
        <v>0</v>
      </c>
      <c r="AG2945" s="4">
        <v>0</v>
      </c>
      <c r="AH2945" s="4">
        <v>4</v>
      </c>
      <c r="AI2945" s="4">
        <v>4</v>
      </c>
      <c r="AJ2945" s="4">
        <v>2</v>
      </c>
      <c r="AK2945" s="4">
        <v>2</v>
      </c>
      <c r="AL2945" s="4">
        <v>2</v>
      </c>
      <c r="AM2945" s="4">
        <v>2</v>
      </c>
      <c r="AN2945" s="4">
        <v>0</v>
      </c>
      <c r="AO2945" s="4">
        <v>0</v>
      </c>
      <c r="AP2945" s="4">
        <v>2</v>
      </c>
      <c r="AQ2945" s="4">
        <v>2</v>
      </c>
      <c r="AR2945" s="3" t="s">
        <v>62</v>
      </c>
      <c r="AS2945" s="3" t="s">
        <v>62</v>
      </c>
      <c r="AT2945" s="3" t="s">
        <v>62</v>
      </c>
      <c r="AV2945" s="6" t="str">
        <f>HYPERLINK("http://mcgill.on.worldcat.org/oclc/7490742","Catalog Record")</f>
        <v>Catalog Record</v>
      </c>
      <c r="AW2945" s="6" t="str">
        <f>HYPERLINK("http://www.worldcat.org/oclc/7490742","WorldCat Record")</f>
        <v>WorldCat Record</v>
      </c>
      <c r="AX2945" s="3" t="s">
        <v>28876</v>
      </c>
      <c r="AY2945" s="3" t="s">
        <v>28877</v>
      </c>
      <c r="AZ2945" s="3" t="s">
        <v>28878</v>
      </c>
      <c r="BA2945" s="3" t="s">
        <v>28878</v>
      </c>
      <c r="BB2945" s="3" t="s">
        <v>28879</v>
      </c>
      <c r="BC2945" s="3" t="s">
        <v>142</v>
      </c>
      <c r="BD2945" s="3" t="s">
        <v>308</v>
      </c>
      <c r="BF2945" s="3" t="s">
        <v>28879</v>
      </c>
      <c r="BG2945" s="3" t="s">
        <v>28880</v>
      </c>
    </row>
    <row r="2946" spans="1:59" ht="57" x14ac:dyDescent="0.45">
      <c r="A2946" s="2" t="s">
        <v>59</v>
      </c>
      <c r="B2946" s="2" t="s">
        <v>60</v>
      </c>
      <c r="C2946" s="2" t="s">
        <v>28881</v>
      </c>
      <c r="D2946" s="2" t="s">
        <v>28882</v>
      </c>
      <c r="E2946" s="2" t="s">
        <v>28883</v>
      </c>
      <c r="G2946" s="3" t="s">
        <v>62</v>
      </c>
      <c r="I2946" s="3" t="s">
        <v>62</v>
      </c>
      <c r="J2946" s="3" t="s">
        <v>61</v>
      </c>
      <c r="K2946" s="3" t="s">
        <v>63</v>
      </c>
      <c r="L2946" s="2" t="s">
        <v>6704</v>
      </c>
      <c r="M2946" s="2" t="s">
        <v>28884</v>
      </c>
      <c r="N2946" s="3" t="s">
        <v>1253</v>
      </c>
      <c r="P2946" s="3" t="s">
        <v>65</v>
      </c>
      <c r="Q2946" s="2" t="s">
        <v>28885</v>
      </c>
      <c r="R2946" s="3" t="s">
        <v>66</v>
      </c>
      <c r="S2946" s="4">
        <v>46</v>
      </c>
      <c r="T2946" s="4">
        <v>46</v>
      </c>
      <c r="U2946" s="5" t="s">
        <v>13035</v>
      </c>
      <c r="V2946" s="5" t="s">
        <v>13035</v>
      </c>
      <c r="W2946" s="5" t="s">
        <v>67</v>
      </c>
      <c r="X2946" s="5" t="s">
        <v>67</v>
      </c>
      <c r="Y2946" s="4">
        <v>419</v>
      </c>
      <c r="Z2946" s="4">
        <v>30</v>
      </c>
      <c r="AA2946" s="4">
        <v>103</v>
      </c>
      <c r="AB2946" s="4">
        <v>1</v>
      </c>
      <c r="AC2946" s="4">
        <v>16</v>
      </c>
      <c r="AD2946" s="4">
        <v>108</v>
      </c>
      <c r="AE2946" s="4">
        <v>154</v>
      </c>
      <c r="AF2946" s="4">
        <v>0</v>
      </c>
      <c r="AG2946" s="4">
        <v>8</v>
      </c>
      <c r="AH2946" s="4">
        <v>93</v>
      </c>
      <c r="AI2946" s="4">
        <v>111</v>
      </c>
      <c r="AJ2946" s="4">
        <v>14</v>
      </c>
      <c r="AK2946" s="4">
        <v>26</v>
      </c>
      <c r="AL2946" s="4">
        <v>51</v>
      </c>
      <c r="AM2946" s="4">
        <v>58</v>
      </c>
      <c r="AN2946" s="4">
        <v>0</v>
      </c>
      <c r="AO2946" s="4">
        <v>0</v>
      </c>
      <c r="AP2946" s="4">
        <v>20</v>
      </c>
      <c r="AQ2946" s="4">
        <v>52</v>
      </c>
      <c r="AR2946" s="3" t="s">
        <v>62</v>
      </c>
      <c r="AS2946" s="3" t="s">
        <v>62</v>
      </c>
      <c r="AT2946" s="3" t="s">
        <v>61</v>
      </c>
      <c r="AU2946" s="6" t="str">
        <f>HYPERLINK("http://catalog.hathitrust.org/Record/003168040","HathiTrust Record")</f>
        <v>HathiTrust Record</v>
      </c>
      <c r="AV2946" s="6" t="str">
        <f>HYPERLINK("http://mcgill.on.worldcat.org/oclc/35243500","Catalog Record")</f>
        <v>Catalog Record</v>
      </c>
      <c r="AW2946" s="6" t="str">
        <f>HYPERLINK("http://www.worldcat.org/oclc/35243500","WorldCat Record")</f>
        <v>WorldCat Record</v>
      </c>
      <c r="AX2946" s="3" t="s">
        <v>28886</v>
      </c>
      <c r="AY2946" s="3" t="s">
        <v>28887</v>
      </c>
      <c r="AZ2946" s="3" t="s">
        <v>28888</v>
      </c>
      <c r="BA2946" s="3" t="s">
        <v>28888</v>
      </c>
      <c r="BB2946" s="3" t="s">
        <v>28889</v>
      </c>
      <c r="BC2946" s="3" t="s">
        <v>142</v>
      </c>
      <c r="BD2946" s="3" t="s">
        <v>68</v>
      </c>
      <c r="BE2946" s="3" t="s">
        <v>28890</v>
      </c>
      <c r="BF2946" s="3" t="s">
        <v>28889</v>
      </c>
      <c r="BG2946" s="3" t="s">
        <v>28891</v>
      </c>
    </row>
    <row r="2947" spans="1:59" ht="57" x14ac:dyDescent="0.45">
      <c r="A2947" s="2" t="s">
        <v>59</v>
      </c>
      <c r="B2947" s="2" t="s">
        <v>60</v>
      </c>
      <c r="C2947" s="2" t="s">
        <v>28892</v>
      </c>
      <c r="D2947" s="2" t="s">
        <v>28893</v>
      </c>
      <c r="E2947" s="2" t="s">
        <v>28883</v>
      </c>
      <c r="G2947" s="3" t="s">
        <v>62</v>
      </c>
      <c r="I2947" s="3" t="s">
        <v>61</v>
      </c>
      <c r="J2947" s="3" t="s">
        <v>61</v>
      </c>
      <c r="K2947" s="3" t="s">
        <v>63</v>
      </c>
      <c r="L2947" s="2" t="s">
        <v>6704</v>
      </c>
      <c r="M2947" s="2" t="s">
        <v>28894</v>
      </c>
      <c r="N2947" s="3" t="s">
        <v>970</v>
      </c>
      <c r="O2947" s="2" t="s">
        <v>15672</v>
      </c>
      <c r="P2947" s="3" t="s">
        <v>65</v>
      </c>
      <c r="Q2947" s="2" t="s">
        <v>28885</v>
      </c>
      <c r="R2947" s="3" t="s">
        <v>66</v>
      </c>
      <c r="S2947" s="4">
        <v>47</v>
      </c>
      <c r="T2947" s="4">
        <v>103</v>
      </c>
      <c r="U2947" s="5" t="s">
        <v>19395</v>
      </c>
      <c r="V2947" s="5" t="s">
        <v>28895</v>
      </c>
      <c r="W2947" s="5" t="s">
        <v>67</v>
      </c>
      <c r="X2947" s="5" t="s">
        <v>67</v>
      </c>
      <c r="Y2947" s="4">
        <v>332</v>
      </c>
      <c r="Z2947" s="4">
        <v>33</v>
      </c>
      <c r="AA2947" s="4">
        <v>103</v>
      </c>
      <c r="AB2947" s="4">
        <v>3</v>
      </c>
      <c r="AC2947" s="4">
        <v>16</v>
      </c>
      <c r="AD2947" s="4">
        <v>101</v>
      </c>
      <c r="AE2947" s="4">
        <v>154</v>
      </c>
      <c r="AF2947" s="4">
        <v>1</v>
      </c>
      <c r="AG2947" s="4">
        <v>8</v>
      </c>
      <c r="AH2947" s="4">
        <v>86</v>
      </c>
      <c r="AI2947" s="4">
        <v>111</v>
      </c>
      <c r="AJ2947" s="4">
        <v>13</v>
      </c>
      <c r="AK2947" s="4">
        <v>26</v>
      </c>
      <c r="AL2947" s="4">
        <v>45</v>
      </c>
      <c r="AM2947" s="4">
        <v>58</v>
      </c>
      <c r="AN2947" s="4">
        <v>0</v>
      </c>
      <c r="AO2947" s="4">
        <v>0</v>
      </c>
      <c r="AP2947" s="4">
        <v>21</v>
      </c>
      <c r="AQ2947" s="4">
        <v>52</v>
      </c>
      <c r="AR2947" s="3" t="s">
        <v>62</v>
      </c>
      <c r="AS2947" s="3" t="s">
        <v>62</v>
      </c>
      <c r="AT2947" s="3" t="s">
        <v>62</v>
      </c>
      <c r="AV2947" s="6" t="str">
        <f>HYPERLINK("http://mcgill.on.worldcat.org/oclc/48857877","Catalog Record")</f>
        <v>Catalog Record</v>
      </c>
      <c r="AW2947" s="6" t="str">
        <f>HYPERLINK("http://www.worldcat.org/oclc/48857877","WorldCat Record")</f>
        <v>WorldCat Record</v>
      </c>
      <c r="AX2947" s="3" t="s">
        <v>28886</v>
      </c>
      <c r="AY2947" s="3" t="s">
        <v>28896</v>
      </c>
      <c r="AZ2947" s="3" t="s">
        <v>28897</v>
      </c>
      <c r="BA2947" s="3" t="s">
        <v>28897</v>
      </c>
      <c r="BB2947" s="3" t="s">
        <v>28898</v>
      </c>
      <c r="BC2947" s="3" t="s">
        <v>142</v>
      </c>
      <c r="BD2947" s="3" t="s">
        <v>308</v>
      </c>
      <c r="BE2947" s="3" t="s">
        <v>28899</v>
      </c>
      <c r="BF2947" s="3" t="s">
        <v>28898</v>
      </c>
      <c r="BG2947" s="3" t="s">
        <v>28900</v>
      </c>
    </row>
    <row r="2948" spans="1:59" ht="57" x14ac:dyDescent="0.45">
      <c r="A2948" s="2" t="s">
        <v>59</v>
      </c>
      <c r="B2948" s="2" t="s">
        <v>60</v>
      </c>
      <c r="C2948" s="2" t="s">
        <v>28892</v>
      </c>
      <c r="D2948" s="2" t="s">
        <v>28893</v>
      </c>
      <c r="E2948" s="2" t="s">
        <v>28883</v>
      </c>
      <c r="G2948" s="3" t="s">
        <v>62</v>
      </c>
      <c r="I2948" s="3" t="s">
        <v>61</v>
      </c>
      <c r="J2948" s="3" t="s">
        <v>61</v>
      </c>
      <c r="K2948" s="3" t="s">
        <v>63</v>
      </c>
      <c r="L2948" s="2" t="s">
        <v>6704</v>
      </c>
      <c r="M2948" s="2" t="s">
        <v>28894</v>
      </c>
      <c r="N2948" s="3" t="s">
        <v>970</v>
      </c>
      <c r="O2948" s="2" t="s">
        <v>15672</v>
      </c>
      <c r="P2948" s="3" t="s">
        <v>65</v>
      </c>
      <c r="Q2948" s="2" t="s">
        <v>28885</v>
      </c>
      <c r="R2948" s="3" t="s">
        <v>66</v>
      </c>
      <c r="S2948" s="4">
        <v>56</v>
      </c>
      <c r="T2948" s="4">
        <v>103</v>
      </c>
      <c r="U2948" s="5" t="s">
        <v>28895</v>
      </c>
      <c r="V2948" s="5" t="s">
        <v>28895</v>
      </c>
      <c r="W2948" s="5" t="s">
        <v>67</v>
      </c>
      <c r="X2948" s="5" t="s">
        <v>67</v>
      </c>
      <c r="Y2948" s="4">
        <v>332</v>
      </c>
      <c r="Z2948" s="4">
        <v>33</v>
      </c>
      <c r="AA2948" s="4">
        <v>103</v>
      </c>
      <c r="AB2948" s="4">
        <v>3</v>
      </c>
      <c r="AC2948" s="4">
        <v>16</v>
      </c>
      <c r="AD2948" s="4">
        <v>101</v>
      </c>
      <c r="AE2948" s="4">
        <v>154</v>
      </c>
      <c r="AF2948" s="4">
        <v>1</v>
      </c>
      <c r="AG2948" s="4">
        <v>8</v>
      </c>
      <c r="AH2948" s="4">
        <v>86</v>
      </c>
      <c r="AI2948" s="4">
        <v>111</v>
      </c>
      <c r="AJ2948" s="4">
        <v>13</v>
      </c>
      <c r="AK2948" s="4">
        <v>26</v>
      </c>
      <c r="AL2948" s="4">
        <v>45</v>
      </c>
      <c r="AM2948" s="4">
        <v>58</v>
      </c>
      <c r="AN2948" s="4">
        <v>0</v>
      </c>
      <c r="AO2948" s="4">
        <v>0</v>
      </c>
      <c r="AP2948" s="4">
        <v>21</v>
      </c>
      <c r="AQ2948" s="4">
        <v>52</v>
      </c>
      <c r="AR2948" s="3" t="s">
        <v>62</v>
      </c>
      <c r="AS2948" s="3" t="s">
        <v>62</v>
      </c>
      <c r="AT2948" s="3" t="s">
        <v>62</v>
      </c>
      <c r="AV2948" s="6" t="str">
        <f>HYPERLINK("http://mcgill.on.worldcat.org/oclc/48857877","Catalog Record")</f>
        <v>Catalog Record</v>
      </c>
      <c r="AW2948" s="6" t="str">
        <f>HYPERLINK("http://www.worldcat.org/oclc/48857877","WorldCat Record")</f>
        <v>WorldCat Record</v>
      </c>
      <c r="AX2948" s="3" t="s">
        <v>28886</v>
      </c>
      <c r="AY2948" s="3" t="s">
        <v>28896</v>
      </c>
      <c r="AZ2948" s="3" t="s">
        <v>28897</v>
      </c>
      <c r="BA2948" s="3" t="s">
        <v>28897</v>
      </c>
      <c r="BB2948" s="3" t="s">
        <v>28901</v>
      </c>
      <c r="BC2948" s="3" t="s">
        <v>142</v>
      </c>
      <c r="BD2948" s="3" t="s">
        <v>68</v>
      </c>
      <c r="BE2948" s="3" t="s">
        <v>28899</v>
      </c>
      <c r="BF2948" s="3" t="s">
        <v>28901</v>
      </c>
      <c r="BG2948" s="3" t="s">
        <v>28902</v>
      </c>
    </row>
    <row r="2949" spans="1:59" ht="57" x14ac:dyDescent="0.45">
      <c r="A2949" s="2" t="s">
        <v>59</v>
      </c>
      <c r="B2949" s="2" t="s">
        <v>60</v>
      </c>
      <c r="C2949" s="2" t="s">
        <v>28903</v>
      </c>
      <c r="D2949" s="2" t="s">
        <v>28904</v>
      </c>
      <c r="E2949" s="2" t="s">
        <v>28905</v>
      </c>
      <c r="G2949" s="3" t="s">
        <v>62</v>
      </c>
      <c r="I2949" s="3" t="s">
        <v>62</v>
      </c>
      <c r="J2949" s="3" t="s">
        <v>62</v>
      </c>
      <c r="K2949" s="3" t="s">
        <v>63</v>
      </c>
      <c r="L2949" s="2" t="s">
        <v>6704</v>
      </c>
      <c r="M2949" s="2" t="s">
        <v>28906</v>
      </c>
      <c r="N2949" s="3" t="s">
        <v>1224</v>
      </c>
      <c r="P2949" s="3" t="s">
        <v>110</v>
      </c>
      <c r="Q2949" s="2" t="s">
        <v>28907</v>
      </c>
      <c r="R2949" s="3" t="s">
        <v>66</v>
      </c>
      <c r="S2949" s="4">
        <v>1</v>
      </c>
      <c r="T2949" s="4">
        <v>1</v>
      </c>
      <c r="U2949" s="5" t="s">
        <v>28908</v>
      </c>
      <c r="V2949" s="5" t="s">
        <v>28908</v>
      </c>
      <c r="W2949" s="5" t="s">
        <v>67</v>
      </c>
      <c r="X2949" s="5" t="s">
        <v>67</v>
      </c>
      <c r="Y2949" s="4">
        <v>11</v>
      </c>
      <c r="Z2949" s="4">
        <v>4</v>
      </c>
      <c r="AA2949" s="4">
        <v>4</v>
      </c>
      <c r="AB2949" s="4">
        <v>1</v>
      </c>
      <c r="AC2949" s="4">
        <v>1</v>
      </c>
      <c r="AD2949" s="4">
        <v>4</v>
      </c>
      <c r="AE2949" s="4">
        <v>4</v>
      </c>
      <c r="AF2949" s="4">
        <v>0</v>
      </c>
      <c r="AG2949" s="4">
        <v>0</v>
      </c>
      <c r="AH2949" s="4">
        <v>2</v>
      </c>
      <c r="AI2949" s="4">
        <v>2</v>
      </c>
      <c r="AJ2949" s="4">
        <v>1</v>
      </c>
      <c r="AK2949" s="4">
        <v>1</v>
      </c>
      <c r="AL2949" s="4">
        <v>1</v>
      </c>
      <c r="AM2949" s="4">
        <v>1</v>
      </c>
      <c r="AN2949" s="4">
        <v>0</v>
      </c>
      <c r="AO2949" s="4">
        <v>0</v>
      </c>
      <c r="AP2949" s="4">
        <v>3</v>
      </c>
      <c r="AQ2949" s="4">
        <v>3</v>
      </c>
      <c r="AR2949" s="3" t="s">
        <v>62</v>
      </c>
      <c r="AS2949" s="3" t="s">
        <v>62</v>
      </c>
      <c r="AT2949" s="3" t="s">
        <v>61</v>
      </c>
      <c r="AU2949" s="6" t="str">
        <f>HYPERLINK("http://catalog.hathitrust.org/Record/102577681","HathiTrust Record")</f>
        <v>HathiTrust Record</v>
      </c>
      <c r="AV2949" s="6" t="str">
        <f>HYPERLINK("http://mcgill.on.worldcat.org/oclc/223019833","Catalog Record")</f>
        <v>Catalog Record</v>
      </c>
      <c r="AW2949" s="6" t="str">
        <f>HYPERLINK("http://www.worldcat.org/oclc/223019833","WorldCat Record")</f>
        <v>WorldCat Record</v>
      </c>
      <c r="AX2949" s="3" t="s">
        <v>28909</v>
      </c>
      <c r="AY2949" s="3" t="s">
        <v>28910</v>
      </c>
      <c r="AZ2949" s="3" t="s">
        <v>28911</v>
      </c>
      <c r="BA2949" s="3" t="s">
        <v>28911</v>
      </c>
      <c r="BB2949" s="3" t="s">
        <v>28912</v>
      </c>
      <c r="BC2949" s="3" t="s">
        <v>142</v>
      </c>
      <c r="BD2949" s="3" t="s">
        <v>68</v>
      </c>
      <c r="BE2949" s="3" t="s">
        <v>28913</v>
      </c>
      <c r="BF2949" s="3" t="s">
        <v>28912</v>
      </c>
      <c r="BG2949" s="3" t="s">
        <v>28914</v>
      </c>
    </row>
    <row r="2950" spans="1:59" ht="57" x14ac:dyDescent="0.45">
      <c r="A2950" s="2" t="s">
        <v>59</v>
      </c>
      <c r="B2950" s="2" t="s">
        <v>60</v>
      </c>
      <c r="C2950" s="2" t="s">
        <v>28915</v>
      </c>
      <c r="D2950" s="2" t="s">
        <v>28916</v>
      </c>
      <c r="E2950" s="2" t="s">
        <v>28917</v>
      </c>
      <c r="G2950" s="3" t="s">
        <v>62</v>
      </c>
      <c r="I2950" s="3" t="s">
        <v>62</v>
      </c>
      <c r="J2950" s="3" t="s">
        <v>62</v>
      </c>
      <c r="K2950" s="3" t="s">
        <v>63</v>
      </c>
      <c r="L2950" s="2" t="s">
        <v>6704</v>
      </c>
      <c r="M2950" s="2" t="s">
        <v>28554</v>
      </c>
      <c r="N2950" s="3" t="s">
        <v>495</v>
      </c>
      <c r="P2950" s="3" t="s">
        <v>65</v>
      </c>
      <c r="R2950" s="3" t="s">
        <v>66</v>
      </c>
      <c r="S2950" s="4">
        <v>24</v>
      </c>
      <c r="T2950" s="4">
        <v>24</v>
      </c>
      <c r="U2950" s="5" t="s">
        <v>28918</v>
      </c>
      <c r="V2950" s="5" t="s">
        <v>28918</v>
      </c>
      <c r="W2950" s="5" t="s">
        <v>67</v>
      </c>
      <c r="X2950" s="5" t="s">
        <v>67</v>
      </c>
      <c r="Y2950" s="4">
        <v>16</v>
      </c>
      <c r="Z2950" s="4">
        <v>1</v>
      </c>
      <c r="AA2950" s="4">
        <v>1</v>
      </c>
      <c r="AB2950" s="4">
        <v>1</v>
      </c>
      <c r="AC2950" s="4">
        <v>1</v>
      </c>
      <c r="AD2950" s="4">
        <v>3</v>
      </c>
      <c r="AE2950" s="4">
        <v>3</v>
      </c>
      <c r="AF2950" s="4">
        <v>0</v>
      </c>
      <c r="AG2950" s="4">
        <v>0</v>
      </c>
      <c r="AH2950" s="4">
        <v>3</v>
      </c>
      <c r="AI2950" s="4">
        <v>3</v>
      </c>
      <c r="AJ2950" s="4">
        <v>0</v>
      </c>
      <c r="AK2950" s="4">
        <v>0</v>
      </c>
      <c r="AL2950" s="4">
        <v>2</v>
      </c>
      <c r="AM2950" s="4">
        <v>2</v>
      </c>
      <c r="AN2950" s="4">
        <v>0</v>
      </c>
      <c r="AO2950" s="4">
        <v>0</v>
      </c>
      <c r="AP2950" s="4">
        <v>0</v>
      </c>
      <c r="AQ2950" s="4">
        <v>0</v>
      </c>
      <c r="AR2950" s="3" t="s">
        <v>62</v>
      </c>
      <c r="AS2950" s="3" t="s">
        <v>62</v>
      </c>
      <c r="AT2950" s="3" t="s">
        <v>61</v>
      </c>
      <c r="AU2950" s="6" t="str">
        <f>HYPERLINK("http://catalog.hathitrust.org/Record/006953921","HathiTrust Record")</f>
        <v>HathiTrust Record</v>
      </c>
      <c r="AV2950" s="6" t="str">
        <f>HYPERLINK("http://mcgill.on.worldcat.org/oclc/2612152","Catalog Record")</f>
        <v>Catalog Record</v>
      </c>
      <c r="AW2950" s="6" t="str">
        <f>HYPERLINK("http://www.worldcat.org/oclc/2612152","WorldCat Record")</f>
        <v>WorldCat Record</v>
      </c>
      <c r="AX2950" s="3" t="s">
        <v>28919</v>
      </c>
      <c r="AY2950" s="3" t="s">
        <v>28920</v>
      </c>
      <c r="AZ2950" s="3" t="s">
        <v>28921</v>
      </c>
      <c r="BA2950" s="3" t="s">
        <v>28921</v>
      </c>
      <c r="BB2950" s="3" t="s">
        <v>28922</v>
      </c>
      <c r="BC2950" s="3" t="s">
        <v>142</v>
      </c>
      <c r="BD2950" s="3" t="s">
        <v>68</v>
      </c>
      <c r="BF2950" s="3" t="s">
        <v>28922</v>
      </c>
      <c r="BG2950" s="3" t="s">
        <v>28923</v>
      </c>
    </row>
    <row r="2951" spans="1:59" ht="57" x14ac:dyDescent="0.45">
      <c r="A2951" s="2" t="s">
        <v>59</v>
      </c>
      <c r="B2951" s="2" t="s">
        <v>60</v>
      </c>
      <c r="C2951" s="2" t="s">
        <v>28924</v>
      </c>
      <c r="D2951" s="2" t="s">
        <v>28925</v>
      </c>
      <c r="E2951" s="2" t="s">
        <v>28926</v>
      </c>
      <c r="G2951" s="3" t="s">
        <v>62</v>
      </c>
      <c r="I2951" s="3" t="s">
        <v>62</v>
      </c>
      <c r="J2951" s="3" t="s">
        <v>62</v>
      </c>
      <c r="K2951" s="3" t="s">
        <v>63</v>
      </c>
      <c r="L2951" s="2" t="s">
        <v>28927</v>
      </c>
      <c r="M2951" s="2" t="s">
        <v>28928</v>
      </c>
      <c r="N2951" s="3" t="s">
        <v>181</v>
      </c>
      <c r="P2951" s="3" t="s">
        <v>65</v>
      </c>
      <c r="R2951" s="3" t="s">
        <v>66</v>
      </c>
      <c r="S2951" s="4">
        <v>0</v>
      </c>
      <c r="T2951" s="4">
        <v>0</v>
      </c>
      <c r="W2951" s="5" t="s">
        <v>67</v>
      </c>
      <c r="X2951" s="5" t="s">
        <v>67</v>
      </c>
      <c r="Y2951" s="4">
        <v>203</v>
      </c>
      <c r="Z2951" s="4">
        <v>11</v>
      </c>
      <c r="AA2951" s="4">
        <v>12</v>
      </c>
      <c r="AB2951" s="4">
        <v>2</v>
      </c>
      <c r="AC2951" s="4">
        <v>3</v>
      </c>
      <c r="AD2951" s="4">
        <v>32</v>
      </c>
      <c r="AE2951" s="4">
        <v>32</v>
      </c>
      <c r="AF2951" s="4">
        <v>1</v>
      </c>
      <c r="AG2951" s="4">
        <v>1</v>
      </c>
      <c r="AH2951" s="4">
        <v>30</v>
      </c>
      <c r="AI2951" s="4">
        <v>30</v>
      </c>
      <c r="AJ2951" s="4">
        <v>4</v>
      </c>
      <c r="AK2951" s="4">
        <v>4</v>
      </c>
      <c r="AL2951" s="4">
        <v>19</v>
      </c>
      <c r="AM2951" s="4">
        <v>19</v>
      </c>
      <c r="AN2951" s="4">
        <v>0</v>
      </c>
      <c r="AO2951" s="4">
        <v>0</v>
      </c>
      <c r="AP2951" s="4">
        <v>4</v>
      </c>
      <c r="AQ2951" s="4">
        <v>4</v>
      </c>
      <c r="AR2951" s="3" t="s">
        <v>62</v>
      </c>
      <c r="AS2951" s="3" t="s">
        <v>62</v>
      </c>
      <c r="AT2951" s="3" t="s">
        <v>62</v>
      </c>
      <c r="AV2951" s="6" t="str">
        <f>HYPERLINK("http://mcgill.on.worldcat.org/oclc/923852466","Catalog Record")</f>
        <v>Catalog Record</v>
      </c>
      <c r="AW2951" s="6" t="str">
        <f>HYPERLINK("http://www.worldcat.org/oclc/923852466","WorldCat Record")</f>
        <v>WorldCat Record</v>
      </c>
      <c r="AX2951" s="3" t="s">
        <v>28929</v>
      </c>
      <c r="AY2951" s="3" t="s">
        <v>28930</v>
      </c>
      <c r="AZ2951" s="3" t="s">
        <v>28931</v>
      </c>
      <c r="BA2951" s="3" t="s">
        <v>28931</v>
      </c>
      <c r="BB2951" s="3" t="s">
        <v>28932</v>
      </c>
      <c r="BC2951" s="3" t="s">
        <v>142</v>
      </c>
      <c r="BD2951" s="3" t="s">
        <v>68</v>
      </c>
      <c r="BE2951" s="3" t="s">
        <v>28933</v>
      </c>
      <c r="BF2951" s="3" t="s">
        <v>28932</v>
      </c>
      <c r="BG2951" s="3" t="s">
        <v>28934</v>
      </c>
    </row>
    <row r="2952" spans="1:59" ht="57" x14ac:dyDescent="0.45">
      <c r="A2952" s="2" t="s">
        <v>59</v>
      </c>
      <c r="B2952" s="2" t="s">
        <v>60</v>
      </c>
      <c r="C2952" s="2" t="s">
        <v>28935</v>
      </c>
      <c r="D2952" s="2" t="s">
        <v>28936</v>
      </c>
      <c r="E2952" s="2" t="s">
        <v>28937</v>
      </c>
      <c r="G2952" s="3" t="s">
        <v>62</v>
      </c>
      <c r="I2952" s="3" t="s">
        <v>62</v>
      </c>
      <c r="J2952" s="3" t="s">
        <v>62</v>
      </c>
      <c r="K2952" s="3" t="s">
        <v>63</v>
      </c>
      <c r="L2952" s="2" t="s">
        <v>28938</v>
      </c>
      <c r="M2952" s="2" t="s">
        <v>28939</v>
      </c>
      <c r="N2952" s="3" t="s">
        <v>1155</v>
      </c>
      <c r="P2952" s="3" t="s">
        <v>65</v>
      </c>
      <c r="Q2952" s="2" t="s">
        <v>28940</v>
      </c>
      <c r="R2952" s="3" t="s">
        <v>66</v>
      </c>
      <c r="S2952" s="4">
        <v>3</v>
      </c>
      <c r="T2952" s="4">
        <v>3</v>
      </c>
      <c r="U2952" s="5" t="s">
        <v>28941</v>
      </c>
      <c r="V2952" s="5" t="s">
        <v>28941</v>
      </c>
      <c r="W2952" s="5" t="s">
        <v>67</v>
      </c>
      <c r="X2952" s="5" t="s">
        <v>67</v>
      </c>
      <c r="Y2952" s="4">
        <v>133</v>
      </c>
      <c r="Z2952" s="4">
        <v>19</v>
      </c>
      <c r="AA2952" s="4">
        <v>81</v>
      </c>
      <c r="AB2952" s="4">
        <v>1</v>
      </c>
      <c r="AC2952" s="4">
        <v>14</v>
      </c>
      <c r="AD2952" s="4">
        <v>58</v>
      </c>
      <c r="AE2952" s="4">
        <v>115</v>
      </c>
      <c r="AF2952" s="4">
        <v>0</v>
      </c>
      <c r="AG2952" s="4">
        <v>8</v>
      </c>
      <c r="AH2952" s="4">
        <v>53</v>
      </c>
      <c r="AI2952" s="4">
        <v>82</v>
      </c>
      <c r="AJ2952" s="4">
        <v>13</v>
      </c>
      <c r="AK2952" s="4">
        <v>23</v>
      </c>
      <c r="AL2952" s="4">
        <v>33</v>
      </c>
      <c r="AM2952" s="4">
        <v>45</v>
      </c>
      <c r="AN2952" s="4">
        <v>0</v>
      </c>
      <c r="AO2952" s="4">
        <v>0</v>
      </c>
      <c r="AP2952" s="4">
        <v>14</v>
      </c>
      <c r="AQ2952" s="4">
        <v>41</v>
      </c>
      <c r="AR2952" s="3" t="s">
        <v>62</v>
      </c>
      <c r="AS2952" s="3" t="s">
        <v>62</v>
      </c>
      <c r="AT2952" s="3" t="s">
        <v>62</v>
      </c>
      <c r="AV2952" s="6" t="str">
        <f>HYPERLINK("http://mcgill.on.worldcat.org/oclc/757480955","Catalog Record")</f>
        <v>Catalog Record</v>
      </c>
      <c r="AW2952" s="6" t="str">
        <f>HYPERLINK("http://www.worldcat.org/oclc/757480955","WorldCat Record")</f>
        <v>WorldCat Record</v>
      </c>
      <c r="AX2952" s="3" t="s">
        <v>28942</v>
      </c>
      <c r="AY2952" s="3" t="s">
        <v>28943</v>
      </c>
      <c r="AZ2952" s="3" t="s">
        <v>28944</v>
      </c>
      <c r="BA2952" s="3" t="s">
        <v>28944</v>
      </c>
      <c r="BB2952" s="3" t="s">
        <v>28945</v>
      </c>
      <c r="BC2952" s="3" t="s">
        <v>142</v>
      </c>
      <c r="BD2952" s="3" t="s">
        <v>68</v>
      </c>
      <c r="BE2952" s="3" t="s">
        <v>28946</v>
      </c>
      <c r="BF2952" s="3" t="s">
        <v>28945</v>
      </c>
      <c r="BG2952" s="3" t="s">
        <v>28947</v>
      </c>
    </row>
    <row r="2953" spans="1:59" ht="57" x14ac:dyDescent="0.45">
      <c r="A2953" s="2" t="s">
        <v>59</v>
      </c>
      <c r="B2953" s="2" t="s">
        <v>60</v>
      </c>
      <c r="C2953" s="2" t="s">
        <v>28948</v>
      </c>
      <c r="D2953" s="2" t="s">
        <v>28949</v>
      </c>
      <c r="E2953" s="2" t="s">
        <v>28950</v>
      </c>
      <c r="G2953" s="3" t="s">
        <v>62</v>
      </c>
      <c r="I2953" s="3" t="s">
        <v>61</v>
      </c>
      <c r="J2953" s="3" t="s">
        <v>62</v>
      </c>
      <c r="K2953" s="3" t="s">
        <v>63</v>
      </c>
      <c r="L2953" s="2" t="s">
        <v>28951</v>
      </c>
      <c r="M2953" s="2" t="s">
        <v>18432</v>
      </c>
      <c r="N2953" s="3" t="s">
        <v>542</v>
      </c>
      <c r="P2953" s="3" t="s">
        <v>65</v>
      </c>
      <c r="Q2953" s="2" t="s">
        <v>28952</v>
      </c>
      <c r="R2953" s="3" t="s">
        <v>66</v>
      </c>
      <c r="S2953" s="4">
        <v>7</v>
      </c>
      <c r="T2953" s="4">
        <v>36</v>
      </c>
      <c r="U2953" s="5" t="s">
        <v>10320</v>
      </c>
      <c r="V2953" s="5" t="s">
        <v>10320</v>
      </c>
      <c r="W2953" s="5" t="s">
        <v>67</v>
      </c>
      <c r="X2953" s="5" t="s">
        <v>67</v>
      </c>
      <c r="Y2953" s="4">
        <v>233</v>
      </c>
      <c r="Z2953" s="4">
        <v>18</v>
      </c>
      <c r="AA2953" s="4">
        <v>23</v>
      </c>
      <c r="AB2953" s="4">
        <v>3</v>
      </c>
      <c r="AC2953" s="4">
        <v>3</v>
      </c>
      <c r="AD2953" s="4">
        <v>92</v>
      </c>
      <c r="AE2953" s="4">
        <v>95</v>
      </c>
      <c r="AF2953" s="4">
        <v>1</v>
      </c>
      <c r="AG2953" s="4">
        <v>1</v>
      </c>
      <c r="AH2953" s="4">
        <v>83</v>
      </c>
      <c r="AI2953" s="4">
        <v>84</v>
      </c>
      <c r="AJ2953" s="4">
        <v>11</v>
      </c>
      <c r="AK2953" s="4">
        <v>12</v>
      </c>
      <c r="AL2953" s="4">
        <v>51</v>
      </c>
      <c r="AM2953" s="4">
        <v>51</v>
      </c>
      <c r="AN2953" s="4">
        <v>0</v>
      </c>
      <c r="AO2953" s="4">
        <v>0</v>
      </c>
      <c r="AP2953" s="4">
        <v>15</v>
      </c>
      <c r="AQ2953" s="4">
        <v>17</v>
      </c>
      <c r="AR2953" s="3" t="s">
        <v>62</v>
      </c>
      <c r="AS2953" s="3" t="s">
        <v>62</v>
      </c>
      <c r="AT2953" s="3" t="s">
        <v>62</v>
      </c>
      <c r="AV2953" s="6" t="str">
        <f>HYPERLINK("http://mcgill.on.worldcat.org/oclc/46872299","Catalog Record")</f>
        <v>Catalog Record</v>
      </c>
      <c r="AW2953" s="6" t="str">
        <f>HYPERLINK("http://www.worldcat.org/oclc/46872299","WorldCat Record")</f>
        <v>WorldCat Record</v>
      </c>
      <c r="AX2953" s="3" t="s">
        <v>28953</v>
      </c>
      <c r="AY2953" s="3" t="s">
        <v>28954</v>
      </c>
      <c r="AZ2953" s="3" t="s">
        <v>28955</v>
      </c>
      <c r="BA2953" s="3" t="s">
        <v>28955</v>
      </c>
      <c r="BB2953" s="3" t="s">
        <v>28956</v>
      </c>
      <c r="BC2953" s="3" t="s">
        <v>142</v>
      </c>
      <c r="BD2953" s="3" t="s">
        <v>68</v>
      </c>
      <c r="BE2953" s="3" t="s">
        <v>28957</v>
      </c>
      <c r="BF2953" s="3" t="s">
        <v>28956</v>
      </c>
      <c r="BG2953" s="3" t="s">
        <v>28958</v>
      </c>
    </row>
    <row r="2954" spans="1:59" ht="57" x14ac:dyDescent="0.45">
      <c r="A2954" s="2" t="s">
        <v>59</v>
      </c>
      <c r="B2954" s="2" t="s">
        <v>60</v>
      </c>
      <c r="C2954" s="2" t="s">
        <v>28948</v>
      </c>
      <c r="D2954" s="2" t="s">
        <v>28949</v>
      </c>
      <c r="E2954" s="2" t="s">
        <v>28950</v>
      </c>
      <c r="G2954" s="3" t="s">
        <v>62</v>
      </c>
      <c r="I2954" s="3" t="s">
        <v>61</v>
      </c>
      <c r="J2954" s="3" t="s">
        <v>62</v>
      </c>
      <c r="K2954" s="3" t="s">
        <v>63</v>
      </c>
      <c r="L2954" s="2" t="s">
        <v>28951</v>
      </c>
      <c r="M2954" s="2" t="s">
        <v>18432</v>
      </c>
      <c r="N2954" s="3" t="s">
        <v>542</v>
      </c>
      <c r="P2954" s="3" t="s">
        <v>65</v>
      </c>
      <c r="Q2954" s="2" t="s">
        <v>28952</v>
      </c>
      <c r="R2954" s="3" t="s">
        <v>66</v>
      </c>
      <c r="S2954" s="4">
        <v>29</v>
      </c>
      <c r="T2954" s="4">
        <v>36</v>
      </c>
      <c r="U2954" s="5" t="s">
        <v>28959</v>
      </c>
      <c r="V2954" s="5" t="s">
        <v>10320</v>
      </c>
      <c r="W2954" s="5" t="s">
        <v>67</v>
      </c>
      <c r="X2954" s="5" t="s">
        <v>67</v>
      </c>
      <c r="Y2954" s="4">
        <v>233</v>
      </c>
      <c r="Z2954" s="4">
        <v>18</v>
      </c>
      <c r="AA2954" s="4">
        <v>23</v>
      </c>
      <c r="AB2954" s="4">
        <v>3</v>
      </c>
      <c r="AC2954" s="4">
        <v>3</v>
      </c>
      <c r="AD2954" s="4">
        <v>92</v>
      </c>
      <c r="AE2954" s="4">
        <v>95</v>
      </c>
      <c r="AF2954" s="4">
        <v>1</v>
      </c>
      <c r="AG2954" s="4">
        <v>1</v>
      </c>
      <c r="AH2954" s="4">
        <v>83</v>
      </c>
      <c r="AI2954" s="4">
        <v>84</v>
      </c>
      <c r="AJ2954" s="4">
        <v>11</v>
      </c>
      <c r="AK2954" s="4">
        <v>12</v>
      </c>
      <c r="AL2954" s="4">
        <v>51</v>
      </c>
      <c r="AM2954" s="4">
        <v>51</v>
      </c>
      <c r="AN2954" s="4">
        <v>0</v>
      </c>
      <c r="AO2954" s="4">
        <v>0</v>
      </c>
      <c r="AP2954" s="4">
        <v>15</v>
      </c>
      <c r="AQ2954" s="4">
        <v>17</v>
      </c>
      <c r="AR2954" s="3" t="s">
        <v>62</v>
      </c>
      <c r="AS2954" s="3" t="s">
        <v>62</v>
      </c>
      <c r="AT2954" s="3" t="s">
        <v>62</v>
      </c>
      <c r="AV2954" s="6" t="str">
        <f>HYPERLINK("http://mcgill.on.worldcat.org/oclc/46872299","Catalog Record")</f>
        <v>Catalog Record</v>
      </c>
      <c r="AW2954" s="6" t="str">
        <f>HYPERLINK("http://www.worldcat.org/oclc/46872299","WorldCat Record")</f>
        <v>WorldCat Record</v>
      </c>
      <c r="AX2954" s="3" t="s">
        <v>28953</v>
      </c>
      <c r="AY2954" s="3" t="s">
        <v>28954</v>
      </c>
      <c r="AZ2954" s="3" t="s">
        <v>28955</v>
      </c>
      <c r="BA2954" s="3" t="s">
        <v>28955</v>
      </c>
      <c r="BB2954" s="3" t="s">
        <v>28960</v>
      </c>
      <c r="BC2954" s="3" t="s">
        <v>142</v>
      </c>
      <c r="BD2954" s="3" t="s">
        <v>308</v>
      </c>
      <c r="BE2954" s="3" t="s">
        <v>28957</v>
      </c>
      <c r="BF2954" s="3" t="s">
        <v>28960</v>
      </c>
      <c r="BG2954" s="3" t="s">
        <v>28961</v>
      </c>
    </row>
    <row r="2955" spans="1:59" ht="57" x14ac:dyDescent="0.45">
      <c r="A2955" s="2" t="s">
        <v>59</v>
      </c>
      <c r="B2955" s="2" t="s">
        <v>60</v>
      </c>
      <c r="C2955" s="2" t="s">
        <v>28962</v>
      </c>
      <c r="D2955" s="2" t="s">
        <v>28963</v>
      </c>
      <c r="E2955" s="2" t="s">
        <v>28964</v>
      </c>
      <c r="G2955" s="3" t="s">
        <v>62</v>
      </c>
      <c r="I2955" s="3" t="s">
        <v>62</v>
      </c>
      <c r="J2955" s="3" t="s">
        <v>62</v>
      </c>
      <c r="K2955" s="3" t="s">
        <v>63</v>
      </c>
      <c r="L2955" s="2" t="s">
        <v>28965</v>
      </c>
      <c r="M2955" s="2" t="s">
        <v>28966</v>
      </c>
      <c r="N2955" s="3" t="s">
        <v>181</v>
      </c>
      <c r="P2955" s="3" t="s">
        <v>110</v>
      </c>
      <c r="R2955" s="3" t="s">
        <v>66</v>
      </c>
      <c r="S2955" s="4">
        <v>0</v>
      </c>
      <c r="T2955" s="4">
        <v>0</v>
      </c>
      <c r="W2955" s="5" t="s">
        <v>67</v>
      </c>
      <c r="X2955" s="5" t="s">
        <v>67</v>
      </c>
      <c r="Y2955" s="4">
        <v>9</v>
      </c>
      <c r="Z2955" s="4">
        <v>5</v>
      </c>
      <c r="AA2955" s="4">
        <v>11</v>
      </c>
      <c r="AB2955" s="4">
        <v>1</v>
      </c>
      <c r="AC2955" s="4">
        <v>4</v>
      </c>
      <c r="AD2955" s="4">
        <v>5</v>
      </c>
      <c r="AE2955" s="4">
        <v>8</v>
      </c>
      <c r="AF2955" s="4">
        <v>0</v>
      </c>
      <c r="AG2955" s="4">
        <v>1</v>
      </c>
      <c r="AH2955" s="4">
        <v>5</v>
      </c>
      <c r="AI2955" s="4">
        <v>6</v>
      </c>
      <c r="AJ2955" s="4">
        <v>3</v>
      </c>
      <c r="AK2955" s="4">
        <v>6</v>
      </c>
      <c r="AL2955" s="4">
        <v>2</v>
      </c>
      <c r="AM2955" s="4">
        <v>2</v>
      </c>
      <c r="AN2955" s="4">
        <v>0</v>
      </c>
      <c r="AO2955" s="4">
        <v>0</v>
      </c>
      <c r="AP2955" s="4">
        <v>3</v>
      </c>
      <c r="AQ2955" s="4">
        <v>5</v>
      </c>
      <c r="AR2955" s="3" t="s">
        <v>61</v>
      </c>
      <c r="AS2955" s="3" t="s">
        <v>62</v>
      </c>
      <c r="AT2955" s="3" t="s">
        <v>62</v>
      </c>
      <c r="AV2955" s="6" t="str">
        <f>HYPERLINK("http://mcgill.on.worldcat.org/oclc/961104719","Catalog Record")</f>
        <v>Catalog Record</v>
      </c>
      <c r="AW2955" s="6" t="str">
        <f>HYPERLINK("http://www.worldcat.org/oclc/961104719","WorldCat Record")</f>
        <v>WorldCat Record</v>
      </c>
      <c r="AX2955" s="3" t="s">
        <v>28967</v>
      </c>
      <c r="AY2955" s="3" t="s">
        <v>28968</v>
      </c>
      <c r="AZ2955" s="3" t="s">
        <v>28969</v>
      </c>
      <c r="BA2955" s="3" t="s">
        <v>28969</v>
      </c>
      <c r="BB2955" s="3" t="s">
        <v>28970</v>
      </c>
      <c r="BC2955" s="3" t="s">
        <v>142</v>
      </c>
      <c r="BD2955" s="3" t="s">
        <v>68</v>
      </c>
      <c r="BE2955" s="3" t="s">
        <v>28971</v>
      </c>
      <c r="BF2955" s="3" t="s">
        <v>28970</v>
      </c>
      <c r="BG2955" s="3" t="s">
        <v>28972</v>
      </c>
    </row>
    <row r="2956" spans="1:59" ht="57" x14ac:dyDescent="0.45">
      <c r="A2956" s="2" t="s">
        <v>59</v>
      </c>
      <c r="B2956" s="2" t="s">
        <v>60</v>
      </c>
      <c r="C2956" s="2" t="s">
        <v>28973</v>
      </c>
      <c r="D2956" s="2" t="s">
        <v>28974</v>
      </c>
      <c r="E2956" s="2" t="s">
        <v>28975</v>
      </c>
      <c r="G2956" s="3" t="s">
        <v>62</v>
      </c>
      <c r="I2956" s="3" t="s">
        <v>62</v>
      </c>
      <c r="J2956" s="3" t="s">
        <v>62</v>
      </c>
      <c r="K2956" s="3" t="s">
        <v>63</v>
      </c>
      <c r="L2956" s="2" t="s">
        <v>28976</v>
      </c>
      <c r="M2956" s="2" t="s">
        <v>2739</v>
      </c>
      <c r="N2956" s="3" t="s">
        <v>149</v>
      </c>
      <c r="P2956" s="3" t="s">
        <v>65</v>
      </c>
      <c r="Q2956" s="2" t="s">
        <v>28977</v>
      </c>
      <c r="R2956" s="3" t="s">
        <v>66</v>
      </c>
      <c r="S2956" s="4">
        <v>0</v>
      </c>
      <c r="T2956" s="4">
        <v>0</v>
      </c>
      <c r="W2956" s="5" t="s">
        <v>67</v>
      </c>
      <c r="X2956" s="5" t="s">
        <v>67</v>
      </c>
      <c r="Y2956" s="4">
        <v>57</v>
      </c>
      <c r="Z2956" s="4">
        <v>9</v>
      </c>
      <c r="AA2956" s="4">
        <v>29</v>
      </c>
      <c r="AB2956" s="4">
        <v>2</v>
      </c>
      <c r="AC2956" s="4">
        <v>4</v>
      </c>
      <c r="AD2956" s="4">
        <v>34</v>
      </c>
      <c r="AE2956" s="4">
        <v>67</v>
      </c>
      <c r="AF2956" s="4">
        <v>1</v>
      </c>
      <c r="AG2956" s="4">
        <v>2</v>
      </c>
      <c r="AH2956" s="4">
        <v>31</v>
      </c>
      <c r="AI2956" s="4">
        <v>53</v>
      </c>
      <c r="AJ2956" s="4">
        <v>8</v>
      </c>
      <c r="AK2956" s="4">
        <v>14</v>
      </c>
      <c r="AL2956" s="4">
        <v>19</v>
      </c>
      <c r="AM2956" s="4">
        <v>30</v>
      </c>
      <c r="AN2956" s="4">
        <v>0</v>
      </c>
      <c r="AO2956" s="4">
        <v>0</v>
      </c>
      <c r="AP2956" s="4">
        <v>8</v>
      </c>
      <c r="AQ2956" s="4">
        <v>21</v>
      </c>
      <c r="AR2956" s="3" t="s">
        <v>62</v>
      </c>
      <c r="AS2956" s="3" t="s">
        <v>62</v>
      </c>
      <c r="AT2956" s="3" t="s">
        <v>62</v>
      </c>
      <c r="AV2956" s="6" t="str">
        <f>HYPERLINK("http://mcgill.on.worldcat.org/oclc/648148347","Catalog Record")</f>
        <v>Catalog Record</v>
      </c>
      <c r="AW2956" s="6" t="str">
        <f>HYPERLINK("http://www.worldcat.org/oclc/648148347","WorldCat Record")</f>
        <v>WorldCat Record</v>
      </c>
      <c r="AX2956" s="3" t="s">
        <v>28978</v>
      </c>
      <c r="AY2956" s="3" t="s">
        <v>28979</v>
      </c>
      <c r="AZ2956" s="3" t="s">
        <v>28980</v>
      </c>
      <c r="BA2956" s="3" t="s">
        <v>28980</v>
      </c>
      <c r="BB2956" s="3" t="s">
        <v>28981</v>
      </c>
      <c r="BC2956" s="3" t="s">
        <v>142</v>
      </c>
      <c r="BD2956" s="3" t="s">
        <v>68</v>
      </c>
      <c r="BE2956" s="3" t="s">
        <v>28982</v>
      </c>
      <c r="BF2956" s="3" t="s">
        <v>28981</v>
      </c>
      <c r="BG2956" s="3" t="s">
        <v>28983</v>
      </c>
    </row>
    <row r="2957" spans="1:59" ht="57" x14ac:dyDescent="0.45">
      <c r="A2957" s="2" t="s">
        <v>59</v>
      </c>
      <c r="B2957" s="2" t="s">
        <v>60</v>
      </c>
      <c r="C2957" s="2" t="s">
        <v>28984</v>
      </c>
      <c r="D2957" s="2" t="s">
        <v>28985</v>
      </c>
      <c r="E2957" s="2" t="s">
        <v>28986</v>
      </c>
      <c r="G2957" s="3" t="s">
        <v>62</v>
      </c>
      <c r="I2957" s="3" t="s">
        <v>62</v>
      </c>
      <c r="J2957" s="3" t="s">
        <v>62</v>
      </c>
      <c r="K2957" s="3" t="s">
        <v>63</v>
      </c>
      <c r="L2957" s="2" t="s">
        <v>28976</v>
      </c>
      <c r="M2957" s="2" t="s">
        <v>12050</v>
      </c>
      <c r="N2957" s="3" t="s">
        <v>918</v>
      </c>
      <c r="P2957" s="3" t="s">
        <v>65</v>
      </c>
      <c r="Q2957" s="2" t="s">
        <v>12051</v>
      </c>
      <c r="R2957" s="3" t="s">
        <v>66</v>
      </c>
      <c r="S2957" s="4">
        <v>26</v>
      </c>
      <c r="T2957" s="4">
        <v>26</v>
      </c>
      <c r="U2957" s="5" t="s">
        <v>28987</v>
      </c>
      <c r="V2957" s="5" t="s">
        <v>28987</v>
      </c>
      <c r="W2957" s="5" t="s">
        <v>67</v>
      </c>
      <c r="X2957" s="5" t="s">
        <v>67</v>
      </c>
      <c r="Y2957" s="4">
        <v>192</v>
      </c>
      <c r="Z2957" s="4">
        <v>19</v>
      </c>
      <c r="AA2957" s="4">
        <v>118</v>
      </c>
      <c r="AB2957" s="4">
        <v>1</v>
      </c>
      <c r="AC2957" s="4">
        <v>24</v>
      </c>
      <c r="AD2957" s="4">
        <v>90</v>
      </c>
      <c r="AE2957" s="4">
        <v>150</v>
      </c>
      <c r="AF2957" s="4">
        <v>0</v>
      </c>
      <c r="AG2957" s="4">
        <v>9</v>
      </c>
      <c r="AH2957" s="4">
        <v>78</v>
      </c>
      <c r="AI2957" s="4">
        <v>101</v>
      </c>
      <c r="AJ2957" s="4">
        <v>13</v>
      </c>
      <c r="AK2957" s="4">
        <v>28</v>
      </c>
      <c r="AL2957" s="4">
        <v>48</v>
      </c>
      <c r="AM2957" s="4">
        <v>55</v>
      </c>
      <c r="AN2957" s="4">
        <v>0</v>
      </c>
      <c r="AO2957" s="4">
        <v>0</v>
      </c>
      <c r="AP2957" s="4">
        <v>15</v>
      </c>
      <c r="AQ2957" s="4">
        <v>56</v>
      </c>
      <c r="AR2957" s="3" t="s">
        <v>61</v>
      </c>
      <c r="AS2957" s="3" t="s">
        <v>62</v>
      </c>
      <c r="AT2957" s="3" t="s">
        <v>62</v>
      </c>
      <c r="AV2957" s="6" t="str">
        <f>HYPERLINK("http://mcgill.on.worldcat.org/oclc/50271576","Catalog Record")</f>
        <v>Catalog Record</v>
      </c>
      <c r="AW2957" s="6" t="str">
        <f>HYPERLINK("http://www.worldcat.org/oclc/50271576","WorldCat Record")</f>
        <v>WorldCat Record</v>
      </c>
      <c r="AX2957" s="3" t="s">
        <v>28988</v>
      </c>
      <c r="AY2957" s="3" t="s">
        <v>28989</v>
      </c>
      <c r="AZ2957" s="3" t="s">
        <v>28990</v>
      </c>
      <c r="BA2957" s="3" t="s">
        <v>28990</v>
      </c>
      <c r="BB2957" s="3" t="s">
        <v>28991</v>
      </c>
      <c r="BC2957" s="3" t="s">
        <v>142</v>
      </c>
      <c r="BD2957" s="3" t="s">
        <v>68</v>
      </c>
      <c r="BE2957" s="3" t="s">
        <v>28992</v>
      </c>
      <c r="BF2957" s="3" t="s">
        <v>28991</v>
      </c>
      <c r="BG2957" s="3" t="s">
        <v>28993</v>
      </c>
    </row>
    <row r="2958" spans="1:59" ht="57" x14ac:dyDescent="0.45">
      <c r="A2958" s="2" t="s">
        <v>59</v>
      </c>
      <c r="B2958" s="2" t="s">
        <v>60</v>
      </c>
      <c r="C2958" s="2" t="s">
        <v>28994</v>
      </c>
      <c r="D2958" s="2" t="s">
        <v>28995</v>
      </c>
      <c r="E2958" s="2" t="s">
        <v>28996</v>
      </c>
      <c r="G2958" s="3" t="s">
        <v>62</v>
      </c>
      <c r="I2958" s="3" t="s">
        <v>62</v>
      </c>
      <c r="J2958" s="3" t="s">
        <v>62</v>
      </c>
      <c r="K2958" s="3" t="s">
        <v>63</v>
      </c>
      <c r="L2958" s="2" t="s">
        <v>28997</v>
      </c>
      <c r="M2958" s="2" t="s">
        <v>28998</v>
      </c>
      <c r="N2958" s="3" t="s">
        <v>122</v>
      </c>
      <c r="P2958" s="3" t="s">
        <v>110</v>
      </c>
      <c r="Q2958" s="2" t="s">
        <v>28999</v>
      </c>
      <c r="R2958" s="3" t="s">
        <v>66</v>
      </c>
      <c r="S2958" s="4">
        <v>6</v>
      </c>
      <c r="T2958" s="4">
        <v>6</v>
      </c>
      <c r="U2958" s="5" t="s">
        <v>29000</v>
      </c>
      <c r="V2958" s="5" t="s">
        <v>29000</v>
      </c>
      <c r="W2958" s="5" t="s">
        <v>67</v>
      </c>
      <c r="X2958" s="5" t="s">
        <v>67</v>
      </c>
      <c r="Y2958" s="4">
        <v>140</v>
      </c>
      <c r="Z2958" s="4">
        <v>19</v>
      </c>
      <c r="AA2958" s="4">
        <v>31</v>
      </c>
      <c r="AB2958" s="4">
        <v>2</v>
      </c>
      <c r="AC2958" s="4">
        <v>13</v>
      </c>
      <c r="AD2958" s="4">
        <v>64</v>
      </c>
      <c r="AE2958" s="4">
        <v>70</v>
      </c>
      <c r="AF2958" s="4">
        <v>1</v>
      </c>
      <c r="AG2958" s="4">
        <v>6</v>
      </c>
      <c r="AH2958" s="4">
        <v>55</v>
      </c>
      <c r="AI2958" s="4">
        <v>57</v>
      </c>
      <c r="AJ2958" s="4">
        <v>13</v>
      </c>
      <c r="AK2958" s="4">
        <v>18</v>
      </c>
      <c r="AL2958" s="4">
        <v>39</v>
      </c>
      <c r="AM2958" s="4">
        <v>39</v>
      </c>
      <c r="AN2958" s="4">
        <v>0</v>
      </c>
      <c r="AO2958" s="4">
        <v>0</v>
      </c>
      <c r="AP2958" s="4">
        <v>15</v>
      </c>
      <c r="AQ2958" s="4">
        <v>20</v>
      </c>
      <c r="AR2958" s="3" t="s">
        <v>62</v>
      </c>
      <c r="AS2958" s="3" t="s">
        <v>62</v>
      </c>
      <c r="AT2958" s="3" t="s">
        <v>61</v>
      </c>
      <c r="AU2958" s="6" t="str">
        <f>HYPERLINK("http://catalog.hathitrust.org/Record/000136773","HathiTrust Record")</f>
        <v>HathiTrust Record</v>
      </c>
      <c r="AV2958" s="6" t="str">
        <f>HYPERLINK("http://mcgill.on.worldcat.org/oclc/3873226","Catalog Record")</f>
        <v>Catalog Record</v>
      </c>
      <c r="AW2958" s="6" t="str">
        <f>HYPERLINK("http://www.worldcat.org/oclc/3873226","WorldCat Record")</f>
        <v>WorldCat Record</v>
      </c>
      <c r="AX2958" s="3" t="s">
        <v>29001</v>
      </c>
      <c r="AY2958" s="3" t="s">
        <v>29002</v>
      </c>
      <c r="AZ2958" s="3" t="s">
        <v>29003</v>
      </c>
      <c r="BA2958" s="3" t="s">
        <v>29003</v>
      </c>
      <c r="BB2958" s="3" t="s">
        <v>29004</v>
      </c>
      <c r="BC2958" s="3" t="s">
        <v>142</v>
      </c>
      <c r="BD2958" s="3" t="s">
        <v>68</v>
      </c>
      <c r="BE2958" s="3" t="s">
        <v>29005</v>
      </c>
      <c r="BF2958" s="3" t="s">
        <v>29004</v>
      </c>
      <c r="BG2958" s="3" t="s">
        <v>29006</v>
      </c>
    </row>
    <row r="2959" spans="1:59" ht="71.25" x14ac:dyDescent="0.45">
      <c r="A2959" s="2" t="s">
        <v>59</v>
      </c>
      <c r="B2959" s="2" t="s">
        <v>60</v>
      </c>
      <c r="C2959" s="2" t="s">
        <v>29007</v>
      </c>
      <c r="D2959" s="2" t="s">
        <v>29008</v>
      </c>
      <c r="E2959" s="2" t="s">
        <v>29009</v>
      </c>
      <c r="F2959" s="3" t="s">
        <v>29010</v>
      </c>
      <c r="G2959" s="3" t="s">
        <v>62</v>
      </c>
      <c r="I2959" s="3" t="s">
        <v>62</v>
      </c>
      <c r="J2959" s="3" t="s">
        <v>62</v>
      </c>
      <c r="K2959" s="3" t="s">
        <v>63</v>
      </c>
      <c r="L2959" s="2" t="s">
        <v>29011</v>
      </c>
      <c r="M2959" s="2" t="s">
        <v>29012</v>
      </c>
      <c r="N2959" s="3" t="s">
        <v>195</v>
      </c>
      <c r="P2959" s="3" t="s">
        <v>65</v>
      </c>
      <c r="Q2959" s="2" t="s">
        <v>29013</v>
      </c>
      <c r="R2959" s="3" t="s">
        <v>66</v>
      </c>
      <c r="S2959" s="4">
        <v>6</v>
      </c>
      <c r="T2959" s="4">
        <v>6</v>
      </c>
      <c r="U2959" s="5" t="s">
        <v>7667</v>
      </c>
      <c r="V2959" s="5" t="s">
        <v>7667</v>
      </c>
      <c r="W2959" s="5" t="s">
        <v>67</v>
      </c>
      <c r="X2959" s="5" t="s">
        <v>67</v>
      </c>
      <c r="Y2959" s="4">
        <v>21</v>
      </c>
      <c r="Z2959" s="4">
        <v>14</v>
      </c>
      <c r="AA2959" s="4">
        <v>18</v>
      </c>
      <c r="AB2959" s="4">
        <v>2</v>
      </c>
      <c r="AC2959" s="4">
        <v>6</v>
      </c>
      <c r="AD2959" s="4">
        <v>16</v>
      </c>
      <c r="AE2959" s="4">
        <v>19</v>
      </c>
      <c r="AF2959" s="4">
        <v>1</v>
      </c>
      <c r="AG2959" s="4">
        <v>4</v>
      </c>
      <c r="AH2959" s="4">
        <v>11</v>
      </c>
      <c r="AI2959" s="4">
        <v>12</v>
      </c>
      <c r="AJ2959" s="4">
        <v>8</v>
      </c>
      <c r="AK2959" s="4">
        <v>11</v>
      </c>
      <c r="AL2959" s="4">
        <v>5</v>
      </c>
      <c r="AM2959" s="4">
        <v>5</v>
      </c>
      <c r="AN2959" s="4">
        <v>0</v>
      </c>
      <c r="AO2959" s="4">
        <v>0</v>
      </c>
      <c r="AP2959" s="4">
        <v>9</v>
      </c>
      <c r="AQ2959" s="4">
        <v>11</v>
      </c>
      <c r="AR2959" s="3" t="s">
        <v>61</v>
      </c>
      <c r="AS2959" s="3" t="s">
        <v>62</v>
      </c>
      <c r="AT2959" s="3" t="s">
        <v>62</v>
      </c>
      <c r="AV2959" s="6" t="str">
        <f>HYPERLINK("http://mcgill.on.worldcat.org/oclc/28755679","Catalog Record")</f>
        <v>Catalog Record</v>
      </c>
      <c r="AW2959" s="6" t="str">
        <f>HYPERLINK("http://www.worldcat.org/oclc/28755679","WorldCat Record")</f>
        <v>WorldCat Record</v>
      </c>
      <c r="AX2959" s="3" t="s">
        <v>29014</v>
      </c>
      <c r="AY2959" s="3" t="s">
        <v>29015</v>
      </c>
      <c r="AZ2959" s="3" t="s">
        <v>29016</v>
      </c>
      <c r="BA2959" s="3" t="s">
        <v>29016</v>
      </c>
      <c r="BB2959" s="3" t="s">
        <v>29017</v>
      </c>
      <c r="BC2959" s="3" t="s">
        <v>142</v>
      </c>
      <c r="BD2959" s="3" t="s">
        <v>308</v>
      </c>
      <c r="BF2959" s="3" t="s">
        <v>29017</v>
      </c>
      <c r="BG2959" s="3" t="s">
        <v>29018</v>
      </c>
    </row>
    <row r="2960" spans="1:59" ht="71.25" x14ac:dyDescent="0.45">
      <c r="A2960" s="2" t="s">
        <v>59</v>
      </c>
      <c r="B2960" s="2" t="s">
        <v>60</v>
      </c>
      <c r="C2960" s="2" t="s">
        <v>29019</v>
      </c>
      <c r="D2960" s="2" t="s">
        <v>29020</v>
      </c>
      <c r="E2960" s="2" t="s">
        <v>29021</v>
      </c>
      <c r="F2960" s="3" t="s">
        <v>29022</v>
      </c>
      <c r="G2960" s="3" t="s">
        <v>62</v>
      </c>
      <c r="I2960" s="3" t="s">
        <v>62</v>
      </c>
      <c r="J2960" s="3" t="s">
        <v>62</v>
      </c>
      <c r="K2960" s="3" t="s">
        <v>63</v>
      </c>
      <c r="L2960" s="2" t="s">
        <v>29023</v>
      </c>
      <c r="M2960" s="2" t="s">
        <v>29024</v>
      </c>
      <c r="N2960" s="3" t="s">
        <v>84</v>
      </c>
      <c r="P2960" s="3" t="s">
        <v>65</v>
      </c>
      <c r="Q2960" s="2" t="s">
        <v>29025</v>
      </c>
      <c r="R2960" s="3" t="s">
        <v>66</v>
      </c>
      <c r="S2960" s="4">
        <v>19</v>
      </c>
      <c r="T2960" s="4">
        <v>19</v>
      </c>
      <c r="U2960" s="5" t="s">
        <v>1806</v>
      </c>
      <c r="V2960" s="5" t="s">
        <v>1806</v>
      </c>
      <c r="W2960" s="5" t="s">
        <v>67</v>
      </c>
      <c r="X2960" s="5" t="s">
        <v>67</v>
      </c>
      <c r="Y2960" s="4">
        <v>17</v>
      </c>
      <c r="Z2960" s="4">
        <v>10</v>
      </c>
      <c r="AA2960" s="4">
        <v>13</v>
      </c>
      <c r="AB2960" s="4">
        <v>1</v>
      </c>
      <c r="AC2960" s="4">
        <v>4</v>
      </c>
      <c r="AD2960" s="4">
        <v>9</v>
      </c>
      <c r="AE2960" s="4">
        <v>12</v>
      </c>
      <c r="AF2960" s="4">
        <v>0</v>
      </c>
      <c r="AG2960" s="4">
        <v>3</v>
      </c>
      <c r="AH2960" s="4">
        <v>7</v>
      </c>
      <c r="AI2960" s="4">
        <v>8</v>
      </c>
      <c r="AJ2960" s="4">
        <v>6</v>
      </c>
      <c r="AK2960" s="4">
        <v>9</v>
      </c>
      <c r="AL2960" s="4">
        <v>3</v>
      </c>
      <c r="AM2960" s="4">
        <v>3</v>
      </c>
      <c r="AN2960" s="4">
        <v>0</v>
      </c>
      <c r="AO2960" s="4">
        <v>0</v>
      </c>
      <c r="AP2960" s="4">
        <v>5</v>
      </c>
      <c r="AQ2960" s="4">
        <v>7</v>
      </c>
      <c r="AR2960" s="3" t="s">
        <v>61</v>
      </c>
      <c r="AS2960" s="3" t="s">
        <v>62</v>
      </c>
      <c r="AT2960" s="3" t="s">
        <v>62</v>
      </c>
      <c r="AV2960" s="6" t="str">
        <f>HYPERLINK("http://mcgill.on.worldcat.org/oclc/29772365","Catalog Record")</f>
        <v>Catalog Record</v>
      </c>
      <c r="AW2960" s="6" t="str">
        <f>HYPERLINK("http://www.worldcat.org/oclc/29772365","WorldCat Record")</f>
        <v>WorldCat Record</v>
      </c>
      <c r="AX2960" s="3" t="s">
        <v>29026</v>
      </c>
      <c r="AY2960" s="3" t="s">
        <v>29027</v>
      </c>
      <c r="AZ2960" s="3" t="s">
        <v>29028</v>
      </c>
      <c r="BA2960" s="3" t="s">
        <v>29028</v>
      </c>
      <c r="BB2960" s="3" t="s">
        <v>29029</v>
      </c>
      <c r="BC2960" s="3" t="s">
        <v>142</v>
      </c>
      <c r="BD2960" s="3" t="s">
        <v>68</v>
      </c>
      <c r="BF2960" s="3" t="s">
        <v>29029</v>
      </c>
      <c r="BG2960" s="3" t="s">
        <v>29030</v>
      </c>
    </row>
    <row r="2961" spans="1:59" ht="57" x14ac:dyDescent="0.45">
      <c r="A2961" s="2" t="s">
        <v>59</v>
      </c>
      <c r="B2961" s="2" t="s">
        <v>60</v>
      </c>
      <c r="C2961" s="2" t="s">
        <v>29031</v>
      </c>
      <c r="D2961" s="2" t="s">
        <v>29032</v>
      </c>
      <c r="E2961" s="2" t="s">
        <v>29033</v>
      </c>
      <c r="G2961" s="3" t="s">
        <v>62</v>
      </c>
      <c r="I2961" s="3" t="s">
        <v>62</v>
      </c>
      <c r="J2961" s="3" t="s">
        <v>62</v>
      </c>
      <c r="K2961" s="3" t="s">
        <v>63</v>
      </c>
      <c r="M2961" s="2" t="s">
        <v>1189</v>
      </c>
      <c r="N2961" s="3" t="s">
        <v>149</v>
      </c>
      <c r="P2961" s="3" t="s">
        <v>65</v>
      </c>
      <c r="Q2961" s="2" t="s">
        <v>29034</v>
      </c>
      <c r="R2961" s="3" t="s">
        <v>66</v>
      </c>
      <c r="S2961" s="4">
        <v>5</v>
      </c>
      <c r="T2961" s="4">
        <v>5</v>
      </c>
      <c r="U2961" s="5" t="s">
        <v>29035</v>
      </c>
      <c r="V2961" s="5" t="s">
        <v>29035</v>
      </c>
      <c r="W2961" s="5" t="s">
        <v>67</v>
      </c>
      <c r="X2961" s="5" t="s">
        <v>67</v>
      </c>
      <c r="Y2961" s="4">
        <v>120</v>
      </c>
      <c r="Z2961" s="4">
        <v>14</v>
      </c>
      <c r="AA2961" s="4">
        <v>19</v>
      </c>
      <c r="AB2961" s="4">
        <v>2</v>
      </c>
      <c r="AC2961" s="4">
        <v>4</v>
      </c>
      <c r="AD2961" s="4">
        <v>48</v>
      </c>
      <c r="AE2961" s="4">
        <v>56</v>
      </c>
      <c r="AF2961" s="4">
        <v>0</v>
      </c>
      <c r="AG2961" s="4">
        <v>0</v>
      </c>
      <c r="AH2961" s="4">
        <v>43</v>
      </c>
      <c r="AI2961" s="4">
        <v>50</v>
      </c>
      <c r="AJ2961" s="4">
        <v>8</v>
      </c>
      <c r="AK2961" s="4">
        <v>11</v>
      </c>
      <c r="AL2961" s="4">
        <v>26</v>
      </c>
      <c r="AM2961" s="4">
        <v>29</v>
      </c>
      <c r="AN2961" s="4">
        <v>0</v>
      </c>
      <c r="AO2961" s="4">
        <v>0</v>
      </c>
      <c r="AP2961" s="4">
        <v>10</v>
      </c>
      <c r="AQ2961" s="4">
        <v>13</v>
      </c>
      <c r="AR2961" s="3" t="s">
        <v>62</v>
      </c>
      <c r="AS2961" s="3" t="s">
        <v>62</v>
      </c>
      <c r="AT2961" s="3" t="s">
        <v>62</v>
      </c>
      <c r="AV2961" s="6" t="str">
        <f>HYPERLINK("http://mcgill.on.worldcat.org/oclc/311758686","Catalog Record")</f>
        <v>Catalog Record</v>
      </c>
      <c r="AW2961" s="6" t="str">
        <f>HYPERLINK("http://www.worldcat.org/oclc/311758686","WorldCat Record")</f>
        <v>WorldCat Record</v>
      </c>
      <c r="AX2961" s="3" t="s">
        <v>29036</v>
      </c>
      <c r="AY2961" s="3" t="s">
        <v>29037</v>
      </c>
      <c r="AZ2961" s="3" t="s">
        <v>29038</v>
      </c>
      <c r="BA2961" s="3" t="s">
        <v>29038</v>
      </c>
      <c r="BB2961" s="3" t="s">
        <v>29039</v>
      </c>
      <c r="BC2961" s="3" t="s">
        <v>142</v>
      </c>
      <c r="BD2961" s="3" t="s">
        <v>68</v>
      </c>
      <c r="BE2961" s="3" t="s">
        <v>29040</v>
      </c>
      <c r="BF2961" s="3" t="s">
        <v>29039</v>
      </c>
      <c r="BG2961" s="3" t="s">
        <v>29041</v>
      </c>
    </row>
    <row r="2962" spans="1:59" ht="57" x14ac:dyDescent="0.45">
      <c r="A2962" s="2" t="s">
        <v>59</v>
      </c>
      <c r="B2962" s="2" t="s">
        <v>60</v>
      </c>
      <c r="C2962" s="2" t="s">
        <v>29042</v>
      </c>
      <c r="D2962" s="2" t="s">
        <v>29043</v>
      </c>
      <c r="E2962" s="2" t="s">
        <v>29044</v>
      </c>
      <c r="G2962" s="3" t="s">
        <v>62</v>
      </c>
      <c r="I2962" s="3" t="s">
        <v>62</v>
      </c>
      <c r="J2962" s="3" t="s">
        <v>62</v>
      </c>
      <c r="K2962" s="3" t="s">
        <v>63</v>
      </c>
      <c r="L2962" s="2" t="s">
        <v>29045</v>
      </c>
      <c r="M2962" s="2" t="s">
        <v>17617</v>
      </c>
      <c r="N2962" s="3" t="s">
        <v>125</v>
      </c>
      <c r="P2962" s="3" t="s">
        <v>65</v>
      </c>
      <c r="Q2962" s="2" t="s">
        <v>17618</v>
      </c>
      <c r="R2962" s="3" t="s">
        <v>66</v>
      </c>
      <c r="S2962" s="4">
        <v>40</v>
      </c>
      <c r="T2962" s="4">
        <v>40</v>
      </c>
      <c r="U2962" s="5" t="s">
        <v>2633</v>
      </c>
      <c r="V2962" s="5" t="s">
        <v>2633</v>
      </c>
      <c r="W2962" s="5" t="s">
        <v>67</v>
      </c>
      <c r="X2962" s="5" t="s">
        <v>67</v>
      </c>
      <c r="Y2962" s="4">
        <v>620</v>
      </c>
      <c r="Z2962" s="4">
        <v>47</v>
      </c>
      <c r="AA2962" s="4">
        <v>117</v>
      </c>
      <c r="AB2962" s="4">
        <v>2</v>
      </c>
      <c r="AC2962" s="4">
        <v>17</v>
      </c>
      <c r="AD2962" s="4">
        <v>128</v>
      </c>
      <c r="AE2962" s="4">
        <v>155</v>
      </c>
      <c r="AF2962" s="4">
        <v>1</v>
      </c>
      <c r="AG2962" s="4">
        <v>8</v>
      </c>
      <c r="AH2962" s="4">
        <v>103</v>
      </c>
      <c r="AI2962" s="4">
        <v>111</v>
      </c>
      <c r="AJ2962" s="4">
        <v>22</v>
      </c>
      <c r="AK2962" s="4">
        <v>27</v>
      </c>
      <c r="AL2962" s="4">
        <v>55</v>
      </c>
      <c r="AM2962" s="4">
        <v>58</v>
      </c>
      <c r="AN2962" s="4">
        <v>0</v>
      </c>
      <c r="AO2962" s="4">
        <v>0</v>
      </c>
      <c r="AP2962" s="4">
        <v>34</v>
      </c>
      <c r="AQ2962" s="4">
        <v>54</v>
      </c>
      <c r="AR2962" s="3" t="s">
        <v>62</v>
      </c>
      <c r="AS2962" s="3" t="s">
        <v>62</v>
      </c>
      <c r="AT2962" s="3" t="s">
        <v>61</v>
      </c>
      <c r="AU2962" s="6" t="str">
        <f>HYPERLINK("http://catalog.hathitrust.org/Record/002213699","HathiTrust Record")</f>
        <v>HathiTrust Record</v>
      </c>
      <c r="AV2962" s="6" t="str">
        <f>HYPERLINK("http://mcgill.on.worldcat.org/oclc/19847086","Catalog Record")</f>
        <v>Catalog Record</v>
      </c>
      <c r="AW2962" s="6" t="str">
        <f>HYPERLINK("http://www.worldcat.org/oclc/19847086","WorldCat Record")</f>
        <v>WorldCat Record</v>
      </c>
      <c r="AX2962" s="3" t="s">
        <v>29046</v>
      </c>
      <c r="AY2962" s="3" t="s">
        <v>29047</v>
      </c>
      <c r="AZ2962" s="3" t="s">
        <v>29048</v>
      </c>
      <c r="BA2962" s="3" t="s">
        <v>29048</v>
      </c>
      <c r="BB2962" s="3" t="s">
        <v>29049</v>
      </c>
      <c r="BC2962" s="3" t="s">
        <v>142</v>
      </c>
      <c r="BD2962" s="3" t="s">
        <v>68</v>
      </c>
      <c r="BE2962" s="3" t="s">
        <v>29050</v>
      </c>
      <c r="BF2962" s="3" t="s">
        <v>29049</v>
      </c>
      <c r="BG2962" s="3" t="s">
        <v>29051</v>
      </c>
    </row>
    <row r="2963" spans="1:59" ht="57" x14ac:dyDescent="0.45">
      <c r="A2963" s="2" t="s">
        <v>59</v>
      </c>
      <c r="B2963" s="2" t="s">
        <v>60</v>
      </c>
      <c r="C2963" s="2" t="s">
        <v>29052</v>
      </c>
      <c r="D2963" s="2" t="s">
        <v>29053</v>
      </c>
      <c r="E2963" s="2" t="s">
        <v>29054</v>
      </c>
      <c r="G2963" s="3" t="s">
        <v>62</v>
      </c>
      <c r="I2963" s="3" t="s">
        <v>61</v>
      </c>
      <c r="J2963" s="3" t="s">
        <v>62</v>
      </c>
      <c r="K2963" s="3" t="s">
        <v>63</v>
      </c>
      <c r="M2963" s="2" t="s">
        <v>29055</v>
      </c>
      <c r="N2963" s="3" t="s">
        <v>529</v>
      </c>
      <c r="P2963" s="3" t="s">
        <v>65</v>
      </c>
      <c r="R2963" s="3" t="s">
        <v>66</v>
      </c>
      <c r="S2963" s="4">
        <v>27</v>
      </c>
      <c r="T2963" s="4">
        <v>58</v>
      </c>
      <c r="U2963" s="5" t="s">
        <v>29056</v>
      </c>
      <c r="V2963" s="5" t="s">
        <v>29056</v>
      </c>
      <c r="W2963" s="5" t="s">
        <v>67</v>
      </c>
      <c r="X2963" s="5" t="s">
        <v>67</v>
      </c>
      <c r="Y2963" s="4">
        <v>814</v>
      </c>
      <c r="Z2963" s="4">
        <v>45</v>
      </c>
      <c r="AA2963" s="4">
        <v>58</v>
      </c>
      <c r="AB2963" s="4">
        <v>3</v>
      </c>
      <c r="AC2963" s="4">
        <v>6</v>
      </c>
      <c r="AD2963" s="4">
        <v>131</v>
      </c>
      <c r="AE2963" s="4">
        <v>144</v>
      </c>
      <c r="AF2963" s="4">
        <v>1</v>
      </c>
      <c r="AG2963" s="4">
        <v>4</v>
      </c>
      <c r="AH2963" s="4">
        <v>104</v>
      </c>
      <c r="AI2963" s="4">
        <v>111</v>
      </c>
      <c r="AJ2963" s="4">
        <v>18</v>
      </c>
      <c r="AK2963" s="4">
        <v>24</v>
      </c>
      <c r="AL2963" s="4">
        <v>56</v>
      </c>
      <c r="AM2963" s="4">
        <v>58</v>
      </c>
      <c r="AN2963" s="4">
        <v>0</v>
      </c>
      <c r="AO2963" s="4">
        <v>0</v>
      </c>
      <c r="AP2963" s="4">
        <v>31</v>
      </c>
      <c r="AQ2963" s="4">
        <v>41</v>
      </c>
      <c r="AR2963" s="3" t="s">
        <v>62</v>
      </c>
      <c r="AS2963" s="3" t="s">
        <v>62</v>
      </c>
      <c r="AT2963" s="3" t="s">
        <v>61</v>
      </c>
      <c r="AU2963" s="6" t="str">
        <f>HYPERLINK("http://catalog.hathitrust.org/Record/000347840","HathiTrust Record")</f>
        <v>HathiTrust Record</v>
      </c>
      <c r="AV2963" s="6" t="str">
        <f>HYPERLINK("http://mcgill.on.worldcat.org/oclc/11211731","Catalog Record")</f>
        <v>Catalog Record</v>
      </c>
      <c r="AW2963" s="6" t="str">
        <f>HYPERLINK("http://www.worldcat.org/oclc/11211731","WorldCat Record")</f>
        <v>WorldCat Record</v>
      </c>
      <c r="AX2963" s="3" t="s">
        <v>29057</v>
      </c>
      <c r="AY2963" s="3" t="s">
        <v>29058</v>
      </c>
      <c r="AZ2963" s="3" t="s">
        <v>29059</v>
      </c>
      <c r="BA2963" s="3" t="s">
        <v>29059</v>
      </c>
      <c r="BB2963" s="3" t="s">
        <v>29060</v>
      </c>
      <c r="BC2963" s="3" t="s">
        <v>142</v>
      </c>
      <c r="BD2963" s="3" t="s">
        <v>68</v>
      </c>
      <c r="BE2963" s="3" t="s">
        <v>29061</v>
      </c>
      <c r="BF2963" s="3" t="s">
        <v>29060</v>
      </c>
      <c r="BG2963" s="3" t="s">
        <v>29062</v>
      </c>
    </row>
    <row r="2964" spans="1:59" ht="57" x14ac:dyDescent="0.45">
      <c r="A2964" s="2" t="s">
        <v>59</v>
      </c>
      <c r="B2964" s="2" t="s">
        <v>60</v>
      </c>
      <c r="C2964" s="2" t="s">
        <v>29052</v>
      </c>
      <c r="D2964" s="2" t="s">
        <v>29053</v>
      </c>
      <c r="E2964" s="2" t="s">
        <v>29054</v>
      </c>
      <c r="G2964" s="3" t="s">
        <v>62</v>
      </c>
      <c r="I2964" s="3" t="s">
        <v>61</v>
      </c>
      <c r="J2964" s="3" t="s">
        <v>62</v>
      </c>
      <c r="K2964" s="3" t="s">
        <v>63</v>
      </c>
      <c r="M2964" s="2" t="s">
        <v>29055</v>
      </c>
      <c r="N2964" s="3" t="s">
        <v>529</v>
      </c>
      <c r="P2964" s="3" t="s">
        <v>65</v>
      </c>
      <c r="R2964" s="3" t="s">
        <v>66</v>
      </c>
      <c r="S2964" s="4">
        <v>31</v>
      </c>
      <c r="T2964" s="4">
        <v>58</v>
      </c>
      <c r="U2964" s="5" t="s">
        <v>11647</v>
      </c>
      <c r="V2964" s="5" t="s">
        <v>29056</v>
      </c>
      <c r="W2964" s="5" t="s">
        <v>67</v>
      </c>
      <c r="X2964" s="5" t="s">
        <v>67</v>
      </c>
      <c r="Y2964" s="4">
        <v>814</v>
      </c>
      <c r="Z2964" s="4">
        <v>45</v>
      </c>
      <c r="AA2964" s="4">
        <v>58</v>
      </c>
      <c r="AB2964" s="4">
        <v>3</v>
      </c>
      <c r="AC2964" s="4">
        <v>6</v>
      </c>
      <c r="AD2964" s="4">
        <v>131</v>
      </c>
      <c r="AE2964" s="4">
        <v>144</v>
      </c>
      <c r="AF2964" s="4">
        <v>1</v>
      </c>
      <c r="AG2964" s="4">
        <v>4</v>
      </c>
      <c r="AH2964" s="4">
        <v>104</v>
      </c>
      <c r="AI2964" s="4">
        <v>111</v>
      </c>
      <c r="AJ2964" s="4">
        <v>18</v>
      </c>
      <c r="AK2964" s="4">
        <v>24</v>
      </c>
      <c r="AL2964" s="4">
        <v>56</v>
      </c>
      <c r="AM2964" s="4">
        <v>58</v>
      </c>
      <c r="AN2964" s="4">
        <v>0</v>
      </c>
      <c r="AO2964" s="4">
        <v>0</v>
      </c>
      <c r="AP2964" s="4">
        <v>31</v>
      </c>
      <c r="AQ2964" s="4">
        <v>41</v>
      </c>
      <c r="AR2964" s="3" t="s">
        <v>62</v>
      </c>
      <c r="AS2964" s="3" t="s">
        <v>62</v>
      </c>
      <c r="AT2964" s="3" t="s">
        <v>61</v>
      </c>
      <c r="AU2964" s="6" t="str">
        <f>HYPERLINK("http://catalog.hathitrust.org/Record/000347840","HathiTrust Record")</f>
        <v>HathiTrust Record</v>
      </c>
      <c r="AV2964" s="6" t="str">
        <f>HYPERLINK("http://mcgill.on.worldcat.org/oclc/11211731","Catalog Record")</f>
        <v>Catalog Record</v>
      </c>
      <c r="AW2964" s="6" t="str">
        <f>HYPERLINK("http://www.worldcat.org/oclc/11211731","WorldCat Record")</f>
        <v>WorldCat Record</v>
      </c>
      <c r="AX2964" s="3" t="s">
        <v>29057</v>
      </c>
      <c r="AY2964" s="3" t="s">
        <v>29058</v>
      </c>
      <c r="AZ2964" s="3" t="s">
        <v>29059</v>
      </c>
      <c r="BA2964" s="3" t="s">
        <v>29059</v>
      </c>
      <c r="BB2964" s="3" t="s">
        <v>29063</v>
      </c>
      <c r="BC2964" s="3" t="s">
        <v>142</v>
      </c>
      <c r="BD2964" s="3" t="s">
        <v>68</v>
      </c>
      <c r="BE2964" s="3" t="s">
        <v>29061</v>
      </c>
      <c r="BF2964" s="3" t="s">
        <v>29063</v>
      </c>
      <c r="BG2964" s="3" t="s">
        <v>29064</v>
      </c>
    </row>
    <row r="2965" spans="1:59" ht="57" x14ac:dyDescent="0.45">
      <c r="A2965" s="2" t="s">
        <v>59</v>
      </c>
      <c r="B2965" s="2" t="s">
        <v>60</v>
      </c>
      <c r="C2965" s="2" t="s">
        <v>29065</v>
      </c>
      <c r="D2965" s="2" t="s">
        <v>29066</v>
      </c>
      <c r="E2965" s="2" t="s">
        <v>29067</v>
      </c>
      <c r="G2965" s="3" t="s">
        <v>62</v>
      </c>
      <c r="I2965" s="3" t="s">
        <v>62</v>
      </c>
      <c r="J2965" s="3" t="s">
        <v>62</v>
      </c>
      <c r="K2965" s="3" t="s">
        <v>63</v>
      </c>
      <c r="L2965" s="2" t="s">
        <v>29068</v>
      </c>
      <c r="M2965" s="2" t="s">
        <v>29069</v>
      </c>
      <c r="N2965" s="3" t="s">
        <v>84</v>
      </c>
      <c r="P2965" s="3" t="s">
        <v>110</v>
      </c>
      <c r="Q2965" s="2" t="s">
        <v>29070</v>
      </c>
      <c r="R2965" s="3" t="s">
        <v>66</v>
      </c>
      <c r="S2965" s="4">
        <v>13</v>
      </c>
      <c r="T2965" s="4">
        <v>13</v>
      </c>
      <c r="U2965" s="5" t="s">
        <v>20140</v>
      </c>
      <c r="V2965" s="5" t="s">
        <v>20140</v>
      </c>
      <c r="W2965" s="5" t="s">
        <v>67</v>
      </c>
      <c r="X2965" s="5" t="s">
        <v>67</v>
      </c>
      <c r="Y2965" s="4">
        <v>22</v>
      </c>
      <c r="Z2965" s="4">
        <v>6</v>
      </c>
      <c r="AA2965" s="4">
        <v>22</v>
      </c>
      <c r="AB2965" s="4">
        <v>1</v>
      </c>
      <c r="AC2965" s="4">
        <v>11</v>
      </c>
      <c r="AD2965" s="4">
        <v>12</v>
      </c>
      <c r="AE2965" s="4">
        <v>25</v>
      </c>
      <c r="AF2965" s="4">
        <v>0</v>
      </c>
      <c r="AG2965" s="4">
        <v>3</v>
      </c>
      <c r="AH2965" s="4">
        <v>9</v>
      </c>
      <c r="AI2965" s="4">
        <v>19</v>
      </c>
      <c r="AJ2965" s="4">
        <v>5</v>
      </c>
      <c r="AK2965" s="4">
        <v>13</v>
      </c>
      <c r="AL2965" s="4">
        <v>4</v>
      </c>
      <c r="AM2965" s="4">
        <v>10</v>
      </c>
      <c r="AN2965" s="4">
        <v>0</v>
      </c>
      <c r="AO2965" s="4">
        <v>5</v>
      </c>
      <c r="AP2965" s="4">
        <v>5</v>
      </c>
      <c r="AQ2965" s="4">
        <v>11</v>
      </c>
      <c r="AR2965" s="3" t="s">
        <v>61</v>
      </c>
      <c r="AS2965" s="3" t="s">
        <v>62</v>
      </c>
      <c r="AT2965" s="3" t="s">
        <v>61</v>
      </c>
      <c r="AU2965" s="6" t="str">
        <f>HYPERLINK("http://catalog.hathitrust.org/Record/101949004","HathiTrust Record")</f>
        <v>HathiTrust Record</v>
      </c>
      <c r="AV2965" s="6" t="str">
        <f>HYPERLINK("http://mcgill.on.worldcat.org/oclc/31865714","Catalog Record")</f>
        <v>Catalog Record</v>
      </c>
      <c r="AW2965" s="6" t="str">
        <f>HYPERLINK("http://www.worldcat.org/oclc/31865714","WorldCat Record")</f>
        <v>WorldCat Record</v>
      </c>
      <c r="AX2965" s="3" t="s">
        <v>29071</v>
      </c>
      <c r="AY2965" s="3" t="s">
        <v>29072</v>
      </c>
      <c r="AZ2965" s="3" t="s">
        <v>29073</v>
      </c>
      <c r="BA2965" s="3" t="s">
        <v>29073</v>
      </c>
      <c r="BB2965" s="3" t="s">
        <v>29074</v>
      </c>
      <c r="BC2965" s="3" t="s">
        <v>142</v>
      </c>
      <c r="BD2965" s="3" t="s">
        <v>68</v>
      </c>
      <c r="BE2965" s="3" t="s">
        <v>29075</v>
      </c>
      <c r="BF2965" s="3" t="s">
        <v>29074</v>
      </c>
      <c r="BG2965" s="3" t="s">
        <v>29076</v>
      </c>
    </row>
    <row r="2966" spans="1:59" ht="57" x14ac:dyDescent="0.45">
      <c r="A2966" s="2" t="s">
        <v>59</v>
      </c>
      <c r="B2966" s="2" t="s">
        <v>60</v>
      </c>
      <c r="C2966" s="2" t="s">
        <v>29077</v>
      </c>
      <c r="D2966" s="2" t="s">
        <v>29078</v>
      </c>
      <c r="E2966" s="2" t="s">
        <v>29079</v>
      </c>
      <c r="G2966" s="3" t="s">
        <v>62</v>
      </c>
      <c r="I2966" s="3" t="s">
        <v>62</v>
      </c>
      <c r="J2966" s="3" t="s">
        <v>62</v>
      </c>
      <c r="K2966" s="3" t="s">
        <v>63</v>
      </c>
      <c r="L2966" s="2" t="s">
        <v>12142</v>
      </c>
      <c r="M2966" s="2" t="s">
        <v>29080</v>
      </c>
      <c r="N2966" s="3" t="s">
        <v>122</v>
      </c>
      <c r="P2966" s="3" t="s">
        <v>65</v>
      </c>
      <c r="R2966" s="3" t="s">
        <v>66</v>
      </c>
      <c r="S2966" s="4">
        <v>9</v>
      </c>
      <c r="T2966" s="4">
        <v>9</v>
      </c>
      <c r="U2966" s="5" t="s">
        <v>28177</v>
      </c>
      <c r="V2966" s="5" t="s">
        <v>28177</v>
      </c>
      <c r="W2966" s="5" t="s">
        <v>67</v>
      </c>
      <c r="X2966" s="5" t="s">
        <v>67</v>
      </c>
      <c r="Y2966" s="4">
        <v>488</v>
      </c>
      <c r="Z2966" s="4">
        <v>30</v>
      </c>
      <c r="AA2966" s="4">
        <v>35</v>
      </c>
      <c r="AB2966" s="4">
        <v>3</v>
      </c>
      <c r="AC2966" s="4">
        <v>7</v>
      </c>
      <c r="AD2966" s="4">
        <v>118</v>
      </c>
      <c r="AE2966" s="4">
        <v>124</v>
      </c>
      <c r="AF2966" s="4">
        <v>2</v>
      </c>
      <c r="AG2966" s="4">
        <v>6</v>
      </c>
      <c r="AH2966" s="4">
        <v>103</v>
      </c>
      <c r="AI2966" s="4">
        <v>105</v>
      </c>
      <c r="AJ2966" s="4">
        <v>17</v>
      </c>
      <c r="AK2966" s="4">
        <v>22</v>
      </c>
      <c r="AL2966" s="4">
        <v>57</v>
      </c>
      <c r="AM2966" s="4">
        <v>57</v>
      </c>
      <c r="AN2966" s="4">
        <v>0</v>
      </c>
      <c r="AO2966" s="4">
        <v>0</v>
      </c>
      <c r="AP2966" s="4">
        <v>23</v>
      </c>
      <c r="AQ2966" s="4">
        <v>27</v>
      </c>
      <c r="AR2966" s="3" t="s">
        <v>62</v>
      </c>
      <c r="AS2966" s="3" t="s">
        <v>62</v>
      </c>
      <c r="AT2966" s="3" t="s">
        <v>61</v>
      </c>
      <c r="AU2966" s="6" t="str">
        <f>HYPERLINK("http://catalog.hathitrust.org/Record/000742954","HathiTrust Record")</f>
        <v>HathiTrust Record</v>
      </c>
      <c r="AV2966" s="6" t="str">
        <f>HYPERLINK("http://mcgill.on.worldcat.org/oclc/2401585","Catalog Record")</f>
        <v>Catalog Record</v>
      </c>
      <c r="AW2966" s="6" t="str">
        <f>HYPERLINK("http://www.worldcat.org/oclc/2401585","WorldCat Record")</f>
        <v>WorldCat Record</v>
      </c>
      <c r="AX2966" s="3" t="s">
        <v>29081</v>
      </c>
      <c r="AY2966" s="3" t="s">
        <v>29082</v>
      </c>
      <c r="AZ2966" s="3" t="s">
        <v>29083</v>
      </c>
      <c r="BA2966" s="3" t="s">
        <v>29083</v>
      </c>
      <c r="BB2966" s="3" t="s">
        <v>29084</v>
      </c>
      <c r="BC2966" s="3" t="s">
        <v>142</v>
      </c>
      <c r="BD2966" s="3" t="s">
        <v>68</v>
      </c>
      <c r="BE2966" s="3" t="s">
        <v>29085</v>
      </c>
      <c r="BF2966" s="3" t="s">
        <v>29084</v>
      </c>
      <c r="BG2966" s="3" t="s">
        <v>29086</v>
      </c>
    </row>
    <row r="2967" spans="1:59" ht="57" x14ac:dyDescent="0.45">
      <c r="A2967" s="2" t="s">
        <v>59</v>
      </c>
      <c r="B2967" s="2" t="s">
        <v>60</v>
      </c>
      <c r="C2967" s="2" t="s">
        <v>29087</v>
      </c>
      <c r="D2967" s="2" t="s">
        <v>29088</v>
      </c>
      <c r="E2967" s="2" t="s">
        <v>29089</v>
      </c>
      <c r="G2967" s="3" t="s">
        <v>62</v>
      </c>
      <c r="I2967" s="3" t="s">
        <v>62</v>
      </c>
      <c r="J2967" s="3" t="s">
        <v>62</v>
      </c>
      <c r="K2967" s="3" t="s">
        <v>63</v>
      </c>
      <c r="M2967" s="2" t="s">
        <v>29090</v>
      </c>
      <c r="N2967" s="3" t="s">
        <v>894</v>
      </c>
      <c r="P2967" s="3" t="s">
        <v>110</v>
      </c>
      <c r="Q2967" s="2" t="s">
        <v>29091</v>
      </c>
      <c r="R2967" s="3" t="s">
        <v>66</v>
      </c>
      <c r="S2967" s="4">
        <v>0</v>
      </c>
      <c r="T2967" s="4">
        <v>0</v>
      </c>
      <c r="W2967" s="5" t="s">
        <v>67</v>
      </c>
      <c r="X2967" s="5" t="s">
        <v>67</v>
      </c>
      <c r="Y2967" s="4">
        <v>3</v>
      </c>
      <c r="Z2967" s="4">
        <v>2</v>
      </c>
      <c r="AA2967" s="4">
        <v>39</v>
      </c>
      <c r="AB2967" s="4">
        <v>1</v>
      </c>
      <c r="AC2967" s="4">
        <v>14</v>
      </c>
      <c r="AD2967" s="4">
        <v>2</v>
      </c>
      <c r="AE2967" s="4">
        <v>29</v>
      </c>
      <c r="AF2967" s="4">
        <v>0</v>
      </c>
      <c r="AG2967" s="4">
        <v>5</v>
      </c>
      <c r="AH2967" s="4">
        <v>1</v>
      </c>
      <c r="AI2967" s="4">
        <v>14</v>
      </c>
      <c r="AJ2967" s="4">
        <v>1</v>
      </c>
      <c r="AK2967" s="4">
        <v>14</v>
      </c>
      <c r="AL2967" s="4">
        <v>1</v>
      </c>
      <c r="AM2967" s="4">
        <v>6</v>
      </c>
      <c r="AN2967" s="4">
        <v>0</v>
      </c>
      <c r="AO2967" s="4">
        <v>0</v>
      </c>
      <c r="AP2967" s="4">
        <v>0</v>
      </c>
      <c r="AQ2967" s="4">
        <v>21</v>
      </c>
      <c r="AR2967" s="3" t="s">
        <v>61</v>
      </c>
      <c r="AS2967" s="3" t="s">
        <v>62</v>
      </c>
      <c r="AT2967" s="3" t="s">
        <v>62</v>
      </c>
      <c r="AV2967" s="6" t="str">
        <f>HYPERLINK("http://mcgill.on.worldcat.org/oclc/777303848","Catalog Record")</f>
        <v>Catalog Record</v>
      </c>
      <c r="AW2967" s="6" t="str">
        <f>HYPERLINK("http://www.worldcat.org/oclc/777303848","WorldCat Record")</f>
        <v>WorldCat Record</v>
      </c>
      <c r="AX2967" s="3" t="s">
        <v>29092</v>
      </c>
      <c r="AY2967" s="3" t="s">
        <v>29093</v>
      </c>
      <c r="AZ2967" s="3" t="s">
        <v>29094</v>
      </c>
      <c r="BA2967" s="3" t="s">
        <v>29094</v>
      </c>
      <c r="BB2967" s="3" t="s">
        <v>29095</v>
      </c>
      <c r="BC2967" s="3" t="s">
        <v>142</v>
      </c>
      <c r="BD2967" s="3" t="s">
        <v>68</v>
      </c>
      <c r="BE2967" s="3" t="s">
        <v>29096</v>
      </c>
      <c r="BF2967" s="3" t="s">
        <v>29095</v>
      </c>
      <c r="BG2967" s="3" t="s">
        <v>29097</v>
      </c>
    </row>
    <row r="2968" spans="1:59" ht="57" x14ac:dyDescent="0.45">
      <c r="A2968" s="2" t="s">
        <v>59</v>
      </c>
      <c r="B2968" s="2" t="s">
        <v>60</v>
      </c>
      <c r="C2968" s="2" t="s">
        <v>29098</v>
      </c>
      <c r="D2968" s="2" t="s">
        <v>29099</v>
      </c>
      <c r="E2968" s="2" t="s">
        <v>29100</v>
      </c>
      <c r="G2968" s="3" t="s">
        <v>62</v>
      </c>
      <c r="I2968" s="3" t="s">
        <v>62</v>
      </c>
      <c r="J2968" s="3" t="s">
        <v>62</v>
      </c>
      <c r="K2968" s="3" t="s">
        <v>63</v>
      </c>
      <c r="L2968" s="2" t="s">
        <v>29101</v>
      </c>
      <c r="M2968" s="2" t="s">
        <v>29102</v>
      </c>
      <c r="N2968" s="3" t="s">
        <v>1155</v>
      </c>
      <c r="P2968" s="3" t="s">
        <v>65</v>
      </c>
      <c r="R2968" s="3" t="s">
        <v>66</v>
      </c>
      <c r="S2968" s="4">
        <v>1</v>
      </c>
      <c r="T2968" s="4">
        <v>1</v>
      </c>
      <c r="U2968" s="5" t="s">
        <v>26397</v>
      </c>
      <c r="V2968" s="5" t="s">
        <v>26397</v>
      </c>
      <c r="W2968" s="5" t="s">
        <v>67</v>
      </c>
      <c r="X2968" s="5" t="s">
        <v>67</v>
      </c>
      <c r="Y2968" s="4">
        <v>122</v>
      </c>
      <c r="Z2968" s="4">
        <v>18</v>
      </c>
      <c r="AA2968" s="4">
        <v>18</v>
      </c>
      <c r="AB2968" s="4">
        <v>2</v>
      </c>
      <c r="AC2968" s="4">
        <v>2</v>
      </c>
      <c r="AD2968" s="4">
        <v>51</v>
      </c>
      <c r="AE2968" s="4">
        <v>51</v>
      </c>
      <c r="AF2968" s="4">
        <v>1</v>
      </c>
      <c r="AG2968" s="4">
        <v>1</v>
      </c>
      <c r="AH2968" s="4">
        <v>47</v>
      </c>
      <c r="AI2968" s="4">
        <v>47</v>
      </c>
      <c r="AJ2968" s="4">
        <v>13</v>
      </c>
      <c r="AK2968" s="4">
        <v>13</v>
      </c>
      <c r="AL2968" s="4">
        <v>26</v>
      </c>
      <c r="AM2968" s="4">
        <v>26</v>
      </c>
      <c r="AN2968" s="4">
        <v>0</v>
      </c>
      <c r="AO2968" s="4">
        <v>0</v>
      </c>
      <c r="AP2968" s="4">
        <v>13</v>
      </c>
      <c r="AQ2968" s="4">
        <v>13</v>
      </c>
      <c r="AR2968" s="3" t="s">
        <v>62</v>
      </c>
      <c r="AS2968" s="3" t="s">
        <v>62</v>
      </c>
      <c r="AT2968" s="3" t="s">
        <v>62</v>
      </c>
      <c r="AV2968" s="6" t="str">
        <f>HYPERLINK("http://mcgill.on.worldcat.org/oclc/717297965","Catalog Record")</f>
        <v>Catalog Record</v>
      </c>
      <c r="AW2968" s="6" t="str">
        <f>HYPERLINK("http://www.worldcat.org/oclc/717297965","WorldCat Record")</f>
        <v>WorldCat Record</v>
      </c>
      <c r="AX2968" s="3" t="s">
        <v>29103</v>
      </c>
      <c r="AY2968" s="3" t="s">
        <v>29104</v>
      </c>
      <c r="AZ2968" s="3" t="s">
        <v>29105</v>
      </c>
      <c r="BA2968" s="3" t="s">
        <v>29105</v>
      </c>
      <c r="BB2968" s="3" t="s">
        <v>29106</v>
      </c>
      <c r="BC2968" s="3" t="s">
        <v>142</v>
      </c>
      <c r="BD2968" s="3" t="s">
        <v>68</v>
      </c>
      <c r="BE2968" s="3" t="s">
        <v>29107</v>
      </c>
      <c r="BF2968" s="3" t="s">
        <v>29106</v>
      </c>
      <c r="BG2968" s="3" t="s">
        <v>29108</v>
      </c>
    </row>
    <row r="2969" spans="1:59" ht="57" x14ac:dyDescent="0.45">
      <c r="A2969" s="2" t="s">
        <v>59</v>
      </c>
      <c r="B2969" s="2" t="s">
        <v>60</v>
      </c>
      <c r="C2969" s="2" t="s">
        <v>29109</v>
      </c>
      <c r="D2969" s="2" t="s">
        <v>29110</v>
      </c>
      <c r="E2969" s="2" t="s">
        <v>29111</v>
      </c>
      <c r="G2969" s="3" t="s">
        <v>62</v>
      </c>
      <c r="I2969" s="3" t="s">
        <v>62</v>
      </c>
      <c r="J2969" s="3" t="s">
        <v>62</v>
      </c>
      <c r="K2969" s="3" t="s">
        <v>63</v>
      </c>
      <c r="L2969" s="2" t="s">
        <v>29101</v>
      </c>
      <c r="M2969" s="2" t="s">
        <v>29112</v>
      </c>
      <c r="N2969" s="3" t="s">
        <v>149</v>
      </c>
      <c r="P2969" s="3" t="s">
        <v>65</v>
      </c>
      <c r="R2969" s="3" t="s">
        <v>66</v>
      </c>
      <c r="S2969" s="4">
        <v>1</v>
      </c>
      <c r="T2969" s="4">
        <v>1</v>
      </c>
      <c r="U2969" s="5" t="s">
        <v>29113</v>
      </c>
      <c r="V2969" s="5" t="s">
        <v>29113</v>
      </c>
      <c r="W2969" s="5" t="s">
        <v>67</v>
      </c>
      <c r="X2969" s="5" t="s">
        <v>67</v>
      </c>
      <c r="Y2969" s="4">
        <v>94</v>
      </c>
      <c r="Z2969" s="4">
        <v>14</v>
      </c>
      <c r="AA2969" s="4">
        <v>20</v>
      </c>
      <c r="AB2969" s="4">
        <v>2</v>
      </c>
      <c r="AC2969" s="4">
        <v>5</v>
      </c>
      <c r="AD2969" s="4">
        <v>43</v>
      </c>
      <c r="AE2969" s="4">
        <v>48</v>
      </c>
      <c r="AF2969" s="4">
        <v>1</v>
      </c>
      <c r="AG2969" s="4">
        <v>1</v>
      </c>
      <c r="AH2969" s="4">
        <v>37</v>
      </c>
      <c r="AI2969" s="4">
        <v>41</v>
      </c>
      <c r="AJ2969" s="4">
        <v>9</v>
      </c>
      <c r="AK2969" s="4">
        <v>11</v>
      </c>
      <c r="AL2969" s="4">
        <v>21</v>
      </c>
      <c r="AM2969" s="4">
        <v>22</v>
      </c>
      <c r="AN2969" s="4">
        <v>0</v>
      </c>
      <c r="AO2969" s="4">
        <v>0</v>
      </c>
      <c r="AP2969" s="4">
        <v>10</v>
      </c>
      <c r="AQ2969" s="4">
        <v>13</v>
      </c>
      <c r="AR2969" s="3" t="s">
        <v>62</v>
      </c>
      <c r="AS2969" s="3" t="s">
        <v>62</v>
      </c>
      <c r="AT2969" s="3" t="s">
        <v>62</v>
      </c>
      <c r="AV2969" s="6" t="str">
        <f>HYPERLINK("http://mcgill.on.worldcat.org/oclc/351324680","Catalog Record")</f>
        <v>Catalog Record</v>
      </c>
      <c r="AW2969" s="6" t="str">
        <f>HYPERLINK("http://www.worldcat.org/oclc/351324680","WorldCat Record")</f>
        <v>WorldCat Record</v>
      </c>
      <c r="AX2969" s="3" t="s">
        <v>29114</v>
      </c>
      <c r="AY2969" s="3" t="s">
        <v>29115</v>
      </c>
      <c r="AZ2969" s="3" t="s">
        <v>29116</v>
      </c>
      <c r="BA2969" s="3" t="s">
        <v>29116</v>
      </c>
      <c r="BB2969" s="3" t="s">
        <v>29117</v>
      </c>
      <c r="BC2969" s="3" t="s">
        <v>142</v>
      </c>
      <c r="BD2969" s="3" t="s">
        <v>68</v>
      </c>
      <c r="BE2969" s="3" t="s">
        <v>29118</v>
      </c>
      <c r="BF2969" s="3" t="s">
        <v>29117</v>
      </c>
      <c r="BG2969" s="3" t="s">
        <v>29119</v>
      </c>
    </row>
    <row r="2970" spans="1:59" ht="57" x14ac:dyDescent="0.45">
      <c r="A2970" s="2" t="s">
        <v>59</v>
      </c>
      <c r="B2970" s="2" t="s">
        <v>60</v>
      </c>
      <c r="C2970" s="2" t="s">
        <v>29120</v>
      </c>
      <c r="D2970" s="2" t="s">
        <v>29121</v>
      </c>
      <c r="E2970" s="2" t="s">
        <v>29122</v>
      </c>
      <c r="G2970" s="3" t="s">
        <v>62</v>
      </c>
      <c r="I2970" s="3" t="s">
        <v>62</v>
      </c>
      <c r="J2970" s="3" t="s">
        <v>62</v>
      </c>
      <c r="K2970" s="3" t="s">
        <v>63</v>
      </c>
      <c r="L2970" s="2" t="s">
        <v>29101</v>
      </c>
      <c r="M2970" s="2" t="s">
        <v>29123</v>
      </c>
      <c r="N2970" s="3" t="s">
        <v>1855</v>
      </c>
      <c r="P2970" s="3" t="s">
        <v>65</v>
      </c>
      <c r="Q2970" s="2" t="s">
        <v>12051</v>
      </c>
      <c r="R2970" s="3" t="s">
        <v>66</v>
      </c>
      <c r="S2970" s="4">
        <v>4</v>
      </c>
      <c r="T2970" s="4">
        <v>4</v>
      </c>
      <c r="U2970" s="5" t="s">
        <v>29124</v>
      </c>
      <c r="V2970" s="5" t="s">
        <v>29124</v>
      </c>
      <c r="W2970" s="5" t="s">
        <v>67</v>
      </c>
      <c r="X2970" s="5" t="s">
        <v>67</v>
      </c>
      <c r="Y2970" s="4">
        <v>171</v>
      </c>
      <c r="Z2970" s="4">
        <v>32</v>
      </c>
      <c r="AA2970" s="4">
        <v>64</v>
      </c>
      <c r="AB2970" s="4">
        <v>2</v>
      </c>
      <c r="AC2970" s="4">
        <v>10</v>
      </c>
      <c r="AD2970" s="4">
        <v>96</v>
      </c>
      <c r="AE2970" s="4">
        <v>121</v>
      </c>
      <c r="AF2970" s="4">
        <v>1</v>
      </c>
      <c r="AG2970" s="4">
        <v>4</v>
      </c>
      <c r="AH2970" s="4">
        <v>78</v>
      </c>
      <c r="AI2970" s="4">
        <v>90</v>
      </c>
      <c r="AJ2970" s="4">
        <v>19</v>
      </c>
      <c r="AK2970" s="4">
        <v>23</v>
      </c>
      <c r="AL2970" s="4">
        <v>49</v>
      </c>
      <c r="AM2970" s="4">
        <v>52</v>
      </c>
      <c r="AN2970" s="4">
        <v>0</v>
      </c>
      <c r="AO2970" s="4">
        <v>0</v>
      </c>
      <c r="AP2970" s="4">
        <v>24</v>
      </c>
      <c r="AQ2970" s="4">
        <v>37</v>
      </c>
      <c r="AR2970" s="3" t="s">
        <v>61</v>
      </c>
      <c r="AS2970" s="3" t="s">
        <v>62</v>
      </c>
      <c r="AT2970" s="3" t="s">
        <v>61</v>
      </c>
      <c r="AU2970" s="6" t="str">
        <f>HYPERLINK("http://catalog.hathitrust.org/Record/005093278","HathiTrust Record")</f>
        <v>HathiTrust Record</v>
      </c>
      <c r="AV2970" s="6" t="str">
        <f>HYPERLINK("http://mcgill.on.worldcat.org/oclc/56319279","Catalog Record")</f>
        <v>Catalog Record</v>
      </c>
      <c r="AW2970" s="6" t="str">
        <f>HYPERLINK("http://www.worldcat.org/oclc/56319279","WorldCat Record")</f>
        <v>WorldCat Record</v>
      </c>
      <c r="AX2970" s="3" t="s">
        <v>29125</v>
      </c>
      <c r="AY2970" s="3" t="s">
        <v>29126</v>
      </c>
      <c r="AZ2970" s="3" t="s">
        <v>29127</v>
      </c>
      <c r="BA2970" s="3" t="s">
        <v>29127</v>
      </c>
      <c r="BB2970" s="3" t="s">
        <v>29128</v>
      </c>
      <c r="BC2970" s="3" t="s">
        <v>142</v>
      </c>
      <c r="BD2970" s="3" t="s">
        <v>68</v>
      </c>
      <c r="BE2970" s="3" t="s">
        <v>29129</v>
      </c>
      <c r="BF2970" s="3" t="s">
        <v>29128</v>
      </c>
      <c r="BG2970" s="3" t="s">
        <v>29130</v>
      </c>
    </row>
    <row r="2971" spans="1:59" ht="57" x14ac:dyDescent="0.45">
      <c r="A2971" s="2" t="s">
        <v>59</v>
      </c>
      <c r="B2971" s="2" t="s">
        <v>60</v>
      </c>
      <c r="C2971" s="2" t="s">
        <v>29131</v>
      </c>
      <c r="D2971" s="2" t="s">
        <v>29132</v>
      </c>
      <c r="E2971" s="2" t="s">
        <v>29133</v>
      </c>
      <c r="G2971" s="3" t="s">
        <v>62</v>
      </c>
      <c r="I2971" s="3" t="s">
        <v>62</v>
      </c>
      <c r="J2971" s="3" t="s">
        <v>62</v>
      </c>
      <c r="K2971" s="3" t="s">
        <v>63</v>
      </c>
      <c r="L2971" s="2" t="s">
        <v>29134</v>
      </c>
      <c r="M2971" s="2" t="s">
        <v>29135</v>
      </c>
      <c r="N2971" s="3" t="s">
        <v>116</v>
      </c>
      <c r="P2971" s="3" t="s">
        <v>65</v>
      </c>
      <c r="R2971" s="3" t="s">
        <v>66</v>
      </c>
      <c r="S2971" s="4">
        <v>1</v>
      </c>
      <c r="T2971" s="4">
        <v>1</v>
      </c>
      <c r="U2971" s="5" t="s">
        <v>29136</v>
      </c>
      <c r="V2971" s="5" t="s">
        <v>29136</v>
      </c>
      <c r="W2971" s="5" t="s">
        <v>67</v>
      </c>
      <c r="X2971" s="5" t="s">
        <v>67</v>
      </c>
      <c r="Y2971" s="4">
        <v>33</v>
      </c>
      <c r="Z2971" s="4">
        <v>4</v>
      </c>
      <c r="AA2971" s="4">
        <v>5</v>
      </c>
      <c r="AB2971" s="4">
        <v>1</v>
      </c>
      <c r="AC2971" s="4">
        <v>2</v>
      </c>
      <c r="AD2971" s="4">
        <v>13</v>
      </c>
      <c r="AE2971" s="4">
        <v>13</v>
      </c>
      <c r="AF2971" s="4">
        <v>0</v>
      </c>
      <c r="AG2971" s="4">
        <v>0</v>
      </c>
      <c r="AH2971" s="4">
        <v>12</v>
      </c>
      <c r="AI2971" s="4">
        <v>12</v>
      </c>
      <c r="AJ2971" s="4">
        <v>3</v>
      </c>
      <c r="AK2971" s="4">
        <v>3</v>
      </c>
      <c r="AL2971" s="4">
        <v>8</v>
      </c>
      <c r="AM2971" s="4">
        <v>8</v>
      </c>
      <c r="AN2971" s="4">
        <v>0</v>
      </c>
      <c r="AO2971" s="4">
        <v>0</v>
      </c>
      <c r="AP2971" s="4">
        <v>3</v>
      </c>
      <c r="AQ2971" s="4">
        <v>3</v>
      </c>
      <c r="AR2971" s="3" t="s">
        <v>62</v>
      </c>
      <c r="AS2971" s="3" t="s">
        <v>62</v>
      </c>
      <c r="AT2971" s="3" t="s">
        <v>62</v>
      </c>
      <c r="AV2971" s="6" t="str">
        <f>HYPERLINK("http://mcgill.on.worldcat.org/oclc/824726549","Catalog Record")</f>
        <v>Catalog Record</v>
      </c>
      <c r="AW2971" s="6" t="str">
        <f>HYPERLINK("http://www.worldcat.org/oclc/824726549","WorldCat Record")</f>
        <v>WorldCat Record</v>
      </c>
      <c r="AX2971" s="3" t="s">
        <v>29137</v>
      </c>
      <c r="AY2971" s="3" t="s">
        <v>29138</v>
      </c>
      <c r="AZ2971" s="3" t="s">
        <v>29139</v>
      </c>
      <c r="BA2971" s="3" t="s">
        <v>29139</v>
      </c>
      <c r="BB2971" s="3" t="s">
        <v>29140</v>
      </c>
      <c r="BC2971" s="3" t="s">
        <v>142</v>
      </c>
      <c r="BD2971" s="3" t="s">
        <v>68</v>
      </c>
      <c r="BE2971" s="3" t="s">
        <v>29141</v>
      </c>
      <c r="BF2971" s="3" t="s">
        <v>29140</v>
      </c>
      <c r="BG2971" s="3" t="s">
        <v>29142</v>
      </c>
    </row>
    <row r="2972" spans="1:59" ht="57" x14ac:dyDescent="0.45">
      <c r="A2972" s="2" t="s">
        <v>59</v>
      </c>
      <c r="B2972" s="2" t="s">
        <v>60</v>
      </c>
      <c r="C2972" s="2" t="s">
        <v>29143</v>
      </c>
      <c r="D2972" s="2" t="s">
        <v>29144</v>
      </c>
      <c r="E2972" s="2" t="s">
        <v>29145</v>
      </c>
      <c r="G2972" s="3" t="s">
        <v>62</v>
      </c>
      <c r="I2972" s="3" t="s">
        <v>62</v>
      </c>
      <c r="J2972" s="3" t="s">
        <v>62</v>
      </c>
      <c r="K2972" s="3" t="s">
        <v>63</v>
      </c>
      <c r="L2972" s="2" t="s">
        <v>29146</v>
      </c>
      <c r="M2972" s="2" t="s">
        <v>29147</v>
      </c>
      <c r="N2972" s="3" t="s">
        <v>195</v>
      </c>
      <c r="P2972" s="3" t="s">
        <v>65</v>
      </c>
      <c r="Q2972" s="2" t="s">
        <v>29148</v>
      </c>
      <c r="R2972" s="3" t="s">
        <v>66</v>
      </c>
      <c r="S2972" s="4">
        <v>11</v>
      </c>
      <c r="T2972" s="4">
        <v>11</v>
      </c>
      <c r="U2972" s="5" t="s">
        <v>29149</v>
      </c>
      <c r="V2972" s="5" t="s">
        <v>29149</v>
      </c>
      <c r="W2972" s="5" t="s">
        <v>67</v>
      </c>
      <c r="X2972" s="5" t="s">
        <v>67</v>
      </c>
      <c r="Y2972" s="4">
        <v>143</v>
      </c>
      <c r="Z2972" s="4">
        <v>13</v>
      </c>
      <c r="AA2972" s="4">
        <v>94</v>
      </c>
      <c r="AB2972" s="4">
        <v>1</v>
      </c>
      <c r="AC2972" s="4">
        <v>17</v>
      </c>
      <c r="AD2972" s="4">
        <v>67</v>
      </c>
      <c r="AE2972" s="4">
        <v>128</v>
      </c>
      <c r="AF2972" s="4">
        <v>0</v>
      </c>
      <c r="AG2972" s="4">
        <v>8</v>
      </c>
      <c r="AH2972" s="4">
        <v>58</v>
      </c>
      <c r="AI2972" s="4">
        <v>90</v>
      </c>
      <c r="AJ2972" s="4">
        <v>8</v>
      </c>
      <c r="AK2972" s="4">
        <v>21</v>
      </c>
      <c r="AL2972" s="4">
        <v>40</v>
      </c>
      <c r="AM2972" s="4">
        <v>50</v>
      </c>
      <c r="AN2972" s="4">
        <v>0</v>
      </c>
      <c r="AO2972" s="4">
        <v>0</v>
      </c>
      <c r="AP2972" s="4">
        <v>11</v>
      </c>
      <c r="AQ2972" s="4">
        <v>43</v>
      </c>
      <c r="AR2972" s="3" t="s">
        <v>62</v>
      </c>
      <c r="AS2972" s="3" t="s">
        <v>62</v>
      </c>
      <c r="AT2972" s="3" t="s">
        <v>62</v>
      </c>
      <c r="AV2972" s="6" t="str">
        <f>HYPERLINK("http://mcgill.on.worldcat.org/oclc/28891461","Catalog Record")</f>
        <v>Catalog Record</v>
      </c>
      <c r="AW2972" s="6" t="str">
        <f>HYPERLINK("http://www.worldcat.org/oclc/28891461","WorldCat Record")</f>
        <v>WorldCat Record</v>
      </c>
      <c r="AX2972" s="3" t="s">
        <v>29150</v>
      </c>
      <c r="AY2972" s="3" t="s">
        <v>29151</v>
      </c>
      <c r="AZ2972" s="3" t="s">
        <v>29152</v>
      </c>
      <c r="BA2972" s="3" t="s">
        <v>29152</v>
      </c>
      <c r="BB2972" s="3" t="s">
        <v>29153</v>
      </c>
      <c r="BC2972" s="3" t="s">
        <v>142</v>
      </c>
      <c r="BD2972" s="3" t="s">
        <v>68</v>
      </c>
      <c r="BE2972" s="3" t="s">
        <v>29154</v>
      </c>
      <c r="BF2972" s="3" t="s">
        <v>29153</v>
      </c>
      <c r="BG2972" s="3" t="s">
        <v>29155</v>
      </c>
    </row>
    <row r="2973" spans="1:59" ht="57" x14ac:dyDescent="0.45">
      <c r="A2973" s="2" t="s">
        <v>59</v>
      </c>
      <c r="B2973" s="2" t="s">
        <v>60</v>
      </c>
      <c r="C2973" s="2" t="s">
        <v>29156</v>
      </c>
      <c r="D2973" s="2" t="s">
        <v>29157</v>
      </c>
      <c r="E2973" s="2" t="s">
        <v>29158</v>
      </c>
      <c r="G2973" s="3" t="s">
        <v>62</v>
      </c>
      <c r="I2973" s="3" t="s">
        <v>62</v>
      </c>
      <c r="J2973" s="3" t="s">
        <v>62</v>
      </c>
      <c r="K2973" s="3" t="s">
        <v>63</v>
      </c>
      <c r="L2973" s="2" t="s">
        <v>29159</v>
      </c>
      <c r="M2973" s="2" t="s">
        <v>29160</v>
      </c>
      <c r="N2973" s="3" t="s">
        <v>149</v>
      </c>
      <c r="P2973" s="3" t="s">
        <v>65</v>
      </c>
      <c r="Q2973" s="2" t="s">
        <v>29161</v>
      </c>
      <c r="R2973" s="3" t="s">
        <v>66</v>
      </c>
      <c r="S2973" s="4">
        <v>0</v>
      </c>
      <c r="T2973" s="4">
        <v>0</v>
      </c>
      <c r="W2973" s="5" t="s">
        <v>67</v>
      </c>
      <c r="X2973" s="5" t="s">
        <v>67</v>
      </c>
      <c r="Y2973" s="4">
        <v>23</v>
      </c>
      <c r="Z2973" s="4">
        <v>12</v>
      </c>
      <c r="AA2973" s="4">
        <v>13</v>
      </c>
      <c r="AB2973" s="4">
        <v>1</v>
      </c>
      <c r="AC2973" s="4">
        <v>2</v>
      </c>
      <c r="AD2973" s="4">
        <v>14</v>
      </c>
      <c r="AE2973" s="4">
        <v>15</v>
      </c>
      <c r="AF2973" s="4">
        <v>0</v>
      </c>
      <c r="AG2973" s="4">
        <v>1</v>
      </c>
      <c r="AH2973" s="4">
        <v>10</v>
      </c>
      <c r="AI2973" s="4">
        <v>11</v>
      </c>
      <c r="AJ2973" s="4">
        <v>9</v>
      </c>
      <c r="AK2973" s="4">
        <v>10</v>
      </c>
      <c r="AL2973" s="4">
        <v>5</v>
      </c>
      <c r="AM2973" s="4">
        <v>5</v>
      </c>
      <c r="AN2973" s="4">
        <v>0</v>
      </c>
      <c r="AO2973" s="4">
        <v>0</v>
      </c>
      <c r="AP2973" s="4">
        <v>8</v>
      </c>
      <c r="AQ2973" s="4">
        <v>9</v>
      </c>
      <c r="AR2973" s="3" t="s">
        <v>61</v>
      </c>
      <c r="AS2973" s="3" t="s">
        <v>62</v>
      </c>
      <c r="AT2973" s="3" t="s">
        <v>62</v>
      </c>
      <c r="AV2973" s="6" t="str">
        <f>HYPERLINK("http://mcgill.on.worldcat.org/oclc/667805544","Catalog Record")</f>
        <v>Catalog Record</v>
      </c>
      <c r="AW2973" s="6" t="str">
        <f>HYPERLINK("http://www.worldcat.org/oclc/667805544","WorldCat Record")</f>
        <v>WorldCat Record</v>
      </c>
      <c r="AX2973" s="3" t="s">
        <v>29162</v>
      </c>
      <c r="AY2973" s="3" t="s">
        <v>29163</v>
      </c>
      <c r="AZ2973" s="3" t="s">
        <v>29164</v>
      </c>
      <c r="BA2973" s="3" t="s">
        <v>29164</v>
      </c>
      <c r="BB2973" s="3" t="s">
        <v>29165</v>
      </c>
      <c r="BC2973" s="3" t="s">
        <v>142</v>
      </c>
      <c r="BD2973" s="3" t="s">
        <v>68</v>
      </c>
      <c r="BE2973" s="3" t="s">
        <v>29166</v>
      </c>
      <c r="BF2973" s="3" t="s">
        <v>29165</v>
      </c>
      <c r="BG2973" s="3" t="s">
        <v>29167</v>
      </c>
    </row>
    <row r="2974" spans="1:59" ht="57" x14ac:dyDescent="0.45">
      <c r="A2974" s="2" t="s">
        <v>59</v>
      </c>
      <c r="B2974" s="2" t="s">
        <v>60</v>
      </c>
      <c r="C2974" s="2" t="s">
        <v>29168</v>
      </c>
      <c r="D2974" s="2" t="s">
        <v>29169</v>
      </c>
      <c r="E2974" s="2" t="s">
        <v>29170</v>
      </c>
      <c r="G2974" s="3" t="s">
        <v>62</v>
      </c>
      <c r="I2974" s="3" t="s">
        <v>61</v>
      </c>
      <c r="J2974" s="3" t="s">
        <v>62</v>
      </c>
      <c r="K2974" s="3" t="s">
        <v>63</v>
      </c>
      <c r="L2974" s="2" t="s">
        <v>6757</v>
      </c>
      <c r="M2974" s="2" t="s">
        <v>29171</v>
      </c>
      <c r="N2974" s="3" t="s">
        <v>106</v>
      </c>
      <c r="P2974" s="3" t="s">
        <v>110</v>
      </c>
      <c r="Q2974" s="2" t="s">
        <v>29172</v>
      </c>
      <c r="R2974" s="3" t="s">
        <v>66</v>
      </c>
      <c r="S2974" s="4">
        <v>4</v>
      </c>
      <c r="T2974" s="4">
        <v>14</v>
      </c>
      <c r="U2974" s="5" t="s">
        <v>733</v>
      </c>
      <c r="V2974" s="5" t="s">
        <v>733</v>
      </c>
      <c r="W2974" s="5" t="s">
        <v>67</v>
      </c>
      <c r="X2974" s="5" t="s">
        <v>67</v>
      </c>
      <c r="Y2974" s="4">
        <v>161</v>
      </c>
      <c r="Z2974" s="4">
        <v>18</v>
      </c>
      <c r="AA2974" s="4">
        <v>35</v>
      </c>
      <c r="AB2974" s="4">
        <v>2</v>
      </c>
      <c r="AC2974" s="4">
        <v>18</v>
      </c>
      <c r="AD2974" s="4">
        <v>57</v>
      </c>
      <c r="AE2974" s="4">
        <v>63</v>
      </c>
      <c r="AF2974" s="4">
        <v>1</v>
      </c>
      <c r="AG2974" s="4">
        <v>6</v>
      </c>
      <c r="AH2974" s="4">
        <v>47</v>
      </c>
      <c r="AI2974" s="4">
        <v>48</v>
      </c>
      <c r="AJ2974" s="4">
        <v>11</v>
      </c>
      <c r="AK2974" s="4">
        <v>15</v>
      </c>
      <c r="AL2974" s="4">
        <v>25</v>
      </c>
      <c r="AM2974" s="4">
        <v>25</v>
      </c>
      <c r="AN2974" s="4">
        <v>0</v>
      </c>
      <c r="AO2974" s="4">
        <v>0</v>
      </c>
      <c r="AP2974" s="4">
        <v>16</v>
      </c>
      <c r="AQ2974" s="4">
        <v>21</v>
      </c>
      <c r="AR2974" s="3" t="s">
        <v>62</v>
      </c>
      <c r="AS2974" s="3" t="s">
        <v>62</v>
      </c>
      <c r="AT2974" s="3" t="s">
        <v>62</v>
      </c>
      <c r="AV2974" s="6" t="str">
        <f>HYPERLINK("http://mcgill.on.worldcat.org/oclc/9871975","Catalog Record")</f>
        <v>Catalog Record</v>
      </c>
      <c r="AW2974" s="6" t="str">
        <f>HYPERLINK("http://www.worldcat.org/oclc/9871975","WorldCat Record")</f>
        <v>WorldCat Record</v>
      </c>
      <c r="AX2974" s="3" t="s">
        <v>29173</v>
      </c>
      <c r="AY2974" s="3" t="s">
        <v>29174</v>
      </c>
      <c r="AZ2974" s="3" t="s">
        <v>29175</v>
      </c>
      <c r="BA2974" s="3" t="s">
        <v>29175</v>
      </c>
      <c r="BB2974" s="3" t="s">
        <v>29176</v>
      </c>
      <c r="BC2974" s="3" t="s">
        <v>142</v>
      </c>
      <c r="BD2974" s="3" t="s">
        <v>68</v>
      </c>
      <c r="BE2974" s="3" t="s">
        <v>29177</v>
      </c>
      <c r="BF2974" s="3" t="s">
        <v>29176</v>
      </c>
      <c r="BG2974" s="3" t="s">
        <v>29178</v>
      </c>
    </row>
    <row r="2975" spans="1:59" ht="57" x14ac:dyDescent="0.45">
      <c r="A2975" s="2" t="s">
        <v>59</v>
      </c>
      <c r="B2975" s="2" t="s">
        <v>60</v>
      </c>
      <c r="C2975" s="2" t="s">
        <v>29168</v>
      </c>
      <c r="D2975" s="2" t="s">
        <v>29169</v>
      </c>
      <c r="E2975" s="2" t="s">
        <v>29170</v>
      </c>
      <c r="G2975" s="3" t="s">
        <v>62</v>
      </c>
      <c r="I2975" s="3" t="s">
        <v>61</v>
      </c>
      <c r="J2975" s="3" t="s">
        <v>62</v>
      </c>
      <c r="K2975" s="3" t="s">
        <v>63</v>
      </c>
      <c r="L2975" s="2" t="s">
        <v>6757</v>
      </c>
      <c r="M2975" s="2" t="s">
        <v>29171</v>
      </c>
      <c r="N2975" s="3" t="s">
        <v>106</v>
      </c>
      <c r="P2975" s="3" t="s">
        <v>110</v>
      </c>
      <c r="Q2975" s="2" t="s">
        <v>29172</v>
      </c>
      <c r="R2975" s="3" t="s">
        <v>66</v>
      </c>
      <c r="S2975" s="4">
        <v>10</v>
      </c>
      <c r="T2975" s="4">
        <v>14</v>
      </c>
      <c r="U2975" s="5" t="s">
        <v>20687</v>
      </c>
      <c r="V2975" s="5" t="s">
        <v>733</v>
      </c>
      <c r="W2975" s="5" t="s">
        <v>67</v>
      </c>
      <c r="X2975" s="5" t="s">
        <v>67</v>
      </c>
      <c r="Y2975" s="4">
        <v>161</v>
      </c>
      <c r="Z2975" s="4">
        <v>18</v>
      </c>
      <c r="AA2975" s="4">
        <v>35</v>
      </c>
      <c r="AB2975" s="4">
        <v>2</v>
      </c>
      <c r="AC2975" s="4">
        <v>18</v>
      </c>
      <c r="AD2975" s="4">
        <v>57</v>
      </c>
      <c r="AE2975" s="4">
        <v>63</v>
      </c>
      <c r="AF2975" s="4">
        <v>1</v>
      </c>
      <c r="AG2975" s="4">
        <v>6</v>
      </c>
      <c r="AH2975" s="4">
        <v>47</v>
      </c>
      <c r="AI2975" s="4">
        <v>48</v>
      </c>
      <c r="AJ2975" s="4">
        <v>11</v>
      </c>
      <c r="AK2975" s="4">
        <v>15</v>
      </c>
      <c r="AL2975" s="4">
        <v>25</v>
      </c>
      <c r="AM2975" s="4">
        <v>25</v>
      </c>
      <c r="AN2975" s="4">
        <v>0</v>
      </c>
      <c r="AO2975" s="4">
        <v>0</v>
      </c>
      <c r="AP2975" s="4">
        <v>16</v>
      </c>
      <c r="AQ2975" s="4">
        <v>21</v>
      </c>
      <c r="AR2975" s="3" t="s">
        <v>62</v>
      </c>
      <c r="AS2975" s="3" t="s">
        <v>62</v>
      </c>
      <c r="AT2975" s="3" t="s">
        <v>62</v>
      </c>
      <c r="AV2975" s="6" t="str">
        <f>HYPERLINK("http://mcgill.on.worldcat.org/oclc/9871975","Catalog Record")</f>
        <v>Catalog Record</v>
      </c>
      <c r="AW2975" s="6" t="str">
        <f>HYPERLINK("http://www.worldcat.org/oclc/9871975","WorldCat Record")</f>
        <v>WorldCat Record</v>
      </c>
      <c r="AX2975" s="3" t="s">
        <v>29173</v>
      </c>
      <c r="AY2975" s="3" t="s">
        <v>29174</v>
      </c>
      <c r="AZ2975" s="3" t="s">
        <v>29175</v>
      </c>
      <c r="BA2975" s="3" t="s">
        <v>29175</v>
      </c>
      <c r="BB2975" s="3" t="s">
        <v>29179</v>
      </c>
      <c r="BC2975" s="3" t="s">
        <v>142</v>
      </c>
      <c r="BD2975" s="3" t="s">
        <v>68</v>
      </c>
      <c r="BE2975" s="3" t="s">
        <v>29177</v>
      </c>
      <c r="BF2975" s="3" t="s">
        <v>29179</v>
      </c>
      <c r="BG2975" s="3" t="s">
        <v>29180</v>
      </c>
    </row>
    <row r="2976" spans="1:59" ht="57" x14ac:dyDescent="0.45">
      <c r="A2976" s="2" t="s">
        <v>59</v>
      </c>
      <c r="B2976" s="2" t="s">
        <v>60</v>
      </c>
      <c r="C2976" s="2" t="s">
        <v>29181</v>
      </c>
      <c r="D2976" s="2" t="s">
        <v>29182</v>
      </c>
      <c r="E2976" s="2" t="s">
        <v>29183</v>
      </c>
      <c r="G2976" s="3" t="s">
        <v>62</v>
      </c>
      <c r="I2976" s="3" t="s">
        <v>62</v>
      </c>
      <c r="J2976" s="3" t="s">
        <v>62</v>
      </c>
      <c r="K2976" s="3" t="s">
        <v>63</v>
      </c>
      <c r="L2976" s="2" t="s">
        <v>29184</v>
      </c>
      <c r="M2976" s="2" t="s">
        <v>29185</v>
      </c>
      <c r="N2976" s="3" t="s">
        <v>568</v>
      </c>
      <c r="P2976" s="3" t="s">
        <v>65</v>
      </c>
      <c r="Q2976" s="2" t="s">
        <v>29186</v>
      </c>
      <c r="R2976" s="3" t="s">
        <v>66</v>
      </c>
      <c r="S2976" s="4">
        <v>22</v>
      </c>
      <c r="T2976" s="4">
        <v>22</v>
      </c>
      <c r="U2976" s="5" t="s">
        <v>28854</v>
      </c>
      <c r="V2976" s="5" t="s">
        <v>28854</v>
      </c>
      <c r="W2976" s="5" t="s">
        <v>67</v>
      </c>
      <c r="X2976" s="5" t="s">
        <v>67</v>
      </c>
      <c r="Y2976" s="4">
        <v>142</v>
      </c>
      <c r="Z2976" s="4">
        <v>15</v>
      </c>
      <c r="AA2976" s="4">
        <v>36</v>
      </c>
      <c r="AB2976" s="4">
        <v>2</v>
      </c>
      <c r="AC2976" s="4">
        <v>6</v>
      </c>
      <c r="AD2976" s="4">
        <v>57</v>
      </c>
      <c r="AE2976" s="4">
        <v>116</v>
      </c>
      <c r="AF2976" s="4">
        <v>0</v>
      </c>
      <c r="AG2976" s="4">
        <v>2</v>
      </c>
      <c r="AH2976" s="4">
        <v>50</v>
      </c>
      <c r="AI2976" s="4">
        <v>100</v>
      </c>
      <c r="AJ2976" s="4">
        <v>11</v>
      </c>
      <c r="AK2976" s="4">
        <v>18</v>
      </c>
      <c r="AL2976" s="4">
        <v>28</v>
      </c>
      <c r="AM2976" s="4">
        <v>55</v>
      </c>
      <c r="AN2976" s="4">
        <v>0</v>
      </c>
      <c r="AO2976" s="4">
        <v>0</v>
      </c>
      <c r="AP2976" s="4">
        <v>13</v>
      </c>
      <c r="AQ2976" s="4">
        <v>25</v>
      </c>
      <c r="AR2976" s="3" t="s">
        <v>62</v>
      </c>
      <c r="AS2976" s="3" t="s">
        <v>62</v>
      </c>
      <c r="AT2976" s="3" t="s">
        <v>61</v>
      </c>
      <c r="AU2976" s="6" t="str">
        <f>HYPERLINK("http://catalog.hathitrust.org/Record/000866221","HathiTrust Record")</f>
        <v>HathiTrust Record</v>
      </c>
      <c r="AV2976" s="6" t="str">
        <f>HYPERLINK("http://mcgill.on.worldcat.org/oclc/16873819","Catalog Record")</f>
        <v>Catalog Record</v>
      </c>
      <c r="AW2976" s="6" t="str">
        <f>HYPERLINK("http://www.worldcat.org/oclc/16873819","WorldCat Record")</f>
        <v>WorldCat Record</v>
      </c>
      <c r="AX2976" s="3" t="s">
        <v>29187</v>
      </c>
      <c r="AY2976" s="3" t="s">
        <v>29188</v>
      </c>
      <c r="AZ2976" s="3" t="s">
        <v>29189</v>
      </c>
      <c r="BA2976" s="3" t="s">
        <v>29189</v>
      </c>
      <c r="BB2976" s="3" t="s">
        <v>29190</v>
      </c>
      <c r="BC2976" s="3" t="s">
        <v>142</v>
      </c>
      <c r="BD2976" s="3" t="s">
        <v>68</v>
      </c>
      <c r="BE2976" s="3" t="s">
        <v>29191</v>
      </c>
      <c r="BF2976" s="3" t="s">
        <v>29190</v>
      </c>
      <c r="BG2976" s="3" t="s">
        <v>29192</v>
      </c>
    </row>
    <row r="2977" spans="1:59" ht="57" x14ac:dyDescent="0.45">
      <c r="A2977" s="2" t="s">
        <v>59</v>
      </c>
      <c r="B2977" s="2" t="s">
        <v>60</v>
      </c>
      <c r="C2977" s="2" t="s">
        <v>29193</v>
      </c>
      <c r="D2977" s="2" t="s">
        <v>29194</v>
      </c>
      <c r="E2977" s="2" t="s">
        <v>29195</v>
      </c>
      <c r="G2977" s="3" t="s">
        <v>62</v>
      </c>
      <c r="I2977" s="3" t="s">
        <v>62</v>
      </c>
      <c r="J2977" s="3" t="s">
        <v>62</v>
      </c>
      <c r="K2977" s="3" t="s">
        <v>63</v>
      </c>
      <c r="M2977" s="2" t="s">
        <v>4009</v>
      </c>
      <c r="N2977" s="3" t="s">
        <v>149</v>
      </c>
      <c r="P2977" s="3" t="s">
        <v>65</v>
      </c>
      <c r="Q2977" s="2" t="s">
        <v>24648</v>
      </c>
      <c r="R2977" s="3" t="s">
        <v>66</v>
      </c>
      <c r="S2977" s="4">
        <v>6</v>
      </c>
      <c r="T2977" s="4">
        <v>6</v>
      </c>
      <c r="U2977" s="5" t="s">
        <v>20687</v>
      </c>
      <c r="V2977" s="5" t="s">
        <v>20687</v>
      </c>
      <c r="W2977" s="5" t="s">
        <v>67</v>
      </c>
      <c r="X2977" s="5" t="s">
        <v>67</v>
      </c>
      <c r="Y2977" s="4">
        <v>284</v>
      </c>
      <c r="Z2977" s="4">
        <v>26</v>
      </c>
      <c r="AA2977" s="4">
        <v>90</v>
      </c>
      <c r="AB2977" s="4">
        <v>3</v>
      </c>
      <c r="AC2977" s="4">
        <v>16</v>
      </c>
      <c r="AD2977" s="4">
        <v>74</v>
      </c>
      <c r="AE2977" s="4">
        <v>131</v>
      </c>
      <c r="AF2977" s="4">
        <v>1</v>
      </c>
      <c r="AG2977" s="4">
        <v>8</v>
      </c>
      <c r="AH2977" s="4">
        <v>64</v>
      </c>
      <c r="AI2977" s="4">
        <v>93</v>
      </c>
      <c r="AJ2977" s="4">
        <v>12</v>
      </c>
      <c r="AK2977" s="4">
        <v>26</v>
      </c>
      <c r="AL2977" s="4">
        <v>39</v>
      </c>
      <c r="AM2977" s="4">
        <v>49</v>
      </c>
      <c r="AN2977" s="4">
        <v>0</v>
      </c>
      <c r="AO2977" s="4">
        <v>0</v>
      </c>
      <c r="AP2977" s="4">
        <v>17</v>
      </c>
      <c r="AQ2977" s="4">
        <v>48</v>
      </c>
      <c r="AR2977" s="3" t="s">
        <v>62</v>
      </c>
      <c r="AS2977" s="3" t="s">
        <v>62</v>
      </c>
      <c r="AT2977" s="3" t="s">
        <v>62</v>
      </c>
      <c r="AV2977" s="6" t="str">
        <f>HYPERLINK("http://mcgill.on.worldcat.org/oclc/166361601","Catalog Record")</f>
        <v>Catalog Record</v>
      </c>
      <c r="AW2977" s="6" t="str">
        <f>HYPERLINK("http://www.worldcat.org/oclc/166361601","WorldCat Record")</f>
        <v>WorldCat Record</v>
      </c>
      <c r="AX2977" s="3" t="s">
        <v>29196</v>
      </c>
      <c r="AY2977" s="3" t="s">
        <v>29197</v>
      </c>
      <c r="AZ2977" s="3" t="s">
        <v>29198</v>
      </c>
      <c r="BA2977" s="3" t="s">
        <v>29198</v>
      </c>
      <c r="BB2977" s="3" t="s">
        <v>29199</v>
      </c>
      <c r="BC2977" s="3" t="s">
        <v>142</v>
      </c>
      <c r="BD2977" s="3" t="s">
        <v>68</v>
      </c>
      <c r="BE2977" s="3" t="s">
        <v>29200</v>
      </c>
      <c r="BF2977" s="3" t="s">
        <v>29199</v>
      </c>
      <c r="BG2977" s="3" t="s">
        <v>29201</v>
      </c>
    </row>
    <row r="2978" spans="1:59" ht="57" x14ac:dyDescent="0.45">
      <c r="A2978" s="2" t="s">
        <v>59</v>
      </c>
      <c r="B2978" s="2" t="s">
        <v>60</v>
      </c>
      <c r="C2978" s="2" t="s">
        <v>29202</v>
      </c>
      <c r="D2978" s="2" t="s">
        <v>29203</v>
      </c>
      <c r="E2978" s="2" t="s">
        <v>29204</v>
      </c>
      <c r="G2978" s="3" t="s">
        <v>62</v>
      </c>
      <c r="I2978" s="3" t="s">
        <v>62</v>
      </c>
      <c r="J2978" s="3" t="s">
        <v>61</v>
      </c>
      <c r="K2978" s="3" t="s">
        <v>63</v>
      </c>
      <c r="L2978" s="2" t="s">
        <v>29205</v>
      </c>
      <c r="M2978" s="2" t="s">
        <v>29206</v>
      </c>
      <c r="N2978" s="3" t="s">
        <v>1604</v>
      </c>
      <c r="P2978" s="3" t="s">
        <v>65</v>
      </c>
      <c r="Q2978" s="2" t="s">
        <v>29207</v>
      </c>
      <c r="R2978" s="3" t="s">
        <v>66</v>
      </c>
      <c r="S2978" s="4">
        <v>29</v>
      </c>
      <c r="T2978" s="4">
        <v>29</v>
      </c>
      <c r="U2978" s="5" t="s">
        <v>10789</v>
      </c>
      <c r="V2978" s="5" t="s">
        <v>10789</v>
      </c>
      <c r="W2978" s="5" t="s">
        <v>67</v>
      </c>
      <c r="X2978" s="5" t="s">
        <v>67</v>
      </c>
      <c r="Y2978" s="4">
        <v>300</v>
      </c>
      <c r="Z2978" s="4">
        <v>31</v>
      </c>
      <c r="AA2978" s="4">
        <v>131</v>
      </c>
      <c r="AB2978" s="4">
        <v>1</v>
      </c>
      <c r="AC2978" s="4">
        <v>23</v>
      </c>
      <c r="AD2978" s="4">
        <v>109</v>
      </c>
      <c r="AE2978" s="4">
        <v>160</v>
      </c>
      <c r="AF2978" s="4">
        <v>0</v>
      </c>
      <c r="AG2978" s="4">
        <v>9</v>
      </c>
      <c r="AH2978" s="4">
        <v>90</v>
      </c>
      <c r="AI2978" s="4">
        <v>109</v>
      </c>
      <c r="AJ2978" s="4">
        <v>18</v>
      </c>
      <c r="AK2978" s="4">
        <v>29</v>
      </c>
      <c r="AL2978" s="4">
        <v>53</v>
      </c>
      <c r="AM2978" s="4">
        <v>59</v>
      </c>
      <c r="AN2978" s="4">
        <v>0</v>
      </c>
      <c r="AO2978" s="4">
        <v>0</v>
      </c>
      <c r="AP2978" s="4">
        <v>24</v>
      </c>
      <c r="AQ2978" s="4">
        <v>58</v>
      </c>
      <c r="AR2978" s="3" t="s">
        <v>61</v>
      </c>
      <c r="AS2978" s="3" t="s">
        <v>62</v>
      </c>
      <c r="AT2978" s="3" t="s">
        <v>61</v>
      </c>
      <c r="AU2978" s="6" t="str">
        <f>HYPERLINK("http://catalog.hathitrust.org/Record/002884552","HathiTrust Record")</f>
        <v>HathiTrust Record</v>
      </c>
      <c r="AV2978" s="6" t="str">
        <f>HYPERLINK("http://mcgill.on.worldcat.org/oclc/29308033","Catalog Record")</f>
        <v>Catalog Record</v>
      </c>
      <c r="AW2978" s="6" t="str">
        <f>HYPERLINK("http://www.worldcat.org/oclc/29308033","WorldCat Record")</f>
        <v>WorldCat Record</v>
      </c>
      <c r="AX2978" s="3" t="s">
        <v>29208</v>
      </c>
      <c r="AY2978" s="3" t="s">
        <v>29209</v>
      </c>
      <c r="AZ2978" s="3" t="s">
        <v>29210</v>
      </c>
      <c r="BA2978" s="3" t="s">
        <v>29210</v>
      </c>
      <c r="BB2978" s="3" t="s">
        <v>29211</v>
      </c>
      <c r="BC2978" s="3" t="s">
        <v>142</v>
      </c>
      <c r="BD2978" s="3" t="s">
        <v>68</v>
      </c>
      <c r="BE2978" s="3" t="s">
        <v>29212</v>
      </c>
      <c r="BF2978" s="3" t="s">
        <v>29211</v>
      </c>
      <c r="BG2978" s="3" t="s">
        <v>29213</v>
      </c>
    </row>
    <row r="2979" spans="1:59" ht="57" x14ac:dyDescent="0.45">
      <c r="A2979" s="2" t="s">
        <v>59</v>
      </c>
      <c r="B2979" s="2" t="s">
        <v>60</v>
      </c>
      <c r="C2979" s="2" t="s">
        <v>29214</v>
      </c>
      <c r="D2979" s="2" t="s">
        <v>29215</v>
      </c>
      <c r="E2979" s="2" t="s">
        <v>29204</v>
      </c>
      <c r="G2979" s="3" t="s">
        <v>62</v>
      </c>
      <c r="I2979" s="3" t="s">
        <v>62</v>
      </c>
      <c r="J2979" s="3" t="s">
        <v>61</v>
      </c>
      <c r="K2979" s="3" t="s">
        <v>63</v>
      </c>
      <c r="L2979" s="2" t="s">
        <v>29205</v>
      </c>
      <c r="M2979" s="2" t="s">
        <v>29216</v>
      </c>
      <c r="N2979" s="3" t="s">
        <v>542</v>
      </c>
      <c r="O2979" s="2" t="s">
        <v>933</v>
      </c>
      <c r="P2979" s="3" t="s">
        <v>65</v>
      </c>
      <c r="Q2979" s="2" t="s">
        <v>12051</v>
      </c>
      <c r="R2979" s="3" t="s">
        <v>66</v>
      </c>
      <c r="S2979" s="4">
        <v>29</v>
      </c>
      <c r="T2979" s="4">
        <v>29</v>
      </c>
      <c r="U2979" s="5" t="s">
        <v>1570</v>
      </c>
      <c r="V2979" s="5" t="s">
        <v>1570</v>
      </c>
      <c r="W2979" s="5" t="s">
        <v>67</v>
      </c>
      <c r="X2979" s="5" t="s">
        <v>67</v>
      </c>
      <c r="Y2979" s="4">
        <v>240</v>
      </c>
      <c r="Z2979" s="4">
        <v>40</v>
      </c>
      <c r="AA2979" s="4">
        <v>131</v>
      </c>
      <c r="AB2979" s="4">
        <v>3</v>
      </c>
      <c r="AC2979" s="4">
        <v>23</v>
      </c>
      <c r="AD2979" s="4">
        <v>100</v>
      </c>
      <c r="AE2979" s="4">
        <v>160</v>
      </c>
      <c r="AF2979" s="4">
        <v>1</v>
      </c>
      <c r="AG2979" s="4">
        <v>9</v>
      </c>
      <c r="AH2979" s="4">
        <v>78</v>
      </c>
      <c r="AI2979" s="4">
        <v>109</v>
      </c>
      <c r="AJ2979" s="4">
        <v>14</v>
      </c>
      <c r="AK2979" s="4">
        <v>29</v>
      </c>
      <c r="AL2979" s="4">
        <v>46</v>
      </c>
      <c r="AM2979" s="4">
        <v>59</v>
      </c>
      <c r="AN2979" s="4">
        <v>0</v>
      </c>
      <c r="AO2979" s="4">
        <v>0</v>
      </c>
      <c r="AP2979" s="4">
        <v>26</v>
      </c>
      <c r="AQ2979" s="4">
        <v>58</v>
      </c>
      <c r="AR2979" s="3" t="s">
        <v>61</v>
      </c>
      <c r="AS2979" s="3" t="s">
        <v>62</v>
      </c>
      <c r="AT2979" s="3" t="s">
        <v>62</v>
      </c>
      <c r="AV2979" s="6" t="str">
        <f>HYPERLINK("http://mcgill.on.worldcat.org/oclc/47270781","Catalog Record")</f>
        <v>Catalog Record</v>
      </c>
      <c r="AW2979" s="6" t="str">
        <f>HYPERLINK("http://www.worldcat.org/oclc/47270781","WorldCat Record")</f>
        <v>WorldCat Record</v>
      </c>
      <c r="AX2979" s="3" t="s">
        <v>29208</v>
      </c>
      <c r="AY2979" s="3" t="s">
        <v>29217</v>
      </c>
      <c r="AZ2979" s="3" t="s">
        <v>29218</v>
      </c>
      <c r="BA2979" s="3" t="s">
        <v>29218</v>
      </c>
      <c r="BB2979" s="3" t="s">
        <v>29219</v>
      </c>
      <c r="BC2979" s="3" t="s">
        <v>142</v>
      </c>
      <c r="BD2979" s="3" t="s">
        <v>68</v>
      </c>
      <c r="BE2979" s="3" t="s">
        <v>29220</v>
      </c>
      <c r="BF2979" s="3" t="s">
        <v>29219</v>
      </c>
      <c r="BG2979" s="3" t="s">
        <v>29221</v>
      </c>
    </row>
    <row r="2980" spans="1:59" ht="57" x14ac:dyDescent="0.45">
      <c r="A2980" s="2" t="s">
        <v>59</v>
      </c>
      <c r="B2980" s="2" t="s">
        <v>60</v>
      </c>
      <c r="C2980" s="2" t="s">
        <v>29222</v>
      </c>
      <c r="D2980" s="2" t="s">
        <v>29223</v>
      </c>
      <c r="E2980" s="2" t="s">
        <v>29224</v>
      </c>
      <c r="G2980" s="3" t="s">
        <v>62</v>
      </c>
      <c r="I2980" s="3" t="s">
        <v>62</v>
      </c>
      <c r="J2980" s="3" t="s">
        <v>62</v>
      </c>
      <c r="K2980" s="3" t="s">
        <v>63</v>
      </c>
      <c r="M2980" s="2" t="s">
        <v>29225</v>
      </c>
      <c r="N2980" s="3" t="s">
        <v>149</v>
      </c>
      <c r="P2980" s="3" t="s">
        <v>65</v>
      </c>
      <c r="Q2980" s="2" t="s">
        <v>29226</v>
      </c>
      <c r="R2980" s="3" t="s">
        <v>66</v>
      </c>
      <c r="S2980" s="4">
        <v>0</v>
      </c>
      <c r="T2980" s="4">
        <v>0</v>
      </c>
      <c r="W2980" s="5" t="s">
        <v>67</v>
      </c>
      <c r="X2980" s="5" t="s">
        <v>67</v>
      </c>
      <c r="Y2980" s="4">
        <v>45</v>
      </c>
      <c r="Z2980" s="4">
        <v>6</v>
      </c>
      <c r="AA2980" s="4">
        <v>32</v>
      </c>
      <c r="AB2980" s="4">
        <v>1</v>
      </c>
      <c r="AC2980" s="4">
        <v>8</v>
      </c>
      <c r="AD2980" s="4">
        <v>22</v>
      </c>
      <c r="AE2980" s="4">
        <v>37</v>
      </c>
      <c r="AF2980" s="4">
        <v>0</v>
      </c>
      <c r="AG2980" s="4">
        <v>2</v>
      </c>
      <c r="AH2980" s="4">
        <v>21</v>
      </c>
      <c r="AI2980" s="4">
        <v>30</v>
      </c>
      <c r="AJ2980" s="4">
        <v>4</v>
      </c>
      <c r="AK2980" s="4">
        <v>7</v>
      </c>
      <c r="AL2980" s="4">
        <v>15</v>
      </c>
      <c r="AM2980" s="4">
        <v>20</v>
      </c>
      <c r="AN2980" s="4">
        <v>0</v>
      </c>
      <c r="AO2980" s="4">
        <v>0</v>
      </c>
      <c r="AP2980" s="4">
        <v>4</v>
      </c>
      <c r="AQ2980" s="4">
        <v>11</v>
      </c>
      <c r="AR2980" s="3" t="s">
        <v>62</v>
      </c>
      <c r="AS2980" s="3" t="s">
        <v>62</v>
      </c>
      <c r="AT2980" s="3" t="s">
        <v>62</v>
      </c>
      <c r="AV2980" s="6" t="str">
        <f>HYPERLINK("http://mcgill.on.worldcat.org/oclc/663447759","Catalog Record")</f>
        <v>Catalog Record</v>
      </c>
      <c r="AW2980" s="6" t="str">
        <f>HYPERLINK("http://www.worldcat.org/oclc/663447759","WorldCat Record")</f>
        <v>WorldCat Record</v>
      </c>
      <c r="AX2980" s="3" t="s">
        <v>29227</v>
      </c>
      <c r="AY2980" s="3" t="s">
        <v>29228</v>
      </c>
      <c r="AZ2980" s="3" t="s">
        <v>29229</v>
      </c>
      <c r="BA2980" s="3" t="s">
        <v>29229</v>
      </c>
      <c r="BB2980" s="3" t="s">
        <v>29230</v>
      </c>
      <c r="BC2980" s="3" t="s">
        <v>142</v>
      </c>
      <c r="BD2980" s="3" t="s">
        <v>68</v>
      </c>
      <c r="BE2980" s="3" t="s">
        <v>29231</v>
      </c>
      <c r="BF2980" s="3" t="s">
        <v>29230</v>
      </c>
      <c r="BG2980" s="3" t="s">
        <v>29232</v>
      </c>
    </row>
    <row r="2981" spans="1:59" ht="57" x14ac:dyDescent="0.45">
      <c r="A2981" s="2" t="s">
        <v>59</v>
      </c>
      <c r="B2981" s="2" t="s">
        <v>60</v>
      </c>
      <c r="C2981" s="2" t="s">
        <v>29233</v>
      </c>
      <c r="D2981" s="2" t="s">
        <v>29234</v>
      </c>
      <c r="E2981" s="2" t="s">
        <v>29235</v>
      </c>
      <c r="G2981" s="3" t="s">
        <v>62</v>
      </c>
      <c r="I2981" s="3" t="s">
        <v>62</v>
      </c>
      <c r="J2981" s="3" t="s">
        <v>62</v>
      </c>
      <c r="K2981" s="3" t="s">
        <v>63</v>
      </c>
      <c r="M2981" s="2" t="s">
        <v>4964</v>
      </c>
      <c r="N2981" s="3" t="s">
        <v>1239</v>
      </c>
      <c r="P2981" s="3" t="s">
        <v>65</v>
      </c>
      <c r="Q2981" s="2" t="s">
        <v>29236</v>
      </c>
      <c r="R2981" s="3" t="s">
        <v>66</v>
      </c>
      <c r="S2981" s="4">
        <v>6</v>
      </c>
      <c r="T2981" s="4">
        <v>6</v>
      </c>
      <c r="U2981" s="5" t="s">
        <v>9777</v>
      </c>
      <c r="V2981" s="5" t="s">
        <v>9777</v>
      </c>
      <c r="W2981" s="5" t="s">
        <v>67</v>
      </c>
      <c r="X2981" s="5" t="s">
        <v>67</v>
      </c>
      <c r="Y2981" s="4">
        <v>158</v>
      </c>
      <c r="Z2981" s="4">
        <v>14</v>
      </c>
      <c r="AA2981" s="4">
        <v>16</v>
      </c>
      <c r="AB2981" s="4">
        <v>1</v>
      </c>
      <c r="AC2981" s="4">
        <v>3</v>
      </c>
      <c r="AD2981" s="4">
        <v>82</v>
      </c>
      <c r="AE2981" s="4">
        <v>84</v>
      </c>
      <c r="AF2981" s="4">
        <v>0</v>
      </c>
      <c r="AG2981" s="4">
        <v>2</v>
      </c>
      <c r="AH2981" s="4">
        <v>75</v>
      </c>
      <c r="AI2981" s="4">
        <v>76</v>
      </c>
      <c r="AJ2981" s="4">
        <v>12</v>
      </c>
      <c r="AK2981" s="4">
        <v>14</v>
      </c>
      <c r="AL2981" s="4">
        <v>45</v>
      </c>
      <c r="AM2981" s="4">
        <v>45</v>
      </c>
      <c r="AN2981" s="4">
        <v>0</v>
      </c>
      <c r="AO2981" s="4">
        <v>0</v>
      </c>
      <c r="AP2981" s="4">
        <v>12</v>
      </c>
      <c r="AQ2981" s="4">
        <v>14</v>
      </c>
      <c r="AR2981" s="3" t="s">
        <v>62</v>
      </c>
      <c r="AS2981" s="3" t="s">
        <v>62</v>
      </c>
      <c r="AT2981" s="3" t="s">
        <v>61</v>
      </c>
      <c r="AU2981" s="6" t="str">
        <f>HYPERLINK("http://catalog.hathitrust.org/Record/001550518","HathiTrust Record")</f>
        <v>HathiTrust Record</v>
      </c>
      <c r="AV2981" s="6" t="str">
        <f>HYPERLINK("http://mcgill.on.worldcat.org/oclc/19885271","Catalog Record")</f>
        <v>Catalog Record</v>
      </c>
      <c r="AW2981" s="6" t="str">
        <f>HYPERLINK("http://www.worldcat.org/oclc/19885271","WorldCat Record")</f>
        <v>WorldCat Record</v>
      </c>
      <c r="AX2981" s="3" t="s">
        <v>29237</v>
      </c>
      <c r="AY2981" s="3" t="s">
        <v>29238</v>
      </c>
      <c r="AZ2981" s="3" t="s">
        <v>29239</v>
      </c>
      <c r="BA2981" s="3" t="s">
        <v>29239</v>
      </c>
      <c r="BB2981" s="3" t="s">
        <v>29240</v>
      </c>
      <c r="BC2981" s="3" t="s">
        <v>142</v>
      </c>
      <c r="BD2981" s="3" t="s">
        <v>68</v>
      </c>
      <c r="BE2981" s="3" t="s">
        <v>29241</v>
      </c>
      <c r="BF2981" s="3" t="s">
        <v>29240</v>
      </c>
      <c r="BG2981" s="3" t="s">
        <v>29242</v>
      </c>
    </row>
    <row r="2982" spans="1:59" ht="57" x14ac:dyDescent="0.45">
      <c r="A2982" s="2" t="s">
        <v>59</v>
      </c>
      <c r="B2982" s="2" t="s">
        <v>60</v>
      </c>
      <c r="C2982" s="2" t="s">
        <v>29243</v>
      </c>
      <c r="D2982" s="2" t="s">
        <v>29244</v>
      </c>
      <c r="E2982" s="2" t="s">
        <v>29245</v>
      </c>
      <c r="G2982" s="3" t="s">
        <v>62</v>
      </c>
      <c r="I2982" s="3" t="s">
        <v>62</v>
      </c>
      <c r="J2982" s="3" t="s">
        <v>62</v>
      </c>
      <c r="K2982" s="3" t="s">
        <v>63</v>
      </c>
      <c r="M2982" s="2" t="s">
        <v>29246</v>
      </c>
      <c r="N2982" s="3" t="s">
        <v>149</v>
      </c>
      <c r="P2982" s="3" t="s">
        <v>65</v>
      </c>
      <c r="Q2982" s="2" t="s">
        <v>1782</v>
      </c>
      <c r="R2982" s="3" t="s">
        <v>66</v>
      </c>
      <c r="S2982" s="4">
        <v>3</v>
      </c>
      <c r="T2982" s="4">
        <v>3</v>
      </c>
      <c r="U2982" s="5" t="s">
        <v>29247</v>
      </c>
      <c r="V2982" s="5" t="s">
        <v>29247</v>
      </c>
      <c r="W2982" s="5" t="s">
        <v>67</v>
      </c>
      <c r="X2982" s="5" t="s">
        <v>67</v>
      </c>
      <c r="Y2982" s="4">
        <v>122</v>
      </c>
      <c r="Z2982" s="4">
        <v>14</v>
      </c>
      <c r="AA2982" s="4">
        <v>93</v>
      </c>
      <c r="AB2982" s="4">
        <v>2</v>
      </c>
      <c r="AC2982" s="4">
        <v>17</v>
      </c>
      <c r="AD2982" s="4">
        <v>48</v>
      </c>
      <c r="AE2982" s="4">
        <v>118</v>
      </c>
      <c r="AF2982" s="4">
        <v>1</v>
      </c>
      <c r="AG2982" s="4">
        <v>8</v>
      </c>
      <c r="AH2982" s="4">
        <v>43</v>
      </c>
      <c r="AI2982" s="4">
        <v>82</v>
      </c>
      <c r="AJ2982" s="4">
        <v>10</v>
      </c>
      <c r="AK2982" s="4">
        <v>22</v>
      </c>
      <c r="AL2982" s="4">
        <v>27</v>
      </c>
      <c r="AM2982" s="4">
        <v>44</v>
      </c>
      <c r="AN2982" s="4">
        <v>0</v>
      </c>
      <c r="AO2982" s="4">
        <v>0</v>
      </c>
      <c r="AP2982" s="4">
        <v>11</v>
      </c>
      <c r="AQ2982" s="4">
        <v>44</v>
      </c>
      <c r="AR2982" s="3" t="s">
        <v>62</v>
      </c>
      <c r="AS2982" s="3" t="s">
        <v>62</v>
      </c>
      <c r="AT2982" s="3" t="s">
        <v>62</v>
      </c>
      <c r="AV2982" s="6" t="str">
        <f>HYPERLINK("http://mcgill.on.worldcat.org/oclc/610165174","Catalog Record")</f>
        <v>Catalog Record</v>
      </c>
      <c r="AW2982" s="6" t="str">
        <f>HYPERLINK("http://www.worldcat.org/oclc/610165174","WorldCat Record")</f>
        <v>WorldCat Record</v>
      </c>
      <c r="AX2982" s="3" t="s">
        <v>29248</v>
      </c>
      <c r="AY2982" s="3" t="s">
        <v>29249</v>
      </c>
      <c r="AZ2982" s="3" t="s">
        <v>29250</v>
      </c>
      <c r="BA2982" s="3" t="s">
        <v>29250</v>
      </c>
      <c r="BB2982" s="3" t="s">
        <v>29251</v>
      </c>
      <c r="BC2982" s="3" t="s">
        <v>142</v>
      </c>
      <c r="BD2982" s="3" t="s">
        <v>68</v>
      </c>
      <c r="BE2982" s="3" t="s">
        <v>29252</v>
      </c>
      <c r="BF2982" s="3" t="s">
        <v>29251</v>
      </c>
      <c r="BG2982" s="3" t="s">
        <v>29253</v>
      </c>
    </row>
    <row r="2983" spans="1:59" ht="57" x14ac:dyDescent="0.45">
      <c r="A2983" s="2" t="s">
        <v>59</v>
      </c>
      <c r="B2983" s="2" t="s">
        <v>60</v>
      </c>
      <c r="C2983" s="2" t="s">
        <v>29254</v>
      </c>
      <c r="D2983" s="2" t="s">
        <v>29255</v>
      </c>
      <c r="E2983" s="2" t="s">
        <v>29256</v>
      </c>
      <c r="G2983" s="3" t="s">
        <v>62</v>
      </c>
      <c r="I2983" s="3" t="s">
        <v>62</v>
      </c>
      <c r="J2983" s="3" t="s">
        <v>62</v>
      </c>
      <c r="K2983" s="3" t="s">
        <v>63</v>
      </c>
      <c r="M2983" s="2" t="s">
        <v>29257</v>
      </c>
      <c r="N2983" s="3" t="s">
        <v>529</v>
      </c>
      <c r="P2983" s="3" t="s">
        <v>65</v>
      </c>
      <c r="Q2983" s="2" t="s">
        <v>17618</v>
      </c>
      <c r="R2983" s="3" t="s">
        <v>66</v>
      </c>
      <c r="S2983" s="4">
        <v>26</v>
      </c>
      <c r="T2983" s="4">
        <v>26</v>
      </c>
      <c r="U2983" s="5" t="s">
        <v>19976</v>
      </c>
      <c r="V2983" s="5" t="s">
        <v>19976</v>
      </c>
      <c r="W2983" s="5" t="s">
        <v>67</v>
      </c>
      <c r="X2983" s="5" t="s">
        <v>67</v>
      </c>
      <c r="Y2983" s="4">
        <v>642</v>
      </c>
      <c r="Z2983" s="4">
        <v>42</v>
      </c>
      <c r="AA2983" s="4">
        <v>112</v>
      </c>
      <c r="AB2983" s="4">
        <v>1</v>
      </c>
      <c r="AC2983" s="4">
        <v>17</v>
      </c>
      <c r="AD2983" s="4">
        <v>130</v>
      </c>
      <c r="AE2983" s="4">
        <v>157</v>
      </c>
      <c r="AF2983" s="4">
        <v>0</v>
      </c>
      <c r="AG2983" s="4">
        <v>8</v>
      </c>
      <c r="AH2983" s="4">
        <v>107</v>
      </c>
      <c r="AI2983" s="4">
        <v>114</v>
      </c>
      <c r="AJ2983" s="4">
        <v>20</v>
      </c>
      <c r="AK2983" s="4">
        <v>27</v>
      </c>
      <c r="AL2983" s="4">
        <v>56</v>
      </c>
      <c r="AM2983" s="4">
        <v>59</v>
      </c>
      <c r="AN2983" s="4">
        <v>0</v>
      </c>
      <c r="AO2983" s="4">
        <v>0</v>
      </c>
      <c r="AP2983" s="4">
        <v>32</v>
      </c>
      <c r="AQ2983" s="4">
        <v>53</v>
      </c>
      <c r="AR2983" s="3" t="s">
        <v>62</v>
      </c>
      <c r="AS2983" s="3" t="s">
        <v>62</v>
      </c>
      <c r="AT2983" s="3" t="s">
        <v>61</v>
      </c>
      <c r="AU2983" s="6" t="str">
        <f>HYPERLINK("http://catalog.hathitrust.org/Record/000460082","HathiTrust Record")</f>
        <v>HathiTrust Record</v>
      </c>
      <c r="AV2983" s="6" t="str">
        <f>HYPERLINK("http://mcgill.on.worldcat.org/oclc/10850401","Catalog Record")</f>
        <v>Catalog Record</v>
      </c>
      <c r="AW2983" s="6" t="str">
        <f>HYPERLINK("http://www.worldcat.org/oclc/10850401","WorldCat Record")</f>
        <v>WorldCat Record</v>
      </c>
      <c r="AX2983" s="3" t="s">
        <v>29258</v>
      </c>
      <c r="AY2983" s="3" t="s">
        <v>29259</v>
      </c>
      <c r="AZ2983" s="3" t="s">
        <v>29260</v>
      </c>
      <c r="BA2983" s="3" t="s">
        <v>29260</v>
      </c>
      <c r="BB2983" s="3" t="s">
        <v>29261</v>
      </c>
      <c r="BC2983" s="3" t="s">
        <v>142</v>
      </c>
      <c r="BD2983" s="3" t="s">
        <v>68</v>
      </c>
      <c r="BE2983" s="3" t="s">
        <v>29262</v>
      </c>
      <c r="BF2983" s="3" t="s">
        <v>29261</v>
      </c>
      <c r="BG2983" s="3" t="s">
        <v>29263</v>
      </c>
    </row>
    <row r="2984" spans="1:59" ht="57" x14ac:dyDescent="0.45">
      <c r="A2984" s="2" t="s">
        <v>59</v>
      </c>
      <c r="B2984" s="2" t="s">
        <v>60</v>
      </c>
      <c r="C2984" s="2" t="s">
        <v>29264</v>
      </c>
      <c r="D2984" s="2" t="s">
        <v>29265</v>
      </c>
      <c r="E2984" s="2" t="s">
        <v>29266</v>
      </c>
      <c r="G2984" s="3" t="s">
        <v>62</v>
      </c>
      <c r="I2984" s="3" t="s">
        <v>62</v>
      </c>
      <c r="J2984" s="3" t="s">
        <v>62</v>
      </c>
      <c r="K2984" s="3" t="s">
        <v>63</v>
      </c>
      <c r="M2984" s="2" t="s">
        <v>29267</v>
      </c>
      <c r="N2984" s="3" t="s">
        <v>1212</v>
      </c>
      <c r="P2984" s="3" t="s">
        <v>65</v>
      </c>
      <c r="Q2984" s="2" t="s">
        <v>29268</v>
      </c>
      <c r="R2984" s="3" t="s">
        <v>66</v>
      </c>
      <c r="S2984" s="4">
        <v>13</v>
      </c>
      <c r="T2984" s="4">
        <v>13</v>
      </c>
      <c r="U2984" s="5" t="s">
        <v>12666</v>
      </c>
      <c r="V2984" s="5" t="s">
        <v>12666</v>
      </c>
      <c r="W2984" s="5" t="s">
        <v>67</v>
      </c>
      <c r="X2984" s="5" t="s">
        <v>67</v>
      </c>
      <c r="Y2984" s="4">
        <v>26</v>
      </c>
      <c r="Z2984" s="4">
        <v>15</v>
      </c>
      <c r="AA2984" s="4">
        <v>15</v>
      </c>
      <c r="AB2984" s="4">
        <v>1</v>
      </c>
      <c r="AC2984" s="4">
        <v>1</v>
      </c>
      <c r="AD2984" s="4">
        <v>17</v>
      </c>
      <c r="AE2984" s="4">
        <v>17</v>
      </c>
      <c r="AF2984" s="4">
        <v>0</v>
      </c>
      <c r="AG2984" s="4">
        <v>0</v>
      </c>
      <c r="AH2984" s="4">
        <v>10</v>
      </c>
      <c r="AI2984" s="4">
        <v>10</v>
      </c>
      <c r="AJ2984" s="4">
        <v>8</v>
      </c>
      <c r="AK2984" s="4">
        <v>8</v>
      </c>
      <c r="AL2984" s="4">
        <v>5</v>
      </c>
      <c r="AM2984" s="4">
        <v>5</v>
      </c>
      <c r="AN2984" s="4">
        <v>0</v>
      </c>
      <c r="AO2984" s="4">
        <v>0</v>
      </c>
      <c r="AP2984" s="4">
        <v>10</v>
      </c>
      <c r="AQ2984" s="4">
        <v>10</v>
      </c>
      <c r="AR2984" s="3" t="s">
        <v>62</v>
      </c>
      <c r="AS2984" s="3" t="s">
        <v>62</v>
      </c>
      <c r="AT2984" s="3" t="s">
        <v>62</v>
      </c>
      <c r="AV2984" s="6" t="str">
        <f>HYPERLINK("http://mcgill.on.worldcat.org/oclc/44905874","Catalog Record")</f>
        <v>Catalog Record</v>
      </c>
      <c r="AW2984" s="6" t="str">
        <f>HYPERLINK("http://www.worldcat.org/oclc/44905874","WorldCat Record")</f>
        <v>WorldCat Record</v>
      </c>
      <c r="AX2984" s="3" t="s">
        <v>29269</v>
      </c>
      <c r="AY2984" s="3" t="s">
        <v>29270</v>
      </c>
      <c r="AZ2984" s="3" t="s">
        <v>29271</v>
      </c>
      <c r="BA2984" s="3" t="s">
        <v>29271</v>
      </c>
      <c r="BB2984" s="3" t="s">
        <v>29272</v>
      </c>
      <c r="BC2984" s="3" t="s">
        <v>142</v>
      </c>
      <c r="BD2984" s="3" t="s">
        <v>68</v>
      </c>
      <c r="BE2984" s="3" t="s">
        <v>29273</v>
      </c>
      <c r="BF2984" s="3" t="s">
        <v>29272</v>
      </c>
      <c r="BG2984" s="3" t="s">
        <v>29274</v>
      </c>
    </row>
    <row r="2985" spans="1:59" ht="57" x14ac:dyDescent="0.45">
      <c r="A2985" s="2" t="s">
        <v>59</v>
      </c>
      <c r="B2985" s="2" t="s">
        <v>60</v>
      </c>
      <c r="C2985" s="2" t="s">
        <v>29275</v>
      </c>
      <c r="D2985" s="2" t="s">
        <v>29276</v>
      </c>
      <c r="E2985" s="2" t="s">
        <v>29277</v>
      </c>
      <c r="G2985" s="3" t="s">
        <v>62</v>
      </c>
      <c r="I2985" s="3" t="s">
        <v>62</v>
      </c>
      <c r="J2985" s="3" t="s">
        <v>62</v>
      </c>
      <c r="K2985" s="3" t="s">
        <v>63</v>
      </c>
      <c r="M2985" s="2" t="s">
        <v>29278</v>
      </c>
      <c r="N2985" s="3" t="s">
        <v>480</v>
      </c>
      <c r="P2985" s="3" t="s">
        <v>65</v>
      </c>
      <c r="Q2985" s="2" t="s">
        <v>29279</v>
      </c>
      <c r="R2985" s="3" t="s">
        <v>66</v>
      </c>
      <c r="S2985" s="4">
        <v>19</v>
      </c>
      <c r="T2985" s="4">
        <v>19</v>
      </c>
      <c r="U2985" s="5" t="s">
        <v>29280</v>
      </c>
      <c r="V2985" s="5" t="s">
        <v>29280</v>
      </c>
      <c r="W2985" s="5" t="s">
        <v>67</v>
      </c>
      <c r="X2985" s="5" t="s">
        <v>67</v>
      </c>
      <c r="Y2985" s="4">
        <v>238</v>
      </c>
      <c r="Z2985" s="4">
        <v>24</v>
      </c>
      <c r="AA2985" s="4">
        <v>26</v>
      </c>
      <c r="AB2985" s="4">
        <v>2</v>
      </c>
      <c r="AC2985" s="4">
        <v>4</v>
      </c>
      <c r="AD2985" s="4">
        <v>90</v>
      </c>
      <c r="AE2985" s="4">
        <v>92</v>
      </c>
      <c r="AF2985" s="4">
        <v>0</v>
      </c>
      <c r="AG2985" s="4">
        <v>2</v>
      </c>
      <c r="AH2985" s="4">
        <v>80</v>
      </c>
      <c r="AI2985" s="4">
        <v>81</v>
      </c>
      <c r="AJ2985" s="4">
        <v>15</v>
      </c>
      <c r="AK2985" s="4">
        <v>17</v>
      </c>
      <c r="AL2985" s="4">
        <v>42</v>
      </c>
      <c r="AM2985" s="4">
        <v>42</v>
      </c>
      <c r="AN2985" s="4">
        <v>0</v>
      </c>
      <c r="AO2985" s="4">
        <v>0</v>
      </c>
      <c r="AP2985" s="4">
        <v>19</v>
      </c>
      <c r="AQ2985" s="4">
        <v>21</v>
      </c>
      <c r="AR2985" s="3" t="s">
        <v>62</v>
      </c>
      <c r="AS2985" s="3" t="s">
        <v>62</v>
      </c>
      <c r="AT2985" s="3" t="s">
        <v>61</v>
      </c>
      <c r="AU2985" s="6" t="str">
        <f>HYPERLINK("http://catalog.hathitrust.org/Record/000096022","HathiTrust Record")</f>
        <v>HathiTrust Record</v>
      </c>
      <c r="AV2985" s="6" t="str">
        <f>HYPERLINK("http://mcgill.on.worldcat.org/oclc/13966229","Catalog Record")</f>
        <v>Catalog Record</v>
      </c>
      <c r="AW2985" s="6" t="str">
        <f>HYPERLINK("http://www.worldcat.org/oclc/13966229","WorldCat Record")</f>
        <v>WorldCat Record</v>
      </c>
      <c r="AX2985" s="3" t="s">
        <v>29281</v>
      </c>
      <c r="AY2985" s="3" t="s">
        <v>29282</v>
      </c>
      <c r="AZ2985" s="3" t="s">
        <v>29283</v>
      </c>
      <c r="BA2985" s="3" t="s">
        <v>29283</v>
      </c>
      <c r="BB2985" s="3" t="s">
        <v>29284</v>
      </c>
      <c r="BC2985" s="3" t="s">
        <v>142</v>
      </c>
      <c r="BD2985" s="3" t="s">
        <v>68</v>
      </c>
      <c r="BE2985" s="3" t="s">
        <v>29285</v>
      </c>
      <c r="BF2985" s="3" t="s">
        <v>29284</v>
      </c>
      <c r="BG2985" s="3" t="s">
        <v>29286</v>
      </c>
    </row>
    <row r="2986" spans="1:59" ht="71.25" x14ac:dyDescent="0.45">
      <c r="A2986" s="2" t="s">
        <v>59</v>
      </c>
      <c r="B2986" s="2" t="s">
        <v>60</v>
      </c>
      <c r="C2986" s="2" t="s">
        <v>29287</v>
      </c>
      <c r="D2986" s="2" t="s">
        <v>29288</v>
      </c>
      <c r="E2986" s="2" t="s">
        <v>29289</v>
      </c>
      <c r="G2986" s="3" t="s">
        <v>62</v>
      </c>
      <c r="I2986" s="3" t="s">
        <v>62</v>
      </c>
      <c r="J2986" s="3" t="s">
        <v>62</v>
      </c>
      <c r="K2986" s="3" t="s">
        <v>63</v>
      </c>
      <c r="M2986" s="2" t="s">
        <v>29290</v>
      </c>
      <c r="N2986" s="3" t="s">
        <v>149</v>
      </c>
      <c r="P2986" s="3" t="s">
        <v>65</v>
      </c>
      <c r="R2986" s="3" t="s">
        <v>66</v>
      </c>
      <c r="S2986" s="4">
        <v>1</v>
      </c>
      <c r="T2986" s="4">
        <v>1</v>
      </c>
      <c r="U2986" s="5" t="s">
        <v>29291</v>
      </c>
      <c r="V2986" s="5" t="s">
        <v>29291</v>
      </c>
      <c r="W2986" s="5" t="s">
        <v>67</v>
      </c>
      <c r="X2986" s="5" t="s">
        <v>67</v>
      </c>
      <c r="Y2986" s="4">
        <v>18</v>
      </c>
      <c r="Z2986" s="4">
        <v>5</v>
      </c>
      <c r="AA2986" s="4">
        <v>5</v>
      </c>
      <c r="AB2986" s="4">
        <v>1</v>
      </c>
      <c r="AC2986" s="4">
        <v>1</v>
      </c>
      <c r="AD2986" s="4">
        <v>8</v>
      </c>
      <c r="AE2986" s="4">
        <v>8</v>
      </c>
      <c r="AF2986" s="4">
        <v>0</v>
      </c>
      <c r="AG2986" s="4">
        <v>0</v>
      </c>
      <c r="AH2986" s="4">
        <v>6</v>
      </c>
      <c r="AI2986" s="4">
        <v>6</v>
      </c>
      <c r="AJ2986" s="4">
        <v>4</v>
      </c>
      <c r="AK2986" s="4">
        <v>4</v>
      </c>
      <c r="AL2986" s="4">
        <v>3</v>
      </c>
      <c r="AM2986" s="4">
        <v>3</v>
      </c>
      <c r="AN2986" s="4">
        <v>0</v>
      </c>
      <c r="AO2986" s="4">
        <v>0</v>
      </c>
      <c r="AP2986" s="4">
        <v>4</v>
      </c>
      <c r="AQ2986" s="4">
        <v>4</v>
      </c>
      <c r="AR2986" s="3" t="s">
        <v>61</v>
      </c>
      <c r="AS2986" s="3" t="s">
        <v>62</v>
      </c>
      <c r="AT2986" s="3" t="s">
        <v>62</v>
      </c>
      <c r="AV2986" s="6" t="str">
        <f>HYPERLINK("http://mcgill.on.worldcat.org/oclc/664424255","Catalog Record")</f>
        <v>Catalog Record</v>
      </c>
      <c r="AW2986" s="6" t="str">
        <f>HYPERLINK("http://www.worldcat.org/oclc/664424255","WorldCat Record")</f>
        <v>WorldCat Record</v>
      </c>
      <c r="AX2986" s="3" t="s">
        <v>29292</v>
      </c>
      <c r="AY2986" s="3" t="s">
        <v>29293</v>
      </c>
      <c r="AZ2986" s="3" t="s">
        <v>29294</v>
      </c>
      <c r="BA2986" s="3" t="s">
        <v>29294</v>
      </c>
      <c r="BB2986" s="3" t="s">
        <v>29295</v>
      </c>
      <c r="BC2986" s="3" t="s">
        <v>142</v>
      </c>
      <c r="BD2986" s="3" t="s">
        <v>68</v>
      </c>
      <c r="BE2986" s="3" t="s">
        <v>29296</v>
      </c>
      <c r="BF2986" s="3" t="s">
        <v>29295</v>
      </c>
      <c r="BG2986" s="3" t="s">
        <v>29297</v>
      </c>
    </row>
    <row r="2987" spans="1:59" ht="57" x14ac:dyDescent="0.45">
      <c r="A2987" s="2" t="s">
        <v>59</v>
      </c>
      <c r="B2987" s="2" t="s">
        <v>60</v>
      </c>
      <c r="C2987" s="2" t="s">
        <v>29298</v>
      </c>
      <c r="D2987" s="2" t="s">
        <v>29299</v>
      </c>
      <c r="E2987" s="2" t="s">
        <v>29300</v>
      </c>
      <c r="G2987" s="3" t="s">
        <v>62</v>
      </c>
      <c r="I2987" s="3" t="s">
        <v>62</v>
      </c>
      <c r="J2987" s="3" t="s">
        <v>62</v>
      </c>
      <c r="K2987" s="3" t="s">
        <v>63</v>
      </c>
      <c r="M2987" s="2" t="s">
        <v>4964</v>
      </c>
      <c r="N2987" s="3" t="s">
        <v>1239</v>
      </c>
      <c r="P2987" s="3" t="s">
        <v>65</v>
      </c>
      <c r="Q2987" s="2" t="s">
        <v>29301</v>
      </c>
      <c r="R2987" s="3" t="s">
        <v>66</v>
      </c>
      <c r="S2987" s="4">
        <v>35</v>
      </c>
      <c r="T2987" s="4">
        <v>35</v>
      </c>
      <c r="U2987" s="5" t="s">
        <v>28987</v>
      </c>
      <c r="V2987" s="5" t="s">
        <v>28987</v>
      </c>
      <c r="W2987" s="5" t="s">
        <v>67</v>
      </c>
      <c r="X2987" s="5" t="s">
        <v>67</v>
      </c>
      <c r="Y2987" s="4">
        <v>226</v>
      </c>
      <c r="Z2987" s="4">
        <v>18</v>
      </c>
      <c r="AA2987" s="4">
        <v>20</v>
      </c>
      <c r="AB2987" s="4">
        <v>2</v>
      </c>
      <c r="AC2987" s="4">
        <v>4</v>
      </c>
      <c r="AD2987" s="4">
        <v>93</v>
      </c>
      <c r="AE2987" s="4">
        <v>95</v>
      </c>
      <c r="AF2987" s="4">
        <v>1</v>
      </c>
      <c r="AG2987" s="4">
        <v>3</v>
      </c>
      <c r="AH2987" s="4">
        <v>83</v>
      </c>
      <c r="AI2987" s="4">
        <v>84</v>
      </c>
      <c r="AJ2987" s="4">
        <v>15</v>
      </c>
      <c r="AK2987" s="4">
        <v>17</v>
      </c>
      <c r="AL2987" s="4">
        <v>48</v>
      </c>
      <c r="AM2987" s="4">
        <v>48</v>
      </c>
      <c r="AN2987" s="4">
        <v>0</v>
      </c>
      <c r="AO2987" s="4">
        <v>0</v>
      </c>
      <c r="AP2987" s="4">
        <v>16</v>
      </c>
      <c r="AQ2987" s="4">
        <v>18</v>
      </c>
      <c r="AR2987" s="3" t="s">
        <v>62</v>
      </c>
      <c r="AS2987" s="3" t="s">
        <v>62</v>
      </c>
      <c r="AT2987" s="3" t="s">
        <v>61</v>
      </c>
      <c r="AU2987" s="6" t="str">
        <f>HYPERLINK("http://catalog.hathitrust.org/Record/001550516","HathiTrust Record")</f>
        <v>HathiTrust Record</v>
      </c>
      <c r="AV2987" s="6" t="str">
        <f>HYPERLINK("http://mcgill.on.worldcat.org/oclc/19723663","Catalog Record")</f>
        <v>Catalog Record</v>
      </c>
      <c r="AW2987" s="6" t="str">
        <f>HYPERLINK("http://www.worldcat.org/oclc/19723663","WorldCat Record")</f>
        <v>WorldCat Record</v>
      </c>
      <c r="AX2987" s="3" t="s">
        <v>29302</v>
      </c>
      <c r="AY2987" s="3" t="s">
        <v>29303</v>
      </c>
      <c r="AZ2987" s="3" t="s">
        <v>29304</v>
      </c>
      <c r="BA2987" s="3" t="s">
        <v>29304</v>
      </c>
      <c r="BB2987" s="3" t="s">
        <v>29305</v>
      </c>
      <c r="BC2987" s="3" t="s">
        <v>142</v>
      </c>
      <c r="BD2987" s="3" t="s">
        <v>68</v>
      </c>
      <c r="BE2987" s="3" t="s">
        <v>29306</v>
      </c>
      <c r="BF2987" s="3" t="s">
        <v>29305</v>
      </c>
      <c r="BG2987" s="3" t="s">
        <v>29307</v>
      </c>
    </row>
    <row r="2988" spans="1:59" ht="57" x14ac:dyDescent="0.45">
      <c r="A2988" s="2" t="s">
        <v>59</v>
      </c>
      <c r="B2988" s="2" t="s">
        <v>60</v>
      </c>
      <c r="C2988" s="2" t="s">
        <v>29308</v>
      </c>
      <c r="D2988" s="2" t="s">
        <v>29309</v>
      </c>
      <c r="E2988" s="2" t="s">
        <v>29310</v>
      </c>
      <c r="G2988" s="3" t="s">
        <v>62</v>
      </c>
      <c r="I2988" s="3" t="s">
        <v>62</v>
      </c>
      <c r="J2988" s="3" t="s">
        <v>62</v>
      </c>
      <c r="K2988" s="3" t="s">
        <v>63</v>
      </c>
      <c r="M2988" s="2" t="s">
        <v>2822</v>
      </c>
      <c r="N2988" s="3" t="s">
        <v>894</v>
      </c>
      <c r="P2988" s="3" t="s">
        <v>65</v>
      </c>
      <c r="Q2988" s="2" t="s">
        <v>29311</v>
      </c>
      <c r="R2988" s="3" t="s">
        <v>66</v>
      </c>
      <c r="S2988" s="4">
        <v>0</v>
      </c>
      <c r="T2988" s="4">
        <v>0</v>
      </c>
      <c r="W2988" s="5" t="s">
        <v>67</v>
      </c>
      <c r="X2988" s="5" t="s">
        <v>67</v>
      </c>
      <c r="Y2988" s="4">
        <v>60</v>
      </c>
      <c r="Z2988" s="4">
        <v>12</v>
      </c>
      <c r="AA2988" s="4">
        <v>111</v>
      </c>
      <c r="AB2988" s="4">
        <v>2</v>
      </c>
      <c r="AC2988" s="4">
        <v>17</v>
      </c>
      <c r="AD2988" s="4">
        <v>36</v>
      </c>
      <c r="AE2988" s="4">
        <v>109</v>
      </c>
      <c r="AF2988" s="4">
        <v>1</v>
      </c>
      <c r="AG2988" s="4">
        <v>8</v>
      </c>
      <c r="AH2988" s="4">
        <v>33</v>
      </c>
      <c r="AI2988" s="4">
        <v>72</v>
      </c>
      <c r="AJ2988" s="4">
        <v>9</v>
      </c>
      <c r="AK2988" s="4">
        <v>23</v>
      </c>
      <c r="AL2988" s="4">
        <v>16</v>
      </c>
      <c r="AM2988" s="4">
        <v>36</v>
      </c>
      <c r="AN2988" s="4">
        <v>0</v>
      </c>
      <c r="AO2988" s="4">
        <v>0</v>
      </c>
      <c r="AP2988" s="4">
        <v>10</v>
      </c>
      <c r="AQ2988" s="4">
        <v>45</v>
      </c>
      <c r="AR2988" s="3" t="s">
        <v>62</v>
      </c>
      <c r="AS2988" s="3" t="s">
        <v>62</v>
      </c>
      <c r="AT2988" s="3" t="s">
        <v>62</v>
      </c>
      <c r="AV2988" s="6" t="str">
        <f>HYPERLINK("http://mcgill.on.worldcat.org/oclc/712127496","Catalog Record")</f>
        <v>Catalog Record</v>
      </c>
      <c r="AW2988" s="6" t="str">
        <f>HYPERLINK("http://www.worldcat.org/oclc/712127496","WorldCat Record")</f>
        <v>WorldCat Record</v>
      </c>
      <c r="AX2988" s="3" t="s">
        <v>29312</v>
      </c>
      <c r="AY2988" s="3" t="s">
        <v>29313</v>
      </c>
      <c r="AZ2988" s="3" t="s">
        <v>29314</v>
      </c>
      <c r="BA2988" s="3" t="s">
        <v>29314</v>
      </c>
      <c r="BB2988" s="3" t="s">
        <v>29315</v>
      </c>
      <c r="BC2988" s="3" t="s">
        <v>142</v>
      </c>
      <c r="BD2988" s="3" t="s">
        <v>68</v>
      </c>
      <c r="BE2988" s="3" t="s">
        <v>29316</v>
      </c>
      <c r="BF2988" s="3" t="s">
        <v>29315</v>
      </c>
      <c r="BG2988" s="3" t="s">
        <v>29317</v>
      </c>
    </row>
    <row r="2989" spans="1:59" ht="57" x14ac:dyDescent="0.45">
      <c r="A2989" s="2" t="s">
        <v>59</v>
      </c>
      <c r="B2989" s="2" t="s">
        <v>60</v>
      </c>
      <c r="C2989" s="2" t="s">
        <v>29318</v>
      </c>
      <c r="D2989" s="2" t="s">
        <v>29319</v>
      </c>
      <c r="E2989" s="2" t="s">
        <v>29320</v>
      </c>
      <c r="G2989" s="3" t="s">
        <v>62</v>
      </c>
      <c r="I2989" s="3" t="s">
        <v>62</v>
      </c>
      <c r="J2989" s="3" t="s">
        <v>62</v>
      </c>
      <c r="K2989" s="3" t="s">
        <v>63</v>
      </c>
      <c r="L2989" s="2" t="s">
        <v>29321</v>
      </c>
      <c r="M2989" s="2" t="s">
        <v>29322</v>
      </c>
      <c r="N2989" s="3" t="s">
        <v>1059</v>
      </c>
      <c r="P2989" s="3" t="s">
        <v>65</v>
      </c>
      <c r="Q2989" s="2" t="s">
        <v>29323</v>
      </c>
      <c r="R2989" s="3" t="s">
        <v>66</v>
      </c>
      <c r="S2989" s="4">
        <v>6</v>
      </c>
      <c r="T2989" s="4">
        <v>6</v>
      </c>
      <c r="U2989" s="5" t="s">
        <v>29280</v>
      </c>
      <c r="V2989" s="5" t="s">
        <v>29280</v>
      </c>
      <c r="W2989" s="5" t="s">
        <v>67</v>
      </c>
      <c r="X2989" s="5" t="s">
        <v>67</v>
      </c>
      <c r="Y2989" s="4">
        <v>95</v>
      </c>
      <c r="Z2989" s="4">
        <v>9</v>
      </c>
      <c r="AA2989" s="4">
        <v>94</v>
      </c>
      <c r="AB2989" s="4">
        <v>2</v>
      </c>
      <c r="AC2989" s="4">
        <v>18</v>
      </c>
      <c r="AD2989" s="4">
        <v>51</v>
      </c>
      <c r="AE2989" s="4">
        <v>121</v>
      </c>
      <c r="AF2989" s="4">
        <v>1</v>
      </c>
      <c r="AG2989" s="4">
        <v>8</v>
      </c>
      <c r="AH2989" s="4">
        <v>47</v>
      </c>
      <c r="AI2989" s="4">
        <v>86</v>
      </c>
      <c r="AJ2989" s="4">
        <v>8</v>
      </c>
      <c r="AK2989" s="4">
        <v>21</v>
      </c>
      <c r="AL2989" s="4">
        <v>26</v>
      </c>
      <c r="AM2989" s="4">
        <v>45</v>
      </c>
      <c r="AN2989" s="4">
        <v>0</v>
      </c>
      <c r="AO2989" s="4">
        <v>0</v>
      </c>
      <c r="AP2989" s="4">
        <v>8</v>
      </c>
      <c r="AQ2989" s="4">
        <v>42</v>
      </c>
      <c r="AR2989" s="3" t="s">
        <v>62</v>
      </c>
      <c r="AS2989" s="3" t="s">
        <v>62</v>
      </c>
      <c r="AT2989" s="3" t="s">
        <v>61</v>
      </c>
      <c r="AU2989" s="6" t="str">
        <f>HYPERLINK("http://catalog.hathitrust.org/Record/005224872","HathiTrust Record")</f>
        <v>HathiTrust Record</v>
      </c>
      <c r="AV2989" s="6" t="str">
        <f>HYPERLINK("http://mcgill.on.worldcat.org/oclc/64453556","Catalog Record")</f>
        <v>Catalog Record</v>
      </c>
      <c r="AW2989" s="6" t="str">
        <f>HYPERLINK("http://www.worldcat.org/oclc/64453556","WorldCat Record")</f>
        <v>WorldCat Record</v>
      </c>
      <c r="AX2989" s="3" t="s">
        <v>29324</v>
      </c>
      <c r="AY2989" s="3" t="s">
        <v>29325</v>
      </c>
      <c r="AZ2989" s="3" t="s">
        <v>29326</v>
      </c>
      <c r="BA2989" s="3" t="s">
        <v>29326</v>
      </c>
      <c r="BB2989" s="3" t="s">
        <v>29327</v>
      </c>
      <c r="BC2989" s="3" t="s">
        <v>142</v>
      </c>
      <c r="BD2989" s="3" t="s">
        <v>68</v>
      </c>
      <c r="BE2989" s="3" t="s">
        <v>29328</v>
      </c>
      <c r="BF2989" s="3" t="s">
        <v>29327</v>
      </c>
      <c r="BG2989" s="3" t="s">
        <v>29329</v>
      </c>
    </row>
    <row r="2990" spans="1:59" ht="57" x14ac:dyDescent="0.45">
      <c r="A2990" s="2" t="s">
        <v>59</v>
      </c>
      <c r="B2990" s="2" t="s">
        <v>60</v>
      </c>
      <c r="C2990" s="2" t="s">
        <v>29330</v>
      </c>
      <c r="D2990" s="2" t="s">
        <v>29331</v>
      </c>
      <c r="E2990" s="2" t="s">
        <v>29332</v>
      </c>
      <c r="G2990" s="3" t="s">
        <v>62</v>
      </c>
      <c r="I2990" s="3" t="s">
        <v>62</v>
      </c>
      <c r="J2990" s="3" t="s">
        <v>62</v>
      </c>
      <c r="K2990" s="3" t="s">
        <v>63</v>
      </c>
      <c r="M2990" s="2" t="s">
        <v>29333</v>
      </c>
      <c r="N2990" s="3" t="s">
        <v>583</v>
      </c>
      <c r="P2990" s="3" t="s">
        <v>65</v>
      </c>
      <c r="Q2990" s="2" t="s">
        <v>17618</v>
      </c>
      <c r="R2990" s="3" t="s">
        <v>66</v>
      </c>
      <c r="S2990" s="4">
        <v>12</v>
      </c>
      <c r="T2990" s="4">
        <v>12</v>
      </c>
      <c r="U2990" s="5" t="s">
        <v>959</v>
      </c>
      <c r="V2990" s="5" t="s">
        <v>959</v>
      </c>
      <c r="W2990" s="5" t="s">
        <v>67</v>
      </c>
      <c r="X2990" s="5" t="s">
        <v>67</v>
      </c>
      <c r="Y2990" s="4">
        <v>671</v>
      </c>
      <c r="Z2990" s="4">
        <v>37</v>
      </c>
      <c r="AA2990" s="4">
        <v>37</v>
      </c>
      <c r="AB2990" s="4">
        <v>3</v>
      </c>
      <c r="AC2990" s="4">
        <v>3</v>
      </c>
      <c r="AD2990" s="4">
        <v>128</v>
      </c>
      <c r="AE2990" s="4">
        <v>128</v>
      </c>
      <c r="AF2990" s="4">
        <v>2</v>
      </c>
      <c r="AG2990" s="4">
        <v>2</v>
      </c>
      <c r="AH2990" s="4">
        <v>107</v>
      </c>
      <c r="AI2990" s="4">
        <v>107</v>
      </c>
      <c r="AJ2990" s="4">
        <v>20</v>
      </c>
      <c r="AK2990" s="4">
        <v>20</v>
      </c>
      <c r="AL2990" s="4">
        <v>57</v>
      </c>
      <c r="AM2990" s="4">
        <v>57</v>
      </c>
      <c r="AN2990" s="4">
        <v>0</v>
      </c>
      <c r="AO2990" s="4">
        <v>0</v>
      </c>
      <c r="AP2990" s="4">
        <v>29</v>
      </c>
      <c r="AQ2990" s="4">
        <v>29</v>
      </c>
      <c r="AR2990" s="3" t="s">
        <v>62</v>
      </c>
      <c r="AS2990" s="3" t="s">
        <v>62</v>
      </c>
      <c r="AT2990" s="3" t="s">
        <v>61</v>
      </c>
      <c r="AU2990" s="6" t="str">
        <f>HYPERLINK("http://catalog.hathitrust.org/Record/000293612","HathiTrust Record")</f>
        <v>HathiTrust Record</v>
      </c>
      <c r="AV2990" s="6" t="str">
        <f>HYPERLINK("http://mcgill.on.worldcat.org/oclc/3168432","Catalog Record")</f>
        <v>Catalog Record</v>
      </c>
      <c r="AW2990" s="6" t="str">
        <f>HYPERLINK("http://www.worldcat.org/oclc/3168432","WorldCat Record")</f>
        <v>WorldCat Record</v>
      </c>
      <c r="AX2990" s="3" t="s">
        <v>29334</v>
      </c>
      <c r="AY2990" s="3" t="s">
        <v>29335</v>
      </c>
      <c r="AZ2990" s="3" t="s">
        <v>29336</v>
      </c>
      <c r="BA2990" s="3" t="s">
        <v>29336</v>
      </c>
      <c r="BB2990" s="3" t="s">
        <v>29337</v>
      </c>
      <c r="BC2990" s="3" t="s">
        <v>142</v>
      </c>
      <c r="BD2990" s="3" t="s">
        <v>29338</v>
      </c>
      <c r="BE2990" s="3" t="s">
        <v>29339</v>
      </c>
      <c r="BF2990" s="3" t="s">
        <v>29337</v>
      </c>
      <c r="BG2990" s="3" t="s">
        <v>29340</v>
      </c>
    </row>
    <row r="2991" spans="1:59" ht="57" x14ac:dyDescent="0.45">
      <c r="A2991" s="2" t="s">
        <v>59</v>
      </c>
      <c r="B2991" s="2" t="s">
        <v>60</v>
      </c>
      <c r="C2991" s="2" t="s">
        <v>29341</v>
      </c>
      <c r="D2991" s="2" t="s">
        <v>29342</v>
      </c>
      <c r="E2991" s="2" t="s">
        <v>29343</v>
      </c>
      <c r="G2991" s="3" t="s">
        <v>62</v>
      </c>
      <c r="I2991" s="3" t="s">
        <v>62</v>
      </c>
      <c r="J2991" s="3" t="s">
        <v>62</v>
      </c>
      <c r="K2991" s="3" t="s">
        <v>63</v>
      </c>
      <c r="M2991" s="2" t="s">
        <v>28448</v>
      </c>
      <c r="N2991" s="3" t="s">
        <v>2107</v>
      </c>
      <c r="P2991" s="3" t="s">
        <v>65</v>
      </c>
      <c r="Q2991" s="2" t="s">
        <v>29344</v>
      </c>
      <c r="R2991" s="3" t="s">
        <v>66</v>
      </c>
      <c r="S2991" s="4">
        <v>3</v>
      </c>
      <c r="T2991" s="4">
        <v>3</v>
      </c>
      <c r="U2991" s="5" t="s">
        <v>5547</v>
      </c>
      <c r="V2991" s="5" t="s">
        <v>5547</v>
      </c>
      <c r="W2991" s="5" t="s">
        <v>67</v>
      </c>
      <c r="X2991" s="5" t="s">
        <v>67</v>
      </c>
      <c r="Y2991" s="4">
        <v>168</v>
      </c>
      <c r="Z2991" s="4">
        <v>19</v>
      </c>
      <c r="AA2991" s="4">
        <v>24</v>
      </c>
      <c r="AB2991" s="4">
        <v>1</v>
      </c>
      <c r="AC2991" s="4">
        <v>6</v>
      </c>
      <c r="AD2991" s="4">
        <v>88</v>
      </c>
      <c r="AE2991" s="4">
        <v>91</v>
      </c>
      <c r="AF2991" s="4">
        <v>0</v>
      </c>
      <c r="AG2991" s="4">
        <v>3</v>
      </c>
      <c r="AH2991" s="4">
        <v>79</v>
      </c>
      <c r="AI2991" s="4">
        <v>80</v>
      </c>
      <c r="AJ2991" s="4">
        <v>16</v>
      </c>
      <c r="AK2991" s="4">
        <v>19</v>
      </c>
      <c r="AL2991" s="4">
        <v>43</v>
      </c>
      <c r="AM2991" s="4">
        <v>43</v>
      </c>
      <c r="AN2991" s="4">
        <v>0</v>
      </c>
      <c r="AO2991" s="4">
        <v>0</v>
      </c>
      <c r="AP2991" s="4">
        <v>17</v>
      </c>
      <c r="AQ2991" s="4">
        <v>19</v>
      </c>
      <c r="AR2991" s="3" t="s">
        <v>62</v>
      </c>
      <c r="AS2991" s="3" t="s">
        <v>62</v>
      </c>
      <c r="AT2991" s="3" t="s">
        <v>61</v>
      </c>
      <c r="AU2991" s="6" t="str">
        <f>HYPERLINK("http://catalog.hathitrust.org/Record/000784241","HathiTrust Record")</f>
        <v>HathiTrust Record</v>
      </c>
      <c r="AV2991" s="6" t="str">
        <f>HYPERLINK("http://mcgill.on.worldcat.org/oclc/10484080","Catalog Record")</f>
        <v>Catalog Record</v>
      </c>
      <c r="AW2991" s="6" t="str">
        <f>HYPERLINK("http://www.worldcat.org/oclc/10484080","WorldCat Record")</f>
        <v>WorldCat Record</v>
      </c>
      <c r="AX2991" s="3" t="s">
        <v>29345</v>
      </c>
      <c r="AY2991" s="3" t="s">
        <v>29346</v>
      </c>
      <c r="AZ2991" s="3" t="s">
        <v>29347</v>
      </c>
      <c r="BA2991" s="3" t="s">
        <v>29347</v>
      </c>
      <c r="BB2991" s="3" t="s">
        <v>29348</v>
      </c>
      <c r="BC2991" s="3" t="s">
        <v>142</v>
      </c>
      <c r="BD2991" s="3" t="s">
        <v>68</v>
      </c>
      <c r="BE2991" s="3" t="s">
        <v>29349</v>
      </c>
      <c r="BF2991" s="3" t="s">
        <v>29348</v>
      </c>
      <c r="BG2991" s="3" t="s">
        <v>29350</v>
      </c>
    </row>
    <row r="2992" spans="1:59" ht="57" x14ac:dyDescent="0.45">
      <c r="A2992" s="2" t="s">
        <v>59</v>
      </c>
      <c r="B2992" s="2" t="s">
        <v>60</v>
      </c>
      <c r="C2992" s="2" t="s">
        <v>29351</v>
      </c>
      <c r="D2992" s="2" t="s">
        <v>29352</v>
      </c>
      <c r="E2992" s="2" t="s">
        <v>29353</v>
      </c>
      <c r="G2992" s="3" t="s">
        <v>62</v>
      </c>
      <c r="I2992" s="3" t="s">
        <v>62</v>
      </c>
      <c r="J2992" s="3" t="s">
        <v>62</v>
      </c>
      <c r="K2992" s="3" t="s">
        <v>63</v>
      </c>
      <c r="M2992" s="2" t="s">
        <v>29354</v>
      </c>
      <c r="N2992" s="3" t="s">
        <v>117</v>
      </c>
      <c r="P2992" s="3" t="s">
        <v>65</v>
      </c>
      <c r="Q2992" s="2" t="s">
        <v>17618</v>
      </c>
      <c r="R2992" s="3" t="s">
        <v>66</v>
      </c>
      <c r="S2992" s="4">
        <v>6</v>
      </c>
      <c r="T2992" s="4">
        <v>6</v>
      </c>
      <c r="U2992" s="5" t="s">
        <v>29280</v>
      </c>
      <c r="V2992" s="5" t="s">
        <v>29280</v>
      </c>
      <c r="W2992" s="5" t="s">
        <v>67</v>
      </c>
      <c r="X2992" s="5" t="s">
        <v>67</v>
      </c>
      <c r="Y2992" s="4">
        <v>571</v>
      </c>
      <c r="Z2992" s="4">
        <v>42</v>
      </c>
      <c r="AA2992" s="4">
        <v>45</v>
      </c>
      <c r="AB2992" s="4">
        <v>3</v>
      </c>
      <c r="AC2992" s="4">
        <v>6</v>
      </c>
      <c r="AD2992" s="4">
        <v>127</v>
      </c>
      <c r="AE2992" s="4">
        <v>130</v>
      </c>
      <c r="AF2992" s="4">
        <v>2</v>
      </c>
      <c r="AG2992" s="4">
        <v>5</v>
      </c>
      <c r="AH2992" s="4">
        <v>104</v>
      </c>
      <c r="AI2992" s="4">
        <v>105</v>
      </c>
      <c r="AJ2992" s="4">
        <v>20</v>
      </c>
      <c r="AK2992" s="4">
        <v>23</v>
      </c>
      <c r="AL2992" s="4">
        <v>55</v>
      </c>
      <c r="AM2992" s="4">
        <v>55</v>
      </c>
      <c r="AN2992" s="4">
        <v>0</v>
      </c>
      <c r="AO2992" s="4">
        <v>0</v>
      </c>
      <c r="AP2992" s="4">
        <v>32</v>
      </c>
      <c r="AQ2992" s="4">
        <v>34</v>
      </c>
      <c r="AR2992" s="3" t="s">
        <v>62</v>
      </c>
      <c r="AS2992" s="3" t="s">
        <v>62</v>
      </c>
      <c r="AT2992" s="3" t="s">
        <v>61</v>
      </c>
      <c r="AU2992" s="6" t="str">
        <f>HYPERLINK("http://catalog.hathitrust.org/Record/000731186","HathiTrust Record")</f>
        <v>HathiTrust Record</v>
      </c>
      <c r="AV2992" s="6" t="str">
        <f>HYPERLINK("http://mcgill.on.worldcat.org/oclc/6278163","Catalog Record")</f>
        <v>Catalog Record</v>
      </c>
      <c r="AW2992" s="6" t="str">
        <f>HYPERLINK("http://www.worldcat.org/oclc/6278163","WorldCat Record")</f>
        <v>WorldCat Record</v>
      </c>
      <c r="AX2992" s="3" t="s">
        <v>29355</v>
      </c>
      <c r="AY2992" s="3" t="s">
        <v>29356</v>
      </c>
      <c r="AZ2992" s="3" t="s">
        <v>29357</v>
      </c>
      <c r="BA2992" s="3" t="s">
        <v>29357</v>
      </c>
      <c r="BB2992" s="3" t="s">
        <v>29358</v>
      </c>
      <c r="BC2992" s="3" t="s">
        <v>142</v>
      </c>
      <c r="BD2992" s="3" t="s">
        <v>68</v>
      </c>
      <c r="BE2992" s="3" t="s">
        <v>29359</v>
      </c>
      <c r="BF2992" s="3" t="s">
        <v>29358</v>
      </c>
      <c r="BG2992" s="3" t="s">
        <v>29360</v>
      </c>
    </row>
    <row r="2993" spans="1:59" ht="57" x14ac:dyDescent="0.45">
      <c r="A2993" s="2" t="s">
        <v>59</v>
      </c>
      <c r="B2993" s="2" t="s">
        <v>60</v>
      </c>
      <c r="C2993" s="2" t="s">
        <v>29361</v>
      </c>
      <c r="D2993" s="2" t="s">
        <v>29362</v>
      </c>
      <c r="E2993" s="2" t="s">
        <v>29363</v>
      </c>
      <c r="G2993" s="3" t="s">
        <v>62</v>
      </c>
      <c r="I2993" s="3" t="s">
        <v>61</v>
      </c>
      <c r="J2993" s="3" t="s">
        <v>62</v>
      </c>
      <c r="K2993" s="3" t="s">
        <v>63</v>
      </c>
      <c r="L2993" s="2" t="s">
        <v>29364</v>
      </c>
      <c r="M2993" s="2" t="s">
        <v>29365</v>
      </c>
      <c r="N2993" s="3" t="s">
        <v>106</v>
      </c>
      <c r="P2993" s="3" t="s">
        <v>65</v>
      </c>
      <c r="R2993" s="3" t="s">
        <v>66</v>
      </c>
      <c r="S2993" s="4">
        <v>61</v>
      </c>
      <c r="T2993" s="4">
        <v>141</v>
      </c>
      <c r="U2993" s="5" t="s">
        <v>29366</v>
      </c>
      <c r="V2993" s="5" t="s">
        <v>29367</v>
      </c>
      <c r="W2993" s="5" t="s">
        <v>67</v>
      </c>
      <c r="X2993" s="5" t="s">
        <v>67</v>
      </c>
      <c r="Y2993" s="4">
        <v>1018</v>
      </c>
      <c r="Z2993" s="4">
        <v>59</v>
      </c>
      <c r="AA2993" s="4">
        <v>121</v>
      </c>
      <c r="AB2993" s="4">
        <v>3</v>
      </c>
      <c r="AC2993" s="4">
        <v>17</v>
      </c>
      <c r="AD2993" s="4">
        <v>141</v>
      </c>
      <c r="AE2993" s="4">
        <v>160</v>
      </c>
      <c r="AF2993" s="4">
        <v>2</v>
      </c>
      <c r="AG2993" s="4">
        <v>8</v>
      </c>
      <c r="AH2993" s="4">
        <v>106</v>
      </c>
      <c r="AI2993" s="4">
        <v>111</v>
      </c>
      <c r="AJ2993" s="4">
        <v>21</v>
      </c>
      <c r="AK2993" s="4">
        <v>27</v>
      </c>
      <c r="AL2993" s="4">
        <v>59</v>
      </c>
      <c r="AM2993" s="4">
        <v>60</v>
      </c>
      <c r="AN2993" s="4">
        <v>0</v>
      </c>
      <c r="AO2993" s="4">
        <v>0</v>
      </c>
      <c r="AP2993" s="4">
        <v>43</v>
      </c>
      <c r="AQ2993" s="4">
        <v>58</v>
      </c>
      <c r="AR2993" s="3" t="s">
        <v>62</v>
      </c>
      <c r="AS2993" s="3" t="s">
        <v>62</v>
      </c>
      <c r="AT2993" s="3" t="s">
        <v>62</v>
      </c>
      <c r="AV2993" s="6" t="str">
        <f>HYPERLINK("http://mcgill.on.worldcat.org/oclc/8345645","Catalog Record")</f>
        <v>Catalog Record</v>
      </c>
      <c r="AW2993" s="6" t="str">
        <f>HYPERLINK("http://www.worldcat.org/oclc/8345645","WorldCat Record")</f>
        <v>WorldCat Record</v>
      </c>
      <c r="AX2993" s="3" t="s">
        <v>29368</v>
      </c>
      <c r="AY2993" s="3" t="s">
        <v>29369</v>
      </c>
      <c r="AZ2993" s="3" t="s">
        <v>29370</v>
      </c>
      <c r="BA2993" s="3" t="s">
        <v>29370</v>
      </c>
      <c r="BB2993" s="3" t="s">
        <v>29371</v>
      </c>
      <c r="BC2993" s="3" t="s">
        <v>142</v>
      </c>
      <c r="BD2993" s="3" t="s">
        <v>68</v>
      </c>
      <c r="BE2993" s="3" t="s">
        <v>29372</v>
      </c>
      <c r="BF2993" s="3" t="s">
        <v>29371</v>
      </c>
      <c r="BG2993" s="3" t="s">
        <v>29373</v>
      </c>
    </row>
    <row r="2994" spans="1:59" ht="57" x14ac:dyDescent="0.45">
      <c r="A2994" s="2" t="s">
        <v>59</v>
      </c>
      <c r="B2994" s="2" t="s">
        <v>60</v>
      </c>
      <c r="C2994" s="2" t="s">
        <v>29361</v>
      </c>
      <c r="D2994" s="2" t="s">
        <v>29362</v>
      </c>
      <c r="E2994" s="2" t="s">
        <v>29363</v>
      </c>
      <c r="G2994" s="3" t="s">
        <v>62</v>
      </c>
      <c r="I2994" s="3" t="s">
        <v>61</v>
      </c>
      <c r="J2994" s="3" t="s">
        <v>62</v>
      </c>
      <c r="K2994" s="3" t="s">
        <v>63</v>
      </c>
      <c r="L2994" s="2" t="s">
        <v>29364</v>
      </c>
      <c r="M2994" s="2" t="s">
        <v>29365</v>
      </c>
      <c r="N2994" s="3" t="s">
        <v>106</v>
      </c>
      <c r="P2994" s="3" t="s">
        <v>65</v>
      </c>
      <c r="R2994" s="3" t="s">
        <v>66</v>
      </c>
      <c r="S2994" s="4">
        <v>68</v>
      </c>
      <c r="T2994" s="4">
        <v>141</v>
      </c>
      <c r="U2994" s="5" t="s">
        <v>29374</v>
      </c>
      <c r="V2994" s="5" t="s">
        <v>29367</v>
      </c>
      <c r="W2994" s="5" t="s">
        <v>67</v>
      </c>
      <c r="X2994" s="5" t="s">
        <v>67</v>
      </c>
      <c r="Y2994" s="4">
        <v>1018</v>
      </c>
      <c r="Z2994" s="4">
        <v>59</v>
      </c>
      <c r="AA2994" s="4">
        <v>121</v>
      </c>
      <c r="AB2994" s="4">
        <v>3</v>
      </c>
      <c r="AC2994" s="4">
        <v>17</v>
      </c>
      <c r="AD2994" s="4">
        <v>141</v>
      </c>
      <c r="AE2994" s="4">
        <v>160</v>
      </c>
      <c r="AF2994" s="4">
        <v>2</v>
      </c>
      <c r="AG2994" s="4">
        <v>8</v>
      </c>
      <c r="AH2994" s="4">
        <v>106</v>
      </c>
      <c r="AI2994" s="4">
        <v>111</v>
      </c>
      <c r="AJ2994" s="4">
        <v>21</v>
      </c>
      <c r="AK2994" s="4">
        <v>27</v>
      </c>
      <c r="AL2994" s="4">
        <v>59</v>
      </c>
      <c r="AM2994" s="4">
        <v>60</v>
      </c>
      <c r="AN2994" s="4">
        <v>0</v>
      </c>
      <c r="AO2994" s="4">
        <v>0</v>
      </c>
      <c r="AP2994" s="4">
        <v>43</v>
      </c>
      <c r="AQ2994" s="4">
        <v>58</v>
      </c>
      <c r="AR2994" s="3" t="s">
        <v>62</v>
      </c>
      <c r="AS2994" s="3" t="s">
        <v>62</v>
      </c>
      <c r="AT2994" s="3" t="s">
        <v>62</v>
      </c>
      <c r="AV2994" s="6" t="str">
        <f>HYPERLINK("http://mcgill.on.worldcat.org/oclc/8345645","Catalog Record")</f>
        <v>Catalog Record</v>
      </c>
      <c r="AW2994" s="6" t="str">
        <f>HYPERLINK("http://www.worldcat.org/oclc/8345645","WorldCat Record")</f>
        <v>WorldCat Record</v>
      </c>
      <c r="AX2994" s="3" t="s">
        <v>29368</v>
      </c>
      <c r="AY2994" s="3" t="s">
        <v>29369</v>
      </c>
      <c r="AZ2994" s="3" t="s">
        <v>29370</v>
      </c>
      <c r="BA2994" s="3" t="s">
        <v>29370</v>
      </c>
      <c r="BB2994" s="3" t="s">
        <v>29375</v>
      </c>
      <c r="BC2994" s="3" t="s">
        <v>142</v>
      </c>
      <c r="BD2994" s="3" t="s">
        <v>68</v>
      </c>
      <c r="BE2994" s="3" t="s">
        <v>29372</v>
      </c>
      <c r="BF2994" s="3" t="s">
        <v>29375</v>
      </c>
      <c r="BG2994" s="3" t="s">
        <v>29376</v>
      </c>
    </row>
    <row r="2995" spans="1:59" ht="57" x14ac:dyDescent="0.45">
      <c r="A2995" s="2" t="s">
        <v>59</v>
      </c>
      <c r="B2995" s="2" t="s">
        <v>60</v>
      </c>
      <c r="C2995" s="2" t="s">
        <v>29361</v>
      </c>
      <c r="D2995" s="2" t="s">
        <v>29362</v>
      </c>
      <c r="E2995" s="2" t="s">
        <v>29363</v>
      </c>
      <c r="G2995" s="3" t="s">
        <v>62</v>
      </c>
      <c r="I2995" s="3" t="s">
        <v>61</v>
      </c>
      <c r="J2995" s="3" t="s">
        <v>62</v>
      </c>
      <c r="K2995" s="3" t="s">
        <v>63</v>
      </c>
      <c r="L2995" s="2" t="s">
        <v>29364</v>
      </c>
      <c r="M2995" s="2" t="s">
        <v>29365</v>
      </c>
      <c r="N2995" s="3" t="s">
        <v>106</v>
      </c>
      <c r="P2995" s="3" t="s">
        <v>65</v>
      </c>
      <c r="R2995" s="3" t="s">
        <v>66</v>
      </c>
      <c r="S2995" s="4">
        <v>12</v>
      </c>
      <c r="T2995" s="4">
        <v>141</v>
      </c>
      <c r="U2995" s="5" t="s">
        <v>29367</v>
      </c>
      <c r="V2995" s="5" t="s">
        <v>29367</v>
      </c>
      <c r="W2995" s="5" t="s">
        <v>67</v>
      </c>
      <c r="X2995" s="5" t="s">
        <v>67</v>
      </c>
      <c r="Y2995" s="4">
        <v>1018</v>
      </c>
      <c r="Z2995" s="4">
        <v>59</v>
      </c>
      <c r="AA2995" s="4">
        <v>121</v>
      </c>
      <c r="AB2995" s="4">
        <v>3</v>
      </c>
      <c r="AC2995" s="4">
        <v>17</v>
      </c>
      <c r="AD2995" s="4">
        <v>141</v>
      </c>
      <c r="AE2995" s="4">
        <v>160</v>
      </c>
      <c r="AF2995" s="4">
        <v>2</v>
      </c>
      <c r="AG2995" s="4">
        <v>8</v>
      </c>
      <c r="AH2995" s="4">
        <v>106</v>
      </c>
      <c r="AI2995" s="4">
        <v>111</v>
      </c>
      <c r="AJ2995" s="4">
        <v>21</v>
      </c>
      <c r="AK2995" s="4">
        <v>27</v>
      </c>
      <c r="AL2995" s="4">
        <v>59</v>
      </c>
      <c r="AM2995" s="4">
        <v>60</v>
      </c>
      <c r="AN2995" s="4">
        <v>0</v>
      </c>
      <c r="AO2995" s="4">
        <v>0</v>
      </c>
      <c r="AP2995" s="4">
        <v>43</v>
      </c>
      <c r="AQ2995" s="4">
        <v>58</v>
      </c>
      <c r="AR2995" s="3" t="s">
        <v>62</v>
      </c>
      <c r="AS2995" s="3" t="s">
        <v>62</v>
      </c>
      <c r="AT2995" s="3" t="s">
        <v>62</v>
      </c>
      <c r="AV2995" s="6" t="str">
        <f>HYPERLINK("http://mcgill.on.worldcat.org/oclc/8345645","Catalog Record")</f>
        <v>Catalog Record</v>
      </c>
      <c r="AW2995" s="6" t="str">
        <f>HYPERLINK("http://www.worldcat.org/oclc/8345645","WorldCat Record")</f>
        <v>WorldCat Record</v>
      </c>
      <c r="AX2995" s="3" t="s">
        <v>29368</v>
      </c>
      <c r="AY2995" s="3" t="s">
        <v>29369</v>
      </c>
      <c r="AZ2995" s="3" t="s">
        <v>29370</v>
      </c>
      <c r="BA2995" s="3" t="s">
        <v>29370</v>
      </c>
      <c r="BB2995" s="3" t="s">
        <v>29377</v>
      </c>
      <c r="BC2995" s="3" t="s">
        <v>142</v>
      </c>
      <c r="BD2995" s="3" t="s">
        <v>68</v>
      </c>
      <c r="BE2995" s="3" t="s">
        <v>29372</v>
      </c>
      <c r="BF2995" s="3" t="s">
        <v>29377</v>
      </c>
      <c r="BG2995" s="3" t="s">
        <v>29378</v>
      </c>
    </row>
    <row r="2996" spans="1:59" ht="57" x14ac:dyDescent="0.45">
      <c r="A2996" s="2" t="s">
        <v>59</v>
      </c>
      <c r="B2996" s="2" t="s">
        <v>60</v>
      </c>
      <c r="C2996" s="2" t="s">
        <v>29379</v>
      </c>
      <c r="D2996" s="2" t="s">
        <v>29380</v>
      </c>
      <c r="E2996" s="2" t="s">
        <v>29381</v>
      </c>
      <c r="G2996" s="3" t="s">
        <v>62</v>
      </c>
      <c r="I2996" s="3" t="s">
        <v>62</v>
      </c>
      <c r="J2996" s="3" t="s">
        <v>62</v>
      </c>
      <c r="K2996" s="3" t="s">
        <v>63</v>
      </c>
      <c r="L2996" s="2" t="s">
        <v>29382</v>
      </c>
      <c r="M2996" s="2" t="s">
        <v>2560</v>
      </c>
      <c r="N2996" s="3" t="s">
        <v>149</v>
      </c>
      <c r="P2996" s="3" t="s">
        <v>65</v>
      </c>
      <c r="R2996" s="3" t="s">
        <v>66</v>
      </c>
      <c r="S2996" s="4">
        <v>3</v>
      </c>
      <c r="T2996" s="4">
        <v>3</v>
      </c>
      <c r="U2996" s="5" t="s">
        <v>29383</v>
      </c>
      <c r="V2996" s="5" t="s">
        <v>29383</v>
      </c>
      <c r="W2996" s="5" t="s">
        <v>67</v>
      </c>
      <c r="X2996" s="5" t="s">
        <v>67</v>
      </c>
      <c r="Y2996" s="4">
        <v>254</v>
      </c>
      <c r="Z2996" s="4">
        <v>15</v>
      </c>
      <c r="AA2996" s="4">
        <v>88</v>
      </c>
      <c r="AB2996" s="4">
        <v>1</v>
      </c>
      <c r="AC2996" s="4">
        <v>15</v>
      </c>
      <c r="AD2996" s="4">
        <v>79</v>
      </c>
      <c r="AE2996" s="4">
        <v>135</v>
      </c>
      <c r="AF2996" s="4">
        <v>0</v>
      </c>
      <c r="AG2996" s="4">
        <v>8</v>
      </c>
      <c r="AH2996" s="4">
        <v>76</v>
      </c>
      <c r="AI2996" s="4">
        <v>100</v>
      </c>
      <c r="AJ2996" s="4">
        <v>12</v>
      </c>
      <c r="AK2996" s="4">
        <v>23</v>
      </c>
      <c r="AL2996" s="4">
        <v>44</v>
      </c>
      <c r="AM2996" s="4">
        <v>55</v>
      </c>
      <c r="AN2996" s="4">
        <v>0</v>
      </c>
      <c r="AO2996" s="4">
        <v>0</v>
      </c>
      <c r="AP2996" s="4">
        <v>12</v>
      </c>
      <c r="AQ2996" s="4">
        <v>45</v>
      </c>
      <c r="AR2996" s="3" t="s">
        <v>62</v>
      </c>
      <c r="AS2996" s="3" t="s">
        <v>62</v>
      </c>
      <c r="AT2996" s="3" t="s">
        <v>62</v>
      </c>
      <c r="AV2996" s="6" t="str">
        <f>HYPERLINK("http://mcgill.on.worldcat.org/oclc/477256653","Catalog Record")</f>
        <v>Catalog Record</v>
      </c>
      <c r="AW2996" s="6" t="str">
        <f>HYPERLINK("http://www.worldcat.org/oclc/477256653","WorldCat Record")</f>
        <v>WorldCat Record</v>
      </c>
      <c r="AX2996" s="3" t="s">
        <v>29384</v>
      </c>
      <c r="AY2996" s="3" t="s">
        <v>29385</v>
      </c>
      <c r="AZ2996" s="3" t="s">
        <v>29386</v>
      </c>
      <c r="BA2996" s="3" t="s">
        <v>29386</v>
      </c>
      <c r="BB2996" s="3" t="s">
        <v>29387</v>
      </c>
      <c r="BC2996" s="3" t="s">
        <v>142</v>
      </c>
      <c r="BD2996" s="3" t="s">
        <v>68</v>
      </c>
      <c r="BE2996" s="3" t="s">
        <v>29388</v>
      </c>
      <c r="BF2996" s="3" t="s">
        <v>29387</v>
      </c>
      <c r="BG2996" s="3" t="s">
        <v>29389</v>
      </c>
    </row>
    <row r="2997" spans="1:59" ht="57" x14ac:dyDescent="0.45">
      <c r="A2997" s="2" t="s">
        <v>59</v>
      </c>
      <c r="B2997" s="2" t="s">
        <v>60</v>
      </c>
      <c r="C2997" s="2" t="s">
        <v>29390</v>
      </c>
      <c r="D2997" s="2" t="s">
        <v>29391</v>
      </c>
      <c r="E2997" s="2" t="s">
        <v>29392</v>
      </c>
      <c r="G2997" s="3" t="s">
        <v>62</v>
      </c>
      <c r="I2997" s="3" t="s">
        <v>62</v>
      </c>
      <c r="J2997" s="3" t="s">
        <v>61</v>
      </c>
      <c r="K2997" s="3" t="s">
        <v>63</v>
      </c>
      <c r="M2997" s="2" t="s">
        <v>29393</v>
      </c>
      <c r="N2997" s="3" t="s">
        <v>122</v>
      </c>
      <c r="P2997" s="3" t="s">
        <v>65</v>
      </c>
      <c r="R2997" s="3" t="s">
        <v>66</v>
      </c>
      <c r="S2997" s="4">
        <v>4</v>
      </c>
      <c r="T2997" s="4">
        <v>4</v>
      </c>
      <c r="U2997" s="5" t="s">
        <v>26298</v>
      </c>
      <c r="V2997" s="5" t="s">
        <v>26298</v>
      </c>
      <c r="W2997" s="5" t="s">
        <v>67</v>
      </c>
      <c r="X2997" s="5" t="s">
        <v>67</v>
      </c>
      <c r="Y2997" s="4">
        <v>486</v>
      </c>
      <c r="Z2997" s="4">
        <v>25</v>
      </c>
      <c r="AA2997" s="4">
        <v>29</v>
      </c>
      <c r="AB2997" s="4">
        <v>2</v>
      </c>
      <c r="AC2997" s="4">
        <v>5</v>
      </c>
      <c r="AD2997" s="4">
        <v>116</v>
      </c>
      <c r="AE2997" s="4">
        <v>120</v>
      </c>
      <c r="AF2997" s="4">
        <v>1</v>
      </c>
      <c r="AG2997" s="4">
        <v>4</v>
      </c>
      <c r="AH2997" s="4">
        <v>100</v>
      </c>
      <c r="AI2997" s="4">
        <v>102</v>
      </c>
      <c r="AJ2997" s="4">
        <v>17</v>
      </c>
      <c r="AK2997" s="4">
        <v>20</v>
      </c>
      <c r="AL2997" s="4">
        <v>55</v>
      </c>
      <c r="AM2997" s="4">
        <v>56</v>
      </c>
      <c r="AN2997" s="4">
        <v>0</v>
      </c>
      <c r="AO2997" s="4">
        <v>0</v>
      </c>
      <c r="AP2997" s="4">
        <v>22</v>
      </c>
      <c r="AQ2997" s="4">
        <v>24</v>
      </c>
      <c r="AR2997" s="3" t="s">
        <v>62</v>
      </c>
      <c r="AS2997" s="3" t="s">
        <v>62</v>
      </c>
      <c r="AT2997" s="3" t="s">
        <v>61</v>
      </c>
      <c r="AU2997" s="6" t="str">
        <f>HYPERLINK("http://catalog.hathitrust.org/Record/000252490","HathiTrust Record")</f>
        <v>HathiTrust Record</v>
      </c>
      <c r="AV2997" s="6" t="str">
        <f>HYPERLINK("http://mcgill.on.worldcat.org/oclc/3034701","Catalog Record")</f>
        <v>Catalog Record</v>
      </c>
      <c r="AW2997" s="6" t="str">
        <f>HYPERLINK("http://www.worldcat.org/oclc/3034701","WorldCat Record")</f>
        <v>WorldCat Record</v>
      </c>
      <c r="AX2997" s="3" t="s">
        <v>29394</v>
      </c>
      <c r="AY2997" s="3" t="s">
        <v>29395</v>
      </c>
      <c r="AZ2997" s="3" t="s">
        <v>29396</v>
      </c>
      <c r="BA2997" s="3" t="s">
        <v>29396</v>
      </c>
      <c r="BB2997" s="3" t="s">
        <v>29397</v>
      </c>
      <c r="BC2997" s="3" t="s">
        <v>142</v>
      </c>
      <c r="BD2997" s="3" t="s">
        <v>68</v>
      </c>
      <c r="BE2997" s="3" t="s">
        <v>29398</v>
      </c>
      <c r="BF2997" s="3" t="s">
        <v>29397</v>
      </c>
      <c r="BG2997" s="3" t="s">
        <v>29399</v>
      </c>
    </row>
    <row r="2998" spans="1:59" ht="57" x14ac:dyDescent="0.45">
      <c r="A2998" s="2" t="s">
        <v>59</v>
      </c>
      <c r="B2998" s="2" t="s">
        <v>60</v>
      </c>
      <c r="C2998" s="2" t="s">
        <v>29400</v>
      </c>
      <c r="D2998" s="2" t="s">
        <v>29401</v>
      </c>
      <c r="E2998" s="2" t="s">
        <v>29402</v>
      </c>
      <c r="G2998" s="3" t="s">
        <v>62</v>
      </c>
      <c r="I2998" s="3" t="s">
        <v>62</v>
      </c>
      <c r="J2998" s="3" t="s">
        <v>62</v>
      </c>
      <c r="K2998" s="3" t="s">
        <v>63</v>
      </c>
      <c r="L2998" s="2" t="s">
        <v>29403</v>
      </c>
      <c r="M2998" s="2" t="s">
        <v>29404</v>
      </c>
      <c r="N2998" s="3" t="s">
        <v>208</v>
      </c>
      <c r="P2998" s="3" t="s">
        <v>65</v>
      </c>
      <c r="R2998" s="3" t="s">
        <v>66</v>
      </c>
      <c r="S2998" s="4">
        <v>1</v>
      </c>
      <c r="T2998" s="4">
        <v>1</v>
      </c>
      <c r="U2998" s="5" t="s">
        <v>29383</v>
      </c>
      <c r="V2998" s="5" t="s">
        <v>29383</v>
      </c>
      <c r="W2998" s="5" t="s">
        <v>67</v>
      </c>
      <c r="X2998" s="5" t="s">
        <v>67</v>
      </c>
      <c r="Y2998" s="4">
        <v>33</v>
      </c>
      <c r="Z2998" s="4">
        <v>5</v>
      </c>
      <c r="AA2998" s="4">
        <v>71</v>
      </c>
      <c r="AB2998" s="4">
        <v>1</v>
      </c>
      <c r="AC2998" s="4">
        <v>14</v>
      </c>
      <c r="AD2998" s="4">
        <v>19</v>
      </c>
      <c r="AE2998" s="4">
        <v>95</v>
      </c>
      <c r="AF2998" s="4">
        <v>0</v>
      </c>
      <c r="AG2998" s="4">
        <v>8</v>
      </c>
      <c r="AH2998" s="4">
        <v>18</v>
      </c>
      <c r="AI2998" s="4">
        <v>63</v>
      </c>
      <c r="AJ2998" s="4">
        <v>4</v>
      </c>
      <c r="AK2998" s="4">
        <v>19</v>
      </c>
      <c r="AL2998" s="4">
        <v>9</v>
      </c>
      <c r="AM2998" s="4">
        <v>30</v>
      </c>
      <c r="AN2998" s="4">
        <v>0</v>
      </c>
      <c r="AO2998" s="4">
        <v>0</v>
      </c>
      <c r="AP2998" s="4">
        <v>4</v>
      </c>
      <c r="AQ2998" s="4">
        <v>38</v>
      </c>
      <c r="AR2998" s="3" t="s">
        <v>62</v>
      </c>
      <c r="AS2998" s="3" t="s">
        <v>62</v>
      </c>
      <c r="AT2998" s="3" t="s">
        <v>62</v>
      </c>
      <c r="AV2998" s="6" t="str">
        <f>HYPERLINK("http://mcgill.on.worldcat.org/oclc/914463654","Catalog Record")</f>
        <v>Catalog Record</v>
      </c>
      <c r="AW2998" s="6" t="str">
        <f>HYPERLINK("http://www.worldcat.org/oclc/914463654","WorldCat Record")</f>
        <v>WorldCat Record</v>
      </c>
      <c r="AX2998" s="3" t="s">
        <v>29405</v>
      </c>
      <c r="AY2998" s="3" t="s">
        <v>29406</v>
      </c>
      <c r="AZ2998" s="3" t="s">
        <v>29407</v>
      </c>
      <c r="BA2998" s="3" t="s">
        <v>29407</v>
      </c>
      <c r="BB2998" s="3" t="s">
        <v>29408</v>
      </c>
      <c r="BC2998" s="3" t="s">
        <v>142</v>
      </c>
      <c r="BD2998" s="3" t="s">
        <v>68</v>
      </c>
      <c r="BE2998" s="3" t="s">
        <v>29409</v>
      </c>
      <c r="BF2998" s="3" t="s">
        <v>29408</v>
      </c>
      <c r="BG2998" s="3" t="s">
        <v>29410</v>
      </c>
    </row>
    <row r="2999" spans="1:59" ht="57" x14ac:dyDescent="0.45">
      <c r="A2999" s="2" t="s">
        <v>59</v>
      </c>
      <c r="B2999" s="2" t="s">
        <v>60</v>
      </c>
      <c r="C2999" s="2" t="s">
        <v>29411</v>
      </c>
      <c r="D2999" s="2" t="s">
        <v>29412</v>
      </c>
      <c r="E2999" s="2" t="s">
        <v>29413</v>
      </c>
      <c r="G2999" s="3" t="s">
        <v>62</v>
      </c>
      <c r="I2999" s="3" t="s">
        <v>62</v>
      </c>
      <c r="J2999" s="3" t="s">
        <v>62</v>
      </c>
      <c r="K2999" s="3" t="s">
        <v>63</v>
      </c>
      <c r="L2999" s="2" t="s">
        <v>29414</v>
      </c>
      <c r="M2999" s="2" t="s">
        <v>29415</v>
      </c>
      <c r="N2999" s="3" t="s">
        <v>894</v>
      </c>
      <c r="P2999" s="3" t="s">
        <v>65</v>
      </c>
      <c r="R2999" s="3" t="s">
        <v>66</v>
      </c>
      <c r="S2999" s="4">
        <v>2</v>
      </c>
      <c r="T2999" s="4">
        <v>2</v>
      </c>
      <c r="U2999" s="5" t="s">
        <v>7625</v>
      </c>
      <c r="V2999" s="5" t="s">
        <v>7625</v>
      </c>
      <c r="W2999" s="5" t="s">
        <v>67</v>
      </c>
      <c r="X2999" s="5" t="s">
        <v>67</v>
      </c>
      <c r="Y2999" s="4">
        <v>82</v>
      </c>
      <c r="Z2999" s="4">
        <v>13</v>
      </c>
      <c r="AA2999" s="4">
        <v>92</v>
      </c>
      <c r="AB2999" s="4">
        <v>1</v>
      </c>
      <c r="AC2999" s="4">
        <v>17</v>
      </c>
      <c r="AD2999" s="4">
        <v>32</v>
      </c>
      <c r="AE2999" s="4">
        <v>110</v>
      </c>
      <c r="AF2999" s="4">
        <v>0</v>
      </c>
      <c r="AG2999" s="4">
        <v>8</v>
      </c>
      <c r="AH2999" s="4">
        <v>29</v>
      </c>
      <c r="AI2999" s="4">
        <v>76</v>
      </c>
      <c r="AJ2999" s="4">
        <v>11</v>
      </c>
      <c r="AK2999" s="4">
        <v>22</v>
      </c>
      <c r="AL2999" s="4">
        <v>14</v>
      </c>
      <c r="AM2999" s="4">
        <v>38</v>
      </c>
      <c r="AN2999" s="4">
        <v>0</v>
      </c>
      <c r="AO2999" s="4">
        <v>0</v>
      </c>
      <c r="AP2999" s="4">
        <v>11</v>
      </c>
      <c r="AQ2999" s="4">
        <v>43</v>
      </c>
      <c r="AR2999" s="3" t="s">
        <v>62</v>
      </c>
      <c r="AS2999" s="3" t="s">
        <v>62</v>
      </c>
      <c r="AT2999" s="3" t="s">
        <v>62</v>
      </c>
      <c r="AV2999" s="6" t="str">
        <f>HYPERLINK("http://mcgill.on.worldcat.org/oclc/751250569","Catalog Record")</f>
        <v>Catalog Record</v>
      </c>
      <c r="AW2999" s="6" t="str">
        <f>HYPERLINK("http://www.worldcat.org/oclc/751250569","WorldCat Record")</f>
        <v>WorldCat Record</v>
      </c>
      <c r="AX2999" s="3" t="s">
        <v>29416</v>
      </c>
      <c r="AY2999" s="3" t="s">
        <v>29417</v>
      </c>
      <c r="AZ2999" s="3" t="s">
        <v>29418</v>
      </c>
      <c r="BA2999" s="3" t="s">
        <v>29418</v>
      </c>
      <c r="BB2999" s="3" t="s">
        <v>29419</v>
      </c>
      <c r="BC2999" s="3" t="s">
        <v>142</v>
      </c>
      <c r="BD2999" s="3" t="s">
        <v>68</v>
      </c>
      <c r="BE2999" s="3" t="s">
        <v>29420</v>
      </c>
      <c r="BF2999" s="3" t="s">
        <v>29419</v>
      </c>
      <c r="BG2999" s="3" t="s">
        <v>29421</v>
      </c>
    </row>
    <row r="3000" spans="1:59" ht="57" x14ac:dyDescent="0.45">
      <c r="A3000" s="2" t="s">
        <v>59</v>
      </c>
      <c r="B3000" s="2" t="s">
        <v>60</v>
      </c>
      <c r="C3000" s="2" t="s">
        <v>29422</v>
      </c>
      <c r="D3000" s="2" t="s">
        <v>29423</v>
      </c>
      <c r="E3000" s="2" t="s">
        <v>29424</v>
      </c>
      <c r="G3000" s="3" t="s">
        <v>62</v>
      </c>
      <c r="I3000" s="3" t="s">
        <v>62</v>
      </c>
      <c r="J3000" s="3" t="s">
        <v>62</v>
      </c>
      <c r="K3000" s="3" t="s">
        <v>63</v>
      </c>
      <c r="L3000" s="2" t="s">
        <v>29425</v>
      </c>
      <c r="M3000" s="2" t="s">
        <v>29426</v>
      </c>
      <c r="N3000" s="3" t="s">
        <v>1155</v>
      </c>
      <c r="P3000" s="3" t="s">
        <v>65</v>
      </c>
      <c r="R3000" s="3" t="s">
        <v>66</v>
      </c>
      <c r="S3000" s="4">
        <v>0</v>
      </c>
      <c r="T3000" s="4">
        <v>0</v>
      </c>
      <c r="W3000" s="5" t="s">
        <v>67</v>
      </c>
      <c r="X3000" s="5" t="s">
        <v>67</v>
      </c>
      <c r="Y3000" s="4">
        <v>58</v>
      </c>
      <c r="Z3000" s="4">
        <v>13</v>
      </c>
      <c r="AA3000" s="4">
        <v>73</v>
      </c>
      <c r="AB3000" s="4">
        <v>1</v>
      </c>
      <c r="AC3000" s="4">
        <v>14</v>
      </c>
      <c r="AD3000" s="4">
        <v>30</v>
      </c>
      <c r="AE3000" s="4">
        <v>97</v>
      </c>
      <c r="AF3000" s="4">
        <v>0</v>
      </c>
      <c r="AG3000" s="4">
        <v>8</v>
      </c>
      <c r="AH3000" s="4">
        <v>28</v>
      </c>
      <c r="AI3000" s="4">
        <v>67</v>
      </c>
      <c r="AJ3000" s="4">
        <v>8</v>
      </c>
      <c r="AK3000" s="4">
        <v>22</v>
      </c>
      <c r="AL3000" s="4">
        <v>17</v>
      </c>
      <c r="AM3000" s="4">
        <v>35</v>
      </c>
      <c r="AN3000" s="4">
        <v>0</v>
      </c>
      <c r="AO3000" s="4">
        <v>0</v>
      </c>
      <c r="AP3000" s="4">
        <v>9</v>
      </c>
      <c r="AQ3000" s="4">
        <v>38</v>
      </c>
      <c r="AR3000" s="3" t="s">
        <v>62</v>
      </c>
      <c r="AS3000" s="3" t="s">
        <v>62</v>
      </c>
      <c r="AT3000" s="3" t="s">
        <v>62</v>
      </c>
      <c r="AV3000" s="6" t="str">
        <f>HYPERLINK("http://mcgill.on.worldcat.org/oclc/768072714","Catalog Record")</f>
        <v>Catalog Record</v>
      </c>
      <c r="AW3000" s="6" t="str">
        <f>HYPERLINK("http://www.worldcat.org/oclc/768072714","WorldCat Record")</f>
        <v>WorldCat Record</v>
      </c>
      <c r="AX3000" s="3" t="s">
        <v>29427</v>
      </c>
      <c r="AY3000" s="3" t="s">
        <v>29428</v>
      </c>
      <c r="AZ3000" s="3" t="s">
        <v>29429</v>
      </c>
      <c r="BA3000" s="3" t="s">
        <v>29429</v>
      </c>
      <c r="BB3000" s="3" t="s">
        <v>29430</v>
      </c>
      <c r="BC3000" s="3" t="s">
        <v>142</v>
      </c>
      <c r="BD3000" s="3" t="s">
        <v>68</v>
      </c>
      <c r="BE3000" s="3" t="s">
        <v>29431</v>
      </c>
      <c r="BF3000" s="3" t="s">
        <v>29430</v>
      </c>
      <c r="BG3000" s="3" t="s">
        <v>29432</v>
      </c>
    </row>
    <row r="3001" spans="1:59" ht="57" x14ac:dyDescent="0.45">
      <c r="A3001" s="2" t="s">
        <v>59</v>
      </c>
      <c r="B3001" s="2" t="s">
        <v>60</v>
      </c>
      <c r="C3001" s="2" t="s">
        <v>29433</v>
      </c>
      <c r="D3001" s="2" t="s">
        <v>29434</v>
      </c>
      <c r="E3001" s="2" t="s">
        <v>29435</v>
      </c>
      <c r="G3001" s="3" t="s">
        <v>62</v>
      </c>
      <c r="I3001" s="3" t="s">
        <v>62</v>
      </c>
      <c r="J3001" s="3" t="s">
        <v>62</v>
      </c>
      <c r="K3001" s="3" t="s">
        <v>63</v>
      </c>
      <c r="L3001" s="2" t="s">
        <v>29436</v>
      </c>
      <c r="M3001" s="2" t="s">
        <v>29437</v>
      </c>
      <c r="N3001" s="3" t="s">
        <v>2417</v>
      </c>
      <c r="P3001" s="3" t="s">
        <v>65</v>
      </c>
      <c r="R3001" s="3" t="s">
        <v>66</v>
      </c>
      <c r="S3001" s="4">
        <v>6</v>
      </c>
      <c r="T3001" s="4">
        <v>6</v>
      </c>
      <c r="U3001" s="5" t="s">
        <v>1570</v>
      </c>
      <c r="V3001" s="5" t="s">
        <v>1570</v>
      </c>
      <c r="W3001" s="5" t="s">
        <v>67</v>
      </c>
      <c r="X3001" s="5" t="s">
        <v>67</v>
      </c>
      <c r="Y3001" s="4">
        <v>235</v>
      </c>
      <c r="Z3001" s="4">
        <v>17</v>
      </c>
      <c r="AA3001" s="4">
        <v>21</v>
      </c>
      <c r="AB3001" s="4">
        <v>1</v>
      </c>
      <c r="AC3001" s="4">
        <v>5</v>
      </c>
      <c r="AD3001" s="4">
        <v>102</v>
      </c>
      <c r="AE3001" s="4">
        <v>105</v>
      </c>
      <c r="AF3001" s="4">
        <v>0</v>
      </c>
      <c r="AG3001" s="4">
        <v>3</v>
      </c>
      <c r="AH3001" s="4">
        <v>95</v>
      </c>
      <c r="AI3001" s="4">
        <v>96</v>
      </c>
      <c r="AJ3001" s="4">
        <v>13</v>
      </c>
      <c r="AK3001" s="4">
        <v>16</v>
      </c>
      <c r="AL3001" s="4">
        <v>52</v>
      </c>
      <c r="AM3001" s="4">
        <v>52</v>
      </c>
      <c r="AN3001" s="4">
        <v>0</v>
      </c>
      <c r="AO3001" s="4">
        <v>0</v>
      </c>
      <c r="AP3001" s="4">
        <v>13</v>
      </c>
      <c r="AQ3001" s="4">
        <v>15</v>
      </c>
      <c r="AR3001" s="3" t="s">
        <v>62</v>
      </c>
      <c r="AS3001" s="3" t="s">
        <v>62</v>
      </c>
      <c r="AT3001" s="3" t="s">
        <v>61</v>
      </c>
      <c r="AU3001" s="6" t="str">
        <f>HYPERLINK("http://catalog.hathitrust.org/Record/001075972","HathiTrust Record")</f>
        <v>HathiTrust Record</v>
      </c>
      <c r="AV3001" s="6" t="str">
        <f>HYPERLINK("http://mcgill.on.worldcat.org/oclc/17107126","Catalog Record")</f>
        <v>Catalog Record</v>
      </c>
      <c r="AW3001" s="6" t="str">
        <f>HYPERLINK("http://www.worldcat.org/oclc/17107126","WorldCat Record")</f>
        <v>WorldCat Record</v>
      </c>
      <c r="AX3001" s="3" t="s">
        <v>29438</v>
      </c>
      <c r="AY3001" s="3" t="s">
        <v>29439</v>
      </c>
      <c r="AZ3001" s="3" t="s">
        <v>29440</v>
      </c>
      <c r="BA3001" s="3" t="s">
        <v>29440</v>
      </c>
      <c r="BB3001" s="3" t="s">
        <v>29441</v>
      </c>
      <c r="BC3001" s="3" t="s">
        <v>142</v>
      </c>
      <c r="BD3001" s="3" t="s">
        <v>68</v>
      </c>
      <c r="BE3001" s="3" t="s">
        <v>29442</v>
      </c>
      <c r="BF3001" s="3" t="s">
        <v>29441</v>
      </c>
      <c r="BG3001" s="3" t="s">
        <v>29443</v>
      </c>
    </row>
    <row r="3002" spans="1:59" ht="57" x14ac:dyDescent="0.45">
      <c r="A3002" s="2" t="s">
        <v>59</v>
      </c>
      <c r="B3002" s="2" t="s">
        <v>60</v>
      </c>
      <c r="C3002" s="2" t="s">
        <v>29444</v>
      </c>
      <c r="D3002" s="2" t="s">
        <v>29445</v>
      </c>
      <c r="E3002" s="2" t="s">
        <v>29446</v>
      </c>
      <c r="G3002" s="3" t="s">
        <v>62</v>
      </c>
      <c r="I3002" s="3" t="s">
        <v>62</v>
      </c>
      <c r="J3002" s="3" t="s">
        <v>62</v>
      </c>
      <c r="K3002" s="3" t="s">
        <v>63</v>
      </c>
      <c r="L3002" s="2" t="s">
        <v>29447</v>
      </c>
      <c r="M3002" s="2" t="s">
        <v>29448</v>
      </c>
      <c r="N3002" s="3" t="s">
        <v>1437</v>
      </c>
      <c r="O3002" s="2" t="s">
        <v>168</v>
      </c>
      <c r="P3002" s="3" t="s">
        <v>65</v>
      </c>
      <c r="Q3002" s="2" t="s">
        <v>29449</v>
      </c>
      <c r="R3002" s="3" t="s">
        <v>66</v>
      </c>
      <c r="S3002" s="4">
        <v>13</v>
      </c>
      <c r="T3002" s="4">
        <v>13</v>
      </c>
      <c r="U3002" s="5" t="s">
        <v>29280</v>
      </c>
      <c r="V3002" s="5" t="s">
        <v>29280</v>
      </c>
      <c r="W3002" s="5" t="s">
        <v>67</v>
      </c>
      <c r="X3002" s="5" t="s">
        <v>67</v>
      </c>
      <c r="Y3002" s="4">
        <v>156</v>
      </c>
      <c r="Z3002" s="4">
        <v>9</v>
      </c>
      <c r="AA3002" s="4">
        <v>9</v>
      </c>
      <c r="AB3002" s="4">
        <v>2</v>
      </c>
      <c r="AC3002" s="4">
        <v>2</v>
      </c>
      <c r="AD3002" s="4">
        <v>74</v>
      </c>
      <c r="AE3002" s="4">
        <v>75</v>
      </c>
      <c r="AF3002" s="4">
        <v>1</v>
      </c>
      <c r="AG3002" s="4">
        <v>1</v>
      </c>
      <c r="AH3002" s="4">
        <v>70</v>
      </c>
      <c r="AI3002" s="4">
        <v>71</v>
      </c>
      <c r="AJ3002" s="4">
        <v>6</v>
      </c>
      <c r="AK3002" s="4">
        <v>6</v>
      </c>
      <c r="AL3002" s="4">
        <v>41</v>
      </c>
      <c r="AM3002" s="4">
        <v>42</v>
      </c>
      <c r="AN3002" s="4">
        <v>0</v>
      </c>
      <c r="AO3002" s="4">
        <v>0</v>
      </c>
      <c r="AP3002" s="4">
        <v>7</v>
      </c>
      <c r="AQ3002" s="4">
        <v>7</v>
      </c>
      <c r="AR3002" s="3" t="s">
        <v>62</v>
      </c>
      <c r="AS3002" s="3" t="s">
        <v>62</v>
      </c>
      <c r="AT3002" s="3" t="s">
        <v>61</v>
      </c>
      <c r="AU3002" s="6" t="str">
        <f>HYPERLINK("http://catalog.hathitrust.org/Record/004013737","HathiTrust Record")</f>
        <v>HathiTrust Record</v>
      </c>
      <c r="AV3002" s="6" t="str">
        <f>HYPERLINK("http://mcgill.on.worldcat.org/oclc/39215878","Catalog Record")</f>
        <v>Catalog Record</v>
      </c>
      <c r="AW3002" s="6" t="str">
        <f>HYPERLINK("http://www.worldcat.org/oclc/39215878","WorldCat Record")</f>
        <v>WorldCat Record</v>
      </c>
      <c r="AX3002" s="3" t="s">
        <v>29450</v>
      </c>
      <c r="AY3002" s="3" t="s">
        <v>29451</v>
      </c>
      <c r="AZ3002" s="3" t="s">
        <v>29452</v>
      </c>
      <c r="BA3002" s="3" t="s">
        <v>29452</v>
      </c>
      <c r="BB3002" s="3" t="s">
        <v>29453</v>
      </c>
      <c r="BC3002" s="3" t="s">
        <v>142</v>
      </c>
      <c r="BD3002" s="3" t="s">
        <v>68</v>
      </c>
      <c r="BE3002" s="3" t="s">
        <v>29454</v>
      </c>
      <c r="BF3002" s="3" t="s">
        <v>29453</v>
      </c>
      <c r="BG3002" s="3" t="s">
        <v>29455</v>
      </c>
    </row>
    <row r="3003" spans="1:59" ht="57" x14ac:dyDescent="0.45">
      <c r="A3003" s="2" t="s">
        <v>59</v>
      </c>
      <c r="B3003" s="2" t="s">
        <v>60</v>
      </c>
      <c r="C3003" s="2" t="s">
        <v>29456</v>
      </c>
      <c r="D3003" s="2" t="s">
        <v>29457</v>
      </c>
      <c r="E3003" s="2" t="s">
        <v>29458</v>
      </c>
      <c r="G3003" s="3" t="s">
        <v>62</v>
      </c>
      <c r="I3003" s="3" t="s">
        <v>62</v>
      </c>
      <c r="J3003" s="3" t="s">
        <v>62</v>
      </c>
      <c r="K3003" s="3" t="s">
        <v>63</v>
      </c>
      <c r="L3003" s="2" t="s">
        <v>29459</v>
      </c>
      <c r="M3003" s="2" t="s">
        <v>18160</v>
      </c>
      <c r="N3003" s="3" t="s">
        <v>1212</v>
      </c>
      <c r="P3003" s="3" t="s">
        <v>65</v>
      </c>
      <c r="Q3003" s="2" t="s">
        <v>17618</v>
      </c>
      <c r="R3003" s="3" t="s">
        <v>66</v>
      </c>
      <c r="S3003" s="4">
        <v>20</v>
      </c>
      <c r="T3003" s="4">
        <v>20</v>
      </c>
      <c r="U3003" s="5" t="s">
        <v>29280</v>
      </c>
      <c r="V3003" s="5" t="s">
        <v>29280</v>
      </c>
      <c r="W3003" s="5" t="s">
        <v>67</v>
      </c>
      <c r="X3003" s="5" t="s">
        <v>67</v>
      </c>
      <c r="Y3003" s="4">
        <v>210</v>
      </c>
      <c r="Z3003" s="4">
        <v>12</v>
      </c>
      <c r="AA3003" s="4">
        <v>17</v>
      </c>
      <c r="AB3003" s="4">
        <v>2</v>
      </c>
      <c r="AC3003" s="4">
        <v>5</v>
      </c>
      <c r="AD3003" s="4">
        <v>98</v>
      </c>
      <c r="AE3003" s="4">
        <v>103</v>
      </c>
      <c r="AF3003" s="4">
        <v>1</v>
      </c>
      <c r="AG3003" s="4">
        <v>1</v>
      </c>
      <c r="AH3003" s="4">
        <v>91</v>
      </c>
      <c r="AI3003" s="4">
        <v>95</v>
      </c>
      <c r="AJ3003" s="4">
        <v>10</v>
      </c>
      <c r="AK3003" s="4">
        <v>10</v>
      </c>
      <c r="AL3003" s="4">
        <v>54</v>
      </c>
      <c r="AM3003" s="4">
        <v>55</v>
      </c>
      <c r="AN3003" s="4">
        <v>0</v>
      </c>
      <c r="AO3003" s="4">
        <v>0</v>
      </c>
      <c r="AP3003" s="4">
        <v>10</v>
      </c>
      <c r="AQ3003" s="4">
        <v>11</v>
      </c>
      <c r="AR3003" s="3" t="s">
        <v>62</v>
      </c>
      <c r="AS3003" s="3" t="s">
        <v>62</v>
      </c>
      <c r="AT3003" s="3" t="s">
        <v>61</v>
      </c>
      <c r="AU3003" s="6" t="str">
        <f>HYPERLINK("http://catalog.hathitrust.org/Record/004156728","HathiTrust Record")</f>
        <v>HathiTrust Record</v>
      </c>
      <c r="AV3003" s="6" t="str">
        <f>HYPERLINK("http://mcgill.on.worldcat.org/oclc/43567594","Catalog Record")</f>
        <v>Catalog Record</v>
      </c>
      <c r="AW3003" s="6" t="str">
        <f>HYPERLINK("http://www.worldcat.org/oclc/43567594","WorldCat Record")</f>
        <v>WorldCat Record</v>
      </c>
      <c r="AX3003" s="3" t="s">
        <v>29460</v>
      </c>
      <c r="AY3003" s="3" t="s">
        <v>29461</v>
      </c>
      <c r="AZ3003" s="3" t="s">
        <v>29462</v>
      </c>
      <c r="BA3003" s="3" t="s">
        <v>29462</v>
      </c>
      <c r="BB3003" s="3" t="s">
        <v>29463</v>
      </c>
      <c r="BC3003" s="3" t="s">
        <v>142</v>
      </c>
      <c r="BD3003" s="3" t="s">
        <v>68</v>
      </c>
      <c r="BE3003" s="3" t="s">
        <v>29464</v>
      </c>
      <c r="BF3003" s="3" t="s">
        <v>29463</v>
      </c>
      <c r="BG3003" s="3" t="s">
        <v>29465</v>
      </c>
    </row>
    <row r="3004" spans="1:59" ht="57" x14ac:dyDescent="0.45">
      <c r="A3004" s="2" t="s">
        <v>59</v>
      </c>
      <c r="B3004" s="2" t="s">
        <v>60</v>
      </c>
      <c r="C3004" s="2" t="s">
        <v>29466</v>
      </c>
      <c r="D3004" s="2" t="s">
        <v>29467</v>
      </c>
      <c r="E3004" s="2" t="s">
        <v>29468</v>
      </c>
      <c r="G3004" s="3" t="s">
        <v>62</v>
      </c>
      <c r="I3004" s="3" t="s">
        <v>62</v>
      </c>
      <c r="J3004" s="3" t="s">
        <v>62</v>
      </c>
      <c r="K3004" s="3" t="s">
        <v>63</v>
      </c>
      <c r="L3004" s="2" t="s">
        <v>29469</v>
      </c>
      <c r="M3004" s="2" t="s">
        <v>29470</v>
      </c>
      <c r="N3004" s="3" t="s">
        <v>2417</v>
      </c>
      <c r="P3004" s="3" t="s">
        <v>65</v>
      </c>
      <c r="R3004" s="3" t="s">
        <v>66</v>
      </c>
      <c r="S3004" s="4">
        <v>23</v>
      </c>
      <c r="T3004" s="4">
        <v>23</v>
      </c>
      <c r="U3004" s="5" t="s">
        <v>29280</v>
      </c>
      <c r="V3004" s="5" t="s">
        <v>29280</v>
      </c>
      <c r="W3004" s="5" t="s">
        <v>67</v>
      </c>
      <c r="X3004" s="5" t="s">
        <v>67</v>
      </c>
      <c r="Y3004" s="4">
        <v>163</v>
      </c>
      <c r="Z3004" s="4">
        <v>18</v>
      </c>
      <c r="AA3004" s="4">
        <v>21</v>
      </c>
      <c r="AB3004" s="4">
        <v>3</v>
      </c>
      <c r="AC3004" s="4">
        <v>6</v>
      </c>
      <c r="AD3004" s="4">
        <v>64</v>
      </c>
      <c r="AE3004" s="4">
        <v>67</v>
      </c>
      <c r="AF3004" s="4">
        <v>1</v>
      </c>
      <c r="AG3004" s="4">
        <v>4</v>
      </c>
      <c r="AH3004" s="4">
        <v>54</v>
      </c>
      <c r="AI3004" s="4">
        <v>55</v>
      </c>
      <c r="AJ3004" s="4">
        <v>10</v>
      </c>
      <c r="AK3004" s="4">
        <v>13</v>
      </c>
      <c r="AL3004" s="4">
        <v>39</v>
      </c>
      <c r="AM3004" s="4">
        <v>39</v>
      </c>
      <c r="AN3004" s="4">
        <v>0</v>
      </c>
      <c r="AO3004" s="4">
        <v>0</v>
      </c>
      <c r="AP3004" s="4">
        <v>14</v>
      </c>
      <c r="AQ3004" s="4">
        <v>16</v>
      </c>
      <c r="AR3004" s="3" t="s">
        <v>62</v>
      </c>
      <c r="AS3004" s="3" t="s">
        <v>62</v>
      </c>
      <c r="AT3004" s="3" t="s">
        <v>61</v>
      </c>
      <c r="AU3004" s="6" t="str">
        <f>HYPERLINK("http://catalog.hathitrust.org/Record/001827328","HathiTrust Record")</f>
        <v>HathiTrust Record</v>
      </c>
      <c r="AV3004" s="6" t="str">
        <f>HYPERLINK("http://mcgill.on.worldcat.org/oclc/16754918","Catalog Record")</f>
        <v>Catalog Record</v>
      </c>
      <c r="AW3004" s="6" t="str">
        <f>HYPERLINK("http://www.worldcat.org/oclc/16754918","WorldCat Record")</f>
        <v>WorldCat Record</v>
      </c>
      <c r="AX3004" s="3" t="s">
        <v>29471</v>
      </c>
      <c r="AY3004" s="3" t="s">
        <v>29472</v>
      </c>
      <c r="AZ3004" s="3" t="s">
        <v>29473</v>
      </c>
      <c r="BA3004" s="3" t="s">
        <v>29473</v>
      </c>
      <c r="BB3004" s="3" t="s">
        <v>29474</v>
      </c>
      <c r="BC3004" s="3" t="s">
        <v>142</v>
      </c>
      <c r="BD3004" s="3" t="s">
        <v>68</v>
      </c>
      <c r="BE3004" s="3" t="s">
        <v>29475</v>
      </c>
      <c r="BF3004" s="3" t="s">
        <v>29474</v>
      </c>
      <c r="BG3004" s="3" t="s">
        <v>29476</v>
      </c>
    </row>
    <row r="3005" spans="1:59" ht="57" x14ac:dyDescent="0.45">
      <c r="A3005" s="2" t="s">
        <v>59</v>
      </c>
      <c r="B3005" s="2" t="s">
        <v>60</v>
      </c>
      <c r="C3005" s="2" t="s">
        <v>29477</v>
      </c>
      <c r="D3005" s="2" t="s">
        <v>29478</v>
      </c>
      <c r="E3005" s="2" t="s">
        <v>29479</v>
      </c>
      <c r="G3005" s="3" t="s">
        <v>62</v>
      </c>
      <c r="I3005" s="3" t="s">
        <v>62</v>
      </c>
      <c r="J3005" s="3" t="s">
        <v>62</v>
      </c>
      <c r="K3005" s="3" t="s">
        <v>63</v>
      </c>
      <c r="L3005" s="2" t="s">
        <v>29480</v>
      </c>
      <c r="M3005" s="2" t="s">
        <v>29481</v>
      </c>
      <c r="N3005" s="3" t="s">
        <v>122</v>
      </c>
      <c r="P3005" s="3" t="s">
        <v>110</v>
      </c>
      <c r="Q3005" s="2" t="s">
        <v>6759</v>
      </c>
      <c r="R3005" s="3" t="s">
        <v>66</v>
      </c>
      <c r="S3005" s="4">
        <v>28</v>
      </c>
      <c r="T3005" s="4">
        <v>28</v>
      </c>
      <c r="U3005" s="5" t="s">
        <v>3268</v>
      </c>
      <c r="V3005" s="5" t="s">
        <v>3268</v>
      </c>
      <c r="W3005" s="5" t="s">
        <v>67</v>
      </c>
      <c r="X3005" s="5" t="s">
        <v>67</v>
      </c>
      <c r="Y3005" s="4">
        <v>317</v>
      </c>
      <c r="Z3005" s="4">
        <v>39</v>
      </c>
      <c r="AA3005" s="4">
        <v>46</v>
      </c>
      <c r="AB3005" s="4">
        <v>2</v>
      </c>
      <c r="AC3005" s="4">
        <v>9</v>
      </c>
      <c r="AD3005" s="4">
        <v>107</v>
      </c>
      <c r="AE3005" s="4">
        <v>113</v>
      </c>
      <c r="AF3005" s="4">
        <v>1</v>
      </c>
      <c r="AG3005" s="4">
        <v>4</v>
      </c>
      <c r="AH3005" s="4">
        <v>86</v>
      </c>
      <c r="AI3005" s="4">
        <v>90</v>
      </c>
      <c r="AJ3005" s="4">
        <v>22</v>
      </c>
      <c r="AK3005" s="4">
        <v>25</v>
      </c>
      <c r="AL3005" s="4">
        <v>53</v>
      </c>
      <c r="AM3005" s="4">
        <v>53</v>
      </c>
      <c r="AN3005" s="4">
        <v>0</v>
      </c>
      <c r="AO3005" s="4">
        <v>0</v>
      </c>
      <c r="AP3005" s="4">
        <v>30</v>
      </c>
      <c r="AQ3005" s="4">
        <v>32</v>
      </c>
      <c r="AR3005" s="3" t="s">
        <v>62</v>
      </c>
      <c r="AS3005" s="3" t="s">
        <v>62</v>
      </c>
      <c r="AT3005" s="3" t="s">
        <v>61</v>
      </c>
      <c r="AU3005" s="6" t="str">
        <f>HYPERLINK("http://catalog.hathitrust.org/Record/000087497","HathiTrust Record")</f>
        <v>HathiTrust Record</v>
      </c>
      <c r="AV3005" s="6" t="str">
        <f>HYPERLINK("http://mcgill.on.worldcat.org/oclc/3481823","Catalog Record")</f>
        <v>Catalog Record</v>
      </c>
      <c r="AW3005" s="6" t="str">
        <f>HYPERLINK("http://www.worldcat.org/oclc/3481823","WorldCat Record")</f>
        <v>WorldCat Record</v>
      </c>
      <c r="AX3005" s="3" t="s">
        <v>29482</v>
      </c>
      <c r="AY3005" s="3" t="s">
        <v>29483</v>
      </c>
      <c r="AZ3005" s="3" t="s">
        <v>29484</v>
      </c>
      <c r="BA3005" s="3" t="s">
        <v>29484</v>
      </c>
      <c r="BB3005" s="3" t="s">
        <v>29485</v>
      </c>
      <c r="BC3005" s="3" t="s">
        <v>142</v>
      </c>
      <c r="BD3005" s="3" t="s">
        <v>68</v>
      </c>
      <c r="BE3005" s="3" t="s">
        <v>29486</v>
      </c>
      <c r="BF3005" s="3" t="s">
        <v>29485</v>
      </c>
      <c r="BG3005" s="3" t="s">
        <v>29487</v>
      </c>
    </row>
    <row r="3006" spans="1:59" ht="114" x14ac:dyDescent="0.45">
      <c r="A3006" s="2" t="s">
        <v>59</v>
      </c>
      <c r="B3006" s="2" t="s">
        <v>690</v>
      </c>
      <c r="C3006" s="2" t="s">
        <v>29488</v>
      </c>
      <c r="D3006" s="2" t="s">
        <v>29489</v>
      </c>
      <c r="E3006" s="2" t="s">
        <v>29490</v>
      </c>
      <c r="G3006" s="3" t="s">
        <v>62</v>
      </c>
      <c r="I3006" s="3" t="s">
        <v>62</v>
      </c>
      <c r="J3006" s="3" t="s">
        <v>62</v>
      </c>
      <c r="K3006" s="3" t="s">
        <v>63</v>
      </c>
      <c r="L3006" s="2" t="s">
        <v>29491</v>
      </c>
      <c r="M3006" s="2" t="s">
        <v>29492</v>
      </c>
      <c r="N3006" s="3" t="s">
        <v>1155</v>
      </c>
      <c r="O3006" s="2" t="s">
        <v>696</v>
      </c>
      <c r="P3006" s="3" t="s">
        <v>697</v>
      </c>
      <c r="Q3006" s="2" t="s">
        <v>29493</v>
      </c>
      <c r="R3006" s="3" t="s">
        <v>66</v>
      </c>
      <c r="S3006" s="4">
        <v>0</v>
      </c>
      <c r="T3006" s="4">
        <v>0</v>
      </c>
      <c r="W3006" s="5" t="s">
        <v>67</v>
      </c>
      <c r="X3006" s="5" t="s">
        <v>67</v>
      </c>
      <c r="Y3006" s="4">
        <v>11</v>
      </c>
      <c r="Z3006" s="4">
        <v>1</v>
      </c>
      <c r="AA3006" s="4">
        <v>1</v>
      </c>
      <c r="AB3006" s="4">
        <v>1</v>
      </c>
      <c r="AC3006" s="4">
        <v>1</v>
      </c>
      <c r="AD3006" s="4">
        <v>4</v>
      </c>
      <c r="AE3006" s="4">
        <v>4</v>
      </c>
      <c r="AF3006" s="4">
        <v>0</v>
      </c>
      <c r="AG3006" s="4">
        <v>0</v>
      </c>
      <c r="AH3006" s="4">
        <v>3</v>
      </c>
      <c r="AI3006" s="4">
        <v>3</v>
      </c>
      <c r="AJ3006" s="4">
        <v>0</v>
      </c>
      <c r="AK3006" s="4">
        <v>0</v>
      </c>
      <c r="AL3006" s="4">
        <v>4</v>
      </c>
      <c r="AM3006" s="4">
        <v>4</v>
      </c>
      <c r="AN3006" s="4">
        <v>0</v>
      </c>
      <c r="AO3006" s="4">
        <v>0</v>
      </c>
      <c r="AP3006" s="4">
        <v>0</v>
      </c>
      <c r="AQ3006" s="4">
        <v>0</v>
      </c>
      <c r="AR3006" s="3" t="s">
        <v>62</v>
      </c>
      <c r="AS3006" s="3" t="s">
        <v>62</v>
      </c>
      <c r="AT3006" s="3" t="s">
        <v>62</v>
      </c>
      <c r="AV3006" s="6" t="str">
        <f>HYPERLINK("http://mcgill.on.worldcat.org/oclc/824821988","Catalog Record")</f>
        <v>Catalog Record</v>
      </c>
      <c r="AW3006" s="6" t="str">
        <f>HYPERLINK("http://www.worldcat.org/oclc/824821988","WorldCat Record")</f>
        <v>WorldCat Record</v>
      </c>
      <c r="AX3006" s="3" t="s">
        <v>29494</v>
      </c>
      <c r="AY3006" s="3" t="s">
        <v>29495</v>
      </c>
      <c r="AZ3006" s="3" t="s">
        <v>29496</v>
      </c>
      <c r="BA3006" s="3" t="s">
        <v>29496</v>
      </c>
      <c r="BB3006" s="3" t="s">
        <v>29497</v>
      </c>
      <c r="BC3006" s="3" t="s">
        <v>142</v>
      </c>
      <c r="BD3006" s="3" t="s">
        <v>68</v>
      </c>
      <c r="BE3006" s="3" t="s">
        <v>29498</v>
      </c>
      <c r="BF3006" s="3" t="s">
        <v>29497</v>
      </c>
      <c r="BG3006" s="3" t="s">
        <v>29499</v>
      </c>
    </row>
    <row r="3007" spans="1:59" ht="57" x14ac:dyDescent="0.45">
      <c r="A3007" s="2" t="s">
        <v>59</v>
      </c>
      <c r="B3007" s="2" t="s">
        <v>60</v>
      </c>
      <c r="C3007" s="2" t="s">
        <v>29500</v>
      </c>
      <c r="D3007" s="2" t="s">
        <v>29501</v>
      </c>
      <c r="E3007" s="2" t="s">
        <v>29502</v>
      </c>
      <c r="G3007" s="3" t="s">
        <v>62</v>
      </c>
      <c r="I3007" s="3" t="s">
        <v>62</v>
      </c>
      <c r="J3007" s="3" t="s">
        <v>62</v>
      </c>
      <c r="K3007" s="3" t="s">
        <v>63</v>
      </c>
      <c r="L3007" s="2" t="s">
        <v>29503</v>
      </c>
      <c r="M3007" s="2" t="s">
        <v>29504</v>
      </c>
      <c r="N3007" s="3" t="s">
        <v>1155</v>
      </c>
      <c r="P3007" s="3" t="s">
        <v>65</v>
      </c>
      <c r="Q3007" s="2" t="s">
        <v>17618</v>
      </c>
      <c r="R3007" s="3" t="s">
        <v>66</v>
      </c>
      <c r="S3007" s="4">
        <v>2</v>
      </c>
      <c r="T3007" s="4">
        <v>2</v>
      </c>
      <c r="U3007" s="5" t="s">
        <v>10395</v>
      </c>
      <c r="V3007" s="5" t="s">
        <v>10395</v>
      </c>
      <c r="W3007" s="5" t="s">
        <v>67</v>
      </c>
      <c r="X3007" s="5" t="s">
        <v>67</v>
      </c>
      <c r="Y3007" s="4">
        <v>76</v>
      </c>
      <c r="Z3007" s="4">
        <v>4</v>
      </c>
      <c r="AA3007" s="4">
        <v>85</v>
      </c>
      <c r="AB3007" s="4">
        <v>1</v>
      </c>
      <c r="AC3007" s="4">
        <v>14</v>
      </c>
      <c r="AD3007" s="4">
        <v>33</v>
      </c>
      <c r="AE3007" s="4">
        <v>119</v>
      </c>
      <c r="AF3007" s="4">
        <v>0</v>
      </c>
      <c r="AG3007" s="4">
        <v>8</v>
      </c>
      <c r="AH3007" s="4">
        <v>33</v>
      </c>
      <c r="AI3007" s="4">
        <v>85</v>
      </c>
      <c r="AJ3007" s="4">
        <v>3</v>
      </c>
      <c r="AK3007" s="4">
        <v>22</v>
      </c>
      <c r="AL3007" s="4">
        <v>23</v>
      </c>
      <c r="AM3007" s="4">
        <v>45</v>
      </c>
      <c r="AN3007" s="4">
        <v>0</v>
      </c>
      <c r="AO3007" s="4">
        <v>0</v>
      </c>
      <c r="AP3007" s="4">
        <v>3</v>
      </c>
      <c r="AQ3007" s="4">
        <v>42</v>
      </c>
      <c r="AR3007" s="3" t="s">
        <v>62</v>
      </c>
      <c r="AS3007" s="3" t="s">
        <v>62</v>
      </c>
      <c r="AT3007" s="3" t="s">
        <v>62</v>
      </c>
      <c r="AV3007" s="6" t="str">
        <f>HYPERLINK("http://mcgill.on.worldcat.org/oclc/777652908","Catalog Record")</f>
        <v>Catalog Record</v>
      </c>
      <c r="AW3007" s="6" t="str">
        <f>HYPERLINK("http://www.worldcat.org/oclc/777652908","WorldCat Record")</f>
        <v>WorldCat Record</v>
      </c>
      <c r="AX3007" s="3" t="s">
        <v>29505</v>
      </c>
      <c r="AY3007" s="3" t="s">
        <v>29506</v>
      </c>
      <c r="AZ3007" s="3" t="s">
        <v>29507</v>
      </c>
      <c r="BA3007" s="3" t="s">
        <v>29507</v>
      </c>
      <c r="BB3007" s="3" t="s">
        <v>29508</v>
      </c>
      <c r="BC3007" s="3" t="s">
        <v>142</v>
      </c>
      <c r="BD3007" s="3" t="s">
        <v>68</v>
      </c>
      <c r="BE3007" s="3" t="s">
        <v>29509</v>
      </c>
      <c r="BF3007" s="3" t="s">
        <v>29508</v>
      </c>
      <c r="BG3007" s="3" t="s">
        <v>29510</v>
      </c>
    </row>
    <row r="3008" spans="1:59" ht="57" x14ac:dyDescent="0.45">
      <c r="A3008" s="2" t="s">
        <v>59</v>
      </c>
      <c r="B3008" s="2" t="s">
        <v>60</v>
      </c>
      <c r="C3008" s="2" t="s">
        <v>29511</v>
      </c>
      <c r="D3008" s="2" t="s">
        <v>29512</v>
      </c>
      <c r="E3008" s="2" t="s">
        <v>29513</v>
      </c>
      <c r="G3008" s="3" t="s">
        <v>62</v>
      </c>
      <c r="I3008" s="3" t="s">
        <v>62</v>
      </c>
      <c r="J3008" s="3" t="s">
        <v>62</v>
      </c>
      <c r="K3008" s="3" t="s">
        <v>63</v>
      </c>
      <c r="L3008" s="2" t="s">
        <v>29514</v>
      </c>
      <c r="M3008" s="2" t="s">
        <v>18432</v>
      </c>
      <c r="N3008" s="3" t="s">
        <v>542</v>
      </c>
      <c r="P3008" s="3" t="s">
        <v>65</v>
      </c>
      <c r="R3008" s="3" t="s">
        <v>66</v>
      </c>
      <c r="S3008" s="4">
        <v>11</v>
      </c>
      <c r="T3008" s="4">
        <v>11</v>
      </c>
      <c r="U3008" s="5" t="s">
        <v>5362</v>
      </c>
      <c r="V3008" s="5" t="s">
        <v>5362</v>
      </c>
      <c r="W3008" s="5" t="s">
        <v>67</v>
      </c>
      <c r="X3008" s="5" t="s">
        <v>67</v>
      </c>
      <c r="Y3008" s="4">
        <v>267</v>
      </c>
      <c r="Z3008" s="4">
        <v>18</v>
      </c>
      <c r="AA3008" s="4">
        <v>26</v>
      </c>
      <c r="AB3008" s="4">
        <v>2</v>
      </c>
      <c r="AC3008" s="4">
        <v>4</v>
      </c>
      <c r="AD3008" s="4">
        <v>100</v>
      </c>
      <c r="AE3008" s="4">
        <v>105</v>
      </c>
      <c r="AF3008" s="4">
        <v>0</v>
      </c>
      <c r="AG3008" s="4">
        <v>2</v>
      </c>
      <c r="AH3008" s="4">
        <v>92</v>
      </c>
      <c r="AI3008" s="4">
        <v>93</v>
      </c>
      <c r="AJ3008" s="4">
        <v>13</v>
      </c>
      <c r="AK3008" s="4">
        <v>15</v>
      </c>
      <c r="AL3008" s="4">
        <v>53</v>
      </c>
      <c r="AM3008" s="4">
        <v>53</v>
      </c>
      <c r="AN3008" s="4">
        <v>0</v>
      </c>
      <c r="AO3008" s="4">
        <v>0</v>
      </c>
      <c r="AP3008" s="4">
        <v>14</v>
      </c>
      <c r="AQ3008" s="4">
        <v>17</v>
      </c>
      <c r="AR3008" s="3" t="s">
        <v>62</v>
      </c>
      <c r="AS3008" s="3" t="s">
        <v>62</v>
      </c>
      <c r="AT3008" s="3" t="s">
        <v>62</v>
      </c>
      <c r="AV3008" s="6" t="str">
        <f>HYPERLINK("http://mcgill.on.worldcat.org/oclc/46421996","Catalog Record")</f>
        <v>Catalog Record</v>
      </c>
      <c r="AW3008" s="6" t="str">
        <f>HYPERLINK("http://www.worldcat.org/oclc/46421996","WorldCat Record")</f>
        <v>WorldCat Record</v>
      </c>
      <c r="AX3008" s="3" t="s">
        <v>29515</v>
      </c>
      <c r="AY3008" s="3" t="s">
        <v>29516</v>
      </c>
      <c r="AZ3008" s="3" t="s">
        <v>29517</v>
      </c>
      <c r="BA3008" s="3" t="s">
        <v>29517</v>
      </c>
      <c r="BB3008" s="3" t="s">
        <v>29518</v>
      </c>
      <c r="BC3008" s="3" t="s">
        <v>142</v>
      </c>
      <c r="BD3008" s="3" t="s">
        <v>68</v>
      </c>
      <c r="BE3008" s="3" t="s">
        <v>29519</v>
      </c>
      <c r="BF3008" s="3" t="s">
        <v>29518</v>
      </c>
      <c r="BG3008" s="3" t="s">
        <v>29520</v>
      </c>
    </row>
    <row r="3009" spans="1:59" ht="57" x14ac:dyDescent="0.45">
      <c r="A3009" s="2" t="s">
        <v>59</v>
      </c>
      <c r="B3009" s="2" t="s">
        <v>60</v>
      </c>
      <c r="C3009" s="2" t="s">
        <v>29521</v>
      </c>
      <c r="D3009" s="2" t="s">
        <v>29522</v>
      </c>
      <c r="E3009" s="2" t="s">
        <v>29523</v>
      </c>
      <c r="G3009" s="3" t="s">
        <v>62</v>
      </c>
      <c r="I3009" s="3" t="s">
        <v>62</v>
      </c>
      <c r="J3009" s="3" t="s">
        <v>62</v>
      </c>
      <c r="K3009" s="3" t="s">
        <v>63</v>
      </c>
      <c r="L3009" s="2" t="s">
        <v>29524</v>
      </c>
      <c r="M3009" s="2" t="s">
        <v>29525</v>
      </c>
      <c r="N3009" s="3" t="s">
        <v>1059</v>
      </c>
      <c r="P3009" s="3" t="s">
        <v>65</v>
      </c>
      <c r="Q3009" s="2" t="s">
        <v>2907</v>
      </c>
      <c r="R3009" s="3" t="s">
        <v>66</v>
      </c>
      <c r="S3009" s="4">
        <v>6</v>
      </c>
      <c r="T3009" s="4">
        <v>6</v>
      </c>
      <c r="U3009" s="5" t="s">
        <v>29526</v>
      </c>
      <c r="V3009" s="5" t="s">
        <v>29526</v>
      </c>
      <c r="W3009" s="5" t="s">
        <v>67</v>
      </c>
      <c r="X3009" s="5" t="s">
        <v>67</v>
      </c>
      <c r="Y3009" s="4">
        <v>274</v>
      </c>
      <c r="Z3009" s="4">
        <v>26</v>
      </c>
      <c r="AA3009" s="4">
        <v>101</v>
      </c>
      <c r="AB3009" s="4">
        <v>1</v>
      </c>
      <c r="AC3009" s="4">
        <v>16</v>
      </c>
      <c r="AD3009" s="4">
        <v>103</v>
      </c>
      <c r="AE3009" s="4">
        <v>145</v>
      </c>
      <c r="AF3009" s="4">
        <v>0</v>
      </c>
      <c r="AG3009" s="4">
        <v>8</v>
      </c>
      <c r="AH3009" s="4">
        <v>92</v>
      </c>
      <c r="AI3009" s="4">
        <v>108</v>
      </c>
      <c r="AJ3009" s="4">
        <v>17</v>
      </c>
      <c r="AK3009" s="4">
        <v>26</v>
      </c>
      <c r="AL3009" s="4">
        <v>53</v>
      </c>
      <c r="AM3009" s="4">
        <v>57</v>
      </c>
      <c r="AN3009" s="4">
        <v>0</v>
      </c>
      <c r="AO3009" s="4">
        <v>0</v>
      </c>
      <c r="AP3009" s="4">
        <v>19</v>
      </c>
      <c r="AQ3009" s="4">
        <v>48</v>
      </c>
      <c r="AR3009" s="3" t="s">
        <v>62</v>
      </c>
      <c r="AS3009" s="3" t="s">
        <v>62</v>
      </c>
      <c r="AT3009" s="3" t="s">
        <v>62</v>
      </c>
      <c r="AV3009" s="6" t="str">
        <f>HYPERLINK("http://mcgill.on.worldcat.org/oclc/60402021","Catalog Record")</f>
        <v>Catalog Record</v>
      </c>
      <c r="AW3009" s="6" t="str">
        <f>HYPERLINK("http://www.worldcat.org/oclc/60402021","WorldCat Record")</f>
        <v>WorldCat Record</v>
      </c>
      <c r="AX3009" s="3" t="s">
        <v>29527</v>
      </c>
      <c r="AY3009" s="3" t="s">
        <v>29528</v>
      </c>
      <c r="AZ3009" s="3" t="s">
        <v>29529</v>
      </c>
      <c r="BA3009" s="3" t="s">
        <v>29529</v>
      </c>
      <c r="BB3009" s="3" t="s">
        <v>29530</v>
      </c>
      <c r="BC3009" s="3" t="s">
        <v>142</v>
      </c>
      <c r="BD3009" s="3" t="s">
        <v>68</v>
      </c>
      <c r="BE3009" s="3" t="s">
        <v>29531</v>
      </c>
      <c r="BF3009" s="3" t="s">
        <v>29530</v>
      </c>
      <c r="BG3009" s="3" t="s">
        <v>29532</v>
      </c>
    </row>
    <row r="3010" spans="1:59" ht="57" x14ac:dyDescent="0.45">
      <c r="A3010" s="2" t="s">
        <v>59</v>
      </c>
      <c r="B3010" s="2" t="s">
        <v>60</v>
      </c>
      <c r="C3010" s="2" t="s">
        <v>29533</v>
      </c>
      <c r="D3010" s="2" t="s">
        <v>29534</v>
      </c>
      <c r="E3010" s="2" t="s">
        <v>29535</v>
      </c>
      <c r="G3010" s="3" t="s">
        <v>62</v>
      </c>
      <c r="I3010" s="3" t="s">
        <v>62</v>
      </c>
      <c r="J3010" s="3" t="s">
        <v>62</v>
      </c>
      <c r="K3010" s="3" t="s">
        <v>63</v>
      </c>
      <c r="L3010" s="2" t="s">
        <v>29536</v>
      </c>
      <c r="M3010" s="2" t="s">
        <v>29537</v>
      </c>
      <c r="N3010" s="3" t="s">
        <v>116</v>
      </c>
      <c r="P3010" s="3" t="s">
        <v>65</v>
      </c>
      <c r="Q3010" s="2" t="s">
        <v>29538</v>
      </c>
      <c r="R3010" s="3" t="s">
        <v>66</v>
      </c>
      <c r="S3010" s="4">
        <v>2</v>
      </c>
      <c r="T3010" s="4">
        <v>2</v>
      </c>
      <c r="U3010" s="5" t="s">
        <v>10395</v>
      </c>
      <c r="V3010" s="5" t="s">
        <v>10395</v>
      </c>
      <c r="W3010" s="5" t="s">
        <v>67</v>
      </c>
      <c r="X3010" s="5" t="s">
        <v>67</v>
      </c>
      <c r="Y3010" s="4">
        <v>84</v>
      </c>
      <c r="Z3010" s="4">
        <v>13</v>
      </c>
      <c r="AA3010" s="4">
        <v>17</v>
      </c>
      <c r="AB3010" s="4">
        <v>1</v>
      </c>
      <c r="AC3010" s="4">
        <v>3</v>
      </c>
      <c r="AD3010" s="4">
        <v>41</v>
      </c>
      <c r="AE3010" s="4">
        <v>51</v>
      </c>
      <c r="AF3010" s="4">
        <v>0</v>
      </c>
      <c r="AG3010" s="4">
        <v>0</v>
      </c>
      <c r="AH3010" s="4">
        <v>36</v>
      </c>
      <c r="AI3010" s="4">
        <v>46</v>
      </c>
      <c r="AJ3010" s="4">
        <v>8</v>
      </c>
      <c r="AK3010" s="4">
        <v>10</v>
      </c>
      <c r="AL3010" s="4">
        <v>25</v>
      </c>
      <c r="AM3010" s="4">
        <v>31</v>
      </c>
      <c r="AN3010" s="4">
        <v>0</v>
      </c>
      <c r="AO3010" s="4">
        <v>0</v>
      </c>
      <c r="AP3010" s="4">
        <v>9</v>
      </c>
      <c r="AQ3010" s="4">
        <v>11</v>
      </c>
      <c r="AR3010" s="3" t="s">
        <v>62</v>
      </c>
      <c r="AS3010" s="3" t="s">
        <v>62</v>
      </c>
      <c r="AT3010" s="3" t="s">
        <v>62</v>
      </c>
      <c r="AV3010" s="6" t="str">
        <f>HYPERLINK("http://mcgill.on.worldcat.org/oclc/820942364","Catalog Record")</f>
        <v>Catalog Record</v>
      </c>
      <c r="AW3010" s="6" t="str">
        <f>HYPERLINK("http://www.worldcat.org/oclc/820942364","WorldCat Record")</f>
        <v>WorldCat Record</v>
      </c>
      <c r="AX3010" s="3" t="s">
        <v>29539</v>
      </c>
      <c r="AY3010" s="3" t="s">
        <v>29540</v>
      </c>
      <c r="AZ3010" s="3" t="s">
        <v>29541</v>
      </c>
      <c r="BA3010" s="3" t="s">
        <v>29541</v>
      </c>
      <c r="BB3010" s="3" t="s">
        <v>29542</v>
      </c>
      <c r="BC3010" s="3" t="s">
        <v>142</v>
      </c>
      <c r="BD3010" s="3" t="s">
        <v>68</v>
      </c>
      <c r="BE3010" s="3" t="s">
        <v>29543</v>
      </c>
      <c r="BF3010" s="3" t="s">
        <v>29542</v>
      </c>
      <c r="BG3010" s="3" t="s">
        <v>29544</v>
      </c>
    </row>
    <row r="3011" spans="1:59" ht="71.25" x14ac:dyDescent="0.45">
      <c r="A3011" s="2" t="s">
        <v>59</v>
      </c>
      <c r="B3011" s="2" t="s">
        <v>60</v>
      </c>
      <c r="C3011" s="2" t="s">
        <v>29545</v>
      </c>
      <c r="D3011" s="2" t="s">
        <v>29546</v>
      </c>
      <c r="E3011" s="2" t="s">
        <v>29547</v>
      </c>
      <c r="G3011" s="3" t="s">
        <v>62</v>
      </c>
      <c r="I3011" s="3" t="s">
        <v>61</v>
      </c>
      <c r="J3011" s="3" t="s">
        <v>62</v>
      </c>
      <c r="K3011" s="3" t="s">
        <v>63</v>
      </c>
      <c r="L3011" s="2" t="s">
        <v>29548</v>
      </c>
      <c r="M3011" s="2" t="s">
        <v>29549</v>
      </c>
      <c r="N3011" s="3" t="s">
        <v>1155</v>
      </c>
      <c r="P3011" s="3" t="s">
        <v>65</v>
      </c>
      <c r="Q3011" s="2" t="s">
        <v>29550</v>
      </c>
      <c r="R3011" s="3" t="s">
        <v>66</v>
      </c>
      <c r="S3011" s="4">
        <v>2</v>
      </c>
      <c r="T3011" s="4">
        <v>3</v>
      </c>
      <c r="U3011" s="5" t="s">
        <v>29551</v>
      </c>
      <c r="V3011" s="5" t="s">
        <v>29551</v>
      </c>
      <c r="W3011" s="5" t="s">
        <v>67</v>
      </c>
      <c r="X3011" s="5" t="s">
        <v>67</v>
      </c>
      <c r="Y3011" s="4">
        <v>73</v>
      </c>
      <c r="Z3011" s="4">
        <v>7</v>
      </c>
      <c r="AA3011" s="4">
        <v>90</v>
      </c>
      <c r="AB3011" s="4">
        <v>1</v>
      </c>
      <c r="AC3011" s="4">
        <v>17</v>
      </c>
      <c r="AD3011" s="4">
        <v>28</v>
      </c>
      <c r="AE3011" s="4">
        <v>124</v>
      </c>
      <c r="AF3011" s="4">
        <v>0</v>
      </c>
      <c r="AG3011" s="4">
        <v>8</v>
      </c>
      <c r="AH3011" s="4">
        <v>25</v>
      </c>
      <c r="AI3011" s="4">
        <v>87</v>
      </c>
      <c r="AJ3011" s="4">
        <v>5</v>
      </c>
      <c r="AK3011" s="4">
        <v>22</v>
      </c>
      <c r="AL3011" s="4">
        <v>18</v>
      </c>
      <c r="AM3011" s="4">
        <v>48</v>
      </c>
      <c r="AN3011" s="4">
        <v>0</v>
      </c>
      <c r="AO3011" s="4">
        <v>0</v>
      </c>
      <c r="AP3011" s="4">
        <v>5</v>
      </c>
      <c r="AQ3011" s="4">
        <v>44</v>
      </c>
      <c r="AR3011" s="3" t="s">
        <v>62</v>
      </c>
      <c r="AS3011" s="3" t="s">
        <v>62</v>
      </c>
      <c r="AT3011" s="3" t="s">
        <v>62</v>
      </c>
      <c r="AV3011" s="6" t="str">
        <f>HYPERLINK("http://mcgill.on.worldcat.org/oclc/824603250","Catalog Record")</f>
        <v>Catalog Record</v>
      </c>
      <c r="AW3011" s="6" t="str">
        <f>HYPERLINK("http://www.worldcat.org/oclc/824603250","WorldCat Record")</f>
        <v>WorldCat Record</v>
      </c>
      <c r="AX3011" s="3" t="s">
        <v>29552</v>
      </c>
      <c r="AY3011" s="3" t="s">
        <v>29553</v>
      </c>
      <c r="AZ3011" s="3" t="s">
        <v>29554</v>
      </c>
      <c r="BA3011" s="3" t="s">
        <v>29554</v>
      </c>
      <c r="BB3011" s="3" t="s">
        <v>29555</v>
      </c>
      <c r="BC3011" s="3" t="s">
        <v>142</v>
      </c>
      <c r="BD3011" s="3" t="s">
        <v>68</v>
      </c>
      <c r="BE3011" s="3" t="s">
        <v>29556</v>
      </c>
      <c r="BF3011" s="3" t="s">
        <v>29555</v>
      </c>
      <c r="BG3011" s="3" t="s">
        <v>29557</v>
      </c>
    </row>
    <row r="3012" spans="1:59" ht="71.25" x14ac:dyDescent="0.45">
      <c r="A3012" s="2" t="s">
        <v>59</v>
      </c>
      <c r="B3012" s="2" t="s">
        <v>60</v>
      </c>
      <c r="C3012" s="2" t="s">
        <v>29545</v>
      </c>
      <c r="D3012" s="2" t="s">
        <v>29546</v>
      </c>
      <c r="E3012" s="2" t="s">
        <v>29547</v>
      </c>
      <c r="G3012" s="3" t="s">
        <v>62</v>
      </c>
      <c r="I3012" s="3" t="s">
        <v>61</v>
      </c>
      <c r="J3012" s="3" t="s">
        <v>62</v>
      </c>
      <c r="K3012" s="3" t="s">
        <v>63</v>
      </c>
      <c r="L3012" s="2" t="s">
        <v>29548</v>
      </c>
      <c r="M3012" s="2" t="s">
        <v>29549</v>
      </c>
      <c r="N3012" s="3" t="s">
        <v>1155</v>
      </c>
      <c r="P3012" s="3" t="s">
        <v>65</v>
      </c>
      <c r="Q3012" s="2" t="s">
        <v>29550</v>
      </c>
      <c r="R3012" s="3" t="s">
        <v>66</v>
      </c>
      <c r="S3012" s="4">
        <v>1</v>
      </c>
      <c r="T3012" s="4">
        <v>3</v>
      </c>
      <c r="U3012" s="5" t="s">
        <v>29558</v>
      </c>
      <c r="V3012" s="5" t="s">
        <v>29551</v>
      </c>
      <c r="W3012" s="5" t="s">
        <v>67</v>
      </c>
      <c r="X3012" s="5" t="s">
        <v>67</v>
      </c>
      <c r="Y3012" s="4">
        <v>73</v>
      </c>
      <c r="Z3012" s="4">
        <v>7</v>
      </c>
      <c r="AA3012" s="4">
        <v>90</v>
      </c>
      <c r="AB3012" s="4">
        <v>1</v>
      </c>
      <c r="AC3012" s="4">
        <v>17</v>
      </c>
      <c r="AD3012" s="4">
        <v>28</v>
      </c>
      <c r="AE3012" s="4">
        <v>124</v>
      </c>
      <c r="AF3012" s="4">
        <v>0</v>
      </c>
      <c r="AG3012" s="4">
        <v>8</v>
      </c>
      <c r="AH3012" s="4">
        <v>25</v>
      </c>
      <c r="AI3012" s="4">
        <v>87</v>
      </c>
      <c r="AJ3012" s="4">
        <v>5</v>
      </c>
      <c r="AK3012" s="4">
        <v>22</v>
      </c>
      <c r="AL3012" s="4">
        <v>18</v>
      </c>
      <c r="AM3012" s="4">
        <v>48</v>
      </c>
      <c r="AN3012" s="4">
        <v>0</v>
      </c>
      <c r="AO3012" s="4">
        <v>0</v>
      </c>
      <c r="AP3012" s="4">
        <v>5</v>
      </c>
      <c r="AQ3012" s="4">
        <v>44</v>
      </c>
      <c r="AR3012" s="3" t="s">
        <v>62</v>
      </c>
      <c r="AS3012" s="3" t="s">
        <v>62</v>
      </c>
      <c r="AT3012" s="3" t="s">
        <v>62</v>
      </c>
      <c r="AV3012" s="6" t="str">
        <f>HYPERLINK("http://mcgill.on.worldcat.org/oclc/824603250","Catalog Record")</f>
        <v>Catalog Record</v>
      </c>
      <c r="AW3012" s="6" t="str">
        <f>HYPERLINK("http://www.worldcat.org/oclc/824603250","WorldCat Record")</f>
        <v>WorldCat Record</v>
      </c>
      <c r="AX3012" s="3" t="s">
        <v>29552</v>
      </c>
      <c r="AY3012" s="3" t="s">
        <v>29553</v>
      </c>
      <c r="AZ3012" s="3" t="s">
        <v>29554</v>
      </c>
      <c r="BA3012" s="3" t="s">
        <v>29554</v>
      </c>
      <c r="BB3012" s="3" t="s">
        <v>29559</v>
      </c>
      <c r="BC3012" s="3" t="s">
        <v>142</v>
      </c>
      <c r="BD3012" s="3" t="s">
        <v>68</v>
      </c>
      <c r="BE3012" s="3" t="s">
        <v>29556</v>
      </c>
      <c r="BF3012" s="3" t="s">
        <v>29559</v>
      </c>
      <c r="BG3012" s="3" t="s">
        <v>29560</v>
      </c>
    </row>
    <row r="3013" spans="1:59" ht="57" x14ac:dyDescent="0.45">
      <c r="A3013" s="2" t="s">
        <v>59</v>
      </c>
      <c r="B3013" s="2" t="s">
        <v>60</v>
      </c>
      <c r="C3013" s="2" t="s">
        <v>29561</v>
      </c>
      <c r="D3013" s="2" t="s">
        <v>29562</v>
      </c>
      <c r="E3013" s="2" t="s">
        <v>29563</v>
      </c>
      <c r="G3013" s="3" t="s">
        <v>62</v>
      </c>
      <c r="I3013" s="3" t="s">
        <v>62</v>
      </c>
      <c r="J3013" s="3" t="s">
        <v>62</v>
      </c>
      <c r="K3013" s="3" t="s">
        <v>63</v>
      </c>
      <c r="L3013" s="2" t="s">
        <v>29564</v>
      </c>
      <c r="M3013" s="2" t="s">
        <v>29565</v>
      </c>
      <c r="N3013" s="3" t="s">
        <v>1918</v>
      </c>
      <c r="O3013" s="2" t="s">
        <v>29566</v>
      </c>
      <c r="P3013" s="3" t="s">
        <v>65</v>
      </c>
      <c r="R3013" s="3" t="s">
        <v>66</v>
      </c>
      <c r="S3013" s="4">
        <v>7</v>
      </c>
      <c r="T3013" s="4">
        <v>7</v>
      </c>
      <c r="U3013" s="5" t="s">
        <v>723</v>
      </c>
      <c r="V3013" s="5" t="s">
        <v>723</v>
      </c>
      <c r="W3013" s="5" t="s">
        <v>67</v>
      </c>
      <c r="X3013" s="5" t="s">
        <v>67</v>
      </c>
      <c r="Y3013" s="4">
        <v>358</v>
      </c>
      <c r="Z3013" s="4">
        <v>16</v>
      </c>
      <c r="AA3013" s="4">
        <v>17</v>
      </c>
      <c r="AB3013" s="4">
        <v>1</v>
      </c>
      <c r="AC3013" s="4">
        <v>2</v>
      </c>
      <c r="AD3013" s="4">
        <v>52</v>
      </c>
      <c r="AE3013" s="4">
        <v>52</v>
      </c>
      <c r="AF3013" s="4">
        <v>0</v>
      </c>
      <c r="AG3013" s="4">
        <v>0</v>
      </c>
      <c r="AH3013" s="4">
        <v>47</v>
      </c>
      <c r="AI3013" s="4">
        <v>47</v>
      </c>
      <c r="AJ3013" s="4">
        <v>6</v>
      </c>
      <c r="AK3013" s="4">
        <v>6</v>
      </c>
      <c r="AL3013" s="4">
        <v>32</v>
      </c>
      <c r="AM3013" s="4">
        <v>32</v>
      </c>
      <c r="AN3013" s="4">
        <v>0</v>
      </c>
      <c r="AO3013" s="4">
        <v>0</v>
      </c>
      <c r="AP3013" s="4">
        <v>7</v>
      </c>
      <c r="AQ3013" s="4">
        <v>7</v>
      </c>
      <c r="AR3013" s="3" t="s">
        <v>62</v>
      </c>
      <c r="AS3013" s="3" t="s">
        <v>62</v>
      </c>
      <c r="AT3013" s="3" t="s">
        <v>62</v>
      </c>
      <c r="AV3013" s="6" t="str">
        <f>HYPERLINK("http://mcgill.on.worldcat.org/oclc/967865772","Catalog Record")</f>
        <v>Catalog Record</v>
      </c>
      <c r="AW3013" s="6" t="str">
        <f>HYPERLINK("http://www.worldcat.org/oclc/967865772","WorldCat Record")</f>
        <v>WorldCat Record</v>
      </c>
      <c r="AX3013" s="3" t="s">
        <v>29567</v>
      </c>
      <c r="AY3013" s="3" t="s">
        <v>29568</v>
      </c>
      <c r="AZ3013" s="3" t="s">
        <v>29569</v>
      </c>
      <c r="BA3013" s="3" t="s">
        <v>29569</v>
      </c>
      <c r="BB3013" s="3" t="s">
        <v>29570</v>
      </c>
      <c r="BC3013" s="3" t="s">
        <v>142</v>
      </c>
      <c r="BD3013" s="3" t="s">
        <v>68</v>
      </c>
      <c r="BE3013" s="3" t="s">
        <v>29571</v>
      </c>
      <c r="BF3013" s="3" t="s">
        <v>29570</v>
      </c>
      <c r="BG3013" s="3" t="s">
        <v>29572</v>
      </c>
    </row>
    <row r="3014" spans="1:59" ht="57" x14ac:dyDescent="0.45">
      <c r="A3014" s="2" t="s">
        <v>59</v>
      </c>
      <c r="B3014" s="2" t="s">
        <v>60</v>
      </c>
      <c r="C3014" s="2" t="s">
        <v>29573</v>
      </c>
      <c r="D3014" s="2" t="s">
        <v>29574</v>
      </c>
      <c r="E3014" s="2" t="s">
        <v>29575</v>
      </c>
      <c r="G3014" s="3" t="s">
        <v>62</v>
      </c>
      <c r="I3014" s="3" t="s">
        <v>62</v>
      </c>
      <c r="J3014" s="3" t="s">
        <v>62</v>
      </c>
      <c r="K3014" s="3" t="s">
        <v>63</v>
      </c>
      <c r="L3014" s="2" t="s">
        <v>29576</v>
      </c>
      <c r="M3014" s="2" t="s">
        <v>29577</v>
      </c>
      <c r="N3014" s="3" t="s">
        <v>5180</v>
      </c>
      <c r="P3014" s="3" t="s">
        <v>110</v>
      </c>
      <c r="R3014" s="3" t="s">
        <v>66</v>
      </c>
      <c r="S3014" s="4">
        <v>1</v>
      </c>
      <c r="T3014" s="4">
        <v>1</v>
      </c>
      <c r="U3014" s="5" t="s">
        <v>16538</v>
      </c>
      <c r="V3014" s="5" t="s">
        <v>16538</v>
      </c>
      <c r="W3014" s="5" t="s">
        <v>67</v>
      </c>
      <c r="X3014" s="5" t="s">
        <v>67</v>
      </c>
      <c r="Y3014" s="4">
        <v>3</v>
      </c>
      <c r="Z3014" s="4">
        <v>1</v>
      </c>
      <c r="AA3014" s="4">
        <v>4</v>
      </c>
      <c r="AB3014" s="4">
        <v>1</v>
      </c>
      <c r="AC3014" s="4">
        <v>3</v>
      </c>
      <c r="AD3014" s="4">
        <v>0</v>
      </c>
      <c r="AE3014" s="4">
        <v>3</v>
      </c>
      <c r="AF3014" s="4">
        <v>0</v>
      </c>
      <c r="AG3014" s="4">
        <v>2</v>
      </c>
      <c r="AH3014" s="4">
        <v>0</v>
      </c>
      <c r="AI3014" s="4">
        <v>2</v>
      </c>
      <c r="AJ3014" s="4">
        <v>0</v>
      </c>
      <c r="AK3014" s="4">
        <v>3</v>
      </c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2</v>
      </c>
      <c r="AR3014" s="3" t="s">
        <v>62</v>
      </c>
      <c r="AS3014" s="3" t="s">
        <v>62</v>
      </c>
      <c r="AT3014" s="3" t="s">
        <v>62</v>
      </c>
      <c r="AV3014" s="6" t="str">
        <f>HYPERLINK("http://mcgill.on.worldcat.org/oclc/1044752328","Catalog Record")</f>
        <v>Catalog Record</v>
      </c>
      <c r="AW3014" s="6" t="str">
        <f>HYPERLINK("http://www.worldcat.org/oclc/1044752328","WorldCat Record")</f>
        <v>WorldCat Record</v>
      </c>
      <c r="AX3014" s="3" t="s">
        <v>29578</v>
      </c>
      <c r="AY3014" s="3" t="s">
        <v>29579</v>
      </c>
      <c r="AZ3014" s="3" t="s">
        <v>29580</v>
      </c>
      <c r="BA3014" s="3" t="s">
        <v>29580</v>
      </c>
      <c r="BB3014" s="3" t="s">
        <v>29581</v>
      </c>
      <c r="BC3014" s="3" t="s">
        <v>142</v>
      </c>
      <c r="BD3014" s="3" t="s">
        <v>68</v>
      </c>
      <c r="BE3014" s="3" t="s">
        <v>29582</v>
      </c>
      <c r="BF3014" s="3" t="s">
        <v>29581</v>
      </c>
      <c r="BG3014" s="3" t="s">
        <v>29583</v>
      </c>
    </row>
    <row r="3015" spans="1:59" ht="57" x14ac:dyDescent="0.45">
      <c r="A3015" s="2" t="s">
        <v>59</v>
      </c>
      <c r="B3015" s="2" t="s">
        <v>60</v>
      </c>
      <c r="C3015" s="2" t="s">
        <v>29584</v>
      </c>
      <c r="D3015" s="2" t="s">
        <v>29585</v>
      </c>
      <c r="E3015" s="2" t="s">
        <v>29586</v>
      </c>
      <c r="G3015" s="3" t="s">
        <v>62</v>
      </c>
      <c r="I3015" s="3" t="s">
        <v>62</v>
      </c>
      <c r="J3015" s="3" t="s">
        <v>62</v>
      </c>
      <c r="K3015" s="3" t="s">
        <v>63</v>
      </c>
      <c r="L3015" s="2" t="s">
        <v>29587</v>
      </c>
      <c r="M3015" s="2" t="s">
        <v>29588</v>
      </c>
      <c r="N3015" s="3" t="s">
        <v>820</v>
      </c>
      <c r="P3015" s="3" t="s">
        <v>65</v>
      </c>
      <c r="Q3015" s="2" t="s">
        <v>29589</v>
      </c>
      <c r="R3015" s="3" t="s">
        <v>66</v>
      </c>
      <c r="S3015" s="4">
        <v>2</v>
      </c>
      <c r="T3015" s="4">
        <v>2</v>
      </c>
      <c r="U3015" s="5" t="s">
        <v>4315</v>
      </c>
      <c r="V3015" s="5" t="s">
        <v>4315</v>
      </c>
      <c r="W3015" s="5" t="s">
        <v>67</v>
      </c>
      <c r="X3015" s="5" t="s">
        <v>67</v>
      </c>
      <c r="Y3015" s="4">
        <v>70</v>
      </c>
      <c r="Z3015" s="4">
        <v>8</v>
      </c>
      <c r="AA3015" s="4">
        <v>90</v>
      </c>
      <c r="AB3015" s="4">
        <v>1</v>
      </c>
      <c r="AC3015" s="4">
        <v>17</v>
      </c>
      <c r="AD3015" s="4">
        <v>26</v>
      </c>
      <c r="AE3015" s="4">
        <v>90</v>
      </c>
      <c r="AF3015" s="4">
        <v>0</v>
      </c>
      <c r="AG3015" s="4">
        <v>8</v>
      </c>
      <c r="AH3015" s="4">
        <v>24</v>
      </c>
      <c r="AI3015" s="4">
        <v>58</v>
      </c>
      <c r="AJ3015" s="4">
        <v>5</v>
      </c>
      <c r="AK3015" s="4">
        <v>18</v>
      </c>
      <c r="AL3015" s="4">
        <v>14</v>
      </c>
      <c r="AM3015" s="4">
        <v>28</v>
      </c>
      <c r="AN3015" s="4">
        <v>0</v>
      </c>
      <c r="AO3015" s="4">
        <v>0</v>
      </c>
      <c r="AP3015" s="4">
        <v>6</v>
      </c>
      <c r="AQ3015" s="4">
        <v>39</v>
      </c>
      <c r="AR3015" s="3" t="s">
        <v>62</v>
      </c>
      <c r="AS3015" s="3" t="s">
        <v>62</v>
      </c>
      <c r="AT3015" s="3" t="s">
        <v>62</v>
      </c>
      <c r="AV3015" s="6" t="str">
        <f>HYPERLINK("http://mcgill.on.worldcat.org/oclc/212628057","Catalog Record")</f>
        <v>Catalog Record</v>
      </c>
      <c r="AW3015" s="6" t="str">
        <f>HYPERLINK("http://www.worldcat.org/oclc/212628057","WorldCat Record")</f>
        <v>WorldCat Record</v>
      </c>
      <c r="AX3015" s="3" t="s">
        <v>29590</v>
      </c>
      <c r="AY3015" s="3" t="s">
        <v>29591</v>
      </c>
      <c r="AZ3015" s="3" t="s">
        <v>29592</v>
      </c>
      <c r="BA3015" s="3" t="s">
        <v>29592</v>
      </c>
      <c r="BB3015" s="3" t="s">
        <v>29593</v>
      </c>
      <c r="BC3015" s="3" t="s">
        <v>142</v>
      </c>
      <c r="BD3015" s="3" t="s">
        <v>68</v>
      </c>
      <c r="BE3015" s="3" t="s">
        <v>29594</v>
      </c>
      <c r="BF3015" s="3" t="s">
        <v>29593</v>
      </c>
      <c r="BG3015" s="3" t="s">
        <v>29595</v>
      </c>
    </row>
    <row r="3016" spans="1:59" ht="57" x14ac:dyDescent="0.45">
      <c r="A3016" s="2" t="s">
        <v>59</v>
      </c>
      <c r="B3016" s="2" t="s">
        <v>60</v>
      </c>
      <c r="C3016" s="2" t="s">
        <v>29596</v>
      </c>
      <c r="D3016" s="2" t="s">
        <v>29597</v>
      </c>
      <c r="E3016" s="2" t="s">
        <v>29598</v>
      </c>
      <c r="G3016" s="3" t="s">
        <v>62</v>
      </c>
      <c r="I3016" s="3" t="s">
        <v>62</v>
      </c>
      <c r="J3016" s="3" t="s">
        <v>62</v>
      </c>
      <c r="K3016" s="3" t="s">
        <v>63</v>
      </c>
      <c r="L3016" s="2" t="s">
        <v>29599</v>
      </c>
      <c r="M3016" s="2" t="s">
        <v>1178</v>
      </c>
      <c r="N3016" s="3" t="s">
        <v>894</v>
      </c>
      <c r="P3016" s="3" t="s">
        <v>65</v>
      </c>
      <c r="Q3016" s="2" t="s">
        <v>29600</v>
      </c>
      <c r="R3016" s="3" t="s">
        <v>66</v>
      </c>
      <c r="S3016" s="4">
        <v>1</v>
      </c>
      <c r="T3016" s="4">
        <v>1</v>
      </c>
      <c r="U3016" s="5" t="s">
        <v>29601</v>
      </c>
      <c r="V3016" s="5" t="s">
        <v>29601</v>
      </c>
      <c r="W3016" s="5" t="s">
        <v>67</v>
      </c>
      <c r="X3016" s="5" t="s">
        <v>67</v>
      </c>
      <c r="Y3016" s="4">
        <v>38</v>
      </c>
      <c r="Z3016" s="4">
        <v>4</v>
      </c>
      <c r="AA3016" s="4">
        <v>88</v>
      </c>
      <c r="AB3016" s="4">
        <v>1</v>
      </c>
      <c r="AC3016" s="4">
        <v>17</v>
      </c>
      <c r="AD3016" s="4">
        <v>15</v>
      </c>
      <c r="AE3016" s="4">
        <v>101</v>
      </c>
      <c r="AF3016" s="4">
        <v>0</v>
      </c>
      <c r="AG3016" s="4">
        <v>8</v>
      </c>
      <c r="AH3016" s="4">
        <v>15</v>
      </c>
      <c r="AI3016" s="4">
        <v>67</v>
      </c>
      <c r="AJ3016" s="4">
        <v>3</v>
      </c>
      <c r="AK3016" s="4">
        <v>19</v>
      </c>
      <c r="AL3016" s="4">
        <v>8</v>
      </c>
      <c r="AM3016" s="4">
        <v>34</v>
      </c>
      <c r="AN3016" s="4">
        <v>0</v>
      </c>
      <c r="AO3016" s="4">
        <v>0</v>
      </c>
      <c r="AP3016" s="4">
        <v>3</v>
      </c>
      <c r="AQ3016" s="4">
        <v>40</v>
      </c>
      <c r="AR3016" s="3" t="s">
        <v>62</v>
      </c>
      <c r="AS3016" s="3" t="s">
        <v>62</v>
      </c>
      <c r="AT3016" s="3" t="s">
        <v>62</v>
      </c>
      <c r="AV3016" s="6" t="str">
        <f>HYPERLINK("http://mcgill.on.worldcat.org/oclc/733755710","Catalog Record")</f>
        <v>Catalog Record</v>
      </c>
      <c r="AW3016" s="6" t="str">
        <f>HYPERLINK("http://www.worldcat.org/oclc/733755710","WorldCat Record")</f>
        <v>WorldCat Record</v>
      </c>
      <c r="AX3016" s="3" t="s">
        <v>29602</v>
      </c>
      <c r="AY3016" s="3" t="s">
        <v>29603</v>
      </c>
      <c r="AZ3016" s="3" t="s">
        <v>29604</v>
      </c>
      <c r="BA3016" s="3" t="s">
        <v>29604</v>
      </c>
      <c r="BB3016" s="3" t="s">
        <v>29605</v>
      </c>
      <c r="BC3016" s="3" t="s">
        <v>142</v>
      </c>
      <c r="BD3016" s="3" t="s">
        <v>68</v>
      </c>
      <c r="BE3016" s="3" t="s">
        <v>29606</v>
      </c>
      <c r="BF3016" s="3" t="s">
        <v>29605</v>
      </c>
      <c r="BG3016" s="3" t="s">
        <v>29607</v>
      </c>
    </row>
    <row r="3017" spans="1:59" ht="71.25" x14ac:dyDescent="0.45">
      <c r="A3017" s="2" t="s">
        <v>59</v>
      </c>
      <c r="B3017" s="2" t="s">
        <v>60</v>
      </c>
      <c r="C3017" s="2" t="s">
        <v>29608</v>
      </c>
      <c r="D3017" s="2" t="s">
        <v>29609</v>
      </c>
      <c r="E3017" s="2" t="s">
        <v>29610</v>
      </c>
      <c r="G3017" s="3" t="s">
        <v>62</v>
      </c>
      <c r="I3017" s="3" t="s">
        <v>62</v>
      </c>
      <c r="J3017" s="3" t="s">
        <v>62</v>
      </c>
      <c r="K3017" s="3" t="s">
        <v>63</v>
      </c>
      <c r="M3017" s="2" t="s">
        <v>29611</v>
      </c>
      <c r="N3017" s="3" t="s">
        <v>208</v>
      </c>
      <c r="P3017" s="3" t="s">
        <v>326</v>
      </c>
      <c r="Q3017" s="2" t="s">
        <v>29612</v>
      </c>
      <c r="R3017" s="3" t="s">
        <v>66</v>
      </c>
      <c r="S3017" s="4">
        <v>0</v>
      </c>
      <c r="T3017" s="4">
        <v>0</v>
      </c>
      <c r="W3017" s="5" t="s">
        <v>67</v>
      </c>
      <c r="X3017" s="5" t="s">
        <v>67</v>
      </c>
      <c r="Y3017" s="4">
        <v>5</v>
      </c>
      <c r="Z3017" s="4">
        <v>1</v>
      </c>
      <c r="AA3017" s="4">
        <v>1</v>
      </c>
      <c r="AB3017" s="4">
        <v>1</v>
      </c>
      <c r="AC3017" s="4">
        <v>1</v>
      </c>
      <c r="AD3017" s="4">
        <v>3</v>
      </c>
      <c r="AE3017" s="4">
        <v>3</v>
      </c>
      <c r="AF3017" s="4">
        <v>0</v>
      </c>
      <c r="AG3017" s="4">
        <v>0</v>
      </c>
      <c r="AH3017" s="4">
        <v>3</v>
      </c>
      <c r="AI3017" s="4">
        <v>3</v>
      </c>
      <c r="AJ3017" s="4">
        <v>0</v>
      </c>
      <c r="AK3017" s="4">
        <v>0</v>
      </c>
      <c r="AL3017" s="4">
        <v>3</v>
      </c>
      <c r="AM3017" s="4">
        <v>3</v>
      </c>
      <c r="AN3017" s="4">
        <v>0</v>
      </c>
      <c r="AO3017" s="4">
        <v>0</v>
      </c>
      <c r="AP3017" s="4">
        <v>0</v>
      </c>
      <c r="AQ3017" s="4">
        <v>0</v>
      </c>
      <c r="AR3017" s="3" t="s">
        <v>62</v>
      </c>
      <c r="AS3017" s="3" t="s">
        <v>62</v>
      </c>
      <c r="AT3017" s="3" t="s">
        <v>62</v>
      </c>
      <c r="AV3017" s="6" t="str">
        <f>HYPERLINK("http://mcgill.on.worldcat.org/oclc/961098026","Catalog Record")</f>
        <v>Catalog Record</v>
      </c>
      <c r="AW3017" s="6" t="str">
        <f>HYPERLINK("http://www.worldcat.org/oclc/961098026","WorldCat Record")</f>
        <v>WorldCat Record</v>
      </c>
      <c r="AX3017" s="3" t="s">
        <v>29613</v>
      </c>
      <c r="AY3017" s="3" t="s">
        <v>29614</v>
      </c>
      <c r="AZ3017" s="3" t="s">
        <v>29615</v>
      </c>
      <c r="BA3017" s="3" t="s">
        <v>29615</v>
      </c>
      <c r="BB3017" s="3" t="s">
        <v>29616</v>
      </c>
      <c r="BC3017" s="3" t="s">
        <v>142</v>
      </c>
      <c r="BD3017" s="3" t="s">
        <v>68</v>
      </c>
      <c r="BE3017" s="3" t="s">
        <v>29617</v>
      </c>
      <c r="BF3017" s="3" t="s">
        <v>29616</v>
      </c>
      <c r="BG3017" s="3" t="s">
        <v>29618</v>
      </c>
    </row>
    <row r="3018" spans="1:59" ht="57" x14ac:dyDescent="0.45">
      <c r="A3018" s="2" t="s">
        <v>59</v>
      </c>
      <c r="B3018" s="2" t="s">
        <v>60</v>
      </c>
      <c r="C3018" s="2" t="s">
        <v>29619</v>
      </c>
      <c r="D3018" s="2" t="s">
        <v>29620</v>
      </c>
      <c r="E3018" s="2" t="s">
        <v>29621</v>
      </c>
      <c r="G3018" s="3" t="s">
        <v>62</v>
      </c>
      <c r="I3018" s="3" t="s">
        <v>62</v>
      </c>
      <c r="J3018" s="3" t="s">
        <v>62</v>
      </c>
      <c r="K3018" s="3" t="s">
        <v>63</v>
      </c>
      <c r="L3018" s="2" t="s">
        <v>29622</v>
      </c>
      <c r="M3018" s="2" t="s">
        <v>17653</v>
      </c>
      <c r="N3018" s="3" t="s">
        <v>1688</v>
      </c>
      <c r="P3018" s="3" t="s">
        <v>65</v>
      </c>
      <c r="R3018" s="3" t="s">
        <v>66</v>
      </c>
      <c r="S3018" s="4">
        <v>7</v>
      </c>
      <c r="T3018" s="4">
        <v>7</v>
      </c>
      <c r="U3018" s="5" t="s">
        <v>19032</v>
      </c>
      <c r="V3018" s="5" t="s">
        <v>19032</v>
      </c>
      <c r="W3018" s="5" t="s">
        <v>67</v>
      </c>
      <c r="X3018" s="5" t="s">
        <v>67</v>
      </c>
      <c r="Y3018" s="4">
        <v>90</v>
      </c>
      <c r="Z3018" s="4">
        <v>9</v>
      </c>
      <c r="AA3018" s="4">
        <v>14</v>
      </c>
      <c r="AB3018" s="4">
        <v>1</v>
      </c>
      <c r="AC3018" s="4">
        <v>5</v>
      </c>
      <c r="AD3018" s="4">
        <v>19</v>
      </c>
      <c r="AE3018" s="4">
        <v>25</v>
      </c>
      <c r="AF3018" s="4">
        <v>0</v>
      </c>
      <c r="AG3018" s="4">
        <v>1</v>
      </c>
      <c r="AH3018" s="4">
        <v>17</v>
      </c>
      <c r="AI3018" s="4">
        <v>23</v>
      </c>
      <c r="AJ3018" s="4">
        <v>5</v>
      </c>
      <c r="AK3018" s="4">
        <v>7</v>
      </c>
      <c r="AL3018" s="4">
        <v>7</v>
      </c>
      <c r="AM3018" s="4">
        <v>9</v>
      </c>
      <c r="AN3018" s="4">
        <v>0</v>
      </c>
      <c r="AO3018" s="4">
        <v>0</v>
      </c>
      <c r="AP3018" s="4">
        <v>6</v>
      </c>
      <c r="AQ3018" s="4">
        <v>8</v>
      </c>
      <c r="AR3018" s="3" t="s">
        <v>62</v>
      </c>
      <c r="AS3018" s="3" t="s">
        <v>62</v>
      </c>
      <c r="AT3018" s="3" t="s">
        <v>62</v>
      </c>
      <c r="AV3018" s="6" t="str">
        <f>HYPERLINK("http://mcgill.on.worldcat.org/oclc/862589609","Catalog Record")</f>
        <v>Catalog Record</v>
      </c>
      <c r="AW3018" s="6" t="str">
        <f>HYPERLINK("http://www.worldcat.org/oclc/862589609","WorldCat Record")</f>
        <v>WorldCat Record</v>
      </c>
      <c r="AX3018" s="3" t="s">
        <v>29623</v>
      </c>
      <c r="AY3018" s="3" t="s">
        <v>29624</v>
      </c>
      <c r="AZ3018" s="3" t="s">
        <v>29625</v>
      </c>
      <c r="BA3018" s="3" t="s">
        <v>29625</v>
      </c>
      <c r="BB3018" s="3" t="s">
        <v>29626</v>
      </c>
      <c r="BC3018" s="3" t="s">
        <v>142</v>
      </c>
      <c r="BD3018" s="3" t="s">
        <v>68</v>
      </c>
      <c r="BE3018" s="3" t="s">
        <v>29627</v>
      </c>
      <c r="BF3018" s="3" t="s">
        <v>29626</v>
      </c>
      <c r="BG3018" s="3" t="s">
        <v>29628</v>
      </c>
    </row>
    <row r="3019" spans="1:59" ht="57" x14ac:dyDescent="0.45">
      <c r="A3019" s="2" t="s">
        <v>59</v>
      </c>
      <c r="B3019" s="2" t="s">
        <v>60</v>
      </c>
      <c r="C3019" s="2" t="s">
        <v>29629</v>
      </c>
      <c r="D3019" s="2" t="s">
        <v>29630</v>
      </c>
      <c r="E3019" s="2" t="s">
        <v>29631</v>
      </c>
      <c r="G3019" s="3" t="s">
        <v>62</v>
      </c>
      <c r="I3019" s="3" t="s">
        <v>62</v>
      </c>
      <c r="J3019" s="3" t="s">
        <v>62</v>
      </c>
      <c r="K3019" s="3" t="s">
        <v>63</v>
      </c>
      <c r="L3019" s="2" t="s">
        <v>29632</v>
      </c>
      <c r="M3019" s="2" t="s">
        <v>29633</v>
      </c>
      <c r="N3019" s="3" t="s">
        <v>894</v>
      </c>
      <c r="P3019" s="3" t="s">
        <v>65</v>
      </c>
      <c r="Q3019" s="2" t="s">
        <v>29634</v>
      </c>
      <c r="R3019" s="3" t="s">
        <v>66</v>
      </c>
      <c r="S3019" s="4">
        <v>0</v>
      </c>
      <c r="T3019" s="4">
        <v>0</v>
      </c>
      <c r="W3019" s="5" t="s">
        <v>67</v>
      </c>
      <c r="X3019" s="5" t="s">
        <v>67</v>
      </c>
      <c r="Y3019" s="4">
        <v>85</v>
      </c>
      <c r="Z3019" s="4">
        <v>16</v>
      </c>
      <c r="AA3019" s="4">
        <v>78</v>
      </c>
      <c r="AB3019" s="4">
        <v>1</v>
      </c>
      <c r="AC3019" s="4">
        <v>14</v>
      </c>
      <c r="AD3019" s="4">
        <v>41</v>
      </c>
      <c r="AE3019" s="4">
        <v>95</v>
      </c>
      <c r="AF3019" s="4">
        <v>0</v>
      </c>
      <c r="AG3019" s="4">
        <v>8</v>
      </c>
      <c r="AH3019" s="4">
        <v>38</v>
      </c>
      <c r="AI3019" s="4">
        <v>64</v>
      </c>
      <c r="AJ3019" s="4">
        <v>12</v>
      </c>
      <c r="AK3019" s="4">
        <v>21</v>
      </c>
      <c r="AL3019" s="4">
        <v>17</v>
      </c>
      <c r="AM3019" s="4">
        <v>31</v>
      </c>
      <c r="AN3019" s="4">
        <v>0</v>
      </c>
      <c r="AO3019" s="4">
        <v>0</v>
      </c>
      <c r="AP3019" s="4">
        <v>13</v>
      </c>
      <c r="AQ3019" s="4">
        <v>41</v>
      </c>
      <c r="AR3019" s="3" t="s">
        <v>62</v>
      </c>
      <c r="AS3019" s="3" t="s">
        <v>62</v>
      </c>
      <c r="AT3019" s="3" t="s">
        <v>62</v>
      </c>
      <c r="AV3019" s="6" t="str">
        <f>HYPERLINK("http://mcgill.on.worldcat.org/oclc/727047919","Catalog Record")</f>
        <v>Catalog Record</v>
      </c>
      <c r="AW3019" s="6" t="str">
        <f>HYPERLINK("http://www.worldcat.org/oclc/727047919","WorldCat Record")</f>
        <v>WorldCat Record</v>
      </c>
      <c r="AX3019" s="3" t="s">
        <v>29635</v>
      </c>
      <c r="AY3019" s="3" t="s">
        <v>29636</v>
      </c>
      <c r="AZ3019" s="3" t="s">
        <v>29637</v>
      </c>
      <c r="BA3019" s="3" t="s">
        <v>29637</v>
      </c>
      <c r="BB3019" s="3" t="s">
        <v>29638</v>
      </c>
      <c r="BC3019" s="3" t="s">
        <v>142</v>
      </c>
      <c r="BD3019" s="3" t="s">
        <v>68</v>
      </c>
      <c r="BE3019" s="3" t="s">
        <v>29639</v>
      </c>
      <c r="BF3019" s="3" t="s">
        <v>29638</v>
      </c>
      <c r="BG3019" s="3" t="s">
        <v>29640</v>
      </c>
    </row>
    <row r="3020" spans="1:59" ht="57" x14ac:dyDescent="0.45">
      <c r="A3020" s="2" t="s">
        <v>59</v>
      </c>
      <c r="B3020" s="2" t="s">
        <v>60</v>
      </c>
      <c r="C3020" s="2" t="s">
        <v>29641</v>
      </c>
      <c r="D3020" s="2" t="s">
        <v>29642</v>
      </c>
      <c r="E3020" s="2" t="s">
        <v>29643</v>
      </c>
      <c r="G3020" s="3" t="s">
        <v>62</v>
      </c>
      <c r="I3020" s="3" t="s">
        <v>62</v>
      </c>
      <c r="J3020" s="3" t="s">
        <v>62</v>
      </c>
      <c r="K3020" s="3" t="s">
        <v>63</v>
      </c>
      <c r="L3020" s="2" t="s">
        <v>29644</v>
      </c>
      <c r="M3020" s="2" t="s">
        <v>29645</v>
      </c>
      <c r="N3020" s="3" t="s">
        <v>1688</v>
      </c>
      <c r="P3020" s="3" t="s">
        <v>65</v>
      </c>
      <c r="Q3020" s="2" t="s">
        <v>29646</v>
      </c>
      <c r="R3020" s="3" t="s">
        <v>66</v>
      </c>
      <c r="S3020" s="4">
        <v>0</v>
      </c>
      <c r="T3020" s="4">
        <v>0</v>
      </c>
      <c r="W3020" s="5" t="s">
        <v>67</v>
      </c>
      <c r="X3020" s="5" t="s">
        <v>67</v>
      </c>
      <c r="Y3020" s="4">
        <v>70</v>
      </c>
      <c r="Z3020" s="4">
        <v>9</v>
      </c>
      <c r="AA3020" s="4">
        <v>9</v>
      </c>
      <c r="AB3020" s="4">
        <v>1</v>
      </c>
      <c r="AC3020" s="4">
        <v>1</v>
      </c>
      <c r="AD3020" s="4">
        <v>29</v>
      </c>
      <c r="AE3020" s="4">
        <v>29</v>
      </c>
      <c r="AF3020" s="4">
        <v>0</v>
      </c>
      <c r="AG3020" s="4">
        <v>0</v>
      </c>
      <c r="AH3020" s="4">
        <v>29</v>
      </c>
      <c r="AI3020" s="4">
        <v>29</v>
      </c>
      <c r="AJ3020" s="4">
        <v>6</v>
      </c>
      <c r="AK3020" s="4">
        <v>6</v>
      </c>
      <c r="AL3020" s="4">
        <v>19</v>
      </c>
      <c r="AM3020" s="4">
        <v>19</v>
      </c>
      <c r="AN3020" s="4">
        <v>0</v>
      </c>
      <c r="AO3020" s="4">
        <v>0</v>
      </c>
      <c r="AP3020" s="4">
        <v>6</v>
      </c>
      <c r="AQ3020" s="4">
        <v>6</v>
      </c>
      <c r="AR3020" s="3" t="s">
        <v>62</v>
      </c>
      <c r="AS3020" s="3" t="s">
        <v>62</v>
      </c>
      <c r="AT3020" s="3" t="s">
        <v>62</v>
      </c>
      <c r="AV3020" s="6" t="str">
        <f>HYPERLINK("http://mcgill.on.worldcat.org/oclc/870847751","Catalog Record")</f>
        <v>Catalog Record</v>
      </c>
      <c r="AW3020" s="6" t="str">
        <f>HYPERLINK("http://www.worldcat.org/oclc/870847751","WorldCat Record")</f>
        <v>WorldCat Record</v>
      </c>
      <c r="AX3020" s="3" t="s">
        <v>29647</v>
      </c>
      <c r="AY3020" s="3" t="s">
        <v>29648</v>
      </c>
      <c r="AZ3020" s="3" t="s">
        <v>29649</v>
      </c>
      <c r="BA3020" s="3" t="s">
        <v>29649</v>
      </c>
      <c r="BB3020" s="3" t="s">
        <v>29650</v>
      </c>
      <c r="BC3020" s="3" t="s">
        <v>142</v>
      </c>
      <c r="BD3020" s="3" t="s">
        <v>68</v>
      </c>
      <c r="BE3020" s="3" t="s">
        <v>29651</v>
      </c>
      <c r="BF3020" s="3" t="s">
        <v>29650</v>
      </c>
      <c r="BG3020" s="3" t="s">
        <v>29652</v>
      </c>
    </row>
    <row r="3021" spans="1:59" ht="57" x14ac:dyDescent="0.45">
      <c r="A3021" s="2" t="s">
        <v>59</v>
      </c>
      <c r="B3021" s="2" t="s">
        <v>60</v>
      </c>
      <c r="C3021" s="2" t="s">
        <v>29653</v>
      </c>
      <c r="D3021" s="2" t="s">
        <v>29654</v>
      </c>
      <c r="E3021" s="2" t="s">
        <v>29655</v>
      </c>
      <c r="G3021" s="3" t="s">
        <v>62</v>
      </c>
      <c r="I3021" s="3" t="s">
        <v>62</v>
      </c>
      <c r="J3021" s="3" t="s">
        <v>62</v>
      </c>
      <c r="K3021" s="3" t="s">
        <v>63</v>
      </c>
      <c r="M3021" s="2" t="s">
        <v>6141</v>
      </c>
      <c r="N3021" s="3" t="s">
        <v>894</v>
      </c>
      <c r="P3021" s="3" t="s">
        <v>65</v>
      </c>
      <c r="Q3021" s="2" t="s">
        <v>29656</v>
      </c>
      <c r="R3021" s="3" t="s">
        <v>66</v>
      </c>
      <c r="S3021" s="4">
        <v>1</v>
      </c>
      <c r="T3021" s="4">
        <v>1</v>
      </c>
      <c r="U3021" s="5" t="s">
        <v>12304</v>
      </c>
      <c r="V3021" s="5" t="s">
        <v>12304</v>
      </c>
      <c r="W3021" s="5" t="s">
        <v>67</v>
      </c>
      <c r="X3021" s="5" t="s">
        <v>67</v>
      </c>
      <c r="Y3021" s="4">
        <v>113</v>
      </c>
      <c r="Z3021" s="4">
        <v>11</v>
      </c>
      <c r="AA3021" s="4">
        <v>77</v>
      </c>
      <c r="AB3021" s="4">
        <v>1</v>
      </c>
      <c r="AC3021" s="4">
        <v>15</v>
      </c>
      <c r="AD3021" s="4">
        <v>49</v>
      </c>
      <c r="AE3021" s="4">
        <v>113</v>
      </c>
      <c r="AF3021" s="4">
        <v>0</v>
      </c>
      <c r="AG3021" s="4">
        <v>8</v>
      </c>
      <c r="AH3021" s="4">
        <v>48</v>
      </c>
      <c r="AI3021" s="4">
        <v>81</v>
      </c>
      <c r="AJ3021" s="4">
        <v>9</v>
      </c>
      <c r="AK3021" s="4">
        <v>21</v>
      </c>
      <c r="AL3021" s="4">
        <v>25</v>
      </c>
      <c r="AM3021" s="4">
        <v>40</v>
      </c>
      <c r="AN3021" s="4">
        <v>0</v>
      </c>
      <c r="AO3021" s="4">
        <v>0</v>
      </c>
      <c r="AP3021" s="4">
        <v>9</v>
      </c>
      <c r="AQ3021" s="4">
        <v>40</v>
      </c>
      <c r="AR3021" s="3" t="s">
        <v>62</v>
      </c>
      <c r="AS3021" s="3" t="s">
        <v>62</v>
      </c>
      <c r="AT3021" s="3" t="s">
        <v>62</v>
      </c>
      <c r="AV3021" s="6" t="str">
        <f>HYPERLINK("http://mcgill.on.worldcat.org/oclc/667871883","Catalog Record")</f>
        <v>Catalog Record</v>
      </c>
      <c r="AW3021" s="6" t="str">
        <f>HYPERLINK("http://www.worldcat.org/oclc/667871883","WorldCat Record")</f>
        <v>WorldCat Record</v>
      </c>
      <c r="AX3021" s="3" t="s">
        <v>29657</v>
      </c>
      <c r="AY3021" s="3" t="s">
        <v>29658</v>
      </c>
      <c r="AZ3021" s="3" t="s">
        <v>29659</v>
      </c>
      <c r="BA3021" s="3" t="s">
        <v>29659</v>
      </c>
      <c r="BB3021" s="3" t="s">
        <v>29660</v>
      </c>
      <c r="BC3021" s="3" t="s">
        <v>142</v>
      </c>
      <c r="BD3021" s="3" t="s">
        <v>68</v>
      </c>
      <c r="BE3021" s="3" t="s">
        <v>29661</v>
      </c>
      <c r="BF3021" s="3" t="s">
        <v>29660</v>
      </c>
      <c r="BG3021" s="3" t="s">
        <v>29662</v>
      </c>
    </row>
    <row r="3022" spans="1:59" ht="57" x14ac:dyDescent="0.45">
      <c r="A3022" s="2" t="s">
        <v>59</v>
      </c>
      <c r="B3022" s="2" t="s">
        <v>60</v>
      </c>
      <c r="C3022" s="2" t="s">
        <v>29663</v>
      </c>
      <c r="D3022" s="2" t="s">
        <v>29664</v>
      </c>
      <c r="E3022" s="2" t="s">
        <v>29665</v>
      </c>
      <c r="G3022" s="3" t="s">
        <v>62</v>
      </c>
      <c r="I3022" s="3" t="s">
        <v>62</v>
      </c>
      <c r="J3022" s="3" t="s">
        <v>62</v>
      </c>
      <c r="K3022" s="3" t="s">
        <v>63</v>
      </c>
      <c r="M3022" s="2" t="s">
        <v>12999</v>
      </c>
      <c r="N3022" s="3" t="s">
        <v>116</v>
      </c>
      <c r="P3022" s="3" t="s">
        <v>65</v>
      </c>
      <c r="Q3022" s="2" t="s">
        <v>29666</v>
      </c>
      <c r="R3022" s="3" t="s">
        <v>66</v>
      </c>
      <c r="S3022" s="4">
        <v>4</v>
      </c>
      <c r="T3022" s="4">
        <v>4</v>
      </c>
      <c r="U3022" s="5" t="s">
        <v>15414</v>
      </c>
      <c r="V3022" s="5" t="s">
        <v>15414</v>
      </c>
      <c r="W3022" s="5" t="s">
        <v>67</v>
      </c>
      <c r="X3022" s="5" t="s">
        <v>67</v>
      </c>
      <c r="Y3022" s="4">
        <v>75</v>
      </c>
      <c r="Z3022" s="4">
        <v>5</v>
      </c>
      <c r="AA3022" s="4">
        <v>14</v>
      </c>
      <c r="AB3022" s="4">
        <v>1</v>
      </c>
      <c r="AC3022" s="4">
        <v>7</v>
      </c>
      <c r="AD3022" s="4">
        <v>26</v>
      </c>
      <c r="AE3022" s="4">
        <v>40</v>
      </c>
      <c r="AF3022" s="4">
        <v>0</v>
      </c>
      <c r="AG3022" s="4">
        <v>3</v>
      </c>
      <c r="AH3022" s="4">
        <v>25</v>
      </c>
      <c r="AI3022" s="4">
        <v>35</v>
      </c>
      <c r="AJ3022" s="4">
        <v>3</v>
      </c>
      <c r="AK3022" s="4">
        <v>9</v>
      </c>
      <c r="AL3022" s="4">
        <v>19</v>
      </c>
      <c r="AM3022" s="4">
        <v>23</v>
      </c>
      <c r="AN3022" s="4">
        <v>0</v>
      </c>
      <c r="AO3022" s="4">
        <v>0</v>
      </c>
      <c r="AP3022" s="4">
        <v>3</v>
      </c>
      <c r="AQ3022" s="4">
        <v>8</v>
      </c>
      <c r="AR3022" s="3" t="s">
        <v>62</v>
      </c>
      <c r="AS3022" s="3" t="s">
        <v>62</v>
      </c>
      <c r="AT3022" s="3" t="s">
        <v>62</v>
      </c>
      <c r="AV3022" s="6" t="str">
        <f>HYPERLINK("http://mcgill.on.worldcat.org/oclc/752072370","Catalog Record")</f>
        <v>Catalog Record</v>
      </c>
      <c r="AW3022" s="6" t="str">
        <f>HYPERLINK("http://www.worldcat.org/oclc/752072370","WorldCat Record")</f>
        <v>WorldCat Record</v>
      </c>
      <c r="AX3022" s="3" t="s">
        <v>29667</v>
      </c>
      <c r="AY3022" s="3" t="s">
        <v>29668</v>
      </c>
      <c r="AZ3022" s="3" t="s">
        <v>29669</v>
      </c>
      <c r="BA3022" s="3" t="s">
        <v>29669</v>
      </c>
      <c r="BB3022" s="3" t="s">
        <v>29670</v>
      </c>
      <c r="BC3022" s="3" t="s">
        <v>142</v>
      </c>
      <c r="BD3022" s="3" t="s">
        <v>68</v>
      </c>
      <c r="BE3022" s="3" t="s">
        <v>29671</v>
      </c>
      <c r="BF3022" s="3" t="s">
        <v>29670</v>
      </c>
      <c r="BG3022" s="3" t="s">
        <v>29672</v>
      </c>
    </row>
    <row r="3023" spans="1:59" ht="57" x14ac:dyDescent="0.45">
      <c r="A3023" s="2" t="s">
        <v>59</v>
      </c>
      <c r="B3023" s="2" t="s">
        <v>60</v>
      </c>
      <c r="C3023" s="2" t="s">
        <v>29673</v>
      </c>
      <c r="D3023" s="2" t="s">
        <v>29674</v>
      </c>
      <c r="E3023" s="2" t="s">
        <v>29675</v>
      </c>
      <c r="G3023" s="3" t="s">
        <v>62</v>
      </c>
      <c r="I3023" s="3" t="s">
        <v>62</v>
      </c>
      <c r="J3023" s="3" t="s">
        <v>62</v>
      </c>
      <c r="K3023" s="3" t="s">
        <v>63</v>
      </c>
      <c r="M3023" s="2" t="s">
        <v>9755</v>
      </c>
      <c r="N3023" s="3" t="s">
        <v>894</v>
      </c>
      <c r="P3023" s="3" t="s">
        <v>65</v>
      </c>
      <c r="Q3023" s="2" t="s">
        <v>29676</v>
      </c>
      <c r="R3023" s="3" t="s">
        <v>66</v>
      </c>
      <c r="S3023" s="4">
        <v>2</v>
      </c>
      <c r="T3023" s="4">
        <v>2</v>
      </c>
      <c r="U3023" s="5" t="s">
        <v>1393</v>
      </c>
      <c r="V3023" s="5" t="s">
        <v>1393</v>
      </c>
      <c r="W3023" s="5" t="s">
        <v>67</v>
      </c>
      <c r="X3023" s="5" t="s">
        <v>67</v>
      </c>
      <c r="Y3023" s="4">
        <v>70</v>
      </c>
      <c r="Z3023" s="4">
        <v>6</v>
      </c>
      <c r="AA3023" s="4">
        <v>16</v>
      </c>
      <c r="AB3023" s="4">
        <v>1</v>
      </c>
      <c r="AC3023" s="4">
        <v>4</v>
      </c>
      <c r="AD3023" s="4">
        <v>34</v>
      </c>
      <c r="AE3023" s="4">
        <v>49</v>
      </c>
      <c r="AF3023" s="4">
        <v>0</v>
      </c>
      <c r="AG3023" s="4">
        <v>1</v>
      </c>
      <c r="AH3023" s="4">
        <v>33</v>
      </c>
      <c r="AI3023" s="4">
        <v>45</v>
      </c>
      <c r="AJ3023" s="4">
        <v>5</v>
      </c>
      <c r="AK3023" s="4">
        <v>9</v>
      </c>
      <c r="AL3023" s="4">
        <v>18</v>
      </c>
      <c r="AM3023" s="4">
        <v>27</v>
      </c>
      <c r="AN3023" s="4">
        <v>0</v>
      </c>
      <c r="AO3023" s="4">
        <v>0</v>
      </c>
      <c r="AP3023" s="4">
        <v>5</v>
      </c>
      <c r="AQ3023" s="4">
        <v>9</v>
      </c>
      <c r="AR3023" s="3" t="s">
        <v>62</v>
      </c>
      <c r="AS3023" s="3" t="s">
        <v>62</v>
      </c>
      <c r="AT3023" s="3" t="s">
        <v>62</v>
      </c>
      <c r="AV3023" s="6" t="str">
        <f>HYPERLINK("http://mcgill.on.worldcat.org/oclc/526106558","Catalog Record")</f>
        <v>Catalog Record</v>
      </c>
      <c r="AW3023" s="6" t="str">
        <f>HYPERLINK("http://www.worldcat.org/oclc/526106558","WorldCat Record")</f>
        <v>WorldCat Record</v>
      </c>
      <c r="AX3023" s="3" t="s">
        <v>29677</v>
      </c>
      <c r="AY3023" s="3" t="s">
        <v>29678</v>
      </c>
      <c r="AZ3023" s="3" t="s">
        <v>29679</v>
      </c>
      <c r="BA3023" s="3" t="s">
        <v>29679</v>
      </c>
      <c r="BB3023" s="3" t="s">
        <v>29680</v>
      </c>
      <c r="BC3023" s="3" t="s">
        <v>142</v>
      </c>
      <c r="BD3023" s="3" t="s">
        <v>68</v>
      </c>
      <c r="BE3023" s="3" t="s">
        <v>29681</v>
      </c>
      <c r="BF3023" s="3" t="s">
        <v>29680</v>
      </c>
      <c r="BG3023" s="3" t="s">
        <v>29682</v>
      </c>
    </row>
    <row r="3024" spans="1:59" ht="57" x14ac:dyDescent="0.45">
      <c r="A3024" s="2" t="s">
        <v>59</v>
      </c>
      <c r="B3024" s="2" t="s">
        <v>60</v>
      </c>
      <c r="C3024" s="2" t="s">
        <v>29683</v>
      </c>
      <c r="D3024" s="2" t="s">
        <v>29684</v>
      </c>
      <c r="E3024" s="2" t="s">
        <v>29685</v>
      </c>
      <c r="G3024" s="3" t="s">
        <v>62</v>
      </c>
      <c r="I3024" s="3" t="s">
        <v>62</v>
      </c>
      <c r="J3024" s="3" t="s">
        <v>61</v>
      </c>
      <c r="K3024" s="3" t="s">
        <v>63</v>
      </c>
      <c r="M3024" s="2" t="s">
        <v>20575</v>
      </c>
      <c r="N3024" s="3" t="s">
        <v>1465</v>
      </c>
      <c r="P3024" s="3" t="s">
        <v>65</v>
      </c>
      <c r="R3024" s="3" t="s">
        <v>66</v>
      </c>
      <c r="S3024" s="4">
        <v>15</v>
      </c>
      <c r="T3024" s="4">
        <v>15</v>
      </c>
      <c r="U3024" s="5" t="s">
        <v>13218</v>
      </c>
      <c r="V3024" s="5" t="s">
        <v>13218</v>
      </c>
      <c r="W3024" s="5" t="s">
        <v>67</v>
      </c>
      <c r="X3024" s="5" t="s">
        <v>67</v>
      </c>
      <c r="Y3024" s="4">
        <v>187</v>
      </c>
      <c r="Z3024" s="4">
        <v>18</v>
      </c>
      <c r="AA3024" s="4">
        <v>25</v>
      </c>
      <c r="AB3024" s="4">
        <v>2</v>
      </c>
      <c r="AC3024" s="4">
        <v>6</v>
      </c>
      <c r="AD3024" s="4">
        <v>59</v>
      </c>
      <c r="AE3024" s="4">
        <v>78</v>
      </c>
      <c r="AF3024" s="4">
        <v>0</v>
      </c>
      <c r="AG3024" s="4">
        <v>3</v>
      </c>
      <c r="AH3024" s="4">
        <v>51</v>
      </c>
      <c r="AI3024" s="4">
        <v>67</v>
      </c>
      <c r="AJ3024" s="4">
        <v>14</v>
      </c>
      <c r="AK3024" s="4">
        <v>20</v>
      </c>
      <c r="AL3024" s="4">
        <v>32</v>
      </c>
      <c r="AM3024" s="4">
        <v>38</v>
      </c>
      <c r="AN3024" s="4">
        <v>0</v>
      </c>
      <c r="AO3024" s="4">
        <v>0</v>
      </c>
      <c r="AP3024" s="4">
        <v>15</v>
      </c>
      <c r="AQ3024" s="4">
        <v>20</v>
      </c>
      <c r="AR3024" s="3" t="s">
        <v>62</v>
      </c>
      <c r="AS3024" s="3" t="s">
        <v>62</v>
      </c>
      <c r="AT3024" s="3" t="s">
        <v>62</v>
      </c>
      <c r="AV3024" s="6" t="str">
        <f>HYPERLINK("http://mcgill.on.worldcat.org/oclc/244063585","Catalog Record")</f>
        <v>Catalog Record</v>
      </c>
      <c r="AW3024" s="6" t="str">
        <f>HYPERLINK("http://www.worldcat.org/oclc/244063585","WorldCat Record")</f>
        <v>WorldCat Record</v>
      </c>
      <c r="AX3024" s="3" t="s">
        <v>29686</v>
      </c>
      <c r="AY3024" s="3" t="s">
        <v>29687</v>
      </c>
      <c r="AZ3024" s="3" t="s">
        <v>29688</v>
      </c>
      <c r="BA3024" s="3" t="s">
        <v>29688</v>
      </c>
      <c r="BB3024" s="3" t="s">
        <v>29689</v>
      </c>
      <c r="BC3024" s="3" t="s">
        <v>142</v>
      </c>
      <c r="BD3024" s="3" t="s">
        <v>68</v>
      </c>
      <c r="BE3024" s="3" t="s">
        <v>29690</v>
      </c>
      <c r="BF3024" s="3" t="s">
        <v>29689</v>
      </c>
      <c r="BG3024" s="3" t="s">
        <v>29691</v>
      </c>
    </row>
    <row r="3025" spans="1:59" ht="57" x14ac:dyDescent="0.45">
      <c r="A3025" s="2" t="s">
        <v>59</v>
      </c>
      <c r="B3025" s="2" t="s">
        <v>60</v>
      </c>
      <c r="C3025" s="2" t="s">
        <v>29692</v>
      </c>
      <c r="D3025" s="2" t="s">
        <v>29693</v>
      </c>
      <c r="E3025" s="2" t="s">
        <v>29685</v>
      </c>
      <c r="G3025" s="3" t="s">
        <v>62</v>
      </c>
      <c r="I3025" s="3" t="s">
        <v>62</v>
      </c>
      <c r="J3025" s="3" t="s">
        <v>61</v>
      </c>
      <c r="K3025" s="3" t="s">
        <v>63</v>
      </c>
      <c r="M3025" s="2" t="s">
        <v>20797</v>
      </c>
      <c r="N3025" s="3" t="s">
        <v>1688</v>
      </c>
      <c r="O3025" s="2" t="s">
        <v>3280</v>
      </c>
      <c r="P3025" s="3" t="s">
        <v>65</v>
      </c>
      <c r="Q3025" s="2" t="s">
        <v>2536</v>
      </c>
      <c r="R3025" s="3" t="s">
        <v>66</v>
      </c>
      <c r="S3025" s="4">
        <v>5</v>
      </c>
      <c r="T3025" s="4">
        <v>5</v>
      </c>
      <c r="U3025" s="5" t="s">
        <v>15414</v>
      </c>
      <c r="V3025" s="5" t="s">
        <v>15414</v>
      </c>
      <c r="W3025" s="5" t="s">
        <v>67</v>
      </c>
      <c r="X3025" s="5" t="s">
        <v>67</v>
      </c>
      <c r="Y3025" s="4">
        <v>99</v>
      </c>
      <c r="Z3025" s="4">
        <v>9</v>
      </c>
      <c r="AA3025" s="4">
        <v>25</v>
      </c>
      <c r="AB3025" s="4">
        <v>1</v>
      </c>
      <c r="AC3025" s="4">
        <v>6</v>
      </c>
      <c r="AD3025" s="4">
        <v>35</v>
      </c>
      <c r="AE3025" s="4">
        <v>78</v>
      </c>
      <c r="AF3025" s="4">
        <v>0</v>
      </c>
      <c r="AG3025" s="4">
        <v>3</v>
      </c>
      <c r="AH3025" s="4">
        <v>33</v>
      </c>
      <c r="AI3025" s="4">
        <v>67</v>
      </c>
      <c r="AJ3025" s="4">
        <v>7</v>
      </c>
      <c r="AK3025" s="4">
        <v>20</v>
      </c>
      <c r="AL3025" s="4">
        <v>21</v>
      </c>
      <c r="AM3025" s="4">
        <v>38</v>
      </c>
      <c r="AN3025" s="4">
        <v>0</v>
      </c>
      <c r="AO3025" s="4">
        <v>0</v>
      </c>
      <c r="AP3025" s="4">
        <v>7</v>
      </c>
      <c r="AQ3025" s="4">
        <v>20</v>
      </c>
      <c r="AR3025" s="3" t="s">
        <v>62</v>
      </c>
      <c r="AS3025" s="3" t="s">
        <v>62</v>
      </c>
      <c r="AT3025" s="3" t="s">
        <v>62</v>
      </c>
      <c r="AV3025" s="6" t="str">
        <f>HYPERLINK("http://mcgill.on.worldcat.org/oclc/844073906","Catalog Record")</f>
        <v>Catalog Record</v>
      </c>
      <c r="AW3025" s="6" t="str">
        <f>HYPERLINK("http://www.worldcat.org/oclc/844073906","WorldCat Record")</f>
        <v>WorldCat Record</v>
      </c>
      <c r="AX3025" s="3" t="s">
        <v>29686</v>
      </c>
      <c r="AY3025" s="3" t="s">
        <v>29694</v>
      </c>
      <c r="AZ3025" s="3" t="s">
        <v>29695</v>
      </c>
      <c r="BA3025" s="3" t="s">
        <v>29695</v>
      </c>
      <c r="BB3025" s="3" t="s">
        <v>29696</v>
      </c>
      <c r="BC3025" s="3" t="s">
        <v>142</v>
      </c>
      <c r="BD3025" s="3" t="s">
        <v>68</v>
      </c>
      <c r="BE3025" s="3" t="s">
        <v>29697</v>
      </c>
      <c r="BF3025" s="3" t="s">
        <v>29696</v>
      </c>
      <c r="BG3025" s="3" t="s">
        <v>29698</v>
      </c>
    </row>
    <row r="3026" spans="1:59" ht="57" x14ac:dyDescent="0.45">
      <c r="A3026" s="2" t="s">
        <v>59</v>
      </c>
      <c r="B3026" s="2" t="s">
        <v>60</v>
      </c>
      <c r="C3026" s="2" t="s">
        <v>29699</v>
      </c>
      <c r="D3026" s="2" t="s">
        <v>29700</v>
      </c>
      <c r="E3026" s="2" t="s">
        <v>29701</v>
      </c>
      <c r="G3026" s="3" t="s">
        <v>62</v>
      </c>
      <c r="I3026" s="3" t="s">
        <v>62</v>
      </c>
      <c r="J3026" s="3" t="s">
        <v>62</v>
      </c>
      <c r="K3026" s="3" t="s">
        <v>63</v>
      </c>
      <c r="L3026" s="2" t="s">
        <v>29702</v>
      </c>
      <c r="M3026" s="2" t="s">
        <v>25115</v>
      </c>
      <c r="N3026" s="3" t="s">
        <v>116</v>
      </c>
      <c r="P3026" s="3" t="s">
        <v>65</v>
      </c>
      <c r="R3026" s="3" t="s">
        <v>66</v>
      </c>
      <c r="S3026" s="4">
        <v>14</v>
      </c>
      <c r="T3026" s="4">
        <v>14</v>
      </c>
      <c r="U3026" s="5" t="s">
        <v>13218</v>
      </c>
      <c r="V3026" s="5" t="s">
        <v>13218</v>
      </c>
      <c r="W3026" s="5" t="s">
        <v>67</v>
      </c>
      <c r="X3026" s="5" t="s">
        <v>67</v>
      </c>
      <c r="Y3026" s="4">
        <v>152</v>
      </c>
      <c r="Z3026" s="4">
        <v>22</v>
      </c>
      <c r="AA3026" s="4">
        <v>102</v>
      </c>
      <c r="AB3026" s="4">
        <v>1</v>
      </c>
      <c r="AC3026" s="4">
        <v>15</v>
      </c>
      <c r="AD3026" s="4">
        <v>55</v>
      </c>
      <c r="AE3026" s="4">
        <v>127</v>
      </c>
      <c r="AF3026" s="4">
        <v>0</v>
      </c>
      <c r="AG3026" s="4">
        <v>8</v>
      </c>
      <c r="AH3026" s="4">
        <v>48</v>
      </c>
      <c r="AI3026" s="4">
        <v>89</v>
      </c>
      <c r="AJ3026" s="4">
        <v>14</v>
      </c>
      <c r="AK3026" s="4">
        <v>23</v>
      </c>
      <c r="AL3026" s="4">
        <v>26</v>
      </c>
      <c r="AM3026" s="4">
        <v>48</v>
      </c>
      <c r="AN3026" s="4">
        <v>0</v>
      </c>
      <c r="AO3026" s="4">
        <v>0</v>
      </c>
      <c r="AP3026" s="4">
        <v>16</v>
      </c>
      <c r="AQ3026" s="4">
        <v>44</v>
      </c>
      <c r="AR3026" s="3" t="s">
        <v>62</v>
      </c>
      <c r="AS3026" s="3" t="s">
        <v>62</v>
      </c>
      <c r="AT3026" s="3" t="s">
        <v>62</v>
      </c>
      <c r="AV3026" s="6" t="str">
        <f>HYPERLINK("http://mcgill.on.worldcat.org/oclc/778425246","Catalog Record")</f>
        <v>Catalog Record</v>
      </c>
      <c r="AW3026" s="6" t="str">
        <f>HYPERLINK("http://www.worldcat.org/oclc/778425246","WorldCat Record")</f>
        <v>WorldCat Record</v>
      </c>
      <c r="AX3026" s="3" t="s">
        <v>29703</v>
      </c>
      <c r="AY3026" s="3" t="s">
        <v>29704</v>
      </c>
      <c r="AZ3026" s="3" t="s">
        <v>29705</v>
      </c>
      <c r="BA3026" s="3" t="s">
        <v>29705</v>
      </c>
      <c r="BB3026" s="3" t="s">
        <v>29706</v>
      </c>
      <c r="BC3026" s="3" t="s">
        <v>142</v>
      </c>
      <c r="BD3026" s="3" t="s">
        <v>68</v>
      </c>
      <c r="BE3026" s="3" t="s">
        <v>29707</v>
      </c>
      <c r="BF3026" s="3" t="s">
        <v>29706</v>
      </c>
      <c r="BG3026" s="3" t="s">
        <v>29708</v>
      </c>
    </row>
    <row r="3027" spans="1:59" ht="57" x14ac:dyDescent="0.45">
      <c r="A3027" s="2" t="s">
        <v>59</v>
      </c>
      <c r="B3027" s="2" t="s">
        <v>60</v>
      </c>
      <c r="C3027" s="2" t="s">
        <v>29709</v>
      </c>
      <c r="D3027" s="2" t="s">
        <v>29710</v>
      </c>
      <c r="E3027" s="2" t="s">
        <v>29711</v>
      </c>
      <c r="G3027" s="3" t="s">
        <v>62</v>
      </c>
      <c r="I3027" s="3" t="s">
        <v>62</v>
      </c>
      <c r="J3027" s="3" t="s">
        <v>62</v>
      </c>
      <c r="K3027" s="3" t="s">
        <v>63</v>
      </c>
      <c r="L3027" s="2" t="s">
        <v>29712</v>
      </c>
      <c r="M3027" s="2" t="s">
        <v>1770</v>
      </c>
      <c r="N3027" s="3" t="s">
        <v>116</v>
      </c>
      <c r="P3027" s="3" t="s">
        <v>65</v>
      </c>
      <c r="R3027" s="3" t="s">
        <v>66</v>
      </c>
      <c r="S3027" s="4">
        <v>3</v>
      </c>
      <c r="T3027" s="4">
        <v>3</v>
      </c>
      <c r="U3027" s="5" t="s">
        <v>27665</v>
      </c>
      <c r="V3027" s="5" t="s">
        <v>27665</v>
      </c>
      <c r="W3027" s="5" t="s">
        <v>67</v>
      </c>
      <c r="X3027" s="5" t="s">
        <v>67</v>
      </c>
      <c r="Y3027" s="4">
        <v>110</v>
      </c>
      <c r="Z3027" s="4">
        <v>17</v>
      </c>
      <c r="AA3027" s="4">
        <v>47</v>
      </c>
      <c r="AB3027" s="4">
        <v>1</v>
      </c>
      <c r="AC3027" s="4">
        <v>2</v>
      </c>
      <c r="AD3027" s="4">
        <v>56</v>
      </c>
      <c r="AE3027" s="4">
        <v>66</v>
      </c>
      <c r="AF3027" s="4">
        <v>0</v>
      </c>
      <c r="AG3027" s="4">
        <v>1</v>
      </c>
      <c r="AH3027" s="4">
        <v>52</v>
      </c>
      <c r="AI3027" s="4">
        <v>54</v>
      </c>
      <c r="AJ3027" s="4">
        <v>14</v>
      </c>
      <c r="AK3027" s="4">
        <v>18</v>
      </c>
      <c r="AL3027" s="4">
        <v>29</v>
      </c>
      <c r="AM3027" s="4">
        <v>29</v>
      </c>
      <c r="AN3027" s="4">
        <v>0</v>
      </c>
      <c r="AO3027" s="4">
        <v>0</v>
      </c>
      <c r="AP3027" s="4">
        <v>14</v>
      </c>
      <c r="AQ3027" s="4">
        <v>23</v>
      </c>
      <c r="AR3027" s="3" t="s">
        <v>62</v>
      </c>
      <c r="AS3027" s="3" t="s">
        <v>62</v>
      </c>
      <c r="AT3027" s="3" t="s">
        <v>62</v>
      </c>
      <c r="AV3027" s="6" t="str">
        <f>HYPERLINK("http://mcgill.on.worldcat.org/oclc/761380436","Catalog Record")</f>
        <v>Catalog Record</v>
      </c>
      <c r="AW3027" s="6" t="str">
        <f>HYPERLINK("http://www.worldcat.org/oclc/761380436","WorldCat Record")</f>
        <v>WorldCat Record</v>
      </c>
      <c r="AX3027" s="3" t="s">
        <v>29713</v>
      </c>
      <c r="AY3027" s="3" t="s">
        <v>29714</v>
      </c>
      <c r="AZ3027" s="3" t="s">
        <v>29715</v>
      </c>
      <c r="BA3027" s="3" t="s">
        <v>29715</v>
      </c>
      <c r="BB3027" s="3" t="s">
        <v>29716</v>
      </c>
      <c r="BC3027" s="3" t="s">
        <v>142</v>
      </c>
      <c r="BD3027" s="3" t="s">
        <v>68</v>
      </c>
      <c r="BE3027" s="3" t="s">
        <v>29717</v>
      </c>
      <c r="BF3027" s="3" t="s">
        <v>29716</v>
      </c>
      <c r="BG3027" s="3" t="s">
        <v>29718</v>
      </c>
    </row>
    <row r="3028" spans="1:59" ht="57" x14ac:dyDescent="0.45">
      <c r="A3028" s="2" t="s">
        <v>59</v>
      </c>
      <c r="B3028" s="2" t="s">
        <v>60</v>
      </c>
      <c r="C3028" s="2" t="s">
        <v>29719</v>
      </c>
      <c r="D3028" s="2" t="s">
        <v>29720</v>
      </c>
      <c r="E3028" s="2" t="s">
        <v>29721</v>
      </c>
      <c r="G3028" s="3" t="s">
        <v>62</v>
      </c>
      <c r="I3028" s="3" t="s">
        <v>62</v>
      </c>
      <c r="J3028" s="3" t="s">
        <v>62</v>
      </c>
      <c r="K3028" s="3" t="s">
        <v>63</v>
      </c>
      <c r="L3028" s="2" t="s">
        <v>29722</v>
      </c>
      <c r="M3028" s="2" t="s">
        <v>1962</v>
      </c>
      <c r="N3028" s="3" t="s">
        <v>149</v>
      </c>
      <c r="P3028" s="3" t="s">
        <v>65</v>
      </c>
      <c r="Q3028" s="2" t="s">
        <v>29723</v>
      </c>
      <c r="R3028" s="3" t="s">
        <v>66</v>
      </c>
      <c r="S3028" s="4">
        <v>1</v>
      </c>
      <c r="T3028" s="4">
        <v>1</v>
      </c>
      <c r="U3028" s="5" t="s">
        <v>29724</v>
      </c>
      <c r="V3028" s="5" t="s">
        <v>29724</v>
      </c>
      <c r="W3028" s="5" t="s">
        <v>67</v>
      </c>
      <c r="X3028" s="5" t="s">
        <v>67</v>
      </c>
      <c r="Y3028" s="4">
        <v>176</v>
      </c>
      <c r="Z3028" s="4">
        <v>18</v>
      </c>
      <c r="AA3028" s="4">
        <v>82</v>
      </c>
      <c r="AB3028" s="4">
        <v>1</v>
      </c>
      <c r="AC3028" s="4">
        <v>14</v>
      </c>
      <c r="AD3028" s="4">
        <v>72</v>
      </c>
      <c r="AE3028" s="4">
        <v>122</v>
      </c>
      <c r="AF3028" s="4">
        <v>0</v>
      </c>
      <c r="AG3028" s="4">
        <v>8</v>
      </c>
      <c r="AH3028" s="4">
        <v>67</v>
      </c>
      <c r="AI3028" s="4">
        <v>89</v>
      </c>
      <c r="AJ3028" s="4">
        <v>15</v>
      </c>
      <c r="AK3028" s="4">
        <v>25</v>
      </c>
      <c r="AL3028" s="4">
        <v>38</v>
      </c>
      <c r="AM3028" s="4">
        <v>46</v>
      </c>
      <c r="AN3028" s="4">
        <v>0</v>
      </c>
      <c r="AO3028" s="4">
        <v>0</v>
      </c>
      <c r="AP3028" s="4">
        <v>15</v>
      </c>
      <c r="AQ3028" s="4">
        <v>44</v>
      </c>
      <c r="AR3028" s="3" t="s">
        <v>62</v>
      </c>
      <c r="AS3028" s="3" t="s">
        <v>62</v>
      </c>
      <c r="AT3028" s="3" t="s">
        <v>62</v>
      </c>
      <c r="AV3028" s="6" t="str">
        <f>HYPERLINK("http://mcgill.on.worldcat.org/oclc/606235181","Catalog Record")</f>
        <v>Catalog Record</v>
      </c>
      <c r="AW3028" s="6" t="str">
        <f>HYPERLINK("http://www.worldcat.org/oclc/606235181","WorldCat Record")</f>
        <v>WorldCat Record</v>
      </c>
      <c r="AX3028" s="3" t="s">
        <v>29725</v>
      </c>
      <c r="AY3028" s="3" t="s">
        <v>29726</v>
      </c>
      <c r="AZ3028" s="3" t="s">
        <v>29727</v>
      </c>
      <c r="BA3028" s="3" t="s">
        <v>29727</v>
      </c>
      <c r="BB3028" s="3" t="s">
        <v>29728</v>
      </c>
      <c r="BC3028" s="3" t="s">
        <v>142</v>
      </c>
      <c r="BD3028" s="3" t="s">
        <v>68</v>
      </c>
      <c r="BE3028" s="3" t="s">
        <v>29729</v>
      </c>
      <c r="BF3028" s="3" t="s">
        <v>29728</v>
      </c>
      <c r="BG3028" s="3" t="s">
        <v>29730</v>
      </c>
    </row>
    <row r="3029" spans="1:59" ht="57" x14ac:dyDescent="0.45">
      <c r="A3029" s="2" t="s">
        <v>59</v>
      </c>
      <c r="B3029" s="2" t="s">
        <v>60</v>
      </c>
      <c r="C3029" s="2" t="s">
        <v>29731</v>
      </c>
      <c r="D3029" s="2" t="s">
        <v>29732</v>
      </c>
      <c r="E3029" s="2" t="s">
        <v>29733</v>
      </c>
      <c r="G3029" s="3" t="s">
        <v>62</v>
      </c>
      <c r="I3029" s="3" t="s">
        <v>62</v>
      </c>
      <c r="J3029" s="3" t="s">
        <v>62</v>
      </c>
      <c r="K3029" s="3" t="s">
        <v>63</v>
      </c>
      <c r="L3029" s="2" t="s">
        <v>29722</v>
      </c>
      <c r="M3029" s="2" t="s">
        <v>29734</v>
      </c>
      <c r="N3029" s="3" t="s">
        <v>820</v>
      </c>
      <c r="P3029" s="3" t="s">
        <v>65</v>
      </c>
      <c r="Q3029" s="2" t="s">
        <v>29735</v>
      </c>
      <c r="R3029" s="3" t="s">
        <v>66</v>
      </c>
      <c r="S3029" s="4">
        <v>6</v>
      </c>
      <c r="T3029" s="4">
        <v>6</v>
      </c>
      <c r="U3029" s="5" t="s">
        <v>1570</v>
      </c>
      <c r="V3029" s="5" t="s">
        <v>1570</v>
      </c>
      <c r="W3029" s="5" t="s">
        <v>67</v>
      </c>
      <c r="X3029" s="5" t="s">
        <v>67</v>
      </c>
      <c r="Y3029" s="4">
        <v>164</v>
      </c>
      <c r="Z3029" s="4">
        <v>17</v>
      </c>
      <c r="AA3029" s="4">
        <v>93</v>
      </c>
      <c r="AB3029" s="4">
        <v>2</v>
      </c>
      <c r="AC3029" s="4">
        <v>18</v>
      </c>
      <c r="AD3029" s="4">
        <v>49</v>
      </c>
      <c r="AE3029" s="4">
        <v>112</v>
      </c>
      <c r="AF3029" s="4">
        <v>1</v>
      </c>
      <c r="AG3029" s="4">
        <v>9</v>
      </c>
      <c r="AH3029" s="4">
        <v>45</v>
      </c>
      <c r="AI3029" s="4">
        <v>69</v>
      </c>
      <c r="AJ3029" s="4">
        <v>14</v>
      </c>
      <c r="AK3029" s="4">
        <v>26</v>
      </c>
      <c r="AL3029" s="4">
        <v>25</v>
      </c>
      <c r="AM3029" s="4">
        <v>36</v>
      </c>
      <c r="AN3029" s="4">
        <v>0</v>
      </c>
      <c r="AO3029" s="4">
        <v>0</v>
      </c>
      <c r="AP3029" s="4">
        <v>14</v>
      </c>
      <c r="AQ3029" s="4">
        <v>54</v>
      </c>
      <c r="AR3029" s="3" t="s">
        <v>62</v>
      </c>
      <c r="AS3029" s="3" t="s">
        <v>62</v>
      </c>
      <c r="AT3029" s="3" t="s">
        <v>62</v>
      </c>
      <c r="AV3029" s="6" t="str">
        <f>HYPERLINK("http://mcgill.on.worldcat.org/oclc/191927139","Catalog Record")</f>
        <v>Catalog Record</v>
      </c>
      <c r="AW3029" s="6" t="str">
        <f>HYPERLINK("http://www.worldcat.org/oclc/191927139","WorldCat Record")</f>
        <v>WorldCat Record</v>
      </c>
      <c r="AX3029" s="3" t="s">
        <v>29736</v>
      </c>
      <c r="AY3029" s="3" t="s">
        <v>29737</v>
      </c>
      <c r="AZ3029" s="3" t="s">
        <v>29738</v>
      </c>
      <c r="BA3029" s="3" t="s">
        <v>29738</v>
      </c>
      <c r="BB3029" s="3" t="s">
        <v>29739</v>
      </c>
      <c r="BC3029" s="3" t="s">
        <v>142</v>
      </c>
      <c r="BD3029" s="3" t="s">
        <v>68</v>
      </c>
      <c r="BE3029" s="3" t="s">
        <v>29740</v>
      </c>
      <c r="BF3029" s="3" t="s">
        <v>29739</v>
      </c>
      <c r="BG3029" s="3" t="s">
        <v>29741</v>
      </c>
    </row>
    <row r="3030" spans="1:59" ht="57" x14ac:dyDescent="0.45">
      <c r="A3030" s="2" t="s">
        <v>59</v>
      </c>
      <c r="B3030" s="2" t="s">
        <v>60</v>
      </c>
      <c r="C3030" s="2" t="s">
        <v>29742</v>
      </c>
      <c r="D3030" s="2" t="s">
        <v>29743</v>
      </c>
      <c r="E3030" s="2" t="s">
        <v>29744</v>
      </c>
      <c r="G3030" s="3" t="s">
        <v>62</v>
      </c>
      <c r="I3030" s="3" t="s">
        <v>62</v>
      </c>
      <c r="J3030" s="3" t="s">
        <v>62</v>
      </c>
      <c r="K3030" s="3" t="s">
        <v>63</v>
      </c>
      <c r="L3030" s="2" t="s">
        <v>29745</v>
      </c>
      <c r="M3030" s="2" t="s">
        <v>21778</v>
      </c>
      <c r="N3030" s="3" t="s">
        <v>149</v>
      </c>
      <c r="P3030" s="3" t="s">
        <v>65</v>
      </c>
      <c r="R3030" s="3" t="s">
        <v>66</v>
      </c>
      <c r="S3030" s="4">
        <v>7</v>
      </c>
      <c r="T3030" s="4">
        <v>7</v>
      </c>
      <c r="U3030" s="5" t="s">
        <v>1570</v>
      </c>
      <c r="V3030" s="5" t="s">
        <v>1570</v>
      </c>
      <c r="W3030" s="5" t="s">
        <v>67</v>
      </c>
      <c r="X3030" s="5" t="s">
        <v>67</v>
      </c>
      <c r="Y3030" s="4">
        <v>206</v>
      </c>
      <c r="Z3030" s="4">
        <v>18</v>
      </c>
      <c r="AA3030" s="4">
        <v>92</v>
      </c>
      <c r="AB3030" s="4">
        <v>1</v>
      </c>
      <c r="AC3030" s="4">
        <v>17</v>
      </c>
      <c r="AD3030" s="4">
        <v>82</v>
      </c>
      <c r="AE3030" s="4">
        <v>135</v>
      </c>
      <c r="AF3030" s="4">
        <v>0</v>
      </c>
      <c r="AG3030" s="4">
        <v>8</v>
      </c>
      <c r="AH3030" s="4">
        <v>73</v>
      </c>
      <c r="AI3030" s="4">
        <v>99</v>
      </c>
      <c r="AJ3030" s="4">
        <v>13</v>
      </c>
      <c r="AK3030" s="4">
        <v>24</v>
      </c>
      <c r="AL3030" s="4">
        <v>42</v>
      </c>
      <c r="AM3030" s="4">
        <v>51</v>
      </c>
      <c r="AN3030" s="4">
        <v>0</v>
      </c>
      <c r="AO3030" s="4">
        <v>0</v>
      </c>
      <c r="AP3030" s="4">
        <v>15</v>
      </c>
      <c r="AQ3030" s="4">
        <v>45</v>
      </c>
      <c r="AR3030" s="3" t="s">
        <v>62</v>
      </c>
      <c r="AS3030" s="3" t="s">
        <v>62</v>
      </c>
      <c r="AT3030" s="3" t="s">
        <v>62</v>
      </c>
      <c r="AV3030" s="6" t="str">
        <f>HYPERLINK("http://mcgill.on.worldcat.org/oclc/452277108","Catalog Record")</f>
        <v>Catalog Record</v>
      </c>
      <c r="AW3030" s="6" t="str">
        <f>HYPERLINK("http://www.worldcat.org/oclc/452277108","WorldCat Record")</f>
        <v>WorldCat Record</v>
      </c>
      <c r="AX3030" s="3" t="s">
        <v>29746</v>
      </c>
      <c r="AY3030" s="3" t="s">
        <v>29747</v>
      </c>
      <c r="AZ3030" s="3" t="s">
        <v>29748</v>
      </c>
      <c r="BA3030" s="3" t="s">
        <v>29748</v>
      </c>
      <c r="BB3030" s="3" t="s">
        <v>29749</v>
      </c>
      <c r="BC3030" s="3" t="s">
        <v>142</v>
      </c>
      <c r="BD3030" s="3" t="s">
        <v>68</v>
      </c>
      <c r="BE3030" s="3" t="s">
        <v>29750</v>
      </c>
      <c r="BF3030" s="3" t="s">
        <v>29749</v>
      </c>
      <c r="BG3030" s="3" t="s">
        <v>29751</v>
      </c>
    </row>
    <row r="3031" spans="1:59" ht="57" x14ac:dyDescent="0.45">
      <c r="A3031" s="2" t="s">
        <v>59</v>
      </c>
      <c r="B3031" s="2" t="s">
        <v>60</v>
      </c>
      <c r="C3031" s="2" t="s">
        <v>29752</v>
      </c>
      <c r="D3031" s="2" t="s">
        <v>29753</v>
      </c>
      <c r="E3031" s="2" t="s">
        <v>29754</v>
      </c>
      <c r="G3031" s="3" t="s">
        <v>62</v>
      </c>
      <c r="I3031" s="3" t="s">
        <v>62</v>
      </c>
      <c r="J3031" s="3" t="s">
        <v>62</v>
      </c>
      <c r="K3031" s="3" t="s">
        <v>63</v>
      </c>
      <c r="L3031" s="2" t="s">
        <v>29755</v>
      </c>
      <c r="M3031" s="2" t="s">
        <v>29756</v>
      </c>
      <c r="N3031" s="3" t="s">
        <v>84</v>
      </c>
      <c r="P3031" s="3" t="s">
        <v>65</v>
      </c>
      <c r="Q3031" s="2" t="s">
        <v>29757</v>
      </c>
      <c r="R3031" s="3" t="s">
        <v>66</v>
      </c>
      <c r="S3031" s="4">
        <v>15</v>
      </c>
      <c r="T3031" s="4">
        <v>15</v>
      </c>
      <c r="U3031" s="5" t="s">
        <v>26643</v>
      </c>
      <c r="V3031" s="5" t="s">
        <v>26643</v>
      </c>
      <c r="W3031" s="5" t="s">
        <v>67</v>
      </c>
      <c r="X3031" s="5" t="s">
        <v>67</v>
      </c>
      <c r="Y3031" s="4">
        <v>323</v>
      </c>
      <c r="Z3031" s="4">
        <v>22</v>
      </c>
      <c r="AA3031" s="4">
        <v>26</v>
      </c>
      <c r="AB3031" s="4">
        <v>1</v>
      </c>
      <c r="AC3031" s="4">
        <v>4</v>
      </c>
      <c r="AD3031" s="4">
        <v>81</v>
      </c>
      <c r="AE3031" s="4">
        <v>83</v>
      </c>
      <c r="AF3031" s="4">
        <v>0</v>
      </c>
      <c r="AG3031" s="4">
        <v>2</v>
      </c>
      <c r="AH3031" s="4">
        <v>70</v>
      </c>
      <c r="AI3031" s="4">
        <v>70</v>
      </c>
      <c r="AJ3031" s="4">
        <v>15</v>
      </c>
      <c r="AK3031" s="4">
        <v>17</v>
      </c>
      <c r="AL3031" s="4">
        <v>40</v>
      </c>
      <c r="AM3031" s="4">
        <v>40</v>
      </c>
      <c r="AN3031" s="4">
        <v>0</v>
      </c>
      <c r="AO3031" s="4">
        <v>0</v>
      </c>
      <c r="AP3031" s="4">
        <v>19</v>
      </c>
      <c r="AQ3031" s="4">
        <v>20</v>
      </c>
      <c r="AR3031" s="3" t="s">
        <v>62</v>
      </c>
      <c r="AS3031" s="3" t="s">
        <v>62</v>
      </c>
      <c r="AT3031" s="3" t="s">
        <v>62</v>
      </c>
      <c r="AV3031" s="6" t="str">
        <f>HYPERLINK("http://mcgill.on.worldcat.org/oclc/25026522","Catalog Record")</f>
        <v>Catalog Record</v>
      </c>
      <c r="AW3031" s="6" t="str">
        <f>HYPERLINK("http://www.worldcat.org/oclc/25026522","WorldCat Record")</f>
        <v>WorldCat Record</v>
      </c>
      <c r="AX3031" s="3" t="s">
        <v>29758</v>
      </c>
      <c r="AY3031" s="3" t="s">
        <v>29759</v>
      </c>
      <c r="AZ3031" s="3" t="s">
        <v>29760</v>
      </c>
      <c r="BA3031" s="3" t="s">
        <v>29760</v>
      </c>
      <c r="BB3031" s="3" t="s">
        <v>29761</v>
      </c>
      <c r="BC3031" s="3" t="s">
        <v>142</v>
      </c>
      <c r="BD3031" s="3" t="s">
        <v>68</v>
      </c>
      <c r="BE3031" s="3" t="s">
        <v>29762</v>
      </c>
      <c r="BF3031" s="3" t="s">
        <v>29761</v>
      </c>
      <c r="BG3031" s="3" t="s">
        <v>29763</v>
      </c>
    </row>
    <row r="3032" spans="1:59" ht="57" x14ac:dyDescent="0.45">
      <c r="A3032" s="2" t="s">
        <v>59</v>
      </c>
      <c r="B3032" s="2" t="s">
        <v>60</v>
      </c>
      <c r="C3032" s="2" t="s">
        <v>29764</v>
      </c>
      <c r="D3032" s="2" t="s">
        <v>29765</v>
      </c>
      <c r="E3032" s="2" t="s">
        <v>29766</v>
      </c>
      <c r="G3032" s="3" t="s">
        <v>62</v>
      </c>
      <c r="I3032" s="3" t="s">
        <v>62</v>
      </c>
      <c r="J3032" s="3" t="s">
        <v>62</v>
      </c>
      <c r="K3032" s="3" t="s">
        <v>63</v>
      </c>
      <c r="M3032" s="2" t="s">
        <v>29767</v>
      </c>
      <c r="N3032" s="3" t="s">
        <v>1155</v>
      </c>
      <c r="P3032" s="3" t="s">
        <v>65</v>
      </c>
      <c r="Q3032" s="2" t="s">
        <v>3219</v>
      </c>
      <c r="R3032" s="3" t="s">
        <v>66</v>
      </c>
      <c r="S3032" s="4">
        <v>8</v>
      </c>
      <c r="T3032" s="4">
        <v>8</v>
      </c>
      <c r="U3032" s="5" t="s">
        <v>1570</v>
      </c>
      <c r="V3032" s="5" t="s">
        <v>1570</v>
      </c>
      <c r="W3032" s="5" t="s">
        <v>67</v>
      </c>
      <c r="X3032" s="5" t="s">
        <v>67</v>
      </c>
      <c r="Y3032" s="4">
        <v>147</v>
      </c>
      <c r="Z3032" s="4">
        <v>20</v>
      </c>
      <c r="AA3032" s="4">
        <v>88</v>
      </c>
      <c r="AB3032" s="4">
        <v>2</v>
      </c>
      <c r="AC3032" s="4">
        <v>14</v>
      </c>
      <c r="AD3032" s="4">
        <v>49</v>
      </c>
      <c r="AE3032" s="4">
        <v>114</v>
      </c>
      <c r="AF3032" s="4">
        <v>1</v>
      </c>
      <c r="AG3032" s="4">
        <v>8</v>
      </c>
      <c r="AH3032" s="4">
        <v>44</v>
      </c>
      <c r="AI3032" s="4">
        <v>80</v>
      </c>
      <c r="AJ3032" s="4">
        <v>14</v>
      </c>
      <c r="AK3032" s="4">
        <v>26</v>
      </c>
      <c r="AL3032" s="4">
        <v>22</v>
      </c>
      <c r="AM3032" s="4">
        <v>38</v>
      </c>
      <c r="AN3032" s="4">
        <v>0</v>
      </c>
      <c r="AO3032" s="4">
        <v>0</v>
      </c>
      <c r="AP3032" s="4">
        <v>15</v>
      </c>
      <c r="AQ3032" s="4">
        <v>45</v>
      </c>
      <c r="AR3032" s="3" t="s">
        <v>62</v>
      </c>
      <c r="AS3032" s="3" t="s">
        <v>62</v>
      </c>
      <c r="AT3032" s="3" t="s">
        <v>62</v>
      </c>
      <c r="AV3032" s="6" t="str">
        <f>HYPERLINK("http://mcgill.on.worldcat.org/oclc/757664638","Catalog Record")</f>
        <v>Catalog Record</v>
      </c>
      <c r="AW3032" s="6" t="str">
        <f>HYPERLINK("http://www.worldcat.org/oclc/757664638","WorldCat Record")</f>
        <v>WorldCat Record</v>
      </c>
      <c r="AX3032" s="3" t="s">
        <v>29768</v>
      </c>
      <c r="AY3032" s="3" t="s">
        <v>29769</v>
      </c>
      <c r="AZ3032" s="3" t="s">
        <v>29770</v>
      </c>
      <c r="BA3032" s="3" t="s">
        <v>29770</v>
      </c>
      <c r="BB3032" s="3" t="s">
        <v>29771</v>
      </c>
      <c r="BC3032" s="3" t="s">
        <v>142</v>
      </c>
      <c r="BD3032" s="3" t="s">
        <v>68</v>
      </c>
      <c r="BE3032" s="3" t="s">
        <v>29772</v>
      </c>
      <c r="BF3032" s="3" t="s">
        <v>29771</v>
      </c>
      <c r="BG3032" s="3" t="s">
        <v>29773</v>
      </c>
    </row>
    <row r="3033" spans="1:59" ht="57" x14ac:dyDescent="0.45">
      <c r="A3033" s="2" t="s">
        <v>59</v>
      </c>
      <c r="B3033" s="2" t="s">
        <v>60</v>
      </c>
      <c r="C3033" s="2" t="s">
        <v>29774</v>
      </c>
      <c r="D3033" s="2" t="s">
        <v>29775</v>
      </c>
      <c r="E3033" s="2" t="s">
        <v>29776</v>
      </c>
      <c r="G3033" s="3" t="s">
        <v>62</v>
      </c>
      <c r="I3033" s="3" t="s">
        <v>62</v>
      </c>
      <c r="J3033" s="3" t="s">
        <v>62</v>
      </c>
      <c r="K3033" s="3" t="s">
        <v>63</v>
      </c>
      <c r="L3033" s="2" t="s">
        <v>29777</v>
      </c>
      <c r="M3033" s="2" t="s">
        <v>29778</v>
      </c>
      <c r="N3033" s="3" t="s">
        <v>970</v>
      </c>
      <c r="P3033" s="3" t="s">
        <v>65</v>
      </c>
      <c r="R3033" s="3" t="s">
        <v>66</v>
      </c>
      <c r="S3033" s="4">
        <v>11</v>
      </c>
      <c r="T3033" s="4">
        <v>11</v>
      </c>
      <c r="U3033" s="5" t="s">
        <v>1605</v>
      </c>
      <c r="V3033" s="5" t="s">
        <v>1605</v>
      </c>
      <c r="W3033" s="5" t="s">
        <v>67</v>
      </c>
      <c r="X3033" s="5" t="s">
        <v>67</v>
      </c>
      <c r="Y3033" s="4">
        <v>223</v>
      </c>
      <c r="Z3033" s="4">
        <v>13</v>
      </c>
      <c r="AA3033" s="4">
        <v>23</v>
      </c>
      <c r="AB3033" s="4">
        <v>1</v>
      </c>
      <c r="AC3033" s="4">
        <v>7</v>
      </c>
      <c r="AD3033" s="4">
        <v>79</v>
      </c>
      <c r="AE3033" s="4">
        <v>91</v>
      </c>
      <c r="AF3033" s="4">
        <v>0</v>
      </c>
      <c r="AG3033" s="4">
        <v>4</v>
      </c>
      <c r="AH3033" s="4">
        <v>73</v>
      </c>
      <c r="AI3033" s="4">
        <v>80</v>
      </c>
      <c r="AJ3033" s="4">
        <v>9</v>
      </c>
      <c r="AK3033" s="4">
        <v>14</v>
      </c>
      <c r="AL3033" s="4">
        <v>48</v>
      </c>
      <c r="AM3033" s="4">
        <v>50</v>
      </c>
      <c r="AN3033" s="4">
        <v>0</v>
      </c>
      <c r="AO3033" s="4">
        <v>0</v>
      </c>
      <c r="AP3033" s="4">
        <v>10</v>
      </c>
      <c r="AQ3033" s="4">
        <v>17</v>
      </c>
      <c r="AR3033" s="3" t="s">
        <v>62</v>
      </c>
      <c r="AS3033" s="3" t="s">
        <v>62</v>
      </c>
      <c r="AT3033" s="3" t="s">
        <v>62</v>
      </c>
      <c r="AV3033" s="6" t="str">
        <f>HYPERLINK("http://mcgill.on.worldcat.org/oclc/49525903","Catalog Record")</f>
        <v>Catalog Record</v>
      </c>
      <c r="AW3033" s="6" t="str">
        <f>HYPERLINK("http://www.worldcat.org/oclc/49525903","WorldCat Record")</f>
        <v>WorldCat Record</v>
      </c>
      <c r="AX3033" s="3" t="s">
        <v>29779</v>
      </c>
      <c r="AY3033" s="3" t="s">
        <v>29780</v>
      </c>
      <c r="AZ3033" s="3" t="s">
        <v>29781</v>
      </c>
      <c r="BA3033" s="3" t="s">
        <v>29781</v>
      </c>
      <c r="BB3033" s="3" t="s">
        <v>29782</v>
      </c>
      <c r="BC3033" s="3" t="s">
        <v>142</v>
      </c>
      <c r="BD3033" s="3" t="s">
        <v>308</v>
      </c>
      <c r="BE3033" s="3" t="s">
        <v>29783</v>
      </c>
      <c r="BF3033" s="3" t="s">
        <v>29782</v>
      </c>
      <c r="BG3033" s="3" t="s">
        <v>29784</v>
      </c>
    </row>
    <row r="3034" spans="1:59" ht="57" x14ac:dyDescent="0.45">
      <c r="A3034" s="2" t="s">
        <v>59</v>
      </c>
      <c r="B3034" s="2" t="s">
        <v>60</v>
      </c>
      <c r="C3034" s="2" t="s">
        <v>29785</v>
      </c>
      <c r="D3034" s="2" t="s">
        <v>29786</v>
      </c>
      <c r="E3034" s="2" t="s">
        <v>29787</v>
      </c>
      <c r="G3034" s="3" t="s">
        <v>62</v>
      </c>
      <c r="I3034" s="3" t="s">
        <v>62</v>
      </c>
      <c r="J3034" s="3" t="s">
        <v>62</v>
      </c>
      <c r="K3034" s="3" t="s">
        <v>63</v>
      </c>
      <c r="L3034" s="2" t="s">
        <v>29788</v>
      </c>
      <c r="M3034" s="2" t="s">
        <v>3350</v>
      </c>
      <c r="N3034" s="3" t="s">
        <v>894</v>
      </c>
      <c r="P3034" s="3" t="s">
        <v>65</v>
      </c>
      <c r="Q3034" s="2" t="s">
        <v>29789</v>
      </c>
      <c r="R3034" s="3" t="s">
        <v>66</v>
      </c>
      <c r="S3034" s="4">
        <v>1</v>
      </c>
      <c r="T3034" s="4">
        <v>1</v>
      </c>
      <c r="U3034" s="5" t="s">
        <v>111</v>
      </c>
      <c r="V3034" s="5" t="s">
        <v>111</v>
      </c>
      <c r="W3034" s="5" t="s">
        <v>67</v>
      </c>
      <c r="X3034" s="5" t="s">
        <v>67</v>
      </c>
      <c r="Y3034" s="4">
        <v>96</v>
      </c>
      <c r="Z3034" s="4">
        <v>9</v>
      </c>
      <c r="AA3034" s="4">
        <v>13</v>
      </c>
      <c r="AB3034" s="4">
        <v>1</v>
      </c>
      <c r="AC3034" s="4">
        <v>5</v>
      </c>
      <c r="AD3034" s="4">
        <v>22</v>
      </c>
      <c r="AE3034" s="4">
        <v>23</v>
      </c>
      <c r="AF3034" s="4">
        <v>0</v>
      </c>
      <c r="AG3034" s="4">
        <v>1</v>
      </c>
      <c r="AH3034" s="4">
        <v>22</v>
      </c>
      <c r="AI3034" s="4">
        <v>23</v>
      </c>
      <c r="AJ3034" s="4">
        <v>5</v>
      </c>
      <c r="AK3034" s="4">
        <v>6</v>
      </c>
      <c r="AL3034" s="4">
        <v>12</v>
      </c>
      <c r="AM3034" s="4">
        <v>12</v>
      </c>
      <c r="AN3034" s="4">
        <v>0</v>
      </c>
      <c r="AO3034" s="4">
        <v>0</v>
      </c>
      <c r="AP3034" s="4">
        <v>5</v>
      </c>
      <c r="AQ3034" s="4">
        <v>6</v>
      </c>
      <c r="AR3034" s="3" t="s">
        <v>62</v>
      </c>
      <c r="AS3034" s="3" t="s">
        <v>62</v>
      </c>
      <c r="AT3034" s="3" t="s">
        <v>62</v>
      </c>
      <c r="AV3034" s="6" t="str">
        <f>HYPERLINK("http://mcgill.on.worldcat.org/oclc/687699136","Catalog Record")</f>
        <v>Catalog Record</v>
      </c>
      <c r="AW3034" s="6" t="str">
        <f>HYPERLINK("http://www.worldcat.org/oclc/687699136","WorldCat Record")</f>
        <v>WorldCat Record</v>
      </c>
      <c r="AX3034" s="3" t="s">
        <v>29790</v>
      </c>
      <c r="AY3034" s="3" t="s">
        <v>29791</v>
      </c>
      <c r="AZ3034" s="3" t="s">
        <v>29792</v>
      </c>
      <c r="BA3034" s="3" t="s">
        <v>29792</v>
      </c>
      <c r="BB3034" s="3" t="s">
        <v>29793</v>
      </c>
      <c r="BC3034" s="3" t="s">
        <v>142</v>
      </c>
      <c r="BD3034" s="3" t="s">
        <v>68</v>
      </c>
      <c r="BE3034" s="3" t="s">
        <v>29794</v>
      </c>
      <c r="BF3034" s="3" t="s">
        <v>29793</v>
      </c>
      <c r="BG3034" s="3" t="s">
        <v>29795</v>
      </c>
    </row>
    <row r="3035" spans="1:59" ht="57" x14ac:dyDescent="0.45">
      <c r="A3035" s="2" t="s">
        <v>59</v>
      </c>
      <c r="B3035" s="2" t="s">
        <v>60</v>
      </c>
      <c r="C3035" s="2" t="s">
        <v>29796</v>
      </c>
      <c r="D3035" s="2" t="s">
        <v>29797</v>
      </c>
      <c r="E3035" s="2" t="s">
        <v>29798</v>
      </c>
      <c r="G3035" s="3" t="s">
        <v>62</v>
      </c>
      <c r="I3035" s="3" t="s">
        <v>61</v>
      </c>
      <c r="J3035" s="3" t="s">
        <v>62</v>
      </c>
      <c r="K3035" s="3" t="s">
        <v>63</v>
      </c>
      <c r="M3035" s="2" t="s">
        <v>29799</v>
      </c>
      <c r="N3035" s="3" t="s">
        <v>480</v>
      </c>
      <c r="P3035" s="3" t="s">
        <v>65</v>
      </c>
      <c r="R3035" s="3" t="s">
        <v>66</v>
      </c>
      <c r="S3035" s="4">
        <v>31</v>
      </c>
      <c r="T3035" s="4">
        <v>48</v>
      </c>
      <c r="U3035" s="5" t="s">
        <v>9790</v>
      </c>
      <c r="V3035" s="5" t="s">
        <v>6760</v>
      </c>
      <c r="W3035" s="5" t="s">
        <v>67</v>
      </c>
      <c r="X3035" s="5" t="s">
        <v>67</v>
      </c>
      <c r="Y3035" s="4">
        <v>467</v>
      </c>
      <c r="Z3035" s="4">
        <v>28</v>
      </c>
      <c r="AA3035" s="4">
        <v>35</v>
      </c>
      <c r="AB3035" s="4">
        <v>2</v>
      </c>
      <c r="AC3035" s="4">
        <v>8</v>
      </c>
      <c r="AD3035" s="4">
        <v>116</v>
      </c>
      <c r="AE3035" s="4">
        <v>121</v>
      </c>
      <c r="AF3035" s="4">
        <v>1</v>
      </c>
      <c r="AG3035" s="4">
        <v>5</v>
      </c>
      <c r="AH3035" s="4">
        <v>104</v>
      </c>
      <c r="AI3035" s="4">
        <v>105</v>
      </c>
      <c r="AJ3035" s="4">
        <v>19</v>
      </c>
      <c r="AK3035" s="4">
        <v>23</v>
      </c>
      <c r="AL3035" s="4">
        <v>55</v>
      </c>
      <c r="AM3035" s="4">
        <v>55</v>
      </c>
      <c r="AN3035" s="4">
        <v>0</v>
      </c>
      <c r="AO3035" s="4">
        <v>0</v>
      </c>
      <c r="AP3035" s="4">
        <v>22</v>
      </c>
      <c r="AQ3035" s="4">
        <v>26</v>
      </c>
      <c r="AR3035" s="3" t="s">
        <v>62</v>
      </c>
      <c r="AS3035" s="3" t="s">
        <v>62</v>
      </c>
      <c r="AT3035" s="3" t="s">
        <v>61</v>
      </c>
      <c r="AU3035" s="6" t="str">
        <f>HYPERLINK("http://catalog.hathitrust.org/Record/000300379","HathiTrust Record")</f>
        <v>HathiTrust Record</v>
      </c>
      <c r="AV3035" s="6" t="str">
        <f>HYPERLINK("http://mcgill.on.worldcat.org/oclc/4907850","Catalog Record")</f>
        <v>Catalog Record</v>
      </c>
      <c r="AW3035" s="6" t="str">
        <f>HYPERLINK("http://www.worldcat.org/oclc/4907850","WorldCat Record")</f>
        <v>WorldCat Record</v>
      </c>
      <c r="AX3035" s="3" t="s">
        <v>29800</v>
      </c>
      <c r="AY3035" s="3" t="s">
        <v>29801</v>
      </c>
      <c r="AZ3035" s="3" t="s">
        <v>29802</v>
      </c>
      <c r="BA3035" s="3" t="s">
        <v>29802</v>
      </c>
      <c r="BB3035" s="3" t="s">
        <v>29803</v>
      </c>
      <c r="BC3035" s="3" t="s">
        <v>142</v>
      </c>
      <c r="BD3035" s="3" t="s">
        <v>68</v>
      </c>
      <c r="BE3035" s="3" t="s">
        <v>29804</v>
      </c>
      <c r="BF3035" s="3" t="s">
        <v>29803</v>
      </c>
      <c r="BG3035" s="3" t="s">
        <v>29805</v>
      </c>
    </row>
    <row r="3036" spans="1:59" ht="57" x14ac:dyDescent="0.45">
      <c r="A3036" s="2" t="s">
        <v>59</v>
      </c>
      <c r="B3036" s="2" t="s">
        <v>60</v>
      </c>
      <c r="C3036" s="2" t="s">
        <v>29796</v>
      </c>
      <c r="D3036" s="2" t="s">
        <v>29797</v>
      </c>
      <c r="E3036" s="2" t="s">
        <v>29798</v>
      </c>
      <c r="G3036" s="3" t="s">
        <v>62</v>
      </c>
      <c r="I3036" s="3" t="s">
        <v>61</v>
      </c>
      <c r="J3036" s="3" t="s">
        <v>62</v>
      </c>
      <c r="K3036" s="3" t="s">
        <v>63</v>
      </c>
      <c r="M3036" s="2" t="s">
        <v>29799</v>
      </c>
      <c r="N3036" s="3" t="s">
        <v>480</v>
      </c>
      <c r="P3036" s="3" t="s">
        <v>65</v>
      </c>
      <c r="R3036" s="3" t="s">
        <v>66</v>
      </c>
      <c r="S3036" s="4">
        <v>17</v>
      </c>
      <c r="T3036" s="4">
        <v>48</v>
      </c>
      <c r="U3036" s="5" t="s">
        <v>6760</v>
      </c>
      <c r="V3036" s="5" t="s">
        <v>6760</v>
      </c>
      <c r="W3036" s="5" t="s">
        <v>67</v>
      </c>
      <c r="X3036" s="5" t="s">
        <v>67</v>
      </c>
      <c r="Y3036" s="4">
        <v>467</v>
      </c>
      <c r="Z3036" s="4">
        <v>28</v>
      </c>
      <c r="AA3036" s="4">
        <v>35</v>
      </c>
      <c r="AB3036" s="4">
        <v>2</v>
      </c>
      <c r="AC3036" s="4">
        <v>8</v>
      </c>
      <c r="AD3036" s="4">
        <v>116</v>
      </c>
      <c r="AE3036" s="4">
        <v>121</v>
      </c>
      <c r="AF3036" s="4">
        <v>1</v>
      </c>
      <c r="AG3036" s="4">
        <v>5</v>
      </c>
      <c r="AH3036" s="4">
        <v>104</v>
      </c>
      <c r="AI3036" s="4">
        <v>105</v>
      </c>
      <c r="AJ3036" s="4">
        <v>19</v>
      </c>
      <c r="AK3036" s="4">
        <v>23</v>
      </c>
      <c r="AL3036" s="4">
        <v>55</v>
      </c>
      <c r="AM3036" s="4">
        <v>55</v>
      </c>
      <c r="AN3036" s="4">
        <v>0</v>
      </c>
      <c r="AO3036" s="4">
        <v>0</v>
      </c>
      <c r="AP3036" s="4">
        <v>22</v>
      </c>
      <c r="AQ3036" s="4">
        <v>26</v>
      </c>
      <c r="AR3036" s="3" t="s">
        <v>62</v>
      </c>
      <c r="AS3036" s="3" t="s">
        <v>62</v>
      </c>
      <c r="AT3036" s="3" t="s">
        <v>61</v>
      </c>
      <c r="AU3036" s="6" t="str">
        <f>HYPERLINK("http://catalog.hathitrust.org/Record/000300379","HathiTrust Record")</f>
        <v>HathiTrust Record</v>
      </c>
      <c r="AV3036" s="6" t="str">
        <f>HYPERLINK("http://mcgill.on.worldcat.org/oclc/4907850","Catalog Record")</f>
        <v>Catalog Record</v>
      </c>
      <c r="AW3036" s="6" t="str">
        <f>HYPERLINK("http://www.worldcat.org/oclc/4907850","WorldCat Record")</f>
        <v>WorldCat Record</v>
      </c>
      <c r="AX3036" s="3" t="s">
        <v>29800</v>
      </c>
      <c r="AY3036" s="3" t="s">
        <v>29801</v>
      </c>
      <c r="AZ3036" s="3" t="s">
        <v>29802</v>
      </c>
      <c r="BA3036" s="3" t="s">
        <v>29802</v>
      </c>
      <c r="BB3036" s="3" t="s">
        <v>29806</v>
      </c>
      <c r="BC3036" s="3" t="s">
        <v>142</v>
      </c>
      <c r="BD3036" s="3" t="s">
        <v>68</v>
      </c>
      <c r="BE3036" s="3" t="s">
        <v>29804</v>
      </c>
      <c r="BF3036" s="3" t="s">
        <v>29806</v>
      </c>
      <c r="BG3036" s="3" t="s">
        <v>29807</v>
      </c>
    </row>
    <row r="3037" spans="1:59" ht="57" x14ac:dyDescent="0.45">
      <c r="A3037" s="2" t="s">
        <v>59</v>
      </c>
      <c r="B3037" s="2" t="s">
        <v>60</v>
      </c>
      <c r="C3037" s="2" t="s">
        <v>29808</v>
      </c>
      <c r="D3037" s="2" t="s">
        <v>29809</v>
      </c>
      <c r="E3037" s="2" t="s">
        <v>29810</v>
      </c>
      <c r="G3037" s="3" t="s">
        <v>62</v>
      </c>
      <c r="I3037" s="3" t="s">
        <v>62</v>
      </c>
      <c r="J3037" s="3" t="s">
        <v>62</v>
      </c>
      <c r="K3037" s="3" t="s">
        <v>63</v>
      </c>
      <c r="M3037" s="2" t="s">
        <v>29811</v>
      </c>
      <c r="N3037" s="3" t="s">
        <v>1918</v>
      </c>
      <c r="P3037" s="3" t="s">
        <v>65</v>
      </c>
      <c r="Q3037" s="2" t="s">
        <v>29812</v>
      </c>
      <c r="R3037" s="3" t="s">
        <v>66</v>
      </c>
      <c r="S3037" s="4">
        <v>0</v>
      </c>
      <c r="T3037" s="4">
        <v>0</v>
      </c>
      <c r="W3037" s="5" t="s">
        <v>67</v>
      </c>
      <c r="X3037" s="5" t="s">
        <v>67</v>
      </c>
      <c r="Y3037" s="4">
        <v>48</v>
      </c>
      <c r="Z3037" s="4">
        <v>6</v>
      </c>
      <c r="AA3037" s="4">
        <v>73</v>
      </c>
      <c r="AB3037" s="4">
        <v>1</v>
      </c>
      <c r="AC3037" s="4">
        <v>14</v>
      </c>
      <c r="AD3037" s="4">
        <v>32</v>
      </c>
      <c r="AE3037" s="4">
        <v>92</v>
      </c>
      <c r="AF3037" s="4">
        <v>0</v>
      </c>
      <c r="AG3037" s="4">
        <v>8</v>
      </c>
      <c r="AH3037" s="4">
        <v>30</v>
      </c>
      <c r="AI3037" s="4">
        <v>64</v>
      </c>
      <c r="AJ3037" s="4">
        <v>5</v>
      </c>
      <c r="AK3037" s="4">
        <v>20</v>
      </c>
      <c r="AL3037" s="4">
        <v>20</v>
      </c>
      <c r="AM3037" s="4">
        <v>33</v>
      </c>
      <c r="AN3037" s="4">
        <v>0</v>
      </c>
      <c r="AO3037" s="4">
        <v>0</v>
      </c>
      <c r="AP3037" s="4">
        <v>5</v>
      </c>
      <c r="AQ3037" s="4">
        <v>36</v>
      </c>
      <c r="AR3037" s="3" t="s">
        <v>62</v>
      </c>
      <c r="AS3037" s="3" t="s">
        <v>62</v>
      </c>
      <c r="AT3037" s="3" t="s">
        <v>62</v>
      </c>
      <c r="AV3037" s="6" t="str">
        <f>HYPERLINK("http://mcgill.on.worldcat.org/oclc/982091059","Catalog Record")</f>
        <v>Catalog Record</v>
      </c>
      <c r="AW3037" s="6" t="str">
        <f>HYPERLINK("http://www.worldcat.org/oclc/982091059","WorldCat Record")</f>
        <v>WorldCat Record</v>
      </c>
      <c r="AX3037" s="3" t="s">
        <v>29813</v>
      </c>
      <c r="AY3037" s="3" t="s">
        <v>29814</v>
      </c>
      <c r="AZ3037" s="3" t="s">
        <v>29815</v>
      </c>
      <c r="BA3037" s="3" t="s">
        <v>29815</v>
      </c>
      <c r="BB3037" s="3" t="s">
        <v>29816</v>
      </c>
      <c r="BC3037" s="3" t="s">
        <v>142</v>
      </c>
      <c r="BD3037" s="3" t="s">
        <v>68</v>
      </c>
      <c r="BE3037" s="3" t="s">
        <v>29817</v>
      </c>
      <c r="BF3037" s="3" t="s">
        <v>29816</v>
      </c>
      <c r="BG3037" s="3" t="s">
        <v>29818</v>
      </c>
    </row>
    <row r="3038" spans="1:59" ht="57" x14ac:dyDescent="0.45">
      <c r="A3038" s="2" t="s">
        <v>59</v>
      </c>
      <c r="B3038" s="2" t="s">
        <v>60</v>
      </c>
      <c r="C3038" s="2" t="s">
        <v>29819</v>
      </c>
      <c r="D3038" s="2" t="s">
        <v>29820</v>
      </c>
      <c r="E3038" s="2" t="s">
        <v>29821</v>
      </c>
      <c r="G3038" s="3" t="s">
        <v>62</v>
      </c>
      <c r="I3038" s="3" t="s">
        <v>62</v>
      </c>
      <c r="J3038" s="3" t="s">
        <v>62</v>
      </c>
      <c r="K3038" s="3" t="s">
        <v>63</v>
      </c>
      <c r="M3038" s="2" t="s">
        <v>29822</v>
      </c>
      <c r="N3038" s="3" t="s">
        <v>1059</v>
      </c>
      <c r="P3038" s="3" t="s">
        <v>65</v>
      </c>
      <c r="Q3038" s="2" t="s">
        <v>29823</v>
      </c>
      <c r="R3038" s="3" t="s">
        <v>66</v>
      </c>
      <c r="S3038" s="4">
        <v>5</v>
      </c>
      <c r="T3038" s="4">
        <v>5</v>
      </c>
      <c r="U3038" s="5" t="s">
        <v>1570</v>
      </c>
      <c r="V3038" s="5" t="s">
        <v>1570</v>
      </c>
      <c r="W3038" s="5" t="s">
        <v>67</v>
      </c>
      <c r="X3038" s="5" t="s">
        <v>67</v>
      </c>
      <c r="Y3038" s="4">
        <v>169</v>
      </c>
      <c r="Z3038" s="4">
        <v>11</v>
      </c>
      <c r="AA3038" s="4">
        <v>28</v>
      </c>
      <c r="AB3038" s="4">
        <v>1</v>
      </c>
      <c r="AC3038" s="4">
        <v>5</v>
      </c>
      <c r="AD3038" s="4">
        <v>63</v>
      </c>
      <c r="AE3038" s="4">
        <v>86</v>
      </c>
      <c r="AF3038" s="4">
        <v>0</v>
      </c>
      <c r="AG3038" s="4">
        <v>2</v>
      </c>
      <c r="AH3038" s="4">
        <v>60</v>
      </c>
      <c r="AI3038" s="4">
        <v>74</v>
      </c>
      <c r="AJ3038" s="4">
        <v>9</v>
      </c>
      <c r="AK3038" s="4">
        <v>13</v>
      </c>
      <c r="AL3038" s="4">
        <v>36</v>
      </c>
      <c r="AM3038" s="4">
        <v>43</v>
      </c>
      <c r="AN3038" s="4">
        <v>0</v>
      </c>
      <c r="AO3038" s="4">
        <v>0</v>
      </c>
      <c r="AP3038" s="4">
        <v>9</v>
      </c>
      <c r="AQ3038" s="4">
        <v>19</v>
      </c>
      <c r="AR3038" s="3" t="s">
        <v>62</v>
      </c>
      <c r="AS3038" s="3" t="s">
        <v>62</v>
      </c>
      <c r="AT3038" s="3" t="s">
        <v>61</v>
      </c>
      <c r="AU3038" s="6" t="str">
        <f>HYPERLINK("http://catalog.hathitrust.org/Record/005246628","HathiTrust Record")</f>
        <v>HathiTrust Record</v>
      </c>
      <c r="AV3038" s="6" t="str">
        <f>HYPERLINK("http://mcgill.on.worldcat.org/oclc/65425930","Catalog Record")</f>
        <v>Catalog Record</v>
      </c>
      <c r="AW3038" s="6" t="str">
        <f>HYPERLINK("http://www.worldcat.org/oclc/65425930","WorldCat Record")</f>
        <v>WorldCat Record</v>
      </c>
      <c r="AX3038" s="3" t="s">
        <v>29824</v>
      </c>
      <c r="AY3038" s="3" t="s">
        <v>29825</v>
      </c>
      <c r="AZ3038" s="3" t="s">
        <v>29826</v>
      </c>
      <c r="BA3038" s="3" t="s">
        <v>29826</v>
      </c>
      <c r="BB3038" s="3" t="s">
        <v>29827</v>
      </c>
      <c r="BC3038" s="3" t="s">
        <v>142</v>
      </c>
      <c r="BD3038" s="3" t="s">
        <v>68</v>
      </c>
      <c r="BE3038" s="3" t="s">
        <v>29828</v>
      </c>
      <c r="BF3038" s="3" t="s">
        <v>29827</v>
      </c>
      <c r="BG3038" s="3" t="s">
        <v>29829</v>
      </c>
    </row>
    <row r="3039" spans="1:59" ht="57" x14ac:dyDescent="0.45">
      <c r="A3039" s="2" t="s">
        <v>59</v>
      </c>
      <c r="B3039" s="2" t="s">
        <v>60</v>
      </c>
      <c r="C3039" s="2" t="s">
        <v>29830</v>
      </c>
      <c r="D3039" s="2" t="s">
        <v>29831</v>
      </c>
      <c r="E3039" s="2" t="s">
        <v>29832</v>
      </c>
      <c r="G3039" s="3" t="s">
        <v>62</v>
      </c>
      <c r="I3039" s="3" t="s">
        <v>62</v>
      </c>
      <c r="J3039" s="3" t="s">
        <v>62</v>
      </c>
      <c r="K3039" s="3" t="s">
        <v>63</v>
      </c>
      <c r="M3039" s="2" t="s">
        <v>1178</v>
      </c>
      <c r="N3039" s="3" t="s">
        <v>894</v>
      </c>
      <c r="P3039" s="3" t="s">
        <v>65</v>
      </c>
      <c r="Q3039" s="2" t="s">
        <v>29833</v>
      </c>
      <c r="R3039" s="3" t="s">
        <v>66</v>
      </c>
      <c r="S3039" s="4">
        <v>1</v>
      </c>
      <c r="T3039" s="4">
        <v>1</v>
      </c>
      <c r="U3039" s="5" t="s">
        <v>29834</v>
      </c>
      <c r="V3039" s="5" t="s">
        <v>29834</v>
      </c>
      <c r="W3039" s="5" t="s">
        <v>67</v>
      </c>
      <c r="X3039" s="5" t="s">
        <v>67</v>
      </c>
      <c r="Y3039" s="4">
        <v>63</v>
      </c>
      <c r="Z3039" s="4">
        <v>7</v>
      </c>
      <c r="AA3039" s="4">
        <v>87</v>
      </c>
      <c r="AB3039" s="4">
        <v>1</v>
      </c>
      <c r="AC3039" s="4">
        <v>17</v>
      </c>
      <c r="AD3039" s="4">
        <v>21</v>
      </c>
      <c r="AE3039" s="4">
        <v>101</v>
      </c>
      <c r="AF3039" s="4">
        <v>0</v>
      </c>
      <c r="AG3039" s="4">
        <v>8</v>
      </c>
      <c r="AH3039" s="4">
        <v>18</v>
      </c>
      <c r="AI3039" s="4">
        <v>66</v>
      </c>
      <c r="AJ3039" s="4">
        <v>5</v>
      </c>
      <c r="AK3039" s="4">
        <v>21</v>
      </c>
      <c r="AL3039" s="4">
        <v>15</v>
      </c>
      <c r="AM3039" s="4">
        <v>34</v>
      </c>
      <c r="AN3039" s="4">
        <v>0</v>
      </c>
      <c r="AO3039" s="4">
        <v>0</v>
      </c>
      <c r="AP3039" s="4">
        <v>5</v>
      </c>
      <c r="AQ3039" s="4">
        <v>42</v>
      </c>
      <c r="AR3039" s="3" t="s">
        <v>62</v>
      </c>
      <c r="AS3039" s="3" t="s">
        <v>62</v>
      </c>
      <c r="AT3039" s="3" t="s">
        <v>62</v>
      </c>
      <c r="AV3039" s="6" t="str">
        <f>HYPERLINK("http://mcgill.on.worldcat.org/oclc/695860285","Catalog Record")</f>
        <v>Catalog Record</v>
      </c>
      <c r="AW3039" s="6" t="str">
        <f>HYPERLINK("http://www.worldcat.org/oclc/695860285","WorldCat Record")</f>
        <v>WorldCat Record</v>
      </c>
      <c r="AX3039" s="3" t="s">
        <v>29835</v>
      </c>
      <c r="AY3039" s="3" t="s">
        <v>29836</v>
      </c>
      <c r="AZ3039" s="3" t="s">
        <v>29837</v>
      </c>
      <c r="BA3039" s="3" t="s">
        <v>29837</v>
      </c>
      <c r="BB3039" s="3" t="s">
        <v>29838</v>
      </c>
      <c r="BC3039" s="3" t="s">
        <v>142</v>
      </c>
      <c r="BD3039" s="3" t="s">
        <v>68</v>
      </c>
      <c r="BE3039" s="3" t="s">
        <v>29839</v>
      </c>
      <c r="BF3039" s="3" t="s">
        <v>29838</v>
      </c>
      <c r="BG3039" s="3" t="s">
        <v>29840</v>
      </c>
    </row>
    <row r="3040" spans="1:59" ht="57" x14ac:dyDescent="0.45">
      <c r="A3040" s="2" t="s">
        <v>59</v>
      </c>
      <c r="B3040" s="2" t="s">
        <v>60</v>
      </c>
      <c r="C3040" s="2" t="s">
        <v>29841</v>
      </c>
      <c r="D3040" s="2" t="s">
        <v>29842</v>
      </c>
      <c r="E3040" s="2" t="s">
        <v>29843</v>
      </c>
      <c r="G3040" s="3" t="s">
        <v>62</v>
      </c>
      <c r="I3040" s="3" t="s">
        <v>62</v>
      </c>
      <c r="J3040" s="3" t="s">
        <v>62</v>
      </c>
      <c r="K3040" s="3" t="s">
        <v>63</v>
      </c>
      <c r="M3040" s="2" t="s">
        <v>29844</v>
      </c>
      <c r="N3040" s="3" t="s">
        <v>149</v>
      </c>
      <c r="P3040" s="3" t="s">
        <v>65</v>
      </c>
      <c r="Q3040" s="2" t="s">
        <v>3053</v>
      </c>
      <c r="R3040" s="3" t="s">
        <v>66</v>
      </c>
      <c r="S3040" s="4">
        <v>2</v>
      </c>
      <c r="T3040" s="4">
        <v>2</v>
      </c>
      <c r="U3040" s="5" t="s">
        <v>27665</v>
      </c>
      <c r="V3040" s="5" t="s">
        <v>27665</v>
      </c>
      <c r="W3040" s="5" t="s">
        <v>67</v>
      </c>
      <c r="X3040" s="5" t="s">
        <v>67</v>
      </c>
      <c r="Y3040" s="4">
        <v>83</v>
      </c>
      <c r="Z3040" s="4">
        <v>11</v>
      </c>
      <c r="AA3040" s="4">
        <v>17</v>
      </c>
      <c r="AB3040" s="4">
        <v>1</v>
      </c>
      <c r="AC3040" s="4">
        <v>4</v>
      </c>
      <c r="AD3040" s="4">
        <v>37</v>
      </c>
      <c r="AE3040" s="4">
        <v>46</v>
      </c>
      <c r="AF3040" s="4">
        <v>0</v>
      </c>
      <c r="AG3040" s="4">
        <v>1</v>
      </c>
      <c r="AH3040" s="4">
        <v>35</v>
      </c>
      <c r="AI3040" s="4">
        <v>43</v>
      </c>
      <c r="AJ3040" s="4">
        <v>8</v>
      </c>
      <c r="AK3040" s="4">
        <v>11</v>
      </c>
      <c r="AL3040" s="4">
        <v>24</v>
      </c>
      <c r="AM3040" s="4">
        <v>29</v>
      </c>
      <c r="AN3040" s="4">
        <v>0</v>
      </c>
      <c r="AO3040" s="4">
        <v>0</v>
      </c>
      <c r="AP3040" s="4">
        <v>8</v>
      </c>
      <c r="AQ3040" s="4">
        <v>11</v>
      </c>
      <c r="AR3040" s="3" t="s">
        <v>62</v>
      </c>
      <c r="AS3040" s="3" t="s">
        <v>62</v>
      </c>
      <c r="AT3040" s="3" t="s">
        <v>62</v>
      </c>
      <c r="AV3040" s="6" t="str">
        <f>HYPERLINK("http://mcgill.on.worldcat.org/oclc/226357036","Catalog Record")</f>
        <v>Catalog Record</v>
      </c>
      <c r="AW3040" s="6" t="str">
        <f>HYPERLINK("http://www.worldcat.org/oclc/226357036","WorldCat Record")</f>
        <v>WorldCat Record</v>
      </c>
      <c r="AX3040" s="3" t="s">
        <v>29845</v>
      </c>
      <c r="AY3040" s="3" t="s">
        <v>29846</v>
      </c>
      <c r="AZ3040" s="3" t="s">
        <v>29847</v>
      </c>
      <c r="BA3040" s="3" t="s">
        <v>29847</v>
      </c>
      <c r="BB3040" s="3" t="s">
        <v>29848</v>
      </c>
      <c r="BC3040" s="3" t="s">
        <v>142</v>
      </c>
      <c r="BD3040" s="3" t="s">
        <v>68</v>
      </c>
      <c r="BE3040" s="3" t="s">
        <v>29849</v>
      </c>
      <c r="BF3040" s="3" t="s">
        <v>29848</v>
      </c>
      <c r="BG3040" s="3" t="s">
        <v>29850</v>
      </c>
    </row>
    <row r="3041" spans="1:59" ht="57" x14ac:dyDescent="0.45">
      <c r="A3041" s="2" t="s">
        <v>59</v>
      </c>
      <c r="B3041" s="2" t="s">
        <v>60</v>
      </c>
      <c r="C3041" s="2" t="s">
        <v>29851</v>
      </c>
      <c r="D3041" s="2" t="s">
        <v>29852</v>
      </c>
      <c r="E3041" s="2" t="s">
        <v>29853</v>
      </c>
      <c r="G3041" s="3" t="s">
        <v>62</v>
      </c>
      <c r="I3041" s="3" t="s">
        <v>62</v>
      </c>
      <c r="J3041" s="3" t="s">
        <v>62</v>
      </c>
      <c r="K3041" s="3" t="s">
        <v>63</v>
      </c>
      <c r="M3041" s="2" t="s">
        <v>4162</v>
      </c>
      <c r="N3041" s="3" t="s">
        <v>894</v>
      </c>
      <c r="P3041" s="3" t="s">
        <v>65</v>
      </c>
      <c r="Q3041" s="2" t="s">
        <v>29854</v>
      </c>
      <c r="R3041" s="3" t="s">
        <v>66</v>
      </c>
      <c r="S3041" s="4">
        <v>1</v>
      </c>
      <c r="T3041" s="4">
        <v>1</v>
      </c>
      <c r="U3041" s="5" t="s">
        <v>6153</v>
      </c>
      <c r="V3041" s="5" t="s">
        <v>6153</v>
      </c>
      <c r="W3041" s="5" t="s">
        <v>67</v>
      </c>
      <c r="X3041" s="5" t="s">
        <v>67</v>
      </c>
      <c r="Y3041" s="4">
        <v>70</v>
      </c>
      <c r="Z3041" s="4">
        <v>5</v>
      </c>
      <c r="AA3041" s="4">
        <v>21</v>
      </c>
      <c r="AB3041" s="4">
        <v>1</v>
      </c>
      <c r="AC3041" s="4">
        <v>4</v>
      </c>
      <c r="AD3041" s="4">
        <v>25</v>
      </c>
      <c r="AE3041" s="4">
        <v>59</v>
      </c>
      <c r="AF3041" s="4">
        <v>0</v>
      </c>
      <c r="AG3041" s="4">
        <v>2</v>
      </c>
      <c r="AH3041" s="4">
        <v>23</v>
      </c>
      <c r="AI3041" s="4">
        <v>49</v>
      </c>
      <c r="AJ3041" s="4">
        <v>3</v>
      </c>
      <c r="AK3041" s="4">
        <v>9</v>
      </c>
      <c r="AL3041" s="4">
        <v>16</v>
      </c>
      <c r="AM3041" s="4">
        <v>31</v>
      </c>
      <c r="AN3041" s="4">
        <v>0</v>
      </c>
      <c r="AO3041" s="4">
        <v>0</v>
      </c>
      <c r="AP3041" s="4">
        <v>4</v>
      </c>
      <c r="AQ3041" s="4">
        <v>15</v>
      </c>
      <c r="AR3041" s="3" t="s">
        <v>62</v>
      </c>
      <c r="AS3041" s="3" t="s">
        <v>62</v>
      </c>
      <c r="AT3041" s="3" t="s">
        <v>62</v>
      </c>
      <c r="AV3041" s="6" t="str">
        <f>HYPERLINK("http://mcgill.on.worldcat.org/oclc/712780889","Catalog Record")</f>
        <v>Catalog Record</v>
      </c>
      <c r="AW3041" s="6" t="str">
        <f>HYPERLINK("http://www.worldcat.org/oclc/712780889","WorldCat Record")</f>
        <v>WorldCat Record</v>
      </c>
      <c r="AX3041" s="3" t="s">
        <v>29855</v>
      </c>
      <c r="AY3041" s="3" t="s">
        <v>29856</v>
      </c>
      <c r="AZ3041" s="3" t="s">
        <v>29857</v>
      </c>
      <c r="BA3041" s="3" t="s">
        <v>29857</v>
      </c>
      <c r="BB3041" s="3" t="s">
        <v>29858</v>
      </c>
      <c r="BC3041" s="3" t="s">
        <v>142</v>
      </c>
      <c r="BD3041" s="3" t="s">
        <v>68</v>
      </c>
      <c r="BE3041" s="3" t="s">
        <v>29859</v>
      </c>
      <c r="BF3041" s="3" t="s">
        <v>29858</v>
      </c>
      <c r="BG3041" s="3" t="s">
        <v>29860</v>
      </c>
    </row>
    <row r="3042" spans="1:59" ht="57" x14ac:dyDescent="0.45">
      <c r="A3042" s="2" t="s">
        <v>59</v>
      </c>
      <c r="B3042" s="2" t="s">
        <v>60</v>
      </c>
      <c r="C3042" s="2" t="s">
        <v>29861</v>
      </c>
      <c r="D3042" s="2" t="s">
        <v>29862</v>
      </c>
      <c r="E3042" s="2" t="s">
        <v>29863</v>
      </c>
      <c r="G3042" s="3" t="s">
        <v>62</v>
      </c>
      <c r="I3042" s="3" t="s">
        <v>62</v>
      </c>
      <c r="J3042" s="3" t="s">
        <v>62</v>
      </c>
      <c r="K3042" s="3" t="s">
        <v>63</v>
      </c>
      <c r="M3042" s="2" t="s">
        <v>29864</v>
      </c>
      <c r="N3042" s="3" t="s">
        <v>1465</v>
      </c>
      <c r="P3042" s="3" t="s">
        <v>65</v>
      </c>
      <c r="Q3042" s="2" t="s">
        <v>29865</v>
      </c>
      <c r="R3042" s="3" t="s">
        <v>66</v>
      </c>
      <c r="S3042" s="4">
        <v>3</v>
      </c>
      <c r="T3042" s="4">
        <v>3</v>
      </c>
      <c r="U3042" s="5" t="s">
        <v>1570</v>
      </c>
      <c r="V3042" s="5" t="s">
        <v>1570</v>
      </c>
      <c r="W3042" s="5" t="s">
        <v>67</v>
      </c>
      <c r="X3042" s="5" t="s">
        <v>67</v>
      </c>
      <c r="Y3042" s="4">
        <v>115</v>
      </c>
      <c r="Z3042" s="4">
        <v>14</v>
      </c>
      <c r="AA3042" s="4">
        <v>103</v>
      </c>
      <c r="AB3042" s="4">
        <v>3</v>
      </c>
      <c r="AC3042" s="4">
        <v>18</v>
      </c>
      <c r="AD3042" s="4">
        <v>52</v>
      </c>
      <c r="AE3042" s="4">
        <v>124</v>
      </c>
      <c r="AF3042" s="4">
        <v>1</v>
      </c>
      <c r="AG3042" s="4">
        <v>8</v>
      </c>
      <c r="AH3042" s="4">
        <v>47</v>
      </c>
      <c r="AI3042" s="4">
        <v>85</v>
      </c>
      <c r="AJ3042" s="4">
        <v>10</v>
      </c>
      <c r="AK3042" s="4">
        <v>25</v>
      </c>
      <c r="AL3042" s="4">
        <v>31</v>
      </c>
      <c r="AM3042" s="4">
        <v>46</v>
      </c>
      <c r="AN3042" s="4">
        <v>0</v>
      </c>
      <c r="AO3042" s="4">
        <v>0</v>
      </c>
      <c r="AP3042" s="4">
        <v>10</v>
      </c>
      <c r="AQ3042" s="4">
        <v>47</v>
      </c>
      <c r="AR3042" s="3" t="s">
        <v>62</v>
      </c>
      <c r="AS3042" s="3" t="s">
        <v>62</v>
      </c>
      <c r="AT3042" s="3" t="s">
        <v>62</v>
      </c>
      <c r="AV3042" s="6" t="str">
        <f>HYPERLINK("http://mcgill.on.worldcat.org/oclc/367421154","Catalog Record")</f>
        <v>Catalog Record</v>
      </c>
      <c r="AW3042" s="6" t="str">
        <f>HYPERLINK("http://www.worldcat.org/oclc/367421154","WorldCat Record")</f>
        <v>WorldCat Record</v>
      </c>
      <c r="AX3042" s="3" t="s">
        <v>29866</v>
      </c>
      <c r="AY3042" s="3" t="s">
        <v>29867</v>
      </c>
      <c r="AZ3042" s="3" t="s">
        <v>29868</v>
      </c>
      <c r="BA3042" s="3" t="s">
        <v>29868</v>
      </c>
      <c r="BB3042" s="3" t="s">
        <v>29869</v>
      </c>
      <c r="BC3042" s="3" t="s">
        <v>142</v>
      </c>
      <c r="BD3042" s="3" t="s">
        <v>68</v>
      </c>
      <c r="BE3042" s="3" t="s">
        <v>29870</v>
      </c>
      <c r="BF3042" s="3" t="s">
        <v>29869</v>
      </c>
      <c r="BG3042" s="3" t="s">
        <v>29871</v>
      </c>
    </row>
    <row r="3043" spans="1:59" ht="57" x14ac:dyDescent="0.45">
      <c r="A3043" s="2" t="s">
        <v>59</v>
      </c>
      <c r="B3043" s="2" t="s">
        <v>60</v>
      </c>
      <c r="C3043" s="2" t="s">
        <v>29872</v>
      </c>
      <c r="D3043" s="2" t="s">
        <v>29873</v>
      </c>
      <c r="E3043" s="2" t="s">
        <v>29874</v>
      </c>
      <c r="G3043" s="3" t="s">
        <v>62</v>
      </c>
      <c r="I3043" s="3" t="s">
        <v>62</v>
      </c>
      <c r="J3043" s="3" t="s">
        <v>61</v>
      </c>
      <c r="K3043" s="3" t="s">
        <v>63</v>
      </c>
      <c r="L3043" s="2" t="s">
        <v>29875</v>
      </c>
      <c r="M3043" s="2" t="s">
        <v>29876</v>
      </c>
      <c r="N3043" s="3" t="s">
        <v>820</v>
      </c>
      <c r="O3043" s="2" t="s">
        <v>906</v>
      </c>
      <c r="P3043" s="3" t="s">
        <v>65</v>
      </c>
      <c r="R3043" s="3" t="s">
        <v>66</v>
      </c>
      <c r="S3043" s="4">
        <v>3</v>
      </c>
      <c r="T3043" s="4">
        <v>3</v>
      </c>
      <c r="U3043" s="5" t="s">
        <v>19964</v>
      </c>
      <c r="V3043" s="5" t="s">
        <v>19964</v>
      </c>
      <c r="W3043" s="5" t="s">
        <v>67</v>
      </c>
      <c r="X3043" s="5" t="s">
        <v>67</v>
      </c>
      <c r="Y3043" s="4">
        <v>136</v>
      </c>
      <c r="Z3043" s="4">
        <v>6</v>
      </c>
      <c r="AA3043" s="4">
        <v>25</v>
      </c>
      <c r="AB3043" s="4">
        <v>1</v>
      </c>
      <c r="AC3043" s="4">
        <v>7</v>
      </c>
      <c r="AD3043" s="4">
        <v>23</v>
      </c>
      <c r="AE3043" s="4">
        <v>90</v>
      </c>
      <c r="AF3043" s="4">
        <v>0</v>
      </c>
      <c r="AG3043" s="4">
        <v>3</v>
      </c>
      <c r="AH3043" s="4">
        <v>22</v>
      </c>
      <c r="AI3043" s="4">
        <v>79</v>
      </c>
      <c r="AJ3043" s="4">
        <v>5</v>
      </c>
      <c r="AK3043" s="4">
        <v>17</v>
      </c>
      <c r="AL3043" s="4">
        <v>13</v>
      </c>
      <c r="AM3043" s="4">
        <v>45</v>
      </c>
      <c r="AN3043" s="4">
        <v>0</v>
      </c>
      <c r="AO3043" s="4">
        <v>0</v>
      </c>
      <c r="AP3043" s="4">
        <v>5</v>
      </c>
      <c r="AQ3043" s="4">
        <v>19</v>
      </c>
      <c r="AR3043" s="3" t="s">
        <v>62</v>
      </c>
      <c r="AS3043" s="3" t="s">
        <v>62</v>
      </c>
      <c r="AT3043" s="3" t="s">
        <v>62</v>
      </c>
      <c r="AV3043" s="6" t="str">
        <f>HYPERLINK("http://mcgill.on.worldcat.org/oclc/232984602","Catalog Record")</f>
        <v>Catalog Record</v>
      </c>
      <c r="AW3043" s="6" t="str">
        <f>HYPERLINK("http://www.worldcat.org/oclc/232984602","WorldCat Record")</f>
        <v>WorldCat Record</v>
      </c>
      <c r="AX3043" s="3" t="s">
        <v>29877</v>
      </c>
      <c r="AY3043" s="3" t="s">
        <v>29878</v>
      </c>
      <c r="AZ3043" s="3" t="s">
        <v>29879</v>
      </c>
      <c r="BA3043" s="3" t="s">
        <v>29879</v>
      </c>
      <c r="BB3043" s="3" t="s">
        <v>29880</v>
      </c>
      <c r="BC3043" s="3" t="s">
        <v>142</v>
      </c>
      <c r="BD3043" s="3" t="s">
        <v>68</v>
      </c>
      <c r="BE3043" s="3" t="s">
        <v>29881</v>
      </c>
      <c r="BF3043" s="3" t="s">
        <v>29880</v>
      </c>
      <c r="BG3043" s="3" t="s">
        <v>29882</v>
      </c>
    </row>
    <row r="3044" spans="1:59" ht="57" x14ac:dyDescent="0.45">
      <c r="A3044" s="2" t="s">
        <v>59</v>
      </c>
      <c r="B3044" s="2" t="s">
        <v>60</v>
      </c>
      <c r="C3044" s="2" t="s">
        <v>29883</v>
      </c>
      <c r="D3044" s="2" t="s">
        <v>29884</v>
      </c>
      <c r="E3044" s="2" t="s">
        <v>29874</v>
      </c>
      <c r="G3044" s="3" t="s">
        <v>62</v>
      </c>
      <c r="I3044" s="3" t="s">
        <v>62</v>
      </c>
      <c r="J3044" s="3" t="s">
        <v>61</v>
      </c>
      <c r="K3044" s="3" t="s">
        <v>63</v>
      </c>
      <c r="L3044" s="2" t="s">
        <v>29875</v>
      </c>
      <c r="M3044" s="2" t="s">
        <v>29885</v>
      </c>
      <c r="N3044" s="3" t="s">
        <v>958</v>
      </c>
      <c r="P3044" s="3" t="s">
        <v>65</v>
      </c>
      <c r="R3044" s="3" t="s">
        <v>66</v>
      </c>
      <c r="S3044" s="4">
        <v>17</v>
      </c>
      <c r="T3044" s="4">
        <v>17</v>
      </c>
      <c r="U3044" s="5" t="s">
        <v>4187</v>
      </c>
      <c r="V3044" s="5" t="s">
        <v>4187</v>
      </c>
      <c r="W3044" s="5" t="s">
        <v>67</v>
      </c>
      <c r="X3044" s="5" t="s">
        <v>67</v>
      </c>
      <c r="Y3044" s="4">
        <v>214</v>
      </c>
      <c r="Z3044" s="4">
        <v>14</v>
      </c>
      <c r="AA3044" s="4">
        <v>25</v>
      </c>
      <c r="AB3044" s="4">
        <v>1</v>
      </c>
      <c r="AC3044" s="4">
        <v>7</v>
      </c>
      <c r="AD3044" s="4">
        <v>55</v>
      </c>
      <c r="AE3044" s="4">
        <v>90</v>
      </c>
      <c r="AF3044" s="4">
        <v>0</v>
      </c>
      <c r="AG3044" s="4">
        <v>3</v>
      </c>
      <c r="AH3044" s="4">
        <v>50</v>
      </c>
      <c r="AI3044" s="4">
        <v>79</v>
      </c>
      <c r="AJ3044" s="4">
        <v>11</v>
      </c>
      <c r="AK3044" s="4">
        <v>17</v>
      </c>
      <c r="AL3044" s="4">
        <v>30</v>
      </c>
      <c r="AM3044" s="4">
        <v>45</v>
      </c>
      <c r="AN3044" s="4">
        <v>0</v>
      </c>
      <c r="AO3044" s="4">
        <v>0</v>
      </c>
      <c r="AP3044" s="4">
        <v>11</v>
      </c>
      <c r="AQ3044" s="4">
        <v>19</v>
      </c>
      <c r="AR3044" s="3" t="s">
        <v>62</v>
      </c>
      <c r="AS3044" s="3" t="s">
        <v>62</v>
      </c>
      <c r="AT3044" s="3" t="s">
        <v>62</v>
      </c>
      <c r="AV3044" s="6" t="str">
        <f>HYPERLINK("http://mcgill.on.worldcat.org/oclc/32139269","Catalog Record")</f>
        <v>Catalog Record</v>
      </c>
      <c r="AW3044" s="6" t="str">
        <f>HYPERLINK("http://www.worldcat.org/oclc/32139269","WorldCat Record")</f>
        <v>WorldCat Record</v>
      </c>
      <c r="AX3044" s="3" t="s">
        <v>29877</v>
      </c>
      <c r="AY3044" s="3" t="s">
        <v>29886</v>
      </c>
      <c r="AZ3044" s="3" t="s">
        <v>29887</v>
      </c>
      <c r="BA3044" s="3" t="s">
        <v>29887</v>
      </c>
      <c r="BB3044" s="3" t="s">
        <v>29888</v>
      </c>
      <c r="BC3044" s="3" t="s">
        <v>142</v>
      </c>
      <c r="BD3044" s="3" t="s">
        <v>68</v>
      </c>
      <c r="BE3044" s="3" t="s">
        <v>29889</v>
      </c>
      <c r="BF3044" s="3" t="s">
        <v>29888</v>
      </c>
      <c r="BG3044" s="3" t="s">
        <v>29890</v>
      </c>
    </row>
    <row r="3045" spans="1:59" ht="57" x14ac:dyDescent="0.45">
      <c r="A3045" s="2" t="s">
        <v>59</v>
      </c>
      <c r="B3045" s="2" t="s">
        <v>60</v>
      </c>
      <c r="C3045" s="2" t="s">
        <v>29891</v>
      </c>
      <c r="D3045" s="2" t="s">
        <v>29892</v>
      </c>
      <c r="E3045" s="2" t="s">
        <v>29893</v>
      </c>
      <c r="G3045" s="3" t="s">
        <v>62</v>
      </c>
      <c r="I3045" s="3" t="s">
        <v>62</v>
      </c>
      <c r="J3045" s="3" t="s">
        <v>62</v>
      </c>
      <c r="K3045" s="3" t="s">
        <v>63</v>
      </c>
      <c r="M3045" s="2" t="s">
        <v>29894</v>
      </c>
      <c r="N3045" s="3" t="s">
        <v>1097</v>
      </c>
      <c r="P3045" s="3" t="s">
        <v>65</v>
      </c>
      <c r="Q3045" s="2" t="s">
        <v>3014</v>
      </c>
      <c r="R3045" s="3" t="s">
        <v>66</v>
      </c>
      <c r="S3045" s="4">
        <v>12</v>
      </c>
      <c r="T3045" s="4">
        <v>12</v>
      </c>
      <c r="U3045" s="5" t="s">
        <v>9790</v>
      </c>
      <c r="V3045" s="5" t="s">
        <v>9790</v>
      </c>
      <c r="W3045" s="5" t="s">
        <v>67</v>
      </c>
      <c r="X3045" s="5" t="s">
        <v>67</v>
      </c>
      <c r="Y3045" s="4">
        <v>311</v>
      </c>
      <c r="Z3045" s="4">
        <v>19</v>
      </c>
      <c r="AA3045" s="4">
        <v>54</v>
      </c>
      <c r="AB3045" s="4">
        <v>2</v>
      </c>
      <c r="AC3045" s="4">
        <v>9</v>
      </c>
      <c r="AD3045" s="4">
        <v>85</v>
      </c>
      <c r="AE3045" s="4">
        <v>122</v>
      </c>
      <c r="AF3045" s="4">
        <v>1</v>
      </c>
      <c r="AG3045" s="4">
        <v>5</v>
      </c>
      <c r="AH3045" s="4">
        <v>74</v>
      </c>
      <c r="AI3045" s="4">
        <v>99</v>
      </c>
      <c r="AJ3045" s="4">
        <v>13</v>
      </c>
      <c r="AK3045" s="4">
        <v>20</v>
      </c>
      <c r="AL3045" s="4">
        <v>44</v>
      </c>
      <c r="AM3045" s="4">
        <v>54</v>
      </c>
      <c r="AN3045" s="4">
        <v>0</v>
      </c>
      <c r="AO3045" s="4">
        <v>0</v>
      </c>
      <c r="AP3045" s="4">
        <v>16</v>
      </c>
      <c r="AQ3045" s="4">
        <v>30</v>
      </c>
      <c r="AR3045" s="3" t="s">
        <v>62</v>
      </c>
      <c r="AS3045" s="3" t="s">
        <v>62</v>
      </c>
      <c r="AT3045" s="3" t="s">
        <v>62</v>
      </c>
      <c r="AV3045" s="6" t="str">
        <f>HYPERLINK("http://mcgill.on.worldcat.org/oclc/52714483","Catalog Record")</f>
        <v>Catalog Record</v>
      </c>
      <c r="AW3045" s="6" t="str">
        <f>HYPERLINK("http://www.worldcat.org/oclc/52714483","WorldCat Record")</f>
        <v>WorldCat Record</v>
      </c>
      <c r="AX3045" s="3" t="s">
        <v>29895</v>
      </c>
      <c r="AY3045" s="3" t="s">
        <v>29896</v>
      </c>
      <c r="AZ3045" s="3" t="s">
        <v>29897</v>
      </c>
      <c r="BA3045" s="3" t="s">
        <v>29897</v>
      </c>
      <c r="BB3045" s="3" t="s">
        <v>29898</v>
      </c>
      <c r="BC3045" s="3" t="s">
        <v>142</v>
      </c>
      <c r="BD3045" s="3" t="s">
        <v>68</v>
      </c>
      <c r="BE3045" s="3" t="s">
        <v>29899</v>
      </c>
      <c r="BF3045" s="3" t="s">
        <v>29898</v>
      </c>
      <c r="BG3045" s="3" t="s">
        <v>29900</v>
      </c>
    </row>
    <row r="3046" spans="1:59" ht="57" x14ac:dyDescent="0.45">
      <c r="A3046" s="2" t="s">
        <v>59</v>
      </c>
      <c r="B3046" s="2" t="s">
        <v>60</v>
      </c>
      <c r="C3046" s="2" t="s">
        <v>29901</v>
      </c>
      <c r="D3046" s="2" t="s">
        <v>29902</v>
      </c>
      <c r="E3046" s="2" t="s">
        <v>29903</v>
      </c>
      <c r="G3046" s="3" t="s">
        <v>62</v>
      </c>
      <c r="I3046" s="3" t="s">
        <v>62</v>
      </c>
      <c r="J3046" s="3" t="s">
        <v>62</v>
      </c>
      <c r="K3046" s="3" t="s">
        <v>63</v>
      </c>
      <c r="L3046" s="2" t="s">
        <v>29904</v>
      </c>
      <c r="M3046" s="2" t="s">
        <v>29905</v>
      </c>
      <c r="N3046" s="3" t="s">
        <v>945</v>
      </c>
      <c r="P3046" s="3" t="s">
        <v>65</v>
      </c>
      <c r="Q3046" s="2" t="s">
        <v>29906</v>
      </c>
      <c r="R3046" s="3" t="s">
        <v>66</v>
      </c>
      <c r="S3046" s="4">
        <v>14</v>
      </c>
      <c r="T3046" s="4">
        <v>14</v>
      </c>
      <c r="U3046" s="5" t="s">
        <v>19032</v>
      </c>
      <c r="V3046" s="5" t="s">
        <v>19032</v>
      </c>
      <c r="W3046" s="5" t="s">
        <v>67</v>
      </c>
      <c r="X3046" s="5" t="s">
        <v>67</v>
      </c>
      <c r="Y3046" s="4">
        <v>217</v>
      </c>
      <c r="Z3046" s="4">
        <v>13</v>
      </c>
      <c r="AA3046" s="4">
        <v>26</v>
      </c>
      <c r="AB3046" s="4">
        <v>2</v>
      </c>
      <c r="AC3046" s="4">
        <v>6</v>
      </c>
      <c r="AD3046" s="4">
        <v>58</v>
      </c>
      <c r="AE3046" s="4">
        <v>67</v>
      </c>
      <c r="AF3046" s="4">
        <v>1</v>
      </c>
      <c r="AG3046" s="4">
        <v>3</v>
      </c>
      <c r="AH3046" s="4">
        <v>52</v>
      </c>
      <c r="AI3046" s="4">
        <v>59</v>
      </c>
      <c r="AJ3046" s="4">
        <v>9</v>
      </c>
      <c r="AK3046" s="4">
        <v>13</v>
      </c>
      <c r="AL3046" s="4">
        <v>32</v>
      </c>
      <c r="AM3046" s="4">
        <v>34</v>
      </c>
      <c r="AN3046" s="4">
        <v>1</v>
      </c>
      <c r="AO3046" s="4">
        <v>1</v>
      </c>
      <c r="AP3046" s="4">
        <v>11</v>
      </c>
      <c r="AQ3046" s="4">
        <v>16</v>
      </c>
      <c r="AR3046" s="3" t="s">
        <v>62</v>
      </c>
      <c r="AS3046" s="3" t="s">
        <v>62</v>
      </c>
      <c r="AT3046" s="3" t="s">
        <v>61</v>
      </c>
      <c r="AU3046" s="6" t="str">
        <f>HYPERLINK("http://catalog.hathitrust.org/Record/005405478","HathiTrust Record")</f>
        <v>HathiTrust Record</v>
      </c>
      <c r="AV3046" s="6" t="str">
        <f>HYPERLINK("http://mcgill.on.worldcat.org/oclc/67945409","Catalog Record")</f>
        <v>Catalog Record</v>
      </c>
      <c r="AW3046" s="6" t="str">
        <f>HYPERLINK("http://www.worldcat.org/oclc/67945409","WorldCat Record")</f>
        <v>WorldCat Record</v>
      </c>
      <c r="AX3046" s="3" t="s">
        <v>29907</v>
      </c>
      <c r="AY3046" s="3" t="s">
        <v>29908</v>
      </c>
      <c r="AZ3046" s="3" t="s">
        <v>29909</v>
      </c>
      <c r="BA3046" s="3" t="s">
        <v>29909</v>
      </c>
      <c r="BB3046" s="3" t="s">
        <v>29910</v>
      </c>
      <c r="BC3046" s="3" t="s">
        <v>142</v>
      </c>
      <c r="BD3046" s="3" t="s">
        <v>68</v>
      </c>
      <c r="BE3046" s="3" t="s">
        <v>29911</v>
      </c>
      <c r="BF3046" s="3" t="s">
        <v>29910</v>
      </c>
      <c r="BG3046" s="3" t="s">
        <v>29912</v>
      </c>
    </row>
    <row r="3047" spans="1:59" ht="57" x14ac:dyDescent="0.45">
      <c r="A3047" s="2" t="s">
        <v>59</v>
      </c>
      <c r="B3047" s="2" t="s">
        <v>60</v>
      </c>
      <c r="C3047" s="2" t="s">
        <v>29913</v>
      </c>
      <c r="D3047" s="2" t="s">
        <v>29914</v>
      </c>
      <c r="E3047" s="2" t="s">
        <v>29915</v>
      </c>
      <c r="G3047" s="3" t="s">
        <v>62</v>
      </c>
      <c r="I3047" s="3" t="s">
        <v>62</v>
      </c>
      <c r="J3047" s="3" t="s">
        <v>62</v>
      </c>
      <c r="K3047" s="3" t="s">
        <v>63</v>
      </c>
      <c r="L3047" s="2" t="s">
        <v>29904</v>
      </c>
      <c r="M3047" s="2" t="s">
        <v>28286</v>
      </c>
      <c r="N3047" s="3" t="s">
        <v>1155</v>
      </c>
      <c r="P3047" s="3" t="s">
        <v>65</v>
      </c>
      <c r="R3047" s="3" t="s">
        <v>66</v>
      </c>
      <c r="S3047" s="4">
        <v>0</v>
      </c>
      <c r="T3047" s="4">
        <v>0</v>
      </c>
      <c r="W3047" s="5" t="s">
        <v>67</v>
      </c>
      <c r="X3047" s="5" t="s">
        <v>67</v>
      </c>
      <c r="Y3047" s="4">
        <v>74</v>
      </c>
      <c r="Z3047" s="4">
        <v>9</v>
      </c>
      <c r="AA3047" s="4">
        <v>11</v>
      </c>
      <c r="AB3047" s="4">
        <v>1</v>
      </c>
      <c r="AC3047" s="4">
        <v>3</v>
      </c>
      <c r="AD3047" s="4">
        <v>24</v>
      </c>
      <c r="AE3047" s="4">
        <v>26</v>
      </c>
      <c r="AF3047" s="4">
        <v>0</v>
      </c>
      <c r="AG3047" s="4">
        <v>1</v>
      </c>
      <c r="AH3047" s="4">
        <v>21</v>
      </c>
      <c r="AI3047" s="4">
        <v>23</v>
      </c>
      <c r="AJ3047" s="4">
        <v>7</v>
      </c>
      <c r="AK3047" s="4">
        <v>8</v>
      </c>
      <c r="AL3047" s="4">
        <v>9</v>
      </c>
      <c r="AM3047" s="4">
        <v>10</v>
      </c>
      <c r="AN3047" s="4">
        <v>0</v>
      </c>
      <c r="AO3047" s="4">
        <v>0</v>
      </c>
      <c r="AP3047" s="4">
        <v>8</v>
      </c>
      <c r="AQ3047" s="4">
        <v>9</v>
      </c>
      <c r="AR3047" s="3" t="s">
        <v>62</v>
      </c>
      <c r="AS3047" s="3" t="s">
        <v>62</v>
      </c>
      <c r="AT3047" s="3" t="s">
        <v>62</v>
      </c>
      <c r="AV3047" s="6" t="str">
        <f>HYPERLINK("http://mcgill.on.worldcat.org/oclc/812423994","Catalog Record")</f>
        <v>Catalog Record</v>
      </c>
      <c r="AW3047" s="6" t="str">
        <f>HYPERLINK("http://www.worldcat.org/oclc/812423994","WorldCat Record")</f>
        <v>WorldCat Record</v>
      </c>
      <c r="AX3047" s="3" t="s">
        <v>29916</v>
      </c>
      <c r="AY3047" s="3" t="s">
        <v>29917</v>
      </c>
      <c r="AZ3047" s="3" t="s">
        <v>29918</v>
      </c>
      <c r="BA3047" s="3" t="s">
        <v>29918</v>
      </c>
      <c r="BB3047" s="3" t="s">
        <v>29919</v>
      </c>
      <c r="BC3047" s="3" t="s">
        <v>142</v>
      </c>
      <c r="BD3047" s="3" t="s">
        <v>68</v>
      </c>
      <c r="BE3047" s="3" t="s">
        <v>29920</v>
      </c>
      <c r="BF3047" s="3" t="s">
        <v>29919</v>
      </c>
      <c r="BG3047" s="3" t="s">
        <v>29921</v>
      </c>
    </row>
    <row r="3048" spans="1:59" ht="57" x14ac:dyDescent="0.45">
      <c r="A3048" s="2" t="s">
        <v>59</v>
      </c>
      <c r="B3048" s="2" t="s">
        <v>60</v>
      </c>
      <c r="C3048" s="2" t="s">
        <v>29922</v>
      </c>
      <c r="D3048" s="2" t="s">
        <v>29923</v>
      </c>
      <c r="E3048" s="2" t="s">
        <v>29924</v>
      </c>
      <c r="G3048" s="3" t="s">
        <v>62</v>
      </c>
      <c r="I3048" s="3" t="s">
        <v>62</v>
      </c>
      <c r="J3048" s="3" t="s">
        <v>62</v>
      </c>
      <c r="K3048" s="3" t="s">
        <v>63</v>
      </c>
      <c r="M3048" s="2" t="s">
        <v>819</v>
      </c>
      <c r="N3048" s="3" t="s">
        <v>820</v>
      </c>
      <c r="P3048" s="3" t="s">
        <v>65</v>
      </c>
      <c r="Q3048" s="2" t="s">
        <v>29925</v>
      </c>
      <c r="R3048" s="3" t="s">
        <v>66</v>
      </c>
      <c r="S3048" s="4">
        <v>3</v>
      </c>
      <c r="T3048" s="4">
        <v>3</v>
      </c>
      <c r="U3048" s="5" t="s">
        <v>1570</v>
      </c>
      <c r="V3048" s="5" t="s">
        <v>1570</v>
      </c>
      <c r="W3048" s="5" t="s">
        <v>67</v>
      </c>
      <c r="X3048" s="5" t="s">
        <v>67</v>
      </c>
      <c r="Y3048" s="4">
        <v>82</v>
      </c>
      <c r="Z3048" s="4">
        <v>8</v>
      </c>
      <c r="AA3048" s="4">
        <v>89</v>
      </c>
      <c r="AB3048" s="4">
        <v>1</v>
      </c>
      <c r="AC3048" s="4">
        <v>17</v>
      </c>
      <c r="AD3048" s="4">
        <v>27</v>
      </c>
      <c r="AE3048" s="4">
        <v>99</v>
      </c>
      <c r="AF3048" s="4">
        <v>0</v>
      </c>
      <c r="AG3048" s="4">
        <v>8</v>
      </c>
      <c r="AH3048" s="4">
        <v>27</v>
      </c>
      <c r="AI3048" s="4">
        <v>65</v>
      </c>
      <c r="AJ3048" s="4">
        <v>5</v>
      </c>
      <c r="AK3048" s="4">
        <v>21</v>
      </c>
      <c r="AL3048" s="4">
        <v>18</v>
      </c>
      <c r="AM3048" s="4">
        <v>35</v>
      </c>
      <c r="AN3048" s="4">
        <v>0</v>
      </c>
      <c r="AO3048" s="4">
        <v>0</v>
      </c>
      <c r="AP3048" s="4">
        <v>5</v>
      </c>
      <c r="AQ3048" s="4">
        <v>42</v>
      </c>
      <c r="AR3048" s="3" t="s">
        <v>62</v>
      </c>
      <c r="AS3048" s="3" t="s">
        <v>62</v>
      </c>
      <c r="AT3048" s="3" t="s">
        <v>62</v>
      </c>
      <c r="AV3048" s="6" t="str">
        <f>HYPERLINK("http://mcgill.on.worldcat.org/oclc/232536690","Catalog Record")</f>
        <v>Catalog Record</v>
      </c>
      <c r="AW3048" s="6" t="str">
        <f>HYPERLINK("http://www.worldcat.org/oclc/232536690","WorldCat Record")</f>
        <v>WorldCat Record</v>
      </c>
      <c r="AX3048" s="3" t="s">
        <v>29926</v>
      </c>
      <c r="AY3048" s="3" t="s">
        <v>29927</v>
      </c>
      <c r="AZ3048" s="3" t="s">
        <v>29928</v>
      </c>
      <c r="BA3048" s="3" t="s">
        <v>29928</v>
      </c>
      <c r="BB3048" s="3" t="s">
        <v>29929</v>
      </c>
      <c r="BC3048" s="3" t="s">
        <v>142</v>
      </c>
      <c r="BD3048" s="3" t="s">
        <v>68</v>
      </c>
      <c r="BE3048" s="3" t="s">
        <v>29930</v>
      </c>
      <c r="BF3048" s="3" t="s">
        <v>29929</v>
      </c>
      <c r="BG3048" s="3" t="s">
        <v>29931</v>
      </c>
    </row>
    <row r="3049" spans="1:59" ht="57" x14ac:dyDescent="0.45">
      <c r="A3049" s="2" t="s">
        <v>59</v>
      </c>
      <c r="B3049" s="2" t="s">
        <v>60</v>
      </c>
      <c r="C3049" s="2" t="s">
        <v>29932</v>
      </c>
      <c r="D3049" s="2" t="s">
        <v>29933</v>
      </c>
      <c r="E3049" s="2" t="s">
        <v>29934</v>
      </c>
      <c r="G3049" s="3" t="s">
        <v>62</v>
      </c>
      <c r="I3049" s="3" t="s">
        <v>62</v>
      </c>
      <c r="J3049" s="3" t="s">
        <v>62</v>
      </c>
      <c r="K3049" s="3" t="s">
        <v>63</v>
      </c>
      <c r="L3049" s="2" t="s">
        <v>29935</v>
      </c>
      <c r="M3049" s="2" t="s">
        <v>27587</v>
      </c>
      <c r="N3049" s="3" t="s">
        <v>894</v>
      </c>
      <c r="P3049" s="3" t="s">
        <v>65</v>
      </c>
      <c r="R3049" s="3" t="s">
        <v>66</v>
      </c>
      <c r="S3049" s="4">
        <v>0</v>
      </c>
      <c r="T3049" s="4">
        <v>0</v>
      </c>
      <c r="W3049" s="5" t="s">
        <v>67</v>
      </c>
      <c r="X3049" s="5" t="s">
        <v>67</v>
      </c>
      <c r="Y3049" s="4">
        <v>36</v>
      </c>
      <c r="Z3049" s="4">
        <v>7</v>
      </c>
      <c r="AA3049" s="4">
        <v>78</v>
      </c>
      <c r="AB3049" s="4">
        <v>1</v>
      </c>
      <c r="AC3049" s="4">
        <v>14</v>
      </c>
      <c r="AD3049" s="4">
        <v>19</v>
      </c>
      <c r="AE3049" s="4">
        <v>84</v>
      </c>
      <c r="AF3049" s="4">
        <v>0</v>
      </c>
      <c r="AG3049" s="4">
        <v>8</v>
      </c>
      <c r="AH3049" s="4">
        <v>18</v>
      </c>
      <c r="AI3049" s="4">
        <v>53</v>
      </c>
      <c r="AJ3049" s="4">
        <v>6</v>
      </c>
      <c r="AK3049" s="4">
        <v>18</v>
      </c>
      <c r="AL3049" s="4">
        <v>11</v>
      </c>
      <c r="AM3049" s="4">
        <v>28</v>
      </c>
      <c r="AN3049" s="4">
        <v>0</v>
      </c>
      <c r="AO3049" s="4">
        <v>0</v>
      </c>
      <c r="AP3049" s="4">
        <v>6</v>
      </c>
      <c r="AQ3049" s="4">
        <v>38</v>
      </c>
      <c r="AR3049" s="3" t="s">
        <v>62</v>
      </c>
      <c r="AS3049" s="3" t="s">
        <v>62</v>
      </c>
      <c r="AT3049" s="3" t="s">
        <v>62</v>
      </c>
      <c r="AV3049" s="6" t="str">
        <f>HYPERLINK("http://mcgill.on.worldcat.org/oclc/730403539","Catalog Record")</f>
        <v>Catalog Record</v>
      </c>
      <c r="AW3049" s="6" t="str">
        <f>HYPERLINK("http://www.worldcat.org/oclc/730403539","WorldCat Record")</f>
        <v>WorldCat Record</v>
      </c>
      <c r="AX3049" s="3" t="s">
        <v>29936</v>
      </c>
      <c r="AY3049" s="3" t="s">
        <v>29937</v>
      </c>
      <c r="AZ3049" s="3" t="s">
        <v>29938</v>
      </c>
      <c r="BA3049" s="3" t="s">
        <v>29938</v>
      </c>
      <c r="BB3049" s="3" t="s">
        <v>29939</v>
      </c>
      <c r="BC3049" s="3" t="s">
        <v>142</v>
      </c>
      <c r="BD3049" s="3" t="s">
        <v>68</v>
      </c>
      <c r="BE3049" s="3" t="s">
        <v>29940</v>
      </c>
      <c r="BF3049" s="3" t="s">
        <v>29939</v>
      </c>
      <c r="BG3049" s="3" t="s">
        <v>29941</v>
      </c>
    </row>
    <row r="3050" spans="1:59" ht="57" x14ac:dyDescent="0.45">
      <c r="A3050" s="2" t="s">
        <v>59</v>
      </c>
      <c r="B3050" s="2" t="s">
        <v>60</v>
      </c>
      <c r="C3050" s="2" t="s">
        <v>29942</v>
      </c>
      <c r="D3050" s="2" t="s">
        <v>29943</v>
      </c>
      <c r="E3050" s="2" t="s">
        <v>29944</v>
      </c>
      <c r="G3050" s="3" t="s">
        <v>62</v>
      </c>
      <c r="I3050" s="3" t="s">
        <v>62</v>
      </c>
      <c r="J3050" s="3" t="s">
        <v>62</v>
      </c>
      <c r="K3050" s="3" t="s">
        <v>63</v>
      </c>
      <c r="L3050" s="2" t="s">
        <v>29945</v>
      </c>
      <c r="M3050" s="2" t="s">
        <v>29946</v>
      </c>
      <c r="N3050" s="3" t="s">
        <v>625</v>
      </c>
      <c r="O3050" s="2" t="s">
        <v>29947</v>
      </c>
      <c r="P3050" s="3" t="s">
        <v>110</v>
      </c>
      <c r="Q3050" s="2" t="s">
        <v>496</v>
      </c>
      <c r="R3050" s="3" t="s">
        <v>66</v>
      </c>
      <c r="S3050" s="4">
        <v>2</v>
      </c>
      <c r="T3050" s="4">
        <v>2</v>
      </c>
      <c r="U3050" s="5" t="s">
        <v>17723</v>
      </c>
      <c r="V3050" s="5" t="s">
        <v>17723</v>
      </c>
      <c r="W3050" s="5" t="s">
        <v>67</v>
      </c>
      <c r="X3050" s="5" t="s">
        <v>67</v>
      </c>
      <c r="Y3050" s="4">
        <v>2</v>
      </c>
      <c r="Z3050" s="4">
        <v>1</v>
      </c>
      <c r="AA3050" s="4">
        <v>33</v>
      </c>
      <c r="AB3050" s="4">
        <v>1</v>
      </c>
      <c r="AC3050" s="4">
        <v>12</v>
      </c>
      <c r="AD3050" s="4">
        <v>0</v>
      </c>
      <c r="AE3050" s="4">
        <v>56</v>
      </c>
      <c r="AF3050" s="4">
        <v>0</v>
      </c>
      <c r="AG3050" s="4">
        <v>5</v>
      </c>
      <c r="AH3050" s="4">
        <v>0</v>
      </c>
      <c r="AI3050" s="4">
        <v>44</v>
      </c>
      <c r="AJ3050" s="4">
        <v>0</v>
      </c>
      <c r="AK3050" s="4">
        <v>20</v>
      </c>
      <c r="AL3050" s="4">
        <v>0</v>
      </c>
      <c r="AM3050" s="4">
        <v>25</v>
      </c>
      <c r="AN3050" s="4">
        <v>0</v>
      </c>
      <c r="AO3050" s="4">
        <v>0</v>
      </c>
      <c r="AP3050" s="4">
        <v>0</v>
      </c>
      <c r="AQ3050" s="4">
        <v>22</v>
      </c>
      <c r="AR3050" s="3" t="s">
        <v>62</v>
      </c>
      <c r="AS3050" s="3" t="s">
        <v>62</v>
      </c>
      <c r="AT3050" s="3" t="s">
        <v>62</v>
      </c>
      <c r="AV3050" s="6" t="str">
        <f>HYPERLINK("http://mcgill.on.worldcat.org/oclc/1007151142","Catalog Record")</f>
        <v>Catalog Record</v>
      </c>
      <c r="AW3050" s="6" t="str">
        <f>HYPERLINK("http://www.worldcat.org/oclc/1007151142","WorldCat Record")</f>
        <v>WorldCat Record</v>
      </c>
      <c r="AX3050" s="3" t="s">
        <v>29948</v>
      </c>
      <c r="AY3050" s="3" t="s">
        <v>29949</v>
      </c>
      <c r="AZ3050" s="3" t="s">
        <v>29950</v>
      </c>
      <c r="BA3050" s="3" t="s">
        <v>29950</v>
      </c>
      <c r="BB3050" s="3" t="s">
        <v>29951</v>
      </c>
      <c r="BC3050" s="3" t="s">
        <v>142</v>
      </c>
      <c r="BD3050" s="3" t="s">
        <v>68</v>
      </c>
      <c r="BE3050" s="3" t="s">
        <v>29952</v>
      </c>
      <c r="BF3050" s="3" t="s">
        <v>29951</v>
      </c>
      <c r="BG3050" s="3" t="s">
        <v>29953</v>
      </c>
    </row>
    <row r="3051" spans="1:59" ht="57" x14ac:dyDescent="0.45">
      <c r="A3051" s="2" t="s">
        <v>59</v>
      </c>
      <c r="B3051" s="2" t="s">
        <v>60</v>
      </c>
      <c r="C3051" s="2" t="s">
        <v>29954</v>
      </c>
      <c r="D3051" s="2" t="s">
        <v>29955</v>
      </c>
      <c r="E3051" s="2" t="s">
        <v>29956</v>
      </c>
      <c r="G3051" s="3" t="s">
        <v>62</v>
      </c>
      <c r="I3051" s="3" t="s">
        <v>62</v>
      </c>
      <c r="J3051" s="3" t="s">
        <v>62</v>
      </c>
      <c r="K3051" s="3" t="s">
        <v>63</v>
      </c>
      <c r="M3051" s="2" t="s">
        <v>7877</v>
      </c>
      <c r="N3051" s="3" t="s">
        <v>1465</v>
      </c>
      <c r="P3051" s="3" t="s">
        <v>65</v>
      </c>
      <c r="Q3051" s="2" t="s">
        <v>29957</v>
      </c>
      <c r="R3051" s="3" t="s">
        <v>66</v>
      </c>
      <c r="S3051" s="4">
        <v>3</v>
      </c>
      <c r="T3051" s="4">
        <v>3</v>
      </c>
      <c r="U3051" s="5" t="s">
        <v>29958</v>
      </c>
      <c r="V3051" s="5" t="s">
        <v>29958</v>
      </c>
      <c r="W3051" s="5" t="s">
        <v>67</v>
      </c>
      <c r="X3051" s="5" t="s">
        <v>67</v>
      </c>
      <c r="Y3051" s="4">
        <v>132</v>
      </c>
      <c r="Z3051" s="4">
        <v>15</v>
      </c>
      <c r="AA3051" s="4">
        <v>102</v>
      </c>
      <c r="AB3051" s="4">
        <v>3</v>
      </c>
      <c r="AC3051" s="4">
        <v>18</v>
      </c>
      <c r="AD3051" s="4">
        <v>52</v>
      </c>
      <c r="AE3051" s="4">
        <v>123</v>
      </c>
      <c r="AF3051" s="4">
        <v>1</v>
      </c>
      <c r="AG3051" s="4">
        <v>8</v>
      </c>
      <c r="AH3051" s="4">
        <v>46</v>
      </c>
      <c r="AI3051" s="4">
        <v>86</v>
      </c>
      <c r="AJ3051" s="4">
        <v>10</v>
      </c>
      <c r="AK3051" s="4">
        <v>23</v>
      </c>
      <c r="AL3051" s="4">
        <v>33</v>
      </c>
      <c r="AM3051" s="4">
        <v>46</v>
      </c>
      <c r="AN3051" s="4">
        <v>0</v>
      </c>
      <c r="AO3051" s="4">
        <v>0</v>
      </c>
      <c r="AP3051" s="4">
        <v>11</v>
      </c>
      <c r="AQ3051" s="4">
        <v>45</v>
      </c>
      <c r="AR3051" s="3" t="s">
        <v>62</v>
      </c>
      <c r="AS3051" s="3" t="s">
        <v>62</v>
      </c>
      <c r="AT3051" s="3" t="s">
        <v>62</v>
      </c>
      <c r="AV3051" s="6" t="str">
        <f>HYPERLINK("http://mcgill.on.worldcat.org/oclc/316514801","Catalog Record")</f>
        <v>Catalog Record</v>
      </c>
      <c r="AW3051" s="6" t="str">
        <f>HYPERLINK("http://www.worldcat.org/oclc/316514801","WorldCat Record")</f>
        <v>WorldCat Record</v>
      </c>
      <c r="AX3051" s="3" t="s">
        <v>29959</v>
      </c>
      <c r="AY3051" s="3" t="s">
        <v>29960</v>
      </c>
      <c r="AZ3051" s="3" t="s">
        <v>29961</v>
      </c>
      <c r="BA3051" s="3" t="s">
        <v>29961</v>
      </c>
      <c r="BB3051" s="3" t="s">
        <v>29962</v>
      </c>
      <c r="BC3051" s="3" t="s">
        <v>142</v>
      </c>
      <c r="BD3051" s="3" t="s">
        <v>68</v>
      </c>
      <c r="BE3051" s="3" t="s">
        <v>29963</v>
      </c>
      <c r="BF3051" s="3" t="s">
        <v>29962</v>
      </c>
      <c r="BG3051" s="3" t="s">
        <v>29964</v>
      </c>
    </row>
    <row r="3052" spans="1:59" ht="57" x14ac:dyDescent="0.45">
      <c r="A3052" s="2" t="s">
        <v>59</v>
      </c>
      <c r="B3052" s="2" t="s">
        <v>60</v>
      </c>
      <c r="C3052" s="2" t="s">
        <v>29965</v>
      </c>
      <c r="D3052" s="2" t="s">
        <v>29966</v>
      </c>
      <c r="E3052" s="2" t="s">
        <v>29967</v>
      </c>
      <c r="G3052" s="3" t="s">
        <v>62</v>
      </c>
      <c r="I3052" s="3" t="s">
        <v>62</v>
      </c>
      <c r="J3052" s="3" t="s">
        <v>62</v>
      </c>
      <c r="K3052" s="3" t="s">
        <v>63</v>
      </c>
      <c r="L3052" s="2" t="s">
        <v>29968</v>
      </c>
      <c r="M3052" s="2" t="s">
        <v>3184</v>
      </c>
      <c r="N3052" s="3" t="s">
        <v>125</v>
      </c>
      <c r="P3052" s="3" t="s">
        <v>65</v>
      </c>
      <c r="R3052" s="3" t="s">
        <v>66</v>
      </c>
      <c r="S3052" s="4">
        <v>33</v>
      </c>
      <c r="T3052" s="4">
        <v>33</v>
      </c>
      <c r="U3052" s="5" t="s">
        <v>29969</v>
      </c>
      <c r="V3052" s="5" t="s">
        <v>29969</v>
      </c>
      <c r="W3052" s="5" t="s">
        <v>67</v>
      </c>
      <c r="X3052" s="5" t="s">
        <v>67</v>
      </c>
      <c r="Y3052" s="4">
        <v>270</v>
      </c>
      <c r="Z3052" s="4">
        <v>19</v>
      </c>
      <c r="AA3052" s="4">
        <v>20</v>
      </c>
      <c r="AB3052" s="4">
        <v>1</v>
      </c>
      <c r="AC3052" s="4">
        <v>2</v>
      </c>
      <c r="AD3052" s="4">
        <v>89</v>
      </c>
      <c r="AE3052" s="4">
        <v>90</v>
      </c>
      <c r="AF3052" s="4">
        <v>0</v>
      </c>
      <c r="AG3052" s="4">
        <v>1</v>
      </c>
      <c r="AH3052" s="4">
        <v>80</v>
      </c>
      <c r="AI3052" s="4">
        <v>80</v>
      </c>
      <c r="AJ3052" s="4">
        <v>13</v>
      </c>
      <c r="AK3052" s="4">
        <v>14</v>
      </c>
      <c r="AL3052" s="4">
        <v>48</v>
      </c>
      <c r="AM3052" s="4">
        <v>48</v>
      </c>
      <c r="AN3052" s="4">
        <v>0</v>
      </c>
      <c r="AO3052" s="4">
        <v>0</v>
      </c>
      <c r="AP3052" s="4">
        <v>16</v>
      </c>
      <c r="AQ3052" s="4">
        <v>16</v>
      </c>
      <c r="AR3052" s="3" t="s">
        <v>62</v>
      </c>
      <c r="AS3052" s="3" t="s">
        <v>62</v>
      </c>
      <c r="AT3052" s="3" t="s">
        <v>62</v>
      </c>
      <c r="AV3052" s="6" t="str">
        <f>HYPERLINK("http://mcgill.on.worldcat.org/oclc/21297341","Catalog Record")</f>
        <v>Catalog Record</v>
      </c>
      <c r="AW3052" s="6" t="str">
        <f>HYPERLINK("http://www.worldcat.org/oclc/21297341","WorldCat Record")</f>
        <v>WorldCat Record</v>
      </c>
      <c r="AX3052" s="3" t="s">
        <v>29970</v>
      </c>
      <c r="AY3052" s="3" t="s">
        <v>29971</v>
      </c>
      <c r="AZ3052" s="3" t="s">
        <v>29972</v>
      </c>
      <c r="BA3052" s="3" t="s">
        <v>29972</v>
      </c>
      <c r="BB3052" s="3" t="s">
        <v>29973</v>
      </c>
      <c r="BC3052" s="3" t="s">
        <v>142</v>
      </c>
      <c r="BD3052" s="3" t="s">
        <v>68</v>
      </c>
      <c r="BE3052" s="3" t="s">
        <v>29974</v>
      </c>
      <c r="BF3052" s="3" t="s">
        <v>29973</v>
      </c>
      <c r="BG3052" s="3" t="s">
        <v>29975</v>
      </c>
    </row>
    <row r="3053" spans="1:59" ht="57" x14ac:dyDescent="0.45">
      <c r="A3053" s="2" t="s">
        <v>59</v>
      </c>
      <c r="B3053" s="2" t="s">
        <v>60</v>
      </c>
      <c r="C3053" s="2" t="s">
        <v>29976</v>
      </c>
      <c r="D3053" s="2" t="s">
        <v>29977</v>
      </c>
      <c r="E3053" s="2" t="s">
        <v>29978</v>
      </c>
      <c r="G3053" s="3" t="s">
        <v>62</v>
      </c>
      <c r="I3053" s="3" t="s">
        <v>62</v>
      </c>
      <c r="J3053" s="3" t="s">
        <v>62</v>
      </c>
      <c r="K3053" s="3" t="s">
        <v>63</v>
      </c>
      <c r="L3053" s="2" t="s">
        <v>29979</v>
      </c>
      <c r="M3053" s="2" t="s">
        <v>8284</v>
      </c>
      <c r="N3053" s="3" t="s">
        <v>106</v>
      </c>
      <c r="P3053" s="3" t="s">
        <v>65</v>
      </c>
      <c r="Q3053" s="2" t="s">
        <v>29980</v>
      </c>
      <c r="R3053" s="3" t="s">
        <v>66</v>
      </c>
      <c r="S3053" s="4">
        <v>28</v>
      </c>
      <c r="T3053" s="4">
        <v>28</v>
      </c>
      <c r="U3053" s="5" t="s">
        <v>741</v>
      </c>
      <c r="V3053" s="5" t="s">
        <v>741</v>
      </c>
      <c r="W3053" s="5" t="s">
        <v>67</v>
      </c>
      <c r="X3053" s="5" t="s">
        <v>67</v>
      </c>
      <c r="Y3053" s="4">
        <v>559</v>
      </c>
      <c r="Z3053" s="4">
        <v>25</v>
      </c>
      <c r="AA3053" s="4">
        <v>32</v>
      </c>
      <c r="AB3053" s="4">
        <v>1</v>
      </c>
      <c r="AC3053" s="4">
        <v>8</v>
      </c>
      <c r="AD3053" s="4">
        <v>102</v>
      </c>
      <c r="AE3053" s="4">
        <v>106</v>
      </c>
      <c r="AF3053" s="4">
        <v>0</v>
      </c>
      <c r="AG3053" s="4">
        <v>4</v>
      </c>
      <c r="AH3053" s="4">
        <v>89</v>
      </c>
      <c r="AI3053" s="4">
        <v>90</v>
      </c>
      <c r="AJ3053" s="4">
        <v>20</v>
      </c>
      <c r="AK3053" s="4">
        <v>24</v>
      </c>
      <c r="AL3053" s="4">
        <v>51</v>
      </c>
      <c r="AM3053" s="4">
        <v>51</v>
      </c>
      <c r="AN3053" s="4">
        <v>0</v>
      </c>
      <c r="AO3053" s="4">
        <v>0</v>
      </c>
      <c r="AP3053" s="4">
        <v>22</v>
      </c>
      <c r="AQ3053" s="4">
        <v>25</v>
      </c>
      <c r="AR3053" s="3" t="s">
        <v>62</v>
      </c>
      <c r="AS3053" s="3" t="s">
        <v>62</v>
      </c>
      <c r="AT3053" s="3" t="s">
        <v>61</v>
      </c>
      <c r="AU3053" s="6" t="str">
        <f>HYPERLINK("http://catalog.hathitrust.org/Record/000774049","HathiTrust Record")</f>
        <v>HathiTrust Record</v>
      </c>
      <c r="AV3053" s="6" t="str">
        <f>HYPERLINK("http://mcgill.on.worldcat.org/oclc/9043896","Catalog Record")</f>
        <v>Catalog Record</v>
      </c>
      <c r="AW3053" s="6" t="str">
        <f>HYPERLINK("http://www.worldcat.org/oclc/9043896","WorldCat Record")</f>
        <v>WorldCat Record</v>
      </c>
      <c r="AX3053" s="3" t="s">
        <v>29981</v>
      </c>
      <c r="AY3053" s="3" t="s">
        <v>29982</v>
      </c>
      <c r="AZ3053" s="3" t="s">
        <v>29983</v>
      </c>
      <c r="BA3053" s="3" t="s">
        <v>29983</v>
      </c>
      <c r="BB3053" s="3" t="s">
        <v>29984</v>
      </c>
      <c r="BC3053" s="3" t="s">
        <v>142</v>
      </c>
      <c r="BD3053" s="3" t="s">
        <v>68</v>
      </c>
      <c r="BE3053" s="3" t="s">
        <v>29985</v>
      </c>
      <c r="BF3053" s="3" t="s">
        <v>29984</v>
      </c>
      <c r="BG3053" s="3" t="s">
        <v>29986</v>
      </c>
    </row>
    <row r="3054" spans="1:59" ht="57" x14ac:dyDescent="0.45">
      <c r="A3054" s="2" t="s">
        <v>59</v>
      </c>
      <c r="B3054" s="2" t="s">
        <v>60</v>
      </c>
      <c r="C3054" s="2" t="s">
        <v>29987</v>
      </c>
      <c r="D3054" s="2" t="s">
        <v>29988</v>
      </c>
      <c r="E3054" s="2" t="s">
        <v>29989</v>
      </c>
      <c r="G3054" s="3" t="s">
        <v>62</v>
      </c>
      <c r="I3054" s="3" t="s">
        <v>61</v>
      </c>
      <c r="J3054" s="3" t="s">
        <v>62</v>
      </c>
      <c r="K3054" s="3" t="s">
        <v>63</v>
      </c>
      <c r="L3054" s="2" t="s">
        <v>29990</v>
      </c>
      <c r="M3054" s="2" t="s">
        <v>29991</v>
      </c>
      <c r="N3054" s="3" t="s">
        <v>106</v>
      </c>
      <c r="P3054" s="3" t="s">
        <v>65</v>
      </c>
      <c r="Q3054" s="2" t="s">
        <v>29992</v>
      </c>
      <c r="R3054" s="3" t="s">
        <v>66</v>
      </c>
      <c r="S3054" s="4">
        <v>30</v>
      </c>
      <c r="T3054" s="4">
        <v>57</v>
      </c>
      <c r="U3054" s="5" t="s">
        <v>24983</v>
      </c>
      <c r="V3054" s="5" t="s">
        <v>24983</v>
      </c>
      <c r="W3054" s="5" t="s">
        <v>67</v>
      </c>
      <c r="X3054" s="5" t="s">
        <v>67</v>
      </c>
      <c r="Y3054" s="4">
        <v>721</v>
      </c>
      <c r="Z3054" s="4">
        <v>40</v>
      </c>
      <c r="AA3054" s="4">
        <v>46</v>
      </c>
      <c r="AB3054" s="4">
        <v>3</v>
      </c>
      <c r="AC3054" s="4">
        <v>8</v>
      </c>
      <c r="AD3054" s="4">
        <v>121</v>
      </c>
      <c r="AE3054" s="4">
        <v>127</v>
      </c>
      <c r="AF3054" s="4">
        <v>1</v>
      </c>
      <c r="AG3054" s="4">
        <v>5</v>
      </c>
      <c r="AH3054" s="4">
        <v>101</v>
      </c>
      <c r="AI3054" s="4">
        <v>104</v>
      </c>
      <c r="AJ3054" s="4">
        <v>20</v>
      </c>
      <c r="AK3054" s="4">
        <v>24</v>
      </c>
      <c r="AL3054" s="4">
        <v>58</v>
      </c>
      <c r="AM3054" s="4">
        <v>58</v>
      </c>
      <c r="AN3054" s="4">
        <v>0</v>
      </c>
      <c r="AO3054" s="4">
        <v>0</v>
      </c>
      <c r="AP3054" s="4">
        <v>29</v>
      </c>
      <c r="AQ3054" s="4">
        <v>32</v>
      </c>
      <c r="AR3054" s="3" t="s">
        <v>62</v>
      </c>
      <c r="AS3054" s="3" t="s">
        <v>62</v>
      </c>
      <c r="AT3054" s="3" t="s">
        <v>62</v>
      </c>
      <c r="AV3054" s="6" t="str">
        <f>HYPERLINK("http://mcgill.on.worldcat.org/oclc/8728324","Catalog Record")</f>
        <v>Catalog Record</v>
      </c>
      <c r="AW3054" s="6" t="str">
        <f>HYPERLINK("http://www.worldcat.org/oclc/8728324","WorldCat Record")</f>
        <v>WorldCat Record</v>
      </c>
      <c r="AX3054" s="3" t="s">
        <v>29993</v>
      </c>
      <c r="AY3054" s="3" t="s">
        <v>29994</v>
      </c>
      <c r="AZ3054" s="3" t="s">
        <v>29995</v>
      </c>
      <c r="BA3054" s="3" t="s">
        <v>29995</v>
      </c>
      <c r="BB3054" s="3" t="s">
        <v>29996</v>
      </c>
      <c r="BC3054" s="3" t="s">
        <v>142</v>
      </c>
      <c r="BD3054" s="3" t="s">
        <v>68</v>
      </c>
      <c r="BE3054" s="3" t="s">
        <v>29997</v>
      </c>
      <c r="BF3054" s="3" t="s">
        <v>29996</v>
      </c>
      <c r="BG3054" s="3" t="s">
        <v>29998</v>
      </c>
    </row>
    <row r="3055" spans="1:59" ht="57" x14ac:dyDescent="0.45">
      <c r="A3055" s="2" t="s">
        <v>59</v>
      </c>
      <c r="B3055" s="2" t="s">
        <v>60</v>
      </c>
      <c r="C3055" s="2" t="s">
        <v>29987</v>
      </c>
      <c r="D3055" s="2" t="s">
        <v>29988</v>
      </c>
      <c r="E3055" s="2" t="s">
        <v>29989</v>
      </c>
      <c r="G3055" s="3" t="s">
        <v>62</v>
      </c>
      <c r="I3055" s="3" t="s">
        <v>61</v>
      </c>
      <c r="J3055" s="3" t="s">
        <v>62</v>
      </c>
      <c r="K3055" s="3" t="s">
        <v>63</v>
      </c>
      <c r="L3055" s="2" t="s">
        <v>29990</v>
      </c>
      <c r="M3055" s="2" t="s">
        <v>29991</v>
      </c>
      <c r="N3055" s="3" t="s">
        <v>106</v>
      </c>
      <c r="P3055" s="3" t="s">
        <v>65</v>
      </c>
      <c r="Q3055" s="2" t="s">
        <v>29992</v>
      </c>
      <c r="R3055" s="3" t="s">
        <v>66</v>
      </c>
      <c r="S3055" s="4">
        <v>27</v>
      </c>
      <c r="T3055" s="4">
        <v>57</v>
      </c>
      <c r="U3055" s="5" t="s">
        <v>111</v>
      </c>
      <c r="V3055" s="5" t="s">
        <v>24983</v>
      </c>
      <c r="W3055" s="5" t="s">
        <v>67</v>
      </c>
      <c r="X3055" s="5" t="s">
        <v>67</v>
      </c>
      <c r="Y3055" s="4">
        <v>721</v>
      </c>
      <c r="Z3055" s="4">
        <v>40</v>
      </c>
      <c r="AA3055" s="4">
        <v>46</v>
      </c>
      <c r="AB3055" s="4">
        <v>3</v>
      </c>
      <c r="AC3055" s="4">
        <v>8</v>
      </c>
      <c r="AD3055" s="4">
        <v>121</v>
      </c>
      <c r="AE3055" s="4">
        <v>127</v>
      </c>
      <c r="AF3055" s="4">
        <v>1</v>
      </c>
      <c r="AG3055" s="4">
        <v>5</v>
      </c>
      <c r="AH3055" s="4">
        <v>101</v>
      </c>
      <c r="AI3055" s="4">
        <v>104</v>
      </c>
      <c r="AJ3055" s="4">
        <v>20</v>
      </c>
      <c r="AK3055" s="4">
        <v>24</v>
      </c>
      <c r="AL3055" s="4">
        <v>58</v>
      </c>
      <c r="AM3055" s="4">
        <v>58</v>
      </c>
      <c r="AN3055" s="4">
        <v>0</v>
      </c>
      <c r="AO3055" s="4">
        <v>0</v>
      </c>
      <c r="AP3055" s="4">
        <v>29</v>
      </c>
      <c r="AQ3055" s="4">
        <v>32</v>
      </c>
      <c r="AR3055" s="3" t="s">
        <v>62</v>
      </c>
      <c r="AS3055" s="3" t="s">
        <v>62</v>
      </c>
      <c r="AT3055" s="3" t="s">
        <v>62</v>
      </c>
      <c r="AV3055" s="6" t="str">
        <f>HYPERLINK("http://mcgill.on.worldcat.org/oclc/8728324","Catalog Record")</f>
        <v>Catalog Record</v>
      </c>
      <c r="AW3055" s="6" t="str">
        <f>HYPERLINK("http://www.worldcat.org/oclc/8728324","WorldCat Record")</f>
        <v>WorldCat Record</v>
      </c>
      <c r="AX3055" s="3" t="s">
        <v>29993</v>
      </c>
      <c r="AY3055" s="3" t="s">
        <v>29994</v>
      </c>
      <c r="AZ3055" s="3" t="s">
        <v>29995</v>
      </c>
      <c r="BA3055" s="3" t="s">
        <v>29995</v>
      </c>
      <c r="BB3055" s="3" t="s">
        <v>29999</v>
      </c>
      <c r="BC3055" s="3" t="s">
        <v>142</v>
      </c>
      <c r="BD3055" s="3" t="s">
        <v>68</v>
      </c>
      <c r="BE3055" s="3" t="s">
        <v>29997</v>
      </c>
      <c r="BF3055" s="3" t="s">
        <v>29999</v>
      </c>
      <c r="BG3055" s="3" t="s">
        <v>30000</v>
      </c>
    </row>
    <row r="3056" spans="1:59" ht="57" x14ac:dyDescent="0.45">
      <c r="A3056" s="2" t="s">
        <v>59</v>
      </c>
      <c r="B3056" s="2" t="s">
        <v>60</v>
      </c>
      <c r="C3056" s="2" t="s">
        <v>30001</v>
      </c>
      <c r="D3056" s="2" t="s">
        <v>30002</v>
      </c>
      <c r="E3056" s="2" t="s">
        <v>30003</v>
      </c>
      <c r="G3056" s="3" t="s">
        <v>62</v>
      </c>
      <c r="I3056" s="3" t="s">
        <v>61</v>
      </c>
      <c r="J3056" s="3" t="s">
        <v>62</v>
      </c>
      <c r="K3056" s="3" t="s">
        <v>63</v>
      </c>
      <c r="L3056" s="2" t="s">
        <v>30004</v>
      </c>
      <c r="M3056" s="2" t="s">
        <v>30005</v>
      </c>
      <c r="N3056" s="3" t="s">
        <v>918</v>
      </c>
      <c r="P3056" s="3" t="s">
        <v>65</v>
      </c>
      <c r="Q3056" s="2" t="s">
        <v>1735</v>
      </c>
      <c r="R3056" s="3" t="s">
        <v>66</v>
      </c>
      <c r="S3056" s="4">
        <v>1</v>
      </c>
      <c r="T3056" s="4">
        <v>12</v>
      </c>
      <c r="U3056" s="5" t="s">
        <v>741</v>
      </c>
      <c r="V3056" s="5" t="s">
        <v>741</v>
      </c>
      <c r="W3056" s="5" t="s">
        <v>67</v>
      </c>
      <c r="X3056" s="5" t="s">
        <v>67</v>
      </c>
      <c r="Y3056" s="4">
        <v>132</v>
      </c>
      <c r="Z3056" s="4">
        <v>11</v>
      </c>
      <c r="AA3056" s="4">
        <v>12</v>
      </c>
      <c r="AB3056" s="4">
        <v>2</v>
      </c>
      <c r="AC3056" s="4">
        <v>3</v>
      </c>
      <c r="AD3056" s="4">
        <v>54</v>
      </c>
      <c r="AE3056" s="4">
        <v>55</v>
      </c>
      <c r="AF3056" s="4">
        <v>1</v>
      </c>
      <c r="AG3056" s="4">
        <v>2</v>
      </c>
      <c r="AH3056" s="4">
        <v>49</v>
      </c>
      <c r="AI3056" s="4">
        <v>50</v>
      </c>
      <c r="AJ3056" s="4">
        <v>8</v>
      </c>
      <c r="AK3056" s="4">
        <v>9</v>
      </c>
      <c r="AL3056" s="4">
        <v>31</v>
      </c>
      <c r="AM3056" s="4">
        <v>31</v>
      </c>
      <c r="AN3056" s="4">
        <v>0</v>
      </c>
      <c r="AO3056" s="4">
        <v>0</v>
      </c>
      <c r="AP3056" s="4">
        <v>9</v>
      </c>
      <c r="AQ3056" s="4">
        <v>10</v>
      </c>
      <c r="AR3056" s="3" t="s">
        <v>62</v>
      </c>
      <c r="AS3056" s="3" t="s">
        <v>62</v>
      </c>
      <c r="AT3056" s="3" t="s">
        <v>61</v>
      </c>
      <c r="AU3056" s="6" t="str">
        <f>HYPERLINK("http://catalog.hathitrust.org/Record/004322735","HathiTrust Record")</f>
        <v>HathiTrust Record</v>
      </c>
      <c r="AV3056" s="6" t="str">
        <f>HYPERLINK("http://mcgill.on.worldcat.org/oclc/50868251","Catalog Record")</f>
        <v>Catalog Record</v>
      </c>
      <c r="AW3056" s="6" t="str">
        <f>HYPERLINK("http://www.worldcat.org/oclc/50868251","WorldCat Record")</f>
        <v>WorldCat Record</v>
      </c>
      <c r="AX3056" s="3" t="s">
        <v>30006</v>
      </c>
      <c r="AY3056" s="3" t="s">
        <v>30007</v>
      </c>
      <c r="AZ3056" s="3" t="s">
        <v>30008</v>
      </c>
      <c r="BA3056" s="3" t="s">
        <v>30008</v>
      </c>
      <c r="BB3056" s="3" t="s">
        <v>30009</v>
      </c>
      <c r="BC3056" s="3" t="s">
        <v>142</v>
      </c>
      <c r="BD3056" s="3" t="s">
        <v>68</v>
      </c>
      <c r="BE3056" s="3" t="s">
        <v>30010</v>
      </c>
      <c r="BF3056" s="3" t="s">
        <v>30009</v>
      </c>
      <c r="BG3056" s="3" t="s">
        <v>30011</v>
      </c>
    </row>
    <row r="3057" spans="1:59" ht="57" x14ac:dyDescent="0.45">
      <c r="A3057" s="2" t="s">
        <v>59</v>
      </c>
      <c r="B3057" s="2" t="s">
        <v>412</v>
      </c>
      <c r="C3057" s="2" t="s">
        <v>30012</v>
      </c>
      <c r="D3057" s="2" t="s">
        <v>30002</v>
      </c>
      <c r="E3057" s="2" t="s">
        <v>30003</v>
      </c>
      <c r="G3057" s="3" t="s">
        <v>62</v>
      </c>
      <c r="I3057" s="3" t="s">
        <v>61</v>
      </c>
      <c r="J3057" s="3" t="s">
        <v>62</v>
      </c>
      <c r="K3057" s="3" t="s">
        <v>63</v>
      </c>
      <c r="L3057" s="2" t="s">
        <v>30004</v>
      </c>
      <c r="M3057" s="2" t="s">
        <v>30005</v>
      </c>
      <c r="N3057" s="3" t="s">
        <v>918</v>
      </c>
      <c r="P3057" s="3" t="s">
        <v>65</v>
      </c>
      <c r="Q3057" s="2" t="s">
        <v>1735</v>
      </c>
      <c r="R3057" s="3" t="s">
        <v>66</v>
      </c>
      <c r="S3057" s="4">
        <v>11</v>
      </c>
      <c r="T3057" s="4">
        <v>12</v>
      </c>
      <c r="U3057" s="5" t="s">
        <v>30013</v>
      </c>
      <c r="V3057" s="5" t="s">
        <v>741</v>
      </c>
      <c r="W3057" s="5" t="s">
        <v>67</v>
      </c>
      <c r="X3057" s="5" t="s">
        <v>67</v>
      </c>
      <c r="Y3057" s="4">
        <v>132</v>
      </c>
      <c r="Z3057" s="4">
        <v>11</v>
      </c>
      <c r="AA3057" s="4">
        <v>12</v>
      </c>
      <c r="AB3057" s="4">
        <v>2</v>
      </c>
      <c r="AC3057" s="4">
        <v>3</v>
      </c>
      <c r="AD3057" s="4">
        <v>54</v>
      </c>
      <c r="AE3057" s="4">
        <v>55</v>
      </c>
      <c r="AF3057" s="4">
        <v>1</v>
      </c>
      <c r="AG3057" s="4">
        <v>2</v>
      </c>
      <c r="AH3057" s="4">
        <v>49</v>
      </c>
      <c r="AI3057" s="4">
        <v>50</v>
      </c>
      <c r="AJ3057" s="4">
        <v>8</v>
      </c>
      <c r="AK3057" s="4">
        <v>9</v>
      </c>
      <c r="AL3057" s="4">
        <v>31</v>
      </c>
      <c r="AM3057" s="4">
        <v>31</v>
      </c>
      <c r="AN3057" s="4">
        <v>0</v>
      </c>
      <c r="AO3057" s="4">
        <v>0</v>
      </c>
      <c r="AP3057" s="4">
        <v>9</v>
      </c>
      <c r="AQ3057" s="4">
        <v>10</v>
      </c>
      <c r="AR3057" s="3" t="s">
        <v>62</v>
      </c>
      <c r="AS3057" s="3" t="s">
        <v>62</v>
      </c>
      <c r="AT3057" s="3" t="s">
        <v>61</v>
      </c>
      <c r="AU3057" s="6" t="str">
        <f>HYPERLINK("http://catalog.hathitrust.org/Record/004322735","HathiTrust Record")</f>
        <v>HathiTrust Record</v>
      </c>
      <c r="AV3057" s="6" t="str">
        <f>HYPERLINK("http://mcgill.on.worldcat.org/oclc/50868251","Catalog Record")</f>
        <v>Catalog Record</v>
      </c>
      <c r="AW3057" s="6" t="str">
        <f>HYPERLINK("http://www.worldcat.org/oclc/50868251","WorldCat Record")</f>
        <v>WorldCat Record</v>
      </c>
      <c r="AX3057" s="3" t="s">
        <v>30006</v>
      </c>
      <c r="AY3057" s="3" t="s">
        <v>30007</v>
      </c>
      <c r="AZ3057" s="3" t="s">
        <v>30008</v>
      </c>
      <c r="BA3057" s="3" t="s">
        <v>30008</v>
      </c>
      <c r="BB3057" s="3" t="s">
        <v>30014</v>
      </c>
      <c r="BC3057" s="3" t="s">
        <v>142</v>
      </c>
      <c r="BD3057" s="3" t="s">
        <v>308</v>
      </c>
      <c r="BE3057" s="3" t="s">
        <v>30010</v>
      </c>
      <c r="BF3057" s="3" t="s">
        <v>30014</v>
      </c>
      <c r="BG3057" s="3" t="s">
        <v>30015</v>
      </c>
    </row>
    <row r="3058" spans="1:59" ht="57" x14ac:dyDescent="0.45">
      <c r="A3058" s="2" t="s">
        <v>59</v>
      </c>
      <c r="B3058" s="2" t="s">
        <v>412</v>
      </c>
      <c r="C3058" s="2" t="s">
        <v>30016</v>
      </c>
      <c r="D3058" s="2" t="s">
        <v>30017</v>
      </c>
      <c r="E3058" s="2" t="s">
        <v>30018</v>
      </c>
      <c r="G3058" s="3" t="s">
        <v>62</v>
      </c>
      <c r="I3058" s="3" t="s">
        <v>62</v>
      </c>
      <c r="J3058" s="3" t="s">
        <v>62</v>
      </c>
      <c r="K3058" s="3" t="s">
        <v>63</v>
      </c>
      <c r="L3058" s="2" t="s">
        <v>30004</v>
      </c>
      <c r="M3058" s="2" t="s">
        <v>9755</v>
      </c>
      <c r="N3058" s="3" t="s">
        <v>1155</v>
      </c>
      <c r="P3058" s="3" t="s">
        <v>65</v>
      </c>
      <c r="Q3058" s="2" t="s">
        <v>7221</v>
      </c>
      <c r="R3058" s="3" t="s">
        <v>66</v>
      </c>
      <c r="S3058" s="4">
        <v>5</v>
      </c>
      <c r="T3058" s="4">
        <v>5</v>
      </c>
      <c r="U3058" s="5" t="s">
        <v>741</v>
      </c>
      <c r="V3058" s="5" t="s">
        <v>741</v>
      </c>
      <c r="W3058" s="5" t="s">
        <v>67</v>
      </c>
      <c r="X3058" s="5" t="s">
        <v>67</v>
      </c>
      <c r="Y3058" s="4">
        <v>115</v>
      </c>
      <c r="Z3058" s="4">
        <v>10</v>
      </c>
      <c r="AA3058" s="4">
        <v>74</v>
      </c>
      <c r="AB3058" s="4">
        <v>2</v>
      </c>
      <c r="AC3058" s="4">
        <v>15</v>
      </c>
      <c r="AD3058" s="4">
        <v>20</v>
      </c>
      <c r="AE3058" s="4">
        <v>96</v>
      </c>
      <c r="AF3058" s="4">
        <v>1</v>
      </c>
      <c r="AG3058" s="4">
        <v>8</v>
      </c>
      <c r="AH3058" s="4">
        <v>17</v>
      </c>
      <c r="AI3058" s="4">
        <v>64</v>
      </c>
      <c r="AJ3058" s="4">
        <v>7</v>
      </c>
      <c r="AK3058" s="4">
        <v>19</v>
      </c>
      <c r="AL3058" s="4">
        <v>8</v>
      </c>
      <c r="AM3058" s="4">
        <v>32</v>
      </c>
      <c r="AN3058" s="4">
        <v>0</v>
      </c>
      <c r="AO3058" s="4">
        <v>0</v>
      </c>
      <c r="AP3058" s="4">
        <v>8</v>
      </c>
      <c r="AQ3058" s="4">
        <v>38</v>
      </c>
      <c r="AR3058" s="3" t="s">
        <v>62</v>
      </c>
      <c r="AS3058" s="3" t="s">
        <v>62</v>
      </c>
      <c r="AT3058" s="3" t="s">
        <v>62</v>
      </c>
      <c r="AV3058" s="6" t="str">
        <f>HYPERLINK("http://mcgill.on.worldcat.org/oclc/466361088","Catalog Record")</f>
        <v>Catalog Record</v>
      </c>
      <c r="AW3058" s="6" t="str">
        <f>HYPERLINK("http://www.worldcat.org/oclc/466361088","WorldCat Record")</f>
        <v>WorldCat Record</v>
      </c>
      <c r="AX3058" s="3" t="s">
        <v>30019</v>
      </c>
      <c r="AY3058" s="3" t="s">
        <v>30020</v>
      </c>
      <c r="AZ3058" s="3" t="s">
        <v>30021</v>
      </c>
      <c r="BA3058" s="3" t="s">
        <v>30021</v>
      </c>
      <c r="BB3058" s="3" t="s">
        <v>30022</v>
      </c>
      <c r="BC3058" s="3" t="s">
        <v>142</v>
      </c>
      <c r="BD3058" s="3" t="s">
        <v>68</v>
      </c>
      <c r="BE3058" s="3" t="s">
        <v>30023</v>
      </c>
      <c r="BF3058" s="3" t="s">
        <v>30022</v>
      </c>
      <c r="BG3058" s="3" t="s">
        <v>30024</v>
      </c>
    </row>
    <row r="3059" spans="1:59" ht="71.25" x14ac:dyDescent="0.45">
      <c r="A3059" s="2" t="s">
        <v>59</v>
      </c>
      <c r="B3059" s="2" t="s">
        <v>60</v>
      </c>
      <c r="C3059" s="2" t="s">
        <v>30025</v>
      </c>
      <c r="D3059" s="2" t="s">
        <v>30026</v>
      </c>
      <c r="E3059" s="2" t="s">
        <v>30027</v>
      </c>
      <c r="G3059" s="3" t="s">
        <v>62</v>
      </c>
      <c r="I3059" s="3" t="s">
        <v>62</v>
      </c>
      <c r="J3059" s="3" t="s">
        <v>62</v>
      </c>
      <c r="K3059" s="3" t="s">
        <v>63</v>
      </c>
      <c r="L3059" s="2" t="s">
        <v>30028</v>
      </c>
      <c r="M3059" s="2" t="s">
        <v>30029</v>
      </c>
      <c r="N3059" s="3" t="s">
        <v>195</v>
      </c>
      <c r="P3059" s="3" t="s">
        <v>65</v>
      </c>
      <c r="R3059" s="3" t="s">
        <v>66</v>
      </c>
      <c r="S3059" s="4">
        <v>29</v>
      </c>
      <c r="T3059" s="4">
        <v>29</v>
      </c>
      <c r="U3059" s="5" t="s">
        <v>4187</v>
      </c>
      <c r="V3059" s="5" t="s">
        <v>4187</v>
      </c>
      <c r="W3059" s="5" t="s">
        <v>67</v>
      </c>
      <c r="X3059" s="5" t="s">
        <v>67</v>
      </c>
      <c r="Y3059" s="4">
        <v>312</v>
      </c>
      <c r="Z3059" s="4">
        <v>23</v>
      </c>
      <c r="AA3059" s="4">
        <v>28</v>
      </c>
      <c r="AB3059" s="4">
        <v>2</v>
      </c>
      <c r="AC3059" s="4">
        <v>5</v>
      </c>
      <c r="AD3059" s="4">
        <v>88</v>
      </c>
      <c r="AE3059" s="4">
        <v>99</v>
      </c>
      <c r="AF3059" s="4">
        <v>1</v>
      </c>
      <c r="AG3059" s="4">
        <v>3</v>
      </c>
      <c r="AH3059" s="4">
        <v>75</v>
      </c>
      <c r="AI3059" s="4">
        <v>84</v>
      </c>
      <c r="AJ3059" s="4">
        <v>17</v>
      </c>
      <c r="AK3059" s="4">
        <v>20</v>
      </c>
      <c r="AL3059" s="4">
        <v>42</v>
      </c>
      <c r="AM3059" s="4">
        <v>45</v>
      </c>
      <c r="AN3059" s="4">
        <v>0</v>
      </c>
      <c r="AO3059" s="4">
        <v>0</v>
      </c>
      <c r="AP3059" s="4">
        <v>20</v>
      </c>
      <c r="AQ3059" s="4">
        <v>24</v>
      </c>
      <c r="AR3059" s="3" t="s">
        <v>62</v>
      </c>
      <c r="AS3059" s="3" t="s">
        <v>62</v>
      </c>
      <c r="AT3059" s="3" t="s">
        <v>62</v>
      </c>
      <c r="AV3059" s="6" t="str">
        <f>HYPERLINK("http://mcgill.on.worldcat.org/oclc/27266375","Catalog Record")</f>
        <v>Catalog Record</v>
      </c>
      <c r="AW3059" s="6" t="str">
        <f>HYPERLINK("http://www.worldcat.org/oclc/27266375","WorldCat Record")</f>
        <v>WorldCat Record</v>
      </c>
      <c r="AX3059" s="3" t="s">
        <v>30030</v>
      </c>
      <c r="AY3059" s="3" t="s">
        <v>30031</v>
      </c>
      <c r="AZ3059" s="3" t="s">
        <v>30032</v>
      </c>
      <c r="BA3059" s="3" t="s">
        <v>30032</v>
      </c>
      <c r="BB3059" s="3" t="s">
        <v>30033</v>
      </c>
      <c r="BC3059" s="3" t="s">
        <v>142</v>
      </c>
      <c r="BD3059" s="3" t="s">
        <v>68</v>
      </c>
      <c r="BE3059" s="3" t="s">
        <v>30034</v>
      </c>
      <c r="BF3059" s="3" t="s">
        <v>30033</v>
      </c>
      <c r="BG3059" s="3" t="s">
        <v>30035</v>
      </c>
    </row>
    <row r="3060" spans="1:59" ht="57" x14ac:dyDescent="0.45">
      <c r="A3060" s="2" t="s">
        <v>59</v>
      </c>
      <c r="B3060" s="2" t="s">
        <v>60</v>
      </c>
      <c r="C3060" s="2" t="s">
        <v>30036</v>
      </c>
      <c r="D3060" s="2" t="s">
        <v>30037</v>
      </c>
      <c r="E3060" s="2" t="s">
        <v>30038</v>
      </c>
      <c r="G3060" s="3" t="s">
        <v>62</v>
      </c>
      <c r="I3060" s="3" t="s">
        <v>62</v>
      </c>
      <c r="J3060" s="3" t="s">
        <v>62</v>
      </c>
      <c r="K3060" s="3" t="s">
        <v>63</v>
      </c>
      <c r="L3060" s="2" t="s">
        <v>25581</v>
      </c>
      <c r="M3060" s="2" t="s">
        <v>30039</v>
      </c>
      <c r="N3060" s="3" t="s">
        <v>894</v>
      </c>
      <c r="O3060" s="2" t="s">
        <v>168</v>
      </c>
      <c r="P3060" s="3" t="s">
        <v>65</v>
      </c>
      <c r="R3060" s="3" t="s">
        <v>66</v>
      </c>
      <c r="S3060" s="4">
        <v>3</v>
      </c>
      <c r="T3060" s="4">
        <v>3</v>
      </c>
      <c r="U3060" s="5" t="s">
        <v>5067</v>
      </c>
      <c r="V3060" s="5" t="s">
        <v>5067</v>
      </c>
      <c r="W3060" s="5" t="s">
        <v>67</v>
      </c>
      <c r="X3060" s="5" t="s">
        <v>67</v>
      </c>
      <c r="Y3060" s="4">
        <v>103</v>
      </c>
      <c r="Z3060" s="4">
        <v>9</v>
      </c>
      <c r="AA3060" s="4">
        <v>75</v>
      </c>
      <c r="AB3060" s="4">
        <v>1</v>
      </c>
      <c r="AC3060" s="4">
        <v>15</v>
      </c>
      <c r="AD3060" s="4">
        <v>22</v>
      </c>
      <c r="AE3060" s="4">
        <v>98</v>
      </c>
      <c r="AF3060" s="4">
        <v>0</v>
      </c>
      <c r="AG3060" s="4">
        <v>8</v>
      </c>
      <c r="AH3060" s="4">
        <v>19</v>
      </c>
      <c r="AI3060" s="4">
        <v>65</v>
      </c>
      <c r="AJ3060" s="4">
        <v>6</v>
      </c>
      <c r="AK3060" s="4">
        <v>21</v>
      </c>
      <c r="AL3060" s="4">
        <v>10</v>
      </c>
      <c r="AM3060" s="4">
        <v>30</v>
      </c>
      <c r="AN3060" s="4">
        <v>0</v>
      </c>
      <c r="AO3060" s="4">
        <v>0</v>
      </c>
      <c r="AP3060" s="4">
        <v>7</v>
      </c>
      <c r="AQ3060" s="4">
        <v>40</v>
      </c>
      <c r="AR3060" s="3" t="s">
        <v>62</v>
      </c>
      <c r="AS3060" s="3" t="s">
        <v>62</v>
      </c>
      <c r="AT3060" s="3" t="s">
        <v>62</v>
      </c>
      <c r="AV3060" s="6" t="str">
        <f>HYPERLINK("http://mcgill.on.worldcat.org/oclc/166361793","Catalog Record")</f>
        <v>Catalog Record</v>
      </c>
      <c r="AW3060" s="6" t="str">
        <f>HYPERLINK("http://www.worldcat.org/oclc/166361793","WorldCat Record")</f>
        <v>WorldCat Record</v>
      </c>
      <c r="AX3060" s="3" t="s">
        <v>30040</v>
      </c>
      <c r="AY3060" s="3" t="s">
        <v>30041</v>
      </c>
      <c r="AZ3060" s="3" t="s">
        <v>30042</v>
      </c>
      <c r="BA3060" s="3" t="s">
        <v>30042</v>
      </c>
      <c r="BB3060" s="3" t="s">
        <v>30043</v>
      </c>
      <c r="BC3060" s="3" t="s">
        <v>142</v>
      </c>
      <c r="BD3060" s="3" t="s">
        <v>68</v>
      </c>
      <c r="BE3060" s="3" t="s">
        <v>30044</v>
      </c>
      <c r="BF3060" s="3" t="s">
        <v>30043</v>
      </c>
      <c r="BG3060" s="3" t="s">
        <v>30045</v>
      </c>
    </row>
    <row r="3061" spans="1:59" ht="57" x14ac:dyDescent="0.45">
      <c r="A3061" s="2" t="s">
        <v>59</v>
      </c>
      <c r="B3061" s="2" t="s">
        <v>60</v>
      </c>
      <c r="C3061" s="2" t="s">
        <v>30046</v>
      </c>
      <c r="D3061" s="2" t="s">
        <v>30047</v>
      </c>
      <c r="E3061" s="2" t="s">
        <v>30048</v>
      </c>
      <c r="G3061" s="3" t="s">
        <v>62</v>
      </c>
      <c r="I3061" s="3" t="s">
        <v>62</v>
      </c>
      <c r="J3061" s="3" t="s">
        <v>62</v>
      </c>
      <c r="K3061" s="3" t="s">
        <v>63</v>
      </c>
      <c r="L3061" s="2" t="s">
        <v>30049</v>
      </c>
      <c r="M3061" s="2" t="s">
        <v>25854</v>
      </c>
      <c r="N3061" s="3" t="s">
        <v>149</v>
      </c>
      <c r="P3061" s="3" t="s">
        <v>65</v>
      </c>
      <c r="R3061" s="3" t="s">
        <v>66</v>
      </c>
      <c r="S3061" s="4">
        <v>0</v>
      </c>
      <c r="T3061" s="4">
        <v>0</v>
      </c>
      <c r="W3061" s="5" t="s">
        <v>67</v>
      </c>
      <c r="X3061" s="5" t="s">
        <v>67</v>
      </c>
      <c r="Y3061" s="4">
        <v>176</v>
      </c>
      <c r="Z3061" s="4">
        <v>19</v>
      </c>
      <c r="AA3061" s="4">
        <v>94</v>
      </c>
      <c r="AB3061" s="4">
        <v>2</v>
      </c>
      <c r="AC3061" s="4">
        <v>17</v>
      </c>
      <c r="AD3061" s="4">
        <v>84</v>
      </c>
      <c r="AE3061" s="4">
        <v>135</v>
      </c>
      <c r="AF3061" s="4">
        <v>1</v>
      </c>
      <c r="AG3061" s="4">
        <v>8</v>
      </c>
      <c r="AH3061" s="4">
        <v>78</v>
      </c>
      <c r="AI3061" s="4">
        <v>99</v>
      </c>
      <c r="AJ3061" s="4">
        <v>14</v>
      </c>
      <c r="AK3061" s="4">
        <v>24</v>
      </c>
      <c r="AL3061" s="4">
        <v>46</v>
      </c>
      <c r="AM3061" s="4">
        <v>54</v>
      </c>
      <c r="AN3061" s="4">
        <v>0</v>
      </c>
      <c r="AO3061" s="4">
        <v>0</v>
      </c>
      <c r="AP3061" s="4">
        <v>15</v>
      </c>
      <c r="AQ3061" s="4">
        <v>46</v>
      </c>
      <c r="AR3061" s="3" t="s">
        <v>62</v>
      </c>
      <c r="AS3061" s="3" t="s">
        <v>62</v>
      </c>
      <c r="AT3061" s="3" t="s">
        <v>62</v>
      </c>
      <c r="AV3061" s="6" t="str">
        <f>HYPERLINK("http://mcgill.on.worldcat.org/oclc/318645912","Catalog Record")</f>
        <v>Catalog Record</v>
      </c>
      <c r="AW3061" s="6" t="str">
        <f>HYPERLINK("http://www.worldcat.org/oclc/318645912","WorldCat Record")</f>
        <v>WorldCat Record</v>
      </c>
      <c r="AX3061" s="3" t="s">
        <v>30050</v>
      </c>
      <c r="AY3061" s="3" t="s">
        <v>30051</v>
      </c>
      <c r="AZ3061" s="3" t="s">
        <v>30052</v>
      </c>
      <c r="BA3061" s="3" t="s">
        <v>30052</v>
      </c>
      <c r="BB3061" s="3" t="s">
        <v>30053</v>
      </c>
      <c r="BC3061" s="3" t="s">
        <v>142</v>
      </c>
      <c r="BD3061" s="3" t="s">
        <v>68</v>
      </c>
      <c r="BE3061" s="3" t="s">
        <v>30054</v>
      </c>
      <c r="BF3061" s="3" t="s">
        <v>30053</v>
      </c>
      <c r="BG3061" s="3" t="s">
        <v>30055</v>
      </c>
    </row>
    <row r="3062" spans="1:59" ht="57" x14ac:dyDescent="0.45">
      <c r="A3062" s="2" t="s">
        <v>59</v>
      </c>
      <c r="B3062" s="2" t="s">
        <v>60</v>
      </c>
      <c r="C3062" s="2" t="s">
        <v>30056</v>
      </c>
      <c r="D3062" s="2" t="s">
        <v>30057</v>
      </c>
      <c r="E3062" s="2" t="s">
        <v>30058</v>
      </c>
      <c r="G3062" s="3" t="s">
        <v>62</v>
      </c>
      <c r="I3062" s="3" t="s">
        <v>62</v>
      </c>
      <c r="J3062" s="3" t="s">
        <v>62</v>
      </c>
      <c r="K3062" s="3" t="s">
        <v>63</v>
      </c>
      <c r="M3062" s="2" t="s">
        <v>1178</v>
      </c>
      <c r="N3062" s="3" t="s">
        <v>894</v>
      </c>
      <c r="P3062" s="3" t="s">
        <v>65</v>
      </c>
      <c r="Q3062" s="2" t="s">
        <v>30059</v>
      </c>
      <c r="R3062" s="3" t="s">
        <v>66</v>
      </c>
      <c r="S3062" s="4">
        <v>0</v>
      </c>
      <c r="T3062" s="4">
        <v>0</v>
      </c>
      <c r="W3062" s="5" t="s">
        <v>67</v>
      </c>
      <c r="X3062" s="5" t="s">
        <v>67</v>
      </c>
      <c r="Y3062" s="4">
        <v>59</v>
      </c>
      <c r="Z3062" s="4">
        <v>6</v>
      </c>
      <c r="AA3062" s="4">
        <v>88</v>
      </c>
      <c r="AB3062" s="4">
        <v>2</v>
      </c>
      <c r="AC3062" s="4">
        <v>17</v>
      </c>
      <c r="AD3062" s="4">
        <v>23</v>
      </c>
      <c r="AE3062" s="4">
        <v>105</v>
      </c>
      <c r="AF3062" s="4">
        <v>1</v>
      </c>
      <c r="AG3062" s="4">
        <v>8</v>
      </c>
      <c r="AH3062" s="4">
        <v>20</v>
      </c>
      <c r="AI3062" s="4">
        <v>71</v>
      </c>
      <c r="AJ3062" s="4">
        <v>5</v>
      </c>
      <c r="AK3062" s="4">
        <v>20</v>
      </c>
      <c r="AL3062" s="4">
        <v>13</v>
      </c>
      <c r="AM3062" s="4">
        <v>35</v>
      </c>
      <c r="AN3062" s="4">
        <v>0</v>
      </c>
      <c r="AO3062" s="4">
        <v>0</v>
      </c>
      <c r="AP3062" s="4">
        <v>5</v>
      </c>
      <c r="AQ3062" s="4">
        <v>41</v>
      </c>
      <c r="AR3062" s="3" t="s">
        <v>62</v>
      </c>
      <c r="AS3062" s="3" t="s">
        <v>62</v>
      </c>
      <c r="AT3062" s="3" t="s">
        <v>62</v>
      </c>
      <c r="AV3062" s="6" t="str">
        <f>HYPERLINK("http://mcgill.on.worldcat.org/oclc/606787698","Catalog Record")</f>
        <v>Catalog Record</v>
      </c>
      <c r="AW3062" s="6" t="str">
        <f>HYPERLINK("http://www.worldcat.org/oclc/606787698","WorldCat Record")</f>
        <v>WorldCat Record</v>
      </c>
      <c r="AX3062" s="3" t="s">
        <v>30060</v>
      </c>
      <c r="AY3062" s="3" t="s">
        <v>30061</v>
      </c>
      <c r="AZ3062" s="3" t="s">
        <v>30062</v>
      </c>
      <c r="BA3062" s="3" t="s">
        <v>30062</v>
      </c>
      <c r="BB3062" s="3" t="s">
        <v>30063</v>
      </c>
      <c r="BC3062" s="3" t="s">
        <v>142</v>
      </c>
      <c r="BD3062" s="3" t="s">
        <v>68</v>
      </c>
      <c r="BE3062" s="3" t="s">
        <v>30064</v>
      </c>
      <c r="BF3062" s="3" t="s">
        <v>30063</v>
      </c>
      <c r="BG3062" s="3" t="s">
        <v>30065</v>
      </c>
    </row>
    <row r="3063" spans="1:59" ht="57" x14ac:dyDescent="0.45">
      <c r="A3063" s="2" t="s">
        <v>59</v>
      </c>
      <c r="B3063" s="2" t="s">
        <v>60</v>
      </c>
      <c r="C3063" s="2" t="s">
        <v>30066</v>
      </c>
      <c r="D3063" s="2" t="s">
        <v>30067</v>
      </c>
      <c r="E3063" s="2" t="s">
        <v>30068</v>
      </c>
      <c r="F3063" s="3" t="s">
        <v>90</v>
      </c>
      <c r="G3063" s="3" t="s">
        <v>61</v>
      </c>
      <c r="I3063" s="3" t="s">
        <v>62</v>
      </c>
      <c r="J3063" s="3" t="s">
        <v>62</v>
      </c>
      <c r="K3063" s="3" t="s">
        <v>63</v>
      </c>
      <c r="M3063" s="2" t="s">
        <v>28050</v>
      </c>
      <c r="N3063" s="3" t="s">
        <v>149</v>
      </c>
      <c r="P3063" s="3" t="s">
        <v>65</v>
      </c>
      <c r="R3063" s="3" t="s">
        <v>66</v>
      </c>
      <c r="S3063" s="4">
        <v>0</v>
      </c>
      <c r="T3063" s="4">
        <v>0</v>
      </c>
      <c r="W3063" s="5" t="s">
        <v>67</v>
      </c>
      <c r="X3063" s="5" t="s">
        <v>67</v>
      </c>
      <c r="Y3063" s="4">
        <v>30</v>
      </c>
      <c r="Z3063" s="4">
        <v>4</v>
      </c>
      <c r="AA3063" s="4">
        <v>5</v>
      </c>
      <c r="AB3063" s="4">
        <v>1</v>
      </c>
      <c r="AC3063" s="4">
        <v>2</v>
      </c>
      <c r="AD3063" s="4">
        <v>17</v>
      </c>
      <c r="AE3063" s="4">
        <v>18</v>
      </c>
      <c r="AF3063" s="4">
        <v>0</v>
      </c>
      <c r="AG3063" s="4">
        <v>1</v>
      </c>
      <c r="AH3063" s="4">
        <v>14</v>
      </c>
      <c r="AI3063" s="4">
        <v>15</v>
      </c>
      <c r="AJ3063" s="4">
        <v>3</v>
      </c>
      <c r="AK3063" s="4">
        <v>4</v>
      </c>
      <c r="AL3063" s="4">
        <v>10</v>
      </c>
      <c r="AM3063" s="4">
        <v>10</v>
      </c>
      <c r="AN3063" s="4">
        <v>0</v>
      </c>
      <c r="AO3063" s="4">
        <v>0</v>
      </c>
      <c r="AP3063" s="4">
        <v>3</v>
      </c>
      <c r="AQ3063" s="4">
        <v>4</v>
      </c>
      <c r="AR3063" s="3" t="s">
        <v>62</v>
      </c>
      <c r="AS3063" s="3" t="s">
        <v>62</v>
      </c>
      <c r="AT3063" s="3" t="s">
        <v>62</v>
      </c>
      <c r="AV3063" s="6" t="str">
        <f>HYPERLINK("http://mcgill.on.worldcat.org/oclc/641893566","Catalog Record")</f>
        <v>Catalog Record</v>
      </c>
      <c r="AW3063" s="6" t="str">
        <f>HYPERLINK("http://www.worldcat.org/oclc/641893566","WorldCat Record")</f>
        <v>WorldCat Record</v>
      </c>
      <c r="AX3063" s="3" t="s">
        <v>30069</v>
      </c>
      <c r="AY3063" s="3" t="s">
        <v>30070</v>
      </c>
      <c r="AZ3063" s="3" t="s">
        <v>30071</v>
      </c>
      <c r="BA3063" s="3" t="s">
        <v>30071</v>
      </c>
      <c r="BB3063" s="3" t="s">
        <v>30072</v>
      </c>
      <c r="BC3063" s="3" t="s">
        <v>142</v>
      </c>
      <c r="BD3063" s="3" t="s">
        <v>68</v>
      </c>
      <c r="BE3063" s="3" t="s">
        <v>30073</v>
      </c>
      <c r="BF3063" s="3" t="s">
        <v>30072</v>
      </c>
      <c r="BG3063" s="3" t="s">
        <v>30074</v>
      </c>
    </row>
    <row r="3064" spans="1:59" ht="57" x14ac:dyDescent="0.45">
      <c r="A3064" s="2" t="s">
        <v>59</v>
      </c>
      <c r="B3064" s="2" t="s">
        <v>60</v>
      </c>
      <c r="C3064" s="2" t="s">
        <v>30066</v>
      </c>
      <c r="D3064" s="2" t="s">
        <v>30067</v>
      </c>
      <c r="E3064" s="2" t="s">
        <v>30068</v>
      </c>
      <c r="F3064" s="3" t="s">
        <v>87</v>
      </c>
      <c r="G3064" s="3" t="s">
        <v>61</v>
      </c>
      <c r="I3064" s="3" t="s">
        <v>62</v>
      </c>
      <c r="J3064" s="3" t="s">
        <v>62</v>
      </c>
      <c r="K3064" s="3" t="s">
        <v>63</v>
      </c>
      <c r="M3064" s="2" t="s">
        <v>28050</v>
      </c>
      <c r="N3064" s="3" t="s">
        <v>149</v>
      </c>
      <c r="P3064" s="3" t="s">
        <v>65</v>
      </c>
      <c r="R3064" s="3" t="s">
        <v>66</v>
      </c>
      <c r="S3064" s="4">
        <v>0</v>
      </c>
      <c r="T3064" s="4">
        <v>0</v>
      </c>
      <c r="W3064" s="5" t="s">
        <v>67</v>
      </c>
      <c r="X3064" s="5" t="s">
        <v>67</v>
      </c>
      <c r="Y3064" s="4">
        <v>30</v>
      </c>
      <c r="Z3064" s="4">
        <v>4</v>
      </c>
      <c r="AA3064" s="4">
        <v>5</v>
      </c>
      <c r="AB3064" s="4">
        <v>1</v>
      </c>
      <c r="AC3064" s="4">
        <v>2</v>
      </c>
      <c r="AD3064" s="4">
        <v>17</v>
      </c>
      <c r="AE3064" s="4">
        <v>18</v>
      </c>
      <c r="AF3064" s="4">
        <v>0</v>
      </c>
      <c r="AG3064" s="4">
        <v>1</v>
      </c>
      <c r="AH3064" s="4">
        <v>14</v>
      </c>
      <c r="AI3064" s="4">
        <v>15</v>
      </c>
      <c r="AJ3064" s="4">
        <v>3</v>
      </c>
      <c r="AK3064" s="4">
        <v>4</v>
      </c>
      <c r="AL3064" s="4">
        <v>10</v>
      </c>
      <c r="AM3064" s="4">
        <v>10</v>
      </c>
      <c r="AN3064" s="4">
        <v>0</v>
      </c>
      <c r="AO3064" s="4">
        <v>0</v>
      </c>
      <c r="AP3064" s="4">
        <v>3</v>
      </c>
      <c r="AQ3064" s="4">
        <v>4</v>
      </c>
      <c r="AR3064" s="3" t="s">
        <v>62</v>
      </c>
      <c r="AS3064" s="3" t="s">
        <v>62</v>
      </c>
      <c r="AT3064" s="3" t="s">
        <v>62</v>
      </c>
      <c r="AV3064" s="6" t="str">
        <f>HYPERLINK("http://mcgill.on.worldcat.org/oclc/641893566","Catalog Record")</f>
        <v>Catalog Record</v>
      </c>
      <c r="AW3064" s="6" t="str">
        <f>HYPERLINK("http://www.worldcat.org/oclc/641893566","WorldCat Record")</f>
        <v>WorldCat Record</v>
      </c>
      <c r="AX3064" s="3" t="s">
        <v>30069</v>
      </c>
      <c r="AY3064" s="3" t="s">
        <v>30070</v>
      </c>
      <c r="AZ3064" s="3" t="s">
        <v>30071</v>
      </c>
      <c r="BA3064" s="3" t="s">
        <v>30071</v>
      </c>
      <c r="BB3064" s="3" t="s">
        <v>30075</v>
      </c>
      <c r="BC3064" s="3" t="s">
        <v>142</v>
      </c>
      <c r="BD3064" s="3" t="s">
        <v>68</v>
      </c>
      <c r="BE3064" s="3" t="s">
        <v>30073</v>
      </c>
      <c r="BF3064" s="3" t="s">
        <v>30075</v>
      </c>
      <c r="BG3064" s="3" t="s">
        <v>30076</v>
      </c>
    </row>
    <row r="3065" spans="1:59" ht="57" x14ac:dyDescent="0.45">
      <c r="A3065" s="2" t="s">
        <v>59</v>
      </c>
      <c r="B3065" s="2" t="s">
        <v>60</v>
      </c>
      <c r="C3065" s="2" t="s">
        <v>30077</v>
      </c>
      <c r="D3065" s="2" t="s">
        <v>30078</v>
      </c>
      <c r="E3065" s="2" t="s">
        <v>30079</v>
      </c>
      <c r="G3065" s="3" t="s">
        <v>62</v>
      </c>
      <c r="I3065" s="3" t="s">
        <v>62</v>
      </c>
      <c r="J3065" s="3" t="s">
        <v>62</v>
      </c>
      <c r="K3065" s="3" t="s">
        <v>63</v>
      </c>
      <c r="M3065" s="2" t="s">
        <v>30080</v>
      </c>
      <c r="N3065" s="3" t="s">
        <v>149</v>
      </c>
      <c r="P3065" s="3" t="s">
        <v>65</v>
      </c>
      <c r="Q3065" s="2" t="s">
        <v>30081</v>
      </c>
      <c r="R3065" s="3" t="s">
        <v>66</v>
      </c>
      <c r="S3065" s="4">
        <v>3</v>
      </c>
      <c r="T3065" s="4">
        <v>3</v>
      </c>
      <c r="U3065" s="5" t="s">
        <v>13146</v>
      </c>
      <c r="V3065" s="5" t="s">
        <v>13146</v>
      </c>
      <c r="W3065" s="5" t="s">
        <v>67</v>
      </c>
      <c r="X3065" s="5" t="s">
        <v>67</v>
      </c>
      <c r="Y3065" s="4">
        <v>67</v>
      </c>
      <c r="Z3065" s="4">
        <v>8</v>
      </c>
      <c r="AA3065" s="4">
        <v>8</v>
      </c>
      <c r="AB3065" s="4">
        <v>1</v>
      </c>
      <c r="AC3065" s="4">
        <v>1</v>
      </c>
      <c r="AD3065" s="4">
        <v>13</v>
      </c>
      <c r="AE3065" s="4">
        <v>13</v>
      </c>
      <c r="AF3065" s="4">
        <v>0</v>
      </c>
      <c r="AG3065" s="4">
        <v>0</v>
      </c>
      <c r="AH3065" s="4">
        <v>11</v>
      </c>
      <c r="AI3065" s="4">
        <v>11</v>
      </c>
      <c r="AJ3065" s="4">
        <v>1</v>
      </c>
      <c r="AK3065" s="4">
        <v>1</v>
      </c>
      <c r="AL3065" s="4">
        <v>7</v>
      </c>
      <c r="AM3065" s="4">
        <v>7</v>
      </c>
      <c r="AN3065" s="4">
        <v>0</v>
      </c>
      <c r="AO3065" s="4">
        <v>0</v>
      </c>
      <c r="AP3065" s="4">
        <v>3</v>
      </c>
      <c r="AQ3065" s="4">
        <v>3</v>
      </c>
      <c r="AR3065" s="3" t="s">
        <v>62</v>
      </c>
      <c r="AS3065" s="3" t="s">
        <v>62</v>
      </c>
      <c r="AT3065" s="3" t="s">
        <v>62</v>
      </c>
      <c r="AV3065" s="6" t="str">
        <f>HYPERLINK("http://mcgill.on.worldcat.org/oclc/656160508","Catalog Record")</f>
        <v>Catalog Record</v>
      </c>
      <c r="AW3065" s="6" t="str">
        <f>HYPERLINK("http://www.worldcat.org/oclc/656160508","WorldCat Record")</f>
        <v>WorldCat Record</v>
      </c>
      <c r="AX3065" s="3" t="s">
        <v>30082</v>
      </c>
      <c r="AY3065" s="3" t="s">
        <v>30083</v>
      </c>
      <c r="AZ3065" s="3" t="s">
        <v>30084</v>
      </c>
      <c r="BA3065" s="3" t="s">
        <v>30084</v>
      </c>
      <c r="BB3065" s="3" t="s">
        <v>30085</v>
      </c>
      <c r="BC3065" s="3" t="s">
        <v>142</v>
      </c>
      <c r="BD3065" s="3" t="s">
        <v>68</v>
      </c>
      <c r="BE3065" s="3" t="s">
        <v>30086</v>
      </c>
      <c r="BF3065" s="3" t="s">
        <v>30085</v>
      </c>
      <c r="BG3065" s="3" t="s">
        <v>30087</v>
      </c>
    </row>
    <row r="3066" spans="1:59" ht="57" x14ac:dyDescent="0.45">
      <c r="A3066" s="2" t="s">
        <v>59</v>
      </c>
      <c r="B3066" s="2" t="s">
        <v>60</v>
      </c>
      <c r="C3066" s="2" t="s">
        <v>30088</v>
      </c>
      <c r="D3066" s="2" t="s">
        <v>30089</v>
      </c>
      <c r="E3066" s="2" t="s">
        <v>30090</v>
      </c>
      <c r="G3066" s="3" t="s">
        <v>62</v>
      </c>
      <c r="I3066" s="3" t="s">
        <v>62</v>
      </c>
      <c r="J3066" s="3" t="s">
        <v>62</v>
      </c>
      <c r="K3066" s="3" t="s">
        <v>63</v>
      </c>
      <c r="M3066" s="2" t="s">
        <v>30091</v>
      </c>
      <c r="N3066" s="3" t="s">
        <v>1155</v>
      </c>
      <c r="P3066" s="3" t="s">
        <v>65</v>
      </c>
      <c r="R3066" s="3" t="s">
        <v>66</v>
      </c>
      <c r="S3066" s="4">
        <v>0</v>
      </c>
      <c r="T3066" s="4">
        <v>0</v>
      </c>
      <c r="W3066" s="5" t="s">
        <v>67</v>
      </c>
      <c r="X3066" s="5" t="s">
        <v>67</v>
      </c>
      <c r="Y3066" s="4">
        <v>53</v>
      </c>
      <c r="Z3066" s="4">
        <v>9</v>
      </c>
      <c r="AA3066" s="4">
        <v>76</v>
      </c>
      <c r="AB3066" s="4">
        <v>1</v>
      </c>
      <c r="AC3066" s="4">
        <v>14</v>
      </c>
      <c r="AD3066" s="4">
        <v>28</v>
      </c>
      <c r="AE3066" s="4">
        <v>105</v>
      </c>
      <c r="AF3066" s="4">
        <v>0</v>
      </c>
      <c r="AG3066" s="4">
        <v>8</v>
      </c>
      <c r="AH3066" s="4">
        <v>26</v>
      </c>
      <c r="AI3066" s="4">
        <v>73</v>
      </c>
      <c r="AJ3066" s="4">
        <v>7</v>
      </c>
      <c r="AK3066" s="4">
        <v>21</v>
      </c>
      <c r="AL3066" s="4">
        <v>17</v>
      </c>
      <c r="AM3066" s="4">
        <v>39</v>
      </c>
      <c r="AN3066" s="4">
        <v>0</v>
      </c>
      <c r="AO3066" s="4">
        <v>0</v>
      </c>
      <c r="AP3066" s="4">
        <v>7</v>
      </c>
      <c r="AQ3066" s="4">
        <v>39</v>
      </c>
      <c r="AR3066" s="3" t="s">
        <v>62</v>
      </c>
      <c r="AS3066" s="3" t="s">
        <v>62</v>
      </c>
      <c r="AT3066" s="3" t="s">
        <v>62</v>
      </c>
      <c r="AV3066" s="6" t="str">
        <f>HYPERLINK("http://mcgill.on.worldcat.org/oclc/769871224","Catalog Record")</f>
        <v>Catalog Record</v>
      </c>
      <c r="AW3066" s="6" t="str">
        <f>HYPERLINK("http://www.worldcat.org/oclc/769871224","WorldCat Record")</f>
        <v>WorldCat Record</v>
      </c>
      <c r="AX3066" s="3" t="s">
        <v>30092</v>
      </c>
      <c r="AY3066" s="3" t="s">
        <v>30093</v>
      </c>
      <c r="AZ3066" s="3" t="s">
        <v>30094</v>
      </c>
      <c r="BA3066" s="3" t="s">
        <v>30094</v>
      </c>
      <c r="BB3066" s="3" t="s">
        <v>30095</v>
      </c>
      <c r="BC3066" s="3" t="s">
        <v>142</v>
      </c>
      <c r="BD3066" s="3" t="s">
        <v>68</v>
      </c>
      <c r="BE3066" s="3" t="s">
        <v>30096</v>
      </c>
      <c r="BF3066" s="3" t="s">
        <v>30095</v>
      </c>
      <c r="BG3066" s="3" t="s">
        <v>30097</v>
      </c>
    </row>
    <row r="3067" spans="1:59" ht="57" x14ac:dyDescent="0.45">
      <c r="A3067" s="2" t="s">
        <v>59</v>
      </c>
      <c r="B3067" s="2" t="s">
        <v>60</v>
      </c>
      <c r="C3067" s="2" t="s">
        <v>30098</v>
      </c>
      <c r="D3067" s="2" t="s">
        <v>30099</v>
      </c>
      <c r="E3067" s="2" t="s">
        <v>30100</v>
      </c>
      <c r="G3067" s="3" t="s">
        <v>62</v>
      </c>
      <c r="I3067" s="3" t="s">
        <v>62</v>
      </c>
      <c r="J3067" s="3" t="s">
        <v>62</v>
      </c>
      <c r="K3067" s="3" t="s">
        <v>63</v>
      </c>
      <c r="M3067" s="2" t="s">
        <v>30101</v>
      </c>
      <c r="N3067" s="3" t="s">
        <v>807</v>
      </c>
      <c r="P3067" s="3" t="s">
        <v>65</v>
      </c>
      <c r="R3067" s="3" t="s">
        <v>66</v>
      </c>
      <c r="S3067" s="4">
        <v>37</v>
      </c>
      <c r="T3067" s="4">
        <v>37</v>
      </c>
      <c r="U3067" s="5" t="s">
        <v>741</v>
      </c>
      <c r="V3067" s="5" t="s">
        <v>741</v>
      </c>
      <c r="W3067" s="5" t="s">
        <v>67</v>
      </c>
      <c r="X3067" s="5" t="s">
        <v>67</v>
      </c>
      <c r="Y3067" s="4">
        <v>491</v>
      </c>
      <c r="Z3067" s="4">
        <v>31</v>
      </c>
      <c r="AA3067" s="4">
        <v>36</v>
      </c>
      <c r="AB3067" s="4">
        <v>3</v>
      </c>
      <c r="AC3067" s="4">
        <v>8</v>
      </c>
      <c r="AD3067" s="4">
        <v>107</v>
      </c>
      <c r="AE3067" s="4">
        <v>111</v>
      </c>
      <c r="AF3067" s="4">
        <v>1</v>
      </c>
      <c r="AG3067" s="4">
        <v>5</v>
      </c>
      <c r="AH3067" s="4">
        <v>89</v>
      </c>
      <c r="AI3067" s="4">
        <v>90</v>
      </c>
      <c r="AJ3067" s="4">
        <v>17</v>
      </c>
      <c r="AK3067" s="4">
        <v>21</v>
      </c>
      <c r="AL3067" s="4">
        <v>47</v>
      </c>
      <c r="AM3067" s="4">
        <v>47</v>
      </c>
      <c r="AN3067" s="4">
        <v>0</v>
      </c>
      <c r="AO3067" s="4">
        <v>0</v>
      </c>
      <c r="AP3067" s="4">
        <v>24</v>
      </c>
      <c r="AQ3067" s="4">
        <v>27</v>
      </c>
      <c r="AR3067" s="3" t="s">
        <v>62</v>
      </c>
      <c r="AS3067" s="3" t="s">
        <v>62</v>
      </c>
      <c r="AT3067" s="3" t="s">
        <v>62</v>
      </c>
      <c r="AV3067" s="6" t="str">
        <f>HYPERLINK("http://mcgill.on.worldcat.org/oclc/21302679","Catalog Record")</f>
        <v>Catalog Record</v>
      </c>
      <c r="AW3067" s="6" t="str">
        <f>HYPERLINK("http://www.worldcat.org/oclc/21302679","WorldCat Record")</f>
        <v>WorldCat Record</v>
      </c>
      <c r="AX3067" s="3" t="s">
        <v>30102</v>
      </c>
      <c r="AY3067" s="3" t="s">
        <v>30103</v>
      </c>
      <c r="AZ3067" s="3" t="s">
        <v>30104</v>
      </c>
      <c r="BA3067" s="3" t="s">
        <v>30104</v>
      </c>
      <c r="BB3067" s="3" t="s">
        <v>30105</v>
      </c>
      <c r="BC3067" s="3" t="s">
        <v>142</v>
      </c>
      <c r="BD3067" s="3" t="s">
        <v>68</v>
      </c>
      <c r="BE3067" s="3" t="s">
        <v>30106</v>
      </c>
      <c r="BF3067" s="3" t="s">
        <v>30105</v>
      </c>
      <c r="BG3067" s="3" t="s">
        <v>30107</v>
      </c>
    </row>
    <row r="3068" spans="1:59" ht="57" x14ac:dyDescent="0.45">
      <c r="A3068" s="2" t="s">
        <v>59</v>
      </c>
      <c r="B3068" s="2" t="s">
        <v>60</v>
      </c>
      <c r="C3068" s="2" t="s">
        <v>30108</v>
      </c>
      <c r="D3068" s="2" t="s">
        <v>30109</v>
      </c>
      <c r="E3068" s="2" t="s">
        <v>30110</v>
      </c>
      <c r="G3068" s="3" t="s">
        <v>62</v>
      </c>
      <c r="I3068" s="3" t="s">
        <v>62</v>
      </c>
      <c r="J3068" s="3" t="s">
        <v>62</v>
      </c>
      <c r="K3068" s="3" t="s">
        <v>63</v>
      </c>
      <c r="M3068" s="2" t="s">
        <v>1178</v>
      </c>
      <c r="N3068" s="3" t="s">
        <v>894</v>
      </c>
      <c r="P3068" s="3" t="s">
        <v>65</v>
      </c>
      <c r="Q3068" s="2" t="s">
        <v>30111</v>
      </c>
      <c r="R3068" s="3" t="s">
        <v>66</v>
      </c>
      <c r="S3068" s="4">
        <v>0</v>
      </c>
      <c r="T3068" s="4">
        <v>0</v>
      </c>
      <c r="W3068" s="5" t="s">
        <v>67</v>
      </c>
      <c r="X3068" s="5" t="s">
        <v>67</v>
      </c>
      <c r="Y3068" s="4">
        <v>44</v>
      </c>
      <c r="Z3068" s="4">
        <v>7</v>
      </c>
      <c r="AA3068" s="4">
        <v>91</v>
      </c>
      <c r="AB3068" s="4">
        <v>1</v>
      </c>
      <c r="AC3068" s="4">
        <v>17</v>
      </c>
      <c r="AD3068" s="4">
        <v>18</v>
      </c>
      <c r="AE3068" s="4">
        <v>102</v>
      </c>
      <c r="AF3068" s="4">
        <v>0</v>
      </c>
      <c r="AG3068" s="4">
        <v>8</v>
      </c>
      <c r="AH3068" s="4">
        <v>16</v>
      </c>
      <c r="AI3068" s="4">
        <v>67</v>
      </c>
      <c r="AJ3068" s="4">
        <v>5</v>
      </c>
      <c r="AK3068" s="4">
        <v>21</v>
      </c>
      <c r="AL3068" s="4">
        <v>11</v>
      </c>
      <c r="AM3068" s="4">
        <v>34</v>
      </c>
      <c r="AN3068" s="4">
        <v>0</v>
      </c>
      <c r="AO3068" s="4">
        <v>0</v>
      </c>
      <c r="AP3068" s="4">
        <v>5</v>
      </c>
      <c r="AQ3068" s="4">
        <v>42</v>
      </c>
      <c r="AR3068" s="3" t="s">
        <v>62</v>
      </c>
      <c r="AS3068" s="3" t="s">
        <v>62</v>
      </c>
      <c r="AT3068" s="3" t="s">
        <v>62</v>
      </c>
      <c r="AV3068" s="6" t="str">
        <f>HYPERLINK("http://mcgill.on.worldcat.org/oclc/695390205","Catalog Record")</f>
        <v>Catalog Record</v>
      </c>
      <c r="AW3068" s="6" t="str">
        <f>HYPERLINK("http://www.worldcat.org/oclc/695390205","WorldCat Record")</f>
        <v>WorldCat Record</v>
      </c>
      <c r="AX3068" s="3" t="s">
        <v>30112</v>
      </c>
      <c r="AY3068" s="3" t="s">
        <v>30113</v>
      </c>
      <c r="AZ3068" s="3" t="s">
        <v>30114</v>
      </c>
      <c r="BA3068" s="3" t="s">
        <v>30114</v>
      </c>
      <c r="BB3068" s="3" t="s">
        <v>30115</v>
      </c>
      <c r="BC3068" s="3" t="s">
        <v>142</v>
      </c>
      <c r="BD3068" s="3" t="s">
        <v>68</v>
      </c>
      <c r="BE3068" s="3" t="s">
        <v>30116</v>
      </c>
      <c r="BF3068" s="3" t="s">
        <v>30115</v>
      </c>
      <c r="BG3068" s="3" t="s">
        <v>30117</v>
      </c>
    </row>
    <row r="3069" spans="1:59" ht="57" x14ac:dyDescent="0.45">
      <c r="A3069" s="2" t="s">
        <v>59</v>
      </c>
      <c r="B3069" s="2" t="s">
        <v>60</v>
      </c>
      <c r="C3069" s="2" t="s">
        <v>30118</v>
      </c>
      <c r="D3069" s="2" t="s">
        <v>30119</v>
      </c>
      <c r="E3069" s="2" t="s">
        <v>30120</v>
      </c>
      <c r="F3069" s="3" t="s">
        <v>88</v>
      </c>
      <c r="G3069" s="3" t="s">
        <v>61</v>
      </c>
      <c r="I3069" s="3" t="s">
        <v>62</v>
      </c>
      <c r="J3069" s="3" t="s">
        <v>62</v>
      </c>
      <c r="K3069" s="3" t="s">
        <v>63</v>
      </c>
      <c r="M3069" s="2" t="s">
        <v>1829</v>
      </c>
      <c r="N3069" s="3" t="s">
        <v>1437</v>
      </c>
      <c r="P3069" s="3" t="s">
        <v>65</v>
      </c>
      <c r="Q3069" s="2" t="s">
        <v>30121</v>
      </c>
      <c r="R3069" s="3" t="s">
        <v>66</v>
      </c>
      <c r="S3069" s="4">
        <v>4</v>
      </c>
      <c r="T3069" s="4">
        <v>7</v>
      </c>
      <c r="U3069" s="5" t="s">
        <v>30122</v>
      </c>
      <c r="V3069" s="5" t="s">
        <v>30123</v>
      </c>
      <c r="W3069" s="5" t="s">
        <v>67</v>
      </c>
      <c r="X3069" s="5" t="s">
        <v>67</v>
      </c>
      <c r="Y3069" s="4">
        <v>90</v>
      </c>
      <c r="Z3069" s="4">
        <v>1</v>
      </c>
      <c r="AA3069" s="4">
        <v>1</v>
      </c>
      <c r="AB3069" s="4">
        <v>1</v>
      </c>
      <c r="AC3069" s="4">
        <v>1</v>
      </c>
      <c r="AD3069" s="4">
        <v>24</v>
      </c>
      <c r="AE3069" s="4">
        <v>25</v>
      </c>
      <c r="AF3069" s="4">
        <v>0</v>
      </c>
      <c r="AG3069" s="4">
        <v>0</v>
      </c>
      <c r="AH3069" s="4">
        <v>24</v>
      </c>
      <c r="AI3069" s="4">
        <v>24</v>
      </c>
      <c r="AJ3069" s="4">
        <v>0</v>
      </c>
      <c r="AK3069" s="4">
        <v>0</v>
      </c>
      <c r="AL3069" s="4">
        <v>20</v>
      </c>
      <c r="AM3069" s="4">
        <v>21</v>
      </c>
      <c r="AN3069" s="4">
        <v>0</v>
      </c>
      <c r="AO3069" s="4">
        <v>0</v>
      </c>
      <c r="AP3069" s="4">
        <v>0</v>
      </c>
      <c r="AQ3069" s="4">
        <v>0</v>
      </c>
      <c r="AR3069" s="3" t="s">
        <v>62</v>
      </c>
      <c r="AS3069" s="3" t="s">
        <v>62</v>
      </c>
      <c r="AT3069" s="3" t="s">
        <v>62</v>
      </c>
      <c r="AV3069" s="6" t="str">
        <f t="shared" ref="AV3069:AV3074" si="30">HYPERLINK("http://mcgill.on.worldcat.org/oclc/37935087","Catalog Record")</f>
        <v>Catalog Record</v>
      </c>
      <c r="AW3069" s="6" t="str">
        <f t="shared" ref="AW3069:AW3074" si="31">HYPERLINK("http://www.worldcat.org/oclc/37935087","WorldCat Record")</f>
        <v>WorldCat Record</v>
      </c>
      <c r="AX3069" s="3" t="s">
        <v>30124</v>
      </c>
      <c r="AY3069" s="3" t="s">
        <v>30125</v>
      </c>
      <c r="AZ3069" s="3" t="s">
        <v>30126</v>
      </c>
      <c r="BA3069" s="3" t="s">
        <v>30126</v>
      </c>
      <c r="BB3069" s="3" t="s">
        <v>30127</v>
      </c>
      <c r="BC3069" s="3" t="s">
        <v>142</v>
      </c>
      <c r="BD3069" s="3" t="s">
        <v>68</v>
      </c>
      <c r="BE3069" s="3" t="s">
        <v>30128</v>
      </c>
      <c r="BF3069" s="3" t="s">
        <v>30127</v>
      </c>
      <c r="BG3069" s="3" t="s">
        <v>30129</v>
      </c>
    </row>
    <row r="3070" spans="1:59" ht="57" x14ac:dyDescent="0.45">
      <c r="A3070" s="2" t="s">
        <v>59</v>
      </c>
      <c r="B3070" s="2" t="s">
        <v>60</v>
      </c>
      <c r="C3070" s="2" t="s">
        <v>30118</v>
      </c>
      <c r="D3070" s="2" t="s">
        <v>30119</v>
      </c>
      <c r="E3070" s="2" t="s">
        <v>30120</v>
      </c>
      <c r="F3070" s="3" t="s">
        <v>89</v>
      </c>
      <c r="G3070" s="3" t="s">
        <v>61</v>
      </c>
      <c r="I3070" s="3" t="s">
        <v>62</v>
      </c>
      <c r="J3070" s="3" t="s">
        <v>62</v>
      </c>
      <c r="K3070" s="3" t="s">
        <v>63</v>
      </c>
      <c r="M3070" s="2" t="s">
        <v>1829</v>
      </c>
      <c r="N3070" s="3" t="s">
        <v>1437</v>
      </c>
      <c r="P3070" s="3" t="s">
        <v>65</v>
      </c>
      <c r="Q3070" s="2" t="s">
        <v>30121</v>
      </c>
      <c r="R3070" s="3" t="s">
        <v>66</v>
      </c>
      <c r="S3070" s="4">
        <v>2</v>
      </c>
      <c r="T3070" s="4">
        <v>7</v>
      </c>
      <c r="U3070" s="5" t="s">
        <v>30123</v>
      </c>
      <c r="V3070" s="5" t="s">
        <v>30123</v>
      </c>
      <c r="W3070" s="5" t="s">
        <v>67</v>
      </c>
      <c r="X3070" s="5" t="s">
        <v>67</v>
      </c>
      <c r="Y3070" s="4">
        <v>90</v>
      </c>
      <c r="Z3070" s="4">
        <v>1</v>
      </c>
      <c r="AA3070" s="4">
        <v>1</v>
      </c>
      <c r="AB3070" s="4">
        <v>1</v>
      </c>
      <c r="AC3070" s="4">
        <v>1</v>
      </c>
      <c r="AD3070" s="4">
        <v>24</v>
      </c>
      <c r="AE3070" s="4">
        <v>25</v>
      </c>
      <c r="AF3070" s="4">
        <v>0</v>
      </c>
      <c r="AG3070" s="4">
        <v>0</v>
      </c>
      <c r="AH3070" s="4">
        <v>24</v>
      </c>
      <c r="AI3070" s="4">
        <v>24</v>
      </c>
      <c r="AJ3070" s="4">
        <v>0</v>
      </c>
      <c r="AK3070" s="4">
        <v>0</v>
      </c>
      <c r="AL3070" s="4">
        <v>20</v>
      </c>
      <c r="AM3070" s="4">
        <v>21</v>
      </c>
      <c r="AN3070" s="4">
        <v>0</v>
      </c>
      <c r="AO3070" s="4">
        <v>0</v>
      </c>
      <c r="AP3070" s="4">
        <v>0</v>
      </c>
      <c r="AQ3070" s="4">
        <v>0</v>
      </c>
      <c r="AR3070" s="3" t="s">
        <v>62</v>
      </c>
      <c r="AS3070" s="3" t="s">
        <v>62</v>
      </c>
      <c r="AT3070" s="3" t="s">
        <v>62</v>
      </c>
      <c r="AV3070" s="6" t="str">
        <f t="shared" si="30"/>
        <v>Catalog Record</v>
      </c>
      <c r="AW3070" s="6" t="str">
        <f t="shared" si="31"/>
        <v>WorldCat Record</v>
      </c>
      <c r="AX3070" s="3" t="s">
        <v>30124</v>
      </c>
      <c r="AY3070" s="3" t="s">
        <v>30125</v>
      </c>
      <c r="AZ3070" s="3" t="s">
        <v>30126</v>
      </c>
      <c r="BA3070" s="3" t="s">
        <v>30126</v>
      </c>
      <c r="BB3070" s="3" t="s">
        <v>30130</v>
      </c>
      <c r="BC3070" s="3" t="s">
        <v>142</v>
      </c>
      <c r="BD3070" s="3" t="s">
        <v>68</v>
      </c>
      <c r="BE3070" s="3" t="s">
        <v>30128</v>
      </c>
      <c r="BF3070" s="3" t="s">
        <v>30130</v>
      </c>
      <c r="BG3070" s="3" t="s">
        <v>30131</v>
      </c>
    </row>
    <row r="3071" spans="1:59" ht="57" x14ac:dyDescent="0.45">
      <c r="A3071" s="2" t="s">
        <v>59</v>
      </c>
      <c r="B3071" s="2" t="s">
        <v>60</v>
      </c>
      <c r="C3071" s="2" t="s">
        <v>30118</v>
      </c>
      <c r="D3071" s="2" t="s">
        <v>30119</v>
      </c>
      <c r="E3071" s="2" t="s">
        <v>30120</v>
      </c>
      <c r="F3071" s="3" t="s">
        <v>90</v>
      </c>
      <c r="G3071" s="3" t="s">
        <v>61</v>
      </c>
      <c r="I3071" s="3" t="s">
        <v>62</v>
      </c>
      <c r="J3071" s="3" t="s">
        <v>62</v>
      </c>
      <c r="K3071" s="3" t="s">
        <v>63</v>
      </c>
      <c r="M3071" s="2" t="s">
        <v>1829</v>
      </c>
      <c r="N3071" s="3" t="s">
        <v>1437</v>
      </c>
      <c r="P3071" s="3" t="s">
        <v>65</v>
      </c>
      <c r="Q3071" s="2" t="s">
        <v>30121</v>
      </c>
      <c r="R3071" s="3" t="s">
        <v>66</v>
      </c>
      <c r="S3071" s="4">
        <v>1</v>
      </c>
      <c r="T3071" s="4">
        <v>7</v>
      </c>
      <c r="U3071" s="5" t="s">
        <v>30132</v>
      </c>
      <c r="V3071" s="5" t="s">
        <v>30123</v>
      </c>
      <c r="W3071" s="5" t="s">
        <v>67</v>
      </c>
      <c r="X3071" s="5" t="s">
        <v>67</v>
      </c>
      <c r="Y3071" s="4">
        <v>90</v>
      </c>
      <c r="Z3071" s="4">
        <v>1</v>
      </c>
      <c r="AA3071" s="4">
        <v>1</v>
      </c>
      <c r="AB3071" s="4">
        <v>1</v>
      </c>
      <c r="AC3071" s="4">
        <v>1</v>
      </c>
      <c r="AD3071" s="4">
        <v>24</v>
      </c>
      <c r="AE3071" s="4">
        <v>25</v>
      </c>
      <c r="AF3071" s="4">
        <v>0</v>
      </c>
      <c r="AG3071" s="4">
        <v>0</v>
      </c>
      <c r="AH3071" s="4">
        <v>24</v>
      </c>
      <c r="AI3071" s="4">
        <v>24</v>
      </c>
      <c r="AJ3071" s="4">
        <v>0</v>
      </c>
      <c r="AK3071" s="4">
        <v>0</v>
      </c>
      <c r="AL3071" s="4">
        <v>20</v>
      </c>
      <c r="AM3071" s="4">
        <v>21</v>
      </c>
      <c r="AN3071" s="4">
        <v>0</v>
      </c>
      <c r="AO3071" s="4">
        <v>0</v>
      </c>
      <c r="AP3071" s="4">
        <v>0</v>
      </c>
      <c r="AQ3071" s="4">
        <v>0</v>
      </c>
      <c r="AR3071" s="3" t="s">
        <v>62</v>
      </c>
      <c r="AS3071" s="3" t="s">
        <v>62</v>
      </c>
      <c r="AT3071" s="3" t="s">
        <v>62</v>
      </c>
      <c r="AV3071" s="6" t="str">
        <f t="shared" si="30"/>
        <v>Catalog Record</v>
      </c>
      <c r="AW3071" s="6" t="str">
        <f t="shared" si="31"/>
        <v>WorldCat Record</v>
      </c>
      <c r="AX3071" s="3" t="s">
        <v>30124</v>
      </c>
      <c r="AY3071" s="3" t="s">
        <v>30125</v>
      </c>
      <c r="AZ3071" s="3" t="s">
        <v>30126</v>
      </c>
      <c r="BA3071" s="3" t="s">
        <v>30126</v>
      </c>
      <c r="BB3071" s="3" t="s">
        <v>30133</v>
      </c>
      <c r="BC3071" s="3" t="s">
        <v>142</v>
      </c>
      <c r="BD3071" s="3" t="s">
        <v>68</v>
      </c>
      <c r="BE3071" s="3" t="s">
        <v>30128</v>
      </c>
      <c r="BF3071" s="3" t="s">
        <v>30133</v>
      </c>
      <c r="BG3071" s="3" t="s">
        <v>30134</v>
      </c>
    </row>
    <row r="3072" spans="1:59" ht="57" x14ac:dyDescent="0.45">
      <c r="A3072" s="2" t="s">
        <v>59</v>
      </c>
      <c r="B3072" s="2" t="s">
        <v>60</v>
      </c>
      <c r="C3072" s="2" t="s">
        <v>30118</v>
      </c>
      <c r="D3072" s="2" t="s">
        <v>30119</v>
      </c>
      <c r="E3072" s="2" t="s">
        <v>30120</v>
      </c>
      <c r="F3072" s="3" t="s">
        <v>83</v>
      </c>
      <c r="G3072" s="3" t="s">
        <v>61</v>
      </c>
      <c r="I3072" s="3" t="s">
        <v>62</v>
      </c>
      <c r="J3072" s="3" t="s">
        <v>62</v>
      </c>
      <c r="K3072" s="3" t="s">
        <v>63</v>
      </c>
      <c r="M3072" s="2" t="s">
        <v>1829</v>
      </c>
      <c r="N3072" s="3" t="s">
        <v>1437</v>
      </c>
      <c r="P3072" s="3" t="s">
        <v>65</v>
      </c>
      <c r="Q3072" s="2" t="s">
        <v>30121</v>
      </c>
      <c r="R3072" s="3" t="s">
        <v>66</v>
      </c>
      <c r="S3072" s="4">
        <v>0</v>
      </c>
      <c r="T3072" s="4">
        <v>7</v>
      </c>
      <c r="V3072" s="5" t="s">
        <v>30123</v>
      </c>
      <c r="W3072" s="5" t="s">
        <v>67</v>
      </c>
      <c r="X3072" s="5" t="s">
        <v>67</v>
      </c>
      <c r="Y3072" s="4">
        <v>90</v>
      </c>
      <c r="Z3072" s="4">
        <v>1</v>
      </c>
      <c r="AA3072" s="4">
        <v>1</v>
      </c>
      <c r="AB3072" s="4">
        <v>1</v>
      </c>
      <c r="AC3072" s="4">
        <v>1</v>
      </c>
      <c r="AD3072" s="4">
        <v>24</v>
      </c>
      <c r="AE3072" s="4">
        <v>25</v>
      </c>
      <c r="AF3072" s="4">
        <v>0</v>
      </c>
      <c r="AG3072" s="4">
        <v>0</v>
      </c>
      <c r="AH3072" s="4">
        <v>24</v>
      </c>
      <c r="AI3072" s="4">
        <v>24</v>
      </c>
      <c r="AJ3072" s="4">
        <v>0</v>
      </c>
      <c r="AK3072" s="4">
        <v>0</v>
      </c>
      <c r="AL3072" s="4">
        <v>20</v>
      </c>
      <c r="AM3072" s="4">
        <v>21</v>
      </c>
      <c r="AN3072" s="4">
        <v>0</v>
      </c>
      <c r="AO3072" s="4">
        <v>0</v>
      </c>
      <c r="AP3072" s="4">
        <v>0</v>
      </c>
      <c r="AQ3072" s="4">
        <v>0</v>
      </c>
      <c r="AR3072" s="3" t="s">
        <v>62</v>
      </c>
      <c r="AS3072" s="3" t="s">
        <v>62</v>
      </c>
      <c r="AT3072" s="3" t="s">
        <v>62</v>
      </c>
      <c r="AV3072" s="6" t="str">
        <f t="shared" si="30"/>
        <v>Catalog Record</v>
      </c>
      <c r="AW3072" s="6" t="str">
        <f t="shared" si="31"/>
        <v>WorldCat Record</v>
      </c>
      <c r="AX3072" s="3" t="s">
        <v>30124</v>
      </c>
      <c r="AY3072" s="3" t="s">
        <v>30125</v>
      </c>
      <c r="AZ3072" s="3" t="s">
        <v>30126</v>
      </c>
      <c r="BA3072" s="3" t="s">
        <v>30126</v>
      </c>
      <c r="BB3072" s="3" t="s">
        <v>30135</v>
      </c>
      <c r="BC3072" s="3" t="s">
        <v>142</v>
      </c>
      <c r="BD3072" s="3" t="s">
        <v>68</v>
      </c>
      <c r="BE3072" s="3" t="s">
        <v>30128</v>
      </c>
      <c r="BF3072" s="3" t="s">
        <v>30135</v>
      </c>
      <c r="BG3072" s="3" t="s">
        <v>30136</v>
      </c>
    </row>
    <row r="3073" spans="1:59" ht="57" x14ac:dyDescent="0.45">
      <c r="A3073" s="2" t="s">
        <v>59</v>
      </c>
      <c r="B3073" s="2" t="s">
        <v>60</v>
      </c>
      <c r="C3073" s="2" t="s">
        <v>30118</v>
      </c>
      <c r="D3073" s="2" t="s">
        <v>30119</v>
      </c>
      <c r="E3073" s="2" t="s">
        <v>30120</v>
      </c>
      <c r="F3073" s="3" t="s">
        <v>86</v>
      </c>
      <c r="G3073" s="3" t="s">
        <v>61</v>
      </c>
      <c r="I3073" s="3" t="s">
        <v>62</v>
      </c>
      <c r="J3073" s="3" t="s">
        <v>62</v>
      </c>
      <c r="K3073" s="3" t="s">
        <v>63</v>
      </c>
      <c r="M3073" s="2" t="s">
        <v>1829</v>
      </c>
      <c r="N3073" s="3" t="s">
        <v>1437</v>
      </c>
      <c r="P3073" s="3" t="s">
        <v>65</v>
      </c>
      <c r="Q3073" s="2" t="s">
        <v>30121</v>
      </c>
      <c r="R3073" s="3" t="s">
        <v>66</v>
      </c>
      <c r="S3073" s="4">
        <v>0</v>
      </c>
      <c r="T3073" s="4">
        <v>7</v>
      </c>
      <c r="V3073" s="5" t="s">
        <v>30123</v>
      </c>
      <c r="W3073" s="5" t="s">
        <v>67</v>
      </c>
      <c r="X3073" s="5" t="s">
        <v>67</v>
      </c>
      <c r="Y3073" s="4">
        <v>90</v>
      </c>
      <c r="Z3073" s="4">
        <v>1</v>
      </c>
      <c r="AA3073" s="4">
        <v>1</v>
      </c>
      <c r="AB3073" s="4">
        <v>1</v>
      </c>
      <c r="AC3073" s="4">
        <v>1</v>
      </c>
      <c r="AD3073" s="4">
        <v>24</v>
      </c>
      <c r="AE3073" s="4">
        <v>25</v>
      </c>
      <c r="AF3073" s="4">
        <v>0</v>
      </c>
      <c r="AG3073" s="4">
        <v>0</v>
      </c>
      <c r="AH3073" s="4">
        <v>24</v>
      </c>
      <c r="AI3073" s="4">
        <v>24</v>
      </c>
      <c r="AJ3073" s="4">
        <v>0</v>
      </c>
      <c r="AK3073" s="4">
        <v>0</v>
      </c>
      <c r="AL3073" s="4">
        <v>20</v>
      </c>
      <c r="AM3073" s="4">
        <v>21</v>
      </c>
      <c r="AN3073" s="4">
        <v>0</v>
      </c>
      <c r="AO3073" s="4">
        <v>0</v>
      </c>
      <c r="AP3073" s="4">
        <v>0</v>
      </c>
      <c r="AQ3073" s="4">
        <v>0</v>
      </c>
      <c r="AR3073" s="3" t="s">
        <v>62</v>
      </c>
      <c r="AS3073" s="3" t="s">
        <v>62</v>
      </c>
      <c r="AT3073" s="3" t="s">
        <v>62</v>
      </c>
      <c r="AV3073" s="6" t="str">
        <f t="shared" si="30"/>
        <v>Catalog Record</v>
      </c>
      <c r="AW3073" s="6" t="str">
        <f t="shared" si="31"/>
        <v>WorldCat Record</v>
      </c>
      <c r="AX3073" s="3" t="s">
        <v>30124</v>
      </c>
      <c r="AY3073" s="3" t="s">
        <v>30125</v>
      </c>
      <c r="AZ3073" s="3" t="s">
        <v>30126</v>
      </c>
      <c r="BA3073" s="3" t="s">
        <v>30126</v>
      </c>
      <c r="BB3073" s="3" t="s">
        <v>30137</v>
      </c>
      <c r="BC3073" s="3" t="s">
        <v>142</v>
      </c>
      <c r="BD3073" s="3" t="s">
        <v>68</v>
      </c>
      <c r="BE3073" s="3" t="s">
        <v>30128</v>
      </c>
      <c r="BF3073" s="3" t="s">
        <v>30137</v>
      </c>
      <c r="BG3073" s="3" t="s">
        <v>30138</v>
      </c>
    </row>
    <row r="3074" spans="1:59" ht="57" x14ac:dyDescent="0.45">
      <c r="A3074" s="2" t="s">
        <v>59</v>
      </c>
      <c r="B3074" s="2" t="s">
        <v>60</v>
      </c>
      <c r="C3074" s="2" t="s">
        <v>30118</v>
      </c>
      <c r="D3074" s="2" t="s">
        <v>30119</v>
      </c>
      <c r="E3074" s="2" t="s">
        <v>30120</v>
      </c>
      <c r="F3074" s="3" t="s">
        <v>87</v>
      </c>
      <c r="G3074" s="3" t="s">
        <v>61</v>
      </c>
      <c r="I3074" s="3" t="s">
        <v>62</v>
      </c>
      <c r="J3074" s="3" t="s">
        <v>62</v>
      </c>
      <c r="K3074" s="3" t="s">
        <v>63</v>
      </c>
      <c r="M3074" s="2" t="s">
        <v>1829</v>
      </c>
      <c r="N3074" s="3" t="s">
        <v>1437</v>
      </c>
      <c r="P3074" s="3" t="s">
        <v>65</v>
      </c>
      <c r="Q3074" s="2" t="s">
        <v>30121</v>
      </c>
      <c r="R3074" s="3" t="s">
        <v>66</v>
      </c>
      <c r="S3074" s="4">
        <v>0</v>
      </c>
      <c r="T3074" s="4">
        <v>7</v>
      </c>
      <c r="V3074" s="5" t="s">
        <v>30123</v>
      </c>
      <c r="W3074" s="5" t="s">
        <v>67</v>
      </c>
      <c r="X3074" s="5" t="s">
        <v>67</v>
      </c>
      <c r="Y3074" s="4">
        <v>90</v>
      </c>
      <c r="Z3074" s="4">
        <v>1</v>
      </c>
      <c r="AA3074" s="4">
        <v>1</v>
      </c>
      <c r="AB3074" s="4">
        <v>1</v>
      </c>
      <c r="AC3074" s="4">
        <v>1</v>
      </c>
      <c r="AD3074" s="4">
        <v>24</v>
      </c>
      <c r="AE3074" s="4">
        <v>25</v>
      </c>
      <c r="AF3074" s="4">
        <v>0</v>
      </c>
      <c r="AG3074" s="4">
        <v>0</v>
      </c>
      <c r="AH3074" s="4">
        <v>24</v>
      </c>
      <c r="AI3074" s="4">
        <v>24</v>
      </c>
      <c r="AJ3074" s="4">
        <v>0</v>
      </c>
      <c r="AK3074" s="4">
        <v>0</v>
      </c>
      <c r="AL3074" s="4">
        <v>20</v>
      </c>
      <c r="AM3074" s="4">
        <v>21</v>
      </c>
      <c r="AN3074" s="4">
        <v>0</v>
      </c>
      <c r="AO3074" s="4">
        <v>0</v>
      </c>
      <c r="AP3074" s="4">
        <v>0</v>
      </c>
      <c r="AQ3074" s="4">
        <v>0</v>
      </c>
      <c r="AR3074" s="3" t="s">
        <v>62</v>
      </c>
      <c r="AS3074" s="3" t="s">
        <v>62</v>
      </c>
      <c r="AT3074" s="3" t="s">
        <v>62</v>
      </c>
      <c r="AV3074" s="6" t="str">
        <f t="shared" si="30"/>
        <v>Catalog Record</v>
      </c>
      <c r="AW3074" s="6" t="str">
        <f t="shared" si="31"/>
        <v>WorldCat Record</v>
      </c>
      <c r="AX3074" s="3" t="s">
        <v>30124</v>
      </c>
      <c r="AY3074" s="3" t="s">
        <v>30125</v>
      </c>
      <c r="AZ3074" s="3" t="s">
        <v>30126</v>
      </c>
      <c r="BA3074" s="3" t="s">
        <v>30126</v>
      </c>
      <c r="BB3074" s="3" t="s">
        <v>30139</v>
      </c>
      <c r="BC3074" s="3" t="s">
        <v>142</v>
      </c>
      <c r="BD3074" s="3" t="s">
        <v>68</v>
      </c>
      <c r="BE3074" s="3" t="s">
        <v>30128</v>
      </c>
      <c r="BF3074" s="3" t="s">
        <v>30139</v>
      </c>
      <c r="BG3074" s="3" t="s">
        <v>30140</v>
      </c>
    </row>
    <row r="3075" spans="1:59" ht="57" x14ac:dyDescent="0.45">
      <c r="A3075" s="2" t="s">
        <v>59</v>
      </c>
      <c r="B3075" s="2" t="s">
        <v>60</v>
      </c>
      <c r="C3075" s="2" t="s">
        <v>30141</v>
      </c>
      <c r="D3075" s="2" t="s">
        <v>30142</v>
      </c>
      <c r="E3075" s="2" t="s">
        <v>30143</v>
      </c>
      <c r="G3075" s="3" t="s">
        <v>62</v>
      </c>
      <c r="I3075" s="3" t="s">
        <v>61</v>
      </c>
      <c r="J3075" s="3" t="s">
        <v>62</v>
      </c>
      <c r="K3075" s="3" t="s">
        <v>63</v>
      </c>
      <c r="M3075" s="2" t="s">
        <v>7378</v>
      </c>
      <c r="N3075" s="3" t="s">
        <v>542</v>
      </c>
      <c r="P3075" s="3" t="s">
        <v>65</v>
      </c>
      <c r="Q3075" s="2" t="s">
        <v>7036</v>
      </c>
      <c r="R3075" s="3" t="s">
        <v>66</v>
      </c>
      <c r="S3075" s="4">
        <v>29</v>
      </c>
      <c r="T3075" s="4">
        <v>45</v>
      </c>
      <c r="U3075" s="5" t="s">
        <v>741</v>
      </c>
      <c r="V3075" s="5" t="s">
        <v>1570</v>
      </c>
      <c r="W3075" s="5" t="s">
        <v>67</v>
      </c>
      <c r="X3075" s="5" t="s">
        <v>67</v>
      </c>
      <c r="Y3075" s="4">
        <v>252</v>
      </c>
      <c r="Z3075" s="4">
        <v>12</v>
      </c>
      <c r="AA3075" s="4">
        <v>27</v>
      </c>
      <c r="AB3075" s="4">
        <v>2</v>
      </c>
      <c r="AC3075" s="4">
        <v>8</v>
      </c>
      <c r="AD3075" s="4">
        <v>79</v>
      </c>
      <c r="AE3075" s="4">
        <v>100</v>
      </c>
      <c r="AF3075" s="4">
        <v>0</v>
      </c>
      <c r="AG3075" s="4">
        <v>4</v>
      </c>
      <c r="AH3075" s="4">
        <v>73</v>
      </c>
      <c r="AI3075" s="4">
        <v>87</v>
      </c>
      <c r="AJ3075" s="4">
        <v>6</v>
      </c>
      <c r="AK3075" s="4">
        <v>16</v>
      </c>
      <c r="AL3075" s="4">
        <v>44</v>
      </c>
      <c r="AM3075" s="4">
        <v>51</v>
      </c>
      <c r="AN3075" s="4">
        <v>0</v>
      </c>
      <c r="AO3075" s="4">
        <v>0</v>
      </c>
      <c r="AP3075" s="4">
        <v>9</v>
      </c>
      <c r="AQ3075" s="4">
        <v>19</v>
      </c>
      <c r="AR3075" s="3" t="s">
        <v>62</v>
      </c>
      <c r="AS3075" s="3" t="s">
        <v>62</v>
      </c>
      <c r="AT3075" s="3" t="s">
        <v>62</v>
      </c>
      <c r="AV3075" s="6" t="str">
        <f>HYPERLINK("http://mcgill.on.worldcat.org/oclc/45583428","Catalog Record")</f>
        <v>Catalog Record</v>
      </c>
      <c r="AW3075" s="6" t="str">
        <f>HYPERLINK("http://www.worldcat.org/oclc/45583428","WorldCat Record")</f>
        <v>WorldCat Record</v>
      </c>
      <c r="AX3075" s="3" t="s">
        <v>30144</v>
      </c>
      <c r="AY3075" s="3" t="s">
        <v>30145</v>
      </c>
      <c r="AZ3075" s="3" t="s">
        <v>30146</v>
      </c>
      <c r="BA3075" s="3" t="s">
        <v>30146</v>
      </c>
      <c r="BB3075" s="3" t="s">
        <v>30147</v>
      </c>
      <c r="BC3075" s="3" t="s">
        <v>142</v>
      </c>
      <c r="BD3075" s="3" t="s">
        <v>68</v>
      </c>
      <c r="BE3075" s="3" t="s">
        <v>30148</v>
      </c>
      <c r="BF3075" s="3" t="s">
        <v>30147</v>
      </c>
      <c r="BG3075" s="3" t="s">
        <v>30149</v>
      </c>
    </row>
    <row r="3076" spans="1:59" ht="57" x14ac:dyDescent="0.45">
      <c r="A3076" s="2" t="s">
        <v>59</v>
      </c>
      <c r="B3076" s="2" t="s">
        <v>60</v>
      </c>
      <c r="C3076" s="2" t="s">
        <v>30141</v>
      </c>
      <c r="D3076" s="2" t="s">
        <v>30142</v>
      </c>
      <c r="E3076" s="2" t="s">
        <v>30143</v>
      </c>
      <c r="G3076" s="3" t="s">
        <v>62</v>
      </c>
      <c r="I3076" s="3" t="s">
        <v>61</v>
      </c>
      <c r="J3076" s="3" t="s">
        <v>62</v>
      </c>
      <c r="K3076" s="3" t="s">
        <v>63</v>
      </c>
      <c r="M3076" s="2" t="s">
        <v>7378</v>
      </c>
      <c r="N3076" s="3" t="s">
        <v>542</v>
      </c>
      <c r="P3076" s="3" t="s">
        <v>65</v>
      </c>
      <c r="Q3076" s="2" t="s">
        <v>7036</v>
      </c>
      <c r="R3076" s="3" t="s">
        <v>66</v>
      </c>
      <c r="S3076" s="4">
        <v>16</v>
      </c>
      <c r="T3076" s="4">
        <v>45</v>
      </c>
      <c r="U3076" s="5" t="s">
        <v>1570</v>
      </c>
      <c r="V3076" s="5" t="s">
        <v>1570</v>
      </c>
      <c r="W3076" s="5" t="s">
        <v>67</v>
      </c>
      <c r="X3076" s="5" t="s">
        <v>67</v>
      </c>
      <c r="Y3076" s="4">
        <v>252</v>
      </c>
      <c r="Z3076" s="4">
        <v>12</v>
      </c>
      <c r="AA3076" s="4">
        <v>27</v>
      </c>
      <c r="AB3076" s="4">
        <v>2</v>
      </c>
      <c r="AC3076" s="4">
        <v>8</v>
      </c>
      <c r="AD3076" s="4">
        <v>79</v>
      </c>
      <c r="AE3076" s="4">
        <v>100</v>
      </c>
      <c r="AF3076" s="4">
        <v>0</v>
      </c>
      <c r="AG3076" s="4">
        <v>4</v>
      </c>
      <c r="AH3076" s="4">
        <v>73</v>
      </c>
      <c r="AI3076" s="4">
        <v>87</v>
      </c>
      <c r="AJ3076" s="4">
        <v>6</v>
      </c>
      <c r="AK3076" s="4">
        <v>16</v>
      </c>
      <c r="AL3076" s="4">
        <v>44</v>
      </c>
      <c r="AM3076" s="4">
        <v>51</v>
      </c>
      <c r="AN3076" s="4">
        <v>0</v>
      </c>
      <c r="AO3076" s="4">
        <v>0</v>
      </c>
      <c r="AP3076" s="4">
        <v>9</v>
      </c>
      <c r="AQ3076" s="4">
        <v>19</v>
      </c>
      <c r="AR3076" s="3" t="s">
        <v>62</v>
      </c>
      <c r="AS3076" s="3" t="s">
        <v>62</v>
      </c>
      <c r="AT3076" s="3" t="s">
        <v>62</v>
      </c>
      <c r="AV3076" s="6" t="str">
        <f>HYPERLINK("http://mcgill.on.worldcat.org/oclc/45583428","Catalog Record")</f>
        <v>Catalog Record</v>
      </c>
      <c r="AW3076" s="6" t="str">
        <f>HYPERLINK("http://www.worldcat.org/oclc/45583428","WorldCat Record")</f>
        <v>WorldCat Record</v>
      </c>
      <c r="AX3076" s="3" t="s">
        <v>30144</v>
      </c>
      <c r="AY3076" s="3" t="s">
        <v>30145</v>
      </c>
      <c r="AZ3076" s="3" t="s">
        <v>30146</v>
      </c>
      <c r="BA3076" s="3" t="s">
        <v>30146</v>
      </c>
      <c r="BB3076" s="3" t="s">
        <v>30150</v>
      </c>
      <c r="BC3076" s="3" t="s">
        <v>142</v>
      </c>
      <c r="BD3076" s="3" t="s">
        <v>68</v>
      </c>
      <c r="BE3076" s="3" t="s">
        <v>30148</v>
      </c>
      <c r="BF3076" s="3" t="s">
        <v>30150</v>
      </c>
      <c r="BG3076" s="3" t="s">
        <v>30151</v>
      </c>
    </row>
    <row r="3077" spans="1:59" ht="57" x14ac:dyDescent="0.45">
      <c r="A3077" s="2" t="s">
        <v>59</v>
      </c>
      <c r="B3077" s="2" t="s">
        <v>60</v>
      </c>
      <c r="C3077" s="2" t="s">
        <v>30152</v>
      </c>
      <c r="D3077" s="2" t="s">
        <v>30153</v>
      </c>
      <c r="E3077" s="2" t="s">
        <v>30154</v>
      </c>
      <c r="G3077" s="3" t="s">
        <v>62</v>
      </c>
      <c r="I3077" s="3" t="s">
        <v>62</v>
      </c>
      <c r="J3077" s="3" t="s">
        <v>62</v>
      </c>
      <c r="K3077" s="3" t="s">
        <v>63</v>
      </c>
      <c r="M3077" s="2" t="s">
        <v>10828</v>
      </c>
      <c r="N3077" s="3" t="s">
        <v>894</v>
      </c>
      <c r="P3077" s="3" t="s">
        <v>65</v>
      </c>
      <c r="Q3077" s="2" t="s">
        <v>30155</v>
      </c>
      <c r="R3077" s="3" t="s">
        <v>66</v>
      </c>
      <c r="S3077" s="4">
        <v>4</v>
      </c>
      <c r="T3077" s="4">
        <v>4</v>
      </c>
      <c r="U3077" s="5" t="s">
        <v>1570</v>
      </c>
      <c r="V3077" s="5" t="s">
        <v>1570</v>
      </c>
      <c r="W3077" s="5" t="s">
        <v>67</v>
      </c>
      <c r="X3077" s="5" t="s">
        <v>67</v>
      </c>
      <c r="Y3077" s="4">
        <v>63</v>
      </c>
      <c r="Z3077" s="4">
        <v>5</v>
      </c>
      <c r="AA3077" s="4">
        <v>109</v>
      </c>
      <c r="AB3077" s="4">
        <v>2</v>
      </c>
      <c r="AC3077" s="4">
        <v>17</v>
      </c>
      <c r="AD3077" s="4">
        <v>24</v>
      </c>
      <c r="AE3077" s="4">
        <v>113</v>
      </c>
      <c r="AF3077" s="4">
        <v>1</v>
      </c>
      <c r="AG3077" s="4">
        <v>8</v>
      </c>
      <c r="AH3077" s="4">
        <v>23</v>
      </c>
      <c r="AI3077" s="4">
        <v>75</v>
      </c>
      <c r="AJ3077" s="4">
        <v>3</v>
      </c>
      <c r="AK3077" s="4">
        <v>21</v>
      </c>
      <c r="AL3077" s="4">
        <v>17</v>
      </c>
      <c r="AM3077" s="4">
        <v>39</v>
      </c>
      <c r="AN3077" s="4">
        <v>0</v>
      </c>
      <c r="AO3077" s="4">
        <v>0</v>
      </c>
      <c r="AP3077" s="4">
        <v>3</v>
      </c>
      <c r="AQ3077" s="4">
        <v>44</v>
      </c>
      <c r="AR3077" s="3" t="s">
        <v>62</v>
      </c>
      <c r="AS3077" s="3" t="s">
        <v>62</v>
      </c>
      <c r="AT3077" s="3" t="s">
        <v>62</v>
      </c>
      <c r="AV3077" s="6" t="str">
        <f>HYPERLINK("http://mcgill.on.worldcat.org/oclc/606787692","Catalog Record")</f>
        <v>Catalog Record</v>
      </c>
      <c r="AW3077" s="6" t="str">
        <f>HYPERLINK("http://www.worldcat.org/oclc/606787692","WorldCat Record")</f>
        <v>WorldCat Record</v>
      </c>
      <c r="AX3077" s="3" t="s">
        <v>30156</v>
      </c>
      <c r="AY3077" s="3" t="s">
        <v>30157</v>
      </c>
      <c r="AZ3077" s="3" t="s">
        <v>30158</v>
      </c>
      <c r="BA3077" s="3" t="s">
        <v>30158</v>
      </c>
      <c r="BB3077" s="3" t="s">
        <v>30159</v>
      </c>
      <c r="BC3077" s="3" t="s">
        <v>142</v>
      </c>
      <c r="BD3077" s="3" t="s">
        <v>68</v>
      </c>
      <c r="BE3077" s="3" t="s">
        <v>30160</v>
      </c>
      <c r="BF3077" s="3" t="s">
        <v>30159</v>
      </c>
      <c r="BG3077" s="3" t="s">
        <v>30161</v>
      </c>
    </row>
    <row r="3078" spans="1:59" ht="57" x14ac:dyDescent="0.45">
      <c r="A3078" s="2" t="s">
        <v>59</v>
      </c>
      <c r="B3078" s="2" t="s">
        <v>60</v>
      </c>
      <c r="C3078" s="2" t="s">
        <v>30162</v>
      </c>
      <c r="D3078" s="2" t="s">
        <v>30163</v>
      </c>
      <c r="E3078" s="2" t="s">
        <v>30164</v>
      </c>
      <c r="G3078" s="3" t="s">
        <v>62</v>
      </c>
      <c r="I3078" s="3" t="s">
        <v>62</v>
      </c>
      <c r="J3078" s="3" t="s">
        <v>62</v>
      </c>
      <c r="K3078" s="3" t="s">
        <v>63</v>
      </c>
      <c r="M3078" s="2" t="s">
        <v>7877</v>
      </c>
      <c r="N3078" s="3" t="s">
        <v>1465</v>
      </c>
      <c r="P3078" s="3" t="s">
        <v>65</v>
      </c>
      <c r="Q3078" s="2" t="s">
        <v>30165</v>
      </c>
      <c r="R3078" s="3" t="s">
        <v>66</v>
      </c>
      <c r="S3078" s="4">
        <v>3</v>
      </c>
      <c r="T3078" s="4">
        <v>3</v>
      </c>
      <c r="U3078" s="5" t="s">
        <v>1605</v>
      </c>
      <c r="V3078" s="5" t="s">
        <v>1605</v>
      </c>
      <c r="W3078" s="5" t="s">
        <v>67</v>
      </c>
      <c r="X3078" s="5" t="s">
        <v>67</v>
      </c>
      <c r="Y3078" s="4">
        <v>123</v>
      </c>
      <c r="Z3078" s="4">
        <v>11</v>
      </c>
      <c r="AA3078" s="4">
        <v>99</v>
      </c>
      <c r="AB3078" s="4">
        <v>3</v>
      </c>
      <c r="AC3078" s="4">
        <v>19</v>
      </c>
      <c r="AD3078" s="4">
        <v>54</v>
      </c>
      <c r="AE3078" s="4">
        <v>124</v>
      </c>
      <c r="AF3078" s="4">
        <v>1</v>
      </c>
      <c r="AG3078" s="4">
        <v>8</v>
      </c>
      <c r="AH3078" s="4">
        <v>48</v>
      </c>
      <c r="AI3078" s="4">
        <v>86</v>
      </c>
      <c r="AJ3078" s="4">
        <v>8</v>
      </c>
      <c r="AK3078" s="4">
        <v>22</v>
      </c>
      <c r="AL3078" s="4">
        <v>33</v>
      </c>
      <c r="AM3078" s="4">
        <v>48</v>
      </c>
      <c r="AN3078" s="4">
        <v>0</v>
      </c>
      <c r="AO3078" s="4">
        <v>0</v>
      </c>
      <c r="AP3078" s="4">
        <v>8</v>
      </c>
      <c r="AQ3078" s="4">
        <v>43</v>
      </c>
      <c r="AR3078" s="3" t="s">
        <v>62</v>
      </c>
      <c r="AS3078" s="3" t="s">
        <v>62</v>
      </c>
      <c r="AT3078" s="3" t="s">
        <v>62</v>
      </c>
      <c r="AV3078" s="6" t="str">
        <f>HYPERLINK("http://mcgill.on.worldcat.org/oclc/383826616","Catalog Record")</f>
        <v>Catalog Record</v>
      </c>
      <c r="AW3078" s="6" t="str">
        <f>HYPERLINK("http://www.worldcat.org/oclc/383826616","WorldCat Record")</f>
        <v>WorldCat Record</v>
      </c>
      <c r="AX3078" s="3" t="s">
        <v>30166</v>
      </c>
      <c r="AY3078" s="3" t="s">
        <v>30167</v>
      </c>
      <c r="AZ3078" s="3" t="s">
        <v>30168</v>
      </c>
      <c r="BA3078" s="3" t="s">
        <v>30168</v>
      </c>
      <c r="BB3078" s="3" t="s">
        <v>30169</v>
      </c>
      <c r="BC3078" s="3" t="s">
        <v>142</v>
      </c>
      <c r="BD3078" s="3" t="s">
        <v>308</v>
      </c>
      <c r="BE3078" s="3" t="s">
        <v>30170</v>
      </c>
      <c r="BF3078" s="3" t="s">
        <v>30169</v>
      </c>
      <c r="BG3078" s="3" t="s">
        <v>30171</v>
      </c>
    </row>
    <row r="3079" spans="1:59" ht="57" x14ac:dyDescent="0.45">
      <c r="A3079" s="2" t="s">
        <v>59</v>
      </c>
      <c r="B3079" s="2" t="s">
        <v>60</v>
      </c>
      <c r="C3079" s="2" t="s">
        <v>30172</v>
      </c>
      <c r="D3079" s="2" t="s">
        <v>30173</v>
      </c>
      <c r="E3079" s="2" t="s">
        <v>30174</v>
      </c>
      <c r="G3079" s="3" t="s">
        <v>62</v>
      </c>
      <c r="I3079" s="3" t="s">
        <v>62</v>
      </c>
      <c r="J3079" s="3" t="s">
        <v>62</v>
      </c>
      <c r="K3079" s="3" t="s">
        <v>63</v>
      </c>
      <c r="M3079" s="2" t="s">
        <v>30175</v>
      </c>
      <c r="N3079" s="3" t="s">
        <v>3160</v>
      </c>
      <c r="P3079" s="3" t="s">
        <v>65</v>
      </c>
      <c r="R3079" s="3" t="s">
        <v>66</v>
      </c>
      <c r="S3079" s="4">
        <v>28</v>
      </c>
      <c r="T3079" s="4">
        <v>28</v>
      </c>
      <c r="U3079" s="5" t="s">
        <v>1605</v>
      </c>
      <c r="V3079" s="5" t="s">
        <v>1605</v>
      </c>
      <c r="W3079" s="5" t="s">
        <v>67</v>
      </c>
      <c r="X3079" s="5" t="s">
        <v>67</v>
      </c>
      <c r="Y3079" s="4">
        <v>355</v>
      </c>
      <c r="Z3079" s="4">
        <v>18</v>
      </c>
      <c r="AA3079" s="4">
        <v>18</v>
      </c>
      <c r="AB3079" s="4">
        <v>1</v>
      </c>
      <c r="AC3079" s="4">
        <v>1</v>
      </c>
      <c r="AD3079" s="4">
        <v>104</v>
      </c>
      <c r="AE3079" s="4">
        <v>104</v>
      </c>
      <c r="AF3079" s="4">
        <v>0</v>
      </c>
      <c r="AG3079" s="4">
        <v>0</v>
      </c>
      <c r="AH3079" s="4">
        <v>96</v>
      </c>
      <c r="AI3079" s="4">
        <v>96</v>
      </c>
      <c r="AJ3079" s="4">
        <v>15</v>
      </c>
      <c r="AK3079" s="4">
        <v>15</v>
      </c>
      <c r="AL3079" s="4">
        <v>54</v>
      </c>
      <c r="AM3079" s="4">
        <v>54</v>
      </c>
      <c r="AN3079" s="4">
        <v>0</v>
      </c>
      <c r="AO3079" s="4">
        <v>0</v>
      </c>
      <c r="AP3079" s="4">
        <v>16</v>
      </c>
      <c r="AQ3079" s="4">
        <v>16</v>
      </c>
      <c r="AR3079" s="3" t="s">
        <v>62</v>
      </c>
      <c r="AS3079" s="3" t="s">
        <v>62</v>
      </c>
      <c r="AT3079" s="3" t="s">
        <v>61</v>
      </c>
      <c r="AU3079" s="6" t="str">
        <f>HYPERLINK("http://catalog.hathitrust.org/Record/000169443","HathiTrust Record")</f>
        <v>HathiTrust Record</v>
      </c>
      <c r="AV3079" s="6" t="str">
        <f>HYPERLINK("http://mcgill.on.worldcat.org/oclc/7196596","Catalog Record")</f>
        <v>Catalog Record</v>
      </c>
      <c r="AW3079" s="6" t="str">
        <f>HYPERLINK("http://www.worldcat.org/oclc/7196596","WorldCat Record")</f>
        <v>WorldCat Record</v>
      </c>
      <c r="AX3079" s="3" t="s">
        <v>30176</v>
      </c>
      <c r="AY3079" s="3" t="s">
        <v>30177</v>
      </c>
      <c r="AZ3079" s="3" t="s">
        <v>30178</v>
      </c>
      <c r="BA3079" s="3" t="s">
        <v>30178</v>
      </c>
      <c r="BB3079" s="3" t="s">
        <v>30179</v>
      </c>
      <c r="BC3079" s="3" t="s">
        <v>142</v>
      </c>
      <c r="BD3079" s="3" t="s">
        <v>68</v>
      </c>
      <c r="BE3079" s="3" t="s">
        <v>30180</v>
      </c>
      <c r="BF3079" s="3" t="s">
        <v>30179</v>
      </c>
      <c r="BG3079" s="3" t="s">
        <v>30181</v>
      </c>
    </row>
    <row r="3080" spans="1:59" ht="57" x14ac:dyDescent="0.45">
      <c r="A3080" s="2" t="s">
        <v>59</v>
      </c>
      <c r="B3080" s="2" t="s">
        <v>60</v>
      </c>
      <c r="C3080" s="2" t="s">
        <v>30182</v>
      </c>
      <c r="D3080" s="2" t="s">
        <v>30183</v>
      </c>
      <c r="E3080" s="2" t="s">
        <v>30184</v>
      </c>
      <c r="G3080" s="3" t="s">
        <v>62</v>
      </c>
      <c r="I3080" s="3" t="s">
        <v>62</v>
      </c>
      <c r="J3080" s="3" t="s">
        <v>62</v>
      </c>
      <c r="K3080" s="3" t="s">
        <v>63</v>
      </c>
      <c r="L3080" s="2" t="s">
        <v>30185</v>
      </c>
      <c r="M3080" s="2" t="s">
        <v>30186</v>
      </c>
      <c r="N3080" s="3" t="s">
        <v>149</v>
      </c>
      <c r="P3080" s="3" t="s">
        <v>65</v>
      </c>
      <c r="R3080" s="3" t="s">
        <v>66</v>
      </c>
      <c r="S3080" s="4">
        <v>1</v>
      </c>
      <c r="T3080" s="4">
        <v>1</v>
      </c>
      <c r="U3080" s="5" t="s">
        <v>28051</v>
      </c>
      <c r="V3080" s="5" t="s">
        <v>28051</v>
      </c>
      <c r="W3080" s="5" t="s">
        <v>67</v>
      </c>
      <c r="X3080" s="5" t="s">
        <v>67</v>
      </c>
      <c r="Y3080" s="4">
        <v>170</v>
      </c>
      <c r="Z3080" s="4">
        <v>14</v>
      </c>
      <c r="AA3080" s="4">
        <v>18</v>
      </c>
      <c r="AB3080" s="4">
        <v>1</v>
      </c>
      <c r="AC3080" s="4">
        <v>3</v>
      </c>
      <c r="AD3080" s="4">
        <v>80</v>
      </c>
      <c r="AE3080" s="4">
        <v>89</v>
      </c>
      <c r="AF3080" s="4">
        <v>0</v>
      </c>
      <c r="AG3080" s="4">
        <v>1</v>
      </c>
      <c r="AH3080" s="4">
        <v>73</v>
      </c>
      <c r="AI3080" s="4">
        <v>80</v>
      </c>
      <c r="AJ3080" s="4">
        <v>11</v>
      </c>
      <c r="AK3080" s="4">
        <v>12</v>
      </c>
      <c r="AL3080" s="4">
        <v>43</v>
      </c>
      <c r="AM3080" s="4">
        <v>46</v>
      </c>
      <c r="AN3080" s="4">
        <v>0</v>
      </c>
      <c r="AO3080" s="4">
        <v>0</v>
      </c>
      <c r="AP3080" s="4">
        <v>13</v>
      </c>
      <c r="AQ3080" s="4">
        <v>16</v>
      </c>
      <c r="AR3080" s="3" t="s">
        <v>62</v>
      </c>
      <c r="AS3080" s="3" t="s">
        <v>62</v>
      </c>
      <c r="AT3080" s="3" t="s">
        <v>62</v>
      </c>
      <c r="AV3080" s="6" t="str">
        <f>HYPERLINK("http://mcgill.on.worldcat.org/oclc/471822360","Catalog Record")</f>
        <v>Catalog Record</v>
      </c>
      <c r="AW3080" s="6" t="str">
        <f>HYPERLINK("http://www.worldcat.org/oclc/471822360","WorldCat Record")</f>
        <v>WorldCat Record</v>
      </c>
      <c r="AX3080" s="3" t="s">
        <v>30187</v>
      </c>
      <c r="AY3080" s="3" t="s">
        <v>30188</v>
      </c>
      <c r="AZ3080" s="3" t="s">
        <v>30189</v>
      </c>
      <c r="BA3080" s="3" t="s">
        <v>30189</v>
      </c>
      <c r="BB3080" s="3" t="s">
        <v>30190</v>
      </c>
      <c r="BC3080" s="3" t="s">
        <v>142</v>
      </c>
      <c r="BD3080" s="3" t="s">
        <v>68</v>
      </c>
      <c r="BE3080" s="3" t="s">
        <v>30191</v>
      </c>
      <c r="BF3080" s="3" t="s">
        <v>30190</v>
      </c>
      <c r="BG3080" s="3" t="s">
        <v>30192</v>
      </c>
    </row>
    <row r="3081" spans="1:59" ht="57" x14ac:dyDescent="0.45">
      <c r="A3081" s="2" t="s">
        <v>59</v>
      </c>
      <c r="B3081" s="2" t="s">
        <v>60</v>
      </c>
      <c r="C3081" s="2" t="s">
        <v>30193</v>
      </c>
      <c r="D3081" s="2" t="s">
        <v>30194</v>
      </c>
      <c r="E3081" s="2" t="s">
        <v>30195</v>
      </c>
      <c r="G3081" s="3" t="s">
        <v>62</v>
      </c>
      <c r="I3081" s="3" t="s">
        <v>62</v>
      </c>
      <c r="J3081" s="3" t="s">
        <v>62</v>
      </c>
      <c r="K3081" s="3" t="s">
        <v>63</v>
      </c>
      <c r="L3081" s="2" t="s">
        <v>30196</v>
      </c>
      <c r="M3081" s="2" t="s">
        <v>30197</v>
      </c>
      <c r="N3081" s="3" t="s">
        <v>1059</v>
      </c>
      <c r="P3081" s="3" t="s">
        <v>65</v>
      </c>
      <c r="R3081" s="3" t="s">
        <v>66</v>
      </c>
      <c r="S3081" s="4">
        <v>16</v>
      </c>
      <c r="T3081" s="4">
        <v>16</v>
      </c>
      <c r="U3081" s="5" t="s">
        <v>30198</v>
      </c>
      <c r="V3081" s="5" t="s">
        <v>30198</v>
      </c>
      <c r="W3081" s="5" t="s">
        <v>67</v>
      </c>
      <c r="X3081" s="5" t="s">
        <v>67</v>
      </c>
      <c r="Y3081" s="4">
        <v>100</v>
      </c>
      <c r="Z3081" s="4">
        <v>14</v>
      </c>
      <c r="AA3081" s="4">
        <v>71</v>
      </c>
      <c r="AB3081" s="4">
        <v>2</v>
      </c>
      <c r="AC3081" s="4">
        <v>15</v>
      </c>
      <c r="AD3081" s="4">
        <v>45</v>
      </c>
      <c r="AE3081" s="4">
        <v>105</v>
      </c>
      <c r="AF3081" s="4">
        <v>1</v>
      </c>
      <c r="AG3081" s="4">
        <v>8</v>
      </c>
      <c r="AH3081" s="4">
        <v>38</v>
      </c>
      <c r="AI3081" s="4">
        <v>76</v>
      </c>
      <c r="AJ3081" s="4">
        <v>9</v>
      </c>
      <c r="AK3081" s="4">
        <v>20</v>
      </c>
      <c r="AL3081" s="4">
        <v>27</v>
      </c>
      <c r="AM3081" s="4">
        <v>42</v>
      </c>
      <c r="AN3081" s="4">
        <v>0</v>
      </c>
      <c r="AO3081" s="4">
        <v>0</v>
      </c>
      <c r="AP3081" s="4">
        <v>11</v>
      </c>
      <c r="AQ3081" s="4">
        <v>36</v>
      </c>
      <c r="AR3081" s="3" t="s">
        <v>62</v>
      </c>
      <c r="AS3081" s="3" t="s">
        <v>62</v>
      </c>
      <c r="AT3081" s="3" t="s">
        <v>62</v>
      </c>
      <c r="AV3081" s="6" t="str">
        <f>HYPERLINK("http://mcgill.on.worldcat.org/oclc/58478318","Catalog Record")</f>
        <v>Catalog Record</v>
      </c>
      <c r="AW3081" s="6" t="str">
        <f>HYPERLINK("http://www.worldcat.org/oclc/58478318","WorldCat Record")</f>
        <v>WorldCat Record</v>
      </c>
      <c r="AX3081" s="3" t="s">
        <v>30199</v>
      </c>
      <c r="AY3081" s="3" t="s">
        <v>30200</v>
      </c>
      <c r="AZ3081" s="3" t="s">
        <v>30201</v>
      </c>
      <c r="BA3081" s="3" t="s">
        <v>30201</v>
      </c>
      <c r="BB3081" s="3" t="s">
        <v>30202</v>
      </c>
      <c r="BC3081" s="3" t="s">
        <v>142</v>
      </c>
      <c r="BD3081" s="3" t="s">
        <v>68</v>
      </c>
      <c r="BE3081" s="3" t="s">
        <v>30203</v>
      </c>
      <c r="BF3081" s="3" t="s">
        <v>30202</v>
      </c>
      <c r="BG3081" s="3" t="s">
        <v>30204</v>
      </c>
    </row>
    <row r="3082" spans="1:59" ht="57" x14ac:dyDescent="0.45">
      <c r="A3082" s="2" t="s">
        <v>59</v>
      </c>
      <c r="B3082" s="2" t="s">
        <v>60</v>
      </c>
      <c r="C3082" s="2" t="s">
        <v>30205</v>
      </c>
      <c r="D3082" s="2" t="s">
        <v>30206</v>
      </c>
      <c r="E3082" s="2" t="s">
        <v>30207</v>
      </c>
      <c r="G3082" s="3" t="s">
        <v>62</v>
      </c>
      <c r="I3082" s="3" t="s">
        <v>62</v>
      </c>
      <c r="J3082" s="3" t="s">
        <v>62</v>
      </c>
      <c r="K3082" s="3" t="s">
        <v>63</v>
      </c>
      <c r="M3082" s="2" t="s">
        <v>2739</v>
      </c>
      <c r="N3082" s="3" t="s">
        <v>149</v>
      </c>
      <c r="P3082" s="3" t="s">
        <v>65</v>
      </c>
      <c r="Q3082" s="2" t="s">
        <v>30208</v>
      </c>
      <c r="R3082" s="3" t="s">
        <v>66</v>
      </c>
      <c r="S3082" s="4">
        <v>0</v>
      </c>
      <c r="T3082" s="4">
        <v>0</v>
      </c>
      <c r="W3082" s="5" t="s">
        <v>67</v>
      </c>
      <c r="X3082" s="5" t="s">
        <v>67</v>
      </c>
      <c r="Y3082" s="4">
        <v>58</v>
      </c>
      <c r="Z3082" s="4">
        <v>8</v>
      </c>
      <c r="AA3082" s="4">
        <v>27</v>
      </c>
      <c r="AB3082" s="4">
        <v>1</v>
      </c>
      <c r="AC3082" s="4">
        <v>4</v>
      </c>
      <c r="AD3082" s="4">
        <v>32</v>
      </c>
      <c r="AE3082" s="4">
        <v>64</v>
      </c>
      <c r="AF3082" s="4">
        <v>0</v>
      </c>
      <c r="AG3082" s="4">
        <v>1</v>
      </c>
      <c r="AH3082" s="4">
        <v>31</v>
      </c>
      <c r="AI3082" s="4">
        <v>53</v>
      </c>
      <c r="AJ3082" s="4">
        <v>6</v>
      </c>
      <c r="AK3082" s="4">
        <v>12</v>
      </c>
      <c r="AL3082" s="4">
        <v>17</v>
      </c>
      <c r="AM3082" s="4">
        <v>28</v>
      </c>
      <c r="AN3082" s="4">
        <v>0</v>
      </c>
      <c r="AO3082" s="4">
        <v>0</v>
      </c>
      <c r="AP3082" s="4">
        <v>6</v>
      </c>
      <c r="AQ3082" s="4">
        <v>18</v>
      </c>
      <c r="AR3082" s="3" t="s">
        <v>62</v>
      </c>
      <c r="AS3082" s="3" t="s">
        <v>62</v>
      </c>
      <c r="AT3082" s="3" t="s">
        <v>62</v>
      </c>
      <c r="AV3082" s="6" t="str">
        <f>HYPERLINK("http://mcgill.on.worldcat.org/oclc/656850305","Catalog Record")</f>
        <v>Catalog Record</v>
      </c>
      <c r="AW3082" s="6" t="str">
        <f>HYPERLINK("http://www.worldcat.org/oclc/656850305","WorldCat Record")</f>
        <v>WorldCat Record</v>
      </c>
      <c r="AX3082" s="3" t="s">
        <v>30209</v>
      </c>
      <c r="AY3082" s="3" t="s">
        <v>30210</v>
      </c>
      <c r="AZ3082" s="3" t="s">
        <v>30211</v>
      </c>
      <c r="BA3082" s="3" t="s">
        <v>30211</v>
      </c>
      <c r="BB3082" s="3" t="s">
        <v>30212</v>
      </c>
      <c r="BC3082" s="3" t="s">
        <v>142</v>
      </c>
      <c r="BD3082" s="3" t="s">
        <v>68</v>
      </c>
      <c r="BE3082" s="3" t="s">
        <v>30213</v>
      </c>
      <c r="BF3082" s="3" t="s">
        <v>30212</v>
      </c>
      <c r="BG3082" s="3" t="s">
        <v>30214</v>
      </c>
    </row>
    <row r="3083" spans="1:59" ht="57" x14ac:dyDescent="0.45">
      <c r="A3083" s="2" t="s">
        <v>59</v>
      </c>
      <c r="B3083" s="2" t="s">
        <v>60</v>
      </c>
      <c r="C3083" s="2" t="s">
        <v>30215</v>
      </c>
      <c r="D3083" s="2" t="s">
        <v>30216</v>
      </c>
      <c r="E3083" s="2" t="s">
        <v>30217</v>
      </c>
      <c r="G3083" s="3" t="s">
        <v>62</v>
      </c>
      <c r="I3083" s="3" t="s">
        <v>62</v>
      </c>
      <c r="J3083" s="3" t="s">
        <v>62</v>
      </c>
      <c r="K3083" s="3" t="s">
        <v>63</v>
      </c>
      <c r="L3083" s="2" t="s">
        <v>30218</v>
      </c>
      <c r="M3083" s="2" t="s">
        <v>30219</v>
      </c>
      <c r="N3083" s="3" t="s">
        <v>116</v>
      </c>
      <c r="P3083" s="3" t="s">
        <v>65</v>
      </c>
      <c r="Q3083" s="2" t="s">
        <v>30220</v>
      </c>
      <c r="R3083" s="3" t="s">
        <v>66</v>
      </c>
      <c r="S3083" s="4">
        <v>3</v>
      </c>
      <c r="T3083" s="4">
        <v>3</v>
      </c>
      <c r="U3083" s="5" t="s">
        <v>9468</v>
      </c>
      <c r="V3083" s="5" t="s">
        <v>9468</v>
      </c>
      <c r="W3083" s="5" t="s">
        <v>67</v>
      </c>
      <c r="X3083" s="5" t="s">
        <v>67</v>
      </c>
      <c r="Y3083" s="4">
        <v>44</v>
      </c>
      <c r="Z3083" s="4">
        <v>3</v>
      </c>
      <c r="AA3083" s="4">
        <v>73</v>
      </c>
      <c r="AB3083" s="4">
        <v>1</v>
      </c>
      <c r="AC3083" s="4">
        <v>14</v>
      </c>
      <c r="AD3083" s="4">
        <v>17</v>
      </c>
      <c r="AE3083" s="4">
        <v>97</v>
      </c>
      <c r="AF3083" s="4">
        <v>0</v>
      </c>
      <c r="AG3083" s="4">
        <v>8</v>
      </c>
      <c r="AH3083" s="4">
        <v>16</v>
      </c>
      <c r="AI3083" s="4">
        <v>66</v>
      </c>
      <c r="AJ3083" s="4">
        <v>2</v>
      </c>
      <c r="AK3083" s="4">
        <v>20</v>
      </c>
      <c r="AL3083" s="4">
        <v>13</v>
      </c>
      <c r="AM3083" s="4">
        <v>34</v>
      </c>
      <c r="AN3083" s="4">
        <v>0</v>
      </c>
      <c r="AO3083" s="4">
        <v>0</v>
      </c>
      <c r="AP3083" s="4">
        <v>2</v>
      </c>
      <c r="AQ3083" s="4">
        <v>37</v>
      </c>
      <c r="AR3083" s="3" t="s">
        <v>62</v>
      </c>
      <c r="AS3083" s="3" t="s">
        <v>62</v>
      </c>
      <c r="AT3083" s="3" t="s">
        <v>62</v>
      </c>
      <c r="AV3083" s="6" t="str">
        <f>HYPERLINK("http://mcgill.on.worldcat.org/oclc/828143268","Catalog Record")</f>
        <v>Catalog Record</v>
      </c>
      <c r="AW3083" s="6" t="str">
        <f>HYPERLINK("http://www.worldcat.org/oclc/828143268","WorldCat Record")</f>
        <v>WorldCat Record</v>
      </c>
      <c r="AX3083" s="3" t="s">
        <v>30221</v>
      </c>
      <c r="AY3083" s="3" t="s">
        <v>30222</v>
      </c>
      <c r="AZ3083" s="3" t="s">
        <v>30223</v>
      </c>
      <c r="BA3083" s="3" t="s">
        <v>30223</v>
      </c>
      <c r="BB3083" s="3" t="s">
        <v>30224</v>
      </c>
      <c r="BC3083" s="3" t="s">
        <v>142</v>
      </c>
      <c r="BD3083" s="3" t="s">
        <v>68</v>
      </c>
      <c r="BE3083" s="3" t="s">
        <v>30225</v>
      </c>
      <c r="BF3083" s="3" t="s">
        <v>30224</v>
      </c>
      <c r="BG3083" s="3" t="s">
        <v>30226</v>
      </c>
    </row>
    <row r="3084" spans="1:59" ht="57" x14ac:dyDescent="0.45">
      <c r="A3084" s="2" t="s">
        <v>59</v>
      </c>
      <c r="B3084" s="2" t="s">
        <v>60</v>
      </c>
      <c r="C3084" s="2" t="s">
        <v>30227</v>
      </c>
      <c r="D3084" s="2" t="s">
        <v>30228</v>
      </c>
      <c r="E3084" s="2" t="s">
        <v>30229</v>
      </c>
      <c r="G3084" s="3" t="s">
        <v>62</v>
      </c>
      <c r="I3084" s="3" t="s">
        <v>62</v>
      </c>
      <c r="J3084" s="3" t="s">
        <v>62</v>
      </c>
      <c r="K3084" s="3" t="s">
        <v>63</v>
      </c>
      <c r="M3084" s="2" t="s">
        <v>30230</v>
      </c>
      <c r="N3084" s="3" t="s">
        <v>149</v>
      </c>
      <c r="P3084" s="3" t="s">
        <v>65</v>
      </c>
      <c r="Q3084" s="2" t="s">
        <v>30231</v>
      </c>
      <c r="R3084" s="3" t="s">
        <v>66</v>
      </c>
      <c r="S3084" s="4">
        <v>2</v>
      </c>
      <c r="T3084" s="4">
        <v>2</v>
      </c>
      <c r="U3084" s="5" t="s">
        <v>741</v>
      </c>
      <c r="V3084" s="5" t="s">
        <v>741</v>
      </c>
      <c r="W3084" s="5" t="s">
        <v>67</v>
      </c>
      <c r="X3084" s="5" t="s">
        <v>67</v>
      </c>
      <c r="Y3084" s="4">
        <v>113</v>
      </c>
      <c r="Z3084" s="4">
        <v>11</v>
      </c>
      <c r="AA3084" s="4">
        <v>95</v>
      </c>
      <c r="AB3084" s="4">
        <v>2</v>
      </c>
      <c r="AC3084" s="4">
        <v>17</v>
      </c>
      <c r="AD3084" s="4">
        <v>45</v>
      </c>
      <c r="AE3084" s="4">
        <v>118</v>
      </c>
      <c r="AF3084" s="4">
        <v>1</v>
      </c>
      <c r="AG3084" s="4">
        <v>8</v>
      </c>
      <c r="AH3084" s="4">
        <v>40</v>
      </c>
      <c r="AI3084" s="4">
        <v>83</v>
      </c>
      <c r="AJ3084" s="4">
        <v>9</v>
      </c>
      <c r="AK3084" s="4">
        <v>22</v>
      </c>
      <c r="AL3084" s="4">
        <v>23</v>
      </c>
      <c r="AM3084" s="4">
        <v>40</v>
      </c>
      <c r="AN3084" s="4">
        <v>0</v>
      </c>
      <c r="AO3084" s="4">
        <v>0</v>
      </c>
      <c r="AP3084" s="4">
        <v>9</v>
      </c>
      <c r="AQ3084" s="4">
        <v>43</v>
      </c>
      <c r="AR3084" s="3" t="s">
        <v>62</v>
      </c>
      <c r="AS3084" s="3" t="s">
        <v>62</v>
      </c>
      <c r="AT3084" s="3" t="s">
        <v>62</v>
      </c>
      <c r="AV3084" s="6" t="str">
        <f>HYPERLINK("http://mcgill.on.worldcat.org/oclc/606787686","Catalog Record")</f>
        <v>Catalog Record</v>
      </c>
      <c r="AW3084" s="6" t="str">
        <f>HYPERLINK("http://www.worldcat.org/oclc/606787686","WorldCat Record")</f>
        <v>WorldCat Record</v>
      </c>
      <c r="AX3084" s="3" t="s">
        <v>30232</v>
      </c>
      <c r="AY3084" s="3" t="s">
        <v>30233</v>
      </c>
      <c r="AZ3084" s="3" t="s">
        <v>30234</v>
      </c>
      <c r="BA3084" s="3" t="s">
        <v>30234</v>
      </c>
      <c r="BB3084" s="3" t="s">
        <v>30235</v>
      </c>
      <c r="BC3084" s="3" t="s">
        <v>142</v>
      </c>
      <c r="BD3084" s="3" t="s">
        <v>68</v>
      </c>
      <c r="BE3084" s="3" t="s">
        <v>30236</v>
      </c>
      <c r="BF3084" s="3" t="s">
        <v>30235</v>
      </c>
      <c r="BG3084" s="3" t="s">
        <v>30237</v>
      </c>
    </row>
    <row r="3085" spans="1:59" ht="57" x14ac:dyDescent="0.45">
      <c r="A3085" s="2" t="s">
        <v>59</v>
      </c>
      <c r="B3085" s="2" t="s">
        <v>60</v>
      </c>
      <c r="C3085" s="2" t="s">
        <v>30238</v>
      </c>
      <c r="D3085" s="2" t="s">
        <v>30239</v>
      </c>
      <c r="E3085" s="2" t="s">
        <v>30240</v>
      </c>
      <c r="G3085" s="3" t="s">
        <v>62</v>
      </c>
      <c r="I3085" s="3" t="s">
        <v>62</v>
      </c>
      <c r="J3085" s="3" t="s">
        <v>62</v>
      </c>
      <c r="K3085" s="3" t="s">
        <v>63</v>
      </c>
      <c r="L3085" s="2" t="s">
        <v>30241</v>
      </c>
      <c r="M3085" s="2" t="s">
        <v>30242</v>
      </c>
      <c r="N3085" s="3" t="s">
        <v>958</v>
      </c>
      <c r="P3085" s="3" t="s">
        <v>65</v>
      </c>
      <c r="Q3085" s="2" t="s">
        <v>2584</v>
      </c>
      <c r="R3085" s="3" t="s">
        <v>66</v>
      </c>
      <c r="S3085" s="4">
        <v>34</v>
      </c>
      <c r="T3085" s="4">
        <v>34</v>
      </c>
      <c r="U3085" s="5" t="s">
        <v>16909</v>
      </c>
      <c r="V3085" s="5" t="s">
        <v>16909</v>
      </c>
      <c r="W3085" s="5" t="s">
        <v>67</v>
      </c>
      <c r="X3085" s="5" t="s">
        <v>67</v>
      </c>
      <c r="Y3085" s="4">
        <v>286</v>
      </c>
      <c r="Z3085" s="4">
        <v>13</v>
      </c>
      <c r="AA3085" s="4">
        <v>17</v>
      </c>
      <c r="AB3085" s="4">
        <v>1</v>
      </c>
      <c r="AC3085" s="4">
        <v>5</v>
      </c>
      <c r="AD3085" s="4">
        <v>60</v>
      </c>
      <c r="AE3085" s="4">
        <v>62</v>
      </c>
      <c r="AF3085" s="4">
        <v>0</v>
      </c>
      <c r="AG3085" s="4">
        <v>1</v>
      </c>
      <c r="AH3085" s="4">
        <v>55</v>
      </c>
      <c r="AI3085" s="4">
        <v>57</v>
      </c>
      <c r="AJ3085" s="4">
        <v>10</v>
      </c>
      <c r="AK3085" s="4">
        <v>11</v>
      </c>
      <c r="AL3085" s="4">
        <v>31</v>
      </c>
      <c r="AM3085" s="4">
        <v>31</v>
      </c>
      <c r="AN3085" s="4">
        <v>0</v>
      </c>
      <c r="AO3085" s="4">
        <v>0</v>
      </c>
      <c r="AP3085" s="4">
        <v>11</v>
      </c>
      <c r="AQ3085" s="4">
        <v>12</v>
      </c>
      <c r="AR3085" s="3" t="s">
        <v>62</v>
      </c>
      <c r="AS3085" s="3" t="s">
        <v>62</v>
      </c>
      <c r="AT3085" s="3" t="s">
        <v>61</v>
      </c>
      <c r="AU3085" s="6" t="str">
        <f>HYPERLINK("http://catalog.hathitrust.org/Record/003071194","HathiTrust Record")</f>
        <v>HathiTrust Record</v>
      </c>
      <c r="AV3085" s="6" t="str">
        <f>HYPERLINK("http://mcgill.on.worldcat.org/oclc/32429794","Catalog Record")</f>
        <v>Catalog Record</v>
      </c>
      <c r="AW3085" s="6" t="str">
        <f>HYPERLINK("http://www.worldcat.org/oclc/32429794","WorldCat Record")</f>
        <v>WorldCat Record</v>
      </c>
      <c r="AX3085" s="3" t="s">
        <v>30243</v>
      </c>
      <c r="AY3085" s="3" t="s">
        <v>30244</v>
      </c>
      <c r="AZ3085" s="3" t="s">
        <v>30245</v>
      </c>
      <c r="BA3085" s="3" t="s">
        <v>30245</v>
      </c>
      <c r="BB3085" s="3" t="s">
        <v>30246</v>
      </c>
      <c r="BC3085" s="3" t="s">
        <v>142</v>
      </c>
      <c r="BD3085" s="3" t="s">
        <v>68</v>
      </c>
      <c r="BE3085" s="3" t="s">
        <v>30247</v>
      </c>
      <c r="BF3085" s="3" t="s">
        <v>30246</v>
      </c>
      <c r="BG3085" s="3" t="s">
        <v>30248</v>
      </c>
    </row>
    <row r="3086" spans="1:59" ht="57" x14ac:dyDescent="0.45">
      <c r="A3086" s="2" t="s">
        <v>59</v>
      </c>
      <c r="B3086" s="2" t="s">
        <v>60</v>
      </c>
      <c r="C3086" s="2" t="s">
        <v>30249</v>
      </c>
      <c r="D3086" s="2" t="s">
        <v>30250</v>
      </c>
      <c r="E3086" s="2" t="s">
        <v>30251</v>
      </c>
      <c r="G3086" s="3" t="s">
        <v>62</v>
      </c>
      <c r="I3086" s="3" t="s">
        <v>62</v>
      </c>
      <c r="J3086" s="3" t="s">
        <v>62</v>
      </c>
      <c r="K3086" s="3" t="s">
        <v>63</v>
      </c>
      <c r="M3086" s="2" t="s">
        <v>30252</v>
      </c>
      <c r="N3086" s="3" t="s">
        <v>149</v>
      </c>
      <c r="P3086" s="3" t="s">
        <v>65</v>
      </c>
      <c r="Q3086" s="2" t="s">
        <v>30253</v>
      </c>
      <c r="R3086" s="3" t="s">
        <v>66</v>
      </c>
      <c r="S3086" s="4">
        <v>0</v>
      </c>
      <c r="T3086" s="4">
        <v>0</v>
      </c>
      <c r="W3086" s="5" t="s">
        <v>67</v>
      </c>
      <c r="X3086" s="5" t="s">
        <v>67</v>
      </c>
      <c r="Y3086" s="4">
        <v>87</v>
      </c>
      <c r="Z3086" s="4">
        <v>10</v>
      </c>
      <c r="AA3086" s="4">
        <v>94</v>
      </c>
      <c r="AB3086" s="4">
        <v>2</v>
      </c>
      <c r="AC3086" s="4">
        <v>17</v>
      </c>
      <c r="AD3086" s="4">
        <v>38</v>
      </c>
      <c r="AE3086" s="4">
        <v>114</v>
      </c>
      <c r="AF3086" s="4">
        <v>1</v>
      </c>
      <c r="AG3086" s="4">
        <v>8</v>
      </c>
      <c r="AH3086" s="4">
        <v>33</v>
      </c>
      <c r="AI3086" s="4">
        <v>78</v>
      </c>
      <c r="AJ3086" s="4">
        <v>8</v>
      </c>
      <c r="AK3086" s="4">
        <v>21</v>
      </c>
      <c r="AL3086" s="4">
        <v>21</v>
      </c>
      <c r="AM3086" s="4">
        <v>41</v>
      </c>
      <c r="AN3086" s="4">
        <v>0</v>
      </c>
      <c r="AO3086" s="4">
        <v>0</v>
      </c>
      <c r="AP3086" s="4">
        <v>8</v>
      </c>
      <c r="AQ3086" s="4">
        <v>42</v>
      </c>
      <c r="AR3086" s="3" t="s">
        <v>62</v>
      </c>
      <c r="AS3086" s="3" t="s">
        <v>62</v>
      </c>
      <c r="AT3086" s="3" t="s">
        <v>62</v>
      </c>
      <c r="AV3086" s="6" t="str">
        <f>HYPERLINK("http://mcgill.on.worldcat.org/oclc/606787682","Catalog Record")</f>
        <v>Catalog Record</v>
      </c>
      <c r="AW3086" s="6" t="str">
        <f>HYPERLINK("http://www.worldcat.org/oclc/606787682","WorldCat Record")</f>
        <v>WorldCat Record</v>
      </c>
      <c r="AX3086" s="3" t="s">
        <v>30254</v>
      </c>
      <c r="AY3086" s="3" t="s">
        <v>30255</v>
      </c>
      <c r="AZ3086" s="3" t="s">
        <v>30256</v>
      </c>
      <c r="BA3086" s="3" t="s">
        <v>30256</v>
      </c>
      <c r="BB3086" s="3" t="s">
        <v>30257</v>
      </c>
      <c r="BC3086" s="3" t="s">
        <v>142</v>
      </c>
      <c r="BD3086" s="3" t="s">
        <v>68</v>
      </c>
      <c r="BE3086" s="3" t="s">
        <v>30258</v>
      </c>
      <c r="BF3086" s="3" t="s">
        <v>30257</v>
      </c>
      <c r="BG3086" s="3" t="s">
        <v>30259</v>
      </c>
    </row>
    <row r="3087" spans="1:59" ht="71.25" x14ac:dyDescent="0.45">
      <c r="A3087" s="2" t="s">
        <v>59</v>
      </c>
      <c r="B3087" s="2" t="s">
        <v>60</v>
      </c>
      <c r="C3087" s="2" t="s">
        <v>30260</v>
      </c>
      <c r="D3087" s="2" t="s">
        <v>30261</v>
      </c>
      <c r="E3087" s="2" t="s">
        <v>30262</v>
      </c>
      <c r="G3087" s="3" t="s">
        <v>62</v>
      </c>
      <c r="I3087" s="3" t="s">
        <v>62</v>
      </c>
      <c r="J3087" s="3" t="s">
        <v>62</v>
      </c>
      <c r="K3087" s="3" t="s">
        <v>63</v>
      </c>
      <c r="M3087" s="2" t="s">
        <v>30263</v>
      </c>
      <c r="N3087" s="3" t="s">
        <v>1465</v>
      </c>
      <c r="P3087" s="3" t="s">
        <v>65</v>
      </c>
      <c r="Q3087" s="2" t="s">
        <v>30264</v>
      </c>
      <c r="R3087" s="3" t="s">
        <v>66</v>
      </c>
      <c r="S3087" s="4">
        <v>3</v>
      </c>
      <c r="T3087" s="4">
        <v>3</v>
      </c>
      <c r="U3087" s="5" t="s">
        <v>421</v>
      </c>
      <c r="V3087" s="5" t="s">
        <v>421</v>
      </c>
      <c r="W3087" s="5" t="s">
        <v>67</v>
      </c>
      <c r="X3087" s="5" t="s">
        <v>67</v>
      </c>
      <c r="Y3087" s="4">
        <v>56</v>
      </c>
      <c r="Z3087" s="4">
        <v>6</v>
      </c>
      <c r="AA3087" s="4">
        <v>76</v>
      </c>
      <c r="AB3087" s="4">
        <v>3</v>
      </c>
      <c r="AC3087" s="4">
        <v>15</v>
      </c>
      <c r="AD3087" s="4">
        <v>16</v>
      </c>
      <c r="AE3087" s="4">
        <v>93</v>
      </c>
      <c r="AF3087" s="4">
        <v>1</v>
      </c>
      <c r="AG3087" s="4">
        <v>8</v>
      </c>
      <c r="AH3087" s="4">
        <v>15</v>
      </c>
      <c r="AI3087" s="4">
        <v>60</v>
      </c>
      <c r="AJ3087" s="4">
        <v>4</v>
      </c>
      <c r="AK3087" s="4">
        <v>19</v>
      </c>
      <c r="AL3087" s="4">
        <v>12</v>
      </c>
      <c r="AM3087" s="4">
        <v>30</v>
      </c>
      <c r="AN3087" s="4">
        <v>0</v>
      </c>
      <c r="AO3087" s="4">
        <v>0</v>
      </c>
      <c r="AP3087" s="4">
        <v>4</v>
      </c>
      <c r="AQ3087" s="4">
        <v>39</v>
      </c>
      <c r="AR3087" s="3" t="s">
        <v>62</v>
      </c>
      <c r="AS3087" s="3" t="s">
        <v>62</v>
      </c>
      <c r="AT3087" s="3" t="s">
        <v>62</v>
      </c>
      <c r="AV3087" s="6" t="str">
        <f>HYPERLINK("http://mcgill.on.worldcat.org/oclc/499491204","Catalog Record")</f>
        <v>Catalog Record</v>
      </c>
      <c r="AW3087" s="6" t="str">
        <f>HYPERLINK("http://www.worldcat.org/oclc/499491204","WorldCat Record")</f>
        <v>WorldCat Record</v>
      </c>
      <c r="AX3087" s="3" t="s">
        <v>30265</v>
      </c>
      <c r="AY3087" s="3" t="s">
        <v>30266</v>
      </c>
      <c r="AZ3087" s="3" t="s">
        <v>30267</v>
      </c>
      <c r="BA3087" s="3" t="s">
        <v>30267</v>
      </c>
      <c r="BB3087" s="3" t="s">
        <v>30268</v>
      </c>
      <c r="BC3087" s="3" t="s">
        <v>142</v>
      </c>
      <c r="BD3087" s="3" t="s">
        <v>68</v>
      </c>
      <c r="BE3087" s="3" t="s">
        <v>30269</v>
      </c>
      <c r="BF3087" s="3" t="s">
        <v>30268</v>
      </c>
      <c r="BG3087" s="3" t="s">
        <v>30270</v>
      </c>
    </row>
    <row r="3088" spans="1:59" ht="71.25" x14ac:dyDescent="0.45">
      <c r="A3088" s="2" t="s">
        <v>59</v>
      </c>
      <c r="B3088" s="2" t="s">
        <v>60</v>
      </c>
      <c r="C3088" s="2" t="s">
        <v>30271</v>
      </c>
      <c r="D3088" s="2" t="s">
        <v>30272</v>
      </c>
      <c r="E3088" s="2" t="s">
        <v>30273</v>
      </c>
      <c r="G3088" s="3" t="s">
        <v>62</v>
      </c>
      <c r="I3088" s="3" t="s">
        <v>62</v>
      </c>
      <c r="J3088" s="3" t="s">
        <v>61</v>
      </c>
      <c r="K3088" s="3" t="s">
        <v>63</v>
      </c>
      <c r="L3088" s="2" t="s">
        <v>30274</v>
      </c>
      <c r="M3088" s="2" t="s">
        <v>1347</v>
      </c>
      <c r="N3088" s="3" t="s">
        <v>807</v>
      </c>
      <c r="P3088" s="3" t="s">
        <v>65</v>
      </c>
      <c r="Q3088" s="2" t="s">
        <v>30275</v>
      </c>
      <c r="R3088" s="3" t="s">
        <v>66</v>
      </c>
      <c r="S3088" s="4">
        <v>23</v>
      </c>
      <c r="T3088" s="4">
        <v>23</v>
      </c>
      <c r="U3088" s="5" t="s">
        <v>3268</v>
      </c>
      <c r="V3088" s="5" t="s">
        <v>3268</v>
      </c>
      <c r="W3088" s="5" t="s">
        <v>67</v>
      </c>
      <c r="X3088" s="5" t="s">
        <v>67</v>
      </c>
      <c r="Y3088" s="4">
        <v>312</v>
      </c>
      <c r="Z3088" s="4">
        <v>17</v>
      </c>
      <c r="AA3088" s="4">
        <v>94</v>
      </c>
      <c r="AB3088" s="4">
        <v>2</v>
      </c>
      <c r="AC3088" s="4">
        <v>19</v>
      </c>
      <c r="AD3088" s="4">
        <v>87</v>
      </c>
      <c r="AE3088" s="4">
        <v>134</v>
      </c>
      <c r="AF3088" s="4">
        <v>0</v>
      </c>
      <c r="AG3088" s="4">
        <v>8</v>
      </c>
      <c r="AH3088" s="4">
        <v>82</v>
      </c>
      <c r="AI3088" s="4">
        <v>98</v>
      </c>
      <c r="AJ3088" s="4">
        <v>11</v>
      </c>
      <c r="AK3088" s="4">
        <v>26</v>
      </c>
      <c r="AL3088" s="4">
        <v>49</v>
      </c>
      <c r="AM3088" s="4">
        <v>54</v>
      </c>
      <c r="AN3088" s="4">
        <v>0</v>
      </c>
      <c r="AO3088" s="4">
        <v>0</v>
      </c>
      <c r="AP3088" s="4">
        <v>13</v>
      </c>
      <c r="AQ3088" s="4">
        <v>47</v>
      </c>
      <c r="AR3088" s="3" t="s">
        <v>62</v>
      </c>
      <c r="AS3088" s="3" t="s">
        <v>62</v>
      </c>
      <c r="AT3088" s="3" t="s">
        <v>61</v>
      </c>
      <c r="AU3088" s="6" t="str">
        <f>HYPERLINK("http://catalog.hathitrust.org/Record/003347912","HathiTrust Record")</f>
        <v>HathiTrust Record</v>
      </c>
      <c r="AV3088" s="6" t="str">
        <f>HYPERLINK("http://mcgill.on.worldcat.org/oclc/22710865","Catalog Record")</f>
        <v>Catalog Record</v>
      </c>
      <c r="AW3088" s="6" t="str">
        <f>HYPERLINK("http://www.worldcat.org/oclc/22710865","WorldCat Record")</f>
        <v>WorldCat Record</v>
      </c>
      <c r="AX3088" s="3" t="s">
        <v>30276</v>
      </c>
      <c r="AY3088" s="3" t="s">
        <v>30277</v>
      </c>
      <c r="AZ3088" s="3" t="s">
        <v>30278</v>
      </c>
      <c r="BA3088" s="3" t="s">
        <v>30278</v>
      </c>
      <c r="BB3088" s="3" t="s">
        <v>30279</v>
      </c>
      <c r="BC3088" s="3" t="s">
        <v>142</v>
      </c>
      <c r="BD3088" s="3" t="s">
        <v>68</v>
      </c>
      <c r="BE3088" s="3" t="s">
        <v>30280</v>
      </c>
      <c r="BF3088" s="3" t="s">
        <v>30279</v>
      </c>
      <c r="BG3088" s="3" t="s">
        <v>30281</v>
      </c>
    </row>
    <row r="3089" spans="1:59" ht="57" x14ac:dyDescent="0.45">
      <c r="A3089" s="2" t="s">
        <v>59</v>
      </c>
      <c r="B3089" s="2" t="s">
        <v>412</v>
      </c>
      <c r="C3089" s="2" t="s">
        <v>30282</v>
      </c>
      <c r="D3089" s="2" t="s">
        <v>30283</v>
      </c>
      <c r="E3089" s="2" t="s">
        <v>30284</v>
      </c>
      <c r="G3089" s="3" t="s">
        <v>62</v>
      </c>
      <c r="I3089" s="3" t="s">
        <v>62</v>
      </c>
      <c r="J3089" s="3" t="s">
        <v>62</v>
      </c>
      <c r="K3089" s="3" t="s">
        <v>63</v>
      </c>
      <c r="L3089" s="2" t="s">
        <v>30285</v>
      </c>
      <c r="M3089" s="2" t="s">
        <v>30286</v>
      </c>
      <c r="N3089" s="3" t="s">
        <v>1478</v>
      </c>
      <c r="P3089" s="3" t="s">
        <v>65</v>
      </c>
      <c r="Q3089" s="2" t="s">
        <v>2549</v>
      </c>
      <c r="R3089" s="3" t="s">
        <v>66</v>
      </c>
      <c r="S3089" s="4">
        <v>36</v>
      </c>
      <c r="T3089" s="4">
        <v>36</v>
      </c>
      <c r="U3089" s="5" t="s">
        <v>741</v>
      </c>
      <c r="V3089" s="5" t="s">
        <v>741</v>
      </c>
      <c r="W3089" s="5" t="s">
        <v>67</v>
      </c>
      <c r="X3089" s="5" t="s">
        <v>67</v>
      </c>
      <c r="Y3089" s="4">
        <v>325</v>
      </c>
      <c r="Z3089" s="4">
        <v>28</v>
      </c>
      <c r="AA3089" s="4">
        <v>31</v>
      </c>
      <c r="AB3089" s="4">
        <v>3</v>
      </c>
      <c r="AC3089" s="4">
        <v>6</v>
      </c>
      <c r="AD3089" s="4">
        <v>42</v>
      </c>
      <c r="AE3089" s="4">
        <v>44</v>
      </c>
      <c r="AF3089" s="4">
        <v>2</v>
      </c>
      <c r="AG3089" s="4">
        <v>4</v>
      </c>
      <c r="AH3089" s="4">
        <v>32</v>
      </c>
      <c r="AI3089" s="4">
        <v>32</v>
      </c>
      <c r="AJ3089" s="4">
        <v>8</v>
      </c>
      <c r="AK3089" s="4">
        <v>10</v>
      </c>
      <c r="AL3089" s="4">
        <v>19</v>
      </c>
      <c r="AM3089" s="4">
        <v>19</v>
      </c>
      <c r="AN3089" s="4">
        <v>0</v>
      </c>
      <c r="AO3089" s="4">
        <v>0</v>
      </c>
      <c r="AP3089" s="4">
        <v>14</v>
      </c>
      <c r="AQ3089" s="4">
        <v>16</v>
      </c>
      <c r="AR3089" s="3" t="s">
        <v>62</v>
      </c>
      <c r="AS3089" s="3" t="s">
        <v>62</v>
      </c>
      <c r="AT3089" s="3" t="s">
        <v>62</v>
      </c>
      <c r="AV3089" s="6" t="str">
        <f>HYPERLINK("http://mcgill.on.worldcat.org/oclc/35135119","Catalog Record")</f>
        <v>Catalog Record</v>
      </c>
      <c r="AW3089" s="6" t="str">
        <f>HYPERLINK("http://www.worldcat.org/oclc/35135119","WorldCat Record")</f>
        <v>WorldCat Record</v>
      </c>
      <c r="AX3089" s="3" t="s">
        <v>30287</v>
      </c>
      <c r="AY3089" s="3" t="s">
        <v>30288</v>
      </c>
      <c r="AZ3089" s="3" t="s">
        <v>30289</v>
      </c>
      <c r="BA3089" s="3" t="s">
        <v>30289</v>
      </c>
      <c r="BB3089" s="3" t="s">
        <v>30290</v>
      </c>
      <c r="BC3089" s="3" t="s">
        <v>142</v>
      </c>
      <c r="BD3089" s="3" t="s">
        <v>68</v>
      </c>
      <c r="BE3089" s="3" t="s">
        <v>30291</v>
      </c>
      <c r="BF3089" s="3" t="s">
        <v>30290</v>
      </c>
      <c r="BG3089" s="3" t="s">
        <v>30292</v>
      </c>
    </row>
    <row r="3090" spans="1:59" ht="57" x14ac:dyDescent="0.45">
      <c r="A3090" s="2" t="s">
        <v>59</v>
      </c>
      <c r="B3090" s="2" t="s">
        <v>60</v>
      </c>
      <c r="C3090" s="2" t="s">
        <v>30293</v>
      </c>
      <c r="D3090" s="2" t="s">
        <v>30294</v>
      </c>
      <c r="E3090" s="2" t="s">
        <v>30295</v>
      </c>
      <c r="G3090" s="3" t="s">
        <v>62</v>
      </c>
      <c r="I3090" s="3" t="s">
        <v>62</v>
      </c>
      <c r="J3090" s="3" t="s">
        <v>62</v>
      </c>
      <c r="K3090" s="3" t="s">
        <v>63</v>
      </c>
      <c r="L3090" s="2" t="s">
        <v>30296</v>
      </c>
      <c r="M3090" s="2" t="s">
        <v>30297</v>
      </c>
      <c r="N3090" s="3" t="s">
        <v>116</v>
      </c>
      <c r="P3090" s="3" t="s">
        <v>65</v>
      </c>
      <c r="Q3090" s="2" t="s">
        <v>29538</v>
      </c>
      <c r="R3090" s="3" t="s">
        <v>66</v>
      </c>
      <c r="S3090" s="4">
        <v>3</v>
      </c>
      <c r="T3090" s="4">
        <v>3</v>
      </c>
      <c r="U3090" s="5" t="s">
        <v>30298</v>
      </c>
      <c r="V3090" s="5" t="s">
        <v>30298</v>
      </c>
      <c r="W3090" s="5" t="s">
        <v>67</v>
      </c>
      <c r="X3090" s="5" t="s">
        <v>67</v>
      </c>
      <c r="Y3090" s="4">
        <v>247</v>
      </c>
      <c r="Z3090" s="4">
        <v>24</v>
      </c>
      <c r="AA3090" s="4">
        <v>29</v>
      </c>
      <c r="AB3090" s="4">
        <v>4</v>
      </c>
      <c r="AC3090" s="4">
        <v>8</v>
      </c>
      <c r="AD3090" s="4">
        <v>70</v>
      </c>
      <c r="AE3090" s="4">
        <v>79</v>
      </c>
      <c r="AF3090" s="4">
        <v>2</v>
      </c>
      <c r="AG3090" s="4">
        <v>3</v>
      </c>
      <c r="AH3090" s="4">
        <v>61</v>
      </c>
      <c r="AI3090" s="4">
        <v>68</v>
      </c>
      <c r="AJ3090" s="4">
        <v>15</v>
      </c>
      <c r="AK3090" s="4">
        <v>17</v>
      </c>
      <c r="AL3090" s="4">
        <v>32</v>
      </c>
      <c r="AM3090" s="4">
        <v>35</v>
      </c>
      <c r="AN3090" s="4">
        <v>0</v>
      </c>
      <c r="AO3090" s="4">
        <v>0</v>
      </c>
      <c r="AP3090" s="4">
        <v>17</v>
      </c>
      <c r="AQ3090" s="4">
        <v>19</v>
      </c>
      <c r="AR3090" s="3" t="s">
        <v>62</v>
      </c>
      <c r="AS3090" s="3" t="s">
        <v>62</v>
      </c>
      <c r="AT3090" s="3" t="s">
        <v>62</v>
      </c>
      <c r="AV3090" s="6" t="str">
        <f>HYPERLINK("http://mcgill.on.worldcat.org/oclc/845085499","Catalog Record")</f>
        <v>Catalog Record</v>
      </c>
      <c r="AW3090" s="6" t="str">
        <f>HYPERLINK("http://www.worldcat.org/oclc/845085499","WorldCat Record")</f>
        <v>WorldCat Record</v>
      </c>
      <c r="AX3090" s="3" t="s">
        <v>30299</v>
      </c>
      <c r="AY3090" s="3" t="s">
        <v>30300</v>
      </c>
      <c r="AZ3090" s="3" t="s">
        <v>30301</v>
      </c>
      <c r="BA3090" s="3" t="s">
        <v>30301</v>
      </c>
      <c r="BB3090" s="3" t="s">
        <v>30302</v>
      </c>
      <c r="BC3090" s="3" t="s">
        <v>142</v>
      </c>
      <c r="BD3090" s="3" t="s">
        <v>68</v>
      </c>
      <c r="BE3090" s="3" t="s">
        <v>30303</v>
      </c>
      <c r="BF3090" s="3" t="s">
        <v>30302</v>
      </c>
      <c r="BG3090" s="3" t="s">
        <v>30304</v>
      </c>
    </row>
    <row r="3091" spans="1:59" ht="57" x14ac:dyDescent="0.45">
      <c r="A3091" s="2" t="s">
        <v>59</v>
      </c>
      <c r="B3091" s="2" t="s">
        <v>60</v>
      </c>
      <c r="C3091" s="2" t="s">
        <v>30305</v>
      </c>
      <c r="D3091" s="2" t="s">
        <v>30306</v>
      </c>
      <c r="E3091" s="2" t="s">
        <v>30307</v>
      </c>
      <c r="G3091" s="3" t="s">
        <v>62</v>
      </c>
      <c r="I3091" s="3" t="s">
        <v>61</v>
      </c>
      <c r="J3091" s="3" t="s">
        <v>62</v>
      </c>
      <c r="K3091" s="3" t="s">
        <v>63</v>
      </c>
      <c r="L3091" s="2" t="s">
        <v>30308</v>
      </c>
      <c r="M3091" s="2" t="s">
        <v>30309</v>
      </c>
      <c r="N3091" s="3" t="s">
        <v>542</v>
      </c>
      <c r="P3091" s="3" t="s">
        <v>65</v>
      </c>
      <c r="Q3091" s="2" t="s">
        <v>30310</v>
      </c>
      <c r="R3091" s="3" t="s">
        <v>66</v>
      </c>
      <c r="S3091" s="4">
        <v>9</v>
      </c>
      <c r="T3091" s="4">
        <v>12</v>
      </c>
      <c r="U3091" s="5" t="s">
        <v>29280</v>
      </c>
      <c r="V3091" s="5" t="s">
        <v>29280</v>
      </c>
      <c r="W3091" s="5" t="s">
        <v>67</v>
      </c>
      <c r="X3091" s="5" t="s">
        <v>67</v>
      </c>
      <c r="Y3091" s="4">
        <v>120</v>
      </c>
      <c r="Z3091" s="4">
        <v>12</v>
      </c>
      <c r="AA3091" s="4">
        <v>12</v>
      </c>
      <c r="AB3091" s="4">
        <v>2</v>
      </c>
      <c r="AC3091" s="4">
        <v>2</v>
      </c>
      <c r="AD3091" s="4">
        <v>62</v>
      </c>
      <c r="AE3091" s="4">
        <v>62</v>
      </c>
      <c r="AF3091" s="4">
        <v>0</v>
      </c>
      <c r="AG3091" s="4">
        <v>0</v>
      </c>
      <c r="AH3091" s="4">
        <v>58</v>
      </c>
      <c r="AI3091" s="4">
        <v>58</v>
      </c>
      <c r="AJ3091" s="4">
        <v>7</v>
      </c>
      <c r="AK3091" s="4">
        <v>7</v>
      </c>
      <c r="AL3091" s="4">
        <v>34</v>
      </c>
      <c r="AM3091" s="4">
        <v>34</v>
      </c>
      <c r="AN3091" s="4">
        <v>0</v>
      </c>
      <c r="AO3091" s="4">
        <v>0</v>
      </c>
      <c r="AP3091" s="4">
        <v>7</v>
      </c>
      <c r="AQ3091" s="4">
        <v>7</v>
      </c>
      <c r="AR3091" s="3" t="s">
        <v>62</v>
      </c>
      <c r="AS3091" s="3" t="s">
        <v>62</v>
      </c>
      <c r="AT3091" s="3" t="s">
        <v>62</v>
      </c>
      <c r="AV3091" s="6" t="str">
        <f>HYPERLINK("http://mcgill.on.worldcat.org/oclc/44883639","Catalog Record")</f>
        <v>Catalog Record</v>
      </c>
      <c r="AW3091" s="6" t="str">
        <f>HYPERLINK("http://www.worldcat.org/oclc/44883639","WorldCat Record")</f>
        <v>WorldCat Record</v>
      </c>
      <c r="AX3091" s="3" t="s">
        <v>30311</v>
      </c>
      <c r="AY3091" s="3" t="s">
        <v>30312</v>
      </c>
      <c r="AZ3091" s="3" t="s">
        <v>30313</v>
      </c>
      <c r="BA3091" s="3" t="s">
        <v>30313</v>
      </c>
      <c r="BB3091" s="3" t="s">
        <v>30314</v>
      </c>
      <c r="BC3091" s="3" t="s">
        <v>142</v>
      </c>
      <c r="BD3091" s="3" t="s">
        <v>68</v>
      </c>
      <c r="BE3091" s="3" t="s">
        <v>30315</v>
      </c>
      <c r="BF3091" s="3" t="s">
        <v>30314</v>
      </c>
      <c r="BG3091" s="3" t="s">
        <v>30316</v>
      </c>
    </row>
    <row r="3092" spans="1:59" ht="57" x14ac:dyDescent="0.45">
      <c r="A3092" s="2" t="s">
        <v>59</v>
      </c>
      <c r="B3092" s="2" t="s">
        <v>60</v>
      </c>
      <c r="C3092" s="2" t="s">
        <v>30305</v>
      </c>
      <c r="D3092" s="2" t="s">
        <v>30306</v>
      </c>
      <c r="E3092" s="2" t="s">
        <v>30307</v>
      </c>
      <c r="G3092" s="3" t="s">
        <v>62</v>
      </c>
      <c r="I3092" s="3" t="s">
        <v>61</v>
      </c>
      <c r="J3092" s="3" t="s">
        <v>62</v>
      </c>
      <c r="K3092" s="3" t="s">
        <v>63</v>
      </c>
      <c r="L3092" s="2" t="s">
        <v>30308</v>
      </c>
      <c r="M3092" s="2" t="s">
        <v>30309</v>
      </c>
      <c r="N3092" s="3" t="s">
        <v>542</v>
      </c>
      <c r="P3092" s="3" t="s">
        <v>65</v>
      </c>
      <c r="Q3092" s="2" t="s">
        <v>30310</v>
      </c>
      <c r="R3092" s="3" t="s">
        <v>66</v>
      </c>
      <c r="S3092" s="4">
        <v>3</v>
      </c>
      <c r="T3092" s="4">
        <v>12</v>
      </c>
      <c r="U3092" s="5" t="s">
        <v>30317</v>
      </c>
      <c r="V3092" s="5" t="s">
        <v>29280</v>
      </c>
      <c r="W3092" s="5" t="s">
        <v>67</v>
      </c>
      <c r="X3092" s="5" t="s">
        <v>67</v>
      </c>
      <c r="Y3092" s="4">
        <v>120</v>
      </c>
      <c r="Z3092" s="4">
        <v>12</v>
      </c>
      <c r="AA3092" s="4">
        <v>12</v>
      </c>
      <c r="AB3092" s="4">
        <v>2</v>
      </c>
      <c r="AC3092" s="4">
        <v>2</v>
      </c>
      <c r="AD3092" s="4">
        <v>62</v>
      </c>
      <c r="AE3092" s="4">
        <v>62</v>
      </c>
      <c r="AF3092" s="4">
        <v>0</v>
      </c>
      <c r="AG3092" s="4">
        <v>0</v>
      </c>
      <c r="AH3092" s="4">
        <v>58</v>
      </c>
      <c r="AI3092" s="4">
        <v>58</v>
      </c>
      <c r="AJ3092" s="4">
        <v>7</v>
      </c>
      <c r="AK3092" s="4">
        <v>7</v>
      </c>
      <c r="AL3092" s="4">
        <v>34</v>
      </c>
      <c r="AM3092" s="4">
        <v>34</v>
      </c>
      <c r="AN3092" s="4">
        <v>0</v>
      </c>
      <c r="AO3092" s="4">
        <v>0</v>
      </c>
      <c r="AP3092" s="4">
        <v>7</v>
      </c>
      <c r="AQ3092" s="4">
        <v>7</v>
      </c>
      <c r="AR3092" s="3" t="s">
        <v>62</v>
      </c>
      <c r="AS3092" s="3" t="s">
        <v>62</v>
      </c>
      <c r="AT3092" s="3" t="s">
        <v>62</v>
      </c>
      <c r="AV3092" s="6" t="str">
        <f>HYPERLINK("http://mcgill.on.worldcat.org/oclc/44883639","Catalog Record")</f>
        <v>Catalog Record</v>
      </c>
      <c r="AW3092" s="6" t="str">
        <f>HYPERLINK("http://www.worldcat.org/oclc/44883639","WorldCat Record")</f>
        <v>WorldCat Record</v>
      </c>
      <c r="AX3092" s="3" t="s">
        <v>30311</v>
      </c>
      <c r="AY3092" s="3" t="s">
        <v>30312</v>
      </c>
      <c r="AZ3092" s="3" t="s">
        <v>30313</v>
      </c>
      <c r="BA3092" s="3" t="s">
        <v>30313</v>
      </c>
      <c r="BB3092" s="3" t="s">
        <v>30318</v>
      </c>
      <c r="BC3092" s="3" t="s">
        <v>142</v>
      </c>
      <c r="BD3092" s="3" t="s">
        <v>68</v>
      </c>
      <c r="BE3092" s="3" t="s">
        <v>30315</v>
      </c>
      <c r="BF3092" s="3" t="s">
        <v>30318</v>
      </c>
      <c r="BG3092" s="3" t="s">
        <v>30319</v>
      </c>
    </row>
    <row r="3093" spans="1:59" ht="57" x14ac:dyDescent="0.45">
      <c r="A3093" s="2" t="s">
        <v>59</v>
      </c>
      <c r="B3093" s="2" t="s">
        <v>60</v>
      </c>
      <c r="C3093" s="2" t="s">
        <v>30320</v>
      </c>
      <c r="D3093" s="2" t="s">
        <v>30321</v>
      </c>
      <c r="E3093" s="2" t="s">
        <v>30322</v>
      </c>
      <c r="G3093" s="3" t="s">
        <v>62</v>
      </c>
      <c r="I3093" s="3" t="s">
        <v>62</v>
      </c>
      <c r="J3093" s="3" t="s">
        <v>62</v>
      </c>
      <c r="K3093" s="3" t="s">
        <v>63</v>
      </c>
      <c r="M3093" s="2" t="s">
        <v>4009</v>
      </c>
      <c r="N3093" s="3" t="s">
        <v>149</v>
      </c>
      <c r="P3093" s="3" t="s">
        <v>65</v>
      </c>
      <c r="Q3093" s="2" t="s">
        <v>30323</v>
      </c>
      <c r="R3093" s="3" t="s">
        <v>66</v>
      </c>
      <c r="S3093" s="4">
        <v>0</v>
      </c>
      <c r="T3093" s="4">
        <v>0</v>
      </c>
      <c r="W3093" s="5" t="s">
        <v>67</v>
      </c>
      <c r="X3093" s="5" t="s">
        <v>67</v>
      </c>
      <c r="Y3093" s="4">
        <v>135</v>
      </c>
      <c r="Z3093" s="4">
        <v>20</v>
      </c>
      <c r="AA3093" s="4">
        <v>26</v>
      </c>
      <c r="AB3093" s="4">
        <v>2</v>
      </c>
      <c r="AC3093" s="4">
        <v>6</v>
      </c>
      <c r="AD3093" s="4">
        <v>69</v>
      </c>
      <c r="AE3093" s="4">
        <v>77</v>
      </c>
      <c r="AF3093" s="4">
        <v>0</v>
      </c>
      <c r="AG3093" s="4">
        <v>1</v>
      </c>
      <c r="AH3093" s="4">
        <v>64</v>
      </c>
      <c r="AI3093" s="4">
        <v>70</v>
      </c>
      <c r="AJ3093" s="4">
        <v>14</v>
      </c>
      <c r="AK3093" s="4">
        <v>15</v>
      </c>
      <c r="AL3093" s="4">
        <v>36</v>
      </c>
      <c r="AM3093" s="4">
        <v>39</v>
      </c>
      <c r="AN3093" s="4">
        <v>0</v>
      </c>
      <c r="AO3093" s="4">
        <v>0</v>
      </c>
      <c r="AP3093" s="4">
        <v>14</v>
      </c>
      <c r="AQ3093" s="4">
        <v>15</v>
      </c>
      <c r="AR3093" s="3" t="s">
        <v>62</v>
      </c>
      <c r="AS3093" s="3" t="s">
        <v>62</v>
      </c>
      <c r="AT3093" s="3" t="s">
        <v>62</v>
      </c>
      <c r="AV3093" s="6" t="str">
        <f>HYPERLINK("http://mcgill.on.worldcat.org/oclc/377863488","Catalog Record")</f>
        <v>Catalog Record</v>
      </c>
      <c r="AW3093" s="6" t="str">
        <f>HYPERLINK("http://www.worldcat.org/oclc/377863488","WorldCat Record")</f>
        <v>WorldCat Record</v>
      </c>
      <c r="AX3093" s="3" t="s">
        <v>30324</v>
      </c>
      <c r="AY3093" s="3" t="s">
        <v>30325</v>
      </c>
      <c r="AZ3093" s="3" t="s">
        <v>30326</v>
      </c>
      <c r="BA3093" s="3" t="s">
        <v>30326</v>
      </c>
      <c r="BB3093" s="3" t="s">
        <v>30327</v>
      </c>
      <c r="BC3093" s="3" t="s">
        <v>142</v>
      </c>
      <c r="BD3093" s="3" t="s">
        <v>68</v>
      </c>
      <c r="BE3093" s="3" t="s">
        <v>30328</v>
      </c>
      <c r="BF3093" s="3" t="s">
        <v>30327</v>
      </c>
      <c r="BG3093" s="3" t="s">
        <v>30329</v>
      </c>
    </row>
    <row r="3094" spans="1:59" ht="57" x14ac:dyDescent="0.45">
      <c r="A3094" s="2" t="s">
        <v>59</v>
      </c>
      <c r="B3094" s="2" t="s">
        <v>60</v>
      </c>
      <c r="C3094" s="2" t="s">
        <v>30330</v>
      </c>
      <c r="D3094" s="2" t="s">
        <v>30331</v>
      </c>
      <c r="E3094" s="2" t="s">
        <v>30332</v>
      </c>
      <c r="G3094" s="3" t="s">
        <v>62</v>
      </c>
      <c r="I3094" s="3" t="s">
        <v>62</v>
      </c>
      <c r="J3094" s="3" t="s">
        <v>62</v>
      </c>
      <c r="K3094" s="3" t="s">
        <v>63</v>
      </c>
      <c r="L3094" s="2" t="s">
        <v>30333</v>
      </c>
      <c r="M3094" s="2" t="s">
        <v>3279</v>
      </c>
      <c r="N3094" s="3" t="s">
        <v>116</v>
      </c>
      <c r="P3094" s="3" t="s">
        <v>65</v>
      </c>
      <c r="Q3094" s="2" t="s">
        <v>29735</v>
      </c>
      <c r="R3094" s="3" t="s">
        <v>66</v>
      </c>
      <c r="S3094" s="4">
        <v>2</v>
      </c>
      <c r="T3094" s="4">
        <v>2</v>
      </c>
      <c r="U3094" s="5" t="s">
        <v>1381</v>
      </c>
      <c r="V3094" s="5" t="s">
        <v>1381</v>
      </c>
      <c r="W3094" s="5" t="s">
        <v>67</v>
      </c>
      <c r="X3094" s="5" t="s">
        <v>67</v>
      </c>
      <c r="Y3094" s="4">
        <v>69</v>
      </c>
      <c r="Z3094" s="4">
        <v>7</v>
      </c>
      <c r="AA3094" s="4">
        <v>10</v>
      </c>
      <c r="AB3094" s="4">
        <v>1</v>
      </c>
      <c r="AC3094" s="4">
        <v>2</v>
      </c>
      <c r="AD3094" s="4">
        <v>26</v>
      </c>
      <c r="AE3094" s="4">
        <v>32</v>
      </c>
      <c r="AF3094" s="4">
        <v>0</v>
      </c>
      <c r="AG3094" s="4">
        <v>1</v>
      </c>
      <c r="AH3094" s="4">
        <v>23</v>
      </c>
      <c r="AI3094" s="4">
        <v>29</v>
      </c>
      <c r="AJ3094" s="4">
        <v>5</v>
      </c>
      <c r="AK3094" s="4">
        <v>7</v>
      </c>
      <c r="AL3094" s="4">
        <v>12</v>
      </c>
      <c r="AM3094" s="4">
        <v>15</v>
      </c>
      <c r="AN3094" s="4">
        <v>0</v>
      </c>
      <c r="AO3094" s="4">
        <v>0</v>
      </c>
      <c r="AP3094" s="4">
        <v>6</v>
      </c>
      <c r="AQ3094" s="4">
        <v>8</v>
      </c>
      <c r="AR3094" s="3" t="s">
        <v>62</v>
      </c>
      <c r="AS3094" s="3" t="s">
        <v>62</v>
      </c>
      <c r="AT3094" s="3" t="s">
        <v>62</v>
      </c>
      <c r="AV3094" s="6" t="str">
        <f>HYPERLINK("http://mcgill.on.worldcat.org/oclc/811426910","Catalog Record")</f>
        <v>Catalog Record</v>
      </c>
      <c r="AW3094" s="6" t="str">
        <f>HYPERLINK("http://www.worldcat.org/oclc/811426910","WorldCat Record")</f>
        <v>WorldCat Record</v>
      </c>
      <c r="AX3094" s="3" t="s">
        <v>30334</v>
      </c>
      <c r="AY3094" s="3" t="s">
        <v>30335</v>
      </c>
      <c r="AZ3094" s="3" t="s">
        <v>30336</v>
      </c>
      <c r="BA3094" s="3" t="s">
        <v>30336</v>
      </c>
      <c r="BB3094" s="3" t="s">
        <v>30337</v>
      </c>
      <c r="BC3094" s="3" t="s">
        <v>142</v>
      </c>
      <c r="BD3094" s="3" t="s">
        <v>68</v>
      </c>
      <c r="BE3094" s="3" t="s">
        <v>30338</v>
      </c>
      <c r="BF3094" s="3" t="s">
        <v>30337</v>
      </c>
      <c r="BG3094" s="3" t="s">
        <v>30339</v>
      </c>
    </row>
    <row r="3095" spans="1:59" ht="57" x14ac:dyDescent="0.45">
      <c r="A3095" s="2" t="s">
        <v>59</v>
      </c>
      <c r="B3095" s="2" t="s">
        <v>60</v>
      </c>
      <c r="C3095" s="2" t="s">
        <v>30340</v>
      </c>
      <c r="D3095" s="2" t="s">
        <v>30341</v>
      </c>
      <c r="E3095" s="2" t="s">
        <v>30342</v>
      </c>
      <c r="G3095" s="3" t="s">
        <v>62</v>
      </c>
      <c r="I3095" s="3" t="s">
        <v>62</v>
      </c>
      <c r="J3095" s="3" t="s">
        <v>62</v>
      </c>
      <c r="K3095" s="3" t="s">
        <v>63</v>
      </c>
      <c r="L3095" s="2" t="s">
        <v>30343</v>
      </c>
      <c r="M3095" s="2" t="s">
        <v>1178</v>
      </c>
      <c r="N3095" s="3" t="s">
        <v>894</v>
      </c>
      <c r="P3095" s="3" t="s">
        <v>65</v>
      </c>
      <c r="Q3095" s="2" t="s">
        <v>30344</v>
      </c>
      <c r="R3095" s="3" t="s">
        <v>66</v>
      </c>
      <c r="S3095" s="4">
        <v>1</v>
      </c>
      <c r="T3095" s="4">
        <v>1</v>
      </c>
      <c r="U3095" s="5" t="s">
        <v>2702</v>
      </c>
      <c r="V3095" s="5" t="s">
        <v>2702</v>
      </c>
      <c r="W3095" s="5" t="s">
        <v>67</v>
      </c>
      <c r="X3095" s="5" t="s">
        <v>67</v>
      </c>
      <c r="Y3095" s="4">
        <v>68</v>
      </c>
      <c r="Z3095" s="4">
        <v>8</v>
      </c>
      <c r="AA3095" s="4">
        <v>9</v>
      </c>
      <c r="AB3095" s="4">
        <v>1</v>
      </c>
      <c r="AC3095" s="4">
        <v>2</v>
      </c>
      <c r="AD3095" s="4">
        <v>27</v>
      </c>
      <c r="AE3095" s="4">
        <v>28</v>
      </c>
      <c r="AF3095" s="4">
        <v>0</v>
      </c>
      <c r="AG3095" s="4">
        <v>1</v>
      </c>
      <c r="AH3095" s="4">
        <v>25</v>
      </c>
      <c r="AI3095" s="4">
        <v>25</v>
      </c>
      <c r="AJ3095" s="4">
        <v>4</v>
      </c>
      <c r="AK3095" s="4">
        <v>5</v>
      </c>
      <c r="AL3095" s="4">
        <v>17</v>
      </c>
      <c r="AM3095" s="4">
        <v>17</v>
      </c>
      <c r="AN3095" s="4">
        <v>0</v>
      </c>
      <c r="AO3095" s="4">
        <v>0</v>
      </c>
      <c r="AP3095" s="4">
        <v>5</v>
      </c>
      <c r="AQ3095" s="4">
        <v>5</v>
      </c>
      <c r="AR3095" s="3" t="s">
        <v>62</v>
      </c>
      <c r="AS3095" s="3" t="s">
        <v>62</v>
      </c>
      <c r="AT3095" s="3" t="s">
        <v>62</v>
      </c>
      <c r="AV3095" s="6" t="str">
        <f>HYPERLINK("http://mcgill.on.worldcat.org/oclc/697612868","Catalog Record")</f>
        <v>Catalog Record</v>
      </c>
      <c r="AW3095" s="6" t="str">
        <f>HYPERLINK("http://www.worldcat.org/oclc/697612868","WorldCat Record")</f>
        <v>WorldCat Record</v>
      </c>
      <c r="AX3095" s="3" t="s">
        <v>30345</v>
      </c>
      <c r="AY3095" s="3" t="s">
        <v>30346</v>
      </c>
      <c r="AZ3095" s="3" t="s">
        <v>30347</v>
      </c>
      <c r="BA3095" s="3" t="s">
        <v>30347</v>
      </c>
      <c r="BB3095" s="3" t="s">
        <v>30348</v>
      </c>
      <c r="BC3095" s="3" t="s">
        <v>142</v>
      </c>
      <c r="BD3095" s="3" t="s">
        <v>68</v>
      </c>
      <c r="BE3095" s="3" t="s">
        <v>30349</v>
      </c>
      <c r="BF3095" s="3" t="s">
        <v>30348</v>
      </c>
      <c r="BG3095" s="3" t="s">
        <v>30350</v>
      </c>
    </row>
    <row r="3096" spans="1:59" ht="57" x14ac:dyDescent="0.45">
      <c r="A3096" s="2" t="s">
        <v>59</v>
      </c>
      <c r="B3096" s="2" t="s">
        <v>60</v>
      </c>
      <c r="C3096" s="2" t="s">
        <v>30351</v>
      </c>
      <c r="D3096" s="2" t="s">
        <v>30352</v>
      </c>
      <c r="E3096" s="2" t="s">
        <v>30353</v>
      </c>
      <c r="G3096" s="3" t="s">
        <v>62</v>
      </c>
      <c r="I3096" s="3" t="s">
        <v>62</v>
      </c>
      <c r="J3096" s="3" t="s">
        <v>62</v>
      </c>
      <c r="K3096" s="3" t="s">
        <v>63</v>
      </c>
      <c r="L3096" s="2" t="s">
        <v>30354</v>
      </c>
      <c r="M3096" s="2" t="s">
        <v>30355</v>
      </c>
      <c r="N3096" s="3" t="s">
        <v>807</v>
      </c>
      <c r="P3096" s="3" t="s">
        <v>110</v>
      </c>
      <c r="Q3096" s="2" t="s">
        <v>30356</v>
      </c>
      <c r="R3096" s="3" t="s">
        <v>66</v>
      </c>
      <c r="S3096" s="4">
        <v>12</v>
      </c>
      <c r="T3096" s="4">
        <v>12</v>
      </c>
      <c r="U3096" s="5" t="s">
        <v>2884</v>
      </c>
      <c r="V3096" s="5" t="s">
        <v>2884</v>
      </c>
      <c r="W3096" s="5" t="s">
        <v>67</v>
      </c>
      <c r="X3096" s="5" t="s">
        <v>67</v>
      </c>
      <c r="Y3096" s="4">
        <v>103</v>
      </c>
      <c r="Z3096" s="4">
        <v>11</v>
      </c>
      <c r="AA3096" s="4">
        <v>18</v>
      </c>
      <c r="AB3096" s="4">
        <v>1</v>
      </c>
      <c r="AC3096" s="4">
        <v>6</v>
      </c>
      <c r="AD3096" s="4">
        <v>36</v>
      </c>
      <c r="AE3096" s="4">
        <v>43</v>
      </c>
      <c r="AF3096" s="4">
        <v>0</v>
      </c>
      <c r="AG3096" s="4">
        <v>5</v>
      </c>
      <c r="AH3096" s="4">
        <v>33</v>
      </c>
      <c r="AI3096" s="4">
        <v>35</v>
      </c>
      <c r="AJ3096" s="4">
        <v>8</v>
      </c>
      <c r="AK3096" s="4">
        <v>13</v>
      </c>
      <c r="AL3096" s="4">
        <v>26</v>
      </c>
      <c r="AM3096" s="4">
        <v>26</v>
      </c>
      <c r="AN3096" s="4">
        <v>0</v>
      </c>
      <c r="AO3096" s="4">
        <v>0</v>
      </c>
      <c r="AP3096" s="4">
        <v>9</v>
      </c>
      <c r="AQ3096" s="4">
        <v>15</v>
      </c>
      <c r="AR3096" s="3" t="s">
        <v>62</v>
      </c>
      <c r="AS3096" s="3" t="s">
        <v>62</v>
      </c>
      <c r="AT3096" s="3" t="s">
        <v>62</v>
      </c>
      <c r="AV3096" s="6" t="str">
        <f>HYPERLINK("http://mcgill.on.worldcat.org/oclc/25144584","Catalog Record")</f>
        <v>Catalog Record</v>
      </c>
      <c r="AW3096" s="6" t="str">
        <f>HYPERLINK("http://www.worldcat.org/oclc/25144584","WorldCat Record")</f>
        <v>WorldCat Record</v>
      </c>
      <c r="AX3096" s="3" t="s">
        <v>30357</v>
      </c>
      <c r="AY3096" s="3" t="s">
        <v>30358</v>
      </c>
      <c r="AZ3096" s="3" t="s">
        <v>30359</v>
      </c>
      <c r="BA3096" s="3" t="s">
        <v>30359</v>
      </c>
      <c r="BB3096" s="3" t="s">
        <v>30360</v>
      </c>
      <c r="BC3096" s="3" t="s">
        <v>142</v>
      </c>
      <c r="BD3096" s="3" t="s">
        <v>308</v>
      </c>
      <c r="BF3096" s="3" t="s">
        <v>30360</v>
      </c>
      <c r="BG3096" s="3" t="s">
        <v>30361</v>
      </c>
    </row>
    <row r="3097" spans="1:59" ht="57" x14ac:dyDescent="0.45">
      <c r="A3097" s="2" t="s">
        <v>59</v>
      </c>
      <c r="B3097" s="2" t="s">
        <v>60</v>
      </c>
      <c r="C3097" s="2" t="s">
        <v>30362</v>
      </c>
      <c r="D3097" s="2" t="s">
        <v>30363</v>
      </c>
      <c r="E3097" s="2" t="s">
        <v>30364</v>
      </c>
      <c r="G3097" s="3" t="s">
        <v>62</v>
      </c>
      <c r="I3097" s="3" t="s">
        <v>62</v>
      </c>
      <c r="J3097" s="3" t="s">
        <v>62</v>
      </c>
      <c r="K3097" s="3" t="s">
        <v>63</v>
      </c>
      <c r="L3097" s="2" t="s">
        <v>30365</v>
      </c>
      <c r="M3097" s="2" t="s">
        <v>30366</v>
      </c>
      <c r="N3097" s="3" t="s">
        <v>1918</v>
      </c>
      <c r="P3097" s="3" t="s">
        <v>110</v>
      </c>
      <c r="R3097" s="3" t="s">
        <v>66</v>
      </c>
      <c r="S3097" s="4">
        <v>0</v>
      </c>
      <c r="T3097" s="4">
        <v>0</v>
      </c>
      <c r="W3097" s="5" t="s">
        <v>67</v>
      </c>
      <c r="X3097" s="5" t="s">
        <v>67</v>
      </c>
      <c r="Y3097" s="4">
        <v>16</v>
      </c>
      <c r="Z3097" s="4">
        <v>1</v>
      </c>
      <c r="AA3097" s="4">
        <v>3</v>
      </c>
      <c r="AB3097" s="4">
        <v>1</v>
      </c>
      <c r="AC3097" s="4">
        <v>2</v>
      </c>
      <c r="AD3097" s="4">
        <v>14</v>
      </c>
      <c r="AE3097" s="4">
        <v>16</v>
      </c>
      <c r="AF3097" s="4">
        <v>0</v>
      </c>
      <c r="AG3097" s="4">
        <v>1</v>
      </c>
      <c r="AH3097" s="4">
        <v>13</v>
      </c>
      <c r="AI3097" s="4">
        <v>15</v>
      </c>
      <c r="AJ3097" s="4">
        <v>0</v>
      </c>
      <c r="AK3097" s="4">
        <v>2</v>
      </c>
      <c r="AL3097" s="4">
        <v>12</v>
      </c>
      <c r="AM3097" s="4">
        <v>12</v>
      </c>
      <c r="AN3097" s="4">
        <v>0</v>
      </c>
      <c r="AO3097" s="4">
        <v>0</v>
      </c>
      <c r="AP3097" s="4">
        <v>0</v>
      </c>
      <c r="AQ3097" s="4">
        <v>2</v>
      </c>
      <c r="AR3097" s="3" t="s">
        <v>62</v>
      </c>
      <c r="AS3097" s="3" t="s">
        <v>62</v>
      </c>
      <c r="AT3097" s="3" t="s">
        <v>62</v>
      </c>
      <c r="AV3097" s="6" t="str">
        <f>HYPERLINK("http://mcgill.on.worldcat.org/oclc/1027035088","Catalog Record")</f>
        <v>Catalog Record</v>
      </c>
      <c r="AW3097" s="6" t="str">
        <f>HYPERLINK("http://www.worldcat.org/oclc/1027035088","WorldCat Record")</f>
        <v>WorldCat Record</v>
      </c>
      <c r="AX3097" s="3" t="s">
        <v>30367</v>
      </c>
      <c r="AY3097" s="3" t="s">
        <v>30368</v>
      </c>
      <c r="AZ3097" s="3" t="s">
        <v>30369</v>
      </c>
      <c r="BA3097" s="3" t="s">
        <v>30369</v>
      </c>
      <c r="BB3097" s="3" t="s">
        <v>30370</v>
      </c>
      <c r="BC3097" s="3" t="s">
        <v>142</v>
      </c>
      <c r="BD3097" s="3" t="s">
        <v>68</v>
      </c>
      <c r="BE3097" s="3" t="s">
        <v>30371</v>
      </c>
      <c r="BF3097" s="3" t="s">
        <v>30370</v>
      </c>
      <c r="BG3097" s="3" t="s">
        <v>30372</v>
      </c>
    </row>
    <row r="3098" spans="1:59" ht="57" x14ac:dyDescent="0.45">
      <c r="A3098" s="2" t="s">
        <v>59</v>
      </c>
      <c r="B3098" s="2" t="s">
        <v>60</v>
      </c>
      <c r="C3098" s="2" t="s">
        <v>30373</v>
      </c>
      <c r="D3098" s="2" t="s">
        <v>30374</v>
      </c>
      <c r="E3098" s="2" t="s">
        <v>30375</v>
      </c>
      <c r="G3098" s="3" t="s">
        <v>62</v>
      </c>
      <c r="I3098" s="3" t="s">
        <v>62</v>
      </c>
      <c r="J3098" s="3" t="s">
        <v>62</v>
      </c>
      <c r="K3098" s="3" t="s">
        <v>63</v>
      </c>
      <c r="L3098" s="2" t="s">
        <v>12529</v>
      </c>
      <c r="M3098" s="2" t="s">
        <v>8031</v>
      </c>
      <c r="N3098" s="3" t="s">
        <v>149</v>
      </c>
      <c r="O3098" s="2" t="s">
        <v>168</v>
      </c>
      <c r="P3098" s="3" t="s">
        <v>65</v>
      </c>
      <c r="Q3098" s="2" t="s">
        <v>12063</v>
      </c>
      <c r="R3098" s="3" t="s">
        <v>66</v>
      </c>
      <c r="S3098" s="4">
        <v>3</v>
      </c>
      <c r="T3098" s="4">
        <v>3</v>
      </c>
      <c r="U3098" s="5" t="s">
        <v>14063</v>
      </c>
      <c r="V3098" s="5" t="s">
        <v>14063</v>
      </c>
      <c r="W3098" s="5" t="s">
        <v>67</v>
      </c>
      <c r="X3098" s="5" t="s">
        <v>67</v>
      </c>
      <c r="Y3098" s="4">
        <v>321</v>
      </c>
      <c r="Z3098" s="4">
        <v>32</v>
      </c>
      <c r="AA3098" s="4">
        <v>43</v>
      </c>
      <c r="AB3098" s="4">
        <v>2</v>
      </c>
      <c r="AC3098" s="4">
        <v>7</v>
      </c>
      <c r="AD3098" s="4">
        <v>90</v>
      </c>
      <c r="AE3098" s="4">
        <v>99</v>
      </c>
      <c r="AF3098" s="4">
        <v>1</v>
      </c>
      <c r="AG3098" s="4">
        <v>4</v>
      </c>
      <c r="AH3098" s="4">
        <v>79</v>
      </c>
      <c r="AI3098" s="4">
        <v>82</v>
      </c>
      <c r="AJ3098" s="4">
        <v>14</v>
      </c>
      <c r="AK3098" s="4">
        <v>19</v>
      </c>
      <c r="AL3098" s="4">
        <v>44</v>
      </c>
      <c r="AM3098" s="4">
        <v>45</v>
      </c>
      <c r="AN3098" s="4">
        <v>0</v>
      </c>
      <c r="AO3098" s="4">
        <v>0</v>
      </c>
      <c r="AP3098" s="4">
        <v>18</v>
      </c>
      <c r="AQ3098" s="4">
        <v>25</v>
      </c>
      <c r="AR3098" s="3" t="s">
        <v>62</v>
      </c>
      <c r="AS3098" s="3" t="s">
        <v>62</v>
      </c>
      <c r="AT3098" s="3" t="s">
        <v>62</v>
      </c>
      <c r="AV3098" s="6" t="str">
        <f>HYPERLINK("http://mcgill.on.worldcat.org/oclc/468976314","Catalog Record")</f>
        <v>Catalog Record</v>
      </c>
      <c r="AW3098" s="6" t="str">
        <f>HYPERLINK("http://www.worldcat.org/oclc/468976314","WorldCat Record")</f>
        <v>WorldCat Record</v>
      </c>
      <c r="AX3098" s="3" t="s">
        <v>30376</v>
      </c>
      <c r="AY3098" s="3" t="s">
        <v>30377</v>
      </c>
      <c r="AZ3098" s="3" t="s">
        <v>30378</v>
      </c>
      <c r="BA3098" s="3" t="s">
        <v>30378</v>
      </c>
      <c r="BB3098" s="3" t="s">
        <v>30379</v>
      </c>
      <c r="BC3098" s="3" t="s">
        <v>142</v>
      </c>
      <c r="BD3098" s="3" t="s">
        <v>68</v>
      </c>
      <c r="BE3098" s="3" t="s">
        <v>30380</v>
      </c>
      <c r="BF3098" s="3" t="s">
        <v>30379</v>
      </c>
      <c r="BG3098" s="3" t="s">
        <v>30381</v>
      </c>
    </row>
    <row r="3099" spans="1:59" ht="57" x14ac:dyDescent="0.45">
      <c r="A3099" s="2" t="s">
        <v>59</v>
      </c>
      <c r="B3099" s="2" t="s">
        <v>60</v>
      </c>
      <c r="C3099" s="2" t="s">
        <v>30382</v>
      </c>
      <c r="D3099" s="2" t="s">
        <v>30383</v>
      </c>
      <c r="E3099" s="2" t="s">
        <v>30384</v>
      </c>
      <c r="G3099" s="3" t="s">
        <v>62</v>
      </c>
      <c r="I3099" s="3" t="s">
        <v>62</v>
      </c>
      <c r="J3099" s="3" t="s">
        <v>62</v>
      </c>
      <c r="K3099" s="3" t="s">
        <v>63</v>
      </c>
      <c r="L3099" s="2" t="s">
        <v>1828</v>
      </c>
      <c r="M3099" s="2" t="s">
        <v>30385</v>
      </c>
      <c r="N3099" s="3" t="s">
        <v>2417</v>
      </c>
      <c r="P3099" s="3" t="s">
        <v>65</v>
      </c>
      <c r="R3099" s="3" t="s">
        <v>66</v>
      </c>
      <c r="S3099" s="4">
        <v>34</v>
      </c>
      <c r="T3099" s="4">
        <v>34</v>
      </c>
      <c r="U3099" s="5" t="s">
        <v>13218</v>
      </c>
      <c r="V3099" s="5" t="s">
        <v>13218</v>
      </c>
      <c r="W3099" s="5" t="s">
        <v>67</v>
      </c>
      <c r="X3099" s="5" t="s">
        <v>67</v>
      </c>
      <c r="Y3099" s="4">
        <v>198</v>
      </c>
      <c r="Z3099" s="4">
        <v>9</v>
      </c>
      <c r="AA3099" s="4">
        <v>42</v>
      </c>
      <c r="AB3099" s="4">
        <v>1</v>
      </c>
      <c r="AC3099" s="4">
        <v>5</v>
      </c>
      <c r="AD3099" s="4">
        <v>37</v>
      </c>
      <c r="AE3099" s="4">
        <v>120</v>
      </c>
      <c r="AF3099" s="4">
        <v>0</v>
      </c>
      <c r="AG3099" s="4">
        <v>4</v>
      </c>
      <c r="AH3099" s="4">
        <v>35</v>
      </c>
      <c r="AI3099" s="4">
        <v>100</v>
      </c>
      <c r="AJ3099" s="4">
        <v>7</v>
      </c>
      <c r="AK3099" s="4">
        <v>26</v>
      </c>
      <c r="AL3099" s="4">
        <v>17</v>
      </c>
      <c r="AM3099" s="4">
        <v>51</v>
      </c>
      <c r="AN3099" s="4">
        <v>0</v>
      </c>
      <c r="AO3099" s="4">
        <v>0</v>
      </c>
      <c r="AP3099" s="4">
        <v>7</v>
      </c>
      <c r="AQ3099" s="4">
        <v>30</v>
      </c>
      <c r="AR3099" s="3" t="s">
        <v>62</v>
      </c>
      <c r="AS3099" s="3" t="s">
        <v>62</v>
      </c>
      <c r="AT3099" s="3" t="s">
        <v>62</v>
      </c>
      <c r="AV3099" s="6" t="str">
        <f>HYPERLINK("http://mcgill.on.worldcat.org/oclc/20091934","Catalog Record")</f>
        <v>Catalog Record</v>
      </c>
      <c r="AW3099" s="6" t="str">
        <f>HYPERLINK("http://www.worldcat.org/oclc/20091934","WorldCat Record")</f>
        <v>WorldCat Record</v>
      </c>
      <c r="AX3099" s="3" t="s">
        <v>30386</v>
      </c>
      <c r="AY3099" s="3" t="s">
        <v>30387</v>
      </c>
      <c r="AZ3099" s="3" t="s">
        <v>30388</v>
      </c>
      <c r="BA3099" s="3" t="s">
        <v>30388</v>
      </c>
      <c r="BB3099" s="3" t="s">
        <v>30389</v>
      </c>
      <c r="BC3099" s="3" t="s">
        <v>142</v>
      </c>
      <c r="BD3099" s="3" t="s">
        <v>68</v>
      </c>
      <c r="BE3099" s="3" t="s">
        <v>30390</v>
      </c>
      <c r="BF3099" s="3" t="s">
        <v>30389</v>
      </c>
      <c r="BG3099" s="3" t="s">
        <v>30391</v>
      </c>
    </row>
    <row r="3100" spans="1:59" ht="57" x14ac:dyDescent="0.45">
      <c r="A3100" s="2" t="s">
        <v>59</v>
      </c>
      <c r="B3100" s="2" t="s">
        <v>60</v>
      </c>
      <c r="C3100" s="2" t="s">
        <v>30392</v>
      </c>
      <c r="D3100" s="2" t="s">
        <v>30393</v>
      </c>
      <c r="E3100" s="2" t="s">
        <v>30394</v>
      </c>
      <c r="G3100" s="3" t="s">
        <v>62</v>
      </c>
      <c r="I3100" s="3" t="s">
        <v>62</v>
      </c>
      <c r="J3100" s="3" t="s">
        <v>62</v>
      </c>
      <c r="K3100" s="3" t="s">
        <v>63</v>
      </c>
      <c r="M3100" s="2" t="s">
        <v>1781</v>
      </c>
      <c r="N3100" s="3" t="s">
        <v>149</v>
      </c>
      <c r="P3100" s="3" t="s">
        <v>65</v>
      </c>
      <c r="R3100" s="3" t="s">
        <v>66</v>
      </c>
      <c r="S3100" s="4">
        <v>4</v>
      </c>
      <c r="T3100" s="4">
        <v>4</v>
      </c>
      <c r="U3100" s="5" t="s">
        <v>20968</v>
      </c>
      <c r="V3100" s="5" t="s">
        <v>20968</v>
      </c>
      <c r="W3100" s="5" t="s">
        <v>67</v>
      </c>
      <c r="X3100" s="5" t="s">
        <v>67</v>
      </c>
      <c r="Y3100" s="4">
        <v>108</v>
      </c>
      <c r="Z3100" s="4">
        <v>13</v>
      </c>
      <c r="AA3100" s="4">
        <v>94</v>
      </c>
      <c r="AB3100" s="4">
        <v>1</v>
      </c>
      <c r="AC3100" s="4">
        <v>17</v>
      </c>
      <c r="AD3100" s="4">
        <v>49</v>
      </c>
      <c r="AE3100" s="4">
        <v>125</v>
      </c>
      <c r="AF3100" s="4">
        <v>0</v>
      </c>
      <c r="AG3100" s="4">
        <v>8</v>
      </c>
      <c r="AH3100" s="4">
        <v>46</v>
      </c>
      <c r="AI3100" s="4">
        <v>89</v>
      </c>
      <c r="AJ3100" s="4">
        <v>11</v>
      </c>
      <c r="AK3100" s="4">
        <v>24</v>
      </c>
      <c r="AL3100" s="4">
        <v>27</v>
      </c>
      <c r="AM3100" s="4">
        <v>46</v>
      </c>
      <c r="AN3100" s="4">
        <v>0</v>
      </c>
      <c r="AO3100" s="4">
        <v>0</v>
      </c>
      <c r="AP3100" s="4">
        <v>11</v>
      </c>
      <c r="AQ3100" s="4">
        <v>46</v>
      </c>
      <c r="AR3100" s="3" t="s">
        <v>62</v>
      </c>
      <c r="AS3100" s="3" t="s">
        <v>62</v>
      </c>
      <c r="AT3100" s="3" t="s">
        <v>62</v>
      </c>
      <c r="AV3100" s="6" t="str">
        <f>HYPERLINK("http://mcgill.on.worldcat.org/oclc/310401910","Catalog Record")</f>
        <v>Catalog Record</v>
      </c>
      <c r="AW3100" s="6" t="str">
        <f>HYPERLINK("http://www.worldcat.org/oclc/310401910","WorldCat Record")</f>
        <v>WorldCat Record</v>
      </c>
      <c r="AX3100" s="3" t="s">
        <v>30395</v>
      </c>
      <c r="AY3100" s="3" t="s">
        <v>30396</v>
      </c>
      <c r="AZ3100" s="3" t="s">
        <v>30397</v>
      </c>
      <c r="BA3100" s="3" t="s">
        <v>30397</v>
      </c>
      <c r="BB3100" s="3" t="s">
        <v>30398</v>
      </c>
      <c r="BC3100" s="3" t="s">
        <v>142</v>
      </c>
      <c r="BD3100" s="3" t="s">
        <v>68</v>
      </c>
      <c r="BE3100" s="3" t="s">
        <v>30399</v>
      </c>
      <c r="BF3100" s="3" t="s">
        <v>30398</v>
      </c>
      <c r="BG3100" s="3" t="s">
        <v>30400</v>
      </c>
    </row>
    <row r="3101" spans="1:59" ht="57" x14ac:dyDescent="0.45">
      <c r="A3101" s="2" t="s">
        <v>59</v>
      </c>
      <c r="B3101" s="2" t="s">
        <v>60</v>
      </c>
      <c r="C3101" s="2" t="s">
        <v>30401</v>
      </c>
      <c r="D3101" s="2" t="s">
        <v>30402</v>
      </c>
      <c r="E3101" s="2" t="s">
        <v>30403</v>
      </c>
      <c r="G3101" s="3" t="s">
        <v>62</v>
      </c>
      <c r="I3101" s="3" t="s">
        <v>62</v>
      </c>
      <c r="J3101" s="3" t="s">
        <v>62</v>
      </c>
      <c r="K3101" s="3" t="s">
        <v>63</v>
      </c>
      <c r="L3101" s="2" t="s">
        <v>30404</v>
      </c>
      <c r="M3101" s="2" t="s">
        <v>30405</v>
      </c>
      <c r="N3101" s="3" t="s">
        <v>1604</v>
      </c>
      <c r="P3101" s="3" t="s">
        <v>65</v>
      </c>
      <c r="Q3101" s="2" t="s">
        <v>30406</v>
      </c>
      <c r="R3101" s="3" t="s">
        <v>66</v>
      </c>
      <c r="S3101" s="4">
        <v>11</v>
      </c>
      <c r="T3101" s="4">
        <v>11</v>
      </c>
      <c r="U3101" s="5" t="s">
        <v>1086</v>
      </c>
      <c r="V3101" s="5" t="s">
        <v>1086</v>
      </c>
      <c r="W3101" s="5" t="s">
        <v>67</v>
      </c>
      <c r="X3101" s="5" t="s">
        <v>67</v>
      </c>
      <c r="Y3101" s="4">
        <v>118</v>
      </c>
      <c r="Z3101" s="4">
        <v>10</v>
      </c>
      <c r="AA3101" s="4">
        <v>13</v>
      </c>
      <c r="AB3101" s="4">
        <v>2</v>
      </c>
      <c r="AC3101" s="4">
        <v>5</v>
      </c>
      <c r="AD3101" s="4">
        <v>42</v>
      </c>
      <c r="AE3101" s="4">
        <v>45</v>
      </c>
      <c r="AF3101" s="4">
        <v>1</v>
      </c>
      <c r="AG3101" s="4">
        <v>4</v>
      </c>
      <c r="AH3101" s="4">
        <v>36</v>
      </c>
      <c r="AI3101" s="4">
        <v>37</v>
      </c>
      <c r="AJ3101" s="4">
        <v>8</v>
      </c>
      <c r="AK3101" s="4">
        <v>11</v>
      </c>
      <c r="AL3101" s="4">
        <v>29</v>
      </c>
      <c r="AM3101" s="4">
        <v>29</v>
      </c>
      <c r="AN3101" s="4">
        <v>0</v>
      </c>
      <c r="AO3101" s="4">
        <v>0</v>
      </c>
      <c r="AP3101" s="4">
        <v>8</v>
      </c>
      <c r="AQ3101" s="4">
        <v>10</v>
      </c>
      <c r="AR3101" s="3" t="s">
        <v>62</v>
      </c>
      <c r="AS3101" s="3" t="s">
        <v>62</v>
      </c>
      <c r="AT3101" s="3" t="s">
        <v>61</v>
      </c>
      <c r="AU3101" s="6" t="str">
        <f>HYPERLINK("http://catalog.hathitrust.org/Record/006151942","HathiTrust Record")</f>
        <v>HathiTrust Record</v>
      </c>
      <c r="AV3101" s="6" t="str">
        <f>HYPERLINK("http://mcgill.on.worldcat.org/oclc/30854808","Catalog Record")</f>
        <v>Catalog Record</v>
      </c>
      <c r="AW3101" s="6" t="str">
        <f>HYPERLINK("http://www.worldcat.org/oclc/30854808","WorldCat Record")</f>
        <v>WorldCat Record</v>
      </c>
      <c r="AX3101" s="3" t="s">
        <v>30407</v>
      </c>
      <c r="AY3101" s="3" t="s">
        <v>30408</v>
      </c>
      <c r="AZ3101" s="3" t="s">
        <v>30409</v>
      </c>
      <c r="BA3101" s="3" t="s">
        <v>30409</v>
      </c>
      <c r="BB3101" s="3" t="s">
        <v>30410</v>
      </c>
      <c r="BC3101" s="3" t="s">
        <v>142</v>
      </c>
      <c r="BD3101" s="3" t="s">
        <v>68</v>
      </c>
      <c r="BE3101" s="3" t="s">
        <v>30411</v>
      </c>
      <c r="BF3101" s="3" t="s">
        <v>30410</v>
      </c>
      <c r="BG3101" s="3" t="s">
        <v>30412</v>
      </c>
    </row>
    <row r="3102" spans="1:59" ht="57" x14ac:dyDescent="0.45">
      <c r="A3102" s="2" t="s">
        <v>59</v>
      </c>
      <c r="B3102" s="2" t="s">
        <v>60</v>
      </c>
      <c r="C3102" s="2" t="s">
        <v>30413</v>
      </c>
      <c r="D3102" s="2" t="s">
        <v>30414</v>
      </c>
      <c r="E3102" s="2" t="s">
        <v>30415</v>
      </c>
      <c r="G3102" s="3" t="s">
        <v>62</v>
      </c>
      <c r="I3102" s="3" t="s">
        <v>62</v>
      </c>
      <c r="J3102" s="3" t="s">
        <v>62</v>
      </c>
      <c r="K3102" s="3" t="s">
        <v>63</v>
      </c>
      <c r="M3102" s="2" t="s">
        <v>13812</v>
      </c>
      <c r="N3102" s="3" t="s">
        <v>542</v>
      </c>
      <c r="P3102" s="3" t="s">
        <v>65</v>
      </c>
      <c r="Q3102" s="2" t="s">
        <v>30416</v>
      </c>
      <c r="R3102" s="3" t="s">
        <v>66</v>
      </c>
      <c r="S3102" s="4">
        <v>3</v>
      </c>
      <c r="T3102" s="4">
        <v>3</v>
      </c>
      <c r="U3102" s="5" t="s">
        <v>13134</v>
      </c>
      <c r="V3102" s="5" t="s">
        <v>13134</v>
      </c>
      <c r="W3102" s="5" t="s">
        <v>67</v>
      </c>
      <c r="X3102" s="5" t="s">
        <v>67</v>
      </c>
      <c r="Y3102" s="4">
        <v>312</v>
      </c>
      <c r="Z3102" s="4">
        <v>18</v>
      </c>
      <c r="AA3102" s="4">
        <v>64</v>
      </c>
      <c r="AB3102" s="4">
        <v>2</v>
      </c>
      <c r="AC3102" s="4">
        <v>17</v>
      </c>
      <c r="AD3102" s="4">
        <v>99</v>
      </c>
      <c r="AE3102" s="4">
        <v>137</v>
      </c>
      <c r="AF3102" s="4">
        <v>1</v>
      </c>
      <c r="AG3102" s="4">
        <v>8</v>
      </c>
      <c r="AH3102" s="4">
        <v>91</v>
      </c>
      <c r="AI3102" s="4">
        <v>98</v>
      </c>
      <c r="AJ3102" s="4">
        <v>12</v>
      </c>
      <c r="AK3102" s="4">
        <v>24</v>
      </c>
      <c r="AL3102" s="4">
        <v>51</v>
      </c>
      <c r="AM3102" s="4">
        <v>52</v>
      </c>
      <c r="AN3102" s="4">
        <v>0</v>
      </c>
      <c r="AO3102" s="4">
        <v>0</v>
      </c>
      <c r="AP3102" s="4">
        <v>13</v>
      </c>
      <c r="AQ3102" s="4">
        <v>48</v>
      </c>
      <c r="AR3102" s="3" t="s">
        <v>62</v>
      </c>
      <c r="AS3102" s="3" t="s">
        <v>62</v>
      </c>
      <c r="AT3102" s="3" t="s">
        <v>62</v>
      </c>
      <c r="AV3102" s="6" t="str">
        <f>HYPERLINK("http://mcgill.on.worldcat.org/oclc/45172844","Catalog Record")</f>
        <v>Catalog Record</v>
      </c>
      <c r="AW3102" s="6" t="str">
        <f>HYPERLINK("http://www.worldcat.org/oclc/45172844","WorldCat Record")</f>
        <v>WorldCat Record</v>
      </c>
      <c r="AX3102" s="3" t="s">
        <v>30417</v>
      </c>
      <c r="AY3102" s="3" t="s">
        <v>30418</v>
      </c>
      <c r="AZ3102" s="3" t="s">
        <v>30419</v>
      </c>
      <c r="BA3102" s="3" t="s">
        <v>30419</v>
      </c>
      <c r="BB3102" s="3" t="s">
        <v>30420</v>
      </c>
      <c r="BC3102" s="3" t="s">
        <v>142</v>
      </c>
      <c r="BD3102" s="3" t="s">
        <v>308</v>
      </c>
      <c r="BE3102" s="3" t="s">
        <v>30421</v>
      </c>
      <c r="BF3102" s="3" t="s">
        <v>30420</v>
      </c>
      <c r="BG3102" s="3" t="s">
        <v>30422</v>
      </c>
    </row>
    <row r="3103" spans="1:59" ht="57" x14ac:dyDescent="0.45">
      <c r="A3103" s="2" t="s">
        <v>59</v>
      </c>
      <c r="B3103" s="2" t="s">
        <v>412</v>
      </c>
      <c r="C3103" s="2" t="s">
        <v>30423</v>
      </c>
      <c r="D3103" s="2" t="s">
        <v>30424</v>
      </c>
      <c r="E3103" s="2" t="s">
        <v>30425</v>
      </c>
      <c r="G3103" s="3" t="s">
        <v>62</v>
      </c>
      <c r="I3103" s="3" t="s">
        <v>61</v>
      </c>
      <c r="J3103" s="3" t="s">
        <v>61</v>
      </c>
      <c r="K3103" s="3" t="s">
        <v>63</v>
      </c>
      <c r="L3103" s="2" t="s">
        <v>30426</v>
      </c>
      <c r="M3103" s="2" t="s">
        <v>30427</v>
      </c>
      <c r="N3103" s="3" t="s">
        <v>495</v>
      </c>
      <c r="P3103" s="3" t="s">
        <v>65</v>
      </c>
      <c r="R3103" s="3" t="s">
        <v>66</v>
      </c>
      <c r="S3103" s="4">
        <v>2</v>
      </c>
      <c r="T3103" s="4">
        <v>19</v>
      </c>
      <c r="U3103" s="5" t="s">
        <v>30428</v>
      </c>
      <c r="V3103" s="5" t="s">
        <v>2788</v>
      </c>
      <c r="W3103" s="5" t="s">
        <v>67</v>
      </c>
      <c r="X3103" s="5" t="s">
        <v>67</v>
      </c>
      <c r="Y3103" s="4">
        <v>378</v>
      </c>
      <c r="Z3103" s="4">
        <v>37</v>
      </c>
      <c r="AA3103" s="4">
        <v>104</v>
      </c>
      <c r="AB3103" s="4">
        <v>4</v>
      </c>
      <c r="AC3103" s="4">
        <v>18</v>
      </c>
      <c r="AD3103" s="4">
        <v>77</v>
      </c>
      <c r="AE3103" s="4">
        <v>158</v>
      </c>
      <c r="AF3103" s="4">
        <v>2</v>
      </c>
      <c r="AG3103" s="4">
        <v>8</v>
      </c>
      <c r="AH3103" s="4">
        <v>61</v>
      </c>
      <c r="AI3103" s="4">
        <v>113</v>
      </c>
      <c r="AJ3103" s="4">
        <v>21</v>
      </c>
      <c r="AK3103" s="4">
        <v>27</v>
      </c>
      <c r="AL3103" s="4">
        <v>29</v>
      </c>
      <c r="AM3103" s="4">
        <v>60</v>
      </c>
      <c r="AN3103" s="4">
        <v>0</v>
      </c>
      <c r="AO3103" s="4">
        <v>0</v>
      </c>
      <c r="AP3103" s="4">
        <v>27</v>
      </c>
      <c r="AQ3103" s="4">
        <v>55</v>
      </c>
      <c r="AR3103" s="3" t="s">
        <v>62</v>
      </c>
      <c r="AS3103" s="3" t="s">
        <v>62</v>
      </c>
      <c r="AT3103" s="3" t="s">
        <v>61</v>
      </c>
      <c r="AU3103" s="6" t="str">
        <f>HYPERLINK("http://catalog.hathitrust.org/Record/000029816","HathiTrust Record")</f>
        <v>HathiTrust Record</v>
      </c>
      <c r="AV3103" s="6" t="str">
        <f>HYPERLINK("http://mcgill.on.worldcat.org/oclc/1704197","Catalog Record")</f>
        <v>Catalog Record</v>
      </c>
      <c r="AW3103" s="6" t="str">
        <f>HYPERLINK("http://www.worldcat.org/oclc/1704197","WorldCat Record")</f>
        <v>WorldCat Record</v>
      </c>
      <c r="AX3103" s="3" t="s">
        <v>30429</v>
      </c>
      <c r="AY3103" s="3" t="s">
        <v>30430</v>
      </c>
      <c r="AZ3103" s="3" t="s">
        <v>30431</v>
      </c>
      <c r="BA3103" s="3" t="s">
        <v>30431</v>
      </c>
      <c r="BB3103" s="3" t="s">
        <v>30432</v>
      </c>
      <c r="BC3103" s="3" t="s">
        <v>142</v>
      </c>
      <c r="BD3103" s="3" t="s">
        <v>68</v>
      </c>
      <c r="BE3103" s="3" t="s">
        <v>30433</v>
      </c>
      <c r="BF3103" s="3" t="s">
        <v>30432</v>
      </c>
      <c r="BG3103" s="3" t="s">
        <v>30434</v>
      </c>
    </row>
    <row r="3104" spans="1:59" ht="57" x14ac:dyDescent="0.45">
      <c r="A3104" s="2" t="s">
        <v>59</v>
      </c>
      <c r="B3104" s="2" t="s">
        <v>60</v>
      </c>
      <c r="C3104" s="2" t="s">
        <v>30423</v>
      </c>
      <c r="D3104" s="2" t="s">
        <v>30424</v>
      </c>
      <c r="E3104" s="2" t="s">
        <v>30425</v>
      </c>
      <c r="G3104" s="3" t="s">
        <v>62</v>
      </c>
      <c r="I3104" s="3" t="s">
        <v>61</v>
      </c>
      <c r="J3104" s="3" t="s">
        <v>61</v>
      </c>
      <c r="K3104" s="3" t="s">
        <v>63</v>
      </c>
      <c r="L3104" s="2" t="s">
        <v>30426</v>
      </c>
      <c r="M3104" s="2" t="s">
        <v>30427</v>
      </c>
      <c r="N3104" s="3" t="s">
        <v>495</v>
      </c>
      <c r="P3104" s="3" t="s">
        <v>65</v>
      </c>
      <c r="R3104" s="3" t="s">
        <v>66</v>
      </c>
      <c r="S3104" s="4">
        <v>7</v>
      </c>
      <c r="T3104" s="4">
        <v>19</v>
      </c>
      <c r="U3104" s="5" t="s">
        <v>30435</v>
      </c>
      <c r="V3104" s="5" t="s">
        <v>2788</v>
      </c>
      <c r="W3104" s="5" t="s">
        <v>67</v>
      </c>
      <c r="X3104" s="5" t="s">
        <v>67</v>
      </c>
      <c r="Y3104" s="4">
        <v>378</v>
      </c>
      <c r="Z3104" s="4">
        <v>37</v>
      </c>
      <c r="AA3104" s="4">
        <v>104</v>
      </c>
      <c r="AB3104" s="4">
        <v>4</v>
      </c>
      <c r="AC3104" s="4">
        <v>18</v>
      </c>
      <c r="AD3104" s="4">
        <v>77</v>
      </c>
      <c r="AE3104" s="4">
        <v>158</v>
      </c>
      <c r="AF3104" s="4">
        <v>2</v>
      </c>
      <c r="AG3104" s="4">
        <v>8</v>
      </c>
      <c r="AH3104" s="4">
        <v>61</v>
      </c>
      <c r="AI3104" s="4">
        <v>113</v>
      </c>
      <c r="AJ3104" s="4">
        <v>21</v>
      </c>
      <c r="AK3104" s="4">
        <v>27</v>
      </c>
      <c r="AL3104" s="4">
        <v>29</v>
      </c>
      <c r="AM3104" s="4">
        <v>60</v>
      </c>
      <c r="AN3104" s="4">
        <v>0</v>
      </c>
      <c r="AO3104" s="4">
        <v>0</v>
      </c>
      <c r="AP3104" s="4">
        <v>27</v>
      </c>
      <c r="AQ3104" s="4">
        <v>55</v>
      </c>
      <c r="AR3104" s="3" t="s">
        <v>62</v>
      </c>
      <c r="AS3104" s="3" t="s">
        <v>62</v>
      </c>
      <c r="AT3104" s="3" t="s">
        <v>61</v>
      </c>
      <c r="AU3104" s="6" t="str">
        <f>HYPERLINK("http://catalog.hathitrust.org/Record/000029816","HathiTrust Record")</f>
        <v>HathiTrust Record</v>
      </c>
      <c r="AV3104" s="6" t="str">
        <f>HYPERLINK("http://mcgill.on.worldcat.org/oclc/1704197","Catalog Record")</f>
        <v>Catalog Record</v>
      </c>
      <c r="AW3104" s="6" t="str">
        <f>HYPERLINK("http://www.worldcat.org/oclc/1704197","WorldCat Record")</f>
        <v>WorldCat Record</v>
      </c>
      <c r="AX3104" s="3" t="s">
        <v>30429</v>
      </c>
      <c r="AY3104" s="3" t="s">
        <v>30430</v>
      </c>
      <c r="AZ3104" s="3" t="s">
        <v>30431</v>
      </c>
      <c r="BA3104" s="3" t="s">
        <v>30431</v>
      </c>
      <c r="BB3104" s="3" t="s">
        <v>30436</v>
      </c>
      <c r="BC3104" s="3" t="s">
        <v>142</v>
      </c>
      <c r="BD3104" s="3" t="s">
        <v>68</v>
      </c>
      <c r="BE3104" s="3" t="s">
        <v>30433</v>
      </c>
      <c r="BF3104" s="3" t="s">
        <v>30436</v>
      </c>
      <c r="BG3104" s="3" t="s">
        <v>30437</v>
      </c>
    </row>
    <row r="3105" spans="1:59" ht="57" x14ac:dyDescent="0.45">
      <c r="A3105" s="2" t="s">
        <v>59</v>
      </c>
      <c r="B3105" s="2" t="s">
        <v>60</v>
      </c>
      <c r="C3105" s="2" t="s">
        <v>30423</v>
      </c>
      <c r="D3105" s="2" t="s">
        <v>30424</v>
      </c>
      <c r="E3105" s="2" t="s">
        <v>30425</v>
      </c>
      <c r="G3105" s="3" t="s">
        <v>62</v>
      </c>
      <c r="I3105" s="3" t="s">
        <v>61</v>
      </c>
      <c r="J3105" s="3" t="s">
        <v>61</v>
      </c>
      <c r="K3105" s="3" t="s">
        <v>63</v>
      </c>
      <c r="L3105" s="2" t="s">
        <v>30426</v>
      </c>
      <c r="M3105" s="2" t="s">
        <v>30427</v>
      </c>
      <c r="N3105" s="3" t="s">
        <v>495</v>
      </c>
      <c r="P3105" s="3" t="s">
        <v>65</v>
      </c>
      <c r="R3105" s="3" t="s">
        <v>66</v>
      </c>
      <c r="S3105" s="4">
        <v>10</v>
      </c>
      <c r="T3105" s="4">
        <v>19</v>
      </c>
      <c r="U3105" s="5" t="s">
        <v>2788</v>
      </c>
      <c r="V3105" s="5" t="s">
        <v>2788</v>
      </c>
      <c r="W3105" s="5" t="s">
        <v>67</v>
      </c>
      <c r="X3105" s="5" t="s">
        <v>67</v>
      </c>
      <c r="Y3105" s="4">
        <v>378</v>
      </c>
      <c r="Z3105" s="4">
        <v>37</v>
      </c>
      <c r="AA3105" s="4">
        <v>104</v>
      </c>
      <c r="AB3105" s="4">
        <v>4</v>
      </c>
      <c r="AC3105" s="4">
        <v>18</v>
      </c>
      <c r="AD3105" s="4">
        <v>77</v>
      </c>
      <c r="AE3105" s="4">
        <v>158</v>
      </c>
      <c r="AF3105" s="4">
        <v>2</v>
      </c>
      <c r="AG3105" s="4">
        <v>8</v>
      </c>
      <c r="AH3105" s="4">
        <v>61</v>
      </c>
      <c r="AI3105" s="4">
        <v>113</v>
      </c>
      <c r="AJ3105" s="4">
        <v>21</v>
      </c>
      <c r="AK3105" s="4">
        <v>27</v>
      </c>
      <c r="AL3105" s="4">
        <v>29</v>
      </c>
      <c r="AM3105" s="4">
        <v>60</v>
      </c>
      <c r="AN3105" s="4">
        <v>0</v>
      </c>
      <c r="AO3105" s="4">
        <v>0</v>
      </c>
      <c r="AP3105" s="4">
        <v>27</v>
      </c>
      <c r="AQ3105" s="4">
        <v>55</v>
      </c>
      <c r="AR3105" s="3" t="s">
        <v>62</v>
      </c>
      <c r="AS3105" s="3" t="s">
        <v>62</v>
      </c>
      <c r="AT3105" s="3" t="s">
        <v>61</v>
      </c>
      <c r="AU3105" s="6" t="str">
        <f>HYPERLINK("http://catalog.hathitrust.org/Record/000029816","HathiTrust Record")</f>
        <v>HathiTrust Record</v>
      </c>
      <c r="AV3105" s="6" t="str">
        <f>HYPERLINK("http://mcgill.on.worldcat.org/oclc/1704197","Catalog Record")</f>
        <v>Catalog Record</v>
      </c>
      <c r="AW3105" s="6" t="str">
        <f>HYPERLINK("http://www.worldcat.org/oclc/1704197","WorldCat Record")</f>
        <v>WorldCat Record</v>
      </c>
      <c r="AX3105" s="3" t="s">
        <v>30429</v>
      </c>
      <c r="AY3105" s="3" t="s">
        <v>30430</v>
      </c>
      <c r="AZ3105" s="3" t="s">
        <v>30431</v>
      </c>
      <c r="BA3105" s="3" t="s">
        <v>30431</v>
      </c>
      <c r="BB3105" s="3" t="s">
        <v>30438</v>
      </c>
      <c r="BC3105" s="3" t="s">
        <v>142</v>
      </c>
      <c r="BD3105" s="3" t="s">
        <v>68</v>
      </c>
      <c r="BE3105" s="3" t="s">
        <v>30433</v>
      </c>
      <c r="BF3105" s="3" t="s">
        <v>30438</v>
      </c>
      <c r="BG3105" s="3" t="s">
        <v>30439</v>
      </c>
    </row>
    <row r="3106" spans="1:59" ht="57" x14ac:dyDescent="0.45">
      <c r="A3106" s="2" t="s">
        <v>13313</v>
      </c>
      <c r="B3106" s="2" t="s">
        <v>60</v>
      </c>
      <c r="C3106" s="2" t="s">
        <v>30440</v>
      </c>
      <c r="D3106" s="2" t="s">
        <v>30441</v>
      </c>
      <c r="E3106" s="2" t="s">
        <v>30442</v>
      </c>
      <c r="G3106" s="3" t="s">
        <v>62</v>
      </c>
      <c r="I3106" s="3" t="s">
        <v>62</v>
      </c>
      <c r="J3106" s="3" t="s">
        <v>62</v>
      </c>
      <c r="K3106" s="3" t="s">
        <v>63</v>
      </c>
      <c r="L3106" s="2" t="s">
        <v>30443</v>
      </c>
      <c r="M3106" s="2" t="s">
        <v>30444</v>
      </c>
      <c r="N3106" s="3" t="s">
        <v>945</v>
      </c>
      <c r="O3106" s="2" t="s">
        <v>933</v>
      </c>
      <c r="P3106" s="3" t="s">
        <v>65</v>
      </c>
      <c r="R3106" s="3" t="s">
        <v>66</v>
      </c>
      <c r="S3106" s="4">
        <v>1</v>
      </c>
      <c r="T3106" s="4">
        <v>1</v>
      </c>
      <c r="U3106" s="5" t="s">
        <v>12411</v>
      </c>
      <c r="V3106" s="5" t="s">
        <v>12411</v>
      </c>
      <c r="W3106" s="5" t="s">
        <v>67</v>
      </c>
      <c r="X3106" s="5" t="s">
        <v>67</v>
      </c>
      <c r="Y3106" s="4">
        <v>36</v>
      </c>
      <c r="Z3106" s="4">
        <v>3</v>
      </c>
      <c r="AA3106" s="4">
        <v>3</v>
      </c>
      <c r="AB3106" s="4">
        <v>2</v>
      </c>
      <c r="AC3106" s="4">
        <v>2</v>
      </c>
      <c r="AD3106" s="4">
        <v>9</v>
      </c>
      <c r="AE3106" s="4">
        <v>18</v>
      </c>
      <c r="AF3106" s="4">
        <v>0</v>
      </c>
      <c r="AG3106" s="4">
        <v>0</v>
      </c>
      <c r="AH3106" s="4">
        <v>9</v>
      </c>
      <c r="AI3106" s="4">
        <v>18</v>
      </c>
      <c r="AJ3106" s="4">
        <v>1</v>
      </c>
      <c r="AK3106" s="4">
        <v>1</v>
      </c>
      <c r="AL3106" s="4">
        <v>6</v>
      </c>
      <c r="AM3106" s="4">
        <v>11</v>
      </c>
      <c r="AN3106" s="4">
        <v>0</v>
      </c>
      <c r="AO3106" s="4">
        <v>0</v>
      </c>
      <c r="AP3106" s="4">
        <v>1</v>
      </c>
      <c r="AQ3106" s="4">
        <v>1</v>
      </c>
      <c r="AR3106" s="3" t="s">
        <v>62</v>
      </c>
      <c r="AS3106" s="3" t="s">
        <v>62</v>
      </c>
      <c r="AT3106" s="3" t="s">
        <v>62</v>
      </c>
      <c r="AV3106" s="6" t="str">
        <f>HYPERLINK("http://mcgill.on.worldcat.org/oclc/175315185","Catalog Record")</f>
        <v>Catalog Record</v>
      </c>
      <c r="AW3106" s="6" t="str">
        <f>HYPERLINK("http://www.worldcat.org/oclc/175315185","WorldCat Record")</f>
        <v>WorldCat Record</v>
      </c>
      <c r="AX3106" s="3" t="s">
        <v>30445</v>
      </c>
      <c r="AY3106" s="3" t="s">
        <v>30446</v>
      </c>
      <c r="AZ3106" s="3" t="s">
        <v>30447</v>
      </c>
      <c r="BA3106" s="3" t="s">
        <v>30447</v>
      </c>
      <c r="BB3106" s="3" t="s">
        <v>30448</v>
      </c>
      <c r="BC3106" s="3" t="s">
        <v>142</v>
      </c>
      <c r="BD3106" s="3" t="s">
        <v>68</v>
      </c>
      <c r="BE3106" s="3" t="s">
        <v>30449</v>
      </c>
      <c r="BF3106" s="3" t="s">
        <v>30448</v>
      </c>
      <c r="BG3106" s="3" t="s">
        <v>30450</v>
      </c>
    </row>
    <row r="3107" spans="1:59" ht="57" x14ac:dyDescent="0.45">
      <c r="A3107" s="2" t="s">
        <v>59</v>
      </c>
      <c r="B3107" s="2" t="s">
        <v>60</v>
      </c>
      <c r="C3107" s="2" t="s">
        <v>30451</v>
      </c>
      <c r="D3107" s="2" t="s">
        <v>30452</v>
      </c>
      <c r="E3107" s="2" t="s">
        <v>30453</v>
      </c>
      <c r="G3107" s="3" t="s">
        <v>62</v>
      </c>
      <c r="I3107" s="3" t="s">
        <v>62</v>
      </c>
      <c r="J3107" s="3" t="s">
        <v>62</v>
      </c>
      <c r="K3107" s="3" t="s">
        <v>63</v>
      </c>
      <c r="L3107" s="2" t="s">
        <v>30454</v>
      </c>
      <c r="M3107" s="2" t="s">
        <v>30455</v>
      </c>
      <c r="N3107" s="3" t="s">
        <v>1855</v>
      </c>
      <c r="P3107" s="3" t="s">
        <v>65</v>
      </c>
      <c r="R3107" s="3" t="s">
        <v>66</v>
      </c>
      <c r="S3107" s="4">
        <v>7</v>
      </c>
      <c r="T3107" s="4">
        <v>7</v>
      </c>
      <c r="U3107" s="5" t="s">
        <v>12639</v>
      </c>
      <c r="V3107" s="5" t="s">
        <v>12639</v>
      </c>
      <c r="W3107" s="5" t="s">
        <v>67</v>
      </c>
      <c r="X3107" s="5" t="s">
        <v>67</v>
      </c>
      <c r="Y3107" s="4">
        <v>328</v>
      </c>
      <c r="Z3107" s="4">
        <v>21</v>
      </c>
      <c r="AA3107" s="4">
        <v>82</v>
      </c>
      <c r="AB3107" s="4">
        <v>1</v>
      </c>
      <c r="AC3107" s="4">
        <v>16</v>
      </c>
      <c r="AD3107" s="4">
        <v>87</v>
      </c>
      <c r="AE3107" s="4">
        <v>132</v>
      </c>
      <c r="AF3107" s="4">
        <v>0</v>
      </c>
      <c r="AG3107" s="4">
        <v>8</v>
      </c>
      <c r="AH3107" s="4">
        <v>80</v>
      </c>
      <c r="AI3107" s="4">
        <v>99</v>
      </c>
      <c r="AJ3107" s="4">
        <v>11</v>
      </c>
      <c r="AK3107" s="4">
        <v>23</v>
      </c>
      <c r="AL3107" s="4">
        <v>40</v>
      </c>
      <c r="AM3107" s="4">
        <v>50</v>
      </c>
      <c r="AN3107" s="4">
        <v>0</v>
      </c>
      <c r="AO3107" s="4">
        <v>0</v>
      </c>
      <c r="AP3107" s="4">
        <v>16</v>
      </c>
      <c r="AQ3107" s="4">
        <v>43</v>
      </c>
      <c r="AR3107" s="3" t="s">
        <v>62</v>
      </c>
      <c r="AS3107" s="3" t="s">
        <v>62</v>
      </c>
      <c r="AT3107" s="3" t="s">
        <v>62</v>
      </c>
      <c r="AV3107" s="6" t="str">
        <f>HYPERLINK("http://mcgill.on.worldcat.org/oclc/55220204","Catalog Record")</f>
        <v>Catalog Record</v>
      </c>
      <c r="AW3107" s="6" t="str">
        <f>HYPERLINK("http://www.worldcat.org/oclc/55220204","WorldCat Record")</f>
        <v>WorldCat Record</v>
      </c>
      <c r="AX3107" s="3" t="s">
        <v>30456</v>
      </c>
      <c r="AY3107" s="3" t="s">
        <v>30457</v>
      </c>
      <c r="AZ3107" s="3" t="s">
        <v>30458</v>
      </c>
      <c r="BA3107" s="3" t="s">
        <v>30458</v>
      </c>
      <c r="BB3107" s="3" t="s">
        <v>30459</v>
      </c>
      <c r="BC3107" s="3" t="s">
        <v>142</v>
      </c>
      <c r="BD3107" s="3" t="s">
        <v>68</v>
      </c>
      <c r="BE3107" s="3" t="s">
        <v>30460</v>
      </c>
      <c r="BF3107" s="3" t="s">
        <v>30459</v>
      </c>
      <c r="BG3107" s="3" t="s">
        <v>30461</v>
      </c>
    </row>
    <row r="3108" spans="1:59" ht="57" x14ac:dyDescent="0.45">
      <c r="A3108" s="2" t="s">
        <v>59</v>
      </c>
      <c r="B3108" s="2" t="s">
        <v>60</v>
      </c>
      <c r="C3108" s="2" t="s">
        <v>30462</v>
      </c>
      <c r="D3108" s="2" t="s">
        <v>30463</v>
      </c>
      <c r="E3108" s="2" t="s">
        <v>30464</v>
      </c>
      <c r="G3108" s="3" t="s">
        <v>62</v>
      </c>
      <c r="I3108" s="3" t="s">
        <v>62</v>
      </c>
      <c r="J3108" s="3" t="s">
        <v>62</v>
      </c>
      <c r="K3108" s="3" t="s">
        <v>63</v>
      </c>
      <c r="M3108" s="2" t="s">
        <v>30465</v>
      </c>
      <c r="N3108" s="3" t="s">
        <v>2417</v>
      </c>
      <c r="P3108" s="3" t="s">
        <v>65</v>
      </c>
      <c r="R3108" s="3" t="s">
        <v>66</v>
      </c>
      <c r="S3108" s="4">
        <v>43</v>
      </c>
      <c r="T3108" s="4">
        <v>43</v>
      </c>
      <c r="U3108" s="5" t="s">
        <v>4406</v>
      </c>
      <c r="V3108" s="5" t="s">
        <v>4406</v>
      </c>
      <c r="W3108" s="5" t="s">
        <v>67</v>
      </c>
      <c r="X3108" s="5" t="s">
        <v>67</v>
      </c>
      <c r="Y3108" s="4">
        <v>295</v>
      </c>
      <c r="Z3108" s="4">
        <v>30</v>
      </c>
      <c r="AA3108" s="4">
        <v>36</v>
      </c>
      <c r="AB3108" s="4">
        <v>2</v>
      </c>
      <c r="AC3108" s="4">
        <v>7</v>
      </c>
      <c r="AD3108" s="4">
        <v>86</v>
      </c>
      <c r="AE3108" s="4">
        <v>91</v>
      </c>
      <c r="AF3108" s="4">
        <v>1</v>
      </c>
      <c r="AG3108" s="4">
        <v>5</v>
      </c>
      <c r="AH3108" s="4">
        <v>73</v>
      </c>
      <c r="AI3108" s="4">
        <v>74</v>
      </c>
      <c r="AJ3108" s="4">
        <v>16</v>
      </c>
      <c r="AK3108" s="4">
        <v>20</v>
      </c>
      <c r="AL3108" s="4">
        <v>38</v>
      </c>
      <c r="AM3108" s="4">
        <v>38</v>
      </c>
      <c r="AN3108" s="4">
        <v>0</v>
      </c>
      <c r="AO3108" s="4">
        <v>0</v>
      </c>
      <c r="AP3108" s="4">
        <v>21</v>
      </c>
      <c r="AQ3108" s="4">
        <v>25</v>
      </c>
      <c r="AR3108" s="3" t="s">
        <v>61</v>
      </c>
      <c r="AS3108" s="3" t="s">
        <v>62</v>
      </c>
      <c r="AT3108" s="3" t="s">
        <v>61</v>
      </c>
      <c r="AU3108" s="6" t="str">
        <f>HYPERLINK("http://catalog.hathitrust.org/Record/001082782","HathiTrust Record")</f>
        <v>HathiTrust Record</v>
      </c>
      <c r="AV3108" s="6" t="str">
        <f>HYPERLINK("http://mcgill.on.worldcat.org/oclc/15428573","Catalog Record")</f>
        <v>Catalog Record</v>
      </c>
      <c r="AW3108" s="6" t="str">
        <f>HYPERLINK("http://www.worldcat.org/oclc/15428573","WorldCat Record")</f>
        <v>WorldCat Record</v>
      </c>
      <c r="AX3108" s="3" t="s">
        <v>30466</v>
      </c>
      <c r="AY3108" s="3" t="s">
        <v>30467</v>
      </c>
      <c r="AZ3108" s="3" t="s">
        <v>30468</v>
      </c>
      <c r="BA3108" s="3" t="s">
        <v>30468</v>
      </c>
      <c r="BB3108" s="3" t="s">
        <v>30469</v>
      </c>
      <c r="BC3108" s="3" t="s">
        <v>142</v>
      </c>
      <c r="BD3108" s="3" t="s">
        <v>68</v>
      </c>
      <c r="BE3108" s="3" t="s">
        <v>30470</v>
      </c>
      <c r="BF3108" s="3" t="s">
        <v>30469</v>
      </c>
      <c r="BG3108" s="3" t="s">
        <v>30471</v>
      </c>
    </row>
    <row r="3109" spans="1:59" ht="57" x14ac:dyDescent="0.45">
      <c r="A3109" s="2" t="s">
        <v>59</v>
      </c>
      <c r="B3109" s="2" t="s">
        <v>60</v>
      </c>
      <c r="C3109" s="2" t="s">
        <v>30472</v>
      </c>
      <c r="D3109" s="2" t="s">
        <v>30473</v>
      </c>
      <c r="E3109" s="2" t="s">
        <v>30474</v>
      </c>
      <c r="G3109" s="3" t="s">
        <v>62</v>
      </c>
      <c r="I3109" s="3" t="s">
        <v>62</v>
      </c>
      <c r="J3109" s="3" t="s">
        <v>62</v>
      </c>
      <c r="K3109" s="3" t="s">
        <v>63</v>
      </c>
      <c r="L3109" s="2" t="s">
        <v>30475</v>
      </c>
      <c r="M3109" s="2" t="s">
        <v>30476</v>
      </c>
      <c r="N3109" s="3" t="s">
        <v>106</v>
      </c>
      <c r="P3109" s="3" t="s">
        <v>65</v>
      </c>
      <c r="R3109" s="3" t="s">
        <v>66</v>
      </c>
      <c r="S3109" s="4">
        <v>7</v>
      </c>
      <c r="T3109" s="4">
        <v>7</v>
      </c>
      <c r="U3109" s="5" t="s">
        <v>17898</v>
      </c>
      <c r="V3109" s="5" t="s">
        <v>17898</v>
      </c>
      <c r="W3109" s="5" t="s">
        <v>67</v>
      </c>
      <c r="X3109" s="5" t="s">
        <v>67</v>
      </c>
      <c r="Y3109" s="4">
        <v>188</v>
      </c>
      <c r="Z3109" s="4">
        <v>9</v>
      </c>
      <c r="AA3109" s="4">
        <v>18</v>
      </c>
      <c r="AB3109" s="4">
        <v>1</v>
      </c>
      <c r="AC3109" s="4">
        <v>4</v>
      </c>
      <c r="AD3109" s="4">
        <v>50</v>
      </c>
      <c r="AE3109" s="4">
        <v>70</v>
      </c>
      <c r="AF3109" s="4">
        <v>0</v>
      </c>
      <c r="AG3109" s="4">
        <v>2</v>
      </c>
      <c r="AH3109" s="4">
        <v>47</v>
      </c>
      <c r="AI3109" s="4">
        <v>63</v>
      </c>
      <c r="AJ3109" s="4">
        <v>5</v>
      </c>
      <c r="AK3109" s="4">
        <v>8</v>
      </c>
      <c r="AL3109" s="4">
        <v>26</v>
      </c>
      <c r="AM3109" s="4">
        <v>30</v>
      </c>
      <c r="AN3109" s="4">
        <v>0</v>
      </c>
      <c r="AO3109" s="4">
        <v>0</v>
      </c>
      <c r="AP3109" s="4">
        <v>6</v>
      </c>
      <c r="AQ3109" s="4">
        <v>12</v>
      </c>
      <c r="AR3109" s="3" t="s">
        <v>62</v>
      </c>
      <c r="AS3109" s="3" t="s">
        <v>62</v>
      </c>
      <c r="AT3109" s="3" t="s">
        <v>61</v>
      </c>
      <c r="AU3109" s="6" t="str">
        <f>HYPERLINK("http://catalog.hathitrust.org/Record/000312184","HathiTrust Record")</f>
        <v>HathiTrust Record</v>
      </c>
      <c r="AV3109" s="6" t="str">
        <f>HYPERLINK("http://mcgill.on.worldcat.org/oclc/8220871","Catalog Record")</f>
        <v>Catalog Record</v>
      </c>
      <c r="AW3109" s="6" t="str">
        <f>HYPERLINK("http://www.worldcat.org/oclc/8220871","WorldCat Record")</f>
        <v>WorldCat Record</v>
      </c>
      <c r="AX3109" s="3" t="s">
        <v>30477</v>
      </c>
      <c r="AY3109" s="3" t="s">
        <v>30478</v>
      </c>
      <c r="AZ3109" s="3" t="s">
        <v>30479</v>
      </c>
      <c r="BA3109" s="3" t="s">
        <v>30479</v>
      </c>
      <c r="BB3109" s="3" t="s">
        <v>30480</v>
      </c>
      <c r="BC3109" s="3" t="s">
        <v>142</v>
      </c>
      <c r="BD3109" s="3" t="s">
        <v>68</v>
      </c>
      <c r="BE3109" s="3" t="s">
        <v>30481</v>
      </c>
      <c r="BF3109" s="3" t="s">
        <v>30480</v>
      </c>
      <c r="BG3109" s="3" t="s">
        <v>30482</v>
      </c>
    </row>
    <row r="3110" spans="1:59" ht="57" x14ac:dyDescent="0.45">
      <c r="A3110" s="2" t="s">
        <v>59</v>
      </c>
      <c r="B3110" s="2" t="s">
        <v>60</v>
      </c>
      <c r="C3110" s="2" t="s">
        <v>30483</v>
      </c>
      <c r="D3110" s="2" t="s">
        <v>30484</v>
      </c>
      <c r="E3110" s="2" t="s">
        <v>30485</v>
      </c>
      <c r="G3110" s="3" t="s">
        <v>62</v>
      </c>
      <c r="I3110" s="3" t="s">
        <v>62</v>
      </c>
      <c r="J3110" s="3" t="s">
        <v>62</v>
      </c>
      <c r="K3110" s="3" t="s">
        <v>63</v>
      </c>
      <c r="L3110" s="2" t="s">
        <v>30486</v>
      </c>
      <c r="M3110" s="2" t="s">
        <v>30487</v>
      </c>
      <c r="N3110" s="3" t="s">
        <v>1212</v>
      </c>
      <c r="P3110" s="3" t="s">
        <v>65</v>
      </c>
      <c r="R3110" s="3" t="s">
        <v>66</v>
      </c>
      <c r="S3110" s="4">
        <v>9</v>
      </c>
      <c r="T3110" s="4">
        <v>9</v>
      </c>
      <c r="U3110" s="5" t="s">
        <v>30488</v>
      </c>
      <c r="V3110" s="5" t="s">
        <v>30488</v>
      </c>
      <c r="W3110" s="5" t="s">
        <v>67</v>
      </c>
      <c r="X3110" s="5" t="s">
        <v>67</v>
      </c>
      <c r="Y3110" s="4">
        <v>271</v>
      </c>
      <c r="Z3110" s="4">
        <v>13</v>
      </c>
      <c r="AA3110" s="4">
        <v>15</v>
      </c>
      <c r="AB3110" s="4">
        <v>1</v>
      </c>
      <c r="AC3110" s="4">
        <v>3</v>
      </c>
      <c r="AD3110" s="4">
        <v>86</v>
      </c>
      <c r="AE3110" s="4">
        <v>86</v>
      </c>
      <c r="AF3110" s="4">
        <v>0</v>
      </c>
      <c r="AG3110" s="4">
        <v>0</v>
      </c>
      <c r="AH3110" s="4">
        <v>81</v>
      </c>
      <c r="AI3110" s="4">
        <v>81</v>
      </c>
      <c r="AJ3110" s="4">
        <v>10</v>
      </c>
      <c r="AK3110" s="4">
        <v>10</v>
      </c>
      <c r="AL3110" s="4">
        <v>44</v>
      </c>
      <c r="AM3110" s="4">
        <v>44</v>
      </c>
      <c r="AN3110" s="4">
        <v>0</v>
      </c>
      <c r="AO3110" s="4">
        <v>0</v>
      </c>
      <c r="AP3110" s="4">
        <v>11</v>
      </c>
      <c r="AQ3110" s="4">
        <v>11</v>
      </c>
      <c r="AR3110" s="3" t="s">
        <v>62</v>
      </c>
      <c r="AS3110" s="3" t="s">
        <v>62</v>
      </c>
      <c r="AT3110" s="3" t="s">
        <v>61</v>
      </c>
      <c r="AU3110" s="6" t="str">
        <f>HYPERLINK("http://catalog.hathitrust.org/Record/004083197","HathiTrust Record")</f>
        <v>HathiTrust Record</v>
      </c>
      <c r="AV3110" s="6" t="str">
        <f>HYPERLINK("http://mcgill.on.worldcat.org/oclc/40752943","Catalog Record")</f>
        <v>Catalog Record</v>
      </c>
      <c r="AW3110" s="6" t="str">
        <f>HYPERLINK("http://www.worldcat.org/oclc/40752943","WorldCat Record")</f>
        <v>WorldCat Record</v>
      </c>
      <c r="AX3110" s="3" t="s">
        <v>30489</v>
      </c>
      <c r="AY3110" s="3" t="s">
        <v>30490</v>
      </c>
      <c r="AZ3110" s="3" t="s">
        <v>30491</v>
      </c>
      <c r="BA3110" s="3" t="s">
        <v>30491</v>
      </c>
      <c r="BB3110" s="3" t="s">
        <v>30492</v>
      </c>
      <c r="BC3110" s="3" t="s">
        <v>142</v>
      </c>
      <c r="BD3110" s="3" t="s">
        <v>68</v>
      </c>
      <c r="BE3110" s="3" t="s">
        <v>30493</v>
      </c>
      <c r="BF3110" s="3" t="s">
        <v>30492</v>
      </c>
      <c r="BG3110" s="3" t="s">
        <v>30494</v>
      </c>
    </row>
    <row r="3111" spans="1:59" ht="57" x14ac:dyDescent="0.45">
      <c r="A3111" s="2" t="s">
        <v>59</v>
      </c>
      <c r="B3111" s="2" t="s">
        <v>60</v>
      </c>
      <c r="C3111" s="2" t="s">
        <v>30495</v>
      </c>
      <c r="D3111" s="2" t="s">
        <v>30496</v>
      </c>
      <c r="E3111" s="2" t="s">
        <v>30497</v>
      </c>
      <c r="G3111" s="3" t="s">
        <v>62</v>
      </c>
      <c r="I3111" s="3" t="s">
        <v>61</v>
      </c>
      <c r="J3111" s="3" t="s">
        <v>62</v>
      </c>
      <c r="K3111" s="3" t="s">
        <v>63</v>
      </c>
      <c r="M3111" s="2" t="s">
        <v>30498</v>
      </c>
      <c r="N3111" s="3" t="s">
        <v>480</v>
      </c>
      <c r="P3111" s="3" t="s">
        <v>65</v>
      </c>
      <c r="R3111" s="3" t="s">
        <v>66</v>
      </c>
      <c r="S3111" s="4">
        <v>8</v>
      </c>
      <c r="T3111" s="4">
        <v>20</v>
      </c>
      <c r="U3111" s="5" t="s">
        <v>30488</v>
      </c>
      <c r="V3111" s="5" t="s">
        <v>30488</v>
      </c>
      <c r="W3111" s="5" t="s">
        <v>67</v>
      </c>
      <c r="X3111" s="5" t="s">
        <v>67</v>
      </c>
      <c r="Y3111" s="4">
        <v>517</v>
      </c>
      <c r="Z3111" s="4">
        <v>29</v>
      </c>
      <c r="AA3111" s="4">
        <v>33</v>
      </c>
      <c r="AB3111" s="4">
        <v>2</v>
      </c>
      <c r="AC3111" s="4">
        <v>6</v>
      </c>
      <c r="AD3111" s="4">
        <v>113</v>
      </c>
      <c r="AE3111" s="4">
        <v>116</v>
      </c>
      <c r="AF3111" s="4">
        <v>1</v>
      </c>
      <c r="AG3111" s="4">
        <v>4</v>
      </c>
      <c r="AH3111" s="4">
        <v>98</v>
      </c>
      <c r="AI3111" s="4">
        <v>98</v>
      </c>
      <c r="AJ3111" s="4">
        <v>17</v>
      </c>
      <c r="AK3111" s="4">
        <v>19</v>
      </c>
      <c r="AL3111" s="4">
        <v>54</v>
      </c>
      <c r="AM3111" s="4">
        <v>54</v>
      </c>
      <c r="AN3111" s="4">
        <v>0</v>
      </c>
      <c r="AO3111" s="4">
        <v>0</v>
      </c>
      <c r="AP3111" s="4">
        <v>20</v>
      </c>
      <c r="AQ3111" s="4">
        <v>22</v>
      </c>
      <c r="AR3111" s="3" t="s">
        <v>62</v>
      </c>
      <c r="AS3111" s="3" t="s">
        <v>62</v>
      </c>
      <c r="AT3111" s="3" t="s">
        <v>61</v>
      </c>
      <c r="AU3111" s="6" t="str">
        <f>HYPERLINK("http://catalog.hathitrust.org/Record/000687243","HathiTrust Record")</f>
        <v>HathiTrust Record</v>
      </c>
      <c r="AV3111" s="6" t="str">
        <f>HYPERLINK("http://mcgill.on.worldcat.org/oclc/5286145","Catalog Record")</f>
        <v>Catalog Record</v>
      </c>
      <c r="AW3111" s="6" t="str">
        <f>HYPERLINK("http://www.worldcat.org/oclc/5286145","WorldCat Record")</f>
        <v>WorldCat Record</v>
      </c>
      <c r="AX3111" s="3" t="s">
        <v>30499</v>
      </c>
      <c r="AY3111" s="3" t="s">
        <v>30500</v>
      </c>
      <c r="AZ3111" s="3" t="s">
        <v>30501</v>
      </c>
      <c r="BA3111" s="3" t="s">
        <v>30501</v>
      </c>
      <c r="BB3111" s="3" t="s">
        <v>30502</v>
      </c>
      <c r="BC3111" s="3" t="s">
        <v>142</v>
      </c>
      <c r="BD3111" s="3" t="s">
        <v>68</v>
      </c>
      <c r="BE3111" s="3" t="s">
        <v>30503</v>
      </c>
      <c r="BF3111" s="3" t="s">
        <v>30502</v>
      </c>
      <c r="BG3111" s="3" t="s">
        <v>30504</v>
      </c>
    </row>
    <row r="3112" spans="1:59" ht="57" x14ac:dyDescent="0.45">
      <c r="A3112" s="2" t="s">
        <v>59</v>
      </c>
      <c r="B3112" s="2" t="s">
        <v>60</v>
      </c>
      <c r="C3112" s="2" t="s">
        <v>30495</v>
      </c>
      <c r="D3112" s="2" t="s">
        <v>30496</v>
      </c>
      <c r="E3112" s="2" t="s">
        <v>30497</v>
      </c>
      <c r="G3112" s="3" t="s">
        <v>62</v>
      </c>
      <c r="I3112" s="3" t="s">
        <v>61</v>
      </c>
      <c r="J3112" s="3" t="s">
        <v>62</v>
      </c>
      <c r="K3112" s="3" t="s">
        <v>63</v>
      </c>
      <c r="M3112" s="2" t="s">
        <v>30498</v>
      </c>
      <c r="N3112" s="3" t="s">
        <v>480</v>
      </c>
      <c r="P3112" s="3" t="s">
        <v>65</v>
      </c>
      <c r="R3112" s="3" t="s">
        <v>66</v>
      </c>
      <c r="S3112" s="4">
        <v>12</v>
      </c>
      <c r="T3112" s="4">
        <v>20</v>
      </c>
      <c r="U3112" s="5" t="s">
        <v>30505</v>
      </c>
      <c r="V3112" s="5" t="s">
        <v>30488</v>
      </c>
      <c r="W3112" s="5" t="s">
        <v>67</v>
      </c>
      <c r="X3112" s="5" t="s">
        <v>67</v>
      </c>
      <c r="Y3112" s="4">
        <v>517</v>
      </c>
      <c r="Z3112" s="4">
        <v>29</v>
      </c>
      <c r="AA3112" s="4">
        <v>33</v>
      </c>
      <c r="AB3112" s="4">
        <v>2</v>
      </c>
      <c r="AC3112" s="4">
        <v>6</v>
      </c>
      <c r="AD3112" s="4">
        <v>113</v>
      </c>
      <c r="AE3112" s="4">
        <v>116</v>
      </c>
      <c r="AF3112" s="4">
        <v>1</v>
      </c>
      <c r="AG3112" s="4">
        <v>4</v>
      </c>
      <c r="AH3112" s="4">
        <v>98</v>
      </c>
      <c r="AI3112" s="4">
        <v>98</v>
      </c>
      <c r="AJ3112" s="4">
        <v>17</v>
      </c>
      <c r="AK3112" s="4">
        <v>19</v>
      </c>
      <c r="AL3112" s="4">
        <v>54</v>
      </c>
      <c r="AM3112" s="4">
        <v>54</v>
      </c>
      <c r="AN3112" s="4">
        <v>0</v>
      </c>
      <c r="AO3112" s="4">
        <v>0</v>
      </c>
      <c r="AP3112" s="4">
        <v>20</v>
      </c>
      <c r="AQ3112" s="4">
        <v>22</v>
      </c>
      <c r="AR3112" s="3" t="s">
        <v>62</v>
      </c>
      <c r="AS3112" s="3" t="s">
        <v>62</v>
      </c>
      <c r="AT3112" s="3" t="s">
        <v>61</v>
      </c>
      <c r="AU3112" s="6" t="str">
        <f>HYPERLINK("http://catalog.hathitrust.org/Record/000687243","HathiTrust Record")</f>
        <v>HathiTrust Record</v>
      </c>
      <c r="AV3112" s="6" t="str">
        <f>HYPERLINK("http://mcgill.on.worldcat.org/oclc/5286145","Catalog Record")</f>
        <v>Catalog Record</v>
      </c>
      <c r="AW3112" s="6" t="str">
        <f>HYPERLINK("http://www.worldcat.org/oclc/5286145","WorldCat Record")</f>
        <v>WorldCat Record</v>
      </c>
      <c r="AX3112" s="3" t="s">
        <v>30499</v>
      </c>
      <c r="AY3112" s="3" t="s">
        <v>30500</v>
      </c>
      <c r="AZ3112" s="3" t="s">
        <v>30501</v>
      </c>
      <c r="BA3112" s="3" t="s">
        <v>30501</v>
      </c>
      <c r="BB3112" s="3" t="s">
        <v>30506</v>
      </c>
      <c r="BC3112" s="3" t="s">
        <v>142</v>
      </c>
      <c r="BD3112" s="3" t="s">
        <v>68</v>
      </c>
      <c r="BE3112" s="3" t="s">
        <v>30503</v>
      </c>
      <c r="BF3112" s="3" t="s">
        <v>30506</v>
      </c>
      <c r="BG3112" s="3" t="s">
        <v>30507</v>
      </c>
    </row>
    <row r="3113" spans="1:59" ht="57" x14ac:dyDescent="0.45">
      <c r="A3113" s="2" t="s">
        <v>59</v>
      </c>
      <c r="B3113" s="2" t="s">
        <v>60</v>
      </c>
      <c r="C3113" s="2" t="s">
        <v>30508</v>
      </c>
      <c r="D3113" s="2" t="s">
        <v>30509</v>
      </c>
      <c r="E3113" s="2" t="s">
        <v>30510</v>
      </c>
      <c r="G3113" s="3" t="s">
        <v>62</v>
      </c>
      <c r="I3113" s="3" t="s">
        <v>62</v>
      </c>
      <c r="J3113" s="3" t="s">
        <v>62</v>
      </c>
      <c r="K3113" s="3" t="s">
        <v>63</v>
      </c>
      <c r="L3113" s="2" t="s">
        <v>30511</v>
      </c>
      <c r="M3113" s="2" t="s">
        <v>4862</v>
      </c>
      <c r="N3113" s="3" t="s">
        <v>1465</v>
      </c>
      <c r="P3113" s="3" t="s">
        <v>65</v>
      </c>
      <c r="R3113" s="3" t="s">
        <v>66</v>
      </c>
      <c r="S3113" s="4">
        <v>7</v>
      </c>
      <c r="T3113" s="4">
        <v>7</v>
      </c>
      <c r="U3113" s="5" t="s">
        <v>111</v>
      </c>
      <c r="V3113" s="5" t="s">
        <v>111</v>
      </c>
      <c r="W3113" s="5" t="s">
        <v>67</v>
      </c>
      <c r="X3113" s="5" t="s">
        <v>67</v>
      </c>
      <c r="Y3113" s="4">
        <v>184</v>
      </c>
      <c r="Z3113" s="4">
        <v>19</v>
      </c>
      <c r="AA3113" s="4">
        <v>94</v>
      </c>
      <c r="AB3113" s="4">
        <v>3</v>
      </c>
      <c r="AC3113" s="4">
        <v>18</v>
      </c>
      <c r="AD3113" s="4">
        <v>71</v>
      </c>
      <c r="AE3113" s="4">
        <v>133</v>
      </c>
      <c r="AF3113" s="4">
        <v>1</v>
      </c>
      <c r="AG3113" s="4">
        <v>8</v>
      </c>
      <c r="AH3113" s="4">
        <v>61</v>
      </c>
      <c r="AI3113" s="4">
        <v>89</v>
      </c>
      <c r="AJ3113" s="4">
        <v>13</v>
      </c>
      <c r="AK3113" s="4">
        <v>26</v>
      </c>
      <c r="AL3113" s="4">
        <v>41</v>
      </c>
      <c r="AM3113" s="4">
        <v>51</v>
      </c>
      <c r="AN3113" s="4">
        <v>0</v>
      </c>
      <c r="AO3113" s="4">
        <v>0</v>
      </c>
      <c r="AP3113" s="4">
        <v>16</v>
      </c>
      <c r="AQ3113" s="4">
        <v>52</v>
      </c>
      <c r="AR3113" s="3" t="s">
        <v>62</v>
      </c>
      <c r="AS3113" s="3" t="s">
        <v>62</v>
      </c>
      <c r="AT3113" s="3" t="s">
        <v>62</v>
      </c>
      <c r="AV3113" s="6" t="str">
        <f>HYPERLINK("http://mcgill.on.worldcat.org/oclc/318872002","Catalog Record")</f>
        <v>Catalog Record</v>
      </c>
      <c r="AW3113" s="6" t="str">
        <f>HYPERLINK("http://www.worldcat.org/oclc/318872002","WorldCat Record")</f>
        <v>WorldCat Record</v>
      </c>
      <c r="AX3113" s="3" t="s">
        <v>30512</v>
      </c>
      <c r="AY3113" s="3" t="s">
        <v>30513</v>
      </c>
      <c r="AZ3113" s="3" t="s">
        <v>30514</v>
      </c>
      <c r="BA3113" s="3" t="s">
        <v>30514</v>
      </c>
      <c r="BB3113" s="3" t="s">
        <v>30515</v>
      </c>
      <c r="BC3113" s="3" t="s">
        <v>142</v>
      </c>
      <c r="BD3113" s="3" t="s">
        <v>68</v>
      </c>
      <c r="BE3113" s="3" t="s">
        <v>30516</v>
      </c>
      <c r="BF3113" s="3" t="s">
        <v>30515</v>
      </c>
      <c r="BG3113" s="3" t="s">
        <v>30517</v>
      </c>
    </row>
    <row r="3114" spans="1:59" ht="57" x14ac:dyDescent="0.45">
      <c r="A3114" s="2" t="s">
        <v>59</v>
      </c>
      <c r="B3114" s="2" t="s">
        <v>60</v>
      </c>
      <c r="C3114" s="2" t="s">
        <v>30518</v>
      </c>
      <c r="D3114" s="2" t="s">
        <v>30519</v>
      </c>
      <c r="E3114" s="2" t="s">
        <v>30520</v>
      </c>
      <c r="G3114" s="3" t="s">
        <v>62</v>
      </c>
      <c r="I3114" s="3" t="s">
        <v>62</v>
      </c>
      <c r="J3114" s="3" t="s">
        <v>62</v>
      </c>
      <c r="K3114" s="3" t="s">
        <v>63</v>
      </c>
      <c r="L3114" s="2" t="s">
        <v>30521</v>
      </c>
      <c r="M3114" s="2" t="s">
        <v>30522</v>
      </c>
      <c r="N3114" s="3" t="s">
        <v>84</v>
      </c>
      <c r="P3114" s="3" t="s">
        <v>110</v>
      </c>
      <c r="Q3114" s="2" t="s">
        <v>30523</v>
      </c>
      <c r="R3114" s="3" t="s">
        <v>66</v>
      </c>
      <c r="S3114" s="4">
        <v>15</v>
      </c>
      <c r="T3114" s="4">
        <v>15</v>
      </c>
      <c r="U3114" s="5" t="s">
        <v>30524</v>
      </c>
      <c r="V3114" s="5" t="s">
        <v>30524</v>
      </c>
      <c r="W3114" s="5" t="s">
        <v>67</v>
      </c>
      <c r="X3114" s="5" t="s">
        <v>67</v>
      </c>
      <c r="Y3114" s="4">
        <v>152</v>
      </c>
      <c r="Z3114" s="4">
        <v>6</v>
      </c>
      <c r="AA3114" s="4">
        <v>15</v>
      </c>
      <c r="AB3114" s="4">
        <v>1</v>
      </c>
      <c r="AC3114" s="4">
        <v>3</v>
      </c>
      <c r="AD3114" s="4">
        <v>45</v>
      </c>
      <c r="AE3114" s="4">
        <v>55</v>
      </c>
      <c r="AF3114" s="4">
        <v>0</v>
      </c>
      <c r="AG3114" s="4">
        <v>2</v>
      </c>
      <c r="AH3114" s="4">
        <v>43</v>
      </c>
      <c r="AI3114" s="4">
        <v>52</v>
      </c>
      <c r="AJ3114" s="4">
        <v>5</v>
      </c>
      <c r="AK3114" s="4">
        <v>11</v>
      </c>
      <c r="AL3114" s="4">
        <v>28</v>
      </c>
      <c r="AM3114" s="4">
        <v>32</v>
      </c>
      <c r="AN3114" s="4">
        <v>1</v>
      </c>
      <c r="AO3114" s="4">
        <v>1</v>
      </c>
      <c r="AP3114" s="4">
        <v>5</v>
      </c>
      <c r="AQ3114" s="4">
        <v>10</v>
      </c>
      <c r="AR3114" s="3" t="s">
        <v>62</v>
      </c>
      <c r="AS3114" s="3" t="s">
        <v>62</v>
      </c>
      <c r="AT3114" s="3" t="s">
        <v>61</v>
      </c>
      <c r="AU3114" s="6" t="str">
        <f>HYPERLINK("http://catalog.hathitrust.org/Record/002911749","HathiTrust Record")</f>
        <v>HathiTrust Record</v>
      </c>
      <c r="AV3114" s="6" t="str">
        <f>HYPERLINK("http://mcgill.on.worldcat.org/oclc/32704678","Catalog Record")</f>
        <v>Catalog Record</v>
      </c>
      <c r="AW3114" s="6" t="str">
        <f>HYPERLINK("http://www.worldcat.org/oclc/32704678","WorldCat Record")</f>
        <v>WorldCat Record</v>
      </c>
      <c r="AX3114" s="3" t="s">
        <v>30525</v>
      </c>
      <c r="AY3114" s="3" t="s">
        <v>30526</v>
      </c>
      <c r="AZ3114" s="3" t="s">
        <v>30527</v>
      </c>
      <c r="BA3114" s="3" t="s">
        <v>30527</v>
      </c>
      <c r="BB3114" s="3" t="s">
        <v>30528</v>
      </c>
      <c r="BC3114" s="3" t="s">
        <v>142</v>
      </c>
      <c r="BD3114" s="3" t="s">
        <v>68</v>
      </c>
      <c r="BE3114" s="3" t="s">
        <v>30529</v>
      </c>
      <c r="BF3114" s="3" t="s">
        <v>30528</v>
      </c>
      <c r="BG3114" s="3" t="s">
        <v>30530</v>
      </c>
    </row>
    <row r="3115" spans="1:59" ht="57" x14ac:dyDescent="0.45">
      <c r="A3115" s="2" t="s">
        <v>59</v>
      </c>
      <c r="B3115" s="2" t="s">
        <v>60</v>
      </c>
      <c r="C3115" s="2" t="s">
        <v>30531</v>
      </c>
      <c r="D3115" s="2" t="s">
        <v>30532</v>
      </c>
      <c r="E3115" s="2" t="s">
        <v>30533</v>
      </c>
      <c r="G3115" s="3" t="s">
        <v>62</v>
      </c>
      <c r="I3115" s="3" t="s">
        <v>62</v>
      </c>
      <c r="J3115" s="3" t="s">
        <v>62</v>
      </c>
      <c r="K3115" s="3" t="s">
        <v>63</v>
      </c>
      <c r="M3115" s="2" t="s">
        <v>30534</v>
      </c>
      <c r="N3115" s="3" t="s">
        <v>894</v>
      </c>
      <c r="P3115" s="3" t="s">
        <v>65</v>
      </c>
      <c r="Q3115" s="2" t="s">
        <v>30535</v>
      </c>
      <c r="R3115" s="3" t="s">
        <v>66</v>
      </c>
      <c r="S3115" s="4">
        <v>0</v>
      </c>
      <c r="T3115" s="4">
        <v>0</v>
      </c>
      <c r="W3115" s="5" t="s">
        <v>67</v>
      </c>
      <c r="X3115" s="5" t="s">
        <v>67</v>
      </c>
      <c r="Y3115" s="4">
        <v>51</v>
      </c>
      <c r="Z3115" s="4">
        <v>8</v>
      </c>
      <c r="AA3115" s="4">
        <v>40</v>
      </c>
      <c r="AB3115" s="4">
        <v>1</v>
      </c>
      <c r="AC3115" s="4">
        <v>7</v>
      </c>
      <c r="AD3115" s="4">
        <v>29</v>
      </c>
      <c r="AE3115" s="4">
        <v>44</v>
      </c>
      <c r="AF3115" s="4">
        <v>0</v>
      </c>
      <c r="AG3115" s="4">
        <v>1</v>
      </c>
      <c r="AH3115" s="4">
        <v>26</v>
      </c>
      <c r="AI3115" s="4">
        <v>32</v>
      </c>
      <c r="AJ3115" s="4">
        <v>4</v>
      </c>
      <c r="AK3115" s="4">
        <v>6</v>
      </c>
      <c r="AL3115" s="4">
        <v>16</v>
      </c>
      <c r="AM3115" s="4">
        <v>20</v>
      </c>
      <c r="AN3115" s="4">
        <v>0</v>
      </c>
      <c r="AO3115" s="4">
        <v>0</v>
      </c>
      <c r="AP3115" s="4">
        <v>6</v>
      </c>
      <c r="AQ3115" s="4">
        <v>14</v>
      </c>
      <c r="AR3115" s="3" t="s">
        <v>62</v>
      </c>
      <c r="AS3115" s="3" t="s">
        <v>62</v>
      </c>
      <c r="AT3115" s="3" t="s">
        <v>62</v>
      </c>
      <c r="AV3115" s="6" t="str">
        <f>HYPERLINK("http://mcgill.on.worldcat.org/oclc/708243840","Catalog Record")</f>
        <v>Catalog Record</v>
      </c>
      <c r="AW3115" s="6" t="str">
        <f>HYPERLINK("http://www.worldcat.org/oclc/708243840","WorldCat Record")</f>
        <v>WorldCat Record</v>
      </c>
      <c r="AX3115" s="3" t="s">
        <v>30536</v>
      </c>
      <c r="AY3115" s="3" t="s">
        <v>30537</v>
      </c>
      <c r="AZ3115" s="3" t="s">
        <v>30538</v>
      </c>
      <c r="BA3115" s="3" t="s">
        <v>30538</v>
      </c>
      <c r="BB3115" s="3" t="s">
        <v>30539</v>
      </c>
      <c r="BC3115" s="3" t="s">
        <v>142</v>
      </c>
      <c r="BD3115" s="3" t="s">
        <v>68</v>
      </c>
      <c r="BE3115" s="3" t="s">
        <v>30540</v>
      </c>
      <c r="BF3115" s="3" t="s">
        <v>30539</v>
      </c>
      <c r="BG3115" s="3" t="s">
        <v>30541</v>
      </c>
    </row>
    <row r="3116" spans="1:59" ht="57" x14ac:dyDescent="0.45">
      <c r="A3116" s="2" t="s">
        <v>59</v>
      </c>
      <c r="B3116" s="2" t="s">
        <v>60</v>
      </c>
      <c r="C3116" s="2" t="s">
        <v>30542</v>
      </c>
      <c r="D3116" s="2" t="s">
        <v>30543</v>
      </c>
      <c r="E3116" s="2" t="s">
        <v>30544</v>
      </c>
      <c r="G3116" s="3" t="s">
        <v>62</v>
      </c>
      <c r="I3116" s="3" t="s">
        <v>61</v>
      </c>
      <c r="J3116" s="3" t="s">
        <v>62</v>
      </c>
      <c r="K3116" s="3" t="s">
        <v>63</v>
      </c>
      <c r="L3116" s="2" t="s">
        <v>30545</v>
      </c>
      <c r="M3116" s="2" t="s">
        <v>30546</v>
      </c>
      <c r="N3116" s="3" t="s">
        <v>122</v>
      </c>
      <c r="P3116" s="3" t="s">
        <v>65</v>
      </c>
      <c r="Q3116" s="2" t="s">
        <v>30547</v>
      </c>
      <c r="R3116" s="3" t="s">
        <v>66</v>
      </c>
      <c r="S3116" s="4">
        <v>5</v>
      </c>
      <c r="T3116" s="4">
        <v>8</v>
      </c>
      <c r="U3116" s="5" t="s">
        <v>12639</v>
      </c>
      <c r="V3116" s="5" t="s">
        <v>12639</v>
      </c>
      <c r="W3116" s="5" t="s">
        <v>13158</v>
      </c>
      <c r="X3116" s="5" t="s">
        <v>13158</v>
      </c>
      <c r="Y3116" s="4">
        <v>271</v>
      </c>
      <c r="Z3116" s="4">
        <v>24</v>
      </c>
      <c r="AA3116" s="4">
        <v>27</v>
      </c>
      <c r="AB3116" s="4">
        <v>1</v>
      </c>
      <c r="AC3116" s="4">
        <v>3</v>
      </c>
      <c r="AD3116" s="4">
        <v>107</v>
      </c>
      <c r="AE3116" s="4">
        <v>110</v>
      </c>
      <c r="AF3116" s="4">
        <v>0</v>
      </c>
      <c r="AG3116" s="4">
        <v>2</v>
      </c>
      <c r="AH3116" s="4">
        <v>94</v>
      </c>
      <c r="AI3116" s="4">
        <v>96</v>
      </c>
      <c r="AJ3116" s="4">
        <v>18</v>
      </c>
      <c r="AK3116" s="4">
        <v>20</v>
      </c>
      <c r="AL3116" s="4">
        <v>56</v>
      </c>
      <c r="AM3116" s="4">
        <v>56</v>
      </c>
      <c r="AN3116" s="4">
        <v>5</v>
      </c>
      <c r="AO3116" s="4">
        <v>5</v>
      </c>
      <c r="AP3116" s="4">
        <v>22</v>
      </c>
      <c r="AQ3116" s="4">
        <v>23</v>
      </c>
      <c r="AR3116" s="3" t="s">
        <v>62</v>
      </c>
      <c r="AS3116" s="3" t="s">
        <v>62</v>
      </c>
      <c r="AT3116" s="3" t="s">
        <v>61</v>
      </c>
      <c r="AU3116" s="6" t="str">
        <f>HYPERLINK("http://catalog.hathitrust.org/Record/000747821","HathiTrust Record")</f>
        <v>HathiTrust Record</v>
      </c>
      <c r="AV3116" s="6" t="str">
        <f>HYPERLINK("http://mcgill.on.worldcat.org/oclc/3293329","Catalog Record")</f>
        <v>Catalog Record</v>
      </c>
      <c r="AW3116" s="6" t="str">
        <f>HYPERLINK("http://www.worldcat.org/oclc/3293329","WorldCat Record")</f>
        <v>WorldCat Record</v>
      </c>
      <c r="AX3116" s="3" t="s">
        <v>30548</v>
      </c>
      <c r="AY3116" s="3" t="s">
        <v>30549</v>
      </c>
      <c r="AZ3116" s="3" t="s">
        <v>30550</v>
      </c>
      <c r="BA3116" s="3" t="s">
        <v>30550</v>
      </c>
      <c r="BB3116" s="3" t="s">
        <v>30551</v>
      </c>
      <c r="BC3116" s="3" t="s">
        <v>142</v>
      </c>
      <c r="BD3116" s="3" t="s">
        <v>68</v>
      </c>
      <c r="BE3116" s="3" t="s">
        <v>30552</v>
      </c>
      <c r="BF3116" s="3" t="s">
        <v>30551</v>
      </c>
      <c r="BG3116" s="3" t="s">
        <v>30553</v>
      </c>
    </row>
    <row r="3117" spans="1:59" ht="57" x14ac:dyDescent="0.45">
      <c r="A3117" s="2" t="s">
        <v>59</v>
      </c>
      <c r="B3117" s="2" t="s">
        <v>60</v>
      </c>
      <c r="C3117" s="2" t="s">
        <v>30554</v>
      </c>
      <c r="D3117" s="2" t="s">
        <v>30555</v>
      </c>
      <c r="E3117" s="2" t="s">
        <v>30556</v>
      </c>
      <c r="G3117" s="3" t="s">
        <v>62</v>
      </c>
      <c r="I3117" s="3" t="s">
        <v>62</v>
      </c>
      <c r="J3117" s="3" t="s">
        <v>62</v>
      </c>
      <c r="K3117" s="3" t="s">
        <v>63</v>
      </c>
      <c r="L3117" s="2" t="s">
        <v>30557</v>
      </c>
      <c r="M3117" s="2" t="s">
        <v>30558</v>
      </c>
      <c r="N3117" s="3" t="s">
        <v>1604</v>
      </c>
      <c r="P3117" s="3" t="s">
        <v>65</v>
      </c>
      <c r="Q3117" s="2" t="s">
        <v>10788</v>
      </c>
      <c r="R3117" s="3" t="s">
        <v>66</v>
      </c>
      <c r="S3117" s="4">
        <v>7</v>
      </c>
      <c r="T3117" s="4">
        <v>7</v>
      </c>
      <c r="U3117" s="5" t="s">
        <v>12318</v>
      </c>
      <c r="V3117" s="5" t="s">
        <v>12318</v>
      </c>
      <c r="W3117" s="5" t="s">
        <v>67</v>
      </c>
      <c r="X3117" s="5" t="s">
        <v>67</v>
      </c>
      <c r="Y3117" s="4">
        <v>187</v>
      </c>
      <c r="Z3117" s="4">
        <v>14</v>
      </c>
      <c r="AA3117" s="4">
        <v>61</v>
      </c>
      <c r="AB3117" s="4">
        <v>1</v>
      </c>
      <c r="AC3117" s="4">
        <v>17</v>
      </c>
      <c r="AD3117" s="4">
        <v>78</v>
      </c>
      <c r="AE3117" s="4">
        <v>119</v>
      </c>
      <c r="AF3117" s="4">
        <v>0</v>
      </c>
      <c r="AG3117" s="4">
        <v>8</v>
      </c>
      <c r="AH3117" s="4">
        <v>72</v>
      </c>
      <c r="AI3117" s="4">
        <v>81</v>
      </c>
      <c r="AJ3117" s="4">
        <v>11</v>
      </c>
      <c r="AK3117" s="4">
        <v>25</v>
      </c>
      <c r="AL3117" s="4">
        <v>47</v>
      </c>
      <c r="AM3117" s="4">
        <v>47</v>
      </c>
      <c r="AN3117" s="4">
        <v>0</v>
      </c>
      <c r="AO3117" s="4">
        <v>0</v>
      </c>
      <c r="AP3117" s="4">
        <v>12</v>
      </c>
      <c r="AQ3117" s="4">
        <v>48</v>
      </c>
      <c r="AR3117" s="3" t="s">
        <v>62</v>
      </c>
      <c r="AS3117" s="3" t="s">
        <v>62</v>
      </c>
      <c r="AT3117" s="3" t="s">
        <v>62</v>
      </c>
      <c r="AV3117" s="6" t="str">
        <f>HYPERLINK("http://mcgill.on.worldcat.org/oclc/27681736","Catalog Record")</f>
        <v>Catalog Record</v>
      </c>
      <c r="AW3117" s="6" t="str">
        <f>HYPERLINK("http://www.worldcat.org/oclc/27681736","WorldCat Record")</f>
        <v>WorldCat Record</v>
      </c>
      <c r="AX3117" s="3" t="s">
        <v>30559</v>
      </c>
      <c r="AY3117" s="3" t="s">
        <v>30560</v>
      </c>
      <c r="AZ3117" s="3" t="s">
        <v>30561</v>
      </c>
      <c r="BA3117" s="3" t="s">
        <v>30561</v>
      </c>
      <c r="BB3117" s="3" t="s">
        <v>30562</v>
      </c>
      <c r="BC3117" s="3" t="s">
        <v>142</v>
      </c>
      <c r="BD3117" s="3" t="s">
        <v>68</v>
      </c>
      <c r="BE3117" s="3" t="s">
        <v>30563</v>
      </c>
      <c r="BF3117" s="3" t="s">
        <v>30562</v>
      </c>
      <c r="BG3117" s="3" t="s">
        <v>30564</v>
      </c>
    </row>
    <row r="3118" spans="1:59" ht="57" x14ac:dyDescent="0.45">
      <c r="A3118" s="2" t="s">
        <v>59</v>
      </c>
      <c r="B3118" s="2" t="s">
        <v>60</v>
      </c>
      <c r="C3118" s="2" t="s">
        <v>30565</v>
      </c>
      <c r="D3118" s="2" t="s">
        <v>30566</v>
      </c>
      <c r="E3118" s="2" t="s">
        <v>30567</v>
      </c>
      <c r="G3118" s="3" t="s">
        <v>62</v>
      </c>
      <c r="I3118" s="3" t="s">
        <v>62</v>
      </c>
      <c r="J3118" s="3" t="s">
        <v>62</v>
      </c>
      <c r="K3118" s="3" t="s">
        <v>63</v>
      </c>
      <c r="L3118" s="2" t="s">
        <v>30568</v>
      </c>
      <c r="M3118" s="2" t="s">
        <v>30569</v>
      </c>
      <c r="N3118" s="3" t="s">
        <v>793</v>
      </c>
      <c r="P3118" s="3" t="s">
        <v>65</v>
      </c>
      <c r="Q3118" s="2" t="s">
        <v>30570</v>
      </c>
      <c r="R3118" s="3" t="s">
        <v>66</v>
      </c>
      <c r="S3118" s="4">
        <v>9</v>
      </c>
      <c r="T3118" s="4">
        <v>9</v>
      </c>
      <c r="U3118" s="5" t="s">
        <v>30571</v>
      </c>
      <c r="V3118" s="5" t="s">
        <v>30571</v>
      </c>
      <c r="W3118" s="5" t="s">
        <v>67</v>
      </c>
      <c r="X3118" s="5" t="s">
        <v>67</v>
      </c>
      <c r="Y3118" s="4">
        <v>195</v>
      </c>
      <c r="Z3118" s="4">
        <v>22</v>
      </c>
      <c r="AA3118" s="4">
        <v>26</v>
      </c>
      <c r="AB3118" s="4">
        <v>1</v>
      </c>
      <c r="AC3118" s="4">
        <v>4</v>
      </c>
      <c r="AD3118" s="4">
        <v>68</v>
      </c>
      <c r="AE3118" s="4">
        <v>74</v>
      </c>
      <c r="AF3118" s="4">
        <v>0</v>
      </c>
      <c r="AG3118" s="4">
        <v>3</v>
      </c>
      <c r="AH3118" s="4">
        <v>58</v>
      </c>
      <c r="AI3118" s="4">
        <v>61</v>
      </c>
      <c r="AJ3118" s="4">
        <v>15</v>
      </c>
      <c r="AK3118" s="4">
        <v>19</v>
      </c>
      <c r="AL3118" s="4">
        <v>33</v>
      </c>
      <c r="AM3118" s="4">
        <v>35</v>
      </c>
      <c r="AN3118" s="4">
        <v>0</v>
      </c>
      <c r="AO3118" s="4">
        <v>0</v>
      </c>
      <c r="AP3118" s="4">
        <v>17</v>
      </c>
      <c r="AQ3118" s="4">
        <v>20</v>
      </c>
      <c r="AR3118" s="3" t="s">
        <v>62</v>
      </c>
      <c r="AS3118" s="3" t="s">
        <v>62</v>
      </c>
      <c r="AT3118" s="3" t="s">
        <v>61</v>
      </c>
      <c r="AU3118" s="6" t="str">
        <f>HYPERLINK("http://catalog.hathitrust.org/Record/001054689","HathiTrust Record")</f>
        <v>HathiTrust Record</v>
      </c>
      <c r="AV3118" s="6" t="str">
        <f>HYPERLINK("http://mcgill.on.worldcat.org/oclc/3187605","Catalog Record")</f>
        <v>Catalog Record</v>
      </c>
      <c r="AW3118" s="6" t="str">
        <f>HYPERLINK("http://www.worldcat.org/oclc/3187605","WorldCat Record")</f>
        <v>WorldCat Record</v>
      </c>
      <c r="AX3118" s="3" t="s">
        <v>30572</v>
      </c>
      <c r="AY3118" s="3" t="s">
        <v>30573</v>
      </c>
      <c r="AZ3118" s="3" t="s">
        <v>30574</v>
      </c>
      <c r="BA3118" s="3" t="s">
        <v>30574</v>
      </c>
      <c r="BB3118" s="3" t="s">
        <v>30575</v>
      </c>
      <c r="BC3118" s="3" t="s">
        <v>142</v>
      </c>
      <c r="BD3118" s="3" t="s">
        <v>68</v>
      </c>
      <c r="BE3118" s="3" t="s">
        <v>30576</v>
      </c>
      <c r="BF3118" s="3" t="s">
        <v>30575</v>
      </c>
      <c r="BG3118" s="3" t="s">
        <v>30577</v>
      </c>
    </row>
    <row r="3119" spans="1:59" ht="57" x14ac:dyDescent="0.45">
      <c r="A3119" s="2" t="s">
        <v>59</v>
      </c>
      <c r="B3119" s="2" t="s">
        <v>60</v>
      </c>
      <c r="C3119" s="2" t="s">
        <v>30578</v>
      </c>
      <c r="D3119" s="2" t="s">
        <v>30579</v>
      </c>
      <c r="E3119" s="2" t="s">
        <v>30580</v>
      </c>
      <c r="G3119" s="3" t="s">
        <v>62</v>
      </c>
      <c r="I3119" s="3" t="s">
        <v>62</v>
      </c>
      <c r="J3119" s="3" t="s">
        <v>62</v>
      </c>
      <c r="K3119" s="3" t="s">
        <v>63</v>
      </c>
      <c r="L3119" s="2" t="s">
        <v>30581</v>
      </c>
      <c r="M3119" s="2" t="s">
        <v>30582</v>
      </c>
      <c r="N3119" s="3" t="s">
        <v>16907</v>
      </c>
      <c r="P3119" s="3" t="s">
        <v>110</v>
      </c>
      <c r="Q3119" s="2" t="s">
        <v>30583</v>
      </c>
      <c r="R3119" s="3" t="s">
        <v>66</v>
      </c>
      <c r="S3119" s="4">
        <v>6</v>
      </c>
      <c r="T3119" s="4">
        <v>6</v>
      </c>
      <c r="U3119" s="5" t="s">
        <v>10804</v>
      </c>
      <c r="V3119" s="5" t="s">
        <v>10804</v>
      </c>
      <c r="W3119" s="5" t="s">
        <v>67</v>
      </c>
      <c r="X3119" s="5" t="s">
        <v>67</v>
      </c>
      <c r="Y3119" s="4">
        <v>44</v>
      </c>
      <c r="Z3119" s="4">
        <v>7</v>
      </c>
      <c r="AA3119" s="4">
        <v>11</v>
      </c>
      <c r="AB3119" s="4">
        <v>1</v>
      </c>
      <c r="AC3119" s="4">
        <v>3</v>
      </c>
      <c r="AD3119" s="4">
        <v>22</v>
      </c>
      <c r="AE3119" s="4">
        <v>26</v>
      </c>
      <c r="AF3119" s="4">
        <v>0</v>
      </c>
      <c r="AG3119" s="4">
        <v>2</v>
      </c>
      <c r="AH3119" s="4">
        <v>17</v>
      </c>
      <c r="AI3119" s="4">
        <v>19</v>
      </c>
      <c r="AJ3119" s="4">
        <v>6</v>
      </c>
      <c r="AK3119" s="4">
        <v>9</v>
      </c>
      <c r="AL3119" s="4">
        <v>10</v>
      </c>
      <c r="AM3119" s="4">
        <v>10</v>
      </c>
      <c r="AN3119" s="4">
        <v>0</v>
      </c>
      <c r="AO3119" s="4">
        <v>0</v>
      </c>
      <c r="AP3119" s="4">
        <v>6</v>
      </c>
      <c r="AQ3119" s="4">
        <v>10</v>
      </c>
      <c r="AR3119" s="3" t="s">
        <v>62</v>
      </c>
      <c r="AS3119" s="3" t="s">
        <v>62</v>
      </c>
      <c r="AT3119" s="3" t="s">
        <v>62</v>
      </c>
      <c r="AV3119" s="6" t="str">
        <f>HYPERLINK("http://mcgill.on.worldcat.org/oclc/2729882","Catalog Record")</f>
        <v>Catalog Record</v>
      </c>
      <c r="AW3119" s="6" t="str">
        <f>HYPERLINK("http://www.worldcat.org/oclc/2729882","WorldCat Record")</f>
        <v>WorldCat Record</v>
      </c>
      <c r="AX3119" s="3" t="s">
        <v>30584</v>
      </c>
      <c r="AY3119" s="3" t="s">
        <v>30585</v>
      </c>
      <c r="AZ3119" s="3" t="s">
        <v>30586</v>
      </c>
      <c r="BA3119" s="3" t="s">
        <v>30586</v>
      </c>
      <c r="BB3119" s="3" t="s">
        <v>30587</v>
      </c>
      <c r="BC3119" s="3" t="s">
        <v>142</v>
      </c>
      <c r="BD3119" s="3" t="s">
        <v>68</v>
      </c>
      <c r="BF3119" s="3" t="s">
        <v>30587</v>
      </c>
      <c r="BG3119" s="3" t="s">
        <v>30588</v>
      </c>
    </row>
    <row r="3120" spans="1:59" ht="57" x14ac:dyDescent="0.45">
      <c r="A3120" s="2" t="s">
        <v>59</v>
      </c>
      <c r="B3120" s="2" t="s">
        <v>60</v>
      </c>
      <c r="C3120" s="2" t="s">
        <v>30589</v>
      </c>
      <c r="D3120" s="2" t="s">
        <v>30590</v>
      </c>
      <c r="E3120" s="2" t="s">
        <v>30591</v>
      </c>
      <c r="G3120" s="3" t="s">
        <v>62</v>
      </c>
      <c r="I3120" s="3" t="s">
        <v>62</v>
      </c>
      <c r="J3120" s="3" t="s">
        <v>61</v>
      </c>
      <c r="K3120" s="3" t="s">
        <v>63</v>
      </c>
      <c r="L3120" s="2" t="s">
        <v>30581</v>
      </c>
      <c r="M3120" s="2" t="s">
        <v>30592</v>
      </c>
      <c r="N3120" s="3" t="s">
        <v>793</v>
      </c>
      <c r="O3120" s="2" t="s">
        <v>30593</v>
      </c>
      <c r="P3120" s="3" t="s">
        <v>65</v>
      </c>
      <c r="Q3120" s="2" t="s">
        <v>30594</v>
      </c>
      <c r="R3120" s="3" t="s">
        <v>66</v>
      </c>
      <c r="S3120" s="4">
        <v>24</v>
      </c>
      <c r="T3120" s="4">
        <v>24</v>
      </c>
      <c r="U3120" s="5" t="s">
        <v>30595</v>
      </c>
      <c r="V3120" s="5" t="s">
        <v>30595</v>
      </c>
      <c r="W3120" s="5" t="s">
        <v>67</v>
      </c>
      <c r="X3120" s="5" t="s">
        <v>67</v>
      </c>
      <c r="Y3120" s="4">
        <v>42</v>
      </c>
      <c r="Z3120" s="4">
        <v>2</v>
      </c>
      <c r="AA3120" s="4">
        <v>42</v>
      </c>
      <c r="AB3120" s="4">
        <v>1</v>
      </c>
      <c r="AC3120" s="4">
        <v>7</v>
      </c>
      <c r="AD3120" s="4">
        <v>8</v>
      </c>
      <c r="AE3120" s="4">
        <v>130</v>
      </c>
      <c r="AF3120" s="4">
        <v>0</v>
      </c>
      <c r="AG3120" s="4">
        <v>4</v>
      </c>
      <c r="AH3120" s="4">
        <v>7</v>
      </c>
      <c r="AI3120" s="4">
        <v>106</v>
      </c>
      <c r="AJ3120" s="4">
        <v>1</v>
      </c>
      <c r="AK3120" s="4">
        <v>25</v>
      </c>
      <c r="AL3120" s="4">
        <v>5</v>
      </c>
      <c r="AM3120" s="4">
        <v>57</v>
      </c>
      <c r="AN3120" s="4">
        <v>0</v>
      </c>
      <c r="AO3120" s="4">
        <v>0</v>
      </c>
      <c r="AP3120" s="4">
        <v>1</v>
      </c>
      <c r="AQ3120" s="4">
        <v>33</v>
      </c>
      <c r="AR3120" s="3" t="s">
        <v>62</v>
      </c>
      <c r="AS3120" s="3" t="s">
        <v>62</v>
      </c>
      <c r="AT3120" s="3" t="s">
        <v>62</v>
      </c>
      <c r="AV3120" s="6" t="str">
        <f>HYPERLINK("http://mcgill.on.worldcat.org/oclc/15091392","Catalog Record")</f>
        <v>Catalog Record</v>
      </c>
      <c r="AW3120" s="6" t="str">
        <f>HYPERLINK("http://www.worldcat.org/oclc/15091392","WorldCat Record")</f>
        <v>WorldCat Record</v>
      </c>
      <c r="AX3120" s="3" t="s">
        <v>30596</v>
      </c>
      <c r="AY3120" s="3" t="s">
        <v>30597</v>
      </c>
      <c r="AZ3120" s="3" t="s">
        <v>30598</v>
      </c>
      <c r="BA3120" s="3" t="s">
        <v>30598</v>
      </c>
      <c r="BB3120" s="3" t="s">
        <v>30599</v>
      </c>
      <c r="BC3120" s="3" t="s">
        <v>142</v>
      </c>
      <c r="BD3120" s="3" t="s">
        <v>308</v>
      </c>
      <c r="BE3120" s="3" t="s">
        <v>30600</v>
      </c>
      <c r="BF3120" s="3" t="s">
        <v>30599</v>
      </c>
      <c r="BG3120" s="3" t="s">
        <v>30601</v>
      </c>
    </row>
    <row r="3121" spans="1:59" ht="71.25" x14ac:dyDescent="0.45">
      <c r="A3121" s="2" t="s">
        <v>59</v>
      </c>
      <c r="B3121" s="2" t="s">
        <v>60</v>
      </c>
      <c r="C3121" s="2" t="s">
        <v>30602</v>
      </c>
      <c r="D3121" s="2" t="s">
        <v>30603</v>
      </c>
      <c r="E3121" s="2" t="s">
        <v>30604</v>
      </c>
      <c r="G3121" s="3" t="s">
        <v>62</v>
      </c>
      <c r="I3121" s="3" t="s">
        <v>62</v>
      </c>
      <c r="J3121" s="3" t="s">
        <v>62</v>
      </c>
      <c r="K3121" s="3" t="s">
        <v>63</v>
      </c>
      <c r="L3121" s="2" t="s">
        <v>30581</v>
      </c>
      <c r="M3121" s="2" t="s">
        <v>30605</v>
      </c>
      <c r="N3121" s="3" t="s">
        <v>167</v>
      </c>
      <c r="P3121" s="3" t="s">
        <v>65</v>
      </c>
      <c r="Q3121" s="2" t="s">
        <v>30606</v>
      </c>
      <c r="R3121" s="3" t="s">
        <v>66</v>
      </c>
      <c r="S3121" s="4">
        <v>23</v>
      </c>
      <c r="T3121" s="4">
        <v>23</v>
      </c>
      <c r="U3121" s="5" t="s">
        <v>30595</v>
      </c>
      <c r="V3121" s="5" t="s">
        <v>30595</v>
      </c>
      <c r="W3121" s="5" t="s">
        <v>67</v>
      </c>
      <c r="X3121" s="5" t="s">
        <v>67</v>
      </c>
      <c r="Y3121" s="4">
        <v>228</v>
      </c>
      <c r="Z3121" s="4">
        <v>20</v>
      </c>
      <c r="AA3121" s="4">
        <v>23</v>
      </c>
      <c r="AB3121" s="4">
        <v>1</v>
      </c>
      <c r="AC3121" s="4">
        <v>2</v>
      </c>
      <c r="AD3121" s="4">
        <v>70</v>
      </c>
      <c r="AE3121" s="4">
        <v>73</v>
      </c>
      <c r="AF3121" s="4">
        <v>0</v>
      </c>
      <c r="AG3121" s="4">
        <v>1</v>
      </c>
      <c r="AH3121" s="4">
        <v>62</v>
      </c>
      <c r="AI3121" s="4">
        <v>63</v>
      </c>
      <c r="AJ3121" s="4">
        <v>10</v>
      </c>
      <c r="AK3121" s="4">
        <v>12</v>
      </c>
      <c r="AL3121" s="4">
        <v>37</v>
      </c>
      <c r="AM3121" s="4">
        <v>37</v>
      </c>
      <c r="AN3121" s="4">
        <v>0</v>
      </c>
      <c r="AO3121" s="4">
        <v>0</v>
      </c>
      <c r="AP3121" s="4">
        <v>13</v>
      </c>
      <c r="AQ3121" s="4">
        <v>16</v>
      </c>
      <c r="AR3121" s="3" t="s">
        <v>62</v>
      </c>
      <c r="AS3121" s="3" t="s">
        <v>62</v>
      </c>
      <c r="AT3121" s="3" t="s">
        <v>62</v>
      </c>
      <c r="AV3121" s="6" t="str">
        <f>HYPERLINK("http://mcgill.on.worldcat.org/oclc/40595363","Catalog Record")</f>
        <v>Catalog Record</v>
      </c>
      <c r="AW3121" s="6" t="str">
        <f>HYPERLINK("http://www.worldcat.org/oclc/40595363","WorldCat Record")</f>
        <v>WorldCat Record</v>
      </c>
      <c r="AX3121" s="3" t="s">
        <v>30607</v>
      </c>
      <c r="AY3121" s="3" t="s">
        <v>30608</v>
      </c>
      <c r="AZ3121" s="3" t="s">
        <v>30609</v>
      </c>
      <c r="BA3121" s="3" t="s">
        <v>30609</v>
      </c>
      <c r="BB3121" s="3" t="s">
        <v>30610</v>
      </c>
      <c r="BC3121" s="3" t="s">
        <v>142</v>
      </c>
      <c r="BD3121" s="3" t="s">
        <v>308</v>
      </c>
      <c r="BE3121" s="3" t="s">
        <v>30611</v>
      </c>
      <c r="BF3121" s="3" t="s">
        <v>30610</v>
      </c>
      <c r="BG3121" s="3" t="s">
        <v>30612</v>
      </c>
    </row>
    <row r="3122" spans="1:59" ht="71.25" x14ac:dyDescent="0.45">
      <c r="A3122" s="2" t="s">
        <v>59</v>
      </c>
      <c r="B3122" s="2" t="s">
        <v>60</v>
      </c>
      <c r="C3122" s="2" t="s">
        <v>30613</v>
      </c>
      <c r="D3122" s="2" t="s">
        <v>30614</v>
      </c>
      <c r="E3122" s="2" t="s">
        <v>30615</v>
      </c>
      <c r="G3122" s="3" t="s">
        <v>62</v>
      </c>
      <c r="I3122" s="3" t="s">
        <v>62</v>
      </c>
      <c r="J3122" s="3" t="s">
        <v>62</v>
      </c>
      <c r="K3122" s="3" t="s">
        <v>63</v>
      </c>
      <c r="L3122" s="2" t="s">
        <v>30581</v>
      </c>
      <c r="M3122" s="2" t="s">
        <v>7793</v>
      </c>
      <c r="N3122" s="3" t="s">
        <v>2417</v>
      </c>
      <c r="P3122" s="3" t="s">
        <v>65</v>
      </c>
      <c r="Q3122" s="2" t="s">
        <v>30616</v>
      </c>
      <c r="R3122" s="3" t="s">
        <v>66</v>
      </c>
      <c r="S3122" s="4">
        <v>24</v>
      </c>
      <c r="T3122" s="4">
        <v>24</v>
      </c>
      <c r="U3122" s="5" t="s">
        <v>30617</v>
      </c>
      <c r="V3122" s="5" t="s">
        <v>30617</v>
      </c>
      <c r="W3122" s="5" t="s">
        <v>67</v>
      </c>
      <c r="X3122" s="5" t="s">
        <v>67</v>
      </c>
      <c r="Y3122" s="4">
        <v>424</v>
      </c>
      <c r="Z3122" s="4">
        <v>33</v>
      </c>
      <c r="AA3122" s="4">
        <v>36</v>
      </c>
      <c r="AB3122" s="4">
        <v>3</v>
      </c>
      <c r="AC3122" s="4">
        <v>5</v>
      </c>
      <c r="AD3122" s="4">
        <v>116</v>
      </c>
      <c r="AE3122" s="4">
        <v>119</v>
      </c>
      <c r="AF3122" s="4">
        <v>1</v>
      </c>
      <c r="AG3122" s="4">
        <v>3</v>
      </c>
      <c r="AH3122" s="4">
        <v>102</v>
      </c>
      <c r="AI3122" s="4">
        <v>103</v>
      </c>
      <c r="AJ3122" s="4">
        <v>18</v>
      </c>
      <c r="AK3122" s="4">
        <v>20</v>
      </c>
      <c r="AL3122" s="4">
        <v>57</v>
      </c>
      <c r="AM3122" s="4">
        <v>57</v>
      </c>
      <c r="AN3122" s="4">
        <v>0</v>
      </c>
      <c r="AO3122" s="4">
        <v>0</v>
      </c>
      <c r="AP3122" s="4">
        <v>24</v>
      </c>
      <c r="AQ3122" s="4">
        <v>27</v>
      </c>
      <c r="AR3122" s="3" t="s">
        <v>62</v>
      </c>
      <c r="AS3122" s="3" t="s">
        <v>62</v>
      </c>
      <c r="AT3122" s="3" t="s">
        <v>62</v>
      </c>
      <c r="AV3122" s="6" t="str">
        <f>HYPERLINK("http://mcgill.on.worldcat.org/oclc/11550116","Catalog Record")</f>
        <v>Catalog Record</v>
      </c>
      <c r="AW3122" s="6" t="str">
        <f>HYPERLINK("http://www.worldcat.org/oclc/11550116","WorldCat Record")</f>
        <v>WorldCat Record</v>
      </c>
      <c r="AX3122" s="3" t="s">
        <v>30618</v>
      </c>
      <c r="AY3122" s="3" t="s">
        <v>30619</v>
      </c>
      <c r="AZ3122" s="3" t="s">
        <v>30620</v>
      </c>
      <c r="BA3122" s="3" t="s">
        <v>30620</v>
      </c>
      <c r="BB3122" s="3" t="s">
        <v>30621</v>
      </c>
      <c r="BC3122" s="3" t="s">
        <v>142</v>
      </c>
      <c r="BD3122" s="3" t="s">
        <v>308</v>
      </c>
      <c r="BE3122" s="3" t="s">
        <v>30622</v>
      </c>
      <c r="BF3122" s="3" t="s">
        <v>30621</v>
      </c>
      <c r="BG3122" s="3" t="s">
        <v>30623</v>
      </c>
    </row>
    <row r="3123" spans="1:59" ht="57" x14ac:dyDescent="0.45">
      <c r="A3123" s="2" t="s">
        <v>59</v>
      </c>
      <c r="B3123" s="2" t="s">
        <v>60</v>
      </c>
      <c r="C3123" s="2" t="s">
        <v>30624</v>
      </c>
      <c r="D3123" s="2" t="s">
        <v>30625</v>
      </c>
      <c r="E3123" s="2" t="s">
        <v>30626</v>
      </c>
      <c r="G3123" s="3" t="s">
        <v>62</v>
      </c>
      <c r="I3123" s="3" t="s">
        <v>62</v>
      </c>
      <c r="J3123" s="3" t="s">
        <v>62</v>
      </c>
      <c r="K3123" s="3" t="s">
        <v>63</v>
      </c>
      <c r="L3123" s="2" t="s">
        <v>30627</v>
      </c>
      <c r="M3123" s="2" t="s">
        <v>30628</v>
      </c>
      <c r="N3123" s="3" t="s">
        <v>125</v>
      </c>
      <c r="O3123" s="2" t="s">
        <v>420</v>
      </c>
      <c r="P3123" s="3" t="s">
        <v>65</v>
      </c>
      <c r="R3123" s="3" t="s">
        <v>66</v>
      </c>
      <c r="S3123" s="4">
        <v>33</v>
      </c>
      <c r="T3123" s="4">
        <v>33</v>
      </c>
      <c r="U3123" s="5" t="s">
        <v>30629</v>
      </c>
      <c r="V3123" s="5" t="s">
        <v>30629</v>
      </c>
      <c r="W3123" s="5" t="s">
        <v>67</v>
      </c>
      <c r="X3123" s="5" t="s">
        <v>67</v>
      </c>
      <c r="Y3123" s="4">
        <v>265</v>
      </c>
      <c r="Z3123" s="4">
        <v>18</v>
      </c>
      <c r="AA3123" s="4">
        <v>38</v>
      </c>
      <c r="AB3123" s="4">
        <v>4</v>
      </c>
      <c r="AC3123" s="4">
        <v>6</v>
      </c>
      <c r="AD3123" s="4">
        <v>67</v>
      </c>
      <c r="AE3123" s="4">
        <v>119</v>
      </c>
      <c r="AF3123" s="4">
        <v>2</v>
      </c>
      <c r="AG3123" s="4">
        <v>4</v>
      </c>
      <c r="AH3123" s="4">
        <v>55</v>
      </c>
      <c r="AI3123" s="4">
        <v>94</v>
      </c>
      <c r="AJ3123" s="4">
        <v>10</v>
      </c>
      <c r="AK3123" s="4">
        <v>19</v>
      </c>
      <c r="AL3123" s="4">
        <v>26</v>
      </c>
      <c r="AM3123" s="4">
        <v>52</v>
      </c>
      <c r="AN3123" s="4">
        <v>0</v>
      </c>
      <c r="AO3123" s="4">
        <v>0</v>
      </c>
      <c r="AP3123" s="4">
        <v>15</v>
      </c>
      <c r="AQ3123" s="4">
        <v>32</v>
      </c>
      <c r="AR3123" s="3" t="s">
        <v>62</v>
      </c>
      <c r="AS3123" s="3" t="s">
        <v>62</v>
      </c>
      <c r="AT3123" s="3" t="s">
        <v>61</v>
      </c>
      <c r="AU3123" s="6" t="str">
        <f>HYPERLINK("http://catalog.hathitrust.org/Record/001834178","HathiTrust Record")</f>
        <v>HathiTrust Record</v>
      </c>
      <c r="AV3123" s="6" t="str">
        <f>HYPERLINK("http://mcgill.on.worldcat.org/oclc/20263354","Catalog Record")</f>
        <v>Catalog Record</v>
      </c>
      <c r="AW3123" s="6" t="str">
        <f>HYPERLINK("http://www.worldcat.org/oclc/20263354","WorldCat Record")</f>
        <v>WorldCat Record</v>
      </c>
      <c r="AX3123" s="3" t="s">
        <v>30630</v>
      </c>
      <c r="AY3123" s="3" t="s">
        <v>30631</v>
      </c>
      <c r="AZ3123" s="3" t="s">
        <v>30632</v>
      </c>
      <c r="BA3123" s="3" t="s">
        <v>30632</v>
      </c>
      <c r="BB3123" s="3" t="s">
        <v>30633</v>
      </c>
      <c r="BC3123" s="3" t="s">
        <v>142</v>
      </c>
      <c r="BD3123" s="3" t="s">
        <v>68</v>
      </c>
      <c r="BE3123" s="3" t="s">
        <v>30634</v>
      </c>
      <c r="BF3123" s="3" t="s">
        <v>30633</v>
      </c>
      <c r="BG3123" s="3" t="s">
        <v>30635</v>
      </c>
    </row>
    <row r="3124" spans="1:59" ht="57" x14ac:dyDescent="0.45">
      <c r="A3124" s="2" t="s">
        <v>59</v>
      </c>
      <c r="B3124" s="2" t="s">
        <v>60</v>
      </c>
      <c r="C3124" s="2" t="s">
        <v>30636</v>
      </c>
      <c r="D3124" s="2" t="s">
        <v>30637</v>
      </c>
      <c r="E3124" s="2" t="s">
        <v>30638</v>
      </c>
      <c r="G3124" s="3" t="s">
        <v>62</v>
      </c>
      <c r="I3124" s="3" t="s">
        <v>62</v>
      </c>
      <c r="J3124" s="3" t="s">
        <v>61</v>
      </c>
      <c r="K3124" s="3" t="s">
        <v>63</v>
      </c>
      <c r="L3124" s="2" t="s">
        <v>30639</v>
      </c>
      <c r="M3124" s="2" t="s">
        <v>1178</v>
      </c>
      <c r="N3124" s="3" t="s">
        <v>894</v>
      </c>
      <c r="P3124" s="3" t="s">
        <v>65</v>
      </c>
      <c r="R3124" s="3" t="s">
        <v>66</v>
      </c>
      <c r="S3124" s="4">
        <v>15</v>
      </c>
      <c r="T3124" s="4">
        <v>15</v>
      </c>
      <c r="U3124" s="5" t="s">
        <v>30640</v>
      </c>
      <c r="V3124" s="5" t="s">
        <v>30640</v>
      </c>
      <c r="W3124" s="5" t="s">
        <v>67</v>
      </c>
      <c r="X3124" s="5" t="s">
        <v>67</v>
      </c>
      <c r="Y3124" s="4">
        <v>84</v>
      </c>
      <c r="Z3124" s="4">
        <v>11</v>
      </c>
      <c r="AA3124" s="4">
        <v>100</v>
      </c>
      <c r="AB3124" s="4">
        <v>1</v>
      </c>
      <c r="AC3124" s="4">
        <v>18</v>
      </c>
      <c r="AD3124" s="4">
        <v>34</v>
      </c>
      <c r="AE3124" s="4">
        <v>144</v>
      </c>
      <c r="AF3124" s="4">
        <v>0</v>
      </c>
      <c r="AG3124" s="4">
        <v>8</v>
      </c>
      <c r="AH3124" s="4">
        <v>32</v>
      </c>
      <c r="AI3124" s="4">
        <v>103</v>
      </c>
      <c r="AJ3124" s="4">
        <v>9</v>
      </c>
      <c r="AK3124" s="4">
        <v>26</v>
      </c>
      <c r="AL3124" s="4">
        <v>18</v>
      </c>
      <c r="AM3124" s="4">
        <v>57</v>
      </c>
      <c r="AN3124" s="4">
        <v>0</v>
      </c>
      <c r="AO3124" s="4">
        <v>0</v>
      </c>
      <c r="AP3124" s="4">
        <v>9</v>
      </c>
      <c r="AQ3124" s="4">
        <v>49</v>
      </c>
      <c r="AR3124" s="3" t="s">
        <v>62</v>
      </c>
      <c r="AS3124" s="3" t="s">
        <v>62</v>
      </c>
      <c r="AT3124" s="3" t="s">
        <v>62</v>
      </c>
      <c r="AV3124" s="6" t="str">
        <f>HYPERLINK("http://mcgill.on.worldcat.org/oclc/704121334","Catalog Record")</f>
        <v>Catalog Record</v>
      </c>
      <c r="AW3124" s="6" t="str">
        <f>HYPERLINK("http://www.worldcat.org/oclc/704121334","WorldCat Record")</f>
        <v>WorldCat Record</v>
      </c>
      <c r="AX3124" s="3" t="s">
        <v>30641</v>
      </c>
      <c r="AY3124" s="3" t="s">
        <v>30642</v>
      </c>
      <c r="AZ3124" s="3" t="s">
        <v>30643</v>
      </c>
      <c r="BA3124" s="3" t="s">
        <v>30643</v>
      </c>
      <c r="BB3124" s="3" t="s">
        <v>30644</v>
      </c>
      <c r="BC3124" s="3" t="s">
        <v>142</v>
      </c>
      <c r="BD3124" s="3" t="s">
        <v>308</v>
      </c>
      <c r="BE3124" s="3" t="s">
        <v>30645</v>
      </c>
      <c r="BF3124" s="3" t="s">
        <v>30644</v>
      </c>
      <c r="BG3124" s="3" t="s">
        <v>30646</v>
      </c>
    </row>
    <row r="3125" spans="1:59" ht="57" x14ac:dyDescent="0.45">
      <c r="A3125" s="2" t="s">
        <v>59</v>
      </c>
      <c r="B3125" s="2" t="s">
        <v>60</v>
      </c>
      <c r="C3125" s="2" t="s">
        <v>30647</v>
      </c>
      <c r="D3125" s="2" t="s">
        <v>30648</v>
      </c>
      <c r="E3125" s="2" t="s">
        <v>30649</v>
      </c>
      <c r="G3125" s="3" t="s">
        <v>62</v>
      </c>
      <c r="I3125" s="3" t="s">
        <v>61</v>
      </c>
      <c r="J3125" s="3" t="s">
        <v>62</v>
      </c>
      <c r="K3125" s="3" t="s">
        <v>63</v>
      </c>
      <c r="L3125" s="2" t="s">
        <v>30650</v>
      </c>
      <c r="M3125" s="2" t="s">
        <v>30651</v>
      </c>
      <c r="N3125" s="3" t="s">
        <v>135</v>
      </c>
      <c r="P3125" s="3" t="s">
        <v>65</v>
      </c>
      <c r="Q3125" s="2" t="s">
        <v>30652</v>
      </c>
      <c r="R3125" s="3" t="s">
        <v>66</v>
      </c>
      <c r="S3125" s="4">
        <v>2</v>
      </c>
      <c r="T3125" s="4">
        <v>6</v>
      </c>
      <c r="U3125" s="5" t="s">
        <v>8465</v>
      </c>
      <c r="V3125" s="5" t="s">
        <v>8465</v>
      </c>
      <c r="W3125" s="5" t="s">
        <v>67</v>
      </c>
      <c r="X3125" s="5" t="s">
        <v>67</v>
      </c>
      <c r="Y3125" s="4">
        <v>1214</v>
      </c>
      <c r="Z3125" s="4">
        <v>67</v>
      </c>
      <c r="AA3125" s="4">
        <v>75</v>
      </c>
      <c r="AB3125" s="4">
        <v>4</v>
      </c>
      <c r="AC3125" s="4">
        <v>10</v>
      </c>
      <c r="AD3125" s="4">
        <v>142</v>
      </c>
      <c r="AE3125" s="4">
        <v>149</v>
      </c>
      <c r="AF3125" s="4">
        <v>2</v>
      </c>
      <c r="AG3125" s="4">
        <v>7</v>
      </c>
      <c r="AH3125" s="4">
        <v>107</v>
      </c>
      <c r="AI3125" s="4">
        <v>108</v>
      </c>
      <c r="AJ3125" s="4">
        <v>23</v>
      </c>
      <c r="AK3125" s="4">
        <v>27</v>
      </c>
      <c r="AL3125" s="4">
        <v>59</v>
      </c>
      <c r="AM3125" s="4">
        <v>59</v>
      </c>
      <c r="AN3125" s="4">
        <v>0</v>
      </c>
      <c r="AO3125" s="4">
        <v>0</v>
      </c>
      <c r="AP3125" s="4">
        <v>41</v>
      </c>
      <c r="AQ3125" s="4">
        <v>47</v>
      </c>
      <c r="AR3125" s="3" t="s">
        <v>62</v>
      </c>
      <c r="AS3125" s="3" t="s">
        <v>62</v>
      </c>
      <c r="AT3125" s="3" t="s">
        <v>61</v>
      </c>
      <c r="AU3125" s="6" t="str">
        <f>HYPERLINK("http://catalog.hathitrust.org/Record/001281110","HathiTrust Record")</f>
        <v>HathiTrust Record</v>
      </c>
      <c r="AV3125" s="6" t="str">
        <f>HYPERLINK("http://mcgill.on.worldcat.org/oclc/306931","Catalog Record")</f>
        <v>Catalog Record</v>
      </c>
      <c r="AW3125" s="6" t="str">
        <f>HYPERLINK("http://www.worldcat.org/oclc/306931","WorldCat Record")</f>
        <v>WorldCat Record</v>
      </c>
      <c r="AX3125" s="3" t="s">
        <v>30653</v>
      </c>
      <c r="AY3125" s="3" t="s">
        <v>30654</v>
      </c>
      <c r="AZ3125" s="3" t="s">
        <v>30655</v>
      </c>
      <c r="BA3125" s="3" t="s">
        <v>30655</v>
      </c>
      <c r="BB3125" s="3" t="s">
        <v>30656</v>
      </c>
      <c r="BC3125" s="3" t="s">
        <v>142</v>
      </c>
      <c r="BD3125" s="3" t="s">
        <v>68</v>
      </c>
      <c r="BF3125" s="3" t="s">
        <v>30656</v>
      </c>
      <c r="BG3125" s="3" t="s">
        <v>30657</v>
      </c>
    </row>
    <row r="3126" spans="1:59" ht="57" x14ac:dyDescent="0.45">
      <c r="A3126" s="2" t="s">
        <v>59</v>
      </c>
      <c r="B3126" s="2" t="s">
        <v>60</v>
      </c>
      <c r="C3126" s="2" t="s">
        <v>30658</v>
      </c>
      <c r="D3126" s="2" t="s">
        <v>30659</v>
      </c>
      <c r="E3126" s="2" t="s">
        <v>30660</v>
      </c>
      <c r="G3126" s="3" t="s">
        <v>62</v>
      </c>
      <c r="I3126" s="3" t="s">
        <v>61</v>
      </c>
      <c r="J3126" s="3" t="s">
        <v>61</v>
      </c>
      <c r="K3126" s="3" t="s">
        <v>63</v>
      </c>
      <c r="L3126" s="2" t="s">
        <v>30661</v>
      </c>
      <c r="M3126" s="2" t="s">
        <v>30662</v>
      </c>
      <c r="N3126" s="3" t="s">
        <v>30663</v>
      </c>
      <c r="P3126" s="3" t="s">
        <v>65</v>
      </c>
      <c r="R3126" s="3" t="s">
        <v>66</v>
      </c>
      <c r="S3126" s="4">
        <v>9</v>
      </c>
      <c r="T3126" s="4">
        <v>47</v>
      </c>
      <c r="U3126" s="5" t="s">
        <v>12639</v>
      </c>
      <c r="V3126" s="5" t="s">
        <v>11178</v>
      </c>
      <c r="W3126" s="5" t="s">
        <v>67</v>
      </c>
      <c r="X3126" s="5" t="s">
        <v>67</v>
      </c>
      <c r="Y3126" s="4">
        <v>312</v>
      </c>
      <c r="Z3126" s="4">
        <v>15</v>
      </c>
      <c r="AA3126" s="4">
        <v>82</v>
      </c>
      <c r="AB3126" s="4">
        <v>1</v>
      </c>
      <c r="AC3126" s="4">
        <v>7</v>
      </c>
      <c r="AD3126" s="4">
        <v>77</v>
      </c>
      <c r="AE3126" s="4">
        <v>154</v>
      </c>
      <c r="AF3126" s="4">
        <v>0</v>
      </c>
      <c r="AG3126" s="4">
        <v>4</v>
      </c>
      <c r="AH3126" s="4">
        <v>70</v>
      </c>
      <c r="AI3126" s="4">
        <v>111</v>
      </c>
      <c r="AJ3126" s="4">
        <v>8</v>
      </c>
      <c r="AK3126" s="4">
        <v>23</v>
      </c>
      <c r="AL3126" s="4">
        <v>39</v>
      </c>
      <c r="AM3126" s="4">
        <v>61</v>
      </c>
      <c r="AN3126" s="4">
        <v>0</v>
      </c>
      <c r="AO3126" s="4">
        <v>0</v>
      </c>
      <c r="AP3126" s="4">
        <v>11</v>
      </c>
      <c r="AQ3126" s="4">
        <v>48</v>
      </c>
      <c r="AR3126" s="3" t="s">
        <v>62</v>
      </c>
      <c r="AS3126" s="3" t="s">
        <v>62</v>
      </c>
      <c r="AT3126" s="3" t="s">
        <v>61</v>
      </c>
      <c r="AU3126" s="6" t="str">
        <f>HYPERLINK("http://catalog.hathitrust.org/Record/001434658","HathiTrust Record")</f>
        <v>HathiTrust Record</v>
      </c>
      <c r="AV3126" s="6" t="str">
        <f>HYPERLINK("http://mcgill.on.worldcat.org/oclc/991645","Catalog Record")</f>
        <v>Catalog Record</v>
      </c>
      <c r="AW3126" s="6" t="str">
        <f>HYPERLINK("http://www.worldcat.org/oclc/991645","WorldCat Record")</f>
        <v>WorldCat Record</v>
      </c>
      <c r="AX3126" s="3" t="s">
        <v>30664</v>
      </c>
      <c r="AY3126" s="3" t="s">
        <v>30665</v>
      </c>
      <c r="AZ3126" s="3" t="s">
        <v>30666</v>
      </c>
      <c r="BA3126" s="3" t="s">
        <v>30666</v>
      </c>
      <c r="BB3126" s="3" t="s">
        <v>30667</v>
      </c>
      <c r="BC3126" s="3" t="s">
        <v>142</v>
      </c>
      <c r="BD3126" s="3" t="s">
        <v>68</v>
      </c>
      <c r="BF3126" s="3" t="s">
        <v>30667</v>
      </c>
      <c r="BG3126" s="3" t="s">
        <v>30668</v>
      </c>
    </row>
    <row r="3127" spans="1:59" ht="57" x14ac:dyDescent="0.45">
      <c r="A3127" s="2" t="s">
        <v>59</v>
      </c>
      <c r="B3127" s="2" t="s">
        <v>60</v>
      </c>
      <c r="C3127" s="2" t="s">
        <v>30658</v>
      </c>
      <c r="D3127" s="2" t="s">
        <v>30659</v>
      </c>
      <c r="E3127" s="2" t="s">
        <v>30660</v>
      </c>
      <c r="G3127" s="3" t="s">
        <v>62</v>
      </c>
      <c r="I3127" s="3" t="s">
        <v>61</v>
      </c>
      <c r="J3127" s="3" t="s">
        <v>61</v>
      </c>
      <c r="K3127" s="3" t="s">
        <v>63</v>
      </c>
      <c r="L3127" s="2" t="s">
        <v>30661</v>
      </c>
      <c r="M3127" s="2" t="s">
        <v>30662</v>
      </c>
      <c r="N3127" s="3" t="s">
        <v>30663</v>
      </c>
      <c r="P3127" s="3" t="s">
        <v>65</v>
      </c>
      <c r="R3127" s="3" t="s">
        <v>66</v>
      </c>
      <c r="S3127" s="4">
        <v>17</v>
      </c>
      <c r="T3127" s="4">
        <v>47</v>
      </c>
      <c r="U3127" s="5" t="s">
        <v>11178</v>
      </c>
      <c r="V3127" s="5" t="s">
        <v>11178</v>
      </c>
      <c r="W3127" s="5" t="s">
        <v>67</v>
      </c>
      <c r="X3127" s="5" t="s">
        <v>67</v>
      </c>
      <c r="Y3127" s="4">
        <v>312</v>
      </c>
      <c r="Z3127" s="4">
        <v>15</v>
      </c>
      <c r="AA3127" s="4">
        <v>82</v>
      </c>
      <c r="AB3127" s="4">
        <v>1</v>
      </c>
      <c r="AC3127" s="4">
        <v>7</v>
      </c>
      <c r="AD3127" s="4">
        <v>77</v>
      </c>
      <c r="AE3127" s="4">
        <v>154</v>
      </c>
      <c r="AF3127" s="4">
        <v>0</v>
      </c>
      <c r="AG3127" s="4">
        <v>4</v>
      </c>
      <c r="AH3127" s="4">
        <v>70</v>
      </c>
      <c r="AI3127" s="4">
        <v>111</v>
      </c>
      <c r="AJ3127" s="4">
        <v>8</v>
      </c>
      <c r="AK3127" s="4">
        <v>23</v>
      </c>
      <c r="AL3127" s="4">
        <v>39</v>
      </c>
      <c r="AM3127" s="4">
        <v>61</v>
      </c>
      <c r="AN3127" s="4">
        <v>0</v>
      </c>
      <c r="AO3127" s="4">
        <v>0</v>
      </c>
      <c r="AP3127" s="4">
        <v>11</v>
      </c>
      <c r="AQ3127" s="4">
        <v>48</v>
      </c>
      <c r="AR3127" s="3" t="s">
        <v>62</v>
      </c>
      <c r="AS3127" s="3" t="s">
        <v>62</v>
      </c>
      <c r="AT3127" s="3" t="s">
        <v>61</v>
      </c>
      <c r="AU3127" s="6" t="str">
        <f>HYPERLINK("http://catalog.hathitrust.org/Record/001434658","HathiTrust Record")</f>
        <v>HathiTrust Record</v>
      </c>
      <c r="AV3127" s="6" t="str">
        <f>HYPERLINK("http://mcgill.on.worldcat.org/oclc/991645","Catalog Record")</f>
        <v>Catalog Record</v>
      </c>
      <c r="AW3127" s="6" t="str">
        <f>HYPERLINK("http://www.worldcat.org/oclc/991645","WorldCat Record")</f>
        <v>WorldCat Record</v>
      </c>
      <c r="AX3127" s="3" t="s">
        <v>30664</v>
      </c>
      <c r="AY3127" s="3" t="s">
        <v>30665</v>
      </c>
      <c r="AZ3127" s="3" t="s">
        <v>30666</v>
      </c>
      <c r="BA3127" s="3" t="s">
        <v>30666</v>
      </c>
      <c r="BB3127" s="3" t="s">
        <v>30669</v>
      </c>
      <c r="BC3127" s="3" t="s">
        <v>142</v>
      </c>
      <c r="BD3127" s="3" t="s">
        <v>308</v>
      </c>
      <c r="BF3127" s="3" t="s">
        <v>30669</v>
      </c>
      <c r="BG3127" s="3" t="s">
        <v>30670</v>
      </c>
    </row>
    <row r="3128" spans="1:59" ht="57" x14ac:dyDescent="0.45">
      <c r="A3128" s="2" t="s">
        <v>59</v>
      </c>
      <c r="B3128" s="2" t="s">
        <v>60</v>
      </c>
      <c r="C3128" s="2" t="s">
        <v>30658</v>
      </c>
      <c r="D3128" s="2" t="s">
        <v>30659</v>
      </c>
      <c r="E3128" s="2" t="s">
        <v>30660</v>
      </c>
      <c r="G3128" s="3" t="s">
        <v>62</v>
      </c>
      <c r="I3128" s="3" t="s">
        <v>61</v>
      </c>
      <c r="J3128" s="3" t="s">
        <v>61</v>
      </c>
      <c r="K3128" s="3" t="s">
        <v>63</v>
      </c>
      <c r="L3128" s="2" t="s">
        <v>30661</v>
      </c>
      <c r="M3128" s="2" t="s">
        <v>30662</v>
      </c>
      <c r="N3128" s="3" t="s">
        <v>30663</v>
      </c>
      <c r="P3128" s="3" t="s">
        <v>65</v>
      </c>
      <c r="R3128" s="3" t="s">
        <v>66</v>
      </c>
      <c r="S3128" s="4">
        <v>5</v>
      </c>
      <c r="T3128" s="4">
        <v>47</v>
      </c>
      <c r="U3128" s="5" t="s">
        <v>30671</v>
      </c>
      <c r="V3128" s="5" t="s">
        <v>11178</v>
      </c>
      <c r="W3128" s="5" t="s">
        <v>67</v>
      </c>
      <c r="X3128" s="5" t="s">
        <v>67</v>
      </c>
      <c r="Y3128" s="4">
        <v>312</v>
      </c>
      <c r="Z3128" s="4">
        <v>15</v>
      </c>
      <c r="AA3128" s="4">
        <v>82</v>
      </c>
      <c r="AB3128" s="4">
        <v>1</v>
      </c>
      <c r="AC3128" s="4">
        <v>7</v>
      </c>
      <c r="AD3128" s="4">
        <v>77</v>
      </c>
      <c r="AE3128" s="4">
        <v>154</v>
      </c>
      <c r="AF3128" s="4">
        <v>0</v>
      </c>
      <c r="AG3128" s="4">
        <v>4</v>
      </c>
      <c r="AH3128" s="4">
        <v>70</v>
      </c>
      <c r="AI3128" s="4">
        <v>111</v>
      </c>
      <c r="AJ3128" s="4">
        <v>8</v>
      </c>
      <c r="AK3128" s="4">
        <v>23</v>
      </c>
      <c r="AL3128" s="4">
        <v>39</v>
      </c>
      <c r="AM3128" s="4">
        <v>61</v>
      </c>
      <c r="AN3128" s="4">
        <v>0</v>
      </c>
      <c r="AO3128" s="4">
        <v>0</v>
      </c>
      <c r="AP3128" s="4">
        <v>11</v>
      </c>
      <c r="AQ3128" s="4">
        <v>48</v>
      </c>
      <c r="AR3128" s="3" t="s">
        <v>62</v>
      </c>
      <c r="AS3128" s="3" t="s">
        <v>62</v>
      </c>
      <c r="AT3128" s="3" t="s">
        <v>61</v>
      </c>
      <c r="AU3128" s="6" t="str">
        <f>HYPERLINK("http://catalog.hathitrust.org/Record/001434658","HathiTrust Record")</f>
        <v>HathiTrust Record</v>
      </c>
      <c r="AV3128" s="6" t="str">
        <f>HYPERLINK("http://mcgill.on.worldcat.org/oclc/991645","Catalog Record")</f>
        <v>Catalog Record</v>
      </c>
      <c r="AW3128" s="6" t="str">
        <f>HYPERLINK("http://www.worldcat.org/oclc/991645","WorldCat Record")</f>
        <v>WorldCat Record</v>
      </c>
      <c r="AX3128" s="3" t="s">
        <v>30664</v>
      </c>
      <c r="AY3128" s="3" t="s">
        <v>30665</v>
      </c>
      <c r="AZ3128" s="3" t="s">
        <v>30666</v>
      </c>
      <c r="BA3128" s="3" t="s">
        <v>30666</v>
      </c>
      <c r="BB3128" s="3" t="s">
        <v>30672</v>
      </c>
      <c r="BC3128" s="3" t="s">
        <v>142</v>
      </c>
      <c r="BD3128" s="3" t="s">
        <v>68</v>
      </c>
      <c r="BF3128" s="3" t="s">
        <v>30672</v>
      </c>
      <c r="BG3128" s="3" t="s">
        <v>30673</v>
      </c>
    </row>
    <row r="3129" spans="1:59" ht="57" x14ac:dyDescent="0.45">
      <c r="A3129" s="2" t="s">
        <v>59</v>
      </c>
      <c r="B3129" s="2" t="s">
        <v>60</v>
      </c>
      <c r="C3129" s="2" t="s">
        <v>30658</v>
      </c>
      <c r="D3129" s="2" t="s">
        <v>30659</v>
      </c>
      <c r="E3129" s="2" t="s">
        <v>30660</v>
      </c>
      <c r="G3129" s="3" t="s">
        <v>62</v>
      </c>
      <c r="I3129" s="3" t="s">
        <v>61</v>
      </c>
      <c r="J3129" s="3" t="s">
        <v>61</v>
      </c>
      <c r="K3129" s="3" t="s">
        <v>63</v>
      </c>
      <c r="L3129" s="2" t="s">
        <v>30661</v>
      </c>
      <c r="M3129" s="2" t="s">
        <v>30662</v>
      </c>
      <c r="N3129" s="3" t="s">
        <v>30663</v>
      </c>
      <c r="P3129" s="3" t="s">
        <v>65</v>
      </c>
      <c r="R3129" s="3" t="s">
        <v>66</v>
      </c>
      <c r="S3129" s="4">
        <v>16</v>
      </c>
      <c r="T3129" s="4">
        <v>47</v>
      </c>
      <c r="U3129" s="5" t="s">
        <v>6780</v>
      </c>
      <c r="V3129" s="5" t="s">
        <v>11178</v>
      </c>
      <c r="W3129" s="5" t="s">
        <v>67</v>
      </c>
      <c r="X3129" s="5" t="s">
        <v>67</v>
      </c>
      <c r="Y3129" s="4">
        <v>312</v>
      </c>
      <c r="Z3129" s="4">
        <v>15</v>
      </c>
      <c r="AA3129" s="4">
        <v>82</v>
      </c>
      <c r="AB3129" s="4">
        <v>1</v>
      </c>
      <c r="AC3129" s="4">
        <v>7</v>
      </c>
      <c r="AD3129" s="4">
        <v>77</v>
      </c>
      <c r="AE3129" s="4">
        <v>154</v>
      </c>
      <c r="AF3129" s="4">
        <v>0</v>
      </c>
      <c r="AG3129" s="4">
        <v>4</v>
      </c>
      <c r="AH3129" s="4">
        <v>70</v>
      </c>
      <c r="AI3129" s="4">
        <v>111</v>
      </c>
      <c r="AJ3129" s="4">
        <v>8</v>
      </c>
      <c r="AK3129" s="4">
        <v>23</v>
      </c>
      <c r="AL3129" s="4">
        <v>39</v>
      </c>
      <c r="AM3129" s="4">
        <v>61</v>
      </c>
      <c r="AN3129" s="4">
        <v>0</v>
      </c>
      <c r="AO3129" s="4">
        <v>0</v>
      </c>
      <c r="AP3129" s="4">
        <v>11</v>
      </c>
      <c r="AQ3129" s="4">
        <v>48</v>
      </c>
      <c r="AR3129" s="3" t="s">
        <v>62</v>
      </c>
      <c r="AS3129" s="3" t="s">
        <v>62</v>
      </c>
      <c r="AT3129" s="3" t="s">
        <v>61</v>
      </c>
      <c r="AU3129" s="6" t="str">
        <f>HYPERLINK("http://catalog.hathitrust.org/Record/001434658","HathiTrust Record")</f>
        <v>HathiTrust Record</v>
      </c>
      <c r="AV3129" s="6" t="str">
        <f>HYPERLINK("http://mcgill.on.worldcat.org/oclc/991645","Catalog Record")</f>
        <v>Catalog Record</v>
      </c>
      <c r="AW3129" s="6" t="str">
        <f>HYPERLINK("http://www.worldcat.org/oclc/991645","WorldCat Record")</f>
        <v>WorldCat Record</v>
      </c>
      <c r="AX3129" s="3" t="s">
        <v>30664</v>
      </c>
      <c r="AY3129" s="3" t="s">
        <v>30665</v>
      </c>
      <c r="AZ3129" s="3" t="s">
        <v>30666</v>
      </c>
      <c r="BA3129" s="3" t="s">
        <v>30666</v>
      </c>
      <c r="BB3129" s="3" t="s">
        <v>30674</v>
      </c>
      <c r="BC3129" s="3" t="s">
        <v>142</v>
      </c>
      <c r="BD3129" s="3" t="s">
        <v>68</v>
      </c>
      <c r="BF3129" s="3" t="s">
        <v>30674</v>
      </c>
      <c r="BG3129" s="3" t="s">
        <v>30675</v>
      </c>
    </row>
    <row r="3130" spans="1:59" ht="57" x14ac:dyDescent="0.45">
      <c r="A3130" s="2" t="s">
        <v>59</v>
      </c>
      <c r="B3130" s="2" t="s">
        <v>60</v>
      </c>
      <c r="C3130" s="2" t="s">
        <v>30676</v>
      </c>
      <c r="D3130" s="2" t="s">
        <v>30677</v>
      </c>
      <c r="E3130" s="2" t="s">
        <v>30678</v>
      </c>
      <c r="G3130" s="3" t="s">
        <v>62</v>
      </c>
      <c r="I3130" s="3" t="s">
        <v>61</v>
      </c>
      <c r="J3130" s="3" t="s">
        <v>62</v>
      </c>
      <c r="K3130" s="3" t="s">
        <v>63</v>
      </c>
      <c r="L3130" s="2" t="s">
        <v>30679</v>
      </c>
      <c r="M3130" s="2" t="s">
        <v>30680</v>
      </c>
      <c r="N3130" s="3" t="s">
        <v>122</v>
      </c>
      <c r="P3130" s="3" t="s">
        <v>65</v>
      </c>
      <c r="R3130" s="3" t="s">
        <v>66</v>
      </c>
      <c r="S3130" s="4">
        <v>14</v>
      </c>
      <c r="T3130" s="4">
        <v>19</v>
      </c>
      <c r="U3130" s="5" t="s">
        <v>30681</v>
      </c>
      <c r="V3130" s="5" t="s">
        <v>30682</v>
      </c>
      <c r="W3130" s="5" t="s">
        <v>67</v>
      </c>
      <c r="X3130" s="5" t="s">
        <v>67</v>
      </c>
      <c r="Y3130" s="4">
        <v>841</v>
      </c>
      <c r="Z3130" s="4">
        <v>42</v>
      </c>
      <c r="AA3130" s="4">
        <v>48</v>
      </c>
      <c r="AB3130" s="4">
        <v>3</v>
      </c>
      <c r="AC3130" s="4">
        <v>8</v>
      </c>
      <c r="AD3130" s="4">
        <v>129</v>
      </c>
      <c r="AE3130" s="4">
        <v>133</v>
      </c>
      <c r="AF3130" s="4">
        <v>2</v>
      </c>
      <c r="AG3130" s="4">
        <v>5</v>
      </c>
      <c r="AH3130" s="4">
        <v>102</v>
      </c>
      <c r="AI3130" s="4">
        <v>103</v>
      </c>
      <c r="AJ3130" s="4">
        <v>22</v>
      </c>
      <c r="AK3130" s="4">
        <v>25</v>
      </c>
      <c r="AL3130" s="4">
        <v>56</v>
      </c>
      <c r="AM3130" s="4">
        <v>56</v>
      </c>
      <c r="AN3130" s="4">
        <v>0</v>
      </c>
      <c r="AO3130" s="4">
        <v>0</v>
      </c>
      <c r="AP3130" s="4">
        <v>35</v>
      </c>
      <c r="AQ3130" s="4">
        <v>38</v>
      </c>
      <c r="AR3130" s="3" t="s">
        <v>62</v>
      </c>
      <c r="AS3130" s="3" t="s">
        <v>62</v>
      </c>
      <c r="AT3130" s="3" t="s">
        <v>62</v>
      </c>
      <c r="AV3130" s="6" t="str">
        <f>HYPERLINK("http://mcgill.on.worldcat.org/oclc/2935333","Catalog Record")</f>
        <v>Catalog Record</v>
      </c>
      <c r="AW3130" s="6" t="str">
        <f>HYPERLINK("http://www.worldcat.org/oclc/2935333","WorldCat Record")</f>
        <v>WorldCat Record</v>
      </c>
      <c r="AX3130" s="3" t="s">
        <v>30683</v>
      </c>
      <c r="AY3130" s="3" t="s">
        <v>30684</v>
      </c>
      <c r="AZ3130" s="3" t="s">
        <v>30685</v>
      </c>
      <c r="BA3130" s="3" t="s">
        <v>30685</v>
      </c>
      <c r="BB3130" s="3" t="s">
        <v>30686</v>
      </c>
      <c r="BC3130" s="3" t="s">
        <v>142</v>
      </c>
      <c r="BD3130" s="3" t="s">
        <v>68</v>
      </c>
      <c r="BE3130" s="3" t="s">
        <v>30687</v>
      </c>
      <c r="BF3130" s="3" t="s">
        <v>30686</v>
      </c>
      <c r="BG3130" s="3" t="s">
        <v>30688</v>
      </c>
    </row>
    <row r="3131" spans="1:59" ht="57" x14ac:dyDescent="0.45">
      <c r="A3131" s="2" t="s">
        <v>59</v>
      </c>
      <c r="B3131" s="2" t="s">
        <v>60</v>
      </c>
      <c r="C3131" s="2" t="s">
        <v>30676</v>
      </c>
      <c r="D3131" s="2" t="s">
        <v>30677</v>
      </c>
      <c r="E3131" s="2" t="s">
        <v>30678</v>
      </c>
      <c r="G3131" s="3" t="s">
        <v>62</v>
      </c>
      <c r="I3131" s="3" t="s">
        <v>61</v>
      </c>
      <c r="J3131" s="3" t="s">
        <v>62</v>
      </c>
      <c r="K3131" s="3" t="s">
        <v>63</v>
      </c>
      <c r="L3131" s="2" t="s">
        <v>30679</v>
      </c>
      <c r="M3131" s="2" t="s">
        <v>30680</v>
      </c>
      <c r="N3131" s="3" t="s">
        <v>122</v>
      </c>
      <c r="P3131" s="3" t="s">
        <v>65</v>
      </c>
      <c r="R3131" s="3" t="s">
        <v>66</v>
      </c>
      <c r="S3131" s="4">
        <v>5</v>
      </c>
      <c r="T3131" s="4">
        <v>19</v>
      </c>
      <c r="U3131" s="5" t="s">
        <v>30682</v>
      </c>
      <c r="V3131" s="5" t="s">
        <v>30682</v>
      </c>
      <c r="W3131" s="5" t="s">
        <v>67</v>
      </c>
      <c r="X3131" s="5" t="s">
        <v>67</v>
      </c>
      <c r="Y3131" s="4">
        <v>841</v>
      </c>
      <c r="Z3131" s="4">
        <v>42</v>
      </c>
      <c r="AA3131" s="4">
        <v>48</v>
      </c>
      <c r="AB3131" s="4">
        <v>3</v>
      </c>
      <c r="AC3131" s="4">
        <v>8</v>
      </c>
      <c r="AD3131" s="4">
        <v>129</v>
      </c>
      <c r="AE3131" s="4">
        <v>133</v>
      </c>
      <c r="AF3131" s="4">
        <v>2</v>
      </c>
      <c r="AG3131" s="4">
        <v>5</v>
      </c>
      <c r="AH3131" s="4">
        <v>102</v>
      </c>
      <c r="AI3131" s="4">
        <v>103</v>
      </c>
      <c r="AJ3131" s="4">
        <v>22</v>
      </c>
      <c r="AK3131" s="4">
        <v>25</v>
      </c>
      <c r="AL3131" s="4">
        <v>56</v>
      </c>
      <c r="AM3131" s="4">
        <v>56</v>
      </c>
      <c r="AN3131" s="4">
        <v>0</v>
      </c>
      <c r="AO3131" s="4">
        <v>0</v>
      </c>
      <c r="AP3131" s="4">
        <v>35</v>
      </c>
      <c r="AQ3131" s="4">
        <v>38</v>
      </c>
      <c r="AR3131" s="3" t="s">
        <v>62</v>
      </c>
      <c r="AS3131" s="3" t="s">
        <v>62</v>
      </c>
      <c r="AT3131" s="3" t="s">
        <v>62</v>
      </c>
      <c r="AV3131" s="6" t="str">
        <f>HYPERLINK("http://mcgill.on.worldcat.org/oclc/2935333","Catalog Record")</f>
        <v>Catalog Record</v>
      </c>
      <c r="AW3131" s="6" t="str">
        <f>HYPERLINK("http://www.worldcat.org/oclc/2935333","WorldCat Record")</f>
        <v>WorldCat Record</v>
      </c>
      <c r="AX3131" s="3" t="s">
        <v>30683</v>
      </c>
      <c r="AY3131" s="3" t="s">
        <v>30684</v>
      </c>
      <c r="AZ3131" s="3" t="s">
        <v>30685</v>
      </c>
      <c r="BA3131" s="3" t="s">
        <v>30685</v>
      </c>
      <c r="BB3131" s="3" t="s">
        <v>30689</v>
      </c>
      <c r="BC3131" s="3" t="s">
        <v>142</v>
      </c>
      <c r="BD3131" s="3" t="s">
        <v>68</v>
      </c>
      <c r="BE3131" s="3" t="s">
        <v>30687</v>
      </c>
      <c r="BF3131" s="3" t="s">
        <v>30689</v>
      </c>
      <c r="BG3131" s="3" t="s">
        <v>30690</v>
      </c>
    </row>
    <row r="3132" spans="1:59" ht="57" x14ac:dyDescent="0.45">
      <c r="A3132" s="2" t="s">
        <v>59</v>
      </c>
      <c r="B3132" s="2" t="s">
        <v>60</v>
      </c>
      <c r="C3132" s="2" t="s">
        <v>30691</v>
      </c>
      <c r="D3132" s="2" t="s">
        <v>30692</v>
      </c>
      <c r="E3132" s="2" t="s">
        <v>30693</v>
      </c>
      <c r="G3132" s="3" t="s">
        <v>62</v>
      </c>
      <c r="I3132" s="3" t="s">
        <v>62</v>
      </c>
      <c r="J3132" s="3" t="s">
        <v>62</v>
      </c>
      <c r="K3132" s="3" t="s">
        <v>63</v>
      </c>
      <c r="L3132" s="2" t="s">
        <v>30694</v>
      </c>
      <c r="M3132" s="2" t="s">
        <v>30695</v>
      </c>
      <c r="N3132" s="3" t="s">
        <v>30696</v>
      </c>
      <c r="P3132" s="3" t="s">
        <v>110</v>
      </c>
      <c r="Q3132" s="2" t="s">
        <v>30697</v>
      </c>
      <c r="R3132" s="3" t="s">
        <v>66</v>
      </c>
      <c r="S3132" s="4">
        <v>1</v>
      </c>
      <c r="T3132" s="4">
        <v>1</v>
      </c>
      <c r="U3132" s="5" t="s">
        <v>30698</v>
      </c>
      <c r="V3132" s="5" t="s">
        <v>30698</v>
      </c>
      <c r="W3132" s="5" t="s">
        <v>67</v>
      </c>
      <c r="X3132" s="5" t="s">
        <v>67</v>
      </c>
      <c r="Y3132" s="4">
        <v>90</v>
      </c>
      <c r="Z3132" s="4">
        <v>7</v>
      </c>
      <c r="AA3132" s="4">
        <v>24</v>
      </c>
      <c r="AB3132" s="4">
        <v>2</v>
      </c>
      <c r="AC3132" s="4">
        <v>8</v>
      </c>
      <c r="AD3132" s="4">
        <v>45</v>
      </c>
      <c r="AE3132" s="4">
        <v>78</v>
      </c>
      <c r="AF3132" s="4">
        <v>1</v>
      </c>
      <c r="AG3132" s="4">
        <v>5</v>
      </c>
      <c r="AH3132" s="4">
        <v>41</v>
      </c>
      <c r="AI3132" s="4">
        <v>65</v>
      </c>
      <c r="AJ3132" s="4">
        <v>6</v>
      </c>
      <c r="AK3132" s="4">
        <v>16</v>
      </c>
      <c r="AL3132" s="4">
        <v>28</v>
      </c>
      <c r="AM3132" s="4">
        <v>42</v>
      </c>
      <c r="AN3132" s="4">
        <v>0</v>
      </c>
      <c r="AO3132" s="4">
        <v>0</v>
      </c>
      <c r="AP3132" s="4">
        <v>6</v>
      </c>
      <c r="AQ3132" s="4">
        <v>17</v>
      </c>
      <c r="AR3132" s="3" t="s">
        <v>62</v>
      </c>
      <c r="AS3132" s="3" t="s">
        <v>62</v>
      </c>
      <c r="AT3132" s="3" t="s">
        <v>62</v>
      </c>
      <c r="AU3132" s="6" t="str">
        <f>HYPERLINK("http://catalog.hathitrust.org/Record/000204084","HathiTrust Record")</f>
        <v>HathiTrust Record</v>
      </c>
      <c r="AV3132" s="6" t="str">
        <f>HYPERLINK("http://mcgill.on.worldcat.org/oclc/306940","Catalog Record")</f>
        <v>Catalog Record</v>
      </c>
      <c r="AW3132" s="6" t="str">
        <f>HYPERLINK("http://www.worldcat.org/oclc/306940","WorldCat Record")</f>
        <v>WorldCat Record</v>
      </c>
      <c r="AX3132" s="3" t="s">
        <v>30699</v>
      </c>
      <c r="AY3132" s="3" t="s">
        <v>30700</v>
      </c>
      <c r="AZ3132" s="3" t="s">
        <v>30701</v>
      </c>
      <c r="BA3132" s="3" t="s">
        <v>30701</v>
      </c>
      <c r="BB3132" s="3" t="s">
        <v>30702</v>
      </c>
      <c r="BC3132" s="3" t="s">
        <v>142</v>
      </c>
      <c r="BD3132" s="3" t="s">
        <v>68</v>
      </c>
      <c r="BF3132" s="3" t="s">
        <v>30702</v>
      </c>
      <c r="BG3132" s="3" t="s">
        <v>30703</v>
      </c>
    </row>
    <row r="3133" spans="1:59" ht="57" x14ac:dyDescent="0.45">
      <c r="A3133" s="2" t="s">
        <v>59</v>
      </c>
      <c r="B3133" s="2" t="s">
        <v>60</v>
      </c>
      <c r="C3133" s="2" t="s">
        <v>30704</v>
      </c>
      <c r="D3133" s="2" t="s">
        <v>30705</v>
      </c>
      <c r="E3133" s="2" t="s">
        <v>30706</v>
      </c>
      <c r="G3133" s="3" t="s">
        <v>62</v>
      </c>
      <c r="I3133" s="3" t="s">
        <v>61</v>
      </c>
      <c r="J3133" s="3" t="s">
        <v>61</v>
      </c>
      <c r="K3133" s="3" t="s">
        <v>63</v>
      </c>
      <c r="L3133" s="2" t="s">
        <v>30707</v>
      </c>
      <c r="M3133" s="2" t="s">
        <v>30708</v>
      </c>
      <c r="N3133" s="3" t="s">
        <v>1073</v>
      </c>
      <c r="O3133" s="2" t="s">
        <v>30709</v>
      </c>
      <c r="P3133" s="3" t="s">
        <v>65</v>
      </c>
      <c r="R3133" s="3" t="s">
        <v>66</v>
      </c>
      <c r="S3133" s="4">
        <v>74</v>
      </c>
      <c r="T3133" s="4">
        <v>216</v>
      </c>
      <c r="U3133" s="5" t="s">
        <v>16654</v>
      </c>
      <c r="V3133" s="5" t="s">
        <v>12639</v>
      </c>
      <c r="W3133" s="5" t="s">
        <v>67</v>
      </c>
      <c r="X3133" s="5" t="s">
        <v>67</v>
      </c>
      <c r="Y3133" s="4">
        <v>1216</v>
      </c>
      <c r="Z3133" s="4">
        <v>67</v>
      </c>
      <c r="AA3133" s="4">
        <v>88</v>
      </c>
      <c r="AB3133" s="4">
        <v>2</v>
      </c>
      <c r="AC3133" s="4">
        <v>5</v>
      </c>
      <c r="AD3133" s="4">
        <v>145</v>
      </c>
      <c r="AE3133" s="4">
        <v>158</v>
      </c>
      <c r="AF3133" s="4">
        <v>1</v>
      </c>
      <c r="AG3133" s="4">
        <v>3</v>
      </c>
      <c r="AH3133" s="4">
        <v>109</v>
      </c>
      <c r="AI3133" s="4">
        <v>115</v>
      </c>
      <c r="AJ3133" s="4">
        <v>21</v>
      </c>
      <c r="AK3133" s="4">
        <v>23</v>
      </c>
      <c r="AL3133" s="4">
        <v>60</v>
      </c>
      <c r="AM3133" s="4">
        <v>63</v>
      </c>
      <c r="AN3133" s="4">
        <v>0</v>
      </c>
      <c r="AO3133" s="4">
        <v>0</v>
      </c>
      <c r="AP3133" s="4">
        <v>45</v>
      </c>
      <c r="AQ3133" s="4">
        <v>51</v>
      </c>
      <c r="AR3133" s="3" t="s">
        <v>62</v>
      </c>
      <c r="AS3133" s="3" t="s">
        <v>62</v>
      </c>
      <c r="AT3133" s="3" t="s">
        <v>61</v>
      </c>
      <c r="AU3133" s="6" t="str">
        <f>HYPERLINK("http://catalog.hathitrust.org/Record/000040832","HathiTrust Record")</f>
        <v>HathiTrust Record</v>
      </c>
      <c r="AV3133" s="6" t="str">
        <f>HYPERLINK("http://mcgill.on.worldcat.org/oclc/2331293","Catalog Record")</f>
        <v>Catalog Record</v>
      </c>
      <c r="AW3133" s="6" t="str">
        <f>HYPERLINK("http://www.worldcat.org/oclc/2331293","WorldCat Record")</f>
        <v>WorldCat Record</v>
      </c>
      <c r="AX3133" s="3" t="s">
        <v>30710</v>
      </c>
      <c r="AY3133" s="3" t="s">
        <v>30711</v>
      </c>
      <c r="AZ3133" s="3" t="s">
        <v>30712</v>
      </c>
      <c r="BA3133" s="3" t="s">
        <v>30712</v>
      </c>
      <c r="BB3133" s="3" t="s">
        <v>30713</v>
      </c>
      <c r="BC3133" s="3" t="s">
        <v>142</v>
      </c>
      <c r="BD3133" s="3" t="s">
        <v>68</v>
      </c>
      <c r="BE3133" s="3" t="s">
        <v>30714</v>
      </c>
      <c r="BF3133" s="3" t="s">
        <v>30713</v>
      </c>
      <c r="BG3133" s="3" t="s">
        <v>30715</v>
      </c>
    </row>
    <row r="3134" spans="1:59" ht="57" x14ac:dyDescent="0.45">
      <c r="A3134" s="2" t="s">
        <v>59</v>
      </c>
      <c r="B3134" s="2" t="s">
        <v>60</v>
      </c>
      <c r="C3134" s="2" t="s">
        <v>30704</v>
      </c>
      <c r="D3134" s="2" t="s">
        <v>30705</v>
      </c>
      <c r="E3134" s="2" t="s">
        <v>30706</v>
      </c>
      <c r="G3134" s="3" t="s">
        <v>62</v>
      </c>
      <c r="I3134" s="3" t="s">
        <v>61</v>
      </c>
      <c r="J3134" s="3" t="s">
        <v>61</v>
      </c>
      <c r="K3134" s="3" t="s">
        <v>63</v>
      </c>
      <c r="L3134" s="2" t="s">
        <v>30707</v>
      </c>
      <c r="M3134" s="2" t="s">
        <v>30708</v>
      </c>
      <c r="N3134" s="3" t="s">
        <v>1073</v>
      </c>
      <c r="O3134" s="2" t="s">
        <v>30709</v>
      </c>
      <c r="P3134" s="3" t="s">
        <v>65</v>
      </c>
      <c r="R3134" s="3" t="s">
        <v>66</v>
      </c>
      <c r="S3134" s="4">
        <v>84</v>
      </c>
      <c r="T3134" s="4">
        <v>216</v>
      </c>
      <c r="U3134" s="5" t="s">
        <v>12639</v>
      </c>
      <c r="V3134" s="5" t="s">
        <v>12639</v>
      </c>
      <c r="W3134" s="5" t="s">
        <v>67</v>
      </c>
      <c r="X3134" s="5" t="s">
        <v>67</v>
      </c>
      <c r="Y3134" s="4">
        <v>1216</v>
      </c>
      <c r="Z3134" s="4">
        <v>67</v>
      </c>
      <c r="AA3134" s="4">
        <v>88</v>
      </c>
      <c r="AB3134" s="4">
        <v>2</v>
      </c>
      <c r="AC3134" s="4">
        <v>5</v>
      </c>
      <c r="AD3134" s="4">
        <v>145</v>
      </c>
      <c r="AE3134" s="4">
        <v>158</v>
      </c>
      <c r="AF3134" s="4">
        <v>1</v>
      </c>
      <c r="AG3134" s="4">
        <v>3</v>
      </c>
      <c r="AH3134" s="4">
        <v>109</v>
      </c>
      <c r="AI3134" s="4">
        <v>115</v>
      </c>
      <c r="AJ3134" s="4">
        <v>21</v>
      </c>
      <c r="AK3134" s="4">
        <v>23</v>
      </c>
      <c r="AL3134" s="4">
        <v>60</v>
      </c>
      <c r="AM3134" s="4">
        <v>63</v>
      </c>
      <c r="AN3134" s="4">
        <v>0</v>
      </c>
      <c r="AO3134" s="4">
        <v>0</v>
      </c>
      <c r="AP3134" s="4">
        <v>45</v>
      </c>
      <c r="AQ3134" s="4">
        <v>51</v>
      </c>
      <c r="AR3134" s="3" t="s">
        <v>62</v>
      </c>
      <c r="AS3134" s="3" t="s">
        <v>62</v>
      </c>
      <c r="AT3134" s="3" t="s">
        <v>61</v>
      </c>
      <c r="AU3134" s="6" t="str">
        <f>HYPERLINK("http://catalog.hathitrust.org/Record/000040832","HathiTrust Record")</f>
        <v>HathiTrust Record</v>
      </c>
      <c r="AV3134" s="6" t="str">
        <f>HYPERLINK("http://mcgill.on.worldcat.org/oclc/2331293","Catalog Record")</f>
        <v>Catalog Record</v>
      </c>
      <c r="AW3134" s="6" t="str">
        <f>HYPERLINK("http://www.worldcat.org/oclc/2331293","WorldCat Record")</f>
        <v>WorldCat Record</v>
      </c>
      <c r="AX3134" s="3" t="s">
        <v>30710</v>
      </c>
      <c r="AY3134" s="3" t="s">
        <v>30711</v>
      </c>
      <c r="AZ3134" s="3" t="s">
        <v>30712</v>
      </c>
      <c r="BA3134" s="3" t="s">
        <v>30712</v>
      </c>
      <c r="BB3134" s="3" t="s">
        <v>30716</v>
      </c>
      <c r="BC3134" s="3" t="s">
        <v>142</v>
      </c>
      <c r="BD3134" s="3" t="s">
        <v>68</v>
      </c>
      <c r="BE3134" s="3" t="s">
        <v>30714</v>
      </c>
      <c r="BF3134" s="3" t="s">
        <v>30716</v>
      </c>
      <c r="BG3134" s="3" t="s">
        <v>30717</v>
      </c>
    </row>
    <row r="3135" spans="1:59" ht="57" x14ac:dyDescent="0.45">
      <c r="A3135" s="2" t="s">
        <v>59</v>
      </c>
      <c r="B3135" s="2" t="s">
        <v>60</v>
      </c>
      <c r="C3135" s="2" t="s">
        <v>30704</v>
      </c>
      <c r="D3135" s="2" t="s">
        <v>30705</v>
      </c>
      <c r="E3135" s="2" t="s">
        <v>30706</v>
      </c>
      <c r="G3135" s="3" t="s">
        <v>62</v>
      </c>
      <c r="I3135" s="3" t="s">
        <v>61</v>
      </c>
      <c r="J3135" s="3" t="s">
        <v>61</v>
      </c>
      <c r="K3135" s="3" t="s">
        <v>63</v>
      </c>
      <c r="L3135" s="2" t="s">
        <v>30707</v>
      </c>
      <c r="M3135" s="2" t="s">
        <v>30708</v>
      </c>
      <c r="N3135" s="3" t="s">
        <v>1073</v>
      </c>
      <c r="O3135" s="2" t="s">
        <v>30709</v>
      </c>
      <c r="P3135" s="3" t="s">
        <v>65</v>
      </c>
      <c r="R3135" s="3" t="s">
        <v>66</v>
      </c>
      <c r="S3135" s="4">
        <v>52</v>
      </c>
      <c r="T3135" s="4">
        <v>216</v>
      </c>
      <c r="U3135" s="5" t="s">
        <v>12870</v>
      </c>
      <c r="V3135" s="5" t="s">
        <v>12639</v>
      </c>
      <c r="W3135" s="5" t="s">
        <v>67</v>
      </c>
      <c r="X3135" s="5" t="s">
        <v>67</v>
      </c>
      <c r="Y3135" s="4">
        <v>1216</v>
      </c>
      <c r="Z3135" s="4">
        <v>67</v>
      </c>
      <c r="AA3135" s="4">
        <v>88</v>
      </c>
      <c r="AB3135" s="4">
        <v>2</v>
      </c>
      <c r="AC3135" s="4">
        <v>5</v>
      </c>
      <c r="AD3135" s="4">
        <v>145</v>
      </c>
      <c r="AE3135" s="4">
        <v>158</v>
      </c>
      <c r="AF3135" s="4">
        <v>1</v>
      </c>
      <c r="AG3135" s="4">
        <v>3</v>
      </c>
      <c r="AH3135" s="4">
        <v>109</v>
      </c>
      <c r="AI3135" s="4">
        <v>115</v>
      </c>
      <c r="AJ3135" s="4">
        <v>21</v>
      </c>
      <c r="AK3135" s="4">
        <v>23</v>
      </c>
      <c r="AL3135" s="4">
        <v>60</v>
      </c>
      <c r="AM3135" s="4">
        <v>63</v>
      </c>
      <c r="AN3135" s="4">
        <v>0</v>
      </c>
      <c r="AO3135" s="4">
        <v>0</v>
      </c>
      <c r="AP3135" s="4">
        <v>45</v>
      </c>
      <c r="AQ3135" s="4">
        <v>51</v>
      </c>
      <c r="AR3135" s="3" t="s">
        <v>62</v>
      </c>
      <c r="AS3135" s="3" t="s">
        <v>62</v>
      </c>
      <c r="AT3135" s="3" t="s">
        <v>61</v>
      </c>
      <c r="AU3135" s="6" t="str">
        <f>HYPERLINK("http://catalog.hathitrust.org/Record/000040832","HathiTrust Record")</f>
        <v>HathiTrust Record</v>
      </c>
      <c r="AV3135" s="6" t="str">
        <f>HYPERLINK("http://mcgill.on.worldcat.org/oclc/2331293","Catalog Record")</f>
        <v>Catalog Record</v>
      </c>
      <c r="AW3135" s="6" t="str">
        <f>HYPERLINK("http://www.worldcat.org/oclc/2331293","WorldCat Record")</f>
        <v>WorldCat Record</v>
      </c>
      <c r="AX3135" s="3" t="s">
        <v>30710</v>
      </c>
      <c r="AY3135" s="3" t="s">
        <v>30711</v>
      </c>
      <c r="AZ3135" s="3" t="s">
        <v>30712</v>
      </c>
      <c r="BA3135" s="3" t="s">
        <v>30712</v>
      </c>
      <c r="BB3135" s="3" t="s">
        <v>30718</v>
      </c>
      <c r="BC3135" s="3" t="s">
        <v>142</v>
      </c>
      <c r="BD3135" s="3" t="s">
        <v>68</v>
      </c>
      <c r="BE3135" s="3" t="s">
        <v>30714</v>
      </c>
      <c r="BF3135" s="3" t="s">
        <v>30718</v>
      </c>
      <c r="BG3135" s="3" t="s">
        <v>30719</v>
      </c>
    </row>
    <row r="3136" spans="1:59" ht="57" x14ac:dyDescent="0.45">
      <c r="A3136" s="2" t="s">
        <v>59</v>
      </c>
      <c r="B3136" s="2" t="s">
        <v>60</v>
      </c>
      <c r="C3136" s="2" t="s">
        <v>30704</v>
      </c>
      <c r="D3136" s="2" t="s">
        <v>30705</v>
      </c>
      <c r="E3136" s="2" t="s">
        <v>30706</v>
      </c>
      <c r="G3136" s="3" t="s">
        <v>62</v>
      </c>
      <c r="I3136" s="3" t="s">
        <v>61</v>
      </c>
      <c r="J3136" s="3" t="s">
        <v>61</v>
      </c>
      <c r="K3136" s="3" t="s">
        <v>63</v>
      </c>
      <c r="L3136" s="2" t="s">
        <v>30707</v>
      </c>
      <c r="M3136" s="2" t="s">
        <v>30708</v>
      </c>
      <c r="N3136" s="3" t="s">
        <v>1073</v>
      </c>
      <c r="O3136" s="2" t="s">
        <v>30709</v>
      </c>
      <c r="P3136" s="3" t="s">
        <v>65</v>
      </c>
      <c r="R3136" s="3" t="s">
        <v>66</v>
      </c>
      <c r="S3136" s="4">
        <v>6</v>
      </c>
      <c r="T3136" s="4">
        <v>216</v>
      </c>
      <c r="U3136" s="5" t="s">
        <v>531</v>
      </c>
      <c r="V3136" s="5" t="s">
        <v>12639</v>
      </c>
      <c r="W3136" s="5" t="s">
        <v>67</v>
      </c>
      <c r="X3136" s="5" t="s">
        <v>67</v>
      </c>
      <c r="Y3136" s="4">
        <v>1216</v>
      </c>
      <c r="Z3136" s="4">
        <v>67</v>
      </c>
      <c r="AA3136" s="4">
        <v>88</v>
      </c>
      <c r="AB3136" s="4">
        <v>2</v>
      </c>
      <c r="AC3136" s="4">
        <v>5</v>
      </c>
      <c r="AD3136" s="4">
        <v>145</v>
      </c>
      <c r="AE3136" s="4">
        <v>158</v>
      </c>
      <c r="AF3136" s="4">
        <v>1</v>
      </c>
      <c r="AG3136" s="4">
        <v>3</v>
      </c>
      <c r="AH3136" s="4">
        <v>109</v>
      </c>
      <c r="AI3136" s="4">
        <v>115</v>
      </c>
      <c r="AJ3136" s="4">
        <v>21</v>
      </c>
      <c r="AK3136" s="4">
        <v>23</v>
      </c>
      <c r="AL3136" s="4">
        <v>60</v>
      </c>
      <c r="AM3136" s="4">
        <v>63</v>
      </c>
      <c r="AN3136" s="4">
        <v>0</v>
      </c>
      <c r="AO3136" s="4">
        <v>0</v>
      </c>
      <c r="AP3136" s="4">
        <v>45</v>
      </c>
      <c r="AQ3136" s="4">
        <v>51</v>
      </c>
      <c r="AR3136" s="3" t="s">
        <v>62</v>
      </c>
      <c r="AS3136" s="3" t="s">
        <v>62</v>
      </c>
      <c r="AT3136" s="3" t="s">
        <v>61</v>
      </c>
      <c r="AU3136" s="6" t="str">
        <f>HYPERLINK("http://catalog.hathitrust.org/Record/000040832","HathiTrust Record")</f>
        <v>HathiTrust Record</v>
      </c>
      <c r="AV3136" s="6" t="str">
        <f>HYPERLINK("http://mcgill.on.worldcat.org/oclc/2331293","Catalog Record")</f>
        <v>Catalog Record</v>
      </c>
      <c r="AW3136" s="6" t="str">
        <f>HYPERLINK("http://www.worldcat.org/oclc/2331293","WorldCat Record")</f>
        <v>WorldCat Record</v>
      </c>
      <c r="AX3136" s="3" t="s">
        <v>30710</v>
      </c>
      <c r="AY3136" s="3" t="s">
        <v>30711</v>
      </c>
      <c r="AZ3136" s="3" t="s">
        <v>30712</v>
      </c>
      <c r="BA3136" s="3" t="s">
        <v>30712</v>
      </c>
      <c r="BB3136" s="3" t="s">
        <v>30720</v>
      </c>
      <c r="BC3136" s="3" t="s">
        <v>142</v>
      </c>
      <c r="BD3136" s="3" t="s">
        <v>308</v>
      </c>
      <c r="BE3136" s="3" t="s">
        <v>30714</v>
      </c>
      <c r="BF3136" s="3" t="s">
        <v>30720</v>
      </c>
      <c r="BG3136" s="3" t="s">
        <v>30721</v>
      </c>
    </row>
    <row r="3137" spans="1:59" ht="57" x14ac:dyDescent="0.45">
      <c r="A3137" s="2" t="s">
        <v>59</v>
      </c>
      <c r="B3137" s="2" t="s">
        <v>60</v>
      </c>
      <c r="C3137" s="2" t="s">
        <v>30722</v>
      </c>
      <c r="D3137" s="2" t="s">
        <v>30723</v>
      </c>
      <c r="E3137" s="2" t="s">
        <v>30706</v>
      </c>
      <c r="G3137" s="3" t="s">
        <v>62</v>
      </c>
      <c r="I3137" s="3" t="s">
        <v>61</v>
      </c>
      <c r="J3137" s="3" t="s">
        <v>61</v>
      </c>
      <c r="K3137" s="3" t="s">
        <v>63</v>
      </c>
      <c r="L3137" s="2" t="s">
        <v>30724</v>
      </c>
      <c r="M3137" s="2" t="s">
        <v>30725</v>
      </c>
      <c r="N3137" s="3" t="s">
        <v>1437</v>
      </c>
      <c r="O3137" s="2" t="s">
        <v>30726</v>
      </c>
      <c r="P3137" s="3" t="s">
        <v>65</v>
      </c>
      <c r="R3137" s="3" t="s">
        <v>66</v>
      </c>
      <c r="S3137" s="4">
        <v>55</v>
      </c>
      <c r="T3137" s="4">
        <v>127</v>
      </c>
      <c r="U3137" s="5" t="s">
        <v>9280</v>
      </c>
      <c r="V3137" s="5" t="s">
        <v>9280</v>
      </c>
      <c r="W3137" s="5" t="s">
        <v>67</v>
      </c>
      <c r="X3137" s="5" t="s">
        <v>67</v>
      </c>
      <c r="Y3137" s="4">
        <v>302</v>
      </c>
      <c r="Z3137" s="4">
        <v>8</v>
      </c>
      <c r="AA3137" s="4">
        <v>88</v>
      </c>
      <c r="AB3137" s="4">
        <v>1</v>
      </c>
      <c r="AC3137" s="4">
        <v>5</v>
      </c>
      <c r="AD3137" s="4">
        <v>41</v>
      </c>
      <c r="AE3137" s="4">
        <v>158</v>
      </c>
      <c r="AF3137" s="4">
        <v>0</v>
      </c>
      <c r="AG3137" s="4">
        <v>3</v>
      </c>
      <c r="AH3137" s="4">
        <v>38</v>
      </c>
      <c r="AI3137" s="4">
        <v>115</v>
      </c>
      <c r="AJ3137" s="4">
        <v>4</v>
      </c>
      <c r="AK3137" s="4">
        <v>23</v>
      </c>
      <c r="AL3137" s="4">
        <v>22</v>
      </c>
      <c r="AM3137" s="4">
        <v>63</v>
      </c>
      <c r="AN3137" s="4">
        <v>0</v>
      </c>
      <c r="AO3137" s="4">
        <v>0</v>
      </c>
      <c r="AP3137" s="4">
        <v>5</v>
      </c>
      <c r="AQ3137" s="4">
        <v>51</v>
      </c>
      <c r="AR3137" s="3" t="s">
        <v>62</v>
      </c>
      <c r="AS3137" s="3" t="s">
        <v>62</v>
      </c>
      <c r="AT3137" s="3" t="s">
        <v>61</v>
      </c>
      <c r="AU3137" s="6" t="str">
        <f>HYPERLINK("http://catalog.hathitrust.org/Record/004275230","HathiTrust Record")</f>
        <v>HathiTrust Record</v>
      </c>
      <c r="AV3137" s="6" t="str">
        <f>HYPERLINK("http://mcgill.on.worldcat.org/oclc/39348029","Catalog Record")</f>
        <v>Catalog Record</v>
      </c>
      <c r="AW3137" s="6" t="str">
        <f>HYPERLINK("http://www.worldcat.org/oclc/39348029","WorldCat Record")</f>
        <v>WorldCat Record</v>
      </c>
      <c r="AX3137" s="3" t="s">
        <v>30710</v>
      </c>
      <c r="AY3137" s="3" t="s">
        <v>30727</v>
      </c>
      <c r="AZ3137" s="3" t="s">
        <v>30728</v>
      </c>
      <c r="BA3137" s="3" t="s">
        <v>30728</v>
      </c>
      <c r="BB3137" s="3" t="s">
        <v>30729</v>
      </c>
      <c r="BC3137" s="3" t="s">
        <v>142</v>
      </c>
      <c r="BD3137" s="3" t="s">
        <v>68</v>
      </c>
      <c r="BE3137" s="3" t="s">
        <v>30730</v>
      </c>
      <c r="BF3137" s="3" t="s">
        <v>30729</v>
      </c>
      <c r="BG3137" s="3" t="s">
        <v>30731</v>
      </c>
    </row>
    <row r="3138" spans="1:59" ht="57" x14ac:dyDescent="0.45">
      <c r="A3138" s="2" t="s">
        <v>59</v>
      </c>
      <c r="B3138" s="2" t="s">
        <v>60</v>
      </c>
      <c r="C3138" s="2" t="s">
        <v>30722</v>
      </c>
      <c r="D3138" s="2" t="s">
        <v>30723</v>
      </c>
      <c r="E3138" s="2" t="s">
        <v>30706</v>
      </c>
      <c r="G3138" s="3" t="s">
        <v>62</v>
      </c>
      <c r="I3138" s="3" t="s">
        <v>61</v>
      </c>
      <c r="J3138" s="3" t="s">
        <v>61</v>
      </c>
      <c r="K3138" s="3" t="s">
        <v>63</v>
      </c>
      <c r="L3138" s="2" t="s">
        <v>30724</v>
      </c>
      <c r="M3138" s="2" t="s">
        <v>30725</v>
      </c>
      <c r="N3138" s="3" t="s">
        <v>1437</v>
      </c>
      <c r="O3138" s="2" t="s">
        <v>30726</v>
      </c>
      <c r="P3138" s="3" t="s">
        <v>65</v>
      </c>
      <c r="R3138" s="3" t="s">
        <v>66</v>
      </c>
      <c r="S3138" s="4">
        <v>72</v>
      </c>
      <c r="T3138" s="4">
        <v>127</v>
      </c>
      <c r="U3138" s="5" t="s">
        <v>20652</v>
      </c>
      <c r="V3138" s="5" t="s">
        <v>9280</v>
      </c>
      <c r="W3138" s="5" t="s">
        <v>67</v>
      </c>
      <c r="X3138" s="5" t="s">
        <v>67</v>
      </c>
      <c r="Y3138" s="4">
        <v>302</v>
      </c>
      <c r="Z3138" s="4">
        <v>8</v>
      </c>
      <c r="AA3138" s="4">
        <v>88</v>
      </c>
      <c r="AB3138" s="4">
        <v>1</v>
      </c>
      <c r="AC3138" s="4">
        <v>5</v>
      </c>
      <c r="AD3138" s="4">
        <v>41</v>
      </c>
      <c r="AE3138" s="4">
        <v>158</v>
      </c>
      <c r="AF3138" s="4">
        <v>0</v>
      </c>
      <c r="AG3138" s="4">
        <v>3</v>
      </c>
      <c r="AH3138" s="4">
        <v>38</v>
      </c>
      <c r="AI3138" s="4">
        <v>115</v>
      </c>
      <c r="AJ3138" s="4">
        <v>4</v>
      </c>
      <c r="AK3138" s="4">
        <v>23</v>
      </c>
      <c r="AL3138" s="4">
        <v>22</v>
      </c>
      <c r="AM3138" s="4">
        <v>63</v>
      </c>
      <c r="AN3138" s="4">
        <v>0</v>
      </c>
      <c r="AO3138" s="4">
        <v>0</v>
      </c>
      <c r="AP3138" s="4">
        <v>5</v>
      </c>
      <c r="AQ3138" s="4">
        <v>51</v>
      </c>
      <c r="AR3138" s="3" t="s">
        <v>62</v>
      </c>
      <c r="AS3138" s="3" t="s">
        <v>62</v>
      </c>
      <c r="AT3138" s="3" t="s">
        <v>61</v>
      </c>
      <c r="AU3138" s="6" t="str">
        <f>HYPERLINK("http://catalog.hathitrust.org/Record/004275230","HathiTrust Record")</f>
        <v>HathiTrust Record</v>
      </c>
      <c r="AV3138" s="6" t="str">
        <f>HYPERLINK("http://mcgill.on.worldcat.org/oclc/39348029","Catalog Record")</f>
        <v>Catalog Record</v>
      </c>
      <c r="AW3138" s="6" t="str">
        <f>HYPERLINK("http://www.worldcat.org/oclc/39348029","WorldCat Record")</f>
        <v>WorldCat Record</v>
      </c>
      <c r="AX3138" s="3" t="s">
        <v>30710</v>
      </c>
      <c r="AY3138" s="3" t="s">
        <v>30727</v>
      </c>
      <c r="AZ3138" s="3" t="s">
        <v>30728</v>
      </c>
      <c r="BA3138" s="3" t="s">
        <v>30728</v>
      </c>
      <c r="BB3138" s="3" t="s">
        <v>30732</v>
      </c>
      <c r="BC3138" s="3" t="s">
        <v>142</v>
      </c>
      <c r="BD3138" s="3" t="s">
        <v>68</v>
      </c>
      <c r="BE3138" s="3" t="s">
        <v>30730</v>
      </c>
      <c r="BF3138" s="3" t="s">
        <v>30732</v>
      </c>
      <c r="BG3138" s="3" t="s">
        <v>30733</v>
      </c>
    </row>
    <row r="3139" spans="1:59" ht="57" x14ac:dyDescent="0.45">
      <c r="A3139" s="2" t="s">
        <v>59</v>
      </c>
      <c r="B3139" s="2" t="s">
        <v>60</v>
      </c>
      <c r="C3139" s="2" t="s">
        <v>30734</v>
      </c>
      <c r="D3139" s="2" t="s">
        <v>30735</v>
      </c>
      <c r="E3139" s="2" t="s">
        <v>30736</v>
      </c>
      <c r="G3139" s="3" t="s">
        <v>62</v>
      </c>
      <c r="I3139" s="3" t="s">
        <v>61</v>
      </c>
      <c r="J3139" s="3" t="s">
        <v>61</v>
      </c>
      <c r="K3139" s="3" t="s">
        <v>63</v>
      </c>
      <c r="L3139" s="2" t="s">
        <v>30707</v>
      </c>
      <c r="M3139" s="2" t="s">
        <v>30737</v>
      </c>
      <c r="N3139" s="3" t="s">
        <v>181</v>
      </c>
      <c r="O3139" s="2" t="s">
        <v>30738</v>
      </c>
      <c r="P3139" s="3" t="s">
        <v>65</v>
      </c>
      <c r="R3139" s="3" t="s">
        <v>66</v>
      </c>
      <c r="S3139" s="4">
        <v>5</v>
      </c>
      <c r="T3139" s="4">
        <v>17</v>
      </c>
      <c r="U3139" s="5" t="s">
        <v>30739</v>
      </c>
      <c r="V3139" s="5" t="s">
        <v>30739</v>
      </c>
      <c r="W3139" s="5" t="s">
        <v>67</v>
      </c>
      <c r="X3139" s="5" t="s">
        <v>67</v>
      </c>
      <c r="Y3139" s="4">
        <v>181</v>
      </c>
      <c r="Z3139" s="4">
        <v>19</v>
      </c>
      <c r="AA3139" s="4">
        <v>88</v>
      </c>
      <c r="AB3139" s="4">
        <v>1</v>
      </c>
      <c r="AC3139" s="4">
        <v>5</v>
      </c>
      <c r="AD3139" s="4">
        <v>69</v>
      </c>
      <c r="AE3139" s="4">
        <v>158</v>
      </c>
      <c r="AF3139" s="4">
        <v>0</v>
      </c>
      <c r="AG3139" s="4">
        <v>3</v>
      </c>
      <c r="AH3139" s="4">
        <v>65</v>
      </c>
      <c r="AI3139" s="4">
        <v>115</v>
      </c>
      <c r="AJ3139" s="4">
        <v>9</v>
      </c>
      <c r="AK3139" s="4">
        <v>23</v>
      </c>
      <c r="AL3139" s="4">
        <v>42</v>
      </c>
      <c r="AM3139" s="4">
        <v>63</v>
      </c>
      <c r="AN3139" s="4">
        <v>0</v>
      </c>
      <c r="AO3139" s="4">
        <v>0</v>
      </c>
      <c r="AP3139" s="4">
        <v>10</v>
      </c>
      <c r="AQ3139" s="4">
        <v>51</v>
      </c>
      <c r="AR3139" s="3" t="s">
        <v>62</v>
      </c>
      <c r="AS3139" s="3" t="s">
        <v>62</v>
      </c>
      <c r="AT3139" s="3" t="s">
        <v>62</v>
      </c>
      <c r="AV3139" s="6" t="str">
        <f>HYPERLINK("http://mcgill.on.worldcat.org/oclc/921240434","Catalog Record")</f>
        <v>Catalog Record</v>
      </c>
      <c r="AW3139" s="6" t="str">
        <f>HYPERLINK("http://www.worldcat.org/oclc/921240434","WorldCat Record")</f>
        <v>WorldCat Record</v>
      </c>
      <c r="AX3139" s="3" t="s">
        <v>30710</v>
      </c>
      <c r="AY3139" s="3" t="s">
        <v>30740</v>
      </c>
      <c r="AZ3139" s="3" t="s">
        <v>30741</v>
      </c>
      <c r="BA3139" s="3" t="s">
        <v>30741</v>
      </c>
      <c r="BB3139" s="3" t="s">
        <v>30742</v>
      </c>
      <c r="BC3139" s="3" t="s">
        <v>142</v>
      </c>
      <c r="BD3139" s="3" t="s">
        <v>68</v>
      </c>
      <c r="BE3139" s="3" t="s">
        <v>30743</v>
      </c>
      <c r="BF3139" s="3" t="s">
        <v>30742</v>
      </c>
      <c r="BG3139" s="3" t="s">
        <v>30744</v>
      </c>
    </row>
    <row r="3140" spans="1:59" ht="57" x14ac:dyDescent="0.45">
      <c r="A3140" s="2" t="s">
        <v>59</v>
      </c>
      <c r="B3140" s="2" t="s">
        <v>60</v>
      </c>
      <c r="C3140" s="2" t="s">
        <v>30734</v>
      </c>
      <c r="D3140" s="2" t="s">
        <v>30735</v>
      </c>
      <c r="E3140" s="2" t="s">
        <v>30736</v>
      </c>
      <c r="G3140" s="3" t="s">
        <v>62</v>
      </c>
      <c r="I3140" s="3" t="s">
        <v>61</v>
      </c>
      <c r="J3140" s="3" t="s">
        <v>61</v>
      </c>
      <c r="K3140" s="3" t="s">
        <v>63</v>
      </c>
      <c r="L3140" s="2" t="s">
        <v>30707</v>
      </c>
      <c r="M3140" s="2" t="s">
        <v>30737</v>
      </c>
      <c r="N3140" s="3" t="s">
        <v>181</v>
      </c>
      <c r="O3140" s="2" t="s">
        <v>30738</v>
      </c>
      <c r="P3140" s="3" t="s">
        <v>65</v>
      </c>
      <c r="R3140" s="3" t="s">
        <v>66</v>
      </c>
      <c r="S3140" s="4">
        <v>0</v>
      </c>
      <c r="T3140" s="4">
        <v>17</v>
      </c>
      <c r="V3140" s="5" t="s">
        <v>30739</v>
      </c>
      <c r="W3140" s="5" t="s">
        <v>67</v>
      </c>
      <c r="X3140" s="5" t="s">
        <v>67</v>
      </c>
      <c r="Y3140" s="4">
        <v>181</v>
      </c>
      <c r="Z3140" s="4">
        <v>19</v>
      </c>
      <c r="AA3140" s="4">
        <v>88</v>
      </c>
      <c r="AB3140" s="4">
        <v>1</v>
      </c>
      <c r="AC3140" s="4">
        <v>5</v>
      </c>
      <c r="AD3140" s="4">
        <v>69</v>
      </c>
      <c r="AE3140" s="4">
        <v>158</v>
      </c>
      <c r="AF3140" s="4">
        <v>0</v>
      </c>
      <c r="AG3140" s="4">
        <v>3</v>
      </c>
      <c r="AH3140" s="4">
        <v>65</v>
      </c>
      <c r="AI3140" s="4">
        <v>115</v>
      </c>
      <c r="AJ3140" s="4">
        <v>9</v>
      </c>
      <c r="AK3140" s="4">
        <v>23</v>
      </c>
      <c r="AL3140" s="4">
        <v>42</v>
      </c>
      <c r="AM3140" s="4">
        <v>63</v>
      </c>
      <c r="AN3140" s="4">
        <v>0</v>
      </c>
      <c r="AO3140" s="4">
        <v>0</v>
      </c>
      <c r="AP3140" s="4">
        <v>10</v>
      </c>
      <c r="AQ3140" s="4">
        <v>51</v>
      </c>
      <c r="AR3140" s="3" t="s">
        <v>62</v>
      </c>
      <c r="AS3140" s="3" t="s">
        <v>62</v>
      </c>
      <c r="AT3140" s="3" t="s">
        <v>62</v>
      </c>
      <c r="AV3140" s="6" t="str">
        <f>HYPERLINK("http://mcgill.on.worldcat.org/oclc/921240434","Catalog Record")</f>
        <v>Catalog Record</v>
      </c>
      <c r="AW3140" s="6" t="str">
        <f>HYPERLINK("http://www.worldcat.org/oclc/921240434","WorldCat Record")</f>
        <v>WorldCat Record</v>
      </c>
      <c r="AX3140" s="3" t="s">
        <v>30710</v>
      </c>
      <c r="AY3140" s="3" t="s">
        <v>30740</v>
      </c>
      <c r="AZ3140" s="3" t="s">
        <v>30741</v>
      </c>
      <c r="BA3140" s="3" t="s">
        <v>30741</v>
      </c>
      <c r="BB3140" s="3" t="s">
        <v>30745</v>
      </c>
      <c r="BC3140" s="3" t="s">
        <v>142</v>
      </c>
      <c r="BD3140" s="3" t="s">
        <v>68</v>
      </c>
      <c r="BE3140" s="3" t="s">
        <v>30743</v>
      </c>
      <c r="BF3140" s="3" t="s">
        <v>30745</v>
      </c>
      <c r="BG3140" s="3" t="s">
        <v>30746</v>
      </c>
    </row>
    <row r="3141" spans="1:59" ht="57" x14ac:dyDescent="0.45">
      <c r="A3141" s="2" t="s">
        <v>59</v>
      </c>
      <c r="B3141" s="2" t="s">
        <v>60</v>
      </c>
      <c r="C3141" s="2" t="s">
        <v>30734</v>
      </c>
      <c r="D3141" s="2" t="s">
        <v>30735</v>
      </c>
      <c r="E3141" s="2" t="s">
        <v>30736</v>
      </c>
      <c r="G3141" s="3" t="s">
        <v>62</v>
      </c>
      <c r="I3141" s="3" t="s">
        <v>61</v>
      </c>
      <c r="J3141" s="3" t="s">
        <v>61</v>
      </c>
      <c r="K3141" s="3" t="s">
        <v>63</v>
      </c>
      <c r="L3141" s="2" t="s">
        <v>30707</v>
      </c>
      <c r="M3141" s="2" t="s">
        <v>30737</v>
      </c>
      <c r="N3141" s="3" t="s">
        <v>181</v>
      </c>
      <c r="O3141" s="2" t="s">
        <v>30738</v>
      </c>
      <c r="P3141" s="3" t="s">
        <v>65</v>
      </c>
      <c r="R3141" s="3" t="s">
        <v>66</v>
      </c>
      <c r="S3141" s="4">
        <v>4</v>
      </c>
      <c r="T3141" s="4">
        <v>17</v>
      </c>
      <c r="U3141" s="5" t="s">
        <v>934</v>
      </c>
      <c r="V3141" s="5" t="s">
        <v>30739</v>
      </c>
      <c r="W3141" s="5" t="s">
        <v>67</v>
      </c>
      <c r="X3141" s="5" t="s">
        <v>67</v>
      </c>
      <c r="Y3141" s="4">
        <v>181</v>
      </c>
      <c r="Z3141" s="4">
        <v>19</v>
      </c>
      <c r="AA3141" s="4">
        <v>88</v>
      </c>
      <c r="AB3141" s="4">
        <v>1</v>
      </c>
      <c r="AC3141" s="4">
        <v>5</v>
      </c>
      <c r="AD3141" s="4">
        <v>69</v>
      </c>
      <c r="AE3141" s="4">
        <v>158</v>
      </c>
      <c r="AF3141" s="4">
        <v>0</v>
      </c>
      <c r="AG3141" s="4">
        <v>3</v>
      </c>
      <c r="AH3141" s="4">
        <v>65</v>
      </c>
      <c r="AI3141" s="4">
        <v>115</v>
      </c>
      <c r="AJ3141" s="4">
        <v>9</v>
      </c>
      <c r="AK3141" s="4">
        <v>23</v>
      </c>
      <c r="AL3141" s="4">
        <v>42</v>
      </c>
      <c r="AM3141" s="4">
        <v>63</v>
      </c>
      <c r="AN3141" s="4">
        <v>0</v>
      </c>
      <c r="AO3141" s="4">
        <v>0</v>
      </c>
      <c r="AP3141" s="4">
        <v>10</v>
      </c>
      <c r="AQ3141" s="4">
        <v>51</v>
      </c>
      <c r="AR3141" s="3" t="s">
        <v>62</v>
      </c>
      <c r="AS3141" s="3" t="s">
        <v>62</v>
      </c>
      <c r="AT3141" s="3" t="s">
        <v>62</v>
      </c>
      <c r="AV3141" s="6" t="str">
        <f>HYPERLINK("http://mcgill.on.worldcat.org/oclc/921240434","Catalog Record")</f>
        <v>Catalog Record</v>
      </c>
      <c r="AW3141" s="6" t="str">
        <f>HYPERLINK("http://www.worldcat.org/oclc/921240434","WorldCat Record")</f>
        <v>WorldCat Record</v>
      </c>
      <c r="AX3141" s="3" t="s">
        <v>30710</v>
      </c>
      <c r="AY3141" s="3" t="s">
        <v>30740</v>
      </c>
      <c r="AZ3141" s="3" t="s">
        <v>30741</v>
      </c>
      <c r="BA3141" s="3" t="s">
        <v>30741</v>
      </c>
      <c r="BB3141" s="3" t="s">
        <v>30747</v>
      </c>
      <c r="BC3141" s="3" t="s">
        <v>142</v>
      </c>
      <c r="BD3141" s="3" t="s">
        <v>308</v>
      </c>
      <c r="BE3141" s="3" t="s">
        <v>30743</v>
      </c>
      <c r="BF3141" s="3" t="s">
        <v>30747</v>
      </c>
      <c r="BG3141" s="3" t="s">
        <v>30748</v>
      </c>
    </row>
    <row r="3142" spans="1:59" ht="57" x14ac:dyDescent="0.45">
      <c r="A3142" s="2" t="s">
        <v>59</v>
      </c>
      <c r="B3142" s="2" t="s">
        <v>60</v>
      </c>
      <c r="C3142" s="2" t="s">
        <v>30734</v>
      </c>
      <c r="D3142" s="2" t="s">
        <v>30735</v>
      </c>
      <c r="E3142" s="2" t="s">
        <v>30736</v>
      </c>
      <c r="G3142" s="3" t="s">
        <v>62</v>
      </c>
      <c r="I3142" s="3" t="s">
        <v>61</v>
      </c>
      <c r="J3142" s="3" t="s">
        <v>61</v>
      </c>
      <c r="K3142" s="3" t="s">
        <v>63</v>
      </c>
      <c r="L3142" s="2" t="s">
        <v>30707</v>
      </c>
      <c r="M3142" s="2" t="s">
        <v>30737</v>
      </c>
      <c r="N3142" s="3" t="s">
        <v>181</v>
      </c>
      <c r="O3142" s="2" t="s">
        <v>30738</v>
      </c>
      <c r="P3142" s="3" t="s">
        <v>65</v>
      </c>
      <c r="R3142" s="3" t="s">
        <v>66</v>
      </c>
      <c r="S3142" s="4">
        <v>5</v>
      </c>
      <c r="T3142" s="4">
        <v>17</v>
      </c>
      <c r="U3142" s="5" t="s">
        <v>9955</v>
      </c>
      <c r="V3142" s="5" t="s">
        <v>30739</v>
      </c>
      <c r="W3142" s="5" t="s">
        <v>67</v>
      </c>
      <c r="X3142" s="5" t="s">
        <v>67</v>
      </c>
      <c r="Y3142" s="4">
        <v>181</v>
      </c>
      <c r="Z3142" s="4">
        <v>19</v>
      </c>
      <c r="AA3142" s="4">
        <v>88</v>
      </c>
      <c r="AB3142" s="4">
        <v>1</v>
      </c>
      <c r="AC3142" s="4">
        <v>5</v>
      </c>
      <c r="AD3142" s="4">
        <v>69</v>
      </c>
      <c r="AE3142" s="4">
        <v>158</v>
      </c>
      <c r="AF3142" s="4">
        <v>0</v>
      </c>
      <c r="AG3142" s="4">
        <v>3</v>
      </c>
      <c r="AH3142" s="4">
        <v>65</v>
      </c>
      <c r="AI3142" s="4">
        <v>115</v>
      </c>
      <c r="AJ3142" s="4">
        <v>9</v>
      </c>
      <c r="AK3142" s="4">
        <v>23</v>
      </c>
      <c r="AL3142" s="4">
        <v>42</v>
      </c>
      <c r="AM3142" s="4">
        <v>63</v>
      </c>
      <c r="AN3142" s="4">
        <v>0</v>
      </c>
      <c r="AO3142" s="4">
        <v>0</v>
      </c>
      <c r="AP3142" s="4">
        <v>10</v>
      </c>
      <c r="AQ3142" s="4">
        <v>51</v>
      </c>
      <c r="AR3142" s="3" t="s">
        <v>62</v>
      </c>
      <c r="AS3142" s="3" t="s">
        <v>62</v>
      </c>
      <c r="AT3142" s="3" t="s">
        <v>62</v>
      </c>
      <c r="AV3142" s="6" t="str">
        <f>HYPERLINK("http://mcgill.on.worldcat.org/oclc/921240434","Catalog Record")</f>
        <v>Catalog Record</v>
      </c>
      <c r="AW3142" s="6" t="str">
        <f>HYPERLINK("http://www.worldcat.org/oclc/921240434","WorldCat Record")</f>
        <v>WorldCat Record</v>
      </c>
      <c r="AX3142" s="3" t="s">
        <v>30710</v>
      </c>
      <c r="AY3142" s="3" t="s">
        <v>30740</v>
      </c>
      <c r="AZ3142" s="3" t="s">
        <v>30741</v>
      </c>
      <c r="BA3142" s="3" t="s">
        <v>30741</v>
      </c>
      <c r="BB3142" s="3" t="s">
        <v>30749</v>
      </c>
      <c r="BC3142" s="3" t="s">
        <v>142</v>
      </c>
      <c r="BD3142" s="3" t="s">
        <v>308</v>
      </c>
      <c r="BE3142" s="3" t="s">
        <v>30743</v>
      </c>
      <c r="BF3142" s="3" t="s">
        <v>30749</v>
      </c>
      <c r="BG3142" s="3" t="s">
        <v>30750</v>
      </c>
    </row>
    <row r="3143" spans="1:59" ht="57" x14ac:dyDescent="0.45">
      <c r="A3143" s="2" t="s">
        <v>59</v>
      </c>
      <c r="B3143" s="2" t="s">
        <v>60</v>
      </c>
      <c r="C3143" s="2" t="s">
        <v>30734</v>
      </c>
      <c r="D3143" s="2" t="s">
        <v>30735</v>
      </c>
      <c r="E3143" s="2" t="s">
        <v>30736</v>
      </c>
      <c r="G3143" s="3" t="s">
        <v>62</v>
      </c>
      <c r="I3143" s="3" t="s">
        <v>61</v>
      </c>
      <c r="J3143" s="3" t="s">
        <v>61</v>
      </c>
      <c r="K3143" s="3" t="s">
        <v>63</v>
      </c>
      <c r="L3143" s="2" t="s">
        <v>30707</v>
      </c>
      <c r="M3143" s="2" t="s">
        <v>30737</v>
      </c>
      <c r="N3143" s="3" t="s">
        <v>181</v>
      </c>
      <c r="O3143" s="2" t="s">
        <v>30738</v>
      </c>
      <c r="P3143" s="3" t="s">
        <v>65</v>
      </c>
      <c r="R3143" s="3" t="s">
        <v>66</v>
      </c>
      <c r="S3143" s="4">
        <v>3</v>
      </c>
      <c r="T3143" s="4">
        <v>17</v>
      </c>
      <c r="U3143" s="5" t="s">
        <v>11732</v>
      </c>
      <c r="V3143" s="5" t="s">
        <v>30739</v>
      </c>
      <c r="W3143" s="5" t="s">
        <v>67</v>
      </c>
      <c r="X3143" s="5" t="s">
        <v>67</v>
      </c>
      <c r="Y3143" s="4">
        <v>181</v>
      </c>
      <c r="Z3143" s="4">
        <v>19</v>
      </c>
      <c r="AA3143" s="4">
        <v>88</v>
      </c>
      <c r="AB3143" s="4">
        <v>1</v>
      </c>
      <c r="AC3143" s="4">
        <v>5</v>
      </c>
      <c r="AD3143" s="4">
        <v>69</v>
      </c>
      <c r="AE3143" s="4">
        <v>158</v>
      </c>
      <c r="AF3143" s="4">
        <v>0</v>
      </c>
      <c r="AG3143" s="4">
        <v>3</v>
      </c>
      <c r="AH3143" s="4">
        <v>65</v>
      </c>
      <c r="AI3143" s="4">
        <v>115</v>
      </c>
      <c r="AJ3143" s="4">
        <v>9</v>
      </c>
      <c r="AK3143" s="4">
        <v>23</v>
      </c>
      <c r="AL3143" s="4">
        <v>42</v>
      </c>
      <c r="AM3143" s="4">
        <v>63</v>
      </c>
      <c r="AN3143" s="4">
        <v>0</v>
      </c>
      <c r="AO3143" s="4">
        <v>0</v>
      </c>
      <c r="AP3143" s="4">
        <v>10</v>
      </c>
      <c r="AQ3143" s="4">
        <v>51</v>
      </c>
      <c r="AR3143" s="3" t="s">
        <v>62</v>
      </c>
      <c r="AS3143" s="3" t="s">
        <v>62</v>
      </c>
      <c r="AT3143" s="3" t="s">
        <v>62</v>
      </c>
      <c r="AV3143" s="6" t="str">
        <f>HYPERLINK("http://mcgill.on.worldcat.org/oclc/921240434","Catalog Record")</f>
        <v>Catalog Record</v>
      </c>
      <c r="AW3143" s="6" t="str">
        <f>HYPERLINK("http://www.worldcat.org/oclc/921240434","WorldCat Record")</f>
        <v>WorldCat Record</v>
      </c>
      <c r="AX3143" s="3" t="s">
        <v>30710</v>
      </c>
      <c r="AY3143" s="3" t="s">
        <v>30740</v>
      </c>
      <c r="AZ3143" s="3" t="s">
        <v>30741</v>
      </c>
      <c r="BA3143" s="3" t="s">
        <v>30741</v>
      </c>
      <c r="BB3143" s="3" t="s">
        <v>30751</v>
      </c>
      <c r="BC3143" s="3" t="s">
        <v>142</v>
      </c>
      <c r="BD3143" s="3" t="s">
        <v>68</v>
      </c>
      <c r="BE3143" s="3" t="s">
        <v>30743</v>
      </c>
      <c r="BF3143" s="3" t="s">
        <v>30751</v>
      </c>
      <c r="BG3143" s="3" t="s">
        <v>30752</v>
      </c>
    </row>
    <row r="3144" spans="1:59" ht="57" x14ac:dyDescent="0.45">
      <c r="A3144" s="2" t="s">
        <v>59</v>
      </c>
      <c r="B3144" s="2" t="s">
        <v>60</v>
      </c>
      <c r="C3144" s="2" t="s">
        <v>30753</v>
      </c>
      <c r="D3144" s="2" t="s">
        <v>30754</v>
      </c>
      <c r="E3144" s="2" t="s">
        <v>30755</v>
      </c>
      <c r="G3144" s="3" t="s">
        <v>62</v>
      </c>
      <c r="I3144" s="3" t="s">
        <v>62</v>
      </c>
      <c r="J3144" s="3" t="s">
        <v>62</v>
      </c>
      <c r="K3144" s="3" t="s">
        <v>63</v>
      </c>
      <c r="L3144" s="2" t="s">
        <v>30756</v>
      </c>
      <c r="M3144" s="2" t="s">
        <v>30757</v>
      </c>
      <c r="N3144" s="3" t="s">
        <v>820</v>
      </c>
      <c r="P3144" s="3" t="s">
        <v>65</v>
      </c>
      <c r="Q3144" s="2" t="s">
        <v>30758</v>
      </c>
      <c r="R3144" s="3" t="s">
        <v>66</v>
      </c>
      <c r="S3144" s="4">
        <v>14</v>
      </c>
      <c r="T3144" s="4">
        <v>14</v>
      </c>
      <c r="U3144" s="5" t="s">
        <v>30759</v>
      </c>
      <c r="V3144" s="5" t="s">
        <v>30759</v>
      </c>
      <c r="W3144" s="5" t="s">
        <v>67</v>
      </c>
      <c r="X3144" s="5" t="s">
        <v>67</v>
      </c>
      <c r="Y3144" s="4">
        <v>144</v>
      </c>
      <c r="Z3144" s="4">
        <v>8</v>
      </c>
      <c r="AA3144" s="4">
        <v>97</v>
      </c>
      <c r="AB3144" s="4">
        <v>1</v>
      </c>
      <c r="AC3144" s="4">
        <v>18</v>
      </c>
      <c r="AD3144" s="4">
        <v>50</v>
      </c>
      <c r="AE3144" s="4">
        <v>122</v>
      </c>
      <c r="AF3144" s="4">
        <v>0</v>
      </c>
      <c r="AG3144" s="4">
        <v>8</v>
      </c>
      <c r="AH3144" s="4">
        <v>49</v>
      </c>
      <c r="AI3144" s="4">
        <v>85</v>
      </c>
      <c r="AJ3144" s="4">
        <v>5</v>
      </c>
      <c r="AK3144" s="4">
        <v>23</v>
      </c>
      <c r="AL3144" s="4">
        <v>26</v>
      </c>
      <c r="AM3144" s="4">
        <v>45</v>
      </c>
      <c r="AN3144" s="4">
        <v>0</v>
      </c>
      <c r="AO3144" s="4">
        <v>0</v>
      </c>
      <c r="AP3144" s="4">
        <v>5</v>
      </c>
      <c r="AQ3144" s="4">
        <v>45</v>
      </c>
      <c r="AR3144" s="3" t="s">
        <v>62</v>
      </c>
      <c r="AS3144" s="3" t="s">
        <v>62</v>
      </c>
      <c r="AT3144" s="3" t="s">
        <v>61</v>
      </c>
      <c r="AU3144" s="6" t="str">
        <f>HYPERLINK("http://catalog.hathitrust.org/Record/005976680","HathiTrust Record")</f>
        <v>HathiTrust Record</v>
      </c>
      <c r="AV3144" s="6" t="str">
        <f>HYPERLINK("http://mcgill.on.worldcat.org/oclc/237287978","Catalog Record")</f>
        <v>Catalog Record</v>
      </c>
      <c r="AW3144" s="6" t="str">
        <f>HYPERLINK("http://www.worldcat.org/oclc/237287978","WorldCat Record")</f>
        <v>WorldCat Record</v>
      </c>
      <c r="AX3144" s="3" t="s">
        <v>30760</v>
      </c>
      <c r="AY3144" s="3" t="s">
        <v>30761</v>
      </c>
      <c r="AZ3144" s="3" t="s">
        <v>30762</v>
      </c>
      <c r="BA3144" s="3" t="s">
        <v>30762</v>
      </c>
      <c r="BB3144" s="3" t="s">
        <v>30763</v>
      </c>
      <c r="BC3144" s="3" t="s">
        <v>142</v>
      </c>
      <c r="BD3144" s="3" t="s">
        <v>8544</v>
      </c>
      <c r="BE3144" s="3" t="s">
        <v>30764</v>
      </c>
      <c r="BF3144" s="3" t="s">
        <v>30763</v>
      </c>
      <c r="BG3144" s="3" t="s">
        <v>30765</v>
      </c>
    </row>
    <row r="3145" spans="1:59" ht="57" x14ac:dyDescent="0.45">
      <c r="A3145" s="2" t="s">
        <v>59</v>
      </c>
      <c r="B3145" s="2" t="s">
        <v>60</v>
      </c>
      <c r="C3145" s="2" t="s">
        <v>30766</v>
      </c>
      <c r="D3145" s="2" t="s">
        <v>30767</v>
      </c>
      <c r="E3145" s="2" t="s">
        <v>30768</v>
      </c>
      <c r="G3145" s="3" t="s">
        <v>62</v>
      </c>
      <c r="I3145" s="3" t="s">
        <v>62</v>
      </c>
      <c r="J3145" s="3" t="s">
        <v>62</v>
      </c>
      <c r="K3145" s="3" t="s">
        <v>63</v>
      </c>
      <c r="M3145" s="2" t="s">
        <v>21345</v>
      </c>
      <c r="N3145" s="3" t="s">
        <v>894</v>
      </c>
      <c r="P3145" s="3" t="s">
        <v>65</v>
      </c>
      <c r="R3145" s="3" t="s">
        <v>66</v>
      </c>
      <c r="S3145" s="4">
        <v>5</v>
      </c>
      <c r="T3145" s="4">
        <v>5</v>
      </c>
      <c r="U3145" s="5" t="s">
        <v>531</v>
      </c>
      <c r="V3145" s="5" t="s">
        <v>531</v>
      </c>
      <c r="W3145" s="5" t="s">
        <v>67</v>
      </c>
      <c r="X3145" s="5" t="s">
        <v>67</v>
      </c>
      <c r="Y3145" s="4">
        <v>225</v>
      </c>
      <c r="Z3145" s="4">
        <v>29</v>
      </c>
      <c r="AA3145" s="4">
        <v>90</v>
      </c>
      <c r="AB3145" s="4">
        <v>2</v>
      </c>
      <c r="AC3145" s="4">
        <v>15</v>
      </c>
      <c r="AD3145" s="4">
        <v>82</v>
      </c>
      <c r="AE3145" s="4">
        <v>135</v>
      </c>
      <c r="AF3145" s="4">
        <v>1</v>
      </c>
      <c r="AG3145" s="4">
        <v>8</v>
      </c>
      <c r="AH3145" s="4">
        <v>71</v>
      </c>
      <c r="AI3145" s="4">
        <v>97</v>
      </c>
      <c r="AJ3145" s="4">
        <v>17</v>
      </c>
      <c r="AK3145" s="4">
        <v>25</v>
      </c>
      <c r="AL3145" s="4">
        <v>36</v>
      </c>
      <c r="AM3145" s="4">
        <v>52</v>
      </c>
      <c r="AN3145" s="4">
        <v>0</v>
      </c>
      <c r="AO3145" s="4">
        <v>0</v>
      </c>
      <c r="AP3145" s="4">
        <v>22</v>
      </c>
      <c r="AQ3145" s="4">
        <v>47</v>
      </c>
      <c r="AR3145" s="3" t="s">
        <v>62</v>
      </c>
      <c r="AS3145" s="3" t="s">
        <v>62</v>
      </c>
      <c r="AT3145" s="3" t="s">
        <v>62</v>
      </c>
      <c r="AV3145" s="6" t="str">
        <f>HYPERLINK("http://mcgill.on.worldcat.org/oclc/657602900","Catalog Record")</f>
        <v>Catalog Record</v>
      </c>
      <c r="AW3145" s="6" t="str">
        <f>HYPERLINK("http://www.worldcat.org/oclc/657602900","WorldCat Record")</f>
        <v>WorldCat Record</v>
      </c>
      <c r="AX3145" s="3" t="s">
        <v>30769</v>
      </c>
      <c r="AY3145" s="3" t="s">
        <v>30770</v>
      </c>
      <c r="AZ3145" s="3" t="s">
        <v>30771</v>
      </c>
      <c r="BA3145" s="3" t="s">
        <v>30771</v>
      </c>
      <c r="BB3145" s="3" t="s">
        <v>30772</v>
      </c>
      <c r="BC3145" s="3" t="s">
        <v>142</v>
      </c>
      <c r="BD3145" s="3" t="s">
        <v>68</v>
      </c>
      <c r="BE3145" s="3" t="s">
        <v>30773</v>
      </c>
      <c r="BF3145" s="3" t="s">
        <v>30772</v>
      </c>
      <c r="BG3145" s="3" t="s">
        <v>30774</v>
      </c>
    </row>
    <row r="3146" spans="1:59" ht="57" x14ac:dyDescent="0.45">
      <c r="A3146" s="2" t="s">
        <v>59</v>
      </c>
      <c r="B3146" s="2" t="s">
        <v>60</v>
      </c>
      <c r="C3146" s="2" t="s">
        <v>30775</v>
      </c>
      <c r="D3146" s="2" t="s">
        <v>30776</v>
      </c>
      <c r="E3146" s="2" t="s">
        <v>30777</v>
      </c>
      <c r="G3146" s="3" t="s">
        <v>62</v>
      </c>
      <c r="I3146" s="3" t="s">
        <v>62</v>
      </c>
      <c r="J3146" s="3" t="s">
        <v>61</v>
      </c>
      <c r="K3146" s="3" t="s">
        <v>63</v>
      </c>
      <c r="L3146" s="2" t="s">
        <v>433</v>
      </c>
      <c r="M3146" s="2" t="s">
        <v>30778</v>
      </c>
      <c r="N3146" s="3" t="s">
        <v>72</v>
      </c>
      <c r="O3146" s="2" t="s">
        <v>30779</v>
      </c>
      <c r="P3146" s="3" t="s">
        <v>65</v>
      </c>
      <c r="R3146" s="3" t="s">
        <v>66</v>
      </c>
      <c r="S3146" s="4">
        <v>8</v>
      </c>
      <c r="T3146" s="4">
        <v>8</v>
      </c>
      <c r="U3146" s="5" t="s">
        <v>30780</v>
      </c>
      <c r="V3146" s="5" t="s">
        <v>30780</v>
      </c>
      <c r="W3146" s="5" t="s">
        <v>67</v>
      </c>
      <c r="X3146" s="5" t="s">
        <v>67</v>
      </c>
      <c r="Y3146" s="4">
        <v>64</v>
      </c>
      <c r="Z3146" s="4">
        <v>6</v>
      </c>
      <c r="AA3146" s="4">
        <v>35</v>
      </c>
      <c r="AB3146" s="4">
        <v>2</v>
      </c>
      <c r="AC3146" s="4">
        <v>4</v>
      </c>
      <c r="AD3146" s="4">
        <v>13</v>
      </c>
      <c r="AE3146" s="4">
        <v>125</v>
      </c>
      <c r="AF3146" s="4">
        <v>0</v>
      </c>
      <c r="AG3146" s="4">
        <v>2</v>
      </c>
      <c r="AH3146" s="4">
        <v>12</v>
      </c>
      <c r="AI3146" s="4">
        <v>106</v>
      </c>
      <c r="AJ3146" s="4">
        <v>3</v>
      </c>
      <c r="AK3146" s="4">
        <v>21</v>
      </c>
      <c r="AL3146" s="4">
        <v>8</v>
      </c>
      <c r="AM3146" s="4">
        <v>60</v>
      </c>
      <c r="AN3146" s="4">
        <v>0</v>
      </c>
      <c r="AO3146" s="4">
        <v>0</v>
      </c>
      <c r="AP3146" s="4">
        <v>3</v>
      </c>
      <c r="AQ3146" s="4">
        <v>25</v>
      </c>
      <c r="AR3146" s="3" t="s">
        <v>62</v>
      </c>
      <c r="AS3146" s="3" t="s">
        <v>62</v>
      </c>
      <c r="AT3146" s="3" t="s">
        <v>62</v>
      </c>
      <c r="AV3146" s="6" t="str">
        <f>HYPERLINK("http://mcgill.on.worldcat.org/oclc/19248625","Catalog Record")</f>
        <v>Catalog Record</v>
      </c>
      <c r="AW3146" s="6" t="str">
        <f>HYPERLINK("http://www.worldcat.org/oclc/19248625","WorldCat Record")</f>
        <v>WorldCat Record</v>
      </c>
      <c r="AX3146" s="3" t="s">
        <v>30781</v>
      </c>
      <c r="AY3146" s="3" t="s">
        <v>30782</v>
      </c>
      <c r="AZ3146" s="3" t="s">
        <v>30783</v>
      </c>
      <c r="BA3146" s="3" t="s">
        <v>30783</v>
      </c>
      <c r="BB3146" s="3" t="s">
        <v>30784</v>
      </c>
      <c r="BC3146" s="3" t="s">
        <v>142</v>
      </c>
      <c r="BD3146" s="3" t="s">
        <v>68</v>
      </c>
      <c r="BE3146" s="3" t="s">
        <v>30785</v>
      </c>
      <c r="BF3146" s="3" t="s">
        <v>30784</v>
      </c>
      <c r="BG3146" s="3" t="s">
        <v>30786</v>
      </c>
    </row>
    <row r="3147" spans="1:59" ht="85.5" x14ac:dyDescent="0.45">
      <c r="A3147" s="2" t="s">
        <v>59</v>
      </c>
      <c r="B3147" s="2" t="s">
        <v>60</v>
      </c>
      <c r="C3147" s="2" t="s">
        <v>30787</v>
      </c>
      <c r="D3147" s="2" t="s">
        <v>30788</v>
      </c>
      <c r="E3147" s="2" t="s">
        <v>30789</v>
      </c>
      <c r="G3147" s="3" t="s">
        <v>62</v>
      </c>
      <c r="I3147" s="3" t="s">
        <v>62</v>
      </c>
      <c r="J3147" s="3" t="s">
        <v>62</v>
      </c>
      <c r="K3147" s="3" t="s">
        <v>63</v>
      </c>
      <c r="L3147" s="2" t="s">
        <v>433</v>
      </c>
      <c r="M3147" s="2" t="s">
        <v>30790</v>
      </c>
      <c r="N3147" s="3" t="s">
        <v>127</v>
      </c>
      <c r="P3147" s="3" t="s">
        <v>110</v>
      </c>
      <c r="Q3147" s="2" t="s">
        <v>30791</v>
      </c>
      <c r="R3147" s="3" t="s">
        <v>66</v>
      </c>
      <c r="S3147" s="4">
        <v>2</v>
      </c>
      <c r="T3147" s="4">
        <v>2</v>
      </c>
      <c r="U3147" s="5" t="s">
        <v>438</v>
      </c>
      <c r="V3147" s="5" t="s">
        <v>438</v>
      </c>
      <c r="W3147" s="5" t="s">
        <v>67</v>
      </c>
      <c r="X3147" s="5" t="s">
        <v>67</v>
      </c>
      <c r="Y3147" s="4">
        <v>56</v>
      </c>
      <c r="Z3147" s="4">
        <v>6</v>
      </c>
      <c r="AA3147" s="4">
        <v>11</v>
      </c>
      <c r="AB3147" s="4">
        <v>2</v>
      </c>
      <c r="AC3147" s="4">
        <v>6</v>
      </c>
      <c r="AD3147" s="4">
        <v>22</v>
      </c>
      <c r="AE3147" s="4">
        <v>26</v>
      </c>
      <c r="AF3147" s="4">
        <v>1</v>
      </c>
      <c r="AG3147" s="4">
        <v>4</v>
      </c>
      <c r="AH3147" s="4">
        <v>17</v>
      </c>
      <c r="AI3147" s="4">
        <v>19</v>
      </c>
      <c r="AJ3147" s="4">
        <v>5</v>
      </c>
      <c r="AK3147" s="4">
        <v>9</v>
      </c>
      <c r="AL3147" s="4">
        <v>14</v>
      </c>
      <c r="AM3147" s="4">
        <v>14</v>
      </c>
      <c r="AN3147" s="4">
        <v>0</v>
      </c>
      <c r="AO3147" s="4">
        <v>0</v>
      </c>
      <c r="AP3147" s="4">
        <v>5</v>
      </c>
      <c r="AQ3147" s="4">
        <v>9</v>
      </c>
      <c r="AR3147" s="3" t="s">
        <v>62</v>
      </c>
      <c r="AS3147" s="3" t="s">
        <v>62</v>
      </c>
      <c r="AT3147" s="3" t="s">
        <v>62</v>
      </c>
      <c r="AV3147" s="6" t="str">
        <f>HYPERLINK("http://mcgill.on.worldcat.org/oclc/3287810","Catalog Record")</f>
        <v>Catalog Record</v>
      </c>
      <c r="AW3147" s="6" t="str">
        <f>HYPERLINK("http://www.worldcat.org/oclc/3287810","WorldCat Record")</f>
        <v>WorldCat Record</v>
      </c>
      <c r="AX3147" s="3" t="s">
        <v>30792</v>
      </c>
      <c r="AY3147" s="3" t="s">
        <v>30793</v>
      </c>
      <c r="AZ3147" s="3" t="s">
        <v>30794</v>
      </c>
      <c r="BA3147" s="3" t="s">
        <v>30794</v>
      </c>
      <c r="BB3147" s="3" t="s">
        <v>30795</v>
      </c>
      <c r="BC3147" s="3" t="s">
        <v>142</v>
      </c>
      <c r="BD3147" s="3" t="s">
        <v>68</v>
      </c>
      <c r="BF3147" s="3" t="s">
        <v>30795</v>
      </c>
      <c r="BG3147" s="3" t="s">
        <v>30796</v>
      </c>
    </row>
    <row r="3148" spans="1:59" ht="57" x14ac:dyDescent="0.45">
      <c r="A3148" s="2" t="s">
        <v>59</v>
      </c>
      <c r="B3148" s="2" t="s">
        <v>60</v>
      </c>
      <c r="C3148" s="2" t="s">
        <v>30797</v>
      </c>
      <c r="D3148" s="2" t="s">
        <v>30798</v>
      </c>
      <c r="E3148" s="2" t="s">
        <v>30799</v>
      </c>
      <c r="G3148" s="3" t="s">
        <v>62</v>
      </c>
      <c r="I3148" s="3" t="s">
        <v>62</v>
      </c>
      <c r="J3148" s="3" t="s">
        <v>62</v>
      </c>
      <c r="K3148" s="3" t="s">
        <v>63</v>
      </c>
      <c r="L3148" s="2" t="s">
        <v>433</v>
      </c>
      <c r="M3148" s="2" t="s">
        <v>30800</v>
      </c>
      <c r="N3148" s="3" t="s">
        <v>127</v>
      </c>
      <c r="P3148" s="3" t="s">
        <v>182</v>
      </c>
      <c r="Q3148" s="2" t="s">
        <v>30801</v>
      </c>
      <c r="R3148" s="3" t="s">
        <v>66</v>
      </c>
      <c r="S3148" s="4">
        <v>2</v>
      </c>
      <c r="T3148" s="4">
        <v>2</v>
      </c>
      <c r="U3148" s="5" t="s">
        <v>9213</v>
      </c>
      <c r="V3148" s="5" t="s">
        <v>9213</v>
      </c>
      <c r="W3148" s="5" t="s">
        <v>67</v>
      </c>
      <c r="X3148" s="5" t="s">
        <v>67</v>
      </c>
      <c r="Y3148" s="4">
        <v>17</v>
      </c>
      <c r="Z3148" s="4">
        <v>4</v>
      </c>
      <c r="AA3148" s="4">
        <v>6</v>
      </c>
      <c r="AB3148" s="4">
        <v>1</v>
      </c>
      <c r="AC3148" s="4">
        <v>1</v>
      </c>
      <c r="AD3148" s="4">
        <v>5</v>
      </c>
      <c r="AE3148" s="4">
        <v>6</v>
      </c>
      <c r="AF3148" s="4">
        <v>0</v>
      </c>
      <c r="AG3148" s="4">
        <v>0</v>
      </c>
      <c r="AH3148" s="4">
        <v>5</v>
      </c>
      <c r="AI3148" s="4">
        <v>6</v>
      </c>
      <c r="AJ3148" s="4">
        <v>3</v>
      </c>
      <c r="AK3148" s="4">
        <v>4</v>
      </c>
      <c r="AL3148" s="4">
        <v>1</v>
      </c>
      <c r="AM3148" s="4">
        <v>2</v>
      </c>
      <c r="AN3148" s="4">
        <v>0</v>
      </c>
      <c r="AO3148" s="4">
        <v>0</v>
      </c>
      <c r="AP3148" s="4">
        <v>3</v>
      </c>
      <c r="AQ3148" s="4">
        <v>4</v>
      </c>
      <c r="AR3148" s="3" t="s">
        <v>62</v>
      </c>
      <c r="AS3148" s="3" t="s">
        <v>62</v>
      </c>
      <c r="AT3148" s="3" t="s">
        <v>62</v>
      </c>
      <c r="AV3148" s="6" t="str">
        <f>HYPERLINK("http://mcgill.on.worldcat.org/oclc/10543470","Catalog Record")</f>
        <v>Catalog Record</v>
      </c>
      <c r="AW3148" s="6" t="str">
        <f>HYPERLINK("http://www.worldcat.org/oclc/10543470","WorldCat Record")</f>
        <v>WorldCat Record</v>
      </c>
      <c r="AX3148" s="3" t="s">
        <v>30802</v>
      </c>
      <c r="AY3148" s="3" t="s">
        <v>30803</v>
      </c>
      <c r="AZ3148" s="3" t="s">
        <v>30804</v>
      </c>
      <c r="BA3148" s="3" t="s">
        <v>30804</v>
      </c>
      <c r="BB3148" s="3" t="s">
        <v>30805</v>
      </c>
      <c r="BC3148" s="3" t="s">
        <v>142</v>
      </c>
      <c r="BD3148" s="3" t="s">
        <v>68</v>
      </c>
      <c r="BF3148" s="3" t="s">
        <v>30805</v>
      </c>
      <c r="BG3148" s="3" t="s">
        <v>30806</v>
      </c>
    </row>
    <row r="3149" spans="1:59" ht="57" x14ac:dyDescent="0.45">
      <c r="A3149" s="2" t="s">
        <v>59</v>
      </c>
      <c r="B3149" s="2" t="s">
        <v>60</v>
      </c>
      <c r="C3149" s="2" t="s">
        <v>30807</v>
      </c>
      <c r="D3149" s="2" t="s">
        <v>30808</v>
      </c>
      <c r="E3149" s="2" t="s">
        <v>30809</v>
      </c>
      <c r="G3149" s="3" t="s">
        <v>62</v>
      </c>
      <c r="I3149" s="3" t="s">
        <v>61</v>
      </c>
      <c r="J3149" s="3" t="s">
        <v>62</v>
      </c>
      <c r="K3149" s="3" t="s">
        <v>63</v>
      </c>
      <c r="L3149" s="2" t="s">
        <v>30810</v>
      </c>
      <c r="M3149" s="2" t="s">
        <v>30811</v>
      </c>
      <c r="N3149" s="3" t="s">
        <v>419</v>
      </c>
      <c r="P3149" s="3" t="s">
        <v>65</v>
      </c>
      <c r="Q3149" s="2" t="s">
        <v>30812</v>
      </c>
      <c r="R3149" s="3" t="s">
        <v>66</v>
      </c>
      <c r="S3149" s="4">
        <v>0</v>
      </c>
      <c r="T3149" s="4">
        <v>3</v>
      </c>
      <c r="V3149" s="5" t="s">
        <v>12780</v>
      </c>
      <c r="W3149" s="5" t="s">
        <v>67</v>
      </c>
      <c r="X3149" s="5" t="s">
        <v>67</v>
      </c>
      <c r="Y3149" s="4">
        <v>924</v>
      </c>
      <c r="Z3149" s="4">
        <v>48</v>
      </c>
      <c r="AA3149" s="4">
        <v>55</v>
      </c>
      <c r="AB3149" s="4">
        <v>3</v>
      </c>
      <c r="AC3149" s="4">
        <v>8</v>
      </c>
      <c r="AD3149" s="4">
        <v>134</v>
      </c>
      <c r="AE3149" s="4">
        <v>140</v>
      </c>
      <c r="AF3149" s="4">
        <v>2</v>
      </c>
      <c r="AG3149" s="4">
        <v>6</v>
      </c>
      <c r="AH3149" s="4">
        <v>106</v>
      </c>
      <c r="AI3149" s="4">
        <v>107</v>
      </c>
      <c r="AJ3149" s="4">
        <v>21</v>
      </c>
      <c r="AK3149" s="4">
        <v>25</v>
      </c>
      <c r="AL3149" s="4">
        <v>59</v>
      </c>
      <c r="AM3149" s="4">
        <v>59</v>
      </c>
      <c r="AN3149" s="4">
        <v>0</v>
      </c>
      <c r="AO3149" s="4">
        <v>0</v>
      </c>
      <c r="AP3149" s="4">
        <v>35</v>
      </c>
      <c r="AQ3149" s="4">
        <v>40</v>
      </c>
      <c r="AR3149" s="3" t="s">
        <v>62</v>
      </c>
      <c r="AS3149" s="3" t="s">
        <v>62</v>
      </c>
      <c r="AT3149" s="3" t="s">
        <v>61</v>
      </c>
      <c r="AU3149" s="6" t="str">
        <f>HYPERLINK("http://catalog.hathitrust.org/Record/001180910","HathiTrust Record")</f>
        <v>HathiTrust Record</v>
      </c>
      <c r="AV3149" s="6" t="str">
        <f>HYPERLINK("http://mcgill.on.worldcat.org/oclc/306869","Catalog Record")</f>
        <v>Catalog Record</v>
      </c>
      <c r="AW3149" s="6" t="str">
        <f>HYPERLINK("http://www.worldcat.org/oclc/306869","WorldCat Record")</f>
        <v>WorldCat Record</v>
      </c>
      <c r="AX3149" s="3" t="s">
        <v>30813</v>
      </c>
      <c r="AY3149" s="3" t="s">
        <v>30814</v>
      </c>
      <c r="AZ3149" s="3" t="s">
        <v>30815</v>
      </c>
      <c r="BA3149" s="3" t="s">
        <v>30815</v>
      </c>
      <c r="BB3149" s="3" t="s">
        <v>30816</v>
      </c>
      <c r="BC3149" s="3" t="s">
        <v>142</v>
      </c>
      <c r="BD3149" s="3" t="s">
        <v>68</v>
      </c>
      <c r="BF3149" s="3" t="s">
        <v>30816</v>
      </c>
      <c r="BG3149" s="3" t="s">
        <v>30817</v>
      </c>
    </row>
    <row r="3150" spans="1:59" ht="57" x14ac:dyDescent="0.45">
      <c r="A3150" s="2" t="s">
        <v>59</v>
      </c>
      <c r="B3150" s="2" t="s">
        <v>60</v>
      </c>
      <c r="C3150" s="2" t="s">
        <v>30807</v>
      </c>
      <c r="D3150" s="2" t="s">
        <v>30808</v>
      </c>
      <c r="E3150" s="2" t="s">
        <v>30809</v>
      </c>
      <c r="G3150" s="3" t="s">
        <v>62</v>
      </c>
      <c r="I3150" s="3" t="s">
        <v>61</v>
      </c>
      <c r="J3150" s="3" t="s">
        <v>62</v>
      </c>
      <c r="K3150" s="3" t="s">
        <v>63</v>
      </c>
      <c r="L3150" s="2" t="s">
        <v>30810</v>
      </c>
      <c r="M3150" s="2" t="s">
        <v>30811</v>
      </c>
      <c r="N3150" s="3" t="s">
        <v>419</v>
      </c>
      <c r="P3150" s="3" t="s">
        <v>65</v>
      </c>
      <c r="Q3150" s="2" t="s">
        <v>30812</v>
      </c>
      <c r="R3150" s="3" t="s">
        <v>66</v>
      </c>
      <c r="S3150" s="4">
        <v>3</v>
      </c>
      <c r="T3150" s="4">
        <v>3</v>
      </c>
      <c r="U3150" s="5" t="s">
        <v>12780</v>
      </c>
      <c r="V3150" s="5" t="s">
        <v>12780</v>
      </c>
      <c r="W3150" s="5" t="s">
        <v>67</v>
      </c>
      <c r="X3150" s="5" t="s">
        <v>67</v>
      </c>
      <c r="Y3150" s="4">
        <v>924</v>
      </c>
      <c r="Z3150" s="4">
        <v>48</v>
      </c>
      <c r="AA3150" s="4">
        <v>55</v>
      </c>
      <c r="AB3150" s="4">
        <v>3</v>
      </c>
      <c r="AC3150" s="4">
        <v>8</v>
      </c>
      <c r="AD3150" s="4">
        <v>134</v>
      </c>
      <c r="AE3150" s="4">
        <v>140</v>
      </c>
      <c r="AF3150" s="4">
        <v>2</v>
      </c>
      <c r="AG3150" s="4">
        <v>6</v>
      </c>
      <c r="AH3150" s="4">
        <v>106</v>
      </c>
      <c r="AI3150" s="4">
        <v>107</v>
      </c>
      <c r="AJ3150" s="4">
        <v>21</v>
      </c>
      <c r="AK3150" s="4">
        <v>25</v>
      </c>
      <c r="AL3150" s="4">
        <v>59</v>
      </c>
      <c r="AM3150" s="4">
        <v>59</v>
      </c>
      <c r="AN3150" s="4">
        <v>0</v>
      </c>
      <c r="AO3150" s="4">
        <v>0</v>
      </c>
      <c r="AP3150" s="4">
        <v>35</v>
      </c>
      <c r="AQ3150" s="4">
        <v>40</v>
      </c>
      <c r="AR3150" s="3" t="s">
        <v>62</v>
      </c>
      <c r="AS3150" s="3" t="s">
        <v>62</v>
      </c>
      <c r="AT3150" s="3" t="s">
        <v>61</v>
      </c>
      <c r="AU3150" s="6" t="str">
        <f>HYPERLINK("http://catalog.hathitrust.org/Record/001180910","HathiTrust Record")</f>
        <v>HathiTrust Record</v>
      </c>
      <c r="AV3150" s="6" t="str">
        <f>HYPERLINK("http://mcgill.on.worldcat.org/oclc/306869","Catalog Record")</f>
        <v>Catalog Record</v>
      </c>
      <c r="AW3150" s="6" t="str">
        <f>HYPERLINK("http://www.worldcat.org/oclc/306869","WorldCat Record")</f>
        <v>WorldCat Record</v>
      </c>
      <c r="AX3150" s="3" t="s">
        <v>30813</v>
      </c>
      <c r="AY3150" s="3" t="s">
        <v>30814</v>
      </c>
      <c r="AZ3150" s="3" t="s">
        <v>30815</v>
      </c>
      <c r="BA3150" s="3" t="s">
        <v>30815</v>
      </c>
      <c r="BB3150" s="3" t="s">
        <v>30818</v>
      </c>
      <c r="BC3150" s="3" t="s">
        <v>142</v>
      </c>
      <c r="BD3150" s="3" t="s">
        <v>68</v>
      </c>
      <c r="BF3150" s="3" t="s">
        <v>30818</v>
      </c>
      <c r="BG3150" s="3" t="s">
        <v>30819</v>
      </c>
    </row>
    <row r="3151" spans="1:59" ht="57" x14ac:dyDescent="0.45">
      <c r="A3151" s="2" t="s">
        <v>59</v>
      </c>
      <c r="B3151" s="2" t="s">
        <v>60</v>
      </c>
      <c r="C3151" s="2" t="s">
        <v>30807</v>
      </c>
      <c r="D3151" s="2" t="s">
        <v>30808</v>
      </c>
      <c r="E3151" s="2" t="s">
        <v>30809</v>
      </c>
      <c r="G3151" s="3" t="s">
        <v>62</v>
      </c>
      <c r="I3151" s="3" t="s">
        <v>61</v>
      </c>
      <c r="J3151" s="3" t="s">
        <v>62</v>
      </c>
      <c r="K3151" s="3" t="s">
        <v>63</v>
      </c>
      <c r="L3151" s="2" t="s">
        <v>30810</v>
      </c>
      <c r="M3151" s="2" t="s">
        <v>30811</v>
      </c>
      <c r="N3151" s="3" t="s">
        <v>419</v>
      </c>
      <c r="P3151" s="3" t="s">
        <v>65</v>
      </c>
      <c r="Q3151" s="2" t="s">
        <v>30812</v>
      </c>
      <c r="R3151" s="3" t="s">
        <v>66</v>
      </c>
      <c r="S3151" s="4">
        <v>0</v>
      </c>
      <c r="T3151" s="4">
        <v>3</v>
      </c>
      <c r="V3151" s="5" t="s">
        <v>12780</v>
      </c>
      <c r="W3151" s="5" t="s">
        <v>67</v>
      </c>
      <c r="X3151" s="5" t="s">
        <v>67</v>
      </c>
      <c r="Y3151" s="4">
        <v>924</v>
      </c>
      <c r="Z3151" s="4">
        <v>48</v>
      </c>
      <c r="AA3151" s="4">
        <v>55</v>
      </c>
      <c r="AB3151" s="4">
        <v>3</v>
      </c>
      <c r="AC3151" s="4">
        <v>8</v>
      </c>
      <c r="AD3151" s="4">
        <v>134</v>
      </c>
      <c r="AE3151" s="4">
        <v>140</v>
      </c>
      <c r="AF3151" s="4">
        <v>2</v>
      </c>
      <c r="AG3151" s="4">
        <v>6</v>
      </c>
      <c r="AH3151" s="4">
        <v>106</v>
      </c>
      <c r="AI3151" s="4">
        <v>107</v>
      </c>
      <c r="AJ3151" s="4">
        <v>21</v>
      </c>
      <c r="AK3151" s="4">
        <v>25</v>
      </c>
      <c r="AL3151" s="4">
        <v>59</v>
      </c>
      <c r="AM3151" s="4">
        <v>59</v>
      </c>
      <c r="AN3151" s="4">
        <v>0</v>
      </c>
      <c r="AO3151" s="4">
        <v>0</v>
      </c>
      <c r="AP3151" s="4">
        <v>35</v>
      </c>
      <c r="AQ3151" s="4">
        <v>40</v>
      </c>
      <c r="AR3151" s="3" t="s">
        <v>62</v>
      </c>
      <c r="AS3151" s="3" t="s">
        <v>62</v>
      </c>
      <c r="AT3151" s="3" t="s">
        <v>61</v>
      </c>
      <c r="AU3151" s="6" t="str">
        <f>HYPERLINK("http://catalog.hathitrust.org/Record/001180910","HathiTrust Record")</f>
        <v>HathiTrust Record</v>
      </c>
      <c r="AV3151" s="6" t="str">
        <f>HYPERLINK("http://mcgill.on.worldcat.org/oclc/306869","Catalog Record")</f>
        <v>Catalog Record</v>
      </c>
      <c r="AW3151" s="6" t="str">
        <f>HYPERLINK("http://www.worldcat.org/oclc/306869","WorldCat Record")</f>
        <v>WorldCat Record</v>
      </c>
      <c r="AX3151" s="3" t="s">
        <v>30813</v>
      </c>
      <c r="AY3151" s="3" t="s">
        <v>30814</v>
      </c>
      <c r="AZ3151" s="3" t="s">
        <v>30815</v>
      </c>
      <c r="BA3151" s="3" t="s">
        <v>30815</v>
      </c>
      <c r="BB3151" s="3" t="s">
        <v>30820</v>
      </c>
      <c r="BC3151" s="3" t="s">
        <v>142</v>
      </c>
      <c r="BD3151" s="3" t="s">
        <v>68</v>
      </c>
      <c r="BF3151" s="3" t="s">
        <v>30820</v>
      </c>
      <c r="BG3151" s="3" t="s">
        <v>30821</v>
      </c>
    </row>
    <row r="3152" spans="1:59" ht="57" x14ac:dyDescent="0.45">
      <c r="A3152" s="2" t="s">
        <v>59</v>
      </c>
      <c r="B3152" s="2" t="s">
        <v>60</v>
      </c>
      <c r="C3152" s="2" t="s">
        <v>30807</v>
      </c>
      <c r="D3152" s="2" t="s">
        <v>30808</v>
      </c>
      <c r="E3152" s="2" t="s">
        <v>30809</v>
      </c>
      <c r="G3152" s="3" t="s">
        <v>62</v>
      </c>
      <c r="I3152" s="3" t="s">
        <v>61</v>
      </c>
      <c r="J3152" s="3" t="s">
        <v>62</v>
      </c>
      <c r="K3152" s="3" t="s">
        <v>63</v>
      </c>
      <c r="L3152" s="2" t="s">
        <v>30810</v>
      </c>
      <c r="M3152" s="2" t="s">
        <v>30811</v>
      </c>
      <c r="N3152" s="3" t="s">
        <v>419</v>
      </c>
      <c r="P3152" s="3" t="s">
        <v>65</v>
      </c>
      <c r="Q3152" s="2" t="s">
        <v>30812</v>
      </c>
      <c r="R3152" s="3" t="s">
        <v>66</v>
      </c>
      <c r="S3152" s="4">
        <v>0</v>
      </c>
      <c r="T3152" s="4">
        <v>3</v>
      </c>
      <c r="V3152" s="5" t="s">
        <v>12780</v>
      </c>
      <c r="W3152" s="5" t="s">
        <v>67</v>
      </c>
      <c r="X3152" s="5" t="s">
        <v>67</v>
      </c>
      <c r="Y3152" s="4">
        <v>924</v>
      </c>
      <c r="Z3152" s="4">
        <v>48</v>
      </c>
      <c r="AA3152" s="4">
        <v>55</v>
      </c>
      <c r="AB3152" s="4">
        <v>3</v>
      </c>
      <c r="AC3152" s="4">
        <v>8</v>
      </c>
      <c r="AD3152" s="4">
        <v>134</v>
      </c>
      <c r="AE3152" s="4">
        <v>140</v>
      </c>
      <c r="AF3152" s="4">
        <v>2</v>
      </c>
      <c r="AG3152" s="4">
        <v>6</v>
      </c>
      <c r="AH3152" s="4">
        <v>106</v>
      </c>
      <c r="AI3152" s="4">
        <v>107</v>
      </c>
      <c r="AJ3152" s="4">
        <v>21</v>
      </c>
      <c r="AK3152" s="4">
        <v>25</v>
      </c>
      <c r="AL3152" s="4">
        <v>59</v>
      </c>
      <c r="AM3152" s="4">
        <v>59</v>
      </c>
      <c r="AN3152" s="4">
        <v>0</v>
      </c>
      <c r="AO3152" s="4">
        <v>0</v>
      </c>
      <c r="AP3152" s="4">
        <v>35</v>
      </c>
      <c r="AQ3152" s="4">
        <v>40</v>
      </c>
      <c r="AR3152" s="3" t="s">
        <v>62</v>
      </c>
      <c r="AS3152" s="3" t="s">
        <v>62</v>
      </c>
      <c r="AT3152" s="3" t="s">
        <v>61</v>
      </c>
      <c r="AU3152" s="6" t="str">
        <f>HYPERLINK("http://catalog.hathitrust.org/Record/001180910","HathiTrust Record")</f>
        <v>HathiTrust Record</v>
      </c>
      <c r="AV3152" s="6" t="str">
        <f>HYPERLINK("http://mcgill.on.worldcat.org/oclc/306869","Catalog Record")</f>
        <v>Catalog Record</v>
      </c>
      <c r="AW3152" s="6" t="str">
        <f>HYPERLINK("http://www.worldcat.org/oclc/306869","WorldCat Record")</f>
        <v>WorldCat Record</v>
      </c>
      <c r="AX3152" s="3" t="s">
        <v>30813</v>
      </c>
      <c r="AY3152" s="3" t="s">
        <v>30814</v>
      </c>
      <c r="AZ3152" s="3" t="s">
        <v>30815</v>
      </c>
      <c r="BA3152" s="3" t="s">
        <v>30815</v>
      </c>
      <c r="BB3152" s="3" t="s">
        <v>30822</v>
      </c>
      <c r="BC3152" s="3" t="s">
        <v>142</v>
      </c>
      <c r="BD3152" s="3" t="s">
        <v>68</v>
      </c>
      <c r="BF3152" s="3" t="s">
        <v>30822</v>
      </c>
      <c r="BG3152" s="3" t="s">
        <v>30823</v>
      </c>
    </row>
    <row r="3153" spans="1:59" ht="57" x14ac:dyDescent="0.45">
      <c r="A3153" s="2" t="s">
        <v>59</v>
      </c>
      <c r="B3153" s="2" t="s">
        <v>60</v>
      </c>
      <c r="C3153" s="2" t="s">
        <v>30824</v>
      </c>
      <c r="D3153" s="2" t="s">
        <v>30825</v>
      </c>
      <c r="E3153" s="2" t="s">
        <v>30826</v>
      </c>
      <c r="G3153" s="3" t="s">
        <v>62</v>
      </c>
      <c r="I3153" s="3" t="s">
        <v>62</v>
      </c>
      <c r="J3153" s="3" t="s">
        <v>62</v>
      </c>
      <c r="K3153" s="3" t="s">
        <v>63</v>
      </c>
      <c r="L3153" s="2" t="s">
        <v>30827</v>
      </c>
      <c r="M3153" s="2" t="s">
        <v>30828</v>
      </c>
      <c r="N3153" s="3" t="s">
        <v>340</v>
      </c>
      <c r="P3153" s="3" t="s">
        <v>65</v>
      </c>
      <c r="Q3153" s="2" t="s">
        <v>30829</v>
      </c>
      <c r="R3153" s="3" t="s">
        <v>66</v>
      </c>
      <c r="S3153" s="4">
        <v>5</v>
      </c>
      <c r="T3153" s="4">
        <v>5</v>
      </c>
      <c r="U3153" s="5" t="s">
        <v>28702</v>
      </c>
      <c r="V3153" s="5" t="s">
        <v>28702</v>
      </c>
      <c r="W3153" s="5" t="s">
        <v>67</v>
      </c>
      <c r="X3153" s="5" t="s">
        <v>67</v>
      </c>
      <c r="Y3153" s="4">
        <v>6</v>
      </c>
      <c r="Z3153" s="4">
        <v>2</v>
      </c>
      <c r="AA3153" s="4">
        <v>2</v>
      </c>
      <c r="AB3153" s="4">
        <v>1</v>
      </c>
      <c r="AC3153" s="4">
        <v>1</v>
      </c>
      <c r="AD3153" s="4">
        <v>2</v>
      </c>
      <c r="AE3153" s="4">
        <v>2</v>
      </c>
      <c r="AF3153" s="4">
        <v>0</v>
      </c>
      <c r="AG3153" s="4">
        <v>0</v>
      </c>
      <c r="AH3153" s="4">
        <v>1</v>
      </c>
      <c r="AI3153" s="4">
        <v>1</v>
      </c>
      <c r="AJ3153" s="4">
        <v>1</v>
      </c>
      <c r="AK3153" s="4">
        <v>1</v>
      </c>
      <c r="AL3153" s="4">
        <v>1</v>
      </c>
      <c r="AM3153" s="4">
        <v>1</v>
      </c>
      <c r="AN3153" s="4">
        <v>0</v>
      </c>
      <c r="AO3153" s="4">
        <v>0</v>
      </c>
      <c r="AP3153" s="4">
        <v>1</v>
      </c>
      <c r="AQ3153" s="4">
        <v>1</v>
      </c>
      <c r="AR3153" s="3" t="s">
        <v>62</v>
      </c>
      <c r="AS3153" s="3" t="s">
        <v>62</v>
      </c>
      <c r="AT3153" s="3" t="s">
        <v>62</v>
      </c>
      <c r="AV3153" s="6" t="str">
        <f>HYPERLINK("http://mcgill.on.worldcat.org/oclc/221197465","Catalog Record")</f>
        <v>Catalog Record</v>
      </c>
      <c r="AW3153" s="6" t="str">
        <f>HYPERLINK("http://www.worldcat.org/oclc/221197465","WorldCat Record")</f>
        <v>WorldCat Record</v>
      </c>
      <c r="AX3153" s="3" t="s">
        <v>30830</v>
      </c>
      <c r="AY3153" s="3" t="s">
        <v>30831</v>
      </c>
      <c r="AZ3153" s="3" t="s">
        <v>30832</v>
      </c>
      <c r="BA3153" s="3" t="s">
        <v>30832</v>
      </c>
      <c r="BB3153" s="3" t="s">
        <v>30833</v>
      </c>
      <c r="BC3153" s="3" t="s">
        <v>142</v>
      </c>
      <c r="BD3153" s="3" t="s">
        <v>68</v>
      </c>
      <c r="BF3153" s="3" t="s">
        <v>30833</v>
      </c>
      <c r="BG3153" s="3" t="s">
        <v>30834</v>
      </c>
    </row>
    <row r="3154" spans="1:59" ht="57" x14ac:dyDescent="0.45">
      <c r="A3154" s="2" t="s">
        <v>59</v>
      </c>
      <c r="B3154" s="2" t="s">
        <v>60</v>
      </c>
      <c r="C3154" s="2" t="s">
        <v>30835</v>
      </c>
      <c r="D3154" s="2" t="s">
        <v>30836</v>
      </c>
      <c r="E3154" s="2" t="s">
        <v>30837</v>
      </c>
      <c r="G3154" s="3" t="s">
        <v>62</v>
      </c>
      <c r="I3154" s="3" t="s">
        <v>61</v>
      </c>
      <c r="J3154" s="3" t="s">
        <v>61</v>
      </c>
      <c r="K3154" s="3" t="s">
        <v>28859</v>
      </c>
      <c r="L3154" s="2" t="s">
        <v>818</v>
      </c>
      <c r="M3154" s="2" t="s">
        <v>30838</v>
      </c>
      <c r="N3154" s="3" t="s">
        <v>833</v>
      </c>
      <c r="P3154" s="3" t="s">
        <v>65</v>
      </c>
      <c r="Q3154" s="2" t="s">
        <v>30839</v>
      </c>
      <c r="R3154" s="3" t="s">
        <v>66</v>
      </c>
      <c r="S3154" s="4">
        <v>0</v>
      </c>
      <c r="T3154" s="4">
        <v>35</v>
      </c>
      <c r="V3154" s="5" t="s">
        <v>14909</v>
      </c>
      <c r="W3154" s="5" t="s">
        <v>67</v>
      </c>
      <c r="X3154" s="5" t="s">
        <v>67</v>
      </c>
      <c r="Y3154" s="4">
        <v>896</v>
      </c>
      <c r="Z3154" s="4">
        <v>48</v>
      </c>
      <c r="AA3154" s="4">
        <v>92</v>
      </c>
      <c r="AB3154" s="4">
        <v>3</v>
      </c>
      <c r="AC3154" s="4">
        <v>14</v>
      </c>
      <c r="AD3154" s="4">
        <v>122</v>
      </c>
      <c r="AE3154" s="4">
        <v>162</v>
      </c>
      <c r="AF3154" s="4">
        <v>1</v>
      </c>
      <c r="AG3154" s="4">
        <v>7</v>
      </c>
      <c r="AH3154" s="4">
        <v>96</v>
      </c>
      <c r="AI3154" s="4">
        <v>116</v>
      </c>
      <c r="AJ3154" s="4">
        <v>18</v>
      </c>
      <c r="AK3154" s="4">
        <v>28</v>
      </c>
      <c r="AL3154" s="4">
        <v>53</v>
      </c>
      <c r="AM3154" s="4">
        <v>63</v>
      </c>
      <c r="AN3154" s="4">
        <v>0</v>
      </c>
      <c r="AO3154" s="4">
        <v>1</v>
      </c>
      <c r="AP3154" s="4">
        <v>30</v>
      </c>
      <c r="AQ3154" s="4">
        <v>52</v>
      </c>
      <c r="AR3154" s="3" t="s">
        <v>62</v>
      </c>
      <c r="AS3154" s="3" t="s">
        <v>61</v>
      </c>
      <c r="AT3154" s="3" t="s">
        <v>62</v>
      </c>
      <c r="AU3154" s="6" t="str">
        <f t="shared" ref="AU3154:AU3159" si="32">HYPERLINK("http://catalog.hathitrust.org/Record/004514260","HathiTrust Record")</f>
        <v>HathiTrust Record</v>
      </c>
      <c r="AV3154" s="6" t="str">
        <f t="shared" ref="AV3154:AV3159" si="33">HYPERLINK("http://mcgill.on.worldcat.org/oclc/271337","Catalog Record")</f>
        <v>Catalog Record</v>
      </c>
      <c r="AW3154" s="6" t="str">
        <f t="shared" ref="AW3154:AW3159" si="34">HYPERLINK("http://www.worldcat.org/oclc/271337","WorldCat Record")</f>
        <v>WorldCat Record</v>
      </c>
      <c r="AX3154" s="3" t="s">
        <v>30840</v>
      </c>
      <c r="AY3154" s="3" t="s">
        <v>30841</v>
      </c>
      <c r="AZ3154" s="3" t="s">
        <v>30842</v>
      </c>
      <c r="BA3154" s="3" t="s">
        <v>30842</v>
      </c>
      <c r="BB3154" s="3" t="s">
        <v>30843</v>
      </c>
      <c r="BC3154" s="3" t="s">
        <v>142</v>
      </c>
      <c r="BD3154" s="3" t="s">
        <v>68</v>
      </c>
      <c r="BE3154" s="3" t="s">
        <v>30844</v>
      </c>
      <c r="BF3154" s="3" t="s">
        <v>30843</v>
      </c>
      <c r="BG3154" s="3" t="s">
        <v>30845</v>
      </c>
    </row>
    <row r="3155" spans="1:59" ht="57" x14ac:dyDescent="0.45">
      <c r="A3155" s="2" t="s">
        <v>59</v>
      </c>
      <c r="B3155" s="2" t="s">
        <v>60</v>
      </c>
      <c r="C3155" s="2" t="s">
        <v>30835</v>
      </c>
      <c r="D3155" s="2" t="s">
        <v>30836</v>
      </c>
      <c r="E3155" s="2" t="s">
        <v>30837</v>
      </c>
      <c r="G3155" s="3" t="s">
        <v>62</v>
      </c>
      <c r="I3155" s="3" t="s">
        <v>61</v>
      </c>
      <c r="J3155" s="3" t="s">
        <v>61</v>
      </c>
      <c r="K3155" s="3" t="s">
        <v>28859</v>
      </c>
      <c r="L3155" s="2" t="s">
        <v>818</v>
      </c>
      <c r="M3155" s="2" t="s">
        <v>30838</v>
      </c>
      <c r="N3155" s="3" t="s">
        <v>833</v>
      </c>
      <c r="P3155" s="3" t="s">
        <v>65</v>
      </c>
      <c r="Q3155" s="2" t="s">
        <v>30839</v>
      </c>
      <c r="R3155" s="3" t="s">
        <v>66</v>
      </c>
      <c r="S3155" s="4">
        <v>7</v>
      </c>
      <c r="T3155" s="4">
        <v>35</v>
      </c>
      <c r="U3155" s="5" t="s">
        <v>30846</v>
      </c>
      <c r="V3155" s="5" t="s">
        <v>14909</v>
      </c>
      <c r="W3155" s="5" t="s">
        <v>67</v>
      </c>
      <c r="X3155" s="5" t="s">
        <v>67</v>
      </c>
      <c r="Y3155" s="4">
        <v>896</v>
      </c>
      <c r="Z3155" s="4">
        <v>48</v>
      </c>
      <c r="AA3155" s="4">
        <v>92</v>
      </c>
      <c r="AB3155" s="4">
        <v>3</v>
      </c>
      <c r="AC3155" s="4">
        <v>14</v>
      </c>
      <c r="AD3155" s="4">
        <v>122</v>
      </c>
      <c r="AE3155" s="4">
        <v>162</v>
      </c>
      <c r="AF3155" s="4">
        <v>1</v>
      </c>
      <c r="AG3155" s="4">
        <v>7</v>
      </c>
      <c r="AH3155" s="4">
        <v>96</v>
      </c>
      <c r="AI3155" s="4">
        <v>116</v>
      </c>
      <c r="AJ3155" s="4">
        <v>18</v>
      </c>
      <c r="AK3155" s="4">
        <v>28</v>
      </c>
      <c r="AL3155" s="4">
        <v>53</v>
      </c>
      <c r="AM3155" s="4">
        <v>63</v>
      </c>
      <c r="AN3155" s="4">
        <v>0</v>
      </c>
      <c r="AO3155" s="4">
        <v>1</v>
      </c>
      <c r="AP3155" s="4">
        <v>30</v>
      </c>
      <c r="AQ3155" s="4">
        <v>52</v>
      </c>
      <c r="AR3155" s="3" t="s">
        <v>62</v>
      </c>
      <c r="AS3155" s="3" t="s">
        <v>61</v>
      </c>
      <c r="AT3155" s="3" t="s">
        <v>62</v>
      </c>
      <c r="AU3155" s="6" t="str">
        <f t="shared" si="32"/>
        <v>HathiTrust Record</v>
      </c>
      <c r="AV3155" s="6" t="str">
        <f t="shared" si="33"/>
        <v>Catalog Record</v>
      </c>
      <c r="AW3155" s="6" t="str">
        <f t="shared" si="34"/>
        <v>WorldCat Record</v>
      </c>
      <c r="AX3155" s="3" t="s">
        <v>30840</v>
      </c>
      <c r="AY3155" s="3" t="s">
        <v>30841</v>
      </c>
      <c r="AZ3155" s="3" t="s">
        <v>30842</v>
      </c>
      <c r="BA3155" s="3" t="s">
        <v>30842</v>
      </c>
      <c r="BB3155" s="3" t="s">
        <v>30847</v>
      </c>
      <c r="BC3155" s="3" t="s">
        <v>142</v>
      </c>
      <c r="BD3155" s="3" t="s">
        <v>68</v>
      </c>
      <c r="BE3155" s="3" t="s">
        <v>30844</v>
      </c>
      <c r="BF3155" s="3" t="s">
        <v>30847</v>
      </c>
      <c r="BG3155" s="3" t="s">
        <v>30848</v>
      </c>
    </row>
    <row r="3156" spans="1:59" ht="57" x14ac:dyDescent="0.45">
      <c r="A3156" s="2" t="s">
        <v>59</v>
      </c>
      <c r="B3156" s="2" t="s">
        <v>60</v>
      </c>
      <c r="C3156" s="2" t="s">
        <v>30835</v>
      </c>
      <c r="D3156" s="2" t="s">
        <v>30836</v>
      </c>
      <c r="E3156" s="2" t="s">
        <v>30837</v>
      </c>
      <c r="G3156" s="3" t="s">
        <v>62</v>
      </c>
      <c r="I3156" s="3" t="s">
        <v>61</v>
      </c>
      <c r="J3156" s="3" t="s">
        <v>61</v>
      </c>
      <c r="K3156" s="3" t="s">
        <v>28859</v>
      </c>
      <c r="L3156" s="2" t="s">
        <v>818</v>
      </c>
      <c r="M3156" s="2" t="s">
        <v>30838</v>
      </c>
      <c r="N3156" s="3" t="s">
        <v>833</v>
      </c>
      <c r="P3156" s="3" t="s">
        <v>65</v>
      </c>
      <c r="Q3156" s="2" t="s">
        <v>30839</v>
      </c>
      <c r="R3156" s="3" t="s">
        <v>66</v>
      </c>
      <c r="S3156" s="4">
        <v>8</v>
      </c>
      <c r="T3156" s="4">
        <v>35</v>
      </c>
      <c r="U3156" s="5" t="s">
        <v>14909</v>
      </c>
      <c r="V3156" s="5" t="s">
        <v>14909</v>
      </c>
      <c r="W3156" s="5" t="s">
        <v>67</v>
      </c>
      <c r="X3156" s="5" t="s">
        <v>67</v>
      </c>
      <c r="Y3156" s="4">
        <v>896</v>
      </c>
      <c r="Z3156" s="4">
        <v>48</v>
      </c>
      <c r="AA3156" s="4">
        <v>92</v>
      </c>
      <c r="AB3156" s="4">
        <v>3</v>
      </c>
      <c r="AC3156" s="4">
        <v>14</v>
      </c>
      <c r="AD3156" s="4">
        <v>122</v>
      </c>
      <c r="AE3156" s="4">
        <v>162</v>
      </c>
      <c r="AF3156" s="4">
        <v>1</v>
      </c>
      <c r="AG3156" s="4">
        <v>7</v>
      </c>
      <c r="AH3156" s="4">
        <v>96</v>
      </c>
      <c r="AI3156" s="4">
        <v>116</v>
      </c>
      <c r="AJ3156" s="4">
        <v>18</v>
      </c>
      <c r="AK3156" s="4">
        <v>28</v>
      </c>
      <c r="AL3156" s="4">
        <v>53</v>
      </c>
      <c r="AM3156" s="4">
        <v>63</v>
      </c>
      <c r="AN3156" s="4">
        <v>0</v>
      </c>
      <c r="AO3156" s="4">
        <v>1</v>
      </c>
      <c r="AP3156" s="4">
        <v>30</v>
      </c>
      <c r="AQ3156" s="4">
        <v>52</v>
      </c>
      <c r="AR3156" s="3" t="s">
        <v>62</v>
      </c>
      <c r="AS3156" s="3" t="s">
        <v>61</v>
      </c>
      <c r="AT3156" s="3" t="s">
        <v>62</v>
      </c>
      <c r="AU3156" s="6" t="str">
        <f t="shared" si="32"/>
        <v>HathiTrust Record</v>
      </c>
      <c r="AV3156" s="6" t="str">
        <f t="shared" si="33"/>
        <v>Catalog Record</v>
      </c>
      <c r="AW3156" s="6" t="str">
        <f t="shared" si="34"/>
        <v>WorldCat Record</v>
      </c>
      <c r="AX3156" s="3" t="s">
        <v>30840</v>
      </c>
      <c r="AY3156" s="3" t="s">
        <v>30841</v>
      </c>
      <c r="AZ3156" s="3" t="s">
        <v>30842</v>
      </c>
      <c r="BA3156" s="3" t="s">
        <v>30842</v>
      </c>
      <c r="BB3156" s="3" t="s">
        <v>30849</v>
      </c>
      <c r="BC3156" s="3" t="s">
        <v>142</v>
      </c>
      <c r="BD3156" s="3" t="s">
        <v>68</v>
      </c>
      <c r="BE3156" s="3" t="s">
        <v>30844</v>
      </c>
      <c r="BF3156" s="3" t="s">
        <v>30849</v>
      </c>
      <c r="BG3156" s="3" t="s">
        <v>30850</v>
      </c>
    </row>
    <row r="3157" spans="1:59" ht="57" x14ac:dyDescent="0.45">
      <c r="A3157" s="2" t="s">
        <v>59</v>
      </c>
      <c r="B3157" s="2" t="s">
        <v>60</v>
      </c>
      <c r="C3157" s="2" t="s">
        <v>30835</v>
      </c>
      <c r="D3157" s="2" t="s">
        <v>30836</v>
      </c>
      <c r="E3157" s="2" t="s">
        <v>30837</v>
      </c>
      <c r="G3157" s="3" t="s">
        <v>62</v>
      </c>
      <c r="I3157" s="3" t="s">
        <v>61</v>
      </c>
      <c r="J3157" s="3" t="s">
        <v>61</v>
      </c>
      <c r="K3157" s="3" t="s">
        <v>28859</v>
      </c>
      <c r="L3157" s="2" t="s">
        <v>818</v>
      </c>
      <c r="M3157" s="2" t="s">
        <v>30838</v>
      </c>
      <c r="N3157" s="3" t="s">
        <v>833</v>
      </c>
      <c r="P3157" s="3" t="s">
        <v>65</v>
      </c>
      <c r="Q3157" s="2" t="s">
        <v>30839</v>
      </c>
      <c r="R3157" s="3" t="s">
        <v>66</v>
      </c>
      <c r="S3157" s="4">
        <v>5</v>
      </c>
      <c r="T3157" s="4">
        <v>35</v>
      </c>
      <c r="U3157" s="5" t="s">
        <v>30851</v>
      </c>
      <c r="V3157" s="5" t="s">
        <v>14909</v>
      </c>
      <c r="W3157" s="5" t="s">
        <v>67</v>
      </c>
      <c r="X3157" s="5" t="s">
        <v>67</v>
      </c>
      <c r="Y3157" s="4">
        <v>896</v>
      </c>
      <c r="Z3157" s="4">
        <v>48</v>
      </c>
      <c r="AA3157" s="4">
        <v>92</v>
      </c>
      <c r="AB3157" s="4">
        <v>3</v>
      </c>
      <c r="AC3157" s="4">
        <v>14</v>
      </c>
      <c r="AD3157" s="4">
        <v>122</v>
      </c>
      <c r="AE3157" s="4">
        <v>162</v>
      </c>
      <c r="AF3157" s="4">
        <v>1</v>
      </c>
      <c r="AG3157" s="4">
        <v>7</v>
      </c>
      <c r="AH3157" s="4">
        <v>96</v>
      </c>
      <c r="AI3157" s="4">
        <v>116</v>
      </c>
      <c r="AJ3157" s="4">
        <v>18</v>
      </c>
      <c r="AK3157" s="4">
        <v>28</v>
      </c>
      <c r="AL3157" s="4">
        <v>53</v>
      </c>
      <c r="AM3157" s="4">
        <v>63</v>
      </c>
      <c r="AN3157" s="4">
        <v>0</v>
      </c>
      <c r="AO3157" s="4">
        <v>1</v>
      </c>
      <c r="AP3157" s="4">
        <v>30</v>
      </c>
      <c r="AQ3157" s="4">
        <v>52</v>
      </c>
      <c r="AR3157" s="3" t="s">
        <v>62</v>
      </c>
      <c r="AS3157" s="3" t="s">
        <v>61</v>
      </c>
      <c r="AT3157" s="3" t="s">
        <v>62</v>
      </c>
      <c r="AU3157" s="6" t="str">
        <f t="shared" si="32"/>
        <v>HathiTrust Record</v>
      </c>
      <c r="AV3157" s="6" t="str">
        <f t="shared" si="33"/>
        <v>Catalog Record</v>
      </c>
      <c r="AW3157" s="6" t="str">
        <f t="shared" si="34"/>
        <v>WorldCat Record</v>
      </c>
      <c r="AX3157" s="3" t="s">
        <v>30840</v>
      </c>
      <c r="AY3157" s="3" t="s">
        <v>30841</v>
      </c>
      <c r="AZ3157" s="3" t="s">
        <v>30842</v>
      </c>
      <c r="BA3157" s="3" t="s">
        <v>30842</v>
      </c>
      <c r="BB3157" s="3" t="s">
        <v>30852</v>
      </c>
      <c r="BC3157" s="3" t="s">
        <v>142</v>
      </c>
      <c r="BD3157" s="3" t="s">
        <v>68</v>
      </c>
      <c r="BE3157" s="3" t="s">
        <v>30844</v>
      </c>
      <c r="BF3157" s="3" t="s">
        <v>30852</v>
      </c>
      <c r="BG3157" s="3" t="s">
        <v>30853</v>
      </c>
    </row>
    <row r="3158" spans="1:59" ht="57" x14ac:dyDescent="0.45">
      <c r="A3158" s="2" t="s">
        <v>59</v>
      </c>
      <c r="B3158" s="2" t="s">
        <v>60</v>
      </c>
      <c r="C3158" s="2" t="s">
        <v>30835</v>
      </c>
      <c r="D3158" s="2" t="s">
        <v>30836</v>
      </c>
      <c r="E3158" s="2" t="s">
        <v>30837</v>
      </c>
      <c r="G3158" s="3" t="s">
        <v>62</v>
      </c>
      <c r="I3158" s="3" t="s">
        <v>61</v>
      </c>
      <c r="J3158" s="3" t="s">
        <v>61</v>
      </c>
      <c r="K3158" s="3" t="s">
        <v>28859</v>
      </c>
      <c r="L3158" s="2" t="s">
        <v>818</v>
      </c>
      <c r="M3158" s="2" t="s">
        <v>30838</v>
      </c>
      <c r="N3158" s="3" t="s">
        <v>833</v>
      </c>
      <c r="P3158" s="3" t="s">
        <v>65</v>
      </c>
      <c r="Q3158" s="2" t="s">
        <v>30839</v>
      </c>
      <c r="R3158" s="3" t="s">
        <v>66</v>
      </c>
      <c r="S3158" s="4">
        <v>4</v>
      </c>
      <c r="T3158" s="4">
        <v>35</v>
      </c>
      <c r="U3158" s="5" t="s">
        <v>30854</v>
      </c>
      <c r="V3158" s="5" t="s">
        <v>14909</v>
      </c>
      <c r="W3158" s="5" t="s">
        <v>67</v>
      </c>
      <c r="X3158" s="5" t="s">
        <v>67</v>
      </c>
      <c r="Y3158" s="4">
        <v>896</v>
      </c>
      <c r="Z3158" s="4">
        <v>48</v>
      </c>
      <c r="AA3158" s="4">
        <v>92</v>
      </c>
      <c r="AB3158" s="4">
        <v>3</v>
      </c>
      <c r="AC3158" s="4">
        <v>14</v>
      </c>
      <c r="AD3158" s="4">
        <v>122</v>
      </c>
      <c r="AE3158" s="4">
        <v>162</v>
      </c>
      <c r="AF3158" s="4">
        <v>1</v>
      </c>
      <c r="AG3158" s="4">
        <v>7</v>
      </c>
      <c r="AH3158" s="4">
        <v>96</v>
      </c>
      <c r="AI3158" s="4">
        <v>116</v>
      </c>
      <c r="AJ3158" s="4">
        <v>18</v>
      </c>
      <c r="AK3158" s="4">
        <v>28</v>
      </c>
      <c r="AL3158" s="4">
        <v>53</v>
      </c>
      <c r="AM3158" s="4">
        <v>63</v>
      </c>
      <c r="AN3158" s="4">
        <v>0</v>
      </c>
      <c r="AO3158" s="4">
        <v>1</v>
      </c>
      <c r="AP3158" s="4">
        <v>30</v>
      </c>
      <c r="AQ3158" s="4">
        <v>52</v>
      </c>
      <c r="AR3158" s="3" t="s">
        <v>62</v>
      </c>
      <c r="AS3158" s="3" t="s">
        <v>61</v>
      </c>
      <c r="AT3158" s="3" t="s">
        <v>62</v>
      </c>
      <c r="AU3158" s="6" t="str">
        <f t="shared" si="32"/>
        <v>HathiTrust Record</v>
      </c>
      <c r="AV3158" s="6" t="str">
        <f t="shared" si="33"/>
        <v>Catalog Record</v>
      </c>
      <c r="AW3158" s="6" t="str">
        <f t="shared" si="34"/>
        <v>WorldCat Record</v>
      </c>
      <c r="AX3158" s="3" t="s">
        <v>30840</v>
      </c>
      <c r="AY3158" s="3" t="s">
        <v>30841</v>
      </c>
      <c r="AZ3158" s="3" t="s">
        <v>30842</v>
      </c>
      <c r="BA3158" s="3" t="s">
        <v>30842</v>
      </c>
      <c r="BB3158" s="3" t="s">
        <v>30855</v>
      </c>
      <c r="BC3158" s="3" t="s">
        <v>142</v>
      </c>
      <c r="BD3158" s="3" t="s">
        <v>68</v>
      </c>
      <c r="BE3158" s="3" t="s">
        <v>30844</v>
      </c>
      <c r="BF3158" s="3" t="s">
        <v>30855</v>
      </c>
      <c r="BG3158" s="3" t="s">
        <v>30856</v>
      </c>
    </row>
    <row r="3159" spans="1:59" ht="57" x14ac:dyDescent="0.45">
      <c r="A3159" s="2" t="s">
        <v>59</v>
      </c>
      <c r="B3159" s="2" t="s">
        <v>60</v>
      </c>
      <c r="C3159" s="2" t="s">
        <v>30835</v>
      </c>
      <c r="D3159" s="2" t="s">
        <v>30836</v>
      </c>
      <c r="E3159" s="2" t="s">
        <v>30837</v>
      </c>
      <c r="G3159" s="3" t="s">
        <v>62</v>
      </c>
      <c r="I3159" s="3" t="s">
        <v>61</v>
      </c>
      <c r="J3159" s="3" t="s">
        <v>61</v>
      </c>
      <c r="K3159" s="3" t="s">
        <v>28859</v>
      </c>
      <c r="L3159" s="2" t="s">
        <v>818</v>
      </c>
      <c r="M3159" s="2" t="s">
        <v>30838</v>
      </c>
      <c r="N3159" s="3" t="s">
        <v>833</v>
      </c>
      <c r="P3159" s="3" t="s">
        <v>65</v>
      </c>
      <c r="Q3159" s="2" t="s">
        <v>30839</v>
      </c>
      <c r="R3159" s="3" t="s">
        <v>66</v>
      </c>
      <c r="S3159" s="4">
        <v>11</v>
      </c>
      <c r="T3159" s="4">
        <v>35</v>
      </c>
      <c r="U3159" s="5" t="s">
        <v>30857</v>
      </c>
      <c r="V3159" s="5" t="s">
        <v>14909</v>
      </c>
      <c r="W3159" s="5" t="s">
        <v>67</v>
      </c>
      <c r="X3159" s="5" t="s">
        <v>67</v>
      </c>
      <c r="Y3159" s="4">
        <v>896</v>
      </c>
      <c r="Z3159" s="4">
        <v>48</v>
      </c>
      <c r="AA3159" s="4">
        <v>92</v>
      </c>
      <c r="AB3159" s="4">
        <v>3</v>
      </c>
      <c r="AC3159" s="4">
        <v>14</v>
      </c>
      <c r="AD3159" s="4">
        <v>122</v>
      </c>
      <c r="AE3159" s="4">
        <v>162</v>
      </c>
      <c r="AF3159" s="4">
        <v>1</v>
      </c>
      <c r="AG3159" s="4">
        <v>7</v>
      </c>
      <c r="AH3159" s="4">
        <v>96</v>
      </c>
      <c r="AI3159" s="4">
        <v>116</v>
      </c>
      <c r="AJ3159" s="4">
        <v>18</v>
      </c>
      <c r="AK3159" s="4">
        <v>28</v>
      </c>
      <c r="AL3159" s="4">
        <v>53</v>
      </c>
      <c r="AM3159" s="4">
        <v>63</v>
      </c>
      <c r="AN3159" s="4">
        <v>0</v>
      </c>
      <c r="AO3159" s="4">
        <v>1</v>
      </c>
      <c r="AP3159" s="4">
        <v>30</v>
      </c>
      <c r="AQ3159" s="4">
        <v>52</v>
      </c>
      <c r="AR3159" s="3" t="s">
        <v>62</v>
      </c>
      <c r="AS3159" s="3" t="s">
        <v>61</v>
      </c>
      <c r="AT3159" s="3" t="s">
        <v>62</v>
      </c>
      <c r="AU3159" s="6" t="str">
        <f t="shared" si="32"/>
        <v>HathiTrust Record</v>
      </c>
      <c r="AV3159" s="6" t="str">
        <f t="shared" si="33"/>
        <v>Catalog Record</v>
      </c>
      <c r="AW3159" s="6" t="str">
        <f t="shared" si="34"/>
        <v>WorldCat Record</v>
      </c>
      <c r="AX3159" s="3" t="s">
        <v>30840</v>
      </c>
      <c r="AY3159" s="3" t="s">
        <v>30841</v>
      </c>
      <c r="AZ3159" s="3" t="s">
        <v>30842</v>
      </c>
      <c r="BA3159" s="3" t="s">
        <v>30842</v>
      </c>
      <c r="BB3159" s="3" t="s">
        <v>30858</v>
      </c>
      <c r="BC3159" s="3" t="s">
        <v>142</v>
      </c>
      <c r="BD3159" s="3" t="s">
        <v>68</v>
      </c>
      <c r="BE3159" s="3" t="s">
        <v>30844</v>
      </c>
      <c r="BF3159" s="3" t="s">
        <v>30858</v>
      </c>
      <c r="BG3159" s="3" t="s">
        <v>30859</v>
      </c>
    </row>
    <row r="3160" spans="1:59" ht="57" x14ac:dyDescent="0.45">
      <c r="A3160" s="2" t="s">
        <v>59</v>
      </c>
      <c r="B3160" s="2" t="s">
        <v>60</v>
      </c>
      <c r="C3160" s="2" t="s">
        <v>30860</v>
      </c>
      <c r="D3160" s="2" t="s">
        <v>30861</v>
      </c>
      <c r="E3160" s="2" t="s">
        <v>30862</v>
      </c>
      <c r="G3160" s="3" t="s">
        <v>62</v>
      </c>
      <c r="I3160" s="3" t="s">
        <v>61</v>
      </c>
      <c r="J3160" s="3" t="s">
        <v>62</v>
      </c>
      <c r="K3160" s="3" t="s">
        <v>63</v>
      </c>
      <c r="L3160" s="2" t="s">
        <v>2606</v>
      </c>
      <c r="M3160" s="2" t="s">
        <v>30863</v>
      </c>
      <c r="N3160" s="3" t="s">
        <v>340</v>
      </c>
      <c r="P3160" s="3" t="s">
        <v>65</v>
      </c>
      <c r="Q3160" s="2" t="s">
        <v>30864</v>
      </c>
      <c r="R3160" s="3" t="s">
        <v>66</v>
      </c>
      <c r="S3160" s="4">
        <v>32</v>
      </c>
      <c r="T3160" s="4">
        <v>221</v>
      </c>
      <c r="U3160" s="5" t="s">
        <v>30865</v>
      </c>
      <c r="V3160" s="5" t="s">
        <v>28854</v>
      </c>
      <c r="W3160" s="5" t="s">
        <v>67</v>
      </c>
      <c r="X3160" s="5" t="s">
        <v>67</v>
      </c>
      <c r="Y3160" s="4">
        <v>1297</v>
      </c>
      <c r="Z3160" s="4">
        <v>68</v>
      </c>
      <c r="AA3160" s="4">
        <v>85</v>
      </c>
      <c r="AB3160" s="4">
        <v>5</v>
      </c>
      <c r="AC3160" s="4">
        <v>12</v>
      </c>
      <c r="AD3160" s="4">
        <v>141</v>
      </c>
      <c r="AE3160" s="4">
        <v>152</v>
      </c>
      <c r="AF3160" s="4">
        <v>2</v>
      </c>
      <c r="AG3160" s="4">
        <v>6</v>
      </c>
      <c r="AH3160" s="4">
        <v>109</v>
      </c>
      <c r="AI3160" s="4">
        <v>111</v>
      </c>
      <c r="AJ3160" s="4">
        <v>23</v>
      </c>
      <c r="AK3160" s="4">
        <v>28</v>
      </c>
      <c r="AL3160" s="4">
        <v>58</v>
      </c>
      <c r="AM3160" s="4">
        <v>58</v>
      </c>
      <c r="AN3160" s="4">
        <v>0</v>
      </c>
      <c r="AO3160" s="4">
        <v>0</v>
      </c>
      <c r="AP3160" s="4">
        <v>39</v>
      </c>
      <c r="AQ3160" s="4">
        <v>48</v>
      </c>
      <c r="AR3160" s="3" t="s">
        <v>62</v>
      </c>
      <c r="AS3160" s="3" t="s">
        <v>62</v>
      </c>
      <c r="AT3160" s="3" t="s">
        <v>61</v>
      </c>
      <c r="AU3160" s="6" t="str">
        <f t="shared" ref="AU3160:AU3171" si="35">HYPERLINK("http://catalog.hathitrust.org/Record/000403743","HathiTrust Record")</f>
        <v>HathiTrust Record</v>
      </c>
      <c r="AV3160" s="6" t="str">
        <f t="shared" ref="AV3160:AV3171" si="36">HYPERLINK("http://mcgill.on.worldcat.org/oclc/316164","Catalog Record")</f>
        <v>Catalog Record</v>
      </c>
      <c r="AW3160" s="6" t="str">
        <f t="shared" ref="AW3160:AW3171" si="37">HYPERLINK("http://www.worldcat.org/oclc/316164","WorldCat Record")</f>
        <v>WorldCat Record</v>
      </c>
      <c r="AX3160" s="3" t="s">
        <v>30866</v>
      </c>
      <c r="AY3160" s="3" t="s">
        <v>30867</v>
      </c>
      <c r="AZ3160" s="3" t="s">
        <v>30868</v>
      </c>
      <c r="BA3160" s="3" t="s">
        <v>30868</v>
      </c>
      <c r="BB3160" s="3" t="s">
        <v>30869</v>
      </c>
      <c r="BC3160" s="3" t="s">
        <v>142</v>
      </c>
      <c r="BD3160" s="3" t="s">
        <v>68</v>
      </c>
      <c r="BE3160" s="3" t="s">
        <v>30870</v>
      </c>
      <c r="BF3160" s="3" t="s">
        <v>30869</v>
      </c>
      <c r="BG3160" s="3" t="s">
        <v>30871</v>
      </c>
    </row>
    <row r="3161" spans="1:59" ht="57" x14ac:dyDescent="0.45">
      <c r="A3161" s="2" t="s">
        <v>59</v>
      </c>
      <c r="B3161" s="2" t="s">
        <v>60</v>
      </c>
      <c r="C3161" s="2" t="s">
        <v>30860</v>
      </c>
      <c r="D3161" s="2" t="s">
        <v>30861</v>
      </c>
      <c r="E3161" s="2" t="s">
        <v>30862</v>
      </c>
      <c r="G3161" s="3" t="s">
        <v>62</v>
      </c>
      <c r="I3161" s="3" t="s">
        <v>61</v>
      </c>
      <c r="J3161" s="3" t="s">
        <v>62</v>
      </c>
      <c r="K3161" s="3" t="s">
        <v>63</v>
      </c>
      <c r="L3161" s="2" t="s">
        <v>2606</v>
      </c>
      <c r="M3161" s="2" t="s">
        <v>30863</v>
      </c>
      <c r="N3161" s="3" t="s">
        <v>340</v>
      </c>
      <c r="P3161" s="3" t="s">
        <v>65</v>
      </c>
      <c r="Q3161" s="2" t="s">
        <v>30864</v>
      </c>
      <c r="R3161" s="3" t="s">
        <v>66</v>
      </c>
      <c r="S3161" s="4">
        <v>24</v>
      </c>
      <c r="T3161" s="4">
        <v>221</v>
      </c>
      <c r="U3161" s="5" t="s">
        <v>4534</v>
      </c>
      <c r="V3161" s="5" t="s">
        <v>28854</v>
      </c>
      <c r="W3161" s="5" t="s">
        <v>67</v>
      </c>
      <c r="X3161" s="5" t="s">
        <v>67</v>
      </c>
      <c r="Y3161" s="4">
        <v>1297</v>
      </c>
      <c r="Z3161" s="4">
        <v>68</v>
      </c>
      <c r="AA3161" s="4">
        <v>85</v>
      </c>
      <c r="AB3161" s="4">
        <v>5</v>
      </c>
      <c r="AC3161" s="4">
        <v>12</v>
      </c>
      <c r="AD3161" s="4">
        <v>141</v>
      </c>
      <c r="AE3161" s="4">
        <v>152</v>
      </c>
      <c r="AF3161" s="4">
        <v>2</v>
      </c>
      <c r="AG3161" s="4">
        <v>6</v>
      </c>
      <c r="AH3161" s="4">
        <v>109</v>
      </c>
      <c r="AI3161" s="4">
        <v>111</v>
      </c>
      <c r="AJ3161" s="4">
        <v>23</v>
      </c>
      <c r="AK3161" s="4">
        <v>28</v>
      </c>
      <c r="AL3161" s="4">
        <v>58</v>
      </c>
      <c r="AM3161" s="4">
        <v>58</v>
      </c>
      <c r="AN3161" s="4">
        <v>0</v>
      </c>
      <c r="AO3161" s="4">
        <v>0</v>
      </c>
      <c r="AP3161" s="4">
        <v>39</v>
      </c>
      <c r="AQ3161" s="4">
        <v>48</v>
      </c>
      <c r="AR3161" s="3" t="s">
        <v>62</v>
      </c>
      <c r="AS3161" s="3" t="s">
        <v>62</v>
      </c>
      <c r="AT3161" s="3" t="s">
        <v>61</v>
      </c>
      <c r="AU3161" s="6" t="str">
        <f t="shared" si="35"/>
        <v>HathiTrust Record</v>
      </c>
      <c r="AV3161" s="6" t="str">
        <f t="shared" si="36"/>
        <v>Catalog Record</v>
      </c>
      <c r="AW3161" s="6" t="str">
        <f t="shared" si="37"/>
        <v>WorldCat Record</v>
      </c>
      <c r="AX3161" s="3" t="s">
        <v>30866</v>
      </c>
      <c r="AY3161" s="3" t="s">
        <v>30867</v>
      </c>
      <c r="AZ3161" s="3" t="s">
        <v>30868</v>
      </c>
      <c r="BA3161" s="3" t="s">
        <v>30868</v>
      </c>
      <c r="BB3161" s="3" t="s">
        <v>30872</v>
      </c>
      <c r="BC3161" s="3" t="s">
        <v>142</v>
      </c>
      <c r="BD3161" s="3" t="s">
        <v>68</v>
      </c>
      <c r="BE3161" s="3" t="s">
        <v>30870</v>
      </c>
      <c r="BF3161" s="3" t="s">
        <v>30872</v>
      </c>
      <c r="BG3161" s="3" t="s">
        <v>30873</v>
      </c>
    </row>
    <row r="3162" spans="1:59" ht="57" x14ac:dyDescent="0.45">
      <c r="A3162" s="2" t="s">
        <v>59</v>
      </c>
      <c r="B3162" s="2" t="s">
        <v>60</v>
      </c>
      <c r="C3162" s="2" t="s">
        <v>30860</v>
      </c>
      <c r="D3162" s="2" t="s">
        <v>30861</v>
      </c>
      <c r="E3162" s="2" t="s">
        <v>30862</v>
      </c>
      <c r="G3162" s="3" t="s">
        <v>62</v>
      </c>
      <c r="I3162" s="3" t="s">
        <v>61</v>
      </c>
      <c r="J3162" s="3" t="s">
        <v>62</v>
      </c>
      <c r="K3162" s="3" t="s">
        <v>63</v>
      </c>
      <c r="L3162" s="2" t="s">
        <v>2606</v>
      </c>
      <c r="M3162" s="2" t="s">
        <v>30863</v>
      </c>
      <c r="N3162" s="3" t="s">
        <v>340</v>
      </c>
      <c r="P3162" s="3" t="s">
        <v>65</v>
      </c>
      <c r="Q3162" s="2" t="s">
        <v>30864</v>
      </c>
      <c r="R3162" s="3" t="s">
        <v>66</v>
      </c>
      <c r="S3162" s="4">
        <v>8</v>
      </c>
      <c r="T3162" s="4">
        <v>221</v>
      </c>
      <c r="U3162" s="5" t="s">
        <v>30874</v>
      </c>
      <c r="V3162" s="5" t="s">
        <v>28854</v>
      </c>
      <c r="W3162" s="5" t="s">
        <v>67</v>
      </c>
      <c r="X3162" s="5" t="s">
        <v>67</v>
      </c>
      <c r="Y3162" s="4">
        <v>1297</v>
      </c>
      <c r="Z3162" s="4">
        <v>68</v>
      </c>
      <c r="AA3162" s="4">
        <v>85</v>
      </c>
      <c r="AB3162" s="4">
        <v>5</v>
      </c>
      <c r="AC3162" s="4">
        <v>12</v>
      </c>
      <c r="AD3162" s="4">
        <v>141</v>
      </c>
      <c r="AE3162" s="4">
        <v>152</v>
      </c>
      <c r="AF3162" s="4">
        <v>2</v>
      </c>
      <c r="AG3162" s="4">
        <v>6</v>
      </c>
      <c r="AH3162" s="4">
        <v>109</v>
      </c>
      <c r="AI3162" s="4">
        <v>111</v>
      </c>
      <c r="AJ3162" s="4">
        <v>23</v>
      </c>
      <c r="AK3162" s="4">
        <v>28</v>
      </c>
      <c r="AL3162" s="4">
        <v>58</v>
      </c>
      <c r="AM3162" s="4">
        <v>58</v>
      </c>
      <c r="AN3162" s="4">
        <v>0</v>
      </c>
      <c r="AO3162" s="4">
        <v>0</v>
      </c>
      <c r="AP3162" s="4">
        <v>39</v>
      </c>
      <c r="AQ3162" s="4">
        <v>48</v>
      </c>
      <c r="AR3162" s="3" t="s">
        <v>62</v>
      </c>
      <c r="AS3162" s="3" t="s">
        <v>62</v>
      </c>
      <c r="AT3162" s="3" t="s">
        <v>61</v>
      </c>
      <c r="AU3162" s="6" t="str">
        <f t="shared" si="35"/>
        <v>HathiTrust Record</v>
      </c>
      <c r="AV3162" s="6" t="str">
        <f t="shared" si="36"/>
        <v>Catalog Record</v>
      </c>
      <c r="AW3162" s="6" t="str">
        <f t="shared" si="37"/>
        <v>WorldCat Record</v>
      </c>
      <c r="AX3162" s="3" t="s">
        <v>30866</v>
      </c>
      <c r="AY3162" s="3" t="s">
        <v>30867</v>
      </c>
      <c r="AZ3162" s="3" t="s">
        <v>30868</v>
      </c>
      <c r="BA3162" s="3" t="s">
        <v>30868</v>
      </c>
      <c r="BB3162" s="3" t="s">
        <v>30875</v>
      </c>
      <c r="BC3162" s="3" t="s">
        <v>142</v>
      </c>
      <c r="BD3162" s="3" t="s">
        <v>68</v>
      </c>
      <c r="BE3162" s="3" t="s">
        <v>30870</v>
      </c>
      <c r="BF3162" s="3" t="s">
        <v>30875</v>
      </c>
      <c r="BG3162" s="3" t="s">
        <v>30876</v>
      </c>
    </row>
    <row r="3163" spans="1:59" ht="57" x14ac:dyDescent="0.45">
      <c r="A3163" s="2" t="s">
        <v>59</v>
      </c>
      <c r="B3163" s="2" t="s">
        <v>60</v>
      </c>
      <c r="C3163" s="2" t="s">
        <v>30860</v>
      </c>
      <c r="D3163" s="2" t="s">
        <v>30861</v>
      </c>
      <c r="E3163" s="2" t="s">
        <v>30862</v>
      </c>
      <c r="G3163" s="3" t="s">
        <v>62</v>
      </c>
      <c r="I3163" s="3" t="s">
        <v>61</v>
      </c>
      <c r="J3163" s="3" t="s">
        <v>62</v>
      </c>
      <c r="K3163" s="3" t="s">
        <v>63</v>
      </c>
      <c r="L3163" s="2" t="s">
        <v>2606</v>
      </c>
      <c r="M3163" s="2" t="s">
        <v>30863</v>
      </c>
      <c r="N3163" s="3" t="s">
        <v>340</v>
      </c>
      <c r="P3163" s="3" t="s">
        <v>65</v>
      </c>
      <c r="Q3163" s="2" t="s">
        <v>30864</v>
      </c>
      <c r="R3163" s="3" t="s">
        <v>66</v>
      </c>
      <c r="S3163" s="4">
        <v>20</v>
      </c>
      <c r="T3163" s="4">
        <v>221</v>
      </c>
      <c r="U3163" s="5" t="s">
        <v>30877</v>
      </c>
      <c r="V3163" s="5" t="s">
        <v>28854</v>
      </c>
      <c r="W3163" s="5" t="s">
        <v>67</v>
      </c>
      <c r="X3163" s="5" t="s">
        <v>67</v>
      </c>
      <c r="Y3163" s="4">
        <v>1297</v>
      </c>
      <c r="Z3163" s="4">
        <v>68</v>
      </c>
      <c r="AA3163" s="4">
        <v>85</v>
      </c>
      <c r="AB3163" s="4">
        <v>5</v>
      </c>
      <c r="AC3163" s="4">
        <v>12</v>
      </c>
      <c r="AD3163" s="4">
        <v>141</v>
      </c>
      <c r="AE3163" s="4">
        <v>152</v>
      </c>
      <c r="AF3163" s="4">
        <v>2</v>
      </c>
      <c r="AG3163" s="4">
        <v>6</v>
      </c>
      <c r="AH3163" s="4">
        <v>109</v>
      </c>
      <c r="AI3163" s="4">
        <v>111</v>
      </c>
      <c r="AJ3163" s="4">
        <v>23</v>
      </c>
      <c r="AK3163" s="4">
        <v>28</v>
      </c>
      <c r="AL3163" s="4">
        <v>58</v>
      </c>
      <c r="AM3163" s="4">
        <v>58</v>
      </c>
      <c r="AN3163" s="4">
        <v>0</v>
      </c>
      <c r="AO3163" s="4">
        <v>0</v>
      </c>
      <c r="AP3163" s="4">
        <v>39</v>
      </c>
      <c r="AQ3163" s="4">
        <v>48</v>
      </c>
      <c r="AR3163" s="3" t="s">
        <v>62</v>
      </c>
      <c r="AS3163" s="3" t="s">
        <v>62</v>
      </c>
      <c r="AT3163" s="3" t="s">
        <v>61</v>
      </c>
      <c r="AU3163" s="6" t="str">
        <f t="shared" si="35"/>
        <v>HathiTrust Record</v>
      </c>
      <c r="AV3163" s="6" t="str">
        <f t="shared" si="36"/>
        <v>Catalog Record</v>
      </c>
      <c r="AW3163" s="6" t="str">
        <f t="shared" si="37"/>
        <v>WorldCat Record</v>
      </c>
      <c r="AX3163" s="3" t="s">
        <v>30866</v>
      </c>
      <c r="AY3163" s="3" t="s">
        <v>30867</v>
      </c>
      <c r="AZ3163" s="3" t="s">
        <v>30868</v>
      </c>
      <c r="BA3163" s="3" t="s">
        <v>30868</v>
      </c>
      <c r="BB3163" s="3" t="s">
        <v>30878</v>
      </c>
      <c r="BC3163" s="3" t="s">
        <v>142</v>
      </c>
      <c r="BD3163" s="3" t="s">
        <v>68</v>
      </c>
      <c r="BE3163" s="3" t="s">
        <v>30870</v>
      </c>
      <c r="BF3163" s="3" t="s">
        <v>30878</v>
      </c>
      <c r="BG3163" s="3" t="s">
        <v>30879</v>
      </c>
    </row>
    <row r="3164" spans="1:59" ht="57" x14ac:dyDescent="0.45">
      <c r="A3164" s="2" t="s">
        <v>59</v>
      </c>
      <c r="B3164" s="2" t="s">
        <v>60</v>
      </c>
      <c r="C3164" s="2" t="s">
        <v>30860</v>
      </c>
      <c r="D3164" s="2" t="s">
        <v>30861</v>
      </c>
      <c r="E3164" s="2" t="s">
        <v>30862</v>
      </c>
      <c r="G3164" s="3" t="s">
        <v>62</v>
      </c>
      <c r="I3164" s="3" t="s">
        <v>61</v>
      </c>
      <c r="J3164" s="3" t="s">
        <v>62</v>
      </c>
      <c r="K3164" s="3" t="s">
        <v>63</v>
      </c>
      <c r="L3164" s="2" t="s">
        <v>2606</v>
      </c>
      <c r="M3164" s="2" t="s">
        <v>30863</v>
      </c>
      <c r="N3164" s="3" t="s">
        <v>340</v>
      </c>
      <c r="P3164" s="3" t="s">
        <v>65</v>
      </c>
      <c r="Q3164" s="2" t="s">
        <v>30864</v>
      </c>
      <c r="R3164" s="3" t="s">
        <v>66</v>
      </c>
      <c r="S3164" s="4">
        <v>14</v>
      </c>
      <c r="T3164" s="4">
        <v>221</v>
      </c>
      <c r="U3164" s="5" t="s">
        <v>28854</v>
      </c>
      <c r="V3164" s="5" t="s">
        <v>28854</v>
      </c>
      <c r="W3164" s="5" t="s">
        <v>67</v>
      </c>
      <c r="X3164" s="5" t="s">
        <v>67</v>
      </c>
      <c r="Y3164" s="4">
        <v>1297</v>
      </c>
      <c r="Z3164" s="4">
        <v>68</v>
      </c>
      <c r="AA3164" s="4">
        <v>85</v>
      </c>
      <c r="AB3164" s="4">
        <v>5</v>
      </c>
      <c r="AC3164" s="4">
        <v>12</v>
      </c>
      <c r="AD3164" s="4">
        <v>141</v>
      </c>
      <c r="AE3164" s="4">
        <v>152</v>
      </c>
      <c r="AF3164" s="4">
        <v>2</v>
      </c>
      <c r="AG3164" s="4">
        <v>6</v>
      </c>
      <c r="AH3164" s="4">
        <v>109</v>
      </c>
      <c r="AI3164" s="4">
        <v>111</v>
      </c>
      <c r="AJ3164" s="4">
        <v>23</v>
      </c>
      <c r="AK3164" s="4">
        <v>28</v>
      </c>
      <c r="AL3164" s="4">
        <v>58</v>
      </c>
      <c r="AM3164" s="4">
        <v>58</v>
      </c>
      <c r="AN3164" s="4">
        <v>0</v>
      </c>
      <c r="AO3164" s="4">
        <v>0</v>
      </c>
      <c r="AP3164" s="4">
        <v>39</v>
      </c>
      <c r="AQ3164" s="4">
        <v>48</v>
      </c>
      <c r="AR3164" s="3" t="s">
        <v>62</v>
      </c>
      <c r="AS3164" s="3" t="s">
        <v>62</v>
      </c>
      <c r="AT3164" s="3" t="s">
        <v>61</v>
      </c>
      <c r="AU3164" s="6" t="str">
        <f t="shared" si="35"/>
        <v>HathiTrust Record</v>
      </c>
      <c r="AV3164" s="6" t="str">
        <f t="shared" si="36"/>
        <v>Catalog Record</v>
      </c>
      <c r="AW3164" s="6" t="str">
        <f t="shared" si="37"/>
        <v>WorldCat Record</v>
      </c>
      <c r="AX3164" s="3" t="s">
        <v>30866</v>
      </c>
      <c r="AY3164" s="3" t="s">
        <v>30867</v>
      </c>
      <c r="AZ3164" s="3" t="s">
        <v>30868</v>
      </c>
      <c r="BA3164" s="3" t="s">
        <v>30868</v>
      </c>
      <c r="BB3164" s="3" t="s">
        <v>30880</v>
      </c>
      <c r="BC3164" s="3" t="s">
        <v>142</v>
      </c>
      <c r="BD3164" s="3" t="s">
        <v>68</v>
      </c>
      <c r="BE3164" s="3" t="s">
        <v>30870</v>
      </c>
      <c r="BF3164" s="3" t="s">
        <v>30880</v>
      </c>
      <c r="BG3164" s="3" t="s">
        <v>30881</v>
      </c>
    </row>
    <row r="3165" spans="1:59" ht="57" x14ac:dyDescent="0.45">
      <c r="A3165" s="2" t="s">
        <v>59</v>
      </c>
      <c r="B3165" s="2" t="s">
        <v>60</v>
      </c>
      <c r="C3165" s="2" t="s">
        <v>30860</v>
      </c>
      <c r="D3165" s="2" t="s">
        <v>30861</v>
      </c>
      <c r="E3165" s="2" t="s">
        <v>30862</v>
      </c>
      <c r="G3165" s="3" t="s">
        <v>62</v>
      </c>
      <c r="I3165" s="3" t="s">
        <v>61</v>
      </c>
      <c r="J3165" s="3" t="s">
        <v>62</v>
      </c>
      <c r="K3165" s="3" t="s">
        <v>63</v>
      </c>
      <c r="L3165" s="2" t="s">
        <v>2606</v>
      </c>
      <c r="M3165" s="2" t="s">
        <v>30863</v>
      </c>
      <c r="N3165" s="3" t="s">
        <v>340</v>
      </c>
      <c r="P3165" s="3" t="s">
        <v>65</v>
      </c>
      <c r="Q3165" s="2" t="s">
        <v>30864</v>
      </c>
      <c r="R3165" s="3" t="s">
        <v>66</v>
      </c>
      <c r="S3165" s="4">
        <v>46</v>
      </c>
      <c r="T3165" s="4">
        <v>221</v>
      </c>
      <c r="U3165" s="5" t="s">
        <v>25889</v>
      </c>
      <c r="V3165" s="5" t="s">
        <v>28854</v>
      </c>
      <c r="W3165" s="5" t="s">
        <v>67</v>
      </c>
      <c r="X3165" s="5" t="s">
        <v>67</v>
      </c>
      <c r="Y3165" s="4">
        <v>1297</v>
      </c>
      <c r="Z3165" s="4">
        <v>68</v>
      </c>
      <c r="AA3165" s="4">
        <v>85</v>
      </c>
      <c r="AB3165" s="4">
        <v>5</v>
      </c>
      <c r="AC3165" s="4">
        <v>12</v>
      </c>
      <c r="AD3165" s="4">
        <v>141</v>
      </c>
      <c r="AE3165" s="4">
        <v>152</v>
      </c>
      <c r="AF3165" s="4">
        <v>2</v>
      </c>
      <c r="AG3165" s="4">
        <v>6</v>
      </c>
      <c r="AH3165" s="4">
        <v>109</v>
      </c>
      <c r="AI3165" s="4">
        <v>111</v>
      </c>
      <c r="AJ3165" s="4">
        <v>23</v>
      </c>
      <c r="AK3165" s="4">
        <v>28</v>
      </c>
      <c r="AL3165" s="4">
        <v>58</v>
      </c>
      <c r="AM3165" s="4">
        <v>58</v>
      </c>
      <c r="AN3165" s="4">
        <v>0</v>
      </c>
      <c r="AO3165" s="4">
        <v>0</v>
      </c>
      <c r="AP3165" s="4">
        <v>39</v>
      </c>
      <c r="AQ3165" s="4">
        <v>48</v>
      </c>
      <c r="AR3165" s="3" t="s">
        <v>62</v>
      </c>
      <c r="AS3165" s="3" t="s">
        <v>62</v>
      </c>
      <c r="AT3165" s="3" t="s">
        <v>61</v>
      </c>
      <c r="AU3165" s="6" t="str">
        <f t="shared" si="35"/>
        <v>HathiTrust Record</v>
      </c>
      <c r="AV3165" s="6" t="str">
        <f t="shared" si="36"/>
        <v>Catalog Record</v>
      </c>
      <c r="AW3165" s="6" t="str">
        <f t="shared" si="37"/>
        <v>WorldCat Record</v>
      </c>
      <c r="AX3165" s="3" t="s">
        <v>30866</v>
      </c>
      <c r="AY3165" s="3" t="s">
        <v>30867</v>
      </c>
      <c r="AZ3165" s="3" t="s">
        <v>30868</v>
      </c>
      <c r="BA3165" s="3" t="s">
        <v>30868</v>
      </c>
      <c r="BB3165" s="3" t="s">
        <v>30882</v>
      </c>
      <c r="BC3165" s="3" t="s">
        <v>142</v>
      </c>
      <c r="BD3165" s="3" t="s">
        <v>68</v>
      </c>
      <c r="BE3165" s="3" t="s">
        <v>30870</v>
      </c>
      <c r="BF3165" s="3" t="s">
        <v>30882</v>
      </c>
      <c r="BG3165" s="3" t="s">
        <v>30883</v>
      </c>
    </row>
    <row r="3166" spans="1:59" ht="57" x14ac:dyDescent="0.45">
      <c r="A3166" s="2" t="s">
        <v>59</v>
      </c>
      <c r="B3166" s="2" t="s">
        <v>60</v>
      </c>
      <c r="C3166" s="2" t="s">
        <v>30860</v>
      </c>
      <c r="D3166" s="2" t="s">
        <v>30861</v>
      </c>
      <c r="E3166" s="2" t="s">
        <v>30862</v>
      </c>
      <c r="G3166" s="3" t="s">
        <v>62</v>
      </c>
      <c r="I3166" s="3" t="s">
        <v>61</v>
      </c>
      <c r="J3166" s="3" t="s">
        <v>62</v>
      </c>
      <c r="K3166" s="3" t="s">
        <v>63</v>
      </c>
      <c r="L3166" s="2" t="s">
        <v>2606</v>
      </c>
      <c r="M3166" s="2" t="s">
        <v>30863</v>
      </c>
      <c r="N3166" s="3" t="s">
        <v>340</v>
      </c>
      <c r="P3166" s="3" t="s">
        <v>65</v>
      </c>
      <c r="Q3166" s="2" t="s">
        <v>30864</v>
      </c>
      <c r="R3166" s="3" t="s">
        <v>66</v>
      </c>
      <c r="S3166" s="4">
        <v>24</v>
      </c>
      <c r="T3166" s="4">
        <v>221</v>
      </c>
      <c r="U3166" s="5" t="s">
        <v>7566</v>
      </c>
      <c r="V3166" s="5" t="s">
        <v>28854</v>
      </c>
      <c r="W3166" s="5" t="s">
        <v>67</v>
      </c>
      <c r="X3166" s="5" t="s">
        <v>67</v>
      </c>
      <c r="Y3166" s="4">
        <v>1297</v>
      </c>
      <c r="Z3166" s="4">
        <v>68</v>
      </c>
      <c r="AA3166" s="4">
        <v>85</v>
      </c>
      <c r="AB3166" s="4">
        <v>5</v>
      </c>
      <c r="AC3166" s="4">
        <v>12</v>
      </c>
      <c r="AD3166" s="4">
        <v>141</v>
      </c>
      <c r="AE3166" s="4">
        <v>152</v>
      </c>
      <c r="AF3166" s="4">
        <v>2</v>
      </c>
      <c r="AG3166" s="4">
        <v>6</v>
      </c>
      <c r="AH3166" s="4">
        <v>109</v>
      </c>
      <c r="AI3166" s="4">
        <v>111</v>
      </c>
      <c r="AJ3166" s="4">
        <v>23</v>
      </c>
      <c r="AK3166" s="4">
        <v>28</v>
      </c>
      <c r="AL3166" s="4">
        <v>58</v>
      </c>
      <c r="AM3166" s="4">
        <v>58</v>
      </c>
      <c r="AN3166" s="4">
        <v>0</v>
      </c>
      <c r="AO3166" s="4">
        <v>0</v>
      </c>
      <c r="AP3166" s="4">
        <v>39</v>
      </c>
      <c r="AQ3166" s="4">
        <v>48</v>
      </c>
      <c r="AR3166" s="3" t="s">
        <v>62</v>
      </c>
      <c r="AS3166" s="3" t="s">
        <v>62</v>
      </c>
      <c r="AT3166" s="3" t="s">
        <v>61</v>
      </c>
      <c r="AU3166" s="6" t="str">
        <f t="shared" si="35"/>
        <v>HathiTrust Record</v>
      </c>
      <c r="AV3166" s="6" t="str">
        <f t="shared" si="36"/>
        <v>Catalog Record</v>
      </c>
      <c r="AW3166" s="6" t="str">
        <f t="shared" si="37"/>
        <v>WorldCat Record</v>
      </c>
      <c r="AX3166" s="3" t="s">
        <v>30866</v>
      </c>
      <c r="AY3166" s="3" t="s">
        <v>30867</v>
      </c>
      <c r="AZ3166" s="3" t="s">
        <v>30868</v>
      </c>
      <c r="BA3166" s="3" t="s">
        <v>30868</v>
      </c>
      <c r="BB3166" s="3" t="s">
        <v>30884</v>
      </c>
      <c r="BC3166" s="3" t="s">
        <v>142</v>
      </c>
      <c r="BD3166" s="3" t="s">
        <v>68</v>
      </c>
      <c r="BE3166" s="3" t="s">
        <v>30870</v>
      </c>
      <c r="BF3166" s="3" t="s">
        <v>30884</v>
      </c>
      <c r="BG3166" s="3" t="s">
        <v>30885</v>
      </c>
    </row>
    <row r="3167" spans="1:59" ht="57" x14ac:dyDescent="0.45">
      <c r="A3167" s="2" t="s">
        <v>59</v>
      </c>
      <c r="B3167" s="2" t="s">
        <v>60</v>
      </c>
      <c r="C3167" s="2" t="s">
        <v>30860</v>
      </c>
      <c r="D3167" s="2" t="s">
        <v>30861</v>
      </c>
      <c r="E3167" s="2" t="s">
        <v>30862</v>
      </c>
      <c r="G3167" s="3" t="s">
        <v>62</v>
      </c>
      <c r="I3167" s="3" t="s">
        <v>61</v>
      </c>
      <c r="J3167" s="3" t="s">
        <v>62</v>
      </c>
      <c r="K3167" s="3" t="s">
        <v>63</v>
      </c>
      <c r="L3167" s="2" t="s">
        <v>2606</v>
      </c>
      <c r="M3167" s="2" t="s">
        <v>30863</v>
      </c>
      <c r="N3167" s="3" t="s">
        <v>340</v>
      </c>
      <c r="P3167" s="3" t="s">
        <v>65</v>
      </c>
      <c r="Q3167" s="2" t="s">
        <v>30864</v>
      </c>
      <c r="R3167" s="3" t="s">
        <v>66</v>
      </c>
      <c r="S3167" s="4">
        <v>17</v>
      </c>
      <c r="T3167" s="4">
        <v>221</v>
      </c>
      <c r="U3167" s="5" t="s">
        <v>30886</v>
      </c>
      <c r="V3167" s="5" t="s">
        <v>28854</v>
      </c>
      <c r="W3167" s="5" t="s">
        <v>67</v>
      </c>
      <c r="X3167" s="5" t="s">
        <v>67</v>
      </c>
      <c r="Y3167" s="4">
        <v>1297</v>
      </c>
      <c r="Z3167" s="4">
        <v>68</v>
      </c>
      <c r="AA3167" s="4">
        <v>85</v>
      </c>
      <c r="AB3167" s="4">
        <v>5</v>
      </c>
      <c r="AC3167" s="4">
        <v>12</v>
      </c>
      <c r="AD3167" s="4">
        <v>141</v>
      </c>
      <c r="AE3167" s="4">
        <v>152</v>
      </c>
      <c r="AF3167" s="4">
        <v>2</v>
      </c>
      <c r="AG3167" s="4">
        <v>6</v>
      </c>
      <c r="AH3167" s="4">
        <v>109</v>
      </c>
      <c r="AI3167" s="4">
        <v>111</v>
      </c>
      <c r="AJ3167" s="4">
        <v>23</v>
      </c>
      <c r="AK3167" s="4">
        <v>28</v>
      </c>
      <c r="AL3167" s="4">
        <v>58</v>
      </c>
      <c r="AM3167" s="4">
        <v>58</v>
      </c>
      <c r="AN3167" s="4">
        <v>0</v>
      </c>
      <c r="AO3167" s="4">
        <v>0</v>
      </c>
      <c r="AP3167" s="4">
        <v>39</v>
      </c>
      <c r="AQ3167" s="4">
        <v>48</v>
      </c>
      <c r="AR3167" s="3" t="s">
        <v>62</v>
      </c>
      <c r="AS3167" s="3" t="s">
        <v>62</v>
      </c>
      <c r="AT3167" s="3" t="s">
        <v>61</v>
      </c>
      <c r="AU3167" s="6" t="str">
        <f t="shared" si="35"/>
        <v>HathiTrust Record</v>
      </c>
      <c r="AV3167" s="6" t="str">
        <f t="shared" si="36"/>
        <v>Catalog Record</v>
      </c>
      <c r="AW3167" s="6" t="str">
        <f t="shared" si="37"/>
        <v>WorldCat Record</v>
      </c>
      <c r="AX3167" s="3" t="s">
        <v>30866</v>
      </c>
      <c r="AY3167" s="3" t="s">
        <v>30867</v>
      </c>
      <c r="AZ3167" s="3" t="s">
        <v>30868</v>
      </c>
      <c r="BA3167" s="3" t="s">
        <v>30868</v>
      </c>
      <c r="BB3167" s="3" t="s">
        <v>30887</v>
      </c>
      <c r="BC3167" s="3" t="s">
        <v>142</v>
      </c>
      <c r="BD3167" s="3" t="s">
        <v>68</v>
      </c>
      <c r="BE3167" s="3" t="s">
        <v>30870</v>
      </c>
      <c r="BF3167" s="3" t="s">
        <v>30887</v>
      </c>
      <c r="BG3167" s="3" t="s">
        <v>30888</v>
      </c>
    </row>
    <row r="3168" spans="1:59" ht="57" x14ac:dyDescent="0.45">
      <c r="A3168" s="2" t="s">
        <v>59</v>
      </c>
      <c r="B3168" s="2" t="s">
        <v>60</v>
      </c>
      <c r="C3168" s="2" t="s">
        <v>30860</v>
      </c>
      <c r="D3168" s="2" t="s">
        <v>30861</v>
      </c>
      <c r="E3168" s="2" t="s">
        <v>30862</v>
      </c>
      <c r="G3168" s="3" t="s">
        <v>62</v>
      </c>
      <c r="I3168" s="3" t="s">
        <v>61</v>
      </c>
      <c r="J3168" s="3" t="s">
        <v>62</v>
      </c>
      <c r="K3168" s="3" t="s">
        <v>63</v>
      </c>
      <c r="L3168" s="2" t="s">
        <v>2606</v>
      </c>
      <c r="M3168" s="2" t="s">
        <v>30863</v>
      </c>
      <c r="N3168" s="3" t="s">
        <v>340</v>
      </c>
      <c r="P3168" s="3" t="s">
        <v>65</v>
      </c>
      <c r="Q3168" s="2" t="s">
        <v>30864</v>
      </c>
      <c r="R3168" s="3" t="s">
        <v>66</v>
      </c>
      <c r="S3168" s="4">
        <v>0</v>
      </c>
      <c r="T3168" s="4">
        <v>221</v>
      </c>
      <c r="V3168" s="5" t="s">
        <v>28854</v>
      </c>
      <c r="W3168" s="5" t="s">
        <v>67</v>
      </c>
      <c r="X3168" s="5" t="s">
        <v>67</v>
      </c>
      <c r="Y3168" s="4">
        <v>1297</v>
      </c>
      <c r="Z3168" s="4">
        <v>68</v>
      </c>
      <c r="AA3168" s="4">
        <v>85</v>
      </c>
      <c r="AB3168" s="4">
        <v>5</v>
      </c>
      <c r="AC3168" s="4">
        <v>12</v>
      </c>
      <c r="AD3168" s="4">
        <v>141</v>
      </c>
      <c r="AE3168" s="4">
        <v>152</v>
      </c>
      <c r="AF3168" s="4">
        <v>2</v>
      </c>
      <c r="AG3168" s="4">
        <v>6</v>
      </c>
      <c r="AH3168" s="4">
        <v>109</v>
      </c>
      <c r="AI3168" s="4">
        <v>111</v>
      </c>
      <c r="AJ3168" s="4">
        <v>23</v>
      </c>
      <c r="AK3168" s="4">
        <v>28</v>
      </c>
      <c r="AL3168" s="4">
        <v>58</v>
      </c>
      <c r="AM3168" s="4">
        <v>58</v>
      </c>
      <c r="AN3168" s="4">
        <v>0</v>
      </c>
      <c r="AO3168" s="4">
        <v>0</v>
      </c>
      <c r="AP3168" s="4">
        <v>39</v>
      </c>
      <c r="AQ3168" s="4">
        <v>48</v>
      </c>
      <c r="AR3168" s="3" t="s">
        <v>62</v>
      </c>
      <c r="AS3168" s="3" t="s">
        <v>62</v>
      </c>
      <c r="AT3168" s="3" t="s">
        <v>61</v>
      </c>
      <c r="AU3168" s="6" t="str">
        <f t="shared" si="35"/>
        <v>HathiTrust Record</v>
      </c>
      <c r="AV3168" s="6" t="str">
        <f t="shared" si="36"/>
        <v>Catalog Record</v>
      </c>
      <c r="AW3168" s="6" t="str">
        <f t="shared" si="37"/>
        <v>WorldCat Record</v>
      </c>
      <c r="AX3168" s="3" t="s">
        <v>30866</v>
      </c>
      <c r="AY3168" s="3" t="s">
        <v>30867</v>
      </c>
      <c r="AZ3168" s="3" t="s">
        <v>30868</v>
      </c>
      <c r="BA3168" s="3" t="s">
        <v>30868</v>
      </c>
      <c r="BB3168" s="3" t="s">
        <v>30889</v>
      </c>
      <c r="BC3168" s="3" t="s">
        <v>142</v>
      </c>
      <c r="BD3168" s="3" t="s">
        <v>68</v>
      </c>
      <c r="BE3168" s="3" t="s">
        <v>30870</v>
      </c>
      <c r="BF3168" s="3" t="s">
        <v>30889</v>
      </c>
      <c r="BG3168" s="3" t="s">
        <v>30890</v>
      </c>
    </row>
    <row r="3169" spans="1:59" ht="57" x14ac:dyDescent="0.45">
      <c r="A3169" s="2" t="s">
        <v>59</v>
      </c>
      <c r="B3169" s="2" t="s">
        <v>60</v>
      </c>
      <c r="C3169" s="2" t="s">
        <v>30860</v>
      </c>
      <c r="D3169" s="2" t="s">
        <v>30861</v>
      </c>
      <c r="E3169" s="2" t="s">
        <v>30862</v>
      </c>
      <c r="G3169" s="3" t="s">
        <v>62</v>
      </c>
      <c r="I3169" s="3" t="s">
        <v>61</v>
      </c>
      <c r="J3169" s="3" t="s">
        <v>62</v>
      </c>
      <c r="K3169" s="3" t="s">
        <v>63</v>
      </c>
      <c r="L3169" s="2" t="s">
        <v>2606</v>
      </c>
      <c r="M3169" s="2" t="s">
        <v>30863</v>
      </c>
      <c r="N3169" s="3" t="s">
        <v>340</v>
      </c>
      <c r="P3169" s="3" t="s">
        <v>65</v>
      </c>
      <c r="Q3169" s="2" t="s">
        <v>30864</v>
      </c>
      <c r="R3169" s="3" t="s">
        <v>66</v>
      </c>
      <c r="S3169" s="4">
        <v>20</v>
      </c>
      <c r="T3169" s="4">
        <v>221</v>
      </c>
      <c r="U3169" s="5" t="s">
        <v>30891</v>
      </c>
      <c r="V3169" s="5" t="s">
        <v>28854</v>
      </c>
      <c r="W3169" s="5" t="s">
        <v>67</v>
      </c>
      <c r="X3169" s="5" t="s">
        <v>67</v>
      </c>
      <c r="Y3169" s="4">
        <v>1297</v>
      </c>
      <c r="Z3169" s="4">
        <v>68</v>
      </c>
      <c r="AA3169" s="4">
        <v>85</v>
      </c>
      <c r="AB3169" s="4">
        <v>5</v>
      </c>
      <c r="AC3169" s="4">
        <v>12</v>
      </c>
      <c r="AD3169" s="4">
        <v>141</v>
      </c>
      <c r="AE3169" s="4">
        <v>152</v>
      </c>
      <c r="AF3169" s="4">
        <v>2</v>
      </c>
      <c r="AG3169" s="4">
        <v>6</v>
      </c>
      <c r="AH3169" s="4">
        <v>109</v>
      </c>
      <c r="AI3169" s="4">
        <v>111</v>
      </c>
      <c r="AJ3169" s="4">
        <v>23</v>
      </c>
      <c r="AK3169" s="4">
        <v>28</v>
      </c>
      <c r="AL3169" s="4">
        <v>58</v>
      </c>
      <c r="AM3169" s="4">
        <v>58</v>
      </c>
      <c r="AN3169" s="4">
        <v>0</v>
      </c>
      <c r="AO3169" s="4">
        <v>0</v>
      </c>
      <c r="AP3169" s="4">
        <v>39</v>
      </c>
      <c r="AQ3169" s="4">
        <v>48</v>
      </c>
      <c r="AR3169" s="3" t="s">
        <v>62</v>
      </c>
      <c r="AS3169" s="3" t="s">
        <v>62</v>
      </c>
      <c r="AT3169" s="3" t="s">
        <v>61</v>
      </c>
      <c r="AU3169" s="6" t="str">
        <f t="shared" si="35"/>
        <v>HathiTrust Record</v>
      </c>
      <c r="AV3169" s="6" t="str">
        <f t="shared" si="36"/>
        <v>Catalog Record</v>
      </c>
      <c r="AW3169" s="6" t="str">
        <f t="shared" si="37"/>
        <v>WorldCat Record</v>
      </c>
      <c r="AX3169" s="3" t="s">
        <v>30866</v>
      </c>
      <c r="AY3169" s="3" t="s">
        <v>30867</v>
      </c>
      <c r="AZ3169" s="3" t="s">
        <v>30868</v>
      </c>
      <c r="BA3169" s="3" t="s">
        <v>30868</v>
      </c>
      <c r="BB3169" s="3" t="s">
        <v>30892</v>
      </c>
      <c r="BC3169" s="3" t="s">
        <v>142</v>
      </c>
      <c r="BD3169" s="3" t="s">
        <v>68</v>
      </c>
      <c r="BE3169" s="3" t="s">
        <v>30870</v>
      </c>
      <c r="BF3169" s="3" t="s">
        <v>30892</v>
      </c>
      <c r="BG3169" s="3" t="s">
        <v>30893</v>
      </c>
    </row>
    <row r="3170" spans="1:59" ht="57" x14ac:dyDescent="0.45">
      <c r="A3170" s="2" t="s">
        <v>59</v>
      </c>
      <c r="B3170" s="2" t="s">
        <v>60</v>
      </c>
      <c r="C3170" s="2" t="s">
        <v>30860</v>
      </c>
      <c r="D3170" s="2" t="s">
        <v>30861</v>
      </c>
      <c r="E3170" s="2" t="s">
        <v>30862</v>
      </c>
      <c r="G3170" s="3" t="s">
        <v>62</v>
      </c>
      <c r="I3170" s="3" t="s">
        <v>61</v>
      </c>
      <c r="J3170" s="3" t="s">
        <v>62</v>
      </c>
      <c r="K3170" s="3" t="s">
        <v>63</v>
      </c>
      <c r="L3170" s="2" t="s">
        <v>2606</v>
      </c>
      <c r="M3170" s="2" t="s">
        <v>30863</v>
      </c>
      <c r="N3170" s="3" t="s">
        <v>340</v>
      </c>
      <c r="P3170" s="3" t="s">
        <v>65</v>
      </c>
      <c r="Q3170" s="2" t="s">
        <v>30864</v>
      </c>
      <c r="R3170" s="3" t="s">
        <v>66</v>
      </c>
      <c r="S3170" s="4">
        <v>16</v>
      </c>
      <c r="T3170" s="4">
        <v>221</v>
      </c>
      <c r="U3170" s="5" t="s">
        <v>30894</v>
      </c>
      <c r="V3170" s="5" t="s">
        <v>28854</v>
      </c>
      <c r="W3170" s="5" t="s">
        <v>67</v>
      </c>
      <c r="X3170" s="5" t="s">
        <v>67</v>
      </c>
      <c r="Y3170" s="4">
        <v>1297</v>
      </c>
      <c r="Z3170" s="4">
        <v>68</v>
      </c>
      <c r="AA3170" s="4">
        <v>85</v>
      </c>
      <c r="AB3170" s="4">
        <v>5</v>
      </c>
      <c r="AC3170" s="4">
        <v>12</v>
      </c>
      <c r="AD3170" s="4">
        <v>141</v>
      </c>
      <c r="AE3170" s="4">
        <v>152</v>
      </c>
      <c r="AF3170" s="4">
        <v>2</v>
      </c>
      <c r="AG3170" s="4">
        <v>6</v>
      </c>
      <c r="AH3170" s="4">
        <v>109</v>
      </c>
      <c r="AI3170" s="4">
        <v>111</v>
      </c>
      <c r="AJ3170" s="4">
        <v>23</v>
      </c>
      <c r="AK3170" s="4">
        <v>28</v>
      </c>
      <c r="AL3170" s="4">
        <v>58</v>
      </c>
      <c r="AM3170" s="4">
        <v>58</v>
      </c>
      <c r="AN3170" s="4">
        <v>0</v>
      </c>
      <c r="AO3170" s="4">
        <v>0</v>
      </c>
      <c r="AP3170" s="4">
        <v>39</v>
      </c>
      <c r="AQ3170" s="4">
        <v>48</v>
      </c>
      <c r="AR3170" s="3" t="s">
        <v>62</v>
      </c>
      <c r="AS3170" s="3" t="s">
        <v>62</v>
      </c>
      <c r="AT3170" s="3" t="s">
        <v>61</v>
      </c>
      <c r="AU3170" s="6" t="str">
        <f t="shared" si="35"/>
        <v>HathiTrust Record</v>
      </c>
      <c r="AV3170" s="6" t="str">
        <f t="shared" si="36"/>
        <v>Catalog Record</v>
      </c>
      <c r="AW3170" s="6" t="str">
        <f t="shared" si="37"/>
        <v>WorldCat Record</v>
      </c>
      <c r="AX3170" s="3" t="s">
        <v>30866</v>
      </c>
      <c r="AY3170" s="3" t="s">
        <v>30867</v>
      </c>
      <c r="AZ3170" s="3" t="s">
        <v>30868</v>
      </c>
      <c r="BA3170" s="3" t="s">
        <v>30868</v>
      </c>
      <c r="BB3170" s="3" t="s">
        <v>30895</v>
      </c>
      <c r="BC3170" s="3" t="s">
        <v>142</v>
      </c>
      <c r="BD3170" s="3" t="s">
        <v>68</v>
      </c>
      <c r="BE3170" s="3" t="s">
        <v>30870</v>
      </c>
      <c r="BF3170" s="3" t="s">
        <v>30895</v>
      </c>
      <c r="BG3170" s="3" t="s">
        <v>30896</v>
      </c>
    </row>
    <row r="3171" spans="1:59" ht="57" x14ac:dyDescent="0.45">
      <c r="A3171" s="2" t="s">
        <v>59</v>
      </c>
      <c r="B3171" s="2" t="s">
        <v>60</v>
      </c>
      <c r="C3171" s="2" t="s">
        <v>30860</v>
      </c>
      <c r="D3171" s="2" t="s">
        <v>30861</v>
      </c>
      <c r="E3171" s="2" t="s">
        <v>30862</v>
      </c>
      <c r="G3171" s="3" t="s">
        <v>62</v>
      </c>
      <c r="I3171" s="3" t="s">
        <v>61</v>
      </c>
      <c r="J3171" s="3" t="s">
        <v>62</v>
      </c>
      <c r="K3171" s="3" t="s">
        <v>63</v>
      </c>
      <c r="L3171" s="2" t="s">
        <v>2606</v>
      </c>
      <c r="M3171" s="2" t="s">
        <v>30863</v>
      </c>
      <c r="N3171" s="3" t="s">
        <v>340</v>
      </c>
      <c r="P3171" s="3" t="s">
        <v>65</v>
      </c>
      <c r="Q3171" s="2" t="s">
        <v>30864</v>
      </c>
      <c r="R3171" s="3" t="s">
        <v>66</v>
      </c>
      <c r="S3171" s="4">
        <v>0</v>
      </c>
      <c r="T3171" s="4">
        <v>221</v>
      </c>
      <c r="V3171" s="5" t="s">
        <v>28854</v>
      </c>
      <c r="W3171" s="5" t="s">
        <v>67</v>
      </c>
      <c r="X3171" s="5" t="s">
        <v>67</v>
      </c>
      <c r="Y3171" s="4">
        <v>1297</v>
      </c>
      <c r="Z3171" s="4">
        <v>68</v>
      </c>
      <c r="AA3171" s="4">
        <v>85</v>
      </c>
      <c r="AB3171" s="4">
        <v>5</v>
      </c>
      <c r="AC3171" s="4">
        <v>12</v>
      </c>
      <c r="AD3171" s="4">
        <v>141</v>
      </c>
      <c r="AE3171" s="4">
        <v>152</v>
      </c>
      <c r="AF3171" s="4">
        <v>2</v>
      </c>
      <c r="AG3171" s="4">
        <v>6</v>
      </c>
      <c r="AH3171" s="4">
        <v>109</v>
      </c>
      <c r="AI3171" s="4">
        <v>111</v>
      </c>
      <c r="AJ3171" s="4">
        <v>23</v>
      </c>
      <c r="AK3171" s="4">
        <v>28</v>
      </c>
      <c r="AL3171" s="4">
        <v>58</v>
      </c>
      <c r="AM3171" s="4">
        <v>58</v>
      </c>
      <c r="AN3171" s="4">
        <v>0</v>
      </c>
      <c r="AO3171" s="4">
        <v>0</v>
      </c>
      <c r="AP3171" s="4">
        <v>39</v>
      </c>
      <c r="AQ3171" s="4">
        <v>48</v>
      </c>
      <c r="AR3171" s="3" t="s">
        <v>62</v>
      </c>
      <c r="AS3171" s="3" t="s">
        <v>62</v>
      </c>
      <c r="AT3171" s="3" t="s">
        <v>61</v>
      </c>
      <c r="AU3171" s="6" t="str">
        <f t="shared" si="35"/>
        <v>HathiTrust Record</v>
      </c>
      <c r="AV3171" s="6" t="str">
        <f t="shared" si="36"/>
        <v>Catalog Record</v>
      </c>
      <c r="AW3171" s="6" t="str">
        <f t="shared" si="37"/>
        <v>WorldCat Record</v>
      </c>
      <c r="AX3171" s="3" t="s">
        <v>30866</v>
      </c>
      <c r="AY3171" s="3" t="s">
        <v>30867</v>
      </c>
      <c r="AZ3171" s="3" t="s">
        <v>30868</v>
      </c>
      <c r="BA3171" s="3" t="s">
        <v>30868</v>
      </c>
      <c r="BB3171" s="3" t="s">
        <v>30897</v>
      </c>
      <c r="BC3171" s="3" t="s">
        <v>142</v>
      </c>
      <c r="BD3171" s="3" t="s">
        <v>68</v>
      </c>
      <c r="BE3171" s="3" t="s">
        <v>30870</v>
      </c>
      <c r="BF3171" s="3" t="s">
        <v>30897</v>
      </c>
      <c r="BG3171" s="3" t="s">
        <v>30898</v>
      </c>
    </row>
    <row r="3172" spans="1:59" ht="57" x14ac:dyDescent="0.45">
      <c r="A3172" s="2" t="s">
        <v>59</v>
      </c>
      <c r="B3172" s="2" t="s">
        <v>60</v>
      </c>
      <c r="C3172" s="2" t="s">
        <v>30899</v>
      </c>
      <c r="D3172" s="2" t="s">
        <v>30900</v>
      </c>
      <c r="E3172" s="2" t="s">
        <v>30901</v>
      </c>
      <c r="G3172" s="3" t="s">
        <v>62</v>
      </c>
      <c r="I3172" s="3" t="s">
        <v>61</v>
      </c>
      <c r="J3172" s="3" t="s">
        <v>62</v>
      </c>
      <c r="K3172" s="3" t="s">
        <v>63</v>
      </c>
      <c r="L3172" s="2" t="s">
        <v>30902</v>
      </c>
      <c r="M3172" s="2" t="s">
        <v>30903</v>
      </c>
      <c r="N3172" s="3" t="s">
        <v>157</v>
      </c>
      <c r="P3172" s="3" t="s">
        <v>65</v>
      </c>
      <c r="R3172" s="3" t="s">
        <v>66</v>
      </c>
      <c r="S3172" s="4">
        <v>21</v>
      </c>
      <c r="T3172" s="4">
        <v>41</v>
      </c>
      <c r="U3172" s="5" t="s">
        <v>30904</v>
      </c>
      <c r="V3172" s="5" t="s">
        <v>30905</v>
      </c>
      <c r="W3172" s="5" t="s">
        <v>67</v>
      </c>
      <c r="X3172" s="5" t="s">
        <v>67</v>
      </c>
      <c r="Y3172" s="4">
        <v>644</v>
      </c>
      <c r="Z3172" s="4">
        <v>40</v>
      </c>
      <c r="AA3172" s="4">
        <v>46</v>
      </c>
      <c r="AB3172" s="4">
        <v>2</v>
      </c>
      <c r="AC3172" s="4">
        <v>7</v>
      </c>
      <c r="AD3172" s="4">
        <v>132</v>
      </c>
      <c r="AE3172" s="4">
        <v>138</v>
      </c>
      <c r="AF3172" s="4">
        <v>1</v>
      </c>
      <c r="AG3172" s="4">
        <v>5</v>
      </c>
      <c r="AH3172" s="4">
        <v>110</v>
      </c>
      <c r="AI3172" s="4">
        <v>112</v>
      </c>
      <c r="AJ3172" s="4">
        <v>22</v>
      </c>
      <c r="AK3172" s="4">
        <v>25</v>
      </c>
      <c r="AL3172" s="4">
        <v>59</v>
      </c>
      <c r="AM3172" s="4">
        <v>60</v>
      </c>
      <c r="AN3172" s="4">
        <v>0</v>
      </c>
      <c r="AO3172" s="4">
        <v>0</v>
      </c>
      <c r="AP3172" s="4">
        <v>31</v>
      </c>
      <c r="AQ3172" s="4">
        <v>35</v>
      </c>
      <c r="AR3172" s="3" t="s">
        <v>62</v>
      </c>
      <c r="AS3172" s="3" t="s">
        <v>62</v>
      </c>
      <c r="AT3172" s="3" t="s">
        <v>62</v>
      </c>
      <c r="AV3172" s="6" t="str">
        <f>HYPERLINK("http://mcgill.on.worldcat.org/oclc/7572619","Catalog Record")</f>
        <v>Catalog Record</v>
      </c>
      <c r="AW3172" s="6" t="str">
        <f>HYPERLINK("http://www.worldcat.org/oclc/7572619","WorldCat Record")</f>
        <v>WorldCat Record</v>
      </c>
      <c r="AX3172" s="3" t="s">
        <v>30906</v>
      </c>
      <c r="AY3172" s="3" t="s">
        <v>30907</v>
      </c>
      <c r="AZ3172" s="3" t="s">
        <v>30908</v>
      </c>
      <c r="BA3172" s="3" t="s">
        <v>30908</v>
      </c>
      <c r="BB3172" s="3" t="s">
        <v>30909</v>
      </c>
      <c r="BC3172" s="3" t="s">
        <v>142</v>
      </c>
      <c r="BD3172" s="3" t="s">
        <v>68</v>
      </c>
      <c r="BE3172" s="3" t="s">
        <v>30910</v>
      </c>
      <c r="BF3172" s="3" t="s">
        <v>30909</v>
      </c>
      <c r="BG3172" s="3" t="s">
        <v>30911</v>
      </c>
    </row>
    <row r="3173" spans="1:59" ht="57" x14ac:dyDescent="0.45">
      <c r="A3173" s="2" t="s">
        <v>59</v>
      </c>
      <c r="B3173" s="2" t="s">
        <v>60</v>
      </c>
      <c r="C3173" s="2" t="s">
        <v>30899</v>
      </c>
      <c r="D3173" s="2" t="s">
        <v>30900</v>
      </c>
      <c r="E3173" s="2" t="s">
        <v>30901</v>
      </c>
      <c r="G3173" s="3" t="s">
        <v>62</v>
      </c>
      <c r="I3173" s="3" t="s">
        <v>61</v>
      </c>
      <c r="J3173" s="3" t="s">
        <v>62</v>
      </c>
      <c r="K3173" s="3" t="s">
        <v>63</v>
      </c>
      <c r="L3173" s="2" t="s">
        <v>30902</v>
      </c>
      <c r="M3173" s="2" t="s">
        <v>30903</v>
      </c>
      <c r="N3173" s="3" t="s">
        <v>157</v>
      </c>
      <c r="P3173" s="3" t="s">
        <v>65</v>
      </c>
      <c r="R3173" s="3" t="s">
        <v>66</v>
      </c>
      <c r="S3173" s="4">
        <v>20</v>
      </c>
      <c r="T3173" s="4">
        <v>41</v>
      </c>
      <c r="U3173" s="5" t="s">
        <v>30905</v>
      </c>
      <c r="V3173" s="5" t="s">
        <v>30905</v>
      </c>
      <c r="W3173" s="5" t="s">
        <v>67</v>
      </c>
      <c r="X3173" s="5" t="s">
        <v>67</v>
      </c>
      <c r="Y3173" s="4">
        <v>644</v>
      </c>
      <c r="Z3173" s="4">
        <v>40</v>
      </c>
      <c r="AA3173" s="4">
        <v>46</v>
      </c>
      <c r="AB3173" s="4">
        <v>2</v>
      </c>
      <c r="AC3173" s="4">
        <v>7</v>
      </c>
      <c r="AD3173" s="4">
        <v>132</v>
      </c>
      <c r="AE3173" s="4">
        <v>138</v>
      </c>
      <c r="AF3173" s="4">
        <v>1</v>
      </c>
      <c r="AG3173" s="4">
        <v>5</v>
      </c>
      <c r="AH3173" s="4">
        <v>110</v>
      </c>
      <c r="AI3173" s="4">
        <v>112</v>
      </c>
      <c r="AJ3173" s="4">
        <v>22</v>
      </c>
      <c r="AK3173" s="4">
        <v>25</v>
      </c>
      <c r="AL3173" s="4">
        <v>59</v>
      </c>
      <c r="AM3173" s="4">
        <v>60</v>
      </c>
      <c r="AN3173" s="4">
        <v>0</v>
      </c>
      <c r="AO3173" s="4">
        <v>0</v>
      </c>
      <c r="AP3173" s="4">
        <v>31</v>
      </c>
      <c r="AQ3173" s="4">
        <v>35</v>
      </c>
      <c r="AR3173" s="3" t="s">
        <v>62</v>
      </c>
      <c r="AS3173" s="3" t="s">
        <v>62</v>
      </c>
      <c r="AT3173" s="3" t="s">
        <v>62</v>
      </c>
      <c r="AV3173" s="6" t="str">
        <f>HYPERLINK("http://mcgill.on.worldcat.org/oclc/7572619","Catalog Record")</f>
        <v>Catalog Record</v>
      </c>
      <c r="AW3173" s="6" t="str">
        <f>HYPERLINK("http://www.worldcat.org/oclc/7572619","WorldCat Record")</f>
        <v>WorldCat Record</v>
      </c>
      <c r="AX3173" s="3" t="s">
        <v>30906</v>
      </c>
      <c r="AY3173" s="3" t="s">
        <v>30907</v>
      </c>
      <c r="AZ3173" s="3" t="s">
        <v>30908</v>
      </c>
      <c r="BA3173" s="3" t="s">
        <v>30908</v>
      </c>
      <c r="BB3173" s="3" t="s">
        <v>30912</v>
      </c>
      <c r="BC3173" s="3" t="s">
        <v>142</v>
      </c>
      <c r="BD3173" s="3" t="s">
        <v>68</v>
      </c>
      <c r="BE3173" s="3" t="s">
        <v>30910</v>
      </c>
      <c r="BF3173" s="3" t="s">
        <v>30912</v>
      </c>
      <c r="BG3173" s="3" t="s">
        <v>30913</v>
      </c>
    </row>
    <row r="3174" spans="1:59" ht="57" x14ac:dyDescent="0.45">
      <c r="A3174" s="2" t="s">
        <v>59</v>
      </c>
      <c r="B3174" s="2" t="s">
        <v>412</v>
      </c>
      <c r="C3174" s="2" t="s">
        <v>30914</v>
      </c>
      <c r="D3174" s="2" t="s">
        <v>30915</v>
      </c>
      <c r="E3174" s="2" t="s">
        <v>30916</v>
      </c>
      <c r="G3174" s="3" t="s">
        <v>62</v>
      </c>
      <c r="I3174" s="3" t="s">
        <v>61</v>
      </c>
      <c r="J3174" s="3" t="s">
        <v>61</v>
      </c>
      <c r="K3174" s="3" t="s">
        <v>63</v>
      </c>
      <c r="L3174" s="2" t="s">
        <v>30917</v>
      </c>
      <c r="M3174" s="2" t="s">
        <v>30918</v>
      </c>
      <c r="N3174" s="3" t="s">
        <v>340</v>
      </c>
      <c r="P3174" s="3" t="s">
        <v>65</v>
      </c>
      <c r="Q3174" s="2" t="s">
        <v>30919</v>
      </c>
      <c r="R3174" s="3" t="s">
        <v>66</v>
      </c>
      <c r="S3174" s="4">
        <v>7</v>
      </c>
      <c r="T3174" s="4">
        <v>29</v>
      </c>
      <c r="U3174" s="5" t="s">
        <v>30920</v>
      </c>
      <c r="V3174" s="5" t="s">
        <v>1640</v>
      </c>
      <c r="W3174" s="5" t="s">
        <v>67</v>
      </c>
      <c r="X3174" s="5" t="s">
        <v>67</v>
      </c>
      <c r="Y3174" s="4">
        <v>651</v>
      </c>
      <c r="Z3174" s="4">
        <v>34</v>
      </c>
      <c r="AA3174" s="4">
        <v>86</v>
      </c>
      <c r="AB3174" s="4">
        <v>2</v>
      </c>
      <c r="AC3174" s="4">
        <v>8</v>
      </c>
      <c r="AD3174" s="4">
        <v>104</v>
      </c>
      <c r="AE3174" s="4">
        <v>163</v>
      </c>
      <c r="AF3174" s="4">
        <v>1</v>
      </c>
      <c r="AG3174" s="4">
        <v>6</v>
      </c>
      <c r="AH3174" s="4">
        <v>86</v>
      </c>
      <c r="AI3174" s="4">
        <v>114</v>
      </c>
      <c r="AJ3174" s="4">
        <v>17</v>
      </c>
      <c r="AK3174" s="4">
        <v>29</v>
      </c>
      <c r="AL3174" s="4">
        <v>45</v>
      </c>
      <c r="AM3174" s="4">
        <v>63</v>
      </c>
      <c r="AN3174" s="4">
        <v>0</v>
      </c>
      <c r="AO3174" s="4">
        <v>5</v>
      </c>
      <c r="AP3174" s="4">
        <v>23</v>
      </c>
      <c r="AQ3174" s="4">
        <v>53</v>
      </c>
      <c r="AR3174" s="3" t="s">
        <v>62</v>
      </c>
      <c r="AS3174" s="3" t="s">
        <v>62</v>
      </c>
      <c r="AT3174" s="3" t="s">
        <v>62</v>
      </c>
      <c r="AV3174" s="6" t="str">
        <f>HYPERLINK("http://mcgill.on.worldcat.org/oclc/372113","Catalog Record")</f>
        <v>Catalog Record</v>
      </c>
      <c r="AW3174" s="6" t="str">
        <f>HYPERLINK("http://www.worldcat.org/oclc/372113","WorldCat Record")</f>
        <v>WorldCat Record</v>
      </c>
      <c r="AX3174" s="3" t="s">
        <v>30921</v>
      </c>
      <c r="AY3174" s="3" t="s">
        <v>30922</v>
      </c>
      <c r="AZ3174" s="3" t="s">
        <v>30923</v>
      </c>
      <c r="BA3174" s="3" t="s">
        <v>30923</v>
      </c>
      <c r="BB3174" s="3" t="s">
        <v>30924</v>
      </c>
      <c r="BC3174" s="3" t="s">
        <v>142</v>
      </c>
      <c r="BD3174" s="3" t="s">
        <v>68</v>
      </c>
      <c r="BF3174" s="3" t="s">
        <v>30924</v>
      </c>
      <c r="BG3174" s="3" t="s">
        <v>30925</v>
      </c>
    </row>
    <row r="3175" spans="1:59" ht="57" x14ac:dyDescent="0.45">
      <c r="A3175" s="2" t="s">
        <v>59</v>
      </c>
      <c r="B3175" s="2" t="s">
        <v>60</v>
      </c>
      <c r="C3175" s="2" t="s">
        <v>30926</v>
      </c>
      <c r="D3175" s="2" t="s">
        <v>30927</v>
      </c>
      <c r="E3175" s="2" t="s">
        <v>30928</v>
      </c>
      <c r="G3175" s="3" t="s">
        <v>62</v>
      </c>
      <c r="I3175" s="3" t="s">
        <v>62</v>
      </c>
      <c r="J3175" s="3" t="s">
        <v>62</v>
      </c>
      <c r="K3175" s="3" t="s">
        <v>63</v>
      </c>
      <c r="L3175" s="2" t="s">
        <v>10749</v>
      </c>
      <c r="M3175" s="2" t="s">
        <v>30929</v>
      </c>
      <c r="N3175" s="3" t="s">
        <v>1437</v>
      </c>
      <c r="O3175" s="2" t="s">
        <v>10948</v>
      </c>
      <c r="P3175" s="3" t="s">
        <v>110</v>
      </c>
      <c r="Q3175" s="2" t="s">
        <v>30930</v>
      </c>
      <c r="R3175" s="3" t="s">
        <v>66</v>
      </c>
      <c r="S3175" s="4">
        <v>3</v>
      </c>
      <c r="T3175" s="4">
        <v>3</v>
      </c>
      <c r="U3175" s="5" t="s">
        <v>18991</v>
      </c>
      <c r="V3175" s="5" t="s">
        <v>18991</v>
      </c>
      <c r="W3175" s="5" t="s">
        <v>67</v>
      </c>
      <c r="X3175" s="5" t="s">
        <v>67</v>
      </c>
      <c r="Y3175" s="4">
        <v>56</v>
      </c>
      <c r="Z3175" s="4">
        <v>3</v>
      </c>
      <c r="AA3175" s="4">
        <v>15</v>
      </c>
      <c r="AB3175" s="4">
        <v>1</v>
      </c>
      <c r="AC3175" s="4">
        <v>8</v>
      </c>
      <c r="AD3175" s="4">
        <v>30</v>
      </c>
      <c r="AE3175" s="4">
        <v>43</v>
      </c>
      <c r="AF3175" s="4">
        <v>0</v>
      </c>
      <c r="AG3175" s="4">
        <v>4</v>
      </c>
      <c r="AH3175" s="4">
        <v>28</v>
      </c>
      <c r="AI3175" s="4">
        <v>38</v>
      </c>
      <c r="AJ3175" s="4">
        <v>2</v>
      </c>
      <c r="AK3175" s="4">
        <v>10</v>
      </c>
      <c r="AL3175" s="4">
        <v>23</v>
      </c>
      <c r="AM3175" s="4">
        <v>28</v>
      </c>
      <c r="AN3175" s="4">
        <v>0</v>
      </c>
      <c r="AO3175" s="4">
        <v>0</v>
      </c>
      <c r="AP3175" s="4">
        <v>2</v>
      </c>
      <c r="AQ3175" s="4">
        <v>9</v>
      </c>
      <c r="AR3175" s="3" t="s">
        <v>62</v>
      </c>
      <c r="AS3175" s="3" t="s">
        <v>62</v>
      </c>
      <c r="AT3175" s="3" t="s">
        <v>62</v>
      </c>
      <c r="AV3175" s="6" t="str">
        <f>HYPERLINK("http://mcgill.on.worldcat.org/oclc/53331532","Catalog Record")</f>
        <v>Catalog Record</v>
      </c>
      <c r="AW3175" s="6" t="str">
        <f>HYPERLINK("http://www.worldcat.org/oclc/53331532","WorldCat Record")</f>
        <v>WorldCat Record</v>
      </c>
      <c r="AX3175" s="3" t="s">
        <v>30931</v>
      </c>
      <c r="AY3175" s="3" t="s">
        <v>30932</v>
      </c>
      <c r="AZ3175" s="3" t="s">
        <v>30933</v>
      </c>
      <c r="BA3175" s="3" t="s">
        <v>30933</v>
      </c>
      <c r="BB3175" s="3" t="s">
        <v>30934</v>
      </c>
      <c r="BC3175" s="3" t="s">
        <v>142</v>
      </c>
      <c r="BD3175" s="3" t="s">
        <v>68</v>
      </c>
      <c r="BE3175" s="3" t="s">
        <v>30935</v>
      </c>
      <c r="BF3175" s="3" t="s">
        <v>30934</v>
      </c>
      <c r="BG3175" s="3" t="s">
        <v>30936</v>
      </c>
    </row>
    <row r="3176" spans="1:59" ht="57" x14ac:dyDescent="0.45">
      <c r="A3176" s="2" t="s">
        <v>59</v>
      </c>
      <c r="B3176" s="2" t="s">
        <v>60</v>
      </c>
      <c r="C3176" s="2" t="s">
        <v>30937</v>
      </c>
      <c r="D3176" s="2" t="s">
        <v>30938</v>
      </c>
      <c r="E3176" s="2" t="s">
        <v>30939</v>
      </c>
      <c r="G3176" s="3" t="s">
        <v>62</v>
      </c>
      <c r="I3176" s="3" t="s">
        <v>62</v>
      </c>
      <c r="J3176" s="3" t="s">
        <v>62</v>
      </c>
      <c r="K3176" s="3" t="s">
        <v>63</v>
      </c>
      <c r="L3176" s="2" t="s">
        <v>30940</v>
      </c>
      <c r="M3176" s="2" t="s">
        <v>30941</v>
      </c>
      <c r="N3176" s="3" t="s">
        <v>958</v>
      </c>
      <c r="P3176" s="3" t="s">
        <v>65</v>
      </c>
      <c r="Q3176" s="2" t="s">
        <v>30942</v>
      </c>
      <c r="R3176" s="3" t="s">
        <v>66</v>
      </c>
      <c r="S3176" s="4">
        <v>18</v>
      </c>
      <c r="T3176" s="4">
        <v>18</v>
      </c>
      <c r="U3176" s="5" t="s">
        <v>30943</v>
      </c>
      <c r="V3176" s="5" t="s">
        <v>30943</v>
      </c>
      <c r="W3176" s="5" t="s">
        <v>67</v>
      </c>
      <c r="X3176" s="5" t="s">
        <v>67</v>
      </c>
      <c r="Y3176" s="4">
        <v>819</v>
      </c>
      <c r="Z3176" s="4">
        <v>36</v>
      </c>
      <c r="AA3176" s="4">
        <v>48</v>
      </c>
      <c r="AB3176" s="4">
        <v>2</v>
      </c>
      <c r="AC3176" s="4">
        <v>7</v>
      </c>
      <c r="AD3176" s="4">
        <v>126</v>
      </c>
      <c r="AE3176" s="4">
        <v>133</v>
      </c>
      <c r="AF3176" s="4">
        <v>1</v>
      </c>
      <c r="AG3176" s="4">
        <v>3</v>
      </c>
      <c r="AH3176" s="4">
        <v>109</v>
      </c>
      <c r="AI3176" s="4">
        <v>112</v>
      </c>
      <c r="AJ3176" s="4">
        <v>17</v>
      </c>
      <c r="AK3176" s="4">
        <v>22</v>
      </c>
      <c r="AL3176" s="4">
        <v>57</v>
      </c>
      <c r="AM3176" s="4">
        <v>58</v>
      </c>
      <c r="AN3176" s="4">
        <v>0</v>
      </c>
      <c r="AO3176" s="4">
        <v>0</v>
      </c>
      <c r="AP3176" s="4">
        <v>25</v>
      </c>
      <c r="AQ3176" s="4">
        <v>30</v>
      </c>
      <c r="AR3176" s="3" t="s">
        <v>62</v>
      </c>
      <c r="AS3176" s="3" t="s">
        <v>62</v>
      </c>
      <c r="AT3176" s="3" t="s">
        <v>62</v>
      </c>
      <c r="AV3176" s="6" t="str">
        <f>HYPERLINK("http://mcgill.on.worldcat.org/oclc/32468951","Catalog Record")</f>
        <v>Catalog Record</v>
      </c>
      <c r="AW3176" s="6" t="str">
        <f>HYPERLINK("http://www.worldcat.org/oclc/32468951","WorldCat Record")</f>
        <v>WorldCat Record</v>
      </c>
      <c r="AX3176" s="3" t="s">
        <v>30944</v>
      </c>
      <c r="AY3176" s="3" t="s">
        <v>30945</v>
      </c>
      <c r="AZ3176" s="3" t="s">
        <v>30946</v>
      </c>
      <c r="BA3176" s="3" t="s">
        <v>30946</v>
      </c>
      <c r="BB3176" s="3" t="s">
        <v>30947</v>
      </c>
      <c r="BC3176" s="3" t="s">
        <v>142</v>
      </c>
      <c r="BD3176" s="3" t="s">
        <v>68</v>
      </c>
      <c r="BE3176" s="3" t="s">
        <v>30948</v>
      </c>
      <c r="BF3176" s="3" t="s">
        <v>30947</v>
      </c>
      <c r="BG3176" s="3" t="s">
        <v>30949</v>
      </c>
    </row>
    <row r="3177" spans="1:59" ht="57" x14ac:dyDescent="0.45">
      <c r="A3177" s="2" t="s">
        <v>59</v>
      </c>
      <c r="B3177" s="2" t="s">
        <v>60</v>
      </c>
      <c r="C3177" s="2" t="s">
        <v>30950</v>
      </c>
      <c r="D3177" s="2" t="s">
        <v>30951</v>
      </c>
      <c r="E3177" s="2" t="s">
        <v>30952</v>
      </c>
      <c r="G3177" s="3" t="s">
        <v>62</v>
      </c>
      <c r="I3177" s="3" t="s">
        <v>62</v>
      </c>
      <c r="J3177" s="3" t="s">
        <v>62</v>
      </c>
      <c r="K3177" s="3" t="s">
        <v>63</v>
      </c>
      <c r="M3177" s="2" t="s">
        <v>30953</v>
      </c>
      <c r="N3177" s="3" t="s">
        <v>894</v>
      </c>
      <c r="P3177" s="3" t="s">
        <v>65</v>
      </c>
      <c r="Q3177" s="2" t="s">
        <v>21253</v>
      </c>
      <c r="R3177" s="3" t="s">
        <v>66</v>
      </c>
      <c r="S3177" s="4">
        <v>2</v>
      </c>
      <c r="T3177" s="4">
        <v>2</v>
      </c>
      <c r="U3177" s="5" t="s">
        <v>30954</v>
      </c>
      <c r="V3177" s="5" t="s">
        <v>30954</v>
      </c>
      <c r="W3177" s="5" t="s">
        <v>67</v>
      </c>
      <c r="X3177" s="5" t="s">
        <v>67</v>
      </c>
      <c r="Y3177" s="4">
        <v>146</v>
      </c>
      <c r="Z3177" s="4">
        <v>16</v>
      </c>
      <c r="AA3177" s="4">
        <v>84</v>
      </c>
      <c r="AB3177" s="4">
        <v>1</v>
      </c>
      <c r="AC3177" s="4">
        <v>14</v>
      </c>
      <c r="AD3177" s="4">
        <v>67</v>
      </c>
      <c r="AE3177" s="4">
        <v>126</v>
      </c>
      <c r="AF3177" s="4">
        <v>0</v>
      </c>
      <c r="AG3177" s="4">
        <v>8</v>
      </c>
      <c r="AH3177" s="4">
        <v>62</v>
      </c>
      <c r="AI3177" s="4">
        <v>90</v>
      </c>
      <c r="AJ3177" s="4">
        <v>11</v>
      </c>
      <c r="AK3177" s="4">
        <v>25</v>
      </c>
      <c r="AL3177" s="4">
        <v>37</v>
      </c>
      <c r="AM3177" s="4">
        <v>50</v>
      </c>
      <c r="AN3177" s="4">
        <v>0</v>
      </c>
      <c r="AO3177" s="4">
        <v>0</v>
      </c>
      <c r="AP3177" s="4">
        <v>12</v>
      </c>
      <c r="AQ3177" s="4">
        <v>45</v>
      </c>
      <c r="AR3177" s="3" t="s">
        <v>62</v>
      </c>
      <c r="AS3177" s="3" t="s">
        <v>62</v>
      </c>
      <c r="AT3177" s="3" t="s">
        <v>62</v>
      </c>
      <c r="AV3177" s="6" t="str">
        <f>HYPERLINK("http://mcgill.on.worldcat.org/oclc/718707880","Catalog Record")</f>
        <v>Catalog Record</v>
      </c>
      <c r="AW3177" s="6" t="str">
        <f>HYPERLINK("http://www.worldcat.org/oclc/718707880","WorldCat Record")</f>
        <v>WorldCat Record</v>
      </c>
      <c r="AX3177" s="3" t="s">
        <v>30955</v>
      </c>
      <c r="AY3177" s="3" t="s">
        <v>30956</v>
      </c>
      <c r="AZ3177" s="3" t="s">
        <v>30957</v>
      </c>
      <c r="BA3177" s="3" t="s">
        <v>30957</v>
      </c>
      <c r="BB3177" s="3" t="s">
        <v>30958</v>
      </c>
      <c r="BC3177" s="3" t="s">
        <v>142</v>
      </c>
      <c r="BD3177" s="3" t="s">
        <v>68</v>
      </c>
      <c r="BE3177" s="3" t="s">
        <v>30959</v>
      </c>
      <c r="BF3177" s="3" t="s">
        <v>30958</v>
      </c>
      <c r="BG3177" s="3" t="s">
        <v>30960</v>
      </c>
    </row>
    <row r="3178" spans="1:59" ht="57" x14ac:dyDescent="0.45">
      <c r="A3178" s="2" t="s">
        <v>59</v>
      </c>
      <c r="B3178" s="2" t="s">
        <v>60</v>
      </c>
      <c r="C3178" s="2" t="s">
        <v>30961</v>
      </c>
      <c r="D3178" s="2" t="s">
        <v>30962</v>
      </c>
      <c r="E3178" s="2" t="s">
        <v>30963</v>
      </c>
      <c r="G3178" s="3" t="s">
        <v>62</v>
      </c>
      <c r="I3178" s="3" t="s">
        <v>61</v>
      </c>
      <c r="J3178" s="3" t="s">
        <v>62</v>
      </c>
      <c r="K3178" s="3" t="s">
        <v>63</v>
      </c>
      <c r="L3178" s="2" t="s">
        <v>30964</v>
      </c>
      <c r="M3178" s="2" t="s">
        <v>30965</v>
      </c>
      <c r="N3178" s="3" t="s">
        <v>2107</v>
      </c>
      <c r="P3178" s="3" t="s">
        <v>65</v>
      </c>
      <c r="R3178" s="3" t="s">
        <v>66</v>
      </c>
      <c r="S3178" s="4">
        <v>21</v>
      </c>
      <c r="T3178" s="4">
        <v>45</v>
      </c>
      <c r="U3178" s="5" t="s">
        <v>7233</v>
      </c>
      <c r="V3178" s="5" t="s">
        <v>6330</v>
      </c>
      <c r="W3178" s="5" t="s">
        <v>67</v>
      </c>
      <c r="X3178" s="5" t="s">
        <v>67</v>
      </c>
      <c r="Y3178" s="4">
        <v>752</v>
      </c>
      <c r="Z3178" s="4">
        <v>43</v>
      </c>
      <c r="AA3178" s="4">
        <v>48</v>
      </c>
      <c r="AB3178" s="4">
        <v>2</v>
      </c>
      <c r="AC3178" s="4">
        <v>7</v>
      </c>
      <c r="AD3178" s="4">
        <v>133</v>
      </c>
      <c r="AE3178" s="4">
        <v>136</v>
      </c>
      <c r="AF3178" s="4">
        <v>1</v>
      </c>
      <c r="AG3178" s="4">
        <v>4</v>
      </c>
      <c r="AH3178" s="4">
        <v>109</v>
      </c>
      <c r="AI3178" s="4">
        <v>110</v>
      </c>
      <c r="AJ3178" s="4">
        <v>22</v>
      </c>
      <c r="AK3178" s="4">
        <v>25</v>
      </c>
      <c r="AL3178" s="4">
        <v>57</v>
      </c>
      <c r="AM3178" s="4">
        <v>57</v>
      </c>
      <c r="AN3178" s="4">
        <v>0</v>
      </c>
      <c r="AO3178" s="4">
        <v>0</v>
      </c>
      <c r="AP3178" s="4">
        <v>33</v>
      </c>
      <c r="AQ3178" s="4">
        <v>35</v>
      </c>
      <c r="AR3178" s="3" t="s">
        <v>62</v>
      </c>
      <c r="AS3178" s="3" t="s">
        <v>62</v>
      </c>
      <c r="AT3178" s="3" t="s">
        <v>62</v>
      </c>
      <c r="AV3178" s="6" t="str">
        <f>HYPERLINK("http://mcgill.on.worldcat.org/oclc/9828613","Catalog Record")</f>
        <v>Catalog Record</v>
      </c>
      <c r="AW3178" s="6" t="str">
        <f>HYPERLINK("http://www.worldcat.org/oclc/9828613","WorldCat Record")</f>
        <v>WorldCat Record</v>
      </c>
      <c r="AX3178" s="3" t="s">
        <v>30966</v>
      </c>
      <c r="AY3178" s="3" t="s">
        <v>30967</v>
      </c>
      <c r="AZ3178" s="3" t="s">
        <v>30968</v>
      </c>
      <c r="BA3178" s="3" t="s">
        <v>30968</v>
      </c>
      <c r="BB3178" s="3" t="s">
        <v>30969</v>
      </c>
      <c r="BC3178" s="3" t="s">
        <v>142</v>
      </c>
      <c r="BD3178" s="3" t="s">
        <v>308</v>
      </c>
      <c r="BE3178" s="3" t="s">
        <v>30970</v>
      </c>
      <c r="BF3178" s="3" t="s">
        <v>30969</v>
      </c>
      <c r="BG3178" s="3" t="s">
        <v>30971</v>
      </c>
    </row>
    <row r="3179" spans="1:59" ht="57" x14ac:dyDescent="0.45">
      <c r="A3179" s="2" t="s">
        <v>59</v>
      </c>
      <c r="B3179" s="2" t="s">
        <v>60</v>
      </c>
      <c r="C3179" s="2" t="s">
        <v>30961</v>
      </c>
      <c r="D3179" s="2" t="s">
        <v>30962</v>
      </c>
      <c r="E3179" s="2" t="s">
        <v>30963</v>
      </c>
      <c r="G3179" s="3" t="s">
        <v>62</v>
      </c>
      <c r="I3179" s="3" t="s">
        <v>61</v>
      </c>
      <c r="J3179" s="3" t="s">
        <v>62</v>
      </c>
      <c r="K3179" s="3" t="s">
        <v>63</v>
      </c>
      <c r="L3179" s="2" t="s">
        <v>30964</v>
      </c>
      <c r="M3179" s="2" t="s">
        <v>30965</v>
      </c>
      <c r="N3179" s="3" t="s">
        <v>2107</v>
      </c>
      <c r="P3179" s="3" t="s">
        <v>65</v>
      </c>
      <c r="R3179" s="3" t="s">
        <v>66</v>
      </c>
      <c r="S3179" s="4">
        <v>24</v>
      </c>
      <c r="T3179" s="4">
        <v>45</v>
      </c>
      <c r="U3179" s="5" t="s">
        <v>6330</v>
      </c>
      <c r="V3179" s="5" t="s">
        <v>6330</v>
      </c>
      <c r="W3179" s="5" t="s">
        <v>67</v>
      </c>
      <c r="X3179" s="5" t="s">
        <v>67</v>
      </c>
      <c r="Y3179" s="4">
        <v>752</v>
      </c>
      <c r="Z3179" s="4">
        <v>43</v>
      </c>
      <c r="AA3179" s="4">
        <v>48</v>
      </c>
      <c r="AB3179" s="4">
        <v>2</v>
      </c>
      <c r="AC3179" s="4">
        <v>7</v>
      </c>
      <c r="AD3179" s="4">
        <v>133</v>
      </c>
      <c r="AE3179" s="4">
        <v>136</v>
      </c>
      <c r="AF3179" s="4">
        <v>1</v>
      </c>
      <c r="AG3179" s="4">
        <v>4</v>
      </c>
      <c r="AH3179" s="4">
        <v>109</v>
      </c>
      <c r="AI3179" s="4">
        <v>110</v>
      </c>
      <c r="AJ3179" s="4">
        <v>22</v>
      </c>
      <c r="AK3179" s="4">
        <v>25</v>
      </c>
      <c r="AL3179" s="4">
        <v>57</v>
      </c>
      <c r="AM3179" s="4">
        <v>57</v>
      </c>
      <c r="AN3179" s="4">
        <v>0</v>
      </c>
      <c r="AO3179" s="4">
        <v>0</v>
      </c>
      <c r="AP3179" s="4">
        <v>33</v>
      </c>
      <c r="AQ3179" s="4">
        <v>35</v>
      </c>
      <c r="AR3179" s="3" t="s">
        <v>62</v>
      </c>
      <c r="AS3179" s="3" t="s">
        <v>62</v>
      </c>
      <c r="AT3179" s="3" t="s">
        <v>62</v>
      </c>
      <c r="AV3179" s="6" t="str">
        <f>HYPERLINK("http://mcgill.on.worldcat.org/oclc/9828613","Catalog Record")</f>
        <v>Catalog Record</v>
      </c>
      <c r="AW3179" s="6" t="str">
        <f>HYPERLINK("http://www.worldcat.org/oclc/9828613","WorldCat Record")</f>
        <v>WorldCat Record</v>
      </c>
      <c r="AX3179" s="3" t="s">
        <v>30966</v>
      </c>
      <c r="AY3179" s="3" t="s">
        <v>30967</v>
      </c>
      <c r="AZ3179" s="3" t="s">
        <v>30968</v>
      </c>
      <c r="BA3179" s="3" t="s">
        <v>30968</v>
      </c>
      <c r="BB3179" s="3" t="s">
        <v>30972</v>
      </c>
      <c r="BC3179" s="3" t="s">
        <v>142</v>
      </c>
      <c r="BD3179" s="3" t="s">
        <v>68</v>
      </c>
      <c r="BE3179" s="3" t="s">
        <v>30970</v>
      </c>
      <c r="BF3179" s="3" t="s">
        <v>30972</v>
      </c>
      <c r="BG3179" s="3" t="s">
        <v>30973</v>
      </c>
    </row>
    <row r="3180" spans="1:59" ht="57" x14ac:dyDescent="0.45">
      <c r="A3180" s="2" t="s">
        <v>59</v>
      </c>
      <c r="B3180" s="2" t="s">
        <v>60</v>
      </c>
      <c r="C3180" s="2" t="s">
        <v>30974</v>
      </c>
      <c r="D3180" s="2" t="s">
        <v>30975</v>
      </c>
      <c r="E3180" s="2" t="s">
        <v>30976</v>
      </c>
      <c r="G3180" s="3" t="s">
        <v>62</v>
      </c>
      <c r="I3180" s="3" t="s">
        <v>62</v>
      </c>
      <c r="J3180" s="3" t="s">
        <v>62</v>
      </c>
      <c r="K3180" s="3" t="s">
        <v>63</v>
      </c>
      <c r="L3180" s="2" t="s">
        <v>30977</v>
      </c>
      <c r="M3180" s="2" t="s">
        <v>30978</v>
      </c>
      <c r="N3180" s="3" t="s">
        <v>16907</v>
      </c>
      <c r="P3180" s="3" t="s">
        <v>114</v>
      </c>
      <c r="R3180" s="3" t="s">
        <v>66</v>
      </c>
      <c r="S3180" s="4">
        <v>2</v>
      </c>
      <c r="T3180" s="4">
        <v>2</v>
      </c>
      <c r="U3180" s="5" t="s">
        <v>20941</v>
      </c>
      <c r="V3180" s="5" t="s">
        <v>20941</v>
      </c>
      <c r="W3180" s="5" t="s">
        <v>67</v>
      </c>
      <c r="X3180" s="5" t="s">
        <v>67</v>
      </c>
      <c r="Y3180" s="4">
        <v>168</v>
      </c>
      <c r="Z3180" s="4">
        <v>10</v>
      </c>
      <c r="AA3180" s="4">
        <v>11</v>
      </c>
      <c r="AB3180" s="4">
        <v>1</v>
      </c>
      <c r="AC3180" s="4">
        <v>1</v>
      </c>
      <c r="AD3180" s="4">
        <v>71</v>
      </c>
      <c r="AE3180" s="4">
        <v>71</v>
      </c>
      <c r="AF3180" s="4">
        <v>0</v>
      </c>
      <c r="AG3180" s="4">
        <v>0</v>
      </c>
      <c r="AH3180" s="4">
        <v>65</v>
      </c>
      <c r="AI3180" s="4">
        <v>65</v>
      </c>
      <c r="AJ3180" s="4">
        <v>8</v>
      </c>
      <c r="AK3180" s="4">
        <v>8</v>
      </c>
      <c r="AL3180" s="4">
        <v>43</v>
      </c>
      <c r="AM3180" s="4">
        <v>43</v>
      </c>
      <c r="AN3180" s="4">
        <v>0</v>
      </c>
      <c r="AO3180" s="4">
        <v>0</v>
      </c>
      <c r="AP3180" s="4">
        <v>9</v>
      </c>
      <c r="AQ3180" s="4">
        <v>9</v>
      </c>
      <c r="AR3180" s="3" t="s">
        <v>62</v>
      </c>
      <c r="AS3180" s="3" t="s">
        <v>62</v>
      </c>
      <c r="AT3180" s="3" t="s">
        <v>61</v>
      </c>
      <c r="AU3180" s="6" t="str">
        <f>HYPERLINK("http://catalog.hathitrust.org/Record/001897887","HathiTrust Record")</f>
        <v>HathiTrust Record</v>
      </c>
      <c r="AV3180" s="6" t="str">
        <f>HYPERLINK("http://mcgill.on.worldcat.org/oclc/1911093","Catalog Record")</f>
        <v>Catalog Record</v>
      </c>
      <c r="AW3180" s="6" t="str">
        <f>HYPERLINK("http://www.worldcat.org/oclc/1911093","WorldCat Record")</f>
        <v>WorldCat Record</v>
      </c>
      <c r="AX3180" s="3" t="s">
        <v>30979</v>
      </c>
      <c r="AY3180" s="3" t="s">
        <v>30980</v>
      </c>
      <c r="AZ3180" s="3" t="s">
        <v>30981</v>
      </c>
      <c r="BA3180" s="3" t="s">
        <v>30981</v>
      </c>
      <c r="BB3180" s="3" t="s">
        <v>30982</v>
      </c>
      <c r="BC3180" s="3" t="s">
        <v>142</v>
      </c>
      <c r="BD3180" s="3" t="s">
        <v>68</v>
      </c>
      <c r="BF3180" s="3" t="s">
        <v>30982</v>
      </c>
      <c r="BG3180" s="3" t="s">
        <v>30983</v>
      </c>
    </row>
    <row r="3181" spans="1:59" ht="57" x14ac:dyDescent="0.45">
      <c r="A3181" s="2" t="s">
        <v>59</v>
      </c>
      <c r="B3181" s="2" t="s">
        <v>60</v>
      </c>
      <c r="C3181" s="2" t="s">
        <v>30984</v>
      </c>
      <c r="D3181" s="2" t="s">
        <v>30985</v>
      </c>
      <c r="E3181" s="2" t="s">
        <v>30986</v>
      </c>
      <c r="G3181" s="3" t="s">
        <v>62</v>
      </c>
      <c r="I3181" s="3" t="s">
        <v>62</v>
      </c>
      <c r="J3181" s="3" t="s">
        <v>61</v>
      </c>
      <c r="K3181" s="3" t="s">
        <v>63</v>
      </c>
      <c r="L3181" s="2" t="s">
        <v>30987</v>
      </c>
      <c r="M3181" s="2" t="s">
        <v>30988</v>
      </c>
      <c r="N3181" s="3" t="s">
        <v>3160</v>
      </c>
      <c r="O3181" s="2" t="s">
        <v>30989</v>
      </c>
      <c r="P3181" s="3" t="s">
        <v>65</v>
      </c>
      <c r="R3181" s="3" t="s">
        <v>66</v>
      </c>
      <c r="S3181" s="4">
        <v>4</v>
      </c>
      <c r="T3181" s="4">
        <v>4</v>
      </c>
      <c r="U3181" s="5" t="s">
        <v>19395</v>
      </c>
      <c r="V3181" s="5" t="s">
        <v>19395</v>
      </c>
      <c r="W3181" s="5" t="s">
        <v>67</v>
      </c>
      <c r="X3181" s="5" t="s">
        <v>67</v>
      </c>
      <c r="Y3181" s="4">
        <v>417</v>
      </c>
      <c r="Z3181" s="4">
        <v>24</v>
      </c>
      <c r="AA3181" s="4">
        <v>70</v>
      </c>
      <c r="AB3181" s="4">
        <v>1</v>
      </c>
      <c r="AC3181" s="4">
        <v>7</v>
      </c>
      <c r="AD3181" s="4">
        <v>76</v>
      </c>
      <c r="AE3181" s="4">
        <v>152</v>
      </c>
      <c r="AF3181" s="4">
        <v>0</v>
      </c>
      <c r="AG3181" s="4">
        <v>5</v>
      </c>
      <c r="AH3181" s="4">
        <v>64</v>
      </c>
      <c r="AI3181" s="4">
        <v>112</v>
      </c>
      <c r="AJ3181" s="4">
        <v>12</v>
      </c>
      <c r="AK3181" s="4">
        <v>26</v>
      </c>
      <c r="AL3181" s="4">
        <v>37</v>
      </c>
      <c r="AM3181" s="4">
        <v>61</v>
      </c>
      <c r="AN3181" s="4">
        <v>0</v>
      </c>
      <c r="AO3181" s="4">
        <v>0</v>
      </c>
      <c r="AP3181" s="4">
        <v>18</v>
      </c>
      <c r="AQ3181" s="4">
        <v>48</v>
      </c>
      <c r="AR3181" s="3" t="s">
        <v>62</v>
      </c>
      <c r="AS3181" s="3" t="s">
        <v>62</v>
      </c>
      <c r="AT3181" s="3" t="s">
        <v>62</v>
      </c>
      <c r="AV3181" s="6" t="str">
        <f>HYPERLINK("http://mcgill.on.worldcat.org/oclc/7279353","Catalog Record")</f>
        <v>Catalog Record</v>
      </c>
      <c r="AW3181" s="6" t="str">
        <f>HYPERLINK("http://www.worldcat.org/oclc/7279353","WorldCat Record")</f>
        <v>WorldCat Record</v>
      </c>
      <c r="AX3181" s="3" t="s">
        <v>30990</v>
      </c>
      <c r="AY3181" s="3" t="s">
        <v>30991</v>
      </c>
      <c r="AZ3181" s="3" t="s">
        <v>30992</v>
      </c>
      <c r="BA3181" s="3" t="s">
        <v>30992</v>
      </c>
      <c r="BB3181" s="3" t="s">
        <v>30993</v>
      </c>
      <c r="BC3181" s="3" t="s">
        <v>142</v>
      </c>
      <c r="BD3181" s="3" t="s">
        <v>68</v>
      </c>
      <c r="BE3181" s="3" t="s">
        <v>30994</v>
      </c>
      <c r="BF3181" s="3" t="s">
        <v>30993</v>
      </c>
      <c r="BG3181" s="3" t="s">
        <v>30995</v>
      </c>
    </row>
    <row r="3182" spans="1:59" ht="57" x14ac:dyDescent="0.45">
      <c r="A3182" s="2" t="s">
        <v>59</v>
      </c>
      <c r="B3182" s="2" t="s">
        <v>60</v>
      </c>
      <c r="C3182" s="2" t="s">
        <v>30996</v>
      </c>
      <c r="D3182" s="2" t="s">
        <v>30997</v>
      </c>
      <c r="E3182" s="2" t="s">
        <v>30998</v>
      </c>
      <c r="G3182" s="3" t="s">
        <v>62</v>
      </c>
      <c r="I3182" s="3" t="s">
        <v>62</v>
      </c>
      <c r="J3182" s="3" t="s">
        <v>62</v>
      </c>
      <c r="K3182" s="3" t="s">
        <v>63</v>
      </c>
      <c r="L3182" s="2" t="s">
        <v>30999</v>
      </c>
      <c r="M3182" s="2" t="s">
        <v>31000</v>
      </c>
      <c r="N3182" s="3" t="s">
        <v>542</v>
      </c>
      <c r="P3182" s="3" t="s">
        <v>110</v>
      </c>
      <c r="Q3182" s="2" t="s">
        <v>31001</v>
      </c>
      <c r="R3182" s="3" t="s">
        <v>66</v>
      </c>
      <c r="S3182" s="4">
        <v>28</v>
      </c>
      <c r="T3182" s="4">
        <v>28</v>
      </c>
      <c r="U3182" s="5" t="s">
        <v>31002</v>
      </c>
      <c r="V3182" s="5" t="s">
        <v>31002</v>
      </c>
      <c r="W3182" s="5" t="s">
        <v>67</v>
      </c>
      <c r="X3182" s="5" t="s">
        <v>67</v>
      </c>
      <c r="Y3182" s="4">
        <v>79</v>
      </c>
      <c r="Z3182" s="4">
        <v>14</v>
      </c>
      <c r="AA3182" s="4">
        <v>32</v>
      </c>
      <c r="AB3182" s="4">
        <v>1</v>
      </c>
      <c r="AC3182" s="4">
        <v>13</v>
      </c>
      <c r="AD3182" s="4">
        <v>23</v>
      </c>
      <c r="AE3182" s="4">
        <v>36</v>
      </c>
      <c r="AF3182" s="4">
        <v>0</v>
      </c>
      <c r="AG3182" s="4">
        <v>5</v>
      </c>
      <c r="AH3182" s="4">
        <v>16</v>
      </c>
      <c r="AI3182" s="4">
        <v>23</v>
      </c>
      <c r="AJ3182" s="4">
        <v>10</v>
      </c>
      <c r="AK3182" s="4">
        <v>16</v>
      </c>
      <c r="AL3182" s="4">
        <v>8</v>
      </c>
      <c r="AM3182" s="4">
        <v>11</v>
      </c>
      <c r="AN3182" s="4">
        <v>0</v>
      </c>
      <c r="AO3182" s="4">
        <v>0</v>
      </c>
      <c r="AP3182" s="4">
        <v>11</v>
      </c>
      <c r="AQ3182" s="4">
        <v>19</v>
      </c>
      <c r="AR3182" s="3" t="s">
        <v>62</v>
      </c>
      <c r="AS3182" s="3" t="s">
        <v>62</v>
      </c>
      <c r="AT3182" s="3" t="s">
        <v>62</v>
      </c>
      <c r="AV3182" s="6" t="str">
        <f>HYPERLINK("http://mcgill.on.worldcat.org/oclc/48012309","Catalog Record")</f>
        <v>Catalog Record</v>
      </c>
      <c r="AW3182" s="6" t="str">
        <f>HYPERLINK("http://www.worldcat.org/oclc/48012309","WorldCat Record")</f>
        <v>WorldCat Record</v>
      </c>
      <c r="AX3182" s="3" t="s">
        <v>31003</v>
      </c>
      <c r="AY3182" s="3" t="s">
        <v>31004</v>
      </c>
      <c r="AZ3182" s="3" t="s">
        <v>31005</v>
      </c>
      <c r="BA3182" s="3" t="s">
        <v>31005</v>
      </c>
      <c r="BB3182" s="3" t="s">
        <v>31006</v>
      </c>
      <c r="BC3182" s="3" t="s">
        <v>142</v>
      </c>
      <c r="BD3182" s="3" t="s">
        <v>68</v>
      </c>
      <c r="BE3182" s="3" t="s">
        <v>31007</v>
      </c>
      <c r="BF3182" s="3" t="s">
        <v>31006</v>
      </c>
      <c r="BG3182" s="3" t="s">
        <v>31008</v>
      </c>
    </row>
    <row r="3183" spans="1:59" ht="57" x14ac:dyDescent="0.45">
      <c r="A3183" s="2" t="s">
        <v>59</v>
      </c>
      <c r="B3183" s="2" t="s">
        <v>60</v>
      </c>
      <c r="C3183" s="2" t="s">
        <v>31009</v>
      </c>
      <c r="D3183" s="2" t="s">
        <v>31010</v>
      </c>
      <c r="E3183" s="2" t="s">
        <v>31011</v>
      </c>
      <c r="G3183" s="3" t="s">
        <v>62</v>
      </c>
      <c r="I3183" s="3" t="s">
        <v>61</v>
      </c>
      <c r="J3183" s="3" t="s">
        <v>62</v>
      </c>
      <c r="K3183" s="3" t="s">
        <v>63</v>
      </c>
      <c r="L3183" s="2" t="s">
        <v>30999</v>
      </c>
      <c r="M3183" s="2" t="s">
        <v>31012</v>
      </c>
      <c r="N3183" s="3" t="s">
        <v>807</v>
      </c>
      <c r="P3183" s="3" t="s">
        <v>65</v>
      </c>
      <c r="R3183" s="3" t="s">
        <v>66</v>
      </c>
      <c r="S3183" s="4">
        <v>160</v>
      </c>
      <c r="T3183" s="4">
        <v>162</v>
      </c>
      <c r="U3183" s="5" t="s">
        <v>18538</v>
      </c>
      <c r="V3183" s="5" t="s">
        <v>18538</v>
      </c>
      <c r="W3183" s="5" t="s">
        <v>67</v>
      </c>
      <c r="X3183" s="5" t="s">
        <v>67</v>
      </c>
      <c r="Y3183" s="4">
        <v>160</v>
      </c>
      <c r="Z3183" s="4">
        <v>11</v>
      </c>
      <c r="AA3183" s="4">
        <v>50</v>
      </c>
      <c r="AB3183" s="4">
        <v>2</v>
      </c>
      <c r="AC3183" s="4">
        <v>4</v>
      </c>
      <c r="AD3183" s="4">
        <v>28</v>
      </c>
      <c r="AE3183" s="4">
        <v>138</v>
      </c>
      <c r="AF3183" s="4">
        <v>0</v>
      </c>
      <c r="AG3183" s="4">
        <v>2</v>
      </c>
      <c r="AH3183" s="4">
        <v>24</v>
      </c>
      <c r="AI3183" s="4">
        <v>110</v>
      </c>
      <c r="AJ3183" s="4">
        <v>5</v>
      </c>
      <c r="AK3183" s="4">
        <v>20</v>
      </c>
      <c r="AL3183" s="4">
        <v>17</v>
      </c>
      <c r="AM3183" s="4">
        <v>60</v>
      </c>
      <c r="AN3183" s="4">
        <v>0</v>
      </c>
      <c r="AO3183" s="4">
        <v>0</v>
      </c>
      <c r="AP3183" s="4">
        <v>7</v>
      </c>
      <c r="AQ3183" s="4">
        <v>37</v>
      </c>
      <c r="AR3183" s="3" t="s">
        <v>62</v>
      </c>
      <c r="AS3183" s="3" t="s">
        <v>62</v>
      </c>
      <c r="AT3183" s="3" t="s">
        <v>62</v>
      </c>
      <c r="AV3183" s="6" t="str">
        <f>HYPERLINK("http://mcgill.on.worldcat.org/oclc/22627466","Catalog Record")</f>
        <v>Catalog Record</v>
      </c>
      <c r="AW3183" s="6" t="str">
        <f>HYPERLINK("http://www.worldcat.org/oclc/22627466","WorldCat Record")</f>
        <v>WorldCat Record</v>
      </c>
      <c r="AX3183" s="3" t="s">
        <v>31013</v>
      </c>
      <c r="AY3183" s="3" t="s">
        <v>31014</v>
      </c>
      <c r="AZ3183" s="3" t="s">
        <v>31015</v>
      </c>
      <c r="BA3183" s="3" t="s">
        <v>31015</v>
      </c>
      <c r="BB3183" s="3" t="s">
        <v>31016</v>
      </c>
      <c r="BC3183" s="3" t="s">
        <v>142</v>
      </c>
      <c r="BD3183" s="3" t="s">
        <v>8544</v>
      </c>
      <c r="BE3183" s="3" t="s">
        <v>31017</v>
      </c>
      <c r="BF3183" s="3" t="s">
        <v>31016</v>
      </c>
      <c r="BG3183" s="3" t="s">
        <v>31018</v>
      </c>
    </row>
    <row r="3184" spans="1:59" ht="57" x14ac:dyDescent="0.45">
      <c r="A3184" s="2" t="s">
        <v>59</v>
      </c>
      <c r="B3184" s="2" t="s">
        <v>60</v>
      </c>
      <c r="C3184" s="2" t="s">
        <v>31019</v>
      </c>
      <c r="D3184" s="2" t="s">
        <v>31020</v>
      </c>
      <c r="E3184" s="2" t="s">
        <v>31021</v>
      </c>
      <c r="G3184" s="3" t="s">
        <v>62</v>
      </c>
      <c r="I3184" s="3" t="s">
        <v>62</v>
      </c>
      <c r="J3184" s="3" t="s">
        <v>62</v>
      </c>
      <c r="K3184" s="3" t="s">
        <v>63</v>
      </c>
      <c r="L3184" s="2" t="s">
        <v>31022</v>
      </c>
      <c r="M3184" s="2" t="s">
        <v>31023</v>
      </c>
      <c r="N3184" s="3" t="s">
        <v>157</v>
      </c>
      <c r="P3184" s="3" t="s">
        <v>110</v>
      </c>
      <c r="R3184" s="3" t="s">
        <v>66</v>
      </c>
      <c r="S3184" s="4">
        <v>8</v>
      </c>
      <c r="T3184" s="4">
        <v>8</v>
      </c>
      <c r="U3184" s="5" t="s">
        <v>31002</v>
      </c>
      <c r="V3184" s="5" t="s">
        <v>31002</v>
      </c>
      <c r="W3184" s="5" t="s">
        <v>67</v>
      </c>
      <c r="X3184" s="5" t="s">
        <v>67</v>
      </c>
      <c r="Y3184" s="4">
        <v>297</v>
      </c>
      <c r="Z3184" s="4">
        <v>25</v>
      </c>
      <c r="AA3184" s="4">
        <v>44</v>
      </c>
      <c r="AB3184" s="4">
        <v>2</v>
      </c>
      <c r="AC3184" s="4">
        <v>14</v>
      </c>
      <c r="AD3184" s="4">
        <v>93</v>
      </c>
      <c r="AE3184" s="4">
        <v>103</v>
      </c>
      <c r="AF3184" s="4">
        <v>1</v>
      </c>
      <c r="AG3184" s="4">
        <v>8</v>
      </c>
      <c r="AH3184" s="4">
        <v>80</v>
      </c>
      <c r="AI3184" s="4">
        <v>82</v>
      </c>
      <c r="AJ3184" s="4">
        <v>17</v>
      </c>
      <c r="AK3184" s="4">
        <v>22</v>
      </c>
      <c r="AL3184" s="4">
        <v>53</v>
      </c>
      <c r="AM3184" s="4">
        <v>53</v>
      </c>
      <c r="AN3184" s="4">
        <v>0</v>
      </c>
      <c r="AO3184" s="4">
        <v>0</v>
      </c>
      <c r="AP3184" s="4">
        <v>21</v>
      </c>
      <c r="AQ3184" s="4">
        <v>30</v>
      </c>
      <c r="AR3184" s="3" t="s">
        <v>62</v>
      </c>
      <c r="AS3184" s="3" t="s">
        <v>62</v>
      </c>
      <c r="AT3184" s="3" t="s">
        <v>61</v>
      </c>
      <c r="AU3184" s="6" t="str">
        <f>HYPERLINK("http://catalog.hathitrust.org/Record/000270007","HathiTrust Record")</f>
        <v>HathiTrust Record</v>
      </c>
      <c r="AV3184" s="6" t="str">
        <f>HYPERLINK("http://mcgill.on.worldcat.org/oclc/9253110","Catalog Record")</f>
        <v>Catalog Record</v>
      </c>
      <c r="AW3184" s="6" t="str">
        <f>HYPERLINK("http://www.worldcat.org/oclc/9253110","WorldCat Record")</f>
        <v>WorldCat Record</v>
      </c>
      <c r="AX3184" s="3" t="s">
        <v>31024</v>
      </c>
      <c r="AY3184" s="3" t="s">
        <v>31025</v>
      </c>
      <c r="AZ3184" s="3" t="s">
        <v>31026</v>
      </c>
      <c r="BA3184" s="3" t="s">
        <v>31026</v>
      </c>
      <c r="BB3184" s="3" t="s">
        <v>31027</v>
      </c>
      <c r="BC3184" s="3" t="s">
        <v>142</v>
      </c>
      <c r="BD3184" s="3" t="s">
        <v>308</v>
      </c>
      <c r="BE3184" s="3" t="s">
        <v>31028</v>
      </c>
      <c r="BF3184" s="3" t="s">
        <v>31027</v>
      </c>
      <c r="BG3184" s="3" t="s">
        <v>31029</v>
      </c>
    </row>
    <row r="3185" spans="1:59" ht="57" x14ac:dyDescent="0.45">
      <c r="A3185" s="2" t="s">
        <v>59</v>
      </c>
      <c r="B3185" s="2" t="s">
        <v>60</v>
      </c>
      <c r="C3185" s="2" t="s">
        <v>31030</v>
      </c>
      <c r="D3185" s="2" t="s">
        <v>31031</v>
      </c>
      <c r="E3185" s="2" t="s">
        <v>31032</v>
      </c>
      <c r="G3185" s="3" t="s">
        <v>62</v>
      </c>
      <c r="I3185" s="3" t="s">
        <v>62</v>
      </c>
      <c r="J3185" s="3" t="s">
        <v>62</v>
      </c>
      <c r="K3185" s="3" t="s">
        <v>63</v>
      </c>
      <c r="L3185" s="2" t="s">
        <v>31033</v>
      </c>
      <c r="M3185" s="2" t="s">
        <v>31034</v>
      </c>
      <c r="N3185" s="3" t="s">
        <v>1604</v>
      </c>
      <c r="P3185" s="3" t="s">
        <v>65</v>
      </c>
      <c r="R3185" s="3" t="s">
        <v>66</v>
      </c>
      <c r="S3185" s="4">
        <v>53</v>
      </c>
      <c r="T3185" s="4">
        <v>53</v>
      </c>
      <c r="U3185" s="5" t="s">
        <v>31035</v>
      </c>
      <c r="V3185" s="5" t="s">
        <v>31035</v>
      </c>
      <c r="W3185" s="5" t="s">
        <v>67</v>
      </c>
      <c r="X3185" s="5" t="s">
        <v>67</v>
      </c>
      <c r="Y3185" s="4">
        <v>425</v>
      </c>
      <c r="Z3185" s="4">
        <v>23</v>
      </c>
      <c r="AA3185" s="4">
        <v>35</v>
      </c>
      <c r="AB3185" s="4">
        <v>2</v>
      </c>
      <c r="AC3185" s="4">
        <v>6</v>
      </c>
      <c r="AD3185" s="4">
        <v>105</v>
      </c>
      <c r="AE3185" s="4">
        <v>117</v>
      </c>
      <c r="AF3185" s="4">
        <v>1</v>
      </c>
      <c r="AG3185" s="4">
        <v>4</v>
      </c>
      <c r="AH3185" s="4">
        <v>94</v>
      </c>
      <c r="AI3185" s="4">
        <v>100</v>
      </c>
      <c r="AJ3185" s="4">
        <v>14</v>
      </c>
      <c r="AK3185" s="4">
        <v>22</v>
      </c>
      <c r="AL3185" s="4">
        <v>49</v>
      </c>
      <c r="AM3185" s="4">
        <v>50</v>
      </c>
      <c r="AN3185" s="4">
        <v>0</v>
      </c>
      <c r="AO3185" s="4">
        <v>0</v>
      </c>
      <c r="AP3185" s="4">
        <v>17</v>
      </c>
      <c r="AQ3185" s="4">
        <v>27</v>
      </c>
      <c r="AR3185" s="3" t="s">
        <v>62</v>
      </c>
      <c r="AS3185" s="3" t="s">
        <v>62</v>
      </c>
      <c r="AT3185" s="3" t="s">
        <v>61</v>
      </c>
      <c r="AU3185" s="6" t="str">
        <f>HYPERLINK("http://catalog.hathitrust.org/Record/002906716","HathiTrust Record")</f>
        <v>HathiTrust Record</v>
      </c>
      <c r="AV3185" s="6" t="str">
        <f>HYPERLINK("http://mcgill.on.worldcat.org/oclc/29667963","Catalog Record")</f>
        <v>Catalog Record</v>
      </c>
      <c r="AW3185" s="6" t="str">
        <f>HYPERLINK("http://www.worldcat.org/oclc/29667963","WorldCat Record")</f>
        <v>WorldCat Record</v>
      </c>
      <c r="AX3185" s="3" t="s">
        <v>31036</v>
      </c>
      <c r="AY3185" s="3" t="s">
        <v>31037</v>
      </c>
      <c r="AZ3185" s="3" t="s">
        <v>31038</v>
      </c>
      <c r="BA3185" s="3" t="s">
        <v>31038</v>
      </c>
      <c r="BB3185" s="3" t="s">
        <v>31039</v>
      </c>
      <c r="BC3185" s="3" t="s">
        <v>142</v>
      </c>
      <c r="BD3185" s="3" t="s">
        <v>68</v>
      </c>
      <c r="BE3185" s="3" t="s">
        <v>31040</v>
      </c>
      <c r="BF3185" s="3" t="s">
        <v>31039</v>
      </c>
      <c r="BG3185" s="3" t="s">
        <v>31041</v>
      </c>
    </row>
    <row r="3186" spans="1:59" ht="57" x14ac:dyDescent="0.45">
      <c r="A3186" s="2" t="s">
        <v>59</v>
      </c>
      <c r="B3186" s="2" t="s">
        <v>60</v>
      </c>
      <c r="C3186" s="2" t="s">
        <v>31042</v>
      </c>
      <c r="D3186" s="2" t="s">
        <v>31043</v>
      </c>
      <c r="E3186" s="2" t="s">
        <v>31044</v>
      </c>
      <c r="G3186" s="3" t="s">
        <v>62</v>
      </c>
      <c r="I3186" s="3" t="s">
        <v>62</v>
      </c>
      <c r="J3186" s="3" t="s">
        <v>62</v>
      </c>
      <c r="K3186" s="3" t="s">
        <v>63</v>
      </c>
      <c r="L3186" s="2" t="s">
        <v>31045</v>
      </c>
      <c r="M3186" s="2" t="s">
        <v>31046</v>
      </c>
      <c r="N3186" s="3" t="s">
        <v>1155</v>
      </c>
      <c r="P3186" s="3" t="s">
        <v>65</v>
      </c>
      <c r="R3186" s="3" t="s">
        <v>66</v>
      </c>
      <c r="S3186" s="4">
        <v>1</v>
      </c>
      <c r="T3186" s="4">
        <v>1</v>
      </c>
      <c r="U3186" s="5" t="s">
        <v>31047</v>
      </c>
      <c r="V3186" s="5" t="s">
        <v>31047</v>
      </c>
      <c r="W3186" s="5" t="s">
        <v>67</v>
      </c>
      <c r="X3186" s="5" t="s">
        <v>67</v>
      </c>
      <c r="Y3186" s="4">
        <v>157</v>
      </c>
      <c r="Z3186" s="4">
        <v>13</v>
      </c>
      <c r="AA3186" s="4">
        <v>51</v>
      </c>
      <c r="AB3186" s="4">
        <v>1</v>
      </c>
      <c r="AC3186" s="4">
        <v>5</v>
      </c>
      <c r="AD3186" s="4">
        <v>67</v>
      </c>
      <c r="AE3186" s="4">
        <v>91</v>
      </c>
      <c r="AF3186" s="4">
        <v>0</v>
      </c>
      <c r="AG3186" s="4">
        <v>1</v>
      </c>
      <c r="AH3186" s="4">
        <v>62</v>
      </c>
      <c r="AI3186" s="4">
        <v>72</v>
      </c>
      <c r="AJ3186" s="4">
        <v>11</v>
      </c>
      <c r="AK3186" s="4">
        <v>16</v>
      </c>
      <c r="AL3186" s="4">
        <v>36</v>
      </c>
      <c r="AM3186" s="4">
        <v>40</v>
      </c>
      <c r="AN3186" s="4">
        <v>0</v>
      </c>
      <c r="AO3186" s="4">
        <v>0</v>
      </c>
      <c r="AP3186" s="4">
        <v>12</v>
      </c>
      <c r="AQ3186" s="4">
        <v>27</v>
      </c>
      <c r="AR3186" s="3" t="s">
        <v>62</v>
      </c>
      <c r="AS3186" s="3" t="s">
        <v>62</v>
      </c>
      <c r="AT3186" s="3" t="s">
        <v>62</v>
      </c>
      <c r="AV3186" s="6" t="str">
        <f>HYPERLINK("http://mcgill.on.worldcat.org/oclc/743432380","Catalog Record")</f>
        <v>Catalog Record</v>
      </c>
      <c r="AW3186" s="6" t="str">
        <f>HYPERLINK("http://www.worldcat.org/oclc/743432380","WorldCat Record")</f>
        <v>WorldCat Record</v>
      </c>
      <c r="AX3186" s="3" t="s">
        <v>31048</v>
      </c>
      <c r="AY3186" s="3" t="s">
        <v>31049</v>
      </c>
      <c r="AZ3186" s="3" t="s">
        <v>31050</v>
      </c>
      <c r="BA3186" s="3" t="s">
        <v>31050</v>
      </c>
      <c r="BB3186" s="3" t="s">
        <v>31051</v>
      </c>
      <c r="BC3186" s="3" t="s">
        <v>142</v>
      </c>
      <c r="BD3186" s="3" t="s">
        <v>68</v>
      </c>
      <c r="BE3186" s="3" t="s">
        <v>31052</v>
      </c>
      <c r="BF3186" s="3" t="s">
        <v>31051</v>
      </c>
      <c r="BG3186" s="3" t="s">
        <v>31053</v>
      </c>
    </row>
    <row r="3187" spans="1:59" ht="57" x14ac:dyDescent="0.45">
      <c r="A3187" s="2" t="s">
        <v>59</v>
      </c>
      <c r="B3187" s="2" t="s">
        <v>60</v>
      </c>
      <c r="C3187" s="2" t="s">
        <v>31054</v>
      </c>
      <c r="D3187" s="2" t="s">
        <v>31055</v>
      </c>
      <c r="E3187" s="2" t="s">
        <v>31056</v>
      </c>
      <c r="G3187" s="3" t="s">
        <v>62</v>
      </c>
      <c r="I3187" s="3" t="s">
        <v>62</v>
      </c>
      <c r="J3187" s="3" t="s">
        <v>62</v>
      </c>
      <c r="K3187" s="3" t="s">
        <v>63</v>
      </c>
      <c r="L3187" s="2" t="s">
        <v>3196</v>
      </c>
      <c r="M3187" s="2" t="s">
        <v>31057</v>
      </c>
      <c r="N3187" s="3" t="s">
        <v>1437</v>
      </c>
      <c r="P3187" s="3" t="s">
        <v>65</v>
      </c>
      <c r="R3187" s="3" t="s">
        <v>66</v>
      </c>
      <c r="S3187" s="4">
        <v>17</v>
      </c>
      <c r="T3187" s="4">
        <v>17</v>
      </c>
      <c r="U3187" s="5" t="s">
        <v>6491</v>
      </c>
      <c r="V3187" s="5" t="s">
        <v>6491</v>
      </c>
      <c r="W3187" s="5" t="s">
        <v>67</v>
      </c>
      <c r="X3187" s="5" t="s">
        <v>67</v>
      </c>
      <c r="Y3187" s="4">
        <v>429</v>
      </c>
      <c r="Z3187" s="4">
        <v>26</v>
      </c>
      <c r="AA3187" s="4">
        <v>27</v>
      </c>
      <c r="AB3187" s="4">
        <v>2</v>
      </c>
      <c r="AC3187" s="4">
        <v>2</v>
      </c>
      <c r="AD3187" s="4">
        <v>109</v>
      </c>
      <c r="AE3187" s="4">
        <v>110</v>
      </c>
      <c r="AF3187" s="4">
        <v>1</v>
      </c>
      <c r="AG3187" s="4">
        <v>1</v>
      </c>
      <c r="AH3187" s="4">
        <v>93</v>
      </c>
      <c r="AI3187" s="4">
        <v>94</v>
      </c>
      <c r="AJ3187" s="4">
        <v>13</v>
      </c>
      <c r="AK3187" s="4">
        <v>14</v>
      </c>
      <c r="AL3187" s="4">
        <v>52</v>
      </c>
      <c r="AM3187" s="4">
        <v>52</v>
      </c>
      <c r="AN3187" s="4">
        <v>0</v>
      </c>
      <c r="AO3187" s="4">
        <v>0</v>
      </c>
      <c r="AP3187" s="4">
        <v>21</v>
      </c>
      <c r="AQ3187" s="4">
        <v>22</v>
      </c>
      <c r="AR3187" s="3" t="s">
        <v>62</v>
      </c>
      <c r="AS3187" s="3" t="s">
        <v>62</v>
      </c>
      <c r="AT3187" s="3" t="s">
        <v>62</v>
      </c>
      <c r="AV3187" s="6" t="str">
        <f>HYPERLINK("http://mcgill.on.worldcat.org/oclc/37890389","Catalog Record")</f>
        <v>Catalog Record</v>
      </c>
      <c r="AW3187" s="6" t="str">
        <f>HYPERLINK("http://www.worldcat.org/oclc/37890389","WorldCat Record")</f>
        <v>WorldCat Record</v>
      </c>
      <c r="AX3187" s="3" t="s">
        <v>31058</v>
      </c>
      <c r="AY3187" s="3" t="s">
        <v>31059</v>
      </c>
      <c r="AZ3187" s="3" t="s">
        <v>31060</v>
      </c>
      <c r="BA3187" s="3" t="s">
        <v>31060</v>
      </c>
      <c r="BB3187" s="3" t="s">
        <v>31061</v>
      </c>
      <c r="BC3187" s="3" t="s">
        <v>142</v>
      </c>
      <c r="BD3187" s="3" t="s">
        <v>68</v>
      </c>
      <c r="BE3187" s="3" t="s">
        <v>31062</v>
      </c>
      <c r="BF3187" s="3" t="s">
        <v>31061</v>
      </c>
      <c r="BG3187" s="3" t="s">
        <v>31063</v>
      </c>
    </row>
    <row r="3188" spans="1:59" ht="57" x14ac:dyDescent="0.45">
      <c r="A3188" s="2" t="s">
        <v>59</v>
      </c>
      <c r="B3188" s="2" t="s">
        <v>60</v>
      </c>
      <c r="C3188" s="2" t="s">
        <v>31064</v>
      </c>
      <c r="D3188" s="2" t="s">
        <v>31065</v>
      </c>
      <c r="E3188" s="2" t="s">
        <v>31066</v>
      </c>
      <c r="G3188" s="3" t="s">
        <v>62</v>
      </c>
      <c r="I3188" s="3" t="s">
        <v>62</v>
      </c>
      <c r="J3188" s="3" t="s">
        <v>62</v>
      </c>
      <c r="K3188" s="3" t="s">
        <v>63</v>
      </c>
      <c r="L3188" s="2" t="s">
        <v>3196</v>
      </c>
      <c r="M3188" s="2" t="s">
        <v>31067</v>
      </c>
      <c r="N3188" s="3" t="s">
        <v>1059</v>
      </c>
      <c r="P3188" s="3" t="s">
        <v>65</v>
      </c>
      <c r="R3188" s="3" t="s">
        <v>66</v>
      </c>
      <c r="S3188" s="4">
        <v>5</v>
      </c>
      <c r="T3188" s="4">
        <v>5</v>
      </c>
      <c r="U3188" s="5" t="s">
        <v>31068</v>
      </c>
      <c r="V3188" s="5" t="s">
        <v>31068</v>
      </c>
      <c r="W3188" s="5" t="s">
        <v>67</v>
      </c>
      <c r="X3188" s="5" t="s">
        <v>67</v>
      </c>
      <c r="Y3188" s="4">
        <v>289</v>
      </c>
      <c r="Z3188" s="4">
        <v>22</v>
      </c>
      <c r="AA3188" s="4">
        <v>23</v>
      </c>
      <c r="AB3188" s="4">
        <v>2</v>
      </c>
      <c r="AC3188" s="4">
        <v>2</v>
      </c>
      <c r="AD3188" s="4">
        <v>90</v>
      </c>
      <c r="AE3188" s="4">
        <v>90</v>
      </c>
      <c r="AF3188" s="4">
        <v>1</v>
      </c>
      <c r="AG3188" s="4">
        <v>1</v>
      </c>
      <c r="AH3188" s="4">
        <v>82</v>
      </c>
      <c r="AI3188" s="4">
        <v>82</v>
      </c>
      <c r="AJ3188" s="4">
        <v>16</v>
      </c>
      <c r="AK3188" s="4">
        <v>16</v>
      </c>
      <c r="AL3188" s="4">
        <v>41</v>
      </c>
      <c r="AM3188" s="4">
        <v>41</v>
      </c>
      <c r="AN3188" s="4">
        <v>0</v>
      </c>
      <c r="AO3188" s="4">
        <v>0</v>
      </c>
      <c r="AP3188" s="4">
        <v>18</v>
      </c>
      <c r="AQ3188" s="4">
        <v>18</v>
      </c>
      <c r="AR3188" s="3" t="s">
        <v>62</v>
      </c>
      <c r="AS3188" s="3" t="s">
        <v>62</v>
      </c>
      <c r="AT3188" s="3" t="s">
        <v>61</v>
      </c>
      <c r="AU3188" s="6" t="str">
        <f>HYPERLINK("http://catalog.hathitrust.org/Record/005246093","HathiTrust Record")</f>
        <v>HathiTrust Record</v>
      </c>
      <c r="AV3188" s="6" t="str">
        <f>HYPERLINK("http://mcgill.on.worldcat.org/oclc/69481092","Catalog Record")</f>
        <v>Catalog Record</v>
      </c>
      <c r="AW3188" s="6" t="str">
        <f>HYPERLINK("http://www.worldcat.org/oclc/69481092","WorldCat Record")</f>
        <v>WorldCat Record</v>
      </c>
      <c r="AX3188" s="3" t="s">
        <v>31069</v>
      </c>
      <c r="AY3188" s="3" t="s">
        <v>31070</v>
      </c>
      <c r="AZ3188" s="3" t="s">
        <v>31071</v>
      </c>
      <c r="BA3188" s="3" t="s">
        <v>31071</v>
      </c>
      <c r="BB3188" s="3" t="s">
        <v>31072</v>
      </c>
      <c r="BC3188" s="3" t="s">
        <v>142</v>
      </c>
      <c r="BD3188" s="3" t="s">
        <v>68</v>
      </c>
      <c r="BE3188" s="3" t="s">
        <v>31073</v>
      </c>
      <c r="BF3188" s="3" t="s">
        <v>31072</v>
      </c>
      <c r="BG3188" s="3" t="s">
        <v>31074</v>
      </c>
    </row>
    <row r="3189" spans="1:59" ht="57" x14ac:dyDescent="0.45">
      <c r="A3189" s="2" t="s">
        <v>59</v>
      </c>
      <c r="B3189" s="2" t="s">
        <v>60</v>
      </c>
      <c r="C3189" s="2" t="s">
        <v>31075</v>
      </c>
      <c r="D3189" s="2" t="s">
        <v>31076</v>
      </c>
      <c r="E3189" s="2" t="s">
        <v>31077</v>
      </c>
      <c r="G3189" s="3" t="s">
        <v>62</v>
      </c>
      <c r="I3189" s="3" t="s">
        <v>62</v>
      </c>
      <c r="J3189" s="3" t="s">
        <v>62</v>
      </c>
      <c r="K3189" s="3" t="s">
        <v>63</v>
      </c>
      <c r="L3189" s="2" t="s">
        <v>2033</v>
      </c>
      <c r="M3189" s="2" t="s">
        <v>31078</v>
      </c>
      <c r="N3189" s="3" t="s">
        <v>181</v>
      </c>
      <c r="P3189" s="3" t="s">
        <v>65</v>
      </c>
      <c r="Q3189" s="2" t="s">
        <v>11661</v>
      </c>
      <c r="R3189" s="3" t="s">
        <v>66</v>
      </c>
      <c r="S3189" s="4">
        <v>3</v>
      </c>
      <c r="T3189" s="4">
        <v>3</v>
      </c>
      <c r="U3189" s="5" t="s">
        <v>6330</v>
      </c>
      <c r="V3189" s="5" t="s">
        <v>6330</v>
      </c>
      <c r="W3189" s="5" t="s">
        <v>67</v>
      </c>
      <c r="X3189" s="5" t="s">
        <v>67</v>
      </c>
      <c r="Y3189" s="4">
        <v>661</v>
      </c>
      <c r="Z3189" s="4">
        <v>32</v>
      </c>
      <c r="AA3189" s="4">
        <v>95</v>
      </c>
      <c r="AB3189" s="4">
        <v>3</v>
      </c>
      <c r="AC3189" s="4">
        <v>17</v>
      </c>
      <c r="AD3189" s="4">
        <v>81</v>
      </c>
      <c r="AE3189" s="4">
        <v>124</v>
      </c>
      <c r="AF3189" s="4">
        <v>0</v>
      </c>
      <c r="AG3189" s="4">
        <v>8</v>
      </c>
      <c r="AH3189" s="4">
        <v>69</v>
      </c>
      <c r="AI3189" s="4">
        <v>91</v>
      </c>
      <c r="AJ3189" s="4">
        <v>8</v>
      </c>
      <c r="AK3189" s="4">
        <v>20</v>
      </c>
      <c r="AL3189" s="4">
        <v>42</v>
      </c>
      <c r="AM3189" s="4">
        <v>51</v>
      </c>
      <c r="AN3189" s="4">
        <v>0</v>
      </c>
      <c r="AO3189" s="4">
        <v>0</v>
      </c>
      <c r="AP3189" s="4">
        <v>16</v>
      </c>
      <c r="AQ3189" s="4">
        <v>40</v>
      </c>
      <c r="AR3189" s="3" t="s">
        <v>62</v>
      </c>
      <c r="AS3189" s="3" t="s">
        <v>62</v>
      </c>
      <c r="AT3189" s="3" t="s">
        <v>62</v>
      </c>
      <c r="AV3189" s="6" t="str">
        <f>HYPERLINK("http://mcgill.on.worldcat.org/oclc/918616298","Catalog Record")</f>
        <v>Catalog Record</v>
      </c>
      <c r="AW3189" s="6" t="str">
        <f>HYPERLINK("http://www.worldcat.org/oclc/918616298","WorldCat Record")</f>
        <v>WorldCat Record</v>
      </c>
      <c r="AX3189" s="3" t="s">
        <v>31079</v>
      </c>
      <c r="AY3189" s="3" t="s">
        <v>31080</v>
      </c>
      <c r="AZ3189" s="3" t="s">
        <v>31081</v>
      </c>
      <c r="BA3189" s="3" t="s">
        <v>31081</v>
      </c>
      <c r="BB3189" s="3" t="s">
        <v>31082</v>
      </c>
      <c r="BC3189" s="3" t="s">
        <v>142</v>
      </c>
      <c r="BD3189" s="3" t="s">
        <v>68</v>
      </c>
      <c r="BE3189" s="3" t="s">
        <v>31083</v>
      </c>
      <c r="BF3189" s="3" t="s">
        <v>31082</v>
      </c>
      <c r="BG3189" s="3" t="s">
        <v>31084</v>
      </c>
    </row>
    <row r="3190" spans="1:59" ht="57" x14ac:dyDescent="0.45">
      <c r="A3190" s="2" t="s">
        <v>59</v>
      </c>
      <c r="B3190" s="2" t="s">
        <v>60</v>
      </c>
      <c r="C3190" s="2" t="s">
        <v>31085</v>
      </c>
      <c r="D3190" s="2" t="s">
        <v>31086</v>
      </c>
      <c r="E3190" s="2" t="s">
        <v>31087</v>
      </c>
      <c r="G3190" s="3" t="s">
        <v>62</v>
      </c>
      <c r="I3190" s="3" t="s">
        <v>62</v>
      </c>
      <c r="J3190" s="3" t="s">
        <v>62</v>
      </c>
      <c r="K3190" s="3" t="s">
        <v>63</v>
      </c>
      <c r="L3190" s="2" t="s">
        <v>31088</v>
      </c>
      <c r="M3190" s="2" t="s">
        <v>31089</v>
      </c>
      <c r="N3190" s="3" t="s">
        <v>793</v>
      </c>
      <c r="P3190" s="3" t="s">
        <v>110</v>
      </c>
      <c r="Q3190" s="2" t="s">
        <v>31090</v>
      </c>
      <c r="R3190" s="3" t="s">
        <v>66</v>
      </c>
      <c r="S3190" s="4">
        <v>5</v>
      </c>
      <c r="T3190" s="4">
        <v>5</v>
      </c>
      <c r="U3190" s="5" t="s">
        <v>12331</v>
      </c>
      <c r="V3190" s="5" t="s">
        <v>12331</v>
      </c>
      <c r="W3190" s="5" t="s">
        <v>67</v>
      </c>
      <c r="X3190" s="5" t="s">
        <v>67</v>
      </c>
      <c r="Y3190" s="4">
        <v>105</v>
      </c>
      <c r="Z3190" s="4">
        <v>19</v>
      </c>
      <c r="AA3190" s="4">
        <v>40</v>
      </c>
      <c r="AB3190" s="4">
        <v>2</v>
      </c>
      <c r="AC3190" s="4">
        <v>10</v>
      </c>
      <c r="AD3190" s="4">
        <v>69</v>
      </c>
      <c r="AE3190" s="4">
        <v>83</v>
      </c>
      <c r="AF3190" s="4">
        <v>1</v>
      </c>
      <c r="AG3190" s="4">
        <v>5</v>
      </c>
      <c r="AH3190" s="4">
        <v>57</v>
      </c>
      <c r="AI3190" s="4">
        <v>61</v>
      </c>
      <c r="AJ3190" s="4">
        <v>13</v>
      </c>
      <c r="AK3190" s="4">
        <v>23</v>
      </c>
      <c r="AL3190" s="4">
        <v>40</v>
      </c>
      <c r="AM3190" s="4">
        <v>41</v>
      </c>
      <c r="AN3190" s="4">
        <v>0</v>
      </c>
      <c r="AO3190" s="4">
        <v>0</v>
      </c>
      <c r="AP3190" s="4">
        <v>16</v>
      </c>
      <c r="AQ3190" s="4">
        <v>28</v>
      </c>
      <c r="AR3190" s="3" t="s">
        <v>61</v>
      </c>
      <c r="AS3190" s="3" t="s">
        <v>62</v>
      </c>
      <c r="AT3190" s="3" t="s">
        <v>61</v>
      </c>
      <c r="AU3190" s="6" t="str">
        <f>HYPERLINK("http://catalog.hathitrust.org/Record/001897920","HathiTrust Record")</f>
        <v>HathiTrust Record</v>
      </c>
      <c r="AV3190" s="6" t="str">
        <f>HYPERLINK("http://mcgill.on.worldcat.org/oclc/945886","Catalog Record")</f>
        <v>Catalog Record</v>
      </c>
      <c r="AW3190" s="6" t="str">
        <f>HYPERLINK("http://www.worldcat.org/oclc/945886","WorldCat Record")</f>
        <v>WorldCat Record</v>
      </c>
      <c r="AX3190" s="3" t="s">
        <v>31091</v>
      </c>
      <c r="AY3190" s="3" t="s">
        <v>31092</v>
      </c>
      <c r="AZ3190" s="3" t="s">
        <v>31093</v>
      </c>
      <c r="BA3190" s="3" t="s">
        <v>31093</v>
      </c>
      <c r="BB3190" s="3" t="s">
        <v>31094</v>
      </c>
      <c r="BC3190" s="3" t="s">
        <v>142</v>
      </c>
      <c r="BD3190" s="3" t="s">
        <v>68</v>
      </c>
      <c r="BF3190" s="3" t="s">
        <v>31094</v>
      </c>
      <c r="BG3190" s="3" t="s">
        <v>31095</v>
      </c>
    </row>
    <row r="3191" spans="1:59" ht="57" x14ac:dyDescent="0.45">
      <c r="A3191" s="2" t="s">
        <v>59</v>
      </c>
      <c r="B3191" s="2" t="s">
        <v>60</v>
      </c>
      <c r="C3191" s="2" t="s">
        <v>31096</v>
      </c>
      <c r="D3191" s="2" t="s">
        <v>31097</v>
      </c>
      <c r="E3191" s="2" t="s">
        <v>31098</v>
      </c>
      <c r="G3191" s="3" t="s">
        <v>62</v>
      </c>
      <c r="I3191" s="3" t="s">
        <v>61</v>
      </c>
      <c r="J3191" s="3" t="s">
        <v>62</v>
      </c>
      <c r="K3191" s="3" t="s">
        <v>63</v>
      </c>
      <c r="L3191" s="2" t="s">
        <v>651</v>
      </c>
      <c r="M3191" s="2" t="s">
        <v>31099</v>
      </c>
      <c r="N3191" s="3" t="s">
        <v>625</v>
      </c>
      <c r="P3191" s="3" t="s">
        <v>65</v>
      </c>
      <c r="Q3191" s="2" t="s">
        <v>31100</v>
      </c>
      <c r="R3191" s="3" t="s">
        <v>66</v>
      </c>
      <c r="S3191" s="4">
        <v>6</v>
      </c>
      <c r="T3191" s="4">
        <v>95</v>
      </c>
      <c r="U3191" s="5" t="s">
        <v>31101</v>
      </c>
      <c r="V3191" s="5" t="s">
        <v>29124</v>
      </c>
      <c r="W3191" s="5" t="s">
        <v>67</v>
      </c>
      <c r="X3191" s="5" t="s">
        <v>67</v>
      </c>
      <c r="Y3191" s="4">
        <v>804</v>
      </c>
      <c r="Z3191" s="4">
        <v>43</v>
      </c>
      <c r="AA3191" s="4">
        <v>51</v>
      </c>
      <c r="AB3191" s="4">
        <v>2</v>
      </c>
      <c r="AC3191" s="4">
        <v>5</v>
      </c>
      <c r="AD3191" s="4">
        <v>133</v>
      </c>
      <c r="AE3191" s="4">
        <v>139</v>
      </c>
      <c r="AF3191" s="4">
        <v>1</v>
      </c>
      <c r="AG3191" s="4">
        <v>4</v>
      </c>
      <c r="AH3191" s="4">
        <v>110</v>
      </c>
      <c r="AI3191" s="4">
        <v>111</v>
      </c>
      <c r="AJ3191" s="4">
        <v>19</v>
      </c>
      <c r="AK3191" s="4">
        <v>24</v>
      </c>
      <c r="AL3191" s="4">
        <v>55</v>
      </c>
      <c r="AM3191" s="4">
        <v>55</v>
      </c>
      <c r="AN3191" s="4">
        <v>0</v>
      </c>
      <c r="AO3191" s="4">
        <v>0</v>
      </c>
      <c r="AP3191" s="4">
        <v>34</v>
      </c>
      <c r="AQ3191" s="4">
        <v>39</v>
      </c>
      <c r="AR3191" s="3" t="s">
        <v>62</v>
      </c>
      <c r="AS3191" s="3" t="s">
        <v>62</v>
      </c>
      <c r="AT3191" s="3" t="s">
        <v>61</v>
      </c>
      <c r="AU3191" s="6" t="str">
        <f>HYPERLINK("http://catalog.hathitrust.org/Record/000578109","HathiTrust Record")</f>
        <v>HathiTrust Record</v>
      </c>
      <c r="AV3191" s="6" t="str">
        <f>HYPERLINK("http://mcgill.on.worldcat.org/oclc/12235328","Catalog Record")</f>
        <v>Catalog Record</v>
      </c>
      <c r="AW3191" s="6" t="str">
        <f>HYPERLINK("http://www.worldcat.org/oclc/12235328","WorldCat Record")</f>
        <v>WorldCat Record</v>
      </c>
      <c r="AX3191" s="3" t="s">
        <v>31102</v>
      </c>
      <c r="AY3191" s="3" t="s">
        <v>31103</v>
      </c>
      <c r="AZ3191" s="3" t="s">
        <v>31104</v>
      </c>
      <c r="BA3191" s="3" t="s">
        <v>31104</v>
      </c>
      <c r="BB3191" s="3" t="s">
        <v>31105</v>
      </c>
      <c r="BC3191" s="3" t="s">
        <v>142</v>
      </c>
      <c r="BD3191" s="3" t="s">
        <v>68</v>
      </c>
      <c r="BE3191" s="3" t="s">
        <v>31106</v>
      </c>
      <c r="BF3191" s="3" t="s">
        <v>31105</v>
      </c>
      <c r="BG3191" s="3" t="s">
        <v>31107</v>
      </c>
    </row>
    <row r="3192" spans="1:59" ht="57" x14ac:dyDescent="0.45">
      <c r="A3192" s="2" t="s">
        <v>59</v>
      </c>
      <c r="B3192" s="2" t="s">
        <v>60</v>
      </c>
      <c r="C3192" s="2" t="s">
        <v>31096</v>
      </c>
      <c r="D3192" s="2" t="s">
        <v>31097</v>
      </c>
      <c r="E3192" s="2" t="s">
        <v>31098</v>
      </c>
      <c r="G3192" s="3" t="s">
        <v>62</v>
      </c>
      <c r="I3192" s="3" t="s">
        <v>61</v>
      </c>
      <c r="J3192" s="3" t="s">
        <v>62</v>
      </c>
      <c r="K3192" s="3" t="s">
        <v>63</v>
      </c>
      <c r="L3192" s="2" t="s">
        <v>651</v>
      </c>
      <c r="M3192" s="2" t="s">
        <v>31099</v>
      </c>
      <c r="N3192" s="3" t="s">
        <v>625</v>
      </c>
      <c r="P3192" s="3" t="s">
        <v>65</v>
      </c>
      <c r="Q3192" s="2" t="s">
        <v>31100</v>
      </c>
      <c r="R3192" s="3" t="s">
        <v>66</v>
      </c>
      <c r="S3192" s="4">
        <v>89</v>
      </c>
      <c r="T3192" s="4">
        <v>95</v>
      </c>
      <c r="U3192" s="5" t="s">
        <v>29124</v>
      </c>
      <c r="V3192" s="5" t="s">
        <v>29124</v>
      </c>
      <c r="W3192" s="5" t="s">
        <v>67</v>
      </c>
      <c r="X3192" s="5" t="s">
        <v>67</v>
      </c>
      <c r="Y3192" s="4">
        <v>804</v>
      </c>
      <c r="Z3192" s="4">
        <v>43</v>
      </c>
      <c r="AA3192" s="4">
        <v>51</v>
      </c>
      <c r="AB3192" s="4">
        <v>2</v>
      </c>
      <c r="AC3192" s="4">
        <v>5</v>
      </c>
      <c r="AD3192" s="4">
        <v>133</v>
      </c>
      <c r="AE3192" s="4">
        <v>139</v>
      </c>
      <c r="AF3192" s="4">
        <v>1</v>
      </c>
      <c r="AG3192" s="4">
        <v>4</v>
      </c>
      <c r="AH3192" s="4">
        <v>110</v>
      </c>
      <c r="AI3192" s="4">
        <v>111</v>
      </c>
      <c r="AJ3192" s="4">
        <v>19</v>
      </c>
      <c r="AK3192" s="4">
        <v>24</v>
      </c>
      <c r="AL3192" s="4">
        <v>55</v>
      </c>
      <c r="AM3192" s="4">
        <v>55</v>
      </c>
      <c r="AN3192" s="4">
        <v>0</v>
      </c>
      <c r="AO3192" s="4">
        <v>0</v>
      </c>
      <c r="AP3192" s="4">
        <v>34</v>
      </c>
      <c r="AQ3192" s="4">
        <v>39</v>
      </c>
      <c r="AR3192" s="3" t="s">
        <v>62</v>
      </c>
      <c r="AS3192" s="3" t="s">
        <v>62</v>
      </c>
      <c r="AT3192" s="3" t="s">
        <v>61</v>
      </c>
      <c r="AU3192" s="6" t="str">
        <f>HYPERLINK("http://catalog.hathitrust.org/Record/000578109","HathiTrust Record")</f>
        <v>HathiTrust Record</v>
      </c>
      <c r="AV3192" s="6" t="str">
        <f>HYPERLINK("http://mcgill.on.worldcat.org/oclc/12235328","Catalog Record")</f>
        <v>Catalog Record</v>
      </c>
      <c r="AW3192" s="6" t="str">
        <f>HYPERLINK("http://www.worldcat.org/oclc/12235328","WorldCat Record")</f>
        <v>WorldCat Record</v>
      </c>
      <c r="AX3192" s="3" t="s">
        <v>31102</v>
      </c>
      <c r="AY3192" s="3" t="s">
        <v>31103</v>
      </c>
      <c r="AZ3192" s="3" t="s">
        <v>31104</v>
      </c>
      <c r="BA3192" s="3" t="s">
        <v>31104</v>
      </c>
      <c r="BB3192" s="3" t="s">
        <v>31108</v>
      </c>
      <c r="BC3192" s="3" t="s">
        <v>142</v>
      </c>
      <c r="BD3192" s="3" t="s">
        <v>68</v>
      </c>
      <c r="BE3192" s="3" t="s">
        <v>31106</v>
      </c>
      <c r="BF3192" s="3" t="s">
        <v>31108</v>
      </c>
      <c r="BG3192" s="3" t="s">
        <v>31109</v>
      </c>
    </row>
    <row r="3193" spans="1:59" ht="57" x14ac:dyDescent="0.45">
      <c r="A3193" s="2" t="s">
        <v>59</v>
      </c>
      <c r="B3193" s="2" t="s">
        <v>60</v>
      </c>
      <c r="C3193" s="2" t="s">
        <v>31110</v>
      </c>
      <c r="D3193" s="2" t="s">
        <v>31111</v>
      </c>
      <c r="E3193" s="2" t="s">
        <v>31112</v>
      </c>
      <c r="G3193" s="3" t="s">
        <v>62</v>
      </c>
      <c r="I3193" s="3" t="s">
        <v>62</v>
      </c>
      <c r="J3193" s="3" t="s">
        <v>62</v>
      </c>
      <c r="K3193" s="3" t="s">
        <v>63</v>
      </c>
      <c r="L3193" s="2" t="s">
        <v>651</v>
      </c>
      <c r="M3193" s="2" t="s">
        <v>18662</v>
      </c>
      <c r="N3193" s="3" t="s">
        <v>1212</v>
      </c>
      <c r="P3193" s="3" t="s">
        <v>65</v>
      </c>
      <c r="R3193" s="3" t="s">
        <v>66</v>
      </c>
      <c r="S3193" s="4">
        <v>49</v>
      </c>
      <c r="T3193" s="4">
        <v>49</v>
      </c>
      <c r="U3193" s="5" t="s">
        <v>26457</v>
      </c>
      <c r="V3193" s="5" t="s">
        <v>26457</v>
      </c>
      <c r="W3193" s="5" t="s">
        <v>67</v>
      </c>
      <c r="X3193" s="5" t="s">
        <v>67</v>
      </c>
      <c r="Y3193" s="4">
        <v>990</v>
      </c>
      <c r="Z3193" s="4">
        <v>56</v>
      </c>
      <c r="AA3193" s="4">
        <v>122</v>
      </c>
      <c r="AB3193" s="4">
        <v>3</v>
      </c>
      <c r="AC3193" s="4">
        <v>19</v>
      </c>
      <c r="AD3193" s="4">
        <v>137</v>
      </c>
      <c r="AE3193" s="4">
        <v>157</v>
      </c>
      <c r="AF3193" s="4">
        <v>1</v>
      </c>
      <c r="AG3193" s="4">
        <v>8</v>
      </c>
      <c r="AH3193" s="4">
        <v>109</v>
      </c>
      <c r="AI3193" s="4">
        <v>112</v>
      </c>
      <c r="AJ3193" s="4">
        <v>23</v>
      </c>
      <c r="AK3193" s="4">
        <v>28</v>
      </c>
      <c r="AL3193" s="4">
        <v>59</v>
      </c>
      <c r="AM3193" s="4">
        <v>60</v>
      </c>
      <c r="AN3193" s="4">
        <v>0</v>
      </c>
      <c r="AO3193" s="4">
        <v>0</v>
      </c>
      <c r="AP3193" s="4">
        <v>37</v>
      </c>
      <c r="AQ3193" s="4">
        <v>54</v>
      </c>
      <c r="AR3193" s="3" t="s">
        <v>62</v>
      </c>
      <c r="AS3193" s="3" t="s">
        <v>62</v>
      </c>
      <c r="AT3193" s="3" t="s">
        <v>62</v>
      </c>
      <c r="AV3193" s="6" t="str">
        <f>HYPERLINK("http://mcgill.on.worldcat.org/oclc/41621281","Catalog Record")</f>
        <v>Catalog Record</v>
      </c>
      <c r="AW3193" s="6" t="str">
        <f>HYPERLINK("http://www.worldcat.org/oclc/41621281","WorldCat Record")</f>
        <v>WorldCat Record</v>
      </c>
      <c r="AX3193" s="3" t="s">
        <v>31113</v>
      </c>
      <c r="AY3193" s="3" t="s">
        <v>31114</v>
      </c>
      <c r="AZ3193" s="3" t="s">
        <v>31115</v>
      </c>
      <c r="BA3193" s="3" t="s">
        <v>31115</v>
      </c>
      <c r="BB3193" s="3" t="s">
        <v>31116</v>
      </c>
      <c r="BC3193" s="3" t="s">
        <v>142</v>
      </c>
      <c r="BD3193" s="3" t="s">
        <v>308</v>
      </c>
      <c r="BE3193" s="3" t="s">
        <v>31117</v>
      </c>
      <c r="BF3193" s="3" t="s">
        <v>31116</v>
      </c>
      <c r="BG3193" s="3" t="s">
        <v>31118</v>
      </c>
    </row>
    <row r="3194" spans="1:59" ht="57" x14ac:dyDescent="0.45">
      <c r="A3194" s="2" t="s">
        <v>59</v>
      </c>
      <c r="B3194" s="2" t="s">
        <v>60</v>
      </c>
      <c r="C3194" s="2" t="s">
        <v>31119</v>
      </c>
      <c r="D3194" s="2" t="s">
        <v>31120</v>
      </c>
      <c r="E3194" s="2" t="s">
        <v>31121</v>
      </c>
      <c r="G3194" s="3" t="s">
        <v>62</v>
      </c>
      <c r="I3194" s="3" t="s">
        <v>62</v>
      </c>
      <c r="J3194" s="3" t="s">
        <v>62</v>
      </c>
      <c r="K3194" s="3" t="s">
        <v>63</v>
      </c>
      <c r="L3194" s="2" t="s">
        <v>651</v>
      </c>
      <c r="M3194" s="2" t="s">
        <v>31122</v>
      </c>
      <c r="N3194" s="3" t="s">
        <v>1478</v>
      </c>
      <c r="P3194" s="3" t="s">
        <v>65</v>
      </c>
      <c r="R3194" s="3" t="s">
        <v>66</v>
      </c>
      <c r="S3194" s="4">
        <v>17</v>
      </c>
      <c r="T3194" s="4">
        <v>17</v>
      </c>
      <c r="U3194" s="5" t="s">
        <v>9543</v>
      </c>
      <c r="V3194" s="5" t="s">
        <v>9543</v>
      </c>
      <c r="W3194" s="5" t="s">
        <v>67</v>
      </c>
      <c r="X3194" s="5" t="s">
        <v>67</v>
      </c>
      <c r="Y3194" s="4">
        <v>508</v>
      </c>
      <c r="Z3194" s="4">
        <v>32</v>
      </c>
      <c r="AA3194" s="4">
        <v>64</v>
      </c>
      <c r="AB3194" s="4">
        <v>2</v>
      </c>
      <c r="AC3194" s="4">
        <v>9</v>
      </c>
      <c r="AD3194" s="4">
        <v>104</v>
      </c>
      <c r="AE3194" s="4">
        <v>115</v>
      </c>
      <c r="AF3194" s="4">
        <v>0</v>
      </c>
      <c r="AG3194" s="4">
        <v>2</v>
      </c>
      <c r="AH3194" s="4">
        <v>90</v>
      </c>
      <c r="AI3194" s="4">
        <v>97</v>
      </c>
      <c r="AJ3194" s="4">
        <v>16</v>
      </c>
      <c r="AK3194" s="4">
        <v>19</v>
      </c>
      <c r="AL3194" s="4">
        <v>49</v>
      </c>
      <c r="AM3194" s="4">
        <v>52</v>
      </c>
      <c r="AN3194" s="4">
        <v>0</v>
      </c>
      <c r="AO3194" s="4">
        <v>3</v>
      </c>
      <c r="AP3194" s="4">
        <v>17</v>
      </c>
      <c r="AQ3194" s="4">
        <v>21</v>
      </c>
      <c r="AR3194" s="3" t="s">
        <v>62</v>
      </c>
      <c r="AS3194" s="3" t="s">
        <v>62</v>
      </c>
      <c r="AT3194" s="3" t="s">
        <v>62</v>
      </c>
      <c r="AV3194" s="6" t="str">
        <f>HYPERLINK("http://mcgill.on.worldcat.org/oclc/34354923","Catalog Record")</f>
        <v>Catalog Record</v>
      </c>
      <c r="AW3194" s="6" t="str">
        <f>HYPERLINK("http://www.worldcat.org/oclc/34354923","WorldCat Record")</f>
        <v>WorldCat Record</v>
      </c>
      <c r="AX3194" s="3" t="s">
        <v>31123</v>
      </c>
      <c r="AY3194" s="3" t="s">
        <v>31124</v>
      </c>
      <c r="AZ3194" s="3" t="s">
        <v>31125</v>
      </c>
      <c r="BA3194" s="3" t="s">
        <v>31125</v>
      </c>
      <c r="BB3194" s="3" t="s">
        <v>31126</v>
      </c>
      <c r="BC3194" s="3" t="s">
        <v>142</v>
      </c>
      <c r="BD3194" s="3" t="s">
        <v>68</v>
      </c>
      <c r="BE3194" s="3" t="s">
        <v>31127</v>
      </c>
      <c r="BF3194" s="3" t="s">
        <v>31126</v>
      </c>
      <c r="BG3194" s="3" t="s">
        <v>31128</v>
      </c>
    </row>
    <row r="3195" spans="1:59" ht="57" x14ac:dyDescent="0.45">
      <c r="A3195" s="2" t="s">
        <v>59</v>
      </c>
      <c r="B3195" s="2" t="s">
        <v>60</v>
      </c>
      <c r="C3195" s="2" t="s">
        <v>31129</v>
      </c>
      <c r="D3195" s="2" t="s">
        <v>31130</v>
      </c>
      <c r="E3195" s="2" t="s">
        <v>31131</v>
      </c>
      <c r="G3195" s="3" t="s">
        <v>62</v>
      </c>
      <c r="I3195" s="3" t="s">
        <v>61</v>
      </c>
      <c r="J3195" s="3" t="s">
        <v>61</v>
      </c>
      <c r="K3195" s="3" t="s">
        <v>63</v>
      </c>
      <c r="L3195" s="2" t="s">
        <v>651</v>
      </c>
      <c r="M3195" s="2" t="s">
        <v>31132</v>
      </c>
      <c r="N3195" s="3" t="s">
        <v>1073</v>
      </c>
      <c r="O3195" s="2" t="s">
        <v>168</v>
      </c>
      <c r="P3195" s="3" t="s">
        <v>65</v>
      </c>
      <c r="R3195" s="3" t="s">
        <v>66</v>
      </c>
      <c r="S3195" s="4">
        <v>15</v>
      </c>
      <c r="T3195" s="4">
        <v>119</v>
      </c>
      <c r="U3195" s="5" t="s">
        <v>31133</v>
      </c>
      <c r="V3195" s="5" t="s">
        <v>31134</v>
      </c>
      <c r="W3195" s="5" t="s">
        <v>67</v>
      </c>
      <c r="X3195" s="5" t="s">
        <v>67</v>
      </c>
      <c r="Y3195" s="4">
        <v>20</v>
      </c>
      <c r="Z3195" s="4">
        <v>8</v>
      </c>
      <c r="AA3195" s="4">
        <v>77</v>
      </c>
      <c r="AB3195" s="4">
        <v>3</v>
      </c>
      <c r="AC3195" s="4">
        <v>11</v>
      </c>
      <c r="AD3195" s="4">
        <v>5</v>
      </c>
      <c r="AE3195" s="4">
        <v>151</v>
      </c>
      <c r="AF3195" s="4">
        <v>2</v>
      </c>
      <c r="AG3195" s="4">
        <v>7</v>
      </c>
      <c r="AH3195" s="4">
        <v>3</v>
      </c>
      <c r="AI3195" s="4">
        <v>112</v>
      </c>
      <c r="AJ3195" s="4">
        <v>4</v>
      </c>
      <c r="AK3195" s="4">
        <v>27</v>
      </c>
      <c r="AL3195" s="4">
        <v>1</v>
      </c>
      <c r="AM3195" s="4">
        <v>60</v>
      </c>
      <c r="AN3195" s="4">
        <v>0</v>
      </c>
      <c r="AO3195" s="4">
        <v>0</v>
      </c>
      <c r="AP3195" s="4">
        <v>5</v>
      </c>
      <c r="AQ3195" s="4">
        <v>45</v>
      </c>
      <c r="AR3195" s="3" t="s">
        <v>62</v>
      </c>
      <c r="AS3195" s="3" t="s">
        <v>62</v>
      </c>
      <c r="AT3195" s="3" t="s">
        <v>61</v>
      </c>
      <c r="AU3195" s="6" t="str">
        <f>HYPERLINK("http://catalog.hathitrust.org/Record/000032867","HathiTrust Record")</f>
        <v>HathiTrust Record</v>
      </c>
      <c r="AV3195" s="6" t="str">
        <f>HYPERLINK("http://mcgill.on.worldcat.org/oclc/226067659","Catalog Record")</f>
        <v>Catalog Record</v>
      </c>
      <c r="AW3195" s="6" t="str">
        <f>HYPERLINK("http://www.worldcat.org/oclc/226067659","WorldCat Record")</f>
        <v>WorldCat Record</v>
      </c>
      <c r="AX3195" s="3" t="s">
        <v>31135</v>
      </c>
      <c r="AY3195" s="3" t="s">
        <v>31136</v>
      </c>
      <c r="AZ3195" s="3" t="s">
        <v>31137</v>
      </c>
      <c r="BA3195" s="3" t="s">
        <v>31137</v>
      </c>
      <c r="BB3195" s="3" t="s">
        <v>31138</v>
      </c>
      <c r="BC3195" s="3" t="s">
        <v>142</v>
      </c>
      <c r="BD3195" s="3" t="s">
        <v>68</v>
      </c>
      <c r="BE3195" s="3" t="s">
        <v>31139</v>
      </c>
      <c r="BF3195" s="3" t="s">
        <v>31138</v>
      </c>
      <c r="BG3195" s="3" t="s">
        <v>31140</v>
      </c>
    </row>
    <row r="3196" spans="1:59" ht="57" x14ac:dyDescent="0.45">
      <c r="A3196" s="2" t="s">
        <v>59</v>
      </c>
      <c r="B3196" s="2" t="s">
        <v>60</v>
      </c>
      <c r="C3196" s="2" t="s">
        <v>31129</v>
      </c>
      <c r="D3196" s="2" t="s">
        <v>31130</v>
      </c>
      <c r="E3196" s="2" t="s">
        <v>31131</v>
      </c>
      <c r="G3196" s="3" t="s">
        <v>62</v>
      </c>
      <c r="I3196" s="3" t="s">
        <v>61</v>
      </c>
      <c r="J3196" s="3" t="s">
        <v>61</v>
      </c>
      <c r="K3196" s="3" t="s">
        <v>63</v>
      </c>
      <c r="L3196" s="2" t="s">
        <v>651</v>
      </c>
      <c r="M3196" s="2" t="s">
        <v>31132</v>
      </c>
      <c r="N3196" s="3" t="s">
        <v>1073</v>
      </c>
      <c r="O3196" s="2" t="s">
        <v>168</v>
      </c>
      <c r="P3196" s="3" t="s">
        <v>65</v>
      </c>
      <c r="R3196" s="3" t="s">
        <v>66</v>
      </c>
      <c r="S3196" s="4">
        <v>52</v>
      </c>
      <c r="T3196" s="4">
        <v>119</v>
      </c>
      <c r="U3196" s="5" t="s">
        <v>10429</v>
      </c>
      <c r="V3196" s="5" t="s">
        <v>31134</v>
      </c>
      <c r="W3196" s="5" t="s">
        <v>67</v>
      </c>
      <c r="X3196" s="5" t="s">
        <v>67</v>
      </c>
      <c r="Y3196" s="4">
        <v>20</v>
      </c>
      <c r="Z3196" s="4">
        <v>8</v>
      </c>
      <c r="AA3196" s="4">
        <v>77</v>
      </c>
      <c r="AB3196" s="4">
        <v>3</v>
      </c>
      <c r="AC3196" s="4">
        <v>11</v>
      </c>
      <c r="AD3196" s="4">
        <v>5</v>
      </c>
      <c r="AE3196" s="4">
        <v>151</v>
      </c>
      <c r="AF3196" s="4">
        <v>2</v>
      </c>
      <c r="AG3196" s="4">
        <v>7</v>
      </c>
      <c r="AH3196" s="4">
        <v>3</v>
      </c>
      <c r="AI3196" s="4">
        <v>112</v>
      </c>
      <c r="AJ3196" s="4">
        <v>4</v>
      </c>
      <c r="AK3196" s="4">
        <v>27</v>
      </c>
      <c r="AL3196" s="4">
        <v>1</v>
      </c>
      <c r="AM3196" s="4">
        <v>60</v>
      </c>
      <c r="AN3196" s="4">
        <v>0</v>
      </c>
      <c r="AO3196" s="4">
        <v>0</v>
      </c>
      <c r="AP3196" s="4">
        <v>5</v>
      </c>
      <c r="AQ3196" s="4">
        <v>45</v>
      </c>
      <c r="AR3196" s="3" t="s">
        <v>62</v>
      </c>
      <c r="AS3196" s="3" t="s">
        <v>62</v>
      </c>
      <c r="AT3196" s="3" t="s">
        <v>61</v>
      </c>
      <c r="AU3196" s="6" t="str">
        <f>HYPERLINK("http://catalog.hathitrust.org/Record/000032867","HathiTrust Record")</f>
        <v>HathiTrust Record</v>
      </c>
      <c r="AV3196" s="6" t="str">
        <f>HYPERLINK("http://mcgill.on.worldcat.org/oclc/226067659","Catalog Record")</f>
        <v>Catalog Record</v>
      </c>
      <c r="AW3196" s="6" t="str">
        <f>HYPERLINK("http://www.worldcat.org/oclc/226067659","WorldCat Record")</f>
        <v>WorldCat Record</v>
      </c>
      <c r="AX3196" s="3" t="s">
        <v>31135</v>
      </c>
      <c r="AY3196" s="3" t="s">
        <v>31136</v>
      </c>
      <c r="AZ3196" s="3" t="s">
        <v>31137</v>
      </c>
      <c r="BA3196" s="3" t="s">
        <v>31137</v>
      </c>
      <c r="BB3196" s="3" t="s">
        <v>31141</v>
      </c>
      <c r="BC3196" s="3" t="s">
        <v>142</v>
      </c>
      <c r="BD3196" s="3" t="s">
        <v>68</v>
      </c>
      <c r="BE3196" s="3" t="s">
        <v>31139</v>
      </c>
      <c r="BF3196" s="3" t="s">
        <v>31141</v>
      </c>
      <c r="BG3196" s="3" t="s">
        <v>31142</v>
      </c>
    </row>
    <row r="3197" spans="1:59" ht="57" x14ac:dyDescent="0.45">
      <c r="A3197" s="2" t="s">
        <v>59</v>
      </c>
      <c r="B3197" s="2" t="s">
        <v>60</v>
      </c>
      <c r="C3197" s="2" t="s">
        <v>31129</v>
      </c>
      <c r="D3197" s="2" t="s">
        <v>31130</v>
      </c>
      <c r="E3197" s="2" t="s">
        <v>31131</v>
      </c>
      <c r="G3197" s="3" t="s">
        <v>62</v>
      </c>
      <c r="I3197" s="3" t="s">
        <v>61</v>
      </c>
      <c r="J3197" s="3" t="s">
        <v>61</v>
      </c>
      <c r="K3197" s="3" t="s">
        <v>63</v>
      </c>
      <c r="L3197" s="2" t="s">
        <v>651</v>
      </c>
      <c r="M3197" s="2" t="s">
        <v>31132</v>
      </c>
      <c r="N3197" s="3" t="s">
        <v>1073</v>
      </c>
      <c r="O3197" s="2" t="s">
        <v>168</v>
      </c>
      <c r="P3197" s="3" t="s">
        <v>65</v>
      </c>
      <c r="R3197" s="3" t="s">
        <v>66</v>
      </c>
      <c r="S3197" s="4">
        <v>52</v>
      </c>
      <c r="T3197" s="4">
        <v>119</v>
      </c>
      <c r="U3197" s="5" t="s">
        <v>31134</v>
      </c>
      <c r="V3197" s="5" t="s">
        <v>31134</v>
      </c>
      <c r="W3197" s="5" t="s">
        <v>67</v>
      </c>
      <c r="X3197" s="5" t="s">
        <v>67</v>
      </c>
      <c r="Y3197" s="4">
        <v>20</v>
      </c>
      <c r="Z3197" s="4">
        <v>8</v>
      </c>
      <c r="AA3197" s="4">
        <v>77</v>
      </c>
      <c r="AB3197" s="4">
        <v>3</v>
      </c>
      <c r="AC3197" s="4">
        <v>11</v>
      </c>
      <c r="AD3197" s="4">
        <v>5</v>
      </c>
      <c r="AE3197" s="4">
        <v>151</v>
      </c>
      <c r="AF3197" s="4">
        <v>2</v>
      </c>
      <c r="AG3197" s="4">
        <v>7</v>
      </c>
      <c r="AH3197" s="4">
        <v>3</v>
      </c>
      <c r="AI3197" s="4">
        <v>112</v>
      </c>
      <c r="AJ3197" s="4">
        <v>4</v>
      </c>
      <c r="AK3197" s="4">
        <v>27</v>
      </c>
      <c r="AL3197" s="4">
        <v>1</v>
      </c>
      <c r="AM3197" s="4">
        <v>60</v>
      </c>
      <c r="AN3197" s="4">
        <v>0</v>
      </c>
      <c r="AO3197" s="4">
        <v>0</v>
      </c>
      <c r="AP3197" s="4">
        <v>5</v>
      </c>
      <c r="AQ3197" s="4">
        <v>45</v>
      </c>
      <c r="AR3197" s="3" t="s">
        <v>62</v>
      </c>
      <c r="AS3197" s="3" t="s">
        <v>62</v>
      </c>
      <c r="AT3197" s="3" t="s">
        <v>61</v>
      </c>
      <c r="AU3197" s="6" t="str">
        <f>HYPERLINK("http://catalog.hathitrust.org/Record/000032867","HathiTrust Record")</f>
        <v>HathiTrust Record</v>
      </c>
      <c r="AV3197" s="6" t="str">
        <f>HYPERLINK("http://mcgill.on.worldcat.org/oclc/226067659","Catalog Record")</f>
        <v>Catalog Record</v>
      </c>
      <c r="AW3197" s="6" t="str">
        <f>HYPERLINK("http://www.worldcat.org/oclc/226067659","WorldCat Record")</f>
        <v>WorldCat Record</v>
      </c>
      <c r="AX3197" s="3" t="s">
        <v>31135</v>
      </c>
      <c r="AY3197" s="3" t="s">
        <v>31136</v>
      </c>
      <c r="AZ3197" s="3" t="s">
        <v>31137</v>
      </c>
      <c r="BA3197" s="3" t="s">
        <v>31137</v>
      </c>
      <c r="BB3197" s="3" t="s">
        <v>31143</v>
      </c>
      <c r="BC3197" s="3" t="s">
        <v>142</v>
      </c>
      <c r="BD3197" s="3" t="s">
        <v>68</v>
      </c>
      <c r="BE3197" s="3" t="s">
        <v>31139</v>
      </c>
      <c r="BF3197" s="3" t="s">
        <v>31143</v>
      </c>
      <c r="BG3197" s="3" t="s">
        <v>31144</v>
      </c>
    </row>
    <row r="3198" spans="1:59" ht="57" x14ac:dyDescent="0.45">
      <c r="A3198" s="2" t="s">
        <v>59</v>
      </c>
      <c r="B3198" s="2" t="s">
        <v>412</v>
      </c>
      <c r="C3198" s="2" t="s">
        <v>31145</v>
      </c>
      <c r="D3198" s="2" t="s">
        <v>31146</v>
      </c>
      <c r="E3198" s="2" t="s">
        <v>31147</v>
      </c>
      <c r="G3198" s="3" t="s">
        <v>62</v>
      </c>
      <c r="I3198" s="3" t="s">
        <v>62</v>
      </c>
      <c r="J3198" s="3" t="s">
        <v>62</v>
      </c>
      <c r="K3198" s="3" t="s">
        <v>63</v>
      </c>
      <c r="L3198" s="2" t="s">
        <v>651</v>
      </c>
      <c r="M3198" s="2" t="s">
        <v>31148</v>
      </c>
      <c r="N3198" s="3" t="s">
        <v>122</v>
      </c>
      <c r="P3198" s="3" t="s">
        <v>110</v>
      </c>
      <c r="Q3198" s="2" t="s">
        <v>31149</v>
      </c>
      <c r="R3198" s="3" t="s">
        <v>66</v>
      </c>
      <c r="S3198" s="4">
        <v>4</v>
      </c>
      <c r="T3198" s="4">
        <v>4</v>
      </c>
      <c r="U3198" s="5" t="s">
        <v>169</v>
      </c>
      <c r="V3198" s="5" t="s">
        <v>169</v>
      </c>
      <c r="W3198" s="5" t="s">
        <v>67</v>
      </c>
      <c r="X3198" s="5" t="s">
        <v>67</v>
      </c>
      <c r="Y3198" s="4">
        <v>31</v>
      </c>
      <c r="Z3198" s="4">
        <v>4</v>
      </c>
      <c r="AA3198" s="4">
        <v>4</v>
      </c>
      <c r="AB3198" s="4">
        <v>1</v>
      </c>
      <c r="AC3198" s="4">
        <v>1</v>
      </c>
      <c r="AD3198" s="4">
        <v>6</v>
      </c>
      <c r="AE3198" s="4">
        <v>6</v>
      </c>
      <c r="AF3198" s="4">
        <v>0</v>
      </c>
      <c r="AG3198" s="4">
        <v>0</v>
      </c>
      <c r="AH3198" s="4">
        <v>3</v>
      </c>
      <c r="AI3198" s="4">
        <v>3</v>
      </c>
      <c r="AJ3198" s="4">
        <v>2</v>
      </c>
      <c r="AK3198" s="4">
        <v>2</v>
      </c>
      <c r="AL3198" s="4">
        <v>2</v>
      </c>
      <c r="AM3198" s="4">
        <v>2</v>
      </c>
      <c r="AN3198" s="4">
        <v>0</v>
      </c>
      <c r="AO3198" s="4">
        <v>0</v>
      </c>
      <c r="AP3198" s="4">
        <v>3</v>
      </c>
      <c r="AQ3198" s="4">
        <v>3</v>
      </c>
      <c r="AR3198" s="3" t="s">
        <v>62</v>
      </c>
      <c r="AS3198" s="3" t="s">
        <v>62</v>
      </c>
      <c r="AT3198" s="3" t="s">
        <v>61</v>
      </c>
      <c r="AU3198" s="6" t="str">
        <f>HYPERLINK("http://catalog.hathitrust.org/Record/008387832","HathiTrust Record")</f>
        <v>HathiTrust Record</v>
      </c>
      <c r="AV3198" s="6" t="str">
        <f>HYPERLINK("http://mcgill.on.worldcat.org/oclc/3461292","Catalog Record")</f>
        <v>Catalog Record</v>
      </c>
      <c r="AW3198" s="6" t="str">
        <f>HYPERLINK("http://www.worldcat.org/oclc/3461292","WorldCat Record")</f>
        <v>WorldCat Record</v>
      </c>
      <c r="AX3198" s="3" t="s">
        <v>31150</v>
      </c>
      <c r="AY3198" s="3" t="s">
        <v>31151</v>
      </c>
      <c r="AZ3198" s="3" t="s">
        <v>31152</v>
      </c>
      <c r="BA3198" s="3" t="s">
        <v>31152</v>
      </c>
      <c r="BB3198" s="3" t="s">
        <v>31153</v>
      </c>
      <c r="BC3198" s="3" t="s">
        <v>142</v>
      </c>
      <c r="BD3198" s="3" t="s">
        <v>68</v>
      </c>
      <c r="BE3198" s="3" t="s">
        <v>31154</v>
      </c>
      <c r="BF3198" s="3" t="s">
        <v>31153</v>
      </c>
      <c r="BG3198" s="3" t="s">
        <v>31155</v>
      </c>
    </row>
    <row r="3199" spans="1:59" ht="57" x14ac:dyDescent="0.45">
      <c r="A3199" s="2" t="s">
        <v>59</v>
      </c>
      <c r="B3199" s="2" t="s">
        <v>60</v>
      </c>
      <c r="C3199" s="2" t="s">
        <v>31156</v>
      </c>
      <c r="D3199" s="2" t="s">
        <v>31157</v>
      </c>
      <c r="E3199" s="2" t="s">
        <v>31158</v>
      </c>
      <c r="G3199" s="3" t="s">
        <v>62</v>
      </c>
      <c r="I3199" s="3" t="s">
        <v>61</v>
      </c>
      <c r="J3199" s="3" t="s">
        <v>61</v>
      </c>
      <c r="K3199" s="3" t="s">
        <v>63</v>
      </c>
      <c r="L3199" s="2" t="s">
        <v>651</v>
      </c>
      <c r="M3199" s="2" t="s">
        <v>31159</v>
      </c>
      <c r="N3199" s="3" t="s">
        <v>127</v>
      </c>
      <c r="P3199" s="3" t="s">
        <v>65</v>
      </c>
      <c r="R3199" s="3" t="s">
        <v>66</v>
      </c>
      <c r="S3199" s="4">
        <v>15</v>
      </c>
      <c r="T3199" s="4">
        <v>106</v>
      </c>
      <c r="U3199" s="5" t="s">
        <v>31134</v>
      </c>
      <c r="V3199" s="5" t="s">
        <v>31160</v>
      </c>
      <c r="W3199" s="5" t="s">
        <v>67</v>
      </c>
      <c r="X3199" s="5" t="s">
        <v>67</v>
      </c>
      <c r="Y3199" s="4">
        <v>759</v>
      </c>
      <c r="Z3199" s="4">
        <v>50</v>
      </c>
      <c r="AA3199" s="4">
        <v>146</v>
      </c>
      <c r="AB3199" s="4">
        <v>3</v>
      </c>
      <c r="AC3199" s="4">
        <v>24</v>
      </c>
      <c r="AD3199" s="4">
        <v>130</v>
      </c>
      <c r="AE3199" s="4">
        <v>174</v>
      </c>
      <c r="AF3199" s="4">
        <v>1</v>
      </c>
      <c r="AG3199" s="4">
        <v>9</v>
      </c>
      <c r="AH3199" s="4">
        <v>104</v>
      </c>
      <c r="AI3199" s="4">
        <v>117</v>
      </c>
      <c r="AJ3199" s="4">
        <v>22</v>
      </c>
      <c r="AK3199" s="4">
        <v>30</v>
      </c>
      <c r="AL3199" s="4">
        <v>56</v>
      </c>
      <c r="AM3199" s="4">
        <v>62</v>
      </c>
      <c r="AN3199" s="4">
        <v>0</v>
      </c>
      <c r="AO3199" s="4">
        <v>0</v>
      </c>
      <c r="AP3199" s="4">
        <v>35</v>
      </c>
      <c r="AQ3199" s="4">
        <v>62</v>
      </c>
      <c r="AR3199" s="3" t="s">
        <v>62</v>
      </c>
      <c r="AS3199" s="3" t="s">
        <v>62</v>
      </c>
      <c r="AT3199" s="3" t="s">
        <v>61</v>
      </c>
      <c r="AU3199" s="6" t="str">
        <f t="shared" ref="AU3199:AU3207" si="38">HYPERLINK("http://catalog.hathitrust.org/Record/001180921","HathiTrust Record")</f>
        <v>HathiTrust Record</v>
      </c>
      <c r="AV3199" s="6" t="str">
        <f t="shared" ref="AV3199:AV3207" si="39">HYPERLINK("http://mcgill.on.worldcat.org/oclc/265760","Catalog Record")</f>
        <v>Catalog Record</v>
      </c>
      <c r="AW3199" s="6" t="str">
        <f t="shared" ref="AW3199:AW3207" si="40">HYPERLINK("http://www.worldcat.org/oclc/265760","WorldCat Record")</f>
        <v>WorldCat Record</v>
      </c>
      <c r="AX3199" s="3" t="s">
        <v>31161</v>
      </c>
      <c r="AY3199" s="3" t="s">
        <v>31162</v>
      </c>
      <c r="AZ3199" s="3" t="s">
        <v>31163</v>
      </c>
      <c r="BA3199" s="3" t="s">
        <v>31163</v>
      </c>
      <c r="BB3199" s="3" t="s">
        <v>31164</v>
      </c>
      <c r="BC3199" s="3" t="s">
        <v>142</v>
      </c>
      <c r="BD3199" s="3" t="s">
        <v>68</v>
      </c>
      <c r="BE3199" s="3" t="s">
        <v>31165</v>
      </c>
      <c r="BF3199" s="3" t="s">
        <v>31164</v>
      </c>
      <c r="BG3199" s="3" t="s">
        <v>31166</v>
      </c>
    </row>
    <row r="3200" spans="1:59" ht="57" x14ac:dyDescent="0.45">
      <c r="A3200" s="2" t="s">
        <v>59</v>
      </c>
      <c r="B3200" s="2" t="s">
        <v>60</v>
      </c>
      <c r="C3200" s="2" t="s">
        <v>31156</v>
      </c>
      <c r="D3200" s="2" t="s">
        <v>31157</v>
      </c>
      <c r="E3200" s="2" t="s">
        <v>31158</v>
      </c>
      <c r="G3200" s="3" t="s">
        <v>62</v>
      </c>
      <c r="I3200" s="3" t="s">
        <v>61</v>
      </c>
      <c r="J3200" s="3" t="s">
        <v>61</v>
      </c>
      <c r="K3200" s="3" t="s">
        <v>63</v>
      </c>
      <c r="L3200" s="2" t="s">
        <v>651</v>
      </c>
      <c r="M3200" s="2" t="s">
        <v>31159</v>
      </c>
      <c r="N3200" s="3" t="s">
        <v>127</v>
      </c>
      <c r="P3200" s="3" t="s">
        <v>65</v>
      </c>
      <c r="R3200" s="3" t="s">
        <v>66</v>
      </c>
      <c r="S3200" s="4">
        <v>0</v>
      </c>
      <c r="T3200" s="4">
        <v>106</v>
      </c>
      <c r="V3200" s="5" t="s">
        <v>31160</v>
      </c>
      <c r="W3200" s="5" t="s">
        <v>67</v>
      </c>
      <c r="X3200" s="5" t="s">
        <v>67</v>
      </c>
      <c r="Y3200" s="4">
        <v>759</v>
      </c>
      <c r="Z3200" s="4">
        <v>50</v>
      </c>
      <c r="AA3200" s="4">
        <v>146</v>
      </c>
      <c r="AB3200" s="4">
        <v>3</v>
      </c>
      <c r="AC3200" s="4">
        <v>24</v>
      </c>
      <c r="AD3200" s="4">
        <v>130</v>
      </c>
      <c r="AE3200" s="4">
        <v>174</v>
      </c>
      <c r="AF3200" s="4">
        <v>1</v>
      </c>
      <c r="AG3200" s="4">
        <v>9</v>
      </c>
      <c r="AH3200" s="4">
        <v>104</v>
      </c>
      <c r="AI3200" s="4">
        <v>117</v>
      </c>
      <c r="AJ3200" s="4">
        <v>22</v>
      </c>
      <c r="AK3200" s="4">
        <v>30</v>
      </c>
      <c r="AL3200" s="4">
        <v>56</v>
      </c>
      <c r="AM3200" s="4">
        <v>62</v>
      </c>
      <c r="AN3200" s="4">
        <v>0</v>
      </c>
      <c r="AO3200" s="4">
        <v>0</v>
      </c>
      <c r="AP3200" s="4">
        <v>35</v>
      </c>
      <c r="AQ3200" s="4">
        <v>62</v>
      </c>
      <c r="AR3200" s="3" t="s">
        <v>62</v>
      </c>
      <c r="AS3200" s="3" t="s">
        <v>62</v>
      </c>
      <c r="AT3200" s="3" t="s">
        <v>61</v>
      </c>
      <c r="AU3200" s="6" t="str">
        <f t="shared" si="38"/>
        <v>HathiTrust Record</v>
      </c>
      <c r="AV3200" s="6" t="str">
        <f t="shared" si="39"/>
        <v>Catalog Record</v>
      </c>
      <c r="AW3200" s="6" t="str">
        <f t="shared" si="40"/>
        <v>WorldCat Record</v>
      </c>
      <c r="AX3200" s="3" t="s">
        <v>31161</v>
      </c>
      <c r="AY3200" s="3" t="s">
        <v>31162</v>
      </c>
      <c r="AZ3200" s="3" t="s">
        <v>31163</v>
      </c>
      <c r="BA3200" s="3" t="s">
        <v>31163</v>
      </c>
      <c r="BB3200" s="3" t="s">
        <v>31167</v>
      </c>
      <c r="BC3200" s="3" t="s">
        <v>142</v>
      </c>
      <c r="BD3200" s="3" t="s">
        <v>68</v>
      </c>
      <c r="BE3200" s="3" t="s">
        <v>31165</v>
      </c>
      <c r="BF3200" s="3" t="s">
        <v>31167</v>
      </c>
      <c r="BG3200" s="3" t="s">
        <v>31168</v>
      </c>
    </row>
    <row r="3201" spans="1:59" ht="57" x14ac:dyDescent="0.45">
      <c r="A3201" s="2" t="s">
        <v>59</v>
      </c>
      <c r="B3201" s="2" t="s">
        <v>60</v>
      </c>
      <c r="C3201" s="2" t="s">
        <v>31156</v>
      </c>
      <c r="D3201" s="2" t="s">
        <v>31157</v>
      </c>
      <c r="E3201" s="2" t="s">
        <v>31158</v>
      </c>
      <c r="G3201" s="3" t="s">
        <v>62</v>
      </c>
      <c r="I3201" s="3" t="s">
        <v>61</v>
      </c>
      <c r="J3201" s="3" t="s">
        <v>61</v>
      </c>
      <c r="K3201" s="3" t="s">
        <v>63</v>
      </c>
      <c r="L3201" s="2" t="s">
        <v>651</v>
      </c>
      <c r="M3201" s="2" t="s">
        <v>31159</v>
      </c>
      <c r="N3201" s="3" t="s">
        <v>127</v>
      </c>
      <c r="P3201" s="3" t="s">
        <v>65</v>
      </c>
      <c r="R3201" s="3" t="s">
        <v>66</v>
      </c>
      <c r="S3201" s="4">
        <v>33</v>
      </c>
      <c r="T3201" s="4">
        <v>106</v>
      </c>
      <c r="U3201" s="5" t="s">
        <v>31160</v>
      </c>
      <c r="V3201" s="5" t="s">
        <v>31160</v>
      </c>
      <c r="W3201" s="5" t="s">
        <v>67</v>
      </c>
      <c r="X3201" s="5" t="s">
        <v>67</v>
      </c>
      <c r="Y3201" s="4">
        <v>759</v>
      </c>
      <c r="Z3201" s="4">
        <v>50</v>
      </c>
      <c r="AA3201" s="4">
        <v>146</v>
      </c>
      <c r="AB3201" s="4">
        <v>3</v>
      </c>
      <c r="AC3201" s="4">
        <v>24</v>
      </c>
      <c r="AD3201" s="4">
        <v>130</v>
      </c>
      <c r="AE3201" s="4">
        <v>174</v>
      </c>
      <c r="AF3201" s="4">
        <v>1</v>
      </c>
      <c r="AG3201" s="4">
        <v>9</v>
      </c>
      <c r="AH3201" s="4">
        <v>104</v>
      </c>
      <c r="AI3201" s="4">
        <v>117</v>
      </c>
      <c r="AJ3201" s="4">
        <v>22</v>
      </c>
      <c r="AK3201" s="4">
        <v>30</v>
      </c>
      <c r="AL3201" s="4">
        <v>56</v>
      </c>
      <c r="AM3201" s="4">
        <v>62</v>
      </c>
      <c r="AN3201" s="4">
        <v>0</v>
      </c>
      <c r="AO3201" s="4">
        <v>0</v>
      </c>
      <c r="AP3201" s="4">
        <v>35</v>
      </c>
      <c r="AQ3201" s="4">
        <v>62</v>
      </c>
      <c r="AR3201" s="3" t="s">
        <v>62</v>
      </c>
      <c r="AS3201" s="3" t="s">
        <v>62</v>
      </c>
      <c r="AT3201" s="3" t="s">
        <v>61</v>
      </c>
      <c r="AU3201" s="6" t="str">
        <f t="shared" si="38"/>
        <v>HathiTrust Record</v>
      </c>
      <c r="AV3201" s="6" t="str">
        <f t="shared" si="39"/>
        <v>Catalog Record</v>
      </c>
      <c r="AW3201" s="6" t="str">
        <f t="shared" si="40"/>
        <v>WorldCat Record</v>
      </c>
      <c r="AX3201" s="3" t="s">
        <v>31161</v>
      </c>
      <c r="AY3201" s="3" t="s">
        <v>31162</v>
      </c>
      <c r="AZ3201" s="3" t="s">
        <v>31163</v>
      </c>
      <c r="BA3201" s="3" t="s">
        <v>31163</v>
      </c>
      <c r="BB3201" s="3" t="s">
        <v>31169</v>
      </c>
      <c r="BC3201" s="3" t="s">
        <v>142</v>
      </c>
      <c r="BD3201" s="3" t="s">
        <v>68</v>
      </c>
      <c r="BE3201" s="3" t="s">
        <v>31165</v>
      </c>
      <c r="BF3201" s="3" t="s">
        <v>31169</v>
      </c>
      <c r="BG3201" s="3" t="s">
        <v>31170</v>
      </c>
    </row>
    <row r="3202" spans="1:59" ht="57" x14ac:dyDescent="0.45">
      <c r="A3202" s="2" t="s">
        <v>59</v>
      </c>
      <c r="B3202" s="2" t="s">
        <v>60</v>
      </c>
      <c r="C3202" s="2" t="s">
        <v>31156</v>
      </c>
      <c r="D3202" s="2" t="s">
        <v>31157</v>
      </c>
      <c r="E3202" s="2" t="s">
        <v>31158</v>
      </c>
      <c r="G3202" s="3" t="s">
        <v>62</v>
      </c>
      <c r="I3202" s="3" t="s">
        <v>61</v>
      </c>
      <c r="J3202" s="3" t="s">
        <v>61</v>
      </c>
      <c r="K3202" s="3" t="s">
        <v>63</v>
      </c>
      <c r="L3202" s="2" t="s">
        <v>651</v>
      </c>
      <c r="M3202" s="2" t="s">
        <v>31159</v>
      </c>
      <c r="N3202" s="3" t="s">
        <v>127</v>
      </c>
      <c r="P3202" s="3" t="s">
        <v>65</v>
      </c>
      <c r="R3202" s="3" t="s">
        <v>66</v>
      </c>
      <c r="S3202" s="4">
        <v>18</v>
      </c>
      <c r="T3202" s="4">
        <v>106</v>
      </c>
      <c r="U3202" s="5" t="s">
        <v>31171</v>
      </c>
      <c r="V3202" s="5" t="s">
        <v>31160</v>
      </c>
      <c r="W3202" s="5" t="s">
        <v>67</v>
      </c>
      <c r="X3202" s="5" t="s">
        <v>67</v>
      </c>
      <c r="Y3202" s="4">
        <v>759</v>
      </c>
      <c r="Z3202" s="4">
        <v>50</v>
      </c>
      <c r="AA3202" s="4">
        <v>146</v>
      </c>
      <c r="AB3202" s="4">
        <v>3</v>
      </c>
      <c r="AC3202" s="4">
        <v>24</v>
      </c>
      <c r="AD3202" s="4">
        <v>130</v>
      </c>
      <c r="AE3202" s="4">
        <v>174</v>
      </c>
      <c r="AF3202" s="4">
        <v>1</v>
      </c>
      <c r="AG3202" s="4">
        <v>9</v>
      </c>
      <c r="AH3202" s="4">
        <v>104</v>
      </c>
      <c r="AI3202" s="4">
        <v>117</v>
      </c>
      <c r="AJ3202" s="4">
        <v>22</v>
      </c>
      <c r="AK3202" s="4">
        <v>30</v>
      </c>
      <c r="AL3202" s="4">
        <v>56</v>
      </c>
      <c r="AM3202" s="4">
        <v>62</v>
      </c>
      <c r="AN3202" s="4">
        <v>0</v>
      </c>
      <c r="AO3202" s="4">
        <v>0</v>
      </c>
      <c r="AP3202" s="4">
        <v>35</v>
      </c>
      <c r="AQ3202" s="4">
        <v>62</v>
      </c>
      <c r="AR3202" s="3" t="s">
        <v>62</v>
      </c>
      <c r="AS3202" s="3" t="s">
        <v>62</v>
      </c>
      <c r="AT3202" s="3" t="s">
        <v>61</v>
      </c>
      <c r="AU3202" s="6" t="str">
        <f t="shared" si="38"/>
        <v>HathiTrust Record</v>
      </c>
      <c r="AV3202" s="6" t="str">
        <f t="shared" si="39"/>
        <v>Catalog Record</v>
      </c>
      <c r="AW3202" s="6" t="str">
        <f t="shared" si="40"/>
        <v>WorldCat Record</v>
      </c>
      <c r="AX3202" s="3" t="s">
        <v>31161</v>
      </c>
      <c r="AY3202" s="3" t="s">
        <v>31162</v>
      </c>
      <c r="AZ3202" s="3" t="s">
        <v>31163</v>
      </c>
      <c r="BA3202" s="3" t="s">
        <v>31163</v>
      </c>
      <c r="BB3202" s="3" t="s">
        <v>31172</v>
      </c>
      <c r="BC3202" s="3" t="s">
        <v>142</v>
      </c>
      <c r="BD3202" s="3" t="s">
        <v>68</v>
      </c>
      <c r="BE3202" s="3" t="s">
        <v>31165</v>
      </c>
      <c r="BF3202" s="3" t="s">
        <v>31172</v>
      </c>
      <c r="BG3202" s="3" t="s">
        <v>31173</v>
      </c>
    </row>
    <row r="3203" spans="1:59" ht="57" x14ac:dyDescent="0.45">
      <c r="A3203" s="2" t="s">
        <v>59</v>
      </c>
      <c r="B3203" s="2" t="s">
        <v>60</v>
      </c>
      <c r="C3203" s="2" t="s">
        <v>31156</v>
      </c>
      <c r="D3203" s="2" t="s">
        <v>31157</v>
      </c>
      <c r="E3203" s="2" t="s">
        <v>31158</v>
      </c>
      <c r="G3203" s="3" t="s">
        <v>62</v>
      </c>
      <c r="I3203" s="3" t="s">
        <v>61</v>
      </c>
      <c r="J3203" s="3" t="s">
        <v>61</v>
      </c>
      <c r="K3203" s="3" t="s">
        <v>63</v>
      </c>
      <c r="L3203" s="2" t="s">
        <v>651</v>
      </c>
      <c r="M3203" s="2" t="s">
        <v>31159</v>
      </c>
      <c r="N3203" s="3" t="s">
        <v>127</v>
      </c>
      <c r="P3203" s="3" t="s">
        <v>65</v>
      </c>
      <c r="R3203" s="3" t="s">
        <v>66</v>
      </c>
      <c r="S3203" s="4">
        <v>0</v>
      </c>
      <c r="T3203" s="4">
        <v>106</v>
      </c>
      <c r="V3203" s="5" t="s">
        <v>31160</v>
      </c>
      <c r="W3203" s="5" t="s">
        <v>67</v>
      </c>
      <c r="X3203" s="5" t="s">
        <v>67</v>
      </c>
      <c r="Y3203" s="4">
        <v>759</v>
      </c>
      <c r="Z3203" s="4">
        <v>50</v>
      </c>
      <c r="AA3203" s="4">
        <v>146</v>
      </c>
      <c r="AB3203" s="4">
        <v>3</v>
      </c>
      <c r="AC3203" s="4">
        <v>24</v>
      </c>
      <c r="AD3203" s="4">
        <v>130</v>
      </c>
      <c r="AE3203" s="4">
        <v>174</v>
      </c>
      <c r="AF3203" s="4">
        <v>1</v>
      </c>
      <c r="AG3203" s="4">
        <v>9</v>
      </c>
      <c r="AH3203" s="4">
        <v>104</v>
      </c>
      <c r="AI3203" s="4">
        <v>117</v>
      </c>
      <c r="AJ3203" s="4">
        <v>22</v>
      </c>
      <c r="AK3203" s="4">
        <v>30</v>
      </c>
      <c r="AL3203" s="4">
        <v>56</v>
      </c>
      <c r="AM3203" s="4">
        <v>62</v>
      </c>
      <c r="AN3203" s="4">
        <v>0</v>
      </c>
      <c r="AO3203" s="4">
        <v>0</v>
      </c>
      <c r="AP3203" s="4">
        <v>35</v>
      </c>
      <c r="AQ3203" s="4">
        <v>62</v>
      </c>
      <c r="AR3203" s="3" t="s">
        <v>62</v>
      </c>
      <c r="AS3203" s="3" t="s">
        <v>62</v>
      </c>
      <c r="AT3203" s="3" t="s">
        <v>61</v>
      </c>
      <c r="AU3203" s="6" t="str">
        <f t="shared" si="38"/>
        <v>HathiTrust Record</v>
      </c>
      <c r="AV3203" s="6" t="str">
        <f t="shared" si="39"/>
        <v>Catalog Record</v>
      </c>
      <c r="AW3203" s="6" t="str">
        <f t="shared" si="40"/>
        <v>WorldCat Record</v>
      </c>
      <c r="AX3203" s="3" t="s">
        <v>31161</v>
      </c>
      <c r="AY3203" s="3" t="s">
        <v>31162</v>
      </c>
      <c r="AZ3203" s="3" t="s">
        <v>31163</v>
      </c>
      <c r="BA3203" s="3" t="s">
        <v>31163</v>
      </c>
      <c r="BB3203" s="3" t="s">
        <v>31174</v>
      </c>
      <c r="BC3203" s="3" t="s">
        <v>142</v>
      </c>
      <c r="BD3203" s="3" t="s">
        <v>68</v>
      </c>
      <c r="BE3203" s="3" t="s">
        <v>31165</v>
      </c>
      <c r="BF3203" s="3" t="s">
        <v>31174</v>
      </c>
      <c r="BG3203" s="3" t="s">
        <v>31175</v>
      </c>
    </row>
    <row r="3204" spans="1:59" ht="57" x14ac:dyDescent="0.45">
      <c r="A3204" s="2" t="s">
        <v>59</v>
      </c>
      <c r="B3204" s="2" t="s">
        <v>60</v>
      </c>
      <c r="C3204" s="2" t="s">
        <v>31156</v>
      </c>
      <c r="D3204" s="2" t="s">
        <v>31157</v>
      </c>
      <c r="E3204" s="2" t="s">
        <v>31158</v>
      </c>
      <c r="G3204" s="3" t="s">
        <v>62</v>
      </c>
      <c r="I3204" s="3" t="s">
        <v>61</v>
      </c>
      <c r="J3204" s="3" t="s">
        <v>61</v>
      </c>
      <c r="K3204" s="3" t="s">
        <v>63</v>
      </c>
      <c r="L3204" s="2" t="s">
        <v>651</v>
      </c>
      <c r="M3204" s="2" t="s">
        <v>31159</v>
      </c>
      <c r="N3204" s="3" t="s">
        <v>127</v>
      </c>
      <c r="P3204" s="3" t="s">
        <v>65</v>
      </c>
      <c r="R3204" s="3" t="s">
        <v>66</v>
      </c>
      <c r="S3204" s="4">
        <v>0</v>
      </c>
      <c r="T3204" s="4">
        <v>106</v>
      </c>
      <c r="V3204" s="5" t="s">
        <v>31160</v>
      </c>
      <c r="W3204" s="5" t="s">
        <v>67</v>
      </c>
      <c r="X3204" s="5" t="s">
        <v>67</v>
      </c>
      <c r="Y3204" s="4">
        <v>759</v>
      </c>
      <c r="Z3204" s="4">
        <v>50</v>
      </c>
      <c r="AA3204" s="4">
        <v>146</v>
      </c>
      <c r="AB3204" s="4">
        <v>3</v>
      </c>
      <c r="AC3204" s="4">
        <v>24</v>
      </c>
      <c r="AD3204" s="4">
        <v>130</v>
      </c>
      <c r="AE3204" s="4">
        <v>174</v>
      </c>
      <c r="AF3204" s="4">
        <v>1</v>
      </c>
      <c r="AG3204" s="4">
        <v>9</v>
      </c>
      <c r="AH3204" s="4">
        <v>104</v>
      </c>
      <c r="AI3204" s="4">
        <v>117</v>
      </c>
      <c r="AJ3204" s="4">
        <v>22</v>
      </c>
      <c r="AK3204" s="4">
        <v>30</v>
      </c>
      <c r="AL3204" s="4">
        <v>56</v>
      </c>
      <c r="AM3204" s="4">
        <v>62</v>
      </c>
      <c r="AN3204" s="4">
        <v>0</v>
      </c>
      <c r="AO3204" s="4">
        <v>0</v>
      </c>
      <c r="AP3204" s="4">
        <v>35</v>
      </c>
      <c r="AQ3204" s="4">
        <v>62</v>
      </c>
      <c r="AR3204" s="3" t="s">
        <v>62</v>
      </c>
      <c r="AS3204" s="3" t="s">
        <v>62</v>
      </c>
      <c r="AT3204" s="3" t="s">
        <v>61</v>
      </c>
      <c r="AU3204" s="6" t="str">
        <f t="shared" si="38"/>
        <v>HathiTrust Record</v>
      </c>
      <c r="AV3204" s="6" t="str">
        <f t="shared" si="39"/>
        <v>Catalog Record</v>
      </c>
      <c r="AW3204" s="6" t="str">
        <f t="shared" si="40"/>
        <v>WorldCat Record</v>
      </c>
      <c r="AX3204" s="3" t="s">
        <v>31161</v>
      </c>
      <c r="AY3204" s="3" t="s">
        <v>31162</v>
      </c>
      <c r="AZ3204" s="3" t="s">
        <v>31163</v>
      </c>
      <c r="BA3204" s="3" t="s">
        <v>31163</v>
      </c>
      <c r="BB3204" s="3" t="s">
        <v>31176</v>
      </c>
      <c r="BC3204" s="3" t="s">
        <v>142</v>
      </c>
      <c r="BD3204" s="3" t="s">
        <v>68</v>
      </c>
      <c r="BE3204" s="3" t="s">
        <v>31165</v>
      </c>
      <c r="BF3204" s="3" t="s">
        <v>31176</v>
      </c>
      <c r="BG3204" s="3" t="s">
        <v>31177</v>
      </c>
    </row>
    <row r="3205" spans="1:59" ht="57" x14ac:dyDescent="0.45">
      <c r="A3205" s="2" t="s">
        <v>59</v>
      </c>
      <c r="B3205" s="2" t="s">
        <v>412</v>
      </c>
      <c r="C3205" s="2" t="s">
        <v>31156</v>
      </c>
      <c r="D3205" s="2" t="s">
        <v>31157</v>
      </c>
      <c r="E3205" s="2" t="s">
        <v>31158</v>
      </c>
      <c r="G3205" s="3" t="s">
        <v>62</v>
      </c>
      <c r="I3205" s="3" t="s">
        <v>61</v>
      </c>
      <c r="J3205" s="3" t="s">
        <v>61</v>
      </c>
      <c r="K3205" s="3" t="s">
        <v>63</v>
      </c>
      <c r="L3205" s="2" t="s">
        <v>651</v>
      </c>
      <c r="M3205" s="2" t="s">
        <v>31159</v>
      </c>
      <c r="N3205" s="3" t="s">
        <v>127</v>
      </c>
      <c r="P3205" s="3" t="s">
        <v>65</v>
      </c>
      <c r="R3205" s="3" t="s">
        <v>66</v>
      </c>
      <c r="S3205" s="4">
        <v>4</v>
      </c>
      <c r="T3205" s="4">
        <v>106</v>
      </c>
      <c r="U3205" s="5" t="s">
        <v>31178</v>
      </c>
      <c r="V3205" s="5" t="s">
        <v>31160</v>
      </c>
      <c r="W3205" s="5" t="s">
        <v>67</v>
      </c>
      <c r="X3205" s="5" t="s">
        <v>67</v>
      </c>
      <c r="Y3205" s="4">
        <v>759</v>
      </c>
      <c r="Z3205" s="4">
        <v>50</v>
      </c>
      <c r="AA3205" s="4">
        <v>146</v>
      </c>
      <c r="AB3205" s="4">
        <v>3</v>
      </c>
      <c r="AC3205" s="4">
        <v>24</v>
      </c>
      <c r="AD3205" s="4">
        <v>130</v>
      </c>
      <c r="AE3205" s="4">
        <v>174</v>
      </c>
      <c r="AF3205" s="4">
        <v>1</v>
      </c>
      <c r="AG3205" s="4">
        <v>9</v>
      </c>
      <c r="AH3205" s="4">
        <v>104</v>
      </c>
      <c r="AI3205" s="4">
        <v>117</v>
      </c>
      <c r="AJ3205" s="4">
        <v>22</v>
      </c>
      <c r="AK3205" s="4">
        <v>30</v>
      </c>
      <c r="AL3205" s="4">
        <v>56</v>
      </c>
      <c r="AM3205" s="4">
        <v>62</v>
      </c>
      <c r="AN3205" s="4">
        <v>0</v>
      </c>
      <c r="AO3205" s="4">
        <v>0</v>
      </c>
      <c r="AP3205" s="4">
        <v>35</v>
      </c>
      <c r="AQ3205" s="4">
        <v>62</v>
      </c>
      <c r="AR3205" s="3" t="s">
        <v>62</v>
      </c>
      <c r="AS3205" s="3" t="s">
        <v>62</v>
      </c>
      <c r="AT3205" s="3" t="s">
        <v>61</v>
      </c>
      <c r="AU3205" s="6" t="str">
        <f t="shared" si="38"/>
        <v>HathiTrust Record</v>
      </c>
      <c r="AV3205" s="6" t="str">
        <f t="shared" si="39"/>
        <v>Catalog Record</v>
      </c>
      <c r="AW3205" s="6" t="str">
        <f t="shared" si="40"/>
        <v>WorldCat Record</v>
      </c>
      <c r="AX3205" s="3" t="s">
        <v>31161</v>
      </c>
      <c r="AY3205" s="3" t="s">
        <v>31162</v>
      </c>
      <c r="AZ3205" s="3" t="s">
        <v>31163</v>
      </c>
      <c r="BA3205" s="3" t="s">
        <v>31163</v>
      </c>
      <c r="BB3205" s="3" t="s">
        <v>31179</v>
      </c>
      <c r="BC3205" s="3" t="s">
        <v>142</v>
      </c>
      <c r="BD3205" s="3" t="s">
        <v>68</v>
      </c>
      <c r="BE3205" s="3" t="s">
        <v>31165</v>
      </c>
      <c r="BF3205" s="3" t="s">
        <v>31179</v>
      </c>
      <c r="BG3205" s="3" t="s">
        <v>31180</v>
      </c>
    </row>
    <row r="3206" spans="1:59" ht="57" x14ac:dyDescent="0.45">
      <c r="A3206" s="2" t="s">
        <v>59</v>
      </c>
      <c r="B3206" s="2" t="s">
        <v>60</v>
      </c>
      <c r="C3206" s="2" t="s">
        <v>31156</v>
      </c>
      <c r="D3206" s="2" t="s">
        <v>31157</v>
      </c>
      <c r="E3206" s="2" t="s">
        <v>31158</v>
      </c>
      <c r="G3206" s="3" t="s">
        <v>62</v>
      </c>
      <c r="I3206" s="3" t="s">
        <v>61</v>
      </c>
      <c r="J3206" s="3" t="s">
        <v>61</v>
      </c>
      <c r="K3206" s="3" t="s">
        <v>63</v>
      </c>
      <c r="L3206" s="2" t="s">
        <v>651</v>
      </c>
      <c r="M3206" s="2" t="s">
        <v>31159</v>
      </c>
      <c r="N3206" s="3" t="s">
        <v>127</v>
      </c>
      <c r="P3206" s="3" t="s">
        <v>65</v>
      </c>
      <c r="R3206" s="3" t="s">
        <v>66</v>
      </c>
      <c r="S3206" s="4">
        <v>22</v>
      </c>
      <c r="T3206" s="4">
        <v>106</v>
      </c>
      <c r="U3206" s="5" t="s">
        <v>31181</v>
      </c>
      <c r="V3206" s="5" t="s">
        <v>31160</v>
      </c>
      <c r="W3206" s="5" t="s">
        <v>67</v>
      </c>
      <c r="X3206" s="5" t="s">
        <v>67</v>
      </c>
      <c r="Y3206" s="4">
        <v>759</v>
      </c>
      <c r="Z3206" s="4">
        <v>50</v>
      </c>
      <c r="AA3206" s="4">
        <v>146</v>
      </c>
      <c r="AB3206" s="4">
        <v>3</v>
      </c>
      <c r="AC3206" s="4">
        <v>24</v>
      </c>
      <c r="AD3206" s="4">
        <v>130</v>
      </c>
      <c r="AE3206" s="4">
        <v>174</v>
      </c>
      <c r="AF3206" s="4">
        <v>1</v>
      </c>
      <c r="AG3206" s="4">
        <v>9</v>
      </c>
      <c r="AH3206" s="4">
        <v>104</v>
      </c>
      <c r="AI3206" s="4">
        <v>117</v>
      </c>
      <c r="AJ3206" s="4">
        <v>22</v>
      </c>
      <c r="AK3206" s="4">
        <v>30</v>
      </c>
      <c r="AL3206" s="4">
        <v>56</v>
      </c>
      <c r="AM3206" s="4">
        <v>62</v>
      </c>
      <c r="AN3206" s="4">
        <v>0</v>
      </c>
      <c r="AO3206" s="4">
        <v>0</v>
      </c>
      <c r="AP3206" s="4">
        <v>35</v>
      </c>
      <c r="AQ3206" s="4">
        <v>62</v>
      </c>
      <c r="AR3206" s="3" t="s">
        <v>62</v>
      </c>
      <c r="AS3206" s="3" t="s">
        <v>62</v>
      </c>
      <c r="AT3206" s="3" t="s">
        <v>61</v>
      </c>
      <c r="AU3206" s="6" t="str">
        <f t="shared" si="38"/>
        <v>HathiTrust Record</v>
      </c>
      <c r="AV3206" s="6" t="str">
        <f t="shared" si="39"/>
        <v>Catalog Record</v>
      </c>
      <c r="AW3206" s="6" t="str">
        <f t="shared" si="40"/>
        <v>WorldCat Record</v>
      </c>
      <c r="AX3206" s="3" t="s">
        <v>31161</v>
      </c>
      <c r="AY3206" s="3" t="s">
        <v>31162</v>
      </c>
      <c r="AZ3206" s="3" t="s">
        <v>31163</v>
      </c>
      <c r="BA3206" s="3" t="s">
        <v>31163</v>
      </c>
      <c r="BB3206" s="3" t="s">
        <v>31182</v>
      </c>
      <c r="BC3206" s="3" t="s">
        <v>142</v>
      </c>
      <c r="BD3206" s="3" t="s">
        <v>68</v>
      </c>
      <c r="BE3206" s="3" t="s">
        <v>31165</v>
      </c>
      <c r="BF3206" s="3" t="s">
        <v>31182</v>
      </c>
      <c r="BG3206" s="3" t="s">
        <v>31183</v>
      </c>
    </row>
    <row r="3207" spans="1:59" ht="57" x14ac:dyDescent="0.45">
      <c r="A3207" s="2" t="s">
        <v>59</v>
      </c>
      <c r="B3207" s="2" t="s">
        <v>60</v>
      </c>
      <c r="C3207" s="2" t="s">
        <v>31156</v>
      </c>
      <c r="D3207" s="2" t="s">
        <v>31157</v>
      </c>
      <c r="E3207" s="2" t="s">
        <v>31158</v>
      </c>
      <c r="G3207" s="3" t="s">
        <v>62</v>
      </c>
      <c r="I3207" s="3" t="s">
        <v>61</v>
      </c>
      <c r="J3207" s="3" t="s">
        <v>61</v>
      </c>
      <c r="K3207" s="3" t="s">
        <v>63</v>
      </c>
      <c r="L3207" s="2" t="s">
        <v>651</v>
      </c>
      <c r="M3207" s="2" t="s">
        <v>31159</v>
      </c>
      <c r="N3207" s="3" t="s">
        <v>127</v>
      </c>
      <c r="P3207" s="3" t="s">
        <v>65</v>
      </c>
      <c r="R3207" s="3" t="s">
        <v>66</v>
      </c>
      <c r="S3207" s="4">
        <v>14</v>
      </c>
      <c r="T3207" s="4">
        <v>106</v>
      </c>
      <c r="U3207" s="5" t="s">
        <v>31184</v>
      </c>
      <c r="V3207" s="5" t="s">
        <v>31160</v>
      </c>
      <c r="W3207" s="5" t="s">
        <v>67</v>
      </c>
      <c r="X3207" s="5" t="s">
        <v>67</v>
      </c>
      <c r="Y3207" s="4">
        <v>759</v>
      </c>
      <c r="Z3207" s="4">
        <v>50</v>
      </c>
      <c r="AA3207" s="4">
        <v>146</v>
      </c>
      <c r="AB3207" s="4">
        <v>3</v>
      </c>
      <c r="AC3207" s="4">
        <v>24</v>
      </c>
      <c r="AD3207" s="4">
        <v>130</v>
      </c>
      <c r="AE3207" s="4">
        <v>174</v>
      </c>
      <c r="AF3207" s="4">
        <v>1</v>
      </c>
      <c r="AG3207" s="4">
        <v>9</v>
      </c>
      <c r="AH3207" s="4">
        <v>104</v>
      </c>
      <c r="AI3207" s="4">
        <v>117</v>
      </c>
      <c r="AJ3207" s="4">
        <v>22</v>
      </c>
      <c r="AK3207" s="4">
        <v>30</v>
      </c>
      <c r="AL3207" s="4">
        <v>56</v>
      </c>
      <c r="AM3207" s="4">
        <v>62</v>
      </c>
      <c r="AN3207" s="4">
        <v>0</v>
      </c>
      <c r="AO3207" s="4">
        <v>0</v>
      </c>
      <c r="AP3207" s="4">
        <v>35</v>
      </c>
      <c r="AQ3207" s="4">
        <v>62</v>
      </c>
      <c r="AR3207" s="3" t="s">
        <v>62</v>
      </c>
      <c r="AS3207" s="3" t="s">
        <v>62</v>
      </c>
      <c r="AT3207" s="3" t="s">
        <v>61</v>
      </c>
      <c r="AU3207" s="6" t="str">
        <f t="shared" si="38"/>
        <v>HathiTrust Record</v>
      </c>
      <c r="AV3207" s="6" t="str">
        <f t="shared" si="39"/>
        <v>Catalog Record</v>
      </c>
      <c r="AW3207" s="6" t="str">
        <f t="shared" si="40"/>
        <v>WorldCat Record</v>
      </c>
      <c r="AX3207" s="3" t="s">
        <v>31161</v>
      </c>
      <c r="AY3207" s="3" t="s">
        <v>31162</v>
      </c>
      <c r="AZ3207" s="3" t="s">
        <v>31163</v>
      </c>
      <c r="BA3207" s="3" t="s">
        <v>31163</v>
      </c>
      <c r="BB3207" s="3" t="s">
        <v>31185</v>
      </c>
      <c r="BC3207" s="3" t="s">
        <v>142</v>
      </c>
      <c r="BD3207" s="3" t="s">
        <v>68</v>
      </c>
      <c r="BE3207" s="3" t="s">
        <v>31165</v>
      </c>
      <c r="BF3207" s="3" t="s">
        <v>31185</v>
      </c>
      <c r="BG3207" s="3" t="s">
        <v>31186</v>
      </c>
    </row>
    <row r="3208" spans="1:59" ht="57" x14ac:dyDescent="0.45">
      <c r="A3208" s="2" t="s">
        <v>59</v>
      </c>
      <c r="B3208" s="2" t="s">
        <v>60</v>
      </c>
      <c r="C3208" s="2" t="s">
        <v>31187</v>
      </c>
      <c r="D3208" s="2" t="s">
        <v>31188</v>
      </c>
      <c r="E3208" s="2" t="s">
        <v>31158</v>
      </c>
      <c r="G3208" s="3" t="s">
        <v>62</v>
      </c>
      <c r="I3208" s="3" t="s">
        <v>61</v>
      </c>
      <c r="J3208" s="3" t="s">
        <v>61</v>
      </c>
      <c r="K3208" s="3" t="s">
        <v>63</v>
      </c>
      <c r="L3208" s="2" t="s">
        <v>2033</v>
      </c>
      <c r="M3208" s="2" t="s">
        <v>31189</v>
      </c>
      <c r="N3208" s="3" t="s">
        <v>793</v>
      </c>
      <c r="O3208" s="2" t="s">
        <v>31190</v>
      </c>
      <c r="P3208" s="3" t="s">
        <v>65</v>
      </c>
      <c r="R3208" s="3" t="s">
        <v>66</v>
      </c>
      <c r="S3208" s="4">
        <v>10</v>
      </c>
      <c r="T3208" s="4">
        <v>145</v>
      </c>
      <c r="U3208" s="5" t="s">
        <v>5594</v>
      </c>
      <c r="V3208" s="5" t="s">
        <v>5594</v>
      </c>
      <c r="W3208" s="5" t="s">
        <v>67</v>
      </c>
      <c r="X3208" s="5" t="s">
        <v>67</v>
      </c>
      <c r="Y3208" s="4">
        <v>1656</v>
      </c>
      <c r="Z3208" s="4">
        <v>80</v>
      </c>
      <c r="AA3208" s="4">
        <v>146</v>
      </c>
      <c r="AB3208" s="4">
        <v>3</v>
      </c>
      <c r="AC3208" s="4">
        <v>24</v>
      </c>
      <c r="AD3208" s="4">
        <v>153</v>
      </c>
      <c r="AE3208" s="4">
        <v>174</v>
      </c>
      <c r="AF3208" s="4">
        <v>1</v>
      </c>
      <c r="AG3208" s="4">
        <v>9</v>
      </c>
      <c r="AH3208" s="4">
        <v>113</v>
      </c>
      <c r="AI3208" s="4">
        <v>117</v>
      </c>
      <c r="AJ3208" s="4">
        <v>21</v>
      </c>
      <c r="AK3208" s="4">
        <v>30</v>
      </c>
      <c r="AL3208" s="4">
        <v>60</v>
      </c>
      <c r="AM3208" s="4">
        <v>62</v>
      </c>
      <c r="AN3208" s="4">
        <v>0</v>
      </c>
      <c r="AO3208" s="4">
        <v>0</v>
      </c>
      <c r="AP3208" s="4">
        <v>46</v>
      </c>
      <c r="AQ3208" s="4">
        <v>62</v>
      </c>
      <c r="AR3208" s="3" t="s">
        <v>62</v>
      </c>
      <c r="AS3208" s="3" t="s">
        <v>62</v>
      </c>
      <c r="AT3208" s="3" t="s">
        <v>61</v>
      </c>
      <c r="AU3208" s="6" t="str">
        <f t="shared" ref="AU3208:AU3214" si="41">HYPERLINK("http://catalog.hathitrust.org/Record/001180922","HathiTrust Record")</f>
        <v>HathiTrust Record</v>
      </c>
      <c r="AV3208" s="6" t="str">
        <f t="shared" ref="AV3208:AV3214" si="42">HYPERLINK("http://mcgill.on.worldcat.org/oclc/303573","Catalog Record")</f>
        <v>Catalog Record</v>
      </c>
      <c r="AW3208" s="6" t="str">
        <f t="shared" ref="AW3208:AW3214" si="43">HYPERLINK("http://www.worldcat.org/oclc/303573","WorldCat Record")</f>
        <v>WorldCat Record</v>
      </c>
      <c r="AX3208" s="3" t="s">
        <v>31161</v>
      </c>
      <c r="AY3208" s="3" t="s">
        <v>31191</v>
      </c>
      <c r="AZ3208" s="3" t="s">
        <v>31192</v>
      </c>
      <c r="BA3208" s="3" t="s">
        <v>31192</v>
      </c>
      <c r="BB3208" s="3" t="s">
        <v>31193</v>
      </c>
      <c r="BC3208" s="3" t="s">
        <v>142</v>
      </c>
      <c r="BD3208" s="3" t="s">
        <v>68</v>
      </c>
      <c r="BE3208" s="3" t="s">
        <v>31194</v>
      </c>
      <c r="BF3208" s="3" t="s">
        <v>31193</v>
      </c>
      <c r="BG3208" s="3" t="s">
        <v>31195</v>
      </c>
    </row>
    <row r="3209" spans="1:59" ht="57" x14ac:dyDescent="0.45">
      <c r="A3209" s="2" t="s">
        <v>59</v>
      </c>
      <c r="B3209" s="2" t="s">
        <v>60</v>
      </c>
      <c r="C3209" s="2" t="s">
        <v>31187</v>
      </c>
      <c r="D3209" s="2" t="s">
        <v>31188</v>
      </c>
      <c r="E3209" s="2" t="s">
        <v>31158</v>
      </c>
      <c r="G3209" s="3" t="s">
        <v>62</v>
      </c>
      <c r="I3209" s="3" t="s">
        <v>61</v>
      </c>
      <c r="J3209" s="3" t="s">
        <v>61</v>
      </c>
      <c r="K3209" s="3" t="s">
        <v>63</v>
      </c>
      <c r="L3209" s="2" t="s">
        <v>2033</v>
      </c>
      <c r="M3209" s="2" t="s">
        <v>31189</v>
      </c>
      <c r="N3209" s="3" t="s">
        <v>793</v>
      </c>
      <c r="O3209" s="2" t="s">
        <v>31190</v>
      </c>
      <c r="P3209" s="3" t="s">
        <v>65</v>
      </c>
      <c r="R3209" s="3" t="s">
        <v>66</v>
      </c>
      <c r="S3209" s="4">
        <v>31</v>
      </c>
      <c r="T3209" s="4">
        <v>145</v>
      </c>
      <c r="U3209" s="5" t="s">
        <v>31196</v>
      </c>
      <c r="V3209" s="5" t="s">
        <v>5594</v>
      </c>
      <c r="W3209" s="5" t="s">
        <v>67</v>
      </c>
      <c r="X3209" s="5" t="s">
        <v>67</v>
      </c>
      <c r="Y3209" s="4">
        <v>1656</v>
      </c>
      <c r="Z3209" s="4">
        <v>80</v>
      </c>
      <c r="AA3209" s="4">
        <v>146</v>
      </c>
      <c r="AB3209" s="4">
        <v>3</v>
      </c>
      <c r="AC3209" s="4">
        <v>24</v>
      </c>
      <c r="AD3209" s="4">
        <v>153</v>
      </c>
      <c r="AE3209" s="4">
        <v>174</v>
      </c>
      <c r="AF3209" s="4">
        <v>1</v>
      </c>
      <c r="AG3209" s="4">
        <v>9</v>
      </c>
      <c r="AH3209" s="4">
        <v>113</v>
      </c>
      <c r="AI3209" s="4">
        <v>117</v>
      </c>
      <c r="AJ3209" s="4">
        <v>21</v>
      </c>
      <c r="AK3209" s="4">
        <v>30</v>
      </c>
      <c r="AL3209" s="4">
        <v>60</v>
      </c>
      <c r="AM3209" s="4">
        <v>62</v>
      </c>
      <c r="AN3209" s="4">
        <v>0</v>
      </c>
      <c r="AO3209" s="4">
        <v>0</v>
      </c>
      <c r="AP3209" s="4">
        <v>46</v>
      </c>
      <c r="AQ3209" s="4">
        <v>62</v>
      </c>
      <c r="AR3209" s="3" t="s">
        <v>62</v>
      </c>
      <c r="AS3209" s="3" t="s">
        <v>62</v>
      </c>
      <c r="AT3209" s="3" t="s">
        <v>61</v>
      </c>
      <c r="AU3209" s="6" t="str">
        <f t="shared" si="41"/>
        <v>HathiTrust Record</v>
      </c>
      <c r="AV3209" s="6" t="str">
        <f t="shared" si="42"/>
        <v>Catalog Record</v>
      </c>
      <c r="AW3209" s="6" t="str">
        <f t="shared" si="43"/>
        <v>WorldCat Record</v>
      </c>
      <c r="AX3209" s="3" t="s">
        <v>31161</v>
      </c>
      <c r="AY3209" s="3" t="s">
        <v>31191</v>
      </c>
      <c r="AZ3209" s="3" t="s">
        <v>31192</v>
      </c>
      <c r="BA3209" s="3" t="s">
        <v>31192</v>
      </c>
      <c r="BB3209" s="3" t="s">
        <v>31197</v>
      </c>
      <c r="BC3209" s="3" t="s">
        <v>142</v>
      </c>
      <c r="BD3209" s="3" t="s">
        <v>68</v>
      </c>
      <c r="BE3209" s="3" t="s">
        <v>31194</v>
      </c>
      <c r="BF3209" s="3" t="s">
        <v>31197</v>
      </c>
      <c r="BG3209" s="3" t="s">
        <v>31198</v>
      </c>
    </row>
    <row r="3210" spans="1:59" ht="57" x14ac:dyDescent="0.45">
      <c r="A3210" s="2" t="s">
        <v>59</v>
      </c>
      <c r="B3210" s="2" t="s">
        <v>60</v>
      </c>
      <c r="C3210" s="2" t="s">
        <v>31187</v>
      </c>
      <c r="D3210" s="2" t="s">
        <v>31188</v>
      </c>
      <c r="E3210" s="2" t="s">
        <v>31158</v>
      </c>
      <c r="G3210" s="3" t="s">
        <v>62</v>
      </c>
      <c r="I3210" s="3" t="s">
        <v>61</v>
      </c>
      <c r="J3210" s="3" t="s">
        <v>61</v>
      </c>
      <c r="K3210" s="3" t="s">
        <v>63</v>
      </c>
      <c r="L3210" s="2" t="s">
        <v>2033</v>
      </c>
      <c r="M3210" s="2" t="s">
        <v>31189</v>
      </c>
      <c r="N3210" s="3" t="s">
        <v>793</v>
      </c>
      <c r="O3210" s="2" t="s">
        <v>31190</v>
      </c>
      <c r="P3210" s="3" t="s">
        <v>65</v>
      </c>
      <c r="R3210" s="3" t="s">
        <v>66</v>
      </c>
      <c r="S3210" s="4">
        <v>28</v>
      </c>
      <c r="T3210" s="4">
        <v>145</v>
      </c>
      <c r="U3210" s="5" t="s">
        <v>31199</v>
      </c>
      <c r="V3210" s="5" t="s">
        <v>5594</v>
      </c>
      <c r="W3210" s="5" t="s">
        <v>67</v>
      </c>
      <c r="X3210" s="5" t="s">
        <v>67</v>
      </c>
      <c r="Y3210" s="4">
        <v>1656</v>
      </c>
      <c r="Z3210" s="4">
        <v>80</v>
      </c>
      <c r="AA3210" s="4">
        <v>146</v>
      </c>
      <c r="AB3210" s="4">
        <v>3</v>
      </c>
      <c r="AC3210" s="4">
        <v>24</v>
      </c>
      <c r="AD3210" s="4">
        <v>153</v>
      </c>
      <c r="AE3210" s="4">
        <v>174</v>
      </c>
      <c r="AF3210" s="4">
        <v>1</v>
      </c>
      <c r="AG3210" s="4">
        <v>9</v>
      </c>
      <c r="AH3210" s="4">
        <v>113</v>
      </c>
      <c r="AI3210" s="4">
        <v>117</v>
      </c>
      <c r="AJ3210" s="4">
        <v>21</v>
      </c>
      <c r="AK3210" s="4">
        <v>30</v>
      </c>
      <c r="AL3210" s="4">
        <v>60</v>
      </c>
      <c r="AM3210" s="4">
        <v>62</v>
      </c>
      <c r="AN3210" s="4">
        <v>0</v>
      </c>
      <c r="AO3210" s="4">
        <v>0</v>
      </c>
      <c r="AP3210" s="4">
        <v>46</v>
      </c>
      <c r="AQ3210" s="4">
        <v>62</v>
      </c>
      <c r="AR3210" s="3" t="s">
        <v>62</v>
      </c>
      <c r="AS3210" s="3" t="s">
        <v>62</v>
      </c>
      <c r="AT3210" s="3" t="s">
        <v>61</v>
      </c>
      <c r="AU3210" s="6" t="str">
        <f t="shared" si="41"/>
        <v>HathiTrust Record</v>
      </c>
      <c r="AV3210" s="6" t="str">
        <f t="shared" si="42"/>
        <v>Catalog Record</v>
      </c>
      <c r="AW3210" s="6" t="str">
        <f t="shared" si="43"/>
        <v>WorldCat Record</v>
      </c>
      <c r="AX3210" s="3" t="s">
        <v>31161</v>
      </c>
      <c r="AY3210" s="3" t="s">
        <v>31191</v>
      </c>
      <c r="AZ3210" s="3" t="s">
        <v>31192</v>
      </c>
      <c r="BA3210" s="3" t="s">
        <v>31192</v>
      </c>
      <c r="BB3210" s="3" t="s">
        <v>31200</v>
      </c>
      <c r="BC3210" s="3" t="s">
        <v>142</v>
      </c>
      <c r="BD3210" s="3" t="s">
        <v>68</v>
      </c>
      <c r="BE3210" s="3" t="s">
        <v>31194</v>
      </c>
      <c r="BF3210" s="3" t="s">
        <v>31200</v>
      </c>
      <c r="BG3210" s="3" t="s">
        <v>31201</v>
      </c>
    </row>
    <row r="3211" spans="1:59" ht="57" x14ac:dyDescent="0.45">
      <c r="A3211" s="2" t="s">
        <v>59</v>
      </c>
      <c r="B3211" s="2" t="s">
        <v>60</v>
      </c>
      <c r="C3211" s="2" t="s">
        <v>31187</v>
      </c>
      <c r="D3211" s="2" t="s">
        <v>31188</v>
      </c>
      <c r="E3211" s="2" t="s">
        <v>31158</v>
      </c>
      <c r="G3211" s="3" t="s">
        <v>62</v>
      </c>
      <c r="I3211" s="3" t="s">
        <v>61</v>
      </c>
      <c r="J3211" s="3" t="s">
        <v>61</v>
      </c>
      <c r="K3211" s="3" t="s">
        <v>63</v>
      </c>
      <c r="L3211" s="2" t="s">
        <v>2033</v>
      </c>
      <c r="M3211" s="2" t="s">
        <v>31189</v>
      </c>
      <c r="N3211" s="3" t="s">
        <v>793</v>
      </c>
      <c r="O3211" s="2" t="s">
        <v>31190</v>
      </c>
      <c r="P3211" s="3" t="s">
        <v>65</v>
      </c>
      <c r="R3211" s="3" t="s">
        <v>66</v>
      </c>
      <c r="S3211" s="4">
        <v>25</v>
      </c>
      <c r="T3211" s="4">
        <v>145</v>
      </c>
      <c r="U3211" s="5" t="s">
        <v>31202</v>
      </c>
      <c r="V3211" s="5" t="s">
        <v>5594</v>
      </c>
      <c r="W3211" s="5" t="s">
        <v>67</v>
      </c>
      <c r="X3211" s="5" t="s">
        <v>67</v>
      </c>
      <c r="Y3211" s="4">
        <v>1656</v>
      </c>
      <c r="Z3211" s="4">
        <v>80</v>
      </c>
      <c r="AA3211" s="4">
        <v>146</v>
      </c>
      <c r="AB3211" s="4">
        <v>3</v>
      </c>
      <c r="AC3211" s="4">
        <v>24</v>
      </c>
      <c r="AD3211" s="4">
        <v>153</v>
      </c>
      <c r="AE3211" s="4">
        <v>174</v>
      </c>
      <c r="AF3211" s="4">
        <v>1</v>
      </c>
      <c r="AG3211" s="4">
        <v>9</v>
      </c>
      <c r="AH3211" s="4">
        <v>113</v>
      </c>
      <c r="AI3211" s="4">
        <v>117</v>
      </c>
      <c r="AJ3211" s="4">
        <v>21</v>
      </c>
      <c r="AK3211" s="4">
        <v>30</v>
      </c>
      <c r="AL3211" s="4">
        <v>60</v>
      </c>
      <c r="AM3211" s="4">
        <v>62</v>
      </c>
      <c r="AN3211" s="4">
        <v>0</v>
      </c>
      <c r="AO3211" s="4">
        <v>0</v>
      </c>
      <c r="AP3211" s="4">
        <v>46</v>
      </c>
      <c r="AQ3211" s="4">
        <v>62</v>
      </c>
      <c r="AR3211" s="3" t="s">
        <v>62</v>
      </c>
      <c r="AS3211" s="3" t="s">
        <v>62</v>
      </c>
      <c r="AT3211" s="3" t="s">
        <v>61</v>
      </c>
      <c r="AU3211" s="6" t="str">
        <f t="shared" si="41"/>
        <v>HathiTrust Record</v>
      </c>
      <c r="AV3211" s="6" t="str">
        <f t="shared" si="42"/>
        <v>Catalog Record</v>
      </c>
      <c r="AW3211" s="6" t="str">
        <f t="shared" si="43"/>
        <v>WorldCat Record</v>
      </c>
      <c r="AX3211" s="3" t="s">
        <v>31161</v>
      </c>
      <c r="AY3211" s="3" t="s">
        <v>31191</v>
      </c>
      <c r="AZ3211" s="3" t="s">
        <v>31192</v>
      </c>
      <c r="BA3211" s="3" t="s">
        <v>31192</v>
      </c>
      <c r="BB3211" s="3" t="s">
        <v>31203</v>
      </c>
      <c r="BC3211" s="3" t="s">
        <v>142</v>
      </c>
      <c r="BD3211" s="3" t="s">
        <v>68</v>
      </c>
      <c r="BE3211" s="3" t="s">
        <v>31194</v>
      </c>
      <c r="BF3211" s="3" t="s">
        <v>31203</v>
      </c>
      <c r="BG3211" s="3" t="s">
        <v>31204</v>
      </c>
    </row>
    <row r="3212" spans="1:59" ht="57" x14ac:dyDescent="0.45">
      <c r="A3212" s="2" t="s">
        <v>59</v>
      </c>
      <c r="B3212" s="2" t="s">
        <v>412</v>
      </c>
      <c r="C3212" s="2" t="s">
        <v>31187</v>
      </c>
      <c r="D3212" s="2" t="s">
        <v>31188</v>
      </c>
      <c r="E3212" s="2" t="s">
        <v>31158</v>
      </c>
      <c r="G3212" s="3" t="s">
        <v>62</v>
      </c>
      <c r="I3212" s="3" t="s">
        <v>61</v>
      </c>
      <c r="J3212" s="3" t="s">
        <v>61</v>
      </c>
      <c r="K3212" s="3" t="s">
        <v>63</v>
      </c>
      <c r="L3212" s="2" t="s">
        <v>2033</v>
      </c>
      <c r="M3212" s="2" t="s">
        <v>31189</v>
      </c>
      <c r="N3212" s="3" t="s">
        <v>793</v>
      </c>
      <c r="O3212" s="2" t="s">
        <v>31190</v>
      </c>
      <c r="P3212" s="3" t="s">
        <v>65</v>
      </c>
      <c r="R3212" s="3" t="s">
        <v>66</v>
      </c>
      <c r="S3212" s="4">
        <v>11</v>
      </c>
      <c r="T3212" s="4">
        <v>145</v>
      </c>
      <c r="U3212" s="5" t="s">
        <v>31205</v>
      </c>
      <c r="V3212" s="5" t="s">
        <v>5594</v>
      </c>
      <c r="W3212" s="5" t="s">
        <v>67</v>
      </c>
      <c r="X3212" s="5" t="s">
        <v>67</v>
      </c>
      <c r="Y3212" s="4">
        <v>1656</v>
      </c>
      <c r="Z3212" s="4">
        <v>80</v>
      </c>
      <c r="AA3212" s="4">
        <v>146</v>
      </c>
      <c r="AB3212" s="4">
        <v>3</v>
      </c>
      <c r="AC3212" s="4">
        <v>24</v>
      </c>
      <c r="AD3212" s="4">
        <v>153</v>
      </c>
      <c r="AE3212" s="4">
        <v>174</v>
      </c>
      <c r="AF3212" s="4">
        <v>1</v>
      </c>
      <c r="AG3212" s="4">
        <v>9</v>
      </c>
      <c r="AH3212" s="4">
        <v>113</v>
      </c>
      <c r="AI3212" s="4">
        <v>117</v>
      </c>
      <c r="AJ3212" s="4">
        <v>21</v>
      </c>
      <c r="AK3212" s="4">
        <v>30</v>
      </c>
      <c r="AL3212" s="4">
        <v>60</v>
      </c>
      <c r="AM3212" s="4">
        <v>62</v>
      </c>
      <c r="AN3212" s="4">
        <v>0</v>
      </c>
      <c r="AO3212" s="4">
        <v>0</v>
      </c>
      <c r="AP3212" s="4">
        <v>46</v>
      </c>
      <c r="AQ3212" s="4">
        <v>62</v>
      </c>
      <c r="AR3212" s="3" t="s">
        <v>62</v>
      </c>
      <c r="AS3212" s="3" t="s">
        <v>62</v>
      </c>
      <c r="AT3212" s="3" t="s">
        <v>61</v>
      </c>
      <c r="AU3212" s="6" t="str">
        <f t="shared" si="41"/>
        <v>HathiTrust Record</v>
      </c>
      <c r="AV3212" s="6" t="str">
        <f t="shared" si="42"/>
        <v>Catalog Record</v>
      </c>
      <c r="AW3212" s="6" t="str">
        <f t="shared" si="43"/>
        <v>WorldCat Record</v>
      </c>
      <c r="AX3212" s="3" t="s">
        <v>31161</v>
      </c>
      <c r="AY3212" s="3" t="s">
        <v>31191</v>
      </c>
      <c r="AZ3212" s="3" t="s">
        <v>31192</v>
      </c>
      <c r="BA3212" s="3" t="s">
        <v>31192</v>
      </c>
      <c r="BB3212" s="3" t="s">
        <v>31206</v>
      </c>
      <c r="BC3212" s="3" t="s">
        <v>142</v>
      </c>
      <c r="BD3212" s="3" t="s">
        <v>68</v>
      </c>
      <c r="BE3212" s="3" t="s">
        <v>31194</v>
      </c>
      <c r="BF3212" s="3" t="s">
        <v>31206</v>
      </c>
      <c r="BG3212" s="3" t="s">
        <v>31207</v>
      </c>
    </row>
    <row r="3213" spans="1:59" ht="57" x14ac:dyDescent="0.45">
      <c r="A3213" s="2" t="s">
        <v>59</v>
      </c>
      <c r="B3213" s="2" t="s">
        <v>60</v>
      </c>
      <c r="C3213" s="2" t="s">
        <v>31187</v>
      </c>
      <c r="D3213" s="2" t="s">
        <v>31188</v>
      </c>
      <c r="E3213" s="2" t="s">
        <v>31158</v>
      </c>
      <c r="G3213" s="3" t="s">
        <v>62</v>
      </c>
      <c r="I3213" s="3" t="s">
        <v>61</v>
      </c>
      <c r="J3213" s="3" t="s">
        <v>61</v>
      </c>
      <c r="K3213" s="3" t="s">
        <v>63</v>
      </c>
      <c r="L3213" s="2" t="s">
        <v>2033</v>
      </c>
      <c r="M3213" s="2" t="s">
        <v>31189</v>
      </c>
      <c r="N3213" s="3" t="s">
        <v>793</v>
      </c>
      <c r="O3213" s="2" t="s">
        <v>31190</v>
      </c>
      <c r="P3213" s="3" t="s">
        <v>65</v>
      </c>
      <c r="R3213" s="3" t="s">
        <v>66</v>
      </c>
      <c r="S3213" s="4">
        <v>0</v>
      </c>
      <c r="T3213" s="4">
        <v>145</v>
      </c>
      <c r="V3213" s="5" t="s">
        <v>5594</v>
      </c>
      <c r="W3213" s="5" t="s">
        <v>67</v>
      </c>
      <c r="X3213" s="5" t="s">
        <v>67</v>
      </c>
      <c r="Y3213" s="4">
        <v>1656</v>
      </c>
      <c r="Z3213" s="4">
        <v>80</v>
      </c>
      <c r="AA3213" s="4">
        <v>146</v>
      </c>
      <c r="AB3213" s="4">
        <v>3</v>
      </c>
      <c r="AC3213" s="4">
        <v>24</v>
      </c>
      <c r="AD3213" s="4">
        <v>153</v>
      </c>
      <c r="AE3213" s="4">
        <v>174</v>
      </c>
      <c r="AF3213" s="4">
        <v>1</v>
      </c>
      <c r="AG3213" s="4">
        <v>9</v>
      </c>
      <c r="AH3213" s="4">
        <v>113</v>
      </c>
      <c r="AI3213" s="4">
        <v>117</v>
      </c>
      <c r="AJ3213" s="4">
        <v>21</v>
      </c>
      <c r="AK3213" s="4">
        <v>30</v>
      </c>
      <c r="AL3213" s="4">
        <v>60</v>
      </c>
      <c r="AM3213" s="4">
        <v>62</v>
      </c>
      <c r="AN3213" s="4">
        <v>0</v>
      </c>
      <c r="AO3213" s="4">
        <v>0</v>
      </c>
      <c r="AP3213" s="4">
        <v>46</v>
      </c>
      <c r="AQ3213" s="4">
        <v>62</v>
      </c>
      <c r="AR3213" s="3" t="s">
        <v>62</v>
      </c>
      <c r="AS3213" s="3" t="s">
        <v>62</v>
      </c>
      <c r="AT3213" s="3" t="s">
        <v>61</v>
      </c>
      <c r="AU3213" s="6" t="str">
        <f t="shared" si="41"/>
        <v>HathiTrust Record</v>
      </c>
      <c r="AV3213" s="6" t="str">
        <f t="shared" si="42"/>
        <v>Catalog Record</v>
      </c>
      <c r="AW3213" s="6" t="str">
        <f t="shared" si="43"/>
        <v>WorldCat Record</v>
      </c>
      <c r="AX3213" s="3" t="s">
        <v>31161</v>
      </c>
      <c r="AY3213" s="3" t="s">
        <v>31191</v>
      </c>
      <c r="AZ3213" s="3" t="s">
        <v>31192</v>
      </c>
      <c r="BA3213" s="3" t="s">
        <v>31192</v>
      </c>
      <c r="BB3213" s="3" t="s">
        <v>31208</v>
      </c>
      <c r="BC3213" s="3" t="s">
        <v>142</v>
      </c>
      <c r="BD3213" s="3" t="s">
        <v>68</v>
      </c>
      <c r="BE3213" s="3" t="s">
        <v>31194</v>
      </c>
      <c r="BF3213" s="3" t="s">
        <v>31208</v>
      </c>
      <c r="BG3213" s="3" t="s">
        <v>31209</v>
      </c>
    </row>
    <row r="3214" spans="1:59" ht="57" x14ac:dyDescent="0.45">
      <c r="A3214" s="2" t="s">
        <v>59</v>
      </c>
      <c r="B3214" s="2" t="s">
        <v>60</v>
      </c>
      <c r="C3214" s="2" t="s">
        <v>31187</v>
      </c>
      <c r="D3214" s="2" t="s">
        <v>31188</v>
      </c>
      <c r="E3214" s="2" t="s">
        <v>31158</v>
      </c>
      <c r="G3214" s="3" t="s">
        <v>62</v>
      </c>
      <c r="I3214" s="3" t="s">
        <v>61</v>
      </c>
      <c r="J3214" s="3" t="s">
        <v>61</v>
      </c>
      <c r="K3214" s="3" t="s">
        <v>63</v>
      </c>
      <c r="L3214" s="2" t="s">
        <v>2033</v>
      </c>
      <c r="M3214" s="2" t="s">
        <v>31189</v>
      </c>
      <c r="N3214" s="3" t="s">
        <v>793</v>
      </c>
      <c r="O3214" s="2" t="s">
        <v>31190</v>
      </c>
      <c r="P3214" s="3" t="s">
        <v>65</v>
      </c>
      <c r="R3214" s="3" t="s">
        <v>66</v>
      </c>
      <c r="S3214" s="4">
        <v>40</v>
      </c>
      <c r="T3214" s="4">
        <v>145</v>
      </c>
      <c r="U3214" s="5" t="s">
        <v>31160</v>
      </c>
      <c r="V3214" s="5" t="s">
        <v>5594</v>
      </c>
      <c r="W3214" s="5" t="s">
        <v>67</v>
      </c>
      <c r="X3214" s="5" t="s">
        <v>67</v>
      </c>
      <c r="Y3214" s="4">
        <v>1656</v>
      </c>
      <c r="Z3214" s="4">
        <v>80</v>
      </c>
      <c r="AA3214" s="4">
        <v>146</v>
      </c>
      <c r="AB3214" s="4">
        <v>3</v>
      </c>
      <c r="AC3214" s="4">
        <v>24</v>
      </c>
      <c r="AD3214" s="4">
        <v>153</v>
      </c>
      <c r="AE3214" s="4">
        <v>174</v>
      </c>
      <c r="AF3214" s="4">
        <v>1</v>
      </c>
      <c r="AG3214" s="4">
        <v>9</v>
      </c>
      <c r="AH3214" s="4">
        <v>113</v>
      </c>
      <c r="AI3214" s="4">
        <v>117</v>
      </c>
      <c r="AJ3214" s="4">
        <v>21</v>
      </c>
      <c r="AK3214" s="4">
        <v>30</v>
      </c>
      <c r="AL3214" s="4">
        <v>60</v>
      </c>
      <c r="AM3214" s="4">
        <v>62</v>
      </c>
      <c r="AN3214" s="4">
        <v>0</v>
      </c>
      <c r="AO3214" s="4">
        <v>0</v>
      </c>
      <c r="AP3214" s="4">
        <v>46</v>
      </c>
      <c r="AQ3214" s="4">
        <v>62</v>
      </c>
      <c r="AR3214" s="3" t="s">
        <v>62</v>
      </c>
      <c r="AS3214" s="3" t="s">
        <v>62</v>
      </c>
      <c r="AT3214" s="3" t="s">
        <v>61</v>
      </c>
      <c r="AU3214" s="6" t="str">
        <f t="shared" si="41"/>
        <v>HathiTrust Record</v>
      </c>
      <c r="AV3214" s="6" t="str">
        <f t="shared" si="42"/>
        <v>Catalog Record</v>
      </c>
      <c r="AW3214" s="6" t="str">
        <f t="shared" si="43"/>
        <v>WorldCat Record</v>
      </c>
      <c r="AX3214" s="3" t="s">
        <v>31161</v>
      </c>
      <c r="AY3214" s="3" t="s">
        <v>31191</v>
      </c>
      <c r="AZ3214" s="3" t="s">
        <v>31192</v>
      </c>
      <c r="BA3214" s="3" t="s">
        <v>31192</v>
      </c>
      <c r="BB3214" s="3" t="s">
        <v>31210</v>
      </c>
      <c r="BC3214" s="3" t="s">
        <v>142</v>
      </c>
      <c r="BD3214" s="3" t="s">
        <v>68</v>
      </c>
      <c r="BE3214" s="3" t="s">
        <v>31194</v>
      </c>
      <c r="BF3214" s="3" t="s">
        <v>31210</v>
      </c>
      <c r="BG3214" s="3" t="s">
        <v>31211</v>
      </c>
    </row>
    <row r="3215" spans="1:59" ht="57" x14ac:dyDescent="0.45">
      <c r="A3215" s="2" t="s">
        <v>59</v>
      </c>
      <c r="B3215" s="2" t="s">
        <v>60</v>
      </c>
      <c r="C3215" s="2" t="s">
        <v>31212</v>
      </c>
      <c r="D3215" s="2" t="s">
        <v>31213</v>
      </c>
      <c r="E3215" s="2" t="s">
        <v>31158</v>
      </c>
      <c r="G3215" s="3" t="s">
        <v>62</v>
      </c>
      <c r="I3215" s="3" t="s">
        <v>62</v>
      </c>
      <c r="J3215" s="3" t="s">
        <v>61</v>
      </c>
      <c r="K3215" s="3" t="s">
        <v>63</v>
      </c>
      <c r="L3215" s="2" t="s">
        <v>2033</v>
      </c>
      <c r="M3215" s="2" t="s">
        <v>3996</v>
      </c>
      <c r="N3215" s="3" t="s">
        <v>1059</v>
      </c>
      <c r="O3215" s="2" t="s">
        <v>14488</v>
      </c>
      <c r="P3215" s="3" t="s">
        <v>65</v>
      </c>
      <c r="R3215" s="3" t="s">
        <v>66</v>
      </c>
      <c r="S3215" s="4">
        <v>31</v>
      </c>
      <c r="T3215" s="4">
        <v>31</v>
      </c>
      <c r="U3215" s="5" t="s">
        <v>2036</v>
      </c>
      <c r="V3215" s="5" t="s">
        <v>2036</v>
      </c>
      <c r="W3215" s="5" t="s">
        <v>67</v>
      </c>
      <c r="X3215" s="5" t="s">
        <v>67</v>
      </c>
      <c r="Y3215" s="4">
        <v>530</v>
      </c>
      <c r="Z3215" s="4">
        <v>43</v>
      </c>
      <c r="AA3215" s="4">
        <v>146</v>
      </c>
      <c r="AB3215" s="4">
        <v>4</v>
      </c>
      <c r="AC3215" s="4">
        <v>24</v>
      </c>
      <c r="AD3215" s="4">
        <v>104</v>
      </c>
      <c r="AE3215" s="4">
        <v>174</v>
      </c>
      <c r="AF3215" s="4">
        <v>2</v>
      </c>
      <c r="AG3215" s="4">
        <v>9</v>
      </c>
      <c r="AH3215" s="4">
        <v>86</v>
      </c>
      <c r="AI3215" s="4">
        <v>117</v>
      </c>
      <c r="AJ3215" s="4">
        <v>16</v>
      </c>
      <c r="AK3215" s="4">
        <v>30</v>
      </c>
      <c r="AL3215" s="4">
        <v>48</v>
      </c>
      <c r="AM3215" s="4">
        <v>62</v>
      </c>
      <c r="AN3215" s="4">
        <v>0</v>
      </c>
      <c r="AO3215" s="4">
        <v>0</v>
      </c>
      <c r="AP3215" s="4">
        <v>25</v>
      </c>
      <c r="AQ3215" s="4">
        <v>62</v>
      </c>
      <c r="AR3215" s="3" t="s">
        <v>62</v>
      </c>
      <c r="AS3215" s="3" t="s">
        <v>62</v>
      </c>
      <c r="AT3215" s="3" t="s">
        <v>62</v>
      </c>
      <c r="AV3215" s="6" t="str">
        <f>HYPERLINK("http://mcgill.on.worldcat.org/oclc/62132939","Catalog Record")</f>
        <v>Catalog Record</v>
      </c>
      <c r="AW3215" s="6" t="str">
        <f>HYPERLINK("http://www.worldcat.org/oclc/62132939","WorldCat Record")</f>
        <v>WorldCat Record</v>
      </c>
      <c r="AX3215" s="3" t="s">
        <v>31161</v>
      </c>
      <c r="AY3215" s="3" t="s">
        <v>31214</v>
      </c>
      <c r="AZ3215" s="3" t="s">
        <v>31215</v>
      </c>
      <c r="BA3215" s="3" t="s">
        <v>31215</v>
      </c>
      <c r="BB3215" s="3" t="s">
        <v>31216</v>
      </c>
      <c r="BC3215" s="3" t="s">
        <v>142</v>
      </c>
      <c r="BD3215" s="3" t="s">
        <v>308</v>
      </c>
      <c r="BE3215" s="3" t="s">
        <v>31217</v>
      </c>
      <c r="BF3215" s="3" t="s">
        <v>31216</v>
      </c>
      <c r="BG3215" s="3" t="s">
        <v>31218</v>
      </c>
    </row>
    <row r="3216" spans="1:59" ht="57" x14ac:dyDescent="0.45">
      <c r="A3216" s="2" t="s">
        <v>59</v>
      </c>
      <c r="B3216" s="2" t="s">
        <v>60</v>
      </c>
      <c r="C3216" s="2" t="s">
        <v>31219</v>
      </c>
      <c r="D3216" s="2" t="s">
        <v>31220</v>
      </c>
      <c r="E3216" s="2" t="s">
        <v>31221</v>
      </c>
      <c r="G3216" s="3" t="s">
        <v>62</v>
      </c>
      <c r="I3216" s="3" t="s">
        <v>62</v>
      </c>
      <c r="J3216" s="3" t="s">
        <v>62</v>
      </c>
      <c r="K3216" s="3" t="s">
        <v>63</v>
      </c>
      <c r="L3216" s="2" t="s">
        <v>31222</v>
      </c>
      <c r="M3216" s="2" t="s">
        <v>7564</v>
      </c>
      <c r="N3216" s="3" t="s">
        <v>1478</v>
      </c>
      <c r="P3216" s="3" t="s">
        <v>65</v>
      </c>
      <c r="R3216" s="3" t="s">
        <v>66</v>
      </c>
      <c r="S3216" s="4">
        <v>26</v>
      </c>
      <c r="T3216" s="4">
        <v>26</v>
      </c>
      <c r="U3216" s="5" t="s">
        <v>31223</v>
      </c>
      <c r="V3216" s="5" t="s">
        <v>31223</v>
      </c>
      <c r="W3216" s="5" t="s">
        <v>67</v>
      </c>
      <c r="X3216" s="5" t="s">
        <v>67</v>
      </c>
      <c r="Y3216" s="4">
        <v>485</v>
      </c>
      <c r="Z3216" s="4">
        <v>29</v>
      </c>
      <c r="AA3216" s="4">
        <v>45</v>
      </c>
      <c r="AB3216" s="4">
        <v>2</v>
      </c>
      <c r="AC3216" s="4">
        <v>9</v>
      </c>
      <c r="AD3216" s="4">
        <v>113</v>
      </c>
      <c r="AE3216" s="4">
        <v>124</v>
      </c>
      <c r="AF3216" s="4">
        <v>1</v>
      </c>
      <c r="AG3216" s="4">
        <v>4</v>
      </c>
      <c r="AH3216" s="4">
        <v>97</v>
      </c>
      <c r="AI3216" s="4">
        <v>100</v>
      </c>
      <c r="AJ3216" s="4">
        <v>19</v>
      </c>
      <c r="AK3216" s="4">
        <v>23</v>
      </c>
      <c r="AL3216" s="4">
        <v>55</v>
      </c>
      <c r="AM3216" s="4">
        <v>55</v>
      </c>
      <c r="AN3216" s="4">
        <v>0</v>
      </c>
      <c r="AO3216" s="4">
        <v>0</v>
      </c>
      <c r="AP3216" s="4">
        <v>25</v>
      </c>
      <c r="AQ3216" s="4">
        <v>34</v>
      </c>
      <c r="AR3216" s="3" t="s">
        <v>62</v>
      </c>
      <c r="AS3216" s="3" t="s">
        <v>62</v>
      </c>
      <c r="AT3216" s="3" t="s">
        <v>62</v>
      </c>
      <c r="AV3216" s="6" t="str">
        <f>HYPERLINK("http://mcgill.on.worldcat.org/oclc/33078546","Catalog Record")</f>
        <v>Catalog Record</v>
      </c>
      <c r="AW3216" s="6" t="str">
        <f>HYPERLINK("http://www.worldcat.org/oclc/33078546","WorldCat Record")</f>
        <v>WorldCat Record</v>
      </c>
      <c r="AX3216" s="3" t="s">
        <v>31224</v>
      </c>
      <c r="AY3216" s="3" t="s">
        <v>31225</v>
      </c>
      <c r="AZ3216" s="3" t="s">
        <v>31226</v>
      </c>
      <c r="BA3216" s="3" t="s">
        <v>31226</v>
      </c>
      <c r="BB3216" s="3" t="s">
        <v>31227</v>
      </c>
      <c r="BC3216" s="3" t="s">
        <v>142</v>
      </c>
      <c r="BD3216" s="3" t="s">
        <v>68</v>
      </c>
      <c r="BE3216" s="3" t="s">
        <v>31228</v>
      </c>
      <c r="BF3216" s="3" t="s">
        <v>31227</v>
      </c>
      <c r="BG3216" s="3" t="s">
        <v>31229</v>
      </c>
    </row>
    <row r="3217" spans="1:59" ht="57" x14ac:dyDescent="0.45">
      <c r="A3217" s="2" t="s">
        <v>59</v>
      </c>
      <c r="B3217" s="2" t="s">
        <v>60</v>
      </c>
      <c r="C3217" s="2" t="s">
        <v>31230</v>
      </c>
      <c r="D3217" s="2" t="s">
        <v>31231</v>
      </c>
      <c r="E3217" s="2" t="s">
        <v>31232</v>
      </c>
      <c r="G3217" s="3" t="s">
        <v>62</v>
      </c>
      <c r="I3217" s="3" t="s">
        <v>62</v>
      </c>
      <c r="J3217" s="3" t="s">
        <v>62</v>
      </c>
      <c r="K3217" s="3" t="s">
        <v>63</v>
      </c>
      <c r="L3217" s="2" t="s">
        <v>31233</v>
      </c>
      <c r="M3217" s="2" t="s">
        <v>31234</v>
      </c>
      <c r="N3217" s="3" t="s">
        <v>958</v>
      </c>
      <c r="P3217" s="3" t="s">
        <v>65</v>
      </c>
      <c r="R3217" s="3" t="s">
        <v>66</v>
      </c>
      <c r="S3217" s="4">
        <v>11</v>
      </c>
      <c r="T3217" s="4">
        <v>11</v>
      </c>
      <c r="U3217" s="5" t="s">
        <v>6370</v>
      </c>
      <c r="V3217" s="5" t="s">
        <v>6370</v>
      </c>
      <c r="W3217" s="5" t="s">
        <v>67</v>
      </c>
      <c r="X3217" s="5" t="s">
        <v>67</v>
      </c>
      <c r="Y3217" s="4">
        <v>284</v>
      </c>
      <c r="Z3217" s="4">
        <v>13</v>
      </c>
      <c r="AA3217" s="4">
        <v>62</v>
      </c>
      <c r="AB3217" s="4">
        <v>2</v>
      </c>
      <c r="AC3217" s="4">
        <v>17</v>
      </c>
      <c r="AD3217" s="4">
        <v>87</v>
      </c>
      <c r="AE3217" s="4">
        <v>127</v>
      </c>
      <c r="AF3217" s="4">
        <v>1</v>
      </c>
      <c r="AG3217" s="4">
        <v>8</v>
      </c>
      <c r="AH3217" s="4">
        <v>81</v>
      </c>
      <c r="AI3217" s="4">
        <v>86</v>
      </c>
      <c r="AJ3217" s="4">
        <v>10</v>
      </c>
      <c r="AK3217" s="4">
        <v>23</v>
      </c>
      <c r="AL3217" s="4">
        <v>50</v>
      </c>
      <c r="AM3217" s="4">
        <v>50</v>
      </c>
      <c r="AN3217" s="4">
        <v>0</v>
      </c>
      <c r="AO3217" s="4">
        <v>0</v>
      </c>
      <c r="AP3217" s="4">
        <v>10</v>
      </c>
      <c r="AQ3217" s="4">
        <v>47</v>
      </c>
      <c r="AR3217" s="3" t="s">
        <v>62</v>
      </c>
      <c r="AS3217" s="3" t="s">
        <v>62</v>
      </c>
      <c r="AT3217" s="3" t="s">
        <v>62</v>
      </c>
      <c r="AV3217" s="6" t="str">
        <f>HYPERLINK("http://mcgill.on.worldcat.org/oclc/32131924","Catalog Record")</f>
        <v>Catalog Record</v>
      </c>
      <c r="AW3217" s="6" t="str">
        <f>HYPERLINK("http://www.worldcat.org/oclc/32131924","WorldCat Record")</f>
        <v>WorldCat Record</v>
      </c>
      <c r="AX3217" s="3" t="s">
        <v>31235</v>
      </c>
      <c r="AY3217" s="3" t="s">
        <v>31236</v>
      </c>
      <c r="AZ3217" s="3" t="s">
        <v>31237</v>
      </c>
      <c r="BA3217" s="3" t="s">
        <v>31237</v>
      </c>
      <c r="BB3217" s="3" t="s">
        <v>31238</v>
      </c>
      <c r="BC3217" s="3" t="s">
        <v>142</v>
      </c>
      <c r="BD3217" s="3" t="s">
        <v>308</v>
      </c>
      <c r="BE3217" s="3" t="s">
        <v>31239</v>
      </c>
      <c r="BF3217" s="3" t="s">
        <v>31238</v>
      </c>
      <c r="BG3217" s="3" t="s">
        <v>31240</v>
      </c>
    </row>
    <row r="3218" spans="1:59" ht="57" x14ac:dyDescent="0.45">
      <c r="A3218" s="2" t="s">
        <v>59</v>
      </c>
      <c r="B3218" s="2" t="s">
        <v>60</v>
      </c>
      <c r="C3218" s="2" t="s">
        <v>31241</v>
      </c>
      <c r="D3218" s="2" t="s">
        <v>31242</v>
      </c>
      <c r="E3218" s="2" t="s">
        <v>31243</v>
      </c>
      <c r="F3218" s="3" t="s">
        <v>31244</v>
      </c>
      <c r="G3218" s="3" t="s">
        <v>61</v>
      </c>
      <c r="I3218" s="3" t="s">
        <v>62</v>
      </c>
      <c r="J3218" s="3" t="s">
        <v>62</v>
      </c>
      <c r="K3218" s="3" t="s">
        <v>63</v>
      </c>
      <c r="L3218" s="2" t="s">
        <v>31245</v>
      </c>
      <c r="M3218" s="2" t="s">
        <v>31246</v>
      </c>
      <c r="N3218" s="3" t="s">
        <v>220</v>
      </c>
      <c r="P3218" s="3" t="s">
        <v>110</v>
      </c>
      <c r="R3218" s="3" t="s">
        <v>66</v>
      </c>
      <c r="S3218" s="4">
        <v>1</v>
      </c>
      <c r="T3218" s="4">
        <v>3</v>
      </c>
      <c r="U3218" s="5" t="s">
        <v>23238</v>
      </c>
      <c r="V3218" s="5" t="s">
        <v>31247</v>
      </c>
      <c r="W3218" s="5" t="s">
        <v>67</v>
      </c>
      <c r="X3218" s="5" t="s">
        <v>67</v>
      </c>
      <c r="Y3218" s="4">
        <v>17</v>
      </c>
      <c r="Z3218" s="4">
        <v>5</v>
      </c>
      <c r="AA3218" s="4">
        <v>5</v>
      </c>
      <c r="AB3218" s="4">
        <v>1</v>
      </c>
      <c r="AC3218" s="4">
        <v>1</v>
      </c>
      <c r="AD3218" s="4">
        <v>10</v>
      </c>
      <c r="AE3218" s="4">
        <v>10</v>
      </c>
      <c r="AF3218" s="4">
        <v>0</v>
      </c>
      <c r="AG3218" s="4">
        <v>0</v>
      </c>
      <c r="AH3218" s="4">
        <v>8</v>
      </c>
      <c r="AI3218" s="4">
        <v>8</v>
      </c>
      <c r="AJ3218" s="4">
        <v>3</v>
      </c>
      <c r="AK3218" s="4">
        <v>3</v>
      </c>
      <c r="AL3218" s="4">
        <v>4</v>
      </c>
      <c r="AM3218" s="4">
        <v>4</v>
      </c>
      <c r="AN3218" s="4">
        <v>0</v>
      </c>
      <c r="AO3218" s="4">
        <v>0</v>
      </c>
      <c r="AP3218" s="4">
        <v>4</v>
      </c>
      <c r="AQ3218" s="4">
        <v>4</v>
      </c>
      <c r="AR3218" s="3" t="s">
        <v>61</v>
      </c>
      <c r="AS3218" s="3" t="s">
        <v>62</v>
      </c>
      <c r="AT3218" s="3" t="s">
        <v>62</v>
      </c>
      <c r="AV3218" s="6" t="str">
        <f>HYPERLINK("http://mcgill.on.worldcat.org/oclc/4023962","Catalog Record")</f>
        <v>Catalog Record</v>
      </c>
      <c r="AW3218" s="6" t="str">
        <f>HYPERLINK("http://www.worldcat.org/oclc/4023962","WorldCat Record")</f>
        <v>WorldCat Record</v>
      </c>
      <c r="AX3218" s="3" t="s">
        <v>31248</v>
      </c>
      <c r="AY3218" s="3" t="s">
        <v>31249</v>
      </c>
      <c r="AZ3218" s="3" t="s">
        <v>31250</v>
      </c>
      <c r="BA3218" s="3" t="s">
        <v>31250</v>
      </c>
      <c r="BB3218" s="3" t="s">
        <v>31251</v>
      </c>
      <c r="BC3218" s="3" t="s">
        <v>142</v>
      </c>
      <c r="BD3218" s="3" t="s">
        <v>68</v>
      </c>
      <c r="BF3218" s="3" t="s">
        <v>31251</v>
      </c>
      <c r="BG3218" s="3" t="s">
        <v>31252</v>
      </c>
    </row>
    <row r="3219" spans="1:59" ht="57" x14ac:dyDescent="0.45">
      <c r="A3219" s="2" t="s">
        <v>59</v>
      </c>
      <c r="B3219" s="2" t="s">
        <v>60</v>
      </c>
      <c r="C3219" s="2" t="s">
        <v>31241</v>
      </c>
      <c r="D3219" s="2" t="s">
        <v>31242</v>
      </c>
      <c r="E3219" s="2" t="s">
        <v>31243</v>
      </c>
      <c r="F3219" s="3" t="s">
        <v>31253</v>
      </c>
      <c r="G3219" s="3" t="s">
        <v>61</v>
      </c>
      <c r="I3219" s="3" t="s">
        <v>62</v>
      </c>
      <c r="J3219" s="3" t="s">
        <v>62</v>
      </c>
      <c r="K3219" s="3" t="s">
        <v>63</v>
      </c>
      <c r="L3219" s="2" t="s">
        <v>31245</v>
      </c>
      <c r="M3219" s="2" t="s">
        <v>31246</v>
      </c>
      <c r="N3219" s="3" t="s">
        <v>220</v>
      </c>
      <c r="P3219" s="3" t="s">
        <v>110</v>
      </c>
      <c r="R3219" s="3" t="s">
        <v>66</v>
      </c>
      <c r="S3219" s="4">
        <v>2</v>
      </c>
      <c r="T3219" s="4">
        <v>3</v>
      </c>
      <c r="U3219" s="5" t="s">
        <v>31247</v>
      </c>
      <c r="V3219" s="5" t="s">
        <v>31247</v>
      </c>
      <c r="W3219" s="5" t="s">
        <v>67</v>
      </c>
      <c r="X3219" s="5" t="s">
        <v>67</v>
      </c>
      <c r="Y3219" s="4">
        <v>17</v>
      </c>
      <c r="Z3219" s="4">
        <v>5</v>
      </c>
      <c r="AA3219" s="4">
        <v>5</v>
      </c>
      <c r="AB3219" s="4">
        <v>1</v>
      </c>
      <c r="AC3219" s="4">
        <v>1</v>
      </c>
      <c r="AD3219" s="4">
        <v>10</v>
      </c>
      <c r="AE3219" s="4">
        <v>10</v>
      </c>
      <c r="AF3219" s="4">
        <v>0</v>
      </c>
      <c r="AG3219" s="4">
        <v>0</v>
      </c>
      <c r="AH3219" s="4">
        <v>8</v>
      </c>
      <c r="AI3219" s="4">
        <v>8</v>
      </c>
      <c r="AJ3219" s="4">
        <v>3</v>
      </c>
      <c r="AK3219" s="4">
        <v>3</v>
      </c>
      <c r="AL3219" s="4">
        <v>4</v>
      </c>
      <c r="AM3219" s="4">
        <v>4</v>
      </c>
      <c r="AN3219" s="4">
        <v>0</v>
      </c>
      <c r="AO3219" s="4">
        <v>0</v>
      </c>
      <c r="AP3219" s="4">
        <v>4</v>
      </c>
      <c r="AQ3219" s="4">
        <v>4</v>
      </c>
      <c r="AR3219" s="3" t="s">
        <v>61</v>
      </c>
      <c r="AS3219" s="3" t="s">
        <v>62</v>
      </c>
      <c r="AT3219" s="3" t="s">
        <v>62</v>
      </c>
      <c r="AV3219" s="6" t="str">
        <f>HYPERLINK("http://mcgill.on.worldcat.org/oclc/4023962","Catalog Record")</f>
        <v>Catalog Record</v>
      </c>
      <c r="AW3219" s="6" t="str">
        <f>HYPERLINK("http://www.worldcat.org/oclc/4023962","WorldCat Record")</f>
        <v>WorldCat Record</v>
      </c>
      <c r="AX3219" s="3" t="s">
        <v>31248</v>
      </c>
      <c r="AY3219" s="3" t="s">
        <v>31249</v>
      </c>
      <c r="AZ3219" s="3" t="s">
        <v>31250</v>
      </c>
      <c r="BA3219" s="3" t="s">
        <v>31250</v>
      </c>
      <c r="BB3219" s="3" t="s">
        <v>31254</v>
      </c>
      <c r="BC3219" s="3" t="s">
        <v>142</v>
      </c>
      <c r="BD3219" s="3" t="s">
        <v>68</v>
      </c>
      <c r="BF3219" s="3" t="s">
        <v>31254</v>
      </c>
      <c r="BG3219" s="3" t="s">
        <v>31255</v>
      </c>
    </row>
    <row r="3220" spans="1:59" ht="57" x14ac:dyDescent="0.45">
      <c r="A3220" s="2" t="s">
        <v>59</v>
      </c>
      <c r="B3220" s="2" t="s">
        <v>60</v>
      </c>
      <c r="C3220" s="2" t="s">
        <v>31256</v>
      </c>
      <c r="D3220" s="2" t="s">
        <v>31257</v>
      </c>
      <c r="E3220" s="2" t="s">
        <v>31258</v>
      </c>
      <c r="G3220" s="3" t="s">
        <v>62</v>
      </c>
      <c r="I3220" s="3" t="s">
        <v>62</v>
      </c>
      <c r="J3220" s="3" t="s">
        <v>62</v>
      </c>
      <c r="K3220" s="3" t="s">
        <v>63</v>
      </c>
      <c r="M3220" s="2" t="s">
        <v>31259</v>
      </c>
      <c r="N3220" s="3" t="s">
        <v>529</v>
      </c>
      <c r="P3220" s="3" t="s">
        <v>110</v>
      </c>
      <c r="R3220" s="3" t="s">
        <v>66</v>
      </c>
      <c r="S3220" s="4">
        <v>8</v>
      </c>
      <c r="T3220" s="4">
        <v>8</v>
      </c>
      <c r="U3220" s="5" t="s">
        <v>23761</v>
      </c>
      <c r="V3220" s="5" t="s">
        <v>23761</v>
      </c>
      <c r="W3220" s="5" t="s">
        <v>67</v>
      </c>
      <c r="X3220" s="5" t="s">
        <v>67</v>
      </c>
      <c r="Y3220" s="4">
        <v>94</v>
      </c>
      <c r="Z3220" s="4">
        <v>12</v>
      </c>
      <c r="AA3220" s="4">
        <v>20</v>
      </c>
      <c r="AB3220" s="4">
        <v>1</v>
      </c>
      <c r="AC3220" s="4">
        <v>8</v>
      </c>
      <c r="AD3220" s="4">
        <v>53</v>
      </c>
      <c r="AE3220" s="4">
        <v>58</v>
      </c>
      <c r="AF3220" s="4">
        <v>0</v>
      </c>
      <c r="AG3220" s="4">
        <v>4</v>
      </c>
      <c r="AH3220" s="4">
        <v>46</v>
      </c>
      <c r="AI3220" s="4">
        <v>47</v>
      </c>
      <c r="AJ3220" s="4">
        <v>8</v>
      </c>
      <c r="AK3220" s="4">
        <v>12</v>
      </c>
      <c r="AL3220" s="4">
        <v>30</v>
      </c>
      <c r="AM3220" s="4">
        <v>30</v>
      </c>
      <c r="AN3220" s="4">
        <v>0</v>
      </c>
      <c r="AO3220" s="4">
        <v>0</v>
      </c>
      <c r="AP3220" s="4">
        <v>10</v>
      </c>
      <c r="AQ3220" s="4">
        <v>14</v>
      </c>
      <c r="AR3220" s="3" t="s">
        <v>62</v>
      </c>
      <c r="AS3220" s="3" t="s">
        <v>62</v>
      </c>
      <c r="AT3220" s="3" t="s">
        <v>61</v>
      </c>
      <c r="AU3220" s="6" t="str">
        <f>HYPERLINK("http://catalog.hathitrust.org/Record/000621977","HathiTrust Record")</f>
        <v>HathiTrust Record</v>
      </c>
      <c r="AV3220" s="6" t="str">
        <f>HYPERLINK("http://mcgill.on.worldcat.org/oclc/14954586","Catalog Record")</f>
        <v>Catalog Record</v>
      </c>
      <c r="AW3220" s="6" t="str">
        <f>HYPERLINK("http://www.worldcat.org/oclc/14954586","WorldCat Record")</f>
        <v>WorldCat Record</v>
      </c>
      <c r="AX3220" s="3" t="s">
        <v>31260</v>
      </c>
      <c r="AY3220" s="3" t="s">
        <v>31261</v>
      </c>
      <c r="AZ3220" s="3" t="s">
        <v>31262</v>
      </c>
      <c r="BA3220" s="3" t="s">
        <v>31262</v>
      </c>
      <c r="BB3220" s="3" t="s">
        <v>31263</v>
      </c>
      <c r="BC3220" s="3" t="s">
        <v>142</v>
      </c>
      <c r="BD3220" s="3" t="s">
        <v>68</v>
      </c>
      <c r="BE3220" s="3" t="s">
        <v>31264</v>
      </c>
      <c r="BF3220" s="3" t="s">
        <v>31263</v>
      </c>
      <c r="BG3220" s="3" t="s">
        <v>31265</v>
      </c>
    </row>
    <row r="3221" spans="1:59" ht="57" x14ac:dyDescent="0.45">
      <c r="A3221" s="2" t="s">
        <v>59</v>
      </c>
      <c r="B3221" s="2" t="s">
        <v>60</v>
      </c>
      <c r="C3221" s="2" t="s">
        <v>31266</v>
      </c>
      <c r="D3221" s="2" t="s">
        <v>31267</v>
      </c>
      <c r="E3221" s="2" t="s">
        <v>31268</v>
      </c>
      <c r="G3221" s="3" t="s">
        <v>62</v>
      </c>
      <c r="I3221" s="3" t="s">
        <v>62</v>
      </c>
      <c r="J3221" s="3" t="s">
        <v>62</v>
      </c>
      <c r="K3221" s="3" t="s">
        <v>63</v>
      </c>
      <c r="L3221" s="2" t="s">
        <v>31269</v>
      </c>
      <c r="M3221" s="2" t="s">
        <v>31270</v>
      </c>
      <c r="N3221" s="3" t="s">
        <v>1212</v>
      </c>
      <c r="P3221" s="3" t="s">
        <v>65</v>
      </c>
      <c r="R3221" s="3" t="s">
        <v>66</v>
      </c>
      <c r="S3221" s="4">
        <v>30</v>
      </c>
      <c r="T3221" s="4">
        <v>30</v>
      </c>
      <c r="U3221" s="5" t="s">
        <v>31271</v>
      </c>
      <c r="V3221" s="5" t="s">
        <v>31271</v>
      </c>
      <c r="W3221" s="5" t="s">
        <v>67</v>
      </c>
      <c r="X3221" s="5" t="s">
        <v>67</v>
      </c>
      <c r="Y3221" s="4">
        <v>223</v>
      </c>
      <c r="Z3221" s="4">
        <v>20</v>
      </c>
      <c r="AA3221" s="4">
        <v>22</v>
      </c>
      <c r="AB3221" s="4">
        <v>2</v>
      </c>
      <c r="AC3221" s="4">
        <v>3</v>
      </c>
      <c r="AD3221" s="4">
        <v>77</v>
      </c>
      <c r="AE3221" s="4">
        <v>79</v>
      </c>
      <c r="AF3221" s="4">
        <v>0</v>
      </c>
      <c r="AG3221" s="4">
        <v>1</v>
      </c>
      <c r="AH3221" s="4">
        <v>70</v>
      </c>
      <c r="AI3221" s="4">
        <v>70</v>
      </c>
      <c r="AJ3221" s="4">
        <v>13</v>
      </c>
      <c r="AK3221" s="4">
        <v>13</v>
      </c>
      <c r="AL3221" s="4">
        <v>39</v>
      </c>
      <c r="AM3221" s="4">
        <v>39</v>
      </c>
      <c r="AN3221" s="4">
        <v>0</v>
      </c>
      <c r="AO3221" s="4">
        <v>0</v>
      </c>
      <c r="AP3221" s="4">
        <v>15</v>
      </c>
      <c r="AQ3221" s="4">
        <v>17</v>
      </c>
      <c r="AR3221" s="3" t="s">
        <v>62</v>
      </c>
      <c r="AS3221" s="3" t="s">
        <v>62</v>
      </c>
      <c r="AT3221" s="3" t="s">
        <v>61</v>
      </c>
      <c r="AU3221" s="6" t="str">
        <f>HYPERLINK("http://catalog.hathitrust.org/Record/004102111","HathiTrust Record")</f>
        <v>HathiTrust Record</v>
      </c>
      <c r="AV3221" s="6" t="str">
        <f>HYPERLINK("http://mcgill.on.worldcat.org/oclc/44508937","Catalog Record")</f>
        <v>Catalog Record</v>
      </c>
      <c r="AW3221" s="6" t="str">
        <f>HYPERLINK("http://www.worldcat.org/oclc/44508937","WorldCat Record")</f>
        <v>WorldCat Record</v>
      </c>
      <c r="AX3221" s="3" t="s">
        <v>31272</v>
      </c>
      <c r="AY3221" s="3" t="s">
        <v>31273</v>
      </c>
      <c r="AZ3221" s="3" t="s">
        <v>31274</v>
      </c>
      <c r="BA3221" s="3" t="s">
        <v>31274</v>
      </c>
      <c r="BB3221" s="3" t="s">
        <v>31275</v>
      </c>
      <c r="BC3221" s="3" t="s">
        <v>142</v>
      </c>
      <c r="BD3221" s="3" t="s">
        <v>308</v>
      </c>
      <c r="BE3221" s="3" t="s">
        <v>31276</v>
      </c>
      <c r="BF3221" s="3" t="s">
        <v>31275</v>
      </c>
      <c r="BG3221" s="3" t="s">
        <v>31277</v>
      </c>
    </row>
    <row r="3222" spans="1:59" ht="57" x14ac:dyDescent="0.45">
      <c r="A3222" s="2" t="s">
        <v>59</v>
      </c>
      <c r="B3222" s="2" t="s">
        <v>60</v>
      </c>
      <c r="C3222" s="2" t="s">
        <v>31278</v>
      </c>
      <c r="D3222" s="2" t="s">
        <v>31279</v>
      </c>
      <c r="E3222" s="2" t="s">
        <v>31280</v>
      </c>
      <c r="G3222" s="3" t="s">
        <v>62</v>
      </c>
      <c r="I3222" s="3" t="s">
        <v>62</v>
      </c>
      <c r="J3222" s="3" t="s">
        <v>62</v>
      </c>
      <c r="K3222" s="3" t="s">
        <v>63</v>
      </c>
      <c r="L3222" s="2" t="s">
        <v>31281</v>
      </c>
      <c r="M3222" s="2" t="s">
        <v>31282</v>
      </c>
      <c r="N3222" s="3" t="s">
        <v>116</v>
      </c>
      <c r="P3222" s="3" t="s">
        <v>65</v>
      </c>
      <c r="R3222" s="3" t="s">
        <v>66</v>
      </c>
      <c r="S3222" s="4">
        <v>2</v>
      </c>
      <c r="T3222" s="4">
        <v>2</v>
      </c>
      <c r="U3222" s="5" t="s">
        <v>31283</v>
      </c>
      <c r="V3222" s="5" t="s">
        <v>31283</v>
      </c>
      <c r="W3222" s="5" t="s">
        <v>67</v>
      </c>
      <c r="X3222" s="5" t="s">
        <v>67</v>
      </c>
      <c r="Y3222" s="4">
        <v>69</v>
      </c>
      <c r="Z3222" s="4">
        <v>17</v>
      </c>
      <c r="AA3222" s="4">
        <v>21</v>
      </c>
      <c r="AB3222" s="4">
        <v>1</v>
      </c>
      <c r="AC3222" s="4">
        <v>4</v>
      </c>
      <c r="AD3222" s="4">
        <v>27</v>
      </c>
      <c r="AE3222" s="4">
        <v>35</v>
      </c>
      <c r="AF3222" s="4">
        <v>0</v>
      </c>
      <c r="AG3222" s="4">
        <v>1</v>
      </c>
      <c r="AH3222" s="4">
        <v>22</v>
      </c>
      <c r="AI3222" s="4">
        <v>30</v>
      </c>
      <c r="AJ3222" s="4">
        <v>10</v>
      </c>
      <c r="AK3222" s="4">
        <v>12</v>
      </c>
      <c r="AL3222" s="4">
        <v>11</v>
      </c>
      <c r="AM3222" s="4">
        <v>16</v>
      </c>
      <c r="AN3222" s="4">
        <v>0</v>
      </c>
      <c r="AO3222" s="4">
        <v>0</v>
      </c>
      <c r="AP3222" s="4">
        <v>13</v>
      </c>
      <c r="AQ3222" s="4">
        <v>15</v>
      </c>
      <c r="AR3222" s="3" t="s">
        <v>62</v>
      </c>
      <c r="AS3222" s="3" t="s">
        <v>62</v>
      </c>
      <c r="AT3222" s="3" t="s">
        <v>62</v>
      </c>
      <c r="AV3222" s="6" t="str">
        <f>HYPERLINK("http://mcgill.on.worldcat.org/oclc/657603360","Catalog Record")</f>
        <v>Catalog Record</v>
      </c>
      <c r="AW3222" s="6" t="str">
        <f>HYPERLINK("http://www.worldcat.org/oclc/657603360","WorldCat Record")</f>
        <v>WorldCat Record</v>
      </c>
      <c r="AX3222" s="3" t="s">
        <v>31284</v>
      </c>
      <c r="AY3222" s="3" t="s">
        <v>31285</v>
      </c>
      <c r="AZ3222" s="3" t="s">
        <v>31286</v>
      </c>
      <c r="BA3222" s="3" t="s">
        <v>31286</v>
      </c>
      <c r="BB3222" s="3" t="s">
        <v>31287</v>
      </c>
      <c r="BC3222" s="3" t="s">
        <v>142</v>
      </c>
      <c r="BD3222" s="3" t="s">
        <v>68</v>
      </c>
      <c r="BE3222" s="3" t="s">
        <v>31288</v>
      </c>
      <c r="BF3222" s="3" t="s">
        <v>31287</v>
      </c>
      <c r="BG3222" s="3" t="s">
        <v>31289</v>
      </c>
    </row>
    <row r="3223" spans="1:59" ht="57" x14ac:dyDescent="0.45">
      <c r="A3223" s="2" t="s">
        <v>59</v>
      </c>
      <c r="B3223" s="2" t="s">
        <v>60</v>
      </c>
      <c r="C3223" s="2" t="s">
        <v>31290</v>
      </c>
      <c r="D3223" s="2" t="s">
        <v>31291</v>
      </c>
      <c r="E3223" s="2" t="s">
        <v>31292</v>
      </c>
      <c r="G3223" s="3" t="s">
        <v>62</v>
      </c>
      <c r="I3223" s="3" t="s">
        <v>62</v>
      </c>
      <c r="J3223" s="3" t="s">
        <v>61</v>
      </c>
      <c r="K3223" s="3" t="s">
        <v>63</v>
      </c>
      <c r="L3223" s="2" t="s">
        <v>31293</v>
      </c>
      <c r="M3223" s="2" t="s">
        <v>31294</v>
      </c>
      <c r="N3223" s="3" t="s">
        <v>2107</v>
      </c>
      <c r="P3223" s="3" t="s">
        <v>65</v>
      </c>
      <c r="R3223" s="3" t="s">
        <v>66</v>
      </c>
      <c r="S3223" s="4">
        <v>80</v>
      </c>
      <c r="T3223" s="4">
        <v>80</v>
      </c>
      <c r="U3223" s="5" t="s">
        <v>9777</v>
      </c>
      <c r="V3223" s="5" t="s">
        <v>9777</v>
      </c>
      <c r="W3223" s="5" t="s">
        <v>67</v>
      </c>
      <c r="X3223" s="5" t="s">
        <v>67</v>
      </c>
      <c r="Y3223" s="4">
        <v>739</v>
      </c>
      <c r="Z3223" s="4">
        <v>42</v>
      </c>
      <c r="AA3223" s="4">
        <v>111</v>
      </c>
      <c r="AB3223" s="4">
        <v>3</v>
      </c>
      <c r="AC3223" s="4">
        <v>18</v>
      </c>
      <c r="AD3223" s="4">
        <v>133</v>
      </c>
      <c r="AE3223" s="4">
        <v>163</v>
      </c>
      <c r="AF3223" s="4">
        <v>2</v>
      </c>
      <c r="AG3223" s="4">
        <v>8</v>
      </c>
      <c r="AH3223" s="4">
        <v>109</v>
      </c>
      <c r="AI3223" s="4">
        <v>115</v>
      </c>
      <c r="AJ3223" s="4">
        <v>19</v>
      </c>
      <c r="AK3223" s="4">
        <v>27</v>
      </c>
      <c r="AL3223" s="4">
        <v>59</v>
      </c>
      <c r="AM3223" s="4">
        <v>61</v>
      </c>
      <c r="AN3223" s="4">
        <v>0</v>
      </c>
      <c r="AO3223" s="4">
        <v>0</v>
      </c>
      <c r="AP3223" s="4">
        <v>33</v>
      </c>
      <c r="AQ3223" s="4">
        <v>57</v>
      </c>
      <c r="AR3223" s="3" t="s">
        <v>62</v>
      </c>
      <c r="AS3223" s="3" t="s">
        <v>62</v>
      </c>
      <c r="AT3223" s="3" t="s">
        <v>61</v>
      </c>
      <c r="AU3223" s="6" t="str">
        <f>HYPERLINK("http://catalog.hathitrust.org/Record/000286303","HathiTrust Record")</f>
        <v>HathiTrust Record</v>
      </c>
      <c r="AV3223" s="6" t="str">
        <f>HYPERLINK("http://mcgill.on.worldcat.org/oclc/9827656","Catalog Record")</f>
        <v>Catalog Record</v>
      </c>
      <c r="AW3223" s="6" t="str">
        <f>HYPERLINK("http://www.worldcat.org/oclc/9827656","WorldCat Record")</f>
        <v>WorldCat Record</v>
      </c>
      <c r="AX3223" s="3" t="s">
        <v>31295</v>
      </c>
      <c r="AY3223" s="3" t="s">
        <v>31296</v>
      </c>
      <c r="AZ3223" s="3" t="s">
        <v>31297</v>
      </c>
      <c r="BA3223" s="3" t="s">
        <v>31297</v>
      </c>
      <c r="BB3223" s="3" t="s">
        <v>31298</v>
      </c>
      <c r="BC3223" s="3" t="s">
        <v>142</v>
      </c>
      <c r="BD3223" s="3" t="s">
        <v>68</v>
      </c>
      <c r="BE3223" s="3" t="s">
        <v>31299</v>
      </c>
      <c r="BF3223" s="3" t="s">
        <v>31298</v>
      </c>
      <c r="BG3223" s="3" t="s">
        <v>31300</v>
      </c>
    </row>
    <row r="3224" spans="1:59" ht="57" x14ac:dyDescent="0.45">
      <c r="A3224" s="2" t="s">
        <v>59</v>
      </c>
      <c r="B3224" s="2" t="s">
        <v>60</v>
      </c>
      <c r="C3224" s="2" t="s">
        <v>31301</v>
      </c>
      <c r="D3224" s="2" t="s">
        <v>31302</v>
      </c>
      <c r="E3224" s="2" t="s">
        <v>31292</v>
      </c>
      <c r="G3224" s="3" t="s">
        <v>62</v>
      </c>
      <c r="I3224" s="3" t="s">
        <v>62</v>
      </c>
      <c r="J3224" s="3" t="s">
        <v>61</v>
      </c>
      <c r="K3224" s="3" t="s">
        <v>63</v>
      </c>
      <c r="L3224" s="2" t="s">
        <v>31293</v>
      </c>
      <c r="M3224" s="2" t="s">
        <v>31303</v>
      </c>
      <c r="N3224" s="3" t="s">
        <v>542</v>
      </c>
      <c r="O3224" s="2" t="s">
        <v>933</v>
      </c>
      <c r="P3224" s="3" t="s">
        <v>65</v>
      </c>
      <c r="R3224" s="3" t="s">
        <v>66</v>
      </c>
      <c r="S3224" s="4">
        <v>32</v>
      </c>
      <c r="T3224" s="4">
        <v>32</v>
      </c>
      <c r="U3224" s="5" t="s">
        <v>2853</v>
      </c>
      <c r="V3224" s="5" t="s">
        <v>2853</v>
      </c>
      <c r="W3224" s="5" t="s">
        <v>67</v>
      </c>
      <c r="X3224" s="5" t="s">
        <v>67</v>
      </c>
      <c r="Y3224" s="4">
        <v>328</v>
      </c>
      <c r="Z3224" s="4">
        <v>14</v>
      </c>
      <c r="AA3224" s="4">
        <v>111</v>
      </c>
      <c r="AB3224" s="4">
        <v>2</v>
      </c>
      <c r="AC3224" s="4">
        <v>18</v>
      </c>
      <c r="AD3224" s="4">
        <v>74</v>
      </c>
      <c r="AE3224" s="4">
        <v>163</v>
      </c>
      <c r="AF3224" s="4">
        <v>0</v>
      </c>
      <c r="AG3224" s="4">
        <v>8</v>
      </c>
      <c r="AH3224" s="4">
        <v>68</v>
      </c>
      <c r="AI3224" s="4">
        <v>115</v>
      </c>
      <c r="AJ3224" s="4">
        <v>9</v>
      </c>
      <c r="AK3224" s="4">
        <v>27</v>
      </c>
      <c r="AL3224" s="4">
        <v>38</v>
      </c>
      <c r="AM3224" s="4">
        <v>61</v>
      </c>
      <c r="AN3224" s="4">
        <v>0</v>
      </c>
      <c r="AO3224" s="4">
        <v>0</v>
      </c>
      <c r="AP3224" s="4">
        <v>11</v>
      </c>
      <c r="AQ3224" s="4">
        <v>57</v>
      </c>
      <c r="AR3224" s="3" t="s">
        <v>62</v>
      </c>
      <c r="AS3224" s="3" t="s">
        <v>62</v>
      </c>
      <c r="AT3224" s="3" t="s">
        <v>61</v>
      </c>
      <c r="AU3224" s="6" t="str">
        <f>HYPERLINK("http://catalog.hathitrust.org/Record/004205389","HathiTrust Record")</f>
        <v>HathiTrust Record</v>
      </c>
      <c r="AV3224" s="6" t="str">
        <f>HYPERLINK("http://mcgill.on.worldcat.org/oclc/49672348","Catalog Record")</f>
        <v>Catalog Record</v>
      </c>
      <c r="AW3224" s="6" t="str">
        <f>HYPERLINK("http://www.worldcat.org/oclc/49672348","WorldCat Record")</f>
        <v>WorldCat Record</v>
      </c>
      <c r="AX3224" s="3" t="s">
        <v>31295</v>
      </c>
      <c r="AY3224" s="3" t="s">
        <v>31304</v>
      </c>
      <c r="AZ3224" s="3" t="s">
        <v>31305</v>
      </c>
      <c r="BA3224" s="3" t="s">
        <v>31305</v>
      </c>
      <c r="BB3224" s="3" t="s">
        <v>31306</v>
      </c>
      <c r="BC3224" s="3" t="s">
        <v>142</v>
      </c>
      <c r="BD3224" s="3" t="s">
        <v>68</v>
      </c>
      <c r="BE3224" s="3" t="s">
        <v>31307</v>
      </c>
      <c r="BF3224" s="3" t="s">
        <v>31306</v>
      </c>
      <c r="BG3224" s="3" t="s">
        <v>31308</v>
      </c>
    </row>
    <row r="3225" spans="1:59" ht="57" x14ac:dyDescent="0.45">
      <c r="A3225" s="2" t="s">
        <v>59</v>
      </c>
      <c r="B3225" s="2" t="s">
        <v>60</v>
      </c>
      <c r="C3225" s="2" t="s">
        <v>31309</v>
      </c>
      <c r="D3225" s="2" t="s">
        <v>31310</v>
      </c>
      <c r="E3225" s="2" t="s">
        <v>31311</v>
      </c>
      <c r="G3225" s="3" t="s">
        <v>62</v>
      </c>
      <c r="I3225" s="3" t="s">
        <v>62</v>
      </c>
      <c r="J3225" s="3" t="s">
        <v>62</v>
      </c>
      <c r="K3225" s="3" t="s">
        <v>63</v>
      </c>
      <c r="L3225" s="2" t="s">
        <v>30724</v>
      </c>
      <c r="M3225" s="2" t="s">
        <v>31312</v>
      </c>
      <c r="N3225" s="3" t="s">
        <v>793</v>
      </c>
      <c r="P3225" s="3" t="s">
        <v>110</v>
      </c>
      <c r="Q3225" s="2" t="s">
        <v>31313</v>
      </c>
      <c r="R3225" s="3" t="s">
        <v>66</v>
      </c>
      <c r="S3225" s="4">
        <v>18</v>
      </c>
      <c r="T3225" s="4">
        <v>18</v>
      </c>
      <c r="U3225" s="5" t="s">
        <v>613</v>
      </c>
      <c r="V3225" s="5" t="s">
        <v>613</v>
      </c>
      <c r="W3225" s="5" t="s">
        <v>67</v>
      </c>
      <c r="X3225" s="5" t="s">
        <v>67</v>
      </c>
      <c r="Y3225" s="4">
        <v>260</v>
      </c>
      <c r="Z3225" s="4">
        <v>24</v>
      </c>
      <c r="AA3225" s="4">
        <v>35</v>
      </c>
      <c r="AB3225" s="4">
        <v>1</v>
      </c>
      <c r="AC3225" s="4">
        <v>8</v>
      </c>
      <c r="AD3225" s="4">
        <v>96</v>
      </c>
      <c r="AE3225" s="4">
        <v>101</v>
      </c>
      <c r="AF3225" s="4">
        <v>0</v>
      </c>
      <c r="AG3225" s="4">
        <v>3</v>
      </c>
      <c r="AH3225" s="4">
        <v>81</v>
      </c>
      <c r="AI3225" s="4">
        <v>83</v>
      </c>
      <c r="AJ3225" s="4">
        <v>15</v>
      </c>
      <c r="AK3225" s="4">
        <v>19</v>
      </c>
      <c r="AL3225" s="4">
        <v>51</v>
      </c>
      <c r="AM3225" s="4">
        <v>51</v>
      </c>
      <c r="AN3225" s="4">
        <v>0</v>
      </c>
      <c r="AO3225" s="4">
        <v>0</v>
      </c>
      <c r="AP3225" s="4">
        <v>20</v>
      </c>
      <c r="AQ3225" s="4">
        <v>24</v>
      </c>
      <c r="AR3225" s="3" t="s">
        <v>62</v>
      </c>
      <c r="AS3225" s="3" t="s">
        <v>62</v>
      </c>
      <c r="AT3225" s="3" t="s">
        <v>62</v>
      </c>
      <c r="AV3225" s="6" t="str">
        <f>HYPERLINK("http://mcgill.on.worldcat.org/oclc/717179","Catalog Record")</f>
        <v>Catalog Record</v>
      </c>
      <c r="AW3225" s="6" t="str">
        <f>HYPERLINK("http://www.worldcat.org/oclc/717179","WorldCat Record")</f>
        <v>WorldCat Record</v>
      </c>
      <c r="AX3225" s="3" t="s">
        <v>31314</v>
      </c>
      <c r="AY3225" s="3" t="s">
        <v>31315</v>
      </c>
      <c r="AZ3225" s="3" t="s">
        <v>31316</v>
      </c>
      <c r="BA3225" s="3" t="s">
        <v>31316</v>
      </c>
      <c r="BB3225" s="3" t="s">
        <v>31317</v>
      </c>
      <c r="BC3225" s="3" t="s">
        <v>142</v>
      </c>
      <c r="BD3225" s="3" t="s">
        <v>68</v>
      </c>
      <c r="BE3225" s="3" t="s">
        <v>31318</v>
      </c>
      <c r="BF3225" s="3" t="s">
        <v>31317</v>
      </c>
      <c r="BG3225" s="3" t="s">
        <v>31319</v>
      </c>
    </row>
    <row r="3226" spans="1:59" ht="57" x14ac:dyDescent="0.45">
      <c r="A3226" s="2" t="s">
        <v>59</v>
      </c>
      <c r="B3226" s="2" t="s">
        <v>60</v>
      </c>
      <c r="C3226" s="2" t="s">
        <v>31320</v>
      </c>
      <c r="D3226" s="2" t="s">
        <v>31321</v>
      </c>
      <c r="E3226" s="2" t="s">
        <v>31322</v>
      </c>
      <c r="G3226" s="3" t="s">
        <v>62</v>
      </c>
      <c r="I3226" s="3" t="s">
        <v>62</v>
      </c>
      <c r="J3226" s="3" t="s">
        <v>62</v>
      </c>
      <c r="K3226" s="3" t="s">
        <v>63</v>
      </c>
      <c r="L3226" s="2" t="s">
        <v>30724</v>
      </c>
      <c r="M3226" s="2" t="s">
        <v>31323</v>
      </c>
      <c r="N3226" s="3" t="s">
        <v>122</v>
      </c>
      <c r="P3226" s="3" t="s">
        <v>110</v>
      </c>
      <c r="Q3226" s="2" t="s">
        <v>31324</v>
      </c>
      <c r="R3226" s="3" t="s">
        <v>66</v>
      </c>
      <c r="S3226" s="4">
        <v>12</v>
      </c>
      <c r="T3226" s="4">
        <v>12</v>
      </c>
      <c r="U3226" s="5" t="s">
        <v>19406</v>
      </c>
      <c r="V3226" s="5" t="s">
        <v>19406</v>
      </c>
      <c r="W3226" s="5" t="s">
        <v>67</v>
      </c>
      <c r="X3226" s="5" t="s">
        <v>67</v>
      </c>
      <c r="Y3226" s="4">
        <v>125</v>
      </c>
      <c r="Z3226" s="4">
        <v>9</v>
      </c>
      <c r="AA3226" s="4">
        <v>9</v>
      </c>
      <c r="AB3226" s="4">
        <v>2</v>
      </c>
      <c r="AC3226" s="4">
        <v>2</v>
      </c>
      <c r="AD3226" s="4">
        <v>55</v>
      </c>
      <c r="AE3226" s="4">
        <v>55</v>
      </c>
      <c r="AF3226" s="4">
        <v>1</v>
      </c>
      <c r="AG3226" s="4">
        <v>1</v>
      </c>
      <c r="AH3226" s="4">
        <v>48</v>
      </c>
      <c r="AI3226" s="4">
        <v>48</v>
      </c>
      <c r="AJ3226" s="4">
        <v>6</v>
      </c>
      <c r="AK3226" s="4">
        <v>6</v>
      </c>
      <c r="AL3226" s="4">
        <v>30</v>
      </c>
      <c r="AM3226" s="4">
        <v>30</v>
      </c>
      <c r="AN3226" s="4">
        <v>0</v>
      </c>
      <c r="AO3226" s="4">
        <v>0</v>
      </c>
      <c r="AP3226" s="4">
        <v>8</v>
      </c>
      <c r="AQ3226" s="4">
        <v>8</v>
      </c>
      <c r="AR3226" s="3" t="s">
        <v>62</v>
      </c>
      <c r="AS3226" s="3" t="s">
        <v>62</v>
      </c>
      <c r="AT3226" s="3" t="s">
        <v>61</v>
      </c>
      <c r="AU3226" s="6" t="str">
        <f>HYPERLINK("http://catalog.hathitrust.org/Record/007117264","HathiTrust Record")</f>
        <v>HathiTrust Record</v>
      </c>
      <c r="AV3226" s="6" t="str">
        <f>HYPERLINK("http://mcgill.on.worldcat.org/oclc/3274292","Catalog Record")</f>
        <v>Catalog Record</v>
      </c>
      <c r="AW3226" s="6" t="str">
        <f>HYPERLINK("http://www.worldcat.org/oclc/3274292","WorldCat Record")</f>
        <v>WorldCat Record</v>
      </c>
      <c r="AX3226" s="3" t="s">
        <v>31325</v>
      </c>
      <c r="AY3226" s="3" t="s">
        <v>31326</v>
      </c>
      <c r="AZ3226" s="3" t="s">
        <v>31327</v>
      </c>
      <c r="BA3226" s="3" t="s">
        <v>31327</v>
      </c>
      <c r="BB3226" s="3" t="s">
        <v>31328</v>
      </c>
      <c r="BC3226" s="3" t="s">
        <v>142</v>
      </c>
      <c r="BD3226" s="3" t="s">
        <v>68</v>
      </c>
      <c r="BE3226" s="3" t="s">
        <v>31329</v>
      </c>
      <c r="BF3226" s="3" t="s">
        <v>31328</v>
      </c>
      <c r="BG3226" s="3" t="s">
        <v>31330</v>
      </c>
    </row>
    <row r="3227" spans="1:59" ht="57" x14ac:dyDescent="0.45">
      <c r="A3227" s="2" t="s">
        <v>59</v>
      </c>
      <c r="B3227" s="2" t="s">
        <v>60</v>
      </c>
      <c r="C3227" s="2" t="s">
        <v>31331</v>
      </c>
      <c r="D3227" s="2" t="s">
        <v>31332</v>
      </c>
      <c r="E3227" s="2" t="s">
        <v>31333</v>
      </c>
      <c r="G3227" s="3" t="s">
        <v>62</v>
      </c>
      <c r="I3227" s="3" t="s">
        <v>62</v>
      </c>
      <c r="J3227" s="3" t="s">
        <v>62</v>
      </c>
      <c r="K3227" s="3" t="s">
        <v>63</v>
      </c>
      <c r="L3227" s="2" t="s">
        <v>30724</v>
      </c>
      <c r="M3227" s="2" t="s">
        <v>31334</v>
      </c>
      <c r="N3227" s="3" t="s">
        <v>1478</v>
      </c>
      <c r="P3227" s="3" t="s">
        <v>110</v>
      </c>
      <c r="Q3227" s="2" t="s">
        <v>31335</v>
      </c>
      <c r="R3227" s="3" t="s">
        <v>66</v>
      </c>
      <c r="S3227" s="4">
        <v>46</v>
      </c>
      <c r="T3227" s="4">
        <v>46</v>
      </c>
      <c r="U3227" s="5" t="s">
        <v>31336</v>
      </c>
      <c r="V3227" s="5" t="s">
        <v>31336</v>
      </c>
      <c r="W3227" s="5" t="s">
        <v>67</v>
      </c>
      <c r="X3227" s="5" t="s">
        <v>67</v>
      </c>
      <c r="Y3227" s="4">
        <v>174</v>
      </c>
      <c r="Z3227" s="4">
        <v>16</v>
      </c>
      <c r="AA3227" s="4">
        <v>22</v>
      </c>
      <c r="AB3227" s="4">
        <v>2</v>
      </c>
      <c r="AC3227" s="4">
        <v>6</v>
      </c>
      <c r="AD3227" s="4">
        <v>74</v>
      </c>
      <c r="AE3227" s="4">
        <v>79</v>
      </c>
      <c r="AF3227" s="4">
        <v>1</v>
      </c>
      <c r="AG3227" s="4">
        <v>4</v>
      </c>
      <c r="AH3227" s="4">
        <v>67</v>
      </c>
      <c r="AI3227" s="4">
        <v>69</v>
      </c>
      <c r="AJ3227" s="4">
        <v>14</v>
      </c>
      <c r="AK3227" s="4">
        <v>18</v>
      </c>
      <c r="AL3227" s="4">
        <v>47</v>
      </c>
      <c r="AM3227" s="4">
        <v>47</v>
      </c>
      <c r="AN3227" s="4">
        <v>0</v>
      </c>
      <c r="AO3227" s="4">
        <v>0</v>
      </c>
      <c r="AP3227" s="4">
        <v>14</v>
      </c>
      <c r="AQ3227" s="4">
        <v>18</v>
      </c>
      <c r="AR3227" s="3" t="s">
        <v>62</v>
      </c>
      <c r="AS3227" s="3" t="s">
        <v>62</v>
      </c>
      <c r="AT3227" s="3" t="s">
        <v>61</v>
      </c>
      <c r="AU3227" s="6" t="str">
        <f>HYPERLINK("http://catalog.hathitrust.org/Record/004051371","HathiTrust Record")</f>
        <v>HathiTrust Record</v>
      </c>
      <c r="AV3227" s="6" t="str">
        <f>HYPERLINK("http://mcgill.on.worldcat.org/oclc/35890249","Catalog Record")</f>
        <v>Catalog Record</v>
      </c>
      <c r="AW3227" s="6" t="str">
        <f>HYPERLINK("http://www.worldcat.org/oclc/35890249","WorldCat Record")</f>
        <v>WorldCat Record</v>
      </c>
      <c r="AX3227" s="3" t="s">
        <v>31337</v>
      </c>
      <c r="AY3227" s="3" t="s">
        <v>31338</v>
      </c>
      <c r="AZ3227" s="3" t="s">
        <v>31339</v>
      </c>
      <c r="BA3227" s="3" t="s">
        <v>31339</v>
      </c>
      <c r="BB3227" s="3" t="s">
        <v>31340</v>
      </c>
      <c r="BC3227" s="3" t="s">
        <v>142</v>
      </c>
      <c r="BD3227" s="3" t="s">
        <v>68</v>
      </c>
      <c r="BE3227" s="3" t="s">
        <v>31341</v>
      </c>
      <c r="BF3227" s="3" t="s">
        <v>31340</v>
      </c>
      <c r="BG3227" s="3" t="s">
        <v>31342</v>
      </c>
    </row>
    <row r="3228" spans="1:59" ht="57" x14ac:dyDescent="0.45">
      <c r="A3228" s="2" t="s">
        <v>59</v>
      </c>
      <c r="B3228" s="2" t="s">
        <v>60</v>
      </c>
      <c r="C3228" s="2" t="s">
        <v>31343</v>
      </c>
      <c r="D3228" s="2" t="s">
        <v>31344</v>
      </c>
      <c r="E3228" s="2" t="s">
        <v>31345</v>
      </c>
      <c r="G3228" s="3" t="s">
        <v>62</v>
      </c>
      <c r="I3228" s="3" t="s">
        <v>62</v>
      </c>
      <c r="J3228" s="3" t="s">
        <v>62</v>
      </c>
      <c r="K3228" s="3" t="s">
        <v>63</v>
      </c>
      <c r="L3228" s="2" t="s">
        <v>30724</v>
      </c>
      <c r="M3228" s="2" t="s">
        <v>31346</v>
      </c>
      <c r="N3228" s="3" t="s">
        <v>1437</v>
      </c>
      <c r="P3228" s="3" t="s">
        <v>65</v>
      </c>
      <c r="Q3228" s="2" t="s">
        <v>18433</v>
      </c>
      <c r="R3228" s="3" t="s">
        <v>66</v>
      </c>
      <c r="S3228" s="4">
        <v>47</v>
      </c>
      <c r="T3228" s="4">
        <v>47</v>
      </c>
      <c r="U3228" s="5" t="s">
        <v>31347</v>
      </c>
      <c r="V3228" s="5" t="s">
        <v>31347</v>
      </c>
      <c r="W3228" s="5" t="s">
        <v>67</v>
      </c>
      <c r="X3228" s="5" t="s">
        <v>67</v>
      </c>
      <c r="Y3228" s="4">
        <v>459</v>
      </c>
      <c r="Z3228" s="4">
        <v>37</v>
      </c>
      <c r="AA3228" s="4">
        <v>37</v>
      </c>
      <c r="AB3228" s="4">
        <v>3</v>
      </c>
      <c r="AC3228" s="4">
        <v>3</v>
      </c>
      <c r="AD3228" s="4">
        <v>120</v>
      </c>
      <c r="AE3228" s="4">
        <v>120</v>
      </c>
      <c r="AF3228" s="4">
        <v>2</v>
      </c>
      <c r="AG3228" s="4">
        <v>2</v>
      </c>
      <c r="AH3228" s="4">
        <v>100</v>
      </c>
      <c r="AI3228" s="4">
        <v>100</v>
      </c>
      <c r="AJ3228" s="4">
        <v>18</v>
      </c>
      <c r="AK3228" s="4">
        <v>18</v>
      </c>
      <c r="AL3228" s="4">
        <v>55</v>
      </c>
      <c r="AM3228" s="4">
        <v>55</v>
      </c>
      <c r="AN3228" s="4">
        <v>0</v>
      </c>
      <c r="AO3228" s="4">
        <v>0</v>
      </c>
      <c r="AP3228" s="4">
        <v>28</v>
      </c>
      <c r="AQ3228" s="4">
        <v>28</v>
      </c>
      <c r="AR3228" s="3" t="s">
        <v>62</v>
      </c>
      <c r="AS3228" s="3" t="s">
        <v>62</v>
      </c>
      <c r="AT3228" s="3" t="s">
        <v>62</v>
      </c>
      <c r="AV3228" s="6" t="str">
        <f>HYPERLINK("http://mcgill.on.worldcat.org/oclc/38566099","Catalog Record")</f>
        <v>Catalog Record</v>
      </c>
      <c r="AW3228" s="6" t="str">
        <f>HYPERLINK("http://www.worldcat.org/oclc/38566099","WorldCat Record")</f>
        <v>WorldCat Record</v>
      </c>
      <c r="AX3228" s="3" t="s">
        <v>31348</v>
      </c>
      <c r="AY3228" s="3" t="s">
        <v>31349</v>
      </c>
      <c r="AZ3228" s="3" t="s">
        <v>31350</v>
      </c>
      <c r="BA3228" s="3" t="s">
        <v>31350</v>
      </c>
      <c r="BB3228" s="3" t="s">
        <v>31351</v>
      </c>
      <c r="BC3228" s="3" t="s">
        <v>142</v>
      </c>
      <c r="BD3228" s="3" t="s">
        <v>68</v>
      </c>
      <c r="BE3228" s="3" t="s">
        <v>31352</v>
      </c>
      <c r="BF3228" s="3" t="s">
        <v>31351</v>
      </c>
      <c r="BG3228" s="3" t="s">
        <v>31353</v>
      </c>
    </row>
    <row r="3229" spans="1:59" ht="57" x14ac:dyDescent="0.45">
      <c r="A3229" s="2" t="s">
        <v>59</v>
      </c>
      <c r="B3229" s="2" t="s">
        <v>60</v>
      </c>
      <c r="C3229" s="2" t="s">
        <v>31354</v>
      </c>
      <c r="D3229" s="2" t="s">
        <v>31355</v>
      </c>
      <c r="E3229" s="2" t="s">
        <v>31356</v>
      </c>
      <c r="G3229" s="3" t="s">
        <v>62</v>
      </c>
      <c r="I3229" s="3" t="s">
        <v>62</v>
      </c>
      <c r="J3229" s="3" t="s">
        <v>61</v>
      </c>
      <c r="K3229" s="3" t="s">
        <v>63</v>
      </c>
      <c r="L3229" s="2" t="s">
        <v>31357</v>
      </c>
      <c r="M3229" s="2" t="s">
        <v>26995</v>
      </c>
      <c r="N3229" s="3" t="s">
        <v>167</v>
      </c>
      <c r="O3229" s="2" t="s">
        <v>933</v>
      </c>
      <c r="P3229" s="3" t="s">
        <v>65</v>
      </c>
      <c r="R3229" s="3" t="s">
        <v>66</v>
      </c>
      <c r="S3229" s="4">
        <v>17</v>
      </c>
      <c r="T3229" s="4">
        <v>17</v>
      </c>
      <c r="U3229" s="5" t="s">
        <v>31358</v>
      </c>
      <c r="V3229" s="5" t="s">
        <v>31358</v>
      </c>
      <c r="W3229" s="5" t="s">
        <v>67</v>
      </c>
      <c r="X3229" s="5" t="s">
        <v>67</v>
      </c>
      <c r="Y3229" s="4">
        <v>261</v>
      </c>
      <c r="Z3229" s="4">
        <v>26</v>
      </c>
      <c r="AA3229" s="4">
        <v>63</v>
      </c>
      <c r="AB3229" s="4">
        <v>3</v>
      </c>
      <c r="AC3229" s="4">
        <v>10</v>
      </c>
      <c r="AD3229" s="4">
        <v>78</v>
      </c>
      <c r="AE3229" s="4">
        <v>137</v>
      </c>
      <c r="AF3229" s="4">
        <v>2</v>
      </c>
      <c r="AG3229" s="4">
        <v>5</v>
      </c>
      <c r="AH3229" s="4">
        <v>66</v>
      </c>
      <c r="AI3229" s="4">
        <v>107</v>
      </c>
      <c r="AJ3229" s="4">
        <v>16</v>
      </c>
      <c r="AK3229" s="4">
        <v>24</v>
      </c>
      <c r="AL3229" s="4">
        <v>37</v>
      </c>
      <c r="AM3229" s="4">
        <v>59</v>
      </c>
      <c r="AN3229" s="4">
        <v>0</v>
      </c>
      <c r="AO3229" s="4">
        <v>0</v>
      </c>
      <c r="AP3229" s="4">
        <v>21</v>
      </c>
      <c r="AQ3229" s="4">
        <v>38</v>
      </c>
      <c r="AR3229" s="3" t="s">
        <v>62</v>
      </c>
      <c r="AS3229" s="3" t="s">
        <v>62</v>
      </c>
      <c r="AT3229" s="3" t="s">
        <v>62</v>
      </c>
      <c r="AV3229" s="6" t="str">
        <f>HYPERLINK("http://mcgill.on.worldcat.org/oclc/40076700","Catalog Record")</f>
        <v>Catalog Record</v>
      </c>
      <c r="AW3229" s="6" t="str">
        <f>HYPERLINK("http://www.worldcat.org/oclc/40076700","WorldCat Record")</f>
        <v>WorldCat Record</v>
      </c>
      <c r="AX3229" s="3" t="s">
        <v>31359</v>
      </c>
      <c r="AY3229" s="3" t="s">
        <v>31360</v>
      </c>
      <c r="AZ3229" s="3" t="s">
        <v>31361</v>
      </c>
      <c r="BA3229" s="3" t="s">
        <v>31361</v>
      </c>
      <c r="BB3229" s="3" t="s">
        <v>31362</v>
      </c>
      <c r="BC3229" s="3" t="s">
        <v>142</v>
      </c>
      <c r="BD3229" s="3" t="s">
        <v>308</v>
      </c>
      <c r="BE3229" s="3" t="s">
        <v>31363</v>
      </c>
      <c r="BF3229" s="3" t="s">
        <v>31362</v>
      </c>
      <c r="BG3229" s="3" t="s">
        <v>31364</v>
      </c>
    </row>
    <row r="3230" spans="1:59" ht="57" x14ac:dyDescent="0.45">
      <c r="A3230" s="2" t="s">
        <v>59</v>
      </c>
      <c r="B3230" s="2" t="s">
        <v>60</v>
      </c>
      <c r="C3230" s="2" t="s">
        <v>31365</v>
      </c>
      <c r="D3230" s="2" t="s">
        <v>31366</v>
      </c>
      <c r="E3230" s="2" t="s">
        <v>31367</v>
      </c>
      <c r="G3230" s="3" t="s">
        <v>62</v>
      </c>
      <c r="I3230" s="3" t="s">
        <v>62</v>
      </c>
      <c r="J3230" s="3" t="s">
        <v>61</v>
      </c>
      <c r="K3230" s="3" t="s">
        <v>63</v>
      </c>
      <c r="L3230" s="2" t="s">
        <v>31368</v>
      </c>
      <c r="M3230" s="2" t="s">
        <v>31369</v>
      </c>
      <c r="N3230" s="3" t="s">
        <v>127</v>
      </c>
      <c r="P3230" s="3" t="s">
        <v>65</v>
      </c>
      <c r="R3230" s="3" t="s">
        <v>66</v>
      </c>
      <c r="S3230" s="4">
        <v>5</v>
      </c>
      <c r="T3230" s="4">
        <v>5</v>
      </c>
      <c r="U3230" s="5" t="s">
        <v>31370</v>
      </c>
      <c r="V3230" s="5" t="s">
        <v>31370</v>
      </c>
      <c r="W3230" s="5" t="s">
        <v>67</v>
      </c>
      <c r="X3230" s="5" t="s">
        <v>67</v>
      </c>
      <c r="Y3230" s="4">
        <v>219</v>
      </c>
      <c r="Z3230" s="4">
        <v>12</v>
      </c>
      <c r="AA3230" s="4">
        <v>36</v>
      </c>
      <c r="AB3230" s="4">
        <v>1</v>
      </c>
      <c r="AC3230" s="4">
        <v>3</v>
      </c>
      <c r="AD3230" s="4">
        <v>34</v>
      </c>
      <c r="AE3230" s="4">
        <v>120</v>
      </c>
      <c r="AF3230" s="4">
        <v>0</v>
      </c>
      <c r="AG3230" s="4">
        <v>2</v>
      </c>
      <c r="AH3230" s="4">
        <v>28</v>
      </c>
      <c r="AI3230" s="4">
        <v>102</v>
      </c>
      <c r="AJ3230" s="4">
        <v>5</v>
      </c>
      <c r="AK3230" s="4">
        <v>20</v>
      </c>
      <c r="AL3230" s="4">
        <v>19</v>
      </c>
      <c r="AM3230" s="4">
        <v>56</v>
      </c>
      <c r="AN3230" s="4">
        <v>5</v>
      </c>
      <c r="AO3230" s="4">
        <v>5</v>
      </c>
      <c r="AP3230" s="4">
        <v>8</v>
      </c>
      <c r="AQ3230" s="4">
        <v>27</v>
      </c>
      <c r="AR3230" s="3" t="s">
        <v>62</v>
      </c>
      <c r="AS3230" s="3" t="s">
        <v>62</v>
      </c>
      <c r="AT3230" s="3" t="s">
        <v>61</v>
      </c>
      <c r="AU3230" s="6" t="str">
        <f>HYPERLINK("http://catalog.hathitrust.org/Record/101862624","HathiTrust Record")</f>
        <v>HathiTrust Record</v>
      </c>
      <c r="AV3230" s="6" t="str">
        <f>HYPERLINK("http://mcgill.on.worldcat.org/oclc/10936","Catalog Record")</f>
        <v>Catalog Record</v>
      </c>
      <c r="AW3230" s="6" t="str">
        <f>HYPERLINK("http://www.worldcat.org/oclc/10936","WorldCat Record")</f>
        <v>WorldCat Record</v>
      </c>
      <c r="AX3230" s="3" t="s">
        <v>31371</v>
      </c>
      <c r="AY3230" s="3" t="s">
        <v>31372</v>
      </c>
      <c r="AZ3230" s="3" t="s">
        <v>31373</v>
      </c>
      <c r="BA3230" s="3" t="s">
        <v>31373</v>
      </c>
      <c r="BB3230" s="3" t="s">
        <v>31374</v>
      </c>
      <c r="BC3230" s="3" t="s">
        <v>142</v>
      </c>
      <c r="BD3230" s="3" t="s">
        <v>68</v>
      </c>
      <c r="BE3230" s="3" t="s">
        <v>31375</v>
      </c>
      <c r="BF3230" s="3" t="s">
        <v>31374</v>
      </c>
      <c r="BG3230" s="3" t="s">
        <v>31376</v>
      </c>
    </row>
    <row r="3231" spans="1:59" ht="57" x14ac:dyDescent="0.45">
      <c r="A3231" s="2" t="s">
        <v>59</v>
      </c>
      <c r="B3231" s="2" t="s">
        <v>60</v>
      </c>
      <c r="C3231" s="2" t="s">
        <v>31377</v>
      </c>
      <c r="D3231" s="2" t="s">
        <v>31378</v>
      </c>
      <c r="E3231" s="2" t="s">
        <v>31379</v>
      </c>
      <c r="G3231" s="3" t="s">
        <v>62</v>
      </c>
      <c r="I3231" s="3" t="s">
        <v>62</v>
      </c>
      <c r="J3231" s="3" t="s">
        <v>61</v>
      </c>
      <c r="K3231" s="3" t="s">
        <v>63</v>
      </c>
      <c r="L3231" s="2" t="s">
        <v>31380</v>
      </c>
      <c r="M3231" s="2" t="s">
        <v>31381</v>
      </c>
      <c r="N3231" s="3" t="s">
        <v>555</v>
      </c>
      <c r="P3231" s="3" t="s">
        <v>65</v>
      </c>
      <c r="R3231" s="3" t="s">
        <v>66</v>
      </c>
      <c r="S3231" s="4">
        <v>29</v>
      </c>
      <c r="T3231" s="4">
        <v>29</v>
      </c>
      <c r="U3231" s="5" t="s">
        <v>3064</v>
      </c>
      <c r="V3231" s="5" t="s">
        <v>3064</v>
      </c>
      <c r="W3231" s="5" t="s">
        <v>67</v>
      </c>
      <c r="X3231" s="5" t="s">
        <v>67</v>
      </c>
      <c r="Y3231" s="4">
        <v>326</v>
      </c>
      <c r="Z3231" s="4">
        <v>27</v>
      </c>
      <c r="AA3231" s="4">
        <v>57</v>
      </c>
      <c r="AB3231" s="4">
        <v>2</v>
      </c>
      <c r="AC3231" s="4">
        <v>9</v>
      </c>
      <c r="AD3231" s="4">
        <v>82</v>
      </c>
      <c r="AE3231" s="4">
        <v>146</v>
      </c>
      <c r="AF3231" s="4">
        <v>1</v>
      </c>
      <c r="AG3231" s="4">
        <v>6</v>
      </c>
      <c r="AH3231" s="4">
        <v>69</v>
      </c>
      <c r="AI3231" s="4">
        <v>113</v>
      </c>
      <c r="AJ3231" s="4">
        <v>16</v>
      </c>
      <c r="AK3231" s="4">
        <v>22</v>
      </c>
      <c r="AL3231" s="4">
        <v>34</v>
      </c>
      <c r="AM3231" s="4">
        <v>60</v>
      </c>
      <c r="AN3231" s="4">
        <v>0</v>
      </c>
      <c r="AO3231" s="4">
        <v>0</v>
      </c>
      <c r="AP3231" s="4">
        <v>21</v>
      </c>
      <c r="AQ3231" s="4">
        <v>41</v>
      </c>
      <c r="AR3231" s="3" t="s">
        <v>62</v>
      </c>
      <c r="AS3231" s="3" t="s">
        <v>62</v>
      </c>
      <c r="AT3231" s="3" t="s">
        <v>61</v>
      </c>
      <c r="AU3231" s="6" t="str">
        <f>HYPERLINK("http://catalog.hathitrust.org/Record/001385939","HathiTrust Record")</f>
        <v>HathiTrust Record</v>
      </c>
      <c r="AV3231" s="6" t="str">
        <f>HYPERLINK("http://mcgill.on.worldcat.org/oclc/684380","Catalog Record")</f>
        <v>Catalog Record</v>
      </c>
      <c r="AW3231" s="6" t="str">
        <f>HYPERLINK("http://www.worldcat.org/oclc/684380","WorldCat Record")</f>
        <v>WorldCat Record</v>
      </c>
      <c r="AX3231" s="3" t="s">
        <v>11901</v>
      </c>
      <c r="AY3231" s="3" t="s">
        <v>31382</v>
      </c>
      <c r="AZ3231" s="3" t="s">
        <v>31383</v>
      </c>
      <c r="BA3231" s="3" t="s">
        <v>31383</v>
      </c>
      <c r="BB3231" s="3" t="s">
        <v>31384</v>
      </c>
      <c r="BC3231" s="3" t="s">
        <v>142</v>
      </c>
      <c r="BD3231" s="3" t="s">
        <v>308</v>
      </c>
      <c r="BE3231" s="3" t="s">
        <v>31385</v>
      </c>
      <c r="BF3231" s="3" t="s">
        <v>31384</v>
      </c>
      <c r="BG3231" s="3" t="s">
        <v>31386</v>
      </c>
    </row>
    <row r="3232" spans="1:59" ht="57" x14ac:dyDescent="0.45">
      <c r="A3232" s="2" t="s">
        <v>59</v>
      </c>
      <c r="B3232" s="2" t="s">
        <v>60</v>
      </c>
      <c r="C3232" s="2" t="s">
        <v>31387</v>
      </c>
      <c r="D3232" s="2" t="s">
        <v>31388</v>
      </c>
      <c r="E3232" s="2" t="s">
        <v>31389</v>
      </c>
      <c r="G3232" s="3" t="s">
        <v>62</v>
      </c>
      <c r="I3232" s="3" t="s">
        <v>62</v>
      </c>
      <c r="J3232" s="3" t="s">
        <v>62</v>
      </c>
      <c r="K3232" s="3" t="s">
        <v>63</v>
      </c>
      <c r="L3232" s="2" t="s">
        <v>31390</v>
      </c>
      <c r="M3232" s="2" t="s">
        <v>31391</v>
      </c>
      <c r="N3232" s="3" t="s">
        <v>195</v>
      </c>
      <c r="P3232" s="3" t="s">
        <v>65</v>
      </c>
      <c r="R3232" s="3" t="s">
        <v>66</v>
      </c>
      <c r="S3232" s="4">
        <v>29</v>
      </c>
      <c r="T3232" s="4">
        <v>29</v>
      </c>
      <c r="U3232" s="5" t="s">
        <v>13367</v>
      </c>
      <c r="V3232" s="5" t="s">
        <v>13367</v>
      </c>
      <c r="W3232" s="5" t="s">
        <v>67</v>
      </c>
      <c r="X3232" s="5" t="s">
        <v>67</v>
      </c>
      <c r="Y3232" s="4">
        <v>420</v>
      </c>
      <c r="Z3232" s="4">
        <v>26</v>
      </c>
      <c r="AA3232" s="4">
        <v>64</v>
      </c>
      <c r="AB3232" s="4">
        <v>1</v>
      </c>
      <c r="AC3232" s="4">
        <v>11</v>
      </c>
      <c r="AD3232" s="4">
        <v>117</v>
      </c>
      <c r="AE3232" s="4">
        <v>138</v>
      </c>
      <c r="AF3232" s="4">
        <v>0</v>
      </c>
      <c r="AG3232" s="4">
        <v>3</v>
      </c>
      <c r="AH3232" s="4">
        <v>101</v>
      </c>
      <c r="AI3232" s="4">
        <v>109</v>
      </c>
      <c r="AJ3232" s="4">
        <v>16</v>
      </c>
      <c r="AK3232" s="4">
        <v>20</v>
      </c>
      <c r="AL3232" s="4">
        <v>56</v>
      </c>
      <c r="AM3232" s="4">
        <v>57</v>
      </c>
      <c r="AN3232" s="4">
        <v>0</v>
      </c>
      <c r="AO3232" s="4">
        <v>0</v>
      </c>
      <c r="AP3232" s="4">
        <v>23</v>
      </c>
      <c r="AQ3232" s="4">
        <v>37</v>
      </c>
      <c r="AR3232" s="3" t="s">
        <v>62</v>
      </c>
      <c r="AS3232" s="3" t="s">
        <v>62</v>
      </c>
      <c r="AT3232" s="3" t="s">
        <v>61</v>
      </c>
      <c r="AU3232" s="6" t="str">
        <f>HYPERLINK("http://catalog.hathitrust.org/Record/002799669","HathiTrust Record")</f>
        <v>HathiTrust Record</v>
      </c>
      <c r="AV3232" s="6" t="str">
        <f>HYPERLINK("http://mcgill.on.worldcat.org/oclc/27813047","Catalog Record")</f>
        <v>Catalog Record</v>
      </c>
      <c r="AW3232" s="6" t="str">
        <f>HYPERLINK("http://www.worldcat.org/oclc/27813047","WorldCat Record")</f>
        <v>WorldCat Record</v>
      </c>
      <c r="AX3232" s="3" t="s">
        <v>31392</v>
      </c>
      <c r="AY3232" s="3" t="s">
        <v>31393</v>
      </c>
      <c r="AZ3232" s="3" t="s">
        <v>31394</v>
      </c>
      <c r="BA3232" s="3" t="s">
        <v>31394</v>
      </c>
      <c r="BB3232" s="3" t="s">
        <v>31395</v>
      </c>
      <c r="BC3232" s="3" t="s">
        <v>142</v>
      </c>
      <c r="BD3232" s="3" t="s">
        <v>308</v>
      </c>
      <c r="BE3232" s="3" t="s">
        <v>31396</v>
      </c>
      <c r="BF3232" s="3" t="s">
        <v>31395</v>
      </c>
      <c r="BG3232" s="3" t="s">
        <v>31397</v>
      </c>
    </row>
    <row r="3233" spans="1:59" ht="57" x14ac:dyDescent="0.45">
      <c r="A3233" s="2" t="s">
        <v>59</v>
      </c>
      <c r="B3233" s="2" t="s">
        <v>60</v>
      </c>
      <c r="C3233" s="2" t="s">
        <v>31398</v>
      </c>
      <c r="D3233" s="2" t="s">
        <v>31399</v>
      </c>
      <c r="E3233" s="2" t="s">
        <v>31400</v>
      </c>
      <c r="G3233" s="3" t="s">
        <v>62</v>
      </c>
      <c r="I3233" s="3" t="s">
        <v>62</v>
      </c>
      <c r="J3233" s="3" t="s">
        <v>62</v>
      </c>
      <c r="K3233" s="3" t="s">
        <v>63</v>
      </c>
      <c r="L3233" s="2" t="s">
        <v>28636</v>
      </c>
      <c r="M3233" s="2" t="s">
        <v>31401</v>
      </c>
      <c r="N3233" s="3" t="s">
        <v>958</v>
      </c>
      <c r="P3233" s="3" t="s">
        <v>65</v>
      </c>
      <c r="Q3233" s="2" t="s">
        <v>31402</v>
      </c>
      <c r="R3233" s="3" t="s">
        <v>66</v>
      </c>
      <c r="S3233" s="4">
        <v>50</v>
      </c>
      <c r="T3233" s="4">
        <v>50</v>
      </c>
      <c r="U3233" s="5" t="s">
        <v>28702</v>
      </c>
      <c r="V3233" s="5" t="s">
        <v>28702</v>
      </c>
      <c r="W3233" s="5" t="s">
        <v>67</v>
      </c>
      <c r="X3233" s="5" t="s">
        <v>67</v>
      </c>
      <c r="Y3233" s="4">
        <v>969</v>
      </c>
      <c r="Z3233" s="4">
        <v>49</v>
      </c>
      <c r="AA3233" s="4">
        <v>54</v>
      </c>
      <c r="AB3233" s="4">
        <v>3</v>
      </c>
      <c r="AC3233" s="4">
        <v>4</v>
      </c>
      <c r="AD3233" s="4">
        <v>125</v>
      </c>
      <c r="AE3233" s="4">
        <v>132</v>
      </c>
      <c r="AF3233" s="4">
        <v>2</v>
      </c>
      <c r="AG3233" s="4">
        <v>3</v>
      </c>
      <c r="AH3233" s="4">
        <v>102</v>
      </c>
      <c r="AI3233" s="4">
        <v>105</v>
      </c>
      <c r="AJ3233" s="4">
        <v>18</v>
      </c>
      <c r="AK3233" s="4">
        <v>20</v>
      </c>
      <c r="AL3233" s="4">
        <v>54</v>
      </c>
      <c r="AM3233" s="4">
        <v>57</v>
      </c>
      <c r="AN3233" s="4">
        <v>0</v>
      </c>
      <c r="AO3233" s="4">
        <v>0</v>
      </c>
      <c r="AP3233" s="4">
        <v>30</v>
      </c>
      <c r="AQ3233" s="4">
        <v>33</v>
      </c>
      <c r="AR3233" s="3" t="s">
        <v>62</v>
      </c>
      <c r="AS3233" s="3" t="s">
        <v>62</v>
      </c>
      <c r="AT3233" s="3" t="s">
        <v>62</v>
      </c>
      <c r="AV3233" s="6" t="str">
        <f>HYPERLINK("http://mcgill.on.worldcat.org/oclc/30814610","Catalog Record")</f>
        <v>Catalog Record</v>
      </c>
      <c r="AW3233" s="6" t="str">
        <f>HYPERLINK("http://www.worldcat.org/oclc/30814610","WorldCat Record")</f>
        <v>WorldCat Record</v>
      </c>
      <c r="AX3233" s="3" t="s">
        <v>31403</v>
      </c>
      <c r="AY3233" s="3" t="s">
        <v>31404</v>
      </c>
      <c r="AZ3233" s="3" t="s">
        <v>31405</v>
      </c>
      <c r="BA3233" s="3" t="s">
        <v>31405</v>
      </c>
      <c r="BB3233" s="3" t="s">
        <v>31406</v>
      </c>
      <c r="BC3233" s="3" t="s">
        <v>142</v>
      </c>
      <c r="BD3233" s="3" t="s">
        <v>68</v>
      </c>
      <c r="BE3233" s="3" t="s">
        <v>31407</v>
      </c>
      <c r="BF3233" s="3" t="s">
        <v>31406</v>
      </c>
      <c r="BG3233" s="3" t="s">
        <v>31408</v>
      </c>
    </row>
    <row r="3234" spans="1:59" ht="57" x14ac:dyDescent="0.45">
      <c r="A3234" s="2" t="s">
        <v>59</v>
      </c>
      <c r="B3234" s="2" t="s">
        <v>60</v>
      </c>
      <c r="C3234" s="2" t="s">
        <v>31409</v>
      </c>
      <c r="D3234" s="2" t="s">
        <v>31410</v>
      </c>
      <c r="E3234" s="2" t="s">
        <v>31411</v>
      </c>
      <c r="G3234" s="3" t="s">
        <v>62</v>
      </c>
      <c r="I3234" s="3" t="s">
        <v>62</v>
      </c>
      <c r="J3234" s="3" t="s">
        <v>62</v>
      </c>
      <c r="K3234" s="3" t="s">
        <v>63</v>
      </c>
      <c r="L3234" s="2" t="s">
        <v>28636</v>
      </c>
      <c r="M3234" s="2" t="s">
        <v>31412</v>
      </c>
      <c r="N3234" s="3" t="s">
        <v>1604</v>
      </c>
      <c r="P3234" s="3" t="s">
        <v>110</v>
      </c>
      <c r="Q3234" s="2" t="s">
        <v>31413</v>
      </c>
      <c r="R3234" s="3" t="s">
        <v>66</v>
      </c>
      <c r="S3234" s="4">
        <v>31</v>
      </c>
      <c r="T3234" s="4">
        <v>31</v>
      </c>
      <c r="U3234" s="5" t="s">
        <v>31414</v>
      </c>
      <c r="V3234" s="5" t="s">
        <v>31414</v>
      </c>
      <c r="W3234" s="5" t="s">
        <v>67</v>
      </c>
      <c r="X3234" s="5" t="s">
        <v>67</v>
      </c>
      <c r="Y3234" s="4">
        <v>136</v>
      </c>
      <c r="Z3234" s="4">
        <v>19</v>
      </c>
      <c r="AA3234" s="4">
        <v>22</v>
      </c>
      <c r="AB3234" s="4">
        <v>12</v>
      </c>
      <c r="AC3234" s="4">
        <v>13</v>
      </c>
      <c r="AD3234" s="4">
        <v>13</v>
      </c>
      <c r="AE3234" s="4">
        <v>17</v>
      </c>
      <c r="AF3234" s="4">
        <v>5</v>
      </c>
      <c r="AG3234" s="4">
        <v>5</v>
      </c>
      <c r="AH3234" s="4">
        <v>5</v>
      </c>
      <c r="AI3234" s="4">
        <v>9</v>
      </c>
      <c r="AJ3234" s="4">
        <v>9</v>
      </c>
      <c r="AK3234" s="4">
        <v>11</v>
      </c>
      <c r="AL3234" s="4">
        <v>2</v>
      </c>
      <c r="AM3234" s="4">
        <v>3</v>
      </c>
      <c r="AN3234" s="4">
        <v>0</v>
      </c>
      <c r="AO3234" s="4">
        <v>0</v>
      </c>
      <c r="AP3234" s="4">
        <v>9</v>
      </c>
      <c r="AQ3234" s="4">
        <v>11</v>
      </c>
      <c r="AR3234" s="3" t="s">
        <v>62</v>
      </c>
      <c r="AS3234" s="3" t="s">
        <v>62</v>
      </c>
      <c r="AT3234" s="3" t="s">
        <v>62</v>
      </c>
      <c r="AV3234" s="6" t="str">
        <f>HYPERLINK("http://mcgill.on.worldcat.org/oclc/31177522","Catalog Record")</f>
        <v>Catalog Record</v>
      </c>
      <c r="AW3234" s="6" t="str">
        <f>HYPERLINK("http://www.worldcat.org/oclc/31177522","WorldCat Record")</f>
        <v>WorldCat Record</v>
      </c>
      <c r="AX3234" s="3" t="s">
        <v>31415</v>
      </c>
      <c r="AY3234" s="3" t="s">
        <v>31416</v>
      </c>
      <c r="AZ3234" s="3" t="s">
        <v>31417</v>
      </c>
      <c r="BA3234" s="3" t="s">
        <v>31417</v>
      </c>
      <c r="BB3234" s="3" t="s">
        <v>31418</v>
      </c>
      <c r="BC3234" s="3" t="s">
        <v>142</v>
      </c>
      <c r="BD3234" s="3" t="s">
        <v>308</v>
      </c>
      <c r="BE3234" s="3" t="s">
        <v>31419</v>
      </c>
      <c r="BF3234" s="3" t="s">
        <v>31418</v>
      </c>
      <c r="BG3234" s="3" t="s">
        <v>31420</v>
      </c>
    </row>
    <row r="3235" spans="1:59" ht="57" x14ac:dyDescent="0.45">
      <c r="A3235" s="2" t="s">
        <v>59</v>
      </c>
      <c r="B3235" s="2" t="s">
        <v>60</v>
      </c>
      <c r="C3235" s="2" t="s">
        <v>31421</v>
      </c>
      <c r="D3235" s="2" t="s">
        <v>31422</v>
      </c>
      <c r="E3235" s="2" t="s">
        <v>31423</v>
      </c>
      <c r="G3235" s="3" t="s">
        <v>62</v>
      </c>
      <c r="I3235" s="3" t="s">
        <v>61</v>
      </c>
      <c r="J3235" s="3" t="s">
        <v>62</v>
      </c>
      <c r="K3235" s="3" t="s">
        <v>63</v>
      </c>
      <c r="L3235" s="2" t="s">
        <v>28636</v>
      </c>
      <c r="M3235" s="2" t="s">
        <v>31424</v>
      </c>
      <c r="N3235" s="3" t="s">
        <v>1437</v>
      </c>
      <c r="P3235" s="3" t="s">
        <v>65</v>
      </c>
      <c r="Q3235" s="2" t="s">
        <v>31425</v>
      </c>
      <c r="R3235" s="3" t="s">
        <v>66</v>
      </c>
      <c r="S3235" s="4">
        <v>16</v>
      </c>
      <c r="T3235" s="4">
        <v>28</v>
      </c>
      <c r="U3235" s="5" t="s">
        <v>2609</v>
      </c>
      <c r="V3235" s="5" t="s">
        <v>2609</v>
      </c>
      <c r="W3235" s="5" t="s">
        <v>67</v>
      </c>
      <c r="X3235" s="5" t="s">
        <v>67</v>
      </c>
      <c r="Y3235" s="4">
        <v>852</v>
      </c>
      <c r="Z3235" s="4">
        <v>40</v>
      </c>
      <c r="AA3235" s="4">
        <v>123</v>
      </c>
      <c r="AB3235" s="4">
        <v>3</v>
      </c>
      <c r="AC3235" s="4">
        <v>19</v>
      </c>
      <c r="AD3235" s="4">
        <v>114</v>
      </c>
      <c r="AE3235" s="4">
        <v>150</v>
      </c>
      <c r="AF3235" s="4">
        <v>2</v>
      </c>
      <c r="AG3235" s="4">
        <v>8</v>
      </c>
      <c r="AH3235" s="4">
        <v>100</v>
      </c>
      <c r="AI3235" s="4">
        <v>111</v>
      </c>
      <c r="AJ3235" s="4">
        <v>17</v>
      </c>
      <c r="AK3235" s="4">
        <v>27</v>
      </c>
      <c r="AL3235" s="4">
        <v>57</v>
      </c>
      <c r="AM3235" s="4">
        <v>59</v>
      </c>
      <c r="AN3235" s="4">
        <v>0</v>
      </c>
      <c r="AO3235" s="4">
        <v>0</v>
      </c>
      <c r="AP3235" s="4">
        <v>20</v>
      </c>
      <c r="AQ3235" s="4">
        <v>48</v>
      </c>
      <c r="AR3235" s="3" t="s">
        <v>62</v>
      </c>
      <c r="AS3235" s="3" t="s">
        <v>62</v>
      </c>
      <c r="AT3235" s="3" t="s">
        <v>62</v>
      </c>
      <c r="AV3235" s="6" t="str">
        <f>HYPERLINK("http://mcgill.on.worldcat.org/oclc/39116569","Catalog Record")</f>
        <v>Catalog Record</v>
      </c>
      <c r="AW3235" s="6" t="str">
        <f>HYPERLINK("http://www.worldcat.org/oclc/39116569","WorldCat Record")</f>
        <v>WorldCat Record</v>
      </c>
      <c r="AX3235" s="3" t="s">
        <v>31426</v>
      </c>
      <c r="AY3235" s="3" t="s">
        <v>31427</v>
      </c>
      <c r="AZ3235" s="3" t="s">
        <v>31428</v>
      </c>
      <c r="BA3235" s="3" t="s">
        <v>31428</v>
      </c>
      <c r="BB3235" s="3" t="s">
        <v>31429</v>
      </c>
      <c r="BC3235" s="3" t="s">
        <v>142</v>
      </c>
      <c r="BD3235" s="3" t="s">
        <v>68</v>
      </c>
      <c r="BE3235" s="3" t="s">
        <v>31430</v>
      </c>
      <c r="BF3235" s="3" t="s">
        <v>31429</v>
      </c>
      <c r="BG3235" s="3" t="s">
        <v>31431</v>
      </c>
    </row>
    <row r="3236" spans="1:59" ht="57" x14ac:dyDescent="0.45">
      <c r="A3236" s="2" t="s">
        <v>59</v>
      </c>
      <c r="B3236" s="2" t="s">
        <v>60</v>
      </c>
      <c r="C3236" s="2" t="s">
        <v>31421</v>
      </c>
      <c r="D3236" s="2" t="s">
        <v>31422</v>
      </c>
      <c r="E3236" s="2" t="s">
        <v>31423</v>
      </c>
      <c r="G3236" s="3" t="s">
        <v>62</v>
      </c>
      <c r="I3236" s="3" t="s">
        <v>61</v>
      </c>
      <c r="J3236" s="3" t="s">
        <v>62</v>
      </c>
      <c r="K3236" s="3" t="s">
        <v>63</v>
      </c>
      <c r="L3236" s="2" t="s">
        <v>28636</v>
      </c>
      <c r="M3236" s="2" t="s">
        <v>31424</v>
      </c>
      <c r="N3236" s="3" t="s">
        <v>1437</v>
      </c>
      <c r="P3236" s="3" t="s">
        <v>65</v>
      </c>
      <c r="Q3236" s="2" t="s">
        <v>31425</v>
      </c>
      <c r="R3236" s="3" t="s">
        <v>66</v>
      </c>
      <c r="S3236" s="4">
        <v>4</v>
      </c>
      <c r="T3236" s="4">
        <v>28</v>
      </c>
      <c r="U3236" s="5" t="s">
        <v>31432</v>
      </c>
      <c r="V3236" s="5" t="s">
        <v>2609</v>
      </c>
      <c r="W3236" s="5" t="s">
        <v>67</v>
      </c>
      <c r="X3236" s="5" t="s">
        <v>67</v>
      </c>
      <c r="Y3236" s="4">
        <v>852</v>
      </c>
      <c r="Z3236" s="4">
        <v>40</v>
      </c>
      <c r="AA3236" s="4">
        <v>123</v>
      </c>
      <c r="AB3236" s="4">
        <v>3</v>
      </c>
      <c r="AC3236" s="4">
        <v>19</v>
      </c>
      <c r="AD3236" s="4">
        <v>114</v>
      </c>
      <c r="AE3236" s="4">
        <v>150</v>
      </c>
      <c r="AF3236" s="4">
        <v>2</v>
      </c>
      <c r="AG3236" s="4">
        <v>8</v>
      </c>
      <c r="AH3236" s="4">
        <v>100</v>
      </c>
      <c r="AI3236" s="4">
        <v>111</v>
      </c>
      <c r="AJ3236" s="4">
        <v>17</v>
      </c>
      <c r="AK3236" s="4">
        <v>27</v>
      </c>
      <c r="AL3236" s="4">
        <v>57</v>
      </c>
      <c r="AM3236" s="4">
        <v>59</v>
      </c>
      <c r="AN3236" s="4">
        <v>0</v>
      </c>
      <c r="AO3236" s="4">
        <v>0</v>
      </c>
      <c r="AP3236" s="4">
        <v>20</v>
      </c>
      <c r="AQ3236" s="4">
        <v>48</v>
      </c>
      <c r="AR3236" s="3" t="s">
        <v>62</v>
      </c>
      <c r="AS3236" s="3" t="s">
        <v>62</v>
      </c>
      <c r="AT3236" s="3" t="s">
        <v>62</v>
      </c>
      <c r="AV3236" s="6" t="str">
        <f>HYPERLINK("http://mcgill.on.worldcat.org/oclc/39116569","Catalog Record")</f>
        <v>Catalog Record</v>
      </c>
      <c r="AW3236" s="6" t="str">
        <f>HYPERLINK("http://www.worldcat.org/oclc/39116569","WorldCat Record")</f>
        <v>WorldCat Record</v>
      </c>
      <c r="AX3236" s="3" t="s">
        <v>31426</v>
      </c>
      <c r="AY3236" s="3" t="s">
        <v>31427</v>
      </c>
      <c r="AZ3236" s="3" t="s">
        <v>31428</v>
      </c>
      <c r="BA3236" s="3" t="s">
        <v>31428</v>
      </c>
      <c r="BB3236" s="3" t="s">
        <v>31433</v>
      </c>
      <c r="BC3236" s="3" t="s">
        <v>142</v>
      </c>
      <c r="BD3236" s="3" t="s">
        <v>68</v>
      </c>
      <c r="BE3236" s="3" t="s">
        <v>31430</v>
      </c>
      <c r="BF3236" s="3" t="s">
        <v>31433</v>
      </c>
      <c r="BG3236" s="3" t="s">
        <v>31434</v>
      </c>
    </row>
    <row r="3237" spans="1:59" ht="57" x14ac:dyDescent="0.45">
      <c r="A3237" s="2" t="s">
        <v>59</v>
      </c>
      <c r="B3237" s="2" t="s">
        <v>60</v>
      </c>
      <c r="C3237" s="2" t="s">
        <v>31421</v>
      </c>
      <c r="D3237" s="2" t="s">
        <v>31422</v>
      </c>
      <c r="E3237" s="2" t="s">
        <v>31423</v>
      </c>
      <c r="G3237" s="3" t="s">
        <v>62</v>
      </c>
      <c r="I3237" s="3" t="s">
        <v>61</v>
      </c>
      <c r="J3237" s="3" t="s">
        <v>62</v>
      </c>
      <c r="K3237" s="3" t="s">
        <v>63</v>
      </c>
      <c r="L3237" s="2" t="s">
        <v>28636</v>
      </c>
      <c r="M3237" s="2" t="s">
        <v>31424</v>
      </c>
      <c r="N3237" s="3" t="s">
        <v>1437</v>
      </c>
      <c r="P3237" s="3" t="s">
        <v>65</v>
      </c>
      <c r="Q3237" s="2" t="s">
        <v>31425</v>
      </c>
      <c r="R3237" s="3" t="s">
        <v>66</v>
      </c>
      <c r="S3237" s="4">
        <v>8</v>
      </c>
      <c r="T3237" s="4">
        <v>28</v>
      </c>
      <c r="U3237" s="5" t="s">
        <v>31435</v>
      </c>
      <c r="V3237" s="5" t="s">
        <v>2609</v>
      </c>
      <c r="W3237" s="5" t="s">
        <v>67</v>
      </c>
      <c r="X3237" s="5" t="s">
        <v>67</v>
      </c>
      <c r="Y3237" s="4">
        <v>852</v>
      </c>
      <c r="Z3237" s="4">
        <v>40</v>
      </c>
      <c r="AA3237" s="4">
        <v>123</v>
      </c>
      <c r="AB3237" s="4">
        <v>3</v>
      </c>
      <c r="AC3237" s="4">
        <v>19</v>
      </c>
      <c r="AD3237" s="4">
        <v>114</v>
      </c>
      <c r="AE3237" s="4">
        <v>150</v>
      </c>
      <c r="AF3237" s="4">
        <v>2</v>
      </c>
      <c r="AG3237" s="4">
        <v>8</v>
      </c>
      <c r="AH3237" s="4">
        <v>100</v>
      </c>
      <c r="AI3237" s="4">
        <v>111</v>
      </c>
      <c r="AJ3237" s="4">
        <v>17</v>
      </c>
      <c r="AK3237" s="4">
        <v>27</v>
      </c>
      <c r="AL3237" s="4">
        <v>57</v>
      </c>
      <c r="AM3237" s="4">
        <v>59</v>
      </c>
      <c r="AN3237" s="4">
        <v>0</v>
      </c>
      <c r="AO3237" s="4">
        <v>0</v>
      </c>
      <c r="AP3237" s="4">
        <v>20</v>
      </c>
      <c r="AQ3237" s="4">
        <v>48</v>
      </c>
      <c r="AR3237" s="3" t="s">
        <v>62</v>
      </c>
      <c r="AS3237" s="3" t="s">
        <v>62</v>
      </c>
      <c r="AT3237" s="3" t="s">
        <v>62</v>
      </c>
      <c r="AV3237" s="6" t="str">
        <f>HYPERLINK("http://mcgill.on.worldcat.org/oclc/39116569","Catalog Record")</f>
        <v>Catalog Record</v>
      </c>
      <c r="AW3237" s="6" t="str">
        <f>HYPERLINK("http://www.worldcat.org/oclc/39116569","WorldCat Record")</f>
        <v>WorldCat Record</v>
      </c>
      <c r="AX3237" s="3" t="s">
        <v>31426</v>
      </c>
      <c r="AY3237" s="3" t="s">
        <v>31427</v>
      </c>
      <c r="AZ3237" s="3" t="s">
        <v>31428</v>
      </c>
      <c r="BA3237" s="3" t="s">
        <v>31428</v>
      </c>
      <c r="BB3237" s="3" t="s">
        <v>31436</v>
      </c>
      <c r="BC3237" s="3" t="s">
        <v>142</v>
      </c>
      <c r="BD3237" s="3" t="s">
        <v>68</v>
      </c>
      <c r="BE3237" s="3" t="s">
        <v>31430</v>
      </c>
      <c r="BF3237" s="3" t="s">
        <v>31436</v>
      </c>
      <c r="BG3237" s="3" t="s">
        <v>31437</v>
      </c>
    </row>
    <row r="3238" spans="1:59" ht="57" x14ac:dyDescent="0.45">
      <c r="A3238" s="2" t="s">
        <v>59</v>
      </c>
      <c r="B3238" s="2" t="s">
        <v>60</v>
      </c>
      <c r="C3238" s="2" t="s">
        <v>31438</v>
      </c>
      <c r="D3238" s="2" t="s">
        <v>31439</v>
      </c>
      <c r="E3238" s="2" t="s">
        <v>31440</v>
      </c>
      <c r="G3238" s="3" t="s">
        <v>62</v>
      </c>
      <c r="I3238" s="3" t="s">
        <v>62</v>
      </c>
      <c r="J3238" s="3" t="s">
        <v>62</v>
      </c>
      <c r="K3238" s="3" t="s">
        <v>63</v>
      </c>
      <c r="L3238" s="2" t="s">
        <v>31441</v>
      </c>
      <c r="M3238" s="2" t="s">
        <v>28712</v>
      </c>
      <c r="N3238" s="3" t="s">
        <v>1073</v>
      </c>
      <c r="P3238" s="3" t="s">
        <v>65</v>
      </c>
      <c r="Q3238" s="2" t="s">
        <v>13915</v>
      </c>
      <c r="R3238" s="3" t="s">
        <v>66</v>
      </c>
      <c r="S3238" s="4">
        <v>5</v>
      </c>
      <c r="T3238" s="4">
        <v>5</v>
      </c>
      <c r="U3238" s="5" t="s">
        <v>31442</v>
      </c>
      <c r="V3238" s="5" t="s">
        <v>31442</v>
      </c>
      <c r="W3238" s="5" t="s">
        <v>67</v>
      </c>
      <c r="X3238" s="5" t="s">
        <v>67</v>
      </c>
      <c r="Y3238" s="4">
        <v>679</v>
      </c>
      <c r="Z3238" s="4">
        <v>45</v>
      </c>
      <c r="AA3238" s="4">
        <v>48</v>
      </c>
      <c r="AB3238" s="4">
        <v>3</v>
      </c>
      <c r="AC3238" s="4">
        <v>6</v>
      </c>
      <c r="AD3238" s="4">
        <v>130</v>
      </c>
      <c r="AE3238" s="4">
        <v>133</v>
      </c>
      <c r="AF3238" s="4">
        <v>2</v>
      </c>
      <c r="AG3238" s="4">
        <v>5</v>
      </c>
      <c r="AH3238" s="4">
        <v>105</v>
      </c>
      <c r="AI3238" s="4">
        <v>106</v>
      </c>
      <c r="AJ3238" s="4">
        <v>21</v>
      </c>
      <c r="AK3238" s="4">
        <v>24</v>
      </c>
      <c r="AL3238" s="4">
        <v>57</v>
      </c>
      <c r="AM3238" s="4">
        <v>57</v>
      </c>
      <c r="AN3238" s="4">
        <v>0</v>
      </c>
      <c r="AO3238" s="4">
        <v>0</v>
      </c>
      <c r="AP3238" s="4">
        <v>34</v>
      </c>
      <c r="AQ3238" s="4">
        <v>36</v>
      </c>
      <c r="AR3238" s="3" t="s">
        <v>62</v>
      </c>
      <c r="AS3238" s="3" t="s">
        <v>62</v>
      </c>
      <c r="AT3238" s="3" t="s">
        <v>61</v>
      </c>
      <c r="AU3238" s="6" t="str">
        <f>HYPERLINK("http://catalog.hathitrust.org/Record/000695612","HathiTrust Record")</f>
        <v>HathiTrust Record</v>
      </c>
      <c r="AV3238" s="6" t="str">
        <f>HYPERLINK("http://mcgill.on.worldcat.org/oclc/1993103","Catalog Record")</f>
        <v>Catalog Record</v>
      </c>
      <c r="AW3238" s="6" t="str">
        <f>HYPERLINK("http://www.worldcat.org/oclc/1993103","WorldCat Record")</f>
        <v>WorldCat Record</v>
      </c>
      <c r="AX3238" s="3" t="s">
        <v>31443</v>
      </c>
      <c r="AY3238" s="3" t="s">
        <v>31444</v>
      </c>
      <c r="AZ3238" s="3" t="s">
        <v>31445</v>
      </c>
      <c r="BA3238" s="3" t="s">
        <v>31445</v>
      </c>
      <c r="BB3238" s="3" t="s">
        <v>31446</v>
      </c>
      <c r="BC3238" s="3" t="s">
        <v>142</v>
      </c>
      <c r="BD3238" s="3" t="s">
        <v>68</v>
      </c>
      <c r="BE3238" s="3" t="s">
        <v>31447</v>
      </c>
      <c r="BF3238" s="3" t="s">
        <v>31446</v>
      </c>
      <c r="BG3238" s="3" t="s">
        <v>31448</v>
      </c>
    </row>
    <row r="3239" spans="1:59" ht="57" x14ac:dyDescent="0.45">
      <c r="A3239" s="2" t="s">
        <v>59</v>
      </c>
      <c r="B3239" s="2" t="s">
        <v>60</v>
      </c>
      <c r="C3239" s="2" t="s">
        <v>31449</v>
      </c>
      <c r="D3239" s="2" t="s">
        <v>31450</v>
      </c>
      <c r="E3239" s="2" t="s">
        <v>31451</v>
      </c>
      <c r="G3239" s="3" t="s">
        <v>62</v>
      </c>
      <c r="I3239" s="3" t="s">
        <v>61</v>
      </c>
      <c r="J3239" s="3" t="s">
        <v>62</v>
      </c>
      <c r="K3239" s="3" t="s">
        <v>63</v>
      </c>
      <c r="L3239" s="2" t="s">
        <v>31452</v>
      </c>
      <c r="M3239" s="2" t="s">
        <v>31453</v>
      </c>
      <c r="N3239" s="3" t="s">
        <v>195</v>
      </c>
      <c r="P3239" s="3" t="s">
        <v>65</v>
      </c>
      <c r="Q3239" s="2" t="s">
        <v>31454</v>
      </c>
      <c r="R3239" s="3" t="s">
        <v>66</v>
      </c>
      <c r="S3239" s="4">
        <v>12</v>
      </c>
      <c r="T3239" s="4">
        <v>16</v>
      </c>
      <c r="U3239" s="5" t="s">
        <v>30488</v>
      </c>
      <c r="V3239" s="5" t="s">
        <v>30488</v>
      </c>
      <c r="W3239" s="5" t="s">
        <v>67</v>
      </c>
      <c r="X3239" s="5" t="s">
        <v>67</v>
      </c>
      <c r="Y3239" s="4">
        <v>349</v>
      </c>
      <c r="Z3239" s="4">
        <v>19</v>
      </c>
      <c r="AA3239" s="4">
        <v>21</v>
      </c>
      <c r="AB3239" s="4">
        <v>2</v>
      </c>
      <c r="AC3239" s="4">
        <v>4</v>
      </c>
      <c r="AD3239" s="4">
        <v>104</v>
      </c>
      <c r="AE3239" s="4">
        <v>106</v>
      </c>
      <c r="AF3239" s="4">
        <v>1</v>
      </c>
      <c r="AG3239" s="4">
        <v>3</v>
      </c>
      <c r="AH3239" s="4">
        <v>96</v>
      </c>
      <c r="AI3239" s="4">
        <v>97</v>
      </c>
      <c r="AJ3239" s="4">
        <v>12</v>
      </c>
      <c r="AK3239" s="4">
        <v>14</v>
      </c>
      <c r="AL3239" s="4">
        <v>52</v>
      </c>
      <c r="AM3239" s="4">
        <v>52</v>
      </c>
      <c r="AN3239" s="4">
        <v>0</v>
      </c>
      <c r="AO3239" s="4">
        <v>0</v>
      </c>
      <c r="AP3239" s="4">
        <v>13</v>
      </c>
      <c r="AQ3239" s="4">
        <v>14</v>
      </c>
      <c r="AR3239" s="3" t="s">
        <v>62</v>
      </c>
      <c r="AS3239" s="3" t="s">
        <v>62</v>
      </c>
      <c r="AT3239" s="3" t="s">
        <v>61</v>
      </c>
      <c r="AU3239" s="6" t="str">
        <f>HYPERLINK("http://catalog.hathitrust.org/Record/002712829","HathiTrust Record")</f>
        <v>HathiTrust Record</v>
      </c>
      <c r="AV3239" s="6" t="str">
        <f>HYPERLINK("http://mcgill.on.worldcat.org/oclc/28147595","Catalog Record")</f>
        <v>Catalog Record</v>
      </c>
      <c r="AW3239" s="6" t="str">
        <f>HYPERLINK("http://www.worldcat.org/oclc/28147595","WorldCat Record")</f>
        <v>WorldCat Record</v>
      </c>
      <c r="AX3239" s="3" t="s">
        <v>31455</v>
      </c>
      <c r="AY3239" s="3" t="s">
        <v>31456</v>
      </c>
      <c r="AZ3239" s="3" t="s">
        <v>31457</v>
      </c>
      <c r="BA3239" s="3" t="s">
        <v>31457</v>
      </c>
      <c r="BB3239" s="3" t="s">
        <v>31458</v>
      </c>
      <c r="BC3239" s="3" t="s">
        <v>142</v>
      </c>
      <c r="BD3239" s="3" t="s">
        <v>68</v>
      </c>
      <c r="BE3239" s="3" t="s">
        <v>31459</v>
      </c>
      <c r="BF3239" s="3" t="s">
        <v>31458</v>
      </c>
      <c r="BG3239" s="3" t="s">
        <v>31460</v>
      </c>
    </row>
    <row r="3240" spans="1:59" ht="57" x14ac:dyDescent="0.45">
      <c r="A3240" s="2" t="s">
        <v>59</v>
      </c>
      <c r="B3240" s="2" t="s">
        <v>60</v>
      </c>
      <c r="C3240" s="2" t="s">
        <v>31449</v>
      </c>
      <c r="D3240" s="2" t="s">
        <v>31450</v>
      </c>
      <c r="E3240" s="2" t="s">
        <v>31451</v>
      </c>
      <c r="G3240" s="3" t="s">
        <v>62</v>
      </c>
      <c r="I3240" s="3" t="s">
        <v>61</v>
      </c>
      <c r="J3240" s="3" t="s">
        <v>62</v>
      </c>
      <c r="K3240" s="3" t="s">
        <v>63</v>
      </c>
      <c r="L3240" s="2" t="s">
        <v>31452</v>
      </c>
      <c r="M3240" s="2" t="s">
        <v>31453</v>
      </c>
      <c r="N3240" s="3" t="s">
        <v>195</v>
      </c>
      <c r="P3240" s="3" t="s">
        <v>65</v>
      </c>
      <c r="Q3240" s="2" t="s">
        <v>31454</v>
      </c>
      <c r="R3240" s="3" t="s">
        <v>66</v>
      </c>
      <c r="S3240" s="4">
        <v>4</v>
      </c>
      <c r="T3240" s="4">
        <v>16</v>
      </c>
      <c r="U3240" s="5" t="s">
        <v>31461</v>
      </c>
      <c r="V3240" s="5" t="s">
        <v>30488</v>
      </c>
      <c r="W3240" s="5" t="s">
        <v>67</v>
      </c>
      <c r="X3240" s="5" t="s">
        <v>67</v>
      </c>
      <c r="Y3240" s="4">
        <v>349</v>
      </c>
      <c r="Z3240" s="4">
        <v>19</v>
      </c>
      <c r="AA3240" s="4">
        <v>21</v>
      </c>
      <c r="AB3240" s="4">
        <v>2</v>
      </c>
      <c r="AC3240" s="4">
        <v>4</v>
      </c>
      <c r="AD3240" s="4">
        <v>104</v>
      </c>
      <c r="AE3240" s="4">
        <v>106</v>
      </c>
      <c r="AF3240" s="4">
        <v>1</v>
      </c>
      <c r="AG3240" s="4">
        <v>3</v>
      </c>
      <c r="AH3240" s="4">
        <v>96</v>
      </c>
      <c r="AI3240" s="4">
        <v>97</v>
      </c>
      <c r="AJ3240" s="4">
        <v>12</v>
      </c>
      <c r="AK3240" s="4">
        <v>14</v>
      </c>
      <c r="AL3240" s="4">
        <v>52</v>
      </c>
      <c r="AM3240" s="4">
        <v>52</v>
      </c>
      <c r="AN3240" s="4">
        <v>0</v>
      </c>
      <c r="AO3240" s="4">
        <v>0</v>
      </c>
      <c r="AP3240" s="4">
        <v>13</v>
      </c>
      <c r="AQ3240" s="4">
        <v>14</v>
      </c>
      <c r="AR3240" s="3" t="s">
        <v>62</v>
      </c>
      <c r="AS3240" s="3" t="s">
        <v>62</v>
      </c>
      <c r="AT3240" s="3" t="s">
        <v>61</v>
      </c>
      <c r="AU3240" s="6" t="str">
        <f>HYPERLINK("http://catalog.hathitrust.org/Record/002712829","HathiTrust Record")</f>
        <v>HathiTrust Record</v>
      </c>
      <c r="AV3240" s="6" t="str">
        <f>HYPERLINK("http://mcgill.on.worldcat.org/oclc/28147595","Catalog Record")</f>
        <v>Catalog Record</v>
      </c>
      <c r="AW3240" s="6" t="str">
        <f>HYPERLINK("http://www.worldcat.org/oclc/28147595","WorldCat Record")</f>
        <v>WorldCat Record</v>
      </c>
      <c r="AX3240" s="3" t="s">
        <v>31455</v>
      </c>
      <c r="AY3240" s="3" t="s">
        <v>31456</v>
      </c>
      <c r="AZ3240" s="3" t="s">
        <v>31457</v>
      </c>
      <c r="BA3240" s="3" t="s">
        <v>31457</v>
      </c>
      <c r="BB3240" s="3" t="s">
        <v>31462</v>
      </c>
      <c r="BC3240" s="3" t="s">
        <v>142</v>
      </c>
      <c r="BD3240" s="3" t="s">
        <v>68</v>
      </c>
      <c r="BE3240" s="3" t="s">
        <v>31459</v>
      </c>
      <c r="BF3240" s="3" t="s">
        <v>31462</v>
      </c>
      <c r="BG3240" s="3" t="s">
        <v>31463</v>
      </c>
    </row>
    <row r="3241" spans="1:59" ht="57" x14ac:dyDescent="0.45">
      <c r="A3241" s="2" t="s">
        <v>59</v>
      </c>
      <c r="B3241" s="2" t="s">
        <v>60</v>
      </c>
      <c r="C3241" s="2" t="s">
        <v>31464</v>
      </c>
      <c r="D3241" s="2" t="s">
        <v>31465</v>
      </c>
      <c r="E3241" s="2" t="s">
        <v>31466</v>
      </c>
      <c r="G3241" s="3" t="s">
        <v>62</v>
      </c>
      <c r="I3241" s="3" t="s">
        <v>61</v>
      </c>
      <c r="J3241" s="3" t="s">
        <v>62</v>
      </c>
      <c r="K3241" s="3" t="s">
        <v>63</v>
      </c>
      <c r="M3241" s="2" t="s">
        <v>31467</v>
      </c>
      <c r="N3241" s="3" t="s">
        <v>807</v>
      </c>
      <c r="P3241" s="3" t="s">
        <v>65</v>
      </c>
      <c r="R3241" s="3" t="s">
        <v>66</v>
      </c>
      <c r="S3241" s="4">
        <v>5</v>
      </c>
      <c r="T3241" s="4">
        <v>29</v>
      </c>
      <c r="U3241" s="5" t="s">
        <v>31468</v>
      </c>
      <c r="V3241" s="5" t="s">
        <v>1544</v>
      </c>
      <c r="W3241" s="5" t="s">
        <v>67</v>
      </c>
      <c r="X3241" s="5" t="s">
        <v>67</v>
      </c>
      <c r="Y3241" s="4">
        <v>315</v>
      </c>
      <c r="Z3241" s="4">
        <v>23</v>
      </c>
      <c r="AA3241" s="4">
        <v>26</v>
      </c>
      <c r="AB3241" s="4">
        <v>1</v>
      </c>
      <c r="AC3241" s="4">
        <v>4</v>
      </c>
      <c r="AD3241" s="4">
        <v>77</v>
      </c>
      <c r="AE3241" s="4">
        <v>80</v>
      </c>
      <c r="AF3241" s="4">
        <v>0</v>
      </c>
      <c r="AG3241" s="4">
        <v>2</v>
      </c>
      <c r="AH3241" s="4">
        <v>65</v>
      </c>
      <c r="AI3241" s="4">
        <v>66</v>
      </c>
      <c r="AJ3241" s="4">
        <v>12</v>
      </c>
      <c r="AK3241" s="4">
        <v>13</v>
      </c>
      <c r="AL3241" s="4">
        <v>38</v>
      </c>
      <c r="AM3241" s="4">
        <v>39</v>
      </c>
      <c r="AN3241" s="4">
        <v>0</v>
      </c>
      <c r="AO3241" s="4">
        <v>0</v>
      </c>
      <c r="AP3241" s="4">
        <v>20</v>
      </c>
      <c r="AQ3241" s="4">
        <v>22</v>
      </c>
      <c r="AR3241" s="3" t="s">
        <v>62</v>
      </c>
      <c r="AS3241" s="3" t="s">
        <v>62</v>
      </c>
      <c r="AT3241" s="3" t="s">
        <v>62</v>
      </c>
      <c r="AV3241" s="6" t="str">
        <f>HYPERLINK("http://mcgill.on.worldcat.org/oclc/22110429","Catalog Record")</f>
        <v>Catalog Record</v>
      </c>
      <c r="AW3241" s="6" t="str">
        <f>HYPERLINK("http://www.worldcat.org/oclc/22110429","WorldCat Record")</f>
        <v>WorldCat Record</v>
      </c>
      <c r="AX3241" s="3" t="s">
        <v>31469</v>
      </c>
      <c r="AY3241" s="3" t="s">
        <v>31470</v>
      </c>
      <c r="AZ3241" s="3" t="s">
        <v>31471</v>
      </c>
      <c r="BA3241" s="3" t="s">
        <v>31471</v>
      </c>
      <c r="BB3241" s="3" t="s">
        <v>31472</v>
      </c>
      <c r="BC3241" s="3" t="s">
        <v>142</v>
      </c>
      <c r="BD3241" s="3" t="s">
        <v>68</v>
      </c>
      <c r="BE3241" s="3" t="s">
        <v>31473</v>
      </c>
      <c r="BF3241" s="3" t="s">
        <v>31472</v>
      </c>
      <c r="BG3241" s="3" t="s">
        <v>31474</v>
      </c>
    </row>
    <row r="3242" spans="1:59" ht="57" x14ac:dyDescent="0.45">
      <c r="A3242" s="2" t="s">
        <v>59</v>
      </c>
      <c r="B3242" s="2" t="s">
        <v>60</v>
      </c>
      <c r="C3242" s="2" t="s">
        <v>31464</v>
      </c>
      <c r="D3242" s="2" t="s">
        <v>31465</v>
      </c>
      <c r="E3242" s="2" t="s">
        <v>31466</v>
      </c>
      <c r="G3242" s="3" t="s">
        <v>62</v>
      </c>
      <c r="I3242" s="3" t="s">
        <v>61</v>
      </c>
      <c r="J3242" s="3" t="s">
        <v>62</v>
      </c>
      <c r="K3242" s="3" t="s">
        <v>63</v>
      </c>
      <c r="M3242" s="2" t="s">
        <v>31467</v>
      </c>
      <c r="N3242" s="3" t="s">
        <v>807</v>
      </c>
      <c r="P3242" s="3" t="s">
        <v>65</v>
      </c>
      <c r="R3242" s="3" t="s">
        <v>66</v>
      </c>
      <c r="S3242" s="4">
        <v>24</v>
      </c>
      <c r="T3242" s="4">
        <v>29</v>
      </c>
      <c r="U3242" s="5" t="s">
        <v>1544</v>
      </c>
      <c r="V3242" s="5" t="s">
        <v>1544</v>
      </c>
      <c r="W3242" s="5" t="s">
        <v>67</v>
      </c>
      <c r="X3242" s="5" t="s">
        <v>67</v>
      </c>
      <c r="Y3242" s="4">
        <v>315</v>
      </c>
      <c r="Z3242" s="4">
        <v>23</v>
      </c>
      <c r="AA3242" s="4">
        <v>26</v>
      </c>
      <c r="AB3242" s="4">
        <v>1</v>
      </c>
      <c r="AC3242" s="4">
        <v>4</v>
      </c>
      <c r="AD3242" s="4">
        <v>77</v>
      </c>
      <c r="AE3242" s="4">
        <v>80</v>
      </c>
      <c r="AF3242" s="4">
        <v>0</v>
      </c>
      <c r="AG3242" s="4">
        <v>2</v>
      </c>
      <c r="AH3242" s="4">
        <v>65</v>
      </c>
      <c r="AI3242" s="4">
        <v>66</v>
      </c>
      <c r="AJ3242" s="4">
        <v>12</v>
      </c>
      <c r="AK3242" s="4">
        <v>13</v>
      </c>
      <c r="AL3242" s="4">
        <v>38</v>
      </c>
      <c r="AM3242" s="4">
        <v>39</v>
      </c>
      <c r="AN3242" s="4">
        <v>0</v>
      </c>
      <c r="AO3242" s="4">
        <v>0</v>
      </c>
      <c r="AP3242" s="4">
        <v>20</v>
      </c>
      <c r="AQ3242" s="4">
        <v>22</v>
      </c>
      <c r="AR3242" s="3" t="s">
        <v>62</v>
      </c>
      <c r="AS3242" s="3" t="s">
        <v>62</v>
      </c>
      <c r="AT3242" s="3" t="s">
        <v>62</v>
      </c>
      <c r="AV3242" s="6" t="str">
        <f>HYPERLINK("http://mcgill.on.worldcat.org/oclc/22110429","Catalog Record")</f>
        <v>Catalog Record</v>
      </c>
      <c r="AW3242" s="6" t="str">
        <f>HYPERLINK("http://www.worldcat.org/oclc/22110429","WorldCat Record")</f>
        <v>WorldCat Record</v>
      </c>
      <c r="AX3242" s="3" t="s">
        <v>31469</v>
      </c>
      <c r="AY3242" s="3" t="s">
        <v>31470</v>
      </c>
      <c r="AZ3242" s="3" t="s">
        <v>31471</v>
      </c>
      <c r="BA3242" s="3" t="s">
        <v>31471</v>
      </c>
      <c r="BB3242" s="3" t="s">
        <v>31475</v>
      </c>
      <c r="BC3242" s="3" t="s">
        <v>142</v>
      </c>
      <c r="BD3242" s="3" t="s">
        <v>68</v>
      </c>
      <c r="BE3242" s="3" t="s">
        <v>31473</v>
      </c>
      <c r="BF3242" s="3" t="s">
        <v>31475</v>
      </c>
      <c r="BG3242" s="3" t="s">
        <v>31476</v>
      </c>
    </row>
    <row r="3243" spans="1:59" ht="57" x14ac:dyDescent="0.45">
      <c r="A3243" s="2" t="s">
        <v>59</v>
      </c>
      <c r="B3243" s="2" t="s">
        <v>60</v>
      </c>
      <c r="C3243" s="2" t="s">
        <v>31477</v>
      </c>
      <c r="D3243" s="2" t="s">
        <v>31478</v>
      </c>
      <c r="E3243" s="2" t="s">
        <v>31479</v>
      </c>
      <c r="G3243" s="3" t="s">
        <v>62</v>
      </c>
      <c r="I3243" s="3" t="s">
        <v>62</v>
      </c>
      <c r="J3243" s="3" t="s">
        <v>62</v>
      </c>
      <c r="K3243" s="3" t="s">
        <v>63</v>
      </c>
      <c r="L3243" s="2" t="s">
        <v>31480</v>
      </c>
      <c r="M3243" s="2" t="s">
        <v>31481</v>
      </c>
      <c r="N3243" s="3" t="s">
        <v>529</v>
      </c>
      <c r="P3243" s="3" t="s">
        <v>65</v>
      </c>
      <c r="R3243" s="3" t="s">
        <v>66</v>
      </c>
      <c r="S3243" s="4">
        <v>26</v>
      </c>
      <c r="T3243" s="4">
        <v>26</v>
      </c>
      <c r="U3243" s="5" t="s">
        <v>16538</v>
      </c>
      <c r="V3243" s="5" t="s">
        <v>16538</v>
      </c>
      <c r="W3243" s="5" t="s">
        <v>67</v>
      </c>
      <c r="X3243" s="5" t="s">
        <v>67</v>
      </c>
      <c r="Y3243" s="4">
        <v>339</v>
      </c>
      <c r="Z3243" s="4">
        <v>23</v>
      </c>
      <c r="AA3243" s="4">
        <v>24</v>
      </c>
      <c r="AB3243" s="4">
        <v>2</v>
      </c>
      <c r="AC3243" s="4">
        <v>2</v>
      </c>
      <c r="AD3243" s="4">
        <v>109</v>
      </c>
      <c r="AE3243" s="4">
        <v>114</v>
      </c>
      <c r="AF3243" s="4">
        <v>1</v>
      </c>
      <c r="AG3243" s="4">
        <v>1</v>
      </c>
      <c r="AH3243" s="4">
        <v>97</v>
      </c>
      <c r="AI3243" s="4">
        <v>102</v>
      </c>
      <c r="AJ3243" s="4">
        <v>15</v>
      </c>
      <c r="AK3243" s="4">
        <v>16</v>
      </c>
      <c r="AL3243" s="4">
        <v>55</v>
      </c>
      <c r="AM3243" s="4">
        <v>56</v>
      </c>
      <c r="AN3243" s="4">
        <v>0</v>
      </c>
      <c r="AO3243" s="4">
        <v>0</v>
      </c>
      <c r="AP3243" s="4">
        <v>19</v>
      </c>
      <c r="AQ3243" s="4">
        <v>20</v>
      </c>
      <c r="AR3243" s="3" t="s">
        <v>62</v>
      </c>
      <c r="AS3243" s="3" t="s">
        <v>62</v>
      </c>
      <c r="AT3243" s="3" t="s">
        <v>61</v>
      </c>
      <c r="AU3243" s="6" t="str">
        <f>HYPERLINK("http://catalog.hathitrust.org/Record/000385285","HathiTrust Record")</f>
        <v>HathiTrust Record</v>
      </c>
      <c r="AV3243" s="6" t="str">
        <f>HYPERLINK("http://mcgill.on.worldcat.org/oclc/12082268","Catalog Record")</f>
        <v>Catalog Record</v>
      </c>
      <c r="AW3243" s="6" t="str">
        <f>HYPERLINK("http://www.worldcat.org/oclc/12082268","WorldCat Record")</f>
        <v>WorldCat Record</v>
      </c>
      <c r="AX3243" s="3" t="s">
        <v>31482</v>
      </c>
      <c r="AY3243" s="3" t="s">
        <v>31483</v>
      </c>
      <c r="AZ3243" s="3" t="s">
        <v>31484</v>
      </c>
      <c r="BA3243" s="3" t="s">
        <v>31484</v>
      </c>
      <c r="BB3243" s="3" t="s">
        <v>31485</v>
      </c>
      <c r="BC3243" s="3" t="s">
        <v>142</v>
      </c>
      <c r="BD3243" s="3" t="s">
        <v>68</v>
      </c>
      <c r="BE3243" s="3" t="s">
        <v>31486</v>
      </c>
      <c r="BF3243" s="3" t="s">
        <v>31485</v>
      </c>
      <c r="BG3243" s="3" t="s">
        <v>31487</v>
      </c>
    </row>
    <row r="3244" spans="1:59" ht="57" x14ac:dyDescent="0.45">
      <c r="A3244" s="2" t="s">
        <v>59</v>
      </c>
      <c r="B3244" s="2" t="s">
        <v>60</v>
      </c>
      <c r="C3244" s="2" t="s">
        <v>31488</v>
      </c>
      <c r="D3244" s="2" t="s">
        <v>31489</v>
      </c>
      <c r="E3244" s="2" t="s">
        <v>31490</v>
      </c>
      <c r="G3244" s="3" t="s">
        <v>62</v>
      </c>
      <c r="I3244" s="3" t="s">
        <v>61</v>
      </c>
      <c r="J3244" s="3" t="s">
        <v>62</v>
      </c>
      <c r="K3244" s="3" t="s">
        <v>63</v>
      </c>
      <c r="L3244" s="2" t="s">
        <v>31491</v>
      </c>
      <c r="M3244" s="2" t="s">
        <v>31492</v>
      </c>
      <c r="N3244" s="3" t="s">
        <v>1224</v>
      </c>
      <c r="P3244" s="3" t="s">
        <v>65</v>
      </c>
      <c r="Q3244" s="2" t="s">
        <v>31493</v>
      </c>
      <c r="R3244" s="3" t="s">
        <v>66</v>
      </c>
      <c r="S3244" s="4">
        <v>7</v>
      </c>
      <c r="T3244" s="4">
        <v>20</v>
      </c>
      <c r="U3244" s="5" t="s">
        <v>31494</v>
      </c>
      <c r="V3244" s="5" t="s">
        <v>31495</v>
      </c>
      <c r="W3244" s="5" t="s">
        <v>67</v>
      </c>
      <c r="X3244" s="5" t="s">
        <v>67</v>
      </c>
      <c r="Y3244" s="4">
        <v>711</v>
      </c>
      <c r="Z3244" s="4">
        <v>35</v>
      </c>
      <c r="AA3244" s="4">
        <v>48</v>
      </c>
      <c r="AB3244" s="4">
        <v>2</v>
      </c>
      <c r="AC3244" s="4">
        <v>9</v>
      </c>
      <c r="AD3244" s="4">
        <v>124</v>
      </c>
      <c r="AE3244" s="4">
        <v>137</v>
      </c>
      <c r="AF3244" s="4">
        <v>1</v>
      </c>
      <c r="AG3244" s="4">
        <v>7</v>
      </c>
      <c r="AH3244" s="4">
        <v>104</v>
      </c>
      <c r="AI3244" s="4">
        <v>108</v>
      </c>
      <c r="AJ3244" s="4">
        <v>17</v>
      </c>
      <c r="AK3244" s="4">
        <v>24</v>
      </c>
      <c r="AL3244" s="4">
        <v>57</v>
      </c>
      <c r="AM3244" s="4">
        <v>58</v>
      </c>
      <c r="AN3244" s="4">
        <v>0</v>
      </c>
      <c r="AO3244" s="4">
        <v>0</v>
      </c>
      <c r="AP3244" s="4">
        <v>26</v>
      </c>
      <c r="AQ3244" s="4">
        <v>36</v>
      </c>
      <c r="AR3244" s="3" t="s">
        <v>62</v>
      </c>
      <c r="AS3244" s="3" t="s">
        <v>62</v>
      </c>
      <c r="AT3244" s="3" t="s">
        <v>61</v>
      </c>
      <c r="AU3244" s="6" t="str">
        <f>HYPERLINK("http://catalog.hathitrust.org/Record/001193113","HathiTrust Record")</f>
        <v>HathiTrust Record</v>
      </c>
      <c r="AV3244" s="6" t="str">
        <f>HYPERLINK("http://mcgill.on.worldcat.org/oclc/796972","Catalog Record")</f>
        <v>Catalog Record</v>
      </c>
      <c r="AW3244" s="6" t="str">
        <f>HYPERLINK("http://www.worldcat.org/oclc/796972","WorldCat Record")</f>
        <v>WorldCat Record</v>
      </c>
      <c r="AX3244" s="3" t="s">
        <v>31496</v>
      </c>
      <c r="AY3244" s="3" t="s">
        <v>31497</v>
      </c>
      <c r="AZ3244" s="3" t="s">
        <v>31498</v>
      </c>
      <c r="BA3244" s="3" t="s">
        <v>31498</v>
      </c>
      <c r="BB3244" s="3" t="s">
        <v>31499</v>
      </c>
      <c r="BC3244" s="3" t="s">
        <v>142</v>
      </c>
      <c r="BD3244" s="3" t="s">
        <v>68</v>
      </c>
      <c r="BE3244" s="3" t="s">
        <v>31500</v>
      </c>
      <c r="BF3244" s="3" t="s">
        <v>31499</v>
      </c>
      <c r="BG3244" s="3" t="s">
        <v>31501</v>
      </c>
    </row>
    <row r="3245" spans="1:59" ht="57" x14ac:dyDescent="0.45">
      <c r="A3245" s="2" t="s">
        <v>59</v>
      </c>
      <c r="B3245" s="2" t="s">
        <v>60</v>
      </c>
      <c r="C3245" s="2" t="s">
        <v>31488</v>
      </c>
      <c r="D3245" s="2" t="s">
        <v>31489</v>
      </c>
      <c r="E3245" s="2" t="s">
        <v>31490</v>
      </c>
      <c r="G3245" s="3" t="s">
        <v>62</v>
      </c>
      <c r="I3245" s="3" t="s">
        <v>61</v>
      </c>
      <c r="J3245" s="3" t="s">
        <v>62</v>
      </c>
      <c r="K3245" s="3" t="s">
        <v>63</v>
      </c>
      <c r="L3245" s="2" t="s">
        <v>31491</v>
      </c>
      <c r="M3245" s="2" t="s">
        <v>31492</v>
      </c>
      <c r="N3245" s="3" t="s">
        <v>1224</v>
      </c>
      <c r="P3245" s="3" t="s">
        <v>65</v>
      </c>
      <c r="Q3245" s="2" t="s">
        <v>31493</v>
      </c>
      <c r="R3245" s="3" t="s">
        <v>66</v>
      </c>
      <c r="S3245" s="4">
        <v>0</v>
      </c>
      <c r="T3245" s="4">
        <v>20</v>
      </c>
      <c r="V3245" s="5" t="s">
        <v>31495</v>
      </c>
      <c r="W3245" s="5" t="s">
        <v>67</v>
      </c>
      <c r="X3245" s="5" t="s">
        <v>67</v>
      </c>
      <c r="Y3245" s="4">
        <v>711</v>
      </c>
      <c r="Z3245" s="4">
        <v>35</v>
      </c>
      <c r="AA3245" s="4">
        <v>48</v>
      </c>
      <c r="AB3245" s="4">
        <v>2</v>
      </c>
      <c r="AC3245" s="4">
        <v>9</v>
      </c>
      <c r="AD3245" s="4">
        <v>124</v>
      </c>
      <c r="AE3245" s="4">
        <v>137</v>
      </c>
      <c r="AF3245" s="4">
        <v>1</v>
      </c>
      <c r="AG3245" s="4">
        <v>7</v>
      </c>
      <c r="AH3245" s="4">
        <v>104</v>
      </c>
      <c r="AI3245" s="4">
        <v>108</v>
      </c>
      <c r="AJ3245" s="4">
        <v>17</v>
      </c>
      <c r="AK3245" s="4">
        <v>24</v>
      </c>
      <c r="AL3245" s="4">
        <v>57</v>
      </c>
      <c r="AM3245" s="4">
        <v>58</v>
      </c>
      <c r="AN3245" s="4">
        <v>0</v>
      </c>
      <c r="AO3245" s="4">
        <v>0</v>
      </c>
      <c r="AP3245" s="4">
        <v>26</v>
      </c>
      <c r="AQ3245" s="4">
        <v>36</v>
      </c>
      <c r="AR3245" s="3" t="s">
        <v>62</v>
      </c>
      <c r="AS3245" s="3" t="s">
        <v>62</v>
      </c>
      <c r="AT3245" s="3" t="s">
        <v>61</v>
      </c>
      <c r="AU3245" s="6" t="str">
        <f>HYPERLINK("http://catalog.hathitrust.org/Record/001193113","HathiTrust Record")</f>
        <v>HathiTrust Record</v>
      </c>
      <c r="AV3245" s="6" t="str">
        <f>HYPERLINK("http://mcgill.on.worldcat.org/oclc/796972","Catalog Record")</f>
        <v>Catalog Record</v>
      </c>
      <c r="AW3245" s="6" t="str">
        <f>HYPERLINK("http://www.worldcat.org/oclc/796972","WorldCat Record")</f>
        <v>WorldCat Record</v>
      </c>
      <c r="AX3245" s="3" t="s">
        <v>31496</v>
      </c>
      <c r="AY3245" s="3" t="s">
        <v>31497</v>
      </c>
      <c r="AZ3245" s="3" t="s">
        <v>31498</v>
      </c>
      <c r="BA3245" s="3" t="s">
        <v>31498</v>
      </c>
      <c r="BB3245" s="3" t="s">
        <v>31502</v>
      </c>
      <c r="BC3245" s="3" t="s">
        <v>142</v>
      </c>
      <c r="BD3245" s="3" t="s">
        <v>68</v>
      </c>
      <c r="BE3245" s="3" t="s">
        <v>31500</v>
      </c>
      <c r="BF3245" s="3" t="s">
        <v>31502</v>
      </c>
      <c r="BG3245" s="3" t="s">
        <v>31503</v>
      </c>
    </row>
    <row r="3246" spans="1:59" ht="57" x14ac:dyDescent="0.45">
      <c r="A3246" s="2" t="s">
        <v>59</v>
      </c>
      <c r="B3246" s="2" t="s">
        <v>60</v>
      </c>
      <c r="C3246" s="2" t="s">
        <v>31488</v>
      </c>
      <c r="D3246" s="2" t="s">
        <v>31489</v>
      </c>
      <c r="E3246" s="2" t="s">
        <v>31490</v>
      </c>
      <c r="G3246" s="3" t="s">
        <v>62</v>
      </c>
      <c r="I3246" s="3" t="s">
        <v>61</v>
      </c>
      <c r="J3246" s="3" t="s">
        <v>62</v>
      </c>
      <c r="K3246" s="3" t="s">
        <v>63</v>
      </c>
      <c r="L3246" s="2" t="s">
        <v>31491</v>
      </c>
      <c r="M3246" s="2" t="s">
        <v>31492</v>
      </c>
      <c r="N3246" s="3" t="s">
        <v>1224</v>
      </c>
      <c r="P3246" s="3" t="s">
        <v>65</v>
      </c>
      <c r="Q3246" s="2" t="s">
        <v>31493</v>
      </c>
      <c r="R3246" s="3" t="s">
        <v>66</v>
      </c>
      <c r="S3246" s="4">
        <v>6</v>
      </c>
      <c r="T3246" s="4">
        <v>20</v>
      </c>
      <c r="U3246" s="5" t="s">
        <v>31495</v>
      </c>
      <c r="V3246" s="5" t="s">
        <v>31495</v>
      </c>
      <c r="W3246" s="5" t="s">
        <v>67</v>
      </c>
      <c r="X3246" s="5" t="s">
        <v>67</v>
      </c>
      <c r="Y3246" s="4">
        <v>711</v>
      </c>
      <c r="Z3246" s="4">
        <v>35</v>
      </c>
      <c r="AA3246" s="4">
        <v>48</v>
      </c>
      <c r="AB3246" s="4">
        <v>2</v>
      </c>
      <c r="AC3246" s="4">
        <v>9</v>
      </c>
      <c r="AD3246" s="4">
        <v>124</v>
      </c>
      <c r="AE3246" s="4">
        <v>137</v>
      </c>
      <c r="AF3246" s="4">
        <v>1</v>
      </c>
      <c r="AG3246" s="4">
        <v>7</v>
      </c>
      <c r="AH3246" s="4">
        <v>104</v>
      </c>
      <c r="AI3246" s="4">
        <v>108</v>
      </c>
      <c r="AJ3246" s="4">
        <v>17</v>
      </c>
      <c r="AK3246" s="4">
        <v>24</v>
      </c>
      <c r="AL3246" s="4">
        <v>57</v>
      </c>
      <c r="AM3246" s="4">
        <v>58</v>
      </c>
      <c r="AN3246" s="4">
        <v>0</v>
      </c>
      <c r="AO3246" s="4">
        <v>0</v>
      </c>
      <c r="AP3246" s="4">
        <v>26</v>
      </c>
      <c r="AQ3246" s="4">
        <v>36</v>
      </c>
      <c r="AR3246" s="3" t="s">
        <v>62</v>
      </c>
      <c r="AS3246" s="3" t="s">
        <v>62</v>
      </c>
      <c r="AT3246" s="3" t="s">
        <v>61</v>
      </c>
      <c r="AU3246" s="6" t="str">
        <f>HYPERLINK("http://catalog.hathitrust.org/Record/001193113","HathiTrust Record")</f>
        <v>HathiTrust Record</v>
      </c>
      <c r="AV3246" s="6" t="str">
        <f>HYPERLINK("http://mcgill.on.worldcat.org/oclc/796972","Catalog Record")</f>
        <v>Catalog Record</v>
      </c>
      <c r="AW3246" s="6" t="str">
        <f>HYPERLINK("http://www.worldcat.org/oclc/796972","WorldCat Record")</f>
        <v>WorldCat Record</v>
      </c>
      <c r="AX3246" s="3" t="s">
        <v>31496</v>
      </c>
      <c r="AY3246" s="3" t="s">
        <v>31497</v>
      </c>
      <c r="AZ3246" s="3" t="s">
        <v>31498</v>
      </c>
      <c r="BA3246" s="3" t="s">
        <v>31498</v>
      </c>
      <c r="BB3246" s="3" t="s">
        <v>31504</v>
      </c>
      <c r="BC3246" s="3" t="s">
        <v>142</v>
      </c>
      <c r="BD3246" s="3" t="s">
        <v>68</v>
      </c>
      <c r="BE3246" s="3" t="s">
        <v>31500</v>
      </c>
      <c r="BF3246" s="3" t="s">
        <v>31504</v>
      </c>
      <c r="BG3246" s="3" t="s">
        <v>31505</v>
      </c>
    </row>
    <row r="3247" spans="1:59" ht="57" x14ac:dyDescent="0.45">
      <c r="A3247" s="2" t="s">
        <v>59</v>
      </c>
      <c r="B3247" s="2" t="s">
        <v>60</v>
      </c>
      <c r="C3247" s="2" t="s">
        <v>31488</v>
      </c>
      <c r="D3247" s="2" t="s">
        <v>31489</v>
      </c>
      <c r="E3247" s="2" t="s">
        <v>31490</v>
      </c>
      <c r="G3247" s="3" t="s">
        <v>62</v>
      </c>
      <c r="I3247" s="3" t="s">
        <v>61</v>
      </c>
      <c r="J3247" s="3" t="s">
        <v>62</v>
      </c>
      <c r="K3247" s="3" t="s">
        <v>63</v>
      </c>
      <c r="L3247" s="2" t="s">
        <v>31491</v>
      </c>
      <c r="M3247" s="2" t="s">
        <v>31492</v>
      </c>
      <c r="N3247" s="3" t="s">
        <v>1224</v>
      </c>
      <c r="P3247" s="3" t="s">
        <v>65</v>
      </c>
      <c r="Q3247" s="2" t="s">
        <v>31493</v>
      </c>
      <c r="R3247" s="3" t="s">
        <v>66</v>
      </c>
      <c r="S3247" s="4">
        <v>7</v>
      </c>
      <c r="T3247" s="4">
        <v>20</v>
      </c>
      <c r="U3247" s="5" t="s">
        <v>31506</v>
      </c>
      <c r="V3247" s="5" t="s">
        <v>31495</v>
      </c>
      <c r="W3247" s="5" t="s">
        <v>67</v>
      </c>
      <c r="X3247" s="5" t="s">
        <v>67</v>
      </c>
      <c r="Y3247" s="4">
        <v>711</v>
      </c>
      <c r="Z3247" s="4">
        <v>35</v>
      </c>
      <c r="AA3247" s="4">
        <v>48</v>
      </c>
      <c r="AB3247" s="4">
        <v>2</v>
      </c>
      <c r="AC3247" s="4">
        <v>9</v>
      </c>
      <c r="AD3247" s="4">
        <v>124</v>
      </c>
      <c r="AE3247" s="4">
        <v>137</v>
      </c>
      <c r="AF3247" s="4">
        <v>1</v>
      </c>
      <c r="AG3247" s="4">
        <v>7</v>
      </c>
      <c r="AH3247" s="4">
        <v>104</v>
      </c>
      <c r="AI3247" s="4">
        <v>108</v>
      </c>
      <c r="AJ3247" s="4">
        <v>17</v>
      </c>
      <c r="AK3247" s="4">
        <v>24</v>
      </c>
      <c r="AL3247" s="4">
        <v>57</v>
      </c>
      <c r="AM3247" s="4">
        <v>58</v>
      </c>
      <c r="AN3247" s="4">
        <v>0</v>
      </c>
      <c r="AO3247" s="4">
        <v>0</v>
      </c>
      <c r="AP3247" s="4">
        <v>26</v>
      </c>
      <c r="AQ3247" s="4">
        <v>36</v>
      </c>
      <c r="AR3247" s="3" t="s">
        <v>62</v>
      </c>
      <c r="AS3247" s="3" t="s">
        <v>62</v>
      </c>
      <c r="AT3247" s="3" t="s">
        <v>61</v>
      </c>
      <c r="AU3247" s="6" t="str">
        <f>HYPERLINK("http://catalog.hathitrust.org/Record/001193113","HathiTrust Record")</f>
        <v>HathiTrust Record</v>
      </c>
      <c r="AV3247" s="6" t="str">
        <f>HYPERLINK("http://mcgill.on.worldcat.org/oclc/796972","Catalog Record")</f>
        <v>Catalog Record</v>
      </c>
      <c r="AW3247" s="6" t="str">
        <f>HYPERLINK("http://www.worldcat.org/oclc/796972","WorldCat Record")</f>
        <v>WorldCat Record</v>
      </c>
      <c r="AX3247" s="3" t="s">
        <v>31496</v>
      </c>
      <c r="AY3247" s="3" t="s">
        <v>31497</v>
      </c>
      <c r="AZ3247" s="3" t="s">
        <v>31498</v>
      </c>
      <c r="BA3247" s="3" t="s">
        <v>31498</v>
      </c>
      <c r="BB3247" s="3" t="s">
        <v>31507</v>
      </c>
      <c r="BC3247" s="3" t="s">
        <v>142</v>
      </c>
      <c r="BD3247" s="3" t="s">
        <v>68</v>
      </c>
      <c r="BE3247" s="3" t="s">
        <v>31500</v>
      </c>
      <c r="BF3247" s="3" t="s">
        <v>31507</v>
      </c>
      <c r="BG3247" s="3" t="s">
        <v>31508</v>
      </c>
    </row>
    <row r="3248" spans="1:59" ht="71.25" x14ac:dyDescent="0.45">
      <c r="A3248" s="2" t="s">
        <v>59</v>
      </c>
      <c r="B3248" s="2" t="s">
        <v>60</v>
      </c>
      <c r="C3248" s="2" t="s">
        <v>31509</v>
      </c>
      <c r="D3248" s="2" t="s">
        <v>31510</v>
      </c>
      <c r="E3248" s="2" t="s">
        <v>31511</v>
      </c>
      <c r="G3248" s="3" t="s">
        <v>62</v>
      </c>
      <c r="I3248" s="3" t="s">
        <v>61</v>
      </c>
      <c r="J3248" s="3" t="s">
        <v>61</v>
      </c>
      <c r="K3248" s="3" t="s">
        <v>63</v>
      </c>
      <c r="L3248" s="2" t="s">
        <v>31512</v>
      </c>
      <c r="M3248" s="2" t="s">
        <v>31513</v>
      </c>
      <c r="N3248" s="3" t="s">
        <v>122</v>
      </c>
      <c r="P3248" s="3" t="s">
        <v>65</v>
      </c>
      <c r="R3248" s="3" t="s">
        <v>66</v>
      </c>
      <c r="S3248" s="4">
        <v>119</v>
      </c>
      <c r="T3248" s="4">
        <v>226</v>
      </c>
      <c r="U3248" s="5" t="s">
        <v>7111</v>
      </c>
      <c r="V3248" s="5" t="s">
        <v>11756</v>
      </c>
      <c r="W3248" s="5" t="s">
        <v>67</v>
      </c>
      <c r="X3248" s="5" t="s">
        <v>67</v>
      </c>
      <c r="Y3248" s="4">
        <v>933</v>
      </c>
      <c r="Z3248" s="4">
        <v>61</v>
      </c>
      <c r="AA3248" s="4">
        <v>72</v>
      </c>
      <c r="AB3248" s="4">
        <v>3</v>
      </c>
      <c r="AC3248" s="4">
        <v>8</v>
      </c>
      <c r="AD3248" s="4">
        <v>143</v>
      </c>
      <c r="AE3248" s="4">
        <v>152</v>
      </c>
      <c r="AF3248" s="4">
        <v>2</v>
      </c>
      <c r="AG3248" s="4">
        <v>6</v>
      </c>
      <c r="AH3248" s="4">
        <v>110</v>
      </c>
      <c r="AI3248" s="4">
        <v>115</v>
      </c>
      <c r="AJ3248" s="4">
        <v>21</v>
      </c>
      <c r="AK3248" s="4">
        <v>25</v>
      </c>
      <c r="AL3248" s="4">
        <v>61</v>
      </c>
      <c r="AM3248" s="4">
        <v>62</v>
      </c>
      <c r="AN3248" s="4">
        <v>0</v>
      </c>
      <c r="AO3248" s="4">
        <v>0</v>
      </c>
      <c r="AP3248" s="4">
        <v>42</v>
      </c>
      <c r="AQ3248" s="4">
        <v>46</v>
      </c>
      <c r="AR3248" s="3" t="s">
        <v>62</v>
      </c>
      <c r="AS3248" s="3" t="s">
        <v>62</v>
      </c>
      <c r="AT3248" s="3" t="s">
        <v>61</v>
      </c>
      <c r="AU3248" s="6" t="str">
        <f>HYPERLINK("http://catalog.hathitrust.org/Record/000250996","HathiTrust Record")</f>
        <v>HathiTrust Record</v>
      </c>
      <c r="AV3248" s="6" t="str">
        <f>HYPERLINK("http://mcgill.on.worldcat.org/oclc/3001007","Catalog Record")</f>
        <v>Catalog Record</v>
      </c>
      <c r="AW3248" s="6" t="str">
        <f>HYPERLINK("http://www.worldcat.org/oclc/3001007","WorldCat Record")</f>
        <v>WorldCat Record</v>
      </c>
      <c r="AX3248" s="3" t="s">
        <v>31514</v>
      </c>
      <c r="AY3248" s="3" t="s">
        <v>31515</v>
      </c>
      <c r="AZ3248" s="3" t="s">
        <v>31516</v>
      </c>
      <c r="BA3248" s="3" t="s">
        <v>31516</v>
      </c>
      <c r="BB3248" s="3" t="s">
        <v>31517</v>
      </c>
      <c r="BC3248" s="3" t="s">
        <v>142</v>
      </c>
      <c r="BD3248" s="3" t="s">
        <v>68</v>
      </c>
      <c r="BE3248" s="3" t="s">
        <v>31518</v>
      </c>
      <c r="BF3248" s="3" t="s">
        <v>31517</v>
      </c>
      <c r="BG3248" s="3" t="s">
        <v>31519</v>
      </c>
    </row>
    <row r="3249" spans="1:59" ht="71.25" x14ac:dyDescent="0.45">
      <c r="A3249" s="2" t="s">
        <v>59</v>
      </c>
      <c r="B3249" s="2" t="s">
        <v>60</v>
      </c>
      <c r="C3249" s="2" t="s">
        <v>31509</v>
      </c>
      <c r="D3249" s="2" t="s">
        <v>31510</v>
      </c>
      <c r="E3249" s="2" t="s">
        <v>31511</v>
      </c>
      <c r="G3249" s="3" t="s">
        <v>62</v>
      </c>
      <c r="I3249" s="3" t="s">
        <v>61</v>
      </c>
      <c r="J3249" s="3" t="s">
        <v>61</v>
      </c>
      <c r="K3249" s="3" t="s">
        <v>63</v>
      </c>
      <c r="L3249" s="2" t="s">
        <v>31512</v>
      </c>
      <c r="M3249" s="2" t="s">
        <v>31513</v>
      </c>
      <c r="N3249" s="3" t="s">
        <v>122</v>
      </c>
      <c r="P3249" s="3" t="s">
        <v>65</v>
      </c>
      <c r="R3249" s="3" t="s">
        <v>66</v>
      </c>
      <c r="S3249" s="4">
        <v>107</v>
      </c>
      <c r="T3249" s="4">
        <v>226</v>
      </c>
      <c r="U3249" s="5" t="s">
        <v>11756</v>
      </c>
      <c r="V3249" s="5" t="s">
        <v>11756</v>
      </c>
      <c r="W3249" s="5" t="s">
        <v>67</v>
      </c>
      <c r="X3249" s="5" t="s">
        <v>67</v>
      </c>
      <c r="Y3249" s="4">
        <v>933</v>
      </c>
      <c r="Z3249" s="4">
        <v>61</v>
      </c>
      <c r="AA3249" s="4">
        <v>72</v>
      </c>
      <c r="AB3249" s="4">
        <v>3</v>
      </c>
      <c r="AC3249" s="4">
        <v>8</v>
      </c>
      <c r="AD3249" s="4">
        <v>143</v>
      </c>
      <c r="AE3249" s="4">
        <v>152</v>
      </c>
      <c r="AF3249" s="4">
        <v>2</v>
      </c>
      <c r="AG3249" s="4">
        <v>6</v>
      </c>
      <c r="AH3249" s="4">
        <v>110</v>
      </c>
      <c r="AI3249" s="4">
        <v>115</v>
      </c>
      <c r="AJ3249" s="4">
        <v>21</v>
      </c>
      <c r="AK3249" s="4">
        <v>25</v>
      </c>
      <c r="AL3249" s="4">
        <v>61</v>
      </c>
      <c r="AM3249" s="4">
        <v>62</v>
      </c>
      <c r="AN3249" s="4">
        <v>0</v>
      </c>
      <c r="AO3249" s="4">
        <v>0</v>
      </c>
      <c r="AP3249" s="4">
        <v>42</v>
      </c>
      <c r="AQ3249" s="4">
        <v>46</v>
      </c>
      <c r="AR3249" s="3" t="s">
        <v>62</v>
      </c>
      <c r="AS3249" s="3" t="s">
        <v>62</v>
      </c>
      <c r="AT3249" s="3" t="s">
        <v>61</v>
      </c>
      <c r="AU3249" s="6" t="str">
        <f>HYPERLINK("http://catalog.hathitrust.org/Record/000250996","HathiTrust Record")</f>
        <v>HathiTrust Record</v>
      </c>
      <c r="AV3249" s="6" t="str">
        <f>HYPERLINK("http://mcgill.on.worldcat.org/oclc/3001007","Catalog Record")</f>
        <v>Catalog Record</v>
      </c>
      <c r="AW3249" s="6" t="str">
        <f>HYPERLINK("http://www.worldcat.org/oclc/3001007","WorldCat Record")</f>
        <v>WorldCat Record</v>
      </c>
      <c r="AX3249" s="3" t="s">
        <v>31514</v>
      </c>
      <c r="AY3249" s="3" t="s">
        <v>31515</v>
      </c>
      <c r="AZ3249" s="3" t="s">
        <v>31516</v>
      </c>
      <c r="BA3249" s="3" t="s">
        <v>31516</v>
      </c>
      <c r="BB3249" s="3" t="s">
        <v>31520</v>
      </c>
      <c r="BC3249" s="3" t="s">
        <v>142</v>
      </c>
      <c r="BD3249" s="3" t="s">
        <v>68</v>
      </c>
      <c r="BE3249" s="3" t="s">
        <v>31518</v>
      </c>
      <c r="BF3249" s="3" t="s">
        <v>31520</v>
      </c>
      <c r="BG3249" s="3" t="s">
        <v>31521</v>
      </c>
    </row>
    <row r="3250" spans="1:59" ht="71.25" x14ac:dyDescent="0.45">
      <c r="A3250" s="2" t="s">
        <v>59</v>
      </c>
      <c r="B3250" s="2" t="s">
        <v>60</v>
      </c>
      <c r="C3250" s="2" t="s">
        <v>31522</v>
      </c>
      <c r="D3250" s="2" t="s">
        <v>31523</v>
      </c>
      <c r="E3250" s="2" t="s">
        <v>31511</v>
      </c>
      <c r="G3250" s="3" t="s">
        <v>62</v>
      </c>
      <c r="I3250" s="3" t="s">
        <v>61</v>
      </c>
      <c r="J3250" s="3" t="s">
        <v>61</v>
      </c>
      <c r="K3250" s="3" t="s">
        <v>63</v>
      </c>
      <c r="L3250" s="2" t="s">
        <v>31512</v>
      </c>
      <c r="M3250" s="2" t="s">
        <v>31524</v>
      </c>
      <c r="N3250" s="3" t="s">
        <v>117</v>
      </c>
      <c r="P3250" s="3" t="s">
        <v>65</v>
      </c>
      <c r="Q3250" s="2" t="s">
        <v>31525</v>
      </c>
      <c r="R3250" s="3" t="s">
        <v>66</v>
      </c>
      <c r="S3250" s="4">
        <v>3</v>
      </c>
      <c r="T3250" s="4">
        <v>13</v>
      </c>
      <c r="U3250" s="5" t="s">
        <v>31526</v>
      </c>
      <c r="V3250" s="5" t="s">
        <v>31527</v>
      </c>
      <c r="W3250" s="5" t="s">
        <v>67</v>
      </c>
      <c r="X3250" s="5" t="s">
        <v>67</v>
      </c>
      <c r="Y3250" s="4">
        <v>217</v>
      </c>
      <c r="Z3250" s="4">
        <v>14</v>
      </c>
      <c r="AA3250" s="4">
        <v>72</v>
      </c>
      <c r="AB3250" s="4">
        <v>3</v>
      </c>
      <c r="AC3250" s="4">
        <v>8</v>
      </c>
      <c r="AD3250" s="4">
        <v>32</v>
      </c>
      <c r="AE3250" s="4">
        <v>152</v>
      </c>
      <c r="AF3250" s="4">
        <v>1</v>
      </c>
      <c r="AG3250" s="4">
        <v>6</v>
      </c>
      <c r="AH3250" s="4">
        <v>27</v>
      </c>
      <c r="AI3250" s="4">
        <v>115</v>
      </c>
      <c r="AJ3250" s="4">
        <v>4</v>
      </c>
      <c r="AK3250" s="4">
        <v>25</v>
      </c>
      <c r="AL3250" s="4">
        <v>18</v>
      </c>
      <c r="AM3250" s="4">
        <v>62</v>
      </c>
      <c r="AN3250" s="4">
        <v>0</v>
      </c>
      <c r="AO3250" s="4">
        <v>0</v>
      </c>
      <c r="AP3250" s="4">
        <v>7</v>
      </c>
      <c r="AQ3250" s="4">
        <v>46</v>
      </c>
      <c r="AR3250" s="3" t="s">
        <v>62</v>
      </c>
      <c r="AS3250" s="3" t="s">
        <v>62</v>
      </c>
      <c r="AT3250" s="3" t="s">
        <v>61</v>
      </c>
      <c r="AU3250" s="6" t="str">
        <f>HYPERLINK("http://catalog.hathitrust.org/Record/003510935","HathiTrust Record")</f>
        <v>HathiTrust Record</v>
      </c>
      <c r="AV3250" s="6" t="str">
        <f>HYPERLINK("http://mcgill.on.worldcat.org/oclc/8479974","Catalog Record")</f>
        <v>Catalog Record</v>
      </c>
      <c r="AW3250" s="6" t="str">
        <f>HYPERLINK("http://www.worldcat.org/oclc/8479974","WorldCat Record")</f>
        <v>WorldCat Record</v>
      </c>
      <c r="AX3250" s="3" t="s">
        <v>31514</v>
      </c>
      <c r="AY3250" s="3" t="s">
        <v>31528</v>
      </c>
      <c r="AZ3250" s="3" t="s">
        <v>31529</v>
      </c>
      <c r="BA3250" s="3" t="s">
        <v>31529</v>
      </c>
      <c r="BB3250" s="3" t="s">
        <v>31530</v>
      </c>
      <c r="BC3250" s="3" t="s">
        <v>142</v>
      </c>
      <c r="BD3250" s="3" t="s">
        <v>308</v>
      </c>
      <c r="BE3250" s="3" t="s">
        <v>31531</v>
      </c>
      <c r="BF3250" s="3" t="s">
        <v>31530</v>
      </c>
      <c r="BG3250" s="3" t="s">
        <v>31532</v>
      </c>
    </row>
    <row r="3251" spans="1:59" ht="71.25" x14ac:dyDescent="0.45">
      <c r="A3251" s="2" t="s">
        <v>59</v>
      </c>
      <c r="B3251" s="2" t="s">
        <v>60</v>
      </c>
      <c r="C3251" s="2" t="s">
        <v>31522</v>
      </c>
      <c r="D3251" s="2" t="s">
        <v>31523</v>
      </c>
      <c r="E3251" s="2" t="s">
        <v>31511</v>
      </c>
      <c r="G3251" s="3" t="s">
        <v>62</v>
      </c>
      <c r="I3251" s="3" t="s">
        <v>61</v>
      </c>
      <c r="J3251" s="3" t="s">
        <v>61</v>
      </c>
      <c r="K3251" s="3" t="s">
        <v>63</v>
      </c>
      <c r="L3251" s="2" t="s">
        <v>31512</v>
      </c>
      <c r="M3251" s="2" t="s">
        <v>31524</v>
      </c>
      <c r="N3251" s="3" t="s">
        <v>117</v>
      </c>
      <c r="P3251" s="3" t="s">
        <v>65</v>
      </c>
      <c r="Q3251" s="2" t="s">
        <v>31525</v>
      </c>
      <c r="R3251" s="3" t="s">
        <v>66</v>
      </c>
      <c r="S3251" s="4">
        <v>7</v>
      </c>
      <c r="T3251" s="4">
        <v>13</v>
      </c>
      <c r="U3251" s="5" t="s">
        <v>18172</v>
      </c>
      <c r="V3251" s="5" t="s">
        <v>31527</v>
      </c>
      <c r="W3251" s="5" t="s">
        <v>67</v>
      </c>
      <c r="X3251" s="5" t="s">
        <v>67</v>
      </c>
      <c r="Y3251" s="4">
        <v>217</v>
      </c>
      <c r="Z3251" s="4">
        <v>14</v>
      </c>
      <c r="AA3251" s="4">
        <v>72</v>
      </c>
      <c r="AB3251" s="4">
        <v>3</v>
      </c>
      <c r="AC3251" s="4">
        <v>8</v>
      </c>
      <c r="AD3251" s="4">
        <v>32</v>
      </c>
      <c r="AE3251" s="4">
        <v>152</v>
      </c>
      <c r="AF3251" s="4">
        <v>1</v>
      </c>
      <c r="AG3251" s="4">
        <v>6</v>
      </c>
      <c r="AH3251" s="4">
        <v>27</v>
      </c>
      <c r="AI3251" s="4">
        <v>115</v>
      </c>
      <c r="AJ3251" s="4">
        <v>4</v>
      </c>
      <c r="AK3251" s="4">
        <v>25</v>
      </c>
      <c r="AL3251" s="4">
        <v>18</v>
      </c>
      <c r="AM3251" s="4">
        <v>62</v>
      </c>
      <c r="AN3251" s="4">
        <v>0</v>
      </c>
      <c r="AO3251" s="4">
        <v>0</v>
      </c>
      <c r="AP3251" s="4">
        <v>7</v>
      </c>
      <c r="AQ3251" s="4">
        <v>46</v>
      </c>
      <c r="AR3251" s="3" t="s">
        <v>62</v>
      </c>
      <c r="AS3251" s="3" t="s">
        <v>62</v>
      </c>
      <c r="AT3251" s="3" t="s">
        <v>61</v>
      </c>
      <c r="AU3251" s="6" t="str">
        <f>HYPERLINK("http://catalog.hathitrust.org/Record/003510935","HathiTrust Record")</f>
        <v>HathiTrust Record</v>
      </c>
      <c r="AV3251" s="6" t="str">
        <f>HYPERLINK("http://mcgill.on.worldcat.org/oclc/8479974","Catalog Record")</f>
        <v>Catalog Record</v>
      </c>
      <c r="AW3251" s="6" t="str">
        <f>HYPERLINK("http://www.worldcat.org/oclc/8479974","WorldCat Record")</f>
        <v>WorldCat Record</v>
      </c>
      <c r="AX3251" s="3" t="s">
        <v>31514</v>
      </c>
      <c r="AY3251" s="3" t="s">
        <v>31528</v>
      </c>
      <c r="AZ3251" s="3" t="s">
        <v>31529</v>
      </c>
      <c r="BA3251" s="3" t="s">
        <v>31529</v>
      </c>
      <c r="BB3251" s="3" t="s">
        <v>31533</v>
      </c>
      <c r="BC3251" s="3" t="s">
        <v>142</v>
      </c>
      <c r="BD3251" s="3" t="s">
        <v>308</v>
      </c>
      <c r="BE3251" s="3" t="s">
        <v>31531</v>
      </c>
      <c r="BF3251" s="3" t="s">
        <v>31533</v>
      </c>
      <c r="BG3251" s="3" t="s">
        <v>31534</v>
      </c>
    </row>
    <row r="3252" spans="1:59" ht="71.25" x14ac:dyDescent="0.45">
      <c r="A3252" s="2" t="s">
        <v>59</v>
      </c>
      <c r="B3252" s="2" t="s">
        <v>60</v>
      </c>
      <c r="C3252" s="2" t="s">
        <v>31522</v>
      </c>
      <c r="D3252" s="2" t="s">
        <v>31523</v>
      </c>
      <c r="E3252" s="2" t="s">
        <v>31511</v>
      </c>
      <c r="G3252" s="3" t="s">
        <v>62</v>
      </c>
      <c r="I3252" s="3" t="s">
        <v>61</v>
      </c>
      <c r="J3252" s="3" t="s">
        <v>61</v>
      </c>
      <c r="K3252" s="3" t="s">
        <v>63</v>
      </c>
      <c r="L3252" s="2" t="s">
        <v>31512</v>
      </c>
      <c r="M3252" s="2" t="s">
        <v>31524</v>
      </c>
      <c r="N3252" s="3" t="s">
        <v>117</v>
      </c>
      <c r="P3252" s="3" t="s">
        <v>65</v>
      </c>
      <c r="Q3252" s="2" t="s">
        <v>31525</v>
      </c>
      <c r="R3252" s="3" t="s">
        <v>66</v>
      </c>
      <c r="S3252" s="4">
        <v>3</v>
      </c>
      <c r="T3252" s="4">
        <v>13</v>
      </c>
      <c r="U3252" s="5" t="s">
        <v>31527</v>
      </c>
      <c r="V3252" s="5" t="s">
        <v>31527</v>
      </c>
      <c r="W3252" s="5" t="s">
        <v>67</v>
      </c>
      <c r="X3252" s="5" t="s">
        <v>67</v>
      </c>
      <c r="Y3252" s="4">
        <v>217</v>
      </c>
      <c r="Z3252" s="4">
        <v>14</v>
      </c>
      <c r="AA3252" s="4">
        <v>72</v>
      </c>
      <c r="AB3252" s="4">
        <v>3</v>
      </c>
      <c r="AC3252" s="4">
        <v>8</v>
      </c>
      <c r="AD3252" s="4">
        <v>32</v>
      </c>
      <c r="AE3252" s="4">
        <v>152</v>
      </c>
      <c r="AF3252" s="4">
        <v>1</v>
      </c>
      <c r="AG3252" s="4">
        <v>6</v>
      </c>
      <c r="AH3252" s="4">
        <v>27</v>
      </c>
      <c r="AI3252" s="4">
        <v>115</v>
      </c>
      <c r="AJ3252" s="4">
        <v>4</v>
      </c>
      <c r="AK3252" s="4">
        <v>25</v>
      </c>
      <c r="AL3252" s="4">
        <v>18</v>
      </c>
      <c r="AM3252" s="4">
        <v>62</v>
      </c>
      <c r="AN3252" s="4">
        <v>0</v>
      </c>
      <c r="AO3252" s="4">
        <v>0</v>
      </c>
      <c r="AP3252" s="4">
        <v>7</v>
      </c>
      <c r="AQ3252" s="4">
        <v>46</v>
      </c>
      <c r="AR3252" s="3" t="s">
        <v>62</v>
      </c>
      <c r="AS3252" s="3" t="s">
        <v>62</v>
      </c>
      <c r="AT3252" s="3" t="s">
        <v>61</v>
      </c>
      <c r="AU3252" s="6" t="str">
        <f>HYPERLINK("http://catalog.hathitrust.org/Record/003510935","HathiTrust Record")</f>
        <v>HathiTrust Record</v>
      </c>
      <c r="AV3252" s="6" t="str">
        <f>HYPERLINK("http://mcgill.on.worldcat.org/oclc/8479974","Catalog Record")</f>
        <v>Catalog Record</v>
      </c>
      <c r="AW3252" s="6" t="str">
        <f>HYPERLINK("http://www.worldcat.org/oclc/8479974","WorldCat Record")</f>
        <v>WorldCat Record</v>
      </c>
      <c r="AX3252" s="3" t="s">
        <v>31514</v>
      </c>
      <c r="AY3252" s="3" t="s">
        <v>31528</v>
      </c>
      <c r="AZ3252" s="3" t="s">
        <v>31529</v>
      </c>
      <c r="BA3252" s="3" t="s">
        <v>31529</v>
      </c>
      <c r="BB3252" s="3" t="s">
        <v>31535</v>
      </c>
      <c r="BC3252" s="3" t="s">
        <v>142</v>
      </c>
      <c r="BD3252" s="3" t="s">
        <v>68</v>
      </c>
      <c r="BE3252" s="3" t="s">
        <v>31531</v>
      </c>
      <c r="BF3252" s="3" t="s">
        <v>31535</v>
      </c>
      <c r="BG3252" s="3" t="s">
        <v>31536</v>
      </c>
    </row>
    <row r="3253" spans="1:59" ht="57" x14ac:dyDescent="0.45">
      <c r="A3253" s="2" t="s">
        <v>59</v>
      </c>
      <c r="B3253" s="2" t="s">
        <v>412</v>
      </c>
      <c r="C3253" s="2" t="s">
        <v>31537</v>
      </c>
      <c r="D3253" s="2" t="s">
        <v>31538</v>
      </c>
      <c r="E3253" s="2" t="s">
        <v>31539</v>
      </c>
      <c r="G3253" s="3" t="s">
        <v>62</v>
      </c>
      <c r="I3253" s="3" t="s">
        <v>61</v>
      </c>
      <c r="J3253" s="3" t="s">
        <v>61</v>
      </c>
      <c r="K3253" s="3" t="s">
        <v>63</v>
      </c>
      <c r="L3253" s="2" t="s">
        <v>31540</v>
      </c>
      <c r="M3253" s="2" t="s">
        <v>31541</v>
      </c>
      <c r="N3253" s="3" t="s">
        <v>106</v>
      </c>
      <c r="O3253" s="2" t="s">
        <v>906</v>
      </c>
      <c r="P3253" s="3" t="s">
        <v>65</v>
      </c>
      <c r="R3253" s="3" t="s">
        <v>66</v>
      </c>
      <c r="S3253" s="4">
        <v>5</v>
      </c>
      <c r="T3253" s="4">
        <v>5</v>
      </c>
      <c r="U3253" s="5" t="s">
        <v>19395</v>
      </c>
      <c r="V3253" s="5" t="s">
        <v>19395</v>
      </c>
      <c r="W3253" s="5" t="s">
        <v>67</v>
      </c>
      <c r="X3253" s="5" t="s">
        <v>67</v>
      </c>
      <c r="Y3253" s="4">
        <v>303</v>
      </c>
      <c r="Z3253" s="4">
        <v>29</v>
      </c>
      <c r="AA3253" s="4">
        <v>103</v>
      </c>
      <c r="AB3253" s="4">
        <v>1</v>
      </c>
      <c r="AC3253" s="4">
        <v>13</v>
      </c>
      <c r="AD3253" s="4">
        <v>72</v>
      </c>
      <c r="AE3253" s="4">
        <v>153</v>
      </c>
      <c r="AF3253" s="4">
        <v>0</v>
      </c>
      <c r="AG3253" s="4">
        <v>5</v>
      </c>
      <c r="AH3253" s="4">
        <v>62</v>
      </c>
      <c r="AI3253" s="4">
        <v>111</v>
      </c>
      <c r="AJ3253" s="4">
        <v>15</v>
      </c>
      <c r="AK3253" s="4">
        <v>27</v>
      </c>
      <c r="AL3253" s="4">
        <v>32</v>
      </c>
      <c r="AM3253" s="4">
        <v>61</v>
      </c>
      <c r="AN3253" s="4">
        <v>0</v>
      </c>
      <c r="AO3253" s="4">
        <v>0</v>
      </c>
      <c r="AP3253" s="4">
        <v>18</v>
      </c>
      <c r="AQ3253" s="4">
        <v>49</v>
      </c>
      <c r="AR3253" s="3" t="s">
        <v>62</v>
      </c>
      <c r="AS3253" s="3" t="s">
        <v>62</v>
      </c>
      <c r="AT3253" s="3" t="s">
        <v>62</v>
      </c>
      <c r="AV3253" s="6" t="str">
        <f>HYPERLINK("http://mcgill.on.worldcat.org/oclc/9016970","Catalog Record")</f>
        <v>Catalog Record</v>
      </c>
      <c r="AW3253" s="6" t="str">
        <f>HYPERLINK("http://www.worldcat.org/oclc/9016970","WorldCat Record")</f>
        <v>WorldCat Record</v>
      </c>
      <c r="AX3253" s="3" t="s">
        <v>31542</v>
      </c>
      <c r="AY3253" s="3" t="s">
        <v>31543</v>
      </c>
      <c r="AZ3253" s="3" t="s">
        <v>31544</v>
      </c>
      <c r="BA3253" s="3" t="s">
        <v>31544</v>
      </c>
      <c r="BB3253" s="3" t="s">
        <v>31545</v>
      </c>
      <c r="BC3253" s="3" t="s">
        <v>142</v>
      </c>
      <c r="BD3253" s="3" t="s">
        <v>68</v>
      </c>
      <c r="BE3253" s="3" t="s">
        <v>31546</v>
      </c>
      <c r="BF3253" s="3" t="s">
        <v>31545</v>
      </c>
      <c r="BG3253" s="3" t="s">
        <v>31547</v>
      </c>
    </row>
    <row r="3254" spans="1:59" ht="57" x14ac:dyDescent="0.45">
      <c r="A3254" s="2" t="s">
        <v>59</v>
      </c>
      <c r="B3254" s="2" t="s">
        <v>60</v>
      </c>
      <c r="C3254" s="2" t="s">
        <v>31537</v>
      </c>
      <c r="D3254" s="2" t="s">
        <v>31538</v>
      </c>
      <c r="E3254" s="2" t="s">
        <v>31539</v>
      </c>
      <c r="G3254" s="3" t="s">
        <v>62</v>
      </c>
      <c r="I3254" s="3" t="s">
        <v>61</v>
      </c>
      <c r="J3254" s="3" t="s">
        <v>61</v>
      </c>
      <c r="K3254" s="3" t="s">
        <v>63</v>
      </c>
      <c r="L3254" s="2" t="s">
        <v>31540</v>
      </c>
      <c r="M3254" s="2" t="s">
        <v>31541</v>
      </c>
      <c r="N3254" s="3" t="s">
        <v>106</v>
      </c>
      <c r="O3254" s="2" t="s">
        <v>906</v>
      </c>
      <c r="P3254" s="3" t="s">
        <v>65</v>
      </c>
      <c r="R3254" s="3" t="s">
        <v>66</v>
      </c>
      <c r="S3254" s="4">
        <v>0</v>
      </c>
      <c r="T3254" s="4">
        <v>5</v>
      </c>
      <c r="V3254" s="5" t="s">
        <v>19395</v>
      </c>
      <c r="W3254" s="5" t="s">
        <v>67</v>
      </c>
      <c r="X3254" s="5" t="s">
        <v>67</v>
      </c>
      <c r="Y3254" s="4">
        <v>303</v>
      </c>
      <c r="Z3254" s="4">
        <v>29</v>
      </c>
      <c r="AA3254" s="4">
        <v>103</v>
      </c>
      <c r="AB3254" s="4">
        <v>1</v>
      </c>
      <c r="AC3254" s="4">
        <v>13</v>
      </c>
      <c r="AD3254" s="4">
        <v>72</v>
      </c>
      <c r="AE3254" s="4">
        <v>153</v>
      </c>
      <c r="AF3254" s="4">
        <v>0</v>
      </c>
      <c r="AG3254" s="4">
        <v>5</v>
      </c>
      <c r="AH3254" s="4">
        <v>62</v>
      </c>
      <c r="AI3254" s="4">
        <v>111</v>
      </c>
      <c r="AJ3254" s="4">
        <v>15</v>
      </c>
      <c r="AK3254" s="4">
        <v>27</v>
      </c>
      <c r="AL3254" s="4">
        <v>32</v>
      </c>
      <c r="AM3254" s="4">
        <v>61</v>
      </c>
      <c r="AN3254" s="4">
        <v>0</v>
      </c>
      <c r="AO3254" s="4">
        <v>0</v>
      </c>
      <c r="AP3254" s="4">
        <v>18</v>
      </c>
      <c r="AQ3254" s="4">
        <v>49</v>
      </c>
      <c r="AR3254" s="3" t="s">
        <v>62</v>
      </c>
      <c r="AS3254" s="3" t="s">
        <v>62</v>
      </c>
      <c r="AT3254" s="3" t="s">
        <v>62</v>
      </c>
      <c r="AV3254" s="6" t="str">
        <f>HYPERLINK("http://mcgill.on.worldcat.org/oclc/9016970","Catalog Record")</f>
        <v>Catalog Record</v>
      </c>
      <c r="AW3254" s="6" t="str">
        <f>HYPERLINK("http://www.worldcat.org/oclc/9016970","WorldCat Record")</f>
        <v>WorldCat Record</v>
      </c>
      <c r="AX3254" s="3" t="s">
        <v>31542</v>
      </c>
      <c r="AY3254" s="3" t="s">
        <v>31543</v>
      </c>
      <c r="AZ3254" s="3" t="s">
        <v>31544</v>
      </c>
      <c r="BA3254" s="3" t="s">
        <v>31544</v>
      </c>
      <c r="BB3254" s="3" t="s">
        <v>31548</v>
      </c>
      <c r="BC3254" s="3" t="s">
        <v>142</v>
      </c>
      <c r="BD3254" s="3" t="s">
        <v>68</v>
      </c>
      <c r="BE3254" s="3" t="s">
        <v>31546</v>
      </c>
      <c r="BF3254" s="3" t="s">
        <v>31548</v>
      </c>
      <c r="BG3254" s="3" t="s">
        <v>31549</v>
      </c>
    </row>
    <row r="3255" spans="1:59" ht="57" x14ac:dyDescent="0.45">
      <c r="A3255" s="2" t="s">
        <v>59</v>
      </c>
      <c r="B3255" s="2" t="s">
        <v>60</v>
      </c>
      <c r="C3255" s="2" t="s">
        <v>31550</v>
      </c>
      <c r="D3255" s="2" t="s">
        <v>31551</v>
      </c>
      <c r="E3255" s="2" t="s">
        <v>31539</v>
      </c>
      <c r="G3255" s="3" t="s">
        <v>62</v>
      </c>
      <c r="I3255" s="3" t="s">
        <v>61</v>
      </c>
      <c r="J3255" s="3" t="s">
        <v>61</v>
      </c>
      <c r="K3255" s="3" t="s">
        <v>63</v>
      </c>
      <c r="L3255" s="2" t="s">
        <v>31540</v>
      </c>
      <c r="M3255" s="2" t="s">
        <v>31552</v>
      </c>
      <c r="N3255" s="3" t="s">
        <v>195</v>
      </c>
      <c r="O3255" s="2" t="s">
        <v>919</v>
      </c>
      <c r="P3255" s="3" t="s">
        <v>65</v>
      </c>
      <c r="R3255" s="3" t="s">
        <v>66</v>
      </c>
      <c r="S3255" s="4">
        <v>0</v>
      </c>
      <c r="T3255" s="4">
        <v>16</v>
      </c>
      <c r="V3255" s="5" t="s">
        <v>13822</v>
      </c>
      <c r="W3255" s="5" t="s">
        <v>67</v>
      </c>
      <c r="X3255" s="5" t="s">
        <v>67</v>
      </c>
      <c r="Y3255" s="4">
        <v>339</v>
      </c>
      <c r="Z3255" s="4">
        <v>16</v>
      </c>
      <c r="AA3255" s="4">
        <v>103</v>
      </c>
      <c r="AB3255" s="4">
        <v>1</v>
      </c>
      <c r="AC3255" s="4">
        <v>13</v>
      </c>
      <c r="AD3255" s="4">
        <v>59</v>
      </c>
      <c r="AE3255" s="4">
        <v>153</v>
      </c>
      <c r="AF3255" s="4">
        <v>0</v>
      </c>
      <c r="AG3255" s="4">
        <v>5</v>
      </c>
      <c r="AH3255" s="4">
        <v>52</v>
      </c>
      <c r="AI3255" s="4">
        <v>111</v>
      </c>
      <c r="AJ3255" s="4">
        <v>8</v>
      </c>
      <c r="AK3255" s="4">
        <v>27</v>
      </c>
      <c r="AL3255" s="4">
        <v>29</v>
      </c>
      <c r="AM3255" s="4">
        <v>61</v>
      </c>
      <c r="AN3255" s="4">
        <v>0</v>
      </c>
      <c r="AO3255" s="4">
        <v>0</v>
      </c>
      <c r="AP3255" s="4">
        <v>12</v>
      </c>
      <c r="AQ3255" s="4">
        <v>49</v>
      </c>
      <c r="AR3255" s="3" t="s">
        <v>62</v>
      </c>
      <c r="AS3255" s="3" t="s">
        <v>62</v>
      </c>
      <c r="AT3255" s="3" t="s">
        <v>62</v>
      </c>
      <c r="AV3255" s="6" t="str">
        <f>HYPERLINK("http://mcgill.on.worldcat.org/oclc/26845297","Catalog Record")</f>
        <v>Catalog Record</v>
      </c>
      <c r="AW3255" s="6" t="str">
        <f>HYPERLINK("http://www.worldcat.org/oclc/26845297","WorldCat Record")</f>
        <v>WorldCat Record</v>
      </c>
      <c r="AX3255" s="3" t="s">
        <v>31542</v>
      </c>
      <c r="AY3255" s="3" t="s">
        <v>31553</v>
      </c>
      <c r="AZ3255" s="3" t="s">
        <v>31554</v>
      </c>
      <c r="BA3255" s="3" t="s">
        <v>31554</v>
      </c>
      <c r="BB3255" s="3" t="s">
        <v>31555</v>
      </c>
      <c r="BC3255" s="3" t="s">
        <v>142</v>
      </c>
      <c r="BD3255" s="3" t="s">
        <v>68</v>
      </c>
      <c r="BE3255" s="3" t="s">
        <v>31556</v>
      </c>
      <c r="BF3255" s="3" t="s">
        <v>31555</v>
      </c>
      <c r="BG3255" s="3" t="s">
        <v>31557</v>
      </c>
    </row>
    <row r="3256" spans="1:59" ht="57" x14ac:dyDescent="0.45">
      <c r="A3256" s="2" t="s">
        <v>59</v>
      </c>
      <c r="B3256" s="2" t="s">
        <v>60</v>
      </c>
      <c r="C3256" s="2" t="s">
        <v>31550</v>
      </c>
      <c r="D3256" s="2" t="s">
        <v>31551</v>
      </c>
      <c r="E3256" s="2" t="s">
        <v>31539</v>
      </c>
      <c r="G3256" s="3" t="s">
        <v>62</v>
      </c>
      <c r="I3256" s="3" t="s">
        <v>61</v>
      </c>
      <c r="J3256" s="3" t="s">
        <v>61</v>
      </c>
      <c r="K3256" s="3" t="s">
        <v>63</v>
      </c>
      <c r="L3256" s="2" t="s">
        <v>31540</v>
      </c>
      <c r="M3256" s="2" t="s">
        <v>31552</v>
      </c>
      <c r="N3256" s="3" t="s">
        <v>195</v>
      </c>
      <c r="O3256" s="2" t="s">
        <v>919</v>
      </c>
      <c r="P3256" s="3" t="s">
        <v>65</v>
      </c>
      <c r="R3256" s="3" t="s">
        <v>66</v>
      </c>
      <c r="S3256" s="4">
        <v>0</v>
      </c>
      <c r="T3256" s="4">
        <v>16</v>
      </c>
      <c r="V3256" s="5" t="s">
        <v>13822</v>
      </c>
      <c r="W3256" s="5" t="s">
        <v>67</v>
      </c>
      <c r="X3256" s="5" t="s">
        <v>67</v>
      </c>
      <c r="Y3256" s="4">
        <v>339</v>
      </c>
      <c r="Z3256" s="4">
        <v>16</v>
      </c>
      <c r="AA3256" s="4">
        <v>103</v>
      </c>
      <c r="AB3256" s="4">
        <v>1</v>
      </c>
      <c r="AC3256" s="4">
        <v>13</v>
      </c>
      <c r="AD3256" s="4">
        <v>59</v>
      </c>
      <c r="AE3256" s="4">
        <v>153</v>
      </c>
      <c r="AF3256" s="4">
        <v>0</v>
      </c>
      <c r="AG3256" s="4">
        <v>5</v>
      </c>
      <c r="AH3256" s="4">
        <v>52</v>
      </c>
      <c r="AI3256" s="4">
        <v>111</v>
      </c>
      <c r="AJ3256" s="4">
        <v>8</v>
      </c>
      <c r="AK3256" s="4">
        <v>27</v>
      </c>
      <c r="AL3256" s="4">
        <v>29</v>
      </c>
      <c r="AM3256" s="4">
        <v>61</v>
      </c>
      <c r="AN3256" s="4">
        <v>0</v>
      </c>
      <c r="AO3256" s="4">
        <v>0</v>
      </c>
      <c r="AP3256" s="4">
        <v>12</v>
      </c>
      <c r="AQ3256" s="4">
        <v>49</v>
      </c>
      <c r="AR3256" s="3" t="s">
        <v>62</v>
      </c>
      <c r="AS3256" s="3" t="s">
        <v>62</v>
      </c>
      <c r="AT3256" s="3" t="s">
        <v>62</v>
      </c>
      <c r="AV3256" s="6" t="str">
        <f>HYPERLINK("http://mcgill.on.worldcat.org/oclc/26845297","Catalog Record")</f>
        <v>Catalog Record</v>
      </c>
      <c r="AW3256" s="6" t="str">
        <f>HYPERLINK("http://www.worldcat.org/oclc/26845297","WorldCat Record")</f>
        <v>WorldCat Record</v>
      </c>
      <c r="AX3256" s="3" t="s">
        <v>31542</v>
      </c>
      <c r="AY3256" s="3" t="s">
        <v>31553</v>
      </c>
      <c r="AZ3256" s="3" t="s">
        <v>31554</v>
      </c>
      <c r="BA3256" s="3" t="s">
        <v>31554</v>
      </c>
      <c r="BB3256" s="3" t="s">
        <v>31558</v>
      </c>
      <c r="BC3256" s="3" t="s">
        <v>142</v>
      </c>
      <c r="BD3256" s="3" t="s">
        <v>68</v>
      </c>
      <c r="BE3256" s="3" t="s">
        <v>31556</v>
      </c>
      <c r="BF3256" s="3" t="s">
        <v>31558</v>
      </c>
      <c r="BG3256" s="3" t="s">
        <v>31559</v>
      </c>
    </row>
    <row r="3257" spans="1:59" ht="57" x14ac:dyDescent="0.45">
      <c r="A3257" s="2" t="s">
        <v>59</v>
      </c>
      <c r="B3257" s="2" t="s">
        <v>60</v>
      </c>
      <c r="C3257" s="2" t="s">
        <v>31550</v>
      </c>
      <c r="D3257" s="2" t="s">
        <v>31551</v>
      </c>
      <c r="E3257" s="2" t="s">
        <v>31539</v>
      </c>
      <c r="G3257" s="3" t="s">
        <v>62</v>
      </c>
      <c r="I3257" s="3" t="s">
        <v>61</v>
      </c>
      <c r="J3257" s="3" t="s">
        <v>61</v>
      </c>
      <c r="K3257" s="3" t="s">
        <v>63</v>
      </c>
      <c r="L3257" s="2" t="s">
        <v>31540</v>
      </c>
      <c r="M3257" s="2" t="s">
        <v>31552</v>
      </c>
      <c r="N3257" s="3" t="s">
        <v>195</v>
      </c>
      <c r="O3257" s="2" t="s">
        <v>919</v>
      </c>
      <c r="P3257" s="3" t="s">
        <v>65</v>
      </c>
      <c r="R3257" s="3" t="s">
        <v>66</v>
      </c>
      <c r="S3257" s="4">
        <v>16</v>
      </c>
      <c r="T3257" s="4">
        <v>16</v>
      </c>
      <c r="U3257" s="5" t="s">
        <v>13822</v>
      </c>
      <c r="V3257" s="5" t="s">
        <v>13822</v>
      </c>
      <c r="W3257" s="5" t="s">
        <v>67</v>
      </c>
      <c r="X3257" s="5" t="s">
        <v>67</v>
      </c>
      <c r="Y3257" s="4">
        <v>339</v>
      </c>
      <c r="Z3257" s="4">
        <v>16</v>
      </c>
      <c r="AA3257" s="4">
        <v>103</v>
      </c>
      <c r="AB3257" s="4">
        <v>1</v>
      </c>
      <c r="AC3257" s="4">
        <v>13</v>
      </c>
      <c r="AD3257" s="4">
        <v>59</v>
      </c>
      <c r="AE3257" s="4">
        <v>153</v>
      </c>
      <c r="AF3257" s="4">
        <v>0</v>
      </c>
      <c r="AG3257" s="4">
        <v>5</v>
      </c>
      <c r="AH3257" s="4">
        <v>52</v>
      </c>
      <c r="AI3257" s="4">
        <v>111</v>
      </c>
      <c r="AJ3257" s="4">
        <v>8</v>
      </c>
      <c r="AK3257" s="4">
        <v>27</v>
      </c>
      <c r="AL3257" s="4">
        <v>29</v>
      </c>
      <c r="AM3257" s="4">
        <v>61</v>
      </c>
      <c r="AN3257" s="4">
        <v>0</v>
      </c>
      <c r="AO3257" s="4">
        <v>0</v>
      </c>
      <c r="AP3257" s="4">
        <v>12</v>
      </c>
      <c r="AQ3257" s="4">
        <v>49</v>
      </c>
      <c r="AR3257" s="3" t="s">
        <v>62</v>
      </c>
      <c r="AS3257" s="3" t="s">
        <v>62</v>
      </c>
      <c r="AT3257" s="3" t="s">
        <v>62</v>
      </c>
      <c r="AV3257" s="6" t="str">
        <f>HYPERLINK("http://mcgill.on.worldcat.org/oclc/26845297","Catalog Record")</f>
        <v>Catalog Record</v>
      </c>
      <c r="AW3257" s="6" t="str">
        <f>HYPERLINK("http://www.worldcat.org/oclc/26845297","WorldCat Record")</f>
        <v>WorldCat Record</v>
      </c>
      <c r="AX3257" s="3" t="s">
        <v>31542</v>
      </c>
      <c r="AY3257" s="3" t="s">
        <v>31553</v>
      </c>
      <c r="AZ3257" s="3" t="s">
        <v>31554</v>
      </c>
      <c r="BA3257" s="3" t="s">
        <v>31554</v>
      </c>
      <c r="BB3257" s="3" t="s">
        <v>31560</v>
      </c>
      <c r="BC3257" s="3" t="s">
        <v>142</v>
      </c>
      <c r="BD3257" s="3" t="s">
        <v>68</v>
      </c>
      <c r="BE3257" s="3" t="s">
        <v>31556</v>
      </c>
      <c r="BF3257" s="3" t="s">
        <v>31560</v>
      </c>
      <c r="BG3257" s="3" t="s">
        <v>31561</v>
      </c>
    </row>
    <row r="3258" spans="1:59" ht="57" x14ac:dyDescent="0.45">
      <c r="A3258" s="2" t="s">
        <v>59</v>
      </c>
      <c r="B3258" s="2" t="s">
        <v>60</v>
      </c>
      <c r="C3258" s="2" t="s">
        <v>31550</v>
      </c>
      <c r="D3258" s="2" t="s">
        <v>31551</v>
      </c>
      <c r="E3258" s="2" t="s">
        <v>31539</v>
      </c>
      <c r="G3258" s="3" t="s">
        <v>62</v>
      </c>
      <c r="I3258" s="3" t="s">
        <v>61</v>
      </c>
      <c r="J3258" s="3" t="s">
        <v>61</v>
      </c>
      <c r="K3258" s="3" t="s">
        <v>63</v>
      </c>
      <c r="L3258" s="2" t="s">
        <v>31540</v>
      </c>
      <c r="M3258" s="2" t="s">
        <v>31552</v>
      </c>
      <c r="N3258" s="3" t="s">
        <v>195</v>
      </c>
      <c r="O3258" s="2" t="s">
        <v>919</v>
      </c>
      <c r="P3258" s="3" t="s">
        <v>65</v>
      </c>
      <c r="R3258" s="3" t="s">
        <v>66</v>
      </c>
      <c r="S3258" s="4">
        <v>0</v>
      </c>
      <c r="T3258" s="4">
        <v>16</v>
      </c>
      <c r="V3258" s="5" t="s">
        <v>13822</v>
      </c>
      <c r="W3258" s="5" t="s">
        <v>67</v>
      </c>
      <c r="X3258" s="5" t="s">
        <v>67</v>
      </c>
      <c r="Y3258" s="4">
        <v>339</v>
      </c>
      <c r="Z3258" s="4">
        <v>16</v>
      </c>
      <c r="AA3258" s="4">
        <v>103</v>
      </c>
      <c r="AB3258" s="4">
        <v>1</v>
      </c>
      <c r="AC3258" s="4">
        <v>13</v>
      </c>
      <c r="AD3258" s="4">
        <v>59</v>
      </c>
      <c r="AE3258" s="4">
        <v>153</v>
      </c>
      <c r="AF3258" s="4">
        <v>0</v>
      </c>
      <c r="AG3258" s="4">
        <v>5</v>
      </c>
      <c r="AH3258" s="4">
        <v>52</v>
      </c>
      <c r="AI3258" s="4">
        <v>111</v>
      </c>
      <c r="AJ3258" s="4">
        <v>8</v>
      </c>
      <c r="AK3258" s="4">
        <v>27</v>
      </c>
      <c r="AL3258" s="4">
        <v>29</v>
      </c>
      <c r="AM3258" s="4">
        <v>61</v>
      </c>
      <c r="AN3258" s="4">
        <v>0</v>
      </c>
      <c r="AO3258" s="4">
        <v>0</v>
      </c>
      <c r="AP3258" s="4">
        <v>12</v>
      </c>
      <c r="AQ3258" s="4">
        <v>49</v>
      </c>
      <c r="AR3258" s="3" t="s">
        <v>62</v>
      </c>
      <c r="AS3258" s="3" t="s">
        <v>62</v>
      </c>
      <c r="AT3258" s="3" t="s">
        <v>62</v>
      </c>
      <c r="AV3258" s="6" t="str">
        <f>HYPERLINK("http://mcgill.on.worldcat.org/oclc/26845297","Catalog Record")</f>
        <v>Catalog Record</v>
      </c>
      <c r="AW3258" s="6" t="str">
        <f>HYPERLINK("http://www.worldcat.org/oclc/26845297","WorldCat Record")</f>
        <v>WorldCat Record</v>
      </c>
      <c r="AX3258" s="3" t="s">
        <v>31542</v>
      </c>
      <c r="AY3258" s="3" t="s">
        <v>31553</v>
      </c>
      <c r="AZ3258" s="3" t="s">
        <v>31554</v>
      </c>
      <c r="BA3258" s="3" t="s">
        <v>31554</v>
      </c>
      <c r="BB3258" s="3" t="s">
        <v>31562</v>
      </c>
      <c r="BC3258" s="3" t="s">
        <v>142</v>
      </c>
      <c r="BD3258" s="3" t="s">
        <v>68</v>
      </c>
      <c r="BE3258" s="3" t="s">
        <v>31556</v>
      </c>
      <c r="BF3258" s="3" t="s">
        <v>31562</v>
      </c>
      <c r="BG3258" s="3" t="s">
        <v>31563</v>
      </c>
    </row>
    <row r="3259" spans="1:59" ht="57" x14ac:dyDescent="0.45">
      <c r="A3259" s="2" t="s">
        <v>59</v>
      </c>
      <c r="B3259" s="2" t="s">
        <v>60</v>
      </c>
      <c r="C3259" s="2" t="s">
        <v>31564</v>
      </c>
      <c r="D3259" s="2" t="s">
        <v>31565</v>
      </c>
      <c r="E3259" s="2" t="s">
        <v>31566</v>
      </c>
      <c r="G3259" s="3" t="s">
        <v>62</v>
      </c>
      <c r="I3259" s="3" t="s">
        <v>61</v>
      </c>
      <c r="J3259" s="3" t="s">
        <v>61</v>
      </c>
      <c r="K3259" s="3" t="s">
        <v>63</v>
      </c>
      <c r="M3259" s="2" t="s">
        <v>31567</v>
      </c>
      <c r="N3259" s="3" t="s">
        <v>1253</v>
      </c>
      <c r="O3259" s="2" t="s">
        <v>31568</v>
      </c>
      <c r="P3259" s="3" t="s">
        <v>65</v>
      </c>
      <c r="R3259" s="3" t="s">
        <v>66</v>
      </c>
      <c r="S3259" s="4">
        <v>13</v>
      </c>
      <c r="T3259" s="4">
        <v>31</v>
      </c>
      <c r="U3259" s="5" t="s">
        <v>31569</v>
      </c>
      <c r="V3259" s="5" t="s">
        <v>31570</v>
      </c>
      <c r="W3259" s="5" t="s">
        <v>67</v>
      </c>
      <c r="X3259" s="5" t="s">
        <v>67</v>
      </c>
      <c r="Y3259" s="4">
        <v>24</v>
      </c>
      <c r="Z3259" s="4">
        <v>21</v>
      </c>
      <c r="AA3259" s="4">
        <v>103</v>
      </c>
      <c r="AB3259" s="4">
        <v>1</v>
      </c>
      <c r="AC3259" s="4">
        <v>13</v>
      </c>
      <c r="AD3259" s="4">
        <v>13</v>
      </c>
      <c r="AE3259" s="4">
        <v>153</v>
      </c>
      <c r="AF3259" s="4">
        <v>0</v>
      </c>
      <c r="AG3259" s="4">
        <v>5</v>
      </c>
      <c r="AH3259" s="4">
        <v>7</v>
      </c>
      <c r="AI3259" s="4">
        <v>111</v>
      </c>
      <c r="AJ3259" s="4">
        <v>12</v>
      </c>
      <c r="AK3259" s="4">
        <v>27</v>
      </c>
      <c r="AL3259" s="4">
        <v>1</v>
      </c>
      <c r="AM3259" s="4">
        <v>61</v>
      </c>
      <c r="AN3259" s="4">
        <v>0</v>
      </c>
      <c r="AO3259" s="4">
        <v>0</v>
      </c>
      <c r="AP3259" s="4">
        <v>12</v>
      </c>
      <c r="AQ3259" s="4">
        <v>49</v>
      </c>
      <c r="AR3259" s="3" t="s">
        <v>61</v>
      </c>
      <c r="AS3259" s="3" t="s">
        <v>62</v>
      </c>
      <c r="AT3259" s="3" t="s">
        <v>62</v>
      </c>
      <c r="AV3259" s="6" t="str">
        <f>HYPERLINK("http://mcgill.on.worldcat.org/oclc/35930559","Catalog Record")</f>
        <v>Catalog Record</v>
      </c>
      <c r="AW3259" s="6" t="str">
        <f>HYPERLINK("http://www.worldcat.org/oclc/35930559","WorldCat Record")</f>
        <v>WorldCat Record</v>
      </c>
      <c r="AX3259" s="3" t="s">
        <v>31542</v>
      </c>
      <c r="AY3259" s="3" t="s">
        <v>31571</v>
      </c>
      <c r="AZ3259" s="3" t="s">
        <v>31572</v>
      </c>
      <c r="BA3259" s="3" t="s">
        <v>31572</v>
      </c>
      <c r="BB3259" s="3" t="s">
        <v>31573</v>
      </c>
      <c r="BC3259" s="3" t="s">
        <v>142</v>
      </c>
      <c r="BD3259" s="3" t="s">
        <v>68</v>
      </c>
      <c r="BE3259" s="3" t="s">
        <v>31574</v>
      </c>
      <c r="BF3259" s="3" t="s">
        <v>31573</v>
      </c>
      <c r="BG3259" s="3" t="s">
        <v>31575</v>
      </c>
    </row>
    <row r="3260" spans="1:59" ht="57" x14ac:dyDescent="0.45">
      <c r="A3260" s="2" t="s">
        <v>59</v>
      </c>
      <c r="B3260" s="2" t="s">
        <v>60</v>
      </c>
      <c r="C3260" s="2" t="s">
        <v>31564</v>
      </c>
      <c r="D3260" s="2" t="s">
        <v>31565</v>
      </c>
      <c r="E3260" s="2" t="s">
        <v>31566</v>
      </c>
      <c r="G3260" s="3" t="s">
        <v>62</v>
      </c>
      <c r="I3260" s="3" t="s">
        <v>61</v>
      </c>
      <c r="J3260" s="3" t="s">
        <v>61</v>
      </c>
      <c r="K3260" s="3" t="s">
        <v>63</v>
      </c>
      <c r="M3260" s="2" t="s">
        <v>31567</v>
      </c>
      <c r="N3260" s="3" t="s">
        <v>1253</v>
      </c>
      <c r="O3260" s="2" t="s">
        <v>31568</v>
      </c>
      <c r="P3260" s="3" t="s">
        <v>65</v>
      </c>
      <c r="R3260" s="3" t="s">
        <v>66</v>
      </c>
      <c r="S3260" s="4">
        <v>10</v>
      </c>
      <c r="T3260" s="4">
        <v>31</v>
      </c>
      <c r="U3260" s="5" t="s">
        <v>31570</v>
      </c>
      <c r="V3260" s="5" t="s">
        <v>31570</v>
      </c>
      <c r="W3260" s="5" t="s">
        <v>67</v>
      </c>
      <c r="X3260" s="5" t="s">
        <v>67</v>
      </c>
      <c r="Y3260" s="4">
        <v>24</v>
      </c>
      <c r="Z3260" s="4">
        <v>21</v>
      </c>
      <c r="AA3260" s="4">
        <v>103</v>
      </c>
      <c r="AB3260" s="4">
        <v>1</v>
      </c>
      <c r="AC3260" s="4">
        <v>13</v>
      </c>
      <c r="AD3260" s="4">
        <v>13</v>
      </c>
      <c r="AE3260" s="4">
        <v>153</v>
      </c>
      <c r="AF3260" s="4">
        <v>0</v>
      </c>
      <c r="AG3260" s="4">
        <v>5</v>
      </c>
      <c r="AH3260" s="4">
        <v>7</v>
      </c>
      <c r="AI3260" s="4">
        <v>111</v>
      </c>
      <c r="AJ3260" s="4">
        <v>12</v>
      </c>
      <c r="AK3260" s="4">
        <v>27</v>
      </c>
      <c r="AL3260" s="4">
        <v>1</v>
      </c>
      <c r="AM3260" s="4">
        <v>61</v>
      </c>
      <c r="AN3260" s="4">
        <v>0</v>
      </c>
      <c r="AO3260" s="4">
        <v>0</v>
      </c>
      <c r="AP3260" s="4">
        <v>12</v>
      </c>
      <c r="AQ3260" s="4">
        <v>49</v>
      </c>
      <c r="AR3260" s="3" t="s">
        <v>61</v>
      </c>
      <c r="AS3260" s="3" t="s">
        <v>62</v>
      </c>
      <c r="AT3260" s="3" t="s">
        <v>62</v>
      </c>
      <c r="AV3260" s="6" t="str">
        <f>HYPERLINK("http://mcgill.on.worldcat.org/oclc/35930559","Catalog Record")</f>
        <v>Catalog Record</v>
      </c>
      <c r="AW3260" s="6" t="str">
        <f>HYPERLINK("http://www.worldcat.org/oclc/35930559","WorldCat Record")</f>
        <v>WorldCat Record</v>
      </c>
      <c r="AX3260" s="3" t="s">
        <v>31542</v>
      </c>
      <c r="AY3260" s="3" t="s">
        <v>31571</v>
      </c>
      <c r="AZ3260" s="3" t="s">
        <v>31572</v>
      </c>
      <c r="BA3260" s="3" t="s">
        <v>31572</v>
      </c>
      <c r="BB3260" s="3" t="s">
        <v>31576</v>
      </c>
      <c r="BC3260" s="3" t="s">
        <v>142</v>
      </c>
      <c r="BD3260" s="3" t="s">
        <v>68</v>
      </c>
      <c r="BE3260" s="3" t="s">
        <v>31574</v>
      </c>
      <c r="BF3260" s="3" t="s">
        <v>31576</v>
      </c>
      <c r="BG3260" s="3" t="s">
        <v>31577</v>
      </c>
    </row>
    <row r="3261" spans="1:59" ht="57" x14ac:dyDescent="0.45">
      <c r="A3261" s="2" t="s">
        <v>59</v>
      </c>
      <c r="B3261" s="2" t="s">
        <v>60</v>
      </c>
      <c r="C3261" s="2" t="s">
        <v>31564</v>
      </c>
      <c r="D3261" s="2" t="s">
        <v>31565</v>
      </c>
      <c r="E3261" s="2" t="s">
        <v>31566</v>
      </c>
      <c r="G3261" s="3" t="s">
        <v>62</v>
      </c>
      <c r="I3261" s="3" t="s">
        <v>61</v>
      </c>
      <c r="J3261" s="3" t="s">
        <v>61</v>
      </c>
      <c r="K3261" s="3" t="s">
        <v>63</v>
      </c>
      <c r="M3261" s="2" t="s">
        <v>31567</v>
      </c>
      <c r="N3261" s="3" t="s">
        <v>1253</v>
      </c>
      <c r="O3261" s="2" t="s">
        <v>31568</v>
      </c>
      <c r="P3261" s="3" t="s">
        <v>65</v>
      </c>
      <c r="R3261" s="3" t="s">
        <v>66</v>
      </c>
      <c r="S3261" s="4">
        <v>0</v>
      </c>
      <c r="T3261" s="4">
        <v>31</v>
      </c>
      <c r="V3261" s="5" t="s">
        <v>31570</v>
      </c>
      <c r="W3261" s="5" t="s">
        <v>67</v>
      </c>
      <c r="X3261" s="5" t="s">
        <v>67</v>
      </c>
      <c r="Y3261" s="4">
        <v>24</v>
      </c>
      <c r="Z3261" s="4">
        <v>21</v>
      </c>
      <c r="AA3261" s="4">
        <v>103</v>
      </c>
      <c r="AB3261" s="4">
        <v>1</v>
      </c>
      <c r="AC3261" s="4">
        <v>13</v>
      </c>
      <c r="AD3261" s="4">
        <v>13</v>
      </c>
      <c r="AE3261" s="4">
        <v>153</v>
      </c>
      <c r="AF3261" s="4">
        <v>0</v>
      </c>
      <c r="AG3261" s="4">
        <v>5</v>
      </c>
      <c r="AH3261" s="4">
        <v>7</v>
      </c>
      <c r="AI3261" s="4">
        <v>111</v>
      </c>
      <c r="AJ3261" s="4">
        <v>12</v>
      </c>
      <c r="AK3261" s="4">
        <v>27</v>
      </c>
      <c r="AL3261" s="4">
        <v>1</v>
      </c>
      <c r="AM3261" s="4">
        <v>61</v>
      </c>
      <c r="AN3261" s="4">
        <v>0</v>
      </c>
      <c r="AO3261" s="4">
        <v>0</v>
      </c>
      <c r="AP3261" s="4">
        <v>12</v>
      </c>
      <c r="AQ3261" s="4">
        <v>49</v>
      </c>
      <c r="AR3261" s="3" t="s">
        <v>61</v>
      </c>
      <c r="AS3261" s="3" t="s">
        <v>62</v>
      </c>
      <c r="AT3261" s="3" t="s">
        <v>62</v>
      </c>
      <c r="AV3261" s="6" t="str">
        <f>HYPERLINK("http://mcgill.on.worldcat.org/oclc/35930559","Catalog Record")</f>
        <v>Catalog Record</v>
      </c>
      <c r="AW3261" s="6" t="str">
        <f>HYPERLINK("http://www.worldcat.org/oclc/35930559","WorldCat Record")</f>
        <v>WorldCat Record</v>
      </c>
      <c r="AX3261" s="3" t="s">
        <v>31542</v>
      </c>
      <c r="AY3261" s="3" t="s">
        <v>31571</v>
      </c>
      <c r="AZ3261" s="3" t="s">
        <v>31572</v>
      </c>
      <c r="BA3261" s="3" t="s">
        <v>31572</v>
      </c>
      <c r="BB3261" s="3" t="s">
        <v>31578</v>
      </c>
      <c r="BC3261" s="3" t="s">
        <v>142</v>
      </c>
      <c r="BD3261" s="3" t="s">
        <v>68</v>
      </c>
      <c r="BE3261" s="3" t="s">
        <v>31574</v>
      </c>
      <c r="BF3261" s="3" t="s">
        <v>31578</v>
      </c>
      <c r="BG3261" s="3" t="s">
        <v>31579</v>
      </c>
    </row>
    <row r="3262" spans="1:59" ht="57" x14ac:dyDescent="0.45">
      <c r="A3262" s="2" t="s">
        <v>59</v>
      </c>
      <c r="B3262" s="2" t="s">
        <v>60</v>
      </c>
      <c r="C3262" s="2" t="s">
        <v>31564</v>
      </c>
      <c r="D3262" s="2" t="s">
        <v>31565</v>
      </c>
      <c r="E3262" s="2" t="s">
        <v>31566</v>
      </c>
      <c r="G3262" s="3" t="s">
        <v>62</v>
      </c>
      <c r="I3262" s="3" t="s">
        <v>61</v>
      </c>
      <c r="J3262" s="3" t="s">
        <v>61</v>
      </c>
      <c r="K3262" s="3" t="s">
        <v>63</v>
      </c>
      <c r="M3262" s="2" t="s">
        <v>31567</v>
      </c>
      <c r="N3262" s="3" t="s">
        <v>1253</v>
      </c>
      <c r="O3262" s="2" t="s">
        <v>31568</v>
      </c>
      <c r="P3262" s="3" t="s">
        <v>65</v>
      </c>
      <c r="R3262" s="3" t="s">
        <v>66</v>
      </c>
      <c r="S3262" s="4">
        <v>8</v>
      </c>
      <c r="T3262" s="4">
        <v>31</v>
      </c>
      <c r="U3262" s="5" t="s">
        <v>31580</v>
      </c>
      <c r="V3262" s="5" t="s">
        <v>31570</v>
      </c>
      <c r="W3262" s="5" t="s">
        <v>67</v>
      </c>
      <c r="X3262" s="5" t="s">
        <v>67</v>
      </c>
      <c r="Y3262" s="4">
        <v>24</v>
      </c>
      <c r="Z3262" s="4">
        <v>21</v>
      </c>
      <c r="AA3262" s="4">
        <v>103</v>
      </c>
      <c r="AB3262" s="4">
        <v>1</v>
      </c>
      <c r="AC3262" s="4">
        <v>13</v>
      </c>
      <c r="AD3262" s="4">
        <v>13</v>
      </c>
      <c r="AE3262" s="4">
        <v>153</v>
      </c>
      <c r="AF3262" s="4">
        <v>0</v>
      </c>
      <c r="AG3262" s="4">
        <v>5</v>
      </c>
      <c r="AH3262" s="4">
        <v>7</v>
      </c>
      <c r="AI3262" s="4">
        <v>111</v>
      </c>
      <c r="AJ3262" s="4">
        <v>12</v>
      </c>
      <c r="AK3262" s="4">
        <v>27</v>
      </c>
      <c r="AL3262" s="4">
        <v>1</v>
      </c>
      <c r="AM3262" s="4">
        <v>61</v>
      </c>
      <c r="AN3262" s="4">
        <v>0</v>
      </c>
      <c r="AO3262" s="4">
        <v>0</v>
      </c>
      <c r="AP3262" s="4">
        <v>12</v>
      </c>
      <c r="AQ3262" s="4">
        <v>49</v>
      </c>
      <c r="AR3262" s="3" t="s">
        <v>61</v>
      </c>
      <c r="AS3262" s="3" t="s">
        <v>62</v>
      </c>
      <c r="AT3262" s="3" t="s">
        <v>62</v>
      </c>
      <c r="AV3262" s="6" t="str">
        <f>HYPERLINK("http://mcgill.on.worldcat.org/oclc/35930559","Catalog Record")</f>
        <v>Catalog Record</v>
      </c>
      <c r="AW3262" s="6" t="str">
        <f>HYPERLINK("http://www.worldcat.org/oclc/35930559","WorldCat Record")</f>
        <v>WorldCat Record</v>
      </c>
      <c r="AX3262" s="3" t="s">
        <v>31542</v>
      </c>
      <c r="AY3262" s="3" t="s">
        <v>31571</v>
      </c>
      <c r="AZ3262" s="3" t="s">
        <v>31572</v>
      </c>
      <c r="BA3262" s="3" t="s">
        <v>31572</v>
      </c>
      <c r="BB3262" s="3" t="s">
        <v>31581</v>
      </c>
      <c r="BC3262" s="3" t="s">
        <v>142</v>
      </c>
      <c r="BD3262" s="3" t="s">
        <v>68</v>
      </c>
      <c r="BE3262" s="3" t="s">
        <v>31574</v>
      </c>
      <c r="BF3262" s="3" t="s">
        <v>31581</v>
      </c>
      <c r="BG3262" s="3" t="s">
        <v>31582</v>
      </c>
    </row>
    <row r="3263" spans="1:59" ht="57" x14ac:dyDescent="0.45">
      <c r="A3263" s="2" t="s">
        <v>59</v>
      </c>
      <c r="B3263" s="2" t="s">
        <v>60</v>
      </c>
      <c r="C3263" s="2" t="s">
        <v>31583</v>
      </c>
      <c r="D3263" s="2" t="s">
        <v>31584</v>
      </c>
      <c r="E3263" s="2" t="s">
        <v>31585</v>
      </c>
      <c r="G3263" s="3" t="s">
        <v>62</v>
      </c>
      <c r="I3263" s="3" t="s">
        <v>62</v>
      </c>
      <c r="J3263" s="3" t="s">
        <v>61</v>
      </c>
      <c r="K3263" s="3" t="s">
        <v>63</v>
      </c>
      <c r="L3263" s="2" t="s">
        <v>31586</v>
      </c>
      <c r="M3263" s="2" t="s">
        <v>31587</v>
      </c>
      <c r="N3263" s="3" t="s">
        <v>1855</v>
      </c>
      <c r="P3263" s="3" t="s">
        <v>65</v>
      </c>
      <c r="Q3263" s="2" t="s">
        <v>31588</v>
      </c>
      <c r="R3263" s="3" t="s">
        <v>66</v>
      </c>
      <c r="S3263" s="4">
        <v>10</v>
      </c>
      <c r="T3263" s="4">
        <v>10</v>
      </c>
      <c r="U3263" s="5" t="s">
        <v>7393</v>
      </c>
      <c r="V3263" s="5" t="s">
        <v>7393</v>
      </c>
      <c r="W3263" s="5" t="s">
        <v>67</v>
      </c>
      <c r="X3263" s="5" t="s">
        <v>67</v>
      </c>
      <c r="Y3263" s="4">
        <v>95</v>
      </c>
      <c r="Z3263" s="4">
        <v>4</v>
      </c>
      <c r="AA3263" s="4">
        <v>39</v>
      </c>
      <c r="AB3263" s="4">
        <v>1</v>
      </c>
      <c r="AC3263" s="4">
        <v>5</v>
      </c>
      <c r="AD3263" s="4">
        <v>17</v>
      </c>
      <c r="AE3263" s="4">
        <v>113</v>
      </c>
      <c r="AF3263" s="4">
        <v>0</v>
      </c>
      <c r="AG3263" s="4">
        <v>4</v>
      </c>
      <c r="AH3263" s="4">
        <v>15</v>
      </c>
      <c r="AI3263" s="4">
        <v>95</v>
      </c>
      <c r="AJ3263" s="4">
        <v>2</v>
      </c>
      <c r="AK3263" s="4">
        <v>20</v>
      </c>
      <c r="AL3263" s="4">
        <v>11</v>
      </c>
      <c r="AM3263" s="4">
        <v>50</v>
      </c>
      <c r="AN3263" s="4">
        <v>0</v>
      </c>
      <c r="AO3263" s="4">
        <v>5</v>
      </c>
      <c r="AP3263" s="4">
        <v>3</v>
      </c>
      <c r="AQ3263" s="4">
        <v>27</v>
      </c>
      <c r="AR3263" s="3" t="s">
        <v>62</v>
      </c>
      <c r="AS3263" s="3" t="s">
        <v>62</v>
      </c>
      <c r="AT3263" s="3" t="s">
        <v>62</v>
      </c>
      <c r="AV3263" s="6" t="str">
        <f>HYPERLINK("http://mcgill.on.worldcat.org/oclc/57166719","Catalog Record")</f>
        <v>Catalog Record</v>
      </c>
      <c r="AW3263" s="6" t="str">
        <f>HYPERLINK("http://www.worldcat.org/oclc/57166719","WorldCat Record")</f>
        <v>WorldCat Record</v>
      </c>
      <c r="AX3263" s="3" t="s">
        <v>31589</v>
      </c>
      <c r="AY3263" s="3" t="s">
        <v>31590</v>
      </c>
      <c r="AZ3263" s="3" t="s">
        <v>31591</v>
      </c>
      <c r="BA3263" s="3" t="s">
        <v>31591</v>
      </c>
      <c r="BB3263" s="3" t="s">
        <v>31592</v>
      </c>
      <c r="BC3263" s="3" t="s">
        <v>142</v>
      </c>
      <c r="BD3263" s="3" t="s">
        <v>68</v>
      </c>
      <c r="BE3263" s="3" t="s">
        <v>31593</v>
      </c>
      <c r="BF3263" s="3" t="s">
        <v>31592</v>
      </c>
      <c r="BG3263" s="3" t="s">
        <v>31594</v>
      </c>
    </row>
    <row r="3264" spans="1:59" ht="57" x14ac:dyDescent="0.45">
      <c r="A3264" s="2" t="s">
        <v>59</v>
      </c>
      <c r="B3264" s="2" t="s">
        <v>60</v>
      </c>
      <c r="C3264" s="2" t="s">
        <v>31595</v>
      </c>
      <c r="D3264" s="2" t="s">
        <v>31596</v>
      </c>
      <c r="E3264" s="2" t="s">
        <v>31597</v>
      </c>
      <c r="G3264" s="3" t="s">
        <v>62</v>
      </c>
      <c r="I3264" s="3" t="s">
        <v>62</v>
      </c>
      <c r="J3264" s="3" t="s">
        <v>62</v>
      </c>
      <c r="K3264" s="3" t="s">
        <v>63</v>
      </c>
      <c r="L3264" s="2" t="s">
        <v>31598</v>
      </c>
      <c r="M3264" s="2" t="s">
        <v>31599</v>
      </c>
      <c r="N3264" s="3" t="s">
        <v>1073</v>
      </c>
      <c r="P3264" s="3" t="s">
        <v>110</v>
      </c>
      <c r="Q3264" s="2" t="s">
        <v>29172</v>
      </c>
      <c r="R3264" s="3" t="s">
        <v>66</v>
      </c>
      <c r="S3264" s="4">
        <v>23</v>
      </c>
      <c r="T3264" s="4">
        <v>23</v>
      </c>
      <c r="U3264" s="5" t="s">
        <v>31600</v>
      </c>
      <c r="V3264" s="5" t="s">
        <v>31600</v>
      </c>
      <c r="W3264" s="5" t="s">
        <v>67</v>
      </c>
      <c r="X3264" s="5" t="s">
        <v>67</v>
      </c>
      <c r="Y3264" s="4">
        <v>295</v>
      </c>
      <c r="Z3264" s="4">
        <v>29</v>
      </c>
      <c r="AA3264" s="4">
        <v>40</v>
      </c>
      <c r="AB3264" s="4">
        <v>2</v>
      </c>
      <c r="AC3264" s="4">
        <v>10</v>
      </c>
      <c r="AD3264" s="4">
        <v>103</v>
      </c>
      <c r="AE3264" s="4">
        <v>110</v>
      </c>
      <c r="AF3264" s="4">
        <v>1</v>
      </c>
      <c r="AG3264" s="4">
        <v>5</v>
      </c>
      <c r="AH3264" s="4">
        <v>86</v>
      </c>
      <c r="AI3264" s="4">
        <v>88</v>
      </c>
      <c r="AJ3264" s="4">
        <v>19</v>
      </c>
      <c r="AK3264" s="4">
        <v>24</v>
      </c>
      <c r="AL3264" s="4">
        <v>53</v>
      </c>
      <c r="AM3264" s="4">
        <v>53</v>
      </c>
      <c r="AN3264" s="4">
        <v>0</v>
      </c>
      <c r="AO3264" s="4">
        <v>0</v>
      </c>
      <c r="AP3264" s="4">
        <v>24</v>
      </c>
      <c r="AQ3264" s="4">
        <v>30</v>
      </c>
      <c r="AR3264" s="3" t="s">
        <v>62</v>
      </c>
      <c r="AS3264" s="3" t="s">
        <v>62</v>
      </c>
      <c r="AT3264" s="3" t="s">
        <v>61</v>
      </c>
      <c r="AU3264" s="6" t="str">
        <f>HYPERLINK("http://catalog.hathitrust.org/Record/000211672","HathiTrust Record")</f>
        <v>HathiTrust Record</v>
      </c>
      <c r="AV3264" s="6" t="str">
        <f>HYPERLINK("http://mcgill.on.worldcat.org/oclc/2840238","Catalog Record")</f>
        <v>Catalog Record</v>
      </c>
      <c r="AW3264" s="6" t="str">
        <f>HYPERLINK("http://www.worldcat.org/oclc/2840238","WorldCat Record")</f>
        <v>WorldCat Record</v>
      </c>
      <c r="AX3264" s="3" t="s">
        <v>31601</v>
      </c>
      <c r="AY3264" s="3" t="s">
        <v>31602</v>
      </c>
      <c r="AZ3264" s="3" t="s">
        <v>31603</v>
      </c>
      <c r="BA3264" s="3" t="s">
        <v>31603</v>
      </c>
      <c r="BB3264" s="3" t="s">
        <v>31604</v>
      </c>
      <c r="BC3264" s="3" t="s">
        <v>142</v>
      </c>
      <c r="BD3264" s="3" t="s">
        <v>68</v>
      </c>
      <c r="BE3264" s="3" t="s">
        <v>31605</v>
      </c>
      <c r="BF3264" s="3" t="s">
        <v>31604</v>
      </c>
      <c r="BG3264" s="3" t="s">
        <v>31606</v>
      </c>
    </row>
    <row r="3265" spans="1:59" ht="57" x14ac:dyDescent="0.45">
      <c r="A3265" s="2" t="s">
        <v>59</v>
      </c>
      <c r="B3265" s="2" t="s">
        <v>60</v>
      </c>
      <c r="C3265" s="2" t="s">
        <v>31607</v>
      </c>
      <c r="D3265" s="2" t="s">
        <v>31608</v>
      </c>
      <c r="E3265" s="2" t="s">
        <v>31609</v>
      </c>
      <c r="G3265" s="3" t="s">
        <v>62</v>
      </c>
      <c r="I3265" s="3" t="s">
        <v>62</v>
      </c>
      <c r="J3265" s="3" t="s">
        <v>62</v>
      </c>
      <c r="K3265" s="3" t="s">
        <v>63</v>
      </c>
      <c r="L3265" s="2" t="s">
        <v>31610</v>
      </c>
      <c r="M3265" s="2" t="s">
        <v>31611</v>
      </c>
      <c r="N3265" s="3" t="s">
        <v>1073</v>
      </c>
      <c r="P3265" s="3" t="s">
        <v>110</v>
      </c>
      <c r="R3265" s="3" t="s">
        <v>66</v>
      </c>
      <c r="S3265" s="4">
        <v>13</v>
      </c>
      <c r="T3265" s="4">
        <v>13</v>
      </c>
      <c r="U3265" s="5" t="s">
        <v>7845</v>
      </c>
      <c r="V3265" s="5" t="s">
        <v>7845</v>
      </c>
      <c r="W3265" s="5" t="s">
        <v>67</v>
      </c>
      <c r="X3265" s="5" t="s">
        <v>67</v>
      </c>
      <c r="Y3265" s="4">
        <v>138</v>
      </c>
      <c r="Z3265" s="4">
        <v>21</v>
      </c>
      <c r="AA3265" s="4">
        <v>35</v>
      </c>
      <c r="AB3265" s="4">
        <v>2</v>
      </c>
      <c r="AC3265" s="4">
        <v>14</v>
      </c>
      <c r="AD3265" s="4">
        <v>59</v>
      </c>
      <c r="AE3265" s="4">
        <v>66</v>
      </c>
      <c r="AF3265" s="4">
        <v>1</v>
      </c>
      <c r="AG3265" s="4">
        <v>6</v>
      </c>
      <c r="AH3265" s="4">
        <v>48</v>
      </c>
      <c r="AI3265" s="4">
        <v>49</v>
      </c>
      <c r="AJ3265" s="4">
        <v>16</v>
      </c>
      <c r="AK3265" s="4">
        <v>20</v>
      </c>
      <c r="AL3265" s="4">
        <v>30</v>
      </c>
      <c r="AM3265" s="4">
        <v>30</v>
      </c>
      <c r="AN3265" s="4">
        <v>0</v>
      </c>
      <c r="AO3265" s="4">
        <v>0</v>
      </c>
      <c r="AP3265" s="4">
        <v>18</v>
      </c>
      <c r="AQ3265" s="4">
        <v>24</v>
      </c>
      <c r="AR3265" s="3" t="s">
        <v>62</v>
      </c>
      <c r="AS3265" s="3" t="s">
        <v>62</v>
      </c>
      <c r="AT3265" s="3" t="s">
        <v>61</v>
      </c>
      <c r="AU3265" s="6" t="str">
        <f>HYPERLINK("http://catalog.hathitrust.org/Record/000126368","HathiTrust Record")</f>
        <v>HathiTrust Record</v>
      </c>
      <c r="AV3265" s="6" t="str">
        <f>HYPERLINK("http://mcgill.on.worldcat.org/oclc/2601660","Catalog Record")</f>
        <v>Catalog Record</v>
      </c>
      <c r="AW3265" s="6" t="str">
        <f>HYPERLINK("http://www.worldcat.org/oclc/2601660","WorldCat Record")</f>
        <v>WorldCat Record</v>
      </c>
      <c r="AX3265" s="3" t="s">
        <v>31612</v>
      </c>
      <c r="AY3265" s="3" t="s">
        <v>31613</v>
      </c>
      <c r="AZ3265" s="3" t="s">
        <v>31614</v>
      </c>
      <c r="BA3265" s="3" t="s">
        <v>31614</v>
      </c>
      <c r="BB3265" s="3" t="s">
        <v>31615</v>
      </c>
      <c r="BC3265" s="3" t="s">
        <v>142</v>
      </c>
      <c r="BD3265" s="3" t="s">
        <v>68</v>
      </c>
      <c r="BE3265" s="3" t="s">
        <v>31616</v>
      </c>
      <c r="BF3265" s="3" t="s">
        <v>31615</v>
      </c>
      <c r="BG3265" s="3" t="s">
        <v>31617</v>
      </c>
    </row>
    <row r="3266" spans="1:59" ht="57" x14ac:dyDescent="0.45">
      <c r="A3266" s="2" t="s">
        <v>59</v>
      </c>
      <c r="B3266" s="2" t="s">
        <v>60</v>
      </c>
      <c r="C3266" s="2" t="s">
        <v>31618</v>
      </c>
      <c r="D3266" s="2" t="s">
        <v>31619</v>
      </c>
      <c r="E3266" s="2" t="s">
        <v>31620</v>
      </c>
      <c r="G3266" s="3" t="s">
        <v>62</v>
      </c>
      <c r="I3266" s="3" t="s">
        <v>62</v>
      </c>
      <c r="J3266" s="3" t="s">
        <v>62</v>
      </c>
      <c r="K3266" s="3" t="s">
        <v>63</v>
      </c>
      <c r="L3266" s="2" t="s">
        <v>31621</v>
      </c>
      <c r="M3266" s="2" t="s">
        <v>31622</v>
      </c>
      <c r="N3266" s="3" t="s">
        <v>793</v>
      </c>
      <c r="O3266" s="2" t="s">
        <v>1748</v>
      </c>
      <c r="P3266" s="3" t="s">
        <v>65</v>
      </c>
      <c r="R3266" s="3" t="s">
        <v>66</v>
      </c>
      <c r="S3266" s="4">
        <v>3</v>
      </c>
      <c r="T3266" s="4">
        <v>3</v>
      </c>
      <c r="U3266" s="5" t="s">
        <v>28556</v>
      </c>
      <c r="V3266" s="5" t="s">
        <v>28556</v>
      </c>
      <c r="W3266" s="5" t="s">
        <v>67</v>
      </c>
      <c r="X3266" s="5" t="s">
        <v>67</v>
      </c>
      <c r="Y3266" s="4">
        <v>779</v>
      </c>
      <c r="Z3266" s="4">
        <v>32</v>
      </c>
      <c r="AA3266" s="4">
        <v>46</v>
      </c>
      <c r="AB3266" s="4">
        <v>3</v>
      </c>
      <c r="AC3266" s="4">
        <v>6</v>
      </c>
      <c r="AD3266" s="4">
        <v>112</v>
      </c>
      <c r="AE3266" s="4">
        <v>129</v>
      </c>
      <c r="AF3266" s="4">
        <v>1</v>
      </c>
      <c r="AG3266" s="4">
        <v>4</v>
      </c>
      <c r="AH3266" s="4">
        <v>96</v>
      </c>
      <c r="AI3266" s="4">
        <v>103</v>
      </c>
      <c r="AJ3266" s="4">
        <v>16</v>
      </c>
      <c r="AK3266" s="4">
        <v>25</v>
      </c>
      <c r="AL3266" s="4">
        <v>53</v>
      </c>
      <c r="AM3266" s="4">
        <v>55</v>
      </c>
      <c r="AN3266" s="4">
        <v>0</v>
      </c>
      <c r="AO3266" s="4">
        <v>0</v>
      </c>
      <c r="AP3266" s="4">
        <v>20</v>
      </c>
      <c r="AQ3266" s="4">
        <v>31</v>
      </c>
      <c r="AR3266" s="3" t="s">
        <v>62</v>
      </c>
      <c r="AS3266" s="3" t="s">
        <v>62</v>
      </c>
      <c r="AT3266" s="3" t="s">
        <v>61</v>
      </c>
      <c r="AU3266" s="6" t="str">
        <f>HYPERLINK("http://catalog.hathitrust.org/Record/000222892","HathiTrust Record")</f>
        <v>HathiTrust Record</v>
      </c>
      <c r="AV3266" s="6" t="str">
        <f>HYPERLINK("http://mcgill.on.worldcat.org/oclc/221223","Catalog Record")</f>
        <v>Catalog Record</v>
      </c>
      <c r="AW3266" s="6" t="str">
        <f>HYPERLINK("http://www.worldcat.org/oclc/221223","WorldCat Record")</f>
        <v>WorldCat Record</v>
      </c>
      <c r="AX3266" s="3" t="s">
        <v>31623</v>
      </c>
      <c r="AY3266" s="3" t="s">
        <v>31624</v>
      </c>
      <c r="AZ3266" s="3" t="s">
        <v>31625</v>
      </c>
      <c r="BA3266" s="3" t="s">
        <v>31625</v>
      </c>
      <c r="BB3266" s="3" t="s">
        <v>31626</v>
      </c>
      <c r="BC3266" s="3" t="s">
        <v>142</v>
      </c>
      <c r="BD3266" s="3" t="s">
        <v>68</v>
      </c>
      <c r="BE3266" s="3" t="s">
        <v>31627</v>
      </c>
      <c r="BF3266" s="3" t="s">
        <v>31626</v>
      </c>
      <c r="BG3266" s="3" t="s">
        <v>31628</v>
      </c>
    </row>
    <row r="3267" spans="1:59" ht="57" x14ac:dyDescent="0.45">
      <c r="A3267" s="2" t="s">
        <v>59</v>
      </c>
      <c r="B3267" s="2" t="s">
        <v>60</v>
      </c>
      <c r="C3267" s="2" t="s">
        <v>31629</v>
      </c>
      <c r="D3267" s="2" t="s">
        <v>31630</v>
      </c>
      <c r="E3267" s="2" t="s">
        <v>31631</v>
      </c>
      <c r="G3267" s="3" t="s">
        <v>62</v>
      </c>
      <c r="I3267" s="3" t="s">
        <v>62</v>
      </c>
      <c r="J3267" s="3" t="s">
        <v>62</v>
      </c>
      <c r="K3267" s="3" t="s">
        <v>63</v>
      </c>
      <c r="L3267" s="2" t="s">
        <v>31632</v>
      </c>
      <c r="M3267" s="2" t="s">
        <v>541</v>
      </c>
      <c r="N3267" s="3" t="s">
        <v>542</v>
      </c>
      <c r="P3267" s="3" t="s">
        <v>65</v>
      </c>
      <c r="Q3267" s="2" t="s">
        <v>17973</v>
      </c>
      <c r="R3267" s="3" t="s">
        <v>66</v>
      </c>
      <c r="S3267" s="4">
        <v>20</v>
      </c>
      <c r="T3267" s="4">
        <v>20</v>
      </c>
      <c r="U3267" s="5" t="s">
        <v>31633</v>
      </c>
      <c r="V3267" s="5" t="s">
        <v>31633</v>
      </c>
      <c r="W3267" s="5" t="s">
        <v>67</v>
      </c>
      <c r="X3267" s="5" t="s">
        <v>67</v>
      </c>
      <c r="Y3267" s="4">
        <v>325</v>
      </c>
      <c r="Z3267" s="4">
        <v>29</v>
      </c>
      <c r="AA3267" s="4">
        <v>35</v>
      </c>
      <c r="AB3267" s="4">
        <v>2</v>
      </c>
      <c r="AC3267" s="4">
        <v>6</v>
      </c>
      <c r="AD3267" s="4">
        <v>111</v>
      </c>
      <c r="AE3267" s="4">
        <v>113</v>
      </c>
      <c r="AF3267" s="4">
        <v>1</v>
      </c>
      <c r="AG3267" s="4">
        <v>3</v>
      </c>
      <c r="AH3267" s="4">
        <v>96</v>
      </c>
      <c r="AI3267" s="4">
        <v>97</v>
      </c>
      <c r="AJ3267" s="4">
        <v>21</v>
      </c>
      <c r="AK3267" s="4">
        <v>23</v>
      </c>
      <c r="AL3267" s="4">
        <v>53</v>
      </c>
      <c r="AM3267" s="4">
        <v>53</v>
      </c>
      <c r="AN3267" s="4">
        <v>0</v>
      </c>
      <c r="AO3267" s="4">
        <v>0</v>
      </c>
      <c r="AP3267" s="4">
        <v>24</v>
      </c>
      <c r="AQ3267" s="4">
        <v>25</v>
      </c>
      <c r="AR3267" s="3" t="s">
        <v>62</v>
      </c>
      <c r="AS3267" s="3" t="s">
        <v>62</v>
      </c>
      <c r="AT3267" s="3" t="s">
        <v>62</v>
      </c>
      <c r="AV3267" s="6" t="str">
        <f>HYPERLINK("http://mcgill.on.worldcat.org/oclc/44493284","Catalog Record")</f>
        <v>Catalog Record</v>
      </c>
      <c r="AW3267" s="6" t="str">
        <f>HYPERLINK("http://www.worldcat.org/oclc/44493284","WorldCat Record")</f>
        <v>WorldCat Record</v>
      </c>
      <c r="AX3267" s="3" t="s">
        <v>31634</v>
      </c>
      <c r="AY3267" s="3" t="s">
        <v>31635</v>
      </c>
      <c r="AZ3267" s="3" t="s">
        <v>31636</v>
      </c>
      <c r="BA3267" s="3" t="s">
        <v>31636</v>
      </c>
      <c r="BB3267" s="3" t="s">
        <v>31637</v>
      </c>
      <c r="BC3267" s="3" t="s">
        <v>142</v>
      </c>
      <c r="BD3267" s="3" t="s">
        <v>68</v>
      </c>
      <c r="BE3267" s="3" t="s">
        <v>31638</v>
      </c>
      <c r="BF3267" s="3" t="s">
        <v>31637</v>
      </c>
      <c r="BG3267" s="3" t="s">
        <v>31639</v>
      </c>
    </row>
    <row r="3268" spans="1:59" ht="57" x14ac:dyDescent="0.45">
      <c r="A3268" s="2" t="s">
        <v>59</v>
      </c>
      <c r="B3268" s="2" t="s">
        <v>60</v>
      </c>
      <c r="C3268" s="2" t="s">
        <v>31640</v>
      </c>
      <c r="D3268" s="2" t="s">
        <v>31641</v>
      </c>
      <c r="E3268" s="2" t="s">
        <v>31642</v>
      </c>
      <c r="G3268" s="3" t="s">
        <v>62</v>
      </c>
      <c r="I3268" s="3" t="s">
        <v>62</v>
      </c>
      <c r="J3268" s="3" t="s">
        <v>62</v>
      </c>
      <c r="K3268" s="3" t="s">
        <v>63</v>
      </c>
      <c r="L3268" s="2" t="s">
        <v>31643</v>
      </c>
      <c r="M3268" s="2" t="s">
        <v>31644</v>
      </c>
      <c r="N3268" s="3" t="s">
        <v>495</v>
      </c>
      <c r="P3268" s="3" t="s">
        <v>65</v>
      </c>
      <c r="R3268" s="3" t="s">
        <v>66</v>
      </c>
      <c r="S3268" s="4">
        <v>64</v>
      </c>
      <c r="T3268" s="4">
        <v>64</v>
      </c>
      <c r="U3268" s="5" t="s">
        <v>26706</v>
      </c>
      <c r="V3268" s="5" t="s">
        <v>26706</v>
      </c>
      <c r="W3268" s="5" t="s">
        <v>67</v>
      </c>
      <c r="X3268" s="5" t="s">
        <v>67</v>
      </c>
      <c r="Y3268" s="4">
        <v>899</v>
      </c>
      <c r="Z3268" s="4">
        <v>56</v>
      </c>
      <c r="AA3268" s="4">
        <v>64</v>
      </c>
      <c r="AB3268" s="4">
        <v>3</v>
      </c>
      <c r="AC3268" s="4">
        <v>9</v>
      </c>
      <c r="AD3268" s="4">
        <v>143</v>
      </c>
      <c r="AE3268" s="4">
        <v>147</v>
      </c>
      <c r="AF3268" s="4">
        <v>1</v>
      </c>
      <c r="AG3268" s="4">
        <v>5</v>
      </c>
      <c r="AH3268" s="4">
        <v>112</v>
      </c>
      <c r="AI3268" s="4">
        <v>113</v>
      </c>
      <c r="AJ3268" s="4">
        <v>24</v>
      </c>
      <c r="AK3268" s="4">
        <v>28</v>
      </c>
      <c r="AL3268" s="4">
        <v>59</v>
      </c>
      <c r="AM3268" s="4">
        <v>59</v>
      </c>
      <c r="AN3268" s="4">
        <v>0</v>
      </c>
      <c r="AO3268" s="4">
        <v>0</v>
      </c>
      <c r="AP3268" s="4">
        <v>39</v>
      </c>
      <c r="AQ3268" s="4">
        <v>42</v>
      </c>
      <c r="AR3268" s="3" t="s">
        <v>62</v>
      </c>
      <c r="AS3268" s="3" t="s">
        <v>62</v>
      </c>
      <c r="AT3268" s="3" t="s">
        <v>61</v>
      </c>
      <c r="AU3268" s="6" t="str">
        <f>HYPERLINK("http://catalog.hathitrust.org/Record/000770956","HathiTrust Record")</f>
        <v>HathiTrust Record</v>
      </c>
      <c r="AV3268" s="6" t="str">
        <f>HYPERLINK("http://mcgill.on.worldcat.org/oclc/1800530","Catalog Record")</f>
        <v>Catalog Record</v>
      </c>
      <c r="AW3268" s="6" t="str">
        <f>HYPERLINK("http://www.worldcat.org/oclc/1800530","WorldCat Record")</f>
        <v>WorldCat Record</v>
      </c>
      <c r="AX3268" s="3" t="s">
        <v>31645</v>
      </c>
      <c r="AY3268" s="3" t="s">
        <v>31646</v>
      </c>
      <c r="AZ3268" s="3" t="s">
        <v>31647</v>
      </c>
      <c r="BA3268" s="3" t="s">
        <v>31647</v>
      </c>
      <c r="BB3268" s="3" t="s">
        <v>31648</v>
      </c>
      <c r="BC3268" s="3" t="s">
        <v>142</v>
      </c>
      <c r="BD3268" s="3" t="s">
        <v>68</v>
      </c>
      <c r="BE3268" s="3" t="s">
        <v>31649</v>
      </c>
      <c r="BF3268" s="3" t="s">
        <v>31648</v>
      </c>
      <c r="BG3268" s="3" t="s">
        <v>31650</v>
      </c>
    </row>
    <row r="3269" spans="1:59" ht="57" x14ac:dyDescent="0.45">
      <c r="A3269" s="2" t="s">
        <v>59</v>
      </c>
      <c r="B3269" s="2" t="s">
        <v>60</v>
      </c>
      <c r="C3269" s="2" t="s">
        <v>31651</v>
      </c>
      <c r="D3269" s="2" t="s">
        <v>31652</v>
      </c>
      <c r="E3269" s="2" t="s">
        <v>31653</v>
      </c>
      <c r="G3269" s="3" t="s">
        <v>62</v>
      </c>
      <c r="I3269" s="3" t="s">
        <v>62</v>
      </c>
      <c r="J3269" s="3" t="s">
        <v>62</v>
      </c>
      <c r="K3269" s="3" t="s">
        <v>63</v>
      </c>
      <c r="L3269" s="2" t="s">
        <v>31654</v>
      </c>
      <c r="M3269" s="2" t="s">
        <v>31655</v>
      </c>
      <c r="N3269" s="3" t="s">
        <v>181</v>
      </c>
      <c r="P3269" s="3" t="s">
        <v>65</v>
      </c>
      <c r="Q3269" s="2" t="s">
        <v>31656</v>
      </c>
      <c r="R3269" s="3" t="s">
        <v>66</v>
      </c>
      <c r="S3269" s="4">
        <v>0</v>
      </c>
      <c r="T3269" s="4">
        <v>0</v>
      </c>
      <c r="W3269" s="5" t="s">
        <v>67</v>
      </c>
      <c r="X3269" s="5" t="s">
        <v>67</v>
      </c>
      <c r="Y3269" s="4">
        <v>29</v>
      </c>
      <c r="Z3269" s="4">
        <v>3</v>
      </c>
      <c r="AA3269" s="4">
        <v>70</v>
      </c>
      <c r="AB3269" s="4">
        <v>1</v>
      </c>
      <c r="AC3269" s="4">
        <v>14</v>
      </c>
      <c r="AD3269" s="4">
        <v>19</v>
      </c>
      <c r="AE3269" s="4">
        <v>100</v>
      </c>
      <c r="AF3269" s="4">
        <v>0</v>
      </c>
      <c r="AG3269" s="4">
        <v>8</v>
      </c>
      <c r="AH3269" s="4">
        <v>17</v>
      </c>
      <c r="AI3269" s="4">
        <v>71</v>
      </c>
      <c r="AJ3269" s="4">
        <v>2</v>
      </c>
      <c r="AK3269" s="4">
        <v>20</v>
      </c>
      <c r="AL3269" s="4">
        <v>13</v>
      </c>
      <c r="AM3269" s="4">
        <v>37</v>
      </c>
      <c r="AN3269" s="4">
        <v>0</v>
      </c>
      <c r="AO3269" s="4">
        <v>0</v>
      </c>
      <c r="AP3269" s="4">
        <v>2</v>
      </c>
      <c r="AQ3269" s="4">
        <v>35</v>
      </c>
      <c r="AR3269" s="3" t="s">
        <v>62</v>
      </c>
      <c r="AS3269" s="3" t="s">
        <v>62</v>
      </c>
      <c r="AT3269" s="3" t="s">
        <v>62</v>
      </c>
      <c r="AV3269" s="6" t="str">
        <f>HYPERLINK("http://mcgill.on.worldcat.org/oclc/931648693","Catalog Record")</f>
        <v>Catalog Record</v>
      </c>
      <c r="AW3269" s="6" t="str">
        <f>HYPERLINK("http://www.worldcat.org/oclc/931648693","WorldCat Record")</f>
        <v>WorldCat Record</v>
      </c>
      <c r="AX3269" s="3" t="s">
        <v>31657</v>
      </c>
      <c r="AY3269" s="3" t="s">
        <v>31658</v>
      </c>
      <c r="AZ3269" s="3" t="s">
        <v>31659</v>
      </c>
      <c r="BA3269" s="3" t="s">
        <v>31659</v>
      </c>
      <c r="BB3269" s="3" t="s">
        <v>31660</v>
      </c>
      <c r="BC3269" s="3" t="s">
        <v>142</v>
      </c>
      <c r="BD3269" s="3" t="s">
        <v>68</v>
      </c>
      <c r="BE3269" s="3" t="s">
        <v>31661</v>
      </c>
      <c r="BF3269" s="3" t="s">
        <v>31660</v>
      </c>
      <c r="BG3269" s="3" t="s">
        <v>31662</v>
      </c>
    </row>
    <row r="3270" spans="1:59" ht="57" x14ac:dyDescent="0.45">
      <c r="A3270" s="2" t="s">
        <v>59</v>
      </c>
      <c r="B3270" s="2" t="s">
        <v>60</v>
      </c>
      <c r="C3270" s="2" t="s">
        <v>31663</v>
      </c>
      <c r="D3270" s="2" t="s">
        <v>31664</v>
      </c>
      <c r="E3270" s="2" t="s">
        <v>31665</v>
      </c>
      <c r="G3270" s="3" t="s">
        <v>62</v>
      </c>
      <c r="I3270" s="3" t="s">
        <v>62</v>
      </c>
      <c r="J3270" s="3" t="s">
        <v>62</v>
      </c>
      <c r="K3270" s="3" t="s">
        <v>63</v>
      </c>
      <c r="L3270" s="2" t="s">
        <v>1929</v>
      </c>
      <c r="M3270" s="2" t="s">
        <v>31666</v>
      </c>
      <c r="N3270" s="3" t="s">
        <v>1478</v>
      </c>
      <c r="P3270" s="3" t="s">
        <v>65</v>
      </c>
      <c r="Q3270" s="2" t="s">
        <v>31667</v>
      </c>
      <c r="R3270" s="3" t="s">
        <v>66</v>
      </c>
      <c r="S3270" s="4">
        <v>19</v>
      </c>
      <c r="T3270" s="4">
        <v>19</v>
      </c>
      <c r="U3270" s="5" t="s">
        <v>3137</v>
      </c>
      <c r="V3270" s="5" t="s">
        <v>3137</v>
      </c>
      <c r="W3270" s="5" t="s">
        <v>67</v>
      </c>
      <c r="X3270" s="5" t="s">
        <v>67</v>
      </c>
      <c r="Y3270" s="4">
        <v>332</v>
      </c>
      <c r="Z3270" s="4">
        <v>18</v>
      </c>
      <c r="AA3270" s="4">
        <v>24</v>
      </c>
      <c r="AB3270" s="4">
        <v>2</v>
      </c>
      <c r="AC3270" s="4">
        <v>6</v>
      </c>
      <c r="AD3270" s="4">
        <v>100</v>
      </c>
      <c r="AE3270" s="4">
        <v>106</v>
      </c>
      <c r="AF3270" s="4">
        <v>1</v>
      </c>
      <c r="AG3270" s="4">
        <v>3</v>
      </c>
      <c r="AH3270" s="4">
        <v>91</v>
      </c>
      <c r="AI3270" s="4">
        <v>94</v>
      </c>
      <c r="AJ3270" s="4">
        <v>11</v>
      </c>
      <c r="AK3270" s="4">
        <v>14</v>
      </c>
      <c r="AL3270" s="4">
        <v>50</v>
      </c>
      <c r="AM3270" s="4">
        <v>52</v>
      </c>
      <c r="AN3270" s="4">
        <v>0</v>
      </c>
      <c r="AO3270" s="4">
        <v>0</v>
      </c>
      <c r="AP3270" s="4">
        <v>14</v>
      </c>
      <c r="AQ3270" s="4">
        <v>18</v>
      </c>
      <c r="AR3270" s="3" t="s">
        <v>62</v>
      </c>
      <c r="AS3270" s="3" t="s">
        <v>62</v>
      </c>
      <c r="AT3270" s="3" t="s">
        <v>61</v>
      </c>
      <c r="AU3270" s="6" t="str">
        <f>HYPERLINK("http://catalog.hathitrust.org/Record/003061674","HathiTrust Record")</f>
        <v>HathiTrust Record</v>
      </c>
      <c r="AV3270" s="6" t="str">
        <f>HYPERLINK("http://mcgill.on.worldcat.org/oclc/32548279","Catalog Record")</f>
        <v>Catalog Record</v>
      </c>
      <c r="AW3270" s="6" t="str">
        <f>HYPERLINK("http://www.worldcat.org/oclc/32548279","WorldCat Record")</f>
        <v>WorldCat Record</v>
      </c>
      <c r="AX3270" s="3" t="s">
        <v>31668</v>
      </c>
      <c r="AY3270" s="3" t="s">
        <v>31669</v>
      </c>
      <c r="AZ3270" s="3" t="s">
        <v>31670</v>
      </c>
      <c r="BA3270" s="3" t="s">
        <v>31670</v>
      </c>
      <c r="BB3270" s="3" t="s">
        <v>31671</v>
      </c>
      <c r="BC3270" s="3" t="s">
        <v>142</v>
      </c>
      <c r="BD3270" s="3" t="s">
        <v>68</v>
      </c>
      <c r="BE3270" s="3" t="s">
        <v>31672</v>
      </c>
      <c r="BF3270" s="3" t="s">
        <v>31671</v>
      </c>
      <c r="BG3270" s="3" t="s">
        <v>31673</v>
      </c>
    </row>
    <row r="3271" spans="1:59" ht="57" x14ac:dyDescent="0.45">
      <c r="A3271" s="2" t="s">
        <v>59</v>
      </c>
      <c r="B3271" s="2" t="s">
        <v>60</v>
      </c>
      <c r="C3271" s="2" t="s">
        <v>31674</v>
      </c>
      <c r="D3271" s="2" t="s">
        <v>31675</v>
      </c>
      <c r="E3271" s="2" t="s">
        <v>31676</v>
      </c>
      <c r="G3271" s="3" t="s">
        <v>62</v>
      </c>
      <c r="I3271" s="3" t="s">
        <v>61</v>
      </c>
      <c r="J3271" s="3" t="s">
        <v>62</v>
      </c>
      <c r="K3271" s="3" t="s">
        <v>63</v>
      </c>
      <c r="L3271" s="2" t="s">
        <v>31677</v>
      </c>
      <c r="M3271" s="2" t="s">
        <v>31678</v>
      </c>
      <c r="N3271" s="3" t="s">
        <v>220</v>
      </c>
      <c r="O3271" s="2" t="s">
        <v>168</v>
      </c>
      <c r="P3271" s="3" t="s">
        <v>65</v>
      </c>
      <c r="Q3271" s="2" t="s">
        <v>31679</v>
      </c>
      <c r="R3271" s="3" t="s">
        <v>66</v>
      </c>
      <c r="S3271" s="4">
        <v>52</v>
      </c>
      <c r="T3271" s="4">
        <v>96</v>
      </c>
      <c r="U3271" s="5" t="s">
        <v>31680</v>
      </c>
      <c r="V3271" s="5" t="s">
        <v>31680</v>
      </c>
      <c r="W3271" s="5" t="s">
        <v>67</v>
      </c>
      <c r="X3271" s="5" t="s">
        <v>67</v>
      </c>
      <c r="Y3271" s="4">
        <v>785</v>
      </c>
      <c r="Z3271" s="4">
        <v>50</v>
      </c>
      <c r="AA3271" s="4">
        <v>67</v>
      </c>
      <c r="AB3271" s="4">
        <v>3</v>
      </c>
      <c r="AC3271" s="4">
        <v>5</v>
      </c>
      <c r="AD3271" s="4">
        <v>112</v>
      </c>
      <c r="AE3271" s="4">
        <v>137</v>
      </c>
      <c r="AF3271" s="4">
        <v>2</v>
      </c>
      <c r="AG3271" s="4">
        <v>4</v>
      </c>
      <c r="AH3271" s="4">
        <v>88</v>
      </c>
      <c r="AI3271" s="4">
        <v>104</v>
      </c>
      <c r="AJ3271" s="4">
        <v>19</v>
      </c>
      <c r="AK3271" s="4">
        <v>23</v>
      </c>
      <c r="AL3271" s="4">
        <v>50</v>
      </c>
      <c r="AM3271" s="4">
        <v>56</v>
      </c>
      <c r="AN3271" s="4">
        <v>0</v>
      </c>
      <c r="AO3271" s="4">
        <v>0</v>
      </c>
      <c r="AP3271" s="4">
        <v>31</v>
      </c>
      <c r="AQ3271" s="4">
        <v>41</v>
      </c>
      <c r="AR3271" s="3" t="s">
        <v>62</v>
      </c>
      <c r="AS3271" s="3" t="s">
        <v>62</v>
      </c>
      <c r="AT3271" s="3" t="s">
        <v>61</v>
      </c>
      <c r="AU3271" s="6" t="str">
        <f>HYPERLINK("http://catalog.hathitrust.org/Record/001434758","HathiTrust Record")</f>
        <v>HathiTrust Record</v>
      </c>
      <c r="AV3271" s="6" t="str">
        <f>HYPERLINK("http://mcgill.on.worldcat.org/oclc/135854","Catalog Record")</f>
        <v>Catalog Record</v>
      </c>
      <c r="AW3271" s="6" t="str">
        <f>HYPERLINK("http://www.worldcat.org/oclc/135854","WorldCat Record")</f>
        <v>WorldCat Record</v>
      </c>
      <c r="AX3271" s="3" t="s">
        <v>31681</v>
      </c>
      <c r="AY3271" s="3" t="s">
        <v>31682</v>
      </c>
      <c r="AZ3271" s="3" t="s">
        <v>31683</v>
      </c>
      <c r="BA3271" s="3" t="s">
        <v>31683</v>
      </c>
      <c r="BB3271" s="3" t="s">
        <v>31684</v>
      </c>
      <c r="BC3271" s="3" t="s">
        <v>142</v>
      </c>
      <c r="BD3271" s="3" t="s">
        <v>68</v>
      </c>
      <c r="BE3271" s="3" t="s">
        <v>31685</v>
      </c>
      <c r="BF3271" s="3" t="s">
        <v>31684</v>
      </c>
      <c r="BG3271" s="3" t="s">
        <v>31686</v>
      </c>
    </row>
    <row r="3272" spans="1:59" ht="57" x14ac:dyDescent="0.45">
      <c r="A3272" s="2" t="s">
        <v>59</v>
      </c>
      <c r="B3272" s="2" t="s">
        <v>60</v>
      </c>
      <c r="C3272" s="2" t="s">
        <v>31674</v>
      </c>
      <c r="D3272" s="2" t="s">
        <v>31675</v>
      </c>
      <c r="E3272" s="2" t="s">
        <v>31676</v>
      </c>
      <c r="G3272" s="3" t="s">
        <v>62</v>
      </c>
      <c r="I3272" s="3" t="s">
        <v>61</v>
      </c>
      <c r="J3272" s="3" t="s">
        <v>62</v>
      </c>
      <c r="K3272" s="3" t="s">
        <v>63</v>
      </c>
      <c r="L3272" s="2" t="s">
        <v>31677</v>
      </c>
      <c r="M3272" s="2" t="s">
        <v>31678</v>
      </c>
      <c r="N3272" s="3" t="s">
        <v>220</v>
      </c>
      <c r="O3272" s="2" t="s">
        <v>168</v>
      </c>
      <c r="P3272" s="3" t="s">
        <v>65</v>
      </c>
      <c r="Q3272" s="2" t="s">
        <v>31679</v>
      </c>
      <c r="R3272" s="3" t="s">
        <v>66</v>
      </c>
      <c r="S3272" s="4">
        <v>44</v>
      </c>
      <c r="T3272" s="4">
        <v>96</v>
      </c>
      <c r="U3272" s="5" t="s">
        <v>12425</v>
      </c>
      <c r="V3272" s="5" t="s">
        <v>31680</v>
      </c>
      <c r="W3272" s="5" t="s">
        <v>67</v>
      </c>
      <c r="X3272" s="5" t="s">
        <v>67</v>
      </c>
      <c r="Y3272" s="4">
        <v>785</v>
      </c>
      <c r="Z3272" s="4">
        <v>50</v>
      </c>
      <c r="AA3272" s="4">
        <v>67</v>
      </c>
      <c r="AB3272" s="4">
        <v>3</v>
      </c>
      <c r="AC3272" s="4">
        <v>5</v>
      </c>
      <c r="AD3272" s="4">
        <v>112</v>
      </c>
      <c r="AE3272" s="4">
        <v>137</v>
      </c>
      <c r="AF3272" s="4">
        <v>2</v>
      </c>
      <c r="AG3272" s="4">
        <v>4</v>
      </c>
      <c r="AH3272" s="4">
        <v>88</v>
      </c>
      <c r="AI3272" s="4">
        <v>104</v>
      </c>
      <c r="AJ3272" s="4">
        <v>19</v>
      </c>
      <c r="AK3272" s="4">
        <v>23</v>
      </c>
      <c r="AL3272" s="4">
        <v>50</v>
      </c>
      <c r="AM3272" s="4">
        <v>56</v>
      </c>
      <c r="AN3272" s="4">
        <v>0</v>
      </c>
      <c r="AO3272" s="4">
        <v>0</v>
      </c>
      <c r="AP3272" s="4">
        <v>31</v>
      </c>
      <c r="AQ3272" s="4">
        <v>41</v>
      </c>
      <c r="AR3272" s="3" t="s">
        <v>62</v>
      </c>
      <c r="AS3272" s="3" t="s">
        <v>62</v>
      </c>
      <c r="AT3272" s="3" t="s">
        <v>61</v>
      </c>
      <c r="AU3272" s="6" t="str">
        <f>HYPERLINK("http://catalog.hathitrust.org/Record/001434758","HathiTrust Record")</f>
        <v>HathiTrust Record</v>
      </c>
      <c r="AV3272" s="6" t="str">
        <f>HYPERLINK("http://mcgill.on.worldcat.org/oclc/135854","Catalog Record")</f>
        <v>Catalog Record</v>
      </c>
      <c r="AW3272" s="6" t="str">
        <f>HYPERLINK("http://www.worldcat.org/oclc/135854","WorldCat Record")</f>
        <v>WorldCat Record</v>
      </c>
      <c r="AX3272" s="3" t="s">
        <v>31681</v>
      </c>
      <c r="AY3272" s="3" t="s">
        <v>31682</v>
      </c>
      <c r="AZ3272" s="3" t="s">
        <v>31683</v>
      </c>
      <c r="BA3272" s="3" t="s">
        <v>31683</v>
      </c>
      <c r="BB3272" s="3" t="s">
        <v>31687</v>
      </c>
      <c r="BC3272" s="3" t="s">
        <v>142</v>
      </c>
      <c r="BD3272" s="3" t="s">
        <v>68</v>
      </c>
      <c r="BE3272" s="3" t="s">
        <v>31685</v>
      </c>
      <c r="BF3272" s="3" t="s">
        <v>31687</v>
      </c>
      <c r="BG3272" s="3" t="s">
        <v>31688</v>
      </c>
    </row>
    <row r="3273" spans="1:59" ht="57" x14ac:dyDescent="0.45">
      <c r="A3273" s="2" t="s">
        <v>59</v>
      </c>
      <c r="B3273" s="2" t="s">
        <v>60</v>
      </c>
      <c r="C3273" s="2" t="s">
        <v>31689</v>
      </c>
      <c r="D3273" s="2" t="s">
        <v>31690</v>
      </c>
      <c r="E3273" s="2" t="s">
        <v>31691</v>
      </c>
      <c r="G3273" s="3" t="s">
        <v>62</v>
      </c>
      <c r="I3273" s="3" t="s">
        <v>62</v>
      </c>
      <c r="J3273" s="3" t="s">
        <v>62</v>
      </c>
      <c r="K3273" s="3" t="s">
        <v>63</v>
      </c>
      <c r="M3273" s="2" t="s">
        <v>1178</v>
      </c>
      <c r="N3273" s="3" t="s">
        <v>894</v>
      </c>
      <c r="P3273" s="3" t="s">
        <v>65</v>
      </c>
      <c r="Q3273" s="2" t="s">
        <v>31692</v>
      </c>
      <c r="R3273" s="3" t="s">
        <v>66</v>
      </c>
      <c r="S3273" s="4">
        <v>0</v>
      </c>
      <c r="T3273" s="4">
        <v>0</v>
      </c>
      <c r="W3273" s="5" t="s">
        <v>67</v>
      </c>
      <c r="X3273" s="5" t="s">
        <v>67</v>
      </c>
      <c r="Y3273" s="4">
        <v>86</v>
      </c>
      <c r="Z3273" s="4">
        <v>9</v>
      </c>
      <c r="AA3273" s="4">
        <v>91</v>
      </c>
      <c r="AB3273" s="4">
        <v>1</v>
      </c>
      <c r="AC3273" s="4">
        <v>17</v>
      </c>
      <c r="AD3273" s="4">
        <v>41</v>
      </c>
      <c r="AE3273" s="4">
        <v>114</v>
      </c>
      <c r="AF3273" s="4">
        <v>0</v>
      </c>
      <c r="AG3273" s="4">
        <v>8</v>
      </c>
      <c r="AH3273" s="4">
        <v>38</v>
      </c>
      <c r="AI3273" s="4">
        <v>79</v>
      </c>
      <c r="AJ3273" s="4">
        <v>7</v>
      </c>
      <c r="AK3273" s="4">
        <v>21</v>
      </c>
      <c r="AL3273" s="4">
        <v>24</v>
      </c>
      <c r="AM3273" s="4">
        <v>42</v>
      </c>
      <c r="AN3273" s="4">
        <v>0</v>
      </c>
      <c r="AO3273" s="4">
        <v>0</v>
      </c>
      <c r="AP3273" s="4">
        <v>7</v>
      </c>
      <c r="AQ3273" s="4">
        <v>42</v>
      </c>
      <c r="AR3273" s="3" t="s">
        <v>62</v>
      </c>
      <c r="AS3273" s="3" t="s">
        <v>62</v>
      </c>
      <c r="AT3273" s="3" t="s">
        <v>62</v>
      </c>
      <c r="AV3273" s="6" t="str">
        <f>HYPERLINK("http://mcgill.on.worldcat.org/oclc/711989041","Catalog Record")</f>
        <v>Catalog Record</v>
      </c>
      <c r="AW3273" s="6" t="str">
        <f>HYPERLINK("http://www.worldcat.org/oclc/711989041","WorldCat Record")</f>
        <v>WorldCat Record</v>
      </c>
      <c r="AX3273" s="3" t="s">
        <v>31693</v>
      </c>
      <c r="AY3273" s="3" t="s">
        <v>31694</v>
      </c>
      <c r="AZ3273" s="3" t="s">
        <v>31695</v>
      </c>
      <c r="BA3273" s="3" t="s">
        <v>31695</v>
      </c>
      <c r="BB3273" s="3" t="s">
        <v>31696</v>
      </c>
      <c r="BC3273" s="3" t="s">
        <v>142</v>
      </c>
      <c r="BD3273" s="3" t="s">
        <v>68</v>
      </c>
      <c r="BE3273" s="3" t="s">
        <v>31697</v>
      </c>
      <c r="BF3273" s="3" t="s">
        <v>31696</v>
      </c>
      <c r="BG3273" s="3" t="s">
        <v>31698</v>
      </c>
    </row>
    <row r="3274" spans="1:59" ht="57" x14ac:dyDescent="0.45">
      <c r="A3274" s="2" t="s">
        <v>59</v>
      </c>
      <c r="B3274" s="2" t="s">
        <v>60</v>
      </c>
      <c r="C3274" s="2" t="s">
        <v>31699</v>
      </c>
      <c r="D3274" s="2" t="s">
        <v>31700</v>
      </c>
      <c r="E3274" s="2" t="s">
        <v>31701</v>
      </c>
      <c r="F3274" s="3" t="s">
        <v>90</v>
      </c>
      <c r="G3274" s="3" t="s">
        <v>61</v>
      </c>
      <c r="I3274" s="3" t="s">
        <v>62</v>
      </c>
      <c r="J3274" s="3" t="s">
        <v>62</v>
      </c>
      <c r="K3274" s="3" t="s">
        <v>63</v>
      </c>
      <c r="M3274" s="2" t="s">
        <v>31702</v>
      </c>
      <c r="N3274" s="3" t="s">
        <v>149</v>
      </c>
      <c r="P3274" s="3" t="s">
        <v>65</v>
      </c>
      <c r="R3274" s="3" t="s">
        <v>66</v>
      </c>
      <c r="S3274" s="4">
        <v>1</v>
      </c>
      <c r="T3274" s="4">
        <v>1</v>
      </c>
      <c r="U3274" s="5" t="s">
        <v>69</v>
      </c>
      <c r="V3274" s="5" t="s">
        <v>69</v>
      </c>
      <c r="W3274" s="5" t="s">
        <v>67</v>
      </c>
      <c r="X3274" s="5" t="s">
        <v>67</v>
      </c>
      <c r="Y3274" s="4">
        <v>35</v>
      </c>
      <c r="Z3274" s="4">
        <v>6</v>
      </c>
      <c r="AA3274" s="4">
        <v>6</v>
      </c>
      <c r="AB3274" s="4">
        <v>1</v>
      </c>
      <c r="AC3274" s="4">
        <v>1</v>
      </c>
      <c r="AD3274" s="4">
        <v>23</v>
      </c>
      <c r="AE3274" s="4">
        <v>23</v>
      </c>
      <c r="AF3274" s="4">
        <v>0</v>
      </c>
      <c r="AG3274" s="4">
        <v>0</v>
      </c>
      <c r="AH3274" s="4">
        <v>20</v>
      </c>
      <c r="AI3274" s="4">
        <v>20</v>
      </c>
      <c r="AJ3274" s="4">
        <v>4</v>
      </c>
      <c r="AK3274" s="4">
        <v>4</v>
      </c>
      <c r="AL3274" s="4">
        <v>14</v>
      </c>
      <c r="AM3274" s="4">
        <v>14</v>
      </c>
      <c r="AN3274" s="4">
        <v>0</v>
      </c>
      <c r="AO3274" s="4">
        <v>0</v>
      </c>
      <c r="AP3274" s="4">
        <v>4</v>
      </c>
      <c r="AQ3274" s="4">
        <v>4</v>
      </c>
      <c r="AR3274" s="3" t="s">
        <v>62</v>
      </c>
      <c r="AS3274" s="3" t="s">
        <v>62</v>
      </c>
      <c r="AT3274" s="3" t="s">
        <v>62</v>
      </c>
      <c r="AV3274" s="6" t="str">
        <f>HYPERLINK("http://mcgill.on.worldcat.org/oclc/642847888","Catalog Record")</f>
        <v>Catalog Record</v>
      </c>
      <c r="AW3274" s="6" t="str">
        <f>HYPERLINK("http://www.worldcat.org/oclc/642847888","WorldCat Record")</f>
        <v>WorldCat Record</v>
      </c>
      <c r="AX3274" s="3" t="s">
        <v>31703</v>
      </c>
      <c r="AY3274" s="3" t="s">
        <v>31704</v>
      </c>
      <c r="AZ3274" s="3" t="s">
        <v>31705</v>
      </c>
      <c r="BA3274" s="3" t="s">
        <v>31705</v>
      </c>
      <c r="BB3274" s="3" t="s">
        <v>31706</v>
      </c>
      <c r="BC3274" s="3" t="s">
        <v>142</v>
      </c>
      <c r="BD3274" s="3" t="s">
        <v>68</v>
      </c>
      <c r="BE3274" s="3" t="s">
        <v>31707</v>
      </c>
      <c r="BF3274" s="3" t="s">
        <v>31706</v>
      </c>
      <c r="BG3274" s="3" t="s">
        <v>31708</v>
      </c>
    </row>
    <row r="3275" spans="1:59" ht="57" x14ac:dyDescent="0.45">
      <c r="A3275" s="2" t="s">
        <v>59</v>
      </c>
      <c r="B3275" s="2" t="s">
        <v>60</v>
      </c>
      <c r="C3275" s="2" t="s">
        <v>31699</v>
      </c>
      <c r="D3275" s="2" t="s">
        <v>31700</v>
      </c>
      <c r="E3275" s="2" t="s">
        <v>31701</v>
      </c>
      <c r="F3275" s="3" t="s">
        <v>87</v>
      </c>
      <c r="G3275" s="3" t="s">
        <v>61</v>
      </c>
      <c r="I3275" s="3" t="s">
        <v>62</v>
      </c>
      <c r="J3275" s="3" t="s">
        <v>62</v>
      </c>
      <c r="K3275" s="3" t="s">
        <v>63</v>
      </c>
      <c r="M3275" s="2" t="s">
        <v>31702</v>
      </c>
      <c r="N3275" s="3" t="s">
        <v>149</v>
      </c>
      <c r="P3275" s="3" t="s">
        <v>65</v>
      </c>
      <c r="R3275" s="3" t="s">
        <v>66</v>
      </c>
      <c r="S3275" s="4">
        <v>0</v>
      </c>
      <c r="T3275" s="4">
        <v>1</v>
      </c>
      <c r="V3275" s="5" t="s">
        <v>69</v>
      </c>
      <c r="W3275" s="5" t="s">
        <v>67</v>
      </c>
      <c r="X3275" s="5" t="s">
        <v>67</v>
      </c>
      <c r="Y3275" s="4">
        <v>35</v>
      </c>
      <c r="Z3275" s="4">
        <v>6</v>
      </c>
      <c r="AA3275" s="4">
        <v>6</v>
      </c>
      <c r="AB3275" s="4">
        <v>1</v>
      </c>
      <c r="AC3275" s="4">
        <v>1</v>
      </c>
      <c r="AD3275" s="4">
        <v>23</v>
      </c>
      <c r="AE3275" s="4">
        <v>23</v>
      </c>
      <c r="AF3275" s="4">
        <v>0</v>
      </c>
      <c r="AG3275" s="4">
        <v>0</v>
      </c>
      <c r="AH3275" s="4">
        <v>20</v>
      </c>
      <c r="AI3275" s="4">
        <v>20</v>
      </c>
      <c r="AJ3275" s="4">
        <v>4</v>
      </c>
      <c r="AK3275" s="4">
        <v>4</v>
      </c>
      <c r="AL3275" s="4">
        <v>14</v>
      </c>
      <c r="AM3275" s="4">
        <v>14</v>
      </c>
      <c r="AN3275" s="4">
        <v>0</v>
      </c>
      <c r="AO3275" s="4">
        <v>0</v>
      </c>
      <c r="AP3275" s="4">
        <v>4</v>
      </c>
      <c r="AQ3275" s="4">
        <v>4</v>
      </c>
      <c r="AR3275" s="3" t="s">
        <v>62</v>
      </c>
      <c r="AS3275" s="3" t="s">
        <v>62</v>
      </c>
      <c r="AT3275" s="3" t="s">
        <v>62</v>
      </c>
      <c r="AV3275" s="6" t="str">
        <f>HYPERLINK("http://mcgill.on.worldcat.org/oclc/642847888","Catalog Record")</f>
        <v>Catalog Record</v>
      </c>
      <c r="AW3275" s="6" t="str">
        <f>HYPERLINK("http://www.worldcat.org/oclc/642847888","WorldCat Record")</f>
        <v>WorldCat Record</v>
      </c>
      <c r="AX3275" s="3" t="s">
        <v>31703</v>
      </c>
      <c r="AY3275" s="3" t="s">
        <v>31704</v>
      </c>
      <c r="AZ3275" s="3" t="s">
        <v>31705</v>
      </c>
      <c r="BA3275" s="3" t="s">
        <v>31705</v>
      </c>
      <c r="BB3275" s="3" t="s">
        <v>31709</v>
      </c>
      <c r="BC3275" s="3" t="s">
        <v>142</v>
      </c>
      <c r="BD3275" s="3" t="s">
        <v>68</v>
      </c>
      <c r="BE3275" s="3" t="s">
        <v>31707</v>
      </c>
      <c r="BF3275" s="3" t="s">
        <v>31709</v>
      </c>
      <c r="BG3275" s="3" t="s">
        <v>31710</v>
      </c>
    </row>
    <row r="3276" spans="1:59" ht="57" x14ac:dyDescent="0.45">
      <c r="A3276" s="2" t="s">
        <v>59</v>
      </c>
      <c r="B3276" s="2" t="s">
        <v>60</v>
      </c>
      <c r="C3276" s="2" t="s">
        <v>31711</v>
      </c>
      <c r="D3276" s="2" t="s">
        <v>31712</v>
      </c>
      <c r="E3276" s="2" t="s">
        <v>31713</v>
      </c>
      <c r="G3276" s="3" t="s">
        <v>62</v>
      </c>
      <c r="I3276" s="3" t="s">
        <v>62</v>
      </c>
      <c r="J3276" s="3" t="s">
        <v>62</v>
      </c>
      <c r="K3276" s="3" t="s">
        <v>63</v>
      </c>
      <c r="L3276" s="2" t="s">
        <v>31714</v>
      </c>
      <c r="M3276" s="2" t="s">
        <v>31715</v>
      </c>
      <c r="N3276" s="3" t="s">
        <v>1212</v>
      </c>
      <c r="P3276" s="3" t="s">
        <v>65</v>
      </c>
      <c r="Q3276" s="2" t="s">
        <v>31716</v>
      </c>
      <c r="R3276" s="3" t="s">
        <v>66</v>
      </c>
      <c r="S3276" s="4">
        <v>8</v>
      </c>
      <c r="T3276" s="4">
        <v>8</v>
      </c>
      <c r="U3276" s="5" t="s">
        <v>21758</v>
      </c>
      <c r="V3276" s="5" t="s">
        <v>21758</v>
      </c>
      <c r="W3276" s="5" t="s">
        <v>67</v>
      </c>
      <c r="X3276" s="5" t="s">
        <v>67</v>
      </c>
      <c r="Y3276" s="4">
        <v>22</v>
      </c>
      <c r="Z3276" s="4">
        <v>4</v>
      </c>
      <c r="AA3276" s="4">
        <v>92</v>
      </c>
      <c r="AB3276" s="4">
        <v>1</v>
      </c>
      <c r="AC3276" s="4">
        <v>17</v>
      </c>
      <c r="AD3276" s="4">
        <v>18</v>
      </c>
      <c r="AE3276" s="4">
        <v>124</v>
      </c>
      <c r="AF3276" s="4">
        <v>0</v>
      </c>
      <c r="AG3276" s="4">
        <v>8</v>
      </c>
      <c r="AH3276" s="4">
        <v>16</v>
      </c>
      <c r="AI3276" s="4">
        <v>89</v>
      </c>
      <c r="AJ3276" s="4">
        <v>3</v>
      </c>
      <c r="AK3276" s="4">
        <v>20</v>
      </c>
      <c r="AL3276" s="4">
        <v>10</v>
      </c>
      <c r="AM3276" s="4">
        <v>49</v>
      </c>
      <c r="AN3276" s="4">
        <v>0</v>
      </c>
      <c r="AO3276" s="4">
        <v>0</v>
      </c>
      <c r="AP3276" s="4">
        <v>3</v>
      </c>
      <c r="AQ3276" s="4">
        <v>41</v>
      </c>
      <c r="AR3276" s="3" t="s">
        <v>62</v>
      </c>
      <c r="AS3276" s="3" t="s">
        <v>62</v>
      </c>
      <c r="AT3276" s="3" t="s">
        <v>62</v>
      </c>
      <c r="AV3276" s="6" t="str">
        <f>HYPERLINK("http://mcgill.on.worldcat.org/oclc/123300594","Catalog Record")</f>
        <v>Catalog Record</v>
      </c>
      <c r="AW3276" s="6" t="str">
        <f>HYPERLINK("http://www.worldcat.org/oclc/123300594","WorldCat Record")</f>
        <v>WorldCat Record</v>
      </c>
      <c r="AX3276" s="3" t="s">
        <v>31717</v>
      </c>
      <c r="AY3276" s="3" t="s">
        <v>31718</v>
      </c>
      <c r="AZ3276" s="3" t="s">
        <v>31719</v>
      </c>
      <c r="BA3276" s="3" t="s">
        <v>31719</v>
      </c>
      <c r="BB3276" s="3" t="s">
        <v>31720</v>
      </c>
      <c r="BC3276" s="3" t="s">
        <v>142</v>
      </c>
      <c r="BD3276" s="3" t="s">
        <v>68</v>
      </c>
      <c r="BE3276" s="3" t="s">
        <v>31721</v>
      </c>
      <c r="BF3276" s="3" t="s">
        <v>31720</v>
      </c>
      <c r="BG3276" s="3" t="s">
        <v>31722</v>
      </c>
    </row>
    <row r="3277" spans="1:59" ht="57" x14ac:dyDescent="0.45">
      <c r="A3277" s="2" t="s">
        <v>59</v>
      </c>
      <c r="B3277" s="2" t="s">
        <v>60</v>
      </c>
      <c r="C3277" s="2" t="s">
        <v>31723</v>
      </c>
      <c r="D3277" s="2" t="s">
        <v>31724</v>
      </c>
      <c r="E3277" s="2" t="s">
        <v>31725</v>
      </c>
      <c r="G3277" s="3" t="s">
        <v>62</v>
      </c>
      <c r="I3277" s="3" t="s">
        <v>62</v>
      </c>
      <c r="J3277" s="3" t="s">
        <v>62</v>
      </c>
      <c r="K3277" s="3" t="s">
        <v>63</v>
      </c>
      <c r="L3277" s="2" t="s">
        <v>31726</v>
      </c>
      <c r="M3277" s="2" t="s">
        <v>31727</v>
      </c>
      <c r="N3277" s="3" t="s">
        <v>106</v>
      </c>
      <c r="P3277" s="3" t="s">
        <v>65</v>
      </c>
      <c r="Q3277" s="2" t="s">
        <v>31728</v>
      </c>
      <c r="R3277" s="3" t="s">
        <v>66</v>
      </c>
      <c r="S3277" s="4">
        <v>26</v>
      </c>
      <c r="T3277" s="4">
        <v>26</v>
      </c>
      <c r="U3277" s="5" t="s">
        <v>869</v>
      </c>
      <c r="V3277" s="5" t="s">
        <v>869</v>
      </c>
      <c r="W3277" s="5" t="s">
        <v>67</v>
      </c>
      <c r="X3277" s="5" t="s">
        <v>67</v>
      </c>
      <c r="Y3277" s="4">
        <v>16</v>
      </c>
      <c r="Z3277" s="4">
        <v>4</v>
      </c>
      <c r="AA3277" s="4">
        <v>4</v>
      </c>
      <c r="AB3277" s="4">
        <v>1</v>
      </c>
      <c r="AC3277" s="4">
        <v>1</v>
      </c>
      <c r="AD3277" s="4">
        <v>10</v>
      </c>
      <c r="AE3277" s="4">
        <v>10</v>
      </c>
      <c r="AF3277" s="4">
        <v>0</v>
      </c>
      <c r="AG3277" s="4">
        <v>0</v>
      </c>
      <c r="AH3277" s="4">
        <v>8</v>
      </c>
      <c r="AI3277" s="4">
        <v>8</v>
      </c>
      <c r="AJ3277" s="4">
        <v>3</v>
      </c>
      <c r="AK3277" s="4">
        <v>3</v>
      </c>
      <c r="AL3277" s="4">
        <v>3</v>
      </c>
      <c r="AM3277" s="4">
        <v>3</v>
      </c>
      <c r="AN3277" s="4">
        <v>0</v>
      </c>
      <c r="AO3277" s="4">
        <v>0</v>
      </c>
      <c r="AP3277" s="4">
        <v>3</v>
      </c>
      <c r="AQ3277" s="4">
        <v>3</v>
      </c>
      <c r="AR3277" s="3" t="s">
        <v>62</v>
      </c>
      <c r="AS3277" s="3" t="s">
        <v>62</v>
      </c>
      <c r="AT3277" s="3" t="s">
        <v>62</v>
      </c>
      <c r="AV3277" s="6" t="str">
        <f>HYPERLINK("http://mcgill.on.worldcat.org/oclc/12559594","Catalog Record")</f>
        <v>Catalog Record</v>
      </c>
      <c r="AW3277" s="6" t="str">
        <f>HYPERLINK("http://www.worldcat.org/oclc/12559594","WorldCat Record")</f>
        <v>WorldCat Record</v>
      </c>
      <c r="AX3277" s="3" t="s">
        <v>31729</v>
      </c>
      <c r="AY3277" s="3" t="s">
        <v>31730</v>
      </c>
      <c r="AZ3277" s="3" t="s">
        <v>31731</v>
      </c>
      <c r="BA3277" s="3" t="s">
        <v>31731</v>
      </c>
      <c r="BB3277" s="3" t="s">
        <v>31732</v>
      </c>
      <c r="BC3277" s="3" t="s">
        <v>142</v>
      </c>
      <c r="BD3277" s="3" t="s">
        <v>308</v>
      </c>
      <c r="BF3277" s="3" t="s">
        <v>31732</v>
      </c>
      <c r="BG3277" s="3" t="s">
        <v>31733</v>
      </c>
    </row>
    <row r="3278" spans="1:59" ht="57" x14ac:dyDescent="0.45">
      <c r="A3278" s="2" t="s">
        <v>59</v>
      </c>
      <c r="B3278" s="2" t="s">
        <v>60</v>
      </c>
      <c r="C3278" s="2" t="s">
        <v>31734</v>
      </c>
      <c r="D3278" s="2" t="s">
        <v>31735</v>
      </c>
      <c r="E3278" s="2" t="s">
        <v>31736</v>
      </c>
      <c r="G3278" s="3" t="s">
        <v>62</v>
      </c>
      <c r="I3278" s="3" t="s">
        <v>62</v>
      </c>
      <c r="J3278" s="3" t="s">
        <v>62</v>
      </c>
      <c r="K3278" s="3" t="s">
        <v>63</v>
      </c>
      <c r="L3278" s="2" t="s">
        <v>31737</v>
      </c>
      <c r="M3278" s="2" t="s">
        <v>31738</v>
      </c>
      <c r="N3278" s="3" t="s">
        <v>1239</v>
      </c>
      <c r="P3278" s="3" t="s">
        <v>65</v>
      </c>
      <c r="Q3278" s="2" t="s">
        <v>31739</v>
      </c>
      <c r="R3278" s="3" t="s">
        <v>66</v>
      </c>
      <c r="S3278" s="4">
        <v>21</v>
      </c>
      <c r="T3278" s="4">
        <v>21</v>
      </c>
      <c r="U3278" s="5" t="s">
        <v>4852</v>
      </c>
      <c r="V3278" s="5" t="s">
        <v>4852</v>
      </c>
      <c r="W3278" s="5" t="s">
        <v>67</v>
      </c>
      <c r="X3278" s="5" t="s">
        <v>67</v>
      </c>
      <c r="Y3278" s="4">
        <v>189</v>
      </c>
      <c r="Z3278" s="4">
        <v>17</v>
      </c>
      <c r="AA3278" s="4">
        <v>19</v>
      </c>
      <c r="AB3278" s="4">
        <v>1</v>
      </c>
      <c r="AC3278" s="4">
        <v>3</v>
      </c>
      <c r="AD3278" s="4">
        <v>91</v>
      </c>
      <c r="AE3278" s="4">
        <v>93</v>
      </c>
      <c r="AF3278" s="4">
        <v>0</v>
      </c>
      <c r="AG3278" s="4">
        <v>2</v>
      </c>
      <c r="AH3278" s="4">
        <v>82</v>
      </c>
      <c r="AI3278" s="4">
        <v>82</v>
      </c>
      <c r="AJ3278" s="4">
        <v>13</v>
      </c>
      <c r="AK3278" s="4">
        <v>15</v>
      </c>
      <c r="AL3278" s="4">
        <v>52</v>
      </c>
      <c r="AM3278" s="4">
        <v>52</v>
      </c>
      <c r="AN3278" s="4">
        <v>0</v>
      </c>
      <c r="AO3278" s="4">
        <v>0</v>
      </c>
      <c r="AP3278" s="4">
        <v>13</v>
      </c>
      <c r="AQ3278" s="4">
        <v>14</v>
      </c>
      <c r="AR3278" s="3" t="s">
        <v>62</v>
      </c>
      <c r="AS3278" s="3" t="s">
        <v>62</v>
      </c>
      <c r="AT3278" s="3" t="s">
        <v>61</v>
      </c>
      <c r="AU3278" s="6" t="str">
        <f>HYPERLINK("http://catalog.hathitrust.org/Record/001831298","HathiTrust Record")</f>
        <v>HathiTrust Record</v>
      </c>
      <c r="AV3278" s="6" t="str">
        <f>HYPERLINK("http://mcgill.on.worldcat.org/oclc/19848269","Catalog Record")</f>
        <v>Catalog Record</v>
      </c>
      <c r="AW3278" s="6" t="str">
        <f>HYPERLINK("http://www.worldcat.org/oclc/19848269","WorldCat Record")</f>
        <v>WorldCat Record</v>
      </c>
      <c r="AX3278" s="3" t="s">
        <v>31740</v>
      </c>
      <c r="AY3278" s="3" t="s">
        <v>31741</v>
      </c>
      <c r="AZ3278" s="3" t="s">
        <v>31742</v>
      </c>
      <c r="BA3278" s="3" t="s">
        <v>31742</v>
      </c>
      <c r="BB3278" s="3" t="s">
        <v>31743</v>
      </c>
      <c r="BC3278" s="3" t="s">
        <v>142</v>
      </c>
      <c r="BD3278" s="3" t="s">
        <v>68</v>
      </c>
      <c r="BE3278" s="3" t="s">
        <v>31744</v>
      </c>
      <c r="BF3278" s="3" t="s">
        <v>31743</v>
      </c>
      <c r="BG3278" s="3" t="s">
        <v>31745</v>
      </c>
    </row>
    <row r="3279" spans="1:59" ht="57" x14ac:dyDescent="0.45">
      <c r="A3279" s="2" t="s">
        <v>59</v>
      </c>
      <c r="B3279" s="2" t="s">
        <v>412</v>
      </c>
      <c r="C3279" s="2" t="s">
        <v>31746</v>
      </c>
      <c r="D3279" s="2" t="s">
        <v>31747</v>
      </c>
      <c r="E3279" s="2" t="s">
        <v>31748</v>
      </c>
      <c r="G3279" s="3" t="s">
        <v>62</v>
      </c>
      <c r="I3279" s="3" t="s">
        <v>61</v>
      </c>
      <c r="J3279" s="3" t="s">
        <v>61</v>
      </c>
      <c r="K3279" s="3" t="s">
        <v>63</v>
      </c>
      <c r="L3279" s="2" t="s">
        <v>2314</v>
      </c>
      <c r="M3279" s="2" t="s">
        <v>31749</v>
      </c>
      <c r="N3279" s="3" t="s">
        <v>117</v>
      </c>
      <c r="P3279" s="3" t="s">
        <v>65</v>
      </c>
      <c r="R3279" s="3" t="s">
        <v>66</v>
      </c>
      <c r="S3279" s="4">
        <v>15</v>
      </c>
      <c r="T3279" s="4">
        <v>223</v>
      </c>
      <c r="U3279" s="5" t="s">
        <v>18452</v>
      </c>
      <c r="V3279" s="5" t="s">
        <v>27926</v>
      </c>
      <c r="W3279" s="5" t="s">
        <v>67</v>
      </c>
      <c r="X3279" s="5" t="s">
        <v>67</v>
      </c>
      <c r="Y3279" s="4">
        <v>1575</v>
      </c>
      <c r="Z3279" s="4">
        <v>58</v>
      </c>
      <c r="AA3279" s="4">
        <v>101</v>
      </c>
      <c r="AB3279" s="4">
        <v>4</v>
      </c>
      <c r="AC3279" s="4">
        <v>13</v>
      </c>
      <c r="AD3279" s="4">
        <v>137</v>
      </c>
      <c r="AE3279" s="4">
        <v>162</v>
      </c>
      <c r="AF3279" s="4">
        <v>1</v>
      </c>
      <c r="AG3279" s="4">
        <v>8</v>
      </c>
      <c r="AH3279" s="4">
        <v>107</v>
      </c>
      <c r="AI3279" s="4">
        <v>115</v>
      </c>
      <c r="AJ3279" s="4">
        <v>14</v>
      </c>
      <c r="AK3279" s="4">
        <v>27</v>
      </c>
      <c r="AL3279" s="4">
        <v>57</v>
      </c>
      <c r="AM3279" s="4">
        <v>59</v>
      </c>
      <c r="AN3279" s="4">
        <v>0</v>
      </c>
      <c r="AO3279" s="4">
        <v>0</v>
      </c>
      <c r="AP3279" s="4">
        <v>35</v>
      </c>
      <c r="AQ3279" s="4">
        <v>56</v>
      </c>
      <c r="AR3279" s="3" t="s">
        <v>62</v>
      </c>
      <c r="AS3279" s="3" t="s">
        <v>62</v>
      </c>
      <c r="AT3279" s="3" t="s">
        <v>61</v>
      </c>
      <c r="AU3279" s="6" t="str">
        <f t="shared" ref="AU3279:AU3286" si="44">HYPERLINK("http://catalog.hathitrust.org/Record/102324696","HathiTrust Record")</f>
        <v>HathiTrust Record</v>
      </c>
      <c r="AV3279" s="6" t="str">
        <f>HYPERLINK("http://mcgill.on.worldcat.org/oclc/6042798","Catalog Record")</f>
        <v>Catalog Record</v>
      </c>
      <c r="AW3279" s="6" t="str">
        <f>HYPERLINK("http://www.worldcat.org/oclc/6042798","WorldCat Record")</f>
        <v>WorldCat Record</v>
      </c>
      <c r="AX3279" s="3" t="s">
        <v>31750</v>
      </c>
      <c r="AY3279" s="3" t="s">
        <v>31751</v>
      </c>
      <c r="AZ3279" s="3" t="s">
        <v>31752</v>
      </c>
      <c r="BA3279" s="3" t="s">
        <v>31752</v>
      </c>
      <c r="BB3279" s="3" t="s">
        <v>31753</v>
      </c>
      <c r="BC3279" s="3" t="s">
        <v>142</v>
      </c>
      <c r="BD3279" s="3" t="s">
        <v>308</v>
      </c>
      <c r="BE3279" s="3" t="s">
        <v>31754</v>
      </c>
      <c r="BF3279" s="3" t="s">
        <v>31753</v>
      </c>
      <c r="BG3279" s="3" t="s">
        <v>31755</v>
      </c>
    </row>
    <row r="3280" spans="1:59" ht="57" x14ac:dyDescent="0.45">
      <c r="A3280" s="2" t="s">
        <v>59</v>
      </c>
      <c r="B3280" s="2" t="s">
        <v>60</v>
      </c>
      <c r="C3280" s="2" t="s">
        <v>31746</v>
      </c>
      <c r="D3280" s="2" t="s">
        <v>31747</v>
      </c>
      <c r="E3280" s="2" t="s">
        <v>31748</v>
      </c>
      <c r="G3280" s="3" t="s">
        <v>62</v>
      </c>
      <c r="I3280" s="3" t="s">
        <v>61</v>
      </c>
      <c r="J3280" s="3" t="s">
        <v>61</v>
      </c>
      <c r="K3280" s="3" t="s">
        <v>63</v>
      </c>
      <c r="L3280" s="2" t="s">
        <v>2314</v>
      </c>
      <c r="M3280" s="2" t="s">
        <v>31749</v>
      </c>
      <c r="N3280" s="3" t="s">
        <v>117</v>
      </c>
      <c r="P3280" s="3" t="s">
        <v>65</v>
      </c>
      <c r="R3280" s="3" t="s">
        <v>66</v>
      </c>
      <c r="S3280" s="4">
        <v>131</v>
      </c>
      <c r="T3280" s="4">
        <v>223</v>
      </c>
      <c r="U3280" s="5" t="s">
        <v>31756</v>
      </c>
      <c r="V3280" s="5" t="s">
        <v>27926</v>
      </c>
      <c r="W3280" s="5" t="s">
        <v>67</v>
      </c>
      <c r="X3280" s="5" t="s">
        <v>67</v>
      </c>
      <c r="Y3280" s="4">
        <v>1575</v>
      </c>
      <c r="Z3280" s="4">
        <v>58</v>
      </c>
      <c r="AA3280" s="4">
        <v>101</v>
      </c>
      <c r="AB3280" s="4">
        <v>4</v>
      </c>
      <c r="AC3280" s="4">
        <v>13</v>
      </c>
      <c r="AD3280" s="4">
        <v>137</v>
      </c>
      <c r="AE3280" s="4">
        <v>162</v>
      </c>
      <c r="AF3280" s="4">
        <v>1</v>
      </c>
      <c r="AG3280" s="4">
        <v>8</v>
      </c>
      <c r="AH3280" s="4">
        <v>107</v>
      </c>
      <c r="AI3280" s="4">
        <v>115</v>
      </c>
      <c r="AJ3280" s="4">
        <v>14</v>
      </c>
      <c r="AK3280" s="4">
        <v>27</v>
      </c>
      <c r="AL3280" s="4">
        <v>57</v>
      </c>
      <c r="AM3280" s="4">
        <v>59</v>
      </c>
      <c r="AN3280" s="4">
        <v>0</v>
      </c>
      <c r="AO3280" s="4">
        <v>0</v>
      </c>
      <c r="AP3280" s="4">
        <v>35</v>
      </c>
      <c r="AQ3280" s="4">
        <v>56</v>
      </c>
      <c r="AR3280" s="3" t="s">
        <v>62</v>
      </c>
      <c r="AS3280" s="3" t="s">
        <v>62</v>
      </c>
      <c r="AT3280" s="3" t="s">
        <v>61</v>
      </c>
      <c r="AU3280" s="6" t="str">
        <f t="shared" si="44"/>
        <v>HathiTrust Record</v>
      </c>
      <c r="AV3280" s="6" t="str">
        <f>HYPERLINK("http://mcgill.on.worldcat.org/oclc/6042798","Catalog Record")</f>
        <v>Catalog Record</v>
      </c>
      <c r="AW3280" s="6" t="str">
        <f>HYPERLINK("http://www.worldcat.org/oclc/6042798","WorldCat Record")</f>
        <v>WorldCat Record</v>
      </c>
      <c r="AX3280" s="3" t="s">
        <v>31750</v>
      </c>
      <c r="AY3280" s="3" t="s">
        <v>31751</v>
      </c>
      <c r="AZ3280" s="3" t="s">
        <v>31752</v>
      </c>
      <c r="BA3280" s="3" t="s">
        <v>31752</v>
      </c>
      <c r="BB3280" s="3" t="s">
        <v>31757</v>
      </c>
      <c r="BC3280" s="3" t="s">
        <v>142</v>
      </c>
      <c r="BD3280" s="3" t="s">
        <v>308</v>
      </c>
      <c r="BE3280" s="3" t="s">
        <v>31754</v>
      </c>
      <c r="BF3280" s="3" t="s">
        <v>31757</v>
      </c>
      <c r="BG3280" s="3" t="s">
        <v>31758</v>
      </c>
    </row>
    <row r="3281" spans="1:59" ht="57" x14ac:dyDescent="0.45">
      <c r="A3281" s="2" t="s">
        <v>59</v>
      </c>
      <c r="B3281" s="2" t="s">
        <v>60</v>
      </c>
      <c r="C3281" s="2" t="s">
        <v>31746</v>
      </c>
      <c r="D3281" s="2" t="s">
        <v>31747</v>
      </c>
      <c r="E3281" s="2" t="s">
        <v>31748</v>
      </c>
      <c r="G3281" s="3" t="s">
        <v>62</v>
      </c>
      <c r="I3281" s="3" t="s">
        <v>61</v>
      </c>
      <c r="J3281" s="3" t="s">
        <v>61</v>
      </c>
      <c r="K3281" s="3" t="s">
        <v>63</v>
      </c>
      <c r="L3281" s="2" t="s">
        <v>2314</v>
      </c>
      <c r="M3281" s="2" t="s">
        <v>31749</v>
      </c>
      <c r="N3281" s="3" t="s">
        <v>117</v>
      </c>
      <c r="P3281" s="3" t="s">
        <v>65</v>
      </c>
      <c r="R3281" s="3" t="s">
        <v>66</v>
      </c>
      <c r="S3281" s="4">
        <v>77</v>
      </c>
      <c r="T3281" s="4">
        <v>223</v>
      </c>
      <c r="U3281" s="5" t="s">
        <v>27926</v>
      </c>
      <c r="V3281" s="5" t="s">
        <v>27926</v>
      </c>
      <c r="W3281" s="5" t="s">
        <v>67</v>
      </c>
      <c r="X3281" s="5" t="s">
        <v>67</v>
      </c>
      <c r="Y3281" s="4">
        <v>1575</v>
      </c>
      <c r="Z3281" s="4">
        <v>58</v>
      </c>
      <c r="AA3281" s="4">
        <v>101</v>
      </c>
      <c r="AB3281" s="4">
        <v>4</v>
      </c>
      <c r="AC3281" s="4">
        <v>13</v>
      </c>
      <c r="AD3281" s="4">
        <v>137</v>
      </c>
      <c r="AE3281" s="4">
        <v>162</v>
      </c>
      <c r="AF3281" s="4">
        <v>1</v>
      </c>
      <c r="AG3281" s="4">
        <v>8</v>
      </c>
      <c r="AH3281" s="4">
        <v>107</v>
      </c>
      <c r="AI3281" s="4">
        <v>115</v>
      </c>
      <c r="AJ3281" s="4">
        <v>14</v>
      </c>
      <c r="AK3281" s="4">
        <v>27</v>
      </c>
      <c r="AL3281" s="4">
        <v>57</v>
      </c>
      <c r="AM3281" s="4">
        <v>59</v>
      </c>
      <c r="AN3281" s="4">
        <v>0</v>
      </c>
      <c r="AO3281" s="4">
        <v>0</v>
      </c>
      <c r="AP3281" s="4">
        <v>35</v>
      </c>
      <c r="AQ3281" s="4">
        <v>56</v>
      </c>
      <c r="AR3281" s="3" t="s">
        <v>62</v>
      </c>
      <c r="AS3281" s="3" t="s">
        <v>62</v>
      </c>
      <c r="AT3281" s="3" t="s">
        <v>61</v>
      </c>
      <c r="AU3281" s="6" t="str">
        <f t="shared" si="44"/>
        <v>HathiTrust Record</v>
      </c>
      <c r="AV3281" s="6" t="str">
        <f>HYPERLINK("http://mcgill.on.worldcat.org/oclc/6042798","Catalog Record")</f>
        <v>Catalog Record</v>
      </c>
      <c r="AW3281" s="6" t="str">
        <f>HYPERLINK("http://www.worldcat.org/oclc/6042798","WorldCat Record")</f>
        <v>WorldCat Record</v>
      </c>
      <c r="AX3281" s="3" t="s">
        <v>31750</v>
      </c>
      <c r="AY3281" s="3" t="s">
        <v>31751</v>
      </c>
      <c r="AZ3281" s="3" t="s">
        <v>31752</v>
      </c>
      <c r="BA3281" s="3" t="s">
        <v>31752</v>
      </c>
      <c r="BB3281" s="3" t="s">
        <v>31759</v>
      </c>
      <c r="BC3281" s="3" t="s">
        <v>142</v>
      </c>
      <c r="BD3281" s="3" t="s">
        <v>68</v>
      </c>
      <c r="BE3281" s="3" t="s">
        <v>31754</v>
      </c>
      <c r="BF3281" s="3" t="s">
        <v>31759</v>
      </c>
      <c r="BG3281" s="3" t="s">
        <v>31760</v>
      </c>
    </row>
    <row r="3282" spans="1:59" ht="57" x14ac:dyDescent="0.45">
      <c r="A3282" s="2" t="s">
        <v>59</v>
      </c>
      <c r="B3282" s="2" t="s">
        <v>60</v>
      </c>
      <c r="C3282" s="2" t="s">
        <v>31761</v>
      </c>
      <c r="D3282" s="2" t="s">
        <v>31762</v>
      </c>
      <c r="E3282" s="2" t="s">
        <v>31748</v>
      </c>
      <c r="G3282" s="3" t="s">
        <v>62</v>
      </c>
      <c r="I3282" s="3" t="s">
        <v>61</v>
      </c>
      <c r="J3282" s="3" t="s">
        <v>61</v>
      </c>
      <c r="K3282" s="3" t="s">
        <v>63</v>
      </c>
      <c r="L3282" s="2" t="s">
        <v>2314</v>
      </c>
      <c r="M3282" s="2" t="s">
        <v>31763</v>
      </c>
      <c r="N3282" s="3" t="s">
        <v>918</v>
      </c>
      <c r="P3282" s="3" t="s">
        <v>65</v>
      </c>
      <c r="R3282" s="3" t="s">
        <v>66</v>
      </c>
      <c r="S3282" s="4">
        <v>87</v>
      </c>
      <c r="T3282" s="4">
        <v>170</v>
      </c>
      <c r="U3282" s="5" t="s">
        <v>10752</v>
      </c>
      <c r="V3282" s="5" t="s">
        <v>4817</v>
      </c>
      <c r="W3282" s="5" t="s">
        <v>67</v>
      </c>
      <c r="X3282" s="5" t="s">
        <v>67</v>
      </c>
      <c r="Y3282" s="4">
        <v>647</v>
      </c>
      <c r="Z3282" s="4">
        <v>35</v>
      </c>
      <c r="AA3282" s="4">
        <v>101</v>
      </c>
      <c r="AB3282" s="4">
        <v>1</v>
      </c>
      <c r="AC3282" s="4">
        <v>13</v>
      </c>
      <c r="AD3282" s="4">
        <v>69</v>
      </c>
      <c r="AE3282" s="4">
        <v>162</v>
      </c>
      <c r="AF3282" s="4">
        <v>0</v>
      </c>
      <c r="AG3282" s="4">
        <v>8</v>
      </c>
      <c r="AH3282" s="4">
        <v>58</v>
      </c>
      <c r="AI3282" s="4">
        <v>115</v>
      </c>
      <c r="AJ3282" s="4">
        <v>11</v>
      </c>
      <c r="AK3282" s="4">
        <v>27</v>
      </c>
      <c r="AL3282" s="4">
        <v>32</v>
      </c>
      <c r="AM3282" s="4">
        <v>59</v>
      </c>
      <c r="AN3282" s="4">
        <v>0</v>
      </c>
      <c r="AO3282" s="4">
        <v>0</v>
      </c>
      <c r="AP3282" s="4">
        <v>16</v>
      </c>
      <c r="AQ3282" s="4">
        <v>56</v>
      </c>
      <c r="AR3282" s="3" t="s">
        <v>62</v>
      </c>
      <c r="AS3282" s="3" t="s">
        <v>62</v>
      </c>
      <c r="AT3282" s="3" t="s">
        <v>61</v>
      </c>
      <c r="AU3282" s="6" t="str">
        <f t="shared" si="44"/>
        <v>HathiTrust Record</v>
      </c>
      <c r="AV3282" s="6" t="str">
        <f>HYPERLINK("http://mcgill.on.worldcat.org/oclc/51817207","Catalog Record")</f>
        <v>Catalog Record</v>
      </c>
      <c r="AW3282" s="6" t="str">
        <f>HYPERLINK("http://www.worldcat.org/oclc/51817207","WorldCat Record")</f>
        <v>WorldCat Record</v>
      </c>
      <c r="AX3282" s="3" t="s">
        <v>31750</v>
      </c>
      <c r="AY3282" s="3" t="s">
        <v>31764</v>
      </c>
      <c r="AZ3282" s="3" t="s">
        <v>31765</v>
      </c>
      <c r="BA3282" s="3" t="s">
        <v>31765</v>
      </c>
      <c r="BB3282" s="3" t="s">
        <v>31766</v>
      </c>
      <c r="BC3282" s="3" t="s">
        <v>142</v>
      </c>
      <c r="BD3282" s="3" t="s">
        <v>8544</v>
      </c>
      <c r="BE3282" s="3" t="s">
        <v>31754</v>
      </c>
      <c r="BF3282" s="3" t="s">
        <v>31766</v>
      </c>
      <c r="BG3282" s="3" t="s">
        <v>31767</v>
      </c>
    </row>
    <row r="3283" spans="1:59" ht="57" x14ac:dyDescent="0.45">
      <c r="A3283" s="2" t="s">
        <v>59</v>
      </c>
      <c r="B3283" s="2" t="s">
        <v>60</v>
      </c>
      <c r="C3283" s="2" t="s">
        <v>31761</v>
      </c>
      <c r="D3283" s="2" t="s">
        <v>31762</v>
      </c>
      <c r="E3283" s="2" t="s">
        <v>31748</v>
      </c>
      <c r="G3283" s="3" t="s">
        <v>62</v>
      </c>
      <c r="I3283" s="3" t="s">
        <v>61</v>
      </c>
      <c r="J3283" s="3" t="s">
        <v>61</v>
      </c>
      <c r="K3283" s="3" t="s">
        <v>63</v>
      </c>
      <c r="L3283" s="2" t="s">
        <v>2314</v>
      </c>
      <c r="M3283" s="2" t="s">
        <v>31763</v>
      </c>
      <c r="N3283" s="3" t="s">
        <v>918</v>
      </c>
      <c r="P3283" s="3" t="s">
        <v>65</v>
      </c>
      <c r="R3283" s="3" t="s">
        <v>66</v>
      </c>
      <c r="S3283" s="4">
        <v>20</v>
      </c>
      <c r="T3283" s="4">
        <v>170</v>
      </c>
      <c r="U3283" s="5" t="s">
        <v>1749</v>
      </c>
      <c r="V3283" s="5" t="s">
        <v>4817</v>
      </c>
      <c r="W3283" s="5" t="s">
        <v>67</v>
      </c>
      <c r="X3283" s="5" t="s">
        <v>67</v>
      </c>
      <c r="Y3283" s="4">
        <v>647</v>
      </c>
      <c r="Z3283" s="4">
        <v>35</v>
      </c>
      <c r="AA3283" s="4">
        <v>101</v>
      </c>
      <c r="AB3283" s="4">
        <v>1</v>
      </c>
      <c r="AC3283" s="4">
        <v>13</v>
      </c>
      <c r="AD3283" s="4">
        <v>69</v>
      </c>
      <c r="AE3283" s="4">
        <v>162</v>
      </c>
      <c r="AF3283" s="4">
        <v>0</v>
      </c>
      <c r="AG3283" s="4">
        <v>8</v>
      </c>
      <c r="AH3283" s="4">
        <v>58</v>
      </c>
      <c r="AI3283" s="4">
        <v>115</v>
      </c>
      <c r="AJ3283" s="4">
        <v>11</v>
      </c>
      <c r="AK3283" s="4">
        <v>27</v>
      </c>
      <c r="AL3283" s="4">
        <v>32</v>
      </c>
      <c r="AM3283" s="4">
        <v>59</v>
      </c>
      <c r="AN3283" s="4">
        <v>0</v>
      </c>
      <c r="AO3283" s="4">
        <v>0</v>
      </c>
      <c r="AP3283" s="4">
        <v>16</v>
      </c>
      <c r="AQ3283" s="4">
        <v>56</v>
      </c>
      <c r="AR3283" s="3" t="s">
        <v>62</v>
      </c>
      <c r="AS3283" s="3" t="s">
        <v>62</v>
      </c>
      <c r="AT3283" s="3" t="s">
        <v>61</v>
      </c>
      <c r="AU3283" s="6" t="str">
        <f t="shared" si="44"/>
        <v>HathiTrust Record</v>
      </c>
      <c r="AV3283" s="6" t="str">
        <f>HYPERLINK("http://mcgill.on.worldcat.org/oclc/51817207","Catalog Record")</f>
        <v>Catalog Record</v>
      </c>
      <c r="AW3283" s="6" t="str">
        <f>HYPERLINK("http://www.worldcat.org/oclc/51817207","WorldCat Record")</f>
        <v>WorldCat Record</v>
      </c>
      <c r="AX3283" s="3" t="s">
        <v>31750</v>
      </c>
      <c r="AY3283" s="3" t="s">
        <v>31764</v>
      </c>
      <c r="AZ3283" s="3" t="s">
        <v>31765</v>
      </c>
      <c r="BA3283" s="3" t="s">
        <v>31765</v>
      </c>
      <c r="BB3283" s="3" t="s">
        <v>31768</v>
      </c>
      <c r="BC3283" s="3" t="s">
        <v>142</v>
      </c>
      <c r="BD3283" s="3" t="s">
        <v>308</v>
      </c>
      <c r="BE3283" s="3" t="s">
        <v>31754</v>
      </c>
      <c r="BF3283" s="3" t="s">
        <v>31768</v>
      </c>
      <c r="BG3283" s="3" t="s">
        <v>31769</v>
      </c>
    </row>
    <row r="3284" spans="1:59" ht="57" x14ac:dyDescent="0.45">
      <c r="A3284" s="2" t="s">
        <v>59</v>
      </c>
      <c r="B3284" s="2" t="s">
        <v>60</v>
      </c>
      <c r="C3284" s="2" t="s">
        <v>31761</v>
      </c>
      <c r="D3284" s="2" t="s">
        <v>31762</v>
      </c>
      <c r="E3284" s="2" t="s">
        <v>31748</v>
      </c>
      <c r="G3284" s="3" t="s">
        <v>62</v>
      </c>
      <c r="I3284" s="3" t="s">
        <v>61</v>
      </c>
      <c r="J3284" s="3" t="s">
        <v>61</v>
      </c>
      <c r="K3284" s="3" t="s">
        <v>63</v>
      </c>
      <c r="L3284" s="2" t="s">
        <v>2314</v>
      </c>
      <c r="M3284" s="2" t="s">
        <v>31763</v>
      </c>
      <c r="N3284" s="3" t="s">
        <v>918</v>
      </c>
      <c r="P3284" s="3" t="s">
        <v>65</v>
      </c>
      <c r="R3284" s="3" t="s">
        <v>66</v>
      </c>
      <c r="S3284" s="4">
        <v>35</v>
      </c>
      <c r="T3284" s="4">
        <v>170</v>
      </c>
      <c r="U3284" s="5" t="s">
        <v>1526</v>
      </c>
      <c r="V3284" s="5" t="s">
        <v>4817</v>
      </c>
      <c r="W3284" s="5" t="s">
        <v>67</v>
      </c>
      <c r="X3284" s="5" t="s">
        <v>67</v>
      </c>
      <c r="Y3284" s="4">
        <v>647</v>
      </c>
      <c r="Z3284" s="4">
        <v>35</v>
      </c>
      <c r="AA3284" s="4">
        <v>101</v>
      </c>
      <c r="AB3284" s="4">
        <v>1</v>
      </c>
      <c r="AC3284" s="4">
        <v>13</v>
      </c>
      <c r="AD3284" s="4">
        <v>69</v>
      </c>
      <c r="AE3284" s="4">
        <v>162</v>
      </c>
      <c r="AF3284" s="4">
        <v>0</v>
      </c>
      <c r="AG3284" s="4">
        <v>8</v>
      </c>
      <c r="AH3284" s="4">
        <v>58</v>
      </c>
      <c r="AI3284" s="4">
        <v>115</v>
      </c>
      <c r="AJ3284" s="4">
        <v>11</v>
      </c>
      <c r="AK3284" s="4">
        <v>27</v>
      </c>
      <c r="AL3284" s="4">
        <v>32</v>
      </c>
      <c r="AM3284" s="4">
        <v>59</v>
      </c>
      <c r="AN3284" s="4">
        <v>0</v>
      </c>
      <c r="AO3284" s="4">
        <v>0</v>
      </c>
      <c r="AP3284" s="4">
        <v>16</v>
      </c>
      <c r="AQ3284" s="4">
        <v>56</v>
      </c>
      <c r="AR3284" s="3" t="s">
        <v>62</v>
      </c>
      <c r="AS3284" s="3" t="s">
        <v>62</v>
      </c>
      <c r="AT3284" s="3" t="s">
        <v>61</v>
      </c>
      <c r="AU3284" s="6" t="str">
        <f t="shared" si="44"/>
        <v>HathiTrust Record</v>
      </c>
      <c r="AV3284" s="6" t="str">
        <f>HYPERLINK("http://mcgill.on.worldcat.org/oclc/51817207","Catalog Record")</f>
        <v>Catalog Record</v>
      </c>
      <c r="AW3284" s="6" t="str">
        <f>HYPERLINK("http://www.worldcat.org/oclc/51817207","WorldCat Record")</f>
        <v>WorldCat Record</v>
      </c>
      <c r="AX3284" s="3" t="s">
        <v>31750</v>
      </c>
      <c r="AY3284" s="3" t="s">
        <v>31764</v>
      </c>
      <c r="AZ3284" s="3" t="s">
        <v>31765</v>
      </c>
      <c r="BA3284" s="3" t="s">
        <v>31765</v>
      </c>
      <c r="BB3284" s="3" t="s">
        <v>31770</v>
      </c>
      <c r="BC3284" s="3" t="s">
        <v>142</v>
      </c>
      <c r="BD3284" s="3" t="s">
        <v>308</v>
      </c>
      <c r="BE3284" s="3" t="s">
        <v>31754</v>
      </c>
      <c r="BF3284" s="3" t="s">
        <v>31770</v>
      </c>
      <c r="BG3284" s="3" t="s">
        <v>31771</v>
      </c>
    </row>
    <row r="3285" spans="1:59" ht="57" x14ac:dyDescent="0.45">
      <c r="A3285" s="2" t="s">
        <v>59</v>
      </c>
      <c r="B3285" s="2" t="s">
        <v>60</v>
      </c>
      <c r="C3285" s="2" t="s">
        <v>31761</v>
      </c>
      <c r="D3285" s="2" t="s">
        <v>31762</v>
      </c>
      <c r="E3285" s="2" t="s">
        <v>31748</v>
      </c>
      <c r="G3285" s="3" t="s">
        <v>62</v>
      </c>
      <c r="I3285" s="3" t="s">
        <v>61</v>
      </c>
      <c r="J3285" s="3" t="s">
        <v>61</v>
      </c>
      <c r="K3285" s="3" t="s">
        <v>63</v>
      </c>
      <c r="L3285" s="2" t="s">
        <v>2314</v>
      </c>
      <c r="M3285" s="2" t="s">
        <v>31763</v>
      </c>
      <c r="N3285" s="3" t="s">
        <v>918</v>
      </c>
      <c r="P3285" s="3" t="s">
        <v>65</v>
      </c>
      <c r="R3285" s="3" t="s">
        <v>66</v>
      </c>
      <c r="S3285" s="4">
        <v>13</v>
      </c>
      <c r="T3285" s="4">
        <v>170</v>
      </c>
      <c r="U3285" s="5" t="s">
        <v>31772</v>
      </c>
      <c r="V3285" s="5" t="s">
        <v>4817</v>
      </c>
      <c r="W3285" s="5" t="s">
        <v>67</v>
      </c>
      <c r="X3285" s="5" t="s">
        <v>67</v>
      </c>
      <c r="Y3285" s="4">
        <v>647</v>
      </c>
      <c r="Z3285" s="4">
        <v>35</v>
      </c>
      <c r="AA3285" s="4">
        <v>101</v>
      </c>
      <c r="AB3285" s="4">
        <v>1</v>
      </c>
      <c r="AC3285" s="4">
        <v>13</v>
      </c>
      <c r="AD3285" s="4">
        <v>69</v>
      </c>
      <c r="AE3285" s="4">
        <v>162</v>
      </c>
      <c r="AF3285" s="4">
        <v>0</v>
      </c>
      <c r="AG3285" s="4">
        <v>8</v>
      </c>
      <c r="AH3285" s="4">
        <v>58</v>
      </c>
      <c r="AI3285" s="4">
        <v>115</v>
      </c>
      <c r="AJ3285" s="4">
        <v>11</v>
      </c>
      <c r="AK3285" s="4">
        <v>27</v>
      </c>
      <c r="AL3285" s="4">
        <v>32</v>
      </c>
      <c r="AM3285" s="4">
        <v>59</v>
      </c>
      <c r="AN3285" s="4">
        <v>0</v>
      </c>
      <c r="AO3285" s="4">
        <v>0</v>
      </c>
      <c r="AP3285" s="4">
        <v>16</v>
      </c>
      <c r="AQ3285" s="4">
        <v>56</v>
      </c>
      <c r="AR3285" s="3" t="s">
        <v>62</v>
      </c>
      <c r="AS3285" s="3" t="s">
        <v>62</v>
      </c>
      <c r="AT3285" s="3" t="s">
        <v>61</v>
      </c>
      <c r="AU3285" s="6" t="str">
        <f t="shared" si="44"/>
        <v>HathiTrust Record</v>
      </c>
      <c r="AV3285" s="6" t="str">
        <f>HYPERLINK("http://mcgill.on.worldcat.org/oclc/51817207","Catalog Record")</f>
        <v>Catalog Record</v>
      </c>
      <c r="AW3285" s="6" t="str">
        <f>HYPERLINK("http://www.worldcat.org/oclc/51817207","WorldCat Record")</f>
        <v>WorldCat Record</v>
      </c>
      <c r="AX3285" s="3" t="s">
        <v>31750</v>
      </c>
      <c r="AY3285" s="3" t="s">
        <v>31764</v>
      </c>
      <c r="AZ3285" s="3" t="s">
        <v>31765</v>
      </c>
      <c r="BA3285" s="3" t="s">
        <v>31765</v>
      </c>
      <c r="BB3285" s="3" t="s">
        <v>31773</v>
      </c>
      <c r="BC3285" s="3" t="s">
        <v>142</v>
      </c>
      <c r="BD3285" s="3" t="s">
        <v>308</v>
      </c>
      <c r="BE3285" s="3" t="s">
        <v>31754</v>
      </c>
      <c r="BF3285" s="3" t="s">
        <v>31773</v>
      </c>
      <c r="BG3285" s="3" t="s">
        <v>31774</v>
      </c>
    </row>
    <row r="3286" spans="1:59" ht="57" x14ac:dyDescent="0.45">
      <c r="A3286" s="2" t="s">
        <v>59</v>
      </c>
      <c r="B3286" s="2" t="s">
        <v>60</v>
      </c>
      <c r="C3286" s="2" t="s">
        <v>31761</v>
      </c>
      <c r="D3286" s="2" t="s">
        <v>31762</v>
      </c>
      <c r="E3286" s="2" t="s">
        <v>31748</v>
      </c>
      <c r="G3286" s="3" t="s">
        <v>62</v>
      </c>
      <c r="I3286" s="3" t="s">
        <v>61</v>
      </c>
      <c r="J3286" s="3" t="s">
        <v>61</v>
      </c>
      <c r="K3286" s="3" t="s">
        <v>63</v>
      </c>
      <c r="L3286" s="2" t="s">
        <v>2314</v>
      </c>
      <c r="M3286" s="2" t="s">
        <v>31763</v>
      </c>
      <c r="N3286" s="3" t="s">
        <v>918</v>
      </c>
      <c r="P3286" s="3" t="s">
        <v>65</v>
      </c>
      <c r="R3286" s="3" t="s">
        <v>66</v>
      </c>
      <c r="S3286" s="4">
        <v>15</v>
      </c>
      <c r="T3286" s="4">
        <v>170</v>
      </c>
      <c r="U3286" s="5" t="s">
        <v>4817</v>
      </c>
      <c r="V3286" s="5" t="s">
        <v>4817</v>
      </c>
      <c r="W3286" s="5" t="s">
        <v>67</v>
      </c>
      <c r="X3286" s="5" t="s">
        <v>67</v>
      </c>
      <c r="Y3286" s="4">
        <v>647</v>
      </c>
      <c r="Z3286" s="4">
        <v>35</v>
      </c>
      <c r="AA3286" s="4">
        <v>101</v>
      </c>
      <c r="AB3286" s="4">
        <v>1</v>
      </c>
      <c r="AC3286" s="4">
        <v>13</v>
      </c>
      <c r="AD3286" s="4">
        <v>69</v>
      </c>
      <c r="AE3286" s="4">
        <v>162</v>
      </c>
      <c r="AF3286" s="4">
        <v>0</v>
      </c>
      <c r="AG3286" s="4">
        <v>8</v>
      </c>
      <c r="AH3286" s="4">
        <v>58</v>
      </c>
      <c r="AI3286" s="4">
        <v>115</v>
      </c>
      <c r="AJ3286" s="4">
        <v>11</v>
      </c>
      <c r="AK3286" s="4">
        <v>27</v>
      </c>
      <c r="AL3286" s="4">
        <v>32</v>
      </c>
      <c r="AM3286" s="4">
        <v>59</v>
      </c>
      <c r="AN3286" s="4">
        <v>0</v>
      </c>
      <c r="AO3286" s="4">
        <v>0</v>
      </c>
      <c r="AP3286" s="4">
        <v>16</v>
      </c>
      <c r="AQ3286" s="4">
        <v>56</v>
      </c>
      <c r="AR3286" s="3" t="s">
        <v>62</v>
      </c>
      <c r="AS3286" s="3" t="s">
        <v>62</v>
      </c>
      <c r="AT3286" s="3" t="s">
        <v>61</v>
      </c>
      <c r="AU3286" s="6" t="str">
        <f t="shared" si="44"/>
        <v>HathiTrust Record</v>
      </c>
      <c r="AV3286" s="6" t="str">
        <f>HYPERLINK("http://mcgill.on.worldcat.org/oclc/51817207","Catalog Record")</f>
        <v>Catalog Record</v>
      </c>
      <c r="AW3286" s="6" t="str">
        <f>HYPERLINK("http://www.worldcat.org/oclc/51817207","WorldCat Record")</f>
        <v>WorldCat Record</v>
      </c>
      <c r="AX3286" s="3" t="s">
        <v>31750</v>
      </c>
      <c r="AY3286" s="3" t="s">
        <v>31764</v>
      </c>
      <c r="AZ3286" s="3" t="s">
        <v>31765</v>
      </c>
      <c r="BA3286" s="3" t="s">
        <v>31765</v>
      </c>
      <c r="BB3286" s="3" t="s">
        <v>31775</v>
      </c>
      <c r="BC3286" s="3" t="s">
        <v>142</v>
      </c>
      <c r="BD3286" s="3" t="s">
        <v>308</v>
      </c>
      <c r="BE3286" s="3" t="s">
        <v>31754</v>
      </c>
      <c r="BF3286" s="3" t="s">
        <v>31775</v>
      </c>
      <c r="BG3286" s="3" t="s">
        <v>31776</v>
      </c>
    </row>
    <row r="3287" spans="1:59" ht="57" x14ac:dyDescent="0.45">
      <c r="A3287" s="2" t="s">
        <v>59</v>
      </c>
      <c r="B3287" s="2" t="s">
        <v>60</v>
      </c>
      <c r="C3287" s="2" t="s">
        <v>31777</v>
      </c>
      <c r="D3287" s="2" t="s">
        <v>31778</v>
      </c>
      <c r="E3287" s="2" t="s">
        <v>31779</v>
      </c>
      <c r="G3287" s="3" t="s">
        <v>62</v>
      </c>
      <c r="I3287" s="3" t="s">
        <v>62</v>
      </c>
      <c r="J3287" s="3" t="s">
        <v>62</v>
      </c>
      <c r="K3287" s="3" t="s">
        <v>63</v>
      </c>
      <c r="M3287" s="2" t="s">
        <v>7075</v>
      </c>
      <c r="N3287" s="3" t="s">
        <v>1437</v>
      </c>
      <c r="P3287" s="3" t="s">
        <v>65</v>
      </c>
      <c r="R3287" s="3" t="s">
        <v>66</v>
      </c>
      <c r="S3287" s="4">
        <v>13</v>
      </c>
      <c r="T3287" s="4">
        <v>13</v>
      </c>
      <c r="U3287" s="5" t="s">
        <v>31780</v>
      </c>
      <c r="V3287" s="5" t="s">
        <v>31780</v>
      </c>
      <c r="W3287" s="5" t="s">
        <v>67</v>
      </c>
      <c r="X3287" s="5" t="s">
        <v>67</v>
      </c>
      <c r="Y3287" s="4">
        <v>382</v>
      </c>
      <c r="Z3287" s="4">
        <v>27</v>
      </c>
      <c r="AA3287" s="4">
        <v>30</v>
      </c>
      <c r="AB3287" s="4">
        <v>2</v>
      </c>
      <c r="AC3287" s="4">
        <v>4</v>
      </c>
      <c r="AD3287" s="4">
        <v>109</v>
      </c>
      <c r="AE3287" s="4">
        <v>113</v>
      </c>
      <c r="AF3287" s="4">
        <v>1</v>
      </c>
      <c r="AG3287" s="4">
        <v>3</v>
      </c>
      <c r="AH3287" s="4">
        <v>95</v>
      </c>
      <c r="AI3287" s="4">
        <v>98</v>
      </c>
      <c r="AJ3287" s="4">
        <v>17</v>
      </c>
      <c r="AK3287" s="4">
        <v>20</v>
      </c>
      <c r="AL3287" s="4">
        <v>52</v>
      </c>
      <c r="AM3287" s="4">
        <v>53</v>
      </c>
      <c r="AN3287" s="4">
        <v>0</v>
      </c>
      <c r="AO3287" s="4">
        <v>0</v>
      </c>
      <c r="AP3287" s="4">
        <v>22</v>
      </c>
      <c r="AQ3287" s="4">
        <v>24</v>
      </c>
      <c r="AR3287" s="3" t="s">
        <v>62</v>
      </c>
      <c r="AS3287" s="3" t="s">
        <v>62</v>
      </c>
      <c r="AT3287" s="3" t="s">
        <v>61</v>
      </c>
      <c r="AU3287" s="6" t="str">
        <f>HYPERLINK("http://catalog.hathitrust.org/Record/003982777","HathiTrust Record")</f>
        <v>HathiTrust Record</v>
      </c>
      <c r="AV3287" s="6" t="str">
        <f>HYPERLINK("http://mcgill.on.worldcat.org/oclc/37712916","Catalog Record")</f>
        <v>Catalog Record</v>
      </c>
      <c r="AW3287" s="6" t="str">
        <f>HYPERLINK("http://www.worldcat.org/oclc/37712916","WorldCat Record")</f>
        <v>WorldCat Record</v>
      </c>
      <c r="AX3287" s="3" t="s">
        <v>31781</v>
      </c>
      <c r="AY3287" s="3" t="s">
        <v>31782</v>
      </c>
      <c r="AZ3287" s="3" t="s">
        <v>31783</v>
      </c>
      <c r="BA3287" s="3" t="s">
        <v>31783</v>
      </c>
      <c r="BB3287" s="3" t="s">
        <v>31784</v>
      </c>
      <c r="BC3287" s="3" t="s">
        <v>142</v>
      </c>
      <c r="BD3287" s="3" t="s">
        <v>68</v>
      </c>
      <c r="BE3287" s="3" t="s">
        <v>31785</v>
      </c>
      <c r="BF3287" s="3" t="s">
        <v>31784</v>
      </c>
      <c r="BG3287" s="3" t="s">
        <v>31786</v>
      </c>
    </row>
    <row r="3288" spans="1:59" ht="57" x14ac:dyDescent="0.45">
      <c r="A3288" s="2" t="s">
        <v>59</v>
      </c>
      <c r="B3288" s="2" t="s">
        <v>412</v>
      </c>
      <c r="C3288" s="2" t="s">
        <v>31787</v>
      </c>
      <c r="D3288" s="2" t="s">
        <v>31788</v>
      </c>
      <c r="E3288" s="2" t="s">
        <v>31789</v>
      </c>
      <c r="G3288" s="3" t="s">
        <v>62</v>
      </c>
      <c r="I3288" s="3" t="s">
        <v>62</v>
      </c>
      <c r="J3288" s="3" t="s">
        <v>62</v>
      </c>
      <c r="K3288" s="3" t="s">
        <v>63</v>
      </c>
      <c r="M3288" s="2" t="s">
        <v>15003</v>
      </c>
      <c r="N3288" s="3" t="s">
        <v>568</v>
      </c>
      <c r="P3288" s="3" t="s">
        <v>65</v>
      </c>
      <c r="Q3288" s="2" t="s">
        <v>31790</v>
      </c>
      <c r="R3288" s="3" t="s">
        <v>66</v>
      </c>
      <c r="S3288" s="4">
        <v>8</v>
      </c>
      <c r="T3288" s="4">
        <v>8</v>
      </c>
      <c r="U3288" s="5" t="s">
        <v>5011</v>
      </c>
      <c r="V3288" s="5" t="s">
        <v>5011</v>
      </c>
      <c r="W3288" s="5" t="s">
        <v>67</v>
      </c>
      <c r="X3288" s="5" t="s">
        <v>67</v>
      </c>
      <c r="Y3288" s="4">
        <v>203</v>
      </c>
      <c r="Z3288" s="4">
        <v>15</v>
      </c>
      <c r="AA3288" s="4">
        <v>59</v>
      </c>
      <c r="AB3288" s="4">
        <v>2</v>
      </c>
      <c r="AC3288" s="4">
        <v>17</v>
      </c>
      <c r="AD3288" s="4">
        <v>60</v>
      </c>
      <c r="AE3288" s="4">
        <v>96</v>
      </c>
      <c r="AF3288" s="4">
        <v>1</v>
      </c>
      <c r="AG3288" s="4">
        <v>8</v>
      </c>
      <c r="AH3288" s="4">
        <v>53</v>
      </c>
      <c r="AI3288" s="4">
        <v>58</v>
      </c>
      <c r="AJ3288" s="4">
        <v>12</v>
      </c>
      <c r="AK3288" s="4">
        <v>23</v>
      </c>
      <c r="AL3288" s="4">
        <v>34</v>
      </c>
      <c r="AM3288" s="4">
        <v>34</v>
      </c>
      <c r="AN3288" s="4">
        <v>0</v>
      </c>
      <c r="AO3288" s="4">
        <v>0</v>
      </c>
      <c r="AP3288" s="4">
        <v>13</v>
      </c>
      <c r="AQ3288" s="4">
        <v>46</v>
      </c>
      <c r="AR3288" s="3" t="s">
        <v>62</v>
      </c>
      <c r="AS3288" s="3" t="s">
        <v>62</v>
      </c>
      <c r="AT3288" s="3" t="s">
        <v>62</v>
      </c>
      <c r="AV3288" s="6" t="str">
        <f>HYPERLINK("http://mcgill.on.worldcat.org/oclc/14165551","Catalog Record")</f>
        <v>Catalog Record</v>
      </c>
      <c r="AW3288" s="6" t="str">
        <f>HYPERLINK("http://www.worldcat.org/oclc/14165551","WorldCat Record")</f>
        <v>WorldCat Record</v>
      </c>
      <c r="AX3288" s="3" t="s">
        <v>31791</v>
      </c>
      <c r="AY3288" s="3" t="s">
        <v>31792</v>
      </c>
      <c r="AZ3288" s="3" t="s">
        <v>31793</v>
      </c>
      <c r="BA3288" s="3" t="s">
        <v>31793</v>
      </c>
      <c r="BB3288" s="3" t="s">
        <v>31794</v>
      </c>
      <c r="BC3288" s="3" t="s">
        <v>142</v>
      </c>
      <c r="BD3288" s="3" t="s">
        <v>68</v>
      </c>
      <c r="BE3288" s="3" t="s">
        <v>31795</v>
      </c>
      <c r="BF3288" s="3" t="s">
        <v>31794</v>
      </c>
      <c r="BG3288" s="3" t="s">
        <v>31796</v>
      </c>
    </row>
    <row r="3289" spans="1:59" ht="57" x14ac:dyDescent="0.45">
      <c r="A3289" s="2" t="s">
        <v>59</v>
      </c>
      <c r="B3289" s="2" t="s">
        <v>60</v>
      </c>
      <c r="C3289" s="2" t="s">
        <v>31797</v>
      </c>
      <c r="D3289" s="2" t="s">
        <v>31798</v>
      </c>
      <c r="E3289" s="2" t="s">
        <v>31799</v>
      </c>
      <c r="G3289" s="3" t="s">
        <v>62</v>
      </c>
      <c r="I3289" s="3" t="s">
        <v>62</v>
      </c>
      <c r="J3289" s="3" t="s">
        <v>62</v>
      </c>
      <c r="K3289" s="3" t="s">
        <v>63</v>
      </c>
      <c r="L3289" s="2" t="s">
        <v>29968</v>
      </c>
      <c r="M3289" s="2" t="s">
        <v>31800</v>
      </c>
      <c r="N3289" s="3" t="s">
        <v>529</v>
      </c>
      <c r="P3289" s="3" t="s">
        <v>65</v>
      </c>
      <c r="R3289" s="3" t="s">
        <v>66</v>
      </c>
      <c r="S3289" s="4">
        <v>20</v>
      </c>
      <c r="T3289" s="4">
        <v>20</v>
      </c>
      <c r="U3289" s="5" t="s">
        <v>12086</v>
      </c>
      <c r="V3289" s="5" t="s">
        <v>12086</v>
      </c>
      <c r="W3289" s="5" t="s">
        <v>67</v>
      </c>
      <c r="X3289" s="5" t="s">
        <v>67</v>
      </c>
      <c r="Y3289" s="4">
        <v>241</v>
      </c>
      <c r="Z3289" s="4">
        <v>9</v>
      </c>
      <c r="AA3289" s="4">
        <v>18</v>
      </c>
      <c r="AB3289" s="4">
        <v>1</v>
      </c>
      <c r="AC3289" s="4">
        <v>4</v>
      </c>
      <c r="AD3289" s="4">
        <v>58</v>
      </c>
      <c r="AE3289" s="4">
        <v>96</v>
      </c>
      <c r="AF3289" s="4">
        <v>0</v>
      </c>
      <c r="AG3289" s="4">
        <v>0</v>
      </c>
      <c r="AH3289" s="4">
        <v>54</v>
      </c>
      <c r="AI3289" s="4">
        <v>89</v>
      </c>
      <c r="AJ3289" s="4">
        <v>6</v>
      </c>
      <c r="AK3289" s="4">
        <v>11</v>
      </c>
      <c r="AL3289" s="4">
        <v>24</v>
      </c>
      <c r="AM3289" s="4">
        <v>48</v>
      </c>
      <c r="AN3289" s="4">
        <v>0</v>
      </c>
      <c r="AO3289" s="4">
        <v>0</v>
      </c>
      <c r="AP3289" s="4">
        <v>7</v>
      </c>
      <c r="AQ3289" s="4">
        <v>12</v>
      </c>
      <c r="AR3289" s="3" t="s">
        <v>62</v>
      </c>
      <c r="AS3289" s="3" t="s">
        <v>62</v>
      </c>
      <c r="AT3289" s="3" t="s">
        <v>62</v>
      </c>
      <c r="AV3289" s="6" t="str">
        <f>HYPERLINK("http://mcgill.on.worldcat.org/oclc/12262766","Catalog Record")</f>
        <v>Catalog Record</v>
      </c>
      <c r="AW3289" s="6" t="str">
        <f>HYPERLINK("http://www.worldcat.org/oclc/12262766","WorldCat Record")</f>
        <v>WorldCat Record</v>
      </c>
      <c r="AX3289" s="3" t="s">
        <v>31801</v>
      </c>
      <c r="AY3289" s="3" t="s">
        <v>31802</v>
      </c>
      <c r="AZ3289" s="3" t="s">
        <v>31803</v>
      </c>
      <c r="BA3289" s="3" t="s">
        <v>31803</v>
      </c>
      <c r="BB3289" s="3" t="s">
        <v>31804</v>
      </c>
      <c r="BC3289" s="3" t="s">
        <v>142</v>
      </c>
      <c r="BD3289" s="3" t="s">
        <v>308</v>
      </c>
      <c r="BE3289" s="3" t="s">
        <v>31805</v>
      </c>
      <c r="BF3289" s="3" t="s">
        <v>31804</v>
      </c>
      <c r="BG3289" s="3" t="s">
        <v>31806</v>
      </c>
    </row>
    <row r="3290" spans="1:59" ht="57" x14ac:dyDescent="0.45">
      <c r="A3290" s="2" t="s">
        <v>59</v>
      </c>
      <c r="B3290" s="2" t="s">
        <v>60</v>
      </c>
      <c r="C3290" s="2" t="s">
        <v>31807</v>
      </c>
      <c r="D3290" s="2" t="s">
        <v>31808</v>
      </c>
      <c r="E3290" s="2" t="s">
        <v>31809</v>
      </c>
      <c r="G3290" s="3" t="s">
        <v>62</v>
      </c>
      <c r="I3290" s="3" t="s">
        <v>62</v>
      </c>
      <c r="J3290" s="3" t="s">
        <v>62</v>
      </c>
      <c r="K3290" s="3" t="s">
        <v>63</v>
      </c>
      <c r="L3290" s="2" t="s">
        <v>31810</v>
      </c>
      <c r="M3290" s="2" t="s">
        <v>31811</v>
      </c>
      <c r="N3290" s="3" t="s">
        <v>1155</v>
      </c>
      <c r="P3290" s="3" t="s">
        <v>65</v>
      </c>
      <c r="R3290" s="3" t="s">
        <v>66</v>
      </c>
      <c r="S3290" s="4">
        <v>2</v>
      </c>
      <c r="T3290" s="4">
        <v>2</v>
      </c>
      <c r="U3290" s="5" t="s">
        <v>31812</v>
      </c>
      <c r="V3290" s="5" t="s">
        <v>31812</v>
      </c>
      <c r="W3290" s="5" t="s">
        <v>67</v>
      </c>
      <c r="X3290" s="5" t="s">
        <v>67</v>
      </c>
      <c r="Y3290" s="4">
        <v>83</v>
      </c>
      <c r="Z3290" s="4">
        <v>15</v>
      </c>
      <c r="AA3290" s="4">
        <v>27</v>
      </c>
      <c r="AB3290" s="4">
        <v>1</v>
      </c>
      <c r="AC3290" s="4">
        <v>4</v>
      </c>
      <c r="AD3290" s="4">
        <v>40</v>
      </c>
      <c r="AE3290" s="4">
        <v>57</v>
      </c>
      <c r="AF3290" s="4">
        <v>0</v>
      </c>
      <c r="AG3290" s="4">
        <v>0</v>
      </c>
      <c r="AH3290" s="4">
        <v>36</v>
      </c>
      <c r="AI3290" s="4">
        <v>50</v>
      </c>
      <c r="AJ3290" s="4">
        <v>12</v>
      </c>
      <c r="AK3290" s="4">
        <v>13</v>
      </c>
      <c r="AL3290" s="4">
        <v>21</v>
      </c>
      <c r="AM3290" s="4">
        <v>31</v>
      </c>
      <c r="AN3290" s="4">
        <v>0</v>
      </c>
      <c r="AO3290" s="4">
        <v>0</v>
      </c>
      <c r="AP3290" s="4">
        <v>12</v>
      </c>
      <c r="AQ3290" s="4">
        <v>15</v>
      </c>
      <c r="AR3290" s="3" t="s">
        <v>62</v>
      </c>
      <c r="AS3290" s="3" t="s">
        <v>62</v>
      </c>
      <c r="AT3290" s="3" t="s">
        <v>62</v>
      </c>
      <c r="AV3290" s="6" t="str">
        <f>HYPERLINK("http://mcgill.on.worldcat.org/oclc/793187654","Catalog Record")</f>
        <v>Catalog Record</v>
      </c>
      <c r="AW3290" s="6" t="str">
        <f>HYPERLINK("http://www.worldcat.org/oclc/793187654","WorldCat Record")</f>
        <v>WorldCat Record</v>
      </c>
      <c r="AX3290" s="3" t="s">
        <v>31813</v>
      </c>
      <c r="AY3290" s="3" t="s">
        <v>31814</v>
      </c>
      <c r="AZ3290" s="3" t="s">
        <v>31815</v>
      </c>
      <c r="BA3290" s="3" t="s">
        <v>31815</v>
      </c>
      <c r="BB3290" s="3" t="s">
        <v>31816</v>
      </c>
      <c r="BC3290" s="3" t="s">
        <v>142</v>
      </c>
      <c r="BD3290" s="3" t="s">
        <v>68</v>
      </c>
      <c r="BE3290" s="3" t="s">
        <v>31817</v>
      </c>
      <c r="BF3290" s="3" t="s">
        <v>31816</v>
      </c>
      <c r="BG3290" s="3" t="s">
        <v>31818</v>
      </c>
    </row>
    <row r="3291" spans="1:59" ht="57" x14ac:dyDescent="0.45">
      <c r="A3291" s="2" t="s">
        <v>59</v>
      </c>
      <c r="B3291" s="2" t="s">
        <v>60</v>
      </c>
      <c r="C3291" s="2" t="s">
        <v>31819</v>
      </c>
      <c r="D3291" s="2" t="s">
        <v>31820</v>
      </c>
      <c r="E3291" s="2" t="s">
        <v>31821</v>
      </c>
      <c r="G3291" s="3" t="s">
        <v>62</v>
      </c>
      <c r="I3291" s="3" t="s">
        <v>62</v>
      </c>
      <c r="J3291" s="3" t="s">
        <v>62</v>
      </c>
      <c r="K3291" s="3" t="s">
        <v>63</v>
      </c>
      <c r="L3291" s="2" t="s">
        <v>31822</v>
      </c>
      <c r="M3291" s="2" t="s">
        <v>31823</v>
      </c>
      <c r="N3291" s="3" t="s">
        <v>495</v>
      </c>
      <c r="P3291" s="3" t="s">
        <v>65</v>
      </c>
      <c r="R3291" s="3" t="s">
        <v>66</v>
      </c>
      <c r="S3291" s="4">
        <v>4</v>
      </c>
      <c r="T3291" s="4">
        <v>4</v>
      </c>
      <c r="U3291" s="5" t="s">
        <v>19395</v>
      </c>
      <c r="V3291" s="5" t="s">
        <v>19395</v>
      </c>
      <c r="W3291" s="5" t="s">
        <v>67</v>
      </c>
      <c r="X3291" s="5" t="s">
        <v>67</v>
      </c>
      <c r="Y3291" s="4">
        <v>461</v>
      </c>
      <c r="Z3291" s="4">
        <v>27</v>
      </c>
      <c r="AA3291" s="4">
        <v>31</v>
      </c>
      <c r="AB3291" s="4">
        <v>1</v>
      </c>
      <c r="AC3291" s="4">
        <v>4</v>
      </c>
      <c r="AD3291" s="4">
        <v>83</v>
      </c>
      <c r="AE3291" s="4">
        <v>87</v>
      </c>
      <c r="AF3291" s="4">
        <v>0</v>
      </c>
      <c r="AG3291" s="4">
        <v>3</v>
      </c>
      <c r="AH3291" s="4">
        <v>72</v>
      </c>
      <c r="AI3291" s="4">
        <v>73</v>
      </c>
      <c r="AJ3291" s="4">
        <v>14</v>
      </c>
      <c r="AK3291" s="4">
        <v>17</v>
      </c>
      <c r="AL3291" s="4">
        <v>34</v>
      </c>
      <c r="AM3291" s="4">
        <v>34</v>
      </c>
      <c r="AN3291" s="4">
        <v>5</v>
      </c>
      <c r="AO3291" s="4">
        <v>5</v>
      </c>
      <c r="AP3291" s="4">
        <v>21</v>
      </c>
      <c r="AQ3291" s="4">
        <v>24</v>
      </c>
      <c r="AR3291" s="3" t="s">
        <v>62</v>
      </c>
      <c r="AS3291" s="3" t="s">
        <v>62</v>
      </c>
      <c r="AT3291" s="3" t="s">
        <v>61</v>
      </c>
      <c r="AU3291" s="6" t="str">
        <f>HYPERLINK("http://catalog.hathitrust.org/Record/102178205","HathiTrust Record")</f>
        <v>HathiTrust Record</v>
      </c>
      <c r="AV3291" s="6" t="str">
        <f>HYPERLINK("http://mcgill.on.worldcat.org/oclc/1093548","Catalog Record")</f>
        <v>Catalog Record</v>
      </c>
      <c r="AW3291" s="6" t="str">
        <f>HYPERLINK("http://www.worldcat.org/oclc/1093548","WorldCat Record")</f>
        <v>WorldCat Record</v>
      </c>
      <c r="AX3291" s="3" t="s">
        <v>31824</v>
      </c>
      <c r="AY3291" s="3" t="s">
        <v>31825</v>
      </c>
      <c r="AZ3291" s="3" t="s">
        <v>31826</v>
      </c>
      <c r="BA3291" s="3" t="s">
        <v>31826</v>
      </c>
      <c r="BB3291" s="3" t="s">
        <v>31827</v>
      </c>
      <c r="BC3291" s="3" t="s">
        <v>142</v>
      </c>
      <c r="BD3291" s="3" t="s">
        <v>68</v>
      </c>
      <c r="BE3291" s="3" t="s">
        <v>31828</v>
      </c>
      <c r="BF3291" s="3" t="s">
        <v>31827</v>
      </c>
      <c r="BG3291" s="3" t="s">
        <v>31829</v>
      </c>
    </row>
    <row r="3292" spans="1:59" ht="57" x14ac:dyDescent="0.45">
      <c r="A3292" s="2" t="s">
        <v>59</v>
      </c>
      <c r="B3292" s="2" t="s">
        <v>60</v>
      </c>
      <c r="C3292" s="2" t="s">
        <v>31830</v>
      </c>
      <c r="D3292" s="2" t="s">
        <v>31831</v>
      </c>
      <c r="E3292" s="2" t="s">
        <v>31832</v>
      </c>
      <c r="G3292" s="3" t="s">
        <v>62</v>
      </c>
      <c r="I3292" s="3" t="s">
        <v>62</v>
      </c>
      <c r="J3292" s="3" t="s">
        <v>62</v>
      </c>
      <c r="K3292" s="3" t="s">
        <v>63</v>
      </c>
      <c r="L3292" s="2" t="s">
        <v>31833</v>
      </c>
      <c r="M3292" s="2" t="s">
        <v>17930</v>
      </c>
      <c r="N3292" s="3" t="s">
        <v>1253</v>
      </c>
      <c r="P3292" s="3" t="s">
        <v>65</v>
      </c>
      <c r="R3292" s="3" t="s">
        <v>66</v>
      </c>
      <c r="S3292" s="4">
        <v>19</v>
      </c>
      <c r="T3292" s="4">
        <v>19</v>
      </c>
      <c r="U3292" s="5" t="s">
        <v>4265</v>
      </c>
      <c r="V3292" s="5" t="s">
        <v>4265</v>
      </c>
      <c r="W3292" s="5" t="s">
        <v>67</v>
      </c>
      <c r="X3292" s="5" t="s">
        <v>67</v>
      </c>
      <c r="Y3292" s="4">
        <v>247</v>
      </c>
      <c r="Z3292" s="4">
        <v>17</v>
      </c>
      <c r="AA3292" s="4">
        <v>28</v>
      </c>
      <c r="AB3292" s="4">
        <v>2</v>
      </c>
      <c r="AC3292" s="4">
        <v>4</v>
      </c>
      <c r="AD3292" s="4">
        <v>87</v>
      </c>
      <c r="AE3292" s="4">
        <v>99</v>
      </c>
      <c r="AF3292" s="4">
        <v>1</v>
      </c>
      <c r="AG3292" s="4">
        <v>3</v>
      </c>
      <c r="AH3292" s="4">
        <v>78</v>
      </c>
      <c r="AI3292" s="4">
        <v>82</v>
      </c>
      <c r="AJ3292" s="4">
        <v>11</v>
      </c>
      <c r="AK3292" s="4">
        <v>17</v>
      </c>
      <c r="AL3292" s="4">
        <v>46</v>
      </c>
      <c r="AM3292" s="4">
        <v>46</v>
      </c>
      <c r="AN3292" s="4">
        <v>0</v>
      </c>
      <c r="AO3292" s="4">
        <v>0</v>
      </c>
      <c r="AP3292" s="4">
        <v>13</v>
      </c>
      <c r="AQ3292" s="4">
        <v>24</v>
      </c>
      <c r="AR3292" s="3" t="s">
        <v>62</v>
      </c>
      <c r="AS3292" s="3" t="s">
        <v>62</v>
      </c>
      <c r="AT3292" s="3" t="s">
        <v>61</v>
      </c>
      <c r="AU3292" s="6" t="str">
        <f>HYPERLINK("http://catalog.hathitrust.org/Record/003184758","HathiTrust Record")</f>
        <v>HathiTrust Record</v>
      </c>
      <c r="AV3292" s="6" t="str">
        <f>HYPERLINK("http://mcgill.on.worldcat.org/oclc/36301513","Catalog Record")</f>
        <v>Catalog Record</v>
      </c>
      <c r="AW3292" s="6" t="str">
        <f>HYPERLINK("http://www.worldcat.org/oclc/36301513","WorldCat Record")</f>
        <v>WorldCat Record</v>
      </c>
      <c r="AX3292" s="3" t="s">
        <v>31834</v>
      </c>
      <c r="AY3292" s="3" t="s">
        <v>31835</v>
      </c>
      <c r="AZ3292" s="3" t="s">
        <v>31836</v>
      </c>
      <c r="BA3292" s="3" t="s">
        <v>31836</v>
      </c>
      <c r="BB3292" s="3" t="s">
        <v>31837</v>
      </c>
      <c r="BC3292" s="3" t="s">
        <v>142</v>
      </c>
      <c r="BD3292" s="3" t="s">
        <v>308</v>
      </c>
      <c r="BE3292" s="3" t="s">
        <v>31838</v>
      </c>
      <c r="BF3292" s="3" t="s">
        <v>31837</v>
      </c>
      <c r="BG3292" s="3" t="s">
        <v>31839</v>
      </c>
    </row>
    <row r="3293" spans="1:59" ht="57" x14ac:dyDescent="0.45">
      <c r="A3293" s="2" t="s">
        <v>59</v>
      </c>
      <c r="B3293" s="2" t="s">
        <v>60</v>
      </c>
      <c r="C3293" s="2" t="s">
        <v>31840</v>
      </c>
      <c r="D3293" s="2" t="s">
        <v>31841</v>
      </c>
      <c r="E3293" s="2" t="s">
        <v>31842</v>
      </c>
      <c r="G3293" s="3" t="s">
        <v>62</v>
      </c>
      <c r="I3293" s="3" t="s">
        <v>62</v>
      </c>
      <c r="J3293" s="3" t="s">
        <v>62</v>
      </c>
      <c r="K3293" s="3" t="s">
        <v>63</v>
      </c>
      <c r="L3293" s="2" t="s">
        <v>31843</v>
      </c>
      <c r="M3293" s="2" t="s">
        <v>31844</v>
      </c>
      <c r="N3293" s="3" t="s">
        <v>1688</v>
      </c>
      <c r="P3293" s="3" t="s">
        <v>65</v>
      </c>
      <c r="R3293" s="3" t="s">
        <v>66</v>
      </c>
      <c r="S3293" s="4">
        <v>1</v>
      </c>
      <c r="T3293" s="4">
        <v>1</v>
      </c>
      <c r="U3293" s="5" t="s">
        <v>30488</v>
      </c>
      <c r="V3293" s="5" t="s">
        <v>30488</v>
      </c>
      <c r="W3293" s="5" t="s">
        <v>2406</v>
      </c>
      <c r="X3293" s="5" t="s">
        <v>2406</v>
      </c>
      <c r="Y3293" s="4">
        <v>7</v>
      </c>
      <c r="Z3293" s="4">
        <v>1</v>
      </c>
      <c r="AA3293" s="4">
        <v>1</v>
      </c>
      <c r="AB3293" s="4">
        <v>1</v>
      </c>
      <c r="AC3293" s="4">
        <v>1</v>
      </c>
      <c r="AD3293" s="4">
        <v>3</v>
      </c>
      <c r="AE3293" s="4">
        <v>3</v>
      </c>
      <c r="AF3293" s="4">
        <v>0</v>
      </c>
      <c r="AG3293" s="4">
        <v>0</v>
      </c>
      <c r="AH3293" s="4">
        <v>3</v>
      </c>
      <c r="AI3293" s="4">
        <v>3</v>
      </c>
      <c r="AJ3293" s="4">
        <v>0</v>
      </c>
      <c r="AK3293" s="4">
        <v>0</v>
      </c>
      <c r="AL3293" s="4">
        <v>2</v>
      </c>
      <c r="AM3293" s="4">
        <v>2</v>
      </c>
      <c r="AN3293" s="4">
        <v>0</v>
      </c>
      <c r="AO3293" s="4">
        <v>0</v>
      </c>
      <c r="AP3293" s="4">
        <v>0</v>
      </c>
      <c r="AQ3293" s="4">
        <v>0</v>
      </c>
      <c r="AR3293" s="3" t="s">
        <v>62</v>
      </c>
      <c r="AS3293" s="3" t="s">
        <v>62</v>
      </c>
      <c r="AT3293" s="3" t="s">
        <v>62</v>
      </c>
      <c r="AV3293" s="6" t="str">
        <f>HYPERLINK("http://mcgill.on.worldcat.org/oclc/879958736","Catalog Record")</f>
        <v>Catalog Record</v>
      </c>
      <c r="AW3293" s="6" t="str">
        <f>HYPERLINK("http://www.worldcat.org/oclc/879958736","WorldCat Record")</f>
        <v>WorldCat Record</v>
      </c>
      <c r="AX3293" s="3" t="s">
        <v>31845</v>
      </c>
      <c r="AY3293" s="3" t="s">
        <v>31846</v>
      </c>
      <c r="AZ3293" s="3" t="s">
        <v>31847</v>
      </c>
      <c r="BA3293" s="3" t="s">
        <v>31847</v>
      </c>
      <c r="BB3293" s="3" t="s">
        <v>31848</v>
      </c>
      <c r="BC3293" s="3" t="s">
        <v>142</v>
      </c>
      <c r="BD3293" s="3" t="s">
        <v>68</v>
      </c>
      <c r="BE3293" s="3" t="s">
        <v>31849</v>
      </c>
      <c r="BF3293" s="3" t="s">
        <v>31848</v>
      </c>
      <c r="BG3293" s="3" t="s">
        <v>31850</v>
      </c>
    </row>
    <row r="3294" spans="1:59" ht="57" x14ac:dyDescent="0.45">
      <c r="A3294" s="2" t="s">
        <v>59</v>
      </c>
      <c r="B3294" s="2" t="s">
        <v>60</v>
      </c>
      <c r="C3294" s="2" t="s">
        <v>31851</v>
      </c>
      <c r="D3294" s="2" t="s">
        <v>31852</v>
      </c>
      <c r="E3294" s="2" t="s">
        <v>31853</v>
      </c>
      <c r="G3294" s="3" t="s">
        <v>62</v>
      </c>
      <c r="I3294" s="3" t="s">
        <v>62</v>
      </c>
      <c r="J3294" s="3" t="s">
        <v>62</v>
      </c>
      <c r="K3294" s="3" t="s">
        <v>63</v>
      </c>
      <c r="L3294" s="2" t="s">
        <v>31854</v>
      </c>
      <c r="M3294" s="2" t="s">
        <v>31855</v>
      </c>
      <c r="N3294" s="3" t="s">
        <v>555</v>
      </c>
      <c r="P3294" s="3" t="s">
        <v>65</v>
      </c>
      <c r="Q3294" s="2" t="s">
        <v>11945</v>
      </c>
      <c r="R3294" s="3" t="s">
        <v>66</v>
      </c>
      <c r="S3294" s="4">
        <v>30</v>
      </c>
      <c r="T3294" s="4">
        <v>30</v>
      </c>
      <c r="U3294" s="5" t="s">
        <v>7053</v>
      </c>
      <c r="V3294" s="5" t="s">
        <v>7053</v>
      </c>
      <c r="W3294" s="5" t="s">
        <v>67</v>
      </c>
      <c r="X3294" s="5" t="s">
        <v>67</v>
      </c>
      <c r="Y3294" s="4">
        <v>701</v>
      </c>
      <c r="Z3294" s="4">
        <v>43</v>
      </c>
      <c r="AA3294" s="4">
        <v>54</v>
      </c>
      <c r="AB3294" s="4">
        <v>2</v>
      </c>
      <c r="AC3294" s="4">
        <v>2</v>
      </c>
      <c r="AD3294" s="4">
        <v>125</v>
      </c>
      <c r="AE3294" s="4">
        <v>139</v>
      </c>
      <c r="AF3294" s="4">
        <v>1</v>
      </c>
      <c r="AG3294" s="4">
        <v>1</v>
      </c>
      <c r="AH3294" s="4">
        <v>101</v>
      </c>
      <c r="AI3294" s="4">
        <v>107</v>
      </c>
      <c r="AJ3294" s="4">
        <v>16</v>
      </c>
      <c r="AK3294" s="4">
        <v>24</v>
      </c>
      <c r="AL3294" s="4">
        <v>57</v>
      </c>
      <c r="AM3294" s="4">
        <v>58</v>
      </c>
      <c r="AN3294" s="4">
        <v>0</v>
      </c>
      <c r="AO3294" s="4">
        <v>0</v>
      </c>
      <c r="AP3294" s="4">
        <v>30</v>
      </c>
      <c r="AQ3294" s="4">
        <v>41</v>
      </c>
      <c r="AR3294" s="3" t="s">
        <v>62</v>
      </c>
      <c r="AS3294" s="3" t="s">
        <v>62</v>
      </c>
      <c r="AT3294" s="3" t="s">
        <v>61</v>
      </c>
      <c r="AU3294" s="6" t="str">
        <f>HYPERLINK("http://catalog.hathitrust.org/Record/001434867","HathiTrust Record")</f>
        <v>HathiTrust Record</v>
      </c>
      <c r="AV3294" s="6" t="str">
        <f>HYPERLINK("http://mcgill.on.worldcat.org/oclc/648471","Catalog Record")</f>
        <v>Catalog Record</v>
      </c>
      <c r="AW3294" s="6" t="str">
        <f>HYPERLINK("http://www.worldcat.org/oclc/648471","WorldCat Record")</f>
        <v>WorldCat Record</v>
      </c>
      <c r="AX3294" s="3" t="s">
        <v>31856</v>
      </c>
      <c r="AY3294" s="3" t="s">
        <v>31857</v>
      </c>
      <c r="AZ3294" s="3" t="s">
        <v>31858</v>
      </c>
      <c r="BA3294" s="3" t="s">
        <v>31858</v>
      </c>
      <c r="BB3294" s="3" t="s">
        <v>31859</v>
      </c>
      <c r="BC3294" s="3" t="s">
        <v>142</v>
      </c>
      <c r="BD3294" s="3" t="s">
        <v>68</v>
      </c>
      <c r="BE3294" s="3" t="s">
        <v>31860</v>
      </c>
      <c r="BF3294" s="3" t="s">
        <v>31859</v>
      </c>
      <c r="BG3294" s="3" t="s">
        <v>31861</v>
      </c>
    </row>
    <row r="3295" spans="1:59" ht="57" x14ac:dyDescent="0.45">
      <c r="A3295" s="2" t="s">
        <v>59</v>
      </c>
      <c r="B3295" s="2" t="s">
        <v>60</v>
      </c>
      <c r="C3295" s="2" t="s">
        <v>31862</v>
      </c>
      <c r="D3295" s="2" t="s">
        <v>31863</v>
      </c>
      <c r="E3295" s="2" t="s">
        <v>31864</v>
      </c>
      <c r="G3295" s="3" t="s">
        <v>62</v>
      </c>
      <c r="I3295" s="3" t="s">
        <v>62</v>
      </c>
      <c r="J3295" s="3" t="s">
        <v>62</v>
      </c>
      <c r="K3295" s="3" t="s">
        <v>63</v>
      </c>
      <c r="L3295" s="2" t="s">
        <v>11967</v>
      </c>
      <c r="M3295" s="2" t="s">
        <v>31865</v>
      </c>
      <c r="N3295" s="3" t="s">
        <v>495</v>
      </c>
      <c r="P3295" s="3" t="s">
        <v>110</v>
      </c>
      <c r="Q3295" s="2" t="s">
        <v>31866</v>
      </c>
      <c r="R3295" s="3" t="s">
        <v>66</v>
      </c>
      <c r="S3295" s="4">
        <v>21</v>
      </c>
      <c r="T3295" s="4">
        <v>21</v>
      </c>
      <c r="U3295" s="5" t="s">
        <v>1554</v>
      </c>
      <c r="V3295" s="5" t="s">
        <v>1554</v>
      </c>
      <c r="W3295" s="5" t="s">
        <v>67</v>
      </c>
      <c r="X3295" s="5" t="s">
        <v>67</v>
      </c>
      <c r="Y3295" s="4">
        <v>155</v>
      </c>
      <c r="Z3295" s="4">
        <v>18</v>
      </c>
      <c r="AA3295" s="4">
        <v>29</v>
      </c>
      <c r="AB3295" s="4">
        <v>2</v>
      </c>
      <c r="AC3295" s="4">
        <v>10</v>
      </c>
      <c r="AD3295" s="4">
        <v>66</v>
      </c>
      <c r="AE3295" s="4">
        <v>76</v>
      </c>
      <c r="AF3295" s="4">
        <v>1</v>
      </c>
      <c r="AG3295" s="4">
        <v>6</v>
      </c>
      <c r="AH3295" s="4">
        <v>54</v>
      </c>
      <c r="AI3295" s="4">
        <v>59</v>
      </c>
      <c r="AJ3295" s="4">
        <v>14</v>
      </c>
      <c r="AK3295" s="4">
        <v>20</v>
      </c>
      <c r="AL3295" s="4">
        <v>34</v>
      </c>
      <c r="AM3295" s="4">
        <v>35</v>
      </c>
      <c r="AN3295" s="4">
        <v>0</v>
      </c>
      <c r="AO3295" s="4">
        <v>0</v>
      </c>
      <c r="AP3295" s="4">
        <v>15</v>
      </c>
      <c r="AQ3295" s="4">
        <v>22</v>
      </c>
      <c r="AR3295" s="3" t="s">
        <v>62</v>
      </c>
      <c r="AS3295" s="3" t="s">
        <v>62</v>
      </c>
      <c r="AT3295" s="3" t="s">
        <v>61</v>
      </c>
      <c r="AU3295" s="6" t="str">
        <f>HYPERLINK("http://catalog.hathitrust.org/Record/000712203","HathiTrust Record")</f>
        <v>HathiTrust Record</v>
      </c>
      <c r="AV3295" s="6" t="str">
        <f>HYPERLINK("http://mcgill.on.worldcat.org/oclc/1961558","Catalog Record")</f>
        <v>Catalog Record</v>
      </c>
      <c r="AW3295" s="6" t="str">
        <f>HYPERLINK("http://www.worldcat.org/oclc/1961558","WorldCat Record")</f>
        <v>WorldCat Record</v>
      </c>
      <c r="AX3295" s="3" t="s">
        <v>31867</v>
      </c>
      <c r="AY3295" s="3" t="s">
        <v>31868</v>
      </c>
      <c r="AZ3295" s="3" t="s">
        <v>31869</v>
      </c>
      <c r="BA3295" s="3" t="s">
        <v>31869</v>
      </c>
      <c r="BB3295" s="3" t="s">
        <v>31870</v>
      </c>
      <c r="BC3295" s="3" t="s">
        <v>142</v>
      </c>
      <c r="BD3295" s="3" t="s">
        <v>68</v>
      </c>
      <c r="BF3295" s="3" t="s">
        <v>31870</v>
      </c>
      <c r="BG3295" s="3" t="s">
        <v>31871</v>
      </c>
    </row>
    <row r="3296" spans="1:59" ht="57" x14ac:dyDescent="0.45">
      <c r="A3296" s="2" t="s">
        <v>59</v>
      </c>
      <c r="B3296" s="2" t="s">
        <v>60</v>
      </c>
      <c r="C3296" s="2" t="s">
        <v>31872</v>
      </c>
      <c r="D3296" s="2" t="s">
        <v>31873</v>
      </c>
      <c r="E3296" s="2" t="s">
        <v>31874</v>
      </c>
      <c r="G3296" s="3" t="s">
        <v>62</v>
      </c>
      <c r="I3296" s="3" t="s">
        <v>62</v>
      </c>
      <c r="J3296" s="3" t="s">
        <v>62</v>
      </c>
      <c r="K3296" s="3" t="s">
        <v>63</v>
      </c>
      <c r="L3296" s="2" t="s">
        <v>31875</v>
      </c>
      <c r="M3296" s="2" t="s">
        <v>31876</v>
      </c>
      <c r="N3296" s="3" t="s">
        <v>1437</v>
      </c>
      <c r="P3296" s="3" t="s">
        <v>65</v>
      </c>
      <c r="Q3296" s="2" t="s">
        <v>31877</v>
      </c>
      <c r="R3296" s="3" t="s">
        <v>66</v>
      </c>
      <c r="S3296" s="4">
        <v>30</v>
      </c>
      <c r="T3296" s="4">
        <v>30</v>
      </c>
      <c r="U3296" s="5" t="s">
        <v>4265</v>
      </c>
      <c r="V3296" s="5" t="s">
        <v>4265</v>
      </c>
      <c r="W3296" s="5" t="s">
        <v>67</v>
      </c>
      <c r="X3296" s="5" t="s">
        <v>67</v>
      </c>
      <c r="Y3296" s="4">
        <v>149</v>
      </c>
      <c r="Z3296" s="4">
        <v>21</v>
      </c>
      <c r="AA3296" s="4">
        <v>21</v>
      </c>
      <c r="AB3296" s="4">
        <v>2</v>
      </c>
      <c r="AC3296" s="4">
        <v>2</v>
      </c>
      <c r="AD3296" s="4">
        <v>58</v>
      </c>
      <c r="AE3296" s="4">
        <v>58</v>
      </c>
      <c r="AF3296" s="4">
        <v>1</v>
      </c>
      <c r="AG3296" s="4">
        <v>1</v>
      </c>
      <c r="AH3296" s="4">
        <v>50</v>
      </c>
      <c r="AI3296" s="4">
        <v>50</v>
      </c>
      <c r="AJ3296" s="4">
        <v>10</v>
      </c>
      <c r="AK3296" s="4">
        <v>10</v>
      </c>
      <c r="AL3296" s="4">
        <v>25</v>
      </c>
      <c r="AM3296" s="4">
        <v>25</v>
      </c>
      <c r="AN3296" s="4">
        <v>0</v>
      </c>
      <c r="AO3296" s="4">
        <v>0</v>
      </c>
      <c r="AP3296" s="4">
        <v>13</v>
      </c>
      <c r="AQ3296" s="4">
        <v>13</v>
      </c>
      <c r="AR3296" s="3" t="s">
        <v>61</v>
      </c>
      <c r="AS3296" s="3" t="s">
        <v>62</v>
      </c>
      <c r="AT3296" s="3" t="s">
        <v>61</v>
      </c>
      <c r="AU3296" s="6" t="str">
        <f>HYPERLINK("http://catalog.hathitrust.org/Record/003976574","HathiTrust Record")</f>
        <v>HathiTrust Record</v>
      </c>
      <c r="AV3296" s="6" t="str">
        <f>HYPERLINK("http://mcgill.on.worldcat.org/oclc/37371287","Catalog Record")</f>
        <v>Catalog Record</v>
      </c>
      <c r="AW3296" s="6" t="str">
        <f>HYPERLINK("http://www.worldcat.org/oclc/37371287","WorldCat Record")</f>
        <v>WorldCat Record</v>
      </c>
      <c r="AX3296" s="3" t="s">
        <v>31878</v>
      </c>
      <c r="AY3296" s="3" t="s">
        <v>31879</v>
      </c>
      <c r="AZ3296" s="3" t="s">
        <v>31880</v>
      </c>
      <c r="BA3296" s="3" t="s">
        <v>31880</v>
      </c>
      <c r="BB3296" s="3" t="s">
        <v>31881</v>
      </c>
      <c r="BC3296" s="3" t="s">
        <v>142</v>
      </c>
      <c r="BD3296" s="3" t="s">
        <v>308</v>
      </c>
      <c r="BE3296" s="3" t="s">
        <v>31882</v>
      </c>
      <c r="BF3296" s="3" t="s">
        <v>31881</v>
      </c>
      <c r="BG3296" s="3" t="s">
        <v>31883</v>
      </c>
    </row>
    <row r="3297" spans="1:59" ht="57" x14ac:dyDescent="0.45">
      <c r="A3297" s="2" t="s">
        <v>59</v>
      </c>
      <c r="B3297" s="2" t="s">
        <v>60</v>
      </c>
      <c r="C3297" s="2" t="s">
        <v>31884</v>
      </c>
      <c r="D3297" s="2" t="s">
        <v>31885</v>
      </c>
      <c r="E3297" s="2" t="s">
        <v>31886</v>
      </c>
      <c r="G3297" s="3" t="s">
        <v>62</v>
      </c>
      <c r="I3297" s="3" t="s">
        <v>62</v>
      </c>
      <c r="J3297" s="3" t="s">
        <v>62</v>
      </c>
      <c r="K3297" s="3" t="s">
        <v>63</v>
      </c>
      <c r="L3297" s="2" t="s">
        <v>31887</v>
      </c>
      <c r="M3297" s="2" t="s">
        <v>31888</v>
      </c>
      <c r="N3297" s="3" t="s">
        <v>2107</v>
      </c>
      <c r="P3297" s="3" t="s">
        <v>65</v>
      </c>
      <c r="Q3297" s="2" t="s">
        <v>2330</v>
      </c>
      <c r="R3297" s="3" t="s">
        <v>66</v>
      </c>
      <c r="S3297" s="4">
        <v>18</v>
      </c>
      <c r="T3297" s="4">
        <v>18</v>
      </c>
      <c r="U3297" s="5" t="s">
        <v>5139</v>
      </c>
      <c r="V3297" s="5" t="s">
        <v>5139</v>
      </c>
      <c r="W3297" s="5" t="s">
        <v>67</v>
      </c>
      <c r="X3297" s="5" t="s">
        <v>67</v>
      </c>
      <c r="Y3297" s="4">
        <v>532</v>
      </c>
      <c r="Z3297" s="4">
        <v>33</v>
      </c>
      <c r="AA3297" s="4">
        <v>98</v>
      </c>
      <c r="AB3297" s="4">
        <v>2</v>
      </c>
      <c r="AC3297" s="4">
        <v>17</v>
      </c>
      <c r="AD3297" s="4">
        <v>123</v>
      </c>
      <c r="AE3297" s="4">
        <v>149</v>
      </c>
      <c r="AF3297" s="4">
        <v>1</v>
      </c>
      <c r="AG3297" s="4">
        <v>8</v>
      </c>
      <c r="AH3297" s="4">
        <v>107</v>
      </c>
      <c r="AI3297" s="4">
        <v>112</v>
      </c>
      <c r="AJ3297" s="4">
        <v>21</v>
      </c>
      <c r="AK3297" s="4">
        <v>26</v>
      </c>
      <c r="AL3297" s="4">
        <v>55</v>
      </c>
      <c r="AM3297" s="4">
        <v>56</v>
      </c>
      <c r="AN3297" s="4">
        <v>0</v>
      </c>
      <c r="AO3297" s="4">
        <v>0</v>
      </c>
      <c r="AP3297" s="4">
        <v>26</v>
      </c>
      <c r="AQ3297" s="4">
        <v>48</v>
      </c>
      <c r="AR3297" s="3" t="s">
        <v>62</v>
      </c>
      <c r="AS3297" s="3" t="s">
        <v>62</v>
      </c>
      <c r="AT3297" s="3" t="s">
        <v>62</v>
      </c>
      <c r="AV3297" s="6" t="str">
        <f>HYPERLINK("http://mcgill.on.worldcat.org/oclc/10100958","Catalog Record")</f>
        <v>Catalog Record</v>
      </c>
      <c r="AW3297" s="6" t="str">
        <f>HYPERLINK("http://www.worldcat.org/oclc/10100958","WorldCat Record")</f>
        <v>WorldCat Record</v>
      </c>
      <c r="AX3297" s="3" t="s">
        <v>31889</v>
      </c>
      <c r="AY3297" s="3" t="s">
        <v>31890</v>
      </c>
      <c r="AZ3297" s="3" t="s">
        <v>31891</v>
      </c>
      <c r="BA3297" s="3" t="s">
        <v>31891</v>
      </c>
      <c r="BB3297" s="3" t="s">
        <v>31892</v>
      </c>
      <c r="BC3297" s="3" t="s">
        <v>142</v>
      </c>
      <c r="BD3297" s="3" t="s">
        <v>68</v>
      </c>
      <c r="BE3297" s="3" t="s">
        <v>31893</v>
      </c>
      <c r="BF3297" s="3" t="s">
        <v>31892</v>
      </c>
      <c r="BG3297" s="3" t="s">
        <v>31894</v>
      </c>
    </row>
    <row r="3298" spans="1:59" ht="57" x14ac:dyDescent="0.45">
      <c r="A3298" s="2" t="s">
        <v>59</v>
      </c>
      <c r="B3298" s="2" t="s">
        <v>60</v>
      </c>
      <c r="C3298" s="2" t="s">
        <v>31895</v>
      </c>
      <c r="D3298" s="2" t="s">
        <v>31896</v>
      </c>
      <c r="E3298" s="2" t="s">
        <v>31897</v>
      </c>
      <c r="G3298" s="3" t="s">
        <v>62</v>
      </c>
      <c r="I3298" s="3" t="s">
        <v>62</v>
      </c>
      <c r="J3298" s="3" t="s">
        <v>62</v>
      </c>
      <c r="K3298" s="3" t="s">
        <v>63</v>
      </c>
      <c r="L3298" s="2" t="s">
        <v>31898</v>
      </c>
      <c r="M3298" s="2" t="s">
        <v>31899</v>
      </c>
      <c r="N3298" s="3" t="s">
        <v>2417</v>
      </c>
      <c r="P3298" s="3" t="s">
        <v>65</v>
      </c>
      <c r="R3298" s="3" t="s">
        <v>66</v>
      </c>
      <c r="S3298" s="4">
        <v>9</v>
      </c>
      <c r="T3298" s="4">
        <v>9</v>
      </c>
      <c r="U3298" s="5" t="s">
        <v>14087</v>
      </c>
      <c r="V3298" s="5" t="s">
        <v>14087</v>
      </c>
      <c r="W3298" s="5" t="s">
        <v>67</v>
      </c>
      <c r="X3298" s="5" t="s">
        <v>67</v>
      </c>
      <c r="Y3298" s="4">
        <v>115</v>
      </c>
      <c r="Z3298" s="4">
        <v>2</v>
      </c>
      <c r="AA3298" s="4">
        <v>27</v>
      </c>
      <c r="AB3298" s="4">
        <v>1</v>
      </c>
      <c r="AC3298" s="4">
        <v>5</v>
      </c>
      <c r="AD3298" s="4">
        <v>28</v>
      </c>
      <c r="AE3298" s="4">
        <v>93</v>
      </c>
      <c r="AF3298" s="4">
        <v>0</v>
      </c>
      <c r="AG3298" s="4">
        <v>3</v>
      </c>
      <c r="AH3298" s="4">
        <v>27</v>
      </c>
      <c r="AI3298" s="4">
        <v>82</v>
      </c>
      <c r="AJ3298" s="4">
        <v>1</v>
      </c>
      <c r="AK3298" s="4">
        <v>17</v>
      </c>
      <c r="AL3298" s="4">
        <v>20</v>
      </c>
      <c r="AM3298" s="4">
        <v>49</v>
      </c>
      <c r="AN3298" s="4">
        <v>0</v>
      </c>
      <c r="AO3298" s="4">
        <v>0</v>
      </c>
      <c r="AP3298" s="4">
        <v>1</v>
      </c>
      <c r="AQ3298" s="4">
        <v>17</v>
      </c>
      <c r="AR3298" s="3" t="s">
        <v>62</v>
      </c>
      <c r="AS3298" s="3" t="s">
        <v>62</v>
      </c>
      <c r="AT3298" s="3" t="s">
        <v>61</v>
      </c>
      <c r="AU3298" s="6" t="str">
        <f>HYPERLINK("http://catalog.hathitrust.org/Record/001077859","HathiTrust Record")</f>
        <v>HathiTrust Record</v>
      </c>
      <c r="AV3298" s="6" t="str">
        <f>HYPERLINK("http://mcgill.on.worldcat.org/oclc/59093862","Catalog Record")</f>
        <v>Catalog Record</v>
      </c>
      <c r="AW3298" s="6" t="str">
        <f>HYPERLINK("http://www.worldcat.org/oclc/59093862","WorldCat Record")</f>
        <v>WorldCat Record</v>
      </c>
      <c r="AX3298" s="3" t="s">
        <v>31900</v>
      </c>
      <c r="AY3298" s="3" t="s">
        <v>31901</v>
      </c>
      <c r="AZ3298" s="3" t="s">
        <v>31902</v>
      </c>
      <c r="BA3298" s="3" t="s">
        <v>31902</v>
      </c>
      <c r="BB3298" s="3" t="s">
        <v>31903</v>
      </c>
      <c r="BC3298" s="3" t="s">
        <v>142</v>
      </c>
      <c r="BD3298" s="3" t="s">
        <v>68</v>
      </c>
      <c r="BE3298" s="3" t="s">
        <v>31904</v>
      </c>
      <c r="BF3298" s="3" t="s">
        <v>31903</v>
      </c>
      <c r="BG3298" s="3" t="s">
        <v>31905</v>
      </c>
    </row>
    <row r="3299" spans="1:59" ht="57" x14ac:dyDescent="0.45">
      <c r="A3299" s="2" t="s">
        <v>59</v>
      </c>
      <c r="B3299" s="2" t="s">
        <v>60</v>
      </c>
      <c r="C3299" s="2" t="s">
        <v>31906</v>
      </c>
      <c r="D3299" s="2" t="s">
        <v>31907</v>
      </c>
      <c r="E3299" s="2" t="s">
        <v>31908</v>
      </c>
      <c r="G3299" s="3" t="s">
        <v>62</v>
      </c>
      <c r="I3299" s="3" t="s">
        <v>62</v>
      </c>
      <c r="J3299" s="3" t="s">
        <v>62</v>
      </c>
      <c r="K3299" s="3" t="s">
        <v>63</v>
      </c>
      <c r="L3299" s="2" t="s">
        <v>31909</v>
      </c>
      <c r="M3299" s="2" t="s">
        <v>3184</v>
      </c>
      <c r="N3299" s="3" t="s">
        <v>125</v>
      </c>
      <c r="P3299" s="3" t="s">
        <v>65</v>
      </c>
      <c r="Q3299" s="2" t="s">
        <v>31910</v>
      </c>
      <c r="R3299" s="3" t="s">
        <v>66</v>
      </c>
      <c r="S3299" s="4">
        <v>13</v>
      </c>
      <c r="T3299" s="4">
        <v>13</v>
      </c>
      <c r="U3299" s="5" t="s">
        <v>28287</v>
      </c>
      <c r="V3299" s="5" t="s">
        <v>28287</v>
      </c>
      <c r="W3299" s="5" t="s">
        <v>67</v>
      </c>
      <c r="X3299" s="5" t="s">
        <v>67</v>
      </c>
      <c r="Y3299" s="4">
        <v>412</v>
      </c>
      <c r="Z3299" s="4">
        <v>31</v>
      </c>
      <c r="AA3299" s="4">
        <v>39</v>
      </c>
      <c r="AB3299" s="4">
        <v>1</v>
      </c>
      <c r="AC3299" s="4">
        <v>6</v>
      </c>
      <c r="AD3299" s="4">
        <v>102</v>
      </c>
      <c r="AE3299" s="4">
        <v>111</v>
      </c>
      <c r="AF3299" s="4">
        <v>0</v>
      </c>
      <c r="AG3299" s="4">
        <v>2</v>
      </c>
      <c r="AH3299" s="4">
        <v>88</v>
      </c>
      <c r="AI3299" s="4">
        <v>92</v>
      </c>
      <c r="AJ3299" s="4">
        <v>16</v>
      </c>
      <c r="AK3299" s="4">
        <v>18</v>
      </c>
      <c r="AL3299" s="4">
        <v>52</v>
      </c>
      <c r="AM3299" s="4">
        <v>53</v>
      </c>
      <c r="AN3299" s="4">
        <v>0</v>
      </c>
      <c r="AO3299" s="4">
        <v>0</v>
      </c>
      <c r="AP3299" s="4">
        <v>23</v>
      </c>
      <c r="AQ3299" s="4">
        <v>27</v>
      </c>
      <c r="AR3299" s="3" t="s">
        <v>62</v>
      </c>
      <c r="AS3299" s="3" t="s">
        <v>62</v>
      </c>
      <c r="AT3299" s="3" t="s">
        <v>61</v>
      </c>
      <c r="AU3299" s="6" t="str">
        <f>HYPERLINK("http://catalog.hathitrust.org/Record/001841834","HathiTrust Record")</f>
        <v>HathiTrust Record</v>
      </c>
      <c r="AV3299" s="6" t="str">
        <f>HYPERLINK("http://mcgill.on.worldcat.org/oclc/19589405","Catalog Record")</f>
        <v>Catalog Record</v>
      </c>
      <c r="AW3299" s="6" t="str">
        <f>HYPERLINK("http://www.worldcat.org/oclc/19589405","WorldCat Record")</f>
        <v>WorldCat Record</v>
      </c>
      <c r="AX3299" s="3" t="s">
        <v>31911</v>
      </c>
      <c r="AY3299" s="3" t="s">
        <v>31912</v>
      </c>
      <c r="AZ3299" s="3" t="s">
        <v>31913</v>
      </c>
      <c r="BA3299" s="3" t="s">
        <v>31913</v>
      </c>
      <c r="BB3299" s="3" t="s">
        <v>31914</v>
      </c>
      <c r="BC3299" s="3" t="s">
        <v>142</v>
      </c>
      <c r="BD3299" s="3" t="s">
        <v>68</v>
      </c>
      <c r="BE3299" s="3" t="s">
        <v>31915</v>
      </c>
      <c r="BF3299" s="3" t="s">
        <v>31914</v>
      </c>
      <c r="BG3299" s="3" t="s">
        <v>31916</v>
      </c>
    </row>
    <row r="3300" spans="1:59" ht="57" x14ac:dyDescent="0.45">
      <c r="A3300" s="2" t="s">
        <v>59</v>
      </c>
      <c r="B3300" s="2" t="s">
        <v>60</v>
      </c>
      <c r="C3300" s="2" t="s">
        <v>31917</v>
      </c>
      <c r="D3300" s="2" t="s">
        <v>31918</v>
      </c>
      <c r="E3300" s="2" t="s">
        <v>31919</v>
      </c>
      <c r="G3300" s="3" t="s">
        <v>62</v>
      </c>
      <c r="I3300" s="3" t="s">
        <v>62</v>
      </c>
      <c r="J3300" s="3" t="s">
        <v>62</v>
      </c>
      <c r="K3300" s="3" t="s">
        <v>63</v>
      </c>
      <c r="L3300" s="2" t="s">
        <v>31920</v>
      </c>
      <c r="M3300" s="2" t="s">
        <v>31078</v>
      </c>
      <c r="N3300" s="3" t="s">
        <v>181</v>
      </c>
      <c r="P3300" s="3" t="s">
        <v>65</v>
      </c>
      <c r="R3300" s="3" t="s">
        <v>66</v>
      </c>
      <c r="S3300" s="4">
        <v>1</v>
      </c>
      <c r="T3300" s="4">
        <v>1</v>
      </c>
      <c r="U3300" s="5" t="s">
        <v>1870</v>
      </c>
      <c r="V3300" s="5" t="s">
        <v>1870</v>
      </c>
      <c r="W3300" s="5" t="s">
        <v>67</v>
      </c>
      <c r="X3300" s="5" t="s">
        <v>67</v>
      </c>
      <c r="Y3300" s="4">
        <v>108</v>
      </c>
      <c r="Z3300" s="4">
        <v>11</v>
      </c>
      <c r="AA3300" s="4">
        <v>44</v>
      </c>
      <c r="AB3300" s="4">
        <v>1</v>
      </c>
      <c r="AC3300" s="4">
        <v>2</v>
      </c>
      <c r="AD3300" s="4">
        <v>43</v>
      </c>
      <c r="AE3300" s="4">
        <v>65</v>
      </c>
      <c r="AF3300" s="4">
        <v>0</v>
      </c>
      <c r="AG3300" s="4">
        <v>0</v>
      </c>
      <c r="AH3300" s="4">
        <v>41</v>
      </c>
      <c r="AI3300" s="4">
        <v>54</v>
      </c>
      <c r="AJ3300" s="4">
        <v>6</v>
      </c>
      <c r="AK3300" s="4">
        <v>10</v>
      </c>
      <c r="AL3300" s="4">
        <v>28</v>
      </c>
      <c r="AM3300" s="4">
        <v>34</v>
      </c>
      <c r="AN3300" s="4">
        <v>0</v>
      </c>
      <c r="AO3300" s="4">
        <v>0</v>
      </c>
      <c r="AP3300" s="4">
        <v>6</v>
      </c>
      <c r="AQ3300" s="4">
        <v>15</v>
      </c>
      <c r="AR3300" s="3" t="s">
        <v>62</v>
      </c>
      <c r="AS3300" s="3" t="s">
        <v>62</v>
      </c>
      <c r="AT3300" s="3" t="s">
        <v>62</v>
      </c>
      <c r="AV3300" s="6" t="str">
        <f>HYPERLINK("http://mcgill.on.worldcat.org/oclc/927438880","Catalog Record")</f>
        <v>Catalog Record</v>
      </c>
      <c r="AW3300" s="6" t="str">
        <f>HYPERLINK("http://www.worldcat.org/oclc/927438880","WorldCat Record")</f>
        <v>WorldCat Record</v>
      </c>
      <c r="AX3300" s="3" t="s">
        <v>31921</v>
      </c>
      <c r="AY3300" s="3" t="s">
        <v>31922</v>
      </c>
      <c r="AZ3300" s="3" t="s">
        <v>31923</v>
      </c>
      <c r="BA3300" s="3" t="s">
        <v>31923</v>
      </c>
      <c r="BB3300" s="3" t="s">
        <v>31924</v>
      </c>
      <c r="BC3300" s="3" t="s">
        <v>142</v>
      </c>
      <c r="BD3300" s="3" t="s">
        <v>68</v>
      </c>
      <c r="BE3300" s="3" t="s">
        <v>31925</v>
      </c>
      <c r="BF3300" s="3" t="s">
        <v>31924</v>
      </c>
      <c r="BG3300" s="3" t="s">
        <v>31926</v>
      </c>
    </row>
    <row r="3301" spans="1:59" ht="85.5" x14ac:dyDescent="0.45">
      <c r="A3301" s="2" t="s">
        <v>59</v>
      </c>
      <c r="B3301" s="2" t="s">
        <v>5257</v>
      </c>
      <c r="C3301" s="2" t="s">
        <v>31927</v>
      </c>
      <c r="D3301" s="2" t="s">
        <v>31928</v>
      </c>
      <c r="E3301" s="2" t="s">
        <v>31929</v>
      </c>
      <c r="G3301" s="3" t="s">
        <v>62</v>
      </c>
      <c r="I3301" s="3" t="s">
        <v>62</v>
      </c>
      <c r="J3301" s="3" t="s">
        <v>62</v>
      </c>
      <c r="K3301" s="3" t="s">
        <v>63</v>
      </c>
      <c r="L3301" s="2" t="s">
        <v>31930</v>
      </c>
      <c r="M3301" s="2" t="s">
        <v>31931</v>
      </c>
      <c r="N3301" s="3" t="s">
        <v>583</v>
      </c>
      <c r="P3301" s="3" t="s">
        <v>65</v>
      </c>
      <c r="R3301" s="3" t="s">
        <v>66</v>
      </c>
      <c r="S3301" s="4">
        <v>2</v>
      </c>
      <c r="T3301" s="4">
        <v>2</v>
      </c>
      <c r="U3301" s="5" t="s">
        <v>31932</v>
      </c>
      <c r="V3301" s="5" t="s">
        <v>31932</v>
      </c>
      <c r="W3301" s="5" t="s">
        <v>67</v>
      </c>
      <c r="X3301" s="5" t="s">
        <v>67</v>
      </c>
      <c r="Y3301" s="4">
        <v>412</v>
      </c>
      <c r="Z3301" s="4">
        <v>33</v>
      </c>
      <c r="AA3301" s="4">
        <v>41</v>
      </c>
      <c r="AB3301" s="4">
        <v>3</v>
      </c>
      <c r="AC3301" s="4">
        <v>8</v>
      </c>
      <c r="AD3301" s="4">
        <v>102</v>
      </c>
      <c r="AE3301" s="4">
        <v>108</v>
      </c>
      <c r="AF3301" s="4">
        <v>2</v>
      </c>
      <c r="AG3301" s="4">
        <v>6</v>
      </c>
      <c r="AH3301" s="4">
        <v>83</v>
      </c>
      <c r="AI3301" s="4">
        <v>85</v>
      </c>
      <c r="AJ3301" s="4">
        <v>18</v>
      </c>
      <c r="AK3301" s="4">
        <v>22</v>
      </c>
      <c r="AL3301" s="4">
        <v>43</v>
      </c>
      <c r="AM3301" s="4">
        <v>43</v>
      </c>
      <c r="AN3301" s="4">
        <v>0</v>
      </c>
      <c r="AO3301" s="4">
        <v>0</v>
      </c>
      <c r="AP3301" s="4">
        <v>28</v>
      </c>
      <c r="AQ3301" s="4">
        <v>33</v>
      </c>
      <c r="AR3301" s="3" t="s">
        <v>62</v>
      </c>
      <c r="AS3301" s="3" t="s">
        <v>62</v>
      </c>
      <c r="AT3301" s="3" t="s">
        <v>61</v>
      </c>
      <c r="AU3301" s="6" t="str">
        <f>HYPERLINK("http://catalog.hathitrust.org/Record/007114900","HathiTrust Record")</f>
        <v>HathiTrust Record</v>
      </c>
      <c r="AV3301" s="6" t="str">
        <f>HYPERLINK("http://mcgill.on.worldcat.org/oclc/3481653","Catalog Record")</f>
        <v>Catalog Record</v>
      </c>
      <c r="AW3301" s="6" t="str">
        <f>HYPERLINK("http://www.worldcat.org/oclc/3481653","WorldCat Record")</f>
        <v>WorldCat Record</v>
      </c>
      <c r="AX3301" s="3" t="s">
        <v>31933</v>
      </c>
      <c r="AY3301" s="3" t="s">
        <v>31934</v>
      </c>
      <c r="AZ3301" s="3" t="s">
        <v>31935</v>
      </c>
      <c r="BA3301" s="3" t="s">
        <v>31935</v>
      </c>
      <c r="BB3301" s="3" t="s">
        <v>31936</v>
      </c>
      <c r="BC3301" s="3" t="s">
        <v>142</v>
      </c>
      <c r="BD3301" s="3" t="s">
        <v>68</v>
      </c>
      <c r="BE3301" s="3" t="s">
        <v>31937</v>
      </c>
      <c r="BF3301" s="3" t="s">
        <v>31936</v>
      </c>
      <c r="BG3301" s="3" t="s">
        <v>31938</v>
      </c>
    </row>
    <row r="3302" spans="1:59" ht="57" x14ac:dyDescent="0.45">
      <c r="A3302" s="2" t="s">
        <v>59</v>
      </c>
      <c r="B3302" s="2" t="s">
        <v>60</v>
      </c>
      <c r="C3302" s="2" t="s">
        <v>31939</v>
      </c>
      <c r="D3302" s="2" t="s">
        <v>31940</v>
      </c>
      <c r="E3302" s="2" t="s">
        <v>31941</v>
      </c>
      <c r="G3302" s="3" t="s">
        <v>62</v>
      </c>
      <c r="I3302" s="3" t="s">
        <v>62</v>
      </c>
      <c r="J3302" s="3" t="s">
        <v>62</v>
      </c>
      <c r="K3302" s="3" t="s">
        <v>63</v>
      </c>
      <c r="L3302" s="2" t="s">
        <v>31942</v>
      </c>
      <c r="M3302" s="2" t="s">
        <v>31943</v>
      </c>
      <c r="N3302" s="3" t="s">
        <v>1073</v>
      </c>
      <c r="P3302" s="3" t="s">
        <v>65</v>
      </c>
      <c r="R3302" s="3" t="s">
        <v>66</v>
      </c>
      <c r="S3302" s="4">
        <v>13</v>
      </c>
      <c r="T3302" s="4">
        <v>13</v>
      </c>
      <c r="U3302" s="5" t="s">
        <v>8757</v>
      </c>
      <c r="V3302" s="5" t="s">
        <v>8757</v>
      </c>
      <c r="W3302" s="5" t="s">
        <v>67</v>
      </c>
      <c r="X3302" s="5" t="s">
        <v>67</v>
      </c>
      <c r="Y3302" s="4">
        <v>3</v>
      </c>
      <c r="Z3302" s="4">
        <v>2</v>
      </c>
      <c r="AA3302" s="4">
        <v>34</v>
      </c>
      <c r="AB3302" s="4">
        <v>1</v>
      </c>
      <c r="AC3302" s="4">
        <v>4</v>
      </c>
      <c r="AD3302" s="4">
        <v>1</v>
      </c>
      <c r="AE3302" s="4">
        <v>120</v>
      </c>
      <c r="AF3302" s="4">
        <v>0</v>
      </c>
      <c r="AG3302" s="4">
        <v>3</v>
      </c>
      <c r="AH3302" s="4">
        <v>1</v>
      </c>
      <c r="AI3302" s="4">
        <v>101</v>
      </c>
      <c r="AJ3302" s="4">
        <v>1</v>
      </c>
      <c r="AK3302" s="4">
        <v>22</v>
      </c>
      <c r="AL3302" s="4">
        <v>0</v>
      </c>
      <c r="AM3302" s="4">
        <v>52</v>
      </c>
      <c r="AN3302" s="4">
        <v>0</v>
      </c>
      <c r="AO3302" s="4">
        <v>0</v>
      </c>
      <c r="AP3302" s="4">
        <v>1</v>
      </c>
      <c r="AQ3302" s="4">
        <v>28</v>
      </c>
      <c r="AR3302" s="3" t="s">
        <v>62</v>
      </c>
      <c r="AS3302" s="3" t="s">
        <v>62</v>
      </c>
      <c r="AT3302" s="3" t="s">
        <v>62</v>
      </c>
      <c r="AV3302" s="6" t="str">
        <f>HYPERLINK("http://mcgill.on.worldcat.org/oclc/427160654","Catalog Record")</f>
        <v>Catalog Record</v>
      </c>
      <c r="AW3302" s="6" t="str">
        <f>HYPERLINK("http://www.worldcat.org/oclc/427160654","WorldCat Record")</f>
        <v>WorldCat Record</v>
      </c>
      <c r="AX3302" s="3" t="s">
        <v>31944</v>
      </c>
      <c r="AY3302" s="3" t="s">
        <v>31945</v>
      </c>
      <c r="AZ3302" s="3" t="s">
        <v>31946</v>
      </c>
      <c r="BA3302" s="3" t="s">
        <v>31946</v>
      </c>
      <c r="BB3302" s="3" t="s">
        <v>31947</v>
      </c>
      <c r="BC3302" s="3" t="s">
        <v>142</v>
      </c>
      <c r="BD3302" s="3" t="s">
        <v>68</v>
      </c>
      <c r="BE3302" s="3" t="s">
        <v>31948</v>
      </c>
      <c r="BF3302" s="3" t="s">
        <v>31947</v>
      </c>
      <c r="BG3302" s="3" t="s">
        <v>31949</v>
      </c>
    </row>
    <row r="3303" spans="1:59" ht="57" x14ac:dyDescent="0.45">
      <c r="A3303" s="2" t="s">
        <v>59</v>
      </c>
      <c r="B3303" s="2" t="s">
        <v>60</v>
      </c>
      <c r="C3303" s="2" t="s">
        <v>31950</v>
      </c>
      <c r="D3303" s="2" t="s">
        <v>31951</v>
      </c>
      <c r="E3303" s="2" t="s">
        <v>31952</v>
      </c>
      <c r="G3303" s="3" t="s">
        <v>62</v>
      </c>
      <c r="I3303" s="3" t="s">
        <v>62</v>
      </c>
      <c r="J3303" s="3" t="s">
        <v>62</v>
      </c>
      <c r="K3303" s="3" t="s">
        <v>63</v>
      </c>
      <c r="L3303" s="2" t="s">
        <v>31953</v>
      </c>
      <c r="M3303" s="2" t="s">
        <v>31954</v>
      </c>
      <c r="N3303" s="3" t="s">
        <v>1239</v>
      </c>
      <c r="P3303" s="3" t="s">
        <v>110</v>
      </c>
      <c r="Q3303" s="2" t="s">
        <v>31955</v>
      </c>
      <c r="R3303" s="3" t="s">
        <v>66</v>
      </c>
      <c r="S3303" s="4">
        <v>14</v>
      </c>
      <c r="T3303" s="4">
        <v>14</v>
      </c>
      <c r="U3303" s="5" t="s">
        <v>2690</v>
      </c>
      <c r="V3303" s="5" t="s">
        <v>2690</v>
      </c>
      <c r="W3303" s="5" t="s">
        <v>67</v>
      </c>
      <c r="X3303" s="5" t="s">
        <v>67</v>
      </c>
      <c r="Y3303" s="4">
        <v>84</v>
      </c>
      <c r="Z3303" s="4">
        <v>12</v>
      </c>
      <c r="AA3303" s="4">
        <v>22</v>
      </c>
      <c r="AB3303" s="4">
        <v>3</v>
      </c>
      <c r="AC3303" s="4">
        <v>8</v>
      </c>
      <c r="AD3303" s="4">
        <v>36</v>
      </c>
      <c r="AE3303" s="4">
        <v>45</v>
      </c>
      <c r="AF3303" s="4">
        <v>2</v>
      </c>
      <c r="AG3303" s="4">
        <v>6</v>
      </c>
      <c r="AH3303" s="4">
        <v>29</v>
      </c>
      <c r="AI3303" s="4">
        <v>32</v>
      </c>
      <c r="AJ3303" s="4">
        <v>8</v>
      </c>
      <c r="AK3303" s="4">
        <v>14</v>
      </c>
      <c r="AL3303" s="4">
        <v>22</v>
      </c>
      <c r="AM3303" s="4">
        <v>23</v>
      </c>
      <c r="AN3303" s="4">
        <v>4</v>
      </c>
      <c r="AO3303" s="4">
        <v>4</v>
      </c>
      <c r="AP3303" s="4">
        <v>10</v>
      </c>
      <c r="AQ3303" s="4">
        <v>17</v>
      </c>
      <c r="AR3303" s="3" t="s">
        <v>62</v>
      </c>
      <c r="AS3303" s="3" t="s">
        <v>62</v>
      </c>
      <c r="AT3303" s="3" t="s">
        <v>61</v>
      </c>
      <c r="AU3303" s="6" t="str">
        <f>HYPERLINK("http://catalog.hathitrust.org/Record/001953133","HathiTrust Record")</f>
        <v>HathiTrust Record</v>
      </c>
      <c r="AV3303" s="6" t="str">
        <f>HYPERLINK("http://mcgill.on.worldcat.org/oclc/26633800","Catalog Record")</f>
        <v>Catalog Record</v>
      </c>
      <c r="AW3303" s="6" t="str">
        <f>HYPERLINK("http://www.worldcat.org/oclc/26633800","WorldCat Record")</f>
        <v>WorldCat Record</v>
      </c>
      <c r="AX3303" s="3" t="s">
        <v>31956</v>
      </c>
      <c r="AY3303" s="3" t="s">
        <v>31957</v>
      </c>
      <c r="AZ3303" s="3" t="s">
        <v>31958</v>
      </c>
      <c r="BA3303" s="3" t="s">
        <v>31958</v>
      </c>
      <c r="BB3303" s="3" t="s">
        <v>31959</v>
      </c>
      <c r="BC3303" s="3" t="s">
        <v>142</v>
      </c>
      <c r="BD3303" s="3" t="s">
        <v>68</v>
      </c>
      <c r="BE3303" s="3" t="s">
        <v>31960</v>
      </c>
      <c r="BF3303" s="3" t="s">
        <v>31959</v>
      </c>
      <c r="BG3303" s="3" t="s">
        <v>31961</v>
      </c>
    </row>
    <row r="3304" spans="1:59" ht="71.25" x14ac:dyDescent="0.45">
      <c r="A3304" s="2" t="s">
        <v>59</v>
      </c>
      <c r="B3304" s="2" t="s">
        <v>60</v>
      </c>
      <c r="C3304" s="2" t="s">
        <v>31962</v>
      </c>
      <c r="D3304" s="2" t="s">
        <v>31963</v>
      </c>
      <c r="E3304" s="2" t="s">
        <v>31964</v>
      </c>
      <c r="G3304" s="3" t="s">
        <v>62</v>
      </c>
      <c r="I3304" s="3" t="s">
        <v>62</v>
      </c>
      <c r="J3304" s="3" t="s">
        <v>62</v>
      </c>
      <c r="K3304" s="3" t="s">
        <v>63</v>
      </c>
      <c r="L3304" s="2" t="s">
        <v>31953</v>
      </c>
      <c r="M3304" s="2" t="s">
        <v>31965</v>
      </c>
      <c r="N3304" s="3" t="s">
        <v>820</v>
      </c>
      <c r="O3304" s="2" t="s">
        <v>31966</v>
      </c>
      <c r="P3304" s="3" t="s">
        <v>65</v>
      </c>
      <c r="R3304" s="3" t="s">
        <v>66</v>
      </c>
      <c r="S3304" s="4">
        <v>4</v>
      </c>
      <c r="T3304" s="4">
        <v>4</v>
      </c>
      <c r="U3304" s="5" t="s">
        <v>263</v>
      </c>
      <c r="V3304" s="5" t="s">
        <v>263</v>
      </c>
      <c r="W3304" s="5" t="s">
        <v>67</v>
      </c>
      <c r="X3304" s="5" t="s">
        <v>67</v>
      </c>
      <c r="Y3304" s="4">
        <v>57</v>
      </c>
      <c r="Z3304" s="4">
        <v>4</v>
      </c>
      <c r="AA3304" s="4">
        <v>27</v>
      </c>
      <c r="AB3304" s="4">
        <v>1</v>
      </c>
      <c r="AC3304" s="4">
        <v>2</v>
      </c>
      <c r="AD3304" s="4">
        <v>10</v>
      </c>
      <c r="AE3304" s="4">
        <v>113</v>
      </c>
      <c r="AF3304" s="4">
        <v>0</v>
      </c>
      <c r="AG3304" s="4">
        <v>1</v>
      </c>
      <c r="AH3304" s="4">
        <v>8</v>
      </c>
      <c r="AI3304" s="4">
        <v>98</v>
      </c>
      <c r="AJ3304" s="4">
        <v>2</v>
      </c>
      <c r="AK3304" s="4">
        <v>14</v>
      </c>
      <c r="AL3304" s="4">
        <v>5</v>
      </c>
      <c r="AM3304" s="4">
        <v>57</v>
      </c>
      <c r="AN3304" s="4">
        <v>0</v>
      </c>
      <c r="AO3304" s="4">
        <v>0</v>
      </c>
      <c r="AP3304" s="4">
        <v>3</v>
      </c>
      <c r="AQ3304" s="4">
        <v>18</v>
      </c>
      <c r="AR3304" s="3" t="s">
        <v>62</v>
      </c>
      <c r="AS3304" s="3" t="s">
        <v>62</v>
      </c>
      <c r="AT3304" s="3" t="s">
        <v>62</v>
      </c>
      <c r="AV3304" s="6" t="str">
        <f>HYPERLINK("http://mcgill.on.worldcat.org/oclc/221175494","Catalog Record")</f>
        <v>Catalog Record</v>
      </c>
      <c r="AW3304" s="6" t="str">
        <f>HYPERLINK("http://www.worldcat.org/oclc/221175494","WorldCat Record")</f>
        <v>WorldCat Record</v>
      </c>
      <c r="AX3304" s="3" t="s">
        <v>31967</v>
      </c>
      <c r="AY3304" s="3" t="s">
        <v>31968</v>
      </c>
      <c r="AZ3304" s="3" t="s">
        <v>31969</v>
      </c>
      <c r="BA3304" s="3" t="s">
        <v>31969</v>
      </c>
      <c r="BB3304" s="3" t="s">
        <v>31970</v>
      </c>
      <c r="BC3304" s="3" t="s">
        <v>142</v>
      </c>
      <c r="BD3304" s="3" t="s">
        <v>68</v>
      </c>
      <c r="BE3304" s="3" t="s">
        <v>31971</v>
      </c>
      <c r="BF3304" s="3" t="s">
        <v>31970</v>
      </c>
      <c r="BG3304" s="3" t="s">
        <v>31972</v>
      </c>
    </row>
    <row r="3305" spans="1:59" ht="57" x14ac:dyDescent="0.45">
      <c r="A3305" s="2" t="s">
        <v>59</v>
      </c>
      <c r="B3305" s="2" t="s">
        <v>60</v>
      </c>
      <c r="C3305" s="2" t="s">
        <v>31973</v>
      </c>
      <c r="D3305" s="2" t="s">
        <v>31974</v>
      </c>
      <c r="E3305" s="2" t="s">
        <v>31975</v>
      </c>
      <c r="G3305" s="3" t="s">
        <v>62</v>
      </c>
      <c r="I3305" s="3" t="s">
        <v>61</v>
      </c>
      <c r="J3305" s="3" t="s">
        <v>62</v>
      </c>
      <c r="K3305" s="3" t="s">
        <v>63</v>
      </c>
      <c r="L3305" s="2" t="s">
        <v>1550</v>
      </c>
      <c r="M3305" s="2" t="s">
        <v>31513</v>
      </c>
      <c r="N3305" s="3" t="s">
        <v>122</v>
      </c>
      <c r="P3305" s="3" t="s">
        <v>65</v>
      </c>
      <c r="R3305" s="3" t="s">
        <v>66</v>
      </c>
      <c r="S3305" s="4">
        <v>31</v>
      </c>
      <c r="T3305" s="4">
        <v>69</v>
      </c>
      <c r="U3305" s="5" t="s">
        <v>31976</v>
      </c>
      <c r="V3305" s="5" t="s">
        <v>31977</v>
      </c>
      <c r="W3305" s="5" t="s">
        <v>67</v>
      </c>
      <c r="X3305" s="5" t="s">
        <v>67</v>
      </c>
      <c r="Y3305" s="4">
        <v>869</v>
      </c>
      <c r="Z3305" s="4">
        <v>57</v>
      </c>
      <c r="AA3305" s="4">
        <v>108</v>
      </c>
      <c r="AB3305" s="4">
        <v>3</v>
      </c>
      <c r="AC3305" s="4">
        <v>15</v>
      </c>
      <c r="AD3305" s="4">
        <v>143</v>
      </c>
      <c r="AE3305" s="4">
        <v>163</v>
      </c>
      <c r="AF3305" s="4">
        <v>2</v>
      </c>
      <c r="AG3305" s="4">
        <v>8</v>
      </c>
      <c r="AH3305" s="4">
        <v>112</v>
      </c>
      <c r="AI3305" s="4">
        <v>116</v>
      </c>
      <c r="AJ3305" s="4">
        <v>22</v>
      </c>
      <c r="AK3305" s="4">
        <v>27</v>
      </c>
      <c r="AL3305" s="4">
        <v>60</v>
      </c>
      <c r="AM3305" s="4">
        <v>63</v>
      </c>
      <c r="AN3305" s="4">
        <v>0</v>
      </c>
      <c r="AO3305" s="4">
        <v>0</v>
      </c>
      <c r="AP3305" s="4">
        <v>40</v>
      </c>
      <c r="AQ3305" s="4">
        <v>54</v>
      </c>
      <c r="AR3305" s="3" t="s">
        <v>62</v>
      </c>
      <c r="AS3305" s="3" t="s">
        <v>62</v>
      </c>
      <c r="AT3305" s="3" t="s">
        <v>61</v>
      </c>
      <c r="AU3305" s="6" t="str">
        <f>HYPERLINK("http://catalog.hathitrust.org/Record/000251908","HathiTrust Record")</f>
        <v>HathiTrust Record</v>
      </c>
      <c r="AV3305" s="6" t="str">
        <f>HYPERLINK("http://mcgill.on.worldcat.org/oclc/3017338","Catalog Record")</f>
        <v>Catalog Record</v>
      </c>
      <c r="AW3305" s="6" t="str">
        <f>HYPERLINK("http://www.worldcat.org/oclc/3017338","WorldCat Record")</f>
        <v>WorldCat Record</v>
      </c>
      <c r="AX3305" s="3" t="s">
        <v>31978</v>
      </c>
      <c r="AY3305" s="3" t="s">
        <v>31979</v>
      </c>
      <c r="AZ3305" s="3" t="s">
        <v>31980</v>
      </c>
      <c r="BA3305" s="3" t="s">
        <v>31980</v>
      </c>
      <c r="BB3305" s="3" t="s">
        <v>31981</v>
      </c>
      <c r="BC3305" s="3" t="s">
        <v>142</v>
      </c>
      <c r="BD3305" s="3" t="s">
        <v>68</v>
      </c>
      <c r="BE3305" s="3" t="s">
        <v>31982</v>
      </c>
      <c r="BF3305" s="3" t="s">
        <v>31981</v>
      </c>
      <c r="BG3305" s="3" t="s">
        <v>31983</v>
      </c>
    </row>
    <row r="3306" spans="1:59" ht="57" x14ac:dyDescent="0.45">
      <c r="A3306" s="2" t="s">
        <v>59</v>
      </c>
      <c r="B3306" s="2" t="s">
        <v>60</v>
      </c>
      <c r="C3306" s="2" t="s">
        <v>31973</v>
      </c>
      <c r="D3306" s="2" t="s">
        <v>31974</v>
      </c>
      <c r="E3306" s="2" t="s">
        <v>31975</v>
      </c>
      <c r="G3306" s="3" t="s">
        <v>62</v>
      </c>
      <c r="I3306" s="3" t="s">
        <v>61</v>
      </c>
      <c r="J3306" s="3" t="s">
        <v>62</v>
      </c>
      <c r="K3306" s="3" t="s">
        <v>63</v>
      </c>
      <c r="L3306" s="2" t="s">
        <v>1550</v>
      </c>
      <c r="M3306" s="2" t="s">
        <v>31513</v>
      </c>
      <c r="N3306" s="3" t="s">
        <v>122</v>
      </c>
      <c r="P3306" s="3" t="s">
        <v>65</v>
      </c>
      <c r="R3306" s="3" t="s">
        <v>66</v>
      </c>
      <c r="S3306" s="4">
        <v>36</v>
      </c>
      <c r="T3306" s="4">
        <v>69</v>
      </c>
      <c r="U3306" s="5" t="s">
        <v>31984</v>
      </c>
      <c r="V3306" s="5" t="s">
        <v>31977</v>
      </c>
      <c r="W3306" s="5" t="s">
        <v>67</v>
      </c>
      <c r="X3306" s="5" t="s">
        <v>67</v>
      </c>
      <c r="Y3306" s="4">
        <v>869</v>
      </c>
      <c r="Z3306" s="4">
        <v>57</v>
      </c>
      <c r="AA3306" s="4">
        <v>108</v>
      </c>
      <c r="AB3306" s="4">
        <v>3</v>
      </c>
      <c r="AC3306" s="4">
        <v>15</v>
      </c>
      <c r="AD3306" s="4">
        <v>143</v>
      </c>
      <c r="AE3306" s="4">
        <v>163</v>
      </c>
      <c r="AF3306" s="4">
        <v>2</v>
      </c>
      <c r="AG3306" s="4">
        <v>8</v>
      </c>
      <c r="AH3306" s="4">
        <v>112</v>
      </c>
      <c r="AI3306" s="4">
        <v>116</v>
      </c>
      <c r="AJ3306" s="4">
        <v>22</v>
      </c>
      <c r="AK3306" s="4">
        <v>27</v>
      </c>
      <c r="AL3306" s="4">
        <v>60</v>
      </c>
      <c r="AM3306" s="4">
        <v>63</v>
      </c>
      <c r="AN3306" s="4">
        <v>0</v>
      </c>
      <c r="AO3306" s="4">
        <v>0</v>
      </c>
      <c r="AP3306" s="4">
        <v>40</v>
      </c>
      <c r="AQ3306" s="4">
        <v>54</v>
      </c>
      <c r="AR3306" s="3" t="s">
        <v>62</v>
      </c>
      <c r="AS3306" s="3" t="s">
        <v>62</v>
      </c>
      <c r="AT3306" s="3" t="s">
        <v>61</v>
      </c>
      <c r="AU3306" s="6" t="str">
        <f>HYPERLINK("http://catalog.hathitrust.org/Record/000251908","HathiTrust Record")</f>
        <v>HathiTrust Record</v>
      </c>
      <c r="AV3306" s="6" t="str">
        <f>HYPERLINK("http://mcgill.on.worldcat.org/oclc/3017338","Catalog Record")</f>
        <v>Catalog Record</v>
      </c>
      <c r="AW3306" s="6" t="str">
        <f>HYPERLINK("http://www.worldcat.org/oclc/3017338","WorldCat Record")</f>
        <v>WorldCat Record</v>
      </c>
      <c r="AX3306" s="3" t="s">
        <v>31978</v>
      </c>
      <c r="AY3306" s="3" t="s">
        <v>31979</v>
      </c>
      <c r="AZ3306" s="3" t="s">
        <v>31980</v>
      </c>
      <c r="BA3306" s="3" t="s">
        <v>31980</v>
      </c>
      <c r="BB3306" s="3" t="s">
        <v>31985</v>
      </c>
      <c r="BC3306" s="3" t="s">
        <v>142</v>
      </c>
      <c r="BD3306" s="3" t="s">
        <v>68</v>
      </c>
      <c r="BE3306" s="3" t="s">
        <v>31982</v>
      </c>
      <c r="BF3306" s="3" t="s">
        <v>31985</v>
      </c>
      <c r="BG3306" s="3" t="s">
        <v>31986</v>
      </c>
    </row>
    <row r="3307" spans="1:59" ht="57" x14ac:dyDescent="0.45">
      <c r="A3307" s="2" t="s">
        <v>59</v>
      </c>
      <c r="B3307" s="2" t="s">
        <v>60</v>
      </c>
      <c r="C3307" s="2" t="s">
        <v>31987</v>
      </c>
      <c r="D3307" s="2" t="s">
        <v>31988</v>
      </c>
      <c r="E3307" s="2" t="s">
        <v>31989</v>
      </c>
      <c r="G3307" s="3" t="s">
        <v>62</v>
      </c>
      <c r="I3307" s="3" t="s">
        <v>61</v>
      </c>
      <c r="J3307" s="3" t="s">
        <v>62</v>
      </c>
      <c r="K3307" s="3" t="s">
        <v>63</v>
      </c>
      <c r="L3307" s="2" t="s">
        <v>31990</v>
      </c>
      <c r="M3307" s="2" t="s">
        <v>31991</v>
      </c>
      <c r="N3307" s="3" t="s">
        <v>113</v>
      </c>
      <c r="P3307" s="3" t="s">
        <v>65</v>
      </c>
      <c r="Q3307" s="2" t="s">
        <v>31992</v>
      </c>
      <c r="R3307" s="3" t="s">
        <v>66</v>
      </c>
      <c r="S3307" s="4">
        <v>24</v>
      </c>
      <c r="T3307" s="4">
        <v>67</v>
      </c>
      <c r="U3307" s="5" t="s">
        <v>82</v>
      </c>
      <c r="V3307" s="5" t="s">
        <v>27217</v>
      </c>
      <c r="W3307" s="5" t="s">
        <v>67</v>
      </c>
      <c r="X3307" s="5" t="s">
        <v>67</v>
      </c>
      <c r="Y3307" s="4">
        <v>941</v>
      </c>
      <c r="Z3307" s="4">
        <v>50</v>
      </c>
      <c r="AA3307" s="4">
        <v>67</v>
      </c>
      <c r="AB3307" s="4">
        <v>4</v>
      </c>
      <c r="AC3307" s="4">
        <v>8</v>
      </c>
      <c r="AD3307" s="4">
        <v>125</v>
      </c>
      <c r="AE3307" s="4">
        <v>144</v>
      </c>
      <c r="AF3307" s="4">
        <v>2</v>
      </c>
      <c r="AG3307" s="4">
        <v>5</v>
      </c>
      <c r="AH3307" s="4">
        <v>104</v>
      </c>
      <c r="AI3307" s="4">
        <v>112</v>
      </c>
      <c r="AJ3307" s="4">
        <v>21</v>
      </c>
      <c r="AK3307" s="4">
        <v>25</v>
      </c>
      <c r="AL3307" s="4">
        <v>54</v>
      </c>
      <c r="AM3307" s="4">
        <v>59</v>
      </c>
      <c r="AN3307" s="4">
        <v>0</v>
      </c>
      <c r="AO3307" s="4">
        <v>0</v>
      </c>
      <c r="AP3307" s="4">
        <v>31</v>
      </c>
      <c r="AQ3307" s="4">
        <v>40</v>
      </c>
      <c r="AR3307" s="3" t="s">
        <v>62</v>
      </c>
      <c r="AS3307" s="3" t="s">
        <v>62</v>
      </c>
      <c r="AT3307" s="3" t="s">
        <v>62</v>
      </c>
      <c r="AV3307" s="6" t="str">
        <f>HYPERLINK("http://mcgill.on.worldcat.org/oclc/586274","Catalog Record")</f>
        <v>Catalog Record</v>
      </c>
      <c r="AW3307" s="6" t="str">
        <f>HYPERLINK("http://www.worldcat.org/oclc/586274","WorldCat Record")</f>
        <v>WorldCat Record</v>
      </c>
      <c r="AX3307" s="3" t="s">
        <v>31993</v>
      </c>
      <c r="AY3307" s="3" t="s">
        <v>31994</v>
      </c>
      <c r="AZ3307" s="3" t="s">
        <v>31995</v>
      </c>
      <c r="BA3307" s="3" t="s">
        <v>31995</v>
      </c>
      <c r="BB3307" s="3" t="s">
        <v>31996</v>
      </c>
      <c r="BC3307" s="3" t="s">
        <v>142</v>
      </c>
      <c r="BD3307" s="3" t="s">
        <v>68</v>
      </c>
      <c r="BE3307" s="3" t="s">
        <v>31997</v>
      </c>
      <c r="BF3307" s="3" t="s">
        <v>31996</v>
      </c>
      <c r="BG3307" s="3" t="s">
        <v>31998</v>
      </c>
    </row>
    <row r="3308" spans="1:59" ht="57" x14ac:dyDescent="0.45">
      <c r="A3308" s="2" t="s">
        <v>59</v>
      </c>
      <c r="B3308" s="2" t="s">
        <v>60</v>
      </c>
      <c r="C3308" s="2" t="s">
        <v>31987</v>
      </c>
      <c r="D3308" s="2" t="s">
        <v>31988</v>
      </c>
      <c r="E3308" s="2" t="s">
        <v>31989</v>
      </c>
      <c r="G3308" s="3" t="s">
        <v>62</v>
      </c>
      <c r="I3308" s="3" t="s">
        <v>61</v>
      </c>
      <c r="J3308" s="3" t="s">
        <v>62</v>
      </c>
      <c r="K3308" s="3" t="s">
        <v>63</v>
      </c>
      <c r="L3308" s="2" t="s">
        <v>31990</v>
      </c>
      <c r="M3308" s="2" t="s">
        <v>31991</v>
      </c>
      <c r="N3308" s="3" t="s">
        <v>113</v>
      </c>
      <c r="P3308" s="3" t="s">
        <v>65</v>
      </c>
      <c r="Q3308" s="2" t="s">
        <v>31992</v>
      </c>
      <c r="R3308" s="3" t="s">
        <v>66</v>
      </c>
      <c r="S3308" s="4">
        <v>14</v>
      </c>
      <c r="T3308" s="4">
        <v>67</v>
      </c>
      <c r="U3308" s="5" t="s">
        <v>31999</v>
      </c>
      <c r="V3308" s="5" t="s">
        <v>27217</v>
      </c>
      <c r="W3308" s="5" t="s">
        <v>67</v>
      </c>
      <c r="X3308" s="5" t="s">
        <v>67</v>
      </c>
      <c r="Y3308" s="4">
        <v>941</v>
      </c>
      <c r="Z3308" s="4">
        <v>50</v>
      </c>
      <c r="AA3308" s="4">
        <v>67</v>
      </c>
      <c r="AB3308" s="4">
        <v>4</v>
      </c>
      <c r="AC3308" s="4">
        <v>8</v>
      </c>
      <c r="AD3308" s="4">
        <v>125</v>
      </c>
      <c r="AE3308" s="4">
        <v>144</v>
      </c>
      <c r="AF3308" s="4">
        <v>2</v>
      </c>
      <c r="AG3308" s="4">
        <v>5</v>
      </c>
      <c r="AH3308" s="4">
        <v>104</v>
      </c>
      <c r="AI3308" s="4">
        <v>112</v>
      </c>
      <c r="AJ3308" s="4">
        <v>21</v>
      </c>
      <c r="AK3308" s="4">
        <v>25</v>
      </c>
      <c r="AL3308" s="4">
        <v>54</v>
      </c>
      <c r="AM3308" s="4">
        <v>59</v>
      </c>
      <c r="AN3308" s="4">
        <v>0</v>
      </c>
      <c r="AO3308" s="4">
        <v>0</v>
      </c>
      <c r="AP3308" s="4">
        <v>31</v>
      </c>
      <c r="AQ3308" s="4">
        <v>40</v>
      </c>
      <c r="AR3308" s="3" t="s">
        <v>62</v>
      </c>
      <c r="AS3308" s="3" t="s">
        <v>62</v>
      </c>
      <c r="AT3308" s="3" t="s">
        <v>62</v>
      </c>
      <c r="AV3308" s="6" t="str">
        <f>HYPERLINK("http://mcgill.on.worldcat.org/oclc/586274","Catalog Record")</f>
        <v>Catalog Record</v>
      </c>
      <c r="AW3308" s="6" t="str">
        <f>HYPERLINK("http://www.worldcat.org/oclc/586274","WorldCat Record")</f>
        <v>WorldCat Record</v>
      </c>
      <c r="AX3308" s="3" t="s">
        <v>31993</v>
      </c>
      <c r="AY3308" s="3" t="s">
        <v>31994</v>
      </c>
      <c r="AZ3308" s="3" t="s">
        <v>31995</v>
      </c>
      <c r="BA3308" s="3" t="s">
        <v>31995</v>
      </c>
      <c r="BB3308" s="3" t="s">
        <v>32000</v>
      </c>
      <c r="BC3308" s="3" t="s">
        <v>142</v>
      </c>
      <c r="BD3308" s="3" t="s">
        <v>68</v>
      </c>
      <c r="BE3308" s="3" t="s">
        <v>31997</v>
      </c>
      <c r="BF3308" s="3" t="s">
        <v>32000</v>
      </c>
      <c r="BG3308" s="3" t="s">
        <v>32001</v>
      </c>
    </row>
    <row r="3309" spans="1:59" ht="57" x14ac:dyDescent="0.45">
      <c r="A3309" s="2" t="s">
        <v>59</v>
      </c>
      <c r="B3309" s="2" t="s">
        <v>60</v>
      </c>
      <c r="C3309" s="2" t="s">
        <v>31987</v>
      </c>
      <c r="D3309" s="2" t="s">
        <v>31988</v>
      </c>
      <c r="E3309" s="2" t="s">
        <v>31989</v>
      </c>
      <c r="G3309" s="3" t="s">
        <v>62</v>
      </c>
      <c r="I3309" s="3" t="s">
        <v>61</v>
      </c>
      <c r="J3309" s="3" t="s">
        <v>62</v>
      </c>
      <c r="K3309" s="3" t="s">
        <v>63</v>
      </c>
      <c r="L3309" s="2" t="s">
        <v>31990</v>
      </c>
      <c r="M3309" s="2" t="s">
        <v>31991</v>
      </c>
      <c r="N3309" s="3" t="s">
        <v>113</v>
      </c>
      <c r="P3309" s="3" t="s">
        <v>65</v>
      </c>
      <c r="Q3309" s="2" t="s">
        <v>31992</v>
      </c>
      <c r="R3309" s="3" t="s">
        <v>66</v>
      </c>
      <c r="S3309" s="4">
        <v>29</v>
      </c>
      <c r="T3309" s="4">
        <v>67</v>
      </c>
      <c r="U3309" s="5" t="s">
        <v>27217</v>
      </c>
      <c r="V3309" s="5" t="s">
        <v>27217</v>
      </c>
      <c r="W3309" s="5" t="s">
        <v>67</v>
      </c>
      <c r="X3309" s="5" t="s">
        <v>67</v>
      </c>
      <c r="Y3309" s="4">
        <v>941</v>
      </c>
      <c r="Z3309" s="4">
        <v>50</v>
      </c>
      <c r="AA3309" s="4">
        <v>67</v>
      </c>
      <c r="AB3309" s="4">
        <v>4</v>
      </c>
      <c r="AC3309" s="4">
        <v>8</v>
      </c>
      <c r="AD3309" s="4">
        <v>125</v>
      </c>
      <c r="AE3309" s="4">
        <v>144</v>
      </c>
      <c r="AF3309" s="4">
        <v>2</v>
      </c>
      <c r="AG3309" s="4">
        <v>5</v>
      </c>
      <c r="AH3309" s="4">
        <v>104</v>
      </c>
      <c r="AI3309" s="4">
        <v>112</v>
      </c>
      <c r="AJ3309" s="4">
        <v>21</v>
      </c>
      <c r="AK3309" s="4">
        <v>25</v>
      </c>
      <c r="AL3309" s="4">
        <v>54</v>
      </c>
      <c r="AM3309" s="4">
        <v>59</v>
      </c>
      <c r="AN3309" s="4">
        <v>0</v>
      </c>
      <c r="AO3309" s="4">
        <v>0</v>
      </c>
      <c r="AP3309" s="4">
        <v>31</v>
      </c>
      <c r="AQ3309" s="4">
        <v>40</v>
      </c>
      <c r="AR3309" s="3" t="s">
        <v>62</v>
      </c>
      <c r="AS3309" s="3" t="s">
        <v>62</v>
      </c>
      <c r="AT3309" s="3" t="s">
        <v>62</v>
      </c>
      <c r="AV3309" s="6" t="str">
        <f>HYPERLINK("http://mcgill.on.worldcat.org/oclc/586274","Catalog Record")</f>
        <v>Catalog Record</v>
      </c>
      <c r="AW3309" s="6" t="str">
        <f>HYPERLINK("http://www.worldcat.org/oclc/586274","WorldCat Record")</f>
        <v>WorldCat Record</v>
      </c>
      <c r="AX3309" s="3" t="s">
        <v>31993</v>
      </c>
      <c r="AY3309" s="3" t="s">
        <v>31994</v>
      </c>
      <c r="AZ3309" s="3" t="s">
        <v>31995</v>
      </c>
      <c r="BA3309" s="3" t="s">
        <v>31995</v>
      </c>
      <c r="BB3309" s="3" t="s">
        <v>32002</v>
      </c>
      <c r="BC3309" s="3" t="s">
        <v>142</v>
      </c>
      <c r="BD3309" s="3" t="s">
        <v>68</v>
      </c>
      <c r="BE3309" s="3" t="s">
        <v>31997</v>
      </c>
      <c r="BF3309" s="3" t="s">
        <v>32002</v>
      </c>
      <c r="BG3309" s="3" t="s">
        <v>32003</v>
      </c>
    </row>
    <row r="3310" spans="1:59" ht="57" x14ac:dyDescent="0.45">
      <c r="A3310" s="2" t="s">
        <v>59</v>
      </c>
      <c r="B3310" s="2" t="s">
        <v>60</v>
      </c>
      <c r="C3310" s="2" t="s">
        <v>32004</v>
      </c>
      <c r="D3310" s="2" t="s">
        <v>32005</v>
      </c>
      <c r="E3310" s="2" t="s">
        <v>32006</v>
      </c>
      <c r="G3310" s="3" t="s">
        <v>62</v>
      </c>
      <c r="I3310" s="3" t="s">
        <v>62</v>
      </c>
      <c r="J3310" s="3" t="s">
        <v>62</v>
      </c>
      <c r="K3310" s="3" t="s">
        <v>63</v>
      </c>
      <c r="L3310" s="2" t="s">
        <v>1550</v>
      </c>
      <c r="M3310" s="2" t="s">
        <v>32007</v>
      </c>
      <c r="N3310" s="3" t="s">
        <v>220</v>
      </c>
      <c r="P3310" s="3" t="s">
        <v>110</v>
      </c>
      <c r="R3310" s="3" t="s">
        <v>66</v>
      </c>
      <c r="S3310" s="4">
        <v>7</v>
      </c>
      <c r="T3310" s="4">
        <v>7</v>
      </c>
      <c r="U3310" s="5" t="s">
        <v>12624</v>
      </c>
      <c r="V3310" s="5" t="s">
        <v>12624</v>
      </c>
      <c r="W3310" s="5" t="s">
        <v>67</v>
      </c>
      <c r="X3310" s="5" t="s">
        <v>67</v>
      </c>
      <c r="Y3310" s="4">
        <v>6</v>
      </c>
      <c r="Z3310" s="4">
        <v>6</v>
      </c>
      <c r="AA3310" s="4">
        <v>9</v>
      </c>
      <c r="AB3310" s="4">
        <v>1</v>
      </c>
      <c r="AC3310" s="4">
        <v>3</v>
      </c>
      <c r="AD3310" s="4">
        <v>4</v>
      </c>
      <c r="AE3310" s="4">
        <v>5</v>
      </c>
      <c r="AF3310" s="4">
        <v>0</v>
      </c>
      <c r="AG3310" s="4">
        <v>1</v>
      </c>
      <c r="AH3310" s="4">
        <v>1</v>
      </c>
      <c r="AI3310" s="4">
        <v>1</v>
      </c>
      <c r="AJ3310" s="4">
        <v>2</v>
      </c>
      <c r="AK3310" s="4">
        <v>3</v>
      </c>
      <c r="AL3310" s="4">
        <v>0</v>
      </c>
      <c r="AM3310" s="4">
        <v>0</v>
      </c>
      <c r="AN3310" s="4">
        <v>0</v>
      </c>
      <c r="AO3310" s="4">
        <v>0</v>
      </c>
      <c r="AP3310" s="4">
        <v>3</v>
      </c>
      <c r="AQ3310" s="4">
        <v>4</v>
      </c>
      <c r="AR3310" s="3" t="s">
        <v>61</v>
      </c>
      <c r="AS3310" s="3" t="s">
        <v>62</v>
      </c>
      <c r="AT3310" s="3" t="s">
        <v>62</v>
      </c>
      <c r="AV3310" s="6" t="str">
        <f>HYPERLINK("http://mcgill.on.worldcat.org/oclc/427499573","Catalog Record")</f>
        <v>Catalog Record</v>
      </c>
      <c r="AW3310" s="6" t="str">
        <f>HYPERLINK("http://www.worldcat.org/oclc/427499573","WorldCat Record")</f>
        <v>WorldCat Record</v>
      </c>
      <c r="AX3310" s="3" t="s">
        <v>32008</v>
      </c>
      <c r="AY3310" s="3" t="s">
        <v>32009</v>
      </c>
      <c r="AZ3310" s="3" t="s">
        <v>32010</v>
      </c>
      <c r="BA3310" s="3" t="s">
        <v>32010</v>
      </c>
      <c r="BB3310" s="3" t="s">
        <v>32011</v>
      </c>
      <c r="BC3310" s="3" t="s">
        <v>142</v>
      </c>
      <c r="BD3310" s="3" t="s">
        <v>68</v>
      </c>
      <c r="BF3310" s="3" t="s">
        <v>32011</v>
      </c>
      <c r="BG3310" s="3" t="s">
        <v>32012</v>
      </c>
    </row>
    <row r="3311" spans="1:59" ht="57" x14ac:dyDescent="0.45">
      <c r="A3311" s="2" t="s">
        <v>59</v>
      </c>
      <c r="B3311" s="2" t="s">
        <v>60</v>
      </c>
      <c r="C3311" s="2" t="s">
        <v>32013</v>
      </c>
      <c r="D3311" s="2" t="s">
        <v>32014</v>
      </c>
      <c r="E3311" s="2" t="s">
        <v>32015</v>
      </c>
      <c r="G3311" s="3" t="s">
        <v>62</v>
      </c>
      <c r="I3311" s="3" t="s">
        <v>62</v>
      </c>
      <c r="J3311" s="3" t="s">
        <v>61</v>
      </c>
      <c r="K3311" s="3" t="s">
        <v>63</v>
      </c>
      <c r="M3311" s="2" t="s">
        <v>3423</v>
      </c>
      <c r="N3311" s="3" t="s">
        <v>1478</v>
      </c>
      <c r="O3311" s="2" t="s">
        <v>906</v>
      </c>
      <c r="P3311" s="3" t="s">
        <v>65</v>
      </c>
      <c r="R3311" s="3" t="s">
        <v>66</v>
      </c>
      <c r="S3311" s="4">
        <v>57</v>
      </c>
      <c r="T3311" s="4">
        <v>57</v>
      </c>
      <c r="U3311" s="5" t="s">
        <v>10258</v>
      </c>
      <c r="V3311" s="5" t="s">
        <v>10258</v>
      </c>
      <c r="W3311" s="5" t="s">
        <v>67</v>
      </c>
      <c r="X3311" s="5" t="s">
        <v>67</v>
      </c>
      <c r="Y3311" s="4">
        <v>322</v>
      </c>
      <c r="Z3311" s="4">
        <v>21</v>
      </c>
      <c r="AA3311" s="4">
        <v>58</v>
      </c>
      <c r="AB3311" s="4">
        <v>2</v>
      </c>
      <c r="AC3311" s="4">
        <v>6</v>
      </c>
      <c r="AD3311" s="4">
        <v>78</v>
      </c>
      <c r="AE3311" s="4">
        <v>141</v>
      </c>
      <c r="AF3311" s="4">
        <v>0</v>
      </c>
      <c r="AG3311" s="4">
        <v>3</v>
      </c>
      <c r="AH3311" s="4">
        <v>70</v>
      </c>
      <c r="AI3311" s="4">
        <v>114</v>
      </c>
      <c r="AJ3311" s="4">
        <v>9</v>
      </c>
      <c r="AK3311" s="4">
        <v>22</v>
      </c>
      <c r="AL3311" s="4">
        <v>43</v>
      </c>
      <c r="AM3311" s="4">
        <v>60</v>
      </c>
      <c r="AN3311" s="4">
        <v>0</v>
      </c>
      <c r="AO3311" s="4">
        <v>3</v>
      </c>
      <c r="AP3311" s="4">
        <v>11</v>
      </c>
      <c r="AQ3311" s="4">
        <v>37</v>
      </c>
      <c r="AR3311" s="3" t="s">
        <v>62</v>
      </c>
      <c r="AS3311" s="3" t="s">
        <v>62</v>
      </c>
      <c r="AT3311" s="3" t="s">
        <v>62</v>
      </c>
      <c r="AV3311" s="6" t="str">
        <f>HYPERLINK("http://mcgill.on.worldcat.org/oclc/32166107","Catalog Record")</f>
        <v>Catalog Record</v>
      </c>
      <c r="AW3311" s="6" t="str">
        <f>HYPERLINK("http://www.worldcat.org/oclc/32166107","WorldCat Record")</f>
        <v>WorldCat Record</v>
      </c>
      <c r="AX3311" s="3" t="s">
        <v>32016</v>
      </c>
      <c r="AY3311" s="3" t="s">
        <v>32017</v>
      </c>
      <c r="AZ3311" s="3" t="s">
        <v>32018</v>
      </c>
      <c r="BA3311" s="3" t="s">
        <v>32018</v>
      </c>
      <c r="BB3311" s="3" t="s">
        <v>32019</v>
      </c>
      <c r="BC3311" s="3" t="s">
        <v>142</v>
      </c>
      <c r="BD3311" s="3" t="s">
        <v>68</v>
      </c>
      <c r="BE3311" s="3" t="s">
        <v>32020</v>
      </c>
      <c r="BF3311" s="3" t="s">
        <v>32019</v>
      </c>
      <c r="BG3311" s="3" t="s">
        <v>32021</v>
      </c>
    </row>
    <row r="3312" spans="1:59" ht="57" x14ac:dyDescent="0.45">
      <c r="A3312" s="2" t="s">
        <v>59</v>
      </c>
      <c r="B3312" s="2" t="s">
        <v>60</v>
      </c>
      <c r="C3312" s="2" t="s">
        <v>32022</v>
      </c>
      <c r="D3312" s="2" t="s">
        <v>32023</v>
      </c>
      <c r="E3312" s="2" t="s">
        <v>32015</v>
      </c>
      <c r="F3312" s="3" t="s">
        <v>87</v>
      </c>
      <c r="G3312" s="3" t="s">
        <v>61</v>
      </c>
      <c r="I3312" s="3" t="s">
        <v>62</v>
      </c>
      <c r="J3312" s="3" t="s">
        <v>61</v>
      </c>
      <c r="K3312" s="3" t="s">
        <v>63</v>
      </c>
      <c r="M3312" s="2" t="s">
        <v>32024</v>
      </c>
      <c r="N3312" s="3" t="s">
        <v>1465</v>
      </c>
      <c r="P3312" s="3" t="s">
        <v>65</v>
      </c>
      <c r="Q3312" s="2" t="s">
        <v>32025</v>
      </c>
      <c r="R3312" s="3" t="s">
        <v>66</v>
      </c>
      <c r="S3312" s="4">
        <v>7</v>
      </c>
      <c r="T3312" s="4">
        <v>14</v>
      </c>
      <c r="U3312" s="5" t="s">
        <v>32026</v>
      </c>
      <c r="V3312" s="5" t="s">
        <v>32026</v>
      </c>
      <c r="W3312" s="5" t="s">
        <v>67</v>
      </c>
      <c r="X3312" s="5" t="s">
        <v>67</v>
      </c>
      <c r="Y3312" s="4">
        <v>4</v>
      </c>
      <c r="Z3312" s="4">
        <v>1</v>
      </c>
      <c r="AA3312" s="4">
        <v>58</v>
      </c>
      <c r="AB3312" s="4">
        <v>1</v>
      </c>
      <c r="AC3312" s="4">
        <v>6</v>
      </c>
      <c r="AD3312" s="4">
        <v>1</v>
      </c>
      <c r="AE3312" s="4">
        <v>141</v>
      </c>
      <c r="AF3312" s="4">
        <v>0</v>
      </c>
      <c r="AG3312" s="4">
        <v>3</v>
      </c>
      <c r="AH3312" s="4">
        <v>1</v>
      </c>
      <c r="AI3312" s="4">
        <v>114</v>
      </c>
      <c r="AJ3312" s="4">
        <v>0</v>
      </c>
      <c r="AK3312" s="4">
        <v>22</v>
      </c>
      <c r="AL3312" s="4">
        <v>1</v>
      </c>
      <c r="AM3312" s="4">
        <v>60</v>
      </c>
      <c r="AN3312" s="4">
        <v>0</v>
      </c>
      <c r="AO3312" s="4">
        <v>3</v>
      </c>
      <c r="AP3312" s="4">
        <v>0</v>
      </c>
      <c r="AQ3312" s="4">
        <v>37</v>
      </c>
      <c r="AR3312" s="3" t="s">
        <v>62</v>
      </c>
      <c r="AS3312" s="3" t="s">
        <v>62</v>
      </c>
      <c r="AT3312" s="3" t="s">
        <v>61</v>
      </c>
      <c r="AU3312" s="6" t="str">
        <f>HYPERLINK("http://catalog.hathitrust.org/Record/009802304","HathiTrust Record")</f>
        <v>HathiTrust Record</v>
      </c>
      <c r="AV3312" s="6" t="str">
        <f>HYPERLINK("http://mcgill.on.worldcat.org/oclc/288983471","Catalog Record")</f>
        <v>Catalog Record</v>
      </c>
      <c r="AW3312" s="6" t="str">
        <f>HYPERLINK("http://www.worldcat.org/oclc/288983471","WorldCat Record")</f>
        <v>WorldCat Record</v>
      </c>
      <c r="AX3312" s="3" t="s">
        <v>32016</v>
      </c>
      <c r="AY3312" s="3" t="s">
        <v>32027</v>
      </c>
      <c r="AZ3312" s="3" t="s">
        <v>32028</v>
      </c>
      <c r="BA3312" s="3" t="s">
        <v>32028</v>
      </c>
      <c r="BB3312" s="3" t="s">
        <v>32029</v>
      </c>
      <c r="BC3312" s="3" t="s">
        <v>142</v>
      </c>
      <c r="BD3312" s="3" t="s">
        <v>68</v>
      </c>
      <c r="BE3312" s="3" t="s">
        <v>32030</v>
      </c>
      <c r="BF3312" s="3" t="s">
        <v>32029</v>
      </c>
      <c r="BG3312" s="3" t="s">
        <v>32031</v>
      </c>
    </row>
    <row r="3313" spans="1:59" ht="57" x14ac:dyDescent="0.45">
      <c r="A3313" s="2" t="s">
        <v>59</v>
      </c>
      <c r="B3313" s="2" t="s">
        <v>60</v>
      </c>
      <c r="C3313" s="2" t="s">
        <v>32022</v>
      </c>
      <c r="D3313" s="2" t="s">
        <v>32023</v>
      </c>
      <c r="E3313" s="2" t="s">
        <v>32015</v>
      </c>
      <c r="F3313" s="3" t="s">
        <v>88</v>
      </c>
      <c r="G3313" s="3" t="s">
        <v>61</v>
      </c>
      <c r="I3313" s="3" t="s">
        <v>62</v>
      </c>
      <c r="J3313" s="3" t="s">
        <v>61</v>
      </c>
      <c r="K3313" s="3" t="s">
        <v>63</v>
      </c>
      <c r="M3313" s="2" t="s">
        <v>32024</v>
      </c>
      <c r="N3313" s="3" t="s">
        <v>1465</v>
      </c>
      <c r="P3313" s="3" t="s">
        <v>65</v>
      </c>
      <c r="Q3313" s="2" t="s">
        <v>32025</v>
      </c>
      <c r="R3313" s="3" t="s">
        <v>66</v>
      </c>
      <c r="S3313" s="4">
        <v>2</v>
      </c>
      <c r="T3313" s="4">
        <v>14</v>
      </c>
      <c r="U3313" s="5" t="s">
        <v>32032</v>
      </c>
      <c r="V3313" s="5" t="s">
        <v>32026</v>
      </c>
      <c r="W3313" s="5" t="s">
        <v>67</v>
      </c>
      <c r="X3313" s="5" t="s">
        <v>67</v>
      </c>
      <c r="Y3313" s="4">
        <v>4</v>
      </c>
      <c r="Z3313" s="4">
        <v>1</v>
      </c>
      <c r="AA3313" s="4">
        <v>58</v>
      </c>
      <c r="AB3313" s="4">
        <v>1</v>
      </c>
      <c r="AC3313" s="4">
        <v>6</v>
      </c>
      <c r="AD3313" s="4">
        <v>1</v>
      </c>
      <c r="AE3313" s="4">
        <v>141</v>
      </c>
      <c r="AF3313" s="4">
        <v>0</v>
      </c>
      <c r="AG3313" s="4">
        <v>3</v>
      </c>
      <c r="AH3313" s="4">
        <v>1</v>
      </c>
      <c r="AI3313" s="4">
        <v>114</v>
      </c>
      <c r="AJ3313" s="4">
        <v>0</v>
      </c>
      <c r="AK3313" s="4">
        <v>22</v>
      </c>
      <c r="AL3313" s="4">
        <v>1</v>
      </c>
      <c r="AM3313" s="4">
        <v>60</v>
      </c>
      <c r="AN3313" s="4">
        <v>0</v>
      </c>
      <c r="AO3313" s="4">
        <v>3</v>
      </c>
      <c r="AP3313" s="4">
        <v>0</v>
      </c>
      <c r="AQ3313" s="4">
        <v>37</v>
      </c>
      <c r="AR3313" s="3" t="s">
        <v>62</v>
      </c>
      <c r="AS3313" s="3" t="s">
        <v>62</v>
      </c>
      <c r="AT3313" s="3" t="s">
        <v>61</v>
      </c>
      <c r="AU3313" s="6" t="str">
        <f>HYPERLINK("http://catalog.hathitrust.org/Record/009802304","HathiTrust Record")</f>
        <v>HathiTrust Record</v>
      </c>
      <c r="AV3313" s="6" t="str">
        <f>HYPERLINK("http://mcgill.on.worldcat.org/oclc/288983471","Catalog Record")</f>
        <v>Catalog Record</v>
      </c>
      <c r="AW3313" s="6" t="str">
        <f>HYPERLINK("http://www.worldcat.org/oclc/288983471","WorldCat Record")</f>
        <v>WorldCat Record</v>
      </c>
      <c r="AX3313" s="3" t="s">
        <v>32016</v>
      </c>
      <c r="AY3313" s="3" t="s">
        <v>32027</v>
      </c>
      <c r="AZ3313" s="3" t="s">
        <v>32028</v>
      </c>
      <c r="BA3313" s="3" t="s">
        <v>32028</v>
      </c>
      <c r="BB3313" s="3" t="s">
        <v>32033</v>
      </c>
      <c r="BC3313" s="3" t="s">
        <v>142</v>
      </c>
      <c r="BD3313" s="3" t="s">
        <v>68</v>
      </c>
      <c r="BE3313" s="3" t="s">
        <v>32030</v>
      </c>
      <c r="BF3313" s="3" t="s">
        <v>32033</v>
      </c>
      <c r="BG3313" s="3" t="s">
        <v>32034</v>
      </c>
    </row>
    <row r="3314" spans="1:59" ht="57" x14ac:dyDescent="0.45">
      <c r="A3314" s="2" t="s">
        <v>59</v>
      </c>
      <c r="B3314" s="2" t="s">
        <v>60</v>
      </c>
      <c r="C3314" s="2" t="s">
        <v>32022</v>
      </c>
      <c r="D3314" s="2" t="s">
        <v>32023</v>
      </c>
      <c r="E3314" s="2" t="s">
        <v>32015</v>
      </c>
      <c r="F3314" s="3" t="s">
        <v>86</v>
      </c>
      <c r="G3314" s="3" t="s">
        <v>61</v>
      </c>
      <c r="I3314" s="3" t="s">
        <v>62</v>
      </c>
      <c r="J3314" s="3" t="s">
        <v>61</v>
      </c>
      <c r="K3314" s="3" t="s">
        <v>63</v>
      </c>
      <c r="M3314" s="2" t="s">
        <v>32024</v>
      </c>
      <c r="N3314" s="3" t="s">
        <v>1465</v>
      </c>
      <c r="P3314" s="3" t="s">
        <v>65</v>
      </c>
      <c r="Q3314" s="2" t="s">
        <v>32025</v>
      </c>
      <c r="R3314" s="3" t="s">
        <v>66</v>
      </c>
      <c r="S3314" s="4">
        <v>2</v>
      </c>
      <c r="T3314" s="4">
        <v>14</v>
      </c>
      <c r="U3314" s="5" t="s">
        <v>32032</v>
      </c>
      <c r="V3314" s="5" t="s">
        <v>32026</v>
      </c>
      <c r="W3314" s="5" t="s">
        <v>67</v>
      </c>
      <c r="X3314" s="5" t="s">
        <v>67</v>
      </c>
      <c r="Y3314" s="4">
        <v>4</v>
      </c>
      <c r="Z3314" s="4">
        <v>1</v>
      </c>
      <c r="AA3314" s="4">
        <v>58</v>
      </c>
      <c r="AB3314" s="4">
        <v>1</v>
      </c>
      <c r="AC3314" s="4">
        <v>6</v>
      </c>
      <c r="AD3314" s="4">
        <v>1</v>
      </c>
      <c r="AE3314" s="4">
        <v>141</v>
      </c>
      <c r="AF3314" s="4">
        <v>0</v>
      </c>
      <c r="AG3314" s="4">
        <v>3</v>
      </c>
      <c r="AH3314" s="4">
        <v>1</v>
      </c>
      <c r="AI3314" s="4">
        <v>114</v>
      </c>
      <c r="AJ3314" s="4">
        <v>0</v>
      </c>
      <c r="AK3314" s="4">
        <v>22</v>
      </c>
      <c r="AL3314" s="4">
        <v>1</v>
      </c>
      <c r="AM3314" s="4">
        <v>60</v>
      </c>
      <c r="AN3314" s="4">
        <v>0</v>
      </c>
      <c r="AO3314" s="4">
        <v>3</v>
      </c>
      <c r="AP3314" s="4">
        <v>0</v>
      </c>
      <c r="AQ3314" s="4">
        <v>37</v>
      </c>
      <c r="AR3314" s="3" t="s">
        <v>62</v>
      </c>
      <c r="AS3314" s="3" t="s">
        <v>62</v>
      </c>
      <c r="AT3314" s="3" t="s">
        <v>61</v>
      </c>
      <c r="AU3314" s="6" t="str">
        <f>HYPERLINK("http://catalog.hathitrust.org/Record/009802304","HathiTrust Record")</f>
        <v>HathiTrust Record</v>
      </c>
      <c r="AV3314" s="6" t="str">
        <f>HYPERLINK("http://mcgill.on.worldcat.org/oclc/288983471","Catalog Record")</f>
        <v>Catalog Record</v>
      </c>
      <c r="AW3314" s="6" t="str">
        <f>HYPERLINK("http://www.worldcat.org/oclc/288983471","WorldCat Record")</f>
        <v>WorldCat Record</v>
      </c>
      <c r="AX3314" s="3" t="s">
        <v>32016</v>
      </c>
      <c r="AY3314" s="3" t="s">
        <v>32027</v>
      </c>
      <c r="AZ3314" s="3" t="s">
        <v>32028</v>
      </c>
      <c r="BA3314" s="3" t="s">
        <v>32028</v>
      </c>
      <c r="BB3314" s="3" t="s">
        <v>32035</v>
      </c>
      <c r="BC3314" s="3" t="s">
        <v>142</v>
      </c>
      <c r="BD3314" s="3" t="s">
        <v>68</v>
      </c>
      <c r="BE3314" s="3" t="s">
        <v>32030</v>
      </c>
      <c r="BF3314" s="3" t="s">
        <v>32035</v>
      </c>
      <c r="BG3314" s="3" t="s">
        <v>32036</v>
      </c>
    </row>
    <row r="3315" spans="1:59" ht="57" x14ac:dyDescent="0.45">
      <c r="A3315" s="2" t="s">
        <v>59</v>
      </c>
      <c r="B3315" s="2" t="s">
        <v>60</v>
      </c>
      <c r="C3315" s="2" t="s">
        <v>32022</v>
      </c>
      <c r="D3315" s="2" t="s">
        <v>32023</v>
      </c>
      <c r="E3315" s="2" t="s">
        <v>32015</v>
      </c>
      <c r="F3315" s="3" t="s">
        <v>90</v>
      </c>
      <c r="G3315" s="3" t="s">
        <v>61</v>
      </c>
      <c r="I3315" s="3" t="s">
        <v>62</v>
      </c>
      <c r="J3315" s="3" t="s">
        <v>61</v>
      </c>
      <c r="K3315" s="3" t="s">
        <v>63</v>
      </c>
      <c r="M3315" s="2" t="s">
        <v>32024</v>
      </c>
      <c r="N3315" s="3" t="s">
        <v>1465</v>
      </c>
      <c r="P3315" s="3" t="s">
        <v>65</v>
      </c>
      <c r="Q3315" s="2" t="s">
        <v>32025</v>
      </c>
      <c r="R3315" s="3" t="s">
        <v>66</v>
      </c>
      <c r="S3315" s="4">
        <v>3</v>
      </c>
      <c r="T3315" s="4">
        <v>14</v>
      </c>
      <c r="U3315" s="5" t="s">
        <v>32037</v>
      </c>
      <c r="V3315" s="5" t="s">
        <v>32026</v>
      </c>
      <c r="W3315" s="5" t="s">
        <v>67</v>
      </c>
      <c r="X3315" s="5" t="s">
        <v>67</v>
      </c>
      <c r="Y3315" s="4">
        <v>4</v>
      </c>
      <c r="Z3315" s="4">
        <v>1</v>
      </c>
      <c r="AA3315" s="4">
        <v>58</v>
      </c>
      <c r="AB3315" s="4">
        <v>1</v>
      </c>
      <c r="AC3315" s="4">
        <v>6</v>
      </c>
      <c r="AD3315" s="4">
        <v>1</v>
      </c>
      <c r="AE3315" s="4">
        <v>141</v>
      </c>
      <c r="AF3315" s="4">
        <v>0</v>
      </c>
      <c r="AG3315" s="4">
        <v>3</v>
      </c>
      <c r="AH3315" s="4">
        <v>1</v>
      </c>
      <c r="AI3315" s="4">
        <v>114</v>
      </c>
      <c r="AJ3315" s="4">
        <v>0</v>
      </c>
      <c r="AK3315" s="4">
        <v>22</v>
      </c>
      <c r="AL3315" s="4">
        <v>1</v>
      </c>
      <c r="AM3315" s="4">
        <v>60</v>
      </c>
      <c r="AN3315" s="4">
        <v>0</v>
      </c>
      <c r="AO3315" s="4">
        <v>3</v>
      </c>
      <c r="AP3315" s="4">
        <v>0</v>
      </c>
      <c r="AQ3315" s="4">
        <v>37</v>
      </c>
      <c r="AR3315" s="3" t="s">
        <v>62</v>
      </c>
      <c r="AS3315" s="3" t="s">
        <v>62</v>
      </c>
      <c r="AT3315" s="3" t="s">
        <v>61</v>
      </c>
      <c r="AU3315" s="6" t="str">
        <f>HYPERLINK("http://catalog.hathitrust.org/Record/009802304","HathiTrust Record")</f>
        <v>HathiTrust Record</v>
      </c>
      <c r="AV3315" s="6" t="str">
        <f>HYPERLINK("http://mcgill.on.worldcat.org/oclc/288983471","Catalog Record")</f>
        <v>Catalog Record</v>
      </c>
      <c r="AW3315" s="6" t="str">
        <f>HYPERLINK("http://www.worldcat.org/oclc/288983471","WorldCat Record")</f>
        <v>WorldCat Record</v>
      </c>
      <c r="AX3315" s="3" t="s">
        <v>32016</v>
      </c>
      <c r="AY3315" s="3" t="s">
        <v>32027</v>
      </c>
      <c r="AZ3315" s="3" t="s">
        <v>32028</v>
      </c>
      <c r="BA3315" s="3" t="s">
        <v>32028</v>
      </c>
      <c r="BB3315" s="3" t="s">
        <v>32038</v>
      </c>
      <c r="BC3315" s="3" t="s">
        <v>142</v>
      </c>
      <c r="BD3315" s="3" t="s">
        <v>68</v>
      </c>
      <c r="BE3315" s="3" t="s">
        <v>32030</v>
      </c>
      <c r="BF3315" s="3" t="s">
        <v>32038</v>
      </c>
      <c r="BG3315" s="3" t="s">
        <v>32039</v>
      </c>
    </row>
    <row r="3316" spans="1:59" ht="57" x14ac:dyDescent="0.45">
      <c r="A3316" s="2" t="s">
        <v>59</v>
      </c>
      <c r="B3316" s="2" t="s">
        <v>60</v>
      </c>
      <c r="C3316" s="2" t="s">
        <v>32040</v>
      </c>
      <c r="D3316" s="2" t="s">
        <v>32041</v>
      </c>
      <c r="E3316" s="2" t="s">
        <v>32042</v>
      </c>
      <c r="G3316" s="3" t="s">
        <v>62</v>
      </c>
      <c r="I3316" s="3" t="s">
        <v>62</v>
      </c>
      <c r="J3316" s="3" t="s">
        <v>62</v>
      </c>
      <c r="K3316" s="3" t="s">
        <v>63</v>
      </c>
      <c r="M3316" s="2" t="s">
        <v>32043</v>
      </c>
      <c r="N3316" s="3" t="s">
        <v>1437</v>
      </c>
      <c r="P3316" s="3" t="s">
        <v>65</v>
      </c>
      <c r="Q3316" s="2" t="s">
        <v>32044</v>
      </c>
      <c r="R3316" s="3" t="s">
        <v>66</v>
      </c>
      <c r="S3316" s="4">
        <v>34</v>
      </c>
      <c r="T3316" s="4">
        <v>34</v>
      </c>
      <c r="U3316" s="5" t="s">
        <v>32045</v>
      </c>
      <c r="V3316" s="5" t="s">
        <v>32045</v>
      </c>
      <c r="W3316" s="5" t="s">
        <v>67</v>
      </c>
      <c r="X3316" s="5" t="s">
        <v>67</v>
      </c>
      <c r="Y3316" s="4">
        <v>318</v>
      </c>
      <c r="Z3316" s="4">
        <v>21</v>
      </c>
      <c r="AA3316" s="4">
        <v>22</v>
      </c>
      <c r="AB3316" s="4">
        <v>2</v>
      </c>
      <c r="AC3316" s="4">
        <v>3</v>
      </c>
      <c r="AD3316" s="4">
        <v>81</v>
      </c>
      <c r="AE3316" s="4">
        <v>82</v>
      </c>
      <c r="AF3316" s="4">
        <v>1</v>
      </c>
      <c r="AG3316" s="4">
        <v>2</v>
      </c>
      <c r="AH3316" s="4">
        <v>69</v>
      </c>
      <c r="AI3316" s="4">
        <v>69</v>
      </c>
      <c r="AJ3316" s="4">
        <v>10</v>
      </c>
      <c r="AK3316" s="4">
        <v>11</v>
      </c>
      <c r="AL3316" s="4">
        <v>42</v>
      </c>
      <c r="AM3316" s="4">
        <v>42</v>
      </c>
      <c r="AN3316" s="4">
        <v>0</v>
      </c>
      <c r="AO3316" s="4">
        <v>0</v>
      </c>
      <c r="AP3316" s="4">
        <v>17</v>
      </c>
      <c r="AQ3316" s="4">
        <v>18</v>
      </c>
      <c r="AR3316" s="3" t="s">
        <v>62</v>
      </c>
      <c r="AS3316" s="3" t="s">
        <v>62</v>
      </c>
      <c r="AT3316" s="3" t="s">
        <v>61</v>
      </c>
      <c r="AU3316" s="6" t="str">
        <f>HYPERLINK("http://catalog.hathitrust.org/Record/003571651","HathiTrust Record")</f>
        <v>HathiTrust Record</v>
      </c>
      <c r="AV3316" s="6" t="str">
        <f>HYPERLINK("http://mcgill.on.worldcat.org/oclc/37917393","Catalog Record")</f>
        <v>Catalog Record</v>
      </c>
      <c r="AW3316" s="6" t="str">
        <f>HYPERLINK("http://www.worldcat.org/oclc/37917393","WorldCat Record")</f>
        <v>WorldCat Record</v>
      </c>
      <c r="AX3316" s="3" t="s">
        <v>32046</v>
      </c>
      <c r="AY3316" s="3" t="s">
        <v>32047</v>
      </c>
      <c r="AZ3316" s="3" t="s">
        <v>32048</v>
      </c>
      <c r="BA3316" s="3" t="s">
        <v>32048</v>
      </c>
      <c r="BB3316" s="3" t="s">
        <v>32049</v>
      </c>
      <c r="BC3316" s="3" t="s">
        <v>142</v>
      </c>
      <c r="BD3316" s="3" t="s">
        <v>68</v>
      </c>
      <c r="BE3316" s="3" t="s">
        <v>32050</v>
      </c>
      <c r="BF3316" s="3" t="s">
        <v>32049</v>
      </c>
      <c r="BG3316" s="3" t="s">
        <v>32051</v>
      </c>
    </row>
    <row r="3317" spans="1:59" ht="57" x14ac:dyDescent="0.45">
      <c r="A3317" s="2" t="s">
        <v>59</v>
      </c>
      <c r="B3317" s="2" t="s">
        <v>60</v>
      </c>
      <c r="C3317" s="2" t="s">
        <v>32052</v>
      </c>
      <c r="D3317" s="2" t="s">
        <v>32053</v>
      </c>
      <c r="E3317" s="2" t="s">
        <v>32054</v>
      </c>
      <c r="G3317" s="3" t="s">
        <v>62</v>
      </c>
      <c r="I3317" s="3" t="s">
        <v>62</v>
      </c>
      <c r="J3317" s="3" t="s">
        <v>62</v>
      </c>
      <c r="K3317" s="3" t="s">
        <v>63</v>
      </c>
      <c r="L3317" s="2" t="s">
        <v>32055</v>
      </c>
      <c r="M3317" s="2" t="s">
        <v>32056</v>
      </c>
      <c r="N3317" s="3" t="s">
        <v>195</v>
      </c>
      <c r="P3317" s="3" t="s">
        <v>65</v>
      </c>
      <c r="R3317" s="3" t="s">
        <v>66</v>
      </c>
      <c r="S3317" s="4">
        <v>8</v>
      </c>
      <c r="T3317" s="4">
        <v>8</v>
      </c>
      <c r="U3317" s="5" t="s">
        <v>795</v>
      </c>
      <c r="V3317" s="5" t="s">
        <v>795</v>
      </c>
      <c r="W3317" s="5" t="s">
        <v>67</v>
      </c>
      <c r="X3317" s="5" t="s">
        <v>67</v>
      </c>
      <c r="Y3317" s="4">
        <v>113</v>
      </c>
      <c r="Z3317" s="4">
        <v>11</v>
      </c>
      <c r="AA3317" s="4">
        <v>13</v>
      </c>
      <c r="AB3317" s="4">
        <v>2</v>
      </c>
      <c r="AC3317" s="4">
        <v>4</v>
      </c>
      <c r="AD3317" s="4">
        <v>33</v>
      </c>
      <c r="AE3317" s="4">
        <v>35</v>
      </c>
      <c r="AF3317" s="4">
        <v>1</v>
      </c>
      <c r="AG3317" s="4">
        <v>3</v>
      </c>
      <c r="AH3317" s="4">
        <v>27</v>
      </c>
      <c r="AI3317" s="4">
        <v>27</v>
      </c>
      <c r="AJ3317" s="4">
        <v>6</v>
      </c>
      <c r="AK3317" s="4">
        <v>8</v>
      </c>
      <c r="AL3317" s="4">
        <v>22</v>
      </c>
      <c r="AM3317" s="4">
        <v>22</v>
      </c>
      <c r="AN3317" s="4">
        <v>0</v>
      </c>
      <c r="AO3317" s="4">
        <v>0</v>
      </c>
      <c r="AP3317" s="4">
        <v>7</v>
      </c>
      <c r="AQ3317" s="4">
        <v>8</v>
      </c>
      <c r="AR3317" s="3" t="s">
        <v>62</v>
      </c>
      <c r="AS3317" s="3" t="s">
        <v>62</v>
      </c>
      <c r="AT3317" s="3" t="s">
        <v>62</v>
      </c>
      <c r="AV3317" s="6" t="str">
        <f>HYPERLINK("http://mcgill.on.worldcat.org/oclc/29541977","Catalog Record")</f>
        <v>Catalog Record</v>
      </c>
      <c r="AW3317" s="6" t="str">
        <f>HYPERLINK("http://www.worldcat.org/oclc/29541977","WorldCat Record")</f>
        <v>WorldCat Record</v>
      </c>
      <c r="AX3317" s="3" t="s">
        <v>32057</v>
      </c>
      <c r="AY3317" s="3" t="s">
        <v>32058</v>
      </c>
      <c r="AZ3317" s="3" t="s">
        <v>32059</v>
      </c>
      <c r="BA3317" s="3" t="s">
        <v>32059</v>
      </c>
      <c r="BB3317" s="3" t="s">
        <v>32060</v>
      </c>
      <c r="BC3317" s="3" t="s">
        <v>142</v>
      </c>
      <c r="BD3317" s="3" t="s">
        <v>68</v>
      </c>
      <c r="BE3317" s="3" t="s">
        <v>32061</v>
      </c>
      <c r="BF3317" s="3" t="s">
        <v>32060</v>
      </c>
      <c r="BG3317" s="3" t="s">
        <v>32062</v>
      </c>
    </row>
    <row r="3318" spans="1:59" ht="57" x14ac:dyDescent="0.45">
      <c r="A3318" s="2" t="s">
        <v>59</v>
      </c>
      <c r="B3318" s="2" t="s">
        <v>60</v>
      </c>
      <c r="C3318" s="2" t="s">
        <v>32063</v>
      </c>
      <c r="D3318" s="2" t="s">
        <v>32064</v>
      </c>
      <c r="E3318" s="2" t="s">
        <v>32065</v>
      </c>
      <c r="G3318" s="3" t="s">
        <v>62</v>
      </c>
      <c r="I3318" s="3" t="s">
        <v>62</v>
      </c>
      <c r="J3318" s="3" t="s">
        <v>62</v>
      </c>
      <c r="K3318" s="3" t="s">
        <v>63</v>
      </c>
      <c r="L3318" s="2" t="s">
        <v>32066</v>
      </c>
      <c r="M3318" s="2" t="s">
        <v>32067</v>
      </c>
      <c r="N3318" s="3" t="s">
        <v>167</v>
      </c>
      <c r="O3318" s="2" t="s">
        <v>168</v>
      </c>
      <c r="P3318" s="3" t="s">
        <v>65</v>
      </c>
      <c r="R3318" s="3" t="s">
        <v>66</v>
      </c>
      <c r="S3318" s="4">
        <v>56</v>
      </c>
      <c r="T3318" s="4">
        <v>56</v>
      </c>
      <c r="U3318" s="5" t="s">
        <v>8386</v>
      </c>
      <c r="V3318" s="5" t="s">
        <v>8386</v>
      </c>
      <c r="W3318" s="5" t="s">
        <v>67</v>
      </c>
      <c r="X3318" s="5" t="s">
        <v>67</v>
      </c>
      <c r="Y3318" s="4">
        <v>1430</v>
      </c>
      <c r="Z3318" s="4">
        <v>66</v>
      </c>
      <c r="AA3318" s="4">
        <v>90</v>
      </c>
      <c r="AB3318" s="4">
        <v>5</v>
      </c>
      <c r="AC3318" s="4">
        <v>11</v>
      </c>
      <c r="AD3318" s="4">
        <v>132</v>
      </c>
      <c r="AE3318" s="4">
        <v>146</v>
      </c>
      <c r="AF3318" s="4">
        <v>2</v>
      </c>
      <c r="AG3318" s="4">
        <v>4</v>
      </c>
      <c r="AH3318" s="4">
        <v>101</v>
      </c>
      <c r="AI3318" s="4">
        <v>109</v>
      </c>
      <c r="AJ3318" s="4">
        <v>22</v>
      </c>
      <c r="AK3318" s="4">
        <v>25</v>
      </c>
      <c r="AL3318" s="4">
        <v>54</v>
      </c>
      <c r="AM3318" s="4">
        <v>58</v>
      </c>
      <c r="AN3318" s="4">
        <v>0</v>
      </c>
      <c r="AO3318" s="4">
        <v>0</v>
      </c>
      <c r="AP3318" s="4">
        <v>37</v>
      </c>
      <c r="AQ3318" s="4">
        <v>45</v>
      </c>
      <c r="AR3318" s="3" t="s">
        <v>62</v>
      </c>
      <c r="AS3318" s="3" t="s">
        <v>62</v>
      </c>
      <c r="AT3318" s="3" t="s">
        <v>61</v>
      </c>
      <c r="AU3318" s="6" t="str">
        <f>HYPERLINK("http://catalog.hathitrust.org/Record/004060427","HathiTrust Record")</f>
        <v>HathiTrust Record</v>
      </c>
      <c r="AV3318" s="6" t="str">
        <f>HYPERLINK("http://mcgill.on.worldcat.org/oclc/42290964","Catalog Record")</f>
        <v>Catalog Record</v>
      </c>
      <c r="AW3318" s="6" t="str">
        <f>HYPERLINK("http://www.worldcat.org/oclc/42290964","WorldCat Record")</f>
        <v>WorldCat Record</v>
      </c>
      <c r="AX3318" s="3" t="s">
        <v>32068</v>
      </c>
      <c r="AY3318" s="3" t="s">
        <v>32069</v>
      </c>
      <c r="AZ3318" s="3" t="s">
        <v>32070</v>
      </c>
      <c r="BA3318" s="3" t="s">
        <v>32070</v>
      </c>
      <c r="BB3318" s="3" t="s">
        <v>32071</v>
      </c>
      <c r="BC3318" s="3" t="s">
        <v>142</v>
      </c>
      <c r="BD3318" s="3" t="s">
        <v>68</v>
      </c>
      <c r="BE3318" s="3" t="s">
        <v>32072</v>
      </c>
      <c r="BF3318" s="3" t="s">
        <v>32071</v>
      </c>
      <c r="BG3318" s="3" t="s">
        <v>32073</v>
      </c>
    </row>
    <row r="3319" spans="1:59" ht="57" x14ac:dyDescent="0.45">
      <c r="A3319" s="2" t="s">
        <v>59</v>
      </c>
      <c r="B3319" s="2" t="s">
        <v>60</v>
      </c>
      <c r="C3319" s="2" t="s">
        <v>32074</v>
      </c>
      <c r="D3319" s="2" t="s">
        <v>32075</v>
      </c>
      <c r="E3319" s="2" t="s">
        <v>32076</v>
      </c>
      <c r="G3319" s="3" t="s">
        <v>62</v>
      </c>
      <c r="I3319" s="3" t="s">
        <v>61</v>
      </c>
      <c r="J3319" s="3" t="s">
        <v>61</v>
      </c>
      <c r="K3319" s="3" t="s">
        <v>63</v>
      </c>
      <c r="L3319" s="2" t="s">
        <v>32077</v>
      </c>
      <c r="M3319" s="2" t="s">
        <v>32078</v>
      </c>
      <c r="N3319" s="3" t="s">
        <v>1604</v>
      </c>
      <c r="P3319" s="3" t="s">
        <v>65</v>
      </c>
      <c r="R3319" s="3" t="s">
        <v>66</v>
      </c>
      <c r="S3319" s="4">
        <v>292</v>
      </c>
      <c r="T3319" s="4">
        <v>537</v>
      </c>
      <c r="U3319" s="5" t="s">
        <v>18392</v>
      </c>
      <c r="V3319" s="5" t="s">
        <v>2853</v>
      </c>
      <c r="W3319" s="5" t="s">
        <v>67</v>
      </c>
      <c r="X3319" s="5" t="s">
        <v>67</v>
      </c>
      <c r="Y3319" s="4">
        <v>1818</v>
      </c>
      <c r="Z3319" s="4">
        <v>72</v>
      </c>
      <c r="AA3319" s="4">
        <v>122</v>
      </c>
      <c r="AB3319" s="4">
        <v>3</v>
      </c>
      <c r="AC3319" s="4">
        <v>14</v>
      </c>
      <c r="AD3319" s="4">
        <v>131</v>
      </c>
      <c r="AE3319" s="4">
        <v>163</v>
      </c>
      <c r="AF3319" s="4">
        <v>2</v>
      </c>
      <c r="AG3319" s="4">
        <v>6</v>
      </c>
      <c r="AH3319" s="4">
        <v>104</v>
      </c>
      <c r="AI3319" s="4">
        <v>117</v>
      </c>
      <c r="AJ3319" s="4">
        <v>18</v>
      </c>
      <c r="AK3319" s="4">
        <v>28</v>
      </c>
      <c r="AL3319" s="4">
        <v>57</v>
      </c>
      <c r="AM3319" s="4">
        <v>61</v>
      </c>
      <c r="AN3319" s="4">
        <v>0</v>
      </c>
      <c r="AO3319" s="4">
        <v>0</v>
      </c>
      <c r="AP3319" s="4">
        <v>32</v>
      </c>
      <c r="AQ3319" s="4">
        <v>54</v>
      </c>
      <c r="AR3319" s="3" t="s">
        <v>62</v>
      </c>
      <c r="AS3319" s="3" t="s">
        <v>62</v>
      </c>
      <c r="AT3319" s="3" t="s">
        <v>61</v>
      </c>
      <c r="AU3319" s="6" t="str">
        <f>HYPERLINK("http://catalog.hathitrust.org/Record/002795604","HathiTrust Record")</f>
        <v>HathiTrust Record</v>
      </c>
      <c r="AV3319" s="6" t="str">
        <f>HYPERLINK("http://mcgill.on.worldcat.org/oclc/28723210","Catalog Record")</f>
        <v>Catalog Record</v>
      </c>
      <c r="AW3319" s="6" t="str">
        <f>HYPERLINK("http://www.worldcat.org/oclc/28723210","WorldCat Record")</f>
        <v>WorldCat Record</v>
      </c>
      <c r="AX3319" s="3" t="s">
        <v>32079</v>
      </c>
      <c r="AY3319" s="3" t="s">
        <v>32080</v>
      </c>
      <c r="AZ3319" s="3" t="s">
        <v>32081</v>
      </c>
      <c r="BA3319" s="3" t="s">
        <v>32081</v>
      </c>
      <c r="BB3319" s="3" t="s">
        <v>32082</v>
      </c>
      <c r="BC3319" s="3" t="s">
        <v>142</v>
      </c>
      <c r="BD3319" s="3" t="s">
        <v>308</v>
      </c>
      <c r="BE3319" s="3" t="s">
        <v>32083</v>
      </c>
      <c r="BF3319" s="3" t="s">
        <v>32082</v>
      </c>
      <c r="BG3319" s="3" t="s">
        <v>32084</v>
      </c>
    </row>
    <row r="3320" spans="1:59" ht="57" x14ac:dyDescent="0.45">
      <c r="A3320" s="2" t="s">
        <v>59</v>
      </c>
      <c r="B3320" s="2" t="s">
        <v>60</v>
      </c>
      <c r="C3320" s="2" t="s">
        <v>32074</v>
      </c>
      <c r="D3320" s="2" t="s">
        <v>32075</v>
      </c>
      <c r="E3320" s="2" t="s">
        <v>32076</v>
      </c>
      <c r="G3320" s="3" t="s">
        <v>62</v>
      </c>
      <c r="I3320" s="3" t="s">
        <v>61</v>
      </c>
      <c r="J3320" s="3" t="s">
        <v>61</v>
      </c>
      <c r="K3320" s="3" t="s">
        <v>63</v>
      </c>
      <c r="L3320" s="2" t="s">
        <v>32077</v>
      </c>
      <c r="M3320" s="2" t="s">
        <v>32078</v>
      </c>
      <c r="N3320" s="3" t="s">
        <v>1604</v>
      </c>
      <c r="P3320" s="3" t="s">
        <v>65</v>
      </c>
      <c r="R3320" s="3" t="s">
        <v>66</v>
      </c>
      <c r="S3320" s="4">
        <v>245</v>
      </c>
      <c r="T3320" s="4">
        <v>537</v>
      </c>
      <c r="U3320" s="5" t="s">
        <v>2853</v>
      </c>
      <c r="V3320" s="5" t="s">
        <v>2853</v>
      </c>
      <c r="W3320" s="5" t="s">
        <v>67</v>
      </c>
      <c r="X3320" s="5" t="s">
        <v>67</v>
      </c>
      <c r="Y3320" s="4">
        <v>1818</v>
      </c>
      <c r="Z3320" s="4">
        <v>72</v>
      </c>
      <c r="AA3320" s="4">
        <v>122</v>
      </c>
      <c r="AB3320" s="4">
        <v>3</v>
      </c>
      <c r="AC3320" s="4">
        <v>14</v>
      </c>
      <c r="AD3320" s="4">
        <v>131</v>
      </c>
      <c r="AE3320" s="4">
        <v>163</v>
      </c>
      <c r="AF3320" s="4">
        <v>2</v>
      </c>
      <c r="AG3320" s="4">
        <v>6</v>
      </c>
      <c r="AH3320" s="4">
        <v>104</v>
      </c>
      <c r="AI3320" s="4">
        <v>117</v>
      </c>
      <c r="AJ3320" s="4">
        <v>18</v>
      </c>
      <c r="AK3320" s="4">
        <v>28</v>
      </c>
      <c r="AL3320" s="4">
        <v>57</v>
      </c>
      <c r="AM3320" s="4">
        <v>61</v>
      </c>
      <c r="AN3320" s="4">
        <v>0</v>
      </c>
      <c r="AO3320" s="4">
        <v>0</v>
      </c>
      <c r="AP3320" s="4">
        <v>32</v>
      </c>
      <c r="AQ3320" s="4">
        <v>54</v>
      </c>
      <c r="AR3320" s="3" t="s">
        <v>62</v>
      </c>
      <c r="AS3320" s="3" t="s">
        <v>62</v>
      </c>
      <c r="AT3320" s="3" t="s">
        <v>61</v>
      </c>
      <c r="AU3320" s="6" t="str">
        <f>HYPERLINK("http://catalog.hathitrust.org/Record/002795604","HathiTrust Record")</f>
        <v>HathiTrust Record</v>
      </c>
      <c r="AV3320" s="6" t="str">
        <f>HYPERLINK("http://mcgill.on.worldcat.org/oclc/28723210","Catalog Record")</f>
        <v>Catalog Record</v>
      </c>
      <c r="AW3320" s="6" t="str">
        <f>HYPERLINK("http://www.worldcat.org/oclc/28723210","WorldCat Record")</f>
        <v>WorldCat Record</v>
      </c>
      <c r="AX3320" s="3" t="s">
        <v>32079</v>
      </c>
      <c r="AY3320" s="3" t="s">
        <v>32080</v>
      </c>
      <c r="AZ3320" s="3" t="s">
        <v>32081</v>
      </c>
      <c r="BA3320" s="3" t="s">
        <v>32081</v>
      </c>
      <c r="BB3320" s="3" t="s">
        <v>32085</v>
      </c>
      <c r="BC3320" s="3" t="s">
        <v>142</v>
      </c>
      <c r="BD3320" s="3" t="s">
        <v>68</v>
      </c>
      <c r="BE3320" s="3" t="s">
        <v>32083</v>
      </c>
      <c r="BF3320" s="3" t="s">
        <v>32085</v>
      </c>
      <c r="BG3320" s="3" t="s">
        <v>32086</v>
      </c>
    </row>
    <row r="3321" spans="1:59" ht="57" x14ac:dyDescent="0.45">
      <c r="A3321" s="2" t="s">
        <v>59</v>
      </c>
      <c r="B3321" s="2" t="s">
        <v>60</v>
      </c>
      <c r="C3321" s="2" t="s">
        <v>32087</v>
      </c>
      <c r="D3321" s="2" t="s">
        <v>32088</v>
      </c>
      <c r="E3321" s="2" t="s">
        <v>32076</v>
      </c>
      <c r="G3321" s="3" t="s">
        <v>62</v>
      </c>
      <c r="I3321" s="3" t="s">
        <v>61</v>
      </c>
      <c r="J3321" s="3" t="s">
        <v>61</v>
      </c>
      <c r="K3321" s="3" t="s">
        <v>63</v>
      </c>
      <c r="L3321" s="2" t="s">
        <v>32066</v>
      </c>
      <c r="M3321" s="2" t="s">
        <v>32089</v>
      </c>
      <c r="N3321" s="3" t="s">
        <v>958</v>
      </c>
      <c r="O3321" s="2" t="s">
        <v>32090</v>
      </c>
      <c r="P3321" s="3" t="s">
        <v>65</v>
      </c>
      <c r="R3321" s="3" t="s">
        <v>66</v>
      </c>
      <c r="S3321" s="4">
        <v>92</v>
      </c>
      <c r="T3321" s="4">
        <v>257</v>
      </c>
      <c r="U3321" s="5" t="s">
        <v>1857</v>
      </c>
      <c r="V3321" s="5" t="s">
        <v>1061</v>
      </c>
      <c r="W3321" s="5" t="s">
        <v>67</v>
      </c>
      <c r="X3321" s="5" t="s">
        <v>67</v>
      </c>
      <c r="Y3321" s="4">
        <v>596</v>
      </c>
      <c r="Z3321" s="4">
        <v>21</v>
      </c>
      <c r="AA3321" s="4">
        <v>122</v>
      </c>
      <c r="AB3321" s="4">
        <v>1</v>
      </c>
      <c r="AC3321" s="4">
        <v>14</v>
      </c>
      <c r="AD3321" s="4">
        <v>67</v>
      </c>
      <c r="AE3321" s="4">
        <v>163</v>
      </c>
      <c r="AF3321" s="4">
        <v>0</v>
      </c>
      <c r="AG3321" s="4">
        <v>6</v>
      </c>
      <c r="AH3321" s="4">
        <v>54</v>
      </c>
      <c r="AI3321" s="4">
        <v>117</v>
      </c>
      <c r="AJ3321" s="4">
        <v>7</v>
      </c>
      <c r="AK3321" s="4">
        <v>28</v>
      </c>
      <c r="AL3321" s="4">
        <v>31</v>
      </c>
      <c r="AM3321" s="4">
        <v>61</v>
      </c>
      <c r="AN3321" s="4">
        <v>0</v>
      </c>
      <c r="AO3321" s="4">
        <v>0</v>
      </c>
      <c r="AP3321" s="4">
        <v>16</v>
      </c>
      <c r="AQ3321" s="4">
        <v>54</v>
      </c>
      <c r="AR3321" s="3" t="s">
        <v>62</v>
      </c>
      <c r="AS3321" s="3" t="s">
        <v>62</v>
      </c>
      <c r="AT3321" s="3" t="s">
        <v>62</v>
      </c>
      <c r="AV3321" s="6" t="str">
        <f>HYPERLINK("http://mcgill.on.worldcat.org/oclc/31374737","Catalog Record")</f>
        <v>Catalog Record</v>
      </c>
      <c r="AW3321" s="6" t="str">
        <f>HYPERLINK("http://www.worldcat.org/oclc/31374737","WorldCat Record")</f>
        <v>WorldCat Record</v>
      </c>
      <c r="AX3321" s="3" t="s">
        <v>32079</v>
      </c>
      <c r="AY3321" s="3" t="s">
        <v>32091</v>
      </c>
      <c r="AZ3321" s="3" t="s">
        <v>32092</v>
      </c>
      <c r="BA3321" s="3" t="s">
        <v>32092</v>
      </c>
      <c r="BB3321" s="3" t="s">
        <v>32093</v>
      </c>
      <c r="BC3321" s="3" t="s">
        <v>142</v>
      </c>
      <c r="BD3321" s="3" t="s">
        <v>68</v>
      </c>
      <c r="BE3321" s="3" t="s">
        <v>32094</v>
      </c>
      <c r="BF3321" s="3" t="s">
        <v>32093</v>
      </c>
      <c r="BG3321" s="3" t="s">
        <v>32095</v>
      </c>
    </row>
    <row r="3322" spans="1:59" ht="57" x14ac:dyDescent="0.45">
      <c r="A3322" s="2" t="s">
        <v>59</v>
      </c>
      <c r="B3322" s="2" t="s">
        <v>60</v>
      </c>
      <c r="C3322" s="2" t="s">
        <v>32087</v>
      </c>
      <c r="D3322" s="2" t="s">
        <v>32088</v>
      </c>
      <c r="E3322" s="2" t="s">
        <v>32076</v>
      </c>
      <c r="G3322" s="3" t="s">
        <v>62</v>
      </c>
      <c r="I3322" s="3" t="s">
        <v>61</v>
      </c>
      <c r="J3322" s="3" t="s">
        <v>61</v>
      </c>
      <c r="K3322" s="3" t="s">
        <v>63</v>
      </c>
      <c r="L3322" s="2" t="s">
        <v>32066</v>
      </c>
      <c r="M3322" s="2" t="s">
        <v>32089</v>
      </c>
      <c r="N3322" s="3" t="s">
        <v>958</v>
      </c>
      <c r="O3322" s="2" t="s">
        <v>32090</v>
      </c>
      <c r="P3322" s="3" t="s">
        <v>65</v>
      </c>
      <c r="R3322" s="3" t="s">
        <v>66</v>
      </c>
      <c r="S3322" s="4">
        <v>78</v>
      </c>
      <c r="T3322" s="4">
        <v>257</v>
      </c>
      <c r="U3322" s="5" t="s">
        <v>2853</v>
      </c>
      <c r="V3322" s="5" t="s">
        <v>1061</v>
      </c>
      <c r="W3322" s="5" t="s">
        <v>67</v>
      </c>
      <c r="X3322" s="5" t="s">
        <v>67</v>
      </c>
      <c r="Y3322" s="4">
        <v>596</v>
      </c>
      <c r="Z3322" s="4">
        <v>21</v>
      </c>
      <c r="AA3322" s="4">
        <v>122</v>
      </c>
      <c r="AB3322" s="4">
        <v>1</v>
      </c>
      <c r="AC3322" s="4">
        <v>14</v>
      </c>
      <c r="AD3322" s="4">
        <v>67</v>
      </c>
      <c r="AE3322" s="4">
        <v>163</v>
      </c>
      <c r="AF3322" s="4">
        <v>0</v>
      </c>
      <c r="AG3322" s="4">
        <v>6</v>
      </c>
      <c r="AH3322" s="4">
        <v>54</v>
      </c>
      <c r="AI3322" s="4">
        <v>117</v>
      </c>
      <c r="AJ3322" s="4">
        <v>7</v>
      </c>
      <c r="AK3322" s="4">
        <v>28</v>
      </c>
      <c r="AL3322" s="4">
        <v>31</v>
      </c>
      <c r="AM3322" s="4">
        <v>61</v>
      </c>
      <c r="AN3322" s="4">
        <v>0</v>
      </c>
      <c r="AO3322" s="4">
        <v>0</v>
      </c>
      <c r="AP3322" s="4">
        <v>16</v>
      </c>
      <c r="AQ3322" s="4">
        <v>54</v>
      </c>
      <c r="AR3322" s="3" t="s">
        <v>62</v>
      </c>
      <c r="AS3322" s="3" t="s">
        <v>62</v>
      </c>
      <c r="AT3322" s="3" t="s">
        <v>62</v>
      </c>
      <c r="AV3322" s="6" t="str">
        <f>HYPERLINK("http://mcgill.on.worldcat.org/oclc/31374737","Catalog Record")</f>
        <v>Catalog Record</v>
      </c>
      <c r="AW3322" s="6" t="str">
        <f>HYPERLINK("http://www.worldcat.org/oclc/31374737","WorldCat Record")</f>
        <v>WorldCat Record</v>
      </c>
      <c r="AX3322" s="3" t="s">
        <v>32079</v>
      </c>
      <c r="AY3322" s="3" t="s">
        <v>32091</v>
      </c>
      <c r="AZ3322" s="3" t="s">
        <v>32092</v>
      </c>
      <c r="BA3322" s="3" t="s">
        <v>32092</v>
      </c>
      <c r="BB3322" s="3" t="s">
        <v>32096</v>
      </c>
      <c r="BC3322" s="3" t="s">
        <v>142</v>
      </c>
      <c r="BD3322" s="3" t="s">
        <v>308</v>
      </c>
      <c r="BE3322" s="3" t="s">
        <v>32094</v>
      </c>
      <c r="BF3322" s="3" t="s">
        <v>32096</v>
      </c>
      <c r="BG3322" s="3" t="s">
        <v>32097</v>
      </c>
    </row>
    <row r="3323" spans="1:59" ht="57" x14ac:dyDescent="0.45">
      <c r="A3323" s="2" t="s">
        <v>59</v>
      </c>
      <c r="B3323" s="2" t="s">
        <v>60</v>
      </c>
      <c r="C3323" s="2" t="s">
        <v>32087</v>
      </c>
      <c r="D3323" s="2" t="s">
        <v>32088</v>
      </c>
      <c r="E3323" s="2" t="s">
        <v>32076</v>
      </c>
      <c r="G3323" s="3" t="s">
        <v>62</v>
      </c>
      <c r="I3323" s="3" t="s">
        <v>61</v>
      </c>
      <c r="J3323" s="3" t="s">
        <v>61</v>
      </c>
      <c r="K3323" s="3" t="s">
        <v>63</v>
      </c>
      <c r="L3323" s="2" t="s">
        <v>32066</v>
      </c>
      <c r="M3323" s="2" t="s">
        <v>32089</v>
      </c>
      <c r="N3323" s="3" t="s">
        <v>958</v>
      </c>
      <c r="O3323" s="2" t="s">
        <v>32090</v>
      </c>
      <c r="P3323" s="3" t="s">
        <v>65</v>
      </c>
      <c r="R3323" s="3" t="s">
        <v>66</v>
      </c>
      <c r="S3323" s="4">
        <v>87</v>
      </c>
      <c r="T3323" s="4">
        <v>257</v>
      </c>
      <c r="U3323" s="5" t="s">
        <v>1061</v>
      </c>
      <c r="V3323" s="5" t="s">
        <v>1061</v>
      </c>
      <c r="W3323" s="5" t="s">
        <v>67</v>
      </c>
      <c r="X3323" s="5" t="s">
        <v>67</v>
      </c>
      <c r="Y3323" s="4">
        <v>596</v>
      </c>
      <c r="Z3323" s="4">
        <v>21</v>
      </c>
      <c r="AA3323" s="4">
        <v>122</v>
      </c>
      <c r="AB3323" s="4">
        <v>1</v>
      </c>
      <c r="AC3323" s="4">
        <v>14</v>
      </c>
      <c r="AD3323" s="4">
        <v>67</v>
      </c>
      <c r="AE3323" s="4">
        <v>163</v>
      </c>
      <c r="AF3323" s="4">
        <v>0</v>
      </c>
      <c r="AG3323" s="4">
        <v>6</v>
      </c>
      <c r="AH3323" s="4">
        <v>54</v>
      </c>
      <c r="AI3323" s="4">
        <v>117</v>
      </c>
      <c r="AJ3323" s="4">
        <v>7</v>
      </c>
      <c r="AK3323" s="4">
        <v>28</v>
      </c>
      <c r="AL3323" s="4">
        <v>31</v>
      </c>
      <c r="AM3323" s="4">
        <v>61</v>
      </c>
      <c r="AN3323" s="4">
        <v>0</v>
      </c>
      <c r="AO3323" s="4">
        <v>0</v>
      </c>
      <c r="AP3323" s="4">
        <v>16</v>
      </c>
      <c r="AQ3323" s="4">
        <v>54</v>
      </c>
      <c r="AR3323" s="3" t="s">
        <v>62</v>
      </c>
      <c r="AS3323" s="3" t="s">
        <v>62</v>
      </c>
      <c r="AT3323" s="3" t="s">
        <v>62</v>
      </c>
      <c r="AV3323" s="6" t="str">
        <f>HYPERLINK("http://mcgill.on.worldcat.org/oclc/31374737","Catalog Record")</f>
        <v>Catalog Record</v>
      </c>
      <c r="AW3323" s="6" t="str">
        <f>HYPERLINK("http://www.worldcat.org/oclc/31374737","WorldCat Record")</f>
        <v>WorldCat Record</v>
      </c>
      <c r="AX3323" s="3" t="s">
        <v>32079</v>
      </c>
      <c r="AY3323" s="3" t="s">
        <v>32091</v>
      </c>
      <c r="AZ3323" s="3" t="s">
        <v>32092</v>
      </c>
      <c r="BA3323" s="3" t="s">
        <v>32092</v>
      </c>
      <c r="BB3323" s="3" t="s">
        <v>32098</v>
      </c>
      <c r="BC3323" s="3" t="s">
        <v>142</v>
      </c>
      <c r="BD3323" s="3" t="s">
        <v>68</v>
      </c>
      <c r="BE3323" s="3" t="s">
        <v>32094</v>
      </c>
      <c r="BF3323" s="3" t="s">
        <v>32098</v>
      </c>
      <c r="BG3323" s="3" t="s">
        <v>32099</v>
      </c>
    </row>
    <row r="3324" spans="1:59" ht="57" x14ac:dyDescent="0.45">
      <c r="A3324" s="2" t="s">
        <v>59</v>
      </c>
      <c r="B3324" s="2" t="s">
        <v>60</v>
      </c>
      <c r="C3324" s="2" t="s">
        <v>32100</v>
      </c>
      <c r="D3324" s="2" t="s">
        <v>32101</v>
      </c>
      <c r="E3324" s="2" t="s">
        <v>32102</v>
      </c>
      <c r="G3324" s="3" t="s">
        <v>62</v>
      </c>
      <c r="I3324" s="3" t="s">
        <v>62</v>
      </c>
      <c r="J3324" s="3" t="s">
        <v>62</v>
      </c>
      <c r="K3324" s="3" t="s">
        <v>63</v>
      </c>
      <c r="M3324" s="2" t="s">
        <v>32103</v>
      </c>
      <c r="N3324" s="3" t="s">
        <v>1478</v>
      </c>
      <c r="P3324" s="3" t="s">
        <v>65</v>
      </c>
      <c r="R3324" s="3" t="s">
        <v>66</v>
      </c>
      <c r="S3324" s="4">
        <v>43</v>
      </c>
      <c r="T3324" s="4">
        <v>43</v>
      </c>
      <c r="U3324" s="5" t="s">
        <v>19134</v>
      </c>
      <c r="V3324" s="5" t="s">
        <v>19134</v>
      </c>
      <c r="W3324" s="5" t="s">
        <v>67</v>
      </c>
      <c r="X3324" s="5" t="s">
        <v>67</v>
      </c>
      <c r="Y3324" s="4">
        <v>237</v>
      </c>
      <c r="Z3324" s="4">
        <v>10</v>
      </c>
      <c r="AA3324" s="4">
        <v>13</v>
      </c>
      <c r="AB3324" s="4">
        <v>1</v>
      </c>
      <c r="AC3324" s="4">
        <v>4</v>
      </c>
      <c r="AD3324" s="4">
        <v>73</v>
      </c>
      <c r="AE3324" s="4">
        <v>75</v>
      </c>
      <c r="AF3324" s="4">
        <v>0</v>
      </c>
      <c r="AG3324" s="4">
        <v>0</v>
      </c>
      <c r="AH3324" s="4">
        <v>69</v>
      </c>
      <c r="AI3324" s="4">
        <v>71</v>
      </c>
      <c r="AJ3324" s="4">
        <v>8</v>
      </c>
      <c r="AK3324" s="4">
        <v>8</v>
      </c>
      <c r="AL3324" s="4">
        <v>40</v>
      </c>
      <c r="AM3324" s="4">
        <v>41</v>
      </c>
      <c r="AN3324" s="4">
        <v>0</v>
      </c>
      <c r="AO3324" s="4">
        <v>0</v>
      </c>
      <c r="AP3324" s="4">
        <v>8</v>
      </c>
      <c r="AQ3324" s="4">
        <v>8</v>
      </c>
      <c r="AR3324" s="3" t="s">
        <v>62</v>
      </c>
      <c r="AS3324" s="3" t="s">
        <v>62</v>
      </c>
      <c r="AT3324" s="3" t="s">
        <v>61</v>
      </c>
      <c r="AU3324" s="6" t="str">
        <f>HYPERLINK("http://catalog.hathitrust.org/Record/003079171","HathiTrust Record")</f>
        <v>HathiTrust Record</v>
      </c>
      <c r="AV3324" s="6" t="str">
        <f>HYPERLINK("http://mcgill.on.worldcat.org/oclc/32166597","Catalog Record")</f>
        <v>Catalog Record</v>
      </c>
      <c r="AW3324" s="6" t="str">
        <f>HYPERLINK("http://www.worldcat.org/oclc/32166597","WorldCat Record")</f>
        <v>WorldCat Record</v>
      </c>
      <c r="AX3324" s="3" t="s">
        <v>32104</v>
      </c>
      <c r="AY3324" s="3" t="s">
        <v>32105</v>
      </c>
      <c r="AZ3324" s="3" t="s">
        <v>32106</v>
      </c>
      <c r="BA3324" s="3" t="s">
        <v>32106</v>
      </c>
      <c r="BB3324" s="3" t="s">
        <v>32107</v>
      </c>
      <c r="BC3324" s="3" t="s">
        <v>142</v>
      </c>
      <c r="BD3324" s="3" t="s">
        <v>308</v>
      </c>
      <c r="BE3324" s="3" t="s">
        <v>32108</v>
      </c>
      <c r="BF3324" s="3" t="s">
        <v>32107</v>
      </c>
      <c r="BG3324" s="3" t="s">
        <v>32109</v>
      </c>
    </row>
    <row r="3325" spans="1:59" ht="57" x14ac:dyDescent="0.45">
      <c r="A3325" s="2" t="s">
        <v>59</v>
      </c>
      <c r="B3325" s="2" t="s">
        <v>60</v>
      </c>
      <c r="C3325" s="2" t="s">
        <v>32110</v>
      </c>
      <c r="D3325" s="2" t="s">
        <v>32111</v>
      </c>
      <c r="E3325" s="2" t="s">
        <v>32112</v>
      </c>
      <c r="G3325" s="3" t="s">
        <v>62</v>
      </c>
      <c r="I3325" s="3" t="s">
        <v>62</v>
      </c>
      <c r="J3325" s="3" t="s">
        <v>62</v>
      </c>
      <c r="K3325" s="3" t="s">
        <v>63</v>
      </c>
      <c r="M3325" s="2" t="s">
        <v>32113</v>
      </c>
      <c r="N3325" s="3" t="s">
        <v>1478</v>
      </c>
      <c r="P3325" s="3" t="s">
        <v>65</v>
      </c>
      <c r="R3325" s="3" t="s">
        <v>66</v>
      </c>
      <c r="S3325" s="4">
        <v>25</v>
      </c>
      <c r="T3325" s="4">
        <v>25</v>
      </c>
      <c r="U3325" s="5" t="s">
        <v>28077</v>
      </c>
      <c r="V3325" s="5" t="s">
        <v>28077</v>
      </c>
      <c r="W3325" s="5" t="s">
        <v>67</v>
      </c>
      <c r="X3325" s="5" t="s">
        <v>67</v>
      </c>
      <c r="Y3325" s="4">
        <v>191</v>
      </c>
      <c r="Z3325" s="4">
        <v>10</v>
      </c>
      <c r="AA3325" s="4">
        <v>12</v>
      </c>
      <c r="AB3325" s="4">
        <v>2</v>
      </c>
      <c r="AC3325" s="4">
        <v>3</v>
      </c>
      <c r="AD3325" s="4">
        <v>48</v>
      </c>
      <c r="AE3325" s="4">
        <v>51</v>
      </c>
      <c r="AF3325" s="4">
        <v>1</v>
      </c>
      <c r="AG3325" s="4">
        <v>2</v>
      </c>
      <c r="AH3325" s="4">
        <v>41</v>
      </c>
      <c r="AI3325" s="4">
        <v>43</v>
      </c>
      <c r="AJ3325" s="4">
        <v>6</v>
      </c>
      <c r="AK3325" s="4">
        <v>8</v>
      </c>
      <c r="AL3325" s="4">
        <v>25</v>
      </c>
      <c r="AM3325" s="4">
        <v>26</v>
      </c>
      <c r="AN3325" s="4">
        <v>0</v>
      </c>
      <c r="AO3325" s="4">
        <v>0</v>
      </c>
      <c r="AP3325" s="4">
        <v>9</v>
      </c>
      <c r="AQ3325" s="4">
        <v>10</v>
      </c>
      <c r="AR3325" s="3" t="s">
        <v>62</v>
      </c>
      <c r="AS3325" s="3" t="s">
        <v>62</v>
      </c>
      <c r="AT3325" s="3" t="s">
        <v>62</v>
      </c>
      <c r="AV3325" s="6" t="str">
        <f>HYPERLINK("http://mcgill.on.worldcat.org/oclc/32552434","Catalog Record")</f>
        <v>Catalog Record</v>
      </c>
      <c r="AW3325" s="6" t="str">
        <f>HYPERLINK("http://www.worldcat.org/oclc/32552434","WorldCat Record")</f>
        <v>WorldCat Record</v>
      </c>
      <c r="AX3325" s="3" t="s">
        <v>32114</v>
      </c>
      <c r="AY3325" s="3" t="s">
        <v>32115</v>
      </c>
      <c r="AZ3325" s="3" t="s">
        <v>32116</v>
      </c>
      <c r="BA3325" s="3" t="s">
        <v>32116</v>
      </c>
      <c r="BB3325" s="3" t="s">
        <v>32117</v>
      </c>
      <c r="BC3325" s="3" t="s">
        <v>142</v>
      </c>
      <c r="BD3325" s="3" t="s">
        <v>68</v>
      </c>
      <c r="BE3325" s="3" t="s">
        <v>32118</v>
      </c>
      <c r="BF3325" s="3" t="s">
        <v>32117</v>
      </c>
      <c r="BG3325" s="3" t="s">
        <v>32119</v>
      </c>
    </row>
    <row r="3326" spans="1:59" ht="57" x14ac:dyDescent="0.45">
      <c r="A3326" s="2" t="s">
        <v>59</v>
      </c>
      <c r="B3326" s="2" t="s">
        <v>60</v>
      </c>
      <c r="C3326" s="2" t="s">
        <v>32120</v>
      </c>
      <c r="D3326" s="2" t="s">
        <v>32121</v>
      </c>
      <c r="E3326" s="2" t="s">
        <v>32122</v>
      </c>
      <c r="G3326" s="3" t="s">
        <v>62</v>
      </c>
      <c r="I3326" s="3" t="s">
        <v>61</v>
      </c>
      <c r="J3326" s="3" t="s">
        <v>62</v>
      </c>
      <c r="K3326" s="3" t="s">
        <v>63</v>
      </c>
      <c r="L3326" s="2" t="s">
        <v>32123</v>
      </c>
      <c r="M3326" s="2" t="s">
        <v>5349</v>
      </c>
      <c r="N3326" s="3" t="s">
        <v>1239</v>
      </c>
      <c r="P3326" s="3" t="s">
        <v>65</v>
      </c>
      <c r="R3326" s="3" t="s">
        <v>66</v>
      </c>
      <c r="S3326" s="4">
        <v>32</v>
      </c>
      <c r="T3326" s="4">
        <v>237</v>
      </c>
      <c r="U3326" s="5" t="s">
        <v>32124</v>
      </c>
      <c r="V3326" s="5" t="s">
        <v>1783</v>
      </c>
      <c r="W3326" s="5" t="s">
        <v>67</v>
      </c>
      <c r="X3326" s="5" t="s">
        <v>67</v>
      </c>
      <c r="Y3326" s="4">
        <v>1246</v>
      </c>
      <c r="Z3326" s="4">
        <v>67</v>
      </c>
      <c r="AA3326" s="4">
        <v>113</v>
      </c>
      <c r="AB3326" s="4">
        <v>3</v>
      </c>
      <c r="AC3326" s="4">
        <v>14</v>
      </c>
      <c r="AD3326" s="4">
        <v>145</v>
      </c>
      <c r="AE3326" s="4">
        <v>159</v>
      </c>
      <c r="AF3326" s="4">
        <v>2</v>
      </c>
      <c r="AG3326" s="4">
        <v>8</v>
      </c>
      <c r="AH3326" s="4">
        <v>108</v>
      </c>
      <c r="AI3326" s="4">
        <v>112</v>
      </c>
      <c r="AJ3326" s="4">
        <v>21</v>
      </c>
      <c r="AK3326" s="4">
        <v>27</v>
      </c>
      <c r="AL3326" s="4">
        <v>57</v>
      </c>
      <c r="AM3326" s="4">
        <v>59</v>
      </c>
      <c r="AN3326" s="4">
        <v>0</v>
      </c>
      <c r="AO3326" s="4">
        <v>0</v>
      </c>
      <c r="AP3326" s="4">
        <v>45</v>
      </c>
      <c r="AQ3326" s="4">
        <v>56</v>
      </c>
      <c r="AR3326" s="3" t="s">
        <v>62</v>
      </c>
      <c r="AS3326" s="3" t="s">
        <v>62</v>
      </c>
      <c r="AT3326" s="3" t="s">
        <v>61</v>
      </c>
      <c r="AU3326" s="6" t="str">
        <f>HYPERLINK("http://catalog.hathitrust.org/Record/001093011","HathiTrust Record")</f>
        <v>HathiTrust Record</v>
      </c>
      <c r="AV3326" s="6" t="str">
        <f>HYPERLINK("http://mcgill.on.worldcat.org/oclc/18290785","Catalog Record")</f>
        <v>Catalog Record</v>
      </c>
      <c r="AW3326" s="6" t="str">
        <f>HYPERLINK("http://www.worldcat.org/oclc/18290785","WorldCat Record")</f>
        <v>WorldCat Record</v>
      </c>
      <c r="AX3326" s="3" t="s">
        <v>32125</v>
      </c>
      <c r="AY3326" s="3" t="s">
        <v>32126</v>
      </c>
      <c r="AZ3326" s="3" t="s">
        <v>32127</v>
      </c>
      <c r="BA3326" s="3" t="s">
        <v>32127</v>
      </c>
      <c r="BB3326" s="3" t="s">
        <v>32128</v>
      </c>
      <c r="BC3326" s="3" t="s">
        <v>142</v>
      </c>
      <c r="BD3326" s="3" t="s">
        <v>68</v>
      </c>
      <c r="BE3326" s="3" t="s">
        <v>32129</v>
      </c>
      <c r="BF3326" s="3" t="s">
        <v>32128</v>
      </c>
      <c r="BG3326" s="3" t="s">
        <v>32130</v>
      </c>
    </row>
    <row r="3327" spans="1:59" ht="57" x14ac:dyDescent="0.45">
      <c r="A3327" s="2" t="s">
        <v>59</v>
      </c>
      <c r="B3327" s="2" t="s">
        <v>60</v>
      </c>
      <c r="C3327" s="2" t="s">
        <v>32120</v>
      </c>
      <c r="D3327" s="2" t="s">
        <v>32121</v>
      </c>
      <c r="E3327" s="2" t="s">
        <v>32122</v>
      </c>
      <c r="G3327" s="3" t="s">
        <v>62</v>
      </c>
      <c r="I3327" s="3" t="s">
        <v>61</v>
      </c>
      <c r="J3327" s="3" t="s">
        <v>62</v>
      </c>
      <c r="K3327" s="3" t="s">
        <v>63</v>
      </c>
      <c r="L3327" s="2" t="s">
        <v>32123</v>
      </c>
      <c r="M3327" s="2" t="s">
        <v>5349</v>
      </c>
      <c r="N3327" s="3" t="s">
        <v>1239</v>
      </c>
      <c r="P3327" s="3" t="s">
        <v>65</v>
      </c>
      <c r="R3327" s="3" t="s">
        <v>66</v>
      </c>
      <c r="S3327" s="4">
        <v>35</v>
      </c>
      <c r="T3327" s="4">
        <v>237</v>
      </c>
      <c r="U3327" s="5" t="s">
        <v>1783</v>
      </c>
      <c r="V3327" s="5" t="s">
        <v>1783</v>
      </c>
      <c r="W3327" s="5" t="s">
        <v>67</v>
      </c>
      <c r="X3327" s="5" t="s">
        <v>67</v>
      </c>
      <c r="Y3327" s="4">
        <v>1246</v>
      </c>
      <c r="Z3327" s="4">
        <v>67</v>
      </c>
      <c r="AA3327" s="4">
        <v>113</v>
      </c>
      <c r="AB3327" s="4">
        <v>3</v>
      </c>
      <c r="AC3327" s="4">
        <v>14</v>
      </c>
      <c r="AD3327" s="4">
        <v>145</v>
      </c>
      <c r="AE3327" s="4">
        <v>159</v>
      </c>
      <c r="AF3327" s="4">
        <v>2</v>
      </c>
      <c r="AG3327" s="4">
        <v>8</v>
      </c>
      <c r="AH3327" s="4">
        <v>108</v>
      </c>
      <c r="AI3327" s="4">
        <v>112</v>
      </c>
      <c r="AJ3327" s="4">
        <v>21</v>
      </c>
      <c r="AK3327" s="4">
        <v>27</v>
      </c>
      <c r="AL3327" s="4">
        <v>57</v>
      </c>
      <c r="AM3327" s="4">
        <v>59</v>
      </c>
      <c r="AN3327" s="4">
        <v>0</v>
      </c>
      <c r="AO3327" s="4">
        <v>0</v>
      </c>
      <c r="AP3327" s="4">
        <v>45</v>
      </c>
      <c r="AQ3327" s="4">
        <v>56</v>
      </c>
      <c r="AR3327" s="3" t="s">
        <v>62</v>
      </c>
      <c r="AS3327" s="3" t="s">
        <v>62</v>
      </c>
      <c r="AT3327" s="3" t="s">
        <v>61</v>
      </c>
      <c r="AU3327" s="6" t="str">
        <f>HYPERLINK("http://catalog.hathitrust.org/Record/001093011","HathiTrust Record")</f>
        <v>HathiTrust Record</v>
      </c>
      <c r="AV3327" s="6" t="str">
        <f>HYPERLINK("http://mcgill.on.worldcat.org/oclc/18290785","Catalog Record")</f>
        <v>Catalog Record</v>
      </c>
      <c r="AW3327" s="6" t="str">
        <f>HYPERLINK("http://www.worldcat.org/oclc/18290785","WorldCat Record")</f>
        <v>WorldCat Record</v>
      </c>
      <c r="AX3327" s="3" t="s">
        <v>32125</v>
      </c>
      <c r="AY3327" s="3" t="s">
        <v>32126</v>
      </c>
      <c r="AZ3327" s="3" t="s">
        <v>32127</v>
      </c>
      <c r="BA3327" s="3" t="s">
        <v>32127</v>
      </c>
      <c r="BB3327" s="3" t="s">
        <v>32131</v>
      </c>
      <c r="BC3327" s="3" t="s">
        <v>142</v>
      </c>
      <c r="BD3327" s="3" t="s">
        <v>308</v>
      </c>
      <c r="BE3327" s="3" t="s">
        <v>32129</v>
      </c>
      <c r="BF3327" s="3" t="s">
        <v>32131</v>
      </c>
      <c r="BG3327" s="3" t="s">
        <v>32132</v>
      </c>
    </row>
    <row r="3328" spans="1:59" ht="57" x14ac:dyDescent="0.45">
      <c r="A3328" s="2" t="s">
        <v>59</v>
      </c>
      <c r="B3328" s="2" t="s">
        <v>60</v>
      </c>
      <c r="C3328" s="2" t="s">
        <v>32120</v>
      </c>
      <c r="D3328" s="2" t="s">
        <v>32121</v>
      </c>
      <c r="E3328" s="2" t="s">
        <v>32122</v>
      </c>
      <c r="G3328" s="3" t="s">
        <v>62</v>
      </c>
      <c r="I3328" s="3" t="s">
        <v>61</v>
      </c>
      <c r="J3328" s="3" t="s">
        <v>62</v>
      </c>
      <c r="K3328" s="3" t="s">
        <v>63</v>
      </c>
      <c r="L3328" s="2" t="s">
        <v>32123</v>
      </c>
      <c r="M3328" s="2" t="s">
        <v>5349</v>
      </c>
      <c r="N3328" s="3" t="s">
        <v>1239</v>
      </c>
      <c r="P3328" s="3" t="s">
        <v>65</v>
      </c>
      <c r="R3328" s="3" t="s">
        <v>66</v>
      </c>
      <c r="S3328" s="4">
        <v>103</v>
      </c>
      <c r="T3328" s="4">
        <v>237</v>
      </c>
      <c r="U3328" s="5" t="s">
        <v>31780</v>
      </c>
      <c r="V3328" s="5" t="s">
        <v>1783</v>
      </c>
      <c r="W3328" s="5" t="s">
        <v>67</v>
      </c>
      <c r="X3328" s="5" t="s">
        <v>67</v>
      </c>
      <c r="Y3328" s="4">
        <v>1246</v>
      </c>
      <c r="Z3328" s="4">
        <v>67</v>
      </c>
      <c r="AA3328" s="4">
        <v>113</v>
      </c>
      <c r="AB3328" s="4">
        <v>3</v>
      </c>
      <c r="AC3328" s="4">
        <v>14</v>
      </c>
      <c r="AD3328" s="4">
        <v>145</v>
      </c>
      <c r="AE3328" s="4">
        <v>159</v>
      </c>
      <c r="AF3328" s="4">
        <v>2</v>
      </c>
      <c r="AG3328" s="4">
        <v>8</v>
      </c>
      <c r="AH3328" s="4">
        <v>108</v>
      </c>
      <c r="AI3328" s="4">
        <v>112</v>
      </c>
      <c r="AJ3328" s="4">
        <v>21</v>
      </c>
      <c r="AK3328" s="4">
        <v>27</v>
      </c>
      <c r="AL3328" s="4">
        <v>57</v>
      </c>
      <c r="AM3328" s="4">
        <v>59</v>
      </c>
      <c r="AN3328" s="4">
        <v>0</v>
      </c>
      <c r="AO3328" s="4">
        <v>0</v>
      </c>
      <c r="AP3328" s="4">
        <v>45</v>
      </c>
      <c r="AQ3328" s="4">
        <v>56</v>
      </c>
      <c r="AR3328" s="3" t="s">
        <v>62</v>
      </c>
      <c r="AS3328" s="3" t="s">
        <v>62</v>
      </c>
      <c r="AT3328" s="3" t="s">
        <v>61</v>
      </c>
      <c r="AU3328" s="6" t="str">
        <f>HYPERLINK("http://catalog.hathitrust.org/Record/001093011","HathiTrust Record")</f>
        <v>HathiTrust Record</v>
      </c>
      <c r="AV3328" s="6" t="str">
        <f>HYPERLINK("http://mcgill.on.worldcat.org/oclc/18290785","Catalog Record")</f>
        <v>Catalog Record</v>
      </c>
      <c r="AW3328" s="6" t="str">
        <f>HYPERLINK("http://www.worldcat.org/oclc/18290785","WorldCat Record")</f>
        <v>WorldCat Record</v>
      </c>
      <c r="AX3328" s="3" t="s">
        <v>32125</v>
      </c>
      <c r="AY3328" s="3" t="s">
        <v>32126</v>
      </c>
      <c r="AZ3328" s="3" t="s">
        <v>32127</v>
      </c>
      <c r="BA3328" s="3" t="s">
        <v>32127</v>
      </c>
      <c r="BB3328" s="3" t="s">
        <v>32133</v>
      </c>
      <c r="BC3328" s="3" t="s">
        <v>142</v>
      </c>
      <c r="BD3328" s="3" t="s">
        <v>308</v>
      </c>
      <c r="BE3328" s="3" t="s">
        <v>32129</v>
      </c>
      <c r="BF3328" s="3" t="s">
        <v>32133</v>
      </c>
      <c r="BG3328" s="3" t="s">
        <v>32134</v>
      </c>
    </row>
    <row r="3329" spans="1:59" ht="57" x14ac:dyDescent="0.45">
      <c r="A3329" s="2" t="s">
        <v>59</v>
      </c>
      <c r="B3329" s="2" t="s">
        <v>60</v>
      </c>
      <c r="C3329" s="2" t="s">
        <v>32120</v>
      </c>
      <c r="D3329" s="2" t="s">
        <v>32121</v>
      </c>
      <c r="E3329" s="2" t="s">
        <v>32122</v>
      </c>
      <c r="G3329" s="3" t="s">
        <v>62</v>
      </c>
      <c r="I3329" s="3" t="s">
        <v>61</v>
      </c>
      <c r="J3329" s="3" t="s">
        <v>62</v>
      </c>
      <c r="K3329" s="3" t="s">
        <v>63</v>
      </c>
      <c r="L3329" s="2" t="s">
        <v>32123</v>
      </c>
      <c r="M3329" s="2" t="s">
        <v>5349</v>
      </c>
      <c r="N3329" s="3" t="s">
        <v>1239</v>
      </c>
      <c r="P3329" s="3" t="s">
        <v>65</v>
      </c>
      <c r="R3329" s="3" t="s">
        <v>66</v>
      </c>
      <c r="S3329" s="4">
        <v>4</v>
      </c>
      <c r="T3329" s="4">
        <v>237</v>
      </c>
      <c r="U3329" s="5" t="s">
        <v>32026</v>
      </c>
      <c r="V3329" s="5" t="s">
        <v>1783</v>
      </c>
      <c r="W3329" s="5" t="s">
        <v>67</v>
      </c>
      <c r="X3329" s="5" t="s">
        <v>67</v>
      </c>
      <c r="Y3329" s="4">
        <v>1246</v>
      </c>
      <c r="Z3329" s="4">
        <v>67</v>
      </c>
      <c r="AA3329" s="4">
        <v>113</v>
      </c>
      <c r="AB3329" s="4">
        <v>3</v>
      </c>
      <c r="AC3329" s="4">
        <v>14</v>
      </c>
      <c r="AD3329" s="4">
        <v>145</v>
      </c>
      <c r="AE3329" s="4">
        <v>159</v>
      </c>
      <c r="AF3329" s="4">
        <v>2</v>
      </c>
      <c r="AG3329" s="4">
        <v>8</v>
      </c>
      <c r="AH3329" s="4">
        <v>108</v>
      </c>
      <c r="AI3329" s="4">
        <v>112</v>
      </c>
      <c r="AJ3329" s="4">
        <v>21</v>
      </c>
      <c r="AK3329" s="4">
        <v>27</v>
      </c>
      <c r="AL3329" s="4">
        <v>57</v>
      </c>
      <c r="AM3329" s="4">
        <v>59</v>
      </c>
      <c r="AN3329" s="4">
        <v>0</v>
      </c>
      <c r="AO3329" s="4">
        <v>0</v>
      </c>
      <c r="AP3329" s="4">
        <v>45</v>
      </c>
      <c r="AQ3329" s="4">
        <v>56</v>
      </c>
      <c r="AR3329" s="3" t="s">
        <v>62</v>
      </c>
      <c r="AS3329" s="3" t="s">
        <v>62</v>
      </c>
      <c r="AT3329" s="3" t="s">
        <v>61</v>
      </c>
      <c r="AU3329" s="6" t="str">
        <f>HYPERLINK("http://catalog.hathitrust.org/Record/001093011","HathiTrust Record")</f>
        <v>HathiTrust Record</v>
      </c>
      <c r="AV3329" s="6" t="str">
        <f>HYPERLINK("http://mcgill.on.worldcat.org/oclc/18290785","Catalog Record")</f>
        <v>Catalog Record</v>
      </c>
      <c r="AW3329" s="6" t="str">
        <f>HYPERLINK("http://www.worldcat.org/oclc/18290785","WorldCat Record")</f>
        <v>WorldCat Record</v>
      </c>
      <c r="AX3329" s="3" t="s">
        <v>32125</v>
      </c>
      <c r="AY3329" s="3" t="s">
        <v>32126</v>
      </c>
      <c r="AZ3329" s="3" t="s">
        <v>32127</v>
      </c>
      <c r="BA3329" s="3" t="s">
        <v>32127</v>
      </c>
      <c r="BB3329" s="3" t="s">
        <v>32135</v>
      </c>
      <c r="BC3329" s="3" t="s">
        <v>142</v>
      </c>
      <c r="BD3329" s="3" t="s">
        <v>308</v>
      </c>
      <c r="BE3329" s="3" t="s">
        <v>32129</v>
      </c>
      <c r="BF3329" s="3" t="s">
        <v>32135</v>
      </c>
      <c r="BG3329" s="3" t="s">
        <v>32136</v>
      </c>
    </row>
    <row r="3330" spans="1:59" ht="57" x14ac:dyDescent="0.45">
      <c r="A3330" s="2" t="s">
        <v>59</v>
      </c>
      <c r="B3330" s="2" t="s">
        <v>60</v>
      </c>
      <c r="C3330" s="2" t="s">
        <v>32120</v>
      </c>
      <c r="D3330" s="2" t="s">
        <v>32121</v>
      </c>
      <c r="E3330" s="2" t="s">
        <v>32122</v>
      </c>
      <c r="G3330" s="3" t="s">
        <v>62</v>
      </c>
      <c r="I3330" s="3" t="s">
        <v>61</v>
      </c>
      <c r="J3330" s="3" t="s">
        <v>62</v>
      </c>
      <c r="K3330" s="3" t="s">
        <v>63</v>
      </c>
      <c r="L3330" s="2" t="s">
        <v>32123</v>
      </c>
      <c r="M3330" s="2" t="s">
        <v>5349</v>
      </c>
      <c r="N3330" s="3" t="s">
        <v>1239</v>
      </c>
      <c r="P3330" s="3" t="s">
        <v>65</v>
      </c>
      <c r="R3330" s="3" t="s">
        <v>66</v>
      </c>
      <c r="S3330" s="4">
        <v>63</v>
      </c>
      <c r="T3330" s="4">
        <v>237</v>
      </c>
      <c r="U3330" s="5" t="s">
        <v>21690</v>
      </c>
      <c r="V3330" s="5" t="s">
        <v>1783</v>
      </c>
      <c r="W3330" s="5" t="s">
        <v>67</v>
      </c>
      <c r="X3330" s="5" t="s">
        <v>67</v>
      </c>
      <c r="Y3330" s="4">
        <v>1246</v>
      </c>
      <c r="Z3330" s="4">
        <v>67</v>
      </c>
      <c r="AA3330" s="4">
        <v>113</v>
      </c>
      <c r="AB3330" s="4">
        <v>3</v>
      </c>
      <c r="AC3330" s="4">
        <v>14</v>
      </c>
      <c r="AD3330" s="4">
        <v>145</v>
      </c>
      <c r="AE3330" s="4">
        <v>159</v>
      </c>
      <c r="AF3330" s="4">
        <v>2</v>
      </c>
      <c r="AG3330" s="4">
        <v>8</v>
      </c>
      <c r="AH3330" s="4">
        <v>108</v>
      </c>
      <c r="AI3330" s="4">
        <v>112</v>
      </c>
      <c r="AJ3330" s="4">
        <v>21</v>
      </c>
      <c r="AK3330" s="4">
        <v>27</v>
      </c>
      <c r="AL3330" s="4">
        <v>57</v>
      </c>
      <c r="AM3330" s="4">
        <v>59</v>
      </c>
      <c r="AN3330" s="4">
        <v>0</v>
      </c>
      <c r="AO3330" s="4">
        <v>0</v>
      </c>
      <c r="AP3330" s="4">
        <v>45</v>
      </c>
      <c r="AQ3330" s="4">
        <v>56</v>
      </c>
      <c r="AR3330" s="3" t="s">
        <v>62</v>
      </c>
      <c r="AS3330" s="3" t="s">
        <v>62</v>
      </c>
      <c r="AT3330" s="3" t="s">
        <v>61</v>
      </c>
      <c r="AU3330" s="6" t="str">
        <f>HYPERLINK("http://catalog.hathitrust.org/Record/001093011","HathiTrust Record")</f>
        <v>HathiTrust Record</v>
      </c>
      <c r="AV3330" s="6" t="str">
        <f>HYPERLINK("http://mcgill.on.worldcat.org/oclc/18290785","Catalog Record")</f>
        <v>Catalog Record</v>
      </c>
      <c r="AW3330" s="6" t="str">
        <f>HYPERLINK("http://www.worldcat.org/oclc/18290785","WorldCat Record")</f>
        <v>WorldCat Record</v>
      </c>
      <c r="AX3330" s="3" t="s">
        <v>32125</v>
      </c>
      <c r="AY3330" s="3" t="s">
        <v>32126</v>
      </c>
      <c r="AZ3330" s="3" t="s">
        <v>32127</v>
      </c>
      <c r="BA3330" s="3" t="s">
        <v>32127</v>
      </c>
      <c r="BB3330" s="3" t="s">
        <v>32137</v>
      </c>
      <c r="BC3330" s="3" t="s">
        <v>142</v>
      </c>
      <c r="BD3330" s="3" t="s">
        <v>308</v>
      </c>
      <c r="BE3330" s="3" t="s">
        <v>32129</v>
      </c>
      <c r="BF3330" s="3" t="s">
        <v>32137</v>
      </c>
      <c r="BG3330" s="3" t="s">
        <v>32138</v>
      </c>
    </row>
    <row r="3331" spans="1:59" ht="57" x14ac:dyDescent="0.45">
      <c r="A3331" s="2" t="s">
        <v>59</v>
      </c>
      <c r="B3331" s="2" t="s">
        <v>60</v>
      </c>
      <c r="C3331" s="2" t="s">
        <v>32139</v>
      </c>
      <c r="D3331" s="2" t="s">
        <v>32140</v>
      </c>
      <c r="E3331" s="2" t="s">
        <v>32141</v>
      </c>
      <c r="G3331" s="3" t="s">
        <v>62</v>
      </c>
      <c r="I3331" s="3" t="s">
        <v>62</v>
      </c>
      <c r="J3331" s="3" t="s">
        <v>62</v>
      </c>
      <c r="K3331" s="3" t="s">
        <v>63</v>
      </c>
      <c r="M3331" s="2" t="s">
        <v>6141</v>
      </c>
      <c r="N3331" s="3" t="s">
        <v>894</v>
      </c>
      <c r="P3331" s="3" t="s">
        <v>65</v>
      </c>
      <c r="Q3331" s="2" t="s">
        <v>32142</v>
      </c>
      <c r="R3331" s="3" t="s">
        <v>66</v>
      </c>
      <c r="S3331" s="4">
        <v>3</v>
      </c>
      <c r="T3331" s="4">
        <v>3</v>
      </c>
      <c r="U3331" s="5" t="s">
        <v>26298</v>
      </c>
      <c r="V3331" s="5" t="s">
        <v>26298</v>
      </c>
      <c r="W3331" s="5" t="s">
        <v>67</v>
      </c>
      <c r="X3331" s="5" t="s">
        <v>67</v>
      </c>
      <c r="Y3331" s="4">
        <v>92</v>
      </c>
      <c r="Z3331" s="4">
        <v>6</v>
      </c>
      <c r="AA3331" s="4">
        <v>81</v>
      </c>
      <c r="AB3331" s="4">
        <v>1</v>
      </c>
      <c r="AC3331" s="4">
        <v>16</v>
      </c>
      <c r="AD3331" s="4">
        <v>29</v>
      </c>
      <c r="AE3331" s="4">
        <v>126</v>
      </c>
      <c r="AF3331" s="4">
        <v>0</v>
      </c>
      <c r="AG3331" s="4">
        <v>8</v>
      </c>
      <c r="AH3331" s="4">
        <v>28</v>
      </c>
      <c r="AI3331" s="4">
        <v>91</v>
      </c>
      <c r="AJ3331" s="4">
        <v>4</v>
      </c>
      <c r="AK3331" s="4">
        <v>24</v>
      </c>
      <c r="AL3331" s="4">
        <v>15</v>
      </c>
      <c r="AM3331" s="4">
        <v>47</v>
      </c>
      <c r="AN3331" s="4">
        <v>0</v>
      </c>
      <c r="AO3331" s="4">
        <v>0</v>
      </c>
      <c r="AP3331" s="4">
        <v>5</v>
      </c>
      <c r="AQ3331" s="4">
        <v>45</v>
      </c>
      <c r="AR3331" s="3" t="s">
        <v>62</v>
      </c>
      <c r="AS3331" s="3" t="s">
        <v>62</v>
      </c>
      <c r="AT3331" s="3" t="s">
        <v>62</v>
      </c>
      <c r="AV3331" s="6" t="str">
        <f>HYPERLINK("http://mcgill.on.worldcat.org/oclc/644680366","Catalog Record")</f>
        <v>Catalog Record</v>
      </c>
      <c r="AW3331" s="6" t="str">
        <f>HYPERLINK("http://www.worldcat.org/oclc/644680366","WorldCat Record")</f>
        <v>WorldCat Record</v>
      </c>
      <c r="AX3331" s="3" t="s">
        <v>32143</v>
      </c>
      <c r="AY3331" s="3" t="s">
        <v>32144</v>
      </c>
      <c r="AZ3331" s="3" t="s">
        <v>32145</v>
      </c>
      <c r="BA3331" s="3" t="s">
        <v>32145</v>
      </c>
      <c r="BB3331" s="3" t="s">
        <v>32146</v>
      </c>
      <c r="BC3331" s="3" t="s">
        <v>142</v>
      </c>
      <c r="BD3331" s="3" t="s">
        <v>68</v>
      </c>
      <c r="BE3331" s="3" t="s">
        <v>32147</v>
      </c>
      <c r="BF3331" s="3" t="s">
        <v>32146</v>
      </c>
      <c r="BG3331" s="3" t="s">
        <v>32148</v>
      </c>
    </row>
    <row r="3332" spans="1:59" ht="57" x14ac:dyDescent="0.45">
      <c r="A3332" s="2" t="s">
        <v>59</v>
      </c>
      <c r="B3332" s="2" t="s">
        <v>60</v>
      </c>
      <c r="C3332" s="2" t="s">
        <v>32149</v>
      </c>
      <c r="D3332" s="2" t="s">
        <v>32150</v>
      </c>
      <c r="E3332" s="2" t="s">
        <v>32151</v>
      </c>
      <c r="G3332" s="3" t="s">
        <v>62</v>
      </c>
      <c r="I3332" s="3" t="s">
        <v>62</v>
      </c>
      <c r="J3332" s="3" t="s">
        <v>62</v>
      </c>
      <c r="K3332" s="3" t="s">
        <v>63</v>
      </c>
      <c r="L3332" s="2" t="s">
        <v>32152</v>
      </c>
      <c r="M3332" s="2" t="s">
        <v>10440</v>
      </c>
      <c r="N3332" s="3" t="s">
        <v>894</v>
      </c>
      <c r="P3332" s="3" t="s">
        <v>65</v>
      </c>
      <c r="Q3332" s="2" t="s">
        <v>32153</v>
      </c>
      <c r="R3332" s="3" t="s">
        <v>66</v>
      </c>
      <c r="S3332" s="4">
        <v>0</v>
      </c>
      <c r="T3332" s="4">
        <v>0</v>
      </c>
      <c r="W3332" s="5" t="s">
        <v>67</v>
      </c>
      <c r="X3332" s="5" t="s">
        <v>67</v>
      </c>
      <c r="Y3332" s="4">
        <v>39</v>
      </c>
      <c r="Z3332" s="4">
        <v>9</v>
      </c>
      <c r="AA3332" s="4">
        <v>9</v>
      </c>
      <c r="AB3332" s="4">
        <v>1</v>
      </c>
      <c r="AC3332" s="4">
        <v>1</v>
      </c>
      <c r="AD3332" s="4">
        <v>21</v>
      </c>
      <c r="AE3332" s="4">
        <v>21</v>
      </c>
      <c r="AF3332" s="4">
        <v>0</v>
      </c>
      <c r="AG3332" s="4">
        <v>0</v>
      </c>
      <c r="AH3332" s="4">
        <v>18</v>
      </c>
      <c r="AI3332" s="4">
        <v>18</v>
      </c>
      <c r="AJ3332" s="4">
        <v>7</v>
      </c>
      <c r="AK3332" s="4">
        <v>7</v>
      </c>
      <c r="AL3332" s="4">
        <v>11</v>
      </c>
      <c r="AM3332" s="4">
        <v>11</v>
      </c>
      <c r="AN3332" s="4">
        <v>0</v>
      </c>
      <c r="AO3332" s="4">
        <v>0</v>
      </c>
      <c r="AP3332" s="4">
        <v>7</v>
      </c>
      <c r="AQ3332" s="4">
        <v>7</v>
      </c>
      <c r="AR3332" s="3" t="s">
        <v>62</v>
      </c>
      <c r="AS3332" s="3" t="s">
        <v>62</v>
      </c>
      <c r="AT3332" s="3" t="s">
        <v>62</v>
      </c>
      <c r="AV3332" s="6" t="str">
        <f>HYPERLINK("http://mcgill.on.worldcat.org/oclc/700042306","Catalog Record")</f>
        <v>Catalog Record</v>
      </c>
      <c r="AW3332" s="6" t="str">
        <f>HYPERLINK("http://www.worldcat.org/oclc/700042306","WorldCat Record")</f>
        <v>WorldCat Record</v>
      </c>
      <c r="AX3332" s="3" t="s">
        <v>32154</v>
      </c>
      <c r="AY3332" s="3" t="s">
        <v>32155</v>
      </c>
      <c r="AZ3332" s="3" t="s">
        <v>32156</v>
      </c>
      <c r="BA3332" s="3" t="s">
        <v>32156</v>
      </c>
      <c r="BB3332" s="3" t="s">
        <v>32157</v>
      </c>
      <c r="BC3332" s="3" t="s">
        <v>142</v>
      </c>
      <c r="BD3332" s="3" t="s">
        <v>68</v>
      </c>
      <c r="BE3332" s="3" t="s">
        <v>32158</v>
      </c>
      <c r="BF3332" s="3" t="s">
        <v>32157</v>
      </c>
      <c r="BG3332" s="3" t="s">
        <v>32159</v>
      </c>
    </row>
    <row r="3333" spans="1:59" ht="57" x14ac:dyDescent="0.45">
      <c r="A3333" s="2" t="s">
        <v>59</v>
      </c>
      <c r="B3333" s="2" t="s">
        <v>60</v>
      </c>
      <c r="C3333" s="2" t="s">
        <v>32160</v>
      </c>
      <c r="D3333" s="2" t="s">
        <v>32161</v>
      </c>
      <c r="E3333" s="2" t="s">
        <v>32162</v>
      </c>
      <c r="G3333" s="3" t="s">
        <v>62</v>
      </c>
      <c r="I3333" s="3" t="s">
        <v>62</v>
      </c>
      <c r="J3333" s="3" t="s">
        <v>62</v>
      </c>
      <c r="K3333" s="3" t="s">
        <v>63</v>
      </c>
      <c r="M3333" s="2" t="s">
        <v>32163</v>
      </c>
      <c r="N3333" s="3" t="s">
        <v>1239</v>
      </c>
      <c r="O3333" s="2" t="s">
        <v>168</v>
      </c>
      <c r="P3333" s="3" t="s">
        <v>65</v>
      </c>
      <c r="R3333" s="3" t="s">
        <v>66</v>
      </c>
      <c r="S3333" s="4">
        <v>50</v>
      </c>
      <c r="T3333" s="4">
        <v>50</v>
      </c>
      <c r="U3333" s="5" t="s">
        <v>12520</v>
      </c>
      <c r="V3333" s="5" t="s">
        <v>12520</v>
      </c>
      <c r="W3333" s="5" t="s">
        <v>67</v>
      </c>
      <c r="X3333" s="5" t="s">
        <v>67</v>
      </c>
      <c r="Y3333" s="4">
        <v>495</v>
      </c>
      <c r="Z3333" s="4">
        <v>28</v>
      </c>
      <c r="AA3333" s="4">
        <v>30</v>
      </c>
      <c r="AB3333" s="4">
        <v>1</v>
      </c>
      <c r="AC3333" s="4">
        <v>3</v>
      </c>
      <c r="AD3333" s="4">
        <v>117</v>
      </c>
      <c r="AE3333" s="4">
        <v>120</v>
      </c>
      <c r="AF3333" s="4">
        <v>0</v>
      </c>
      <c r="AG3333" s="4">
        <v>2</v>
      </c>
      <c r="AH3333" s="4">
        <v>101</v>
      </c>
      <c r="AI3333" s="4">
        <v>103</v>
      </c>
      <c r="AJ3333" s="4">
        <v>17</v>
      </c>
      <c r="AK3333" s="4">
        <v>19</v>
      </c>
      <c r="AL3333" s="4">
        <v>54</v>
      </c>
      <c r="AM3333" s="4">
        <v>55</v>
      </c>
      <c r="AN3333" s="4">
        <v>0</v>
      </c>
      <c r="AO3333" s="4">
        <v>0</v>
      </c>
      <c r="AP3333" s="4">
        <v>24</v>
      </c>
      <c r="AQ3333" s="4">
        <v>25</v>
      </c>
      <c r="AR3333" s="3" t="s">
        <v>62</v>
      </c>
      <c r="AS3333" s="3" t="s">
        <v>62</v>
      </c>
      <c r="AT3333" s="3" t="s">
        <v>61</v>
      </c>
      <c r="AU3333" s="6" t="str">
        <f>HYPERLINK("http://catalog.hathitrust.org/Record/001088725","HathiTrust Record")</f>
        <v>HathiTrust Record</v>
      </c>
      <c r="AV3333" s="6" t="str">
        <f>HYPERLINK("http://mcgill.on.worldcat.org/oclc/18321935","Catalog Record")</f>
        <v>Catalog Record</v>
      </c>
      <c r="AW3333" s="6" t="str">
        <f>HYPERLINK("http://www.worldcat.org/oclc/18321935","WorldCat Record")</f>
        <v>WorldCat Record</v>
      </c>
      <c r="AX3333" s="3" t="s">
        <v>32164</v>
      </c>
      <c r="AY3333" s="3" t="s">
        <v>32165</v>
      </c>
      <c r="AZ3333" s="3" t="s">
        <v>32166</v>
      </c>
      <c r="BA3333" s="3" t="s">
        <v>32166</v>
      </c>
      <c r="BB3333" s="3" t="s">
        <v>32167</v>
      </c>
      <c r="BC3333" s="3" t="s">
        <v>142</v>
      </c>
      <c r="BD3333" s="3" t="s">
        <v>68</v>
      </c>
      <c r="BE3333" s="3" t="s">
        <v>32168</v>
      </c>
      <c r="BF3333" s="3" t="s">
        <v>32167</v>
      </c>
      <c r="BG3333" s="3" t="s">
        <v>32169</v>
      </c>
    </row>
    <row r="3334" spans="1:59" ht="57" x14ac:dyDescent="0.45">
      <c r="A3334" s="2" t="s">
        <v>59</v>
      </c>
      <c r="B3334" s="2" t="s">
        <v>60</v>
      </c>
      <c r="C3334" s="2" t="s">
        <v>32170</v>
      </c>
      <c r="D3334" s="2" t="s">
        <v>32171</v>
      </c>
      <c r="E3334" s="2" t="s">
        <v>32172</v>
      </c>
      <c r="G3334" s="3" t="s">
        <v>62</v>
      </c>
      <c r="I3334" s="3" t="s">
        <v>62</v>
      </c>
      <c r="J3334" s="3" t="s">
        <v>61</v>
      </c>
      <c r="K3334" s="3" t="s">
        <v>63</v>
      </c>
      <c r="L3334" s="2" t="s">
        <v>6862</v>
      </c>
      <c r="M3334" s="2" t="s">
        <v>32173</v>
      </c>
      <c r="N3334" s="3" t="s">
        <v>1073</v>
      </c>
      <c r="O3334" s="2" t="s">
        <v>32174</v>
      </c>
      <c r="P3334" s="3" t="s">
        <v>65</v>
      </c>
      <c r="Q3334" s="2" t="s">
        <v>32175</v>
      </c>
      <c r="R3334" s="3" t="s">
        <v>66</v>
      </c>
      <c r="S3334" s="4">
        <v>23</v>
      </c>
      <c r="T3334" s="4">
        <v>23</v>
      </c>
      <c r="U3334" s="5" t="s">
        <v>32176</v>
      </c>
      <c r="V3334" s="5" t="s">
        <v>32176</v>
      </c>
      <c r="W3334" s="5" t="s">
        <v>67</v>
      </c>
      <c r="X3334" s="5" t="s">
        <v>67</v>
      </c>
      <c r="Y3334" s="4">
        <v>57</v>
      </c>
      <c r="Z3334" s="4">
        <v>2</v>
      </c>
      <c r="AA3334" s="4">
        <v>56</v>
      </c>
      <c r="AB3334" s="4">
        <v>1</v>
      </c>
      <c r="AC3334" s="4">
        <v>8</v>
      </c>
      <c r="AD3334" s="4">
        <v>10</v>
      </c>
      <c r="AE3334" s="4">
        <v>138</v>
      </c>
      <c r="AF3334" s="4">
        <v>0</v>
      </c>
      <c r="AG3334" s="4">
        <v>5</v>
      </c>
      <c r="AH3334" s="4">
        <v>9</v>
      </c>
      <c r="AI3334" s="4">
        <v>106</v>
      </c>
      <c r="AJ3334" s="4">
        <v>0</v>
      </c>
      <c r="AK3334" s="4">
        <v>27</v>
      </c>
      <c r="AL3334" s="4">
        <v>6</v>
      </c>
      <c r="AM3334" s="4">
        <v>58</v>
      </c>
      <c r="AN3334" s="4">
        <v>0</v>
      </c>
      <c r="AO3334" s="4">
        <v>0</v>
      </c>
      <c r="AP3334" s="4">
        <v>1</v>
      </c>
      <c r="AQ3334" s="4">
        <v>38</v>
      </c>
      <c r="AR3334" s="3" t="s">
        <v>62</v>
      </c>
      <c r="AS3334" s="3" t="s">
        <v>62</v>
      </c>
      <c r="AT3334" s="3" t="s">
        <v>61</v>
      </c>
      <c r="AU3334" s="6" t="str">
        <f>HYPERLINK("http://catalog.hathitrust.org/Record/007118442","HathiTrust Record")</f>
        <v>HathiTrust Record</v>
      </c>
      <c r="AV3334" s="6" t="str">
        <f>HYPERLINK("http://mcgill.on.worldcat.org/oclc/6066278","Catalog Record")</f>
        <v>Catalog Record</v>
      </c>
      <c r="AW3334" s="6" t="str">
        <f>HYPERLINK("http://www.worldcat.org/oclc/6066278","WorldCat Record")</f>
        <v>WorldCat Record</v>
      </c>
      <c r="AX3334" s="3" t="s">
        <v>32177</v>
      </c>
      <c r="AY3334" s="3" t="s">
        <v>32178</v>
      </c>
      <c r="AZ3334" s="3" t="s">
        <v>32179</v>
      </c>
      <c r="BA3334" s="3" t="s">
        <v>32179</v>
      </c>
      <c r="BB3334" s="3" t="s">
        <v>32180</v>
      </c>
      <c r="BC3334" s="3" t="s">
        <v>142</v>
      </c>
      <c r="BD3334" s="3" t="s">
        <v>68</v>
      </c>
      <c r="BE3334" s="3" t="s">
        <v>32181</v>
      </c>
      <c r="BF3334" s="3" t="s">
        <v>32180</v>
      </c>
      <c r="BG3334" s="3" t="s">
        <v>32182</v>
      </c>
    </row>
    <row r="3335" spans="1:59" ht="57" x14ac:dyDescent="0.45">
      <c r="A3335" s="2" t="s">
        <v>59</v>
      </c>
      <c r="B3335" s="2" t="s">
        <v>60</v>
      </c>
      <c r="C3335" s="2" t="s">
        <v>32183</v>
      </c>
      <c r="D3335" s="2" t="s">
        <v>32184</v>
      </c>
      <c r="E3335" s="2" t="s">
        <v>32185</v>
      </c>
      <c r="G3335" s="3" t="s">
        <v>62</v>
      </c>
      <c r="I3335" s="3" t="s">
        <v>61</v>
      </c>
      <c r="J3335" s="3" t="s">
        <v>62</v>
      </c>
      <c r="K3335" s="3" t="s">
        <v>63</v>
      </c>
      <c r="L3335" s="2" t="s">
        <v>6862</v>
      </c>
      <c r="M3335" s="2" t="s">
        <v>32186</v>
      </c>
      <c r="N3335" s="3" t="s">
        <v>1478</v>
      </c>
      <c r="P3335" s="3" t="s">
        <v>65</v>
      </c>
      <c r="R3335" s="3" t="s">
        <v>66</v>
      </c>
      <c r="S3335" s="4">
        <v>10</v>
      </c>
      <c r="T3335" s="4">
        <v>40</v>
      </c>
      <c r="U3335" s="5" t="s">
        <v>32187</v>
      </c>
      <c r="V3335" s="5" t="s">
        <v>21489</v>
      </c>
      <c r="W3335" s="5" t="s">
        <v>67</v>
      </c>
      <c r="X3335" s="5" t="s">
        <v>67</v>
      </c>
      <c r="Y3335" s="4">
        <v>579</v>
      </c>
      <c r="Z3335" s="4">
        <v>38</v>
      </c>
      <c r="AA3335" s="4">
        <v>51</v>
      </c>
      <c r="AB3335" s="4">
        <v>3</v>
      </c>
      <c r="AC3335" s="4">
        <v>4</v>
      </c>
      <c r="AD3335" s="4">
        <v>93</v>
      </c>
      <c r="AE3335" s="4">
        <v>124</v>
      </c>
      <c r="AF3335" s="4">
        <v>2</v>
      </c>
      <c r="AG3335" s="4">
        <v>3</v>
      </c>
      <c r="AH3335" s="4">
        <v>76</v>
      </c>
      <c r="AI3335" s="4">
        <v>100</v>
      </c>
      <c r="AJ3335" s="4">
        <v>14</v>
      </c>
      <c r="AK3335" s="4">
        <v>21</v>
      </c>
      <c r="AL3335" s="4">
        <v>41</v>
      </c>
      <c r="AM3335" s="4">
        <v>57</v>
      </c>
      <c r="AN3335" s="4">
        <v>0</v>
      </c>
      <c r="AO3335" s="4">
        <v>0</v>
      </c>
      <c r="AP3335" s="4">
        <v>24</v>
      </c>
      <c r="AQ3335" s="4">
        <v>32</v>
      </c>
      <c r="AR3335" s="3" t="s">
        <v>62</v>
      </c>
      <c r="AS3335" s="3" t="s">
        <v>62</v>
      </c>
      <c r="AT3335" s="3" t="s">
        <v>62</v>
      </c>
      <c r="AV3335" s="6" t="str">
        <f>HYPERLINK("http://mcgill.on.worldcat.org/oclc/34978808","Catalog Record")</f>
        <v>Catalog Record</v>
      </c>
      <c r="AW3335" s="6" t="str">
        <f>HYPERLINK("http://www.worldcat.org/oclc/34978808","WorldCat Record")</f>
        <v>WorldCat Record</v>
      </c>
      <c r="AX3335" s="3" t="s">
        <v>32188</v>
      </c>
      <c r="AY3335" s="3" t="s">
        <v>32189</v>
      </c>
      <c r="AZ3335" s="3" t="s">
        <v>32190</v>
      </c>
      <c r="BA3335" s="3" t="s">
        <v>32190</v>
      </c>
      <c r="BB3335" s="3" t="s">
        <v>32191</v>
      </c>
      <c r="BC3335" s="3" t="s">
        <v>142</v>
      </c>
      <c r="BD3335" s="3" t="s">
        <v>68</v>
      </c>
      <c r="BE3335" s="3" t="s">
        <v>32192</v>
      </c>
      <c r="BF3335" s="3" t="s">
        <v>32191</v>
      </c>
      <c r="BG3335" s="3" t="s">
        <v>32193</v>
      </c>
    </row>
    <row r="3336" spans="1:59" ht="57" x14ac:dyDescent="0.45">
      <c r="A3336" s="2" t="s">
        <v>59</v>
      </c>
      <c r="B3336" s="2" t="s">
        <v>60</v>
      </c>
      <c r="C3336" s="2" t="s">
        <v>32183</v>
      </c>
      <c r="D3336" s="2" t="s">
        <v>32184</v>
      </c>
      <c r="E3336" s="2" t="s">
        <v>32185</v>
      </c>
      <c r="G3336" s="3" t="s">
        <v>62</v>
      </c>
      <c r="I3336" s="3" t="s">
        <v>61</v>
      </c>
      <c r="J3336" s="3" t="s">
        <v>62</v>
      </c>
      <c r="K3336" s="3" t="s">
        <v>63</v>
      </c>
      <c r="L3336" s="2" t="s">
        <v>6862</v>
      </c>
      <c r="M3336" s="2" t="s">
        <v>32186</v>
      </c>
      <c r="N3336" s="3" t="s">
        <v>1478</v>
      </c>
      <c r="P3336" s="3" t="s">
        <v>65</v>
      </c>
      <c r="R3336" s="3" t="s">
        <v>66</v>
      </c>
      <c r="S3336" s="4">
        <v>30</v>
      </c>
      <c r="T3336" s="4">
        <v>40</v>
      </c>
      <c r="U3336" s="5" t="s">
        <v>21489</v>
      </c>
      <c r="V3336" s="5" t="s">
        <v>21489</v>
      </c>
      <c r="W3336" s="5" t="s">
        <v>67</v>
      </c>
      <c r="X3336" s="5" t="s">
        <v>67</v>
      </c>
      <c r="Y3336" s="4">
        <v>579</v>
      </c>
      <c r="Z3336" s="4">
        <v>38</v>
      </c>
      <c r="AA3336" s="4">
        <v>51</v>
      </c>
      <c r="AB3336" s="4">
        <v>3</v>
      </c>
      <c r="AC3336" s="4">
        <v>4</v>
      </c>
      <c r="AD3336" s="4">
        <v>93</v>
      </c>
      <c r="AE3336" s="4">
        <v>124</v>
      </c>
      <c r="AF3336" s="4">
        <v>2</v>
      </c>
      <c r="AG3336" s="4">
        <v>3</v>
      </c>
      <c r="AH3336" s="4">
        <v>76</v>
      </c>
      <c r="AI3336" s="4">
        <v>100</v>
      </c>
      <c r="AJ3336" s="4">
        <v>14</v>
      </c>
      <c r="AK3336" s="4">
        <v>21</v>
      </c>
      <c r="AL3336" s="4">
        <v>41</v>
      </c>
      <c r="AM3336" s="4">
        <v>57</v>
      </c>
      <c r="AN3336" s="4">
        <v>0</v>
      </c>
      <c r="AO3336" s="4">
        <v>0</v>
      </c>
      <c r="AP3336" s="4">
        <v>24</v>
      </c>
      <c r="AQ3336" s="4">
        <v>32</v>
      </c>
      <c r="AR3336" s="3" t="s">
        <v>62</v>
      </c>
      <c r="AS3336" s="3" t="s">
        <v>62</v>
      </c>
      <c r="AT3336" s="3" t="s">
        <v>62</v>
      </c>
      <c r="AV3336" s="6" t="str">
        <f>HYPERLINK("http://mcgill.on.worldcat.org/oclc/34978808","Catalog Record")</f>
        <v>Catalog Record</v>
      </c>
      <c r="AW3336" s="6" t="str">
        <f>HYPERLINK("http://www.worldcat.org/oclc/34978808","WorldCat Record")</f>
        <v>WorldCat Record</v>
      </c>
      <c r="AX3336" s="3" t="s">
        <v>32188</v>
      </c>
      <c r="AY3336" s="3" t="s">
        <v>32189</v>
      </c>
      <c r="AZ3336" s="3" t="s">
        <v>32190</v>
      </c>
      <c r="BA3336" s="3" t="s">
        <v>32190</v>
      </c>
      <c r="BB3336" s="3" t="s">
        <v>32194</v>
      </c>
      <c r="BC3336" s="3" t="s">
        <v>142</v>
      </c>
      <c r="BD3336" s="3" t="s">
        <v>68</v>
      </c>
      <c r="BE3336" s="3" t="s">
        <v>32192</v>
      </c>
      <c r="BF3336" s="3" t="s">
        <v>32194</v>
      </c>
      <c r="BG3336" s="3" t="s">
        <v>32195</v>
      </c>
    </row>
    <row r="3337" spans="1:59" ht="57" x14ac:dyDescent="0.45">
      <c r="A3337" s="2" t="s">
        <v>59</v>
      </c>
      <c r="B3337" s="2" t="s">
        <v>60</v>
      </c>
      <c r="C3337" s="2" t="s">
        <v>32196</v>
      </c>
      <c r="D3337" s="2" t="s">
        <v>32197</v>
      </c>
      <c r="E3337" s="2" t="s">
        <v>32198</v>
      </c>
      <c r="G3337" s="3" t="s">
        <v>62</v>
      </c>
      <c r="I3337" s="3" t="s">
        <v>61</v>
      </c>
      <c r="J3337" s="3" t="s">
        <v>62</v>
      </c>
      <c r="K3337" s="3" t="s">
        <v>63</v>
      </c>
      <c r="L3337" s="2" t="s">
        <v>6862</v>
      </c>
      <c r="M3337" s="2" t="s">
        <v>32199</v>
      </c>
      <c r="N3337" s="3" t="s">
        <v>1239</v>
      </c>
      <c r="P3337" s="3" t="s">
        <v>65</v>
      </c>
      <c r="R3337" s="3" t="s">
        <v>66</v>
      </c>
      <c r="S3337" s="4">
        <v>76</v>
      </c>
      <c r="T3337" s="4">
        <v>125</v>
      </c>
      <c r="U3337" s="5" t="s">
        <v>10258</v>
      </c>
      <c r="V3337" s="5" t="s">
        <v>32200</v>
      </c>
      <c r="W3337" s="5" t="s">
        <v>67</v>
      </c>
      <c r="X3337" s="5" t="s">
        <v>67</v>
      </c>
      <c r="Y3337" s="4">
        <v>194</v>
      </c>
      <c r="Z3337" s="4">
        <v>12</v>
      </c>
      <c r="AA3337" s="4">
        <v>69</v>
      </c>
      <c r="AB3337" s="4">
        <v>1</v>
      </c>
      <c r="AC3337" s="4">
        <v>7</v>
      </c>
      <c r="AD3337" s="4">
        <v>46</v>
      </c>
      <c r="AE3337" s="4">
        <v>149</v>
      </c>
      <c r="AF3337" s="4">
        <v>0</v>
      </c>
      <c r="AG3337" s="4">
        <v>3</v>
      </c>
      <c r="AH3337" s="4">
        <v>43</v>
      </c>
      <c r="AI3337" s="4">
        <v>113</v>
      </c>
      <c r="AJ3337" s="4">
        <v>7</v>
      </c>
      <c r="AK3337" s="4">
        <v>23</v>
      </c>
      <c r="AL3337" s="4">
        <v>23</v>
      </c>
      <c r="AM3337" s="4">
        <v>60</v>
      </c>
      <c r="AN3337" s="4">
        <v>0</v>
      </c>
      <c r="AO3337" s="4">
        <v>0</v>
      </c>
      <c r="AP3337" s="4">
        <v>9</v>
      </c>
      <c r="AQ3337" s="4">
        <v>42</v>
      </c>
      <c r="AR3337" s="3" t="s">
        <v>62</v>
      </c>
      <c r="AS3337" s="3" t="s">
        <v>62</v>
      </c>
      <c r="AT3337" s="3" t="s">
        <v>62</v>
      </c>
      <c r="AV3337" s="6" t="str">
        <f>HYPERLINK("http://mcgill.on.worldcat.org/oclc/19266940","Catalog Record")</f>
        <v>Catalog Record</v>
      </c>
      <c r="AW3337" s="6" t="str">
        <f>HYPERLINK("http://www.worldcat.org/oclc/19266940","WorldCat Record")</f>
        <v>WorldCat Record</v>
      </c>
      <c r="AX3337" s="3" t="s">
        <v>32201</v>
      </c>
      <c r="AY3337" s="3" t="s">
        <v>32202</v>
      </c>
      <c r="AZ3337" s="3" t="s">
        <v>32203</v>
      </c>
      <c r="BA3337" s="3" t="s">
        <v>32203</v>
      </c>
      <c r="BB3337" s="3" t="s">
        <v>32204</v>
      </c>
      <c r="BC3337" s="3" t="s">
        <v>142</v>
      </c>
      <c r="BD3337" s="3" t="s">
        <v>68</v>
      </c>
      <c r="BE3337" s="3" t="s">
        <v>32205</v>
      </c>
      <c r="BF3337" s="3" t="s">
        <v>32204</v>
      </c>
      <c r="BG3337" s="3" t="s">
        <v>32206</v>
      </c>
    </row>
    <row r="3338" spans="1:59" ht="57" x14ac:dyDescent="0.45">
      <c r="A3338" s="2" t="s">
        <v>59</v>
      </c>
      <c r="B3338" s="2" t="s">
        <v>60</v>
      </c>
      <c r="C3338" s="2" t="s">
        <v>32196</v>
      </c>
      <c r="D3338" s="2" t="s">
        <v>32197</v>
      </c>
      <c r="E3338" s="2" t="s">
        <v>32198</v>
      </c>
      <c r="G3338" s="3" t="s">
        <v>62</v>
      </c>
      <c r="I3338" s="3" t="s">
        <v>61</v>
      </c>
      <c r="J3338" s="3" t="s">
        <v>62</v>
      </c>
      <c r="K3338" s="3" t="s">
        <v>63</v>
      </c>
      <c r="L3338" s="2" t="s">
        <v>6862</v>
      </c>
      <c r="M3338" s="2" t="s">
        <v>32199</v>
      </c>
      <c r="N3338" s="3" t="s">
        <v>1239</v>
      </c>
      <c r="P3338" s="3" t="s">
        <v>65</v>
      </c>
      <c r="R3338" s="3" t="s">
        <v>66</v>
      </c>
      <c r="S3338" s="4">
        <v>49</v>
      </c>
      <c r="T3338" s="4">
        <v>125</v>
      </c>
      <c r="U3338" s="5" t="s">
        <v>32200</v>
      </c>
      <c r="V3338" s="5" t="s">
        <v>32200</v>
      </c>
      <c r="W3338" s="5" t="s">
        <v>67</v>
      </c>
      <c r="X3338" s="5" t="s">
        <v>67</v>
      </c>
      <c r="Y3338" s="4">
        <v>194</v>
      </c>
      <c r="Z3338" s="4">
        <v>12</v>
      </c>
      <c r="AA3338" s="4">
        <v>69</v>
      </c>
      <c r="AB3338" s="4">
        <v>1</v>
      </c>
      <c r="AC3338" s="4">
        <v>7</v>
      </c>
      <c r="AD3338" s="4">
        <v>46</v>
      </c>
      <c r="AE3338" s="4">
        <v>149</v>
      </c>
      <c r="AF3338" s="4">
        <v>0</v>
      </c>
      <c r="AG3338" s="4">
        <v>3</v>
      </c>
      <c r="AH3338" s="4">
        <v>43</v>
      </c>
      <c r="AI3338" s="4">
        <v>113</v>
      </c>
      <c r="AJ3338" s="4">
        <v>7</v>
      </c>
      <c r="AK3338" s="4">
        <v>23</v>
      </c>
      <c r="AL3338" s="4">
        <v>23</v>
      </c>
      <c r="AM3338" s="4">
        <v>60</v>
      </c>
      <c r="AN3338" s="4">
        <v>0</v>
      </c>
      <c r="AO3338" s="4">
        <v>0</v>
      </c>
      <c r="AP3338" s="4">
        <v>9</v>
      </c>
      <c r="AQ3338" s="4">
        <v>42</v>
      </c>
      <c r="AR3338" s="3" t="s">
        <v>62</v>
      </c>
      <c r="AS3338" s="3" t="s">
        <v>62</v>
      </c>
      <c r="AT3338" s="3" t="s">
        <v>62</v>
      </c>
      <c r="AV3338" s="6" t="str">
        <f>HYPERLINK("http://mcgill.on.worldcat.org/oclc/19266940","Catalog Record")</f>
        <v>Catalog Record</v>
      </c>
      <c r="AW3338" s="6" t="str">
        <f>HYPERLINK("http://www.worldcat.org/oclc/19266940","WorldCat Record")</f>
        <v>WorldCat Record</v>
      </c>
      <c r="AX3338" s="3" t="s">
        <v>32201</v>
      </c>
      <c r="AY3338" s="3" t="s">
        <v>32202</v>
      </c>
      <c r="AZ3338" s="3" t="s">
        <v>32203</v>
      </c>
      <c r="BA3338" s="3" t="s">
        <v>32203</v>
      </c>
      <c r="BB3338" s="3" t="s">
        <v>32207</v>
      </c>
      <c r="BC3338" s="3" t="s">
        <v>142</v>
      </c>
      <c r="BD3338" s="3" t="s">
        <v>68</v>
      </c>
      <c r="BE3338" s="3" t="s">
        <v>32205</v>
      </c>
      <c r="BF3338" s="3" t="s">
        <v>32207</v>
      </c>
      <c r="BG3338" s="3" t="s">
        <v>32208</v>
      </c>
    </row>
    <row r="3339" spans="1:59" ht="57" x14ac:dyDescent="0.45">
      <c r="A3339" s="2" t="s">
        <v>59</v>
      </c>
      <c r="B3339" s="2" t="s">
        <v>60</v>
      </c>
      <c r="C3339" s="2" t="s">
        <v>32209</v>
      </c>
      <c r="D3339" s="2" t="s">
        <v>32210</v>
      </c>
      <c r="E3339" s="2" t="s">
        <v>32211</v>
      </c>
      <c r="G3339" s="3" t="s">
        <v>62</v>
      </c>
      <c r="I3339" s="3" t="s">
        <v>61</v>
      </c>
      <c r="J3339" s="3" t="s">
        <v>62</v>
      </c>
      <c r="K3339" s="3" t="s">
        <v>63</v>
      </c>
      <c r="L3339" s="2" t="s">
        <v>6862</v>
      </c>
      <c r="M3339" s="2" t="s">
        <v>32212</v>
      </c>
      <c r="N3339" s="3" t="s">
        <v>807</v>
      </c>
      <c r="P3339" s="3" t="s">
        <v>110</v>
      </c>
      <c r="R3339" s="3" t="s">
        <v>66</v>
      </c>
      <c r="S3339" s="4">
        <v>17</v>
      </c>
      <c r="T3339" s="4">
        <v>17</v>
      </c>
      <c r="U3339" s="5" t="s">
        <v>32213</v>
      </c>
      <c r="V3339" s="5" t="s">
        <v>32213</v>
      </c>
      <c r="W3339" s="5" t="s">
        <v>67</v>
      </c>
      <c r="X3339" s="5" t="s">
        <v>67</v>
      </c>
      <c r="Y3339" s="4">
        <v>24</v>
      </c>
      <c r="Z3339" s="4">
        <v>3</v>
      </c>
      <c r="AA3339" s="4">
        <v>21</v>
      </c>
      <c r="AB3339" s="4">
        <v>2</v>
      </c>
      <c r="AC3339" s="4">
        <v>16</v>
      </c>
      <c r="AD3339" s="4">
        <v>5</v>
      </c>
      <c r="AE3339" s="4">
        <v>14</v>
      </c>
      <c r="AF3339" s="4">
        <v>1</v>
      </c>
      <c r="AG3339" s="4">
        <v>6</v>
      </c>
      <c r="AH3339" s="4">
        <v>4</v>
      </c>
      <c r="AI3339" s="4">
        <v>7</v>
      </c>
      <c r="AJ3339" s="4">
        <v>1</v>
      </c>
      <c r="AK3339" s="4">
        <v>7</v>
      </c>
      <c r="AL3339" s="4">
        <v>2</v>
      </c>
      <c r="AM3339" s="4">
        <v>3</v>
      </c>
      <c r="AN3339" s="4">
        <v>0</v>
      </c>
      <c r="AO3339" s="4">
        <v>0</v>
      </c>
      <c r="AP3339" s="4">
        <v>2</v>
      </c>
      <c r="AQ3339" s="4">
        <v>8</v>
      </c>
      <c r="AR3339" s="3" t="s">
        <v>62</v>
      </c>
      <c r="AS3339" s="3" t="s">
        <v>62</v>
      </c>
      <c r="AT3339" s="3" t="s">
        <v>62</v>
      </c>
      <c r="AV3339" s="6" t="str">
        <f>HYPERLINK("http://mcgill.on.worldcat.org/oclc/24940332","Catalog Record")</f>
        <v>Catalog Record</v>
      </c>
      <c r="AW3339" s="6" t="str">
        <f>HYPERLINK("http://www.worldcat.org/oclc/24940332","WorldCat Record")</f>
        <v>WorldCat Record</v>
      </c>
      <c r="AX3339" s="3" t="s">
        <v>32214</v>
      </c>
      <c r="AY3339" s="3" t="s">
        <v>32215</v>
      </c>
      <c r="AZ3339" s="3" t="s">
        <v>32216</v>
      </c>
      <c r="BA3339" s="3" t="s">
        <v>32216</v>
      </c>
      <c r="BB3339" s="3" t="s">
        <v>32217</v>
      </c>
      <c r="BC3339" s="3" t="s">
        <v>142</v>
      </c>
      <c r="BD3339" s="3" t="s">
        <v>68</v>
      </c>
      <c r="BE3339" s="3" t="s">
        <v>32218</v>
      </c>
      <c r="BF3339" s="3" t="s">
        <v>32217</v>
      </c>
      <c r="BG3339" s="3" t="s">
        <v>32219</v>
      </c>
    </row>
    <row r="3340" spans="1:59" ht="57" x14ac:dyDescent="0.45">
      <c r="A3340" s="2" t="s">
        <v>59</v>
      </c>
      <c r="B3340" s="2" t="s">
        <v>60</v>
      </c>
      <c r="C3340" s="2" t="s">
        <v>32220</v>
      </c>
      <c r="D3340" s="2" t="s">
        <v>32221</v>
      </c>
      <c r="E3340" s="2" t="s">
        <v>32222</v>
      </c>
      <c r="G3340" s="3" t="s">
        <v>62</v>
      </c>
      <c r="I3340" s="3" t="s">
        <v>62</v>
      </c>
      <c r="J3340" s="3" t="s">
        <v>62</v>
      </c>
      <c r="K3340" s="3" t="s">
        <v>63</v>
      </c>
      <c r="L3340" s="2" t="s">
        <v>32223</v>
      </c>
      <c r="M3340" s="2" t="s">
        <v>3184</v>
      </c>
      <c r="N3340" s="3" t="s">
        <v>125</v>
      </c>
      <c r="P3340" s="3" t="s">
        <v>65</v>
      </c>
      <c r="R3340" s="3" t="s">
        <v>66</v>
      </c>
      <c r="S3340" s="4">
        <v>7</v>
      </c>
      <c r="T3340" s="4">
        <v>7</v>
      </c>
      <c r="U3340" s="5" t="s">
        <v>23332</v>
      </c>
      <c r="V3340" s="5" t="s">
        <v>23332</v>
      </c>
      <c r="W3340" s="5" t="s">
        <v>67</v>
      </c>
      <c r="X3340" s="5" t="s">
        <v>67</v>
      </c>
      <c r="Y3340" s="4">
        <v>225</v>
      </c>
      <c r="Z3340" s="4">
        <v>21</v>
      </c>
      <c r="AA3340" s="4">
        <v>114</v>
      </c>
      <c r="AB3340" s="4">
        <v>3</v>
      </c>
      <c r="AC3340" s="4">
        <v>23</v>
      </c>
      <c r="AD3340" s="4">
        <v>86</v>
      </c>
      <c r="AE3340" s="4">
        <v>149</v>
      </c>
      <c r="AF3340" s="4">
        <v>1</v>
      </c>
      <c r="AG3340" s="4">
        <v>9</v>
      </c>
      <c r="AH3340" s="4">
        <v>76</v>
      </c>
      <c r="AI3340" s="4">
        <v>100</v>
      </c>
      <c r="AJ3340" s="4">
        <v>13</v>
      </c>
      <c r="AK3340" s="4">
        <v>27</v>
      </c>
      <c r="AL3340" s="4">
        <v>48</v>
      </c>
      <c r="AM3340" s="4">
        <v>56</v>
      </c>
      <c r="AN3340" s="4">
        <v>0</v>
      </c>
      <c r="AO3340" s="4">
        <v>0</v>
      </c>
      <c r="AP3340" s="4">
        <v>16</v>
      </c>
      <c r="AQ3340" s="4">
        <v>56</v>
      </c>
      <c r="AR3340" s="3" t="s">
        <v>62</v>
      </c>
      <c r="AS3340" s="3" t="s">
        <v>62</v>
      </c>
      <c r="AT3340" s="3" t="s">
        <v>61</v>
      </c>
      <c r="AU3340" s="6" t="str">
        <f>HYPERLINK("http://catalog.hathitrust.org/Record/002432558","HathiTrust Record")</f>
        <v>HathiTrust Record</v>
      </c>
      <c r="AV3340" s="6" t="str">
        <f>HYPERLINK("http://mcgill.on.worldcat.org/oclc/21335523","Catalog Record")</f>
        <v>Catalog Record</v>
      </c>
      <c r="AW3340" s="6" t="str">
        <f>HYPERLINK("http://www.worldcat.org/oclc/21335523","WorldCat Record")</f>
        <v>WorldCat Record</v>
      </c>
      <c r="AX3340" s="3" t="s">
        <v>32224</v>
      </c>
      <c r="AY3340" s="3" t="s">
        <v>32225</v>
      </c>
      <c r="AZ3340" s="3" t="s">
        <v>32226</v>
      </c>
      <c r="BA3340" s="3" t="s">
        <v>32226</v>
      </c>
      <c r="BB3340" s="3" t="s">
        <v>32227</v>
      </c>
      <c r="BC3340" s="3" t="s">
        <v>142</v>
      </c>
      <c r="BD3340" s="3" t="s">
        <v>68</v>
      </c>
      <c r="BE3340" s="3" t="s">
        <v>32228</v>
      </c>
      <c r="BF3340" s="3" t="s">
        <v>32227</v>
      </c>
      <c r="BG3340" s="3" t="s">
        <v>32229</v>
      </c>
    </row>
    <row r="3341" spans="1:59" ht="57" x14ac:dyDescent="0.45">
      <c r="A3341" s="2" t="s">
        <v>59</v>
      </c>
      <c r="B3341" s="2" t="s">
        <v>60</v>
      </c>
      <c r="C3341" s="2" t="s">
        <v>32230</v>
      </c>
      <c r="D3341" s="2" t="s">
        <v>32231</v>
      </c>
      <c r="E3341" s="2" t="s">
        <v>32232</v>
      </c>
      <c r="G3341" s="3" t="s">
        <v>62</v>
      </c>
      <c r="I3341" s="3" t="s">
        <v>62</v>
      </c>
      <c r="J3341" s="3" t="s">
        <v>62</v>
      </c>
      <c r="K3341" s="3" t="s">
        <v>63</v>
      </c>
      <c r="L3341" s="2" t="s">
        <v>32233</v>
      </c>
      <c r="M3341" s="2" t="s">
        <v>32234</v>
      </c>
      <c r="N3341" s="3" t="s">
        <v>1253</v>
      </c>
      <c r="P3341" s="3" t="s">
        <v>65</v>
      </c>
      <c r="Q3341" s="2" t="s">
        <v>32235</v>
      </c>
      <c r="R3341" s="3" t="s">
        <v>66</v>
      </c>
      <c r="S3341" s="4">
        <v>8</v>
      </c>
      <c r="T3341" s="4">
        <v>8</v>
      </c>
      <c r="U3341" s="5" t="s">
        <v>3587</v>
      </c>
      <c r="V3341" s="5" t="s">
        <v>3587</v>
      </c>
      <c r="W3341" s="5" t="s">
        <v>67</v>
      </c>
      <c r="X3341" s="5" t="s">
        <v>67</v>
      </c>
      <c r="Y3341" s="4">
        <v>573</v>
      </c>
      <c r="Z3341" s="4">
        <v>37</v>
      </c>
      <c r="AA3341" s="4">
        <v>42</v>
      </c>
      <c r="AB3341" s="4">
        <v>3</v>
      </c>
      <c r="AC3341" s="4">
        <v>8</v>
      </c>
      <c r="AD3341" s="4">
        <v>134</v>
      </c>
      <c r="AE3341" s="4">
        <v>137</v>
      </c>
      <c r="AF3341" s="4">
        <v>2</v>
      </c>
      <c r="AG3341" s="4">
        <v>5</v>
      </c>
      <c r="AH3341" s="4">
        <v>110</v>
      </c>
      <c r="AI3341" s="4">
        <v>111</v>
      </c>
      <c r="AJ3341" s="4">
        <v>22</v>
      </c>
      <c r="AK3341" s="4">
        <v>25</v>
      </c>
      <c r="AL3341" s="4">
        <v>58</v>
      </c>
      <c r="AM3341" s="4">
        <v>58</v>
      </c>
      <c r="AN3341" s="4">
        <v>0</v>
      </c>
      <c r="AO3341" s="4">
        <v>0</v>
      </c>
      <c r="AP3341" s="4">
        <v>33</v>
      </c>
      <c r="AQ3341" s="4">
        <v>35</v>
      </c>
      <c r="AR3341" s="3" t="s">
        <v>62</v>
      </c>
      <c r="AS3341" s="3" t="s">
        <v>62</v>
      </c>
      <c r="AT3341" s="3" t="s">
        <v>62</v>
      </c>
      <c r="AV3341" s="6" t="str">
        <f>HYPERLINK("http://mcgill.on.worldcat.org/oclc/37820022","Catalog Record")</f>
        <v>Catalog Record</v>
      </c>
      <c r="AW3341" s="6" t="str">
        <f>HYPERLINK("http://www.worldcat.org/oclc/37820022","WorldCat Record")</f>
        <v>WorldCat Record</v>
      </c>
      <c r="AX3341" s="3" t="s">
        <v>32236</v>
      </c>
      <c r="AY3341" s="3" t="s">
        <v>32237</v>
      </c>
      <c r="AZ3341" s="3" t="s">
        <v>32238</v>
      </c>
      <c r="BA3341" s="3" t="s">
        <v>32238</v>
      </c>
      <c r="BB3341" s="3" t="s">
        <v>32239</v>
      </c>
      <c r="BC3341" s="3" t="s">
        <v>142</v>
      </c>
      <c r="BD3341" s="3" t="s">
        <v>68</v>
      </c>
      <c r="BE3341" s="3" t="s">
        <v>32240</v>
      </c>
      <c r="BF3341" s="3" t="s">
        <v>32239</v>
      </c>
      <c r="BG3341" s="3" t="s">
        <v>32241</v>
      </c>
    </row>
    <row r="3342" spans="1:59" ht="57" x14ac:dyDescent="0.45">
      <c r="A3342" s="2" t="s">
        <v>59</v>
      </c>
      <c r="B3342" s="2" t="s">
        <v>60</v>
      </c>
      <c r="C3342" s="2" t="s">
        <v>32242</v>
      </c>
      <c r="D3342" s="2" t="s">
        <v>32243</v>
      </c>
      <c r="E3342" s="2" t="s">
        <v>32244</v>
      </c>
      <c r="G3342" s="3" t="s">
        <v>62</v>
      </c>
      <c r="I3342" s="3" t="s">
        <v>61</v>
      </c>
      <c r="J3342" s="3" t="s">
        <v>62</v>
      </c>
      <c r="K3342" s="3" t="s">
        <v>63</v>
      </c>
      <c r="L3342" s="2" t="s">
        <v>32245</v>
      </c>
      <c r="M3342" s="2" t="s">
        <v>32246</v>
      </c>
      <c r="N3342" s="3" t="s">
        <v>2107</v>
      </c>
      <c r="P3342" s="3" t="s">
        <v>65</v>
      </c>
      <c r="R3342" s="3" t="s">
        <v>66</v>
      </c>
      <c r="S3342" s="4">
        <v>18</v>
      </c>
      <c r="T3342" s="4">
        <v>43</v>
      </c>
      <c r="U3342" s="5" t="s">
        <v>32247</v>
      </c>
      <c r="V3342" s="5" t="s">
        <v>32248</v>
      </c>
      <c r="W3342" s="5" t="s">
        <v>67</v>
      </c>
      <c r="X3342" s="5" t="s">
        <v>67</v>
      </c>
      <c r="Y3342" s="4">
        <v>917</v>
      </c>
      <c r="Z3342" s="4">
        <v>36</v>
      </c>
      <c r="AA3342" s="4">
        <v>48</v>
      </c>
      <c r="AB3342" s="4">
        <v>2</v>
      </c>
      <c r="AC3342" s="4">
        <v>7</v>
      </c>
      <c r="AD3342" s="4">
        <v>131</v>
      </c>
      <c r="AE3342" s="4">
        <v>142</v>
      </c>
      <c r="AF3342" s="4">
        <v>1</v>
      </c>
      <c r="AG3342" s="4">
        <v>5</v>
      </c>
      <c r="AH3342" s="4">
        <v>108</v>
      </c>
      <c r="AI3342" s="4">
        <v>113</v>
      </c>
      <c r="AJ3342" s="4">
        <v>18</v>
      </c>
      <c r="AK3342" s="4">
        <v>24</v>
      </c>
      <c r="AL3342" s="4">
        <v>60</v>
      </c>
      <c r="AM3342" s="4">
        <v>64</v>
      </c>
      <c r="AN3342" s="4">
        <v>0</v>
      </c>
      <c r="AO3342" s="4">
        <v>0</v>
      </c>
      <c r="AP3342" s="4">
        <v>27</v>
      </c>
      <c r="AQ3342" s="4">
        <v>34</v>
      </c>
      <c r="AR3342" s="3" t="s">
        <v>62</v>
      </c>
      <c r="AS3342" s="3" t="s">
        <v>62</v>
      </c>
      <c r="AT3342" s="3" t="s">
        <v>62</v>
      </c>
      <c r="AV3342" s="6" t="str">
        <f>HYPERLINK("http://mcgill.on.worldcat.org/oclc/9761538","Catalog Record")</f>
        <v>Catalog Record</v>
      </c>
      <c r="AW3342" s="6" t="str">
        <f>HYPERLINK("http://www.worldcat.org/oclc/9761538","WorldCat Record")</f>
        <v>WorldCat Record</v>
      </c>
      <c r="AX3342" s="3" t="s">
        <v>32249</v>
      </c>
      <c r="AY3342" s="3" t="s">
        <v>32250</v>
      </c>
      <c r="AZ3342" s="3" t="s">
        <v>32251</v>
      </c>
      <c r="BA3342" s="3" t="s">
        <v>32251</v>
      </c>
      <c r="BB3342" s="3" t="s">
        <v>32252</v>
      </c>
      <c r="BC3342" s="3" t="s">
        <v>142</v>
      </c>
      <c r="BD3342" s="3" t="s">
        <v>308</v>
      </c>
      <c r="BE3342" s="3" t="s">
        <v>32253</v>
      </c>
      <c r="BF3342" s="3" t="s">
        <v>32252</v>
      </c>
      <c r="BG3342" s="3" t="s">
        <v>32254</v>
      </c>
    </row>
    <row r="3343" spans="1:59" ht="57" x14ac:dyDescent="0.45">
      <c r="A3343" s="2" t="s">
        <v>59</v>
      </c>
      <c r="B3343" s="2" t="s">
        <v>60</v>
      </c>
      <c r="C3343" s="2" t="s">
        <v>32255</v>
      </c>
      <c r="D3343" s="2" t="s">
        <v>32256</v>
      </c>
      <c r="E3343" s="2" t="s">
        <v>32257</v>
      </c>
      <c r="G3343" s="3" t="s">
        <v>62</v>
      </c>
      <c r="I3343" s="3" t="s">
        <v>62</v>
      </c>
      <c r="J3343" s="3" t="s">
        <v>61</v>
      </c>
      <c r="K3343" s="3" t="s">
        <v>63</v>
      </c>
      <c r="L3343" s="2" t="s">
        <v>30285</v>
      </c>
      <c r="M3343" s="2" t="s">
        <v>1905</v>
      </c>
      <c r="N3343" s="3" t="s">
        <v>149</v>
      </c>
      <c r="O3343" s="2" t="s">
        <v>420</v>
      </c>
      <c r="P3343" s="3" t="s">
        <v>65</v>
      </c>
      <c r="R3343" s="3" t="s">
        <v>66</v>
      </c>
      <c r="S3343" s="4">
        <v>5</v>
      </c>
      <c r="T3343" s="4">
        <v>5</v>
      </c>
      <c r="U3343" s="5" t="s">
        <v>3850</v>
      </c>
      <c r="V3343" s="5" t="s">
        <v>3850</v>
      </c>
      <c r="W3343" s="5" t="s">
        <v>67</v>
      </c>
      <c r="X3343" s="5" t="s">
        <v>67</v>
      </c>
      <c r="Y3343" s="4">
        <v>252</v>
      </c>
      <c r="Z3343" s="4">
        <v>16</v>
      </c>
      <c r="AA3343" s="4">
        <v>84</v>
      </c>
      <c r="AB3343" s="4">
        <v>2</v>
      </c>
      <c r="AC3343" s="4">
        <v>16</v>
      </c>
      <c r="AD3343" s="4">
        <v>33</v>
      </c>
      <c r="AE3343" s="4">
        <v>146</v>
      </c>
      <c r="AF3343" s="4">
        <v>0</v>
      </c>
      <c r="AG3343" s="4">
        <v>7</v>
      </c>
      <c r="AH3343" s="4">
        <v>27</v>
      </c>
      <c r="AI3343" s="4">
        <v>111</v>
      </c>
      <c r="AJ3343" s="4">
        <v>8</v>
      </c>
      <c r="AK3343" s="4">
        <v>25</v>
      </c>
      <c r="AL3343" s="4">
        <v>18</v>
      </c>
      <c r="AM3343" s="4">
        <v>56</v>
      </c>
      <c r="AN3343" s="4">
        <v>0</v>
      </c>
      <c r="AO3343" s="4">
        <v>0</v>
      </c>
      <c r="AP3343" s="4">
        <v>8</v>
      </c>
      <c r="AQ3343" s="4">
        <v>46</v>
      </c>
      <c r="AR3343" s="3" t="s">
        <v>62</v>
      </c>
      <c r="AS3343" s="3" t="s">
        <v>62</v>
      </c>
      <c r="AT3343" s="3" t="s">
        <v>62</v>
      </c>
      <c r="AV3343" s="6" t="str">
        <f>HYPERLINK("http://mcgill.on.worldcat.org/oclc/489632500","Catalog Record")</f>
        <v>Catalog Record</v>
      </c>
      <c r="AW3343" s="6" t="str">
        <f>HYPERLINK("http://www.worldcat.org/oclc/489632500","WorldCat Record")</f>
        <v>WorldCat Record</v>
      </c>
      <c r="AX3343" s="3" t="s">
        <v>32258</v>
      </c>
      <c r="AY3343" s="3" t="s">
        <v>32259</v>
      </c>
      <c r="AZ3343" s="3" t="s">
        <v>32260</v>
      </c>
      <c r="BA3343" s="3" t="s">
        <v>32260</v>
      </c>
      <c r="BB3343" s="3" t="s">
        <v>32261</v>
      </c>
      <c r="BC3343" s="3" t="s">
        <v>142</v>
      </c>
      <c r="BD3343" s="3" t="s">
        <v>68</v>
      </c>
      <c r="BE3343" s="3" t="s">
        <v>32262</v>
      </c>
      <c r="BF3343" s="3" t="s">
        <v>32261</v>
      </c>
      <c r="BG3343" s="3" t="s">
        <v>32263</v>
      </c>
    </row>
    <row r="3344" spans="1:59" ht="57" x14ac:dyDescent="0.45">
      <c r="A3344" s="2" t="s">
        <v>59</v>
      </c>
      <c r="B3344" s="2" t="s">
        <v>60</v>
      </c>
      <c r="C3344" s="2" t="s">
        <v>32264</v>
      </c>
      <c r="D3344" s="2" t="s">
        <v>32265</v>
      </c>
      <c r="E3344" s="2" t="s">
        <v>32266</v>
      </c>
      <c r="G3344" s="3" t="s">
        <v>62</v>
      </c>
      <c r="I3344" s="3" t="s">
        <v>62</v>
      </c>
      <c r="J3344" s="3" t="s">
        <v>61</v>
      </c>
      <c r="K3344" s="3" t="s">
        <v>63</v>
      </c>
      <c r="M3344" s="2" t="s">
        <v>32267</v>
      </c>
      <c r="N3344" s="3" t="s">
        <v>1155</v>
      </c>
      <c r="O3344" s="2" t="s">
        <v>933</v>
      </c>
      <c r="P3344" s="3" t="s">
        <v>65</v>
      </c>
      <c r="R3344" s="3" t="s">
        <v>66</v>
      </c>
      <c r="S3344" s="4">
        <v>1</v>
      </c>
      <c r="T3344" s="4">
        <v>1</v>
      </c>
      <c r="U3344" s="5" t="s">
        <v>32268</v>
      </c>
      <c r="V3344" s="5" t="s">
        <v>32268</v>
      </c>
      <c r="W3344" s="5" t="s">
        <v>67</v>
      </c>
      <c r="X3344" s="5" t="s">
        <v>67</v>
      </c>
      <c r="Y3344" s="4">
        <v>134</v>
      </c>
      <c r="Z3344" s="4">
        <v>16</v>
      </c>
      <c r="AA3344" s="4">
        <v>33</v>
      </c>
      <c r="AB3344" s="4">
        <v>1</v>
      </c>
      <c r="AC3344" s="4">
        <v>6</v>
      </c>
      <c r="AD3344" s="4">
        <v>38</v>
      </c>
      <c r="AE3344" s="4">
        <v>78</v>
      </c>
      <c r="AF3344" s="4">
        <v>0</v>
      </c>
      <c r="AG3344" s="4">
        <v>3</v>
      </c>
      <c r="AH3344" s="4">
        <v>33</v>
      </c>
      <c r="AI3344" s="4">
        <v>66</v>
      </c>
      <c r="AJ3344" s="4">
        <v>9</v>
      </c>
      <c r="AK3344" s="4">
        <v>15</v>
      </c>
      <c r="AL3344" s="4">
        <v>15</v>
      </c>
      <c r="AM3344" s="4">
        <v>30</v>
      </c>
      <c r="AN3344" s="4">
        <v>0</v>
      </c>
      <c r="AO3344" s="4">
        <v>0</v>
      </c>
      <c r="AP3344" s="4">
        <v>12</v>
      </c>
      <c r="AQ3344" s="4">
        <v>21</v>
      </c>
      <c r="AR3344" s="3" t="s">
        <v>62</v>
      </c>
      <c r="AS3344" s="3" t="s">
        <v>62</v>
      </c>
      <c r="AT3344" s="3" t="s">
        <v>62</v>
      </c>
      <c r="AV3344" s="6" t="str">
        <f>HYPERLINK("http://mcgill.on.worldcat.org/oclc/746712282","Catalog Record")</f>
        <v>Catalog Record</v>
      </c>
      <c r="AW3344" s="6" t="str">
        <f>HYPERLINK("http://www.worldcat.org/oclc/746712282","WorldCat Record")</f>
        <v>WorldCat Record</v>
      </c>
      <c r="AX3344" s="3" t="s">
        <v>32269</v>
      </c>
      <c r="AY3344" s="3" t="s">
        <v>32270</v>
      </c>
      <c r="AZ3344" s="3" t="s">
        <v>32271</v>
      </c>
      <c r="BA3344" s="3" t="s">
        <v>32271</v>
      </c>
      <c r="BB3344" s="3" t="s">
        <v>32272</v>
      </c>
      <c r="BC3344" s="3" t="s">
        <v>142</v>
      </c>
      <c r="BD3344" s="3" t="s">
        <v>68</v>
      </c>
      <c r="BE3344" s="3" t="s">
        <v>32273</v>
      </c>
      <c r="BF3344" s="3" t="s">
        <v>32272</v>
      </c>
      <c r="BG3344" s="3" t="s">
        <v>32274</v>
      </c>
    </row>
    <row r="3345" spans="1:59" ht="57" x14ac:dyDescent="0.45">
      <c r="A3345" s="2" t="s">
        <v>59</v>
      </c>
      <c r="B3345" s="2" t="s">
        <v>60</v>
      </c>
      <c r="C3345" s="2" t="s">
        <v>32275</v>
      </c>
      <c r="D3345" s="2" t="s">
        <v>32276</v>
      </c>
      <c r="E3345" s="2" t="s">
        <v>32277</v>
      </c>
      <c r="G3345" s="3" t="s">
        <v>62</v>
      </c>
      <c r="I3345" s="3" t="s">
        <v>62</v>
      </c>
      <c r="J3345" s="3" t="s">
        <v>62</v>
      </c>
      <c r="K3345" s="3" t="s">
        <v>63</v>
      </c>
      <c r="M3345" s="2" t="s">
        <v>32278</v>
      </c>
      <c r="N3345" s="3" t="s">
        <v>208</v>
      </c>
      <c r="P3345" s="3" t="s">
        <v>65</v>
      </c>
      <c r="Q3345" s="2" t="s">
        <v>32279</v>
      </c>
      <c r="R3345" s="3" t="s">
        <v>66</v>
      </c>
      <c r="S3345" s="4">
        <v>0</v>
      </c>
      <c r="T3345" s="4">
        <v>0</v>
      </c>
      <c r="W3345" s="5" t="s">
        <v>67</v>
      </c>
      <c r="X3345" s="5" t="s">
        <v>67</v>
      </c>
      <c r="Y3345" s="4">
        <v>71</v>
      </c>
      <c r="Z3345" s="4">
        <v>11</v>
      </c>
      <c r="AA3345" s="4">
        <v>14</v>
      </c>
      <c r="AB3345" s="4">
        <v>1</v>
      </c>
      <c r="AC3345" s="4">
        <v>4</v>
      </c>
      <c r="AD3345" s="4">
        <v>40</v>
      </c>
      <c r="AE3345" s="4">
        <v>44</v>
      </c>
      <c r="AF3345" s="4">
        <v>0</v>
      </c>
      <c r="AG3345" s="4">
        <v>1</v>
      </c>
      <c r="AH3345" s="4">
        <v>36</v>
      </c>
      <c r="AI3345" s="4">
        <v>39</v>
      </c>
      <c r="AJ3345" s="4">
        <v>8</v>
      </c>
      <c r="AK3345" s="4">
        <v>9</v>
      </c>
      <c r="AL3345" s="4">
        <v>26</v>
      </c>
      <c r="AM3345" s="4">
        <v>29</v>
      </c>
      <c r="AN3345" s="4">
        <v>0</v>
      </c>
      <c r="AO3345" s="4">
        <v>0</v>
      </c>
      <c r="AP3345" s="4">
        <v>8</v>
      </c>
      <c r="AQ3345" s="4">
        <v>9</v>
      </c>
      <c r="AR3345" s="3" t="s">
        <v>62</v>
      </c>
      <c r="AS3345" s="3" t="s">
        <v>62</v>
      </c>
      <c r="AT3345" s="3" t="s">
        <v>62</v>
      </c>
      <c r="AV3345" s="6" t="str">
        <f>HYPERLINK("http://mcgill.on.worldcat.org/oclc/881656157","Catalog Record")</f>
        <v>Catalog Record</v>
      </c>
      <c r="AW3345" s="6" t="str">
        <f>HYPERLINK("http://www.worldcat.org/oclc/881656157","WorldCat Record")</f>
        <v>WorldCat Record</v>
      </c>
      <c r="AX3345" s="3" t="s">
        <v>32280</v>
      </c>
      <c r="AY3345" s="3" t="s">
        <v>32281</v>
      </c>
      <c r="AZ3345" s="3" t="s">
        <v>32282</v>
      </c>
      <c r="BA3345" s="3" t="s">
        <v>32282</v>
      </c>
      <c r="BB3345" s="3" t="s">
        <v>32283</v>
      </c>
      <c r="BC3345" s="3" t="s">
        <v>142</v>
      </c>
      <c r="BD3345" s="3" t="s">
        <v>68</v>
      </c>
      <c r="BE3345" s="3" t="s">
        <v>32284</v>
      </c>
      <c r="BF3345" s="3" t="s">
        <v>32283</v>
      </c>
      <c r="BG3345" s="3" t="s">
        <v>32285</v>
      </c>
    </row>
    <row r="3346" spans="1:59" ht="57" x14ac:dyDescent="0.45">
      <c r="A3346" s="2" t="s">
        <v>59</v>
      </c>
      <c r="B3346" s="2" t="s">
        <v>60</v>
      </c>
      <c r="C3346" s="2" t="s">
        <v>32286</v>
      </c>
      <c r="D3346" s="2" t="s">
        <v>32287</v>
      </c>
      <c r="E3346" s="2" t="s">
        <v>32288</v>
      </c>
      <c r="G3346" s="3" t="s">
        <v>62</v>
      </c>
      <c r="I3346" s="3" t="s">
        <v>62</v>
      </c>
      <c r="J3346" s="3" t="s">
        <v>62</v>
      </c>
      <c r="K3346" s="3" t="s">
        <v>63</v>
      </c>
      <c r="L3346" s="2" t="s">
        <v>32289</v>
      </c>
      <c r="M3346" s="2" t="s">
        <v>32290</v>
      </c>
      <c r="N3346" s="3" t="s">
        <v>1155</v>
      </c>
      <c r="O3346" s="2" t="s">
        <v>168</v>
      </c>
      <c r="P3346" s="3" t="s">
        <v>65</v>
      </c>
      <c r="Q3346" s="2" t="s">
        <v>32291</v>
      </c>
      <c r="R3346" s="3" t="s">
        <v>66</v>
      </c>
      <c r="S3346" s="4">
        <v>1</v>
      </c>
      <c r="T3346" s="4">
        <v>1</v>
      </c>
      <c r="U3346" s="5" t="s">
        <v>32268</v>
      </c>
      <c r="V3346" s="5" t="s">
        <v>32268</v>
      </c>
      <c r="W3346" s="5" t="s">
        <v>67</v>
      </c>
      <c r="X3346" s="5" t="s">
        <v>67</v>
      </c>
      <c r="Y3346" s="4">
        <v>391</v>
      </c>
      <c r="Z3346" s="4">
        <v>28</v>
      </c>
      <c r="AA3346" s="4">
        <v>32</v>
      </c>
      <c r="AB3346" s="4">
        <v>3</v>
      </c>
      <c r="AC3346" s="4">
        <v>3</v>
      </c>
      <c r="AD3346" s="4">
        <v>74</v>
      </c>
      <c r="AE3346" s="4">
        <v>80</v>
      </c>
      <c r="AF3346" s="4">
        <v>1</v>
      </c>
      <c r="AG3346" s="4">
        <v>1</v>
      </c>
      <c r="AH3346" s="4">
        <v>63</v>
      </c>
      <c r="AI3346" s="4">
        <v>66</v>
      </c>
      <c r="AJ3346" s="4">
        <v>15</v>
      </c>
      <c r="AK3346" s="4">
        <v>17</v>
      </c>
      <c r="AL3346" s="4">
        <v>36</v>
      </c>
      <c r="AM3346" s="4">
        <v>38</v>
      </c>
      <c r="AN3346" s="4">
        <v>0</v>
      </c>
      <c r="AO3346" s="4">
        <v>0</v>
      </c>
      <c r="AP3346" s="4">
        <v>18</v>
      </c>
      <c r="AQ3346" s="4">
        <v>22</v>
      </c>
      <c r="AR3346" s="3" t="s">
        <v>62</v>
      </c>
      <c r="AS3346" s="3" t="s">
        <v>62</v>
      </c>
      <c r="AT3346" s="3" t="s">
        <v>62</v>
      </c>
      <c r="AV3346" s="6" t="str">
        <f>HYPERLINK("http://mcgill.on.worldcat.org/oclc/767566623","Catalog Record")</f>
        <v>Catalog Record</v>
      </c>
      <c r="AW3346" s="6" t="str">
        <f>HYPERLINK("http://www.worldcat.org/oclc/767566623","WorldCat Record")</f>
        <v>WorldCat Record</v>
      </c>
      <c r="AX3346" s="3" t="s">
        <v>32292</v>
      </c>
      <c r="AY3346" s="3" t="s">
        <v>32293</v>
      </c>
      <c r="AZ3346" s="3" t="s">
        <v>32294</v>
      </c>
      <c r="BA3346" s="3" t="s">
        <v>32294</v>
      </c>
      <c r="BB3346" s="3" t="s">
        <v>32295</v>
      </c>
      <c r="BC3346" s="3" t="s">
        <v>142</v>
      </c>
      <c r="BD3346" s="3" t="s">
        <v>68</v>
      </c>
      <c r="BE3346" s="3" t="s">
        <v>32296</v>
      </c>
      <c r="BF3346" s="3" t="s">
        <v>32295</v>
      </c>
      <c r="BG3346" s="3" t="s">
        <v>32297</v>
      </c>
    </row>
    <row r="3347" spans="1:59" ht="57" x14ac:dyDescent="0.45">
      <c r="A3347" s="2" t="s">
        <v>59</v>
      </c>
      <c r="B3347" s="2" t="s">
        <v>60</v>
      </c>
      <c r="C3347" s="2" t="s">
        <v>32298</v>
      </c>
      <c r="D3347" s="2" t="s">
        <v>32299</v>
      </c>
      <c r="E3347" s="2" t="s">
        <v>32300</v>
      </c>
      <c r="G3347" s="3" t="s">
        <v>62</v>
      </c>
      <c r="I3347" s="3" t="s">
        <v>62</v>
      </c>
      <c r="J3347" s="3" t="s">
        <v>62</v>
      </c>
      <c r="K3347" s="3" t="s">
        <v>63</v>
      </c>
      <c r="M3347" s="2" t="s">
        <v>32301</v>
      </c>
      <c r="N3347" s="3" t="s">
        <v>894</v>
      </c>
      <c r="P3347" s="3" t="s">
        <v>65</v>
      </c>
      <c r="Q3347" s="2" t="s">
        <v>32302</v>
      </c>
      <c r="R3347" s="3" t="s">
        <v>66</v>
      </c>
      <c r="S3347" s="4">
        <v>0</v>
      </c>
      <c r="T3347" s="4">
        <v>0</v>
      </c>
      <c r="W3347" s="5" t="s">
        <v>67</v>
      </c>
      <c r="X3347" s="5" t="s">
        <v>67</v>
      </c>
      <c r="Y3347" s="4">
        <v>26</v>
      </c>
      <c r="Z3347" s="4">
        <v>3</v>
      </c>
      <c r="AA3347" s="4">
        <v>3</v>
      </c>
      <c r="AB3347" s="4">
        <v>1</v>
      </c>
      <c r="AC3347" s="4">
        <v>1</v>
      </c>
      <c r="AD3347" s="4">
        <v>12</v>
      </c>
      <c r="AE3347" s="4">
        <v>14</v>
      </c>
      <c r="AF3347" s="4">
        <v>0</v>
      </c>
      <c r="AG3347" s="4">
        <v>0</v>
      </c>
      <c r="AH3347" s="4">
        <v>12</v>
      </c>
      <c r="AI3347" s="4">
        <v>13</v>
      </c>
      <c r="AJ3347" s="4">
        <v>1</v>
      </c>
      <c r="AK3347" s="4">
        <v>1</v>
      </c>
      <c r="AL3347" s="4">
        <v>11</v>
      </c>
      <c r="AM3347" s="4">
        <v>13</v>
      </c>
      <c r="AN3347" s="4">
        <v>0</v>
      </c>
      <c r="AO3347" s="4">
        <v>0</v>
      </c>
      <c r="AP3347" s="4">
        <v>1</v>
      </c>
      <c r="AQ3347" s="4">
        <v>1</v>
      </c>
      <c r="AR3347" s="3" t="s">
        <v>62</v>
      </c>
      <c r="AS3347" s="3" t="s">
        <v>62</v>
      </c>
      <c r="AT3347" s="3" t="s">
        <v>62</v>
      </c>
      <c r="AV3347" s="6" t="str">
        <f>HYPERLINK("http://mcgill.on.worldcat.org/oclc/776489462","Catalog Record")</f>
        <v>Catalog Record</v>
      </c>
      <c r="AW3347" s="6" t="str">
        <f>HYPERLINK("http://www.worldcat.org/oclc/776489462","WorldCat Record")</f>
        <v>WorldCat Record</v>
      </c>
      <c r="AX3347" s="3" t="s">
        <v>32303</v>
      </c>
      <c r="AY3347" s="3" t="s">
        <v>32304</v>
      </c>
      <c r="AZ3347" s="3" t="s">
        <v>32305</v>
      </c>
      <c r="BA3347" s="3" t="s">
        <v>32305</v>
      </c>
      <c r="BB3347" s="3" t="s">
        <v>32306</v>
      </c>
      <c r="BC3347" s="3" t="s">
        <v>142</v>
      </c>
      <c r="BD3347" s="3" t="s">
        <v>68</v>
      </c>
      <c r="BE3347" s="3" t="s">
        <v>32307</v>
      </c>
      <c r="BF3347" s="3" t="s">
        <v>32306</v>
      </c>
      <c r="BG3347" s="3" t="s">
        <v>32308</v>
      </c>
    </row>
    <row r="3348" spans="1:59" ht="57" x14ac:dyDescent="0.45">
      <c r="A3348" s="2" t="s">
        <v>59</v>
      </c>
      <c r="B3348" s="2" t="s">
        <v>60</v>
      </c>
      <c r="C3348" s="2" t="s">
        <v>32309</v>
      </c>
      <c r="D3348" s="2" t="s">
        <v>32310</v>
      </c>
      <c r="E3348" s="2" t="s">
        <v>32311</v>
      </c>
      <c r="G3348" s="3" t="s">
        <v>62</v>
      </c>
      <c r="I3348" s="3" t="s">
        <v>62</v>
      </c>
      <c r="J3348" s="3" t="s">
        <v>62</v>
      </c>
      <c r="K3348" s="3" t="s">
        <v>63</v>
      </c>
      <c r="M3348" s="2" t="s">
        <v>4009</v>
      </c>
      <c r="N3348" s="3" t="s">
        <v>149</v>
      </c>
      <c r="P3348" s="3" t="s">
        <v>65</v>
      </c>
      <c r="Q3348" s="2" t="s">
        <v>32312</v>
      </c>
      <c r="R3348" s="3" t="s">
        <v>66</v>
      </c>
      <c r="S3348" s="4">
        <v>0</v>
      </c>
      <c r="T3348" s="4">
        <v>0</v>
      </c>
      <c r="W3348" s="5" t="s">
        <v>67</v>
      </c>
      <c r="X3348" s="5" t="s">
        <v>67</v>
      </c>
      <c r="Y3348" s="4">
        <v>96</v>
      </c>
      <c r="Z3348" s="4">
        <v>10</v>
      </c>
      <c r="AA3348" s="4">
        <v>12</v>
      </c>
      <c r="AB3348" s="4">
        <v>2</v>
      </c>
      <c r="AC3348" s="4">
        <v>2</v>
      </c>
      <c r="AD3348" s="4">
        <v>26</v>
      </c>
      <c r="AE3348" s="4">
        <v>27</v>
      </c>
      <c r="AF3348" s="4">
        <v>1</v>
      </c>
      <c r="AG3348" s="4">
        <v>1</v>
      </c>
      <c r="AH3348" s="4">
        <v>22</v>
      </c>
      <c r="AI3348" s="4">
        <v>23</v>
      </c>
      <c r="AJ3348" s="4">
        <v>7</v>
      </c>
      <c r="AK3348" s="4">
        <v>8</v>
      </c>
      <c r="AL3348" s="4">
        <v>8</v>
      </c>
      <c r="AM3348" s="4">
        <v>9</v>
      </c>
      <c r="AN3348" s="4">
        <v>0</v>
      </c>
      <c r="AO3348" s="4">
        <v>0</v>
      </c>
      <c r="AP3348" s="4">
        <v>8</v>
      </c>
      <c r="AQ3348" s="4">
        <v>9</v>
      </c>
      <c r="AR3348" s="3" t="s">
        <v>62</v>
      </c>
      <c r="AS3348" s="3" t="s">
        <v>62</v>
      </c>
      <c r="AT3348" s="3" t="s">
        <v>62</v>
      </c>
      <c r="AV3348" s="6" t="str">
        <f>HYPERLINK("http://mcgill.on.worldcat.org/oclc/181142784","Catalog Record")</f>
        <v>Catalog Record</v>
      </c>
      <c r="AW3348" s="6" t="str">
        <f>HYPERLINK("http://www.worldcat.org/oclc/181142784","WorldCat Record")</f>
        <v>WorldCat Record</v>
      </c>
      <c r="AX3348" s="3" t="s">
        <v>32313</v>
      </c>
      <c r="AY3348" s="3" t="s">
        <v>32314</v>
      </c>
      <c r="AZ3348" s="3" t="s">
        <v>32315</v>
      </c>
      <c r="BA3348" s="3" t="s">
        <v>32315</v>
      </c>
      <c r="BB3348" s="3" t="s">
        <v>32316</v>
      </c>
      <c r="BC3348" s="3" t="s">
        <v>142</v>
      </c>
      <c r="BD3348" s="3" t="s">
        <v>68</v>
      </c>
      <c r="BE3348" s="3" t="s">
        <v>32317</v>
      </c>
      <c r="BF3348" s="3" t="s">
        <v>32316</v>
      </c>
      <c r="BG3348" s="3" t="s">
        <v>32318</v>
      </c>
    </row>
    <row r="3349" spans="1:59" ht="71.25" x14ac:dyDescent="0.45">
      <c r="A3349" s="2" t="s">
        <v>927</v>
      </c>
      <c r="B3349" s="2" t="s">
        <v>928</v>
      </c>
      <c r="C3349" s="2" t="s">
        <v>32319</v>
      </c>
      <c r="D3349" s="2" t="s">
        <v>32320</v>
      </c>
      <c r="E3349" s="2" t="s">
        <v>32321</v>
      </c>
      <c r="G3349" s="3" t="s">
        <v>62</v>
      </c>
      <c r="I3349" s="3" t="s">
        <v>62</v>
      </c>
      <c r="J3349" s="3" t="s">
        <v>62</v>
      </c>
      <c r="K3349" s="3" t="s">
        <v>63</v>
      </c>
      <c r="M3349" s="2" t="s">
        <v>32322</v>
      </c>
      <c r="N3349" s="3" t="s">
        <v>918</v>
      </c>
      <c r="O3349" s="2" t="s">
        <v>3255</v>
      </c>
      <c r="P3349" s="3" t="s">
        <v>65</v>
      </c>
      <c r="Q3349" s="2" t="s">
        <v>32323</v>
      </c>
      <c r="R3349" s="3" t="s">
        <v>66</v>
      </c>
      <c r="S3349" s="4">
        <v>1</v>
      </c>
      <c r="T3349" s="4">
        <v>1</v>
      </c>
      <c r="U3349" s="5" t="s">
        <v>16909</v>
      </c>
      <c r="V3349" s="5" t="s">
        <v>16909</v>
      </c>
      <c r="W3349" s="5" t="s">
        <v>67</v>
      </c>
      <c r="X3349" s="5" t="s">
        <v>67</v>
      </c>
      <c r="Y3349" s="4">
        <v>588</v>
      </c>
      <c r="Z3349" s="4">
        <v>26</v>
      </c>
      <c r="AA3349" s="4">
        <v>55</v>
      </c>
      <c r="AB3349" s="4">
        <v>2</v>
      </c>
      <c r="AC3349" s="4">
        <v>6</v>
      </c>
      <c r="AD3349" s="4">
        <v>80</v>
      </c>
      <c r="AE3349" s="4">
        <v>118</v>
      </c>
      <c r="AF3349" s="4">
        <v>0</v>
      </c>
      <c r="AG3349" s="4">
        <v>1</v>
      </c>
      <c r="AH3349" s="4">
        <v>75</v>
      </c>
      <c r="AI3349" s="4">
        <v>103</v>
      </c>
      <c r="AJ3349" s="4">
        <v>6</v>
      </c>
      <c r="AK3349" s="4">
        <v>14</v>
      </c>
      <c r="AL3349" s="4">
        <v>41</v>
      </c>
      <c r="AM3349" s="4">
        <v>55</v>
      </c>
      <c r="AN3349" s="4">
        <v>0</v>
      </c>
      <c r="AO3349" s="4">
        <v>0</v>
      </c>
      <c r="AP3349" s="4">
        <v>8</v>
      </c>
      <c r="AQ3349" s="4">
        <v>21</v>
      </c>
      <c r="AR3349" s="3" t="s">
        <v>62</v>
      </c>
      <c r="AS3349" s="3" t="s">
        <v>62</v>
      </c>
      <c r="AT3349" s="3" t="s">
        <v>62</v>
      </c>
      <c r="AV3349" s="6" t="str">
        <f>HYPERLINK("http://mcgill.on.worldcat.org/oclc/51607361","Catalog Record")</f>
        <v>Catalog Record</v>
      </c>
      <c r="AW3349" s="6" t="str">
        <f>HYPERLINK("http://www.worldcat.org/oclc/51607361","WorldCat Record")</f>
        <v>WorldCat Record</v>
      </c>
      <c r="AX3349" s="3" t="s">
        <v>32324</v>
      </c>
      <c r="AY3349" s="3" t="s">
        <v>32325</v>
      </c>
      <c r="AZ3349" s="3" t="s">
        <v>32326</v>
      </c>
      <c r="BA3349" s="3" t="s">
        <v>32326</v>
      </c>
      <c r="BB3349" s="3" t="s">
        <v>32327</v>
      </c>
      <c r="BC3349" s="3" t="s">
        <v>142</v>
      </c>
      <c r="BD3349" s="3" t="s">
        <v>68</v>
      </c>
      <c r="BE3349" s="3" t="s">
        <v>32328</v>
      </c>
      <c r="BF3349" s="3" t="s">
        <v>32327</v>
      </c>
      <c r="BG3349" s="3" t="s">
        <v>32329</v>
      </c>
    </row>
    <row r="3350" spans="1:59" ht="57" x14ac:dyDescent="0.45">
      <c r="A3350" s="2" t="s">
        <v>59</v>
      </c>
      <c r="B3350" s="2" t="s">
        <v>60</v>
      </c>
      <c r="C3350" s="2" t="s">
        <v>32330</v>
      </c>
      <c r="D3350" s="2" t="s">
        <v>32331</v>
      </c>
      <c r="E3350" s="2" t="s">
        <v>32332</v>
      </c>
      <c r="G3350" s="3" t="s">
        <v>62</v>
      </c>
      <c r="I3350" s="3" t="s">
        <v>62</v>
      </c>
      <c r="J3350" s="3" t="s">
        <v>61</v>
      </c>
      <c r="K3350" s="3" t="s">
        <v>63</v>
      </c>
      <c r="L3350" s="2" t="s">
        <v>10749</v>
      </c>
      <c r="M3350" s="2" t="s">
        <v>3208</v>
      </c>
      <c r="N3350" s="3" t="s">
        <v>116</v>
      </c>
      <c r="O3350" s="2" t="s">
        <v>32333</v>
      </c>
      <c r="P3350" s="3" t="s">
        <v>110</v>
      </c>
      <c r="Q3350" s="2" t="s">
        <v>32334</v>
      </c>
      <c r="R3350" s="3" t="s">
        <v>66</v>
      </c>
      <c r="S3350" s="4">
        <v>1</v>
      </c>
      <c r="T3350" s="4">
        <v>1</v>
      </c>
      <c r="U3350" s="5" t="s">
        <v>27992</v>
      </c>
      <c r="V3350" s="5" t="s">
        <v>27992</v>
      </c>
      <c r="W3350" s="5" t="s">
        <v>67</v>
      </c>
      <c r="X3350" s="5" t="s">
        <v>67</v>
      </c>
      <c r="Y3350" s="4">
        <v>3</v>
      </c>
      <c r="Z3350" s="4">
        <v>1</v>
      </c>
      <c r="AA3350" s="4">
        <v>34</v>
      </c>
      <c r="AB3350" s="4">
        <v>1</v>
      </c>
      <c r="AC3350" s="4">
        <v>18</v>
      </c>
      <c r="AD3350" s="4">
        <v>1</v>
      </c>
      <c r="AE3350" s="4">
        <v>45</v>
      </c>
      <c r="AF3350" s="4">
        <v>0</v>
      </c>
      <c r="AG3350" s="4">
        <v>6</v>
      </c>
      <c r="AH3350" s="4">
        <v>1</v>
      </c>
      <c r="AI3350" s="4">
        <v>35</v>
      </c>
      <c r="AJ3350" s="4">
        <v>0</v>
      </c>
      <c r="AK3350" s="4">
        <v>15</v>
      </c>
      <c r="AL3350" s="4">
        <v>1</v>
      </c>
      <c r="AM3350" s="4">
        <v>24</v>
      </c>
      <c r="AN3350" s="4">
        <v>0</v>
      </c>
      <c r="AO3350" s="4">
        <v>1</v>
      </c>
      <c r="AP3350" s="4">
        <v>0</v>
      </c>
      <c r="AQ3350" s="4">
        <v>18</v>
      </c>
      <c r="AR3350" s="3" t="s">
        <v>62</v>
      </c>
      <c r="AS3350" s="3" t="s">
        <v>62</v>
      </c>
      <c r="AT3350" s="3" t="s">
        <v>62</v>
      </c>
      <c r="AV3350" s="6" t="str">
        <f>HYPERLINK("http://mcgill.on.worldcat.org/oclc/874842263","Catalog Record")</f>
        <v>Catalog Record</v>
      </c>
      <c r="AW3350" s="6" t="str">
        <f>HYPERLINK("http://www.worldcat.org/oclc/874842263","WorldCat Record")</f>
        <v>WorldCat Record</v>
      </c>
      <c r="AX3350" s="3" t="s">
        <v>32335</v>
      </c>
      <c r="AY3350" s="3" t="s">
        <v>32336</v>
      </c>
      <c r="AZ3350" s="3" t="s">
        <v>32337</v>
      </c>
      <c r="BA3350" s="3" t="s">
        <v>32337</v>
      </c>
      <c r="BB3350" s="3" t="s">
        <v>32338</v>
      </c>
      <c r="BC3350" s="3" t="s">
        <v>142</v>
      </c>
      <c r="BD3350" s="3" t="s">
        <v>68</v>
      </c>
      <c r="BE3350" s="3" t="s">
        <v>32339</v>
      </c>
      <c r="BF3350" s="3" t="s">
        <v>32338</v>
      </c>
      <c r="BG3350" s="3" t="s">
        <v>32340</v>
      </c>
    </row>
    <row r="3351" spans="1:59" ht="57" x14ac:dyDescent="0.45">
      <c r="A3351" s="2" t="s">
        <v>59</v>
      </c>
      <c r="B3351" s="2" t="s">
        <v>60</v>
      </c>
      <c r="C3351" s="2" t="s">
        <v>32341</v>
      </c>
      <c r="D3351" s="2" t="s">
        <v>32342</v>
      </c>
      <c r="E3351" s="2" t="s">
        <v>32343</v>
      </c>
      <c r="G3351" s="3" t="s">
        <v>62</v>
      </c>
      <c r="I3351" s="3" t="s">
        <v>61</v>
      </c>
      <c r="J3351" s="3" t="s">
        <v>62</v>
      </c>
      <c r="K3351" s="3" t="s">
        <v>63</v>
      </c>
      <c r="L3351" s="2" t="s">
        <v>32344</v>
      </c>
      <c r="M3351" s="2" t="s">
        <v>32345</v>
      </c>
      <c r="N3351" s="3" t="s">
        <v>542</v>
      </c>
      <c r="O3351" s="2" t="s">
        <v>168</v>
      </c>
      <c r="P3351" s="3" t="s">
        <v>65</v>
      </c>
      <c r="R3351" s="3" t="s">
        <v>66</v>
      </c>
      <c r="S3351" s="4">
        <v>6</v>
      </c>
      <c r="T3351" s="4">
        <v>31</v>
      </c>
      <c r="U3351" s="5" t="s">
        <v>4094</v>
      </c>
      <c r="V3351" s="5" t="s">
        <v>31570</v>
      </c>
      <c r="W3351" s="5" t="s">
        <v>67</v>
      </c>
      <c r="X3351" s="5" t="s">
        <v>67</v>
      </c>
      <c r="Y3351" s="4">
        <v>709</v>
      </c>
      <c r="Z3351" s="4">
        <v>30</v>
      </c>
      <c r="AA3351" s="4">
        <v>67</v>
      </c>
      <c r="AB3351" s="4">
        <v>2</v>
      </c>
      <c r="AC3351" s="4">
        <v>8</v>
      </c>
      <c r="AD3351" s="4">
        <v>114</v>
      </c>
      <c r="AE3351" s="4">
        <v>129</v>
      </c>
      <c r="AF3351" s="4">
        <v>1</v>
      </c>
      <c r="AG3351" s="4">
        <v>2</v>
      </c>
      <c r="AH3351" s="4">
        <v>97</v>
      </c>
      <c r="AI3351" s="4">
        <v>104</v>
      </c>
      <c r="AJ3351" s="4">
        <v>15</v>
      </c>
      <c r="AK3351" s="4">
        <v>18</v>
      </c>
      <c r="AL3351" s="4">
        <v>48</v>
      </c>
      <c r="AM3351" s="4">
        <v>56</v>
      </c>
      <c r="AN3351" s="4">
        <v>0</v>
      </c>
      <c r="AO3351" s="4">
        <v>4</v>
      </c>
      <c r="AP3351" s="4">
        <v>23</v>
      </c>
      <c r="AQ3351" s="4">
        <v>30</v>
      </c>
      <c r="AR3351" s="3" t="s">
        <v>62</v>
      </c>
      <c r="AS3351" s="3" t="s">
        <v>62</v>
      </c>
      <c r="AT3351" s="3" t="s">
        <v>61</v>
      </c>
      <c r="AU3351" s="6" t="str">
        <f>HYPERLINK("http://catalog.hathitrust.org/Record/004202828","HathiTrust Record")</f>
        <v>HathiTrust Record</v>
      </c>
      <c r="AV3351" s="6" t="str">
        <f>HYPERLINK("http://mcgill.on.worldcat.org/oclc/47023551","Catalog Record")</f>
        <v>Catalog Record</v>
      </c>
      <c r="AW3351" s="6" t="str">
        <f>HYPERLINK("http://www.worldcat.org/oclc/47023551","WorldCat Record")</f>
        <v>WorldCat Record</v>
      </c>
      <c r="AX3351" s="3" t="s">
        <v>32346</v>
      </c>
      <c r="AY3351" s="3" t="s">
        <v>32347</v>
      </c>
      <c r="AZ3351" s="3" t="s">
        <v>32348</v>
      </c>
      <c r="BA3351" s="3" t="s">
        <v>32348</v>
      </c>
      <c r="BB3351" s="3" t="s">
        <v>32349</v>
      </c>
      <c r="BC3351" s="3" t="s">
        <v>142</v>
      </c>
      <c r="BD3351" s="3" t="s">
        <v>68</v>
      </c>
      <c r="BE3351" s="3" t="s">
        <v>32350</v>
      </c>
      <c r="BF3351" s="3" t="s">
        <v>32349</v>
      </c>
      <c r="BG3351" s="3" t="s">
        <v>32351</v>
      </c>
    </row>
    <row r="3352" spans="1:59" ht="57" x14ac:dyDescent="0.45">
      <c r="A3352" s="2" t="s">
        <v>59</v>
      </c>
      <c r="B3352" s="2" t="s">
        <v>60</v>
      </c>
      <c r="C3352" s="2" t="s">
        <v>32341</v>
      </c>
      <c r="D3352" s="2" t="s">
        <v>32342</v>
      </c>
      <c r="E3352" s="2" t="s">
        <v>32343</v>
      </c>
      <c r="G3352" s="3" t="s">
        <v>62</v>
      </c>
      <c r="I3352" s="3" t="s">
        <v>61</v>
      </c>
      <c r="J3352" s="3" t="s">
        <v>62</v>
      </c>
      <c r="K3352" s="3" t="s">
        <v>63</v>
      </c>
      <c r="L3352" s="2" t="s">
        <v>32344</v>
      </c>
      <c r="M3352" s="2" t="s">
        <v>32345</v>
      </c>
      <c r="N3352" s="3" t="s">
        <v>542</v>
      </c>
      <c r="O3352" s="2" t="s">
        <v>168</v>
      </c>
      <c r="P3352" s="3" t="s">
        <v>65</v>
      </c>
      <c r="R3352" s="3" t="s">
        <v>66</v>
      </c>
      <c r="S3352" s="4">
        <v>8</v>
      </c>
      <c r="T3352" s="4">
        <v>31</v>
      </c>
      <c r="U3352" s="5" t="s">
        <v>32352</v>
      </c>
      <c r="V3352" s="5" t="s">
        <v>31570</v>
      </c>
      <c r="W3352" s="5" t="s">
        <v>67</v>
      </c>
      <c r="X3352" s="5" t="s">
        <v>67</v>
      </c>
      <c r="Y3352" s="4">
        <v>709</v>
      </c>
      <c r="Z3352" s="4">
        <v>30</v>
      </c>
      <c r="AA3352" s="4">
        <v>67</v>
      </c>
      <c r="AB3352" s="4">
        <v>2</v>
      </c>
      <c r="AC3352" s="4">
        <v>8</v>
      </c>
      <c r="AD3352" s="4">
        <v>114</v>
      </c>
      <c r="AE3352" s="4">
        <v>129</v>
      </c>
      <c r="AF3352" s="4">
        <v>1</v>
      </c>
      <c r="AG3352" s="4">
        <v>2</v>
      </c>
      <c r="AH3352" s="4">
        <v>97</v>
      </c>
      <c r="AI3352" s="4">
        <v>104</v>
      </c>
      <c r="AJ3352" s="4">
        <v>15</v>
      </c>
      <c r="AK3352" s="4">
        <v>18</v>
      </c>
      <c r="AL3352" s="4">
        <v>48</v>
      </c>
      <c r="AM3352" s="4">
        <v>56</v>
      </c>
      <c r="AN3352" s="4">
        <v>0</v>
      </c>
      <c r="AO3352" s="4">
        <v>4</v>
      </c>
      <c r="AP3352" s="4">
        <v>23</v>
      </c>
      <c r="AQ3352" s="4">
        <v>30</v>
      </c>
      <c r="AR3352" s="3" t="s">
        <v>62</v>
      </c>
      <c r="AS3352" s="3" t="s">
        <v>62</v>
      </c>
      <c r="AT3352" s="3" t="s">
        <v>61</v>
      </c>
      <c r="AU3352" s="6" t="str">
        <f>HYPERLINK("http://catalog.hathitrust.org/Record/004202828","HathiTrust Record")</f>
        <v>HathiTrust Record</v>
      </c>
      <c r="AV3352" s="6" t="str">
        <f>HYPERLINK("http://mcgill.on.worldcat.org/oclc/47023551","Catalog Record")</f>
        <v>Catalog Record</v>
      </c>
      <c r="AW3352" s="6" t="str">
        <f>HYPERLINK("http://www.worldcat.org/oclc/47023551","WorldCat Record")</f>
        <v>WorldCat Record</v>
      </c>
      <c r="AX3352" s="3" t="s">
        <v>32346</v>
      </c>
      <c r="AY3352" s="3" t="s">
        <v>32347</v>
      </c>
      <c r="AZ3352" s="3" t="s">
        <v>32348</v>
      </c>
      <c r="BA3352" s="3" t="s">
        <v>32348</v>
      </c>
      <c r="BB3352" s="3" t="s">
        <v>32353</v>
      </c>
      <c r="BC3352" s="3" t="s">
        <v>142</v>
      </c>
      <c r="BD3352" s="3" t="s">
        <v>68</v>
      </c>
      <c r="BE3352" s="3" t="s">
        <v>32350</v>
      </c>
      <c r="BF3352" s="3" t="s">
        <v>32353</v>
      </c>
      <c r="BG3352" s="3" t="s">
        <v>32354</v>
      </c>
    </row>
    <row r="3353" spans="1:59" ht="57" x14ac:dyDescent="0.45">
      <c r="A3353" s="2" t="s">
        <v>59</v>
      </c>
      <c r="B3353" s="2" t="s">
        <v>412</v>
      </c>
      <c r="C3353" s="2" t="s">
        <v>32341</v>
      </c>
      <c r="D3353" s="2" t="s">
        <v>32342</v>
      </c>
      <c r="E3353" s="2" t="s">
        <v>32343</v>
      </c>
      <c r="G3353" s="3" t="s">
        <v>62</v>
      </c>
      <c r="I3353" s="3" t="s">
        <v>61</v>
      </c>
      <c r="J3353" s="3" t="s">
        <v>62</v>
      </c>
      <c r="K3353" s="3" t="s">
        <v>63</v>
      </c>
      <c r="L3353" s="2" t="s">
        <v>32344</v>
      </c>
      <c r="M3353" s="2" t="s">
        <v>32345</v>
      </c>
      <c r="N3353" s="3" t="s">
        <v>542</v>
      </c>
      <c r="O3353" s="2" t="s">
        <v>168</v>
      </c>
      <c r="P3353" s="3" t="s">
        <v>65</v>
      </c>
      <c r="R3353" s="3" t="s">
        <v>66</v>
      </c>
      <c r="S3353" s="4">
        <v>17</v>
      </c>
      <c r="T3353" s="4">
        <v>31</v>
      </c>
      <c r="U3353" s="5" t="s">
        <v>31570</v>
      </c>
      <c r="V3353" s="5" t="s">
        <v>31570</v>
      </c>
      <c r="W3353" s="5" t="s">
        <v>67</v>
      </c>
      <c r="X3353" s="5" t="s">
        <v>67</v>
      </c>
      <c r="Y3353" s="4">
        <v>709</v>
      </c>
      <c r="Z3353" s="4">
        <v>30</v>
      </c>
      <c r="AA3353" s="4">
        <v>67</v>
      </c>
      <c r="AB3353" s="4">
        <v>2</v>
      </c>
      <c r="AC3353" s="4">
        <v>8</v>
      </c>
      <c r="AD3353" s="4">
        <v>114</v>
      </c>
      <c r="AE3353" s="4">
        <v>129</v>
      </c>
      <c r="AF3353" s="4">
        <v>1</v>
      </c>
      <c r="AG3353" s="4">
        <v>2</v>
      </c>
      <c r="AH3353" s="4">
        <v>97</v>
      </c>
      <c r="AI3353" s="4">
        <v>104</v>
      </c>
      <c r="AJ3353" s="4">
        <v>15</v>
      </c>
      <c r="AK3353" s="4">
        <v>18</v>
      </c>
      <c r="AL3353" s="4">
        <v>48</v>
      </c>
      <c r="AM3353" s="4">
        <v>56</v>
      </c>
      <c r="AN3353" s="4">
        <v>0</v>
      </c>
      <c r="AO3353" s="4">
        <v>4</v>
      </c>
      <c r="AP3353" s="4">
        <v>23</v>
      </c>
      <c r="AQ3353" s="4">
        <v>30</v>
      </c>
      <c r="AR3353" s="3" t="s">
        <v>62</v>
      </c>
      <c r="AS3353" s="3" t="s">
        <v>62</v>
      </c>
      <c r="AT3353" s="3" t="s">
        <v>61</v>
      </c>
      <c r="AU3353" s="6" t="str">
        <f>HYPERLINK("http://catalog.hathitrust.org/Record/004202828","HathiTrust Record")</f>
        <v>HathiTrust Record</v>
      </c>
      <c r="AV3353" s="6" t="str">
        <f>HYPERLINK("http://mcgill.on.worldcat.org/oclc/47023551","Catalog Record")</f>
        <v>Catalog Record</v>
      </c>
      <c r="AW3353" s="6" t="str">
        <f>HYPERLINK("http://www.worldcat.org/oclc/47023551","WorldCat Record")</f>
        <v>WorldCat Record</v>
      </c>
      <c r="AX3353" s="3" t="s">
        <v>32346</v>
      </c>
      <c r="AY3353" s="3" t="s">
        <v>32347</v>
      </c>
      <c r="AZ3353" s="3" t="s">
        <v>32348</v>
      </c>
      <c r="BA3353" s="3" t="s">
        <v>32348</v>
      </c>
      <c r="BB3353" s="3" t="s">
        <v>32355</v>
      </c>
      <c r="BC3353" s="3" t="s">
        <v>142</v>
      </c>
      <c r="BD3353" s="3" t="s">
        <v>68</v>
      </c>
      <c r="BE3353" s="3" t="s">
        <v>32350</v>
      </c>
      <c r="BF3353" s="3" t="s">
        <v>32355</v>
      </c>
      <c r="BG3353" s="3" t="s">
        <v>32356</v>
      </c>
    </row>
    <row r="3354" spans="1:59" ht="57" x14ac:dyDescent="0.45">
      <c r="A3354" s="2" t="s">
        <v>59</v>
      </c>
      <c r="B3354" s="2" t="s">
        <v>60</v>
      </c>
      <c r="C3354" s="2" t="s">
        <v>32357</v>
      </c>
      <c r="D3354" s="2" t="s">
        <v>32358</v>
      </c>
      <c r="E3354" s="2" t="s">
        <v>32359</v>
      </c>
      <c r="G3354" s="3" t="s">
        <v>62</v>
      </c>
      <c r="I3354" s="3" t="s">
        <v>62</v>
      </c>
      <c r="J3354" s="3" t="s">
        <v>62</v>
      </c>
      <c r="K3354" s="3" t="s">
        <v>63</v>
      </c>
      <c r="L3354" s="2" t="s">
        <v>32360</v>
      </c>
      <c r="M3354" s="2" t="s">
        <v>2654</v>
      </c>
      <c r="N3354" s="3" t="s">
        <v>820</v>
      </c>
      <c r="P3354" s="3" t="s">
        <v>65</v>
      </c>
      <c r="R3354" s="3" t="s">
        <v>66</v>
      </c>
      <c r="S3354" s="4">
        <v>5</v>
      </c>
      <c r="T3354" s="4">
        <v>5</v>
      </c>
      <c r="U3354" s="5" t="s">
        <v>22961</v>
      </c>
      <c r="V3354" s="5" t="s">
        <v>22961</v>
      </c>
      <c r="W3354" s="5" t="s">
        <v>67</v>
      </c>
      <c r="X3354" s="5" t="s">
        <v>67</v>
      </c>
      <c r="Y3354" s="4">
        <v>1119</v>
      </c>
      <c r="Z3354" s="4">
        <v>52</v>
      </c>
      <c r="AA3354" s="4">
        <v>110</v>
      </c>
      <c r="AB3354" s="4">
        <v>3</v>
      </c>
      <c r="AC3354" s="4">
        <v>19</v>
      </c>
      <c r="AD3354" s="4">
        <v>122</v>
      </c>
      <c r="AE3354" s="4">
        <v>157</v>
      </c>
      <c r="AF3354" s="4">
        <v>2</v>
      </c>
      <c r="AG3354" s="4">
        <v>9</v>
      </c>
      <c r="AH3354" s="4">
        <v>102</v>
      </c>
      <c r="AI3354" s="4">
        <v>110</v>
      </c>
      <c r="AJ3354" s="4">
        <v>17</v>
      </c>
      <c r="AK3354" s="4">
        <v>26</v>
      </c>
      <c r="AL3354" s="4">
        <v>54</v>
      </c>
      <c r="AM3354" s="4">
        <v>56</v>
      </c>
      <c r="AN3354" s="4">
        <v>0</v>
      </c>
      <c r="AO3354" s="4">
        <v>0</v>
      </c>
      <c r="AP3354" s="4">
        <v>29</v>
      </c>
      <c r="AQ3354" s="4">
        <v>57</v>
      </c>
      <c r="AR3354" s="3" t="s">
        <v>62</v>
      </c>
      <c r="AS3354" s="3" t="s">
        <v>62</v>
      </c>
      <c r="AT3354" s="3" t="s">
        <v>62</v>
      </c>
      <c r="AV3354" s="6" t="str">
        <f>HYPERLINK("http://mcgill.on.worldcat.org/oclc/173502670","Catalog Record")</f>
        <v>Catalog Record</v>
      </c>
      <c r="AW3354" s="6" t="str">
        <f>HYPERLINK("http://www.worldcat.org/oclc/173502670","WorldCat Record")</f>
        <v>WorldCat Record</v>
      </c>
      <c r="AX3354" s="3" t="s">
        <v>32361</v>
      </c>
      <c r="AY3354" s="3" t="s">
        <v>32362</v>
      </c>
      <c r="AZ3354" s="3" t="s">
        <v>32363</v>
      </c>
      <c r="BA3354" s="3" t="s">
        <v>32363</v>
      </c>
      <c r="BB3354" s="3" t="s">
        <v>32364</v>
      </c>
      <c r="BC3354" s="3" t="s">
        <v>142</v>
      </c>
      <c r="BD3354" s="3" t="s">
        <v>68</v>
      </c>
      <c r="BE3354" s="3" t="s">
        <v>32365</v>
      </c>
      <c r="BF3354" s="3" t="s">
        <v>32364</v>
      </c>
      <c r="BG3354" s="3" t="s">
        <v>32366</v>
      </c>
    </row>
    <row r="3355" spans="1:59" ht="57" x14ac:dyDescent="0.45">
      <c r="A3355" s="2" t="s">
        <v>59</v>
      </c>
      <c r="B3355" s="2" t="s">
        <v>60</v>
      </c>
      <c r="C3355" s="2" t="s">
        <v>32367</v>
      </c>
      <c r="D3355" s="2" t="s">
        <v>32368</v>
      </c>
      <c r="E3355" s="2" t="s">
        <v>32369</v>
      </c>
      <c r="G3355" s="3" t="s">
        <v>62</v>
      </c>
      <c r="I3355" s="3" t="s">
        <v>62</v>
      </c>
      <c r="J3355" s="3" t="s">
        <v>62</v>
      </c>
      <c r="K3355" s="3" t="s">
        <v>63</v>
      </c>
      <c r="L3355" s="2" t="s">
        <v>32370</v>
      </c>
      <c r="M3355" s="2" t="s">
        <v>32371</v>
      </c>
      <c r="N3355" s="3" t="s">
        <v>894</v>
      </c>
      <c r="P3355" s="3" t="s">
        <v>110</v>
      </c>
      <c r="R3355" s="3" t="s">
        <v>66</v>
      </c>
      <c r="S3355" s="4">
        <v>0</v>
      </c>
      <c r="T3355" s="4">
        <v>0</v>
      </c>
      <c r="W3355" s="5" t="s">
        <v>67</v>
      </c>
      <c r="X3355" s="5" t="s">
        <v>67</v>
      </c>
      <c r="Y3355" s="4">
        <v>11</v>
      </c>
      <c r="Z3355" s="4">
        <v>6</v>
      </c>
      <c r="AA3355" s="4">
        <v>16</v>
      </c>
      <c r="AB3355" s="4">
        <v>1</v>
      </c>
      <c r="AC3355" s="4">
        <v>7</v>
      </c>
      <c r="AD3355" s="4">
        <v>9</v>
      </c>
      <c r="AE3355" s="4">
        <v>16</v>
      </c>
      <c r="AF3355" s="4">
        <v>0</v>
      </c>
      <c r="AG3355" s="4">
        <v>3</v>
      </c>
      <c r="AH3355" s="4">
        <v>7</v>
      </c>
      <c r="AI3355" s="4">
        <v>9</v>
      </c>
      <c r="AJ3355" s="4">
        <v>4</v>
      </c>
      <c r="AK3355" s="4">
        <v>9</v>
      </c>
      <c r="AL3355" s="4">
        <v>3</v>
      </c>
      <c r="AM3355" s="4">
        <v>3</v>
      </c>
      <c r="AN3355" s="4">
        <v>0</v>
      </c>
      <c r="AO3355" s="4">
        <v>0</v>
      </c>
      <c r="AP3355" s="4">
        <v>5</v>
      </c>
      <c r="AQ3355" s="4">
        <v>11</v>
      </c>
      <c r="AR3355" s="3" t="s">
        <v>61</v>
      </c>
      <c r="AS3355" s="3" t="s">
        <v>62</v>
      </c>
      <c r="AT3355" s="3" t="s">
        <v>62</v>
      </c>
      <c r="AV3355" s="6" t="str">
        <f>HYPERLINK("http://mcgill.on.worldcat.org/oclc/702844821","Catalog Record")</f>
        <v>Catalog Record</v>
      </c>
      <c r="AW3355" s="6" t="str">
        <f>HYPERLINK("http://www.worldcat.org/oclc/702844821","WorldCat Record")</f>
        <v>WorldCat Record</v>
      </c>
      <c r="AX3355" s="3" t="s">
        <v>32372</v>
      </c>
      <c r="AY3355" s="3" t="s">
        <v>32373</v>
      </c>
      <c r="AZ3355" s="3" t="s">
        <v>32374</v>
      </c>
      <c r="BA3355" s="3" t="s">
        <v>32374</v>
      </c>
      <c r="BB3355" s="3" t="s">
        <v>32375</v>
      </c>
      <c r="BC3355" s="3" t="s">
        <v>142</v>
      </c>
      <c r="BD3355" s="3" t="s">
        <v>68</v>
      </c>
      <c r="BE3355" s="3" t="s">
        <v>32376</v>
      </c>
      <c r="BF3355" s="3" t="s">
        <v>32375</v>
      </c>
      <c r="BG3355" s="3" t="s">
        <v>32377</v>
      </c>
    </row>
    <row r="3356" spans="1:59" ht="57" x14ac:dyDescent="0.45">
      <c r="A3356" s="2" t="s">
        <v>59</v>
      </c>
      <c r="B3356" s="2" t="s">
        <v>60</v>
      </c>
      <c r="C3356" s="2" t="s">
        <v>32378</v>
      </c>
      <c r="D3356" s="2" t="s">
        <v>32379</v>
      </c>
      <c r="E3356" s="2" t="s">
        <v>32380</v>
      </c>
      <c r="G3356" s="3" t="s">
        <v>62</v>
      </c>
      <c r="I3356" s="3" t="s">
        <v>62</v>
      </c>
      <c r="J3356" s="3" t="s">
        <v>62</v>
      </c>
      <c r="K3356" s="3" t="s">
        <v>63</v>
      </c>
      <c r="L3356" s="2" t="s">
        <v>32381</v>
      </c>
      <c r="M3356" s="2" t="s">
        <v>4650</v>
      </c>
      <c r="N3356" s="3" t="s">
        <v>894</v>
      </c>
      <c r="P3356" s="3" t="s">
        <v>65</v>
      </c>
      <c r="R3356" s="3" t="s">
        <v>66</v>
      </c>
      <c r="S3356" s="4">
        <v>1</v>
      </c>
      <c r="T3356" s="4">
        <v>1</v>
      </c>
      <c r="U3356" s="5" t="s">
        <v>32382</v>
      </c>
      <c r="V3356" s="5" t="s">
        <v>32382</v>
      </c>
      <c r="W3356" s="5" t="s">
        <v>67</v>
      </c>
      <c r="X3356" s="5" t="s">
        <v>67</v>
      </c>
      <c r="Y3356" s="4">
        <v>116</v>
      </c>
      <c r="Z3356" s="4">
        <v>17</v>
      </c>
      <c r="AA3356" s="4">
        <v>31</v>
      </c>
      <c r="AB3356" s="4">
        <v>1</v>
      </c>
      <c r="AC3356" s="4">
        <v>3</v>
      </c>
      <c r="AD3356" s="4">
        <v>58</v>
      </c>
      <c r="AE3356" s="4">
        <v>82</v>
      </c>
      <c r="AF3356" s="4">
        <v>0</v>
      </c>
      <c r="AG3356" s="4">
        <v>0</v>
      </c>
      <c r="AH3356" s="4">
        <v>55</v>
      </c>
      <c r="AI3356" s="4">
        <v>71</v>
      </c>
      <c r="AJ3356" s="4">
        <v>13</v>
      </c>
      <c r="AK3356" s="4">
        <v>15</v>
      </c>
      <c r="AL3356" s="4">
        <v>30</v>
      </c>
      <c r="AM3356" s="4">
        <v>39</v>
      </c>
      <c r="AN3356" s="4">
        <v>0</v>
      </c>
      <c r="AO3356" s="4">
        <v>0</v>
      </c>
      <c r="AP3356" s="4">
        <v>14</v>
      </c>
      <c r="AQ3356" s="4">
        <v>22</v>
      </c>
      <c r="AR3356" s="3" t="s">
        <v>62</v>
      </c>
      <c r="AS3356" s="3" t="s">
        <v>62</v>
      </c>
      <c r="AT3356" s="3" t="s">
        <v>62</v>
      </c>
      <c r="AV3356" s="6" t="str">
        <f>HYPERLINK("http://mcgill.on.worldcat.org/oclc/655303952","Catalog Record")</f>
        <v>Catalog Record</v>
      </c>
      <c r="AW3356" s="6" t="str">
        <f>HYPERLINK("http://www.worldcat.org/oclc/655303952","WorldCat Record")</f>
        <v>WorldCat Record</v>
      </c>
      <c r="AX3356" s="3" t="s">
        <v>32383</v>
      </c>
      <c r="AY3356" s="3" t="s">
        <v>32384</v>
      </c>
      <c r="AZ3356" s="3" t="s">
        <v>32385</v>
      </c>
      <c r="BA3356" s="3" t="s">
        <v>32385</v>
      </c>
      <c r="BB3356" s="3" t="s">
        <v>32386</v>
      </c>
      <c r="BC3356" s="3" t="s">
        <v>142</v>
      </c>
      <c r="BD3356" s="3" t="s">
        <v>68</v>
      </c>
      <c r="BE3356" s="3" t="s">
        <v>32387</v>
      </c>
      <c r="BF3356" s="3" t="s">
        <v>32386</v>
      </c>
      <c r="BG3356" s="3" t="s">
        <v>32388</v>
      </c>
    </row>
    <row r="3357" spans="1:59" ht="57" x14ac:dyDescent="0.45">
      <c r="A3357" s="2" t="s">
        <v>59</v>
      </c>
      <c r="B3357" s="2" t="s">
        <v>60</v>
      </c>
      <c r="C3357" s="2" t="s">
        <v>32389</v>
      </c>
      <c r="D3357" s="2" t="s">
        <v>32390</v>
      </c>
      <c r="E3357" s="2" t="s">
        <v>32391</v>
      </c>
      <c r="G3357" s="3" t="s">
        <v>62</v>
      </c>
      <c r="I3357" s="3" t="s">
        <v>62</v>
      </c>
      <c r="J3357" s="3" t="s">
        <v>62</v>
      </c>
      <c r="K3357" s="3" t="s">
        <v>63</v>
      </c>
      <c r="M3357" s="2" t="s">
        <v>32392</v>
      </c>
      <c r="N3357" s="3" t="s">
        <v>1059</v>
      </c>
      <c r="P3357" s="3" t="s">
        <v>65</v>
      </c>
      <c r="Q3357" s="2" t="s">
        <v>32393</v>
      </c>
      <c r="R3357" s="3" t="s">
        <v>66</v>
      </c>
      <c r="S3357" s="4">
        <v>6</v>
      </c>
      <c r="T3357" s="4">
        <v>6</v>
      </c>
      <c r="U3357" s="5" t="s">
        <v>8576</v>
      </c>
      <c r="V3357" s="5" t="s">
        <v>8576</v>
      </c>
      <c r="W3357" s="5" t="s">
        <v>67</v>
      </c>
      <c r="X3357" s="5" t="s">
        <v>67</v>
      </c>
      <c r="Y3357" s="4">
        <v>435</v>
      </c>
      <c r="Z3357" s="4">
        <v>30</v>
      </c>
      <c r="AA3357" s="4">
        <v>59</v>
      </c>
      <c r="AB3357" s="4">
        <v>3</v>
      </c>
      <c r="AC3357" s="4">
        <v>11</v>
      </c>
      <c r="AD3357" s="4">
        <v>102</v>
      </c>
      <c r="AE3357" s="4">
        <v>123</v>
      </c>
      <c r="AF3357" s="4">
        <v>1</v>
      </c>
      <c r="AG3357" s="4">
        <v>5</v>
      </c>
      <c r="AH3357" s="4">
        <v>86</v>
      </c>
      <c r="AI3357" s="4">
        <v>96</v>
      </c>
      <c r="AJ3357" s="4">
        <v>12</v>
      </c>
      <c r="AK3357" s="4">
        <v>17</v>
      </c>
      <c r="AL3357" s="4">
        <v>48</v>
      </c>
      <c r="AM3357" s="4">
        <v>53</v>
      </c>
      <c r="AN3357" s="4">
        <v>0</v>
      </c>
      <c r="AO3357" s="4">
        <v>0</v>
      </c>
      <c r="AP3357" s="4">
        <v>21</v>
      </c>
      <c r="AQ3357" s="4">
        <v>32</v>
      </c>
      <c r="AR3357" s="3" t="s">
        <v>62</v>
      </c>
      <c r="AS3357" s="3" t="s">
        <v>62</v>
      </c>
      <c r="AT3357" s="3" t="s">
        <v>62</v>
      </c>
      <c r="AV3357" s="6" t="str">
        <f>HYPERLINK("http://mcgill.on.worldcat.org/oclc/62084244","Catalog Record")</f>
        <v>Catalog Record</v>
      </c>
      <c r="AW3357" s="6" t="str">
        <f>HYPERLINK("http://www.worldcat.org/oclc/62084244","WorldCat Record")</f>
        <v>WorldCat Record</v>
      </c>
      <c r="AX3357" s="3" t="s">
        <v>32394</v>
      </c>
      <c r="AY3357" s="3" t="s">
        <v>32395</v>
      </c>
      <c r="AZ3357" s="3" t="s">
        <v>32396</v>
      </c>
      <c r="BA3357" s="3" t="s">
        <v>32396</v>
      </c>
      <c r="BB3357" s="3" t="s">
        <v>32397</v>
      </c>
      <c r="BC3357" s="3" t="s">
        <v>142</v>
      </c>
      <c r="BD3357" s="3" t="s">
        <v>68</v>
      </c>
      <c r="BE3357" s="3" t="s">
        <v>32398</v>
      </c>
      <c r="BF3357" s="3" t="s">
        <v>32397</v>
      </c>
      <c r="BG3357" s="3" t="s">
        <v>32399</v>
      </c>
    </row>
    <row r="3358" spans="1:59" ht="57" x14ac:dyDescent="0.45">
      <c r="A3358" s="2" t="s">
        <v>59</v>
      </c>
      <c r="B3358" s="2" t="s">
        <v>60</v>
      </c>
      <c r="C3358" s="2" t="s">
        <v>32400</v>
      </c>
      <c r="D3358" s="2" t="s">
        <v>32401</v>
      </c>
      <c r="E3358" s="2" t="s">
        <v>32402</v>
      </c>
      <c r="G3358" s="3" t="s">
        <v>62</v>
      </c>
      <c r="I3358" s="3" t="s">
        <v>62</v>
      </c>
      <c r="J3358" s="3" t="s">
        <v>62</v>
      </c>
      <c r="K3358" s="3" t="s">
        <v>63</v>
      </c>
      <c r="L3358" s="2" t="s">
        <v>32403</v>
      </c>
      <c r="M3358" s="2" t="s">
        <v>15024</v>
      </c>
      <c r="N3358" s="3" t="s">
        <v>1465</v>
      </c>
      <c r="P3358" s="3" t="s">
        <v>65</v>
      </c>
      <c r="R3358" s="3" t="s">
        <v>66</v>
      </c>
      <c r="S3358" s="4">
        <v>7</v>
      </c>
      <c r="T3358" s="4">
        <v>7</v>
      </c>
      <c r="U3358" s="5" t="s">
        <v>8125</v>
      </c>
      <c r="V3358" s="5" t="s">
        <v>8125</v>
      </c>
      <c r="W3358" s="5" t="s">
        <v>67</v>
      </c>
      <c r="X3358" s="5" t="s">
        <v>67</v>
      </c>
      <c r="Y3358" s="4">
        <v>137</v>
      </c>
      <c r="Z3358" s="4">
        <v>20</v>
      </c>
      <c r="AA3358" s="4">
        <v>27</v>
      </c>
      <c r="AB3358" s="4">
        <v>2</v>
      </c>
      <c r="AC3358" s="4">
        <v>4</v>
      </c>
      <c r="AD3358" s="4">
        <v>44</v>
      </c>
      <c r="AE3358" s="4">
        <v>60</v>
      </c>
      <c r="AF3358" s="4">
        <v>1</v>
      </c>
      <c r="AG3358" s="4">
        <v>3</v>
      </c>
      <c r="AH3358" s="4">
        <v>36</v>
      </c>
      <c r="AI3358" s="4">
        <v>47</v>
      </c>
      <c r="AJ3358" s="4">
        <v>7</v>
      </c>
      <c r="AK3358" s="4">
        <v>11</v>
      </c>
      <c r="AL3358" s="4">
        <v>20</v>
      </c>
      <c r="AM3358" s="4">
        <v>27</v>
      </c>
      <c r="AN3358" s="4">
        <v>0</v>
      </c>
      <c r="AO3358" s="4">
        <v>0</v>
      </c>
      <c r="AP3358" s="4">
        <v>13</v>
      </c>
      <c r="AQ3358" s="4">
        <v>18</v>
      </c>
      <c r="AR3358" s="3" t="s">
        <v>62</v>
      </c>
      <c r="AS3358" s="3" t="s">
        <v>62</v>
      </c>
      <c r="AT3358" s="3" t="s">
        <v>62</v>
      </c>
      <c r="AV3358" s="6" t="str">
        <f>HYPERLINK("http://mcgill.on.worldcat.org/oclc/236334384","Catalog Record")</f>
        <v>Catalog Record</v>
      </c>
      <c r="AW3358" s="6" t="str">
        <f>HYPERLINK("http://www.worldcat.org/oclc/236334384","WorldCat Record")</f>
        <v>WorldCat Record</v>
      </c>
      <c r="AX3358" s="3" t="s">
        <v>32404</v>
      </c>
      <c r="AY3358" s="3" t="s">
        <v>32405</v>
      </c>
      <c r="AZ3358" s="3" t="s">
        <v>32406</v>
      </c>
      <c r="BA3358" s="3" t="s">
        <v>32406</v>
      </c>
      <c r="BB3358" s="3" t="s">
        <v>32407</v>
      </c>
      <c r="BC3358" s="3" t="s">
        <v>142</v>
      </c>
      <c r="BD3358" s="3" t="s">
        <v>68</v>
      </c>
      <c r="BE3358" s="3" t="s">
        <v>32408</v>
      </c>
      <c r="BF3358" s="3" t="s">
        <v>32407</v>
      </c>
      <c r="BG3358" s="3" t="s">
        <v>32409</v>
      </c>
    </row>
    <row r="3359" spans="1:59" ht="57" x14ac:dyDescent="0.45">
      <c r="A3359" s="2" t="s">
        <v>59</v>
      </c>
      <c r="B3359" s="2" t="s">
        <v>60</v>
      </c>
      <c r="C3359" s="2" t="s">
        <v>32410</v>
      </c>
      <c r="D3359" s="2" t="s">
        <v>32411</v>
      </c>
      <c r="E3359" s="2" t="s">
        <v>32412</v>
      </c>
      <c r="G3359" s="3" t="s">
        <v>62</v>
      </c>
      <c r="I3359" s="3" t="s">
        <v>62</v>
      </c>
      <c r="J3359" s="3" t="s">
        <v>62</v>
      </c>
      <c r="K3359" s="3" t="s">
        <v>63</v>
      </c>
      <c r="L3359" s="2" t="s">
        <v>32413</v>
      </c>
      <c r="M3359" s="2" t="s">
        <v>32414</v>
      </c>
      <c r="N3359" s="3" t="s">
        <v>894</v>
      </c>
      <c r="P3359" s="3" t="s">
        <v>65</v>
      </c>
      <c r="R3359" s="3" t="s">
        <v>66</v>
      </c>
      <c r="S3359" s="4">
        <v>0</v>
      </c>
      <c r="T3359" s="4">
        <v>0</v>
      </c>
      <c r="W3359" s="5" t="s">
        <v>67</v>
      </c>
      <c r="X3359" s="5" t="s">
        <v>67</v>
      </c>
      <c r="Y3359" s="4">
        <v>253</v>
      </c>
      <c r="Z3359" s="4">
        <v>24</v>
      </c>
      <c r="AA3359" s="4">
        <v>30</v>
      </c>
      <c r="AB3359" s="4">
        <v>2</v>
      </c>
      <c r="AC3359" s="4">
        <v>6</v>
      </c>
      <c r="AD3359" s="4">
        <v>56</v>
      </c>
      <c r="AE3359" s="4">
        <v>59</v>
      </c>
      <c r="AF3359" s="4">
        <v>0</v>
      </c>
      <c r="AG3359" s="4">
        <v>1</v>
      </c>
      <c r="AH3359" s="4">
        <v>51</v>
      </c>
      <c r="AI3359" s="4">
        <v>52</v>
      </c>
      <c r="AJ3359" s="4">
        <v>10</v>
      </c>
      <c r="AK3359" s="4">
        <v>11</v>
      </c>
      <c r="AL3359" s="4">
        <v>27</v>
      </c>
      <c r="AM3359" s="4">
        <v>28</v>
      </c>
      <c r="AN3359" s="4">
        <v>0</v>
      </c>
      <c r="AO3359" s="4">
        <v>0</v>
      </c>
      <c r="AP3359" s="4">
        <v>11</v>
      </c>
      <c r="AQ3359" s="4">
        <v>12</v>
      </c>
      <c r="AR3359" s="3" t="s">
        <v>62</v>
      </c>
      <c r="AS3359" s="3" t="s">
        <v>62</v>
      </c>
      <c r="AT3359" s="3" t="s">
        <v>62</v>
      </c>
      <c r="AV3359" s="6" t="str">
        <f>HYPERLINK("http://mcgill.on.worldcat.org/oclc/701810687","Catalog Record")</f>
        <v>Catalog Record</v>
      </c>
      <c r="AW3359" s="6" t="str">
        <f>HYPERLINK("http://www.worldcat.org/oclc/701810687","WorldCat Record")</f>
        <v>WorldCat Record</v>
      </c>
      <c r="AX3359" s="3" t="s">
        <v>32415</v>
      </c>
      <c r="AY3359" s="3" t="s">
        <v>32416</v>
      </c>
      <c r="AZ3359" s="3" t="s">
        <v>32417</v>
      </c>
      <c r="BA3359" s="3" t="s">
        <v>32417</v>
      </c>
      <c r="BB3359" s="3" t="s">
        <v>32418</v>
      </c>
      <c r="BC3359" s="3" t="s">
        <v>142</v>
      </c>
      <c r="BD3359" s="3" t="s">
        <v>68</v>
      </c>
      <c r="BE3359" s="3" t="s">
        <v>32419</v>
      </c>
      <c r="BF3359" s="3" t="s">
        <v>32418</v>
      </c>
      <c r="BG3359" s="3" t="s">
        <v>32420</v>
      </c>
    </row>
    <row r="3360" spans="1:59" ht="57" x14ac:dyDescent="0.45">
      <c r="A3360" s="2" t="s">
        <v>59</v>
      </c>
      <c r="B3360" s="2" t="s">
        <v>60</v>
      </c>
      <c r="C3360" s="2" t="s">
        <v>32421</v>
      </c>
      <c r="D3360" s="2" t="s">
        <v>32422</v>
      </c>
      <c r="E3360" s="2" t="s">
        <v>32423</v>
      </c>
      <c r="G3360" s="3" t="s">
        <v>62</v>
      </c>
      <c r="I3360" s="3" t="s">
        <v>61</v>
      </c>
      <c r="J3360" s="3" t="s">
        <v>61</v>
      </c>
      <c r="K3360" s="3" t="s">
        <v>63</v>
      </c>
      <c r="L3360" s="2" t="s">
        <v>651</v>
      </c>
      <c r="M3360" s="2" t="s">
        <v>32424</v>
      </c>
      <c r="N3360" s="3" t="s">
        <v>1855</v>
      </c>
      <c r="P3360" s="3" t="s">
        <v>65</v>
      </c>
      <c r="Q3360" s="2" t="s">
        <v>32425</v>
      </c>
      <c r="R3360" s="3" t="s">
        <v>66</v>
      </c>
      <c r="S3360" s="4">
        <v>9</v>
      </c>
      <c r="T3360" s="4">
        <v>13</v>
      </c>
      <c r="U3360" s="5" t="s">
        <v>18025</v>
      </c>
      <c r="V3360" s="5" t="s">
        <v>32426</v>
      </c>
      <c r="W3360" s="5" t="s">
        <v>67</v>
      </c>
      <c r="X3360" s="5" t="s">
        <v>67</v>
      </c>
      <c r="Y3360" s="4">
        <v>156</v>
      </c>
      <c r="Z3360" s="4">
        <v>17</v>
      </c>
      <c r="AA3360" s="4">
        <v>74</v>
      </c>
      <c r="AB3360" s="4">
        <v>2</v>
      </c>
      <c r="AC3360" s="4">
        <v>10</v>
      </c>
      <c r="AD3360" s="4">
        <v>36</v>
      </c>
      <c r="AE3360" s="4">
        <v>152</v>
      </c>
      <c r="AF3360" s="4">
        <v>0</v>
      </c>
      <c r="AG3360" s="4">
        <v>6</v>
      </c>
      <c r="AH3360" s="4">
        <v>30</v>
      </c>
      <c r="AI3360" s="4">
        <v>110</v>
      </c>
      <c r="AJ3360" s="4">
        <v>6</v>
      </c>
      <c r="AK3360" s="4">
        <v>27</v>
      </c>
      <c r="AL3360" s="4">
        <v>18</v>
      </c>
      <c r="AM3360" s="4">
        <v>59</v>
      </c>
      <c r="AN3360" s="4">
        <v>0</v>
      </c>
      <c r="AO3360" s="4">
        <v>0</v>
      </c>
      <c r="AP3360" s="4">
        <v>12</v>
      </c>
      <c r="AQ3360" s="4">
        <v>49</v>
      </c>
      <c r="AR3360" s="3" t="s">
        <v>62</v>
      </c>
      <c r="AS3360" s="3" t="s">
        <v>62</v>
      </c>
      <c r="AT3360" s="3" t="s">
        <v>62</v>
      </c>
      <c r="AV3360" s="6" t="str">
        <f>HYPERLINK("http://mcgill.on.worldcat.org/oclc/56793622","Catalog Record")</f>
        <v>Catalog Record</v>
      </c>
      <c r="AW3360" s="6" t="str">
        <f>HYPERLINK("http://www.worldcat.org/oclc/56793622","WorldCat Record")</f>
        <v>WorldCat Record</v>
      </c>
      <c r="AX3360" s="3" t="s">
        <v>32427</v>
      </c>
      <c r="AY3360" s="3" t="s">
        <v>32428</v>
      </c>
      <c r="AZ3360" s="3" t="s">
        <v>32429</v>
      </c>
      <c r="BA3360" s="3" t="s">
        <v>32429</v>
      </c>
      <c r="BB3360" s="3" t="s">
        <v>32430</v>
      </c>
      <c r="BC3360" s="3" t="s">
        <v>142</v>
      </c>
      <c r="BD3360" s="3" t="s">
        <v>68</v>
      </c>
      <c r="BE3360" s="3" t="s">
        <v>32431</v>
      </c>
      <c r="BF3360" s="3" t="s">
        <v>32430</v>
      </c>
      <c r="BG3360" s="3" t="s">
        <v>32432</v>
      </c>
    </row>
    <row r="3361" spans="1:59" ht="57" x14ac:dyDescent="0.45">
      <c r="A3361" s="2" t="s">
        <v>59</v>
      </c>
      <c r="B3361" s="2" t="s">
        <v>60</v>
      </c>
      <c r="C3361" s="2" t="s">
        <v>32421</v>
      </c>
      <c r="D3361" s="2" t="s">
        <v>32422</v>
      </c>
      <c r="E3361" s="2" t="s">
        <v>32423</v>
      </c>
      <c r="G3361" s="3" t="s">
        <v>62</v>
      </c>
      <c r="I3361" s="3" t="s">
        <v>61</v>
      </c>
      <c r="J3361" s="3" t="s">
        <v>61</v>
      </c>
      <c r="K3361" s="3" t="s">
        <v>63</v>
      </c>
      <c r="L3361" s="2" t="s">
        <v>651</v>
      </c>
      <c r="M3361" s="2" t="s">
        <v>32424</v>
      </c>
      <c r="N3361" s="3" t="s">
        <v>1855</v>
      </c>
      <c r="P3361" s="3" t="s">
        <v>65</v>
      </c>
      <c r="Q3361" s="2" t="s">
        <v>32425</v>
      </c>
      <c r="R3361" s="3" t="s">
        <v>66</v>
      </c>
      <c r="S3361" s="4">
        <v>4</v>
      </c>
      <c r="T3361" s="4">
        <v>13</v>
      </c>
      <c r="U3361" s="5" t="s">
        <v>32426</v>
      </c>
      <c r="V3361" s="5" t="s">
        <v>32426</v>
      </c>
      <c r="W3361" s="5" t="s">
        <v>67</v>
      </c>
      <c r="X3361" s="5" t="s">
        <v>67</v>
      </c>
      <c r="Y3361" s="4">
        <v>156</v>
      </c>
      <c r="Z3361" s="4">
        <v>17</v>
      </c>
      <c r="AA3361" s="4">
        <v>74</v>
      </c>
      <c r="AB3361" s="4">
        <v>2</v>
      </c>
      <c r="AC3361" s="4">
        <v>10</v>
      </c>
      <c r="AD3361" s="4">
        <v>36</v>
      </c>
      <c r="AE3361" s="4">
        <v>152</v>
      </c>
      <c r="AF3361" s="4">
        <v>0</v>
      </c>
      <c r="AG3361" s="4">
        <v>6</v>
      </c>
      <c r="AH3361" s="4">
        <v>30</v>
      </c>
      <c r="AI3361" s="4">
        <v>110</v>
      </c>
      <c r="AJ3361" s="4">
        <v>6</v>
      </c>
      <c r="AK3361" s="4">
        <v>27</v>
      </c>
      <c r="AL3361" s="4">
        <v>18</v>
      </c>
      <c r="AM3361" s="4">
        <v>59</v>
      </c>
      <c r="AN3361" s="4">
        <v>0</v>
      </c>
      <c r="AO3361" s="4">
        <v>0</v>
      </c>
      <c r="AP3361" s="4">
        <v>12</v>
      </c>
      <c r="AQ3361" s="4">
        <v>49</v>
      </c>
      <c r="AR3361" s="3" t="s">
        <v>62</v>
      </c>
      <c r="AS3361" s="3" t="s">
        <v>62</v>
      </c>
      <c r="AT3361" s="3" t="s">
        <v>62</v>
      </c>
      <c r="AV3361" s="6" t="str">
        <f>HYPERLINK("http://mcgill.on.worldcat.org/oclc/56793622","Catalog Record")</f>
        <v>Catalog Record</v>
      </c>
      <c r="AW3361" s="6" t="str">
        <f>HYPERLINK("http://www.worldcat.org/oclc/56793622","WorldCat Record")</f>
        <v>WorldCat Record</v>
      </c>
      <c r="AX3361" s="3" t="s">
        <v>32427</v>
      </c>
      <c r="AY3361" s="3" t="s">
        <v>32428</v>
      </c>
      <c r="AZ3361" s="3" t="s">
        <v>32429</v>
      </c>
      <c r="BA3361" s="3" t="s">
        <v>32429</v>
      </c>
      <c r="BB3361" s="3" t="s">
        <v>32433</v>
      </c>
      <c r="BC3361" s="3" t="s">
        <v>142</v>
      </c>
      <c r="BD3361" s="3" t="s">
        <v>68</v>
      </c>
      <c r="BE3361" s="3" t="s">
        <v>32431</v>
      </c>
      <c r="BF3361" s="3" t="s">
        <v>32433</v>
      </c>
      <c r="BG3361" s="3" t="s">
        <v>32434</v>
      </c>
    </row>
    <row r="3362" spans="1:59" ht="57" x14ac:dyDescent="0.45">
      <c r="A3362" s="2" t="s">
        <v>59</v>
      </c>
      <c r="B3362" s="2" t="s">
        <v>60</v>
      </c>
      <c r="C3362" s="2" t="s">
        <v>32435</v>
      </c>
      <c r="D3362" s="2" t="s">
        <v>32436</v>
      </c>
      <c r="E3362" s="2" t="s">
        <v>32437</v>
      </c>
      <c r="F3362" s="3" t="s">
        <v>32438</v>
      </c>
      <c r="G3362" s="3" t="s">
        <v>62</v>
      </c>
      <c r="I3362" s="3" t="s">
        <v>62</v>
      </c>
      <c r="J3362" s="3" t="s">
        <v>62</v>
      </c>
      <c r="K3362" s="3" t="s">
        <v>63</v>
      </c>
      <c r="L3362" s="2" t="s">
        <v>904</v>
      </c>
      <c r="M3362" s="2" t="s">
        <v>32439</v>
      </c>
      <c r="N3362" s="3" t="s">
        <v>1465</v>
      </c>
      <c r="P3362" s="3" t="s">
        <v>65</v>
      </c>
      <c r="R3362" s="3" t="s">
        <v>66</v>
      </c>
      <c r="S3362" s="4">
        <v>2</v>
      </c>
      <c r="T3362" s="4">
        <v>2</v>
      </c>
      <c r="U3362" s="5" t="s">
        <v>22961</v>
      </c>
      <c r="V3362" s="5" t="s">
        <v>22961</v>
      </c>
      <c r="W3362" s="5" t="s">
        <v>67</v>
      </c>
      <c r="X3362" s="5" t="s">
        <v>67</v>
      </c>
      <c r="Y3362" s="4">
        <v>108</v>
      </c>
      <c r="Z3362" s="4">
        <v>4</v>
      </c>
      <c r="AA3362" s="4">
        <v>4</v>
      </c>
      <c r="AB3362" s="4">
        <v>1</v>
      </c>
      <c r="AC3362" s="4">
        <v>1</v>
      </c>
      <c r="AD3362" s="4">
        <v>19</v>
      </c>
      <c r="AE3362" s="4">
        <v>19</v>
      </c>
      <c r="AF3362" s="4">
        <v>0</v>
      </c>
      <c r="AG3362" s="4">
        <v>0</v>
      </c>
      <c r="AH3362" s="4">
        <v>18</v>
      </c>
      <c r="AI3362" s="4">
        <v>18</v>
      </c>
      <c r="AJ3362" s="4">
        <v>3</v>
      </c>
      <c r="AK3362" s="4">
        <v>3</v>
      </c>
      <c r="AL3362" s="4">
        <v>12</v>
      </c>
      <c r="AM3362" s="4">
        <v>12</v>
      </c>
      <c r="AN3362" s="4">
        <v>0</v>
      </c>
      <c r="AO3362" s="4">
        <v>0</v>
      </c>
      <c r="AP3362" s="4">
        <v>3</v>
      </c>
      <c r="AQ3362" s="4">
        <v>3</v>
      </c>
      <c r="AR3362" s="3" t="s">
        <v>62</v>
      </c>
      <c r="AS3362" s="3" t="s">
        <v>62</v>
      </c>
      <c r="AT3362" s="3" t="s">
        <v>62</v>
      </c>
      <c r="AV3362" s="6" t="str">
        <f>HYPERLINK("http://mcgill.on.worldcat.org/oclc/261177511","Catalog Record")</f>
        <v>Catalog Record</v>
      </c>
      <c r="AW3362" s="6" t="str">
        <f>HYPERLINK("http://www.worldcat.org/oclc/261177511","WorldCat Record")</f>
        <v>WorldCat Record</v>
      </c>
      <c r="AX3362" s="3" t="s">
        <v>32440</v>
      </c>
      <c r="AY3362" s="3" t="s">
        <v>32441</v>
      </c>
      <c r="AZ3362" s="3" t="s">
        <v>32442</v>
      </c>
      <c r="BA3362" s="3" t="s">
        <v>32442</v>
      </c>
      <c r="BB3362" s="3" t="s">
        <v>32443</v>
      </c>
      <c r="BC3362" s="3" t="s">
        <v>32444</v>
      </c>
      <c r="BD3362" s="3" t="s">
        <v>68</v>
      </c>
      <c r="BE3362" s="3" t="s">
        <v>32445</v>
      </c>
      <c r="BF3362" s="3" t="s">
        <v>32443</v>
      </c>
      <c r="BG3362" s="3" t="s">
        <v>32446</v>
      </c>
    </row>
    <row r="3363" spans="1:59" ht="57" x14ac:dyDescent="0.45">
      <c r="A3363" s="2" t="s">
        <v>59</v>
      </c>
      <c r="B3363" s="2" t="s">
        <v>60</v>
      </c>
      <c r="C3363" s="2" t="s">
        <v>32447</v>
      </c>
      <c r="D3363" s="2" t="s">
        <v>32448</v>
      </c>
      <c r="E3363" s="2" t="s">
        <v>32449</v>
      </c>
      <c r="G3363" s="3" t="s">
        <v>62</v>
      </c>
      <c r="I3363" s="3" t="s">
        <v>61</v>
      </c>
      <c r="J3363" s="3" t="s">
        <v>61</v>
      </c>
      <c r="K3363" s="3" t="s">
        <v>63</v>
      </c>
      <c r="L3363" s="2" t="s">
        <v>904</v>
      </c>
      <c r="M3363" s="2" t="s">
        <v>9121</v>
      </c>
      <c r="N3363" s="3" t="s">
        <v>542</v>
      </c>
      <c r="P3363" s="3" t="s">
        <v>65</v>
      </c>
      <c r="R3363" s="3" t="s">
        <v>66</v>
      </c>
      <c r="S3363" s="4">
        <v>5</v>
      </c>
      <c r="T3363" s="4">
        <v>21</v>
      </c>
      <c r="U3363" s="5" t="s">
        <v>3758</v>
      </c>
      <c r="V3363" s="5" t="s">
        <v>3758</v>
      </c>
      <c r="W3363" s="5" t="s">
        <v>67</v>
      </c>
      <c r="X3363" s="5" t="s">
        <v>67</v>
      </c>
      <c r="Y3363" s="4">
        <v>1063</v>
      </c>
      <c r="Z3363" s="4">
        <v>59</v>
      </c>
      <c r="AA3363" s="4">
        <v>146</v>
      </c>
      <c r="AB3363" s="4">
        <v>5</v>
      </c>
      <c r="AC3363" s="4">
        <v>23</v>
      </c>
      <c r="AD3363" s="4">
        <v>132</v>
      </c>
      <c r="AE3363" s="4">
        <v>165</v>
      </c>
      <c r="AF3363" s="4">
        <v>2</v>
      </c>
      <c r="AG3363" s="4">
        <v>9</v>
      </c>
      <c r="AH3363" s="4">
        <v>105</v>
      </c>
      <c r="AI3363" s="4">
        <v>115</v>
      </c>
      <c r="AJ3363" s="4">
        <v>19</v>
      </c>
      <c r="AK3363" s="4">
        <v>28</v>
      </c>
      <c r="AL3363" s="4">
        <v>58</v>
      </c>
      <c r="AM3363" s="4">
        <v>60</v>
      </c>
      <c r="AN3363" s="4">
        <v>0</v>
      </c>
      <c r="AO3363" s="4">
        <v>0</v>
      </c>
      <c r="AP3363" s="4">
        <v>34</v>
      </c>
      <c r="AQ3363" s="4">
        <v>59</v>
      </c>
      <c r="AR3363" s="3" t="s">
        <v>62</v>
      </c>
      <c r="AS3363" s="3" t="s">
        <v>62</v>
      </c>
      <c r="AT3363" s="3" t="s">
        <v>62</v>
      </c>
      <c r="AV3363" s="6" t="str">
        <f>HYPERLINK("http://mcgill.on.worldcat.org/oclc/46565154","Catalog Record")</f>
        <v>Catalog Record</v>
      </c>
      <c r="AW3363" s="6" t="str">
        <f>HYPERLINK("http://www.worldcat.org/oclc/46565154","WorldCat Record")</f>
        <v>WorldCat Record</v>
      </c>
      <c r="AX3363" s="3" t="s">
        <v>28253</v>
      </c>
      <c r="AY3363" s="3" t="s">
        <v>32450</v>
      </c>
      <c r="AZ3363" s="3" t="s">
        <v>32451</v>
      </c>
      <c r="BA3363" s="3" t="s">
        <v>32451</v>
      </c>
      <c r="BB3363" s="3" t="s">
        <v>32452</v>
      </c>
      <c r="BC3363" s="3" t="s">
        <v>142</v>
      </c>
      <c r="BD3363" s="3" t="s">
        <v>68</v>
      </c>
      <c r="BE3363" s="3" t="s">
        <v>32453</v>
      </c>
      <c r="BF3363" s="3" t="s">
        <v>32452</v>
      </c>
      <c r="BG3363" s="3" t="s">
        <v>32454</v>
      </c>
    </row>
    <row r="3364" spans="1:59" ht="57" x14ac:dyDescent="0.45">
      <c r="A3364" s="2" t="s">
        <v>59</v>
      </c>
      <c r="B3364" s="2" t="s">
        <v>60</v>
      </c>
      <c r="C3364" s="2" t="s">
        <v>32447</v>
      </c>
      <c r="D3364" s="2" t="s">
        <v>32448</v>
      </c>
      <c r="E3364" s="2" t="s">
        <v>32449</v>
      </c>
      <c r="G3364" s="3" t="s">
        <v>62</v>
      </c>
      <c r="I3364" s="3" t="s">
        <v>61</v>
      </c>
      <c r="J3364" s="3" t="s">
        <v>61</v>
      </c>
      <c r="K3364" s="3" t="s">
        <v>63</v>
      </c>
      <c r="L3364" s="2" t="s">
        <v>904</v>
      </c>
      <c r="M3364" s="2" t="s">
        <v>9121</v>
      </c>
      <c r="N3364" s="3" t="s">
        <v>542</v>
      </c>
      <c r="P3364" s="3" t="s">
        <v>65</v>
      </c>
      <c r="R3364" s="3" t="s">
        <v>66</v>
      </c>
      <c r="S3364" s="4">
        <v>16</v>
      </c>
      <c r="T3364" s="4">
        <v>21</v>
      </c>
      <c r="U3364" s="5" t="s">
        <v>32455</v>
      </c>
      <c r="V3364" s="5" t="s">
        <v>3758</v>
      </c>
      <c r="W3364" s="5" t="s">
        <v>67</v>
      </c>
      <c r="X3364" s="5" t="s">
        <v>67</v>
      </c>
      <c r="Y3364" s="4">
        <v>1063</v>
      </c>
      <c r="Z3364" s="4">
        <v>59</v>
      </c>
      <c r="AA3364" s="4">
        <v>146</v>
      </c>
      <c r="AB3364" s="4">
        <v>5</v>
      </c>
      <c r="AC3364" s="4">
        <v>23</v>
      </c>
      <c r="AD3364" s="4">
        <v>132</v>
      </c>
      <c r="AE3364" s="4">
        <v>165</v>
      </c>
      <c r="AF3364" s="4">
        <v>2</v>
      </c>
      <c r="AG3364" s="4">
        <v>9</v>
      </c>
      <c r="AH3364" s="4">
        <v>105</v>
      </c>
      <c r="AI3364" s="4">
        <v>115</v>
      </c>
      <c r="AJ3364" s="4">
        <v>19</v>
      </c>
      <c r="AK3364" s="4">
        <v>28</v>
      </c>
      <c r="AL3364" s="4">
        <v>58</v>
      </c>
      <c r="AM3364" s="4">
        <v>60</v>
      </c>
      <c r="AN3364" s="4">
        <v>0</v>
      </c>
      <c r="AO3364" s="4">
        <v>0</v>
      </c>
      <c r="AP3364" s="4">
        <v>34</v>
      </c>
      <c r="AQ3364" s="4">
        <v>59</v>
      </c>
      <c r="AR3364" s="3" t="s">
        <v>62</v>
      </c>
      <c r="AS3364" s="3" t="s">
        <v>62</v>
      </c>
      <c r="AT3364" s="3" t="s">
        <v>62</v>
      </c>
      <c r="AV3364" s="6" t="str">
        <f>HYPERLINK("http://mcgill.on.worldcat.org/oclc/46565154","Catalog Record")</f>
        <v>Catalog Record</v>
      </c>
      <c r="AW3364" s="6" t="str">
        <f>HYPERLINK("http://www.worldcat.org/oclc/46565154","WorldCat Record")</f>
        <v>WorldCat Record</v>
      </c>
      <c r="AX3364" s="3" t="s">
        <v>28253</v>
      </c>
      <c r="AY3364" s="3" t="s">
        <v>32450</v>
      </c>
      <c r="AZ3364" s="3" t="s">
        <v>32451</v>
      </c>
      <c r="BA3364" s="3" t="s">
        <v>32451</v>
      </c>
      <c r="BB3364" s="3" t="s">
        <v>32456</v>
      </c>
      <c r="BC3364" s="3" t="s">
        <v>142</v>
      </c>
      <c r="BD3364" s="3" t="s">
        <v>68</v>
      </c>
      <c r="BE3364" s="3" t="s">
        <v>32453</v>
      </c>
      <c r="BF3364" s="3" t="s">
        <v>32456</v>
      </c>
      <c r="BG3364" s="3" t="s">
        <v>32457</v>
      </c>
    </row>
    <row r="3365" spans="1:59" ht="57" x14ac:dyDescent="0.45">
      <c r="A3365" s="2" t="s">
        <v>59</v>
      </c>
      <c r="B3365" s="2" t="s">
        <v>60</v>
      </c>
      <c r="C3365" s="2" t="s">
        <v>32458</v>
      </c>
      <c r="D3365" s="2" t="s">
        <v>32459</v>
      </c>
      <c r="E3365" s="2" t="s">
        <v>32460</v>
      </c>
      <c r="G3365" s="3" t="s">
        <v>62</v>
      </c>
      <c r="I3365" s="3" t="s">
        <v>62</v>
      </c>
      <c r="J3365" s="3" t="s">
        <v>62</v>
      </c>
      <c r="K3365" s="3" t="s">
        <v>63</v>
      </c>
      <c r="L3365" s="2" t="s">
        <v>904</v>
      </c>
      <c r="M3365" s="2" t="s">
        <v>32461</v>
      </c>
      <c r="N3365" s="3" t="s">
        <v>1097</v>
      </c>
      <c r="P3365" s="3" t="s">
        <v>65</v>
      </c>
      <c r="Q3365" s="2" t="s">
        <v>32462</v>
      </c>
      <c r="R3365" s="3" t="s">
        <v>66</v>
      </c>
      <c r="S3365" s="4">
        <v>18</v>
      </c>
      <c r="T3365" s="4">
        <v>18</v>
      </c>
      <c r="U3365" s="5" t="s">
        <v>5455</v>
      </c>
      <c r="V3365" s="5" t="s">
        <v>5455</v>
      </c>
      <c r="W3365" s="5" t="s">
        <v>67</v>
      </c>
      <c r="X3365" s="5" t="s">
        <v>67</v>
      </c>
      <c r="Y3365" s="4">
        <v>335</v>
      </c>
      <c r="Z3365" s="4">
        <v>22</v>
      </c>
      <c r="AA3365" s="4">
        <v>25</v>
      </c>
      <c r="AB3365" s="4">
        <v>2</v>
      </c>
      <c r="AC3365" s="4">
        <v>5</v>
      </c>
      <c r="AD3365" s="4">
        <v>92</v>
      </c>
      <c r="AE3365" s="4">
        <v>93</v>
      </c>
      <c r="AF3365" s="4">
        <v>1</v>
      </c>
      <c r="AG3365" s="4">
        <v>2</v>
      </c>
      <c r="AH3365" s="4">
        <v>83</v>
      </c>
      <c r="AI3365" s="4">
        <v>84</v>
      </c>
      <c r="AJ3365" s="4">
        <v>14</v>
      </c>
      <c r="AK3365" s="4">
        <v>15</v>
      </c>
      <c r="AL3365" s="4">
        <v>46</v>
      </c>
      <c r="AM3365" s="4">
        <v>46</v>
      </c>
      <c r="AN3365" s="4">
        <v>0</v>
      </c>
      <c r="AO3365" s="4">
        <v>0</v>
      </c>
      <c r="AP3365" s="4">
        <v>16</v>
      </c>
      <c r="AQ3365" s="4">
        <v>17</v>
      </c>
      <c r="AR3365" s="3" t="s">
        <v>62</v>
      </c>
      <c r="AS3365" s="3" t="s">
        <v>62</v>
      </c>
      <c r="AT3365" s="3" t="s">
        <v>62</v>
      </c>
      <c r="AV3365" s="6" t="str">
        <f>HYPERLINK("http://mcgill.on.worldcat.org/oclc/52845709","Catalog Record")</f>
        <v>Catalog Record</v>
      </c>
      <c r="AW3365" s="6" t="str">
        <f>HYPERLINK("http://www.worldcat.org/oclc/52845709","WorldCat Record")</f>
        <v>WorldCat Record</v>
      </c>
      <c r="AX3365" s="3" t="s">
        <v>32463</v>
      </c>
      <c r="AY3365" s="3" t="s">
        <v>32464</v>
      </c>
      <c r="AZ3365" s="3" t="s">
        <v>32465</v>
      </c>
      <c r="BA3365" s="3" t="s">
        <v>32465</v>
      </c>
      <c r="BB3365" s="3" t="s">
        <v>32466</v>
      </c>
      <c r="BC3365" s="3" t="s">
        <v>142</v>
      </c>
      <c r="BD3365" s="3" t="s">
        <v>68</v>
      </c>
      <c r="BE3365" s="3" t="s">
        <v>32467</v>
      </c>
      <c r="BF3365" s="3" t="s">
        <v>32466</v>
      </c>
      <c r="BG3365" s="3" t="s">
        <v>32468</v>
      </c>
    </row>
    <row r="3366" spans="1:59" ht="57" x14ac:dyDescent="0.45">
      <c r="A3366" s="2" t="s">
        <v>59</v>
      </c>
      <c r="B3366" s="2" t="s">
        <v>60</v>
      </c>
      <c r="C3366" s="2" t="s">
        <v>32469</v>
      </c>
      <c r="D3366" s="2" t="s">
        <v>32470</v>
      </c>
      <c r="E3366" s="2" t="s">
        <v>32471</v>
      </c>
      <c r="G3366" s="3" t="s">
        <v>62</v>
      </c>
      <c r="H3366" s="3" t="s">
        <v>3960</v>
      </c>
      <c r="I3366" s="3" t="s">
        <v>62</v>
      </c>
      <c r="J3366" s="3" t="s">
        <v>62</v>
      </c>
      <c r="K3366" s="3" t="s">
        <v>63</v>
      </c>
      <c r="L3366" s="2" t="s">
        <v>32472</v>
      </c>
      <c r="M3366" s="2" t="s">
        <v>32473</v>
      </c>
      <c r="N3366" s="3" t="s">
        <v>19337</v>
      </c>
      <c r="P3366" s="3" t="s">
        <v>65</v>
      </c>
      <c r="R3366" s="3" t="s">
        <v>66</v>
      </c>
      <c r="S3366" s="4">
        <v>0</v>
      </c>
      <c r="T3366" s="4">
        <v>0</v>
      </c>
      <c r="W3366" s="5" t="s">
        <v>32474</v>
      </c>
      <c r="X3366" s="5" t="s">
        <v>32474</v>
      </c>
      <c r="Y3366" s="4">
        <v>42</v>
      </c>
      <c r="Z3366" s="4">
        <v>4</v>
      </c>
      <c r="AA3366" s="4">
        <v>9</v>
      </c>
      <c r="AB3366" s="4">
        <v>1</v>
      </c>
      <c r="AC3366" s="4">
        <v>4</v>
      </c>
      <c r="AD3366" s="4">
        <v>24</v>
      </c>
      <c r="AE3366" s="4">
        <v>27</v>
      </c>
      <c r="AF3366" s="4">
        <v>0</v>
      </c>
      <c r="AG3366" s="4">
        <v>0</v>
      </c>
      <c r="AH3366" s="4">
        <v>22</v>
      </c>
      <c r="AI3366" s="4">
        <v>25</v>
      </c>
      <c r="AJ3366" s="4">
        <v>3</v>
      </c>
      <c r="AK3366" s="4">
        <v>5</v>
      </c>
      <c r="AL3366" s="4">
        <v>16</v>
      </c>
      <c r="AM3366" s="4">
        <v>16</v>
      </c>
      <c r="AN3366" s="4">
        <v>0</v>
      </c>
      <c r="AO3366" s="4">
        <v>0</v>
      </c>
      <c r="AP3366" s="4">
        <v>3</v>
      </c>
      <c r="AQ3366" s="4">
        <v>5</v>
      </c>
      <c r="AR3366" s="3" t="s">
        <v>62</v>
      </c>
      <c r="AS3366" s="3" t="s">
        <v>62</v>
      </c>
      <c r="AT3366" s="3" t="s">
        <v>62</v>
      </c>
      <c r="AV3366" s="6" t="str">
        <f>HYPERLINK("http://mcgill.on.worldcat.org/oclc/1084687557","Catalog Record")</f>
        <v>Catalog Record</v>
      </c>
      <c r="AW3366" s="6" t="str">
        <f>HYPERLINK("http://www.worldcat.org/oclc/1084687557","WorldCat Record")</f>
        <v>WorldCat Record</v>
      </c>
      <c r="AX3366" s="3" t="s">
        <v>32475</v>
      </c>
      <c r="AY3366" s="3" t="s">
        <v>32476</v>
      </c>
      <c r="AZ3366" s="3" t="s">
        <v>32477</v>
      </c>
      <c r="BA3366" s="3" t="s">
        <v>32477</v>
      </c>
      <c r="BB3366" s="3" t="s">
        <v>32478</v>
      </c>
      <c r="BC3366" s="3" t="s">
        <v>142</v>
      </c>
      <c r="BD3366" s="3" t="s">
        <v>68</v>
      </c>
      <c r="BE3366" s="3" t="s">
        <v>32479</v>
      </c>
      <c r="BF3366" s="3" t="s">
        <v>32478</v>
      </c>
      <c r="BG3366" s="3" t="s">
        <v>32480</v>
      </c>
    </row>
    <row r="3367" spans="1:59" ht="57" x14ac:dyDescent="0.45">
      <c r="A3367" s="2" t="s">
        <v>59</v>
      </c>
      <c r="B3367" s="2" t="s">
        <v>60</v>
      </c>
      <c r="C3367" s="2" t="s">
        <v>32481</v>
      </c>
      <c r="D3367" s="2" t="s">
        <v>32482</v>
      </c>
      <c r="E3367" s="2" t="s">
        <v>32483</v>
      </c>
      <c r="G3367" s="3" t="s">
        <v>62</v>
      </c>
      <c r="I3367" s="3" t="s">
        <v>62</v>
      </c>
      <c r="J3367" s="3" t="s">
        <v>62</v>
      </c>
      <c r="K3367" s="3" t="s">
        <v>63</v>
      </c>
      <c r="M3367" s="2" t="s">
        <v>32484</v>
      </c>
      <c r="N3367" s="3" t="s">
        <v>181</v>
      </c>
      <c r="O3367" s="2" t="s">
        <v>1748</v>
      </c>
      <c r="P3367" s="3" t="s">
        <v>65</v>
      </c>
      <c r="R3367" s="3" t="s">
        <v>66</v>
      </c>
      <c r="S3367" s="4">
        <v>2</v>
      </c>
      <c r="T3367" s="4">
        <v>2</v>
      </c>
      <c r="W3367" s="5" t="s">
        <v>67</v>
      </c>
      <c r="X3367" s="5" t="s">
        <v>67</v>
      </c>
      <c r="Y3367" s="4">
        <v>90</v>
      </c>
      <c r="Z3367" s="4">
        <v>8</v>
      </c>
      <c r="AA3367" s="4">
        <v>19</v>
      </c>
      <c r="AB3367" s="4">
        <v>1</v>
      </c>
      <c r="AC3367" s="4">
        <v>5</v>
      </c>
      <c r="AD3367" s="4">
        <v>44</v>
      </c>
      <c r="AE3367" s="4">
        <v>61</v>
      </c>
      <c r="AF3367" s="4">
        <v>0</v>
      </c>
      <c r="AG3367" s="4">
        <v>1</v>
      </c>
      <c r="AH3367" s="4">
        <v>40</v>
      </c>
      <c r="AI3367" s="4">
        <v>53</v>
      </c>
      <c r="AJ3367" s="4">
        <v>6</v>
      </c>
      <c r="AK3367" s="4">
        <v>12</v>
      </c>
      <c r="AL3367" s="4">
        <v>30</v>
      </c>
      <c r="AM3367" s="4">
        <v>35</v>
      </c>
      <c r="AN3367" s="4">
        <v>0</v>
      </c>
      <c r="AO3367" s="4">
        <v>0</v>
      </c>
      <c r="AP3367" s="4">
        <v>6</v>
      </c>
      <c r="AQ3367" s="4">
        <v>14</v>
      </c>
      <c r="AR3367" s="3" t="s">
        <v>62</v>
      </c>
      <c r="AS3367" s="3" t="s">
        <v>62</v>
      </c>
      <c r="AT3367" s="3" t="s">
        <v>62</v>
      </c>
      <c r="AV3367" s="6" t="str">
        <f>HYPERLINK("http://mcgill.on.worldcat.org/oclc/926819872","Catalog Record")</f>
        <v>Catalog Record</v>
      </c>
      <c r="AW3367" s="6" t="str">
        <f>HYPERLINK("http://www.worldcat.org/oclc/926819872","WorldCat Record")</f>
        <v>WorldCat Record</v>
      </c>
      <c r="AX3367" s="3" t="s">
        <v>32485</v>
      </c>
      <c r="AY3367" s="3" t="s">
        <v>32486</v>
      </c>
      <c r="AZ3367" s="3" t="s">
        <v>32487</v>
      </c>
      <c r="BA3367" s="3" t="s">
        <v>32487</v>
      </c>
      <c r="BB3367" s="3" t="s">
        <v>32488</v>
      </c>
      <c r="BC3367" s="3" t="s">
        <v>142</v>
      </c>
      <c r="BD3367" s="3" t="s">
        <v>308</v>
      </c>
      <c r="BE3367" s="3" t="s">
        <v>32489</v>
      </c>
      <c r="BF3367" s="3" t="s">
        <v>32488</v>
      </c>
      <c r="BG3367" s="3" t="s">
        <v>32490</v>
      </c>
    </row>
    <row r="3368" spans="1:59" ht="57" x14ac:dyDescent="0.45">
      <c r="A3368" s="2" t="s">
        <v>59</v>
      </c>
      <c r="B3368" s="2" t="s">
        <v>60</v>
      </c>
      <c r="C3368" s="2" t="s">
        <v>32491</v>
      </c>
      <c r="D3368" s="2" t="s">
        <v>32492</v>
      </c>
      <c r="E3368" s="2" t="s">
        <v>32493</v>
      </c>
      <c r="G3368" s="3" t="s">
        <v>62</v>
      </c>
      <c r="I3368" s="3" t="s">
        <v>62</v>
      </c>
      <c r="J3368" s="3" t="s">
        <v>62</v>
      </c>
      <c r="K3368" s="3" t="s">
        <v>63</v>
      </c>
      <c r="L3368" s="2" t="s">
        <v>32494</v>
      </c>
      <c r="M3368" s="2" t="s">
        <v>32495</v>
      </c>
      <c r="N3368" s="3" t="s">
        <v>1059</v>
      </c>
      <c r="P3368" s="3" t="s">
        <v>110</v>
      </c>
      <c r="R3368" s="3" t="s">
        <v>66</v>
      </c>
      <c r="S3368" s="4">
        <v>12</v>
      </c>
      <c r="T3368" s="4">
        <v>12</v>
      </c>
      <c r="U3368" s="5" t="s">
        <v>1554</v>
      </c>
      <c r="V3368" s="5" t="s">
        <v>1554</v>
      </c>
      <c r="W3368" s="5" t="s">
        <v>67</v>
      </c>
      <c r="X3368" s="5" t="s">
        <v>67</v>
      </c>
      <c r="Y3368" s="4">
        <v>38</v>
      </c>
      <c r="Z3368" s="4">
        <v>6</v>
      </c>
      <c r="AA3368" s="4">
        <v>11</v>
      </c>
      <c r="AB3368" s="4">
        <v>1</v>
      </c>
      <c r="AC3368" s="4">
        <v>3</v>
      </c>
      <c r="AD3368" s="4">
        <v>19</v>
      </c>
      <c r="AE3368" s="4">
        <v>23</v>
      </c>
      <c r="AF3368" s="4">
        <v>0</v>
      </c>
      <c r="AG3368" s="4">
        <v>2</v>
      </c>
      <c r="AH3368" s="4">
        <v>16</v>
      </c>
      <c r="AI3368" s="4">
        <v>18</v>
      </c>
      <c r="AJ3368" s="4">
        <v>4</v>
      </c>
      <c r="AK3368" s="4">
        <v>7</v>
      </c>
      <c r="AL3368" s="4">
        <v>13</v>
      </c>
      <c r="AM3368" s="4">
        <v>13</v>
      </c>
      <c r="AN3368" s="4">
        <v>0</v>
      </c>
      <c r="AO3368" s="4">
        <v>0</v>
      </c>
      <c r="AP3368" s="4">
        <v>4</v>
      </c>
      <c r="AQ3368" s="4">
        <v>7</v>
      </c>
      <c r="AR3368" s="3" t="s">
        <v>62</v>
      </c>
      <c r="AS3368" s="3" t="s">
        <v>62</v>
      </c>
      <c r="AT3368" s="3" t="s">
        <v>62</v>
      </c>
      <c r="AV3368" s="6" t="str">
        <f>HYPERLINK("http://mcgill.on.worldcat.org/oclc/73801236","Catalog Record")</f>
        <v>Catalog Record</v>
      </c>
      <c r="AW3368" s="6" t="str">
        <f>HYPERLINK("http://www.worldcat.org/oclc/73801236","WorldCat Record")</f>
        <v>WorldCat Record</v>
      </c>
      <c r="AX3368" s="3" t="s">
        <v>32496</v>
      </c>
      <c r="AY3368" s="3" t="s">
        <v>32497</v>
      </c>
      <c r="AZ3368" s="3" t="s">
        <v>32498</v>
      </c>
      <c r="BA3368" s="3" t="s">
        <v>32498</v>
      </c>
      <c r="BB3368" s="3" t="s">
        <v>32499</v>
      </c>
      <c r="BC3368" s="3" t="s">
        <v>142</v>
      </c>
      <c r="BD3368" s="3" t="s">
        <v>68</v>
      </c>
      <c r="BE3368" s="3" t="s">
        <v>32500</v>
      </c>
      <c r="BF3368" s="3" t="s">
        <v>32499</v>
      </c>
      <c r="BG3368" s="3" t="s">
        <v>32501</v>
      </c>
    </row>
    <row r="3369" spans="1:59" ht="57" x14ac:dyDescent="0.45">
      <c r="A3369" s="2" t="s">
        <v>59</v>
      </c>
      <c r="B3369" s="2" t="s">
        <v>60</v>
      </c>
      <c r="C3369" s="2" t="s">
        <v>32502</v>
      </c>
      <c r="D3369" s="2" t="s">
        <v>32503</v>
      </c>
      <c r="E3369" s="2" t="s">
        <v>32504</v>
      </c>
      <c r="G3369" s="3" t="s">
        <v>62</v>
      </c>
      <c r="I3369" s="3" t="s">
        <v>62</v>
      </c>
      <c r="J3369" s="3" t="s">
        <v>62</v>
      </c>
      <c r="K3369" s="3" t="s">
        <v>63</v>
      </c>
      <c r="M3369" s="2" t="s">
        <v>32505</v>
      </c>
      <c r="N3369" s="3" t="s">
        <v>894</v>
      </c>
      <c r="P3369" s="3" t="s">
        <v>65</v>
      </c>
      <c r="Q3369" s="2" t="s">
        <v>1805</v>
      </c>
      <c r="R3369" s="3" t="s">
        <v>66</v>
      </c>
      <c r="S3369" s="4">
        <v>6</v>
      </c>
      <c r="T3369" s="4">
        <v>6</v>
      </c>
      <c r="U3369" s="5" t="s">
        <v>32506</v>
      </c>
      <c r="V3369" s="5" t="s">
        <v>32506</v>
      </c>
      <c r="W3369" s="5" t="s">
        <v>67</v>
      </c>
      <c r="X3369" s="5" t="s">
        <v>67</v>
      </c>
      <c r="Y3369" s="4">
        <v>370</v>
      </c>
      <c r="Z3369" s="4">
        <v>30</v>
      </c>
      <c r="AA3369" s="4">
        <v>38</v>
      </c>
      <c r="AB3369" s="4">
        <v>2</v>
      </c>
      <c r="AC3369" s="4">
        <v>7</v>
      </c>
      <c r="AD3369" s="4">
        <v>89</v>
      </c>
      <c r="AE3369" s="4">
        <v>96</v>
      </c>
      <c r="AF3369" s="4">
        <v>1</v>
      </c>
      <c r="AG3369" s="4">
        <v>3</v>
      </c>
      <c r="AH3369" s="4">
        <v>77</v>
      </c>
      <c r="AI3369" s="4">
        <v>81</v>
      </c>
      <c r="AJ3369" s="4">
        <v>17</v>
      </c>
      <c r="AK3369" s="4">
        <v>19</v>
      </c>
      <c r="AL3369" s="4">
        <v>45</v>
      </c>
      <c r="AM3369" s="4">
        <v>45</v>
      </c>
      <c r="AN3369" s="4">
        <v>0</v>
      </c>
      <c r="AO3369" s="4">
        <v>0</v>
      </c>
      <c r="AP3369" s="4">
        <v>20</v>
      </c>
      <c r="AQ3369" s="4">
        <v>23</v>
      </c>
      <c r="AR3369" s="3" t="s">
        <v>62</v>
      </c>
      <c r="AS3369" s="3" t="s">
        <v>62</v>
      </c>
      <c r="AT3369" s="3" t="s">
        <v>62</v>
      </c>
      <c r="AV3369" s="6" t="str">
        <f>HYPERLINK("http://mcgill.on.worldcat.org/oclc/683596544","Catalog Record")</f>
        <v>Catalog Record</v>
      </c>
      <c r="AW3369" s="6" t="str">
        <f>HYPERLINK("http://www.worldcat.org/oclc/683596544","WorldCat Record")</f>
        <v>WorldCat Record</v>
      </c>
      <c r="AX3369" s="3" t="s">
        <v>32507</v>
      </c>
      <c r="AY3369" s="3" t="s">
        <v>32508</v>
      </c>
      <c r="AZ3369" s="3" t="s">
        <v>32509</v>
      </c>
      <c r="BA3369" s="3" t="s">
        <v>32509</v>
      </c>
      <c r="BB3369" s="3" t="s">
        <v>32510</v>
      </c>
      <c r="BC3369" s="3" t="s">
        <v>142</v>
      </c>
      <c r="BD3369" s="3" t="s">
        <v>68</v>
      </c>
      <c r="BE3369" s="3" t="s">
        <v>32511</v>
      </c>
      <c r="BF3369" s="3" t="s">
        <v>32510</v>
      </c>
      <c r="BG3369" s="3" t="s">
        <v>32512</v>
      </c>
    </row>
    <row r="3370" spans="1:59" ht="57" x14ac:dyDescent="0.45">
      <c r="A3370" s="2" t="s">
        <v>59</v>
      </c>
      <c r="B3370" s="2" t="s">
        <v>60</v>
      </c>
      <c r="C3370" s="2" t="s">
        <v>32513</v>
      </c>
      <c r="D3370" s="2" t="s">
        <v>32514</v>
      </c>
      <c r="E3370" s="2" t="s">
        <v>32515</v>
      </c>
      <c r="G3370" s="3" t="s">
        <v>62</v>
      </c>
      <c r="I3370" s="3" t="s">
        <v>62</v>
      </c>
      <c r="J3370" s="3" t="s">
        <v>62</v>
      </c>
      <c r="K3370" s="3" t="s">
        <v>63</v>
      </c>
      <c r="M3370" s="2" t="s">
        <v>2952</v>
      </c>
      <c r="N3370" s="3" t="s">
        <v>918</v>
      </c>
      <c r="P3370" s="3" t="s">
        <v>65</v>
      </c>
      <c r="R3370" s="3" t="s">
        <v>66</v>
      </c>
      <c r="S3370" s="4">
        <v>5</v>
      </c>
      <c r="T3370" s="4">
        <v>5</v>
      </c>
      <c r="U3370" s="5" t="s">
        <v>16538</v>
      </c>
      <c r="V3370" s="5" t="s">
        <v>16538</v>
      </c>
      <c r="W3370" s="5" t="s">
        <v>67</v>
      </c>
      <c r="X3370" s="5" t="s">
        <v>67</v>
      </c>
      <c r="Y3370" s="4">
        <v>243</v>
      </c>
      <c r="Z3370" s="4">
        <v>23</v>
      </c>
      <c r="AA3370" s="4">
        <v>26</v>
      </c>
      <c r="AB3370" s="4">
        <v>2</v>
      </c>
      <c r="AC3370" s="4">
        <v>5</v>
      </c>
      <c r="AD3370" s="4">
        <v>96</v>
      </c>
      <c r="AE3370" s="4">
        <v>99</v>
      </c>
      <c r="AF3370" s="4">
        <v>1</v>
      </c>
      <c r="AG3370" s="4">
        <v>4</v>
      </c>
      <c r="AH3370" s="4">
        <v>86</v>
      </c>
      <c r="AI3370" s="4">
        <v>87</v>
      </c>
      <c r="AJ3370" s="4">
        <v>18</v>
      </c>
      <c r="AK3370" s="4">
        <v>21</v>
      </c>
      <c r="AL3370" s="4">
        <v>45</v>
      </c>
      <c r="AM3370" s="4">
        <v>45</v>
      </c>
      <c r="AN3370" s="4">
        <v>0</v>
      </c>
      <c r="AO3370" s="4">
        <v>0</v>
      </c>
      <c r="AP3370" s="4">
        <v>20</v>
      </c>
      <c r="AQ3370" s="4">
        <v>22</v>
      </c>
      <c r="AR3370" s="3" t="s">
        <v>62</v>
      </c>
      <c r="AS3370" s="3" t="s">
        <v>62</v>
      </c>
      <c r="AT3370" s="3" t="s">
        <v>62</v>
      </c>
      <c r="AV3370" s="6" t="str">
        <f>HYPERLINK("http://mcgill.on.worldcat.org/oclc/54352039","Catalog Record")</f>
        <v>Catalog Record</v>
      </c>
      <c r="AW3370" s="6" t="str">
        <f>HYPERLINK("http://www.worldcat.org/oclc/54352039","WorldCat Record")</f>
        <v>WorldCat Record</v>
      </c>
      <c r="AX3370" s="3" t="s">
        <v>32516</v>
      </c>
      <c r="AY3370" s="3" t="s">
        <v>32517</v>
      </c>
      <c r="AZ3370" s="3" t="s">
        <v>32518</v>
      </c>
      <c r="BA3370" s="3" t="s">
        <v>32518</v>
      </c>
      <c r="BB3370" s="3" t="s">
        <v>32519</v>
      </c>
      <c r="BC3370" s="3" t="s">
        <v>142</v>
      </c>
      <c r="BD3370" s="3" t="s">
        <v>68</v>
      </c>
      <c r="BE3370" s="3" t="s">
        <v>32520</v>
      </c>
      <c r="BF3370" s="3" t="s">
        <v>32519</v>
      </c>
      <c r="BG3370" s="3" t="s">
        <v>32521</v>
      </c>
    </row>
    <row r="3371" spans="1:59" ht="57" x14ac:dyDescent="0.45">
      <c r="A3371" s="2" t="s">
        <v>59</v>
      </c>
      <c r="B3371" s="2" t="s">
        <v>60</v>
      </c>
      <c r="C3371" s="2" t="s">
        <v>32522</v>
      </c>
      <c r="D3371" s="2" t="s">
        <v>32523</v>
      </c>
      <c r="E3371" s="2" t="s">
        <v>32524</v>
      </c>
      <c r="G3371" s="3" t="s">
        <v>62</v>
      </c>
      <c r="I3371" s="3" t="s">
        <v>62</v>
      </c>
      <c r="J3371" s="3" t="s">
        <v>62</v>
      </c>
      <c r="K3371" s="3" t="s">
        <v>63</v>
      </c>
      <c r="M3371" s="2" t="s">
        <v>32525</v>
      </c>
      <c r="N3371" s="3" t="s">
        <v>181</v>
      </c>
      <c r="P3371" s="3" t="s">
        <v>65</v>
      </c>
      <c r="Q3371" s="2" t="s">
        <v>32526</v>
      </c>
      <c r="R3371" s="3" t="s">
        <v>66</v>
      </c>
      <c r="S3371" s="4">
        <v>0</v>
      </c>
      <c r="T3371" s="4">
        <v>0</v>
      </c>
      <c r="W3371" s="5" t="s">
        <v>67</v>
      </c>
      <c r="X3371" s="5" t="s">
        <v>67</v>
      </c>
      <c r="Y3371" s="4">
        <v>34</v>
      </c>
      <c r="Z3371" s="4">
        <v>2</v>
      </c>
      <c r="AA3371" s="4">
        <v>4</v>
      </c>
      <c r="AB3371" s="4">
        <v>1</v>
      </c>
      <c r="AC3371" s="4">
        <v>3</v>
      </c>
      <c r="AD3371" s="4">
        <v>15</v>
      </c>
      <c r="AE3371" s="4">
        <v>15</v>
      </c>
      <c r="AF3371" s="4">
        <v>0</v>
      </c>
      <c r="AG3371" s="4">
        <v>0</v>
      </c>
      <c r="AH3371" s="4">
        <v>15</v>
      </c>
      <c r="AI3371" s="4">
        <v>15</v>
      </c>
      <c r="AJ3371" s="4">
        <v>1</v>
      </c>
      <c r="AK3371" s="4">
        <v>1</v>
      </c>
      <c r="AL3371" s="4">
        <v>12</v>
      </c>
      <c r="AM3371" s="4">
        <v>12</v>
      </c>
      <c r="AN3371" s="4">
        <v>0</v>
      </c>
      <c r="AO3371" s="4">
        <v>0</v>
      </c>
      <c r="AP3371" s="4">
        <v>1</v>
      </c>
      <c r="AQ3371" s="4">
        <v>1</v>
      </c>
      <c r="AR3371" s="3" t="s">
        <v>62</v>
      </c>
      <c r="AS3371" s="3" t="s">
        <v>62</v>
      </c>
      <c r="AT3371" s="3" t="s">
        <v>62</v>
      </c>
      <c r="AV3371" s="6" t="str">
        <f>HYPERLINK("http://mcgill.on.worldcat.org/oclc/951094341","Catalog Record")</f>
        <v>Catalog Record</v>
      </c>
      <c r="AW3371" s="6" t="str">
        <f>HYPERLINK("http://www.worldcat.org/oclc/951094341","WorldCat Record")</f>
        <v>WorldCat Record</v>
      </c>
      <c r="AX3371" s="3" t="s">
        <v>32527</v>
      </c>
      <c r="AY3371" s="3" t="s">
        <v>32528</v>
      </c>
      <c r="AZ3371" s="3" t="s">
        <v>32529</v>
      </c>
      <c r="BA3371" s="3" t="s">
        <v>32529</v>
      </c>
      <c r="BB3371" s="3" t="s">
        <v>32530</v>
      </c>
      <c r="BC3371" s="3" t="s">
        <v>142</v>
      </c>
      <c r="BD3371" s="3" t="s">
        <v>68</v>
      </c>
      <c r="BE3371" s="3" t="s">
        <v>32531</v>
      </c>
      <c r="BF3371" s="3" t="s">
        <v>32530</v>
      </c>
      <c r="BG3371" s="3" t="s">
        <v>32532</v>
      </c>
    </row>
    <row r="3372" spans="1:59" ht="57" x14ac:dyDescent="0.45">
      <c r="A3372" s="2" t="s">
        <v>59</v>
      </c>
      <c r="B3372" s="2" t="s">
        <v>60</v>
      </c>
      <c r="C3372" s="2" t="s">
        <v>32533</v>
      </c>
      <c r="D3372" s="2" t="s">
        <v>32534</v>
      </c>
      <c r="E3372" s="2" t="s">
        <v>32535</v>
      </c>
      <c r="G3372" s="3" t="s">
        <v>62</v>
      </c>
      <c r="I3372" s="3" t="s">
        <v>62</v>
      </c>
      <c r="J3372" s="3" t="s">
        <v>62</v>
      </c>
      <c r="K3372" s="3" t="s">
        <v>63</v>
      </c>
      <c r="L3372" s="2" t="s">
        <v>3409</v>
      </c>
      <c r="M3372" s="2" t="s">
        <v>6523</v>
      </c>
      <c r="N3372" s="3" t="s">
        <v>1059</v>
      </c>
      <c r="P3372" s="3" t="s">
        <v>65</v>
      </c>
      <c r="R3372" s="3" t="s">
        <v>66</v>
      </c>
      <c r="S3372" s="4">
        <v>22</v>
      </c>
      <c r="T3372" s="4">
        <v>22</v>
      </c>
      <c r="U3372" s="5" t="s">
        <v>5455</v>
      </c>
      <c r="V3372" s="5" t="s">
        <v>5455</v>
      </c>
      <c r="W3372" s="5" t="s">
        <v>67</v>
      </c>
      <c r="X3372" s="5" t="s">
        <v>67</v>
      </c>
      <c r="Y3372" s="4">
        <v>348</v>
      </c>
      <c r="Z3372" s="4">
        <v>26</v>
      </c>
      <c r="AA3372" s="4">
        <v>57</v>
      </c>
      <c r="AB3372" s="4">
        <v>2</v>
      </c>
      <c r="AC3372" s="4">
        <v>16</v>
      </c>
      <c r="AD3372" s="4">
        <v>96</v>
      </c>
      <c r="AE3372" s="4">
        <v>119</v>
      </c>
      <c r="AF3372" s="4">
        <v>1</v>
      </c>
      <c r="AG3372" s="4">
        <v>7</v>
      </c>
      <c r="AH3372" s="4">
        <v>84</v>
      </c>
      <c r="AI3372" s="4">
        <v>87</v>
      </c>
      <c r="AJ3372" s="4">
        <v>20</v>
      </c>
      <c r="AK3372" s="4">
        <v>25</v>
      </c>
      <c r="AL3372" s="4">
        <v>47</v>
      </c>
      <c r="AM3372" s="4">
        <v>47</v>
      </c>
      <c r="AN3372" s="4">
        <v>0</v>
      </c>
      <c r="AO3372" s="4">
        <v>0</v>
      </c>
      <c r="AP3372" s="4">
        <v>22</v>
      </c>
      <c r="AQ3372" s="4">
        <v>45</v>
      </c>
      <c r="AR3372" s="3" t="s">
        <v>62</v>
      </c>
      <c r="AS3372" s="3" t="s">
        <v>62</v>
      </c>
      <c r="AT3372" s="3" t="s">
        <v>62</v>
      </c>
      <c r="AV3372" s="6" t="str">
        <f>HYPERLINK("http://mcgill.on.worldcat.org/oclc/67239898","Catalog Record")</f>
        <v>Catalog Record</v>
      </c>
      <c r="AW3372" s="6" t="str">
        <f>HYPERLINK("http://www.worldcat.org/oclc/67239898","WorldCat Record")</f>
        <v>WorldCat Record</v>
      </c>
      <c r="AX3372" s="3" t="s">
        <v>32536</v>
      </c>
      <c r="AY3372" s="3" t="s">
        <v>32537</v>
      </c>
      <c r="AZ3372" s="3" t="s">
        <v>32538</v>
      </c>
      <c r="BA3372" s="3" t="s">
        <v>32538</v>
      </c>
      <c r="BB3372" s="3" t="s">
        <v>32539</v>
      </c>
      <c r="BC3372" s="3" t="s">
        <v>142</v>
      </c>
      <c r="BD3372" s="3" t="s">
        <v>68</v>
      </c>
      <c r="BE3372" s="3" t="s">
        <v>32540</v>
      </c>
      <c r="BF3372" s="3" t="s">
        <v>32539</v>
      </c>
      <c r="BG3372" s="3" t="s">
        <v>32541</v>
      </c>
    </row>
    <row r="3373" spans="1:59" ht="57" x14ac:dyDescent="0.45">
      <c r="A3373" s="2" t="s">
        <v>59</v>
      </c>
      <c r="B3373" s="2" t="s">
        <v>60</v>
      </c>
      <c r="C3373" s="2" t="s">
        <v>32542</v>
      </c>
      <c r="D3373" s="2" t="s">
        <v>32543</v>
      </c>
      <c r="E3373" s="2" t="s">
        <v>32544</v>
      </c>
      <c r="G3373" s="3" t="s">
        <v>62</v>
      </c>
      <c r="I3373" s="3" t="s">
        <v>62</v>
      </c>
      <c r="J3373" s="3" t="s">
        <v>62</v>
      </c>
      <c r="K3373" s="3" t="s">
        <v>63</v>
      </c>
      <c r="L3373" s="2" t="s">
        <v>32545</v>
      </c>
      <c r="M3373" s="2" t="s">
        <v>12953</v>
      </c>
      <c r="N3373" s="3" t="s">
        <v>1059</v>
      </c>
      <c r="P3373" s="3" t="s">
        <v>65</v>
      </c>
      <c r="R3373" s="3" t="s">
        <v>66</v>
      </c>
      <c r="S3373" s="4">
        <v>8</v>
      </c>
      <c r="T3373" s="4">
        <v>8</v>
      </c>
      <c r="U3373" s="5" t="s">
        <v>12354</v>
      </c>
      <c r="V3373" s="5" t="s">
        <v>12354</v>
      </c>
      <c r="W3373" s="5" t="s">
        <v>67</v>
      </c>
      <c r="X3373" s="5" t="s">
        <v>67</v>
      </c>
      <c r="Y3373" s="4">
        <v>276</v>
      </c>
      <c r="Z3373" s="4">
        <v>18</v>
      </c>
      <c r="AA3373" s="4">
        <v>108</v>
      </c>
      <c r="AB3373" s="4">
        <v>1</v>
      </c>
      <c r="AC3373" s="4">
        <v>16</v>
      </c>
      <c r="AD3373" s="4">
        <v>100</v>
      </c>
      <c r="AE3373" s="4">
        <v>152</v>
      </c>
      <c r="AF3373" s="4">
        <v>1</v>
      </c>
      <c r="AG3373" s="4">
        <v>9</v>
      </c>
      <c r="AH3373" s="4">
        <v>93</v>
      </c>
      <c r="AI3373" s="4">
        <v>111</v>
      </c>
      <c r="AJ3373" s="4">
        <v>12</v>
      </c>
      <c r="AK3373" s="4">
        <v>26</v>
      </c>
      <c r="AL3373" s="4">
        <v>54</v>
      </c>
      <c r="AM3373" s="4">
        <v>60</v>
      </c>
      <c r="AN3373" s="4">
        <v>0</v>
      </c>
      <c r="AO3373" s="4">
        <v>0</v>
      </c>
      <c r="AP3373" s="4">
        <v>13</v>
      </c>
      <c r="AQ3373" s="4">
        <v>49</v>
      </c>
      <c r="AR3373" s="3" t="s">
        <v>62</v>
      </c>
      <c r="AS3373" s="3" t="s">
        <v>62</v>
      </c>
      <c r="AT3373" s="3" t="s">
        <v>61</v>
      </c>
      <c r="AU3373" s="6" t="str">
        <f>HYPERLINK("http://catalog.hathitrust.org/Record/005234521","HathiTrust Record")</f>
        <v>HathiTrust Record</v>
      </c>
      <c r="AV3373" s="6" t="str">
        <f>HYPERLINK("http://mcgill.on.worldcat.org/oclc/62331115","Catalog Record")</f>
        <v>Catalog Record</v>
      </c>
      <c r="AW3373" s="6" t="str">
        <f>HYPERLINK("http://www.worldcat.org/oclc/62331115","WorldCat Record")</f>
        <v>WorldCat Record</v>
      </c>
      <c r="AX3373" s="3" t="s">
        <v>32546</v>
      </c>
      <c r="AY3373" s="3" t="s">
        <v>32547</v>
      </c>
      <c r="AZ3373" s="3" t="s">
        <v>32548</v>
      </c>
      <c r="BA3373" s="3" t="s">
        <v>32548</v>
      </c>
      <c r="BB3373" s="3" t="s">
        <v>32549</v>
      </c>
      <c r="BC3373" s="3" t="s">
        <v>142</v>
      </c>
      <c r="BD3373" s="3" t="s">
        <v>308</v>
      </c>
      <c r="BE3373" s="3" t="s">
        <v>32550</v>
      </c>
      <c r="BF3373" s="3" t="s">
        <v>32549</v>
      </c>
      <c r="BG3373" s="3" t="s">
        <v>32551</v>
      </c>
    </row>
    <row r="3374" spans="1:59" ht="57" x14ac:dyDescent="0.45">
      <c r="A3374" s="2" t="s">
        <v>59</v>
      </c>
      <c r="B3374" s="2" t="s">
        <v>60</v>
      </c>
      <c r="C3374" s="2" t="s">
        <v>32552</v>
      </c>
      <c r="D3374" s="2" t="s">
        <v>32553</v>
      </c>
      <c r="E3374" s="2" t="s">
        <v>32554</v>
      </c>
      <c r="G3374" s="3" t="s">
        <v>62</v>
      </c>
      <c r="I3374" s="3" t="s">
        <v>62</v>
      </c>
      <c r="J3374" s="3" t="s">
        <v>62</v>
      </c>
      <c r="K3374" s="3" t="s">
        <v>63</v>
      </c>
      <c r="L3374" s="2" t="s">
        <v>31491</v>
      </c>
      <c r="M3374" s="2" t="s">
        <v>32555</v>
      </c>
      <c r="N3374" s="3" t="s">
        <v>970</v>
      </c>
      <c r="P3374" s="3" t="s">
        <v>65</v>
      </c>
      <c r="R3374" s="3" t="s">
        <v>66</v>
      </c>
      <c r="S3374" s="4">
        <v>8</v>
      </c>
      <c r="T3374" s="4">
        <v>8</v>
      </c>
      <c r="U3374" s="5" t="s">
        <v>19976</v>
      </c>
      <c r="V3374" s="5" t="s">
        <v>19976</v>
      </c>
      <c r="W3374" s="5" t="s">
        <v>67</v>
      </c>
      <c r="X3374" s="5" t="s">
        <v>67</v>
      </c>
      <c r="Y3374" s="4">
        <v>214</v>
      </c>
      <c r="Z3374" s="4">
        <v>19</v>
      </c>
      <c r="AA3374" s="4">
        <v>20</v>
      </c>
      <c r="AB3374" s="4">
        <v>1</v>
      </c>
      <c r="AC3374" s="4">
        <v>2</v>
      </c>
      <c r="AD3374" s="4">
        <v>83</v>
      </c>
      <c r="AE3374" s="4">
        <v>84</v>
      </c>
      <c r="AF3374" s="4">
        <v>0</v>
      </c>
      <c r="AG3374" s="4">
        <v>1</v>
      </c>
      <c r="AH3374" s="4">
        <v>75</v>
      </c>
      <c r="AI3374" s="4">
        <v>76</v>
      </c>
      <c r="AJ3374" s="4">
        <v>13</v>
      </c>
      <c r="AK3374" s="4">
        <v>14</v>
      </c>
      <c r="AL3374" s="4">
        <v>45</v>
      </c>
      <c r="AM3374" s="4">
        <v>45</v>
      </c>
      <c r="AN3374" s="4">
        <v>0</v>
      </c>
      <c r="AO3374" s="4">
        <v>0</v>
      </c>
      <c r="AP3374" s="4">
        <v>16</v>
      </c>
      <c r="AQ3374" s="4">
        <v>17</v>
      </c>
      <c r="AR3374" s="3" t="s">
        <v>62</v>
      </c>
      <c r="AS3374" s="3" t="s">
        <v>62</v>
      </c>
      <c r="AT3374" s="3" t="s">
        <v>62</v>
      </c>
      <c r="AV3374" s="6" t="str">
        <f>HYPERLINK("http://mcgill.on.worldcat.org/oclc/51172424","Catalog Record")</f>
        <v>Catalog Record</v>
      </c>
      <c r="AW3374" s="6" t="str">
        <f>HYPERLINK("http://www.worldcat.org/oclc/51172424","WorldCat Record")</f>
        <v>WorldCat Record</v>
      </c>
      <c r="AX3374" s="3" t="s">
        <v>32556</v>
      </c>
      <c r="AY3374" s="3" t="s">
        <v>32557</v>
      </c>
      <c r="AZ3374" s="3" t="s">
        <v>32558</v>
      </c>
      <c r="BA3374" s="3" t="s">
        <v>32558</v>
      </c>
      <c r="BB3374" s="3" t="s">
        <v>32559</v>
      </c>
      <c r="BC3374" s="3" t="s">
        <v>142</v>
      </c>
      <c r="BD3374" s="3" t="s">
        <v>68</v>
      </c>
      <c r="BE3374" s="3" t="s">
        <v>32560</v>
      </c>
      <c r="BF3374" s="3" t="s">
        <v>32559</v>
      </c>
      <c r="BG3374" s="3" t="s">
        <v>32561</v>
      </c>
    </row>
    <row r="3375" spans="1:59" ht="57" x14ac:dyDescent="0.45">
      <c r="A3375" s="2" t="s">
        <v>59</v>
      </c>
      <c r="B3375" s="2" t="s">
        <v>60</v>
      </c>
      <c r="C3375" s="2" t="s">
        <v>32562</v>
      </c>
      <c r="D3375" s="2" t="s">
        <v>32563</v>
      </c>
      <c r="E3375" s="2" t="s">
        <v>32564</v>
      </c>
      <c r="G3375" s="3" t="s">
        <v>62</v>
      </c>
      <c r="I3375" s="3" t="s">
        <v>62</v>
      </c>
      <c r="J3375" s="3" t="s">
        <v>62</v>
      </c>
      <c r="K3375" s="3" t="s">
        <v>63</v>
      </c>
      <c r="L3375" s="2" t="s">
        <v>32565</v>
      </c>
      <c r="M3375" s="2" t="s">
        <v>2560</v>
      </c>
      <c r="N3375" s="3" t="s">
        <v>149</v>
      </c>
      <c r="P3375" s="3" t="s">
        <v>65</v>
      </c>
      <c r="R3375" s="3" t="s">
        <v>66</v>
      </c>
      <c r="S3375" s="4">
        <v>2</v>
      </c>
      <c r="T3375" s="4">
        <v>2</v>
      </c>
      <c r="U3375" s="5" t="s">
        <v>32566</v>
      </c>
      <c r="V3375" s="5" t="s">
        <v>32566</v>
      </c>
      <c r="W3375" s="5" t="s">
        <v>67</v>
      </c>
      <c r="X3375" s="5" t="s">
        <v>67</v>
      </c>
      <c r="Y3375" s="4">
        <v>203</v>
      </c>
      <c r="Z3375" s="4">
        <v>20</v>
      </c>
      <c r="AA3375" s="4">
        <v>106</v>
      </c>
      <c r="AB3375" s="4">
        <v>1</v>
      </c>
      <c r="AC3375" s="4">
        <v>17</v>
      </c>
      <c r="AD3375" s="4">
        <v>79</v>
      </c>
      <c r="AE3375" s="4">
        <v>134</v>
      </c>
      <c r="AF3375" s="4">
        <v>0</v>
      </c>
      <c r="AG3375" s="4">
        <v>8</v>
      </c>
      <c r="AH3375" s="4">
        <v>71</v>
      </c>
      <c r="AI3375" s="4">
        <v>97</v>
      </c>
      <c r="AJ3375" s="4">
        <v>13</v>
      </c>
      <c r="AK3375" s="4">
        <v>24</v>
      </c>
      <c r="AL3375" s="4">
        <v>42</v>
      </c>
      <c r="AM3375" s="4">
        <v>52</v>
      </c>
      <c r="AN3375" s="4">
        <v>0</v>
      </c>
      <c r="AO3375" s="4">
        <v>0</v>
      </c>
      <c r="AP3375" s="4">
        <v>15</v>
      </c>
      <c r="AQ3375" s="4">
        <v>46</v>
      </c>
      <c r="AR3375" s="3" t="s">
        <v>62</v>
      </c>
      <c r="AS3375" s="3" t="s">
        <v>62</v>
      </c>
      <c r="AT3375" s="3" t="s">
        <v>62</v>
      </c>
      <c r="AV3375" s="6" t="str">
        <f>HYPERLINK("http://mcgill.on.worldcat.org/oclc/471822370","Catalog Record")</f>
        <v>Catalog Record</v>
      </c>
      <c r="AW3375" s="6" t="str">
        <f>HYPERLINK("http://www.worldcat.org/oclc/471822370","WorldCat Record")</f>
        <v>WorldCat Record</v>
      </c>
      <c r="AX3375" s="3" t="s">
        <v>32567</v>
      </c>
      <c r="AY3375" s="3" t="s">
        <v>32568</v>
      </c>
      <c r="AZ3375" s="3" t="s">
        <v>32569</v>
      </c>
      <c r="BA3375" s="3" t="s">
        <v>32569</v>
      </c>
      <c r="BB3375" s="3" t="s">
        <v>32570</v>
      </c>
      <c r="BC3375" s="3" t="s">
        <v>142</v>
      </c>
      <c r="BD3375" s="3" t="s">
        <v>68</v>
      </c>
      <c r="BE3375" s="3" t="s">
        <v>32571</v>
      </c>
      <c r="BF3375" s="3" t="s">
        <v>32570</v>
      </c>
      <c r="BG3375" s="3" t="s">
        <v>32572</v>
      </c>
    </row>
    <row r="3376" spans="1:59" ht="57" x14ac:dyDescent="0.45">
      <c r="A3376" s="2" t="s">
        <v>59</v>
      </c>
      <c r="B3376" s="2" t="s">
        <v>60</v>
      </c>
      <c r="C3376" s="2" t="s">
        <v>32573</v>
      </c>
      <c r="D3376" s="2" t="s">
        <v>32574</v>
      </c>
      <c r="E3376" s="2" t="s">
        <v>32575</v>
      </c>
      <c r="G3376" s="3" t="s">
        <v>62</v>
      </c>
      <c r="I3376" s="3" t="s">
        <v>62</v>
      </c>
      <c r="J3376" s="3" t="s">
        <v>62</v>
      </c>
      <c r="K3376" s="3" t="s">
        <v>63</v>
      </c>
      <c r="L3376" s="2" t="s">
        <v>32565</v>
      </c>
      <c r="M3376" s="2" t="s">
        <v>9187</v>
      </c>
      <c r="N3376" s="3" t="s">
        <v>894</v>
      </c>
      <c r="P3376" s="3" t="s">
        <v>65</v>
      </c>
      <c r="R3376" s="3" t="s">
        <v>66</v>
      </c>
      <c r="S3376" s="4">
        <v>4</v>
      </c>
      <c r="T3376" s="4">
        <v>4</v>
      </c>
      <c r="U3376" s="5" t="s">
        <v>32576</v>
      </c>
      <c r="V3376" s="5" t="s">
        <v>32576</v>
      </c>
      <c r="W3376" s="5" t="s">
        <v>67</v>
      </c>
      <c r="X3376" s="5" t="s">
        <v>67</v>
      </c>
      <c r="Y3376" s="4">
        <v>183</v>
      </c>
      <c r="Z3376" s="4">
        <v>22</v>
      </c>
      <c r="AA3376" s="4">
        <v>27</v>
      </c>
      <c r="AB3376" s="4">
        <v>2</v>
      </c>
      <c r="AC3376" s="4">
        <v>7</v>
      </c>
      <c r="AD3376" s="4">
        <v>75</v>
      </c>
      <c r="AE3376" s="4">
        <v>82</v>
      </c>
      <c r="AF3376" s="4">
        <v>1</v>
      </c>
      <c r="AG3376" s="4">
        <v>3</v>
      </c>
      <c r="AH3376" s="4">
        <v>68</v>
      </c>
      <c r="AI3376" s="4">
        <v>74</v>
      </c>
      <c r="AJ3376" s="4">
        <v>15</v>
      </c>
      <c r="AK3376" s="4">
        <v>17</v>
      </c>
      <c r="AL3376" s="4">
        <v>42</v>
      </c>
      <c r="AM3376" s="4">
        <v>45</v>
      </c>
      <c r="AN3376" s="4">
        <v>0</v>
      </c>
      <c r="AO3376" s="4">
        <v>0</v>
      </c>
      <c r="AP3376" s="4">
        <v>17</v>
      </c>
      <c r="AQ3376" s="4">
        <v>19</v>
      </c>
      <c r="AR3376" s="3" t="s">
        <v>62</v>
      </c>
      <c r="AS3376" s="3" t="s">
        <v>62</v>
      </c>
      <c r="AT3376" s="3" t="s">
        <v>62</v>
      </c>
      <c r="AV3376" s="6" t="str">
        <f>HYPERLINK("http://mcgill.on.worldcat.org/oclc/671709718","Catalog Record")</f>
        <v>Catalog Record</v>
      </c>
      <c r="AW3376" s="6" t="str">
        <f>HYPERLINK("http://www.worldcat.org/oclc/671709718","WorldCat Record")</f>
        <v>WorldCat Record</v>
      </c>
      <c r="AX3376" s="3" t="s">
        <v>32577</v>
      </c>
      <c r="AY3376" s="3" t="s">
        <v>32578</v>
      </c>
      <c r="AZ3376" s="3" t="s">
        <v>32579</v>
      </c>
      <c r="BA3376" s="3" t="s">
        <v>32579</v>
      </c>
      <c r="BB3376" s="3" t="s">
        <v>32580</v>
      </c>
      <c r="BC3376" s="3" t="s">
        <v>142</v>
      </c>
      <c r="BD3376" s="3" t="s">
        <v>68</v>
      </c>
      <c r="BE3376" s="3" t="s">
        <v>32581</v>
      </c>
      <c r="BF3376" s="3" t="s">
        <v>32580</v>
      </c>
      <c r="BG3376" s="3" t="s">
        <v>32582</v>
      </c>
    </row>
    <row r="3377" spans="1:59" ht="71.25" x14ac:dyDescent="0.45">
      <c r="A3377" s="2" t="s">
        <v>59</v>
      </c>
      <c r="B3377" s="2" t="s">
        <v>60</v>
      </c>
      <c r="C3377" s="2" t="s">
        <v>32583</v>
      </c>
      <c r="D3377" s="2" t="s">
        <v>32584</v>
      </c>
      <c r="E3377" s="2" t="s">
        <v>32585</v>
      </c>
      <c r="G3377" s="3" t="s">
        <v>62</v>
      </c>
      <c r="I3377" s="3" t="s">
        <v>61</v>
      </c>
      <c r="J3377" s="3" t="s">
        <v>61</v>
      </c>
      <c r="K3377" s="3" t="s">
        <v>63</v>
      </c>
      <c r="L3377" s="2" t="s">
        <v>32586</v>
      </c>
      <c r="M3377" s="2" t="s">
        <v>32587</v>
      </c>
      <c r="N3377" s="3" t="s">
        <v>1688</v>
      </c>
      <c r="O3377" s="2" t="s">
        <v>32588</v>
      </c>
      <c r="P3377" s="3" t="s">
        <v>65</v>
      </c>
      <c r="R3377" s="3" t="s">
        <v>66</v>
      </c>
      <c r="S3377" s="4">
        <v>1</v>
      </c>
      <c r="T3377" s="4">
        <v>8</v>
      </c>
      <c r="U3377" s="5" t="s">
        <v>32589</v>
      </c>
      <c r="V3377" s="5" t="s">
        <v>4187</v>
      </c>
      <c r="W3377" s="5" t="s">
        <v>67</v>
      </c>
      <c r="X3377" s="5" t="s">
        <v>67</v>
      </c>
      <c r="Y3377" s="4">
        <v>131</v>
      </c>
      <c r="Z3377" s="4">
        <v>6</v>
      </c>
      <c r="AA3377" s="4">
        <v>103</v>
      </c>
      <c r="AB3377" s="4">
        <v>1</v>
      </c>
      <c r="AC3377" s="4">
        <v>13</v>
      </c>
      <c r="AD3377" s="4">
        <v>15</v>
      </c>
      <c r="AE3377" s="4">
        <v>153</v>
      </c>
      <c r="AF3377" s="4">
        <v>0</v>
      </c>
      <c r="AG3377" s="4">
        <v>5</v>
      </c>
      <c r="AH3377" s="4">
        <v>15</v>
      </c>
      <c r="AI3377" s="4">
        <v>111</v>
      </c>
      <c r="AJ3377" s="4">
        <v>1</v>
      </c>
      <c r="AK3377" s="4">
        <v>27</v>
      </c>
      <c r="AL3377" s="4">
        <v>12</v>
      </c>
      <c r="AM3377" s="4">
        <v>61</v>
      </c>
      <c r="AN3377" s="4">
        <v>0</v>
      </c>
      <c r="AO3377" s="4">
        <v>0</v>
      </c>
      <c r="AP3377" s="4">
        <v>1</v>
      </c>
      <c r="AQ3377" s="4">
        <v>49</v>
      </c>
      <c r="AR3377" s="3" t="s">
        <v>62</v>
      </c>
      <c r="AS3377" s="3" t="s">
        <v>62</v>
      </c>
      <c r="AT3377" s="3" t="s">
        <v>62</v>
      </c>
      <c r="AV3377" s="6" t="str">
        <f>HYPERLINK("http://mcgill.on.worldcat.org/oclc/800032029","Catalog Record")</f>
        <v>Catalog Record</v>
      </c>
      <c r="AW3377" s="6" t="str">
        <f>HYPERLINK("http://www.worldcat.org/oclc/800032029","WorldCat Record")</f>
        <v>WorldCat Record</v>
      </c>
      <c r="AX3377" s="3" t="s">
        <v>31542</v>
      </c>
      <c r="AY3377" s="3" t="s">
        <v>32590</v>
      </c>
      <c r="AZ3377" s="3" t="s">
        <v>32591</v>
      </c>
      <c r="BA3377" s="3" t="s">
        <v>32591</v>
      </c>
      <c r="BB3377" s="3" t="s">
        <v>32592</v>
      </c>
      <c r="BC3377" s="3" t="s">
        <v>142</v>
      </c>
      <c r="BD3377" s="3" t="s">
        <v>68</v>
      </c>
      <c r="BE3377" s="3" t="s">
        <v>32593</v>
      </c>
      <c r="BF3377" s="3" t="s">
        <v>32592</v>
      </c>
      <c r="BG3377" s="3" t="s">
        <v>32594</v>
      </c>
    </row>
    <row r="3378" spans="1:59" ht="71.25" x14ac:dyDescent="0.45">
      <c r="A3378" s="2" t="s">
        <v>59</v>
      </c>
      <c r="B3378" s="2" t="s">
        <v>60</v>
      </c>
      <c r="C3378" s="2" t="s">
        <v>32583</v>
      </c>
      <c r="D3378" s="2" t="s">
        <v>32584</v>
      </c>
      <c r="E3378" s="2" t="s">
        <v>32585</v>
      </c>
      <c r="G3378" s="3" t="s">
        <v>62</v>
      </c>
      <c r="I3378" s="3" t="s">
        <v>61</v>
      </c>
      <c r="J3378" s="3" t="s">
        <v>61</v>
      </c>
      <c r="K3378" s="3" t="s">
        <v>63</v>
      </c>
      <c r="L3378" s="2" t="s">
        <v>32586</v>
      </c>
      <c r="M3378" s="2" t="s">
        <v>32587</v>
      </c>
      <c r="N3378" s="3" t="s">
        <v>1688</v>
      </c>
      <c r="O3378" s="2" t="s">
        <v>32588</v>
      </c>
      <c r="P3378" s="3" t="s">
        <v>65</v>
      </c>
      <c r="R3378" s="3" t="s">
        <v>66</v>
      </c>
      <c r="S3378" s="4">
        <v>4</v>
      </c>
      <c r="T3378" s="4">
        <v>8</v>
      </c>
      <c r="U3378" s="5" t="s">
        <v>21380</v>
      </c>
      <c r="V3378" s="5" t="s">
        <v>4187</v>
      </c>
      <c r="W3378" s="5" t="s">
        <v>67</v>
      </c>
      <c r="X3378" s="5" t="s">
        <v>67</v>
      </c>
      <c r="Y3378" s="4">
        <v>131</v>
      </c>
      <c r="Z3378" s="4">
        <v>6</v>
      </c>
      <c r="AA3378" s="4">
        <v>103</v>
      </c>
      <c r="AB3378" s="4">
        <v>1</v>
      </c>
      <c r="AC3378" s="4">
        <v>13</v>
      </c>
      <c r="AD3378" s="4">
        <v>15</v>
      </c>
      <c r="AE3378" s="4">
        <v>153</v>
      </c>
      <c r="AF3378" s="4">
        <v>0</v>
      </c>
      <c r="AG3378" s="4">
        <v>5</v>
      </c>
      <c r="AH3378" s="4">
        <v>15</v>
      </c>
      <c r="AI3378" s="4">
        <v>111</v>
      </c>
      <c r="AJ3378" s="4">
        <v>1</v>
      </c>
      <c r="AK3378" s="4">
        <v>27</v>
      </c>
      <c r="AL3378" s="4">
        <v>12</v>
      </c>
      <c r="AM3378" s="4">
        <v>61</v>
      </c>
      <c r="AN3378" s="4">
        <v>0</v>
      </c>
      <c r="AO3378" s="4">
        <v>0</v>
      </c>
      <c r="AP3378" s="4">
        <v>1</v>
      </c>
      <c r="AQ3378" s="4">
        <v>49</v>
      </c>
      <c r="AR3378" s="3" t="s">
        <v>62</v>
      </c>
      <c r="AS3378" s="3" t="s">
        <v>62</v>
      </c>
      <c r="AT3378" s="3" t="s">
        <v>62</v>
      </c>
      <c r="AV3378" s="6" t="str">
        <f>HYPERLINK("http://mcgill.on.worldcat.org/oclc/800032029","Catalog Record")</f>
        <v>Catalog Record</v>
      </c>
      <c r="AW3378" s="6" t="str">
        <f>HYPERLINK("http://www.worldcat.org/oclc/800032029","WorldCat Record")</f>
        <v>WorldCat Record</v>
      </c>
      <c r="AX3378" s="3" t="s">
        <v>31542</v>
      </c>
      <c r="AY3378" s="3" t="s">
        <v>32590</v>
      </c>
      <c r="AZ3378" s="3" t="s">
        <v>32591</v>
      </c>
      <c r="BA3378" s="3" t="s">
        <v>32591</v>
      </c>
      <c r="BB3378" s="3" t="s">
        <v>32595</v>
      </c>
      <c r="BC3378" s="3" t="s">
        <v>142</v>
      </c>
      <c r="BD3378" s="3" t="s">
        <v>68</v>
      </c>
      <c r="BE3378" s="3" t="s">
        <v>32593</v>
      </c>
      <c r="BF3378" s="3" t="s">
        <v>32595</v>
      </c>
      <c r="BG3378" s="3" t="s">
        <v>32596</v>
      </c>
    </row>
    <row r="3379" spans="1:59" ht="71.25" x14ac:dyDescent="0.45">
      <c r="A3379" s="2" t="s">
        <v>59</v>
      </c>
      <c r="B3379" s="2" t="s">
        <v>60</v>
      </c>
      <c r="C3379" s="2" t="s">
        <v>32583</v>
      </c>
      <c r="D3379" s="2" t="s">
        <v>32584</v>
      </c>
      <c r="E3379" s="2" t="s">
        <v>32585</v>
      </c>
      <c r="G3379" s="3" t="s">
        <v>62</v>
      </c>
      <c r="I3379" s="3" t="s">
        <v>61</v>
      </c>
      <c r="J3379" s="3" t="s">
        <v>61</v>
      </c>
      <c r="K3379" s="3" t="s">
        <v>63</v>
      </c>
      <c r="L3379" s="2" t="s">
        <v>32586</v>
      </c>
      <c r="M3379" s="2" t="s">
        <v>32587</v>
      </c>
      <c r="N3379" s="3" t="s">
        <v>1688</v>
      </c>
      <c r="O3379" s="2" t="s">
        <v>32588</v>
      </c>
      <c r="P3379" s="3" t="s">
        <v>65</v>
      </c>
      <c r="R3379" s="3" t="s">
        <v>66</v>
      </c>
      <c r="S3379" s="4">
        <v>3</v>
      </c>
      <c r="T3379" s="4">
        <v>8</v>
      </c>
      <c r="U3379" s="5" t="s">
        <v>4187</v>
      </c>
      <c r="V3379" s="5" t="s">
        <v>4187</v>
      </c>
      <c r="W3379" s="5" t="s">
        <v>67</v>
      </c>
      <c r="X3379" s="5" t="s">
        <v>67</v>
      </c>
      <c r="Y3379" s="4">
        <v>131</v>
      </c>
      <c r="Z3379" s="4">
        <v>6</v>
      </c>
      <c r="AA3379" s="4">
        <v>103</v>
      </c>
      <c r="AB3379" s="4">
        <v>1</v>
      </c>
      <c r="AC3379" s="4">
        <v>13</v>
      </c>
      <c r="AD3379" s="4">
        <v>15</v>
      </c>
      <c r="AE3379" s="4">
        <v>153</v>
      </c>
      <c r="AF3379" s="4">
        <v>0</v>
      </c>
      <c r="AG3379" s="4">
        <v>5</v>
      </c>
      <c r="AH3379" s="4">
        <v>15</v>
      </c>
      <c r="AI3379" s="4">
        <v>111</v>
      </c>
      <c r="AJ3379" s="4">
        <v>1</v>
      </c>
      <c r="AK3379" s="4">
        <v>27</v>
      </c>
      <c r="AL3379" s="4">
        <v>12</v>
      </c>
      <c r="AM3379" s="4">
        <v>61</v>
      </c>
      <c r="AN3379" s="4">
        <v>0</v>
      </c>
      <c r="AO3379" s="4">
        <v>0</v>
      </c>
      <c r="AP3379" s="4">
        <v>1</v>
      </c>
      <c r="AQ3379" s="4">
        <v>49</v>
      </c>
      <c r="AR3379" s="3" t="s">
        <v>62</v>
      </c>
      <c r="AS3379" s="3" t="s">
        <v>62</v>
      </c>
      <c r="AT3379" s="3" t="s">
        <v>62</v>
      </c>
      <c r="AV3379" s="6" t="str">
        <f>HYPERLINK("http://mcgill.on.worldcat.org/oclc/800032029","Catalog Record")</f>
        <v>Catalog Record</v>
      </c>
      <c r="AW3379" s="6" t="str">
        <f>HYPERLINK("http://www.worldcat.org/oclc/800032029","WorldCat Record")</f>
        <v>WorldCat Record</v>
      </c>
      <c r="AX3379" s="3" t="s">
        <v>31542</v>
      </c>
      <c r="AY3379" s="3" t="s">
        <v>32590</v>
      </c>
      <c r="AZ3379" s="3" t="s">
        <v>32591</v>
      </c>
      <c r="BA3379" s="3" t="s">
        <v>32591</v>
      </c>
      <c r="BB3379" s="3" t="s">
        <v>32597</v>
      </c>
      <c r="BC3379" s="3" t="s">
        <v>142</v>
      </c>
      <c r="BD3379" s="3" t="s">
        <v>68</v>
      </c>
      <c r="BE3379" s="3" t="s">
        <v>32593</v>
      </c>
      <c r="BF3379" s="3" t="s">
        <v>32597</v>
      </c>
      <c r="BG3379" s="3" t="s">
        <v>32598</v>
      </c>
    </row>
    <row r="3380" spans="1:59" ht="57" x14ac:dyDescent="0.45">
      <c r="A3380" s="2" t="s">
        <v>59</v>
      </c>
      <c r="B3380" s="2" t="s">
        <v>60</v>
      </c>
      <c r="C3380" s="2" t="s">
        <v>32599</v>
      </c>
      <c r="D3380" s="2" t="s">
        <v>32600</v>
      </c>
      <c r="E3380" s="2" t="s">
        <v>32601</v>
      </c>
      <c r="G3380" s="3" t="s">
        <v>62</v>
      </c>
      <c r="I3380" s="3" t="s">
        <v>62</v>
      </c>
      <c r="J3380" s="3" t="s">
        <v>62</v>
      </c>
      <c r="K3380" s="3" t="s">
        <v>63</v>
      </c>
      <c r="L3380" s="2" t="s">
        <v>32602</v>
      </c>
      <c r="M3380" s="2" t="s">
        <v>9755</v>
      </c>
      <c r="N3380" s="3" t="s">
        <v>1155</v>
      </c>
      <c r="P3380" s="3" t="s">
        <v>65</v>
      </c>
      <c r="Q3380" s="2" t="s">
        <v>32603</v>
      </c>
      <c r="R3380" s="3" t="s">
        <v>66</v>
      </c>
      <c r="S3380" s="4">
        <v>1</v>
      </c>
      <c r="T3380" s="4">
        <v>1</v>
      </c>
      <c r="U3380" s="5" t="s">
        <v>32604</v>
      </c>
      <c r="V3380" s="5" t="s">
        <v>32604</v>
      </c>
      <c r="W3380" s="5" t="s">
        <v>67</v>
      </c>
      <c r="X3380" s="5" t="s">
        <v>67</v>
      </c>
      <c r="Y3380" s="4">
        <v>65</v>
      </c>
      <c r="Z3380" s="4">
        <v>5</v>
      </c>
      <c r="AA3380" s="4">
        <v>77</v>
      </c>
      <c r="AB3380" s="4">
        <v>1</v>
      </c>
      <c r="AC3380" s="4">
        <v>15</v>
      </c>
      <c r="AD3380" s="4">
        <v>46</v>
      </c>
      <c r="AE3380" s="4">
        <v>117</v>
      </c>
      <c r="AF3380" s="4">
        <v>0</v>
      </c>
      <c r="AG3380" s="4">
        <v>8</v>
      </c>
      <c r="AH3380" s="4">
        <v>44</v>
      </c>
      <c r="AI3380" s="4">
        <v>84</v>
      </c>
      <c r="AJ3380" s="4">
        <v>4</v>
      </c>
      <c r="AK3380" s="4">
        <v>22</v>
      </c>
      <c r="AL3380" s="4">
        <v>29</v>
      </c>
      <c r="AM3380" s="4">
        <v>46</v>
      </c>
      <c r="AN3380" s="4">
        <v>0</v>
      </c>
      <c r="AO3380" s="4">
        <v>0</v>
      </c>
      <c r="AP3380" s="4">
        <v>4</v>
      </c>
      <c r="AQ3380" s="4">
        <v>41</v>
      </c>
      <c r="AR3380" s="3" t="s">
        <v>62</v>
      </c>
      <c r="AS3380" s="3" t="s">
        <v>62</v>
      </c>
      <c r="AT3380" s="3" t="s">
        <v>62</v>
      </c>
      <c r="AV3380" s="6" t="str">
        <f>HYPERLINK("http://mcgill.on.worldcat.org/oclc/793224472","Catalog Record")</f>
        <v>Catalog Record</v>
      </c>
      <c r="AW3380" s="6" t="str">
        <f>HYPERLINK("http://www.worldcat.org/oclc/793224472","WorldCat Record")</f>
        <v>WorldCat Record</v>
      </c>
      <c r="AX3380" s="3" t="s">
        <v>32605</v>
      </c>
      <c r="AY3380" s="3" t="s">
        <v>32606</v>
      </c>
      <c r="AZ3380" s="3" t="s">
        <v>32607</v>
      </c>
      <c r="BA3380" s="3" t="s">
        <v>32607</v>
      </c>
      <c r="BB3380" s="3" t="s">
        <v>32608</v>
      </c>
      <c r="BC3380" s="3" t="s">
        <v>142</v>
      </c>
      <c r="BD3380" s="3" t="s">
        <v>68</v>
      </c>
      <c r="BE3380" s="3" t="s">
        <v>32609</v>
      </c>
      <c r="BF3380" s="3" t="s">
        <v>32608</v>
      </c>
      <c r="BG3380" s="3" t="s">
        <v>32610</v>
      </c>
    </row>
    <row r="3381" spans="1:59" ht="57" x14ac:dyDescent="0.45">
      <c r="A3381" s="2" t="s">
        <v>59</v>
      </c>
      <c r="B3381" s="2" t="s">
        <v>60</v>
      </c>
      <c r="C3381" s="2" t="s">
        <v>32611</v>
      </c>
      <c r="D3381" s="2" t="s">
        <v>32612</v>
      </c>
      <c r="E3381" s="2" t="s">
        <v>32613</v>
      </c>
      <c r="G3381" s="3" t="s">
        <v>62</v>
      </c>
      <c r="I3381" s="3" t="s">
        <v>62</v>
      </c>
      <c r="J3381" s="3" t="s">
        <v>62</v>
      </c>
      <c r="K3381" s="3" t="s">
        <v>63</v>
      </c>
      <c r="L3381" s="2" t="s">
        <v>32614</v>
      </c>
      <c r="M3381" s="2" t="s">
        <v>32615</v>
      </c>
      <c r="N3381" s="3" t="s">
        <v>918</v>
      </c>
      <c r="P3381" s="3" t="s">
        <v>65</v>
      </c>
      <c r="R3381" s="3" t="s">
        <v>66</v>
      </c>
      <c r="S3381" s="4">
        <v>14</v>
      </c>
      <c r="T3381" s="4">
        <v>14</v>
      </c>
      <c r="U3381" s="5" t="s">
        <v>27319</v>
      </c>
      <c r="V3381" s="5" t="s">
        <v>27319</v>
      </c>
      <c r="W3381" s="5" t="s">
        <v>67</v>
      </c>
      <c r="X3381" s="5" t="s">
        <v>67</v>
      </c>
      <c r="Y3381" s="4">
        <v>290</v>
      </c>
      <c r="Z3381" s="4">
        <v>17</v>
      </c>
      <c r="AA3381" s="4">
        <v>122</v>
      </c>
      <c r="AB3381" s="4">
        <v>2</v>
      </c>
      <c r="AC3381" s="4">
        <v>21</v>
      </c>
      <c r="AD3381" s="4">
        <v>104</v>
      </c>
      <c r="AE3381" s="4">
        <v>158</v>
      </c>
      <c r="AF3381" s="4">
        <v>1</v>
      </c>
      <c r="AG3381" s="4">
        <v>9</v>
      </c>
      <c r="AH3381" s="4">
        <v>95</v>
      </c>
      <c r="AI3381" s="4">
        <v>110</v>
      </c>
      <c r="AJ3381" s="4">
        <v>13</v>
      </c>
      <c r="AK3381" s="4">
        <v>27</v>
      </c>
      <c r="AL3381" s="4">
        <v>54</v>
      </c>
      <c r="AM3381" s="4">
        <v>58</v>
      </c>
      <c r="AN3381" s="4">
        <v>0</v>
      </c>
      <c r="AO3381" s="4">
        <v>0</v>
      </c>
      <c r="AP3381" s="4">
        <v>14</v>
      </c>
      <c r="AQ3381" s="4">
        <v>56</v>
      </c>
      <c r="AR3381" s="3" t="s">
        <v>62</v>
      </c>
      <c r="AS3381" s="3" t="s">
        <v>62</v>
      </c>
      <c r="AT3381" s="3" t="s">
        <v>61</v>
      </c>
      <c r="AU3381" s="6" t="str">
        <f>HYPERLINK("http://catalog.hathitrust.org/Record/004309521","HathiTrust Record")</f>
        <v>HathiTrust Record</v>
      </c>
      <c r="AV3381" s="6" t="str">
        <f>HYPERLINK("http://mcgill.on.worldcat.org/oclc/50315097","Catalog Record")</f>
        <v>Catalog Record</v>
      </c>
      <c r="AW3381" s="6" t="str">
        <f>HYPERLINK("http://www.worldcat.org/oclc/50315097","WorldCat Record")</f>
        <v>WorldCat Record</v>
      </c>
      <c r="AX3381" s="3" t="s">
        <v>32616</v>
      </c>
      <c r="AY3381" s="3" t="s">
        <v>32617</v>
      </c>
      <c r="AZ3381" s="3" t="s">
        <v>32618</v>
      </c>
      <c r="BA3381" s="3" t="s">
        <v>32618</v>
      </c>
      <c r="BB3381" s="3" t="s">
        <v>32619</v>
      </c>
      <c r="BC3381" s="3" t="s">
        <v>142</v>
      </c>
      <c r="BD3381" s="3" t="s">
        <v>68</v>
      </c>
      <c r="BE3381" s="3" t="s">
        <v>32620</v>
      </c>
      <c r="BF3381" s="3" t="s">
        <v>32619</v>
      </c>
      <c r="BG3381" s="3" t="s">
        <v>32621</v>
      </c>
    </row>
    <row r="3382" spans="1:59" ht="57" x14ac:dyDescent="0.45">
      <c r="A3382" s="2" t="s">
        <v>59</v>
      </c>
      <c r="B3382" s="2" t="s">
        <v>60</v>
      </c>
      <c r="C3382" s="2" t="s">
        <v>32622</v>
      </c>
      <c r="D3382" s="2" t="s">
        <v>32623</v>
      </c>
      <c r="E3382" s="2" t="s">
        <v>32624</v>
      </c>
      <c r="G3382" s="3" t="s">
        <v>62</v>
      </c>
      <c r="I3382" s="3" t="s">
        <v>62</v>
      </c>
      <c r="J3382" s="3" t="s">
        <v>62</v>
      </c>
      <c r="K3382" s="3" t="s">
        <v>63</v>
      </c>
      <c r="L3382" s="2" t="s">
        <v>32625</v>
      </c>
      <c r="M3382" s="2" t="s">
        <v>32626</v>
      </c>
      <c r="N3382" s="3" t="s">
        <v>820</v>
      </c>
      <c r="P3382" s="3" t="s">
        <v>65</v>
      </c>
      <c r="Q3382" s="2" t="s">
        <v>32627</v>
      </c>
      <c r="R3382" s="3" t="s">
        <v>66</v>
      </c>
      <c r="S3382" s="4">
        <v>6</v>
      </c>
      <c r="T3382" s="4">
        <v>6</v>
      </c>
      <c r="U3382" s="5" t="s">
        <v>32628</v>
      </c>
      <c r="V3382" s="5" t="s">
        <v>32628</v>
      </c>
      <c r="W3382" s="5" t="s">
        <v>67</v>
      </c>
      <c r="X3382" s="5" t="s">
        <v>67</v>
      </c>
      <c r="Y3382" s="4">
        <v>173</v>
      </c>
      <c r="Z3382" s="4">
        <v>19</v>
      </c>
      <c r="AA3382" s="4">
        <v>91</v>
      </c>
      <c r="AB3382" s="4">
        <v>1</v>
      </c>
      <c r="AC3382" s="4">
        <v>17</v>
      </c>
      <c r="AD3382" s="4">
        <v>81</v>
      </c>
      <c r="AE3382" s="4">
        <v>126</v>
      </c>
      <c r="AF3382" s="4">
        <v>0</v>
      </c>
      <c r="AG3382" s="4">
        <v>8</v>
      </c>
      <c r="AH3382" s="4">
        <v>77</v>
      </c>
      <c r="AI3382" s="4">
        <v>92</v>
      </c>
      <c r="AJ3382" s="4">
        <v>13</v>
      </c>
      <c r="AK3382" s="4">
        <v>23</v>
      </c>
      <c r="AL3382" s="4">
        <v>45</v>
      </c>
      <c r="AM3382" s="4">
        <v>53</v>
      </c>
      <c r="AN3382" s="4">
        <v>0</v>
      </c>
      <c r="AO3382" s="4">
        <v>0</v>
      </c>
      <c r="AP3382" s="4">
        <v>13</v>
      </c>
      <c r="AQ3382" s="4">
        <v>44</v>
      </c>
      <c r="AR3382" s="3" t="s">
        <v>62</v>
      </c>
      <c r="AS3382" s="3" t="s">
        <v>62</v>
      </c>
      <c r="AT3382" s="3" t="s">
        <v>62</v>
      </c>
      <c r="AV3382" s="6" t="str">
        <f>HYPERLINK("http://mcgill.on.worldcat.org/oclc/144769366","Catalog Record")</f>
        <v>Catalog Record</v>
      </c>
      <c r="AW3382" s="6" t="str">
        <f>HYPERLINK("http://www.worldcat.org/oclc/144769366","WorldCat Record")</f>
        <v>WorldCat Record</v>
      </c>
      <c r="AX3382" s="3" t="s">
        <v>32629</v>
      </c>
      <c r="AY3382" s="3" t="s">
        <v>32630</v>
      </c>
      <c r="AZ3382" s="3" t="s">
        <v>32631</v>
      </c>
      <c r="BA3382" s="3" t="s">
        <v>32631</v>
      </c>
      <c r="BB3382" s="3" t="s">
        <v>32632</v>
      </c>
      <c r="BC3382" s="3" t="s">
        <v>142</v>
      </c>
      <c r="BD3382" s="3" t="s">
        <v>68</v>
      </c>
      <c r="BE3382" s="3" t="s">
        <v>32633</v>
      </c>
      <c r="BF3382" s="3" t="s">
        <v>32632</v>
      </c>
      <c r="BG3382" s="3" t="s">
        <v>32634</v>
      </c>
    </row>
    <row r="3383" spans="1:59" ht="57" x14ac:dyDescent="0.45">
      <c r="A3383" s="2" t="s">
        <v>59</v>
      </c>
      <c r="B3383" s="2" t="s">
        <v>60</v>
      </c>
      <c r="C3383" s="2" t="s">
        <v>32635</v>
      </c>
      <c r="D3383" s="2" t="s">
        <v>32636</v>
      </c>
      <c r="E3383" s="2" t="s">
        <v>32637</v>
      </c>
      <c r="G3383" s="3" t="s">
        <v>62</v>
      </c>
      <c r="I3383" s="3" t="s">
        <v>62</v>
      </c>
      <c r="J3383" s="3" t="s">
        <v>62</v>
      </c>
      <c r="K3383" s="3" t="s">
        <v>63</v>
      </c>
      <c r="L3383" s="2" t="s">
        <v>32638</v>
      </c>
      <c r="M3383" s="2" t="s">
        <v>32639</v>
      </c>
      <c r="N3383" s="3" t="s">
        <v>970</v>
      </c>
      <c r="P3383" s="3" t="s">
        <v>65</v>
      </c>
      <c r="R3383" s="3" t="s">
        <v>66</v>
      </c>
      <c r="S3383" s="4">
        <v>9</v>
      </c>
      <c r="T3383" s="4">
        <v>9</v>
      </c>
      <c r="U3383" s="5" t="s">
        <v>5139</v>
      </c>
      <c r="V3383" s="5" t="s">
        <v>5139</v>
      </c>
      <c r="W3383" s="5" t="s">
        <v>67</v>
      </c>
      <c r="X3383" s="5" t="s">
        <v>67</v>
      </c>
      <c r="Y3383" s="4">
        <v>258</v>
      </c>
      <c r="Z3383" s="4">
        <v>20</v>
      </c>
      <c r="AA3383" s="4">
        <v>78</v>
      </c>
      <c r="AB3383" s="4">
        <v>1</v>
      </c>
      <c r="AC3383" s="4">
        <v>15</v>
      </c>
      <c r="AD3383" s="4">
        <v>96</v>
      </c>
      <c r="AE3383" s="4">
        <v>130</v>
      </c>
      <c r="AF3383" s="4">
        <v>0</v>
      </c>
      <c r="AG3383" s="4">
        <v>8</v>
      </c>
      <c r="AH3383" s="4">
        <v>88</v>
      </c>
      <c r="AI3383" s="4">
        <v>100</v>
      </c>
      <c r="AJ3383" s="4">
        <v>15</v>
      </c>
      <c r="AK3383" s="4">
        <v>24</v>
      </c>
      <c r="AL3383" s="4">
        <v>52</v>
      </c>
      <c r="AM3383" s="4">
        <v>55</v>
      </c>
      <c r="AN3383" s="4">
        <v>0</v>
      </c>
      <c r="AO3383" s="4">
        <v>0</v>
      </c>
      <c r="AP3383" s="4">
        <v>15</v>
      </c>
      <c r="AQ3383" s="4">
        <v>40</v>
      </c>
      <c r="AR3383" s="3" t="s">
        <v>62</v>
      </c>
      <c r="AS3383" s="3" t="s">
        <v>62</v>
      </c>
      <c r="AT3383" s="3" t="s">
        <v>61</v>
      </c>
      <c r="AU3383" s="6" t="str">
        <f>HYPERLINK("http://catalog.hathitrust.org/Record/004279744","HathiTrust Record")</f>
        <v>HathiTrust Record</v>
      </c>
      <c r="AV3383" s="6" t="str">
        <f>HYPERLINK("http://mcgill.on.worldcat.org/oclc/49495148","Catalog Record")</f>
        <v>Catalog Record</v>
      </c>
      <c r="AW3383" s="6" t="str">
        <f>HYPERLINK("http://www.worldcat.org/oclc/49495148","WorldCat Record")</f>
        <v>WorldCat Record</v>
      </c>
      <c r="AX3383" s="3" t="s">
        <v>32640</v>
      </c>
      <c r="AY3383" s="3" t="s">
        <v>32641</v>
      </c>
      <c r="AZ3383" s="3" t="s">
        <v>32642</v>
      </c>
      <c r="BA3383" s="3" t="s">
        <v>32642</v>
      </c>
      <c r="BB3383" s="3" t="s">
        <v>32643</v>
      </c>
      <c r="BC3383" s="3" t="s">
        <v>142</v>
      </c>
      <c r="BD3383" s="3" t="s">
        <v>68</v>
      </c>
      <c r="BE3383" s="3" t="s">
        <v>32644</v>
      </c>
      <c r="BF3383" s="3" t="s">
        <v>32643</v>
      </c>
      <c r="BG3383" s="3" t="s">
        <v>32645</v>
      </c>
    </row>
    <row r="3384" spans="1:59" ht="57" x14ac:dyDescent="0.45">
      <c r="A3384" s="2" t="s">
        <v>59</v>
      </c>
      <c r="B3384" s="2" t="s">
        <v>60</v>
      </c>
      <c r="C3384" s="2" t="s">
        <v>32646</v>
      </c>
      <c r="D3384" s="2" t="s">
        <v>32647</v>
      </c>
      <c r="E3384" s="2" t="s">
        <v>32648</v>
      </c>
      <c r="G3384" s="3" t="s">
        <v>62</v>
      </c>
      <c r="I3384" s="3" t="s">
        <v>62</v>
      </c>
      <c r="J3384" s="3" t="s">
        <v>62</v>
      </c>
      <c r="K3384" s="3" t="s">
        <v>63</v>
      </c>
      <c r="L3384" s="2" t="s">
        <v>32649</v>
      </c>
      <c r="M3384" s="2" t="s">
        <v>32650</v>
      </c>
      <c r="N3384" s="3" t="s">
        <v>1688</v>
      </c>
      <c r="P3384" s="3" t="s">
        <v>65</v>
      </c>
      <c r="R3384" s="3" t="s">
        <v>66</v>
      </c>
      <c r="S3384" s="4">
        <v>0</v>
      </c>
      <c r="T3384" s="4">
        <v>0</v>
      </c>
      <c r="W3384" s="5" t="s">
        <v>67</v>
      </c>
      <c r="X3384" s="5" t="s">
        <v>67</v>
      </c>
      <c r="Y3384" s="4">
        <v>15</v>
      </c>
      <c r="Z3384" s="4">
        <v>2</v>
      </c>
      <c r="AA3384" s="4">
        <v>2</v>
      </c>
      <c r="AB3384" s="4">
        <v>2</v>
      </c>
      <c r="AC3384" s="4">
        <v>2</v>
      </c>
      <c r="AD3384" s="4">
        <v>6</v>
      </c>
      <c r="AE3384" s="4">
        <v>6</v>
      </c>
      <c r="AF3384" s="4">
        <v>1</v>
      </c>
      <c r="AG3384" s="4">
        <v>1</v>
      </c>
      <c r="AH3384" s="4">
        <v>5</v>
      </c>
      <c r="AI3384" s="4">
        <v>5</v>
      </c>
      <c r="AJ3384" s="4">
        <v>1</v>
      </c>
      <c r="AK3384" s="4">
        <v>1</v>
      </c>
      <c r="AL3384" s="4">
        <v>4</v>
      </c>
      <c r="AM3384" s="4">
        <v>4</v>
      </c>
      <c r="AN3384" s="4">
        <v>0</v>
      </c>
      <c r="AO3384" s="4">
        <v>0</v>
      </c>
      <c r="AP3384" s="4">
        <v>1</v>
      </c>
      <c r="AQ3384" s="4">
        <v>1</v>
      </c>
      <c r="AR3384" s="3" t="s">
        <v>62</v>
      </c>
      <c r="AS3384" s="3" t="s">
        <v>62</v>
      </c>
      <c r="AT3384" s="3" t="s">
        <v>62</v>
      </c>
      <c r="AV3384" s="6" t="str">
        <f>HYPERLINK("http://mcgill.on.worldcat.org/oclc/872731048","Catalog Record")</f>
        <v>Catalog Record</v>
      </c>
      <c r="AW3384" s="6" t="str">
        <f>HYPERLINK("http://www.worldcat.org/oclc/872731048","WorldCat Record")</f>
        <v>WorldCat Record</v>
      </c>
      <c r="AX3384" s="3" t="s">
        <v>32651</v>
      </c>
      <c r="AY3384" s="3" t="s">
        <v>32652</v>
      </c>
      <c r="AZ3384" s="3" t="s">
        <v>32653</v>
      </c>
      <c r="BA3384" s="3" t="s">
        <v>32653</v>
      </c>
      <c r="BB3384" s="3" t="s">
        <v>32654</v>
      </c>
      <c r="BC3384" s="3" t="s">
        <v>142</v>
      </c>
      <c r="BD3384" s="3" t="s">
        <v>68</v>
      </c>
      <c r="BE3384" s="3" t="s">
        <v>32655</v>
      </c>
      <c r="BF3384" s="3" t="s">
        <v>32654</v>
      </c>
      <c r="BG3384" s="3" t="s">
        <v>32656</v>
      </c>
    </row>
    <row r="3385" spans="1:59" ht="57" x14ac:dyDescent="0.45">
      <c r="A3385" s="2" t="s">
        <v>59</v>
      </c>
      <c r="B3385" s="2" t="s">
        <v>60</v>
      </c>
      <c r="C3385" s="2" t="s">
        <v>32657</v>
      </c>
      <c r="D3385" s="2" t="s">
        <v>32658</v>
      </c>
      <c r="E3385" s="2" t="s">
        <v>32659</v>
      </c>
      <c r="G3385" s="3" t="s">
        <v>62</v>
      </c>
      <c r="I3385" s="3" t="s">
        <v>62</v>
      </c>
      <c r="J3385" s="3" t="s">
        <v>62</v>
      </c>
      <c r="K3385" s="3" t="s">
        <v>63</v>
      </c>
      <c r="L3385" s="2" t="s">
        <v>32660</v>
      </c>
      <c r="M3385" s="2" t="s">
        <v>4509</v>
      </c>
      <c r="N3385" s="3" t="s">
        <v>1465</v>
      </c>
      <c r="P3385" s="3" t="s">
        <v>65</v>
      </c>
      <c r="Q3385" s="2" t="s">
        <v>32661</v>
      </c>
      <c r="R3385" s="3" t="s">
        <v>66</v>
      </c>
      <c r="S3385" s="4">
        <v>2</v>
      </c>
      <c r="T3385" s="4">
        <v>2</v>
      </c>
      <c r="U3385" s="5" t="s">
        <v>7245</v>
      </c>
      <c r="V3385" s="5" t="s">
        <v>7245</v>
      </c>
      <c r="W3385" s="5" t="s">
        <v>67</v>
      </c>
      <c r="X3385" s="5" t="s">
        <v>67</v>
      </c>
      <c r="Y3385" s="4">
        <v>176</v>
      </c>
      <c r="Z3385" s="4">
        <v>17</v>
      </c>
      <c r="AA3385" s="4">
        <v>97</v>
      </c>
      <c r="AB3385" s="4">
        <v>3</v>
      </c>
      <c r="AC3385" s="4">
        <v>18</v>
      </c>
      <c r="AD3385" s="4">
        <v>66</v>
      </c>
      <c r="AE3385" s="4">
        <v>132</v>
      </c>
      <c r="AF3385" s="4">
        <v>1</v>
      </c>
      <c r="AG3385" s="4">
        <v>8</v>
      </c>
      <c r="AH3385" s="4">
        <v>58</v>
      </c>
      <c r="AI3385" s="4">
        <v>90</v>
      </c>
      <c r="AJ3385" s="4">
        <v>12</v>
      </c>
      <c r="AK3385" s="4">
        <v>26</v>
      </c>
      <c r="AL3385" s="4">
        <v>41</v>
      </c>
      <c r="AM3385" s="4">
        <v>51</v>
      </c>
      <c r="AN3385" s="4">
        <v>0</v>
      </c>
      <c r="AO3385" s="4">
        <v>0</v>
      </c>
      <c r="AP3385" s="4">
        <v>13</v>
      </c>
      <c r="AQ3385" s="4">
        <v>50</v>
      </c>
      <c r="AR3385" s="3" t="s">
        <v>62</v>
      </c>
      <c r="AS3385" s="3" t="s">
        <v>62</v>
      </c>
      <c r="AT3385" s="3" t="s">
        <v>62</v>
      </c>
      <c r="AV3385" s="6" t="str">
        <f>HYPERLINK("http://mcgill.on.worldcat.org/oclc/294885644","Catalog Record")</f>
        <v>Catalog Record</v>
      </c>
      <c r="AW3385" s="6" t="str">
        <f>HYPERLINK("http://www.worldcat.org/oclc/294885644","WorldCat Record")</f>
        <v>WorldCat Record</v>
      </c>
      <c r="AX3385" s="3" t="s">
        <v>32662</v>
      </c>
      <c r="AY3385" s="3" t="s">
        <v>32663</v>
      </c>
      <c r="AZ3385" s="3" t="s">
        <v>32664</v>
      </c>
      <c r="BA3385" s="3" t="s">
        <v>32664</v>
      </c>
      <c r="BB3385" s="3" t="s">
        <v>32665</v>
      </c>
      <c r="BC3385" s="3" t="s">
        <v>142</v>
      </c>
      <c r="BD3385" s="3" t="s">
        <v>68</v>
      </c>
      <c r="BE3385" s="3" t="s">
        <v>32666</v>
      </c>
      <c r="BF3385" s="3" t="s">
        <v>32665</v>
      </c>
      <c r="BG3385" s="3" t="s">
        <v>32667</v>
      </c>
    </row>
    <row r="3386" spans="1:59" ht="57" x14ac:dyDescent="0.45">
      <c r="A3386" s="2" t="s">
        <v>59</v>
      </c>
      <c r="B3386" s="2" t="s">
        <v>60</v>
      </c>
      <c r="C3386" s="2" t="s">
        <v>32668</v>
      </c>
      <c r="D3386" s="2" t="s">
        <v>32669</v>
      </c>
      <c r="E3386" s="2" t="s">
        <v>32670</v>
      </c>
      <c r="G3386" s="3" t="s">
        <v>62</v>
      </c>
      <c r="I3386" s="3" t="s">
        <v>62</v>
      </c>
      <c r="J3386" s="3" t="s">
        <v>62</v>
      </c>
      <c r="K3386" s="3" t="s">
        <v>63</v>
      </c>
      <c r="L3386" s="2" t="s">
        <v>32671</v>
      </c>
      <c r="M3386" s="2" t="s">
        <v>32672</v>
      </c>
      <c r="N3386" s="3" t="s">
        <v>1465</v>
      </c>
      <c r="P3386" s="3" t="s">
        <v>65</v>
      </c>
      <c r="Q3386" s="2" t="s">
        <v>32673</v>
      </c>
      <c r="R3386" s="3" t="s">
        <v>66</v>
      </c>
      <c r="S3386" s="4">
        <v>1</v>
      </c>
      <c r="T3386" s="4">
        <v>1</v>
      </c>
      <c r="U3386" s="5" t="s">
        <v>32674</v>
      </c>
      <c r="V3386" s="5" t="s">
        <v>32674</v>
      </c>
      <c r="W3386" s="5" t="s">
        <v>67</v>
      </c>
      <c r="X3386" s="5" t="s">
        <v>67</v>
      </c>
      <c r="Y3386" s="4">
        <v>73</v>
      </c>
      <c r="Z3386" s="4">
        <v>3</v>
      </c>
      <c r="AA3386" s="4">
        <v>3</v>
      </c>
      <c r="AB3386" s="4">
        <v>1</v>
      </c>
      <c r="AC3386" s="4">
        <v>1</v>
      </c>
      <c r="AD3386" s="4">
        <v>32</v>
      </c>
      <c r="AE3386" s="4">
        <v>32</v>
      </c>
      <c r="AF3386" s="4">
        <v>0</v>
      </c>
      <c r="AG3386" s="4">
        <v>0</v>
      </c>
      <c r="AH3386" s="4">
        <v>31</v>
      </c>
      <c r="AI3386" s="4">
        <v>31</v>
      </c>
      <c r="AJ3386" s="4">
        <v>2</v>
      </c>
      <c r="AK3386" s="4">
        <v>2</v>
      </c>
      <c r="AL3386" s="4">
        <v>25</v>
      </c>
      <c r="AM3386" s="4">
        <v>25</v>
      </c>
      <c r="AN3386" s="4">
        <v>0</v>
      </c>
      <c r="AO3386" s="4">
        <v>0</v>
      </c>
      <c r="AP3386" s="4">
        <v>2</v>
      </c>
      <c r="AQ3386" s="4">
        <v>2</v>
      </c>
      <c r="AR3386" s="3" t="s">
        <v>62</v>
      </c>
      <c r="AS3386" s="3" t="s">
        <v>62</v>
      </c>
      <c r="AT3386" s="3" t="s">
        <v>62</v>
      </c>
      <c r="AV3386" s="6" t="str">
        <f>HYPERLINK("http://mcgill.on.worldcat.org/oclc/440632150","Catalog Record")</f>
        <v>Catalog Record</v>
      </c>
      <c r="AW3386" s="6" t="str">
        <f>HYPERLINK("http://www.worldcat.org/oclc/440632150","WorldCat Record")</f>
        <v>WorldCat Record</v>
      </c>
      <c r="AX3386" s="3" t="s">
        <v>32675</v>
      </c>
      <c r="AY3386" s="3" t="s">
        <v>32676</v>
      </c>
      <c r="AZ3386" s="3" t="s">
        <v>32677</v>
      </c>
      <c r="BA3386" s="3" t="s">
        <v>32677</v>
      </c>
      <c r="BB3386" s="3" t="s">
        <v>32678</v>
      </c>
      <c r="BC3386" s="3" t="s">
        <v>142</v>
      </c>
      <c r="BD3386" s="3" t="s">
        <v>68</v>
      </c>
      <c r="BE3386" s="3" t="s">
        <v>32679</v>
      </c>
      <c r="BF3386" s="3" t="s">
        <v>32678</v>
      </c>
      <c r="BG3386" s="3" t="s">
        <v>32680</v>
      </c>
    </row>
    <row r="3387" spans="1:59" ht="57" x14ac:dyDescent="0.45">
      <c r="A3387" s="2" t="s">
        <v>59</v>
      </c>
      <c r="B3387" s="2" t="s">
        <v>60</v>
      </c>
      <c r="C3387" s="2" t="s">
        <v>32681</v>
      </c>
      <c r="D3387" s="2" t="s">
        <v>32682</v>
      </c>
      <c r="E3387" s="2" t="s">
        <v>32683</v>
      </c>
      <c r="G3387" s="3" t="s">
        <v>62</v>
      </c>
      <c r="I3387" s="3" t="s">
        <v>62</v>
      </c>
      <c r="J3387" s="3" t="s">
        <v>62</v>
      </c>
      <c r="K3387" s="3" t="s">
        <v>63</v>
      </c>
      <c r="L3387" s="2" t="s">
        <v>31714</v>
      </c>
      <c r="M3387" s="2" t="s">
        <v>8238</v>
      </c>
      <c r="N3387" s="3" t="s">
        <v>1097</v>
      </c>
      <c r="P3387" s="3" t="s">
        <v>65</v>
      </c>
      <c r="R3387" s="3" t="s">
        <v>66</v>
      </c>
      <c r="S3387" s="4">
        <v>30</v>
      </c>
      <c r="T3387" s="4">
        <v>30</v>
      </c>
      <c r="U3387" s="5" t="s">
        <v>32628</v>
      </c>
      <c r="V3387" s="5" t="s">
        <v>32628</v>
      </c>
      <c r="W3387" s="5" t="s">
        <v>67</v>
      </c>
      <c r="X3387" s="5" t="s">
        <v>67</v>
      </c>
      <c r="Y3387" s="4">
        <v>483</v>
      </c>
      <c r="Z3387" s="4">
        <v>23</v>
      </c>
      <c r="AA3387" s="4">
        <v>29</v>
      </c>
      <c r="AB3387" s="4">
        <v>2</v>
      </c>
      <c r="AC3387" s="4">
        <v>5</v>
      </c>
      <c r="AD3387" s="4">
        <v>96</v>
      </c>
      <c r="AE3387" s="4">
        <v>102</v>
      </c>
      <c r="AF3387" s="4">
        <v>1</v>
      </c>
      <c r="AG3387" s="4">
        <v>2</v>
      </c>
      <c r="AH3387" s="4">
        <v>84</v>
      </c>
      <c r="AI3387" s="4">
        <v>88</v>
      </c>
      <c r="AJ3387" s="4">
        <v>16</v>
      </c>
      <c r="AK3387" s="4">
        <v>18</v>
      </c>
      <c r="AL3387" s="4">
        <v>44</v>
      </c>
      <c r="AM3387" s="4">
        <v>46</v>
      </c>
      <c r="AN3387" s="4">
        <v>0</v>
      </c>
      <c r="AO3387" s="4">
        <v>0</v>
      </c>
      <c r="AP3387" s="4">
        <v>18</v>
      </c>
      <c r="AQ3387" s="4">
        <v>21</v>
      </c>
      <c r="AR3387" s="3" t="s">
        <v>62</v>
      </c>
      <c r="AS3387" s="3" t="s">
        <v>62</v>
      </c>
      <c r="AT3387" s="3" t="s">
        <v>61</v>
      </c>
      <c r="AU3387" s="6" t="str">
        <f>HYPERLINK("http://catalog.hathitrust.org/Record/004753103","HathiTrust Record")</f>
        <v>HathiTrust Record</v>
      </c>
      <c r="AV3387" s="6" t="str">
        <f>HYPERLINK("http://mcgill.on.worldcat.org/oclc/54415794","Catalog Record")</f>
        <v>Catalog Record</v>
      </c>
      <c r="AW3387" s="6" t="str">
        <f>HYPERLINK("http://www.worldcat.org/oclc/54415794","WorldCat Record")</f>
        <v>WorldCat Record</v>
      </c>
      <c r="AX3387" s="3" t="s">
        <v>32684</v>
      </c>
      <c r="AY3387" s="3" t="s">
        <v>32685</v>
      </c>
      <c r="AZ3387" s="3" t="s">
        <v>32686</v>
      </c>
      <c r="BA3387" s="3" t="s">
        <v>32686</v>
      </c>
      <c r="BB3387" s="3" t="s">
        <v>32687</v>
      </c>
      <c r="BC3387" s="3" t="s">
        <v>142</v>
      </c>
      <c r="BD3387" s="3" t="s">
        <v>68</v>
      </c>
      <c r="BE3387" s="3" t="s">
        <v>32688</v>
      </c>
      <c r="BF3387" s="3" t="s">
        <v>32687</v>
      </c>
      <c r="BG3387" s="3" t="s">
        <v>32689</v>
      </c>
    </row>
    <row r="3388" spans="1:59" ht="57" x14ac:dyDescent="0.45">
      <c r="A3388" s="2" t="s">
        <v>59</v>
      </c>
      <c r="B3388" s="2" t="s">
        <v>60</v>
      </c>
      <c r="C3388" s="2" t="s">
        <v>32690</v>
      </c>
      <c r="D3388" s="2" t="s">
        <v>32691</v>
      </c>
      <c r="E3388" s="2" t="s">
        <v>32692</v>
      </c>
      <c r="G3388" s="3" t="s">
        <v>62</v>
      </c>
      <c r="I3388" s="3" t="s">
        <v>62</v>
      </c>
      <c r="J3388" s="3" t="s">
        <v>62</v>
      </c>
      <c r="K3388" s="3" t="s">
        <v>63</v>
      </c>
      <c r="L3388" s="2" t="s">
        <v>32693</v>
      </c>
      <c r="M3388" s="2" t="s">
        <v>32694</v>
      </c>
      <c r="N3388" s="3" t="s">
        <v>1097</v>
      </c>
      <c r="P3388" s="3" t="s">
        <v>65</v>
      </c>
      <c r="R3388" s="3" t="s">
        <v>66</v>
      </c>
      <c r="S3388" s="4">
        <v>6</v>
      </c>
      <c r="T3388" s="4">
        <v>6</v>
      </c>
      <c r="U3388" s="5" t="s">
        <v>3064</v>
      </c>
      <c r="V3388" s="5" t="s">
        <v>3064</v>
      </c>
      <c r="W3388" s="5" t="s">
        <v>67</v>
      </c>
      <c r="X3388" s="5" t="s">
        <v>67</v>
      </c>
      <c r="Y3388" s="4">
        <v>253</v>
      </c>
      <c r="Z3388" s="4">
        <v>17</v>
      </c>
      <c r="AA3388" s="4">
        <v>105</v>
      </c>
      <c r="AB3388" s="4">
        <v>2</v>
      </c>
      <c r="AC3388" s="4">
        <v>21</v>
      </c>
      <c r="AD3388" s="4">
        <v>102</v>
      </c>
      <c r="AE3388" s="4">
        <v>152</v>
      </c>
      <c r="AF3388" s="4">
        <v>1</v>
      </c>
      <c r="AG3388" s="4">
        <v>9</v>
      </c>
      <c r="AH3388" s="4">
        <v>93</v>
      </c>
      <c r="AI3388" s="4">
        <v>104</v>
      </c>
      <c r="AJ3388" s="4">
        <v>13</v>
      </c>
      <c r="AK3388" s="4">
        <v>26</v>
      </c>
      <c r="AL3388" s="4">
        <v>54</v>
      </c>
      <c r="AM3388" s="4">
        <v>59</v>
      </c>
      <c r="AN3388" s="4">
        <v>0</v>
      </c>
      <c r="AO3388" s="4">
        <v>0</v>
      </c>
      <c r="AP3388" s="4">
        <v>14</v>
      </c>
      <c r="AQ3388" s="4">
        <v>54</v>
      </c>
      <c r="AR3388" s="3" t="s">
        <v>62</v>
      </c>
      <c r="AS3388" s="3" t="s">
        <v>62</v>
      </c>
      <c r="AT3388" s="3" t="s">
        <v>61</v>
      </c>
      <c r="AU3388" s="6" t="str">
        <f>HYPERLINK("http://catalog.hathitrust.org/Record/004357226","HathiTrust Record")</f>
        <v>HathiTrust Record</v>
      </c>
      <c r="AV3388" s="6" t="str">
        <f>HYPERLINK("http://mcgill.on.worldcat.org/oclc/50034929","Catalog Record")</f>
        <v>Catalog Record</v>
      </c>
      <c r="AW3388" s="6" t="str">
        <f>HYPERLINK("http://www.worldcat.org/oclc/50034929","WorldCat Record")</f>
        <v>WorldCat Record</v>
      </c>
      <c r="AX3388" s="3" t="s">
        <v>32695</v>
      </c>
      <c r="AY3388" s="3" t="s">
        <v>32696</v>
      </c>
      <c r="AZ3388" s="3" t="s">
        <v>32697</v>
      </c>
      <c r="BA3388" s="3" t="s">
        <v>32697</v>
      </c>
      <c r="BB3388" s="3" t="s">
        <v>32698</v>
      </c>
      <c r="BC3388" s="3" t="s">
        <v>142</v>
      </c>
      <c r="BD3388" s="3" t="s">
        <v>308</v>
      </c>
      <c r="BE3388" s="3" t="s">
        <v>32699</v>
      </c>
      <c r="BF3388" s="3" t="s">
        <v>32698</v>
      </c>
      <c r="BG3388" s="3" t="s">
        <v>32700</v>
      </c>
    </row>
    <row r="3389" spans="1:59" ht="57" x14ac:dyDescent="0.45">
      <c r="A3389" s="2" t="s">
        <v>59</v>
      </c>
      <c r="B3389" s="2" t="s">
        <v>60</v>
      </c>
      <c r="C3389" s="2" t="s">
        <v>32701</v>
      </c>
      <c r="D3389" s="2" t="s">
        <v>32702</v>
      </c>
      <c r="E3389" s="2" t="s">
        <v>32703</v>
      </c>
      <c r="G3389" s="3" t="s">
        <v>62</v>
      </c>
      <c r="I3389" s="3" t="s">
        <v>62</v>
      </c>
      <c r="J3389" s="3" t="s">
        <v>62</v>
      </c>
      <c r="K3389" s="3" t="s">
        <v>63</v>
      </c>
      <c r="L3389" s="2" t="s">
        <v>32704</v>
      </c>
      <c r="M3389" s="2" t="s">
        <v>9667</v>
      </c>
      <c r="N3389" s="3" t="s">
        <v>894</v>
      </c>
      <c r="P3389" s="3" t="s">
        <v>65</v>
      </c>
      <c r="R3389" s="3" t="s">
        <v>66</v>
      </c>
      <c r="S3389" s="4">
        <v>0</v>
      </c>
      <c r="T3389" s="4">
        <v>0</v>
      </c>
      <c r="W3389" s="5" t="s">
        <v>67</v>
      </c>
      <c r="X3389" s="5" t="s">
        <v>67</v>
      </c>
      <c r="Y3389" s="4">
        <v>177</v>
      </c>
      <c r="Z3389" s="4">
        <v>21</v>
      </c>
      <c r="AA3389" s="4">
        <v>83</v>
      </c>
      <c r="AB3389" s="4">
        <v>2</v>
      </c>
      <c r="AC3389" s="4">
        <v>14</v>
      </c>
      <c r="AD3389" s="4">
        <v>78</v>
      </c>
      <c r="AE3389" s="4">
        <v>126</v>
      </c>
      <c r="AF3389" s="4">
        <v>1</v>
      </c>
      <c r="AG3389" s="4">
        <v>8</v>
      </c>
      <c r="AH3389" s="4">
        <v>69</v>
      </c>
      <c r="AI3389" s="4">
        <v>91</v>
      </c>
      <c r="AJ3389" s="4">
        <v>16</v>
      </c>
      <c r="AK3389" s="4">
        <v>25</v>
      </c>
      <c r="AL3389" s="4">
        <v>41</v>
      </c>
      <c r="AM3389" s="4">
        <v>49</v>
      </c>
      <c r="AN3389" s="4">
        <v>0</v>
      </c>
      <c r="AO3389" s="4">
        <v>0</v>
      </c>
      <c r="AP3389" s="4">
        <v>17</v>
      </c>
      <c r="AQ3389" s="4">
        <v>44</v>
      </c>
      <c r="AR3389" s="3" t="s">
        <v>62</v>
      </c>
      <c r="AS3389" s="3" t="s">
        <v>62</v>
      </c>
      <c r="AT3389" s="3" t="s">
        <v>61</v>
      </c>
      <c r="AU3389" s="6" t="str">
        <f>HYPERLINK("http://catalog.hathitrust.org/Record/011155707","HathiTrust Record")</f>
        <v>HathiTrust Record</v>
      </c>
      <c r="AV3389" s="6" t="str">
        <f>HYPERLINK("http://mcgill.on.worldcat.org/oclc/707886955","Catalog Record")</f>
        <v>Catalog Record</v>
      </c>
      <c r="AW3389" s="6" t="str">
        <f>HYPERLINK("http://www.worldcat.org/oclc/707886955","WorldCat Record")</f>
        <v>WorldCat Record</v>
      </c>
      <c r="AX3389" s="3" t="s">
        <v>32705</v>
      </c>
      <c r="AY3389" s="3" t="s">
        <v>32706</v>
      </c>
      <c r="AZ3389" s="3" t="s">
        <v>32707</v>
      </c>
      <c r="BA3389" s="3" t="s">
        <v>32707</v>
      </c>
      <c r="BB3389" s="3" t="s">
        <v>32708</v>
      </c>
      <c r="BC3389" s="3" t="s">
        <v>142</v>
      </c>
      <c r="BD3389" s="3" t="s">
        <v>68</v>
      </c>
      <c r="BE3389" s="3" t="s">
        <v>32709</v>
      </c>
      <c r="BF3389" s="3" t="s">
        <v>32708</v>
      </c>
      <c r="BG3389" s="3" t="s">
        <v>32710</v>
      </c>
    </row>
    <row r="3390" spans="1:59" ht="57" x14ac:dyDescent="0.45">
      <c r="A3390" s="2" t="s">
        <v>59</v>
      </c>
      <c r="B3390" s="2" t="s">
        <v>60</v>
      </c>
      <c r="C3390" s="2" t="s">
        <v>32711</v>
      </c>
      <c r="D3390" s="2" t="s">
        <v>32712</v>
      </c>
      <c r="E3390" s="2" t="s">
        <v>32713</v>
      </c>
      <c r="G3390" s="3" t="s">
        <v>62</v>
      </c>
      <c r="I3390" s="3" t="s">
        <v>62</v>
      </c>
      <c r="J3390" s="3" t="s">
        <v>62</v>
      </c>
      <c r="K3390" s="3" t="s">
        <v>63</v>
      </c>
      <c r="M3390" s="2" t="s">
        <v>3172</v>
      </c>
      <c r="N3390" s="3" t="s">
        <v>149</v>
      </c>
      <c r="P3390" s="3" t="s">
        <v>65</v>
      </c>
      <c r="R3390" s="3" t="s">
        <v>66</v>
      </c>
      <c r="S3390" s="4">
        <v>0</v>
      </c>
      <c r="T3390" s="4">
        <v>0</v>
      </c>
      <c r="W3390" s="5" t="s">
        <v>67</v>
      </c>
      <c r="X3390" s="5" t="s">
        <v>67</v>
      </c>
      <c r="Y3390" s="4">
        <v>52</v>
      </c>
      <c r="Z3390" s="4">
        <v>9</v>
      </c>
      <c r="AA3390" s="4">
        <v>74</v>
      </c>
      <c r="AB3390" s="4">
        <v>1</v>
      </c>
      <c r="AC3390" s="4">
        <v>14</v>
      </c>
      <c r="AD3390" s="4">
        <v>25</v>
      </c>
      <c r="AE3390" s="4">
        <v>89</v>
      </c>
      <c r="AF3390" s="4">
        <v>0</v>
      </c>
      <c r="AG3390" s="4">
        <v>8</v>
      </c>
      <c r="AH3390" s="4">
        <v>24</v>
      </c>
      <c r="AI3390" s="4">
        <v>58</v>
      </c>
      <c r="AJ3390" s="4">
        <v>7</v>
      </c>
      <c r="AK3390" s="4">
        <v>19</v>
      </c>
      <c r="AL3390" s="4">
        <v>15</v>
      </c>
      <c r="AM3390" s="4">
        <v>31</v>
      </c>
      <c r="AN3390" s="4">
        <v>0</v>
      </c>
      <c r="AO3390" s="4">
        <v>0</v>
      </c>
      <c r="AP3390" s="4">
        <v>7</v>
      </c>
      <c r="AQ3390" s="4">
        <v>39</v>
      </c>
      <c r="AR3390" s="3" t="s">
        <v>62</v>
      </c>
      <c r="AS3390" s="3" t="s">
        <v>62</v>
      </c>
      <c r="AT3390" s="3" t="s">
        <v>62</v>
      </c>
      <c r="AV3390" s="6" t="str">
        <f>HYPERLINK("http://mcgill.on.worldcat.org/oclc/498931500","Catalog Record")</f>
        <v>Catalog Record</v>
      </c>
      <c r="AW3390" s="6" t="str">
        <f>HYPERLINK("http://www.worldcat.org/oclc/498931500","WorldCat Record")</f>
        <v>WorldCat Record</v>
      </c>
      <c r="AX3390" s="3" t="s">
        <v>32714</v>
      </c>
      <c r="AY3390" s="3" t="s">
        <v>32715</v>
      </c>
      <c r="AZ3390" s="3" t="s">
        <v>32716</v>
      </c>
      <c r="BA3390" s="3" t="s">
        <v>32716</v>
      </c>
      <c r="BB3390" s="3" t="s">
        <v>32717</v>
      </c>
      <c r="BC3390" s="3" t="s">
        <v>142</v>
      </c>
      <c r="BD3390" s="3" t="s">
        <v>68</v>
      </c>
      <c r="BE3390" s="3" t="s">
        <v>32718</v>
      </c>
      <c r="BF3390" s="3" t="s">
        <v>32717</v>
      </c>
      <c r="BG3390" s="3" t="s">
        <v>32719</v>
      </c>
    </row>
    <row r="3391" spans="1:59" ht="57" x14ac:dyDescent="0.45">
      <c r="A3391" s="2" t="s">
        <v>59</v>
      </c>
      <c r="B3391" s="2" t="s">
        <v>60</v>
      </c>
      <c r="C3391" s="2" t="s">
        <v>32720</v>
      </c>
      <c r="D3391" s="2" t="s">
        <v>32721</v>
      </c>
      <c r="E3391" s="2" t="s">
        <v>32722</v>
      </c>
      <c r="G3391" s="3" t="s">
        <v>62</v>
      </c>
      <c r="I3391" s="3" t="s">
        <v>62</v>
      </c>
      <c r="J3391" s="3" t="s">
        <v>62</v>
      </c>
      <c r="K3391" s="3" t="s">
        <v>63</v>
      </c>
      <c r="L3391" s="2" t="s">
        <v>29968</v>
      </c>
      <c r="M3391" s="2" t="s">
        <v>32723</v>
      </c>
      <c r="N3391" s="3" t="s">
        <v>1097</v>
      </c>
      <c r="P3391" s="3" t="s">
        <v>65</v>
      </c>
      <c r="Q3391" s="2" t="s">
        <v>29186</v>
      </c>
      <c r="R3391" s="3" t="s">
        <v>66</v>
      </c>
      <c r="S3391" s="4">
        <v>4</v>
      </c>
      <c r="T3391" s="4">
        <v>4</v>
      </c>
      <c r="U3391" s="5" t="s">
        <v>29969</v>
      </c>
      <c r="V3391" s="5" t="s">
        <v>29969</v>
      </c>
      <c r="W3391" s="5" t="s">
        <v>67</v>
      </c>
      <c r="X3391" s="5" t="s">
        <v>67</v>
      </c>
      <c r="Y3391" s="4">
        <v>205</v>
      </c>
      <c r="Z3391" s="4">
        <v>17</v>
      </c>
      <c r="AA3391" s="4">
        <v>25</v>
      </c>
      <c r="AB3391" s="4">
        <v>1</v>
      </c>
      <c r="AC3391" s="4">
        <v>5</v>
      </c>
      <c r="AD3391" s="4">
        <v>83</v>
      </c>
      <c r="AE3391" s="4">
        <v>89</v>
      </c>
      <c r="AF3391" s="4">
        <v>0</v>
      </c>
      <c r="AG3391" s="4">
        <v>2</v>
      </c>
      <c r="AH3391" s="4">
        <v>76</v>
      </c>
      <c r="AI3391" s="4">
        <v>79</v>
      </c>
      <c r="AJ3391" s="4">
        <v>14</v>
      </c>
      <c r="AK3391" s="4">
        <v>19</v>
      </c>
      <c r="AL3391" s="4">
        <v>42</v>
      </c>
      <c r="AM3391" s="4">
        <v>44</v>
      </c>
      <c r="AN3391" s="4">
        <v>0</v>
      </c>
      <c r="AO3391" s="4">
        <v>0</v>
      </c>
      <c r="AP3391" s="4">
        <v>15</v>
      </c>
      <c r="AQ3391" s="4">
        <v>19</v>
      </c>
      <c r="AR3391" s="3" t="s">
        <v>62</v>
      </c>
      <c r="AS3391" s="3" t="s">
        <v>62</v>
      </c>
      <c r="AT3391" s="3" t="s">
        <v>62</v>
      </c>
      <c r="AV3391" s="6" t="str">
        <f>HYPERLINK("http://mcgill.on.worldcat.org/oclc/55502636","Catalog Record")</f>
        <v>Catalog Record</v>
      </c>
      <c r="AW3391" s="6" t="str">
        <f>HYPERLINK("http://www.worldcat.org/oclc/55502636","WorldCat Record")</f>
        <v>WorldCat Record</v>
      </c>
      <c r="AX3391" s="3" t="s">
        <v>32724</v>
      </c>
      <c r="AY3391" s="3" t="s">
        <v>32725</v>
      </c>
      <c r="AZ3391" s="3" t="s">
        <v>32726</v>
      </c>
      <c r="BA3391" s="3" t="s">
        <v>32726</v>
      </c>
      <c r="BB3391" s="3" t="s">
        <v>32727</v>
      </c>
      <c r="BC3391" s="3" t="s">
        <v>142</v>
      </c>
      <c r="BD3391" s="3" t="s">
        <v>68</v>
      </c>
      <c r="BE3391" s="3" t="s">
        <v>32728</v>
      </c>
      <c r="BF3391" s="3" t="s">
        <v>32727</v>
      </c>
      <c r="BG3391" s="3" t="s">
        <v>32729</v>
      </c>
    </row>
    <row r="3392" spans="1:59" ht="57" x14ac:dyDescent="0.45">
      <c r="A3392" s="2" t="s">
        <v>59</v>
      </c>
      <c r="B3392" s="2" t="s">
        <v>60</v>
      </c>
      <c r="C3392" s="2" t="s">
        <v>32730</v>
      </c>
      <c r="D3392" s="2" t="s">
        <v>32731</v>
      </c>
      <c r="E3392" s="2" t="s">
        <v>32732</v>
      </c>
      <c r="G3392" s="3" t="s">
        <v>62</v>
      </c>
      <c r="I3392" s="3" t="s">
        <v>62</v>
      </c>
      <c r="J3392" s="3" t="s">
        <v>62</v>
      </c>
      <c r="K3392" s="3" t="s">
        <v>63</v>
      </c>
      <c r="L3392" s="2" t="s">
        <v>29968</v>
      </c>
      <c r="M3392" s="2" t="s">
        <v>32733</v>
      </c>
      <c r="N3392" s="3" t="s">
        <v>1059</v>
      </c>
      <c r="P3392" s="3" t="s">
        <v>65</v>
      </c>
      <c r="Q3392" s="2" t="s">
        <v>32734</v>
      </c>
      <c r="R3392" s="3" t="s">
        <v>66</v>
      </c>
      <c r="S3392" s="4">
        <v>1</v>
      </c>
      <c r="T3392" s="4">
        <v>1</v>
      </c>
      <c r="U3392" s="5" t="s">
        <v>32735</v>
      </c>
      <c r="V3392" s="5" t="s">
        <v>32735</v>
      </c>
      <c r="W3392" s="5" t="s">
        <v>67</v>
      </c>
      <c r="X3392" s="5" t="s">
        <v>67</v>
      </c>
      <c r="Y3392" s="4">
        <v>122</v>
      </c>
      <c r="Z3392" s="4">
        <v>13</v>
      </c>
      <c r="AA3392" s="4">
        <v>98</v>
      </c>
      <c r="AB3392" s="4">
        <v>1</v>
      </c>
      <c r="AC3392" s="4">
        <v>17</v>
      </c>
      <c r="AD3392" s="4">
        <v>50</v>
      </c>
      <c r="AE3392" s="4">
        <v>121</v>
      </c>
      <c r="AF3392" s="4">
        <v>0</v>
      </c>
      <c r="AG3392" s="4">
        <v>8</v>
      </c>
      <c r="AH3392" s="4">
        <v>46</v>
      </c>
      <c r="AI3392" s="4">
        <v>84</v>
      </c>
      <c r="AJ3392" s="4">
        <v>9</v>
      </c>
      <c r="AK3392" s="4">
        <v>22</v>
      </c>
      <c r="AL3392" s="4">
        <v>29</v>
      </c>
      <c r="AM3392" s="4">
        <v>43</v>
      </c>
      <c r="AN3392" s="4">
        <v>0</v>
      </c>
      <c r="AO3392" s="4">
        <v>0</v>
      </c>
      <c r="AP3392" s="4">
        <v>11</v>
      </c>
      <c r="AQ3392" s="4">
        <v>45</v>
      </c>
      <c r="AR3392" s="3" t="s">
        <v>62</v>
      </c>
      <c r="AS3392" s="3" t="s">
        <v>62</v>
      </c>
      <c r="AT3392" s="3" t="s">
        <v>62</v>
      </c>
      <c r="AV3392" s="6" t="str">
        <f>HYPERLINK("http://mcgill.on.worldcat.org/oclc/70054370","Catalog Record")</f>
        <v>Catalog Record</v>
      </c>
      <c r="AW3392" s="6" t="str">
        <f>HYPERLINK("http://www.worldcat.org/oclc/70054370","WorldCat Record")</f>
        <v>WorldCat Record</v>
      </c>
      <c r="AX3392" s="3" t="s">
        <v>32736</v>
      </c>
      <c r="AY3392" s="3" t="s">
        <v>32737</v>
      </c>
      <c r="AZ3392" s="3" t="s">
        <v>32738</v>
      </c>
      <c r="BA3392" s="3" t="s">
        <v>32738</v>
      </c>
      <c r="BB3392" s="3" t="s">
        <v>32739</v>
      </c>
      <c r="BC3392" s="3" t="s">
        <v>142</v>
      </c>
      <c r="BD3392" s="3" t="s">
        <v>68</v>
      </c>
      <c r="BE3392" s="3" t="s">
        <v>32740</v>
      </c>
      <c r="BF3392" s="3" t="s">
        <v>32739</v>
      </c>
      <c r="BG3392" s="3" t="s">
        <v>32741</v>
      </c>
    </row>
    <row r="3393" spans="1:59" ht="57" x14ac:dyDescent="0.45">
      <c r="A3393" s="2" t="s">
        <v>59</v>
      </c>
      <c r="B3393" s="2" t="s">
        <v>60</v>
      </c>
      <c r="C3393" s="2" t="s">
        <v>32742</v>
      </c>
      <c r="D3393" s="2" t="s">
        <v>32743</v>
      </c>
      <c r="E3393" s="2" t="s">
        <v>32744</v>
      </c>
      <c r="G3393" s="3" t="s">
        <v>62</v>
      </c>
      <c r="I3393" s="3" t="s">
        <v>62</v>
      </c>
      <c r="J3393" s="3" t="s">
        <v>62</v>
      </c>
      <c r="K3393" s="3" t="s">
        <v>63</v>
      </c>
      <c r="L3393" s="2" t="s">
        <v>13250</v>
      </c>
      <c r="M3393" s="2" t="s">
        <v>32745</v>
      </c>
      <c r="N3393" s="3" t="s">
        <v>945</v>
      </c>
      <c r="P3393" s="3" t="s">
        <v>65</v>
      </c>
      <c r="Q3393" s="2" t="s">
        <v>12051</v>
      </c>
      <c r="R3393" s="3" t="s">
        <v>66</v>
      </c>
      <c r="S3393" s="4">
        <v>4</v>
      </c>
      <c r="T3393" s="4">
        <v>4</v>
      </c>
      <c r="U3393" s="5" t="s">
        <v>32746</v>
      </c>
      <c r="V3393" s="5" t="s">
        <v>32746</v>
      </c>
      <c r="W3393" s="5" t="s">
        <v>67</v>
      </c>
      <c r="X3393" s="5" t="s">
        <v>67</v>
      </c>
      <c r="Y3393" s="4">
        <v>231</v>
      </c>
      <c r="Z3393" s="4">
        <v>49</v>
      </c>
      <c r="AA3393" s="4">
        <v>131</v>
      </c>
      <c r="AB3393" s="4">
        <v>3</v>
      </c>
      <c r="AC3393" s="4">
        <v>20</v>
      </c>
      <c r="AD3393" s="4">
        <v>112</v>
      </c>
      <c r="AE3393" s="4">
        <v>148</v>
      </c>
      <c r="AF3393" s="4">
        <v>1</v>
      </c>
      <c r="AG3393" s="4">
        <v>8</v>
      </c>
      <c r="AH3393" s="4">
        <v>90</v>
      </c>
      <c r="AI3393" s="4">
        <v>103</v>
      </c>
      <c r="AJ3393" s="4">
        <v>20</v>
      </c>
      <c r="AK3393" s="4">
        <v>28</v>
      </c>
      <c r="AL3393" s="4">
        <v>48</v>
      </c>
      <c r="AM3393" s="4">
        <v>53</v>
      </c>
      <c r="AN3393" s="4">
        <v>0</v>
      </c>
      <c r="AO3393" s="4">
        <v>0</v>
      </c>
      <c r="AP3393" s="4">
        <v>32</v>
      </c>
      <c r="AQ3393" s="4">
        <v>55</v>
      </c>
      <c r="AR3393" s="3" t="s">
        <v>61</v>
      </c>
      <c r="AS3393" s="3" t="s">
        <v>62</v>
      </c>
      <c r="AT3393" s="3" t="s">
        <v>61</v>
      </c>
      <c r="AU3393" s="6" t="str">
        <f>HYPERLINK("http://catalog.hathitrust.org/Record/005627261","HathiTrust Record")</f>
        <v>HathiTrust Record</v>
      </c>
      <c r="AV3393" s="6" t="str">
        <f>HYPERLINK("http://mcgill.on.worldcat.org/oclc/123892194","Catalog Record")</f>
        <v>Catalog Record</v>
      </c>
      <c r="AW3393" s="6" t="str">
        <f>HYPERLINK("http://www.worldcat.org/oclc/123892194","WorldCat Record")</f>
        <v>WorldCat Record</v>
      </c>
      <c r="AX3393" s="3" t="s">
        <v>32747</v>
      </c>
      <c r="AY3393" s="3" t="s">
        <v>32748</v>
      </c>
      <c r="AZ3393" s="3" t="s">
        <v>32749</v>
      </c>
      <c r="BA3393" s="3" t="s">
        <v>32749</v>
      </c>
      <c r="BB3393" s="3" t="s">
        <v>32750</v>
      </c>
      <c r="BC3393" s="3" t="s">
        <v>142</v>
      </c>
      <c r="BD3393" s="3" t="s">
        <v>68</v>
      </c>
      <c r="BE3393" s="3" t="s">
        <v>32751</v>
      </c>
      <c r="BF3393" s="3" t="s">
        <v>32750</v>
      </c>
      <c r="BG3393" s="3" t="s">
        <v>32752</v>
      </c>
    </row>
    <row r="3394" spans="1:59" ht="57" x14ac:dyDescent="0.45">
      <c r="A3394" s="2" t="s">
        <v>59</v>
      </c>
      <c r="B3394" s="2" t="s">
        <v>60</v>
      </c>
      <c r="C3394" s="2" t="s">
        <v>32753</v>
      </c>
      <c r="D3394" s="2" t="s">
        <v>32754</v>
      </c>
      <c r="E3394" s="2" t="s">
        <v>32755</v>
      </c>
      <c r="G3394" s="3" t="s">
        <v>62</v>
      </c>
      <c r="I3394" s="3" t="s">
        <v>62</v>
      </c>
      <c r="J3394" s="3" t="s">
        <v>62</v>
      </c>
      <c r="K3394" s="3" t="s">
        <v>63</v>
      </c>
      <c r="L3394" s="2" t="s">
        <v>32756</v>
      </c>
      <c r="M3394" s="2" t="s">
        <v>32757</v>
      </c>
      <c r="N3394" s="3" t="s">
        <v>149</v>
      </c>
      <c r="P3394" s="3" t="s">
        <v>65</v>
      </c>
      <c r="R3394" s="3" t="s">
        <v>66</v>
      </c>
      <c r="S3394" s="4">
        <v>0</v>
      </c>
      <c r="T3394" s="4">
        <v>0</v>
      </c>
      <c r="W3394" s="5" t="s">
        <v>67</v>
      </c>
      <c r="X3394" s="5" t="s">
        <v>67</v>
      </c>
      <c r="Y3394" s="4">
        <v>100</v>
      </c>
      <c r="Z3394" s="4">
        <v>15</v>
      </c>
      <c r="AA3394" s="4">
        <v>44</v>
      </c>
      <c r="AB3394" s="4">
        <v>1</v>
      </c>
      <c r="AC3394" s="4">
        <v>6</v>
      </c>
      <c r="AD3394" s="4">
        <v>57</v>
      </c>
      <c r="AE3394" s="4">
        <v>70</v>
      </c>
      <c r="AF3394" s="4">
        <v>0</v>
      </c>
      <c r="AG3394" s="4">
        <v>0</v>
      </c>
      <c r="AH3394" s="4">
        <v>54</v>
      </c>
      <c r="AI3394" s="4">
        <v>62</v>
      </c>
      <c r="AJ3394" s="4">
        <v>10</v>
      </c>
      <c r="AK3394" s="4">
        <v>11</v>
      </c>
      <c r="AL3394" s="4">
        <v>32</v>
      </c>
      <c r="AM3394" s="4">
        <v>36</v>
      </c>
      <c r="AN3394" s="4">
        <v>0</v>
      </c>
      <c r="AO3394" s="4">
        <v>0</v>
      </c>
      <c r="AP3394" s="4">
        <v>11</v>
      </c>
      <c r="AQ3394" s="4">
        <v>15</v>
      </c>
      <c r="AR3394" s="3" t="s">
        <v>62</v>
      </c>
      <c r="AS3394" s="3" t="s">
        <v>62</v>
      </c>
      <c r="AT3394" s="3" t="s">
        <v>62</v>
      </c>
      <c r="AV3394" s="6" t="str">
        <f>HYPERLINK("http://mcgill.on.worldcat.org/oclc/432408545","Catalog Record")</f>
        <v>Catalog Record</v>
      </c>
      <c r="AW3394" s="6" t="str">
        <f>HYPERLINK("http://www.worldcat.org/oclc/432408545","WorldCat Record")</f>
        <v>WorldCat Record</v>
      </c>
      <c r="AX3394" s="3" t="s">
        <v>32758</v>
      </c>
      <c r="AY3394" s="3" t="s">
        <v>32759</v>
      </c>
      <c r="AZ3394" s="3" t="s">
        <v>32760</v>
      </c>
      <c r="BA3394" s="3" t="s">
        <v>32760</v>
      </c>
      <c r="BB3394" s="3" t="s">
        <v>32761</v>
      </c>
      <c r="BC3394" s="3" t="s">
        <v>142</v>
      </c>
      <c r="BD3394" s="3" t="s">
        <v>68</v>
      </c>
      <c r="BE3394" s="3" t="s">
        <v>32762</v>
      </c>
      <c r="BF3394" s="3" t="s">
        <v>32761</v>
      </c>
      <c r="BG3394" s="3" t="s">
        <v>32763</v>
      </c>
    </row>
    <row r="3395" spans="1:59" ht="57" x14ac:dyDescent="0.45">
      <c r="A3395" s="2" t="s">
        <v>59</v>
      </c>
      <c r="B3395" s="2" t="s">
        <v>60</v>
      </c>
      <c r="C3395" s="2" t="s">
        <v>32764</v>
      </c>
      <c r="D3395" s="2" t="s">
        <v>32765</v>
      </c>
      <c r="E3395" s="2" t="s">
        <v>32766</v>
      </c>
      <c r="G3395" s="3" t="s">
        <v>62</v>
      </c>
      <c r="I3395" s="3" t="s">
        <v>62</v>
      </c>
      <c r="J3395" s="3" t="s">
        <v>62</v>
      </c>
      <c r="K3395" s="3" t="s">
        <v>63</v>
      </c>
      <c r="L3395" s="2" t="s">
        <v>31887</v>
      </c>
      <c r="M3395" s="2" t="s">
        <v>32767</v>
      </c>
      <c r="N3395" s="3" t="s">
        <v>1855</v>
      </c>
      <c r="P3395" s="3" t="s">
        <v>65</v>
      </c>
      <c r="R3395" s="3" t="s">
        <v>66</v>
      </c>
      <c r="S3395" s="4">
        <v>6</v>
      </c>
      <c r="T3395" s="4">
        <v>6</v>
      </c>
      <c r="U3395" s="5" t="s">
        <v>7295</v>
      </c>
      <c r="V3395" s="5" t="s">
        <v>7295</v>
      </c>
      <c r="W3395" s="5" t="s">
        <v>67</v>
      </c>
      <c r="X3395" s="5" t="s">
        <v>67</v>
      </c>
      <c r="Y3395" s="4">
        <v>331</v>
      </c>
      <c r="Z3395" s="4">
        <v>29</v>
      </c>
      <c r="AA3395" s="4">
        <v>35</v>
      </c>
      <c r="AB3395" s="4">
        <v>2</v>
      </c>
      <c r="AC3395" s="4">
        <v>6</v>
      </c>
      <c r="AD3395" s="4">
        <v>107</v>
      </c>
      <c r="AE3395" s="4">
        <v>112</v>
      </c>
      <c r="AF3395" s="4">
        <v>1</v>
      </c>
      <c r="AG3395" s="4">
        <v>2</v>
      </c>
      <c r="AH3395" s="4">
        <v>93</v>
      </c>
      <c r="AI3395" s="4">
        <v>96</v>
      </c>
      <c r="AJ3395" s="4">
        <v>18</v>
      </c>
      <c r="AK3395" s="4">
        <v>19</v>
      </c>
      <c r="AL3395" s="4">
        <v>50</v>
      </c>
      <c r="AM3395" s="4">
        <v>51</v>
      </c>
      <c r="AN3395" s="4">
        <v>0</v>
      </c>
      <c r="AO3395" s="4">
        <v>0</v>
      </c>
      <c r="AP3395" s="4">
        <v>23</v>
      </c>
      <c r="AQ3395" s="4">
        <v>26</v>
      </c>
      <c r="AR3395" s="3" t="s">
        <v>62</v>
      </c>
      <c r="AS3395" s="3" t="s">
        <v>62</v>
      </c>
      <c r="AT3395" s="3" t="s">
        <v>61</v>
      </c>
      <c r="AU3395" s="6" t="str">
        <f>HYPERLINK("http://catalog.hathitrust.org/Record/005061380","HathiTrust Record")</f>
        <v>HathiTrust Record</v>
      </c>
      <c r="AV3395" s="6" t="str">
        <f>HYPERLINK("http://mcgill.on.worldcat.org/oclc/61115508","Catalog Record")</f>
        <v>Catalog Record</v>
      </c>
      <c r="AW3395" s="6" t="str">
        <f>HYPERLINK("http://www.worldcat.org/oclc/61115508","WorldCat Record")</f>
        <v>WorldCat Record</v>
      </c>
      <c r="AX3395" s="3" t="s">
        <v>32768</v>
      </c>
      <c r="AY3395" s="3" t="s">
        <v>32769</v>
      </c>
      <c r="AZ3395" s="3" t="s">
        <v>32770</v>
      </c>
      <c r="BA3395" s="3" t="s">
        <v>32770</v>
      </c>
      <c r="BB3395" s="3" t="s">
        <v>32771</v>
      </c>
      <c r="BC3395" s="3" t="s">
        <v>142</v>
      </c>
      <c r="BD3395" s="3" t="s">
        <v>68</v>
      </c>
      <c r="BE3395" s="3" t="s">
        <v>32772</v>
      </c>
      <c r="BF3395" s="3" t="s">
        <v>32771</v>
      </c>
      <c r="BG3395" s="3" t="s">
        <v>32773</v>
      </c>
    </row>
    <row r="3396" spans="1:59" ht="57" x14ac:dyDescent="0.45">
      <c r="A3396" s="2" t="s">
        <v>59</v>
      </c>
      <c r="B3396" s="2" t="s">
        <v>60</v>
      </c>
      <c r="C3396" s="2" t="s">
        <v>32774</v>
      </c>
      <c r="D3396" s="2" t="s">
        <v>32775</v>
      </c>
      <c r="E3396" s="2" t="s">
        <v>32776</v>
      </c>
      <c r="G3396" s="3" t="s">
        <v>62</v>
      </c>
      <c r="I3396" s="3" t="s">
        <v>62</v>
      </c>
      <c r="J3396" s="3" t="s">
        <v>61</v>
      </c>
      <c r="K3396" s="3" t="s">
        <v>63</v>
      </c>
      <c r="L3396" s="2" t="s">
        <v>32777</v>
      </c>
      <c r="M3396" s="2" t="s">
        <v>32778</v>
      </c>
      <c r="N3396" s="3" t="s">
        <v>918</v>
      </c>
      <c r="P3396" s="3" t="s">
        <v>65</v>
      </c>
      <c r="R3396" s="3" t="s">
        <v>66</v>
      </c>
      <c r="S3396" s="4">
        <v>7</v>
      </c>
      <c r="T3396" s="4">
        <v>7</v>
      </c>
      <c r="U3396" s="5" t="s">
        <v>13451</v>
      </c>
      <c r="V3396" s="5" t="s">
        <v>13451</v>
      </c>
      <c r="W3396" s="5" t="s">
        <v>67</v>
      </c>
      <c r="X3396" s="5" t="s">
        <v>67</v>
      </c>
      <c r="Y3396" s="4">
        <v>357</v>
      </c>
      <c r="Z3396" s="4">
        <v>19</v>
      </c>
      <c r="AA3396" s="4">
        <v>132</v>
      </c>
      <c r="AB3396" s="4">
        <v>3</v>
      </c>
      <c r="AC3396" s="4">
        <v>23</v>
      </c>
      <c r="AD3396" s="4">
        <v>99</v>
      </c>
      <c r="AE3396" s="4">
        <v>158</v>
      </c>
      <c r="AF3396" s="4">
        <v>1</v>
      </c>
      <c r="AG3396" s="4">
        <v>9</v>
      </c>
      <c r="AH3396" s="4">
        <v>90</v>
      </c>
      <c r="AI3396" s="4">
        <v>108</v>
      </c>
      <c r="AJ3396" s="4">
        <v>10</v>
      </c>
      <c r="AK3396" s="4">
        <v>26</v>
      </c>
      <c r="AL3396" s="4">
        <v>49</v>
      </c>
      <c r="AM3396" s="4">
        <v>58</v>
      </c>
      <c r="AN3396" s="4">
        <v>0</v>
      </c>
      <c r="AO3396" s="4">
        <v>0</v>
      </c>
      <c r="AP3396" s="4">
        <v>13</v>
      </c>
      <c r="AQ3396" s="4">
        <v>57</v>
      </c>
      <c r="AR3396" s="3" t="s">
        <v>62</v>
      </c>
      <c r="AS3396" s="3" t="s">
        <v>62</v>
      </c>
      <c r="AT3396" s="3" t="s">
        <v>62</v>
      </c>
      <c r="AV3396" s="6" t="str">
        <f>HYPERLINK("http://mcgill.on.worldcat.org/oclc/50143491","Catalog Record")</f>
        <v>Catalog Record</v>
      </c>
      <c r="AW3396" s="6" t="str">
        <f>HYPERLINK("http://www.worldcat.org/oclc/50143491","WorldCat Record")</f>
        <v>WorldCat Record</v>
      </c>
      <c r="AX3396" s="3" t="s">
        <v>32779</v>
      </c>
      <c r="AY3396" s="3" t="s">
        <v>32780</v>
      </c>
      <c r="AZ3396" s="3" t="s">
        <v>32781</v>
      </c>
      <c r="BA3396" s="3" t="s">
        <v>32781</v>
      </c>
      <c r="BB3396" s="3" t="s">
        <v>32782</v>
      </c>
      <c r="BC3396" s="3" t="s">
        <v>142</v>
      </c>
      <c r="BD3396" s="3" t="s">
        <v>68</v>
      </c>
      <c r="BE3396" s="3" t="s">
        <v>32783</v>
      </c>
      <c r="BF3396" s="3" t="s">
        <v>32782</v>
      </c>
      <c r="BG3396" s="3" t="s">
        <v>32784</v>
      </c>
    </row>
    <row r="3397" spans="1:59" ht="57" x14ac:dyDescent="0.45">
      <c r="A3397" s="2" t="s">
        <v>59</v>
      </c>
      <c r="B3397" s="2" t="s">
        <v>60</v>
      </c>
      <c r="C3397" s="2" t="s">
        <v>32785</v>
      </c>
      <c r="D3397" s="2" t="s">
        <v>32786</v>
      </c>
      <c r="E3397" s="2" t="s">
        <v>32787</v>
      </c>
      <c r="G3397" s="3" t="s">
        <v>62</v>
      </c>
      <c r="I3397" s="3" t="s">
        <v>62</v>
      </c>
      <c r="J3397" s="3" t="s">
        <v>61</v>
      </c>
      <c r="K3397" s="3" t="s">
        <v>63</v>
      </c>
      <c r="L3397" s="2" t="s">
        <v>32777</v>
      </c>
      <c r="M3397" s="2" t="s">
        <v>2560</v>
      </c>
      <c r="N3397" s="3" t="s">
        <v>149</v>
      </c>
      <c r="O3397" s="2" t="s">
        <v>933</v>
      </c>
      <c r="P3397" s="3" t="s">
        <v>65</v>
      </c>
      <c r="R3397" s="3" t="s">
        <v>66</v>
      </c>
      <c r="S3397" s="4">
        <v>4</v>
      </c>
      <c r="T3397" s="4">
        <v>4</v>
      </c>
      <c r="U3397" s="5" t="s">
        <v>32176</v>
      </c>
      <c r="V3397" s="5" t="s">
        <v>32176</v>
      </c>
      <c r="W3397" s="5" t="s">
        <v>67</v>
      </c>
      <c r="X3397" s="5" t="s">
        <v>67</v>
      </c>
      <c r="Y3397" s="4">
        <v>194</v>
      </c>
      <c r="Z3397" s="4">
        <v>14</v>
      </c>
      <c r="AA3397" s="4">
        <v>132</v>
      </c>
      <c r="AB3397" s="4">
        <v>2</v>
      </c>
      <c r="AC3397" s="4">
        <v>23</v>
      </c>
      <c r="AD3397" s="4">
        <v>53</v>
      </c>
      <c r="AE3397" s="4">
        <v>158</v>
      </c>
      <c r="AF3397" s="4">
        <v>0</v>
      </c>
      <c r="AG3397" s="4">
        <v>9</v>
      </c>
      <c r="AH3397" s="4">
        <v>49</v>
      </c>
      <c r="AI3397" s="4">
        <v>108</v>
      </c>
      <c r="AJ3397" s="4">
        <v>6</v>
      </c>
      <c r="AK3397" s="4">
        <v>26</v>
      </c>
      <c r="AL3397" s="4">
        <v>31</v>
      </c>
      <c r="AM3397" s="4">
        <v>58</v>
      </c>
      <c r="AN3397" s="4">
        <v>0</v>
      </c>
      <c r="AO3397" s="4">
        <v>0</v>
      </c>
      <c r="AP3397" s="4">
        <v>9</v>
      </c>
      <c r="AQ3397" s="4">
        <v>57</v>
      </c>
      <c r="AR3397" s="3" t="s">
        <v>62</v>
      </c>
      <c r="AS3397" s="3" t="s">
        <v>62</v>
      </c>
      <c r="AT3397" s="3" t="s">
        <v>62</v>
      </c>
      <c r="AV3397" s="6" t="str">
        <f>HYPERLINK("http://mcgill.on.worldcat.org/oclc/424454978","Catalog Record")</f>
        <v>Catalog Record</v>
      </c>
      <c r="AW3397" s="6" t="str">
        <f>HYPERLINK("http://www.worldcat.org/oclc/424454978","WorldCat Record")</f>
        <v>WorldCat Record</v>
      </c>
      <c r="AX3397" s="3" t="s">
        <v>32779</v>
      </c>
      <c r="AY3397" s="3" t="s">
        <v>32788</v>
      </c>
      <c r="AZ3397" s="3" t="s">
        <v>32789</v>
      </c>
      <c r="BA3397" s="3" t="s">
        <v>32789</v>
      </c>
      <c r="BB3397" s="3" t="s">
        <v>32790</v>
      </c>
      <c r="BC3397" s="3" t="s">
        <v>142</v>
      </c>
      <c r="BD3397" s="3" t="s">
        <v>68</v>
      </c>
      <c r="BE3397" s="3" t="s">
        <v>32791</v>
      </c>
      <c r="BF3397" s="3" t="s">
        <v>32790</v>
      </c>
      <c r="BG3397" s="3" t="s">
        <v>32792</v>
      </c>
    </row>
    <row r="3398" spans="1:59" ht="57" x14ac:dyDescent="0.45">
      <c r="A3398" s="2" t="s">
        <v>59</v>
      </c>
      <c r="B3398" s="2" t="s">
        <v>60</v>
      </c>
      <c r="C3398" s="2" t="s">
        <v>32793</v>
      </c>
      <c r="D3398" s="2" t="s">
        <v>32794</v>
      </c>
      <c r="E3398" s="2" t="s">
        <v>32795</v>
      </c>
      <c r="G3398" s="3" t="s">
        <v>62</v>
      </c>
      <c r="I3398" s="3" t="s">
        <v>62</v>
      </c>
      <c r="J3398" s="3" t="s">
        <v>62</v>
      </c>
      <c r="K3398" s="3" t="s">
        <v>63</v>
      </c>
      <c r="M3398" s="2" t="s">
        <v>32796</v>
      </c>
      <c r="N3398" s="3" t="s">
        <v>149</v>
      </c>
      <c r="P3398" s="3" t="s">
        <v>65</v>
      </c>
      <c r="Q3398" s="2" t="s">
        <v>32797</v>
      </c>
      <c r="R3398" s="3" t="s">
        <v>66</v>
      </c>
      <c r="S3398" s="4">
        <v>1</v>
      </c>
      <c r="T3398" s="4">
        <v>1</v>
      </c>
      <c r="U3398" s="5" t="s">
        <v>32604</v>
      </c>
      <c r="V3398" s="5" t="s">
        <v>32604</v>
      </c>
      <c r="W3398" s="5" t="s">
        <v>67</v>
      </c>
      <c r="X3398" s="5" t="s">
        <v>67</v>
      </c>
      <c r="Y3398" s="4">
        <v>154</v>
      </c>
      <c r="Z3398" s="4">
        <v>18</v>
      </c>
      <c r="AA3398" s="4">
        <v>23</v>
      </c>
      <c r="AB3398" s="4">
        <v>1</v>
      </c>
      <c r="AC3398" s="4">
        <v>4</v>
      </c>
      <c r="AD3398" s="4">
        <v>80</v>
      </c>
      <c r="AE3398" s="4">
        <v>83</v>
      </c>
      <c r="AF3398" s="4">
        <v>0</v>
      </c>
      <c r="AG3398" s="4">
        <v>1</v>
      </c>
      <c r="AH3398" s="4">
        <v>75</v>
      </c>
      <c r="AI3398" s="4">
        <v>76</v>
      </c>
      <c r="AJ3398" s="4">
        <v>12</v>
      </c>
      <c r="AK3398" s="4">
        <v>14</v>
      </c>
      <c r="AL3398" s="4">
        <v>43</v>
      </c>
      <c r="AM3398" s="4">
        <v>43</v>
      </c>
      <c r="AN3398" s="4">
        <v>0</v>
      </c>
      <c r="AO3398" s="4">
        <v>0</v>
      </c>
      <c r="AP3398" s="4">
        <v>13</v>
      </c>
      <c r="AQ3398" s="4">
        <v>16</v>
      </c>
      <c r="AR3398" s="3" t="s">
        <v>62</v>
      </c>
      <c r="AS3398" s="3" t="s">
        <v>62</v>
      </c>
      <c r="AT3398" s="3" t="s">
        <v>62</v>
      </c>
      <c r="AV3398" s="6" t="str">
        <f>HYPERLINK("http://mcgill.on.worldcat.org/oclc/460935117","Catalog Record")</f>
        <v>Catalog Record</v>
      </c>
      <c r="AW3398" s="6" t="str">
        <f>HYPERLINK("http://www.worldcat.org/oclc/460935117","WorldCat Record")</f>
        <v>WorldCat Record</v>
      </c>
      <c r="AX3398" s="3" t="s">
        <v>32798</v>
      </c>
      <c r="AY3398" s="3" t="s">
        <v>32799</v>
      </c>
      <c r="AZ3398" s="3" t="s">
        <v>32800</v>
      </c>
      <c r="BA3398" s="3" t="s">
        <v>32800</v>
      </c>
      <c r="BB3398" s="3" t="s">
        <v>32801</v>
      </c>
      <c r="BC3398" s="3" t="s">
        <v>142</v>
      </c>
      <c r="BD3398" s="3" t="s">
        <v>68</v>
      </c>
      <c r="BE3398" s="3" t="s">
        <v>32802</v>
      </c>
      <c r="BF3398" s="3" t="s">
        <v>32801</v>
      </c>
      <c r="BG3398" s="3" t="s">
        <v>32803</v>
      </c>
    </row>
    <row r="3399" spans="1:59" ht="57" x14ac:dyDescent="0.45">
      <c r="A3399" s="2" t="s">
        <v>59</v>
      </c>
      <c r="B3399" s="2" t="s">
        <v>60</v>
      </c>
      <c r="C3399" s="2" t="s">
        <v>32804</v>
      </c>
      <c r="D3399" s="2" t="s">
        <v>32805</v>
      </c>
      <c r="E3399" s="2" t="s">
        <v>32015</v>
      </c>
      <c r="G3399" s="3" t="s">
        <v>62</v>
      </c>
      <c r="I3399" s="3" t="s">
        <v>62</v>
      </c>
      <c r="J3399" s="3" t="s">
        <v>61</v>
      </c>
      <c r="K3399" s="3" t="s">
        <v>63</v>
      </c>
      <c r="M3399" s="2" t="s">
        <v>17885</v>
      </c>
      <c r="N3399" s="3" t="s">
        <v>820</v>
      </c>
      <c r="O3399" s="2" t="s">
        <v>919</v>
      </c>
      <c r="P3399" s="3" t="s">
        <v>65</v>
      </c>
      <c r="R3399" s="3" t="s">
        <v>66</v>
      </c>
      <c r="S3399" s="4">
        <v>33</v>
      </c>
      <c r="T3399" s="4">
        <v>33</v>
      </c>
      <c r="U3399" s="5" t="s">
        <v>19922</v>
      </c>
      <c r="V3399" s="5" t="s">
        <v>19922</v>
      </c>
      <c r="W3399" s="5" t="s">
        <v>67</v>
      </c>
      <c r="X3399" s="5" t="s">
        <v>67</v>
      </c>
      <c r="Y3399" s="4">
        <v>166</v>
      </c>
      <c r="Z3399" s="4">
        <v>16</v>
      </c>
      <c r="AA3399" s="4">
        <v>58</v>
      </c>
      <c r="AB3399" s="4">
        <v>1</v>
      </c>
      <c r="AC3399" s="4">
        <v>6</v>
      </c>
      <c r="AD3399" s="4">
        <v>48</v>
      </c>
      <c r="AE3399" s="4">
        <v>141</v>
      </c>
      <c r="AF3399" s="4">
        <v>0</v>
      </c>
      <c r="AG3399" s="4">
        <v>3</v>
      </c>
      <c r="AH3399" s="4">
        <v>44</v>
      </c>
      <c r="AI3399" s="4">
        <v>114</v>
      </c>
      <c r="AJ3399" s="4">
        <v>10</v>
      </c>
      <c r="AK3399" s="4">
        <v>22</v>
      </c>
      <c r="AL3399" s="4">
        <v>22</v>
      </c>
      <c r="AM3399" s="4">
        <v>60</v>
      </c>
      <c r="AN3399" s="4">
        <v>0</v>
      </c>
      <c r="AO3399" s="4">
        <v>3</v>
      </c>
      <c r="AP3399" s="4">
        <v>12</v>
      </c>
      <c r="AQ3399" s="4">
        <v>37</v>
      </c>
      <c r="AR3399" s="3" t="s">
        <v>62</v>
      </c>
      <c r="AS3399" s="3" t="s">
        <v>62</v>
      </c>
      <c r="AT3399" s="3" t="s">
        <v>61</v>
      </c>
      <c r="AU3399" s="6" t="str">
        <f>HYPERLINK("http://catalog.hathitrust.org/Record/005596700","HathiTrust Record")</f>
        <v>HathiTrust Record</v>
      </c>
      <c r="AV3399" s="6" t="str">
        <f>HYPERLINK("http://mcgill.on.worldcat.org/oclc/70176959","Catalog Record")</f>
        <v>Catalog Record</v>
      </c>
      <c r="AW3399" s="6" t="str">
        <f>HYPERLINK("http://www.worldcat.org/oclc/70176959","WorldCat Record")</f>
        <v>WorldCat Record</v>
      </c>
      <c r="AX3399" s="3" t="s">
        <v>32016</v>
      </c>
      <c r="AY3399" s="3" t="s">
        <v>32806</v>
      </c>
      <c r="AZ3399" s="3" t="s">
        <v>32807</v>
      </c>
      <c r="BA3399" s="3" t="s">
        <v>32807</v>
      </c>
      <c r="BB3399" s="3" t="s">
        <v>32808</v>
      </c>
      <c r="BC3399" s="3" t="s">
        <v>142</v>
      </c>
      <c r="BD3399" s="3" t="s">
        <v>68</v>
      </c>
      <c r="BE3399" s="3" t="s">
        <v>32809</v>
      </c>
      <c r="BF3399" s="3" t="s">
        <v>32808</v>
      </c>
      <c r="BG3399" s="3" t="s">
        <v>32810</v>
      </c>
    </row>
    <row r="3400" spans="1:59" ht="57" x14ac:dyDescent="0.45">
      <c r="A3400" s="2" t="s">
        <v>59</v>
      </c>
      <c r="B3400" s="2" t="s">
        <v>60</v>
      </c>
      <c r="C3400" s="2" t="s">
        <v>32811</v>
      </c>
      <c r="D3400" s="2" t="s">
        <v>32812</v>
      </c>
      <c r="E3400" s="2" t="s">
        <v>32813</v>
      </c>
      <c r="G3400" s="3" t="s">
        <v>62</v>
      </c>
      <c r="I3400" s="3" t="s">
        <v>62</v>
      </c>
      <c r="J3400" s="3" t="s">
        <v>62</v>
      </c>
      <c r="K3400" s="3" t="s">
        <v>63</v>
      </c>
      <c r="M3400" s="2" t="s">
        <v>21345</v>
      </c>
      <c r="N3400" s="3" t="s">
        <v>894</v>
      </c>
      <c r="P3400" s="3" t="s">
        <v>65</v>
      </c>
      <c r="Q3400" s="2" t="s">
        <v>32814</v>
      </c>
      <c r="R3400" s="3" t="s">
        <v>66</v>
      </c>
      <c r="S3400" s="4">
        <v>8</v>
      </c>
      <c r="T3400" s="4">
        <v>8</v>
      </c>
      <c r="U3400" s="5" t="s">
        <v>32815</v>
      </c>
      <c r="V3400" s="5" t="s">
        <v>32815</v>
      </c>
      <c r="W3400" s="5" t="s">
        <v>67</v>
      </c>
      <c r="X3400" s="5" t="s">
        <v>67</v>
      </c>
      <c r="Y3400" s="4">
        <v>147</v>
      </c>
      <c r="Z3400" s="4">
        <v>22</v>
      </c>
      <c r="AA3400" s="4">
        <v>86</v>
      </c>
      <c r="AB3400" s="4">
        <v>2</v>
      </c>
      <c r="AC3400" s="4">
        <v>14</v>
      </c>
      <c r="AD3400" s="4">
        <v>66</v>
      </c>
      <c r="AE3400" s="4">
        <v>128</v>
      </c>
      <c r="AF3400" s="4">
        <v>1</v>
      </c>
      <c r="AG3400" s="4">
        <v>8</v>
      </c>
      <c r="AH3400" s="4">
        <v>63</v>
      </c>
      <c r="AI3400" s="4">
        <v>94</v>
      </c>
      <c r="AJ3400" s="4">
        <v>13</v>
      </c>
      <c r="AK3400" s="4">
        <v>23</v>
      </c>
      <c r="AL3400" s="4">
        <v>35</v>
      </c>
      <c r="AM3400" s="4">
        <v>51</v>
      </c>
      <c r="AN3400" s="4">
        <v>0</v>
      </c>
      <c r="AO3400" s="4">
        <v>0</v>
      </c>
      <c r="AP3400" s="4">
        <v>14</v>
      </c>
      <c r="AQ3400" s="4">
        <v>43</v>
      </c>
      <c r="AR3400" s="3" t="s">
        <v>62</v>
      </c>
      <c r="AS3400" s="3" t="s">
        <v>62</v>
      </c>
      <c r="AT3400" s="3" t="s">
        <v>62</v>
      </c>
      <c r="AV3400" s="6" t="str">
        <f>HYPERLINK("http://mcgill.on.worldcat.org/oclc/657602827","Catalog Record")</f>
        <v>Catalog Record</v>
      </c>
      <c r="AW3400" s="6" t="str">
        <f>HYPERLINK("http://www.worldcat.org/oclc/657602827","WorldCat Record")</f>
        <v>WorldCat Record</v>
      </c>
      <c r="AX3400" s="3" t="s">
        <v>32816</v>
      </c>
      <c r="AY3400" s="3" t="s">
        <v>32817</v>
      </c>
      <c r="AZ3400" s="3" t="s">
        <v>32818</v>
      </c>
      <c r="BA3400" s="3" t="s">
        <v>32818</v>
      </c>
      <c r="BB3400" s="3" t="s">
        <v>32819</v>
      </c>
      <c r="BC3400" s="3" t="s">
        <v>142</v>
      </c>
      <c r="BD3400" s="3" t="s">
        <v>68</v>
      </c>
      <c r="BE3400" s="3" t="s">
        <v>32820</v>
      </c>
      <c r="BF3400" s="3" t="s">
        <v>32819</v>
      </c>
      <c r="BG3400" s="3" t="s">
        <v>32821</v>
      </c>
    </row>
    <row r="3401" spans="1:59" ht="57" x14ac:dyDescent="0.45">
      <c r="A3401" s="2" t="s">
        <v>59</v>
      </c>
      <c r="B3401" s="2" t="s">
        <v>60</v>
      </c>
      <c r="C3401" s="2" t="s">
        <v>32822</v>
      </c>
      <c r="D3401" s="2" t="s">
        <v>32823</v>
      </c>
      <c r="E3401" s="2" t="s">
        <v>32824</v>
      </c>
      <c r="G3401" s="3" t="s">
        <v>62</v>
      </c>
      <c r="I3401" s="3" t="s">
        <v>62</v>
      </c>
      <c r="J3401" s="3" t="s">
        <v>62</v>
      </c>
      <c r="K3401" s="3" t="s">
        <v>63</v>
      </c>
      <c r="M3401" s="2" t="s">
        <v>32825</v>
      </c>
      <c r="N3401" s="3" t="s">
        <v>1155</v>
      </c>
      <c r="P3401" s="3" t="s">
        <v>65</v>
      </c>
      <c r="Q3401" s="2" t="s">
        <v>32826</v>
      </c>
      <c r="R3401" s="3" t="s">
        <v>66</v>
      </c>
      <c r="S3401" s="4">
        <v>1</v>
      </c>
      <c r="T3401" s="4">
        <v>1</v>
      </c>
      <c r="U3401" s="5" t="s">
        <v>32827</v>
      </c>
      <c r="V3401" s="5" t="s">
        <v>32827</v>
      </c>
      <c r="W3401" s="5" t="s">
        <v>67</v>
      </c>
      <c r="X3401" s="5" t="s">
        <v>67</v>
      </c>
      <c r="Y3401" s="4">
        <v>128</v>
      </c>
      <c r="Z3401" s="4">
        <v>13</v>
      </c>
      <c r="AA3401" s="4">
        <v>19</v>
      </c>
      <c r="AB3401" s="4">
        <v>1</v>
      </c>
      <c r="AC3401" s="4">
        <v>6</v>
      </c>
      <c r="AD3401" s="4">
        <v>39</v>
      </c>
      <c r="AE3401" s="4">
        <v>47</v>
      </c>
      <c r="AF3401" s="4">
        <v>0</v>
      </c>
      <c r="AG3401" s="4">
        <v>2</v>
      </c>
      <c r="AH3401" s="4">
        <v>36</v>
      </c>
      <c r="AI3401" s="4">
        <v>43</v>
      </c>
      <c r="AJ3401" s="4">
        <v>11</v>
      </c>
      <c r="AK3401" s="4">
        <v>14</v>
      </c>
      <c r="AL3401" s="4">
        <v>19</v>
      </c>
      <c r="AM3401" s="4">
        <v>20</v>
      </c>
      <c r="AN3401" s="4">
        <v>0</v>
      </c>
      <c r="AO3401" s="4">
        <v>0</v>
      </c>
      <c r="AP3401" s="4">
        <v>11</v>
      </c>
      <c r="AQ3401" s="4">
        <v>13</v>
      </c>
      <c r="AR3401" s="3" t="s">
        <v>62</v>
      </c>
      <c r="AS3401" s="3" t="s">
        <v>62</v>
      </c>
      <c r="AT3401" s="3" t="s">
        <v>62</v>
      </c>
      <c r="AV3401" s="6" t="str">
        <f>HYPERLINK("http://mcgill.on.worldcat.org/oclc/606767037","Catalog Record")</f>
        <v>Catalog Record</v>
      </c>
      <c r="AW3401" s="6" t="str">
        <f>HYPERLINK("http://www.worldcat.org/oclc/606767037","WorldCat Record")</f>
        <v>WorldCat Record</v>
      </c>
      <c r="AX3401" s="3" t="s">
        <v>32828</v>
      </c>
      <c r="AY3401" s="3" t="s">
        <v>32829</v>
      </c>
      <c r="AZ3401" s="3" t="s">
        <v>32830</v>
      </c>
      <c r="BA3401" s="3" t="s">
        <v>32830</v>
      </c>
      <c r="BB3401" s="3" t="s">
        <v>32831</v>
      </c>
      <c r="BC3401" s="3" t="s">
        <v>142</v>
      </c>
      <c r="BD3401" s="3" t="s">
        <v>68</v>
      </c>
      <c r="BE3401" s="3" t="s">
        <v>32832</v>
      </c>
      <c r="BF3401" s="3" t="s">
        <v>32831</v>
      </c>
      <c r="BG3401" s="3" t="s">
        <v>32833</v>
      </c>
    </row>
    <row r="3402" spans="1:59" ht="57" x14ac:dyDescent="0.45">
      <c r="A3402" s="2" t="s">
        <v>59</v>
      </c>
      <c r="B3402" s="2" t="s">
        <v>60</v>
      </c>
      <c r="C3402" s="2" t="s">
        <v>32834</v>
      </c>
      <c r="D3402" s="2" t="s">
        <v>32835</v>
      </c>
      <c r="E3402" s="2" t="s">
        <v>32836</v>
      </c>
      <c r="G3402" s="3" t="s">
        <v>62</v>
      </c>
      <c r="I3402" s="3" t="s">
        <v>62</v>
      </c>
      <c r="J3402" s="3" t="s">
        <v>62</v>
      </c>
      <c r="K3402" s="3" t="s">
        <v>63</v>
      </c>
      <c r="L3402" s="2" t="s">
        <v>32066</v>
      </c>
      <c r="M3402" s="2" t="s">
        <v>32837</v>
      </c>
      <c r="N3402" s="3" t="s">
        <v>945</v>
      </c>
      <c r="P3402" s="3" t="s">
        <v>65</v>
      </c>
      <c r="R3402" s="3" t="s">
        <v>66</v>
      </c>
      <c r="S3402" s="4">
        <v>46</v>
      </c>
      <c r="T3402" s="4">
        <v>46</v>
      </c>
      <c r="U3402" s="5" t="s">
        <v>32838</v>
      </c>
      <c r="V3402" s="5" t="s">
        <v>32838</v>
      </c>
      <c r="W3402" s="5" t="s">
        <v>67</v>
      </c>
      <c r="X3402" s="5" t="s">
        <v>67</v>
      </c>
      <c r="Y3402" s="4">
        <v>2080</v>
      </c>
      <c r="Z3402" s="4">
        <v>97</v>
      </c>
      <c r="AA3402" s="4">
        <v>119</v>
      </c>
      <c r="AB3402" s="4">
        <v>6</v>
      </c>
      <c r="AC3402" s="4">
        <v>11</v>
      </c>
      <c r="AD3402" s="4">
        <v>134</v>
      </c>
      <c r="AE3402" s="4">
        <v>148</v>
      </c>
      <c r="AF3402" s="4">
        <v>2</v>
      </c>
      <c r="AG3402" s="4">
        <v>5</v>
      </c>
      <c r="AH3402" s="4">
        <v>106</v>
      </c>
      <c r="AI3402" s="4">
        <v>111</v>
      </c>
      <c r="AJ3402" s="4">
        <v>20</v>
      </c>
      <c r="AK3402" s="4">
        <v>24</v>
      </c>
      <c r="AL3402" s="4">
        <v>58</v>
      </c>
      <c r="AM3402" s="4">
        <v>60</v>
      </c>
      <c r="AN3402" s="4">
        <v>0</v>
      </c>
      <c r="AO3402" s="4">
        <v>0</v>
      </c>
      <c r="AP3402" s="4">
        <v>34</v>
      </c>
      <c r="AQ3402" s="4">
        <v>43</v>
      </c>
      <c r="AR3402" s="3" t="s">
        <v>62</v>
      </c>
      <c r="AS3402" s="3" t="s">
        <v>62</v>
      </c>
      <c r="AT3402" s="3" t="s">
        <v>62</v>
      </c>
      <c r="AV3402" s="6" t="str">
        <f>HYPERLINK("http://mcgill.on.worldcat.org/oclc/154308853","Catalog Record")</f>
        <v>Catalog Record</v>
      </c>
      <c r="AW3402" s="6" t="str">
        <f>HYPERLINK("http://www.worldcat.org/oclc/154308853","WorldCat Record")</f>
        <v>WorldCat Record</v>
      </c>
      <c r="AX3402" s="3" t="s">
        <v>32839</v>
      </c>
      <c r="AY3402" s="3" t="s">
        <v>32840</v>
      </c>
      <c r="AZ3402" s="3" t="s">
        <v>32841</v>
      </c>
      <c r="BA3402" s="3" t="s">
        <v>32841</v>
      </c>
      <c r="BB3402" s="3" t="s">
        <v>32842</v>
      </c>
      <c r="BC3402" s="3" t="s">
        <v>142</v>
      </c>
      <c r="BD3402" s="3" t="s">
        <v>68</v>
      </c>
      <c r="BE3402" s="3" t="s">
        <v>32843</v>
      </c>
      <c r="BF3402" s="3" t="s">
        <v>32842</v>
      </c>
      <c r="BG3402" s="3" t="s">
        <v>32844</v>
      </c>
    </row>
    <row r="3403" spans="1:59" ht="57" x14ac:dyDescent="0.45">
      <c r="A3403" s="2" t="s">
        <v>59</v>
      </c>
      <c r="B3403" s="2" t="s">
        <v>60</v>
      </c>
      <c r="C3403" s="2" t="s">
        <v>32845</v>
      </c>
      <c r="D3403" s="2" t="s">
        <v>32846</v>
      </c>
      <c r="E3403" s="2" t="s">
        <v>32847</v>
      </c>
      <c r="G3403" s="3" t="s">
        <v>62</v>
      </c>
      <c r="I3403" s="3" t="s">
        <v>62</v>
      </c>
      <c r="J3403" s="3" t="s">
        <v>62</v>
      </c>
      <c r="K3403" s="3" t="s">
        <v>63</v>
      </c>
      <c r="M3403" s="2" t="s">
        <v>32848</v>
      </c>
      <c r="N3403" s="3" t="s">
        <v>149</v>
      </c>
      <c r="P3403" s="3" t="s">
        <v>65</v>
      </c>
      <c r="R3403" s="3" t="s">
        <v>66</v>
      </c>
      <c r="S3403" s="4">
        <v>8</v>
      </c>
      <c r="T3403" s="4">
        <v>8</v>
      </c>
      <c r="U3403" s="5" t="s">
        <v>32849</v>
      </c>
      <c r="V3403" s="5" t="s">
        <v>32849</v>
      </c>
      <c r="W3403" s="5" t="s">
        <v>67</v>
      </c>
      <c r="X3403" s="5" t="s">
        <v>67</v>
      </c>
      <c r="Y3403" s="4">
        <v>154</v>
      </c>
      <c r="Z3403" s="4">
        <v>15</v>
      </c>
      <c r="AA3403" s="4">
        <v>80</v>
      </c>
      <c r="AB3403" s="4">
        <v>1</v>
      </c>
      <c r="AC3403" s="4">
        <v>16</v>
      </c>
      <c r="AD3403" s="4">
        <v>66</v>
      </c>
      <c r="AE3403" s="4">
        <v>123</v>
      </c>
      <c r="AF3403" s="4">
        <v>0</v>
      </c>
      <c r="AG3403" s="4">
        <v>8</v>
      </c>
      <c r="AH3403" s="4">
        <v>62</v>
      </c>
      <c r="AI3403" s="4">
        <v>90</v>
      </c>
      <c r="AJ3403" s="4">
        <v>12</v>
      </c>
      <c r="AK3403" s="4">
        <v>23</v>
      </c>
      <c r="AL3403" s="4">
        <v>37</v>
      </c>
      <c r="AM3403" s="4">
        <v>49</v>
      </c>
      <c r="AN3403" s="4">
        <v>0</v>
      </c>
      <c r="AO3403" s="4">
        <v>0</v>
      </c>
      <c r="AP3403" s="4">
        <v>12</v>
      </c>
      <c r="AQ3403" s="4">
        <v>42</v>
      </c>
      <c r="AR3403" s="3" t="s">
        <v>62</v>
      </c>
      <c r="AS3403" s="3" t="s">
        <v>62</v>
      </c>
      <c r="AT3403" s="3" t="s">
        <v>62</v>
      </c>
      <c r="AV3403" s="6" t="str">
        <f>HYPERLINK("http://mcgill.on.worldcat.org/oclc/463454502","Catalog Record")</f>
        <v>Catalog Record</v>
      </c>
      <c r="AW3403" s="6" t="str">
        <f>HYPERLINK("http://www.worldcat.org/oclc/463454502","WorldCat Record")</f>
        <v>WorldCat Record</v>
      </c>
      <c r="AX3403" s="3" t="s">
        <v>32850</v>
      </c>
      <c r="AY3403" s="3" t="s">
        <v>32851</v>
      </c>
      <c r="AZ3403" s="3" t="s">
        <v>32852</v>
      </c>
      <c r="BA3403" s="3" t="s">
        <v>32852</v>
      </c>
      <c r="BB3403" s="3" t="s">
        <v>32853</v>
      </c>
      <c r="BC3403" s="3" t="s">
        <v>142</v>
      </c>
      <c r="BD3403" s="3" t="s">
        <v>68</v>
      </c>
      <c r="BE3403" s="3" t="s">
        <v>32854</v>
      </c>
      <c r="BF3403" s="3" t="s">
        <v>32853</v>
      </c>
      <c r="BG3403" s="3" t="s">
        <v>32855</v>
      </c>
    </row>
    <row r="3404" spans="1:59" ht="57" x14ac:dyDescent="0.45">
      <c r="A3404" s="2" t="s">
        <v>59</v>
      </c>
      <c r="B3404" s="2" t="s">
        <v>60</v>
      </c>
      <c r="C3404" s="2" t="s">
        <v>32856</v>
      </c>
      <c r="D3404" s="2" t="s">
        <v>32857</v>
      </c>
      <c r="E3404" s="2" t="s">
        <v>32858</v>
      </c>
      <c r="G3404" s="3" t="s">
        <v>62</v>
      </c>
      <c r="I3404" s="3" t="s">
        <v>62</v>
      </c>
      <c r="J3404" s="3" t="s">
        <v>62</v>
      </c>
      <c r="K3404" s="3" t="s">
        <v>63</v>
      </c>
      <c r="L3404" s="2" t="s">
        <v>32859</v>
      </c>
      <c r="M3404" s="2" t="s">
        <v>32860</v>
      </c>
      <c r="N3404" s="3" t="s">
        <v>149</v>
      </c>
      <c r="P3404" s="3" t="s">
        <v>65</v>
      </c>
      <c r="Q3404" s="2" t="s">
        <v>32861</v>
      </c>
      <c r="R3404" s="3" t="s">
        <v>66</v>
      </c>
      <c r="S3404" s="4">
        <v>1</v>
      </c>
      <c r="T3404" s="4">
        <v>1</v>
      </c>
      <c r="U3404" s="5" t="s">
        <v>15084</v>
      </c>
      <c r="V3404" s="5" t="s">
        <v>15084</v>
      </c>
      <c r="W3404" s="5" t="s">
        <v>67</v>
      </c>
      <c r="X3404" s="5" t="s">
        <v>67</v>
      </c>
      <c r="Y3404" s="4">
        <v>53</v>
      </c>
      <c r="Z3404" s="4">
        <v>8</v>
      </c>
      <c r="AA3404" s="4">
        <v>80</v>
      </c>
      <c r="AB3404" s="4">
        <v>1</v>
      </c>
      <c r="AC3404" s="4">
        <v>14</v>
      </c>
      <c r="AD3404" s="4">
        <v>30</v>
      </c>
      <c r="AE3404" s="4">
        <v>100</v>
      </c>
      <c r="AF3404" s="4">
        <v>0</v>
      </c>
      <c r="AG3404" s="4">
        <v>8</v>
      </c>
      <c r="AH3404" s="4">
        <v>27</v>
      </c>
      <c r="AI3404" s="4">
        <v>67</v>
      </c>
      <c r="AJ3404" s="4">
        <v>6</v>
      </c>
      <c r="AK3404" s="4">
        <v>21</v>
      </c>
      <c r="AL3404" s="4">
        <v>19</v>
      </c>
      <c r="AM3404" s="4">
        <v>36</v>
      </c>
      <c r="AN3404" s="4">
        <v>0</v>
      </c>
      <c r="AO3404" s="4">
        <v>0</v>
      </c>
      <c r="AP3404" s="4">
        <v>6</v>
      </c>
      <c r="AQ3404" s="4">
        <v>41</v>
      </c>
      <c r="AR3404" s="3" t="s">
        <v>62</v>
      </c>
      <c r="AS3404" s="3" t="s">
        <v>62</v>
      </c>
      <c r="AT3404" s="3" t="s">
        <v>62</v>
      </c>
      <c r="AV3404" s="6" t="str">
        <f>HYPERLINK("http://mcgill.on.worldcat.org/oclc/666218601","Catalog Record")</f>
        <v>Catalog Record</v>
      </c>
      <c r="AW3404" s="6" t="str">
        <f>HYPERLINK("http://www.worldcat.org/oclc/666218601","WorldCat Record")</f>
        <v>WorldCat Record</v>
      </c>
      <c r="AX3404" s="3" t="s">
        <v>32862</v>
      </c>
      <c r="AY3404" s="3" t="s">
        <v>32863</v>
      </c>
      <c r="AZ3404" s="3" t="s">
        <v>32864</v>
      </c>
      <c r="BA3404" s="3" t="s">
        <v>32864</v>
      </c>
      <c r="BB3404" s="3" t="s">
        <v>32865</v>
      </c>
      <c r="BC3404" s="3" t="s">
        <v>142</v>
      </c>
      <c r="BD3404" s="3" t="s">
        <v>68</v>
      </c>
      <c r="BE3404" s="3" t="s">
        <v>32866</v>
      </c>
      <c r="BF3404" s="3" t="s">
        <v>32865</v>
      </c>
      <c r="BG3404" s="3" t="s">
        <v>32867</v>
      </c>
    </row>
    <row r="3405" spans="1:59" ht="57" x14ac:dyDescent="0.45">
      <c r="A3405" s="2" t="s">
        <v>59</v>
      </c>
      <c r="B3405" s="2" t="s">
        <v>60</v>
      </c>
      <c r="C3405" s="2" t="s">
        <v>32868</v>
      </c>
      <c r="D3405" s="2" t="s">
        <v>32869</v>
      </c>
      <c r="E3405" s="2" t="s">
        <v>32870</v>
      </c>
      <c r="G3405" s="3" t="s">
        <v>62</v>
      </c>
      <c r="I3405" s="3" t="s">
        <v>62</v>
      </c>
      <c r="J3405" s="3" t="s">
        <v>62</v>
      </c>
      <c r="K3405" s="3" t="s">
        <v>63</v>
      </c>
      <c r="M3405" s="2" t="s">
        <v>32871</v>
      </c>
      <c r="N3405" s="3" t="s">
        <v>116</v>
      </c>
      <c r="P3405" s="3" t="s">
        <v>65</v>
      </c>
      <c r="R3405" s="3" t="s">
        <v>66</v>
      </c>
      <c r="S3405" s="4">
        <v>1</v>
      </c>
      <c r="T3405" s="4">
        <v>1</v>
      </c>
      <c r="U3405" s="5" t="s">
        <v>8465</v>
      </c>
      <c r="V3405" s="5" t="s">
        <v>8465</v>
      </c>
      <c r="W3405" s="5" t="s">
        <v>67</v>
      </c>
      <c r="X3405" s="5" t="s">
        <v>67</v>
      </c>
      <c r="Y3405" s="4">
        <v>52</v>
      </c>
      <c r="Z3405" s="4">
        <v>11</v>
      </c>
      <c r="AA3405" s="4">
        <v>11</v>
      </c>
      <c r="AB3405" s="4">
        <v>2</v>
      </c>
      <c r="AC3405" s="4">
        <v>2</v>
      </c>
      <c r="AD3405" s="4">
        <v>21</v>
      </c>
      <c r="AE3405" s="4">
        <v>21</v>
      </c>
      <c r="AF3405" s="4">
        <v>1</v>
      </c>
      <c r="AG3405" s="4">
        <v>1</v>
      </c>
      <c r="AH3405" s="4">
        <v>18</v>
      </c>
      <c r="AI3405" s="4">
        <v>18</v>
      </c>
      <c r="AJ3405" s="4">
        <v>8</v>
      </c>
      <c r="AK3405" s="4">
        <v>8</v>
      </c>
      <c r="AL3405" s="4">
        <v>11</v>
      </c>
      <c r="AM3405" s="4">
        <v>11</v>
      </c>
      <c r="AN3405" s="4">
        <v>0</v>
      </c>
      <c r="AO3405" s="4">
        <v>0</v>
      </c>
      <c r="AP3405" s="4">
        <v>7</v>
      </c>
      <c r="AQ3405" s="4">
        <v>7</v>
      </c>
      <c r="AR3405" s="3" t="s">
        <v>61</v>
      </c>
      <c r="AS3405" s="3" t="s">
        <v>62</v>
      </c>
      <c r="AT3405" s="3" t="s">
        <v>62</v>
      </c>
      <c r="AV3405" s="6" t="str">
        <f>HYPERLINK("http://mcgill.on.worldcat.org/oclc/794365789","Catalog Record")</f>
        <v>Catalog Record</v>
      </c>
      <c r="AW3405" s="6" t="str">
        <f>HYPERLINK("http://www.worldcat.org/oclc/794365789","WorldCat Record")</f>
        <v>WorldCat Record</v>
      </c>
      <c r="AX3405" s="3" t="s">
        <v>32872</v>
      </c>
      <c r="AY3405" s="3" t="s">
        <v>32873</v>
      </c>
      <c r="AZ3405" s="3" t="s">
        <v>32874</v>
      </c>
      <c r="BA3405" s="3" t="s">
        <v>32874</v>
      </c>
      <c r="BB3405" s="3" t="s">
        <v>32875</v>
      </c>
      <c r="BC3405" s="3" t="s">
        <v>142</v>
      </c>
      <c r="BD3405" s="3" t="s">
        <v>68</v>
      </c>
      <c r="BE3405" s="3" t="s">
        <v>32876</v>
      </c>
      <c r="BF3405" s="3" t="s">
        <v>32875</v>
      </c>
      <c r="BG3405" s="3" t="s">
        <v>32877</v>
      </c>
    </row>
    <row r="3406" spans="1:59" ht="57" x14ac:dyDescent="0.45">
      <c r="A3406" s="2" t="s">
        <v>59</v>
      </c>
      <c r="B3406" s="2" t="s">
        <v>60</v>
      </c>
      <c r="C3406" s="2" t="s">
        <v>32878</v>
      </c>
      <c r="D3406" s="2" t="s">
        <v>32879</v>
      </c>
      <c r="E3406" s="2" t="s">
        <v>32880</v>
      </c>
      <c r="G3406" s="3" t="s">
        <v>62</v>
      </c>
      <c r="I3406" s="3" t="s">
        <v>62</v>
      </c>
      <c r="J3406" s="3" t="s">
        <v>62</v>
      </c>
      <c r="K3406" s="3" t="s">
        <v>63</v>
      </c>
      <c r="L3406" s="2" t="s">
        <v>32881</v>
      </c>
      <c r="M3406" s="2" t="s">
        <v>32882</v>
      </c>
      <c r="N3406" s="3" t="s">
        <v>945</v>
      </c>
      <c r="P3406" s="3" t="s">
        <v>65</v>
      </c>
      <c r="R3406" s="3" t="s">
        <v>66</v>
      </c>
      <c r="S3406" s="4">
        <v>14</v>
      </c>
      <c r="T3406" s="4">
        <v>14</v>
      </c>
      <c r="U3406" s="5" t="s">
        <v>18392</v>
      </c>
      <c r="V3406" s="5" t="s">
        <v>18392</v>
      </c>
      <c r="W3406" s="5" t="s">
        <v>67</v>
      </c>
      <c r="X3406" s="5" t="s">
        <v>67</v>
      </c>
      <c r="Y3406" s="4">
        <v>198</v>
      </c>
      <c r="Z3406" s="4">
        <v>18</v>
      </c>
      <c r="AA3406" s="4">
        <v>21</v>
      </c>
      <c r="AB3406" s="4">
        <v>2</v>
      </c>
      <c r="AC3406" s="4">
        <v>5</v>
      </c>
      <c r="AD3406" s="4">
        <v>84</v>
      </c>
      <c r="AE3406" s="4">
        <v>84</v>
      </c>
      <c r="AF3406" s="4">
        <v>1</v>
      </c>
      <c r="AG3406" s="4">
        <v>1</v>
      </c>
      <c r="AH3406" s="4">
        <v>76</v>
      </c>
      <c r="AI3406" s="4">
        <v>76</v>
      </c>
      <c r="AJ3406" s="4">
        <v>14</v>
      </c>
      <c r="AK3406" s="4">
        <v>14</v>
      </c>
      <c r="AL3406" s="4">
        <v>45</v>
      </c>
      <c r="AM3406" s="4">
        <v>45</v>
      </c>
      <c r="AN3406" s="4">
        <v>0</v>
      </c>
      <c r="AO3406" s="4">
        <v>0</v>
      </c>
      <c r="AP3406" s="4">
        <v>14</v>
      </c>
      <c r="AQ3406" s="4">
        <v>14</v>
      </c>
      <c r="AR3406" s="3" t="s">
        <v>62</v>
      </c>
      <c r="AS3406" s="3" t="s">
        <v>62</v>
      </c>
      <c r="AT3406" s="3" t="s">
        <v>61</v>
      </c>
      <c r="AU3406" s="6" t="str">
        <f>HYPERLINK("http://catalog.hathitrust.org/Record/005574920","HathiTrust Record")</f>
        <v>HathiTrust Record</v>
      </c>
      <c r="AV3406" s="6" t="str">
        <f>HYPERLINK("http://mcgill.on.worldcat.org/oclc/64771137","Catalog Record")</f>
        <v>Catalog Record</v>
      </c>
      <c r="AW3406" s="6" t="str">
        <f>HYPERLINK("http://www.worldcat.org/oclc/64771137","WorldCat Record")</f>
        <v>WorldCat Record</v>
      </c>
      <c r="AX3406" s="3" t="s">
        <v>32883</v>
      </c>
      <c r="AY3406" s="3" t="s">
        <v>32884</v>
      </c>
      <c r="AZ3406" s="3" t="s">
        <v>32885</v>
      </c>
      <c r="BA3406" s="3" t="s">
        <v>32885</v>
      </c>
      <c r="BB3406" s="3" t="s">
        <v>32886</v>
      </c>
      <c r="BC3406" s="3" t="s">
        <v>142</v>
      </c>
      <c r="BD3406" s="3" t="s">
        <v>308</v>
      </c>
      <c r="BE3406" s="3" t="s">
        <v>32887</v>
      </c>
      <c r="BF3406" s="3" t="s">
        <v>32886</v>
      </c>
      <c r="BG3406" s="3" t="s">
        <v>32888</v>
      </c>
    </row>
    <row r="3407" spans="1:59" ht="57" x14ac:dyDescent="0.45">
      <c r="A3407" s="2" t="s">
        <v>59</v>
      </c>
      <c r="B3407" s="2" t="s">
        <v>60</v>
      </c>
      <c r="C3407" s="2" t="s">
        <v>32889</v>
      </c>
      <c r="D3407" s="2" t="s">
        <v>32890</v>
      </c>
      <c r="E3407" s="2" t="s">
        <v>32891</v>
      </c>
      <c r="G3407" s="3" t="s">
        <v>62</v>
      </c>
      <c r="I3407" s="3" t="s">
        <v>62</v>
      </c>
      <c r="J3407" s="3" t="s">
        <v>62</v>
      </c>
      <c r="K3407" s="3" t="s">
        <v>63</v>
      </c>
      <c r="M3407" s="2" t="s">
        <v>32892</v>
      </c>
      <c r="N3407" s="3" t="s">
        <v>820</v>
      </c>
      <c r="P3407" s="3" t="s">
        <v>65</v>
      </c>
      <c r="Q3407" s="2" t="s">
        <v>32893</v>
      </c>
      <c r="R3407" s="3" t="s">
        <v>66</v>
      </c>
      <c r="S3407" s="4">
        <v>4</v>
      </c>
      <c r="T3407" s="4">
        <v>4</v>
      </c>
      <c r="U3407" s="5" t="s">
        <v>32894</v>
      </c>
      <c r="V3407" s="5" t="s">
        <v>32894</v>
      </c>
      <c r="W3407" s="5" t="s">
        <v>67</v>
      </c>
      <c r="X3407" s="5" t="s">
        <v>67</v>
      </c>
      <c r="Y3407" s="4">
        <v>113</v>
      </c>
      <c r="Z3407" s="4">
        <v>16</v>
      </c>
      <c r="AA3407" s="4">
        <v>98</v>
      </c>
      <c r="AB3407" s="4">
        <v>1</v>
      </c>
      <c r="AC3407" s="4">
        <v>17</v>
      </c>
      <c r="AD3407" s="4">
        <v>48</v>
      </c>
      <c r="AE3407" s="4">
        <v>107</v>
      </c>
      <c r="AF3407" s="4">
        <v>0</v>
      </c>
      <c r="AG3407" s="4">
        <v>8</v>
      </c>
      <c r="AH3407" s="4">
        <v>42</v>
      </c>
      <c r="AI3407" s="4">
        <v>70</v>
      </c>
      <c r="AJ3407" s="4">
        <v>12</v>
      </c>
      <c r="AK3407" s="4">
        <v>25</v>
      </c>
      <c r="AL3407" s="4">
        <v>22</v>
      </c>
      <c r="AM3407" s="4">
        <v>33</v>
      </c>
      <c r="AN3407" s="4">
        <v>0</v>
      </c>
      <c r="AO3407" s="4">
        <v>0</v>
      </c>
      <c r="AP3407" s="4">
        <v>14</v>
      </c>
      <c r="AQ3407" s="4">
        <v>48</v>
      </c>
      <c r="AR3407" s="3" t="s">
        <v>62</v>
      </c>
      <c r="AS3407" s="3" t="s">
        <v>62</v>
      </c>
      <c r="AT3407" s="3" t="s">
        <v>62</v>
      </c>
      <c r="AV3407" s="6" t="str">
        <f>HYPERLINK("http://mcgill.on.worldcat.org/oclc/221150624","Catalog Record")</f>
        <v>Catalog Record</v>
      </c>
      <c r="AW3407" s="6" t="str">
        <f>HYPERLINK("http://www.worldcat.org/oclc/221150624","WorldCat Record")</f>
        <v>WorldCat Record</v>
      </c>
      <c r="AX3407" s="3" t="s">
        <v>32895</v>
      </c>
      <c r="AY3407" s="3" t="s">
        <v>32896</v>
      </c>
      <c r="AZ3407" s="3" t="s">
        <v>32897</v>
      </c>
      <c r="BA3407" s="3" t="s">
        <v>32897</v>
      </c>
      <c r="BB3407" s="3" t="s">
        <v>32898</v>
      </c>
      <c r="BC3407" s="3" t="s">
        <v>142</v>
      </c>
      <c r="BD3407" s="3" t="s">
        <v>68</v>
      </c>
      <c r="BE3407" s="3" t="s">
        <v>32899</v>
      </c>
      <c r="BF3407" s="3" t="s">
        <v>32898</v>
      </c>
      <c r="BG3407" s="3" t="s">
        <v>32900</v>
      </c>
    </row>
    <row r="3408" spans="1:59" ht="57" x14ac:dyDescent="0.45">
      <c r="A3408" s="2" t="s">
        <v>59</v>
      </c>
      <c r="B3408" s="2" t="s">
        <v>60</v>
      </c>
      <c r="C3408" s="2" t="s">
        <v>32901</v>
      </c>
      <c r="D3408" s="2" t="s">
        <v>32902</v>
      </c>
      <c r="E3408" s="2" t="s">
        <v>32903</v>
      </c>
      <c r="G3408" s="3" t="s">
        <v>62</v>
      </c>
      <c r="I3408" s="3" t="s">
        <v>62</v>
      </c>
      <c r="J3408" s="3" t="s">
        <v>62</v>
      </c>
      <c r="K3408" s="3" t="s">
        <v>63</v>
      </c>
      <c r="L3408" s="2" t="s">
        <v>32904</v>
      </c>
      <c r="M3408" s="2" t="s">
        <v>32905</v>
      </c>
      <c r="N3408" s="3" t="s">
        <v>149</v>
      </c>
      <c r="P3408" s="3" t="s">
        <v>65</v>
      </c>
      <c r="Q3408" s="2" t="s">
        <v>32906</v>
      </c>
      <c r="R3408" s="3" t="s">
        <v>66</v>
      </c>
      <c r="S3408" s="4">
        <v>9</v>
      </c>
      <c r="T3408" s="4">
        <v>9</v>
      </c>
      <c r="U3408" s="5" t="s">
        <v>1857</v>
      </c>
      <c r="V3408" s="5" t="s">
        <v>1857</v>
      </c>
      <c r="W3408" s="5" t="s">
        <v>67</v>
      </c>
      <c r="X3408" s="5" t="s">
        <v>67</v>
      </c>
      <c r="Y3408" s="4">
        <v>405</v>
      </c>
      <c r="Z3408" s="4">
        <v>31</v>
      </c>
      <c r="AA3408" s="4">
        <v>42</v>
      </c>
      <c r="AB3408" s="4">
        <v>3</v>
      </c>
      <c r="AC3408" s="4">
        <v>9</v>
      </c>
      <c r="AD3408" s="4">
        <v>100</v>
      </c>
      <c r="AE3408" s="4">
        <v>119</v>
      </c>
      <c r="AF3408" s="4">
        <v>2</v>
      </c>
      <c r="AG3408" s="4">
        <v>4</v>
      </c>
      <c r="AH3408" s="4">
        <v>85</v>
      </c>
      <c r="AI3408" s="4">
        <v>101</v>
      </c>
      <c r="AJ3408" s="4">
        <v>15</v>
      </c>
      <c r="AK3408" s="4">
        <v>19</v>
      </c>
      <c r="AL3408" s="4">
        <v>50</v>
      </c>
      <c r="AM3408" s="4">
        <v>57</v>
      </c>
      <c r="AN3408" s="4">
        <v>0</v>
      </c>
      <c r="AO3408" s="4">
        <v>0</v>
      </c>
      <c r="AP3408" s="4">
        <v>22</v>
      </c>
      <c r="AQ3408" s="4">
        <v>26</v>
      </c>
      <c r="AR3408" s="3" t="s">
        <v>62</v>
      </c>
      <c r="AS3408" s="3" t="s">
        <v>62</v>
      </c>
      <c r="AT3408" s="3" t="s">
        <v>62</v>
      </c>
      <c r="AV3408" s="6" t="str">
        <f>HYPERLINK("http://mcgill.on.worldcat.org/oclc/587248990","Catalog Record")</f>
        <v>Catalog Record</v>
      </c>
      <c r="AW3408" s="6" t="str">
        <f>HYPERLINK("http://www.worldcat.org/oclc/587248990","WorldCat Record")</f>
        <v>WorldCat Record</v>
      </c>
      <c r="AX3408" s="3" t="s">
        <v>32907</v>
      </c>
      <c r="AY3408" s="3" t="s">
        <v>32908</v>
      </c>
      <c r="AZ3408" s="3" t="s">
        <v>32909</v>
      </c>
      <c r="BA3408" s="3" t="s">
        <v>32909</v>
      </c>
      <c r="BB3408" s="3" t="s">
        <v>32910</v>
      </c>
      <c r="BC3408" s="3" t="s">
        <v>142</v>
      </c>
      <c r="BD3408" s="3" t="s">
        <v>68</v>
      </c>
      <c r="BE3408" s="3" t="s">
        <v>32911</v>
      </c>
      <c r="BF3408" s="3" t="s">
        <v>32910</v>
      </c>
      <c r="BG3408" s="3" t="s">
        <v>32912</v>
      </c>
    </row>
    <row r="3409" spans="1:59" ht="71.25" x14ac:dyDescent="0.45">
      <c r="A3409" s="2" t="s">
        <v>59</v>
      </c>
      <c r="B3409" s="2" t="s">
        <v>60</v>
      </c>
      <c r="C3409" s="2" t="s">
        <v>32913</v>
      </c>
      <c r="D3409" s="2" t="s">
        <v>32914</v>
      </c>
      <c r="E3409" s="2" t="s">
        <v>32915</v>
      </c>
      <c r="G3409" s="3" t="s">
        <v>62</v>
      </c>
      <c r="I3409" s="3" t="s">
        <v>62</v>
      </c>
      <c r="J3409" s="3" t="s">
        <v>62</v>
      </c>
      <c r="K3409" s="3" t="s">
        <v>63</v>
      </c>
      <c r="L3409" s="2" t="s">
        <v>32916</v>
      </c>
      <c r="M3409" s="2" t="s">
        <v>180</v>
      </c>
      <c r="N3409" s="3" t="s">
        <v>181</v>
      </c>
      <c r="P3409" s="3" t="s">
        <v>182</v>
      </c>
      <c r="Q3409" s="2" t="s">
        <v>32917</v>
      </c>
      <c r="R3409" s="3" t="s">
        <v>66</v>
      </c>
      <c r="S3409" s="4">
        <v>0</v>
      </c>
      <c r="T3409" s="4">
        <v>0</v>
      </c>
      <c r="W3409" s="5" t="s">
        <v>67</v>
      </c>
      <c r="X3409" s="5" t="s">
        <v>67</v>
      </c>
      <c r="Y3409" s="4">
        <v>19</v>
      </c>
      <c r="Z3409" s="4">
        <v>1</v>
      </c>
      <c r="AA3409" s="4">
        <v>1</v>
      </c>
      <c r="AB3409" s="4">
        <v>1</v>
      </c>
      <c r="AC3409" s="4">
        <v>1</v>
      </c>
      <c r="AD3409" s="4">
        <v>11</v>
      </c>
      <c r="AE3409" s="4">
        <v>11</v>
      </c>
      <c r="AF3409" s="4">
        <v>0</v>
      </c>
      <c r="AG3409" s="4">
        <v>0</v>
      </c>
      <c r="AH3409" s="4">
        <v>10</v>
      </c>
      <c r="AI3409" s="4">
        <v>10</v>
      </c>
      <c r="AJ3409" s="4">
        <v>0</v>
      </c>
      <c r="AK3409" s="4">
        <v>0</v>
      </c>
      <c r="AL3409" s="4">
        <v>10</v>
      </c>
      <c r="AM3409" s="4">
        <v>10</v>
      </c>
      <c r="AN3409" s="4">
        <v>0</v>
      </c>
      <c r="AO3409" s="4">
        <v>0</v>
      </c>
      <c r="AP3409" s="4">
        <v>0</v>
      </c>
      <c r="AQ3409" s="4">
        <v>0</v>
      </c>
      <c r="AR3409" s="3" t="s">
        <v>62</v>
      </c>
      <c r="AS3409" s="3" t="s">
        <v>62</v>
      </c>
      <c r="AT3409" s="3" t="s">
        <v>62</v>
      </c>
      <c r="AV3409" s="6" t="str">
        <f>HYPERLINK("http://mcgill.on.worldcat.org/oclc/960818898","Catalog Record")</f>
        <v>Catalog Record</v>
      </c>
      <c r="AW3409" s="6" t="str">
        <f>HYPERLINK("http://www.worldcat.org/oclc/960818898","WorldCat Record")</f>
        <v>WorldCat Record</v>
      </c>
      <c r="AX3409" s="3" t="s">
        <v>32918</v>
      </c>
      <c r="AY3409" s="3" t="s">
        <v>32919</v>
      </c>
      <c r="AZ3409" s="3" t="s">
        <v>32920</v>
      </c>
      <c r="BA3409" s="3" t="s">
        <v>32920</v>
      </c>
      <c r="BB3409" s="3" t="s">
        <v>32921</v>
      </c>
      <c r="BC3409" s="3" t="s">
        <v>142</v>
      </c>
      <c r="BD3409" s="3" t="s">
        <v>68</v>
      </c>
      <c r="BE3409" s="3" t="s">
        <v>32922</v>
      </c>
      <c r="BF3409" s="3" t="s">
        <v>32921</v>
      </c>
      <c r="BG3409" s="3" t="s">
        <v>32923</v>
      </c>
    </row>
    <row r="3410" spans="1:59" ht="57" x14ac:dyDescent="0.45">
      <c r="A3410" s="2" t="s">
        <v>59</v>
      </c>
      <c r="B3410" s="2" t="s">
        <v>60</v>
      </c>
      <c r="C3410" s="2" t="s">
        <v>32924</v>
      </c>
      <c r="D3410" s="2" t="s">
        <v>32925</v>
      </c>
      <c r="E3410" s="2" t="s">
        <v>32926</v>
      </c>
      <c r="G3410" s="3" t="s">
        <v>62</v>
      </c>
      <c r="I3410" s="3" t="s">
        <v>62</v>
      </c>
      <c r="J3410" s="3" t="s">
        <v>62</v>
      </c>
      <c r="K3410" s="3" t="s">
        <v>63</v>
      </c>
      <c r="M3410" s="2" t="s">
        <v>32927</v>
      </c>
      <c r="N3410" s="3" t="s">
        <v>894</v>
      </c>
      <c r="P3410" s="3" t="s">
        <v>65</v>
      </c>
      <c r="R3410" s="3" t="s">
        <v>66</v>
      </c>
      <c r="S3410" s="4">
        <v>0</v>
      </c>
      <c r="T3410" s="4">
        <v>0</v>
      </c>
      <c r="W3410" s="5" t="s">
        <v>67</v>
      </c>
      <c r="X3410" s="5" t="s">
        <v>67</v>
      </c>
      <c r="Y3410" s="4">
        <v>52</v>
      </c>
      <c r="Z3410" s="4">
        <v>9</v>
      </c>
      <c r="AA3410" s="4">
        <v>78</v>
      </c>
      <c r="AB3410" s="4">
        <v>1</v>
      </c>
      <c r="AC3410" s="4">
        <v>14</v>
      </c>
      <c r="AD3410" s="4">
        <v>22</v>
      </c>
      <c r="AE3410" s="4">
        <v>102</v>
      </c>
      <c r="AF3410" s="4">
        <v>0</v>
      </c>
      <c r="AG3410" s="4">
        <v>8</v>
      </c>
      <c r="AH3410" s="4">
        <v>21</v>
      </c>
      <c r="AI3410" s="4">
        <v>69</v>
      </c>
      <c r="AJ3410" s="4">
        <v>6</v>
      </c>
      <c r="AK3410" s="4">
        <v>20</v>
      </c>
      <c r="AL3410" s="4">
        <v>13</v>
      </c>
      <c r="AM3410" s="4">
        <v>36</v>
      </c>
      <c r="AN3410" s="4">
        <v>0</v>
      </c>
      <c r="AO3410" s="4">
        <v>0</v>
      </c>
      <c r="AP3410" s="4">
        <v>7</v>
      </c>
      <c r="AQ3410" s="4">
        <v>40</v>
      </c>
      <c r="AR3410" s="3" t="s">
        <v>62</v>
      </c>
      <c r="AS3410" s="3" t="s">
        <v>62</v>
      </c>
      <c r="AT3410" s="3" t="s">
        <v>62</v>
      </c>
      <c r="AV3410" s="6" t="str">
        <f>HYPERLINK("http://mcgill.on.worldcat.org/oclc/711046115","Catalog Record")</f>
        <v>Catalog Record</v>
      </c>
      <c r="AW3410" s="6" t="str">
        <f>HYPERLINK("http://www.worldcat.org/oclc/711046115","WorldCat Record")</f>
        <v>WorldCat Record</v>
      </c>
      <c r="AX3410" s="3" t="s">
        <v>32928</v>
      </c>
      <c r="AY3410" s="3" t="s">
        <v>32929</v>
      </c>
      <c r="AZ3410" s="3" t="s">
        <v>32930</v>
      </c>
      <c r="BA3410" s="3" t="s">
        <v>32930</v>
      </c>
      <c r="BB3410" s="3" t="s">
        <v>32931</v>
      </c>
      <c r="BC3410" s="3" t="s">
        <v>142</v>
      </c>
      <c r="BD3410" s="3" t="s">
        <v>68</v>
      </c>
      <c r="BE3410" s="3" t="s">
        <v>32932</v>
      </c>
      <c r="BF3410" s="3" t="s">
        <v>32931</v>
      </c>
      <c r="BG3410" s="3" t="s">
        <v>32933</v>
      </c>
    </row>
    <row r="3411" spans="1:59" ht="57" x14ac:dyDescent="0.45">
      <c r="A3411" s="2" t="s">
        <v>59</v>
      </c>
      <c r="B3411" s="2" t="s">
        <v>60</v>
      </c>
      <c r="C3411" s="2" t="s">
        <v>32934</v>
      </c>
      <c r="D3411" s="2" t="s">
        <v>32935</v>
      </c>
      <c r="E3411" s="2" t="s">
        <v>32936</v>
      </c>
      <c r="G3411" s="3" t="s">
        <v>62</v>
      </c>
      <c r="I3411" s="3" t="s">
        <v>62</v>
      </c>
      <c r="J3411" s="3" t="s">
        <v>62</v>
      </c>
      <c r="K3411" s="3" t="s">
        <v>63</v>
      </c>
      <c r="L3411" s="2" t="s">
        <v>32937</v>
      </c>
      <c r="M3411" s="2" t="s">
        <v>32938</v>
      </c>
      <c r="N3411" s="3" t="s">
        <v>1059</v>
      </c>
      <c r="P3411" s="3" t="s">
        <v>65</v>
      </c>
      <c r="R3411" s="3" t="s">
        <v>66</v>
      </c>
      <c r="S3411" s="4">
        <v>6</v>
      </c>
      <c r="T3411" s="4">
        <v>6</v>
      </c>
      <c r="U3411" s="5" t="s">
        <v>32939</v>
      </c>
      <c r="V3411" s="5" t="s">
        <v>32939</v>
      </c>
      <c r="W3411" s="5" t="s">
        <v>67</v>
      </c>
      <c r="X3411" s="5" t="s">
        <v>67</v>
      </c>
      <c r="Y3411" s="4">
        <v>237</v>
      </c>
      <c r="Z3411" s="4">
        <v>18</v>
      </c>
      <c r="AA3411" s="4">
        <v>33</v>
      </c>
      <c r="AB3411" s="4">
        <v>1</v>
      </c>
      <c r="AC3411" s="4">
        <v>5</v>
      </c>
      <c r="AD3411" s="4">
        <v>99</v>
      </c>
      <c r="AE3411" s="4">
        <v>112</v>
      </c>
      <c r="AF3411" s="4">
        <v>0</v>
      </c>
      <c r="AG3411" s="4">
        <v>1</v>
      </c>
      <c r="AH3411" s="4">
        <v>92</v>
      </c>
      <c r="AI3411" s="4">
        <v>97</v>
      </c>
      <c r="AJ3411" s="4">
        <v>11</v>
      </c>
      <c r="AK3411" s="4">
        <v>15</v>
      </c>
      <c r="AL3411" s="4">
        <v>53</v>
      </c>
      <c r="AM3411" s="4">
        <v>54</v>
      </c>
      <c r="AN3411" s="4">
        <v>0</v>
      </c>
      <c r="AO3411" s="4">
        <v>0</v>
      </c>
      <c r="AP3411" s="4">
        <v>13</v>
      </c>
      <c r="AQ3411" s="4">
        <v>22</v>
      </c>
      <c r="AR3411" s="3" t="s">
        <v>62</v>
      </c>
      <c r="AS3411" s="3" t="s">
        <v>62</v>
      </c>
      <c r="AT3411" s="3" t="s">
        <v>61</v>
      </c>
      <c r="AU3411" s="6" t="str">
        <f>HYPERLINK("http://catalog.hathitrust.org/Record/005290802","HathiTrust Record")</f>
        <v>HathiTrust Record</v>
      </c>
      <c r="AV3411" s="6" t="str">
        <f>HYPERLINK("http://mcgill.on.worldcat.org/oclc/69593907","Catalog Record")</f>
        <v>Catalog Record</v>
      </c>
      <c r="AW3411" s="6" t="str">
        <f>HYPERLINK("http://www.worldcat.org/oclc/69593907","WorldCat Record")</f>
        <v>WorldCat Record</v>
      </c>
      <c r="AX3411" s="3" t="s">
        <v>32940</v>
      </c>
      <c r="AY3411" s="3" t="s">
        <v>32941</v>
      </c>
      <c r="AZ3411" s="3" t="s">
        <v>32942</v>
      </c>
      <c r="BA3411" s="3" t="s">
        <v>32942</v>
      </c>
      <c r="BB3411" s="3" t="s">
        <v>32943</v>
      </c>
      <c r="BC3411" s="3" t="s">
        <v>142</v>
      </c>
      <c r="BD3411" s="3" t="s">
        <v>308</v>
      </c>
      <c r="BE3411" s="3" t="s">
        <v>32944</v>
      </c>
      <c r="BF3411" s="3" t="s">
        <v>32943</v>
      </c>
      <c r="BG3411" s="3" t="s">
        <v>32945</v>
      </c>
    </row>
    <row r="3412" spans="1:59" ht="57" x14ac:dyDescent="0.45">
      <c r="A3412" s="2" t="s">
        <v>59</v>
      </c>
      <c r="B3412" s="2" t="s">
        <v>60</v>
      </c>
      <c r="C3412" s="2" t="s">
        <v>32946</v>
      </c>
      <c r="D3412" s="2" t="s">
        <v>32947</v>
      </c>
      <c r="E3412" s="2" t="s">
        <v>32948</v>
      </c>
      <c r="G3412" s="3" t="s">
        <v>62</v>
      </c>
      <c r="I3412" s="3" t="s">
        <v>62</v>
      </c>
      <c r="J3412" s="3" t="s">
        <v>62</v>
      </c>
      <c r="K3412" s="3" t="s">
        <v>63</v>
      </c>
      <c r="L3412" s="2" t="s">
        <v>32949</v>
      </c>
      <c r="M3412" s="2" t="s">
        <v>32950</v>
      </c>
      <c r="N3412" s="3" t="s">
        <v>1855</v>
      </c>
      <c r="P3412" s="3" t="s">
        <v>65</v>
      </c>
      <c r="R3412" s="3" t="s">
        <v>66</v>
      </c>
      <c r="S3412" s="4">
        <v>6</v>
      </c>
      <c r="T3412" s="4">
        <v>6</v>
      </c>
      <c r="U3412" s="5" t="s">
        <v>18361</v>
      </c>
      <c r="V3412" s="5" t="s">
        <v>18361</v>
      </c>
      <c r="W3412" s="5" t="s">
        <v>67</v>
      </c>
      <c r="X3412" s="5" t="s">
        <v>67</v>
      </c>
      <c r="Y3412" s="4">
        <v>166</v>
      </c>
      <c r="Z3412" s="4">
        <v>6</v>
      </c>
      <c r="AA3412" s="4">
        <v>99</v>
      </c>
      <c r="AB3412" s="4">
        <v>2</v>
      </c>
      <c r="AC3412" s="4">
        <v>19</v>
      </c>
      <c r="AD3412" s="4">
        <v>72</v>
      </c>
      <c r="AE3412" s="4">
        <v>147</v>
      </c>
      <c r="AF3412" s="4">
        <v>1</v>
      </c>
      <c r="AG3412" s="4">
        <v>9</v>
      </c>
      <c r="AH3412" s="4">
        <v>69</v>
      </c>
      <c r="AI3412" s="4">
        <v>100</v>
      </c>
      <c r="AJ3412" s="4">
        <v>4</v>
      </c>
      <c r="AK3412" s="4">
        <v>29</v>
      </c>
      <c r="AL3412" s="4">
        <v>45</v>
      </c>
      <c r="AM3412" s="4">
        <v>53</v>
      </c>
      <c r="AN3412" s="4">
        <v>0</v>
      </c>
      <c r="AO3412" s="4">
        <v>0</v>
      </c>
      <c r="AP3412" s="4">
        <v>5</v>
      </c>
      <c r="AQ3412" s="4">
        <v>56</v>
      </c>
      <c r="AR3412" s="3" t="s">
        <v>62</v>
      </c>
      <c r="AS3412" s="3" t="s">
        <v>62</v>
      </c>
      <c r="AT3412" s="3" t="s">
        <v>62</v>
      </c>
      <c r="AV3412" s="6" t="str">
        <f>HYPERLINK("http://mcgill.on.worldcat.org/oclc/56198555","Catalog Record")</f>
        <v>Catalog Record</v>
      </c>
      <c r="AW3412" s="6" t="str">
        <f>HYPERLINK("http://www.worldcat.org/oclc/56198555","WorldCat Record")</f>
        <v>WorldCat Record</v>
      </c>
      <c r="AX3412" s="3" t="s">
        <v>32951</v>
      </c>
      <c r="AY3412" s="3" t="s">
        <v>32952</v>
      </c>
      <c r="AZ3412" s="3" t="s">
        <v>32953</v>
      </c>
      <c r="BA3412" s="3" t="s">
        <v>32953</v>
      </c>
      <c r="BB3412" s="3" t="s">
        <v>32954</v>
      </c>
      <c r="BC3412" s="3" t="s">
        <v>142</v>
      </c>
      <c r="BD3412" s="3" t="s">
        <v>68</v>
      </c>
      <c r="BE3412" s="3" t="s">
        <v>32955</v>
      </c>
      <c r="BF3412" s="3" t="s">
        <v>32954</v>
      </c>
      <c r="BG3412" s="3" t="s">
        <v>32956</v>
      </c>
    </row>
    <row r="3413" spans="1:59" ht="57" x14ac:dyDescent="0.45">
      <c r="A3413" s="2" t="s">
        <v>59</v>
      </c>
      <c r="B3413" s="2" t="s">
        <v>60</v>
      </c>
      <c r="C3413" s="2" t="s">
        <v>32957</v>
      </c>
      <c r="D3413" s="2" t="s">
        <v>32958</v>
      </c>
      <c r="E3413" s="2" t="s">
        <v>32959</v>
      </c>
      <c r="G3413" s="3" t="s">
        <v>62</v>
      </c>
      <c r="I3413" s="3" t="s">
        <v>62</v>
      </c>
      <c r="J3413" s="3" t="s">
        <v>62</v>
      </c>
      <c r="K3413" s="3" t="s">
        <v>63</v>
      </c>
      <c r="L3413" s="2" t="s">
        <v>32960</v>
      </c>
      <c r="M3413" s="2" t="s">
        <v>32961</v>
      </c>
      <c r="N3413" s="3" t="s">
        <v>1918</v>
      </c>
      <c r="O3413" s="2" t="s">
        <v>1748</v>
      </c>
      <c r="P3413" s="3" t="s">
        <v>65</v>
      </c>
      <c r="R3413" s="3" t="s">
        <v>66</v>
      </c>
      <c r="S3413" s="4">
        <v>2</v>
      </c>
      <c r="T3413" s="4">
        <v>2</v>
      </c>
      <c r="U3413" s="5" t="s">
        <v>32962</v>
      </c>
      <c r="V3413" s="5" t="s">
        <v>32962</v>
      </c>
      <c r="W3413" s="5" t="s">
        <v>67</v>
      </c>
      <c r="X3413" s="5" t="s">
        <v>67</v>
      </c>
      <c r="Y3413" s="4">
        <v>578</v>
      </c>
      <c r="Z3413" s="4">
        <v>12</v>
      </c>
      <c r="AA3413" s="4">
        <v>19</v>
      </c>
      <c r="AB3413" s="4">
        <v>2</v>
      </c>
      <c r="AC3413" s="4">
        <v>6</v>
      </c>
      <c r="AD3413" s="4">
        <v>29</v>
      </c>
      <c r="AE3413" s="4">
        <v>33</v>
      </c>
      <c r="AF3413" s="4">
        <v>0</v>
      </c>
      <c r="AG3413" s="4">
        <v>0</v>
      </c>
      <c r="AH3413" s="4">
        <v>27</v>
      </c>
      <c r="AI3413" s="4">
        <v>29</v>
      </c>
      <c r="AJ3413" s="4">
        <v>3</v>
      </c>
      <c r="AK3413" s="4">
        <v>3</v>
      </c>
      <c r="AL3413" s="4">
        <v>16</v>
      </c>
      <c r="AM3413" s="4">
        <v>18</v>
      </c>
      <c r="AN3413" s="4">
        <v>0</v>
      </c>
      <c r="AO3413" s="4">
        <v>0</v>
      </c>
      <c r="AP3413" s="4">
        <v>4</v>
      </c>
      <c r="AQ3413" s="4">
        <v>6</v>
      </c>
      <c r="AR3413" s="3" t="s">
        <v>62</v>
      </c>
      <c r="AS3413" s="3" t="s">
        <v>62</v>
      </c>
      <c r="AT3413" s="3" t="s">
        <v>62</v>
      </c>
      <c r="AV3413" s="6" t="str">
        <f>HYPERLINK("http://mcgill.on.worldcat.org/oclc/967854605","Catalog Record")</f>
        <v>Catalog Record</v>
      </c>
      <c r="AW3413" s="6" t="str">
        <f>HYPERLINK("http://www.worldcat.org/oclc/967854605","WorldCat Record")</f>
        <v>WorldCat Record</v>
      </c>
      <c r="AX3413" s="3" t="s">
        <v>32963</v>
      </c>
      <c r="AY3413" s="3" t="s">
        <v>32964</v>
      </c>
      <c r="AZ3413" s="3" t="s">
        <v>32965</v>
      </c>
      <c r="BA3413" s="3" t="s">
        <v>32965</v>
      </c>
      <c r="BB3413" s="3" t="s">
        <v>32966</v>
      </c>
      <c r="BC3413" s="3" t="s">
        <v>142</v>
      </c>
      <c r="BD3413" s="3" t="s">
        <v>308</v>
      </c>
      <c r="BE3413" s="3" t="s">
        <v>32967</v>
      </c>
      <c r="BF3413" s="3" t="s">
        <v>32966</v>
      </c>
      <c r="BG3413" s="3" t="s">
        <v>32968</v>
      </c>
    </row>
    <row r="3414" spans="1:59" ht="57" x14ac:dyDescent="0.45">
      <c r="A3414" s="2" t="s">
        <v>59</v>
      </c>
      <c r="B3414" s="2" t="s">
        <v>60</v>
      </c>
      <c r="C3414" s="2" t="s">
        <v>32969</v>
      </c>
      <c r="D3414" s="2" t="s">
        <v>32970</v>
      </c>
      <c r="E3414" s="2" t="s">
        <v>32971</v>
      </c>
      <c r="G3414" s="3" t="s">
        <v>62</v>
      </c>
      <c r="I3414" s="3" t="s">
        <v>61</v>
      </c>
      <c r="J3414" s="3" t="s">
        <v>62</v>
      </c>
      <c r="K3414" s="3" t="s">
        <v>63</v>
      </c>
      <c r="L3414" s="2" t="s">
        <v>32972</v>
      </c>
      <c r="M3414" s="2" t="s">
        <v>32973</v>
      </c>
      <c r="N3414" s="3" t="s">
        <v>181</v>
      </c>
      <c r="P3414" s="3" t="s">
        <v>65</v>
      </c>
      <c r="R3414" s="3" t="s">
        <v>66</v>
      </c>
      <c r="S3414" s="4">
        <v>7</v>
      </c>
      <c r="T3414" s="4">
        <v>22</v>
      </c>
      <c r="U3414" s="5" t="s">
        <v>1806</v>
      </c>
      <c r="V3414" s="5" t="s">
        <v>19857</v>
      </c>
      <c r="W3414" s="5" t="s">
        <v>67</v>
      </c>
      <c r="X3414" s="5" t="s">
        <v>67</v>
      </c>
      <c r="Y3414" s="4">
        <v>581</v>
      </c>
      <c r="Z3414" s="4">
        <v>26</v>
      </c>
      <c r="AA3414" s="4">
        <v>28</v>
      </c>
      <c r="AB3414" s="4">
        <v>1</v>
      </c>
      <c r="AC3414" s="4">
        <v>3</v>
      </c>
      <c r="AD3414" s="4">
        <v>87</v>
      </c>
      <c r="AE3414" s="4">
        <v>88</v>
      </c>
      <c r="AF3414" s="4">
        <v>0</v>
      </c>
      <c r="AG3414" s="4">
        <v>1</v>
      </c>
      <c r="AH3414" s="4">
        <v>79</v>
      </c>
      <c r="AI3414" s="4">
        <v>79</v>
      </c>
      <c r="AJ3414" s="4">
        <v>10</v>
      </c>
      <c r="AK3414" s="4">
        <v>11</v>
      </c>
      <c r="AL3414" s="4">
        <v>44</v>
      </c>
      <c r="AM3414" s="4">
        <v>44</v>
      </c>
      <c r="AN3414" s="4">
        <v>0</v>
      </c>
      <c r="AO3414" s="4">
        <v>0</v>
      </c>
      <c r="AP3414" s="4">
        <v>12</v>
      </c>
      <c r="AQ3414" s="4">
        <v>12</v>
      </c>
      <c r="AR3414" s="3" t="s">
        <v>62</v>
      </c>
      <c r="AS3414" s="3" t="s">
        <v>62</v>
      </c>
      <c r="AT3414" s="3" t="s">
        <v>62</v>
      </c>
      <c r="AV3414" s="6" t="str">
        <f>HYPERLINK("http://mcgill.on.worldcat.org/oclc/921240438","Catalog Record")</f>
        <v>Catalog Record</v>
      </c>
      <c r="AW3414" s="6" t="str">
        <f>HYPERLINK("http://www.worldcat.org/oclc/921240438","WorldCat Record")</f>
        <v>WorldCat Record</v>
      </c>
      <c r="AX3414" s="3" t="s">
        <v>32974</v>
      </c>
      <c r="AY3414" s="3" t="s">
        <v>32975</v>
      </c>
      <c r="AZ3414" s="3" t="s">
        <v>32976</v>
      </c>
      <c r="BA3414" s="3" t="s">
        <v>32976</v>
      </c>
      <c r="BB3414" s="3" t="s">
        <v>32977</v>
      </c>
      <c r="BC3414" s="3" t="s">
        <v>142</v>
      </c>
      <c r="BD3414" s="3" t="s">
        <v>308</v>
      </c>
      <c r="BE3414" s="3" t="s">
        <v>32978</v>
      </c>
      <c r="BF3414" s="3" t="s">
        <v>32977</v>
      </c>
      <c r="BG3414" s="3" t="s">
        <v>32979</v>
      </c>
    </row>
    <row r="3415" spans="1:59" ht="57" x14ac:dyDescent="0.45">
      <c r="A3415" s="2" t="s">
        <v>59</v>
      </c>
      <c r="B3415" s="2" t="s">
        <v>60</v>
      </c>
      <c r="C3415" s="2" t="s">
        <v>32969</v>
      </c>
      <c r="D3415" s="2" t="s">
        <v>32970</v>
      </c>
      <c r="E3415" s="2" t="s">
        <v>32971</v>
      </c>
      <c r="G3415" s="3" t="s">
        <v>62</v>
      </c>
      <c r="I3415" s="3" t="s">
        <v>61</v>
      </c>
      <c r="J3415" s="3" t="s">
        <v>62</v>
      </c>
      <c r="K3415" s="3" t="s">
        <v>63</v>
      </c>
      <c r="L3415" s="2" t="s">
        <v>32972</v>
      </c>
      <c r="M3415" s="2" t="s">
        <v>32973</v>
      </c>
      <c r="N3415" s="3" t="s">
        <v>181</v>
      </c>
      <c r="P3415" s="3" t="s">
        <v>65</v>
      </c>
      <c r="R3415" s="3" t="s">
        <v>66</v>
      </c>
      <c r="S3415" s="4">
        <v>15</v>
      </c>
      <c r="T3415" s="4">
        <v>22</v>
      </c>
      <c r="U3415" s="5" t="s">
        <v>19857</v>
      </c>
      <c r="V3415" s="5" t="s">
        <v>19857</v>
      </c>
      <c r="W3415" s="5" t="s">
        <v>67</v>
      </c>
      <c r="X3415" s="5" t="s">
        <v>67</v>
      </c>
      <c r="Y3415" s="4">
        <v>581</v>
      </c>
      <c r="Z3415" s="4">
        <v>26</v>
      </c>
      <c r="AA3415" s="4">
        <v>28</v>
      </c>
      <c r="AB3415" s="4">
        <v>1</v>
      </c>
      <c r="AC3415" s="4">
        <v>3</v>
      </c>
      <c r="AD3415" s="4">
        <v>87</v>
      </c>
      <c r="AE3415" s="4">
        <v>88</v>
      </c>
      <c r="AF3415" s="4">
        <v>0</v>
      </c>
      <c r="AG3415" s="4">
        <v>1</v>
      </c>
      <c r="AH3415" s="4">
        <v>79</v>
      </c>
      <c r="AI3415" s="4">
        <v>79</v>
      </c>
      <c r="AJ3415" s="4">
        <v>10</v>
      </c>
      <c r="AK3415" s="4">
        <v>11</v>
      </c>
      <c r="AL3415" s="4">
        <v>44</v>
      </c>
      <c r="AM3415" s="4">
        <v>44</v>
      </c>
      <c r="AN3415" s="4">
        <v>0</v>
      </c>
      <c r="AO3415" s="4">
        <v>0</v>
      </c>
      <c r="AP3415" s="4">
        <v>12</v>
      </c>
      <c r="AQ3415" s="4">
        <v>12</v>
      </c>
      <c r="AR3415" s="3" t="s">
        <v>62</v>
      </c>
      <c r="AS3415" s="3" t="s">
        <v>62</v>
      </c>
      <c r="AT3415" s="3" t="s">
        <v>62</v>
      </c>
      <c r="AV3415" s="6" t="str">
        <f>HYPERLINK("http://mcgill.on.worldcat.org/oclc/921240438","Catalog Record")</f>
        <v>Catalog Record</v>
      </c>
      <c r="AW3415" s="6" t="str">
        <f>HYPERLINK("http://www.worldcat.org/oclc/921240438","WorldCat Record")</f>
        <v>WorldCat Record</v>
      </c>
      <c r="AX3415" s="3" t="s">
        <v>32974</v>
      </c>
      <c r="AY3415" s="3" t="s">
        <v>32975</v>
      </c>
      <c r="AZ3415" s="3" t="s">
        <v>32976</v>
      </c>
      <c r="BA3415" s="3" t="s">
        <v>32976</v>
      </c>
      <c r="BB3415" s="3" t="s">
        <v>32980</v>
      </c>
      <c r="BC3415" s="3" t="s">
        <v>142</v>
      </c>
      <c r="BD3415" s="3" t="s">
        <v>308</v>
      </c>
      <c r="BE3415" s="3" t="s">
        <v>32978</v>
      </c>
      <c r="BF3415" s="3" t="s">
        <v>32980</v>
      </c>
      <c r="BG3415" s="3" t="s">
        <v>32981</v>
      </c>
    </row>
    <row r="3416" spans="1:59" ht="57" x14ac:dyDescent="0.45">
      <c r="A3416" s="2" t="s">
        <v>59</v>
      </c>
      <c r="B3416" s="2" t="s">
        <v>60</v>
      </c>
      <c r="C3416" s="2" t="s">
        <v>32982</v>
      </c>
      <c r="D3416" s="2" t="s">
        <v>32983</v>
      </c>
      <c r="E3416" s="2" t="s">
        <v>32984</v>
      </c>
      <c r="G3416" s="3" t="s">
        <v>62</v>
      </c>
      <c r="I3416" s="3" t="s">
        <v>62</v>
      </c>
      <c r="J3416" s="3" t="s">
        <v>62</v>
      </c>
      <c r="K3416" s="3" t="s">
        <v>63</v>
      </c>
      <c r="L3416" s="2" t="s">
        <v>32985</v>
      </c>
      <c r="M3416" s="2" t="s">
        <v>3350</v>
      </c>
      <c r="N3416" s="3" t="s">
        <v>894</v>
      </c>
      <c r="O3416" s="2" t="s">
        <v>933</v>
      </c>
      <c r="P3416" s="3" t="s">
        <v>65</v>
      </c>
      <c r="R3416" s="3" t="s">
        <v>66</v>
      </c>
      <c r="S3416" s="4">
        <v>1</v>
      </c>
      <c r="T3416" s="4">
        <v>1</v>
      </c>
      <c r="U3416" s="5" t="s">
        <v>19153</v>
      </c>
      <c r="V3416" s="5" t="s">
        <v>19153</v>
      </c>
      <c r="W3416" s="5" t="s">
        <v>67</v>
      </c>
      <c r="X3416" s="5" t="s">
        <v>67</v>
      </c>
      <c r="Y3416" s="4">
        <v>142</v>
      </c>
      <c r="Z3416" s="4">
        <v>9</v>
      </c>
      <c r="AA3416" s="4">
        <v>18</v>
      </c>
      <c r="AB3416" s="4">
        <v>1</v>
      </c>
      <c r="AC3416" s="4">
        <v>6</v>
      </c>
      <c r="AD3416" s="4">
        <v>16</v>
      </c>
      <c r="AE3416" s="4">
        <v>22</v>
      </c>
      <c r="AF3416" s="4">
        <v>0</v>
      </c>
      <c r="AG3416" s="4">
        <v>3</v>
      </c>
      <c r="AH3416" s="4">
        <v>14</v>
      </c>
      <c r="AI3416" s="4">
        <v>16</v>
      </c>
      <c r="AJ3416" s="4">
        <v>4</v>
      </c>
      <c r="AK3416" s="4">
        <v>8</v>
      </c>
      <c r="AL3416" s="4">
        <v>6</v>
      </c>
      <c r="AM3416" s="4">
        <v>7</v>
      </c>
      <c r="AN3416" s="4">
        <v>0</v>
      </c>
      <c r="AO3416" s="4">
        <v>0</v>
      </c>
      <c r="AP3416" s="4">
        <v>6</v>
      </c>
      <c r="AQ3416" s="4">
        <v>11</v>
      </c>
      <c r="AR3416" s="3" t="s">
        <v>62</v>
      </c>
      <c r="AS3416" s="3" t="s">
        <v>62</v>
      </c>
      <c r="AT3416" s="3" t="s">
        <v>62</v>
      </c>
      <c r="AV3416" s="6" t="str">
        <f>HYPERLINK("http://mcgill.on.worldcat.org/oclc/650213925","Catalog Record")</f>
        <v>Catalog Record</v>
      </c>
      <c r="AW3416" s="6" t="str">
        <f>HYPERLINK("http://www.worldcat.org/oclc/650213925","WorldCat Record")</f>
        <v>WorldCat Record</v>
      </c>
      <c r="AX3416" s="3" t="s">
        <v>32986</v>
      </c>
      <c r="AY3416" s="3" t="s">
        <v>32987</v>
      </c>
      <c r="AZ3416" s="3" t="s">
        <v>32988</v>
      </c>
      <c r="BA3416" s="3" t="s">
        <v>32988</v>
      </c>
      <c r="BB3416" s="3" t="s">
        <v>32989</v>
      </c>
      <c r="BC3416" s="3" t="s">
        <v>142</v>
      </c>
      <c r="BD3416" s="3" t="s">
        <v>68</v>
      </c>
      <c r="BE3416" s="3" t="s">
        <v>32990</v>
      </c>
      <c r="BF3416" s="3" t="s">
        <v>32989</v>
      </c>
      <c r="BG3416" s="3" t="s">
        <v>32991</v>
      </c>
    </row>
    <row r="3417" spans="1:59" ht="71.25" x14ac:dyDescent="0.45">
      <c r="A3417" s="2" t="s">
        <v>59</v>
      </c>
      <c r="B3417" s="2" t="s">
        <v>60</v>
      </c>
      <c r="C3417" s="2" t="s">
        <v>32992</v>
      </c>
      <c r="D3417" s="2" t="s">
        <v>32993</v>
      </c>
      <c r="E3417" s="2" t="s">
        <v>32994</v>
      </c>
      <c r="G3417" s="3" t="s">
        <v>62</v>
      </c>
      <c r="I3417" s="3" t="s">
        <v>62</v>
      </c>
      <c r="J3417" s="3" t="s">
        <v>62</v>
      </c>
      <c r="K3417" s="3" t="s">
        <v>63</v>
      </c>
      <c r="M3417" s="2" t="s">
        <v>32995</v>
      </c>
      <c r="N3417" s="3" t="s">
        <v>918</v>
      </c>
      <c r="P3417" s="3" t="s">
        <v>65</v>
      </c>
      <c r="Q3417" s="2" t="s">
        <v>32996</v>
      </c>
      <c r="R3417" s="3" t="s">
        <v>66</v>
      </c>
      <c r="S3417" s="4">
        <v>20</v>
      </c>
      <c r="T3417" s="4">
        <v>20</v>
      </c>
      <c r="U3417" s="5" t="s">
        <v>8714</v>
      </c>
      <c r="V3417" s="5" t="s">
        <v>8714</v>
      </c>
      <c r="W3417" s="5" t="s">
        <v>67</v>
      </c>
      <c r="X3417" s="5" t="s">
        <v>67</v>
      </c>
      <c r="Y3417" s="4">
        <v>151</v>
      </c>
      <c r="Z3417" s="4">
        <v>11</v>
      </c>
      <c r="AA3417" s="4">
        <v>98</v>
      </c>
      <c r="AB3417" s="4">
        <v>1</v>
      </c>
      <c r="AC3417" s="4">
        <v>17</v>
      </c>
      <c r="AD3417" s="4">
        <v>59</v>
      </c>
      <c r="AE3417" s="4">
        <v>123</v>
      </c>
      <c r="AF3417" s="4">
        <v>0</v>
      </c>
      <c r="AG3417" s="4">
        <v>8</v>
      </c>
      <c r="AH3417" s="4">
        <v>55</v>
      </c>
      <c r="AI3417" s="4">
        <v>87</v>
      </c>
      <c r="AJ3417" s="4">
        <v>7</v>
      </c>
      <c r="AK3417" s="4">
        <v>22</v>
      </c>
      <c r="AL3417" s="4">
        <v>30</v>
      </c>
      <c r="AM3417" s="4">
        <v>45</v>
      </c>
      <c r="AN3417" s="4">
        <v>0</v>
      </c>
      <c r="AO3417" s="4">
        <v>0</v>
      </c>
      <c r="AP3417" s="4">
        <v>10</v>
      </c>
      <c r="AQ3417" s="4">
        <v>44</v>
      </c>
      <c r="AR3417" s="3" t="s">
        <v>62</v>
      </c>
      <c r="AS3417" s="3" t="s">
        <v>62</v>
      </c>
      <c r="AT3417" s="3" t="s">
        <v>61</v>
      </c>
      <c r="AU3417" s="6" t="str">
        <f>HYPERLINK("http://catalog.hathitrust.org/Record/007155203","HathiTrust Record")</f>
        <v>HathiTrust Record</v>
      </c>
      <c r="AV3417" s="6" t="str">
        <f>HYPERLINK("http://mcgill.on.worldcat.org/oclc/51931255","Catalog Record")</f>
        <v>Catalog Record</v>
      </c>
      <c r="AW3417" s="6" t="str">
        <f>HYPERLINK("http://www.worldcat.org/oclc/51931255","WorldCat Record")</f>
        <v>WorldCat Record</v>
      </c>
      <c r="AX3417" s="3" t="s">
        <v>32997</v>
      </c>
      <c r="AY3417" s="3" t="s">
        <v>32998</v>
      </c>
      <c r="AZ3417" s="3" t="s">
        <v>32999</v>
      </c>
      <c r="BA3417" s="3" t="s">
        <v>32999</v>
      </c>
      <c r="BB3417" s="3" t="s">
        <v>33000</v>
      </c>
      <c r="BC3417" s="3" t="s">
        <v>142</v>
      </c>
      <c r="BD3417" s="3" t="s">
        <v>68</v>
      </c>
      <c r="BE3417" s="3" t="s">
        <v>33001</v>
      </c>
      <c r="BF3417" s="3" t="s">
        <v>33000</v>
      </c>
      <c r="BG3417" s="3" t="s">
        <v>33002</v>
      </c>
    </row>
    <row r="3418" spans="1:59" ht="57" x14ac:dyDescent="0.45">
      <c r="A3418" s="2" t="s">
        <v>59</v>
      </c>
      <c r="B3418" s="2" t="s">
        <v>60</v>
      </c>
      <c r="C3418" s="2" t="s">
        <v>33003</v>
      </c>
      <c r="D3418" s="2" t="s">
        <v>33004</v>
      </c>
      <c r="E3418" s="2" t="s">
        <v>33005</v>
      </c>
      <c r="G3418" s="3" t="s">
        <v>62</v>
      </c>
      <c r="I3418" s="3" t="s">
        <v>62</v>
      </c>
      <c r="J3418" s="3" t="s">
        <v>62</v>
      </c>
      <c r="K3418" s="3" t="s">
        <v>63</v>
      </c>
      <c r="M3418" s="2" t="s">
        <v>33006</v>
      </c>
      <c r="N3418" s="3" t="s">
        <v>894</v>
      </c>
      <c r="P3418" s="3" t="s">
        <v>65</v>
      </c>
      <c r="Q3418" s="2" t="s">
        <v>33007</v>
      </c>
      <c r="R3418" s="3" t="s">
        <v>66</v>
      </c>
      <c r="S3418" s="4">
        <v>2</v>
      </c>
      <c r="T3418" s="4">
        <v>2</v>
      </c>
      <c r="U3418" s="5" t="s">
        <v>2451</v>
      </c>
      <c r="V3418" s="5" t="s">
        <v>2451</v>
      </c>
      <c r="W3418" s="5" t="s">
        <v>67</v>
      </c>
      <c r="X3418" s="5" t="s">
        <v>67</v>
      </c>
      <c r="Y3418" s="4">
        <v>39</v>
      </c>
      <c r="Z3418" s="4">
        <v>8</v>
      </c>
      <c r="AA3418" s="4">
        <v>31</v>
      </c>
      <c r="AB3418" s="4">
        <v>1</v>
      </c>
      <c r="AC3418" s="4">
        <v>5</v>
      </c>
      <c r="AD3418" s="4">
        <v>18</v>
      </c>
      <c r="AE3418" s="4">
        <v>32</v>
      </c>
      <c r="AF3418" s="4">
        <v>0</v>
      </c>
      <c r="AG3418" s="4">
        <v>2</v>
      </c>
      <c r="AH3418" s="4">
        <v>18</v>
      </c>
      <c r="AI3418" s="4">
        <v>25</v>
      </c>
      <c r="AJ3418" s="4">
        <v>4</v>
      </c>
      <c r="AK3418" s="4">
        <v>7</v>
      </c>
      <c r="AL3418" s="4">
        <v>11</v>
      </c>
      <c r="AM3418" s="4">
        <v>14</v>
      </c>
      <c r="AN3418" s="4">
        <v>0</v>
      </c>
      <c r="AO3418" s="4">
        <v>0</v>
      </c>
      <c r="AP3418" s="4">
        <v>4</v>
      </c>
      <c r="AQ3418" s="4">
        <v>12</v>
      </c>
      <c r="AR3418" s="3" t="s">
        <v>62</v>
      </c>
      <c r="AS3418" s="3" t="s">
        <v>62</v>
      </c>
      <c r="AT3418" s="3" t="s">
        <v>62</v>
      </c>
      <c r="AV3418" s="6" t="str">
        <f>HYPERLINK("http://mcgill.on.worldcat.org/oclc/707608163","Catalog Record")</f>
        <v>Catalog Record</v>
      </c>
      <c r="AW3418" s="6" t="str">
        <f>HYPERLINK("http://www.worldcat.org/oclc/707608163","WorldCat Record")</f>
        <v>WorldCat Record</v>
      </c>
      <c r="AX3418" s="3" t="s">
        <v>33008</v>
      </c>
      <c r="AY3418" s="3" t="s">
        <v>33009</v>
      </c>
      <c r="AZ3418" s="3" t="s">
        <v>33010</v>
      </c>
      <c r="BA3418" s="3" t="s">
        <v>33010</v>
      </c>
      <c r="BB3418" s="3" t="s">
        <v>33011</v>
      </c>
      <c r="BC3418" s="3" t="s">
        <v>142</v>
      </c>
      <c r="BD3418" s="3" t="s">
        <v>68</v>
      </c>
      <c r="BE3418" s="3" t="s">
        <v>33012</v>
      </c>
      <c r="BF3418" s="3" t="s">
        <v>33011</v>
      </c>
      <c r="BG3418" s="3" t="s">
        <v>33013</v>
      </c>
    </row>
    <row r="3419" spans="1:59" ht="57" x14ac:dyDescent="0.45">
      <c r="A3419" s="2" t="s">
        <v>59</v>
      </c>
      <c r="B3419" s="2" t="s">
        <v>60</v>
      </c>
      <c r="C3419" s="2" t="s">
        <v>33014</v>
      </c>
      <c r="D3419" s="2" t="s">
        <v>33015</v>
      </c>
      <c r="E3419" s="2" t="s">
        <v>33016</v>
      </c>
      <c r="G3419" s="3" t="s">
        <v>62</v>
      </c>
      <c r="I3419" s="3" t="s">
        <v>62</v>
      </c>
      <c r="J3419" s="3" t="s">
        <v>62</v>
      </c>
      <c r="K3419" s="3" t="s">
        <v>63</v>
      </c>
      <c r="L3419" s="2" t="s">
        <v>1712</v>
      </c>
      <c r="M3419" s="2" t="s">
        <v>14392</v>
      </c>
      <c r="N3419" s="3" t="s">
        <v>1465</v>
      </c>
      <c r="P3419" s="3" t="s">
        <v>65</v>
      </c>
      <c r="R3419" s="3" t="s">
        <v>66</v>
      </c>
      <c r="S3419" s="4">
        <v>7</v>
      </c>
      <c r="T3419" s="4">
        <v>7</v>
      </c>
      <c r="U3419" s="5" t="s">
        <v>30595</v>
      </c>
      <c r="V3419" s="5" t="s">
        <v>30595</v>
      </c>
      <c r="W3419" s="5" t="s">
        <v>67</v>
      </c>
      <c r="X3419" s="5" t="s">
        <v>67</v>
      </c>
      <c r="Y3419" s="4">
        <v>152</v>
      </c>
      <c r="Z3419" s="4">
        <v>17</v>
      </c>
      <c r="AA3419" s="4">
        <v>105</v>
      </c>
      <c r="AB3419" s="4">
        <v>2</v>
      </c>
      <c r="AC3419" s="4">
        <v>19</v>
      </c>
      <c r="AD3419" s="4">
        <v>70</v>
      </c>
      <c r="AE3419" s="4">
        <v>137</v>
      </c>
      <c r="AF3419" s="4">
        <v>0</v>
      </c>
      <c r="AG3419" s="4">
        <v>8</v>
      </c>
      <c r="AH3419" s="4">
        <v>66</v>
      </c>
      <c r="AI3419" s="4">
        <v>97</v>
      </c>
      <c r="AJ3419" s="4">
        <v>12</v>
      </c>
      <c r="AK3419" s="4">
        <v>25</v>
      </c>
      <c r="AL3419" s="4">
        <v>40</v>
      </c>
      <c r="AM3419" s="4">
        <v>52</v>
      </c>
      <c r="AN3419" s="4">
        <v>0</v>
      </c>
      <c r="AO3419" s="4">
        <v>0</v>
      </c>
      <c r="AP3419" s="4">
        <v>13</v>
      </c>
      <c r="AQ3419" s="4">
        <v>50</v>
      </c>
      <c r="AR3419" s="3" t="s">
        <v>62</v>
      </c>
      <c r="AS3419" s="3" t="s">
        <v>62</v>
      </c>
      <c r="AT3419" s="3" t="s">
        <v>62</v>
      </c>
      <c r="AV3419" s="6" t="str">
        <f>HYPERLINK("http://mcgill.on.worldcat.org/oclc/280543915","Catalog Record")</f>
        <v>Catalog Record</v>
      </c>
      <c r="AW3419" s="6" t="str">
        <f>HYPERLINK("http://www.worldcat.org/oclc/280543915","WorldCat Record")</f>
        <v>WorldCat Record</v>
      </c>
      <c r="AX3419" s="3" t="s">
        <v>33017</v>
      </c>
      <c r="AY3419" s="3" t="s">
        <v>33018</v>
      </c>
      <c r="AZ3419" s="3" t="s">
        <v>33019</v>
      </c>
      <c r="BA3419" s="3" t="s">
        <v>33019</v>
      </c>
      <c r="BB3419" s="3" t="s">
        <v>33020</v>
      </c>
      <c r="BC3419" s="3" t="s">
        <v>142</v>
      </c>
      <c r="BD3419" s="3" t="s">
        <v>308</v>
      </c>
      <c r="BE3419" s="3" t="s">
        <v>33021</v>
      </c>
      <c r="BF3419" s="3" t="s">
        <v>33020</v>
      </c>
      <c r="BG3419" s="3" t="s">
        <v>33022</v>
      </c>
    </row>
    <row r="3420" spans="1:59" ht="57" x14ac:dyDescent="0.45">
      <c r="A3420" s="2" t="s">
        <v>59</v>
      </c>
      <c r="B3420" s="2" t="s">
        <v>60</v>
      </c>
      <c r="C3420" s="2" t="s">
        <v>33023</v>
      </c>
      <c r="D3420" s="2" t="s">
        <v>33024</v>
      </c>
      <c r="E3420" s="2" t="s">
        <v>33025</v>
      </c>
      <c r="G3420" s="3" t="s">
        <v>62</v>
      </c>
      <c r="I3420" s="3" t="s">
        <v>62</v>
      </c>
      <c r="J3420" s="3" t="s">
        <v>62</v>
      </c>
      <c r="K3420" s="3" t="s">
        <v>63</v>
      </c>
      <c r="L3420" s="2" t="s">
        <v>33026</v>
      </c>
      <c r="M3420" s="2" t="s">
        <v>33027</v>
      </c>
      <c r="N3420" s="3" t="s">
        <v>208</v>
      </c>
      <c r="P3420" s="3" t="s">
        <v>65</v>
      </c>
      <c r="Q3420" s="2" t="s">
        <v>33028</v>
      </c>
      <c r="R3420" s="3" t="s">
        <v>66</v>
      </c>
      <c r="S3420" s="4">
        <v>0</v>
      </c>
      <c r="T3420" s="4">
        <v>0</v>
      </c>
      <c r="W3420" s="5" t="s">
        <v>67</v>
      </c>
      <c r="X3420" s="5" t="s">
        <v>67</v>
      </c>
      <c r="Y3420" s="4">
        <v>40</v>
      </c>
      <c r="Z3420" s="4">
        <v>9</v>
      </c>
      <c r="AA3420" s="4">
        <v>9</v>
      </c>
      <c r="AB3420" s="4">
        <v>3</v>
      </c>
      <c r="AC3420" s="4">
        <v>3</v>
      </c>
      <c r="AD3420" s="4">
        <v>20</v>
      </c>
      <c r="AE3420" s="4">
        <v>20</v>
      </c>
      <c r="AF3420" s="4">
        <v>1</v>
      </c>
      <c r="AG3420" s="4">
        <v>1</v>
      </c>
      <c r="AH3420" s="4">
        <v>18</v>
      </c>
      <c r="AI3420" s="4">
        <v>18</v>
      </c>
      <c r="AJ3420" s="4">
        <v>6</v>
      </c>
      <c r="AK3420" s="4">
        <v>6</v>
      </c>
      <c r="AL3420" s="4">
        <v>11</v>
      </c>
      <c r="AM3420" s="4">
        <v>11</v>
      </c>
      <c r="AN3420" s="4">
        <v>0</v>
      </c>
      <c r="AO3420" s="4">
        <v>0</v>
      </c>
      <c r="AP3420" s="4">
        <v>6</v>
      </c>
      <c r="AQ3420" s="4">
        <v>6</v>
      </c>
      <c r="AR3420" s="3" t="s">
        <v>62</v>
      </c>
      <c r="AS3420" s="3" t="s">
        <v>62</v>
      </c>
      <c r="AT3420" s="3" t="s">
        <v>62</v>
      </c>
      <c r="AV3420" s="6" t="str">
        <f>HYPERLINK("http://mcgill.on.worldcat.org/oclc/930534018","Catalog Record")</f>
        <v>Catalog Record</v>
      </c>
      <c r="AW3420" s="6" t="str">
        <f>HYPERLINK("http://www.worldcat.org/oclc/930534018","WorldCat Record")</f>
        <v>WorldCat Record</v>
      </c>
      <c r="AX3420" s="3" t="s">
        <v>33029</v>
      </c>
      <c r="AY3420" s="3" t="s">
        <v>33030</v>
      </c>
      <c r="AZ3420" s="3" t="s">
        <v>33031</v>
      </c>
      <c r="BA3420" s="3" t="s">
        <v>33031</v>
      </c>
      <c r="BB3420" s="3" t="s">
        <v>33032</v>
      </c>
      <c r="BC3420" s="3" t="s">
        <v>142</v>
      </c>
      <c r="BD3420" s="3" t="s">
        <v>68</v>
      </c>
      <c r="BE3420" s="3" t="s">
        <v>33033</v>
      </c>
      <c r="BF3420" s="3" t="s">
        <v>33032</v>
      </c>
      <c r="BG3420" s="3" t="s">
        <v>33034</v>
      </c>
    </row>
    <row r="3421" spans="1:59" ht="57" x14ac:dyDescent="0.45">
      <c r="A3421" s="2" t="s">
        <v>59</v>
      </c>
      <c r="B3421" s="2" t="s">
        <v>60</v>
      </c>
      <c r="C3421" s="2" t="s">
        <v>33035</v>
      </c>
      <c r="D3421" s="2" t="s">
        <v>33036</v>
      </c>
      <c r="E3421" s="2" t="s">
        <v>33037</v>
      </c>
      <c r="G3421" s="3" t="s">
        <v>62</v>
      </c>
      <c r="I3421" s="3" t="s">
        <v>62</v>
      </c>
      <c r="J3421" s="3" t="s">
        <v>62</v>
      </c>
      <c r="K3421" s="3" t="s">
        <v>63</v>
      </c>
      <c r="L3421" s="2" t="s">
        <v>33038</v>
      </c>
      <c r="M3421" s="2" t="s">
        <v>33039</v>
      </c>
      <c r="N3421" s="3" t="s">
        <v>945</v>
      </c>
      <c r="P3421" s="3" t="s">
        <v>65</v>
      </c>
      <c r="Q3421" s="2" t="s">
        <v>1525</v>
      </c>
      <c r="R3421" s="3" t="s">
        <v>66</v>
      </c>
      <c r="S3421" s="4">
        <v>24</v>
      </c>
      <c r="T3421" s="4">
        <v>24</v>
      </c>
      <c r="U3421" s="5" t="s">
        <v>4265</v>
      </c>
      <c r="V3421" s="5" t="s">
        <v>4265</v>
      </c>
      <c r="W3421" s="5" t="s">
        <v>67</v>
      </c>
      <c r="X3421" s="5" t="s">
        <v>67</v>
      </c>
      <c r="Y3421" s="4">
        <v>151</v>
      </c>
      <c r="Z3421" s="4">
        <v>17</v>
      </c>
      <c r="AA3421" s="4">
        <v>17</v>
      </c>
      <c r="AB3421" s="4">
        <v>1</v>
      </c>
      <c r="AC3421" s="4">
        <v>1</v>
      </c>
      <c r="AD3421" s="4">
        <v>63</v>
      </c>
      <c r="AE3421" s="4">
        <v>63</v>
      </c>
      <c r="AF3421" s="4">
        <v>0</v>
      </c>
      <c r="AG3421" s="4">
        <v>0</v>
      </c>
      <c r="AH3421" s="4">
        <v>60</v>
      </c>
      <c r="AI3421" s="4">
        <v>60</v>
      </c>
      <c r="AJ3421" s="4">
        <v>12</v>
      </c>
      <c r="AK3421" s="4">
        <v>12</v>
      </c>
      <c r="AL3421" s="4">
        <v>35</v>
      </c>
      <c r="AM3421" s="4">
        <v>35</v>
      </c>
      <c r="AN3421" s="4">
        <v>0</v>
      </c>
      <c r="AO3421" s="4">
        <v>0</v>
      </c>
      <c r="AP3421" s="4">
        <v>13</v>
      </c>
      <c r="AQ3421" s="4">
        <v>13</v>
      </c>
      <c r="AR3421" s="3" t="s">
        <v>62</v>
      </c>
      <c r="AS3421" s="3" t="s">
        <v>62</v>
      </c>
      <c r="AT3421" s="3" t="s">
        <v>61</v>
      </c>
      <c r="AU3421" s="6" t="str">
        <f>HYPERLINK("http://catalog.hathitrust.org/Record/008325179","HathiTrust Record")</f>
        <v>HathiTrust Record</v>
      </c>
      <c r="AV3421" s="6" t="str">
        <f>HYPERLINK("http://mcgill.on.worldcat.org/oclc/153578143","Catalog Record")</f>
        <v>Catalog Record</v>
      </c>
      <c r="AW3421" s="6" t="str">
        <f>HYPERLINK("http://www.worldcat.org/oclc/153578143","WorldCat Record")</f>
        <v>WorldCat Record</v>
      </c>
      <c r="AX3421" s="3" t="s">
        <v>33040</v>
      </c>
      <c r="AY3421" s="3" t="s">
        <v>33041</v>
      </c>
      <c r="AZ3421" s="3" t="s">
        <v>33042</v>
      </c>
      <c r="BA3421" s="3" t="s">
        <v>33042</v>
      </c>
      <c r="BB3421" s="3" t="s">
        <v>33043</v>
      </c>
      <c r="BC3421" s="3" t="s">
        <v>142</v>
      </c>
      <c r="BD3421" s="3" t="s">
        <v>308</v>
      </c>
      <c r="BE3421" s="3" t="s">
        <v>33044</v>
      </c>
      <c r="BF3421" s="3" t="s">
        <v>33043</v>
      </c>
      <c r="BG3421" s="3" t="s">
        <v>33045</v>
      </c>
    </row>
    <row r="3422" spans="1:59" ht="57" x14ac:dyDescent="0.45">
      <c r="A3422" s="2" t="s">
        <v>59</v>
      </c>
      <c r="B3422" s="2" t="s">
        <v>60</v>
      </c>
      <c r="C3422" s="2" t="s">
        <v>33046</v>
      </c>
      <c r="D3422" s="2" t="s">
        <v>33047</v>
      </c>
      <c r="E3422" s="2" t="s">
        <v>33048</v>
      </c>
      <c r="G3422" s="3" t="s">
        <v>62</v>
      </c>
      <c r="I3422" s="3" t="s">
        <v>62</v>
      </c>
      <c r="J3422" s="3" t="s">
        <v>62</v>
      </c>
      <c r="K3422" s="3" t="s">
        <v>63</v>
      </c>
      <c r="L3422" s="2" t="s">
        <v>33049</v>
      </c>
      <c r="M3422" s="2" t="s">
        <v>33050</v>
      </c>
      <c r="N3422" s="3" t="s">
        <v>208</v>
      </c>
      <c r="P3422" s="3" t="s">
        <v>65</v>
      </c>
      <c r="Q3422" s="2" t="s">
        <v>1525</v>
      </c>
      <c r="R3422" s="3" t="s">
        <v>66</v>
      </c>
      <c r="S3422" s="4">
        <v>3</v>
      </c>
      <c r="T3422" s="4">
        <v>3</v>
      </c>
      <c r="U3422" s="5" t="s">
        <v>4265</v>
      </c>
      <c r="V3422" s="5" t="s">
        <v>4265</v>
      </c>
      <c r="W3422" s="5" t="s">
        <v>67</v>
      </c>
      <c r="X3422" s="5" t="s">
        <v>67</v>
      </c>
      <c r="Y3422" s="4">
        <v>104</v>
      </c>
      <c r="Z3422" s="4">
        <v>17</v>
      </c>
      <c r="AA3422" s="4">
        <v>17</v>
      </c>
      <c r="AB3422" s="4">
        <v>3</v>
      </c>
      <c r="AC3422" s="4">
        <v>3</v>
      </c>
      <c r="AD3422" s="4">
        <v>45</v>
      </c>
      <c r="AE3422" s="4">
        <v>45</v>
      </c>
      <c r="AF3422" s="4">
        <v>1</v>
      </c>
      <c r="AG3422" s="4">
        <v>1</v>
      </c>
      <c r="AH3422" s="4">
        <v>39</v>
      </c>
      <c r="AI3422" s="4">
        <v>39</v>
      </c>
      <c r="AJ3422" s="4">
        <v>11</v>
      </c>
      <c r="AK3422" s="4">
        <v>11</v>
      </c>
      <c r="AL3422" s="4">
        <v>25</v>
      </c>
      <c r="AM3422" s="4">
        <v>25</v>
      </c>
      <c r="AN3422" s="4">
        <v>0</v>
      </c>
      <c r="AO3422" s="4">
        <v>0</v>
      </c>
      <c r="AP3422" s="4">
        <v>11</v>
      </c>
      <c r="AQ3422" s="4">
        <v>11</v>
      </c>
      <c r="AR3422" s="3" t="s">
        <v>62</v>
      </c>
      <c r="AS3422" s="3" t="s">
        <v>62</v>
      </c>
      <c r="AT3422" s="3" t="s">
        <v>62</v>
      </c>
      <c r="AV3422" s="6" t="str">
        <f>HYPERLINK("http://mcgill.on.worldcat.org/oclc/897016115","Catalog Record")</f>
        <v>Catalog Record</v>
      </c>
      <c r="AW3422" s="6" t="str">
        <f>HYPERLINK("http://www.worldcat.org/oclc/897016115","WorldCat Record")</f>
        <v>WorldCat Record</v>
      </c>
      <c r="AX3422" s="3" t="s">
        <v>33051</v>
      </c>
      <c r="AY3422" s="3" t="s">
        <v>33052</v>
      </c>
      <c r="AZ3422" s="3" t="s">
        <v>33053</v>
      </c>
      <c r="BA3422" s="3" t="s">
        <v>33053</v>
      </c>
      <c r="BB3422" s="3" t="s">
        <v>33054</v>
      </c>
      <c r="BC3422" s="3" t="s">
        <v>142</v>
      </c>
      <c r="BD3422" s="3" t="s">
        <v>68</v>
      </c>
      <c r="BE3422" s="3" t="s">
        <v>33055</v>
      </c>
      <c r="BF3422" s="3" t="s">
        <v>33054</v>
      </c>
      <c r="BG3422" s="3" t="s">
        <v>33056</v>
      </c>
    </row>
    <row r="3423" spans="1:59" ht="57" x14ac:dyDescent="0.45">
      <c r="A3423" s="2" t="s">
        <v>59</v>
      </c>
      <c r="B3423" s="2" t="s">
        <v>60</v>
      </c>
      <c r="C3423" s="2" t="s">
        <v>33057</v>
      </c>
      <c r="D3423" s="2" t="s">
        <v>33058</v>
      </c>
      <c r="E3423" s="2" t="s">
        <v>33059</v>
      </c>
      <c r="G3423" s="3" t="s">
        <v>62</v>
      </c>
      <c r="I3423" s="3" t="s">
        <v>62</v>
      </c>
      <c r="J3423" s="3" t="s">
        <v>62</v>
      </c>
      <c r="K3423" s="3" t="s">
        <v>63</v>
      </c>
      <c r="L3423" s="2" t="s">
        <v>33060</v>
      </c>
      <c r="M3423" s="2" t="s">
        <v>33061</v>
      </c>
      <c r="N3423" s="3" t="s">
        <v>149</v>
      </c>
      <c r="P3423" s="3" t="s">
        <v>65</v>
      </c>
      <c r="R3423" s="3" t="s">
        <v>66</v>
      </c>
      <c r="S3423" s="4">
        <v>1</v>
      </c>
      <c r="T3423" s="4">
        <v>1</v>
      </c>
      <c r="U3423" s="5" t="s">
        <v>33062</v>
      </c>
      <c r="V3423" s="5" t="s">
        <v>33062</v>
      </c>
      <c r="W3423" s="5" t="s">
        <v>67</v>
      </c>
      <c r="X3423" s="5" t="s">
        <v>67</v>
      </c>
      <c r="Y3423" s="4">
        <v>63</v>
      </c>
      <c r="Z3423" s="4">
        <v>15</v>
      </c>
      <c r="AA3423" s="4">
        <v>101</v>
      </c>
      <c r="AB3423" s="4">
        <v>1</v>
      </c>
      <c r="AC3423" s="4">
        <v>19</v>
      </c>
      <c r="AD3423" s="4">
        <v>26</v>
      </c>
      <c r="AE3423" s="4">
        <v>137</v>
      </c>
      <c r="AF3423" s="4">
        <v>0</v>
      </c>
      <c r="AG3423" s="4">
        <v>8</v>
      </c>
      <c r="AH3423" s="4">
        <v>24</v>
      </c>
      <c r="AI3423" s="4">
        <v>96</v>
      </c>
      <c r="AJ3423" s="4">
        <v>10</v>
      </c>
      <c r="AK3423" s="4">
        <v>26</v>
      </c>
      <c r="AL3423" s="4">
        <v>12</v>
      </c>
      <c r="AM3423" s="4">
        <v>54</v>
      </c>
      <c r="AN3423" s="4">
        <v>0</v>
      </c>
      <c r="AO3423" s="4">
        <v>0</v>
      </c>
      <c r="AP3423" s="4">
        <v>11</v>
      </c>
      <c r="AQ3423" s="4">
        <v>49</v>
      </c>
      <c r="AR3423" s="3" t="s">
        <v>62</v>
      </c>
      <c r="AS3423" s="3" t="s">
        <v>62</v>
      </c>
      <c r="AT3423" s="3" t="s">
        <v>62</v>
      </c>
      <c r="AV3423" s="6" t="str">
        <f>HYPERLINK("http://mcgill.on.worldcat.org/oclc/422876552","Catalog Record")</f>
        <v>Catalog Record</v>
      </c>
      <c r="AW3423" s="6" t="str">
        <f>HYPERLINK("http://www.worldcat.org/oclc/422876552","WorldCat Record")</f>
        <v>WorldCat Record</v>
      </c>
      <c r="AX3423" s="3" t="s">
        <v>33063</v>
      </c>
      <c r="AY3423" s="3" t="s">
        <v>33064</v>
      </c>
      <c r="AZ3423" s="3" t="s">
        <v>33065</v>
      </c>
      <c r="BA3423" s="3" t="s">
        <v>33065</v>
      </c>
      <c r="BB3423" s="3" t="s">
        <v>33066</v>
      </c>
      <c r="BC3423" s="3" t="s">
        <v>142</v>
      </c>
      <c r="BD3423" s="3" t="s">
        <v>68</v>
      </c>
      <c r="BE3423" s="3" t="s">
        <v>33067</v>
      </c>
      <c r="BF3423" s="3" t="s">
        <v>33066</v>
      </c>
      <c r="BG3423" s="3" t="s">
        <v>33068</v>
      </c>
    </row>
    <row r="3424" spans="1:59" ht="57" x14ac:dyDescent="0.45">
      <c r="A3424" s="2" t="s">
        <v>59</v>
      </c>
      <c r="B3424" s="2" t="s">
        <v>60</v>
      </c>
      <c r="C3424" s="2" t="s">
        <v>33069</v>
      </c>
      <c r="D3424" s="2" t="s">
        <v>33070</v>
      </c>
      <c r="E3424" s="2" t="s">
        <v>32257</v>
      </c>
      <c r="G3424" s="3" t="s">
        <v>62</v>
      </c>
      <c r="I3424" s="3" t="s">
        <v>62</v>
      </c>
      <c r="J3424" s="3" t="s">
        <v>61</v>
      </c>
      <c r="K3424" s="3" t="s">
        <v>63</v>
      </c>
      <c r="L3424" s="2" t="s">
        <v>30285</v>
      </c>
      <c r="M3424" s="2" t="s">
        <v>1266</v>
      </c>
      <c r="N3424" s="3" t="s">
        <v>1059</v>
      </c>
      <c r="O3424" s="2" t="s">
        <v>906</v>
      </c>
      <c r="P3424" s="3" t="s">
        <v>65</v>
      </c>
      <c r="R3424" s="3" t="s">
        <v>66</v>
      </c>
      <c r="S3424" s="4">
        <v>7</v>
      </c>
      <c r="T3424" s="4">
        <v>7</v>
      </c>
      <c r="U3424" s="5" t="s">
        <v>21380</v>
      </c>
      <c r="V3424" s="5" t="s">
        <v>21380</v>
      </c>
      <c r="W3424" s="5" t="s">
        <v>67</v>
      </c>
      <c r="X3424" s="5" t="s">
        <v>67</v>
      </c>
      <c r="Y3424" s="4">
        <v>322</v>
      </c>
      <c r="Z3424" s="4">
        <v>27</v>
      </c>
      <c r="AA3424" s="4">
        <v>84</v>
      </c>
      <c r="AB3424" s="4">
        <v>3</v>
      </c>
      <c r="AC3424" s="4">
        <v>16</v>
      </c>
      <c r="AD3424" s="4">
        <v>48</v>
      </c>
      <c r="AE3424" s="4">
        <v>146</v>
      </c>
      <c r="AF3424" s="4">
        <v>1</v>
      </c>
      <c r="AG3424" s="4">
        <v>7</v>
      </c>
      <c r="AH3424" s="4">
        <v>40</v>
      </c>
      <c r="AI3424" s="4">
        <v>111</v>
      </c>
      <c r="AJ3424" s="4">
        <v>10</v>
      </c>
      <c r="AK3424" s="4">
        <v>25</v>
      </c>
      <c r="AL3424" s="4">
        <v>22</v>
      </c>
      <c r="AM3424" s="4">
        <v>56</v>
      </c>
      <c r="AN3424" s="4">
        <v>0</v>
      </c>
      <c r="AO3424" s="4">
        <v>0</v>
      </c>
      <c r="AP3424" s="4">
        <v>15</v>
      </c>
      <c r="AQ3424" s="4">
        <v>46</v>
      </c>
      <c r="AR3424" s="3" t="s">
        <v>62</v>
      </c>
      <c r="AS3424" s="3" t="s">
        <v>62</v>
      </c>
      <c r="AT3424" s="3" t="s">
        <v>62</v>
      </c>
      <c r="AV3424" s="6" t="str">
        <f>HYPERLINK("http://mcgill.on.worldcat.org/oclc/60323138","Catalog Record")</f>
        <v>Catalog Record</v>
      </c>
      <c r="AW3424" s="6" t="str">
        <f>HYPERLINK("http://www.worldcat.org/oclc/60323138","WorldCat Record")</f>
        <v>WorldCat Record</v>
      </c>
      <c r="AX3424" s="3" t="s">
        <v>32258</v>
      </c>
      <c r="AY3424" s="3" t="s">
        <v>33071</v>
      </c>
      <c r="AZ3424" s="3" t="s">
        <v>33072</v>
      </c>
      <c r="BA3424" s="3" t="s">
        <v>33072</v>
      </c>
      <c r="BB3424" s="3" t="s">
        <v>33073</v>
      </c>
      <c r="BC3424" s="3" t="s">
        <v>142</v>
      </c>
      <c r="BD3424" s="3" t="s">
        <v>68</v>
      </c>
      <c r="BE3424" s="3" t="s">
        <v>33074</v>
      </c>
      <c r="BF3424" s="3" t="s">
        <v>33073</v>
      </c>
      <c r="BG3424" s="3" t="s">
        <v>33075</v>
      </c>
    </row>
    <row r="3425" spans="1:59" ht="57" x14ac:dyDescent="0.45">
      <c r="A3425" s="2" t="s">
        <v>59</v>
      </c>
      <c r="B3425" s="2" t="s">
        <v>60</v>
      </c>
      <c r="C3425" s="2" t="s">
        <v>33076</v>
      </c>
      <c r="D3425" s="2" t="s">
        <v>33077</v>
      </c>
      <c r="E3425" s="2" t="s">
        <v>33078</v>
      </c>
      <c r="G3425" s="3" t="s">
        <v>62</v>
      </c>
      <c r="I3425" s="3" t="s">
        <v>62</v>
      </c>
      <c r="J3425" s="3" t="s">
        <v>62</v>
      </c>
      <c r="K3425" s="3" t="s">
        <v>63</v>
      </c>
      <c r="L3425" s="2" t="s">
        <v>33079</v>
      </c>
      <c r="M3425" s="2" t="s">
        <v>33080</v>
      </c>
      <c r="N3425" s="3" t="s">
        <v>1155</v>
      </c>
      <c r="P3425" s="3" t="s">
        <v>65</v>
      </c>
      <c r="Q3425" s="2" t="s">
        <v>25561</v>
      </c>
      <c r="R3425" s="3" t="s">
        <v>66</v>
      </c>
      <c r="S3425" s="4">
        <v>7</v>
      </c>
      <c r="T3425" s="4">
        <v>7</v>
      </c>
      <c r="U3425" s="5" t="s">
        <v>16727</v>
      </c>
      <c r="V3425" s="5" t="s">
        <v>16727</v>
      </c>
      <c r="W3425" s="5" t="s">
        <v>67</v>
      </c>
      <c r="X3425" s="5" t="s">
        <v>67</v>
      </c>
      <c r="Y3425" s="4">
        <v>325</v>
      </c>
      <c r="Z3425" s="4">
        <v>27</v>
      </c>
      <c r="AA3425" s="4">
        <v>86</v>
      </c>
      <c r="AB3425" s="4">
        <v>2</v>
      </c>
      <c r="AC3425" s="4">
        <v>14</v>
      </c>
      <c r="AD3425" s="4">
        <v>85</v>
      </c>
      <c r="AE3425" s="4">
        <v>126</v>
      </c>
      <c r="AF3425" s="4">
        <v>1</v>
      </c>
      <c r="AG3425" s="4">
        <v>8</v>
      </c>
      <c r="AH3425" s="4">
        <v>72</v>
      </c>
      <c r="AI3425" s="4">
        <v>89</v>
      </c>
      <c r="AJ3425" s="4">
        <v>16</v>
      </c>
      <c r="AK3425" s="4">
        <v>25</v>
      </c>
      <c r="AL3425" s="4">
        <v>40</v>
      </c>
      <c r="AM3425" s="4">
        <v>49</v>
      </c>
      <c r="AN3425" s="4">
        <v>0</v>
      </c>
      <c r="AO3425" s="4">
        <v>0</v>
      </c>
      <c r="AP3425" s="4">
        <v>22</v>
      </c>
      <c r="AQ3425" s="4">
        <v>45</v>
      </c>
      <c r="AR3425" s="3" t="s">
        <v>62</v>
      </c>
      <c r="AS3425" s="3" t="s">
        <v>62</v>
      </c>
      <c r="AT3425" s="3" t="s">
        <v>62</v>
      </c>
      <c r="AV3425" s="6" t="str">
        <f>HYPERLINK("http://mcgill.on.worldcat.org/oclc/657603480","Catalog Record")</f>
        <v>Catalog Record</v>
      </c>
      <c r="AW3425" s="6" t="str">
        <f>HYPERLINK("http://www.worldcat.org/oclc/657603480","WorldCat Record")</f>
        <v>WorldCat Record</v>
      </c>
      <c r="AX3425" s="3" t="s">
        <v>33081</v>
      </c>
      <c r="AY3425" s="3" t="s">
        <v>33082</v>
      </c>
      <c r="AZ3425" s="3" t="s">
        <v>33083</v>
      </c>
      <c r="BA3425" s="3" t="s">
        <v>33083</v>
      </c>
      <c r="BB3425" s="3" t="s">
        <v>33084</v>
      </c>
      <c r="BC3425" s="3" t="s">
        <v>142</v>
      </c>
      <c r="BD3425" s="3" t="s">
        <v>68</v>
      </c>
      <c r="BE3425" s="3" t="s">
        <v>33085</v>
      </c>
      <c r="BF3425" s="3" t="s">
        <v>33084</v>
      </c>
      <c r="BG3425" s="3" t="s">
        <v>33086</v>
      </c>
    </row>
    <row r="3426" spans="1:59" ht="57" x14ac:dyDescent="0.45">
      <c r="A3426" s="2" t="s">
        <v>59</v>
      </c>
      <c r="B3426" s="2" t="s">
        <v>60</v>
      </c>
      <c r="C3426" s="2" t="s">
        <v>33087</v>
      </c>
      <c r="D3426" s="2" t="s">
        <v>33088</v>
      </c>
      <c r="E3426" s="2" t="s">
        <v>33089</v>
      </c>
      <c r="G3426" s="3" t="s">
        <v>62</v>
      </c>
      <c r="I3426" s="3" t="s">
        <v>62</v>
      </c>
      <c r="J3426" s="3" t="s">
        <v>62</v>
      </c>
      <c r="K3426" s="3" t="s">
        <v>63</v>
      </c>
      <c r="L3426" s="2" t="s">
        <v>33090</v>
      </c>
      <c r="M3426" s="2" t="s">
        <v>33091</v>
      </c>
      <c r="N3426" s="3" t="s">
        <v>945</v>
      </c>
      <c r="P3426" s="3" t="s">
        <v>65</v>
      </c>
      <c r="R3426" s="3" t="s">
        <v>66</v>
      </c>
      <c r="S3426" s="4">
        <v>14</v>
      </c>
      <c r="T3426" s="4">
        <v>14</v>
      </c>
      <c r="U3426" s="5" t="s">
        <v>33092</v>
      </c>
      <c r="V3426" s="5" t="s">
        <v>33092</v>
      </c>
      <c r="W3426" s="5" t="s">
        <v>67</v>
      </c>
      <c r="X3426" s="5" t="s">
        <v>67</v>
      </c>
      <c r="Y3426" s="4">
        <v>90</v>
      </c>
      <c r="Z3426" s="4">
        <v>45</v>
      </c>
      <c r="AA3426" s="4">
        <v>45</v>
      </c>
      <c r="AB3426" s="4">
        <v>3</v>
      </c>
      <c r="AC3426" s="4">
        <v>3</v>
      </c>
      <c r="AD3426" s="4">
        <v>52</v>
      </c>
      <c r="AE3426" s="4">
        <v>52</v>
      </c>
      <c r="AF3426" s="4">
        <v>0</v>
      </c>
      <c r="AG3426" s="4">
        <v>0</v>
      </c>
      <c r="AH3426" s="4">
        <v>37</v>
      </c>
      <c r="AI3426" s="4">
        <v>37</v>
      </c>
      <c r="AJ3426" s="4">
        <v>16</v>
      </c>
      <c r="AK3426" s="4">
        <v>16</v>
      </c>
      <c r="AL3426" s="4">
        <v>19</v>
      </c>
      <c r="AM3426" s="4">
        <v>19</v>
      </c>
      <c r="AN3426" s="4">
        <v>0</v>
      </c>
      <c r="AO3426" s="4">
        <v>0</v>
      </c>
      <c r="AP3426" s="4">
        <v>24</v>
      </c>
      <c r="AQ3426" s="4">
        <v>24</v>
      </c>
      <c r="AR3426" s="3" t="s">
        <v>61</v>
      </c>
      <c r="AS3426" s="3" t="s">
        <v>62</v>
      </c>
      <c r="AT3426" s="3" t="s">
        <v>62</v>
      </c>
      <c r="AV3426" s="6" t="str">
        <f>HYPERLINK("http://mcgill.on.worldcat.org/oclc/156889921","Catalog Record")</f>
        <v>Catalog Record</v>
      </c>
      <c r="AW3426" s="6" t="str">
        <f>HYPERLINK("http://www.worldcat.org/oclc/156889921","WorldCat Record")</f>
        <v>WorldCat Record</v>
      </c>
      <c r="AX3426" s="3" t="s">
        <v>33093</v>
      </c>
      <c r="AY3426" s="3" t="s">
        <v>33094</v>
      </c>
      <c r="AZ3426" s="3" t="s">
        <v>33095</v>
      </c>
      <c r="BA3426" s="3" t="s">
        <v>33095</v>
      </c>
      <c r="BB3426" s="3" t="s">
        <v>33096</v>
      </c>
      <c r="BC3426" s="3" t="s">
        <v>142</v>
      </c>
      <c r="BD3426" s="3" t="s">
        <v>308</v>
      </c>
      <c r="BE3426" s="3" t="s">
        <v>33097</v>
      </c>
      <c r="BF3426" s="3" t="s">
        <v>33096</v>
      </c>
      <c r="BG3426" s="3" t="s">
        <v>33098</v>
      </c>
    </row>
    <row r="3427" spans="1:59" ht="57" x14ac:dyDescent="0.45">
      <c r="A3427" s="2" t="s">
        <v>59</v>
      </c>
      <c r="B3427" s="2" t="s">
        <v>60</v>
      </c>
      <c r="C3427" s="2" t="s">
        <v>33099</v>
      </c>
      <c r="D3427" s="2" t="s">
        <v>33100</v>
      </c>
      <c r="E3427" s="2" t="s">
        <v>33101</v>
      </c>
      <c r="G3427" s="3" t="s">
        <v>62</v>
      </c>
      <c r="I3427" s="3" t="s">
        <v>62</v>
      </c>
      <c r="J3427" s="3" t="s">
        <v>62</v>
      </c>
      <c r="K3427" s="3" t="s">
        <v>63</v>
      </c>
      <c r="M3427" s="2" t="s">
        <v>33102</v>
      </c>
      <c r="N3427" s="3" t="s">
        <v>583</v>
      </c>
      <c r="O3427" s="2" t="s">
        <v>11899</v>
      </c>
      <c r="P3427" s="3" t="s">
        <v>65</v>
      </c>
      <c r="R3427" s="3" t="s">
        <v>66</v>
      </c>
      <c r="S3427" s="4">
        <v>7</v>
      </c>
      <c r="T3427" s="4">
        <v>7</v>
      </c>
      <c r="U3427" s="5" t="s">
        <v>23817</v>
      </c>
      <c r="V3427" s="5" t="s">
        <v>23817</v>
      </c>
      <c r="W3427" s="5" t="s">
        <v>67</v>
      </c>
      <c r="X3427" s="5" t="s">
        <v>67</v>
      </c>
      <c r="Y3427" s="4">
        <v>249</v>
      </c>
      <c r="Z3427" s="4">
        <v>14</v>
      </c>
      <c r="AA3427" s="4">
        <v>48</v>
      </c>
      <c r="AB3427" s="4">
        <v>1</v>
      </c>
      <c r="AC3427" s="4">
        <v>2</v>
      </c>
      <c r="AD3427" s="4">
        <v>53</v>
      </c>
      <c r="AE3427" s="4">
        <v>104</v>
      </c>
      <c r="AF3427" s="4">
        <v>0</v>
      </c>
      <c r="AG3427" s="4">
        <v>1</v>
      </c>
      <c r="AH3427" s="4">
        <v>47</v>
      </c>
      <c r="AI3427" s="4">
        <v>81</v>
      </c>
      <c r="AJ3427" s="4">
        <v>10</v>
      </c>
      <c r="AK3427" s="4">
        <v>18</v>
      </c>
      <c r="AL3427" s="4">
        <v>21</v>
      </c>
      <c r="AM3427" s="4">
        <v>41</v>
      </c>
      <c r="AN3427" s="4">
        <v>0</v>
      </c>
      <c r="AO3427" s="4">
        <v>0</v>
      </c>
      <c r="AP3427" s="4">
        <v>11</v>
      </c>
      <c r="AQ3427" s="4">
        <v>33</v>
      </c>
      <c r="AR3427" s="3" t="s">
        <v>62</v>
      </c>
      <c r="AS3427" s="3" t="s">
        <v>62</v>
      </c>
      <c r="AT3427" s="3" t="s">
        <v>62</v>
      </c>
      <c r="AV3427" s="6" t="str">
        <f>HYPERLINK("http://mcgill.on.worldcat.org/oclc/3682358","Catalog Record")</f>
        <v>Catalog Record</v>
      </c>
      <c r="AW3427" s="6" t="str">
        <f>HYPERLINK("http://www.worldcat.org/oclc/3682358","WorldCat Record")</f>
        <v>WorldCat Record</v>
      </c>
      <c r="AX3427" s="3" t="s">
        <v>33103</v>
      </c>
      <c r="AY3427" s="3" t="s">
        <v>33104</v>
      </c>
      <c r="AZ3427" s="3" t="s">
        <v>33105</v>
      </c>
      <c r="BA3427" s="3" t="s">
        <v>33105</v>
      </c>
      <c r="BB3427" s="3" t="s">
        <v>33106</v>
      </c>
      <c r="BC3427" s="3" t="s">
        <v>142</v>
      </c>
      <c r="BD3427" s="3" t="s">
        <v>68</v>
      </c>
      <c r="BE3427" s="3" t="s">
        <v>33107</v>
      </c>
      <c r="BF3427" s="3" t="s">
        <v>33106</v>
      </c>
      <c r="BG3427" s="3" t="s">
        <v>33108</v>
      </c>
    </row>
    <row r="3428" spans="1:59" ht="57" x14ac:dyDescent="0.45">
      <c r="A3428" s="2" t="s">
        <v>59</v>
      </c>
      <c r="B3428" s="2" t="s">
        <v>60</v>
      </c>
      <c r="C3428" s="2" t="s">
        <v>33109</v>
      </c>
      <c r="D3428" s="2" t="s">
        <v>33110</v>
      </c>
      <c r="E3428" s="2" t="s">
        <v>33111</v>
      </c>
      <c r="G3428" s="3" t="s">
        <v>62</v>
      </c>
      <c r="I3428" s="3" t="s">
        <v>62</v>
      </c>
      <c r="J3428" s="3" t="s">
        <v>62</v>
      </c>
      <c r="K3428" s="3" t="s">
        <v>63</v>
      </c>
      <c r="L3428" s="2" t="s">
        <v>33112</v>
      </c>
      <c r="M3428" s="2" t="s">
        <v>2940</v>
      </c>
      <c r="N3428" s="3" t="s">
        <v>1855</v>
      </c>
      <c r="P3428" s="3" t="s">
        <v>65</v>
      </c>
      <c r="Q3428" s="2" t="s">
        <v>2941</v>
      </c>
      <c r="R3428" s="3" t="s">
        <v>66</v>
      </c>
      <c r="S3428" s="4">
        <v>16</v>
      </c>
      <c r="T3428" s="4">
        <v>16</v>
      </c>
      <c r="U3428" s="5" t="s">
        <v>4978</v>
      </c>
      <c r="V3428" s="5" t="s">
        <v>4978</v>
      </c>
      <c r="W3428" s="5" t="s">
        <v>67</v>
      </c>
      <c r="X3428" s="5" t="s">
        <v>67</v>
      </c>
      <c r="Y3428" s="4">
        <v>173</v>
      </c>
      <c r="Z3428" s="4">
        <v>15</v>
      </c>
      <c r="AA3428" s="4">
        <v>23</v>
      </c>
      <c r="AB3428" s="4">
        <v>1</v>
      </c>
      <c r="AC3428" s="4">
        <v>5</v>
      </c>
      <c r="AD3428" s="4">
        <v>86</v>
      </c>
      <c r="AE3428" s="4">
        <v>94</v>
      </c>
      <c r="AF3428" s="4">
        <v>0</v>
      </c>
      <c r="AG3428" s="4">
        <v>1</v>
      </c>
      <c r="AH3428" s="4">
        <v>79</v>
      </c>
      <c r="AI3428" s="4">
        <v>85</v>
      </c>
      <c r="AJ3428" s="4">
        <v>12</v>
      </c>
      <c r="AK3428" s="4">
        <v>15</v>
      </c>
      <c r="AL3428" s="4">
        <v>47</v>
      </c>
      <c r="AM3428" s="4">
        <v>49</v>
      </c>
      <c r="AN3428" s="4">
        <v>0</v>
      </c>
      <c r="AO3428" s="4">
        <v>0</v>
      </c>
      <c r="AP3428" s="4">
        <v>13</v>
      </c>
      <c r="AQ3428" s="4">
        <v>18</v>
      </c>
      <c r="AR3428" s="3" t="s">
        <v>62</v>
      </c>
      <c r="AS3428" s="3" t="s">
        <v>62</v>
      </c>
      <c r="AT3428" s="3" t="s">
        <v>61</v>
      </c>
      <c r="AU3428" s="6" t="str">
        <f>HYPERLINK("http://catalog.hathitrust.org/Record/004945530","HathiTrust Record")</f>
        <v>HathiTrust Record</v>
      </c>
      <c r="AV3428" s="6" t="str">
        <f>HYPERLINK("http://mcgill.on.worldcat.org/oclc/56964536","Catalog Record")</f>
        <v>Catalog Record</v>
      </c>
      <c r="AW3428" s="6" t="str">
        <f>HYPERLINK("http://www.worldcat.org/oclc/56964536","WorldCat Record")</f>
        <v>WorldCat Record</v>
      </c>
      <c r="AX3428" s="3" t="s">
        <v>33113</v>
      </c>
      <c r="AY3428" s="3" t="s">
        <v>33114</v>
      </c>
      <c r="AZ3428" s="3" t="s">
        <v>33115</v>
      </c>
      <c r="BA3428" s="3" t="s">
        <v>33115</v>
      </c>
      <c r="BB3428" s="3" t="s">
        <v>33116</v>
      </c>
      <c r="BC3428" s="3" t="s">
        <v>142</v>
      </c>
      <c r="BD3428" s="3" t="s">
        <v>68</v>
      </c>
      <c r="BE3428" s="3" t="s">
        <v>33117</v>
      </c>
      <c r="BF3428" s="3" t="s">
        <v>33116</v>
      </c>
      <c r="BG3428" s="3" t="s">
        <v>33118</v>
      </c>
    </row>
    <row r="3429" spans="1:59" ht="57" x14ac:dyDescent="0.45">
      <c r="A3429" s="2" t="s">
        <v>59</v>
      </c>
      <c r="B3429" s="2" t="s">
        <v>60</v>
      </c>
      <c r="C3429" s="2" t="s">
        <v>33119</v>
      </c>
      <c r="D3429" s="2" t="s">
        <v>33120</v>
      </c>
      <c r="E3429" s="2" t="s">
        <v>33121</v>
      </c>
      <c r="G3429" s="3" t="s">
        <v>62</v>
      </c>
      <c r="I3429" s="3" t="s">
        <v>62</v>
      </c>
      <c r="J3429" s="3" t="s">
        <v>62</v>
      </c>
      <c r="K3429" s="3" t="s">
        <v>63</v>
      </c>
      <c r="M3429" s="2" t="s">
        <v>3984</v>
      </c>
      <c r="N3429" s="3" t="s">
        <v>820</v>
      </c>
      <c r="P3429" s="3" t="s">
        <v>65</v>
      </c>
      <c r="R3429" s="3" t="s">
        <v>66</v>
      </c>
      <c r="S3429" s="4">
        <v>15</v>
      </c>
      <c r="T3429" s="4">
        <v>15</v>
      </c>
      <c r="U3429" s="5" t="s">
        <v>29113</v>
      </c>
      <c r="V3429" s="5" t="s">
        <v>29113</v>
      </c>
      <c r="W3429" s="5" t="s">
        <v>67</v>
      </c>
      <c r="X3429" s="5" t="s">
        <v>67</v>
      </c>
      <c r="Y3429" s="4">
        <v>124</v>
      </c>
      <c r="Z3429" s="4">
        <v>10</v>
      </c>
      <c r="AA3429" s="4">
        <v>12</v>
      </c>
      <c r="AB3429" s="4">
        <v>1</v>
      </c>
      <c r="AC3429" s="4">
        <v>2</v>
      </c>
      <c r="AD3429" s="4">
        <v>28</v>
      </c>
      <c r="AE3429" s="4">
        <v>30</v>
      </c>
      <c r="AF3429" s="4">
        <v>0</v>
      </c>
      <c r="AG3429" s="4">
        <v>1</v>
      </c>
      <c r="AH3429" s="4">
        <v>24</v>
      </c>
      <c r="AI3429" s="4">
        <v>25</v>
      </c>
      <c r="AJ3429" s="4">
        <v>6</v>
      </c>
      <c r="AK3429" s="4">
        <v>7</v>
      </c>
      <c r="AL3429" s="4">
        <v>12</v>
      </c>
      <c r="AM3429" s="4">
        <v>12</v>
      </c>
      <c r="AN3429" s="4">
        <v>0</v>
      </c>
      <c r="AO3429" s="4">
        <v>0</v>
      </c>
      <c r="AP3429" s="4">
        <v>8</v>
      </c>
      <c r="AQ3429" s="4">
        <v>10</v>
      </c>
      <c r="AR3429" s="3" t="s">
        <v>62</v>
      </c>
      <c r="AS3429" s="3" t="s">
        <v>62</v>
      </c>
      <c r="AT3429" s="3" t="s">
        <v>62</v>
      </c>
      <c r="AV3429" s="6" t="str">
        <f>HYPERLINK("http://mcgill.on.worldcat.org/oclc/124074943","Catalog Record")</f>
        <v>Catalog Record</v>
      </c>
      <c r="AW3429" s="6" t="str">
        <f>HYPERLINK("http://www.worldcat.org/oclc/124074943","WorldCat Record")</f>
        <v>WorldCat Record</v>
      </c>
      <c r="AX3429" s="3" t="s">
        <v>33122</v>
      </c>
      <c r="AY3429" s="3" t="s">
        <v>33123</v>
      </c>
      <c r="AZ3429" s="3" t="s">
        <v>33124</v>
      </c>
      <c r="BA3429" s="3" t="s">
        <v>33124</v>
      </c>
      <c r="BB3429" s="3" t="s">
        <v>33125</v>
      </c>
      <c r="BC3429" s="3" t="s">
        <v>142</v>
      </c>
      <c r="BD3429" s="3" t="s">
        <v>68</v>
      </c>
      <c r="BE3429" s="3" t="s">
        <v>33126</v>
      </c>
      <c r="BF3429" s="3" t="s">
        <v>33125</v>
      </c>
      <c r="BG3429" s="3" t="s">
        <v>33127</v>
      </c>
    </row>
    <row r="3430" spans="1:59" ht="57" x14ac:dyDescent="0.45">
      <c r="A3430" s="2" t="s">
        <v>59</v>
      </c>
      <c r="B3430" s="2" t="s">
        <v>60</v>
      </c>
      <c r="C3430" s="2" t="s">
        <v>33128</v>
      </c>
      <c r="D3430" s="2" t="s">
        <v>33129</v>
      </c>
      <c r="E3430" s="2" t="s">
        <v>33130</v>
      </c>
      <c r="G3430" s="3" t="s">
        <v>62</v>
      </c>
      <c r="I3430" s="3" t="s">
        <v>62</v>
      </c>
      <c r="J3430" s="3" t="s">
        <v>62</v>
      </c>
      <c r="K3430" s="3" t="s">
        <v>63</v>
      </c>
      <c r="L3430" s="2" t="s">
        <v>33131</v>
      </c>
      <c r="M3430" s="2" t="s">
        <v>33132</v>
      </c>
      <c r="N3430" s="3" t="s">
        <v>1155</v>
      </c>
      <c r="P3430" s="3" t="s">
        <v>65</v>
      </c>
      <c r="Q3430" s="2" t="s">
        <v>33133</v>
      </c>
      <c r="R3430" s="3" t="s">
        <v>66</v>
      </c>
      <c r="S3430" s="4">
        <v>2</v>
      </c>
      <c r="T3430" s="4">
        <v>2</v>
      </c>
      <c r="U3430" s="5" t="s">
        <v>123</v>
      </c>
      <c r="V3430" s="5" t="s">
        <v>123</v>
      </c>
      <c r="W3430" s="5" t="s">
        <v>67</v>
      </c>
      <c r="X3430" s="5" t="s">
        <v>67</v>
      </c>
      <c r="Y3430" s="4">
        <v>128</v>
      </c>
      <c r="Z3430" s="4">
        <v>21</v>
      </c>
      <c r="AA3430" s="4">
        <v>85</v>
      </c>
      <c r="AB3430" s="4">
        <v>2</v>
      </c>
      <c r="AC3430" s="4">
        <v>14</v>
      </c>
      <c r="AD3430" s="4">
        <v>45</v>
      </c>
      <c r="AE3430" s="4">
        <v>107</v>
      </c>
      <c r="AF3430" s="4">
        <v>1</v>
      </c>
      <c r="AG3430" s="4">
        <v>8</v>
      </c>
      <c r="AH3430" s="4">
        <v>36</v>
      </c>
      <c r="AI3430" s="4">
        <v>75</v>
      </c>
      <c r="AJ3430" s="4">
        <v>15</v>
      </c>
      <c r="AK3430" s="4">
        <v>24</v>
      </c>
      <c r="AL3430" s="4">
        <v>20</v>
      </c>
      <c r="AM3430" s="4">
        <v>38</v>
      </c>
      <c r="AN3430" s="4">
        <v>0</v>
      </c>
      <c r="AO3430" s="4">
        <v>0</v>
      </c>
      <c r="AP3430" s="4">
        <v>16</v>
      </c>
      <c r="AQ3430" s="4">
        <v>41</v>
      </c>
      <c r="AR3430" s="3" t="s">
        <v>62</v>
      </c>
      <c r="AS3430" s="3" t="s">
        <v>62</v>
      </c>
      <c r="AT3430" s="3" t="s">
        <v>62</v>
      </c>
      <c r="AV3430" s="6" t="str">
        <f>HYPERLINK("http://mcgill.on.worldcat.org/oclc/760293991","Catalog Record")</f>
        <v>Catalog Record</v>
      </c>
      <c r="AW3430" s="6" t="str">
        <f>HYPERLINK("http://www.worldcat.org/oclc/760293991","WorldCat Record")</f>
        <v>WorldCat Record</v>
      </c>
      <c r="AX3430" s="3" t="s">
        <v>33134</v>
      </c>
      <c r="AY3430" s="3" t="s">
        <v>33135</v>
      </c>
      <c r="AZ3430" s="3" t="s">
        <v>33136</v>
      </c>
      <c r="BA3430" s="3" t="s">
        <v>33136</v>
      </c>
      <c r="BB3430" s="3" t="s">
        <v>33137</v>
      </c>
      <c r="BC3430" s="3" t="s">
        <v>142</v>
      </c>
      <c r="BD3430" s="3" t="s">
        <v>68</v>
      </c>
      <c r="BE3430" s="3" t="s">
        <v>33138</v>
      </c>
      <c r="BF3430" s="3" t="s">
        <v>33137</v>
      </c>
      <c r="BG3430" s="3" t="s">
        <v>33139</v>
      </c>
    </row>
    <row r="3431" spans="1:59" ht="57" x14ac:dyDescent="0.45">
      <c r="A3431" s="2" t="s">
        <v>59</v>
      </c>
      <c r="B3431" s="2" t="s">
        <v>60</v>
      </c>
      <c r="C3431" s="2" t="s">
        <v>33140</v>
      </c>
      <c r="D3431" s="2" t="s">
        <v>33141</v>
      </c>
      <c r="E3431" s="2" t="s">
        <v>33142</v>
      </c>
      <c r="G3431" s="3" t="s">
        <v>62</v>
      </c>
      <c r="I3431" s="3" t="s">
        <v>62</v>
      </c>
      <c r="J3431" s="3" t="s">
        <v>62</v>
      </c>
      <c r="K3431" s="3" t="s">
        <v>63</v>
      </c>
      <c r="L3431" s="2" t="s">
        <v>33143</v>
      </c>
      <c r="M3431" s="2" t="s">
        <v>5406</v>
      </c>
      <c r="N3431" s="3" t="s">
        <v>945</v>
      </c>
      <c r="P3431" s="3" t="s">
        <v>65</v>
      </c>
      <c r="R3431" s="3" t="s">
        <v>66</v>
      </c>
      <c r="S3431" s="4">
        <v>3</v>
      </c>
      <c r="T3431" s="4">
        <v>3</v>
      </c>
      <c r="U3431" s="5" t="s">
        <v>7890</v>
      </c>
      <c r="V3431" s="5" t="s">
        <v>7890</v>
      </c>
      <c r="W3431" s="5" t="s">
        <v>67</v>
      </c>
      <c r="X3431" s="5" t="s">
        <v>67</v>
      </c>
      <c r="Y3431" s="4">
        <v>121</v>
      </c>
      <c r="Z3431" s="4">
        <v>10</v>
      </c>
      <c r="AA3431" s="4">
        <v>97</v>
      </c>
      <c r="AB3431" s="4">
        <v>1</v>
      </c>
      <c r="AC3431" s="4">
        <v>17</v>
      </c>
      <c r="AD3431" s="4">
        <v>45</v>
      </c>
      <c r="AE3431" s="4">
        <v>120</v>
      </c>
      <c r="AF3431" s="4">
        <v>0</v>
      </c>
      <c r="AG3431" s="4">
        <v>8</v>
      </c>
      <c r="AH3431" s="4">
        <v>38</v>
      </c>
      <c r="AI3431" s="4">
        <v>84</v>
      </c>
      <c r="AJ3431" s="4">
        <v>7</v>
      </c>
      <c r="AK3431" s="4">
        <v>21</v>
      </c>
      <c r="AL3431" s="4">
        <v>24</v>
      </c>
      <c r="AM3431" s="4">
        <v>44</v>
      </c>
      <c r="AN3431" s="4">
        <v>0</v>
      </c>
      <c r="AO3431" s="4">
        <v>0</v>
      </c>
      <c r="AP3431" s="4">
        <v>9</v>
      </c>
      <c r="AQ3431" s="4">
        <v>42</v>
      </c>
      <c r="AR3431" s="3" t="s">
        <v>62</v>
      </c>
      <c r="AS3431" s="3" t="s">
        <v>62</v>
      </c>
      <c r="AT3431" s="3" t="s">
        <v>61</v>
      </c>
      <c r="AU3431" s="6" t="str">
        <f>HYPERLINK("http://catalog.hathitrust.org/Record/007147780","HathiTrust Record")</f>
        <v>HathiTrust Record</v>
      </c>
      <c r="AV3431" s="6" t="str">
        <f>HYPERLINK("http://mcgill.on.worldcat.org/oclc/71810045","Catalog Record")</f>
        <v>Catalog Record</v>
      </c>
      <c r="AW3431" s="6" t="str">
        <f>HYPERLINK("http://www.worldcat.org/oclc/71810045","WorldCat Record")</f>
        <v>WorldCat Record</v>
      </c>
      <c r="AX3431" s="3" t="s">
        <v>33144</v>
      </c>
      <c r="AY3431" s="3" t="s">
        <v>33145</v>
      </c>
      <c r="AZ3431" s="3" t="s">
        <v>33146</v>
      </c>
      <c r="BA3431" s="3" t="s">
        <v>33146</v>
      </c>
      <c r="BB3431" s="3" t="s">
        <v>33147</v>
      </c>
      <c r="BC3431" s="3" t="s">
        <v>142</v>
      </c>
      <c r="BD3431" s="3" t="s">
        <v>68</v>
      </c>
      <c r="BE3431" s="3" t="s">
        <v>33148</v>
      </c>
      <c r="BF3431" s="3" t="s">
        <v>33147</v>
      </c>
      <c r="BG3431" s="3" t="s">
        <v>33149</v>
      </c>
    </row>
    <row r="3432" spans="1:59" ht="57" x14ac:dyDescent="0.45">
      <c r="A3432" s="2" t="s">
        <v>59</v>
      </c>
      <c r="B3432" s="2" t="s">
        <v>60</v>
      </c>
      <c r="C3432" s="2" t="s">
        <v>33150</v>
      </c>
      <c r="D3432" s="2" t="s">
        <v>33151</v>
      </c>
      <c r="E3432" s="2" t="s">
        <v>33152</v>
      </c>
      <c r="G3432" s="3" t="s">
        <v>62</v>
      </c>
      <c r="I3432" s="3" t="s">
        <v>62</v>
      </c>
      <c r="J3432" s="3" t="s">
        <v>62</v>
      </c>
      <c r="K3432" s="3" t="s">
        <v>63</v>
      </c>
      <c r="M3432" s="2" t="s">
        <v>33153</v>
      </c>
      <c r="N3432" s="3" t="s">
        <v>1604</v>
      </c>
      <c r="P3432" s="3" t="s">
        <v>65</v>
      </c>
      <c r="Q3432" s="2" t="s">
        <v>33154</v>
      </c>
      <c r="R3432" s="3" t="s">
        <v>66</v>
      </c>
      <c r="S3432" s="4">
        <v>9</v>
      </c>
      <c r="T3432" s="4">
        <v>9</v>
      </c>
      <c r="U3432" s="5" t="s">
        <v>29035</v>
      </c>
      <c r="V3432" s="5" t="s">
        <v>29035</v>
      </c>
      <c r="W3432" s="5" t="s">
        <v>67</v>
      </c>
      <c r="X3432" s="5" t="s">
        <v>67</v>
      </c>
      <c r="Y3432" s="4">
        <v>311</v>
      </c>
      <c r="Z3432" s="4">
        <v>17</v>
      </c>
      <c r="AA3432" s="4">
        <v>18</v>
      </c>
      <c r="AB3432" s="4">
        <v>2</v>
      </c>
      <c r="AC3432" s="4">
        <v>3</v>
      </c>
      <c r="AD3432" s="4">
        <v>98</v>
      </c>
      <c r="AE3432" s="4">
        <v>100</v>
      </c>
      <c r="AF3432" s="4">
        <v>1</v>
      </c>
      <c r="AG3432" s="4">
        <v>2</v>
      </c>
      <c r="AH3432" s="4">
        <v>89</v>
      </c>
      <c r="AI3432" s="4">
        <v>90</v>
      </c>
      <c r="AJ3432" s="4">
        <v>12</v>
      </c>
      <c r="AK3432" s="4">
        <v>13</v>
      </c>
      <c r="AL3432" s="4">
        <v>51</v>
      </c>
      <c r="AM3432" s="4">
        <v>52</v>
      </c>
      <c r="AN3432" s="4">
        <v>0</v>
      </c>
      <c r="AO3432" s="4">
        <v>0</v>
      </c>
      <c r="AP3432" s="4">
        <v>15</v>
      </c>
      <c r="AQ3432" s="4">
        <v>15</v>
      </c>
      <c r="AR3432" s="3" t="s">
        <v>62</v>
      </c>
      <c r="AS3432" s="3" t="s">
        <v>62</v>
      </c>
      <c r="AT3432" s="3" t="s">
        <v>62</v>
      </c>
      <c r="AV3432" s="6" t="str">
        <f>HYPERLINK("http://mcgill.on.worldcat.org/oclc/28376806","Catalog Record")</f>
        <v>Catalog Record</v>
      </c>
      <c r="AW3432" s="6" t="str">
        <f>HYPERLINK("http://www.worldcat.org/oclc/28376806","WorldCat Record")</f>
        <v>WorldCat Record</v>
      </c>
      <c r="AX3432" s="3" t="s">
        <v>33155</v>
      </c>
      <c r="AY3432" s="3" t="s">
        <v>33156</v>
      </c>
      <c r="AZ3432" s="3" t="s">
        <v>33157</v>
      </c>
      <c r="BA3432" s="3" t="s">
        <v>33157</v>
      </c>
      <c r="BB3432" s="3" t="s">
        <v>33158</v>
      </c>
      <c r="BC3432" s="3" t="s">
        <v>142</v>
      </c>
      <c r="BD3432" s="3" t="s">
        <v>68</v>
      </c>
      <c r="BE3432" s="3" t="s">
        <v>33159</v>
      </c>
      <c r="BF3432" s="3" t="s">
        <v>33158</v>
      </c>
      <c r="BG3432" s="3" t="s">
        <v>33160</v>
      </c>
    </row>
    <row r="3433" spans="1:59" ht="57" x14ac:dyDescent="0.45">
      <c r="A3433" s="2" t="s">
        <v>59</v>
      </c>
      <c r="B3433" s="2" t="s">
        <v>60</v>
      </c>
      <c r="C3433" s="2" t="s">
        <v>33161</v>
      </c>
      <c r="D3433" s="2" t="s">
        <v>33162</v>
      </c>
      <c r="E3433" s="2" t="s">
        <v>33163</v>
      </c>
      <c r="G3433" s="3" t="s">
        <v>62</v>
      </c>
      <c r="I3433" s="3" t="s">
        <v>62</v>
      </c>
      <c r="J3433" s="3" t="s">
        <v>62</v>
      </c>
      <c r="K3433" s="3" t="s">
        <v>63</v>
      </c>
      <c r="M3433" s="2" t="s">
        <v>33164</v>
      </c>
      <c r="N3433" s="3" t="s">
        <v>894</v>
      </c>
      <c r="P3433" s="3" t="s">
        <v>65</v>
      </c>
      <c r="Q3433" s="2" t="s">
        <v>33165</v>
      </c>
      <c r="R3433" s="3" t="s">
        <v>66</v>
      </c>
      <c r="S3433" s="4">
        <v>1</v>
      </c>
      <c r="T3433" s="4">
        <v>1</v>
      </c>
      <c r="U3433" s="5" t="s">
        <v>33166</v>
      </c>
      <c r="V3433" s="5" t="s">
        <v>33166</v>
      </c>
      <c r="W3433" s="5" t="s">
        <v>67</v>
      </c>
      <c r="X3433" s="5" t="s">
        <v>67</v>
      </c>
      <c r="Y3433" s="4">
        <v>118</v>
      </c>
      <c r="Z3433" s="4">
        <v>10</v>
      </c>
      <c r="AA3433" s="4">
        <v>89</v>
      </c>
      <c r="AB3433" s="4">
        <v>1</v>
      </c>
      <c r="AC3433" s="4">
        <v>18</v>
      </c>
      <c r="AD3433" s="4">
        <v>42</v>
      </c>
      <c r="AE3433" s="4">
        <v>114</v>
      </c>
      <c r="AF3433" s="4">
        <v>0</v>
      </c>
      <c r="AG3433" s="4">
        <v>8</v>
      </c>
      <c r="AH3433" s="4">
        <v>39</v>
      </c>
      <c r="AI3433" s="4">
        <v>79</v>
      </c>
      <c r="AJ3433" s="4">
        <v>7</v>
      </c>
      <c r="AK3433" s="4">
        <v>21</v>
      </c>
      <c r="AL3433" s="4">
        <v>26</v>
      </c>
      <c r="AM3433" s="4">
        <v>42</v>
      </c>
      <c r="AN3433" s="4">
        <v>0</v>
      </c>
      <c r="AO3433" s="4">
        <v>0</v>
      </c>
      <c r="AP3433" s="4">
        <v>8</v>
      </c>
      <c r="AQ3433" s="4">
        <v>42</v>
      </c>
      <c r="AR3433" s="3" t="s">
        <v>62</v>
      </c>
      <c r="AS3433" s="3" t="s">
        <v>62</v>
      </c>
      <c r="AT3433" s="3" t="s">
        <v>62</v>
      </c>
      <c r="AV3433" s="6" t="str">
        <f>HYPERLINK("http://mcgill.on.worldcat.org/oclc/672300123","Catalog Record")</f>
        <v>Catalog Record</v>
      </c>
      <c r="AW3433" s="6" t="str">
        <f>HYPERLINK("http://www.worldcat.org/oclc/672300123","WorldCat Record")</f>
        <v>WorldCat Record</v>
      </c>
      <c r="AX3433" s="3" t="s">
        <v>33167</v>
      </c>
      <c r="AY3433" s="3" t="s">
        <v>33168</v>
      </c>
      <c r="AZ3433" s="3" t="s">
        <v>33169</v>
      </c>
      <c r="BA3433" s="3" t="s">
        <v>33169</v>
      </c>
      <c r="BB3433" s="3" t="s">
        <v>33170</v>
      </c>
      <c r="BC3433" s="3" t="s">
        <v>142</v>
      </c>
      <c r="BD3433" s="3" t="s">
        <v>68</v>
      </c>
      <c r="BE3433" s="3" t="s">
        <v>33171</v>
      </c>
      <c r="BF3433" s="3" t="s">
        <v>33170</v>
      </c>
      <c r="BG3433" s="3" t="s">
        <v>33172</v>
      </c>
    </row>
    <row r="3434" spans="1:59" ht="57" x14ac:dyDescent="0.45">
      <c r="A3434" s="2" t="s">
        <v>59</v>
      </c>
      <c r="B3434" s="2" t="s">
        <v>60</v>
      </c>
      <c r="C3434" s="2" t="s">
        <v>33173</v>
      </c>
      <c r="D3434" s="2" t="s">
        <v>33174</v>
      </c>
      <c r="E3434" s="2" t="s">
        <v>33175</v>
      </c>
      <c r="G3434" s="3" t="s">
        <v>62</v>
      </c>
      <c r="I3434" s="3" t="s">
        <v>62</v>
      </c>
      <c r="J3434" s="3" t="s">
        <v>62</v>
      </c>
      <c r="K3434" s="3" t="s">
        <v>63</v>
      </c>
      <c r="M3434" s="2" t="s">
        <v>5349</v>
      </c>
      <c r="N3434" s="3" t="s">
        <v>1239</v>
      </c>
      <c r="P3434" s="3" t="s">
        <v>65</v>
      </c>
      <c r="R3434" s="3" t="s">
        <v>66</v>
      </c>
      <c r="S3434" s="4">
        <v>60</v>
      </c>
      <c r="T3434" s="4">
        <v>60</v>
      </c>
      <c r="U3434" s="5" t="s">
        <v>33176</v>
      </c>
      <c r="V3434" s="5" t="s">
        <v>33176</v>
      </c>
      <c r="W3434" s="5" t="s">
        <v>67</v>
      </c>
      <c r="X3434" s="5" t="s">
        <v>67</v>
      </c>
      <c r="Y3434" s="4">
        <v>507</v>
      </c>
      <c r="Z3434" s="4">
        <v>36</v>
      </c>
      <c r="AA3434" s="4">
        <v>38</v>
      </c>
      <c r="AB3434" s="4">
        <v>3</v>
      </c>
      <c r="AC3434" s="4">
        <v>5</v>
      </c>
      <c r="AD3434" s="4">
        <v>127</v>
      </c>
      <c r="AE3434" s="4">
        <v>129</v>
      </c>
      <c r="AF3434" s="4">
        <v>2</v>
      </c>
      <c r="AG3434" s="4">
        <v>4</v>
      </c>
      <c r="AH3434" s="4">
        <v>108</v>
      </c>
      <c r="AI3434" s="4">
        <v>109</v>
      </c>
      <c r="AJ3434" s="4">
        <v>21</v>
      </c>
      <c r="AK3434" s="4">
        <v>23</v>
      </c>
      <c r="AL3434" s="4">
        <v>57</v>
      </c>
      <c r="AM3434" s="4">
        <v>57</v>
      </c>
      <c r="AN3434" s="4">
        <v>0</v>
      </c>
      <c r="AO3434" s="4">
        <v>0</v>
      </c>
      <c r="AP3434" s="4">
        <v>29</v>
      </c>
      <c r="AQ3434" s="4">
        <v>30</v>
      </c>
      <c r="AR3434" s="3" t="s">
        <v>62</v>
      </c>
      <c r="AS3434" s="3" t="s">
        <v>62</v>
      </c>
      <c r="AT3434" s="3" t="s">
        <v>61</v>
      </c>
      <c r="AU3434" s="6" t="str">
        <f>HYPERLINK("http://catalog.hathitrust.org/Record/001550186","HathiTrust Record")</f>
        <v>HathiTrust Record</v>
      </c>
      <c r="AV3434" s="6" t="str">
        <f>HYPERLINK("http://mcgill.on.worldcat.org/oclc/18629410","Catalog Record")</f>
        <v>Catalog Record</v>
      </c>
      <c r="AW3434" s="6" t="str">
        <f>HYPERLINK("http://www.worldcat.org/oclc/18629410","WorldCat Record")</f>
        <v>WorldCat Record</v>
      </c>
      <c r="AX3434" s="3" t="s">
        <v>33177</v>
      </c>
      <c r="AY3434" s="3" t="s">
        <v>33178</v>
      </c>
      <c r="AZ3434" s="3" t="s">
        <v>33179</v>
      </c>
      <c r="BA3434" s="3" t="s">
        <v>33179</v>
      </c>
      <c r="BB3434" s="3" t="s">
        <v>33180</v>
      </c>
      <c r="BC3434" s="3" t="s">
        <v>142</v>
      </c>
      <c r="BD3434" s="3" t="s">
        <v>68</v>
      </c>
      <c r="BE3434" s="3" t="s">
        <v>33181</v>
      </c>
      <c r="BF3434" s="3" t="s">
        <v>33180</v>
      </c>
      <c r="BG3434" s="3" t="s">
        <v>33182</v>
      </c>
    </row>
    <row r="3435" spans="1:59" ht="57" x14ac:dyDescent="0.45">
      <c r="A3435" s="2" t="s">
        <v>59</v>
      </c>
      <c r="B3435" s="2" t="s">
        <v>60</v>
      </c>
      <c r="C3435" s="2" t="s">
        <v>33183</v>
      </c>
      <c r="D3435" s="2" t="s">
        <v>33184</v>
      </c>
      <c r="E3435" s="2" t="s">
        <v>33185</v>
      </c>
      <c r="F3435" s="3" t="s">
        <v>90</v>
      </c>
      <c r="G3435" s="3" t="s">
        <v>61</v>
      </c>
      <c r="I3435" s="3" t="s">
        <v>62</v>
      </c>
      <c r="J3435" s="3" t="s">
        <v>62</v>
      </c>
      <c r="K3435" s="3" t="s">
        <v>63</v>
      </c>
      <c r="M3435" s="2" t="s">
        <v>4009</v>
      </c>
      <c r="N3435" s="3" t="s">
        <v>149</v>
      </c>
      <c r="P3435" s="3" t="s">
        <v>65</v>
      </c>
      <c r="Q3435" s="2" t="s">
        <v>33186</v>
      </c>
      <c r="R3435" s="3" t="s">
        <v>66</v>
      </c>
      <c r="S3435" s="4">
        <v>1</v>
      </c>
      <c r="T3435" s="4">
        <v>9</v>
      </c>
      <c r="U3435" s="5" t="s">
        <v>33176</v>
      </c>
      <c r="V3435" s="5" t="s">
        <v>33176</v>
      </c>
      <c r="W3435" s="5" t="s">
        <v>67</v>
      </c>
      <c r="X3435" s="5" t="s">
        <v>67</v>
      </c>
      <c r="Y3435" s="4">
        <v>63</v>
      </c>
      <c r="Z3435" s="4">
        <v>6</v>
      </c>
      <c r="AA3435" s="4">
        <v>9</v>
      </c>
      <c r="AB3435" s="4">
        <v>2</v>
      </c>
      <c r="AC3435" s="4">
        <v>2</v>
      </c>
      <c r="AD3435" s="4">
        <v>13</v>
      </c>
      <c r="AE3435" s="4">
        <v>16</v>
      </c>
      <c r="AF3435" s="4">
        <v>0</v>
      </c>
      <c r="AG3435" s="4">
        <v>0</v>
      </c>
      <c r="AH3435" s="4">
        <v>12</v>
      </c>
      <c r="AI3435" s="4">
        <v>15</v>
      </c>
      <c r="AJ3435" s="4">
        <v>4</v>
      </c>
      <c r="AK3435" s="4">
        <v>6</v>
      </c>
      <c r="AL3435" s="4">
        <v>6</v>
      </c>
      <c r="AM3435" s="4">
        <v>8</v>
      </c>
      <c r="AN3435" s="4">
        <v>0</v>
      </c>
      <c r="AO3435" s="4">
        <v>0</v>
      </c>
      <c r="AP3435" s="4">
        <v>4</v>
      </c>
      <c r="AQ3435" s="4">
        <v>6</v>
      </c>
      <c r="AR3435" s="3" t="s">
        <v>62</v>
      </c>
      <c r="AS3435" s="3" t="s">
        <v>62</v>
      </c>
      <c r="AT3435" s="3" t="s">
        <v>62</v>
      </c>
      <c r="AV3435" s="6" t="str">
        <f>HYPERLINK("http://mcgill.on.worldcat.org/oclc/223814388","Catalog Record")</f>
        <v>Catalog Record</v>
      </c>
      <c r="AW3435" s="6" t="str">
        <f>HYPERLINK("http://www.worldcat.org/oclc/223814388","WorldCat Record")</f>
        <v>WorldCat Record</v>
      </c>
      <c r="AX3435" s="3" t="s">
        <v>33187</v>
      </c>
      <c r="AY3435" s="3" t="s">
        <v>33188</v>
      </c>
      <c r="AZ3435" s="3" t="s">
        <v>33189</v>
      </c>
      <c r="BA3435" s="3" t="s">
        <v>33189</v>
      </c>
      <c r="BB3435" s="3" t="s">
        <v>33190</v>
      </c>
      <c r="BC3435" s="3" t="s">
        <v>142</v>
      </c>
      <c r="BD3435" s="3" t="s">
        <v>68</v>
      </c>
      <c r="BE3435" s="3" t="s">
        <v>33191</v>
      </c>
      <c r="BF3435" s="3" t="s">
        <v>33190</v>
      </c>
      <c r="BG3435" s="3" t="s">
        <v>33192</v>
      </c>
    </row>
    <row r="3436" spans="1:59" ht="57" x14ac:dyDescent="0.45">
      <c r="A3436" s="2" t="s">
        <v>59</v>
      </c>
      <c r="B3436" s="2" t="s">
        <v>60</v>
      </c>
      <c r="C3436" s="2" t="s">
        <v>33183</v>
      </c>
      <c r="D3436" s="2" t="s">
        <v>33184</v>
      </c>
      <c r="E3436" s="2" t="s">
        <v>33185</v>
      </c>
      <c r="F3436" s="3" t="s">
        <v>87</v>
      </c>
      <c r="G3436" s="3" t="s">
        <v>61</v>
      </c>
      <c r="I3436" s="3" t="s">
        <v>62</v>
      </c>
      <c r="J3436" s="3" t="s">
        <v>62</v>
      </c>
      <c r="K3436" s="3" t="s">
        <v>63</v>
      </c>
      <c r="M3436" s="2" t="s">
        <v>4009</v>
      </c>
      <c r="N3436" s="3" t="s">
        <v>149</v>
      </c>
      <c r="P3436" s="3" t="s">
        <v>65</v>
      </c>
      <c r="Q3436" s="2" t="s">
        <v>33186</v>
      </c>
      <c r="R3436" s="3" t="s">
        <v>66</v>
      </c>
      <c r="S3436" s="4">
        <v>5</v>
      </c>
      <c r="T3436" s="4">
        <v>9</v>
      </c>
      <c r="U3436" s="5" t="s">
        <v>7845</v>
      </c>
      <c r="V3436" s="5" t="s">
        <v>33176</v>
      </c>
      <c r="W3436" s="5" t="s">
        <v>67</v>
      </c>
      <c r="X3436" s="5" t="s">
        <v>67</v>
      </c>
      <c r="Y3436" s="4">
        <v>63</v>
      </c>
      <c r="Z3436" s="4">
        <v>6</v>
      </c>
      <c r="AA3436" s="4">
        <v>9</v>
      </c>
      <c r="AB3436" s="4">
        <v>2</v>
      </c>
      <c r="AC3436" s="4">
        <v>2</v>
      </c>
      <c r="AD3436" s="4">
        <v>13</v>
      </c>
      <c r="AE3436" s="4">
        <v>16</v>
      </c>
      <c r="AF3436" s="4">
        <v>0</v>
      </c>
      <c r="AG3436" s="4">
        <v>0</v>
      </c>
      <c r="AH3436" s="4">
        <v>12</v>
      </c>
      <c r="AI3436" s="4">
        <v>15</v>
      </c>
      <c r="AJ3436" s="4">
        <v>4</v>
      </c>
      <c r="AK3436" s="4">
        <v>6</v>
      </c>
      <c r="AL3436" s="4">
        <v>6</v>
      </c>
      <c r="AM3436" s="4">
        <v>8</v>
      </c>
      <c r="AN3436" s="4">
        <v>0</v>
      </c>
      <c r="AO3436" s="4">
        <v>0</v>
      </c>
      <c r="AP3436" s="4">
        <v>4</v>
      </c>
      <c r="AQ3436" s="4">
        <v>6</v>
      </c>
      <c r="AR3436" s="3" t="s">
        <v>62</v>
      </c>
      <c r="AS3436" s="3" t="s">
        <v>62</v>
      </c>
      <c r="AT3436" s="3" t="s">
        <v>62</v>
      </c>
      <c r="AV3436" s="6" t="str">
        <f>HYPERLINK("http://mcgill.on.worldcat.org/oclc/223814388","Catalog Record")</f>
        <v>Catalog Record</v>
      </c>
      <c r="AW3436" s="6" t="str">
        <f>HYPERLINK("http://www.worldcat.org/oclc/223814388","WorldCat Record")</f>
        <v>WorldCat Record</v>
      </c>
      <c r="AX3436" s="3" t="s">
        <v>33187</v>
      </c>
      <c r="AY3436" s="3" t="s">
        <v>33188</v>
      </c>
      <c r="AZ3436" s="3" t="s">
        <v>33189</v>
      </c>
      <c r="BA3436" s="3" t="s">
        <v>33189</v>
      </c>
      <c r="BB3436" s="3" t="s">
        <v>33193</v>
      </c>
      <c r="BC3436" s="3" t="s">
        <v>142</v>
      </c>
      <c r="BD3436" s="3" t="s">
        <v>308</v>
      </c>
      <c r="BE3436" s="3" t="s">
        <v>33191</v>
      </c>
      <c r="BF3436" s="3" t="s">
        <v>33193</v>
      </c>
      <c r="BG3436" s="3" t="s">
        <v>33194</v>
      </c>
    </row>
    <row r="3437" spans="1:59" ht="57" x14ac:dyDescent="0.45">
      <c r="A3437" s="2" t="s">
        <v>59</v>
      </c>
      <c r="B3437" s="2" t="s">
        <v>60</v>
      </c>
      <c r="C3437" s="2" t="s">
        <v>33183</v>
      </c>
      <c r="D3437" s="2" t="s">
        <v>33184</v>
      </c>
      <c r="E3437" s="2" t="s">
        <v>33185</v>
      </c>
      <c r="F3437" s="3" t="s">
        <v>88</v>
      </c>
      <c r="G3437" s="3" t="s">
        <v>61</v>
      </c>
      <c r="I3437" s="3" t="s">
        <v>62</v>
      </c>
      <c r="J3437" s="3" t="s">
        <v>62</v>
      </c>
      <c r="K3437" s="3" t="s">
        <v>63</v>
      </c>
      <c r="M3437" s="2" t="s">
        <v>4009</v>
      </c>
      <c r="N3437" s="3" t="s">
        <v>149</v>
      </c>
      <c r="P3437" s="3" t="s">
        <v>65</v>
      </c>
      <c r="Q3437" s="2" t="s">
        <v>33186</v>
      </c>
      <c r="R3437" s="3" t="s">
        <v>66</v>
      </c>
      <c r="S3437" s="4">
        <v>2</v>
      </c>
      <c r="T3437" s="4">
        <v>9</v>
      </c>
      <c r="U3437" s="5" t="s">
        <v>33195</v>
      </c>
      <c r="V3437" s="5" t="s">
        <v>33176</v>
      </c>
      <c r="W3437" s="5" t="s">
        <v>67</v>
      </c>
      <c r="X3437" s="5" t="s">
        <v>67</v>
      </c>
      <c r="Y3437" s="4">
        <v>63</v>
      </c>
      <c r="Z3437" s="4">
        <v>6</v>
      </c>
      <c r="AA3437" s="4">
        <v>9</v>
      </c>
      <c r="AB3437" s="4">
        <v>2</v>
      </c>
      <c r="AC3437" s="4">
        <v>2</v>
      </c>
      <c r="AD3437" s="4">
        <v>13</v>
      </c>
      <c r="AE3437" s="4">
        <v>16</v>
      </c>
      <c r="AF3437" s="4">
        <v>0</v>
      </c>
      <c r="AG3437" s="4">
        <v>0</v>
      </c>
      <c r="AH3437" s="4">
        <v>12</v>
      </c>
      <c r="AI3437" s="4">
        <v>15</v>
      </c>
      <c r="AJ3437" s="4">
        <v>4</v>
      </c>
      <c r="AK3437" s="4">
        <v>6</v>
      </c>
      <c r="AL3437" s="4">
        <v>6</v>
      </c>
      <c r="AM3437" s="4">
        <v>8</v>
      </c>
      <c r="AN3437" s="4">
        <v>0</v>
      </c>
      <c r="AO3437" s="4">
        <v>0</v>
      </c>
      <c r="AP3437" s="4">
        <v>4</v>
      </c>
      <c r="AQ3437" s="4">
        <v>6</v>
      </c>
      <c r="AR3437" s="3" t="s">
        <v>62</v>
      </c>
      <c r="AS3437" s="3" t="s">
        <v>62</v>
      </c>
      <c r="AT3437" s="3" t="s">
        <v>62</v>
      </c>
      <c r="AV3437" s="6" t="str">
        <f>HYPERLINK("http://mcgill.on.worldcat.org/oclc/223814388","Catalog Record")</f>
        <v>Catalog Record</v>
      </c>
      <c r="AW3437" s="6" t="str">
        <f>HYPERLINK("http://www.worldcat.org/oclc/223814388","WorldCat Record")</f>
        <v>WorldCat Record</v>
      </c>
      <c r="AX3437" s="3" t="s">
        <v>33187</v>
      </c>
      <c r="AY3437" s="3" t="s">
        <v>33188</v>
      </c>
      <c r="AZ3437" s="3" t="s">
        <v>33189</v>
      </c>
      <c r="BA3437" s="3" t="s">
        <v>33189</v>
      </c>
      <c r="BB3437" s="3" t="s">
        <v>33196</v>
      </c>
      <c r="BC3437" s="3" t="s">
        <v>142</v>
      </c>
      <c r="BD3437" s="3" t="s">
        <v>68</v>
      </c>
      <c r="BE3437" s="3" t="s">
        <v>33191</v>
      </c>
      <c r="BF3437" s="3" t="s">
        <v>33196</v>
      </c>
      <c r="BG3437" s="3" t="s">
        <v>33197</v>
      </c>
    </row>
    <row r="3438" spans="1:59" ht="57" x14ac:dyDescent="0.45">
      <c r="A3438" s="2" t="s">
        <v>59</v>
      </c>
      <c r="B3438" s="2" t="s">
        <v>60</v>
      </c>
      <c r="C3438" s="2" t="s">
        <v>33183</v>
      </c>
      <c r="D3438" s="2" t="s">
        <v>33184</v>
      </c>
      <c r="E3438" s="2" t="s">
        <v>33185</v>
      </c>
      <c r="F3438" s="3" t="s">
        <v>86</v>
      </c>
      <c r="G3438" s="3" t="s">
        <v>61</v>
      </c>
      <c r="I3438" s="3" t="s">
        <v>62</v>
      </c>
      <c r="J3438" s="3" t="s">
        <v>62</v>
      </c>
      <c r="K3438" s="3" t="s">
        <v>63</v>
      </c>
      <c r="M3438" s="2" t="s">
        <v>4009</v>
      </c>
      <c r="N3438" s="3" t="s">
        <v>149</v>
      </c>
      <c r="P3438" s="3" t="s">
        <v>65</v>
      </c>
      <c r="Q3438" s="2" t="s">
        <v>33186</v>
      </c>
      <c r="R3438" s="3" t="s">
        <v>66</v>
      </c>
      <c r="S3438" s="4">
        <v>1</v>
      </c>
      <c r="T3438" s="4">
        <v>9</v>
      </c>
      <c r="U3438" s="5" t="s">
        <v>33198</v>
      </c>
      <c r="V3438" s="5" t="s">
        <v>33176</v>
      </c>
      <c r="W3438" s="5" t="s">
        <v>67</v>
      </c>
      <c r="X3438" s="5" t="s">
        <v>67</v>
      </c>
      <c r="Y3438" s="4">
        <v>63</v>
      </c>
      <c r="Z3438" s="4">
        <v>6</v>
      </c>
      <c r="AA3438" s="4">
        <v>9</v>
      </c>
      <c r="AB3438" s="4">
        <v>2</v>
      </c>
      <c r="AC3438" s="4">
        <v>2</v>
      </c>
      <c r="AD3438" s="4">
        <v>13</v>
      </c>
      <c r="AE3438" s="4">
        <v>16</v>
      </c>
      <c r="AF3438" s="4">
        <v>0</v>
      </c>
      <c r="AG3438" s="4">
        <v>0</v>
      </c>
      <c r="AH3438" s="4">
        <v>12</v>
      </c>
      <c r="AI3438" s="4">
        <v>15</v>
      </c>
      <c r="AJ3438" s="4">
        <v>4</v>
      </c>
      <c r="AK3438" s="4">
        <v>6</v>
      </c>
      <c r="AL3438" s="4">
        <v>6</v>
      </c>
      <c r="AM3438" s="4">
        <v>8</v>
      </c>
      <c r="AN3438" s="4">
        <v>0</v>
      </c>
      <c r="AO3438" s="4">
        <v>0</v>
      </c>
      <c r="AP3438" s="4">
        <v>4</v>
      </c>
      <c r="AQ3438" s="4">
        <v>6</v>
      </c>
      <c r="AR3438" s="3" t="s">
        <v>62</v>
      </c>
      <c r="AS3438" s="3" t="s">
        <v>62</v>
      </c>
      <c r="AT3438" s="3" t="s">
        <v>62</v>
      </c>
      <c r="AV3438" s="6" t="str">
        <f>HYPERLINK("http://mcgill.on.worldcat.org/oclc/223814388","Catalog Record")</f>
        <v>Catalog Record</v>
      </c>
      <c r="AW3438" s="6" t="str">
        <f>HYPERLINK("http://www.worldcat.org/oclc/223814388","WorldCat Record")</f>
        <v>WorldCat Record</v>
      </c>
      <c r="AX3438" s="3" t="s">
        <v>33187</v>
      </c>
      <c r="AY3438" s="3" t="s">
        <v>33188</v>
      </c>
      <c r="AZ3438" s="3" t="s">
        <v>33189</v>
      </c>
      <c r="BA3438" s="3" t="s">
        <v>33189</v>
      </c>
      <c r="BB3438" s="3" t="s">
        <v>33199</v>
      </c>
      <c r="BC3438" s="3" t="s">
        <v>142</v>
      </c>
      <c r="BD3438" s="3" t="s">
        <v>68</v>
      </c>
      <c r="BE3438" s="3" t="s">
        <v>33191</v>
      </c>
      <c r="BF3438" s="3" t="s">
        <v>33199</v>
      </c>
      <c r="BG3438" s="3" t="s">
        <v>33200</v>
      </c>
    </row>
    <row r="3439" spans="1:59" ht="57" x14ac:dyDescent="0.45">
      <c r="A3439" s="2" t="s">
        <v>59</v>
      </c>
      <c r="B3439" s="2" t="s">
        <v>60</v>
      </c>
      <c r="C3439" s="2" t="s">
        <v>33201</v>
      </c>
      <c r="D3439" s="2" t="s">
        <v>33202</v>
      </c>
      <c r="E3439" s="2" t="s">
        <v>33203</v>
      </c>
      <c r="G3439" s="3" t="s">
        <v>62</v>
      </c>
      <c r="I3439" s="3" t="s">
        <v>62</v>
      </c>
      <c r="J3439" s="3" t="s">
        <v>62</v>
      </c>
      <c r="K3439" s="3" t="s">
        <v>63</v>
      </c>
      <c r="M3439" s="2" t="s">
        <v>5923</v>
      </c>
      <c r="N3439" s="3" t="s">
        <v>918</v>
      </c>
      <c r="P3439" s="3" t="s">
        <v>65</v>
      </c>
      <c r="Q3439" s="2" t="s">
        <v>33204</v>
      </c>
      <c r="R3439" s="3" t="s">
        <v>66</v>
      </c>
      <c r="S3439" s="4">
        <v>14</v>
      </c>
      <c r="T3439" s="4">
        <v>14</v>
      </c>
      <c r="U3439" s="5" t="s">
        <v>33205</v>
      </c>
      <c r="V3439" s="5" t="s">
        <v>33205</v>
      </c>
      <c r="W3439" s="5" t="s">
        <v>67</v>
      </c>
      <c r="X3439" s="5" t="s">
        <v>67</v>
      </c>
      <c r="Y3439" s="4">
        <v>169</v>
      </c>
      <c r="Z3439" s="4">
        <v>13</v>
      </c>
      <c r="AA3439" s="4">
        <v>109</v>
      </c>
      <c r="AB3439" s="4">
        <v>1</v>
      </c>
      <c r="AC3439" s="4">
        <v>18</v>
      </c>
      <c r="AD3439" s="4">
        <v>56</v>
      </c>
      <c r="AE3439" s="4">
        <v>128</v>
      </c>
      <c r="AF3439" s="4">
        <v>0</v>
      </c>
      <c r="AG3439" s="4">
        <v>8</v>
      </c>
      <c r="AH3439" s="4">
        <v>49</v>
      </c>
      <c r="AI3439" s="4">
        <v>88</v>
      </c>
      <c r="AJ3439" s="4">
        <v>8</v>
      </c>
      <c r="AK3439" s="4">
        <v>24</v>
      </c>
      <c r="AL3439" s="4">
        <v>25</v>
      </c>
      <c r="AM3439" s="4">
        <v>41</v>
      </c>
      <c r="AN3439" s="4">
        <v>0</v>
      </c>
      <c r="AO3439" s="4">
        <v>0</v>
      </c>
      <c r="AP3439" s="4">
        <v>11</v>
      </c>
      <c r="AQ3439" s="4">
        <v>48</v>
      </c>
      <c r="AR3439" s="3" t="s">
        <v>62</v>
      </c>
      <c r="AS3439" s="3" t="s">
        <v>62</v>
      </c>
      <c r="AT3439" s="3" t="s">
        <v>61</v>
      </c>
      <c r="AU3439" s="6" t="str">
        <f>HYPERLINK("http://catalog.hathitrust.org/Record/007142721","HathiTrust Record")</f>
        <v>HathiTrust Record</v>
      </c>
      <c r="AV3439" s="6" t="str">
        <f>HYPERLINK("http://mcgill.on.worldcat.org/oclc/50604839","Catalog Record")</f>
        <v>Catalog Record</v>
      </c>
      <c r="AW3439" s="6" t="str">
        <f>HYPERLINK("http://www.worldcat.org/oclc/50604839","WorldCat Record")</f>
        <v>WorldCat Record</v>
      </c>
      <c r="AX3439" s="3" t="s">
        <v>33206</v>
      </c>
      <c r="AY3439" s="3" t="s">
        <v>33207</v>
      </c>
      <c r="AZ3439" s="3" t="s">
        <v>33208</v>
      </c>
      <c r="BA3439" s="3" t="s">
        <v>33208</v>
      </c>
      <c r="BB3439" s="3" t="s">
        <v>33209</v>
      </c>
      <c r="BC3439" s="3" t="s">
        <v>142</v>
      </c>
      <c r="BD3439" s="3" t="s">
        <v>68</v>
      </c>
      <c r="BE3439" s="3" t="s">
        <v>33210</v>
      </c>
      <c r="BF3439" s="3" t="s">
        <v>33209</v>
      </c>
      <c r="BG3439" s="3" t="s">
        <v>33211</v>
      </c>
    </row>
    <row r="3440" spans="1:59" ht="57" x14ac:dyDescent="0.45">
      <c r="A3440" s="2" t="s">
        <v>59</v>
      </c>
      <c r="B3440" s="2" t="s">
        <v>412</v>
      </c>
      <c r="C3440" s="2" t="s">
        <v>33212</v>
      </c>
      <c r="D3440" s="2" t="s">
        <v>33213</v>
      </c>
      <c r="E3440" s="2" t="s">
        <v>33214</v>
      </c>
      <c r="G3440" s="3" t="s">
        <v>62</v>
      </c>
      <c r="I3440" s="3" t="s">
        <v>61</v>
      </c>
      <c r="J3440" s="3" t="s">
        <v>61</v>
      </c>
      <c r="K3440" s="3" t="s">
        <v>63</v>
      </c>
      <c r="M3440" s="2" t="s">
        <v>11718</v>
      </c>
      <c r="N3440" s="3" t="s">
        <v>1212</v>
      </c>
      <c r="P3440" s="3" t="s">
        <v>65</v>
      </c>
      <c r="R3440" s="3" t="s">
        <v>66</v>
      </c>
      <c r="S3440" s="4">
        <v>11</v>
      </c>
      <c r="T3440" s="4">
        <v>68</v>
      </c>
      <c r="U3440" s="5" t="s">
        <v>33215</v>
      </c>
      <c r="V3440" s="5" t="s">
        <v>16620</v>
      </c>
      <c r="W3440" s="5" t="s">
        <v>67</v>
      </c>
      <c r="X3440" s="5" t="s">
        <v>67</v>
      </c>
      <c r="Y3440" s="4">
        <v>315</v>
      </c>
      <c r="Z3440" s="4">
        <v>17</v>
      </c>
      <c r="AA3440" s="4">
        <v>62</v>
      </c>
      <c r="AB3440" s="4">
        <v>2</v>
      </c>
      <c r="AC3440" s="4">
        <v>17</v>
      </c>
      <c r="AD3440" s="4">
        <v>67</v>
      </c>
      <c r="AE3440" s="4">
        <v>113</v>
      </c>
      <c r="AF3440" s="4">
        <v>1</v>
      </c>
      <c r="AG3440" s="4">
        <v>8</v>
      </c>
      <c r="AH3440" s="4">
        <v>60</v>
      </c>
      <c r="AI3440" s="4">
        <v>74</v>
      </c>
      <c r="AJ3440" s="4">
        <v>10</v>
      </c>
      <c r="AK3440" s="4">
        <v>22</v>
      </c>
      <c r="AL3440" s="4">
        <v>36</v>
      </c>
      <c r="AM3440" s="4">
        <v>42</v>
      </c>
      <c r="AN3440" s="4">
        <v>0</v>
      </c>
      <c r="AO3440" s="4">
        <v>0</v>
      </c>
      <c r="AP3440" s="4">
        <v>12</v>
      </c>
      <c r="AQ3440" s="4">
        <v>45</v>
      </c>
      <c r="AR3440" s="3" t="s">
        <v>62</v>
      </c>
      <c r="AS3440" s="3" t="s">
        <v>62</v>
      </c>
      <c r="AT3440" s="3" t="s">
        <v>61</v>
      </c>
      <c r="AU3440" s="6" t="str">
        <f>HYPERLINK("http://catalog.hathitrust.org/Record/004101101","HathiTrust Record")</f>
        <v>HathiTrust Record</v>
      </c>
      <c r="AV3440" s="6" t="str">
        <f>HYPERLINK("http://mcgill.on.worldcat.org/oclc/42733607","Catalog Record")</f>
        <v>Catalog Record</v>
      </c>
      <c r="AW3440" s="6" t="str">
        <f>HYPERLINK("http://www.worldcat.org/oclc/42733607","WorldCat Record")</f>
        <v>WorldCat Record</v>
      </c>
      <c r="AX3440" s="3" t="s">
        <v>33216</v>
      </c>
      <c r="AY3440" s="3" t="s">
        <v>33217</v>
      </c>
      <c r="AZ3440" s="3" t="s">
        <v>33218</v>
      </c>
      <c r="BA3440" s="3" t="s">
        <v>33218</v>
      </c>
      <c r="BB3440" s="3" t="s">
        <v>33219</v>
      </c>
      <c r="BC3440" s="3" t="s">
        <v>142</v>
      </c>
      <c r="BD3440" s="3" t="s">
        <v>68</v>
      </c>
      <c r="BE3440" s="3" t="s">
        <v>33220</v>
      </c>
      <c r="BF3440" s="3" t="s">
        <v>33219</v>
      </c>
      <c r="BG3440" s="3" t="s">
        <v>33221</v>
      </c>
    </row>
    <row r="3441" spans="1:59" ht="57" x14ac:dyDescent="0.45">
      <c r="A3441" s="2" t="s">
        <v>59</v>
      </c>
      <c r="B3441" s="2" t="s">
        <v>60</v>
      </c>
      <c r="C3441" s="2" t="s">
        <v>33212</v>
      </c>
      <c r="D3441" s="2" t="s">
        <v>33213</v>
      </c>
      <c r="E3441" s="2" t="s">
        <v>33214</v>
      </c>
      <c r="G3441" s="3" t="s">
        <v>62</v>
      </c>
      <c r="I3441" s="3" t="s">
        <v>61</v>
      </c>
      <c r="J3441" s="3" t="s">
        <v>61</v>
      </c>
      <c r="K3441" s="3" t="s">
        <v>63</v>
      </c>
      <c r="M3441" s="2" t="s">
        <v>11718</v>
      </c>
      <c r="N3441" s="3" t="s">
        <v>1212</v>
      </c>
      <c r="P3441" s="3" t="s">
        <v>65</v>
      </c>
      <c r="R3441" s="3" t="s">
        <v>66</v>
      </c>
      <c r="S3441" s="4">
        <v>57</v>
      </c>
      <c r="T3441" s="4">
        <v>68</v>
      </c>
      <c r="U3441" s="5" t="s">
        <v>16620</v>
      </c>
      <c r="V3441" s="5" t="s">
        <v>16620</v>
      </c>
      <c r="W3441" s="5" t="s">
        <v>67</v>
      </c>
      <c r="X3441" s="5" t="s">
        <v>67</v>
      </c>
      <c r="Y3441" s="4">
        <v>315</v>
      </c>
      <c r="Z3441" s="4">
        <v>17</v>
      </c>
      <c r="AA3441" s="4">
        <v>62</v>
      </c>
      <c r="AB3441" s="4">
        <v>2</v>
      </c>
      <c r="AC3441" s="4">
        <v>17</v>
      </c>
      <c r="AD3441" s="4">
        <v>67</v>
      </c>
      <c r="AE3441" s="4">
        <v>113</v>
      </c>
      <c r="AF3441" s="4">
        <v>1</v>
      </c>
      <c r="AG3441" s="4">
        <v>8</v>
      </c>
      <c r="AH3441" s="4">
        <v>60</v>
      </c>
      <c r="AI3441" s="4">
        <v>74</v>
      </c>
      <c r="AJ3441" s="4">
        <v>10</v>
      </c>
      <c r="AK3441" s="4">
        <v>22</v>
      </c>
      <c r="AL3441" s="4">
        <v>36</v>
      </c>
      <c r="AM3441" s="4">
        <v>42</v>
      </c>
      <c r="AN3441" s="4">
        <v>0</v>
      </c>
      <c r="AO3441" s="4">
        <v>0</v>
      </c>
      <c r="AP3441" s="4">
        <v>12</v>
      </c>
      <c r="AQ3441" s="4">
        <v>45</v>
      </c>
      <c r="AR3441" s="3" t="s">
        <v>62</v>
      </c>
      <c r="AS3441" s="3" t="s">
        <v>62</v>
      </c>
      <c r="AT3441" s="3" t="s">
        <v>61</v>
      </c>
      <c r="AU3441" s="6" t="str">
        <f>HYPERLINK("http://catalog.hathitrust.org/Record/004101101","HathiTrust Record")</f>
        <v>HathiTrust Record</v>
      </c>
      <c r="AV3441" s="6" t="str">
        <f>HYPERLINK("http://mcgill.on.worldcat.org/oclc/42733607","Catalog Record")</f>
        <v>Catalog Record</v>
      </c>
      <c r="AW3441" s="6" t="str">
        <f>HYPERLINK("http://www.worldcat.org/oclc/42733607","WorldCat Record")</f>
        <v>WorldCat Record</v>
      </c>
      <c r="AX3441" s="3" t="s">
        <v>33216</v>
      </c>
      <c r="AY3441" s="3" t="s">
        <v>33217</v>
      </c>
      <c r="AZ3441" s="3" t="s">
        <v>33218</v>
      </c>
      <c r="BA3441" s="3" t="s">
        <v>33218</v>
      </c>
      <c r="BB3441" s="3" t="s">
        <v>33222</v>
      </c>
      <c r="BC3441" s="3" t="s">
        <v>142</v>
      </c>
      <c r="BD3441" s="3" t="s">
        <v>68</v>
      </c>
      <c r="BE3441" s="3" t="s">
        <v>33220</v>
      </c>
      <c r="BF3441" s="3" t="s">
        <v>33222</v>
      </c>
      <c r="BG3441" s="3" t="s">
        <v>33223</v>
      </c>
    </row>
    <row r="3442" spans="1:59" ht="57" x14ac:dyDescent="0.45">
      <c r="A3442" s="2" t="s">
        <v>59</v>
      </c>
      <c r="B3442" s="2" t="s">
        <v>60</v>
      </c>
      <c r="C3442" s="2" t="s">
        <v>33224</v>
      </c>
      <c r="D3442" s="2" t="s">
        <v>33225</v>
      </c>
      <c r="E3442" s="2" t="s">
        <v>33214</v>
      </c>
      <c r="G3442" s="3" t="s">
        <v>62</v>
      </c>
      <c r="I3442" s="3" t="s">
        <v>62</v>
      </c>
      <c r="J3442" s="3" t="s">
        <v>61</v>
      </c>
      <c r="K3442" s="3" t="s">
        <v>63</v>
      </c>
      <c r="M3442" s="2" t="s">
        <v>33226</v>
      </c>
      <c r="N3442" s="3" t="s">
        <v>945</v>
      </c>
      <c r="O3442" s="2" t="s">
        <v>3280</v>
      </c>
      <c r="P3442" s="3" t="s">
        <v>65</v>
      </c>
      <c r="R3442" s="3" t="s">
        <v>66</v>
      </c>
      <c r="S3442" s="4">
        <v>13</v>
      </c>
      <c r="T3442" s="4">
        <v>13</v>
      </c>
      <c r="U3442" s="5" t="s">
        <v>33227</v>
      </c>
      <c r="V3442" s="5" t="s">
        <v>33227</v>
      </c>
      <c r="W3442" s="5" t="s">
        <v>67</v>
      </c>
      <c r="X3442" s="5" t="s">
        <v>67</v>
      </c>
      <c r="Y3442" s="4">
        <v>206</v>
      </c>
      <c r="Z3442" s="4">
        <v>17</v>
      </c>
      <c r="AA3442" s="4">
        <v>62</v>
      </c>
      <c r="AB3442" s="4">
        <v>2</v>
      </c>
      <c r="AC3442" s="4">
        <v>17</v>
      </c>
      <c r="AD3442" s="4">
        <v>37</v>
      </c>
      <c r="AE3442" s="4">
        <v>113</v>
      </c>
      <c r="AF3442" s="4">
        <v>1</v>
      </c>
      <c r="AG3442" s="4">
        <v>8</v>
      </c>
      <c r="AH3442" s="4">
        <v>30</v>
      </c>
      <c r="AI3442" s="4">
        <v>74</v>
      </c>
      <c r="AJ3442" s="4">
        <v>11</v>
      </c>
      <c r="AK3442" s="4">
        <v>22</v>
      </c>
      <c r="AL3442" s="4">
        <v>14</v>
      </c>
      <c r="AM3442" s="4">
        <v>42</v>
      </c>
      <c r="AN3442" s="4">
        <v>0</v>
      </c>
      <c r="AO3442" s="4">
        <v>0</v>
      </c>
      <c r="AP3442" s="4">
        <v>14</v>
      </c>
      <c r="AQ3442" s="4">
        <v>45</v>
      </c>
      <c r="AR3442" s="3" t="s">
        <v>62</v>
      </c>
      <c r="AS3442" s="3" t="s">
        <v>62</v>
      </c>
      <c r="AT3442" s="3" t="s">
        <v>62</v>
      </c>
      <c r="AV3442" s="6" t="str">
        <f>HYPERLINK("http://mcgill.on.worldcat.org/oclc/243560152","Catalog Record")</f>
        <v>Catalog Record</v>
      </c>
      <c r="AW3442" s="6" t="str">
        <f>HYPERLINK("http://www.worldcat.org/oclc/243560152","WorldCat Record")</f>
        <v>WorldCat Record</v>
      </c>
      <c r="AX3442" s="3" t="s">
        <v>33216</v>
      </c>
      <c r="AY3442" s="3" t="s">
        <v>33228</v>
      </c>
      <c r="AZ3442" s="3" t="s">
        <v>33229</v>
      </c>
      <c r="BA3442" s="3" t="s">
        <v>33229</v>
      </c>
      <c r="BB3442" s="3" t="s">
        <v>33230</v>
      </c>
      <c r="BC3442" s="3" t="s">
        <v>142</v>
      </c>
      <c r="BD3442" s="3" t="s">
        <v>68</v>
      </c>
      <c r="BE3442" s="3" t="s">
        <v>33231</v>
      </c>
      <c r="BF3442" s="3" t="s">
        <v>33230</v>
      </c>
      <c r="BG3442" s="3" t="s">
        <v>33232</v>
      </c>
    </row>
    <row r="3443" spans="1:59" ht="57" x14ac:dyDescent="0.45">
      <c r="A3443" s="2" t="s">
        <v>59</v>
      </c>
      <c r="B3443" s="2" t="s">
        <v>60</v>
      </c>
      <c r="C3443" s="2" t="s">
        <v>33233</v>
      </c>
      <c r="D3443" s="2" t="s">
        <v>33234</v>
      </c>
      <c r="E3443" s="2" t="s">
        <v>33235</v>
      </c>
      <c r="G3443" s="3" t="s">
        <v>62</v>
      </c>
      <c r="I3443" s="3" t="s">
        <v>62</v>
      </c>
      <c r="J3443" s="3" t="s">
        <v>62</v>
      </c>
      <c r="K3443" s="3" t="s">
        <v>63</v>
      </c>
      <c r="M3443" s="2" t="s">
        <v>33236</v>
      </c>
      <c r="N3443" s="3" t="s">
        <v>149</v>
      </c>
      <c r="P3443" s="3" t="s">
        <v>65</v>
      </c>
      <c r="Q3443" s="2" t="s">
        <v>33237</v>
      </c>
      <c r="R3443" s="3" t="s">
        <v>66</v>
      </c>
      <c r="S3443" s="4">
        <v>2</v>
      </c>
      <c r="T3443" s="4">
        <v>2</v>
      </c>
      <c r="U3443" s="5" t="s">
        <v>120</v>
      </c>
      <c r="V3443" s="5" t="s">
        <v>120</v>
      </c>
      <c r="W3443" s="5" t="s">
        <v>67</v>
      </c>
      <c r="X3443" s="5" t="s">
        <v>67</v>
      </c>
      <c r="Y3443" s="4">
        <v>74</v>
      </c>
      <c r="Z3443" s="4">
        <v>7</v>
      </c>
      <c r="AA3443" s="4">
        <v>77</v>
      </c>
      <c r="AB3443" s="4">
        <v>2</v>
      </c>
      <c r="AC3443" s="4">
        <v>14</v>
      </c>
      <c r="AD3443" s="4">
        <v>30</v>
      </c>
      <c r="AE3443" s="4">
        <v>104</v>
      </c>
      <c r="AF3443" s="4">
        <v>1</v>
      </c>
      <c r="AG3443" s="4">
        <v>8</v>
      </c>
      <c r="AH3443" s="4">
        <v>28</v>
      </c>
      <c r="AI3443" s="4">
        <v>71</v>
      </c>
      <c r="AJ3443" s="4">
        <v>6</v>
      </c>
      <c r="AK3443" s="4">
        <v>21</v>
      </c>
      <c r="AL3443" s="4">
        <v>17</v>
      </c>
      <c r="AM3443" s="4">
        <v>35</v>
      </c>
      <c r="AN3443" s="4">
        <v>0</v>
      </c>
      <c r="AO3443" s="4">
        <v>0</v>
      </c>
      <c r="AP3443" s="4">
        <v>6</v>
      </c>
      <c r="AQ3443" s="4">
        <v>41</v>
      </c>
      <c r="AR3443" s="3" t="s">
        <v>62</v>
      </c>
      <c r="AS3443" s="3" t="s">
        <v>62</v>
      </c>
      <c r="AT3443" s="3" t="s">
        <v>62</v>
      </c>
      <c r="AV3443" s="6" t="str">
        <f>HYPERLINK("http://mcgill.on.worldcat.org/oclc/368044916","Catalog Record")</f>
        <v>Catalog Record</v>
      </c>
      <c r="AW3443" s="6" t="str">
        <f>HYPERLINK("http://www.worldcat.org/oclc/368044916","WorldCat Record")</f>
        <v>WorldCat Record</v>
      </c>
      <c r="AX3443" s="3" t="s">
        <v>33238</v>
      </c>
      <c r="AY3443" s="3" t="s">
        <v>33239</v>
      </c>
      <c r="AZ3443" s="3" t="s">
        <v>33240</v>
      </c>
      <c r="BA3443" s="3" t="s">
        <v>33240</v>
      </c>
      <c r="BB3443" s="3" t="s">
        <v>33241</v>
      </c>
      <c r="BC3443" s="3" t="s">
        <v>142</v>
      </c>
      <c r="BD3443" s="3" t="s">
        <v>68</v>
      </c>
      <c r="BE3443" s="3" t="s">
        <v>33242</v>
      </c>
      <c r="BF3443" s="3" t="s">
        <v>33241</v>
      </c>
      <c r="BG3443" s="3" t="s">
        <v>33243</v>
      </c>
    </row>
    <row r="3444" spans="1:59" ht="57" x14ac:dyDescent="0.45">
      <c r="A3444" s="2" t="s">
        <v>59</v>
      </c>
      <c r="B3444" s="2" t="s">
        <v>60</v>
      </c>
      <c r="C3444" s="2" t="s">
        <v>33244</v>
      </c>
      <c r="D3444" s="2" t="s">
        <v>33245</v>
      </c>
      <c r="E3444" s="2" t="s">
        <v>33246</v>
      </c>
      <c r="G3444" s="3" t="s">
        <v>62</v>
      </c>
      <c r="I3444" s="3" t="s">
        <v>61</v>
      </c>
      <c r="J3444" s="3" t="s">
        <v>62</v>
      </c>
      <c r="K3444" s="3" t="s">
        <v>63</v>
      </c>
      <c r="M3444" s="2" t="s">
        <v>6163</v>
      </c>
      <c r="N3444" s="3" t="s">
        <v>820</v>
      </c>
      <c r="P3444" s="3" t="s">
        <v>65</v>
      </c>
      <c r="R3444" s="3" t="s">
        <v>66</v>
      </c>
      <c r="S3444" s="4">
        <v>7</v>
      </c>
      <c r="T3444" s="4">
        <v>14</v>
      </c>
      <c r="U3444" s="5" t="s">
        <v>33198</v>
      </c>
      <c r="V3444" s="5" t="s">
        <v>23589</v>
      </c>
      <c r="W3444" s="5" t="s">
        <v>67</v>
      </c>
      <c r="X3444" s="5" t="s">
        <v>67</v>
      </c>
      <c r="Y3444" s="4">
        <v>293</v>
      </c>
      <c r="Z3444" s="4">
        <v>22</v>
      </c>
      <c r="AA3444" s="4">
        <v>31</v>
      </c>
      <c r="AB3444" s="4">
        <v>2</v>
      </c>
      <c r="AC3444" s="4">
        <v>10</v>
      </c>
      <c r="AD3444" s="4">
        <v>86</v>
      </c>
      <c r="AE3444" s="4">
        <v>97</v>
      </c>
      <c r="AF3444" s="4">
        <v>1</v>
      </c>
      <c r="AG3444" s="4">
        <v>5</v>
      </c>
      <c r="AH3444" s="4">
        <v>77</v>
      </c>
      <c r="AI3444" s="4">
        <v>84</v>
      </c>
      <c r="AJ3444" s="4">
        <v>17</v>
      </c>
      <c r="AK3444" s="4">
        <v>20</v>
      </c>
      <c r="AL3444" s="4">
        <v>43</v>
      </c>
      <c r="AM3444" s="4">
        <v>47</v>
      </c>
      <c r="AN3444" s="4">
        <v>0</v>
      </c>
      <c r="AO3444" s="4">
        <v>0</v>
      </c>
      <c r="AP3444" s="4">
        <v>18</v>
      </c>
      <c r="AQ3444" s="4">
        <v>22</v>
      </c>
      <c r="AR3444" s="3" t="s">
        <v>62</v>
      </c>
      <c r="AS3444" s="3" t="s">
        <v>62</v>
      </c>
      <c r="AT3444" s="3" t="s">
        <v>61</v>
      </c>
      <c r="AU3444" s="6" t="str">
        <f>HYPERLINK("http://catalog.hathitrust.org/Record/005631166","HathiTrust Record")</f>
        <v>HathiTrust Record</v>
      </c>
      <c r="AV3444" s="6" t="str">
        <f>HYPERLINK("http://mcgill.on.worldcat.org/oclc/173299087","Catalog Record")</f>
        <v>Catalog Record</v>
      </c>
      <c r="AW3444" s="6" t="str">
        <f>HYPERLINK("http://www.worldcat.org/oclc/173299087","WorldCat Record")</f>
        <v>WorldCat Record</v>
      </c>
      <c r="AX3444" s="3" t="s">
        <v>33247</v>
      </c>
      <c r="AY3444" s="3" t="s">
        <v>33248</v>
      </c>
      <c r="AZ3444" s="3" t="s">
        <v>33249</v>
      </c>
      <c r="BA3444" s="3" t="s">
        <v>33249</v>
      </c>
      <c r="BB3444" s="3" t="s">
        <v>33250</v>
      </c>
      <c r="BC3444" s="3" t="s">
        <v>142</v>
      </c>
      <c r="BD3444" s="3" t="s">
        <v>308</v>
      </c>
      <c r="BE3444" s="3" t="s">
        <v>33251</v>
      </c>
      <c r="BF3444" s="3" t="s">
        <v>33250</v>
      </c>
      <c r="BG3444" s="3" t="s">
        <v>33252</v>
      </c>
    </row>
    <row r="3445" spans="1:59" ht="57" x14ac:dyDescent="0.45">
      <c r="A3445" s="2" t="s">
        <v>59</v>
      </c>
      <c r="B3445" s="2" t="s">
        <v>412</v>
      </c>
      <c r="C3445" s="2" t="s">
        <v>33244</v>
      </c>
      <c r="D3445" s="2" t="s">
        <v>33245</v>
      </c>
      <c r="E3445" s="2" t="s">
        <v>33246</v>
      </c>
      <c r="G3445" s="3" t="s">
        <v>62</v>
      </c>
      <c r="I3445" s="3" t="s">
        <v>61</v>
      </c>
      <c r="J3445" s="3" t="s">
        <v>62</v>
      </c>
      <c r="K3445" s="3" t="s">
        <v>63</v>
      </c>
      <c r="M3445" s="2" t="s">
        <v>6163</v>
      </c>
      <c r="N3445" s="3" t="s">
        <v>820</v>
      </c>
      <c r="P3445" s="3" t="s">
        <v>65</v>
      </c>
      <c r="R3445" s="3" t="s">
        <v>66</v>
      </c>
      <c r="S3445" s="4">
        <v>7</v>
      </c>
      <c r="T3445" s="4">
        <v>14</v>
      </c>
      <c r="U3445" s="5" t="s">
        <v>23589</v>
      </c>
      <c r="V3445" s="5" t="s">
        <v>23589</v>
      </c>
      <c r="W3445" s="5" t="s">
        <v>67</v>
      </c>
      <c r="X3445" s="5" t="s">
        <v>67</v>
      </c>
      <c r="Y3445" s="4">
        <v>293</v>
      </c>
      <c r="Z3445" s="4">
        <v>22</v>
      </c>
      <c r="AA3445" s="4">
        <v>31</v>
      </c>
      <c r="AB3445" s="4">
        <v>2</v>
      </c>
      <c r="AC3445" s="4">
        <v>10</v>
      </c>
      <c r="AD3445" s="4">
        <v>86</v>
      </c>
      <c r="AE3445" s="4">
        <v>97</v>
      </c>
      <c r="AF3445" s="4">
        <v>1</v>
      </c>
      <c r="AG3445" s="4">
        <v>5</v>
      </c>
      <c r="AH3445" s="4">
        <v>77</v>
      </c>
      <c r="AI3445" s="4">
        <v>84</v>
      </c>
      <c r="AJ3445" s="4">
        <v>17</v>
      </c>
      <c r="AK3445" s="4">
        <v>20</v>
      </c>
      <c r="AL3445" s="4">
        <v>43</v>
      </c>
      <c r="AM3445" s="4">
        <v>47</v>
      </c>
      <c r="AN3445" s="4">
        <v>0</v>
      </c>
      <c r="AO3445" s="4">
        <v>0</v>
      </c>
      <c r="AP3445" s="4">
        <v>18</v>
      </c>
      <c r="AQ3445" s="4">
        <v>22</v>
      </c>
      <c r="AR3445" s="3" t="s">
        <v>62</v>
      </c>
      <c r="AS3445" s="3" t="s">
        <v>62</v>
      </c>
      <c r="AT3445" s="3" t="s">
        <v>61</v>
      </c>
      <c r="AU3445" s="6" t="str">
        <f>HYPERLINK("http://catalog.hathitrust.org/Record/005631166","HathiTrust Record")</f>
        <v>HathiTrust Record</v>
      </c>
      <c r="AV3445" s="6" t="str">
        <f>HYPERLINK("http://mcgill.on.worldcat.org/oclc/173299087","Catalog Record")</f>
        <v>Catalog Record</v>
      </c>
      <c r="AW3445" s="6" t="str">
        <f>HYPERLINK("http://www.worldcat.org/oclc/173299087","WorldCat Record")</f>
        <v>WorldCat Record</v>
      </c>
      <c r="AX3445" s="3" t="s">
        <v>33247</v>
      </c>
      <c r="AY3445" s="3" t="s">
        <v>33248</v>
      </c>
      <c r="AZ3445" s="3" t="s">
        <v>33249</v>
      </c>
      <c r="BA3445" s="3" t="s">
        <v>33249</v>
      </c>
      <c r="BB3445" s="3" t="s">
        <v>33253</v>
      </c>
      <c r="BC3445" s="3" t="s">
        <v>142</v>
      </c>
      <c r="BD3445" s="3" t="s">
        <v>68</v>
      </c>
      <c r="BE3445" s="3" t="s">
        <v>33251</v>
      </c>
      <c r="BF3445" s="3" t="s">
        <v>33253</v>
      </c>
      <c r="BG3445" s="3" t="s">
        <v>33254</v>
      </c>
    </row>
    <row r="3446" spans="1:59" ht="57" x14ac:dyDescent="0.45">
      <c r="A3446" s="2" t="s">
        <v>59</v>
      </c>
      <c r="B3446" s="2" t="s">
        <v>60</v>
      </c>
      <c r="C3446" s="2" t="s">
        <v>33255</v>
      </c>
      <c r="D3446" s="2" t="s">
        <v>33256</v>
      </c>
      <c r="E3446" s="2" t="s">
        <v>33257</v>
      </c>
      <c r="G3446" s="3" t="s">
        <v>62</v>
      </c>
      <c r="I3446" s="3" t="s">
        <v>62</v>
      </c>
      <c r="J3446" s="3" t="s">
        <v>62</v>
      </c>
      <c r="K3446" s="3" t="s">
        <v>63</v>
      </c>
      <c r="L3446" s="2" t="s">
        <v>33258</v>
      </c>
      <c r="M3446" s="2" t="s">
        <v>33259</v>
      </c>
      <c r="N3446" s="3" t="s">
        <v>1465</v>
      </c>
      <c r="P3446" s="3" t="s">
        <v>65</v>
      </c>
      <c r="R3446" s="3" t="s">
        <v>66</v>
      </c>
      <c r="S3446" s="4">
        <v>13</v>
      </c>
      <c r="T3446" s="4">
        <v>13</v>
      </c>
      <c r="U3446" s="5" t="s">
        <v>7379</v>
      </c>
      <c r="V3446" s="5" t="s">
        <v>7379</v>
      </c>
      <c r="W3446" s="5" t="s">
        <v>67</v>
      </c>
      <c r="X3446" s="5" t="s">
        <v>67</v>
      </c>
      <c r="Y3446" s="4">
        <v>80</v>
      </c>
      <c r="Z3446" s="4">
        <v>9</v>
      </c>
      <c r="AA3446" s="4">
        <v>9</v>
      </c>
      <c r="AB3446" s="4">
        <v>2</v>
      </c>
      <c r="AC3446" s="4">
        <v>2</v>
      </c>
      <c r="AD3446" s="4">
        <v>19</v>
      </c>
      <c r="AE3446" s="4">
        <v>19</v>
      </c>
      <c r="AF3446" s="4">
        <v>1</v>
      </c>
      <c r="AG3446" s="4">
        <v>1</v>
      </c>
      <c r="AH3446" s="4">
        <v>16</v>
      </c>
      <c r="AI3446" s="4">
        <v>16</v>
      </c>
      <c r="AJ3446" s="4">
        <v>7</v>
      </c>
      <c r="AK3446" s="4">
        <v>7</v>
      </c>
      <c r="AL3446" s="4">
        <v>9</v>
      </c>
      <c r="AM3446" s="4">
        <v>9</v>
      </c>
      <c r="AN3446" s="4">
        <v>0</v>
      </c>
      <c r="AO3446" s="4">
        <v>0</v>
      </c>
      <c r="AP3446" s="4">
        <v>7</v>
      </c>
      <c r="AQ3446" s="4">
        <v>7</v>
      </c>
      <c r="AR3446" s="3" t="s">
        <v>62</v>
      </c>
      <c r="AS3446" s="3" t="s">
        <v>62</v>
      </c>
      <c r="AT3446" s="3" t="s">
        <v>62</v>
      </c>
      <c r="AV3446" s="6" t="str">
        <f>HYPERLINK("http://mcgill.on.worldcat.org/oclc/199452739","Catalog Record")</f>
        <v>Catalog Record</v>
      </c>
      <c r="AW3446" s="6" t="str">
        <f>HYPERLINK("http://www.worldcat.org/oclc/199452739","WorldCat Record")</f>
        <v>WorldCat Record</v>
      </c>
      <c r="AX3446" s="3" t="s">
        <v>33260</v>
      </c>
      <c r="AY3446" s="3" t="s">
        <v>33261</v>
      </c>
      <c r="AZ3446" s="3" t="s">
        <v>33262</v>
      </c>
      <c r="BA3446" s="3" t="s">
        <v>33262</v>
      </c>
      <c r="BB3446" s="3" t="s">
        <v>33263</v>
      </c>
      <c r="BC3446" s="3" t="s">
        <v>142</v>
      </c>
      <c r="BD3446" s="3" t="s">
        <v>68</v>
      </c>
      <c r="BE3446" s="3" t="s">
        <v>33264</v>
      </c>
      <c r="BF3446" s="3" t="s">
        <v>33263</v>
      </c>
      <c r="BG3446" s="3" t="s">
        <v>33265</v>
      </c>
    </row>
    <row r="3447" spans="1:59" ht="57" x14ac:dyDescent="0.45">
      <c r="A3447" s="2" t="s">
        <v>59</v>
      </c>
      <c r="B3447" s="2" t="s">
        <v>60</v>
      </c>
      <c r="C3447" s="2" t="s">
        <v>33266</v>
      </c>
      <c r="D3447" s="2" t="s">
        <v>33267</v>
      </c>
      <c r="E3447" s="2" t="s">
        <v>33268</v>
      </c>
      <c r="G3447" s="3" t="s">
        <v>62</v>
      </c>
      <c r="I3447" s="3" t="s">
        <v>62</v>
      </c>
      <c r="J3447" s="3" t="s">
        <v>62</v>
      </c>
      <c r="K3447" s="3" t="s">
        <v>63</v>
      </c>
      <c r="L3447" s="2" t="s">
        <v>33269</v>
      </c>
      <c r="M3447" s="2" t="s">
        <v>33270</v>
      </c>
      <c r="N3447" s="3" t="s">
        <v>149</v>
      </c>
      <c r="P3447" s="3" t="s">
        <v>65</v>
      </c>
      <c r="R3447" s="3" t="s">
        <v>66</v>
      </c>
      <c r="S3447" s="4">
        <v>2</v>
      </c>
      <c r="T3447" s="4">
        <v>2</v>
      </c>
      <c r="U3447" s="5" t="s">
        <v>33271</v>
      </c>
      <c r="V3447" s="5" t="s">
        <v>33271</v>
      </c>
      <c r="W3447" s="5" t="s">
        <v>67</v>
      </c>
      <c r="X3447" s="5" t="s">
        <v>67</v>
      </c>
      <c r="Y3447" s="4">
        <v>23</v>
      </c>
      <c r="Z3447" s="4">
        <v>2</v>
      </c>
      <c r="AA3447" s="4">
        <v>2</v>
      </c>
      <c r="AB3447" s="4">
        <v>1</v>
      </c>
      <c r="AC3447" s="4">
        <v>1</v>
      </c>
      <c r="AD3447" s="4">
        <v>3</v>
      </c>
      <c r="AE3447" s="4">
        <v>3</v>
      </c>
      <c r="AF3447" s="4">
        <v>0</v>
      </c>
      <c r="AG3447" s="4">
        <v>0</v>
      </c>
      <c r="AH3447" s="4">
        <v>2</v>
      </c>
      <c r="AI3447" s="4">
        <v>2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1</v>
      </c>
      <c r="AQ3447" s="4">
        <v>1</v>
      </c>
      <c r="AR3447" s="3" t="s">
        <v>62</v>
      </c>
      <c r="AS3447" s="3" t="s">
        <v>62</v>
      </c>
      <c r="AT3447" s="3" t="s">
        <v>62</v>
      </c>
      <c r="AV3447" s="6" t="str">
        <f>HYPERLINK("http://mcgill.on.worldcat.org/oclc/555342993","Catalog Record")</f>
        <v>Catalog Record</v>
      </c>
      <c r="AW3447" s="6" t="str">
        <f>HYPERLINK("http://www.worldcat.org/oclc/555342993","WorldCat Record")</f>
        <v>WorldCat Record</v>
      </c>
      <c r="AX3447" s="3" t="s">
        <v>33272</v>
      </c>
      <c r="AY3447" s="3" t="s">
        <v>33273</v>
      </c>
      <c r="AZ3447" s="3" t="s">
        <v>33274</v>
      </c>
      <c r="BA3447" s="3" t="s">
        <v>33274</v>
      </c>
      <c r="BB3447" s="3" t="s">
        <v>33275</v>
      </c>
      <c r="BC3447" s="3" t="s">
        <v>142</v>
      </c>
      <c r="BD3447" s="3" t="s">
        <v>68</v>
      </c>
      <c r="BE3447" s="3" t="s">
        <v>33276</v>
      </c>
      <c r="BF3447" s="3" t="s">
        <v>33275</v>
      </c>
      <c r="BG3447" s="3" t="s">
        <v>33277</v>
      </c>
    </row>
    <row r="3448" spans="1:59" ht="57" x14ac:dyDescent="0.45">
      <c r="A3448" s="2" t="s">
        <v>59</v>
      </c>
      <c r="B3448" s="2" t="s">
        <v>60</v>
      </c>
      <c r="C3448" s="2" t="s">
        <v>33278</v>
      </c>
      <c r="D3448" s="2" t="s">
        <v>33279</v>
      </c>
      <c r="E3448" s="2" t="s">
        <v>33280</v>
      </c>
      <c r="G3448" s="3" t="s">
        <v>62</v>
      </c>
      <c r="I3448" s="3" t="s">
        <v>62</v>
      </c>
      <c r="J3448" s="3" t="s">
        <v>61</v>
      </c>
      <c r="K3448" s="3" t="s">
        <v>63</v>
      </c>
      <c r="L3448" s="2" t="s">
        <v>3374</v>
      </c>
      <c r="M3448" s="2" t="s">
        <v>33080</v>
      </c>
      <c r="N3448" s="3" t="s">
        <v>1155</v>
      </c>
      <c r="P3448" s="3" t="s">
        <v>65</v>
      </c>
      <c r="R3448" s="3" t="s">
        <v>66</v>
      </c>
      <c r="S3448" s="4">
        <v>2</v>
      </c>
      <c r="T3448" s="4">
        <v>2</v>
      </c>
      <c r="U3448" s="5" t="s">
        <v>33271</v>
      </c>
      <c r="V3448" s="5" t="s">
        <v>33271</v>
      </c>
      <c r="W3448" s="5" t="s">
        <v>67</v>
      </c>
      <c r="X3448" s="5" t="s">
        <v>67</v>
      </c>
      <c r="Y3448" s="4">
        <v>252</v>
      </c>
      <c r="Z3448" s="4">
        <v>19</v>
      </c>
      <c r="AA3448" s="4">
        <v>115</v>
      </c>
      <c r="AB3448" s="4">
        <v>2</v>
      </c>
      <c r="AC3448" s="4">
        <v>19</v>
      </c>
      <c r="AD3448" s="4">
        <v>64</v>
      </c>
      <c r="AE3448" s="4">
        <v>162</v>
      </c>
      <c r="AF3448" s="4">
        <v>1</v>
      </c>
      <c r="AG3448" s="4">
        <v>9</v>
      </c>
      <c r="AH3448" s="4">
        <v>55</v>
      </c>
      <c r="AI3448" s="4">
        <v>109</v>
      </c>
      <c r="AJ3448" s="4">
        <v>13</v>
      </c>
      <c r="AK3448" s="4">
        <v>27</v>
      </c>
      <c r="AL3448" s="4">
        <v>30</v>
      </c>
      <c r="AM3448" s="4">
        <v>58</v>
      </c>
      <c r="AN3448" s="4">
        <v>0</v>
      </c>
      <c r="AO3448" s="4">
        <v>5</v>
      </c>
      <c r="AP3448" s="4">
        <v>16</v>
      </c>
      <c r="AQ3448" s="4">
        <v>59</v>
      </c>
      <c r="AR3448" s="3" t="s">
        <v>62</v>
      </c>
      <c r="AS3448" s="3" t="s">
        <v>62</v>
      </c>
      <c r="AT3448" s="3" t="s">
        <v>62</v>
      </c>
      <c r="AV3448" s="6" t="str">
        <f>HYPERLINK("http://mcgill.on.worldcat.org/oclc/757480875","Catalog Record")</f>
        <v>Catalog Record</v>
      </c>
      <c r="AW3448" s="6" t="str">
        <f>HYPERLINK("http://www.worldcat.org/oclc/757480875","WorldCat Record")</f>
        <v>WorldCat Record</v>
      </c>
      <c r="AX3448" s="3" t="s">
        <v>33281</v>
      </c>
      <c r="AY3448" s="3" t="s">
        <v>33282</v>
      </c>
      <c r="AZ3448" s="3" t="s">
        <v>33283</v>
      </c>
      <c r="BA3448" s="3" t="s">
        <v>33283</v>
      </c>
      <c r="BB3448" s="3" t="s">
        <v>33284</v>
      </c>
      <c r="BC3448" s="3" t="s">
        <v>142</v>
      </c>
      <c r="BD3448" s="3" t="s">
        <v>68</v>
      </c>
      <c r="BE3448" s="3" t="s">
        <v>33285</v>
      </c>
      <c r="BF3448" s="3" t="s">
        <v>33284</v>
      </c>
      <c r="BG3448" s="3" t="s">
        <v>33286</v>
      </c>
    </row>
    <row r="3449" spans="1:59" ht="57" x14ac:dyDescent="0.45">
      <c r="A3449" s="2" t="s">
        <v>59</v>
      </c>
      <c r="B3449" s="2" t="s">
        <v>60</v>
      </c>
      <c r="C3449" s="2" t="s">
        <v>33287</v>
      </c>
      <c r="D3449" s="2" t="s">
        <v>33288</v>
      </c>
      <c r="E3449" s="2" t="s">
        <v>33289</v>
      </c>
      <c r="G3449" s="3" t="s">
        <v>62</v>
      </c>
      <c r="I3449" s="3" t="s">
        <v>62</v>
      </c>
      <c r="J3449" s="3" t="s">
        <v>62</v>
      </c>
      <c r="K3449" s="3" t="s">
        <v>63</v>
      </c>
      <c r="M3449" s="2" t="s">
        <v>33290</v>
      </c>
      <c r="N3449" s="3" t="s">
        <v>3160</v>
      </c>
      <c r="P3449" s="3" t="s">
        <v>65</v>
      </c>
      <c r="Q3449" s="2" t="s">
        <v>33291</v>
      </c>
      <c r="R3449" s="3" t="s">
        <v>66</v>
      </c>
      <c r="S3449" s="4">
        <v>23</v>
      </c>
      <c r="T3449" s="4">
        <v>23</v>
      </c>
      <c r="U3449" s="5" t="s">
        <v>32939</v>
      </c>
      <c r="V3449" s="5" t="s">
        <v>32939</v>
      </c>
      <c r="W3449" s="5" t="s">
        <v>67</v>
      </c>
      <c r="X3449" s="5" t="s">
        <v>67</v>
      </c>
      <c r="Y3449" s="4">
        <v>23</v>
      </c>
      <c r="Z3449" s="4">
        <v>5</v>
      </c>
      <c r="AA3449" s="4">
        <v>6</v>
      </c>
      <c r="AB3449" s="4">
        <v>1</v>
      </c>
      <c r="AC3449" s="4">
        <v>2</v>
      </c>
      <c r="AD3449" s="4">
        <v>8</v>
      </c>
      <c r="AE3449" s="4">
        <v>9</v>
      </c>
      <c r="AF3449" s="4">
        <v>0</v>
      </c>
      <c r="AG3449" s="4">
        <v>1</v>
      </c>
      <c r="AH3449" s="4">
        <v>7</v>
      </c>
      <c r="AI3449" s="4">
        <v>8</v>
      </c>
      <c r="AJ3449" s="4">
        <v>2</v>
      </c>
      <c r="AK3449" s="4">
        <v>3</v>
      </c>
      <c r="AL3449" s="4">
        <v>5</v>
      </c>
      <c r="AM3449" s="4">
        <v>5</v>
      </c>
      <c r="AN3449" s="4">
        <v>0</v>
      </c>
      <c r="AO3449" s="4">
        <v>0</v>
      </c>
      <c r="AP3449" s="4">
        <v>3</v>
      </c>
      <c r="AQ3449" s="4">
        <v>4</v>
      </c>
      <c r="AR3449" s="3" t="s">
        <v>62</v>
      </c>
      <c r="AS3449" s="3" t="s">
        <v>62</v>
      </c>
      <c r="AT3449" s="3" t="s">
        <v>61</v>
      </c>
      <c r="AU3449" s="6" t="str">
        <f>HYPERLINK("http://catalog.hathitrust.org/Record/007103467","HathiTrust Record")</f>
        <v>HathiTrust Record</v>
      </c>
      <c r="AV3449" s="6" t="str">
        <f>HYPERLINK("http://mcgill.on.worldcat.org/oclc/12528767","Catalog Record")</f>
        <v>Catalog Record</v>
      </c>
      <c r="AW3449" s="6" t="str">
        <f>HYPERLINK("http://www.worldcat.org/oclc/12528767","WorldCat Record")</f>
        <v>WorldCat Record</v>
      </c>
      <c r="AX3449" s="3" t="s">
        <v>33292</v>
      </c>
      <c r="AY3449" s="3" t="s">
        <v>33293</v>
      </c>
      <c r="AZ3449" s="3" t="s">
        <v>33294</v>
      </c>
      <c r="BA3449" s="3" t="s">
        <v>33294</v>
      </c>
      <c r="BB3449" s="3" t="s">
        <v>33295</v>
      </c>
      <c r="BC3449" s="3" t="s">
        <v>142</v>
      </c>
      <c r="BD3449" s="3" t="s">
        <v>68</v>
      </c>
      <c r="BE3449" s="3" t="s">
        <v>33296</v>
      </c>
      <c r="BF3449" s="3" t="s">
        <v>33295</v>
      </c>
      <c r="BG3449" s="3" t="s">
        <v>33297</v>
      </c>
    </row>
    <row r="3450" spans="1:59" ht="57" x14ac:dyDescent="0.45">
      <c r="A3450" s="2" t="s">
        <v>59</v>
      </c>
      <c r="B3450" s="2" t="s">
        <v>60</v>
      </c>
      <c r="C3450" s="2" t="s">
        <v>33298</v>
      </c>
      <c r="D3450" s="2" t="s">
        <v>33299</v>
      </c>
      <c r="E3450" s="2" t="s">
        <v>33300</v>
      </c>
      <c r="G3450" s="3" t="s">
        <v>62</v>
      </c>
      <c r="I3450" s="3" t="s">
        <v>62</v>
      </c>
      <c r="J3450" s="3" t="s">
        <v>62</v>
      </c>
      <c r="K3450" s="3" t="s">
        <v>63</v>
      </c>
      <c r="L3450" s="2" t="s">
        <v>33301</v>
      </c>
      <c r="M3450" s="2" t="s">
        <v>3350</v>
      </c>
      <c r="N3450" s="3" t="s">
        <v>894</v>
      </c>
      <c r="P3450" s="3" t="s">
        <v>65</v>
      </c>
      <c r="Q3450" s="2" t="s">
        <v>33302</v>
      </c>
      <c r="R3450" s="3" t="s">
        <v>66</v>
      </c>
      <c r="S3450" s="4">
        <v>3</v>
      </c>
      <c r="T3450" s="4">
        <v>3</v>
      </c>
      <c r="U3450" s="5" t="s">
        <v>33303</v>
      </c>
      <c r="V3450" s="5" t="s">
        <v>33303</v>
      </c>
      <c r="W3450" s="5" t="s">
        <v>67</v>
      </c>
      <c r="X3450" s="5" t="s">
        <v>67</v>
      </c>
      <c r="Y3450" s="4">
        <v>135</v>
      </c>
      <c r="Z3450" s="4">
        <v>17</v>
      </c>
      <c r="AA3450" s="4">
        <v>21</v>
      </c>
      <c r="AB3450" s="4">
        <v>2</v>
      </c>
      <c r="AC3450" s="4">
        <v>6</v>
      </c>
      <c r="AD3450" s="4">
        <v>55</v>
      </c>
      <c r="AE3450" s="4">
        <v>59</v>
      </c>
      <c r="AF3450" s="4">
        <v>1</v>
      </c>
      <c r="AG3450" s="4">
        <v>3</v>
      </c>
      <c r="AH3450" s="4">
        <v>49</v>
      </c>
      <c r="AI3450" s="4">
        <v>52</v>
      </c>
      <c r="AJ3450" s="4">
        <v>13</v>
      </c>
      <c r="AK3450" s="4">
        <v>15</v>
      </c>
      <c r="AL3450" s="4">
        <v>26</v>
      </c>
      <c r="AM3450" s="4">
        <v>26</v>
      </c>
      <c r="AN3450" s="4">
        <v>0</v>
      </c>
      <c r="AO3450" s="4">
        <v>0</v>
      </c>
      <c r="AP3450" s="4">
        <v>14</v>
      </c>
      <c r="AQ3450" s="4">
        <v>16</v>
      </c>
      <c r="AR3450" s="3" t="s">
        <v>62</v>
      </c>
      <c r="AS3450" s="3" t="s">
        <v>62</v>
      </c>
      <c r="AT3450" s="3" t="s">
        <v>62</v>
      </c>
      <c r="AV3450" s="6" t="str">
        <f>HYPERLINK("http://mcgill.on.worldcat.org/oclc/698330406","Catalog Record")</f>
        <v>Catalog Record</v>
      </c>
      <c r="AW3450" s="6" t="str">
        <f>HYPERLINK("http://www.worldcat.org/oclc/698330406","WorldCat Record")</f>
        <v>WorldCat Record</v>
      </c>
      <c r="AX3450" s="3" t="s">
        <v>33304</v>
      </c>
      <c r="AY3450" s="3" t="s">
        <v>33305</v>
      </c>
      <c r="AZ3450" s="3" t="s">
        <v>33306</v>
      </c>
      <c r="BA3450" s="3" t="s">
        <v>33306</v>
      </c>
      <c r="BB3450" s="3" t="s">
        <v>33307</v>
      </c>
      <c r="BC3450" s="3" t="s">
        <v>142</v>
      </c>
      <c r="BD3450" s="3" t="s">
        <v>68</v>
      </c>
      <c r="BE3450" s="3" t="s">
        <v>33308</v>
      </c>
      <c r="BF3450" s="3" t="s">
        <v>33307</v>
      </c>
      <c r="BG3450" s="3" t="s">
        <v>33309</v>
      </c>
    </row>
    <row r="3451" spans="1:59" ht="57" x14ac:dyDescent="0.45">
      <c r="A3451" s="2" t="s">
        <v>59</v>
      </c>
      <c r="B3451" s="2" t="s">
        <v>60</v>
      </c>
      <c r="C3451" s="2" t="s">
        <v>33310</v>
      </c>
      <c r="D3451" s="2" t="s">
        <v>33311</v>
      </c>
      <c r="E3451" s="2" t="s">
        <v>33312</v>
      </c>
      <c r="G3451" s="3" t="s">
        <v>62</v>
      </c>
      <c r="I3451" s="3" t="s">
        <v>62</v>
      </c>
      <c r="J3451" s="3" t="s">
        <v>62</v>
      </c>
      <c r="K3451" s="3" t="s">
        <v>63</v>
      </c>
      <c r="L3451" s="2" t="s">
        <v>33313</v>
      </c>
      <c r="M3451" s="2" t="s">
        <v>9755</v>
      </c>
      <c r="N3451" s="3" t="s">
        <v>1155</v>
      </c>
      <c r="P3451" s="3" t="s">
        <v>65</v>
      </c>
      <c r="Q3451" s="2" t="s">
        <v>33314</v>
      </c>
      <c r="R3451" s="3" t="s">
        <v>66</v>
      </c>
      <c r="S3451" s="4">
        <v>2</v>
      </c>
      <c r="T3451" s="4">
        <v>2</v>
      </c>
      <c r="U3451" s="5" t="s">
        <v>33315</v>
      </c>
      <c r="V3451" s="5" t="s">
        <v>33315</v>
      </c>
      <c r="W3451" s="5" t="s">
        <v>67</v>
      </c>
      <c r="X3451" s="5" t="s">
        <v>67</v>
      </c>
      <c r="Y3451" s="4">
        <v>119</v>
      </c>
      <c r="Z3451" s="4">
        <v>14</v>
      </c>
      <c r="AA3451" s="4">
        <v>79</v>
      </c>
      <c r="AB3451" s="4">
        <v>2</v>
      </c>
      <c r="AC3451" s="4">
        <v>15</v>
      </c>
      <c r="AD3451" s="4">
        <v>44</v>
      </c>
      <c r="AE3451" s="4">
        <v>114</v>
      </c>
      <c r="AF3451" s="4">
        <v>1</v>
      </c>
      <c r="AG3451" s="4">
        <v>8</v>
      </c>
      <c r="AH3451" s="4">
        <v>38</v>
      </c>
      <c r="AI3451" s="4">
        <v>80</v>
      </c>
      <c r="AJ3451" s="4">
        <v>10</v>
      </c>
      <c r="AK3451" s="4">
        <v>22</v>
      </c>
      <c r="AL3451" s="4">
        <v>27</v>
      </c>
      <c r="AM3451" s="4">
        <v>44</v>
      </c>
      <c r="AN3451" s="4">
        <v>0</v>
      </c>
      <c r="AO3451" s="4">
        <v>0</v>
      </c>
      <c r="AP3451" s="4">
        <v>11</v>
      </c>
      <c r="AQ3451" s="4">
        <v>41</v>
      </c>
      <c r="AR3451" s="3" t="s">
        <v>62</v>
      </c>
      <c r="AS3451" s="3" t="s">
        <v>62</v>
      </c>
      <c r="AT3451" s="3" t="s">
        <v>62</v>
      </c>
      <c r="AV3451" s="6" t="str">
        <f>HYPERLINK("http://mcgill.on.worldcat.org/oclc/752471333","Catalog Record")</f>
        <v>Catalog Record</v>
      </c>
      <c r="AW3451" s="6" t="str">
        <f>HYPERLINK("http://www.worldcat.org/oclc/752471333","WorldCat Record")</f>
        <v>WorldCat Record</v>
      </c>
      <c r="AX3451" s="3" t="s">
        <v>33316</v>
      </c>
      <c r="AY3451" s="3" t="s">
        <v>33317</v>
      </c>
      <c r="AZ3451" s="3" t="s">
        <v>33318</v>
      </c>
      <c r="BA3451" s="3" t="s">
        <v>33318</v>
      </c>
      <c r="BB3451" s="3" t="s">
        <v>33319</v>
      </c>
      <c r="BC3451" s="3" t="s">
        <v>142</v>
      </c>
      <c r="BD3451" s="3" t="s">
        <v>68</v>
      </c>
      <c r="BE3451" s="3" t="s">
        <v>33320</v>
      </c>
      <c r="BF3451" s="3" t="s">
        <v>33319</v>
      </c>
      <c r="BG3451" s="3" t="s">
        <v>33321</v>
      </c>
    </row>
    <row r="3452" spans="1:59" ht="99.75" x14ac:dyDescent="0.45">
      <c r="A3452" s="2" t="s">
        <v>59</v>
      </c>
      <c r="B3452" s="2" t="s">
        <v>60</v>
      </c>
      <c r="C3452" s="2" t="s">
        <v>33322</v>
      </c>
      <c r="D3452" s="2" t="s">
        <v>33323</v>
      </c>
      <c r="E3452" s="2" t="s">
        <v>33324</v>
      </c>
      <c r="G3452" s="3" t="s">
        <v>62</v>
      </c>
      <c r="I3452" s="3" t="s">
        <v>62</v>
      </c>
      <c r="J3452" s="3" t="s">
        <v>62</v>
      </c>
      <c r="K3452" s="3" t="s">
        <v>63</v>
      </c>
      <c r="L3452" s="2" t="s">
        <v>33325</v>
      </c>
      <c r="M3452" s="2" t="s">
        <v>33326</v>
      </c>
      <c r="N3452" s="3" t="s">
        <v>116</v>
      </c>
      <c r="O3452" s="2" t="s">
        <v>33327</v>
      </c>
      <c r="P3452" s="3" t="s">
        <v>110</v>
      </c>
      <c r="Q3452" s="2" t="s">
        <v>33328</v>
      </c>
      <c r="R3452" s="3" t="s">
        <v>66</v>
      </c>
      <c r="S3452" s="4">
        <v>0</v>
      </c>
      <c r="T3452" s="4">
        <v>0</v>
      </c>
      <c r="W3452" s="5" t="s">
        <v>67</v>
      </c>
      <c r="X3452" s="5" t="s">
        <v>67</v>
      </c>
      <c r="Y3452" s="4">
        <v>8</v>
      </c>
      <c r="Z3452" s="4">
        <v>1</v>
      </c>
      <c r="AA3452" s="4">
        <v>1</v>
      </c>
      <c r="AB3452" s="4">
        <v>1</v>
      </c>
      <c r="AC3452" s="4">
        <v>1</v>
      </c>
      <c r="AD3452" s="4">
        <v>4</v>
      </c>
      <c r="AE3452" s="4">
        <v>4</v>
      </c>
      <c r="AF3452" s="4">
        <v>0</v>
      </c>
      <c r="AG3452" s="4">
        <v>0</v>
      </c>
      <c r="AH3452" s="4">
        <v>4</v>
      </c>
      <c r="AI3452" s="4">
        <v>4</v>
      </c>
      <c r="AJ3452" s="4">
        <v>0</v>
      </c>
      <c r="AK3452" s="4">
        <v>0</v>
      </c>
      <c r="AL3452" s="4">
        <v>3</v>
      </c>
      <c r="AM3452" s="4">
        <v>3</v>
      </c>
      <c r="AN3452" s="4">
        <v>0</v>
      </c>
      <c r="AO3452" s="4">
        <v>0</v>
      </c>
      <c r="AP3452" s="4">
        <v>0</v>
      </c>
      <c r="AQ3452" s="4">
        <v>0</v>
      </c>
      <c r="AR3452" s="3" t="s">
        <v>62</v>
      </c>
      <c r="AS3452" s="3" t="s">
        <v>62</v>
      </c>
      <c r="AT3452" s="3" t="s">
        <v>62</v>
      </c>
      <c r="AV3452" s="6" t="str">
        <f>HYPERLINK("http://mcgill.on.worldcat.org/oclc/878061356","Catalog Record")</f>
        <v>Catalog Record</v>
      </c>
      <c r="AW3452" s="6" t="str">
        <f>HYPERLINK("http://www.worldcat.org/oclc/878061356","WorldCat Record")</f>
        <v>WorldCat Record</v>
      </c>
      <c r="AX3452" s="3" t="s">
        <v>33329</v>
      </c>
      <c r="AY3452" s="3" t="s">
        <v>33330</v>
      </c>
      <c r="AZ3452" s="3" t="s">
        <v>33331</v>
      </c>
      <c r="BA3452" s="3" t="s">
        <v>33331</v>
      </c>
      <c r="BB3452" s="3" t="s">
        <v>33332</v>
      </c>
      <c r="BC3452" s="3" t="s">
        <v>142</v>
      </c>
      <c r="BD3452" s="3" t="s">
        <v>68</v>
      </c>
      <c r="BE3452" s="3" t="s">
        <v>33333</v>
      </c>
      <c r="BF3452" s="3" t="s">
        <v>33332</v>
      </c>
      <c r="BG3452" s="3" t="s">
        <v>33334</v>
      </c>
    </row>
    <row r="3453" spans="1:59" ht="57" x14ac:dyDescent="0.45">
      <c r="A3453" s="2" t="s">
        <v>59</v>
      </c>
      <c r="B3453" s="2" t="s">
        <v>60</v>
      </c>
      <c r="C3453" s="2" t="s">
        <v>33335</v>
      </c>
      <c r="D3453" s="2" t="s">
        <v>33336</v>
      </c>
      <c r="E3453" s="2" t="s">
        <v>33337</v>
      </c>
      <c r="G3453" s="3" t="s">
        <v>62</v>
      </c>
      <c r="I3453" s="3" t="s">
        <v>62</v>
      </c>
      <c r="J3453" s="3" t="s">
        <v>62</v>
      </c>
      <c r="K3453" s="3" t="s">
        <v>63</v>
      </c>
      <c r="L3453" s="2" t="s">
        <v>33338</v>
      </c>
      <c r="M3453" s="2" t="s">
        <v>1189</v>
      </c>
      <c r="N3453" s="3" t="s">
        <v>149</v>
      </c>
      <c r="P3453" s="3" t="s">
        <v>65</v>
      </c>
      <c r="Q3453" s="2" t="s">
        <v>33339</v>
      </c>
      <c r="R3453" s="3" t="s">
        <v>66</v>
      </c>
      <c r="S3453" s="4">
        <v>1</v>
      </c>
      <c r="T3453" s="4">
        <v>1</v>
      </c>
      <c r="U3453" s="5" t="s">
        <v>33340</v>
      </c>
      <c r="V3453" s="5" t="s">
        <v>33340</v>
      </c>
      <c r="W3453" s="5" t="s">
        <v>67</v>
      </c>
      <c r="X3453" s="5" t="s">
        <v>67</v>
      </c>
      <c r="Y3453" s="4">
        <v>128</v>
      </c>
      <c r="Z3453" s="4">
        <v>12</v>
      </c>
      <c r="AA3453" s="4">
        <v>80</v>
      </c>
      <c r="AB3453" s="4">
        <v>1</v>
      </c>
      <c r="AC3453" s="4">
        <v>16</v>
      </c>
      <c r="AD3453" s="4">
        <v>46</v>
      </c>
      <c r="AE3453" s="4">
        <v>111</v>
      </c>
      <c r="AF3453" s="4">
        <v>0</v>
      </c>
      <c r="AG3453" s="4">
        <v>8</v>
      </c>
      <c r="AH3453" s="4">
        <v>41</v>
      </c>
      <c r="AI3453" s="4">
        <v>77</v>
      </c>
      <c r="AJ3453" s="4">
        <v>9</v>
      </c>
      <c r="AK3453" s="4">
        <v>22</v>
      </c>
      <c r="AL3453" s="4">
        <v>23</v>
      </c>
      <c r="AM3453" s="4">
        <v>41</v>
      </c>
      <c r="AN3453" s="4">
        <v>0</v>
      </c>
      <c r="AO3453" s="4">
        <v>0</v>
      </c>
      <c r="AP3453" s="4">
        <v>9</v>
      </c>
      <c r="AQ3453" s="4">
        <v>41</v>
      </c>
      <c r="AR3453" s="3" t="s">
        <v>62</v>
      </c>
      <c r="AS3453" s="3" t="s">
        <v>62</v>
      </c>
      <c r="AT3453" s="3" t="s">
        <v>62</v>
      </c>
      <c r="AV3453" s="6" t="str">
        <f>HYPERLINK("http://mcgill.on.worldcat.org/oclc/457771655","Catalog Record")</f>
        <v>Catalog Record</v>
      </c>
      <c r="AW3453" s="6" t="str">
        <f>HYPERLINK("http://www.worldcat.org/oclc/457771655","WorldCat Record")</f>
        <v>WorldCat Record</v>
      </c>
      <c r="AX3453" s="3" t="s">
        <v>33341</v>
      </c>
      <c r="AY3453" s="3" t="s">
        <v>33342</v>
      </c>
      <c r="AZ3453" s="3" t="s">
        <v>33343</v>
      </c>
      <c r="BA3453" s="3" t="s">
        <v>33343</v>
      </c>
      <c r="BB3453" s="3" t="s">
        <v>33344</v>
      </c>
      <c r="BC3453" s="3" t="s">
        <v>142</v>
      </c>
      <c r="BD3453" s="3" t="s">
        <v>68</v>
      </c>
      <c r="BE3453" s="3" t="s">
        <v>33345</v>
      </c>
      <c r="BF3453" s="3" t="s">
        <v>33344</v>
      </c>
      <c r="BG3453" s="3" t="s">
        <v>33346</v>
      </c>
    </row>
    <row r="3454" spans="1:59" ht="57" x14ac:dyDescent="0.45">
      <c r="A3454" s="2" t="s">
        <v>59</v>
      </c>
      <c r="B3454" s="2" t="s">
        <v>60</v>
      </c>
      <c r="C3454" s="2" t="s">
        <v>33347</v>
      </c>
      <c r="D3454" s="2" t="s">
        <v>33348</v>
      </c>
      <c r="E3454" s="2" t="s">
        <v>33349</v>
      </c>
      <c r="G3454" s="3" t="s">
        <v>62</v>
      </c>
      <c r="I3454" s="3" t="s">
        <v>62</v>
      </c>
      <c r="J3454" s="3" t="s">
        <v>62</v>
      </c>
      <c r="K3454" s="3" t="s">
        <v>63</v>
      </c>
      <c r="L3454" s="2" t="s">
        <v>33350</v>
      </c>
      <c r="M3454" s="2" t="s">
        <v>33351</v>
      </c>
      <c r="N3454" s="3" t="s">
        <v>149</v>
      </c>
      <c r="P3454" s="3" t="s">
        <v>65</v>
      </c>
      <c r="R3454" s="3" t="s">
        <v>66</v>
      </c>
      <c r="S3454" s="4">
        <v>17</v>
      </c>
      <c r="T3454" s="4">
        <v>17</v>
      </c>
      <c r="U3454" s="5" t="s">
        <v>6222</v>
      </c>
      <c r="V3454" s="5" t="s">
        <v>6222</v>
      </c>
      <c r="W3454" s="5" t="s">
        <v>67</v>
      </c>
      <c r="X3454" s="5" t="s">
        <v>67</v>
      </c>
      <c r="Y3454" s="4">
        <v>813</v>
      </c>
      <c r="Z3454" s="4">
        <v>45</v>
      </c>
      <c r="AA3454" s="4">
        <v>127</v>
      </c>
      <c r="AB3454" s="4">
        <v>4</v>
      </c>
      <c r="AC3454" s="4">
        <v>23</v>
      </c>
      <c r="AD3454" s="4">
        <v>114</v>
      </c>
      <c r="AE3454" s="4">
        <v>153</v>
      </c>
      <c r="AF3454" s="4">
        <v>1</v>
      </c>
      <c r="AG3454" s="4">
        <v>9</v>
      </c>
      <c r="AH3454" s="4">
        <v>95</v>
      </c>
      <c r="AI3454" s="4">
        <v>108</v>
      </c>
      <c r="AJ3454" s="4">
        <v>21</v>
      </c>
      <c r="AK3454" s="4">
        <v>28</v>
      </c>
      <c r="AL3454" s="4">
        <v>54</v>
      </c>
      <c r="AM3454" s="4">
        <v>58</v>
      </c>
      <c r="AN3454" s="4">
        <v>0</v>
      </c>
      <c r="AO3454" s="4">
        <v>0</v>
      </c>
      <c r="AP3454" s="4">
        <v>26</v>
      </c>
      <c r="AQ3454" s="4">
        <v>53</v>
      </c>
      <c r="AR3454" s="3" t="s">
        <v>62</v>
      </c>
      <c r="AS3454" s="3" t="s">
        <v>62</v>
      </c>
      <c r="AT3454" s="3" t="s">
        <v>62</v>
      </c>
      <c r="AV3454" s="6" t="str">
        <f>HYPERLINK("http://mcgill.on.worldcat.org/oclc/456170000","Catalog Record")</f>
        <v>Catalog Record</v>
      </c>
      <c r="AW3454" s="6" t="str">
        <f>HYPERLINK("http://www.worldcat.org/oclc/456170000","WorldCat Record")</f>
        <v>WorldCat Record</v>
      </c>
      <c r="AX3454" s="3" t="s">
        <v>33352</v>
      </c>
      <c r="AY3454" s="3" t="s">
        <v>33353</v>
      </c>
      <c r="AZ3454" s="3" t="s">
        <v>33354</v>
      </c>
      <c r="BA3454" s="3" t="s">
        <v>33354</v>
      </c>
      <c r="BB3454" s="3" t="s">
        <v>33355</v>
      </c>
      <c r="BC3454" s="3" t="s">
        <v>142</v>
      </c>
      <c r="BD3454" s="3" t="s">
        <v>68</v>
      </c>
      <c r="BE3454" s="3" t="s">
        <v>33356</v>
      </c>
      <c r="BF3454" s="3" t="s">
        <v>33355</v>
      </c>
      <c r="BG3454" s="3" t="s">
        <v>33357</v>
      </c>
    </row>
    <row r="3455" spans="1:59" ht="57" x14ac:dyDescent="0.45">
      <c r="A3455" s="2" t="s">
        <v>59</v>
      </c>
      <c r="B3455" s="2" t="s">
        <v>60</v>
      </c>
      <c r="C3455" s="2" t="s">
        <v>33358</v>
      </c>
      <c r="D3455" s="2" t="s">
        <v>33359</v>
      </c>
      <c r="E3455" s="2" t="s">
        <v>33360</v>
      </c>
      <c r="G3455" s="3" t="s">
        <v>62</v>
      </c>
      <c r="I3455" s="3" t="s">
        <v>62</v>
      </c>
      <c r="J3455" s="3" t="s">
        <v>62</v>
      </c>
      <c r="K3455" s="3" t="s">
        <v>63</v>
      </c>
      <c r="L3455" s="2" t="s">
        <v>33361</v>
      </c>
      <c r="M3455" s="2" t="s">
        <v>2654</v>
      </c>
      <c r="N3455" s="3" t="s">
        <v>820</v>
      </c>
      <c r="P3455" s="3" t="s">
        <v>65</v>
      </c>
      <c r="Q3455" s="2" t="s">
        <v>21253</v>
      </c>
      <c r="R3455" s="3" t="s">
        <v>66</v>
      </c>
      <c r="S3455" s="4">
        <v>9</v>
      </c>
      <c r="T3455" s="4">
        <v>9</v>
      </c>
      <c r="U3455" s="5" t="s">
        <v>1047</v>
      </c>
      <c r="V3455" s="5" t="s">
        <v>1047</v>
      </c>
      <c r="W3455" s="5" t="s">
        <v>67</v>
      </c>
      <c r="X3455" s="5" t="s">
        <v>67</v>
      </c>
      <c r="Y3455" s="4">
        <v>251</v>
      </c>
      <c r="Z3455" s="4">
        <v>17</v>
      </c>
      <c r="AA3455" s="4">
        <v>104</v>
      </c>
      <c r="AB3455" s="4">
        <v>2</v>
      </c>
      <c r="AC3455" s="4">
        <v>21</v>
      </c>
      <c r="AD3455" s="4">
        <v>82</v>
      </c>
      <c r="AE3455" s="4">
        <v>138</v>
      </c>
      <c r="AF3455" s="4">
        <v>1</v>
      </c>
      <c r="AG3455" s="4">
        <v>9</v>
      </c>
      <c r="AH3455" s="4">
        <v>75</v>
      </c>
      <c r="AI3455" s="4">
        <v>92</v>
      </c>
      <c r="AJ3455" s="4">
        <v>11</v>
      </c>
      <c r="AK3455" s="4">
        <v>24</v>
      </c>
      <c r="AL3455" s="4">
        <v>45</v>
      </c>
      <c r="AM3455" s="4">
        <v>52</v>
      </c>
      <c r="AN3455" s="4">
        <v>0</v>
      </c>
      <c r="AO3455" s="4">
        <v>0</v>
      </c>
      <c r="AP3455" s="4">
        <v>14</v>
      </c>
      <c r="AQ3455" s="4">
        <v>54</v>
      </c>
      <c r="AR3455" s="3" t="s">
        <v>62</v>
      </c>
      <c r="AS3455" s="3" t="s">
        <v>62</v>
      </c>
      <c r="AT3455" s="3" t="s">
        <v>62</v>
      </c>
      <c r="AV3455" s="6" t="str">
        <f>HYPERLINK("http://mcgill.on.worldcat.org/oclc/173659534","Catalog Record")</f>
        <v>Catalog Record</v>
      </c>
      <c r="AW3455" s="6" t="str">
        <f>HYPERLINK("http://www.worldcat.org/oclc/173659534","WorldCat Record")</f>
        <v>WorldCat Record</v>
      </c>
      <c r="AX3455" s="3" t="s">
        <v>33362</v>
      </c>
      <c r="AY3455" s="3" t="s">
        <v>33363</v>
      </c>
      <c r="AZ3455" s="3" t="s">
        <v>33364</v>
      </c>
      <c r="BA3455" s="3" t="s">
        <v>33364</v>
      </c>
      <c r="BB3455" s="3" t="s">
        <v>33365</v>
      </c>
      <c r="BC3455" s="3" t="s">
        <v>142</v>
      </c>
      <c r="BD3455" s="3" t="s">
        <v>68</v>
      </c>
      <c r="BE3455" s="3" t="s">
        <v>33366</v>
      </c>
      <c r="BF3455" s="3" t="s">
        <v>33365</v>
      </c>
      <c r="BG3455" s="3" t="s">
        <v>33367</v>
      </c>
    </row>
    <row r="3456" spans="1:59" ht="57" x14ac:dyDescent="0.45">
      <c r="A3456" s="2" t="s">
        <v>59</v>
      </c>
      <c r="B3456" s="2" t="s">
        <v>60</v>
      </c>
      <c r="C3456" s="2" t="s">
        <v>33368</v>
      </c>
      <c r="D3456" s="2" t="s">
        <v>33369</v>
      </c>
      <c r="E3456" s="2" t="s">
        <v>33370</v>
      </c>
      <c r="G3456" s="3" t="s">
        <v>62</v>
      </c>
      <c r="I3456" s="3" t="s">
        <v>61</v>
      </c>
      <c r="J3456" s="3" t="s">
        <v>62</v>
      </c>
      <c r="K3456" s="3" t="s">
        <v>63</v>
      </c>
      <c r="L3456" s="2" t="s">
        <v>33371</v>
      </c>
      <c r="M3456" s="2" t="s">
        <v>33372</v>
      </c>
      <c r="N3456" s="3" t="s">
        <v>625</v>
      </c>
      <c r="P3456" s="3" t="s">
        <v>65</v>
      </c>
      <c r="R3456" s="3" t="s">
        <v>66</v>
      </c>
      <c r="S3456" s="4">
        <v>39</v>
      </c>
      <c r="T3456" s="4">
        <v>69</v>
      </c>
      <c r="U3456" s="5" t="s">
        <v>33373</v>
      </c>
      <c r="V3456" s="5" t="s">
        <v>342</v>
      </c>
      <c r="W3456" s="5" t="s">
        <v>67</v>
      </c>
      <c r="X3456" s="5" t="s">
        <v>67</v>
      </c>
      <c r="Y3456" s="4">
        <v>1235</v>
      </c>
      <c r="Z3456" s="4">
        <v>45</v>
      </c>
      <c r="AA3456" s="4">
        <v>53</v>
      </c>
      <c r="AB3456" s="4">
        <v>3</v>
      </c>
      <c r="AC3456" s="4">
        <v>8</v>
      </c>
      <c r="AD3456" s="4">
        <v>132</v>
      </c>
      <c r="AE3456" s="4">
        <v>139</v>
      </c>
      <c r="AF3456" s="4">
        <v>2</v>
      </c>
      <c r="AG3456" s="4">
        <v>5</v>
      </c>
      <c r="AH3456" s="4">
        <v>109</v>
      </c>
      <c r="AI3456" s="4">
        <v>112</v>
      </c>
      <c r="AJ3456" s="4">
        <v>22</v>
      </c>
      <c r="AK3456" s="4">
        <v>25</v>
      </c>
      <c r="AL3456" s="4">
        <v>56</v>
      </c>
      <c r="AM3456" s="4">
        <v>57</v>
      </c>
      <c r="AN3456" s="4">
        <v>0</v>
      </c>
      <c r="AO3456" s="4">
        <v>0</v>
      </c>
      <c r="AP3456" s="4">
        <v>32</v>
      </c>
      <c r="AQ3456" s="4">
        <v>36</v>
      </c>
      <c r="AR3456" s="3" t="s">
        <v>62</v>
      </c>
      <c r="AS3456" s="3" t="s">
        <v>62</v>
      </c>
      <c r="AT3456" s="3" t="s">
        <v>61</v>
      </c>
      <c r="AU3456" s="6" t="str">
        <f>HYPERLINK("http://catalog.hathitrust.org/Record/000576414","HathiTrust Record")</f>
        <v>HathiTrust Record</v>
      </c>
      <c r="AV3456" s="6" t="str">
        <f>HYPERLINK("http://mcgill.on.worldcat.org/oclc/12724762","Catalog Record")</f>
        <v>Catalog Record</v>
      </c>
      <c r="AW3456" s="6" t="str">
        <f>HYPERLINK("http://www.worldcat.org/oclc/12724762","WorldCat Record")</f>
        <v>WorldCat Record</v>
      </c>
      <c r="AX3456" s="3" t="s">
        <v>33374</v>
      </c>
      <c r="AY3456" s="3" t="s">
        <v>33375</v>
      </c>
      <c r="AZ3456" s="3" t="s">
        <v>33376</v>
      </c>
      <c r="BA3456" s="3" t="s">
        <v>33376</v>
      </c>
      <c r="BB3456" s="3" t="s">
        <v>33377</v>
      </c>
      <c r="BC3456" s="3" t="s">
        <v>142</v>
      </c>
      <c r="BD3456" s="3" t="s">
        <v>68</v>
      </c>
      <c r="BE3456" s="3" t="s">
        <v>33378</v>
      </c>
      <c r="BF3456" s="3" t="s">
        <v>33377</v>
      </c>
      <c r="BG3456" s="3" t="s">
        <v>33379</v>
      </c>
    </row>
    <row r="3457" spans="1:59" ht="57" x14ac:dyDescent="0.45">
      <c r="A3457" s="2" t="s">
        <v>59</v>
      </c>
      <c r="B3457" s="2" t="s">
        <v>60</v>
      </c>
      <c r="C3457" s="2" t="s">
        <v>33368</v>
      </c>
      <c r="D3457" s="2" t="s">
        <v>33369</v>
      </c>
      <c r="E3457" s="2" t="s">
        <v>33370</v>
      </c>
      <c r="G3457" s="3" t="s">
        <v>62</v>
      </c>
      <c r="I3457" s="3" t="s">
        <v>61</v>
      </c>
      <c r="J3457" s="3" t="s">
        <v>62</v>
      </c>
      <c r="K3457" s="3" t="s">
        <v>63</v>
      </c>
      <c r="L3457" s="2" t="s">
        <v>33371</v>
      </c>
      <c r="M3457" s="2" t="s">
        <v>33372</v>
      </c>
      <c r="N3457" s="3" t="s">
        <v>625</v>
      </c>
      <c r="P3457" s="3" t="s">
        <v>65</v>
      </c>
      <c r="R3457" s="3" t="s">
        <v>66</v>
      </c>
      <c r="S3457" s="4">
        <v>30</v>
      </c>
      <c r="T3457" s="4">
        <v>69</v>
      </c>
      <c r="U3457" s="5" t="s">
        <v>342</v>
      </c>
      <c r="V3457" s="5" t="s">
        <v>342</v>
      </c>
      <c r="W3457" s="5" t="s">
        <v>67</v>
      </c>
      <c r="X3457" s="5" t="s">
        <v>67</v>
      </c>
      <c r="Y3457" s="4">
        <v>1235</v>
      </c>
      <c r="Z3457" s="4">
        <v>45</v>
      </c>
      <c r="AA3457" s="4">
        <v>53</v>
      </c>
      <c r="AB3457" s="4">
        <v>3</v>
      </c>
      <c r="AC3457" s="4">
        <v>8</v>
      </c>
      <c r="AD3457" s="4">
        <v>132</v>
      </c>
      <c r="AE3457" s="4">
        <v>139</v>
      </c>
      <c r="AF3457" s="4">
        <v>2</v>
      </c>
      <c r="AG3457" s="4">
        <v>5</v>
      </c>
      <c r="AH3457" s="4">
        <v>109</v>
      </c>
      <c r="AI3457" s="4">
        <v>112</v>
      </c>
      <c r="AJ3457" s="4">
        <v>22</v>
      </c>
      <c r="AK3457" s="4">
        <v>25</v>
      </c>
      <c r="AL3457" s="4">
        <v>56</v>
      </c>
      <c r="AM3457" s="4">
        <v>57</v>
      </c>
      <c r="AN3457" s="4">
        <v>0</v>
      </c>
      <c r="AO3457" s="4">
        <v>0</v>
      </c>
      <c r="AP3457" s="4">
        <v>32</v>
      </c>
      <c r="AQ3457" s="4">
        <v>36</v>
      </c>
      <c r="AR3457" s="3" t="s">
        <v>62</v>
      </c>
      <c r="AS3457" s="3" t="s">
        <v>62</v>
      </c>
      <c r="AT3457" s="3" t="s">
        <v>61</v>
      </c>
      <c r="AU3457" s="6" t="str">
        <f>HYPERLINK("http://catalog.hathitrust.org/Record/000576414","HathiTrust Record")</f>
        <v>HathiTrust Record</v>
      </c>
      <c r="AV3457" s="6" t="str">
        <f>HYPERLINK("http://mcgill.on.worldcat.org/oclc/12724762","Catalog Record")</f>
        <v>Catalog Record</v>
      </c>
      <c r="AW3457" s="6" t="str">
        <f>HYPERLINK("http://www.worldcat.org/oclc/12724762","WorldCat Record")</f>
        <v>WorldCat Record</v>
      </c>
      <c r="AX3457" s="3" t="s">
        <v>33374</v>
      </c>
      <c r="AY3457" s="3" t="s">
        <v>33375</v>
      </c>
      <c r="AZ3457" s="3" t="s">
        <v>33376</v>
      </c>
      <c r="BA3457" s="3" t="s">
        <v>33376</v>
      </c>
      <c r="BB3457" s="3" t="s">
        <v>33380</v>
      </c>
      <c r="BC3457" s="3" t="s">
        <v>142</v>
      </c>
      <c r="BD3457" s="3" t="s">
        <v>68</v>
      </c>
      <c r="BE3457" s="3" t="s">
        <v>33378</v>
      </c>
      <c r="BF3457" s="3" t="s">
        <v>33380</v>
      </c>
      <c r="BG3457" s="3" t="s">
        <v>33381</v>
      </c>
    </row>
    <row r="3458" spans="1:59" ht="57" x14ac:dyDescent="0.45">
      <c r="A3458" s="2" t="s">
        <v>59</v>
      </c>
      <c r="B3458" s="2" t="s">
        <v>412</v>
      </c>
      <c r="C3458" s="2" t="s">
        <v>33382</v>
      </c>
      <c r="D3458" s="2" t="s">
        <v>33383</v>
      </c>
      <c r="E3458" s="2" t="s">
        <v>33384</v>
      </c>
      <c r="G3458" s="3" t="s">
        <v>62</v>
      </c>
      <c r="I3458" s="3" t="s">
        <v>61</v>
      </c>
      <c r="J3458" s="3" t="s">
        <v>62</v>
      </c>
      <c r="K3458" s="3" t="s">
        <v>63</v>
      </c>
      <c r="M3458" s="2" t="s">
        <v>1096</v>
      </c>
      <c r="N3458" s="3" t="s">
        <v>1097</v>
      </c>
      <c r="P3458" s="3" t="s">
        <v>65</v>
      </c>
      <c r="Q3458" s="2" t="s">
        <v>33385</v>
      </c>
      <c r="R3458" s="3" t="s">
        <v>66</v>
      </c>
      <c r="S3458" s="4">
        <v>3</v>
      </c>
      <c r="T3458" s="4">
        <v>29</v>
      </c>
      <c r="U3458" s="5" t="s">
        <v>16620</v>
      </c>
      <c r="V3458" s="5" t="s">
        <v>16620</v>
      </c>
      <c r="W3458" s="5" t="s">
        <v>67</v>
      </c>
      <c r="X3458" s="5" t="s">
        <v>67</v>
      </c>
      <c r="Y3458" s="4">
        <v>503</v>
      </c>
      <c r="Z3458" s="4">
        <v>27</v>
      </c>
      <c r="AA3458" s="4">
        <v>49</v>
      </c>
      <c r="AB3458" s="4">
        <v>2</v>
      </c>
      <c r="AC3458" s="4">
        <v>10</v>
      </c>
      <c r="AD3458" s="4">
        <v>98</v>
      </c>
      <c r="AE3458" s="4">
        <v>124</v>
      </c>
      <c r="AF3458" s="4">
        <v>1</v>
      </c>
      <c r="AG3458" s="4">
        <v>5</v>
      </c>
      <c r="AH3458" s="4">
        <v>77</v>
      </c>
      <c r="AI3458" s="4">
        <v>94</v>
      </c>
      <c r="AJ3458" s="4">
        <v>18</v>
      </c>
      <c r="AK3458" s="4">
        <v>22</v>
      </c>
      <c r="AL3458" s="4">
        <v>43</v>
      </c>
      <c r="AM3458" s="4">
        <v>50</v>
      </c>
      <c r="AN3458" s="4">
        <v>0</v>
      </c>
      <c r="AO3458" s="4">
        <v>0</v>
      </c>
      <c r="AP3458" s="4">
        <v>26</v>
      </c>
      <c r="AQ3458" s="4">
        <v>37</v>
      </c>
      <c r="AR3458" s="3" t="s">
        <v>62</v>
      </c>
      <c r="AS3458" s="3" t="s">
        <v>62</v>
      </c>
      <c r="AT3458" s="3" t="s">
        <v>62</v>
      </c>
      <c r="AV3458" s="6" t="str">
        <f>HYPERLINK("http://mcgill.on.worldcat.org/oclc/53289949","Catalog Record")</f>
        <v>Catalog Record</v>
      </c>
      <c r="AW3458" s="6" t="str">
        <f>HYPERLINK("http://www.worldcat.org/oclc/53289949","WorldCat Record")</f>
        <v>WorldCat Record</v>
      </c>
      <c r="AX3458" s="3" t="s">
        <v>33386</v>
      </c>
      <c r="AY3458" s="3" t="s">
        <v>33387</v>
      </c>
      <c r="AZ3458" s="3" t="s">
        <v>33388</v>
      </c>
      <c r="BA3458" s="3" t="s">
        <v>33388</v>
      </c>
      <c r="BB3458" s="3" t="s">
        <v>33389</v>
      </c>
      <c r="BC3458" s="3" t="s">
        <v>142</v>
      </c>
      <c r="BD3458" s="3" t="s">
        <v>68</v>
      </c>
      <c r="BE3458" s="3" t="s">
        <v>33390</v>
      </c>
      <c r="BF3458" s="3" t="s">
        <v>33389</v>
      </c>
      <c r="BG3458" s="3" t="s">
        <v>33391</v>
      </c>
    </row>
    <row r="3459" spans="1:59" ht="57" x14ac:dyDescent="0.45">
      <c r="A3459" s="2" t="s">
        <v>59</v>
      </c>
      <c r="B3459" s="2" t="s">
        <v>60</v>
      </c>
      <c r="C3459" s="2" t="s">
        <v>33382</v>
      </c>
      <c r="D3459" s="2" t="s">
        <v>33383</v>
      </c>
      <c r="E3459" s="2" t="s">
        <v>33384</v>
      </c>
      <c r="G3459" s="3" t="s">
        <v>62</v>
      </c>
      <c r="I3459" s="3" t="s">
        <v>61</v>
      </c>
      <c r="J3459" s="3" t="s">
        <v>62</v>
      </c>
      <c r="K3459" s="3" t="s">
        <v>63</v>
      </c>
      <c r="M3459" s="2" t="s">
        <v>1096</v>
      </c>
      <c r="N3459" s="3" t="s">
        <v>1097</v>
      </c>
      <c r="P3459" s="3" t="s">
        <v>65</v>
      </c>
      <c r="Q3459" s="2" t="s">
        <v>33385</v>
      </c>
      <c r="R3459" s="3" t="s">
        <v>66</v>
      </c>
      <c r="S3459" s="4">
        <v>26</v>
      </c>
      <c r="T3459" s="4">
        <v>29</v>
      </c>
      <c r="U3459" s="5" t="s">
        <v>33392</v>
      </c>
      <c r="V3459" s="5" t="s">
        <v>16620</v>
      </c>
      <c r="W3459" s="5" t="s">
        <v>67</v>
      </c>
      <c r="X3459" s="5" t="s">
        <v>67</v>
      </c>
      <c r="Y3459" s="4">
        <v>503</v>
      </c>
      <c r="Z3459" s="4">
        <v>27</v>
      </c>
      <c r="AA3459" s="4">
        <v>49</v>
      </c>
      <c r="AB3459" s="4">
        <v>2</v>
      </c>
      <c r="AC3459" s="4">
        <v>10</v>
      </c>
      <c r="AD3459" s="4">
        <v>98</v>
      </c>
      <c r="AE3459" s="4">
        <v>124</v>
      </c>
      <c r="AF3459" s="4">
        <v>1</v>
      </c>
      <c r="AG3459" s="4">
        <v>5</v>
      </c>
      <c r="AH3459" s="4">
        <v>77</v>
      </c>
      <c r="AI3459" s="4">
        <v>94</v>
      </c>
      <c r="AJ3459" s="4">
        <v>18</v>
      </c>
      <c r="AK3459" s="4">
        <v>22</v>
      </c>
      <c r="AL3459" s="4">
        <v>43</v>
      </c>
      <c r="AM3459" s="4">
        <v>50</v>
      </c>
      <c r="AN3459" s="4">
        <v>0</v>
      </c>
      <c r="AO3459" s="4">
        <v>0</v>
      </c>
      <c r="AP3459" s="4">
        <v>26</v>
      </c>
      <c r="AQ3459" s="4">
        <v>37</v>
      </c>
      <c r="AR3459" s="3" t="s">
        <v>62</v>
      </c>
      <c r="AS3459" s="3" t="s">
        <v>62</v>
      </c>
      <c r="AT3459" s="3" t="s">
        <v>62</v>
      </c>
      <c r="AV3459" s="6" t="str">
        <f>HYPERLINK("http://mcgill.on.worldcat.org/oclc/53289949","Catalog Record")</f>
        <v>Catalog Record</v>
      </c>
      <c r="AW3459" s="6" t="str">
        <f>HYPERLINK("http://www.worldcat.org/oclc/53289949","WorldCat Record")</f>
        <v>WorldCat Record</v>
      </c>
      <c r="AX3459" s="3" t="s">
        <v>33386</v>
      </c>
      <c r="AY3459" s="3" t="s">
        <v>33387</v>
      </c>
      <c r="AZ3459" s="3" t="s">
        <v>33388</v>
      </c>
      <c r="BA3459" s="3" t="s">
        <v>33388</v>
      </c>
      <c r="BB3459" s="3" t="s">
        <v>33393</v>
      </c>
      <c r="BC3459" s="3" t="s">
        <v>142</v>
      </c>
      <c r="BD3459" s="3" t="s">
        <v>68</v>
      </c>
      <c r="BE3459" s="3" t="s">
        <v>33390</v>
      </c>
      <c r="BF3459" s="3" t="s">
        <v>33393</v>
      </c>
      <c r="BG3459" s="3" t="s">
        <v>33394</v>
      </c>
    </row>
    <row r="3460" spans="1:59" ht="57" x14ac:dyDescent="0.45">
      <c r="A3460" s="2" t="s">
        <v>59</v>
      </c>
      <c r="B3460" s="2" t="s">
        <v>60</v>
      </c>
      <c r="C3460" s="2" t="s">
        <v>33395</v>
      </c>
      <c r="D3460" s="2" t="s">
        <v>33396</v>
      </c>
      <c r="E3460" s="2" t="s">
        <v>33397</v>
      </c>
      <c r="G3460" s="3" t="s">
        <v>62</v>
      </c>
      <c r="I3460" s="3" t="s">
        <v>62</v>
      </c>
      <c r="J3460" s="3" t="s">
        <v>62</v>
      </c>
      <c r="K3460" s="3" t="s">
        <v>63</v>
      </c>
      <c r="M3460" s="2" t="s">
        <v>2799</v>
      </c>
      <c r="N3460" s="3" t="s">
        <v>945</v>
      </c>
      <c r="P3460" s="3" t="s">
        <v>65</v>
      </c>
      <c r="Q3460" s="2" t="s">
        <v>33398</v>
      </c>
      <c r="R3460" s="3" t="s">
        <v>66</v>
      </c>
      <c r="S3460" s="4">
        <v>8</v>
      </c>
      <c r="T3460" s="4">
        <v>8</v>
      </c>
      <c r="U3460" s="5" t="s">
        <v>6330</v>
      </c>
      <c r="V3460" s="5" t="s">
        <v>6330</v>
      </c>
      <c r="W3460" s="5" t="s">
        <v>67</v>
      </c>
      <c r="X3460" s="5" t="s">
        <v>67</v>
      </c>
      <c r="Y3460" s="4">
        <v>171</v>
      </c>
      <c r="Z3460" s="4">
        <v>14</v>
      </c>
      <c r="AA3460" s="4">
        <v>90</v>
      </c>
      <c r="AB3460" s="4">
        <v>2</v>
      </c>
      <c r="AC3460" s="4">
        <v>17</v>
      </c>
      <c r="AD3460" s="4">
        <v>49</v>
      </c>
      <c r="AE3460" s="4">
        <v>113</v>
      </c>
      <c r="AF3460" s="4">
        <v>1</v>
      </c>
      <c r="AG3460" s="4">
        <v>8</v>
      </c>
      <c r="AH3460" s="4">
        <v>40</v>
      </c>
      <c r="AI3460" s="4">
        <v>77</v>
      </c>
      <c r="AJ3460" s="4">
        <v>12</v>
      </c>
      <c r="AK3460" s="4">
        <v>22</v>
      </c>
      <c r="AL3460" s="4">
        <v>25</v>
      </c>
      <c r="AM3460" s="4">
        <v>41</v>
      </c>
      <c r="AN3460" s="4">
        <v>0</v>
      </c>
      <c r="AO3460" s="4">
        <v>0</v>
      </c>
      <c r="AP3460" s="4">
        <v>13</v>
      </c>
      <c r="AQ3460" s="4">
        <v>44</v>
      </c>
      <c r="AR3460" s="3" t="s">
        <v>62</v>
      </c>
      <c r="AS3460" s="3" t="s">
        <v>62</v>
      </c>
      <c r="AT3460" s="3" t="s">
        <v>61</v>
      </c>
      <c r="AU3460" s="6" t="str">
        <f>HYPERLINK("http://catalog.hathitrust.org/Record/005630848","HathiTrust Record")</f>
        <v>HathiTrust Record</v>
      </c>
      <c r="AV3460" s="6" t="str">
        <f>HYPERLINK("http://mcgill.on.worldcat.org/oclc/78789733","Catalog Record")</f>
        <v>Catalog Record</v>
      </c>
      <c r="AW3460" s="6" t="str">
        <f>HYPERLINK("http://www.worldcat.org/oclc/78789733","WorldCat Record")</f>
        <v>WorldCat Record</v>
      </c>
      <c r="AX3460" s="3" t="s">
        <v>33399</v>
      </c>
      <c r="AY3460" s="3" t="s">
        <v>33400</v>
      </c>
      <c r="AZ3460" s="3" t="s">
        <v>33401</v>
      </c>
      <c r="BA3460" s="3" t="s">
        <v>33401</v>
      </c>
      <c r="BB3460" s="3" t="s">
        <v>33402</v>
      </c>
      <c r="BC3460" s="3" t="s">
        <v>142</v>
      </c>
      <c r="BD3460" s="3" t="s">
        <v>68</v>
      </c>
      <c r="BE3460" s="3" t="s">
        <v>33403</v>
      </c>
      <c r="BF3460" s="3" t="s">
        <v>33402</v>
      </c>
      <c r="BG3460" s="3" t="s">
        <v>33404</v>
      </c>
    </row>
    <row r="3461" spans="1:59" ht="57" x14ac:dyDescent="0.45">
      <c r="A3461" s="2" t="s">
        <v>59</v>
      </c>
      <c r="B3461" s="2" t="s">
        <v>412</v>
      </c>
      <c r="C3461" s="2" t="s">
        <v>33405</v>
      </c>
      <c r="D3461" s="2" t="s">
        <v>33406</v>
      </c>
      <c r="E3461" s="2" t="s">
        <v>33407</v>
      </c>
      <c r="G3461" s="3" t="s">
        <v>62</v>
      </c>
      <c r="I3461" s="3" t="s">
        <v>62</v>
      </c>
      <c r="J3461" s="3" t="s">
        <v>62</v>
      </c>
      <c r="K3461" s="3" t="s">
        <v>63</v>
      </c>
      <c r="L3461" s="2" t="s">
        <v>33408</v>
      </c>
      <c r="M3461" s="2" t="s">
        <v>9755</v>
      </c>
      <c r="N3461" s="3" t="s">
        <v>1155</v>
      </c>
      <c r="P3461" s="3" t="s">
        <v>65</v>
      </c>
      <c r="Q3461" s="2" t="s">
        <v>33409</v>
      </c>
      <c r="R3461" s="3" t="s">
        <v>66</v>
      </c>
      <c r="S3461" s="4">
        <v>0</v>
      </c>
      <c r="T3461" s="4">
        <v>0</v>
      </c>
      <c r="W3461" s="5" t="s">
        <v>67</v>
      </c>
      <c r="X3461" s="5" t="s">
        <v>67</v>
      </c>
      <c r="Y3461" s="4">
        <v>92</v>
      </c>
      <c r="Z3461" s="4">
        <v>15</v>
      </c>
      <c r="AA3461" s="4">
        <v>80</v>
      </c>
      <c r="AB3461" s="4">
        <v>2</v>
      </c>
      <c r="AC3461" s="4">
        <v>15</v>
      </c>
      <c r="AD3461" s="4">
        <v>42</v>
      </c>
      <c r="AE3461" s="4">
        <v>103</v>
      </c>
      <c r="AF3461" s="4">
        <v>1</v>
      </c>
      <c r="AG3461" s="4">
        <v>8</v>
      </c>
      <c r="AH3461" s="4">
        <v>37</v>
      </c>
      <c r="AI3461" s="4">
        <v>71</v>
      </c>
      <c r="AJ3461" s="4">
        <v>11</v>
      </c>
      <c r="AK3461" s="4">
        <v>22</v>
      </c>
      <c r="AL3461" s="4">
        <v>18</v>
      </c>
      <c r="AM3461" s="4">
        <v>34</v>
      </c>
      <c r="AN3461" s="4">
        <v>0</v>
      </c>
      <c r="AO3461" s="4">
        <v>0</v>
      </c>
      <c r="AP3461" s="4">
        <v>11</v>
      </c>
      <c r="AQ3461" s="4">
        <v>41</v>
      </c>
      <c r="AR3461" s="3" t="s">
        <v>62</v>
      </c>
      <c r="AS3461" s="3" t="s">
        <v>62</v>
      </c>
      <c r="AT3461" s="3" t="s">
        <v>62</v>
      </c>
      <c r="AV3461" s="6" t="str">
        <f>HYPERLINK("http://mcgill.on.worldcat.org/oclc/746838264","Catalog Record")</f>
        <v>Catalog Record</v>
      </c>
      <c r="AW3461" s="6" t="str">
        <f>HYPERLINK("http://www.worldcat.org/oclc/746838264","WorldCat Record")</f>
        <v>WorldCat Record</v>
      </c>
      <c r="AX3461" s="3" t="s">
        <v>33410</v>
      </c>
      <c r="AY3461" s="3" t="s">
        <v>33411</v>
      </c>
      <c r="AZ3461" s="3" t="s">
        <v>33412</v>
      </c>
      <c r="BA3461" s="3" t="s">
        <v>33412</v>
      </c>
      <c r="BB3461" s="3" t="s">
        <v>33413</v>
      </c>
      <c r="BC3461" s="3" t="s">
        <v>142</v>
      </c>
      <c r="BD3461" s="3" t="s">
        <v>68</v>
      </c>
      <c r="BE3461" s="3" t="s">
        <v>33414</v>
      </c>
      <c r="BF3461" s="3" t="s">
        <v>33413</v>
      </c>
      <c r="BG3461" s="3" t="s">
        <v>33415</v>
      </c>
    </row>
    <row r="3462" spans="1:59" ht="57" x14ac:dyDescent="0.45">
      <c r="A3462" s="2" t="s">
        <v>59</v>
      </c>
      <c r="B3462" s="2" t="s">
        <v>60</v>
      </c>
      <c r="C3462" s="2" t="s">
        <v>33416</v>
      </c>
      <c r="D3462" s="2" t="s">
        <v>33417</v>
      </c>
      <c r="E3462" s="2" t="s">
        <v>33418</v>
      </c>
      <c r="G3462" s="3" t="s">
        <v>62</v>
      </c>
      <c r="I3462" s="3" t="s">
        <v>61</v>
      </c>
      <c r="J3462" s="3" t="s">
        <v>62</v>
      </c>
      <c r="K3462" s="3" t="s">
        <v>63</v>
      </c>
      <c r="L3462" s="2" t="s">
        <v>21321</v>
      </c>
      <c r="M3462" s="2" t="s">
        <v>9600</v>
      </c>
      <c r="N3462" s="3" t="s">
        <v>1212</v>
      </c>
      <c r="P3462" s="3" t="s">
        <v>65</v>
      </c>
      <c r="R3462" s="3" t="s">
        <v>66</v>
      </c>
      <c r="S3462" s="4">
        <v>18</v>
      </c>
      <c r="T3462" s="4">
        <v>27</v>
      </c>
      <c r="U3462" s="5" t="s">
        <v>18591</v>
      </c>
      <c r="V3462" s="5" t="s">
        <v>26343</v>
      </c>
      <c r="W3462" s="5" t="s">
        <v>67</v>
      </c>
      <c r="X3462" s="5" t="s">
        <v>67</v>
      </c>
      <c r="Y3462" s="4">
        <v>285</v>
      </c>
      <c r="Z3462" s="4">
        <v>13</v>
      </c>
      <c r="AA3462" s="4">
        <v>21</v>
      </c>
      <c r="AB3462" s="4">
        <v>2</v>
      </c>
      <c r="AC3462" s="4">
        <v>8</v>
      </c>
      <c r="AD3462" s="4">
        <v>96</v>
      </c>
      <c r="AE3462" s="4">
        <v>106</v>
      </c>
      <c r="AF3462" s="4">
        <v>1</v>
      </c>
      <c r="AG3462" s="4">
        <v>4</v>
      </c>
      <c r="AH3462" s="4">
        <v>89</v>
      </c>
      <c r="AI3462" s="4">
        <v>97</v>
      </c>
      <c r="AJ3462" s="4">
        <v>9</v>
      </c>
      <c r="AK3462" s="4">
        <v>13</v>
      </c>
      <c r="AL3462" s="4">
        <v>50</v>
      </c>
      <c r="AM3462" s="4">
        <v>53</v>
      </c>
      <c r="AN3462" s="4">
        <v>0</v>
      </c>
      <c r="AO3462" s="4">
        <v>0</v>
      </c>
      <c r="AP3462" s="4">
        <v>10</v>
      </c>
      <c r="AQ3462" s="4">
        <v>13</v>
      </c>
      <c r="AR3462" s="3" t="s">
        <v>62</v>
      </c>
      <c r="AS3462" s="3" t="s">
        <v>62</v>
      </c>
      <c r="AT3462" s="3" t="s">
        <v>61</v>
      </c>
      <c r="AU3462" s="6" t="str">
        <f>HYPERLINK("http://catalog.hathitrust.org/Record/004111586","HathiTrust Record")</f>
        <v>HathiTrust Record</v>
      </c>
      <c r="AV3462" s="6" t="str">
        <f>HYPERLINK("http://mcgill.on.worldcat.org/oclc/43615812","Catalog Record")</f>
        <v>Catalog Record</v>
      </c>
      <c r="AW3462" s="6" t="str">
        <f>HYPERLINK("http://www.worldcat.org/oclc/43615812","WorldCat Record")</f>
        <v>WorldCat Record</v>
      </c>
      <c r="AX3462" s="3" t="s">
        <v>33419</v>
      </c>
      <c r="AY3462" s="3" t="s">
        <v>33420</v>
      </c>
      <c r="AZ3462" s="3" t="s">
        <v>33421</v>
      </c>
      <c r="BA3462" s="3" t="s">
        <v>33421</v>
      </c>
      <c r="BB3462" s="3" t="s">
        <v>33422</v>
      </c>
      <c r="BC3462" s="3" t="s">
        <v>142</v>
      </c>
      <c r="BD3462" s="3" t="s">
        <v>68</v>
      </c>
      <c r="BE3462" s="3" t="s">
        <v>33423</v>
      </c>
      <c r="BF3462" s="3" t="s">
        <v>33422</v>
      </c>
      <c r="BG3462" s="3" t="s">
        <v>33424</v>
      </c>
    </row>
    <row r="3463" spans="1:59" ht="57" x14ac:dyDescent="0.45">
      <c r="A3463" s="2" t="s">
        <v>59</v>
      </c>
      <c r="B3463" s="2" t="s">
        <v>60</v>
      </c>
      <c r="C3463" s="2" t="s">
        <v>33416</v>
      </c>
      <c r="D3463" s="2" t="s">
        <v>33417</v>
      </c>
      <c r="E3463" s="2" t="s">
        <v>33418</v>
      </c>
      <c r="G3463" s="3" t="s">
        <v>62</v>
      </c>
      <c r="I3463" s="3" t="s">
        <v>61</v>
      </c>
      <c r="J3463" s="3" t="s">
        <v>62</v>
      </c>
      <c r="K3463" s="3" t="s">
        <v>63</v>
      </c>
      <c r="L3463" s="2" t="s">
        <v>21321</v>
      </c>
      <c r="M3463" s="2" t="s">
        <v>9600</v>
      </c>
      <c r="N3463" s="3" t="s">
        <v>1212</v>
      </c>
      <c r="P3463" s="3" t="s">
        <v>65</v>
      </c>
      <c r="R3463" s="3" t="s">
        <v>66</v>
      </c>
      <c r="S3463" s="4">
        <v>9</v>
      </c>
      <c r="T3463" s="4">
        <v>27</v>
      </c>
      <c r="U3463" s="5" t="s">
        <v>26343</v>
      </c>
      <c r="V3463" s="5" t="s">
        <v>26343</v>
      </c>
      <c r="W3463" s="5" t="s">
        <v>67</v>
      </c>
      <c r="X3463" s="5" t="s">
        <v>67</v>
      </c>
      <c r="Y3463" s="4">
        <v>285</v>
      </c>
      <c r="Z3463" s="4">
        <v>13</v>
      </c>
      <c r="AA3463" s="4">
        <v>21</v>
      </c>
      <c r="AB3463" s="4">
        <v>2</v>
      </c>
      <c r="AC3463" s="4">
        <v>8</v>
      </c>
      <c r="AD3463" s="4">
        <v>96</v>
      </c>
      <c r="AE3463" s="4">
        <v>106</v>
      </c>
      <c r="AF3463" s="4">
        <v>1</v>
      </c>
      <c r="AG3463" s="4">
        <v>4</v>
      </c>
      <c r="AH3463" s="4">
        <v>89</v>
      </c>
      <c r="AI3463" s="4">
        <v>97</v>
      </c>
      <c r="AJ3463" s="4">
        <v>9</v>
      </c>
      <c r="AK3463" s="4">
        <v>13</v>
      </c>
      <c r="AL3463" s="4">
        <v>50</v>
      </c>
      <c r="AM3463" s="4">
        <v>53</v>
      </c>
      <c r="AN3463" s="4">
        <v>0</v>
      </c>
      <c r="AO3463" s="4">
        <v>0</v>
      </c>
      <c r="AP3463" s="4">
        <v>10</v>
      </c>
      <c r="AQ3463" s="4">
        <v>13</v>
      </c>
      <c r="AR3463" s="3" t="s">
        <v>62</v>
      </c>
      <c r="AS3463" s="3" t="s">
        <v>62</v>
      </c>
      <c r="AT3463" s="3" t="s">
        <v>61</v>
      </c>
      <c r="AU3463" s="6" t="str">
        <f>HYPERLINK("http://catalog.hathitrust.org/Record/004111586","HathiTrust Record")</f>
        <v>HathiTrust Record</v>
      </c>
      <c r="AV3463" s="6" t="str">
        <f>HYPERLINK("http://mcgill.on.worldcat.org/oclc/43615812","Catalog Record")</f>
        <v>Catalog Record</v>
      </c>
      <c r="AW3463" s="6" t="str">
        <f>HYPERLINK("http://www.worldcat.org/oclc/43615812","WorldCat Record")</f>
        <v>WorldCat Record</v>
      </c>
      <c r="AX3463" s="3" t="s">
        <v>33419</v>
      </c>
      <c r="AY3463" s="3" t="s">
        <v>33420</v>
      </c>
      <c r="AZ3463" s="3" t="s">
        <v>33421</v>
      </c>
      <c r="BA3463" s="3" t="s">
        <v>33421</v>
      </c>
      <c r="BB3463" s="3" t="s">
        <v>33425</v>
      </c>
      <c r="BC3463" s="3" t="s">
        <v>142</v>
      </c>
      <c r="BD3463" s="3" t="s">
        <v>68</v>
      </c>
      <c r="BE3463" s="3" t="s">
        <v>33423</v>
      </c>
      <c r="BF3463" s="3" t="s">
        <v>33425</v>
      </c>
      <c r="BG3463" s="3" t="s">
        <v>33426</v>
      </c>
    </row>
    <row r="3464" spans="1:59" ht="57" x14ac:dyDescent="0.45">
      <c r="A3464" s="2" t="s">
        <v>59</v>
      </c>
      <c r="B3464" s="2" t="s">
        <v>60</v>
      </c>
      <c r="C3464" s="2" t="s">
        <v>33427</v>
      </c>
      <c r="D3464" s="2" t="s">
        <v>33428</v>
      </c>
      <c r="E3464" s="2" t="s">
        <v>33429</v>
      </c>
      <c r="G3464" s="3" t="s">
        <v>62</v>
      </c>
      <c r="I3464" s="3" t="s">
        <v>62</v>
      </c>
      <c r="J3464" s="3" t="s">
        <v>62</v>
      </c>
      <c r="K3464" s="3" t="s">
        <v>63</v>
      </c>
      <c r="M3464" s="2" t="s">
        <v>33430</v>
      </c>
      <c r="N3464" s="3" t="s">
        <v>149</v>
      </c>
      <c r="P3464" s="3" t="s">
        <v>65</v>
      </c>
      <c r="R3464" s="3" t="s">
        <v>66</v>
      </c>
      <c r="S3464" s="4">
        <v>2</v>
      </c>
      <c r="T3464" s="4">
        <v>2</v>
      </c>
      <c r="U3464" s="5" t="s">
        <v>33431</v>
      </c>
      <c r="V3464" s="5" t="s">
        <v>33431</v>
      </c>
      <c r="W3464" s="5" t="s">
        <v>67</v>
      </c>
      <c r="X3464" s="5" t="s">
        <v>67</v>
      </c>
      <c r="Y3464" s="4">
        <v>196</v>
      </c>
      <c r="Z3464" s="4">
        <v>19</v>
      </c>
      <c r="AA3464" s="4">
        <v>84</v>
      </c>
      <c r="AB3464" s="4">
        <v>1</v>
      </c>
      <c r="AC3464" s="4">
        <v>14</v>
      </c>
      <c r="AD3464" s="4">
        <v>63</v>
      </c>
      <c r="AE3464" s="4">
        <v>120</v>
      </c>
      <c r="AF3464" s="4">
        <v>0</v>
      </c>
      <c r="AG3464" s="4">
        <v>8</v>
      </c>
      <c r="AH3464" s="4">
        <v>56</v>
      </c>
      <c r="AI3464" s="4">
        <v>84</v>
      </c>
      <c r="AJ3464" s="4">
        <v>13</v>
      </c>
      <c r="AK3464" s="4">
        <v>24</v>
      </c>
      <c r="AL3464" s="4">
        <v>37</v>
      </c>
      <c r="AM3464" s="4">
        <v>45</v>
      </c>
      <c r="AN3464" s="4">
        <v>0</v>
      </c>
      <c r="AO3464" s="4">
        <v>0</v>
      </c>
      <c r="AP3464" s="4">
        <v>14</v>
      </c>
      <c r="AQ3464" s="4">
        <v>44</v>
      </c>
      <c r="AR3464" s="3" t="s">
        <v>62</v>
      </c>
      <c r="AS3464" s="3" t="s">
        <v>62</v>
      </c>
      <c r="AT3464" s="3" t="s">
        <v>62</v>
      </c>
      <c r="AV3464" s="6" t="str">
        <f>HYPERLINK("http://mcgill.on.worldcat.org/oclc/627701227","Catalog Record")</f>
        <v>Catalog Record</v>
      </c>
      <c r="AW3464" s="6" t="str">
        <f>HYPERLINK("http://www.worldcat.org/oclc/627701227","WorldCat Record")</f>
        <v>WorldCat Record</v>
      </c>
      <c r="AX3464" s="3" t="s">
        <v>33432</v>
      </c>
      <c r="AY3464" s="3" t="s">
        <v>33433</v>
      </c>
      <c r="AZ3464" s="3" t="s">
        <v>33434</v>
      </c>
      <c r="BA3464" s="3" t="s">
        <v>33434</v>
      </c>
      <c r="BB3464" s="3" t="s">
        <v>33435</v>
      </c>
      <c r="BC3464" s="3" t="s">
        <v>142</v>
      </c>
      <c r="BD3464" s="3" t="s">
        <v>68</v>
      </c>
      <c r="BE3464" s="3" t="s">
        <v>33436</v>
      </c>
      <c r="BF3464" s="3" t="s">
        <v>33435</v>
      </c>
      <c r="BG3464" s="3" t="s">
        <v>33437</v>
      </c>
    </row>
    <row r="3465" spans="1:59" ht="57" x14ac:dyDescent="0.45">
      <c r="A3465" s="2" t="s">
        <v>59</v>
      </c>
      <c r="B3465" s="2" t="s">
        <v>60</v>
      </c>
      <c r="C3465" s="2" t="s">
        <v>33438</v>
      </c>
      <c r="D3465" s="2" t="s">
        <v>33439</v>
      </c>
      <c r="E3465" s="2" t="s">
        <v>33440</v>
      </c>
      <c r="G3465" s="3" t="s">
        <v>62</v>
      </c>
      <c r="I3465" s="3" t="s">
        <v>62</v>
      </c>
      <c r="J3465" s="3" t="s">
        <v>62</v>
      </c>
      <c r="K3465" s="3" t="s">
        <v>63</v>
      </c>
      <c r="L3465" s="2" t="s">
        <v>33441</v>
      </c>
      <c r="M3465" s="2" t="s">
        <v>33442</v>
      </c>
      <c r="N3465" s="3" t="s">
        <v>1918</v>
      </c>
      <c r="P3465" s="3" t="s">
        <v>65</v>
      </c>
      <c r="Q3465" s="2" t="s">
        <v>33443</v>
      </c>
      <c r="R3465" s="3" t="s">
        <v>66</v>
      </c>
      <c r="S3465" s="4">
        <v>0</v>
      </c>
      <c r="T3465" s="4">
        <v>0</v>
      </c>
      <c r="W3465" s="5" t="s">
        <v>67</v>
      </c>
      <c r="X3465" s="5" t="s">
        <v>67</v>
      </c>
      <c r="Y3465" s="4">
        <v>24</v>
      </c>
      <c r="Z3465" s="4">
        <v>2</v>
      </c>
      <c r="AA3465" s="4">
        <v>13</v>
      </c>
      <c r="AB3465" s="4">
        <v>1</v>
      </c>
      <c r="AC3465" s="4">
        <v>1</v>
      </c>
      <c r="AD3465" s="4">
        <v>12</v>
      </c>
      <c r="AE3465" s="4">
        <v>51</v>
      </c>
      <c r="AF3465" s="4">
        <v>0</v>
      </c>
      <c r="AG3465" s="4">
        <v>0</v>
      </c>
      <c r="AH3465" s="4">
        <v>12</v>
      </c>
      <c r="AI3465" s="4">
        <v>43</v>
      </c>
      <c r="AJ3465" s="4">
        <v>1</v>
      </c>
      <c r="AK3465" s="4">
        <v>9</v>
      </c>
      <c r="AL3465" s="4">
        <v>7</v>
      </c>
      <c r="AM3465" s="4">
        <v>28</v>
      </c>
      <c r="AN3465" s="4">
        <v>0</v>
      </c>
      <c r="AO3465" s="4">
        <v>0</v>
      </c>
      <c r="AP3465" s="4">
        <v>1</v>
      </c>
      <c r="AQ3465" s="4">
        <v>12</v>
      </c>
      <c r="AR3465" s="3" t="s">
        <v>62</v>
      </c>
      <c r="AS3465" s="3" t="s">
        <v>62</v>
      </c>
      <c r="AT3465" s="3" t="s">
        <v>62</v>
      </c>
      <c r="AV3465" s="6" t="str">
        <f>HYPERLINK("http://mcgill.on.worldcat.org/oclc/967844754","Catalog Record")</f>
        <v>Catalog Record</v>
      </c>
      <c r="AW3465" s="6" t="str">
        <f>HYPERLINK("http://www.worldcat.org/oclc/967844754","WorldCat Record")</f>
        <v>WorldCat Record</v>
      </c>
      <c r="AX3465" s="3" t="s">
        <v>33444</v>
      </c>
      <c r="AY3465" s="3" t="s">
        <v>33445</v>
      </c>
      <c r="AZ3465" s="3" t="s">
        <v>33446</v>
      </c>
      <c r="BA3465" s="3" t="s">
        <v>33446</v>
      </c>
      <c r="BB3465" s="3" t="s">
        <v>33447</v>
      </c>
      <c r="BC3465" s="3" t="s">
        <v>142</v>
      </c>
      <c r="BD3465" s="3" t="s">
        <v>68</v>
      </c>
      <c r="BE3465" s="3" t="s">
        <v>33448</v>
      </c>
      <c r="BF3465" s="3" t="s">
        <v>33447</v>
      </c>
      <c r="BG3465" s="3" t="s">
        <v>33449</v>
      </c>
    </row>
    <row r="3466" spans="1:59" ht="57" x14ac:dyDescent="0.45">
      <c r="A3466" s="2" t="s">
        <v>59</v>
      </c>
      <c r="B3466" s="2" t="s">
        <v>60</v>
      </c>
      <c r="C3466" s="2" t="s">
        <v>33450</v>
      </c>
      <c r="D3466" s="2" t="s">
        <v>33451</v>
      </c>
      <c r="E3466" s="2" t="s">
        <v>33452</v>
      </c>
      <c r="F3466" s="3" t="s">
        <v>90</v>
      </c>
      <c r="G3466" s="3" t="s">
        <v>61</v>
      </c>
      <c r="I3466" s="3" t="s">
        <v>61</v>
      </c>
      <c r="J3466" s="3" t="s">
        <v>62</v>
      </c>
      <c r="K3466" s="3" t="s">
        <v>63</v>
      </c>
      <c r="L3466" s="2" t="s">
        <v>33453</v>
      </c>
      <c r="M3466" s="2" t="s">
        <v>33454</v>
      </c>
      <c r="N3466" s="3" t="s">
        <v>106</v>
      </c>
      <c r="P3466" s="3" t="s">
        <v>65</v>
      </c>
      <c r="Q3466" s="2" t="s">
        <v>33455</v>
      </c>
      <c r="R3466" s="3" t="s">
        <v>66</v>
      </c>
      <c r="S3466" s="4">
        <v>15</v>
      </c>
      <c r="T3466" s="4">
        <v>53</v>
      </c>
      <c r="U3466" s="5" t="s">
        <v>5192</v>
      </c>
      <c r="V3466" s="5" t="s">
        <v>5192</v>
      </c>
      <c r="W3466" s="5" t="s">
        <v>67</v>
      </c>
      <c r="X3466" s="5" t="s">
        <v>67</v>
      </c>
      <c r="Y3466" s="4">
        <v>246</v>
      </c>
      <c r="Z3466" s="4">
        <v>20</v>
      </c>
      <c r="AA3466" s="4">
        <v>43</v>
      </c>
      <c r="AB3466" s="4">
        <v>2</v>
      </c>
      <c r="AC3466" s="4">
        <v>5</v>
      </c>
      <c r="AD3466" s="4">
        <v>93</v>
      </c>
      <c r="AE3466" s="4">
        <v>110</v>
      </c>
      <c r="AF3466" s="4">
        <v>1</v>
      </c>
      <c r="AG3466" s="4">
        <v>4</v>
      </c>
      <c r="AH3466" s="4">
        <v>85</v>
      </c>
      <c r="AI3466" s="4">
        <v>88</v>
      </c>
      <c r="AJ3466" s="4">
        <v>12</v>
      </c>
      <c r="AK3466" s="4">
        <v>23</v>
      </c>
      <c r="AL3466" s="4">
        <v>49</v>
      </c>
      <c r="AM3466" s="4">
        <v>49</v>
      </c>
      <c r="AN3466" s="4">
        <v>0</v>
      </c>
      <c r="AO3466" s="4">
        <v>0</v>
      </c>
      <c r="AP3466" s="4">
        <v>16</v>
      </c>
      <c r="AQ3466" s="4">
        <v>32</v>
      </c>
      <c r="AR3466" s="3" t="s">
        <v>61</v>
      </c>
      <c r="AS3466" s="3" t="s">
        <v>62</v>
      </c>
      <c r="AT3466" s="3" t="s">
        <v>61</v>
      </c>
      <c r="AU3466" s="6" t="str">
        <f t="shared" ref="AU3466:AU3472" si="45">HYPERLINK("http://catalog.hathitrust.org/Record/000654541","HathiTrust Record")</f>
        <v>HathiTrust Record</v>
      </c>
      <c r="AV3466" s="6" t="str">
        <f t="shared" ref="AV3466:AV3472" si="46">HYPERLINK("http://mcgill.on.worldcat.org/oclc/12104875","Catalog Record")</f>
        <v>Catalog Record</v>
      </c>
      <c r="AW3466" s="6" t="str">
        <f t="shared" ref="AW3466:AW3472" si="47">HYPERLINK("http://www.worldcat.org/oclc/12104875","WorldCat Record")</f>
        <v>WorldCat Record</v>
      </c>
      <c r="AX3466" s="3" t="s">
        <v>33456</v>
      </c>
      <c r="AY3466" s="3" t="s">
        <v>33457</v>
      </c>
      <c r="AZ3466" s="3" t="s">
        <v>33458</v>
      </c>
      <c r="BA3466" s="3" t="s">
        <v>33458</v>
      </c>
      <c r="BB3466" s="3" t="s">
        <v>33459</v>
      </c>
      <c r="BC3466" s="3" t="s">
        <v>142</v>
      </c>
      <c r="BD3466" s="3" t="s">
        <v>68</v>
      </c>
      <c r="BE3466" s="3" t="s">
        <v>33460</v>
      </c>
      <c r="BF3466" s="3" t="s">
        <v>33459</v>
      </c>
      <c r="BG3466" s="3" t="s">
        <v>33461</v>
      </c>
    </row>
    <row r="3467" spans="1:59" ht="57" x14ac:dyDescent="0.45">
      <c r="A3467" s="2" t="s">
        <v>59</v>
      </c>
      <c r="B3467" s="2" t="s">
        <v>60</v>
      </c>
      <c r="C3467" s="2" t="s">
        <v>33450</v>
      </c>
      <c r="D3467" s="2" t="s">
        <v>33451</v>
      </c>
      <c r="E3467" s="2" t="s">
        <v>33452</v>
      </c>
      <c r="F3467" s="3" t="s">
        <v>87</v>
      </c>
      <c r="G3467" s="3" t="s">
        <v>61</v>
      </c>
      <c r="I3467" s="3" t="s">
        <v>61</v>
      </c>
      <c r="J3467" s="3" t="s">
        <v>62</v>
      </c>
      <c r="K3467" s="3" t="s">
        <v>63</v>
      </c>
      <c r="L3467" s="2" t="s">
        <v>33453</v>
      </c>
      <c r="M3467" s="2" t="s">
        <v>33454</v>
      </c>
      <c r="N3467" s="3" t="s">
        <v>106</v>
      </c>
      <c r="P3467" s="3" t="s">
        <v>65</v>
      </c>
      <c r="Q3467" s="2" t="s">
        <v>33455</v>
      </c>
      <c r="R3467" s="3" t="s">
        <v>66</v>
      </c>
      <c r="S3467" s="4">
        <v>13</v>
      </c>
      <c r="T3467" s="4">
        <v>53</v>
      </c>
      <c r="U3467" s="5" t="s">
        <v>33462</v>
      </c>
      <c r="V3467" s="5" t="s">
        <v>5192</v>
      </c>
      <c r="W3467" s="5" t="s">
        <v>67</v>
      </c>
      <c r="X3467" s="5" t="s">
        <v>67</v>
      </c>
      <c r="Y3467" s="4">
        <v>246</v>
      </c>
      <c r="Z3467" s="4">
        <v>20</v>
      </c>
      <c r="AA3467" s="4">
        <v>43</v>
      </c>
      <c r="AB3467" s="4">
        <v>2</v>
      </c>
      <c r="AC3467" s="4">
        <v>5</v>
      </c>
      <c r="AD3467" s="4">
        <v>93</v>
      </c>
      <c r="AE3467" s="4">
        <v>110</v>
      </c>
      <c r="AF3467" s="4">
        <v>1</v>
      </c>
      <c r="AG3467" s="4">
        <v>4</v>
      </c>
      <c r="AH3467" s="4">
        <v>85</v>
      </c>
      <c r="AI3467" s="4">
        <v>88</v>
      </c>
      <c r="AJ3467" s="4">
        <v>12</v>
      </c>
      <c r="AK3467" s="4">
        <v>23</v>
      </c>
      <c r="AL3467" s="4">
        <v>49</v>
      </c>
      <c r="AM3467" s="4">
        <v>49</v>
      </c>
      <c r="AN3467" s="4">
        <v>0</v>
      </c>
      <c r="AO3467" s="4">
        <v>0</v>
      </c>
      <c r="AP3467" s="4">
        <v>16</v>
      </c>
      <c r="AQ3467" s="4">
        <v>32</v>
      </c>
      <c r="AR3467" s="3" t="s">
        <v>61</v>
      </c>
      <c r="AS3467" s="3" t="s">
        <v>62</v>
      </c>
      <c r="AT3467" s="3" t="s">
        <v>61</v>
      </c>
      <c r="AU3467" s="6" t="str">
        <f t="shared" si="45"/>
        <v>HathiTrust Record</v>
      </c>
      <c r="AV3467" s="6" t="str">
        <f t="shared" si="46"/>
        <v>Catalog Record</v>
      </c>
      <c r="AW3467" s="6" t="str">
        <f t="shared" si="47"/>
        <v>WorldCat Record</v>
      </c>
      <c r="AX3467" s="3" t="s">
        <v>33456</v>
      </c>
      <c r="AY3467" s="3" t="s">
        <v>33457</v>
      </c>
      <c r="AZ3467" s="3" t="s">
        <v>33458</v>
      </c>
      <c r="BA3467" s="3" t="s">
        <v>33458</v>
      </c>
      <c r="BB3467" s="3" t="s">
        <v>33463</v>
      </c>
      <c r="BC3467" s="3" t="s">
        <v>142</v>
      </c>
      <c r="BD3467" s="3" t="s">
        <v>68</v>
      </c>
      <c r="BE3467" s="3" t="s">
        <v>33460</v>
      </c>
      <c r="BF3467" s="3" t="s">
        <v>33463</v>
      </c>
      <c r="BG3467" s="3" t="s">
        <v>33464</v>
      </c>
    </row>
    <row r="3468" spans="1:59" ht="57" x14ac:dyDescent="0.45">
      <c r="A3468" s="2" t="s">
        <v>59</v>
      </c>
      <c r="B3468" s="2" t="s">
        <v>60</v>
      </c>
      <c r="C3468" s="2" t="s">
        <v>33450</v>
      </c>
      <c r="D3468" s="2" t="s">
        <v>33451</v>
      </c>
      <c r="E3468" s="2" t="s">
        <v>33452</v>
      </c>
      <c r="F3468" s="3" t="s">
        <v>87</v>
      </c>
      <c r="G3468" s="3" t="s">
        <v>61</v>
      </c>
      <c r="I3468" s="3" t="s">
        <v>61</v>
      </c>
      <c r="J3468" s="3" t="s">
        <v>62</v>
      </c>
      <c r="K3468" s="3" t="s">
        <v>63</v>
      </c>
      <c r="L3468" s="2" t="s">
        <v>33453</v>
      </c>
      <c r="M3468" s="2" t="s">
        <v>33454</v>
      </c>
      <c r="N3468" s="3" t="s">
        <v>106</v>
      </c>
      <c r="P3468" s="3" t="s">
        <v>65</v>
      </c>
      <c r="Q3468" s="2" t="s">
        <v>33455</v>
      </c>
      <c r="R3468" s="3" t="s">
        <v>66</v>
      </c>
      <c r="S3468" s="4">
        <v>18</v>
      </c>
      <c r="T3468" s="4">
        <v>53</v>
      </c>
      <c r="U3468" s="5" t="s">
        <v>33431</v>
      </c>
      <c r="V3468" s="5" t="s">
        <v>5192</v>
      </c>
      <c r="W3468" s="5" t="s">
        <v>67</v>
      </c>
      <c r="X3468" s="5" t="s">
        <v>67</v>
      </c>
      <c r="Y3468" s="4">
        <v>246</v>
      </c>
      <c r="Z3468" s="4">
        <v>20</v>
      </c>
      <c r="AA3468" s="4">
        <v>43</v>
      </c>
      <c r="AB3468" s="4">
        <v>2</v>
      </c>
      <c r="AC3468" s="4">
        <v>5</v>
      </c>
      <c r="AD3468" s="4">
        <v>93</v>
      </c>
      <c r="AE3468" s="4">
        <v>110</v>
      </c>
      <c r="AF3468" s="4">
        <v>1</v>
      </c>
      <c r="AG3468" s="4">
        <v>4</v>
      </c>
      <c r="AH3468" s="4">
        <v>85</v>
      </c>
      <c r="AI3468" s="4">
        <v>88</v>
      </c>
      <c r="AJ3468" s="4">
        <v>12</v>
      </c>
      <c r="AK3468" s="4">
        <v>23</v>
      </c>
      <c r="AL3468" s="4">
        <v>49</v>
      </c>
      <c r="AM3468" s="4">
        <v>49</v>
      </c>
      <c r="AN3468" s="4">
        <v>0</v>
      </c>
      <c r="AO3468" s="4">
        <v>0</v>
      </c>
      <c r="AP3468" s="4">
        <v>16</v>
      </c>
      <c r="AQ3468" s="4">
        <v>32</v>
      </c>
      <c r="AR3468" s="3" t="s">
        <v>61</v>
      </c>
      <c r="AS3468" s="3" t="s">
        <v>62</v>
      </c>
      <c r="AT3468" s="3" t="s">
        <v>61</v>
      </c>
      <c r="AU3468" s="6" t="str">
        <f t="shared" si="45"/>
        <v>HathiTrust Record</v>
      </c>
      <c r="AV3468" s="6" t="str">
        <f t="shared" si="46"/>
        <v>Catalog Record</v>
      </c>
      <c r="AW3468" s="6" t="str">
        <f t="shared" si="47"/>
        <v>WorldCat Record</v>
      </c>
      <c r="AX3468" s="3" t="s">
        <v>33456</v>
      </c>
      <c r="AY3468" s="3" t="s">
        <v>33457</v>
      </c>
      <c r="AZ3468" s="3" t="s">
        <v>33458</v>
      </c>
      <c r="BA3468" s="3" t="s">
        <v>33458</v>
      </c>
      <c r="BB3468" s="3" t="s">
        <v>33465</v>
      </c>
      <c r="BC3468" s="3" t="s">
        <v>142</v>
      </c>
      <c r="BD3468" s="3" t="s">
        <v>68</v>
      </c>
      <c r="BE3468" s="3" t="s">
        <v>33460</v>
      </c>
      <c r="BF3468" s="3" t="s">
        <v>33465</v>
      </c>
      <c r="BG3468" s="3" t="s">
        <v>33466</v>
      </c>
    </row>
    <row r="3469" spans="1:59" ht="57" x14ac:dyDescent="0.45">
      <c r="A3469" s="2" t="s">
        <v>59</v>
      </c>
      <c r="B3469" s="2" t="s">
        <v>60</v>
      </c>
      <c r="C3469" s="2" t="s">
        <v>33450</v>
      </c>
      <c r="D3469" s="2" t="s">
        <v>33451</v>
      </c>
      <c r="E3469" s="2" t="s">
        <v>33452</v>
      </c>
      <c r="F3469" s="3" t="s">
        <v>87</v>
      </c>
      <c r="G3469" s="3" t="s">
        <v>61</v>
      </c>
      <c r="I3469" s="3" t="s">
        <v>61</v>
      </c>
      <c r="J3469" s="3" t="s">
        <v>62</v>
      </c>
      <c r="K3469" s="3" t="s">
        <v>63</v>
      </c>
      <c r="L3469" s="2" t="s">
        <v>33453</v>
      </c>
      <c r="M3469" s="2" t="s">
        <v>33454</v>
      </c>
      <c r="N3469" s="3" t="s">
        <v>106</v>
      </c>
      <c r="P3469" s="3" t="s">
        <v>65</v>
      </c>
      <c r="Q3469" s="2" t="s">
        <v>33455</v>
      </c>
      <c r="R3469" s="3" t="s">
        <v>66</v>
      </c>
      <c r="S3469" s="4">
        <v>0</v>
      </c>
      <c r="T3469" s="4">
        <v>53</v>
      </c>
      <c r="V3469" s="5" t="s">
        <v>5192</v>
      </c>
      <c r="W3469" s="5" t="s">
        <v>67</v>
      </c>
      <c r="X3469" s="5" t="s">
        <v>67</v>
      </c>
      <c r="Y3469" s="4">
        <v>246</v>
      </c>
      <c r="Z3469" s="4">
        <v>20</v>
      </c>
      <c r="AA3469" s="4">
        <v>43</v>
      </c>
      <c r="AB3469" s="4">
        <v>2</v>
      </c>
      <c r="AC3469" s="4">
        <v>5</v>
      </c>
      <c r="AD3469" s="4">
        <v>93</v>
      </c>
      <c r="AE3469" s="4">
        <v>110</v>
      </c>
      <c r="AF3469" s="4">
        <v>1</v>
      </c>
      <c r="AG3469" s="4">
        <v>4</v>
      </c>
      <c r="AH3469" s="4">
        <v>85</v>
      </c>
      <c r="AI3469" s="4">
        <v>88</v>
      </c>
      <c r="AJ3469" s="4">
        <v>12</v>
      </c>
      <c r="AK3469" s="4">
        <v>23</v>
      </c>
      <c r="AL3469" s="4">
        <v>49</v>
      </c>
      <c r="AM3469" s="4">
        <v>49</v>
      </c>
      <c r="AN3469" s="4">
        <v>0</v>
      </c>
      <c r="AO3469" s="4">
        <v>0</v>
      </c>
      <c r="AP3469" s="4">
        <v>16</v>
      </c>
      <c r="AQ3469" s="4">
        <v>32</v>
      </c>
      <c r="AR3469" s="3" t="s">
        <v>61</v>
      </c>
      <c r="AS3469" s="3" t="s">
        <v>62</v>
      </c>
      <c r="AT3469" s="3" t="s">
        <v>61</v>
      </c>
      <c r="AU3469" s="6" t="str">
        <f t="shared" si="45"/>
        <v>HathiTrust Record</v>
      </c>
      <c r="AV3469" s="6" t="str">
        <f t="shared" si="46"/>
        <v>Catalog Record</v>
      </c>
      <c r="AW3469" s="6" t="str">
        <f t="shared" si="47"/>
        <v>WorldCat Record</v>
      </c>
      <c r="AX3469" s="3" t="s">
        <v>33456</v>
      </c>
      <c r="AY3469" s="3" t="s">
        <v>33457</v>
      </c>
      <c r="AZ3469" s="3" t="s">
        <v>33458</v>
      </c>
      <c r="BA3469" s="3" t="s">
        <v>33458</v>
      </c>
      <c r="BB3469" s="3" t="s">
        <v>33467</v>
      </c>
      <c r="BC3469" s="3" t="s">
        <v>142</v>
      </c>
      <c r="BD3469" s="3" t="s">
        <v>68</v>
      </c>
      <c r="BE3469" s="3" t="s">
        <v>33460</v>
      </c>
      <c r="BF3469" s="3" t="s">
        <v>33467</v>
      </c>
      <c r="BG3469" s="3" t="s">
        <v>33468</v>
      </c>
    </row>
    <row r="3470" spans="1:59" ht="57" x14ac:dyDescent="0.45">
      <c r="A3470" s="2" t="s">
        <v>59</v>
      </c>
      <c r="B3470" s="2" t="s">
        <v>60</v>
      </c>
      <c r="C3470" s="2" t="s">
        <v>33450</v>
      </c>
      <c r="D3470" s="2" t="s">
        <v>33451</v>
      </c>
      <c r="E3470" s="2" t="s">
        <v>33452</v>
      </c>
      <c r="F3470" s="3" t="s">
        <v>86</v>
      </c>
      <c r="G3470" s="3" t="s">
        <v>61</v>
      </c>
      <c r="I3470" s="3" t="s">
        <v>61</v>
      </c>
      <c r="J3470" s="3" t="s">
        <v>62</v>
      </c>
      <c r="K3470" s="3" t="s">
        <v>63</v>
      </c>
      <c r="L3470" s="2" t="s">
        <v>33453</v>
      </c>
      <c r="M3470" s="2" t="s">
        <v>33454</v>
      </c>
      <c r="N3470" s="3" t="s">
        <v>106</v>
      </c>
      <c r="P3470" s="3" t="s">
        <v>65</v>
      </c>
      <c r="Q3470" s="2" t="s">
        <v>33455</v>
      </c>
      <c r="R3470" s="3" t="s">
        <v>66</v>
      </c>
      <c r="S3470" s="4">
        <v>0</v>
      </c>
      <c r="T3470" s="4">
        <v>53</v>
      </c>
      <c r="V3470" s="5" t="s">
        <v>5192</v>
      </c>
      <c r="W3470" s="5" t="s">
        <v>67</v>
      </c>
      <c r="X3470" s="5" t="s">
        <v>67</v>
      </c>
      <c r="Y3470" s="4">
        <v>246</v>
      </c>
      <c r="Z3470" s="4">
        <v>20</v>
      </c>
      <c r="AA3470" s="4">
        <v>43</v>
      </c>
      <c r="AB3470" s="4">
        <v>2</v>
      </c>
      <c r="AC3470" s="4">
        <v>5</v>
      </c>
      <c r="AD3470" s="4">
        <v>93</v>
      </c>
      <c r="AE3470" s="4">
        <v>110</v>
      </c>
      <c r="AF3470" s="4">
        <v>1</v>
      </c>
      <c r="AG3470" s="4">
        <v>4</v>
      </c>
      <c r="AH3470" s="4">
        <v>85</v>
      </c>
      <c r="AI3470" s="4">
        <v>88</v>
      </c>
      <c r="AJ3470" s="4">
        <v>12</v>
      </c>
      <c r="AK3470" s="4">
        <v>23</v>
      </c>
      <c r="AL3470" s="4">
        <v>49</v>
      </c>
      <c r="AM3470" s="4">
        <v>49</v>
      </c>
      <c r="AN3470" s="4">
        <v>0</v>
      </c>
      <c r="AO3470" s="4">
        <v>0</v>
      </c>
      <c r="AP3470" s="4">
        <v>16</v>
      </c>
      <c r="AQ3470" s="4">
        <v>32</v>
      </c>
      <c r="AR3470" s="3" t="s">
        <v>61</v>
      </c>
      <c r="AS3470" s="3" t="s">
        <v>62</v>
      </c>
      <c r="AT3470" s="3" t="s">
        <v>61</v>
      </c>
      <c r="AU3470" s="6" t="str">
        <f t="shared" si="45"/>
        <v>HathiTrust Record</v>
      </c>
      <c r="AV3470" s="6" t="str">
        <f t="shared" si="46"/>
        <v>Catalog Record</v>
      </c>
      <c r="AW3470" s="6" t="str">
        <f t="shared" si="47"/>
        <v>WorldCat Record</v>
      </c>
      <c r="AX3470" s="3" t="s">
        <v>33456</v>
      </c>
      <c r="AY3470" s="3" t="s">
        <v>33457</v>
      </c>
      <c r="AZ3470" s="3" t="s">
        <v>33458</v>
      </c>
      <c r="BA3470" s="3" t="s">
        <v>33458</v>
      </c>
      <c r="BB3470" s="3" t="s">
        <v>33469</v>
      </c>
      <c r="BC3470" s="3" t="s">
        <v>142</v>
      </c>
      <c r="BD3470" s="3" t="s">
        <v>68</v>
      </c>
      <c r="BE3470" s="3" t="s">
        <v>33460</v>
      </c>
      <c r="BF3470" s="3" t="s">
        <v>33469</v>
      </c>
      <c r="BG3470" s="3" t="s">
        <v>33470</v>
      </c>
    </row>
    <row r="3471" spans="1:59" ht="57" x14ac:dyDescent="0.45">
      <c r="A3471" s="2" t="s">
        <v>59</v>
      </c>
      <c r="B3471" s="2" t="s">
        <v>60</v>
      </c>
      <c r="C3471" s="2" t="s">
        <v>33450</v>
      </c>
      <c r="D3471" s="2" t="s">
        <v>33451</v>
      </c>
      <c r="E3471" s="2" t="s">
        <v>33452</v>
      </c>
      <c r="F3471" s="3" t="s">
        <v>90</v>
      </c>
      <c r="G3471" s="3" t="s">
        <v>61</v>
      </c>
      <c r="I3471" s="3" t="s">
        <v>61</v>
      </c>
      <c r="J3471" s="3" t="s">
        <v>62</v>
      </c>
      <c r="K3471" s="3" t="s">
        <v>63</v>
      </c>
      <c r="L3471" s="2" t="s">
        <v>33453</v>
      </c>
      <c r="M3471" s="2" t="s">
        <v>33454</v>
      </c>
      <c r="N3471" s="3" t="s">
        <v>106</v>
      </c>
      <c r="P3471" s="3" t="s">
        <v>65</v>
      </c>
      <c r="Q3471" s="2" t="s">
        <v>33455</v>
      </c>
      <c r="R3471" s="3" t="s">
        <v>66</v>
      </c>
      <c r="S3471" s="4">
        <v>6</v>
      </c>
      <c r="T3471" s="4">
        <v>53</v>
      </c>
      <c r="U3471" s="5" t="s">
        <v>33462</v>
      </c>
      <c r="V3471" s="5" t="s">
        <v>5192</v>
      </c>
      <c r="W3471" s="5" t="s">
        <v>67</v>
      </c>
      <c r="X3471" s="5" t="s">
        <v>67</v>
      </c>
      <c r="Y3471" s="4">
        <v>246</v>
      </c>
      <c r="Z3471" s="4">
        <v>20</v>
      </c>
      <c r="AA3471" s="4">
        <v>43</v>
      </c>
      <c r="AB3471" s="4">
        <v>2</v>
      </c>
      <c r="AC3471" s="4">
        <v>5</v>
      </c>
      <c r="AD3471" s="4">
        <v>93</v>
      </c>
      <c r="AE3471" s="4">
        <v>110</v>
      </c>
      <c r="AF3471" s="4">
        <v>1</v>
      </c>
      <c r="AG3471" s="4">
        <v>4</v>
      </c>
      <c r="AH3471" s="4">
        <v>85</v>
      </c>
      <c r="AI3471" s="4">
        <v>88</v>
      </c>
      <c r="AJ3471" s="4">
        <v>12</v>
      </c>
      <c r="AK3471" s="4">
        <v>23</v>
      </c>
      <c r="AL3471" s="4">
        <v>49</v>
      </c>
      <c r="AM3471" s="4">
        <v>49</v>
      </c>
      <c r="AN3471" s="4">
        <v>0</v>
      </c>
      <c r="AO3471" s="4">
        <v>0</v>
      </c>
      <c r="AP3471" s="4">
        <v>16</v>
      </c>
      <c r="AQ3471" s="4">
        <v>32</v>
      </c>
      <c r="AR3471" s="3" t="s">
        <v>61</v>
      </c>
      <c r="AS3471" s="3" t="s">
        <v>62</v>
      </c>
      <c r="AT3471" s="3" t="s">
        <v>61</v>
      </c>
      <c r="AU3471" s="6" t="str">
        <f t="shared" si="45"/>
        <v>HathiTrust Record</v>
      </c>
      <c r="AV3471" s="6" t="str">
        <f t="shared" si="46"/>
        <v>Catalog Record</v>
      </c>
      <c r="AW3471" s="6" t="str">
        <f t="shared" si="47"/>
        <v>WorldCat Record</v>
      </c>
      <c r="AX3471" s="3" t="s">
        <v>33456</v>
      </c>
      <c r="AY3471" s="3" t="s">
        <v>33457</v>
      </c>
      <c r="AZ3471" s="3" t="s">
        <v>33458</v>
      </c>
      <c r="BA3471" s="3" t="s">
        <v>33458</v>
      </c>
      <c r="BB3471" s="3" t="s">
        <v>33471</v>
      </c>
      <c r="BC3471" s="3" t="s">
        <v>142</v>
      </c>
      <c r="BD3471" s="3" t="s">
        <v>68</v>
      </c>
      <c r="BE3471" s="3" t="s">
        <v>33460</v>
      </c>
      <c r="BF3471" s="3" t="s">
        <v>33471</v>
      </c>
      <c r="BG3471" s="3" t="s">
        <v>33472</v>
      </c>
    </row>
    <row r="3472" spans="1:59" ht="57" x14ac:dyDescent="0.45">
      <c r="A3472" s="2" t="s">
        <v>59</v>
      </c>
      <c r="B3472" s="2" t="s">
        <v>60</v>
      </c>
      <c r="C3472" s="2" t="s">
        <v>33450</v>
      </c>
      <c r="D3472" s="2" t="s">
        <v>33451</v>
      </c>
      <c r="E3472" s="2" t="s">
        <v>33452</v>
      </c>
      <c r="F3472" s="3" t="s">
        <v>86</v>
      </c>
      <c r="G3472" s="3" t="s">
        <v>61</v>
      </c>
      <c r="I3472" s="3" t="s">
        <v>61</v>
      </c>
      <c r="J3472" s="3" t="s">
        <v>62</v>
      </c>
      <c r="K3472" s="3" t="s">
        <v>63</v>
      </c>
      <c r="L3472" s="2" t="s">
        <v>33453</v>
      </c>
      <c r="M3472" s="2" t="s">
        <v>33454</v>
      </c>
      <c r="N3472" s="3" t="s">
        <v>106</v>
      </c>
      <c r="P3472" s="3" t="s">
        <v>65</v>
      </c>
      <c r="Q3472" s="2" t="s">
        <v>33455</v>
      </c>
      <c r="R3472" s="3" t="s">
        <v>66</v>
      </c>
      <c r="S3472" s="4">
        <v>1</v>
      </c>
      <c r="T3472" s="4">
        <v>53</v>
      </c>
      <c r="U3472" s="5" t="s">
        <v>33462</v>
      </c>
      <c r="V3472" s="5" t="s">
        <v>5192</v>
      </c>
      <c r="W3472" s="5" t="s">
        <v>67</v>
      </c>
      <c r="X3472" s="5" t="s">
        <v>67</v>
      </c>
      <c r="Y3472" s="4">
        <v>246</v>
      </c>
      <c r="Z3472" s="4">
        <v>20</v>
      </c>
      <c r="AA3472" s="4">
        <v>43</v>
      </c>
      <c r="AB3472" s="4">
        <v>2</v>
      </c>
      <c r="AC3472" s="4">
        <v>5</v>
      </c>
      <c r="AD3472" s="4">
        <v>93</v>
      </c>
      <c r="AE3472" s="4">
        <v>110</v>
      </c>
      <c r="AF3472" s="4">
        <v>1</v>
      </c>
      <c r="AG3472" s="4">
        <v>4</v>
      </c>
      <c r="AH3472" s="4">
        <v>85</v>
      </c>
      <c r="AI3472" s="4">
        <v>88</v>
      </c>
      <c r="AJ3472" s="4">
        <v>12</v>
      </c>
      <c r="AK3472" s="4">
        <v>23</v>
      </c>
      <c r="AL3472" s="4">
        <v>49</v>
      </c>
      <c r="AM3472" s="4">
        <v>49</v>
      </c>
      <c r="AN3472" s="4">
        <v>0</v>
      </c>
      <c r="AO3472" s="4">
        <v>0</v>
      </c>
      <c r="AP3472" s="4">
        <v>16</v>
      </c>
      <c r="AQ3472" s="4">
        <v>32</v>
      </c>
      <c r="AR3472" s="3" t="s">
        <v>61</v>
      </c>
      <c r="AS3472" s="3" t="s">
        <v>62</v>
      </c>
      <c r="AT3472" s="3" t="s">
        <v>61</v>
      </c>
      <c r="AU3472" s="6" t="str">
        <f t="shared" si="45"/>
        <v>HathiTrust Record</v>
      </c>
      <c r="AV3472" s="6" t="str">
        <f t="shared" si="46"/>
        <v>Catalog Record</v>
      </c>
      <c r="AW3472" s="6" t="str">
        <f t="shared" si="47"/>
        <v>WorldCat Record</v>
      </c>
      <c r="AX3472" s="3" t="s">
        <v>33456</v>
      </c>
      <c r="AY3472" s="3" t="s">
        <v>33457</v>
      </c>
      <c r="AZ3472" s="3" t="s">
        <v>33458</v>
      </c>
      <c r="BA3472" s="3" t="s">
        <v>33458</v>
      </c>
      <c r="BB3472" s="3" t="s">
        <v>33473</v>
      </c>
      <c r="BC3472" s="3" t="s">
        <v>142</v>
      </c>
      <c r="BD3472" s="3" t="s">
        <v>68</v>
      </c>
      <c r="BE3472" s="3" t="s">
        <v>33460</v>
      </c>
      <c r="BF3472" s="3" t="s">
        <v>33473</v>
      </c>
      <c r="BG3472" s="3" t="s">
        <v>33474</v>
      </c>
    </row>
    <row r="3473" spans="1:59" ht="57" x14ac:dyDescent="0.45">
      <c r="A3473" s="2" t="s">
        <v>59</v>
      </c>
      <c r="B3473" s="2" t="s">
        <v>60</v>
      </c>
      <c r="C3473" s="2" t="s">
        <v>33475</v>
      </c>
      <c r="D3473" s="2" t="s">
        <v>33476</v>
      </c>
      <c r="E3473" s="2" t="s">
        <v>33477</v>
      </c>
      <c r="G3473" s="3" t="s">
        <v>62</v>
      </c>
      <c r="I3473" s="3" t="s">
        <v>62</v>
      </c>
      <c r="J3473" s="3" t="s">
        <v>62</v>
      </c>
      <c r="K3473" s="3" t="s">
        <v>63</v>
      </c>
      <c r="M3473" s="2" t="s">
        <v>1178</v>
      </c>
      <c r="N3473" s="3" t="s">
        <v>894</v>
      </c>
      <c r="P3473" s="3" t="s">
        <v>65</v>
      </c>
      <c r="Q3473" s="2" t="s">
        <v>33478</v>
      </c>
      <c r="R3473" s="3" t="s">
        <v>66</v>
      </c>
      <c r="S3473" s="4">
        <v>5</v>
      </c>
      <c r="T3473" s="4">
        <v>5</v>
      </c>
      <c r="U3473" s="5" t="s">
        <v>33479</v>
      </c>
      <c r="V3473" s="5" t="s">
        <v>33479</v>
      </c>
      <c r="W3473" s="5" t="s">
        <v>67</v>
      </c>
      <c r="X3473" s="5" t="s">
        <v>67</v>
      </c>
      <c r="Y3473" s="4">
        <v>66</v>
      </c>
      <c r="Z3473" s="4">
        <v>8</v>
      </c>
      <c r="AA3473" s="4">
        <v>90</v>
      </c>
      <c r="AB3473" s="4">
        <v>2</v>
      </c>
      <c r="AC3473" s="4">
        <v>17</v>
      </c>
      <c r="AD3473" s="4">
        <v>25</v>
      </c>
      <c r="AE3473" s="4">
        <v>108</v>
      </c>
      <c r="AF3473" s="4">
        <v>1</v>
      </c>
      <c r="AG3473" s="4">
        <v>8</v>
      </c>
      <c r="AH3473" s="4">
        <v>23</v>
      </c>
      <c r="AI3473" s="4">
        <v>73</v>
      </c>
      <c r="AJ3473" s="4">
        <v>6</v>
      </c>
      <c r="AK3473" s="4">
        <v>24</v>
      </c>
      <c r="AL3473" s="4">
        <v>15</v>
      </c>
      <c r="AM3473" s="4">
        <v>37</v>
      </c>
      <c r="AN3473" s="4">
        <v>0</v>
      </c>
      <c r="AO3473" s="4">
        <v>0</v>
      </c>
      <c r="AP3473" s="4">
        <v>6</v>
      </c>
      <c r="AQ3473" s="4">
        <v>45</v>
      </c>
      <c r="AR3473" s="3" t="s">
        <v>62</v>
      </c>
      <c r="AS3473" s="3" t="s">
        <v>62</v>
      </c>
      <c r="AT3473" s="3" t="s">
        <v>62</v>
      </c>
      <c r="AV3473" s="6" t="str">
        <f>HYPERLINK("http://mcgill.on.worldcat.org/oclc/700735410","Catalog Record")</f>
        <v>Catalog Record</v>
      </c>
      <c r="AW3473" s="6" t="str">
        <f>HYPERLINK("http://www.worldcat.org/oclc/700735410","WorldCat Record")</f>
        <v>WorldCat Record</v>
      </c>
      <c r="AX3473" s="3" t="s">
        <v>33480</v>
      </c>
      <c r="AY3473" s="3" t="s">
        <v>33481</v>
      </c>
      <c r="AZ3473" s="3" t="s">
        <v>33482</v>
      </c>
      <c r="BA3473" s="3" t="s">
        <v>33482</v>
      </c>
      <c r="BB3473" s="3" t="s">
        <v>33483</v>
      </c>
      <c r="BC3473" s="3" t="s">
        <v>142</v>
      </c>
      <c r="BD3473" s="3" t="s">
        <v>68</v>
      </c>
      <c r="BE3473" s="3" t="s">
        <v>33484</v>
      </c>
      <c r="BF3473" s="3" t="s">
        <v>33483</v>
      </c>
      <c r="BG3473" s="3" t="s">
        <v>33485</v>
      </c>
    </row>
    <row r="3474" spans="1:59" ht="57" x14ac:dyDescent="0.45">
      <c r="A3474" s="2" t="s">
        <v>59</v>
      </c>
      <c r="B3474" s="2" t="s">
        <v>60</v>
      </c>
      <c r="C3474" s="2" t="s">
        <v>33486</v>
      </c>
      <c r="D3474" s="2" t="s">
        <v>33487</v>
      </c>
      <c r="E3474" s="2" t="s">
        <v>33488</v>
      </c>
      <c r="G3474" s="3" t="s">
        <v>62</v>
      </c>
      <c r="I3474" s="3" t="s">
        <v>62</v>
      </c>
      <c r="J3474" s="3" t="s">
        <v>62</v>
      </c>
      <c r="K3474" s="3" t="s">
        <v>63</v>
      </c>
      <c r="M3474" s="2" t="s">
        <v>33489</v>
      </c>
      <c r="N3474" s="3" t="s">
        <v>149</v>
      </c>
      <c r="P3474" s="3" t="s">
        <v>65</v>
      </c>
      <c r="Q3474" s="2" t="s">
        <v>33490</v>
      </c>
      <c r="R3474" s="3" t="s">
        <v>66</v>
      </c>
      <c r="S3474" s="4">
        <v>0</v>
      </c>
      <c r="T3474" s="4">
        <v>0</v>
      </c>
      <c r="W3474" s="5" t="s">
        <v>67</v>
      </c>
      <c r="X3474" s="5" t="s">
        <v>67</v>
      </c>
      <c r="Y3474" s="4">
        <v>89</v>
      </c>
      <c r="Z3474" s="4">
        <v>10</v>
      </c>
      <c r="AA3474" s="4">
        <v>100</v>
      </c>
      <c r="AB3474" s="4">
        <v>1</v>
      </c>
      <c r="AC3474" s="4">
        <v>17</v>
      </c>
      <c r="AD3474" s="4">
        <v>37</v>
      </c>
      <c r="AE3474" s="4">
        <v>111</v>
      </c>
      <c r="AF3474" s="4">
        <v>0</v>
      </c>
      <c r="AG3474" s="4">
        <v>8</v>
      </c>
      <c r="AH3474" s="4">
        <v>36</v>
      </c>
      <c r="AI3474" s="4">
        <v>77</v>
      </c>
      <c r="AJ3474" s="4">
        <v>6</v>
      </c>
      <c r="AK3474" s="4">
        <v>20</v>
      </c>
      <c r="AL3474" s="4">
        <v>22</v>
      </c>
      <c r="AM3474" s="4">
        <v>39</v>
      </c>
      <c r="AN3474" s="4">
        <v>0</v>
      </c>
      <c r="AO3474" s="4">
        <v>0</v>
      </c>
      <c r="AP3474" s="4">
        <v>6</v>
      </c>
      <c r="AQ3474" s="4">
        <v>41</v>
      </c>
      <c r="AR3474" s="3" t="s">
        <v>62</v>
      </c>
      <c r="AS3474" s="3" t="s">
        <v>62</v>
      </c>
      <c r="AT3474" s="3" t="s">
        <v>62</v>
      </c>
      <c r="AV3474" s="6" t="str">
        <f>HYPERLINK("http://mcgill.on.worldcat.org/oclc/607084948","Catalog Record")</f>
        <v>Catalog Record</v>
      </c>
      <c r="AW3474" s="6" t="str">
        <f>HYPERLINK("http://www.worldcat.org/oclc/607084948","WorldCat Record")</f>
        <v>WorldCat Record</v>
      </c>
      <c r="AX3474" s="3" t="s">
        <v>33491</v>
      </c>
      <c r="AY3474" s="3" t="s">
        <v>33492</v>
      </c>
      <c r="AZ3474" s="3" t="s">
        <v>33493</v>
      </c>
      <c r="BA3474" s="3" t="s">
        <v>33493</v>
      </c>
      <c r="BB3474" s="3" t="s">
        <v>33494</v>
      </c>
      <c r="BC3474" s="3" t="s">
        <v>142</v>
      </c>
      <c r="BD3474" s="3" t="s">
        <v>68</v>
      </c>
      <c r="BE3474" s="3" t="s">
        <v>33495</v>
      </c>
      <c r="BF3474" s="3" t="s">
        <v>33494</v>
      </c>
      <c r="BG3474" s="3" t="s">
        <v>33496</v>
      </c>
    </row>
    <row r="3475" spans="1:59" ht="57" x14ac:dyDescent="0.45">
      <c r="A3475" s="2" t="s">
        <v>59</v>
      </c>
      <c r="B3475" s="2" t="s">
        <v>60</v>
      </c>
      <c r="C3475" s="2" t="s">
        <v>33497</v>
      </c>
      <c r="D3475" s="2" t="s">
        <v>33498</v>
      </c>
      <c r="E3475" s="2" t="s">
        <v>33499</v>
      </c>
      <c r="G3475" s="3" t="s">
        <v>62</v>
      </c>
      <c r="I3475" s="3" t="s">
        <v>62</v>
      </c>
      <c r="J3475" s="3" t="s">
        <v>62</v>
      </c>
      <c r="K3475" s="3" t="s">
        <v>63</v>
      </c>
      <c r="M3475" s="2" t="s">
        <v>33500</v>
      </c>
      <c r="N3475" s="3" t="s">
        <v>542</v>
      </c>
      <c r="P3475" s="3" t="s">
        <v>65</v>
      </c>
      <c r="Q3475" s="2" t="s">
        <v>33501</v>
      </c>
      <c r="R3475" s="3" t="s">
        <v>66</v>
      </c>
      <c r="S3475" s="4">
        <v>29</v>
      </c>
      <c r="T3475" s="4">
        <v>29</v>
      </c>
      <c r="U3475" s="5" t="s">
        <v>33502</v>
      </c>
      <c r="V3475" s="5" t="s">
        <v>33502</v>
      </c>
      <c r="W3475" s="5" t="s">
        <v>67</v>
      </c>
      <c r="X3475" s="5" t="s">
        <v>67</v>
      </c>
      <c r="Y3475" s="4">
        <v>260</v>
      </c>
      <c r="Z3475" s="4">
        <v>20</v>
      </c>
      <c r="AA3475" s="4">
        <v>22</v>
      </c>
      <c r="AB3475" s="4">
        <v>3</v>
      </c>
      <c r="AC3475" s="4">
        <v>5</v>
      </c>
      <c r="AD3475" s="4">
        <v>88</v>
      </c>
      <c r="AE3475" s="4">
        <v>90</v>
      </c>
      <c r="AF3475" s="4">
        <v>2</v>
      </c>
      <c r="AG3475" s="4">
        <v>4</v>
      </c>
      <c r="AH3475" s="4">
        <v>76</v>
      </c>
      <c r="AI3475" s="4">
        <v>77</v>
      </c>
      <c r="AJ3475" s="4">
        <v>14</v>
      </c>
      <c r="AK3475" s="4">
        <v>16</v>
      </c>
      <c r="AL3475" s="4">
        <v>46</v>
      </c>
      <c r="AM3475" s="4">
        <v>46</v>
      </c>
      <c r="AN3475" s="4">
        <v>0</v>
      </c>
      <c r="AO3475" s="4">
        <v>0</v>
      </c>
      <c r="AP3475" s="4">
        <v>17</v>
      </c>
      <c r="AQ3475" s="4">
        <v>18</v>
      </c>
      <c r="AR3475" s="3" t="s">
        <v>62</v>
      </c>
      <c r="AS3475" s="3" t="s">
        <v>62</v>
      </c>
      <c r="AT3475" s="3" t="s">
        <v>62</v>
      </c>
      <c r="AV3475" s="6" t="str">
        <f>HYPERLINK("http://mcgill.on.worldcat.org/oclc/47738968","Catalog Record")</f>
        <v>Catalog Record</v>
      </c>
      <c r="AW3475" s="6" t="str">
        <f>HYPERLINK("http://www.worldcat.org/oclc/47738968","WorldCat Record")</f>
        <v>WorldCat Record</v>
      </c>
      <c r="AX3475" s="3" t="s">
        <v>33503</v>
      </c>
      <c r="AY3475" s="3" t="s">
        <v>33504</v>
      </c>
      <c r="AZ3475" s="3" t="s">
        <v>33505</v>
      </c>
      <c r="BA3475" s="3" t="s">
        <v>33505</v>
      </c>
      <c r="BB3475" s="3" t="s">
        <v>33506</v>
      </c>
      <c r="BC3475" s="3" t="s">
        <v>142</v>
      </c>
      <c r="BD3475" s="3" t="s">
        <v>308</v>
      </c>
      <c r="BE3475" s="3" t="s">
        <v>33507</v>
      </c>
      <c r="BF3475" s="3" t="s">
        <v>33506</v>
      </c>
      <c r="BG3475" s="3" t="s">
        <v>33508</v>
      </c>
    </row>
    <row r="3476" spans="1:59" ht="57" x14ac:dyDescent="0.45">
      <c r="A3476" s="2" t="s">
        <v>59</v>
      </c>
      <c r="B3476" s="2" t="s">
        <v>60</v>
      </c>
      <c r="C3476" s="2" t="s">
        <v>33509</v>
      </c>
      <c r="D3476" s="2" t="s">
        <v>33510</v>
      </c>
      <c r="E3476" s="2" t="s">
        <v>33511</v>
      </c>
      <c r="G3476" s="3" t="s">
        <v>62</v>
      </c>
      <c r="I3476" s="3" t="s">
        <v>62</v>
      </c>
      <c r="J3476" s="3" t="s">
        <v>62</v>
      </c>
      <c r="K3476" s="3" t="s">
        <v>63</v>
      </c>
      <c r="M3476" s="2" t="s">
        <v>1178</v>
      </c>
      <c r="N3476" s="3" t="s">
        <v>894</v>
      </c>
      <c r="P3476" s="3" t="s">
        <v>65</v>
      </c>
      <c r="Q3476" s="2" t="s">
        <v>33512</v>
      </c>
      <c r="R3476" s="3" t="s">
        <v>66</v>
      </c>
      <c r="S3476" s="4">
        <v>0</v>
      </c>
      <c r="T3476" s="4">
        <v>0</v>
      </c>
      <c r="W3476" s="5" t="s">
        <v>67</v>
      </c>
      <c r="X3476" s="5" t="s">
        <v>67</v>
      </c>
      <c r="Y3476" s="4">
        <v>82</v>
      </c>
      <c r="Z3476" s="4">
        <v>13</v>
      </c>
      <c r="AA3476" s="4">
        <v>103</v>
      </c>
      <c r="AB3476" s="4">
        <v>2</v>
      </c>
      <c r="AC3476" s="4">
        <v>17</v>
      </c>
      <c r="AD3476" s="4">
        <v>33</v>
      </c>
      <c r="AE3476" s="4">
        <v>112</v>
      </c>
      <c r="AF3476" s="4">
        <v>1</v>
      </c>
      <c r="AG3476" s="4">
        <v>8</v>
      </c>
      <c r="AH3476" s="4">
        <v>29</v>
      </c>
      <c r="AI3476" s="4">
        <v>75</v>
      </c>
      <c r="AJ3476" s="4">
        <v>10</v>
      </c>
      <c r="AK3476" s="4">
        <v>23</v>
      </c>
      <c r="AL3476" s="4">
        <v>19</v>
      </c>
      <c r="AM3476" s="4">
        <v>40</v>
      </c>
      <c r="AN3476" s="4">
        <v>0</v>
      </c>
      <c r="AO3476" s="4">
        <v>0</v>
      </c>
      <c r="AP3476" s="4">
        <v>10</v>
      </c>
      <c r="AQ3476" s="4">
        <v>45</v>
      </c>
      <c r="AR3476" s="3" t="s">
        <v>62</v>
      </c>
      <c r="AS3476" s="3" t="s">
        <v>62</v>
      </c>
      <c r="AT3476" s="3" t="s">
        <v>62</v>
      </c>
      <c r="AV3476" s="6" t="str">
        <f>HYPERLINK("http://mcgill.on.worldcat.org/oclc/723142833","Catalog Record")</f>
        <v>Catalog Record</v>
      </c>
      <c r="AW3476" s="6" t="str">
        <f>HYPERLINK("http://www.worldcat.org/oclc/723142833","WorldCat Record")</f>
        <v>WorldCat Record</v>
      </c>
      <c r="AX3476" s="3" t="s">
        <v>33513</v>
      </c>
      <c r="AY3476" s="3" t="s">
        <v>33514</v>
      </c>
      <c r="AZ3476" s="3" t="s">
        <v>33515</v>
      </c>
      <c r="BA3476" s="3" t="s">
        <v>33515</v>
      </c>
      <c r="BB3476" s="3" t="s">
        <v>33516</v>
      </c>
      <c r="BC3476" s="3" t="s">
        <v>142</v>
      </c>
      <c r="BD3476" s="3" t="s">
        <v>68</v>
      </c>
      <c r="BE3476" s="3" t="s">
        <v>33517</v>
      </c>
      <c r="BF3476" s="3" t="s">
        <v>33516</v>
      </c>
      <c r="BG3476" s="3" t="s">
        <v>33518</v>
      </c>
    </row>
    <row r="3477" spans="1:59" ht="57" x14ac:dyDescent="0.45">
      <c r="A3477" s="2" t="s">
        <v>59</v>
      </c>
      <c r="B3477" s="2" t="s">
        <v>60</v>
      </c>
      <c r="C3477" s="2" t="s">
        <v>33519</v>
      </c>
      <c r="D3477" s="2" t="s">
        <v>33520</v>
      </c>
      <c r="E3477" s="2" t="s">
        <v>33521</v>
      </c>
      <c r="G3477" s="3" t="s">
        <v>62</v>
      </c>
      <c r="I3477" s="3" t="s">
        <v>62</v>
      </c>
      <c r="J3477" s="3" t="s">
        <v>62</v>
      </c>
      <c r="K3477" s="3" t="s">
        <v>63</v>
      </c>
      <c r="M3477" s="2" t="s">
        <v>33522</v>
      </c>
      <c r="N3477" s="3" t="s">
        <v>918</v>
      </c>
      <c r="P3477" s="3" t="s">
        <v>65</v>
      </c>
      <c r="R3477" s="3" t="s">
        <v>66</v>
      </c>
      <c r="S3477" s="4">
        <v>26</v>
      </c>
      <c r="T3477" s="4">
        <v>26</v>
      </c>
      <c r="U3477" s="5" t="s">
        <v>3294</v>
      </c>
      <c r="V3477" s="5" t="s">
        <v>3294</v>
      </c>
      <c r="W3477" s="5" t="s">
        <v>67</v>
      </c>
      <c r="X3477" s="5" t="s">
        <v>67</v>
      </c>
      <c r="Y3477" s="4">
        <v>608</v>
      </c>
      <c r="Z3477" s="4">
        <v>29</v>
      </c>
      <c r="AA3477" s="4">
        <v>31</v>
      </c>
      <c r="AB3477" s="4">
        <v>2</v>
      </c>
      <c r="AC3477" s="4">
        <v>3</v>
      </c>
      <c r="AD3477" s="4">
        <v>118</v>
      </c>
      <c r="AE3477" s="4">
        <v>121</v>
      </c>
      <c r="AF3477" s="4">
        <v>1</v>
      </c>
      <c r="AG3477" s="4">
        <v>2</v>
      </c>
      <c r="AH3477" s="4">
        <v>105</v>
      </c>
      <c r="AI3477" s="4">
        <v>107</v>
      </c>
      <c r="AJ3477" s="4">
        <v>15</v>
      </c>
      <c r="AK3477" s="4">
        <v>16</v>
      </c>
      <c r="AL3477" s="4">
        <v>55</v>
      </c>
      <c r="AM3477" s="4">
        <v>55</v>
      </c>
      <c r="AN3477" s="4">
        <v>0</v>
      </c>
      <c r="AO3477" s="4">
        <v>0</v>
      </c>
      <c r="AP3477" s="4">
        <v>23</v>
      </c>
      <c r="AQ3477" s="4">
        <v>25</v>
      </c>
      <c r="AR3477" s="3" t="s">
        <v>62</v>
      </c>
      <c r="AS3477" s="3" t="s">
        <v>62</v>
      </c>
      <c r="AT3477" s="3" t="s">
        <v>61</v>
      </c>
      <c r="AU3477" s="6" t="str">
        <f>HYPERLINK("http://catalog.hathitrust.org/Record/004319093","HathiTrust Record")</f>
        <v>HathiTrust Record</v>
      </c>
      <c r="AV3477" s="6" t="str">
        <f>HYPERLINK("http://mcgill.on.worldcat.org/oclc/49773788","Catalog Record")</f>
        <v>Catalog Record</v>
      </c>
      <c r="AW3477" s="6" t="str">
        <f>HYPERLINK("http://www.worldcat.org/oclc/49773788","WorldCat Record")</f>
        <v>WorldCat Record</v>
      </c>
      <c r="AX3477" s="3" t="s">
        <v>33523</v>
      </c>
      <c r="AY3477" s="3" t="s">
        <v>33524</v>
      </c>
      <c r="AZ3477" s="3" t="s">
        <v>33525</v>
      </c>
      <c r="BA3477" s="3" t="s">
        <v>33525</v>
      </c>
      <c r="BB3477" s="3" t="s">
        <v>33526</v>
      </c>
      <c r="BC3477" s="3" t="s">
        <v>142</v>
      </c>
      <c r="BD3477" s="3" t="s">
        <v>68</v>
      </c>
      <c r="BE3477" s="3" t="s">
        <v>33527</v>
      </c>
      <c r="BF3477" s="3" t="s">
        <v>33526</v>
      </c>
      <c r="BG3477" s="3" t="s">
        <v>33528</v>
      </c>
    </row>
    <row r="3478" spans="1:59" ht="57" x14ac:dyDescent="0.45">
      <c r="A3478" s="2" t="s">
        <v>59</v>
      </c>
      <c r="B3478" s="2" t="s">
        <v>60</v>
      </c>
      <c r="C3478" s="2" t="s">
        <v>33529</v>
      </c>
      <c r="D3478" s="2" t="s">
        <v>33530</v>
      </c>
      <c r="E3478" s="2" t="s">
        <v>33531</v>
      </c>
      <c r="G3478" s="3" t="s">
        <v>62</v>
      </c>
      <c r="I3478" s="3" t="s">
        <v>62</v>
      </c>
      <c r="J3478" s="3" t="s">
        <v>62</v>
      </c>
      <c r="K3478" s="3" t="s">
        <v>63</v>
      </c>
      <c r="M3478" s="2" t="s">
        <v>33532</v>
      </c>
      <c r="N3478" s="3" t="s">
        <v>958</v>
      </c>
      <c r="P3478" s="3" t="s">
        <v>65</v>
      </c>
      <c r="Q3478" s="2" t="s">
        <v>33533</v>
      </c>
      <c r="R3478" s="3" t="s">
        <v>66</v>
      </c>
      <c r="S3478" s="4">
        <v>27</v>
      </c>
      <c r="T3478" s="4">
        <v>27</v>
      </c>
      <c r="U3478" s="5" t="s">
        <v>10681</v>
      </c>
      <c r="V3478" s="5" t="s">
        <v>10681</v>
      </c>
      <c r="W3478" s="5" t="s">
        <v>67</v>
      </c>
      <c r="X3478" s="5" t="s">
        <v>67</v>
      </c>
      <c r="Y3478" s="4">
        <v>128</v>
      </c>
      <c r="Z3478" s="4">
        <v>11</v>
      </c>
      <c r="AA3478" s="4">
        <v>18</v>
      </c>
      <c r="AB3478" s="4">
        <v>1</v>
      </c>
      <c r="AC3478" s="4">
        <v>5</v>
      </c>
      <c r="AD3478" s="4">
        <v>57</v>
      </c>
      <c r="AE3478" s="4">
        <v>63</v>
      </c>
      <c r="AF3478" s="4">
        <v>0</v>
      </c>
      <c r="AG3478" s="4">
        <v>3</v>
      </c>
      <c r="AH3478" s="4">
        <v>50</v>
      </c>
      <c r="AI3478" s="4">
        <v>51</v>
      </c>
      <c r="AJ3478" s="4">
        <v>6</v>
      </c>
      <c r="AK3478" s="4">
        <v>8</v>
      </c>
      <c r="AL3478" s="4">
        <v>35</v>
      </c>
      <c r="AM3478" s="4">
        <v>35</v>
      </c>
      <c r="AN3478" s="4">
        <v>0</v>
      </c>
      <c r="AO3478" s="4">
        <v>0</v>
      </c>
      <c r="AP3478" s="4">
        <v>8</v>
      </c>
      <c r="AQ3478" s="4">
        <v>14</v>
      </c>
      <c r="AR3478" s="3" t="s">
        <v>62</v>
      </c>
      <c r="AS3478" s="3" t="s">
        <v>62</v>
      </c>
      <c r="AT3478" s="3" t="s">
        <v>62</v>
      </c>
      <c r="AV3478" s="6" t="str">
        <f>HYPERLINK("http://mcgill.on.worldcat.org/oclc/32625203","Catalog Record")</f>
        <v>Catalog Record</v>
      </c>
      <c r="AW3478" s="6" t="str">
        <f>HYPERLINK("http://www.worldcat.org/oclc/32625203","WorldCat Record")</f>
        <v>WorldCat Record</v>
      </c>
      <c r="AX3478" s="3" t="s">
        <v>33534</v>
      </c>
      <c r="AY3478" s="3" t="s">
        <v>33535</v>
      </c>
      <c r="AZ3478" s="3" t="s">
        <v>33536</v>
      </c>
      <c r="BA3478" s="3" t="s">
        <v>33536</v>
      </c>
      <c r="BB3478" s="3" t="s">
        <v>33537</v>
      </c>
      <c r="BC3478" s="3" t="s">
        <v>142</v>
      </c>
      <c r="BD3478" s="3" t="s">
        <v>68</v>
      </c>
      <c r="BE3478" s="3" t="s">
        <v>33538</v>
      </c>
      <c r="BF3478" s="3" t="s">
        <v>33537</v>
      </c>
      <c r="BG3478" s="3" t="s">
        <v>33539</v>
      </c>
    </row>
    <row r="3479" spans="1:59" ht="57" x14ac:dyDescent="0.45">
      <c r="A3479" s="2" t="s">
        <v>59</v>
      </c>
      <c r="B3479" s="2" t="s">
        <v>412</v>
      </c>
      <c r="C3479" s="2" t="s">
        <v>33540</v>
      </c>
      <c r="D3479" s="2" t="s">
        <v>33541</v>
      </c>
      <c r="E3479" s="2" t="s">
        <v>33542</v>
      </c>
      <c r="G3479" s="3" t="s">
        <v>62</v>
      </c>
      <c r="I3479" s="3" t="s">
        <v>62</v>
      </c>
      <c r="J3479" s="3" t="s">
        <v>62</v>
      </c>
      <c r="K3479" s="3" t="s">
        <v>63</v>
      </c>
      <c r="M3479" s="2" t="s">
        <v>33543</v>
      </c>
      <c r="N3479" s="3" t="s">
        <v>1097</v>
      </c>
      <c r="P3479" s="3" t="s">
        <v>65</v>
      </c>
      <c r="Q3479" s="2" t="s">
        <v>33544</v>
      </c>
      <c r="R3479" s="3" t="s">
        <v>66</v>
      </c>
      <c r="S3479" s="4">
        <v>47</v>
      </c>
      <c r="T3479" s="4">
        <v>47</v>
      </c>
      <c r="U3479" s="5" t="s">
        <v>33502</v>
      </c>
      <c r="V3479" s="5" t="s">
        <v>33502</v>
      </c>
      <c r="W3479" s="5" t="s">
        <v>67</v>
      </c>
      <c r="X3479" s="5" t="s">
        <v>67</v>
      </c>
      <c r="Y3479" s="4">
        <v>259</v>
      </c>
      <c r="Z3479" s="4">
        <v>24</v>
      </c>
      <c r="AA3479" s="4">
        <v>112</v>
      </c>
      <c r="AB3479" s="4">
        <v>2</v>
      </c>
      <c r="AC3479" s="4">
        <v>17</v>
      </c>
      <c r="AD3479" s="4">
        <v>77</v>
      </c>
      <c r="AE3479" s="4">
        <v>134</v>
      </c>
      <c r="AF3479" s="4">
        <v>1</v>
      </c>
      <c r="AG3479" s="4">
        <v>8</v>
      </c>
      <c r="AH3479" s="4">
        <v>68</v>
      </c>
      <c r="AI3479" s="4">
        <v>95</v>
      </c>
      <c r="AJ3479" s="4">
        <v>14</v>
      </c>
      <c r="AK3479" s="4">
        <v>25</v>
      </c>
      <c r="AL3479" s="4">
        <v>35</v>
      </c>
      <c r="AM3479" s="4">
        <v>46</v>
      </c>
      <c r="AN3479" s="4">
        <v>0</v>
      </c>
      <c r="AO3479" s="4">
        <v>0</v>
      </c>
      <c r="AP3479" s="4">
        <v>19</v>
      </c>
      <c r="AQ3479" s="4">
        <v>49</v>
      </c>
      <c r="AR3479" s="3" t="s">
        <v>62</v>
      </c>
      <c r="AS3479" s="3" t="s">
        <v>62</v>
      </c>
      <c r="AT3479" s="3" t="s">
        <v>61</v>
      </c>
      <c r="AU3479" s="6" t="str">
        <f>HYPERLINK("http://catalog.hathitrust.org/Record/007143832","HathiTrust Record")</f>
        <v>HathiTrust Record</v>
      </c>
      <c r="AV3479" s="6" t="str">
        <f>HYPERLINK("http://mcgill.on.worldcat.org/oclc/51993064","Catalog Record")</f>
        <v>Catalog Record</v>
      </c>
      <c r="AW3479" s="6" t="str">
        <f>HYPERLINK("http://www.worldcat.org/oclc/51993064","WorldCat Record")</f>
        <v>WorldCat Record</v>
      </c>
      <c r="AX3479" s="3" t="s">
        <v>33545</v>
      </c>
      <c r="AY3479" s="3" t="s">
        <v>33546</v>
      </c>
      <c r="AZ3479" s="3" t="s">
        <v>33547</v>
      </c>
      <c r="BA3479" s="3" t="s">
        <v>33547</v>
      </c>
      <c r="BB3479" s="3" t="s">
        <v>33548</v>
      </c>
      <c r="BC3479" s="3" t="s">
        <v>142</v>
      </c>
      <c r="BD3479" s="3" t="s">
        <v>308</v>
      </c>
      <c r="BE3479" s="3" t="s">
        <v>33549</v>
      </c>
      <c r="BF3479" s="3" t="s">
        <v>33548</v>
      </c>
      <c r="BG3479" s="3" t="s">
        <v>33550</v>
      </c>
    </row>
    <row r="3480" spans="1:59" ht="57" x14ac:dyDescent="0.45">
      <c r="A3480" s="2" t="s">
        <v>59</v>
      </c>
      <c r="B3480" s="2" t="s">
        <v>60</v>
      </c>
      <c r="C3480" s="2" t="s">
        <v>33551</v>
      </c>
      <c r="D3480" s="2" t="s">
        <v>33552</v>
      </c>
      <c r="E3480" s="2" t="s">
        <v>33553</v>
      </c>
      <c r="G3480" s="3" t="s">
        <v>62</v>
      </c>
      <c r="I3480" s="3" t="s">
        <v>62</v>
      </c>
      <c r="J3480" s="3" t="s">
        <v>62</v>
      </c>
      <c r="K3480" s="3" t="s">
        <v>63</v>
      </c>
      <c r="M3480" s="2" t="s">
        <v>33554</v>
      </c>
      <c r="N3480" s="3" t="s">
        <v>894</v>
      </c>
      <c r="P3480" s="3" t="s">
        <v>65</v>
      </c>
      <c r="Q3480" s="2" t="s">
        <v>7948</v>
      </c>
      <c r="R3480" s="3" t="s">
        <v>66</v>
      </c>
      <c r="S3480" s="4">
        <v>0</v>
      </c>
      <c r="T3480" s="4">
        <v>0</v>
      </c>
      <c r="W3480" s="5" t="s">
        <v>67</v>
      </c>
      <c r="X3480" s="5" t="s">
        <v>67</v>
      </c>
      <c r="Y3480" s="4">
        <v>133</v>
      </c>
      <c r="Z3480" s="4">
        <v>16</v>
      </c>
      <c r="AA3480" s="4">
        <v>82</v>
      </c>
      <c r="AB3480" s="4">
        <v>2</v>
      </c>
      <c r="AC3480" s="4">
        <v>14</v>
      </c>
      <c r="AD3480" s="4">
        <v>49</v>
      </c>
      <c r="AE3480" s="4">
        <v>106</v>
      </c>
      <c r="AF3480" s="4">
        <v>1</v>
      </c>
      <c r="AG3480" s="4">
        <v>8</v>
      </c>
      <c r="AH3480" s="4">
        <v>44</v>
      </c>
      <c r="AI3480" s="4">
        <v>71</v>
      </c>
      <c r="AJ3480" s="4">
        <v>13</v>
      </c>
      <c r="AK3480" s="4">
        <v>25</v>
      </c>
      <c r="AL3480" s="4">
        <v>27</v>
      </c>
      <c r="AM3480" s="4">
        <v>37</v>
      </c>
      <c r="AN3480" s="4">
        <v>0</v>
      </c>
      <c r="AO3480" s="4">
        <v>0</v>
      </c>
      <c r="AP3480" s="4">
        <v>13</v>
      </c>
      <c r="AQ3480" s="4">
        <v>45</v>
      </c>
      <c r="AR3480" s="3" t="s">
        <v>62</v>
      </c>
      <c r="AS3480" s="3" t="s">
        <v>62</v>
      </c>
      <c r="AT3480" s="3" t="s">
        <v>62</v>
      </c>
      <c r="AV3480" s="6" t="str">
        <f>HYPERLINK("http://mcgill.on.worldcat.org/oclc/728840653","Catalog Record")</f>
        <v>Catalog Record</v>
      </c>
      <c r="AW3480" s="6" t="str">
        <f>HYPERLINK("http://www.worldcat.org/oclc/728840653","WorldCat Record")</f>
        <v>WorldCat Record</v>
      </c>
      <c r="AX3480" s="3" t="s">
        <v>33555</v>
      </c>
      <c r="AY3480" s="3" t="s">
        <v>33556</v>
      </c>
      <c r="AZ3480" s="3" t="s">
        <v>33557</v>
      </c>
      <c r="BA3480" s="3" t="s">
        <v>33557</v>
      </c>
      <c r="BB3480" s="3" t="s">
        <v>33558</v>
      </c>
      <c r="BC3480" s="3" t="s">
        <v>142</v>
      </c>
      <c r="BD3480" s="3" t="s">
        <v>68</v>
      </c>
      <c r="BE3480" s="3" t="s">
        <v>33559</v>
      </c>
      <c r="BF3480" s="3" t="s">
        <v>33558</v>
      </c>
      <c r="BG3480" s="3" t="s">
        <v>33560</v>
      </c>
    </row>
    <row r="3481" spans="1:59" ht="57" x14ac:dyDescent="0.45">
      <c r="A3481" s="2" t="s">
        <v>59</v>
      </c>
      <c r="B3481" s="2" t="s">
        <v>60</v>
      </c>
      <c r="C3481" s="2" t="s">
        <v>33561</v>
      </c>
      <c r="D3481" s="2" t="s">
        <v>33562</v>
      </c>
      <c r="E3481" s="2" t="s">
        <v>33563</v>
      </c>
      <c r="G3481" s="3" t="s">
        <v>62</v>
      </c>
      <c r="I3481" s="3" t="s">
        <v>61</v>
      </c>
      <c r="J3481" s="3" t="s">
        <v>62</v>
      </c>
      <c r="K3481" s="3" t="s">
        <v>63</v>
      </c>
      <c r="M3481" s="2" t="s">
        <v>2501</v>
      </c>
      <c r="N3481" s="3" t="s">
        <v>894</v>
      </c>
      <c r="P3481" s="3" t="s">
        <v>65</v>
      </c>
      <c r="R3481" s="3" t="s">
        <v>66</v>
      </c>
      <c r="S3481" s="4">
        <v>1</v>
      </c>
      <c r="T3481" s="4">
        <v>3</v>
      </c>
      <c r="U3481" s="5" t="s">
        <v>33564</v>
      </c>
      <c r="V3481" s="5" t="s">
        <v>10395</v>
      </c>
      <c r="W3481" s="5" t="s">
        <v>67</v>
      </c>
      <c r="X3481" s="5" t="s">
        <v>67</v>
      </c>
      <c r="Y3481" s="4">
        <v>65</v>
      </c>
      <c r="Z3481" s="4">
        <v>15</v>
      </c>
      <c r="AA3481" s="4">
        <v>16</v>
      </c>
      <c r="AB3481" s="4">
        <v>2</v>
      </c>
      <c r="AC3481" s="4">
        <v>2</v>
      </c>
      <c r="AD3481" s="4">
        <v>34</v>
      </c>
      <c r="AE3481" s="4">
        <v>35</v>
      </c>
      <c r="AF3481" s="4">
        <v>1</v>
      </c>
      <c r="AG3481" s="4">
        <v>1</v>
      </c>
      <c r="AH3481" s="4">
        <v>29</v>
      </c>
      <c r="AI3481" s="4">
        <v>30</v>
      </c>
      <c r="AJ3481" s="4">
        <v>10</v>
      </c>
      <c r="AK3481" s="4">
        <v>11</v>
      </c>
      <c r="AL3481" s="4">
        <v>18</v>
      </c>
      <c r="AM3481" s="4">
        <v>18</v>
      </c>
      <c r="AN3481" s="4">
        <v>0</v>
      </c>
      <c r="AO3481" s="4">
        <v>0</v>
      </c>
      <c r="AP3481" s="4">
        <v>12</v>
      </c>
      <c r="AQ3481" s="4">
        <v>13</v>
      </c>
      <c r="AR3481" s="3" t="s">
        <v>62</v>
      </c>
      <c r="AS3481" s="3" t="s">
        <v>62</v>
      </c>
      <c r="AT3481" s="3" t="s">
        <v>62</v>
      </c>
      <c r="AV3481" s="6" t="str">
        <f>HYPERLINK("http://mcgill.on.worldcat.org/oclc/700145304","Catalog Record")</f>
        <v>Catalog Record</v>
      </c>
      <c r="AW3481" s="6" t="str">
        <f>HYPERLINK("http://www.worldcat.org/oclc/700145304","WorldCat Record")</f>
        <v>WorldCat Record</v>
      </c>
      <c r="AX3481" s="3" t="s">
        <v>33565</v>
      </c>
      <c r="AY3481" s="3" t="s">
        <v>33566</v>
      </c>
      <c r="AZ3481" s="3" t="s">
        <v>33567</v>
      </c>
      <c r="BA3481" s="3" t="s">
        <v>33567</v>
      </c>
      <c r="BB3481" s="3" t="s">
        <v>33568</v>
      </c>
      <c r="BC3481" s="3" t="s">
        <v>142</v>
      </c>
      <c r="BD3481" s="3" t="s">
        <v>68</v>
      </c>
      <c r="BE3481" s="3" t="s">
        <v>33569</v>
      </c>
      <c r="BF3481" s="3" t="s">
        <v>33568</v>
      </c>
      <c r="BG3481" s="3" t="s">
        <v>33570</v>
      </c>
    </row>
    <row r="3482" spans="1:59" ht="57" x14ac:dyDescent="0.45">
      <c r="A3482" s="2" t="s">
        <v>59</v>
      </c>
      <c r="B3482" s="2" t="s">
        <v>412</v>
      </c>
      <c r="C3482" s="2" t="s">
        <v>33561</v>
      </c>
      <c r="D3482" s="2" t="s">
        <v>33562</v>
      </c>
      <c r="E3482" s="2" t="s">
        <v>33563</v>
      </c>
      <c r="G3482" s="3" t="s">
        <v>62</v>
      </c>
      <c r="I3482" s="3" t="s">
        <v>61</v>
      </c>
      <c r="J3482" s="3" t="s">
        <v>62</v>
      </c>
      <c r="K3482" s="3" t="s">
        <v>63</v>
      </c>
      <c r="M3482" s="2" t="s">
        <v>2501</v>
      </c>
      <c r="N3482" s="3" t="s">
        <v>894</v>
      </c>
      <c r="P3482" s="3" t="s">
        <v>65</v>
      </c>
      <c r="R3482" s="3" t="s">
        <v>66</v>
      </c>
      <c r="S3482" s="4">
        <v>2</v>
      </c>
      <c r="T3482" s="4">
        <v>3</v>
      </c>
      <c r="U3482" s="5" t="s">
        <v>10395</v>
      </c>
      <c r="V3482" s="5" t="s">
        <v>10395</v>
      </c>
      <c r="W3482" s="5" t="s">
        <v>67</v>
      </c>
      <c r="X3482" s="5" t="s">
        <v>67</v>
      </c>
      <c r="Y3482" s="4">
        <v>65</v>
      </c>
      <c r="Z3482" s="4">
        <v>15</v>
      </c>
      <c r="AA3482" s="4">
        <v>16</v>
      </c>
      <c r="AB3482" s="4">
        <v>2</v>
      </c>
      <c r="AC3482" s="4">
        <v>2</v>
      </c>
      <c r="AD3482" s="4">
        <v>34</v>
      </c>
      <c r="AE3482" s="4">
        <v>35</v>
      </c>
      <c r="AF3482" s="4">
        <v>1</v>
      </c>
      <c r="AG3482" s="4">
        <v>1</v>
      </c>
      <c r="AH3482" s="4">
        <v>29</v>
      </c>
      <c r="AI3482" s="4">
        <v>30</v>
      </c>
      <c r="AJ3482" s="4">
        <v>10</v>
      </c>
      <c r="AK3482" s="4">
        <v>11</v>
      </c>
      <c r="AL3482" s="4">
        <v>18</v>
      </c>
      <c r="AM3482" s="4">
        <v>18</v>
      </c>
      <c r="AN3482" s="4">
        <v>0</v>
      </c>
      <c r="AO3482" s="4">
        <v>0</v>
      </c>
      <c r="AP3482" s="4">
        <v>12</v>
      </c>
      <c r="AQ3482" s="4">
        <v>13</v>
      </c>
      <c r="AR3482" s="3" t="s">
        <v>62</v>
      </c>
      <c r="AS3482" s="3" t="s">
        <v>62</v>
      </c>
      <c r="AT3482" s="3" t="s">
        <v>62</v>
      </c>
      <c r="AV3482" s="6" t="str">
        <f>HYPERLINK("http://mcgill.on.worldcat.org/oclc/700145304","Catalog Record")</f>
        <v>Catalog Record</v>
      </c>
      <c r="AW3482" s="6" t="str">
        <f>HYPERLINK("http://www.worldcat.org/oclc/700145304","WorldCat Record")</f>
        <v>WorldCat Record</v>
      </c>
      <c r="AX3482" s="3" t="s">
        <v>33565</v>
      </c>
      <c r="AY3482" s="3" t="s">
        <v>33566</v>
      </c>
      <c r="AZ3482" s="3" t="s">
        <v>33567</v>
      </c>
      <c r="BA3482" s="3" t="s">
        <v>33567</v>
      </c>
      <c r="BB3482" s="3" t="s">
        <v>33571</v>
      </c>
      <c r="BC3482" s="3" t="s">
        <v>142</v>
      </c>
      <c r="BD3482" s="3" t="s">
        <v>68</v>
      </c>
      <c r="BE3482" s="3" t="s">
        <v>33569</v>
      </c>
      <c r="BF3482" s="3" t="s">
        <v>33571</v>
      </c>
      <c r="BG3482" s="3" t="s">
        <v>33572</v>
      </c>
    </row>
    <row r="3483" spans="1:59" ht="57" x14ac:dyDescent="0.45">
      <c r="A3483" s="2" t="s">
        <v>59</v>
      </c>
      <c r="B3483" s="2" t="s">
        <v>60</v>
      </c>
      <c r="C3483" s="2" t="s">
        <v>33573</v>
      </c>
      <c r="D3483" s="2" t="s">
        <v>33574</v>
      </c>
      <c r="E3483" s="2" t="s">
        <v>33575</v>
      </c>
      <c r="G3483" s="3" t="s">
        <v>62</v>
      </c>
      <c r="I3483" s="3" t="s">
        <v>62</v>
      </c>
      <c r="J3483" s="3" t="s">
        <v>62</v>
      </c>
      <c r="K3483" s="3" t="s">
        <v>63</v>
      </c>
      <c r="L3483" s="2" t="s">
        <v>33576</v>
      </c>
      <c r="M3483" s="2" t="s">
        <v>33577</v>
      </c>
      <c r="N3483" s="3" t="s">
        <v>945</v>
      </c>
      <c r="P3483" s="3" t="s">
        <v>65</v>
      </c>
      <c r="Q3483" s="2" t="s">
        <v>4293</v>
      </c>
      <c r="R3483" s="3" t="s">
        <v>66</v>
      </c>
      <c r="S3483" s="4">
        <v>7</v>
      </c>
      <c r="T3483" s="4">
        <v>7</v>
      </c>
      <c r="U3483" s="5" t="s">
        <v>29124</v>
      </c>
      <c r="V3483" s="5" t="s">
        <v>29124</v>
      </c>
      <c r="W3483" s="5" t="s">
        <v>67</v>
      </c>
      <c r="X3483" s="5" t="s">
        <v>67</v>
      </c>
      <c r="Y3483" s="4">
        <v>217</v>
      </c>
      <c r="Z3483" s="4">
        <v>17</v>
      </c>
      <c r="AA3483" s="4">
        <v>23</v>
      </c>
      <c r="AB3483" s="4">
        <v>2</v>
      </c>
      <c r="AC3483" s="4">
        <v>8</v>
      </c>
      <c r="AD3483" s="4">
        <v>44</v>
      </c>
      <c r="AE3483" s="4">
        <v>48</v>
      </c>
      <c r="AF3483" s="4">
        <v>1</v>
      </c>
      <c r="AG3483" s="4">
        <v>3</v>
      </c>
      <c r="AH3483" s="4">
        <v>40</v>
      </c>
      <c r="AI3483" s="4">
        <v>43</v>
      </c>
      <c r="AJ3483" s="4">
        <v>14</v>
      </c>
      <c r="AK3483" s="4">
        <v>16</v>
      </c>
      <c r="AL3483" s="4">
        <v>16</v>
      </c>
      <c r="AM3483" s="4">
        <v>17</v>
      </c>
      <c r="AN3483" s="4">
        <v>0</v>
      </c>
      <c r="AO3483" s="4">
        <v>0</v>
      </c>
      <c r="AP3483" s="4">
        <v>15</v>
      </c>
      <c r="AQ3483" s="4">
        <v>17</v>
      </c>
      <c r="AR3483" s="3" t="s">
        <v>62</v>
      </c>
      <c r="AS3483" s="3" t="s">
        <v>62</v>
      </c>
      <c r="AT3483" s="3" t="s">
        <v>62</v>
      </c>
      <c r="AV3483" s="6" t="str">
        <f>HYPERLINK("http://mcgill.on.worldcat.org/oclc/76967205","Catalog Record")</f>
        <v>Catalog Record</v>
      </c>
      <c r="AW3483" s="6" t="str">
        <f>HYPERLINK("http://www.worldcat.org/oclc/76967205","WorldCat Record")</f>
        <v>WorldCat Record</v>
      </c>
      <c r="AX3483" s="3" t="s">
        <v>33578</v>
      </c>
      <c r="AY3483" s="3" t="s">
        <v>33579</v>
      </c>
      <c r="AZ3483" s="3" t="s">
        <v>33580</v>
      </c>
      <c r="BA3483" s="3" t="s">
        <v>33580</v>
      </c>
      <c r="BB3483" s="3" t="s">
        <v>33581</v>
      </c>
      <c r="BC3483" s="3" t="s">
        <v>142</v>
      </c>
      <c r="BD3483" s="3" t="s">
        <v>68</v>
      </c>
      <c r="BE3483" s="3" t="s">
        <v>33582</v>
      </c>
      <c r="BF3483" s="3" t="s">
        <v>33581</v>
      </c>
      <c r="BG3483" s="3" t="s">
        <v>33583</v>
      </c>
    </row>
    <row r="3484" spans="1:59" ht="57" x14ac:dyDescent="0.45">
      <c r="A3484" s="2" t="s">
        <v>59</v>
      </c>
      <c r="B3484" s="2" t="s">
        <v>60</v>
      </c>
      <c r="C3484" s="2" t="s">
        <v>33584</v>
      </c>
      <c r="D3484" s="2" t="s">
        <v>33585</v>
      </c>
      <c r="E3484" s="2" t="s">
        <v>33586</v>
      </c>
      <c r="G3484" s="3" t="s">
        <v>62</v>
      </c>
      <c r="I3484" s="3" t="s">
        <v>61</v>
      </c>
      <c r="J3484" s="3" t="s">
        <v>62</v>
      </c>
      <c r="K3484" s="3" t="s">
        <v>63</v>
      </c>
      <c r="L3484" s="2" t="s">
        <v>33587</v>
      </c>
      <c r="M3484" s="2" t="s">
        <v>33588</v>
      </c>
      <c r="N3484" s="3" t="s">
        <v>1073</v>
      </c>
      <c r="P3484" s="3" t="s">
        <v>65</v>
      </c>
      <c r="R3484" s="3" t="s">
        <v>66</v>
      </c>
      <c r="S3484" s="4">
        <v>20</v>
      </c>
      <c r="T3484" s="4">
        <v>26</v>
      </c>
      <c r="U3484" s="5" t="s">
        <v>17306</v>
      </c>
      <c r="V3484" s="5" t="s">
        <v>17306</v>
      </c>
      <c r="W3484" s="5" t="s">
        <v>67</v>
      </c>
      <c r="X3484" s="5" t="s">
        <v>67</v>
      </c>
      <c r="Y3484" s="4">
        <v>154</v>
      </c>
      <c r="Z3484" s="4">
        <v>79</v>
      </c>
      <c r="AA3484" s="4">
        <v>80</v>
      </c>
      <c r="AB3484" s="4">
        <v>4</v>
      </c>
      <c r="AC3484" s="4">
        <v>4</v>
      </c>
      <c r="AD3484" s="4">
        <v>67</v>
      </c>
      <c r="AE3484" s="4">
        <v>67</v>
      </c>
      <c r="AF3484" s="4">
        <v>1</v>
      </c>
      <c r="AG3484" s="4">
        <v>1</v>
      </c>
      <c r="AH3484" s="4">
        <v>39</v>
      </c>
      <c r="AI3484" s="4">
        <v>39</v>
      </c>
      <c r="AJ3484" s="4">
        <v>19</v>
      </c>
      <c r="AK3484" s="4">
        <v>19</v>
      </c>
      <c r="AL3484" s="4">
        <v>24</v>
      </c>
      <c r="AM3484" s="4">
        <v>24</v>
      </c>
      <c r="AN3484" s="4">
        <v>0</v>
      </c>
      <c r="AO3484" s="4">
        <v>0</v>
      </c>
      <c r="AP3484" s="4">
        <v>33</v>
      </c>
      <c r="AQ3484" s="4">
        <v>33</v>
      </c>
      <c r="AR3484" s="3" t="s">
        <v>61</v>
      </c>
      <c r="AS3484" s="3" t="s">
        <v>62</v>
      </c>
      <c r="AT3484" s="3" t="s">
        <v>61</v>
      </c>
      <c r="AU3484" s="6" t="str">
        <f>HYPERLINK("http://catalog.hathitrust.org/Record/002477718","HathiTrust Record")</f>
        <v>HathiTrust Record</v>
      </c>
      <c r="AV3484" s="6" t="str">
        <f>HYPERLINK("http://mcgill.on.worldcat.org/oclc/3137616","Catalog Record")</f>
        <v>Catalog Record</v>
      </c>
      <c r="AW3484" s="6" t="str">
        <f>HYPERLINK("http://www.worldcat.org/oclc/3137616","WorldCat Record")</f>
        <v>WorldCat Record</v>
      </c>
      <c r="AX3484" s="3" t="s">
        <v>33589</v>
      </c>
      <c r="AY3484" s="3" t="s">
        <v>33590</v>
      </c>
      <c r="AZ3484" s="3" t="s">
        <v>33591</v>
      </c>
      <c r="BA3484" s="3" t="s">
        <v>33591</v>
      </c>
      <c r="BB3484" s="3" t="s">
        <v>33592</v>
      </c>
      <c r="BC3484" s="3" t="s">
        <v>142</v>
      </c>
      <c r="BD3484" s="3" t="s">
        <v>68</v>
      </c>
      <c r="BE3484" s="3" t="s">
        <v>33593</v>
      </c>
      <c r="BF3484" s="3" t="s">
        <v>33592</v>
      </c>
      <c r="BG3484" s="3" t="s">
        <v>33594</v>
      </c>
    </row>
    <row r="3485" spans="1:59" ht="57" x14ac:dyDescent="0.45">
      <c r="A3485" s="2" t="s">
        <v>59</v>
      </c>
      <c r="B3485" s="2" t="s">
        <v>60</v>
      </c>
      <c r="C3485" s="2" t="s">
        <v>33595</v>
      </c>
      <c r="D3485" s="2" t="s">
        <v>33596</v>
      </c>
      <c r="E3485" s="2" t="s">
        <v>33597</v>
      </c>
      <c r="G3485" s="3" t="s">
        <v>62</v>
      </c>
      <c r="I3485" s="3" t="s">
        <v>62</v>
      </c>
      <c r="J3485" s="3" t="s">
        <v>62</v>
      </c>
      <c r="K3485" s="3" t="s">
        <v>63</v>
      </c>
      <c r="M3485" s="2" t="s">
        <v>33598</v>
      </c>
      <c r="N3485" s="3" t="s">
        <v>970</v>
      </c>
      <c r="P3485" s="3" t="s">
        <v>65</v>
      </c>
      <c r="Q3485" s="2" t="s">
        <v>33599</v>
      </c>
      <c r="R3485" s="3" t="s">
        <v>66</v>
      </c>
      <c r="S3485" s="4">
        <v>8</v>
      </c>
      <c r="T3485" s="4">
        <v>8</v>
      </c>
      <c r="U3485" s="5" t="s">
        <v>33502</v>
      </c>
      <c r="V3485" s="5" t="s">
        <v>33502</v>
      </c>
      <c r="W3485" s="5" t="s">
        <v>67</v>
      </c>
      <c r="X3485" s="5" t="s">
        <v>67</v>
      </c>
      <c r="Y3485" s="4">
        <v>181</v>
      </c>
      <c r="Z3485" s="4">
        <v>12</v>
      </c>
      <c r="AA3485" s="4">
        <v>81</v>
      </c>
      <c r="AB3485" s="4">
        <v>1</v>
      </c>
      <c r="AC3485" s="4">
        <v>14</v>
      </c>
      <c r="AD3485" s="4">
        <v>68</v>
      </c>
      <c r="AE3485" s="4">
        <v>122</v>
      </c>
      <c r="AF3485" s="4">
        <v>0</v>
      </c>
      <c r="AG3485" s="4">
        <v>8</v>
      </c>
      <c r="AH3485" s="4">
        <v>63</v>
      </c>
      <c r="AI3485" s="4">
        <v>87</v>
      </c>
      <c r="AJ3485" s="4">
        <v>7</v>
      </c>
      <c r="AK3485" s="4">
        <v>21</v>
      </c>
      <c r="AL3485" s="4">
        <v>38</v>
      </c>
      <c r="AM3485" s="4">
        <v>48</v>
      </c>
      <c r="AN3485" s="4">
        <v>0</v>
      </c>
      <c r="AO3485" s="4">
        <v>0</v>
      </c>
      <c r="AP3485" s="4">
        <v>10</v>
      </c>
      <c r="AQ3485" s="4">
        <v>43</v>
      </c>
      <c r="AR3485" s="3" t="s">
        <v>62</v>
      </c>
      <c r="AS3485" s="3" t="s">
        <v>62</v>
      </c>
      <c r="AT3485" s="3" t="s">
        <v>61</v>
      </c>
      <c r="AU3485" s="6" t="str">
        <f>HYPERLINK("http://catalog.hathitrust.org/Record/004281028","HathiTrust Record")</f>
        <v>HathiTrust Record</v>
      </c>
      <c r="AV3485" s="6" t="str">
        <f>HYPERLINK("http://mcgill.on.worldcat.org/oclc/49952015","Catalog Record")</f>
        <v>Catalog Record</v>
      </c>
      <c r="AW3485" s="6" t="str">
        <f>HYPERLINK("http://www.worldcat.org/oclc/49952015","WorldCat Record")</f>
        <v>WorldCat Record</v>
      </c>
      <c r="AX3485" s="3" t="s">
        <v>33600</v>
      </c>
      <c r="AY3485" s="3" t="s">
        <v>33601</v>
      </c>
      <c r="AZ3485" s="3" t="s">
        <v>33602</v>
      </c>
      <c r="BA3485" s="3" t="s">
        <v>33602</v>
      </c>
      <c r="BB3485" s="3" t="s">
        <v>33603</v>
      </c>
      <c r="BC3485" s="3" t="s">
        <v>142</v>
      </c>
      <c r="BD3485" s="3" t="s">
        <v>308</v>
      </c>
      <c r="BE3485" s="3" t="s">
        <v>33604</v>
      </c>
      <c r="BF3485" s="3" t="s">
        <v>33603</v>
      </c>
      <c r="BG3485" s="3" t="s">
        <v>33605</v>
      </c>
    </row>
    <row r="3486" spans="1:59" ht="57" x14ac:dyDescent="0.45">
      <c r="A3486" s="2" t="s">
        <v>59</v>
      </c>
      <c r="B3486" s="2" t="s">
        <v>60</v>
      </c>
      <c r="C3486" s="2" t="s">
        <v>33606</v>
      </c>
      <c r="D3486" s="2" t="s">
        <v>33607</v>
      </c>
      <c r="E3486" s="2" t="s">
        <v>33608</v>
      </c>
      <c r="G3486" s="3" t="s">
        <v>62</v>
      </c>
      <c r="I3486" s="3" t="s">
        <v>62</v>
      </c>
      <c r="J3486" s="3" t="s">
        <v>62</v>
      </c>
      <c r="K3486" s="3" t="s">
        <v>63</v>
      </c>
      <c r="L3486" s="2" t="s">
        <v>33609</v>
      </c>
      <c r="M3486" s="2" t="s">
        <v>33610</v>
      </c>
      <c r="N3486" s="3" t="s">
        <v>1855</v>
      </c>
      <c r="P3486" s="3" t="s">
        <v>65</v>
      </c>
      <c r="Q3486" s="2" t="s">
        <v>3634</v>
      </c>
      <c r="R3486" s="3" t="s">
        <v>66</v>
      </c>
      <c r="S3486" s="4">
        <v>8</v>
      </c>
      <c r="T3486" s="4">
        <v>8</v>
      </c>
      <c r="U3486" s="5" t="s">
        <v>33502</v>
      </c>
      <c r="V3486" s="5" t="s">
        <v>33502</v>
      </c>
      <c r="W3486" s="5" t="s">
        <v>67</v>
      </c>
      <c r="X3486" s="5" t="s">
        <v>67</v>
      </c>
      <c r="Y3486" s="4">
        <v>273</v>
      </c>
      <c r="Z3486" s="4">
        <v>21</v>
      </c>
      <c r="AA3486" s="4">
        <v>25</v>
      </c>
      <c r="AB3486" s="4">
        <v>2</v>
      </c>
      <c r="AC3486" s="4">
        <v>4</v>
      </c>
      <c r="AD3486" s="4">
        <v>95</v>
      </c>
      <c r="AE3486" s="4">
        <v>101</v>
      </c>
      <c r="AF3486" s="4">
        <v>1</v>
      </c>
      <c r="AG3486" s="4">
        <v>3</v>
      </c>
      <c r="AH3486" s="4">
        <v>86</v>
      </c>
      <c r="AI3486" s="4">
        <v>90</v>
      </c>
      <c r="AJ3486" s="4">
        <v>13</v>
      </c>
      <c r="AK3486" s="4">
        <v>15</v>
      </c>
      <c r="AL3486" s="4">
        <v>50</v>
      </c>
      <c r="AM3486" s="4">
        <v>51</v>
      </c>
      <c r="AN3486" s="4">
        <v>0</v>
      </c>
      <c r="AO3486" s="4">
        <v>0</v>
      </c>
      <c r="AP3486" s="4">
        <v>16</v>
      </c>
      <c r="AQ3486" s="4">
        <v>18</v>
      </c>
      <c r="AR3486" s="3" t="s">
        <v>62</v>
      </c>
      <c r="AS3486" s="3" t="s">
        <v>62</v>
      </c>
      <c r="AT3486" s="3" t="s">
        <v>62</v>
      </c>
      <c r="AV3486" s="6" t="str">
        <f>HYPERLINK("http://mcgill.on.worldcat.org/oclc/59402017","Catalog Record")</f>
        <v>Catalog Record</v>
      </c>
      <c r="AW3486" s="6" t="str">
        <f>HYPERLINK("http://www.worldcat.org/oclc/59402017","WorldCat Record")</f>
        <v>WorldCat Record</v>
      </c>
      <c r="AX3486" s="3" t="s">
        <v>33611</v>
      </c>
      <c r="AY3486" s="3" t="s">
        <v>33612</v>
      </c>
      <c r="AZ3486" s="3" t="s">
        <v>33613</v>
      </c>
      <c r="BA3486" s="3" t="s">
        <v>33613</v>
      </c>
      <c r="BB3486" s="3" t="s">
        <v>33614</v>
      </c>
      <c r="BC3486" s="3" t="s">
        <v>142</v>
      </c>
      <c r="BD3486" s="3" t="s">
        <v>308</v>
      </c>
      <c r="BE3486" s="3" t="s">
        <v>33615</v>
      </c>
      <c r="BF3486" s="3" t="s">
        <v>33614</v>
      </c>
      <c r="BG3486" s="3" t="s">
        <v>33616</v>
      </c>
    </row>
    <row r="3487" spans="1:59" ht="57" x14ac:dyDescent="0.45">
      <c r="A3487" s="2" t="s">
        <v>59</v>
      </c>
      <c r="B3487" s="2" t="s">
        <v>60</v>
      </c>
      <c r="C3487" s="2" t="s">
        <v>33617</v>
      </c>
      <c r="D3487" s="2" t="s">
        <v>33618</v>
      </c>
      <c r="E3487" s="2" t="s">
        <v>33619</v>
      </c>
      <c r="G3487" s="3" t="s">
        <v>62</v>
      </c>
      <c r="I3487" s="3" t="s">
        <v>62</v>
      </c>
      <c r="J3487" s="3" t="s">
        <v>62</v>
      </c>
      <c r="K3487" s="3" t="s">
        <v>63</v>
      </c>
      <c r="M3487" s="2" t="s">
        <v>33620</v>
      </c>
      <c r="N3487" s="3" t="s">
        <v>820</v>
      </c>
      <c r="P3487" s="3" t="s">
        <v>110</v>
      </c>
      <c r="R3487" s="3" t="s">
        <v>66</v>
      </c>
      <c r="S3487" s="4">
        <v>10</v>
      </c>
      <c r="T3487" s="4">
        <v>10</v>
      </c>
      <c r="U3487" s="5" t="s">
        <v>30943</v>
      </c>
      <c r="V3487" s="5" t="s">
        <v>30943</v>
      </c>
      <c r="W3487" s="5" t="s">
        <v>67</v>
      </c>
      <c r="X3487" s="5" t="s">
        <v>67</v>
      </c>
      <c r="Y3487" s="4">
        <v>41</v>
      </c>
      <c r="Z3487" s="4">
        <v>7</v>
      </c>
      <c r="AA3487" s="4">
        <v>15</v>
      </c>
      <c r="AB3487" s="4">
        <v>1</v>
      </c>
      <c r="AC3487" s="4">
        <v>7</v>
      </c>
      <c r="AD3487" s="4">
        <v>18</v>
      </c>
      <c r="AE3487" s="4">
        <v>23</v>
      </c>
      <c r="AF3487" s="4">
        <v>0</v>
      </c>
      <c r="AG3487" s="4">
        <v>4</v>
      </c>
      <c r="AH3487" s="4">
        <v>15</v>
      </c>
      <c r="AI3487" s="4">
        <v>16</v>
      </c>
      <c r="AJ3487" s="4">
        <v>4</v>
      </c>
      <c r="AK3487" s="4">
        <v>8</v>
      </c>
      <c r="AL3487" s="4">
        <v>11</v>
      </c>
      <c r="AM3487" s="4">
        <v>11</v>
      </c>
      <c r="AN3487" s="4">
        <v>0</v>
      </c>
      <c r="AO3487" s="4">
        <v>0</v>
      </c>
      <c r="AP3487" s="4">
        <v>5</v>
      </c>
      <c r="AQ3487" s="4">
        <v>9</v>
      </c>
      <c r="AR3487" s="3" t="s">
        <v>62</v>
      </c>
      <c r="AS3487" s="3" t="s">
        <v>62</v>
      </c>
      <c r="AT3487" s="3" t="s">
        <v>62</v>
      </c>
      <c r="AV3487" s="6" t="str">
        <f>HYPERLINK("http://mcgill.on.worldcat.org/oclc/243612862","Catalog Record")</f>
        <v>Catalog Record</v>
      </c>
      <c r="AW3487" s="6" t="str">
        <f>HYPERLINK("http://www.worldcat.org/oclc/243612862","WorldCat Record")</f>
        <v>WorldCat Record</v>
      </c>
      <c r="AX3487" s="3" t="s">
        <v>33621</v>
      </c>
      <c r="AY3487" s="3" t="s">
        <v>33622</v>
      </c>
      <c r="AZ3487" s="3" t="s">
        <v>33623</v>
      </c>
      <c r="BA3487" s="3" t="s">
        <v>33623</v>
      </c>
      <c r="BB3487" s="3" t="s">
        <v>33624</v>
      </c>
      <c r="BC3487" s="3" t="s">
        <v>142</v>
      </c>
      <c r="BD3487" s="3" t="s">
        <v>68</v>
      </c>
      <c r="BE3487" s="3" t="s">
        <v>33625</v>
      </c>
      <c r="BF3487" s="3" t="s">
        <v>33624</v>
      </c>
      <c r="BG3487" s="3" t="s">
        <v>33626</v>
      </c>
    </row>
    <row r="3488" spans="1:59" ht="57" x14ac:dyDescent="0.45">
      <c r="A3488" s="2" t="s">
        <v>59</v>
      </c>
      <c r="B3488" s="2" t="s">
        <v>60</v>
      </c>
      <c r="C3488" s="2" t="s">
        <v>33627</v>
      </c>
      <c r="D3488" s="2" t="s">
        <v>33628</v>
      </c>
      <c r="E3488" s="2" t="s">
        <v>33629</v>
      </c>
      <c r="G3488" s="3" t="s">
        <v>62</v>
      </c>
      <c r="I3488" s="3" t="s">
        <v>62</v>
      </c>
      <c r="J3488" s="3" t="s">
        <v>62</v>
      </c>
      <c r="K3488" s="3" t="s">
        <v>63</v>
      </c>
      <c r="M3488" s="2" t="s">
        <v>33630</v>
      </c>
      <c r="N3488" s="3" t="s">
        <v>1688</v>
      </c>
      <c r="O3488" s="2" t="s">
        <v>12388</v>
      </c>
      <c r="P3488" s="3" t="s">
        <v>110</v>
      </c>
      <c r="Q3488" s="2" t="s">
        <v>33631</v>
      </c>
      <c r="R3488" s="3" t="s">
        <v>66</v>
      </c>
      <c r="S3488" s="4">
        <v>0</v>
      </c>
      <c r="T3488" s="4">
        <v>0</v>
      </c>
      <c r="W3488" s="5" t="s">
        <v>67</v>
      </c>
      <c r="X3488" s="5" t="s">
        <v>67</v>
      </c>
      <c r="Y3488" s="4">
        <v>6</v>
      </c>
      <c r="Z3488" s="4">
        <v>2</v>
      </c>
      <c r="AA3488" s="4">
        <v>11</v>
      </c>
      <c r="AB3488" s="4">
        <v>1</v>
      </c>
      <c r="AC3488" s="4">
        <v>8</v>
      </c>
      <c r="AD3488" s="4">
        <v>1</v>
      </c>
      <c r="AE3488" s="4">
        <v>6</v>
      </c>
      <c r="AF3488" s="4">
        <v>0</v>
      </c>
      <c r="AG3488" s="4">
        <v>3</v>
      </c>
      <c r="AH3488" s="4">
        <v>1</v>
      </c>
      <c r="AI3488" s="4">
        <v>3</v>
      </c>
      <c r="AJ3488" s="4">
        <v>1</v>
      </c>
      <c r="AK3488" s="4">
        <v>4</v>
      </c>
      <c r="AL3488" s="4">
        <v>0</v>
      </c>
      <c r="AM3488" s="4">
        <v>0</v>
      </c>
      <c r="AN3488" s="4">
        <v>0</v>
      </c>
      <c r="AO3488" s="4">
        <v>0</v>
      </c>
      <c r="AP3488" s="4">
        <v>1</v>
      </c>
      <c r="AQ3488" s="4">
        <v>6</v>
      </c>
      <c r="AR3488" s="3" t="s">
        <v>62</v>
      </c>
      <c r="AS3488" s="3" t="s">
        <v>62</v>
      </c>
      <c r="AT3488" s="3" t="s">
        <v>62</v>
      </c>
      <c r="AV3488" s="6" t="str">
        <f>HYPERLINK("http://mcgill.on.worldcat.org/oclc/896840319","Catalog Record")</f>
        <v>Catalog Record</v>
      </c>
      <c r="AW3488" s="6" t="str">
        <f>HYPERLINK("http://www.worldcat.org/oclc/896840319","WorldCat Record")</f>
        <v>WorldCat Record</v>
      </c>
      <c r="AX3488" s="3" t="s">
        <v>33632</v>
      </c>
      <c r="AY3488" s="3" t="s">
        <v>33633</v>
      </c>
      <c r="AZ3488" s="3" t="s">
        <v>33634</v>
      </c>
      <c r="BA3488" s="3" t="s">
        <v>33634</v>
      </c>
      <c r="BB3488" s="3" t="s">
        <v>33635</v>
      </c>
      <c r="BC3488" s="3" t="s">
        <v>142</v>
      </c>
      <c r="BD3488" s="3" t="s">
        <v>68</v>
      </c>
      <c r="BE3488" s="3" t="s">
        <v>33636</v>
      </c>
      <c r="BF3488" s="3" t="s">
        <v>33635</v>
      </c>
      <c r="BG3488" s="3" t="s">
        <v>33637</v>
      </c>
    </row>
    <row r="3489" spans="1:59" ht="57" x14ac:dyDescent="0.45">
      <c r="A3489" s="2" t="s">
        <v>59</v>
      </c>
      <c r="B3489" s="2" t="s">
        <v>60</v>
      </c>
      <c r="C3489" s="2" t="s">
        <v>33638</v>
      </c>
      <c r="D3489" s="2" t="s">
        <v>33639</v>
      </c>
      <c r="E3489" s="2" t="s">
        <v>33640</v>
      </c>
      <c r="G3489" s="3" t="s">
        <v>62</v>
      </c>
      <c r="I3489" s="3" t="s">
        <v>62</v>
      </c>
      <c r="J3489" s="3" t="s">
        <v>62</v>
      </c>
      <c r="K3489" s="3" t="s">
        <v>63</v>
      </c>
      <c r="L3489" s="2" t="s">
        <v>33641</v>
      </c>
      <c r="M3489" s="2" t="s">
        <v>33642</v>
      </c>
      <c r="N3489" s="3" t="s">
        <v>5180</v>
      </c>
      <c r="P3489" s="3" t="s">
        <v>65</v>
      </c>
      <c r="Q3489" s="2" t="s">
        <v>33643</v>
      </c>
      <c r="R3489" s="3" t="s">
        <v>66</v>
      </c>
      <c r="S3489" s="4">
        <v>0</v>
      </c>
      <c r="T3489" s="4">
        <v>0</v>
      </c>
      <c r="W3489" s="5" t="s">
        <v>67</v>
      </c>
      <c r="X3489" s="5" t="s">
        <v>67</v>
      </c>
      <c r="Y3489" s="4">
        <v>40</v>
      </c>
      <c r="Z3489" s="4">
        <v>6</v>
      </c>
      <c r="AA3489" s="4">
        <v>10</v>
      </c>
      <c r="AB3489" s="4">
        <v>1</v>
      </c>
      <c r="AC3489" s="4">
        <v>3</v>
      </c>
      <c r="AD3489" s="4">
        <v>23</v>
      </c>
      <c r="AE3489" s="4">
        <v>28</v>
      </c>
      <c r="AF3489" s="4">
        <v>0</v>
      </c>
      <c r="AG3489" s="4">
        <v>0</v>
      </c>
      <c r="AH3489" s="4">
        <v>20</v>
      </c>
      <c r="AI3489" s="4">
        <v>25</v>
      </c>
      <c r="AJ3489" s="4">
        <v>5</v>
      </c>
      <c r="AK3489" s="4">
        <v>7</v>
      </c>
      <c r="AL3489" s="4">
        <v>14</v>
      </c>
      <c r="AM3489" s="4">
        <v>17</v>
      </c>
      <c r="AN3489" s="4">
        <v>0</v>
      </c>
      <c r="AO3489" s="4">
        <v>0</v>
      </c>
      <c r="AP3489" s="4">
        <v>5</v>
      </c>
      <c r="AQ3489" s="4">
        <v>7</v>
      </c>
      <c r="AR3489" s="3" t="s">
        <v>62</v>
      </c>
      <c r="AS3489" s="3" t="s">
        <v>62</v>
      </c>
      <c r="AT3489" s="3" t="s">
        <v>62</v>
      </c>
      <c r="AV3489" s="6" t="str">
        <f>HYPERLINK("http://mcgill.on.worldcat.org/oclc/1020310236","Catalog Record")</f>
        <v>Catalog Record</v>
      </c>
      <c r="AW3489" s="6" t="str">
        <f>HYPERLINK("http://www.worldcat.org/oclc/1020310236","WorldCat Record")</f>
        <v>WorldCat Record</v>
      </c>
      <c r="AX3489" s="3" t="s">
        <v>33644</v>
      </c>
      <c r="AY3489" s="3" t="s">
        <v>33645</v>
      </c>
      <c r="AZ3489" s="3" t="s">
        <v>33646</v>
      </c>
      <c r="BA3489" s="3" t="s">
        <v>33646</v>
      </c>
      <c r="BB3489" s="3" t="s">
        <v>33647</v>
      </c>
      <c r="BC3489" s="3" t="s">
        <v>142</v>
      </c>
      <c r="BD3489" s="3" t="s">
        <v>68</v>
      </c>
      <c r="BE3489" s="3" t="s">
        <v>33648</v>
      </c>
      <c r="BF3489" s="3" t="s">
        <v>33647</v>
      </c>
      <c r="BG3489" s="3" t="s">
        <v>33649</v>
      </c>
    </row>
    <row r="3490" spans="1:59" ht="57" x14ac:dyDescent="0.45">
      <c r="A3490" s="2" t="s">
        <v>59</v>
      </c>
      <c r="B3490" s="2" t="s">
        <v>60</v>
      </c>
      <c r="C3490" s="2" t="s">
        <v>33650</v>
      </c>
      <c r="D3490" s="2" t="s">
        <v>33651</v>
      </c>
      <c r="E3490" s="2" t="s">
        <v>33652</v>
      </c>
      <c r="G3490" s="3" t="s">
        <v>62</v>
      </c>
      <c r="I3490" s="3" t="s">
        <v>61</v>
      </c>
      <c r="J3490" s="3" t="s">
        <v>61</v>
      </c>
      <c r="K3490" s="3" t="s">
        <v>63</v>
      </c>
      <c r="L3490" s="2" t="s">
        <v>4035</v>
      </c>
      <c r="M3490" s="2" t="s">
        <v>33653</v>
      </c>
      <c r="N3490" s="3" t="s">
        <v>958</v>
      </c>
      <c r="O3490" s="2" t="s">
        <v>933</v>
      </c>
      <c r="P3490" s="3" t="s">
        <v>65</v>
      </c>
      <c r="Q3490" s="2" t="s">
        <v>33654</v>
      </c>
      <c r="R3490" s="3" t="s">
        <v>66</v>
      </c>
      <c r="S3490" s="4">
        <v>64</v>
      </c>
      <c r="T3490" s="4">
        <v>109</v>
      </c>
      <c r="U3490" s="5" t="s">
        <v>123</v>
      </c>
      <c r="V3490" s="5" t="s">
        <v>123</v>
      </c>
      <c r="W3490" s="5" t="s">
        <v>67</v>
      </c>
      <c r="X3490" s="5" t="s">
        <v>67</v>
      </c>
      <c r="Y3490" s="4">
        <v>463</v>
      </c>
      <c r="Z3490" s="4">
        <v>28</v>
      </c>
      <c r="AA3490" s="4">
        <v>40</v>
      </c>
      <c r="AB3490" s="4">
        <v>2</v>
      </c>
      <c r="AC3490" s="4">
        <v>5</v>
      </c>
      <c r="AD3490" s="4">
        <v>109</v>
      </c>
      <c r="AE3490" s="4">
        <v>134</v>
      </c>
      <c r="AF3490" s="4">
        <v>1</v>
      </c>
      <c r="AG3490" s="4">
        <v>4</v>
      </c>
      <c r="AH3490" s="4">
        <v>91</v>
      </c>
      <c r="AI3490" s="4">
        <v>109</v>
      </c>
      <c r="AJ3490" s="4">
        <v>19</v>
      </c>
      <c r="AK3490" s="4">
        <v>25</v>
      </c>
      <c r="AL3490" s="4">
        <v>49</v>
      </c>
      <c r="AM3490" s="4">
        <v>58</v>
      </c>
      <c r="AN3490" s="4">
        <v>0</v>
      </c>
      <c r="AO3490" s="4">
        <v>0</v>
      </c>
      <c r="AP3490" s="4">
        <v>26</v>
      </c>
      <c r="AQ3490" s="4">
        <v>33</v>
      </c>
      <c r="AR3490" s="3" t="s">
        <v>62</v>
      </c>
      <c r="AS3490" s="3" t="s">
        <v>62</v>
      </c>
      <c r="AT3490" s="3" t="s">
        <v>62</v>
      </c>
      <c r="AV3490" s="6" t="str">
        <f>HYPERLINK("http://mcgill.on.worldcat.org/oclc/30069631","Catalog Record")</f>
        <v>Catalog Record</v>
      </c>
      <c r="AW3490" s="6" t="str">
        <f>HYPERLINK("http://www.worldcat.org/oclc/30069631","WorldCat Record")</f>
        <v>WorldCat Record</v>
      </c>
      <c r="AX3490" s="3" t="s">
        <v>33655</v>
      </c>
      <c r="AY3490" s="3" t="s">
        <v>33656</v>
      </c>
      <c r="AZ3490" s="3" t="s">
        <v>33657</v>
      </c>
      <c r="BA3490" s="3" t="s">
        <v>33657</v>
      </c>
      <c r="BB3490" s="3" t="s">
        <v>33658</v>
      </c>
      <c r="BC3490" s="3" t="s">
        <v>142</v>
      </c>
      <c r="BD3490" s="3" t="s">
        <v>68</v>
      </c>
      <c r="BE3490" s="3" t="s">
        <v>33659</v>
      </c>
      <c r="BF3490" s="3" t="s">
        <v>33658</v>
      </c>
      <c r="BG3490" s="3" t="s">
        <v>33660</v>
      </c>
    </row>
    <row r="3491" spans="1:59" ht="57" x14ac:dyDescent="0.45">
      <c r="A3491" s="2" t="s">
        <v>59</v>
      </c>
      <c r="B3491" s="2" t="s">
        <v>60</v>
      </c>
      <c r="C3491" s="2" t="s">
        <v>33650</v>
      </c>
      <c r="D3491" s="2" t="s">
        <v>33651</v>
      </c>
      <c r="E3491" s="2" t="s">
        <v>33652</v>
      </c>
      <c r="G3491" s="3" t="s">
        <v>62</v>
      </c>
      <c r="I3491" s="3" t="s">
        <v>61</v>
      </c>
      <c r="J3491" s="3" t="s">
        <v>61</v>
      </c>
      <c r="K3491" s="3" t="s">
        <v>63</v>
      </c>
      <c r="L3491" s="2" t="s">
        <v>4035</v>
      </c>
      <c r="M3491" s="2" t="s">
        <v>33653</v>
      </c>
      <c r="N3491" s="3" t="s">
        <v>958</v>
      </c>
      <c r="O3491" s="2" t="s">
        <v>933</v>
      </c>
      <c r="P3491" s="3" t="s">
        <v>65</v>
      </c>
      <c r="Q3491" s="2" t="s">
        <v>33654</v>
      </c>
      <c r="R3491" s="3" t="s">
        <v>66</v>
      </c>
      <c r="S3491" s="4">
        <v>45</v>
      </c>
      <c r="T3491" s="4">
        <v>109</v>
      </c>
      <c r="U3491" s="5" t="s">
        <v>33661</v>
      </c>
      <c r="V3491" s="5" t="s">
        <v>123</v>
      </c>
      <c r="W3491" s="5" t="s">
        <v>67</v>
      </c>
      <c r="X3491" s="5" t="s">
        <v>67</v>
      </c>
      <c r="Y3491" s="4">
        <v>463</v>
      </c>
      <c r="Z3491" s="4">
        <v>28</v>
      </c>
      <c r="AA3491" s="4">
        <v>40</v>
      </c>
      <c r="AB3491" s="4">
        <v>2</v>
      </c>
      <c r="AC3491" s="4">
        <v>5</v>
      </c>
      <c r="AD3491" s="4">
        <v>109</v>
      </c>
      <c r="AE3491" s="4">
        <v>134</v>
      </c>
      <c r="AF3491" s="4">
        <v>1</v>
      </c>
      <c r="AG3491" s="4">
        <v>4</v>
      </c>
      <c r="AH3491" s="4">
        <v>91</v>
      </c>
      <c r="AI3491" s="4">
        <v>109</v>
      </c>
      <c r="AJ3491" s="4">
        <v>19</v>
      </c>
      <c r="AK3491" s="4">
        <v>25</v>
      </c>
      <c r="AL3491" s="4">
        <v>49</v>
      </c>
      <c r="AM3491" s="4">
        <v>58</v>
      </c>
      <c r="AN3491" s="4">
        <v>0</v>
      </c>
      <c r="AO3491" s="4">
        <v>0</v>
      </c>
      <c r="AP3491" s="4">
        <v>26</v>
      </c>
      <c r="AQ3491" s="4">
        <v>33</v>
      </c>
      <c r="AR3491" s="3" t="s">
        <v>62</v>
      </c>
      <c r="AS3491" s="3" t="s">
        <v>62</v>
      </c>
      <c r="AT3491" s="3" t="s">
        <v>62</v>
      </c>
      <c r="AV3491" s="6" t="str">
        <f>HYPERLINK("http://mcgill.on.worldcat.org/oclc/30069631","Catalog Record")</f>
        <v>Catalog Record</v>
      </c>
      <c r="AW3491" s="6" t="str">
        <f>HYPERLINK("http://www.worldcat.org/oclc/30069631","WorldCat Record")</f>
        <v>WorldCat Record</v>
      </c>
      <c r="AX3491" s="3" t="s">
        <v>33655</v>
      </c>
      <c r="AY3491" s="3" t="s">
        <v>33656</v>
      </c>
      <c r="AZ3491" s="3" t="s">
        <v>33657</v>
      </c>
      <c r="BA3491" s="3" t="s">
        <v>33657</v>
      </c>
      <c r="BB3491" s="3" t="s">
        <v>33662</v>
      </c>
      <c r="BC3491" s="3" t="s">
        <v>142</v>
      </c>
      <c r="BD3491" s="3" t="s">
        <v>68</v>
      </c>
      <c r="BE3491" s="3" t="s">
        <v>33659</v>
      </c>
      <c r="BF3491" s="3" t="s">
        <v>33662</v>
      </c>
      <c r="BG3491" s="3" t="s">
        <v>33663</v>
      </c>
    </row>
    <row r="3492" spans="1:59" ht="57" x14ac:dyDescent="0.45">
      <c r="A3492" s="2" t="s">
        <v>59</v>
      </c>
      <c r="B3492" s="2" t="s">
        <v>60</v>
      </c>
      <c r="C3492" s="2" t="s">
        <v>33664</v>
      </c>
      <c r="D3492" s="2" t="s">
        <v>33665</v>
      </c>
      <c r="E3492" s="2" t="s">
        <v>33666</v>
      </c>
      <c r="G3492" s="3" t="s">
        <v>62</v>
      </c>
      <c r="I3492" s="3" t="s">
        <v>62</v>
      </c>
      <c r="J3492" s="3" t="s">
        <v>62</v>
      </c>
      <c r="K3492" s="3" t="s">
        <v>63</v>
      </c>
      <c r="M3492" s="2" t="s">
        <v>33667</v>
      </c>
      <c r="N3492" s="3" t="s">
        <v>894</v>
      </c>
      <c r="P3492" s="3" t="s">
        <v>65</v>
      </c>
      <c r="Q3492" s="2" t="s">
        <v>33668</v>
      </c>
      <c r="R3492" s="3" t="s">
        <v>66</v>
      </c>
      <c r="S3492" s="4">
        <v>1</v>
      </c>
      <c r="T3492" s="4">
        <v>1</v>
      </c>
      <c r="U3492" s="5" t="s">
        <v>33669</v>
      </c>
      <c r="V3492" s="5" t="s">
        <v>33669</v>
      </c>
      <c r="W3492" s="5" t="s">
        <v>67</v>
      </c>
      <c r="X3492" s="5" t="s">
        <v>67</v>
      </c>
      <c r="Y3492" s="4">
        <v>216</v>
      </c>
      <c r="Z3492" s="4">
        <v>26</v>
      </c>
      <c r="AA3492" s="4">
        <v>90</v>
      </c>
      <c r="AB3492" s="4">
        <v>3</v>
      </c>
      <c r="AC3492" s="4">
        <v>16</v>
      </c>
      <c r="AD3492" s="4">
        <v>70</v>
      </c>
      <c r="AE3492" s="4">
        <v>122</v>
      </c>
      <c r="AF3492" s="4">
        <v>2</v>
      </c>
      <c r="AG3492" s="4">
        <v>8</v>
      </c>
      <c r="AH3492" s="4">
        <v>59</v>
      </c>
      <c r="AI3492" s="4">
        <v>85</v>
      </c>
      <c r="AJ3492" s="4">
        <v>17</v>
      </c>
      <c r="AK3492" s="4">
        <v>26</v>
      </c>
      <c r="AL3492" s="4">
        <v>32</v>
      </c>
      <c r="AM3492" s="4">
        <v>44</v>
      </c>
      <c r="AN3492" s="4">
        <v>0</v>
      </c>
      <c r="AO3492" s="4">
        <v>0</v>
      </c>
      <c r="AP3492" s="4">
        <v>19</v>
      </c>
      <c r="AQ3492" s="4">
        <v>46</v>
      </c>
      <c r="AR3492" s="3" t="s">
        <v>62</v>
      </c>
      <c r="AS3492" s="3" t="s">
        <v>62</v>
      </c>
      <c r="AT3492" s="3" t="s">
        <v>62</v>
      </c>
      <c r="AV3492" s="6" t="str">
        <f>HYPERLINK("http://mcgill.on.worldcat.org/oclc/663446137","Catalog Record")</f>
        <v>Catalog Record</v>
      </c>
      <c r="AW3492" s="6" t="str">
        <f>HYPERLINK("http://www.worldcat.org/oclc/663446137","WorldCat Record")</f>
        <v>WorldCat Record</v>
      </c>
      <c r="AX3492" s="3" t="s">
        <v>33670</v>
      </c>
      <c r="AY3492" s="3" t="s">
        <v>33671</v>
      </c>
      <c r="AZ3492" s="3" t="s">
        <v>33672</v>
      </c>
      <c r="BA3492" s="3" t="s">
        <v>33672</v>
      </c>
      <c r="BB3492" s="3" t="s">
        <v>33673</v>
      </c>
      <c r="BC3492" s="3" t="s">
        <v>142</v>
      </c>
      <c r="BD3492" s="3" t="s">
        <v>68</v>
      </c>
      <c r="BE3492" s="3" t="s">
        <v>33674</v>
      </c>
      <c r="BF3492" s="3" t="s">
        <v>33673</v>
      </c>
      <c r="BG3492" s="3" t="s">
        <v>33675</v>
      </c>
    </row>
    <row r="3493" spans="1:59" ht="57" x14ac:dyDescent="0.45">
      <c r="A3493" s="2" t="s">
        <v>59</v>
      </c>
      <c r="B3493" s="2" t="s">
        <v>60</v>
      </c>
      <c r="C3493" s="2" t="s">
        <v>33676</v>
      </c>
      <c r="D3493" s="2" t="s">
        <v>33677</v>
      </c>
      <c r="E3493" s="2" t="s">
        <v>33678</v>
      </c>
      <c r="G3493" s="3" t="s">
        <v>62</v>
      </c>
      <c r="I3493" s="3" t="s">
        <v>62</v>
      </c>
      <c r="J3493" s="3" t="s">
        <v>62</v>
      </c>
      <c r="K3493" s="3" t="s">
        <v>63</v>
      </c>
      <c r="L3493" s="2" t="s">
        <v>33679</v>
      </c>
      <c r="M3493" s="2" t="s">
        <v>33680</v>
      </c>
      <c r="N3493" s="3" t="s">
        <v>820</v>
      </c>
      <c r="P3493" s="3" t="s">
        <v>65</v>
      </c>
      <c r="R3493" s="3" t="s">
        <v>66</v>
      </c>
      <c r="S3493" s="4">
        <v>3</v>
      </c>
      <c r="T3493" s="4">
        <v>3</v>
      </c>
      <c r="U3493" s="5" t="s">
        <v>26916</v>
      </c>
      <c r="V3493" s="5" t="s">
        <v>26916</v>
      </c>
      <c r="W3493" s="5" t="s">
        <v>67</v>
      </c>
      <c r="X3493" s="5" t="s">
        <v>67</v>
      </c>
      <c r="Y3493" s="4">
        <v>360</v>
      </c>
      <c r="Z3493" s="4">
        <v>21</v>
      </c>
      <c r="AA3493" s="4">
        <v>51</v>
      </c>
      <c r="AB3493" s="4">
        <v>2</v>
      </c>
      <c r="AC3493" s="4">
        <v>9</v>
      </c>
      <c r="AD3493" s="4">
        <v>90</v>
      </c>
      <c r="AE3493" s="4">
        <v>101</v>
      </c>
      <c r="AF3493" s="4">
        <v>1</v>
      </c>
      <c r="AG3493" s="4">
        <v>3</v>
      </c>
      <c r="AH3493" s="4">
        <v>82</v>
      </c>
      <c r="AI3493" s="4">
        <v>90</v>
      </c>
      <c r="AJ3493" s="4">
        <v>14</v>
      </c>
      <c r="AK3493" s="4">
        <v>17</v>
      </c>
      <c r="AL3493" s="4">
        <v>44</v>
      </c>
      <c r="AM3493" s="4">
        <v>45</v>
      </c>
      <c r="AN3493" s="4">
        <v>0</v>
      </c>
      <c r="AO3493" s="4">
        <v>0</v>
      </c>
      <c r="AP3493" s="4">
        <v>16</v>
      </c>
      <c r="AQ3493" s="4">
        <v>21</v>
      </c>
      <c r="AR3493" s="3" t="s">
        <v>62</v>
      </c>
      <c r="AS3493" s="3" t="s">
        <v>62</v>
      </c>
      <c r="AT3493" s="3" t="s">
        <v>62</v>
      </c>
      <c r="AV3493" s="6" t="str">
        <f>HYPERLINK("http://mcgill.on.worldcat.org/oclc/171287616","Catalog Record")</f>
        <v>Catalog Record</v>
      </c>
      <c r="AW3493" s="6" t="str">
        <f>HYPERLINK("http://www.worldcat.org/oclc/171287616","WorldCat Record")</f>
        <v>WorldCat Record</v>
      </c>
      <c r="AX3493" s="3" t="s">
        <v>33681</v>
      </c>
      <c r="AY3493" s="3" t="s">
        <v>33682</v>
      </c>
      <c r="AZ3493" s="3" t="s">
        <v>33683</v>
      </c>
      <c r="BA3493" s="3" t="s">
        <v>33683</v>
      </c>
      <c r="BB3493" s="3" t="s">
        <v>33684</v>
      </c>
      <c r="BC3493" s="3" t="s">
        <v>142</v>
      </c>
      <c r="BD3493" s="3" t="s">
        <v>68</v>
      </c>
      <c r="BE3493" s="3" t="s">
        <v>33685</v>
      </c>
      <c r="BF3493" s="3" t="s">
        <v>33684</v>
      </c>
      <c r="BG3493" s="3" t="s">
        <v>33686</v>
      </c>
    </row>
    <row r="3494" spans="1:59" ht="57" x14ac:dyDescent="0.45">
      <c r="A3494" s="2" t="s">
        <v>59</v>
      </c>
      <c r="B3494" s="2" t="s">
        <v>60</v>
      </c>
      <c r="C3494" s="2" t="s">
        <v>33687</v>
      </c>
      <c r="D3494" s="2" t="s">
        <v>33688</v>
      </c>
      <c r="E3494" s="2" t="s">
        <v>33689</v>
      </c>
      <c r="G3494" s="3" t="s">
        <v>62</v>
      </c>
      <c r="I3494" s="3" t="s">
        <v>62</v>
      </c>
      <c r="J3494" s="3" t="s">
        <v>62</v>
      </c>
      <c r="K3494" s="3" t="s">
        <v>63</v>
      </c>
      <c r="M3494" s="2" t="s">
        <v>33690</v>
      </c>
      <c r="N3494" s="3" t="s">
        <v>894</v>
      </c>
      <c r="P3494" s="3" t="s">
        <v>110</v>
      </c>
      <c r="Q3494" s="2" t="s">
        <v>33691</v>
      </c>
      <c r="R3494" s="3" t="s">
        <v>66</v>
      </c>
      <c r="S3494" s="4">
        <v>3</v>
      </c>
      <c r="T3494" s="4">
        <v>3</v>
      </c>
      <c r="U3494" s="5" t="s">
        <v>14301</v>
      </c>
      <c r="V3494" s="5" t="s">
        <v>14301</v>
      </c>
      <c r="W3494" s="5" t="s">
        <v>67</v>
      </c>
      <c r="X3494" s="5" t="s">
        <v>67</v>
      </c>
      <c r="Y3494" s="4">
        <v>27</v>
      </c>
      <c r="Z3494" s="4">
        <v>9</v>
      </c>
      <c r="AA3494" s="4">
        <v>17</v>
      </c>
      <c r="AB3494" s="4">
        <v>2</v>
      </c>
      <c r="AC3494" s="4">
        <v>8</v>
      </c>
      <c r="AD3494" s="4">
        <v>15</v>
      </c>
      <c r="AE3494" s="4">
        <v>21</v>
      </c>
      <c r="AF3494" s="4">
        <v>1</v>
      </c>
      <c r="AG3494" s="4">
        <v>5</v>
      </c>
      <c r="AH3494" s="4">
        <v>13</v>
      </c>
      <c r="AI3494" s="4">
        <v>15</v>
      </c>
      <c r="AJ3494" s="4">
        <v>6</v>
      </c>
      <c r="AK3494" s="4">
        <v>10</v>
      </c>
      <c r="AL3494" s="4">
        <v>10</v>
      </c>
      <c r="AM3494" s="4">
        <v>10</v>
      </c>
      <c r="AN3494" s="4">
        <v>0</v>
      </c>
      <c r="AO3494" s="4">
        <v>0</v>
      </c>
      <c r="AP3494" s="4">
        <v>6</v>
      </c>
      <c r="AQ3494" s="4">
        <v>11</v>
      </c>
      <c r="AR3494" s="3" t="s">
        <v>62</v>
      </c>
      <c r="AS3494" s="3" t="s">
        <v>62</v>
      </c>
      <c r="AT3494" s="3" t="s">
        <v>61</v>
      </c>
      <c r="AU3494" s="6" t="str">
        <f>HYPERLINK("http://catalog.hathitrust.org/Record/102567411","HathiTrust Record")</f>
        <v>HathiTrust Record</v>
      </c>
      <c r="AV3494" s="6" t="str">
        <f>HYPERLINK("http://mcgill.on.worldcat.org/oclc/771282072","Catalog Record")</f>
        <v>Catalog Record</v>
      </c>
      <c r="AW3494" s="6" t="str">
        <f>HYPERLINK("http://www.worldcat.org/oclc/771282072","WorldCat Record")</f>
        <v>WorldCat Record</v>
      </c>
      <c r="AX3494" s="3" t="s">
        <v>33692</v>
      </c>
      <c r="AY3494" s="3" t="s">
        <v>33693</v>
      </c>
      <c r="AZ3494" s="3" t="s">
        <v>33694</v>
      </c>
      <c r="BA3494" s="3" t="s">
        <v>33694</v>
      </c>
      <c r="BB3494" s="3" t="s">
        <v>33695</v>
      </c>
      <c r="BC3494" s="3" t="s">
        <v>142</v>
      </c>
      <c r="BD3494" s="3" t="s">
        <v>68</v>
      </c>
      <c r="BE3494" s="3" t="s">
        <v>33696</v>
      </c>
      <c r="BF3494" s="3" t="s">
        <v>33695</v>
      </c>
      <c r="BG3494" s="3" t="s">
        <v>33697</v>
      </c>
    </row>
    <row r="3495" spans="1:59" ht="57" x14ac:dyDescent="0.45">
      <c r="A3495" s="2" t="s">
        <v>59</v>
      </c>
      <c r="B3495" s="2" t="s">
        <v>60</v>
      </c>
      <c r="C3495" s="2" t="s">
        <v>33698</v>
      </c>
      <c r="D3495" s="2" t="s">
        <v>33699</v>
      </c>
      <c r="E3495" s="2" t="s">
        <v>33700</v>
      </c>
      <c r="G3495" s="3" t="s">
        <v>62</v>
      </c>
      <c r="I3495" s="3" t="s">
        <v>62</v>
      </c>
      <c r="J3495" s="3" t="s">
        <v>62</v>
      </c>
      <c r="K3495" s="3" t="s">
        <v>63</v>
      </c>
      <c r="M3495" s="2" t="s">
        <v>33701</v>
      </c>
      <c r="N3495" s="3" t="s">
        <v>1097</v>
      </c>
      <c r="P3495" s="3" t="s">
        <v>65</v>
      </c>
      <c r="Q3495" s="2" t="s">
        <v>33702</v>
      </c>
      <c r="R3495" s="3" t="s">
        <v>66</v>
      </c>
      <c r="S3495" s="4">
        <v>14</v>
      </c>
      <c r="T3495" s="4">
        <v>14</v>
      </c>
      <c r="U3495" s="5" t="s">
        <v>5925</v>
      </c>
      <c r="V3495" s="5" t="s">
        <v>5925</v>
      </c>
      <c r="W3495" s="5" t="s">
        <v>67</v>
      </c>
      <c r="X3495" s="5" t="s">
        <v>67</v>
      </c>
      <c r="Y3495" s="4">
        <v>186</v>
      </c>
      <c r="Z3495" s="4">
        <v>18</v>
      </c>
      <c r="AA3495" s="4">
        <v>107</v>
      </c>
      <c r="AB3495" s="4">
        <v>2</v>
      </c>
      <c r="AC3495" s="4">
        <v>17</v>
      </c>
      <c r="AD3495" s="4">
        <v>63</v>
      </c>
      <c r="AE3495" s="4">
        <v>127</v>
      </c>
      <c r="AF3495" s="4">
        <v>1</v>
      </c>
      <c r="AG3495" s="4">
        <v>8</v>
      </c>
      <c r="AH3495" s="4">
        <v>57</v>
      </c>
      <c r="AI3495" s="4">
        <v>90</v>
      </c>
      <c r="AJ3495" s="4">
        <v>12</v>
      </c>
      <c r="AK3495" s="4">
        <v>25</v>
      </c>
      <c r="AL3495" s="4">
        <v>30</v>
      </c>
      <c r="AM3495" s="4">
        <v>43</v>
      </c>
      <c r="AN3495" s="4">
        <v>0</v>
      </c>
      <c r="AO3495" s="4">
        <v>0</v>
      </c>
      <c r="AP3495" s="4">
        <v>14</v>
      </c>
      <c r="AQ3495" s="4">
        <v>46</v>
      </c>
      <c r="AR3495" s="3" t="s">
        <v>62</v>
      </c>
      <c r="AS3495" s="3" t="s">
        <v>62</v>
      </c>
      <c r="AT3495" s="3" t="s">
        <v>61</v>
      </c>
      <c r="AU3495" s="6" t="str">
        <f>HYPERLINK("http://catalog.hathitrust.org/Record/007143636","HathiTrust Record")</f>
        <v>HathiTrust Record</v>
      </c>
      <c r="AV3495" s="6" t="str">
        <f>HYPERLINK("http://mcgill.on.worldcat.org/oclc/52079575","Catalog Record")</f>
        <v>Catalog Record</v>
      </c>
      <c r="AW3495" s="6" t="str">
        <f>HYPERLINK("http://www.worldcat.org/oclc/52079575","WorldCat Record")</f>
        <v>WorldCat Record</v>
      </c>
      <c r="AX3495" s="3" t="s">
        <v>33703</v>
      </c>
      <c r="AY3495" s="3" t="s">
        <v>33704</v>
      </c>
      <c r="AZ3495" s="3" t="s">
        <v>33705</v>
      </c>
      <c r="BA3495" s="3" t="s">
        <v>33705</v>
      </c>
      <c r="BB3495" s="3" t="s">
        <v>33706</v>
      </c>
      <c r="BC3495" s="3" t="s">
        <v>142</v>
      </c>
      <c r="BD3495" s="3" t="s">
        <v>68</v>
      </c>
      <c r="BE3495" s="3" t="s">
        <v>33707</v>
      </c>
      <c r="BF3495" s="3" t="s">
        <v>33706</v>
      </c>
      <c r="BG3495" s="3" t="s">
        <v>33708</v>
      </c>
    </row>
    <row r="3496" spans="1:59" ht="57" x14ac:dyDescent="0.45">
      <c r="A3496" s="2" t="s">
        <v>59</v>
      </c>
      <c r="B3496" s="2" t="s">
        <v>60</v>
      </c>
      <c r="C3496" s="2" t="s">
        <v>33709</v>
      </c>
      <c r="D3496" s="2" t="s">
        <v>33710</v>
      </c>
      <c r="E3496" s="2" t="s">
        <v>33711</v>
      </c>
      <c r="G3496" s="3" t="s">
        <v>62</v>
      </c>
      <c r="I3496" s="3" t="s">
        <v>62</v>
      </c>
      <c r="J3496" s="3" t="s">
        <v>62</v>
      </c>
      <c r="K3496" s="3" t="s">
        <v>63</v>
      </c>
      <c r="M3496" s="2" t="s">
        <v>33712</v>
      </c>
      <c r="N3496" s="3" t="s">
        <v>1253</v>
      </c>
      <c r="P3496" s="3" t="s">
        <v>65</v>
      </c>
      <c r="R3496" s="3" t="s">
        <v>66</v>
      </c>
      <c r="S3496" s="4">
        <v>62</v>
      </c>
      <c r="T3496" s="4">
        <v>62</v>
      </c>
      <c r="U3496" s="5" t="s">
        <v>7961</v>
      </c>
      <c r="V3496" s="5" t="s">
        <v>7961</v>
      </c>
      <c r="W3496" s="5" t="s">
        <v>67</v>
      </c>
      <c r="X3496" s="5" t="s">
        <v>67</v>
      </c>
      <c r="Y3496" s="4">
        <v>303</v>
      </c>
      <c r="Z3496" s="4">
        <v>18</v>
      </c>
      <c r="AA3496" s="4">
        <v>23</v>
      </c>
      <c r="AB3496" s="4">
        <v>3</v>
      </c>
      <c r="AC3496" s="4">
        <v>8</v>
      </c>
      <c r="AD3496" s="4">
        <v>99</v>
      </c>
      <c r="AE3496" s="4">
        <v>102</v>
      </c>
      <c r="AF3496" s="4">
        <v>2</v>
      </c>
      <c r="AG3496" s="4">
        <v>4</v>
      </c>
      <c r="AH3496" s="4">
        <v>91</v>
      </c>
      <c r="AI3496" s="4">
        <v>93</v>
      </c>
      <c r="AJ3496" s="4">
        <v>12</v>
      </c>
      <c r="AK3496" s="4">
        <v>14</v>
      </c>
      <c r="AL3496" s="4">
        <v>51</v>
      </c>
      <c r="AM3496" s="4">
        <v>51</v>
      </c>
      <c r="AN3496" s="4">
        <v>0</v>
      </c>
      <c r="AO3496" s="4">
        <v>0</v>
      </c>
      <c r="AP3496" s="4">
        <v>14</v>
      </c>
      <c r="AQ3496" s="4">
        <v>16</v>
      </c>
      <c r="AR3496" s="3" t="s">
        <v>62</v>
      </c>
      <c r="AS3496" s="3" t="s">
        <v>62</v>
      </c>
      <c r="AT3496" s="3" t="s">
        <v>62</v>
      </c>
      <c r="AV3496" s="6" t="str">
        <f>HYPERLINK("http://mcgill.on.worldcat.org/oclc/35758273","Catalog Record")</f>
        <v>Catalog Record</v>
      </c>
      <c r="AW3496" s="6" t="str">
        <f>HYPERLINK("http://www.worldcat.org/oclc/35758273","WorldCat Record")</f>
        <v>WorldCat Record</v>
      </c>
      <c r="AX3496" s="3" t="s">
        <v>33713</v>
      </c>
      <c r="AY3496" s="3" t="s">
        <v>33714</v>
      </c>
      <c r="AZ3496" s="3" t="s">
        <v>33715</v>
      </c>
      <c r="BA3496" s="3" t="s">
        <v>33715</v>
      </c>
      <c r="BB3496" s="3" t="s">
        <v>33716</v>
      </c>
      <c r="BC3496" s="3" t="s">
        <v>142</v>
      </c>
      <c r="BD3496" s="3" t="s">
        <v>68</v>
      </c>
      <c r="BE3496" s="3" t="s">
        <v>33717</v>
      </c>
      <c r="BF3496" s="3" t="s">
        <v>33716</v>
      </c>
      <c r="BG3496" s="3" t="s">
        <v>33718</v>
      </c>
    </row>
    <row r="3497" spans="1:59" ht="57" x14ac:dyDescent="0.45">
      <c r="A3497" s="2" t="s">
        <v>59</v>
      </c>
      <c r="B3497" s="2" t="s">
        <v>60</v>
      </c>
      <c r="C3497" s="2" t="s">
        <v>33719</v>
      </c>
      <c r="D3497" s="2" t="s">
        <v>33720</v>
      </c>
      <c r="E3497" s="2" t="s">
        <v>33721</v>
      </c>
      <c r="G3497" s="3" t="s">
        <v>62</v>
      </c>
      <c r="I3497" s="3" t="s">
        <v>62</v>
      </c>
      <c r="J3497" s="3" t="s">
        <v>62</v>
      </c>
      <c r="K3497" s="3" t="s">
        <v>63</v>
      </c>
      <c r="M3497" s="2" t="s">
        <v>33722</v>
      </c>
      <c r="N3497" s="3" t="s">
        <v>116</v>
      </c>
      <c r="P3497" s="3" t="s">
        <v>110</v>
      </c>
      <c r="R3497" s="3" t="s">
        <v>66</v>
      </c>
      <c r="S3497" s="4">
        <v>0</v>
      </c>
      <c r="T3497" s="4">
        <v>0</v>
      </c>
      <c r="W3497" s="5" t="s">
        <v>67</v>
      </c>
      <c r="X3497" s="5" t="s">
        <v>67</v>
      </c>
      <c r="Y3497" s="4">
        <v>14</v>
      </c>
      <c r="Z3497" s="4">
        <v>3</v>
      </c>
      <c r="AA3497" s="4">
        <v>7</v>
      </c>
      <c r="AB3497" s="4">
        <v>1</v>
      </c>
      <c r="AC3497" s="4">
        <v>5</v>
      </c>
      <c r="AD3497" s="4">
        <v>8</v>
      </c>
      <c r="AE3497" s="4">
        <v>12</v>
      </c>
      <c r="AF3497" s="4">
        <v>0</v>
      </c>
      <c r="AG3497" s="4">
        <v>3</v>
      </c>
      <c r="AH3497" s="4">
        <v>7</v>
      </c>
      <c r="AI3497" s="4">
        <v>8</v>
      </c>
      <c r="AJ3497" s="4">
        <v>1</v>
      </c>
      <c r="AK3497" s="4">
        <v>3</v>
      </c>
      <c r="AL3497" s="4">
        <v>8</v>
      </c>
      <c r="AM3497" s="4">
        <v>8</v>
      </c>
      <c r="AN3497" s="4">
        <v>0</v>
      </c>
      <c r="AO3497" s="4">
        <v>0</v>
      </c>
      <c r="AP3497" s="4">
        <v>1</v>
      </c>
      <c r="AQ3497" s="4">
        <v>3</v>
      </c>
      <c r="AR3497" s="3" t="s">
        <v>62</v>
      </c>
      <c r="AS3497" s="3" t="s">
        <v>62</v>
      </c>
      <c r="AT3497" s="3" t="s">
        <v>62</v>
      </c>
      <c r="AV3497" s="6" t="str">
        <f>HYPERLINK("http://mcgill.on.worldcat.org/oclc/876349701","Catalog Record")</f>
        <v>Catalog Record</v>
      </c>
      <c r="AW3497" s="6" t="str">
        <f>HYPERLINK("http://www.worldcat.org/oclc/876349701","WorldCat Record")</f>
        <v>WorldCat Record</v>
      </c>
      <c r="AX3497" s="3" t="s">
        <v>33723</v>
      </c>
      <c r="AY3497" s="3" t="s">
        <v>33724</v>
      </c>
      <c r="AZ3497" s="3" t="s">
        <v>33725</v>
      </c>
      <c r="BA3497" s="3" t="s">
        <v>33725</v>
      </c>
      <c r="BB3497" s="3" t="s">
        <v>33726</v>
      </c>
      <c r="BC3497" s="3" t="s">
        <v>142</v>
      </c>
      <c r="BD3497" s="3" t="s">
        <v>68</v>
      </c>
      <c r="BE3497" s="3" t="s">
        <v>33727</v>
      </c>
      <c r="BF3497" s="3" t="s">
        <v>33726</v>
      </c>
      <c r="BG3497" s="3" t="s">
        <v>33728</v>
      </c>
    </row>
    <row r="3498" spans="1:59" ht="57" x14ac:dyDescent="0.45">
      <c r="A3498" s="2" t="s">
        <v>59</v>
      </c>
      <c r="B3498" s="2" t="s">
        <v>60</v>
      </c>
      <c r="C3498" s="2" t="s">
        <v>33729</v>
      </c>
      <c r="D3498" s="2" t="s">
        <v>33730</v>
      </c>
      <c r="E3498" s="2" t="s">
        <v>33731</v>
      </c>
      <c r="G3498" s="3" t="s">
        <v>62</v>
      </c>
      <c r="I3498" s="3" t="s">
        <v>62</v>
      </c>
      <c r="J3498" s="3" t="s">
        <v>62</v>
      </c>
      <c r="K3498" s="3" t="s">
        <v>63</v>
      </c>
      <c r="L3498" s="2" t="s">
        <v>33732</v>
      </c>
      <c r="M3498" s="2" t="s">
        <v>33733</v>
      </c>
      <c r="N3498" s="3" t="s">
        <v>208</v>
      </c>
      <c r="P3498" s="3" t="s">
        <v>65</v>
      </c>
      <c r="R3498" s="3" t="s">
        <v>66</v>
      </c>
      <c r="S3498" s="4">
        <v>0</v>
      </c>
      <c r="T3498" s="4">
        <v>0</v>
      </c>
      <c r="W3498" s="5" t="s">
        <v>67</v>
      </c>
      <c r="X3498" s="5" t="s">
        <v>67</v>
      </c>
      <c r="Y3498" s="4">
        <v>102</v>
      </c>
      <c r="Z3498" s="4">
        <v>10</v>
      </c>
      <c r="AA3498" s="4">
        <v>14</v>
      </c>
      <c r="AB3498" s="4">
        <v>1</v>
      </c>
      <c r="AC3498" s="4">
        <v>4</v>
      </c>
      <c r="AD3498" s="4">
        <v>43</v>
      </c>
      <c r="AE3498" s="4">
        <v>48</v>
      </c>
      <c r="AF3498" s="4">
        <v>0</v>
      </c>
      <c r="AG3498" s="4">
        <v>1</v>
      </c>
      <c r="AH3498" s="4">
        <v>41</v>
      </c>
      <c r="AI3498" s="4">
        <v>45</v>
      </c>
      <c r="AJ3498" s="4">
        <v>6</v>
      </c>
      <c r="AK3498" s="4">
        <v>8</v>
      </c>
      <c r="AL3498" s="4">
        <v>25</v>
      </c>
      <c r="AM3498" s="4">
        <v>28</v>
      </c>
      <c r="AN3498" s="4">
        <v>0</v>
      </c>
      <c r="AO3498" s="4">
        <v>0</v>
      </c>
      <c r="AP3498" s="4">
        <v>7</v>
      </c>
      <c r="AQ3498" s="4">
        <v>9</v>
      </c>
      <c r="AR3498" s="3" t="s">
        <v>62</v>
      </c>
      <c r="AS3498" s="3" t="s">
        <v>62</v>
      </c>
      <c r="AT3498" s="3" t="s">
        <v>62</v>
      </c>
      <c r="AV3498" s="6" t="str">
        <f>HYPERLINK("http://mcgill.on.worldcat.org/oclc/903248161","Catalog Record")</f>
        <v>Catalog Record</v>
      </c>
      <c r="AW3498" s="6" t="str">
        <f>HYPERLINK("http://www.worldcat.org/oclc/903248161","WorldCat Record")</f>
        <v>WorldCat Record</v>
      </c>
      <c r="AX3498" s="3" t="s">
        <v>33734</v>
      </c>
      <c r="AY3498" s="3" t="s">
        <v>33735</v>
      </c>
      <c r="AZ3498" s="3" t="s">
        <v>33736</v>
      </c>
      <c r="BA3498" s="3" t="s">
        <v>33736</v>
      </c>
      <c r="BB3498" s="3" t="s">
        <v>33737</v>
      </c>
      <c r="BC3498" s="3" t="s">
        <v>142</v>
      </c>
      <c r="BD3498" s="3" t="s">
        <v>68</v>
      </c>
      <c r="BE3498" s="3" t="s">
        <v>33738</v>
      </c>
      <c r="BF3498" s="3" t="s">
        <v>33737</v>
      </c>
      <c r="BG3498" s="3" t="s">
        <v>33739</v>
      </c>
    </row>
    <row r="3499" spans="1:59" ht="57" x14ac:dyDescent="0.45">
      <c r="A3499" s="2" t="s">
        <v>59</v>
      </c>
      <c r="B3499" s="2" t="s">
        <v>412</v>
      </c>
      <c r="C3499" s="2" t="s">
        <v>33740</v>
      </c>
      <c r="D3499" s="2" t="s">
        <v>33741</v>
      </c>
      <c r="E3499" s="2" t="s">
        <v>33742</v>
      </c>
      <c r="G3499" s="3" t="s">
        <v>62</v>
      </c>
      <c r="I3499" s="3" t="s">
        <v>61</v>
      </c>
      <c r="J3499" s="3" t="s">
        <v>62</v>
      </c>
      <c r="K3499" s="3" t="s">
        <v>63</v>
      </c>
      <c r="L3499" s="2" t="s">
        <v>33743</v>
      </c>
      <c r="M3499" s="2" t="s">
        <v>9121</v>
      </c>
      <c r="N3499" s="3" t="s">
        <v>542</v>
      </c>
      <c r="P3499" s="3" t="s">
        <v>65</v>
      </c>
      <c r="R3499" s="3" t="s">
        <v>66</v>
      </c>
      <c r="S3499" s="4">
        <v>29</v>
      </c>
      <c r="T3499" s="4">
        <v>68</v>
      </c>
      <c r="U3499" s="5" t="s">
        <v>31370</v>
      </c>
      <c r="V3499" s="5" t="s">
        <v>31370</v>
      </c>
      <c r="W3499" s="5" t="s">
        <v>67</v>
      </c>
      <c r="X3499" s="5" t="s">
        <v>67</v>
      </c>
      <c r="Y3499" s="4">
        <v>579</v>
      </c>
      <c r="Z3499" s="4">
        <v>43</v>
      </c>
      <c r="AA3499" s="4">
        <v>132</v>
      </c>
      <c r="AB3499" s="4">
        <v>2</v>
      </c>
      <c r="AC3499" s="4">
        <v>22</v>
      </c>
      <c r="AD3499" s="4">
        <v>125</v>
      </c>
      <c r="AE3499" s="4">
        <v>160</v>
      </c>
      <c r="AF3499" s="4">
        <v>1</v>
      </c>
      <c r="AG3499" s="4">
        <v>9</v>
      </c>
      <c r="AH3499" s="4">
        <v>100</v>
      </c>
      <c r="AI3499" s="4">
        <v>109</v>
      </c>
      <c r="AJ3499" s="4">
        <v>20</v>
      </c>
      <c r="AK3499" s="4">
        <v>29</v>
      </c>
      <c r="AL3499" s="4">
        <v>55</v>
      </c>
      <c r="AM3499" s="4">
        <v>57</v>
      </c>
      <c r="AN3499" s="4">
        <v>0</v>
      </c>
      <c r="AO3499" s="4">
        <v>0</v>
      </c>
      <c r="AP3499" s="4">
        <v>32</v>
      </c>
      <c r="AQ3499" s="4">
        <v>58</v>
      </c>
      <c r="AR3499" s="3" t="s">
        <v>62</v>
      </c>
      <c r="AS3499" s="3" t="s">
        <v>62</v>
      </c>
      <c r="AT3499" s="3" t="s">
        <v>62</v>
      </c>
      <c r="AV3499" s="6" t="str">
        <f>HYPERLINK("http://mcgill.on.worldcat.org/oclc/44969649","Catalog Record")</f>
        <v>Catalog Record</v>
      </c>
      <c r="AW3499" s="6" t="str">
        <f>HYPERLINK("http://www.worldcat.org/oclc/44969649","WorldCat Record")</f>
        <v>WorldCat Record</v>
      </c>
      <c r="AX3499" s="3" t="s">
        <v>33744</v>
      </c>
      <c r="AY3499" s="3" t="s">
        <v>33745</v>
      </c>
      <c r="AZ3499" s="3" t="s">
        <v>33746</v>
      </c>
      <c r="BA3499" s="3" t="s">
        <v>33746</v>
      </c>
      <c r="BB3499" s="3" t="s">
        <v>33747</v>
      </c>
      <c r="BC3499" s="3" t="s">
        <v>142</v>
      </c>
      <c r="BD3499" s="3" t="s">
        <v>68</v>
      </c>
      <c r="BE3499" s="3" t="s">
        <v>33748</v>
      </c>
      <c r="BF3499" s="3" t="s">
        <v>33747</v>
      </c>
      <c r="BG3499" s="3" t="s">
        <v>33749</v>
      </c>
    </row>
    <row r="3500" spans="1:59" ht="57" x14ac:dyDescent="0.45">
      <c r="A3500" s="2" t="s">
        <v>59</v>
      </c>
      <c r="B3500" s="2" t="s">
        <v>60</v>
      </c>
      <c r="C3500" s="2" t="s">
        <v>33740</v>
      </c>
      <c r="D3500" s="2" t="s">
        <v>33741</v>
      </c>
      <c r="E3500" s="2" t="s">
        <v>33742</v>
      </c>
      <c r="G3500" s="3" t="s">
        <v>62</v>
      </c>
      <c r="I3500" s="3" t="s">
        <v>61</v>
      </c>
      <c r="J3500" s="3" t="s">
        <v>62</v>
      </c>
      <c r="K3500" s="3" t="s">
        <v>63</v>
      </c>
      <c r="L3500" s="2" t="s">
        <v>33743</v>
      </c>
      <c r="M3500" s="2" t="s">
        <v>9121</v>
      </c>
      <c r="N3500" s="3" t="s">
        <v>542</v>
      </c>
      <c r="P3500" s="3" t="s">
        <v>65</v>
      </c>
      <c r="R3500" s="3" t="s">
        <v>66</v>
      </c>
      <c r="S3500" s="4">
        <v>39</v>
      </c>
      <c r="T3500" s="4">
        <v>68</v>
      </c>
      <c r="U3500" s="5" t="s">
        <v>3424</v>
      </c>
      <c r="V3500" s="5" t="s">
        <v>31370</v>
      </c>
      <c r="W3500" s="5" t="s">
        <v>67</v>
      </c>
      <c r="X3500" s="5" t="s">
        <v>67</v>
      </c>
      <c r="Y3500" s="4">
        <v>579</v>
      </c>
      <c r="Z3500" s="4">
        <v>43</v>
      </c>
      <c r="AA3500" s="4">
        <v>132</v>
      </c>
      <c r="AB3500" s="4">
        <v>2</v>
      </c>
      <c r="AC3500" s="4">
        <v>22</v>
      </c>
      <c r="AD3500" s="4">
        <v>125</v>
      </c>
      <c r="AE3500" s="4">
        <v>160</v>
      </c>
      <c r="AF3500" s="4">
        <v>1</v>
      </c>
      <c r="AG3500" s="4">
        <v>9</v>
      </c>
      <c r="AH3500" s="4">
        <v>100</v>
      </c>
      <c r="AI3500" s="4">
        <v>109</v>
      </c>
      <c r="AJ3500" s="4">
        <v>20</v>
      </c>
      <c r="AK3500" s="4">
        <v>29</v>
      </c>
      <c r="AL3500" s="4">
        <v>55</v>
      </c>
      <c r="AM3500" s="4">
        <v>57</v>
      </c>
      <c r="AN3500" s="4">
        <v>0</v>
      </c>
      <c r="AO3500" s="4">
        <v>0</v>
      </c>
      <c r="AP3500" s="4">
        <v>32</v>
      </c>
      <c r="AQ3500" s="4">
        <v>58</v>
      </c>
      <c r="AR3500" s="3" t="s">
        <v>62</v>
      </c>
      <c r="AS3500" s="3" t="s">
        <v>62</v>
      </c>
      <c r="AT3500" s="3" t="s">
        <v>62</v>
      </c>
      <c r="AV3500" s="6" t="str">
        <f>HYPERLINK("http://mcgill.on.worldcat.org/oclc/44969649","Catalog Record")</f>
        <v>Catalog Record</v>
      </c>
      <c r="AW3500" s="6" t="str">
        <f>HYPERLINK("http://www.worldcat.org/oclc/44969649","WorldCat Record")</f>
        <v>WorldCat Record</v>
      </c>
      <c r="AX3500" s="3" t="s">
        <v>33744</v>
      </c>
      <c r="AY3500" s="3" t="s">
        <v>33745</v>
      </c>
      <c r="AZ3500" s="3" t="s">
        <v>33746</v>
      </c>
      <c r="BA3500" s="3" t="s">
        <v>33746</v>
      </c>
      <c r="BB3500" s="3" t="s">
        <v>33750</v>
      </c>
      <c r="BC3500" s="3" t="s">
        <v>142</v>
      </c>
      <c r="BD3500" s="3" t="s">
        <v>68</v>
      </c>
      <c r="BE3500" s="3" t="s">
        <v>33748</v>
      </c>
      <c r="BF3500" s="3" t="s">
        <v>33750</v>
      </c>
      <c r="BG3500" s="3" t="s">
        <v>33751</v>
      </c>
    </row>
    <row r="3501" spans="1:59" ht="57" x14ac:dyDescent="0.45">
      <c r="A3501" s="2" t="s">
        <v>59</v>
      </c>
      <c r="B3501" s="2" t="s">
        <v>60</v>
      </c>
      <c r="C3501" s="2" t="s">
        <v>33752</v>
      </c>
      <c r="D3501" s="2" t="s">
        <v>33753</v>
      </c>
      <c r="E3501" s="2" t="s">
        <v>33754</v>
      </c>
      <c r="G3501" s="3" t="s">
        <v>62</v>
      </c>
      <c r="I3501" s="3" t="s">
        <v>62</v>
      </c>
      <c r="J3501" s="3" t="s">
        <v>61</v>
      </c>
      <c r="K3501" s="3" t="s">
        <v>63</v>
      </c>
      <c r="M3501" s="2" t="s">
        <v>33755</v>
      </c>
      <c r="N3501" s="3" t="s">
        <v>1155</v>
      </c>
      <c r="O3501" s="2" t="s">
        <v>933</v>
      </c>
      <c r="P3501" s="3" t="s">
        <v>65</v>
      </c>
      <c r="R3501" s="3" t="s">
        <v>66</v>
      </c>
      <c r="S3501" s="4">
        <v>3</v>
      </c>
      <c r="T3501" s="4">
        <v>3</v>
      </c>
      <c r="U3501" s="5" t="s">
        <v>16573</v>
      </c>
      <c r="V3501" s="5" t="s">
        <v>16573</v>
      </c>
      <c r="W3501" s="5" t="s">
        <v>67</v>
      </c>
      <c r="X3501" s="5" t="s">
        <v>67</v>
      </c>
      <c r="Y3501" s="4">
        <v>160</v>
      </c>
      <c r="Z3501" s="4">
        <v>16</v>
      </c>
      <c r="AA3501" s="4">
        <v>23</v>
      </c>
      <c r="AB3501" s="4">
        <v>2</v>
      </c>
      <c r="AC3501" s="4">
        <v>3</v>
      </c>
      <c r="AD3501" s="4">
        <v>52</v>
      </c>
      <c r="AE3501" s="4">
        <v>99</v>
      </c>
      <c r="AF3501" s="4">
        <v>1</v>
      </c>
      <c r="AG3501" s="4">
        <v>2</v>
      </c>
      <c r="AH3501" s="4">
        <v>49</v>
      </c>
      <c r="AI3501" s="4">
        <v>88</v>
      </c>
      <c r="AJ3501" s="4">
        <v>12</v>
      </c>
      <c r="AK3501" s="4">
        <v>18</v>
      </c>
      <c r="AL3501" s="4">
        <v>26</v>
      </c>
      <c r="AM3501" s="4">
        <v>45</v>
      </c>
      <c r="AN3501" s="4">
        <v>0</v>
      </c>
      <c r="AO3501" s="4">
        <v>0</v>
      </c>
      <c r="AP3501" s="4">
        <v>13</v>
      </c>
      <c r="AQ3501" s="4">
        <v>19</v>
      </c>
      <c r="AR3501" s="3" t="s">
        <v>62</v>
      </c>
      <c r="AS3501" s="3" t="s">
        <v>62</v>
      </c>
      <c r="AT3501" s="3" t="s">
        <v>62</v>
      </c>
      <c r="AV3501" s="6" t="str">
        <f>HYPERLINK("http://mcgill.on.worldcat.org/oclc/746489213","Catalog Record")</f>
        <v>Catalog Record</v>
      </c>
      <c r="AW3501" s="6" t="str">
        <f>HYPERLINK("http://www.worldcat.org/oclc/746489213","WorldCat Record")</f>
        <v>WorldCat Record</v>
      </c>
      <c r="AX3501" s="3" t="s">
        <v>33756</v>
      </c>
      <c r="AY3501" s="3" t="s">
        <v>33757</v>
      </c>
      <c r="AZ3501" s="3" t="s">
        <v>33758</v>
      </c>
      <c r="BA3501" s="3" t="s">
        <v>33758</v>
      </c>
      <c r="BB3501" s="3" t="s">
        <v>33759</v>
      </c>
      <c r="BC3501" s="3" t="s">
        <v>142</v>
      </c>
      <c r="BD3501" s="3" t="s">
        <v>68</v>
      </c>
      <c r="BE3501" s="3" t="s">
        <v>33760</v>
      </c>
      <c r="BF3501" s="3" t="s">
        <v>33759</v>
      </c>
      <c r="BG3501" s="3" t="s">
        <v>33761</v>
      </c>
    </row>
    <row r="3502" spans="1:59" ht="57" x14ac:dyDescent="0.45">
      <c r="A3502" s="2" t="s">
        <v>59</v>
      </c>
      <c r="B3502" s="2" t="s">
        <v>60</v>
      </c>
      <c r="C3502" s="2" t="s">
        <v>33762</v>
      </c>
      <c r="D3502" s="2" t="s">
        <v>33763</v>
      </c>
      <c r="E3502" s="2" t="s">
        <v>33764</v>
      </c>
      <c r="G3502" s="3" t="s">
        <v>62</v>
      </c>
      <c r="I3502" s="3" t="s">
        <v>62</v>
      </c>
      <c r="J3502" s="3" t="s">
        <v>62</v>
      </c>
      <c r="K3502" s="3" t="s">
        <v>63</v>
      </c>
      <c r="L3502" s="2" t="s">
        <v>33765</v>
      </c>
      <c r="M3502" s="2" t="s">
        <v>33766</v>
      </c>
      <c r="N3502" s="3" t="s">
        <v>1688</v>
      </c>
      <c r="P3502" s="3" t="s">
        <v>65</v>
      </c>
      <c r="Q3502" s="2" t="s">
        <v>33767</v>
      </c>
      <c r="R3502" s="3" t="s">
        <v>66</v>
      </c>
      <c r="S3502" s="4">
        <v>0</v>
      </c>
      <c r="T3502" s="4">
        <v>0</v>
      </c>
      <c r="W3502" s="5" t="s">
        <v>67</v>
      </c>
      <c r="X3502" s="5" t="s">
        <v>67</v>
      </c>
      <c r="Y3502" s="4">
        <v>67</v>
      </c>
      <c r="Z3502" s="4">
        <v>8</v>
      </c>
      <c r="AA3502" s="4">
        <v>76</v>
      </c>
      <c r="AB3502" s="4">
        <v>1</v>
      </c>
      <c r="AC3502" s="4">
        <v>14</v>
      </c>
      <c r="AD3502" s="4">
        <v>16</v>
      </c>
      <c r="AE3502" s="4">
        <v>92</v>
      </c>
      <c r="AF3502" s="4">
        <v>0</v>
      </c>
      <c r="AG3502" s="4">
        <v>8</v>
      </c>
      <c r="AH3502" s="4">
        <v>16</v>
      </c>
      <c r="AI3502" s="4">
        <v>64</v>
      </c>
      <c r="AJ3502" s="4">
        <v>3</v>
      </c>
      <c r="AK3502" s="4">
        <v>19</v>
      </c>
      <c r="AL3502" s="4">
        <v>10</v>
      </c>
      <c r="AM3502" s="4">
        <v>33</v>
      </c>
      <c r="AN3502" s="4">
        <v>0</v>
      </c>
      <c r="AO3502" s="4">
        <v>0</v>
      </c>
      <c r="AP3502" s="4">
        <v>3</v>
      </c>
      <c r="AQ3502" s="4">
        <v>35</v>
      </c>
      <c r="AR3502" s="3" t="s">
        <v>62</v>
      </c>
      <c r="AS3502" s="3" t="s">
        <v>62</v>
      </c>
      <c r="AT3502" s="3" t="s">
        <v>62</v>
      </c>
      <c r="AV3502" s="6" t="str">
        <f>HYPERLINK("http://mcgill.on.worldcat.org/oclc/858601721","Catalog Record")</f>
        <v>Catalog Record</v>
      </c>
      <c r="AW3502" s="6" t="str">
        <f>HYPERLINK("http://www.worldcat.org/oclc/858601721","WorldCat Record")</f>
        <v>WorldCat Record</v>
      </c>
      <c r="AX3502" s="3" t="s">
        <v>33768</v>
      </c>
      <c r="AY3502" s="3" t="s">
        <v>33769</v>
      </c>
      <c r="AZ3502" s="3" t="s">
        <v>33770</v>
      </c>
      <c r="BA3502" s="3" t="s">
        <v>33770</v>
      </c>
      <c r="BB3502" s="3" t="s">
        <v>33771</v>
      </c>
      <c r="BC3502" s="3" t="s">
        <v>142</v>
      </c>
      <c r="BD3502" s="3" t="s">
        <v>68</v>
      </c>
      <c r="BE3502" s="3" t="s">
        <v>33772</v>
      </c>
      <c r="BF3502" s="3" t="s">
        <v>33771</v>
      </c>
      <c r="BG3502" s="3" t="s">
        <v>33773</v>
      </c>
    </row>
    <row r="3503" spans="1:59" ht="57" x14ac:dyDescent="0.45">
      <c r="A3503" s="2" t="s">
        <v>59</v>
      </c>
      <c r="B3503" s="2" t="s">
        <v>60</v>
      </c>
      <c r="C3503" s="2" t="s">
        <v>33774</v>
      </c>
      <c r="D3503" s="2" t="s">
        <v>33775</v>
      </c>
      <c r="E3503" s="2" t="s">
        <v>33776</v>
      </c>
      <c r="G3503" s="3" t="s">
        <v>62</v>
      </c>
      <c r="I3503" s="3" t="s">
        <v>62</v>
      </c>
      <c r="J3503" s="3" t="s">
        <v>62</v>
      </c>
      <c r="K3503" s="3" t="s">
        <v>63</v>
      </c>
      <c r="M3503" s="2" t="s">
        <v>33777</v>
      </c>
      <c r="N3503" s="3" t="s">
        <v>208</v>
      </c>
      <c r="P3503" s="3" t="s">
        <v>65</v>
      </c>
      <c r="Q3503" s="2" t="s">
        <v>3219</v>
      </c>
      <c r="R3503" s="3" t="s">
        <v>66</v>
      </c>
      <c r="S3503" s="4">
        <v>0</v>
      </c>
      <c r="T3503" s="4">
        <v>0</v>
      </c>
      <c r="W3503" s="5" t="s">
        <v>67</v>
      </c>
      <c r="X3503" s="5" t="s">
        <v>67</v>
      </c>
      <c r="Y3503" s="4">
        <v>103</v>
      </c>
      <c r="Z3503" s="4">
        <v>13</v>
      </c>
      <c r="AA3503" s="4">
        <v>19</v>
      </c>
      <c r="AB3503" s="4">
        <v>2</v>
      </c>
      <c r="AC3503" s="4">
        <v>5</v>
      </c>
      <c r="AD3503" s="4">
        <v>42</v>
      </c>
      <c r="AE3503" s="4">
        <v>53</v>
      </c>
      <c r="AF3503" s="4">
        <v>1</v>
      </c>
      <c r="AG3503" s="4">
        <v>3</v>
      </c>
      <c r="AH3503" s="4">
        <v>35</v>
      </c>
      <c r="AI3503" s="4">
        <v>44</v>
      </c>
      <c r="AJ3503" s="4">
        <v>10</v>
      </c>
      <c r="AK3503" s="4">
        <v>14</v>
      </c>
      <c r="AL3503" s="4">
        <v>24</v>
      </c>
      <c r="AM3503" s="4">
        <v>30</v>
      </c>
      <c r="AN3503" s="4">
        <v>0</v>
      </c>
      <c r="AO3503" s="4">
        <v>0</v>
      </c>
      <c r="AP3503" s="4">
        <v>11</v>
      </c>
      <c r="AQ3503" s="4">
        <v>15</v>
      </c>
      <c r="AR3503" s="3" t="s">
        <v>62</v>
      </c>
      <c r="AS3503" s="3" t="s">
        <v>62</v>
      </c>
      <c r="AT3503" s="3" t="s">
        <v>62</v>
      </c>
      <c r="AV3503" s="6" t="str">
        <f>HYPERLINK("http://mcgill.on.worldcat.org/oclc/900913211","Catalog Record")</f>
        <v>Catalog Record</v>
      </c>
      <c r="AW3503" s="6" t="str">
        <f>HYPERLINK("http://www.worldcat.org/oclc/900913211","WorldCat Record")</f>
        <v>WorldCat Record</v>
      </c>
      <c r="AX3503" s="3" t="s">
        <v>33778</v>
      </c>
      <c r="AY3503" s="3" t="s">
        <v>33779</v>
      </c>
      <c r="AZ3503" s="3" t="s">
        <v>33780</v>
      </c>
      <c r="BA3503" s="3" t="s">
        <v>33780</v>
      </c>
      <c r="BB3503" s="3" t="s">
        <v>33781</v>
      </c>
      <c r="BC3503" s="3" t="s">
        <v>142</v>
      </c>
      <c r="BD3503" s="3" t="s">
        <v>68</v>
      </c>
      <c r="BE3503" s="3" t="s">
        <v>33782</v>
      </c>
      <c r="BF3503" s="3" t="s">
        <v>33781</v>
      </c>
      <c r="BG3503" s="3" t="s">
        <v>33783</v>
      </c>
    </row>
    <row r="3504" spans="1:59" ht="57" x14ac:dyDescent="0.45">
      <c r="A3504" s="2" t="s">
        <v>59</v>
      </c>
      <c r="B3504" s="2" t="s">
        <v>412</v>
      </c>
      <c r="C3504" s="2" t="s">
        <v>33784</v>
      </c>
      <c r="D3504" s="2" t="s">
        <v>33785</v>
      </c>
      <c r="E3504" s="2" t="s">
        <v>33786</v>
      </c>
      <c r="G3504" s="3" t="s">
        <v>62</v>
      </c>
      <c r="I3504" s="3" t="s">
        <v>61</v>
      </c>
      <c r="J3504" s="3" t="s">
        <v>62</v>
      </c>
      <c r="K3504" s="3" t="s">
        <v>63</v>
      </c>
      <c r="M3504" s="2" t="s">
        <v>33787</v>
      </c>
      <c r="N3504" s="3" t="s">
        <v>1059</v>
      </c>
      <c r="P3504" s="3" t="s">
        <v>65</v>
      </c>
      <c r="Q3504" s="2" t="s">
        <v>33788</v>
      </c>
      <c r="R3504" s="3" t="s">
        <v>66</v>
      </c>
      <c r="S3504" s="4">
        <v>14</v>
      </c>
      <c r="T3504" s="4">
        <v>29</v>
      </c>
      <c r="U3504" s="5" t="s">
        <v>33789</v>
      </c>
      <c r="V3504" s="5" t="s">
        <v>31370</v>
      </c>
      <c r="W3504" s="5" t="s">
        <v>67</v>
      </c>
      <c r="X3504" s="5" t="s">
        <v>67</v>
      </c>
      <c r="Y3504" s="4">
        <v>260</v>
      </c>
      <c r="Z3504" s="4">
        <v>16</v>
      </c>
      <c r="AA3504" s="4">
        <v>104</v>
      </c>
      <c r="AB3504" s="4">
        <v>2</v>
      </c>
      <c r="AC3504" s="4">
        <v>17</v>
      </c>
      <c r="AD3504" s="4">
        <v>70</v>
      </c>
      <c r="AE3504" s="4">
        <v>128</v>
      </c>
      <c r="AF3504" s="4">
        <v>1</v>
      </c>
      <c r="AG3504" s="4">
        <v>8</v>
      </c>
      <c r="AH3504" s="4">
        <v>60</v>
      </c>
      <c r="AI3504" s="4">
        <v>89</v>
      </c>
      <c r="AJ3504" s="4">
        <v>7</v>
      </c>
      <c r="AK3504" s="4">
        <v>22</v>
      </c>
      <c r="AL3504" s="4">
        <v>32</v>
      </c>
      <c r="AM3504" s="4">
        <v>43</v>
      </c>
      <c r="AN3504" s="4">
        <v>0</v>
      </c>
      <c r="AO3504" s="4">
        <v>0</v>
      </c>
      <c r="AP3504" s="4">
        <v>13</v>
      </c>
      <c r="AQ3504" s="4">
        <v>45</v>
      </c>
      <c r="AR3504" s="3" t="s">
        <v>62</v>
      </c>
      <c r="AS3504" s="3" t="s">
        <v>62</v>
      </c>
      <c r="AT3504" s="3" t="s">
        <v>62</v>
      </c>
      <c r="AV3504" s="6" t="str">
        <f>HYPERLINK("http://mcgill.on.worldcat.org/oclc/61169743","Catalog Record")</f>
        <v>Catalog Record</v>
      </c>
      <c r="AW3504" s="6" t="str">
        <f>HYPERLINK("http://www.worldcat.org/oclc/61169743","WorldCat Record")</f>
        <v>WorldCat Record</v>
      </c>
      <c r="AX3504" s="3" t="s">
        <v>33790</v>
      </c>
      <c r="AY3504" s="3" t="s">
        <v>33791</v>
      </c>
      <c r="AZ3504" s="3" t="s">
        <v>33792</v>
      </c>
      <c r="BA3504" s="3" t="s">
        <v>33792</v>
      </c>
      <c r="BB3504" s="3" t="s">
        <v>33793</v>
      </c>
      <c r="BC3504" s="3" t="s">
        <v>142</v>
      </c>
      <c r="BD3504" s="3" t="s">
        <v>68</v>
      </c>
      <c r="BE3504" s="3" t="s">
        <v>33794</v>
      </c>
      <c r="BF3504" s="3" t="s">
        <v>33793</v>
      </c>
      <c r="BG3504" s="3" t="s">
        <v>33795</v>
      </c>
    </row>
    <row r="3505" spans="1:59" ht="57" x14ac:dyDescent="0.45">
      <c r="A3505" s="2" t="s">
        <v>59</v>
      </c>
      <c r="B3505" s="2" t="s">
        <v>60</v>
      </c>
      <c r="C3505" s="2" t="s">
        <v>33784</v>
      </c>
      <c r="D3505" s="2" t="s">
        <v>33785</v>
      </c>
      <c r="E3505" s="2" t="s">
        <v>33786</v>
      </c>
      <c r="G3505" s="3" t="s">
        <v>62</v>
      </c>
      <c r="I3505" s="3" t="s">
        <v>61</v>
      </c>
      <c r="J3505" s="3" t="s">
        <v>62</v>
      </c>
      <c r="K3505" s="3" t="s">
        <v>63</v>
      </c>
      <c r="M3505" s="2" t="s">
        <v>33787</v>
      </c>
      <c r="N3505" s="3" t="s">
        <v>1059</v>
      </c>
      <c r="P3505" s="3" t="s">
        <v>65</v>
      </c>
      <c r="Q3505" s="2" t="s">
        <v>33788</v>
      </c>
      <c r="R3505" s="3" t="s">
        <v>66</v>
      </c>
      <c r="S3505" s="4">
        <v>15</v>
      </c>
      <c r="T3505" s="4">
        <v>29</v>
      </c>
      <c r="U3505" s="5" t="s">
        <v>31370</v>
      </c>
      <c r="V3505" s="5" t="s">
        <v>31370</v>
      </c>
      <c r="W3505" s="5" t="s">
        <v>67</v>
      </c>
      <c r="X3505" s="5" t="s">
        <v>67</v>
      </c>
      <c r="Y3505" s="4">
        <v>260</v>
      </c>
      <c r="Z3505" s="4">
        <v>16</v>
      </c>
      <c r="AA3505" s="4">
        <v>104</v>
      </c>
      <c r="AB3505" s="4">
        <v>2</v>
      </c>
      <c r="AC3505" s="4">
        <v>17</v>
      </c>
      <c r="AD3505" s="4">
        <v>70</v>
      </c>
      <c r="AE3505" s="4">
        <v>128</v>
      </c>
      <c r="AF3505" s="4">
        <v>1</v>
      </c>
      <c r="AG3505" s="4">
        <v>8</v>
      </c>
      <c r="AH3505" s="4">
        <v>60</v>
      </c>
      <c r="AI3505" s="4">
        <v>89</v>
      </c>
      <c r="AJ3505" s="4">
        <v>7</v>
      </c>
      <c r="AK3505" s="4">
        <v>22</v>
      </c>
      <c r="AL3505" s="4">
        <v>32</v>
      </c>
      <c r="AM3505" s="4">
        <v>43</v>
      </c>
      <c r="AN3505" s="4">
        <v>0</v>
      </c>
      <c r="AO3505" s="4">
        <v>0</v>
      </c>
      <c r="AP3505" s="4">
        <v>13</v>
      </c>
      <c r="AQ3505" s="4">
        <v>45</v>
      </c>
      <c r="AR3505" s="3" t="s">
        <v>62</v>
      </c>
      <c r="AS3505" s="3" t="s">
        <v>62</v>
      </c>
      <c r="AT3505" s="3" t="s">
        <v>62</v>
      </c>
      <c r="AV3505" s="6" t="str">
        <f>HYPERLINK("http://mcgill.on.worldcat.org/oclc/61169743","Catalog Record")</f>
        <v>Catalog Record</v>
      </c>
      <c r="AW3505" s="6" t="str">
        <f>HYPERLINK("http://www.worldcat.org/oclc/61169743","WorldCat Record")</f>
        <v>WorldCat Record</v>
      </c>
      <c r="AX3505" s="3" t="s">
        <v>33790</v>
      </c>
      <c r="AY3505" s="3" t="s">
        <v>33791</v>
      </c>
      <c r="AZ3505" s="3" t="s">
        <v>33792</v>
      </c>
      <c r="BA3505" s="3" t="s">
        <v>33792</v>
      </c>
      <c r="BB3505" s="3" t="s">
        <v>33796</v>
      </c>
      <c r="BC3505" s="3" t="s">
        <v>142</v>
      </c>
      <c r="BD3505" s="3" t="s">
        <v>68</v>
      </c>
      <c r="BE3505" s="3" t="s">
        <v>33794</v>
      </c>
      <c r="BF3505" s="3" t="s">
        <v>33796</v>
      </c>
      <c r="BG3505" s="3" t="s">
        <v>33797</v>
      </c>
    </row>
    <row r="3506" spans="1:59" ht="57" x14ac:dyDescent="0.45">
      <c r="A3506" s="2" t="s">
        <v>59</v>
      </c>
      <c r="B3506" s="2" t="s">
        <v>60</v>
      </c>
      <c r="C3506" s="2" t="s">
        <v>33798</v>
      </c>
      <c r="D3506" s="2" t="s">
        <v>33799</v>
      </c>
      <c r="E3506" s="2" t="s">
        <v>33800</v>
      </c>
      <c r="G3506" s="3" t="s">
        <v>62</v>
      </c>
      <c r="I3506" s="3" t="s">
        <v>62</v>
      </c>
      <c r="J3506" s="3" t="s">
        <v>62</v>
      </c>
      <c r="K3506" s="3" t="s">
        <v>63</v>
      </c>
      <c r="M3506" s="2" t="s">
        <v>13171</v>
      </c>
      <c r="N3506" s="3" t="s">
        <v>208</v>
      </c>
      <c r="P3506" s="3" t="s">
        <v>65</v>
      </c>
      <c r="R3506" s="3" t="s">
        <v>66</v>
      </c>
      <c r="S3506" s="4">
        <v>4</v>
      </c>
      <c r="T3506" s="4">
        <v>4</v>
      </c>
      <c r="U3506" s="5" t="s">
        <v>33801</v>
      </c>
      <c r="V3506" s="5" t="s">
        <v>33801</v>
      </c>
      <c r="W3506" s="5" t="s">
        <v>67</v>
      </c>
      <c r="X3506" s="5" t="s">
        <v>67</v>
      </c>
      <c r="Y3506" s="4">
        <v>58</v>
      </c>
      <c r="Z3506" s="4">
        <v>10</v>
      </c>
      <c r="AA3506" s="4">
        <v>15</v>
      </c>
      <c r="AB3506" s="4">
        <v>1</v>
      </c>
      <c r="AC3506" s="4">
        <v>6</v>
      </c>
      <c r="AD3506" s="4">
        <v>27</v>
      </c>
      <c r="AE3506" s="4">
        <v>33</v>
      </c>
      <c r="AF3506" s="4">
        <v>0</v>
      </c>
      <c r="AG3506" s="4">
        <v>3</v>
      </c>
      <c r="AH3506" s="4">
        <v>26</v>
      </c>
      <c r="AI3506" s="4">
        <v>30</v>
      </c>
      <c r="AJ3506" s="4">
        <v>7</v>
      </c>
      <c r="AK3506" s="4">
        <v>10</v>
      </c>
      <c r="AL3506" s="4">
        <v>12</v>
      </c>
      <c r="AM3506" s="4">
        <v>15</v>
      </c>
      <c r="AN3506" s="4">
        <v>0</v>
      </c>
      <c r="AO3506" s="4">
        <v>0</v>
      </c>
      <c r="AP3506" s="4">
        <v>7</v>
      </c>
      <c r="AQ3506" s="4">
        <v>10</v>
      </c>
      <c r="AR3506" s="3" t="s">
        <v>62</v>
      </c>
      <c r="AS3506" s="3" t="s">
        <v>62</v>
      </c>
      <c r="AT3506" s="3" t="s">
        <v>62</v>
      </c>
      <c r="AV3506" s="6" t="str">
        <f>HYPERLINK("http://mcgill.on.worldcat.org/oclc/907117625","Catalog Record")</f>
        <v>Catalog Record</v>
      </c>
      <c r="AW3506" s="6" t="str">
        <f>HYPERLINK("http://www.worldcat.org/oclc/907117625","WorldCat Record")</f>
        <v>WorldCat Record</v>
      </c>
      <c r="AX3506" s="3" t="s">
        <v>33802</v>
      </c>
      <c r="AY3506" s="3" t="s">
        <v>33803</v>
      </c>
      <c r="AZ3506" s="3" t="s">
        <v>33804</v>
      </c>
      <c r="BA3506" s="3" t="s">
        <v>33804</v>
      </c>
      <c r="BB3506" s="3" t="s">
        <v>33805</v>
      </c>
      <c r="BC3506" s="3" t="s">
        <v>142</v>
      </c>
      <c r="BD3506" s="3" t="s">
        <v>308</v>
      </c>
      <c r="BE3506" s="3" t="s">
        <v>33806</v>
      </c>
      <c r="BF3506" s="3" t="s">
        <v>33805</v>
      </c>
      <c r="BG3506" s="3" t="s">
        <v>33807</v>
      </c>
    </row>
    <row r="3507" spans="1:59" ht="57" x14ac:dyDescent="0.45">
      <c r="A3507" s="2" t="s">
        <v>59</v>
      </c>
      <c r="B3507" s="2" t="s">
        <v>60</v>
      </c>
      <c r="C3507" s="2" t="s">
        <v>33808</v>
      </c>
      <c r="D3507" s="2" t="s">
        <v>33809</v>
      </c>
      <c r="E3507" s="2" t="s">
        <v>33810</v>
      </c>
      <c r="G3507" s="3" t="s">
        <v>62</v>
      </c>
      <c r="I3507" s="3" t="s">
        <v>62</v>
      </c>
      <c r="J3507" s="3" t="s">
        <v>61</v>
      </c>
      <c r="K3507" s="3" t="s">
        <v>63</v>
      </c>
      <c r="L3507" s="2" t="s">
        <v>33811</v>
      </c>
      <c r="M3507" s="2" t="s">
        <v>6294</v>
      </c>
      <c r="N3507" s="3" t="s">
        <v>894</v>
      </c>
      <c r="O3507" s="2" t="s">
        <v>906</v>
      </c>
      <c r="P3507" s="3" t="s">
        <v>65</v>
      </c>
      <c r="R3507" s="3" t="s">
        <v>66</v>
      </c>
      <c r="S3507" s="4">
        <v>3</v>
      </c>
      <c r="T3507" s="4">
        <v>3</v>
      </c>
      <c r="U3507" s="5" t="s">
        <v>33812</v>
      </c>
      <c r="V3507" s="5" t="s">
        <v>33812</v>
      </c>
      <c r="W3507" s="5" t="s">
        <v>67</v>
      </c>
      <c r="X3507" s="5" t="s">
        <v>67</v>
      </c>
      <c r="Y3507" s="4">
        <v>155</v>
      </c>
      <c r="Z3507" s="4">
        <v>10</v>
      </c>
      <c r="AA3507" s="4">
        <v>117</v>
      </c>
      <c r="AB3507" s="4">
        <v>2</v>
      </c>
      <c r="AC3507" s="4">
        <v>22</v>
      </c>
      <c r="AD3507" s="4">
        <v>16</v>
      </c>
      <c r="AE3507" s="4">
        <v>157</v>
      </c>
      <c r="AF3507" s="4">
        <v>1</v>
      </c>
      <c r="AG3507" s="4">
        <v>9</v>
      </c>
      <c r="AH3507" s="4">
        <v>12</v>
      </c>
      <c r="AI3507" s="4">
        <v>108</v>
      </c>
      <c r="AJ3507" s="4">
        <v>7</v>
      </c>
      <c r="AK3507" s="4">
        <v>27</v>
      </c>
      <c r="AL3507" s="4">
        <v>2</v>
      </c>
      <c r="AM3507" s="4">
        <v>57</v>
      </c>
      <c r="AN3507" s="4">
        <v>0</v>
      </c>
      <c r="AO3507" s="4">
        <v>0</v>
      </c>
      <c r="AP3507" s="4">
        <v>8</v>
      </c>
      <c r="AQ3507" s="4">
        <v>56</v>
      </c>
      <c r="AR3507" s="3" t="s">
        <v>62</v>
      </c>
      <c r="AS3507" s="3" t="s">
        <v>62</v>
      </c>
      <c r="AT3507" s="3" t="s">
        <v>62</v>
      </c>
      <c r="AV3507" s="6" t="str">
        <f>HYPERLINK("http://mcgill.on.worldcat.org/oclc/663952435","Catalog Record")</f>
        <v>Catalog Record</v>
      </c>
      <c r="AW3507" s="6" t="str">
        <f>HYPERLINK("http://www.worldcat.org/oclc/663952435","WorldCat Record")</f>
        <v>WorldCat Record</v>
      </c>
      <c r="AX3507" s="3" t="s">
        <v>33813</v>
      </c>
      <c r="AY3507" s="3" t="s">
        <v>33814</v>
      </c>
      <c r="AZ3507" s="3" t="s">
        <v>33815</v>
      </c>
      <c r="BA3507" s="3" t="s">
        <v>33815</v>
      </c>
      <c r="BB3507" s="3" t="s">
        <v>33816</v>
      </c>
      <c r="BC3507" s="3" t="s">
        <v>142</v>
      </c>
      <c r="BD3507" s="3" t="s">
        <v>68</v>
      </c>
      <c r="BE3507" s="3" t="s">
        <v>33817</v>
      </c>
      <c r="BF3507" s="3" t="s">
        <v>33816</v>
      </c>
      <c r="BG3507" s="3" t="s">
        <v>33818</v>
      </c>
    </row>
    <row r="3508" spans="1:59" ht="57" x14ac:dyDescent="0.45">
      <c r="A3508" s="2" t="s">
        <v>59</v>
      </c>
      <c r="B3508" s="2" t="s">
        <v>60</v>
      </c>
      <c r="C3508" s="2" t="s">
        <v>33819</v>
      </c>
      <c r="D3508" s="2" t="s">
        <v>33820</v>
      </c>
      <c r="E3508" s="2" t="s">
        <v>33821</v>
      </c>
      <c r="G3508" s="3" t="s">
        <v>62</v>
      </c>
      <c r="I3508" s="3" t="s">
        <v>62</v>
      </c>
      <c r="J3508" s="3" t="s">
        <v>61</v>
      </c>
      <c r="K3508" s="3" t="s">
        <v>63</v>
      </c>
      <c r="L3508" s="2" t="s">
        <v>33811</v>
      </c>
      <c r="M3508" s="2" t="s">
        <v>2764</v>
      </c>
      <c r="N3508" s="3" t="s">
        <v>1097</v>
      </c>
      <c r="O3508" s="2" t="s">
        <v>933</v>
      </c>
      <c r="P3508" s="3" t="s">
        <v>65</v>
      </c>
      <c r="R3508" s="3" t="s">
        <v>66</v>
      </c>
      <c r="S3508" s="4">
        <v>11</v>
      </c>
      <c r="T3508" s="4">
        <v>11</v>
      </c>
      <c r="U3508" s="5" t="s">
        <v>26916</v>
      </c>
      <c r="V3508" s="5" t="s">
        <v>26916</v>
      </c>
      <c r="W3508" s="5" t="s">
        <v>67</v>
      </c>
      <c r="X3508" s="5" t="s">
        <v>67</v>
      </c>
      <c r="Y3508" s="4">
        <v>229</v>
      </c>
      <c r="Z3508" s="4">
        <v>9</v>
      </c>
      <c r="AA3508" s="4">
        <v>117</v>
      </c>
      <c r="AB3508" s="4">
        <v>1</v>
      </c>
      <c r="AC3508" s="4">
        <v>22</v>
      </c>
      <c r="AD3508" s="4">
        <v>53</v>
      </c>
      <c r="AE3508" s="4">
        <v>157</v>
      </c>
      <c r="AF3508" s="4">
        <v>0</v>
      </c>
      <c r="AG3508" s="4">
        <v>9</v>
      </c>
      <c r="AH3508" s="4">
        <v>49</v>
      </c>
      <c r="AI3508" s="4">
        <v>108</v>
      </c>
      <c r="AJ3508" s="4">
        <v>6</v>
      </c>
      <c r="AK3508" s="4">
        <v>27</v>
      </c>
      <c r="AL3508" s="4">
        <v>30</v>
      </c>
      <c r="AM3508" s="4">
        <v>57</v>
      </c>
      <c r="AN3508" s="4">
        <v>0</v>
      </c>
      <c r="AO3508" s="4">
        <v>0</v>
      </c>
      <c r="AP3508" s="4">
        <v>7</v>
      </c>
      <c r="AQ3508" s="4">
        <v>56</v>
      </c>
      <c r="AR3508" s="3" t="s">
        <v>62</v>
      </c>
      <c r="AS3508" s="3" t="s">
        <v>62</v>
      </c>
      <c r="AT3508" s="3" t="s">
        <v>62</v>
      </c>
      <c r="AV3508" s="6" t="str">
        <f>HYPERLINK("http://mcgill.on.worldcat.org/oclc/53013087","Catalog Record")</f>
        <v>Catalog Record</v>
      </c>
      <c r="AW3508" s="6" t="str">
        <f>HYPERLINK("http://www.worldcat.org/oclc/53013087","WorldCat Record")</f>
        <v>WorldCat Record</v>
      </c>
      <c r="AX3508" s="3" t="s">
        <v>33813</v>
      </c>
      <c r="AY3508" s="3" t="s">
        <v>33822</v>
      </c>
      <c r="AZ3508" s="3" t="s">
        <v>33823</v>
      </c>
      <c r="BA3508" s="3" t="s">
        <v>33823</v>
      </c>
      <c r="BB3508" s="3" t="s">
        <v>33824</v>
      </c>
      <c r="BC3508" s="3" t="s">
        <v>142</v>
      </c>
      <c r="BD3508" s="3" t="s">
        <v>68</v>
      </c>
      <c r="BE3508" s="3" t="s">
        <v>33825</v>
      </c>
      <c r="BF3508" s="3" t="s">
        <v>33824</v>
      </c>
      <c r="BG3508" s="3" t="s">
        <v>33826</v>
      </c>
    </row>
    <row r="3509" spans="1:59" ht="57" x14ac:dyDescent="0.45">
      <c r="A3509" s="2" t="s">
        <v>59</v>
      </c>
      <c r="B3509" s="2" t="s">
        <v>60</v>
      </c>
      <c r="C3509" s="2" t="s">
        <v>33827</v>
      </c>
      <c r="D3509" s="2" t="s">
        <v>33828</v>
      </c>
      <c r="E3509" s="2" t="s">
        <v>33829</v>
      </c>
      <c r="G3509" s="3" t="s">
        <v>62</v>
      </c>
      <c r="I3509" s="3" t="s">
        <v>62</v>
      </c>
      <c r="J3509" s="3" t="s">
        <v>62</v>
      </c>
      <c r="K3509" s="3" t="s">
        <v>63</v>
      </c>
      <c r="L3509" s="2" t="s">
        <v>33830</v>
      </c>
      <c r="M3509" s="2" t="s">
        <v>4938</v>
      </c>
      <c r="N3509" s="3" t="s">
        <v>1465</v>
      </c>
      <c r="P3509" s="3" t="s">
        <v>65</v>
      </c>
      <c r="Q3509" s="2" t="s">
        <v>3363</v>
      </c>
      <c r="R3509" s="3" t="s">
        <v>66</v>
      </c>
      <c r="S3509" s="4">
        <v>4</v>
      </c>
      <c r="T3509" s="4">
        <v>4</v>
      </c>
      <c r="U3509" s="5" t="s">
        <v>7379</v>
      </c>
      <c r="V3509" s="5" t="s">
        <v>7379</v>
      </c>
      <c r="W3509" s="5" t="s">
        <v>67</v>
      </c>
      <c r="X3509" s="5" t="s">
        <v>67</v>
      </c>
      <c r="Y3509" s="4">
        <v>150</v>
      </c>
      <c r="Z3509" s="4">
        <v>10</v>
      </c>
      <c r="AA3509" s="4">
        <v>77</v>
      </c>
      <c r="AB3509" s="4">
        <v>1</v>
      </c>
      <c r="AC3509" s="4">
        <v>14</v>
      </c>
      <c r="AD3509" s="4">
        <v>24</v>
      </c>
      <c r="AE3509" s="4">
        <v>84</v>
      </c>
      <c r="AF3509" s="4">
        <v>0</v>
      </c>
      <c r="AG3509" s="4">
        <v>8</v>
      </c>
      <c r="AH3509" s="4">
        <v>21</v>
      </c>
      <c r="AI3509" s="4">
        <v>54</v>
      </c>
      <c r="AJ3509" s="4">
        <v>6</v>
      </c>
      <c r="AK3509" s="4">
        <v>18</v>
      </c>
      <c r="AL3509" s="4">
        <v>9</v>
      </c>
      <c r="AM3509" s="4">
        <v>26</v>
      </c>
      <c r="AN3509" s="4">
        <v>0</v>
      </c>
      <c r="AO3509" s="4">
        <v>0</v>
      </c>
      <c r="AP3509" s="4">
        <v>7</v>
      </c>
      <c r="AQ3509" s="4">
        <v>37</v>
      </c>
      <c r="AR3509" s="3" t="s">
        <v>62</v>
      </c>
      <c r="AS3509" s="3" t="s">
        <v>62</v>
      </c>
      <c r="AT3509" s="3" t="s">
        <v>62</v>
      </c>
      <c r="AV3509" s="6" t="str">
        <f>HYPERLINK("http://mcgill.on.worldcat.org/oclc/316098645","Catalog Record")</f>
        <v>Catalog Record</v>
      </c>
      <c r="AW3509" s="6" t="str">
        <f>HYPERLINK("http://www.worldcat.org/oclc/316098645","WorldCat Record")</f>
        <v>WorldCat Record</v>
      </c>
      <c r="AX3509" s="3" t="s">
        <v>33831</v>
      </c>
      <c r="AY3509" s="3" t="s">
        <v>33832</v>
      </c>
      <c r="AZ3509" s="3" t="s">
        <v>33833</v>
      </c>
      <c r="BA3509" s="3" t="s">
        <v>33833</v>
      </c>
      <c r="BB3509" s="3" t="s">
        <v>33834</v>
      </c>
      <c r="BC3509" s="3" t="s">
        <v>142</v>
      </c>
      <c r="BD3509" s="3" t="s">
        <v>68</v>
      </c>
      <c r="BE3509" s="3" t="s">
        <v>33835</v>
      </c>
      <c r="BF3509" s="3" t="s">
        <v>33834</v>
      </c>
      <c r="BG3509" s="3" t="s">
        <v>33836</v>
      </c>
    </row>
    <row r="3510" spans="1:59" ht="57" x14ac:dyDescent="0.45">
      <c r="A3510" s="2" t="s">
        <v>59</v>
      </c>
      <c r="B3510" s="2" t="s">
        <v>60</v>
      </c>
      <c r="C3510" s="2" t="s">
        <v>33837</v>
      </c>
      <c r="D3510" s="2" t="s">
        <v>33838</v>
      </c>
      <c r="E3510" s="2" t="s">
        <v>33839</v>
      </c>
      <c r="G3510" s="3" t="s">
        <v>62</v>
      </c>
      <c r="I3510" s="3" t="s">
        <v>62</v>
      </c>
      <c r="J3510" s="3" t="s">
        <v>62</v>
      </c>
      <c r="K3510" s="3" t="s">
        <v>63</v>
      </c>
      <c r="L3510" s="2" t="s">
        <v>33840</v>
      </c>
      <c r="M3510" s="2" t="s">
        <v>33841</v>
      </c>
      <c r="N3510" s="3" t="s">
        <v>1155</v>
      </c>
      <c r="P3510" s="3" t="s">
        <v>65</v>
      </c>
      <c r="R3510" s="3" t="s">
        <v>66</v>
      </c>
      <c r="S3510" s="4">
        <v>7</v>
      </c>
      <c r="T3510" s="4">
        <v>7</v>
      </c>
      <c r="U3510" s="5" t="s">
        <v>10246</v>
      </c>
      <c r="V3510" s="5" t="s">
        <v>10246</v>
      </c>
      <c r="W3510" s="5" t="s">
        <v>67</v>
      </c>
      <c r="X3510" s="5" t="s">
        <v>67</v>
      </c>
      <c r="Y3510" s="4">
        <v>167</v>
      </c>
      <c r="Z3510" s="4">
        <v>20</v>
      </c>
      <c r="AA3510" s="4">
        <v>95</v>
      </c>
      <c r="AB3510" s="4">
        <v>2</v>
      </c>
      <c r="AC3510" s="4">
        <v>17</v>
      </c>
      <c r="AD3510" s="4">
        <v>70</v>
      </c>
      <c r="AE3510" s="4">
        <v>129</v>
      </c>
      <c r="AF3510" s="4">
        <v>1</v>
      </c>
      <c r="AG3510" s="4">
        <v>8</v>
      </c>
      <c r="AH3510" s="4">
        <v>61</v>
      </c>
      <c r="AI3510" s="4">
        <v>93</v>
      </c>
      <c r="AJ3510" s="4">
        <v>15</v>
      </c>
      <c r="AK3510" s="4">
        <v>25</v>
      </c>
      <c r="AL3510" s="4">
        <v>36</v>
      </c>
      <c r="AM3510" s="4">
        <v>50</v>
      </c>
      <c r="AN3510" s="4">
        <v>0</v>
      </c>
      <c r="AO3510" s="4">
        <v>0</v>
      </c>
      <c r="AP3510" s="4">
        <v>16</v>
      </c>
      <c r="AQ3510" s="4">
        <v>45</v>
      </c>
      <c r="AR3510" s="3" t="s">
        <v>62</v>
      </c>
      <c r="AS3510" s="3" t="s">
        <v>62</v>
      </c>
      <c r="AT3510" s="3" t="s">
        <v>62</v>
      </c>
      <c r="AV3510" s="6" t="str">
        <f>HYPERLINK("http://mcgill.on.worldcat.org/oclc/707726480","Catalog Record")</f>
        <v>Catalog Record</v>
      </c>
      <c r="AW3510" s="6" t="str">
        <f>HYPERLINK("http://www.worldcat.org/oclc/707726480","WorldCat Record")</f>
        <v>WorldCat Record</v>
      </c>
      <c r="AX3510" s="3" t="s">
        <v>33842</v>
      </c>
      <c r="AY3510" s="3" t="s">
        <v>33843</v>
      </c>
      <c r="AZ3510" s="3" t="s">
        <v>33844</v>
      </c>
      <c r="BA3510" s="3" t="s">
        <v>33844</v>
      </c>
      <c r="BB3510" s="3" t="s">
        <v>33845</v>
      </c>
      <c r="BC3510" s="3" t="s">
        <v>142</v>
      </c>
      <c r="BD3510" s="3" t="s">
        <v>68</v>
      </c>
      <c r="BE3510" s="3" t="s">
        <v>33846</v>
      </c>
      <c r="BF3510" s="3" t="s">
        <v>33845</v>
      </c>
      <c r="BG3510" s="3" t="s">
        <v>33847</v>
      </c>
    </row>
    <row r="3511" spans="1:59" ht="57" x14ac:dyDescent="0.45">
      <c r="A3511" s="2" t="s">
        <v>59</v>
      </c>
      <c r="B3511" s="2" t="s">
        <v>60</v>
      </c>
      <c r="C3511" s="2" t="s">
        <v>33848</v>
      </c>
      <c r="D3511" s="2" t="s">
        <v>33849</v>
      </c>
      <c r="E3511" s="2" t="s">
        <v>33850</v>
      </c>
      <c r="G3511" s="3" t="s">
        <v>62</v>
      </c>
      <c r="I3511" s="3" t="s">
        <v>62</v>
      </c>
      <c r="J3511" s="3" t="s">
        <v>62</v>
      </c>
      <c r="K3511" s="3" t="s">
        <v>63</v>
      </c>
      <c r="L3511" s="2" t="s">
        <v>33851</v>
      </c>
      <c r="M3511" s="2" t="s">
        <v>9755</v>
      </c>
      <c r="N3511" s="3" t="s">
        <v>1155</v>
      </c>
      <c r="P3511" s="3" t="s">
        <v>65</v>
      </c>
      <c r="Q3511" s="2" t="s">
        <v>33852</v>
      </c>
      <c r="R3511" s="3" t="s">
        <v>66</v>
      </c>
      <c r="S3511" s="4">
        <v>3</v>
      </c>
      <c r="T3511" s="4">
        <v>3</v>
      </c>
      <c r="U3511" s="5" t="s">
        <v>1974</v>
      </c>
      <c r="V3511" s="5" t="s">
        <v>1974</v>
      </c>
      <c r="W3511" s="5" t="s">
        <v>67</v>
      </c>
      <c r="X3511" s="5" t="s">
        <v>67</v>
      </c>
      <c r="Y3511" s="4">
        <v>94</v>
      </c>
      <c r="Z3511" s="4">
        <v>13</v>
      </c>
      <c r="AA3511" s="4">
        <v>76</v>
      </c>
      <c r="AB3511" s="4">
        <v>2</v>
      </c>
      <c r="AC3511" s="4">
        <v>15</v>
      </c>
      <c r="AD3511" s="4">
        <v>46</v>
      </c>
      <c r="AE3511" s="4">
        <v>109</v>
      </c>
      <c r="AF3511" s="4">
        <v>1</v>
      </c>
      <c r="AG3511" s="4">
        <v>8</v>
      </c>
      <c r="AH3511" s="4">
        <v>41</v>
      </c>
      <c r="AI3511" s="4">
        <v>77</v>
      </c>
      <c r="AJ3511" s="4">
        <v>10</v>
      </c>
      <c r="AK3511" s="4">
        <v>21</v>
      </c>
      <c r="AL3511" s="4">
        <v>22</v>
      </c>
      <c r="AM3511" s="4">
        <v>41</v>
      </c>
      <c r="AN3511" s="4">
        <v>0</v>
      </c>
      <c r="AO3511" s="4">
        <v>0</v>
      </c>
      <c r="AP3511" s="4">
        <v>10</v>
      </c>
      <c r="AQ3511" s="4">
        <v>40</v>
      </c>
      <c r="AR3511" s="3" t="s">
        <v>62</v>
      </c>
      <c r="AS3511" s="3" t="s">
        <v>62</v>
      </c>
      <c r="AT3511" s="3" t="s">
        <v>62</v>
      </c>
      <c r="AV3511" s="6" t="str">
        <f>HYPERLINK("http://mcgill.on.worldcat.org/oclc/731925242","Catalog Record")</f>
        <v>Catalog Record</v>
      </c>
      <c r="AW3511" s="6" t="str">
        <f>HYPERLINK("http://www.worldcat.org/oclc/731925242","WorldCat Record")</f>
        <v>WorldCat Record</v>
      </c>
      <c r="AX3511" s="3" t="s">
        <v>33853</v>
      </c>
      <c r="AY3511" s="3" t="s">
        <v>33854</v>
      </c>
      <c r="AZ3511" s="3" t="s">
        <v>33855</v>
      </c>
      <c r="BA3511" s="3" t="s">
        <v>33855</v>
      </c>
      <c r="BB3511" s="3" t="s">
        <v>33856</v>
      </c>
      <c r="BC3511" s="3" t="s">
        <v>142</v>
      </c>
      <c r="BD3511" s="3" t="s">
        <v>68</v>
      </c>
      <c r="BE3511" s="3" t="s">
        <v>33857</v>
      </c>
      <c r="BF3511" s="3" t="s">
        <v>33856</v>
      </c>
      <c r="BG3511" s="3" t="s">
        <v>33858</v>
      </c>
    </row>
    <row r="3512" spans="1:59" ht="57" x14ac:dyDescent="0.45">
      <c r="A3512" s="2" t="s">
        <v>59</v>
      </c>
      <c r="B3512" s="2" t="s">
        <v>60</v>
      </c>
      <c r="C3512" s="2" t="s">
        <v>33859</v>
      </c>
      <c r="D3512" s="2" t="s">
        <v>33860</v>
      </c>
      <c r="E3512" s="2" t="s">
        <v>33861</v>
      </c>
      <c r="G3512" s="3" t="s">
        <v>62</v>
      </c>
      <c r="I3512" s="3" t="s">
        <v>61</v>
      </c>
      <c r="J3512" s="3" t="s">
        <v>61</v>
      </c>
      <c r="K3512" s="3" t="s">
        <v>63</v>
      </c>
      <c r="L3512" s="2" t="s">
        <v>33862</v>
      </c>
      <c r="M3512" s="2" t="s">
        <v>33863</v>
      </c>
      <c r="N3512" s="3" t="s">
        <v>1097</v>
      </c>
      <c r="P3512" s="3" t="s">
        <v>65</v>
      </c>
      <c r="Q3512" s="2" t="s">
        <v>33864</v>
      </c>
      <c r="R3512" s="3" t="s">
        <v>66</v>
      </c>
      <c r="S3512" s="4">
        <v>23</v>
      </c>
      <c r="T3512" s="4">
        <v>63</v>
      </c>
      <c r="U3512" s="5" t="s">
        <v>372</v>
      </c>
      <c r="V3512" s="5" t="s">
        <v>372</v>
      </c>
      <c r="W3512" s="5" t="s">
        <v>67</v>
      </c>
      <c r="X3512" s="5" t="s">
        <v>67</v>
      </c>
      <c r="Y3512" s="4">
        <v>447</v>
      </c>
      <c r="Z3512" s="4">
        <v>33</v>
      </c>
      <c r="AA3512" s="4">
        <v>53</v>
      </c>
      <c r="AB3512" s="4">
        <v>1</v>
      </c>
      <c r="AC3512" s="4">
        <v>10</v>
      </c>
      <c r="AD3512" s="4">
        <v>89</v>
      </c>
      <c r="AE3512" s="4">
        <v>112</v>
      </c>
      <c r="AF3512" s="4">
        <v>0</v>
      </c>
      <c r="AG3512" s="4">
        <v>5</v>
      </c>
      <c r="AH3512" s="4">
        <v>77</v>
      </c>
      <c r="AI3512" s="4">
        <v>94</v>
      </c>
      <c r="AJ3512" s="4">
        <v>16</v>
      </c>
      <c r="AK3512" s="4">
        <v>24</v>
      </c>
      <c r="AL3512" s="4">
        <v>39</v>
      </c>
      <c r="AM3512" s="4">
        <v>47</v>
      </c>
      <c r="AN3512" s="4">
        <v>0</v>
      </c>
      <c r="AO3512" s="4">
        <v>0</v>
      </c>
      <c r="AP3512" s="4">
        <v>19</v>
      </c>
      <c r="AQ3512" s="4">
        <v>29</v>
      </c>
      <c r="AR3512" s="3" t="s">
        <v>62</v>
      </c>
      <c r="AS3512" s="3" t="s">
        <v>62</v>
      </c>
      <c r="AT3512" s="3" t="s">
        <v>62</v>
      </c>
      <c r="AV3512" s="6" t="str">
        <f>HYPERLINK("http://mcgill.on.worldcat.org/oclc/54372974","Catalog Record")</f>
        <v>Catalog Record</v>
      </c>
      <c r="AW3512" s="6" t="str">
        <f>HYPERLINK("http://www.worldcat.org/oclc/54372974","WorldCat Record")</f>
        <v>WorldCat Record</v>
      </c>
      <c r="AX3512" s="3" t="s">
        <v>33865</v>
      </c>
      <c r="AY3512" s="3" t="s">
        <v>33866</v>
      </c>
      <c r="AZ3512" s="3" t="s">
        <v>33867</v>
      </c>
      <c r="BA3512" s="3" t="s">
        <v>33867</v>
      </c>
      <c r="BB3512" s="3" t="s">
        <v>33868</v>
      </c>
      <c r="BC3512" s="3" t="s">
        <v>142</v>
      </c>
      <c r="BD3512" s="3" t="s">
        <v>68</v>
      </c>
      <c r="BE3512" s="3" t="s">
        <v>33869</v>
      </c>
      <c r="BF3512" s="3" t="s">
        <v>33868</v>
      </c>
      <c r="BG3512" s="3" t="s">
        <v>33870</v>
      </c>
    </row>
    <row r="3513" spans="1:59" ht="57" x14ac:dyDescent="0.45">
      <c r="A3513" s="2" t="s">
        <v>59</v>
      </c>
      <c r="B3513" s="2" t="s">
        <v>412</v>
      </c>
      <c r="C3513" s="2" t="s">
        <v>33859</v>
      </c>
      <c r="D3513" s="2" t="s">
        <v>33860</v>
      </c>
      <c r="E3513" s="2" t="s">
        <v>33861</v>
      </c>
      <c r="G3513" s="3" t="s">
        <v>62</v>
      </c>
      <c r="I3513" s="3" t="s">
        <v>61</v>
      </c>
      <c r="J3513" s="3" t="s">
        <v>61</v>
      </c>
      <c r="K3513" s="3" t="s">
        <v>63</v>
      </c>
      <c r="L3513" s="2" t="s">
        <v>33862</v>
      </c>
      <c r="M3513" s="2" t="s">
        <v>33863</v>
      </c>
      <c r="N3513" s="3" t="s">
        <v>1097</v>
      </c>
      <c r="P3513" s="3" t="s">
        <v>65</v>
      </c>
      <c r="Q3513" s="2" t="s">
        <v>33864</v>
      </c>
      <c r="R3513" s="3" t="s">
        <v>66</v>
      </c>
      <c r="S3513" s="4">
        <v>40</v>
      </c>
      <c r="T3513" s="4">
        <v>63</v>
      </c>
      <c r="U3513" s="5" t="s">
        <v>13377</v>
      </c>
      <c r="V3513" s="5" t="s">
        <v>372</v>
      </c>
      <c r="W3513" s="5" t="s">
        <v>67</v>
      </c>
      <c r="X3513" s="5" t="s">
        <v>67</v>
      </c>
      <c r="Y3513" s="4">
        <v>447</v>
      </c>
      <c r="Z3513" s="4">
        <v>33</v>
      </c>
      <c r="AA3513" s="4">
        <v>53</v>
      </c>
      <c r="AB3513" s="4">
        <v>1</v>
      </c>
      <c r="AC3513" s="4">
        <v>10</v>
      </c>
      <c r="AD3513" s="4">
        <v>89</v>
      </c>
      <c r="AE3513" s="4">
        <v>112</v>
      </c>
      <c r="AF3513" s="4">
        <v>0</v>
      </c>
      <c r="AG3513" s="4">
        <v>5</v>
      </c>
      <c r="AH3513" s="4">
        <v>77</v>
      </c>
      <c r="AI3513" s="4">
        <v>94</v>
      </c>
      <c r="AJ3513" s="4">
        <v>16</v>
      </c>
      <c r="AK3513" s="4">
        <v>24</v>
      </c>
      <c r="AL3513" s="4">
        <v>39</v>
      </c>
      <c r="AM3513" s="4">
        <v>47</v>
      </c>
      <c r="AN3513" s="4">
        <v>0</v>
      </c>
      <c r="AO3513" s="4">
        <v>0</v>
      </c>
      <c r="AP3513" s="4">
        <v>19</v>
      </c>
      <c r="AQ3513" s="4">
        <v>29</v>
      </c>
      <c r="AR3513" s="3" t="s">
        <v>62</v>
      </c>
      <c r="AS3513" s="3" t="s">
        <v>62</v>
      </c>
      <c r="AT3513" s="3" t="s">
        <v>62</v>
      </c>
      <c r="AV3513" s="6" t="str">
        <f>HYPERLINK("http://mcgill.on.worldcat.org/oclc/54372974","Catalog Record")</f>
        <v>Catalog Record</v>
      </c>
      <c r="AW3513" s="6" t="str">
        <f>HYPERLINK("http://www.worldcat.org/oclc/54372974","WorldCat Record")</f>
        <v>WorldCat Record</v>
      </c>
      <c r="AX3513" s="3" t="s">
        <v>33865</v>
      </c>
      <c r="AY3513" s="3" t="s">
        <v>33866</v>
      </c>
      <c r="AZ3513" s="3" t="s">
        <v>33867</v>
      </c>
      <c r="BA3513" s="3" t="s">
        <v>33867</v>
      </c>
      <c r="BB3513" s="3" t="s">
        <v>33871</v>
      </c>
      <c r="BC3513" s="3" t="s">
        <v>142</v>
      </c>
      <c r="BD3513" s="3" t="s">
        <v>308</v>
      </c>
      <c r="BE3513" s="3" t="s">
        <v>33869</v>
      </c>
      <c r="BF3513" s="3" t="s">
        <v>33871</v>
      </c>
      <c r="BG3513" s="3" t="s">
        <v>33872</v>
      </c>
    </row>
    <row r="3514" spans="1:59" ht="57" x14ac:dyDescent="0.45">
      <c r="A3514" s="2" t="s">
        <v>59</v>
      </c>
      <c r="B3514" s="2" t="s">
        <v>60</v>
      </c>
      <c r="C3514" s="2" t="s">
        <v>33873</v>
      </c>
      <c r="D3514" s="2" t="s">
        <v>33874</v>
      </c>
      <c r="E3514" s="2" t="s">
        <v>33875</v>
      </c>
      <c r="G3514" s="3" t="s">
        <v>62</v>
      </c>
      <c r="I3514" s="3" t="s">
        <v>62</v>
      </c>
      <c r="J3514" s="3" t="s">
        <v>62</v>
      </c>
      <c r="K3514" s="3" t="s">
        <v>63</v>
      </c>
      <c r="L3514" s="2" t="s">
        <v>33876</v>
      </c>
      <c r="M3514" s="2" t="s">
        <v>4951</v>
      </c>
      <c r="N3514" s="3" t="s">
        <v>625</v>
      </c>
      <c r="P3514" s="3" t="s">
        <v>65</v>
      </c>
      <c r="R3514" s="3" t="s">
        <v>66</v>
      </c>
      <c r="S3514" s="4">
        <v>41</v>
      </c>
      <c r="T3514" s="4">
        <v>41</v>
      </c>
      <c r="U3514" s="5" t="s">
        <v>33877</v>
      </c>
      <c r="V3514" s="5" t="s">
        <v>33877</v>
      </c>
      <c r="W3514" s="5" t="s">
        <v>67</v>
      </c>
      <c r="X3514" s="5" t="s">
        <v>67</v>
      </c>
      <c r="Y3514" s="4">
        <v>550</v>
      </c>
      <c r="Z3514" s="4">
        <v>29</v>
      </c>
      <c r="AA3514" s="4">
        <v>46</v>
      </c>
      <c r="AB3514" s="4">
        <v>2</v>
      </c>
      <c r="AC3514" s="4">
        <v>8</v>
      </c>
      <c r="AD3514" s="4">
        <v>92</v>
      </c>
      <c r="AE3514" s="4">
        <v>119</v>
      </c>
      <c r="AF3514" s="4">
        <v>1</v>
      </c>
      <c r="AG3514" s="4">
        <v>4</v>
      </c>
      <c r="AH3514" s="4">
        <v>81</v>
      </c>
      <c r="AI3514" s="4">
        <v>104</v>
      </c>
      <c r="AJ3514" s="4">
        <v>14</v>
      </c>
      <c r="AK3514" s="4">
        <v>21</v>
      </c>
      <c r="AL3514" s="4">
        <v>46</v>
      </c>
      <c r="AM3514" s="4">
        <v>54</v>
      </c>
      <c r="AN3514" s="4">
        <v>0</v>
      </c>
      <c r="AO3514" s="4">
        <v>0</v>
      </c>
      <c r="AP3514" s="4">
        <v>18</v>
      </c>
      <c r="AQ3514" s="4">
        <v>24</v>
      </c>
      <c r="AR3514" s="3" t="s">
        <v>62</v>
      </c>
      <c r="AS3514" s="3" t="s">
        <v>62</v>
      </c>
      <c r="AT3514" s="3" t="s">
        <v>62</v>
      </c>
      <c r="AV3514" s="6" t="str">
        <f>HYPERLINK("http://mcgill.on.worldcat.org/oclc/13759967","Catalog Record")</f>
        <v>Catalog Record</v>
      </c>
      <c r="AW3514" s="6" t="str">
        <f>HYPERLINK("http://www.worldcat.org/oclc/13759967","WorldCat Record")</f>
        <v>WorldCat Record</v>
      </c>
      <c r="AX3514" s="3" t="s">
        <v>33878</v>
      </c>
      <c r="AY3514" s="3" t="s">
        <v>33879</v>
      </c>
      <c r="AZ3514" s="3" t="s">
        <v>33880</v>
      </c>
      <c r="BA3514" s="3" t="s">
        <v>33880</v>
      </c>
      <c r="BB3514" s="3" t="s">
        <v>33881</v>
      </c>
      <c r="BC3514" s="3" t="s">
        <v>142</v>
      </c>
      <c r="BD3514" s="3" t="s">
        <v>68</v>
      </c>
      <c r="BE3514" s="3" t="s">
        <v>33882</v>
      </c>
      <c r="BF3514" s="3" t="s">
        <v>33881</v>
      </c>
      <c r="BG3514" s="3" t="s">
        <v>33883</v>
      </c>
    </row>
    <row r="3515" spans="1:59" ht="57" x14ac:dyDescent="0.45">
      <c r="A3515" s="2" t="s">
        <v>59</v>
      </c>
      <c r="B3515" s="2" t="s">
        <v>60</v>
      </c>
      <c r="C3515" s="2" t="s">
        <v>33884</v>
      </c>
      <c r="D3515" s="2" t="s">
        <v>33885</v>
      </c>
      <c r="E3515" s="2" t="s">
        <v>33886</v>
      </c>
      <c r="G3515" s="3" t="s">
        <v>62</v>
      </c>
      <c r="I3515" s="3" t="s">
        <v>62</v>
      </c>
      <c r="J3515" s="3" t="s">
        <v>62</v>
      </c>
      <c r="K3515" s="3" t="s">
        <v>63</v>
      </c>
      <c r="M3515" s="2" t="s">
        <v>33887</v>
      </c>
      <c r="N3515" s="3" t="s">
        <v>894</v>
      </c>
      <c r="P3515" s="3" t="s">
        <v>65</v>
      </c>
      <c r="Q3515" s="2" t="s">
        <v>33888</v>
      </c>
      <c r="R3515" s="3" t="s">
        <v>66</v>
      </c>
      <c r="S3515" s="4">
        <v>1</v>
      </c>
      <c r="T3515" s="4">
        <v>1</v>
      </c>
      <c r="U3515" s="5" t="s">
        <v>33889</v>
      </c>
      <c r="V3515" s="5" t="s">
        <v>33889</v>
      </c>
      <c r="W3515" s="5" t="s">
        <v>67</v>
      </c>
      <c r="X3515" s="5" t="s">
        <v>67</v>
      </c>
      <c r="Y3515" s="4">
        <v>173</v>
      </c>
      <c r="Z3515" s="4">
        <v>11</v>
      </c>
      <c r="AA3515" s="4">
        <v>12</v>
      </c>
      <c r="AB3515" s="4">
        <v>1</v>
      </c>
      <c r="AC3515" s="4">
        <v>2</v>
      </c>
      <c r="AD3515" s="4">
        <v>29</v>
      </c>
      <c r="AE3515" s="4">
        <v>30</v>
      </c>
      <c r="AF3515" s="4">
        <v>0</v>
      </c>
      <c r="AG3515" s="4">
        <v>1</v>
      </c>
      <c r="AH3515" s="4">
        <v>25</v>
      </c>
      <c r="AI3515" s="4">
        <v>25</v>
      </c>
      <c r="AJ3515" s="4">
        <v>6</v>
      </c>
      <c r="AK3515" s="4">
        <v>7</v>
      </c>
      <c r="AL3515" s="4">
        <v>16</v>
      </c>
      <c r="AM3515" s="4">
        <v>16</v>
      </c>
      <c r="AN3515" s="4">
        <v>0</v>
      </c>
      <c r="AO3515" s="4">
        <v>0</v>
      </c>
      <c r="AP3515" s="4">
        <v>7</v>
      </c>
      <c r="AQ3515" s="4">
        <v>8</v>
      </c>
      <c r="AR3515" s="3" t="s">
        <v>62</v>
      </c>
      <c r="AS3515" s="3" t="s">
        <v>62</v>
      </c>
      <c r="AT3515" s="3" t="s">
        <v>62</v>
      </c>
      <c r="AV3515" s="6" t="str">
        <f>HYPERLINK("http://mcgill.on.worldcat.org/oclc/697036492","Catalog Record")</f>
        <v>Catalog Record</v>
      </c>
      <c r="AW3515" s="6" t="str">
        <f>HYPERLINK("http://www.worldcat.org/oclc/697036492","WorldCat Record")</f>
        <v>WorldCat Record</v>
      </c>
      <c r="AX3515" s="3" t="s">
        <v>33890</v>
      </c>
      <c r="AY3515" s="3" t="s">
        <v>33891</v>
      </c>
      <c r="AZ3515" s="3" t="s">
        <v>33892</v>
      </c>
      <c r="BA3515" s="3" t="s">
        <v>33892</v>
      </c>
      <c r="BB3515" s="3" t="s">
        <v>33893</v>
      </c>
      <c r="BC3515" s="3" t="s">
        <v>142</v>
      </c>
      <c r="BD3515" s="3" t="s">
        <v>68</v>
      </c>
      <c r="BE3515" s="3" t="s">
        <v>33894</v>
      </c>
      <c r="BF3515" s="3" t="s">
        <v>33893</v>
      </c>
      <c r="BG3515" s="3" t="s">
        <v>33895</v>
      </c>
    </row>
    <row r="3516" spans="1:59" ht="57" x14ac:dyDescent="0.45">
      <c r="A3516" s="2" t="s">
        <v>59</v>
      </c>
      <c r="B3516" s="2" t="s">
        <v>60</v>
      </c>
      <c r="C3516" s="2" t="s">
        <v>33896</v>
      </c>
      <c r="D3516" s="2" t="s">
        <v>33897</v>
      </c>
      <c r="E3516" s="2" t="s">
        <v>33898</v>
      </c>
      <c r="G3516" s="3" t="s">
        <v>62</v>
      </c>
      <c r="I3516" s="3" t="s">
        <v>62</v>
      </c>
      <c r="J3516" s="3" t="s">
        <v>62</v>
      </c>
      <c r="K3516" s="3" t="s">
        <v>63</v>
      </c>
      <c r="L3516" s="2" t="s">
        <v>33899</v>
      </c>
      <c r="M3516" s="2" t="s">
        <v>6141</v>
      </c>
      <c r="N3516" s="3" t="s">
        <v>894</v>
      </c>
      <c r="P3516" s="3" t="s">
        <v>65</v>
      </c>
      <c r="R3516" s="3" t="s">
        <v>66</v>
      </c>
      <c r="S3516" s="4">
        <v>4</v>
      </c>
      <c r="T3516" s="4">
        <v>4</v>
      </c>
      <c r="U3516" s="5" t="s">
        <v>33900</v>
      </c>
      <c r="V3516" s="5" t="s">
        <v>33900</v>
      </c>
      <c r="W3516" s="5" t="s">
        <v>67</v>
      </c>
      <c r="X3516" s="5" t="s">
        <v>67</v>
      </c>
      <c r="Y3516" s="4">
        <v>130</v>
      </c>
      <c r="Z3516" s="4">
        <v>15</v>
      </c>
      <c r="AA3516" s="4">
        <v>81</v>
      </c>
      <c r="AB3516" s="4">
        <v>2</v>
      </c>
      <c r="AC3516" s="4">
        <v>17</v>
      </c>
      <c r="AD3516" s="4">
        <v>34</v>
      </c>
      <c r="AE3516" s="4">
        <v>107</v>
      </c>
      <c r="AF3516" s="4">
        <v>1</v>
      </c>
      <c r="AG3516" s="4">
        <v>8</v>
      </c>
      <c r="AH3516" s="4">
        <v>25</v>
      </c>
      <c r="AI3516" s="4">
        <v>72</v>
      </c>
      <c r="AJ3516" s="4">
        <v>9</v>
      </c>
      <c r="AK3516" s="4">
        <v>22</v>
      </c>
      <c r="AL3516" s="4">
        <v>16</v>
      </c>
      <c r="AM3516" s="4">
        <v>33</v>
      </c>
      <c r="AN3516" s="4">
        <v>0</v>
      </c>
      <c r="AO3516" s="4">
        <v>0</v>
      </c>
      <c r="AP3516" s="4">
        <v>12</v>
      </c>
      <c r="AQ3516" s="4">
        <v>42</v>
      </c>
      <c r="AR3516" s="3" t="s">
        <v>62</v>
      </c>
      <c r="AS3516" s="3" t="s">
        <v>62</v>
      </c>
      <c r="AT3516" s="3" t="s">
        <v>62</v>
      </c>
      <c r="AV3516" s="6" t="str">
        <f>HYPERLINK("http://mcgill.on.worldcat.org/oclc/368025527","Catalog Record")</f>
        <v>Catalog Record</v>
      </c>
      <c r="AW3516" s="6" t="str">
        <f>HYPERLINK("http://www.worldcat.org/oclc/368025527","WorldCat Record")</f>
        <v>WorldCat Record</v>
      </c>
      <c r="AX3516" s="3" t="s">
        <v>33901</v>
      </c>
      <c r="AY3516" s="3" t="s">
        <v>33902</v>
      </c>
      <c r="AZ3516" s="3" t="s">
        <v>33903</v>
      </c>
      <c r="BA3516" s="3" t="s">
        <v>33903</v>
      </c>
      <c r="BB3516" s="3" t="s">
        <v>33904</v>
      </c>
      <c r="BC3516" s="3" t="s">
        <v>142</v>
      </c>
      <c r="BD3516" s="3" t="s">
        <v>68</v>
      </c>
      <c r="BE3516" s="3" t="s">
        <v>33905</v>
      </c>
      <c r="BF3516" s="3" t="s">
        <v>33904</v>
      </c>
      <c r="BG3516" s="3" t="s">
        <v>33906</v>
      </c>
    </row>
    <row r="3517" spans="1:59" ht="57" x14ac:dyDescent="0.45">
      <c r="A3517" s="2" t="s">
        <v>59</v>
      </c>
      <c r="B3517" s="2" t="s">
        <v>60</v>
      </c>
      <c r="C3517" s="2" t="s">
        <v>33907</v>
      </c>
      <c r="D3517" s="2" t="s">
        <v>33908</v>
      </c>
      <c r="E3517" s="2" t="s">
        <v>33909</v>
      </c>
      <c r="G3517" s="3" t="s">
        <v>62</v>
      </c>
      <c r="I3517" s="3" t="s">
        <v>61</v>
      </c>
      <c r="J3517" s="3" t="s">
        <v>62</v>
      </c>
      <c r="K3517" s="3" t="s">
        <v>63</v>
      </c>
      <c r="M3517" s="2" t="s">
        <v>4998</v>
      </c>
      <c r="N3517" s="3" t="s">
        <v>807</v>
      </c>
      <c r="P3517" s="3" t="s">
        <v>65</v>
      </c>
      <c r="R3517" s="3" t="s">
        <v>66</v>
      </c>
      <c r="S3517" s="4">
        <v>63</v>
      </c>
      <c r="T3517" s="4">
        <v>84</v>
      </c>
      <c r="U3517" s="5" t="s">
        <v>33910</v>
      </c>
      <c r="V3517" s="5" t="s">
        <v>2202</v>
      </c>
      <c r="W3517" s="5" t="s">
        <v>67</v>
      </c>
      <c r="X3517" s="5" t="s">
        <v>67</v>
      </c>
      <c r="Y3517" s="4">
        <v>603</v>
      </c>
      <c r="Z3517" s="4">
        <v>34</v>
      </c>
      <c r="AA3517" s="4">
        <v>42</v>
      </c>
      <c r="AB3517" s="4">
        <v>3</v>
      </c>
      <c r="AC3517" s="4">
        <v>7</v>
      </c>
      <c r="AD3517" s="4">
        <v>122</v>
      </c>
      <c r="AE3517" s="4">
        <v>128</v>
      </c>
      <c r="AF3517" s="4">
        <v>1</v>
      </c>
      <c r="AG3517" s="4">
        <v>4</v>
      </c>
      <c r="AH3517" s="4">
        <v>102</v>
      </c>
      <c r="AI3517" s="4">
        <v>104</v>
      </c>
      <c r="AJ3517" s="4">
        <v>20</v>
      </c>
      <c r="AK3517" s="4">
        <v>25</v>
      </c>
      <c r="AL3517" s="4">
        <v>55</v>
      </c>
      <c r="AM3517" s="4">
        <v>55</v>
      </c>
      <c r="AN3517" s="4">
        <v>0</v>
      </c>
      <c r="AO3517" s="4">
        <v>0</v>
      </c>
      <c r="AP3517" s="4">
        <v>27</v>
      </c>
      <c r="AQ3517" s="4">
        <v>32</v>
      </c>
      <c r="AR3517" s="3" t="s">
        <v>62</v>
      </c>
      <c r="AS3517" s="3" t="s">
        <v>62</v>
      </c>
      <c r="AT3517" s="3" t="s">
        <v>61</v>
      </c>
      <c r="AU3517" s="6" t="str">
        <f>HYPERLINK("http://catalog.hathitrust.org/Record/002460893","HathiTrust Record")</f>
        <v>HathiTrust Record</v>
      </c>
      <c r="AV3517" s="6" t="str">
        <f>HYPERLINK("http://mcgill.on.worldcat.org/oclc/21592077","Catalog Record")</f>
        <v>Catalog Record</v>
      </c>
      <c r="AW3517" s="6" t="str">
        <f>HYPERLINK("http://www.worldcat.org/oclc/21592077","WorldCat Record")</f>
        <v>WorldCat Record</v>
      </c>
      <c r="AX3517" s="3" t="s">
        <v>33911</v>
      </c>
      <c r="AY3517" s="3" t="s">
        <v>33912</v>
      </c>
      <c r="AZ3517" s="3" t="s">
        <v>33913</v>
      </c>
      <c r="BA3517" s="3" t="s">
        <v>33913</v>
      </c>
      <c r="BB3517" s="3" t="s">
        <v>33914</v>
      </c>
      <c r="BC3517" s="3" t="s">
        <v>142</v>
      </c>
      <c r="BD3517" s="3" t="s">
        <v>68</v>
      </c>
      <c r="BE3517" s="3" t="s">
        <v>33915</v>
      </c>
      <c r="BF3517" s="3" t="s">
        <v>33914</v>
      </c>
      <c r="BG3517" s="3" t="s">
        <v>33916</v>
      </c>
    </row>
    <row r="3518" spans="1:59" ht="57" x14ac:dyDescent="0.45">
      <c r="A3518" s="2" t="s">
        <v>59</v>
      </c>
      <c r="B3518" s="2" t="s">
        <v>60</v>
      </c>
      <c r="C3518" s="2" t="s">
        <v>33907</v>
      </c>
      <c r="D3518" s="2" t="s">
        <v>33908</v>
      </c>
      <c r="E3518" s="2" t="s">
        <v>33909</v>
      </c>
      <c r="G3518" s="3" t="s">
        <v>62</v>
      </c>
      <c r="I3518" s="3" t="s">
        <v>61</v>
      </c>
      <c r="J3518" s="3" t="s">
        <v>62</v>
      </c>
      <c r="K3518" s="3" t="s">
        <v>63</v>
      </c>
      <c r="M3518" s="2" t="s">
        <v>4998</v>
      </c>
      <c r="N3518" s="3" t="s">
        <v>807</v>
      </c>
      <c r="P3518" s="3" t="s">
        <v>65</v>
      </c>
      <c r="R3518" s="3" t="s">
        <v>66</v>
      </c>
      <c r="S3518" s="4">
        <v>21</v>
      </c>
      <c r="T3518" s="4">
        <v>84</v>
      </c>
      <c r="U3518" s="5" t="s">
        <v>2202</v>
      </c>
      <c r="V3518" s="5" t="s">
        <v>2202</v>
      </c>
      <c r="W3518" s="5" t="s">
        <v>67</v>
      </c>
      <c r="X3518" s="5" t="s">
        <v>67</v>
      </c>
      <c r="Y3518" s="4">
        <v>603</v>
      </c>
      <c r="Z3518" s="4">
        <v>34</v>
      </c>
      <c r="AA3518" s="4">
        <v>42</v>
      </c>
      <c r="AB3518" s="4">
        <v>3</v>
      </c>
      <c r="AC3518" s="4">
        <v>7</v>
      </c>
      <c r="AD3518" s="4">
        <v>122</v>
      </c>
      <c r="AE3518" s="4">
        <v>128</v>
      </c>
      <c r="AF3518" s="4">
        <v>1</v>
      </c>
      <c r="AG3518" s="4">
        <v>4</v>
      </c>
      <c r="AH3518" s="4">
        <v>102</v>
      </c>
      <c r="AI3518" s="4">
        <v>104</v>
      </c>
      <c r="AJ3518" s="4">
        <v>20</v>
      </c>
      <c r="AK3518" s="4">
        <v>25</v>
      </c>
      <c r="AL3518" s="4">
        <v>55</v>
      </c>
      <c r="AM3518" s="4">
        <v>55</v>
      </c>
      <c r="AN3518" s="4">
        <v>0</v>
      </c>
      <c r="AO3518" s="4">
        <v>0</v>
      </c>
      <c r="AP3518" s="4">
        <v>27</v>
      </c>
      <c r="AQ3518" s="4">
        <v>32</v>
      </c>
      <c r="AR3518" s="3" t="s">
        <v>62</v>
      </c>
      <c r="AS3518" s="3" t="s">
        <v>62</v>
      </c>
      <c r="AT3518" s="3" t="s">
        <v>61</v>
      </c>
      <c r="AU3518" s="6" t="str">
        <f>HYPERLINK("http://catalog.hathitrust.org/Record/002460893","HathiTrust Record")</f>
        <v>HathiTrust Record</v>
      </c>
      <c r="AV3518" s="6" t="str">
        <f>HYPERLINK("http://mcgill.on.worldcat.org/oclc/21592077","Catalog Record")</f>
        <v>Catalog Record</v>
      </c>
      <c r="AW3518" s="6" t="str">
        <f>HYPERLINK("http://www.worldcat.org/oclc/21592077","WorldCat Record")</f>
        <v>WorldCat Record</v>
      </c>
      <c r="AX3518" s="3" t="s">
        <v>33911</v>
      </c>
      <c r="AY3518" s="3" t="s">
        <v>33912</v>
      </c>
      <c r="AZ3518" s="3" t="s">
        <v>33913</v>
      </c>
      <c r="BA3518" s="3" t="s">
        <v>33913</v>
      </c>
      <c r="BB3518" s="3" t="s">
        <v>33917</v>
      </c>
      <c r="BC3518" s="3" t="s">
        <v>142</v>
      </c>
      <c r="BD3518" s="3" t="s">
        <v>68</v>
      </c>
      <c r="BE3518" s="3" t="s">
        <v>33915</v>
      </c>
      <c r="BF3518" s="3" t="s">
        <v>33917</v>
      </c>
      <c r="BG3518" s="3" t="s">
        <v>33918</v>
      </c>
    </row>
    <row r="3519" spans="1:59" ht="57" x14ac:dyDescent="0.45">
      <c r="A3519" s="2" t="s">
        <v>59</v>
      </c>
      <c r="B3519" s="2" t="s">
        <v>60</v>
      </c>
      <c r="C3519" s="2" t="s">
        <v>33919</v>
      </c>
      <c r="D3519" s="2" t="s">
        <v>33920</v>
      </c>
      <c r="E3519" s="2" t="s">
        <v>33921</v>
      </c>
      <c r="G3519" s="3" t="s">
        <v>62</v>
      </c>
      <c r="I3519" s="3" t="s">
        <v>62</v>
      </c>
      <c r="J3519" s="3" t="s">
        <v>62</v>
      </c>
      <c r="K3519" s="3" t="s">
        <v>63</v>
      </c>
      <c r="L3519" s="2" t="s">
        <v>33922</v>
      </c>
      <c r="M3519" s="2" t="s">
        <v>33923</v>
      </c>
      <c r="N3519" s="3" t="s">
        <v>1253</v>
      </c>
      <c r="P3519" s="3" t="s">
        <v>65</v>
      </c>
      <c r="Q3519" s="2" t="s">
        <v>4545</v>
      </c>
      <c r="R3519" s="3" t="s">
        <v>66</v>
      </c>
      <c r="S3519" s="4">
        <v>30</v>
      </c>
      <c r="T3519" s="4">
        <v>30</v>
      </c>
      <c r="U3519" s="5" t="s">
        <v>29958</v>
      </c>
      <c r="V3519" s="5" t="s">
        <v>29958</v>
      </c>
      <c r="W3519" s="5" t="s">
        <v>67</v>
      </c>
      <c r="X3519" s="5" t="s">
        <v>67</v>
      </c>
      <c r="Y3519" s="4">
        <v>224</v>
      </c>
      <c r="Z3519" s="4">
        <v>16</v>
      </c>
      <c r="AA3519" s="4">
        <v>22</v>
      </c>
      <c r="AB3519" s="4">
        <v>2</v>
      </c>
      <c r="AC3519" s="4">
        <v>3</v>
      </c>
      <c r="AD3519" s="4">
        <v>85</v>
      </c>
      <c r="AE3519" s="4">
        <v>95</v>
      </c>
      <c r="AF3519" s="4">
        <v>1</v>
      </c>
      <c r="AG3519" s="4">
        <v>2</v>
      </c>
      <c r="AH3519" s="4">
        <v>78</v>
      </c>
      <c r="AI3519" s="4">
        <v>84</v>
      </c>
      <c r="AJ3519" s="4">
        <v>9</v>
      </c>
      <c r="AK3519" s="4">
        <v>14</v>
      </c>
      <c r="AL3519" s="4">
        <v>44</v>
      </c>
      <c r="AM3519" s="4">
        <v>46</v>
      </c>
      <c r="AN3519" s="4">
        <v>0</v>
      </c>
      <c r="AO3519" s="4">
        <v>0</v>
      </c>
      <c r="AP3519" s="4">
        <v>13</v>
      </c>
      <c r="AQ3519" s="4">
        <v>19</v>
      </c>
      <c r="AR3519" s="3" t="s">
        <v>62</v>
      </c>
      <c r="AS3519" s="3" t="s">
        <v>62</v>
      </c>
      <c r="AT3519" s="3" t="s">
        <v>62</v>
      </c>
      <c r="AV3519" s="6" t="str">
        <f>HYPERLINK("http://mcgill.on.worldcat.org/oclc/35280679","Catalog Record")</f>
        <v>Catalog Record</v>
      </c>
      <c r="AW3519" s="6" t="str">
        <f>HYPERLINK("http://www.worldcat.org/oclc/35280679","WorldCat Record")</f>
        <v>WorldCat Record</v>
      </c>
      <c r="AX3519" s="3" t="s">
        <v>33924</v>
      </c>
      <c r="AY3519" s="3" t="s">
        <v>33925</v>
      </c>
      <c r="AZ3519" s="3" t="s">
        <v>33926</v>
      </c>
      <c r="BA3519" s="3" t="s">
        <v>33926</v>
      </c>
      <c r="BB3519" s="3" t="s">
        <v>33927</v>
      </c>
      <c r="BC3519" s="3" t="s">
        <v>142</v>
      </c>
      <c r="BD3519" s="3" t="s">
        <v>68</v>
      </c>
      <c r="BE3519" s="3" t="s">
        <v>33928</v>
      </c>
      <c r="BF3519" s="3" t="s">
        <v>33927</v>
      </c>
      <c r="BG3519" s="3" t="s">
        <v>33929</v>
      </c>
    </row>
    <row r="3520" spans="1:59" ht="57" x14ac:dyDescent="0.45">
      <c r="A3520" s="2" t="s">
        <v>59</v>
      </c>
      <c r="B3520" s="2" t="s">
        <v>60</v>
      </c>
      <c r="C3520" s="2" t="s">
        <v>33930</v>
      </c>
      <c r="D3520" s="2" t="s">
        <v>33931</v>
      </c>
      <c r="E3520" s="2" t="s">
        <v>33932</v>
      </c>
      <c r="G3520" s="3" t="s">
        <v>62</v>
      </c>
      <c r="I3520" s="3" t="s">
        <v>62</v>
      </c>
      <c r="J3520" s="3" t="s">
        <v>62</v>
      </c>
      <c r="K3520" s="3" t="s">
        <v>63</v>
      </c>
      <c r="M3520" s="2" t="s">
        <v>9553</v>
      </c>
      <c r="N3520" s="3" t="s">
        <v>820</v>
      </c>
      <c r="P3520" s="3" t="s">
        <v>65</v>
      </c>
      <c r="Q3520" s="2" t="s">
        <v>33933</v>
      </c>
      <c r="R3520" s="3" t="s">
        <v>66</v>
      </c>
      <c r="S3520" s="4">
        <v>5</v>
      </c>
      <c r="T3520" s="4">
        <v>5</v>
      </c>
      <c r="U3520" s="5" t="s">
        <v>2801</v>
      </c>
      <c r="V3520" s="5" t="s">
        <v>2801</v>
      </c>
      <c r="W3520" s="5" t="s">
        <v>67</v>
      </c>
      <c r="X3520" s="5" t="s">
        <v>67</v>
      </c>
      <c r="Y3520" s="4">
        <v>115</v>
      </c>
      <c r="Z3520" s="4">
        <v>8</v>
      </c>
      <c r="AA3520" s="4">
        <v>91</v>
      </c>
      <c r="AB3520" s="4">
        <v>1</v>
      </c>
      <c r="AC3520" s="4">
        <v>17</v>
      </c>
      <c r="AD3520" s="4">
        <v>54</v>
      </c>
      <c r="AE3520" s="4">
        <v>110</v>
      </c>
      <c r="AF3520" s="4">
        <v>0</v>
      </c>
      <c r="AG3520" s="4">
        <v>8</v>
      </c>
      <c r="AH3520" s="4">
        <v>51</v>
      </c>
      <c r="AI3520" s="4">
        <v>78</v>
      </c>
      <c r="AJ3520" s="4">
        <v>5</v>
      </c>
      <c r="AK3520" s="4">
        <v>17</v>
      </c>
      <c r="AL3520" s="4">
        <v>33</v>
      </c>
      <c r="AM3520" s="4">
        <v>42</v>
      </c>
      <c r="AN3520" s="4">
        <v>0</v>
      </c>
      <c r="AO3520" s="4">
        <v>0</v>
      </c>
      <c r="AP3520" s="4">
        <v>5</v>
      </c>
      <c r="AQ3520" s="4">
        <v>38</v>
      </c>
      <c r="AR3520" s="3" t="s">
        <v>62</v>
      </c>
      <c r="AS3520" s="3" t="s">
        <v>62</v>
      </c>
      <c r="AT3520" s="3" t="s">
        <v>61</v>
      </c>
      <c r="AU3520" s="6" t="str">
        <f>HYPERLINK("http://catalog.hathitrust.org/Record/005771224","HathiTrust Record")</f>
        <v>HathiTrust Record</v>
      </c>
      <c r="AV3520" s="6" t="str">
        <f>HYPERLINK("http://mcgill.on.worldcat.org/oclc/162126779","Catalog Record")</f>
        <v>Catalog Record</v>
      </c>
      <c r="AW3520" s="6" t="str">
        <f>HYPERLINK("http://www.worldcat.org/oclc/162126779","WorldCat Record")</f>
        <v>WorldCat Record</v>
      </c>
      <c r="AX3520" s="3" t="s">
        <v>33934</v>
      </c>
      <c r="AY3520" s="3" t="s">
        <v>33935</v>
      </c>
      <c r="AZ3520" s="3" t="s">
        <v>33936</v>
      </c>
      <c r="BA3520" s="3" t="s">
        <v>33936</v>
      </c>
      <c r="BB3520" s="3" t="s">
        <v>33937</v>
      </c>
      <c r="BC3520" s="3" t="s">
        <v>142</v>
      </c>
      <c r="BD3520" s="3" t="s">
        <v>68</v>
      </c>
      <c r="BE3520" s="3" t="s">
        <v>33938</v>
      </c>
      <c r="BF3520" s="3" t="s">
        <v>33937</v>
      </c>
      <c r="BG3520" s="3" t="s">
        <v>33939</v>
      </c>
    </row>
    <row r="3521" spans="1:59" ht="57" x14ac:dyDescent="0.45">
      <c r="A3521" s="2" t="s">
        <v>59</v>
      </c>
      <c r="B3521" s="2" t="s">
        <v>60</v>
      </c>
      <c r="C3521" s="2" t="s">
        <v>33940</v>
      </c>
      <c r="D3521" s="2" t="s">
        <v>33941</v>
      </c>
      <c r="E3521" s="2" t="s">
        <v>33942</v>
      </c>
      <c r="G3521" s="3" t="s">
        <v>62</v>
      </c>
      <c r="I3521" s="3" t="s">
        <v>62</v>
      </c>
      <c r="J3521" s="3" t="s">
        <v>62</v>
      </c>
      <c r="K3521" s="3" t="s">
        <v>63</v>
      </c>
      <c r="L3521" s="2" t="s">
        <v>33943</v>
      </c>
      <c r="M3521" s="2" t="s">
        <v>33944</v>
      </c>
      <c r="N3521" s="3" t="s">
        <v>894</v>
      </c>
      <c r="P3521" s="3" t="s">
        <v>65</v>
      </c>
      <c r="R3521" s="3" t="s">
        <v>66</v>
      </c>
      <c r="S3521" s="4">
        <v>1</v>
      </c>
      <c r="T3521" s="4">
        <v>1</v>
      </c>
      <c r="U3521" s="5" t="s">
        <v>33945</v>
      </c>
      <c r="V3521" s="5" t="s">
        <v>33945</v>
      </c>
      <c r="W3521" s="5" t="s">
        <v>67</v>
      </c>
      <c r="X3521" s="5" t="s">
        <v>67</v>
      </c>
      <c r="Y3521" s="4">
        <v>61</v>
      </c>
      <c r="Z3521" s="4">
        <v>11</v>
      </c>
      <c r="AA3521" s="4">
        <v>26</v>
      </c>
      <c r="AB3521" s="4">
        <v>2</v>
      </c>
      <c r="AC3521" s="4">
        <v>6</v>
      </c>
      <c r="AD3521" s="4">
        <v>32</v>
      </c>
      <c r="AE3521" s="4">
        <v>33</v>
      </c>
      <c r="AF3521" s="4">
        <v>1</v>
      </c>
      <c r="AG3521" s="4">
        <v>1</v>
      </c>
      <c r="AH3521" s="4">
        <v>30</v>
      </c>
      <c r="AI3521" s="4">
        <v>30</v>
      </c>
      <c r="AJ3521" s="4">
        <v>9</v>
      </c>
      <c r="AK3521" s="4">
        <v>9</v>
      </c>
      <c r="AL3521" s="4">
        <v>19</v>
      </c>
      <c r="AM3521" s="4">
        <v>19</v>
      </c>
      <c r="AN3521" s="4">
        <v>0</v>
      </c>
      <c r="AO3521" s="4">
        <v>0</v>
      </c>
      <c r="AP3521" s="4">
        <v>9</v>
      </c>
      <c r="AQ3521" s="4">
        <v>10</v>
      </c>
      <c r="AR3521" s="3" t="s">
        <v>62</v>
      </c>
      <c r="AS3521" s="3" t="s">
        <v>62</v>
      </c>
      <c r="AT3521" s="3" t="s">
        <v>62</v>
      </c>
      <c r="AV3521" s="6" t="str">
        <f>HYPERLINK("http://mcgill.on.worldcat.org/oclc/747331791","Catalog Record")</f>
        <v>Catalog Record</v>
      </c>
      <c r="AW3521" s="6" t="str">
        <f>HYPERLINK("http://www.worldcat.org/oclc/747331791","WorldCat Record")</f>
        <v>WorldCat Record</v>
      </c>
      <c r="AX3521" s="3" t="s">
        <v>33946</v>
      </c>
      <c r="AY3521" s="3" t="s">
        <v>33947</v>
      </c>
      <c r="AZ3521" s="3" t="s">
        <v>33948</v>
      </c>
      <c r="BA3521" s="3" t="s">
        <v>33948</v>
      </c>
      <c r="BB3521" s="3" t="s">
        <v>33949</v>
      </c>
      <c r="BC3521" s="3" t="s">
        <v>142</v>
      </c>
      <c r="BD3521" s="3" t="s">
        <v>68</v>
      </c>
      <c r="BE3521" s="3" t="s">
        <v>33950</v>
      </c>
      <c r="BF3521" s="3" t="s">
        <v>33949</v>
      </c>
      <c r="BG3521" s="3" t="s">
        <v>33951</v>
      </c>
    </row>
    <row r="3522" spans="1:59" ht="71.25" x14ac:dyDescent="0.45">
      <c r="A3522" s="2" t="s">
        <v>59</v>
      </c>
      <c r="B3522" s="2" t="s">
        <v>60</v>
      </c>
      <c r="C3522" s="2" t="s">
        <v>33952</v>
      </c>
      <c r="D3522" s="2" t="s">
        <v>33953</v>
      </c>
      <c r="E3522" s="2" t="s">
        <v>33954</v>
      </c>
      <c r="G3522" s="3" t="s">
        <v>62</v>
      </c>
      <c r="I3522" s="3" t="s">
        <v>62</v>
      </c>
      <c r="J3522" s="3" t="s">
        <v>62</v>
      </c>
      <c r="K3522" s="3" t="s">
        <v>63</v>
      </c>
      <c r="L3522" s="2" t="s">
        <v>33955</v>
      </c>
      <c r="M3522" s="2" t="s">
        <v>33956</v>
      </c>
      <c r="N3522" s="3" t="s">
        <v>1688</v>
      </c>
      <c r="P3522" s="3" t="s">
        <v>65</v>
      </c>
      <c r="R3522" s="3" t="s">
        <v>66</v>
      </c>
      <c r="S3522" s="4">
        <v>3</v>
      </c>
      <c r="T3522" s="4">
        <v>3</v>
      </c>
      <c r="W3522" s="5" t="s">
        <v>67</v>
      </c>
      <c r="X3522" s="5" t="s">
        <v>67</v>
      </c>
      <c r="Y3522" s="4">
        <v>173</v>
      </c>
      <c r="Z3522" s="4">
        <v>12</v>
      </c>
      <c r="AA3522" s="4">
        <v>16</v>
      </c>
      <c r="AB3522" s="4">
        <v>1</v>
      </c>
      <c r="AC3522" s="4">
        <v>3</v>
      </c>
      <c r="AD3522" s="4">
        <v>42</v>
      </c>
      <c r="AE3522" s="4">
        <v>46</v>
      </c>
      <c r="AF3522" s="4">
        <v>0</v>
      </c>
      <c r="AG3522" s="4">
        <v>0</v>
      </c>
      <c r="AH3522" s="4">
        <v>37</v>
      </c>
      <c r="AI3522" s="4">
        <v>40</v>
      </c>
      <c r="AJ3522" s="4">
        <v>7</v>
      </c>
      <c r="AK3522" s="4">
        <v>8</v>
      </c>
      <c r="AL3522" s="4">
        <v>25</v>
      </c>
      <c r="AM3522" s="4">
        <v>27</v>
      </c>
      <c r="AN3522" s="4">
        <v>0</v>
      </c>
      <c r="AO3522" s="4">
        <v>0</v>
      </c>
      <c r="AP3522" s="4">
        <v>8</v>
      </c>
      <c r="AQ3522" s="4">
        <v>10</v>
      </c>
      <c r="AR3522" s="3" t="s">
        <v>62</v>
      </c>
      <c r="AS3522" s="3" t="s">
        <v>62</v>
      </c>
      <c r="AT3522" s="3" t="s">
        <v>62</v>
      </c>
      <c r="AV3522" s="6" t="str">
        <f>HYPERLINK("http://mcgill.on.worldcat.org/oclc/865574951","Catalog Record")</f>
        <v>Catalog Record</v>
      </c>
      <c r="AW3522" s="6" t="str">
        <f>HYPERLINK("http://www.worldcat.org/oclc/865574951","WorldCat Record")</f>
        <v>WorldCat Record</v>
      </c>
      <c r="AX3522" s="3" t="s">
        <v>33957</v>
      </c>
      <c r="AY3522" s="3" t="s">
        <v>33958</v>
      </c>
      <c r="AZ3522" s="3" t="s">
        <v>33959</v>
      </c>
      <c r="BA3522" s="3" t="s">
        <v>33959</v>
      </c>
      <c r="BB3522" s="3" t="s">
        <v>33960</v>
      </c>
      <c r="BC3522" s="3" t="s">
        <v>142</v>
      </c>
      <c r="BD3522" s="3" t="s">
        <v>308</v>
      </c>
      <c r="BE3522" s="3" t="s">
        <v>33961</v>
      </c>
      <c r="BF3522" s="3" t="s">
        <v>33960</v>
      </c>
      <c r="BG3522" s="3" t="s">
        <v>33962</v>
      </c>
    </row>
    <row r="3523" spans="1:59" ht="57" x14ac:dyDescent="0.45">
      <c r="A3523" s="2" t="s">
        <v>59</v>
      </c>
      <c r="B3523" s="2" t="s">
        <v>60</v>
      </c>
      <c r="C3523" s="2" t="s">
        <v>33963</v>
      </c>
      <c r="D3523" s="2" t="s">
        <v>33964</v>
      </c>
      <c r="E3523" s="2" t="s">
        <v>33965</v>
      </c>
      <c r="G3523" s="3" t="s">
        <v>62</v>
      </c>
      <c r="I3523" s="3" t="s">
        <v>61</v>
      </c>
      <c r="J3523" s="3" t="s">
        <v>62</v>
      </c>
      <c r="K3523" s="3" t="s">
        <v>63</v>
      </c>
      <c r="L3523" s="2" t="s">
        <v>33966</v>
      </c>
      <c r="M3523" s="2" t="s">
        <v>33967</v>
      </c>
      <c r="N3523" s="3" t="s">
        <v>1855</v>
      </c>
      <c r="P3523" s="3" t="s">
        <v>65</v>
      </c>
      <c r="Q3523" s="2" t="s">
        <v>33968</v>
      </c>
      <c r="R3523" s="3" t="s">
        <v>66</v>
      </c>
      <c r="S3523" s="4">
        <v>9</v>
      </c>
      <c r="T3523" s="4">
        <v>25</v>
      </c>
      <c r="U3523" s="5" t="s">
        <v>1241</v>
      </c>
      <c r="V3523" s="5" t="s">
        <v>1587</v>
      </c>
      <c r="W3523" s="5" t="s">
        <v>67</v>
      </c>
      <c r="X3523" s="5" t="s">
        <v>67</v>
      </c>
      <c r="Y3523" s="4">
        <v>271</v>
      </c>
      <c r="Z3523" s="4">
        <v>22</v>
      </c>
      <c r="AA3523" s="4">
        <v>112</v>
      </c>
      <c r="AB3523" s="4">
        <v>2</v>
      </c>
      <c r="AC3523" s="4">
        <v>17</v>
      </c>
      <c r="AD3523" s="4">
        <v>88</v>
      </c>
      <c r="AE3523" s="4">
        <v>140</v>
      </c>
      <c r="AF3523" s="4">
        <v>1</v>
      </c>
      <c r="AG3523" s="4">
        <v>8</v>
      </c>
      <c r="AH3523" s="4">
        <v>78</v>
      </c>
      <c r="AI3523" s="4">
        <v>100</v>
      </c>
      <c r="AJ3523" s="4">
        <v>11</v>
      </c>
      <c r="AK3523" s="4">
        <v>25</v>
      </c>
      <c r="AL3523" s="4">
        <v>45</v>
      </c>
      <c r="AM3523" s="4">
        <v>52</v>
      </c>
      <c r="AN3523" s="4">
        <v>0</v>
      </c>
      <c r="AO3523" s="4">
        <v>0</v>
      </c>
      <c r="AP3523" s="4">
        <v>15</v>
      </c>
      <c r="AQ3523" s="4">
        <v>47</v>
      </c>
      <c r="AR3523" s="3" t="s">
        <v>62</v>
      </c>
      <c r="AS3523" s="3" t="s">
        <v>62</v>
      </c>
      <c r="AT3523" s="3" t="s">
        <v>61</v>
      </c>
      <c r="AU3523" s="6" t="str">
        <f>HYPERLINK("http://catalog.hathitrust.org/Record/005150170","HathiTrust Record")</f>
        <v>HathiTrust Record</v>
      </c>
      <c r="AV3523" s="6" t="str">
        <f>HYPERLINK("http://mcgill.on.worldcat.org/oclc/54391996","Catalog Record")</f>
        <v>Catalog Record</v>
      </c>
      <c r="AW3523" s="6" t="str">
        <f>HYPERLINK("http://www.worldcat.org/oclc/54391996","WorldCat Record")</f>
        <v>WorldCat Record</v>
      </c>
      <c r="AX3523" s="3" t="s">
        <v>33969</v>
      </c>
      <c r="AY3523" s="3" t="s">
        <v>33970</v>
      </c>
      <c r="AZ3523" s="3" t="s">
        <v>33971</v>
      </c>
      <c r="BA3523" s="3" t="s">
        <v>33971</v>
      </c>
      <c r="BB3523" s="3" t="s">
        <v>33972</v>
      </c>
      <c r="BC3523" s="3" t="s">
        <v>142</v>
      </c>
      <c r="BD3523" s="3" t="s">
        <v>68</v>
      </c>
      <c r="BE3523" s="3" t="s">
        <v>33973</v>
      </c>
      <c r="BF3523" s="3" t="s">
        <v>33972</v>
      </c>
      <c r="BG3523" s="3" t="s">
        <v>33974</v>
      </c>
    </row>
    <row r="3524" spans="1:59" ht="57" x14ac:dyDescent="0.45">
      <c r="A3524" s="2" t="s">
        <v>59</v>
      </c>
      <c r="B3524" s="2" t="s">
        <v>412</v>
      </c>
      <c r="C3524" s="2" t="s">
        <v>33963</v>
      </c>
      <c r="D3524" s="2" t="s">
        <v>33964</v>
      </c>
      <c r="E3524" s="2" t="s">
        <v>33965</v>
      </c>
      <c r="G3524" s="3" t="s">
        <v>62</v>
      </c>
      <c r="I3524" s="3" t="s">
        <v>61</v>
      </c>
      <c r="J3524" s="3" t="s">
        <v>62</v>
      </c>
      <c r="K3524" s="3" t="s">
        <v>63</v>
      </c>
      <c r="L3524" s="2" t="s">
        <v>33966</v>
      </c>
      <c r="M3524" s="2" t="s">
        <v>33967</v>
      </c>
      <c r="N3524" s="3" t="s">
        <v>1855</v>
      </c>
      <c r="P3524" s="3" t="s">
        <v>65</v>
      </c>
      <c r="Q3524" s="2" t="s">
        <v>33968</v>
      </c>
      <c r="R3524" s="3" t="s">
        <v>66</v>
      </c>
      <c r="S3524" s="4">
        <v>16</v>
      </c>
      <c r="T3524" s="4">
        <v>25</v>
      </c>
      <c r="U3524" s="5" t="s">
        <v>1587</v>
      </c>
      <c r="V3524" s="5" t="s">
        <v>1587</v>
      </c>
      <c r="W3524" s="5" t="s">
        <v>67</v>
      </c>
      <c r="X3524" s="5" t="s">
        <v>67</v>
      </c>
      <c r="Y3524" s="4">
        <v>271</v>
      </c>
      <c r="Z3524" s="4">
        <v>22</v>
      </c>
      <c r="AA3524" s="4">
        <v>112</v>
      </c>
      <c r="AB3524" s="4">
        <v>2</v>
      </c>
      <c r="AC3524" s="4">
        <v>17</v>
      </c>
      <c r="AD3524" s="4">
        <v>88</v>
      </c>
      <c r="AE3524" s="4">
        <v>140</v>
      </c>
      <c r="AF3524" s="4">
        <v>1</v>
      </c>
      <c r="AG3524" s="4">
        <v>8</v>
      </c>
      <c r="AH3524" s="4">
        <v>78</v>
      </c>
      <c r="AI3524" s="4">
        <v>100</v>
      </c>
      <c r="AJ3524" s="4">
        <v>11</v>
      </c>
      <c r="AK3524" s="4">
        <v>25</v>
      </c>
      <c r="AL3524" s="4">
        <v>45</v>
      </c>
      <c r="AM3524" s="4">
        <v>52</v>
      </c>
      <c r="AN3524" s="4">
        <v>0</v>
      </c>
      <c r="AO3524" s="4">
        <v>0</v>
      </c>
      <c r="AP3524" s="4">
        <v>15</v>
      </c>
      <c r="AQ3524" s="4">
        <v>47</v>
      </c>
      <c r="AR3524" s="3" t="s">
        <v>62</v>
      </c>
      <c r="AS3524" s="3" t="s">
        <v>62</v>
      </c>
      <c r="AT3524" s="3" t="s">
        <v>61</v>
      </c>
      <c r="AU3524" s="6" t="str">
        <f>HYPERLINK("http://catalog.hathitrust.org/Record/005150170","HathiTrust Record")</f>
        <v>HathiTrust Record</v>
      </c>
      <c r="AV3524" s="6" t="str">
        <f>HYPERLINK("http://mcgill.on.worldcat.org/oclc/54391996","Catalog Record")</f>
        <v>Catalog Record</v>
      </c>
      <c r="AW3524" s="6" t="str">
        <f>HYPERLINK("http://www.worldcat.org/oclc/54391996","WorldCat Record")</f>
        <v>WorldCat Record</v>
      </c>
      <c r="AX3524" s="3" t="s">
        <v>33969</v>
      </c>
      <c r="AY3524" s="3" t="s">
        <v>33970</v>
      </c>
      <c r="AZ3524" s="3" t="s">
        <v>33971</v>
      </c>
      <c r="BA3524" s="3" t="s">
        <v>33971</v>
      </c>
      <c r="BB3524" s="3" t="s">
        <v>33975</v>
      </c>
      <c r="BC3524" s="3" t="s">
        <v>142</v>
      </c>
      <c r="BD3524" s="3" t="s">
        <v>68</v>
      </c>
      <c r="BE3524" s="3" t="s">
        <v>33973</v>
      </c>
      <c r="BF3524" s="3" t="s">
        <v>33975</v>
      </c>
      <c r="BG3524" s="3" t="s">
        <v>33976</v>
      </c>
    </row>
    <row r="3525" spans="1:59" ht="57" x14ac:dyDescent="0.45">
      <c r="A3525" s="2" t="s">
        <v>59</v>
      </c>
      <c r="B3525" s="2" t="s">
        <v>412</v>
      </c>
      <c r="C3525" s="2" t="s">
        <v>33977</v>
      </c>
      <c r="D3525" s="2" t="s">
        <v>33978</v>
      </c>
      <c r="E3525" s="2" t="s">
        <v>33979</v>
      </c>
      <c r="G3525" s="3" t="s">
        <v>61</v>
      </c>
      <c r="I3525" s="3" t="s">
        <v>62</v>
      </c>
      <c r="J3525" s="3" t="s">
        <v>62</v>
      </c>
      <c r="K3525" s="3" t="s">
        <v>63</v>
      </c>
      <c r="L3525" s="2" t="s">
        <v>33679</v>
      </c>
      <c r="M3525" s="2" t="s">
        <v>33980</v>
      </c>
      <c r="N3525" s="3" t="s">
        <v>542</v>
      </c>
      <c r="P3525" s="3" t="s">
        <v>65</v>
      </c>
      <c r="R3525" s="3" t="s">
        <v>66</v>
      </c>
      <c r="S3525" s="4">
        <v>20</v>
      </c>
      <c r="T3525" s="4">
        <v>20</v>
      </c>
      <c r="U3525" s="5" t="s">
        <v>26916</v>
      </c>
      <c r="V3525" s="5" t="s">
        <v>26916</v>
      </c>
      <c r="W3525" s="5" t="s">
        <v>67</v>
      </c>
      <c r="X3525" s="5" t="s">
        <v>67</v>
      </c>
      <c r="Y3525" s="4">
        <v>659</v>
      </c>
      <c r="Z3525" s="4">
        <v>24</v>
      </c>
      <c r="AA3525" s="4">
        <v>111</v>
      </c>
      <c r="AB3525" s="4">
        <v>2</v>
      </c>
      <c r="AC3525" s="4">
        <v>18</v>
      </c>
      <c r="AD3525" s="4">
        <v>98</v>
      </c>
      <c r="AE3525" s="4">
        <v>144</v>
      </c>
      <c r="AF3525" s="4">
        <v>1</v>
      </c>
      <c r="AG3525" s="4">
        <v>8</v>
      </c>
      <c r="AH3525" s="4">
        <v>89</v>
      </c>
      <c r="AI3525" s="4">
        <v>106</v>
      </c>
      <c r="AJ3525" s="4">
        <v>13</v>
      </c>
      <c r="AK3525" s="4">
        <v>26</v>
      </c>
      <c r="AL3525" s="4">
        <v>45</v>
      </c>
      <c r="AM3525" s="4">
        <v>53</v>
      </c>
      <c r="AN3525" s="4">
        <v>0</v>
      </c>
      <c r="AO3525" s="4">
        <v>0</v>
      </c>
      <c r="AP3525" s="4">
        <v>17</v>
      </c>
      <c r="AQ3525" s="4">
        <v>48</v>
      </c>
      <c r="AR3525" s="3" t="s">
        <v>62</v>
      </c>
      <c r="AS3525" s="3" t="s">
        <v>62</v>
      </c>
      <c r="AT3525" s="3" t="s">
        <v>61</v>
      </c>
      <c r="AU3525" s="6" t="str">
        <f>HYPERLINK("http://catalog.hathitrust.org/Record/004133261","HathiTrust Record")</f>
        <v>HathiTrust Record</v>
      </c>
      <c r="AV3525" s="6" t="str">
        <f>HYPERLINK("http://mcgill.on.worldcat.org/oclc/43615860","Catalog Record")</f>
        <v>Catalog Record</v>
      </c>
      <c r="AW3525" s="6" t="str">
        <f>HYPERLINK("http://www.worldcat.org/oclc/43615860","WorldCat Record")</f>
        <v>WorldCat Record</v>
      </c>
      <c r="AX3525" s="3" t="s">
        <v>33981</v>
      </c>
      <c r="AY3525" s="3" t="s">
        <v>33982</v>
      </c>
      <c r="AZ3525" s="3" t="s">
        <v>33983</v>
      </c>
      <c r="BA3525" s="3" t="s">
        <v>33983</v>
      </c>
      <c r="BB3525" s="3" t="s">
        <v>33984</v>
      </c>
      <c r="BC3525" s="3" t="s">
        <v>142</v>
      </c>
      <c r="BD3525" s="3" t="s">
        <v>68</v>
      </c>
      <c r="BE3525" s="3" t="s">
        <v>33985</v>
      </c>
      <c r="BF3525" s="3" t="s">
        <v>33984</v>
      </c>
      <c r="BG3525" s="3" t="s">
        <v>33986</v>
      </c>
    </row>
    <row r="3526" spans="1:59" ht="57" x14ac:dyDescent="0.45">
      <c r="A3526" s="2" t="s">
        <v>59</v>
      </c>
      <c r="B3526" s="2" t="s">
        <v>60</v>
      </c>
      <c r="C3526" s="2" t="s">
        <v>33987</v>
      </c>
      <c r="D3526" s="2" t="s">
        <v>33988</v>
      </c>
      <c r="E3526" s="2" t="s">
        <v>33989</v>
      </c>
      <c r="G3526" s="3" t="s">
        <v>62</v>
      </c>
      <c r="I3526" s="3" t="s">
        <v>62</v>
      </c>
      <c r="J3526" s="3" t="s">
        <v>62</v>
      </c>
      <c r="K3526" s="3" t="s">
        <v>63</v>
      </c>
      <c r="L3526" s="2" t="s">
        <v>33990</v>
      </c>
      <c r="M3526" s="2" t="s">
        <v>5849</v>
      </c>
      <c r="N3526" s="3" t="s">
        <v>1688</v>
      </c>
      <c r="P3526" s="3" t="s">
        <v>65</v>
      </c>
      <c r="Q3526" s="2" t="s">
        <v>33991</v>
      </c>
      <c r="R3526" s="3" t="s">
        <v>66</v>
      </c>
      <c r="S3526" s="4">
        <v>2</v>
      </c>
      <c r="T3526" s="4">
        <v>2</v>
      </c>
      <c r="U3526" s="5" t="s">
        <v>22260</v>
      </c>
      <c r="V3526" s="5" t="s">
        <v>22260</v>
      </c>
      <c r="W3526" s="5" t="s">
        <v>67</v>
      </c>
      <c r="X3526" s="5" t="s">
        <v>67</v>
      </c>
      <c r="Y3526" s="4">
        <v>84</v>
      </c>
      <c r="Z3526" s="4">
        <v>11</v>
      </c>
      <c r="AA3526" s="4">
        <v>73</v>
      </c>
      <c r="AB3526" s="4">
        <v>2</v>
      </c>
      <c r="AC3526" s="4">
        <v>14</v>
      </c>
      <c r="AD3526" s="4">
        <v>33</v>
      </c>
      <c r="AE3526" s="4">
        <v>90</v>
      </c>
      <c r="AF3526" s="4">
        <v>1</v>
      </c>
      <c r="AG3526" s="4">
        <v>8</v>
      </c>
      <c r="AH3526" s="4">
        <v>31</v>
      </c>
      <c r="AI3526" s="4">
        <v>60</v>
      </c>
      <c r="AJ3526" s="4">
        <v>8</v>
      </c>
      <c r="AK3526" s="4">
        <v>19</v>
      </c>
      <c r="AL3526" s="4">
        <v>21</v>
      </c>
      <c r="AM3526" s="4">
        <v>33</v>
      </c>
      <c r="AN3526" s="4">
        <v>0</v>
      </c>
      <c r="AO3526" s="4">
        <v>0</v>
      </c>
      <c r="AP3526" s="4">
        <v>8</v>
      </c>
      <c r="AQ3526" s="4">
        <v>38</v>
      </c>
      <c r="AR3526" s="3" t="s">
        <v>62</v>
      </c>
      <c r="AS3526" s="3" t="s">
        <v>62</v>
      </c>
      <c r="AT3526" s="3" t="s">
        <v>62</v>
      </c>
      <c r="AV3526" s="6" t="str">
        <f>HYPERLINK("http://mcgill.on.worldcat.org/oclc/870199343","Catalog Record")</f>
        <v>Catalog Record</v>
      </c>
      <c r="AW3526" s="6" t="str">
        <f>HYPERLINK("http://www.worldcat.org/oclc/870199343","WorldCat Record")</f>
        <v>WorldCat Record</v>
      </c>
      <c r="AX3526" s="3" t="s">
        <v>33992</v>
      </c>
      <c r="AY3526" s="3" t="s">
        <v>33993</v>
      </c>
      <c r="AZ3526" s="3" t="s">
        <v>33994</v>
      </c>
      <c r="BA3526" s="3" t="s">
        <v>33994</v>
      </c>
      <c r="BB3526" s="3" t="s">
        <v>33995</v>
      </c>
      <c r="BC3526" s="3" t="s">
        <v>142</v>
      </c>
      <c r="BD3526" s="3" t="s">
        <v>68</v>
      </c>
      <c r="BE3526" s="3" t="s">
        <v>33996</v>
      </c>
      <c r="BF3526" s="3" t="s">
        <v>33995</v>
      </c>
      <c r="BG3526" s="3" t="s">
        <v>33997</v>
      </c>
    </row>
    <row r="3527" spans="1:59" ht="57" x14ac:dyDescent="0.45">
      <c r="A3527" s="2" t="s">
        <v>59</v>
      </c>
      <c r="B3527" s="2" t="s">
        <v>60</v>
      </c>
      <c r="C3527" s="2" t="s">
        <v>33998</v>
      </c>
      <c r="D3527" s="2" t="s">
        <v>33999</v>
      </c>
      <c r="E3527" s="2" t="s">
        <v>34000</v>
      </c>
      <c r="G3527" s="3" t="s">
        <v>62</v>
      </c>
      <c r="I3527" s="3" t="s">
        <v>62</v>
      </c>
      <c r="J3527" s="3" t="s">
        <v>62</v>
      </c>
      <c r="K3527" s="3" t="s">
        <v>63</v>
      </c>
      <c r="L3527" s="2" t="s">
        <v>34001</v>
      </c>
      <c r="M3527" s="2" t="s">
        <v>34002</v>
      </c>
      <c r="N3527" s="3" t="s">
        <v>149</v>
      </c>
      <c r="P3527" s="3" t="s">
        <v>110</v>
      </c>
      <c r="Q3527" s="2" t="s">
        <v>34003</v>
      </c>
      <c r="R3527" s="3" t="s">
        <v>66</v>
      </c>
      <c r="S3527" s="4">
        <v>26</v>
      </c>
      <c r="T3527" s="4">
        <v>26</v>
      </c>
      <c r="U3527" s="5" t="s">
        <v>8982</v>
      </c>
      <c r="V3527" s="5" t="s">
        <v>8982</v>
      </c>
      <c r="W3527" s="5" t="s">
        <v>67</v>
      </c>
      <c r="X3527" s="5" t="s">
        <v>67</v>
      </c>
      <c r="Y3527" s="4">
        <v>27</v>
      </c>
      <c r="Z3527" s="4">
        <v>20</v>
      </c>
      <c r="AA3527" s="4">
        <v>36</v>
      </c>
      <c r="AB3527" s="4">
        <v>10</v>
      </c>
      <c r="AC3527" s="4">
        <v>13</v>
      </c>
      <c r="AD3527" s="4">
        <v>14</v>
      </c>
      <c r="AE3527" s="4">
        <v>32</v>
      </c>
      <c r="AF3527" s="4">
        <v>5</v>
      </c>
      <c r="AG3527" s="4">
        <v>7</v>
      </c>
      <c r="AH3527" s="4">
        <v>6</v>
      </c>
      <c r="AI3527" s="4">
        <v>16</v>
      </c>
      <c r="AJ3527" s="4">
        <v>11</v>
      </c>
      <c r="AK3527" s="4">
        <v>20</v>
      </c>
      <c r="AL3527" s="4">
        <v>0</v>
      </c>
      <c r="AM3527" s="4">
        <v>5</v>
      </c>
      <c r="AN3527" s="4">
        <v>0</v>
      </c>
      <c r="AO3527" s="4">
        <v>0</v>
      </c>
      <c r="AP3527" s="4">
        <v>12</v>
      </c>
      <c r="AQ3527" s="4">
        <v>25</v>
      </c>
      <c r="AR3527" s="3" t="s">
        <v>61</v>
      </c>
      <c r="AS3527" s="3" t="s">
        <v>62</v>
      </c>
      <c r="AT3527" s="3" t="s">
        <v>62</v>
      </c>
      <c r="AV3527" s="6" t="str">
        <f>HYPERLINK("http://mcgill.on.worldcat.org/oclc/665192779","Catalog Record")</f>
        <v>Catalog Record</v>
      </c>
      <c r="AW3527" s="6" t="str">
        <f>HYPERLINK("http://www.worldcat.org/oclc/665192779","WorldCat Record")</f>
        <v>WorldCat Record</v>
      </c>
      <c r="AX3527" s="3" t="s">
        <v>34004</v>
      </c>
      <c r="AY3527" s="3" t="s">
        <v>34005</v>
      </c>
      <c r="AZ3527" s="3" t="s">
        <v>34006</v>
      </c>
      <c r="BA3527" s="3" t="s">
        <v>34006</v>
      </c>
      <c r="BB3527" s="3" t="s">
        <v>34007</v>
      </c>
      <c r="BC3527" s="3" t="s">
        <v>142</v>
      </c>
      <c r="BD3527" s="3" t="s">
        <v>308</v>
      </c>
      <c r="BE3527" s="3" t="s">
        <v>34008</v>
      </c>
      <c r="BF3527" s="3" t="s">
        <v>34007</v>
      </c>
      <c r="BG3527" s="3" t="s">
        <v>34009</v>
      </c>
    </row>
    <row r="3528" spans="1:59" ht="57" x14ac:dyDescent="0.45">
      <c r="A3528" s="2" t="s">
        <v>59</v>
      </c>
      <c r="B3528" s="2" t="s">
        <v>60</v>
      </c>
      <c r="C3528" s="2" t="s">
        <v>34010</v>
      </c>
      <c r="D3528" s="2" t="s">
        <v>34011</v>
      </c>
      <c r="E3528" s="2" t="s">
        <v>34012</v>
      </c>
      <c r="G3528" s="3" t="s">
        <v>62</v>
      </c>
      <c r="I3528" s="3" t="s">
        <v>61</v>
      </c>
      <c r="J3528" s="3" t="s">
        <v>62</v>
      </c>
      <c r="K3528" s="3" t="s">
        <v>63</v>
      </c>
      <c r="M3528" s="2" t="s">
        <v>34013</v>
      </c>
      <c r="N3528" s="3" t="s">
        <v>918</v>
      </c>
      <c r="O3528" s="2" t="s">
        <v>168</v>
      </c>
      <c r="P3528" s="3" t="s">
        <v>65</v>
      </c>
      <c r="R3528" s="3" t="s">
        <v>66</v>
      </c>
      <c r="S3528" s="4">
        <v>12</v>
      </c>
      <c r="T3528" s="4">
        <v>25</v>
      </c>
      <c r="U3528" s="5" t="s">
        <v>34014</v>
      </c>
      <c r="V3528" s="5" t="s">
        <v>8982</v>
      </c>
      <c r="W3528" s="5" t="s">
        <v>67</v>
      </c>
      <c r="X3528" s="5" t="s">
        <v>67</v>
      </c>
      <c r="Y3528" s="4">
        <v>319</v>
      </c>
      <c r="Z3528" s="4">
        <v>20</v>
      </c>
      <c r="AA3528" s="4">
        <v>26</v>
      </c>
      <c r="AB3528" s="4">
        <v>2</v>
      </c>
      <c r="AC3528" s="4">
        <v>6</v>
      </c>
      <c r="AD3528" s="4">
        <v>96</v>
      </c>
      <c r="AE3528" s="4">
        <v>102</v>
      </c>
      <c r="AF3528" s="4">
        <v>0</v>
      </c>
      <c r="AG3528" s="4">
        <v>3</v>
      </c>
      <c r="AH3528" s="4">
        <v>87</v>
      </c>
      <c r="AI3528" s="4">
        <v>89</v>
      </c>
      <c r="AJ3528" s="4">
        <v>14</v>
      </c>
      <c r="AK3528" s="4">
        <v>18</v>
      </c>
      <c r="AL3528" s="4">
        <v>53</v>
      </c>
      <c r="AM3528" s="4">
        <v>54</v>
      </c>
      <c r="AN3528" s="4">
        <v>0</v>
      </c>
      <c r="AO3528" s="4">
        <v>0</v>
      </c>
      <c r="AP3528" s="4">
        <v>16</v>
      </c>
      <c r="AQ3528" s="4">
        <v>20</v>
      </c>
      <c r="AR3528" s="3" t="s">
        <v>62</v>
      </c>
      <c r="AS3528" s="3" t="s">
        <v>62</v>
      </c>
      <c r="AT3528" s="3" t="s">
        <v>62</v>
      </c>
      <c r="AV3528" s="6" t="str">
        <f>HYPERLINK("http://mcgill.on.worldcat.org/oclc/51983216","Catalog Record")</f>
        <v>Catalog Record</v>
      </c>
      <c r="AW3528" s="6" t="str">
        <f>HYPERLINK("http://www.worldcat.org/oclc/51983216","WorldCat Record")</f>
        <v>WorldCat Record</v>
      </c>
      <c r="AX3528" s="3" t="s">
        <v>34015</v>
      </c>
      <c r="AY3528" s="3" t="s">
        <v>34016</v>
      </c>
      <c r="AZ3528" s="3" t="s">
        <v>34017</v>
      </c>
      <c r="BA3528" s="3" t="s">
        <v>34017</v>
      </c>
      <c r="BB3528" s="3" t="s">
        <v>34018</v>
      </c>
      <c r="BC3528" s="3" t="s">
        <v>142</v>
      </c>
      <c r="BD3528" s="3" t="s">
        <v>68</v>
      </c>
      <c r="BE3528" s="3" t="s">
        <v>34019</v>
      </c>
      <c r="BF3528" s="3" t="s">
        <v>34018</v>
      </c>
      <c r="BG3528" s="3" t="s">
        <v>34020</v>
      </c>
    </row>
    <row r="3529" spans="1:59" ht="57" x14ac:dyDescent="0.45">
      <c r="A3529" s="2" t="s">
        <v>59</v>
      </c>
      <c r="B3529" s="2" t="s">
        <v>60</v>
      </c>
      <c r="C3529" s="2" t="s">
        <v>34010</v>
      </c>
      <c r="D3529" s="2" t="s">
        <v>34011</v>
      </c>
      <c r="E3529" s="2" t="s">
        <v>34012</v>
      </c>
      <c r="G3529" s="3" t="s">
        <v>62</v>
      </c>
      <c r="I3529" s="3" t="s">
        <v>61</v>
      </c>
      <c r="J3529" s="3" t="s">
        <v>62</v>
      </c>
      <c r="K3529" s="3" t="s">
        <v>63</v>
      </c>
      <c r="M3529" s="2" t="s">
        <v>34013</v>
      </c>
      <c r="N3529" s="3" t="s">
        <v>918</v>
      </c>
      <c r="O3529" s="2" t="s">
        <v>168</v>
      </c>
      <c r="P3529" s="3" t="s">
        <v>65</v>
      </c>
      <c r="R3529" s="3" t="s">
        <v>66</v>
      </c>
      <c r="S3529" s="4">
        <v>13</v>
      </c>
      <c r="T3529" s="4">
        <v>25</v>
      </c>
      <c r="U3529" s="5" t="s">
        <v>8982</v>
      </c>
      <c r="V3529" s="5" t="s">
        <v>8982</v>
      </c>
      <c r="W3529" s="5" t="s">
        <v>67</v>
      </c>
      <c r="X3529" s="5" t="s">
        <v>67</v>
      </c>
      <c r="Y3529" s="4">
        <v>319</v>
      </c>
      <c r="Z3529" s="4">
        <v>20</v>
      </c>
      <c r="AA3529" s="4">
        <v>26</v>
      </c>
      <c r="AB3529" s="4">
        <v>2</v>
      </c>
      <c r="AC3529" s="4">
        <v>6</v>
      </c>
      <c r="AD3529" s="4">
        <v>96</v>
      </c>
      <c r="AE3529" s="4">
        <v>102</v>
      </c>
      <c r="AF3529" s="4">
        <v>0</v>
      </c>
      <c r="AG3529" s="4">
        <v>3</v>
      </c>
      <c r="AH3529" s="4">
        <v>87</v>
      </c>
      <c r="AI3529" s="4">
        <v>89</v>
      </c>
      <c r="AJ3529" s="4">
        <v>14</v>
      </c>
      <c r="AK3529" s="4">
        <v>18</v>
      </c>
      <c r="AL3529" s="4">
        <v>53</v>
      </c>
      <c r="AM3529" s="4">
        <v>54</v>
      </c>
      <c r="AN3529" s="4">
        <v>0</v>
      </c>
      <c r="AO3529" s="4">
        <v>0</v>
      </c>
      <c r="AP3529" s="4">
        <v>16</v>
      </c>
      <c r="AQ3529" s="4">
        <v>20</v>
      </c>
      <c r="AR3529" s="3" t="s">
        <v>62</v>
      </c>
      <c r="AS3529" s="3" t="s">
        <v>62</v>
      </c>
      <c r="AT3529" s="3" t="s">
        <v>62</v>
      </c>
      <c r="AV3529" s="6" t="str">
        <f>HYPERLINK("http://mcgill.on.worldcat.org/oclc/51983216","Catalog Record")</f>
        <v>Catalog Record</v>
      </c>
      <c r="AW3529" s="6" t="str">
        <f>HYPERLINK("http://www.worldcat.org/oclc/51983216","WorldCat Record")</f>
        <v>WorldCat Record</v>
      </c>
      <c r="AX3529" s="3" t="s">
        <v>34015</v>
      </c>
      <c r="AY3529" s="3" t="s">
        <v>34016</v>
      </c>
      <c r="AZ3529" s="3" t="s">
        <v>34017</v>
      </c>
      <c r="BA3529" s="3" t="s">
        <v>34017</v>
      </c>
      <c r="BB3529" s="3" t="s">
        <v>34021</v>
      </c>
      <c r="BC3529" s="3" t="s">
        <v>142</v>
      </c>
      <c r="BD3529" s="3" t="s">
        <v>68</v>
      </c>
      <c r="BE3529" s="3" t="s">
        <v>34019</v>
      </c>
      <c r="BF3529" s="3" t="s">
        <v>34021</v>
      </c>
      <c r="BG3529" s="3" t="s">
        <v>34022</v>
      </c>
    </row>
    <row r="3530" spans="1:59" ht="57" x14ac:dyDescent="0.45">
      <c r="A3530" s="2" t="s">
        <v>59</v>
      </c>
      <c r="B3530" s="2" t="s">
        <v>412</v>
      </c>
      <c r="C3530" s="2" t="s">
        <v>34023</v>
      </c>
      <c r="D3530" s="2" t="s">
        <v>34024</v>
      </c>
      <c r="E3530" s="2" t="s">
        <v>34025</v>
      </c>
      <c r="G3530" s="3" t="s">
        <v>62</v>
      </c>
      <c r="I3530" s="3" t="s">
        <v>62</v>
      </c>
      <c r="J3530" s="3" t="s">
        <v>62</v>
      </c>
      <c r="K3530" s="3" t="s">
        <v>63</v>
      </c>
      <c r="L3530" s="2" t="s">
        <v>34026</v>
      </c>
      <c r="M3530" s="2" t="s">
        <v>34027</v>
      </c>
      <c r="N3530" s="3" t="s">
        <v>1918</v>
      </c>
      <c r="P3530" s="3" t="s">
        <v>65</v>
      </c>
      <c r="Q3530" s="2" t="s">
        <v>34028</v>
      </c>
      <c r="R3530" s="3" t="s">
        <v>66</v>
      </c>
      <c r="S3530" s="4">
        <v>1</v>
      </c>
      <c r="T3530" s="4">
        <v>1</v>
      </c>
      <c r="U3530" s="5" t="s">
        <v>24342</v>
      </c>
      <c r="V3530" s="5" t="s">
        <v>24342</v>
      </c>
      <c r="W3530" s="5" t="s">
        <v>67</v>
      </c>
      <c r="X3530" s="5" t="s">
        <v>67</v>
      </c>
      <c r="Y3530" s="4">
        <v>32</v>
      </c>
      <c r="Z3530" s="4">
        <v>1</v>
      </c>
      <c r="AA3530" s="4">
        <v>7</v>
      </c>
      <c r="AB3530" s="4">
        <v>1</v>
      </c>
      <c r="AC3530" s="4">
        <v>4</v>
      </c>
      <c r="AD3530" s="4">
        <v>10</v>
      </c>
      <c r="AE3530" s="4">
        <v>24</v>
      </c>
      <c r="AF3530" s="4">
        <v>0</v>
      </c>
      <c r="AG3530" s="4">
        <v>0</v>
      </c>
      <c r="AH3530" s="4">
        <v>10</v>
      </c>
      <c r="AI3530" s="4">
        <v>24</v>
      </c>
      <c r="AJ3530" s="4">
        <v>0</v>
      </c>
      <c r="AK3530" s="4">
        <v>3</v>
      </c>
      <c r="AL3530" s="4">
        <v>9</v>
      </c>
      <c r="AM3530" s="4">
        <v>17</v>
      </c>
      <c r="AN3530" s="4">
        <v>0</v>
      </c>
      <c r="AO3530" s="4">
        <v>0</v>
      </c>
      <c r="AP3530" s="4">
        <v>0</v>
      </c>
      <c r="AQ3530" s="4">
        <v>3</v>
      </c>
      <c r="AR3530" s="3" t="s">
        <v>62</v>
      </c>
      <c r="AS3530" s="3" t="s">
        <v>62</v>
      </c>
      <c r="AT3530" s="3" t="s">
        <v>62</v>
      </c>
      <c r="AV3530" s="6" t="str">
        <f>HYPERLINK("http://mcgill.on.worldcat.org/oclc/959538741","Catalog Record")</f>
        <v>Catalog Record</v>
      </c>
      <c r="AW3530" s="6" t="str">
        <f>HYPERLINK("http://www.worldcat.org/oclc/959538741","WorldCat Record")</f>
        <v>WorldCat Record</v>
      </c>
      <c r="AX3530" s="3" t="s">
        <v>34029</v>
      </c>
      <c r="AY3530" s="3" t="s">
        <v>34030</v>
      </c>
      <c r="AZ3530" s="3" t="s">
        <v>34031</v>
      </c>
      <c r="BA3530" s="3" t="s">
        <v>34031</v>
      </c>
      <c r="BB3530" s="3" t="s">
        <v>34032</v>
      </c>
      <c r="BC3530" s="3" t="s">
        <v>142</v>
      </c>
      <c r="BD3530" s="3" t="s">
        <v>68</v>
      </c>
      <c r="BE3530" s="3" t="s">
        <v>34033</v>
      </c>
      <c r="BF3530" s="3" t="s">
        <v>34032</v>
      </c>
      <c r="BG3530" s="3" t="s">
        <v>34034</v>
      </c>
    </row>
    <row r="3531" spans="1:59" ht="57" x14ac:dyDescent="0.45">
      <c r="A3531" s="2" t="s">
        <v>59</v>
      </c>
      <c r="B3531" s="2" t="s">
        <v>60</v>
      </c>
      <c r="C3531" s="2" t="s">
        <v>34035</v>
      </c>
      <c r="D3531" s="2" t="s">
        <v>34036</v>
      </c>
      <c r="E3531" s="2" t="s">
        <v>34037</v>
      </c>
      <c r="G3531" s="3" t="s">
        <v>62</v>
      </c>
      <c r="I3531" s="3" t="s">
        <v>62</v>
      </c>
      <c r="J3531" s="3" t="s">
        <v>62</v>
      </c>
      <c r="K3531" s="3" t="s">
        <v>63</v>
      </c>
      <c r="L3531" s="2" t="s">
        <v>34038</v>
      </c>
      <c r="M3531" s="2" t="s">
        <v>34039</v>
      </c>
      <c r="N3531" s="3" t="s">
        <v>116</v>
      </c>
      <c r="P3531" s="3" t="s">
        <v>110</v>
      </c>
      <c r="R3531" s="3" t="s">
        <v>66</v>
      </c>
      <c r="S3531" s="4">
        <v>0</v>
      </c>
      <c r="T3531" s="4">
        <v>0</v>
      </c>
      <c r="W3531" s="5" t="s">
        <v>67</v>
      </c>
      <c r="X3531" s="5" t="s">
        <v>67</v>
      </c>
      <c r="Y3531" s="4">
        <v>19</v>
      </c>
      <c r="Z3531" s="4">
        <v>4</v>
      </c>
      <c r="AA3531" s="4">
        <v>5</v>
      </c>
      <c r="AB3531" s="4">
        <v>1</v>
      </c>
      <c r="AC3531" s="4">
        <v>1</v>
      </c>
      <c r="AD3531" s="4">
        <v>12</v>
      </c>
      <c r="AE3531" s="4">
        <v>13</v>
      </c>
      <c r="AF3531" s="4">
        <v>0</v>
      </c>
      <c r="AG3531" s="4">
        <v>0</v>
      </c>
      <c r="AH3531" s="4">
        <v>11</v>
      </c>
      <c r="AI3531" s="4">
        <v>12</v>
      </c>
      <c r="AJ3531" s="4">
        <v>2</v>
      </c>
      <c r="AK3531" s="4">
        <v>3</v>
      </c>
      <c r="AL3531" s="4">
        <v>10</v>
      </c>
      <c r="AM3531" s="4">
        <v>10</v>
      </c>
      <c r="AN3531" s="4">
        <v>0</v>
      </c>
      <c r="AO3531" s="4">
        <v>0</v>
      </c>
      <c r="AP3531" s="4">
        <v>2</v>
      </c>
      <c r="AQ3531" s="4">
        <v>3</v>
      </c>
      <c r="AR3531" s="3" t="s">
        <v>62</v>
      </c>
      <c r="AS3531" s="3" t="s">
        <v>62</v>
      </c>
      <c r="AT3531" s="3" t="s">
        <v>62</v>
      </c>
      <c r="AV3531" s="6" t="str">
        <f>HYPERLINK("http://mcgill.on.worldcat.org/oclc/849888313","Catalog Record")</f>
        <v>Catalog Record</v>
      </c>
      <c r="AW3531" s="6" t="str">
        <f>HYPERLINK("http://www.worldcat.org/oclc/849888313","WorldCat Record")</f>
        <v>WorldCat Record</v>
      </c>
      <c r="AX3531" s="3" t="s">
        <v>34040</v>
      </c>
      <c r="AY3531" s="3" t="s">
        <v>34041</v>
      </c>
      <c r="AZ3531" s="3" t="s">
        <v>34042</v>
      </c>
      <c r="BA3531" s="3" t="s">
        <v>34042</v>
      </c>
      <c r="BB3531" s="3" t="s">
        <v>34043</v>
      </c>
      <c r="BC3531" s="3" t="s">
        <v>142</v>
      </c>
      <c r="BD3531" s="3" t="s">
        <v>68</v>
      </c>
      <c r="BE3531" s="3" t="s">
        <v>34044</v>
      </c>
      <c r="BF3531" s="3" t="s">
        <v>34043</v>
      </c>
      <c r="BG3531" s="3" t="s">
        <v>34045</v>
      </c>
    </row>
    <row r="3532" spans="1:59" ht="57" x14ac:dyDescent="0.45">
      <c r="A3532" s="2" t="s">
        <v>59</v>
      </c>
      <c r="B3532" s="2" t="s">
        <v>60</v>
      </c>
      <c r="C3532" s="2" t="s">
        <v>34046</v>
      </c>
      <c r="D3532" s="2" t="s">
        <v>34047</v>
      </c>
      <c r="E3532" s="2" t="s">
        <v>34048</v>
      </c>
      <c r="G3532" s="3" t="s">
        <v>62</v>
      </c>
      <c r="I3532" s="3" t="s">
        <v>62</v>
      </c>
      <c r="J3532" s="3" t="s">
        <v>62</v>
      </c>
      <c r="K3532" s="3" t="s">
        <v>63</v>
      </c>
      <c r="L3532" s="2" t="s">
        <v>34049</v>
      </c>
      <c r="M3532" s="2" t="s">
        <v>34050</v>
      </c>
      <c r="N3532" s="3" t="s">
        <v>945</v>
      </c>
      <c r="P3532" s="3" t="s">
        <v>65</v>
      </c>
      <c r="Q3532" s="2" t="s">
        <v>34051</v>
      </c>
      <c r="R3532" s="3" t="s">
        <v>66</v>
      </c>
      <c r="S3532" s="4">
        <v>10</v>
      </c>
      <c r="T3532" s="4">
        <v>10</v>
      </c>
      <c r="U3532" s="5" t="s">
        <v>34052</v>
      </c>
      <c r="V3532" s="5" t="s">
        <v>34052</v>
      </c>
      <c r="W3532" s="5" t="s">
        <v>67</v>
      </c>
      <c r="X3532" s="5" t="s">
        <v>67</v>
      </c>
      <c r="Y3532" s="4">
        <v>138</v>
      </c>
      <c r="Z3532" s="4">
        <v>9</v>
      </c>
      <c r="AA3532" s="4">
        <v>47</v>
      </c>
      <c r="AB3532" s="4">
        <v>1</v>
      </c>
      <c r="AC3532" s="4">
        <v>13</v>
      </c>
      <c r="AD3532" s="4">
        <v>54</v>
      </c>
      <c r="AE3532" s="4">
        <v>107</v>
      </c>
      <c r="AF3532" s="4">
        <v>0</v>
      </c>
      <c r="AG3532" s="4">
        <v>8</v>
      </c>
      <c r="AH3532" s="4">
        <v>49</v>
      </c>
      <c r="AI3532" s="4">
        <v>76</v>
      </c>
      <c r="AJ3532" s="4">
        <v>7</v>
      </c>
      <c r="AK3532" s="4">
        <v>22</v>
      </c>
      <c r="AL3532" s="4">
        <v>29</v>
      </c>
      <c r="AM3532" s="4">
        <v>41</v>
      </c>
      <c r="AN3532" s="4">
        <v>0</v>
      </c>
      <c r="AO3532" s="4">
        <v>0</v>
      </c>
      <c r="AP3532" s="4">
        <v>8</v>
      </c>
      <c r="AQ3532" s="4">
        <v>40</v>
      </c>
      <c r="AR3532" s="3" t="s">
        <v>62</v>
      </c>
      <c r="AS3532" s="3" t="s">
        <v>62</v>
      </c>
      <c r="AT3532" s="3" t="s">
        <v>62</v>
      </c>
      <c r="AV3532" s="6" t="str">
        <f>HYPERLINK("http://mcgill.on.worldcat.org/oclc/77257387","Catalog Record")</f>
        <v>Catalog Record</v>
      </c>
      <c r="AW3532" s="6" t="str">
        <f>HYPERLINK("http://www.worldcat.org/oclc/77257387","WorldCat Record")</f>
        <v>WorldCat Record</v>
      </c>
      <c r="AX3532" s="3" t="s">
        <v>34053</v>
      </c>
      <c r="AY3532" s="3" t="s">
        <v>34054</v>
      </c>
      <c r="AZ3532" s="3" t="s">
        <v>34055</v>
      </c>
      <c r="BA3532" s="3" t="s">
        <v>34055</v>
      </c>
      <c r="BB3532" s="3" t="s">
        <v>34056</v>
      </c>
      <c r="BC3532" s="3" t="s">
        <v>142</v>
      </c>
      <c r="BD3532" s="3" t="s">
        <v>68</v>
      </c>
      <c r="BE3532" s="3" t="s">
        <v>34057</v>
      </c>
      <c r="BF3532" s="3" t="s">
        <v>34056</v>
      </c>
      <c r="BG3532" s="3" t="s">
        <v>34058</v>
      </c>
    </row>
    <row r="3533" spans="1:59" ht="57" x14ac:dyDescent="0.45">
      <c r="A3533" s="2" t="s">
        <v>59</v>
      </c>
      <c r="B3533" s="2" t="s">
        <v>60</v>
      </c>
      <c r="C3533" s="2" t="s">
        <v>34059</v>
      </c>
      <c r="D3533" s="2" t="s">
        <v>34060</v>
      </c>
      <c r="E3533" s="2" t="s">
        <v>34061</v>
      </c>
      <c r="G3533" s="3" t="s">
        <v>62</v>
      </c>
      <c r="I3533" s="3" t="s">
        <v>62</v>
      </c>
      <c r="J3533" s="3" t="s">
        <v>62</v>
      </c>
      <c r="K3533" s="3" t="s">
        <v>63</v>
      </c>
      <c r="M3533" s="2" t="s">
        <v>34062</v>
      </c>
      <c r="N3533" s="3" t="s">
        <v>1465</v>
      </c>
      <c r="P3533" s="3" t="s">
        <v>65</v>
      </c>
      <c r="Q3533" s="2" t="s">
        <v>5121</v>
      </c>
      <c r="R3533" s="3" t="s">
        <v>66</v>
      </c>
      <c r="S3533" s="4">
        <v>10</v>
      </c>
      <c r="T3533" s="4">
        <v>10</v>
      </c>
      <c r="U3533" s="5" t="s">
        <v>30617</v>
      </c>
      <c r="V3533" s="5" t="s">
        <v>30617</v>
      </c>
      <c r="W3533" s="5" t="s">
        <v>67</v>
      </c>
      <c r="X3533" s="5" t="s">
        <v>67</v>
      </c>
      <c r="Y3533" s="4">
        <v>253</v>
      </c>
      <c r="Z3533" s="4">
        <v>19</v>
      </c>
      <c r="AA3533" s="4">
        <v>94</v>
      </c>
      <c r="AB3533" s="4">
        <v>3</v>
      </c>
      <c r="AC3533" s="4">
        <v>18</v>
      </c>
      <c r="AD3533" s="4">
        <v>67</v>
      </c>
      <c r="AE3533" s="4">
        <v>130</v>
      </c>
      <c r="AF3533" s="4">
        <v>1</v>
      </c>
      <c r="AG3533" s="4">
        <v>8</v>
      </c>
      <c r="AH3533" s="4">
        <v>57</v>
      </c>
      <c r="AI3533" s="4">
        <v>88</v>
      </c>
      <c r="AJ3533" s="4">
        <v>13</v>
      </c>
      <c r="AK3533" s="4">
        <v>26</v>
      </c>
      <c r="AL3533" s="4">
        <v>36</v>
      </c>
      <c r="AM3533" s="4">
        <v>49</v>
      </c>
      <c r="AN3533" s="4">
        <v>0</v>
      </c>
      <c r="AO3533" s="4">
        <v>0</v>
      </c>
      <c r="AP3533" s="4">
        <v>16</v>
      </c>
      <c r="AQ3533" s="4">
        <v>53</v>
      </c>
      <c r="AR3533" s="3" t="s">
        <v>62</v>
      </c>
      <c r="AS3533" s="3" t="s">
        <v>62</v>
      </c>
      <c r="AT3533" s="3" t="s">
        <v>62</v>
      </c>
      <c r="AV3533" s="6" t="str">
        <f>HYPERLINK("http://mcgill.on.worldcat.org/oclc/213400634","Catalog Record")</f>
        <v>Catalog Record</v>
      </c>
      <c r="AW3533" s="6" t="str">
        <f>HYPERLINK("http://www.worldcat.org/oclc/213400634","WorldCat Record")</f>
        <v>WorldCat Record</v>
      </c>
      <c r="AX3533" s="3" t="s">
        <v>34063</v>
      </c>
      <c r="AY3533" s="3" t="s">
        <v>34064</v>
      </c>
      <c r="AZ3533" s="3" t="s">
        <v>34065</v>
      </c>
      <c r="BA3533" s="3" t="s">
        <v>34065</v>
      </c>
      <c r="BB3533" s="3" t="s">
        <v>34066</v>
      </c>
      <c r="BC3533" s="3" t="s">
        <v>142</v>
      </c>
      <c r="BD3533" s="3" t="s">
        <v>68</v>
      </c>
      <c r="BE3533" s="3" t="s">
        <v>34067</v>
      </c>
      <c r="BF3533" s="3" t="s">
        <v>34066</v>
      </c>
      <c r="BG3533" s="3" t="s">
        <v>34068</v>
      </c>
    </row>
    <row r="3534" spans="1:59" ht="57" x14ac:dyDescent="0.45">
      <c r="A3534" s="2" t="s">
        <v>59</v>
      </c>
      <c r="B3534" s="2" t="s">
        <v>60</v>
      </c>
      <c r="C3534" s="2" t="s">
        <v>34069</v>
      </c>
      <c r="D3534" s="2" t="s">
        <v>34070</v>
      </c>
      <c r="E3534" s="2" t="s">
        <v>34071</v>
      </c>
      <c r="G3534" s="3" t="s">
        <v>62</v>
      </c>
      <c r="I3534" s="3" t="s">
        <v>62</v>
      </c>
      <c r="J3534" s="3" t="s">
        <v>62</v>
      </c>
      <c r="K3534" s="3" t="s">
        <v>63</v>
      </c>
      <c r="L3534" s="2" t="s">
        <v>34072</v>
      </c>
      <c r="M3534" s="2" t="s">
        <v>34073</v>
      </c>
      <c r="N3534" s="3" t="s">
        <v>918</v>
      </c>
      <c r="P3534" s="3" t="s">
        <v>65</v>
      </c>
      <c r="Q3534" s="2" t="s">
        <v>34074</v>
      </c>
      <c r="R3534" s="3" t="s">
        <v>66</v>
      </c>
      <c r="S3534" s="4">
        <v>22</v>
      </c>
      <c r="T3534" s="4">
        <v>22</v>
      </c>
      <c r="U3534" s="5" t="s">
        <v>30617</v>
      </c>
      <c r="V3534" s="5" t="s">
        <v>30617</v>
      </c>
      <c r="W3534" s="5" t="s">
        <v>67</v>
      </c>
      <c r="X3534" s="5" t="s">
        <v>67</v>
      </c>
      <c r="Y3534" s="4">
        <v>90</v>
      </c>
      <c r="Z3534" s="4">
        <v>7</v>
      </c>
      <c r="AA3534" s="4">
        <v>9</v>
      </c>
      <c r="AB3534" s="4">
        <v>1</v>
      </c>
      <c r="AC3534" s="4">
        <v>2</v>
      </c>
      <c r="AD3534" s="4">
        <v>44</v>
      </c>
      <c r="AE3534" s="4">
        <v>46</v>
      </c>
      <c r="AF3534" s="4">
        <v>0</v>
      </c>
      <c r="AG3534" s="4">
        <v>1</v>
      </c>
      <c r="AH3534" s="4">
        <v>42</v>
      </c>
      <c r="AI3534" s="4">
        <v>43</v>
      </c>
      <c r="AJ3534" s="4">
        <v>5</v>
      </c>
      <c r="AK3534" s="4">
        <v>7</v>
      </c>
      <c r="AL3534" s="4">
        <v>28</v>
      </c>
      <c r="AM3534" s="4">
        <v>28</v>
      </c>
      <c r="AN3534" s="4">
        <v>0</v>
      </c>
      <c r="AO3534" s="4">
        <v>0</v>
      </c>
      <c r="AP3534" s="4">
        <v>5</v>
      </c>
      <c r="AQ3534" s="4">
        <v>7</v>
      </c>
      <c r="AR3534" s="3" t="s">
        <v>62</v>
      </c>
      <c r="AS3534" s="3" t="s">
        <v>62</v>
      </c>
      <c r="AT3534" s="3" t="s">
        <v>62</v>
      </c>
      <c r="AV3534" s="6" t="str">
        <f>HYPERLINK("http://mcgill.on.worldcat.org/oclc/45460911","Catalog Record")</f>
        <v>Catalog Record</v>
      </c>
      <c r="AW3534" s="6" t="str">
        <f>HYPERLINK("http://www.worldcat.org/oclc/45460911","WorldCat Record")</f>
        <v>WorldCat Record</v>
      </c>
      <c r="AX3534" s="3" t="s">
        <v>34075</v>
      </c>
      <c r="AY3534" s="3" t="s">
        <v>34076</v>
      </c>
      <c r="AZ3534" s="3" t="s">
        <v>34077</v>
      </c>
      <c r="BA3534" s="3" t="s">
        <v>34077</v>
      </c>
      <c r="BB3534" s="3" t="s">
        <v>34078</v>
      </c>
      <c r="BC3534" s="3" t="s">
        <v>142</v>
      </c>
      <c r="BD3534" s="3" t="s">
        <v>68</v>
      </c>
      <c r="BE3534" s="3" t="s">
        <v>34079</v>
      </c>
      <c r="BF3534" s="3" t="s">
        <v>34078</v>
      </c>
      <c r="BG3534" s="3" t="s">
        <v>34080</v>
      </c>
    </row>
    <row r="3535" spans="1:59" ht="57" x14ac:dyDescent="0.45">
      <c r="A3535" s="2" t="s">
        <v>59</v>
      </c>
      <c r="B3535" s="2" t="s">
        <v>60</v>
      </c>
      <c r="C3535" s="2" t="s">
        <v>34081</v>
      </c>
      <c r="D3535" s="2" t="s">
        <v>34082</v>
      </c>
      <c r="E3535" s="2" t="s">
        <v>34083</v>
      </c>
      <c r="G3535" s="3" t="s">
        <v>62</v>
      </c>
      <c r="I3535" s="3" t="s">
        <v>62</v>
      </c>
      <c r="J3535" s="3" t="s">
        <v>62</v>
      </c>
      <c r="K3535" s="3" t="s">
        <v>63</v>
      </c>
      <c r="M3535" s="2" t="s">
        <v>4162</v>
      </c>
      <c r="N3535" s="3" t="s">
        <v>894</v>
      </c>
      <c r="P3535" s="3" t="s">
        <v>65</v>
      </c>
      <c r="Q3535" s="2" t="s">
        <v>34084</v>
      </c>
      <c r="R3535" s="3" t="s">
        <v>66</v>
      </c>
      <c r="S3535" s="4">
        <v>0</v>
      </c>
      <c r="T3535" s="4">
        <v>0</v>
      </c>
      <c r="W3535" s="5" t="s">
        <v>67</v>
      </c>
      <c r="X3535" s="5" t="s">
        <v>67</v>
      </c>
      <c r="Y3535" s="4">
        <v>78</v>
      </c>
      <c r="Z3535" s="4">
        <v>9</v>
      </c>
      <c r="AA3535" s="4">
        <v>88</v>
      </c>
      <c r="AB3535" s="4">
        <v>1</v>
      </c>
      <c r="AC3535" s="4">
        <v>17</v>
      </c>
      <c r="AD3535" s="4">
        <v>36</v>
      </c>
      <c r="AE3535" s="4">
        <v>110</v>
      </c>
      <c r="AF3535" s="4">
        <v>0</v>
      </c>
      <c r="AG3535" s="4">
        <v>8</v>
      </c>
      <c r="AH3535" s="4">
        <v>32</v>
      </c>
      <c r="AI3535" s="4">
        <v>75</v>
      </c>
      <c r="AJ3535" s="4">
        <v>7</v>
      </c>
      <c r="AK3535" s="4">
        <v>21</v>
      </c>
      <c r="AL3535" s="4">
        <v>18</v>
      </c>
      <c r="AM3535" s="4">
        <v>36</v>
      </c>
      <c r="AN3535" s="4">
        <v>0</v>
      </c>
      <c r="AO3535" s="4">
        <v>0</v>
      </c>
      <c r="AP3535" s="4">
        <v>7</v>
      </c>
      <c r="AQ3535" s="4">
        <v>42</v>
      </c>
      <c r="AR3535" s="3" t="s">
        <v>62</v>
      </c>
      <c r="AS3535" s="3" t="s">
        <v>62</v>
      </c>
      <c r="AT3535" s="3" t="s">
        <v>62</v>
      </c>
      <c r="AV3535" s="6" t="str">
        <f>HYPERLINK("http://mcgill.on.worldcat.org/oclc/747099294","Catalog Record")</f>
        <v>Catalog Record</v>
      </c>
      <c r="AW3535" s="6" t="str">
        <f>HYPERLINK("http://www.worldcat.org/oclc/747099294","WorldCat Record")</f>
        <v>WorldCat Record</v>
      </c>
      <c r="AX3535" s="3" t="s">
        <v>34085</v>
      </c>
      <c r="AY3535" s="3" t="s">
        <v>34086</v>
      </c>
      <c r="AZ3535" s="3" t="s">
        <v>34087</v>
      </c>
      <c r="BA3535" s="3" t="s">
        <v>34087</v>
      </c>
      <c r="BB3535" s="3" t="s">
        <v>34088</v>
      </c>
      <c r="BC3535" s="3" t="s">
        <v>142</v>
      </c>
      <c r="BD3535" s="3" t="s">
        <v>68</v>
      </c>
      <c r="BE3535" s="3" t="s">
        <v>34089</v>
      </c>
      <c r="BF3535" s="3" t="s">
        <v>34088</v>
      </c>
      <c r="BG3535" s="3" t="s">
        <v>34090</v>
      </c>
    </row>
    <row r="3536" spans="1:59" ht="57" x14ac:dyDescent="0.45">
      <c r="A3536" s="2" t="s">
        <v>59</v>
      </c>
      <c r="B3536" s="2" t="s">
        <v>60</v>
      </c>
      <c r="C3536" s="2" t="s">
        <v>34091</v>
      </c>
      <c r="D3536" s="2" t="s">
        <v>34092</v>
      </c>
      <c r="E3536" s="2" t="s">
        <v>34093</v>
      </c>
      <c r="G3536" s="3" t="s">
        <v>62</v>
      </c>
      <c r="I3536" s="3" t="s">
        <v>62</v>
      </c>
      <c r="J3536" s="3" t="s">
        <v>62</v>
      </c>
      <c r="K3536" s="3" t="s">
        <v>63</v>
      </c>
      <c r="M3536" s="2" t="s">
        <v>3567</v>
      </c>
      <c r="N3536" s="3" t="s">
        <v>894</v>
      </c>
      <c r="P3536" s="3" t="s">
        <v>65</v>
      </c>
      <c r="Q3536" s="2" t="s">
        <v>34094</v>
      </c>
      <c r="R3536" s="3" t="s">
        <v>66</v>
      </c>
      <c r="S3536" s="4">
        <v>0</v>
      </c>
      <c r="T3536" s="4">
        <v>0</v>
      </c>
      <c r="W3536" s="5" t="s">
        <v>67</v>
      </c>
      <c r="X3536" s="5" t="s">
        <v>67</v>
      </c>
      <c r="Y3536" s="4">
        <v>60</v>
      </c>
      <c r="Z3536" s="4">
        <v>13</v>
      </c>
      <c r="AA3536" s="4">
        <v>32</v>
      </c>
      <c r="AB3536" s="4">
        <v>2</v>
      </c>
      <c r="AC3536" s="4">
        <v>6</v>
      </c>
      <c r="AD3536" s="4">
        <v>29</v>
      </c>
      <c r="AE3536" s="4">
        <v>42</v>
      </c>
      <c r="AF3536" s="4">
        <v>1</v>
      </c>
      <c r="AG3536" s="4">
        <v>3</v>
      </c>
      <c r="AH3536" s="4">
        <v>24</v>
      </c>
      <c r="AI3536" s="4">
        <v>30</v>
      </c>
      <c r="AJ3536" s="4">
        <v>9</v>
      </c>
      <c r="AK3536" s="4">
        <v>12</v>
      </c>
      <c r="AL3536" s="4">
        <v>14</v>
      </c>
      <c r="AM3536" s="4">
        <v>17</v>
      </c>
      <c r="AN3536" s="4">
        <v>0</v>
      </c>
      <c r="AO3536" s="4">
        <v>0</v>
      </c>
      <c r="AP3536" s="4">
        <v>9</v>
      </c>
      <c r="AQ3536" s="4">
        <v>16</v>
      </c>
      <c r="AR3536" s="3" t="s">
        <v>62</v>
      </c>
      <c r="AS3536" s="3" t="s">
        <v>62</v>
      </c>
      <c r="AT3536" s="3" t="s">
        <v>62</v>
      </c>
      <c r="AV3536" s="6" t="str">
        <f>HYPERLINK("http://mcgill.on.worldcat.org/oclc/713189003","Catalog Record")</f>
        <v>Catalog Record</v>
      </c>
      <c r="AW3536" s="6" t="str">
        <f>HYPERLINK("http://www.worldcat.org/oclc/713189003","WorldCat Record")</f>
        <v>WorldCat Record</v>
      </c>
      <c r="AX3536" s="3" t="s">
        <v>34095</v>
      </c>
      <c r="AY3536" s="3" t="s">
        <v>34096</v>
      </c>
      <c r="AZ3536" s="3" t="s">
        <v>34097</v>
      </c>
      <c r="BA3536" s="3" t="s">
        <v>34097</v>
      </c>
      <c r="BB3536" s="3" t="s">
        <v>34098</v>
      </c>
      <c r="BC3536" s="3" t="s">
        <v>142</v>
      </c>
      <c r="BD3536" s="3" t="s">
        <v>68</v>
      </c>
      <c r="BE3536" s="3" t="s">
        <v>34099</v>
      </c>
      <c r="BF3536" s="3" t="s">
        <v>34098</v>
      </c>
      <c r="BG3536" s="3" t="s">
        <v>34100</v>
      </c>
    </row>
    <row r="3537" spans="1:59" ht="57" x14ac:dyDescent="0.45">
      <c r="A3537" s="2" t="s">
        <v>59</v>
      </c>
      <c r="B3537" s="2" t="s">
        <v>60</v>
      </c>
      <c r="C3537" s="2" t="s">
        <v>34101</v>
      </c>
      <c r="D3537" s="2" t="s">
        <v>34102</v>
      </c>
      <c r="E3537" s="2" t="s">
        <v>34103</v>
      </c>
      <c r="G3537" s="3" t="s">
        <v>62</v>
      </c>
      <c r="I3537" s="3" t="s">
        <v>62</v>
      </c>
      <c r="J3537" s="3" t="s">
        <v>62</v>
      </c>
      <c r="K3537" s="3" t="s">
        <v>63</v>
      </c>
      <c r="M3537" s="2" t="s">
        <v>5849</v>
      </c>
      <c r="N3537" s="3" t="s">
        <v>1688</v>
      </c>
      <c r="P3537" s="3" t="s">
        <v>65</v>
      </c>
      <c r="Q3537" s="2" t="s">
        <v>34104</v>
      </c>
      <c r="R3537" s="3" t="s">
        <v>66</v>
      </c>
      <c r="S3537" s="4">
        <v>0</v>
      </c>
      <c r="T3537" s="4">
        <v>0</v>
      </c>
      <c r="W3537" s="5" t="s">
        <v>67</v>
      </c>
      <c r="X3537" s="5" t="s">
        <v>67</v>
      </c>
      <c r="Y3537" s="4">
        <v>82</v>
      </c>
      <c r="Z3537" s="4">
        <v>13</v>
      </c>
      <c r="AA3537" s="4">
        <v>18</v>
      </c>
      <c r="AB3537" s="4">
        <v>1</v>
      </c>
      <c r="AC3537" s="4">
        <v>4</v>
      </c>
      <c r="AD3537" s="4">
        <v>26</v>
      </c>
      <c r="AE3537" s="4">
        <v>32</v>
      </c>
      <c r="AF3537" s="4">
        <v>0</v>
      </c>
      <c r="AG3537" s="4">
        <v>1</v>
      </c>
      <c r="AH3537" s="4">
        <v>24</v>
      </c>
      <c r="AI3537" s="4">
        <v>30</v>
      </c>
      <c r="AJ3537" s="4">
        <v>7</v>
      </c>
      <c r="AK3537" s="4">
        <v>9</v>
      </c>
      <c r="AL3537" s="4">
        <v>17</v>
      </c>
      <c r="AM3537" s="4">
        <v>18</v>
      </c>
      <c r="AN3537" s="4">
        <v>0</v>
      </c>
      <c r="AO3537" s="4">
        <v>0</v>
      </c>
      <c r="AP3537" s="4">
        <v>9</v>
      </c>
      <c r="AQ3537" s="4">
        <v>11</v>
      </c>
      <c r="AR3537" s="3" t="s">
        <v>62</v>
      </c>
      <c r="AS3537" s="3" t="s">
        <v>62</v>
      </c>
      <c r="AT3537" s="3" t="s">
        <v>62</v>
      </c>
      <c r="AV3537" s="6" t="str">
        <f>HYPERLINK("http://mcgill.on.worldcat.org/oclc/859560101","Catalog Record")</f>
        <v>Catalog Record</v>
      </c>
      <c r="AW3537" s="6" t="str">
        <f>HYPERLINK("http://www.worldcat.org/oclc/859560101","WorldCat Record")</f>
        <v>WorldCat Record</v>
      </c>
      <c r="AX3537" s="3" t="s">
        <v>34105</v>
      </c>
      <c r="AY3537" s="3" t="s">
        <v>34106</v>
      </c>
      <c r="AZ3537" s="3" t="s">
        <v>34107</v>
      </c>
      <c r="BA3537" s="3" t="s">
        <v>34107</v>
      </c>
      <c r="BB3537" s="3" t="s">
        <v>34108</v>
      </c>
      <c r="BC3537" s="3" t="s">
        <v>142</v>
      </c>
      <c r="BD3537" s="3" t="s">
        <v>68</v>
      </c>
      <c r="BE3537" s="3" t="s">
        <v>34109</v>
      </c>
      <c r="BF3537" s="3" t="s">
        <v>34108</v>
      </c>
      <c r="BG3537" s="3" t="s">
        <v>34110</v>
      </c>
    </row>
    <row r="3538" spans="1:59" ht="57" x14ac:dyDescent="0.45">
      <c r="A3538" s="2" t="s">
        <v>59</v>
      </c>
      <c r="B3538" s="2" t="s">
        <v>60</v>
      </c>
      <c r="C3538" s="2" t="s">
        <v>34111</v>
      </c>
      <c r="D3538" s="2" t="s">
        <v>34112</v>
      </c>
      <c r="E3538" s="2" t="s">
        <v>34113</v>
      </c>
      <c r="G3538" s="3" t="s">
        <v>62</v>
      </c>
      <c r="I3538" s="3" t="s">
        <v>62</v>
      </c>
      <c r="J3538" s="3" t="s">
        <v>62</v>
      </c>
      <c r="K3538" s="3" t="s">
        <v>63</v>
      </c>
      <c r="M3538" s="2" t="s">
        <v>1829</v>
      </c>
      <c r="N3538" s="3" t="s">
        <v>1437</v>
      </c>
      <c r="P3538" s="3" t="s">
        <v>65</v>
      </c>
      <c r="R3538" s="3" t="s">
        <v>66</v>
      </c>
      <c r="S3538" s="4">
        <v>48</v>
      </c>
      <c r="T3538" s="4">
        <v>48</v>
      </c>
      <c r="U3538" s="5" t="s">
        <v>15071</v>
      </c>
      <c r="V3538" s="5" t="s">
        <v>15071</v>
      </c>
      <c r="W3538" s="5" t="s">
        <v>67</v>
      </c>
      <c r="X3538" s="5" t="s">
        <v>67</v>
      </c>
      <c r="Y3538" s="4">
        <v>329</v>
      </c>
      <c r="Z3538" s="4">
        <v>21</v>
      </c>
      <c r="AA3538" s="4">
        <v>99</v>
      </c>
      <c r="AB3538" s="4">
        <v>2</v>
      </c>
      <c r="AC3538" s="4">
        <v>18</v>
      </c>
      <c r="AD3538" s="4">
        <v>101</v>
      </c>
      <c r="AE3538" s="4">
        <v>141</v>
      </c>
      <c r="AF3538" s="4">
        <v>1</v>
      </c>
      <c r="AG3538" s="4">
        <v>8</v>
      </c>
      <c r="AH3538" s="4">
        <v>86</v>
      </c>
      <c r="AI3538" s="4">
        <v>102</v>
      </c>
      <c r="AJ3538" s="4">
        <v>13</v>
      </c>
      <c r="AK3538" s="4">
        <v>25</v>
      </c>
      <c r="AL3538" s="4">
        <v>51</v>
      </c>
      <c r="AM3538" s="4">
        <v>56</v>
      </c>
      <c r="AN3538" s="4">
        <v>0</v>
      </c>
      <c r="AO3538" s="4">
        <v>0</v>
      </c>
      <c r="AP3538" s="4">
        <v>19</v>
      </c>
      <c r="AQ3538" s="4">
        <v>47</v>
      </c>
      <c r="AR3538" s="3" t="s">
        <v>62</v>
      </c>
      <c r="AS3538" s="3" t="s">
        <v>62</v>
      </c>
      <c r="AT3538" s="3" t="s">
        <v>62</v>
      </c>
      <c r="AV3538" s="6" t="str">
        <f>HYPERLINK("http://mcgill.on.worldcat.org/oclc/37211136","Catalog Record")</f>
        <v>Catalog Record</v>
      </c>
      <c r="AW3538" s="6" t="str">
        <f>HYPERLINK("http://www.worldcat.org/oclc/37211136","WorldCat Record")</f>
        <v>WorldCat Record</v>
      </c>
      <c r="AX3538" s="3" t="s">
        <v>34114</v>
      </c>
      <c r="AY3538" s="3" t="s">
        <v>34115</v>
      </c>
      <c r="AZ3538" s="3" t="s">
        <v>34116</v>
      </c>
      <c r="BA3538" s="3" t="s">
        <v>34116</v>
      </c>
      <c r="BB3538" s="3" t="s">
        <v>34117</v>
      </c>
      <c r="BC3538" s="3" t="s">
        <v>142</v>
      </c>
      <c r="BD3538" s="3" t="s">
        <v>68</v>
      </c>
      <c r="BE3538" s="3" t="s">
        <v>34118</v>
      </c>
      <c r="BF3538" s="3" t="s">
        <v>34117</v>
      </c>
      <c r="BG3538" s="3" t="s">
        <v>34119</v>
      </c>
    </row>
    <row r="3539" spans="1:59" ht="57" x14ac:dyDescent="0.45">
      <c r="A3539" s="2" t="s">
        <v>59</v>
      </c>
      <c r="B3539" s="2" t="s">
        <v>60</v>
      </c>
      <c r="C3539" s="2" t="s">
        <v>34120</v>
      </c>
      <c r="D3539" s="2" t="s">
        <v>34121</v>
      </c>
      <c r="E3539" s="2" t="s">
        <v>34122</v>
      </c>
      <c r="G3539" s="3" t="s">
        <v>62</v>
      </c>
      <c r="I3539" s="3" t="s">
        <v>62</v>
      </c>
      <c r="J3539" s="3" t="s">
        <v>62</v>
      </c>
      <c r="K3539" s="3" t="s">
        <v>63</v>
      </c>
      <c r="M3539" s="2" t="s">
        <v>34123</v>
      </c>
      <c r="N3539" s="3" t="s">
        <v>542</v>
      </c>
      <c r="P3539" s="3" t="s">
        <v>110</v>
      </c>
      <c r="R3539" s="3" t="s">
        <v>66</v>
      </c>
      <c r="S3539" s="4">
        <v>9</v>
      </c>
      <c r="T3539" s="4">
        <v>9</v>
      </c>
      <c r="U3539" s="5" t="s">
        <v>19032</v>
      </c>
      <c r="V3539" s="5" t="s">
        <v>19032</v>
      </c>
      <c r="W3539" s="5" t="s">
        <v>67</v>
      </c>
      <c r="X3539" s="5" t="s">
        <v>67</v>
      </c>
      <c r="Y3539" s="4">
        <v>46</v>
      </c>
      <c r="Z3539" s="4">
        <v>11</v>
      </c>
      <c r="AA3539" s="4">
        <v>17</v>
      </c>
      <c r="AB3539" s="4">
        <v>1</v>
      </c>
      <c r="AC3539" s="4">
        <v>4</v>
      </c>
      <c r="AD3539" s="4">
        <v>25</v>
      </c>
      <c r="AE3539" s="4">
        <v>31</v>
      </c>
      <c r="AF3539" s="4">
        <v>0</v>
      </c>
      <c r="AG3539" s="4">
        <v>2</v>
      </c>
      <c r="AH3539" s="4">
        <v>20</v>
      </c>
      <c r="AI3539" s="4">
        <v>25</v>
      </c>
      <c r="AJ3539" s="4">
        <v>6</v>
      </c>
      <c r="AK3539" s="4">
        <v>11</v>
      </c>
      <c r="AL3539" s="4">
        <v>14</v>
      </c>
      <c r="AM3539" s="4">
        <v>14</v>
      </c>
      <c r="AN3539" s="4">
        <v>0</v>
      </c>
      <c r="AO3539" s="4">
        <v>0</v>
      </c>
      <c r="AP3539" s="4">
        <v>9</v>
      </c>
      <c r="AQ3539" s="4">
        <v>14</v>
      </c>
      <c r="AR3539" s="3" t="s">
        <v>62</v>
      </c>
      <c r="AS3539" s="3" t="s">
        <v>62</v>
      </c>
      <c r="AT3539" s="3" t="s">
        <v>62</v>
      </c>
      <c r="AV3539" s="6" t="str">
        <f>HYPERLINK("http://mcgill.on.worldcat.org/oclc/50478034","Catalog Record")</f>
        <v>Catalog Record</v>
      </c>
      <c r="AW3539" s="6" t="str">
        <f>HYPERLINK("http://www.worldcat.org/oclc/50478034","WorldCat Record")</f>
        <v>WorldCat Record</v>
      </c>
      <c r="AX3539" s="3" t="s">
        <v>34124</v>
      </c>
      <c r="AY3539" s="3" t="s">
        <v>34125</v>
      </c>
      <c r="AZ3539" s="3" t="s">
        <v>34126</v>
      </c>
      <c r="BA3539" s="3" t="s">
        <v>34126</v>
      </c>
      <c r="BB3539" s="3" t="s">
        <v>34127</v>
      </c>
      <c r="BC3539" s="3" t="s">
        <v>142</v>
      </c>
      <c r="BD3539" s="3" t="s">
        <v>68</v>
      </c>
      <c r="BE3539" s="3" t="s">
        <v>34128</v>
      </c>
      <c r="BF3539" s="3" t="s">
        <v>34127</v>
      </c>
      <c r="BG3539" s="3" t="s">
        <v>34129</v>
      </c>
    </row>
    <row r="3540" spans="1:59" ht="57" x14ac:dyDescent="0.45">
      <c r="A3540" s="2" t="s">
        <v>59</v>
      </c>
      <c r="B3540" s="2" t="s">
        <v>60</v>
      </c>
      <c r="C3540" s="2" t="s">
        <v>34130</v>
      </c>
      <c r="D3540" s="2" t="s">
        <v>34131</v>
      </c>
      <c r="E3540" s="2" t="s">
        <v>34132</v>
      </c>
      <c r="G3540" s="3" t="s">
        <v>62</v>
      </c>
      <c r="I3540" s="3" t="s">
        <v>62</v>
      </c>
      <c r="J3540" s="3" t="s">
        <v>62</v>
      </c>
      <c r="K3540" s="3" t="s">
        <v>63</v>
      </c>
      <c r="L3540" s="2" t="s">
        <v>34133</v>
      </c>
      <c r="M3540" s="2" t="s">
        <v>34134</v>
      </c>
      <c r="N3540" s="3" t="s">
        <v>149</v>
      </c>
      <c r="P3540" s="3" t="s">
        <v>65</v>
      </c>
      <c r="R3540" s="3" t="s">
        <v>66</v>
      </c>
      <c r="S3540" s="4">
        <v>1</v>
      </c>
      <c r="T3540" s="4">
        <v>1</v>
      </c>
      <c r="U3540" s="5" t="s">
        <v>15989</v>
      </c>
      <c r="V3540" s="5" t="s">
        <v>15989</v>
      </c>
      <c r="W3540" s="5" t="s">
        <v>67</v>
      </c>
      <c r="X3540" s="5" t="s">
        <v>67</v>
      </c>
      <c r="Y3540" s="4">
        <v>47</v>
      </c>
      <c r="Z3540" s="4">
        <v>8</v>
      </c>
      <c r="AA3540" s="4">
        <v>9</v>
      </c>
      <c r="AB3540" s="4">
        <v>2</v>
      </c>
      <c r="AC3540" s="4">
        <v>3</v>
      </c>
      <c r="AD3540" s="4">
        <v>23</v>
      </c>
      <c r="AE3540" s="4">
        <v>24</v>
      </c>
      <c r="AF3540" s="4">
        <v>1</v>
      </c>
      <c r="AG3540" s="4">
        <v>2</v>
      </c>
      <c r="AH3540" s="4">
        <v>20</v>
      </c>
      <c r="AI3540" s="4">
        <v>21</v>
      </c>
      <c r="AJ3540" s="4">
        <v>7</v>
      </c>
      <c r="AK3540" s="4">
        <v>8</v>
      </c>
      <c r="AL3540" s="4">
        <v>9</v>
      </c>
      <c r="AM3540" s="4">
        <v>9</v>
      </c>
      <c r="AN3540" s="4">
        <v>0</v>
      </c>
      <c r="AO3540" s="4">
        <v>0</v>
      </c>
      <c r="AP3540" s="4">
        <v>7</v>
      </c>
      <c r="AQ3540" s="4">
        <v>8</v>
      </c>
      <c r="AR3540" s="3" t="s">
        <v>62</v>
      </c>
      <c r="AS3540" s="3" t="s">
        <v>62</v>
      </c>
      <c r="AT3540" s="3" t="s">
        <v>62</v>
      </c>
      <c r="AV3540" s="6" t="str">
        <f>HYPERLINK("http://mcgill.on.worldcat.org/oclc/697612940","Catalog Record")</f>
        <v>Catalog Record</v>
      </c>
      <c r="AW3540" s="6" t="str">
        <f>HYPERLINK("http://www.worldcat.org/oclc/697612940","WorldCat Record")</f>
        <v>WorldCat Record</v>
      </c>
      <c r="AX3540" s="3" t="s">
        <v>34135</v>
      </c>
      <c r="AY3540" s="3" t="s">
        <v>34136</v>
      </c>
      <c r="AZ3540" s="3" t="s">
        <v>34137</v>
      </c>
      <c r="BA3540" s="3" t="s">
        <v>34137</v>
      </c>
      <c r="BB3540" s="3" t="s">
        <v>34138</v>
      </c>
      <c r="BC3540" s="3" t="s">
        <v>104</v>
      </c>
      <c r="BD3540" s="3" t="s">
        <v>68</v>
      </c>
      <c r="BE3540" s="3" t="s">
        <v>34139</v>
      </c>
      <c r="BF3540" s="3" t="s">
        <v>34138</v>
      </c>
      <c r="BG3540" s="3" t="s">
        <v>34140</v>
      </c>
    </row>
    <row r="3541" spans="1:59" ht="57" x14ac:dyDescent="0.45">
      <c r="A3541" s="2" t="s">
        <v>59</v>
      </c>
      <c r="B3541" s="2" t="s">
        <v>60</v>
      </c>
      <c r="C3541" s="2" t="s">
        <v>34141</v>
      </c>
      <c r="D3541" s="2" t="s">
        <v>34142</v>
      </c>
      <c r="E3541" s="2" t="s">
        <v>34143</v>
      </c>
      <c r="G3541" s="3" t="s">
        <v>62</v>
      </c>
      <c r="I3541" s="3" t="s">
        <v>61</v>
      </c>
      <c r="J3541" s="3" t="s">
        <v>62</v>
      </c>
      <c r="K3541" s="3" t="s">
        <v>63</v>
      </c>
      <c r="L3541" s="2" t="s">
        <v>1237</v>
      </c>
      <c r="M3541" s="2" t="s">
        <v>34144</v>
      </c>
      <c r="N3541" s="3" t="s">
        <v>807</v>
      </c>
      <c r="P3541" s="3" t="s">
        <v>65</v>
      </c>
      <c r="Q3541" s="2" t="s">
        <v>34145</v>
      </c>
      <c r="R3541" s="3" t="s">
        <v>66</v>
      </c>
      <c r="S3541" s="4">
        <v>26</v>
      </c>
      <c r="T3541" s="4">
        <v>77</v>
      </c>
      <c r="U3541" s="5" t="s">
        <v>3758</v>
      </c>
      <c r="V3541" s="5" t="s">
        <v>3758</v>
      </c>
      <c r="W3541" s="5" t="s">
        <v>67</v>
      </c>
      <c r="X3541" s="5" t="s">
        <v>67</v>
      </c>
      <c r="Y3541" s="4">
        <v>390</v>
      </c>
      <c r="Z3541" s="4">
        <v>32</v>
      </c>
      <c r="AA3541" s="4">
        <v>106</v>
      </c>
      <c r="AB3541" s="4">
        <v>2</v>
      </c>
      <c r="AC3541" s="4">
        <v>17</v>
      </c>
      <c r="AD3541" s="4">
        <v>94</v>
      </c>
      <c r="AE3541" s="4">
        <v>133</v>
      </c>
      <c r="AF3541" s="4">
        <v>1</v>
      </c>
      <c r="AG3541" s="4">
        <v>8</v>
      </c>
      <c r="AH3541" s="4">
        <v>78</v>
      </c>
      <c r="AI3541" s="4">
        <v>95</v>
      </c>
      <c r="AJ3541" s="4">
        <v>17</v>
      </c>
      <c r="AK3541" s="4">
        <v>26</v>
      </c>
      <c r="AL3541" s="4">
        <v>44</v>
      </c>
      <c r="AM3541" s="4">
        <v>50</v>
      </c>
      <c r="AN3541" s="4">
        <v>0</v>
      </c>
      <c r="AO3541" s="4">
        <v>0</v>
      </c>
      <c r="AP3541" s="4">
        <v>23</v>
      </c>
      <c r="AQ3541" s="4">
        <v>47</v>
      </c>
      <c r="AR3541" s="3" t="s">
        <v>62</v>
      </c>
      <c r="AS3541" s="3" t="s">
        <v>62</v>
      </c>
      <c r="AT3541" s="3" t="s">
        <v>61</v>
      </c>
      <c r="AU3541" s="6" t="str">
        <f>HYPERLINK("http://catalog.hathitrust.org/Record/002957675","HathiTrust Record")</f>
        <v>HathiTrust Record</v>
      </c>
      <c r="AV3541" s="6" t="str">
        <f>HYPERLINK("http://mcgill.on.worldcat.org/oclc/23869867","Catalog Record")</f>
        <v>Catalog Record</v>
      </c>
      <c r="AW3541" s="6" t="str">
        <f>HYPERLINK("http://www.worldcat.org/oclc/23869867","WorldCat Record")</f>
        <v>WorldCat Record</v>
      </c>
      <c r="AX3541" s="3" t="s">
        <v>34146</v>
      </c>
      <c r="AY3541" s="3" t="s">
        <v>34147</v>
      </c>
      <c r="AZ3541" s="3" t="s">
        <v>34148</v>
      </c>
      <c r="BA3541" s="3" t="s">
        <v>34148</v>
      </c>
      <c r="BB3541" s="3" t="s">
        <v>34149</v>
      </c>
      <c r="BC3541" s="3" t="s">
        <v>142</v>
      </c>
      <c r="BD3541" s="3" t="s">
        <v>68</v>
      </c>
      <c r="BE3541" s="3" t="s">
        <v>34150</v>
      </c>
      <c r="BF3541" s="3" t="s">
        <v>34149</v>
      </c>
      <c r="BG3541" s="3" t="s">
        <v>34151</v>
      </c>
    </row>
    <row r="3542" spans="1:59" ht="57" x14ac:dyDescent="0.45">
      <c r="A3542" s="2" t="s">
        <v>59</v>
      </c>
      <c r="B3542" s="2" t="s">
        <v>60</v>
      </c>
      <c r="C3542" s="2" t="s">
        <v>34141</v>
      </c>
      <c r="D3542" s="2" t="s">
        <v>34142</v>
      </c>
      <c r="E3542" s="2" t="s">
        <v>34143</v>
      </c>
      <c r="G3542" s="3" t="s">
        <v>62</v>
      </c>
      <c r="I3542" s="3" t="s">
        <v>61</v>
      </c>
      <c r="J3542" s="3" t="s">
        <v>62</v>
      </c>
      <c r="K3542" s="3" t="s">
        <v>63</v>
      </c>
      <c r="L3542" s="2" t="s">
        <v>1237</v>
      </c>
      <c r="M3542" s="2" t="s">
        <v>34144</v>
      </c>
      <c r="N3542" s="3" t="s">
        <v>807</v>
      </c>
      <c r="P3542" s="3" t="s">
        <v>65</v>
      </c>
      <c r="Q3542" s="2" t="s">
        <v>34145</v>
      </c>
      <c r="R3542" s="3" t="s">
        <v>66</v>
      </c>
      <c r="S3542" s="4">
        <v>51</v>
      </c>
      <c r="T3542" s="4">
        <v>77</v>
      </c>
      <c r="U3542" s="5" t="s">
        <v>7076</v>
      </c>
      <c r="V3542" s="5" t="s">
        <v>3758</v>
      </c>
      <c r="W3542" s="5" t="s">
        <v>67</v>
      </c>
      <c r="X3542" s="5" t="s">
        <v>67</v>
      </c>
      <c r="Y3542" s="4">
        <v>390</v>
      </c>
      <c r="Z3542" s="4">
        <v>32</v>
      </c>
      <c r="AA3542" s="4">
        <v>106</v>
      </c>
      <c r="AB3542" s="4">
        <v>2</v>
      </c>
      <c r="AC3542" s="4">
        <v>17</v>
      </c>
      <c r="AD3542" s="4">
        <v>94</v>
      </c>
      <c r="AE3542" s="4">
        <v>133</v>
      </c>
      <c r="AF3542" s="4">
        <v>1</v>
      </c>
      <c r="AG3542" s="4">
        <v>8</v>
      </c>
      <c r="AH3542" s="4">
        <v>78</v>
      </c>
      <c r="AI3542" s="4">
        <v>95</v>
      </c>
      <c r="AJ3542" s="4">
        <v>17</v>
      </c>
      <c r="AK3542" s="4">
        <v>26</v>
      </c>
      <c r="AL3542" s="4">
        <v>44</v>
      </c>
      <c r="AM3542" s="4">
        <v>50</v>
      </c>
      <c r="AN3542" s="4">
        <v>0</v>
      </c>
      <c r="AO3542" s="4">
        <v>0</v>
      </c>
      <c r="AP3542" s="4">
        <v>23</v>
      </c>
      <c r="AQ3542" s="4">
        <v>47</v>
      </c>
      <c r="AR3542" s="3" t="s">
        <v>62</v>
      </c>
      <c r="AS3542" s="3" t="s">
        <v>62</v>
      </c>
      <c r="AT3542" s="3" t="s">
        <v>61</v>
      </c>
      <c r="AU3542" s="6" t="str">
        <f>HYPERLINK("http://catalog.hathitrust.org/Record/002957675","HathiTrust Record")</f>
        <v>HathiTrust Record</v>
      </c>
      <c r="AV3542" s="6" t="str">
        <f>HYPERLINK("http://mcgill.on.worldcat.org/oclc/23869867","Catalog Record")</f>
        <v>Catalog Record</v>
      </c>
      <c r="AW3542" s="6" t="str">
        <f>HYPERLINK("http://www.worldcat.org/oclc/23869867","WorldCat Record")</f>
        <v>WorldCat Record</v>
      </c>
      <c r="AX3542" s="3" t="s">
        <v>34146</v>
      </c>
      <c r="AY3542" s="3" t="s">
        <v>34147</v>
      </c>
      <c r="AZ3542" s="3" t="s">
        <v>34148</v>
      </c>
      <c r="BA3542" s="3" t="s">
        <v>34148</v>
      </c>
      <c r="BB3542" s="3" t="s">
        <v>34152</v>
      </c>
      <c r="BC3542" s="3" t="s">
        <v>142</v>
      </c>
      <c r="BD3542" s="3" t="s">
        <v>68</v>
      </c>
      <c r="BE3542" s="3" t="s">
        <v>34150</v>
      </c>
      <c r="BF3542" s="3" t="s">
        <v>34152</v>
      </c>
      <c r="BG3542" s="3" t="s">
        <v>34153</v>
      </c>
    </row>
    <row r="3543" spans="1:59" ht="57" x14ac:dyDescent="0.45">
      <c r="A3543" s="2" t="s">
        <v>59</v>
      </c>
      <c r="B3543" s="2" t="s">
        <v>60</v>
      </c>
      <c r="C3543" s="2" t="s">
        <v>34154</v>
      </c>
      <c r="D3543" s="2" t="s">
        <v>34155</v>
      </c>
      <c r="E3543" s="2" t="s">
        <v>34156</v>
      </c>
      <c r="G3543" s="3" t="s">
        <v>62</v>
      </c>
      <c r="I3543" s="3" t="s">
        <v>62</v>
      </c>
      <c r="J3543" s="3" t="s">
        <v>62</v>
      </c>
      <c r="K3543" s="3" t="s">
        <v>63</v>
      </c>
      <c r="L3543" s="2" t="s">
        <v>34157</v>
      </c>
      <c r="M3543" s="2" t="s">
        <v>34158</v>
      </c>
      <c r="N3543" s="3" t="s">
        <v>820</v>
      </c>
      <c r="P3543" s="3" t="s">
        <v>65</v>
      </c>
      <c r="R3543" s="3" t="s">
        <v>66</v>
      </c>
      <c r="S3543" s="4">
        <v>8</v>
      </c>
      <c r="T3543" s="4">
        <v>8</v>
      </c>
      <c r="U3543" s="5" t="s">
        <v>613</v>
      </c>
      <c r="V3543" s="5" t="s">
        <v>613</v>
      </c>
      <c r="W3543" s="5" t="s">
        <v>67</v>
      </c>
      <c r="X3543" s="5" t="s">
        <v>67</v>
      </c>
      <c r="Y3543" s="4">
        <v>21</v>
      </c>
      <c r="Z3543" s="4">
        <v>2</v>
      </c>
      <c r="AA3543" s="4">
        <v>83</v>
      </c>
      <c r="AB3543" s="4">
        <v>2</v>
      </c>
      <c r="AC3543" s="4">
        <v>15</v>
      </c>
      <c r="AD3543" s="4">
        <v>0</v>
      </c>
      <c r="AE3543" s="4">
        <v>130</v>
      </c>
      <c r="AF3543" s="4">
        <v>0</v>
      </c>
      <c r="AG3543" s="4">
        <v>8</v>
      </c>
      <c r="AH3543" s="4">
        <v>0</v>
      </c>
      <c r="AI3543" s="4">
        <v>96</v>
      </c>
      <c r="AJ3543" s="4">
        <v>0</v>
      </c>
      <c r="AK3543" s="4">
        <v>24</v>
      </c>
      <c r="AL3543" s="4">
        <v>0</v>
      </c>
      <c r="AM3543" s="4">
        <v>50</v>
      </c>
      <c r="AN3543" s="4">
        <v>0</v>
      </c>
      <c r="AO3543" s="4">
        <v>0</v>
      </c>
      <c r="AP3543" s="4">
        <v>0</v>
      </c>
      <c r="AQ3543" s="4">
        <v>43</v>
      </c>
      <c r="AR3543" s="3" t="s">
        <v>62</v>
      </c>
      <c r="AS3543" s="3" t="s">
        <v>62</v>
      </c>
      <c r="AT3543" s="3" t="s">
        <v>62</v>
      </c>
      <c r="AV3543" s="6" t="str">
        <f>HYPERLINK("http://mcgill.on.worldcat.org/oclc/233263385","Catalog Record")</f>
        <v>Catalog Record</v>
      </c>
      <c r="AW3543" s="6" t="str">
        <f>HYPERLINK("http://www.worldcat.org/oclc/233263385","WorldCat Record")</f>
        <v>WorldCat Record</v>
      </c>
      <c r="AX3543" s="3" t="s">
        <v>34159</v>
      </c>
      <c r="AY3543" s="3" t="s">
        <v>34160</v>
      </c>
      <c r="AZ3543" s="3" t="s">
        <v>34161</v>
      </c>
      <c r="BA3543" s="3" t="s">
        <v>34161</v>
      </c>
      <c r="BB3543" s="3" t="s">
        <v>34162</v>
      </c>
      <c r="BC3543" s="3" t="s">
        <v>142</v>
      </c>
      <c r="BD3543" s="3" t="s">
        <v>68</v>
      </c>
      <c r="BE3543" s="3" t="s">
        <v>34163</v>
      </c>
      <c r="BF3543" s="3" t="s">
        <v>34162</v>
      </c>
      <c r="BG3543" s="3" t="s">
        <v>34164</v>
      </c>
    </row>
    <row r="3544" spans="1:59" ht="57" x14ac:dyDescent="0.45">
      <c r="A3544" s="2" t="s">
        <v>59</v>
      </c>
      <c r="B3544" s="2" t="s">
        <v>60</v>
      </c>
      <c r="C3544" s="2" t="s">
        <v>34165</v>
      </c>
      <c r="D3544" s="2" t="s">
        <v>34166</v>
      </c>
      <c r="E3544" s="2" t="s">
        <v>34167</v>
      </c>
      <c r="G3544" s="3" t="s">
        <v>62</v>
      </c>
      <c r="I3544" s="3" t="s">
        <v>62</v>
      </c>
      <c r="J3544" s="3" t="s">
        <v>62</v>
      </c>
      <c r="K3544" s="3" t="s">
        <v>63</v>
      </c>
      <c r="L3544" s="2" t="s">
        <v>5097</v>
      </c>
      <c r="M3544" s="2" t="s">
        <v>9877</v>
      </c>
      <c r="N3544" s="3" t="s">
        <v>568</v>
      </c>
      <c r="P3544" s="3" t="s">
        <v>65</v>
      </c>
      <c r="Q3544" s="2" t="s">
        <v>34168</v>
      </c>
      <c r="R3544" s="3" t="s">
        <v>66</v>
      </c>
      <c r="S3544" s="4">
        <v>15</v>
      </c>
      <c r="T3544" s="4">
        <v>15</v>
      </c>
      <c r="U3544" s="5" t="s">
        <v>25530</v>
      </c>
      <c r="V3544" s="5" t="s">
        <v>25530</v>
      </c>
      <c r="W3544" s="5" t="s">
        <v>67</v>
      </c>
      <c r="X3544" s="5" t="s">
        <v>67</v>
      </c>
      <c r="Y3544" s="4">
        <v>186</v>
      </c>
      <c r="Z3544" s="4">
        <v>15</v>
      </c>
      <c r="AA3544" s="4">
        <v>99</v>
      </c>
      <c r="AB3544" s="4">
        <v>2</v>
      </c>
      <c r="AC3544" s="4">
        <v>17</v>
      </c>
      <c r="AD3544" s="4">
        <v>63</v>
      </c>
      <c r="AE3544" s="4">
        <v>119</v>
      </c>
      <c r="AF3544" s="4">
        <v>1</v>
      </c>
      <c r="AG3544" s="4">
        <v>8</v>
      </c>
      <c r="AH3544" s="4">
        <v>58</v>
      </c>
      <c r="AI3544" s="4">
        <v>85</v>
      </c>
      <c r="AJ3544" s="4">
        <v>12</v>
      </c>
      <c r="AK3544" s="4">
        <v>25</v>
      </c>
      <c r="AL3544" s="4">
        <v>34</v>
      </c>
      <c r="AM3544" s="4">
        <v>44</v>
      </c>
      <c r="AN3544" s="4">
        <v>0</v>
      </c>
      <c r="AO3544" s="4">
        <v>0</v>
      </c>
      <c r="AP3544" s="4">
        <v>12</v>
      </c>
      <c r="AQ3544" s="4">
        <v>46</v>
      </c>
      <c r="AR3544" s="3" t="s">
        <v>62</v>
      </c>
      <c r="AS3544" s="3" t="s">
        <v>62</v>
      </c>
      <c r="AT3544" s="3" t="s">
        <v>61</v>
      </c>
      <c r="AU3544" s="6" t="str">
        <f>HYPERLINK("http://catalog.hathitrust.org/Record/000832585","HathiTrust Record")</f>
        <v>HathiTrust Record</v>
      </c>
      <c r="AV3544" s="6" t="str">
        <f>HYPERLINK("http://mcgill.on.worldcat.org/oclc/15109007","Catalog Record")</f>
        <v>Catalog Record</v>
      </c>
      <c r="AW3544" s="6" t="str">
        <f>HYPERLINK("http://www.worldcat.org/oclc/15109007","WorldCat Record")</f>
        <v>WorldCat Record</v>
      </c>
      <c r="AX3544" s="3" t="s">
        <v>34169</v>
      </c>
      <c r="AY3544" s="3" t="s">
        <v>34170</v>
      </c>
      <c r="AZ3544" s="3" t="s">
        <v>34171</v>
      </c>
      <c r="BA3544" s="3" t="s">
        <v>34171</v>
      </c>
      <c r="BB3544" s="3" t="s">
        <v>34172</v>
      </c>
      <c r="BC3544" s="3" t="s">
        <v>142</v>
      </c>
      <c r="BD3544" s="3" t="s">
        <v>68</v>
      </c>
      <c r="BE3544" s="3" t="s">
        <v>34173</v>
      </c>
      <c r="BF3544" s="3" t="s">
        <v>34172</v>
      </c>
      <c r="BG3544" s="3" t="s">
        <v>34174</v>
      </c>
    </row>
    <row r="3545" spans="1:59" ht="57" x14ac:dyDescent="0.45">
      <c r="A3545" s="2" t="s">
        <v>59</v>
      </c>
      <c r="B3545" s="2" t="s">
        <v>60</v>
      </c>
      <c r="C3545" s="2" t="s">
        <v>34175</v>
      </c>
      <c r="D3545" s="2" t="s">
        <v>34176</v>
      </c>
      <c r="E3545" s="2" t="s">
        <v>34177</v>
      </c>
      <c r="G3545" s="3" t="s">
        <v>62</v>
      </c>
      <c r="I3545" s="3" t="s">
        <v>62</v>
      </c>
      <c r="J3545" s="3" t="s">
        <v>62</v>
      </c>
      <c r="K3545" s="3" t="s">
        <v>63</v>
      </c>
      <c r="L3545" s="2" t="s">
        <v>34178</v>
      </c>
      <c r="M3545" s="2" t="s">
        <v>34179</v>
      </c>
      <c r="N3545" s="3" t="s">
        <v>1253</v>
      </c>
      <c r="P3545" s="3" t="s">
        <v>65</v>
      </c>
      <c r="Q3545" s="2" t="s">
        <v>34180</v>
      </c>
      <c r="R3545" s="3" t="s">
        <v>66</v>
      </c>
      <c r="S3545" s="4">
        <v>17</v>
      </c>
      <c r="T3545" s="4">
        <v>17</v>
      </c>
      <c r="U3545" s="5" t="s">
        <v>19032</v>
      </c>
      <c r="V3545" s="5" t="s">
        <v>19032</v>
      </c>
      <c r="W3545" s="5" t="s">
        <v>67</v>
      </c>
      <c r="X3545" s="5" t="s">
        <v>67</v>
      </c>
      <c r="Y3545" s="4">
        <v>117</v>
      </c>
      <c r="Z3545" s="4">
        <v>10</v>
      </c>
      <c r="AA3545" s="4">
        <v>95</v>
      </c>
      <c r="AB3545" s="4">
        <v>2</v>
      </c>
      <c r="AC3545" s="4">
        <v>17</v>
      </c>
      <c r="AD3545" s="4">
        <v>60</v>
      </c>
      <c r="AE3545" s="4">
        <v>124</v>
      </c>
      <c r="AF3545" s="4">
        <v>1</v>
      </c>
      <c r="AG3545" s="4">
        <v>8</v>
      </c>
      <c r="AH3545" s="4">
        <v>53</v>
      </c>
      <c r="AI3545" s="4">
        <v>87</v>
      </c>
      <c r="AJ3545" s="4">
        <v>7</v>
      </c>
      <c r="AK3545" s="4">
        <v>21</v>
      </c>
      <c r="AL3545" s="4">
        <v>35</v>
      </c>
      <c r="AM3545" s="4">
        <v>46</v>
      </c>
      <c r="AN3545" s="4">
        <v>0</v>
      </c>
      <c r="AO3545" s="4">
        <v>0</v>
      </c>
      <c r="AP3545" s="4">
        <v>8</v>
      </c>
      <c r="AQ3545" s="4">
        <v>43</v>
      </c>
      <c r="AR3545" s="3" t="s">
        <v>62</v>
      </c>
      <c r="AS3545" s="3" t="s">
        <v>62</v>
      </c>
      <c r="AT3545" s="3" t="s">
        <v>61</v>
      </c>
      <c r="AU3545" s="6" t="str">
        <f>HYPERLINK("http://catalog.hathitrust.org/Record/003180655","HathiTrust Record")</f>
        <v>HathiTrust Record</v>
      </c>
      <c r="AV3545" s="6" t="str">
        <f>HYPERLINK("http://mcgill.on.worldcat.org/oclc/36663077","Catalog Record")</f>
        <v>Catalog Record</v>
      </c>
      <c r="AW3545" s="6" t="str">
        <f>HYPERLINK("http://www.worldcat.org/oclc/36663077","WorldCat Record")</f>
        <v>WorldCat Record</v>
      </c>
      <c r="AX3545" s="3" t="s">
        <v>34181</v>
      </c>
      <c r="AY3545" s="3" t="s">
        <v>34182</v>
      </c>
      <c r="AZ3545" s="3" t="s">
        <v>34183</v>
      </c>
      <c r="BA3545" s="3" t="s">
        <v>34183</v>
      </c>
      <c r="BB3545" s="3" t="s">
        <v>34184</v>
      </c>
      <c r="BC3545" s="3" t="s">
        <v>142</v>
      </c>
      <c r="BD3545" s="3" t="s">
        <v>68</v>
      </c>
      <c r="BE3545" s="3" t="s">
        <v>34185</v>
      </c>
      <c r="BF3545" s="3" t="s">
        <v>34184</v>
      </c>
      <c r="BG3545" s="3" t="s">
        <v>34186</v>
      </c>
    </row>
    <row r="3546" spans="1:59" ht="57" x14ac:dyDescent="0.45">
      <c r="A3546" s="2" t="s">
        <v>59</v>
      </c>
      <c r="B3546" s="2" t="s">
        <v>60</v>
      </c>
      <c r="C3546" s="2" t="s">
        <v>34187</v>
      </c>
      <c r="D3546" s="2" t="s">
        <v>34188</v>
      </c>
      <c r="E3546" s="2" t="s">
        <v>34189</v>
      </c>
      <c r="G3546" s="3" t="s">
        <v>62</v>
      </c>
      <c r="I3546" s="3" t="s">
        <v>62</v>
      </c>
      <c r="J3546" s="3" t="s">
        <v>62</v>
      </c>
      <c r="K3546" s="3" t="s">
        <v>63</v>
      </c>
      <c r="M3546" s="2" t="s">
        <v>9755</v>
      </c>
      <c r="N3546" s="3" t="s">
        <v>1155</v>
      </c>
      <c r="P3546" s="3" t="s">
        <v>65</v>
      </c>
      <c r="Q3546" s="2" t="s">
        <v>34190</v>
      </c>
      <c r="R3546" s="3" t="s">
        <v>66</v>
      </c>
      <c r="S3546" s="4">
        <v>6</v>
      </c>
      <c r="T3546" s="4">
        <v>6</v>
      </c>
      <c r="U3546" s="5" t="s">
        <v>15071</v>
      </c>
      <c r="V3546" s="5" t="s">
        <v>15071</v>
      </c>
      <c r="W3546" s="5" t="s">
        <v>67</v>
      </c>
      <c r="X3546" s="5" t="s">
        <v>67</v>
      </c>
      <c r="Y3546" s="4">
        <v>158</v>
      </c>
      <c r="Z3546" s="4">
        <v>10</v>
      </c>
      <c r="AA3546" s="4">
        <v>74</v>
      </c>
      <c r="AB3546" s="4">
        <v>2</v>
      </c>
      <c r="AC3546" s="4">
        <v>15</v>
      </c>
      <c r="AD3546" s="4">
        <v>54</v>
      </c>
      <c r="AE3546" s="4">
        <v>116</v>
      </c>
      <c r="AF3546" s="4">
        <v>1</v>
      </c>
      <c r="AG3546" s="4">
        <v>8</v>
      </c>
      <c r="AH3546" s="4">
        <v>50</v>
      </c>
      <c r="AI3546" s="4">
        <v>83</v>
      </c>
      <c r="AJ3546" s="4">
        <v>9</v>
      </c>
      <c r="AK3546" s="4">
        <v>20</v>
      </c>
      <c r="AL3546" s="4">
        <v>30</v>
      </c>
      <c r="AM3546" s="4">
        <v>43</v>
      </c>
      <c r="AN3546" s="4">
        <v>0</v>
      </c>
      <c r="AO3546" s="4">
        <v>0</v>
      </c>
      <c r="AP3546" s="4">
        <v>9</v>
      </c>
      <c r="AQ3546" s="4">
        <v>39</v>
      </c>
      <c r="AR3546" s="3" t="s">
        <v>62</v>
      </c>
      <c r="AS3546" s="3" t="s">
        <v>62</v>
      </c>
      <c r="AT3546" s="3" t="s">
        <v>62</v>
      </c>
      <c r="AV3546" s="6" t="str">
        <f>HYPERLINK("http://mcgill.on.worldcat.org/oclc/491891035","Catalog Record")</f>
        <v>Catalog Record</v>
      </c>
      <c r="AW3546" s="6" t="str">
        <f>HYPERLINK("http://www.worldcat.org/oclc/491891035","WorldCat Record")</f>
        <v>WorldCat Record</v>
      </c>
      <c r="AX3546" s="3" t="s">
        <v>34191</v>
      </c>
      <c r="AY3546" s="3" t="s">
        <v>34192</v>
      </c>
      <c r="AZ3546" s="3" t="s">
        <v>34193</v>
      </c>
      <c r="BA3546" s="3" t="s">
        <v>34193</v>
      </c>
      <c r="BB3546" s="3" t="s">
        <v>34194</v>
      </c>
      <c r="BC3546" s="3" t="s">
        <v>142</v>
      </c>
      <c r="BD3546" s="3" t="s">
        <v>68</v>
      </c>
      <c r="BE3546" s="3" t="s">
        <v>34195</v>
      </c>
      <c r="BF3546" s="3" t="s">
        <v>34194</v>
      </c>
      <c r="BG3546" s="3" t="s">
        <v>34196</v>
      </c>
    </row>
    <row r="3547" spans="1:59" ht="57" x14ac:dyDescent="0.45">
      <c r="A3547" s="2" t="s">
        <v>59</v>
      </c>
      <c r="B3547" s="2" t="s">
        <v>60</v>
      </c>
      <c r="C3547" s="2" t="s">
        <v>34197</v>
      </c>
      <c r="D3547" s="2" t="s">
        <v>34198</v>
      </c>
      <c r="E3547" s="2" t="s">
        <v>34199</v>
      </c>
      <c r="G3547" s="3" t="s">
        <v>62</v>
      </c>
      <c r="I3547" s="3" t="s">
        <v>62</v>
      </c>
      <c r="J3547" s="3" t="s">
        <v>62</v>
      </c>
      <c r="K3547" s="3" t="s">
        <v>63</v>
      </c>
      <c r="L3547" s="2" t="s">
        <v>34200</v>
      </c>
      <c r="M3547" s="2" t="s">
        <v>6067</v>
      </c>
      <c r="N3547" s="3" t="s">
        <v>894</v>
      </c>
      <c r="P3547" s="3" t="s">
        <v>65</v>
      </c>
      <c r="R3547" s="3" t="s">
        <v>66</v>
      </c>
      <c r="S3547" s="4">
        <v>1</v>
      </c>
      <c r="T3547" s="4">
        <v>1</v>
      </c>
      <c r="U3547" s="5" t="s">
        <v>7990</v>
      </c>
      <c r="V3547" s="5" t="s">
        <v>7990</v>
      </c>
      <c r="W3547" s="5" t="s">
        <v>67</v>
      </c>
      <c r="X3547" s="5" t="s">
        <v>67</v>
      </c>
      <c r="Y3547" s="4">
        <v>120</v>
      </c>
      <c r="Z3547" s="4">
        <v>13</v>
      </c>
      <c r="AA3547" s="4">
        <v>83</v>
      </c>
      <c r="AB3547" s="4">
        <v>2</v>
      </c>
      <c r="AC3547" s="4">
        <v>14</v>
      </c>
      <c r="AD3547" s="4">
        <v>37</v>
      </c>
      <c r="AE3547" s="4">
        <v>106</v>
      </c>
      <c r="AF3547" s="4">
        <v>1</v>
      </c>
      <c r="AG3547" s="4">
        <v>8</v>
      </c>
      <c r="AH3547" s="4">
        <v>33</v>
      </c>
      <c r="AI3547" s="4">
        <v>72</v>
      </c>
      <c r="AJ3547" s="4">
        <v>9</v>
      </c>
      <c r="AK3547" s="4">
        <v>22</v>
      </c>
      <c r="AL3547" s="4">
        <v>20</v>
      </c>
      <c r="AM3547" s="4">
        <v>35</v>
      </c>
      <c r="AN3547" s="4">
        <v>0</v>
      </c>
      <c r="AO3547" s="4">
        <v>0</v>
      </c>
      <c r="AP3547" s="4">
        <v>10</v>
      </c>
      <c r="AQ3547" s="4">
        <v>42</v>
      </c>
      <c r="AR3547" s="3" t="s">
        <v>62</v>
      </c>
      <c r="AS3547" s="3" t="s">
        <v>62</v>
      </c>
      <c r="AT3547" s="3" t="s">
        <v>62</v>
      </c>
      <c r="AV3547" s="6" t="str">
        <f>HYPERLINK("http://mcgill.on.worldcat.org/oclc/667874091","Catalog Record")</f>
        <v>Catalog Record</v>
      </c>
      <c r="AW3547" s="6" t="str">
        <f>HYPERLINK("http://www.worldcat.org/oclc/667874091","WorldCat Record")</f>
        <v>WorldCat Record</v>
      </c>
      <c r="AX3547" s="3" t="s">
        <v>34201</v>
      </c>
      <c r="AY3547" s="3" t="s">
        <v>34202</v>
      </c>
      <c r="AZ3547" s="3" t="s">
        <v>34203</v>
      </c>
      <c r="BA3547" s="3" t="s">
        <v>34203</v>
      </c>
      <c r="BB3547" s="3" t="s">
        <v>34204</v>
      </c>
      <c r="BC3547" s="3" t="s">
        <v>142</v>
      </c>
      <c r="BD3547" s="3" t="s">
        <v>68</v>
      </c>
      <c r="BE3547" s="3" t="s">
        <v>34205</v>
      </c>
      <c r="BF3547" s="3" t="s">
        <v>34204</v>
      </c>
      <c r="BG3547" s="3" t="s">
        <v>34206</v>
      </c>
    </row>
    <row r="3548" spans="1:59" ht="57" x14ac:dyDescent="0.45">
      <c r="A3548" s="2" t="s">
        <v>59</v>
      </c>
      <c r="B3548" s="2" t="s">
        <v>60</v>
      </c>
      <c r="C3548" s="2" t="s">
        <v>34207</v>
      </c>
      <c r="D3548" s="2" t="s">
        <v>34208</v>
      </c>
      <c r="E3548" s="2" t="s">
        <v>34209</v>
      </c>
      <c r="G3548" s="3" t="s">
        <v>62</v>
      </c>
      <c r="I3548" s="3" t="s">
        <v>62</v>
      </c>
      <c r="J3548" s="3" t="s">
        <v>62</v>
      </c>
      <c r="K3548" s="3" t="s">
        <v>63</v>
      </c>
      <c r="L3548" s="2" t="s">
        <v>34210</v>
      </c>
      <c r="M3548" s="2" t="s">
        <v>34211</v>
      </c>
      <c r="N3548" s="3" t="s">
        <v>529</v>
      </c>
      <c r="P3548" s="3" t="s">
        <v>65</v>
      </c>
      <c r="Q3548" s="2" t="s">
        <v>34212</v>
      </c>
      <c r="R3548" s="3" t="s">
        <v>66</v>
      </c>
      <c r="S3548" s="4">
        <v>31</v>
      </c>
      <c r="T3548" s="4">
        <v>31</v>
      </c>
      <c r="U3548" s="5" t="s">
        <v>29124</v>
      </c>
      <c r="V3548" s="5" t="s">
        <v>29124</v>
      </c>
      <c r="W3548" s="5" t="s">
        <v>67</v>
      </c>
      <c r="X3548" s="5" t="s">
        <v>67</v>
      </c>
      <c r="Y3548" s="4">
        <v>137</v>
      </c>
      <c r="Z3548" s="4">
        <v>12</v>
      </c>
      <c r="AA3548" s="4">
        <v>14</v>
      </c>
      <c r="AB3548" s="4">
        <v>2</v>
      </c>
      <c r="AC3548" s="4">
        <v>4</v>
      </c>
      <c r="AD3548" s="4">
        <v>72</v>
      </c>
      <c r="AE3548" s="4">
        <v>74</v>
      </c>
      <c r="AF3548" s="4">
        <v>1</v>
      </c>
      <c r="AG3548" s="4">
        <v>3</v>
      </c>
      <c r="AH3548" s="4">
        <v>68</v>
      </c>
      <c r="AI3548" s="4">
        <v>69</v>
      </c>
      <c r="AJ3548" s="4">
        <v>10</v>
      </c>
      <c r="AK3548" s="4">
        <v>12</v>
      </c>
      <c r="AL3548" s="4">
        <v>39</v>
      </c>
      <c r="AM3548" s="4">
        <v>39</v>
      </c>
      <c r="AN3548" s="4">
        <v>0</v>
      </c>
      <c r="AO3548" s="4">
        <v>0</v>
      </c>
      <c r="AP3548" s="4">
        <v>10</v>
      </c>
      <c r="AQ3548" s="4">
        <v>11</v>
      </c>
      <c r="AR3548" s="3" t="s">
        <v>62</v>
      </c>
      <c r="AS3548" s="3" t="s">
        <v>62</v>
      </c>
      <c r="AT3548" s="3" t="s">
        <v>61</v>
      </c>
      <c r="AU3548" s="6" t="str">
        <f>HYPERLINK("http://catalog.hathitrust.org/Record/000876103","HathiTrust Record")</f>
        <v>HathiTrust Record</v>
      </c>
      <c r="AV3548" s="6" t="str">
        <f>HYPERLINK("http://mcgill.on.worldcat.org/oclc/11969996","Catalog Record")</f>
        <v>Catalog Record</v>
      </c>
      <c r="AW3548" s="6" t="str">
        <f>HYPERLINK("http://www.worldcat.org/oclc/11969996","WorldCat Record")</f>
        <v>WorldCat Record</v>
      </c>
      <c r="AX3548" s="3" t="s">
        <v>34213</v>
      </c>
      <c r="AY3548" s="3" t="s">
        <v>34214</v>
      </c>
      <c r="AZ3548" s="3" t="s">
        <v>34215</v>
      </c>
      <c r="BA3548" s="3" t="s">
        <v>34215</v>
      </c>
      <c r="BB3548" s="3" t="s">
        <v>34216</v>
      </c>
      <c r="BC3548" s="3" t="s">
        <v>142</v>
      </c>
      <c r="BD3548" s="3" t="s">
        <v>68</v>
      </c>
      <c r="BE3548" s="3" t="s">
        <v>34217</v>
      </c>
      <c r="BF3548" s="3" t="s">
        <v>34216</v>
      </c>
      <c r="BG3548" s="3" t="s">
        <v>34218</v>
      </c>
    </row>
    <row r="3549" spans="1:59" ht="57" x14ac:dyDescent="0.45">
      <c r="A3549" s="2" t="s">
        <v>59</v>
      </c>
      <c r="B3549" s="2" t="s">
        <v>60</v>
      </c>
      <c r="C3549" s="2" t="s">
        <v>34219</v>
      </c>
      <c r="D3549" s="2" t="s">
        <v>34220</v>
      </c>
      <c r="E3549" s="2" t="s">
        <v>34221</v>
      </c>
      <c r="G3549" s="3" t="s">
        <v>62</v>
      </c>
      <c r="I3549" s="3" t="s">
        <v>62</v>
      </c>
      <c r="J3549" s="3" t="s">
        <v>62</v>
      </c>
      <c r="K3549" s="3" t="s">
        <v>63</v>
      </c>
      <c r="M3549" s="2" t="s">
        <v>34222</v>
      </c>
      <c r="N3549" s="3" t="s">
        <v>1465</v>
      </c>
      <c r="P3549" s="3" t="s">
        <v>65</v>
      </c>
      <c r="Q3549" s="2" t="s">
        <v>34223</v>
      </c>
      <c r="R3549" s="3" t="s">
        <v>66</v>
      </c>
      <c r="S3549" s="4">
        <v>7</v>
      </c>
      <c r="T3549" s="4">
        <v>7</v>
      </c>
      <c r="U3549" s="5" t="s">
        <v>19032</v>
      </c>
      <c r="V3549" s="5" t="s">
        <v>19032</v>
      </c>
      <c r="W3549" s="5" t="s">
        <v>67</v>
      </c>
      <c r="X3549" s="5" t="s">
        <v>67</v>
      </c>
      <c r="Y3549" s="4">
        <v>120</v>
      </c>
      <c r="Z3549" s="4">
        <v>15</v>
      </c>
      <c r="AA3549" s="4">
        <v>105</v>
      </c>
      <c r="AB3549" s="4">
        <v>3</v>
      </c>
      <c r="AC3549" s="4">
        <v>18</v>
      </c>
      <c r="AD3549" s="4">
        <v>59</v>
      </c>
      <c r="AE3549" s="4">
        <v>128</v>
      </c>
      <c r="AF3549" s="4">
        <v>1</v>
      </c>
      <c r="AG3549" s="4">
        <v>8</v>
      </c>
      <c r="AH3549" s="4">
        <v>54</v>
      </c>
      <c r="AI3549" s="4">
        <v>89</v>
      </c>
      <c r="AJ3549" s="4">
        <v>12</v>
      </c>
      <c r="AK3549" s="4">
        <v>27</v>
      </c>
      <c r="AL3549" s="4">
        <v>34</v>
      </c>
      <c r="AM3549" s="4">
        <v>48</v>
      </c>
      <c r="AN3549" s="4">
        <v>0</v>
      </c>
      <c r="AO3549" s="4">
        <v>0</v>
      </c>
      <c r="AP3549" s="4">
        <v>12</v>
      </c>
      <c r="AQ3549" s="4">
        <v>49</v>
      </c>
      <c r="AR3549" s="3" t="s">
        <v>62</v>
      </c>
      <c r="AS3549" s="3" t="s">
        <v>62</v>
      </c>
      <c r="AT3549" s="3" t="s">
        <v>62</v>
      </c>
      <c r="AV3549" s="6" t="str">
        <f>HYPERLINK("http://mcgill.on.worldcat.org/oclc/317824681","Catalog Record")</f>
        <v>Catalog Record</v>
      </c>
      <c r="AW3549" s="6" t="str">
        <f>HYPERLINK("http://www.worldcat.org/oclc/317824681","WorldCat Record")</f>
        <v>WorldCat Record</v>
      </c>
      <c r="AX3549" s="3" t="s">
        <v>34224</v>
      </c>
      <c r="AY3549" s="3" t="s">
        <v>34225</v>
      </c>
      <c r="AZ3549" s="3" t="s">
        <v>34226</v>
      </c>
      <c r="BA3549" s="3" t="s">
        <v>34226</v>
      </c>
      <c r="BB3549" s="3" t="s">
        <v>34227</v>
      </c>
      <c r="BC3549" s="3" t="s">
        <v>142</v>
      </c>
      <c r="BD3549" s="3" t="s">
        <v>68</v>
      </c>
      <c r="BE3549" s="3" t="s">
        <v>34228</v>
      </c>
      <c r="BF3549" s="3" t="s">
        <v>34227</v>
      </c>
      <c r="BG3549" s="3" t="s">
        <v>34229</v>
      </c>
    </row>
    <row r="3550" spans="1:59" ht="57" x14ac:dyDescent="0.45">
      <c r="A3550" s="2" t="s">
        <v>59</v>
      </c>
      <c r="B3550" s="2" t="s">
        <v>60</v>
      </c>
      <c r="C3550" s="2" t="s">
        <v>34230</v>
      </c>
      <c r="D3550" s="2" t="s">
        <v>34231</v>
      </c>
      <c r="E3550" s="2" t="s">
        <v>34232</v>
      </c>
      <c r="G3550" s="3" t="s">
        <v>62</v>
      </c>
      <c r="I3550" s="3" t="s">
        <v>62</v>
      </c>
      <c r="J3550" s="3" t="s">
        <v>62</v>
      </c>
      <c r="K3550" s="3" t="s">
        <v>63</v>
      </c>
      <c r="L3550" s="2" t="s">
        <v>34233</v>
      </c>
      <c r="M3550" s="2" t="s">
        <v>34234</v>
      </c>
      <c r="N3550" s="3" t="s">
        <v>1253</v>
      </c>
      <c r="P3550" s="3" t="s">
        <v>65</v>
      </c>
      <c r="Q3550" s="2" t="s">
        <v>34235</v>
      </c>
      <c r="R3550" s="3" t="s">
        <v>66</v>
      </c>
      <c r="S3550" s="4">
        <v>24</v>
      </c>
      <c r="T3550" s="4">
        <v>24</v>
      </c>
      <c r="U3550" s="5" t="s">
        <v>19032</v>
      </c>
      <c r="V3550" s="5" t="s">
        <v>19032</v>
      </c>
      <c r="W3550" s="5" t="s">
        <v>67</v>
      </c>
      <c r="X3550" s="5" t="s">
        <v>67</v>
      </c>
      <c r="Y3550" s="4">
        <v>107</v>
      </c>
      <c r="Z3550" s="4">
        <v>10</v>
      </c>
      <c r="AA3550" s="4">
        <v>10</v>
      </c>
      <c r="AB3550" s="4">
        <v>1</v>
      </c>
      <c r="AC3550" s="4">
        <v>1</v>
      </c>
      <c r="AD3550" s="4">
        <v>58</v>
      </c>
      <c r="AE3550" s="4">
        <v>58</v>
      </c>
      <c r="AF3550" s="4">
        <v>0</v>
      </c>
      <c r="AG3550" s="4">
        <v>0</v>
      </c>
      <c r="AH3550" s="4">
        <v>54</v>
      </c>
      <c r="AI3550" s="4">
        <v>54</v>
      </c>
      <c r="AJ3550" s="4">
        <v>8</v>
      </c>
      <c r="AK3550" s="4">
        <v>8</v>
      </c>
      <c r="AL3550" s="4">
        <v>31</v>
      </c>
      <c r="AM3550" s="4">
        <v>31</v>
      </c>
      <c r="AN3550" s="4">
        <v>0</v>
      </c>
      <c r="AO3550" s="4">
        <v>0</v>
      </c>
      <c r="AP3550" s="4">
        <v>8</v>
      </c>
      <c r="AQ3550" s="4">
        <v>8</v>
      </c>
      <c r="AR3550" s="3" t="s">
        <v>62</v>
      </c>
      <c r="AS3550" s="3" t="s">
        <v>62</v>
      </c>
      <c r="AT3550" s="3" t="s">
        <v>61</v>
      </c>
      <c r="AU3550" s="6" t="str">
        <f>HYPERLINK("http://catalog.hathitrust.org/Record/003942024","HathiTrust Record")</f>
        <v>HathiTrust Record</v>
      </c>
      <c r="AV3550" s="6" t="str">
        <f>HYPERLINK("http://mcgill.on.worldcat.org/oclc/33334044","Catalog Record")</f>
        <v>Catalog Record</v>
      </c>
      <c r="AW3550" s="6" t="str">
        <f>HYPERLINK("http://www.worldcat.org/oclc/33334044","WorldCat Record")</f>
        <v>WorldCat Record</v>
      </c>
      <c r="AX3550" s="3" t="s">
        <v>34236</v>
      </c>
      <c r="AY3550" s="3" t="s">
        <v>34237</v>
      </c>
      <c r="AZ3550" s="3" t="s">
        <v>34238</v>
      </c>
      <c r="BA3550" s="3" t="s">
        <v>34238</v>
      </c>
      <c r="BB3550" s="3" t="s">
        <v>34239</v>
      </c>
      <c r="BC3550" s="3" t="s">
        <v>142</v>
      </c>
      <c r="BD3550" s="3" t="s">
        <v>68</v>
      </c>
      <c r="BE3550" s="3" t="s">
        <v>34240</v>
      </c>
      <c r="BF3550" s="3" t="s">
        <v>34239</v>
      </c>
      <c r="BG3550" s="3" t="s">
        <v>34241</v>
      </c>
    </row>
    <row r="3551" spans="1:59" ht="57" x14ac:dyDescent="0.45">
      <c r="A3551" s="2" t="s">
        <v>59</v>
      </c>
      <c r="B3551" s="2" t="s">
        <v>60</v>
      </c>
      <c r="C3551" s="2" t="s">
        <v>34242</v>
      </c>
      <c r="D3551" s="2" t="s">
        <v>34243</v>
      </c>
      <c r="E3551" s="2" t="s">
        <v>34244</v>
      </c>
      <c r="G3551" s="3" t="s">
        <v>62</v>
      </c>
      <c r="I3551" s="3" t="s">
        <v>62</v>
      </c>
      <c r="J3551" s="3" t="s">
        <v>62</v>
      </c>
      <c r="K3551" s="3" t="s">
        <v>63</v>
      </c>
      <c r="M3551" s="2" t="s">
        <v>10064</v>
      </c>
      <c r="N3551" s="3" t="s">
        <v>958</v>
      </c>
      <c r="P3551" s="3" t="s">
        <v>65</v>
      </c>
      <c r="R3551" s="3" t="s">
        <v>66</v>
      </c>
      <c r="S3551" s="4">
        <v>71</v>
      </c>
      <c r="T3551" s="4">
        <v>71</v>
      </c>
      <c r="U3551" s="5" t="s">
        <v>20968</v>
      </c>
      <c r="V3551" s="5" t="s">
        <v>20968</v>
      </c>
      <c r="W3551" s="5" t="s">
        <v>67</v>
      </c>
      <c r="X3551" s="5" t="s">
        <v>67</v>
      </c>
      <c r="Y3551" s="4">
        <v>400</v>
      </c>
      <c r="Z3551" s="4">
        <v>24</v>
      </c>
      <c r="AA3551" s="4">
        <v>30</v>
      </c>
      <c r="AB3551" s="4">
        <v>2</v>
      </c>
      <c r="AC3551" s="4">
        <v>7</v>
      </c>
      <c r="AD3551" s="4">
        <v>107</v>
      </c>
      <c r="AE3551" s="4">
        <v>112</v>
      </c>
      <c r="AF3551" s="4">
        <v>1</v>
      </c>
      <c r="AG3551" s="4">
        <v>4</v>
      </c>
      <c r="AH3551" s="4">
        <v>93</v>
      </c>
      <c r="AI3551" s="4">
        <v>95</v>
      </c>
      <c r="AJ3551" s="4">
        <v>15</v>
      </c>
      <c r="AK3551" s="4">
        <v>18</v>
      </c>
      <c r="AL3551" s="4">
        <v>56</v>
      </c>
      <c r="AM3551" s="4">
        <v>56</v>
      </c>
      <c r="AN3551" s="4">
        <v>0</v>
      </c>
      <c r="AO3551" s="4">
        <v>0</v>
      </c>
      <c r="AP3551" s="4">
        <v>18</v>
      </c>
      <c r="AQ3551" s="4">
        <v>21</v>
      </c>
      <c r="AR3551" s="3" t="s">
        <v>62</v>
      </c>
      <c r="AS3551" s="3" t="s">
        <v>62</v>
      </c>
      <c r="AT3551" s="3" t="s">
        <v>62</v>
      </c>
      <c r="AV3551" s="6" t="str">
        <f>HYPERLINK("http://mcgill.on.worldcat.org/oclc/30979012","Catalog Record")</f>
        <v>Catalog Record</v>
      </c>
      <c r="AW3551" s="6" t="str">
        <f>HYPERLINK("http://www.worldcat.org/oclc/30979012","WorldCat Record")</f>
        <v>WorldCat Record</v>
      </c>
      <c r="AX3551" s="3" t="s">
        <v>34245</v>
      </c>
      <c r="AY3551" s="3" t="s">
        <v>34246</v>
      </c>
      <c r="AZ3551" s="3" t="s">
        <v>34247</v>
      </c>
      <c r="BA3551" s="3" t="s">
        <v>34247</v>
      </c>
      <c r="BB3551" s="3" t="s">
        <v>34248</v>
      </c>
      <c r="BC3551" s="3" t="s">
        <v>142</v>
      </c>
      <c r="BD3551" s="3" t="s">
        <v>68</v>
      </c>
      <c r="BE3551" s="3" t="s">
        <v>34249</v>
      </c>
      <c r="BF3551" s="3" t="s">
        <v>34248</v>
      </c>
      <c r="BG3551" s="3" t="s">
        <v>34250</v>
      </c>
    </row>
    <row r="3552" spans="1:59" ht="57" x14ac:dyDescent="0.45">
      <c r="A3552" s="2" t="s">
        <v>59</v>
      </c>
      <c r="B3552" s="2" t="s">
        <v>60</v>
      </c>
      <c r="C3552" s="2" t="s">
        <v>34251</v>
      </c>
      <c r="D3552" s="2" t="s">
        <v>34252</v>
      </c>
      <c r="E3552" s="2" t="s">
        <v>34253</v>
      </c>
      <c r="G3552" s="3" t="s">
        <v>62</v>
      </c>
      <c r="I3552" s="3" t="s">
        <v>62</v>
      </c>
      <c r="J3552" s="3" t="s">
        <v>62</v>
      </c>
      <c r="K3552" s="3" t="s">
        <v>63</v>
      </c>
      <c r="L3552" s="2" t="s">
        <v>3995</v>
      </c>
      <c r="M3552" s="2" t="s">
        <v>34254</v>
      </c>
      <c r="N3552" s="3" t="s">
        <v>1855</v>
      </c>
      <c r="O3552" s="2" t="s">
        <v>933</v>
      </c>
      <c r="P3552" s="3" t="s">
        <v>65</v>
      </c>
      <c r="Q3552" s="2" t="s">
        <v>34255</v>
      </c>
      <c r="R3552" s="3" t="s">
        <v>66</v>
      </c>
      <c r="S3552" s="4">
        <v>14</v>
      </c>
      <c r="T3552" s="4">
        <v>14</v>
      </c>
      <c r="U3552" s="5" t="s">
        <v>34256</v>
      </c>
      <c r="V3552" s="5" t="s">
        <v>34256</v>
      </c>
      <c r="W3552" s="5" t="s">
        <v>67</v>
      </c>
      <c r="X3552" s="5" t="s">
        <v>67</v>
      </c>
      <c r="Y3552" s="4">
        <v>93</v>
      </c>
      <c r="Z3552" s="4">
        <v>9</v>
      </c>
      <c r="AA3552" s="4">
        <v>16</v>
      </c>
      <c r="AB3552" s="4">
        <v>1</v>
      </c>
      <c r="AC3552" s="4">
        <v>5</v>
      </c>
      <c r="AD3552" s="4">
        <v>25</v>
      </c>
      <c r="AE3552" s="4">
        <v>40</v>
      </c>
      <c r="AF3552" s="4">
        <v>0</v>
      </c>
      <c r="AG3552" s="4">
        <v>1</v>
      </c>
      <c r="AH3552" s="4">
        <v>23</v>
      </c>
      <c r="AI3552" s="4">
        <v>34</v>
      </c>
      <c r="AJ3552" s="4">
        <v>7</v>
      </c>
      <c r="AK3552" s="4">
        <v>8</v>
      </c>
      <c r="AL3552" s="4">
        <v>15</v>
      </c>
      <c r="AM3552" s="4">
        <v>21</v>
      </c>
      <c r="AN3552" s="4">
        <v>0</v>
      </c>
      <c r="AO3552" s="4">
        <v>0</v>
      </c>
      <c r="AP3552" s="4">
        <v>7</v>
      </c>
      <c r="AQ3552" s="4">
        <v>10</v>
      </c>
      <c r="AR3552" s="3" t="s">
        <v>62</v>
      </c>
      <c r="AS3552" s="3" t="s">
        <v>62</v>
      </c>
      <c r="AT3552" s="3" t="s">
        <v>62</v>
      </c>
      <c r="AV3552" s="6" t="str">
        <f>HYPERLINK("http://mcgill.on.worldcat.org/oclc/54931591","Catalog Record")</f>
        <v>Catalog Record</v>
      </c>
      <c r="AW3552" s="6" t="str">
        <f>HYPERLINK("http://www.worldcat.org/oclc/54931591","WorldCat Record")</f>
        <v>WorldCat Record</v>
      </c>
      <c r="AX3552" s="3" t="s">
        <v>34257</v>
      </c>
      <c r="AY3552" s="3" t="s">
        <v>34258</v>
      </c>
      <c r="AZ3552" s="3" t="s">
        <v>34259</v>
      </c>
      <c r="BA3552" s="3" t="s">
        <v>34259</v>
      </c>
      <c r="BB3552" s="3" t="s">
        <v>34260</v>
      </c>
      <c r="BC3552" s="3" t="s">
        <v>142</v>
      </c>
      <c r="BD3552" s="3" t="s">
        <v>68</v>
      </c>
      <c r="BE3552" s="3" t="s">
        <v>34261</v>
      </c>
      <c r="BF3552" s="3" t="s">
        <v>34260</v>
      </c>
      <c r="BG3552" s="3" t="s">
        <v>34262</v>
      </c>
    </row>
    <row r="3553" spans="1:59" ht="57" x14ac:dyDescent="0.45">
      <c r="A3553" s="2" t="s">
        <v>59</v>
      </c>
      <c r="B3553" s="2" t="s">
        <v>60</v>
      </c>
      <c r="C3553" s="2" t="s">
        <v>34263</v>
      </c>
      <c r="D3553" s="2" t="s">
        <v>34264</v>
      </c>
      <c r="E3553" s="2" t="s">
        <v>34265</v>
      </c>
      <c r="G3553" s="3" t="s">
        <v>62</v>
      </c>
      <c r="I3553" s="3" t="s">
        <v>62</v>
      </c>
      <c r="J3553" s="3" t="s">
        <v>62</v>
      </c>
      <c r="K3553" s="3" t="s">
        <v>63</v>
      </c>
      <c r="L3553" s="2" t="s">
        <v>34266</v>
      </c>
      <c r="M3553" s="2" t="s">
        <v>34267</v>
      </c>
      <c r="N3553" s="3" t="s">
        <v>195</v>
      </c>
      <c r="P3553" s="3" t="s">
        <v>65</v>
      </c>
      <c r="R3553" s="3" t="s">
        <v>66</v>
      </c>
      <c r="S3553" s="4">
        <v>49</v>
      </c>
      <c r="T3553" s="4">
        <v>49</v>
      </c>
      <c r="U3553" s="5" t="s">
        <v>13035</v>
      </c>
      <c r="V3553" s="5" t="s">
        <v>13035</v>
      </c>
      <c r="W3553" s="5" t="s">
        <v>67</v>
      </c>
      <c r="X3553" s="5" t="s">
        <v>67</v>
      </c>
      <c r="Y3553" s="4">
        <v>275</v>
      </c>
      <c r="Z3553" s="4">
        <v>17</v>
      </c>
      <c r="AA3553" s="4">
        <v>20</v>
      </c>
      <c r="AB3553" s="4">
        <v>2</v>
      </c>
      <c r="AC3553" s="4">
        <v>4</v>
      </c>
      <c r="AD3553" s="4">
        <v>99</v>
      </c>
      <c r="AE3553" s="4">
        <v>104</v>
      </c>
      <c r="AF3553" s="4">
        <v>1</v>
      </c>
      <c r="AG3553" s="4">
        <v>3</v>
      </c>
      <c r="AH3553" s="4">
        <v>92</v>
      </c>
      <c r="AI3553" s="4">
        <v>95</v>
      </c>
      <c r="AJ3553" s="4">
        <v>13</v>
      </c>
      <c r="AK3553" s="4">
        <v>15</v>
      </c>
      <c r="AL3553" s="4">
        <v>47</v>
      </c>
      <c r="AM3553" s="4">
        <v>48</v>
      </c>
      <c r="AN3553" s="4">
        <v>0</v>
      </c>
      <c r="AO3553" s="4">
        <v>0</v>
      </c>
      <c r="AP3553" s="4">
        <v>15</v>
      </c>
      <c r="AQ3553" s="4">
        <v>18</v>
      </c>
      <c r="AR3553" s="3" t="s">
        <v>62</v>
      </c>
      <c r="AS3553" s="3" t="s">
        <v>62</v>
      </c>
      <c r="AT3553" s="3" t="s">
        <v>61</v>
      </c>
      <c r="AU3553" s="6" t="str">
        <f>HYPERLINK("http://catalog.hathitrust.org/Record/002782055","HathiTrust Record")</f>
        <v>HathiTrust Record</v>
      </c>
      <c r="AV3553" s="6" t="str">
        <f>HYPERLINK("http://mcgill.on.worldcat.org/oclc/27108924","Catalog Record")</f>
        <v>Catalog Record</v>
      </c>
      <c r="AW3553" s="6" t="str">
        <f>HYPERLINK("http://www.worldcat.org/oclc/27108924","WorldCat Record")</f>
        <v>WorldCat Record</v>
      </c>
      <c r="AX3553" s="3" t="s">
        <v>34268</v>
      </c>
      <c r="AY3553" s="3" t="s">
        <v>34269</v>
      </c>
      <c r="AZ3553" s="3" t="s">
        <v>34270</v>
      </c>
      <c r="BA3553" s="3" t="s">
        <v>34270</v>
      </c>
      <c r="BB3553" s="3" t="s">
        <v>34271</v>
      </c>
      <c r="BC3553" s="3" t="s">
        <v>142</v>
      </c>
      <c r="BD3553" s="3" t="s">
        <v>68</v>
      </c>
      <c r="BE3553" s="3" t="s">
        <v>34272</v>
      </c>
      <c r="BF3553" s="3" t="s">
        <v>34271</v>
      </c>
      <c r="BG3553" s="3" t="s">
        <v>34273</v>
      </c>
    </row>
    <row r="3554" spans="1:59" ht="57" x14ac:dyDescent="0.45">
      <c r="A3554" s="2" t="s">
        <v>59</v>
      </c>
      <c r="B3554" s="2" t="s">
        <v>60</v>
      </c>
      <c r="C3554" s="2" t="s">
        <v>34274</v>
      </c>
      <c r="D3554" s="2" t="s">
        <v>34275</v>
      </c>
      <c r="E3554" s="2" t="s">
        <v>34276</v>
      </c>
      <c r="G3554" s="3" t="s">
        <v>62</v>
      </c>
      <c r="I3554" s="3" t="s">
        <v>62</v>
      </c>
      <c r="J3554" s="3" t="s">
        <v>62</v>
      </c>
      <c r="K3554" s="3" t="s">
        <v>63</v>
      </c>
      <c r="L3554" s="2" t="s">
        <v>34277</v>
      </c>
      <c r="M3554" s="2" t="s">
        <v>34278</v>
      </c>
      <c r="N3554" s="3" t="s">
        <v>1688</v>
      </c>
      <c r="P3554" s="3" t="s">
        <v>65</v>
      </c>
      <c r="Q3554" s="2" t="s">
        <v>34279</v>
      </c>
      <c r="R3554" s="3" t="s">
        <v>66</v>
      </c>
      <c r="S3554" s="4">
        <v>2</v>
      </c>
      <c r="T3554" s="4">
        <v>2</v>
      </c>
      <c r="U3554" s="5" t="s">
        <v>34280</v>
      </c>
      <c r="V3554" s="5" t="s">
        <v>34280</v>
      </c>
      <c r="W3554" s="5" t="s">
        <v>67</v>
      </c>
      <c r="X3554" s="5" t="s">
        <v>67</v>
      </c>
      <c r="Y3554" s="4">
        <v>287</v>
      </c>
      <c r="Z3554" s="4">
        <v>11</v>
      </c>
      <c r="AA3554" s="4">
        <v>15</v>
      </c>
      <c r="AB3554" s="4">
        <v>1</v>
      </c>
      <c r="AC3554" s="4">
        <v>3</v>
      </c>
      <c r="AD3554" s="4">
        <v>61</v>
      </c>
      <c r="AE3554" s="4">
        <v>68</v>
      </c>
      <c r="AF3554" s="4">
        <v>0</v>
      </c>
      <c r="AG3554" s="4">
        <v>0</v>
      </c>
      <c r="AH3554" s="4">
        <v>58</v>
      </c>
      <c r="AI3554" s="4">
        <v>63</v>
      </c>
      <c r="AJ3554" s="4">
        <v>8</v>
      </c>
      <c r="AK3554" s="4">
        <v>9</v>
      </c>
      <c r="AL3554" s="4">
        <v>31</v>
      </c>
      <c r="AM3554" s="4">
        <v>37</v>
      </c>
      <c r="AN3554" s="4">
        <v>0</v>
      </c>
      <c r="AO3554" s="4">
        <v>0</v>
      </c>
      <c r="AP3554" s="4">
        <v>8</v>
      </c>
      <c r="AQ3554" s="4">
        <v>9</v>
      </c>
      <c r="AR3554" s="3" t="s">
        <v>62</v>
      </c>
      <c r="AS3554" s="3" t="s">
        <v>62</v>
      </c>
      <c r="AT3554" s="3" t="s">
        <v>62</v>
      </c>
      <c r="AV3554" s="6" t="str">
        <f>HYPERLINK("http://mcgill.on.worldcat.org/oclc/858975363","Catalog Record")</f>
        <v>Catalog Record</v>
      </c>
      <c r="AW3554" s="6" t="str">
        <f>HYPERLINK("http://www.worldcat.org/oclc/858975363","WorldCat Record")</f>
        <v>WorldCat Record</v>
      </c>
      <c r="AX3554" s="3" t="s">
        <v>34281</v>
      </c>
      <c r="AY3554" s="3" t="s">
        <v>34282</v>
      </c>
      <c r="AZ3554" s="3" t="s">
        <v>34283</v>
      </c>
      <c r="BA3554" s="3" t="s">
        <v>34283</v>
      </c>
      <c r="BB3554" s="3" t="s">
        <v>34284</v>
      </c>
      <c r="BC3554" s="3" t="s">
        <v>142</v>
      </c>
      <c r="BD3554" s="3" t="s">
        <v>68</v>
      </c>
      <c r="BE3554" s="3" t="s">
        <v>34285</v>
      </c>
      <c r="BF3554" s="3" t="s">
        <v>34284</v>
      </c>
      <c r="BG3554" s="3" t="s">
        <v>34286</v>
      </c>
    </row>
    <row r="3555" spans="1:59" ht="57" x14ac:dyDescent="0.45">
      <c r="A3555" s="2" t="s">
        <v>59</v>
      </c>
      <c r="B3555" s="2" t="s">
        <v>60</v>
      </c>
      <c r="C3555" s="2" t="s">
        <v>34287</v>
      </c>
      <c r="D3555" s="2" t="s">
        <v>34288</v>
      </c>
      <c r="E3555" s="2" t="s">
        <v>34289</v>
      </c>
      <c r="G3555" s="3" t="s">
        <v>62</v>
      </c>
      <c r="I3555" s="3" t="s">
        <v>62</v>
      </c>
      <c r="J3555" s="3" t="s">
        <v>62</v>
      </c>
      <c r="K3555" s="3" t="s">
        <v>63</v>
      </c>
      <c r="M3555" s="2" t="s">
        <v>34290</v>
      </c>
      <c r="N3555" s="3" t="s">
        <v>1465</v>
      </c>
      <c r="P3555" s="3" t="s">
        <v>65</v>
      </c>
      <c r="Q3555" s="2" t="s">
        <v>33668</v>
      </c>
      <c r="R3555" s="3" t="s">
        <v>66</v>
      </c>
      <c r="S3555" s="4">
        <v>8</v>
      </c>
      <c r="T3555" s="4">
        <v>8</v>
      </c>
      <c r="U3555" s="5" t="s">
        <v>386</v>
      </c>
      <c r="V3555" s="5" t="s">
        <v>386</v>
      </c>
      <c r="W3555" s="5" t="s">
        <v>67</v>
      </c>
      <c r="X3555" s="5" t="s">
        <v>67</v>
      </c>
      <c r="Y3555" s="4">
        <v>212</v>
      </c>
      <c r="Z3555" s="4">
        <v>21</v>
      </c>
      <c r="AA3555" s="4">
        <v>97</v>
      </c>
      <c r="AB3555" s="4">
        <v>3</v>
      </c>
      <c r="AC3555" s="4">
        <v>17</v>
      </c>
      <c r="AD3555" s="4">
        <v>76</v>
      </c>
      <c r="AE3555" s="4">
        <v>119</v>
      </c>
      <c r="AF3555" s="4">
        <v>2</v>
      </c>
      <c r="AG3555" s="4">
        <v>8</v>
      </c>
      <c r="AH3555" s="4">
        <v>66</v>
      </c>
      <c r="AI3555" s="4">
        <v>85</v>
      </c>
      <c r="AJ3555" s="4">
        <v>16</v>
      </c>
      <c r="AK3555" s="4">
        <v>24</v>
      </c>
      <c r="AL3555" s="4">
        <v>40</v>
      </c>
      <c r="AM3555" s="4">
        <v>44</v>
      </c>
      <c r="AN3555" s="4">
        <v>0</v>
      </c>
      <c r="AO3555" s="4">
        <v>0</v>
      </c>
      <c r="AP3555" s="4">
        <v>18</v>
      </c>
      <c r="AQ3555" s="4">
        <v>45</v>
      </c>
      <c r="AR3555" s="3" t="s">
        <v>62</v>
      </c>
      <c r="AS3555" s="3" t="s">
        <v>62</v>
      </c>
      <c r="AT3555" s="3" t="s">
        <v>62</v>
      </c>
      <c r="AV3555" s="6" t="str">
        <f>HYPERLINK("http://mcgill.on.worldcat.org/oclc/244354513","Catalog Record")</f>
        <v>Catalog Record</v>
      </c>
      <c r="AW3555" s="6" t="str">
        <f>HYPERLINK("http://www.worldcat.org/oclc/244354513","WorldCat Record")</f>
        <v>WorldCat Record</v>
      </c>
      <c r="AX3555" s="3" t="s">
        <v>34291</v>
      </c>
      <c r="AY3555" s="3" t="s">
        <v>34292</v>
      </c>
      <c r="AZ3555" s="3" t="s">
        <v>34293</v>
      </c>
      <c r="BA3555" s="3" t="s">
        <v>34293</v>
      </c>
      <c r="BB3555" s="3" t="s">
        <v>34294</v>
      </c>
      <c r="BC3555" s="3" t="s">
        <v>142</v>
      </c>
      <c r="BD3555" s="3" t="s">
        <v>308</v>
      </c>
      <c r="BE3555" s="3" t="s">
        <v>34295</v>
      </c>
      <c r="BF3555" s="3" t="s">
        <v>34294</v>
      </c>
      <c r="BG3555" s="3" t="s">
        <v>34296</v>
      </c>
    </row>
    <row r="3556" spans="1:59" ht="57" x14ac:dyDescent="0.45">
      <c r="A3556" s="2" t="s">
        <v>59</v>
      </c>
      <c r="B3556" s="2" t="s">
        <v>60</v>
      </c>
      <c r="C3556" s="2" t="s">
        <v>34297</v>
      </c>
      <c r="D3556" s="2" t="s">
        <v>34298</v>
      </c>
      <c r="E3556" s="2" t="s">
        <v>34299</v>
      </c>
      <c r="G3556" s="3" t="s">
        <v>62</v>
      </c>
      <c r="I3556" s="3" t="s">
        <v>61</v>
      </c>
      <c r="J3556" s="3" t="s">
        <v>62</v>
      </c>
      <c r="K3556" s="3" t="s">
        <v>63</v>
      </c>
      <c r="M3556" s="2" t="s">
        <v>34300</v>
      </c>
      <c r="N3556" s="3" t="s">
        <v>1059</v>
      </c>
      <c r="P3556" s="3" t="s">
        <v>65</v>
      </c>
      <c r="Q3556" s="2" t="s">
        <v>34301</v>
      </c>
      <c r="R3556" s="3" t="s">
        <v>66</v>
      </c>
      <c r="S3556" s="4">
        <v>18</v>
      </c>
      <c r="T3556" s="4">
        <v>31</v>
      </c>
      <c r="U3556" s="5" t="s">
        <v>25354</v>
      </c>
      <c r="V3556" s="5" t="s">
        <v>25354</v>
      </c>
      <c r="W3556" s="5" t="s">
        <v>67</v>
      </c>
      <c r="X3556" s="5" t="s">
        <v>67</v>
      </c>
      <c r="Y3556" s="4">
        <v>263</v>
      </c>
      <c r="Z3556" s="4">
        <v>23</v>
      </c>
      <c r="AA3556" s="4">
        <v>110</v>
      </c>
      <c r="AB3556" s="4">
        <v>4</v>
      </c>
      <c r="AC3556" s="4">
        <v>18</v>
      </c>
      <c r="AD3556" s="4">
        <v>75</v>
      </c>
      <c r="AE3556" s="4">
        <v>130</v>
      </c>
      <c r="AF3556" s="4">
        <v>2</v>
      </c>
      <c r="AG3556" s="4">
        <v>8</v>
      </c>
      <c r="AH3556" s="4">
        <v>64</v>
      </c>
      <c r="AI3556" s="4">
        <v>91</v>
      </c>
      <c r="AJ3556" s="4">
        <v>14</v>
      </c>
      <c r="AK3556" s="4">
        <v>24</v>
      </c>
      <c r="AL3556" s="4">
        <v>35</v>
      </c>
      <c r="AM3556" s="4">
        <v>46</v>
      </c>
      <c r="AN3556" s="4">
        <v>0</v>
      </c>
      <c r="AO3556" s="4">
        <v>0</v>
      </c>
      <c r="AP3556" s="4">
        <v>19</v>
      </c>
      <c r="AQ3556" s="4">
        <v>47</v>
      </c>
      <c r="AR3556" s="3" t="s">
        <v>62</v>
      </c>
      <c r="AS3556" s="3" t="s">
        <v>62</v>
      </c>
      <c r="AT3556" s="3" t="s">
        <v>61</v>
      </c>
      <c r="AU3556" s="6" t="str">
        <f>HYPERLINK("http://catalog.hathitrust.org/Record/007155607","HathiTrust Record")</f>
        <v>HathiTrust Record</v>
      </c>
      <c r="AV3556" s="6" t="str">
        <f>HYPERLINK("http://mcgill.on.worldcat.org/oclc/61169747","Catalog Record")</f>
        <v>Catalog Record</v>
      </c>
      <c r="AW3556" s="6" t="str">
        <f>HYPERLINK("http://www.worldcat.org/oclc/61169747","WorldCat Record")</f>
        <v>WorldCat Record</v>
      </c>
      <c r="AX3556" s="3" t="s">
        <v>34302</v>
      </c>
      <c r="AY3556" s="3" t="s">
        <v>34303</v>
      </c>
      <c r="AZ3556" s="3" t="s">
        <v>34304</v>
      </c>
      <c r="BA3556" s="3" t="s">
        <v>34304</v>
      </c>
      <c r="BB3556" s="3" t="s">
        <v>34305</v>
      </c>
      <c r="BC3556" s="3" t="s">
        <v>142</v>
      </c>
      <c r="BD3556" s="3" t="s">
        <v>68</v>
      </c>
      <c r="BE3556" s="3" t="s">
        <v>34306</v>
      </c>
      <c r="BF3556" s="3" t="s">
        <v>34305</v>
      </c>
      <c r="BG3556" s="3" t="s">
        <v>34307</v>
      </c>
    </row>
    <row r="3557" spans="1:59" ht="57" x14ac:dyDescent="0.45">
      <c r="A3557" s="2" t="s">
        <v>59</v>
      </c>
      <c r="B3557" s="2" t="s">
        <v>412</v>
      </c>
      <c r="C3557" s="2" t="s">
        <v>34297</v>
      </c>
      <c r="D3557" s="2" t="s">
        <v>34298</v>
      </c>
      <c r="E3557" s="2" t="s">
        <v>34299</v>
      </c>
      <c r="G3557" s="3" t="s">
        <v>62</v>
      </c>
      <c r="I3557" s="3" t="s">
        <v>61</v>
      </c>
      <c r="J3557" s="3" t="s">
        <v>62</v>
      </c>
      <c r="K3557" s="3" t="s">
        <v>63</v>
      </c>
      <c r="M3557" s="2" t="s">
        <v>34300</v>
      </c>
      <c r="N3557" s="3" t="s">
        <v>1059</v>
      </c>
      <c r="P3557" s="3" t="s">
        <v>65</v>
      </c>
      <c r="Q3557" s="2" t="s">
        <v>34301</v>
      </c>
      <c r="R3557" s="3" t="s">
        <v>66</v>
      </c>
      <c r="S3557" s="4">
        <v>13</v>
      </c>
      <c r="T3557" s="4">
        <v>31</v>
      </c>
      <c r="U3557" s="5" t="s">
        <v>34308</v>
      </c>
      <c r="V3557" s="5" t="s">
        <v>25354</v>
      </c>
      <c r="W3557" s="5" t="s">
        <v>67</v>
      </c>
      <c r="X3557" s="5" t="s">
        <v>67</v>
      </c>
      <c r="Y3557" s="4">
        <v>263</v>
      </c>
      <c r="Z3557" s="4">
        <v>23</v>
      </c>
      <c r="AA3557" s="4">
        <v>110</v>
      </c>
      <c r="AB3557" s="4">
        <v>4</v>
      </c>
      <c r="AC3557" s="4">
        <v>18</v>
      </c>
      <c r="AD3557" s="4">
        <v>75</v>
      </c>
      <c r="AE3557" s="4">
        <v>130</v>
      </c>
      <c r="AF3557" s="4">
        <v>2</v>
      </c>
      <c r="AG3557" s="4">
        <v>8</v>
      </c>
      <c r="AH3557" s="4">
        <v>64</v>
      </c>
      <c r="AI3557" s="4">
        <v>91</v>
      </c>
      <c r="AJ3557" s="4">
        <v>14</v>
      </c>
      <c r="AK3557" s="4">
        <v>24</v>
      </c>
      <c r="AL3557" s="4">
        <v>35</v>
      </c>
      <c r="AM3557" s="4">
        <v>46</v>
      </c>
      <c r="AN3557" s="4">
        <v>0</v>
      </c>
      <c r="AO3557" s="4">
        <v>0</v>
      </c>
      <c r="AP3557" s="4">
        <v>19</v>
      </c>
      <c r="AQ3557" s="4">
        <v>47</v>
      </c>
      <c r="AR3557" s="3" t="s">
        <v>62</v>
      </c>
      <c r="AS3557" s="3" t="s">
        <v>62</v>
      </c>
      <c r="AT3557" s="3" t="s">
        <v>61</v>
      </c>
      <c r="AU3557" s="6" t="str">
        <f>HYPERLINK("http://catalog.hathitrust.org/Record/007155607","HathiTrust Record")</f>
        <v>HathiTrust Record</v>
      </c>
      <c r="AV3557" s="6" t="str">
        <f>HYPERLINK("http://mcgill.on.worldcat.org/oclc/61169747","Catalog Record")</f>
        <v>Catalog Record</v>
      </c>
      <c r="AW3557" s="6" t="str">
        <f>HYPERLINK("http://www.worldcat.org/oclc/61169747","WorldCat Record")</f>
        <v>WorldCat Record</v>
      </c>
      <c r="AX3557" s="3" t="s">
        <v>34302</v>
      </c>
      <c r="AY3557" s="3" t="s">
        <v>34303</v>
      </c>
      <c r="AZ3557" s="3" t="s">
        <v>34304</v>
      </c>
      <c r="BA3557" s="3" t="s">
        <v>34304</v>
      </c>
      <c r="BB3557" s="3" t="s">
        <v>34309</v>
      </c>
      <c r="BC3557" s="3" t="s">
        <v>142</v>
      </c>
      <c r="BD3557" s="3" t="s">
        <v>68</v>
      </c>
      <c r="BE3557" s="3" t="s">
        <v>34306</v>
      </c>
      <c r="BF3557" s="3" t="s">
        <v>34309</v>
      </c>
      <c r="BG3557" s="3" t="s">
        <v>34310</v>
      </c>
    </row>
    <row r="3558" spans="1:59" ht="57" x14ac:dyDescent="0.45">
      <c r="A3558" s="2" t="s">
        <v>59</v>
      </c>
      <c r="B3558" s="2" t="s">
        <v>60</v>
      </c>
      <c r="C3558" s="2" t="s">
        <v>34311</v>
      </c>
      <c r="D3558" s="2" t="s">
        <v>34312</v>
      </c>
      <c r="E3558" s="2" t="s">
        <v>34313</v>
      </c>
      <c r="G3558" s="3" t="s">
        <v>62</v>
      </c>
      <c r="I3558" s="3" t="s">
        <v>62</v>
      </c>
      <c r="J3558" s="3" t="s">
        <v>62</v>
      </c>
      <c r="K3558" s="3" t="s">
        <v>63</v>
      </c>
      <c r="M3558" s="2" t="s">
        <v>34314</v>
      </c>
      <c r="N3558" s="3" t="s">
        <v>945</v>
      </c>
      <c r="P3558" s="3" t="s">
        <v>65</v>
      </c>
      <c r="R3558" s="3" t="s">
        <v>66</v>
      </c>
      <c r="S3558" s="4">
        <v>8</v>
      </c>
      <c r="T3558" s="4">
        <v>8</v>
      </c>
      <c r="U3558" s="5" t="s">
        <v>19032</v>
      </c>
      <c r="V3558" s="5" t="s">
        <v>19032</v>
      </c>
      <c r="W3558" s="5" t="s">
        <v>67</v>
      </c>
      <c r="X3558" s="5" t="s">
        <v>67</v>
      </c>
      <c r="Y3558" s="4">
        <v>139</v>
      </c>
      <c r="Z3558" s="4">
        <v>7</v>
      </c>
      <c r="AA3558" s="4">
        <v>47</v>
      </c>
      <c r="AB3558" s="4">
        <v>1</v>
      </c>
      <c r="AC3558" s="4">
        <v>14</v>
      </c>
      <c r="AD3558" s="4">
        <v>50</v>
      </c>
      <c r="AE3558" s="4">
        <v>107</v>
      </c>
      <c r="AF3558" s="4">
        <v>0</v>
      </c>
      <c r="AG3558" s="4">
        <v>8</v>
      </c>
      <c r="AH3558" s="4">
        <v>49</v>
      </c>
      <c r="AI3558" s="4">
        <v>78</v>
      </c>
      <c r="AJ3558" s="4">
        <v>6</v>
      </c>
      <c r="AK3558" s="4">
        <v>22</v>
      </c>
      <c r="AL3558" s="4">
        <v>32</v>
      </c>
      <c r="AM3558" s="4">
        <v>43</v>
      </c>
      <c r="AN3558" s="4">
        <v>0</v>
      </c>
      <c r="AO3558" s="4">
        <v>0</v>
      </c>
      <c r="AP3558" s="4">
        <v>6</v>
      </c>
      <c r="AQ3558" s="4">
        <v>39</v>
      </c>
      <c r="AR3558" s="3" t="s">
        <v>62</v>
      </c>
      <c r="AS3558" s="3" t="s">
        <v>62</v>
      </c>
      <c r="AT3558" s="3" t="s">
        <v>62</v>
      </c>
      <c r="AV3558" s="6" t="str">
        <f>HYPERLINK("http://mcgill.on.worldcat.org/oclc/144228484","Catalog Record")</f>
        <v>Catalog Record</v>
      </c>
      <c r="AW3558" s="6" t="str">
        <f>HYPERLINK("http://www.worldcat.org/oclc/144228484","WorldCat Record")</f>
        <v>WorldCat Record</v>
      </c>
      <c r="AX3558" s="3" t="s">
        <v>34315</v>
      </c>
      <c r="AY3558" s="3" t="s">
        <v>34316</v>
      </c>
      <c r="AZ3558" s="3" t="s">
        <v>34317</v>
      </c>
      <c r="BA3558" s="3" t="s">
        <v>34317</v>
      </c>
      <c r="BB3558" s="3" t="s">
        <v>34318</v>
      </c>
      <c r="BC3558" s="3" t="s">
        <v>142</v>
      </c>
      <c r="BD3558" s="3" t="s">
        <v>68</v>
      </c>
      <c r="BE3558" s="3" t="s">
        <v>34319</v>
      </c>
      <c r="BF3558" s="3" t="s">
        <v>34318</v>
      </c>
      <c r="BG3558" s="3" t="s">
        <v>34320</v>
      </c>
    </row>
    <row r="3559" spans="1:59" ht="57" x14ac:dyDescent="0.45">
      <c r="A3559" s="2" t="s">
        <v>59</v>
      </c>
      <c r="B3559" s="2" t="s">
        <v>60</v>
      </c>
      <c r="C3559" s="2" t="s">
        <v>34321</v>
      </c>
      <c r="D3559" s="2" t="s">
        <v>34322</v>
      </c>
      <c r="E3559" s="2" t="s">
        <v>34323</v>
      </c>
      <c r="G3559" s="3" t="s">
        <v>62</v>
      </c>
      <c r="I3559" s="3" t="s">
        <v>62</v>
      </c>
      <c r="J3559" s="3" t="s">
        <v>62</v>
      </c>
      <c r="K3559" s="3" t="s">
        <v>63</v>
      </c>
      <c r="M3559" s="2" t="s">
        <v>5581</v>
      </c>
      <c r="N3559" s="3" t="s">
        <v>181</v>
      </c>
      <c r="P3559" s="3" t="s">
        <v>65</v>
      </c>
      <c r="Q3559" s="2" t="s">
        <v>34324</v>
      </c>
      <c r="R3559" s="3" t="s">
        <v>66</v>
      </c>
      <c r="S3559" s="4">
        <v>0</v>
      </c>
      <c r="T3559" s="4">
        <v>0</v>
      </c>
      <c r="W3559" s="5" t="s">
        <v>67</v>
      </c>
      <c r="X3559" s="5" t="s">
        <v>67</v>
      </c>
      <c r="Y3559" s="4">
        <v>65</v>
      </c>
      <c r="Z3559" s="4">
        <v>10</v>
      </c>
      <c r="AA3559" s="4">
        <v>10</v>
      </c>
      <c r="AB3559" s="4">
        <v>1</v>
      </c>
      <c r="AC3559" s="4">
        <v>1</v>
      </c>
      <c r="AD3559" s="4">
        <v>30</v>
      </c>
      <c r="AE3559" s="4">
        <v>30</v>
      </c>
      <c r="AF3559" s="4">
        <v>0</v>
      </c>
      <c r="AG3559" s="4">
        <v>0</v>
      </c>
      <c r="AH3559" s="4">
        <v>27</v>
      </c>
      <c r="AI3559" s="4">
        <v>27</v>
      </c>
      <c r="AJ3559" s="4">
        <v>8</v>
      </c>
      <c r="AK3559" s="4">
        <v>8</v>
      </c>
      <c r="AL3559" s="4">
        <v>15</v>
      </c>
      <c r="AM3559" s="4">
        <v>15</v>
      </c>
      <c r="AN3559" s="4">
        <v>0</v>
      </c>
      <c r="AO3559" s="4">
        <v>0</v>
      </c>
      <c r="AP3559" s="4">
        <v>9</v>
      </c>
      <c r="AQ3559" s="4">
        <v>9</v>
      </c>
      <c r="AR3559" s="3" t="s">
        <v>62</v>
      </c>
      <c r="AS3559" s="3" t="s">
        <v>62</v>
      </c>
      <c r="AT3559" s="3" t="s">
        <v>62</v>
      </c>
      <c r="AV3559" s="6" t="str">
        <f>HYPERLINK("http://mcgill.on.worldcat.org/oclc/953867217","Catalog Record")</f>
        <v>Catalog Record</v>
      </c>
      <c r="AW3559" s="6" t="str">
        <f>HYPERLINK("http://www.worldcat.org/oclc/953867217","WorldCat Record")</f>
        <v>WorldCat Record</v>
      </c>
      <c r="AX3559" s="3" t="s">
        <v>34325</v>
      </c>
      <c r="AY3559" s="3" t="s">
        <v>34326</v>
      </c>
      <c r="AZ3559" s="3" t="s">
        <v>34327</v>
      </c>
      <c r="BA3559" s="3" t="s">
        <v>34327</v>
      </c>
      <c r="BB3559" s="3" t="s">
        <v>34328</v>
      </c>
      <c r="BC3559" s="3" t="s">
        <v>142</v>
      </c>
      <c r="BD3559" s="3" t="s">
        <v>68</v>
      </c>
      <c r="BE3559" s="3" t="s">
        <v>34329</v>
      </c>
      <c r="BF3559" s="3" t="s">
        <v>34328</v>
      </c>
      <c r="BG3559" s="3" t="s">
        <v>34330</v>
      </c>
    </row>
    <row r="3560" spans="1:59" ht="57" x14ac:dyDescent="0.45">
      <c r="A3560" s="2" t="s">
        <v>59</v>
      </c>
      <c r="B3560" s="2" t="s">
        <v>60</v>
      </c>
      <c r="C3560" s="2" t="s">
        <v>34331</v>
      </c>
      <c r="D3560" s="2" t="s">
        <v>34332</v>
      </c>
      <c r="E3560" s="2" t="s">
        <v>34333</v>
      </c>
      <c r="G3560" s="3" t="s">
        <v>62</v>
      </c>
      <c r="I3560" s="3" t="s">
        <v>62</v>
      </c>
      <c r="J3560" s="3" t="s">
        <v>62</v>
      </c>
      <c r="K3560" s="3" t="s">
        <v>63</v>
      </c>
      <c r="L3560" s="2" t="s">
        <v>34334</v>
      </c>
      <c r="M3560" s="2" t="s">
        <v>34335</v>
      </c>
      <c r="N3560" s="3" t="s">
        <v>918</v>
      </c>
      <c r="P3560" s="3" t="s">
        <v>65</v>
      </c>
      <c r="Q3560" s="2" t="s">
        <v>34336</v>
      </c>
      <c r="R3560" s="3" t="s">
        <v>66</v>
      </c>
      <c r="S3560" s="4">
        <v>5</v>
      </c>
      <c r="T3560" s="4">
        <v>5</v>
      </c>
      <c r="U3560" s="5" t="s">
        <v>19032</v>
      </c>
      <c r="V3560" s="5" t="s">
        <v>19032</v>
      </c>
      <c r="W3560" s="5" t="s">
        <v>67</v>
      </c>
      <c r="X3560" s="5" t="s">
        <v>67</v>
      </c>
      <c r="Y3560" s="4">
        <v>118</v>
      </c>
      <c r="Z3560" s="4">
        <v>9</v>
      </c>
      <c r="AA3560" s="4">
        <v>102</v>
      </c>
      <c r="AB3560" s="4">
        <v>2</v>
      </c>
      <c r="AC3560" s="4">
        <v>17</v>
      </c>
      <c r="AD3560" s="4">
        <v>52</v>
      </c>
      <c r="AE3560" s="4">
        <v>122</v>
      </c>
      <c r="AF3560" s="4">
        <v>1</v>
      </c>
      <c r="AG3560" s="4">
        <v>8</v>
      </c>
      <c r="AH3560" s="4">
        <v>49</v>
      </c>
      <c r="AI3560" s="4">
        <v>87</v>
      </c>
      <c r="AJ3560" s="4">
        <v>7</v>
      </c>
      <c r="AK3560" s="4">
        <v>22</v>
      </c>
      <c r="AL3560" s="4">
        <v>29</v>
      </c>
      <c r="AM3560" s="4">
        <v>44</v>
      </c>
      <c r="AN3560" s="4">
        <v>0</v>
      </c>
      <c r="AO3560" s="4">
        <v>0</v>
      </c>
      <c r="AP3560" s="4">
        <v>7</v>
      </c>
      <c r="AQ3560" s="4">
        <v>43</v>
      </c>
      <c r="AR3560" s="3" t="s">
        <v>62</v>
      </c>
      <c r="AS3560" s="3" t="s">
        <v>62</v>
      </c>
      <c r="AT3560" s="3" t="s">
        <v>62</v>
      </c>
      <c r="AV3560" s="6" t="str">
        <f>HYPERLINK("http://mcgill.on.worldcat.org/oclc/50761388","Catalog Record")</f>
        <v>Catalog Record</v>
      </c>
      <c r="AW3560" s="6" t="str">
        <f>HYPERLINK("http://www.worldcat.org/oclc/50761388","WorldCat Record")</f>
        <v>WorldCat Record</v>
      </c>
      <c r="AX3560" s="3" t="s">
        <v>34337</v>
      </c>
      <c r="AY3560" s="3" t="s">
        <v>34338</v>
      </c>
      <c r="AZ3560" s="3" t="s">
        <v>34339</v>
      </c>
      <c r="BA3560" s="3" t="s">
        <v>34339</v>
      </c>
      <c r="BB3560" s="3" t="s">
        <v>34340</v>
      </c>
      <c r="BC3560" s="3" t="s">
        <v>142</v>
      </c>
      <c r="BD3560" s="3" t="s">
        <v>68</v>
      </c>
      <c r="BE3560" s="3" t="s">
        <v>34341</v>
      </c>
      <c r="BF3560" s="3" t="s">
        <v>34340</v>
      </c>
      <c r="BG3560" s="3" t="s">
        <v>34342</v>
      </c>
    </row>
    <row r="3561" spans="1:59" ht="57" x14ac:dyDescent="0.45">
      <c r="A3561" s="2" t="s">
        <v>59</v>
      </c>
      <c r="B3561" s="2" t="s">
        <v>60</v>
      </c>
      <c r="C3561" s="2" t="s">
        <v>34343</v>
      </c>
      <c r="D3561" s="2" t="s">
        <v>34344</v>
      </c>
      <c r="E3561" s="2" t="s">
        <v>34345</v>
      </c>
      <c r="F3561" s="3" t="s">
        <v>34346</v>
      </c>
      <c r="G3561" s="3" t="s">
        <v>62</v>
      </c>
      <c r="I3561" s="3" t="s">
        <v>61</v>
      </c>
      <c r="J3561" s="3" t="s">
        <v>62</v>
      </c>
      <c r="K3561" s="3" t="s">
        <v>63</v>
      </c>
      <c r="L3561" s="2" t="s">
        <v>34347</v>
      </c>
      <c r="M3561" s="2" t="s">
        <v>34348</v>
      </c>
      <c r="N3561" s="3" t="s">
        <v>894</v>
      </c>
      <c r="P3561" s="3" t="s">
        <v>65</v>
      </c>
      <c r="R3561" s="3" t="s">
        <v>66</v>
      </c>
      <c r="S3561" s="4">
        <v>35</v>
      </c>
      <c r="T3561" s="4">
        <v>35</v>
      </c>
      <c r="U3561" s="5" t="s">
        <v>23151</v>
      </c>
      <c r="V3561" s="5" t="s">
        <v>23151</v>
      </c>
      <c r="W3561" s="5" t="s">
        <v>67</v>
      </c>
      <c r="X3561" s="5" t="s">
        <v>67</v>
      </c>
      <c r="Y3561" s="4">
        <v>114</v>
      </c>
      <c r="Z3561" s="4">
        <v>13</v>
      </c>
      <c r="AA3561" s="4">
        <v>39</v>
      </c>
      <c r="AB3561" s="4">
        <v>3</v>
      </c>
      <c r="AC3561" s="4">
        <v>8</v>
      </c>
      <c r="AD3561" s="4">
        <v>30</v>
      </c>
      <c r="AE3561" s="4">
        <v>68</v>
      </c>
      <c r="AF3561" s="4">
        <v>1</v>
      </c>
      <c r="AG3561" s="4">
        <v>3</v>
      </c>
      <c r="AH3561" s="4">
        <v>25</v>
      </c>
      <c r="AI3561" s="4">
        <v>54</v>
      </c>
      <c r="AJ3561" s="4">
        <v>9</v>
      </c>
      <c r="AK3561" s="4">
        <v>17</v>
      </c>
      <c r="AL3561" s="4">
        <v>16</v>
      </c>
      <c r="AM3561" s="4">
        <v>26</v>
      </c>
      <c r="AN3561" s="4">
        <v>0</v>
      </c>
      <c r="AO3561" s="4">
        <v>0</v>
      </c>
      <c r="AP3561" s="4">
        <v>10</v>
      </c>
      <c r="AQ3561" s="4">
        <v>23</v>
      </c>
      <c r="AR3561" s="3" t="s">
        <v>62</v>
      </c>
      <c r="AS3561" s="3" t="s">
        <v>62</v>
      </c>
      <c r="AT3561" s="3" t="s">
        <v>62</v>
      </c>
      <c r="AV3561" s="6" t="str">
        <f>HYPERLINK("http://mcgill.on.worldcat.org/oclc/664325487","Catalog Record")</f>
        <v>Catalog Record</v>
      </c>
      <c r="AW3561" s="6" t="str">
        <f>HYPERLINK("http://www.worldcat.org/oclc/664325487","WorldCat Record")</f>
        <v>WorldCat Record</v>
      </c>
      <c r="AX3561" s="3" t="s">
        <v>34349</v>
      </c>
      <c r="AY3561" s="3" t="s">
        <v>34350</v>
      </c>
      <c r="AZ3561" s="3" t="s">
        <v>34351</v>
      </c>
      <c r="BA3561" s="3" t="s">
        <v>34351</v>
      </c>
      <c r="BB3561" s="3" t="s">
        <v>34352</v>
      </c>
      <c r="BC3561" s="3" t="s">
        <v>142</v>
      </c>
      <c r="BD3561" s="3" t="s">
        <v>68</v>
      </c>
      <c r="BE3561" s="3" t="s">
        <v>34353</v>
      </c>
      <c r="BF3561" s="3" t="s">
        <v>34352</v>
      </c>
      <c r="BG3561" s="3" t="s">
        <v>34354</v>
      </c>
    </row>
    <row r="3562" spans="1:59" ht="57" x14ac:dyDescent="0.45">
      <c r="A3562" s="2" t="s">
        <v>59</v>
      </c>
      <c r="B3562" s="2" t="s">
        <v>60</v>
      </c>
      <c r="C3562" s="2" t="s">
        <v>34343</v>
      </c>
      <c r="D3562" s="2" t="s">
        <v>34344</v>
      </c>
      <c r="E3562" s="2" t="s">
        <v>34345</v>
      </c>
      <c r="F3562" s="3" t="s">
        <v>34355</v>
      </c>
      <c r="G3562" s="3" t="s">
        <v>62</v>
      </c>
      <c r="I3562" s="3" t="s">
        <v>61</v>
      </c>
      <c r="J3562" s="3" t="s">
        <v>62</v>
      </c>
      <c r="K3562" s="3" t="s">
        <v>63</v>
      </c>
      <c r="L3562" s="2" t="s">
        <v>34347</v>
      </c>
      <c r="M3562" s="2" t="s">
        <v>34348</v>
      </c>
      <c r="N3562" s="3" t="s">
        <v>894</v>
      </c>
      <c r="P3562" s="3" t="s">
        <v>65</v>
      </c>
      <c r="R3562" s="3" t="s">
        <v>66</v>
      </c>
      <c r="S3562" s="4">
        <v>0</v>
      </c>
      <c r="T3562" s="4">
        <v>35</v>
      </c>
      <c r="V3562" s="5" t="s">
        <v>23151</v>
      </c>
      <c r="W3562" s="5" t="s">
        <v>67</v>
      </c>
      <c r="X3562" s="5" t="s">
        <v>67</v>
      </c>
      <c r="Y3562" s="4">
        <v>114</v>
      </c>
      <c r="Z3562" s="4">
        <v>13</v>
      </c>
      <c r="AA3562" s="4">
        <v>39</v>
      </c>
      <c r="AB3562" s="4">
        <v>3</v>
      </c>
      <c r="AC3562" s="4">
        <v>8</v>
      </c>
      <c r="AD3562" s="4">
        <v>30</v>
      </c>
      <c r="AE3562" s="4">
        <v>68</v>
      </c>
      <c r="AF3562" s="4">
        <v>1</v>
      </c>
      <c r="AG3562" s="4">
        <v>3</v>
      </c>
      <c r="AH3562" s="4">
        <v>25</v>
      </c>
      <c r="AI3562" s="4">
        <v>54</v>
      </c>
      <c r="AJ3562" s="4">
        <v>9</v>
      </c>
      <c r="AK3562" s="4">
        <v>17</v>
      </c>
      <c r="AL3562" s="4">
        <v>16</v>
      </c>
      <c r="AM3562" s="4">
        <v>26</v>
      </c>
      <c r="AN3562" s="4">
        <v>0</v>
      </c>
      <c r="AO3562" s="4">
        <v>0</v>
      </c>
      <c r="AP3562" s="4">
        <v>10</v>
      </c>
      <c r="AQ3562" s="4">
        <v>23</v>
      </c>
      <c r="AR3562" s="3" t="s">
        <v>62</v>
      </c>
      <c r="AS3562" s="3" t="s">
        <v>62</v>
      </c>
      <c r="AT3562" s="3" t="s">
        <v>62</v>
      </c>
      <c r="AV3562" s="6" t="str">
        <f>HYPERLINK("http://mcgill.on.worldcat.org/oclc/664325487","Catalog Record")</f>
        <v>Catalog Record</v>
      </c>
      <c r="AW3562" s="6" t="str">
        <f>HYPERLINK("http://www.worldcat.org/oclc/664325487","WorldCat Record")</f>
        <v>WorldCat Record</v>
      </c>
      <c r="AX3562" s="3" t="s">
        <v>34349</v>
      </c>
      <c r="AY3562" s="3" t="s">
        <v>34350</v>
      </c>
      <c r="AZ3562" s="3" t="s">
        <v>34351</v>
      </c>
      <c r="BA3562" s="3" t="s">
        <v>34351</v>
      </c>
      <c r="BB3562" s="3" t="s">
        <v>34356</v>
      </c>
      <c r="BC3562" s="3" t="s">
        <v>142</v>
      </c>
      <c r="BD3562" s="3" t="s">
        <v>68</v>
      </c>
      <c r="BE3562" s="3" t="s">
        <v>34353</v>
      </c>
      <c r="BF3562" s="3" t="s">
        <v>34356</v>
      </c>
      <c r="BG3562" s="3" t="s">
        <v>34357</v>
      </c>
    </row>
    <row r="3563" spans="1:59" ht="57" x14ac:dyDescent="0.45">
      <c r="A3563" s="2" t="s">
        <v>59</v>
      </c>
      <c r="B3563" s="2" t="s">
        <v>60</v>
      </c>
      <c r="C3563" s="2" t="s">
        <v>34358</v>
      </c>
      <c r="D3563" s="2" t="s">
        <v>34359</v>
      </c>
      <c r="E3563" s="2" t="s">
        <v>34360</v>
      </c>
      <c r="G3563" s="3" t="s">
        <v>62</v>
      </c>
      <c r="I3563" s="3" t="s">
        <v>61</v>
      </c>
      <c r="J3563" s="3" t="s">
        <v>62</v>
      </c>
      <c r="K3563" s="3" t="s">
        <v>63</v>
      </c>
      <c r="L3563" s="2" t="s">
        <v>33361</v>
      </c>
      <c r="M3563" s="2" t="s">
        <v>34361</v>
      </c>
      <c r="N3563" s="3" t="s">
        <v>116</v>
      </c>
      <c r="P3563" s="3" t="s">
        <v>65</v>
      </c>
      <c r="R3563" s="3" t="s">
        <v>66</v>
      </c>
      <c r="S3563" s="4">
        <v>18</v>
      </c>
      <c r="T3563" s="4">
        <v>28</v>
      </c>
      <c r="U3563" s="5" t="s">
        <v>33271</v>
      </c>
      <c r="V3563" s="5" t="s">
        <v>33271</v>
      </c>
      <c r="W3563" s="5" t="s">
        <v>67</v>
      </c>
      <c r="X3563" s="5" t="s">
        <v>67</v>
      </c>
      <c r="Y3563" s="4">
        <v>21</v>
      </c>
      <c r="Z3563" s="4">
        <v>4</v>
      </c>
      <c r="AA3563" s="4">
        <v>53</v>
      </c>
      <c r="AB3563" s="4">
        <v>2</v>
      </c>
      <c r="AC3563" s="4">
        <v>8</v>
      </c>
      <c r="AD3563" s="4">
        <v>4</v>
      </c>
      <c r="AE3563" s="4">
        <v>70</v>
      </c>
      <c r="AF3563" s="4">
        <v>0</v>
      </c>
      <c r="AG3563" s="4">
        <v>3</v>
      </c>
      <c r="AH3563" s="4">
        <v>3</v>
      </c>
      <c r="AI3563" s="4">
        <v>53</v>
      </c>
      <c r="AJ3563" s="4">
        <v>2</v>
      </c>
      <c r="AK3563" s="4">
        <v>16</v>
      </c>
      <c r="AL3563" s="4">
        <v>2</v>
      </c>
      <c r="AM3563" s="4">
        <v>32</v>
      </c>
      <c r="AN3563" s="4">
        <v>0</v>
      </c>
      <c r="AO3563" s="4">
        <v>0</v>
      </c>
      <c r="AP3563" s="4">
        <v>2</v>
      </c>
      <c r="AQ3563" s="4">
        <v>22</v>
      </c>
      <c r="AR3563" s="3" t="s">
        <v>62</v>
      </c>
      <c r="AS3563" s="3" t="s">
        <v>62</v>
      </c>
      <c r="AT3563" s="3" t="s">
        <v>62</v>
      </c>
      <c r="AV3563" s="6" t="str">
        <f>HYPERLINK("http://mcgill.on.worldcat.org/oclc/812072890","Catalog Record")</f>
        <v>Catalog Record</v>
      </c>
      <c r="AW3563" s="6" t="str">
        <f>HYPERLINK("http://www.worldcat.org/oclc/812072890","WorldCat Record")</f>
        <v>WorldCat Record</v>
      </c>
      <c r="AX3563" s="3" t="s">
        <v>34362</v>
      </c>
      <c r="AY3563" s="3" t="s">
        <v>34363</v>
      </c>
      <c r="AZ3563" s="3" t="s">
        <v>34364</v>
      </c>
      <c r="BA3563" s="3" t="s">
        <v>34364</v>
      </c>
      <c r="BB3563" s="3" t="s">
        <v>34365</v>
      </c>
      <c r="BC3563" s="3" t="s">
        <v>142</v>
      </c>
      <c r="BD3563" s="3" t="s">
        <v>308</v>
      </c>
      <c r="BE3563" s="3" t="s">
        <v>34366</v>
      </c>
      <c r="BF3563" s="3" t="s">
        <v>34365</v>
      </c>
      <c r="BG3563" s="3" t="s">
        <v>34367</v>
      </c>
    </row>
    <row r="3564" spans="1:59" ht="57" x14ac:dyDescent="0.45">
      <c r="A3564" s="2" t="s">
        <v>59</v>
      </c>
      <c r="B3564" s="2" t="s">
        <v>60</v>
      </c>
      <c r="C3564" s="2" t="s">
        <v>34358</v>
      </c>
      <c r="D3564" s="2" t="s">
        <v>34359</v>
      </c>
      <c r="E3564" s="2" t="s">
        <v>34360</v>
      </c>
      <c r="G3564" s="3" t="s">
        <v>62</v>
      </c>
      <c r="I3564" s="3" t="s">
        <v>61</v>
      </c>
      <c r="J3564" s="3" t="s">
        <v>62</v>
      </c>
      <c r="K3564" s="3" t="s">
        <v>63</v>
      </c>
      <c r="L3564" s="2" t="s">
        <v>33361</v>
      </c>
      <c r="M3564" s="2" t="s">
        <v>34361</v>
      </c>
      <c r="N3564" s="3" t="s">
        <v>116</v>
      </c>
      <c r="P3564" s="3" t="s">
        <v>65</v>
      </c>
      <c r="R3564" s="3" t="s">
        <v>66</v>
      </c>
      <c r="S3564" s="4">
        <v>10</v>
      </c>
      <c r="T3564" s="4">
        <v>28</v>
      </c>
      <c r="U3564" s="5" t="s">
        <v>2861</v>
      </c>
      <c r="V3564" s="5" t="s">
        <v>33271</v>
      </c>
      <c r="W3564" s="5" t="s">
        <v>67</v>
      </c>
      <c r="X3564" s="5" t="s">
        <v>67</v>
      </c>
      <c r="Y3564" s="4">
        <v>21</v>
      </c>
      <c r="Z3564" s="4">
        <v>4</v>
      </c>
      <c r="AA3564" s="4">
        <v>53</v>
      </c>
      <c r="AB3564" s="4">
        <v>2</v>
      </c>
      <c r="AC3564" s="4">
        <v>8</v>
      </c>
      <c r="AD3564" s="4">
        <v>4</v>
      </c>
      <c r="AE3564" s="4">
        <v>70</v>
      </c>
      <c r="AF3564" s="4">
        <v>0</v>
      </c>
      <c r="AG3564" s="4">
        <v>3</v>
      </c>
      <c r="AH3564" s="4">
        <v>3</v>
      </c>
      <c r="AI3564" s="4">
        <v>53</v>
      </c>
      <c r="AJ3564" s="4">
        <v>2</v>
      </c>
      <c r="AK3564" s="4">
        <v>16</v>
      </c>
      <c r="AL3564" s="4">
        <v>2</v>
      </c>
      <c r="AM3564" s="4">
        <v>32</v>
      </c>
      <c r="AN3564" s="4">
        <v>0</v>
      </c>
      <c r="AO3564" s="4">
        <v>0</v>
      </c>
      <c r="AP3564" s="4">
        <v>2</v>
      </c>
      <c r="AQ3564" s="4">
        <v>22</v>
      </c>
      <c r="AR3564" s="3" t="s">
        <v>62</v>
      </c>
      <c r="AS3564" s="3" t="s">
        <v>62</v>
      </c>
      <c r="AT3564" s="3" t="s">
        <v>62</v>
      </c>
      <c r="AV3564" s="6" t="str">
        <f>HYPERLINK("http://mcgill.on.worldcat.org/oclc/812072890","Catalog Record")</f>
        <v>Catalog Record</v>
      </c>
      <c r="AW3564" s="6" t="str">
        <f>HYPERLINK("http://www.worldcat.org/oclc/812072890","WorldCat Record")</f>
        <v>WorldCat Record</v>
      </c>
      <c r="AX3564" s="3" t="s">
        <v>34362</v>
      </c>
      <c r="AY3564" s="3" t="s">
        <v>34363</v>
      </c>
      <c r="AZ3564" s="3" t="s">
        <v>34364</v>
      </c>
      <c r="BA3564" s="3" t="s">
        <v>34364</v>
      </c>
      <c r="BB3564" s="3" t="s">
        <v>34368</v>
      </c>
      <c r="BC3564" s="3" t="s">
        <v>142</v>
      </c>
      <c r="BD3564" s="3" t="s">
        <v>68</v>
      </c>
      <c r="BE3564" s="3" t="s">
        <v>34366</v>
      </c>
      <c r="BF3564" s="3" t="s">
        <v>34368</v>
      </c>
      <c r="BG3564" s="3" t="s">
        <v>34369</v>
      </c>
    </row>
    <row r="3565" spans="1:59" ht="57" x14ac:dyDescent="0.45">
      <c r="A3565" s="2" t="s">
        <v>59</v>
      </c>
      <c r="B3565" s="2" t="s">
        <v>60</v>
      </c>
      <c r="C3565" s="2" t="s">
        <v>34370</v>
      </c>
      <c r="D3565" s="2" t="s">
        <v>34371</v>
      </c>
      <c r="E3565" s="2" t="s">
        <v>34372</v>
      </c>
      <c r="G3565" s="3" t="s">
        <v>62</v>
      </c>
      <c r="I3565" s="3" t="s">
        <v>62</v>
      </c>
      <c r="J3565" s="3" t="s">
        <v>62</v>
      </c>
      <c r="K3565" s="3" t="s">
        <v>63</v>
      </c>
      <c r="M3565" s="2" t="s">
        <v>2940</v>
      </c>
      <c r="N3565" s="3" t="s">
        <v>1855</v>
      </c>
      <c r="P3565" s="3" t="s">
        <v>65</v>
      </c>
      <c r="R3565" s="3" t="s">
        <v>66</v>
      </c>
      <c r="S3565" s="4">
        <v>26</v>
      </c>
      <c r="T3565" s="4">
        <v>26</v>
      </c>
      <c r="U3565" s="5" t="s">
        <v>386</v>
      </c>
      <c r="V3565" s="5" t="s">
        <v>386</v>
      </c>
      <c r="W3565" s="5" t="s">
        <v>67</v>
      </c>
      <c r="X3565" s="5" t="s">
        <v>67</v>
      </c>
      <c r="Y3565" s="4">
        <v>335</v>
      </c>
      <c r="Z3565" s="4">
        <v>24</v>
      </c>
      <c r="AA3565" s="4">
        <v>113</v>
      </c>
      <c r="AB3565" s="4">
        <v>2</v>
      </c>
      <c r="AC3565" s="4">
        <v>21</v>
      </c>
      <c r="AD3565" s="4">
        <v>103</v>
      </c>
      <c r="AE3565" s="4">
        <v>155</v>
      </c>
      <c r="AF3565" s="4">
        <v>1</v>
      </c>
      <c r="AG3565" s="4">
        <v>9</v>
      </c>
      <c r="AH3565" s="4">
        <v>90</v>
      </c>
      <c r="AI3565" s="4">
        <v>105</v>
      </c>
      <c r="AJ3565" s="4">
        <v>15</v>
      </c>
      <c r="AK3565" s="4">
        <v>28</v>
      </c>
      <c r="AL3565" s="4">
        <v>49</v>
      </c>
      <c r="AM3565" s="4">
        <v>57</v>
      </c>
      <c r="AN3565" s="4">
        <v>0</v>
      </c>
      <c r="AO3565" s="4">
        <v>0</v>
      </c>
      <c r="AP3565" s="4">
        <v>23</v>
      </c>
      <c r="AQ3565" s="4">
        <v>59</v>
      </c>
      <c r="AR3565" s="3" t="s">
        <v>62</v>
      </c>
      <c r="AS3565" s="3" t="s">
        <v>62</v>
      </c>
      <c r="AT3565" s="3" t="s">
        <v>62</v>
      </c>
      <c r="AV3565" s="6" t="str">
        <f>HYPERLINK("http://mcgill.on.worldcat.org/oclc/54988961","Catalog Record")</f>
        <v>Catalog Record</v>
      </c>
      <c r="AW3565" s="6" t="str">
        <f>HYPERLINK("http://www.worldcat.org/oclc/54988961","WorldCat Record")</f>
        <v>WorldCat Record</v>
      </c>
      <c r="AX3565" s="3" t="s">
        <v>34373</v>
      </c>
      <c r="AY3565" s="3" t="s">
        <v>34374</v>
      </c>
      <c r="AZ3565" s="3" t="s">
        <v>34375</v>
      </c>
      <c r="BA3565" s="3" t="s">
        <v>34375</v>
      </c>
      <c r="BB3565" s="3" t="s">
        <v>34376</v>
      </c>
      <c r="BC3565" s="3" t="s">
        <v>142</v>
      </c>
      <c r="BD3565" s="3" t="s">
        <v>68</v>
      </c>
      <c r="BE3565" s="3" t="s">
        <v>34377</v>
      </c>
      <c r="BF3565" s="3" t="s">
        <v>34376</v>
      </c>
      <c r="BG3565" s="3" t="s">
        <v>34378</v>
      </c>
    </row>
    <row r="3566" spans="1:59" ht="57" x14ac:dyDescent="0.45">
      <c r="A3566" s="2" t="s">
        <v>59</v>
      </c>
      <c r="B3566" s="2" t="s">
        <v>60</v>
      </c>
      <c r="C3566" s="2" t="s">
        <v>34379</v>
      </c>
      <c r="D3566" s="2" t="s">
        <v>34380</v>
      </c>
      <c r="E3566" s="2" t="s">
        <v>34381</v>
      </c>
      <c r="G3566" s="3" t="s">
        <v>62</v>
      </c>
      <c r="I3566" s="3" t="s">
        <v>62</v>
      </c>
      <c r="J3566" s="3" t="s">
        <v>62</v>
      </c>
      <c r="K3566" s="3" t="s">
        <v>63</v>
      </c>
      <c r="L3566" s="2" t="s">
        <v>34382</v>
      </c>
      <c r="M3566" s="2" t="s">
        <v>34383</v>
      </c>
      <c r="N3566" s="3" t="s">
        <v>970</v>
      </c>
      <c r="P3566" s="3" t="s">
        <v>65</v>
      </c>
      <c r="Q3566" s="2" t="s">
        <v>34384</v>
      </c>
      <c r="R3566" s="3" t="s">
        <v>66</v>
      </c>
      <c r="S3566" s="4">
        <v>6</v>
      </c>
      <c r="T3566" s="4">
        <v>6</v>
      </c>
      <c r="U3566" s="5" t="s">
        <v>34385</v>
      </c>
      <c r="V3566" s="5" t="s">
        <v>34385</v>
      </c>
      <c r="W3566" s="5" t="s">
        <v>67</v>
      </c>
      <c r="X3566" s="5" t="s">
        <v>67</v>
      </c>
      <c r="Y3566" s="4">
        <v>189</v>
      </c>
      <c r="Z3566" s="4">
        <v>17</v>
      </c>
      <c r="AA3566" s="4">
        <v>35</v>
      </c>
      <c r="AB3566" s="4">
        <v>2</v>
      </c>
      <c r="AC3566" s="4">
        <v>4</v>
      </c>
      <c r="AD3566" s="4">
        <v>62</v>
      </c>
      <c r="AE3566" s="4">
        <v>76</v>
      </c>
      <c r="AF3566" s="4">
        <v>1</v>
      </c>
      <c r="AG3566" s="4">
        <v>3</v>
      </c>
      <c r="AH3566" s="4">
        <v>55</v>
      </c>
      <c r="AI3566" s="4">
        <v>64</v>
      </c>
      <c r="AJ3566" s="4">
        <v>12</v>
      </c>
      <c r="AK3566" s="4">
        <v>15</v>
      </c>
      <c r="AL3566" s="4">
        <v>32</v>
      </c>
      <c r="AM3566" s="4">
        <v>34</v>
      </c>
      <c r="AN3566" s="4">
        <v>0</v>
      </c>
      <c r="AO3566" s="4">
        <v>0</v>
      </c>
      <c r="AP3566" s="4">
        <v>14</v>
      </c>
      <c r="AQ3566" s="4">
        <v>20</v>
      </c>
      <c r="AR3566" s="3" t="s">
        <v>62</v>
      </c>
      <c r="AS3566" s="3" t="s">
        <v>62</v>
      </c>
      <c r="AT3566" s="3" t="s">
        <v>61</v>
      </c>
      <c r="AU3566" s="6" t="str">
        <f>HYPERLINK("http://catalog.hathitrust.org/Record/007141212","HathiTrust Record")</f>
        <v>HathiTrust Record</v>
      </c>
      <c r="AV3566" s="6" t="str">
        <f>HYPERLINK("http://mcgill.on.worldcat.org/oclc/47018424","Catalog Record")</f>
        <v>Catalog Record</v>
      </c>
      <c r="AW3566" s="6" t="str">
        <f>HYPERLINK("http://www.worldcat.org/oclc/47018424","WorldCat Record")</f>
        <v>WorldCat Record</v>
      </c>
      <c r="AX3566" s="3" t="s">
        <v>34386</v>
      </c>
      <c r="AY3566" s="3" t="s">
        <v>34387</v>
      </c>
      <c r="AZ3566" s="3" t="s">
        <v>34388</v>
      </c>
      <c r="BA3566" s="3" t="s">
        <v>34388</v>
      </c>
      <c r="BB3566" s="3" t="s">
        <v>34389</v>
      </c>
      <c r="BC3566" s="3" t="s">
        <v>142</v>
      </c>
      <c r="BD3566" s="3" t="s">
        <v>68</v>
      </c>
      <c r="BE3566" s="3" t="s">
        <v>34390</v>
      </c>
      <c r="BF3566" s="3" t="s">
        <v>34389</v>
      </c>
      <c r="BG3566" s="3" t="s">
        <v>34391</v>
      </c>
    </row>
    <row r="3567" spans="1:59" ht="57" x14ac:dyDescent="0.45">
      <c r="A3567" s="2" t="s">
        <v>59</v>
      </c>
      <c r="B3567" s="2" t="s">
        <v>60</v>
      </c>
      <c r="C3567" s="2" t="s">
        <v>34392</v>
      </c>
      <c r="D3567" s="2" t="s">
        <v>34393</v>
      </c>
      <c r="E3567" s="2" t="s">
        <v>34394</v>
      </c>
      <c r="G3567" s="3" t="s">
        <v>62</v>
      </c>
      <c r="I3567" s="3" t="s">
        <v>62</v>
      </c>
      <c r="J3567" s="3" t="s">
        <v>62</v>
      </c>
      <c r="K3567" s="3" t="s">
        <v>63</v>
      </c>
      <c r="L3567" s="2" t="s">
        <v>34395</v>
      </c>
      <c r="M3567" s="2" t="s">
        <v>34396</v>
      </c>
      <c r="N3567" s="3" t="s">
        <v>945</v>
      </c>
      <c r="P3567" s="3" t="s">
        <v>65</v>
      </c>
      <c r="Q3567" s="2" t="s">
        <v>2120</v>
      </c>
      <c r="R3567" s="3" t="s">
        <v>66</v>
      </c>
      <c r="S3567" s="4">
        <v>11</v>
      </c>
      <c r="T3567" s="4">
        <v>11</v>
      </c>
      <c r="U3567" s="5" t="s">
        <v>4276</v>
      </c>
      <c r="V3567" s="5" t="s">
        <v>4276</v>
      </c>
      <c r="W3567" s="5" t="s">
        <v>67</v>
      </c>
      <c r="X3567" s="5" t="s">
        <v>67</v>
      </c>
      <c r="Y3567" s="4">
        <v>183</v>
      </c>
      <c r="Z3567" s="4">
        <v>22</v>
      </c>
      <c r="AA3567" s="4">
        <v>56</v>
      </c>
      <c r="AB3567" s="4">
        <v>2</v>
      </c>
      <c r="AC3567" s="4">
        <v>15</v>
      </c>
      <c r="AD3567" s="4">
        <v>78</v>
      </c>
      <c r="AE3567" s="4">
        <v>124</v>
      </c>
      <c r="AF3567" s="4">
        <v>1</v>
      </c>
      <c r="AG3567" s="4">
        <v>9</v>
      </c>
      <c r="AH3567" s="4">
        <v>68</v>
      </c>
      <c r="AI3567" s="4">
        <v>89</v>
      </c>
      <c r="AJ3567" s="4">
        <v>12</v>
      </c>
      <c r="AK3567" s="4">
        <v>24</v>
      </c>
      <c r="AL3567" s="4">
        <v>36</v>
      </c>
      <c r="AM3567" s="4">
        <v>47</v>
      </c>
      <c r="AN3567" s="4">
        <v>0</v>
      </c>
      <c r="AO3567" s="4">
        <v>0</v>
      </c>
      <c r="AP3567" s="4">
        <v>18</v>
      </c>
      <c r="AQ3567" s="4">
        <v>45</v>
      </c>
      <c r="AR3567" s="3" t="s">
        <v>62</v>
      </c>
      <c r="AS3567" s="3" t="s">
        <v>62</v>
      </c>
      <c r="AT3567" s="3" t="s">
        <v>62</v>
      </c>
      <c r="AV3567" s="6" t="str">
        <f>HYPERLINK("http://mcgill.on.worldcat.org/oclc/77540731","Catalog Record")</f>
        <v>Catalog Record</v>
      </c>
      <c r="AW3567" s="6" t="str">
        <f>HYPERLINK("http://www.worldcat.org/oclc/77540731","WorldCat Record")</f>
        <v>WorldCat Record</v>
      </c>
      <c r="AX3567" s="3" t="s">
        <v>34397</v>
      </c>
      <c r="AY3567" s="3" t="s">
        <v>34398</v>
      </c>
      <c r="AZ3567" s="3" t="s">
        <v>34399</v>
      </c>
      <c r="BA3567" s="3" t="s">
        <v>34399</v>
      </c>
      <c r="BB3567" s="3" t="s">
        <v>34400</v>
      </c>
      <c r="BC3567" s="3" t="s">
        <v>142</v>
      </c>
      <c r="BD3567" s="3" t="s">
        <v>68</v>
      </c>
      <c r="BE3567" s="3" t="s">
        <v>34401</v>
      </c>
      <c r="BF3567" s="3" t="s">
        <v>34400</v>
      </c>
      <c r="BG3567" s="3" t="s">
        <v>34402</v>
      </c>
    </row>
    <row r="3568" spans="1:59" ht="57" x14ac:dyDescent="0.45">
      <c r="A3568" s="2" t="s">
        <v>59</v>
      </c>
      <c r="B3568" s="2" t="s">
        <v>60</v>
      </c>
      <c r="C3568" s="2" t="s">
        <v>34403</v>
      </c>
      <c r="D3568" s="2" t="s">
        <v>34404</v>
      </c>
      <c r="E3568" s="2" t="s">
        <v>34405</v>
      </c>
      <c r="G3568" s="3" t="s">
        <v>62</v>
      </c>
      <c r="I3568" s="3" t="s">
        <v>62</v>
      </c>
      <c r="J3568" s="3" t="s">
        <v>62</v>
      </c>
      <c r="K3568" s="3" t="s">
        <v>63</v>
      </c>
      <c r="L3568" s="2" t="s">
        <v>34406</v>
      </c>
      <c r="M3568" s="2" t="s">
        <v>34407</v>
      </c>
      <c r="N3568" s="3" t="s">
        <v>1155</v>
      </c>
      <c r="P3568" s="3" t="s">
        <v>65</v>
      </c>
      <c r="Q3568" s="2" t="s">
        <v>34408</v>
      </c>
      <c r="R3568" s="3" t="s">
        <v>66</v>
      </c>
      <c r="S3568" s="4">
        <v>0</v>
      </c>
      <c r="T3568" s="4">
        <v>0</v>
      </c>
      <c r="W3568" s="5" t="s">
        <v>67</v>
      </c>
      <c r="X3568" s="5" t="s">
        <v>67</v>
      </c>
      <c r="Y3568" s="4">
        <v>127</v>
      </c>
      <c r="Z3568" s="4">
        <v>17</v>
      </c>
      <c r="AA3568" s="4">
        <v>87</v>
      </c>
      <c r="AB3568" s="4">
        <v>1</v>
      </c>
      <c r="AC3568" s="4">
        <v>14</v>
      </c>
      <c r="AD3568" s="4">
        <v>41</v>
      </c>
      <c r="AE3568" s="4">
        <v>108</v>
      </c>
      <c r="AF3568" s="4">
        <v>0</v>
      </c>
      <c r="AG3568" s="4">
        <v>8</v>
      </c>
      <c r="AH3568" s="4">
        <v>35</v>
      </c>
      <c r="AI3568" s="4">
        <v>73</v>
      </c>
      <c r="AJ3568" s="4">
        <v>10</v>
      </c>
      <c r="AK3568" s="4">
        <v>22</v>
      </c>
      <c r="AL3568" s="4">
        <v>23</v>
      </c>
      <c r="AM3568" s="4">
        <v>38</v>
      </c>
      <c r="AN3568" s="4">
        <v>0</v>
      </c>
      <c r="AO3568" s="4">
        <v>0</v>
      </c>
      <c r="AP3568" s="4">
        <v>11</v>
      </c>
      <c r="AQ3568" s="4">
        <v>42</v>
      </c>
      <c r="AR3568" s="3" t="s">
        <v>62</v>
      </c>
      <c r="AS3568" s="3" t="s">
        <v>62</v>
      </c>
      <c r="AT3568" s="3" t="s">
        <v>62</v>
      </c>
      <c r="AV3568" s="6" t="str">
        <f>HYPERLINK("http://mcgill.on.worldcat.org/oclc/795182342","Catalog Record")</f>
        <v>Catalog Record</v>
      </c>
      <c r="AW3568" s="6" t="str">
        <f>HYPERLINK("http://www.worldcat.org/oclc/795182342","WorldCat Record")</f>
        <v>WorldCat Record</v>
      </c>
      <c r="AX3568" s="3" t="s">
        <v>34409</v>
      </c>
      <c r="AY3568" s="3" t="s">
        <v>34410</v>
      </c>
      <c r="AZ3568" s="3" t="s">
        <v>34411</v>
      </c>
      <c r="BA3568" s="3" t="s">
        <v>34411</v>
      </c>
      <c r="BB3568" s="3" t="s">
        <v>34412</v>
      </c>
      <c r="BC3568" s="3" t="s">
        <v>142</v>
      </c>
      <c r="BD3568" s="3" t="s">
        <v>68</v>
      </c>
      <c r="BE3568" s="3" t="s">
        <v>34413</v>
      </c>
      <c r="BF3568" s="3" t="s">
        <v>34412</v>
      </c>
      <c r="BG3568" s="3" t="s">
        <v>34414</v>
      </c>
    </row>
    <row r="3569" spans="1:59" ht="57" x14ac:dyDescent="0.45">
      <c r="A3569" s="2" t="s">
        <v>59</v>
      </c>
      <c r="B3569" s="2" t="s">
        <v>60</v>
      </c>
      <c r="C3569" s="2" t="s">
        <v>34415</v>
      </c>
      <c r="D3569" s="2" t="s">
        <v>34416</v>
      </c>
      <c r="E3569" s="2" t="s">
        <v>34417</v>
      </c>
      <c r="G3569" s="3" t="s">
        <v>62</v>
      </c>
      <c r="I3569" s="3" t="s">
        <v>62</v>
      </c>
      <c r="J3569" s="3" t="s">
        <v>62</v>
      </c>
      <c r="K3569" s="3" t="s">
        <v>63</v>
      </c>
      <c r="M3569" s="2" t="s">
        <v>34418</v>
      </c>
      <c r="N3569" s="3" t="s">
        <v>894</v>
      </c>
      <c r="P3569" s="3" t="s">
        <v>65</v>
      </c>
      <c r="R3569" s="3" t="s">
        <v>66</v>
      </c>
      <c r="S3569" s="4">
        <v>5</v>
      </c>
      <c r="T3569" s="4">
        <v>5</v>
      </c>
      <c r="U3569" s="5" t="s">
        <v>8070</v>
      </c>
      <c r="V3569" s="5" t="s">
        <v>8070</v>
      </c>
      <c r="W3569" s="5" t="s">
        <v>67</v>
      </c>
      <c r="X3569" s="5" t="s">
        <v>67</v>
      </c>
      <c r="Y3569" s="4">
        <v>177</v>
      </c>
      <c r="Z3569" s="4">
        <v>21</v>
      </c>
      <c r="AA3569" s="4">
        <v>36</v>
      </c>
      <c r="AB3569" s="4">
        <v>2</v>
      </c>
      <c r="AC3569" s="4">
        <v>6</v>
      </c>
      <c r="AD3569" s="4">
        <v>63</v>
      </c>
      <c r="AE3569" s="4">
        <v>94</v>
      </c>
      <c r="AF3569" s="4">
        <v>1</v>
      </c>
      <c r="AG3569" s="4">
        <v>2</v>
      </c>
      <c r="AH3569" s="4">
        <v>53</v>
      </c>
      <c r="AI3569" s="4">
        <v>76</v>
      </c>
      <c r="AJ3569" s="4">
        <v>15</v>
      </c>
      <c r="AK3569" s="4">
        <v>17</v>
      </c>
      <c r="AL3569" s="4">
        <v>30</v>
      </c>
      <c r="AM3569" s="4">
        <v>39</v>
      </c>
      <c r="AN3569" s="4">
        <v>0</v>
      </c>
      <c r="AO3569" s="4">
        <v>0</v>
      </c>
      <c r="AP3569" s="4">
        <v>17</v>
      </c>
      <c r="AQ3569" s="4">
        <v>26</v>
      </c>
      <c r="AR3569" s="3" t="s">
        <v>62</v>
      </c>
      <c r="AS3569" s="3" t="s">
        <v>62</v>
      </c>
      <c r="AT3569" s="3" t="s">
        <v>62</v>
      </c>
      <c r="AV3569" s="6" t="str">
        <f>HYPERLINK("http://mcgill.on.worldcat.org/oclc/646400589","Catalog Record")</f>
        <v>Catalog Record</v>
      </c>
      <c r="AW3569" s="6" t="str">
        <f>HYPERLINK("http://www.worldcat.org/oclc/646400589","WorldCat Record")</f>
        <v>WorldCat Record</v>
      </c>
      <c r="AX3569" s="3" t="s">
        <v>34419</v>
      </c>
      <c r="AY3569" s="3" t="s">
        <v>34420</v>
      </c>
      <c r="AZ3569" s="3" t="s">
        <v>34421</v>
      </c>
      <c r="BA3569" s="3" t="s">
        <v>34421</v>
      </c>
      <c r="BB3569" s="3" t="s">
        <v>34422</v>
      </c>
      <c r="BC3569" s="3" t="s">
        <v>142</v>
      </c>
      <c r="BD3569" s="3" t="s">
        <v>68</v>
      </c>
      <c r="BE3569" s="3" t="s">
        <v>34423</v>
      </c>
      <c r="BF3569" s="3" t="s">
        <v>34422</v>
      </c>
      <c r="BG3569" s="3" t="s">
        <v>34424</v>
      </c>
    </row>
    <row r="3570" spans="1:59" ht="57" x14ac:dyDescent="0.45">
      <c r="A3570" s="2" t="s">
        <v>59</v>
      </c>
      <c r="B3570" s="2" t="s">
        <v>60</v>
      </c>
      <c r="C3570" s="2" t="s">
        <v>34425</v>
      </c>
      <c r="D3570" s="2" t="s">
        <v>34426</v>
      </c>
      <c r="E3570" s="2" t="s">
        <v>34427</v>
      </c>
      <c r="G3570" s="3" t="s">
        <v>62</v>
      </c>
      <c r="I3570" s="3" t="s">
        <v>62</v>
      </c>
      <c r="J3570" s="3" t="s">
        <v>62</v>
      </c>
      <c r="K3570" s="3" t="s">
        <v>63</v>
      </c>
      <c r="M3570" s="2" t="s">
        <v>2631</v>
      </c>
      <c r="N3570" s="3" t="s">
        <v>116</v>
      </c>
      <c r="P3570" s="3" t="s">
        <v>65</v>
      </c>
      <c r="R3570" s="3" t="s">
        <v>66</v>
      </c>
      <c r="S3570" s="4">
        <v>7</v>
      </c>
      <c r="T3570" s="4">
        <v>7</v>
      </c>
      <c r="U3570" s="5" t="s">
        <v>386</v>
      </c>
      <c r="V3570" s="5" t="s">
        <v>386</v>
      </c>
      <c r="W3570" s="5" t="s">
        <v>67</v>
      </c>
      <c r="X3570" s="5" t="s">
        <v>67</v>
      </c>
      <c r="Y3570" s="4">
        <v>174</v>
      </c>
      <c r="Z3570" s="4">
        <v>20</v>
      </c>
      <c r="AA3570" s="4">
        <v>89</v>
      </c>
      <c r="AB3570" s="4">
        <v>2</v>
      </c>
      <c r="AC3570" s="4">
        <v>15</v>
      </c>
      <c r="AD3570" s="4">
        <v>68</v>
      </c>
      <c r="AE3570" s="4">
        <v>132</v>
      </c>
      <c r="AF3570" s="4">
        <v>1</v>
      </c>
      <c r="AG3570" s="4">
        <v>8</v>
      </c>
      <c r="AH3570" s="4">
        <v>61</v>
      </c>
      <c r="AI3570" s="4">
        <v>96</v>
      </c>
      <c r="AJ3570" s="4">
        <v>13</v>
      </c>
      <c r="AK3570" s="4">
        <v>26</v>
      </c>
      <c r="AL3570" s="4">
        <v>35</v>
      </c>
      <c r="AM3570" s="4">
        <v>49</v>
      </c>
      <c r="AN3570" s="4">
        <v>0</v>
      </c>
      <c r="AO3570" s="4">
        <v>0</v>
      </c>
      <c r="AP3570" s="4">
        <v>16</v>
      </c>
      <c r="AQ3570" s="4">
        <v>46</v>
      </c>
      <c r="AR3570" s="3" t="s">
        <v>62</v>
      </c>
      <c r="AS3570" s="3" t="s">
        <v>62</v>
      </c>
      <c r="AT3570" s="3" t="s">
        <v>62</v>
      </c>
      <c r="AV3570" s="6" t="str">
        <f>HYPERLINK("http://mcgill.on.worldcat.org/oclc/794603936","Catalog Record")</f>
        <v>Catalog Record</v>
      </c>
      <c r="AW3570" s="6" t="str">
        <f>HYPERLINK("http://www.worldcat.org/oclc/794603936","WorldCat Record")</f>
        <v>WorldCat Record</v>
      </c>
      <c r="AX3570" s="3" t="s">
        <v>34428</v>
      </c>
      <c r="AY3570" s="3" t="s">
        <v>34429</v>
      </c>
      <c r="AZ3570" s="3" t="s">
        <v>34430</v>
      </c>
      <c r="BA3570" s="3" t="s">
        <v>34430</v>
      </c>
      <c r="BB3570" s="3" t="s">
        <v>34431</v>
      </c>
      <c r="BC3570" s="3" t="s">
        <v>142</v>
      </c>
      <c r="BD3570" s="3" t="s">
        <v>68</v>
      </c>
      <c r="BE3570" s="3" t="s">
        <v>34432</v>
      </c>
      <c r="BF3570" s="3" t="s">
        <v>34431</v>
      </c>
      <c r="BG3570" s="3" t="s">
        <v>34433</v>
      </c>
    </row>
    <row r="3571" spans="1:59" ht="57" x14ac:dyDescent="0.45">
      <c r="A3571" s="2" t="s">
        <v>59</v>
      </c>
      <c r="B3571" s="2" t="s">
        <v>412</v>
      </c>
      <c r="C3571" s="2" t="s">
        <v>34434</v>
      </c>
      <c r="D3571" s="2" t="s">
        <v>34435</v>
      </c>
      <c r="E3571" s="2" t="s">
        <v>34436</v>
      </c>
      <c r="G3571" s="3" t="s">
        <v>62</v>
      </c>
      <c r="I3571" s="3" t="s">
        <v>61</v>
      </c>
      <c r="J3571" s="3" t="s">
        <v>62</v>
      </c>
      <c r="K3571" s="3" t="s">
        <v>63</v>
      </c>
      <c r="L3571" s="2" t="s">
        <v>34437</v>
      </c>
      <c r="M3571" s="2" t="s">
        <v>34438</v>
      </c>
      <c r="N3571" s="3" t="s">
        <v>1465</v>
      </c>
      <c r="P3571" s="3" t="s">
        <v>65</v>
      </c>
      <c r="Q3571" s="2" t="s">
        <v>34439</v>
      </c>
      <c r="R3571" s="3" t="s">
        <v>66</v>
      </c>
      <c r="S3571" s="4">
        <v>3</v>
      </c>
      <c r="T3571" s="4">
        <v>12</v>
      </c>
      <c r="U3571" s="5" t="s">
        <v>34308</v>
      </c>
      <c r="V3571" s="5" t="s">
        <v>29124</v>
      </c>
      <c r="W3571" s="5" t="s">
        <v>67</v>
      </c>
      <c r="X3571" s="5" t="s">
        <v>67</v>
      </c>
      <c r="Y3571" s="4">
        <v>143</v>
      </c>
      <c r="Z3571" s="4">
        <v>17</v>
      </c>
      <c r="AA3571" s="4">
        <v>102</v>
      </c>
      <c r="AB3571" s="4">
        <v>2</v>
      </c>
      <c r="AC3571" s="4">
        <v>17</v>
      </c>
      <c r="AD3571" s="4">
        <v>64</v>
      </c>
      <c r="AE3571" s="4">
        <v>126</v>
      </c>
      <c r="AF3571" s="4">
        <v>1</v>
      </c>
      <c r="AG3571" s="4">
        <v>8</v>
      </c>
      <c r="AH3571" s="4">
        <v>59</v>
      </c>
      <c r="AI3571" s="4">
        <v>89</v>
      </c>
      <c r="AJ3571" s="4">
        <v>11</v>
      </c>
      <c r="AK3571" s="4">
        <v>25</v>
      </c>
      <c r="AL3571" s="4">
        <v>38</v>
      </c>
      <c r="AM3571" s="4">
        <v>48</v>
      </c>
      <c r="AN3571" s="4">
        <v>0</v>
      </c>
      <c r="AO3571" s="4">
        <v>0</v>
      </c>
      <c r="AP3571" s="4">
        <v>13</v>
      </c>
      <c r="AQ3571" s="4">
        <v>47</v>
      </c>
      <c r="AR3571" s="3" t="s">
        <v>62</v>
      </c>
      <c r="AS3571" s="3" t="s">
        <v>62</v>
      </c>
      <c r="AT3571" s="3" t="s">
        <v>62</v>
      </c>
      <c r="AV3571" s="6" t="str">
        <f>HYPERLINK("http://mcgill.on.worldcat.org/oclc/264046810","Catalog Record")</f>
        <v>Catalog Record</v>
      </c>
      <c r="AW3571" s="6" t="str">
        <f>HYPERLINK("http://www.worldcat.org/oclc/264046810","WorldCat Record")</f>
        <v>WorldCat Record</v>
      </c>
      <c r="AX3571" s="3" t="s">
        <v>34440</v>
      </c>
      <c r="AY3571" s="3" t="s">
        <v>34441</v>
      </c>
      <c r="AZ3571" s="3" t="s">
        <v>34442</v>
      </c>
      <c r="BA3571" s="3" t="s">
        <v>34442</v>
      </c>
      <c r="BB3571" s="3" t="s">
        <v>34443</v>
      </c>
      <c r="BC3571" s="3" t="s">
        <v>142</v>
      </c>
      <c r="BD3571" s="3" t="s">
        <v>68</v>
      </c>
      <c r="BE3571" s="3" t="s">
        <v>34444</v>
      </c>
      <c r="BF3571" s="3" t="s">
        <v>34443</v>
      </c>
      <c r="BG3571" s="3" t="s">
        <v>34445</v>
      </c>
    </row>
    <row r="3572" spans="1:59" ht="57" x14ac:dyDescent="0.45">
      <c r="A3572" s="2" t="s">
        <v>59</v>
      </c>
      <c r="B3572" s="2" t="s">
        <v>60</v>
      </c>
      <c r="C3572" s="2" t="s">
        <v>34434</v>
      </c>
      <c r="D3572" s="2" t="s">
        <v>34435</v>
      </c>
      <c r="E3572" s="2" t="s">
        <v>34436</v>
      </c>
      <c r="G3572" s="3" t="s">
        <v>62</v>
      </c>
      <c r="I3572" s="3" t="s">
        <v>61</v>
      </c>
      <c r="J3572" s="3" t="s">
        <v>62</v>
      </c>
      <c r="K3572" s="3" t="s">
        <v>63</v>
      </c>
      <c r="L3572" s="2" t="s">
        <v>34437</v>
      </c>
      <c r="M3572" s="2" t="s">
        <v>34438</v>
      </c>
      <c r="N3572" s="3" t="s">
        <v>1465</v>
      </c>
      <c r="P3572" s="3" t="s">
        <v>65</v>
      </c>
      <c r="Q3572" s="2" t="s">
        <v>34439</v>
      </c>
      <c r="R3572" s="3" t="s">
        <v>66</v>
      </c>
      <c r="S3572" s="4">
        <v>9</v>
      </c>
      <c r="T3572" s="4">
        <v>12</v>
      </c>
      <c r="U3572" s="5" t="s">
        <v>29124</v>
      </c>
      <c r="V3572" s="5" t="s">
        <v>29124</v>
      </c>
      <c r="W3572" s="5" t="s">
        <v>67</v>
      </c>
      <c r="X3572" s="5" t="s">
        <v>67</v>
      </c>
      <c r="Y3572" s="4">
        <v>143</v>
      </c>
      <c r="Z3572" s="4">
        <v>17</v>
      </c>
      <c r="AA3572" s="4">
        <v>102</v>
      </c>
      <c r="AB3572" s="4">
        <v>2</v>
      </c>
      <c r="AC3572" s="4">
        <v>17</v>
      </c>
      <c r="AD3572" s="4">
        <v>64</v>
      </c>
      <c r="AE3572" s="4">
        <v>126</v>
      </c>
      <c r="AF3572" s="4">
        <v>1</v>
      </c>
      <c r="AG3572" s="4">
        <v>8</v>
      </c>
      <c r="AH3572" s="4">
        <v>59</v>
      </c>
      <c r="AI3572" s="4">
        <v>89</v>
      </c>
      <c r="AJ3572" s="4">
        <v>11</v>
      </c>
      <c r="AK3572" s="4">
        <v>25</v>
      </c>
      <c r="AL3572" s="4">
        <v>38</v>
      </c>
      <c r="AM3572" s="4">
        <v>48</v>
      </c>
      <c r="AN3572" s="4">
        <v>0</v>
      </c>
      <c r="AO3572" s="4">
        <v>0</v>
      </c>
      <c r="AP3572" s="4">
        <v>13</v>
      </c>
      <c r="AQ3572" s="4">
        <v>47</v>
      </c>
      <c r="AR3572" s="3" t="s">
        <v>62</v>
      </c>
      <c r="AS3572" s="3" t="s">
        <v>62</v>
      </c>
      <c r="AT3572" s="3" t="s">
        <v>62</v>
      </c>
      <c r="AV3572" s="6" t="str">
        <f>HYPERLINK("http://mcgill.on.worldcat.org/oclc/264046810","Catalog Record")</f>
        <v>Catalog Record</v>
      </c>
      <c r="AW3572" s="6" t="str">
        <f>HYPERLINK("http://www.worldcat.org/oclc/264046810","WorldCat Record")</f>
        <v>WorldCat Record</v>
      </c>
      <c r="AX3572" s="3" t="s">
        <v>34440</v>
      </c>
      <c r="AY3572" s="3" t="s">
        <v>34441</v>
      </c>
      <c r="AZ3572" s="3" t="s">
        <v>34442</v>
      </c>
      <c r="BA3572" s="3" t="s">
        <v>34442</v>
      </c>
      <c r="BB3572" s="3" t="s">
        <v>34446</v>
      </c>
      <c r="BC3572" s="3" t="s">
        <v>142</v>
      </c>
      <c r="BD3572" s="3" t="s">
        <v>68</v>
      </c>
      <c r="BE3572" s="3" t="s">
        <v>34444</v>
      </c>
      <c r="BF3572" s="3" t="s">
        <v>34446</v>
      </c>
      <c r="BG3572" s="3" t="s">
        <v>34447</v>
      </c>
    </row>
    <row r="3573" spans="1:59" ht="57" x14ac:dyDescent="0.45">
      <c r="A3573" s="2" t="s">
        <v>59</v>
      </c>
      <c r="B3573" s="2" t="s">
        <v>60</v>
      </c>
      <c r="C3573" s="2" t="s">
        <v>34448</v>
      </c>
      <c r="D3573" s="2" t="s">
        <v>34449</v>
      </c>
      <c r="E3573" s="2" t="s">
        <v>34450</v>
      </c>
      <c r="G3573" s="3" t="s">
        <v>62</v>
      </c>
      <c r="I3573" s="3" t="s">
        <v>62</v>
      </c>
      <c r="J3573" s="3" t="s">
        <v>62</v>
      </c>
      <c r="K3573" s="3" t="s">
        <v>63</v>
      </c>
      <c r="M3573" s="2" t="s">
        <v>34451</v>
      </c>
      <c r="N3573" s="3" t="s">
        <v>1918</v>
      </c>
      <c r="P3573" s="3" t="s">
        <v>65</v>
      </c>
      <c r="Q3573" s="2" t="s">
        <v>34452</v>
      </c>
      <c r="R3573" s="3" t="s">
        <v>66</v>
      </c>
      <c r="S3573" s="4">
        <v>1</v>
      </c>
      <c r="T3573" s="4">
        <v>1</v>
      </c>
      <c r="U3573" s="5" t="s">
        <v>34453</v>
      </c>
      <c r="V3573" s="5" t="s">
        <v>34453</v>
      </c>
      <c r="W3573" s="5" t="s">
        <v>67</v>
      </c>
      <c r="X3573" s="5" t="s">
        <v>67</v>
      </c>
      <c r="Y3573" s="4">
        <v>70</v>
      </c>
      <c r="Z3573" s="4">
        <v>9</v>
      </c>
      <c r="AA3573" s="4">
        <v>9</v>
      </c>
      <c r="AB3573" s="4">
        <v>2</v>
      </c>
      <c r="AC3573" s="4">
        <v>2</v>
      </c>
      <c r="AD3573" s="4">
        <v>37</v>
      </c>
      <c r="AE3573" s="4">
        <v>37</v>
      </c>
      <c r="AF3573" s="4">
        <v>1</v>
      </c>
      <c r="AG3573" s="4">
        <v>1</v>
      </c>
      <c r="AH3573" s="4">
        <v>34</v>
      </c>
      <c r="AI3573" s="4">
        <v>34</v>
      </c>
      <c r="AJ3573" s="4">
        <v>8</v>
      </c>
      <c r="AK3573" s="4">
        <v>8</v>
      </c>
      <c r="AL3573" s="4">
        <v>23</v>
      </c>
      <c r="AM3573" s="4">
        <v>23</v>
      </c>
      <c r="AN3573" s="4">
        <v>0</v>
      </c>
      <c r="AO3573" s="4">
        <v>0</v>
      </c>
      <c r="AP3573" s="4">
        <v>8</v>
      </c>
      <c r="AQ3573" s="4">
        <v>8</v>
      </c>
      <c r="AR3573" s="3" t="s">
        <v>62</v>
      </c>
      <c r="AS3573" s="3" t="s">
        <v>62</v>
      </c>
      <c r="AT3573" s="3" t="s">
        <v>62</v>
      </c>
      <c r="AV3573" s="6" t="str">
        <f>HYPERLINK("http://mcgill.on.worldcat.org/oclc/952567157","Catalog Record")</f>
        <v>Catalog Record</v>
      </c>
      <c r="AW3573" s="6" t="str">
        <f>HYPERLINK("http://www.worldcat.org/oclc/952567157","WorldCat Record")</f>
        <v>WorldCat Record</v>
      </c>
      <c r="AX3573" s="3" t="s">
        <v>34454</v>
      </c>
      <c r="AY3573" s="3" t="s">
        <v>34455</v>
      </c>
      <c r="AZ3573" s="3" t="s">
        <v>34456</v>
      </c>
      <c r="BA3573" s="3" t="s">
        <v>34456</v>
      </c>
      <c r="BB3573" s="3" t="s">
        <v>34457</v>
      </c>
      <c r="BC3573" s="3" t="s">
        <v>142</v>
      </c>
      <c r="BD3573" s="3" t="s">
        <v>68</v>
      </c>
      <c r="BE3573" s="3" t="s">
        <v>34458</v>
      </c>
      <c r="BF3573" s="3" t="s">
        <v>34457</v>
      </c>
      <c r="BG3573" s="3" t="s">
        <v>34459</v>
      </c>
    </row>
    <row r="3574" spans="1:59" ht="57" x14ac:dyDescent="0.45">
      <c r="A3574" s="2" t="s">
        <v>59</v>
      </c>
      <c r="B3574" s="2" t="s">
        <v>60</v>
      </c>
      <c r="C3574" s="2" t="s">
        <v>34460</v>
      </c>
      <c r="D3574" s="2" t="s">
        <v>34461</v>
      </c>
      <c r="E3574" s="2" t="s">
        <v>34462</v>
      </c>
      <c r="G3574" s="3" t="s">
        <v>62</v>
      </c>
      <c r="I3574" s="3" t="s">
        <v>62</v>
      </c>
      <c r="J3574" s="3" t="s">
        <v>62</v>
      </c>
      <c r="K3574" s="3" t="s">
        <v>63</v>
      </c>
      <c r="M3574" s="2" t="s">
        <v>34463</v>
      </c>
      <c r="N3574" s="3" t="s">
        <v>894</v>
      </c>
      <c r="P3574" s="3" t="s">
        <v>65</v>
      </c>
      <c r="Q3574" s="2" t="s">
        <v>34464</v>
      </c>
      <c r="R3574" s="3" t="s">
        <v>66</v>
      </c>
      <c r="S3574" s="4">
        <v>0</v>
      </c>
      <c r="T3574" s="4">
        <v>0</v>
      </c>
      <c r="W3574" s="5" t="s">
        <v>67</v>
      </c>
      <c r="X3574" s="5" t="s">
        <v>67</v>
      </c>
      <c r="Y3574" s="4">
        <v>73</v>
      </c>
      <c r="Z3574" s="4">
        <v>15</v>
      </c>
      <c r="AA3574" s="4">
        <v>45</v>
      </c>
      <c r="AB3574" s="4">
        <v>2</v>
      </c>
      <c r="AC3574" s="4">
        <v>11</v>
      </c>
      <c r="AD3574" s="4">
        <v>32</v>
      </c>
      <c r="AE3574" s="4">
        <v>49</v>
      </c>
      <c r="AF3574" s="4">
        <v>1</v>
      </c>
      <c r="AG3574" s="4">
        <v>4</v>
      </c>
      <c r="AH3574" s="4">
        <v>26</v>
      </c>
      <c r="AI3574" s="4">
        <v>34</v>
      </c>
      <c r="AJ3574" s="4">
        <v>8</v>
      </c>
      <c r="AK3574" s="4">
        <v>11</v>
      </c>
      <c r="AL3574" s="4">
        <v>16</v>
      </c>
      <c r="AM3574" s="4">
        <v>23</v>
      </c>
      <c r="AN3574" s="4">
        <v>0</v>
      </c>
      <c r="AO3574" s="4">
        <v>0</v>
      </c>
      <c r="AP3574" s="4">
        <v>11</v>
      </c>
      <c r="AQ3574" s="4">
        <v>19</v>
      </c>
      <c r="AR3574" s="3" t="s">
        <v>62</v>
      </c>
      <c r="AS3574" s="3" t="s">
        <v>62</v>
      </c>
      <c r="AT3574" s="3" t="s">
        <v>62</v>
      </c>
      <c r="AV3574" s="6" t="str">
        <f>HYPERLINK("http://mcgill.on.worldcat.org/oclc/729863280","Catalog Record")</f>
        <v>Catalog Record</v>
      </c>
      <c r="AW3574" s="6" t="str">
        <f>HYPERLINK("http://www.worldcat.org/oclc/729863280","WorldCat Record")</f>
        <v>WorldCat Record</v>
      </c>
      <c r="AX3574" s="3" t="s">
        <v>34465</v>
      </c>
      <c r="AY3574" s="3" t="s">
        <v>34466</v>
      </c>
      <c r="AZ3574" s="3" t="s">
        <v>34467</v>
      </c>
      <c r="BA3574" s="3" t="s">
        <v>34467</v>
      </c>
      <c r="BB3574" s="3" t="s">
        <v>34468</v>
      </c>
      <c r="BC3574" s="3" t="s">
        <v>142</v>
      </c>
      <c r="BD3574" s="3" t="s">
        <v>68</v>
      </c>
      <c r="BE3574" s="3" t="s">
        <v>34469</v>
      </c>
      <c r="BF3574" s="3" t="s">
        <v>34468</v>
      </c>
      <c r="BG3574" s="3" t="s">
        <v>34470</v>
      </c>
    </row>
    <row r="3575" spans="1:59" ht="57" x14ac:dyDescent="0.45">
      <c r="A3575" s="2" t="s">
        <v>59</v>
      </c>
      <c r="B3575" s="2" t="s">
        <v>60</v>
      </c>
      <c r="C3575" s="2" t="s">
        <v>34471</v>
      </c>
      <c r="D3575" s="2" t="s">
        <v>34472</v>
      </c>
      <c r="E3575" s="2" t="s">
        <v>34473</v>
      </c>
      <c r="G3575" s="3" t="s">
        <v>62</v>
      </c>
      <c r="I3575" s="3" t="s">
        <v>62</v>
      </c>
      <c r="J3575" s="3" t="s">
        <v>62</v>
      </c>
      <c r="K3575" s="3" t="s">
        <v>63</v>
      </c>
      <c r="L3575" s="2" t="s">
        <v>34474</v>
      </c>
      <c r="M3575" s="2" t="s">
        <v>34475</v>
      </c>
      <c r="N3575" s="3" t="s">
        <v>116</v>
      </c>
      <c r="P3575" s="3" t="s">
        <v>65</v>
      </c>
      <c r="R3575" s="3" t="s">
        <v>66</v>
      </c>
      <c r="S3575" s="4">
        <v>3</v>
      </c>
      <c r="T3575" s="4">
        <v>3</v>
      </c>
      <c r="U3575" s="5" t="s">
        <v>34476</v>
      </c>
      <c r="V3575" s="5" t="s">
        <v>34476</v>
      </c>
      <c r="W3575" s="5" t="s">
        <v>67</v>
      </c>
      <c r="X3575" s="5" t="s">
        <v>67</v>
      </c>
      <c r="Y3575" s="4">
        <v>227</v>
      </c>
      <c r="Z3575" s="4">
        <v>18</v>
      </c>
      <c r="AA3575" s="4">
        <v>85</v>
      </c>
      <c r="AB3575" s="4">
        <v>1</v>
      </c>
      <c r="AC3575" s="4">
        <v>15</v>
      </c>
      <c r="AD3575" s="4">
        <v>67</v>
      </c>
      <c r="AE3575" s="4">
        <v>132</v>
      </c>
      <c r="AF3575" s="4">
        <v>0</v>
      </c>
      <c r="AG3575" s="4">
        <v>8</v>
      </c>
      <c r="AH3575" s="4">
        <v>61</v>
      </c>
      <c r="AI3575" s="4">
        <v>97</v>
      </c>
      <c r="AJ3575" s="4">
        <v>11</v>
      </c>
      <c r="AK3575" s="4">
        <v>24</v>
      </c>
      <c r="AL3575" s="4">
        <v>35</v>
      </c>
      <c r="AM3575" s="4">
        <v>48</v>
      </c>
      <c r="AN3575" s="4">
        <v>0</v>
      </c>
      <c r="AO3575" s="4">
        <v>0</v>
      </c>
      <c r="AP3575" s="4">
        <v>12</v>
      </c>
      <c r="AQ3575" s="4">
        <v>44</v>
      </c>
      <c r="AR3575" s="3" t="s">
        <v>62</v>
      </c>
      <c r="AS3575" s="3" t="s">
        <v>62</v>
      </c>
      <c r="AT3575" s="3" t="s">
        <v>62</v>
      </c>
      <c r="AV3575" s="6" t="str">
        <f>HYPERLINK("http://mcgill.on.worldcat.org/oclc/758394467","Catalog Record")</f>
        <v>Catalog Record</v>
      </c>
      <c r="AW3575" s="6" t="str">
        <f>HYPERLINK("http://www.worldcat.org/oclc/758394467","WorldCat Record")</f>
        <v>WorldCat Record</v>
      </c>
      <c r="AX3575" s="3" t="s">
        <v>34477</v>
      </c>
      <c r="AY3575" s="3" t="s">
        <v>34478</v>
      </c>
      <c r="AZ3575" s="3" t="s">
        <v>34479</v>
      </c>
      <c r="BA3575" s="3" t="s">
        <v>34479</v>
      </c>
      <c r="BB3575" s="3" t="s">
        <v>34480</v>
      </c>
      <c r="BC3575" s="3" t="s">
        <v>142</v>
      </c>
      <c r="BD3575" s="3" t="s">
        <v>68</v>
      </c>
      <c r="BE3575" s="3" t="s">
        <v>34481</v>
      </c>
      <c r="BF3575" s="3" t="s">
        <v>34480</v>
      </c>
      <c r="BG3575" s="3" t="s">
        <v>34482</v>
      </c>
    </row>
    <row r="3576" spans="1:59" ht="57" x14ac:dyDescent="0.45">
      <c r="A3576" s="2" t="s">
        <v>59</v>
      </c>
      <c r="B3576" s="2" t="s">
        <v>60</v>
      </c>
      <c r="C3576" s="2" t="s">
        <v>34483</v>
      </c>
      <c r="D3576" s="2" t="s">
        <v>34484</v>
      </c>
      <c r="E3576" s="2" t="s">
        <v>34485</v>
      </c>
      <c r="G3576" s="3" t="s">
        <v>62</v>
      </c>
      <c r="I3576" s="3" t="s">
        <v>62</v>
      </c>
      <c r="J3576" s="3" t="s">
        <v>62</v>
      </c>
      <c r="K3576" s="3" t="s">
        <v>63</v>
      </c>
      <c r="M3576" s="2" t="s">
        <v>34486</v>
      </c>
      <c r="N3576" s="3" t="s">
        <v>116</v>
      </c>
      <c r="P3576" s="3" t="s">
        <v>65</v>
      </c>
      <c r="Q3576" s="2" t="s">
        <v>34487</v>
      </c>
      <c r="R3576" s="3" t="s">
        <v>66</v>
      </c>
      <c r="S3576" s="4">
        <v>0</v>
      </c>
      <c r="T3576" s="4">
        <v>0</v>
      </c>
      <c r="W3576" s="5" t="s">
        <v>67</v>
      </c>
      <c r="X3576" s="5" t="s">
        <v>67</v>
      </c>
      <c r="Y3576" s="4">
        <v>89</v>
      </c>
      <c r="Z3576" s="4">
        <v>13</v>
      </c>
      <c r="AA3576" s="4">
        <v>102</v>
      </c>
      <c r="AB3576" s="4">
        <v>2</v>
      </c>
      <c r="AC3576" s="4">
        <v>17</v>
      </c>
      <c r="AD3576" s="4">
        <v>45</v>
      </c>
      <c r="AE3576" s="4">
        <v>118</v>
      </c>
      <c r="AF3576" s="4">
        <v>1</v>
      </c>
      <c r="AG3576" s="4">
        <v>8</v>
      </c>
      <c r="AH3576" s="4">
        <v>38</v>
      </c>
      <c r="AI3576" s="4">
        <v>81</v>
      </c>
      <c r="AJ3576" s="4">
        <v>9</v>
      </c>
      <c r="AK3576" s="4">
        <v>22</v>
      </c>
      <c r="AL3576" s="4">
        <v>24</v>
      </c>
      <c r="AM3576" s="4">
        <v>42</v>
      </c>
      <c r="AN3576" s="4">
        <v>0</v>
      </c>
      <c r="AO3576" s="4">
        <v>0</v>
      </c>
      <c r="AP3576" s="4">
        <v>11</v>
      </c>
      <c r="AQ3576" s="4">
        <v>45</v>
      </c>
      <c r="AR3576" s="3" t="s">
        <v>62</v>
      </c>
      <c r="AS3576" s="3" t="s">
        <v>62</v>
      </c>
      <c r="AT3576" s="3" t="s">
        <v>62</v>
      </c>
      <c r="AV3576" s="6" t="str">
        <f>HYPERLINK("http://mcgill.on.worldcat.org/oclc/819641555","Catalog Record")</f>
        <v>Catalog Record</v>
      </c>
      <c r="AW3576" s="6" t="str">
        <f>HYPERLINK("http://www.worldcat.org/oclc/819641555","WorldCat Record")</f>
        <v>WorldCat Record</v>
      </c>
      <c r="AX3576" s="3" t="s">
        <v>34488</v>
      </c>
      <c r="AY3576" s="3" t="s">
        <v>34489</v>
      </c>
      <c r="AZ3576" s="3" t="s">
        <v>34490</v>
      </c>
      <c r="BA3576" s="3" t="s">
        <v>34490</v>
      </c>
      <c r="BB3576" s="3" t="s">
        <v>34491</v>
      </c>
      <c r="BC3576" s="3" t="s">
        <v>142</v>
      </c>
      <c r="BD3576" s="3" t="s">
        <v>68</v>
      </c>
      <c r="BE3576" s="3" t="s">
        <v>34492</v>
      </c>
      <c r="BF3576" s="3" t="s">
        <v>34491</v>
      </c>
      <c r="BG3576" s="3" t="s">
        <v>34493</v>
      </c>
    </row>
    <row r="3577" spans="1:59" ht="85.5" x14ac:dyDescent="0.45">
      <c r="A3577" s="2" t="s">
        <v>59</v>
      </c>
      <c r="B3577" s="2" t="s">
        <v>60</v>
      </c>
      <c r="C3577" s="2" t="s">
        <v>34494</v>
      </c>
      <c r="D3577" s="2" t="s">
        <v>34495</v>
      </c>
      <c r="E3577" s="2" t="s">
        <v>34496</v>
      </c>
      <c r="G3577" s="3" t="s">
        <v>62</v>
      </c>
      <c r="I3577" s="3" t="s">
        <v>62</v>
      </c>
      <c r="J3577" s="3" t="s">
        <v>62</v>
      </c>
      <c r="K3577" s="3" t="s">
        <v>63</v>
      </c>
      <c r="M3577" s="2" t="s">
        <v>34497</v>
      </c>
      <c r="N3577" s="3" t="s">
        <v>1688</v>
      </c>
      <c r="P3577" s="3" t="s">
        <v>110</v>
      </c>
      <c r="Q3577" s="2" t="s">
        <v>34498</v>
      </c>
      <c r="R3577" s="3" t="s">
        <v>66</v>
      </c>
      <c r="S3577" s="4">
        <v>0</v>
      </c>
      <c r="T3577" s="4">
        <v>0</v>
      </c>
      <c r="W3577" s="5" t="s">
        <v>67</v>
      </c>
      <c r="X3577" s="5" t="s">
        <v>67</v>
      </c>
      <c r="Y3577" s="4">
        <v>28</v>
      </c>
      <c r="Z3577" s="4">
        <v>5</v>
      </c>
      <c r="AA3577" s="4">
        <v>14</v>
      </c>
      <c r="AB3577" s="4">
        <v>1</v>
      </c>
      <c r="AC3577" s="4">
        <v>10</v>
      </c>
      <c r="AD3577" s="4">
        <v>14</v>
      </c>
      <c r="AE3577" s="4">
        <v>18</v>
      </c>
      <c r="AF3577" s="4">
        <v>0</v>
      </c>
      <c r="AG3577" s="4">
        <v>4</v>
      </c>
      <c r="AH3577" s="4">
        <v>13</v>
      </c>
      <c r="AI3577" s="4">
        <v>14</v>
      </c>
      <c r="AJ3577" s="4">
        <v>3</v>
      </c>
      <c r="AK3577" s="4">
        <v>7</v>
      </c>
      <c r="AL3577" s="4">
        <v>10</v>
      </c>
      <c r="AM3577" s="4">
        <v>10</v>
      </c>
      <c r="AN3577" s="4">
        <v>0</v>
      </c>
      <c r="AO3577" s="4">
        <v>0</v>
      </c>
      <c r="AP3577" s="4">
        <v>3</v>
      </c>
      <c r="AQ3577" s="4">
        <v>6</v>
      </c>
      <c r="AR3577" s="3" t="s">
        <v>62</v>
      </c>
      <c r="AS3577" s="3" t="s">
        <v>62</v>
      </c>
      <c r="AT3577" s="3" t="s">
        <v>62</v>
      </c>
      <c r="AV3577" s="6" t="str">
        <f>HYPERLINK("http://mcgill.on.worldcat.org/oclc/873478472","Catalog Record")</f>
        <v>Catalog Record</v>
      </c>
      <c r="AW3577" s="6" t="str">
        <f>HYPERLINK("http://www.worldcat.org/oclc/873478472","WorldCat Record")</f>
        <v>WorldCat Record</v>
      </c>
      <c r="AX3577" s="3" t="s">
        <v>34499</v>
      </c>
      <c r="AY3577" s="3" t="s">
        <v>34500</v>
      </c>
      <c r="AZ3577" s="3" t="s">
        <v>34501</v>
      </c>
      <c r="BA3577" s="3" t="s">
        <v>34501</v>
      </c>
      <c r="BB3577" s="3" t="s">
        <v>34502</v>
      </c>
      <c r="BC3577" s="3" t="s">
        <v>142</v>
      </c>
      <c r="BD3577" s="3" t="s">
        <v>68</v>
      </c>
      <c r="BE3577" s="3" t="s">
        <v>34503</v>
      </c>
      <c r="BF3577" s="3" t="s">
        <v>34502</v>
      </c>
      <c r="BG3577" s="3" t="s">
        <v>34504</v>
      </c>
    </row>
    <row r="3578" spans="1:59" ht="57" x14ac:dyDescent="0.45">
      <c r="A3578" s="2" t="s">
        <v>59</v>
      </c>
      <c r="B3578" s="2" t="s">
        <v>60</v>
      </c>
      <c r="C3578" s="2" t="s">
        <v>34505</v>
      </c>
      <c r="D3578" s="2" t="s">
        <v>34506</v>
      </c>
      <c r="E3578" s="2" t="s">
        <v>34507</v>
      </c>
      <c r="G3578" s="3" t="s">
        <v>62</v>
      </c>
      <c r="I3578" s="3" t="s">
        <v>62</v>
      </c>
      <c r="J3578" s="3" t="s">
        <v>62</v>
      </c>
      <c r="K3578" s="3" t="s">
        <v>63</v>
      </c>
      <c r="L3578" s="2" t="s">
        <v>34508</v>
      </c>
      <c r="M3578" s="2" t="s">
        <v>34509</v>
      </c>
      <c r="N3578" s="3" t="s">
        <v>116</v>
      </c>
      <c r="P3578" s="3" t="s">
        <v>65</v>
      </c>
      <c r="Q3578" s="2" t="s">
        <v>34510</v>
      </c>
      <c r="R3578" s="3" t="s">
        <v>66</v>
      </c>
      <c r="S3578" s="4">
        <v>0</v>
      </c>
      <c r="T3578" s="4">
        <v>0</v>
      </c>
      <c r="W3578" s="5" t="s">
        <v>67</v>
      </c>
      <c r="X3578" s="5" t="s">
        <v>67</v>
      </c>
      <c r="Y3578" s="4">
        <v>74</v>
      </c>
      <c r="Z3578" s="4">
        <v>15</v>
      </c>
      <c r="AA3578" s="4">
        <v>46</v>
      </c>
      <c r="AB3578" s="4">
        <v>2</v>
      </c>
      <c r="AC3578" s="4">
        <v>5</v>
      </c>
      <c r="AD3578" s="4">
        <v>35</v>
      </c>
      <c r="AE3578" s="4">
        <v>52</v>
      </c>
      <c r="AF3578" s="4">
        <v>1</v>
      </c>
      <c r="AG3578" s="4">
        <v>2</v>
      </c>
      <c r="AH3578" s="4">
        <v>31</v>
      </c>
      <c r="AI3578" s="4">
        <v>38</v>
      </c>
      <c r="AJ3578" s="4">
        <v>10</v>
      </c>
      <c r="AK3578" s="4">
        <v>12</v>
      </c>
      <c r="AL3578" s="4">
        <v>19</v>
      </c>
      <c r="AM3578" s="4">
        <v>22</v>
      </c>
      <c r="AN3578" s="4">
        <v>0</v>
      </c>
      <c r="AO3578" s="4">
        <v>0</v>
      </c>
      <c r="AP3578" s="4">
        <v>12</v>
      </c>
      <c r="AQ3578" s="4">
        <v>20</v>
      </c>
      <c r="AR3578" s="3" t="s">
        <v>62</v>
      </c>
      <c r="AS3578" s="3" t="s">
        <v>62</v>
      </c>
      <c r="AT3578" s="3" t="s">
        <v>62</v>
      </c>
      <c r="AV3578" s="6" t="str">
        <f>HYPERLINK("http://mcgill.on.worldcat.org/oclc/847602585","Catalog Record")</f>
        <v>Catalog Record</v>
      </c>
      <c r="AW3578" s="6" t="str">
        <f>HYPERLINK("http://www.worldcat.org/oclc/847602585","WorldCat Record")</f>
        <v>WorldCat Record</v>
      </c>
      <c r="AX3578" s="3" t="s">
        <v>34511</v>
      </c>
      <c r="AY3578" s="3" t="s">
        <v>34512</v>
      </c>
      <c r="AZ3578" s="3" t="s">
        <v>34513</v>
      </c>
      <c r="BA3578" s="3" t="s">
        <v>34513</v>
      </c>
      <c r="BB3578" s="3" t="s">
        <v>34514</v>
      </c>
      <c r="BC3578" s="3" t="s">
        <v>142</v>
      </c>
      <c r="BD3578" s="3" t="s">
        <v>68</v>
      </c>
      <c r="BE3578" s="3" t="s">
        <v>34515</v>
      </c>
      <c r="BF3578" s="3" t="s">
        <v>34514</v>
      </c>
      <c r="BG3578" s="3" t="s">
        <v>34516</v>
      </c>
    </row>
    <row r="3579" spans="1:59" ht="57" x14ac:dyDescent="0.45">
      <c r="A3579" s="2" t="s">
        <v>59</v>
      </c>
      <c r="B3579" s="2" t="s">
        <v>60</v>
      </c>
      <c r="C3579" s="2" t="s">
        <v>34517</v>
      </c>
      <c r="D3579" s="2" t="s">
        <v>34518</v>
      </c>
      <c r="E3579" s="2" t="s">
        <v>34519</v>
      </c>
      <c r="G3579" s="3" t="s">
        <v>62</v>
      </c>
      <c r="I3579" s="3" t="s">
        <v>62</v>
      </c>
      <c r="J3579" s="3" t="s">
        <v>62</v>
      </c>
      <c r="K3579" s="3" t="s">
        <v>63</v>
      </c>
      <c r="M3579" s="2" t="s">
        <v>34520</v>
      </c>
      <c r="N3579" s="3" t="s">
        <v>181</v>
      </c>
      <c r="P3579" s="3" t="s">
        <v>65</v>
      </c>
      <c r="R3579" s="3" t="s">
        <v>66</v>
      </c>
      <c r="S3579" s="4">
        <v>6</v>
      </c>
      <c r="T3579" s="4">
        <v>6</v>
      </c>
      <c r="U3579" s="5" t="s">
        <v>1857</v>
      </c>
      <c r="V3579" s="5" t="s">
        <v>1857</v>
      </c>
      <c r="W3579" s="5" t="s">
        <v>67</v>
      </c>
      <c r="X3579" s="5" t="s">
        <v>67</v>
      </c>
      <c r="Y3579" s="4">
        <v>89</v>
      </c>
      <c r="Z3579" s="4">
        <v>6</v>
      </c>
      <c r="AA3579" s="4">
        <v>13</v>
      </c>
      <c r="AB3579" s="4">
        <v>1</v>
      </c>
      <c r="AC3579" s="4">
        <v>6</v>
      </c>
      <c r="AD3579" s="4">
        <v>39</v>
      </c>
      <c r="AE3579" s="4">
        <v>54</v>
      </c>
      <c r="AF3579" s="4">
        <v>0</v>
      </c>
      <c r="AG3579" s="4">
        <v>2</v>
      </c>
      <c r="AH3579" s="4">
        <v>36</v>
      </c>
      <c r="AI3579" s="4">
        <v>49</v>
      </c>
      <c r="AJ3579" s="4">
        <v>3</v>
      </c>
      <c r="AK3579" s="4">
        <v>7</v>
      </c>
      <c r="AL3579" s="4">
        <v>27</v>
      </c>
      <c r="AM3579" s="4">
        <v>34</v>
      </c>
      <c r="AN3579" s="4">
        <v>0</v>
      </c>
      <c r="AO3579" s="4">
        <v>0</v>
      </c>
      <c r="AP3579" s="4">
        <v>3</v>
      </c>
      <c r="AQ3579" s="4">
        <v>6</v>
      </c>
      <c r="AR3579" s="3" t="s">
        <v>62</v>
      </c>
      <c r="AS3579" s="3" t="s">
        <v>62</v>
      </c>
      <c r="AT3579" s="3" t="s">
        <v>62</v>
      </c>
      <c r="AV3579" s="6" t="str">
        <f>HYPERLINK("http://mcgill.on.worldcat.org/oclc/914156916","Catalog Record")</f>
        <v>Catalog Record</v>
      </c>
      <c r="AW3579" s="6" t="str">
        <f>HYPERLINK("http://www.worldcat.org/oclc/914156916","WorldCat Record")</f>
        <v>WorldCat Record</v>
      </c>
      <c r="AX3579" s="3" t="s">
        <v>34521</v>
      </c>
      <c r="AY3579" s="3" t="s">
        <v>34522</v>
      </c>
      <c r="AZ3579" s="3" t="s">
        <v>34523</v>
      </c>
      <c r="BA3579" s="3" t="s">
        <v>34523</v>
      </c>
      <c r="BB3579" s="3" t="s">
        <v>34524</v>
      </c>
      <c r="BC3579" s="3" t="s">
        <v>142</v>
      </c>
      <c r="BD3579" s="3" t="s">
        <v>68</v>
      </c>
      <c r="BE3579" s="3" t="s">
        <v>34525</v>
      </c>
      <c r="BF3579" s="3" t="s">
        <v>34524</v>
      </c>
      <c r="BG3579" s="3" t="s">
        <v>34526</v>
      </c>
    </row>
    <row r="3580" spans="1:59" ht="57" x14ac:dyDescent="0.45">
      <c r="A3580" s="2" t="s">
        <v>59</v>
      </c>
      <c r="B3580" s="2" t="s">
        <v>60</v>
      </c>
      <c r="C3580" s="2" t="s">
        <v>34527</v>
      </c>
      <c r="D3580" s="2" t="s">
        <v>34528</v>
      </c>
      <c r="E3580" s="2" t="s">
        <v>34529</v>
      </c>
      <c r="G3580" s="3" t="s">
        <v>62</v>
      </c>
      <c r="I3580" s="3" t="s">
        <v>62</v>
      </c>
      <c r="J3580" s="3" t="s">
        <v>62</v>
      </c>
      <c r="K3580" s="3" t="s">
        <v>63</v>
      </c>
      <c r="L3580" s="2" t="s">
        <v>34530</v>
      </c>
      <c r="M3580" s="2" t="s">
        <v>27340</v>
      </c>
      <c r="N3580" s="3" t="s">
        <v>1097</v>
      </c>
      <c r="P3580" s="3" t="s">
        <v>65</v>
      </c>
      <c r="Q3580" s="2" t="s">
        <v>34531</v>
      </c>
      <c r="R3580" s="3" t="s">
        <v>66</v>
      </c>
      <c r="S3580" s="4">
        <v>15</v>
      </c>
      <c r="T3580" s="4">
        <v>15</v>
      </c>
      <c r="U3580" s="5" t="s">
        <v>23151</v>
      </c>
      <c r="V3580" s="5" t="s">
        <v>23151</v>
      </c>
      <c r="W3580" s="5" t="s">
        <v>67</v>
      </c>
      <c r="X3580" s="5" t="s">
        <v>67</v>
      </c>
      <c r="Y3580" s="4">
        <v>338</v>
      </c>
      <c r="Z3580" s="4">
        <v>18</v>
      </c>
      <c r="AA3580" s="4">
        <v>30</v>
      </c>
      <c r="AB3580" s="4">
        <v>2</v>
      </c>
      <c r="AC3580" s="4">
        <v>5</v>
      </c>
      <c r="AD3580" s="4">
        <v>100</v>
      </c>
      <c r="AE3580" s="4">
        <v>112</v>
      </c>
      <c r="AF3580" s="4">
        <v>1</v>
      </c>
      <c r="AG3580" s="4">
        <v>2</v>
      </c>
      <c r="AH3580" s="4">
        <v>92</v>
      </c>
      <c r="AI3580" s="4">
        <v>96</v>
      </c>
      <c r="AJ3580" s="4">
        <v>12</v>
      </c>
      <c r="AK3580" s="4">
        <v>16</v>
      </c>
      <c r="AL3580" s="4">
        <v>51</v>
      </c>
      <c r="AM3580" s="4">
        <v>51</v>
      </c>
      <c r="AN3580" s="4">
        <v>0</v>
      </c>
      <c r="AO3580" s="4">
        <v>0</v>
      </c>
      <c r="AP3580" s="4">
        <v>14</v>
      </c>
      <c r="AQ3580" s="4">
        <v>22</v>
      </c>
      <c r="AR3580" s="3" t="s">
        <v>62</v>
      </c>
      <c r="AS3580" s="3" t="s">
        <v>62</v>
      </c>
      <c r="AT3580" s="3" t="s">
        <v>61</v>
      </c>
      <c r="AU3580" s="6" t="str">
        <f>HYPERLINK("http://catalog.hathitrust.org/Record/004376394","HathiTrust Record")</f>
        <v>HathiTrust Record</v>
      </c>
      <c r="AV3580" s="6" t="str">
        <f>HYPERLINK("http://mcgill.on.worldcat.org/oclc/53289888","Catalog Record")</f>
        <v>Catalog Record</v>
      </c>
      <c r="AW3580" s="6" t="str">
        <f>HYPERLINK("http://www.worldcat.org/oclc/53289888","WorldCat Record")</f>
        <v>WorldCat Record</v>
      </c>
      <c r="AX3580" s="3" t="s">
        <v>34532</v>
      </c>
      <c r="AY3580" s="3" t="s">
        <v>34533</v>
      </c>
      <c r="AZ3580" s="3" t="s">
        <v>34534</v>
      </c>
      <c r="BA3580" s="3" t="s">
        <v>34534</v>
      </c>
      <c r="BB3580" s="3" t="s">
        <v>34535</v>
      </c>
      <c r="BC3580" s="3" t="s">
        <v>142</v>
      </c>
      <c r="BD3580" s="3" t="s">
        <v>68</v>
      </c>
      <c r="BE3580" s="3" t="s">
        <v>34536</v>
      </c>
      <c r="BF3580" s="3" t="s">
        <v>34535</v>
      </c>
      <c r="BG3580" s="3" t="s">
        <v>34537</v>
      </c>
    </row>
    <row r="3581" spans="1:59" ht="57" x14ac:dyDescent="0.45">
      <c r="A3581" s="2" t="s">
        <v>59</v>
      </c>
      <c r="B3581" s="2" t="s">
        <v>60</v>
      </c>
      <c r="C3581" s="2" t="s">
        <v>34538</v>
      </c>
      <c r="D3581" s="2" t="s">
        <v>34539</v>
      </c>
      <c r="E3581" s="2" t="s">
        <v>34540</v>
      </c>
      <c r="G3581" s="3" t="s">
        <v>62</v>
      </c>
      <c r="I3581" s="3" t="s">
        <v>62</v>
      </c>
      <c r="J3581" s="3" t="s">
        <v>62</v>
      </c>
      <c r="K3581" s="3" t="s">
        <v>63</v>
      </c>
      <c r="L3581" s="2" t="s">
        <v>34541</v>
      </c>
      <c r="M3581" s="2" t="s">
        <v>34542</v>
      </c>
      <c r="N3581" s="3" t="s">
        <v>208</v>
      </c>
      <c r="P3581" s="3" t="s">
        <v>65</v>
      </c>
      <c r="Q3581" s="2" t="s">
        <v>1267</v>
      </c>
      <c r="R3581" s="3" t="s">
        <v>66</v>
      </c>
      <c r="S3581" s="4">
        <v>0</v>
      </c>
      <c r="T3581" s="4">
        <v>0</v>
      </c>
      <c r="W3581" s="5" t="s">
        <v>67</v>
      </c>
      <c r="X3581" s="5" t="s">
        <v>67</v>
      </c>
      <c r="Y3581" s="4">
        <v>172</v>
      </c>
      <c r="Z3581" s="4">
        <v>11</v>
      </c>
      <c r="AA3581" s="4">
        <v>16</v>
      </c>
      <c r="AB3581" s="4">
        <v>2</v>
      </c>
      <c r="AC3581" s="4">
        <v>5</v>
      </c>
      <c r="AD3581" s="4">
        <v>60</v>
      </c>
      <c r="AE3581" s="4">
        <v>64</v>
      </c>
      <c r="AF3581" s="4">
        <v>0</v>
      </c>
      <c r="AG3581" s="4">
        <v>2</v>
      </c>
      <c r="AH3581" s="4">
        <v>57</v>
      </c>
      <c r="AI3581" s="4">
        <v>59</v>
      </c>
      <c r="AJ3581" s="4">
        <v>6</v>
      </c>
      <c r="AK3581" s="4">
        <v>10</v>
      </c>
      <c r="AL3581" s="4">
        <v>41</v>
      </c>
      <c r="AM3581" s="4">
        <v>41</v>
      </c>
      <c r="AN3581" s="4">
        <v>0</v>
      </c>
      <c r="AO3581" s="4">
        <v>0</v>
      </c>
      <c r="AP3581" s="4">
        <v>6</v>
      </c>
      <c r="AQ3581" s="4">
        <v>9</v>
      </c>
      <c r="AR3581" s="3" t="s">
        <v>62</v>
      </c>
      <c r="AS3581" s="3" t="s">
        <v>62</v>
      </c>
      <c r="AT3581" s="3" t="s">
        <v>62</v>
      </c>
      <c r="AV3581" s="6" t="str">
        <f>HYPERLINK("http://mcgill.on.worldcat.org/oclc/888165540","Catalog Record")</f>
        <v>Catalog Record</v>
      </c>
      <c r="AW3581" s="6" t="str">
        <f>HYPERLINK("http://www.worldcat.org/oclc/888165540","WorldCat Record")</f>
        <v>WorldCat Record</v>
      </c>
      <c r="AX3581" s="3" t="s">
        <v>34543</v>
      </c>
      <c r="AY3581" s="3" t="s">
        <v>34544</v>
      </c>
      <c r="AZ3581" s="3" t="s">
        <v>34545</v>
      </c>
      <c r="BA3581" s="3" t="s">
        <v>34545</v>
      </c>
      <c r="BB3581" s="3" t="s">
        <v>34546</v>
      </c>
      <c r="BC3581" s="3" t="s">
        <v>142</v>
      </c>
      <c r="BD3581" s="3" t="s">
        <v>68</v>
      </c>
      <c r="BE3581" s="3" t="s">
        <v>34547</v>
      </c>
      <c r="BF3581" s="3" t="s">
        <v>34546</v>
      </c>
      <c r="BG3581" s="3" t="s">
        <v>34548</v>
      </c>
    </row>
    <row r="3582" spans="1:59" ht="57" x14ac:dyDescent="0.45">
      <c r="A3582" s="2" t="s">
        <v>59</v>
      </c>
      <c r="B3582" s="2" t="s">
        <v>412</v>
      </c>
      <c r="C3582" s="2" t="s">
        <v>34549</v>
      </c>
      <c r="D3582" s="2" t="s">
        <v>34550</v>
      </c>
      <c r="E3582" s="2" t="s">
        <v>34551</v>
      </c>
      <c r="G3582" s="3" t="s">
        <v>62</v>
      </c>
      <c r="I3582" s="3" t="s">
        <v>62</v>
      </c>
      <c r="J3582" s="3" t="s">
        <v>62</v>
      </c>
      <c r="K3582" s="3" t="s">
        <v>63</v>
      </c>
      <c r="L3582" s="2" t="s">
        <v>33990</v>
      </c>
      <c r="M3582" s="2" t="s">
        <v>5568</v>
      </c>
      <c r="N3582" s="3" t="s">
        <v>1155</v>
      </c>
      <c r="P3582" s="3" t="s">
        <v>65</v>
      </c>
      <c r="R3582" s="3" t="s">
        <v>66</v>
      </c>
      <c r="S3582" s="4">
        <v>27</v>
      </c>
      <c r="T3582" s="4">
        <v>27</v>
      </c>
      <c r="U3582" s="5" t="s">
        <v>33205</v>
      </c>
      <c r="V3582" s="5" t="s">
        <v>33205</v>
      </c>
      <c r="W3582" s="5" t="s">
        <v>67</v>
      </c>
      <c r="X3582" s="5" t="s">
        <v>67</v>
      </c>
      <c r="Y3582" s="4">
        <v>123</v>
      </c>
      <c r="Z3582" s="4">
        <v>12</v>
      </c>
      <c r="AA3582" s="4">
        <v>64</v>
      </c>
      <c r="AB3582" s="4">
        <v>2</v>
      </c>
      <c r="AC3582" s="4">
        <v>7</v>
      </c>
      <c r="AD3582" s="4">
        <v>17</v>
      </c>
      <c r="AE3582" s="4">
        <v>74</v>
      </c>
      <c r="AF3582" s="4">
        <v>1</v>
      </c>
      <c r="AG3582" s="4">
        <v>3</v>
      </c>
      <c r="AH3582" s="4">
        <v>11</v>
      </c>
      <c r="AI3582" s="4">
        <v>54</v>
      </c>
      <c r="AJ3582" s="4">
        <v>8</v>
      </c>
      <c r="AK3582" s="4">
        <v>14</v>
      </c>
      <c r="AL3582" s="4">
        <v>6</v>
      </c>
      <c r="AM3582" s="4">
        <v>26</v>
      </c>
      <c r="AN3582" s="4">
        <v>0</v>
      </c>
      <c r="AO3582" s="4">
        <v>0</v>
      </c>
      <c r="AP3582" s="4">
        <v>10</v>
      </c>
      <c r="AQ3582" s="4">
        <v>27</v>
      </c>
      <c r="AR3582" s="3" t="s">
        <v>62</v>
      </c>
      <c r="AS3582" s="3" t="s">
        <v>62</v>
      </c>
      <c r="AT3582" s="3" t="s">
        <v>62</v>
      </c>
      <c r="AV3582" s="6" t="str">
        <f>HYPERLINK("http://mcgill.on.worldcat.org/oclc/706022675","Catalog Record")</f>
        <v>Catalog Record</v>
      </c>
      <c r="AW3582" s="6" t="str">
        <f>HYPERLINK("http://www.worldcat.org/oclc/706022675","WorldCat Record")</f>
        <v>WorldCat Record</v>
      </c>
      <c r="AX3582" s="3" t="s">
        <v>34552</v>
      </c>
      <c r="AY3582" s="3" t="s">
        <v>34553</v>
      </c>
      <c r="AZ3582" s="3" t="s">
        <v>34554</v>
      </c>
      <c r="BA3582" s="3" t="s">
        <v>34554</v>
      </c>
      <c r="BB3582" s="3" t="s">
        <v>34555</v>
      </c>
      <c r="BC3582" s="3" t="s">
        <v>142</v>
      </c>
      <c r="BD3582" s="3" t="s">
        <v>68</v>
      </c>
      <c r="BE3582" s="3" t="s">
        <v>34556</v>
      </c>
      <c r="BF3582" s="3" t="s">
        <v>34555</v>
      </c>
      <c r="BG3582" s="3" t="s">
        <v>34557</v>
      </c>
    </row>
    <row r="3583" spans="1:59" ht="57" x14ac:dyDescent="0.45">
      <c r="A3583" s="2" t="s">
        <v>59</v>
      </c>
      <c r="B3583" s="2" t="s">
        <v>60</v>
      </c>
      <c r="C3583" s="2" t="s">
        <v>34558</v>
      </c>
      <c r="D3583" s="2" t="s">
        <v>34559</v>
      </c>
      <c r="E3583" s="2" t="s">
        <v>34560</v>
      </c>
      <c r="G3583" s="3" t="s">
        <v>62</v>
      </c>
      <c r="I3583" s="3" t="s">
        <v>61</v>
      </c>
      <c r="J3583" s="3" t="s">
        <v>62</v>
      </c>
      <c r="K3583" s="3" t="s">
        <v>63</v>
      </c>
      <c r="L3583" s="2" t="s">
        <v>34561</v>
      </c>
      <c r="M3583" s="2" t="s">
        <v>34562</v>
      </c>
      <c r="N3583" s="3" t="s">
        <v>1688</v>
      </c>
      <c r="P3583" s="3" t="s">
        <v>65</v>
      </c>
      <c r="Q3583" s="2" t="s">
        <v>3338</v>
      </c>
      <c r="R3583" s="3" t="s">
        <v>66</v>
      </c>
      <c r="S3583" s="4">
        <v>0</v>
      </c>
      <c r="T3583" s="4">
        <v>1</v>
      </c>
      <c r="V3583" s="5" t="s">
        <v>20968</v>
      </c>
      <c r="W3583" s="5" t="s">
        <v>67</v>
      </c>
      <c r="X3583" s="5" t="s">
        <v>67</v>
      </c>
      <c r="Y3583" s="4">
        <v>165</v>
      </c>
      <c r="Z3583" s="4">
        <v>10</v>
      </c>
      <c r="AA3583" s="4">
        <v>111</v>
      </c>
      <c r="AB3583" s="4">
        <v>2</v>
      </c>
      <c r="AC3583" s="4">
        <v>15</v>
      </c>
      <c r="AD3583" s="4">
        <v>63</v>
      </c>
      <c r="AE3583" s="4">
        <v>133</v>
      </c>
      <c r="AF3583" s="4">
        <v>1</v>
      </c>
      <c r="AG3583" s="4">
        <v>8</v>
      </c>
      <c r="AH3583" s="4">
        <v>57</v>
      </c>
      <c r="AI3583" s="4">
        <v>92</v>
      </c>
      <c r="AJ3583" s="4">
        <v>7</v>
      </c>
      <c r="AK3583" s="4">
        <v>24</v>
      </c>
      <c r="AL3583" s="4">
        <v>34</v>
      </c>
      <c r="AM3583" s="4">
        <v>48</v>
      </c>
      <c r="AN3583" s="4">
        <v>0</v>
      </c>
      <c r="AO3583" s="4">
        <v>0</v>
      </c>
      <c r="AP3583" s="4">
        <v>8</v>
      </c>
      <c r="AQ3583" s="4">
        <v>46</v>
      </c>
      <c r="AR3583" s="3" t="s">
        <v>62</v>
      </c>
      <c r="AS3583" s="3" t="s">
        <v>62</v>
      </c>
      <c r="AT3583" s="3" t="s">
        <v>62</v>
      </c>
      <c r="AV3583" s="6" t="str">
        <f>HYPERLINK("http://mcgill.on.worldcat.org/oclc/878224776","Catalog Record")</f>
        <v>Catalog Record</v>
      </c>
      <c r="AW3583" s="6" t="str">
        <f>HYPERLINK("http://www.worldcat.org/oclc/878224776","WorldCat Record")</f>
        <v>WorldCat Record</v>
      </c>
      <c r="AX3583" s="3" t="s">
        <v>34563</v>
      </c>
      <c r="AY3583" s="3" t="s">
        <v>34564</v>
      </c>
      <c r="AZ3583" s="3" t="s">
        <v>34565</v>
      </c>
      <c r="BA3583" s="3" t="s">
        <v>34565</v>
      </c>
      <c r="BB3583" s="3" t="s">
        <v>34566</v>
      </c>
      <c r="BC3583" s="3" t="s">
        <v>142</v>
      </c>
      <c r="BD3583" s="3" t="s">
        <v>68</v>
      </c>
      <c r="BE3583" s="3" t="s">
        <v>34567</v>
      </c>
      <c r="BF3583" s="3" t="s">
        <v>34566</v>
      </c>
      <c r="BG3583" s="3" t="s">
        <v>34568</v>
      </c>
    </row>
    <row r="3584" spans="1:59" ht="57" x14ac:dyDescent="0.45">
      <c r="A3584" s="2" t="s">
        <v>59</v>
      </c>
      <c r="B3584" s="2" t="s">
        <v>60</v>
      </c>
      <c r="C3584" s="2" t="s">
        <v>34558</v>
      </c>
      <c r="D3584" s="2" t="s">
        <v>34559</v>
      </c>
      <c r="E3584" s="2" t="s">
        <v>34560</v>
      </c>
      <c r="G3584" s="3" t="s">
        <v>62</v>
      </c>
      <c r="I3584" s="3" t="s">
        <v>61</v>
      </c>
      <c r="J3584" s="3" t="s">
        <v>62</v>
      </c>
      <c r="K3584" s="3" t="s">
        <v>63</v>
      </c>
      <c r="L3584" s="2" t="s">
        <v>34561</v>
      </c>
      <c r="M3584" s="2" t="s">
        <v>34562</v>
      </c>
      <c r="N3584" s="3" t="s">
        <v>1688</v>
      </c>
      <c r="P3584" s="3" t="s">
        <v>65</v>
      </c>
      <c r="Q3584" s="2" t="s">
        <v>3338</v>
      </c>
      <c r="R3584" s="3" t="s">
        <v>66</v>
      </c>
      <c r="S3584" s="4">
        <v>1</v>
      </c>
      <c r="T3584" s="4">
        <v>1</v>
      </c>
      <c r="U3584" s="5" t="s">
        <v>20968</v>
      </c>
      <c r="V3584" s="5" t="s">
        <v>20968</v>
      </c>
      <c r="W3584" s="5" t="s">
        <v>67</v>
      </c>
      <c r="X3584" s="5" t="s">
        <v>67</v>
      </c>
      <c r="Y3584" s="4">
        <v>165</v>
      </c>
      <c r="Z3584" s="4">
        <v>10</v>
      </c>
      <c r="AA3584" s="4">
        <v>111</v>
      </c>
      <c r="AB3584" s="4">
        <v>2</v>
      </c>
      <c r="AC3584" s="4">
        <v>15</v>
      </c>
      <c r="AD3584" s="4">
        <v>63</v>
      </c>
      <c r="AE3584" s="4">
        <v>133</v>
      </c>
      <c r="AF3584" s="4">
        <v>1</v>
      </c>
      <c r="AG3584" s="4">
        <v>8</v>
      </c>
      <c r="AH3584" s="4">
        <v>57</v>
      </c>
      <c r="AI3584" s="4">
        <v>92</v>
      </c>
      <c r="AJ3584" s="4">
        <v>7</v>
      </c>
      <c r="AK3584" s="4">
        <v>24</v>
      </c>
      <c r="AL3584" s="4">
        <v>34</v>
      </c>
      <c r="AM3584" s="4">
        <v>48</v>
      </c>
      <c r="AN3584" s="4">
        <v>0</v>
      </c>
      <c r="AO3584" s="4">
        <v>0</v>
      </c>
      <c r="AP3584" s="4">
        <v>8</v>
      </c>
      <c r="AQ3584" s="4">
        <v>46</v>
      </c>
      <c r="AR3584" s="3" t="s">
        <v>62</v>
      </c>
      <c r="AS3584" s="3" t="s">
        <v>62</v>
      </c>
      <c r="AT3584" s="3" t="s">
        <v>62</v>
      </c>
      <c r="AV3584" s="6" t="str">
        <f>HYPERLINK("http://mcgill.on.worldcat.org/oclc/878224776","Catalog Record")</f>
        <v>Catalog Record</v>
      </c>
      <c r="AW3584" s="6" t="str">
        <f>HYPERLINK("http://www.worldcat.org/oclc/878224776","WorldCat Record")</f>
        <v>WorldCat Record</v>
      </c>
      <c r="AX3584" s="3" t="s">
        <v>34563</v>
      </c>
      <c r="AY3584" s="3" t="s">
        <v>34564</v>
      </c>
      <c r="AZ3584" s="3" t="s">
        <v>34565</v>
      </c>
      <c r="BA3584" s="3" t="s">
        <v>34565</v>
      </c>
      <c r="BB3584" s="3" t="s">
        <v>34569</v>
      </c>
      <c r="BC3584" s="3" t="s">
        <v>142</v>
      </c>
      <c r="BD3584" s="3" t="s">
        <v>68</v>
      </c>
      <c r="BE3584" s="3" t="s">
        <v>34567</v>
      </c>
      <c r="BF3584" s="3" t="s">
        <v>34569</v>
      </c>
      <c r="BG3584" s="3" t="s">
        <v>34570</v>
      </c>
    </row>
    <row r="3585" spans="1:59" ht="57" x14ac:dyDescent="0.45">
      <c r="A3585" s="2" t="s">
        <v>59</v>
      </c>
      <c r="B3585" s="2" t="s">
        <v>60</v>
      </c>
      <c r="C3585" s="2" t="s">
        <v>34571</v>
      </c>
      <c r="D3585" s="2" t="s">
        <v>34572</v>
      </c>
      <c r="E3585" s="2" t="s">
        <v>34573</v>
      </c>
      <c r="G3585" s="3" t="s">
        <v>62</v>
      </c>
      <c r="I3585" s="3" t="s">
        <v>62</v>
      </c>
      <c r="J3585" s="3" t="s">
        <v>62</v>
      </c>
      <c r="K3585" s="3" t="s">
        <v>63</v>
      </c>
      <c r="M3585" s="2" t="s">
        <v>9877</v>
      </c>
      <c r="N3585" s="3" t="s">
        <v>568</v>
      </c>
      <c r="P3585" s="3" t="s">
        <v>65</v>
      </c>
      <c r="Q3585" s="2" t="s">
        <v>34574</v>
      </c>
      <c r="R3585" s="3" t="s">
        <v>66</v>
      </c>
      <c r="S3585" s="4">
        <v>9</v>
      </c>
      <c r="T3585" s="4">
        <v>9</v>
      </c>
      <c r="U3585" s="5" t="s">
        <v>5192</v>
      </c>
      <c r="V3585" s="5" t="s">
        <v>5192</v>
      </c>
      <c r="W3585" s="5" t="s">
        <v>67</v>
      </c>
      <c r="X3585" s="5" t="s">
        <v>67</v>
      </c>
      <c r="Y3585" s="4">
        <v>122</v>
      </c>
      <c r="Z3585" s="4">
        <v>12</v>
      </c>
      <c r="AA3585" s="4">
        <v>97</v>
      </c>
      <c r="AB3585" s="4">
        <v>2</v>
      </c>
      <c r="AC3585" s="4">
        <v>17</v>
      </c>
      <c r="AD3585" s="4">
        <v>53</v>
      </c>
      <c r="AE3585" s="4">
        <v>111</v>
      </c>
      <c r="AF3585" s="4">
        <v>1</v>
      </c>
      <c r="AG3585" s="4">
        <v>8</v>
      </c>
      <c r="AH3585" s="4">
        <v>49</v>
      </c>
      <c r="AI3585" s="4">
        <v>78</v>
      </c>
      <c r="AJ3585" s="4">
        <v>9</v>
      </c>
      <c r="AK3585" s="4">
        <v>21</v>
      </c>
      <c r="AL3585" s="4">
        <v>28</v>
      </c>
      <c r="AM3585" s="4">
        <v>40</v>
      </c>
      <c r="AN3585" s="4">
        <v>0</v>
      </c>
      <c r="AO3585" s="4">
        <v>0</v>
      </c>
      <c r="AP3585" s="4">
        <v>9</v>
      </c>
      <c r="AQ3585" s="4">
        <v>42</v>
      </c>
      <c r="AR3585" s="3" t="s">
        <v>62</v>
      </c>
      <c r="AS3585" s="3" t="s">
        <v>62</v>
      </c>
      <c r="AT3585" s="3" t="s">
        <v>61</v>
      </c>
      <c r="AU3585" s="6" t="str">
        <f>HYPERLINK("http://catalog.hathitrust.org/Record/000849858","HathiTrust Record")</f>
        <v>HathiTrust Record</v>
      </c>
      <c r="AV3585" s="6" t="str">
        <f>HYPERLINK("http://mcgill.on.worldcat.org/oclc/15109008","Catalog Record")</f>
        <v>Catalog Record</v>
      </c>
      <c r="AW3585" s="6" t="str">
        <f>HYPERLINK("http://www.worldcat.org/oclc/15109008","WorldCat Record")</f>
        <v>WorldCat Record</v>
      </c>
      <c r="AX3585" s="3" t="s">
        <v>34575</v>
      </c>
      <c r="AY3585" s="3" t="s">
        <v>34576</v>
      </c>
      <c r="AZ3585" s="3" t="s">
        <v>34577</v>
      </c>
      <c r="BA3585" s="3" t="s">
        <v>34577</v>
      </c>
      <c r="BB3585" s="3" t="s">
        <v>34578</v>
      </c>
      <c r="BC3585" s="3" t="s">
        <v>142</v>
      </c>
      <c r="BD3585" s="3" t="s">
        <v>68</v>
      </c>
      <c r="BE3585" s="3" t="s">
        <v>34579</v>
      </c>
      <c r="BF3585" s="3" t="s">
        <v>34578</v>
      </c>
      <c r="BG3585" s="3" t="s">
        <v>34580</v>
      </c>
    </row>
    <row r="3586" spans="1:59" ht="71.25" x14ac:dyDescent="0.45">
      <c r="A3586" s="2" t="s">
        <v>59</v>
      </c>
      <c r="B3586" s="2" t="s">
        <v>60</v>
      </c>
      <c r="C3586" s="2" t="s">
        <v>34581</v>
      </c>
      <c r="D3586" s="2" t="s">
        <v>34582</v>
      </c>
      <c r="E3586" s="2" t="s">
        <v>34583</v>
      </c>
      <c r="G3586" s="3" t="s">
        <v>62</v>
      </c>
      <c r="I3586" s="3" t="s">
        <v>62</v>
      </c>
      <c r="J3586" s="3" t="s">
        <v>62</v>
      </c>
      <c r="K3586" s="3" t="s">
        <v>63</v>
      </c>
      <c r="M3586" s="2" t="s">
        <v>34584</v>
      </c>
      <c r="N3586" s="3" t="s">
        <v>149</v>
      </c>
      <c r="P3586" s="3" t="s">
        <v>65</v>
      </c>
      <c r="R3586" s="3" t="s">
        <v>66</v>
      </c>
      <c r="S3586" s="4">
        <v>2</v>
      </c>
      <c r="T3586" s="4">
        <v>2</v>
      </c>
      <c r="U3586" s="5" t="s">
        <v>34585</v>
      </c>
      <c r="V3586" s="5" t="s">
        <v>34585</v>
      </c>
      <c r="W3586" s="5" t="s">
        <v>67</v>
      </c>
      <c r="X3586" s="5" t="s">
        <v>67</v>
      </c>
      <c r="Y3586" s="4">
        <v>122</v>
      </c>
      <c r="Z3586" s="4">
        <v>15</v>
      </c>
      <c r="AA3586" s="4">
        <v>20</v>
      </c>
      <c r="AB3586" s="4">
        <v>1</v>
      </c>
      <c r="AC3586" s="4">
        <v>5</v>
      </c>
      <c r="AD3586" s="4">
        <v>60</v>
      </c>
      <c r="AE3586" s="4">
        <v>65</v>
      </c>
      <c r="AF3586" s="4">
        <v>0</v>
      </c>
      <c r="AG3586" s="4">
        <v>1</v>
      </c>
      <c r="AH3586" s="4">
        <v>56</v>
      </c>
      <c r="AI3586" s="4">
        <v>60</v>
      </c>
      <c r="AJ3586" s="4">
        <v>11</v>
      </c>
      <c r="AK3586" s="4">
        <v>13</v>
      </c>
      <c r="AL3586" s="4">
        <v>36</v>
      </c>
      <c r="AM3586" s="4">
        <v>38</v>
      </c>
      <c r="AN3586" s="4">
        <v>0</v>
      </c>
      <c r="AO3586" s="4">
        <v>0</v>
      </c>
      <c r="AP3586" s="4">
        <v>11</v>
      </c>
      <c r="AQ3586" s="4">
        <v>13</v>
      </c>
      <c r="AR3586" s="3" t="s">
        <v>62</v>
      </c>
      <c r="AS3586" s="3" t="s">
        <v>62</v>
      </c>
      <c r="AT3586" s="3" t="s">
        <v>62</v>
      </c>
      <c r="AV3586" s="6" t="str">
        <f>HYPERLINK("http://mcgill.on.worldcat.org/oclc/496282263","Catalog Record")</f>
        <v>Catalog Record</v>
      </c>
      <c r="AW3586" s="6" t="str">
        <f>HYPERLINK("http://www.worldcat.org/oclc/496282263","WorldCat Record")</f>
        <v>WorldCat Record</v>
      </c>
      <c r="AX3586" s="3" t="s">
        <v>34586</v>
      </c>
      <c r="AY3586" s="3" t="s">
        <v>34587</v>
      </c>
      <c r="AZ3586" s="3" t="s">
        <v>34588</v>
      </c>
      <c r="BA3586" s="3" t="s">
        <v>34588</v>
      </c>
      <c r="BB3586" s="3" t="s">
        <v>34589</v>
      </c>
      <c r="BC3586" s="3" t="s">
        <v>142</v>
      </c>
      <c r="BD3586" s="3" t="s">
        <v>68</v>
      </c>
      <c r="BE3586" s="3" t="s">
        <v>34590</v>
      </c>
      <c r="BF3586" s="3" t="s">
        <v>34589</v>
      </c>
      <c r="BG3586" s="3" t="s">
        <v>34591</v>
      </c>
    </row>
    <row r="3587" spans="1:59" ht="57" x14ac:dyDescent="0.45">
      <c r="A3587" s="2" t="s">
        <v>59</v>
      </c>
      <c r="B3587" s="2" t="s">
        <v>60</v>
      </c>
      <c r="C3587" s="2" t="s">
        <v>34592</v>
      </c>
      <c r="D3587" s="2" t="s">
        <v>34593</v>
      </c>
      <c r="E3587" s="2" t="s">
        <v>34594</v>
      </c>
      <c r="G3587" s="3" t="s">
        <v>62</v>
      </c>
      <c r="I3587" s="3" t="s">
        <v>62</v>
      </c>
      <c r="J3587" s="3" t="s">
        <v>62</v>
      </c>
      <c r="K3587" s="3" t="s">
        <v>63</v>
      </c>
      <c r="M3587" s="2" t="s">
        <v>34595</v>
      </c>
      <c r="N3587" s="3" t="s">
        <v>894</v>
      </c>
      <c r="P3587" s="3" t="s">
        <v>65</v>
      </c>
      <c r="Q3587" s="2" t="s">
        <v>34596</v>
      </c>
      <c r="R3587" s="3" t="s">
        <v>66</v>
      </c>
      <c r="S3587" s="4">
        <v>0</v>
      </c>
      <c r="T3587" s="4">
        <v>0</v>
      </c>
      <c r="W3587" s="5" t="s">
        <v>67</v>
      </c>
      <c r="X3587" s="5" t="s">
        <v>67</v>
      </c>
      <c r="Y3587" s="4">
        <v>77</v>
      </c>
      <c r="Z3587" s="4">
        <v>7</v>
      </c>
      <c r="AA3587" s="4">
        <v>9</v>
      </c>
      <c r="AB3587" s="4">
        <v>1</v>
      </c>
      <c r="AC3587" s="4">
        <v>3</v>
      </c>
      <c r="AD3587" s="4">
        <v>46</v>
      </c>
      <c r="AE3587" s="4">
        <v>48</v>
      </c>
      <c r="AF3587" s="4">
        <v>0</v>
      </c>
      <c r="AG3587" s="4">
        <v>1</v>
      </c>
      <c r="AH3587" s="4">
        <v>42</v>
      </c>
      <c r="AI3587" s="4">
        <v>44</v>
      </c>
      <c r="AJ3587" s="4">
        <v>4</v>
      </c>
      <c r="AK3587" s="4">
        <v>5</v>
      </c>
      <c r="AL3587" s="4">
        <v>27</v>
      </c>
      <c r="AM3587" s="4">
        <v>27</v>
      </c>
      <c r="AN3587" s="4">
        <v>0</v>
      </c>
      <c r="AO3587" s="4">
        <v>0</v>
      </c>
      <c r="AP3587" s="4">
        <v>6</v>
      </c>
      <c r="AQ3587" s="4">
        <v>7</v>
      </c>
      <c r="AR3587" s="3" t="s">
        <v>62</v>
      </c>
      <c r="AS3587" s="3" t="s">
        <v>62</v>
      </c>
      <c r="AT3587" s="3" t="s">
        <v>62</v>
      </c>
      <c r="AV3587" s="6" t="str">
        <f>HYPERLINK("http://mcgill.on.worldcat.org/oclc/751835553","Catalog Record")</f>
        <v>Catalog Record</v>
      </c>
      <c r="AW3587" s="6" t="str">
        <f>HYPERLINK("http://www.worldcat.org/oclc/751835553","WorldCat Record")</f>
        <v>WorldCat Record</v>
      </c>
      <c r="AX3587" s="3" t="s">
        <v>34597</v>
      </c>
      <c r="AY3587" s="3" t="s">
        <v>34598</v>
      </c>
      <c r="AZ3587" s="3" t="s">
        <v>34599</v>
      </c>
      <c r="BA3587" s="3" t="s">
        <v>34599</v>
      </c>
      <c r="BB3587" s="3" t="s">
        <v>34600</v>
      </c>
      <c r="BC3587" s="3" t="s">
        <v>142</v>
      </c>
      <c r="BD3587" s="3" t="s">
        <v>68</v>
      </c>
      <c r="BE3587" s="3" t="s">
        <v>34601</v>
      </c>
      <c r="BF3587" s="3" t="s">
        <v>34600</v>
      </c>
      <c r="BG3587" s="3" t="s">
        <v>34602</v>
      </c>
    </row>
    <row r="3588" spans="1:59" ht="57" x14ac:dyDescent="0.45">
      <c r="A3588" s="2" t="s">
        <v>59</v>
      </c>
      <c r="B3588" s="2" t="s">
        <v>60</v>
      </c>
      <c r="C3588" s="2" t="s">
        <v>34603</v>
      </c>
      <c r="D3588" s="2" t="s">
        <v>34604</v>
      </c>
      <c r="E3588" s="2" t="s">
        <v>34605</v>
      </c>
      <c r="G3588" s="3" t="s">
        <v>62</v>
      </c>
      <c r="I3588" s="3" t="s">
        <v>62</v>
      </c>
      <c r="J3588" s="3" t="s">
        <v>62</v>
      </c>
      <c r="K3588" s="3" t="s">
        <v>63</v>
      </c>
      <c r="M3588" s="2" t="s">
        <v>34606</v>
      </c>
      <c r="N3588" s="3" t="s">
        <v>894</v>
      </c>
      <c r="P3588" s="3" t="s">
        <v>110</v>
      </c>
      <c r="Q3588" s="2" t="s">
        <v>34607</v>
      </c>
      <c r="R3588" s="3" t="s">
        <v>66</v>
      </c>
      <c r="S3588" s="4">
        <v>0</v>
      </c>
      <c r="T3588" s="4">
        <v>0</v>
      </c>
      <c r="W3588" s="5" t="s">
        <v>67</v>
      </c>
      <c r="X3588" s="5" t="s">
        <v>67</v>
      </c>
      <c r="Y3588" s="4">
        <v>9</v>
      </c>
      <c r="Z3588" s="4">
        <v>3</v>
      </c>
      <c r="AA3588" s="4">
        <v>4</v>
      </c>
      <c r="AB3588" s="4">
        <v>1</v>
      </c>
      <c r="AC3588" s="4">
        <v>1</v>
      </c>
      <c r="AD3588" s="4">
        <v>6</v>
      </c>
      <c r="AE3588" s="4">
        <v>7</v>
      </c>
      <c r="AF3588" s="4">
        <v>0</v>
      </c>
      <c r="AG3588" s="4">
        <v>0</v>
      </c>
      <c r="AH3588" s="4">
        <v>5</v>
      </c>
      <c r="AI3588" s="4">
        <v>6</v>
      </c>
      <c r="AJ3588" s="4">
        <v>1</v>
      </c>
      <c r="AK3588" s="4">
        <v>2</v>
      </c>
      <c r="AL3588" s="4">
        <v>6</v>
      </c>
      <c r="AM3588" s="4">
        <v>6</v>
      </c>
      <c r="AN3588" s="4">
        <v>0</v>
      </c>
      <c r="AO3588" s="4">
        <v>0</v>
      </c>
      <c r="AP3588" s="4">
        <v>1</v>
      </c>
      <c r="AQ3588" s="4">
        <v>2</v>
      </c>
      <c r="AR3588" s="3" t="s">
        <v>62</v>
      </c>
      <c r="AS3588" s="3" t="s">
        <v>62</v>
      </c>
      <c r="AT3588" s="3" t="s">
        <v>62</v>
      </c>
      <c r="AV3588" s="6" t="str">
        <f>HYPERLINK("http://mcgill.on.worldcat.org/oclc/798214523","Catalog Record")</f>
        <v>Catalog Record</v>
      </c>
      <c r="AW3588" s="6" t="str">
        <f>HYPERLINK("http://www.worldcat.org/oclc/798214523","WorldCat Record")</f>
        <v>WorldCat Record</v>
      </c>
      <c r="AX3588" s="3" t="s">
        <v>34608</v>
      </c>
      <c r="AY3588" s="3" t="s">
        <v>34609</v>
      </c>
      <c r="AZ3588" s="3" t="s">
        <v>34610</v>
      </c>
      <c r="BA3588" s="3" t="s">
        <v>34610</v>
      </c>
      <c r="BB3588" s="3" t="s">
        <v>34611</v>
      </c>
      <c r="BC3588" s="3" t="s">
        <v>142</v>
      </c>
      <c r="BD3588" s="3" t="s">
        <v>68</v>
      </c>
      <c r="BE3588" s="3" t="s">
        <v>34612</v>
      </c>
      <c r="BF3588" s="3" t="s">
        <v>34611</v>
      </c>
      <c r="BG3588" s="3" t="s">
        <v>34613</v>
      </c>
    </row>
    <row r="3589" spans="1:59" ht="57" x14ac:dyDescent="0.45">
      <c r="A3589" s="2" t="s">
        <v>59</v>
      </c>
      <c r="B3589" s="2" t="s">
        <v>60</v>
      </c>
      <c r="C3589" s="2" t="s">
        <v>34614</v>
      </c>
      <c r="D3589" s="2" t="s">
        <v>34615</v>
      </c>
      <c r="E3589" s="2" t="s">
        <v>34616</v>
      </c>
      <c r="G3589" s="3" t="s">
        <v>62</v>
      </c>
      <c r="I3589" s="3" t="s">
        <v>62</v>
      </c>
      <c r="J3589" s="3" t="s">
        <v>62</v>
      </c>
      <c r="K3589" s="3" t="s">
        <v>63</v>
      </c>
      <c r="M3589" s="2" t="s">
        <v>1178</v>
      </c>
      <c r="N3589" s="3" t="s">
        <v>894</v>
      </c>
      <c r="P3589" s="3" t="s">
        <v>65</v>
      </c>
      <c r="Q3589" s="2" t="s">
        <v>34617</v>
      </c>
      <c r="R3589" s="3" t="s">
        <v>66</v>
      </c>
      <c r="S3589" s="4">
        <v>0</v>
      </c>
      <c r="T3589" s="4">
        <v>0</v>
      </c>
      <c r="W3589" s="5" t="s">
        <v>67</v>
      </c>
      <c r="X3589" s="5" t="s">
        <v>67</v>
      </c>
      <c r="Y3589" s="4">
        <v>74</v>
      </c>
      <c r="Z3589" s="4">
        <v>13</v>
      </c>
      <c r="AA3589" s="4">
        <v>90</v>
      </c>
      <c r="AB3589" s="4">
        <v>1</v>
      </c>
      <c r="AC3589" s="4">
        <v>17</v>
      </c>
      <c r="AD3589" s="4">
        <v>35</v>
      </c>
      <c r="AE3589" s="4">
        <v>109</v>
      </c>
      <c r="AF3589" s="4">
        <v>0</v>
      </c>
      <c r="AG3589" s="4">
        <v>8</v>
      </c>
      <c r="AH3589" s="4">
        <v>32</v>
      </c>
      <c r="AI3589" s="4">
        <v>73</v>
      </c>
      <c r="AJ3589" s="4">
        <v>9</v>
      </c>
      <c r="AK3589" s="4">
        <v>22</v>
      </c>
      <c r="AL3589" s="4">
        <v>21</v>
      </c>
      <c r="AM3589" s="4">
        <v>40</v>
      </c>
      <c r="AN3589" s="4">
        <v>0</v>
      </c>
      <c r="AO3589" s="4">
        <v>0</v>
      </c>
      <c r="AP3589" s="4">
        <v>10</v>
      </c>
      <c r="AQ3589" s="4">
        <v>43</v>
      </c>
      <c r="AR3589" s="3" t="s">
        <v>62</v>
      </c>
      <c r="AS3589" s="3" t="s">
        <v>62</v>
      </c>
      <c r="AT3589" s="3" t="s">
        <v>62</v>
      </c>
      <c r="AV3589" s="6" t="str">
        <f>HYPERLINK("http://mcgill.on.worldcat.org/oclc/670238298","Catalog Record")</f>
        <v>Catalog Record</v>
      </c>
      <c r="AW3589" s="6" t="str">
        <f>HYPERLINK("http://www.worldcat.org/oclc/670238298","WorldCat Record")</f>
        <v>WorldCat Record</v>
      </c>
      <c r="AX3589" s="3" t="s">
        <v>34618</v>
      </c>
      <c r="AY3589" s="3" t="s">
        <v>34619</v>
      </c>
      <c r="AZ3589" s="3" t="s">
        <v>34620</v>
      </c>
      <c r="BA3589" s="3" t="s">
        <v>34620</v>
      </c>
      <c r="BB3589" s="3" t="s">
        <v>34621</v>
      </c>
      <c r="BC3589" s="3" t="s">
        <v>142</v>
      </c>
      <c r="BD3589" s="3" t="s">
        <v>68</v>
      </c>
      <c r="BE3589" s="3" t="s">
        <v>34622</v>
      </c>
      <c r="BF3589" s="3" t="s">
        <v>34621</v>
      </c>
      <c r="BG3589" s="3" t="s">
        <v>34623</v>
      </c>
    </row>
    <row r="3590" spans="1:59" ht="57" x14ac:dyDescent="0.45">
      <c r="A3590" s="2" t="s">
        <v>59</v>
      </c>
      <c r="B3590" s="2" t="s">
        <v>60</v>
      </c>
      <c r="C3590" s="2" t="s">
        <v>34624</v>
      </c>
      <c r="D3590" s="2" t="s">
        <v>34625</v>
      </c>
      <c r="E3590" s="2" t="s">
        <v>34626</v>
      </c>
      <c r="G3590" s="3" t="s">
        <v>62</v>
      </c>
      <c r="I3590" s="3" t="s">
        <v>62</v>
      </c>
      <c r="J3590" s="3" t="s">
        <v>62</v>
      </c>
      <c r="K3590" s="3" t="s">
        <v>63</v>
      </c>
      <c r="M3590" s="2" t="s">
        <v>34627</v>
      </c>
      <c r="N3590" s="3" t="s">
        <v>1155</v>
      </c>
      <c r="P3590" s="3" t="s">
        <v>65</v>
      </c>
      <c r="Q3590" s="2" t="s">
        <v>34628</v>
      </c>
      <c r="R3590" s="3" t="s">
        <v>66</v>
      </c>
      <c r="S3590" s="4">
        <v>0</v>
      </c>
      <c r="T3590" s="4">
        <v>0</v>
      </c>
      <c r="W3590" s="5" t="s">
        <v>67</v>
      </c>
      <c r="X3590" s="5" t="s">
        <v>67</v>
      </c>
      <c r="Y3590" s="4">
        <v>82</v>
      </c>
      <c r="Z3590" s="4">
        <v>12</v>
      </c>
      <c r="AA3590" s="4">
        <v>84</v>
      </c>
      <c r="AB3590" s="4">
        <v>1</v>
      </c>
      <c r="AC3590" s="4">
        <v>14</v>
      </c>
      <c r="AD3590" s="4">
        <v>44</v>
      </c>
      <c r="AE3590" s="4">
        <v>115</v>
      </c>
      <c r="AF3590" s="4">
        <v>0</v>
      </c>
      <c r="AG3590" s="4">
        <v>8</v>
      </c>
      <c r="AH3590" s="4">
        <v>39</v>
      </c>
      <c r="AI3590" s="4">
        <v>79</v>
      </c>
      <c r="AJ3590" s="4">
        <v>9</v>
      </c>
      <c r="AK3590" s="4">
        <v>22</v>
      </c>
      <c r="AL3590" s="4">
        <v>24</v>
      </c>
      <c r="AM3590" s="4">
        <v>41</v>
      </c>
      <c r="AN3590" s="4">
        <v>0</v>
      </c>
      <c r="AO3590" s="4">
        <v>0</v>
      </c>
      <c r="AP3590" s="4">
        <v>10</v>
      </c>
      <c r="AQ3590" s="4">
        <v>44</v>
      </c>
      <c r="AR3590" s="3" t="s">
        <v>62</v>
      </c>
      <c r="AS3590" s="3" t="s">
        <v>62</v>
      </c>
      <c r="AT3590" s="3" t="s">
        <v>62</v>
      </c>
      <c r="AV3590" s="6" t="str">
        <f>HYPERLINK("http://mcgill.on.worldcat.org/oclc/767858384","Catalog Record")</f>
        <v>Catalog Record</v>
      </c>
      <c r="AW3590" s="6" t="str">
        <f>HYPERLINK("http://www.worldcat.org/oclc/767858384","WorldCat Record")</f>
        <v>WorldCat Record</v>
      </c>
      <c r="AX3590" s="3" t="s">
        <v>34629</v>
      </c>
      <c r="AY3590" s="3" t="s">
        <v>34630</v>
      </c>
      <c r="AZ3590" s="3" t="s">
        <v>34631</v>
      </c>
      <c r="BA3590" s="3" t="s">
        <v>34631</v>
      </c>
      <c r="BB3590" s="3" t="s">
        <v>34632</v>
      </c>
      <c r="BC3590" s="3" t="s">
        <v>142</v>
      </c>
      <c r="BD3590" s="3" t="s">
        <v>68</v>
      </c>
      <c r="BE3590" s="3" t="s">
        <v>34633</v>
      </c>
      <c r="BF3590" s="3" t="s">
        <v>34632</v>
      </c>
      <c r="BG3590" s="3" t="s">
        <v>34634</v>
      </c>
    </row>
    <row r="3591" spans="1:59" ht="71.25" x14ac:dyDescent="0.45">
      <c r="A3591" s="2" t="s">
        <v>59</v>
      </c>
      <c r="B3591" s="2" t="s">
        <v>60</v>
      </c>
      <c r="C3591" s="2" t="s">
        <v>34635</v>
      </c>
      <c r="D3591" s="2" t="s">
        <v>34636</v>
      </c>
      <c r="E3591" s="2" t="s">
        <v>34637</v>
      </c>
      <c r="G3591" s="3" t="s">
        <v>62</v>
      </c>
      <c r="I3591" s="3" t="s">
        <v>62</v>
      </c>
      <c r="J3591" s="3" t="s">
        <v>62</v>
      </c>
      <c r="K3591" s="3" t="s">
        <v>63</v>
      </c>
      <c r="M3591" s="2" t="s">
        <v>34638</v>
      </c>
      <c r="N3591" s="3" t="s">
        <v>149</v>
      </c>
      <c r="P3591" s="3" t="s">
        <v>65</v>
      </c>
      <c r="Q3591" s="2" t="s">
        <v>34639</v>
      </c>
      <c r="R3591" s="3" t="s">
        <v>66</v>
      </c>
      <c r="S3591" s="4">
        <v>2</v>
      </c>
      <c r="T3591" s="4">
        <v>2</v>
      </c>
      <c r="U3591" s="5" t="s">
        <v>400</v>
      </c>
      <c r="V3591" s="5" t="s">
        <v>400</v>
      </c>
      <c r="W3591" s="5" t="s">
        <v>67</v>
      </c>
      <c r="X3591" s="5" t="s">
        <v>67</v>
      </c>
      <c r="Y3591" s="4">
        <v>137</v>
      </c>
      <c r="Z3591" s="4">
        <v>14</v>
      </c>
      <c r="AA3591" s="4">
        <v>17</v>
      </c>
      <c r="AB3591" s="4">
        <v>1</v>
      </c>
      <c r="AC3591" s="4">
        <v>4</v>
      </c>
      <c r="AD3591" s="4">
        <v>61</v>
      </c>
      <c r="AE3591" s="4">
        <v>64</v>
      </c>
      <c r="AF3591" s="4">
        <v>0</v>
      </c>
      <c r="AG3591" s="4">
        <v>2</v>
      </c>
      <c r="AH3591" s="4">
        <v>56</v>
      </c>
      <c r="AI3591" s="4">
        <v>58</v>
      </c>
      <c r="AJ3591" s="4">
        <v>9</v>
      </c>
      <c r="AK3591" s="4">
        <v>11</v>
      </c>
      <c r="AL3591" s="4">
        <v>36</v>
      </c>
      <c r="AM3591" s="4">
        <v>36</v>
      </c>
      <c r="AN3591" s="4">
        <v>0</v>
      </c>
      <c r="AO3591" s="4">
        <v>0</v>
      </c>
      <c r="AP3591" s="4">
        <v>10</v>
      </c>
      <c r="AQ3591" s="4">
        <v>11</v>
      </c>
      <c r="AR3591" s="3" t="s">
        <v>62</v>
      </c>
      <c r="AS3591" s="3" t="s">
        <v>62</v>
      </c>
      <c r="AT3591" s="3" t="s">
        <v>62</v>
      </c>
      <c r="AV3591" s="6" t="str">
        <f>HYPERLINK("http://mcgill.on.worldcat.org/oclc/655675911","Catalog Record")</f>
        <v>Catalog Record</v>
      </c>
      <c r="AW3591" s="6" t="str">
        <f>HYPERLINK("http://www.worldcat.org/oclc/655675911","WorldCat Record")</f>
        <v>WorldCat Record</v>
      </c>
      <c r="AX3591" s="3" t="s">
        <v>34640</v>
      </c>
      <c r="AY3591" s="3" t="s">
        <v>34641</v>
      </c>
      <c r="AZ3591" s="3" t="s">
        <v>34642</v>
      </c>
      <c r="BA3591" s="3" t="s">
        <v>34642</v>
      </c>
      <c r="BB3591" s="3" t="s">
        <v>34643</v>
      </c>
      <c r="BC3591" s="3" t="s">
        <v>142</v>
      </c>
      <c r="BD3591" s="3" t="s">
        <v>68</v>
      </c>
      <c r="BE3591" s="3" t="s">
        <v>34644</v>
      </c>
      <c r="BF3591" s="3" t="s">
        <v>34643</v>
      </c>
      <c r="BG3591" s="3" t="s">
        <v>34645</v>
      </c>
    </row>
    <row r="3592" spans="1:59" ht="71.25" x14ac:dyDescent="0.45">
      <c r="A3592" s="2" t="s">
        <v>59</v>
      </c>
      <c r="B3592" s="2" t="s">
        <v>60</v>
      </c>
      <c r="C3592" s="2" t="s">
        <v>34646</v>
      </c>
      <c r="D3592" s="2" t="s">
        <v>34647</v>
      </c>
      <c r="E3592" s="2" t="s">
        <v>34648</v>
      </c>
      <c r="G3592" s="3" t="s">
        <v>62</v>
      </c>
      <c r="I3592" s="3" t="s">
        <v>62</v>
      </c>
      <c r="J3592" s="3" t="s">
        <v>62</v>
      </c>
      <c r="K3592" s="3" t="s">
        <v>63</v>
      </c>
      <c r="M3592" s="2" t="s">
        <v>2882</v>
      </c>
      <c r="N3592" s="3" t="s">
        <v>1688</v>
      </c>
      <c r="P3592" s="3" t="s">
        <v>65</v>
      </c>
      <c r="Q3592" s="2" t="s">
        <v>34649</v>
      </c>
      <c r="R3592" s="3" t="s">
        <v>66</v>
      </c>
      <c r="S3592" s="4">
        <v>0</v>
      </c>
      <c r="T3592" s="4">
        <v>0</v>
      </c>
      <c r="W3592" s="5" t="s">
        <v>67</v>
      </c>
      <c r="X3592" s="5" t="s">
        <v>67</v>
      </c>
      <c r="Y3592" s="4">
        <v>69</v>
      </c>
      <c r="Z3592" s="4">
        <v>14</v>
      </c>
      <c r="AA3592" s="4">
        <v>17</v>
      </c>
      <c r="AB3592" s="4">
        <v>1</v>
      </c>
      <c r="AC3592" s="4">
        <v>3</v>
      </c>
      <c r="AD3592" s="4">
        <v>33</v>
      </c>
      <c r="AE3592" s="4">
        <v>40</v>
      </c>
      <c r="AF3592" s="4">
        <v>0</v>
      </c>
      <c r="AG3592" s="4">
        <v>0</v>
      </c>
      <c r="AH3592" s="4">
        <v>31</v>
      </c>
      <c r="AI3592" s="4">
        <v>36</v>
      </c>
      <c r="AJ3592" s="4">
        <v>10</v>
      </c>
      <c r="AK3592" s="4">
        <v>11</v>
      </c>
      <c r="AL3592" s="4">
        <v>17</v>
      </c>
      <c r="AM3592" s="4">
        <v>22</v>
      </c>
      <c r="AN3592" s="4">
        <v>0</v>
      </c>
      <c r="AO3592" s="4">
        <v>0</v>
      </c>
      <c r="AP3592" s="4">
        <v>11</v>
      </c>
      <c r="AQ3592" s="4">
        <v>12</v>
      </c>
      <c r="AR3592" s="3" t="s">
        <v>62</v>
      </c>
      <c r="AS3592" s="3" t="s">
        <v>62</v>
      </c>
      <c r="AT3592" s="3" t="s">
        <v>62</v>
      </c>
      <c r="AV3592" s="6" t="str">
        <f>HYPERLINK("http://mcgill.on.worldcat.org/oclc/857981458","Catalog Record")</f>
        <v>Catalog Record</v>
      </c>
      <c r="AW3592" s="6" t="str">
        <f>HYPERLINK("http://www.worldcat.org/oclc/857981458","WorldCat Record")</f>
        <v>WorldCat Record</v>
      </c>
      <c r="AX3592" s="3" t="s">
        <v>34650</v>
      </c>
      <c r="AY3592" s="3" t="s">
        <v>34651</v>
      </c>
      <c r="AZ3592" s="3" t="s">
        <v>34652</v>
      </c>
      <c r="BA3592" s="3" t="s">
        <v>34652</v>
      </c>
      <c r="BB3592" s="3" t="s">
        <v>34653</v>
      </c>
      <c r="BC3592" s="3" t="s">
        <v>142</v>
      </c>
      <c r="BD3592" s="3" t="s">
        <v>68</v>
      </c>
      <c r="BE3592" s="3" t="s">
        <v>34654</v>
      </c>
      <c r="BF3592" s="3" t="s">
        <v>34653</v>
      </c>
      <c r="BG3592" s="3" t="s">
        <v>34655</v>
      </c>
    </row>
    <row r="3593" spans="1:59" ht="71.25" x14ac:dyDescent="0.45">
      <c r="A3593" s="2" t="s">
        <v>59</v>
      </c>
      <c r="B3593" s="2" t="s">
        <v>60</v>
      </c>
      <c r="C3593" s="2" t="s">
        <v>34656</v>
      </c>
      <c r="D3593" s="2" t="s">
        <v>34657</v>
      </c>
      <c r="E3593" s="2" t="s">
        <v>34658</v>
      </c>
      <c r="G3593" s="3" t="s">
        <v>62</v>
      </c>
      <c r="I3593" s="3" t="s">
        <v>62</v>
      </c>
      <c r="J3593" s="3" t="s">
        <v>62</v>
      </c>
      <c r="K3593" s="3" t="s">
        <v>63</v>
      </c>
      <c r="M3593" s="2" t="s">
        <v>34659</v>
      </c>
      <c r="N3593" s="3" t="s">
        <v>181</v>
      </c>
      <c r="O3593" s="2" t="s">
        <v>34660</v>
      </c>
      <c r="P3593" s="3" t="s">
        <v>65</v>
      </c>
      <c r="Q3593" s="2" t="s">
        <v>34661</v>
      </c>
      <c r="R3593" s="3" t="s">
        <v>66</v>
      </c>
      <c r="S3593" s="4">
        <v>0</v>
      </c>
      <c r="T3593" s="4">
        <v>0</v>
      </c>
      <c r="W3593" s="5" t="s">
        <v>67</v>
      </c>
      <c r="X3593" s="5" t="s">
        <v>67</v>
      </c>
      <c r="Y3593" s="4">
        <v>13</v>
      </c>
      <c r="Z3593" s="4">
        <v>2</v>
      </c>
      <c r="AA3593" s="4">
        <v>6</v>
      </c>
      <c r="AB3593" s="4">
        <v>1</v>
      </c>
      <c r="AC3593" s="4">
        <v>5</v>
      </c>
      <c r="AD3593" s="4">
        <v>2</v>
      </c>
      <c r="AE3593" s="4">
        <v>5</v>
      </c>
      <c r="AF3593" s="4">
        <v>0</v>
      </c>
      <c r="AG3593" s="4">
        <v>2</v>
      </c>
      <c r="AH3593" s="4">
        <v>1</v>
      </c>
      <c r="AI3593" s="4">
        <v>2</v>
      </c>
      <c r="AJ3593" s="4">
        <v>0</v>
      </c>
      <c r="AK3593" s="4">
        <v>2</v>
      </c>
      <c r="AL3593" s="4">
        <v>0</v>
      </c>
      <c r="AM3593" s="4">
        <v>1</v>
      </c>
      <c r="AN3593" s="4">
        <v>0</v>
      </c>
      <c r="AO3593" s="4">
        <v>0</v>
      </c>
      <c r="AP3593" s="4">
        <v>1</v>
      </c>
      <c r="AQ3593" s="4">
        <v>2</v>
      </c>
      <c r="AR3593" s="3" t="s">
        <v>62</v>
      </c>
      <c r="AS3593" s="3" t="s">
        <v>62</v>
      </c>
      <c r="AT3593" s="3" t="s">
        <v>62</v>
      </c>
      <c r="AV3593" s="6" t="str">
        <f>HYPERLINK("http://mcgill.on.worldcat.org/oclc/965391773","Catalog Record")</f>
        <v>Catalog Record</v>
      </c>
      <c r="AW3593" s="6" t="str">
        <f>HYPERLINK("http://www.worldcat.org/oclc/965391773","WorldCat Record")</f>
        <v>WorldCat Record</v>
      </c>
      <c r="AX3593" s="3" t="s">
        <v>34662</v>
      </c>
      <c r="AY3593" s="3" t="s">
        <v>34663</v>
      </c>
      <c r="AZ3593" s="3" t="s">
        <v>34664</v>
      </c>
      <c r="BA3593" s="3" t="s">
        <v>34664</v>
      </c>
      <c r="BB3593" s="3" t="s">
        <v>34665</v>
      </c>
      <c r="BC3593" s="3" t="s">
        <v>142</v>
      </c>
      <c r="BD3593" s="3" t="s">
        <v>68</v>
      </c>
      <c r="BE3593" s="3" t="s">
        <v>34666</v>
      </c>
      <c r="BF3593" s="3" t="s">
        <v>34665</v>
      </c>
      <c r="BG3593" s="3" t="s">
        <v>34667</v>
      </c>
    </row>
    <row r="3594" spans="1:59" ht="57" x14ac:dyDescent="0.45">
      <c r="A3594" s="2" t="s">
        <v>59</v>
      </c>
      <c r="B3594" s="2" t="s">
        <v>60</v>
      </c>
      <c r="C3594" s="2" t="s">
        <v>34668</v>
      </c>
      <c r="D3594" s="2" t="s">
        <v>34669</v>
      </c>
      <c r="E3594" s="2" t="s">
        <v>34670</v>
      </c>
      <c r="G3594" s="3" t="s">
        <v>62</v>
      </c>
      <c r="I3594" s="3" t="s">
        <v>62</v>
      </c>
      <c r="J3594" s="3" t="s">
        <v>62</v>
      </c>
      <c r="K3594" s="3" t="s">
        <v>63</v>
      </c>
      <c r="M3594" s="2" t="s">
        <v>34671</v>
      </c>
      <c r="N3594" s="3" t="s">
        <v>1465</v>
      </c>
      <c r="P3594" s="3" t="s">
        <v>110</v>
      </c>
      <c r="Q3594" s="2" t="s">
        <v>34672</v>
      </c>
      <c r="R3594" s="3" t="s">
        <v>66</v>
      </c>
      <c r="S3594" s="4">
        <v>1</v>
      </c>
      <c r="T3594" s="4">
        <v>1</v>
      </c>
      <c r="U3594" s="5" t="s">
        <v>34673</v>
      </c>
      <c r="V3594" s="5" t="s">
        <v>34673</v>
      </c>
      <c r="W3594" s="5" t="s">
        <v>67</v>
      </c>
      <c r="X3594" s="5" t="s">
        <v>67</v>
      </c>
      <c r="Y3594" s="4">
        <v>48</v>
      </c>
      <c r="Z3594" s="4">
        <v>6</v>
      </c>
      <c r="AA3594" s="4">
        <v>10</v>
      </c>
      <c r="AB3594" s="4">
        <v>2</v>
      </c>
      <c r="AC3594" s="4">
        <v>5</v>
      </c>
      <c r="AD3594" s="4">
        <v>29</v>
      </c>
      <c r="AE3594" s="4">
        <v>32</v>
      </c>
      <c r="AF3594" s="4">
        <v>0</v>
      </c>
      <c r="AG3594" s="4">
        <v>2</v>
      </c>
      <c r="AH3594" s="4">
        <v>28</v>
      </c>
      <c r="AI3594" s="4">
        <v>30</v>
      </c>
      <c r="AJ3594" s="4">
        <v>3</v>
      </c>
      <c r="AK3594" s="4">
        <v>6</v>
      </c>
      <c r="AL3594" s="4">
        <v>20</v>
      </c>
      <c r="AM3594" s="4">
        <v>20</v>
      </c>
      <c r="AN3594" s="4">
        <v>0</v>
      </c>
      <c r="AO3594" s="4">
        <v>0</v>
      </c>
      <c r="AP3594" s="4">
        <v>3</v>
      </c>
      <c r="AQ3594" s="4">
        <v>5</v>
      </c>
      <c r="AR3594" s="3" t="s">
        <v>62</v>
      </c>
      <c r="AS3594" s="3" t="s">
        <v>62</v>
      </c>
      <c r="AT3594" s="3" t="s">
        <v>62</v>
      </c>
      <c r="AV3594" s="6" t="str">
        <f>HYPERLINK("http://mcgill.on.worldcat.org/oclc/320879021","Catalog Record")</f>
        <v>Catalog Record</v>
      </c>
      <c r="AW3594" s="6" t="str">
        <f>HYPERLINK("http://www.worldcat.org/oclc/320879021","WorldCat Record")</f>
        <v>WorldCat Record</v>
      </c>
      <c r="AX3594" s="3" t="s">
        <v>34674</v>
      </c>
      <c r="AY3594" s="3" t="s">
        <v>34675</v>
      </c>
      <c r="AZ3594" s="3" t="s">
        <v>34676</v>
      </c>
      <c r="BA3594" s="3" t="s">
        <v>34676</v>
      </c>
      <c r="BB3594" s="3" t="s">
        <v>34677</v>
      </c>
      <c r="BC3594" s="3" t="s">
        <v>142</v>
      </c>
      <c r="BD3594" s="3" t="s">
        <v>68</v>
      </c>
      <c r="BE3594" s="3" t="s">
        <v>34678</v>
      </c>
      <c r="BF3594" s="3" t="s">
        <v>34677</v>
      </c>
      <c r="BG3594" s="3" t="s">
        <v>34679</v>
      </c>
    </row>
    <row r="3595" spans="1:59" ht="57" x14ac:dyDescent="0.45">
      <c r="A3595" s="2" t="s">
        <v>59</v>
      </c>
      <c r="B3595" s="2" t="s">
        <v>60</v>
      </c>
      <c r="C3595" s="2" t="s">
        <v>34680</v>
      </c>
      <c r="D3595" s="2" t="s">
        <v>34681</v>
      </c>
      <c r="E3595" s="2" t="s">
        <v>34682</v>
      </c>
      <c r="G3595" s="3" t="s">
        <v>62</v>
      </c>
      <c r="I3595" s="3" t="s">
        <v>62</v>
      </c>
      <c r="J3595" s="3" t="s">
        <v>62</v>
      </c>
      <c r="K3595" s="3" t="s">
        <v>63</v>
      </c>
      <c r="L3595" s="2" t="s">
        <v>34683</v>
      </c>
      <c r="M3595" s="2" t="s">
        <v>9542</v>
      </c>
      <c r="N3595" s="3" t="s">
        <v>1155</v>
      </c>
      <c r="P3595" s="3" t="s">
        <v>65</v>
      </c>
      <c r="Q3595" s="2" t="s">
        <v>34684</v>
      </c>
      <c r="R3595" s="3" t="s">
        <v>66</v>
      </c>
      <c r="S3595" s="4">
        <v>0</v>
      </c>
      <c r="T3595" s="4">
        <v>0</v>
      </c>
      <c r="W3595" s="5" t="s">
        <v>67</v>
      </c>
      <c r="X3595" s="5" t="s">
        <v>67</v>
      </c>
      <c r="Y3595" s="4">
        <v>137</v>
      </c>
      <c r="Z3595" s="4">
        <v>21</v>
      </c>
      <c r="AA3595" s="4">
        <v>83</v>
      </c>
      <c r="AB3595" s="4">
        <v>1</v>
      </c>
      <c r="AC3595" s="4">
        <v>14</v>
      </c>
      <c r="AD3595" s="4">
        <v>51</v>
      </c>
      <c r="AE3595" s="4">
        <v>102</v>
      </c>
      <c r="AF3595" s="4">
        <v>0</v>
      </c>
      <c r="AG3595" s="4">
        <v>8</v>
      </c>
      <c r="AH3595" s="4">
        <v>43</v>
      </c>
      <c r="AI3595" s="4">
        <v>70</v>
      </c>
      <c r="AJ3595" s="4">
        <v>15</v>
      </c>
      <c r="AK3595" s="4">
        <v>25</v>
      </c>
      <c r="AL3595" s="4">
        <v>27</v>
      </c>
      <c r="AM3595" s="4">
        <v>37</v>
      </c>
      <c r="AN3595" s="4">
        <v>0</v>
      </c>
      <c r="AO3595" s="4">
        <v>0</v>
      </c>
      <c r="AP3595" s="4">
        <v>17</v>
      </c>
      <c r="AQ3595" s="4">
        <v>43</v>
      </c>
      <c r="AR3595" s="3" t="s">
        <v>62</v>
      </c>
      <c r="AS3595" s="3" t="s">
        <v>62</v>
      </c>
      <c r="AT3595" s="3" t="s">
        <v>62</v>
      </c>
      <c r="AV3595" s="6" t="str">
        <f>HYPERLINK("http://mcgill.on.worldcat.org/oclc/776777207","Catalog Record")</f>
        <v>Catalog Record</v>
      </c>
      <c r="AW3595" s="6" t="str">
        <f>HYPERLINK("http://www.worldcat.org/oclc/776777207","WorldCat Record")</f>
        <v>WorldCat Record</v>
      </c>
      <c r="AX3595" s="3" t="s">
        <v>34685</v>
      </c>
      <c r="AY3595" s="3" t="s">
        <v>34686</v>
      </c>
      <c r="AZ3595" s="3" t="s">
        <v>34687</v>
      </c>
      <c r="BA3595" s="3" t="s">
        <v>34687</v>
      </c>
      <c r="BB3595" s="3" t="s">
        <v>34688</v>
      </c>
      <c r="BC3595" s="3" t="s">
        <v>142</v>
      </c>
      <c r="BD3595" s="3" t="s">
        <v>68</v>
      </c>
      <c r="BE3595" s="3" t="s">
        <v>34689</v>
      </c>
      <c r="BF3595" s="3" t="s">
        <v>34688</v>
      </c>
      <c r="BG3595" s="3" t="s">
        <v>34690</v>
      </c>
    </row>
    <row r="3596" spans="1:59" ht="71.25" x14ac:dyDescent="0.45">
      <c r="A3596" s="2" t="s">
        <v>59</v>
      </c>
      <c r="B3596" s="2" t="s">
        <v>60</v>
      </c>
      <c r="C3596" s="2" t="s">
        <v>34691</v>
      </c>
      <c r="D3596" s="2" t="s">
        <v>34692</v>
      </c>
      <c r="E3596" s="2" t="s">
        <v>34693</v>
      </c>
      <c r="G3596" s="3" t="s">
        <v>62</v>
      </c>
      <c r="I3596" s="3" t="s">
        <v>62</v>
      </c>
      <c r="J3596" s="3" t="s">
        <v>62</v>
      </c>
      <c r="K3596" s="3" t="s">
        <v>63</v>
      </c>
      <c r="M3596" s="2" t="s">
        <v>34694</v>
      </c>
      <c r="N3596" s="3" t="s">
        <v>116</v>
      </c>
      <c r="P3596" s="3" t="s">
        <v>65</v>
      </c>
      <c r="Q3596" s="2" t="s">
        <v>34695</v>
      </c>
      <c r="R3596" s="3" t="s">
        <v>66</v>
      </c>
      <c r="S3596" s="4">
        <v>2</v>
      </c>
      <c r="T3596" s="4">
        <v>2</v>
      </c>
      <c r="U3596" s="5" t="s">
        <v>34453</v>
      </c>
      <c r="V3596" s="5" t="s">
        <v>34453</v>
      </c>
      <c r="W3596" s="5" t="s">
        <v>67</v>
      </c>
      <c r="X3596" s="5" t="s">
        <v>67</v>
      </c>
      <c r="Y3596" s="4">
        <v>81</v>
      </c>
      <c r="Z3596" s="4">
        <v>9</v>
      </c>
      <c r="AA3596" s="4">
        <v>11</v>
      </c>
      <c r="AB3596" s="4">
        <v>1</v>
      </c>
      <c r="AC3596" s="4">
        <v>2</v>
      </c>
      <c r="AD3596" s="4">
        <v>40</v>
      </c>
      <c r="AE3596" s="4">
        <v>45</v>
      </c>
      <c r="AF3596" s="4">
        <v>0</v>
      </c>
      <c r="AG3596" s="4">
        <v>0</v>
      </c>
      <c r="AH3596" s="4">
        <v>36</v>
      </c>
      <c r="AI3596" s="4">
        <v>40</v>
      </c>
      <c r="AJ3596" s="4">
        <v>7</v>
      </c>
      <c r="AK3596" s="4">
        <v>8</v>
      </c>
      <c r="AL3596" s="4">
        <v>28</v>
      </c>
      <c r="AM3596" s="4">
        <v>32</v>
      </c>
      <c r="AN3596" s="4">
        <v>0</v>
      </c>
      <c r="AO3596" s="4">
        <v>0</v>
      </c>
      <c r="AP3596" s="4">
        <v>7</v>
      </c>
      <c r="AQ3596" s="4">
        <v>8</v>
      </c>
      <c r="AR3596" s="3" t="s">
        <v>62</v>
      </c>
      <c r="AS3596" s="3" t="s">
        <v>62</v>
      </c>
      <c r="AT3596" s="3" t="s">
        <v>62</v>
      </c>
      <c r="AV3596" s="6" t="str">
        <f>HYPERLINK("http://mcgill.on.worldcat.org/oclc/820111140","Catalog Record")</f>
        <v>Catalog Record</v>
      </c>
      <c r="AW3596" s="6" t="str">
        <f>HYPERLINK("http://www.worldcat.org/oclc/820111140","WorldCat Record")</f>
        <v>WorldCat Record</v>
      </c>
      <c r="AX3596" s="3" t="s">
        <v>34696</v>
      </c>
      <c r="AY3596" s="3" t="s">
        <v>34697</v>
      </c>
      <c r="AZ3596" s="3" t="s">
        <v>34698</v>
      </c>
      <c r="BA3596" s="3" t="s">
        <v>34698</v>
      </c>
      <c r="BB3596" s="3" t="s">
        <v>34699</v>
      </c>
      <c r="BC3596" s="3" t="s">
        <v>142</v>
      </c>
      <c r="BD3596" s="3" t="s">
        <v>68</v>
      </c>
      <c r="BE3596" s="3" t="s">
        <v>34700</v>
      </c>
      <c r="BF3596" s="3" t="s">
        <v>34699</v>
      </c>
      <c r="BG3596" s="3" t="s">
        <v>34701</v>
      </c>
    </row>
    <row r="3597" spans="1:59" ht="57" x14ac:dyDescent="0.45">
      <c r="A3597" s="2" t="s">
        <v>59</v>
      </c>
      <c r="B3597" s="2" t="s">
        <v>60</v>
      </c>
      <c r="C3597" s="2" t="s">
        <v>34702</v>
      </c>
      <c r="D3597" s="2" t="s">
        <v>34703</v>
      </c>
      <c r="E3597" s="2" t="s">
        <v>34704</v>
      </c>
      <c r="G3597" s="3" t="s">
        <v>62</v>
      </c>
      <c r="I3597" s="3" t="s">
        <v>61</v>
      </c>
      <c r="J3597" s="3" t="s">
        <v>62</v>
      </c>
      <c r="K3597" s="3" t="s">
        <v>63</v>
      </c>
      <c r="M3597" s="2" t="s">
        <v>33543</v>
      </c>
      <c r="N3597" s="3" t="s">
        <v>1097</v>
      </c>
      <c r="P3597" s="3" t="s">
        <v>65</v>
      </c>
      <c r="Q3597" s="2" t="s">
        <v>34705</v>
      </c>
      <c r="R3597" s="3" t="s">
        <v>66</v>
      </c>
      <c r="S3597" s="4">
        <v>8</v>
      </c>
      <c r="T3597" s="4">
        <v>13</v>
      </c>
      <c r="U3597" s="5" t="s">
        <v>10009</v>
      </c>
      <c r="V3597" s="5" t="s">
        <v>10009</v>
      </c>
      <c r="W3597" s="5" t="s">
        <v>67</v>
      </c>
      <c r="X3597" s="5" t="s">
        <v>67</v>
      </c>
      <c r="Y3597" s="4">
        <v>160</v>
      </c>
      <c r="Z3597" s="4">
        <v>16</v>
      </c>
      <c r="AA3597" s="4">
        <v>107</v>
      </c>
      <c r="AB3597" s="4">
        <v>1</v>
      </c>
      <c r="AC3597" s="4">
        <v>17</v>
      </c>
      <c r="AD3597" s="4">
        <v>65</v>
      </c>
      <c r="AE3597" s="4">
        <v>124</v>
      </c>
      <c r="AF3597" s="4">
        <v>0</v>
      </c>
      <c r="AG3597" s="4">
        <v>8</v>
      </c>
      <c r="AH3597" s="4">
        <v>57</v>
      </c>
      <c r="AI3597" s="4">
        <v>87</v>
      </c>
      <c r="AJ3597" s="4">
        <v>11</v>
      </c>
      <c r="AK3597" s="4">
        <v>22</v>
      </c>
      <c r="AL3597" s="4">
        <v>30</v>
      </c>
      <c r="AM3597" s="4">
        <v>42</v>
      </c>
      <c r="AN3597" s="4">
        <v>0</v>
      </c>
      <c r="AO3597" s="4">
        <v>0</v>
      </c>
      <c r="AP3597" s="4">
        <v>13</v>
      </c>
      <c r="AQ3597" s="4">
        <v>44</v>
      </c>
      <c r="AR3597" s="3" t="s">
        <v>62</v>
      </c>
      <c r="AS3597" s="3" t="s">
        <v>62</v>
      </c>
      <c r="AT3597" s="3" t="s">
        <v>61</v>
      </c>
      <c r="AU3597" s="6" t="str">
        <f>HYPERLINK("http://catalog.hathitrust.org/Record/007144638","HathiTrust Record")</f>
        <v>HathiTrust Record</v>
      </c>
      <c r="AV3597" s="6" t="str">
        <f>HYPERLINK("http://mcgill.on.worldcat.org/oclc/55595560","Catalog Record")</f>
        <v>Catalog Record</v>
      </c>
      <c r="AW3597" s="6" t="str">
        <f>HYPERLINK("http://www.worldcat.org/oclc/55595560","WorldCat Record")</f>
        <v>WorldCat Record</v>
      </c>
      <c r="AX3597" s="3" t="s">
        <v>34706</v>
      </c>
      <c r="AY3597" s="3" t="s">
        <v>34707</v>
      </c>
      <c r="AZ3597" s="3" t="s">
        <v>34708</v>
      </c>
      <c r="BA3597" s="3" t="s">
        <v>34708</v>
      </c>
      <c r="BB3597" s="3" t="s">
        <v>34709</v>
      </c>
      <c r="BC3597" s="3" t="s">
        <v>142</v>
      </c>
      <c r="BD3597" s="3" t="s">
        <v>68</v>
      </c>
      <c r="BE3597" s="3" t="s">
        <v>34710</v>
      </c>
      <c r="BF3597" s="3" t="s">
        <v>34709</v>
      </c>
      <c r="BG3597" s="3" t="s">
        <v>34711</v>
      </c>
    </row>
    <row r="3598" spans="1:59" ht="57" x14ac:dyDescent="0.45">
      <c r="A3598" s="2" t="s">
        <v>59</v>
      </c>
      <c r="B3598" s="2" t="s">
        <v>60</v>
      </c>
      <c r="C3598" s="2" t="s">
        <v>34702</v>
      </c>
      <c r="D3598" s="2" t="s">
        <v>34703</v>
      </c>
      <c r="E3598" s="2" t="s">
        <v>34704</v>
      </c>
      <c r="G3598" s="3" t="s">
        <v>62</v>
      </c>
      <c r="I3598" s="3" t="s">
        <v>61</v>
      </c>
      <c r="J3598" s="3" t="s">
        <v>62</v>
      </c>
      <c r="K3598" s="3" t="s">
        <v>63</v>
      </c>
      <c r="M3598" s="2" t="s">
        <v>33543</v>
      </c>
      <c r="N3598" s="3" t="s">
        <v>1097</v>
      </c>
      <c r="P3598" s="3" t="s">
        <v>65</v>
      </c>
      <c r="Q3598" s="2" t="s">
        <v>34705</v>
      </c>
      <c r="R3598" s="3" t="s">
        <v>66</v>
      </c>
      <c r="S3598" s="4">
        <v>5</v>
      </c>
      <c r="T3598" s="4">
        <v>13</v>
      </c>
      <c r="U3598" s="5" t="s">
        <v>34712</v>
      </c>
      <c r="V3598" s="5" t="s">
        <v>10009</v>
      </c>
      <c r="W3598" s="5" t="s">
        <v>67</v>
      </c>
      <c r="X3598" s="5" t="s">
        <v>67</v>
      </c>
      <c r="Y3598" s="4">
        <v>160</v>
      </c>
      <c r="Z3598" s="4">
        <v>16</v>
      </c>
      <c r="AA3598" s="4">
        <v>107</v>
      </c>
      <c r="AB3598" s="4">
        <v>1</v>
      </c>
      <c r="AC3598" s="4">
        <v>17</v>
      </c>
      <c r="AD3598" s="4">
        <v>65</v>
      </c>
      <c r="AE3598" s="4">
        <v>124</v>
      </c>
      <c r="AF3598" s="4">
        <v>0</v>
      </c>
      <c r="AG3598" s="4">
        <v>8</v>
      </c>
      <c r="AH3598" s="4">
        <v>57</v>
      </c>
      <c r="AI3598" s="4">
        <v>87</v>
      </c>
      <c r="AJ3598" s="4">
        <v>11</v>
      </c>
      <c r="AK3598" s="4">
        <v>22</v>
      </c>
      <c r="AL3598" s="4">
        <v>30</v>
      </c>
      <c r="AM3598" s="4">
        <v>42</v>
      </c>
      <c r="AN3598" s="4">
        <v>0</v>
      </c>
      <c r="AO3598" s="4">
        <v>0</v>
      </c>
      <c r="AP3598" s="4">
        <v>13</v>
      </c>
      <c r="AQ3598" s="4">
        <v>44</v>
      </c>
      <c r="AR3598" s="3" t="s">
        <v>62</v>
      </c>
      <c r="AS3598" s="3" t="s">
        <v>62</v>
      </c>
      <c r="AT3598" s="3" t="s">
        <v>61</v>
      </c>
      <c r="AU3598" s="6" t="str">
        <f>HYPERLINK("http://catalog.hathitrust.org/Record/007144638","HathiTrust Record")</f>
        <v>HathiTrust Record</v>
      </c>
      <c r="AV3598" s="6" t="str">
        <f>HYPERLINK("http://mcgill.on.worldcat.org/oclc/55595560","Catalog Record")</f>
        <v>Catalog Record</v>
      </c>
      <c r="AW3598" s="6" t="str">
        <f>HYPERLINK("http://www.worldcat.org/oclc/55595560","WorldCat Record")</f>
        <v>WorldCat Record</v>
      </c>
      <c r="AX3598" s="3" t="s">
        <v>34706</v>
      </c>
      <c r="AY3598" s="3" t="s">
        <v>34707</v>
      </c>
      <c r="AZ3598" s="3" t="s">
        <v>34708</v>
      </c>
      <c r="BA3598" s="3" t="s">
        <v>34708</v>
      </c>
      <c r="BB3598" s="3" t="s">
        <v>34713</v>
      </c>
      <c r="BC3598" s="3" t="s">
        <v>142</v>
      </c>
      <c r="BD3598" s="3" t="s">
        <v>68</v>
      </c>
      <c r="BE3598" s="3" t="s">
        <v>34710</v>
      </c>
      <c r="BF3598" s="3" t="s">
        <v>34713</v>
      </c>
      <c r="BG3598" s="3" t="s">
        <v>34714</v>
      </c>
    </row>
    <row r="3599" spans="1:59" ht="57" x14ac:dyDescent="0.45">
      <c r="A3599" s="2" t="s">
        <v>59</v>
      </c>
      <c r="B3599" s="2" t="s">
        <v>60</v>
      </c>
      <c r="C3599" s="2" t="s">
        <v>34715</v>
      </c>
      <c r="D3599" s="2" t="s">
        <v>34716</v>
      </c>
      <c r="E3599" s="2" t="s">
        <v>34717</v>
      </c>
      <c r="G3599" s="3" t="s">
        <v>62</v>
      </c>
      <c r="I3599" s="3" t="s">
        <v>62</v>
      </c>
      <c r="J3599" s="3" t="s">
        <v>62</v>
      </c>
      <c r="K3599" s="3" t="s">
        <v>63</v>
      </c>
      <c r="M3599" s="2" t="s">
        <v>33132</v>
      </c>
      <c r="N3599" s="3" t="s">
        <v>1155</v>
      </c>
      <c r="P3599" s="3" t="s">
        <v>65</v>
      </c>
      <c r="Q3599" s="2" t="s">
        <v>34718</v>
      </c>
      <c r="R3599" s="3" t="s">
        <v>66</v>
      </c>
      <c r="S3599" s="4">
        <v>0</v>
      </c>
      <c r="T3599" s="4">
        <v>0</v>
      </c>
      <c r="W3599" s="5" t="s">
        <v>67</v>
      </c>
      <c r="X3599" s="5" t="s">
        <v>67</v>
      </c>
      <c r="Y3599" s="4">
        <v>78</v>
      </c>
      <c r="Z3599" s="4">
        <v>14</v>
      </c>
      <c r="AA3599" s="4">
        <v>86</v>
      </c>
      <c r="AB3599" s="4">
        <v>1</v>
      </c>
      <c r="AC3599" s="4">
        <v>15</v>
      </c>
      <c r="AD3599" s="4">
        <v>35</v>
      </c>
      <c r="AE3599" s="4">
        <v>110</v>
      </c>
      <c r="AF3599" s="4">
        <v>0</v>
      </c>
      <c r="AG3599" s="4">
        <v>8</v>
      </c>
      <c r="AH3599" s="4">
        <v>31</v>
      </c>
      <c r="AI3599" s="4">
        <v>76</v>
      </c>
      <c r="AJ3599" s="4">
        <v>10</v>
      </c>
      <c r="AK3599" s="4">
        <v>22</v>
      </c>
      <c r="AL3599" s="4">
        <v>21</v>
      </c>
      <c r="AM3599" s="4">
        <v>42</v>
      </c>
      <c r="AN3599" s="4">
        <v>0</v>
      </c>
      <c r="AO3599" s="4">
        <v>0</v>
      </c>
      <c r="AP3599" s="4">
        <v>10</v>
      </c>
      <c r="AQ3599" s="4">
        <v>42</v>
      </c>
      <c r="AR3599" s="3" t="s">
        <v>62</v>
      </c>
      <c r="AS3599" s="3" t="s">
        <v>62</v>
      </c>
      <c r="AT3599" s="3" t="s">
        <v>62</v>
      </c>
      <c r="AV3599" s="6" t="str">
        <f>HYPERLINK("http://mcgill.on.worldcat.org/oclc/795009278","Catalog Record")</f>
        <v>Catalog Record</v>
      </c>
      <c r="AW3599" s="6" t="str">
        <f>HYPERLINK("http://www.worldcat.org/oclc/795009278","WorldCat Record")</f>
        <v>WorldCat Record</v>
      </c>
      <c r="AX3599" s="3" t="s">
        <v>34719</v>
      </c>
      <c r="AY3599" s="3" t="s">
        <v>34720</v>
      </c>
      <c r="AZ3599" s="3" t="s">
        <v>34721</v>
      </c>
      <c r="BA3599" s="3" t="s">
        <v>34721</v>
      </c>
      <c r="BB3599" s="3" t="s">
        <v>34722</v>
      </c>
      <c r="BC3599" s="3" t="s">
        <v>142</v>
      </c>
      <c r="BD3599" s="3" t="s">
        <v>68</v>
      </c>
      <c r="BE3599" s="3" t="s">
        <v>34723</v>
      </c>
      <c r="BF3599" s="3" t="s">
        <v>34722</v>
      </c>
      <c r="BG3599" s="3" t="s">
        <v>34724</v>
      </c>
    </row>
    <row r="3600" spans="1:59" ht="57" x14ac:dyDescent="0.45">
      <c r="A3600" s="2" t="s">
        <v>59</v>
      </c>
      <c r="B3600" s="2" t="s">
        <v>60</v>
      </c>
      <c r="C3600" s="2" t="s">
        <v>34725</v>
      </c>
      <c r="D3600" s="2" t="s">
        <v>34726</v>
      </c>
      <c r="E3600" s="2" t="s">
        <v>34727</v>
      </c>
      <c r="G3600" s="3" t="s">
        <v>62</v>
      </c>
      <c r="I3600" s="3" t="s">
        <v>62</v>
      </c>
      <c r="J3600" s="3" t="s">
        <v>62</v>
      </c>
      <c r="K3600" s="3" t="s">
        <v>63</v>
      </c>
      <c r="M3600" s="2" t="s">
        <v>34728</v>
      </c>
      <c r="N3600" s="3" t="s">
        <v>1688</v>
      </c>
      <c r="P3600" s="3" t="s">
        <v>65</v>
      </c>
      <c r="R3600" s="3" t="s">
        <v>66</v>
      </c>
      <c r="S3600" s="4">
        <v>2</v>
      </c>
      <c r="T3600" s="4">
        <v>2</v>
      </c>
      <c r="U3600" s="5" t="s">
        <v>26445</v>
      </c>
      <c r="V3600" s="5" t="s">
        <v>26445</v>
      </c>
      <c r="W3600" s="5" t="s">
        <v>67</v>
      </c>
      <c r="X3600" s="5" t="s">
        <v>67</v>
      </c>
      <c r="Y3600" s="4">
        <v>72</v>
      </c>
      <c r="Z3600" s="4">
        <v>10</v>
      </c>
      <c r="AA3600" s="4">
        <v>74</v>
      </c>
      <c r="AB3600" s="4">
        <v>2</v>
      </c>
      <c r="AC3600" s="4">
        <v>14</v>
      </c>
      <c r="AD3600" s="4">
        <v>20</v>
      </c>
      <c r="AE3600" s="4">
        <v>83</v>
      </c>
      <c r="AF3600" s="4">
        <v>1</v>
      </c>
      <c r="AG3600" s="4">
        <v>8</v>
      </c>
      <c r="AH3600" s="4">
        <v>16</v>
      </c>
      <c r="AI3600" s="4">
        <v>52</v>
      </c>
      <c r="AJ3600" s="4">
        <v>5</v>
      </c>
      <c r="AK3600" s="4">
        <v>20</v>
      </c>
      <c r="AL3600" s="4">
        <v>12</v>
      </c>
      <c r="AM3600" s="4">
        <v>26</v>
      </c>
      <c r="AN3600" s="4">
        <v>0</v>
      </c>
      <c r="AO3600" s="4">
        <v>0</v>
      </c>
      <c r="AP3600" s="4">
        <v>7</v>
      </c>
      <c r="AQ3600" s="4">
        <v>39</v>
      </c>
      <c r="AR3600" s="3" t="s">
        <v>62</v>
      </c>
      <c r="AS3600" s="3" t="s">
        <v>62</v>
      </c>
      <c r="AT3600" s="3" t="s">
        <v>62</v>
      </c>
      <c r="AV3600" s="6" t="str">
        <f>HYPERLINK("http://mcgill.on.worldcat.org/oclc/866931043","Catalog Record")</f>
        <v>Catalog Record</v>
      </c>
      <c r="AW3600" s="6" t="str">
        <f>HYPERLINK("http://www.worldcat.org/oclc/866931043","WorldCat Record")</f>
        <v>WorldCat Record</v>
      </c>
      <c r="AX3600" s="3" t="s">
        <v>34729</v>
      </c>
      <c r="AY3600" s="3" t="s">
        <v>34730</v>
      </c>
      <c r="AZ3600" s="3" t="s">
        <v>34731</v>
      </c>
      <c r="BA3600" s="3" t="s">
        <v>34731</v>
      </c>
      <c r="BB3600" s="3" t="s">
        <v>34732</v>
      </c>
      <c r="BC3600" s="3" t="s">
        <v>142</v>
      </c>
      <c r="BD3600" s="3" t="s">
        <v>68</v>
      </c>
      <c r="BE3600" s="3" t="s">
        <v>34733</v>
      </c>
      <c r="BF3600" s="3" t="s">
        <v>34732</v>
      </c>
      <c r="BG3600" s="3" t="s">
        <v>34734</v>
      </c>
    </row>
    <row r="3601" spans="1:59" ht="57" x14ac:dyDescent="0.45">
      <c r="A3601" s="2" t="s">
        <v>59</v>
      </c>
      <c r="B3601" s="2" t="s">
        <v>60</v>
      </c>
      <c r="C3601" s="2" t="s">
        <v>34735</v>
      </c>
      <c r="D3601" s="2" t="s">
        <v>34736</v>
      </c>
      <c r="E3601" s="2" t="s">
        <v>34737</v>
      </c>
      <c r="G3601" s="3" t="s">
        <v>62</v>
      </c>
      <c r="I3601" s="3" t="s">
        <v>62</v>
      </c>
      <c r="J3601" s="3" t="s">
        <v>62</v>
      </c>
      <c r="K3601" s="3" t="s">
        <v>63</v>
      </c>
      <c r="L3601" s="2" t="s">
        <v>34738</v>
      </c>
      <c r="M3601" s="2" t="s">
        <v>34739</v>
      </c>
      <c r="N3601" s="3" t="s">
        <v>116</v>
      </c>
      <c r="P3601" s="3" t="s">
        <v>65</v>
      </c>
      <c r="Q3601" s="2" t="s">
        <v>34740</v>
      </c>
      <c r="R3601" s="3" t="s">
        <v>66</v>
      </c>
      <c r="S3601" s="4">
        <v>0</v>
      </c>
      <c r="T3601" s="4">
        <v>0</v>
      </c>
      <c r="W3601" s="5" t="s">
        <v>67</v>
      </c>
      <c r="X3601" s="5" t="s">
        <v>67</v>
      </c>
      <c r="Y3601" s="4">
        <v>195</v>
      </c>
      <c r="Z3601" s="4">
        <v>22</v>
      </c>
      <c r="AA3601" s="4">
        <v>39</v>
      </c>
      <c r="AB3601" s="4">
        <v>1</v>
      </c>
      <c r="AC3601" s="4">
        <v>7</v>
      </c>
      <c r="AD3601" s="4">
        <v>83</v>
      </c>
      <c r="AE3601" s="4">
        <v>103</v>
      </c>
      <c r="AF3601" s="4">
        <v>0</v>
      </c>
      <c r="AG3601" s="4">
        <v>4</v>
      </c>
      <c r="AH3601" s="4">
        <v>74</v>
      </c>
      <c r="AI3601" s="4">
        <v>85</v>
      </c>
      <c r="AJ3601" s="4">
        <v>12</v>
      </c>
      <c r="AK3601" s="4">
        <v>18</v>
      </c>
      <c r="AL3601" s="4">
        <v>45</v>
      </c>
      <c r="AM3601" s="4">
        <v>47</v>
      </c>
      <c r="AN3601" s="4">
        <v>0</v>
      </c>
      <c r="AO3601" s="4">
        <v>0</v>
      </c>
      <c r="AP3601" s="4">
        <v>16</v>
      </c>
      <c r="AQ3601" s="4">
        <v>25</v>
      </c>
      <c r="AR3601" s="3" t="s">
        <v>62</v>
      </c>
      <c r="AS3601" s="3" t="s">
        <v>62</v>
      </c>
      <c r="AT3601" s="3" t="s">
        <v>62</v>
      </c>
      <c r="AV3601" s="6" t="str">
        <f>HYPERLINK("http://mcgill.on.worldcat.org/oclc/823927730","Catalog Record")</f>
        <v>Catalog Record</v>
      </c>
      <c r="AW3601" s="6" t="str">
        <f>HYPERLINK("http://www.worldcat.org/oclc/823927730","WorldCat Record")</f>
        <v>WorldCat Record</v>
      </c>
      <c r="AX3601" s="3" t="s">
        <v>34741</v>
      </c>
      <c r="AY3601" s="3" t="s">
        <v>34742</v>
      </c>
      <c r="AZ3601" s="3" t="s">
        <v>34743</v>
      </c>
      <c r="BA3601" s="3" t="s">
        <v>34743</v>
      </c>
      <c r="BB3601" s="3" t="s">
        <v>34744</v>
      </c>
      <c r="BC3601" s="3" t="s">
        <v>142</v>
      </c>
      <c r="BD3601" s="3" t="s">
        <v>68</v>
      </c>
      <c r="BE3601" s="3" t="s">
        <v>34745</v>
      </c>
      <c r="BF3601" s="3" t="s">
        <v>34744</v>
      </c>
      <c r="BG3601" s="3" t="s">
        <v>34746</v>
      </c>
    </row>
    <row r="3602" spans="1:59" ht="57" x14ac:dyDescent="0.45">
      <c r="A3602" s="2" t="s">
        <v>59</v>
      </c>
      <c r="B3602" s="2" t="s">
        <v>60</v>
      </c>
      <c r="C3602" s="2" t="s">
        <v>34747</v>
      </c>
      <c r="D3602" s="2" t="s">
        <v>34748</v>
      </c>
      <c r="E3602" s="2" t="s">
        <v>34749</v>
      </c>
      <c r="G3602" s="3" t="s">
        <v>62</v>
      </c>
      <c r="I3602" s="3" t="s">
        <v>62</v>
      </c>
      <c r="J3602" s="3" t="s">
        <v>62</v>
      </c>
      <c r="K3602" s="3" t="s">
        <v>63</v>
      </c>
      <c r="M3602" s="2" t="s">
        <v>34694</v>
      </c>
      <c r="N3602" s="3" t="s">
        <v>116</v>
      </c>
      <c r="P3602" s="3" t="s">
        <v>65</v>
      </c>
      <c r="Q3602" s="2" t="s">
        <v>34750</v>
      </c>
      <c r="R3602" s="3" t="s">
        <v>66</v>
      </c>
      <c r="S3602" s="4">
        <v>0</v>
      </c>
      <c r="T3602" s="4">
        <v>0</v>
      </c>
      <c r="W3602" s="5" t="s">
        <v>67</v>
      </c>
      <c r="X3602" s="5" t="s">
        <v>67</v>
      </c>
      <c r="Y3602" s="4">
        <v>97</v>
      </c>
      <c r="Z3602" s="4">
        <v>10</v>
      </c>
      <c r="AA3602" s="4">
        <v>13</v>
      </c>
      <c r="AB3602" s="4">
        <v>1</v>
      </c>
      <c r="AC3602" s="4">
        <v>4</v>
      </c>
      <c r="AD3602" s="4">
        <v>42</v>
      </c>
      <c r="AE3602" s="4">
        <v>46</v>
      </c>
      <c r="AF3602" s="4">
        <v>0</v>
      </c>
      <c r="AG3602" s="4">
        <v>1</v>
      </c>
      <c r="AH3602" s="4">
        <v>39</v>
      </c>
      <c r="AI3602" s="4">
        <v>42</v>
      </c>
      <c r="AJ3602" s="4">
        <v>6</v>
      </c>
      <c r="AK3602" s="4">
        <v>7</v>
      </c>
      <c r="AL3602" s="4">
        <v>29</v>
      </c>
      <c r="AM3602" s="4">
        <v>31</v>
      </c>
      <c r="AN3602" s="4">
        <v>0</v>
      </c>
      <c r="AO3602" s="4">
        <v>0</v>
      </c>
      <c r="AP3602" s="4">
        <v>7</v>
      </c>
      <c r="AQ3602" s="4">
        <v>7</v>
      </c>
      <c r="AR3602" s="3" t="s">
        <v>62</v>
      </c>
      <c r="AS3602" s="3" t="s">
        <v>62</v>
      </c>
      <c r="AT3602" s="3" t="s">
        <v>62</v>
      </c>
      <c r="AV3602" s="6" t="str">
        <f>HYPERLINK("http://mcgill.on.worldcat.org/oclc/827952091","Catalog Record")</f>
        <v>Catalog Record</v>
      </c>
      <c r="AW3602" s="6" t="str">
        <f>HYPERLINK("http://www.worldcat.org/oclc/827952091","WorldCat Record")</f>
        <v>WorldCat Record</v>
      </c>
      <c r="AX3602" s="3" t="s">
        <v>34751</v>
      </c>
      <c r="AY3602" s="3" t="s">
        <v>34752</v>
      </c>
      <c r="AZ3602" s="3" t="s">
        <v>34753</v>
      </c>
      <c r="BA3602" s="3" t="s">
        <v>34753</v>
      </c>
      <c r="BB3602" s="3" t="s">
        <v>34754</v>
      </c>
      <c r="BC3602" s="3" t="s">
        <v>142</v>
      </c>
      <c r="BD3602" s="3" t="s">
        <v>68</v>
      </c>
      <c r="BE3602" s="3" t="s">
        <v>34755</v>
      </c>
      <c r="BF3602" s="3" t="s">
        <v>34754</v>
      </c>
      <c r="BG3602" s="3" t="s">
        <v>34756</v>
      </c>
    </row>
    <row r="3603" spans="1:59" ht="57" x14ac:dyDescent="0.45">
      <c r="A3603" s="2" t="s">
        <v>59</v>
      </c>
      <c r="B3603" s="2" t="s">
        <v>60</v>
      </c>
      <c r="C3603" s="2" t="s">
        <v>34757</v>
      </c>
      <c r="D3603" s="2" t="s">
        <v>34758</v>
      </c>
      <c r="E3603" s="2" t="s">
        <v>34759</v>
      </c>
      <c r="G3603" s="3" t="s">
        <v>62</v>
      </c>
      <c r="I3603" s="3" t="s">
        <v>62</v>
      </c>
      <c r="J3603" s="3" t="s">
        <v>62</v>
      </c>
      <c r="K3603" s="3" t="s">
        <v>63</v>
      </c>
      <c r="L3603" s="2" t="s">
        <v>34760</v>
      </c>
      <c r="M3603" s="2" t="s">
        <v>9423</v>
      </c>
      <c r="N3603" s="3" t="s">
        <v>1478</v>
      </c>
      <c r="P3603" s="3" t="s">
        <v>65</v>
      </c>
      <c r="Q3603" s="2" t="s">
        <v>34761</v>
      </c>
      <c r="R3603" s="3" t="s">
        <v>66</v>
      </c>
      <c r="S3603" s="4">
        <v>20</v>
      </c>
      <c r="T3603" s="4">
        <v>20</v>
      </c>
      <c r="U3603" s="5" t="s">
        <v>8352</v>
      </c>
      <c r="V3603" s="5" t="s">
        <v>8352</v>
      </c>
      <c r="W3603" s="5" t="s">
        <v>67</v>
      </c>
      <c r="X3603" s="5" t="s">
        <v>67</v>
      </c>
      <c r="Y3603" s="4">
        <v>128</v>
      </c>
      <c r="Z3603" s="4">
        <v>9</v>
      </c>
      <c r="AA3603" s="4">
        <v>10</v>
      </c>
      <c r="AB3603" s="4">
        <v>2</v>
      </c>
      <c r="AC3603" s="4">
        <v>3</v>
      </c>
      <c r="AD3603" s="4">
        <v>53</v>
      </c>
      <c r="AE3603" s="4">
        <v>54</v>
      </c>
      <c r="AF3603" s="4">
        <v>1</v>
      </c>
      <c r="AG3603" s="4">
        <v>2</v>
      </c>
      <c r="AH3603" s="4">
        <v>48</v>
      </c>
      <c r="AI3603" s="4">
        <v>48</v>
      </c>
      <c r="AJ3603" s="4">
        <v>7</v>
      </c>
      <c r="AK3603" s="4">
        <v>8</v>
      </c>
      <c r="AL3603" s="4">
        <v>27</v>
      </c>
      <c r="AM3603" s="4">
        <v>27</v>
      </c>
      <c r="AN3603" s="4">
        <v>0</v>
      </c>
      <c r="AO3603" s="4">
        <v>0</v>
      </c>
      <c r="AP3603" s="4">
        <v>7</v>
      </c>
      <c r="AQ3603" s="4">
        <v>7</v>
      </c>
      <c r="AR3603" s="3" t="s">
        <v>62</v>
      </c>
      <c r="AS3603" s="3" t="s">
        <v>62</v>
      </c>
      <c r="AT3603" s="3" t="s">
        <v>61</v>
      </c>
      <c r="AU3603" s="6" t="str">
        <f>HYPERLINK("http://catalog.hathitrust.org/Record/003164999","HathiTrust Record")</f>
        <v>HathiTrust Record</v>
      </c>
      <c r="AV3603" s="6" t="str">
        <f>HYPERLINK("http://mcgill.on.worldcat.org/oclc/33820211","Catalog Record")</f>
        <v>Catalog Record</v>
      </c>
      <c r="AW3603" s="6" t="str">
        <f>HYPERLINK("http://www.worldcat.org/oclc/33820211","WorldCat Record")</f>
        <v>WorldCat Record</v>
      </c>
      <c r="AX3603" s="3" t="s">
        <v>34762</v>
      </c>
      <c r="AY3603" s="3" t="s">
        <v>34763</v>
      </c>
      <c r="AZ3603" s="3" t="s">
        <v>34764</v>
      </c>
      <c r="BA3603" s="3" t="s">
        <v>34764</v>
      </c>
      <c r="BB3603" s="3" t="s">
        <v>34765</v>
      </c>
      <c r="BC3603" s="3" t="s">
        <v>142</v>
      </c>
      <c r="BD3603" s="3" t="s">
        <v>68</v>
      </c>
      <c r="BE3603" s="3" t="s">
        <v>34766</v>
      </c>
      <c r="BF3603" s="3" t="s">
        <v>34765</v>
      </c>
      <c r="BG3603" s="3" t="s">
        <v>34767</v>
      </c>
    </row>
    <row r="3604" spans="1:59" ht="57" x14ac:dyDescent="0.45">
      <c r="A3604" s="2" t="s">
        <v>59</v>
      </c>
      <c r="B3604" s="2" t="s">
        <v>60</v>
      </c>
      <c r="C3604" s="2" t="s">
        <v>34768</v>
      </c>
      <c r="D3604" s="2" t="s">
        <v>34769</v>
      </c>
      <c r="E3604" s="2" t="s">
        <v>34770</v>
      </c>
      <c r="G3604" s="3" t="s">
        <v>62</v>
      </c>
      <c r="I3604" s="3" t="s">
        <v>62</v>
      </c>
      <c r="J3604" s="3" t="s">
        <v>62</v>
      </c>
      <c r="K3604" s="3" t="s">
        <v>63</v>
      </c>
      <c r="L3604" s="2" t="s">
        <v>34771</v>
      </c>
      <c r="M3604" s="2" t="s">
        <v>12376</v>
      </c>
      <c r="N3604" s="3" t="s">
        <v>542</v>
      </c>
      <c r="P3604" s="3" t="s">
        <v>65</v>
      </c>
      <c r="Q3604" s="2" t="s">
        <v>34772</v>
      </c>
      <c r="R3604" s="3" t="s">
        <v>66</v>
      </c>
      <c r="S3604" s="4">
        <v>4</v>
      </c>
      <c r="T3604" s="4">
        <v>4</v>
      </c>
      <c r="U3604" s="5" t="s">
        <v>32506</v>
      </c>
      <c r="V3604" s="5" t="s">
        <v>32506</v>
      </c>
      <c r="W3604" s="5" t="s">
        <v>67</v>
      </c>
      <c r="X3604" s="5" t="s">
        <v>67</v>
      </c>
      <c r="Y3604" s="4">
        <v>107</v>
      </c>
      <c r="Z3604" s="4">
        <v>7</v>
      </c>
      <c r="AA3604" s="4">
        <v>8</v>
      </c>
      <c r="AB3604" s="4">
        <v>2</v>
      </c>
      <c r="AC3604" s="4">
        <v>3</v>
      </c>
      <c r="AD3604" s="4">
        <v>56</v>
      </c>
      <c r="AE3604" s="4">
        <v>57</v>
      </c>
      <c r="AF3604" s="4">
        <v>1</v>
      </c>
      <c r="AG3604" s="4">
        <v>2</v>
      </c>
      <c r="AH3604" s="4">
        <v>52</v>
      </c>
      <c r="AI3604" s="4">
        <v>52</v>
      </c>
      <c r="AJ3604" s="4">
        <v>4</v>
      </c>
      <c r="AK3604" s="4">
        <v>5</v>
      </c>
      <c r="AL3604" s="4">
        <v>42</v>
      </c>
      <c r="AM3604" s="4">
        <v>42</v>
      </c>
      <c r="AN3604" s="4">
        <v>0</v>
      </c>
      <c r="AO3604" s="4">
        <v>0</v>
      </c>
      <c r="AP3604" s="4">
        <v>5</v>
      </c>
      <c r="AQ3604" s="4">
        <v>6</v>
      </c>
      <c r="AR3604" s="3" t="s">
        <v>62</v>
      </c>
      <c r="AS3604" s="3" t="s">
        <v>62</v>
      </c>
      <c r="AT3604" s="3" t="s">
        <v>61</v>
      </c>
      <c r="AU3604" s="6" t="str">
        <f>HYPERLINK("http://catalog.hathitrust.org/Record/003577255","HathiTrust Record")</f>
        <v>HathiTrust Record</v>
      </c>
      <c r="AV3604" s="6" t="str">
        <f>HYPERLINK("http://mcgill.on.worldcat.org/oclc/45493145","Catalog Record")</f>
        <v>Catalog Record</v>
      </c>
      <c r="AW3604" s="6" t="str">
        <f>HYPERLINK("http://www.worldcat.org/oclc/45493145","WorldCat Record")</f>
        <v>WorldCat Record</v>
      </c>
      <c r="AX3604" s="3" t="s">
        <v>34773</v>
      </c>
      <c r="AY3604" s="3" t="s">
        <v>34774</v>
      </c>
      <c r="AZ3604" s="3" t="s">
        <v>34775</v>
      </c>
      <c r="BA3604" s="3" t="s">
        <v>34775</v>
      </c>
      <c r="BB3604" s="3" t="s">
        <v>34776</v>
      </c>
      <c r="BC3604" s="3" t="s">
        <v>142</v>
      </c>
      <c r="BD3604" s="3" t="s">
        <v>68</v>
      </c>
      <c r="BE3604" s="3" t="s">
        <v>34777</v>
      </c>
      <c r="BF3604" s="3" t="s">
        <v>34776</v>
      </c>
      <c r="BG3604" s="3" t="s">
        <v>34778</v>
      </c>
    </row>
    <row r="3605" spans="1:59" ht="57" x14ac:dyDescent="0.45">
      <c r="A3605" s="2" t="s">
        <v>59</v>
      </c>
      <c r="B3605" s="2" t="s">
        <v>60</v>
      </c>
      <c r="C3605" s="2" t="s">
        <v>34779</v>
      </c>
      <c r="D3605" s="2" t="s">
        <v>34780</v>
      </c>
      <c r="E3605" s="2" t="s">
        <v>34781</v>
      </c>
      <c r="G3605" s="3" t="s">
        <v>62</v>
      </c>
      <c r="I3605" s="3" t="s">
        <v>62</v>
      </c>
      <c r="J3605" s="3" t="s">
        <v>62</v>
      </c>
      <c r="K3605" s="3" t="s">
        <v>63</v>
      </c>
      <c r="M3605" s="2" t="s">
        <v>3026</v>
      </c>
      <c r="N3605" s="3" t="s">
        <v>1155</v>
      </c>
      <c r="P3605" s="3" t="s">
        <v>65</v>
      </c>
      <c r="Q3605" s="2" t="s">
        <v>34782</v>
      </c>
      <c r="R3605" s="3" t="s">
        <v>66</v>
      </c>
      <c r="S3605" s="4">
        <v>2</v>
      </c>
      <c r="T3605" s="4">
        <v>2</v>
      </c>
      <c r="U3605" s="5" t="s">
        <v>3623</v>
      </c>
      <c r="V3605" s="5" t="s">
        <v>3623</v>
      </c>
      <c r="W3605" s="5" t="s">
        <v>67</v>
      </c>
      <c r="X3605" s="5" t="s">
        <v>67</v>
      </c>
      <c r="Y3605" s="4">
        <v>115</v>
      </c>
      <c r="Z3605" s="4">
        <v>17</v>
      </c>
      <c r="AA3605" s="4">
        <v>82</v>
      </c>
      <c r="AB3605" s="4">
        <v>1</v>
      </c>
      <c r="AC3605" s="4">
        <v>14</v>
      </c>
      <c r="AD3605" s="4">
        <v>65</v>
      </c>
      <c r="AE3605" s="4">
        <v>120</v>
      </c>
      <c r="AF3605" s="4">
        <v>0</v>
      </c>
      <c r="AG3605" s="4">
        <v>8</v>
      </c>
      <c r="AH3605" s="4">
        <v>57</v>
      </c>
      <c r="AI3605" s="4">
        <v>85</v>
      </c>
      <c r="AJ3605" s="4">
        <v>14</v>
      </c>
      <c r="AK3605" s="4">
        <v>25</v>
      </c>
      <c r="AL3605" s="4">
        <v>38</v>
      </c>
      <c r="AM3605" s="4">
        <v>50</v>
      </c>
      <c r="AN3605" s="4">
        <v>0</v>
      </c>
      <c r="AO3605" s="4">
        <v>0</v>
      </c>
      <c r="AP3605" s="4">
        <v>15</v>
      </c>
      <c r="AQ3605" s="4">
        <v>45</v>
      </c>
      <c r="AR3605" s="3" t="s">
        <v>62</v>
      </c>
      <c r="AS3605" s="3" t="s">
        <v>62</v>
      </c>
      <c r="AT3605" s="3" t="s">
        <v>62</v>
      </c>
      <c r="AV3605" s="6" t="str">
        <f>HYPERLINK("http://mcgill.on.worldcat.org/oclc/794729271","Catalog Record")</f>
        <v>Catalog Record</v>
      </c>
      <c r="AW3605" s="6" t="str">
        <f>HYPERLINK("http://www.worldcat.org/oclc/794729271","WorldCat Record")</f>
        <v>WorldCat Record</v>
      </c>
      <c r="AX3605" s="3" t="s">
        <v>34783</v>
      </c>
      <c r="AY3605" s="3" t="s">
        <v>34784</v>
      </c>
      <c r="AZ3605" s="3" t="s">
        <v>34785</v>
      </c>
      <c r="BA3605" s="3" t="s">
        <v>34785</v>
      </c>
      <c r="BB3605" s="3" t="s">
        <v>34786</v>
      </c>
      <c r="BC3605" s="3" t="s">
        <v>142</v>
      </c>
      <c r="BD3605" s="3" t="s">
        <v>68</v>
      </c>
      <c r="BE3605" s="3" t="s">
        <v>34787</v>
      </c>
      <c r="BF3605" s="3" t="s">
        <v>34786</v>
      </c>
      <c r="BG3605" s="3" t="s">
        <v>34788</v>
      </c>
    </row>
    <row r="3606" spans="1:59" ht="57" x14ac:dyDescent="0.45">
      <c r="A3606" s="2" t="s">
        <v>59</v>
      </c>
      <c r="B3606" s="2" t="s">
        <v>60</v>
      </c>
      <c r="C3606" s="2" t="s">
        <v>34789</v>
      </c>
      <c r="D3606" s="2" t="s">
        <v>34790</v>
      </c>
      <c r="E3606" s="2" t="s">
        <v>34791</v>
      </c>
      <c r="G3606" s="3" t="s">
        <v>62</v>
      </c>
      <c r="I3606" s="3" t="s">
        <v>62</v>
      </c>
      <c r="J3606" s="3" t="s">
        <v>62</v>
      </c>
      <c r="K3606" s="3" t="s">
        <v>63</v>
      </c>
      <c r="L3606" s="2" t="s">
        <v>34792</v>
      </c>
      <c r="M3606" s="2" t="s">
        <v>34793</v>
      </c>
      <c r="N3606" s="3" t="s">
        <v>1155</v>
      </c>
      <c r="P3606" s="3" t="s">
        <v>182</v>
      </c>
      <c r="Q3606" s="2" t="s">
        <v>34794</v>
      </c>
      <c r="R3606" s="3" t="s">
        <v>66</v>
      </c>
      <c r="S3606" s="4">
        <v>0</v>
      </c>
      <c r="T3606" s="4">
        <v>0</v>
      </c>
      <c r="W3606" s="5" t="s">
        <v>67</v>
      </c>
      <c r="X3606" s="5" t="s">
        <v>67</v>
      </c>
      <c r="Y3606" s="4">
        <v>10</v>
      </c>
      <c r="Z3606" s="4">
        <v>1</v>
      </c>
      <c r="AA3606" s="4">
        <v>1</v>
      </c>
      <c r="AB3606" s="4">
        <v>1</v>
      </c>
      <c r="AC3606" s="4">
        <v>1</v>
      </c>
      <c r="AD3606" s="4">
        <v>4</v>
      </c>
      <c r="AE3606" s="4">
        <v>4</v>
      </c>
      <c r="AF3606" s="4">
        <v>0</v>
      </c>
      <c r="AG3606" s="4">
        <v>0</v>
      </c>
      <c r="AH3606" s="4">
        <v>4</v>
      </c>
      <c r="AI3606" s="4">
        <v>4</v>
      </c>
      <c r="AJ3606" s="4">
        <v>0</v>
      </c>
      <c r="AK3606" s="4">
        <v>0</v>
      </c>
      <c r="AL3606" s="4">
        <v>3</v>
      </c>
      <c r="AM3606" s="4">
        <v>3</v>
      </c>
      <c r="AN3606" s="4">
        <v>0</v>
      </c>
      <c r="AO3606" s="4">
        <v>0</v>
      </c>
      <c r="AP3606" s="4">
        <v>0</v>
      </c>
      <c r="AQ3606" s="4">
        <v>0</v>
      </c>
      <c r="AR3606" s="3" t="s">
        <v>62</v>
      </c>
      <c r="AS3606" s="3" t="s">
        <v>62</v>
      </c>
      <c r="AT3606" s="3" t="s">
        <v>62</v>
      </c>
      <c r="AV3606" s="6" t="str">
        <f>HYPERLINK("http://mcgill.on.worldcat.org/oclc/859151396","Catalog Record")</f>
        <v>Catalog Record</v>
      </c>
      <c r="AW3606" s="6" t="str">
        <f>HYPERLINK("http://www.worldcat.org/oclc/859151396","WorldCat Record")</f>
        <v>WorldCat Record</v>
      </c>
      <c r="AX3606" s="3" t="s">
        <v>34795</v>
      </c>
      <c r="AY3606" s="3" t="s">
        <v>34796</v>
      </c>
      <c r="AZ3606" s="3" t="s">
        <v>34797</v>
      </c>
      <c r="BA3606" s="3" t="s">
        <v>34797</v>
      </c>
      <c r="BB3606" s="3" t="s">
        <v>34798</v>
      </c>
      <c r="BC3606" s="3" t="s">
        <v>142</v>
      </c>
      <c r="BD3606" s="3" t="s">
        <v>68</v>
      </c>
      <c r="BE3606" s="3" t="s">
        <v>34799</v>
      </c>
      <c r="BF3606" s="3" t="s">
        <v>34798</v>
      </c>
      <c r="BG3606" s="3" t="s">
        <v>34800</v>
      </c>
    </row>
    <row r="3607" spans="1:59" ht="57" x14ac:dyDescent="0.45">
      <c r="A3607" s="2" t="s">
        <v>59</v>
      </c>
      <c r="B3607" s="2" t="s">
        <v>60</v>
      </c>
      <c r="C3607" s="2" t="s">
        <v>34801</v>
      </c>
      <c r="D3607" s="2" t="s">
        <v>34802</v>
      </c>
      <c r="E3607" s="2" t="s">
        <v>34803</v>
      </c>
      <c r="G3607" s="3" t="s">
        <v>62</v>
      </c>
      <c r="I3607" s="3" t="s">
        <v>62</v>
      </c>
      <c r="J3607" s="3" t="s">
        <v>62</v>
      </c>
      <c r="K3607" s="3" t="s">
        <v>63</v>
      </c>
      <c r="L3607" s="2" t="s">
        <v>34804</v>
      </c>
      <c r="M3607" s="2" t="s">
        <v>19986</v>
      </c>
      <c r="N3607" s="3" t="s">
        <v>542</v>
      </c>
      <c r="P3607" s="3" t="s">
        <v>65</v>
      </c>
      <c r="Q3607" s="2" t="s">
        <v>34805</v>
      </c>
      <c r="R3607" s="3" t="s">
        <v>66</v>
      </c>
      <c r="S3607" s="4">
        <v>14</v>
      </c>
      <c r="T3607" s="4">
        <v>14</v>
      </c>
      <c r="U3607" s="5" t="s">
        <v>22260</v>
      </c>
      <c r="V3607" s="5" t="s">
        <v>22260</v>
      </c>
      <c r="W3607" s="5" t="s">
        <v>67</v>
      </c>
      <c r="X3607" s="5" t="s">
        <v>67</v>
      </c>
      <c r="Y3607" s="4">
        <v>160</v>
      </c>
      <c r="Z3607" s="4">
        <v>10</v>
      </c>
      <c r="AA3607" s="4">
        <v>101</v>
      </c>
      <c r="AB3607" s="4">
        <v>2</v>
      </c>
      <c r="AC3607" s="4">
        <v>18</v>
      </c>
      <c r="AD3607" s="4">
        <v>58</v>
      </c>
      <c r="AE3607" s="4">
        <v>124</v>
      </c>
      <c r="AF3607" s="4">
        <v>0</v>
      </c>
      <c r="AG3607" s="4">
        <v>8</v>
      </c>
      <c r="AH3607" s="4">
        <v>53</v>
      </c>
      <c r="AI3607" s="4">
        <v>87</v>
      </c>
      <c r="AJ3607" s="4">
        <v>7</v>
      </c>
      <c r="AK3607" s="4">
        <v>22</v>
      </c>
      <c r="AL3607" s="4">
        <v>37</v>
      </c>
      <c r="AM3607" s="4">
        <v>48</v>
      </c>
      <c r="AN3607" s="4">
        <v>0</v>
      </c>
      <c r="AO3607" s="4">
        <v>0</v>
      </c>
      <c r="AP3607" s="4">
        <v>7</v>
      </c>
      <c r="AQ3607" s="4">
        <v>43</v>
      </c>
      <c r="AR3607" s="3" t="s">
        <v>62</v>
      </c>
      <c r="AS3607" s="3" t="s">
        <v>62</v>
      </c>
      <c r="AT3607" s="3" t="s">
        <v>62</v>
      </c>
      <c r="AV3607" s="6" t="str">
        <f>HYPERLINK("http://mcgill.on.worldcat.org/oclc/46240393","Catalog Record")</f>
        <v>Catalog Record</v>
      </c>
      <c r="AW3607" s="6" t="str">
        <f>HYPERLINK("http://www.worldcat.org/oclc/46240393","WorldCat Record")</f>
        <v>WorldCat Record</v>
      </c>
      <c r="AX3607" s="3" t="s">
        <v>34806</v>
      </c>
      <c r="AY3607" s="3" t="s">
        <v>34807</v>
      </c>
      <c r="AZ3607" s="3" t="s">
        <v>34808</v>
      </c>
      <c r="BA3607" s="3" t="s">
        <v>34808</v>
      </c>
      <c r="BB3607" s="3" t="s">
        <v>34809</v>
      </c>
      <c r="BC3607" s="3" t="s">
        <v>142</v>
      </c>
      <c r="BD3607" s="3" t="s">
        <v>68</v>
      </c>
      <c r="BE3607" s="3" t="s">
        <v>34810</v>
      </c>
      <c r="BF3607" s="3" t="s">
        <v>34809</v>
      </c>
      <c r="BG3607" s="3" t="s">
        <v>34811</v>
      </c>
    </row>
    <row r="3608" spans="1:59" ht="57" x14ac:dyDescent="0.45">
      <c r="A3608" s="2" t="s">
        <v>59</v>
      </c>
      <c r="B3608" s="2" t="s">
        <v>60</v>
      </c>
      <c r="C3608" s="2" t="s">
        <v>34812</v>
      </c>
      <c r="D3608" s="2" t="s">
        <v>34813</v>
      </c>
      <c r="E3608" s="2" t="s">
        <v>34814</v>
      </c>
      <c r="G3608" s="3" t="s">
        <v>62</v>
      </c>
      <c r="I3608" s="3" t="s">
        <v>62</v>
      </c>
      <c r="J3608" s="3" t="s">
        <v>62</v>
      </c>
      <c r="K3608" s="3" t="s">
        <v>63</v>
      </c>
      <c r="M3608" s="2" t="s">
        <v>34815</v>
      </c>
      <c r="N3608" s="3" t="s">
        <v>5180</v>
      </c>
      <c r="P3608" s="3" t="s">
        <v>110</v>
      </c>
      <c r="Q3608" s="2" t="s">
        <v>34816</v>
      </c>
      <c r="R3608" s="3" t="s">
        <v>66</v>
      </c>
      <c r="S3608" s="4">
        <v>1</v>
      </c>
      <c r="T3608" s="4">
        <v>1</v>
      </c>
      <c r="U3608" s="5" t="s">
        <v>3557</v>
      </c>
      <c r="V3608" s="5" t="s">
        <v>3557</v>
      </c>
      <c r="W3608" s="5" t="s">
        <v>67</v>
      </c>
      <c r="X3608" s="5" t="s">
        <v>67</v>
      </c>
      <c r="Y3608" s="4">
        <v>13</v>
      </c>
      <c r="Z3608" s="4">
        <v>1</v>
      </c>
      <c r="AA3608" s="4">
        <v>1</v>
      </c>
      <c r="AB3608" s="4">
        <v>1</v>
      </c>
      <c r="AC3608" s="4">
        <v>1</v>
      </c>
      <c r="AD3608" s="4">
        <v>4</v>
      </c>
      <c r="AE3608" s="4">
        <v>4</v>
      </c>
      <c r="AF3608" s="4">
        <v>0</v>
      </c>
      <c r="AG3608" s="4">
        <v>0</v>
      </c>
      <c r="AH3608" s="4">
        <v>3</v>
      </c>
      <c r="AI3608" s="4">
        <v>3</v>
      </c>
      <c r="AJ3608" s="4">
        <v>0</v>
      </c>
      <c r="AK3608" s="4">
        <v>0</v>
      </c>
      <c r="AL3608" s="4">
        <v>4</v>
      </c>
      <c r="AM3608" s="4">
        <v>4</v>
      </c>
      <c r="AN3608" s="4">
        <v>0</v>
      </c>
      <c r="AO3608" s="4">
        <v>0</v>
      </c>
      <c r="AP3608" s="4">
        <v>0</v>
      </c>
      <c r="AQ3608" s="4">
        <v>0</v>
      </c>
      <c r="AR3608" s="3" t="s">
        <v>62</v>
      </c>
      <c r="AS3608" s="3" t="s">
        <v>62</v>
      </c>
      <c r="AT3608" s="3" t="s">
        <v>62</v>
      </c>
      <c r="AV3608" s="6" t="str">
        <f>HYPERLINK("http://mcgill.on.worldcat.org/oclc/1029625724","Catalog Record")</f>
        <v>Catalog Record</v>
      </c>
      <c r="AW3608" s="6" t="str">
        <f>HYPERLINK("http://www.worldcat.org/oclc/1029625724","WorldCat Record")</f>
        <v>WorldCat Record</v>
      </c>
      <c r="AX3608" s="3" t="s">
        <v>34817</v>
      </c>
      <c r="AY3608" s="3" t="s">
        <v>34818</v>
      </c>
      <c r="AZ3608" s="3" t="s">
        <v>34819</v>
      </c>
      <c r="BA3608" s="3" t="s">
        <v>34819</v>
      </c>
      <c r="BB3608" s="3" t="s">
        <v>34820</v>
      </c>
      <c r="BC3608" s="3" t="s">
        <v>142</v>
      </c>
      <c r="BD3608" s="3" t="s">
        <v>68</v>
      </c>
      <c r="BE3608" s="3" t="s">
        <v>34821</v>
      </c>
      <c r="BF3608" s="3" t="s">
        <v>34820</v>
      </c>
      <c r="BG3608" s="3" t="s">
        <v>34822</v>
      </c>
    </row>
    <row r="3609" spans="1:59" ht="57" x14ac:dyDescent="0.45">
      <c r="A3609" s="2" t="s">
        <v>59</v>
      </c>
      <c r="B3609" s="2" t="s">
        <v>60</v>
      </c>
      <c r="C3609" s="2" t="s">
        <v>34823</v>
      </c>
      <c r="D3609" s="2" t="s">
        <v>34824</v>
      </c>
      <c r="E3609" s="2" t="s">
        <v>34825</v>
      </c>
      <c r="G3609" s="3" t="s">
        <v>62</v>
      </c>
      <c r="I3609" s="3" t="s">
        <v>62</v>
      </c>
      <c r="J3609" s="3" t="s">
        <v>62</v>
      </c>
      <c r="K3609" s="3" t="s">
        <v>63</v>
      </c>
      <c r="M3609" s="2" t="s">
        <v>3110</v>
      </c>
      <c r="N3609" s="3" t="s">
        <v>149</v>
      </c>
      <c r="P3609" s="3" t="s">
        <v>65</v>
      </c>
      <c r="R3609" s="3" t="s">
        <v>66</v>
      </c>
      <c r="S3609" s="4">
        <v>2</v>
      </c>
      <c r="T3609" s="4">
        <v>2</v>
      </c>
      <c r="U3609" s="5" t="s">
        <v>31812</v>
      </c>
      <c r="V3609" s="5" t="s">
        <v>31812</v>
      </c>
      <c r="W3609" s="5" t="s">
        <v>67</v>
      </c>
      <c r="X3609" s="5" t="s">
        <v>67</v>
      </c>
      <c r="Y3609" s="4">
        <v>39</v>
      </c>
      <c r="Z3609" s="4">
        <v>12</v>
      </c>
      <c r="AA3609" s="4">
        <v>12</v>
      </c>
      <c r="AB3609" s="4">
        <v>1</v>
      </c>
      <c r="AC3609" s="4">
        <v>1</v>
      </c>
      <c r="AD3609" s="4">
        <v>21</v>
      </c>
      <c r="AE3609" s="4">
        <v>21</v>
      </c>
      <c r="AF3609" s="4">
        <v>0</v>
      </c>
      <c r="AG3609" s="4">
        <v>0</v>
      </c>
      <c r="AH3609" s="4">
        <v>17</v>
      </c>
      <c r="AI3609" s="4">
        <v>17</v>
      </c>
      <c r="AJ3609" s="4">
        <v>9</v>
      </c>
      <c r="AK3609" s="4">
        <v>9</v>
      </c>
      <c r="AL3609" s="4">
        <v>10</v>
      </c>
      <c r="AM3609" s="4">
        <v>10</v>
      </c>
      <c r="AN3609" s="4">
        <v>0</v>
      </c>
      <c r="AO3609" s="4">
        <v>0</v>
      </c>
      <c r="AP3609" s="4">
        <v>9</v>
      </c>
      <c r="AQ3609" s="4">
        <v>9</v>
      </c>
      <c r="AR3609" s="3" t="s">
        <v>62</v>
      </c>
      <c r="AS3609" s="3" t="s">
        <v>62</v>
      </c>
      <c r="AT3609" s="3" t="s">
        <v>62</v>
      </c>
      <c r="AV3609" s="6" t="str">
        <f>HYPERLINK("http://mcgill.on.worldcat.org/oclc/655249946","Catalog Record")</f>
        <v>Catalog Record</v>
      </c>
      <c r="AW3609" s="6" t="str">
        <f>HYPERLINK("http://www.worldcat.org/oclc/655249946","WorldCat Record")</f>
        <v>WorldCat Record</v>
      </c>
      <c r="AX3609" s="3" t="s">
        <v>34826</v>
      </c>
      <c r="AY3609" s="3" t="s">
        <v>34827</v>
      </c>
      <c r="AZ3609" s="3" t="s">
        <v>34828</v>
      </c>
      <c r="BA3609" s="3" t="s">
        <v>34828</v>
      </c>
      <c r="BB3609" s="3" t="s">
        <v>34829</v>
      </c>
      <c r="BC3609" s="3" t="s">
        <v>142</v>
      </c>
      <c r="BD3609" s="3" t="s">
        <v>68</v>
      </c>
      <c r="BE3609" s="3" t="s">
        <v>34830</v>
      </c>
      <c r="BF3609" s="3" t="s">
        <v>34829</v>
      </c>
      <c r="BG3609" s="3" t="s">
        <v>34831</v>
      </c>
    </row>
    <row r="3610" spans="1:59" ht="57" x14ac:dyDescent="0.45">
      <c r="A3610" s="2" t="s">
        <v>59</v>
      </c>
      <c r="B3610" s="2" t="s">
        <v>60</v>
      </c>
      <c r="C3610" s="2" t="s">
        <v>34832</v>
      </c>
      <c r="D3610" s="2" t="s">
        <v>34833</v>
      </c>
      <c r="E3610" s="2" t="s">
        <v>34834</v>
      </c>
      <c r="G3610" s="3" t="s">
        <v>62</v>
      </c>
      <c r="I3610" s="3" t="s">
        <v>62</v>
      </c>
      <c r="J3610" s="3" t="s">
        <v>62</v>
      </c>
      <c r="K3610" s="3" t="s">
        <v>63</v>
      </c>
      <c r="L3610" s="2" t="s">
        <v>34835</v>
      </c>
      <c r="M3610" s="2" t="s">
        <v>10592</v>
      </c>
      <c r="N3610" s="3" t="s">
        <v>116</v>
      </c>
      <c r="P3610" s="3" t="s">
        <v>65</v>
      </c>
      <c r="Q3610" s="2" t="s">
        <v>34836</v>
      </c>
      <c r="R3610" s="3" t="s">
        <v>66</v>
      </c>
      <c r="S3610" s="4">
        <v>0</v>
      </c>
      <c r="T3610" s="4">
        <v>0</v>
      </c>
      <c r="W3610" s="5" t="s">
        <v>67</v>
      </c>
      <c r="X3610" s="5" t="s">
        <v>67</v>
      </c>
      <c r="Y3610" s="4">
        <v>120</v>
      </c>
      <c r="Z3610" s="4">
        <v>11</v>
      </c>
      <c r="AA3610" s="4">
        <v>16</v>
      </c>
      <c r="AB3610" s="4">
        <v>1</v>
      </c>
      <c r="AC3610" s="4">
        <v>5</v>
      </c>
      <c r="AD3610" s="4">
        <v>28</v>
      </c>
      <c r="AE3610" s="4">
        <v>34</v>
      </c>
      <c r="AF3610" s="4">
        <v>0</v>
      </c>
      <c r="AG3610" s="4">
        <v>1</v>
      </c>
      <c r="AH3610" s="4">
        <v>23</v>
      </c>
      <c r="AI3610" s="4">
        <v>28</v>
      </c>
      <c r="AJ3610" s="4">
        <v>9</v>
      </c>
      <c r="AK3610" s="4">
        <v>10</v>
      </c>
      <c r="AL3610" s="4">
        <v>14</v>
      </c>
      <c r="AM3610" s="4">
        <v>16</v>
      </c>
      <c r="AN3610" s="4">
        <v>0</v>
      </c>
      <c r="AO3610" s="4">
        <v>0</v>
      </c>
      <c r="AP3610" s="4">
        <v>9</v>
      </c>
      <c r="AQ3610" s="4">
        <v>9</v>
      </c>
      <c r="AR3610" s="3" t="s">
        <v>62</v>
      </c>
      <c r="AS3610" s="3" t="s">
        <v>62</v>
      </c>
      <c r="AT3610" s="3" t="s">
        <v>62</v>
      </c>
      <c r="AV3610" s="6" t="str">
        <f>HYPERLINK("http://mcgill.on.worldcat.org/oclc/820122956","Catalog Record")</f>
        <v>Catalog Record</v>
      </c>
      <c r="AW3610" s="6" t="str">
        <f>HYPERLINK("http://www.worldcat.org/oclc/820122956","WorldCat Record")</f>
        <v>WorldCat Record</v>
      </c>
      <c r="AX3610" s="3" t="s">
        <v>34837</v>
      </c>
      <c r="AY3610" s="3" t="s">
        <v>34838</v>
      </c>
      <c r="AZ3610" s="3" t="s">
        <v>34839</v>
      </c>
      <c r="BA3610" s="3" t="s">
        <v>34839</v>
      </c>
      <c r="BB3610" s="3" t="s">
        <v>34840</v>
      </c>
      <c r="BC3610" s="3" t="s">
        <v>142</v>
      </c>
      <c r="BD3610" s="3" t="s">
        <v>68</v>
      </c>
      <c r="BE3610" s="3" t="s">
        <v>34841</v>
      </c>
      <c r="BF3610" s="3" t="s">
        <v>34840</v>
      </c>
      <c r="BG3610" s="3" t="s">
        <v>34842</v>
      </c>
    </row>
    <row r="3611" spans="1:59" ht="57" x14ac:dyDescent="0.45">
      <c r="A3611" s="2" t="s">
        <v>59</v>
      </c>
      <c r="B3611" s="2" t="s">
        <v>60</v>
      </c>
      <c r="C3611" s="2" t="s">
        <v>34843</v>
      </c>
      <c r="D3611" s="2" t="s">
        <v>34844</v>
      </c>
      <c r="E3611" s="2" t="s">
        <v>34845</v>
      </c>
      <c r="G3611" s="3" t="s">
        <v>62</v>
      </c>
      <c r="I3611" s="3" t="s">
        <v>62</v>
      </c>
      <c r="J3611" s="3" t="s">
        <v>62</v>
      </c>
      <c r="K3611" s="3" t="s">
        <v>63</v>
      </c>
      <c r="L3611" s="2" t="s">
        <v>34846</v>
      </c>
      <c r="M3611" s="2" t="s">
        <v>34847</v>
      </c>
      <c r="N3611" s="3" t="s">
        <v>583</v>
      </c>
      <c r="P3611" s="3" t="s">
        <v>65</v>
      </c>
      <c r="R3611" s="3" t="s">
        <v>66</v>
      </c>
      <c r="S3611" s="4">
        <v>3</v>
      </c>
      <c r="T3611" s="4">
        <v>3</v>
      </c>
      <c r="U3611" s="5" t="s">
        <v>6396</v>
      </c>
      <c r="V3611" s="5" t="s">
        <v>6396</v>
      </c>
      <c r="W3611" s="5" t="s">
        <v>67</v>
      </c>
      <c r="X3611" s="5" t="s">
        <v>67</v>
      </c>
      <c r="Y3611" s="4">
        <v>151</v>
      </c>
      <c r="Z3611" s="4">
        <v>7</v>
      </c>
      <c r="AA3611" s="4">
        <v>8</v>
      </c>
      <c r="AB3611" s="4">
        <v>2</v>
      </c>
      <c r="AC3611" s="4">
        <v>3</v>
      </c>
      <c r="AD3611" s="4">
        <v>56</v>
      </c>
      <c r="AE3611" s="4">
        <v>57</v>
      </c>
      <c r="AF3611" s="4">
        <v>1</v>
      </c>
      <c r="AG3611" s="4">
        <v>2</v>
      </c>
      <c r="AH3611" s="4">
        <v>51</v>
      </c>
      <c r="AI3611" s="4">
        <v>52</v>
      </c>
      <c r="AJ3611" s="4">
        <v>6</v>
      </c>
      <c r="AK3611" s="4">
        <v>7</v>
      </c>
      <c r="AL3611" s="4">
        <v>29</v>
      </c>
      <c r="AM3611" s="4">
        <v>29</v>
      </c>
      <c r="AN3611" s="4">
        <v>0</v>
      </c>
      <c r="AO3611" s="4">
        <v>0</v>
      </c>
      <c r="AP3611" s="4">
        <v>5</v>
      </c>
      <c r="AQ3611" s="4">
        <v>6</v>
      </c>
      <c r="AR3611" s="3" t="s">
        <v>62</v>
      </c>
      <c r="AS3611" s="3" t="s">
        <v>62</v>
      </c>
      <c r="AT3611" s="3" t="s">
        <v>61</v>
      </c>
      <c r="AU3611" s="6" t="str">
        <f>HYPERLINK("http://catalog.hathitrust.org/Record/101003908","HathiTrust Record")</f>
        <v>HathiTrust Record</v>
      </c>
      <c r="AV3611" s="6" t="str">
        <f>HYPERLINK("http://mcgill.on.worldcat.org/oclc/5193552","Catalog Record")</f>
        <v>Catalog Record</v>
      </c>
      <c r="AW3611" s="6" t="str">
        <f>HYPERLINK("http://www.worldcat.org/oclc/5193552","WorldCat Record")</f>
        <v>WorldCat Record</v>
      </c>
      <c r="AX3611" s="3" t="s">
        <v>34848</v>
      </c>
      <c r="AY3611" s="3" t="s">
        <v>34849</v>
      </c>
      <c r="AZ3611" s="3" t="s">
        <v>34850</v>
      </c>
      <c r="BA3611" s="3" t="s">
        <v>34850</v>
      </c>
      <c r="BB3611" s="3" t="s">
        <v>34851</v>
      </c>
      <c r="BC3611" s="3" t="s">
        <v>142</v>
      </c>
      <c r="BD3611" s="3" t="s">
        <v>68</v>
      </c>
      <c r="BE3611" s="3" t="s">
        <v>34852</v>
      </c>
      <c r="BF3611" s="3" t="s">
        <v>34851</v>
      </c>
      <c r="BG3611" s="3" t="s">
        <v>34853</v>
      </c>
    </row>
    <row r="3612" spans="1:59" ht="57" x14ac:dyDescent="0.45">
      <c r="A3612" s="2" t="s">
        <v>59</v>
      </c>
      <c r="B3612" s="2" t="s">
        <v>60</v>
      </c>
      <c r="C3612" s="2" t="s">
        <v>34854</v>
      </c>
      <c r="D3612" s="2" t="s">
        <v>34855</v>
      </c>
      <c r="E3612" s="2" t="s">
        <v>34856</v>
      </c>
      <c r="G3612" s="3" t="s">
        <v>62</v>
      </c>
      <c r="I3612" s="3" t="s">
        <v>62</v>
      </c>
      <c r="J3612" s="3" t="s">
        <v>62</v>
      </c>
      <c r="K3612" s="3" t="s">
        <v>63</v>
      </c>
      <c r="L3612" s="2" t="s">
        <v>34857</v>
      </c>
      <c r="M3612" s="2" t="s">
        <v>34858</v>
      </c>
      <c r="N3612" s="3" t="s">
        <v>106</v>
      </c>
      <c r="P3612" s="3" t="s">
        <v>65</v>
      </c>
      <c r="R3612" s="3" t="s">
        <v>66</v>
      </c>
      <c r="S3612" s="4">
        <v>7</v>
      </c>
      <c r="T3612" s="4">
        <v>7</v>
      </c>
      <c r="U3612" s="5" t="s">
        <v>6396</v>
      </c>
      <c r="V3612" s="5" t="s">
        <v>6396</v>
      </c>
      <c r="W3612" s="5" t="s">
        <v>67</v>
      </c>
      <c r="X3612" s="5" t="s">
        <v>67</v>
      </c>
      <c r="Y3612" s="4">
        <v>315</v>
      </c>
      <c r="Z3612" s="4">
        <v>14</v>
      </c>
      <c r="AA3612" s="4">
        <v>74</v>
      </c>
      <c r="AB3612" s="4">
        <v>2</v>
      </c>
      <c r="AC3612" s="4">
        <v>14</v>
      </c>
      <c r="AD3612" s="4">
        <v>82</v>
      </c>
      <c r="AE3612" s="4">
        <v>135</v>
      </c>
      <c r="AF3612" s="4">
        <v>1</v>
      </c>
      <c r="AG3612" s="4">
        <v>8</v>
      </c>
      <c r="AH3612" s="4">
        <v>75</v>
      </c>
      <c r="AI3612" s="4">
        <v>103</v>
      </c>
      <c r="AJ3612" s="4">
        <v>12</v>
      </c>
      <c r="AK3612" s="4">
        <v>25</v>
      </c>
      <c r="AL3612" s="4">
        <v>45</v>
      </c>
      <c r="AM3612" s="4">
        <v>55</v>
      </c>
      <c r="AN3612" s="4">
        <v>0</v>
      </c>
      <c r="AO3612" s="4">
        <v>0</v>
      </c>
      <c r="AP3612" s="4">
        <v>12</v>
      </c>
      <c r="AQ3612" s="4">
        <v>42</v>
      </c>
      <c r="AR3612" s="3" t="s">
        <v>62</v>
      </c>
      <c r="AS3612" s="3" t="s">
        <v>62</v>
      </c>
      <c r="AT3612" s="3" t="s">
        <v>61</v>
      </c>
      <c r="AU3612" s="6" t="str">
        <f>HYPERLINK("http://catalog.hathitrust.org/Record/000319918","HathiTrust Record")</f>
        <v>HathiTrust Record</v>
      </c>
      <c r="AV3612" s="6" t="str">
        <f>HYPERLINK("http://mcgill.on.worldcat.org/oclc/8195923","Catalog Record")</f>
        <v>Catalog Record</v>
      </c>
      <c r="AW3612" s="6" t="str">
        <f>HYPERLINK("http://www.worldcat.org/oclc/8195923","WorldCat Record")</f>
        <v>WorldCat Record</v>
      </c>
      <c r="AX3612" s="3" t="s">
        <v>34859</v>
      </c>
      <c r="AY3612" s="3" t="s">
        <v>34860</v>
      </c>
      <c r="AZ3612" s="3" t="s">
        <v>34861</v>
      </c>
      <c r="BA3612" s="3" t="s">
        <v>34861</v>
      </c>
      <c r="BB3612" s="3" t="s">
        <v>34862</v>
      </c>
      <c r="BC3612" s="3" t="s">
        <v>142</v>
      </c>
      <c r="BD3612" s="3" t="s">
        <v>68</v>
      </c>
      <c r="BE3612" s="3" t="s">
        <v>34863</v>
      </c>
      <c r="BF3612" s="3" t="s">
        <v>34862</v>
      </c>
      <c r="BG3612" s="3" t="s">
        <v>34864</v>
      </c>
    </row>
    <row r="3613" spans="1:59" ht="57" x14ac:dyDescent="0.45">
      <c r="A3613" s="2" t="s">
        <v>59</v>
      </c>
      <c r="B3613" s="2" t="s">
        <v>60</v>
      </c>
      <c r="C3613" s="2" t="s">
        <v>34865</v>
      </c>
      <c r="D3613" s="2" t="s">
        <v>34866</v>
      </c>
      <c r="E3613" s="2" t="s">
        <v>34867</v>
      </c>
      <c r="G3613" s="3" t="s">
        <v>62</v>
      </c>
      <c r="I3613" s="3" t="s">
        <v>62</v>
      </c>
      <c r="J3613" s="3" t="s">
        <v>62</v>
      </c>
      <c r="K3613" s="3" t="s">
        <v>63</v>
      </c>
      <c r="L3613" s="2" t="s">
        <v>34868</v>
      </c>
      <c r="M3613" s="2" t="s">
        <v>34869</v>
      </c>
      <c r="N3613" s="3" t="s">
        <v>894</v>
      </c>
      <c r="O3613" s="2" t="s">
        <v>168</v>
      </c>
      <c r="P3613" s="3" t="s">
        <v>65</v>
      </c>
      <c r="R3613" s="3" t="s">
        <v>66</v>
      </c>
      <c r="S3613" s="4">
        <v>1</v>
      </c>
      <c r="T3613" s="4">
        <v>1</v>
      </c>
      <c r="U3613" s="5" t="s">
        <v>33669</v>
      </c>
      <c r="V3613" s="5" t="s">
        <v>33669</v>
      </c>
      <c r="W3613" s="5" t="s">
        <v>67</v>
      </c>
      <c r="X3613" s="5" t="s">
        <v>67</v>
      </c>
      <c r="Y3613" s="4">
        <v>331</v>
      </c>
      <c r="Z3613" s="4">
        <v>25</v>
      </c>
      <c r="AA3613" s="4">
        <v>42</v>
      </c>
      <c r="AB3613" s="4">
        <v>2</v>
      </c>
      <c r="AC3613" s="4">
        <v>10</v>
      </c>
      <c r="AD3613" s="4">
        <v>86</v>
      </c>
      <c r="AE3613" s="4">
        <v>102</v>
      </c>
      <c r="AF3613" s="4">
        <v>1</v>
      </c>
      <c r="AG3613" s="4">
        <v>5</v>
      </c>
      <c r="AH3613" s="4">
        <v>73</v>
      </c>
      <c r="AI3613" s="4">
        <v>79</v>
      </c>
      <c r="AJ3613" s="4">
        <v>14</v>
      </c>
      <c r="AK3613" s="4">
        <v>20</v>
      </c>
      <c r="AL3613" s="4">
        <v>43</v>
      </c>
      <c r="AM3613" s="4">
        <v>44</v>
      </c>
      <c r="AN3613" s="4">
        <v>0</v>
      </c>
      <c r="AO3613" s="4">
        <v>0</v>
      </c>
      <c r="AP3613" s="4">
        <v>19</v>
      </c>
      <c r="AQ3613" s="4">
        <v>31</v>
      </c>
      <c r="AR3613" s="3" t="s">
        <v>62</v>
      </c>
      <c r="AS3613" s="3" t="s">
        <v>62</v>
      </c>
      <c r="AT3613" s="3" t="s">
        <v>62</v>
      </c>
      <c r="AV3613" s="6" t="str">
        <f>HYPERLINK("http://mcgill.on.worldcat.org/oclc/683595519","Catalog Record")</f>
        <v>Catalog Record</v>
      </c>
      <c r="AW3613" s="6" t="str">
        <f>HYPERLINK("http://www.worldcat.org/oclc/683595519","WorldCat Record")</f>
        <v>WorldCat Record</v>
      </c>
      <c r="AX3613" s="3" t="s">
        <v>34870</v>
      </c>
      <c r="AY3613" s="3" t="s">
        <v>34871</v>
      </c>
      <c r="AZ3613" s="3" t="s">
        <v>34872</v>
      </c>
      <c r="BA3613" s="3" t="s">
        <v>34872</v>
      </c>
      <c r="BB3613" s="3" t="s">
        <v>34873</v>
      </c>
      <c r="BC3613" s="3" t="s">
        <v>142</v>
      </c>
      <c r="BD3613" s="3" t="s">
        <v>68</v>
      </c>
      <c r="BE3613" s="3" t="s">
        <v>34874</v>
      </c>
      <c r="BF3613" s="3" t="s">
        <v>34873</v>
      </c>
      <c r="BG3613" s="3" t="s">
        <v>34875</v>
      </c>
    </row>
    <row r="3614" spans="1:59" ht="57" x14ac:dyDescent="0.45">
      <c r="A3614" s="2" t="s">
        <v>59</v>
      </c>
      <c r="B3614" s="2" t="s">
        <v>60</v>
      </c>
      <c r="C3614" s="2" t="s">
        <v>34876</v>
      </c>
      <c r="D3614" s="2" t="s">
        <v>34877</v>
      </c>
      <c r="E3614" s="2" t="s">
        <v>34878</v>
      </c>
      <c r="G3614" s="3" t="s">
        <v>62</v>
      </c>
      <c r="I3614" s="3" t="s">
        <v>62</v>
      </c>
      <c r="J3614" s="3" t="s">
        <v>62</v>
      </c>
      <c r="K3614" s="3" t="s">
        <v>63</v>
      </c>
      <c r="M3614" s="2" t="s">
        <v>34879</v>
      </c>
      <c r="N3614" s="3" t="s">
        <v>208</v>
      </c>
      <c r="P3614" s="3" t="s">
        <v>65</v>
      </c>
      <c r="R3614" s="3" t="s">
        <v>66</v>
      </c>
      <c r="S3614" s="4">
        <v>0</v>
      </c>
      <c r="T3614" s="4">
        <v>0</v>
      </c>
      <c r="W3614" s="5" t="s">
        <v>67</v>
      </c>
      <c r="X3614" s="5" t="s">
        <v>67</v>
      </c>
      <c r="Y3614" s="4">
        <v>41</v>
      </c>
      <c r="Z3614" s="4">
        <v>3</v>
      </c>
      <c r="AA3614" s="4">
        <v>30</v>
      </c>
      <c r="AB3614" s="4">
        <v>1</v>
      </c>
      <c r="AC3614" s="4">
        <v>4</v>
      </c>
      <c r="AD3614" s="4">
        <v>18</v>
      </c>
      <c r="AE3614" s="4">
        <v>59</v>
      </c>
      <c r="AF3614" s="4">
        <v>0</v>
      </c>
      <c r="AG3614" s="4">
        <v>1</v>
      </c>
      <c r="AH3614" s="4">
        <v>16</v>
      </c>
      <c r="AI3614" s="4">
        <v>48</v>
      </c>
      <c r="AJ3614" s="4">
        <v>2</v>
      </c>
      <c r="AK3614" s="4">
        <v>5</v>
      </c>
      <c r="AL3614" s="4">
        <v>12</v>
      </c>
      <c r="AM3614" s="4">
        <v>27</v>
      </c>
      <c r="AN3614" s="4">
        <v>0</v>
      </c>
      <c r="AO3614" s="4">
        <v>0</v>
      </c>
      <c r="AP3614" s="4">
        <v>2</v>
      </c>
      <c r="AQ3614" s="4">
        <v>12</v>
      </c>
      <c r="AR3614" s="3" t="s">
        <v>62</v>
      </c>
      <c r="AS3614" s="3" t="s">
        <v>62</v>
      </c>
      <c r="AT3614" s="3" t="s">
        <v>62</v>
      </c>
      <c r="AV3614" s="6" t="str">
        <f>HYPERLINK("http://mcgill.on.worldcat.org/oclc/900828123","Catalog Record")</f>
        <v>Catalog Record</v>
      </c>
      <c r="AW3614" s="6" t="str">
        <f>HYPERLINK("http://www.worldcat.org/oclc/900828123","WorldCat Record")</f>
        <v>WorldCat Record</v>
      </c>
      <c r="AX3614" s="3" t="s">
        <v>34880</v>
      </c>
      <c r="AY3614" s="3" t="s">
        <v>34881</v>
      </c>
      <c r="AZ3614" s="3" t="s">
        <v>34882</v>
      </c>
      <c r="BA3614" s="3" t="s">
        <v>34882</v>
      </c>
      <c r="BB3614" s="3" t="s">
        <v>34883</v>
      </c>
      <c r="BC3614" s="3" t="s">
        <v>142</v>
      </c>
      <c r="BD3614" s="3" t="s">
        <v>68</v>
      </c>
      <c r="BE3614" s="3" t="s">
        <v>34884</v>
      </c>
      <c r="BF3614" s="3" t="s">
        <v>34883</v>
      </c>
      <c r="BG3614" s="3" t="s">
        <v>34885</v>
      </c>
    </row>
    <row r="3615" spans="1:59" ht="57" x14ac:dyDescent="0.45">
      <c r="A3615" s="2" t="s">
        <v>59</v>
      </c>
      <c r="B3615" s="2" t="s">
        <v>60</v>
      </c>
      <c r="C3615" s="2" t="s">
        <v>34886</v>
      </c>
      <c r="D3615" s="2" t="s">
        <v>34887</v>
      </c>
      <c r="E3615" s="2" t="s">
        <v>34888</v>
      </c>
      <c r="G3615" s="3" t="s">
        <v>62</v>
      </c>
      <c r="I3615" s="3" t="s">
        <v>62</v>
      </c>
      <c r="J3615" s="3" t="s">
        <v>61</v>
      </c>
      <c r="K3615" s="3" t="s">
        <v>63</v>
      </c>
      <c r="L3615" s="2" t="s">
        <v>34889</v>
      </c>
      <c r="M3615" s="2" t="s">
        <v>34890</v>
      </c>
      <c r="N3615" s="3" t="s">
        <v>894</v>
      </c>
      <c r="O3615" s="2" t="s">
        <v>3280</v>
      </c>
      <c r="P3615" s="3" t="s">
        <v>65</v>
      </c>
      <c r="R3615" s="3" t="s">
        <v>66</v>
      </c>
      <c r="S3615" s="4">
        <v>1</v>
      </c>
      <c r="T3615" s="4">
        <v>1</v>
      </c>
      <c r="U3615" s="5" t="s">
        <v>34891</v>
      </c>
      <c r="V3615" s="5" t="s">
        <v>34891</v>
      </c>
      <c r="W3615" s="5" t="s">
        <v>67</v>
      </c>
      <c r="X3615" s="5" t="s">
        <v>67</v>
      </c>
      <c r="Y3615" s="4">
        <v>114</v>
      </c>
      <c r="Z3615" s="4">
        <v>14</v>
      </c>
      <c r="AA3615" s="4">
        <v>96</v>
      </c>
      <c r="AB3615" s="4">
        <v>1</v>
      </c>
      <c r="AC3615" s="4">
        <v>17</v>
      </c>
      <c r="AD3615" s="4">
        <v>54</v>
      </c>
      <c r="AE3615" s="4">
        <v>140</v>
      </c>
      <c r="AF3615" s="4">
        <v>0</v>
      </c>
      <c r="AG3615" s="4">
        <v>8</v>
      </c>
      <c r="AH3615" s="4">
        <v>50</v>
      </c>
      <c r="AI3615" s="4">
        <v>103</v>
      </c>
      <c r="AJ3615" s="4">
        <v>11</v>
      </c>
      <c r="AK3615" s="4">
        <v>25</v>
      </c>
      <c r="AL3615" s="4">
        <v>28</v>
      </c>
      <c r="AM3615" s="4">
        <v>56</v>
      </c>
      <c r="AN3615" s="4">
        <v>0</v>
      </c>
      <c r="AO3615" s="4">
        <v>0</v>
      </c>
      <c r="AP3615" s="4">
        <v>11</v>
      </c>
      <c r="AQ3615" s="4">
        <v>46</v>
      </c>
      <c r="AR3615" s="3" t="s">
        <v>62</v>
      </c>
      <c r="AS3615" s="3" t="s">
        <v>62</v>
      </c>
      <c r="AT3615" s="3" t="s">
        <v>62</v>
      </c>
      <c r="AV3615" s="6" t="str">
        <f>HYPERLINK("http://mcgill.on.worldcat.org/oclc/559854675","Catalog Record")</f>
        <v>Catalog Record</v>
      </c>
      <c r="AW3615" s="6" t="str">
        <f>HYPERLINK("http://www.worldcat.org/oclc/559854675","WorldCat Record")</f>
        <v>WorldCat Record</v>
      </c>
      <c r="AX3615" s="3" t="s">
        <v>34892</v>
      </c>
      <c r="AY3615" s="3" t="s">
        <v>34893</v>
      </c>
      <c r="AZ3615" s="3" t="s">
        <v>34894</v>
      </c>
      <c r="BA3615" s="3" t="s">
        <v>34894</v>
      </c>
      <c r="BB3615" s="3" t="s">
        <v>34895</v>
      </c>
      <c r="BC3615" s="3" t="s">
        <v>142</v>
      </c>
      <c r="BD3615" s="3" t="s">
        <v>68</v>
      </c>
      <c r="BE3615" s="3" t="s">
        <v>34896</v>
      </c>
      <c r="BF3615" s="3" t="s">
        <v>34895</v>
      </c>
      <c r="BG3615" s="3" t="s">
        <v>34897</v>
      </c>
    </row>
    <row r="3616" spans="1:59" ht="57" x14ac:dyDescent="0.45">
      <c r="A3616" s="2" t="s">
        <v>59</v>
      </c>
      <c r="B3616" s="2" t="s">
        <v>60</v>
      </c>
      <c r="C3616" s="2" t="s">
        <v>34898</v>
      </c>
      <c r="D3616" s="2" t="s">
        <v>34899</v>
      </c>
      <c r="E3616" s="2" t="s">
        <v>34900</v>
      </c>
      <c r="G3616" s="3" t="s">
        <v>62</v>
      </c>
      <c r="I3616" s="3" t="s">
        <v>62</v>
      </c>
      <c r="J3616" s="3" t="s">
        <v>62</v>
      </c>
      <c r="K3616" s="3" t="s">
        <v>63</v>
      </c>
      <c r="L3616" s="2" t="s">
        <v>1131</v>
      </c>
      <c r="M3616" s="2" t="s">
        <v>34901</v>
      </c>
      <c r="N3616" s="3" t="s">
        <v>195</v>
      </c>
      <c r="P3616" s="3" t="s">
        <v>65</v>
      </c>
      <c r="Q3616" s="2" t="s">
        <v>17618</v>
      </c>
      <c r="R3616" s="3" t="s">
        <v>66</v>
      </c>
      <c r="S3616" s="4">
        <v>18</v>
      </c>
      <c r="T3616" s="4">
        <v>18</v>
      </c>
      <c r="U3616" s="5" t="s">
        <v>6780</v>
      </c>
      <c r="V3616" s="5" t="s">
        <v>6780</v>
      </c>
      <c r="W3616" s="5" t="s">
        <v>67</v>
      </c>
      <c r="X3616" s="5" t="s">
        <v>67</v>
      </c>
      <c r="Y3616" s="4">
        <v>286</v>
      </c>
      <c r="Z3616" s="4">
        <v>25</v>
      </c>
      <c r="AA3616" s="4">
        <v>104</v>
      </c>
      <c r="AB3616" s="4">
        <v>2</v>
      </c>
      <c r="AC3616" s="4">
        <v>17</v>
      </c>
      <c r="AD3616" s="4">
        <v>106</v>
      </c>
      <c r="AE3616" s="4">
        <v>145</v>
      </c>
      <c r="AF3616" s="4">
        <v>1</v>
      </c>
      <c r="AG3616" s="4">
        <v>8</v>
      </c>
      <c r="AH3616" s="4">
        <v>94</v>
      </c>
      <c r="AI3616" s="4">
        <v>106</v>
      </c>
      <c r="AJ3616" s="4">
        <v>16</v>
      </c>
      <c r="AK3616" s="4">
        <v>26</v>
      </c>
      <c r="AL3616" s="4">
        <v>53</v>
      </c>
      <c r="AM3616" s="4">
        <v>56</v>
      </c>
      <c r="AN3616" s="4">
        <v>0</v>
      </c>
      <c r="AO3616" s="4">
        <v>0</v>
      </c>
      <c r="AP3616" s="4">
        <v>18</v>
      </c>
      <c r="AQ3616" s="4">
        <v>48</v>
      </c>
      <c r="AR3616" s="3" t="s">
        <v>62</v>
      </c>
      <c r="AS3616" s="3" t="s">
        <v>62</v>
      </c>
      <c r="AT3616" s="3" t="s">
        <v>61</v>
      </c>
      <c r="AU3616" s="6" t="str">
        <f>HYPERLINK("http://catalog.hathitrust.org/Record/002723804","HathiTrust Record")</f>
        <v>HathiTrust Record</v>
      </c>
      <c r="AV3616" s="6" t="str">
        <f>HYPERLINK("http://mcgill.on.worldcat.org/oclc/26673740","Catalog Record")</f>
        <v>Catalog Record</v>
      </c>
      <c r="AW3616" s="6" t="str">
        <f>HYPERLINK("http://www.worldcat.org/oclc/26673740","WorldCat Record")</f>
        <v>WorldCat Record</v>
      </c>
      <c r="AX3616" s="3" t="s">
        <v>34902</v>
      </c>
      <c r="AY3616" s="3" t="s">
        <v>34903</v>
      </c>
      <c r="AZ3616" s="3" t="s">
        <v>34904</v>
      </c>
      <c r="BA3616" s="3" t="s">
        <v>34904</v>
      </c>
      <c r="BB3616" s="3" t="s">
        <v>34905</v>
      </c>
      <c r="BC3616" s="3" t="s">
        <v>142</v>
      </c>
      <c r="BD3616" s="3" t="s">
        <v>68</v>
      </c>
      <c r="BE3616" s="3" t="s">
        <v>34906</v>
      </c>
      <c r="BF3616" s="3" t="s">
        <v>34905</v>
      </c>
      <c r="BG3616" s="3" t="s">
        <v>34907</v>
      </c>
    </row>
    <row r="3617" spans="1:59" ht="57" x14ac:dyDescent="0.45">
      <c r="A3617" s="2" t="s">
        <v>59</v>
      </c>
      <c r="B3617" s="2" t="s">
        <v>60</v>
      </c>
      <c r="C3617" s="2" t="s">
        <v>34908</v>
      </c>
      <c r="D3617" s="2" t="s">
        <v>34909</v>
      </c>
      <c r="E3617" s="2" t="s">
        <v>34910</v>
      </c>
      <c r="G3617" s="3" t="s">
        <v>62</v>
      </c>
      <c r="I3617" s="3" t="s">
        <v>62</v>
      </c>
      <c r="J3617" s="3" t="s">
        <v>62</v>
      </c>
      <c r="K3617" s="3" t="s">
        <v>63</v>
      </c>
      <c r="L3617" s="2" t="s">
        <v>1166</v>
      </c>
      <c r="M3617" s="2" t="s">
        <v>34911</v>
      </c>
      <c r="N3617" s="3" t="s">
        <v>1855</v>
      </c>
      <c r="O3617" s="2" t="s">
        <v>168</v>
      </c>
      <c r="P3617" s="3" t="s">
        <v>65</v>
      </c>
      <c r="R3617" s="3" t="s">
        <v>66</v>
      </c>
      <c r="S3617" s="4">
        <v>13</v>
      </c>
      <c r="T3617" s="4">
        <v>13</v>
      </c>
      <c r="U3617" s="5" t="s">
        <v>28941</v>
      </c>
      <c r="V3617" s="5" t="s">
        <v>28941</v>
      </c>
      <c r="W3617" s="5" t="s">
        <v>67</v>
      </c>
      <c r="X3617" s="5" t="s">
        <v>67</v>
      </c>
      <c r="Y3617" s="4">
        <v>896</v>
      </c>
      <c r="Z3617" s="4">
        <v>30</v>
      </c>
      <c r="AA3617" s="4">
        <v>44</v>
      </c>
      <c r="AB3617" s="4">
        <v>1</v>
      </c>
      <c r="AC3617" s="4">
        <v>2</v>
      </c>
      <c r="AD3617" s="4">
        <v>89</v>
      </c>
      <c r="AE3617" s="4">
        <v>106</v>
      </c>
      <c r="AF3617" s="4">
        <v>0</v>
      </c>
      <c r="AG3617" s="4">
        <v>1</v>
      </c>
      <c r="AH3617" s="4">
        <v>80</v>
      </c>
      <c r="AI3617" s="4">
        <v>91</v>
      </c>
      <c r="AJ3617" s="4">
        <v>10</v>
      </c>
      <c r="AK3617" s="4">
        <v>13</v>
      </c>
      <c r="AL3617" s="4">
        <v>37</v>
      </c>
      <c r="AM3617" s="4">
        <v>46</v>
      </c>
      <c r="AN3617" s="4">
        <v>0</v>
      </c>
      <c r="AO3617" s="4">
        <v>0</v>
      </c>
      <c r="AP3617" s="4">
        <v>15</v>
      </c>
      <c r="AQ3617" s="4">
        <v>22</v>
      </c>
      <c r="AR3617" s="3" t="s">
        <v>62</v>
      </c>
      <c r="AS3617" s="3" t="s">
        <v>62</v>
      </c>
      <c r="AT3617" s="3" t="s">
        <v>62</v>
      </c>
      <c r="AV3617" s="6" t="str">
        <f>HYPERLINK("http://mcgill.on.worldcat.org/oclc/57311730","Catalog Record")</f>
        <v>Catalog Record</v>
      </c>
      <c r="AW3617" s="6" t="str">
        <f>HYPERLINK("http://www.worldcat.org/oclc/57311730","WorldCat Record")</f>
        <v>WorldCat Record</v>
      </c>
      <c r="AX3617" s="3" t="s">
        <v>34912</v>
      </c>
      <c r="AY3617" s="3" t="s">
        <v>34913</v>
      </c>
      <c r="AZ3617" s="3" t="s">
        <v>34914</v>
      </c>
      <c r="BA3617" s="3" t="s">
        <v>34914</v>
      </c>
      <c r="BB3617" s="3" t="s">
        <v>34915</v>
      </c>
      <c r="BC3617" s="3" t="s">
        <v>142</v>
      </c>
      <c r="BD3617" s="3" t="s">
        <v>68</v>
      </c>
      <c r="BE3617" s="3" t="s">
        <v>34916</v>
      </c>
      <c r="BF3617" s="3" t="s">
        <v>34915</v>
      </c>
      <c r="BG3617" s="3" t="s">
        <v>34917</v>
      </c>
    </row>
    <row r="3618" spans="1:59" ht="57" x14ac:dyDescent="0.45">
      <c r="A3618" s="2" t="s">
        <v>59</v>
      </c>
      <c r="B3618" s="2" t="s">
        <v>60</v>
      </c>
      <c r="C3618" s="2" t="s">
        <v>34918</v>
      </c>
      <c r="D3618" s="2" t="s">
        <v>34919</v>
      </c>
      <c r="E3618" s="2" t="s">
        <v>34920</v>
      </c>
      <c r="G3618" s="3" t="s">
        <v>62</v>
      </c>
      <c r="I3618" s="3" t="s">
        <v>62</v>
      </c>
      <c r="J3618" s="3" t="s">
        <v>62</v>
      </c>
      <c r="K3618" s="3" t="s">
        <v>63</v>
      </c>
      <c r="L3618" s="2" t="s">
        <v>34921</v>
      </c>
      <c r="M3618" s="2" t="s">
        <v>34922</v>
      </c>
      <c r="N3618" s="3" t="s">
        <v>149</v>
      </c>
      <c r="P3618" s="3" t="s">
        <v>65</v>
      </c>
      <c r="R3618" s="3" t="s">
        <v>66</v>
      </c>
      <c r="S3618" s="4">
        <v>2</v>
      </c>
      <c r="T3618" s="4">
        <v>2</v>
      </c>
      <c r="U3618" s="5" t="s">
        <v>34923</v>
      </c>
      <c r="V3618" s="5" t="s">
        <v>34923</v>
      </c>
      <c r="W3618" s="5" t="s">
        <v>67</v>
      </c>
      <c r="X3618" s="5" t="s">
        <v>67</v>
      </c>
      <c r="Y3618" s="4">
        <v>217</v>
      </c>
      <c r="Z3618" s="4">
        <v>19</v>
      </c>
      <c r="AA3618" s="4">
        <v>47</v>
      </c>
      <c r="AB3618" s="4">
        <v>2</v>
      </c>
      <c r="AC3618" s="4">
        <v>7</v>
      </c>
      <c r="AD3618" s="4">
        <v>64</v>
      </c>
      <c r="AE3618" s="4">
        <v>74</v>
      </c>
      <c r="AF3618" s="4">
        <v>0</v>
      </c>
      <c r="AG3618" s="4">
        <v>0</v>
      </c>
      <c r="AH3618" s="4">
        <v>58</v>
      </c>
      <c r="AI3618" s="4">
        <v>64</v>
      </c>
      <c r="AJ3618" s="4">
        <v>14</v>
      </c>
      <c r="AK3618" s="4">
        <v>16</v>
      </c>
      <c r="AL3618" s="4">
        <v>33</v>
      </c>
      <c r="AM3618" s="4">
        <v>36</v>
      </c>
      <c r="AN3618" s="4">
        <v>0</v>
      </c>
      <c r="AO3618" s="4">
        <v>0</v>
      </c>
      <c r="AP3618" s="4">
        <v>14</v>
      </c>
      <c r="AQ3618" s="4">
        <v>20</v>
      </c>
      <c r="AR3618" s="3" t="s">
        <v>62</v>
      </c>
      <c r="AS3618" s="3" t="s">
        <v>62</v>
      </c>
      <c r="AT3618" s="3" t="s">
        <v>62</v>
      </c>
      <c r="AV3618" s="6" t="str">
        <f>HYPERLINK("http://mcgill.on.worldcat.org/oclc/653079915","Catalog Record")</f>
        <v>Catalog Record</v>
      </c>
      <c r="AW3618" s="6" t="str">
        <f>HYPERLINK("http://www.worldcat.org/oclc/653079915","WorldCat Record")</f>
        <v>WorldCat Record</v>
      </c>
      <c r="AX3618" s="3" t="s">
        <v>34924</v>
      </c>
      <c r="AY3618" s="3" t="s">
        <v>34925</v>
      </c>
      <c r="AZ3618" s="3" t="s">
        <v>34926</v>
      </c>
      <c r="BA3618" s="3" t="s">
        <v>34926</v>
      </c>
      <c r="BB3618" s="3" t="s">
        <v>34927</v>
      </c>
      <c r="BC3618" s="3" t="s">
        <v>142</v>
      </c>
      <c r="BD3618" s="3" t="s">
        <v>68</v>
      </c>
      <c r="BE3618" s="3" t="s">
        <v>34928</v>
      </c>
      <c r="BF3618" s="3" t="s">
        <v>34927</v>
      </c>
      <c r="BG3618" s="3" t="s">
        <v>34929</v>
      </c>
    </row>
    <row r="3619" spans="1:59" ht="57" x14ac:dyDescent="0.45">
      <c r="A3619" s="2" t="s">
        <v>59</v>
      </c>
      <c r="B3619" s="2" t="s">
        <v>60</v>
      </c>
      <c r="C3619" s="2" t="s">
        <v>34930</v>
      </c>
      <c r="D3619" s="2" t="s">
        <v>34931</v>
      </c>
      <c r="E3619" s="2" t="s">
        <v>34932</v>
      </c>
      <c r="G3619" s="3" t="s">
        <v>62</v>
      </c>
      <c r="I3619" s="3" t="s">
        <v>62</v>
      </c>
      <c r="J3619" s="3" t="s">
        <v>62</v>
      </c>
      <c r="K3619" s="3" t="s">
        <v>63</v>
      </c>
      <c r="M3619" s="2" t="s">
        <v>34933</v>
      </c>
      <c r="N3619" s="3" t="s">
        <v>945</v>
      </c>
      <c r="P3619" s="3" t="s">
        <v>65</v>
      </c>
      <c r="R3619" s="3" t="s">
        <v>66</v>
      </c>
      <c r="S3619" s="4">
        <v>3</v>
      </c>
      <c r="T3619" s="4">
        <v>3</v>
      </c>
      <c r="U3619" s="5" t="s">
        <v>34934</v>
      </c>
      <c r="V3619" s="5" t="s">
        <v>34934</v>
      </c>
      <c r="W3619" s="5" t="s">
        <v>67</v>
      </c>
      <c r="X3619" s="5" t="s">
        <v>67</v>
      </c>
      <c r="Y3619" s="4">
        <v>129</v>
      </c>
      <c r="Z3619" s="4">
        <v>14</v>
      </c>
      <c r="AA3619" s="4">
        <v>44</v>
      </c>
      <c r="AB3619" s="4">
        <v>2</v>
      </c>
      <c r="AC3619" s="4">
        <v>13</v>
      </c>
      <c r="AD3619" s="4">
        <v>65</v>
      </c>
      <c r="AE3619" s="4">
        <v>113</v>
      </c>
      <c r="AF3619" s="4">
        <v>1</v>
      </c>
      <c r="AG3619" s="4">
        <v>8</v>
      </c>
      <c r="AH3619" s="4">
        <v>58</v>
      </c>
      <c r="AI3619" s="4">
        <v>86</v>
      </c>
      <c r="AJ3619" s="4">
        <v>9</v>
      </c>
      <c r="AK3619" s="4">
        <v>21</v>
      </c>
      <c r="AL3619" s="4">
        <v>36</v>
      </c>
      <c r="AM3619" s="4">
        <v>49</v>
      </c>
      <c r="AN3619" s="4">
        <v>0</v>
      </c>
      <c r="AO3619" s="4">
        <v>0</v>
      </c>
      <c r="AP3619" s="4">
        <v>11</v>
      </c>
      <c r="AQ3619" s="4">
        <v>35</v>
      </c>
      <c r="AR3619" s="3" t="s">
        <v>62</v>
      </c>
      <c r="AS3619" s="3" t="s">
        <v>62</v>
      </c>
      <c r="AT3619" s="3" t="s">
        <v>62</v>
      </c>
      <c r="AV3619" s="6" t="str">
        <f>HYPERLINK("http://mcgill.on.worldcat.org/oclc/71285563","Catalog Record")</f>
        <v>Catalog Record</v>
      </c>
      <c r="AW3619" s="6" t="str">
        <f>HYPERLINK("http://www.worldcat.org/oclc/71285563","WorldCat Record")</f>
        <v>WorldCat Record</v>
      </c>
      <c r="AX3619" s="3" t="s">
        <v>34935</v>
      </c>
      <c r="AY3619" s="3" t="s">
        <v>34936</v>
      </c>
      <c r="AZ3619" s="3" t="s">
        <v>34937</v>
      </c>
      <c r="BA3619" s="3" t="s">
        <v>34937</v>
      </c>
      <c r="BB3619" s="3" t="s">
        <v>34938</v>
      </c>
      <c r="BC3619" s="3" t="s">
        <v>142</v>
      </c>
      <c r="BD3619" s="3" t="s">
        <v>68</v>
      </c>
      <c r="BE3619" s="3" t="s">
        <v>34939</v>
      </c>
      <c r="BF3619" s="3" t="s">
        <v>34938</v>
      </c>
      <c r="BG3619" s="3" t="s">
        <v>34940</v>
      </c>
    </row>
    <row r="3620" spans="1:59" ht="57" x14ac:dyDescent="0.45">
      <c r="A3620" s="2" t="s">
        <v>59</v>
      </c>
      <c r="B3620" s="2" t="s">
        <v>60</v>
      </c>
      <c r="C3620" s="2" t="s">
        <v>34941</v>
      </c>
      <c r="D3620" s="2" t="s">
        <v>34942</v>
      </c>
      <c r="E3620" s="2" t="s">
        <v>34943</v>
      </c>
      <c r="G3620" s="3" t="s">
        <v>62</v>
      </c>
      <c r="I3620" s="3" t="s">
        <v>61</v>
      </c>
      <c r="J3620" s="3" t="s">
        <v>62</v>
      </c>
      <c r="K3620" s="3" t="s">
        <v>63</v>
      </c>
      <c r="L3620" s="2" t="s">
        <v>34944</v>
      </c>
      <c r="M3620" s="2" t="s">
        <v>34945</v>
      </c>
      <c r="N3620" s="3" t="s">
        <v>122</v>
      </c>
      <c r="P3620" s="3" t="s">
        <v>65</v>
      </c>
      <c r="R3620" s="3" t="s">
        <v>66</v>
      </c>
      <c r="S3620" s="4">
        <v>0</v>
      </c>
      <c r="T3620" s="4">
        <v>10</v>
      </c>
      <c r="V3620" s="5" t="s">
        <v>19657</v>
      </c>
      <c r="W3620" s="5" t="s">
        <v>67</v>
      </c>
      <c r="X3620" s="5" t="s">
        <v>67</v>
      </c>
      <c r="Y3620" s="4">
        <v>275</v>
      </c>
      <c r="Z3620" s="4">
        <v>26</v>
      </c>
      <c r="AA3620" s="4">
        <v>31</v>
      </c>
      <c r="AB3620" s="4">
        <v>3</v>
      </c>
      <c r="AC3620" s="4">
        <v>5</v>
      </c>
      <c r="AD3620" s="4">
        <v>86</v>
      </c>
      <c r="AE3620" s="4">
        <v>107</v>
      </c>
      <c r="AF3620" s="4">
        <v>1</v>
      </c>
      <c r="AG3620" s="4">
        <v>3</v>
      </c>
      <c r="AH3620" s="4">
        <v>75</v>
      </c>
      <c r="AI3620" s="4">
        <v>94</v>
      </c>
      <c r="AJ3620" s="4">
        <v>17</v>
      </c>
      <c r="AK3620" s="4">
        <v>19</v>
      </c>
      <c r="AL3620" s="4">
        <v>40</v>
      </c>
      <c r="AM3620" s="4">
        <v>50</v>
      </c>
      <c r="AN3620" s="4">
        <v>0</v>
      </c>
      <c r="AO3620" s="4">
        <v>0</v>
      </c>
      <c r="AP3620" s="4">
        <v>20</v>
      </c>
      <c r="AQ3620" s="4">
        <v>22</v>
      </c>
      <c r="AR3620" s="3" t="s">
        <v>62</v>
      </c>
      <c r="AS3620" s="3" t="s">
        <v>62</v>
      </c>
      <c r="AT3620" s="3" t="s">
        <v>61</v>
      </c>
      <c r="AU3620" s="6" t="str">
        <f>HYPERLINK("http://catalog.hathitrust.org/Record/000251013","HathiTrust Record")</f>
        <v>HathiTrust Record</v>
      </c>
      <c r="AV3620" s="6" t="str">
        <f>HYPERLINK("http://mcgill.on.worldcat.org/oclc/3001139","Catalog Record")</f>
        <v>Catalog Record</v>
      </c>
      <c r="AW3620" s="6" t="str">
        <f>HYPERLINK("http://www.worldcat.org/oclc/3001139","WorldCat Record")</f>
        <v>WorldCat Record</v>
      </c>
      <c r="AX3620" s="3" t="s">
        <v>34946</v>
      </c>
      <c r="AY3620" s="3" t="s">
        <v>34947</v>
      </c>
      <c r="AZ3620" s="3" t="s">
        <v>34948</v>
      </c>
      <c r="BA3620" s="3" t="s">
        <v>34948</v>
      </c>
      <c r="BB3620" s="3" t="s">
        <v>34949</v>
      </c>
      <c r="BC3620" s="3" t="s">
        <v>142</v>
      </c>
      <c r="BD3620" s="3" t="s">
        <v>68</v>
      </c>
      <c r="BE3620" s="3" t="s">
        <v>34950</v>
      </c>
      <c r="BF3620" s="3" t="s">
        <v>34949</v>
      </c>
      <c r="BG3620" s="3" t="s">
        <v>34951</v>
      </c>
    </row>
    <row r="3621" spans="1:59" ht="57" x14ac:dyDescent="0.45">
      <c r="A3621" s="2" t="s">
        <v>59</v>
      </c>
      <c r="B3621" s="2" t="s">
        <v>60</v>
      </c>
      <c r="C3621" s="2" t="s">
        <v>34941</v>
      </c>
      <c r="D3621" s="2" t="s">
        <v>34942</v>
      </c>
      <c r="E3621" s="2" t="s">
        <v>34943</v>
      </c>
      <c r="G3621" s="3" t="s">
        <v>62</v>
      </c>
      <c r="I3621" s="3" t="s">
        <v>61</v>
      </c>
      <c r="J3621" s="3" t="s">
        <v>62</v>
      </c>
      <c r="K3621" s="3" t="s">
        <v>63</v>
      </c>
      <c r="L3621" s="2" t="s">
        <v>34944</v>
      </c>
      <c r="M3621" s="2" t="s">
        <v>34945</v>
      </c>
      <c r="N3621" s="3" t="s">
        <v>122</v>
      </c>
      <c r="P3621" s="3" t="s">
        <v>65</v>
      </c>
      <c r="R3621" s="3" t="s">
        <v>66</v>
      </c>
      <c r="S3621" s="4">
        <v>10</v>
      </c>
      <c r="T3621" s="4">
        <v>10</v>
      </c>
      <c r="U3621" s="5" t="s">
        <v>19657</v>
      </c>
      <c r="V3621" s="5" t="s">
        <v>19657</v>
      </c>
      <c r="W3621" s="5" t="s">
        <v>67</v>
      </c>
      <c r="X3621" s="5" t="s">
        <v>67</v>
      </c>
      <c r="Y3621" s="4">
        <v>275</v>
      </c>
      <c r="Z3621" s="4">
        <v>26</v>
      </c>
      <c r="AA3621" s="4">
        <v>31</v>
      </c>
      <c r="AB3621" s="4">
        <v>3</v>
      </c>
      <c r="AC3621" s="4">
        <v>5</v>
      </c>
      <c r="AD3621" s="4">
        <v>86</v>
      </c>
      <c r="AE3621" s="4">
        <v>107</v>
      </c>
      <c r="AF3621" s="4">
        <v>1</v>
      </c>
      <c r="AG3621" s="4">
        <v>3</v>
      </c>
      <c r="AH3621" s="4">
        <v>75</v>
      </c>
      <c r="AI3621" s="4">
        <v>94</v>
      </c>
      <c r="AJ3621" s="4">
        <v>17</v>
      </c>
      <c r="AK3621" s="4">
        <v>19</v>
      </c>
      <c r="AL3621" s="4">
        <v>40</v>
      </c>
      <c r="AM3621" s="4">
        <v>50</v>
      </c>
      <c r="AN3621" s="4">
        <v>0</v>
      </c>
      <c r="AO3621" s="4">
        <v>0</v>
      </c>
      <c r="AP3621" s="4">
        <v>20</v>
      </c>
      <c r="AQ3621" s="4">
        <v>22</v>
      </c>
      <c r="AR3621" s="3" t="s">
        <v>62</v>
      </c>
      <c r="AS3621" s="3" t="s">
        <v>62</v>
      </c>
      <c r="AT3621" s="3" t="s">
        <v>61</v>
      </c>
      <c r="AU3621" s="6" t="str">
        <f>HYPERLINK("http://catalog.hathitrust.org/Record/000251013","HathiTrust Record")</f>
        <v>HathiTrust Record</v>
      </c>
      <c r="AV3621" s="6" t="str">
        <f>HYPERLINK("http://mcgill.on.worldcat.org/oclc/3001139","Catalog Record")</f>
        <v>Catalog Record</v>
      </c>
      <c r="AW3621" s="6" t="str">
        <f>HYPERLINK("http://www.worldcat.org/oclc/3001139","WorldCat Record")</f>
        <v>WorldCat Record</v>
      </c>
      <c r="AX3621" s="3" t="s">
        <v>34946</v>
      </c>
      <c r="AY3621" s="3" t="s">
        <v>34947</v>
      </c>
      <c r="AZ3621" s="3" t="s">
        <v>34948</v>
      </c>
      <c r="BA3621" s="3" t="s">
        <v>34948</v>
      </c>
      <c r="BB3621" s="3" t="s">
        <v>34952</v>
      </c>
      <c r="BC3621" s="3" t="s">
        <v>142</v>
      </c>
      <c r="BD3621" s="3" t="s">
        <v>68</v>
      </c>
      <c r="BE3621" s="3" t="s">
        <v>34950</v>
      </c>
      <c r="BF3621" s="3" t="s">
        <v>34952</v>
      </c>
      <c r="BG3621" s="3" t="s">
        <v>34953</v>
      </c>
    </row>
    <row r="3622" spans="1:59" ht="57" x14ac:dyDescent="0.45">
      <c r="A3622" s="2" t="s">
        <v>59</v>
      </c>
      <c r="B3622" s="2" t="s">
        <v>60</v>
      </c>
      <c r="C3622" s="2" t="s">
        <v>34954</v>
      </c>
      <c r="D3622" s="2" t="s">
        <v>34955</v>
      </c>
      <c r="E3622" s="2" t="s">
        <v>34956</v>
      </c>
      <c r="G3622" s="3" t="s">
        <v>62</v>
      </c>
      <c r="I3622" s="3" t="s">
        <v>62</v>
      </c>
      <c r="J3622" s="3" t="s">
        <v>62</v>
      </c>
      <c r="K3622" s="3" t="s">
        <v>63</v>
      </c>
      <c r="L3622" s="2" t="s">
        <v>34957</v>
      </c>
      <c r="M3622" s="2" t="s">
        <v>34958</v>
      </c>
      <c r="N3622" s="3" t="s">
        <v>1918</v>
      </c>
      <c r="P3622" s="3" t="s">
        <v>65</v>
      </c>
      <c r="R3622" s="3" t="s">
        <v>66</v>
      </c>
      <c r="S3622" s="4">
        <v>1</v>
      </c>
      <c r="T3622" s="4">
        <v>1</v>
      </c>
      <c r="U3622" s="5" t="s">
        <v>5871</v>
      </c>
      <c r="V3622" s="5" t="s">
        <v>5871</v>
      </c>
      <c r="W3622" s="5" t="s">
        <v>67</v>
      </c>
      <c r="X3622" s="5" t="s">
        <v>67</v>
      </c>
      <c r="Y3622" s="4">
        <v>46</v>
      </c>
      <c r="Z3622" s="4">
        <v>4</v>
      </c>
      <c r="AA3622" s="4">
        <v>18</v>
      </c>
      <c r="AB3622" s="4">
        <v>1</v>
      </c>
      <c r="AC3622" s="4">
        <v>4</v>
      </c>
      <c r="AD3622" s="4">
        <v>13</v>
      </c>
      <c r="AE3622" s="4">
        <v>56</v>
      </c>
      <c r="AF3622" s="4">
        <v>0</v>
      </c>
      <c r="AG3622" s="4">
        <v>0</v>
      </c>
      <c r="AH3622" s="4">
        <v>12</v>
      </c>
      <c r="AI3622" s="4">
        <v>51</v>
      </c>
      <c r="AJ3622" s="4">
        <v>3</v>
      </c>
      <c r="AK3622" s="4">
        <v>8</v>
      </c>
      <c r="AL3622" s="4">
        <v>9</v>
      </c>
      <c r="AM3622" s="4">
        <v>29</v>
      </c>
      <c r="AN3622" s="4">
        <v>0</v>
      </c>
      <c r="AO3622" s="4">
        <v>0</v>
      </c>
      <c r="AP3622" s="4">
        <v>3</v>
      </c>
      <c r="AQ3622" s="4">
        <v>9</v>
      </c>
      <c r="AR3622" s="3" t="s">
        <v>62</v>
      </c>
      <c r="AS3622" s="3" t="s">
        <v>62</v>
      </c>
      <c r="AT3622" s="3" t="s">
        <v>62</v>
      </c>
      <c r="AV3622" s="6" t="str">
        <f>HYPERLINK("http://mcgill.on.worldcat.org/oclc/987337201","Catalog Record")</f>
        <v>Catalog Record</v>
      </c>
      <c r="AW3622" s="6" t="str">
        <f>HYPERLINK("http://www.worldcat.org/oclc/987337201","WorldCat Record")</f>
        <v>WorldCat Record</v>
      </c>
      <c r="AX3622" s="3" t="s">
        <v>34959</v>
      </c>
      <c r="AY3622" s="3" t="s">
        <v>34960</v>
      </c>
      <c r="AZ3622" s="3" t="s">
        <v>34961</v>
      </c>
      <c r="BA3622" s="3" t="s">
        <v>34961</v>
      </c>
      <c r="BB3622" s="3" t="s">
        <v>34962</v>
      </c>
      <c r="BC3622" s="3" t="s">
        <v>142</v>
      </c>
      <c r="BD3622" s="3" t="s">
        <v>68</v>
      </c>
      <c r="BE3622" s="3" t="s">
        <v>34963</v>
      </c>
      <c r="BF3622" s="3" t="s">
        <v>34962</v>
      </c>
      <c r="BG3622" s="3" t="s">
        <v>34964</v>
      </c>
    </row>
    <row r="3623" spans="1:59" ht="57" x14ac:dyDescent="0.45">
      <c r="A3623" s="2" t="s">
        <v>59</v>
      </c>
      <c r="B3623" s="2" t="s">
        <v>60</v>
      </c>
      <c r="C3623" s="2" t="s">
        <v>34965</v>
      </c>
      <c r="D3623" s="2" t="s">
        <v>34966</v>
      </c>
      <c r="E3623" s="2" t="s">
        <v>34967</v>
      </c>
      <c r="G3623" s="3" t="s">
        <v>62</v>
      </c>
      <c r="I3623" s="3" t="s">
        <v>62</v>
      </c>
      <c r="J3623" s="3" t="s">
        <v>62</v>
      </c>
      <c r="K3623" s="3" t="s">
        <v>63</v>
      </c>
      <c r="M3623" s="2" t="s">
        <v>34968</v>
      </c>
      <c r="N3623" s="3" t="s">
        <v>970</v>
      </c>
      <c r="P3623" s="3" t="s">
        <v>65</v>
      </c>
      <c r="Q3623" s="2" t="s">
        <v>34969</v>
      </c>
      <c r="R3623" s="3" t="s">
        <v>66</v>
      </c>
      <c r="S3623" s="4">
        <v>6</v>
      </c>
      <c r="T3623" s="4">
        <v>6</v>
      </c>
      <c r="U3623" s="5" t="s">
        <v>34970</v>
      </c>
      <c r="V3623" s="5" t="s">
        <v>34970</v>
      </c>
      <c r="W3623" s="5" t="s">
        <v>67</v>
      </c>
      <c r="X3623" s="5" t="s">
        <v>67</v>
      </c>
      <c r="Y3623" s="4">
        <v>209</v>
      </c>
      <c r="Z3623" s="4">
        <v>12</v>
      </c>
      <c r="AA3623" s="4">
        <v>12</v>
      </c>
      <c r="AB3623" s="4">
        <v>1</v>
      </c>
      <c r="AC3623" s="4">
        <v>1</v>
      </c>
      <c r="AD3623" s="4">
        <v>82</v>
      </c>
      <c r="AE3623" s="4">
        <v>82</v>
      </c>
      <c r="AF3623" s="4">
        <v>0</v>
      </c>
      <c r="AG3623" s="4">
        <v>0</v>
      </c>
      <c r="AH3623" s="4">
        <v>77</v>
      </c>
      <c r="AI3623" s="4">
        <v>77</v>
      </c>
      <c r="AJ3623" s="4">
        <v>9</v>
      </c>
      <c r="AK3623" s="4">
        <v>9</v>
      </c>
      <c r="AL3623" s="4">
        <v>50</v>
      </c>
      <c r="AM3623" s="4">
        <v>50</v>
      </c>
      <c r="AN3623" s="4">
        <v>0</v>
      </c>
      <c r="AO3623" s="4">
        <v>0</v>
      </c>
      <c r="AP3623" s="4">
        <v>9</v>
      </c>
      <c r="AQ3623" s="4">
        <v>9</v>
      </c>
      <c r="AR3623" s="3" t="s">
        <v>62</v>
      </c>
      <c r="AS3623" s="3" t="s">
        <v>62</v>
      </c>
      <c r="AT3623" s="3" t="s">
        <v>62</v>
      </c>
      <c r="AV3623" s="6" t="str">
        <f>HYPERLINK("http://mcgill.on.worldcat.org/oclc/50251978","Catalog Record")</f>
        <v>Catalog Record</v>
      </c>
      <c r="AW3623" s="6" t="str">
        <f>HYPERLINK("http://www.worldcat.org/oclc/50251978","WorldCat Record")</f>
        <v>WorldCat Record</v>
      </c>
      <c r="AX3623" s="3" t="s">
        <v>34971</v>
      </c>
      <c r="AY3623" s="3" t="s">
        <v>34972</v>
      </c>
      <c r="AZ3623" s="3" t="s">
        <v>34973</v>
      </c>
      <c r="BA3623" s="3" t="s">
        <v>34973</v>
      </c>
      <c r="BB3623" s="3" t="s">
        <v>34974</v>
      </c>
      <c r="BC3623" s="3" t="s">
        <v>142</v>
      </c>
      <c r="BD3623" s="3" t="s">
        <v>68</v>
      </c>
      <c r="BE3623" s="3" t="s">
        <v>34975</v>
      </c>
      <c r="BF3623" s="3" t="s">
        <v>34974</v>
      </c>
      <c r="BG3623" s="3" t="s">
        <v>34976</v>
      </c>
    </row>
    <row r="3624" spans="1:59" ht="57" x14ac:dyDescent="0.45">
      <c r="A3624" s="2" t="s">
        <v>59</v>
      </c>
      <c r="B3624" s="2" t="s">
        <v>60</v>
      </c>
      <c r="C3624" s="2" t="s">
        <v>34977</v>
      </c>
      <c r="D3624" s="2" t="s">
        <v>34978</v>
      </c>
      <c r="E3624" s="2" t="s">
        <v>34979</v>
      </c>
      <c r="G3624" s="3" t="s">
        <v>62</v>
      </c>
      <c r="I3624" s="3" t="s">
        <v>62</v>
      </c>
      <c r="J3624" s="3" t="s">
        <v>62</v>
      </c>
      <c r="K3624" s="3" t="s">
        <v>63</v>
      </c>
      <c r="M3624" s="2" t="s">
        <v>34980</v>
      </c>
      <c r="N3624" s="3" t="s">
        <v>149</v>
      </c>
      <c r="P3624" s="3" t="s">
        <v>65</v>
      </c>
      <c r="Q3624" s="2" t="s">
        <v>34981</v>
      </c>
      <c r="R3624" s="3" t="s">
        <v>66</v>
      </c>
      <c r="S3624" s="4">
        <v>4</v>
      </c>
      <c r="T3624" s="4">
        <v>4</v>
      </c>
      <c r="U3624" s="5" t="s">
        <v>34923</v>
      </c>
      <c r="V3624" s="5" t="s">
        <v>34923</v>
      </c>
      <c r="W3624" s="5" t="s">
        <v>67</v>
      </c>
      <c r="X3624" s="5" t="s">
        <v>67</v>
      </c>
      <c r="Y3624" s="4">
        <v>242</v>
      </c>
      <c r="Z3624" s="4">
        <v>22</v>
      </c>
      <c r="AA3624" s="4">
        <v>26</v>
      </c>
      <c r="AB3624" s="4">
        <v>1</v>
      </c>
      <c r="AC3624" s="4">
        <v>4</v>
      </c>
      <c r="AD3624" s="4">
        <v>87</v>
      </c>
      <c r="AE3624" s="4">
        <v>91</v>
      </c>
      <c r="AF3624" s="4">
        <v>0</v>
      </c>
      <c r="AG3624" s="4">
        <v>3</v>
      </c>
      <c r="AH3624" s="4">
        <v>77</v>
      </c>
      <c r="AI3624" s="4">
        <v>78</v>
      </c>
      <c r="AJ3624" s="4">
        <v>13</v>
      </c>
      <c r="AK3624" s="4">
        <v>16</v>
      </c>
      <c r="AL3624" s="4">
        <v>46</v>
      </c>
      <c r="AM3624" s="4">
        <v>46</v>
      </c>
      <c r="AN3624" s="4">
        <v>0</v>
      </c>
      <c r="AO3624" s="4">
        <v>0</v>
      </c>
      <c r="AP3624" s="4">
        <v>17</v>
      </c>
      <c r="AQ3624" s="4">
        <v>20</v>
      </c>
      <c r="AR3624" s="3" t="s">
        <v>62</v>
      </c>
      <c r="AS3624" s="3" t="s">
        <v>62</v>
      </c>
      <c r="AT3624" s="3" t="s">
        <v>62</v>
      </c>
      <c r="AV3624" s="6" t="str">
        <f>HYPERLINK("http://mcgill.on.worldcat.org/oclc/437083041","Catalog Record")</f>
        <v>Catalog Record</v>
      </c>
      <c r="AW3624" s="6" t="str">
        <f>HYPERLINK("http://www.worldcat.org/oclc/437083041","WorldCat Record")</f>
        <v>WorldCat Record</v>
      </c>
      <c r="AX3624" s="3" t="s">
        <v>34982</v>
      </c>
      <c r="AY3624" s="3" t="s">
        <v>34983</v>
      </c>
      <c r="AZ3624" s="3" t="s">
        <v>34984</v>
      </c>
      <c r="BA3624" s="3" t="s">
        <v>34984</v>
      </c>
      <c r="BB3624" s="3" t="s">
        <v>34985</v>
      </c>
      <c r="BC3624" s="3" t="s">
        <v>142</v>
      </c>
      <c r="BD3624" s="3" t="s">
        <v>68</v>
      </c>
      <c r="BE3624" s="3" t="s">
        <v>34986</v>
      </c>
      <c r="BF3624" s="3" t="s">
        <v>34985</v>
      </c>
      <c r="BG3624" s="3" t="s">
        <v>34987</v>
      </c>
    </row>
    <row r="3625" spans="1:59" ht="57" x14ac:dyDescent="0.45">
      <c r="A3625" s="2" t="s">
        <v>59</v>
      </c>
      <c r="B3625" s="2" t="s">
        <v>60</v>
      </c>
      <c r="C3625" s="2" t="s">
        <v>34988</v>
      </c>
      <c r="D3625" s="2" t="s">
        <v>34989</v>
      </c>
      <c r="E3625" s="2" t="s">
        <v>34990</v>
      </c>
      <c r="G3625" s="3" t="s">
        <v>62</v>
      </c>
      <c r="I3625" s="3" t="s">
        <v>62</v>
      </c>
      <c r="J3625" s="3" t="s">
        <v>62</v>
      </c>
      <c r="K3625" s="3" t="s">
        <v>63</v>
      </c>
      <c r="L3625" s="2" t="s">
        <v>34991</v>
      </c>
      <c r="M3625" s="2" t="s">
        <v>905</v>
      </c>
      <c r="N3625" s="3" t="s">
        <v>149</v>
      </c>
      <c r="P3625" s="3" t="s">
        <v>65</v>
      </c>
      <c r="R3625" s="3" t="s">
        <v>66</v>
      </c>
      <c r="S3625" s="4">
        <v>6</v>
      </c>
      <c r="T3625" s="4">
        <v>6</v>
      </c>
      <c r="U3625" s="5" t="s">
        <v>34992</v>
      </c>
      <c r="V3625" s="5" t="s">
        <v>34992</v>
      </c>
      <c r="W3625" s="5" t="s">
        <v>67</v>
      </c>
      <c r="X3625" s="5" t="s">
        <v>67</v>
      </c>
      <c r="Y3625" s="4">
        <v>516</v>
      </c>
      <c r="Z3625" s="4">
        <v>41</v>
      </c>
      <c r="AA3625" s="4">
        <v>100</v>
      </c>
      <c r="AB3625" s="4">
        <v>4</v>
      </c>
      <c r="AC3625" s="4">
        <v>17</v>
      </c>
      <c r="AD3625" s="4">
        <v>104</v>
      </c>
      <c r="AE3625" s="4">
        <v>143</v>
      </c>
      <c r="AF3625" s="4">
        <v>1</v>
      </c>
      <c r="AG3625" s="4">
        <v>8</v>
      </c>
      <c r="AH3625" s="4">
        <v>86</v>
      </c>
      <c r="AI3625" s="4">
        <v>104</v>
      </c>
      <c r="AJ3625" s="4">
        <v>18</v>
      </c>
      <c r="AK3625" s="4">
        <v>26</v>
      </c>
      <c r="AL3625" s="4">
        <v>49</v>
      </c>
      <c r="AM3625" s="4">
        <v>54</v>
      </c>
      <c r="AN3625" s="4">
        <v>0</v>
      </c>
      <c r="AO3625" s="4">
        <v>0</v>
      </c>
      <c r="AP3625" s="4">
        <v>28</v>
      </c>
      <c r="AQ3625" s="4">
        <v>49</v>
      </c>
      <c r="AR3625" s="3" t="s">
        <v>62</v>
      </c>
      <c r="AS3625" s="3" t="s">
        <v>62</v>
      </c>
      <c r="AT3625" s="3" t="s">
        <v>62</v>
      </c>
      <c r="AV3625" s="6" t="str">
        <f>HYPERLINK("http://mcgill.on.worldcat.org/oclc/428024376","Catalog Record")</f>
        <v>Catalog Record</v>
      </c>
      <c r="AW3625" s="6" t="str">
        <f>HYPERLINK("http://www.worldcat.org/oclc/428024376","WorldCat Record")</f>
        <v>WorldCat Record</v>
      </c>
      <c r="AX3625" s="3" t="s">
        <v>34993</v>
      </c>
      <c r="AY3625" s="3" t="s">
        <v>34994</v>
      </c>
      <c r="AZ3625" s="3" t="s">
        <v>34995</v>
      </c>
      <c r="BA3625" s="3" t="s">
        <v>34995</v>
      </c>
      <c r="BB3625" s="3" t="s">
        <v>34996</v>
      </c>
      <c r="BC3625" s="3" t="s">
        <v>142</v>
      </c>
      <c r="BD3625" s="3" t="s">
        <v>68</v>
      </c>
      <c r="BE3625" s="3" t="s">
        <v>34997</v>
      </c>
      <c r="BF3625" s="3" t="s">
        <v>34996</v>
      </c>
      <c r="BG3625" s="3" t="s">
        <v>34998</v>
      </c>
    </row>
    <row r="3626" spans="1:59" ht="57" x14ac:dyDescent="0.45">
      <c r="A3626" s="2" t="s">
        <v>59</v>
      </c>
      <c r="B3626" s="2" t="s">
        <v>60</v>
      </c>
      <c r="C3626" s="2" t="s">
        <v>34999</v>
      </c>
      <c r="D3626" s="2" t="s">
        <v>35000</v>
      </c>
      <c r="E3626" s="2" t="s">
        <v>35001</v>
      </c>
      <c r="G3626" s="3" t="s">
        <v>62</v>
      </c>
      <c r="I3626" s="3" t="s">
        <v>62</v>
      </c>
      <c r="J3626" s="3" t="s">
        <v>62</v>
      </c>
      <c r="K3626" s="3" t="s">
        <v>63</v>
      </c>
      <c r="L3626" s="2" t="s">
        <v>35002</v>
      </c>
      <c r="M3626" s="2" t="s">
        <v>17897</v>
      </c>
      <c r="N3626" s="3" t="s">
        <v>1155</v>
      </c>
      <c r="P3626" s="3" t="s">
        <v>65</v>
      </c>
      <c r="Q3626" s="2" t="s">
        <v>35003</v>
      </c>
      <c r="R3626" s="3" t="s">
        <v>66</v>
      </c>
      <c r="S3626" s="4">
        <v>2</v>
      </c>
      <c r="T3626" s="4">
        <v>2</v>
      </c>
      <c r="U3626" s="5" t="s">
        <v>22574</v>
      </c>
      <c r="V3626" s="5" t="s">
        <v>22574</v>
      </c>
      <c r="W3626" s="5" t="s">
        <v>67</v>
      </c>
      <c r="X3626" s="5" t="s">
        <v>67</v>
      </c>
      <c r="Y3626" s="4">
        <v>215</v>
      </c>
      <c r="Z3626" s="4">
        <v>19</v>
      </c>
      <c r="AA3626" s="4">
        <v>83</v>
      </c>
      <c r="AB3626" s="4">
        <v>2</v>
      </c>
      <c r="AC3626" s="4">
        <v>14</v>
      </c>
      <c r="AD3626" s="4">
        <v>75</v>
      </c>
      <c r="AE3626" s="4">
        <v>123</v>
      </c>
      <c r="AF3626" s="4">
        <v>1</v>
      </c>
      <c r="AG3626" s="4">
        <v>8</v>
      </c>
      <c r="AH3626" s="4">
        <v>63</v>
      </c>
      <c r="AI3626" s="4">
        <v>85</v>
      </c>
      <c r="AJ3626" s="4">
        <v>12</v>
      </c>
      <c r="AK3626" s="4">
        <v>24</v>
      </c>
      <c r="AL3626" s="4">
        <v>39</v>
      </c>
      <c r="AM3626" s="4">
        <v>48</v>
      </c>
      <c r="AN3626" s="4">
        <v>0</v>
      </c>
      <c r="AO3626" s="4">
        <v>0</v>
      </c>
      <c r="AP3626" s="4">
        <v>17</v>
      </c>
      <c r="AQ3626" s="4">
        <v>46</v>
      </c>
      <c r="AR3626" s="3" t="s">
        <v>62</v>
      </c>
      <c r="AS3626" s="3" t="s">
        <v>62</v>
      </c>
      <c r="AT3626" s="3" t="s">
        <v>62</v>
      </c>
      <c r="AV3626" s="6" t="str">
        <f>HYPERLINK("http://mcgill.on.worldcat.org/oclc/755065943","Catalog Record")</f>
        <v>Catalog Record</v>
      </c>
      <c r="AW3626" s="6" t="str">
        <f>HYPERLINK("http://www.worldcat.org/oclc/755065943","WorldCat Record")</f>
        <v>WorldCat Record</v>
      </c>
      <c r="AX3626" s="3" t="s">
        <v>35004</v>
      </c>
      <c r="AY3626" s="3" t="s">
        <v>35005</v>
      </c>
      <c r="AZ3626" s="3" t="s">
        <v>35006</v>
      </c>
      <c r="BA3626" s="3" t="s">
        <v>35006</v>
      </c>
      <c r="BB3626" s="3" t="s">
        <v>35007</v>
      </c>
      <c r="BC3626" s="3" t="s">
        <v>142</v>
      </c>
      <c r="BD3626" s="3" t="s">
        <v>68</v>
      </c>
      <c r="BE3626" s="3" t="s">
        <v>35008</v>
      </c>
      <c r="BF3626" s="3" t="s">
        <v>35007</v>
      </c>
      <c r="BG3626" s="3" t="s">
        <v>35009</v>
      </c>
    </row>
    <row r="3627" spans="1:59" ht="57" x14ac:dyDescent="0.45">
      <c r="A3627" s="2" t="s">
        <v>59</v>
      </c>
      <c r="B3627" s="2" t="s">
        <v>60</v>
      </c>
      <c r="C3627" s="2" t="s">
        <v>35010</v>
      </c>
      <c r="D3627" s="2" t="s">
        <v>35011</v>
      </c>
      <c r="E3627" s="2" t="s">
        <v>35012</v>
      </c>
      <c r="G3627" s="3" t="s">
        <v>62</v>
      </c>
      <c r="I3627" s="3" t="s">
        <v>62</v>
      </c>
      <c r="J3627" s="3" t="s">
        <v>62</v>
      </c>
      <c r="K3627" s="3" t="s">
        <v>63</v>
      </c>
      <c r="L3627" s="2" t="s">
        <v>35013</v>
      </c>
      <c r="M3627" s="2" t="s">
        <v>35014</v>
      </c>
      <c r="N3627" s="3" t="s">
        <v>149</v>
      </c>
      <c r="P3627" s="3" t="s">
        <v>65</v>
      </c>
      <c r="R3627" s="3" t="s">
        <v>66</v>
      </c>
      <c r="S3627" s="4">
        <v>1</v>
      </c>
      <c r="T3627" s="4">
        <v>1</v>
      </c>
      <c r="U3627" s="5" t="s">
        <v>35015</v>
      </c>
      <c r="V3627" s="5" t="s">
        <v>35015</v>
      </c>
      <c r="W3627" s="5" t="s">
        <v>67</v>
      </c>
      <c r="X3627" s="5" t="s">
        <v>67</v>
      </c>
      <c r="Y3627" s="4">
        <v>56</v>
      </c>
      <c r="Z3627" s="4">
        <v>9</v>
      </c>
      <c r="AA3627" s="4">
        <v>85</v>
      </c>
      <c r="AB3627" s="4">
        <v>1</v>
      </c>
      <c r="AC3627" s="4">
        <v>15</v>
      </c>
      <c r="AD3627" s="4">
        <v>26</v>
      </c>
      <c r="AE3627" s="4">
        <v>94</v>
      </c>
      <c r="AF3627" s="4">
        <v>0</v>
      </c>
      <c r="AG3627" s="4">
        <v>8</v>
      </c>
      <c r="AH3627" s="4">
        <v>24</v>
      </c>
      <c r="AI3627" s="4">
        <v>62</v>
      </c>
      <c r="AJ3627" s="4">
        <v>7</v>
      </c>
      <c r="AK3627" s="4">
        <v>20</v>
      </c>
      <c r="AL3627" s="4">
        <v>15</v>
      </c>
      <c r="AM3627" s="4">
        <v>31</v>
      </c>
      <c r="AN3627" s="4">
        <v>0</v>
      </c>
      <c r="AO3627" s="4">
        <v>0</v>
      </c>
      <c r="AP3627" s="4">
        <v>7</v>
      </c>
      <c r="AQ3627" s="4">
        <v>40</v>
      </c>
      <c r="AR3627" s="3" t="s">
        <v>62</v>
      </c>
      <c r="AS3627" s="3" t="s">
        <v>62</v>
      </c>
      <c r="AT3627" s="3" t="s">
        <v>62</v>
      </c>
      <c r="AV3627" s="6" t="str">
        <f>HYPERLINK("http://mcgill.on.worldcat.org/oclc/496951691","Catalog Record")</f>
        <v>Catalog Record</v>
      </c>
      <c r="AW3627" s="6" t="str">
        <f>HYPERLINK("http://www.worldcat.org/oclc/496951691","WorldCat Record")</f>
        <v>WorldCat Record</v>
      </c>
      <c r="AX3627" s="3" t="s">
        <v>35016</v>
      </c>
      <c r="AY3627" s="3" t="s">
        <v>35017</v>
      </c>
      <c r="AZ3627" s="3" t="s">
        <v>35018</v>
      </c>
      <c r="BA3627" s="3" t="s">
        <v>35018</v>
      </c>
      <c r="BB3627" s="3" t="s">
        <v>35019</v>
      </c>
      <c r="BC3627" s="3" t="s">
        <v>142</v>
      </c>
      <c r="BD3627" s="3" t="s">
        <v>68</v>
      </c>
      <c r="BE3627" s="3" t="s">
        <v>35020</v>
      </c>
      <c r="BF3627" s="3" t="s">
        <v>35019</v>
      </c>
      <c r="BG3627" s="3" t="s">
        <v>35021</v>
      </c>
    </row>
    <row r="3628" spans="1:59" ht="57" x14ac:dyDescent="0.45">
      <c r="A3628" s="2" t="s">
        <v>59</v>
      </c>
      <c r="B3628" s="2" t="s">
        <v>60</v>
      </c>
      <c r="C3628" s="2" t="s">
        <v>35022</v>
      </c>
      <c r="D3628" s="2" t="s">
        <v>35023</v>
      </c>
      <c r="E3628" s="2" t="s">
        <v>35024</v>
      </c>
      <c r="G3628" s="3" t="s">
        <v>62</v>
      </c>
      <c r="I3628" s="3" t="s">
        <v>62</v>
      </c>
      <c r="J3628" s="3" t="s">
        <v>62</v>
      </c>
      <c r="K3628" s="3" t="s">
        <v>63</v>
      </c>
      <c r="L3628" s="2" t="s">
        <v>35025</v>
      </c>
      <c r="M3628" s="2" t="s">
        <v>35026</v>
      </c>
      <c r="N3628" s="3" t="s">
        <v>181</v>
      </c>
      <c r="O3628" s="2" t="s">
        <v>1748</v>
      </c>
      <c r="P3628" s="3" t="s">
        <v>65</v>
      </c>
      <c r="Q3628" s="2" t="s">
        <v>35027</v>
      </c>
      <c r="R3628" s="3" t="s">
        <v>66</v>
      </c>
      <c r="S3628" s="4">
        <v>2</v>
      </c>
      <c r="T3628" s="4">
        <v>2</v>
      </c>
      <c r="U3628" s="5" t="s">
        <v>35028</v>
      </c>
      <c r="V3628" s="5" t="s">
        <v>35028</v>
      </c>
      <c r="W3628" s="5" t="s">
        <v>67</v>
      </c>
      <c r="X3628" s="5" t="s">
        <v>67</v>
      </c>
      <c r="Y3628" s="4">
        <v>188</v>
      </c>
      <c r="Z3628" s="4">
        <v>8</v>
      </c>
      <c r="AA3628" s="4">
        <v>8</v>
      </c>
      <c r="AB3628" s="4">
        <v>1</v>
      </c>
      <c r="AC3628" s="4">
        <v>1</v>
      </c>
      <c r="AD3628" s="4">
        <v>37</v>
      </c>
      <c r="AE3628" s="4">
        <v>37</v>
      </c>
      <c r="AF3628" s="4">
        <v>0</v>
      </c>
      <c r="AG3628" s="4">
        <v>0</v>
      </c>
      <c r="AH3628" s="4">
        <v>36</v>
      </c>
      <c r="AI3628" s="4">
        <v>36</v>
      </c>
      <c r="AJ3628" s="4">
        <v>3</v>
      </c>
      <c r="AK3628" s="4">
        <v>3</v>
      </c>
      <c r="AL3628" s="4">
        <v>27</v>
      </c>
      <c r="AM3628" s="4">
        <v>27</v>
      </c>
      <c r="AN3628" s="4">
        <v>0</v>
      </c>
      <c r="AO3628" s="4">
        <v>0</v>
      </c>
      <c r="AP3628" s="4">
        <v>3</v>
      </c>
      <c r="AQ3628" s="4">
        <v>3</v>
      </c>
      <c r="AR3628" s="3" t="s">
        <v>62</v>
      </c>
      <c r="AS3628" s="3" t="s">
        <v>62</v>
      </c>
      <c r="AT3628" s="3" t="s">
        <v>62</v>
      </c>
      <c r="AV3628" s="6" t="str">
        <f>HYPERLINK("http://mcgill.on.worldcat.org/oclc/940362000","Catalog Record")</f>
        <v>Catalog Record</v>
      </c>
      <c r="AW3628" s="6" t="str">
        <f>HYPERLINK("http://www.worldcat.org/oclc/940362000","WorldCat Record")</f>
        <v>WorldCat Record</v>
      </c>
      <c r="AX3628" s="3" t="s">
        <v>35029</v>
      </c>
      <c r="AY3628" s="3" t="s">
        <v>35030</v>
      </c>
      <c r="AZ3628" s="3" t="s">
        <v>35031</v>
      </c>
      <c r="BA3628" s="3" t="s">
        <v>35031</v>
      </c>
      <c r="BB3628" s="3" t="s">
        <v>35032</v>
      </c>
      <c r="BC3628" s="3" t="s">
        <v>142</v>
      </c>
      <c r="BD3628" s="3" t="s">
        <v>8544</v>
      </c>
      <c r="BE3628" s="3" t="s">
        <v>35033</v>
      </c>
      <c r="BF3628" s="3" t="s">
        <v>35032</v>
      </c>
      <c r="BG3628" s="3" t="s">
        <v>35034</v>
      </c>
    </row>
    <row r="3629" spans="1:59" ht="57" x14ac:dyDescent="0.45">
      <c r="A3629" s="2" t="s">
        <v>59</v>
      </c>
      <c r="B3629" s="2" t="s">
        <v>60</v>
      </c>
      <c r="C3629" s="2" t="s">
        <v>35035</v>
      </c>
      <c r="D3629" s="2" t="s">
        <v>35036</v>
      </c>
      <c r="E3629" s="2" t="s">
        <v>35037</v>
      </c>
      <c r="G3629" s="3" t="s">
        <v>62</v>
      </c>
      <c r="I3629" s="3" t="s">
        <v>62</v>
      </c>
      <c r="J3629" s="3" t="s">
        <v>62</v>
      </c>
      <c r="K3629" s="3" t="s">
        <v>63</v>
      </c>
      <c r="L3629" s="2" t="s">
        <v>35038</v>
      </c>
      <c r="M3629" s="2" t="s">
        <v>893</v>
      </c>
      <c r="N3629" s="3" t="s">
        <v>894</v>
      </c>
      <c r="P3629" s="3" t="s">
        <v>65</v>
      </c>
      <c r="R3629" s="3" t="s">
        <v>66</v>
      </c>
      <c r="S3629" s="4">
        <v>3</v>
      </c>
      <c r="T3629" s="4">
        <v>3</v>
      </c>
      <c r="U3629" s="5" t="s">
        <v>15699</v>
      </c>
      <c r="V3629" s="5" t="s">
        <v>15699</v>
      </c>
      <c r="W3629" s="5" t="s">
        <v>67</v>
      </c>
      <c r="X3629" s="5" t="s">
        <v>67</v>
      </c>
      <c r="Y3629" s="4">
        <v>204</v>
      </c>
      <c r="Z3629" s="4">
        <v>18</v>
      </c>
      <c r="AA3629" s="4">
        <v>83</v>
      </c>
      <c r="AB3629" s="4">
        <v>1</v>
      </c>
      <c r="AC3629" s="4">
        <v>14</v>
      </c>
      <c r="AD3629" s="4">
        <v>75</v>
      </c>
      <c r="AE3629" s="4">
        <v>126</v>
      </c>
      <c r="AF3629" s="4">
        <v>0</v>
      </c>
      <c r="AG3629" s="4">
        <v>8</v>
      </c>
      <c r="AH3629" s="4">
        <v>66</v>
      </c>
      <c r="AI3629" s="4">
        <v>89</v>
      </c>
      <c r="AJ3629" s="4">
        <v>12</v>
      </c>
      <c r="AK3629" s="4">
        <v>26</v>
      </c>
      <c r="AL3629" s="4">
        <v>41</v>
      </c>
      <c r="AM3629" s="4">
        <v>51</v>
      </c>
      <c r="AN3629" s="4">
        <v>0</v>
      </c>
      <c r="AO3629" s="4">
        <v>0</v>
      </c>
      <c r="AP3629" s="4">
        <v>15</v>
      </c>
      <c r="AQ3629" s="4">
        <v>46</v>
      </c>
      <c r="AR3629" s="3" t="s">
        <v>62</v>
      </c>
      <c r="AS3629" s="3" t="s">
        <v>62</v>
      </c>
      <c r="AT3629" s="3" t="s">
        <v>62</v>
      </c>
      <c r="AV3629" s="6" t="str">
        <f>HYPERLINK("http://mcgill.on.worldcat.org/oclc/656771874","Catalog Record")</f>
        <v>Catalog Record</v>
      </c>
      <c r="AW3629" s="6" t="str">
        <f>HYPERLINK("http://www.worldcat.org/oclc/656771874","WorldCat Record")</f>
        <v>WorldCat Record</v>
      </c>
      <c r="AX3629" s="3" t="s">
        <v>35039</v>
      </c>
      <c r="AY3629" s="3" t="s">
        <v>35040</v>
      </c>
      <c r="AZ3629" s="3" t="s">
        <v>35041</v>
      </c>
      <c r="BA3629" s="3" t="s">
        <v>35041</v>
      </c>
      <c r="BB3629" s="3" t="s">
        <v>35042</v>
      </c>
      <c r="BC3629" s="3" t="s">
        <v>142</v>
      </c>
      <c r="BD3629" s="3" t="s">
        <v>8544</v>
      </c>
      <c r="BE3629" s="3" t="s">
        <v>35043</v>
      </c>
      <c r="BF3629" s="3" t="s">
        <v>35042</v>
      </c>
      <c r="BG3629" s="3" t="s">
        <v>35044</v>
      </c>
    </row>
    <row r="3630" spans="1:59" ht="57" x14ac:dyDescent="0.45">
      <c r="A3630" s="2" t="s">
        <v>59</v>
      </c>
      <c r="B3630" s="2" t="s">
        <v>60</v>
      </c>
      <c r="C3630" s="2" t="s">
        <v>35045</v>
      </c>
      <c r="D3630" s="2" t="s">
        <v>35046</v>
      </c>
      <c r="E3630" s="2" t="s">
        <v>35047</v>
      </c>
      <c r="G3630" s="3" t="s">
        <v>62</v>
      </c>
      <c r="I3630" s="3" t="s">
        <v>62</v>
      </c>
      <c r="J3630" s="3" t="s">
        <v>62</v>
      </c>
      <c r="K3630" s="3" t="s">
        <v>63</v>
      </c>
      <c r="L3630" s="2" t="s">
        <v>35048</v>
      </c>
      <c r="M3630" s="2" t="s">
        <v>35049</v>
      </c>
      <c r="N3630" s="3" t="s">
        <v>1437</v>
      </c>
      <c r="P3630" s="3" t="s">
        <v>65</v>
      </c>
      <c r="R3630" s="3" t="s">
        <v>66</v>
      </c>
      <c r="S3630" s="4">
        <v>19</v>
      </c>
      <c r="T3630" s="4">
        <v>19</v>
      </c>
      <c r="U3630" s="5" t="s">
        <v>20775</v>
      </c>
      <c r="V3630" s="5" t="s">
        <v>20775</v>
      </c>
      <c r="W3630" s="5" t="s">
        <v>67</v>
      </c>
      <c r="X3630" s="5" t="s">
        <v>67</v>
      </c>
      <c r="Y3630" s="4">
        <v>877</v>
      </c>
      <c r="Z3630" s="4">
        <v>38</v>
      </c>
      <c r="AA3630" s="4">
        <v>39</v>
      </c>
      <c r="AB3630" s="4">
        <v>3</v>
      </c>
      <c r="AC3630" s="4">
        <v>4</v>
      </c>
      <c r="AD3630" s="4">
        <v>120</v>
      </c>
      <c r="AE3630" s="4">
        <v>121</v>
      </c>
      <c r="AF3630" s="4">
        <v>2</v>
      </c>
      <c r="AG3630" s="4">
        <v>3</v>
      </c>
      <c r="AH3630" s="4">
        <v>102</v>
      </c>
      <c r="AI3630" s="4">
        <v>102</v>
      </c>
      <c r="AJ3630" s="4">
        <v>18</v>
      </c>
      <c r="AK3630" s="4">
        <v>19</v>
      </c>
      <c r="AL3630" s="4">
        <v>53</v>
      </c>
      <c r="AM3630" s="4">
        <v>53</v>
      </c>
      <c r="AN3630" s="4">
        <v>0</v>
      </c>
      <c r="AO3630" s="4">
        <v>0</v>
      </c>
      <c r="AP3630" s="4">
        <v>25</v>
      </c>
      <c r="AQ3630" s="4">
        <v>25</v>
      </c>
      <c r="AR3630" s="3" t="s">
        <v>62</v>
      </c>
      <c r="AS3630" s="3" t="s">
        <v>62</v>
      </c>
      <c r="AT3630" s="3" t="s">
        <v>62</v>
      </c>
      <c r="AV3630" s="6" t="str">
        <f>HYPERLINK("http://mcgill.on.worldcat.org/oclc/36877398","Catalog Record")</f>
        <v>Catalog Record</v>
      </c>
      <c r="AW3630" s="6" t="str">
        <f>HYPERLINK("http://www.worldcat.org/oclc/36877398","WorldCat Record")</f>
        <v>WorldCat Record</v>
      </c>
      <c r="AX3630" s="3" t="s">
        <v>35050</v>
      </c>
      <c r="AY3630" s="3" t="s">
        <v>35051</v>
      </c>
      <c r="AZ3630" s="3" t="s">
        <v>35052</v>
      </c>
      <c r="BA3630" s="3" t="s">
        <v>35052</v>
      </c>
      <c r="BB3630" s="3" t="s">
        <v>35053</v>
      </c>
      <c r="BC3630" s="3" t="s">
        <v>142</v>
      </c>
      <c r="BD3630" s="3" t="s">
        <v>68</v>
      </c>
      <c r="BE3630" s="3" t="s">
        <v>35054</v>
      </c>
      <c r="BF3630" s="3" t="s">
        <v>35053</v>
      </c>
      <c r="BG3630" s="3" t="s">
        <v>35055</v>
      </c>
    </row>
    <row r="3631" spans="1:59" ht="57" x14ac:dyDescent="0.45">
      <c r="A3631" s="2" t="s">
        <v>59</v>
      </c>
      <c r="B3631" s="2" t="s">
        <v>60</v>
      </c>
      <c r="C3631" s="2" t="s">
        <v>35056</v>
      </c>
      <c r="D3631" s="2" t="s">
        <v>35057</v>
      </c>
      <c r="E3631" s="2" t="s">
        <v>35058</v>
      </c>
      <c r="G3631" s="3" t="s">
        <v>62</v>
      </c>
      <c r="I3631" s="3" t="s">
        <v>62</v>
      </c>
      <c r="J3631" s="3" t="s">
        <v>62</v>
      </c>
      <c r="K3631" s="3" t="s">
        <v>63</v>
      </c>
      <c r="L3631" s="2" t="s">
        <v>35059</v>
      </c>
      <c r="M3631" s="2" t="s">
        <v>35060</v>
      </c>
      <c r="N3631" s="3" t="s">
        <v>1155</v>
      </c>
      <c r="P3631" s="3" t="s">
        <v>65</v>
      </c>
      <c r="Q3631" s="2" t="s">
        <v>29735</v>
      </c>
      <c r="R3631" s="3" t="s">
        <v>66</v>
      </c>
      <c r="S3631" s="4">
        <v>1</v>
      </c>
      <c r="T3631" s="4">
        <v>1</v>
      </c>
      <c r="U3631" s="5" t="s">
        <v>34923</v>
      </c>
      <c r="V3631" s="5" t="s">
        <v>34923</v>
      </c>
      <c r="W3631" s="5" t="s">
        <v>67</v>
      </c>
      <c r="X3631" s="5" t="s">
        <v>67</v>
      </c>
      <c r="Y3631" s="4">
        <v>75</v>
      </c>
      <c r="Z3631" s="4">
        <v>8</v>
      </c>
      <c r="AA3631" s="4">
        <v>82</v>
      </c>
      <c r="AB3631" s="4">
        <v>1</v>
      </c>
      <c r="AC3631" s="4">
        <v>16</v>
      </c>
      <c r="AD3631" s="4">
        <v>25</v>
      </c>
      <c r="AE3631" s="4">
        <v>95</v>
      </c>
      <c r="AF3631" s="4">
        <v>0</v>
      </c>
      <c r="AG3631" s="4">
        <v>8</v>
      </c>
      <c r="AH3631" s="4">
        <v>22</v>
      </c>
      <c r="AI3631" s="4">
        <v>62</v>
      </c>
      <c r="AJ3631" s="4">
        <v>4</v>
      </c>
      <c r="AK3631" s="4">
        <v>22</v>
      </c>
      <c r="AL3631" s="4">
        <v>11</v>
      </c>
      <c r="AM3631" s="4">
        <v>31</v>
      </c>
      <c r="AN3631" s="4">
        <v>0</v>
      </c>
      <c r="AO3631" s="4">
        <v>0</v>
      </c>
      <c r="AP3631" s="4">
        <v>7</v>
      </c>
      <c r="AQ3631" s="4">
        <v>43</v>
      </c>
      <c r="AR3631" s="3" t="s">
        <v>62</v>
      </c>
      <c r="AS3631" s="3" t="s">
        <v>62</v>
      </c>
      <c r="AT3631" s="3" t="s">
        <v>62</v>
      </c>
      <c r="AV3631" s="6" t="str">
        <f>HYPERLINK("http://mcgill.on.worldcat.org/oclc/785558879","Catalog Record")</f>
        <v>Catalog Record</v>
      </c>
      <c r="AW3631" s="6" t="str">
        <f>HYPERLINK("http://www.worldcat.org/oclc/785558879","WorldCat Record")</f>
        <v>WorldCat Record</v>
      </c>
      <c r="AX3631" s="3" t="s">
        <v>35061</v>
      </c>
      <c r="AY3631" s="3" t="s">
        <v>35062</v>
      </c>
      <c r="AZ3631" s="3" t="s">
        <v>35063</v>
      </c>
      <c r="BA3631" s="3" t="s">
        <v>35063</v>
      </c>
      <c r="BB3631" s="3" t="s">
        <v>35064</v>
      </c>
      <c r="BC3631" s="3" t="s">
        <v>142</v>
      </c>
      <c r="BD3631" s="3" t="s">
        <v>68</v>
      </c>
      <c r="BE3631" s="3" t="s">
        <v>35065</v>
      </c>
      <c r="BF3631" s="3" t="s">
        <v>35064</v>
      </c>
      <c r="BG3631" s="3" t="s">
        <v>35066</v>
      </c>
    </row>
    <row r="3632" spans="1:59" ht="57" x14ac:dyDescent="0.45">
      <c r="A3632" s="2" t="s">
        <v>59</v>
      </c>
      <c r="B3632" s="2" t="s">
        <v>60</v>
      </c>
      <c r="C3632" s="2" t="s">
        <v>35067</v>
      </c>
      <c r="D3632" s="2" t="s">
        <v>35068</v>
      </c>
      <c r="E3632" s="2" t="s">
        <v>35069</v>
      </c>
      <c r="G3632" s="3" t="s">
        <v>62</v>
      </c>
      <c r="I3632" s="3" t="s">
        <v>62</v>
      </c>
      <c r="J3632" s="3" t="s">
        <v>62</v>
      </c>
      <c r="K3632" s="3" t="s">
        <v>63</v>
      </c>
      <c r="L3632" s="2" t="s">
        <v>35070</v>
      </c>
      <c r="M3632" s="2" t="s">
        <v>3026</v>
      </c>
      <c r="N3632" s="3" t="s">
        <v>1155</v>
      </c>
      <c r="P3632" s="3" t="s">
        <v>65</v>
      </c>
      <c r="Q3632" s="2" t="s">
        <v>34981</v>
      </c>
      <c r="R3632" s="3" t="s">
        <v>66</v>
      </c>
      <c r="S3632" s="4">
        <v>0</v>
      </c>
      <c r="T3632" s="4">
        <v>0</v>
      </c>
      <c r="W3632" s="5" t="s">
        <v>67</v>
      </c>
      <c r="X3632" s="5" t="s">
        <v>67</v>
      </c>
      <c r="Y3632" s="4">
        <v>201</v>
      </c>
      <c r="Z3632" s="4">
        <v>25</v>
      </c>
      <c r="AA3632" s="4">
        <v>91</v>
      </c>
      <c r="AB3632" s="4">
        <v>1</v>
      </c>
      <c r="AC3632" s="4">
        <v>15</v>
      </c>
      <c r="AD3632" s="4">
        <v>83</v>
      </c>
      <c r="AE3632" s="4">
        <v>132</v>
      </c>
      <c r="AF3632" s="4">
        <v>0</v>
      </c>
      <c r="AG3632" s="4">
        <v>8</v>
      </c>
      <c r="AH3632" s="4">
        <v>72</v>
      </c>
      <c r="AI3632" s="4">
        <v>95</v>
      </c>
      <c r="AJ3632" s="4">
        <v>15</v>
      </c>
      <c r="AK3632" s="4">
        <v>26</v>
      </c>
      <c r="AL3632" s="4">
        <v>45</v>
      </c>
      <c r="AM3632" s="4">
        <v>51</v>
      </c>
      <c r="AN3632" s="4">
        <v>0</v>
      </c>
      <c r="AO3632" s="4">
        <v>0</v>
      </c>
      <c r="AP3632" s="4">
        <v>18</v>
      </c>
      <c r="AQ3632" s="4">
        <v>46</v>
      </c>
      <c r="AR3632" s="3" t="s">
        <v>62</v>
      </c>
      <c r="AS3632" s="3" t="s">
        <v>62</v>
      </c>
      <c r="AT3632" s="3" t="s">
        <v>62</v>
      </c>
      <c r="AV3632" s="6" t="str">
        <f>HYPERLINK("http://mcgill.on.worldcat.org/oclc/811601299","Catalog Record")</f>
        <v>Catalog Record</v>
      </c>
      <c r="AW3632" s="6" t="str">
        <f>HYPERLINK("http://www.worldcat.org/oclc/811601299","WorldCat Record")</f>
        <v>WorldCat Record</v>
      </c>
      <c r="AX3632" s="3" t="s">
        <v>35071</v>
      </c>
      <c r="AY3632" s="3" t="s">
        <v>35072</v>
      </c>
      <c r="AZ3632" s="3" t="s">
        <v>35073</v>
      </c>
      <c r="BA3632" s="3" t="s">
        <v>35073</v>
      </c>
      <c r="BB3632" s="3" t="s">
        <v>35074</v>
      </c>
      <c r="BC3632" s="3" t="s">
        <v>142</v>
      </c>
      <c r="BD3632" s="3" t="s">
        <v>68</v>
      </c>
      <c r="BE3632" s="3" t="s">
        <v>35075</v>
      </c>
      <c r="BF3632" s="3" t="s">
        <v>35074</v>
      </c>
      <c r="BG3632" s="3" t="s">
        <v>35076</v>
      </c>
    </row>
    <row r="3633" spans="1:59" ht="85.5" x14ac:dyDescent="0.45">
      <c r="A3633" s="2" t="s">
        <v>59</v>
      </c>
      <c r="B3633" s="2" t="s">
        <v>60</v>
      </c>
      <c r="C3633" s="2" t="s">
        <v>35077</v>
      </c>
      <c r="D3633" s="2" t="s">
        <v>35078</v>
      </c>
      <c r="E3633" s="2" t="s">
        <v>35079</v>
      </c>
      <c r="G3633" s="3" t="s">
        <v>62</v>
      </c>
      <c r="I3633" s="3" t="s">
        <v>62</v>
      </c>
      <c r="J3633" s="3" t="s">
        <v>62</v>
      </c>
      <c r="K3633" s="3" t="s">
        <v>63</v>
      </c>
      <c r="L3633" s="2" t="s">
        <v>35080</v>
      </c>
      <c r="M3633" s="2" t="s">
        <v>35081</v>
      </c>
      <c r="N3633" s="3" t="s">
        <v>419</v>
      </c>
      <c r="P3633" s="3" t="s">
        <v>65</v>
      </c>
      <c r="Q3633" s="2" t="s">
        <v>35082</v>
      </c>
      <c r="R3633" s="3" t="s">
        <v>66</v>
      </c>
      <c r="S3633" s="4">
        <v>17</v>
      </c>
      <c r="T3633" s="4">
        <v>17</v>
      </c>
      <c r="U3633" s="5" t="s">
        <v>25549</v>
      </c>
      <c r="V3633" s="5" t="s">
        <v>25549</v>
      </c>
      <c r="W3633" s="5" t="s">
        <v>67</v>
      </c>
      <c r="X3633" s="5" t="s">
        <v>67</v>
      </c>
      <c r="Y3633" s="4">
        <v>20</v>
      </c>
      <c r="Z3633" s="4">
        <v>5</v>
      </c>
      <c r="AA3633" s="4">
        <v>23</v>
      </c>
      <c r="AB3633" s="4">
        <v>1</v>
      </c>
      <c r="AC3633" s="4">
        <v>3</v>
      </c>
      <c r="AD3633" s="4">
        <v>7</v>
      </c>
      <c r="AE3633" s="4">
        <v>90</v>
      </c>
      <c r="AF3633" s="4">
        <v>0</v>
      </c>
      <c r="AG3633" s="4">
        <v>1</v>
      </c>
      <c r="AH3633" s="4">
        <v>5</v>
      </c>
      <c r="AI3633" s="4">
        <v>78</v>
      </c>
      <c r="AJ3633" s="4">
        <v>4</v>
      </c>
      <c r="AK3633" s="4">
        <v>12</v>
      </c>
      <c r="AL3633" s="4">
        <v>2</v>
      </c>
      <c r="AM3633" s="4">
        <v>44</v>
      </c>
      <c r="AN3633" s="4">
        <v>0</v>
      </c>
      <c r="AO3633" s="4">
        <v>0</v>
      </c>
      <c r="AP3633" s="4">
        <v>4</v>
      </c>
      <c r="AQ3633" s="4">
        <v>15</v>
      </c>
      <c r="AR3633" s="3" t="s">
        <v>62</v>
      </c>
      <c r="AS3633" s="3" t="s">
        <v>62</v>
      </c>
      <c r="AT3633" s="3" t="s">
        <v>61</v>
      </c>
      <c r="AU3633" s="6" t="str">
        <f>HYPERLINK("http://catalog.hathitrust.org/Record/007123917","HathiTrust Record")</f>
        <v>HathiTrust Record</v>
      </c>
      <c r="AV3633" s="6" t="str">
        <f>HYPERLINK("http://mcgill.on.worldcat.org/oclc/226993797","Catalog Record")</f>
        <v>Catalog Record</v>
      </c>
      <c r="AW3633" s="6" t="str">
        <f>HYPERLINK("http://www.worldcat.org/oclc/226993797","WorldCat Record")</f>
        <v>WorldCat Record</v>
      </c>
      <c r="AX3633" s="3" t="s">
        <v>35083</v>
      </c>
      <c r="AY3633" s="3" t="s">
        <v>35084</v>
      </c>
      <c r="AZ3633" s="3" t="s">
        <v>35085</v>
      </c>
      <c r="BA3633" s="3" t="s">
        <v>35085</v>
      </c>
      <c r="BB3633" s="3" t="s">
        <v>35086</v>
      </c>
      <c r="BC3633" s="3" t="s">
        <v>142</v>
      </c>
      <c r="BD3633" s="3" t="s">
        <v>68</v>
      </c>
      <c r="BF3633" s="3" t="s">
        <v>35086</v>
      </c>
      <c r="BG3633" s="3" t="s">
        <v>35087</v>
      </c>
    </row>
    <row r="3634" spans="1:59" ht="57" x14ac:dyDescent="0.45">
      <c r="A3634" s="2" t="s">
        <v>59</v>
      </c>
      <c r="B3634" s="2" t="s">
        <v>60</v>
      </c>
      <c r="C3634" s="2" t="s">
        <v>35088</v>
      </c>
      <c r="D3634" s="2" t="s">
        <v>35089</v>
      </c>
      <c r="E3634" s="2" t="s">
        <v>35090</v>
      </c>
      <c r="G3634" s="3" t="s">
        <v>62</v>
      </c>
      <c r="I3634" s="3" t="s">
        <v>62</v>
      </c>
      <c r="J3634" s="3" t="s">
        <v>62</v>
      </c>
      <c r="K3634" s="3" t="s">
        <v>63</v>
      </c>
      <c r="M3634" s="2" t="s">
        <v>35091</v>
      </c>
      <c r="N3634" s="3" t="s">
        <v>820</v>
      </c>
      <c r="P3634" s="3" t="s">
        <v>65</v>
      </c>
      <c r="R3634" s="3" t="s">
        <v>66</v>
      </c>
      <c r="S3634" s="4">
        <v>4</v>
      </c>
      <c r="T3634" s="4">
        <v>4</v>
      </c>
      <c r="U3634" s="5" t="s">
        <v>35092</v>
      </c>
      <c r="V3634" s="5" t="s">
        <v>35092</v>
      </c>
      <c r="W3634" s="5" t="s">
        <v>67</v>
      </c>
      <c r="X3634" s="5" t="s">
        <v>67</v>
      </c>
      <c r="Y3634" s="4">
        <v>128</v>
      </c>
      <c r="Z3634" s="4">
        <v>15</v>
      </c>
      <c r="AA3634" s="4">
        <v>78</v>
      </c>
      <c r="AB3634" s="4">
        <v>2</v>
      </c>
      <c r="AC3634" s="4">
        <v>14</v>
      </c>
      <c r="AD3634" s="4">
        <v>69</v>
      </c>
      <c r="AE3634" s="4">
        <v>114</v>
      </c>
      <c r="AF3634" s="4">
        <v>1</v>
      </c>
      <c r="AG3634" s="4">
        <v>8</v>
      </c>
      <c r="AH3634" s="4">
        <v>62</v>
      </c>
      <c r="AI3634" s="4">
        <v>81</v>
      </c>
      <c r="AJ3634" s="4">
        <v>13</v>
      </c>
      <c r="AK3634" s="4">
        <v>22</v>
      </c>
      <c r="AL3634" s="4">
        <v>33</v>
      </c>
      <c r="AM3634" s="4">
        <v>43</v>
      </c>
      <c r="AN3634" s="4">
        <v>0</v>
      </c>
      <c r="AO3634" s="4">
        <v>0</v>
      </c>
      <c r="AP3634" s="4">
        <v>14</v>
      </c>
      <c r="AQ3634" s="4">
        <v>42</v>
      </c>
      <c r="AR3634" s="3" t="s">
        <v>62</v>
      </c>
      <c r="AS3634" s="3" t="s">
        <v>62</v>
      </c>
      <c r="AT3634" s="3" t="s">
        <v>62</v>
      </c>
      <c r="AV3634" s="6" t="str">
        <f>HYPERLINK("http://mcgill.on.worldcat.org/oclc/131064661","Catalog Record")</f>
        <v>Catalog Record</v>
      </c>
      <c r="AW3634" s="6" t="str">
        <f>HYPERLINK("http://www.worldcat.org/oclc/131064661","WorldCat Record")</f>
        <v>WorldCat Record</v>
      </c>
      <c r="AX3634" s="3" t="s">
        <v>35093</v>
      </c>
      <c r="AY3634" s="3" t="s">
        <v>35094</v>
      </c>
      <c r="AZ3634" s="3" t="s">
        <v>35095</v>
      </c>
      <c r="BA3634" s="3" t="s">
        <v>35095</v>
      </c>
      <c r="BB3634" s="3" t="s">
        <v>35096</v>
      </c>
      <c r="BC3634" s="3" t="s">
        <v>142</v>
      </c>
      <c r="BD3634" s="3" t="s">
        <v>68</v>
      </c>
      <c r="BE3634" s="3" t="s">
        <v>35097</v>
      </c>
      <c r="BF3634" s="3" t="s">
        <v>35096</v>
      </c>
      <c r="BG3634" s="3" t="s">
        <v>35098</v>
      </c>
    </row>
    <row r="3635" spans="1:59" ht="57" x14ac:dyDescent="0.45">
      <c r="A3635" s="2" t="s">
        <v>59</v>
      </c>
      <c r="B3635" s="2" t="s">
        <v>60</v>
      </c>
      <c r="C3635" s="2" t="s">
        <v>35099</v>
      </c>
      <c r="D3635" s="2" t="s">
        <v>35100</v>
      </c>
      <c r="E3635" s="2" t="s">
        <v>35101</v>
      </c>
      <c r="G3635" s="3" t="s">
        <v>62</v>
      </c>
      <c r="I3635" s="3" t="s">
        <v>62</v>
      </c>
      <c r="J3635" s="3" t="s">
        <v>62</v>
      </c>
      <c r="K3635" s="3" t="s">
        <v>63</v>
      </c>
      <c r="L3635" s="2" t="s">
        <v>35102</v>
      </c>
      <c r="M3635" s="2" t="s">
        <v>35103</v>
      </c>
      <c r="N3635" s="3" t="s">
        <v>1253</v>
      </c>
      <c r="P3635" s="3" t="s">
        <v>110</v>
      </c>
      <c r="Q3635" s="2" t="s">
        <v>35104</v>
      </c>
      <c r="R3635" s="3" t="s">
        <v>66</v>
      </c>
      <c r="S3635" s="4">
        <v>4</v>
      </c>
      <c r="T3635" s="4">
        <v>4</v>
      </c>
      <c r="U3635" s="5" t="s">
        <v>19427</v>
      </c>
      <c r="V3635" s="5" t="s">
        <v>19427</v>
      </c>
      <c r="W3635" s="5" t="s">
        <v>67</v>
      </c>
      <c r="X3635" s="5" t="s">
        <v>67</v>
      </c>
      <c r="Y3635" s="4">
        <v>75</v>
      </c>
      <c r="Z3635" s="4">
        <v>3</v>
      </c>
      <c r="AA3635" s="4">
        <v>5</v>
      </c>
      <c r="AB3635" s="4">
        <v>1</v>
      </c>
      <c r="AC3635" s="4">
        <v>2</v>
      </c>
      <c r="AD3635" s="4">
        <v>28</v>
      </c>
      <c r="AE3635" s="4">
        <v>30</v>
      </c>
      <c r="AF3635" s="4">
        <v>0</v>
      </c>
      <c r="AG3635" s="4">
        <v>1</v>
      </c>
      <c r="AH3635" s="4">
        <v>27</v>
      </c>
      <c r="AI3635" s="4">
        <v>27</v>
      </c>
      <c r="AJ3635" s="4">
        <v>1</v>
      </c>
      <c r="AK3635" s="4">
        <v>2</v>
      </c>
      <c r="AL3635" s="4">
        <v>23</v>
      </c>
      <c r="AM3635" s="4">
        <v>23</v>
      </c>
      <c r="AN3635" s="4">
        <v>0</v>
      </c>
      <c r="AO3635" s="4">
        <v>0</v>
      </c>
      <c r="AP3635" s="4">
        <v>1</v>
      </c>
      <c r="AQ3635" s="4">
        <v>2</v>
      </c>
      <c r="AR3635" s="3" t="s">
        <v>62</v>
      </c>
      <c r="AS3635" s="3" t="s">
        <v>62</v>
      </c>
      <c r="AT3635" s="3" t="s">
        <v>62</v>
      </c>
      <c r="AV3635" s="6" t="str">
        <f>HYPERLINK("http://mcgill.on.worldcat.org/oclc/38992374","Catalog Record")</f>
        <v>Catalog Record</v>
      </c>
      <c r="AW3635" s="6" t="str">
        <f>HYPERLINK("http://www.worldcat.org/oclc/38992374","WorldCat Record")</f>
        <v>WorldCat Record</v>
      </c>
      <c r="AX3635" s="3" t="s">
        <v>35105</v>
      </c>
      <c r="AY3635" s="3" t="s">
        <v>35106</v>
      </c>
      <c r="AZ3635" s="3" t="s">
        <v>35107</v>
      </c>
      <c r="BA3635" s="3" t="s">
        <v>35107</v>
      </c>
      <c r="BB3635" s="3" t="s">
        <v>35108</v>
      </c>
      <c r="BC3635" s="3" t="s">
        <v>142</v>
      </c>
      <c r="BD3635" s="3" t="s">
        <v>68</v>
      </c>
      <c r="BE3635" s="3" t="s">
        <v>35109</v>
      </c>
      <c r="BF3635" s="3" t="s">
        <v>35108</v>
      </c>
      <c r="BG3635" s="3" t="s">
        <v>35110</v>
      </c>
    </row>
    <row r="3636" spans="1:59" ht="57" x14ac:dyDescent="0.45">
      <c r="A3636" s="2" t="s">
        <v>59</v>
      </c>
      <c r="B3636" s="2" t="s">
        <v>60</v>
      </c>
      <c r="C3636" s="2" t="s">
        <v>35111</v>
      </c>
      <c r="D3636" s="2" t="s">
        <v>35112</v>
      </c>
      <c r="E3636" s="2" t="s">
        <v>35113</v>
      </c>
      <c r="G3636" s="3" t="s">
        <v>62</v>
      </c>
      <c r="I3636" s="3" t="s">
        <v>61</v>
      </c>
      <c r="J3636" s="3" t="s">
        <v>62</v>
      </c>
      <c r="K3636" s="3" t="s">
        <v>63</v>
      </c>
      <c r="L3636" s="2" t="s">
        <v>35114</v>
      </c>
      <c r="M3636" s="2" t="s">
        <v>35115</v>
      </c>
      <c r="N3636" s="3" t="s">
        <v>1073</v>
      </c>
      <c r="P3636" s="3" t="s">
        <v>65</v>
      </c>
      <c r="Q3636" s="2" t="s">
        <v>30812</v>
      </c>
      <c r="R3636" s="3" t="s">
        <v>66</v>
      </c>
      <c r="S3636" s="4">
        <v>13</v>
      </c>
      <c r="T3636" s="4">
        <v>16</v>
      </c>
      <c r="U3636" s="5" t="s">
        <v>35116</v>
      </c>
      <c r="V3636" s="5" t="s">
        <v>35117</v>
      </c>
      <c r="W3636" s="5" t="s">
        <v>67</v>
      </c>
      <c r="X3636" s="5" t="s">
        <v>67</v>
      </c>
      <c r="Y3636" s="4">
        <v>508</v>
      </c>
      <c r="Z3636" s="4">
        <v>36</v>
      </c>
      <c r="AA3636" s="4">
        <v>41</v>
      </c>
      <c r="AB3636" s="4">
        <v>2</v>
      </c>
      <c r="AC3636" s="4">
        <v>6</v>
      </c>
      <c r="AD3636" s="4">
        <v>121</v>
      </c>
      <c r="AE3636" s="4">
        <v>125</v>
      </c>
      <c r="AF3636" s="4">
        <v>1</v>
      </c>
      <c r="AG3636" s="4">
        <v>4</v>
      </c>
      <c r="AH3636" s="4">
        <v>99</v>
      </c>
      <c r="AI3636" s="4">
        <v>100</v>
      </c>
      <c r="AJ3636" s="4">
        <v>23</v>
      </c>
      <c r="AK3636" s="4">
        <v>26</v>
      </c>
      <c r="AL3636" s="4">
        <v>54</v>
      </c>
      <c r="AM3636" s="4">
        <v>54</v>
      </c>
      <c r="AN3636" s="4">
        <v>0</v>
      </c>
      <c r="AO3636" s="4">
        <v>0</v>
      </c>
      <c r="AP3636" s="4">
        <v>32</v>
      </c>
      <c r="AQ3636" s="4">
        <v>35</v>
      </c>
      <c r="AR3636" s="3" t="s">
        <v>62</v>
      </c>
      <c r="AS3636" s="3" t="s">
        <v>62</v>
      </c>
      <c r="AT3636" s="3" t="s">
        <v>61</v>
      </c>
      <c r="AU3636" s="6" t="str">
        <f>HYPERLINK("http://catalog.hathitrust.org/Record/000697409","HathiTrust Record")</f>
        <v>HathiTrust Record</v>
      </c>
      <c r="AV3636" s="6" t="str">
        <f>HYPERLINK("http://mcgill.on.worldcat.org/oclc/1994147","Catalog Record")</f>
        <v>Catalog Record</v>
      </c>
      <c r="AW3636" s="6" t="str">
        <f>HYPERLINK("http://www.worldcat.org/oclc/1994147","WorldCat Record")</f>
        <v>WorldCat Record</v>
      </c>
      <c r="AX3636" s="3" t="s">
        <v>35118</v>
      </c>
      <c r="AY3636" s="3" t="s">
        <v>35119</v>
      </c>
      <c r="AZ3636" s="3" t="s">
        <v>35120</v>
      </c>
      <c r="BA3636" s="3" t="s">
        <v>35120</v>
      </c>
      <c r="BB3636" s="3" t="s">
        <v>35121</v>
      </c>
      <c r="BC3636" s="3" t="s">
        <v>142</v>
      </c>
      <c r="BD3636" s="3" t="s">
        <v>68</v>
      </c>
      <c r="BE3636" s="3" t="s">
        <v>35122</v>
      </c>
      <c r="BF3636" s="3" t="s">
        <v>35121</v>
      </c>
      <c r="BG3636" s="3" t="s">
        <v>35123</v>
      </c>
    </row>
    <row r="3637" spans="1:59" ht="57" x14ac:dyDescent="0.45">
      <c r="A3637" s="2" t="s">
        <v>59</v>
      </c>
      <c r="B3637" s="2" t="s">
        <v>60</v>
      </c>
      <c r="C3637" s="2" t="s">
        <v>35111</v>
      </c>
      <c r="D3637" s="2" t="s">
        <v>35112</v>
      </c>
      <c r="E3637" s="2" t="s">
        <v>35113</v>
      </c>
      <c r="G3637" s="3" t="s">
        <v>62</v>
      </c>
      <c r="I3637" s="3" t="s">
        <v>61</v>
      </c>
      <c r="J3637" s="3" t="s">
        <v>62</v>
      </c>
      <c r="K3637" s="3" t="s">
        <v>63</v>
      </c>
      <c r="L3637" s="2" t="s">
        <v>35114</v>
      </c>
      <c r="M3637" s="2" t="s">
        <v>35115</v>
      </c>
      <c r="N3637" s="3" t="s">
        <v>1073</v>
      </c>
      <c r="P3637" s="3" t="s">
        <v>65</v>
      </c>
      <c r="Q3637" s="2" t="s">
        <v>30812</v>
      </c>
      <c r="R3637" s="3" t="s">
        <v>66</v>
      </c>
      <c r="S3637" s="4">
        <v>3</v>
      </c>
      <c r="T3637" s="4">
        <v>16</v>
      </c>
      <c r="U3637" s="5" t="s">
        <v>35117</v>
      </c>
      <c r="V3637" s="5" t="s">
        <v>35117</v>
      </c>
      <c r="W3637" s="5" t="s">
        <v>67</v>
      </c>
      <c r="X3637" s="5" t="s">
        <v>67</v>
      </c>
      <c r="Y3637" s="4">
        <v>508</v>
      </c>
      <c r="Z3637" s="4">
        <v>36</v>
      </c>
      <c r="AA3637" s="4">
        <v>41</v>
      </c>
      <c r="AB3637" s="4">
        <v>2</v>
      </c>
      <c r="AC3637" s="4">
        <v>6</v>
      </c>
      <c r="AD3637" s="4">
        <v>121</v>
      </c>
      <c r="AE3637" s="4">
        <v>125</v>
      </c>
      <c r="AF3637" s="4">
        <v>1</v>
      </c>
      <c r="AG3637" s="4">
        <v>4</v>
      </c>
      <c r="AH3637" s="4">
        <v>99</v>
      </c>
      <c r="AI3637" s="4">
        <v>100</v>
      </c>
      <c r="AJ3637" s="4">
        <v>23</v>
      </c>
      <c r="AK3637" s="4">
        <v>26</v>
      </c>
      <c r="AL3637" s="4">
        <v>54</v>
      </c>
      <c r="AM3637" s="4">
        <v>54</v>
      </c>
      <c r="AN3637" s="4">
        <v>0</v>
      </c>
      <c r="AO3637" s="4">
        <v>0</v>
      </c>
      <c r="AP3637" s="4">
        <v>32</v>
      </c>
      <c r="AQ3637" s="4">
        <v>35</v>
      </c>
      <c r="AR3637" s="3" t="s">
        <v>62</v>
      </c>
      <c r="AS3637" s="3" t="s">
        <v>62</v>
      </c>
      <c r="AT3637" s="3" t="s">
        <v>61</v>
      </c>
      <c r="AU3637" s="6" t="str">
        <f>HYPERLINK("http://catalog.hathitrust.org/Record/000697409","HathiTrust Record")</f>
        <v>HathiTrust Record</v>
      </c>
      <c r="AV3637" s="6" t="str">
        <f>HYPERLINK("http://mcgill.on.worldcat.org/oclc/1994147","Catalog Record")</f>
        <v>Catalog Record</v>
      </c>
      <c r="AW3637" s="6" t="str">
        <f>HYPERLINK("http://www.worldcat.org/oclc/1994147","WorldCat Record")</f>
        <v>WorldCat Record</v>
      </c>
      <c r="AX3637" s="3" t="s">
        <v>35118</v>
      </c>
      <c r="AY3637" s="3" t="s">
        <v>35119</v>
      </c>
      <c r="AZ3637" s="3" t="s">
        <v>35120</v>
      </c>
      <c r="BA3637" s="3" t="s">
        <v>35120</v>
      </c>
      <c r="BB3637" s="3" t="s">
        <v>35124</v>
      </c>
      <c r="BC3637" s="3" t="s">
        <v>142</v>
      </c>
      <c r="BD3637" s="3" t="s">
        <v>68</v>
      </c>
      <c r="BE3637" s="3" t="s">
        <v>35122</v>
      </c>
      <c r="BF3637" s="3" t="s">
        <v>35124</v>
      </c>
      <c r="BG3637" s="3" t="s">
        <v>35125</v>
      </c>
    </row>
    <row r="3638" spans="1:59" ht="57" x14ac:dyDescent="0.45">
      <c r="A3638" s="2" t="s">
        <v>59</v>
      </c>
      <c r="B3638" s="2" t="s">
        <v>60</v>
      </c>
      <c r="C3638" s="2" t="s">
        <v>35126</v>
      </c>
      <c r="D3638" s="2" t="s">
        <v>35127</v>
      </c>
      <c r="E3638" s="2" t="s">
        <v>35128</v>
      </c>
      <c r="G3638" s="3" t="s">
        <v>62</v>
      </c>
      <c r="I3638" s="3" t="s">
        <v>62</v>
      </c>
      <c r="J3638" s="3" t="s">
        <v>62</v>
      </c>
      <c r="K3638" s="3" t="s">
        <v>63</v>
      </c>
      <c r="L3638" s="2" t="s">
        <v>35129</v>
      </c>
      <c r="M3638" s="2" t="s">
        <v>35130</v>
      </c>
      <c r="N3638" s="3" t="s">
        <v>958</v>
      </c>
      <c r="P3638" s="3" t="s">
        <v>65</v>
      </c>
      <c r="Q3638" s="2" t="s">
        <v>35131</v>
      </c>
      <c r="R3638" s="3" t="s">
        <v>66</v>
      </c>
      <c r="S3638" s="4">
        <v>14</v>
      </c>
      <c r="T3638" s="4">
        <v>14</v>
      </c>
      <c r="U3638" s="5" t="s">
        <v>99</v>
      </c>
      <c r="V3638" s="5" t="s">
        <v>99</v>
      </c>
      <c r="W3638" s="5" t="s">
        <v>67</v>
      </c>
      <c r="X3638" s="5" t="s">
        <v>67</v>
      </c>
      <c r="Y3638" s="4">
        <v>475</v>
      </c>
      <c r="Z3638" s="4">
        <v>24</v>
      </c>
      <c r="AA3638" s="4">
        <v>103</v>
      </c>
      <c r="AB3638" s="4">
        <v>2</v>
      </c>
      <c r="AC3638" s="4">
        <v>19</v>
      </c>
      <c r="AD3638" s="4">
        <v>118</v>
      </c>
      <c r="AE3638" s="4">
        <v>150</v>
      </c>
      <c r="AF3638" s="4">
        <v>1</v>
      </c>
      <c r="AG3638" s="4">
        <v>8</v>
      </c>
      <c r="AH3638" s="4">
        <v>104</v>
      </c>
      <c r="AI3638" s="4">
        <v>110</v>
      </c>
      <c r="AJ3638" s="4">
        <v>16</v>
      </c>
      <c r="AK3638" s="4">
        <v>24</v>
      </c>
      <c r="AL3638" s="4">
        <v>58</v>
      </c>
      <c r="AM3638" s="4">
        <v>59</v>
      </c>
      <c r="AN3638" s="4">
        <v>0</v>
      </c>
      <c r="AO3638" s="4">
        <v>0</v>
      </c>
      <c r="AP3638" s="4">
        <v>21</v>
      </c>
      <c r="AQ3638" s="4">
        <v>48</v>
      </c>
      <c r="AR3638" s="3" t="s">
        <v>62</v>
      </c>
      <c r="AS3638" s="3" t="s">
        <v>62</v>
      </c>
      <c r="AT3638" s="3" t="s">
        <v>62</v>
      </c>
      <c r="AV3638" s="6" t="str">
        <f>HYPERLINK("http://mcgill.on.worldcat.org/oclc/30892963","Catalog Record")</f>
        <v>Catalog Record</v>
      </c>
      <c r="AW3638" s="6" t="str">
        <f>HYPERLINK("http://www.worldcat.org/oclc/30892963","WorldCat Record")</f>
        <v>WorldCat Record</v>
      </c>
      <c r="AX3638" s="3" t="s">
        <v>35132</v>
      </c>
      <c r="AY3638" s="3" t="s">
        <v>35133</v>
      </c>
      <c r="AZ3638" s="3" t="s">
        <v>35134</v>
      </c>
      <c r="BA3638" s="3" t="s">
        <v>35134</v>
      </c>
      <c r="BB3638" s="3" t="s">
        <v>35135</v>
      </c>
      <c r="BC3638" s="3" t="s">
        <v>142</v>
      </c>
      <c r="BD3638" s="3" t="s">
        <v>68</v>
      </c>
      <c r="BE3638" s="3" t="s">
        <v>35136</v>
      </c>
      <c r="BF3638" s="3" t="s">
        <v>35135</v>
      </c>
      <c r="BG3638" s="3" t="s">
        <v>35137</v>
      </c>
    </row>
    <row r="3639" spans="1:59" ht="57" x14ac:dyDescent="0.45">
      <c r="A3639" s="2" t="s">
        <v>59</v>
      </c>
      <c r="B3639" s="2" t="s">
        <v>60</v>
      </c>
      <c r="C3639" s="2" t="s">
        <v>35138</v>
      </c>
      <c r="D3639" s="2" t="s">
        <v>35139</v>
      </c>
      <c r="E3639" s="2" t="s">
        <v>35140</v>
      </c>
      <c r="G3639" s="3" t="s">
        <v>62</v>
      </c>
      <c r="I3639" s="3" t="s">
        <v>62</v>
      </c>
      <c r="J3639" s="3" t="s">
        <v>62</v>
      </c>
      <c r="K3639" s="3" t="s">
        <v>63</v>
      </c>
      <c r="L3639" s="2" t="s">
        <v>35141</v>
      </c>
      <c r="M3639" s="2" t="s">
        <v>14263</v>
      </c>
      <c r="N3639" s="3" t="s">
        <v>820</v>
      </c>
      <c r="P3639" s="3" t="s">
        <v>65</v>
      </c>
      <c r="Q3639" s="2" t="s">
        <v>35142</v>
      </c>
      <c r="R3639" s="3" t="s">
        <v>66</v>
      </c>
      <c r="S3639" s="4">
        <v>11</v>
      </c>
      <c r="T3639" s="4">
        <v>11</v>
      </c>
      <c r="U3639" s="5" t="s">
        <v>35028</v>
      </c>
      <c r="V3639" s="5" t="s">
        <v>35028</v>
      </c>
      <c r="W3639" s="5" t="s">
        <v>67</v>
      </c>
      <c r="X3639" s="5" t="s">
        <v>67</v>
      </c>
      <c r="Y3639" s="4">
        <v>521</v>
      </c>
      <c r="Z3639" s="4">
        <v>32</v>
      </c>
      <c r="AA3639" s="4">
        <v>108</v>
      </c>
      <c r="AB3639" s="4">
        <v>2</v>
      </c>
      <c r="AC3639" s="4">
        <v>17</v>
      </c>
      <c r="AD3639" s="4">
        <v>97</v>
      </c>
      <c r="AE3639" s="4">
        <v>151</v>
      </c>
      <c r="AF3639" s="4">
        <v>1</v>
      </c>
      <c r="AG3639" s="4">
        <v>8</v>
      </c>
      <c r="AH3639" s="4">
        <v>82</v>
      </c>
      <c r="AI3639" s="4">
        <v>107</v>
      </c>
      <c r="AJ3639" s="4">
        <v>14</v>
      </c>
      <c r="AK3639" s="4">
        <v>24</v>
      </c>
      <c r="AL3639" s="4">
        <v>48</v>
      </c>
      <c r="AM3639" s="4">
        <v>60</v>
      </c>
      <c r="AN3639" s="4">
        <v>0</v>
      </c>
      <c r="AO3639" s="4">
        <v>0</v>
      </c>
      <c r="AP3639" s="4">
        <v>20</v>
      </c>
      <c r="AQ3639" s="4">
        <v>49</v>
      </c>
      <c r="AR3639" s="3" t="s">
        <v>62</v>
      </c>
      <c r="AS3639" s="3" t="s">
        <v>62</v>
      </c>
      <c r="AT3639" s="3" t="s">
        <v>62</v>
      </c>
      <c r="AV3639" s="6" t="str">
        <f>HYPERLINK("http://mcgill.on.worldcat.org/oclc/182779723","Catalog Record")</f>
        <v>Catalog Record</v>
      </c>
      <c r="AW3639" s="6" t="str">
        <f>HYPERLINK("http://www.worldcat.org/oclc/182779723","WorldCat Record")</f>
        <v>WorldCat Record</v>
      </c>
      <c r="AX3639" s="3" t="s">
        <v>35143</v>
      </c>
      <c r="AY3639" s="3" t="s">
        <v>35144</v>
      </c>
      <c r="AZ3639" s="3" t="s">
        <v>35145</v>
      </c>
      <c r="BA3639" s="3" t="s">
        <v>35145</v>
      </c>
      <c r="BB3639" s="3" t="s">
        <v>35146</v>
      </c>
      <c r="BC3639" s="3" t="s">
        <v>142</v>
      </c>
      <c r="BD3639" s="3" t="s">
        <v>308</v>
      </c>
      <c r="BE3639" s="3" t="s">
        <v>35147</v>
      </c>
      <c r="BF3639" s="3" t="s">
        <v>35146</v>
      </c>
      <c r="BG3639" s="3" t="s">
        <v>35148</v>
      </c>
    </row>
    <row r="3640" spans="1:59" ht="57" x14ac:dyDescent="0.45">
      <c r="A3640" s="2" t="s">
        <v>59</v>
      </c>
      <c r="B3640" s="2" t="s">
        <v>60</v>
      </c>
      <c r="C3640" s="2" t="s">
        <v>35149</v>
      </c>
      <c r="D3640" s="2" t="s">
        <v>35150</v>
      </c>
      <c r="E3640" s="2" t="s">
        <v>35151</v>
      </c>
      <c r="G3640" s="3" t="s">
        <v>62</v>
      </c>
      <c r="I3640" s="3" t="s">
        <v>62</v>
      </c>
      <c r="J3640" s="3" t="s">
        <v>62</v>
      </c>
      <c r="K3640" s="3" t="s">
        <v>63</v>
      </c>
      <c r="L3640" s="2" t="s">
        <v>35152</v>
      </c>
      <c r="M3640" s="2" t="s">
        <v>35153</v>
      </c>
      <c r="N3640" s="3" t="s">
        <v>5180</v>
      </c>
      <c r="P3640" s="3" t="s">
        <v>65</v>
      </c>
      <c r="Q3640" s="2" t="s">
        <v>35154</v>
      </c>
      <c r="R3640" s="3" t="s">
        <v>66</v>
      </c>
      <c r="S3640" s="4">
        <v>0</v>
      </c>
      <c r="T3640" s="4">
        <v>0</v>
      </c>
      <c r="W3640" s="5" t="s">
        <v>67</v>
      </c>
      <c r="X3640" s="5" t="s">
        <v>67</v>
      </c>
      <c r="Y3640" s="4">
        <v>34</v>
      </c>
      <c r="Z3640" s="4">
        <v>4</v>
      </c>
      <c r="AA3640" s="4">
        <v>7</v>
      </c>
      <c r="AB3640" s="4">
        <v>1</v>
      </c>
      <c r="AC3640" s="4">
        <v>4</v>
      </c>
      <c r="AD3640" s="4">
        <v>16</v>
      </c>
      <c r="AE3640" s="4">
        <v>17</v>
      </c>
      <c r="AF3640" s="4">
        <v>0</v>
      </c>
      <c r="AG3640" s="4">
        <v>1</v>
      </c>
      <c r="AH3640" s="4">
        <v>15</v>
      </c>
      <c r="AI3640" s="4">
        <v>15</v>
      </c>
      <c r="AJ3640" s="4">
        <v>3</v>
      </c>
      <c r="AK3640" s="4">
        <v>4</v>
      </c>
      <c r="AL3640" s="4">
        <v>9</v>
      </c>
      <c r="AM3640" s="4">
        <v>9</v>
      </c>
      <c r="AN3640" s="4">
        <v>0</v>
      </c>
      <c r="AO3640" s="4">
        <v>0</v>
      </c>
      <c r="AP3640" s="4">
        <v>3</v>
      </c>
      <c r="AQ3640" s="4">
        <v>4</v>
      </c>
      <c r="AR3640" s="3" t="s">
        <v>62</v>
      </c>
      <c r="AS3640" s="3" t="s">
        <v>62</v>
      </c>
      <c r="AT3640" s="3" t="s">
        <v>62</v>
      </c>
      <c r="AV3640" s="6" t="str">
        <f>HYPERLINK("http://mcgill.on.worldcat.org/oclc/1032649622","Catalog Record")</f>
        <v>Catalog Record</v>
      </c>
      <c r="AW3640" s="6" t="str">
        <f>HYPERLINK("http://www.worldcat.org/oclc/1032649622","WorldCat Record")</f>
        <v>WorldCat Record</v>
      </c>
      <c r="AX3640" s="3" t="s">
        <v>35155</v>
      </c>
      <c r="AY3640" s="3" t="s">
        <v>35156</v>
      </c>
      <c r="AZ3640" s="3" t="s">
        <v>35157</v>
      </c>
      <c r="BA3640" s="3" t="s">
        <v>35157</v>
      </c>
      <c r="BB3640" s="3" t="s">
        <v>35158</v>
      </c>
      <c r="BC3640" s="3" t="s">
        <v>142</v>
      </c>
      <c r="BD3640" s="3" t="s">
        <v>68</v>
      </c>
      <c r="BE3640" s="3" t="s">
        <v>35159</v>
      </c>
      <c r="BF3640" s="3" t="s">
        <v>35158</v>
      </c>
      <c r="BG3640" s="3" t="s">
        <v>35160</v>
      </c>
    </row>
    <row r="3641" spans="1:59" ht="57" x14ac:dyDescent="0.45">
      <c r="A3641" s="2" t="s">
        <v>59</v>
      </c>
      <c r="B3641" s="2" t="s">
        <v>60</v>
      </c>
      <c r="C3641" s="2" t="s">
        <v>35161</v>
      </c>
      <c r="D3641" s="2" t="s">
        <v>35162</v>
      </c>
      <c r="E3641" s="2" t="s">
        <v>35163</v>
      </c>
      <c r="G3641" s="3" t="s">
        <v>62</v>
      </c>
      <c r="H3641" s="3" t="s">
        <v>3960</v>
      </c>
      <c r="I3641" s="3" t="s">
        <v>62</v>
      </c>
      <c r="J3641" s="3" t="s">
        <v>62</v>
      </c>
      <c r="K3641" s="3" t="s">
        <v>63</v>
      </c>
      <c r="L3641" s="2" t="s">
        <v>35164</v>
      </c>
      <c r="M3641" s="2" t="s">
        <v>35165</v>
      </c>
      <c r="N3641" s="3" t="s">
        <v>5180</v>
      </c>
      <c r="P3641" s="3" t="s">
        <v>65</v>
      </c>
      <c r="R3641" s="3" t="s">
        <v>66</v>
      </c>
      <c r="S3641" s="4">
        <v>0</v>
      </c>
      <c r="T3641" s="4">
        <v>0</v>
      </c>
      <c r="W3641" s="5" t="s">
        <v>18980</v>
      </c>
      <c r="X3641" s="5" t="s">
        <v>18980</v>
      </c>
      <c r="Y3641" s="4">
        <v>250</v>
      </c>
      <c r="Z3641" s="4">
        <v>13</v>
      </c>
      <c r="AA3641" s="4">
        <v>13</v>
      </c>
      <c r="AB3641" s="4">
        <v>3</v>
      </c>
      <c r="AC3641" s="4">
        <v>3</v>
      </c>
      <c r="AD3641" s="4">
        <v>45</v>
      </c>
      <c r="AE3641" s="4">
        <v>45</v>
      </c>
      <c r="AF3641" s="4">
        <v>1</v>
      </c>
      <c r="AG3641" s="4">
        <v>1</v>
      </c>
      <c r="AH3641" s="4">
        <v>39</v>
      </c>
      <c r="AI3641" s="4">
        <v>39</v>
      </c>
      <c r="AJ3641" s="4">
        <v>6</v>
      </c>
      <c r="AK3641" s="4">
        <v>6</v>
      </c>
      <c r="AL3641" s="4">
        <v>27</v>
      </c>
      <c r="AM3641" s="4">
        <v>27</v>
      </c>
      <c r="AN3641" s="4">
        <v>0</v>
      </c>
      <c r="AO3641" s="4">
        <v>0</v>
      </c>
      <c r="AP3641" s="4">
        <v>7</v>
      </c>
      <c r="AQ3641" s="4">
        <v>7</v>
      </c>
      <c r="AR3641" s="3" t="s">
        <v>62</v>
      </c>
      <c r="AS3641" s="3" t="s">
        <v>62</v>
      </c>
      <c r="AT3641" s="3" t="s">
        <v>62</v>
      </c>
      <c r="AV3641" s="6" t="str">
        <f>HYPERLINK("http://mcgill.on.worldcat.org/oclc/1048032737","Catalog Record")</f>
        <v>Catalog Record</v>
      </c>
      <c r="AW3641" s="6" t="str">
        <f>HYPERLINK("http://www.worldcat.org/oclc/1048032737","WorldCat Record")</f>
        <v>WorldCat Record</v>
      </c>
      <c r="AX3641" s="3" t="s">
        <v>35166</v>
      </c>
      <c r="AY3641" s="3" t="s">
        <v>35167</v>
      </c>
      <c r="AZ3641" s="3" t="s">
        <v>35168</v>
      </c>
      <c r="BA3641" s="3" t="s">
        <v>35168</v>
      </c>
      <c r="BB3641" s="3" t="s">
        <v>35169</v>
      </c>
      <c r="BC3641" s="3" t="s">
        <v>142</v>
      </c>
      <c r="BD3641" s="3" t="s">
        <v>68</v>
      </c>
      <c r="BE3641" s="3" t="s">
        <v>35170</v>
      </c>
      <c r="BF3641" s="3" t="s">
        <v>35169</v>
      </c>
      <c r="BG3641" s="3" t="s">
        <v>35171</v>
      </c>
    </row>
    <row r="3642" spans="1:59" ht="57" x14ac:dyDescent="0.45">
      <c r="A3642" s="2" t="s">
        <v>59</v>
      </c>
      <c r="B3642" s="2" t="s">
        <v>60</v>
      </c>
      <c r="C3642" s="2" t="s">
        <v>35172</v>
      </c>
      <c r="D3642" s="2" t="s">
        <v>35173</v>
      </c>
      <c r="E3642" s="2" t="s">
        <v>35174</v>
      </c>
      <c r="G3642" s="3" t="s">
        <v>62</v>
      </c>
      <c r="I3642" s="3" t="s">
        <v>62</v>
      </c>
      <c r="J3642" s="3" t="s">
        <v>62</v>
      </c>
      <c r="K3642" s="3" t="s">
        <v>63</v>
      </c>
      <c r="M3642" s="2" t="s">
        <v>35175</v>
      </c>
      <c r="N3642" s="3" t="s">
        <v>84</v>
      </c>
      <c r="P3642" s="3" t="s">
        <v>65</v>
      </c>
      <c r="R3642" s="3" t="s">
        <v>66</v>
      </c>
      <c r="S3642" s="4">
        <v>42</v>
      </c>
      <c r="T3642" s="4">
        <v>42</v>
      </c>
      <c r="U3642" s="5" t="s">
        <v>7484</v>
      </c>
      <c r="V3642" s="5" t="s">
        <v>7484</v>
      </c>
      <c r="W3642" s="5" t="s">
        <v>67</v>
      </c>
      <c r="X3642" s="5" t="s">
        <v>67</v>
      </c>
      <c r="Y3642" s="4">
        <v>620</v>
      </c>
      <c r="Z3642" s="4">
        <v>30</v>
      </c>
      <c r="AA3642" s="4">
        <v>46</v>
      </c>
      <c r="AB3642" s="4">
        <v>4</v>
      </c>
      <c r="AC3642" s="4">
        <v>8</v>
      </c>
      <c r="AD3642" s="4">
        <v>105</v>
      </c>
      <c r="AE3642" s="4">
        <v>127</v>
      </c>
      <c r="AF3642" s="4">
        <v>1</v>
      </c>
      <c r="AG3642" s="4">
        <v>4</v>
      </c>
      <c r="AH3642" s="4">
        <v>89</v>
      </c>
      <c r="AI3642" s="4">
        <v>105</v>
      </c>
      <c r="AJ3642" s="4">
        <v>8</v>
      </c>
      <c r="AK3642" s="4">
        <v>19</v>
      </c>
      <c r="AL3642" s="4">
        <v>49</v>
      </c>
      <c r="AM3642" s="4">
        <v>56</v>
      </c>
      <c r="AN3642" s="4">
        <v>0</v>
      </c>
      <c r="AO3642" s="4">
        <v>0</v>
      </c>
      <c r="AP3642" s="4">
        <v>20</v>
      </c>
      <c r="AQ3642" s="4">
        <v>32</v>
      </c>
      <c r="AR3642" s="3" t="s">
        <v>62</v>
      </c>
      <c r="AS3642" s="3" t="s">
        <v>62</v>
      </c>
      <c r="AT3642" s="3" t="s">
        <v>61</v>
      </c>
      <c r="AU3642" s="6" t="str">
        <f>HYPERLINK("http://catalog.hathitrust.org/Record/004516790","HathiTrust Record")</f>
        <v>HathiTrust Record</v>
      </c>
      <c r="AV3642" s="6" t="str">
        <f>HYPERLINK("http://mcgill.on.worldcat.org/oclc/24374099","Catalog Record")</f>
        <v>Catalog Record</v>
      </c>
      <c r="AW3642" s="6" t="str">
        <f>HYPERLINK("http://www.worldcat.org/oclc/24374099","WorldCat Record")</f>
        <v>WorldCat Record</v>
      </c>
      <c r="AX3642" s="3" t="s">
        <v>35176</v>
      </c>
      <c r="AY3642" s="3" t="s">
        <v>35177</v>
      </c>
      <c r="AZ3642" s="3" t="s">
        <v>35178</v>
      </c>
      <c r="BA3642" s="3" t="s">
        <v>35178</v>
      </c>
      <c r="BB3642" s="3" t="s">
        <v>35179</v>
      </c>
      <c r="BC3642" s="3" t="s">
        <v>142</v>
      </c>
      <c r="BD3642" s="3" t="s">
        <v>68</v>
      </c>
      <c r="BE3642" s="3" t="s">
        <v>35180</v>
      </c>
      <c r="BF3642" s="3" t="s">
        <v>35179</v>
      </c>
      <c r="BG3642" s="3" t="s">
        <v>35181</v>
      </c>
    </row>
    <row r="3643" spans="1:59" ht="57" x14ac:dyDescent="0.45">
      <c r="A3643" s="2" t="s">
        <v>59</v>
      </c>
      <c r="B3643" s="2" t="s">
        <v>60</v>
      </c>
      <c r="C3643" s="2" t="s">
        <v>35182</v>
      </c>
      <c r="D3643" s="2" t="s">
        <v>35183</v>
      </c>
      <c r="E3643" s="2" t="s">
        <v>35184</v>
      </c>
      <c r="G3643" s="3" t="s">
        <v>62</v>
      </c>
      <c r="I3643" s="3" t="s">
        <v>62</v>
      </c>
      <c r="J3643" s="3" t="s">
        <v>62</v>
      </c>
      <c r="K3643" s="3" t="s">
        <v>63</v>
      </c>
      <c r="L3643" s="2" t="s">
        <v>35185</v>
      </c>
      <c r="M3643" s="2" t="s">
        <v>35186</v>
      </c>
      <c r="N3643" s="3" t="s">
        <v>970</v>
      </c>
      <c r="P3643" s="3" t="s">
        <v>65</v>
      </c>
      <c r="R3643" s="3" t="s">
        <v>66</v>
      </c>
      <c r="S3643" s="4">
        <v>18</v>
      </c>
      <c r="T3643" s="4">
        <v>18</v>
      </c>
      <c r="U3643" s="5" t="s">
        <v>4106</v>
      </c>
      <c r="V3643" s="5" t="s">
        <v>4106</v>
      </c>
      <c r="W3643" s="5" t="s">
        <v>67</v>
      </c>
      <c r="X3643" s="5" t="s">
        <v>67</v>
      </c>
      <c r="Y3643" s="4">
        <v>380</v>
      </c>
      <c r="Z3643" s="4">
        <v>19</v>
      </c>
      <c r="AA3643" s="4">
        <v>24</v>
      </c>
      <c r="AB3643" s="4">
        <v>3</v>
      </c>
      <c r="AC3643" s="4">
        <v>6</v>
      </c>
      <c r="AD3643" s="4">
        <v>102</v>
      </c>
      <c r="AE3643" s="4">
        <v>107</v>
      </c>
      <c r="AF3643" s="4">
        <v>1</v>
      </c>
      <c r="AG3643" s="4">
        <v>1</v>
      </c>
      <c r="AH3643" s="4">
        <v>95</v>
      </c>
      <c r="AI3643" s="4">
        <v>98</v>
      </c>
      <c r="AJ3643" s="4">
        <v>14</v>
      </c>
      <c r="AK3643" s="4">
        <v>14</v>
      </c>
      <c r="AL3643" s="4">
        <v>51</v>
      </c>
      <c r="AM3643" s="4">
        <v>52</v>
      </c>
      <c r="AN3643" s="4">
        <v>0</v>
      </c>
      <c r="AO3643" s="4">
        <v>0</v>
      </c>
      <c r="AP3643" s="4">
        <v>14</v>
      </c>
      <c r="AQ3643" s="4">
        <v>16</v>
      </c>
      <c r="AR3643" s="3" t="s">
        <v>62</v>
      </c>
      <c r="AS3643" s="3" t="s">
        <v>62</v>
      </c>
      <c r="AT3643" s="3" t="s">
        <v>62</v>
      </c>
      <c r="AV3643" s="6" t="str">
        <f>HYPERLINK("http://mcgill.on.worldcat.org/oclc/46777544","Catalog Record")</f>
        <v>Catalog Record</v>
      </c>
      <c r="AW3643" s="6" t="str">
        <f>HYPERLINK("http://www.worldcat.org/oclc/46777544","WorldCat Record")</f>
        <v>WorldCat Record</v>
      </c>
      <c r="AX3643" s="3" t="s">
        <v>35187</v>
      </c>
      <c r="AY3643" s="3" t="s">
        <v>35188</v>
      </c>
      <c r="AZ3643" s="3" t="s">
        <v>35189</v>
      </c>
      <c r="BA3643" s="3" t="s">
        <v>35189</v>
      </c>
      <c r="BB3643" s="3" t="s">
        <v>35190</v>
      </c>
      <c r="BC3643" s="3" t="s">
        <v>142</v>
      </c>
      <c r="BD3643" s="3" t="s">
        <v>68</v>
      </c>
      <c r="BE3643" s="3" t="s">
        <v>35191</v>
      </c>
      <c r="BF3643" s="3" t="s">
        <v>35190</v>
      </c>
      <c r="BG3643" s="3" t="s">
        <v>35192</v>
      </c>
    </row>
    <row r="3644" spans="1:59" ht="57" x14ac:dyDescent="0.45">
      <c r="A3644" s="2" t="s">
        <v>59</v>
      </c>
      <c r="B3644" s="2" t="s">
        <v>60</v>
      </c>
      <c r="C3644" s="2" t="s">
        <v>35193</v>
      </c>
      <c r="D3644" s="2" t="s">
        <v>35194</v>
      </c>
      <c r="E3644" s="2" t="s">
        <v>35195</v>
      </c>
      <c r="G3644" s="3" t="s">
        <v>62</v>
      </c>
      <c r="I3644" s="3" t="s">
        <v>62</v>
      </c>
      <c r="J3644" s="3" t="s">
        <v>62</v>
      </c>
      <c r="K3644" s="3" t="s">
        <v>63</v>
      </c>
      <c r="M3644" s="2" t="s">
        <v>35196</v>
      </c>
      <c r="N3644" s="3" t="s">
        <v>894</v>
      </c>
      <c r="P3644" s="3" t="s">
        <v>65</v>
      </c>
      <c r="Q3644" s="2" t="s">
        <v>35197</v>
      </c>
      <c r="R3644" s="3" t="s">
        <v>66</v>
      </c>
      <c r="S3644" s="4">
        <v>1</v>
      </c>
      <c r="T3644" s="4">
        <v>1</v>
      </c>
      <c r="U3644" s="5" t="s">
        <v>35198</v>
      </c>
      <c r="V3644" s="5" t="s">
        <v>35198</v>
      </c>
      <c r="W3644" s="5" t="s">
        <v>67</v>
      </c>
      <c r="X3644" s="5" t="s">
        <v>67</v>
      </c>
      <c r="Y3644" s="4">
        <v>53</v>
      </c>
      <c r="Z3644" s="4">
        <v>6</v>
      </c>
      <c r="AA3644" s="4">
        <v>63</v>
      </c>
      <c r="AB3644" s="4">
        <v>2</v>
      </c>
      <c r="AC3644" s="4">
        <v>13</v>
      </c>
      <c r="AD3644" s="4">
        <v>20</v>
      </c>
      <c r="AE3644" s="4">
        <v>97</v>
      </c>
      <c r="AF3644" s="4">
        <v>1</v>
      </c>
      <c r="AG3644" s="4">
        <v>4</v>
      </c>
      <c r="AH3644" s="4">
        <v>18</v>
      </c>
      <c r="AI3644" s="4">
        <v>72</v>
      </c>
      <c r="AJ3644" s="4">
        <v>5</v>
      </c>
      <c r="AK3644" s="4">
        <v>17</v>
      </c>
      <c r="AL3644" s="4">
        <v>10</v>
      </c>
      <c r="AM3644" s="4">
        <v>36</v>
      </c>
      <c r="AN3644" s="4">
        <v>0</v>
      </c>
      <c r="AO3644" s="4">
        <v>0</v>
      </c>
      <c r="AP3644" s="4">
        <v>5</v>
      </c>
      <c r="AQ3644" s="4">
        <v>33</v>
      </c>
      <c r="AR3644" s="3" t="s">
        <v>62</v>
      </c>
      <c r="AS3644" s="3" t="s">
        <v>62</v>
      </c>
      <c r="AT3644" s="3" t="s">
        <v>62</v>
      </c>
      <c r="AV3644" s="6" t="str">
        <f>HYPERLINK("http://mcgill.on.worldcat.org/oclc/747232715","Catalog Record")</f>
        <v>Catalog Record</v>
      </c>
      <c r="AW3644" s="6" t="str">
        <f>HYPERLINK("http://www.worldcat.org/oclc/747232715","WorldCat Record")</f>
        <v>WorldCat Record</v>
      </c>
      <c r="AX3644" s="3" t="s">
        <v>35199</v>
      </c>
      <c r="AY3644" s="3" t="s">
        <v>35200</v>
      </c>
      <c r="AZ3644" s="3" t="s">
        <v>35201</v>
      </c>
      <c r="BA3644" s="3" t="s">
        <v>35201</v>
      </c>
      <c r="BB3644" s="3" t="s">
        <v>35202</v>
      </c>
      <c r="BC3644" s="3" t="s">
        <v>142</v>
      </c>
      <c r="BD3644" s="3" t="s">
        <v>68</v>
      </c>
      <c r="BE3644" s="3" t="s">
        <v>35203</v>
      </c>
      <c r="BF3644" s="3" t="s">
        <v>35202</v>
      </c>
      <c r="BG3644" s="3" t="s">
        <v>35204</v>
      </c>
    </row>
    <row r="3645" spans="1:59" ht="57" x14ac:dyDescent="0.45">
      <c r="A3645" s="2" t="s">
        <v>59</v>
      </c>
      <c r="B3645" s="2" t="s">
        <v>60</v>
      </c>
      <c r="C3645" s="2" t="s">
        <v>35205</v>
      </c>
      <c r="D3645" s="2" t="s">
        <v>35206</v>
      </c>
      <c r="E3645" s="2" t="s">
        <v>35207</v>
      </c>
      <c r="G3645" s="3" t="s">
        <v>62</v>
      </c>
      <c r="I3645" s="3" t="s">
        <v>62</v>
      </c>
      <c r="J3645" s="3" t="s">
        <v>62</v>
      </c>
      <c r="K3645" s="3" t="s">
        <v>63</v>
      </c>
      <c r="M3645" s="2" t="s">
        <v>2786</v>
      </c>
      <c r="N3645" s="3" t="s">
        <v>945</v>
      </c>
      <c r="P3645" s="3" t="s">
        <v>65</v>
      </c>
      <c r="Q3645" s="2" t="s">
        <v>35208</v>
      </c>
      <c r="R3645" s="3" t="s">
        <v>66</v>
      </c>
      <c r="S3645" s="4">
        <v>1</v>
      </c>
      <c r="T3645" s="4">
        <v>1</v>
      </c>
      <c r="U3645" s="5" t="s">
        <v>10009</v>
      </c>
      <c r="V3645" s="5" t="s">
        <v>10009</v>
      </c>
      <c r="W3645" s="5" t="s">
        <v>67</v>
      </c>
      <c r="X3645" s="5" t="s">
        <v>67</v>
      </c>
      <c r="Y3645" s="4">
        <v>103</v>
      </c>
      <c r="Z3645" s="4">
        <v>11</v>
      </c>
      <c r="AA3645" s="4">
        <v>97</v>
      </c>
      <c r="AB3645" s="4">
        <v>1</v>
      </c>
      <c r="AC3645" s="4">
        <v>17</v>
      </c>
      <c r="AD3645" s="4">
        <v>45</v>
      </c>
      <c r="AE3645" s="4">
        <v>118</v>
      </c>
      <c r="AF3645" s="4">
        <v>0</v>
      </c>
      <c r="AG3645" s="4">
        <v>8</v>
      </c>
      <c r="AH3645" s="4">
        <v>43</v>
      </c>
      <c r="AI3645" s="4">
        <v>82</v>
      </c>
      <c r="AJ3645" s="4">
        <v>8</v>
      </c>
      <c r="AK3645" s="4">
        <v>23</v>
      </c>
      <c r="AL3645" s="4">
        <v>27</v>
      </c>
      <c r="AM3645" s="4">
        <v>43</v>
      </c>
      <c r="AN3645" s="4">
        <v>0</v>
      </c>
      <c r="AO3645" s="4">
        <v>0</v>
      </c>
      <c r="AP3645" s="4">
        <v>9</v>
      </c>
      <c r="AQ3645" s="4">
        <v>45</v>
      </c>
      <c r="AR3645" s="3" t="s">
        <v>62</v>
      </c>
      <c r="AS3645" s="3" t="s">
        <v>62</v>
      </c>
      <c r="AT3645" s="3" t="s">
        <v>62</v>
      </c>
      <c r="AV3645" s="6" t="str">
        <f>HYPERLINK("http://mcgill.on.worldcat.org/oclc/136780021","Catalog Record")</f>
        <v>Catalog Record</v>
      </c>
      <c r="AW3645" s="6" t="str">
        <f>HYPERLINK("http://www.worldcat.org/oclc/136780021","WorldCat Record")</f>
        <v>WorldCat Record</v>
      </c>
      <c r="AX3645" s="3" t="s">
        <v>35209</v>
      </c>
      <c r="AY3645" s="3" t="s">
        <v>35210</v>
      </c>
      <c r="AZ3645" s="3" t="s">
        <v>35211</v>
      </c>
      <c r="BA3645" s="3" t="s">
        <v>35211</v>
      </c>
      <c r="BB3645" s="3" t="s">
        <v>35212</v>
      </c>
      <c r="BC3645" s="3" t="s">
        <v>142</v>
      </c>
      <c r="BD3645" s="3" t="s">
        <v>68</v>
      </c>
      <c r="BE3645" s="3" t="s">
        <v>35213</v>
      </c>
      <c r="BF3645" s="3" t="s">
        <v>35212</v>
      </c>
      <c r="BG3645" s="3" t="s">
        <v>35214</v>
      </c>
    </row>
    <row r="3646" spans="1:59" ht="57" x14ac:dyDescent="0.45">
      <c r="A3646" s="2" t="s">
        <v>59</v>
      </c>
      <c r="B3646" s="2" t="s">
        <v>60</v>
      </c>
      <c r="C3646" s="2" t="s">
        <v>35215</v>
      </c>
      <c r="D3646" s="2" t="s">
        <v>35216</v>
      </c>
      <c r="E3646" s="2" t="s">
        <v>35217</v>
      </c>
      <c r="G3646" s="3" t="s">
        <v>62</v>
      </c>
      <c r="I3646" s="3" t="s">
        <v>62</v>
      </c>
      <c r="J3646" s="3" t="s">
        <v>62</v>
      </c>
      <c r="K3646" s="3" t="s">
        <v>63</v>
      </c>
      <c r="M3646" s="2" t="s">
        <v>2786</v>
      </c>
      <c r="N3646" s="3" t="s">
        <v>945</v>
      </c>
      <c r="P3646" s="3" t="s">
        <v>65</v>
      </c>
      <c r="Q3646" s="2" t="s">
        <v>35218</v>
      </c>
      <c r="R3646" s="3" t="s">
        <v>66</v>
      </c>
      <c r="S3646" s="4">
        <v>10</v>
      </c>
      <c r="T3646" s="4">
        <v>10</v>
      </c>
      <c r="U3646" s="5" t="s">
        <v>9601</v>
      </c>
      <c r="V3646" s="5" t="s">
        <v>9601</v>
      </c>
      <c r="W3646" s="5" t="s">
        <v>67</v>
      </c>
      <c r="X3646" s="5" t="s">
        <v>67</v>
      </c>
      <c r="Y3646" s="4">
        <v>124</v>
      </c>
      <c r="Z3646" s="4">
        <v>12</v>
      </c>
      <c r="AA3646" s="4">
        <v>96</v>
      </c>
      <c r="AB3646" s="4">
        <v>2</v>
      </c>
      <c r="AC3646" s="4">
        <v>17</v>
      </c>
      <c r="AD3646" s="4">
        <v>42</v>
      </c>
      <c r="AE3646" s="4">
        <v>111</v>
      </c>
      <c r="AF3646" s="4">
        <v>1</v>
      </c>
      <c r="AG3646" s="4">
        <v>8</v>
      </c>
      <c r="AH3646" s="4">
        <v>37</v>
      </c>
      <c r="AI3646" s="4">
        <v>73</v>
      </c>
      <c r="AJ3646" s="4">
        <v>8</v>
      </c>
      <c r="AK3646" s="4">
        <v>20</v>
      </c>
      <c r="AL3646" s="4">
        <v>26</v>
      </c>
      <c r="AM3646" s="4">
        <v>38</v>
      </c>
      <c r="AN3646" s="4">
        <v>0</v>
      </c>
      <c r="AO3646" s="4">
        <v>0</v>
      </c>
      <c r="AP3646" s="4">
        <v>10</v>
      </c>
      <c r="AQ3646" s="4">
        <v>44</v>
      </c>
      <c r="AR3646" s="3" t="s">
        <v>62</v>
      </c>
      <c r="AS3646" s="3" t="s">
        <v>62</v>
      </c>
      <c r="AT3646" s="3" t="s">
        <v>62</v>
      </c>
      <c r="AV3646" s="6" t="str">
        <f>HYPERLINK("http://mcgill.on.worldcat.org/oclc/122309070","Catalog Record")</f>
        <v>Catalog Record</v>
      </c>
      <c r="AW3646" s="6" t="str">
        <f>HYPERLINK("http://www.worldcat.org/oclc/122309070","WorldCat Record")</f>
        <v>WorldCat Record</v>
      </c>
      <c r="AX3646" s="3" t="s">
        <v>35219</v>
      </c>
      <c r="AY3646" s="3" t="s">
        <v>35220</v>
      </c>
      <c r="AZ3646" s="3" t="s">
        <v>35221</v>
      </c>
      <c r="BA3646" s="3" t="s">
        <v>35221</v>
      </c>
      <c r="BB3646" s="3" t="s">
        <v>35222</v>
      </c>
      <c r="BC3646" s="3" t="s">
        <v>142</v>
      </c>
      <c r="BD3646" s="3" t="s">
        <v>68</v>
      </c>
      <c r="BE3646" s="3" t="s">
        <v>35223</v>
      </c>
      <c r="BF3646" s="3" t="s">
        <v>35222</v>
      </c>
      <c r="BG3646" s="3" t="s">
        <v>35224</v>
      </c>
    </row>
    <row r="3647" spans="1:59" ht="57" x14ac:dyDescent="0.45">
      <c r="A3647" s="2" t="s">
        <v>59</v>
      </c>
      <c r="B3647" s="2" t="s">
        <v>60</v>
      </c>
      <c r="C3647" s="2" t="s">
        <v>35225</v>
      </c>
      <c r="D3647" s="2" t="s">
        <v>35226</v>
      </c>
      <c r="E3647" s="2" t="s">
        <v>35227</v>
      </c>
      <c r="G3647" s="3" t="s">
        <v>62</v>
      </c>
      <c r="I3647" s="3" t="s">
        <v>62</v>
      </c>
      <c r="J3647" s="3" t="s">
        <v>62</v>
      </c>
      <c r="K3647" s="3" t="s">
        <v>63</v>
      </c>
      <c r="L3647" s="2" t="s">
        <v>35228</v>
      </c>
      <c r="M3647" s="2" t="s">
        <v>35229</v>
      </c>
      <c r="N3647" s="3" t="s">
        <v>918</v>
      </c>
      <c r="P3647" s="3" t="s">
        <v>65</v>
      </c>
      <c r="R3647" s="3" t="s">
        <v>66</v>
      </c>
      <c r="S3647" s="4">
        <v>19</v>
      </c>
      <c r="T3647" s="4">
        <v>19</v>
      </c>
      <c r="U3647" s="5" t="s">
        <v>9601</v>
      </c>
      <c r="V3647" s="5" t="s">
        <v>9601</v>
      </c>
      <c r="W3647" s="5" t="s">
        <v>67</v>
      </c>
      <c r="X3647" s="5" t="s">
        <v>67</v>
      </c>
      <c r="Y3647" s="4">
        <v>832</v>
      </c>
      <c r="Z3647" s="4">
        <v>39</v>
      </c>
      <c r="AA3647" s="4">
        <v>45</v>
      </c>
      <c r="AB3647" s="4">
        <v>2</v>
      </c>
      <c r="AC3647" s="4">
        <v>4</v>
      </c>
      <c r="AD3647" s="4">
        <v>117</v>
      </c>
      <c r="AE3647" s="4">
        <v>122</v>
      </c>
      <c r="AF3647" s="4">
        <v>1</v>
      </c>
      <c r="AG3647" s="4">
        <v>3</v>
      </c>
      <c r="AH3647" s="4">
        <v>103</v>
      </c>
      <c r="AI3647" s="4">
        <v>106</v>
      </c>
      <c r="AJ3647" s="4">
        <v>14</v>
      </c>
      <c r="AK3647" s="4">
        <v>18</v>
      </c>
      <c r="AL3647" s="4">
        <v>55</v>
      </c>
      <c r="AM3647" s="4">
        <v>55</v>
      </c>
      <c r="AN3647" s="4">
        <v>0</v>
      </c>
      <c r="AO3647" s="4">
        <v>0</v>
      </c>
      <c r="AP3647" s="4">
        <v>22</v>
      </c>
      <c r="AQ3647" s="4">
        <v>26</v>
      </c>
      <c r="AR3647" s="3" t="s">
        <v>62</v>
      </c>
      <c r="AS3647" s="3" t="s">
        <v>62</v>
      </c>
      <c r="AT3647" s="3" t="s">
        <v>61</v>
      </c>
      <c r="AU3647" s="6" t="str">
        <f>HYPERLINK("http://catalog.hathitrust.org/Record/004347286","HathiTrust Record")</f>
        <v>HathiTrust Record</v>
      </c>
      <c r="AV3647" s="6" t="str">
        <f>HYPERLINK("http://mcgill.on.worldcat.org/oclc/52134892","Catalog Record")</f>
        <v>Catalog Record</v>
      </c>
      <c r="AW3647" s="6" t="str">
        <f>HYPERLINK("http://www.worldcat.org/oclc/52134892","WorldCat Record")</f>
        <v>WorldCat Record</v>
      </c>
      <c r="AX3647" s="3" t="s">
        <v>35230</v>
      </c>
      <c r="AY3647" s="3" t="s">
        <v>35231</v>
      </c>
      <c r="AZ3647" s="3" t="s">
        <v>35232</v>
      </c>
      <c r="BA3647" s="3" t="s">
        <v>35232</v>
      </c>
      <c r="BB3647" s="3" t="s">
        <v>35233</v>
      </c>
      <c r="BC3647" s="3" t="s">
        <v>142</v>
      </c>
      <c r="BD3647" s="3" t="s">
        <v>68</v>
      </c>
      <c r="BE3647" s="3" t="s">
        <v>35234</v>
      </c>
      <c r="BF3647" s="3" t="s">
        <v>35233</v>
      </c>
      <c r="BG3647" s="3" t="s">
        <v>35235</v>
      </c>
    </row>
    <row r="3648" spans="1:59" ht="57" x14ac:dyDescent="0.45">
      <c r="A3648" s="2" t="s">
        <v>59</v>
      </c>
      <c r="B3648" s="2" t="s">
        <v>60</v>
      </c>
      <c r="C3648" s="2" t="s">
        <v>35236</v>
      </c>
      <c r="D3648" s="2" t="s">
        <v>35237</v>
      </c>
      <c r="E3648" s="2" t="s">
        <v>35238</v>
      </c>
      <c r="G3648" s="3" t="s">
        <v>62</v>
      </c>
      <c r="I3648" s="3" t="s">
        <v>62</v>
      </c>
      <c r="J3648" s="3" t="s">
        <v>62</v>
      </c>
      <c r="K3648" s="3" t="s">
        <v>63</v>
      </c>
      <c r="L3648" s="2" t="s">
        <v>35239</v>
      </c>
      <c r="M3648" s="2" t="s">
        <v>4429</v>
      </c>
      <c r="N3648" s="3" t="s">
        <v>1097</v>
      </c>
      <c r="P3648" s="3" t="s">
        <v>65</v>
      </c>
      <c r="R3648" s="3" t="s">
        <v>66</v>
      </c>
      <c r="S3648" s="4">
        <v>15</v>
      </c>
      <c r="T3648" s="4">
        <v>15</v>
      </c>
      <c r="U3648" s="5" t="s">
        <v>21938</v>
      </c>
      <c r="V3648" s="5" t="s">
        <v>21938</v>
      </c>
      <c r="W3648" s="5" t="s">
        <v>67</v>
      </c>
      <c r="X3648" s="5" t="s">
        <v>67</v>
      </c>
      <c r="Y3648" s="4">
        <v>687</v>
      </c>
      <c r="Z3648" s="4">
        <v>39</v>
      </c>
      <c r="AA3648" s="4">
        <v>44</v>
      </c>
      <c r="AB3648" s="4">
        <v>2</v>
      </c>
      <c r="AC3648" s="4">
        <v>5</v>
      </c>
      <c r="AD3648" s="4">
        <v>117</v>
      </c>
      <c r="AE3648" s="4">
        <v>121</v>
      </c>
      <c r="AF3648" s="4">
        <v>1</v>
      </c>
      <c r="AG3648" s="4">
        <v>4</v>
      </c>
      <c r="AH3648" s="4">
        <v>98</v>
      </c>
      <c r="AI3648" s="4">
        <v>99</v>
      </c>
      <c r="AJ3648" s="4">
        <v>18</v>
      </c>
      <c r="AK3648" s="4">
        <v>21</v>
      </c>
      <c r="AL3648" s="4">
        <v>54</v>
      </c>
      <c r="AM3648" s="4">
        <v>54</v>
      </c>
      <c r="AN3648" s="4">
        <v>0</v>
      </c>
      <c r="AO3648" s="4">
        <v>0</v>
      </c>
      <c r="AP3648" s="4">
        <v>27</v>
      </c>
      <c r="AQ3648" s="4">
        <v>30</v>
      </c>
      <c r="AR3648" s="3" t="s">
        <v>62</v>
      </c>
      <c r="AS3648" s="3" t="s">
        <v>62</v>
      </c>
      <c r="AT3648" s="3" t="s">
        <v>62</v>
      </c>
      <c r="AV3648" s="6" t="str">
        <f>HYPERLINK("http://mcgill.on.worldcat.org/oclc/54988987","Catalog Record")</f>
        <v>Catalog Record</v>
      </c>
      <c r="AW3648" s="6" t="str">
        <f>HYPERLINK("http://www.worldcat.org/oclc/54988987","WorldCat Record")</f>
        <v>WorldCat Record</v>
      </c>
      <c r="AX3648" s="3" t="s">
        <v>35240</v>
      </c>
      <c r="AY3648" s="3" t="s">
        <v>35241</v>
      </c>
      <c r="AZ3648" s="3" t="s">
        <v>35242</v>
      </c>
      <c r="BA3648" s="3" t="s">
        <v>35242</v>
      </c>
      <c r="BB3648" s="3" t="s">
        <v>35243</v>
      </c>
      <c r="BC3648" s="3" t="s">
        <v>142</v>
      </c>
      <c r="BD3648" s="3" t="s">
        <v>68</v>
      </c>
      <c r="BE3648" s="3" t="s">
        <v>35244</v>
      </c>
      <c r="BF3648" s="3" t="s">
        <v>35243</v>
      </c>
      <c r="BG3648" s="3" t="s">
        <v>35245</v>
      </c>
    </row>
    <row r="3649" spans="1:59" ht="57" x14ac:dyDescent="0.45">
      <c r="A3649" s="2" t="s">
        <v>59</v>
      </c>
      <c r="B3649" s="2" t="s">
        <v>60</v>
      </c>
      <c r="C3649" s="2" t="s">
        <v>35246</v>
      </c>
      <c r="D3649" s="2" t="s">
        <v>35247</v>
      </c>
      <c r="E3649" s="2" t="s">
        <v>35248</v>
      </c>
      <c r="G3649" s="3" t="s">
        <v>62</v>
      </c>
      <c r="I3649" s="3" t="s">
        <v>62</v>
      </c>
      <c r="J3649" s="3" t="s">
        <v>62</v>
      </c>
      <c r="K3649" s="3" t="s">
        <v>63</v>
      </c>
      <c r="M3649" s="2" t="s">
        <v>10539</v>
      </c>
      <c r="N3649" s="3" t="s">
        <v>1212</v>
      </c>
      <c r="P3649" s="3" t="s">
        <v>65</v>
      </c>
      <c r="Q3649" s="2" t="s">
        <v>35249</v>
      </c>
      <c r="R3649" s="3" t="s">
        <v>66</v>
      </c>
      <c r="S3649" s="4">
        <v>37</v>
      </c>
      <c r="T3649" s="4">
        <v>37</v>
      </c>
      <c r="U3649" s="5" t="s">
        <v>4817</v>
      </c>
      <c r="V3649" s="5" t="s">
        <v>4817</v>
      </c>
      <c r="W3649" s="5" t="s">
        <v>67</v>
      </c>
      <c r="X3649" s="5" t="s">
        <v>67</v>
      </c>
      <c r="Y3649" s="4">
        <v>498</v>
      </c>
      <c r="Z3649" s="4">
        <v>31</v>
      </c>
      <c r="AA3649" s="4">
        <v>37</v>
      </c>
      <c r="AB3649" s="4">
        <v>2</v>
      </c>
      <c r="AC3649" s="4">
        <v>6</v>
      </c>
      <c r="AD3649" s="4">
        <v>110</v>
      </c>
      <c r="AE3649" s="4">
        <v>115</v>
      </c>
      <c r="AF3649" s="4">
        <v>1</v>
      </c>
      <c r="AG3649" s="4">
        <v>4</v>
      </c>
      <c r="AH3649" s="4">
        <v>91</v>
      </c>
      <c r="AI3649" s="4">
        <v>93</v>
      </c>
      <c r="AJ3649" s="4">
        <v>17</v>
      </c>
      <c r="AK3649" s="4">
        <v>22</v>
      </c>
      <c r="AL3649" s="4">
        <v>53</v>
      </c>
      <c r="AM3649" s="4">
        <v>53</v>
      </c>
      <c r="AN3649" s="4">
        <v>0</v>
      </c>
      <c r="AO3649" s="4">
        <v>0</v>
      </c>
      <c r="AP3649" s="4">
        <v>25</v>
      </c>
      <c r="AQ3649" s="4">
        <v>29</v>
      </c>
      <c r="AR3649" s="3" t="s">
        <v>62</v>
      </c>
      <c r="AS3649" s="3" t="s">
        <v>62</v>
      </c>
      <c r="AT3649" s="3" t="s">
        <v>62</v>
      </c>
      <c r="AV3649" s="6" t="str">
        <f>HYPERLINK("http://mcgill.on.worldcat.org/oclc/41621675","Catalog Record")</f>
        <v>Catalog Record</v>
      </c>
      <c r="AW3649" s="6" t="str">
        <f>HYPERLINK("http://www.worldcat.org/oclc/41621675","WorldCat Record")</f>
        <v>WorldCat Record</v>
      </c>
      <c r="AX3649" s="3" t="s">
        <v>35250</v>
      </c>
      <c r="AY3649" s="3" t="s">
        <v>35251</v>
      </c>
      <c r="AZ3649" s="3" t="s">
        <v>35252</v>
      </c>
      <c r="BA3649" s="3" t="s">
        <v>35252</v>
      </c>
      <c r="BB3649" s="3" t="s">
        <v>35253</v>
      </c>
      <c r="BC3649" s="3" t="s">
        <v>142</v>
      </c>
      <c r="BD3649" s="3" t="s">
        <v>68</v>
      </c>
      <c r="BE3649" s="3" t="s">
        <v>35254</v>
      </c>
      <c r="BF3649" s="3" t="s">
        <v>35253</v>
      </c>
      <c r="BG3649" s="3" t="s">
        <v>35255</v>
      </c>
    </row>
    <row r="3650" spans="1:59" ht="57" x14ac:dyDescent="0.45">
      <c r="A3650" s="2" t="s">
        <v>59</v>
      </c>
      <c r="B3650" s="2" t="s">
        <v>60</v>
      </c>
      <c r="C3650" s="2" t="s">
        <v>35256</v>
      </c>
      <c r="D3650" s="2" t="s">
        <v>35257</v>
      </c>
      <c r="E3650" s="2" t="s">
        <v>35258</v>
      </c>
      <c r="G3650" s="3" t="s">
        <v>62</v>
      </c>
      <c r="I3650" s="3" t="s">
        <v>62</v>
      </c>
      <c r="J3650" s="3" t="s">
        <v>62</v>
      </c>
      <c r="K3650" s="3" t="s">
        <v>63</v>
      </c>
      <c r="M3650" s="2" t="s">
        <v>35259</v>
      </c>
      <c r="N3650" s="3" t="s">
        <v>958</v>
      </c>
      <c r="P3650" s="3" t="s">
        <v>65</v>
      </c>
      <c r="R3650" s="3" t="s">
        <v>66</v>
      </c>
      <c r="S3650" s="4">
        <v>47</v>
      </c>
      <c r="T3650" s="4">
        <v>47</v>
      </c>
      <c r="U3650" s="5" t="s">
        <v>9601</v>
      </c>
      <c r="V3650" s="5" t="s">
        <v>9601</v>
      </c>
      <c r="W3650" s="5" t="s">
        <v>67</v>
      </c>
      <c r="X3650" s="5" t="s">
        <v>67</v>
      </c>
      <c r="Y3650" s="4">
        <v>362</v>
      </c>
      <c r="Z3650" s="4">
        <v>22</v>
      </c>
      <c r="AA3650" s="4">
        <v>28</v>
      </c>
      <c r="AB3650" s="4">
        <v>2</v>
      </c>
      <c r="AC3650" s="4">
        <v>7</v>
      </c>
      <c r="AD3650" s="4">
        <v>98</v>
      </c>
      <c r="AE3650" s="4">
        <v>102</v>
      </c>
      <c r="AF3650" s="4">
        <v>1</v>
      </c>
      <c r="AG3650" s="4">
        <v>3</v>
      </c>
      <c r="AH3650" s="4">
        <v>88</v>
      </c>
      <c r="AI3650" s="4">
        <v>89</v>
      </c>
      <c r="AJ3650" s="4">
        <v>16</v>
      </c>
      <c r="AK3650" s="4">
        <v>18</v>
      </c>
      <c r="AL3650" s="4">
        <v>49</v>
      </c>
      <c r="AM3650" s="4">
        <v>49</v>
      </c>
      <c r="AN3650" s="4">
        <v>0</v>
      </c>
      <c r="AO3650" s="4">
        <v>0</v>
      </c>
      <c r="AP3650" s="4">
        <v>17</v>
      </c>
      <c r="AQ3650" s="4">
        <v>19</v>
      </c>
      <c r="AR3650" s="3" t="s">
        <v>62</v>
      </c>
      <c r="AS3650" s="3" t="s">
        <v>62</v>
      </c>
      <c r="AT3650" s="3" t="s">
        <v>61</v>
      </c>
      <c r="AU3650" s="6" t="str">
        <f>HYPERLINK("http://catalog.hathitrust.org/Record/002995974","HathiTrust Record")</f>
        <v>HathiTrust Record</v>
      </c>
      <c r="AV3650" s="6" t="str">
        <f>HYPERLINK("http://mcgill.on.worldcat.org/oclc/31434174","Catalog Record")</f>
        <v>Catalog Record</v>
      </c>
      <c r="AW3650" s="6" t="str">
        <f>HYPERLINK("http://www.worldcat.org/oclc/31434174","WorldCat Record")</f>
        <v>WorldCat Record</v>
      </c>
      <c r="AX3650" s="3" t="s">
        <v>35260</v>
      </c>
      <c r="AY3650" s="3" t="s">
        <v>35261</v>
      </c>
      <c r="AZ3650" s="3" t="s">
        <v>35262</v>
      </c>
      <c r="BA3650" s="3" t="s">
        <v>35262</v>
      </c>
      <c r="BB3650" s="3" t="s">
        <v>35263</v>
      </c>
      <c r="BC3650" s="3" t="s">
        <v>142</v>
      </c>
      <c r="BD3650" s="3" t="s">
        <v>68</v>
      </c>
      <c r="BE3650" s="3" t="s">
        <v>35264</v>
      </c>
      <c r="BF3650" s="3" t="s">
        <v>35263</v>
      </c>
      <c r="BG3650" s="3" t="s">
        <v>35265</v>
      </c>
    </row>
    <row r="3651" spans="1:59" ht="57" x14ac:dyDescent="0.45">
      <c r="A3651" s="2" t="s">
        <v>59</v>
      </c>
      <c r="B3651" s="2" t="s">
        <v>60</v>
      </c>
      <c r="C3651" s="2" t="s">
        <v>35266</v>
      </c>
      <c r="D3651" s="2" t="s">
        <v>35267</v>
      </c>
      <c r="E3651" s="2" t="s">
        <v>35268</v>
      </c>
      <c r="G3651" s="3" t="s">
        <v>62</v>
      </c>
      <c r="I3651" s="3" t="s">
        <v>62</v>
      </c>
      <c r="J3651" s="3" t="s">
        <v>62</v>
      </c>
      <c r="K3651" s="3" t="s">
        <v>63</v>
      </c>
      <c r="L3651" s="2" t="s">
        <v>35269</v>
      </c>
      <c r="M3651" s="2" t="s">
        <v>35270</v>
      </c>
      <c r="N3651" s="3" t="s">
        <v>1212</v>
      </c>
      <c r="P3651" s="3" t="s">
        <v>65</v>
      </c>
      <c r="R3651" s="3" t="s">
        <v>66</v>
      </c>
      <c r="S3651" s="4">
        <v>1</v>
      </c>
      <c r="T3651" s="4">
        <v>1</v>
      </c>
      <c r="U3651" s="5" t="s">
        <v>29056</v>
      </c>
      <c r="V3651" s="5" t="s">
        <v>29056</v>
      </c>
      <c r="W3651" s="5" t="s">
        <v>67</v>
      </c>
      <c r="X3651" s="5" t="s">
        <v>67</v>
      </c>
      <c r="Y3651" s="4">
        <v>4</v>
      </c>
      <c r="Z3651" s="4">
        <v>1</v>
      </c>
      <c r="AA3651" s="4">
        <v>2</v>
      </c>
      <c r="AB3651" s="4">
        <v>1</v>
      </c>
      <c r="AC3651" s="4">
        <v>1</v>
      </c>
      <c r="AD3651" s="4">
        <v>0</v>
      </c>
      <c r="AE3651" s="4">
        <v>1</v>
      </c>
      <c r="AF3651" s="4">
        <v>0</v>
      </c>
      <c r="AG3651" s="4">
        <v>0</v>
      </c>
      <c r="AH3651" s="4">
        <v>0</v>
      </c>
      <c r="AI3651" s="4">
        <v>1</v>
      </c>
      <c r="AJ3651" s="4">
        <v>0</v>
      </c>
      <c r="AK3651" s="4">
        <v>1</v>
      </c>
      <c r="AL3651" s="4">
        <v>0</v>
      </c>
      <c r="AM3651" s="4">
        <v>0</v>
      </c>
      <c r="AN3651" s="4">
        <v>0</v>
      </c>
      <c r="AO3651" s="4">
        <v>0</v>
      </c>
      <c r="AP3651" s="4">
        <v>0</v>
      </c>
      <c r="AQ3651" s="4">
        <v>1</v>
      </c>
      <c r="AR3651" s="3" t="s">
        <v>62</v>
      </c>
      <c r="AS3651" s="3" t="s">
        <v>62</v>
      </c>
      <c r="AT3651" s="3" t="s">
        <v>62</v>
      </c>
      <c r="AV3651" s="6" t="str">
        <f>HYPERLINK("http://mcgill.on.worldcat.org/oclc/641917883","Catalog Record")</f>
        <v>Catalog Record</v>
      </c>
      <c r="AW3651" s="6" t="str">
        <f>HYPERLINK("http://www.worldcat.org/oclc/641917883","WorldCat Record")</f>
        <v>WorldCat Record</v>
      </c>
      <c r="AX3651" s="3" t="s">
        <v>35271</v>
      </c>
      <c r="AY3651" s="3" t="s">
        <v>35272</v>
      </c>
      <c r="AZ3651" s="3" t="s">
        <v>35273</v>
      </c>
      <c r="BA3651" s="3" t="s">
        <v>35273</v>
      </c>
      <c r="BB3651" s="3" t="s">
        <v>35274</v>
      </c>
      <c r="BC3651" s="3" t="s">
        <v>104</v>
      </c>
      <c r="BD3651" s="3" t="s">
        <v>68</v>
      </c>
      <c r="BF3651" s="3" t="s">
        <v>35274</v>
      </c>
      <c r="BG3651" s="3" t="s">
        <v>35275</v>
      </c>
    </row>
    <row r="3652" spans="1:59" ht="57" x14ac:dyDescent="0.45">
      <c r="A3652" s="2" t="s">
        <v>59</v>
      </c>
      <c r="B3652" s="2" t="s">
        <v>60</v>
      </c>
      <c r="C3652" s="2" t="s">
        <v>35276</v>
      </c>
      <c r="D3652" s="2" t="s">
        <v>35277</v>
      </c>
      <c r="E3652" s="2" t="s">
        <v>35278</v>
      </c>
      <c r="G3652" s="3" t="s">
        <v>62</v>
      </c>
      <c r="I3652" s="3" t="s">
        <v>62</v>
      </c>
      <c r="J3652" s="3" t="s">
        <v>62</v>
      </c>
      <c r="K3652" s="3" t="s">
        <v>63</v>
      </c>
      <c r="L3652" s="2" t="s">
        <v>2391</v>
      </c>
      <c r="M3652" s="2" t="s">
        <v>35279</v>
      </c>
      <c r="N3652" s="3" t="s">
        <v>1855</v>
      </c>
      <c r="P3652" s="3" t="s">
        <v>65</v>
      </c>
      <c r="R3652" s="3" t="s">
        <v>66</v>
      </c>
      <c r="S3652" s="4">
        <v>21</v>
      </c>
      <c r="T3652" s="4">
        <v>21</v>
      </c>
      <c r="U3652" s="5" t="s">
        <v>4315</v>
      </c>
      <c r="V3652" s="5" t="s">
        <v>4315</v>
      </c>
      <c r="W3652" s="5" t="s">
        <v>67</v>
      </c>
      <c r="X3652" s="5" t="s">
        <v>67</v>
      </c>
      <c r="Y3652" s="4">
        <v>585</v>
      </c>
      <c r="Z3652" s="4">
        <v>38</v>
      </c>
      <c r="AA3652" s="4">
        <v>122</v>
      </c>
      <c r="AB3652" s="4">
        <v>3</v>
      </c>
      <c r="AC3652" s="4">
        <v>20</v>
      </c>
      <c r="AD3652" s="4">
        <v>116</v>
      </c>
      <c r="AE3652" s="4">
        <v>153</v>
      </c>
      <c r="AF3652" s="4">
        <v>1</v>
      </c>
      <c r="AG3652" s="4">
        <v>8</v>
      </c>
      <c r="AH3652" s="4">
        <v>100</v>
      </c>
      <c r="AI3652" s="4">
        <v>109</v>
      </c>
      <c r="AJ3652" s="4">
        <v>20</v>
      </c>
      <c r="AK3652" s="4">
        <v>27</v>
      </c>
      <c r="AL3652" s="4">
        <v>52</v>
      </c>
      <c r="AM3652" s="4">
        <v>58</v>
      </c>
      <c r="AN3652" s="4">
        <v>0</v>
      </c>
      <c r="AO3652" s="4">
        <v>0</v>
      </c>
      <c r="AP3652" s="4">
        <v>25</v>
      </c>
      <c r="AQ3652" s="4">
        <v>53</v>
      </c>
      <c r="AR3652" s="3" t="s">
        <v>62</v>
      </c>
      <c r="AS3652" s="3" t="s">
        <v>62</v>
      </c>
      <c r="AT3652" s="3" t="s">
        <v>62</v>
      </c>
      <c r="AV3652" s="6" t="str">
        <f>HYPERLINK("http://mcgill.on.worldcat.org/oclc/61217446","Catalog Record")</f>
        <v>Catalog Record</v>
      </c>
      <c r="AW3652" s="6" t="str">
        <f>HYPERLINK("http://www.worldcat.org/oclc/61217446","WorldCat Record")</f>
        <v>WorldCat Record</v>
      </c>
      <c r="AX3652" s="3" t="s">
        <v>35280</v>
      </c>
      <c r="AY3652" s="3" t="s">
        <v>35281</v>
      </c>
      <c r="AZ3652" s="3" t="s">
        <v>35282</v>
      </c>
      <c r="BA3652" s="3" t="s">
        <v>35282</v>
      </c>
      <c r="BB3652" s="3" t="s">
        <v>35283</v>
      </c>
      <c r="BC3652" s="3" t="s">
        <v>142</v>
      </c>
      <c r="BD3652" s="3" t="s">
        <v>68</v>
      </c>
      <c r="BE3652" s="3" t="s">
        <v>35284</v>
      </c>
      <c r="BF3652" s="3" t="s">
        <v>35283</v>
      </c>
      <c r="BG3652" s="3" t="s">
        <v>35285</v>
      </c>
    </row>
    <row r="3653" spans="1:59" ht="57" x14ac:dyDescent="0.45">
      <c r="A3653" s="2" t="s">
        <v>59</v>
      </c>
      <c r="B3653" s="2" t="s">
        <v>60</v>
      </c>
      <c r="C3653" s="2" t="s">
        <v>35286</v>
      </c>
      <c r="D3653" s="2" t="s">
        <v>35287</v>
      </c>
      <c r="E3653" s="2" t="s">
        <v>35288</v>
      </c>
      <c r="G3653" s="3" t="s">
        <v>62</v>
      </c>
      <c r="I3653" s="3" t="s">
        <v>62</v>
      </c>
      <c r="J3653" s="3" t="s">
        <v>62</v>
      </c>
      <c r="K3653" s="3" t="s">
        <v>63</v>
      </c>
      <c r="L3653" s="2" t="s">
        <v>2391</v>
      </c>
      <c r="M3653" s="2" t="s">
        <v>35289</v>
      </c>
      <c r="N3653" s="3" t="s">
        <v>84</v>
      </c>
      <c r="P3653" s="3" t="s">
        <v>65</v>
      </c>
      <c r="R3653" s="3" t="s">
        <v>66</v>
      </c>
      <c r="S3653" s="4">
        <v>79</v>
      </c>
      <c r="T3653" s="4">
        <v>79</v>
      </c>
      <c r="U3653" s="5" t="s">
        <v>4817</v>
      </c>
      <c r="V3653" s="5" t="s">
        <v>4817</v>
      </c>
      <c r="W3653" s="5" t="s">
        <v>67</v>
      </c>
      <c r="X3653" s="5" t="s">
        <v>67</v>
      </c>
      <c r="Y3653" s="4">
        <v>793</v>
      </c>
      <c r="Z3653" s="4">
        <v>40</v>
      </c>
      <c r="AA3653" s="4">
        <v>47</v>
      </c>
      <c r="AB3653" s="4">
        <v>1</v>
      </c>
      <c r="AC3653" s="4">
        <v>5</v>
      </c>
      <c r="AD3653" s="4">
        <v>124</v>
      </c>
      <c r="AE3653" s="4">
        <v>131</v>
      </c>
      <c r="AF3653" s="4">
        <v>0</v>
      </c>
      <c r="AG3653" s="4">
        <v>3</v>
      </c>
      <c r="AH3653" s="4">
        <v>106</v>
      </c>
      <c r="AI3653" s="4">
        <v>109</v>
      </c>
      <c r="AJ3653" s="4">
        <v>18</v>
      </c>
      <c r="AK3653" s="4">
        <v>22</v>
      </c>
      <c r="AL3653" s="4">
        <v>55</v>
      </c>
      <c r="AM3653" s="4">
        <v>57</v>
      </c>
      <c r="AN3653" s="4">
        <v>0</v>
      </c>
      <c r="AO3653" s="4">
        <v>0</v>
      </c>
      <c r="AP3653" s="4">
        <v>28</v>
      </c>
      <c r="AQ3653" s="4">
        <v>32</v>
      </c>
      <c r="AR3653" s="3" t="s">
        <v>62</v>
      </c>
      <c r="AS3653" s="3" t="s">
        <v>62</v>
      </c>
      <c r="AT3653" s="3" t="s">
        <v>62</v>
      </c>
      <c r="AV3653" s="6" t="str">
        <f>HYPERLINK("http://mcgill.on.worldcat.org/oclc/24379126","Catalog Record")</f>
        <v>Catalog Record</v>
      </c>
      <c r="AW3653" s="6" t="str">
        <f>HYPERLINK("http://www.worldcat.org/oclc/24379126","WorldCat Record")</f>
        <v>WorldCat Record</v>
      </c>
      <c r="AX3653" s="3" t="s">
        <v>35290</v>
      </c>
      <c r="AY3653" s="3" t="s">
        <v>35291</v>
      </c>
      <c r="AZ3653" s="3" t="s">
        <v>35292</v>
      </c>
      <c r="BA3653" s="3" t="s">
        <v>35292</v>
      </c>
      <c r="BB3653" s="3" t="s">
        <v>35293</v>
      </c>
      <c r="BC3653" s="3" t="s">
        <v>142</v>
      </c>
      <c r="BD3653" s="3" t="s">
        <v>68</v>
      </c>
      <c r="BE3653" s="3" t="s">
        <v>35294</v>
      </c>
      <c r="BF3653" s="3" t="s">
        <v>35293</v>
      </c>
      <c r="BG3653" s="3" t="s">
        <v>35295</v>
      </c>
    </row>
    <row r="3654" spans="1:59" ht="57" x14ac:dyDescent="0.45">
      <c r="A3654" s="2" t="s">
        <v>59</v>
      </c>
      <c r="B3654" s="2" t="s">
        <v>60</v>
      </c>
      <c r="C3654" s="2" t="s">
        <v>35296</v>
      </c>
      <c r="D3654" s="2" t="s">
        <v>35297</v>
      </c>
      <c r="E3654" s="2" t="s">
        <v>35298</v>
      </c>
      <c r="G3654" s="3" t="s">
        <v>62</v>
      </c>
      <c r="I3654" s="3" t="s">
        <v>62</v>
      </c>
      <c r="J3654" s="3" t="s">
        <v>62</v>
      </c>
      <c r="K3654" s="3" t="s">
        <v>63</v>
      </c>
      <c r="L3654" s="2" t="s">
        <v>35299</v>
      </c>
      <c r="M3654" s="2" t="s">
        <v>35300</v>
      </c>
      <c r="N3654" s="3" t="s">
        <v>1212</v>
      </c>
      <c r="P3654" s="3" t="s">
        <v>110</v>
      </c>
      <c r="Q3654" s="2" t="s">
        <v>35301</v>
      </c>
      <c r="R3654" s="3" t="s">
        <v>66</v>
      </c>
      <c r="S3654" s="4">
        <v>3</v>
      </c>
      <c r="T3654" s="4">
        <v>3</v>
      </c>
      <c r="U3654" s="5" t="s">
        <v>1870</v>
      </c>
      <c r="V3654" s="5" t="s">
        <v>1870</v>
      </c>
      <c r="W3654" s="5" t="s">
        <v>67</v>
      </c>
      <c r="X3654" s="5" t="s">
        <v>67</v>
      </c>
      <c r="Y3654" s="4">
        <v>21</v>
      </c>
      <c r="Z3654" s="4">
        <v>14</v>
      </c>
      <c r="AA3654" s="4">
        <v>18</v>
      </c>
      <c r="AB3654" s="4">
        <v>3</v>
      </c>
      <c r="AC3654" s="4">
        <v>6</v>
      </c>
      <c r="AD3654" s="4">
        <v>14</v>
      </c>
      <c r="AE3654" s="4">
        <v>17</v>
      </c>
      <c r="AF3654" s="4">
        <v>2</v>
      </c>
      <c r="AG3654" s="4">
        <v>3</v>
      </c>
      <c r="AH3654" s="4">
        <v>9</v>
      </c>
      <c r="AI3654" s="4">
        <v>11</v>
      </c>
      <c r="AJ3654" s="4">
        <v>10</v>
      </c>
      <c r="AK3654" s="4">
        <v>12</v>
      </c>
      <c r="AL3654" s="4">
        <v>4</v>
      </c>
      <c r="AM3654" s="4">
        <v>5</v>
      </c>
      <c r="AN3654" s="4">
        <v>0</v>
      </c>
      <c r="AO3654" s="4">
        <v>0</v>
      </c>
      <c r="AP3654" s="4">
        <v>9</v>
      </c>
      <c r="AQ3654" s="4">
        <v>11</v>
      </c>
      <c r="AR3654" s="3" t="s">
        <v>61</v>
      </c>
      <c r="AS3654" s="3" t="s">
        <v>62</v>
      </c>
      <c r="AT3654" s="3" t="s">
        <v>62</v>
      </c>
      <c r="AV3654" s="6" t="str">
        <f>HYPERLINK("http://mcgill.on.worldcat.org/oclc/43278954","Catalog Record")</f>
        <v>Catalog Record</v>
      </c>
      <c r="AW3654" s="6" t="str">
        <f>HYPERLINK("http://www.worldcat.org/oclc/43278954","WorldCat Record")</f>
        <v>WorldCat Record</v>
      </c>
      <c r="AX3654" s="3" t="s">
        <v>35302</v>
      </c>
      <c r="AY3654" s="3" t="s">
        <v>35303</v>
      </c>
      <c r="AZ3654" s="3" t="s">
        <v>35304</v>
      </c>
      <c r="BA3654" s="3" t="s">
        <v>35304</v>
      </c>
      <c r="BB3654" s="3" t="s">
        <v>35305</v>
      </c>
      <c r="BC3654" s="3" t="s">
        <v>142</v>
      </c>
      <c r="BD3654" s="3" t="s">
        <v>68</v>
      </c>
      <c r="BE3654" s="3" t="s">
        <v>35306</v>
      </c>
      <c r="BF3654" s="3" t="s">
        <v>35305</v>
      </c>
      <c r="BG3654" s="3" t="s">
        <v>35307</v>
      </c>
    </row>
    <row r="3655" spans="1:59" ht="57" x14ac:dyDescent="0.45">
      <c r="A3655" s="2" t="s">
        <v>59</v>
      </c>
      <c r="B3655" s="2" t="s">
        <v>60</v>
      </c>
      <c r="C3655" s="2" t="s">
        <v>35308</v>
      </c>
      <c r="D3655" s="2" t="s">
        <v>35309</v>
      </c>
      <c r="E3655" s="2" t="s">
        <v>35310</v>
      </c>
      <c r="G3655" s="3" t="s">
        <v>62</v>
      </c>
      <c r="I3655" s="3" t="s">
        <v>62</v>
      </c>
      <c r="J3655" s="3" t="s">
        <v>62</v>
      </c>
      <c r="K3655" s="3" t="s">
        <v>63</v>
      </c>
      <c r="M3655" s="2" t="s">
        <v>5849</v>
      </c>
      <c r="N3655" s="3" t="s">
        <v>1688</v>
      </c>
      <c r="P3655" s="3" t="s">
        <v>65</v>
      </c>
      <c r="Q3655" s="2" t="s">
        <v>35311</v>
      </c>
      <c r="R3655" s="3" t="s">
        <v>66</v>
      </c>
      <c r="S3655" s="4">
        <v>2</v>
      </c>
      <c r="T3655" s="4">
        <v>2</v>
      </c>
      <c r="U3655" s="5" t="s">
        <v>35312</v>
      </c>
      <c r="V3655" s="5" t="s">
        <v>35312</v>
      </c>
      <c r="W3655" s="5" t="s">
        <v>67</v>
      </c>
      <c r="X3655" s="5" t="s">
        <v>67</v>
      </c>
      <c r="Y3655" s="4">
        <v>102</v>
      </c>
      <c r="Z3655" s="4">
        <v>16</v>
      </c>
      <c r="AA3655" s="4">
        <v>18</v>
      </c>
      <c r="AB3655" s="4">
        <v>1</v>
      </c>
      <c r="AC3655" s="4">
        <v>3</v>
      </c>
      <c r="AD3655" s="4">
        <v>43</v>
      </c>
      <c r="AE3655" s="4">
        <v>45</v>
      </c>
      <c r="AF3655" s="4">
        <v>0</v>
      </c>
      <c r="AG3655" s="4">
        <v>2</v>
      </c>
      <c r="AH3655" s="4">
        <v>39</v>
      </c>
      <c r="AI3655" s="4">
        <v>40</v>
      </c>
      <c r="AJ3655" s="4">
        <v>12</v>
      </c>
      <c r="AK3655" s="4">
        <v>14</v>
      </c>
      <c r="AL3655" s="4">
        <v>21</v>
      </c>
      <c r="AM3655" s="4">
        <v>21</v>
      </c>
      <c r="AN3655" s="4">
        <v>0</v>
      </c>
      <c r="AO3655" s="4">
        <v>0</v>
      </c>
      <c r="AP3655" s="4">
        <v>13</v>
      </c>
      <c r="AQ3655" s="4">
        <v>15</v>
      </c>
      <c r="AR3655" s="3" t="s">
        <v>62</v>
      </c>
      <c r="AS3655" s="3" t="s">
        <v>62</v>
      </c>
      <c r="AT3655" s="3" t="s">
        <v>62</v>
      </c>
      <c r="AV3655" s="6" t="str">
        <f>HYPERLINK("http://mcgill.on.worldcat.org/oclc/862092449","Catalog Record")</f>
        <v>Catalog Record</v>
      </c>
      <c r="AW3655" s="6" t="str">
        <f>HYPERLINK("http://www.worldcat.org/oclc/862092449","WorldCat Record")</f>
        <v>WorldCat Record</v>
      </c>
      <c r="AX3655" s="3" t="s">
        <v>35313</v>
      </c>
      <c r="AY3655" s="3" t="s">
        <v>35314</v>
      </c>
      <c r="AZ3655" s="3" t="s">
        <v>35315</v>
      </c>
      <c r="BA3655" s="3" t="s">
        <v>35315</v>
      </c>
      <c r="BB3655" s="3" t="s">
        <v>35316</v>
      </c>
      <c r="BC3655" s="3" t="s">
        <v>142</v>
      </c>
      <c r="BD3655" s="3" t="s">
        <v>68</v>
      </c>
      <c r="BE3655" s="3" t="s">
        <v>35317</v>
      </c>
      <c r="BF3655" s="3" t="s">
        <v>35316</v>
      </c>
      <c r="BG3655" s="3" t="s">
        <v>35318</v>
      </c>
    </row>
    <row r="3656" spans="1:59" ht="57" x14ac:dyDescent="0.45">
      <c r="A3656" s="2" t="s">
        <v>59</v>
      </c>
      <c r="B3656" s="2" t="s">
        <v>60</v>
      </c>
      <c r="C3656" s="2" t="s">
        <v>35319</v>
      </c>
      <c r="D3656" s="2" t="s">
        <v>35320</v>
      </c>
      <c r="E3656" s="2" t="s">
        <v>35321</v>
      </c>
      <c r="G3656" s="3" t="s">
        <v>62</v>
      </c>
      <c r="I3656" s="3" t="s">
        <v>62</v>
      </c>
      <c r="J3656" s="3" t="s">
        <v>62</v>
      </c>
      <c r="K3656" s="3" t="s">
        <v>63</v>
      </c>
      <c r="M3656" s="2" t="s">
        <v>35322</v>
      </c>
      <c r="N3656" s="3" t="s">
        <v>820</v>
      </c>
      <c r="P3656" s="3" t="s">
        <v>65</v>
      </c>
      <c r="Q3656" s="2" t="s">
        <v>35323</v>
      </c>
      <c r="R3656" s="3" t="s">
        <v>66</v>
      </c>
      <c r="S3656" s="4">
        <v>4</v>
      </c>
      <c r="T3656" s="4">
        <v>4</v>
      </c>
      <c r="U3656" s="5" t="s">
        <v>35312</v>
      </c>
      <c r="V3656" s="5" t="s">
        <v>35312</v>
      </c>
      <c r="W3656" s="5" t="s">
        <v>67</v>
      </c>
      <c r="X3656" s="5" t="s">
        <v>67</v>
      </c>
      <c r="Y3656" s="4">
        <v>132</v>
      </c>
      <c r="Z3656" s="4">
        <v>15</v>
      </c>
      <c r="AA3656" s="4">
        <v>95</v>
      </c>
      <c r="AB3656" s="4">
        <v>1</v>
      </c>
      <c r="AC3656" s="4">
        <v>17</v>
      </c>
      <c r="AD3656" s="4">
        <v>46</v>
      </c>
      <c r="AE3656" s="4">
        <v>108</v>
      </c>
      <c r="AF3656" s="4">
        <v>0</v>
      </c>
      <c r="AG3656" s="4">
        <v>8</v>
      </c>
      <c r="AH3656" s="4">
        <v>41</v>
      </c>
      <c r="AI3656" s="4">
        <v>73</v>
      </c>
      <c r="AJ3656" s="4">
        <v>13</v>
      </c>
      <c r="AK3656" s="4">
        <v>24</v>
      </c>
      <c r="AL3656" s="4">
        <v>23</v>
      </c>
      <c r="AM3656" s="4">
        <v>37</v>
      </c>
      <c r="AN3656" s="4">
        <v>0</v>
      </c>
      <c r="AO3656" s="4">
        <v>0</v>
      </c>
      <c r="AP3656" s="4">
        <v>13</v>
      </c>
      <c r="AQ3656" s="4">
        <v>45</v>
      </c>
      <c r="AR3656" s="3" t="s">
        <v>62</v>
      </c>
      <c r="AS3656" s="3" t="s">
        <v>62</v>
      </c>
      <c r="AT3656" s="3" t="s">
        <v>62</v>
      </c>
      <c r="AV3656" s="6" t="str">
        <f>HYPERLINK("http://mcgill.on.worldcat.org/oclc/231031832","Catalog Record")</f>
        <v>Catalog Record</v>
      </c>
      <c r="AW3656" s="6" t="str">
        <f>HYPERLINK("http://www.worldcat.org/oclc/231031832","WorldCat Record")</f>
        <v>WorldCat Record</v>
      </c>
      <c r="AX3656" s="3" t="s">
        <v>35324</v>
      </c>
      <c r="AY3656" s="3" t="s">
        <v>35325</v>
      </c>
      <c r="AZ3656" s="3" t="s">
        <v>35326</v>
      </c>
      <c r="BA3656" s="3" t="s">
        <v>35326</v>
      </c>
      <c r="BB3656" s="3" t="s">
        <v>35327</v>
      </c>
      <c r="BC3656" s="3" t="s">
        <v>142</v>
      </c>
      <c r="BD3656" s="3" t="s">
        <v>68</v>
      </c>
      <c r="BE3656" s="3" t="s">
        <v>35328</v>
      </c>
      <c r="BF3656" s="3" t="s">
        <v>35327</v>
      </c>
      <c r="BG3656" s="3" t="s">
        <v>35329</v>
      </c>
    </row>
    <row r="3657" spans="1:59" ht="57" x14ac:dyDescent="0.45">
      <c r="A3657" s="2" t="s">
        <v>59</v>
      </c>
      <c r="B3657" s="2" t="s">
        <v>60</v>
      </c>
      <c r="C3657" s="2" t="s">
        <v>35330</v>
      </c>
      <c r="D3657" s="2" t="s">
        <v>35331</v>
      </c>
      <c r="E3657" s="2" t="s">
        <v>35332</v>
      </c>
      <c r="G3657" s="3" t="s">
        <v>62</v>
      </c>
      <c r="I3657" s="3" t="s">
        <v>62</v>
      </c>
      <c r="J3657" s="3" t="s">
        <v>62</v>
      </c>
      <c r="K3657" s="3" t="s">
        <v>63</v>
      </c>
      <c r="M3657" s="2" t="s">
        <v>35333</v>
      </c>
      <c r="N3657" s="3" t="s">
        <v>149</v>
      </c>
      <c r="P3657" s="3" t="s">
        <v>65</v>
      </c>
      <c r="Q3657" s="2" t="s">
        <v>35334</v>
      </c>
      <c r="R3657" s="3" t="s">
        <v>66</v>
      </c>
      <c r="S3657" s="4">
        <v>1</v>
      </c>
      <c r="T3657" s="4">
        <v>1</v>
      </c>
      <c r="U3657" s="5" t="s">
        <v>35312</v>
      </c>
      <c r="V3657" s="5" t="s">
        <v>35312</v>
      </c>
      <c r="W3657" s="5" t="s">
        <v>67</v>
      </c>
      <c r="X3657" s="5" t="s">
        <v>67</v>
      </c>
      <c r="Y3657" s="4">
        <v>185</v>
      </c>
      <c r="Z3657" s="4">
        <v>22</v>
      </c>
      <c r="AA3657" s="4">
        <v>82</v>
      </c>
      <c r="AB3657" s="4">
        <v>3</v>
      </c>
      <c r="AC3657" s="4">
        <v>15</v>
      </c>
      <c r="AD3657" s="4">
        <v>57</v>
      </c>
      <c r="AE3657" s="4">
        <v>114</v>
      </c>
      <c r="AF3657" s="4">
        <v>1</v>
      </c>
      <c r="AG3657" s="4">
        <v>8</v>
      </c>
      <c r="AH3657" s="4">
        <v>49</v>
      </c>
      <c r="AI3657" s="4">
        <v>81</v>
      </c>
      <c r="AJ3657" s="4">
        <v>15</v>
      </c>
      <c r="AK3657" s="4">
        <v>25</v>
      </c>
      <c r="AL3657" s="4">
        <v>27</v>
      </c>
      <c r="AM3657" s="4">
        <v>42</v>
      </c>
      <c r="AN3657" s="4">
        <v>0</v>
      </c>
      <c r="AO3657" s="4">
        <v>0</v>
      </c>
      <c r="AP3657" s="4">
        <v>16</v>
      </c>
      <c r="AQ3657" s="4">
        <v>44</v>
      </c>
      <c r="AR3657" s="3" t="s">
        <v>62</v>
      </c>
      <c r="AS3657" s="3" t="s">
        <v>62</v>
      </c>
      <c r="AT3657" s="3" t="s">
        <v>62</v>
      </c>
      <c r="AV3657" s="6" t="str">
        <f>HYPERLINK("http://mcgill.on.worldcat.org/oclc/428024472","Catalog Record")</f>
        <v>Catalog Record</v>
      </c>
      <c r="AW3657" s="6" t="str">
        <f>HYPERLINK("http://www.worldcat.org/oclc/428024472","WorldCat Record")</f>
        <v>WorldCat Record</v>
      </c>
      <c r="AX3657" s="3" t="s">
        <v>35335</v>
      </c>
      <c r="AY3657" s="3" t="s">
        <v>35336</v>
      </c>
      <c r="AZ3657" s="3" t="s">
        <v>35337</v>
      </c>
      <c r="BA3657" s="3" t="s">
        <v>35337</v>
      </c>
      <c r="BB3657" s="3" t="s">
        <v>35338</v>
      </c>
      <c r="BC3657" s="3" t="s">
        <v>142</v>
      </c>
      <c r="BD3657" s="3" t="s">
        <v>68</v>
      </c>
      <c r="BE3657" s="3" t="s">
        <v>35339</v>
      </c>
      <c r="BF3657" s="3" t="s">
        <v>35338</v>
      </c>
      <c r="BG3657" s="3" t="s">
        <v>35340</v>
      </c>
    </row>
    <row r="3658" spans="1:59" ht="57" x14ac:dyDescent="0.45">
      <c r="A3658" s="2" t="s">
        <v>59</v>
      </c>
      <c r="B3658" s="2" t="s">
        <v>60</v>
      </c>
      <c r="C3658" s="2" t="s">
        <v>35341</v>
      </c>
      <c r="D3658" s="2" t="s">
        <v>35342</v>
      </c>
      <c r="E3658" s="2" t="s">
        <v>35343</v>
      </c>
      <c r="G3658" s="3" t="s">
        <v>62</v>
      </c>
      <c r="I3658" s="3" t="s">
        <v>62</v>
      </c>
      <c r="J3658" s="3" t="s">
        <v>62</v>
      </c>
      <c r="K3658" s="3" t="s">
        <v>63</v>
      </c>
      <c r="L3658" s="2" t="s">
        <v>35344</v>
      </c>
      <c r="M3658" s="2" t="s">
        <v>34879</v>
      </c>
      <c r="N3658" s="3" t="s">
        <v>208</v>
      </c>
      <c r="P3658" s="3" t="s">
        <v>65</v>
      </c>
      <c r="R3658" s="3" t="s">
        <v>66</v>
      </c>
      <c r="S3658" s="4">
        <v>0</v>
      </c>
      <c r="T3658" s="4">
        <v>0</v>
      </c>
      <c r="W3658" s="5" t="s">
        <v>67</v>
      </c>
      <c r="X3658" s="5" t="s">
        <v>67</v>
      </c>
      <c r="Y3658" s="4">
        <v>39</v>
      </c>
      <c r="Z3658" s="4">
        <v>12</v>
      </c>
      <c r="AA3658" s="4">
        <v>77</v>
      </c>
      <c r="AB3658" s="4">
        <v>2</v>
      </c>
      <c r="AC3658" s="4">
        <v>14</v>
      </c>
      <c r="AD3658" s="4">
        <v>24</v>
      </c>
      <c r="AE3658" s="4">
        <v>100</v>
      </c>
      <c r="AF3658" s="4">
        <v>1</v>
      </c>
      <c r="AG3658" s="4">
        <v>8</v>
      </c>
      <c r="AH3658" s="4">
        <v>20</v>
      </c>
      <c r="AI3658" s="4">
        <v>66</v>
      </c>
      <c r="AJ3658" s="4">
        <v>9</v>
      </c>
      <c r="AK3658" s="4">
        <v>23</v>
      </c>
      <c r="AL3658" s="4">
        <v>11</v>
      </c>
      <c r="AM3658" s="4">
        <v>33</v>
      </c>
      <c r="AN3658" s="4">
        <v>0</v>
      </c>
      <c r="AO3658" s="4">
        <v>0</v>
      </c>
      <c r="AP3658" s="4">
        <v>8</v>
      </c>
      <c r="AQ3658" s="4">
        <v>41</v>
      </c>
      <c r="AR3658" s="3" t="s">
        <v>62</v>
      </c>
      <c r="AS3658" s="3" t="s">
        <v>62</v>
      </c>
      <c r="AT3658" s="3" t="s">
        <v>62</v>
      </c>
      <c r="AV3658" s="6" t="str">
        <f>HYPERLINK("http://mcgill.on.worldcat.org/oclc/922462423","Catalog Record")</f>
        <v>Catalog Record</v>
      </c>
      <c r="AW3658" s="6" t="str">
        <f>HYPERLINK("http://www.worldcat.org/oclc/922462423","WorldCat Record")</f>
        <v>WorldCat Record</v>
      </c>
      <c r="AX3658" s="3" t="s">
        <v>35345</v>
      </c>
      <c r="AY3658" s="3" t="s">
        <v>35346</v>
      </c>
      <c r="AZ3658" s="3" t="s">
        <v>35347</v>
      </c>
      <c r="BA3658" s="3" t="s">
        <v>35347</v>
      </c>
      <c r="BB3658" s="3" t="s">
        <v>35348</v>
      </c>
      <c r="BC3658" s="3" t="s">
        <v>142</v>
      </c>
      <c r="BD3658" s="3" t="s">
        <v>68</v>
      </c>
      <c r="BE3658" s="3" t="s">
        <v>35349</v>
      </c>
      <c r="BF3658" s="3" t="s">
        <v>35348</v>
      </c>
      <c r="BG3658" s="3" t="s">
        <v>35350</v>
      </c>
    </row>
    <row r="3659" spans="1:59" ht="57" x14ac:dyDescent="0.45">
      <c r="A3659" s="2" t="s">
        <v>59</v>
      </c>
      <c r="B3659" s="2" t="s">
        <v>60</v>
      </c>
      <c r="C3659" s="2" t="s">
        <v>35351</v>
      </c>
      <c r="D3659" s="2" t="s">
        <v>35352</v>
      </c>
      <c r="E3659" s="2" t="s">
        <v>35353</v>
      </c>
      <c r="G3659" s="3" t="s">
        <v>62</v>
      </c>
      <c r="I3659" s="3" t="s">
        <v>62</v>
      </c>
      <c r="J3659" s="3" t="s">
        <v>62</v>
      </c>
      <c r="K3659" s="3" t="s">
        <v>63</v>
      </c>
      <c r="L3659" s="2" t="s">
        <v>35354</v>
      </c>
      <c r="M3659" s="2" t="s">
        <v>35355</v>
      </c>
      <c r="N3659" s="3" t="s">
        <v>1855</v>
      </c>
      <c r="P3659" s="3" t="s">
        <v>65</v>
      </c>
      <c r="R3659" s="3" t="s">
        <v>66</v>
      </c>
      <c r="S3659" s="4">
        <v>4</v>
      </c>
      <c r="T3659" s="4">
        <v>4</v>
      </c>
      <c r="U3659" s="5" t="s">
        <v>35356</v>
      </c>
      <c r="V3659" s="5" t="s">
        <v>35356</v>
      </c>
      <c r="W3659" s="5" t="s">
        <v>67</v>
      </c>
      <c r="X3659" s="5" t="s">
        <v>67</v>
      </c>
      <c r="Y3659" s="4">
        <v>88</v>
      </c>
      <c r="Z3659" s="4">
        <v>2</v>
      </c>
      <c r="AA3659" s="4">
        <v>2</v>
      </c>
      <c r="AB3659" s="4">
        <v>1</v>
      </c>
      <c r="AC3659" s="4">
        <v>1</v>
      </c>
      <c r="AD3659" s="4">
        <v>2</v>
      </c>
      <c r="AE3659" s="4">
        <v>2</v>
      </c>
      <c r="AF3659" s="4">
        <v>0</v>
      </c>
      <c r="AG3659" s="4">
        <v>0</v>
      </c>
      <c r="AH3659" s="4">
        <v>2</v>
      </c>
      <c r="AI3659" s="4">
        <v>2</v>
      </c>
      <c r="AJ3659" s="4">
        <v>0</v>
      </c>
      <c r="AK3659" s="4">
        <v>0</v>
      </c>
      <c r="AL3659" s="4">
        <v>1</v>
      </c>
      <c r="AM3659" s="4">
        <v>1</v>
      </c>
      <c r="AN3659" s="4">
        <v>0</v>
      </c>
      <c r="AO3659" s="4">
        <v>0</v>
      </c>
      <c r="AP3659" s="4">
        <v>0</v>
      </c>
      <c r="AQ3659" s="4">
        <v>0</v>
      </c>
      <c r="AR3659" s="3" t="s">
        <v>62</v>
      </c>
      <c r="AS3659" s="3" t="s">
        <v>62</v>
      </c>
      <c r="AT3659" s="3" t="s">
        <v>62</v>
      </c>
      <c r="AV3659" s="6" t="str">
        <f>HYPERLINK("http://mcgill.on.worldcat.org/oclc/60035510","Catalog Record")</f>
        <v>Catalog Record</v>
      </c>
      <c r="AW3659" s="6" t="str">
        <f>HYPERLINK("http://www.worldcat.org/oclc/60035510","WorldCat Record")</f>
        <v>WorldCat Record</v>
      </c>
      <c r="AX3659" s="3" t="s">
        <v>35357</v>
      </c>
      <c r="AY3659" s="3" t="s">
        <v>35358</v>
      </c>
      <c r="AZ3659" s="3" t="s">
        <v>35359</v>
      </c>
      <c r="BA3659" s="3" t="s">
        <v>35359</v>
      </c>
      <c r="BB3659" s="3" t="s">
        <v>35360</v>
      </c>
      <c r="BC3659" s="3" t="s">
        <v>142</v>
      </c>
      <c r="BD3659" s="3" t="s">
        <v>68</v>
      </c>
      <c r="BE3659" s="3" t="s">
        <v>35361</v>
      </c>
      <c r="BF3659" s="3" t="s">
        <v>35360</v>
      </c>
      <c r="BG3659" s="3" t="s">
        <v>35362</v>
      </c>
    </row>
    <row r="3660" spans="1:59" ht="57" x14ac:dyDescent="0.45">
      <c r="A3660" s="2" t="s">
        <v>59</v>
      </c>
      <c r="B3660" s="2" t="s">
        <v>60</v>
      </c>
      <c r="C3660" s="2" t="s">
        <v>35363</v>
      </c>
      <c r="D3660" s="2" t="s">
        <v>35364</v>
      </c>
      <c r="E3660" s="2" t="s">
        <v>35365</v>
      </c>
      <c r="G3660" s="3" t="s">
        <v>62</v>
      </c>
      <c r="I3660" s="3" t="s">
        <v>62</v>
      </c>
      <c r="J3660" s="3" t="s">
        <v>62</v>
      </c>
      <c r="K3660" s="3" t="s">
        <v>63</v>
      </c>
      <c r="L3660" s="2" t="s">
        <v>35366</v>
      </c>
      <c r="M3660" s="2" t="s">
        <v>35367</v>
      </c>
      <c r="N3660" s="3" t="s">
        <v>149</v>
      </c>
      <c r="P3660" s="3" t="s">
        <v>65</v>
      </c>
      <c r="R3660" s="3" t="s">
        <v>66</v>
      </c>
      <c r="S3660" s="4">
        <v>2</v>
      </c>
      <c r="T3660" s="4">
        <v>2</v>
      </c>
      <c r="U3660" s="5" t="s">
        <v>35368</v>
      </c>
      <c r="V3660" s="5" t="s">
        <v>35368</v>
      </c>
      <c r="W3660" s="5" t="s">
        <v>67</v>
      </c>
      <c r="X3660" s="5" t="s">
        <v>67</v>
      </c>
      <c r="Y3660" s="4">
        <v>280</v>
      </c>
      <c r="Z3660" s="4">
        <v>15</v>
      </c>
      <c r="AA3660" s="4">
        <v>25</v>
      </c>
      <c r="AB3660" s="4">
        <v>1</v>
      </c>
      <c r="AC3660" s="4">
        <v>4</v>
      </c>
      <c r="AD3660" s="4">
        <v>69</v>
      </c>
      <c r="AE3660" s="4">
        <v>83</v>
      </c>
      <c r="AF3660" s="4">
        <v>0</v>
      </c>
      <c r="AG3660" s="4">
        <v>1</v>
      </c>
      <c r="AH3660" s="4">
        <v>64</v>
      </c>
      <c r="AI3660" s="4">
        <v>75</v>
      </c>
      <c r="AJ3660" s="4">
        <v>8</v>
      </c>
      <c r="AK3660" s="4">
        <v>14</v>
      </c>
      <c r="AL3660" s="4">
        <v>36</v>
      </c>
      <c r="AM3660" s="4">
        <v>42</v>
      </c>
      <c r="AN3660" s="4">
        <v>0</v>
      </c>
      <c r="AO3660" s="4">
        <v>0</v>
      </c>
      <c r="AP3660" s="4">
        <v>10</v>
      </c>
      <c r="AQ3660" s="4">
        <v>17</v>
      </c>
      <c r="AR3660" s="3" t="s">
        <v>62</v>
      </c>
      <c r="AS3660" s="3" t="s">
        <v>62</v>
      </c>
      <c r="AT3660" s="3" t="s">
        <v>62</v>
      </c>
      <c r="AV3660" s="6" t="str">
        <f>HYPERLINK("http://mcgill.on.worldcat.org/oclc/601346502","Catalog Record")</f>
        <v>Catalog Record</v>
      </c>
      <c r="AW3660" s="6" t="str">
        <f>HYPERLINK("http://www.worldcat.org/oclc/601346502","WorldCat Record")</f>
        <v>WorldCat Record</v>
      </c>
      <c r="AX3660" s="3" t="s">
        <v>35369</v>
      </c>
      <c r="AY3660" s="3" t="s">
        <v>35370</v>
      </c>
      <c r="AZ3660" s="3" t="s">
        <v>35371</v>
      </c>
      <c r="BA3660" s="3" t="s">
        <v>35371</v>
      </c>
      <c r="BB3660" s="3" t="s">
        <v>35372</v>
      </c>
      <c r="BC3660" s="3" t="s">
        <v>142</v>
      </c>
      <c r="BD3660" s="3" t="s">
        <v>68</v>
      </c>
      <c r="BE3660" s="3" t="s">
        <v>35373</v>
      </c>
      <c r="BF3660" s="3" t="s">
        <v>35372</v>
      </c>
      <c r="BG3660" s="3" t="s">
        <v>35374</v>
      </c>
    </row>
    <row r="3661" spans="1:59" ht="57" x14ac:dyDescent="0.45">
      <c r="A3661" s="2" t="s">
        <v>59</v>
      </c>
      <c r="B3661" s="2" t="s">
        <v>60</v>
      </c>
      <c r="C3661" s="2" t="s">
        <v>35375</v>
      </c>
      <c r="D3661" s="2" t="s">
        <v>35376</v>
      </c>
      <c r="E3661" s="2" t="s">
        <v>35377</v>
      </c>
      <c r="G3661" s="3" t="s">
        <v>62</v>
      </c>
      <c r="I3661" s="3" t="s">
        <v>61</v>
      </c>
      <c r="J3661" s="3" t="s">
        <v>62</v>
      </c>
      <c r="K3661" s="3" t="s">
        <v>63</v>
      </c>
      <c r="L3661" s="2" t="s">
        <v>35378</v>
      </c>
      <c r="M3661" s="2" t="s">
        <v>35379</v>
      </c>
      <c r="N3661" s="3" t="s">
        <v>1212</v>
      </c>
      <c r="P3661" s="3" t="s">
        <v>65</v>
      </c>
      <c r="Q3661" s="2" t="s">
        <v>35380</v>
      </c>
      <c r="R3661" s="3" t="s">
        <v>66</v>
      </c>
      <c r="S3661" s="4">
        <v>8</v>
      </c>
      <c r="T3661" s="4">
        <v>18</v>
      </c>
      <c r="U3661" s="5" t="s">
        <v>2701</v>
      </c>
      <c r="V3661" s="5" t="s">
        <v>8070</v>
      </c>
      <c r="W3661" s="5" t="s">
        <v>67</v>
      </c>
      <c r="X3661" s="5" t="s">
        <v>67</v>
      </c>
      <c r="Y3661" s="4">
        <v>165</v>
      </c>
      <c r="Z3661" s="4">
        <v>10</v>
      </c>
      <c r="AA3661" s="4">
        <v>81</v>
      </c>
      <c r="AB3661" s="4">
        <v>2</v>
      </c>
      <c r="AC3661" s="4">
        <v>14</v>
      </c>
      <c r="AD3661" s="4">
        <v>71</v>
      </c>
      <c r="AE3661" s="4">
        <v>126</v>
      </c>
      <c r="AF3661" s="4">
        <v>1</v>
      </c>
      <c r="AG3661" s="4">
        <v>8</v>
      </c>
      <c r="AH3661" s="4">
        <v>65</v>
      </c>
      <c r="AI3661" s="4">
        <v>90</v>
      </c>
      <c r="AJ3661" s="4">
        <v>8</v>
      </c>
      <c r="AK3661" s="4">
        <v>23</v>
      </c>
      <c r="AL3661" s="4">
        <v>45</v>
      </c>
      <c r="AM3661" s="4">
        <v>51</v>
      </c>
      <c r="AN3661" s="4">
        <v>0</v>
      </c>
      <c r="AO3661" s="4">
        <v>0</v>
      </c>
      <c r="AP3661" s="4">
        <v>8</v>
      </c>
      <c r="AQ3661" s="4">
        <v>43</v>
      </c>
      <c r="AR3661" s="3" t="s">
        <v>62</v>
      </c>
      <c r="AS3661" s="3" t="s">
        <v>62</v>
      </c>
      <c r="AT3661" s="3" t="s">
        <v>61</v>
      </c>
      <c r="AU3661" s="6" t="str">
        <f>HYPERLINK("http://catalog.hathitrust.org/Record/004165323","HathiTrust Record")</f>
        <v>HathiTrust Record</v>
      </c>
      <c r="AV3661" s="6" t="str">
        <f>HYPERLINK("http://mcgill.on.worldcat.org/oclc/44883537","Catalog Record")</f>
        <v>Catalog Record</v>
      </c>
      <c r="AW3661" s="6" t="str">
        <f>HYPERLINK("http://www.worldcat.org/oclc/44883537","WorldCat Record")</f>
        <v>WorldCat Record</v>
      </c>
      <c r="AX3661" s="3" t="s">
        <v>35381</v>
      </c>
      <c r="AY3661" s="3" t="s">
        <v>35382</v>
      </c>
      <c r="AZ3661" s="3" t="s">
        <v>35383</v>
      </c>
      <c r="BA3661" s="3" t="s">
        <v>35383</v>
      </c>
      <c r="BB3661" s="3" t="s">
        <v>35384</v>
      </c>
      <c r="BC3661" s="3" t="s">
        <v>142</v>
      </c>
      <c r="BD3661" s="3" t="s">
        <v>68</v>
      </c>
      <c r="BE3661" s="3" t="s">
        <v>35385</v>
      </c>
      <c r="BF3661" s="3" t="s">
        <v>35384</v>
      </c>
      <c r="BG3661" s="3" t="s">
        <v>35386</v>
      </c>
    </row>
    <row r="3662" spans="1:59" ht="57" x14ac:dyDescent="0.45">
      <c r="A3662" s="2" t="s">
        <v>59</v>
      </c>
      <c r="B3662" s="2" t="s">
        <v>60</v>
      </c>
      <c r="C3662" s="2" t="s">
        <v>35375</v>
      </c>
      <c r="D3662" s="2" t="s">
        <v>35376</v>
      </c>
      <c r="E3662" s="2" t="s">
        <v>35377</v>
      </c>
      <c r="G3662" s="3" t="s">
        <v>62</v>
      </c>
      <c r="I3662" s="3" t="s">
        <v>61</v>
      </c>
      <c r="J3662" s="3" t="s">
        <v>62</v>
      </c>
      <c r="K3662" s="3" t="s">
        <v>63</v>
      </c>
      <c r="L3662" s="2" t="s">
        <v>35378</v>
      </c>
      <c r="M3662" s="2" t="s">
        <v>35379</v>
      </c>
      <c r="N3662" s="3" t="s">
        <v>1212</v>
      </c>
      <c r="P3662" s="3" t="s">
        <v>65</v>
      </c>
      <c r="Q3662" s="2" t="s">
        <v>35380</v>
      </c>
      <c r="R3662" s="3" t="s">
        <v>66</v>
      </c>
      <c r="S3662" s="4">
        <v>10</v>
      </c>
      <c r="T3662" s="4">
        <v>18</v>
      </c>
      <c r="U3662" s="5" t="s">
        <v>8070</v>
      </c>
      <c r="V3662" s="5" t="s">
        <v>8070</v>
      </c>
      <c r="W3662" s="5" t="s">
        <v>67</v>
      </c>
      <c r="X3662" s="5" t="s">
        <v>67</v>
      </c>
      <c r="Y3662" s="4">
        <v>165</v>
      </c>
      <c r="Z3662" s="4">
        <v>10</v>
      </c>
      <c r="AA3662" s="4">
        <v>81</v>
      </c>
      <c r="AB3662" s="4">
        <v>2</v>
      </c>
      <c r="AC3662" s="4">
        <v>14</v>
      </c>
      <c r="AD3662" s="4">
        <v>71</v>
      </c>
      <c r="AE3662" s="4">
        <v>126</v>
      </c>
      <c r="AF3662" s="4">
        <v>1</v>
      </c>
      <c r="AG3662" s="4">
        <v>8</v>
      </c>
      <c r="AH3662" s="4">
        <v>65</v>
      </c>
      <c r="AI3662" s="4">
        <v>90</v>
      </c>
      <c r="AJ3662" s="4">
        <v>8</v>
      </c>
      <c r="AK3662" s="4">
        <v>23</v>
      </c>
      <c r="AL3662" s="4">
        <v>45</v>
      </c>
      <c r="AM3662" s="4">
        <v>51</v>
      </c>
      <c r="AN3662" s="4">
        <v>0</v>
      </c>
      <c r="AO3662" s="4">
        <v>0</v>
      </c>
      <c r="AP3662" s="4">
        <v>8</v>
      </c>
      <c r="AQ3662" s="4">
        <v>43</v>
      </c>
      <c r="AR3662" s="3" t="s">
        <v>62</v>
      </c>
      <c r="AS3662" s="3" t="s">
        <v>62</v>
      </c>
      <c r="AT3662" s="3" t="s">
        <v>61</v>
      </c>
      <c r="AU3662" s="6" t="str">
        <f>HYPERLINK("http://catalog.hathitrust.org/Record/004165323","HathiTrust Record")</f>
        <v>HathiTrust Record</v>
      </c>
      <c r="AV3662" s="6" t="str">
        <f>HYPERLINK("http://mcgill.on.worldcat.org/oclc/44883537","Catalog Record")</f>
        <v>Catalog Record</v>
      </c>
      <c r="AW3662" s="6" t="str">
        <f>HYPERLINK("http://www.worldcat.org/oclc/44883537","WorldCat Record")</f>
        <v>WorldCat Record</v>
      </c>
      <c r="AX3662" s="3" t="s">
        <v>35381</v>
      </c>
      <c r="AY3662" s="3" t="s">
        <v>35382</v>
      </c>
      <c r="AZ3662" s="3" t="s">
        <v>35383</v>
      </c>
      <c r="BA3662" s="3" t="s">
        <v>35383</v>
      </c>
      <c r="BB3662" s="3" t="s">
        <v>35387</v>
      </c>
      <c r="BC3662" s="3" t="s">
        <v>142</v>
      </c>
      <c r="BD3662" s="3" t="s">
        <v>68</v>
      </c>
      <c r="BE3662" s="3" t="s">
        <v>35385</v>
      </c>
      <c r="BF3662" s="3" t="s">
        <v>35387</v>
      </c>
      <c r="BG3662" s="3" t="s">
        <v>35388</v>
      </c>
    </row>
    <row r="3663" spans="1:59" ht="57" x14ac:dyDescent="0.45">
      <c r="A3663" s="2" t="s">
        <v>59</v>
      </c>
      <c r="B3663" s="2" t="s">
        <v>60</v>
      </c>
      <c r="C3663" s="2" t="s">
        <v>35389</v>
      </c>
      <c r="D3663" s="2" t="s">
        <v>35390</v>
      </c>
      <c r="E3663" s="2" t="s">
        <v>35391</v>
      </c>
      <c r="G3663" s="3" t="s">
        <v>62</v>
      </c>
      <c r="I3663" s="3" t="s">
        <v>62</v>
      </c>
      <c r="J3663" s="3" t="s">
        <v>62</v>
      </c>
      <c r="K3663" s="3" t="s">
        <v>63</v>
      </c>
      <c r="M3663" s="2" t="s">
        <v>35392</v>
      </c>
      <c r="N3663" s="3" t="s">
        <v>84</v>
      </c>
      <c r="P3663" s="3" t="s">
        <v>65</v>
      </c>
      <c r="Q3663" s="2" t="s">
        <v>35393</v>
      </c>
      <c r="R3663" s="3" t="s">
        <v>66</v>
      </c>
      <c r="S3663" s="4">
        <v>26</v>
      </c>
      <c r="T3663" s="4">
        <v>26</v>
      </c>
      <c r="U3663" s="5" t="s">
        <v>35394</v>
      </c>
      <c r="V3663" s="5" t="s">
        <v>35394</v>
      </c>
      <c r="W3663" s="5" t="s">
        <v>67</v>
      </c>
      <c r="X3663" s="5" t="s">
        <v>67</v>
      </c>
      <c r="Y3663" s="4">
        <v>121</v>
      </c>
      <c r="Z3663" s="4">
        <v>10</v>
      </c>
      <c r="AA3663" s="4">
        <v>11</v>
      </c>
      <c r="AB3663" s="4">
        <v>1</v>
      </c>
      <c r="AC3663" s="4">
        <v>2</v>
      </c>
      <c r="AD3663" s="4">
        <v>58</v>
      </c>
      <c r="AE3663" s="4">
        <v>58</v>
      </c>
      <c r="AF3663" s="4">
        <v>0</v>
      </c>
      <c r="AG3663" s="4">
        <v>0</v>
      </c>
      <c r="AH3663" s="4">
        <v>54</v>
      </c>
      <c r="AI3663" s="4">
        <v>54</v>
      </c>
      <c r="AJ3663" s="4">
        <v>8</v>
      </c>
      <c r="AK3663" s="4">
        <v>8</v>
      </c>
      <c r="AL3663" s="4">
        <v>30</v>
      </c>
      <c r="AM3663" s="4">
        <v>30</v>
      </c>
      <c r="AN3663" s="4">
        <v>0</v>
      </c>
      <c r="AO3663" s="4">
        <v>0</v>
      </c>
      <c r="AP3663" s="4">
        <v>8</v>
      </c>
      <c r="AQ3663" s="4">
        <v>8</v>
      </c>
      <c r="AR3663" s="3" t="s">
        <v>62</v>
      </c>
      <c r="AS3663" s="3" t="s">
        <v>62</v>
      </c>
      <c r="AT3663" s="3" t="s">
        <v>62</v>
      </c>
      <c r="AV3663" s="6" t="str">
        <f>HYPERLINK("http://mcgill.on.worldcat.org/oclc/26160295","Catalog Record")</f>
        <v>Catalog Record</v>
      </c>
      <c r="AW3663" s="6" t="str">
        <f>HYPERLINK("http://www.worldcat.org/oclc/26160295","WorldCat Record")</f>
        <v>WorldCat Record</v>
      </c>
      <c r="AX3663" s="3" t="s">
        <v>35395</v>
      </c>
      <c r="AY3663" s="3" t="s">
        <v>35396</v>
      </c>
      <c r="AZ3663" s="3" t="s">
        <v>35397</v>
      </c>
      <c r="BA3663" s="3" t="s">
        <v>35397</v>
      </c>
      <c r="BB3663" s="3" t="s">
        <v>35398</v>
      </c>
      <c r="BC3663" s="3" t="s">
        <v>142</v>
      </c>
      <c r="BD3663" s="3" t="s">
        <v>68</v>
      </c>
      <c r="BE3663" s="3" t="s">
        <v>35399</v>
      </c>
      <c r="BF3663" s="3" t="s">
        <v>35398</v>
      </c>
      <c r="BG3663" s="3" t="s">
        <v>35400</v>
      </c>
    </row>
    <row r="3664" spans="1:59" ht="57" x14ac:dyDescent="0.45">
      <c r="A3664" s="2" t="s">
        <v>59</v>
      </c>
      <c r="B3664" s="2" t="s">
        <v>60</v>
      </c>
      <c r="C3664" s="2" t="s">
        <v>35401</v>
      </c>
      <c r="D3664" s="2" t="s">
        <v>35402</v>
      </c>
      <c r="E3664" s="2" t="s">
        <v>35403</v>
      </c>
      <c r="G3664" s="3" t="s">
        <v>62</v>
      </c>
      <c r="I3664" s="3" t="s">
        <v>62</v>
      </c>
      <c r="J3664" s="3" t="s">
        <v>62</v>
      </c>
      <c r="K3664" s="3" t="s">
        <v>63</v>
      </c>
      <c r="L3664" s="2" t="s">
        <v>35404</v>
      </c>
      <c r="M3664" s="2" t="s">
        <v>35405</v>
      </c>
      <c r="N3664" s="3" t="s">
        <v>894</v>
      </c>
      <c r="P3664" s="3" t="s">
        <v>65</v>
      </c>
      <c r="Q3664" s="2" t="s">
        <v>35406</v>
      </c>
      <c r="R3664" s="3" t="s">
        <v>66</v>
      </c>
      <c r="S3664" s="4">
        <v>2</v>
      </c>
      <c r="T3664" s="4">
        <v>2</v>
      </c>
      <c r="U3664" s="5" t="s">
        <v>35407</v>
      </c>
      <c r="V3664" s="5" t="s">
        <v>35407</v>
      </c>
      <c r="W3664" s="5" t="s">
        <v>67</v>
      </c>
      <c r="X3664" s="5" t="s">
        <v>67</v>
      </c>
      <c r="Y3664" s="4">
        <v>58</v>
      </c>
      <c r="Z3664" s="4">
        <v>5</v>
      </c>
      <c r="AA3664" s="4">
        <v>22</v>
      </c>
      <c r="AB3664" s="4">
        <v>1</v>
      </c>
      <c r="AC3664" s="4">
        <v>7</v>
      </c>
      <c r="AD3664" s="4">
        <v>30</v>
      </c>
      <c r="AE3664" s="4">
        <v>64</v>
      </c>
      <c r="AF3664" s="4">
        <v>0</v>
      </c>
      <c r="AG3664" s="4">
        <v>4</v>
      </c>
      <c r="AH3664" s="4">
        <v>29</v>
      </c>
      <c r="AI3664" s="4">
        <v>54</v>
      </c>
      <c r="AJ3664" s="4">
        <v>4</v>
      </c>
      <c r="AK3664" s="4">
        <v>16</v>
      </c>
      <c r="AL3664" s="4">
        <v>18</v>
      </c>
      <c r="AM3664" s="4">
        <v>30</v>
      </c>
      <c r="AN3664" s="4">
        <v>0</v>
      </c>
      <c r="AO3664" s="4">
        <v>0</v>
      </c>
      <c r="AP3664" s="4">
        <v>4</v>
      </c>
      <c r="AQ3664" s="4">
        <v>18</v>
      </c>
      <c r="AR3664" s="3" t="s">
        <v>62</v>
      </c>
      <c r="AS3664" s="3" t="s">
        <v>62</v>
      </c>
      <c r="AT3664" s="3" t="s">
        <v>62</v>
      </c>
      <c r="AV3664" s="6" t="str">
        <f>HYPERLINK("http://mcgill.on.worldcat.org/oclc/603068913","Catalog Record")</f>
        <v>Catalog Record</v>
      </c>
      <c r="AW3664" s="6" t="str">
        <f>HYPERLINK("http://www.worldcat.org/oclc/603068913","WorldCat Record")</f>
        <v>WorldCat Record</v>
      </c>
      <c r="AX3664" s="3" t="s">
        <v>35408</v>
      </c>
      <c r="AY3664" s="3" t="s">
        <v>35409</v>
      </c>
      <c r="AZ3664" s="3" t="s">
        <v>35410</v>
      </c>
      <c r="BA3664" s="3" t="s">
        <v>35410</v>
      </c>
      <c r="BB3664" s="3" t="s">
        <v>35411</v>
      </c>
      <c r="BC3664" s="3" t="s">
        <v>142</v>
      </c>
      <c r="BD3664" s="3" t="s">
        <v>68</v>
      </c>
      <c r="BE3664" s="3" t="s">
        <v>35412</v>
      </c>
      <c r="BF3664" s="3" t="s">
        <v>35411</v>
      </c>
      <c r="BG3664" s="3" t="s">
        <v>35413</v>
      </c>
    </row>
    <row r="3665" spans="1:59" ht="57" x14ac:dyDescent="0.45">
      <c r="A3665" s="2" t="s">
        <v>59</v>
      </c>
      <c r="B3665" s="2" t="s">
        <v>60</v>
      </c>
      <c r="C3665" s="2" t="s">
        <v>35414</v>
      </c>
      <c r="D3665" s="2" t="s">
        <v>35415</v>
      </c>
      <c r="E3665" s="2" t="s">
        <v>35416</v>
      </c>
      <c r="G3665" s="3" t="s">
        <v>62</v>
      </c>
      <c r="I3665" s="3" t="s">
        <v>62</v>
      </c>
      <c r="J3665" s="3" t="s">
        <v>62</v>
      </c>
      <c r="K3665" s="3" t="s">
        <v>63</v>
      </c>
      <c r="L3665" s="2" t="s">
        <v>35417</v>
      </c>
      <c r="M3665" s="2" t="s">
        <v>893</v>
      </c>
      <c r="N3665" s="3" t="s">
        <v>894</v>
      </c>
      <c r="P3665" s="3" t="s">
        <v>65</v>
      </c>
      <c r="R3665" s="3" t="s">
        <v>66</v>
      </c>
      <c r="S3665" s="4">
        <v>16</v>
      </c>
      <c r="T3665" s="4">
        <v>16</v>
      </c>
      <c r="U3665" s="5" t="s">
        <v>21011</v>
      </c>
      <c r="V3665" s="5" t="s">
        <v>21011</v>
      </c>
      <c r="W3665" s="5" t="s">
        <v>67</v>
      </c>
      <c r="X3665" s="5" t="s">
        <v>67</v>
      </c>
      <c r="Y3665" s="4">
        <v>260</v>
      </c>
      <c r="Z3665" s="4">
        <v>25</v>
      </c>
      <c r="AA3665" s="4">
        <v>86</v>
      </c>
      <c r="AB3665" s="4">
        <v>2</v>
      </c>
      <c r="AC3665" s="4">
        <v>15</v>
      </c>
      <c r="AD3665" s="4">
        <v>79</v>
      </c>
      <c r="AE3665" s="4">
        <v>124</v>
      </c>
      <c r="AF3665" s="4">
        <v>1</v>
      </c>
      <c r="AG3665" s="4">
        <v>8</v>
      </c>
      <c r="AH3665" s="4">
        <v>67</v>
      </c>
      <c r="AI3665" s="4">
        <v>87</v>
      </c>
      <c r="AJ3665" s="4">
        <v>16</v>
      </c>
      <c r="AK3665" s="4">
        <v>25</v>
      </c>
      <c r="AL3665" s="4">
        <v>41</v>
      </c>
      <c r="AM3665" s="4">
        <v>47</v>
      </c>
      <c r="AN3665" s="4">
        <v>0</v>
      </c>
      <c r="AO3665" s="4">
        <v>0</v>
      </c>
      <c r="AP3665" s="4">
        <v>19</v>
      </c>
      <c r="AQ3665" s="4">
        <v>46</v>
      </c>
      <c r="AR3665" s="3" t="s">
        <v>62</v>
      </c>
      <c r="AS3665" s="3" t="s">
        <v>62</v>
      </c>
      <c r="AT3665" s="3" t="s">
        <v>62</v>
      </c>
      <c r="AV3665" s="6" t="str">
        <f>HYPERLINK("http://mcgill.on.worldcat.org/oclc/685120571","Catalog Record")</f>
        <v>Catalog Record</v>
      </c>
      <c r="AW3665" s="6" t="str">
        <f>HYPERLINK("http://www.worldcat.org/oclc/685120571","WorldCat Record")</f>
        <v>WorldCat Record</v>
      </c>
      <c r="AX3665" s="3" t="s">
        <v>35418</v>
      </c>
      <c r="AY3665" s="3" t="s">
        <v>35419</v>
      </c>
      <c r="AZ3665" s="3" t="s">
        <v>35420</v>
      </c>
      <c r="BA3665" s="3" t="s">
        <v>35420</v>
      </c>
      <c r="BB3665" s="3" t="s">
        <v>35421</v>
      </c>
      <c r="BC3665" s="3" t="s">
        <v>142</v>
      </c>
      <c r="BD3665" s="3" t="s">
        <v>308</v>
      </c>
      <c r="BE3665" s="3" t="s">
        <v>35422</v>
      </c>
      <c r="BF3665" s="3" t="s">
        <v>35421</v>
      </c>
      <c r="BG3665" s="3" t="s">
        <v>35423</v>
      </c>
    </row>
    <row r="3666" spans="1:59" ht="57" x14ac:dyDescent="0.45">
      <c r="A3666" s="2" t="s">
        <v>59</v>
      </c>
      <c r="B3666" s="2" t="s">
        <v>60</v>
      </c>
      <c r="C3666" s="2" t="s">
        <v>35424</v>
      </c>
      <c r="D3666" s="2" t="s">
        <v>35425</v>
      </c>
      <c r="E3666" s="2" t="s">
        <v>35426</v>
      </c>
      <c r="G3666" s="3" t="s">
        <v>62</v>
      </c>
      <c r="I3666" s="3" t="s">
        <v>62</v>
      </c>
      <c r="J3666" s="3" t="s">
        <v>62</v>
      </c>
      <c r="K3666" s="3" t="s">
        <v>63</v>
      </c>
      <c r="L3666" s="2" t="s">
        <v>35427</v>
      </c>
      <c r="M3666" s="2" t="s">
        <v>35428</v>
      </c>
      <c r="N3666" s="3" t="s">
        <v>894</v>
      </c>
      <c r="P3666" s="3" t="s">
        <v>65</v>
      </c>
      <c r="R3666" s="3" t="s">
        <v>66</v>
      </c>
      <c r="S3666" s="4">
        <v>1</v>
      </c>
      <c r="T3666" s="4">
        <v>1</v>
      </c>
      <c r="U3666" s="5" t="s">
        <v>32382</v>
      </c>
      <c r="V3666" s="5" t="s">
        <v>32382</v>
      </c>
      <c r="W3666" s="5" t="s">
        <v>67</v>
      </c>
      <c r="X3666" s="5" t="s">
        <v>67</v>
      </c>
      <c r="Y3666" s="4">
        <v>76</v>
      </c>
      <c r="Z3666" s="4">
        <v>10</v>
      </c>
      <c r="AA3666" s="4">
        <v>92</v>
      </c>
      <c r="AB3666" s="4">
        <v>2</v>
      </c>
      <c r="AC3666" s="4">
        <v>18</v>
      </c>
      <c r="AD3666" s="4">
        <v>21</v>
      </c>
      <c r="AE3666" s="4">
        <v>87</v>
      </c>
      <c r="AF3666" s="4">
        <v>0</v>
      </c>
      <c r="AG3666" s="4">
        <v>8</v>
      </c>
      <c r="AH3666" s="4">
        <v>18</v>
      </c>
      <c r="AI3666" s="4">
        <v>53</v>
      </c>
      <c r="AJ3666" s="4">
        <v>6</v>
      </c>
      <c r="AK3666" s="4">
        <v>18</v>
      </c>
      <c r="AL3666" s="4">
        <v>8</v>
      </c>
      <c r="AM3666" s="4">
        <v>23</v>
      </c>
      <c r="AN3666" s="4">
        <v>0</v>
      </c>
      <c r="AO3666" s="4">
        <v>0</v>
      </c>
      <c r="AP3666" s="4">
        <v>8</v>
      </c>
      <c r="AQ3666" s="4">
        <v>41</v>
      </c>
      <c r="AR3666" s="3" t="s">
        <v>62</v>
      </c>
      <c r="AS3666" s="3" t="s">
        <v>62</v>
      </c>
      <c r="AT3666" s="3" t="s">
        <v>62</v>
      </c>
      <c r="AV3666" s="6" t="str">
        <f>HYPERLINK("http://mcgill.on.worldcat.org/oclc/635494794","Catalog Record")</f>
        <v>Catalog Record</v>
      </c>
      <c r="AW3666" s="6" t="str">
        <f>HYPERLINK("http://www.worldcat.org/oclc/635494794","WorldCat Record")</f>
        <v>WorldCat Record</v>
      </c>
      <c r="AX3666" s="3" t="s">
        <v>35429</v>
      </c>
      <c r="AY3666" s="3" t="s">
        <v>35430</v>
      </c>
      <c r="AZ3666" s="3" t="s">
        <v>35431</v>
      </c>
      <c r="BA3666" s="3" t="s">
        <v>35431</v>
      </c>
      <c r="BB3666" s="3" t="s">
        <v>35432</v>
      </c>
      <c r="BC3666" s="3" t="s">
        <v>142</v>
      </c>
      <c r="BD3666" s="3" t="s">
        <v>68</v>
      </c>
      <c r="BE3666" s="3" t="s">
        <v>35433</v>
      </c>
      <c r="BF3666" s="3" t="s">
        <v>35432</v>
      </c>
      <c r="BG3666" s="3" t="s">
        <v>35434</v>
      </c>
    </row>
    <row r="3667" spans="1:59" ht="57" x14ac:dyDescent="0.45">
      <c r="A3667" s="2" t="s">
        <v>59</v>
      </c>
      <c r="B3667" s="2" t="s">
        <v>60</v>
      </c>
      <c r="C3667" s="2" t="s">
        <v>35435</v>
      </c>
      <c r="D3667" s="2" t="s">
        <v>35436</v>
      </c>
      <c r="E3667" s="2" t="s">
        <v>35437</v>
      </c>
      <c r="G3667" s="3" t="s">
        <v>62</v>
      </c>
      <c r="I3667" s="3" t="s">
        <v>62</v>
      </c>
      <c r="J3667" s="3" t="s">
        <v>62</v>
      </c>
      <c r="K3667" s="3" t="s">
        <v>63</v>
      </c>
      <c r="L3667" s="2" t="s">
        <v>35438</v>
      </c>
      <c r="M3667" s="2" t="s">
        <v>35439</v>
      </c>
      <c r="N3667" s="3" t="s">
        <v>918</v>
      </c>
      <c r="P3667" s="3" t="s">
        <v>65</v>
      </c>
      <c r="R3667" s="3" t="s">
        <v>66</v>
      </c>
      <c r="S3667" s="4">
        <v>9</v>
      </c>
      <c r="T3667" s="4">
        <v>9</v>
      </c>
      <c r="U3667" s="5" t="s">
        <v>35394</v>
      </c>
      <c r="V3667" s="5" t="s">
        <v>35394</v>
      </c>
      <c r="W3667" s="5" t="s">
        <v>67</v>
      </c>
      <c r="X3667" s="5" t="s">
        <v>67</v>
      </c>
      <c r="Y3667" s="4">
        <v>138</v>
      </c>
      <c r="Z3667" s="4">
        <v>8</v>
      </c>
      <c r="AA3667" s="4">
        <v>96</v>
      </c>
      <c r="AB3667" s="4">
        <v>1</v>
      </c>
      <c r="AC3667" s="4">
        <v>17</v>
      </c>
      <c r="AD3667" s="4">
        <v>53</v>
      </c>
      <c r="AE3667" s="4">
        <v>120</v>
      </c>
      <c r="AF3667" s="4">
        <v>0</v>
      </c>
      <c r="AG3667" s="4">
        <v>8</v>
      </c>
      <c r="AH3667" s="4">
        <v>51</v>
      </c>
      <c r="AI3667" s="4">
        <v>82</v>
      </c>
      <c r="AJ3667" s="4">
        <v>6</v>
      </c>
      <c r="AK3667" s="4">
        <v>23</v>
      </c>
      <c r="AL3667" s="4">
        <v>34</v>
      </c>
      <c r="AM3667" s="4">
        <v>45</v>
      </c>
      <c r="AN3667" s="4">
        <v>0</v>
      </c>
      <c r="AO3667" s="4">
        <v>0</v>
      </c>
      <c r="AP3667" s="4">
        <v>6</v>
      </c>
      <c r="AQ3667" s="4">
        <v>46</v>
      </c>
      <c r="AR3667" s="3" t="s">
        <v>62</v>
      </c>
      <c r="AS3667" s="3" t="s">
        <v>62</v>
      </c>
      <c r="AT3667" s="3" t="s">
        <v>61</v>
      </c>
      <c r="AU3667" s="6" t="str">
        <f>HYPERLINK("http://catalog.hathitrust.org/Record/004325627","HathiTrust Record")</f>
        <v>HathiTrust Record</v>
      </c>
      <c r="AV3667" s="6" t="str">
        <f>HYPERLINK("http://mcgill.on.worldcat.org/oclc/49775414","Catalog Record")</f>
        <v>Catalog Record</v>
      </c>
      <c r="AW3667" s="6" t="str">
        <f>HYPERLINK("http://www.worldcat.org/oclc/49775414","WorldCat Record")</f>
        <v>WorldCat Record</v>
      </c>
      <c r="AX3667" s="3" t="s">
        <v>35440</v>
      </c>
      <c r="AY3667" s="3" t="s">
        <v>35441</v>
      </c>
      <c r="AZ3667" s="3" t="s">
        <v>35442</v>
      </c>
      <c r="BA3667" s="3" t="s">
        <v>35442</v>
      </c>
      <c r="BB3667" s="3" t="s">
        <v>35443</v>
      </c>
      <c r="BC3667" s="3" t="s">
        <v>142</v>
      </c>
      <c r="BD3667" s="3" t="s">
        <v>68</v>
      </c>
      <c r="BE3667" s="3" t="s">
        <v>35444</v>
      </c>
      <c r="BF3667" s="3" t="s">
        <v>35443</v>
      </c>
      <c r="BG3667" s="3" t="s">
        <v>35445</v>
      </c>
    </row>
    <row r="3668" spans="1:59" ht="57" x14ac:dyDescent="0.45">
      <c r="A3668" s="2" t="s">
        <v>59</v>
      </c>
      <c r="B3668" s="2" t="s">
        <v>60</v>
      </c>
      <c r="C3668" s="2" t="s">
        <v>35446</v>
      </c>
      <c r="D3668" s="2" t="s">
        <v>35447</v>
      </c>
      <c r="E3668" s="2" t="s">
        <v>35448</v>
      </c>
      <c r="G3668" s="3" t="s">
        <v>62</v>
      </c>
      <c r="I3668" s="3" t="s">
        <v>62</v>
      </c>
      <c r="J3668" s="3" t="s">
        <v>62</v>
      </c>
      <c r="K3668" s="3" t="s">
        <v>63</v>
      </c>
      <c r="M3668" s="2" t="s">
        <v>35449</v>
      </c>
      <c r="N3668" s="3" t="s">
        <v>1212</v>
      </c>
      <c r="P3668" s="3" t="s">
        <v>65</v>
      </c>
      <c r="Q3668" s="2" t="s">
        <v>35450</v>
      </c>
      <c r="R3668" s="3" t="s">
        <v>66</v>
      </c>
      <c r="S3668" s="4">
        <v>23</v>
      </c>
      <c r="T3668" s="4">
        <v>23</v>
      </c>
      <c r="U3668" s="5" t="s">
        <v>8070</v>
      </c>
      <c r="V3668" s="5" t="s">
        <v>8070</v>
      </c>
      <c r="W3668" s="5" t="s">
        <v>67</v>
      </c>
      <c r="X3668" s="5" t="s">
        <v>67</v>
      </c>
      <c r="Y3668" s="4">
        <v>283</v>
      </c>
      <c r="Z3668" s="4">
        <v>15</v>
      </c>
      <c r="AA3668" s="4">
        <v>65</v>
      </c>
      <c r="AB3668" s="4">
        <v>1</v>
      </c>
      <c r="AC3668" s="4">
        <v>16</v>
      </c>
      <c r="AD3668" s="4">
        <v>101</v>
      </c>
      <c r="AE3668" s="4">
        <v>142</v>
      </c>
      <c r="AF3668" s="4">
        <v>0</v>
      </c>
      <c r="AG3668" s="4">
        <v>7</v>
      </c>
      <c r="AH3668" s="4">
        <v>94</v>
      </c>
      <c r="AI3668" s="4">
        <v>102</v>
      </c>
      <c r="AJ3668" s="4">
        <v>13</v>
      </c>
      <c r="AK3668" s="4">
        <v>22</v>
      </c>
      <c r="AL3668" s="4">
        <v>52</v>
      </c>
      <c r="AM3668" s="4">
        <v>55</v>
      </c>
      <c r="AN3668" s="4">
        <v>0</v>
      </c>
      <c r="AO3668" s="4">
        <v>0</v>
      </c>
      <c r="AP3668" s="4">
        <v>14</v>
      </c>
      <c r="AQ3668" s="4">
        <v>47</v>
      </c>
      <c r="AR3668" s="3" t="s">
        <v>62</v>
      </c>
      <c r="AS3668" s="3" t="s">
        <v>62</v>
      </c>
      <c r="AT3668" s="3" t="s">
        <v>62</v>
      </c>
      <c r="AV3668" s="6" t="str">
        <f>HYPERLINK("http://mcgill.on.worldcat.org/oclc/42397447","Catalog Record")</f>
        <v>Catalog Record</v>
      </c>
      <c r="AW3668" s="6" t="str">
        <f>HYPERLINK("http://www.worldcat.org/oclc/42397447","WorldCat Record")</f>
        <v>WorldCat Record</v>
      </c>
      <c r="AX3668" s="3" t="s">
        <v>35451</v>
      </c>
      <c r="AY3668" s="3" t="s">
        <v>35452</v>
      </c>
      <c r="AZ3668" s="3" t="s">
        <v>35453</v>
      </c>
      <c r="BA3668" s="3" t="s">
        <v>35453</v>
      </c>
      <c r="BB3668" s="3" t="s">
        <v>35454</v>
      </c>
      <c r="BC3668" s="3" t="s">
        <v>142</v>
      </c>
      <c r="BD3668" s="3" t="s">
        <v>68</v>
      </c>
      <c r="BE3668" s="3" t="s">
        <v>35455</v>
      </c>
      <c r="BF3668" s="3" t="s">
        <v>35454</v>
      </c>
      <c r="BG3668" s="3" t="s">
        <v>35456</v>
      </c>
    </row>
    <row r="3669" spans="1:59" ht="57" x14ac:dyDescent="0.45">
      <c r="A3669" s="2" t="s">
        <v>59</v>
      </c>
      <c r="B3669" s="2" t="s">
        <v>60</v>
      </c>
      <c r="C3669" s="2" t="s">
        <v>35457</v>
      </c>
      <c r="D3669" s="2" t="s">
        <v>35458</v>
      </c>
      <c r="E3669" s="2" t="s">
        <v>35459</v>
      </c>
      <c r="G3669" s="3" t="s">
        <v>62</v>
      </c>
      <c r="I3669" s="3" t="s">
        <v>62</v>
      </c>
      <c r="J3669" s="3" t="s">
        <v>62</v>
      </c>
      <c r="K3669" s="3" t="s">
        <v>63</v>
      </c>
      <c r="L3669" s="2" t="s">
        <v>35460</v>
      </c>
      <c r="M3669" s="2" t="s">
        <v>35461</v>
      </c>
      <c r="N3669" s="3" t="s">
        <v>894</v>
      </c>
      <c r="P3669" s="3" t="s">
        <v>65</v>
      </c>
      <c r="Q3669" s="2" t="s">
        <v>35462</v>
      </c>
      <c r="R3669" s="3" t="s">
        <v>66</v>
      </c>
      <c r="S3669" s="4">
        <v>0</v>
      </c>
      <c r="T3669" s="4">
        <v>0</v>
      </c>
      <c r="W3669" s="5" t="s">
        <v>67</v>
      </c>
      <c r="X3669" s="5" t="s">
        <v>67</v>
      </c>
      <c r="Y3669" s="4">
        <v>87</v>
      </c>
      <c r="Z3669" s="4">
        <v>11</v>
      </c>
      <c r="AA3669" s="4">
        <v>90</v>
      </c>
      <c r="AB3669" s="4">
        <v>2</v>
      </c>
      <c r="AC3669" s="4">
        <v>17</v>
      </c>
      <c r="AD3669" s="4">
        <v>41</v>
      </c>
      <c r="AE3669" s="4">
        <v>120</v>
      </c>
      <c r="AF3669" s="4">
        <v>1</v>
      </c>
      <c r="AG3669" s="4">
        <v>8</v>
      </c>
      <c r="AH3669" s="4">
        <v>37</v>
      </c>
      <c r="AI3669" s="4">
        <v>83</v>
      </c>
      <c r="AJ3669" s="4">
        <v>8</v>
      </c>
      <c r="AK3669" s="4">
        <v>23</v>
      </c>
      <c r="AL3669" s="4">
        <v>22</v>
      </c>
      <c r="AM3669" s="4">
        <v>41</v>
      </c>
      <c r="AN3669" s="4">
        <v>0</v>
      </c>
      <c r="AO3669" s="4">
        <v>0</v>
      </c>
      <c r="AP3669" s="4">
        <v>9</v>
      </c>
      <c r="AQ3669" s="4">
        <v>45</v>
      </c>
      <c r="AR3669" s="3" t="s">
        <v>62</v>
      </c>
      <c r="AS3669" s="3" t="s">
        <v>62</v>
      </c>
      <c r="AT3669" s="3" t="s">
        <v>62</v>
      </c>
      <c r="AV3669" s="6" t="str">
        <f>HYPERLINK("http://mcgill.on.worldcat.org/oclc/706804055","Catalog Record")</f>
        <v>Catalog Record</v>
      </c>
      <c r="AW3669" s="6" t="str">
        <f>HYPERLINK("http://www.worldcat.org/oclc/706804055","WorldCat Record")</f>
        <v>WorldCat Record</v>
      </c>
      <c r="AX3669" s="3" t="s">
        <v>35463</v>
      </c>
      <c r="AY3669" s="3" t="s">
        <v>35464</v>
      </c>
      <c r="AZ3669" s="3" t="s">
        <v>35465</v>
      </c>
      <c r="BA3669" s="3" t="s">
        <v>35465</v>
      </c>
      <c r="BB3669" s="3" t="s">
        <v>35466</v>
      </c>
      <c r="BC3669" s="3" t="s">
        <v>142</v>
      </c>
      <c r="BD3669" s="3" t="s">
        <v>68</v>
      </c>
      <c r="BE3669" s="3" t="s">
        <v>35467</v>
      </c>
      <c r="BF3669" s="3" t="s">
        <v>35466</v>
      </c>
      <c r="BG3669" s="3" t="s">
        <v>35468</v>
      </c>
    </row>
    <row r="3670" spans="1:59" ht="57" x14ac:dyDescent="0.45">
      <c r="A3670" s="2" t="s">
        <v>59</v>
      </c>
      <c r="B3670" s="2" t="s">
        <v>60</v>
      </c>
      <c r="C3670" s="2" t="s">
        <v>35469</v>
      </c>
      <c r="D3670" s="2" t="s">
        <v>35470</v>
      </c>
      <c r="E3670" s="2" t="s">
        <v>35471</v>
      </c>
      <c r="G3670" s="3" t="s">
        <v>62</v>
      </c>
      <c r="I3670" s="3" t="s">
        <v>62</v>
      </c>
      <c r="J3670" s="3" t="s">
        <v>62</v>
      </c>
      <c r="K3670" s="3" t="s">
        <v>63</v>
      </c>
      <c r="M3670" s="2" t="s">
        <v>35472</v>
      </c>
      <c r="N3670" s="3" t="s">
        <v>807</v>
      </c>
      <c r="P3670" s="3" t="s">
        <v>65</v>
      </c>
      <c r="R3670" s="3" t="s">
        <v>66</v>
      </c>
      <c r="S3670" s="4">
        <v>35</v>
      </c>
      <c r="T3670" s="4">
        <v>35</v>
      </c>
      <c r="U3670" s="5" t="s">
        <v>6427</v>
      </c>
      <c r="V3670" s="5" t="s">
        <v>6427</v>
      </c>
      <c r="W3670" s="5" t="s">
        <v>67</v>
      </c>
      <c r="X3670" s="5" t="s">
        <v>67</v>
      </c>
      <c r="Y3670" s="4">
        <v>335</v>
      </c>
      <c r="Z3670" s="4">
        <v>24</v>
      </c>
      <c r="AA3670" s="4">
        <v>31</v>
      </c>
      <c r="AB3670" s="4">
        <v>2</v>
      </c>
      <c r="AC3670" s="4">
        <v>8</v>
      </c>
      <c r="AD3670" s="4">
        <v>108</v>
      </c>
      <c r="AE3670" s="4">
        <v>112</v>
      </c>
      <c r="AF3670" s="4">
        <v>1</v>
      </c>
      <c r="AG3670" s="4">
        <v>4</v>
      </c>
      <c r="AH3670" s="4">
        <v>94</v>
      </c>
      <c r="AI3670" s="4">
        <v>95</v>
      </c>
      <c r="AJ3670" s="4">
        <v>17</v>
      </c>
      <c r="AK3670" s="4">
        <v>21</v>
      </c>
      <c r="AL3670" s="4">
        <v>53</v>
      </c>
      <c r="AM3670" s="4">
        <v>53</v>
      </c>
      <c r="AN3670" s="4">
        <v>0</v>
      </c>
      <c r="AO3670" s="4">
        <v>0</v>
      </c>
      <c r="AP3670" s="4">
        <v>20</v>
      </c>
      <c r="AQ3670" s="4">
        <v>23</v>
      </c>
      <c r="AR3670" s="3" t="s">
        <v>62</v>
      </c>
      <c r="AS3670" s="3" t="s">
        <v>62</v>
      </c>
      <c r="AT3670" s="3" t="s">
        <v>62</v>
      </c>
      <c r="AV3670" s="6" t="str">
        <f>HYPERLINK("http://mcgill.on.worldcat.org/oclc/23649891","Catalog Record")</f>
        <v>Catalog Record</v>
      </c>
      <c r="AW3670" s="6" t="str">
        <f>HYPERLINK("http://www.worldcat.org/oclc/23649891","WorldCat Record")</f>
        <v>WorldCat Record</v>
      </c>
      <c r="AX3670" s="3" t="s">
        <v>35473</v>
      </c>
      <c r="AY3670" s="3" t="s">
        <v>35474</v>
      </c>
      <c r="AZ3670" s="3" t="s">
        <v>35475</v>
      </c>
      <c r="BA3670" s="3" t="s">
        <v>35475</v>
      </c>
      <c r="BB3670" s="3" t="s">
        <v>35476</v>
      </c>
      <c r="BC3670" s="3" t="s">
        <v>142</v>
      </c>
      <c r="BD3670" s="3" t="s">
        <v>68</v>
      </c>
      <c r="BE3670" s="3" t="s">
        <v>35477</v>
      </c>
      <c r="BF3670" s="3" t="s">
        <v>35476</v>
      </c>
      <c r="BG3670" s="3" t="s">
        <v>35478</v>
      </c>
    </row>
    <row r="3671" spans="1:59" ht="57" x14ac:dyDescent="0.45">
      <c r="A3671" s="2" t="s">
        <v>59</v>
      </c>
      <c r="B3671" s="2" t="s">
        <v>60</v>
      </c>
      <c r="C3671" s="2" t="s">
        <v>35479</v>
      </c>
      <c r="D3671" s="2" t="s">
        <v>35480</v>
      </c>
      <c r="E3671" s="2" t="s">
        <v>35481</v>
      </c>
      <c r="G3671" s="3" t="s">
        <v>62</v>
      </c>
      <c r="I3671" s="3" t="s">
        <v>62</v>
      </c>
      <c r="J3671" s="3" t="s">
        <v>62</v>
      </c>
      <c r="K3671" s="3" t="s">
        <v>63</v>
      </c>
      <c r="M3671" s="2" t="s">
        <v>35482</v>
      </c>
      <c r="N3671" s="3" t="s">
        <v>116</v>
      </c>
      <c r="P3671" s="3" t="s">
        <v>65</v>
      </c>
      <c r="R3671" s="3" t="s">
        <v>66</v>
      </c>
      <c r="S3671" s="4">
        <v>3</v>
      </c>
      <c r="T3671" s="4">
        <v>3</v>
      </c>
      <c r="U3671" s="5" t="s">
        <v>8148</v>
      </c>
      <c r="V3671" s="5" t="s">
        <v>8148</v>
      </c>
      <c r="W3671" s="5" t="s">
        <v>67</v>
      </c>
      <c r="X3671" s="5" t="s">
        <v>67</v>
      </c>
      <c r="Y3671" s="4">
        <v>210</v>
      </c>
      <c r="Z3671" s="4">
        <v>15</v>
      </c>
      <c r="AA3671" s="4">
        <v>87</v>
      </c>
      <c r="AB3671" s="4">
        <v>2</v>
      </c>
      <c r="AC3671" s="4">
        <v>16</v>
      </c>
      <c r="AD3671" s="4">
        <v>56</v>
      </c>
      <c r="AE3671" s="4">
        <v>129</v>
      </c>
      <c r="AF3671" s="4">
        <v>0</v>
      </c>
      <c r="AG3671" s="4">
        <v>8</v>
      </c>
      <c r="AH3671" s="4">
        <v>52</v>
      </c>
      <c r="AI3671" s="4">
        <v>92</v>
      </c>
      <c r="AJ3671" s="4">
        <v>7</v>
      </c>
      <c r="AK3671" s="4">
        <v>23</v>
      </c>
      <c r="AL3671" s="4">
        <v>36</v>
      </c>
      <c r="AM3671" s="4">
        <v>52</v>
      </c>
      <c r="AN3671" s="4">
        <v>0</v>
      </c>
      <c r="AO3671" s="4">
        <v>0</v>
      </c>
      <c r="AP3671" s="4">
        <v>7</v>
      </c>
      <c r="AQ3671" s="4">
        <v>44</v>
      </c>
      <c r="AR3671" s="3" t="s">
        <v>62</v>
      </c>
      <c r="AS3671" s="3" t="s">
        <v>62</v>
      </c>
      <c r="AT3671" s="3" t="s">
        <v>62</v>
      </c>
      <c r="AV3671" s="6" t="str">
        <f>HYPERLINK("http://mcgill.on.worldcat.org/oclc/800447819","Catalog Record")</f>
        <v>Catalog Record</v>
      </c>
      <c r="AW3671" s="6" t="str">
        <f>HYPERLINK("http://www.worldcat.org/oclc/800447819","WorldCat Record")</f>
        <v>WorldCat Record</v>
      </c>
      <c r="AX3671" s="3" t="s">
        <v>35483</v>
      </c>
      <c r="AY3671" s="3" t="s">
        <v>35484</v>
      </c>
      <c r="AZ3671" s="3" t="s">
        <v>35485</v>
      </c>
      <c r="BA3671" s="3" t="s">
        <v>35485</v>
      </c>
      <c r="BB3671" s="3" t="s">
        <v>35486</v>
      </c>
      <c r="BC3671" s="3" t="s">
        <v>142</v>
      </c>
      <c r="BD3671" s="3" t="s">
        <v>68</v>
      </c>
      <c r="BE3671" s="3" t="s">
        <v>35487</v>
      </c>
      <c r="BF3671" s="3" t="s">
        <v>35486</v>
      </c>
      <c r="BG3671" s="3" t="s">
        <v>35488</v>
      </c>
    </row>
    <row r="3672" spans="1:59" ht="57" x14ac:dyDescent="0.45">
      <c r="A3672" s="2" t="s">
        <v>59</v>
      </c>
      <c r="B3672" s="2" t="s">
        <v>60</v>
      </c>
      <c r="C3672" s="2" t="s">
        <v>35489</v>
      </c>
      <c r="D3672" s="2" t="s">
        <v>35490</v>
      </c>
      <c r="E3672" s="2" t="s">
        <v>35491</v>
      </c>
      <c r="G3672" s="3" t="s">
        <v>62</v>
      </c>
      <c r="I3672" s="3" t="s">
        <v>62</v>
      </c>
      <c r="J3672" s="3" t="s">
        <v>62</v>
      </c>
      <c r="K3672" s="3" t="s">
        <v>63</v>
      </c>
      <c r="M3672" s="2" t="s">
        <v>35492</v>
      </c>
      <c r="N3672" s="3" t="s">
        <v>945</v>
      </c>
      <c r="P3672" s="3" t="s">
        <v>65</v>
      </c>
      <c r="Q3672" s="2" t="s">
        <v>35493</v>
      </c>
      <c r="R3672" s="3" t="s">
        <v>66</v>
      </c>
      <c r="S3672" s="4">
        <v>25</v>
      </c>
      <c r="T3672" s="4">
        <v>25</v>
      </c>
      <c r="U3672" s="5" t="s">
        <v>137</v>
      </c>
      <c r="V3672" s="5" t="s">
        <v>137</v>
      </c>
      <c r="W3672" s="5" t="s">
        <v>67</v>
      </c>
      <c r="X3672" s="5" t="s">
        <v>67</v>
      </c>
      <c r="Y3672" s="4">
        <v>388</v>
      </c>
      <c r="Z3672" s="4">
        <v>25</v>
      </c>
      <c r="AA3672" s="4">
        <v>56</v>
      </c>
      <c r="AB3672" s="4">
        <v>2</v>
      </c>
      <c r="AC3672" s="4">
        <v>11</v>
      </c>
      <c r="AD3672" s="4">
        <v>98</v>
      </c>
      <c r="AE3672" s="4">
        <v>121</v>
      </c>
      <c r="AF3672" s="4">
        <v>1</v>
      </c>
      <c r="AG3672" s="4">
        <v>5</v>
      </c>
      <c r="AH3672" s="4">
        <v>86</v>
      </c>
      <c r="AI3672" s="4">
        <v>96</v>
      </c>
      <c r="AJ3672" s="4">
        <v>15</v>
      </c>
      <c r="AK3672" s="4">
        <v>21</v>
      </c>
      <c r="AL3672" s="4">
        <v>48</v>
      </c>
      <c r="AM3672" s="4">
        <v>52</v>
      </c>
      <c r="AN3672" s="4">
        <v>0</v>
      </c>
      <c r="AO3672" s="4">
        <v>0</v>
      </c>
      <c r="AP3672" s="4">
        <v>21</v>
      </c>
      <c r="AQ3672" s="4">
        <v>34</v>
      </c>
      <c r="AR3672" s="3" t="s">
        <v>62</v>
      </c>
      <c r="AS3672" s="3" t="s">
        <v>62</v>
      </c>
      <c r="AT3672" s="3" t="s">
        <v>62</v>
      </c>
      <c r="AV3672" s="6" t="str">
        <f>HYPERLINK("http://mcgill.on.worldcat.org/oclc/71275427","Catalog Record")</f>
        <v>Catalog Record</v>
      </c>
      <c r="AW3672" s="6" t="str">
        <f>HYPERLINK("http://www.worldcat.org/oclc/71275427","WorldCat Record")</f>
        <v>WorldCat Record</v>
      </c>
      <c r="AX3672" s="3" t="s">
        <v>35494</v>
      </c>
      <c r="AY3672" s="3" t="s">
        <v>35495</v>
      </c>
      <c r="AZ3672" s="3" t="s">
        <v>35496</v>
      </c>
      <c r="BA3672" s="3" t="s">
        <v>35496</v>
      </c>
      <c r="BB3672" s="3" t="s">
        <v>35497</v>
      </c>
      <c r="BC3672" s="3" t="s">
        <v>142</v>
      </c>
      <c r="BD3672" s="3" t="s">
        <v>68</v>
      </c>
      <c r="BE3672" s="3" t="s">
        <v>35498</v>
      </c>
      <c r="BF3672" s="3" t="s">
        <v>35497</v>
      </c>
      <c r="BG3672" s="3" t="s">
        <v>35499</v>
      </c>
    </row>
    <row r="3673" spans="1:59" ht="57" x14ac:dyDescent="0.45">
      <c r="A3673" s="2" t="s">
        <v>59</v>
      </c>
      <c r="B3673" s="2" t="s">
        <v>60</v>
      </c>
      <c r="C3673" s="2" t="s">
        <v>35500</v>
      </c>
      <c r="D3673" s="2" t="s">
        <v>35501</v>
      </c>
      <c r="E3673" s="2" t="s">
        <v>35502</v>
      </c>
      <c r="G3673" s="3" t="s">
        <v>62</v>
      </c>
      <c r="I3673" s="3" t="s">
        <v>62</v>
      </c>
      <c r="J3673" s="3" t="s">
        <v>62</v>
      </c>
      <c r="K3673" s="3" t="s">
        <v>63</v>
      </c>
      <c r="L3673" s="2" t="s">
        <v>35503</v>
      </c>
      <c r="M3673" s="2" t="s">
        <v>35504</v>
      </c>
      <c r="N3673" s="3" t="s">
        <v>807</v>
      </c>
      <c r="P3673" s="3" t="s">
        <v>65</v>
      </c>
      <c r="R3673" s="3" t="s">
        <v>66</v>
      </c>
      <c r="S3673" s="4">
        <v>30</v>
      </c>
      <c r="T3673" s="4">
        <v>30</v>
      </c>
      <c r="U3673" s="5" t="s">
        <v>3162</v>
      </c>
      <c r="V3673" s="5" t="s">
        <v>3162</v>
      </c>
      <c r="W3673" s="5" t="s">
        <v>67</v>
      </c>
      <c r="X3673" s="5" t="s">
        <v>67</v>
      </c>
      <c r="Y3673" s="4">
        <v>575</v>
      </c>
      <c r="Z3673" s="4">
        <v>40</v>
      </c>
      <c r="AA3673" s="4">
        <v>47</v>
      </c>
      <c r="AB3673" s="4">
        <v>3</v>
      </c>
      <c r="AC3673" s="4">
        <v>8</v>
      </c>
      <c r="AD3673" s="4">
        <v>116</v>
      </c>
      <c r="AE3673" s="4">
        <v>122</v>
      </c>
      <c r="AF3673" s="4">
        <v>2</v>
      </c>
      <c r="AG3673" s="4">
        <v>6</v>
      </c>
      <c r="AH3673" s="4">
        <v>96</v>
      </c>
      <c r="AI3673" s="4">
        <v>98</v>
      </c>
      <c r="AJ3673" s="4">
        <v>19</v>
      </c>
      <c r="AK3673" s="4">
        <v>23</v>
      </c>
      <c r="AL3673" s="4">
        <v>47</v>
      </c>
      <c r="AM3673" s="4">
        <v>47</v>
      </c>
      <c r="AN3673" s="4">
        <v>0</v>
      </c>
      <c r="AO3673" s="4">
        <v>0</v>
      </c>
      <c r="AP3673" s="4">
        <v>30</v>
      </c>
      <c r="AQ3673" s="4">
        <v>34</v>
      </c>
      <c r="AR3673" s="3" t="s">
        <v>62</v>
      </c>
      <c r="AS3673" s="3" t="s">
        <v>62</v>
      </c>
      <c r="AT3673" s="3" t="s">
        <v>62</v>
      </c>
      <c r="AV3673" s="6" t="str">
        <f>HYPERLINK("http://mcgill.on.worldcat.org/oclc/22275184","Catalog Record")</f>
        <v>Catalog Record</v>
      </c>
      <c r="AW3673" s="6" t="str">
        <f>HYPERLINK("http://www.worldcat.org/oclc/22275184","WorldCat Record")</f>
        <v>WorldCat Record</v>
      </c>
      <c r="AX3673" s="3" t="s">
        <v>35505</v>
      </c>
      <c r="AY3673" s="3" t="s">
        <v>35506</v>
      </c>
      <c r="AZ3673" s="3" t="s">
        <v>35507</v>
      </c>
      <c r="BA3673" s="3" t="s">
        <v>35507</v>
      </c>
      <c r="BB3673" s="3" t="s">
        <v>35508</v>
      </c>
      <c r="BC3673" s="3" t="s">
        <v>142</v>
      </c>
      <c r="BD3673" s="3" t="s">
        <v>68</v>
      </c>
      <c r="BE3673" s="3" t="s">
        <v>35509</v>
      </c>
      <c r="BF3673" s="3" t="s">
        <v>35508</v>
      </c>
      <c r="BG3673" s="3" t="s">
        <v>35510</v>
      </c>
    </row>
    <row r="3674" spans="1:59" ht="57" x14ac:dyDescent="0.45">
      <c r="A3674" s="2" t="s">
        <v>59</v>
      </c>
      <c r="B3674" s="2" t="s">
        <v>60</v>
      </c>
      <c r="C3674" s="2" t="s">
        <v>35511</v>
      </c>
      <c r="D3674" s="2" t="s">
        <v>35512</v>
      </c>
      <c r="E3674" s="2" t="s">
        <v>35513</v>
      </c>
      <c r="G3674" s="3" t="s">
        <v>62</v>
      </c>
      <c r="I3674" s="3" t="s">
        <v>62</v>
      </c>
      <c r="J3674" s="3" t="s">
        <v>62</v>
      </c>
      <c r="K3674" s="3" t="s">
        <v>63</v>
      </c>
      <c r="L3674" s="2" t="s">
        <v>35514</v>
      </c>
      <c r="M3674" s="2" t="s">
        <v>35515</v>
      </c>
      <c r="N3674" s="3" t="s">
        <v>1212</v>
      </c>
      <c r="P3674" s="3" t="s">
        <v>65</v>
      </c>
      <c r="Q3674" s="2" t="s">
        <v>35516</v>
      </c>
      <c r="R3674" s="3" t="s">
        <v>66</v>
      </c>
      <c r="S3674" s="4">
        <v>45</v>
      </c>
      <c r="T3674" s="4">
        <v>45</v>
      </c>
      <c r="U3674" s="5" t="s">
        <v>13658</v>
      </c>
      <c r="V3674" s="5" t="s">
        <v>13658</v>
      </c>
      <c r="W3674" s="5" t="s">
        <v>67</v>
      </c>
      <c r="X3674" s="5" t="s">
        <v>67</v>
      </c>
      <c r="Y3674" s="4">
        <v>1092</v>
      </c>
      <c r="Z3674" s="4">
        <v>55</v>
      </c>
      <c r="AA3674" s="4">
        <v>125</v>
      </c>
      <c r="AB3674" s="4">
        <v>3</v>
      </c>
      <c r="AC3674" s="4">
        <v>20</v>
      </c>
      <c r="AD3674" s="4">
        <v>133</v>
      </c>
      <c r="AE3674" s="4">
        <v>157</v>
      </c>
      <c r="AF3674" s="4">
        <v>2</v>
      </c>
      <c r="AG3674" s="4">
        <v>8</v>
      </c>
      <c r="AH3674" s="4">
        <v>104</v>
      </c>
      <c r="AI3674" s="4">
        <v>112</v>
      </c>
      <c r="AJ3674" s="4">
        <v>21</v>
      </c>
      <c r="AK3674" s="4">
        <v>27</v>
      </c>
      <c r="AL3674" s="4">
        <v>56</v>
      </c>
      <c r="AM3674" s="4">
        <v>57</v>
      </c>
      <c r="AN3674" s="4">
        <v>0</v>
      </c>
      <c r="AO3674" s="4">
        <v>0</v>
      </c>
      <c r="AP3674" s="4">
        <v>38</v>
      </c>
      <c r="AQ3674" s="4">
        <v>55</v>
      </c>
      <c r="AR3674" s="3" t="s">
        <v>62</v>
      </c>
      <c r="AS3674" s="3" t="s">
        <v>62</v>
      </c>
      <c r="AT3674" s="3" t="s">
        <v>62</v>
      </c>
      <c r="AV3674" s="6" t="str">
        <f>HYPERLINK("http://mcgill.on.worldcat.org/oclc/41272996","Catalog Record")</f>
        <v>Catalog Record</v>
      </c>
      <c r="AW3674" s="6" t="str">
        <f>HYPERLINK("http://www.worldcat.org/oclc/41272996","WorldCat Record")</f>
        <v>WorldCat Record</v>
      </c>
      <c r="AX3674" s="3" t="s">
        <v>35517</v>
      </c>
      <c r="AY3674" s="3" t="s">
        <v>35518</v>
      </c>
      <c r="AZ3674" s="3" t="s">
        <v>35519</v>
      </c>
      <c r="BA3674" s="3" t="s">
        <v>35519</v>
      </c>
      <c r="BB3674" s="3" t="s">
        <v>35520</v>
      </c>
      <c r="BC3674" s="3" t="s">
        <v>142</v>
      </c>
      <c r="BD3674" s="3" t="s">
        <v>68</v>
      </c>
      <c r="BE3674" s="3" t="s">
        <v>35521</v>
      </c>
      <c r="BF3674" s="3" t="s">
        <v>35520</v>
      </c>
      <c r="BG3674" s="3" t="s">
        <v>35522</v>
      </c>
    </row>
    <row r="3675" spans="1:59" ht="57" x14ac:dyDescent="0.45">
      <c r="A3675" s="2" t="s">
        <v>59</v>
      </c>
      <c r="B3675" s="2" t="s">
        <v>60</v>
      </c>
      <c r="C3675" s="2" t="s">
        <v>35523</v>
      </c>
      <c r="D3675" s="2" t="s">
        <v>35524</v>
      </c>
      <c r="E3675" s="2" t="s">
        <v>35525</v>
      </c>
      <c r="G3675" s="3" t="s">
        <v>62</v>
      </c>
      <c r="I3675" s="3" t="s">
        <v>62</v>
      </c>
      <c r="J3675" s="3" t="s">
        <v>62</v>
      </c>
      <c r="K3675" s="3" t="s">
        <v>63</v>
      </c>
      <c r="L3675" s="2" t="s">
        <v>35526</v>
      </c>
      <c r="M3675" s="2" t="s">
        <v>26986</v>
      </c>
      <c r="N3675" s="3" t="s">
        <v>167</v>
      </c>
      <c r="P3675" s="3" t="s">
        <v>65</v>
      </c>
      <c r="R3675" s="3" t="s">
        <v>66</v>
      </c>
      <c r="S3675" s="4">
        <v>21</v>
      </c>
      <c r="T3675" s="4">
        <v>21</v>
      </c>
      <c r="U3675" s="5" t="s">
        <v>35527</v>
      </c>
      <c r="V3675" s="5" t="s">
        <v>35527</v>
      </c>
      <c r="W3675" s="5" t="s">
        <v>67</v>
      </c>
      <c r="X3675" s="5" t="s">
        <v>67</v>
      </c>
      <c r="Y3675" s="4">
        <v>784</v>
      </c>
      <c r="Z3675" s="4">
        <v>42</v>
      </c>
      <c r="AA3675" s="4">
        <v>48</v>
      </c>
      <c r="AB3675" s="4">
        <v>3</v>
      </c>
      <c r="AC3675" s="4">
        <v>6</v>
      </c>
      <c r="AD3675" s="4">
        <v>114</v>
      </c>
      <c r="AE3675" s="4">
        <v>124</v>
      </c>
      <c r="AF3675" s="4">
        <v>1</v>
      </c>
      <c r="AG3675" s="4">
        <v>3</v>
      </c>
      <c r="AH3675" s="4">
        <v>97</v>
      </c>
      <c r="AI3675" s="4">
        <v>101</v>
      </c>
      <c r="AJ3675" s="4">
        <v>17</v>
      </c>
      <c r="AK3675" s="4">
        <v>20</v>
      </c>
      <c r="AL3675" s="4">
        <v>55</v>
      </c>
      <c r="AM3675" s="4">
        <v>58</v>
      </c>
      <c r="AN3675" s="4">
        <v>0</v>
      </c>
      <c r="AO3675" s="4">
        <v>0</v>
      </c>
      <c r="AP3675" s="4">
        <v>23</v>
      </c>
      <c r="AQ3675" s="4">
        <v>26</v>
      </c>
      <c r="AR3675" s="3" t="s">
        <v>62</v>
      </c>
      <c r="AS3675" s="3" t="s">
        <v>62</v>
      </c>
      <c r="AT3675" s="3" t="s">
        <v>62</v>
      </c>
      <c r="AV3675" s="6" t="str">
        <f>HYPERLINK("http://mcgill.on.worldcat.org/oclc/38853989","Catalog Record")</f>
        <v>Catalog Record</v>
      </c>
      <c r="AW3675" s="6" t="str">
        <f>HYPERLINK("http://www.worldcat.org/oclc/38853989","WorldCat Record")</f>
        <v>WorldCat Record</v>
      </c>
      <c r="AX3675" s="3" t="s">
        <v>35528</v>
      </c>
      <c r="AY3675" s="3" t="s">
        <v>35529</v>
      </c>
      <c r="AZ3675" s="3" t="s">
        <v>35530</v>
      </c>
      <c r="BA3675" s="3" t="s">
        <v>35530</v>
      </c>
      <c r="BB3675" s="3" t="s">
        <v>35531</v>
      </c>
      <c r="BC3675" s="3" t="s">
        <v>142</v>
      </c>
      <c r="BD3675" s="3" t="s">
        <v>68</v>
      </c>
      <c r="BE3675" s="3" t="s">
        <v>35532</v>
      </c>
      <c r="BF3675" s="3" t="s">
        <v>35531</v>
      </c>
      <c r="BG3675" s="3" t="s">
        <v>35533</v>
      </c>
    </row>
    <row r="3676" spans="1:59" ht="57" x14ac:dyDescent="0.45">
      <c r="A3676" s="2" t="s">
        <v>59</v>
      </c>
      <c r="B3676" s="2" t="s">
        <v>60</v>
      </c>
      <c r="C3676" s="2" t="s">
        <v>35534</v>
      </c>
      <c r="D3676" s="2" t="s">
        <v>35535</v>
      </c>
      <c r="E3676" s="2" t="s">
        <v>35536</v>
      </c>
      <c r="G3676" s="3" t="s">
        <v>62</v>
      </c>
      <c r="I3676" s="3" t="s">
        <v>62</v>
      </c>
      <c r="J3676" s="3" t="s">
        <v>62</v>
      </c>
      <c r="K3676" s="3" t="s">
        <v>63</v>
      </c>
      <c r="L3676" s="2" t="s">
        <v>35537</v>
      </c>
      <c r="M3676" s="2" t="s">
        <v>35538</v>
      </c>
      <c r="N3676" s="3" t="s">
        <v>1155</v>
      </c>
      <c r="P3676" s="3" t="s">
        <v>65</v>
      </c>
      <c r="Q3676" s="2" t="s">
        <v>35539</v>
      </c>
      <c r="R3676" s="3" t="s">
        <v>66</v>
      </c>
      <c r="S3676" s="4">
        <v>1</v>
      </c>
      <c r="T3676" s="4">
        <v>1</v>
      </c>
      <c r="U3676" s="5" t="s">
        <v>35540</v>
      </c>
      <c r="V3676" s="5" t="s">
        <v>35540</v>
      </c>
      <c r="W3676" s="5" t="s">
        <v>67</v>
      </c>
      <c r="X3676" s="5" t="s">
        <v>67</v>
      </c>
      <c r="Y3676" s="4">
        <v>86</v>
      </c>
      <c r="Z3676" s="4">
        <v>7</v>
      </c>
      <c r="AA3676" s="4">
        <v>8</v>
      </c>
      <c r="AB3676" s="4">
        <v>2</v>
      </c>
      <c r="AC3676" s="4">
        <v>3</v>
      </c>
      <c r="AD3676" s="4">
        <v>10</v>
      </c>
      <c r="AE3676" s="4">
        <v>11</v>
      </c>
      <c r="AF3676" s="4">
        <v>0</v>
      </c>
      <c r="AG3676" s="4">
        <v>1</v>
      </c>
      <c r="AH3676" s="4">
        <v>9</v>
      </c>
      <c r="AI3676" s="4">
        <v>9</v>
      </c>
      <c r="AJ3676" s="4">
        <v>2</v>
      </c>
      <c r="AK3676" s="4">
        <v>3</v>
      </c>
      <c r="AL3676" s="4">
        <v>3</v>
      </c>
      <c r="AM3676" s="4">
        <v>3</v>
      </c>
      <c r="AN3676" s="4">
        <v>0</v>
      </c>
      <c r="AO3676" s="4">
        <v>0</v>
      </c>
      <c r="AP3676" s="4">
        <v>3</v>
      </c>
      <c r="AQ3676" s="4">
        <v>4</v>
      </c>
      <c r="AR3676" s="3" t="s">
        <v>62</v>
      </c>
      <c r="AS3676" s="3" t="s">
        <v>62</v>
      </c>
      <c r="AT3676" s="3" t="s">
        <v>62</v>
      </c>
      <c r="AV3676" s="6" t="str">
        <f>HYPERLINK("http://mcgill.on.worldcat.org/oclc/726822472","Catalog Record")</f>
        <v>Catalog Record</v>
      </c>
      <c r="AW3676" s="6" t="str">
        <f>HYPERLINK("http://www.worldcat.org/oclc/726822472","WorldCat Record")</f>
        <v>WorldCat Record</v>
      </c>
      <c r="AX3676" s="3" t="s">
        <v>35541</v>
      </c>
      <c r="AY3676" s="3" t="s">
        <v>35542</v>
      </c>
      <c r="AZ3676" s="3" t="s">
        <v>35543</v>
      </c>
      <c r="BA3676" s="3" t="s">
        <v>35543</v>
      </c>
      <c r="BB3676" s="3" t="s">
        <v>35544</v>
      </c>
      <c r="BC3676" s="3" t="s">
        <v>142</v>
      </c>
      <c r="BD3676" s="3" t="s">
        <v>68</v>
      </c>
      <c r="BE3676" s="3" t="s">
        <v>35545</v>
      </c>
      <c r="BF3676" s="3" t="s">
        <v>35544</v>
      </c>
      <c r="BG3676" s="3" t="s">
        <v>35546</v>
      </c>
    </row>
    <row r="3677" spans="1:59" ht="57" x14ac:dyDescent="0.45">
      <c r="A3677" s="2" t="s">
        <v>59</v>
      </c>
      <c r="B3677" s="2" t="s">
        <v>60</v>
      </c>
      <c r="C3677" s="2" t="s">
        <v>35547</v>
      </c>
      <c r="D3677" s="2" t="s">
        <v>35548</v>
      </c>
      <c r="E3677" s="2" t="s">
        <v>35549</v>
      </c>
      <c r="G3677" s="3" t="s">
        <v>62</v>
      </c>
      <c r="I3677" s="3" t="s">
        <v>62</v>
      </c>
      <c r="J3677" s="3" t="s">
        <v>62</v>
      </c>
      <c r="K3677" s="3" t="s">
        <v>63</v>
      </c>
      <c r="M3677" s="2" t="s">
        <v>9944</v>
      </c>
      <c r="N3677" s="3" t="s">
        <v>1465</v>
      </c>
      <c r="P3677" s="3" t="s">
        <v>65</v>
      </c>
      <c r="Q3677" s="2" t="s">
        <v>5121</v>
      </c>
      <c r="R3677" s="3" t="s">
        <v>66</v>
      </c>
      <c r="S3677" s="4">
        <v>14</v>
      </c>
      <c r="T3677" s="4">
        <v>14</v>
      </c>
      <c r="U3677" s="5" t="s">
        <v>35394</v>
      </c>
      <c r="V3677" s="5" t="s">
        <v>35394</v>
      </c>
      <c r="W3677" s="5" t="s">
        <v>67</v>
      </c>
      <c r="X3677" s="5" t="s">
        <v>67</v>
      </c>
      <c r="Y3677" s="4">
        <v>212</v>
      </c>
      <c r="Z3677" s="4">
        <v>20</v>
      </c>
      <c r="AA3677" s="4">
        <v>86</v>
      </c>
      <c r="AB3677" s="4">
        <v>2</v>
      </c>
      <c r="AC3677" s="4">
        <v>15</v>
      </c>
      <c r="AD3677" s="4">
        <v>62</v>
      </c>
      <c r="AE3677" s="4">
        <v>123</v>
      </c>
      <c r="AF3677" s="4">
        <v>0</v>
      </c>
      <c r="AG3677" s="4">
        <v>8</v>
      </c>
      <c r="AH3677" s="4">
        <v>57</v>
      </c>
      <c r="AI3677" s="4">
        <v>88</v>
      </c>
      <c r="AJ3677" s="4">
        <v>12</v>
      </c>
      <c r="AK3677" s="4">
        <v>27</v>
      </c>
      <c r="AL3677" s="4">
        <v>33</v>
      </c>
      <c r="AM3677" s="4">
        <v>47</v>
      </c>
      <c r="AN3677" s="4">
        <v>0</v>
      </c>
      <c r="AO3677" s="4">
        <v>0</v>
      </c>
      <c r="AP3677" s="4">
        <v>15</v>
      </c>
      <c r="AQ3677" s="4">
        <v>47</v>
      </c>
      <c r="AR3677" s="3" t="s">
        <v>62</v>
      </c>
      <c r="AS3677" s="3" t="s">
        <v>62</v>
      </c>
      <c r="AT3677" s="3" t="s">
        <v>62</v>
      </c>
      <c r="AV3677" s="6" t="str">
        <f>HYPERLINK("http://mcgill.on.worldcat.org/oclc/262894406","Catalog Record")</f>
        <v>Catalog Record</v>
      </c>
      <c r="AW3677" s="6" t="str">
        <f>HYPERLINK("http://www.worldcat.org/oclc/262894406","WorldCat Record")</f>
        <v>WorldCat Record</v>
      </c>
      <c r="AX3677" s="3" t="s">
        <v>35550</v>
      </c>
      <c r="AY3677" s="3" t="s">
        <v>35551</v>
      </c>
      <c r="AZ3677" s="3" t="s">
        <v>35552</v>
      </c>
      <c r="BA3677" s="3" t="s">
        <v>35552</v>
      </c>
      <c r="BB3677" s="3" t="s">
        <v>35553</v>
      </c>
      <c r="BC3677" s="3" t="s">
        <v>142</v>
      </c>
      <c r="BD3677" s="3" t="s">
        <v>68</v>
      </c>
      <c r="BE3677" s="3" t="s">
        <v>35554</v>
      </c>
      <c r="BF3677" s="3" t="s">
        <v>35553</v>
      </c>
      <c r="BG3677" s="3" t="s">
        <v>35555</v>
      </c>
    </row>
    <row r="3678" spans="1:59" ht="57" x14ac:dyDescent="0.45">
      <c r="A3678" s="2" t="s">
        <v>59</v>
      </c>
      <c r="B3678" s="2" t="s">
        <v>60</v>
      </c>
      <c r="C3678" s="2" t="s">
        <v>35556</v>
      </c>
      <c r="D3678" s="2" t="s">
        <v>35557</v>
      </c>
      <c r="E3678" s="2" t="s">
        <v>35558</v>
      </c>
      <c r="G3678" s="3" t="s">
        <v>62</v>
      </c>
      <c r="I3678" s="3" t="s">
        <v>61</v>
      </c>
      <c r="J3678" s="3" t="s">
        <v>61</v>
      </c>
      <c r="K3678" s="3" t="s">
        <v>63</v>
      </c>
      <c r="L3678" s="2" t="s">
        <v>35559</v>
      </c>
      <c r="M3678" s="2" t="s">
        <v>30487</v>
      </c>
      <c r="N3678" s="3" t="s">
        <v>1212</v>
      </c>
      <c r="P3678" s="3" t="s">
        <v>65</v>
      </c>
      <c r="R3678" s="3" t="s">
        <v>66</v>
      </c>
      <c r="S3678" s="4">
        <v>10</v>
      </c>
      <c r="T3678" s="4">
        <v>17</v>
      </c>
      <c r="U3678" s="5" t="s">
        <v>35560</v>
      </c>
      <c r="V3678" s="5" t="s">
        <v>35561</v>
      </c>
      <c r="W3678" s="5" t="s">
        <v>67</v>
      </c>
      <c r="X3678" s="5" t="s">
        <v>67</v>
      </c>
      <c r="Y3678" s="4">
        <v>746</v>
      </c>
      <c r="Z3678" s="4">
        <v>35</v>
      </c>
      <c r="AA3678" s="4">
        <v>51</v>
      </c>
      <c r="AB3678" s="4">
        <v>3</v>
      </c>
      <c r="AC3678" s="4">
        <v>10</v>
      </c>
      <c r="AD3678" s="4">
        <v>105</v>
      </c>
      <c r="AE3678" s="4">
        <v>122</v>
      </c>
      <c r="AF3678" s="4">
        <v>1</v>
      </c>
      <c r="AG3678" s="4">
        <v>5</v>
      </c>
      <c r="AH3678" s="4">
        <v>87</v>
      </c>
      <c r="AI3678" s="4">
        <v>98</v>
      </c>
      <c r="AJ3678" s="4">
        <v>16</v>
      </c>
      <c r="AK3678" s="4">
        <v>22</v>
      </c>
      <c r="AL3678" s="4">
        <v>47</v>
      </c>
      <c r="AM3678" s="4">
        <v>52</v>
      </c>
      <c r="AN3678" s="4">
        <v>0</v>
      </c>
      <c r="AO3678" s="4">
        <v>0</v>
      </c>
      <c r="AP3678" s="4">
        <v>26</v>
      </c>
      <c r="AQ3678" s="4">
        <v>35</v>
      </c>
      <c r="AR3678" s="3" t="s">
        <v>62</v>
      </c>
      <c r="AS3678" s="3" t="s">
        <v>62</v>
      </c>
      <c r="AT3678" s="3" t="s">
        <v>61</v>
      </c>
      <c r="AU3678" s="6" t="str">
        <f>HYPERLINK("http://catalog.hathitrust.org/Record/004092824","HathiTrust Record")</f>
        <v>HathiTrust Record</v>
      </c>
      <c r="AV3678" s="6" t="str">
        <f>HYPERLINK("http://mcgill.on.worldcat.org/oclc/41674433","Catalog Record")</f>
        <v>Catalog Record</v>
      </c>
      <c r="AW3678" s="6" t="str">
        <f>HYPERLINK("http://www.worldcat.org/oclc/41674433","WorldCat Record")</f>
        <v>WorldCat Record</v>
      </c>
      <c r="AX3678" s="3" t="s">
        <v>35562</v>
      </c>
      <c r="AY3678" s="3" t="s">
        <v>35563</v>
      </c>
      <c r="AZ3678" s="3" t="s">
        <v>35564</v>
      </c>
      <c r="BA3678" s="3" t="s">
        <v>35564</v>
      </c>
      <c r="BB3678" s="3" t="s">
        <v>35565</v>
      </c>
      <c r="BC3678" s="3" t="s">
        <v>142</v>
      </c>
      <c r="BD3678" s="3" t="s">
        <v>68</v>
      </c>
      <c r="BE3678" s="3" t="s">
        <v>35566</v>
      </c>
      <c r="BF3678" s="3" t="s">
        <v>35565</v>
      </c>
      <c r="BG3678" s="3" t="s">
        <v>35567</v>
      </c>
    </row>
    <row r="3679" spans="1:59" ht="57" x14ac:dyDescent="0.45">
      <c r="A3679" s="2" t="s">
        <v>59</v>
      </c>
      <c r="B3679" s="2" t="s">
        <v>60</v>
      </c>
      <c r="C3679" s="2" t="s">
        <v>35556</v>
      </c>
      <c r="D3679" s="2" t="s">
        <v>35557</v>
      </c>
      <c r="E3679" s="2" t="s">
        <v>35558</v>
      </c>
      <c r="G3679" s="3" t="s">
        <v>62</v>
      </c>
      <c r="I3679" s="3" t="s">
        <v>61</v>
      </c>
      <c r="J3679" s="3" t="s">
        <v>61</v>
      </c>
      <c r="K3679" s="3" t="s">
        <v>63</v>
      </c>
      <c r="L3679" s="2" t="s">
        <v>35559</v>
      </c>
      <c r="M3679" s="2" t="s">
        <v>30487</v>
      </c>
      <c r="N3679" s="3" t="s">
        <v>1212</v>
      </c>
      <c r="P3679" s="3" t="s">
        <v>65</v>
      </c>
      <c r="R3679" s="3" t="s">
        <v>66</v>
      </c>
      <c r="S3679" s="4">
        <v>7</v>
      </c>
      <c r="T3679" s="4">
        <v>17</v>
      </c>
      <c r="U3679" s="5" t="s">
        <v>35561</v>
      </c>
      <c r="V3679" s="5" t="s">
        <v>35561</v>
      </c>
      <c r="W3679" s="5" t="s">
        <v>67</v>
      </c>
      <c r="X3679" s="5" t="s">
        <v>67</v>
      </c>
      <c r="Y3679" s="4">
        <v>746</v>
      </c>
      <c r="Z3679" s="4">
        <v>35</v>
      </c>
      <c r="AA3679" s="4">
        <v>51</v>
      </c>
      <c r="AB3679" s="4">
        <v>3</v>
      </c>
      <c r="AC3679" s="4">
        <v>10</v>
      </c>
      <c r="AD3679" s="4">
        <v>105</v>
      </c>
      <c r="AE3679" s="4">
        <v>122</v>
      </c>
      <c r="AF3679" s="4">
        <v>1</v>
      </c>
      <c r="AG3679" s="4">
        <v>5</v>
      </c>
      <c r="AH3679" s="4">
        <v>87</v>
      </c>
      <c r="AI3679" s="4">
        <v>98</v>
      </c>
      <c r="AJ3679" s="4">
        <v>16</v>
      </c>
      <c r="AK3679" s="4">
        <v>22</v>
      </c>
      <c r="AL3679" s="4">
        <v>47</v>
      </c>
      <c r="AM3679" s="4">
        <v>52</v>
      </c>
      <c r="AN3679" s="4">
        <v>0</v>
      </c>
      <c r="AO3679" s="4">
        <v>0</v>
      </c>
      <c r="AP3679" s="4">
        <v>26</v>
      </c>
      <c r="AQ3679" s="4">
        <v>35</v>
      </c>
      <c r="AR3679" s="3" t="s">
        <v>62</v>
      </c>
      <c r="AS3679" s="3" t="s">
        <v>62</v>
      </c>
      <c r="AT3679" s="3" t="s">
        <v>61</v>
      </c>
      <c r="AU3679" s="6" t="str">
        <f>HYPERLINK("http://catalog.hathitrust.org/Record/004092824","HathiTrust Record")</f>
        <v>HathiTrust Record</v>
      </c>
      <c r="AV3679" s="6" t="str">
        <f>HYPERLINK("http://mcgill.on.worldcat.org/oclc/41674433","Catalog Record")</f>
        <v>Catalog Record</v>
      </c>
      <c r="AW3679" s="6" t="str">
        <f>HYPERLINK("http://www.worldcat.org/oclc/41674433","WorldCat Record")</f>
        <v>WorldCat Record</v>
      </c>
      <c r="AX3679" s="3" t="s">
        <v>35562</v>
      </c>
      <c r="AY3679" s="3" t="s">
        <v>35563</v>
      </c>
      <c r="AZ3679" s="3" t="s">
        <v>35564</v>
      </c>
      <c r="BA3679" s="3" t="s">
        <v>35564</v>
      </c>
      <c r="BB3679" s="3" t="s">
        <v>35568</v>
      </c>
      <c r="BC3679" s="3" t="s">
        <v>142</v>
      </c>
      <c r="BD3679" s="3" t="s">
        <v>68</v>
      </c>
      <c r="BE3679" s="3" t="s">
        <v>35566</v>
      </c>
      <c r="BF3679" s="3" t="s">
        <v>35568</v>
      </c>
      <c r="BG3679" s="3" t="s">
        <v>35569</v>
      </c>
    </row>
    <row r="3680" spans="1:59" ht="57" x14ac:dyDescent="0.45">
      <c r="A3680" s="2" t="s">
        <v>59</v>
      </c>
      <c r="B3680" s="2" t="s">
        <v>60</v>
      </c>
      <c r="C3680" s="2" t="s">
        <v>35570</v>
      </c>
      <c r="D3680" s="2" t="s">
        <v>35571</v>
      </c>
      <c r="E3680" s="2" t="s">
        <v>35572</v>
      </c>
      <c r="F3680" s="3" t="s">
        <v>478</v>
      </c>
      <c r="G3680" s="3" t="s">
        <v>61</v>
      </c>
      <c r="I3680" s="3" t="s">
        <v>61</v>
      </c>
      <c r="J3680" s="3" t="s">
        <v>62</v>
      </c>
      <c r="K3680" s="3" t="s">
        <v>63</v>
      </c>
      <c r="M3680" s="2" t="s">
        <v>35573</v>
      </c>
      <c r="N3680" s="3" t="s">
        <v>117</v>
      </c>
      <c r="P3680" s="3" t="s">
        <v>65</v>
      </c>
      <c r="Q3680" s="2" t="s">
        <v>35574</v>
      </c>
      <c r="R3680" s="3" t="s">
        <v>66</v>
      </c>
      <c r="S3680" s="4">
        <v>39</v>
      </c>
      <c r="T3680" s="4">
        <v>83</v>
      </c>
      <c r="U3680" s="5" t="s">
        <v>1381</v>
      </c>
      <c r="V3680" s="5" t="s">
        <v>1381</v>
      </c>
      <c r="W3680" s="5" t="s">
        <v>67</v>
      </c>
      <c r="X3680" s="5" t="s">
        <v>67</v>
      </c>
      <c r="Y3680" s="4">
        <v>384</v>
      </c>
      <c r="Z3680" s="4">
        <v>32</v>
      </c>
      <c r="AA3680" s="4">
        <v>36</v>
      </c>
      <c r="AB3680" s="4">
        <v>4</v>
      </c>
      <c r="AC3680" s="4">
        <v>8</v>
      </c>
      <c r="AD3680" s="4">
        <v>118</v>
      </c>
      <c r="AE3680" s="4">
        <v>121</v>
      </c>
      <c r="AF3680" s="4">
        <v>2</v>
      </c>
      <c r="AG3680" s="4">
        <v>4</v>
      </c>
      <c r="AH3680" s="4">
        <v>103</v>
      </c>
      <c r="AI3680" s="4">
        <v>105</v>
      </c>
      <c r="AJ3680" s="4">
        <v>20</v>
      </c>
      <c r="AK3680" s="4">
        <v>22</v>
      </c>
      <c r="AL3680" s="4">
        <v>54</v>
      </c>
      <c r="AM3680" s="4">
        <v>54</v>
      </c>
      <c r="AN3680" s="4">
        <v>0</v>
      </c>
      <c r="AO3680" s="4">
        <v>0</v>
      </c>
      <c r="AP3680" s="4">
        <v>24</v>
      </c>
      <c r="AQ3680" s="4">
        <v>25</v>
      </c>
      <c r="AR3680" s="3" t="s">
        <v>62</v>
      </c>
      <c r="AS3680" s="3" t="s">
        <v>62</v>
      </c>
      <c r="AT3680" s="3" t="s">
        <v>61</v>
      </c>
      <c r="AU3680" s="6" t="str">
        <f>HYPERLINK("http://catalog.hathitrust.org/Record/000165572","HathiTrust Record")</f>
        <v>HathiTrust Record</v>
      </c>
      <c r="AV3680" s="6" t="str">
        <f>HYPERLINK("http://mcgill.on.worldcat.org/oclc/6708325","Catalog Record")</f>
        <v>Catalog Record</v>
      </c>
      <c r="AW3680" s="6" t="str">
        <f>HYPERLINK("http://www.worldcat.org/oclc/6708325","WorldCat Record")</f>
        <v>WorldCat Record</v>
      </c>
      <c r="AX3680" s="3" t="s">
        <v>35575</v>
      </c>
      <c r="AY3680" s="3" t="s">
        <v>35576</v>
      </c>
      <c r="AZ3680" s="3" t="s">
        <v>35577</v>
      </c>
      <c r="BA3680" s="3" t="s">
        <v>35577</v>
      </c>
      <c r="BB3680" s="3" t="s">
        <v>35578</v>
      </c>
      <c r="BC3680" s="3" t="s">
        <v>142</v>
      </c>
      <c r="BD3680" s="3" t="s">
        <v>68</v>
      </c>
      <c r="BE3680" s="3" t="s">
        <v>35579</v>
      </c>
      <c r="BF3680" s="3" t="s">
        <v>35578</v>
      </c>
      <c r="BG3680" s="3" t="s">
        <v>35580</v>
      </c>
    </row>
    <row r="3681" spans="1:59" ht="57" x14ac:dyDescent="0.45">
      <c r="A3681" s="2" t="s">
        <v>59</v>
      </c>
      <c r="B3681" s="2" t="s">
        <v>60</v>
      </c>
      <c r="C3681" s="2" t="s">
        <v>35570</v>
      </c>
      <c r="D3681" s="2" t="s">
        <v>35571</v>
      </c>
      <c r="E3681" s="2" t="s">
        <v>35572</v>
      </c>
      <c r="F3681" s="3" t="s">
        <v>488</v>
      </c>
      <c r="G3681" s="3" t="s">
        <v>61</v>
      </c>
      <c r="I3681" s="3" t="s">
        <v>61</v>
      </c>
      <c r="J3681" s="3" t="s">
        <v>62</v>
      </c>
      <c r="K3681" s="3" t="s">
        <v>63</v>
      </c>
      <c r="M3681" s="2" t="s">
        <v>35573</v>
      </c>
      <c r="N3681" s="3" t="s">
        <v>117</v>
      </c>
      <c r="P3681" s="3" t="s">
        <v>65</v>
      </c>
      <c r="Q3681" s="2" t="s">
        <v>35574</v>
      </c>
      <c r="R3681" s="3" t="s">
        <v>66</v>
      </c>
      <c r="S3681" s="4">
        <v>44</v>
      </c>
      <c r="T3681" s="4">
        <v>83</v>
      </c>
      <c r="U3681" s="5" t="s">
        <v>1381</v>
      </c>
      <c r="V3681" s="5" t="s">
        <v>1381</v>
      </c>
      <c r="W3681" s="5" t="s">
        <v>67</v>
      </c>
      <c r="X3681" s="5" t="s">
        <v>67</v>
      </c>
      <c r="Y3681" s="4">
        <v>384</v>
      </c>
      <c r="Z3681" s="4">
        <v>32</v>
      </c>
      <c r="AA3681" s="4">
        <v>36</v>
      </c>
      <c r="AB3681" s="4">
        <v>4</v>
      </c>
      <c r="AC3681" s="4">
        <v>8</v>
      </c>
      <c r="AD3681" s="4">
        <v>118</v>
      </c>
      <c r="AE3681" s="4">
        <v>121</v>
      </c>
      <c r="AF3681" s="4">
        <v>2</v>
      </c>
      <c r="AG3681" s="4">
        <v>4</v>
      </c>
      <c r="AH3681" s="4">
        <v>103</v>
      </c>
      <c r="AI3681" s="4">
        <v>105</v>
      </c>
      <c r="AJ3681" s="4">
        <v>20</v>
      </c>
      <c r="AK3681" s="4">
        <v>22</v>
      </c>
      <c r="AL3681" s="4">
        <v>54</v>
      </c>
      <c r="AM3681" s="4">
        <v>54</v>
      </c>
      <c r="AN3681" s="4">
        <v>0</v>
      </c>
      <c r="AO3681" s="4">
        <v>0</v>
      </c>
      <c r="AP3681" s="4">
        <v>24</v>
      </c>
      <c r="AQ3681" s="4">
        <v>25</v>
      </c>
      <c r="AR3681" s="3" t="s">
        <v>62</v>
      </c>
      <c r="AS3681" s="3" t="s">
        <v>62</v>
      </c>
      <c r="AT3681" s="3" t="s">
        <v>61</v>
      </c>
      <c r="AU3681" s="6" t="str">
        <f>HYPERLINK("http://catalog.hathitrust.org/Record/000165572","HathiTrust Record")</f>
        <v>HathiTrust Record</v>
      </c>
      <c r="AV3681" s="6" t="str">
        <f>HYPERLINK("http://mcgill.on.worldcat.org/oclc/6708325","Catalog Record")</f>
        <v>Catalog Record</v>
      </c>
      <c r="AW3681" s="6" t="str">
        <f>HYPERLINK("http://www.worldcat.org/oclc/6708325","WorldCat Record")</f>
        <v>WorldCat Record</v>
      </c>
      <c r="AX3681" s="3" t="s">
        <v>35575</v>
      </c>
      <c r="AY3681" s="3" t="s">
        <v>35576</v>
      </c>
      <c r="AZ3681" s="3" t="s">
        <v>35577</v>
      </c>
      <c r="BA3681" s="3" t="s">
        <v>35577</v>
      </c>
      <c r="BB3681" s="3" t="s">
        <v>35581</v>
      </c>
      <c r="BC3681" s="3" t="s">
        <v>142</v>
      </c>
      <c r="BD3681" s="3" t="s">
        <v>68</v>
      </c>
      <c r="BE3681" s="3" t="s">
        <v>35579</v>
      </c>
      <c r="BF3681" s="3" t="s">
        <v>35581</v>
      </c>
      <c r="BG3681" s="3" t="s">
        <v>35582</v>
      </c>
    </row>
    <row r="3682" spans="1:59" ht="57" x14ac:dyDescent="0.45">
      <c r="A3682" s="2" t="s">
        <v>59</v>
      </c>
      <c r="B3682" s="2" t="s">
        <v>60</v>
      </c>
      <c r="C3682" s="2" t="s">
        <v>35583</v>
      </c>
      <c r="D3682" s="2" t="s">
        <v>35584</v>
      </c>
      <c r="E3682" s="2" t="s">
        <v>35585</v>
      </c>
      <c r="G3682" s="3" t="s">
        <v>62</v>
      </c>
      <c r="I3682" s="3" t="s">
        <v>62</v>
      </c>
      <c r="J3682" s="3" t="s">
        <v>62</v>
      </c>
      <c r="K3682" s="3" t="s">
        <v>63</v>
      </c>
      <c r="L3682" s="2" t="s">
        <v>35586</v>
      </c>
      <c r="M3682" s="2" t="s">
        <v>35587</v>
      </c>
      <c r="N3682" s="3" t="s">
        <v>1688</v>
      </c>
      <c r="P3682" s="3" t="s">
        <v>65</v>
      </c>
      <c r="R3682" s="3" t="s">
        <v>66</v>
      </c>
      <c r="S3682" s="4">
        <v>8</v>
      </c>
      <c r="T3682" s="4">
        <v>8</v>
      </c>
      <c r="U3682" s="5" t="s">
        <v>35588</v>
      </c>
      <c r="V3682" s="5" t="s">
        <v>35588</v>
      </c>
      <c r="W3682" s="5" t="s">
        <v>67</v>
      </c>
      <c r="X3682" s="5" t="s">
        <v>67</v>
      </c>
      <c r="Y3682" s="4">
        <v>202</v>
      </c>
      <c r="Z3682" s="4">
        <v>18</v>
      </c>
      <c r="AA3682" s="4">
        <v>82</v>
      </c>
      <c r="AB3682" s="4">
        <v>1</v>
      </c>
      <c r="AC3682" s="4">
        <v>14</v>
      </c>
      <c r="AD3682" s="4">
        <v>69</v>
      </c>
      <c r="AE3682" s="4">
        <v>122</v>
      </c>
      <c r="AF3682" s="4">
        <v>0</v>
      </c>
      <c r="AG3682" s="4">
        <v>8</v>
      </c>
      <c r="AH3682" s="4">
        <v>60</v>
      </c>
      <c r="AI3682" s="4">
        <v>86</v>
      </c>
      <c r="AJ3682" s="4">
        <v>12</v>
      </c>
      <c r="AK3682" s="4">
        <v>24</v>
      </c>
      <c r="AL3682" s="4">
        <v>39</v>
      </c>
      <c r="AM3682" s="4">
        <v>47</v>
      </c>
      <c r="AN3682" s="4">
        <v>0</v>
      </c>
      <c r="AO3682" s="4">
        <v>0</v>
      </c>
      <c r="AP3682" s="4">
        <v>15</v>
      </c>
      <c r="AQ3682" s="4">
        <v>45</v>
      </c>
      <c r="AR3682" s="3" t="s">
        <v>62</v>
      </c>
      <c r="AS3682" s="3" t="s">
        <v>62</v>
      </c>
      <c r="AT3682" s="3" t="s">
        <v>62</v>
      </c>
      <c r="AV3682" s="6" t="str">
        <f>HYPERLINK("http://mcgill.on.worldcat.org/oclc/873237750","Catalog Record")</f>
        <v>Catalog Record</v>
      </c>
      <c r="AW3682" s="6" t="str">
        <f>HYPERLINK("http://www.worldcat.org/oclc/873237750","WorldCat Record")</f>
        <v>WorldCat Record</v>
      </c>
      <c r="AX3682" s="3" t="s">
        <v>35589</v>
      </c>
      <c r="AY3682" s="3" t="s">
        <v>35590</v>
      </c>
      <c r="AZ3682" s="3" t="s">
        <v>35591</v>
      </c>
      <c r="BA3682" s="3" t="s">
        <v>35591</v>
      </c>
      <c r="BB3682" s="3" t="s">
        <v>35592</v>
      </c>
      <c r="BC3682" s="3" t="s">
        <v>142</v>
      </c>
      <c r="BD3682" s="3" t="s">
        <v>68</v>
      </c>
      <c r="BE3682" s="3" t="s">
        <v>35593</v>
      </c>
      <c r="BF3682" s="3" t="s">
        <v>35592</v>
      </c>
      <c r="BG3682" s="3" t="s">
        <v>35594</v>
      </c>
    </row>
    <row r="3683" spans="1:59" ht="57" x14ac:dyDescent="0.45">
      <c r="A3683" s="2" t="s">
        <v>59</v>
      </c>
      <c r="B3683" s="2" t="s">
        <v>60</v>
      </c>
      <c r="C3683" s="2" t="s">
        <v>35595</v>
      </c>
      <c r="D3683" s="2" t="s">
        <v>35596</v>
      </c>
      <c r="E3683" s="2" t="s">
        <v>35597</v>
      </c>
      <c r="G3683" s="3" t="s">
        <v>62</v>
      </c>
      <c r="I3683" s="3" t="s">
        <v>62</v>
      </c>
      <c r="J3683" s="3" t="s">
        <v>62</v>
      </c>
      <c r="K3683" s="3" t="s">
        <v>63</v>
      </c>
      <c r="L3683" s="2" t="s">
        <v>35598</v>
      </c>
      <c r="M3683" s="2" t="s">
        <v>24593</v>
      </c>
      <c r="N3683" s="3" t="s">
        <v>894</v>
      </c>
      <c r="P3683" s="3" t="s">
        <v>65</v>
      </c>
      <c r="R3683" s="3" t="s">
        <v>66</v>
      </c>
      <c r="S3683" s="4">
        <v>1</v>
      </c>
      <c r="T3683" s="4">
        <v>1</v>
      </c>
      <c r="U3683" s="5" t="s">
        <v>35198</v>
      </c>
      <c r="V3683" s="5" t="s">
        <v>35198</v>
      </c>
      <c r="W3683" s="5" t="s">
        <v>67</v>
      </c>
      <c r="X3683" s="5" t="s">
        <v>67</v>
      </c>
      <c r="Y3683" s="4">
        <v>141</v>
      </c>
      <c r="Z3683" s="4">
        <v>16</v>
      </c>
      <c r="AA3683" s="4">
        <v>25</v>
      </c>
      <c r="AB3683" s="4">
        <v>1</v>
      </c>
      <c r="AC3683" s="4">
        <v>10</v>
      </c>
      <c r="AD3683" s="4">
        <v>64</v>
      </c>
      <c r="AE3683" s="4">
        <v>79</v>
      </c>
      <c r="AF3683" s="4">
        <v>0</v>
      </c>
      <c r="AG3683" s="4">
        <v>4</v>
      </c>
      <c r="AH3683" s="4">
        <v>55</v>
      </c>
      <c r="AI3683" s="4">
        <v>67</v>
      </c>
      <c r="AJ3683" s="4">
        <v>13</v>
      </c>
      <c r="AK3683" s="4">
        <v>16</v>
      </c>
      <c r="AL3683" s="4">
        <v>36</v>
      </c>
      <c r="AM3683" s="4">
        <v>42</v>
      </c>
      <c r="AN3683" s="4">
        <v>0</v>
      </c>
      <c r="AO3683" s="4">
        <v>0</v>
      </c>
      <c r="AP3683" s="4">
        <v>14</v>
      </c>
      <c r="AQ3683" s="4">
        <v>17</v>
      </c>
      <c r="AR3683" s="3" t="s">
        <v>62</v>
      </c>
      <c r="AS3683" s="3" t="s">
        <v>62</v>
      </c>
      <c r="AT3683" s="3" t="s">
        <v>62</v>
      </c>
      <c r="AV3683" s="6" t="str">
        <f>HYPERLINK("http://mcgill.on.worldcat.org/oclc/643763545","Catalog Record")</f>
        <v>Catalog Record</v>
      </c>
      <c r="AW3683" s="6" t="str">
        <f>HYPERLINK("http://www.worldcat.org/oclc/643763545","WorldCat Record")</f>
        <v>WorldCat Record</v>
      </c>
      <c r="AX3683" s="3" t="s">
        <v>35599</v>
      </c>
      <c r="AY3683" s="3" t="s">
        <v>35600</v>
      </c>
      <c r="AZ3683" s="3" t="s">
        <v>35601</v>
      </c>
      <c r="BA3683" s="3" t="s">
        <v>35601</v>
      </c>
      <c r="BB3683" s="3" t="s">
        <v>35602</v>
      </c>
      <c r="BC3683" s="3" t="s">
        <v>142</v>
      </c>
      <c r="BD3683" s="3" t="s">
        <v>68</v>
      </c>
      <c r="BE3683" s="3" t="s">
        <v>35603</v>
      </c>
      <c r="BF3683" s="3" t="s">
        <v>35602</v>
      </c>
      <c r="BG3683" s="3" t="s">
        <v>35604</v>
      </c>
    </row>
    <row r="3684" spans="1:59" ht="57" x14ac:dyDescent="0.45">
      <c r="A3684" s="2" t="s">
        <v>59</v>
      </c>
      <c r="B3684" s="2" t="s">
        <v>60</v>
      </c>
      <c r="C3684" s="2" t="s">
        <v>35605</v>
      </c>
      <c r="D3684" s="2" t="s">
        <v>35606</v>
      </c>
      <c r="E3684" s="2" t="s">
        <v>35607</v>
      </c>
      <c r="G3684" s="3" t="s">
        <v>62</v>
      </c>
      <c r="I3684" s="3" t="s">
        <v>62</v>
      </c>
      <c r="J3684" s="3" t="s">
        <v>61</v>
      </c>
      <c r="K3684" s="3" t="s">
        <v>63</v>
      </c>
      <c r="L3684" s="2" t="s">
        <v>35608</v>
      </c>
      <c r="M3684" s="2" t="s">
        <v>7538</v>
      </c>
      <c r="N3684" s="3" t="s">
        <v>918</v>
      </c>
      <c r="P3684" s="3" t="s">
        <v>65</v>
      </c>
      <c r="R3684" s="3" t="s">
        <v>66</v>
      </c>
      <c r="S3684" s="4">
        <v>23</v>
      </c>
      <c r="T3684" s="4">
        <v>23</v>
      </c>
      <c r="U3684" s="5" t="s">
        <v>7890</v>
      </c>
      <c r="V3684" s="5" t="s">
        <v>7890</v>
      </c>
      <c r="W3684" s="5" t="s">
        <v>67</v>
      </c>
      <c r="X3684" s="5" t="s">
        <v>67</v>
      </c>
      <c r="Y3684" s="4">
        <v>565</v>
      </c>
      <c r="Z3684" s="4">
        <v>29</v>
      </c>
      <c r="AA3684" s="4">
        <v>52</v>
      </c>
      <c r="AB3684" s="4">
        <v>2</v>
      </c>
      <c r="AC3684" s="4">
        <v>11</v>
      </c>
      <c r="AD3684" s="4">
        <v>112</v>
      </c>
      <c r="AE3684" s="4">
        <v>130</v>
      </c>
      <c r="AF3684" s="4">
        <v>1</v>
      </c>
      <c r="AG3684" s="4">
        <v>4</v>
      </c>
      <c r="AH3684" s="4">
        <v>100</v>
      </c>
      <c r="AI3684" s="4">
        <v>107</v>
      </c>
      <c r="AJ3684" s="4">
        <v>18</v>
      </c>
      <c r="AK3684" s="4">
        <v>25</v>
      </c>
      <c r="AL3684" s="4">
        <v>55</v>
      </c>
      <c r="AM3684" s="4">
        <v>57</v>
      </c>
      <c r="AN3684" s="4">
        <v>0</v>
      </c>
      <c r="AO3684" s="4">
        <v>0</v>
      </c>
      <c r="AP3684" s="4">
        <v>22</v>
      </c>
      <c r="AQ3684" s="4">
        <v>33</v>
      </c>
      <c r="AR3684" s="3" t="s">
        <v>62</v>
      </c>
      <c r="AS3684" s="3" t="s">
        <v>62</v>
      </c>
      <c r="AT3684" s="3" t="s">
        <v>62</v>
      </c>
      <c r="AV3684" s="6" t="str">
        <f>HYPERLINK("http://mcgill.on.worldcat.org/oclc/49875157","Catalog Record")</f>
        <v>Catalog Record</v>
      </c>
      <c r="AW3684" s="6" t="str">
        <f>HYPERLINK("http://www.worldcat.org/oclc/49875157","WorldCat Record")</f>
        <v>WorldCat Record</v>
      </c>
      <c r="AX3684" s="3" t="s">
        <v>35609</v>
      </c>
      <c r="AY3684" s="3" t="s">
        <v>35610</v>
      </c>
      <c r="AZ3684" s="3" t="s">
        <v>35611</v>
      </c>
      <c r="BA3684" s="3" t="s">
        <v>35611</v>
      </c>
      <c r="BB3684" s="3" t="s">
        <v>35612</v>
      </c>
      <c r="BC3684" s="3" t="s">
        <v>142</v>
      </c>
      <c r="BD3684" s="3" t="s">
        <v>68</v>
      </c>
      <c r="BE3684" s="3" t="s">
        <v>35613</v>
      </c>
      <c r="BF3684" s="3" t="s">
        <v>35612</v>
      </c>
      <c r="BG3684" s="3" t="s">
        <v>35614</v>
      </c>
    </row>
    <row r="3685" spans="1:59" ht="57" x14ac:dyDescent="0.45">
      <c r="A3685" s="2" t="s">
        <v>59</v>
      </c>
      <c r="B3685" s="2" t="s">
        <v>60</v>
      </c>
      <c r="C3685" s="2" t="s">
        <v>35615</v>
      </c>
      <c r="D3685" s="2" t="s">
        <v>35616</v>
      </c>
      <c r="E3685" s="2" t="s">
        <v>35607</v>
      </c>
      <c r="G3685" s="3" t="s">
        <v>62</v>
      </c>
      <c r="I3685" s="3" t="s">
        <v>62</v>
      </c>
      <c r="J3685" s="3" t="s">
        <v>61</v>
      </c>
      <c r="K3685" s="3" t="s">
        <v>63</v>
      </c>
      <c r="L3685" s="2" t="s">
        <v>35608</v>
      </c>
      <c r="M3685" s="2" t="s">
        <v>35617</v>
      </c>
      <c r="N3685" s="3" t="s">
        <v>1465</v>
      </c>
      <c r="O3685" s="2" t="s">
        <v>933</v>
      </c>
      <c r="P3685" s="3" t="s">
        <v>65</v>
      </c>
      <c r="R3685" s="3" t="s">
        <v>66</v>
      </c>
      <c r="S3685" s="4">
        <v>12</v>
      </c>
      <c r="T3685" s="4">
        <v>12</v>
      </c>
      <c r="U3685" s="5" t="s">
        <v>35618</v>
      </c>
      <c r="V3685" s="5" t="s">
        <v>35618</v>
      </c>
      <c r="W3685" s="5" t="s">
        <v>67</v>
      </c>
      <c r="X3685" s="5" t="s">
        <v>67</v>
      </c>
      <c r="Y3685" s="4">
        <v>224</v>
      </c>
      <c r="Z3685" s="4">
        <v>25</v>
      </c>
      <c r="AA3685" s="4">
        <v>52</v>
      </c>
      <c r="AB3685" s="4">
        <v>2</v>
      </c>
      <c r="AC3685" s="4">
        <v>11</v>
      </c>
      <c r="AD3685" s="4">
        <v>53</v>
      </c>
      <c r="AE3685" s="4">
        <v>130</v>
      </c>
      <c r="AF3685" s="4">
        <v>0</v>
      </c>
      <c r="AG3685" s="4">
        <v>4</v>
      </c>
      <c r="AH3685" s="4">
        <v>42</v>
      </c>
      <c r="AI3685" s="4">
        <v>107</v>
      </c>
      <c r="AJ3685" s="4">
        <v>15</v>
      </c>
      <c r="AK3685" s="4">
        <v>25</v>
      </c>
      <c r="AL3685" s="4">
        <v>26</v>
      </c>
      <c r="AM3685" s="4">
        <v>57</v>
      </c>
      <c r="AN3685" s="4">
        <v>0</v>
      </c>
      <c r="AO3685" s="4">
        <v>0</v>
      </c>
      <c r="AP3685" s="4">
        <v>19</v>
      </c>
      <c r="AQ3685" s="4">
        <v>33</v>
      </c>
      <c r="AR3685" s="3" t="s">
        <v>62</v>
      </c>
      <c r="AS3685" s="3" t="s">
        <v>62</v>
      </c>
      <c r="AT3685" s="3" t="s">
        <v>62</v>
      </c>
      <c r="AV3685" s="6" t="str">
        <f>HYPERLINK("http://mcgill.on.worldcat.org/oclc/263294823","Catalog Record")</f>
        <v>Catalog Record</v>
      </c>
      <c r="AW3685" s="6" t="str">
        <f>HYPERLINK("http://www.worldcat.org/oclc/263294823","WorldCat Record")</f>
        <v>WorldCat Record</v>
      </c>
      <c r="AX3685" s="3" t="s">
        <v>35609</v>
      </c>
      <c r="AY3685" s="3" t="s">
        <v>35619</v>
      </c>
      <c r="AZ3685" s="3" t="s">
        <v>35620</v>
      </c>
      <c r="BA3685" s="3" t="s">
        <v>35620</v>
      </c>
      <c r="BB3685" s="3" t="s">
        <v>35621</v>
      </c>
      <c r="BC3685" s="3" t="s">
        <v>142</v>
      </c>
      <c r="BD3685" s="3" t="s">
        <v>68</v>
      </c>
      <c r="BE3685" s="3" t="s">
        <v>35622</v>
      </c>
      <c r="BF3685" s="3" t="s">
        <v>35621</v>
      </c>
      <c r="BG3685" s="3" t="s">
        <v>35623</v>
      </c>
    </row>
    <row r="3686" spans="1:59" ht="57" x14ac:dyDescent="0.45">
      <c r="A3686" s="2" t="s">
        <v>59</v>
      </c>
      <c r="B3686" s="2" t="s">
        <v>60</v>
      </c>
      <c r="C3686" s="2" t="s">
        <v>35624</v>
      </c>
      <c r="D3686" s="2" t="s">
        <v>35625</v>
      </c>
      <c r="E3686" s="2" t="s">
        <v>35626</v>
      </c>
      <c r="G3686" s="3" t="s">
        <v>62</v>
      </c>
      <c r="I3686" s="3" t="s">
        <v>61</v>
      </c>
      <c r="J3686" s="3" t="s">
        <v>62</v>
      </c>
      <c r="K3686" s="3" t="s">
        <v>63</v>
      </c>
      <c r="L3686" s="2" t="s">
        <v>35608</v>
      </c>
      <c r="M3686" s="2" t="s">
        <v>35627</v>
      </c>
      <c r="N3686" s="3" t="s">
        <v>195</v>
      </c>
      <c r="P3686" s="3" t="s">
        <v>65</v>
      </c>
      <c r="Q3686" s="2" t="s">
        <v>35628</v>
      </c>
      <c r="R3686" s="3" t="s">
        <v>66</v>
      </c>
      <c r="S3686" s="4">
        <v>11</v>
      </c>
      <c r="T3686" s="4">
        <v>42</v>
      </c>
      <c r="U3686" s="5" t="s">
        <v>35561</v>
      </c>
      <c r="V3686" s="5" t="s">
        <v>35561</v>
      </c>
      <c r="W3686" s="5" t="s">
        <v>67</v>
      </c>
      <c r="X3686" s="5" t="s">
        <v>67</v>
      </c>
      <c r="Y3686" s="4">
        <v>407</v>
      </c>
      <c r="Z3686" s="4">
        <v>29</v>
      </c>
      <c r="AA3686" s="4">
        <v>44</v>
      </c>
      <c r="AB3686" s="4">
        <v>3</v>
      </c>
      <c r="AC3686" s="4">
        <v>10</v>
      </c>
      <c r="AD3686" s="4">
        <v>118</v>
      </c>
      <c r="AE3686" s="4">
        <v>129</v>
      </c>
      <c r="AF3686" s="4">
        <v>2</v>
      </c>
      <c r="AG3686" s="4">
        <v>5</v>
      </c>
      <c r="AH3686" s="4">
        <v>101</v>
      </c>
      <c r="AI3686" s="4">
        <v>104</v>
      </c>
      <c r="AJ3686" s="4">
        <v>20</v>
      </c>
      <c r="AK3686" s="4">
        <v>24</v>
      </c>
      <c r="AL3686" s="4">
        <v>54</v>
      </c>
      <c r="AM3686" s="4">
        <v>55</v>
      </c>
      <c r="AN3686" s="4">
        <v>0</v>
      </c>
      <c r="AO3686" s="4">
        <v>0</v>
      </c>
      <c r="AP3686" s="4">
        <v>26</v>
      </c>
      <c r="AQ3686" s="4">
        <v>34</v>
      </c>
      <c r="AR3686" s="3" t="s">
        <v>62</v>
      </c>
      <c r="AS3686" s="3" t="s">
        <v>62</v>
      </c>
      <c r="AT3686" s="3" t="s">
        <v>62</v>
      </c>
      <c r="AV3686" s="6" t="str">
        <f>HYPERLINK("http://mcgill.on.worldcat.org/oclc/27034314","Catalog Record")</f>
        <v>Catalog Record</v>
      </c>
      <c r="AW3686" s="6" t="str">
        <f>HYPERLINK("http://www.worldcat.org/oclc/27034314","WorldCat Record")</f>
        <v>WorldCat Record</v>
      </c>
      <c r="AX3686" s="3" t="s">
        <v>35629</v>
      </c>
      <c r="AY3686" s="3" t="s">
        <v>35630</v>
      </c>
      <c r="AZ3686" s="3" t="s">
        <v>35631</v>
      </c>
      <c r="BA3686" s="3" t="s">
        <v>35631</v>
      </c>
      <c r="BB3686" s="3" t="s">
        <v>35632</v>
      </c>
      <c r="BC3686" s="3" t="s">
        <v>142</v>
      </c>
      <c r="BD3686" s="3" t="s">
        <v>68</v>
      </c>
      <c r="BE3686" s="3" t="s">
        <v>35633</v>
      </c>
      <c r="BF3686" s="3" t="s">
        <v>35632</v>
      </c>
      <c r="BG3686" s="3" t="s">
        <v>35634</v>
      </c>
    </row>
    <row r="3687" spans="1:59" ht="57" x14ac:dyDescent="0.45">
      <c r="A3687" s="2" t="s">
        <v>59</v>
      </c>
      <c r="B3687" s="2" t="s">
        <v>60</v>
      </c>
      <c r="C3687" s="2" t="s">
        <v>35624</v>
      </c>
      <c r="D3687" s="2" t="s">
        <v>35625</v>
      </c>
      <c r="E3687" s="2" t="s">
        <v>35626</v>
      </c>
      <c r="G3687" s="3" t="s">
        <v>62</v>
      </c>
      <c r="I3687" s="3" t="s">
        <v>61</v>
      </c>
      <c r="J3687" s="3" t="s">
        <v>62</v>
      </c>
      <c r="K3687" s="3" t="s">
        <v>63</v>
      </c>
      <c r="L3687" s="2" t="s">
        <v>35608</v>
      </c>
      <c r="M3687" s="2" t="s">
        <v>35627</v>
      </c>
      <c r="N3687" s="3" t="s">
        <v>195</v>
      </c>
      <c r="P3687" s="3" t="s">
        <v>65</v>
      </c>
      <c r="Q3687" s="2" t="s">
        <v>35628</v>
      </c>
      <c r="R3687" s="3" t="s">
        <v>66</v>
      </c>
      <c r="S3687" s="4">
        <v>31</v>
      </c>
      <c r="T3687" s="4">
        <v>42</v>
      </c>
      <c r="U3687" s="5" t="s">
        <v>35635</v>
      </c>
      <c r="V3687" s="5" t="s">
        <v>35561</v>
      </c>
      <c r="W3687" s="5" t="s">
        <v>67</v>
      </c>
      <c r="X3687" s="5" t="s">
        <v>67</v>
      </c>
      <c r="Y3687" s="4">
        <v>407</v>
      </c>
      <c r="Z3687" s="4">
        <v>29</v>
      </c>
      <c r="AA3687" s="4">
        <v>44</v>
      </c>
      <c r="AB3687" s="4">
        <v>3</v>
      </c>
      <c r="AC3687" s="4">
        <v>10</v>
      </c>
      <c r="AD3687" s="4">
        <v>118</v>
      </c>
      <c r="AE3687" s="4">
        <v>129</v>
      </c>
      <c r="AF3687" s="4">
        <v>2</v>
      </c>
      <c r="AG3687" s="4">
        <v>5</v>
      </c>
      <c r="AH3687" s="4">
        <v>101</v>
      </c>
      <c r="AI3687" s="4">
        <v>104</v>
      </c>
      <c r="AJ3687" s="4">
        <v>20</v>
      </c>
      <c r="AK3687" s="4">
        <v>24</v>
      </c>
      <c r="AL3687" s="4">
        <v>54</v>
      </c>
      <c r="AM3687" s="4">
        <v>55</v>
      </c>
      <c r="AN3687" s="4">
        <v>0</v>
      </c>
      <c r="AO3687" s="4">
        <v>0</v>
      </c>
      <c r="AP3687" s="4">
        <v>26</v>
      </c>
      <c r="AQ3687" s="4">
        <v>34</v>
      </c>
      <c r="AR3687" s="3" t="s">
        <v>62</v>
      </c>
      <c r="AS3687" s="3" t="s">
        <v>62</v>
      </c>
      <c r="AT3687" s="3" t="s">
        <v>62</v>
      </c>
      <c r="AV3687" s="6" t="str">
        <f>HYPERLINK("http://mcgill.on.worldcat.org/oclc/27034314","Catalog Record")</f>
        <v>Catalog Record</v>
      </c>
      <c r="AW3687" s="6" t="str">
        <f>HYPERLINK("http://www.worldcat.org/oclc/27034314","WorldCat Record")</f>
        <v>WorldCat Record</v>
      </c>
      <c r="AX3687" s="3" t="s">
        <v>35629</v>
      </c>
      <c r="AY3687" s="3" t="s">
        <v>35630</v>
      </c>
      <c r="AZ3687" s="3" t="s">
        <v>35631</v>
      </c>
      <c r="BA3687" s="3" t="s">
        <v>35631</v>
      </c>
      <c r="BB3687" s="3" t="s">
        <v>35636</v>
      </c>
      <c r="BC3687" s="3" t="s">
        <v>142</v>
      </c>
      <c r="BD3687" s="3" t="s">
        <v>68</v>
      </c>
      <c r="BE3687" s="3" t="s">
        <v>35633</v>
      </c>
      <c r="BF3687" s="3" t="s">
        <v>35636</v>
      </c>
      <c r="BG3687" s="3" t="s">
        <v>35637</v>
      </c>
    </row>
    <row r="3688" spans="1:59" ht="57" x14ac:dyDescent="0.45">
      <c r="A3688" s="2" t="s">
        <v>59</v>
      </c>
      <c r="B3688" s="2" t="s">
        <v>60</v>
      </c>
      <c r="C3688" s="2" t="s">
        <v>35638</v>
      </c>
      <c r="D3688" s="2" t="s">
        <v>35639</v>
      </c>
      <c r="E3688" s="2" t="s">
        <v>35640</v>
      </c>
      <c r="G3688" s="3" t="s">
        <v>62</v>
      </c>
      <c r="I3688" s="3" t="s">
        <v>62</v>
      </c>
      <c r="J3688" s="3" t="s">
        <v>62</v>
      </c>
      <c r="K3688" s="3" t="s">
        <v>63</v>
      </c>
      <c r="M3688" s="2" t="s">
        <v>34407</v>
      </c>
      <c r="N3688" s="3" t="s">
        <v>1155</v>
      </c>
      <c r="P3688" s="3" t="s">
        <v>65</v>
      </c>
      <c r="Q3688" s="2" t="s">
        <v>35641</v>
      </c>
      <c r="R3688" s="3" t="s">
        <v>66</v>
      </c>
      <c r="S3688" s="4">
        <v>0</v>
      </c>
      <c r="T3688" s="4">
        <v>0</v>
      </c>
      <c r="W3688" s="5" t="s">
        <v>67</v>
      </c>
      <c r="X3688" s="5" t="s">
        <v>67</v>
      </c>
      <c r="Y3688" s="4">
        <v>65</v>
      </c>
      <c r="Z3688" s="4">
        <v>12</v>
      </c>
      <c r="AA3688" s="4">
        <v>79</v>
      </c>
      <c r="AB3688" s="4">
        <v>2</v>
      </c>
      <c r="AC3688" s="4">
        <v>14</v>
      </c>
      <c r="AD3688" s="4">
        <v>20</v>
      </c>
      <c r="AE3688" s="4">
        <v>94</v>
      </c>
      <c r="AF3688" s="4">
        <v>1</v>
      </c>
      <c r="AG3688" s="4">
        <v>8</v>
      </c>
      <c r="AH3688" s="4">
        <v>17</v>
      </c>
      <c r="AI3688" s="4">
        <v>60</v>
      </c>
      <c r="AJ3688" s="4">
        <v>9</v>
      </c>
      <c r="AK3688" s="4">
        <v>21</v>
      </c>
      <c r="AL3688" s="4">
        <v>7</v>
      </c>
      <c r="AM3688" s="4">
        <v>27</v>
      </c>
      <c r="AN3688" s="4">
        <v>0</v>
      </c>
      <c r="AO3688" s="4">
        <v>0</v>
      </c>
      <c r="AP3688" s="4">
        <v>10</v>
      </c>
      <c r="AQ3688" s="4">
        <v>42</v>
      </c>
      <c r="AR3688" s="3" t="s">
        <v>62</v>
      </c>
      <c r="AS3688" s="3" t="s">
        <v>62</v>
      </c>
      <c r="AT3688" s="3" t="s">
        <v>62</v>
      </c>
      <c r="AV3688" s="6" t="str">
        <f>HYPERLINK("http://mcgill.on.worldcat.org/oclc/748674653","Catalog Record")</f>
        <v>Catalog Record</v>
      </c>
      <c r="AW3688" s="6" t="str">
        <f>HYPERLINK("http://www.worldcat.org/oclc/748674653","WorldCat Record")</f>
        <v>WorldCat Record</v>
      </c>
      <c r="AX3688" s="3" t="s">
        <v>35642</v>
      </c>
      <c r="AY3688" s="3" t="s">
        <v>35643</v>
      </c>
      <c r="AZ3688" s="3" t="s">
        <v>35644</v>
      </c>
      <c r="BA3688" s="3" t="s">
        <v>35644</v>
      </c>
      <c r="BB3688" s="3" t="s">
        <v>35645</v>
      </c>
      <c r="BC3688" s="3" t="s">
        <v>142</v>
      </c>
      <c r="BD3688" s="3" t="s">
        <v>68</v>
      </c>
      <c r="BE3688" s="3" t="s">
        <v>35646</v>
      </c>
      <c r="BF3688" s="3" t="s">
        <v>35645</v>
      </c>
      <c r="BG3688" s="3" t="s">
        <v>35647</v>
      </c>
    </row>
    <row r="3689" spans="1:59" ht="57" x14ac:dyDescent="0.45">
      <c r="A3689" s="2" t="s">
        <v>59</v>
      </c>
      <c r="B3689" s="2" t="s">
        <v>60</v>
      </c>
      <c r="C3689" s="2" t="s">
        <v>35648</v>
      </c>
      <c r="D3689" s="2" t="s">
        <v>35649</v>
      </c>
      <c r="E3689" s="2" t="s">
        <v>35650</v>
      </c>
      <c r="G3689" s="3" t="s">
        <v>62</v>
      </c>
      <c r="I3689" s="3" t="s">
        <v>62</v>
      </c>
      <c r="J3689" s="3" t="s">
        <v>62</v>
      </c>
      <c r="K3689" s="3" t="s">
        <v>63</v>
      </c>
      <c r="M3689" s="2" t="s">
        <v>4429</v>
      </c>
      <c r="N3689" s="3" t="s">
        <v>1097</v>
      </c>
      <c r="P3689" s="3" t="s">
        <v>65</v>
      </c>
      <c r="R3689" s="3" t="s">
        <v>66</v>
      </c>
      <c r="S3689" s="4">
        <v>20</v>
      </c>
      <c r="T3689" s="4">
        <v>20</v>
      </c>
      <c r="U3689" s="5" t="s">
        <v>18136</v>
      </c>
      <c r="V3689" s="5" t="s">
        <v>18136</v>
      </c>
      <c r="W3689" s="5" t="s">
        <v>67</v>
      </c>
      <c r="X3689" s="5" t="s">
        <v>67</v>
      </c>
      <c r="Y3689" s="4">
        <v>235</v>
      </c>
      <c r="Z3689" s="4">
        <v>21</v>
      </c>
      <c r="AA3689" s="4">
        <v>104</v>
      </c>
      <c r="AB3689" s="4">
        <v>2</v>
      </c>
      <c r="AC3689" s="4">
        <v>18</v>
      </c>
      <c r="AD3689" s="4">
        <v>94</v>
      </c>
      <c r="AE3689" s="4">
        <v>152</v>
      </c>
      <c r="AF3689" s="4">
        <v>1</v>
      </c>
      <c r="AG3689" s="4">
        <v>9</v>
      </c>
      <c r="AH3689" s="4">
        <v>84</v>
      </c>
      <c r="AI3689" s="4">
        <v>104</v>
      </c>
      <c r="AJ3689" s="4">
        <v>16</v>
      </c>
      <c r="AK3689" s="4">
        <v>27</v>
      </c>
      <c r="AL3689" s="4">
        <v>51</v>
      </c>
      <c r="AM3689" s="4">
        <v>57</v>
      </c>
      <c r="AN3689" s="4">
        <v>0</v>
      </c>
      <c r="AO3689" s="4">
        <v>0</v>
      </c>
      <c r="AP3689" s="4">
        <v>17</v>
      </c>
      <c r="AQ3689" s="4">
        <v>56</v>
      </c>
      <c r="AR3689" s="3" t="s">
        <v>62</v>
      </c>
      <c r="AS3689" s="3" t="s">
        <v>62</v>
      </c>
      <c r="AT3689" s="3" t="s">
        <v>62</v>
      </c>
      <c r="AV3689" s="6" t="str">
        <f>HYPERLINK("http://mcgill.on.worldcat.org/oclc/51566503","Catalog Record")</f>
        <v>Catalog Record</v>
      </c>
      <c r="AW3689" s="6" t="str">
        <f>HYPERLINK("http://www.worldcat.org/oclc/51566503","WorldCat Record")</f>
        <v>WorldCat Record</v>
      </c>
      <c r="AX3689" s="3" t="s">
        <v>35651</v>
      </c>
      <c r="AY3689" s="3" t="s">
        <v>35652</v>
      </c>
      <c r="AZ3689" s="3" t="s">
        <v>35653</v>
      </c>
      <c r="BA3689" s="3" t="s">
        <v>35653</v>
      </c>
      <c r="BB3689" s="3" t="s">
        <v>35654</v>
      </c>
      <c r="BC3689" s="3" t="s">
        <v>142</v>
      </c>
      <c r="BD3689" s="3" t="s">
        <v>68</v>
      </c>
      <c r="BE3689" s="3" t="s">
        <v>35655</v>
      </c>
      <c r="BF3689" s="3" t="s">
        <v>35654</v>
      </c>
      <c r="BG3689" s="3" t="s">
        <v>35656</v>
      </c>
    </row>
    <row r="3690" spans="1:59" ht="57" x14ac:dyDescent="0.45">
      <c r="A3690" s="2" t="s">
        <v>59</v>
      </c>
      <c r="B3690" s="2" t="s">
        <v>60</v>
      </c>
      <c r="C3690" s="2" t="s">
        <v>35657</v>
      </c>
      <c r="D3690" s="2" t="s">
        <v>35658</v>
      </c>
      <c r="E3690" s="2" t="s">
        <v>35659</v>
      </c>
      <c r="G3690" s="3" t="s">
        <v>62</v>
      </c>
      <c r="I3690" s="3" t="s">
        <v>62</v>
      </c>
      <c r="J3690" s="3" t="s">
        <v>62</v>
      </c>
      <c r="K3690" s="3" t="s">
        <v>63</v>
      </c>
      <c r="M3690" s="2" t="s">
        <v>35660</v>
      </c>
      <c r="N3690" s="3" t="s">
        <v>820</v>
      </c>
      <c r="P3690" s="3" t="s">
        <v>65</v>
      </c>
      <c r="Q3690" s="2" t="s">
        <v>35661</v>
      </c>
      <c r="R3690" s="3" t="s">
        <v>66</v>
      </c>
      <c r="S3690" s="4">
        <v>2</v>
      </c>
      <c r="T3690" s="4">
        <v>2</v>
      </c>
      <c r="U3690" s="5" t="s">
        <v>35662</v>
      </c>
      <c r="V3690" s="5" t="s">
        <v>35662</v>
      </c>
      <c r="W3690" s="5" t="s">
        <v>67</v>
      </c>
      <c r="X3690" s="5" t="s">
        <v>67</v>
      </c>
      <c r="Y3690" s="4">
        <v>134</v>
      </c>
      <c r="Z3690" s="4">
        <v>13</v>
      </c>
      <c r="AA3690" s="4">
        <v>92</v>
      </c>
      <c r="AB3690" s="4">
        <v>1</v>
      </c>
      <c r="AC3690" s="4">
        <v>17</v>
      </c>
      <c r="AD3690" s="4">
        <v>54</v>
      </c>
      <c r="AE3690" s="4">
        <v>109</v>
      </c>
      <c r="AF3690" s="4">
        <v>0</v>
      </c>
      <c r="AG3690" s="4">
        <v>8</v>
      </c>
      <c r="AH3690" s="4">
        <v>50</v>
      </c>
      <c r="AI3690" s="4">
        <v>77</v>
      </c>
      <c r="AJ3690" s="4">
        <v>10</v>
      </c>
      <c r="AK3690" s="4">
        <v>21</v>
      </c>
      <c r="AL3690" s="4">
        <v>35</v>
      </c>
      <c r="AM3690" s="4">
        <v>43</v>
      </c>
      <c r="AN3690" s="4">
        <v>0</v>
      </c>
      <c r="AO3690" s="4">
        <v>0</v>
      </c>
      <c r="AP3690" s="4">
        <v>11</v>
      </c>
      <c r="AQ3690" s="4">
        <v>42</v>
      </c>
      <c r="AR3690" s="3" t="s">
        <v>62</v>
      </c>
      <c r="AS3690" s="3" t="s">
        <v>62</v>
      </c>
      <c r="AT3690" s="3" t="s">
        <v>62</v>
      </c>
      <c r="AV3690" s="6" t="str">
        <f>HYPERLINK("http://mcgill.on.worldcat.org/oclc/191207574","Catalog Record")</f>
        <v>Catalog Record</v>
      </c>
      <c r="AW3690" s="6" t="str">
        <f>HYPERLINK("http://www.worldcat.org/oclc/191207574","WorldCat Record")</f>
        <v>WorldCat Record</v>
      </c>
      <c r="AX3690" s="3" t="s">
        <v>35663</v>
      </c>
      <c r="AY3690" s="3" t="s">
        <v>35664</v>
      </c>
      <c r="AZ3690" s="3" t="s">
        <v>35665</v>
      </c>
      <c r="BA3690" s="3" t="s">
        <v>35665</v>
      </c>
      <c r="BB3690" s="3" t="s">
        <v>35666</v>
      </c>
      <c r="BC3690" s="3" t="s">
        <v>142</v>
      </c>
      <c r="BD3690" s="3" t="s">
        <v>68</v>
      </c>
      <c r="BE3690" s="3" t="s">
        <v>35667</v>
      </c>
      <c r="BF3690" s="3" t="s">
        <v>35666</v>
      </c>
      <c r="BG3690" s="3" t="s">
        <v>35668</v>
      </c>
    </row>
    <row r="3691" spans="1:59" ht="57" x14ac:dyDescent="0.45">
      <c r="A3691" s="2" t="s">
        <v>59</v>
      </c>
      <c r="B3691" s="2" t="s">
        <v>60</v>
      </c>
      <c r="C3691" s="2" t="s">
        <v>35669</v>
      </c>
      <c r="D3691" s="2" t="s">
        <v>35670</v>
      </c>
      <c r="E3691" s="2" t="s">
        <v>35671</v>
      </c>
      <c r="G3691" s="3" t="s">
        <v>62</v>
      </c>
      <c r="I3691" s="3" t="s">
        <v>62</v>
      </c>
      <c r="J3691" s="3" t="s">
        <v>62</v>
      </c>
      <c r="K3691" s="3" t="s">
        <v>63</v>
      </c>
      <c r="L3691" s="2" t="s">
        <v>35672</v>
      </c>
      <c r="M3691" s="2" t="s">
        <v>35673</v>
      </c>
      <c r="N3691" s="3" t="s">
        <v>807</v>
      </c>
      <c r="P3691" s="3" t="s">
        <v>65</v>
      </c>
      <c r="Q3691" s="2" t="s">
        <v>35674</v>
      </c>
      <c r="R3691" s="3" t="s">
        <v>66</v>
      </c>
      <c r="S3691" s="4">
        <v>28</v>
      </c>
      <c r="T3691" s="4">
        <v>28</v>
      </c>
      <c r="U3691" s="5" t="s">
        <v>2281</v>
      </c>
      <c r="V3691" s="5" t="s">
        <v>2281</v>
      </c>
      <c r="W3691" s="5" t="s">
        <v>67</v>
      </c>
      <c r="X3691" s="5" t="s">
        <v>67</v>
      </c>
      <c r="Y3691" s="4">
        <v>505</v>
      </c>
      <c r="Z3691" s="4">
        <v>41</v>
      </c>
      <c r="AA3691" s="4">
        <v>43</v>
      </c>
      <c r="AB3691" s="4">
        <v>3</v>
      </c>
      <c r="AC3691" s="4">
        <v>5</v>
      </c>
      <c r="AD3691" s="4">
        <v>106</v>
      </c>
      <c r="AE3691" s="4">
        <v>107</v>
      </c>
      <c r="AF3691" s="4">
        <v>2</v>
      </c>
      <c r="AG3691" s="4">
        <v>3</v>
      </c>
      <c r="AH3691" s="4">
        <v>84</v>
      </c>
      <c r="AI3691" s="4">
        <v>84</v>
      </c>
      <c r="AJ3691" s="4">
        <v>20</v>
      </c>
      <c r="AK3691" s="4">
        <v>21</v>
      </c>
      <c r="AL3691" s="4">
        <v>45</v>
      </c>
      <c r="AM3691" s="4">
        <v>45</v>
      </c>
      <c r="AN3691" s="4">
        <v>0</v>
      </c>
      <c r="AO3691" s="4">
        <v>0</v>
      </c>
      <c r="AP3691" s="4">
        <v>33</v>
      </c>
      <c r="AQ3691" s="4">
        <v>34</v>
      </c>
      <c r="AR3691" s="3" t="s">
        <v>62</v>
      </c>
      <c r="AS3691" s="3" t="s">
        <v>62</v>
      </c>
      <c r="AT3691" s="3" t="s">
        <v>62</v>
      </c>
      <c r="AV3691" s="6" t="str">
        <f>HYPERLINK("http://mcgill.on.worldcat.org/oclc/22306807","Catalog Record")</f>
        <v>Catalog Record</v>
      </c>
      <c r="AW3691" s="6" t="str">
        <f>HYPERLINK("http://www.worldcat.org/oclc/22306807","WorldCat Record")</f>
        <v>WorldCat Record</v>
      </c>
      <c r="AX3691" s="3" t="s">
        <v>35675</v>
      </c>
      <c r="AY3691" s="3" t="s">
        <v>35676</v>
      </c>
      <c r="AZ3691" s="3" t="s">
        <v>35677</v>
      </c>
      <c r="BA3691" s="3" t="s">
        <v>35677</v>
      </c>
      <c r="BB3691" s="3" t="s">
        <v>35678</v>
      </c>
      <c r="BC3691" s="3" t="s">
        <v>142</v>
      </c>
      <c r="BD3691" s="3" t="s">
        <v>68</v>
      </c>
      <c r="BE3691" s="3" t="s">
        <v>35679</v>
      </c>
      <c r="BF3691" s="3" t="s">
        <v>35678</v>
      </c>
      <c r="BG3691" s="3" t="s">
        <v>35680</v>
      </c>
    </row>
    <row r="3692" spans="1:59" ht="57" x14ac:dyDescent="0.45">
      <c r="A3692" s="2" t="s">
        <v>59</v>
      </c>
      <c r="B3692" s="2" t="s">
        <v>60</v>
      </c>
      <c r="C3692" s="2" t="s">
        <v>35681</v>
      </c>
      <c r="D3692" s="2" t="s">
        <v>35682</v>
      </c>
      <c r="E3692" s="2" t="s">
        <v>35683</v>
      </c>
      <c r="G3692" s="3" t="s">
        <v>62</v>
      </c>
      <c r="I3692" s="3" t="s">
        <v>62</v>
      </c>
      <c r="J3692" s="3" t="s">
        <v>62</v>
      </c>
      <c r="K3692" s="3" t="s">
        <v>63</v>
      </c>
      <c r="M3692" s="2" t="s">
        <v>35684</v>
      </c>
      <c r="N3692" s="3" t="s">
        <v>542</v>
      </c>
      <c r="P3692" s="3" t="s">
        <v>65</v>
      </c>
      <c r="Q3692" s="2" t="s">
        <v>35685</v>
      </c>
      <c r="R3692" s="3" t="s">
        <v>66</v>
      </c>
      <c r="S3692" s="4">
        <v>31</v>
      </c>
      <c r="T3692" s="4">
        <v>31</v>
      </c>
      <c r="U3692" s="5" t="s">
        <v>35686</v>
      </c>
      <c r="V3692" s="5" t="s">
        <v>35686</v>
      </c>
      <c r="W3692" s="5" t="s">
        <v>67</v>
      </c>
      <c r="X3692" s="5" t="s">
        <v>67</v>
      </c>
      <c r="Y3692" s="4">
        <v>190</v>
      </c>
      <c r="Z3692" s="4">
        <v>12</v>
      </c>
      <c r="AA3692" s="4">
        <v>102</v>
      </c>
      <c r="AB3692" s="4">
        <v>3</v>
      </c>
      <c r="AC3692" s="4">
        <v>18</v>
      </c>
      <c r="AD3692" s="4">
        <v>67</v>
      </c>
      <c r="AE3692" s="4">
        <v>132</v>
      </c>
      <c r="AF3692" s="4">
        <v>1</v>
      </c>
      <c r="AG3692" s="4">
        <v>8</v>
      </c>
      <c r="AH3692" s="4">
        <v>64</v>
      </c>
      <c r="AI3692" s="4">
        <v>97</v>
      </c>
      <c r="AJ3692" s="4">
        <v>8</v>
      </c>
      <c r="AK3692" s="4">
        <v>23</v>
      </c>
      <c r="AL3692" s="4">
        <v>41</v>
      </c>
      <c r="AM3692" s="4">
        <v>50</v>
      </c>
      <c r="AN3692" s="4">
        <v>0</v>
      </c>
      <c r="AO3692" s="4">
        <v>0</v>
      </c>
      <c r="AP3692" s="4">
        <v>9</v>
      </c>
      <c r="AQ3692" s="4">
        <v>44</v>
      </c>
      <c r="AR3692" s="3" t="s">
        <v>62</v>
      </c>
      <c r="AS3692" s="3" t="s">
        <v>62</v>
      </c>
      <c r="AT3692" s="3" t="s">
        <v>62</v>
      </c>
      <c r="AV3692" s="6" t="str">
        <f>HYPERLINK("http://mcgill.on.worldcat.org/oclc/46777550","Catalog Record")</f>
        <v>Catalog Record</v>
      </c>
      <c r="AW3692" s="6" t="str">
        <f>HYPERLINK("http://www.worldcat.org/oclc/46777550","WorldCat Record")</f>
        <v>WorldCat Record</v>
      </c>
      <c r="AX3692" s="3" t="s">
        <v>35687</v>
      </c>
      <c r="AY3692" s="3" t="s">
        <v>35688</v>
      </c>
      <c r="AZ3692" s="3" t="s">
        <v>35689</v>
      </c>
      <c r="BA3692" s="3" t="s">
        <v>35689</v>
      </c>
      <c r="BB3692" s="3" t="s">
        <v>35690</v>
      </c>
      <c r="BC3692" s="3" t="s">
        <v>142</v>
      </c>
      <c r="BD3692" s="3" t="s">
        <v>68</v>
      </c>
      <c r="BE3692" s="3" t="s">
        <v>35691</v>
      </c>
      <c r="BF3692" s="3" t="s">
        <v>35690</v>
      </c>
      <c r="BG3692" s="3" t="s">
        <v>35692</v>
      </c>
    </row>
    <row r="3693" spans="1:59" ht="57" x14ac:dyDescent="0.45">
      <c r="A3693" s="2" t="s">
        <v>59</v>
      </c>
      <c r="B3693" s="2" t="s">
        <v>60</v>
      </c>
      <c r="C3693" s="2" t="s">
        <v>35693</v>
      </c>
      <c r="D3693" s="2" t="s">
        <v>35694</v>
      </c>
      <c r="E3693" s="2" t="s">
        <v>35695</v>
      </c>
      <c r="F3693" s="3" t="s">
        <v>83</v>
      </c>
      <c r="G3693" s="3" t="s">
        <v>61</v>
      </c>
      <c r="I3693" s="3" t="s">
        <v>62</v>
      </c>
      <c r="J3693" s="3" t="s">
        <v>62</v>
      </c>
      <c r="K3693" s="3" t="s">
        <v>63</v>
      </c>
      <c r="M3693" s="2" t="s">
        <v>35696</v>
      </c>
      <c r="N3693" s="3" t="s">
        <v>529</v>
      </c>
      <c r="P3693" s="3" t="s">
        <v>65</v>
      </c>
      <c r="R3693" s="3" t="s">
        <v>66</v>
      </c>
      <c r="S3693" s="4">
        <v>13</v>
      </c>
      <c r="T3693" s="4">
        <v>134</v>
      </c>
      <c r="U3693" s="5" t="s">
        <v>6779</v>
      </c>
      <c r="V3693" s="5" t="s">
        <v>6780</v>
      </c>
      <c r="W3693" s="5" t="s">
        <v>67</v>
      </c>
      <c r="X3693" s="5" t="s">
        <v>67</v>
      </c>
      <c r="Y3693" s="4">
        <v>502</v>
      </c>
      <c r="Z3693" s="4">
        <v>26</v>
      </c>
      <c r="AA3693" s="4">
        <v>29</v>
      </c>
      <c r="AB3693" s="4">
        <v>2</v>
      </c>
      <c r="AC3693" s="4">
        <v>4</v>
      </c>
      <c r="AD3693" s="4">
        <v>119</v>
      </c>
      <c r="AE3693" s="4">
        <v>120</v>
      </c>
      <c r="AF3693" s="4">
        <v>1</v>
      </c>
      <c r="AG3693" s="4">
        <v>1</v>
      </c>
      <c r="AH3693" s="4">
        <v>105</v>
      </c>
      <c r="AI3693" s="4">
        <v>105</v>
      </c>
      <c r="AJ3693" s="4">
        <v>17</v>
      </c>
      <c r="AK3693" s="4">
        <v>18</v>
      </c>
      <c r="AL3693" s="4">
        <v>56</v>
      </c>
      <c r="AM3693" s="4">
        <v>56</v>
      </c>
      <c r="AN3693" s="4">
        <v>0</v>
      </c>
      <c r="AO3693" s="4">
        <v>0</v>
      </c>
      <c r="AP3693" s="4">
        <v>21</v>
      </c>
      <c r="AQ3693" s="4">
        <v>22</v>
      </c>
      <c r="AR3693" s="3" t="s">
        <v>62</v>
      </c>
      <c r="AS3693" s="3" t="s">
        <v>62</v>
      </c>
      <c r="AT3693" s="3" t="s">
        <v>61</v>
      </c>
      <c r="AU3693" s="6" t="str">
        <f>HYPERLINK("http://catalog.hathitrust.org/Record/000445473","HathiTrust Record")</f>
        <v>HathiTrust Record</v>
      </c>
      <c r="AV3693" s="6" t="str">
        <f>HYPERLINK("http://mcgill.on.worldcat.org/oclc/12809986","Catalog Record")</f>
        <v>Catalog Record</v>
      </c>
      <c r="AW3693" s="6" t="str">
        <f>HYPERLINK("http://www.worldcat.org/oclc/12809986","WorldCat Record")</f>
        <v>WorldCat Record</v>
      </c>
      <c r="AX3693" s="3" t="s">
        <v>35697</v>
      </c>
      <c r="AY3693" s="3" t="s">
        <v>35698</v>
      </c>
      <c r="AZ3693" s="3" t="s">
        <v>35699</v>
      </c>
      <c r="BA3693" s="3" t="s">
        <v>35699</v>
      </c>
      <c r="BB3693" s="3" t="s">
        <v>35700</v>
      </c>
      <c r="BC3693" s="3" t="s">
        <v>142</v>
      </c>
      <c r="BD3693" s="3" t="s">
        <v>68</v>
      </c>
      <c r="BE3693" s="3" t="s">
        <v>35701</v>
      </c>
      <c r="BF3693" s="3" t="s">
        <v>35700</v>
      </c>
      <c r="BG3693" s="3" t="s">
        <v>35702</v>
      </c>
    </row>
    <row r="3694" spans="1:59" ht="57" x14ac:dyDescent="0.45">
      <c r="A3694" s="2" t="s">
        <v>59</v>
      </c>
      <c r="B3694" s="2" t="s">
        <v>60</v>
      </c>
      <c r="C3694" s="2" t="s">
        <v>35693</v>
      </c>
      <c r="D3694" s="2" t="s">
        <v>35694</v>
      </c>
      <c r="E3694" s="2" t="s">
        <v>35695</v>
      </c>
      <c r="F3694" s="3" t="s">
        <v>86</v>
      </c>
      <c r="G3694" s="3" t="s">
        <v>61</v>
      </c>
      <c r="I3694" s="3" t="s">
        <v>62</v>
      </c>
      <c r="J3694" s="3" t="s">
        <v>62</v>
      </c>
      <c r="K3694" s="3" t="s">
        <v>63</v>
      </c>
      <c r="M3694" s="2" t="s">
        <v>35696</v>
      </c>
      <c r="N3694" s="3" t="s">
        <v>529</v>
      </c>
      <c r="P3694" s="3" t="s">
        <v>65</v>
      </c>
      <c r="R3694" s="3" t="s">
        <v>66</v>
      </c>
      <c r="S3694" s="4">
        <v>22</v>
      </c>
      <c r="T3694" s="4">
        <v>134</v>
      </c>
      <c r="U3694" s="5" t="s">
        <v>35703</v>
      </c>
      <c r="V3694" s="5" t="s">
        <v>6780</v>
      </c>
      <c r="W3694" s="5" t="s">
        <v>67</v>
      </c>
      <c r="X3694" s="5" t="s">
        <v>67</v>
      </c>
      <c r="Y3694" s="4">
        <v>502</v>
      </c>
      <c r="Z3694" s="4">
        <v>26</v>
      </c>
      <c r="AA3694" s="4">
        <v>29</v>
      </c>
      <c r="AB3694" s="4">
        <v>2</v>
      </c>
      <c r="AC3694" s="4">
        <v>4</v>
      </c>
      <c r="AD3694" s="4">
        <v>119</v>
      </c>
      <c r="AE3694" s="4">
        <v>120</v>
      </c>
      <c r="AF3694" s="4">
        <v>1</v>
      </c>
      <c r="AG3694" s="4">
        <v>1</v>
      </c>
      <c r="AH3694" s="4">
        <v>105</v>
      </c>
      <c r="AI3694" s="4">
        <v>105</v>
      </c>
      <c r="AJ3694" s="4">
        <v>17</v>
      </c>
      <c r="AK3694" s="4">
        <v>18</v>
      </c>
      <c r="AL3694" s="4">
        <v>56</v>
      </c>
      <c r="AM3694" s="4">
        <v>56</v>
      </c>
      <c r="AN3694" s="4">
        <v>0</v>
      </c>
      <c r="AO3694" s="4">
        <v>0</v>
      </c>
      <c r="AP3694" s="4">
        <v>21</v>
      </c>
      <c r="AQ3694" s="4">
        <v>22</v>
      </c>
      <c r="AR3694" s="3" t="s">
        <v>62</v>
      </c>
      <c r="AS3694" s="3" t="s">
        <v>62</v>
      </c>
      <c r="AT3694" s="3" t="s">
        <v>61</v>
      </c>
      <c r="AU3694" s="6" t="str">
        <f>HYPERLINK("http://catalog.hathitrust.org/Record/000445473","HathiTrust Record")</f>
        <v>HathiTrust Record</v>
      </c>
      <c r="AV3694" s="6" t="str">
        <f>HYPERLINK("http://mcgill.on.worldcat.org/oclc/12809986","Catalog Record")</f>
        <v>Catalog Record</v>
      </c>
      <c r="AW3694" s="6" t="str">
        <f>HYPERLINK("http://www.worldcat.org/oclc/12809986","WorldCat Record")</f>
        <v>WorldCat Record</v>
      </c>
      <c r="AX3694" s="3" t="s">
        <v>35697</v>
      </c>
      <c r="AY3694" s="3" t="s">
        <v>35698</v>
      </c>
      <c r="AZ3694" s="3" t="s">
        <v>35699</v>
      </c>
      <c r="BA3694" s="3" t="s">
        <v>35699</v>
      </c>
      <c r="BB3694" s="3" t="s">
        <v>35704</v>
      </c>
      <c r="BC3694" s="3" t="s">
        <v>142</v>
      </c>
      <c r="BD3694" s="3" t="s">
        <v>68</v>
      </c>
      <c r="BE3694" s="3" t="s">
        <v>35701</v>
      </c>
      <c r="BF3694" s="3" t="s">
        <v>35704</v>
      </c>
      <c r="BG3694" s="3" t="s">
        <v>35705</v>
      </c>
    </row>
    <row r="3695" spans="1:59" ht="57" x14ac:dyDescent="0.45">
      <c r="A3695" s="2" t="s">
        <v>59</v>
      </c>
      <c r="B3695" s="2" t="s">
        <v>60</v>
      </c>
      <c r="C3695" s="2" t="s">
        <v>35693</v>
      </c>
      <c r="D3695" s="2" t="s">
        <v>35694</v>
      </c>
      <c r="E3695" s="2" t="s">
        <v>35695</v>
      </c>
      <c r="F3695" s="3" t="s">
        <v>35706</v>
      </c>
      <c r="G3695" s="3" t="s">
        <v>61</v>
      </c>
      <c r="I3695" s="3" t="s">
        <v>62</v>
      </c>
      <c r="J3695" s="3" t="s">
        <v>62</v>
      </c>
      <c r="K3695" s="3" t="s">
        <v>63</v>
      </c>
      <c r="M3695" s="2" t="s">
        <v>35696</v>
      </c>
      <c r="N3695" s="3" t="s">
        <v>529</v>
      </c>
      <c r="P3695" s="3" t="s">
        <v>65</v>
      </c>
      <c r="R3695" s="3" t="s">
        <v>66</v>
      </c>
      <c r="S3695" s="4">
        <v>30</v>
      </c>
      <c r="T3695" s="4">
        <v>134</v>
      </c>
      <c r="U3695" s="5" t="s">
        <v>119</v>
      </c>
      <c r="V3695" s="5" t="s">
        <v>6780</v>
      </c>
      <c r="W3695" s="5" t="s">
        <v>67</v>
      </c>
      <c r="X3695" s="5" t="s">
        <v>67</v>
      </c>
      <c r="Y3695" s="4">
        <v>502</v>
      </c>
      <c r="Z3695" s="4">
        <v>26</v>
      </c>
      <c r="AA3695" s="4">
        <v>29</v>
      </c>
      <c r="AB3695" s="4">
        <v>2</v>
      </c>
      <c r="AC3695" s="4">
        <v>4</v>
      </c>
      <c r="AD3695" s="4">
        <v>119</v>
      </c>
      <c r="AE3695" s="4">
        <v>120</v>
      </c>
      <c r="AF3695" s="4">
        <v>1</v>
      </c>
      <c r="AG3695" s="4">
        <v>1</v>
      </c>
      <c r="AH3695" s="4">
        <v>105</v>
      </c>
      <c r="AI3695" s="4">
        <v>105</v>
      </c>
      <c r="AJ3695" s="4">
        <v>17</v>
      </c>
      <c r="AK3695" s="4">
        <v>18</v>
      </c>
      <c r="AL3695" s="4">
        <v>56</v>
      </c>
      <c r="AM3695" s="4">
        <v>56</v>
      </c>
      <c r="AN3695" s="4">
        <v>0</v>
      </c>
      <c r="AO3695" s="4">
        <v>0</v>
      </c>
      <c r="AP3695" s="4">
        <v>21</v>
      </c>
      <c r="AQ3695" s="4">
        <v>22</v>
      </c>
      <c r="AR3695" s="3" t="s">
        <v>62</v>
      </c>
      <c r="AS3695" s="3" t="s">
        <v>62</v>
      </c>
      <c r="AT3695" s="3" t="s">
        <v>61</v>
      </c>
      <c r="AU3695" s="6" t="str">
        <f>HYPERLINK("http://catalog.hathitrust.org/Record/000445473","HathiTrust Record")</f>
        <v>HathiTrust Record</v>
      </c>
      <c r="AV3695" s="6" t="str">
        <f>HYPERLINK("http://mcgill.on.worldcat.org/oclc/12809986","Catalog Record")</f>
        <v>Catalog Record</v>
      </c>
      <c r="AW3695" s="6" t="str">
        <f>HYPERLINK("http://www.worldcat.org/oclc/12809986","WorldCat Record")</f>
        <v>WorldCat Record</v>
      </c>
      <c r="AX3695" s="3" t="s">
        <v>35697</v>
      </c>
      <c r="AY3695" s="3" t="s">
        <v>35698</v>
      </c>
      <c r="AZ3695" s="3" t="s">
        <v>35699</v>
      </c>
      <c r="BA3695" s="3" t="s">
        <v>35699</v>
      </c>
      <c r="BB3695" s="3" t="s">
        <v>35707</v>
      </c>
      <c r="BC3695" s="3" t="s">
        <v>142</v>
      </c>
      <c r="BD3695" s="3" t="s">
        <v>68</v>
      </c>
      <c r="BE3695" s="3" t="s">
        <v>35701</v>
      </c>
      <c r="BF3695" s="3" t="s">
        <v>35707</v>
      </c>
      <c r="BG3695" s="3" t="s">
        <v>35708</v>
      </c>
    </row>
    <row r="3696" spans="1:59" ht="57" x14ac:dyDescent="0.45">
      <c r="A3696" s="2" t="s">
        <v>59</v>
      </c>
      <c r="B3696" s="2" t="s">
        <v>60</v>
      </c>
      <c r="C3696" s="2" t="s">
        <v>35693</v>
      </c>
      <c r="D3696" s="2" t="s">
        <v>35694</v>
      </c>
      <c r="E3696" s="2" t="s">
        <v>35695</v>
      </c>
      <c r="F3696" s="3" t="s">
        <v>416</v>
      </c>
      <c r="G3696" s="3" t="s">
        <v>61</v>
      </c>
      <c r="I3696" s="3" t="s">
        <v>62</v>
      </c>
      <c r="J3696" s="3" t="s">
        <v>62</v>
      </c>
      <c r="K3696" s="3" t="s">
        <v>63</v>
      </c>
      <c r="M3696" s="2" t="s">
        <v>35696</v>
      </c>
      <c r="N3696" s="3" t="s">
        <v>529</v>
      </c>
      <c r="P3696" s="3" t="s">
        <v>65</v>
      </c>
      <c r="R3696" s="3" t="s">
        <v>66</v>
      </c>
      <c r="S3696" s="4">
        <v>69</v>
      </c>
      <c r="T3696" s="4">
        <v>134</v>
      </c>
      <c r="U3696" s="5" t="s">
        <v>6780</v>
      </c>
      <c r="V3696" s="5" t="s">
        <v>6780</v>
      </c>
      <c r="W3696" s="5" t="s">
        <v>67</v>
      </c>
      <c r="X3696" s="5" t="s">
        <v>67</v>
      </c>
      <c r="Y3696" s="4">
        <v>502</v>
      </c>
      <c r="Z3696" s="4">
        <v>26</v>
      </c>
      <c r="AA3696" s="4">
        <v>29</v>
      </c>
      <c r="AB3696" s="4">
        <v>2</v>
      </c>
      <c r="AC3696" s="4">
        <v>4</v>
      </c>
      <c r="AD3696" s="4">
        <v>119</v>
      </c>
      <c r="AE3696" s="4">
        <v>120</v>
      </c>
      <c r="AF3696" s="4">
        <v>1</v>
      </c>
      <c r="AG3696" s="4">
        <v>1</v>
      </c>
      <c r="AH3696" s="4">
        <v>105</v>
      </c>
      <c r="AI3696" s="4">
        <v>105</v>
      </c>
      <c r="AJ3696" s="4">
        <v>17</v>
      </c>
      <c r="AK3696" s="4">
        <v>18</v>
      </c>
      <c r="AL3696" s="4">
        <v>56</v>
      </c>
      <c r="AM3696" s="4">
        <v>56</v>
      </c>
      <c r="AN3696" s="4">
        <v>0</v>
      </c>
      <c r="AO3696" s="4">
        <v>0</v>
      </c>
      <c r="AP3696" s="4">
        <v>21</v>
      </c>
      <c r="AQ3696" s="4">
        <v>22</v>
      </c>
      <c r="AR3696" s="3" t="s">
        <v>62</v>
      </c>
      <c r="AS3696" s="3" t="s">
        <v>62</v>
      </c>
      <c r="AT3696" s="3" t="s">
        <v>61</v>
      </c>
      <c r="AU3696" s="6" t="str">
        <f>HYPERLINK("http://catalog.hathitrust.org/Record/000445473","HathiTrust Record")</f>
        <v>HathiTrust Record</v>
      </c>
      <c r="AV3696" s="6" t="str">
        <f>HYPERLINK("http://mcgill.on.worldcat.org/oclc/12809986","Catalog Record")</f>
        <v>Catalog Record</v>
      </c>
      <c r="AW3696" s="6" t="str">
        <f>HYPERLINK("http://www.worldcat.org/oclc/12809986","WorldCat Record")</f>
        <v>WorldCat Record</v>
      </c>
      <c r="AX3696" s="3" t="s">
        <v>35697</v>
      </c>
      <c r="AY3696" s="3" t="s">
        <v>35698</v>
      </c>
      <c r="AZ3696" s="3" t="s">
        <v>35699</v>
      </c>
      <c r="BA3696" s="3" t="s">
        <v>35699</v>
      </c>
      <c r="BB3696" s="3" t="s">
        <v>35709</v>
      </c>
      <c r="BC3696" s="3" t="s">
        <v>142</v>
      </c>
      <c r="BD3696" s="3" t="s">
        <v>68</v>
      </c>
      <c r="BE3696" s="3" t="s">
        <v>35701</v>
      </c>
      <c r="BF3696" s="3" t="s">
        <v>35709</v>
      </c>
      <c r="BG3696" s="3" t="s">
        <v>35710</v>
      </c>
    </row>
    <row r="3697" spans="1:59" ht="57" x14ac:dyDescent="0.45">
      <c r="A3697" s="2" t="s">
        <v>59</v>
      </c>
      <c r="B3697" s="2" t="s">
        <v>60</v>
      </c>
      <c r="C3697" s="2" t="s">
        <v>35693</v>
      </c>
      <c r="D3697" s="2" t="s">
        <v>35694</v>
      </c>
      <c r="E3697" s="2" t="s">
        <v>35695</v>
      </c>
      <c r="F3697" s="3" t="s">
        <v>88</v>
      </c>
      <c r="G3697" s="3" t="s">
        <v>61</v>
      </c>
      <c r="I3697" s="3" t="s">
        <v>62</v>
      </c>
      <c r="J3697" s="3" t="s">
        <v>62</v>
      </c>
      <c r="K3697" s="3" t="s">
        <v>63</v>
      </c>
      <c r="M3697" s="2" t="s">
        <v>35696</v>
      </c>
      <c r="N3697" s="3" t="s">
        <v>529</v>
      </c>
      <c r="P3697" s="3" t="s">
        <v>65</v>
      </c>
      <c r="R3697" s="3" t="s">
        <v>66</v>
      </c>
      <c r="S3697" s="4">
        <v>0</v>
      </c>
      <c r="T3697" s="4">
        <v>134</v>
      </c>
      <c r="V3697" s="5" t="s">
        <v>6780</v>
      </c>
      <c r="W3697" s="5" t="s">
        <v>67</v>
      </c>
      <c r="X3697" s="5" t="s">
        <v>67</v>
      </c>
      <c r="Y3697" s="4">
        <v>502</v>
      </c>
      <c r="Z3697" s="4">
        <v>26</v>
      </c>
      <c r="AA3697" s="4">
        <v>29</v>
      </c>
      <c r="AB3697" s="4">
        <v>2</v>
      </c>
      <c r="AC3697" s="4">
        <v>4</v>
      </c>
      <c r="AD3697" s="4">
        <v>119</v>
      </c>
      <c r="AE3697" s="4">
        <v>120</v>
      </c>
      <c r="AF3697" s="4">
        <v>1</v>
      </c>
      <c r="AG3697" s="4">
        <v>1</v>
      </c>
      <c r="AH3697" s="4">
        <v>105</v>
      </c>
      <c r="AI3697" s="4">
        <v>105</v>
      </c>
      <c r="AJ3697" s="4">
        <v>17</v>
      </c>
      <c r="AK3697" s="4">
        <v>18</v>
      </c>
      <c r="AL3697" s="4">
        <v>56</v>
      </c>
      <c r="AM3697" s="4">
        <v>56</v>
      </c>
      <c r="AN3697" s="4">
        <v>0</v>
      </c>
      <c r="AO3697" s="4">
        <v>0</v>
      </c>
      <c r="AP3697" s="4">
        <v>21</v>
      </c>
      <c r="AQ3697" s="4">
        <v>22</v>
      </c>
      <c r="AR3697" s="3" t="s">
        <v>62</v>
      </c>
      <c r="AS3697" s="3" t="s">
        <v>62</v>
      </c>
      <c r="AT3697" s="3" t="s">
        <v>61</v>
      </c>
      <c r="AU3697" s="6" t="str">
        <f>HYPERLINK("http://catalog.hathitrust.org/Record/000445473","HathiTrust Record")</f>
        <v>HathiTrust Record</v>
      </c>
      <c r="AV3697" s="6" t="str">
        <f>HYPERLINK("http://mcgill.on.worldcat.org/oclc/12809986","Catalog Record")</f>
        <v>Catalog Record</v>
      </c>
      <c r="AW3697" s="6" t="str">
        <f>HYPERLINK("http://www.worldcat.org/oclc/12809986","WorldCat Record")</f>
        <v>WorldCat Record</v>
      </c>
      <c r="AX3697" s="3" t="s">
        <v>35697</v>
      </c>
      <c r="AY3697" s="3" t="s">
        <v>35698</v>
      </c>
      <c r="AZ3697" s="3" t="s">
        <v>35699</v>
      </c>
      <c r="BA3697" s="3" t="s">
        <v>35699</v>
      </c>
      <c r="BB3697" s="3" t="s">
        <v>35711</v>
      </c>
      <c r="BC3697" s="3" t="s">
        <v>142</v>
      </c>
      <c r="BD3697" s="3" t="s">
        <v>68</v>
      </c>
      <c r="BE3697" s="3" t="s">
        <v>35701</v>
      </c>
      <c r="BF3697" s="3" t="s">
        <v>35711</v>
      </c>
      <c r="BG3697" s="3" t="s">
        <v>35712</v>
      </c>
    </row>
    <row r="3698" spans="1:59" ht="57" x14ac:dyDescent="0.45">
      <c r="A3698" s="2" t="s">
        <v>59</v>
      </c>
      <c r="B3698" s="2" t="s">
        <v>60</v>
      </c>
      <c r="C3698" s="2" t="s">
        <v>35713</v>
      </c>
      <c r="D3698" s="2" t="s">
        <v>35714</v>
      </c>
      <c r="E3698" s="2" t="s">
        <v>35715</v>
      </c>
      <c r="G3698" s="3" t="s">
        <v>62</v>
      </c>
      <c r="I3698" s="3" t="s">
        <v>62</v>
      </c>
      <c r="J3698" s="3" t="s">
        <v>62</v>
      </c>
      <c r="K3698" s="3" t="s">
        <v>63</v>
      </c>
      <c r="L3698" s="2" t="s">
        <v>35716</v>
      </c>
      <c r="M3698" s="2" t="s">
        <v>35717</v>
      </c>
      <c r="N3698" s="3" t="s">
        <v>149</v>
      </c>
      <c r="P3698" s="3" t="s">
        <v>65</v>
      </c>
      <c r="R3698" s="3" t="s">
        <v>66</v>
      </c>
      <c r="S3698" s="4">
        <v>4</v>
      </c>
      <c r="T3698" s="4">
        <v>4</v>
      </c>
      <c r="U3698" s="5" t="s">
        <v>35718</v>
      </c>
      <c r="V3698" s="5" t="s">
        <v>35718</v>
      </c>
      <c r="W3698" s="5" t="s">
        <v>67</v>
      </c>
      <c r="X3698" s="5" t="s">
        <v>67</v>
      </c>
      <c r="Y3698" s="4">
        <v>1031</v>
      </c>
      <c r="Z3698" s="4">
        <v>46</v>
      </c>
      <c r="AA3698" s="4">
        <v>74</v>
      </c>
      <c r="AB3698" s="4">
        <v>4</v>
      </c>
      <c r="AC3698" s="4">
        <v>9</v>
      </c>
      <c r="AD3698" s="4">
        <v>95</v>
      </c>
      <c r="AE3698" s="4">
        <v>121</v>
      </c>
      <c r="AF3698" s="4">
        <v>1</v>
      </c>
      <c r="AG3698" s="4">
        <v>3</v>
      </c>
      <c r="AH3698" s="4">
        <v>76</v>
      </c>
      <c r="AI3698" s="4">
        <v>96</v>
      </c>
      <c r="AJ3698" s="4">
        <v>12</v>
      </c>
      <c r="AK3698" s="4">
        <v>18</v>
      </c>
      <c r="AL3698" s="4">
        <v>43</v>
      </c>
      <c r="AM3698" s="4">
        <v>50</v>
      </c>
      <c r="AN3698" s="4">
        <v>0</v>
      </c>
      <c r="AO3698" s="4">
        <v>0</v>
      </c>
      <c r="AP3698" s="4">
        <v>23</v>
      </c>
      <c r="AQ3698" s="4">
        <v>32</v>
      </c>
      <c r="AR3698" s="3" t="s">
        <v>62</v>
      </c>
      <c r="AS3698" s="3" t="s">
        <v>62</v>
      </c>
      <c r="AT3698" s="3" t="s">
        <v>62</v>
      </c>
      <c r="AV3698" s="6" t="str">
        <f>HYPERLINK("http://mcgill.on.worldcat.org/oclc/438054382","Catalog Record")</f>
        <v>Catalog Record</v>
      </c>
      <c r="AW3698" s="6" t="str">
        <f>HYPERLINK("http://www.worldcat.org/oclc/438054382","WorldCat Record")</f>
        <v>WorldCat Record</v>
      </c>
      <c r="AX3698" s="3" t="s">
        <v>35719</v>
      </c>
      <c r="AY3698" s="3" t="s">
        <v>35720</v>
      </c>
      <c r="AZ3698" s="3" t="s">
        <v>35721</v>
      </c>
      <c r="BA3698" s="3" t="s">
        <v>35721</v>
      </c>
      <c r="BB3698" s="3" t="s">
        <v>35722</v>
      </c>
      <c r="BC3698" s="3" t="s">
        <v>142</v>
      </c>
      <c r="BD3698" s="3" t="s">
        <v>3549</v>
      </c>
      <c r="BE3698" s="3" t="s">
        <v>35723</v>
      </c>
      <c r="BF3698" s="3" t="s">
        <v>35722</v>
      </c>
      <c r="BG3698" s="3" t="s">
        <v>35724</v>
      </c>
    </row>
    <row r="3699" spans="1:59" ht="57" x14ac:dyDescent="0.45">
      <c r="A3699" s="2" t="s">
        <v>59</v>
      </c>
      <c r="B3699" s="2" t="s">
        <v>60</v>
      </c>
      <c r="C3699" s="2" t="s">
        <v>35725</v>
      </c>
      <c r="D3699" s="2" t="s">
        <v>35726</v>
      </c>
      <c r="E3699" s="2" t="s">
        <v>35727</v>
      </c>
      <c r="G3699" s="3" t="s">
        <v>62</v>
      </c>
      <c r="I3699" s="3" t="s">
        <v>61</v>
      </c>
      <c r="J3699" s="3" t="s">
        <v>62</v>
      </c>
      <c r="K3699" s="3" t="s">
        <v>63</v>
      </c>
      <c r="L3699" s="2" t="s">
        <v>35728</v>
      </c>
      <c r="M3699" s="2" t="s">
        <v>35729</v>
      </c>
      <c r="N3699" s="3" t="s">
        <v>122</v>
      </c>
      <c r="P3699" s="3" t="s">
        <v>65</v>
      </c>
      <c r="Q3699" s="2" t="s">
        <v>35730</v>
      </c>
      <c r="R3699" s="3" t="s">
        <v>66</v>
      </c>
      <c r="S3699" s="4">
        <v>45</v>
      </c>
      <c r="T3699" s="4">
        <v>72</v>
      </c>
      <c r="U3699" s="5" t="s">
        <v>3003</v>
      </c>
      <c r="V3699" s="5" t="s">
        <v>3003</v>
      </c>
      <c r="W3699" s="5" t="s">
        <v>67</v>
      </c>
      <c r="X3699" s="5" t="s">
        <v>67</v>
      </c>
      <c r="Y3699" s="4">
        <v>790</v>
      </c>
      <c r="Z3699" s="4">
        <v>51</v>
      </c>
      <c r="AA3699" s="4">
        <v>57</v>
      </c>
      <c r="AB3699" s="4">
        <v>4</v>
      </c>
      <c r="AC3699" s="4">
        <v>9</v>
      </c>
      <c r="AD3699" s="4">
        <v>134</v>
      </c>
      <c r="AE3699" s="4">
        <v>139</v>
      </c>
      <c r="AF3699" s="4">
        <v>2</v>
      </c>
      <c r="AG3699" s="4">
        <v>5</v>
      </c>
      <c r="AH3699" s="4">
        <v>107</v>
      </c>
      <c r="AI3699" s="4">
        <v>109</v>
      </c>
      <c r="AJ3699" s="4">
        <v>21</v>
      </c>
      <c r="AK3699" s="4">
        <v>24</v>
      </c>
      <c r="AL3699" s="4">
        <v>54</v>
      </c>
      <c r="AM3699" s="4">
        <v>55</v>
      </c>
      <c r="AN3699" s="4">
        <v>0</v>
      </c>
      <c r="AO3699" s="4">
        <v>0</v>
      </c>
      <c r="AP3699" s="4">
        <v>38</v>
      </c>
      <c r="AQ3699" s="4">
        <v>41</v>
      </c>
      <c r="AR3699" s="3" t="s">
        <v>62</v>
      </c>
      <c r="AS3699" s="3" t="s">
        <v>62</v>
      </c>
      <c r="AT3699" s="3" t="s">
        <v>61</v>
      </c>
      <c r="AU3699" s="6" t="str">
        <f>HYPERLINK("http://catalog.hathitrust.org/Record/000253689","HathiTrust Record")</f>
        <v>HathiTrust Record</v>
      </c>
      <c r="AV3699" s="6" t="str">
        <f>HYPERLINK("http://mcgill.on.worldcat.org/oclc/3073433","Catalog Record")</f>
        <v>Catalog Record</v>
      </c>
      <c r="AW3699" s="6" t="str">
        <f>HYPERLINK("http://www.worldcat.org/oclc/3073433","WorldCat Record")</f>
        <v>WorldCat Record</v>
      </c>
      <c r="AX3699" s="3" t="s">
        <v>35731</v>
      </c>
      <c r="AY3699" s="3" t="s">
        <v>35732</v>
      </c>
      <c r="AZ3699" s="3" t="s">
        <v>35733</v>
      </c>
      <c r="BA3699" s="3" t="s">
        <v>35733</v>
      </c>
      <c r="BB3699" s="3" t="s">
        <v>35734</v>
      </c>
      <c r="BC3699" s="3" t="s">
        <v>142</v>
      </c>
      <c r="BD3699" s="3" t="s">
        <v>68</v>
      </c>
      <c r="BE3699" s="3" t="s">
        <v>35735</v>
      </c>
      <c r="BF3699" s="3" t="s">
        <v>35734</v>
      </c>
      <c r="BG3699" s="3" t="s">
        <v>35736</v>
      </c>
    </row>
    <row r="3700" spans="1:59" ht="57" x14ac:dyDescent="0.45">
      <c r="A3700" s="2" t="s">
        <v>59</v>
      </c>
      <c r="B3700" s="2" t="s">
        <v>60</v>
      </c>
      <c r="C3700" s="2" t="s">
        <v>35725</v>
      </c>
      <c r="D3700" s="2" t="s">
        <v>35726</v>
      </c>
      <c r="E3700" s="2" t="s">
        <v>35727</v>
      </c>
      <c r="G3700" s="3" t="s">
        <v>62</v>
      </c>
      <c r="I3700" s="3" t="s">
        <v>61</v>
      </c>
      <c r="J3700" s="3" t="s">
        <v>62</v>
      </c>
      <c r="K3700" s="3" t="s">
        <v>63</v>
      </c>
      <c r="L3700" s="2" t="s">
        <v>35728</v>
      </c>
      <c r="M3700" s="2" t="s">
        <v>35729</v>
      </c>
      <c r="N3700" s="3" t="s">
        <v>122</v>
      </c>
      <c r="P3700" s="3" t="s">
        <v>65</v>
      </c>
      <c r="Q3700" s="2" t="s">
        <v>35730</v>
      </c>
      <c r="R3700" s="3" t="s">
        <v>66</v>
      </c>
      <c r="S3700" s="4">
        <v>27</v>
      </c>
      <c r="T3700" s="4">
        <v>72</v>
      </c>
      <c r="U3700" s="5" t="s">
        <v>70</v>
      </c>
      <c r="V3700" s="5" t="s">
        <v>3003</v>
      </c>
      <c r="W3700" s="5" t="s">
        <v>67</v>
      </c>
      <c r="X3700" s="5" t="s">
        <v>67</v>
      </c>
      <c r="Y3700" s="4">
        <v>790</v>
      </c>
      <c r="Z3700" s="4">
        <v>51</v>
      </c>
      <c r="AA3700" s="4">
        <v>57</v>
      </c>
      <c r="AB3700" s="4">
        <v>4</v>
      </c>
      <c r="AC3700" s="4">
        <v>9</v>
      </c>
      <c r="AD3700" s="4">
        <v>134</v>
      </c>
      <c r="AE3700" s="4">
        <v>139</v>
      </c>
      <c r="AF3700" s="4">
        <v>2</v>
      </c>
      <c r="AG3700" s="4">
        <v>5</v>
      </c>
      <c r="AH3700" s="4">
        <v>107</v>
      </c>
      <c r="AI3700" s="4">
        <v>109</v>
      </c>
      <c r="AJ3700" s="4">
        <v>21</v>
      </c>
      <c r="AK3700" s="4">
        <v>24</v>
      </c>
      <c r="AL3700" s="4">
        <v>54</v>
      </c>
      <c r="AM3700" s="4">
        <v>55</v>
      </c>
      <c r="AN3700" s="4">
        <v>0</v>
      </c>
      <c r="AO3700" s="4">
        <v>0</v>
      </c>
      <c r="AP3700" s="4">
        <v>38</v>
      </c>
      <c r="AQ3700" s="4">
        <v>41</v>
      </c>
      <c r="AR3700" s="3" t="s">
        <v>62</v>
      </c>
      <c r="AS3700" s="3" t="s">
        <v>62</v>
      </c>
      <c r="AT3700" s="3" t="s">
        <v>61</v>
      </c>
      <c r="AU3700" s="6" t="str">
        <f>HYPERLINK("http://catalog.hathitrust.org/Record/000253689","HathiTrust Record")</f>
        <v>HathiTrust Record</v>
      </c>
      <c r="AV3700" s="6" t="str">
        <f>HYPERLINK("http://mcgill.on.worldcat.org/oclc/3073433","Catalog Record")</f>
        <v>Catalog Record</v>
      </c>
      <c r="AW3700" s="6" t="str">
        <f>HYPERLINK("http://www.worldcat.org/oclc/3073433","WorldCat Record")</f>
        <v>WorldCat Record</v>
      </c>
      <c r="AX3700" s="3" t="s">
        <v>35731</v>
      </c>
      <c r="AY3700" s="3" t="s">
        <v>35732</v>
      </c>
      <c r="AZ3700" s="3" t="s">
        <v>35733</v>
      </c>
      <c r="BA3700" s="3" t="s">
        <v>35733</v>
      </c>
      <c r="BB3700" s="3" t="s">
        <v>35737</v>
      </c>
      <c r="BC3700" s="3" t="s">
        <v>142</v>
      </c>
      <c r="BD3700" s="3" t="s">
        <v>68</v>
      </c>
      <c r="BE3700" s="3" t="s">
        <v>35735</v>
      </c>
      <c r="BF3700" s="3" t="s">
        <v>35737</v>
      </c>
      <c r="BG3700" s="3" t="s">
        <v>35738</v>
      </c>
    </row>
    <row r="3701" spans="1:59" ht="57" x14ac:dyDescent="0.45">
      <c r="A3701" s="2" t="s">
        <v>59</v>
      </c>
      <c r="B3701" s="2" t="s">
        <v>60</v>
      </c>
      <c r="C3701" s="2" t="s">
        <v>35739</v>
      </c>
      <c r="D3701" s="2" t="s">
        <v>35740</v>
      </c>
      <c r="E3701" s="2" t="s">
        <v>35741</v>
      </c>
      <c r="G3701" s="3" t="s">
        <v>62</v>
      </c>
      <c r="I3701" s="3" t="s">
        <v>62</v>
      </c>
      <c r="J3701" s="3" t="s">
        <v>62</v>
      </c>
      <c r="K3701" s="3" t="s">
        <v>63</v>
      </c>
      <c r="L3701" s="2" t="s">
        <v>33830</v>
      </c>
      <c r="M3701" s="2" t="s">
        <v>35742</v>
      </c>
      <c r="N3701" s="3" t="s">
        <v>1465</v>
      </c>
      <c r="P3701" s="3" t="s">
        <v>65</v>
      </c>
      <c r="Q3701" s="2" t="s">
        <v>3363</v>
      </c>
      <c r="R3701" s="3" t="s">
        <v>66</v>
      </c>
      <c r="S3701" s="4">
        <v>3</v>
      </c>
      <c r="T3701" s="4">
        <v>3</v>
      </c>
      <c r="U3701" s="5" t="s">
        <v>7393</v>
      </c>
      <c r="V3701" s="5" t="s">
        <v>7393</v>
      </c>
      <c r="W3701" s="5" t="s">
        <v>67</v>
      </c>
      <c r="X3701" s="5" t="s">
        <v>67</v>
      </c>
      <c r="Y3701" s="4">
        <v>207</v>
      </c>
      <c r="Z3701" s="4">
        <v>23</v>
      </c>
      <c r="AA3701" s="4">
        <v>85</v>
      </c>
      <c r="AB3701" s="4">
        <v>2</v>
      </c>
      <c r="AC3701" s="4">
        <v>15</v>
      </c>
      <c r="AD3701" s="4">
        <v>53</v>
      </c>
      <c r="AE3701" s="4">
        <v>103</v>
      </c>
      <c r="AF3701" s="4">
        <v>0</v>
      </c>
      <c r="AG3701" s="4">
        <v>8</v>
      </c>
      <c r="AH3701" s="4">
        <v>43</v>
      </c>
      <c r="AI3701" s="4">
        <v>69</v>
      </c>
      <c r="AJ3701" s="4">
        <v>14</v>
      </c>
      <c r="AK3701" s="4">
        <v>23</v>
      </c>
      <c r="AL3701" s="4">
        <v>21</v>
      </c>
      <c r="AM3701" s="4">
        <v>31</v>
      </c>
      <c r="AN3701" s="4">
        <v>0</v>
      </c>
      <c r="AO3701" s="4">
        <v>0</v>
      </c>
      <c r="AP3701" s="4">
        <v>19</v>
      </c>
      <c r="AQ3701" s="4">
        <v>44</v>
      </c>
      <c r="AR3701" s="3" t="s">
        <v>62</v>
      </c>
      <c r="AS3701" s="3" t="s">
        <v>62</v>
      </c>
      <c r="AT3701" s="3" t="s">
        <v>62</v>
      </c>
      <c r="AV3701" s="6" t="str">
        <f>HYPERLINK("http://mcgill.on.worldcat.org/oclc/271774538","Catalog Record")</f>
        <v>Catalog Record</v>
      </c>
      <c r="AW3701" s="6" t="str">
        <f>HYPERLINK("http://www.worldcat.org/oclc/271774538","WorldCat Record")</f>
        <v>WorldCat Record</v>
      </c>
      <c r="AX3701" s="3" t="s">
        <v>35743</v>
      </c>
      <c r="AY3701" s="3" t="s">
        <v>35744</v>
      </c>
      <c r="AZ3701" s="3" t="s">
        <v>35745</v>
      </c>
      <c r="BA3701" s="3" t="s">
        <v>35745</v>
      </c>
      <c r="BB3701" s="3" t="s">
        <v>35746</v>
      </c>
      <c r="BC3701" s="3" t="s">
        <v>142</v>
      </c>
      <c r="BD3701" s="3" t="s">
        <v>68</v>
      </c>
      <c r="BE3701" s="3" t="s">
        <v>35747</v>
      </c>
      <c r="BF3701" s="3" t="s">
        <v>35746</v>
      </c>
      <c r="BG3701" s="3" t="s">
        <v>35748</v>
      </c>
    </row>
    <row r="3702" spans="1:59" ht="57" x14ac:dyDescent="0.45">
      <c r="A3702" s="2" t="s">
        <v>59</v>
      </c>
      <c r="B3702" s="2" t="s">
        <v>60</v>
      </c>
      <c r="C3702" s="2" t="s">
        <v>35749</v>
      </c>
      <c r="D3702" s="2" t="s">
        <v>35750</v>
      </c>
      <c r="E3702" s="2" t="s">
        <v>35751</v>
      </c>
      <c r="G3702" s="3" t="s">
        <v>62</v>
      </c>
      <c r="I3702" s="3" t="s">
        <v>61</v>
      </c>
      <c r="J3702" s="3" t="s">
        <v>62</v>
      </c>
      <c r="K3702" s="3" t="s">
        <v>63</v>
      </c>
      <c r="L3702" s="2" t="s">
        <v>35752</v>
      </c>
      <c r="M3702" s="2" t="s">
        <v>35753</v>
      </c>
      <c r="N3702" s="3" t="s">
        <v>583</v>
      </c>
      <c r="P3702" s="3" t="s">
        <v>65</v>
      </c>
      <c r="R3702" s="3" t="s">
        <v>66</v>
      </c>
      <c r="S3702" s="4">
        <v>25</v>
      </c>
      <c r="T3702" s="4">
        <v>42</v>
      </c>
      <c r="U3702" s="5" t="s">
        <v>23996</v>
      </c>
      <c r="V3702" s="5" t="s">
        <v>23996</v>
      </c>
      <c r="W3702" s="5" t="s">
        <v>67</v>
      </c>
      <c r="X3702" s="5" t="s">
        <v>67</v>
      </c>
      <c r="Y3702" s="4">
        <v>908</v>
      </c>
      <c r="Z3702" s="4">
        <v>48</v>
      </c>
      <c r="AA3702" s="4">
        <v>57</v>
      </c>
      <c r="AB3702" s="4">
        <v>5</v>
      </c>
      <c r="AC3702" s="4">
        <v>13</v>
      </c>
      <c r="AD3702" s="4">
        <v>133</v>
      </c>
      <c r="AE3702" s="4">
        <v>139</v>
      </c>
      <c r="AF3702" s="4">
        <v>1</v>
      </c>
      <c r="AG3702" s="4">
        <v>6</v>
      </c>
      <c r="AH3702" s="4">
        <v>107</v>
      </c>
      <c r="AI3702" s="4">
        <v>108</v>
      </c>
      <c r="AJ3702" s="4">
        <v>20</v>
      </c>
      <c r="AK3702" s="4">
        <v>25</v>
      </c>
      <c r="AL3702" s="4">
        <v>57</v>
      </c>
      <c r="AM3702" s="4">
        <v>57</v>
      </c>
      <c r="AN3702" s="4">
        <v>0</v>
      </c>
      <c r="AO3702" s="4">
        <v>0</v>
      </c>
      <c r="AP3702" s="4">
        <v>34</v>
      </c>
      <c r="AQ3702" s="4">
        <v>39</v>
      </c>
      <c r="AR3702" s="3" t="s">
        <v>62</v>
      </c>
      <c r="AS3702" s="3" t="s">
        <v>62</v>
      </c>
      <c r="AT3702" s="3" t="s">
        <v>61</v>
      </c>
      <c r="AU3702" s="6" t="str">
        <f>HYPERLINK("http://catalog.hathitrust.org/Record/000293585","HathiTrust Record")</f>
        <v>HathiTrust Record</v>
      </c>
      <c r="AV3702" s="6" t="str">
        <f>HYPERLINK("http://mcgill.on.worldcat.org/oclc/3168351","Catalog Record")</f>
        <v>Catalog Record</v>
      </c>
      <c r="AW3702" s="6" t="str">
        <f>HYPERLINK("http://www.worldcat.org/oclc/3168351","WorldCat Record")</f>
        <v>WorldCat Record</v>
      </c>
      <c r="AX3702" s="3" t="s">
        <v>35754</v>
      </c>
      <c r="AY3702" s="3" t="s">
        <v>35755</v>
      </c>
      <c r="AZ3702" s="3" t="s">
        <v>35756</v>
      </c>
      <c r="BA3702" s="3" t="s">
        <v>35756</v>
      </c>
      <c r="BB3702" s="3" t="s">
        <v>35757</v>
      </c>
      <c r="BC3702" s="3" t="s">
        <v>142</v>
      </c>
      <c r="BD3702" s="3" t="s">
        <v>68</v>
      </c>
      <c r="BE3702" s="3" t="s">
        <v>35758</v>
      </c>
      <c r="BF3702" s="3" t="s">
        <v>35757</v>
      </c>
      <c r="BG3702" s="3" t="s">
        <v>35759</v>
      </c>
    </row>
    <row r="3703" spans="1:59" ht="57" x14ac:dyDescent="0.45">
      <c r="A3703" s="2" t="s">
        <v>59</v>
      </c>
      <c r="B3703" s="2" t="s">
        <v>60</v>
      </c>
      <c r="C3703" s="2" t="s">
        <v>35749</v>
      </c>
      <c r="D3703" s="2" t="s">
        <v>35750</v>
      </c>
      <c r="E3703" s="2" t="s">
        <v>35751</v>
      </c>
      <c r="G3703" s="3" t="s">
        <v>62</v>
      </c>
      <c r="I3703" s="3" t="s">
        <v>61</v>
      </c>
      <c r="J3703" s="3" t="s">
        <v>62</v>
      </c>
      <c r="K3703" s="3" t="s">
        <v>63</v>
      </c>
      <c r="L3703" s="2" t="s">
        <v>35752</v>
      </c>
      <c r="M3703" s="2" t="s">
        <v>35753</v>
      </c>
      <c r="N3703" s="3" t="s">
        <v>583</v>
      </c>
      <c r="P3703" s="3" t="s">
        <v>65</v>
      </c>
      <c r="R3703" s="3" t="s">
        <v>66</v>
      </c>
      <c r="S3703" s="4">
        <v>0</v>
      </c>
      <c r="T3703" s="4">
        <v>42</v>
      </c>
      <c r="V3703" s="5" t="s">
        <v>23996</v>
      </c>
      <c r="W3703" s="5" t="s">
        <v>67</v>
      </c>
      <c r="X3703" s="5" t="s">
        <v>67</v>
      </c>
      <c r="Y3703" s="4">
        <v>908</v>
      </c>
      <c r="Z3703" s="4">
        <v>48</v>
      </c>
      <c r="AA3703" s="4">
        <v>57</v>
      </c>
      <c r="AB3703" s="4">
        <v>5</v>
      </c>
      <c r="AC3703" s="4">
        <v>13</v>
      </c>
      <c r="AD3703" s="4">
        <v>133</v>
      </c>
      <c r="AE3703" s="4">
        <v>139</v>
      </c>
      <c r="AF3703" s="4">
        <v>1</v>
      </c>
      <c r="AG3703" s="4">
        <v>6</v>
      </c>
      <c r="AH3703" s="4">
        <v>107</v>
      </c>
      <c r="AI3703" s="4">
        <v>108</v>
      </c>
      <c r="AJ3703" s="4">
        <v>20</v>
      </c>
      <c r="AK3703" s="4">
        <v>25</v>
      </c>
      <c r="AL3703" s="4">
        <v>57</v>
      </c>
      <c r="AM3703" s="4">
        <v>57</v>
      </c>
      <c r="AN3703" s="4">
        <v>0</v>
      </c>
      <c r="AO3703" s="4">
        <v>0</v>
      </c>
      <c r="AP3703" s="4">
        <v>34</v>
      </c>
      <c r="AQ3703" s="4">
        <v>39</v>
      </c>
      <c r="AR3703" s="3" t="s">
        <v>62</v>
      </c>
      <c r="AS3703" s="3" t="s">
        <v>62</v>
      </c>
      <c r="AT3703" s="3" t="s">
        <v>61</v>
      </c>
      <c r="AU3703" s="6" t="str">
        <f>HYPERLINK("http://catalog.hathitrust.org/Record/000293585","HathiTrust Record")</f>
        <v>HathiTrust Record</v>
      </c>
      <c r="AV3703" s="6" t="str">
        <f>HYPERLINK("http://mcgill.on.worldcat.org/oclc/3168351","Catalog Record")</f>
        <v>Catalog Record</v>
      </c>
      <c r="AW3703" s="6" t="str">
        <f>HYPERLINK("http://www.worldcat.org/oclc/3168351","WorldCat Record")</f>
        <v>WorldCat Record</v>
      </c>
      <c r="AX3703" s="3" t="s">
        <v>35754</v>
      </c>
      <c r="AY3703" s="3" t="s">
        <v>35755</v>
      </c>
      <c r="AZ3703" s="3" t="s">
        <v>35756</v>
      </c>
      <c r="BA3703" s="3" t="s">
        <v>35756</v>
      </c>
      <c r="BB3703" s="3" t="s">
        <v>35760</v>
      </c>
      <c r="BC3703" s="3" t="s">
        <v>142</v>
      </c>
      <c r="BD3703" s="3" t="s">
        <v>68</v>
      </c>
      <c r="BE3703" s="3" t="s">
        <v>35758</v>
      </c>
      <c r="BF3703" s="3" t="s">
        <v>35760</v>
      </c>
      <c r="BG3703" s="3" t="s">
        <v>35761</v>
      </c>
    </row>
    <row r="3704" spans="1:59" ht="57" x14ac:dyDescent="0.45">
      <c r="A3704" s="2" t="s">
        <v>59</v>
      </c>
      <c r="B3704" s="2" t="s">
        <v>60</v>
      </c>
      <c r="C3704" s="2" t="s">
        <v>35749</v>
      </c>
      <c r="D3704" s="2" t="s">
        <v>35750</v>
      </c>
      <c r="E3704" s="2" t="s">
        <v>35751</v>
      </c>
      <c r="G3704" s="3" t="s">
        <v>62</v>
      </c>
      <c r="I3704" s="3" t="s">
        <v>61</v>
      </c>
      <c r="J3704" s="3" t="s">
        <v>62</v>
      </c>
      <c r="K3704" s="3" t="s">
        <v>63</v>
      </c>
      <c r="L3704" s="2" t="s">
        <v>35752</v>
      </c>
      <c r="M3704" s="2" t="s">
        <v>35753</v>
      </c>
      <c r="N3704" s="3" t="s">
        <v>583</v>
      </c>
      <c r="P3704" s="3" t="s">
        <v>65</v>
      </c>
      <c r="R3704" s="3" t="s">
        <v>66</v>
      </c>
      <c r="S3704" s="4">
        <v>0</v>
      </c>
      <c r="T3704" s="4">
        <v>42</v>
      </c>
      <c r="V3704" s="5" t="s">
        <v>23996</v>
      </c>
      <c r="W3704" s="5" t="s">
        <v>67</v>
      </c>
      <c r="X3704" s="5" t="s">
        <v>67</v>
      </c>
      <c r="Y3704" s="4">
        <v>908</v>
      </c>
      <c r="Z3704" s="4">
        <v>48</v>
      </c>
      <c r="AA3704" s="4">
        <v>57</v>
      </c>
      <c r="AB3704" s="4">
        <v>5</v>
      </c>
      <c r="AC3704" s="4">
        <v>13</v>
      </c>
      <c r="AD3704" s="4">
        <v>133</v>
      </c>
      <c r="AE3704" s="4">
        <v>139</v>
      </c>
      <c r="AF3704" s="4">
        <v>1</v>
      </c>
      <c r="AG3704" s="4">
        <v>6</v>
      </c>
      <c r="AH3704" s="4">
        <v>107</v>
      </c>
      <c r="AI3704" s="4">
        <v>108</v>
      </c>
      <c r="AJ3704" s="4">
        <v>20</v>
      </c>
      <c r="AK3704" s="4">
        <v>25</v>
      </c>
      <c r="AL3704" s="4">
        <v>57</v>
      </c>
      <c r="AM3704" s="4">
        <v>57</v>
      </c>
      <c r="AN3704" s="4">
        <v>0</v>
      </c>
      <c r="AO3704" s="4">
        <v>0</v>
      </c>
      <c r="AP3704" s="4">
        <v>34</v>
      </c>
      <c r="AQ3704" s="4">
        <v>39</v>
      </c>
      <c r="AR3704" s="3" t="s">
        <v>62</v>
      </c>
      <c r="AS3704" s="3" t="s">
        <v>62</v>
      </c>
      <c r="AT3704" s="3" t="s">
        <v>61</v>
      </c>
      <c r="AU3704" s="6" t="str">
        <f>HYPERLINK("http://catalog.hathitrust.org/Record/000293585","HathiTrust Record")</f>
        <v>HathiTrust Record</v>
      </c>
      <c r="AV3704" s="6" t="str">
        <f>HYPERLINK("http://mcgill.on.worldcat.org/oclc/3168351","Catalog Record")</f>
        <v>Catalog Record</v>
      </c>
      <c r="AW3704" s="6" t="str">
        <f>HYPERLINK("http://www.worldcat.org/oclc/3168351","WorldCat Record")</f>
        <v>WorldCat Record</v>
      </c>
      <c r="AX3704" s="3" t="s">
        <v>35754</v>
      </c>
      <c r="AY3704" s="3" t="s">
        <v>35755</v>
      </c>
      <c r="AZ3704" s="3" t="s">
        <v>35756</v>
      </c>
      <c r="BA3704" s="3" t="s">
        <v>35756</v>
      </c>
      <c r="BB3704" s="3" t="s">
        <v>35762</v>
      </c>
      <c r="BC3704" s="3" t="s">
        <v>142</v>
      </c>
      <c r="BD3704" s="3" t="s">
        <v>68</v>
      </c>
      <c r="BE3704" s="3" t="s">
        <v>35758</v>
      </c>
      <c r="BF3704" s="3" t="s">
        <v>35762</v>
      </c>
      <c r="BG3704" s="3" t="s">
        <v>35763</v>
      </c>
    </row>
    <row r="3705" spans="1:59" ht="57" x14ac:dyDescent="0.45">
      <c r="A3705" s="2" t="s">
        <v>59</v>
      </c>
      <c r="B3705" s="2" t="s">
        <v>60</v>
      </c>
      <c r="C3705" s="2" t="s">
        <v>35749</v>
      </c>
      <c r="D3705" s="2" t="s">
        <v>35750</v>
      </c>
      <c r="E3705" s="2" t="s">
        <v>35751</v>
      </c>
      <c r="G3705" s="3" t="s">
        <v>62</v>
      </c>
      <c r="I3705" s="3" t="s">
        <v>61</v>
      </c>
      <c r="J3705" s="3" t="s">
        <v>62</v>
      </c>
      <c r="K3705" s="3" t="s">
        <v>63</v>
      </c>
      <c r="L3705" s="2" t="s">
        <v>35752</v>
      </c>
      <c r="M3705" s="2" t="s">
        <v>35753</v>
      </c>
      <c r="N3705" s="3" t="s">
        <v>583</v>
      </c>
      <c r="P3705" s="3" t="s">
        <v>65</v>
      </c>
      <c r="R3705" s="3" t="s">
        <v>66</v>
      </c>
      <c r="S3705" s="4">
        <v>4</v>
      </c>
      <c r="T3705" s="4">
        <v>42</v>
      </c>
      <c r="U3705" s="5" t="s">
        <v>35561</v>
      </c>
      <c r="V3705" s="5" t="s">
        <v>23996</v>
      </c>
      <c r="W3705" s="5" t="s">
        <v>67</v>
      </c>
      <c r="X3705" s="5" t="s">
        <v>67</v>
      </c>
      <c r="Y3705" s="4">
        <v>908</v>
      </c>
      <c r="Z3705" s="4">
        <v>48</v>
      </c>
      <c r="AA3705" s="4">
        <v>57</v>
      </c>
      <c r="AB3705" s="4">
        <v>5</v>
      </c>
      <c r="AC3705" s="4">
        <v>13</v>
      </c>
      <c r="AD3705" s="4">
        <v>133</v>
      </c>
      <c r="AE3705" s="4">
        <v>139</v>
      </c>
      <c r="AF3705" s="4">
        <v>1</v>
      </c>
      <c r="AG3705" s="4">
        <v>6</v>
      </c>
      <c r="AH3705" s="4">
        <v>107</v>
      </c>
      <c r="AI3705" s="4">
        <v>108</v>
      </c>
      <c r="AJ3705" s="4">
        <v>20</v>
      </c>
      <c r="AK3705" s="4">
        <v>25</v>
      </c>
      <c r="AL3705" s="4">
        <v>57</v>
      </c>
      <c r="AM3705" s="4">
        <v>57</v>
      </c>
      <c r="AN3705" s="4">
        <v>0</v>
      </c>
      <c r="AO3705" s="4">
        <v>0</v>
      </c>
      <c r="AP3705" s="4">
        <v>34</v>
      </c>
      <c r="AQ3705" s="4">
        <v>39</v>
      </c>
      <c r="AR3705" s="3" t="s">
        <v>62</v>
      </c>
      <c r="AS3705" s="3" t="s">
        <v>62</v>
      </c>
      <c r="AT3705" s="3" t="s">
        <v>61</v>
      </c>
      <c r="AU3705" s="6" t="str">
        <f>HYPERLINK("http://catalog.hathitrust.org/Record/000293585","HathiTrust Record")</f>
        <v>HathiTrust Record</v>
      </c>
      <c r="AV3705" s="6" t="str">
        <f>HYPERLINK("http://mcgill.on.worldcat.org/oclc/3168351","Catalog Record")</f>
        <v>Catalog Record</v>
      </c>
      <c r="AW3705" s="6" t="str">
        <f>HYPERLINK("http://www.worldcat.org/oclc/3168351","WorldCat Record")</f>
        <v>WorldCat Record</v>
      </c>
      <c r="AX3705" s="3" t="s">
        <v>35754</v>
      </c>
      <c r="AY3705" s="3" t="s">
        <v>35755</v>
      </c>
      <c r="AZ3705" s="3" t="s">
        <v>35756</v>
      </c>
      <c r="BA3705" s="3" t="s">
        <v>35756</v>
      </c>
      <c r="BB3705" s="3" t="s">
        <v>35764</v>
      </c>
      <c r="BC3705" s="3" t="s">
        <v>142</v>
      </c>
      <c r="BD3705" s="3" t="s">
        <v>68</v>
      </c>
      <c r="BE3705" s="3" t="s">
        <v>35758</v>
      </c>
      <c r="BF3705" s="3" t="s">
        <v>35764</v>
      </c>
      <c r="BG3705" s="3" t="s">
        <v>35765</v>
      </c>
    </row>
    <row r="3706" spans="1:59" ht="57" x14ac:dyDescent="0.45">
      <c r="A3706" s="2" t="s">
        <v>59</v>
      </c>
      <c r="B3706" s="2" t="s">
        <v>60</v>
      </c>
      <c r="C3706" s="2" t="s">
        <v>35749</v>
      </c>
      <c r="D3706" s="2" t="s">
        <v>35750</v>
      </c>
      <c r="E3706" s="2" t="s">
        <v>35751</v>
      </c>
      <c r="G3706" s="3" t="s">
        <v>62</v>
      </c>
      <c r="I3706" s="3" t="s">
        <v>61</v>
      </c>
      <c r="J3706" s="3" t="s">
        <v>62</v>
      </c>
      <c r="K3706" s="3" t="s">
        <v>63</v>
      </c>
      <c r="L3706" s="2" t="s">
        <v>35752</v>
      </c>
      <c r="M3706" s="2" t="s">
        <v>35753</v>
      </c>
      <c r="N3706" s="3" t="s">
        <v>583</v>
      </c>
      <c r="P3706" s="3" t="s">
        <v>65</v>
      </c>
      <c r="R3706" s="3" t="s">
        <v>66</v>
      </c>
      <c r="S3706" s="4">
        <v>13</v>
      </c>
      <c r="T3706" s="4">
        <v>42</v>
      </c>
      <c r="U3706" s="5" t="s">
        <v>35766</v>
      </c>
      <c r="V3706" s="5" t="s">
        <v>23996</v>
      </c>
      <c r="W3706" s="5" t="s">
        <v>67</v>
      </c>
      <c r="X3706" s="5" t="s">
        <v>67</v>
      </c>
      <c r="Y3706" s="4">
        <v>908</v>
      </c>
      <c r="Z3706" s="4">
        <v>48</v>
      </c>
      <c r="AA3706" s="4">
        <v>57</v>
      </c>
      <c r="AB3706" s="4">
        <v>5</v>
      </c>
      <c r="AC3706" s="4">
        <v>13</v>
      </c>
      <c r="AD3706" s="4">
        <v>133</v>
      </c>
      <c r="AE3706" s="4">
        <v>139</v>
      </c>
      <c r="AF3706" s="4">
        <v>1</v>
      </c>
      <c r="AG3706" s="4">
        <v>6</v>
      </c>
      <c r="AH3706" s="4">
        <v>107</v>
      </c>
      <c r="AI3706" s="4">
        <v>108</v>
      </c>
      <c r="AJ3706" s="4">
        <v>20</v>
      </c>
      <c r="AK3706" s="4">
        <v>25</v>
      </c>
      <c r="AL3706" s="4">
        <v>57</v>
      </c>
      <c r="AM3706" s="4">
        <v>57</v>
      </c>
      <c r="AN3706" s="4">
        <v>0</v>
      </c>
      <c r="AO3706" s="4">
        <v>0</v>
      </c>
      <c r="AP3706" s="4">
        <v>34</v>
      </c>
      <c r="AQ3706" s="4">
        <v>39</v>
      </c>
      <c r="AR3706" s="3" t="s">
        <v>62</v>
      </c>
      <c r="AS3706" s="3" t="s">
        <v>62</v>
      </c>
      <c r="AT3706" s="3" t="s">
        <v>61</v>
      </c>
      <c r="AU3706" s="6" t="str">
        <f>HYPERLINK("http://catalog.hathitrust.org/Record/000293585","HathiTrust Record")</f>
        <v>HathiTrust Record</v>
      </c>
      <c r="AV3706" s="6" t="str">
        <f>HYPERLINK("http://mcgill.on.worldcat.org/oclc/3168351","Catalog Record")</f>
        <v>Catalog Record</v>
      </c>
      <c r="AW3706" s="6" t="str">
        <f>HYPERLINK("http://www.worldcat.org/oclc/3168351","WorldCat Record")</f>
        <v>WorldCat Record</v>
      </c>
      <c r="AX3706" s="3" t="s">
        <v>35754</v>
      </c>
      <c r="AY3706" s="3" t="s">
        <v>35755</v>
      </c>
      <c r="AZ3706" s="3" t="s">
        <v>35756</v>
      </c>
      <c r="BA3706" s="3" t="s">
        <v>35756</v>
      </c>
      <c r="BB3706" s="3" t="s">
        <v>35767</v>
      </c>
      <c r="BC3706" s="3" t="s">
        <v>142</v>
      </c>
      <c r="BD3706" s="3" t="s">
        <v>68</v>
      </c>
      <c r="BE3706" s="3" t="s">
        <v>35758</v>
      </c>
      <c r="BF3706" s="3" t="s">
        <v>35767</v>
      </c>
      <c r="BG3706" s="3" t="s">
        <v>35768</v>
      </c>
    </row>
    <row r="3707" spans="1:59" ht="57" x14ac:dyDescent="0.45">
      <c r="A3707" s="2" t="s">
        <v>59</v>
      </c>
      <c r="B3707" s="2" t="s">
        <v>60</v>
      </c>
      <c r="C3707" s="2" t="s">
        <v>35769</v>
      </c>
      <c r="D3707" s="2" t="s">
        <v>35770</v>
      </c>
      <c r="E3707" s="2" t="s">
        <v>35771</v>
      </c>
      <c r="G3707" s="3" t="s">
        <v>62</v>
      </c>
      <c r="I3707" s="3" t="s">
        <v>62</v>
      </c>
      <c r="J3707" s="3" t="s">
        <v>62</v>
      </c>
      <c r="K3707" s="3" t="s">
        <v>63</v>
      </c>
      <c r="L3707" s="2" t="s">
        <v>35772</v>
      </c>
      <c r="M3707" s="2" t="s">
        <v>35773</v>
      </c>
      <c r="N3707" s="3" t="s">
        <v>1212</v>
      </c>
      <c r="P3707" s="3" t="s">
        <v>65</v>
      </c>
      <c r="R3707" s="3" t="s">
        <v>66</v>
      </c>
      <c r="S3707" s="4">
        <v>20</v>
      </c>
      <c r="T3707" s="4">
        <v>20</v>
      </c>
      <c r="U3707" s="5" t="s">
        <v>2059</v>
      </c>
      <c r="V3707" s="5" t="s">
        <v>2059</v>
      </c>
      <c r="W3707" s="5" t="s">
        <v>67</v>
      </c>
      <c r="X3707" s="5" t="s">
        <v>67</v>
      </c>
      <c r="Y3707" s="4">
        <v>255</v>
      </c>
      <c r="Z3707" s="4">
        <v>12</v>
      </c>
      <c r="AA3707" s="4">
        <v>14</v>
      </c>
      <c r="AB3707" s="4">
        <v>2</v>
      </c>
      <c r="AC3707" s="4">
        <v>3</v>
      </c>
      <c r="AD3707" s="4">
        <v>96</v>
      </c>
      <c r="AE3707" s="4">
        <v>99</v>
      </c>
      <c r="AF3707" s="4">
        <v>1</v>
      </c>
      <c r="AG3707" s="4">
        <v>2</v>
      </c>
      <c r="AH3707" s="4">
        <v>90</v>
      </c>
      <c r="AI3707" s="4">
        <v>92</v>
      </c>
      <c r="AJ3707" s="4">
        <v>9</v>
      </c>
      <c r="AK3707" s="4">
        <v>11</v>
      </c>
      <c r="AL3707" s="4">
        <v>52</v>
      </c>
      <c r="AM3707" s="4">
        <v>53</v>
      </c>
      <c r="AN3707" s="4">
        <v>0</v>
      </c>
      <c r="AO3707" s="4">
        <v>0</v>
      </c>
      <c r="AP3707" s="4">
        <v>9</v>
      </c>
      <c r="AQ3707" s="4">
        <v>11</v>
      </c>
      <c r="AR3707" s="3" t="s">
        <v>62</v>
      </c>
      <c r="AS3707" s="3" t="s">
        <v>62</v>
      </c>
      <c r="AT3707" s="3" t="s">
        <v>61</v>
      </c>
      <c r="AU3707" s="6" t="str">
        <f>HYPERLINK("http://catalog.hathitrust.org/Record/004073591","HathiTrust Record")</f>
        <v>HathiTrust Record</v>
      </c>
      <c r="AV3707" s="6" t="str">
        <f>HYPERLINK("http://mcgill.on.worldcat.org/oclc/42911990","Catalog Record")</f>
        <v>Catalog Record</v>
      </c>
      <c r="AW3707" s="6" t="str">
        <f>HYPERLINK("http://www.worldcat.org/oclc/42911990","WorldCat Record")</f>
        <v>WorldCat Record</v>
      </c>
      <c r="AX3707" s="3" t="s">
        <v>35774</v>
      </c>
      <c r="AY3707" s="3" t="s">
        <v>35775</v>
      </c>
      <c r="AZ3707" s="3" t="s">
        <v>35776</v>
      </c>
      <c r="BA3707" s="3" t="s">
        <v>35776</v>
      </c>
      <c r="BB3707" s="3" t="s">
        <v>35777</v>
      </c>
      <c r="BC3707" s="3" t="s">
        <v>142</v>
      </c>
      <c r="BD3707" s="3" t="s">
        <v>68</v>
      </c>
      <c r="BE3707" s="3" t="s">
        <v>35778</v>
      </c>
      <c r="BF3707" s="3" t="s">
        <v>35777</v>
      </c>
      <c r="BG3707" s="3" t="s">
        <v>35779</v>
      </c>
    </row>
    <row r="3708" spans="1:59" ht="57" x14ac:dyDescent="0.45">
      <c r="A3708" s="2" t="s">
        <v>59</v>
      </c>
      <c r="B3708" s="2" t="s">
        <v>60</v>
      </c>
      <c r="C3708" s="2" t="s">
        <v>35780</v>
      </c>
      <c r="D3708" s="2" t="s">
        <v>35781</v>
      </c>
      <c r="E3708" s="2" t="s">
        <v>35782</v>
      </c>
      <c r="G3708" s="3" t="s">
        <v>62</v>
      </c>
      <c r="I3708" s="3" t="s">
        <v>61</v>
      </c>
      <c r="J3708" s="3" t="s">
        <v>61</v>
      </c>
      <c r="K3708" s="3" t="s">
        <v>63</v>
      </c>
      <c r="M3708" s="2" t="s">
        <v>35783</v>
      </c>
      <c r="N3708" s="3" t="s">
        <v>1155</v>
      </c>
      <c r="O3708" s="2" t="s">
        <v>35784</v>
      </c>
      <c r="P3708" s="3" t="s">
        <v>65</v>
      </c>
      <c r="Q3708" s="2" t="s">
        <v>35785</v>
      </c>
      <c r="R3708" s="3" t="s">
        <v>66</v>
      </c>
      <c r="S3708" s="4">
        <v>8</v>
      </c>
      <c r="T3708" s="4">
        <v>14</v>
      </c>
      <c r="U3708" s="5" t="s">
        <v>13206</v>
      </c>
      <c r="V3708" s="5" t="s">
        <v>13206</v>
      </c>
      <c r="W3708" s="5" t="s">
        <v>67</v>
      </c>
      <c r="X3708" s="5" t="s">
        <v>67</v>
      </c>
      <c r="Y3708" s="4">
        <v>88</v>
      </c>
      <c r="Z3708" s="4">
        <v>6</v>
      </c>
      <c r="AA3708" s="4">
        <v>68</v>
      </c>
      <c r="AB3708" s="4">
        <v>1</v>
      </c>
      <c r="AC3708" s="4">
        <v>12</v>
      </c>
      <c r="AD3708" s="4">
        <v>20</v>
      </c>
      <c r="AE3708" s="4">
        <v>131</v>
      </c>
      <c r="AF3708" s="4">
        <v>0</v>
      </c>
      <c r="AG3708" s="4">
        <v>6</v>
      </c>
      <c r="AH3708" s="4">
        <v>19</v>
      </c>
      <c r="AI3708" s="4">
        <v>102</v>
      </c>
      <c r="AJ3708" s="4">
        <v>5</v>
      </c>
      <c r="AK3708" s="4">
        <v>26</v>
      </c>
      <c r="AL3708" s="4">
        <v>11</v>
      </c>
      <c r="AM3708" s="4">
        <v>53</v>
      </c>
      <c r="AN3708" s="4">
        <v>0</v>
      </c>
      <c r="AO3708" s="4">
        <v>0</v>
      </c>
      <c r="AP3708" s="4">
        <v>5</v>
      </c>
      <c r="AQ3708" s="4">
        <v>38</v>
      </c>
      <c r="AR3708" s="3" t="s">
        <v>62</v>
      </c>
      <c r="AS3708" s="3" t="s">
        <v>62</v>
      </c>
      <c r="AT3708" s="3" t="s">
        <v>62</v>
      </c>
      <c r="AV3708" s="6" t="str">
        <f>HYPERLINK("http://mcgill.on.worldcat.org/oclc/776498038","Catalog Record")</f>
        <v>Catalog Record</v>
      </c>
      <c r="AW3708" s="6" t="str">
        <f>HYPERLINK("http://www.worldcat.org/oclc/776498038","WorldCat Record")</f>
        <v>WorldCat Record</v>
      </c>
      <c r="AX3708" s="3" t="s">
        <v>35786</v>
      </c>
      <c r="AY3708" s="3" t="s">
        <v>35787</v>
      </c>
      <c r="AZ3708" s="3" t="s">
        <v>35788</v>
      </c>
      <c r="BA3708" s="3" t="s">
        <v>35788</v>
      </c>
      <c r="BB3708" s="3" t="s">
        <v>35789</v>
      </c>
      <c r="BC3708" s="3" t="s">
        <v>142</v>
      </c>
      <c r="BD3708" s="3" t="s">
        <v>68</v>
      </c>
      <c r="BE3708" s="3" t="s">
        <v>35790</v>
      </c>
      <c r="BF3708" s="3" t="s">
        <v>35789</v>
      </c>
      <c r="BG3708" s="3" t="s">
        <v>35791</v>
      </c>
    </row>
    <row r="3709" spans="1:59" ht="57" x14ac:dyDescent="0.45">
      <c r="A3709" s="2" t="s">
        <v>59</v>
      </c>
      <c r="B3709" s="2" t="s">
        <v>60</v>
      </c>
      <c r="C3709" s="2" t="s">
        <v>35792</v>
      </c>
      <c r="D3709" s="2" t="s">
        <v>35793</v>
      </c>
      <c r="E3709" s="2" t="s">
        <v>35794</v>
      </c>
      <c r="G3709" s="3" t="s">
        <v>62</v>
      </c>
      <c r="I3709" s="3" t="s">
        <v>62</v>
      </c>
      <c r="J3709" s="3" t="s">
        <v>61</v>
      </c>
      <c r="K3709" s="3" t="s">
        <v>63</v>
      </c>
      <c r="M3709" s="2" t="s">
        <v>35795</v>
      </c>
      <c r="N3709" s="3" t="s">
        <v>195</v>
      </c>
      <c r="O3709" s="2" t="s">
        <v>906</v>
      </c>
      <c r="P3709" s="3" t="s">
        <v>65</v>
      </c>
      <c r="R3709" s="3" t="s">
        <v>66</v>
      </c>
      <c r="S3709" s="4">
        <v>18</v>
      </c>
      <c r="T3709" s="4">
        <v>18</v>
      </c>
      <c r="U3709" s="5" t="s">
        <v>35796</v>
      </c>
      <c r="V3709" s="5" t="s">
        <v>35796</v>
      </c>
      <c r="W3709" s="5" t="s">
        <v>67</v>
      </c>
      <c r="X3709" s="5" t="s">
        <v>67</v>
      </c>
      <c r="Y3709" s="4">
        <v>305</v>
      </c>
      <c r="Z3709" s="4">
        <v>19</v>
      </c>
      <c r="AA3709" s="4">
        <v>68</v>
      </c>
      <c r="AB3709" s="4">
        <v>2</v>
      </c>
      <c r="AC3709" s="4">
        <v>12</v>
      </c>
      <c r="AD3709" s="4">
        <v>77</v>
      </c>
      <c r="AE3709" s="4">
        <v>131</v>
      </c>
      <c r="AF3709" s="4">
        <v>1</v>
      </c>
      <c r="AG3709" s="4">
        <v>6</v>
      </c>
      <c r="AH3709" s="4">
        <v>68</v>
      </c>
      <c r="AI3709" s="4">
        <v>102</v>
      </c>
      <c r="AJ3709" s="4">
        <v>10</v>
      </c>
      <c r="AK3709" s="4">
        <v>26</v>
      </c>
      <c r="AL3709" s="4">
        <v>40</v>
      </c>
      <c r="AM3709" s="4">
        <v>53</v>
      </c>
      <c r="AN3709" s="4">
        <v>0</v>
      </c>
      <c r="AO3709" s="4">
        <v>0</v>
      </c>
      <c r="AP3709" s="4">
        <v>14</v>
      </c>
      <c r="AQ3709" s="4">
        <v>38</v>
      </c>
      <c r="AR3709" s="3" t="s">
        <v>62</v>
      </c>
      <c r="AS3709" s="3" t="s">
        <v>62</v>
      </c>
      <c r="AT3709" s="3" t="s">
        <v>61</v>
      </c>
      <c r="AU3709" s="6" t="str">
        <f>HYPERLINK("http://catalog.hathitrust.org/Record/007131047","HathiTrust Record")</f>
        <v>HathiTrust Record</v>
      </c>
      <c r="AV3709" s="6" t="str">
        <f>HYPERLINK("http://mcgill.on.worldcat.org/oclc/26398241","Catalog Record")</f>
        <v>Catalog Record</v>
      </c>
      <c r="AW3709" s="6" t="str">
        <f>HYPERLINK("http://www.worldcat.org/oclc/26398241","WorldCat Record")</f>
        <v>WorldCat Record</v>
      </c>
      <c r="AX3709" s="3" t="s">
        <v>35786</v>
      </c>
      <c r="AY3709" s="3" t="s">
        <v>35797</v>
      </c>
      <c r="AZ3709" s="3" t="s">
        <v>35798</v>
      </c>
      <c r="BA3709" s="3" t="s">
        <v>35798</v>
      </c>
      <c r="BB3709" s="3" t="s">
        <v>35799</v>
      </c>
      <c r="BC3709" s="3" t="s">
        <v>142</v>
      </c>
      <c r="BD3709" s="3" t="s">
        <v>68</v>
      </c>
      <c r="BE3709" s="3" t="s">
        <v>35800</v>
      </c>
      <c r="BF3709" s="3" t="s">
        <v>35799</v>
      </c>
      <c r="BG3709" s="3" t="s">
        <v>35801</v>
      </c>
    </row>
    <row r="3710" spans="1:59" ht="57" x14ac:dyDescent="0.45">
      <c r="A3710" s="2" t="s">
        <v>59</v>
      </c>
      <c r="B3710" s="2" t="s">
        <v>60</v>
      </c>
      <c r="C3710" s="2" t="s">
        <v>35802</v>
      </c>
      <c r="D3710" s="2" t="s">
        <v>35803</v>
      </c>
      <c r="E3710" s="2" t="s">
        <v>35804</v>
      </c>
      <c r="G3710" s="3" t="s">
        <v>62</v>
      </c>
      <c r="I3710" s="3" t="s">
        <v>62</v>
      </c>
      <c r="J3710" s="3" t="s">
        <v>62</v>
      </c>
      <c r="K3710" s="3" t="s">
        <v>63</v>
      </c>
      <c r="M3710" s="2" t="s">
        <v>35805</v>
      </c>
      <c r="N3710" s="3" t="s">
        <v>1604</v>
      </c>
      <c r="P3710" s="3" t="s">
        <v>65</v>
      </c>
      <c r="Q3710" s="2" t="s">
        <v>35806</v>
      </c>
      <c r="R3710" s="3" t="s">
        <v>66</v>
      </c>
      <c r="S3710" s="4">
        <v>28</v>
      </c>
      <c r="T3710" s="4">
        <v>28</v>
      </c>
      <c r="U3710" s="5" t="s">
        <v>31495</v>
      </c>
      <c r="V3710" s="5" t="s">
        <v>31495</v>
      </c>
      <c r="W3710" s="5" t="s">
        <v>67</v>
      </c>
      <c r="X3710" s="5" t="s">
        <v>67</v>
      </c>
      <c r="Y3710" s="4">
        <v>377</v>
      </c>
      <c r="Z3710" s="4">
        <v>28</v>
      </c>
      <c r="AA3710" s="4">
        <v>96</v>
      </c>
      <c r="AB3710" s="4">
        <v>1</v>
      </c>
      <c r="AC3710" s="4">
        <v>18</v>
      </c>
      <c r="AD3710" s="4">
        <v>115</v>
      </c>
      <c r="AE3710" s="4">
        <v>147</v>
      </c>
      <c r="AF3710" s="4">
        <v>0</v>
      </c>
      <c r="AG3710" s="4">
        <v>8</v>
      </c>
      <c r="AH3710" s="4">
        <v>99</v>
      </c>
      <c r="AI3710" s="4">
        <v>108</v>
      </c>
      <c r="AJ3710" s="4">
        <v>19</v>
      </c>
      <c r="AK3710" s="4">
        <v>26</v>
      </c>
      <c r="AL3710" s="4">
        <v>54</v>
      </c>
      <c r="AM3710" s="4">
        <v>56</v>
      </c>
      <c r="AN3710" s="4">
        <v>0</v>
      </c>
      <c r="AO3710" s="4">
        <v>0</v>
      </c>
      <c r="AP3710" s="4">
        <v>24</v>
      </c>
      <c r="AQ3710" s="4">
        <v>48</v>
      </c>
      <c r="AR3710" s="3" t="s">
        <v>62</v>
      </c>
      <c r="AS3710" s="3" t="s">
        <v>62</v>
      </c>
      <c r="AT3710" s="3" t="s">
        <v>62</v>
      </c>
      <c r="AV3710" s="6" t="str">
        <f>HYPERLINK("http://mcgill.on.worldcat.org/oclc/28333292","Catalog Record")</f>
        <v>Catalog Record</v>
      </c>
      <c r="AW3710" s="6" t="str">
        <f>HYPERLINK("http://www.worldcat.org/oclc/28333292","WorldCat Record")</f>
        <v>WorldCat Record</v>
      </c>
      <c r="AX3710" s="3" t="s">
        <v>35807</v>
      </c>
      <c r="AY3710" s="3" t="s">
        <v>35808</v>
      </c>
      <c r="AZ3710" s="3" t="s">
        <v>35809</v>
      </c>
      <c r="BA3710" s="3" t="s">
        <v>35809</v>
      </c>
      <c r="BB3710" s="3" t="s">
        <v>35810</v>
      </c>
      <c r="BC3710" s="3" t="s">
        <v>142</v>
      </c>
      <c r="BD3710" s="3" t="s">
        <v>68</v>
      </c>
      <c r="BE3710" s="3" t="s">
        <v>35811</v>
      </c>
      <c r="BF3710" s="3" t="s">
        <v>35810</v>
      </c>
      <c r="BG3710" s="3" t="s">
        <v>35812</v>
      </c>
    </row>
    <row r="3711" spans="1:59" ht="57" x14ac:dyDescent="0.45">
      <c r="A3711" s="2" t="s">
        <v>59</v>
      </c>
      <c r="B3711" s="2" t="s">
        <v>60</v>
      </c>
      <c r="C3711" s="2" t="s">
        <v>35813</v>
      </c>
      <c r="D3711" s="2" t="s">
        <v>35814</v>
      </c>
      <c r="E3711" s="2" t="s">
        <v>35815</v>
      </c>
      <c r="G3711" s="3" t="s">
        <v>62</v>
      </c>
      <c r="I3711" s="3" t="s">
        <v>62</v>
      </c>
      <c r="J3711" s="3" t="s">
        <v>62</v>
      </c>
      <c r="K3711" s="3" t="s">
        <v>63</v>
      </c>
      <c r="M3711" s="2" t="s">
        <v>2489</v>
      </c>
      <c r="N3711" s="3" t="s">
        <v>918</v>
      </c>
      <c r="P3711" s="3" t="s">
        <v>65</v>
      </c>
      <c r="Q3711" s="2" t="s">
        <v>35816</v>
      </c>
      <c r="R3711" s="3" t="s">
        <v>66</v>
      </c>
      <c r="S3711" s="4">
        <v>6</v>
      </c>
      <c r="T3711" s="4">
        <v>6</v>
      </c>
      <c r="U3711" s="5" t="s">
        <v>35817</v>
      </c>
      <c r="V3711" s="5" t="s">
        <v>35817</v>
      </c>
      <c r="W3711" s="5" t="s">
        <v>67</v>
      </c>
      <c r="X3711" s="5" t="s">
        <v>67</v>
      </c>
      <c r="Y3711" s="4">
        <v>124</v>
      </c>
      <c r="Z3711" s="4">
        <v>11</v>
      </c>
      <c r="AA3711" s="4">
        <v>81</v>
      </c>
      <c r="AB3711" s="4">
        <v>1</v>
      </c>
      <c r="AC3711" s="4">
        <v>14</v>
      </c>
      <c r="AD3711" s="4">
        <v>55</v>
      </c>
      <c r="AE3711" s="4">
        <v>114</v>
      </c>
      <c r="AF3711" s="4">
        <v>0</v>
      </c>
      <c r="AG3711" s="4">
        <v>8</v>
      </c>
      <c r="AH3711" s="4">
        <v>49</v>
      </c>
      <c r="AI3711" s="4">
        <v>77</v>
      </c>
      <c r="AJ3711" s="4">
        <v>8</v>
      </c>
      <c r="AK3711" s="4">
        <v>22</v>
      </c>
      <c r="AL3711" s="4">
        <v>32</v>
      </c>
      <c r="AM3711" s="4">
        <v>42</v>
      </c>
      <c r="AN3711" s="4">
        <v>0</v>
      </c>
      <c r="AO3711" s="4">
        <v>0</v>
      </c>
      <c r="AP3711" s="4">
        <v>9</v>
      </c>
      <c r="AQ3711" s="4">
        <v>43</v>
      </c>
      <c r="AR3711" s="3" t="s">
        <v>62</v>
      </c>
      <c r="AS3711" s="3" t="s">
        <v>62</v>
      </c>
      <c r="AT3711" s="3" t="s">
        <v>62</v>
      </c>
      <c r="AV3711" s="6" t="str">
        <f>HYPERLINK("http://mcgill.on.worldcat.org/oclc/51977955","Catalog Record")</f>
        <v>Catalog Record</v>
      </c>
      <c r="AW3711" s="6" t="str">
        <f>HYPERLINK("http://www.worldcat.org/oclc/51977955","WorldCat Record")</f>
        <v>WorldCat Record</v>
      </c>
      <c r="AX3711" s="3" t="s">
        <v>35818</v>
      </c>
      <c r="AY3711" s="3" t="s">
        <v>35819</v>
      </c>
      <c r="AZ3711" s="3" t="s">
        <v>35820</v>
      </c>
      <c r="BA3711" s="3" t="s">
        <v>35820</v>
      </c>
      <c r="BB3711" s="3" t="s">
        <v>35821</v>
      </c>
      <c r="BC3711" s="3" t="s">
        <v>142</v>
      </c>
      <c r="BD3711" s="3" t="s">
        <v>68</v>
      </c>
      <c r="BE3711" s="3" t="s">
        <v>35822</v>
      </c>
      <c r="BF3711" s="3" t="s">
        <v>35821</v>
      </c>
      <c r="BG3711" s="3" t="s">
        <v>35823</v>
      </c>
    </row>
    <row r="3712" spans="1:59" ht="57" x14ac:dyDescent="0.45">
      <c r="A3712" s="2" t="s">
        <v>59</v>
      </c>
      <c r="B3712" s="2" t="s">
        <v>60</v>
      </c>
      <c r="C3712" s="2" t="s">
        <v>35824</v>
      </c>
      <c r="D3712" s="2" t="s">
        <v>35825</v>
      </c>
      <c r="E3712" s="2" t="s">
        <v>35826</v>
      </c>
      <c r="G3712" s="3" t="s">
        <v>62</v>
      </c>
      <c r="I3712" s="3" t="s">
        <v>62</v>
      </c>
      <c r="J3712" s="3" t="s">
        <v>62</v>
      </c>
      <c r="K3712" s="3" t="s">
        <v>63</v>
      </c>
      <c r="M3712" s="2" t="s">
        <v>20773</v>
      </c>
      <c r="N3712" s="3" t="s">
        <v>820</v>
      </c>
      <c r="P3712" s="3" t="s">
        <v>65</v>
      </c>
      <c r="Q3712" s="2" t="s">
        <v>35827</v>
      </c>
      <c r="R3712" s="3" t="s">
        <v>66</v>
      </c>
      <c r="S3712" s="4">
        <v>4</v>
      </c>
      <c r="T3712" s="4">
        <v>4</v>
      </c>
      <c r="U3712" s="5" t="s">
        <v>137</v>
      </c>
      <c r="V3712" s="5" t="s">
        <v>137</v>
      </c>
      <c r="W3712" s="5" t="s">
        <v>67</v>
      </c>
      <c r="X3712" s="5" t="s">
        <v>67</v>
      </c>
      <c r="Y3712" s="4">
        <v>152</v>
      </c>
      <c r="Z3712" s="4">
        <v>15</v>
      </c>
      <c r="AA3712" s="4">
        <v>98</v>
      </c>
      <c r="AB3712" s="4">
        <v>2</v>
      </c>
      <c r="AC3712" s="4">
        <v>17</v>
      </c>
      <c r="AD3712" s="4">
        <v>65</v>
      </c>
      <c r="AE3712" s="4">
        <v>125</v>
      </c>
      <c r="AF3712" s="4">
        <v>1</v>
      </c>
      <c r="AG3712" s="4">
        <v>8</v>
      </c>
      <c r="AH3712" s="4">
        <v>59</v>
      </c>
      <c r="AI3712" s="4">
        <v>89</v>
      </c>
      <c r="AJ3712" s="4">
        <v>13</v>
      </c>
      <c r="AK3712" s="4">
        <v>24</v>
      </c>
      <c r="AL3712" s="4">
        <v>41</v>
      </c>
      <c r="AM3712" s="4">
        <v>49</v>
      </c>
      <c r="AN3712" s="4">
        <v>0</v>
      </c>
      <c r="AO3712" s="4">
        <v>0</v>
      </c>
      <c r="AP3712" s="4">
        <v>13</v>
      </c>
      <c r="AQ3712" s="4">
        <v>45</v>
      </c>
      <c r="AR3712" s="3" t="s">
        <v>62</v>
      </c>
      <c r="AS3712" s="3" t="s">
        <v>62</v>
      </c>
      <c r="AT3712" s="3" t="s">
        <v>62</v>
      </c>
      <c r="AV3712" s="6" t="str">
        <f>HYPERLINK("http://mcgill.on.worldcat.org/oclc/173182708","Catalog Record")</f>
        <v>Catalog Record</v>
      </c>
      <c r="AW3712" s="6" t="str">
        <f>HYPERLINK("http://www.worldcat.org/oclc/173182708","WorldCat Record")</f>
        <v>WorldCat Record</v>
      </c>
      <c r="AX3712" s="3" t="s">
        <v>35828</v>
      </c>
      <c r="AY3712" s="3" t="s">
        <v>35829</v>
      </c>
      <c r="AZ3712" s="3" t="s">
        <v>35830</v>
      </c>
      <c r="BA3712" s="3" t="s">
        <v>35830</v>
      </c>
      <c r="BB3712" s="3" t="s">
        <v>35831</v>
      </c>
      <c r="BC3712" s="3" t="s">
        <v>142</v>
      </c>
      <c r="BD3712" s="3" t="s">
        <v>68</v>
      </c>
      <c r="BE3712" s="3" t="s">
        <v>35832</v>
      </c>
      <c r="BF3712" s="3" t="s">
        <v>35831</v>
      </c>
      <c r="BG3712" s="3" t="s">
        <v>35833</v>
      </c>
    </row>
    <row r="3713" spans="1:59" ht="57" x14ac:dyDescent="0.45">
      <c r="A3713" s="2" t="s">
        <v>59</v>
      </c>
      <c r="B3713" s="2" t="s">
        <v>412</v>
      </c>
      <c r="C3713" s="2" t="s">
        <v>35834</v>
      </c>
      <c r="D3713" s="2" t="s">
        <v>35835</v>
      </c>
      <c r="E3713" s="2" t="s">
        <v>35836</v>
      </c>
      <c r="G3713" s="3" t="s">
        <v>62</v>
      </c>
      <c r="I3713" s="3" t="s">
        <v>62</v>
      </c>
      <c r="J3713" s="3" t="s">
        <v>62</v>
      </c>
      <c r="K3713" s="3" t="s">
        <v>63</v>
      </c>
      <c r="M3713" s="2" t="s">
        <v>35837</v>
      </c>
      <c r="N3713" s="3" t="s">
        <v>167</v>
      </c>
      <c r="P3713" s="3" t="s">
        <v>65</v>
      </c>
      <c r="Q3713" s="2" t="s">
        <v>35838</v>
      </c>
      <c r="R3713" s="3" t="s">
        <v>66</v>
      </c>
      <c r="S3713" s="4">
        <v>28</v>
      </c>
      <c r="T3713" s="4">
        <v>28</v>
      </c>
      <c r="U3713" s="5" t="s">
        <v>7367</v>
      </c>
      <c r="V3713" s="5" t="s">
        <v>7367</v>
      </c>
      <c r="W3713" s="5" t="s">
        <v>67</v>
      </c>
      <c r="X3713" s="5" t="s">
        <v>67</v>
      </c>
      <c r="Y3713" s="4">
        <v>361</v>
      </c>
      <c r="Z3713" s="4">
        <v>19</v>
      </c>
      <c r="AA3713" s="4">
        <v>30</v>
      </c>
      <c r="AB3713" s="4">
        <v>2</v>
      </c>
      <c r="AC3713" s="4">
        <v>9</v>
      </c>
      <c r="AD3713" s="4">
        <v>93</v>
      </c>
      <c r="AE3713" s="4">
        <v>108</v>
      </c>
      <c r="AF3713" s="4">
        <v>1</v>
      </c>
      <c r="AG3713" s="4">
        <v>4</v>
      </c>
      <c r="AH3713" s="4">
        <v>83</v>
      </c>
      <c r="AI3713" s="4">
        <v>95</v>
      </c>
      <c r="AJ3713" s="4">
        <v>13</v>
      </c>
      <c r="AK3713" s="4">
        <v>18</v>
      </c>
      <c r="AL3713" s="4">
        <v>48</v>
      </c>
      <c r="AM3713" s="4">
        <v>52</v>
      </c>
      <c r="AN3713" s="4">
        <v>0</v>
      </c>
      <c r="AO3713" s="4">
        <v>0</v>
      </c>
      <c r="AP3713" s="4">
        <v>15</v>
      </c>
      <c r="AQ3713" s="4">
        <v>19</v>
      </c>
      <c r="AR3713" s="3" t="s">
        <v>62</v>
      </c>
      <c r="AS3713" s="3" t="s">
        <v>62</v>
      </c>
      <c r="AT3713" s="3" t="s">
        <v>61</v>
      </c>
      <c r="AU3713" s="6" t="str">
        <f>HYPERLINK("http://catalog.hathitrust.org/Record/004036090","HathiTrust Record")</f>
        <v>HathiTrust Record</v>
      </c>
      <c r="AV3713" s="6" t="str">
        <f>HYPERLINK("http://mcgill.on.worldcat.org/oclc/40305584","Catalog Record")</f>
        <v>Catalog Record</v>
      </c>
      <c r="AW3713" s="6" t="str">
        <f>HYPERLINK("http://www.worldcat.org/oclc/40305584","WorldCat Record")</f>
        <v>WorldCat Record</v>
      </c>
      <c r="AX3713" s="3" t="s">
        <v>35839</v>
      </c>
      <c r="AY3713" s="3" t="s">
        <v>35840</v>
      </c>
      <c r="AZ3713" s="3" t="s">
        <v>35841</v>
      </c>
      <c r="BA3713" s="3" t="s">
        <v>35841</v>
      </c>
      <c r="BB3713" s="3" t="s">
        <v>35842</v>
      </c>
      <c r="BC3713" s="3" t="s">
        <v>142</v>
      </c>
      <c r="BD3713" s="3" t="s">
        <v>308</v>
      </c>
      <c r="BE3713" s="3" t="s">
        <v>35843</v>
      </c>
      <c r="BF3713" s="3" t="s">
        <v>35842</v>
      </c>
      <c r="BG3713" s="3" t="s">
        <v>35844</v>
      </c>
    </row>
    <row r="3714" spans="1:59" ht="57" x14ac:dyDescent="0.45">
      <c r="A3714" s="2" t="s">
        <v>59</v>
      </c>
      <c r="B3714" s="2" t="s">
        <v>60</v>
      </c>
      <c r="C3714" s="2" t="s">
        <v>35845</v>
      </c>
      <c r="D3714" s="2" t="s">
        <v>35846</v>
      </c>
      <c r="E3714" s="2" t="s">
        <v>35847</v>
      </c>
      <c r="G3714" s="3" t="s">
        <v>62</v>
      </c>
      <c r="I3714" s="3" t="s">
        <v>62</v>
      </c>
      <c r="J3714" s="3" t="s">
        <v>62</v>
      </c>
      <c r="K3714" s="3" t="s">
        <v>63</v>
      </c>
      <c r="M3714" s="2" t="s">
        <v>35848</v>
      </c>
      <c r="N3714" s="3" t="s">
        <v>820</v>
      </c>
      <c r="P3714" s="3" t="s">
        <v>65</v>
      </c>
      <c r="R3714" s="3" t="s">
        <v>66</v>
      </c>
      <c r="S3714" s="4">
        <v>1</v>
      </c>
      <c r="T3714" s="4">
        <v>1</v>
      </c>
      <c r="U3714" s="5" t="s">
        <v>9356</v>
      </c>
      <c r="V3714" s="5" t="s">
        <v>9356</v>
      </c>
      <c r="W3714" s="5" t="s">
        <v>67</v>
      </c>
      <c r="X3714" s="5" t="s">
        <v>67</v>
      </c>
      <c r="Y3714" s="4">
        <v>49</v>
      </c>
      <c r="Z3714" s="4">
        <v>9</v>
      </c>
      <c r="AA3714" s="4">
        <v>82</v>
      </c>
      <c r="AB3714" s="4">
        <v>1</v>
      </c>
      <c r="AC3714" s="4">
        <v>14</v>
      </c>
      <c r="AD3714" s="4">
        <v>25</v>
      </c>
      <c r="AE3714" s="4">
        <v>91</v>
      </c>
      <c r="AF3714" s="4">
        <v>0</v>
      </c>
      <c r="AG3714" s="4">
        <v>8</v>
      </c>
      <c r="AH3714" s="4">
        <v>21</v>
      </c>
      <c r="AI3714" s="4">
        <v>58</v>
      </c>
      <c r="AJ3714" s="4">
        <v>7</v>
      </c>
      <c r="AK3714" s="4">
        <v>21</v>
      </c>
      <c r="AL3714" s="4">
        <v>15</v>
      </c>
      <c r="AM3714" s="4">
        <v>30</v>
      </c>
      <c r="AN3714" s="4">
        <v>0</v>
      </c>
      <c r="AO3714" s="4">
        <v>0</v>
      </c>
      <c r="AP3714" s="4">
        <v>7</v>
      </c>
      <c r="AQ3714" s="4">
        <v>41</v>
      </c>
      <c r="AR3714" s="3" t="s">
        <v>62</v>
      </c>
      <c r="AS3714" s="3" t="s">
        <v>62</v>
      </c>
      <c r="AT3714" s="3" t="s">
        <v>62</v>
      </c>
      <c r="AV3714" s="6" t="str">
        <f>HYPERLINK("http://mcgill.on.worldcat.org/oclc/225819719","Catalog Record")</f>
        <v>Catalog Record</v>
      </c>
      <c r="AW3714" s="6" t="str">
        <f>HYPERLINK("http://www.worldcat.org/oclc/225819719","WorldCat Record")</f>
        <v>WorldCat Record</v>
      </c>
      <c r="AX3714" s="3" t="s">
        <v>35849</v>
      </c>
      <c r="AY3714" s="3" t="s">
        <v>35850</v>
      </c>
      <c r="AZ3714" s="3" t="s">
        <v>35851</v>
      </c>
      <c r="BA3714" s="3" t="s">
        <v>35851</v>
      </c>
      <c r="BB3714" s="3" t="s">
        <v>35852</v>
      </c>
      <c r="BC3714" s="3" t="s">
        <v>142</v>
      </c>
      <c r="BD3714" s="3" t="s">
        <v>68</v>
      </c>
      <c r="BE3714" s="3" t="s">
        <v>35853</v>
      </c>
      <c r="BF3714" s="3" t="s">
        <v>35852</v>
      </c>
      <c r="BG3714" s="3" t="s">
        <v>35854</v>
      </c>
    </row>
    <row r="3715" spans="1:59" ht="57" x14ac:dyDescent="0.45">
      <c r="A3715" s="2" t="s">
        <v>59</v>
      </c>
      <c r="B3715" s="2" t="s">
        <v>60</v>
      </c>
      <c r="C3715" s="2" t="s">
        <v>35855</v>
      </c>
      <c r="D3715" s="2" t="s">
        <v>35856</v>
      </c>
      <c r="E3715" s="2" t="s">
        <v>35857</v>
      </c>
      <c r="G3715" s="3" t="s">
        <v>62</v>
      </c>
      <c r="I3715" s="3" t="s">
        <v>62</v>
      </c>
      <c r="J3715" s="3" t="s">
        <v>62</v>
      </c>
      <c r="K3715" s="3" t="s">
        <v>63</v>
      </c>
      <c r="M3715" s="2" t="s">
        <v>1178</v>
      </c>
      <c r="N3715" s="3" t="s">
        <v>894</v>
      </c>
      <c r="P3715" s="3" t="s">
        <v>65</v>
      </c>
      <c r="Q3715" s="2" t="s">
        <v>35858</v>
      </c>
      <c r="R3715" s="3" t="s">
        <v>66</v>
      </c>
      <c r="S3715" s="4">
        <v>2</v>
      </c>
      <c r="T3715" s="4">
        <v>2</v>
      </c>
      <c r="U3715" s="5" t="s">
        <v>3927</v>
      </c>
      <c r="V3715" s="5" t="s">
        <v>3927</v>
      </c>
      <c r="W3715" s="5" t="s">
        <v>67</v>
      </c>
      <c r="X3715" s="5" t="s">
        <v>67</v>
      </c>
      <c r="Y3715" s="4">
        <v>90</v>
      </c>
      <c r="Z3715" s="4">
        <v>15</v>
      </c>
      <c r="AA3715" s="4">
        <v>116</v>
      </c>
      <c r="AB3715" s="4">
        <v>2</v>
      </c>
      <c r="AC3715" s="4">
        <v>18</v>
      </c>
      <c r="AD3715" s="4">
        <v>40</v>
      </c>
      <c r="AE3715" s="4">
        <v>121</v>
      </c>
      <c r="AF3715" s="4">
        <v>1</v>
      </c>
      <c r="AG3715" s="4">
        <v>8</v>
      </c>
      <c r="AH3715" s="4">
        <v>33</v>
      </c>
      <c r="AI3715" s="4">
        <v>79</v>
      </c>
      <c r="AJ3715" s="4">
        <v>10</v>
      </c>
      <c r="AK3715" s="4">
        <v>24</v>
      </c>
      <c r="AL3715" s="4">
        <v>20</v>
      </c>
      <c r="AM3715" s="4">
        <v>41</v>
      </c>
      <c r="AN3715" s="4">
        <v>0</v>
      </c>
      <c r="AO3715" s="4">
        <v>0</v>
      </c>
      <c r="AP3715" s="4">
        <v>12</v>
      </c>
      <c r="AQ3715" s="4">
        <v>49</v>
      </c>
      <c r="AR3715" s="3" t="s">
        <v>62</v>
      </c>
      <c r="AS3715" s="3" t="s">
        <v>62</v>
      </c>
      <c r="AT3715" s="3" t="s">
        <v>62</v>
      </c>
      <c r="AV3715" s="6" t="str">
        <f>HYPERLINK("http://mcgill.on.worldcat.org/oclc/723142829","Catalog Record")</f>
        <v>Catalog Record</v>
      </c>
      <c r="AW3715" s="6" t="str">
        <f>HYPERLINK("http://www.worldcat.org/oclc/723142829","WorldCat Record")</f>
        <v>WorldCat Record</v>
      </c>
      <c r="AX3715" s="3" t="s">
        <v>35859</v>
      </c>
      <c r="AY3715" s="3" t="s">
        <v>35860</v>
      </c>
      <c r="AZ3715" s="3" t="s">
        <v>35861</v>
      </c>
      <c r="BA3715" s="3" t="s">
        <v>35861</v>
      </c>
      <c r="BB3715" s="3" t="s">
        <v>35862</v>
      </c>
      <c r="BC3715" s="3" t="s">
        <v>142</v>
      </c>
      <c r="BD3715" s="3" t="s">
        <v>68</v>
      </c>
      <c r="BE3715" s="3" t="s">
        <v>35863</v>
      </c>
      <c r="BF3715" s="3" t="s">
        <v>35862</v>
      </c>
      <c r="BG3715" s="3" t="s">
        <v>35864</v>
      </c>
    </row>
    <row r="3716" spans="1:59" ht="57" x14ac:dyDescent="0.45">
      <c r="A3716" s="2" t="s">
        <v>59</v>
      </c>
      <c r="B3716" s="2" t="s">
        <v>60</v>
      </c>
      <c r="C3716" s="2" t="s">
        <v>35865</v>
      </c>
      <c r="D3716" s="2" t="s">
        <v>35866</v>
      </c>
      <c r="E3716" s="2" t="s">
        <v>35867</v>
      </c>
      <c r="G3716" s="3" t="s">
        <v>62</v>
      </c>
      <c r="I3716" s="3" t="s">
        <v>62</v>
      </c>
      <c r="J3716" s="3" t="s">
        <v>62</v>
      </c>
      <c r="K3716" s="3" t="s">
        <v>63</v>
      </c>
      <c r="M3716" s="2" t="s">
        <v>35868</v>
      </c>
      <c r="N3716" s="3" t="s">
        <v>149</v>
      </c>
      <c r="P3716" s="3" t="s">
        <v>65</v>
      </c>
      <c r="Q3716" s="2" t="s">
        <v>35869</v>
      </c>
      <c r="R3716" s="3" t="s">
        <v>66</v>
      </c>
      <c r="S3716" s="4">
        <v>5</v>
      </c>
      <c r="T3716" s="4">
        <v>5</v>
      </c>
      <c r="U3716" s="5" t="s">
        <v>7961</v>
      </c>
      <c r="V3716" s="5" t="s">
        <v>7961</v>
      </c>
      <c r="W3716" s="5" t="s">
        <v>67</v>
      </c>
      <c r="X3716" s="5" t="s">
        <v>67</v>
      </c>
      <c r="Y3716" s="4">
        <v>117</v>
      </c>
      <c r="Z3716" s="4">
        <v>15</v>
      </c>
      <c r="AA3716" s="4">
        <v>103</v>
      </c>
      <c r="AB3716" s="4">
        <v>2</v>
      </c>
      <c r="AC3716" s="4">
        <v>17</v>
      </c>
      <c r="AD3716" s="4">
        <v>41</v>
      </c>
      <c r="AE3716" s="4">
        <v>115</v>
      </c>
      <c r="AF3716" s="4">
        <v>1</v>
      </c>
      <c r="AG3716" s="4">
        <v>8</v>
      </c>
      <c r="AH3716" s="4">
        <v>35</v>
      </c>
      <c r="AI3716" s="4">
        <v>76</v>
      </c>
      <c r="AJ3716" s="4">
        <v>11</v>
      </c>
      <c r="AK3716" s="4">
        <v>25</v>
      </c>
      <c r="AL3716" s="4">
        <v>22</v>
      </c>
      <c r="AM3716" s="4">
        <v>39</v>
      </c>
      <c r="AN3716" s="4">
        <v>0</v>
      </c>
      <c r="AO3716" s="4">
        <v>0</v>
      </c>
      <c r="AP3716" s="4">
        <v>12</v>
      </c>
      <c r="AQ3716" s="4">
        <v>48</v>
      </c>
      <c r="AR3716" s="3" t="s">
        <v>62</v>
      </c>
      <c r="AS3716" s="3" t="s">
        <v>62</v>
      </c>
      <c r="AT3716" s="3" t="s">
        <v>62</v>
      </c>
      <c r="AV3716" s="6" t="str">
        <f>HYPERLINK("http://mcgill.on.worldcat.org/oclc/624556287","Catalog Record")</f>
        <v>Catalog Record</v>
      </c>
      <c r="AW3716" s="6" t="str">
        <f>HYPERLINK("http://www.worldcat.org/oclc/624556287","WorldCat Record")</f>
        <v>WorldCat Record</v>
      </c>
      <c r="AX3716" s="3" t="s">
        <v>35870</v>
      </c>
      <c r="AY3716" s="3" t="s">
        <v>35871</v>
      </c>
      <c r="AZ3716" s="3" t="s">
        <v>35872</v>
      </c>
      <c r="BA3716" s="3" t="s">
        <v>35872</v>
      </c>
      <c r="BB3716" s="3" t="s">
        <v>35873</v>
      </c>
      <c r="BC3716" s="3" t="s">
        <v>142</v>
      </c>
      <c r="BD3716" s="3" t="s">
        <v>308</v>
      </c>
      <c r="BE3716" s="3" t="s">
        <v>35874</v>
      </c>
      <c r="BF3716" s="3" t="s">
        <v>35873</v>
      </c>
      <c r="BG3716" s="3" t="s">
        <v>35875</v>
      </c>
    </row>
    <row r="3717" spans="1:59" ht="57" x14ac:dyDescent="0.45">
      <c r="A3717" s="2" t="s">
        <v>59</v>
      </c>
      <c r="B3717" s="2" t="s">
        <v>60</v>
      </c>
      <c r="C3717" s="2" t="s">
        <v>35876</v>
      </c>
      <c r="D3717" s="2" t="s">
        <v>35877</v>
      </c>
      <c r="E3717" s="2" t="s">
        <v>35878</v>
      </c>
      <c r="G3717" s="3" t="s">
        <v>62</v>
      </c>
      <c r="I3717" s="3" t="s">
        <v>61</v>
      </c>
      <c r="J3717" s="3" t="s">
        <v>62</v>
      </c>
      <c r="K3717" s="3" t="s">
        <v>63</v>
      </c>
      <c r="M3717" s="2" t="s">
        <v>35879</v>
      </c>
      <c r="N3717" s="3" t="s">
        <v>3160</v>
      </c>
      <c r="P3717" s="3" t="s">
        <v>65</v>
      </c>
      <c r="Q3717" s="2" t="s">
        <v>35880</v>
      </c>
      <c r="R3717" s="3" t="s">
        <v>66</v>
      </c>
      <c r="S3717" s="4">
        <v>22</v>
      </c>
      <c r="T3717" s="4">
        <v>46</v>
      </c>
      <c r="U3717" s="5" t="s">
        <v>35881</v>
      </c>
      <c r="V3717" s="5" t="s">
        <v>35881</v>
      </c>
      <c r="W3717" s="5" t="s">
        <v>67</v>
      </c>
      <c r="X3717" s="5" t="s">
        <v>67</v>
      </c>
      <c r="Y3717" s="4">
        <v>389</v>
      </c>
      <c r="Z3717" s="4">
        <v>25</v>
      </c>
      <c r="AA3717" s="4">
        <v>30</v>
      </c>
      <c r="AB3717" s="4">
        <v>2</v>
      </c>
      <c r="AC3717" s="4">
        <v>6</v>
      </c>
      <c r="AD3717" s="4">
        <v>102</v>
      </c>
      <c r="AE3717" s="4">
        <v>107</v>
      </c>
      <c r="AF3717" s="4">
        <v>1</v>
      </c>
      <c r="AG3717" s="4">
        <v>4</v>
      </c>
      <c r="AH3717" s="4">
        <v>94</v>
      </c>
      <c r="AI3717" s="4">
        <v>96</v>
      </c>
      <c r="AJ3717" s="4">
        <v>17</v>
      </c>
      <c r="AK3717" s="4">
        <v>21</v>
      </c>
      <c r="AL3717" s="4">
        <v>51</v>
      </c>
      <c r="AM3717" s="4">
        <v>51</v>
      </c>
      <c r="AN3717" s="4">
        <v>0</v>
      </c>
      <c r="AO3717" s="4">
        <v>0</v>
      </c>
      <c r="AP3717" s="4">
        <v>17</v>
      </c>
      <c r="AQ3717" s="4">
        <v>20</v>
      </c>
      <c r="AR3717" s="3" t="s">
        <v>62</v>
      </c>
      <c r="AS3717" s="3" t="s">
        <v>62</v>
      </c>
      <c r="AT3717" s="3" t="s">
        <v>61</v>
      </c>
      <c r="AU3717" s="6" t="str">
        <f>HYPERLINK("http://catalog.hathitrust.org/Record/000262548","HathiTrust Record")</f>
        <v>HathiTrust Record</v>
      </c>
      <c r="AV3717" s="6" t="str">
        <f>HYPERLINK("http://mcgill.on.worldcat.org/oclc/6487812","Catalog Record")</f>
        <v>Catalog Record</v>
      </c>
      <c r="AW3717" s="6" t="str">
        <f>HYPERLINK("http://www.worldcat.org/oclc/6487812","WorldCat Record")</f>
        <v>WorldCat Record</v>
      </c>
      <c r="AX3717" s="3" t="s">
        <v>35882</v>
      </c>
      <c r="AY3717" s="3" t="s">
        <v>35883</v>
      </c>
      <c r="AZ3717" s="3" t="s">
        <v>35884</v>
      </c>
      <c r="BA3717" s="3" t="s">
        <v>35884</v>
      </c>
      <c r="BB3717" s="3" t="s">
        <v>35885</v>
      </c>
      <c r="BC3717" s="3" t="s">
        <v>142</v>
      </c>
      <c r="BD3717" s="3" t="s">
        <v>68</v>
      </c>
      <c r="BE3717" s="3" t="s">
        <v>35886</v>
      </c>
      <c r="BF3717" s="3" t="s">
        <v>35885</v>
      </c>
      <c r="BG3717" s="3" t="s">
        <v>35887</v>
      </c>
    </row>
    <row r="3718" spans="1:59" ht="57" x14ac:dyDescent="0.45">
      <c r="A3718" s="2" t="s">
        <v>59</v>
      </c>
      <c r="B3718" s="2" t="s">
        <v>60</v>
      </c>
      <c r="C3718" s="2" t="s">
        <v>35876</v>
      </c>
      <c r="D3718" s="2" t="s">
        <v>35877</v>
      </c>
      <c r="E3718" s="2" t="s">
        <v>35878</v>
      </c>
      <c r="G3718" s="3" t="s">
        <v>62</v>
      </c>
      <c r="I3718" s="3" t="s">
        <v>61</v>
      </c>
      <c r="J3718" s="3" t="s">
        <v>62</v>
      </c>
      <c r="K3718" s="3" t="s">
        <v>63</v>
      </c>
      <c r="M3718" s="2" t="s">
        <v>35879</v>
      </c>
      <c r="N3718" s="3" t="s">
        <v>3160</v>
      </c>
      <c r="P3718" s="3" t="s">
        <v>65</v>
      </c>
      <c r="Q3718" s="2" t="s">
        <v>35880</v>
      </c>
      <c r="R3718" s="3" t="s">
        <v>66</v>
      </c>
      <c r="S3718" s="4">
        <v>24</v>
      </c>
      <c r="T3718" s="4">
        <v>46</v>
      </c>
      <c r="U3718" s="5" t="s">
        <v>10681</v>
      </c>
      <c r="V3718" s="5" t="s">
        <v>35881</v>
      </c>
      <c r="W3718" s="5" t="s">
        <v>67</v>
      </c>
      <c r="X3718" s="5" t="s">
        <v>67</v>
      </c>
      <c r="Y3718" s="4">
        <v>389</v>
      </c>
      <c r="Z3718" s="4">
        <v>25</v>
      </c>
      <c r="AA3718" s="4">
        <v>30</v>
      </c>
      <c r="AB3718" s="4">
        <v>2</v>
      </c>
      <c r="AC3718" s="4">
        <v>6</v>
      </c>
      <c r="AD3718" s="4">
        <v>102</v>
      </c>
      <c r="AE3718" s="4">
        <v>107</v>
      </c>
      <c r="AF3718" s="4">
        <v>1</v>
      </c>
      <c r="AG3718" s="4">
        <v>4</v>
      </c>
      <c r="AH3718" s="4">
        <v>94</v>
      </c>
      <c r="AI3718" s="4">
        <v>96</v>
      </c>
      <c r="AJ3718" s="4">
        <v>17</v>
      </c>
      <c r="AK3718" s="4">
        <v>21</v>
      </c>
      <c r="AL3718" s="4">
        <v>51</v>
      </c>
      <c r="AM3718" s="4">
        <v>51</v>
      </c>
      <c r="AN3718" s="4">
        <v>0</v>
      </c>
      <c r="AO3718" s="4">
        <v>0</v>
      </c>
      <c r="AP3718" s="4">
        <v>17</v>
      </c>
      <c r="AQ3718" s="4">
        <v>20</v>
      </c>
      <c r="AR3718" s="3" t="s">
        <v>62</v>
      </c>
      <c r="AS3718" s="3" t="s">
        <v>62</v>
      </c>
      <c r="AT3718" s="3" t="s">
        <v>61</v>
      </c>
      <c r="AU3718" s="6" t="str">
        <f>HYPERLINK("http://catalog.hathitrust.org/Record/000262548","HathiTrust Record")</f>
        <v>HathiTrust Record</v>
      </c>
      <c r="AV3718" s="6" t="str">
        <f>HYPERLINK("http://mcgill.on.worldcat.org/oclc/6487812","Catalog Record")</f>
        <v>Catalog Record</v>
      </c>
      <c r="AW3718" s="6" t="str">
        <f>HYPERLINK("http://www.worldcat.org/oclc/6487812","WorldCat Record")</f>
        <v>WorldCat Record</v>
      </c>
      <c r="AX3718" s="3" t="s">
        <v>35882</v>
      </c>
      <c r="AY3718" s="3" t="s">
        <v>35883</v>
      </c>
      <c r="AZ3718" s="3" t="s">
        <v>35884</v>
      </c>
      <c r="BA3718" s="3" t="s">
        <v>35884</v>
      </c>
      <c r="BB3718" s="3" t="s">
        <v>35888</v>
      </c>
      <c r="BC3718" s="3" t="s">
        <v>142</v>
      </c>
      <c r="BD3718" s="3" t="s">
        <v>68</v>
      </c>
      <c r="BE3718" s="3" t="s">
        <v>35886</v>
      </c>
      <c r="BF3718" s="3" t="s">
        <v>35888</v>
      </c>
      <c r="BG3718" s="3" t="s">
        <v>35889</v>
      </c>
    </row>
    <row r="3719" spans="1:59" ht="57" x14ac:dyDescent="0.45">
      <c r="A3719" s="2" t="s">
        <v>59</v>
      </c>
      <c r="B3719" s="2" t="s">
        <v>60</v>
      </c>
      <c r="C3719" s="2" t="s">
        <v>35890</v>
      </c>
      <c r="D3719" s="2" t="s">
        <v>35891</v>
      </c>
      <c r="E3719" s="2" t="s">
        <v>35892</v>
      </c>
      <c r="G3719" s="3" t="s">
        <v>62</v>
      </c>
      <c r="I3719" s="3" t="s">
        <v>62</v>
      </c>
      <c r="J3719" s="3" t="s">
        <v>62</v>
      </c>
      <c r="K3719" s="3" t="s">
        <v>63</v>
      </c>
      <c r="M3719" s="2" t="s">
        <v>35893</v>
      </c>
      <c r="N3719" s="3" t="s">
        <v>1604</v>
      </c>
      <c r="P3719" s="3" t="s">
        <v>65</v>
      </c>
      <c r="R3719" s="3" t="s">
        <v>66</v>
      </c>
      <c r="S3719" s="4">
        <v>50</v>
      </c>
      <c r="T3719" s="4">
        <v>50</v>
      </c>
      <c r="U3719" s="5" t="s">
        <v>464</v>
      </c>
      <c r="V3719" s="5" t="s">
        <v>464</v>
      </c>
      <c r="W3719" s="5" t="s">
        <v>67</v>
      </c>
      <c r="X3719" s="5" t="s">
        <v>67</v>
      </c>
      <c r="Y3719" s="4">
        <v>194</v>
      </c>
      <c r="Z3719" s="4">
        <v>13</v>
      </c>
      <c r="AA3719" s="4">
        <v>14</v>
      </c>
      <c r="AB3719" s="4">
        <v>2</v>
      </c>
      <c r="AC3719" s="4">
        <v>3</v>
      </c>
      <c r="AD3719" s="4">
        <v>60</v>
      </c>
      <c r="AE3719" s="4">
        <v>61</v>
      </c>
      <c r="AF3719" s="4">
        <v>1</v>
      </c>
      <c r="AG3719" s="4">
        <v>2</v>
      </c>
      <c r="AH3719" s="4">
        <v>56</v>
      </c>
      <c r="AI3719" s="4">
        <v>56</v>
      </c>
      <c r="AJ3719" s="4">
        <v>10</v>
      </c>
      <c r="AK3719" s="4">
        <v>11</v>
      </c>
      <c r="AL3719" s="4">
        <v>28</v>
      </c>
      <c r="AM3719" s="4">
        <v>28</v>
      </c>
      <c r="AN3719" s="4">
        <v>0</v>
      </c>
      <c r="AO3719" s="4">
        <v>0</v>
      </c>
      <c r="AP3719" s="4">
        <v>11</v>
      </c>
      <c r="AQ3719" s="4">
        <v>11</v>
      </c>
      <c r="AR3719" s="3" t="s">
        <v>62</v>
      </c>
      <c r="AS3719" s="3" t="s">
        <v>62</v>
      </c>
      <c r="AT3719" s="3" t="s">
        <v>61</v>
      </c>
      <c r="AU3719" s="6" t="str">
        <f>HYPERLINK("http://catalog.hathitrust.org/Record/006765124","HathiTrust Record")</f>
        <v>HathiTrust Record</v>
      </c>
      <c r="AV3719" s="6" t="str">
        <f>HYPERLINK("http://mcgill.on.worldcat.org/oclc/28506601","Catalog Record")</f>
        <v>Catalog Record</v>
      </c>
      <c r="AW3719" s="6" t="str">
        <f>HYPERLINK("http://www.worldcat.org/oclc/28506601","WorldCat Record")</f>
        <v>WorldCat Record</v>
      </c>
      <c r="AX3719" s="3" t="s">
        <v>35894</v>
      </c>
      <c r="AY3719" s="3" t="s">
        <v>35895</v>
      </c>
      <c r="AZ3719" s="3" t="s">
        <v>35896</v>
      </c>
      <c r="BA3719" s="3" t="s">
        <v>35896</v>
      </c>
      <c r="BB3719" s="3" t="s">
        <v>35897</v>
      </c>
      <c r="BC3719" s="3" t="s">
        <v>142</v>
      </c>
      <c r="BD3719" s="3" t="s">
        <v>68</v>
      </c>
      <c r="BE3719" s="3" t="s">
        <v>35898</v>
      </c>
      <c r="BF3719" s="3" t="s">
        <v>35897</v>
      </c>
      <c r="BG3719" s="3" t="s">
        <v>35899</v>
      </c>
    </row>
    <row r="3720" spans="1:59" ht="57" x14ac:dyDescent="0.45">
      <c r="A3720" s="2" t="s">
        <v>59</v>
      </c>
      <c r="B3720" s="2" t="s">
        <v>60</v>
      </c>
      <c r="C3720" s="2" t="s">
        <v>35900</v>
      </c>
      <c r="D3720" s="2" t="s">
        <v>35901</v>
      </c>
      <c r="E3720" s="2" t="s">
        <v>35902</v>
      </c>
      <c r="G3720" s="3" t="s">
        <v>62</v>
      </c>
      <c r="I3720" s="3" t="s">
        <v>62</v>
      </c>
      <c r="J3720" s="3" t="s">
        <v>62</v>
      </c>
      <c r="K3720" s="3" t="s">
        <v>63</v>
      </c>
      <c r="L3720" s="2" t="s">
        <v>35903</v>
      </c>
      <c r="M3720" s="2" t="s">
        <v>35904</v>
      </c>
      <c r="N3720" s="3" t="s">
        <v>1604</v>
      </c>
      <c r="P3720" s="3" t="s">
        <v>65</v>
      </c>
      <c r="R3720" s="3" t="s">
        <v>66</v>
      </c>
      <c r="S3720" s="4">
        <v>8</v>
      </c>
      <c r="T3720" s="4">
        <v>8</v>
      </c>
      <c r="U3720" s="5" t="s">
        <v>7625</v>
      </c>
      <c r="V3720" s="5" t="s">
        <v>7625</v>
      </c>
      <c r="W3720" s="5" t="s">
        <v>67</v>
      </c>
      <c r="X3720" s="5" t="s">
        <v>67</v>
      </c>
      <c r="Y3720" s="4">
        <v>14</v>
      </c>
      <c r="Z3720" s="4">
        <v>1</v>
      </c>
      <c r="AA3720" s="4">
        <v>1</v>
      </c>
      <c r="AB3720" s="4">
        <v>1</v>
      </c>
      <c r="AC3720" s="4">
        <v>1</v>
      </c>
      <c r="AD3720" s="4">
        <v>7</v>
      </c>
      <c r="AE3720" s="4">
        <v>7</v>
      </c>
      <c r="AF3720" s="4">
        <v>0</v>
      </c>
      <c r="AG3720" s="4">
        <v>0</v>
      </c>
      <c r="AH3720" s="4">
        <v>6</v>
      </c>
      <c r="AI3720" s="4">
        <v>6</v>
      </c>
      <c r="AJ3720" s="4">
        <v>0</v>
      </c>
      <c r="AK3720" s="4">
        <v>0</v>
      </c>
      <c r="AL3720" s="4">
        <v>6</v>
      </c>
      <c r="AM3720" s="4">
        <v>6</v>
      </c>
      <c r="AN3720" s="4">
        <v>0</v>
      </c>
      <c r="AO3720" s="4">
        <v>0</v>
      </c>
      <c r="AP3720" s="4">
        <v>0</v>
      </c>
      <c r="AQ3720" s="4">
        <v>0</v>
      </c>
      <c r="AR3720" s="3" t="s">
        <v>62</v>
      </c>
      <c r="AS3720" s="3" t="s">
        <v>62</v>
      </c>
      <c r="AT3720" s="3" t="s">
        <v>62</v>
      </c>
      <c r="AV3720" s="6" t="str">
        <f>HYPERLINK("http://mcgill.on.worldcat.org/oclc/36915941","Catalog Record")</f>
        <v>Catalog Record</v>
      </c>
      <c r="AW3720" s="6" t="str">
        <f>HYPERLINK("http://www.worldcat.org/oclc/36915941","WorldCat Record")</f>
        <v>WorldCat Record</v>
      </c>
      <c r="AX3720" s="3" t="s">
        <v>35905</v>
      </c>
      <c r="AY3720" s="3" t="s">
        <v>35906</v>
      </c>
      <c r="AZ3720" s="3" t="s">
        <v>35907</v>
      </c>
      <c r="BA3720" s="3" t="s">
        <v>35907</v>
      </c>
      <c r="BB3720" s="3" t="s">
        <v>35908</v>
      </c>
      <c r="BC3720" s="3" t="s">
        <v>104</v>
      </c>
      <c r="BD3720" s="3" t="s">
        <v>68</v>
      </c>
      <c r="BE3720" s="3" t="s">
        <v>35909</v>
      </c>
      <c r="BF3720" s="3" t="s">
        <v>35908</v>
      </c>
      <c r="BG3720" s="3" t="s">
        <v>35910</v>
      </c>
    </row>
    <row r="3721" spans="1:59" ht="57" x14ac:dyDescent="0.45">
      <c r="A3721" s="2" t="s">
        <v>59</v>
      </c>
      <c r="B3721" s="2" t="s">
        <v>60</v>
      </c>
      <c r="C3721" s="2" t="s">
        <v>35911</v>
      </c>
      <c r="D3721" s="2" t="s">
        <v>35912</v>
      </c>
      <c r="E3721" s="2" t="s">
        <v>35913</v>
      </c>
      <c r="G3721" s="3" t="s">
        <v>62</v>
      </c>
      <c r="I3721" s="3" t="s">
        <v>62</v>
      </c>
      <c r="J3721" s="3" t="s">
        <v>62</v>
      </c>
      <c r="K3721" s="3" t="s">
        <v>63</v>
      </c>
      <c r="M3721" s="2" t="s">
        <v>35914</v>
      </c>
      <c r="N3721" s="3" t="s">
        <v>1253</v>
      </c>
      <c r="P3721" s="3" t="s">
        <v>65</v>
      </c>
      <c r="Q3721" s="2" t="s">
        <v>35915</v>
      </c>
      <c r="R3721" s="3" t="s">
        <v>66</v>
      </c>
      <c r="S3721" s="4">
        <v>34</v>
      </c>
      <c r="T3721" s="4">
        <v>34</v>
      </c>
      <c r="U3721" s="5" t="s">
        <v>28865</v>
      </c>
      <c r="V3721" s="5" t="s">
        <v>28865</v>
      </c>
      <c r="W3721" s="5" t="s">
        <v>67</v>
      </c>
      <c r="X3721" s="5" t="s">
        <v>67</v>
      </c>
      <c r="Y3721" s="4">
        <v>195</v>
      </c>
      <c r="Z3721" s="4">
        <v>13</v>
      </c>
      <c r="AA3721" s="4">
        <v>96</v>
      </c>
      <c r="AB3721" s="4">
        <v>1</v>
      </c>
      <c r="AC3721" s="4">
        <v>17</v>
      </c>
      <c r="AD3721" s="4">
        <v>75</v>
      </c>
      <c r="AE3721" s="4">
        <v>130</v>
      </c>
      <c r="AF3721" s="4">
        <v>0</v>
      </c>
      <c r="AG3721" s="4">
        <v>8</v>
      </c>
      <c r="AH3721" s="4">
        <v>68</v>
      </c>
      <c r="AI3721" s="4">
        <v>94</v>
      </c>
      <c r="AJ3721" s="4">
        <v>11</v>
      </c>
      <c r="AK3721" s="4">
        <v>23</v>
      </c>
      <c r="AL3721" s="4">
        <v>45</v>
      </c>
      <c r="AM3721" s="4">
        <v>51</v>
      </c>
      <c r="AN3721" s="4">
        <v>0</v>
      </c>
      <c r="AO3721" s="4">
        <v>0</v>
      </c>
      <c r="AP3721" s="4">
        <v>11</v>
      </c>
      <c r="AQ3721" s="4">
        <v>44</v>
      </c>
      <c r="AR3721" s="3" t="s">
        <v>62</v>
      </c>
      <c r="AS3721" s="3" t="s">
        <v>62</v>
      </c>
      <c r="AT3721" s="3" t="s">
        <v>61</v>
      </c>
      <c r="AU3721" s="6" t="str">
        <f>HYPERLINK("http://catalog.hathitrust.org/Record/007138200","HathiTrust Record")</f>
        <v>HathiTrust Record</v>
      </c>
      <c r="AV3721" s="6" t="str">
        <f>HYPERLINK("http://mcgill.on.worldcat.org/oclc/37011372","Catalog Record")</f>
        <v>Catalog Record</v>
      </c>
      <c r="AW3721" s="6" t="str">
        <f>HYPERLINK("http://www.worldcat.org/oclc/37011372","WorldCat Record")</f>
        <v>WorldCat Record</v>
      </c>
      <c r="AX3721" s="3" t="s">
        <v>35916</v>
      </c>
      <c r="AY3721" s="3" t="s">
        <v>35917</v>
      </c>
      <c r="AZ3721" s="3" t="s">
        <v>35918</v>
      </c>
      <c r="BA3721" s="3" t="s">
        <v>35918</v>
      </c>
      <c r="BB3721" s="3" t="s">
        <v>35919</v>
      </c>
      <c r="BC3721" s="3" t="s">
        <v>142</v>
      </c>
      <c r="BD3721" s="3" t="s">
        <v>68</v>
      </c>
      <c r="BE3721" s="3" t="s">
        <v>35920</v>
      </c>
      <c r="BF3721" s="3" t="s">
        <v>35919</v>
      </c>
      <c r="BG3721" s="3" t="s">
        <v>35921</v>
      </c>
    </row>
    <row r="3722" spans="1:59" ht="57" x14ac:dyDescent="0.45">
      <c r="A3722" s="2" t="s">
        <v>59</v>
      </c>
      <c r="B3722" s="2" t="s">
        <v>60</v>
      </c>
      <c r="C3722" s="2" t="s">
        <v>35922</v>
      </c>
      <c r="D3722" s="2" t="s">
        <v>35923</v>
      </c>
      <c r="E3722" s="2" t="s">
        <v>35924</v>
      </c>
      <c r="G3722" s="3" t="s">
        <v>62</v>
      </c>
      <c r="I3722" s="3" t="s">
        <v>62</v>
      </c>
      <c r="J3722" s="3" t="s">
        <v>62</v>
      </c>
      <c r="K3722" s="3" t="s">
        <v>63</v>
      </c>
      <c r="L3722" s="2" t="s">
        <v>35925</v>
      </c>
      <c r="M3722" s="2" t="s">
        <v>35926</v>
      </c>
      <c r="N3722" s="3" t="s">
        <v>125</v>
      </c>
      <c r="P3722" s="3" t="s">
        <v>65</v>
      </c>
      <c r="R3722" s="3" t="s">
        <v>66</v>
      </c>
      <c r="S3722" s="4">
        <v>12</v>
      </c>
      <c r="T3722" s="4">
        <v>12</v>
      </c>
      <c r="U3722" s="5" t="s">
        <v>1241</v>
      </c>
      <c r="V3722" s="5" t="s">
        <v>1241</v>
      </c>
      <c r="W3722" s="5" t="s">
        <v>67</v>
      </c>
      <c r="X3722" s="5" t="s">
        <v>67</v>
      </c>
      <c r="Y3722" s="4">
        <v>219</v>
      </c>
      <c r="Z3722" s="4">
        <v>19</v>
      </c>
      <c r="AA3722" s="4">
        <v>21</v>
      </c>
      <c r="AB3722" s="4">
        <v>1</v>
      </c>
      <c r="AC3722" s="4">
        <v>2</v>
      </c>
      <c r="AD3722" s="4">
        <v>55</v>
      </c>
      <c r="AE3722" s="4">
        <v>57</v>
      </c>
      <c r="AF3722" s="4">
        <v>0</v>
      </c>
      <c r="AG3722" s="4">
        <v>1</v>
      </c>
      <c r="AH3722" s="4">
        <v>48</v>
      </c>
      <c r="AI3722" s="4">
        <v>49</v>
      </c>
      <c r="AJ3722" s="4">
        <v>10</v>
      </c>
      <c r="AK3722" s="4">
        <v>11</v>
      </c>
      <c r="AL3722" s="4">
        <v>20</v>
      </c>
      <c r="AM3722" s="4">
        <v>21</v>
      </c>
      <c r="AN3722" s="4">
        <v>0</v>
      </c>
      <c r="AO3722" s="4">
        <v>0</v>
      </c>
      <c r="AP3722" s="4">
        <v>13</v>
      </c>
      <c r="AQ3722" s="4">
        <v>14</v>
      </c>
      <c r="AR3722" s="3" t="s">
        <v>62</v>
      </c>
      <c r="AS3722" s="3" t="s">
        <v>62</v>
      </c>
      <c r="AT3722" s="3" t="s">
        <v>61</v>
      </c>
      <c r="AU3722" s="6" t="str">
        <f>HYPERLINK("http://catalog.hathitrust.org/Record/002238139","HathiTrust Record")</f>
        <v>HathiTrust Record</v>
      </c>
      <c r="AV3722" s="6" t="str">
        <f>HYPERLINK("http://mcgill.on.worldcat.org/oclc/21194745","Catalog Record")</f>
        <v>Catalog Record</v>
      </c>
      <c r="AW3722" s="6" t="str">
        <f>HYPERLINK("http://www.worldcat.org/oclc/21194745","WorldCat Record")</f>
        <v>WorldCat Record</v>
      </c>
      <c r="AX3722" s="3" t="s">
        <v>35927</v>
      </c>
      <c r="AY3722" s="3" t="s">
        <v>35928</v>
      </c>
      <c r="AZ3722" s="3" t="s">
        <v>35929</v>
      </c>
      <c r="BA3722" s="3" t="s">
        <v>35929</v>
      </c>
      <c r="BB3722" s="3" t="s">
        <v>35930</v>
      </c>
      <c r="BC3722" s="3" t="s">
        <v>142</v>
      </c>
      <c r="BD3722" s="3" t="s">
        <v>68</v>
      </c>
      <c r="BE3722" s="3" t="s">
        <v>35931</v>
      </c>
      <c r="BF3722" s="3" t="s">
        <v>35930</v>
      </c>
      <c r="BG3722" s="3" t="s">
        <v>35932</v>
      </c>
    </row>
    <row r="3723" spans="1:59" ht="57" x14ac:dyDescent="0.45">
      <c r="A3723" s="2" t="s">
        <v>59</v>
      </c>
      <c r="B3723" s="2" t="s">
        <v>60</v>
      </c>
      <c r="C3723" s="2" t="s">
        <v>35933</v>
      </c>
      <c r="D3723" s="2" t="s">
        <v>35934</v>
      </c>
      <c r="E3723" s="2" t="s">
        <v>35935</v>
      </c>
      <c r="G3723" s="3" t="s">
        <v>62</v>
      </c>
      <c r="I3723" s="3" t="s">
        <v>62</v>
      </c>
      <c r="J3723" s="3" t="s">
        <v>62</v>
      </c>
      <c r="K3723" s="3" t="s">
        <v>63</v>
      </c>
      <c r="L3723" s="2" t="s">
        <v>35936</v>
      </c>
      <c r="M3723" s="2" t="s">
        <v>28050</v>
      </c>
      <c r="N3723" s="3" t="s">
        <v>149</v>
      </c>
      <c r="P3723" s="3" t="s">
        <v>65</v>
      </c>
      <c r="R3723" s="3" t="s">
        <v>66</v>
      </c>
      <c r="S3723" s="4">
        <v>1</v>
      </c>
      <c r="T3723" s="4">
        <v>1</v>
      </c>
      <c r="U3723" s="5" t="s">
        <v>35817</v>
      </c>
      <c r="V3723" s="5" t="s">
        <v>35817</v>
      </c>
      <c r="W3723" s="5" t="s">
        <v>67</v>
      </c>
      <c r="X3723" s="5" t="s">
        <v>67</v>
      </c>
      <c r="Y3723" s="4">
        <v>46</v>
      </c>
      <c r="Z3723" s="4">
        <v>5</v>
      </c>
      <c r="AA3723" s="4">
        <v>72</v>
      </c>
      <c r="AB3723" s="4">
        <v>1</v>
      </c>
      <c r="AC3723" s="4">
        <v>14</v>
      </c>
      <c r="AD3723" s="4">
        <v>22</v>
      </c>
      <c r="AE3723" s="4">
        <v>87</v>
      </c>
      <c r="AF3723" s="4">
        <v>0</v>
      </c>
      <c r="AG3723" s="4">
        <v>8</v>
      </c>
      <c r="AH3723" s="4">
        <v>21</v>
      </c>
      <c r="AI3723" s="4">
        <v>56</v>
      </c>
      <c r="AJ3723" s="4">
        <v>4</v>
      </c>
      <c r="AK3723" s="4">
        <v>16</v>
      </c>
      <c r="AL3723" s="4">
        <v>15</v>
      </c>
      <c r="AM3723" s="4">
        <v>31</v>
      </c>
      <c r="AN3723" s="4">
        <v>0</v>
      </c>
      <c r="AO3723" s="4">
        <v>0</v>
      </c>
      <c r="AP3723" s="4">
        <v>4</v>
      </c>
      <c r="AQ3723" s="4">
        <v>36</v>
      </c>
      <c r="AR3723" s="3" t="s">
        <v>62</v>
      </c>
      <c r="AS3723" s="3" t="s">
        <v>62</v>
      </c>
      <c r="AT3723" s="3" t="s">
        <v>62</v>
      </c>
      <c r="AV3723" s="6" t="str">
        <f>HYPERLINK("http://mcgill.on.worldcat.org/oclc/656784478","Catalog Record")</f>
        <v>Catalog Record</v>
      </c>
      <c r="AW3723" s="6" t="str">
        <f>HYPERLINK("http://www.worldcat.org/oclc/656784478","WorldCat Record")</f>
        <v>WorldCat Record</v>
      </c>
      <c r="AX3723" s="3" t="s">
        <v>35937</v>
      </c>
      <c r="AY3723" s="3" t="s">
        <v>35938</v>
      </c>
      <c r="AZ3723" s="3" t="s">
        <v>35939</v>
      </c>
      <c r="BA3723" s="3" t="s">
        <v>35939</v>
      </c>
      <c r="BB3723" s="3" t="s">
        <v>35940</v>
      </c>
      <c r="BC3723" s="3" t="s">
        <v>142</v>
      </c>
      <c r="BD3723" s="3" t="s">
        <v>68</v>
      </c>
      <c r="BE3723" s="3" t="s">
        <v>35941</v>
      </c>
      <c r="BF3723" s="3" t="s">
        <v>35940</v>
      </c>
      <c r="BG3723" s="3" t="s">
        <v>35942</v>
      </c>
    </row>
    <row r="3724" spans="1:59" ht="57" x14ac:dyDescent="0.45">
      <c r="A3724" s="2" t="s">
        <v>59</v>
      </c>
      <c r="B3724" s="2" t="s">
        <v>60</v>
      </c>
      <c r="C3724" s="2" t="s">
        <v>35943</v>
      </c>
      <c r="D3724" s="2" t="s">
        <v>35944</v>
      </c>
      <c r="E3724" s="2" t="s">
        <v>35782</v>
      </c>
      <c r="G3724" s="3" t="s">
        <v>62</v>
      </c>
      <c r="I3724" s="3" t="s">
        <v>61</v>
      </c>
      <c r="J3724" s="3" t="s">
        <v>61</v>
      </c>
      <c r="K3724" s="3" t="s">
        <v>63</v>
      </c>
      <c r="M3724" s="2" t="s">
        <v>35945</v>
      </c>
      <c r="N3724" s="3" t="s">
        <v>1465</v>
      </c>
      <c r="O3724" s="2" t="s">
        <v>15116</v>
      </c>
      <c r="P3724" s="3" t="s">
        <v>65</v>
      </c>
      <c r="R3724" s="3" t="s">
        <v>66</v>
      </c>
      <c r="S3724" s="4">
        <v>20</v>
      </c>
      <c r="T3724" s="4">
        <v>25</v>
      </c>
      <c r="U3724" s="5" t="s">
        <v>1381</v>
      </c>
      <c r="V3724" s="5" t="s">
        <v>1381</v>
      </c>
      <c r="W3724" s="5" t="s">
        <v>67</v>
      </c>
      <c r="X3724" s="5" t="s">
        <v>67</v>
      </c>
      <c r="Y3724" s="4">
        <v>149</v>
      </c>
      <c r="Z3724" s="4">
        <v>15</v>
      </c>
      <c r="AA3724" s="4">
        <v>68</v>
      </c>
      <c r="AB3724" s="4">
        <v>2</v>
      </c>
      <c r="AC3724" s="4">
        <v>12</v>
      </c>
      <c r="AD3724" s="4">
        <v>29</v>
      </c>
      <c r="AE3724" s="4">
        <v>131</v>
      </c>
      <c r="AF3724" s="4">
        <v>1</v>
      </c>
      <c r="AG3724" s="4">
        <v>6</v>
      </c>
      <c r="AH3724" s="4">
        <v>27</v>
      </c>
      <c r="AI3724" s="4">
        <v>102</v>
      </c>
      <c r="AJ3724" s="4">
        <v>8</v>
      </c>
      <c r="AK3724" s="4">
        <v>26</v>
      </c>
      <c r="AL3724" s="4">
        <v>17</v>
      </c>
      <c r="AM3724" s="4">
        <v>53</v>
      </c>
      <c r="AN3724" s="4">
        <v>0</v>
      </c>
      <c r="AO3724" s="4">
        <v>0</v>
      </c>
      <c r="AP3724" s="4">
        <v>8</v>
      </c>
      <c r="AQ3724" s="4">
        <v>38</v>
      </c>
      <c r="AR3724" s="3" t="s">
        <v>62</v>
      </c>
      <c r="AS3724" s="3" t="s">
        <v>62</v>
      </c>
      <c r="AT3724" s="3" t="s">
        <v>61</v>
      </c>
      <c r="AU3724" s="6" t="str">
        <f>HYPERLINK("http://catalog.hathitrust.org/Record/009802242","HathiTrust Record")</f>
        <v>HathiTrust Record</v>
      </c>
      <c r="AV3724" s="6" t="str">
        <f>HYPERLINK("http://mcgill.on.worldcat.org/oclc/173509407","Catalog Record")</f>
        <v>Catalog Record</v>
      </c>
      <c r="AW3724" s="6" t="str">
        <f>HYPERLINK("http://www.worldcat.org/oclc/173509407","WorldCat Record")</f>
        <v>WorldCat Record</v>
      </c>
      <c r="AX3724" s="3" t="s">
        <v>35786</v>
      </c>
      <c r="AY3724" s="3" t="s">
        <v>35946</v>
      </c>
      <c r="AZ3724" s="3" t="s">
        <v>35947</v>
      </c>
      <c r="BA3724" s="3" t="s">
        <v>35947</v>
      </c>
      <c r="BB3724" s="3" t="s">
        <v>35948</v>
      </c>
      <c r="BC3724" s="3" t="s">
        <v>142</v>
      </c>
      <c r="BD3724" s="3" t="s">
        <v>68</v>
      </c>
      <c r="BE3724" s="3" t="s">
        <v>35949</v>
      </c>
      <c r="BF3724" s="3" t="s">
        <v>35948</v>
      </c>
      <c r="BG3724" s="3" t="s">
        <v>35950</v>
      </c>
    </row>
    <row r="3725" spans="1:59" ht="57" x14ac:dyDescent="0.45">
      <c r="A3725" s="2" t="s">
        <v>13313</v>
      </c>
      <c r="B3725" s="2" t="s">
        <v>60</v>
      </c>
      <c r="C3725" s="2" t="s">
        <v>35943</v>
      </c>
      <c r="D3725" s="2" t="s">
        <v>35944</v>
      </c>
      <c r="E3725" s="2" t="s">
        <v>35782</v>
      </c>
      <c r="G3725" s="3" t="s">
        <v>62</v>
      </c>
      <c r="I3725" s="3" t="s">
        <v>61</v>
      </c>
      <c r="J3725" s="3" t="s">
        <v>61</v>
      </c>
      <c r="K3725" s="3" t="s">
        <v>63</v>
      </c>
      <c r="M3725" s="2" t="s">
        <v>35945</v>
      </c>
      <c r="N3725" s="3" t="s">
        <v>1465</v>
      </c>
      <c r="O3725" s="2" t="s">
        <v>15116</v>
      </c>
      <c r="P3725" s="3" t="s">
        <v>65</v>
      </c>
      <c r="R3725" s="3" t="s">
        <v>66</v>
      </c>
      <c r="S3725" s="4">
        <v>5</v>
      </c>
      <c r="T3725" s="4">
        <v>25</v>
      </c>
      <c r="U3725" s="5" t="s">
        <v>222</v>
      </c>
      <c r="V3725" s="5" t="s">
        <v>1381</v>
      </c>
      <c r="W3725" s="5" t="s">
        <v>67</v>
      </c>
      <c r="X3725" s="5" t="s">
        <v>67</v>
      </c>
      <c r="Y3725" s="4">
        <v>149</v>
      </c>
      <c r="Z3725" s="4">
        <v>15</v>
      </c>
      <c r="AA3725" s="4">
        <v>68</v>
      </c>
      <c r="AB3725" s="4">
        <v>2</v>
      </c>
      <c r="AC3725" s="4">
        <v>12</v>
      </c>
      <c r="AD3725" s="4">
        <v>29</v>
      </c>
      <c r="AE3725" s="4">
        <v>131</v>
      </c>
      <c r="AF3725" s="4">
        <v>1</v>
      </c>
      <c r="AG3725" s="4">
        <v>6</v>
      </c>
      <c r="AH3725" s="4">
        <v>27</v>
      </c>
      <c r="AI3725" s="4">
        <v>102</v>
      </c>
      <c r="AJ3725" s="4">
        <v>8</v>
      </c>
      <c r="AK3725" s="4">
        <v>26</v>
      </c>
      <c r="AL3725" s="4">
        <v>17</v>
      </c>
      <c r="AM3725" s="4">
        <v>53</v>
      </c>
      <c r="AN3725" s="4">
        <v>0</v>
      </c>
      <c r="AO3725" s="4">
        <v>0</v>
      </c>
      <c r="AP3725" s="4">
        <v>8</v>
      </c>
      <c r="AQ3725" s="4">
        <v>38</v>
      </c>
      <c r="AR3725" s="3" t="s">
        <v>62</v>
      </c>
      <c r="AS3725" s="3" t="s">
        <v>62</v>
      </c>
      <c r="AT3725" s="3" t="s">
        <v>61</v>
      </c>
      <c r="AU3725" s="6" t="str">
        <f>HYPERLINK("http://catalog.hathitrust.org/Record/009802242","HathiTrust Record")</f>
        <v>HathiTrust Record</v>
      </c>
      <c r="AV3725" s="6" t="str">
        <f>HYPERLINK("http://mcgill.on.worldcat.org/oclc/173509407","Catalog Record")</f>
        <v>Catalog Record</v>
      </c>
      <c r="AW3725" s="6" t="str">
        <f>HYPERLINK("http://www.worldcat.org/oclc/173509407","WorldCat Record")</f>
        <v>WorldCat Record</v>
      </c>
      <c r="AX3725" s="3" t="s">
        <v>35786</v>
      </c>
      <c r="AY3725" s="3" t="s">
        <v>35946</v>
      </c>
      <c r="AZ3725" s="3" t="s">
        <v>35947</v>
      </c>
      <c r="BA3725" s="3" t="s">
        <v>35947</v>
      </c>
      <c r="BB3725" s="3" t="s">
        <v>35951</v>
      </c>
      <c r="BC3725" s="3" t="s">
        <v>142</v>
      </c>
      <c r="BD3725" s="3" t="s">
        <v>68</v>
      </c>
      <c r="BE3725" s="3" t="s">
        <v>35949</v>
      </c>
      <c r="BF3725" s="3" t="s">
        <v>35951</v>
      </c>
      <c r="BG3725" s="3" t="s">
        <v>35952</v>
      </c>
    </row>
    <row r="3726" spans="1:59" ht="57" x14ac:dyDescent="0.45">
      <c r="A3726" s="2" t="s">
        <v>59</v>
      </c>
      <c r="B3726" s="2" t="s">
        <v>60</v>
      </c>
      <c r="C3726" s="2" t="s">
        <v>35953</v>
      </c>
      <c r="D3726" s="2" t="s">
        <v>35954</v>
      </c>
      <c r="E3726" s="2" t="s">
        <v>35955</v>
      </c>
      <c r="G3726" s="3" t="s">
        <v>62</v>
      </c>
      <c r="I3726" s="3" t="s">
        <v>62</v>
      </c>
      <c r="J3726" s="3" t="s">
        <v>61</v>
      </c>
      <c r="K3726" s="3" t="s">
        <v>63</v>
      </c>
      <c r="L3726" s="2" t="s">
        <v>35956</v>
      </c>
      <c r="M3726" s="2" t="s">
        <v>35957</v>
      </c>
      <c r="N3726" s="3" t="s">
        <v>970</v>
      </c>
      <c r="P3726" s="3" t="s">
        <v>65</v>
      </c>
      <c r="R3726" s="3" t="s">
        <v>66</v>
      </c>
      <c r="S3726" s="4">
        <v>59</v>
      </c>
      <c r="T3726" s="4">
        <v>59</v>
      </c>
      <c r="U3726" s="5" t="s">
        <v>35958</v>
      </c>
      <c r="V3726" s="5" t="s">
        <v>35958</v>
      </c>
      <c r="W3726" s="5" t="s">
        <v>67</v>
      </c>
      <c r="X3726" s="5" t="s">
        <v>67</v>
      </c>
      <c r="Y3726" s="4">
        <v>297</v>
      </c>
      <c r="Z3726" s="4">
        <v>28</v>
      </c>
      <c r="AA3726" s="4">
        <v>63</v>
      </c>
      <c r="AB3726" s="4">
        <v>4</v>
      </c>
      <c r="AC3726" s="4">
        <v>11</v>
      </c>
      <c r="AD3726" s="4">
        <v>91</v>
      </c>
      <c r="AE3726" s="4">
        <v>119</v>
      </c>
      <c r="AF3726" s="4">
        <v>2</v>
      </c>
      <c r="AG3726" s="4">
        <v>5</v>
      </c>
      <c r="AH3726" s="4">
        <v>77</v>
      </c>
      <c r="AI3726" s="4">
        <v>94</v>
      </c>
      <c r="AJ3726" s="4">
        <v>17</v>
      </c>
      <c r="AK3726" s="4">
        <v>22</v>
      </c>
      <c r="AL3726" s="4">
        <v>43</v>
      </c>
      <c r="AM3726" s="4">
        <v>52</v>
      </c>
      <c r="AN3726" s="4">
        <v>0</v>
      </c>
      <c r="AO3726" s="4">
        <v>0</v>
      </c>
      <c r="AP3726" s="4">
        <v>22</v>
      </c>
      <c r="AQ3726" s="4">
        <v>33</v>
      </c>
      <c r="AR3726" s="3" t="s">
        <v>62</v>
      </c>
      <c r="AS3726" s="3" t="s">
        <v>62</v>
      </c>
      <c r="AT3726" s="3" t="s">
        <v>62</v>
      </c>
      <c r="AV3726" s="6" t="str">
        <f>HYPERLINK("http://mcgill.on.worldcat.org/oclc/47650657","Catalog Record")</f>
        <v>Catalog Record</v>
      </c>
      <c r="AW3726" s="6" t="str">
        <f>HYPERLINK("http://www.worldcat.org/oclc/47650657","WorldCat Record")</f>
        <v>WorldCat Record</v>
      </c>
      <c r="AX3726" s="3" t="s">
        <v>35959</v>
      </c>
      <c r="AY3726" s="3" t="s">
        <v>35960</v>
      </c>
      <c r="AZ3726" s="3" t="s">
        <v>35961</v>
      </c>
      <c r="BA3726" s="3" t="s">
        <v>35961</v>
      </c>
      <c r="BB3726" s="3" t="s">
        <v>35962</v>
      </c>
      <c r="BC3726" s="3" t="s">
        <v>142</v>
      </c>
      <c r="BD3726" s="3" t="s">
        <v>68</v>
      </c>
      <c r="BE3726" s="3" t="s">
        <v>35963</v>
      </c>
      <c r="BF3726" s="3" t="s">
        <v>35962</v>
      </c>
      <c r="BG3726" s="3" t="s">
        <v>35964</v>
      </c>
    </row>
    <row r="3727" spans="1:59" ht="57" x14ac:dyDescent="0.45">
      <c r="A3727" s="2" t="s">
        <v>59</v>
      </c>
      <c r="B3727" s="2" t="s">
        <v>60</v>
      </c>
      <c r="C3727" s="2" t="s">
        <v>35965</v>
      </c>
      <c r="D3727" s="2" t="s">
        <v>35966</v>
      </c>
      <c r="E3727" s="2" t="s">
        <v>35955</v>
      </c>
      <c r="G3727" s="3" t="s">
        <v>62</v>
      </c>
      <c r="I3727" s="3" t="s">
        <v>61</v>
      </c>
      <c r="J3727" s="3" t="s">
        <v>61</v>
      </c>
      <c r="K3727" s="3" t="s">
        <v>63</v>
      </c>
      <c r="L3727" s="2" t="s">
        <v>35967</v>
      </c>
      <c r="M3727" s="2" t="s">
        <v>35968</v>
      </c>
      <c r="N3727" s="3" t="s">
        <v>1918</v>
      </c>
      <c r="O3727" s="2" t="s">
        <v>3280</v>
      </c>
      <c r="P3727" s="3" t="s">
        <v>65</v>
      </c>
      <c r="R3727" s="3" t="s">
        <v>66</v>
      </c>
      <c r="S3727" s="4">
        <v>8</v>
      </c>
      <c r="T3727" s="4">
        <v>17</v>
      </c>
      <c r="U3727" s="5" t="s">
        <v>35969</v>
      </c>
      <c r="V3727" s="5" t="s">
        <v>35969</v>
      </c>
      <c r="W3727" s="5" t="s">
        <v>67</v>
      </c>
      <c r="X3727" s="5" t="s">
        <v>67</v>
      </c>
      <c r="Y3727" s="4">
        <v>61</v>
      </c>
      <c r="Z3727" s="4">
        <v>9</v>
      </c>
      <c r="AA3727" s="4">
        <v>63</v>
      </c>
      <c r="AB3727" s="4">
        <v>3</v>
      </c>
      <c r="AC3727" s="4">
        <v>11</v>
      </c>
      <c r="AD3727" s="4">
        <v>24</v>
      </c>
      <c r="AE3727" s="4">
        <v>119</v>
      </c>
      <c r="AF3727" s="4">
        <v>1</v>
      </c>
      <c r="AG3727" s="4">
        <v>5</v>
      </c>
      <c r="AH3727" s="4">
        <v>22</v>
      </c>
      <c r="AI3727" s="4">
        <v>94</v>
      </c>
      <c r="AJ3727" s="4">
        <v>6</v>
      </c>
      <c r="AK3727" s="4">
        <v>22</v>
      </c>
      <c r="AL3727" s="4">
        <v>11</v>
      </c>
      <c r="AM3727" s="4">
        <v>52</v>
      </c>
      <c r="AN3727" s="4">
        <v>0</v>
      </c>
      <c r="AO3727" s="4">
        <v>0</v>
      </c>
      <c r="AP3727" s="4">
        <v>7</v>
      </c>
      <c r="AQ3727" s="4">
        <v>33</v>
      </c>
      <c r="AR3727" s="3" t="s">
        <v>62</v>
      </c>
      <c r="AS3727" s="3" t="s">
        <v>62</v>
      </c>
      <c r="AT3727" s="3" t="s">
        <v>62</v>
      </c>
      <c r="AV3727" s="6" t="str">
        <f>HYPERLINK("http://mcgill.on.worldcat.org/oclc/950004270","Catalog Record")</f>
        <v>Catalog Record</v>
      </c>
      <c r="AW3727" s="6" t="str">
        <f>HYPERLINK("http://www.worldcat.org/oclc/950004270","WorldCat Record")</f>
        <v>WorldCat Record</v>
      </c>
      <c r="AX3727" s="3" t="s">
        <v>35959</v>
      </c>
      <c r="AY3727" s="3" t="s">
        <v>35970</v>
      </c>
      <c r="AZ3727" s="3" t="s">
        <v>35971</v>
      </c>
      <c r="BA3727" s="3" t="s">
        <v>35971</v>
      </c>
      <c r="BB3727" s="3" t="s">
        <v>35972</v>
      </c>
      <c r="BC3727" s="3" t="s">
        <v>142</v>
      </c>
      <c r="BD3727" s="3" t="s">
        <v>3549</v>
      </c>
      <c r="BE3727" s="3" t="s">
        <v>35973</v>
      </c>
      <c r="BF3727" s="3" t="s">
        <v>35972</v>
      </c>
      <c r="BG3727" s="3" t="s">
        <v>35974</v>
      </c>
    </row>
    <row r="3728" spans="1:59" ht="57" x14ac:dyDescent="0.45">
      <c r="A3728" s="2" t="s">
        <v>59</v>
      </c>
      <c r="B3728" s="2" t="s">
        <v>60</v>
      </c>
      <c r="C3728" s="2" t="s">
        <v>35965</v>
      </c>
      <c r="D3728" s="2" t="s">
        <v>35966</v>
      </c>
      <c r="E3728" s="2" t="s">
        <v>35955</v>
      </c>
      <c r="G3728" s="3" t="s">
        <v>62</v>
      </c>
      <c r="I3728" s="3" t="s">
        <v>61</v>
      </c>
      <c r="J3728" s="3" t="s">
        <v>61</v>
      </c>
      <c r="K3728" s="3" t="s">
        <v>63</v>
      </c>
      <c r="L3728" s="2" t="s">
        <v>35967</v>
      </c>
      <c r="M3728" s="2" t="s">
        <v>35968</v>
      </c>
      <c r="N3728" s="3" t="s">
        <v>1918</v>
      </c>
      <c r="O3728" s="2" t="s">
        <v>3280</v>
      </c>
      <c r="P3728" s="3" t="s">
        <v>65</v>
      </c>
      <c r="R3728" s="3" t="s">
        <v>66</v>
      </c>
      <c r="S3728" s="4">
        <v>9</v>
      </c>
      <c r="T3728" s="4">
        <v>17</v>
      </c>
      <c r="U3728" s="5" t="s">
        <v>1857</v>
      </c>
      <c r="V3728" s="5" t="s">
        <v>35969</v>
      </c>
      <c r="W3728" s="5" t="s">
        <v>67</v>
      </c>
      <c r="X3728" s="5" t="s">
        <v>67</v>
      </c>
      <c r="Y3728" s="4">
        <v>61</v>
      </c>
      <c r="Z3728" s="4">
        <v>9</v>
      </c>
      <c r="AA3728" s="4">
        <v>63</v>
      </c>
      <c r="AB3728" s="4">
        <v>3</v>
      </c>
      <c r="AC3728" s="4">
        <v>11</v>
      </c>
      <c r="AD3728" s="4">
        <v>24</v>
      </c>
      <c r="AE3728" s="4">
        <v>119</v>
      </c>
      <c r="AF3728" s="4">
        <v>1</v>
      </c>
      <c r="AG3728" s="4">
        <v>5</v>
      </c>
      <c r="AH3728" s="4">
        <v>22</v>
      </c>
      <c r="AI3728" s="4">
        <v>94</v>
      </c>
      <c r="AJ3728" s="4">
        <v>6</v>
      </c>
      <c r="AK3728" s="4">
        <v>22</v>
      </c>
      <c r="AL3728" s="4">
        <v>11</v>
      </c>
      <c r="AM3728" s="4">
        <v>52</v>
      </c>
      <c r="AN3728" s="4">
        <v>0</v>
      </c>
      <c r="AO3728" s="4">
        <v>0</v>
      </c>
      <c r="AP3728" s="4">
        <v>7</v>
      </c>
      <c r="AQ3728" s="4">
        <v>33</v>
      </c>
      <c r="AR3728" s="3" t="s">
        <v>62</v>
      </c>
      <c r="AS3728" s="3" t="s">
        <v>62</v>
      </c>
      <c r="AT3728" s="3" t="s">
        <v>62</v>
      </c>
      <c r="AV3728" s="6" t="str">
        <f>HYPERLINK("http://mcgill.on.worldcat.org/oclc/950004270","Catalog Record")</f>
        <v>Catalog Record</v>
      </c>
      <c r="AW3728" s="6" t="str">
        <f>HYPERLINK("http://www.worldcat.org/oclc/950004270","WorldCat Record")</f>
        <v>WorldCat Record</v>
      </c>
      <c r="AX3728" s="3" t="s">
        <v>35959</v>
      </c>
      <c r="AY3728" s="3" t="s">
        <v>35970</v>
      </c>
      <c r="AZ3728" s="3" t="s">
        <v>35971</v>
      </c>
      <c r="BA3728" s="3" t="s">
        <v>35971</v>
      </c>
      <c r="BB3728" s="3" t="s">
        <v>35975</v>
      </c>
      <c r="BC3728" s="3" t="s">
        <v>142</v>
      </c>
      <c r="BD3728" s="3" t="s">
        <v>308</v>
      </c>
      <c r="BE3728" s="3" t="s">
        <v>35973</v>
      </c>
      <c r="BF3728" s="3" t="s">
        <v>35975</v>
      </c>
      <c r="BG3728" s="3" t="s">
        <v>35976</v>
      </c>
    </row>
    <row r="3729" spans="1:59" ht="57" x14ac:dyDescent="0.45">
      <c r="A3729" s="2" t="s">
        <v>59</v>
      </c>
      <c r="B3729" s="2" t="s">
        <v>60</v>
      </c>
      <c r="C3729" s="2" t="s">
        <v>35977</v>
      </c>
      <c r="D3729" s="2" t="s">
        <v>35978</v>
      </c>
      <c r="E3729" s="2" t="s">
        <v>35979</v>
      </c>
      <c r="G3729" s="3" t="s">
        <v>62</v>
      </c>
      <c r="I3729" s="3" t="s">
        <v>61</v>
      </c>
      <c r="J3729" s="3" t="s">
        <v>61</v>
      </c>
      <c r="K3729" s="3" t="s">
        <v>63</v>
      </c>
      <c r="L3729" s="2" t="s">
        <v>3483</v>
      </c>
      <c r="M3729" s="2" t="s">
        <v>35980</v>
      </c>
      <c r="N3729" s="3" t="s">
        <v>122</v>
      </c>
      <c r="P3729" s="3" t="s">
        <v>65</v>
      </c>
      <c r="R3729" s="3" t="s">
        <v>66</v>
      </c>
      <c r="S3729" s="4">
        <v>12</v>
      </c>
      <c r="T3729" s="4">
        <v>41</v>
      </c>
      <c r="U3729" s="5" t="s">
        <v>4406</v>
      </c>
      <c r="V3729" s="5" t="s">
        <v>4406</v>
      </c>
      <c r="W3729" s="5" t="s">
        <v>67</v>
      </c>
      <c r="X3729" s="5" t="s">
        <v>67</v>
      </c>
      <c r="Y3729" s="4">
        <v>304</v>
      </c>
      <c r="Z3729" s="4">
        <v>10</v>
      </c>
      <c r="AA3729" s="4">
        <v>44</v>
      </c>
      <c r="AB3729" s="4">
        <v>1</v>
      </c>
      <c r="AC3729" s="4">
        <v>8</v>
      </c>
      <c r="AD3729" s="4">
        <v>67</v>
      </c>
      <c r="AE3729" s="4">
        <v>128</v>
      </c>
      <c r="AF3729" s="4">
        <v>0</v>
      </c>
      <c r="AG3729" s="4">
        <v>6</v>
      </c>
      <c r="AH3729" s="4">
        <v>62</v>
      </c>
      <c r="AI3729" s="4">
        <v>103</v>
      </c>
      <c r="AJ3729" s="4">
        <v>5</v>
      </c>
      <c r="AK3729" s="4">
        <v>21</v>
      </c>
      <c r="AL3729" s="4">
        <v>33</v>
      </c>
      <c r="AM3729" s="4">
        <v>55</v>
      </c>
      <c r="AN3729" s="4">
        <v>0</v>
      </c>
      <c r="AO3729" s="4">
        <v>0</v>
      </c>
      <c r="AP3729" s="4">
        <v>8</v>
      </c>
      <c r="AQ3729" s="4">
        <v>33</v>
      </c>
      <c r="AR3729" s="3" t="s">
        <v>62</v>
      </c>
      <c r="AS3729" s="3" t="s">
        <v>62</v>
      </c>
      <c r="AT3729" s="3" t="s">
        <v>62</v>
      </c>
      <c r="AV3729" s="6" t="str">
        <f>HYPERLINK("http://mcgill.on.worldcat.org/oclc/2983534","Catalog Record")</f>
        <v>Catalog Record</v>
      </c>
      <c r="AW3729" s="6" t="str">
        <f>HYPERLINK("http://www.worldcat.org/oclc/2983534","WorldCat Record")</f>
        <v>WorldCat Record</v>
      </c>
      <c r="AX3729" s="3" t="s">
        <v>35981</v>
      </c>
      <c r="AY3729" s="3" t="s">
        <v>35982</v>
      </c>
      <c r="AZ3729" s="3" t="s">
        <v>35983</v>
      </c>
      <c r="BA3729" s="3" t="s">
        <v>35983</v>
      </c>
      <c r="BB3729" s="3" t="s">
        <v>35984</v>
      </c>
      <c r="BC3729" s="3" t="s">
        <v>142</v>
      </c>
      <c r="BD3729" s="3" t="s">
        <v>68</v>
      </c>
      <c r="BE3729" s="3" t="s">
        <v>35985</v>
      </c>
      <c r="BF3729" s="3" t="s">
        <v>35984</v>
      </c>
      <c r="BG3729" s="3" t="s">
        <v>35986</v>
      </c>
    </row>
    <row r="3730" spans="1:59" ht="57" x14ac:dyDescent="0.45">
      <c r="A3730" s="2" t="s">
        <v>59</v>
      </c>
      <c r="B3730" s="2" t="s">
        <v>60</v>
      </c>
      <c r="C3730" s="2" t="s">
        <v>35977</v>
      </c>
      <c r="D3730" s="2" t="s">
        <v>35978</v>
      </c>
      <c r="E3730" s="2" t="s">
        <v>35979</v>
      </c>
      <c r="G3730" s="3" t="s">
        <v>62</v>
      </c>
      <c r="I3730" s="3" t="s">
        <v>61</v>
      </c>
      <c r="J3730" s="3" t="s">
        <v>61</v>
      </c>
      <c r="K3730" s="3" t="s">
        <v>63</v>
      </c>
      <c r="L3730" s="2" t="s">
        <v>3483</v>
      </c>
      <c r="M3730" s="2" t="s">
        <v>35980</v>
      </c>
      <c r="N3730" s="3" t="s">
        <v>122</v>
      </c>
      <c r="P3730" s="3" t="s">
        <v>65</v>
      </c>
      <c r="R3730" s="3" t="s">
        <v>66</v>
      </c>
      <c r="S3730" s="4">
        <v>17</v>
      </c>
      <c r="T3730" s="4">
        <v>41</v>
      </c>
      <c r="U3730" s="5" t="s">
        <v>13165</v>
      </c>
      <c r="V3730" s="5" t="s">
        <v>4406</v>
      </c>
      <c r="W3730" s="5" t="s">
        <v>67</v>
      </c>
      <c r="X3730" s="5" t="s">
        <v>67</v>
      </c>
      <c r="Y3730" s="4">
        <v>304</v>
      </c>
      <c r="Z3730" s="4">
        <v>10</v>
      </c>
      <c r="AA3730" s="4">
        <v>44</v>
      </c>
      <c r="AB3730" s="4">
        <v>1</v>
      </c>
      <c r="AC3730" s="4">
        <v>8</v>
      </c>
      <c r="AD3730" s="4">
        <v>67</v>
      </c>
      <c r="AE3730" s="4">
        <v>128</v>
      </c>
      <c r="AF3730" s="4">
        <v>0</v>
      </c>
      <c r="AG3730" s="4">
        <v>6</v>
      </c>
      <c r="AH3730" s="4">
        <v>62</v>
      </c>
      <c r="AI3730" s="4">
        <v>103</v>
      </c>
      <c r="AJ3730" s="4">
        <v>5</v>
      </c>
      <c r="AK3730" s="4">
        <v>21</v>
      </c>
      <c r="AL3730" s="4">
        <v>33</v>
      </c>
      <c r="AM3730" s="4">
        <v>55</v>
      </c>
      <c r="AN3730" s="4">
        <v>0</v>
      </c>
      <c r="AO3730" s="4">
        <v>0</v>
      </c>
      <c r="AP3730" s="4">
        <v>8</v>
      </c>
      <c r="AQ3730" s="4">
        <v>33</v>
      </c>
      <c r="AR3730" s="3" t="s">
        <v>62</v>
      </c>
      <c r="AS3730" s="3" t="s">
        <v>62</v>
      </c>
      <c r="AT3730" s="3" t="s">
        <v>62</v>
      </c>
      <c r="AV3730" s="6" t="str">
        <f>HYPERLINK("http://mcgill.on.worldcat.org/oclc/2983534","Catalog Record")</f>
        <v>Catalog Record</v>
      </c>
      <c r="AW3730" s="6" t="str">
        <f>HYPERLINK("http://www.worldcat.org/oclc/2983534","WorldCat Record")</f>
        <v>WorldCat Record</v>
      </c>
      <c r="AX3730" s="3" t="s">
        <v>35981</v>
      </c>
      <c r="AY3730" s="3" t="s">
        <v>35982</v>
      </c>
      <c r="AZ3730" s="3" t="s">
        <v>35983</v>
      </c>
      <c r="BA3730" s="3" t="s">
        <v>35983</v>
      </c>
      <c r="BB3730" s="3" t="s">
        <v>35987</v>
      </c>
      <c r="BC3730" s="3" t="s">
        <v>142</v>
      </c>
      <c r="BD3730" s="3" t="s">
        <v>68</v>
      </c>
      <c r="BE3730" s="3" t="s">
        <v>35985</v>
      </c>
      <c r="BF3730" s="3" t="s">
        <v>35987</v>
      </c>
      <c r="BG3730" s="3" t="s">
        <v>35988</v>
      </c>
    </row>
    <row r="3731" spans="1:59" ht="57" x14ac:dyDescent="0.45">
      <c r="A3731" s="2" t="s">
        <v>59</v>
      </c>
      <c r="B3731" s="2" t="s">
        <v>60</v>
      </c>
      <c r="C3731" s="2" t="s">
        <v>35977</v>
      </c>
      <c r="D3731" s="2" t="s">
        <v>35978</v>
      </c>
      <c r="E3731" s="2" t="s">
        <v>35979</v>
      </c>
      <c r="G3731" s="3" t="s">
        <v>62</v>
      </c>
      <c r="I3731" s="3" t="s">
        <v>61</v>
      </c>
      <c r="J3731" s="3" t="s">
        <v>61</v>
      </c>
      <c r="K3731" s="3" t="s">
        <v>63</v>
      </c>
      <c r="L3731" s="2" t="s">
        <v>3483</v>
      </c>
      <c r="M3731" s="2" t="s">
        <v>35980</v>
      </c>
      <c r="N3731" s="3" t="s">
        <v>122</v>
      </c>
      <c r="P3731" s="3" t="s">
        <v>65</v>
      </c>
      <c r="R3731" s="3" t="s">
        <v>66</v>
      </c>
      <c r="S3731" s="4">
        <v>12</v>
      </c>
      <c r="T3731" s="4">
        <v>41</v>
      </c>
      <c r="U3731" s="5" t="s">
        <v>35989</v>
      </c>
      <c r="V3731" s="5" t="s">
        <v>4406</v>
      </c>
      <c r="W3731" s="5" t="s">
        <v>67</v>
      </c>
      <c r="X3731" s="5" t="s">
        <v>67</v>
      </c>
      <c r="Y3731" s="4">
        <v>304</v>
      </c>
      <c r="Z3731" s="4">
        <v>10</v>
      </c>
      <c r="AA3731" s="4">
        <v>44</v>
      </c>
      <c r="AB3731" s="4">
        <v>1</v>
      </c>
      <c r="AC3731" s="4">
        <v>8</v>
      </c>
      <c r="AD3731" s="4">
        <v>67</v>
      </c>
      <c r="AE3731" s="4">
        <v>128</v>
      </c>
      <c r="AF3731" s="4">
        <v>0</v>
      </c>
      <c r="AG3731" s="4">
        <v>6</v>
      </c>
      <c r="AH3731" s="4">
        <v>62</v>
      </c>
      <c r="AI3731" s="4">
        <v>103</v>
      </c>
      <c r="AJ3731" s="4">
        <v>5</v>
      </c>
      <c r="AK3731" s="4">
        <v>21</v>
      </c>
      <c r="AL3731" s="4">
        <v>33</v>
      </c>
      <c r="AM3731" s="4">
        <v>55</v>
      </c>
      <c r="AN3731" s="4">
        <v>0</v>
      </c>
      <c r="AO3731" s="4">
        <v>0</v>
      </c>
      <c r="AP3731" s="4">
        <v>8</v>
      </c>
      <c r="AQ3731" s="4">
        <v>33</v>
      </c>
      <c r="AR3731" s="3" t="s">
        <v>62</v>
      </c>
      <c r="AS3731" s="3" t="s">
        <v>62</v>
      </c>
      <c r="AT3731" s="3" t="s">
        <v>62</v>
      </c>
      <c r="AV3731" s="6" t="str">
        <f>HYPERLINK("http://mcgill.on.worldcat.org/oclc/2983534","Catalog Record")</f>
        <v>Catalog Record</v>
      </c>
      <c r="AW3731" s="6" t="str">
        <f>HYPERLINK("http://www.worldcat.org/oclc/2983534","WorldCat Record")</f>
        <v>WorldCat Record</v>
      </c>
      <c r="AX3731" s="3" t="s">
        <v>35981</v>
      </c>
      <c r="AY3731" s="3" t="s">
        <v>35982</v>
      </c>
      <c r="AZ3731" s="3" t="s">
        <v>35983</v>
      </c>
      <c r="BA3731" s="3" t="s">
        <v>35983</v>
      </c>
      <c r="BB3731" s="3" t="s">
        <v>35990</v>
      </c>
      <c r="BC3731" s="3" t="s">
        <v>142</v>
      </c>
      <c r="BD3731" s="3" t="s">
        <v>68</v>
      </c>
      <c r="BE3731" s="3" t="s">
        <v>35985</v>
      </c>
      <c r="BF3731" s="3" t="s">
        <v>35990</v>
      </c>
      <c r="BG3731" s="3" t="s">
        <v>35991</v>
      </c>
    </row>
    <row r="3732" spans="1:59" ht="57" x14ac:dyDescent="0.45">
      <c r="A3732" s="2" t="s">
        <v>59</v>
      </c>
      <c r="B3732" s="2" t="s">
        <v>60</v>
      </c>
      <c r="C3732" s="2" t="s">
        <v>35992</v>
      </c>
      <c r="D3732" s="2" t="s">
        <v>35993</v>
      </c>
      <c r="E3732" s="2" t="s">
        <v>35994</v>
      </c>
      <c r="G3732" s="3" t="s">
        <v>62</v>
      </c>
      <c r="I3732" s="3" t="s">
        <v>62</v>
      </c>
      <c r="J3732" s="3" t="s">
        <v>62</v>
      </c>
      <c r="K3732" s="3" t="s">
        <v>63</v>
      </c>
      <c r="M3732" s="2" t="s">
        <v>31401</v>
      </c>
      <c r="N3732" s="3" t="s">
        <v>958</v>
      </c>
      <c r="P3732" s="3" t="s">
        <v>65</v>
      </c>
      <c r="Q3732" s="2" t="s">
        <v>35995</v>
      </c>
      <c r="R3732" s="3" t="s">
        <v>66</v>
      </c>
      <c r="S3732" s="4">
        <v>109</v>
      </c>
      <c r="T3732" s="4">
        <v>109</v>
      </c>
      <c r="U3732" s="5" t="s">
        <v>35996</v>
      </c>
      <c r="V3732" s="5" t="s">
        <v>35996</v>
      </c>
      <c r="W3732" s="5" t="s">
        <v>67</v>
      </c>
      <c r="X3732" s="5" t="s">
        <v>67</v>
      </c>
      <c r="Y3732" s="4">
        <v>437</v>
      </c>
      <c r="Z3732" s="4">
        <v>28</v>
      </c>
      <c r="AA3732" s="4">
        <v>35</v>
      </c>
      <c r="AB3732" s="4">
        <v>2</v>
      </c>
      <c r="AC3732" s="4">
        <v>7</v>
      </c>
      <c r="AD3732" s="4">
        <v>105</v>
      </c>
      <c r="AE3732" s="4">
        <v>120</v>
      </c>
      <c r="AF3732" s="4">
        <v>1</v>
      </c>
      <c r="AG3732" s="4">
        <v>4</v>
      </c>
      <c r="AH3732" s="4">
        <v>89</v>
      </c>
      <c r="AI3732" s="4">
        <v>101</v>
      </c>
      <c r="AJ3732" s="4">
        <v>19</v>
      </c>
      <c r="AK3732" s="4">
        <v>22</v>
      </c>
      <c r="AL3732" s="4">
        <v>49</v>
      </c>
      <c r="AM3732" s="4">
        <v>55</v>
      </c>
      <c r="AN3732" s="4">
        <v>0</v>
      </c>
      <c r="AO3732" s="4">
        <v>0</v>
      </c>
      <c r="AP3732" s="4">
        <v>25</v>
      </c>
      <c r="AQ3732" s="4">
        <v>27</v>
      </c>
      <c r="AR3732" s="3" t="s">
        <v>62</v>
      </c>
      <c r="AS3732" s="3" t="s">
        <v>62</v>
      </c>
      <c r="AT3732" s="3" t="s">
        <v>62</v>
      </c>
      <c r="AV3732" s="6" t="str">
        <f>HYPERLINK("http://mcgill.on.worldcat.org/oclc/30319385","Catalog Record")</f>
        <v>Catalog Record</v>
      </c>
      <c r="AW3732" s="6" t="str">
        <f>HYPERLINK("http://www.worldcat.org/oclc/30319385","WorldCat Record")</f>
        <v>WorldCat Record</v>
      </c>
      <c r="AX3732" s="3" t="s">
        <v>35997</v>
      </c>
      <c r="AY3732" s="3" t="s">
        <v>35998</v>
      </c>
      <c r="AZ3732" s="3" t="s">
        <v>35999</v>
      </c>
      <c r="BA3732" s="3" t="s">
        <v>35999</v>
      </c>
      <c r="BB3732" s="3" t="s">
        <v>36000</v>
      </c>
      <c r="BC3732" s="3" t="s">
        <v>142</v>
      </c>
      <c r="BD3732" s="3" t="s">
        <v>68</v>
      </c>
      <c r="BE3732" s="3" t="s">
        <v>36001</v>
      </c>
      <c r="BF3732" s="3" t="s">
        <v>36000</v>
      </c>
      <c r="BG3732" s="3" t="s">
        <v>36002</v>
      </c>
    </row>
    <row r="3733" spans="1:59" ht="57" x14ac:dyDescent="0.45">
      <c r="A3733" s="2" t="s">
        <v>59</v>
      </c>
      <c r="B3733" s="2" t="s">
        <v>60</v>
      </c>
      <c r="C3733" s="2" t="s">
        <v>36003</v>
      </c>
      <c r="D3733" s="2" t="s">
        <v>36004</v>
      </c>
      <c r="E3733" s="2" t="s">
        <v>36005</v>
      </c>
      <c r="G3733" s="3" t="s">
        <v>62</v>
      </c>
      <c r="I3733" s="3" t="s">
        <v>62</v>
      </c>
      <c r="J3733" s="3" t="s">
        <v>62</v>
      </c>
      <c r="K3733" s="3" t="s">
        <v>63</v>
      </c>
      <c r="M3733" s="2" t="s">
        <v>20418</v>
      </c>
      <c r="N3733" s="3" t="s">
        <v>1155</v>
      </c>
      <c r="P3733" s="3" t="s">
        <v>65</v>
      </c>
      <c r="Q3733" s="2" t="s">
        <v>3014</v>
      </c>
      <c r="R3733" s="3" t="s">
        <v>66</v>
      </c>
      <c r="S3733" s="4">
        <v>2</v>
      </c>
      <c r="T3733" s="4">
        <v>2</v>
      </c>
      <c r="U3733" s="5" t="s">
        <v>34923</v>
      </c>
      <c r="V3733" s="5" t="s">
        <v>34923</v>
      </c>
      <c r="W3733" s="5" t="s">
        <v>67</v>
      </c>
      <c r="X3733" s="5" t="s">
        <v>67</v>
      </c>
      <c r="Y3733" s="4">
        <v>128</v>
      </c>
      <c r="Z3733" s="4">
        <v>18</v>
      </c>
      <c r="AA3733" s="4">
        <v>54</v>
      </c>
      <c r="AB3733" s="4">
        <v>1</v>
      </c>
      <c r="AC3733" s="4">
        <v>10</v>
      </c>
      <c r="AD3733" s="4">
        <v>47</v>
      </c>
      <c r="AE3733" s="4">
        <v>102</v>
      </c>
      <c r="AF3733" s="4">
        <v>0</v>
      </c>
      <c r="AG3733" s="4">
        <v>4</v>
      </c>
      <c r="AH3733" s="4">
        <v>44</v>
      </c>
      <c r="AI3733" s="4">
        <v>83</v>
      </c>
      <c r="AJ3733" s="4">
        <v>14</v>
      </c>
      <c r="AK3733" s="4">
        <v>19</v>
      </c>
      <c r="AL3733" s="4">
        <v>22</v>
      </c>
      <c r="AM3733" s="4">
        <v>41</v>
      </c>
      <c r="AN3733" s="4">
        <v>0</v>
      </c>
      <c r="AO3733" s="4">
        <v>0</v>
      </c>
      <c r="AP3733" s="4">
        <v>15</v>
      </c>
      <c r="AQ3733" s="4">
        <v>29</v>
      </c>
      <c r="AR3733" s="3" t="s">
        <v>62</v>
      </c>
      <c r="AS3733" s="3" t="s">
        <v>62</v>
      </c>
      <c r="AT3733" s="3" t="s">
        <v>62</v>
      </c>
      <c r="AV3733" s="6" t="str">
        <f>HYPERLINK("http://mcgill.on.worldcat.org/oclc/704557538","Catalog Record")</f>
        <v>Catalog Record</v>
      </c>
      <c r="AW3733" s="6" t="str">
        <f>HYPERLINK("http://www.worldcat.org/oclc/704557538","WorldCat Record")</f>
        <v>WorldCat Record</v>
      </c>
      <c r="AX3733" s="3" t="s">
        <v>36006</v>
      </c>
      <c r="AY3733" s="3" t="s">
        <v>36007</v>
      </c>
      <c r="AZ3733" s="3" t="s">
        <v>36008</v>
      </c>
      <c r="BA3733" s="3" t="s">
        <v>36008</v>
      </c>
      <c r="BB3733" s="3" t="s">
        <v>36009</v>
      </c>
      <c r="BC3733" s="3" t="s">
        <v>142</v>
      </c>
      <c r="BD3733" s="3" t="s">
        <v>68</v>
      </c>
      <c r="BE3733" s="3" t="s">
        <v>36010</v>
      </c>
      <c r="BF3733" s="3" t="s">
        <v>36009</v>
      </c>
      <c r="BG3733" s="3" t="s">
        <v>36011</v>
      </c>
    </row>
    <row r="3734" spans="1:59" ht="57" x14ac:dyDescent="0.45">
      <c r="A3734" s="2" t="s">
        <v>59</v>
      </c>
      <c r="B3734" s="2" t="s">
        <v>60</v>
      </c>
      <c r="C3734" s="2" t="s">
        <v>36012</v>
      </c>
      <c r="D3734" s="2" t="s">
        <v>36013</v>
      </c>
      <c r="E3734" s="2" t="s">
        <v>36014</v>
      </c>
      <c r="G3734" s="3" t="s">
        <v>62</v>
      </c>
      <c r="I3734" s="3" t="s">
        <v>62</v>
      </c>
      <c r="J3734" s="3" t="s">
        <v>62</v>
      </c>
      <c r="K3734" s="3" t="s">
        <v>63</v>
      </c>
      <c r="M3734" s="2" t="s">
        <v>2479</v>
      </c>
      <c r="N3734" s="3" t="s">
        <v>1604</v>
      </c>
      <c r="P3734" s="3" t="s">
        <v>65</v>
      </c>
      <c r="R3734" s="3" t="s">
        <v>66</v>
      </c>
      <c r="S3734" s="4">
        <v>19</v>
      </c>
      <c r="T3734" s="4">
        <v>19</v>
      </c>
      <c r="U3734" s="5" t="s">
        <v>35996</v>
      </c>
      <c r="V3734" s="5" t="s">
        <v>35996</v>
      </c>
      <c r="W3734" s="5" t="s">
        <v>67</v>
      </c>
      <c r="X3734" s="5" t="s">
        <v>67</v>
      </c>
      <c r="Y3734" s="4">
        <v>228</v>
      </c>
      <c r="Z3734" s="4">
        <v>17</v>
      </c>
      <c r="AA3734" s="4">
        <v>18</v>
      </c>
      <c r="AB3734" s="4">
        <v>1</v>
      </c>
      <c r="AC3734" s="4">
        <v>2</v>
      </c>
      <c r="AD3734" s="4">
        <v>97</v>
      </c>
      <c r="AE3734" s="4">
        <v>98</v>
      </c>
      <c r="AF3734" s="4">
        <v>0</v>
      </c>
      <c r="AG3734" s="4">
        <v>1</v>
      </c>
      <c r="AH3734" s="4">
        <v>85</v>
      </c>
      <c r="AI3734" s="4">
        <v>85</v>
      </c>
      <c r="AJ3734" s="4">
        <v>13</v>
      </c>
      <c r="AK3734" s="4">
        <v>14</v>
      </c>
      <c r="AL3734" s="4">
        <v>50</v>
      </c>
      <c r="AM3734" s="4">
        <v>50</v>
      </c>
      <c r="AN3734" s="4">
        <v>0</v>
      </c>
      <c r="AO3734" s="4">
        <v>0</v>
      </c>
      <c r="AP3734" s="4">
        <v>15</v>
      </c>
      <c r="AQ3734" s="4">
        <v>16</v>
      </c>
      <c r="AR3734" s="3" t="s">
        <v>62</v>
      </c>
      <c r="AS3734" s="3" t="s">
        <v>62</v>
      </c>
      <c r="AT3734" s="3" t="s">
        <v>61</v>
      </c>
      <c r="AU3734" s="6" t="str">
        <f>HYPERLINK("http://catalog.hathitrust.org/Record/002906721","HathiTrust Record")</f>
        <v>HathiTrust Record</v>
      </c>
      <c r="AV3734" s="6" t="str">
        <f>HYPERLINK("http://mcgill.on.worldcat.org/oclc/29668812","Catalog Record")</f>
        <v>Catalog Record</v>
      </c>
      <c r="AW3734" s="6" t="str">
        <f>HYPERLINK("http://www.worldcat.org/oclc/29668812","WorldCat Record")</f>
        <v>WorldCat Record</v>
      </c>
      <c r="AX3734" s="3" t="s">
        <v>36015</v>
      </c>
      <c r="AY3734" s="3" t="s">
        <v>36016</v>
      </c>
      <c r="AZ3734" s="3" t="s">
        <v>36017</v>
      </c>
      <c r="BA3734" s="3" t="s">
        <v>36017</v>
      </c>
      <c r="BB3734" s="3" t="s">
        <v>36018</v>
      </c>
      <c r="BC3734" s="3" t="s">
        <v>142</v>
      </c>
      <c r="BD3734" s="3" t="s">
        <v>68</v>
      </c>
      <c r="BE3734" s="3" t="s">
        <v>36019</v>
      </c>
      <c r="BF3734" s="3" t="s">
        <v>36018</v>
      </c>
      <c r="BG3734" s="3" t="s">
        <v>36020</v>
      </c>
    </row>
    <row r="3735" spans="1:59" ht="57" x14ac:dyDescent="0.45">
      <c r="A3735" s="2" t="s">
        <v>59</v>
      </c>
      <c r="B3735" s="2" t="s">
        <v>412</v>
      </c>
      <c r="C3735" s="2" t="s">
        <v>36021</v>
      </c>
      <c r="D3735" s="2" t="s">
        <v>36022</v>
      </c>
      <c r="E3735" s="2" t="s">
        <v>36023</v>
      </c>
      <c r="G3735" s="3" t="s">
        <v>62</v>
      </c>
      <c r="I3735" s="3" t="s">
        <v>62</v>
      </c>
      <c r="J3735" s="3" t="s">
        <v>62</v>
      </c>
      <c r="K3735" s="3" t="s">
        <v>63</v>
      </c>
      <c r="L3735" s="2" t="s">
        <v>36024</v>
      </c>
      <c r="M3735" s="2" t="s">
        <v>36025</v>
      </c>
      <c r="N3735" s="3" t="s">
        <v>167</v>
      </c>
      <c r="P3735" s="3" t="s">
        <v>65</v>
      </c>
      <c r="R3735" s="3" t="s">
        <v>66</v>
      </c>
      <c r="S3735" s="4">
        <v>2</v>
      </c>
      <c r="T3735" s="4">
        <v>2</v>
      </c>
      <c r="U3735" s="5" t="s">
        <v>5076</v>
      </c>
      <c r="V3735" s="5" t="s">
        <v>5076</v>
      </c>
      <c r="W3735" s="5" t="s">
        <v>67</v>
      </c>
      <c r="X3735" s="5" t="s">
        <v>67</v>
      </c>
      <c r="Y3735" s="4">
        <v>504</v>
      </c>
      <c r="Z3735" s="4">
        <v>23</v>
      </c>
      <c r="AA3735" s="4">
        <v>28</v>
      </c>
      <c r="AB3735" s="4">
        <v>1</v>
      </c>
      <c r="AC3735" s="4">
        <v>6</v>
      </c>
      <c r="AD3735" s="4">
        <v>96</v>
      </c>
      <c r="AE3735" s="4">
        <v>102</v>
      </c>
      <c r="AF3735" s="4">
        <v>0</v>
      </c>
      <c r="AG3735" s="4">
        <v>4</v>
      </c>
      <c r="AH3735" s="4">
        <v>89</v>
      </c>
      <c r="AI3735" s="4">
        <v>92</v>
      </c>
      <c r="AJ3735" s="4">
        <v>15</v>
      </c>
      <c r="AK3735" s="4">
        <v>18</v>
      </c>
      <c r="AL3735" s="4">
        <v>49</v>
      </c>
      <c r="AM3735" s="4">
        <v>49</v>
      </c>
      <c r="AN3735" s="4">
        <v>0</v>
      </c>
      <c r="AO3735" s="4">
        <v>0</v>
      </c>
      <c r="AP3735" s="4">
        <v>16</v>
      </c>
      <c r="AQ3735" s="4">
        <v>19</v>
      </c>
      <c r="AR3735" s="3" t="s">
        <v>62</v>
      </c>
      <c r="AS3735" s="3" t="s">
        <v>62</v>
      </c>
      <c r="AT3735" s="3" t="s">
        <v>61</v>
      </c>
      <c r="AU3735" s="6" t="str">
        <f>HYPERLINK("http://catalog.hathitrust.org/Record/004037547","HathiTrust Record")</f>
        <v>HathiTrust Record</v>
      </c>
      <c r="AV3735" s="6" t="str">
        <f>HYPERLINK("http://mcgill.on.worldcat.org/oclc/40890916","Catalog Record")</f>
        <v>Catalog Record</v>
      </c>
      <c r="AW3735" s="6" t="str">
        <f>HYPERLINK("http://www.worldcat.org/oclc/40890916","WorldCat Record")</f>
        <v>WorldCat Record</v>
      </c>
      <c r="AX3735" s="3" t="s">
        <v>36026</v>
      </c>
      <c r="AY3735" s="3" t="s">
        <v>36027</v>
      </c>
      <c r="AZ3735" s="3" t="s">
        <v>36028</v>
      </c>
      <c r="BA3735" s="3" t="s">
        <v>36028</v>
      </c>
      <c r="BB3735" s="3" t="s">
        <v>36029</v>
      </c>
      <c r="BC3735" s="3" t="s">
        <v>142</v>
      </c>
      <c r="BD3735" s="3" t="s">
        <v>68</v>
      </c>
      <c r="BE3735" s="3" t="s">
        <v>36030</v>
      </c>
      <c r="BF3735" s="3" t="s">
        <v>36029</v>
      </c>
      <c r="BG3735" s="3" t="s">
        <v>36031</v>
      </c>
    </row>
    <row r="3736" spans="1:59" ht="57" x14ac:dyDescent="0.45">
      <c r="A3736" s="2" t="s">
        <v>59</v>
      </c>
      <c r="B3736" s="2" t="s">
        <v>60</v>
      </c>
      <c r="C3736" s="2" t="s">
        <v>36032</v>
      </c>
      <c r="D3736" s="2" t="s">
        <v>36033</v>
      </c>
      <c r="E3736" s="2" t="s">
        <v>36034</v>
      </c>
      <c r="G3736" s="3" t="s">
        <v>62</v>
      </c>
      <c r="I3736" s="3" t="s">
        <v>61</v>
      </c>
      <c r="J3736" s="3" t="s">
        <v>61</v>
      </c>
      <c r="K3736" s="3" t="s">
        <v>63</v>
      </c>
      <c r="L3736" s="2" t="s">
        <v>36035</v>
      </c>
      <c r="M3736" s="2" t="s">
        <v>36036</v>
      </c>
      <c r="N3736" s="3" t="s">
        <v>1212</v>
      </c>
      <c r="O3736" s="2" t="s">
        <v>933</v>
      </c>
      <c r="P3736" s="3" t="s">
        <v>65</v>
      </c>
      <c r="R3736" s="3" t="s">
        <v>66</v>
      </c>
      <c r="S3736" s="4">
        <v>36</v>
      </c>
      <c r="T3736" s="4">
        <v>48</v>
      </c>
      <c r="U3736" s="5" t="s">
        <v>19976</v>
      </c>
      <c r="V3736" s="5" t="s">
        <v>19976</v>
      </c>
      <c r="W3736" s="5" t="s">
        <v>67</v>
      </c>
      <c r="X3736" s="5" t="s">
        <v>67</v>
      </c>
      <c r="Y3736" s="4">
        <v>157</v>
      </c>
      <c r="Z3736" s="4">
        <v>10</v>
      </c>
      <c r="AA3736" s="4">
        <v>37</v>
      </c>
      <c r="AB3736" s="4">
        <v>1</v>
      </c>
      <c r="AC3736" s="4">
        <v>6</v>
      </c>
      <c r="AD3736" s="4">
        <v>32</v>
      </c>
      <c r="AE3736" s="4">
        <v>85</v>
      </c>
      <c r="AF3736" s="4">
        <v>0</v>
      </c>
      <c r="AG3736" s="4">
        <v>3</v>
      </c>
      <c r="AH3736" s="4">
        <v>29</v>
      </c>
      <c r="AI3736" s="4">
        <v>72</v>
      </c>
      <c r="AJ3736" s="4">
        <v>3</v>
      </c>
      <c r="AK3736" s="4">
        <v>20</v>
      </c>
      <c r="AL3736" s="4">
        <v>21</v>
      </c>
      <c r="AM3736" s="4">
        <v>42</v>
      </c>
      <c r="AN3736" s="4">
        <v>0</v>
      </c>
      <c r="AO3736" s="4">
        <v>0</v>
      </c>
      <c r="AP3736" s="4">
        <v>5</v>
      </c>
      <c r="AQ3736" s="4">
        <v>23</v>
      </c>
      <c r="AR3736" s="3" t="s">
        <v>62</v>
      </c>
      <c r="AS3736" s="3" t="s">
        <v>62</v>
      </c>
      <c r="AT3736" s="3" t="s">
        <v>62</v>
      </c>
      <c r="AV3736" s="6" t="str">
        <f>HYPERLINK("http://mcgill.on.worldcat.org/oclc/44811963","Catalog Record")</f>
        <v>Catalog Record</v>
      </c>
      <c r="AW3736" s="6" t="str">
        <f>HYPERLINK("http://www.worldcat.org/oclc/44811963","WorldCat Record")</f>
        <v>WorldCat Record</v>
      </c>
      <c r="AX3736" s="3" t="s">
        <v>36037</v>
      </c>
      <c r="AY3736" s="3" t="s">
        <v>36038</v>
      </c>
      <c r="AZ3736" s="3" t="s">
        <v>36039</v>
      </c>
      <c r="BA3736" s="3" t="s">
        <v>36039</v>
      </c>
      <c r="BB3736" s="3" t="s">
        <v>36040</v>
      </c>
      <c r="BC3736" s="3" t="s">
        <v>142</v>
      </c>
      <c r="BD3736" s="3" t="s">
        <v>68</v>
      </c>
      <c r="BE3736" s="3" t="s">
        <v>36041</v>
      </c>
      <c r="BF3736" s="3" t="s">
        <v>36040</v>
      </c>
      <c r="BG3736" s="3" t="s">
        <v>36042</v>
      </c>
    </row>
    <row r="3737" spans="1:59" ht="57" x14ac:dyDescent="0.45">
      <c r="A3737" s="2" t="s">
        <v>59</v>
      </c>
      <c r="B3737" s="2" t="s">
        <v>60</v>
      </c>
      <c r="C3737" s="2" t="s">
        <v>36032</v>
      </c>
      <c r="D3737" s="2" t="s">
        <v>36033</v>
      </c>
      <c r="E3737" s="2" t="s">
        <v>36034</v>
      </c>
      <c r="G3737" s="3" t="s">
        <v>62</v>
      </c>
      <c r="I3737" s="3" t="s">
        <v>61</v>
      </c>
      <c r="J3737" s="3" t="s">
        <v>61</v>
      </c>
      <c r="K3737" s="3" t="s">
        <v>63</v>
      </c>
      <c r="L3737" s="2" t="s">
        <v>36035</v>
      </c>
      <c r="M3737" s="2" t="s">
        <v>36036</v>
      </c>
      <c r="N3737" s="3" t="s">
        <v>1212</v>
      </c>
      <c r="O3737" s="2" t="s">
        <v>933</v>
      </c>
      <c r="P3737" s="3" t="s">
        <v>65</v>
      </c>
      <c r="R3737" s="3" t="s">
        <v>66</v>
      </c>
      <c r="S3737" s="4">
        <v>12</v>
      </c>
      <c r="T3737" s="4">
        <v>48</v>
      </c>
      <c r="U3737" s="5" t="s">
        <v>35561</v>
      </c>
      <c r="V3737" s="5" t="s">
        <v>19976</v>
      </c>
      <c r="W3737" s="5" t="s">
        <v>67</v>
      </c>
      <c r="X3737" s="5" t="s">
        <v>67</v>
      </c>
      <c r="Y3737" s="4">
        <v>157</v>
      </c>
      <c r="Z3737" s="4">
        <v>10</v>
      </c>
      <c r="AA3737" s="4">
        <v>37</v>
      </c>
      <c r="AB3737" s="4">
        <v>1</v>
      </c>
      <c r="AC3737" s="4">
        <v>6</v>
      </c>
      <c r="AD3737" s="4">
        <v>32</v>
      </c>
      <c r="AE3737" s="4">
        <v>85</v>
      </c>
      <c r="AF3737" s="4">
        <v>0</v>
      </c>
      <c r="AG3737" s="4">
        <v>3</v>
      </c>
      <c r="AH3737" s="4">
        <v>29</v>
      </c>
      <c r="AI3737" s="4">
        <v>72</v>
      </c>
      <c r="AJ3737" s="4">
        <v>3</v>
      </c>
      <c r="AK3737" s="4">
        <v>20</v>
      </c>
      <c r="AL3737" s="4">
        <v>21</v>
      </c>
      <c r="AM3737" s="4">
        <v>42</v>
      </c>
      <c r="AN3737" s="4">
        <v>0</v>
      </c>
      <c r="AO3737" s="4">
        <v>0</v>
      </c>
      <c r="AP3737" s="4">
        <v>5</v>
      </c>
      <c r="AQ3737" s="4">
        <v>23</v>
      </c>
      <c r="AR3737" s="3" t="s">
        <v>62</v>
      </c>
      <c r="AS3737" s="3" t="s">
        <v>62</v>
      </c>
      <c r="AT3737" s="3" t="s">
        <v>62</v>
      </c>
      <c r="AV3737" s="6" t="str">
        <f>HYPERLINK("http://mcgill.on.worldcat.org/oclc/44811963","Catalog Record")</f>
        <v>Catalog Record</v>
      </c>
      <c r="AW3737" s="6" t="str">
        <f>HYPERLINK("http://www.worldcat.org/oclc/44811963","WorldCat Record")</f>
        <v>WorldCat Record</v>
      </c>
      <c r="AX3737" s="3" t="s">
        <v>36037</v>
      </c>
      <c r="AY3737" s="3" t="s">
        <v>36038</v>
      </c>
      <c r="AZ3737" s="3" t="s">
        <v>36039</v>
      </c>
      <c r="BA3737" s="3" t="s">
        <v>36039</v>
      </c>
      <c r="BB3737" s="3" t="s">
        <v>36043</v>
      </c>
      <c r="BC3737" s="3" t="s">
        <v>142</v>
      </c>
      <c r="BD3737" s="3" t="s">
        <v>68</v>
      </c>
      <c r="BE3737" s="3" t="s">
        <v>36041</v>
      </c>
      <c r="BF3737" s="3" t="s">
        <v>36043</v>
      </c>
      <c r="BG3737" s="3" t="s">
        <v>36044</v>
      </c>
    </row>
    <row r="3738" spans="1:59" ht="57" x14ac:dyDescent="0.45">
      <c r="A3738" s="2" t="s">
        <v>59</v>
      </c>
      <c r="B3738" s="2" t="s">
        <v>60</v>
      </c>
      <c r="C3738" s="2" t="s">
        <v>36045</v>
      </c>
      <c r="D3738" s="2" t="s">
        <v>36046</v>
      </c>
      <c r="E3738" s="2" t="s">
        <v>36034</v>
      </c>
      <c r="G3738" s="3" t="s">
        <v>62</v>
      </c>
      <c r="I3738" s="3" t="s">
        <v>62</v>
      </c>
      <c r="J3738" s="3" t="s">
        <v>61</v>
      </c>
      <c r="K3738" s="3" t="s">
        <v>63</v>
      </c>
      <c r="L3738" s="2" t="s">
        <v>36035</v>
      </c>
      <c r="M3738" s="2" t="s">
        <v>36047</v>
      </c>
      <c r="N3738" s="3" t="s">
        <v>1465</v>
      </c>
      <c r="O3738" s="2" t="s">
        <v>420</v>
      </c>
      <c r="P3738" s="3" t="s">
        <v>65</v>
      </c>
      <c r="R3738" s="3" t="s">
        <v>66</v>
      </c>
      <c r="S3738" s="4">
        <v>8</v>
      </c>
      <c r="T3738" s="4">
        <v>8</v>
      </c>
      <c r="U3738" s="5" t="s">
        <v>29035</v>
      </c>
      <c r="V3738" s="5" t="s">
        <v>29035</v>
      </c>
      <c r="W3738" s="5" t="s">
        <v>67</v>
      </c>
      <c r="X3738" s="5" t="s">
        <v>67</v>
      </c>
      <c r="Y3738" s="4">
        <v>82</v>
      </c>
      <c r="Z3738" s="4">
        <v>4</v>
      </c>
      <c r="AA3738" s="4">
        <v>37</v>
      </c>
      <c r="AB3738" s="4">
        <v>1</v>
      </c>
      <c r="AC3738" s="4">
        <v>6</v>
      </c>
      <c r="AD3738" s="4">
        <v>19</v>
      </c>
      <c r="AE3738" s="4">
        <v>85</v>
      </c>
      <c r="AF3738" s="4">
        <v>0</v>
      </c>
      <c r="AG3738" s="4">
        <v>3</v>
      </c>
      <c r="AH3738" s="4">
        <v>19</v>
      </c>
      <c r="AI3738" s="4">
        <v>72</v>
      </c>
      <c r="AJ3738" s="4">
        <v>3</v>
      </c>
      <c r="AK3738" s="4">
        <v>20</v>
      </c>
      <c r="AL3738" s="4">
        <v>13</v>
      </c>
      <c r="AM3738" s="4">
        <v>42</v>
      </c>
      <c r="AN3738" s="4">
        <v>0</v>
      </c>
      <c r="AO3738" s="4">
        <v>0</v>
      </c>
      <c r="AP3738" s="4">
        <v>3</v>
      </c>
      <c r="AQ3738" s="4">
        <v>23</v>
      </c>
      <c r="AR3738" s="3" t="s">
        <v>62</v>
      </c>
      <c r="AS3738" s="3" t="s">
        <v>62</v>
      </c>
      <c r="AT3738" s="3" t="s">
        <v>62</v>
      </c>
      <c r="AV3738" s="6" t="str">
        <f>HYPERLINK("http://mcgill.on.worldcat.org/oclc/172983834","Catalog Record")</f>
        <v>Catalog Record</v>
      </c>
      <c r="AW3738" s="6" t="str">
        <f>HYPERLINK("http://www.worldcat.org/oclc/172983834","WorldCat Record")</f>
        <v>WorldCat Record</v>
      </c>
      <c r="AX3738" s="3" t="s">
        <v>36037</v>
      </c>
      <c r="AY3738" s="3" t="s">
        <v>36048</v>
      </c>
      <c r="AZ3738" s="3" t="s">
        <v>36049</v>
      </c>
      <c r="BA3738" s="3" t="s">
        <v>36049</v>
      </c>
      <c r="BB3738" s="3" t="s">
        <v>36050</v>
      </c>
      <c r="BC3738" s="3" t="s">
        <v>142</v>
      </c>
      <c r="BD3738" s="3" t="s">
        <v>68</v>
      </c>
      <c r="BE3738" s="3" t="s">
        <v>36051</v>
      </c>
      <c r="BF3738" s="3" t="s">
        <v>36050</v>
      </c>
      <c r="BG3738" s="3" t="s">
        <v>36052</v>
      </c>
    </row>
    <row r="3739" spans="1:59" ht="57" x14ac:dyDescent="0.45">
      <c r="A3739" s="2" t="s">
        <v>59</v>
      </c>
      <c r="B3739" s="2" t="s">
        <v>60</v>
      </c>
      <c r="C3739" s="2" t="s">
        <v>36053</v>
      </c>
      <c r="D3739" s="2" t="s">
        <v>36054</v>
      </c>
      <c r="E3739" s="2" t="s">
        <v>36055</v>
      </c>
      <c r="G3739" s="3" t="s">
        <v>62</v>
      </c>
      <c r="I3739" s="3" t="s">
        <v>62</v>
      </c>
      <c r="J3739" s="3" t="s">
        <v>61</v>
      </c>
      <c r="K3739" s="3" t="s">
        <v>63</v>
      </c>
      <c r="L3739" s="2" t="s">
        <v>36056</v>
      </c>
      <c r="M3739" s="2" t="s">
        <v>36057</v>
      </c>
      <c r="N3739" s="3" t="s">
        <v>894</v>
      </c>
      <c r="O3739" s="2" t="s">
        <v>919</v>
      </c>
      <c r="P3739" s="3" t="s">
        <v>65</v>
      </c>
      <c r="Q3739" s="2" t="s">
        <v>35785</v>
      </c>
      <c r="R3739" s="3" t="s">
        <v>66</v>
      </c>
      <c r="S3739" s="4">
        <v>4</v>
      </c>
      <c r="T3739" s="4">
        <v>4</v>
      </c>
      <c r="U3739" s="5" t="s">
        <v>36058</v>
      </c>
      <c r="V3739" s="5" t="s">
        <v>36058</v>
      </c>
      <c r="W3739" s="5" t="s">
        <v>67</v>
      </c>
      <c r="X3739" s="5" t="s">
        <v>67</v>
      </c>
      <c r="Y3739" s="4">
        <v>172</v>
      </c>
      <c r="Z3739" s="4">
        <v>14</v>
      </c>
      <c r="AA3739" s="4">
        <v>48</v>
      </c>
      <c r="AB3739" s="4">
        <v>1</v>
      </c>
      <c r="AC3739" s="4">
        <v>10</v>
      </c>
      <c r="AD3739" s="4">
        <v>29</v>
      </c>
      <c r="AE3739" s="4">
        <v>107</v>
      </c>
      <c r="AF3739" s="4">
        <v>0</v>
      </c>
      <c r="AG3739" s="4">
        <v>5</v>
      </c>
      <c r="AH3739" s="4">
        <v>26</v>
      </c>
      <c r="AI3739" s="4">
        <v>89</v>
      </c>
      <c r="AJ3739" s="4">
        <v>5</v>
      </c>
      <c r="AK3739" s="4">
        <v>24</v>
      </c>
      <c r="AL3739" s="4">
        <v>15</v>
      </c>
      <c r="AM3739" s="4">
        <v>45</v>
      </c>
      <c r="AN3739" s="4">
        <v>0</v>
      </c>
      <c r="AO3739" s="4">
        <v>0</v>
      </c>
      <c r="AP3739" s="4">
        <v>6</v>
      </c>
      <c r="AQ3739" s="4">
        <v>28</v>
      </c>
      <c r="AR3739" s="3" t="s">
        <v>62</v>
      </c>
      <c r="AS3739" s="3" t="s">
        <v>62</v>
      </c>
      <c r="AT3739" s="3" t="s">
        <v>61</v>
      </c>
      <c r="AU3739" s="6" t="str">
        <f>HYPERLINK("http://catalog.hathitrust.org/Record/012269740","HathiTrust Record")</f>
        <v>HathiTrust Record</v>
      </c>
      <c r="AV3739" s="6" t="str">
        <f>HYPERLINK("http://mcgill.on.worldcat.org/oclc/369143526","Catalog Record")</f>
        <v>Catalog Record</v>
      </c>
      <c r="AW3739" s="6" t="str">
        <f>HYPERLINK("http://www.worldcat.org/oclc/369143526","WorldCat Record")</f>
        <v>WorldCat Record</v>
      </c>
      <c r="AX3739" s="3" t="s">
        <v>36059</v>
      </c>
      <c r="AY3739" s="3" t="s">
        <v>36060</v>
      </c>
      <c r="AZ3739" s="3" t="s">
        <v>36061</v>
      </c>
      <c r="BA3739" s="3" t="s">
        <v>36061</v>
      </c>
      <c r="BB3739" s="3" t="s">
        <v>36062</v>
      </c>
      <c r="BC3739" s="3" t="s">
        <v>142</v>
      </c>
      <c r="BD3739" s="3" t="s">
        <v>68</v>
      </c>
      <c r="BE3739" s="3" t="s">
        <v>36063</v>
      </c>
      <c r="BF3739" s="3" t="s">
        <v>36062</v>
      </c>
      <c r="BG3739" s="3" t="s">
        <v>36064</v>
      </c>
    </row>
    <row r="3740" spans="1:59" ht="57" x14ac:dyDescent="0.45">
      <c r="A3740" s="2" t="s">
        <v>59</v>
      </c>
      <c r="B3740" s="2" t="s">
        <v>60</v>
      </c>
      <c r="C3740" s="2" t="s">
        <v>36065</v>
      </c>
      <c r="D3740" s="2" t="s">
        <v>36066</v>
      </c>
      <c r="E3740" s="2" t="s">
        <v>36067</v>
      </c>
      <c r="G3740" s="3" t="s">
        <v>62</v>
      </c>
      <c r="I3740" s="3" t="s">
        <v>62</v>
      </c>
      <c r="J3740" s="3" t="s">
        <v>62</v>
      </c>
      <c r="K3740" s="3" t="s">
        <v>63</v>
      </c>
      <c r="M3740" s="2" t="s">
        <v>36068</v>
      </c>
      <c r="N3740" s="3" t="s">
        <v>1604</v>
      </c>
      <c r="P3740" s="3" t="s">
        <v>65</v>
      </c>
      <c r="R3740" s="3" t="s">
        <v>66</v>
      </c>
      <c r="S3740" s="4">
        <v>74</v>
      </c>
      <c r="T3740" s="4">
        <v>74</v>
      </c>
      <c r="U3740" s="5" t="s">
        <v>31336</v>
      </c>
      <c r="V3740" s="5" t="s">
        <v>31336</v>
      </c>
      <c r="W3740" s="5" t="s">
        <v>67</v>
      </c>
      <c r="X3740" s="5" t="s">
        <v>67</v>
      </c>
      <c r="Y3740" s="4">
        <v>295</v>
      </c>
      <c r="Z3740" s="4">
        <v>18</v>
      </c>
      <c r="AA3740" s="4">
        <v>21</v>
      </c>
      <c r="AB3740" s="4">
        <v>2</v>
      </c>
      <c r="AC3740" s="4">
        <v>5</v>
      </c>
      <c r="AD3740" s="4">
        <v>91</v>
      </c>
      <c r="AE3740" s="4">
        <v>93</v>
      </c>
      <c r="AF3740" s="4">
        <v>1</v>
      </c>
      <c r="AG3740" s="4">
        <v>3</v>
      </c>
      <c r="AH3740" s="4">
        <v>82</v>
      </c>
      <c r="AI3740" s="4">
        <v>83</v>
      </c>
      <c r="AJ3740" s="4">
        <v>14</v>
      </c>
      <c r="AK3740" s="4">
        <v>16</v>
      </c>
      <c r="AL3740" s="4">
        <v>43</v>
      </c>
      <c r="AM3740" s="4">
        <v>43</v>
      </c>
      <c r="AN3740" s="4">
        <v>0</v>
      </c>
      <c r="AO3740" s="4">
        <v>0</v>
      </c>
      <c r="AP3740" s="4">
        <v>16</v>
      </c>
      <c r="AQ3740" s="4">
        <v>18</v>
      </c>
      <c r="AR3740" s="3" t="s">
        <v>62</v>
      </c>
      <c r="AS3740" s="3" t="s">
        <v>62</v>
      </c>
      <c r="AT3740" s="3" t="s">
        <v>61</v>
      </c>
      <c r="AU3740" s="6" t="str">
        <f>HYPERLINK("http://catalog.hathitrust.org/Record/002953070","HathiTrust Record")</f>
        <v>HathiTrust Record</v>
      </c>
      <c r="AV3740" s="6" t="str">
        <f>HYPERLINK("http://mcgill.on.worldcat.org/oclc/31903832","Catalog Record")</f>
        <v>Catalog Record</v>
      </c>
      <c r="AW3740" s="6" t="str">
        <f>HYPERLINK("http://www.worldcat.org/oclc/31903832","WorldCat Record")</f>
        <v>WorldCat Record</v>
      </c>
      <c r="AX3740" s="3" t="s">
        <v>36069</v>
      </c>
      <c r="AY3740" s="3" t="s">
        <v>36070</v>
      </c>
      <c r="AZ3740" s="3" t="s">
        <v>36071</v>
      </c>
      <c r="BA3740" s="3" t="s">
        <v>36071</v>
      </c>
      <c r="BB3740" s="3" t="s">
        <v>36072</v>
      </c>
      <c r="BC3740" s="3" t="s">
        <v>142</v>
      </c>
      <c r="BD3740" s="3" t="s">
        <v>68</v>
      </c>
      <c r="BE3740" s="3" t="s">
        <v>36073</v>
      </c>
      <c r="BF3740" s="3" t="s">
        <v>36072</v>
      </c>
      <c r="BG3740" s="3" t="s">
        <v>36074</v>
      </c>
    </row>
    <row r="3741" spans="1:59" ht="57" x14ac:dyDescent="0.45">
      <c r="A3741" s="2" t="s">
        <v>59</v>
      </c>
      <c r="B3741" s="2" t="s">
        <v>60</v>
      </c>
      <c r="C3741" s="2" t="s">
        <v>36075</v>
      </c>
      <c r="D3741" s="2" t="s">
        <v>36076</v>
      </c>
      <c r="E3741" s="2" t="s">
        <v>36077</v>
      </c>
      <c r="G3741" s="3" t="s">
        <v>62</v>
      </c>
      <c r="I3741" s="3" t="s">
        <v>62</v>
      </c>
      <c r="J3741" s="3" t="s">
        <v>62</v>
      </c>
      <c r="K3741" s="3" t="s">
        <v>63</v>
      </c>
      <c r="M3741" s="2" t="s">
        <v>36078</v>
      </c>
      <c r="N3741" s="3" t="s">
        <v>1465</v>
      </c>
      <c r="P3741" s="3" t="s">
        <v>65</v>
      </c>
      <c r="R3741" s="3" t="s">
        <v>66</v>
      </c>
      <c r="S3741" s="4">
        <v>9</v>
      </c>
      <c r="T3741" s="4">
        <v>9</v>
      </c>
      <c r="U3741" s="5" t="s">
        <v>128</v>
      </c>
      <c r="V3741" s="5" t="s">
        <v>128</v>
      </c>
      <c r="W3741" s="5" t="s">
        <v>67</v>
      </c>
      <c r="X3741" s="5" t="s">
        <v>67</v>
      </c>
      <c r="Y3741" s="4">
        <v>189</v>
      </c>
      <c r="Z3741" s="4">
        <v>14</v>
      </c>
      <c r="AA3741" s="4">
        <v>21</v>
      </c>
      <c r="AB3741" s="4">
        <v>2</v>
      </c>
      <c r="AC3741" s="4">
        <v>7</v>
      </c>
      <c r="AD3741" s="4">
        <v>70</v>
      </c>
      <c r="AE3741" s="4">
        <v>76</v>
      </c>
      <c r="AF3741" s="4">
        <v>1</v>
      </c>
      <c r="AG3741" s="4">
        <v>3</v>
      </c>
      <c r="AH3741" s="4">
        <v>63</v>
      </c>
      <c r="AI3741" s="4">
        <v>67</v>
      </c>
      <c r="AJ3741" s="4">
        <v>10</v>
      </c>
      <c r="AK3741" s="4">
        <v>14</v>
      </c>
      <c r="AL3741" s="4">
        <v>38</v>
      </c>
      <c r="AM3741" s="4">
        <v>38</v>
      </c>
      <c r="AN3741" s="4">
        <v>0</v>
      </c>
      <c r="AO3741" s="4">
        <v>0</v>
      </c>
      <c r="AP3741" s="4">
        <v>12</v>
      </c>
      <c r="AQ3741" s="4">
        <v>15</v>
      </c>
      <c r="AR3741" s="3" t="s">
        <v>62</v>
      </c>
      <c r="AS3741" s="3" t="s">
        <v>62</v>
      </c>
      <c r="AT3741" s="3" t="s">
        <v>62</v>
      </c>
      <c r="AV3741" s="6" t="str">
        <f>HYPERLINK("http://mcgill.on.worldcat.org/oclc/156810452","Catalog Record")</f>
        <v>Catalog Record</v>
      </c>
      <c r="AW3741" s="6" t="str">
        <f>HYPERLINK("http://www.worldcat.org/oclc/156810452","WorldCat Record")</f>
        <v>WorldCat Record</v>
      </c>
      <c r="AX3741" s="3" t="s">
        <v>36079</v>
      </c>
      <c r="AY3741" s="3" t="s">
        <v>36080</v>
      </c>
      <c r="AZ3741" s="3" t="s">
        <v>36081</v>
      </c>
      <c r="BA3741" s="3" t="s">
        <v>36081</v>
      </c>
      <c r="BB3741" s="3" t="s">
        <v>36082</v>
      </c>
      <c r="BC3741" s="3" t="s">
        <v>142</v>
      </c>
      <c r="BD3741" s="3" t="s">
        <v>68</v>
      </c>
      <c r="BE3741" s="3" t="s">
        <v>36083</v>
      </c>
      <c r="BF3741" s="3" t="s">
        <v>36082</v>
      </c>
      <c r="BG3741" s="3" t="s">
        <v>36084</v>
      </c>
    </row>
    <row r="3742" spans="1:59" ht="57" x14ac:dyDescent="0.45">
      <c r="A3742" s="2" t="s">
        <v>59</v>
      </c>
      <c r="B3742" s="2" t="s">
        <v>60</v>
      </c>
      <c r="C3742" s="2" t="s">
        <v>36085</v>
      </c>
      <c r="D3742" s="2" t="s">
        <v>36086</v>
      </c>
      <c r="E3742" s="2" t="s">
        <v>36087</v>
      </c>
      <c r="G3742" s="3" t="s">
        <v>62</v>
      </c>
      <c r="I3742" s="3" t="s">
        <v>62</v>
      </c>
      <c r="J3742" s="3" t="s">
        <v>62</v>
      </c>
      <c r="K3742" s="3" t="s">
        <v>63</v>
      </c>
      <c r="L3742" s="2" t="s">
        <v>36088</v>
      </c>
      <c r="M3742" s="2" t="s">
        <v>36089</v>
      </c>
      <c r="N3742" s="3" t="s">
        <v>106</v>
      </c>
      <c r="P3742" s="3" t="s">
        <v>65</v>
      </c>
      <c r="Q3742" s="2" t="s">
        <v>36090</v>
      </c>
      <c r="R3742" s="3" t="s">
        <v>66</v>
      </c>
      <c r="S3742" s="4">
        <v>13</v>
      </c>
      <c r="T3742" s="4">
        <v>13</v>
      </c>
      <c r="U3742" s="5" t="s">
        <v>11647</v>
      </c>
      <c r="V3742" s="5" t="s">
        <v>11647</v>
      </c>
      <c r="W3742" s="5" t="s">
        <v>67</v>
      </c>
      <c r="X3742" s="5" t="s">
        <v>67</v>
      </c>
      <c r="Y3742" s="4">
        <v>214</v>
      </c>
      <c r="Z3742" s="4">
        <v>16</v>
      </c>
      <c r="AA3742" s="4">
        <v>21</v>
      </c>
      <c r="AB3742" s="4">
        <v>1</v>
      </c>
      <c r="AC3742" s="4">
        <v>5</v>
      </c>
      <c r="AD3742" s="4">
        <v>77</v>
      </c>
      <c r="AE3742" s="4">
        <v>81</v>
      </c>
      <c r="AF3742" s="4">
        <v>0</v>
      </c>
      <c r="AG3742" s="4">
        <v>3</v>
      </c>
      <c r="AH3742" s="4">
        <v>72</v>
      </c>
      <c r="AI3742" s="4">
        <v>73</v>
      </c>
      <c r="AJ3742" s="4">
        <v>13</v>
      </c>
      <c r="AK3742" s="4">
        <v>16</v>
      </c>
      <c r="AL3742" s="4">
        <v>40</v>
      </c>
      <c r="AM3742" s="4">
        <v>40</v>
      </c>
      <c r="AN3742" s="4">
        <v>0</v>
      </c>
      <c r="AO3742" s="4">
        <v>0</v>
      </c>
      <c r="AP3742" s="4">
        <v>13</v>
      </c>
      <c r="AQ3742" s="4">
        <v>16</v>
      </c>
      <c r="AR3742" s="3" t="s">
        <v>62</v>
      </c>
      <c r="AS3742" s="3" t="s">
        <v>62</v>
      </c>
      <c r="AT3742" s="3" t="s">
        <v>61</v>
      </c>
      <c r="AU3742" s="6" t="str">
        <f>HYPERLINK("http://catalog.hathitrust.org/Record/007117934","HathiTrust Record")</f>
        <v>HathiTrust Record</v>
      </c>
      <c r="AV3742" s="6" t="str">
        <f>HYPERLINK("http://mcgill.on.worldcat.org/oclc/10823346","Catalog Record")</f>
        <v>Catalog Record</v>
      </c>
      <c r="AW3742" s="6" t="str">
        <f>HYPERLINK("http://www.worldcat.org/oclc/10823346","WorldCat Record")</f>
        <v>WorldCat Record</v>
      </c>
      <c r="AX3742" s="3" t="s">
        <v>36091</v>
      </c>
      <c r="AY3742" s="3" t="s">
        <v>36092</v>
      </c>
      <c r="AZ3742" s="3" t="s">
        <v>36093</v>
      </c>
      <c r="BA3742" s="3" t="s">
        <v>36093</v>
      </c>
      <c r="BB3742" s="3" t="s">
        <v>36094</v>
      </c>
      <c r="BC3742" s="3" t="s">
        <v>142</v>
      </c>
      <c r="BD3742" s="3" t="s">
        <v>68</v>
      </c>
      <c r="BE3742" s="3" t="s">
        <v>36095</v>
      </c>
      <c r="BF3742" s="3" t="s">
        <v>36094</v>
      </c>
      <c r="BG3742" s="3" t="s">
        <v>36096</v>
      </c>
    </row>
    <row r="3743" spans="1:59" ht="57" x14ac:dyDescent="0.45">
      <c r="A3743" s="2" t="s">
        <v>59</v>
      </c>
      <c r="B3743" s="2" t="s">
        <v>60</v>
      </c>
      <c r="C3743" s="2" t="s">
        <v>36097</v>
      </c>
      <c r="D3743" s="2" t="s">
        <v>36098</v>
      </c>
      <c r="E3743" s="2" t="s">
        <v>36099</v>
      </c>
      <c r="G3743" s="3" t="s">
        <v>62</v>
      </c>
      <c r="I3743" s="3" t="s">
        <v>62</v>
      </c>
      <c r="J3743" s="3" t="s">
        <v>62</v>
      </c>
      <c r="K3743" s="3" t="s">
        <v>63</v>
      </c>
      <c r="M3743" s="2" t="s">
        <v>36100</v>
      </c>
      <c r="N3743" s="3" t="s">
        <v>945</v>
      </c>
      <c r="P3743" s="3" t="s">
        <v>65</v>
      </c>
      <c r="R3743" s="3" t="s">
        <v>66</v>
      </c>
      <c r="S3743" s="4">
        <v>11</v>
      </c>
      <c r="T3743" s="4">
        <v>11</v>
      </c>
      <c r="U3743" s="5" t="s">
        <v>36101</v>
      </c>
      <c r="V3743" s="5" t="s">
        <v>36101</v>
      </c>
      <c r="W3743" s="5" t="s">
        <v>67</v>
      </c>
      <c r="X3743" s="5" t="s">
        <v>67</v>
      </c>
      <c r="Y3743" s="4">
        <v>241</v>
      </c>
      <c r="Z3743" s="4">
        <v>10</v>
      </c>
      <c r="AA3743" s="4">
        <v>12</v>
      </c>
      <c r="AB3743" s="4">
        <v>1</v>
      </c>
      <c r="AC3743" s="4">
        <v>3</v>
      </c>
      <c r="AD3743" s="4">
        <v>65</v>
      </c>
      <c r="AE3743" s="4">
        <v>67</v>
      </c>
      <c r="AF3743" s="4">
        <v>0</v>
      </c>
      <c r="AG3743" s="4">
        <v>2</v>
      </c>
      <c r="AH3743" s="4">
        <v>63</v>
      </c>
      <c r="AI3743" s="4">
        <v>64</v>
      </c>
      <c r="AJ3743" s="4">
        <v>8</v>
      </c>
      <c r="AK3743" s="4">
        <v>10</v>
      </c>
      <c r="AL3743" s="4">
        <v>32</v>
      </c>
      <c r="AM3743" s="4">
        <v>32</v>
      </c>
      <c r="AN3743" s="4">
        <v>0</v>
      </c>
      <c r="AO3743" s="4">
        <v>0</v>
      </c>
      <c r="AP3743" s="4">
        <v>8</v>
      </c>
      <c r="AQ3743" s="4">
        <v>9</v>
      </c>
      <c r="AR3743" s="3" t="s">
        <v>62</v>
      </c>
      <c r="AS3743" s="3" t="s">
        <v>62</v>
      </c>
      <c r="AT3743" s="3" t="s">
        <v>61</v>
      </c>
      <c r="AU3743" s="6" t="str">
        <f>HYPERLINK("http://catalog.hathitrust.org/Record/005564230","HathiTrust Record")</f>
        <v>HathiTrust Record</v>
      </c>
      <c r="AV3743" s="6" t="str">
        <f>HYPERLINK("http://mcgill.on.worldcat.org/oclc/76750977","Catalog Record")</f>
        <v>Catalog Record</v>
      </c>
      <c r="AW3743" s="6" t="str">
        <f>HYPERLINK("http://www.worldcat.org/oclc/76750977","WorldCat Record")</f>
        <v>WorldCat Record</v>
      </c>
      <c r="AX3743" s="3" t="s">
        <v>36102</v>
      </c>
      <c r="AY3743" s="3" t="s">
        <v>36103</v>
      </c>
      <c r="AZ3743" s="3" t="s">
        <v>36104</v>
      </c>
      <c r="BA3743" s="3" t="s">
        <v>36104</v>
      </c>
      <c r="BB3743" s="3" t="s">
        <v>36105</v>
      </c>
      <c r="BC3743" s="3" t="s">
        <v>142</v>
      </c>
      <c r="BD3743" s="3" t="s">
        <v>68</v>
      </c>
      <c r="BE3743" s="3" t="s">
        <v>36106</v>
      </c>
      <c r="BF3743" s="3" t="s">
        <v>36105</v>
      </c>
      <c r="BG3743" s="3" t="s">
        <v>36107</v>
      </c>
    </row>
    <row r="3744" spans="1:59" ht="57" x14ac:dyDescent="0.45">
      <c r="A3744" s="2" t="s">
        <v>59</v>
      </c>
      <c r="B3744" s="2" t="s">
        <v>60</v>
      </c>
      <c r="C3744" s="2" t="s">
        <v>36108</v>
      </c>
      <c r="D3744" s="2" t="s">
        <v>36109</v>
      </c>
      <c r="E3744" s="2" t="s">
        <v>36110</v>
      </c>
      <c r="G3744" s="3" t="s">
        <v>62</v>
      </c>
      <c r="I3744" s="3" t="s">
        <v>62</v>
      </c>
      <c r="J3744" s="3" t="s">
        <v>62</v>
      </c>
      <c r="K3744" s="3" t="s">
        <v>63</v>
      </c>
      <c r="L3744" s="2" t="s">
        <v>36111</v>
      </c>
      <c r="M3744" s="2" t="s">
        <v>36112</v>
      </c>
      <c r="N3744" s="3" t="s">
        <v>116</v>
      </c>
      <c r="P3744" s="3" t="s">
        <v>65</v>
      </c>
      <c r="R3744" s="3" t="s">
        <v>66</v>
      </c>
      <c r="S3744" s="4">
        <v>0</v>
      </c>
      <c r="T3744" s="4">
        <v>0</v>
      </c>
      <c r="W3744" s="5" t="s">
        <v>67</v>
      </c>
      <c r="X3744" s="5" t="s">
        <v>67</v>
      </c>
      <c r="Y3744" s="4">
        <v>102</v>
      </c>
      <c r="Z3744" s="4">
        <v>19</v>
      </c>
      <c r="AA3744" s="4">
        <v>19</v>
      </c>
      <c r="AB3744" s="4">
        <v>1</v>
      </c>
      <c r="AC3744" s="4">
        <v>1</v>
      </c>
      <c r="AD3744" s="4">
        <v>55</v>
      </c>
      <c r="AE3744" s="4">
        <v>55</v>
      </c>
      <c r="AF3744" s="4">
        <v>0</v>
      </c>
      <c r="AG3744" s="4">
        <v>0</v>
      </c>
      <c r="AH3744" s="4">
        <v>48</v>
      </c>
      <c r="AI3744" s="4">
        <v>48</v>
      </c>
      <c r="AJ3744" s="4">
        <v>14</v>
      </c>
      <c r="AK3744" s="4">
        <v>14</v>
      </c>
      <c r="AL3744" s="4">
        <v>28</v>
      </c>
      <c r="AM3744" s="4">
        <v>28</v>
      </c>
      <c r="AN3744" s="4">
        <v>0</v>
      </c>
      <c r="AO3744" s="4">
        <v>0</v>
      </c>
      <c r="AP3744" s="4">
        <v>16</v>
      </c>
      <c r="AQ3744" s="4">
        <v>16</v>
      </c>
      <c r="AR3744" s="3" t="s">
        <v>62</v>
      </c>
      <c r="AS3744" s="3" t="s">
        <v>62</v>
      </c>
      <c r="AT3744" s="3" t="s">
        <v>62</v>
      </c>
      <c r="AV3744" s="6" t="str">
        <f>HYPERLINK("http://mcgill.on.worldcat.org/oclc/813526268","Catalog Record")</f>
        <v>Catalog Record</v>
      </c>
      <c r="AW3744" s="6" t="str">
        <f>HYPERLINK("http://www.worldcat.org/oclc/813526268","WorldCat Record")</f>
        <v>WorldCat Record</v>
      </c>
      <c r="AX3744" s="3" t="s">
        <v>36113</v>
      </c>
      <c r="AY3744" s="3" t="s">
        <v>36114</v>
      </c>
      <c r="AZ3744" s="3" t="s">
        <v>36115</v>
      </c>
      <c r="BA3744" s="3" t="s">
        <v>36115</v>
      </c>
      <c r="BB3744" s="3" t="s">
        <v>36116</v>
      </c>
      <c r="BC3744" s="3" t="s">
        <v>142</v>
      </c>
      <c r="BD3744" s="3" t="s">
        <v>68</v>
      </c>
      <c r="BE3744" s="3" t="s">
        <v>36117</v>
      </c>
      <c r="BF3744" s="3" t="s">
        <v>36116</v>
      </c>
      <c r="BG3744" s="3" t="s">
        <v>36118</v>
      </c>
    </row>
    <row r="3745" spans="1:59" ht="57" x14ac:dyDescent="0.45">
      <c r="A3745" s="2" t="s">
        <v>59</v>
      </c>
      <c r="B3745" s="2" t="s">
        <v>60</v>
      </c>
      <c r="C3745" s="2" t="s">
        <v>36119</v>
      </c>
      <c r="D3745" s="2" t="s">
        <v>36120</v>
      </c>
      <c r="E3745" s="2" t="s">
        <v>36121</v>
      </c>
      <c r="G3745" s="3" t="s">
        <v>62</v>
      </c>
      <c r="I3745" s="3" t="s">
        <v>62</v>
      </c>
      <c r="J3745" s="3" t="s">
        <v>62</v>
      </c>
      <c r="K3745" s="3" t="s">
        <v>63</v>
      </c>
      <c r="L3745" s="2" t="s">
        <v>36122</v>
      </c>
      <c r="M3745" s="2" t="s">
        <v>36123</v>
      </c>
      <c r="N3745" s="3" t="s">
        <v>208</v>
      </c>
      <c r="O3745" s="2" t="s">
        <v>36124</v>
      </c>
      <c r="P3745" s="3" t="s">
        <v>110</v>
      </c>
      <c r="Q3745" s="2" t="s">
        <v>36125</v>
      </c>
      <c r="R3745" s="3" t="s">
        <v>66</v>
      </c>
      <c r="S3745" s="4">
        <v>0</v>
      </c>
      <c r="T3745" s="4">
        <v>0</v>
      </c>
      <c r="W3745" s="5" t="s">
        <v>2406</v>
      </c>
      <c r="X3745" s="5" t="s">
        <v>2406</v>
      </c>
      <c r="Y3745" s="4">
        <v>1</v>
      </c>
      <c r="Z3745" s="4">
        <v>1</v>
      </c>
      <c r="AA3745" s="4">
        <v>5</v>
      </c>
      <c r="AB3745" s="4">
        <v>1</v>
      </c>
      <c r="AC3745" s="4">
        <v>2</v>
      </c>
      <c r="AD3745" s="4">
        <v>0</v>
      </c>
      <c r="AE3745" s="4">
        <v>4</v>
      </c>
      <c r="AF3745" s="4">
        <v>0</v>
      </c>
      <c r="AG3745" s="4">
        <v>0</v>
      </c>
      <c r="AH3745" s="4">
        <v>0</v>
      </c>
      <c r="AI3745" s="4">
        <v>3</v>
      </c>
      <c r="AJ3745" s="4">
        <v>0</v>
      </c>
      <c r="AK3745" s="4">
        <v>2</v>
      </c>
      <c r="AL3745" s="4">
        <v>0</v>
      </c>
      <c r="AM3745" s="4">
        <v>2</v>
      </c>
      <c r="AN3745" s="4">
        <v>0</v>
      </c>
      <c r="AO3745" s="4">
        <v>0</v>
      </c>
      <c r="AP3745" s="4">
        <v>0</v>
      </c>
      <c r="AQ3745" s="4">
        <v>2</v>
      </c>
      <c r="AR3745" s="3" t="s">
        <v>62</v>
      </c>
      <c r="AS3745" s="3" t="s">
        <v>62</v>
      </c>
      <c r="AT3745" s="3" t="s">
        <v>62</v>
      </c>
      <c r="AV3745" s="6" t="str">
        <f>HYPERLINK("http://mcgill.on.worldcat.org/oclc/974378913","Catalog Record")</f>
        <v>Catalog Record</v>
      </c>
      <c r="AW3745" s="6" t="str">
        <f>HYPERLINK("http://www.worldcat.org/oclc/974378913","WorldCat Record")</f>
        <v>WorldCat Record</v>
      </c>
      <c r="AX3745" s="3" t="s">
        <v>36126</v>
      </c>
      <c r="AY3745" s="3" t="s">
        <v>36127</v>
      </c>
      <c r="AZ3745" s="3" t="s">
        <v>36128</v>
      </c>
      <c r="BA3745" s="3" t="s">
        <v>36128</v>
      </c>
      <c r="BB3745" s="3" t="s">
        <v>36129</v>
      </c>
      <c r="BC3745" s="3" t="s">
        <v>142</v>
      </c>
      <c r="BD3745" s="3" t="s">
        <v>68</v>
      </c>
      <c r="BE3745" s="3" t="s">
        <v>36130</v>
      </c>
      <c r="BF3745" s="3" t="s">
        <v>36129</v>
      </c>
      <c r="BG3745" s="3" t="s">
        <v>36131</v>
      </c>
    </row>
    <row r="3746" spans="1:59" ht="57" x14ac:dyDescent="0.45">
      <c r="A3746" s="2" t="s">
        <v>59</v>
      </c>
      <c r="B3746" s="2" t="s">
        <v>60</v>
      </c>
      <c r="C3746" s="2" t="s">
        <v>36132</v>
      </c>
      <c r="D3746" s="2" t="s">
        <v>36133</v>
      </c>
      <c r="E3746" s="2" t="s">
        <v>36134</v>
      </c>
      <c r="F3746" s="3" t="s">
        <v>87</v>
      </c>
      <c r="G3746" s="3" t="s">
        <v>61</v>
      </c>
      <c r="I3746" s="3" t="s">
        <v>62</v>
      </c>
      <c r="J3746" s="3" t="s">
        <v>62</v>
      </c>
      <c r="K3746" s="3" t="s">
        <v>63</v>
      </c>
      <c r="M3746" s="2" t="s">
        <v>36135</v>
      </c>
      <c r="N3746" s="3" t="s">
        <v>149</v>
      </c>
      <c r="P3746" s="3" t="s">
        <v>65</v>
      </c>
      <c r="Q3746" s="2" t="s">
        <v>33186</v>
      </c>
      <c r="R3746" s="3" t="s">
        <v>66</v>
      </c>
      <c r="S3746" s="4">
        <v>1</v>
      </c>
      <c r="T3746" s="4">
        <v>4</v>
      </c>
      <c r="U3746" s="5" t="s">
        <v>36136</v>
      </c>
      <c r="V3746" s="5" t="s">
        <v>8270</v>
      </c>
      <c r="W3746" s="5" t="s">
        <v>67</v>
      </c>
      <c r="X3746" s="5" t="s">
        <v>67</v>
      </c>
      <c r="Y3746" s="4">
        <v>67</v>
      </c>
      <c r="Z3746" s="4">
        <v>6</v>
      </c>
      <c r="AA3746" s="4">
        <v>6</v>
      </c>
      <c r="AB3746" s="4">
        <v>1</v>
      </c>
      <c r="AC3746" s="4">
        <v>1</v>
      </c>
      <c r="AD3746" s="4">
        <v>16</v>
      </c>
      <c r="AE3746" s="4">
        <v>16</v>
      </c>
      <c r="AF3746" s="4">
        <v>0</v>
      </c>
      <c r="AG3746" s="4">
        <v>0</v>
      </c>
      <c r="AH3746" s="4">
        <v>14</v>
      </c>
      <c r="AI3746" s="4">
        <v>14</v>
      </c>
      <c r="AJ3746" s="4">
        <v>5</v>
      </c>
      <c r="AK3746" s="4">
        <v>5</v>
      </c>
      <c r="AL3746" s="4">
        <v>7</v>
      </c>
      <c r="AM3746" s="4">
        <v>7</v>
      </c>
      <c r="AN3746" s="4">
        <v>0</v>
      </c>
      <c r="AO3746" s="4">
        <v>0</v>
      </c>
      <c r="AP3746" s="4">
        <v>5</v>
      </c>
      <c r="AQ3746" s="4">
        <v>5</v>
      </c>
      <c r="AR3746" s="3" t="s">
        <v>62</v>
      </c>
      <c r="AS3746" s="3" t="s">
        <v>62</v>
      </c>
      <c r="AT3746" s="3" t="s">
        <v>62</v>
      </c>
      <c r="AV3746" s="6" t="str">
        <f>HYPERLINK("http://mcgill.on.worldcat.org/oclc/319321279","Catalog Record")</f>
        <v>Catalog Record</v>
      </c>
      <c r="AW3746" s="6" t="str">
        <f>HYPERLINK("http://www.worldcat.org/oclc/319321279","WorldCat Record")</f>
        <v>WorldCat Record</v>
      </c>
      <c r="AX3746" s="3" t="s">
        <v>36137</v>
      </c>
      <c r="AY3746" s="3" t="s">
        <v>36138</v>
      </c>
      <c r="AZ3746" s="3" t="s">
        <v>36139</v>
      </c>
      <c r="BA3746" s="3" t="s">
        <v>36139</v>
      </c>
      <c r="BB3746" s="3" t="s">
        <v>36140</v>
      </c>
      <c r="BC3746" s="3" t="s">
        <v>142</v>
      </c>
      <c r="BD3746" s="3" t="s">
        <v>68</v>
      </c>
      <c r="BE3746" s="3" t="s">
        <v>36141</v>
      </c>
      <c r="BF3746" s="3" t="s">
        <v>36140</v>
      </c>
      <c r="BG3746" s="3" t="s">
        <v>36142</v>
      </c>
    </row>
    <row r="3747" spans="1:59" ht="57" x14ac:dyDescent="0.45">
      <c r="A3747" s="2" t="s">
        <v>59</v>
      </c>
      <c r="B3747" s="2" t="s">
        <v>60</v>
      </c>
      <c r="C3747" s="2" t="s">
        <v>36132</v>
      </c>
      <c r="D3747" s="2" t="s">
        <v>36133</v>
      </c>
      <c r="E3747" s="2" t="s">
        <v>36134</v>
      </c>
      <c r="F3747" s="3" t="s">
        <v>88</v>
      </c>
      <c r="G3747" s="3" t="s">
        <v>61</v>
      </c>
      <c r="I3747" s="3" t="s">
        <v>62</v>
      </c>
      <c r="J3747" s="3" t="s">
        <v>62</v>
      </c>
      <c r="K3747" s="3" t="s">
        <v>63</v>
      </c>
      <c r="M3747" s="2" t="s">
        <v>36135</v>
      </c>
      <c r="N3747" s="3" t="s">
        <v>149</v>
      </c>
      <c r="P3747" s="3" t="s">
        <v>65</v>
      </c>
      <c r="Q3747" s="2" t="s">
        <v>33186</v>
      </c>
      <c r="R3747" s="3" t="s">
        <v>66</v>
      </c>
      <c r="S3747" s="4">
        <v>0</v>
      </c>
      <c r="T3747" s="4">
        <v>4</v>
      </c>
      <c r="V3747" s="5" t="s">
        <v>8270</v>
      </c>
      <c r="W3747" s="5" t="s">
        <v>67</v>
      </c>
      <c r="X3747" s="5" t="s">
        <v>67</v>
      </c>
      <c r="Y3747" s="4">
        <v>67</v>
      </c>
      <c r="Z3747" s="4">
        <v>6</v>
      </c>
      <c r="AA3747" s="4">
        <v>6</v>
      </c>
      <c r="AB3747" s="4">
        <v>1</v>
      </c>
      <c r="AC3747" s="4">
        <v>1</v>
      </c>
      <c r="AD3747" s="4">
        <v>16</v>
      </c>
      <c r="AE3747" s="4">
        <v>16</v>
      </c>
      <c r="AF3747" s="4">
        <v>0</v>
      </c>
      <c r="AG3747" s="4">
        <v>0</v>
      </c>
      <c r="AH3747" s="4">
        <v>14</v>
      </c>
      <c r="AI3747" s="4">
        <v>14</v>
      </c>
      <c r="AJ3747" s="4">
        <v>5</v>
      </c>
      <c r="AK3747" s="4">
        <v>5</v>
      </c>
      <c r="AL3747" s="4">
        <v>7</v>
      </c>
      <c r="AM3747" s="4">
        <v>7</v>
      </c>
      <c r="AN3747" s="4">
        <v>0</v>
      </c>
      <c r="AO3747" s="4">
        <v>0</v>
      </c>
      <c r="AP3747" s="4">
        <v>5</v>
      </c>
      <c r="AQ3747" s="4">
        <v>5</v>
      </c>
      <c r="AR3747" s="3" t="s">
        <v>62</v>
      </c>
      <c r="AS3747" s="3" t="s">
        <v>62</v>
      </c>
      <c r="AT3747" s="3" t="s">
        <v>62</v>
      </c>
      <c r="AV3747" s="6" t="str">
        <f>HYPERLINK("http://mcgill.on.worldcat.org/oclc/319321279","Catalog Record")</f>
        <v>Catalog Record</v>
      </c>
      <c r="AW3747" s="6" t="str">
        <f>HYPERLINK("http://www.worldcat.org/oclc/319321279","WorldCat Record")</f>
        <v>WorldCat Record</v>
      </c>
      <c r="AX3747" s="3" t="s">
        <v>36137</v>
      </c>
      <c r="AY3747" s="3" t="s">
        <v>36138</v>
      </c>
      <c r="AZ3747" s="3" t="s">
        <v>36139</v>
      </c>
      <c r="BA3747" s="3" t="s">
        <v>36139</v>
      </c>
      <c r="BB3747" s="3" t="s">
        <v>36143</v>
      </c>
      <c r="BC3747" s="3" t="s">
        <v>142</v>
      </c>
      <c r="BD3747" s="3" t="s">
        <v>68</v>
      </c>
      <c r="BE3747" s="3" t="s">
        <v>36141</v>
      </c>
      <c r="BF3747" s="3" t="s">
        <v>36143</v>
      </c>
      <c r="BG3747" s="3" t="s">
        <v>36144</v>
      </c>
    </row>
    <row r="3748" spans="1:59" ht="57" x14ac:dyDescent="0.45">
      <c r="A3748" s="2" t="s">
        <v>59</v>
      </c>
      <c r="B3748" s="2" t="s">
        <v>60</v>
      </c>
      <c r="C3748" s="2" t="s">
        <v>36132</v>
      </c>
      <c r="D3748" s="2" t="s">
        <v>36133</v>
      </c>
      <c r="E3748" s="2" t="s">
        <v>36134</v>
      </c>
      <c r="F3748" s="3" t="s">
        <v>90</v>
      </c>
      <c r="G3748" s="3" t="s">
        <v>61</v>
      </c>
      <c r="I3748" s="3" t="s">
        <v>62</v>
      </c>
      <c r="J3748" s="3" t="s">
        <v>62</v>
      </c>
      <c r="K3748" s="3" t="s">
        <v>63</v>
      </c>
      <c r="M3748" s="2" t="s">
        <v>36135</v>
      </c>
      <c r="N3748" s="3" t="s">
        <v>149</v>
      </c>
      <c r="P3748" s="3" t="s">
        <v>65</v>
      </c>
      <c r="Q3748" s="2" t="s">
        <v>33186</v>
      </c>
      <c r="R3748" s="3" t="s">
        <v>66</v>
      </c>
      <c r="S3748" s="4">
        <v>3</v>
      </c>
      <c r="T3748" s="4">
        <v>4</v>
      </c>
      <c r="U3748" s="5" t="s">
        <v>8270</v>
      </c>
      <c r="V3748" s="5" t="s">
        <v>8270</v>
      </c>
      <c r="W3748" s="5" t="s">
        <v>67</v>
      </c>
      <c r="X3748" s="5" t="s">
        <v>67</v>
      </c>
      <c r="Y3748" s="4">
        <v>67</v>
      </c>
      <c r="Z3748" s="4">
        <v>6</v>
      </c>
      <c r="AA3748" s="4">
        <v>6</v>
      </c>
      <c r="AB3748" s="4">
        <v>1</v>
      </c>
      <c r="AC3748" s="4">
        <v>1</v>
      </c>
      <c r="AD3748" s="4">
        <v>16</v>
      </c>
      <c r="AE3748" s="4">
        <v>16</v>
      </c>
      <c r="AF3748" s="4">
        <v>0</v>
      </c>
      <c r="AG3748" s="4">
        <v>0</v>
      </c>
      <c r="AH3748" s="4">
        <v>14</v>
      </c>
      <c r="AI3748" s="4">
        <v>14</v>
      </c>
      <c r="AJ3748" s="4">
        <v>5</v>
      </c>
      <c r="AK3748" s="4">
        <v>5</v>
      </c>
      <c r="AL3748" s="4">
        <v>7</v>
      </c>
      <c r="AM3748" s="4">
        <v>7</v>
      </c>
      <c r="AN3748" s="4">
        <v>0</v>
      </c>
      <c r="AO3748" s="4">
        <v>0</v>
      </c>
      <c r="AP3748" s="4">
        <v>5</v>
      </c>
      <c r="AQ3748" s="4">
        <v>5</v>
      </c>
      <c r="AR3748" s="3" t="s">
        <v>62</v>
      </c>
      <c r="AS3748" s="3" t="s">
        <v>62</v>
      </c>
      <c r="AT3748" s="3" t="s">
        <v>62</v>
      </c>
      <c r="AV3748" s="6" t="str">
        <f>HYPERLINK("http://mcgill.on.worldcat.org/oclc/319321279","Catalog Record")</f>
        <v>Catalog Record</v>
      </c>
      <c r="AW3748" s="6" t="str">
        <f>HYPERLINK("http://www.worldcat.org/oclc/319321279","WorldCat Record")</f>
        <v>WorldCat Record</v>
      </c>
      <c r="AX3748" s="3" t="s">
        <v>36137</v>
      </c>
      <c r="AY3748" s="3" t="s">
        <v>36138</v>
      </c>
      <c r="AZ3748" s="3" t="s">
        <v>36139</v>
      </c>
      <c r="BA3748" s="3" t="s">
        <v>36139</v>
      </c>
      <c r="BB3748" s="3" t="s">
        <v>36145</v>
      </c>
      <c r="BC3748" s="3" t="s">
        <v>142</v>
      </c>
      <c r="BD3748" s="3" t="s">
        <v>68</v>
      </c>
      <c r="BE3748" s="3" t="s">
        <v>36141</v>
      </c>
      <c r="BF3748" s="3" t="s">
        <v>36145</v>
      </c>
      <c r="BG3748" s="3" t="s">
        <v>36146</v>
      </c>
    </row>
    <row r="3749" spans="1:59" ht="57" x14ac:dyDescent="0.45">
      <c r="A3749" s="2" t="s">
        <v>59</v>
      </c>
      <c r="B3749" s="2" t="s">
        <v>60</v>
      </c>
      <c r="C3749" s="2" t="s">
        <v>36132</v>
      </c>
      <c r="D3749" s="2" t="s">
        <v>36133</v>
      </c>
      <c r="E3749" s="2" t="s">
        <v>36134</v>
      </c>
      <c r="F3749" s="3" t="s">
        <v>86</v>
      </c>
      <c r="G3749" s="3" t="s">
        <v>61</v>
      </c>
      <c r="I3749" s="3" t="s">
        <v>62</v>
      </c>
      <c r="J3749" s="3" t="s">
        <v>62</v>
      </c>
      <c r="K3749" s="3" t="s">
        <v>63</v>
      </c>
      <c r="M3749" s="2" t="s">
        <v>36135</v>
      </c>
      <c r="N3749" s="3" t="s">
        <v>149</v>
      </c>
      <c r="P3749" s="3" t="s">
        <v>65</v>
      </c>
      <c r="Q3749" s="2" t="s">
        <v>33186</v>
      </c>
      <c r="R3749" s="3" t="s">
        <v>66</v>
      </c>
      <c r="S3749" s="4">
        <v>0</v>
      </c>
      <c r="T3749" s="4">
        <v>4</v>
      </c>
      <c r="V3749" s="5" t="s">
        <v>8270</v>
      </c>
      <c r="W3749" s="5" t="s">
        <v>67</v>
      </c>
      <c r="X3749" s="5" t="s">
        <v>67</v>
      </c>
      <c r="Y3749" s="4">
        <v>67</v>
      </c>
      <c r="Z3749" s="4">
        <v>6</v>
      </c>
      <c r="AA3749" s="4">
        <v>6</v>
      </c>
      <c r="AB3749" s="4">
        <v>1</v>
      </c>
      <c r="AC3749" s="4">
        <v>1</v>
      </c>
      <c r="AD3749" s="4">
        <v>16</v>
      </c>
      <c r="AE3749" s="4">
        <v>16</v>
      </c>
      <c r="AF3749" s="4">
        <v>0</v>
      </c>
      <c r="AG3749" s="4">
        <v>0</v>
      </c>
      <c r="AH3749" s="4">
        <v>14</v>
      </c>
      <c r="AI3749" s="4">
        <v>14</v>
      </c>
      <c r="AJ3749" s="4">
        <v>5</v>
      </c>
      <c r="AK3749" s="4">
        <v>5</v>
      </c>
      <c r="AL3749" s="4">
        <v>7</v>
      </c>
      <c r="AM3749" s="4">
        <v>7</v>
      </c>
      <c r="AN3749" s="4">
        <v>0</v>
      </c>
      <c r="AO3749" s="4">
        <v>0</v>
      </c>
      <c r="AP3749" s="4">
        <v>5</v>
      </c>
      <c r="AQ3749" s="4">
        <v>5</v>
      </c>
      <c r="AR3749" s="3" t="s">
        <v>62</v>
      </c>
      <c r="AS3749" s="3" t="s">
        <v>62</v>
      </c>
      <c r="AT3749" s="3" t="s">
        <v>62</v>
      </c>
      <c r="AV3749" s="6" t="str">
        <f>HYPERLINK("http://mcgill.on.worldcat.org/oclc/319321279","Catalog Record")</f>
        <v>Catalog Record</v>
      </c>
      <c r="AW3749" s="6" t="str">
        <f>HYPERLINK("http://www.worldcat.org/oclc/319321279","WorldCat Record")</f>
        <v>WorldCat Record</v>
      </c>
      <c r="AX3749" s="3" t="s">
        <v>36137</v>
      </c>
      <c r="AY3749" s="3" t="s">
        <v>36138</v>
      </c>
      <c r="AZ3749" s="3" t="s">
        <v>36139</v>
      </c>
      <c r="BA3749" s="3" t="s">
        <v>36139</v>
      </c>
      <c r="BB3749" s="3" t="s">
        <v>36147</v>
      </c>
      <c r="BC3749" s="3" t="s">
        <v>142</v>
      </c>
      <c r="BD3749" s="3" t="s">
        <v>68</v>
      </c>
      <c r="BE3749" s="3" t="s">
        <v>36141</v>
      </c>
      <c r="BF3749" s="3" t="s">
        <v>36147</v>
      </c>
      <c r="BG3749" s="3" t="s">
        <v>36148</v>
      </c>
    </row>
    <row r="3750" spans="1:59" ht="57" x14ac:dyDescent="0.45">
      <c r="A3750" s="2" t="s">
        <v>59</v>
      </c>
      <c r="B3750" s="2" t="s">
        <v>60</v>
      </c>
      <c r="C3750" s="2" t="s">
        <v>36149</v>
      </c>
      <c r="D3750" s="2" t="s">
        <v>36150</v>
      </c>
      <c r="E3750" s="2" t="s">
        <v>36151</v>
      </c>
      <c r="G3750" s="3" t="s">
        <v>62</v>
      </c>
      <c r="I3750" s="3" t="s">
        <v>62</v>
      </c>
      <c r="J3750" s="3" t="s">
        <v>62</v>
      </c>
      <c r="K3750" s="3" t="s">
        <v>63</v>
      </c>
      <c r="M3750" s="2" t="s">
        <v>26753</v>
      </c>
      <c r="N3750" s="3" t="s">
        <v>1465</v>
      </c>
      <c r="P3750" s="3" t="s">
        <v>65</v>
      </c>
      <c r="Q3750" s="2" t="s">
        <v>8317</v>
      </c>
      <c r="R3750" s="3" t="s">
        <v>66</v>
      </c>
      <c r="S3750" s="4">
        <v>8</v>
      </c>
      <c r="T3750" s="4">
        <v>8</v>
      </c>
      <c r="U3750" s="5" t="s">
        <v>3388</v>
      </c>
      <c r="V3750" s="5" t="s">
        <v>3388</v>
      </c>
      <c r="W3750" s="5" t="s">
        <v>67</v>
      </c>
      <c r="X3750" s="5" t="s">
        <v>67</v>
      </c>
      <c r="Y3750" s="4">
        <v>233</v>
      </c>
      <c r="Z3750" s="4">
        <v>23</v>
      </c>
      <c r="AA3750" s="4">
        <v>27</v>
      </c>
      <c r="AB3750" s="4">
        <v>2</v>
      </c>
      <c r="AC3750" s="4">
        <v>5</v>
      </c>
      <c r="AD3750" s="4">
        <v>73</v>
      </c>
      <c r="AE3750" s="4">
        <v>76</v>
      </c>
      <c r="AF3750" s="4">
        <v>0</v>
      </c>
      <c r="AG3750" s="4">
        <v>1</v>
      </c>
      <c r="AH3750" s="4">
        <v>67</v>
      </c>
      <c r="AI3750" s="4">
        <v>69</v>
      </c>
      <c r="AJ3750" s="4">
        <v>13</v>
      </c>
      <c r="AK3750" s="4">
        <v>15</v>
      </c>
      <c r="AL3750" s="4">
        <v>39</v>
      </c>
      <c r="AM3750" s="4">
        <v>40</v>
      </c>
      <c r="AN3750" s="4">
        <v>0</v>
      </c>
      <c r="AO3750" s="4">
        <v>0</v>
      </c>
      <c r="AP3750" s="4">
        <v>14</v>
      </c>
      <c r="AQ3750" s="4">
        <v>16</v>
      </c>
      <c r="AR3750" s="3" t="s">
        <v>62</v>
      </c>
      <c r="AS3750" s="3" t="s">
        <v>62</v>
      </c>
      <c r="AT3750" s="3" t="s">
        <v>62</v>
      </c>
      <c r="AV3750" s="6" t="str">
        <f>HYPERLINK("http://mcgill.on.worldcat.org/oclc/319209551","Catalog Record")</f>
        <v>Catalog Record</v>
      </c>
      <c r="AW3750" s="6" t="str">
        <f>HYPERLINK("http://www.worldcat.org/oclc/319209551","WorldCat Record")</f>
        <v>WorldCat Record</v>
      </c>
      <c r="AX3750" s="3" t="s">
        <v>36152</v>
      </c>
      <c r="AY3750" s="3" t="s">
        <v>36153</v>
      </c>
      <c r="AZ3750" s="3" t="s">
        <v>36154</v>
      </c>
      <c r="BA3750" s="3" t="s">
        <v>36154</v>
      </c>
      <c r="BB3750" s="3" t="s">
        <v>36155</v>
      </c>
      <c r="BC3750" s="3" t="s">
        <v>142</v>
      </c>
      <c r="BD3750" s="3" t="s">
        <v>68</v>
      </c>
      <c r="BE3750" s="3" t="s">
        <v>36156</v>
      </c>
      <c r="BF3750" s="3" t="s">
        <v>36155</v>
      </c>
      <c r="BG3750" s="3" t="s">
        <v>36157</v>
      </c>
    </row>
    <row r="3751" spans="1:59" ht="57" x14ac:dyDescent="0.45">
      <c r="A3751" s="2" t="s">
        <v>59</v>
      </c>
      <c r="B3751" s="2" t="s">
        <v>60</v>
      </c>
      <c r="C3751" s="2" t="s">
        <v>36158</v>
      </c>
      <c r="D3751" s="2" t="s">
        <v>36159</v>
      </c>
      <c r="E3751" s="2" t="s">
        <v>36160</v>
      </c>
      <c r="G3751" s="3" t="s">
        <v>62</v>
      </c>
      <c r="I3751" s="3" t="s">
        <v>62</v>
      </c>
      <c r="J3751" s="3" t="s">
        <v>62</v>
      </c>
      <c r="K3751" s="3" t="s">
        <v>63</v>
      </c>
      <c r="M3751" s="2" t="s">
        <v>30230</v>
      </c>
      <c r="N3751" s="3" t="s">
        <v>149</v>
      </c>
      <c r="P3751" s="3" t="s">
        <v>65</v>
      </c>
      <c r="Q3751" s="2" t="s">
        <v>36161</v>
      </c>
      <c r="R3751" s="3" t="s">
        <v>66</v>
      </c>
      <c r="S3751" s="4">
        <v>2</v>
      </c>
      <c r="T3751" s="4">
        <v>2</v>
      </c>
      <c r="U3751" s="5" t="s">
        <v>36162</v>
      </c>
      <c r="V3751" s="5" t="s">
        <v>36162</v>
      </c>
      <c r="W3751" s="5" t="s">
        <v>67</v>
      </c>
      <c r="X3751" s="5" t="s">
        <v>67</v>
      </c>
      <c r="Y3751" s="4">
        <v>116</v>
      </c>
      <c r="Z3751" s="4">
        <v>13</v>
      </c>
      <c r="AA3751" s="4">
        <v>99</v>
      </c>
      <c r="AB3751" s="4">
        <v>2</v>
      </c>
      <c r="AC3751" s="4">
        <v>17</v>
      </c>
      <c r="AD3751" s="4">
        <v>46</v>
      </c>
      <c r="AE3751" s="4">
        <v>117</v>
      </c>
      <c r="AF3751" s="4">
        <v>1</v>
      </c>
      <c r="AG3751" s="4">
        <v>8</v>
      </c>
      <c r="AH3751" s="4">
        <v>42</v>
      </c>
      <c r="AI3751" s="4">
        <v>80</v>
      </c>
      <c r="AJ3751" s="4">
        <v>10</v>
      </c>
      <c r="AK3751" s="4">
        <v>24</v>
      </c>
      <c r="AL3751" s="4">
        <v>27</v>
      </c>
      <c r="AM3751" s="4">
        <v>43</v>
      </c>
      <c r="AN3751" s="4">
        <v>0</v>
      </c>
      <c r="AO3751" s="4">
        <v>0</v>
      </c>
      <c r="AP3751" s="4">
        <v>10</v>
      </c>
      <c r="AQ3751" s="4">
        <v>45</v>
      </c>
      <c r="AR3751" s="3" t="s">
        <v>62</v>
      </c>
      <c r="AS3751" s="3" t="s">
        <v>62</v>
      </c>
      <c r="AT3751" s="3" t="s">
        <v>62</v>
      </c>
      <c r="AV3751" s="6" t="str">
        <f>HYPERLINK("http://mcgill.on.worldcat.org/oclc/657080700","Catalog Record")</f>
        <v>Catalog Record</v>
      </c>
      <c r="AW3751" s="6" t="str">
        <f>HYPERLINK("http://www.worldcat.org/oclc/657080700","WorldCat Record")</f>
        <v>WorldCat Record</v>
      </c>
      <c r="AX3751" s="3" t="s">
        <v>36163</v>
      </c>
      <c r="AY3751" s="3" t="s">
        <v>36164</v>
      </c>
      <c r="AZ3751" s="3" t="s">
        <v>36165</v>
      </c>
      <c r="BA3751" s="3" t="s">
        <v>36165</v>
      </c>
      <c r="BB3751" s="3" t="s">
        <v>36166</v>
      </c>
      <c r="BC3751" s="3" t="s">
        <v>142</v>
      </c>
      <c r="BD3751" s="3" t="s">
        <v>68</v>
      </c>
      <c r="BE3751" s="3" t="s">
        <v>36167</v>
      </c>
      <c r="BF3751" s="3" t="s">
        <v>36166</v>
      </c>
      <c r="BG3751" s="3" t="s">
        <v>36168</v>
      </c>
    </row>
    <row r="3752" spans="1:59" ht="57" x14ac:dyDescent="0.45">
      <c r="A3752" s="2" t="s">
        <v>59</v>
      </c>
      <c r="B3752" s="2" t="s">
        <v>60</v>
      </c>
      <c r="C3752" s="2" t="s">
        <v>36169</v>
      </c>
      <c r="D3752" s="2" t="s">
        <v>36170</v>
      </c>
      <c r="E3752" s="2" t="s">
        <v>36171</v>
      </c>
      <c r="G3752" s="3" t="s">
        <v>62</v>
      </c>
      <c r="I3752" s="3" t="s">
        <v>62</v>
      </c>
      <c r="J3752" s="3" t="s">
        <v>62</v>
      </c>
      <c r="K3752" s="3" t="s">
        <v>63</v>
      </c>
      <c r="M3752" s="2" t="s">
        <v>9121</v>
      </c>
      <c r="N3752" s="3" t="s">
        <v>542</v>
      </c>
      <c r="P3752" s="3" t="s">
        <v>65</v>
      </c>
      <c r="Q3752" s="2" t="s">
        <v>36172</v>
      </c>
      <c r="R3752" s="3" t="s">
        <v>66</v>
      </c>
      <c r="S3752" s="4">
        <v>20</v>
      </c>
      <c r="T3752" s="4">
        <v>20</v>
      </c>
      <c r="U3752" s="5" t="s">
        <v>26287</v>
      </c>
      <c r="V3752" s="5" t="s">
        <v>26287</v>
      </c>
      <c r="W3752" s="5" t="s">
        <v>67</v>
      </c>
      <c r="X3752" s="5" t="s">
        <v>67</v>
      </c>
      <c r="Y3752" s="4">
        <v>491</v>
      </c>
      <c r="Z3752" s="4">
        <v>27</v>
      </c>
      <c r="AA3752" s="4">
        <v>34</v>
      </c>
      <c r="AB3752" s="4">
        <v>2</v>
      </c>
      <c r="AC3752" s="4">
        <v>9</v>
      </c>
      <c r="AD3752" s="4">
        <v>115</v>
      </c>
      <c r="AE3752" s="4">
        <v>118</v>
      </c>
      <c r="AF3752" s="4">
        <v>1</v>
      </c>
      <c r="AG3752" s="4">
        <v>4</v>
      </c>
      <c r="AH3752" s="4">
        <v>97</v>
      </c>
      <c r="AI3752" s="4">
        <v>98</v>
      </c>
      <c r="AJ3752" s="4">
        <v>18</v>
      </c>
      <c r="AK3752" s="4">
        <v>21</v>
      </c>
      <c r="AL3752" s="4">
        <v>57</v>
      </c>
      <c r="AM3752" s="4">
        <v>57</v>
      </c>
      <c r="AN3752" s="4">
        <v>0</v>
      </c>
      <c r="AO3752" s="4">
        <v>0</v>
      </c>
      <c r="AP3752" s="4">
        <v>25</v>
      </c>
      <c r="AQ3752" s="4">
        <v>27</v>
      </c>
      <c r="AR3752" s="3" t="s">
        <v>62</v>
      </c>
      <c r="AS3752" s="3" t="s">
        <v>62</v>
      </c>
      <c r="AT3752" s="3" t="s">
        <v>62</v>
      </c>
      <c r="AV3752" s="6" t="str">
        <f>HYPERLINK("http://mcgill.on.worldcat.org/oclc/42080185","Catalog Record")</f>
        <v>Catalog Record</v>
      </c>
      <c r="AW3752" s="6" t="str">
        <f>HYPERLINK("http://www.worldcat.org/oclc/42080185","WorldCat Record")</f>
        <v>WorldCat Record</v>
      </c>
      <c r="AX3752" s="3" t="s">
        <v>36173</v>
      </c>
      <c r="AY3752" s="3" t="s">
        <v>36174</v>
      </c>
      <c r="AZ3752" s="3" t="s">
        <v>36175</v>
      </c>
      <c r="BA3752" s="3" t="s">
        <v>36175</v>
      </c>
      <c r="BB3752" s="3" t="s">
        <v>36176</v>
      </c>
      <c r="BC3752" s="3" t="s">
        <v>142</v>
      </c>
      <c r="BD3752" s="3" t="s">
        <v>68</v>
      </c>
      <c r="BE3752" s="3" t="s">
        <v>36177</v>
      </c>
      <c r="BF3752" s="3" t="s">
        <v>36176</v>
      </c>
      <c r="BG3752" s="3" t="s">
        <v>36178</v>
      </c>
    </row>
    <row r="3753" spans="1:59" ht="57" x14ac:dyDescent="0.45">
      <c r="A3753" s="2" t="s">
        <v>59</v>
      </c>
      <c r="B3753" s="2" t="s">
        <v>60</v>
      </c>
      <c r="C3753" s="2" t="s">
        <v>36179</v>
      </c>
      <c r="D3753" s="2" t="s">
        <v>36180</v>
      </c>
      <c r="E3753" s="2" t="s">
        <v>36181</v>
      </c>
      <c r="G3753" s="3" t="s">
        <v>62</v>
      </c>
      <c r="I3753" s="3" t="s">
        <v>62</v>
      </c>
      <c r="J3753" s="3" t="s">
        <v>62</v>
      </c>
      <c r="K3753" s="3" t="s">
        <v>63</v>
      </c>
      <c r="M3753" s="2" t="s">
        <v>36182</v>
      </c>
      <c r="N3753" s="3" t="s">
        <v>945</v>
      </c>
      <c r="P3753" s="3" t="s">
        <v>65</v>
      </c>
      <c r="R3753" s="3" t="s">
        <v>66</v>
      </c>
      <c r="S3753" s="4">
        <v>2</v>
      </c>
      <c r="T3753" s="4">
        <v>2</v>
      </c>
      <c r="U3753" s="5" t="s">
        <v>3064</v>
      </c>
      <c r="V3753" s="5" t="s">
        <v>3064</v>
      </c>
      <c r="W3753" s="5" t="s">
        <v>67</v>
      </c>
      <c r="X3753" s="5" t="s">
        <v>67</v>
      </c>
      <c r="Y3753" s="4">
        <v>257</v>
      </c>
      <c r="Z3753" s="4">
        <v>19</v>
      </c>
      <c r="AA3753" s="4">
        <v>19</v>
      </c>
      <c r="AB3753" s="4">
        <v>2</v>
      </c>
      <c r="AC3753" s="4">
        <v>2</v>
      </c>
      <c r="AD3753" s="4">
        <v>81</v>
      </c>
      <c r="AE3753" s="4">
        <v>81</v>
      </c>
      <c r="AF3753" s="4">
        <v>1</v>
      </c>
      <c r="AG3753" s="4">
        <v>1</v>
      </c>
      <c r="AH3753" s="4">
        <v>73</v>
      </c>
      <c r="AI3753" s="4">
        <v>73</v>
      </c>
      <c r="AJ3753" s="4">
        <v>16</v>
      </c>
      <c r="AK3753" s="4">
        <v>16</v>
      </c>
      <c r="AL3753" s="4">
        <v>41</v>
      </c>
      <c r="AM3753" s="4">
        <v>41</v>
      </c>
      <c r="AN3753" s="4">
        <v>0</v>
      </c>
      <c r="AO3753" s="4">
        <v>0</v>
      </c>
      <c r="AP3753" s="4">
        <v>17</v>
      </c>
      <c r="AQ3753" s="4">
        <v>17</v>
      </c>
      <c r="AR3753" s="3" t="s">
        <v>62</v>
      </c>
      <c r="AS3753" s="3" t="s">
        <v>62</v>
      </c>
      <c r="AT3753" s="3" t="s">
        <v>61</v>
      </c>
      <c r="AU3753" s="6" t="str">
        <f>HYPERLINK("http://catalog.hathitrust.org/Record/007147948","HathiTrust Record")</f>
        <v>HathiTrust Record</v>
      </c>
      <c r="AV3753" s="6" t="str">
        <f>HYPERLINK("http://mcgill.on.worldcat.org/oclc/214306373","Catalog Record")</f>
        <v>Catalog Record</v>
      </c>
      <c r="AW3753" s="6" t="str">
        <f>HYPERLINK("http://www.worldcat.org/oclc/214306373","WorldCat Record")</f>
        <v>WorldCat Record</v>
      </c>
      <c r="AX3753" s="3" t="s">
        <v>36183</v>
      </c>
      <c r="AY3753" s="3" t="s">
        <v>36184</v>
      </c>
      <c r="AZ3753" s="3" t="s">
        <v>36185</v>
      </c>
      <c r="BA3753" s="3" t="s">
        <v>36185</v>
      </c>
      <c r="BB3753" s="3" t="s">
        <v>36186</v>
      </c>
      <c r="BC3753" s="3" t="s">
        <v>142</v>
      </c>
      <c r="BD3753" s="3" t="s">
        <v>68</v>
      </c>
      <c r="BE3753" s="3" t="s">
        <v>36187</v>
      </c>
      <c r="BF3753" s="3" t="s">
        <v>36186</v>
      </c>
      <c r="BG3753" s="3" t="s">
        <v>36188</v>
      </c>
    </row>
    <row r="3754" spans="1:59" ht="57" x14ac:dyDescent="0.45">
      <c r="A3754" s="2" t="s">
        <v>59</v>
      </c>
      <c r="B3754" s="2" t="s">
        <v>60</v>
      </c>
      <c r="C3754" s="2" t="s">
        <v>36189</v>
      </c>
      <c r="D3754" s="2" t="s">
        <v>36190</v>
      </c>
      <c r="E3754" s="2" t="s">
        <v>36191</v>
      </c>
      <c r="G3754" s="3" t="s">
        <v>62</v>
      </c>
      <c r="I3754" s="3" t="s">
        <v>62</v>
      </c>
      <c r="J3754" s="3" t="s">
        <v>62</v>
      </c>
      <c r="K3754" s="3" t="s">
        <v>63</v>
      </c>
      <c r="M3754" s="2" t="s">
        <v>7378</v>
      </c>
      <c r="N3754" s="3" t="s">
        <v>542</v>
      </c>
      <c r="P3754" s="3" t="s">
        <v>65</v>
      </c>
      <c r="R3754" s="3" t="s">
        <v>66</v>
      </c>
      <c r="S3754" s="4">
        <v>6</v>
      </c>
      <c r="T3754" s="4">
        <v>6</v>
      </c>
      <c r="U3754" s="5" t="s">
        <v>2293</v>
      </c>
      <c r="V3754" s="5" t="s">
        <v>2293</v>
      </c>
      <c r="W3754" s="5" t="s">
        <v>67</v>
      </c>
      <c r="X3754" s="5" t="s">
        <v>67</v>
      </c>
      <c r="Y3754" s="4">
        <v>314</v>
      </c>
      <c r="Z3754" s="4">
        <v>21</v>
      </c>
      <c r="AA3754" s="4">
        <v>27</v>
      </c>
      <c r="AB3754" s="4">
        <v>2</v>
      </c>
      <c r="AC3754" s="4">
        <v>7</v>
      </c>
      <c r="AD3754" s="4">
        <v>93</v>
      </c>
      <c r="AE3754" s="4">
        <v>98</v>
      </c>
      <c r="AF3754" s="4">
        <v>1</v>
      </c>
      <c r="AG3754" s="4">
        <v>4</v>
      </c>
      <c r="AH3754" s="4">
        <v>83</v>
      </c>
      <c r="AI3754" s="4">
        <v>85</v>
      </c>
      <c r="AJ3754" s="4">
        <v>16</v>
      </c>
      <c r="AK3754" s="4">
        <v>20</v>
      </c>
      <c r="AL3754" s="4">
        <v>44</v>
      </c>
      <c r="AM3754" s="4">
        <v>44</v>
      </c>
      <c r="AN3754" s="4">
        <v>0</v>
      </c>
      <c r="AO3754" s="4">
        <v>0</v>
      </c>
      <c r="AP3754" s="4">
        <v>17</v>
      </c>
      <c r="AQ3754" s="4">
        <v>20</v>
      </c>
      <c r="AR3754" s="3" t="s">
        <v>62</v>
      </c>
      <c r="AS3754" s="3" t="s">
        <v>62</v>
      </c>
      <c r="AT3754" s="3" t="s">
        <v>62</v>
      </c>
      <c r="AV3754" s="6" t="str">
        <f>HYPERLINK("http://mcgill.on.worldcat.org/oclc/44794914","Catalog Record")</f>
        <v>Catalog Record</v>
      </c>
      <c r="AW3754" s="6" t="str">
        <f>HYPERLINK("http://www.worldcat.org/oclc/44794914","WorldCat Record")</f>
        <v>WorldCat Record</v>
      </c>
      <c r="AX3754" s="3" t="s">
        <v>36192</v>
      </c>
      <c r="AY3754" s="3" t="s">
        <v>36193</v>
      </c>
      <c r="AZ3754" s="3" t="s">
        <v>36194</v>
      </c>
      <c r="BA3754" s="3" t="s">
        <v>36194</v>
      </c>
      <c r="BB3754" s="3" t="s">
        <v>36195</v>
      </c>
      <c r="BC3754" s="3" t="s">
        <v>142</v>
      </c>
      <c r="BD3754" s="3" t="s">
        <v>68</v>
      </c>
      <c r="BE3754" s="3" t="s">
        <v>36196</v>
      </c>
      <c r="BF3754" s="3" t="s">
        <v>36195</v>
      </c>
      <c r="BG3754" s="3" t="s">
        <v>36197</v>
      </c>
    </row>
    <row r="3755" spans="1:59" ht="57" x14ac:dyDescent="0.45">
      <c r="A3755" s="2" t="s">
        <v>59</v>
      </c>
      <c r="B3755" s="2" t="s">
        <v>60</v>
      </c>
      <c r="C3755" s="2" t="s">
        <v>36198</v>
      </c>
      <c r="D3755" s="2" t="s">
        <v>36199</v>
      </c>
      <c r="E3755" s="2" t="s">
        <v>36200</v>
      </c>
      <c r="G3755" s="3" t="s">
        <v>62</v>
      </c>
      <c r="I3755" s="3" t="s">
        <v>61</v>
      </c>
      <c r="J3755" s="3" t="s">
        <v>62</v>
      </c>
      <c r="K3755" s="3" t="s">
        <v>63</v>
      </c>
      <c r="M3755" s="2" t="s">
        <v>36201</v>
      </c>
      <c r="N3755" s="3" t="s">
        <v>3160</v>
      </c>
      <c r="P3755" s="3" t="s">
        <v>65</v>
      </c>
      <c r="R3755" s="3" t="s">
        <v>66</v>
      </c>
      <c r="S3755" s="4">
        <v>0</v>
      </c>
      <c r="T3755" s="4">
        <v>23</v>
      </c>
      <c r="V3755" s="5" t="s">
        <v>5583</v>
      </c>
      <c r="W3755" s="5" t="s">
        <v>67</v>
      </c>
      <c r="X3755" s="5" t="s">
        <v>67</v>
      </c>
      <c r="Y3755" s="4">
        <v>492</v>
      </c>
      <c r="Z3755" s="4">
        <v>33</v>
      </c>
      <c r="AA3755" s="4">
        <v>39</v>
      </c>
      <c r="AB3755" s="4">
        <v>4</v>
      </c>
      <c r="AC3755" s="4">
        <v>8</v>
      </c>
      <c r="AD3755" s="4">
        <v>123</v>
      </c>
      <c r="AE3755" s="4">
        <v>128</v>
      </c>
      <c r="AF3755" s="4">
        <v>2</v>
      </c>
      <c r="AG3755" s="4">
        <v>5</v>
      </c>
      <c r="AH3755" s="4">
        <v>105</v>
      </c>
      <c r="AI3755" s="4">
        <v>106</v>
      </c>
      <c r="AJ3755" s="4">
        <v>19</v>
      </c>
      <c r="AK3755" s="4">
        <v>22</v>
      </c>
      <c r="AL3755" s="4">
        <v>57</v>
      </c>
      <c r="AM3755" s="4">
        <v>57</v>
      </c>
      <c r="AN3755" s="4">
        <v>0</v>
      </c>
      <c r="AO3755" s="4">
        <v>0</v>
      </c>
      <c r="AP3755" s="4">
        <v>27</v>
      </c>
      <c r="AQ3755" s="4">
        <v>31</v>
      </c>
      <c r="AR3755" s="3" t="s">
        <v>62</v>
      </c>
      <c r="AS3755" s="3" t="s">
        <v>62</v>
      </c>
      <c r="AT3755" s="3" t="s">
        <v>61</v>
      </c>
      <c r="AU3755" s="6" t="str">
        <f>HYPERLINK("http://catalog.hathitrust.org/Record/000126296","HathiTrust Record")</f>
        <v>HathiTrust Record</v>
      </c>
      <c r="AV3755" s="6" t="str">
        <f>HYPERLINK("http://mcgill.on.worldcat.org/oclc/7173755","Catalog Record")</f>
        <v>Catalog Record</v>
      </c>
      <c r="AW3755" s="6" t="str">
        <f>HYPERLINK("http://www.worldcat.org/oclc/7173755","WorldCat Record")</f>
        <v>WorldCat Record</v>
      </c>
      <c r="AX3755" s="3" t="s">
        <v>36202</v>
      </c>
      <c r="AY3755" s="3" t="s">
        <v>36203</v>
      </c>
      <c r="AZ3755" s="3" t="s">
        <v>36204</v>
      </c>
      <c r="BA3755" s="3" t="s">
        <v>36204</v>
      </c>
      <c r="BB3755" s="3" t="s">
        <v>36205</v>
      </c>
      <c r="BC3755" s="3" t="s">
        <v>142</v>
      </c>
      <c r="BD3755" s="3" t="s">
        <v>68</v>
      </c>
      <c r="BE3755" s="3" t="s">
        <v>36206</v>
      </c>
      <c r="BF3755" s="3" t="s">
        <v>36205</v>
      </c>
      <c r="BG3755" s="3" t="s">
        <v>36207</v>
      </c>
    </row>
    <row r="3756" spans="1:59" ht="57" x14ac:dyDescent="0.45">
      <c r="A3756" s="2" t="s">
        <v>59</v>
      </c>
      <c r="B3756" s="2" t="s">
        <v>60</v>
      </c>
      <c r="C3756" s="2" t="s">
        <v>36198</v>
      </c>
      <c r="D3756" s="2" t="s">
        <v>36199</v>
      </c>
      <c r="E3756" s="2" t="s">
        <v>36200</v>
      </c>
      <c r="G3756" s="3" t="s">
        <v>62</v>
      </c>
      <c r="I3756" s="3" t="s">
        <v>61</v>
      </c>
      <c r="J3756" s="3" t="s">
        <v>62</v>
      </c>
      <c r="K3756" s="3" t="s">
        <v>63</v>
      </c>
      <c r="M3756" s="2" t="s">
        <v>36201</v>
      </c>
      <c r="N3756" s="3" t="s">
        <v>3160</v>
      </c>
      <c r="P3756" s="3" t="s">
        <v>65</v>
      </c>
      <c r="R3756" s="3" t="s">
        <v>66</v>
      </c>
      <c r="S3756" s="4">
        <v>23</v>
      </c>
      <c r="T3756" s="4">
        <v>23</v>
      </c>
      <c r="U3756" s="5" t="s">
        <v>5583</v>
      </c>
      <c r="V3756" s="5" t="s">
        <v>5583</v>
      </c>
      <c r="W3756" s="5" t="s">
        <v>67</v>
      </c>
      <c r="X3756" s="5" t="s">
        <v>67</v>
      </c>
      <c r="Y3756" s="4">
        <v>492</v>
      </c>
      <c r="Z3756" s="4">
        <v>33</v>
      </c>
      <c r="AA3756" s="4">
        <v>39</v>
      </c>
      <c r="AB3756" s="4">
        <v>4</v>
      </c>
      <c r="AC3756" s="4">
        <v>8</v>
      </c>
      <c r="AD3756" s="4">
        <v>123</v>
      </c>
      <c r="AE3756" s="4">
        <v>128</v>
      </c>
      <c r="AF3756" s="4">
        <v>2</v>
      </c>
      <c r="AG3756" s="4">
        <v>5</v>
      </c>
      <c r="AH3756" s="4">
        <v>105</v>
      </c>
      <c r="AI3756" s="4">
        <v>106</v>
      </c>
      <c r="AJ3756" s="4">
        <v>19</v>
      </c>
      <c r="AK3756" s="4">
        <v>22</v>
      </c>
      <c r="AL3756" s="4">
        <v>57</v>
      </c>
      <c r="AM3756" s="4">
        <v>57</v>
      </c>
      <c r="AN3756" s="4">
        <v>0</v>
      </c>
      <c r="AO3756" s="4">
        <v>0</v>
      </c>
      <c r="AP3756" s="4">
        <v>27</v>
      </c>
      <c r="AQ3756" s="4">
        <v>31</v>
      </c>
      <c r="AR3756" s="3" t="s">
        <v>62</v>
      </c>
      <c r="AS3756" s="3" t="s">
        <v>62</v>
      </c>
      <c r="AT3756" s="3" t="s">
        <v>61</v>
      </c>
      <c r="AU3756" s="6" t="str">
        <f>HYPERLINK("http://catalog.hathitrust.org/Record/000126296","HathiTrust Record")</f>
        <v>HathiTrust Record</v>
      </c>
      <c r="AV3756" s="6" t="str">
        <f>HYPERLINK("http://mcgill.on.worldcat.org/oclc/7173755","Catalog Record")</f>
        <v>Catalog Record</v>
      </c>
      <c r="AW3756" s="6" t="str">
        <f>HYPERLINK("http://www.worldcat.org/oclc/7173755","WorldCat Record")</f>
        <v>WorldCat Record</v>
      </c>
      <c r="AX3756" s="3" t="s">
        <v>36202</v>
      </c>
      <c r="AY3756" s="3" t="s">
        <v>36203</v>
      </c>
      <c r="AZ3756" s="3" t="s">
        <v>36204</v>
      </c>
      <c r="BA3756" s="3" t="s">
        <v>36204</v>
      </c>
      <c r="BB3756" s="3" t="s">
        <v>36208</v>
      </c>
      <c r="BC3756" s="3" t="s">
        <v>142</v>
      </c>
      <c r="BD3756" s="3" t="s">
        <v>68</v>
      </c>
      <c r="BE3756" s="3" t="s">
        <v>36206</v>
      </c>
      <c r="BF3756" s="3" t="s">
        <v>36208</v>
      </c>
      <c r="BG3756" s="3" t="s">
        <v>36209</v>
      </c>
    </row>
    <row r="3757" spans="1:59" ht="57" x14ac:dyDescent="0.45">
      <c r="A3757" s="2" t="s">
        <v>59</v>
      </c>
      <c r="B3757" s="2" t="s">
        <v>60</v>
      </c>
      <c r="C3757" s="2" t="s">
        <v>36210</v>
      </c>
      <c r="D3757" s="2" t="s">
        <v>36211</v>
      </c>
      <c r="E3757" s="2" t="s">
        <v>36212</v>
      </c>
      <c r="G3757" s="3" t="s">
        <v>62</v>
      </c>
      <c r="I3757" s="3" t="s">
        <v>61</v>
      </c>
      <c r="J3757" s="3" t="s">
        <v>61</v>
      </c>
      <c r="K3757" s="3" t="s">
        <v>63</v>
      </c>
      <c r="M3757" s="2" t="s">
        <v>36213</v>
      </c>
      <c r="N3757" s="3" t="s">
        <v>625</v>
      </c>
      <c r="O3757" s="2" t="s">
        <v>933</v>
      </c>
      <c r="P3757" s="3" t="s">
        <v>65</v>
      </c>
      <c r="R3757" s="3" t="s">
        <v>66</v>
      </c>
      <c r="S3757" s="4">
        <v>34</v>
      </c>
      <c r="T3757" s="4">
        <v>82</v>
      </c>
      <c r="U3757" s="5" t="s">
        <v>29000</v>
      </c>
      <c r="V3757" s="5" t="s">
        <v>36214</v>
      </c>
      <c r="W3757" s="5" t="s">
        <v>67</v>
      </c>
      <c r="X3757" s="5" t="s">
        <v>67</v>
      </c>
      <c r="Y3757" s="4">
        <v>580</v>
      </c>
      <c r="Z3757" s="4">
        <v>34</v>
      </c>
      <c r="AA3757" s="4">
        <v>60</v>
      </c>
      <c r="AB3757" s="4">
        <v>2</v>
      </c>
      <c r="AC3757" s="4">
        <v>9</v>
      </c>
      <c r="AD3757" s="4">
        <v>118</v>
      </c>
      <c r="AE3757" s="4">
        <v>149</v>
      </c>
      <c r="AF3757" s="4">
        <v>1</v>
      </c>
      <c r="AG3757" s="4">
        <v>5</v>
      </c>
      <c r="AH3757" s="4">
        <v>98</v>
      </c>
      <c r="AI3757" s="4">
        <v>115</v>
      </c>
      <c r="AJ3757" s="4">
        <v>19</v>
      </c>
      <c r="AK3757" s="4">
        <v>26</v>
      </c>
      <c r="AL3757" s="4">
        <v>54</v>
      </c>
      <c r="AM3757" s="4">
        <v>59</v>
      </c>
      <c r="AN3757" s="4">
        <v>0</v>
      </c>
      <c r="AO3757" s="4">
        <v>0</v>
      </c>
      <c r="AP3757" s="4">
        <v>26</v>
      </c>
      <c r="AQ3757" s="4">
        <v>43</v>
      </c>
      <c r="AR3757" s="3" t="s">
        <v>62</v>
      </c>
      <c r="AS3757" s="3" t="s">
        <v>62</v>
      </c>
      <c r="AT3757" s="3" t="s">
        <v>62</v>
      </c>
      <c r="AV3757" s="6" t="str">
        <f>HYPERLINK("http://mcgill.on.worldcat.org/oclc/12237197","Catalog Record")</f>
        <v>Catalog Record</v>
      </c>
      <c r="AW3757" s="6" t="str">
        <f>HYPERLINK("http://www.worldcat.org/oclc/12237197","WorldCat Record")</f>
        <v>WorldCat Record</v>
      </c>
      <c r="AX3757" s="3" t="s">
        <v>36215</v>
      </c>
      <c r="AY3757" s="3" t="s">
        <v>36216</v>
      </c>
      <c r="AZ3757" s="3" t="s">
        <v>36217</v>
      </c>
      <c r="BA3757" s="3" t="s">
        <v>36217</v>
      </c>
      <c r="BB3757" s="3" t="s">
        <v>36218</v>
      </c>
      <c r="BC3757" s="3" t="s">
        <v>142</v>
      </c>
      <c r="BD3757" s="3" t="s">
        <v>308</v>
      </c>
      <c r="BE3757" s="3" t="s">
        <v>36219</v>
      </c>
      <c r="BF3757" s="3" t="s">
        <v>36218</v>
      </c>
      <c r="BG3757" s="3" t="s">
        <v>36220</v>
      </c>
    </row>
    <row r="3758" spans="1:59" ht="57" x14ac:dyDescent="0.45">
      <c r="A3758" s="2" t="s">
        <v>59</v>
      </c>
      <c r="B3758" s="2" t="s">
        <v>60</v>
      </c>
      <c r="C3758" s="2" t="s">
        <v>36210</v>
      </c>
      <c r="D3758" s="2" t="s">
        <v>36211</v>
      </c>
      <c r="E3758" s="2" t="s">
        <v>36212</v>
      </c>
      <c r="G3758" s="3" t="s">
        <v>62</v>
      </c>
      <c r="I3758" s="3" t="s">
        <v>61</v>
      </c>
      <c r="J3758" s="3" t="s">
        <v>61</v>
      </c>
      <c r="K3758" s="3" t="s">
        <v>63</v>
      </c>
      <c r="M3758" s="2" t="s">
        <v>36213</v>
      </c>
      <c r="N3758" s="3" t="s">
        <v>625</v>
      </c>
      <c r="O3758" s="2" t="s">
        <v>933</v>
      </c>
      <c r="P3758" s="3" t="s">
        <v>65</v>
      </c>
      <c r="R3758" s="3" t="s">
        <v>66</v>
      </c>
      <c r="S3758" s="4">
        <v>30</v>
      </c>
      <c r="T3758" s="4">
        <v>82</v>
      </c>
      <c r="U3758" s="5" t="s">
        <v>36214</v>
      </c>
      <c r="V3758" s="5" t="s">
        <v>36214</v>
      </c>
      <c r="W3758" s="5" t="s">
        <v>67</v>
      </c>
      <c r="X3758" s="5" t="s">
        <v>67</v>
      </c>
      <c r="Y3758" s="4">
        <v>580</v>
      </c>
      <c r="Z3758" s="4">
        <v>34</v>
      </c>
      <c r="AA3758" s="4">
        <v>60</v>
      </c>
      <c r="AB3758" s="4">
        <v>2</v>
      </c>
      <c r="AC3758" s="4">
        <v>9</v>
      </c>
      <c r="AD3758" s="4">
        <v>118</v>
      </c>
      <c r="AE3758" s="4">
        <v>149</v>
      </c>
      <c r="AF3758" s="4">
        <v>1</v>
      </c>
      <c r="AG3758" s="4">
        <v>5</v>
      </c>
      <c r="AH3758" s="4">
        <v>98</v>
      </c>
      <c r="AI3758" s="4">
        <v>115</v>
      </c>
      <c r="AJ3758" s="4">
        <v>19</v>
      </c>
      <c r="AK3758" s="4">
        <v>26</v>
      </c>
      <c r="AL3758" s="4">
        <v>54</v>
      </c>
      <c r="AM3758" s="4">
        <v>59</v>
      </c>
      <c r="AN3758" s="4">
        <v>0</v>
      </c>
      <c r="AO3758" s="4">
        <v>0</v>
      </c>
      <c r="AP3758" s="4">
        <v>26</v>
      </c>
      <c r="AQ3758" s="4">
        <v>43</v>
      </c>
      <c r="AR3758" s="3" t="s">
        <v>62</v>
      </c>
      <c r="AS3758" s="3" t="s">
        <v>62</v>
      </c>
      <c r="AT3758" s="3" t="s">
        <v>62</v>
      </c>
      <c r="AV3758" s="6" t="str">
        <f>HYPERLINK("http://mcgill.on.worldcat.org/oclc/12237197","Catalog Record")</f>
        <v>Catalog Record</v>
      </c>
      <c r="AW3758" s="6" t="str">
        <f>HYPERLINK("http://www.worldcat.org/oclc/12237197","WorldCat Record")</f>
        <v>WorldCat Record</v>
      </c>
      <c r="AX3758" s="3" t="s">
        <v>36215</v>
      </c>
      <c r="AY3758" s="3" t="s">
        <v>36216</v>
      </c>
      <c r="AZ3758" s="3" t="s">
        <v>36217</v>
      </c>
      <c r="BA3758" s="3" t="s">
        <v>36217</v>
      </c>
      <c r="BB3758" s="3" t="s">
        <v>36221</v>
      </c>
      <c r="BC3758" s="3" t="s">
        <v>142</v>
      </c>
      <c r="BD3758" s="3" t="s">
        <v>68</v>
      </c>
      <c r="BE3758" s="3" t="s">
        <v>36219</v>
      </c>
      <c r="BF3758" s="3" t="s">
        <v>36221</v>
      </c>
      <c r="BG3758" s="3" t="s">
        <v>36222</v>
      </c>
    </row>
    <row r="3759" spans="1:59" ht="57" x14ac:dyDescent="0.45">
      <c r="A3759" s="2" t="s">
        <v>59</v>
      </c>
      <c r="B3759" s="2" t="s">
        <v>60</v>
      </c>
      <c r="C3759" s="2" t="s">
        <v>36210</v>
      </c>
      <c r="D3759" s="2" t="s">
        <v>36211</v>
      </c>
      <c r="E3759" s="2" t="s">
        <v>36212</v>
      </c>
      <c r="G3759" s="3" t="s">
        <v>62</v>
      </c>
      <c r="I3759" s="3" t="s">
        <v>61</v>
      </c>
      <c r="J3759" s="3" t="s">
        <v>61</v>
      </c>
      <c r="K3759" s="3" t="s">
        <v>63</v>
      </c>
      <c r="M3759" s="2" t="s">
        <v>36213</v>
      </c>
      <c r="N3759" s="3" t="s">
        <v>625</v>
      </c>
      <c r="O3759" s="2" t="s">
        <v>933</v>
      </c>
      <c r="P3759" s="3" t="s">
        <v>65</v>
      </c>
      <c r="R3759" s="3" t="s">
        <v>66</v>
      </c>
      <c r="S3759" s="4">
        <v>15</v>
      </c>
      <c r="T3759" s="4">
        <v>82</v>
      </c>
      <c r="U3759" s="5" t="s">
        <v>12355</v>
      </c>
      <c r="V3759" s="5" t="s">
        <v>36214</v>
      </c>
      <c r="W3759" s="5" t="s">
        <v>67</v>
      </c>
      <c r="X3759" s="5" t="s">
        <v>67</v>
      </c>
      <c r="Y3759" s="4">
        <v>580</v>
      </c>
      <c r="Z3759" s="4">
        <v>34</v>
      </c>
      <c r="AA3759" s="4">
        <v>60</v>
      </c>
      <c r="AB3759" s="4">
        <v>2</v>
      </c>
      <c r="AC3759" s="4">
        <v>9</v>
      </c>
      <c r="AD3759" s="4">
        <v>118</v>
      </c>
      <c r="AE3759" s="4">
        <v>149</v>
      </c>
      <c r="AF3759" s="4">
        <v>1</v>
      </c>
      <c r="AG3759" s="4">
        <v>5</v>
      </c>
      <c r="AH3759" s="4">
        <v>98</v>
      </c>
      <c r="AI3759" s="4">
        <v>115</v>
      </c>
      <c r="AJ3759" s="4">
        <v>19</v>
      </c>
      <c r="AK3759" s="4">
        <v>26</v>
      </c>
      <c r="AL3759" s="4">
        <v>54</v>
      </c>
      <c r="AM3759" s="4">
        <v>59</v>
      </c>
      <c r="AN3759" s="4">
        <v>0</v>
      </c>
      <c r="AO3759" s="4">
        <v>0</v>
      </c>
      <c r="AP3759" s="4">
        <v>26</v>
      </c>
      <c r="AQ3759" s="4">
        <v>43</v>
      </c>
      <c r="AR3759" s="3" t="s">
        <v>62</v>
      </c>
      <c r="AS3759" s="3" t="s">
        <v>62</v>
      </c>
      <c r="AT3759" s="3" t="s">
        <v>62</v>
      </c>
      <c r="AV3759" s="6" t="str">
        <f>HYPERLINK("http://mcgill.on.worldcat.org/oclc/12237197","Catalog Record")</f>
        <v>Catalog Record</v>
      </c>
      <c r="AW3759" s="6" t="str">
        <f>HYPERLINK("http://www.worldcat.org/oclc/12237197","WorldCat Record")</f>
        <v>WorldCat Record</v>
      </c>
      <c r="AX3759" s="3" t="s">
        <v>36215</v>
      </c>
      <c r="AY3759" s="3" t="s">
        <v>36216</v>
      </c>
      <c r="AZ3759" s="3" t="s">
        <v>36217</v>
      </c>
      <c r="BA3759" s="3" t="s">
        <v>36217</v>
      </c>
      <c r="BB3759" s="3" t="s">
        <v>36223</v>
      </c>
      <c r="BC3759" s="3" t="s">
        <v>142</v>
      </c>
      <c r="BD3759" s="3" t="s">
        <v>68</v>
      </c>
      <c r="BE3759" s="3" t="s">
        <v>36219</v>
      </c>
      <c r="BF3759" s="3" t="s">
        <v>36223</v>
      </c>
      <c r="BG3759" s="3" t="s">
        <v>36224</v>
      </c>
    </row>
    <row r="3760" spans="1:59" ht="57" x14ac:dyDescent="0.45">
      <c r="A3760" s="2" t="s">
        <v>59</v>
      </c>
      <c r="B3760" s="2" t="s">
        <v>60</v>
      </c>
      <c r="C3760" s="2" t="s">
        <v>36210</v>
      </c>
      <c r="D3760" s="2" t="s">
        <v>36211</v>
      </c>
      <c r="E3760" s="2" t="s">
        <v>36212</v>
      </c>
      <c r="G3760" s="3" t="s">
        <v>62</v>
      </c>
      <c r="I3760" s="3" t="s">
        <v>61</v>
      </c>
      <c r="J3760" s="3" t="s">
        <v>61</v>
      </c>
      <c r="K3760" s="3" t="s">
        <v>63</v>
      </c>
      <c r="M3760" s="2" t="s">
        <v>36213</v>
      </c>
      <c r="N3760" s="3" t="s">
        <v>625</v>
      </c>
      <c r="O3760" s="2" t="s">
        <v>933</v>
      </c>
      <c r="P3760" s="3" t="s">
        <v>65</v>
      </c>
      <c r="R3760" s="3" t="s">
        <v>66</v>
      </c>
      <c r="S3760" s="4">
        <v>3</v>
      </c>
      <c r="T3760" s="4">
        <v>82</v>
      </c>
      <c r="U3760" s="5" t="s">
        <v>36225</v>
      </c>
      <c r="V3760" s="5" t="s">
        <v>36214</v>
      </c>
      <c r="W3760" s="5" t="s">
        <v>67</v>
      </c>
      <c r="X3760" s="5" t="s">
        <v>67</v>
      </c>
      <c r="Y3760" s="4">
        <v>580</v>
      </c>
      <c r="Z3760" s="4">
        <v>34</v>
      </c>
      <c r="AA3760" s="4">
        <v>60</v>
      </c>
      <c r="AB3760" s="4">
        <v>2</v>
      </c>
      <c r="AC3760" s="4">
        <v>9</v>
      </c>
      <c r="AD3760" s="4">
        <v>118</v>
      </c>
      <c r="AE3760" s="4">
        <v>149</v>
      </c>
      <c r="AF3760" s="4">
        <v>1</v>
      </c>
      <c r="AG3760" s="4">
        <v>5</v>
      </c>
      <c r="AH3760" s="4">
        <v>98</v>
      </c>
      <c r="AI3760" s="4">
        <v>115</v>
      </c>
      <c r="AJ3760" s="4">
        <v>19</v>
      </c>
      <c r="AK3760" s="4">
        <v>26</v>
      </c>
      <c r="AL3760" s="4">
        <v>54</v>
      </c>
      <c r="AM3760" s="4">
        <v>59</v>
      </c>
      <c r="AN3760" s="4">
        <v>0</v>
      </c>
      <c r="AO3760" s="4">
        <v>0</v>
      </c>
      <c r="AP3760" s="4">
        <v>26</v>
      </c>
      <c r="AQ3760" s="4">
        <v>43</v>
      </c>
      <c r="AR3760" s="3" t="s">
        <v>62</v>
      </c>
      <c r="AS3760" s="3" t="s">
        <v>62</v>
      </c>
      <c r="AT3760" s="3" t="s">
        <v>62</v>
      </c>
      <c r="AV3760" s="6" t="str">
        <f>HYPERLINK("http://mcgill.on.worldcat.org/oclc/12237197","Catalog Record")</f>
        <v>Catalog Record</v>
      </c>
      <c r="AW3760" s="6" t="str">
        <f>HYPERLINK("http://www.worldcat.org/oclc/12237197","WorldCat Record")</f>
        <v>WorldCat Record</v>
      </c>
      <c r="AX3760" s="3" t="s">
        <v>36215</v>
      </c>
      <c r="AY3760" s="3" t="s">
        <v>36216</v>
      </c>
      <c r="AZ3760" s="3" t="s">
        <v>36217</v>
      </c>
      <c r="BA3760" s="3" t="s">
        <v>36217</v>
      </c>
      <c r="BB3760" s="3" t="s">
        <v>36226</v>
      </c>
      <c r="BC3760" s="3" t="s">
        <v>142</v>
      </c>
      <c r="BD3760" s="3" t="s">
        <v>68</v>
      </c>
      <c r="BE3760" s="3" t="s">
        <v>36219</v>
      </c>
      <c r="BF3760" s="3" t="s">
        <v>36226</v>
      </c>
      <c r="BG3760" s="3" t="s">
        <v>36227</v>
      </c>
    </row>
    <row r="3761" spans="1:59" ht="57" x14ac:dyDescent="0.45">
      <c r="A3761" s="2" t="s">
        <v>59</v>
      </c>
      <c r="B3761" s="2" t="s">
        <v>60</v>
      </c>
      <c r="C3761" s="2" t="s">
        <v>36228</v>
      </c>
      <c r="D3761" s="2" t="s">
        <v>36229</v>
      </c>
      <c r="E3761" s="2" t="s">
        <v>36230</v>
      </c>
      <c r="G3761" s="3" t="s">
        <v>62</v>
      </c>
      <c r="I3761" s="3" t="s">
        <v>62</v>
      </c>
      <c r="J3761" s="3" t="s">
        <v>62</v>
      </c>
      <c r="K3761" s="3" t="s">
        <v>63</v>
      </c>
      <c r="M3761" s="2" t="s">
        <v>36231</v>
      </c>
      <c r="N3761" s="3" t="s">
        <v>1465</v>
      </c>
      <c r="P3761" s="3" t="s">
        <v>65</v>
      </c>
      <c r="Q3761" s="2" t="s">
        <v>36232</v>
      </c>
      <c r="R3761" s="3" t="s">
        <v>66</v>
      </c>
      <c r="S3761" s="4">
        <v>4</v>
      </c>
      <c r="T3761" s="4">
        <v>4</v>
      </c>
      <c r="U3761" s="5" t="s">
        <v>36233</v>
      </c>
      <c r="V3761" s="5" t="s">
        <v>36233</v>
      </c>
      <c r="W3761" s="5" t="s">
        <v>67</v>
      </c>
      <c r="X3761" s="5" t="s">
        <v>67</v>
      </c>
      <c r="Y3761" s="4">
        <v>169</v>
      </c>
      <c r="Z3761" s="4">
        <v>16</v>
      </c>
      <c r="AA3761" s="4">
        <v>17</v>
      </c>
      <c r="AB3761" s="4">
        <v>2</v>
      </c>
      <c r="AC3761" s="4">
        <v>3</v>
      </c>
      <c r="AD3761" s="4">
        <v>64</v>
      </c>
      <c r="AE3761" s="4">
        <v>65</v>
      </c>
      <c r="AF3761" s="4">
        <v>1</v>
      </c>
      <c r="AG3761" s="4">
        <v>2</v>
      </c>
      <c r="AH3761" s="4">
        <v>57</v>
      </c>
      <c r="AI3761" s="4">
        <v>58</v>
      </c>
      <c r="AJ3761" s="4">
        <v>11</v>
      </c>
      <c r="AK3761" s="4">
        <v>12</v>
      </c>
      <c r="AL3761" s="4">
        <v>36</v>
      </c>
      <c r="AM3761" s="4">
        <v>36</v>
      </c>
      <c r="AN3761" s="4">
        <v>0</v>
      </c>
      <c r="AO3761" s="4">
        <v>0</v>
      </c>
      <c r="AP3761" s="4">
        <v>13</v>
      </c>
      <c r="AQ3761" s="4">
        <v>14</v>
      </c>
      <c r="AR3761" s="3" t="s">
        <v>62</v>
      </c>
      <c r="AS3761" s="3" t="s">
        <v>62</v>
      </c>
      <c r="AT3761" s="3" t="s">
        <v>62</v>
      </c>
      <c r="AV3761" s="6" t="str">
        <f>HYPERLINK("http://mcgill.on.worldcat.org/oclc/463307587","Catalog Record")</f>
        <v>Catalog Record</v>
      </c>
      <c r="AW3761" s="6" t="str">
        <f>HYPERLINK("http://www.worldcat.org/oclc/463307587","WorldCat Record")</f>
        <v>WorldCat Record</v>
      </c>
      <c r="AX3761" s="3" t="s">
        <v>36234</v>
      </c>
      <c r="AY3761" s="3" t="s">
        <v>36235</v>
      </c>
      <c r="AZ3761" s="3" t="s">
        <v>36236</v>
      </c>
      <c r="BA3761" s="3" t="s">
        <v>36236</v>
      </c>
      <c r="BB3761" s="3" t="s">
        <v>36237</v>
      </c>
      <c r="BC3761" s="3" t="s">
        <v>142</v>
      </c>
      <c r="BD3761" s="3" t="s">
        <v>68</v>
      </c>
      <c r="BE3761" s="3" t="s">
        <v>36238</v>
      </c>
      <c r="BF3761" s="3" t="s">
        <v>36237</v>
      </c>
      <c r="BG3761" s="3" t="s">
        <v>36239</v>
      </c>
    </row>
    <row r="3762" spans="1:59" ht="57" x14ac:dyDescent="0.45">
      <c r="A3762" s="2" t="s">
        <v>59</v>
      </c>
      <c r="B3762" s="2" t="s">
        <v>60</v>
      </c>
      <c r="C3762" s="2" t="s">
        <v>36240</v>
      </c>
      <c r="D3762" s="2" t="s">
        <v>36241</v>
      </c>
      <c r="E3762" s="2" t="s">
        <v>36242</v>
      </c>
      <c r="G3762" s="3" t="s">
        <v>62</v>
      </c>
      <c r="I3762" s="3" t="s">
        <v>62</v>
      </c>
      <c r="J3762" s="3" t="s">
        <v>61</v>
      </c>
      <c r="K3762" s="3" t="s">
        <v>63</v>
      </c>
      <c r="M3762" s="2" t="s">
        <v>36243</v>
      </c>
      <c r="N3762" s="3" t="s">
        <v>149</v>
      </c>
      <c r="P3762" s="3" t="s">
        <v>65</v>
      </c>
      <c r="R3762" s="3" t="s">
        <v>66</v>
      </c>
      <c r="S3762" s="4">
        <v>5</v>
      </c>
      <c r="T3762" s="4">
        <v>5</v>
      </c>
      <c r="U3762" s="5" t="s">
        <v>19976</v>
      </c>
      <c r="V3762" s="5" t="s">
        <v>19976</v>
      </c>
      <c r="W3762" s="5" t="s">
        <v>67</v>
      </c>
      <c r="X3762" s="5" t="s">
        <v>67</v>
      </c>
      <c r="Y3762" s="4">
        <v>119</v>
      </c>
      <c r="Z3762" s="4">
        <v>14</v>
      </c>
      <c r="AA3762" s="4">
        <v>17</v>
      </c>
      <c r="AB3762" s="4">
        <v>2</v>
      </c>
      <c r="AC3762" s="4">
        <v>4</v>
      </c>
      <c r="AD3762" s="4">
        <v>30</v>
      </c>
      <c r="AE3762" s="4">
        <v>42</v>
      </c>
      <c r="AF3762" s="4">
        <v>0</v>
      </c>
      <c r="AG3762" s="4">
        <v>0</v>
      </c>
      <c r="AH3762" s="4">
        <v>28</v>
      </c>
      <c r="AI3762" s="4">
        <v>39</v>
      </c>
      <c r="AJ3762" s="4">
        <v>5</v>
      </c>
      <c r="AK3762" s="4">
        <v>6</v>
      </c>
      <c r="AL3762" s="4">
        <v>14</v>
      </c>
      <c r="AM3762" s="4">
        <v>20</v>
      </c>
      <c r="AN3762" s="4">
        <v>0</v>
      </c>
      <c r="AO3762" s="4">
        <v>0</v>
      </c>
      <c r="AP3762" s="4">
        <v>7</v>
      </c>
      <c r="AQ3762" s="4">
        <v>8</v>
      </c>
      <c r="AR3762" s="3" t="s">
        <v>62</v>
      </c>
      <c r="AS3762" s="3" t="s">
        <v>62</v>
      </c>
      <c r="AT3762" s="3" t="s">
        <v>62</v>
      </c>
      <c r="AV3762" s="6" t="str">
        <f>HYPERLINK("http://mcgill.on.worldcat.org/oclc/244068221","Catalog Record")</f>
        <v>Catalog Record</v>
      </c>
      <c r="AW3762" s="6" t="str">
        <f>HYPERLINK("http://www.worldcat.org/oclc/244068221","WorldCat Record")</f>
        <v>WorldCat Record</v>
      </c>
      <c r="AX3762" s="3" t="s">
        <v>36244</v>
      </c>
      <c r="AY3762" s="3" t="s">
        <v>36245</v>
      </c>
      <c r="AZ3762" s="3" t="s">
        <v>36246</v>
      </c>
      <c r="BA3762" s="3" t="s">
        <v>36246</v>
      </c>
      <c r="BB3762" s="3" t="s">
        <v>36247</v>
      </c>
      <c r="BC3762" s="3" t="s">
        <v>142</v>
      </c>
      <c r="BD3762" s="3" t="s">
        <v>68</v>
      </c>
      <c r="BE3762" s="3" t="s">
        <v>36248</v>
      </c>
      <c r="BF3762" s="3" t="s">
        <v>36247</v>
      </c>
      <c r="BG3762" s="3" t="s">
        <v>36249</v>
      </c>
    </row>
    <row r="3763" spans="1:59" ht="57" x14ac:dyDescent="0.45">
      <c r="A3763" s="2" t="s">
        <v>59</v>
      </c>
      <c r="B3763" s="2" t="s">
        <v>60</v>
      </c>
      <c r="C3763" s="2" t="s">
        <v>36250</v>
      </c>
      <c r="D3763" s="2" t="s">
        <v>36251</v>
      </c>
      <c r="E3763" s="2" t="s">
        <v>36252</v>
      </c>
      <c r="F3763" s="3" t="s">
        <v>90</v>
      </c>
      <c r="G3763" s="3" t="s">
        <v>61</v>
      </c>
      <c r="I3763" s="3" t="s">
        <v>61</v>
      </c>
      <c r="J3763" s="3" t="s">
        <v>62</v>
      </c>
      <c r="K3763" s="3" t="s">
        <v>63</v>
      </c>
      <c r="M3763" s="2" t="s">
        <v>36253</v>
      </c>
      <c r="N3763" s="3" t="s">
        <v>157</v>
      </c>
      <c r="P3763" s="3" t="s">
        <v>65</v>
      </c>
      <c r="Q3763" s="2" t="s">
        <v>36254</v>
      </c>
      <c r="R3763" s="3" t="s">
        <v>66</v>
      </c>
      <c r="S3763" s="4">
        <v>16</v>
      </c>
      <c r="T3763" s="4">
        <v>45</v>
      </c>
      <c r="U3763" s="5" t="s">
        <v>36255</v>
      </c>
      <c r="V3763" s="5" t="s">
        <v>5583</v>
      </c>
      <c r="W3763" s="5" t="s">
        <v>67</v>
      </c>
      <c r="X3763" s="5" t="s">
        <v>67</v>
      </c>
      <c r="Y3763" s="4">
        <v>556</v>
      </c>
      <c r="Z3763" s="4">
        <v>30</v>
      </c>
      <c r="AA3763" s="4">
        <v>31</v>
      </c>
      <c r="AB3763" s="4">
        <v>2</v>
      </c>
      <c r="AC3763" s="4">
        <v>3</v>
      </c>
      <c r="AD3763" s="4">
        <v>122</v>
      </c>
      <c r="AE3763" s="4">
        <v>123</v>
      </c>
      <c r="AF3763" s="4">
        <v>1</v>
      </c>
      <c r="AG3763" s="4">
        <v>2</v>
      </c>
      <c r="AH3763" s="4">
        <v>104</v>
      </c>
      <c r="AI3763" s="4">
        <v>105</v>
      </c>
      <c r="AJ3763" s="4">
        <v>16</v>
      </c>
      <c r="AK3763" s="4">
        <v>17</v>
      </c>
      <c r="AL3763" s="4">
        <v>57</v>
      </c>
      <c r="AM3763" s="4">
        <v>57</v>
      </c>
      <c r="AN3763" s="4">
        <v>0</v>
      </c>
      <c r="AO3763" s="4">
        <v>0</v>
      </c>
      <c r="AP3763" s="4">
        <v>24</v>
      </c>
      <c r="AQ3763" s="4">
        <v>25</v>
      </c>
      <c r="AR3763" s="3" t="s">
        <v>62</v>
      </c>
      <c r="AS3763" s="3" t="s">
        <v>62</v>
      </c>
      <c r="AT3763" s="3" t="s">
        <v>62</v>
      </c>
      <c r="AV3763" s="6" t="str">
        <f>HYPERLINK("http://mcgill.on.worldcat.org/oclc/7174478","Catalog Record")</f>
        <v>Catalog Record</v>
      </c>
      <c r="AW3763" s="6" t="str">
        <f>HYPERLINK("http://www.worldcat.org/oclc/7174478","WorldCat Record")</f>
        <v>WorldCat Record</v>
      </c>
      <c r="AX3763" s="3" t="s">
        <v>36256</v>
      </c>
      <c r="AY3763" s="3" t="s">
        <v>36257</v>
      </c>
      <c r="AZ3763" s="3" t="s">
        <v>36258</v>
      </c>
      <c r="BA3763" s="3" t="s">
        <v>36258</v>
      </c>
      <c r="BB3763" s="3" t="s">
        <v>36259</v>
      </c>
      <c r="BC3763" s="3" t="s">
        <v>142</v>
      </c>
      <c r="BD3763" s="3" t="s">
        <v>68</v>
      </c>
      <c r="BE3763" s="3" t="s">
        <v>36260</v>
      </c>
      <c r="BF3763" s="3" t="s">
        <v>36259</v>
      </c>
      <c r="BG3763" s="3" t="s">
        <v>36261</v>
      </c>
    </row>
    <row r="3764" spans="1:59" ht="57" x14ac:dyDescent="0.45">
      <c r="A3764" s="2" t="s">
        <v>59</v>
      </c>
      <c r="B3764" s="2" t="s">
        <v>60</v>
      </c>
      <c r="C3764" s="2" t="s">
        <v>36250</v>
      </c>
      <c r="D3764" s="2" t="s">
        <v>36251</v>
      </c>
      <c r="E3764" s="2" t="s">
        <v>36252</v>
      </c>
      <c r="F3764" s="3" t="s">
        <v>87</v>
      </c>
      <c r="G3764" s="3" t="s">
        <v>61</v>
      </c>
      <c r="I3764" s="3" t="s">
        <v>61</v>
      </c>
      <c r="J3764" s="3" t="s">
        <v>62</v>
      </c>
      <c r="K3764" s="3" t="s">
        <v>63</v>
      </c>
      <c r="M3764" s="2" t="s">
        <v>36253</v>
      </c>
      <c r="N3764" s="3" t="s">
        <v>157</v>
      </c>
      <c r="P3764" s="3" t="s">
        <v>65</v>
      </c>
      <c r="Q3764" s="2" t="s">
        <v>36254</v>
      </c>
      <c r="R3764" s="3" t="s">
        <v>66</v>
      </c>
      <c r="S3764" s="4">
        <v>8</v>
      </c>
      <c r="T3764" s="4">
        <v>45</v>
      </c>
      <c r="U3764" s="5" t="s">
        <v>5583</v>
      </c>
      <c r="V3764" s="5" t="s">
        <v>5583</v>
      </c>
      <c r="W3764" s="5" t="s">
        <v>67</v>
      </c>
      <c r="X3764" s="5" t="s">
        <v>67</v>
      </c>
      <c r="Y3764" s="4">
        <v>556</v>
      </c>
      <c r="Z3764" s="4">
        <v>30</v>
      </c>
      <c r="AA3764" s="4">
        <v>31</v>
      </c>
      <c r="AB3764" s="4">
        <v>2</v>
      </c>
      <c r="AC3764" s="4">
        <v>3</v>
      </c>
      <c r="AD3764" s="4">
        <v>122</v>
      </c>
      <c r="AE3764" s="4">
        <v>123</v>
      </c>
      <c r="AF3764" s="4">
        <v>1</v>
      </c>
      <c r="AG3764" s="4">
        <v>2</v>
      </c>
      <c r="AH3764" s="4">
        <v>104</v>
      </c>
      <c r="AI3764" s="4">
        <v>105</v>
      </c>
      <c r="AJ3764" s="4">
        <v>16</v>
      </c>
      <c r="AK3764" s="4">
        <v>17</v>
      </c>
      <c r="AL3764" s="4">
        <v>57</v>
      </c>
      <c r="AM3764" s="4">
        <v>57</v>
      </c>
      <c r="AN3764" s="4">
        <v>0</v>
      </c>
      <c r="AO3764" s="4">
        <v>0</v>
      </c>
      <c r="AP3764" s="4">
        <v>24</v>
      </c>
      <c r="AQ3764" s="4">
        <v>25</v>
      </c>
      <c r="AR3764" s="3" t="s">
        <v>62</v>
      </c>
      <c r="AS3764" s="3" t="s">
        <v>62</v>
      </c>
      <c r="AT3764" s="3" t="s">
        <v>62</v>
      </c>
      <c r="AV3764" s="6" t="str">
        <f>HYPERLINK("http://mcgill.on.worldcat.org/oclc/7174478","Catalog Record")</f>
        <v>Catalog Record</v>
      </c>
      <c r="AW3764" s="6" t="str">
        <f>HYPERLINK("http://www.worldcat.org/oclc/7174478","WorldCat Record")</f>
        <v>WorldCat Record</v>
      </c>
      <c r="AX3764" s="3" t="s">
        <v>36256</v>
      </c>
      <c r="AY3764" s="3" t="s">
        <v>36257</v>
      </c>
      <c r="AZ3764" s="3" t="s">
        <v>36258</v>
      </c>
      <c r="BA3764" s="3" t="s">
        <v>36258</v>
      </c>
      <c r="BB3764" s="3" t="s">
        <v>36262</v>
      </c>
      <c r="BC3764" s="3" t="s">
        <v>142</v>
      </c>
      <c r="BD3764" s="3" t="s">
        <v>68</v>
      </c>
      <c r="BE3764" s="3" t="s">
        <v>36260</v>
      </c>
      <c r="BF3764" s="3" t="s">
        <v>36262</v>
      </c>
      <c r="BG3764" s="3" t="s">
        <v>36263</v>
      </c>
    </row>
    <row r="3765" spans="1:59" ht="57" x14ac:dyDescent="0.45">
      <c r="A3765" s="2" t="s">
        <v>59</v>
      </c>
      <c r="B3765" s="2" t="s">
        <v>60</v>
      </c>
      <c r="C3765" s="2" t="s">
        <v>36250</v>
      </c>
      <c r="D3765" s="2" t="s">
        <v>36251</v>
      </c>
      <c r="E3765" s="2" t="s">
        <v>36252</v>
      </c>
      <c r="F3765" s="3" t="s">
        <v>488</v>
      </c>
      <c r="G3765" s="3" t="s">
        <v>61</v>
      </c>
      <c r="I3765" s="3" t="s">
        <v>61</v>
      </c>
      <c r="J3765" s="3" t="s">
        <v>62</v>
      </c>
      <c r="K3765" s="3" t="s">
        <v>63</v>
      </c>
      <c r="M3765" s="2" t="s">
        <v>36253</v>
      </c>
      <c r="N3765" s="3" t="s">
        <v>157</v>
      </c>
      <c r="P3765" s="3" t="s">
        <v>65</v>
      </c>
      <c r="Q3765" s="2" t="s">
        <v>36254</v>
      </c>
      <c r="R3765" s="3" t="s">
        <v>66</v>
      </c>
      <c r="S3765" s="4">
        <v>12</v>
      </c>
      <c r="T3765" s="4">
        <v>45</v>
      </c>
      <c r="U3765" s="5" t="s">
        <v>36264</v>
      </c>
      <c r="V3765" s="5" t="s">
        <v>5583</v>
      </c>
      <c r="W3765" s="5" t="s">
        <v>67</v>
      </c>
      <c r="X3765" s="5" t="s">
        <v>67</v>
      </c>
      <c r="Y3765" s="4">
        <v>556</v>
      </c>
      <c r="Z3765" s="4">
        <v>30</v>
      </c>
      <c r="AA3765" s="4">
        <v>31</v>
      </c>
      <c r="AB3765" s="4">
        <v>2</v>
      </c>
      <c r="AC3765" s="4">
        <v>3</v>
      </c>
      <c r="AD3765" s="4">
        <v>122</v>
      </c>
      <c r="AE3765" s="4">
        <v>123</v>
      </c>
      <c r="AF3765" s="4">
        <v>1</v>
      </c>
      <c r="AG3765" s="4">
        <v>2</v>
      </c>
      <c r="AH3765" s="4">
        <v>104</v>
      </c>
      <c r="AI3765" s="4">
        <v>105</v>
      </c>
      <c r="AJ3765" s="4">
        <v>16</v>
      </c>
      <c r="AK3765" s="4">
        <v>17</v>
      </c>
      <c r="AL3765" s="4">
        <v>57</v>
      </c>
      <c r="AM3765" s="4">
        <v>57</v>
      </c>
      <c r="AN3765" s="4">
        <v>0</v>
      </c>
      <c r="AO3765" s="4">
        <v>0</v>
      </c>
      <c r="AP3765" s="4">
        <v>24</v>
      </c>
      <c r="AQ3765" s="4">
        <v>25</v>
      </c>
      <c r="AR3765" s="3" t="s">
        <v>62</v>
      </c>
      <c r="AS3765" s="3" t="s">
        <v>62</v>
      </c>
      <c r="AT3765" s="3" t="s">
        <v>62</v>
      </c>
      <c r="AV3765" s="6" t="str">
        <f>HYPERLINK("http://mcgill.on.worldcat.org/oclc/7174478","Catalog Record")</f>
        <v>Catalog Record</v>
      </c>
      <c r="AW3765" s="6" t="str">
        <f>HYPERLINK("http://www.worldcat.org/oclc/7174478","WorldCat Record")</f>
        <v>WorldCat Record</v>
      </c>
      <c r="AX3765" s="3" t="s">
        <v>36256</v>
      </c>
      <c r="AY3765" s="3" t="s">
        <v>36257</v>
      </c>
      <c r="AZ3765" s="3" t="s">
        <v>36258</v>
      </c>
      <c r="BA3765" s="3" t="s">
        <v>36258</v>
      </c>
      <c r="BB3765" s="3" t="s">
        <v>36265</v>
      </c>
      <c r="BC3765" s="3" t="s">
        <v>142</v>
      </c>
      <c r="BD3765" s="3" t="s">
        <v>68</v>
      </c>
      <c r="BE3765" s="3" t="s">
        <v>36260</v>
      </c>
      <c r="BF3765" s="3" t="s">
        <v>36265</v>
      </c>
      <c r="BG3765" s="3" t="s">
        <v>36266</v>
      </c>
    </row>
    <row r="3766" spans="1:59" ht="57" x14ac:dyDescent="0.45">
      <c r="A3766" s="2" t="s">
        <v>59</v>
      </c>
      <c r="B3766" s="2" t="s">
        <v>60</v>
      </c>
      <c r="C3766" s="2" t="s">
        <v>36250</v>
      </c>
      <c r="D3766" s="2" t="s">
        <v>36251</v>
      </c>
      <c r="E3766" s="2" t="s">
        <v>36252</v>
      </c>
      <c r="F3766" s="3" t="s">
        <v>478</v>
      </c>
      <c r="G3766" s="3" t="s">
        <v>61</v>
      </c>
      <c r="I3766" s="3" t="s">
        <v>61</v>
      </c>
      <c r="J3766" s="3" t="s">
        <v>62</v>
      </c>
      <c r="K3766" s="3" t="s">
        <v>63</v>
      </c>
      <c r="M3766" s="2" t="s">
        <v>36253</v>
      </c>
      <c r="N3766" s="3" t="s">
        <v>157</v>
      </c>
      <c r="P3766" s="3" t="s">
        <v>65</v>
      </c>
      <c r="Q3766" s="2" t="s">
        <v>36254</v>
      </c>
      <c r="R3766" s="3" t="s">
        <v>66</v>
      </c>
      <c r="S3766" s="4">
        <v>9</v>
      </c>
      <c r="T3766" s="4">
        <v>45</v>
      </c>
      <c r="U3766" s="5" t="s">
        <v>36267</v>
      </c>
      <c r="V3766" s="5" t="s">
        <v>5583</v>
      </c>
      <c r="W3766" s="5" t="s">
        <v>67</v>
      </c>
      <c r="X3766" s="5" t="s">
        <v>67</v>
      </c>
      <c r="Y3766" s="4">
        <v>556</v>
      </c>
      <c r="Z3766" s="4">
        <v>30</v>
      </c>
      <c r="AA3766" s="4">
        <v>31</v>
      </c>
      <c r="AB3766" s="4">
        <v>2</v>
      </c>
      <c r="AC3766" s="4">
        <v>3</v>
      </c>
      <c r="AD3766" s="4">
        <v>122</v>
      </c>
      <c r="AE3766" s="4">
        <v>123</v>
      </c>
      <c r="AF3766" s="4">
        <v>1</v>
      </c>
      <c r="AG3766" s="4">
        <v>2</v>
      </c>
      <c r="AH3766" s="4">
        <v>104</v>
      </c>
      <c r="AI3766" s="4">
        <v>105</v>
      </c>
      <c r="AJ3766" s="4">
        <v>16</v>
      </c>
      <c r="AK3766" s="4">
        <v>17</v>
      </c>
      <c r="AL3766" s="4">
        <v>57</v>
      </c>
      <c r="AM3766" s="4">
        <v>57</v>
      </c>
      <c r="AN3766" s="4">
        <v>0</v>
      </c>
      <c r="AO3766" s="4">
        <v>0</v>
      </c>
      <c r="AP3766" s="4">
        <v>24</v>
      </c>
      <c r="AQ3766" s="4">
        <v>25</v>
      </c>
      <c r="AR3766" s="3" t="s">
        <v>62</v>
      </c>
      <c r="AS3766" s="3" t="s">
        <v>62</v>
      </c>
      <c r="AT3766" s="3" t="s">
        <v>62</v>
      </c>
      <c r="AV3766" s="6" t="str">
        <f>HYPERLINK("http://mcgill.on.worldcat.org/oclc/7174478","Catalog Record")</f>
        <v>Catalog Record</v>
      </c>
      <c r="AW3766" s="6" t="str">
        <f>HYPERLINK("http://www.worldcat.org/oclc/7174478","WorldCat Record")</f>
        <v>WorldCat Record</v>
      </c>
      <c r="AX3766" s="3" t="s">
        <v>36256</v>
      </c>
      <c r="AY3766" s="3" t="s">
        <v>36257</v>
      </c>
      <c r="AZ3766" s="3" t="s">
        <v>36258</v>
      </c>
      <c r="BA3766" s="3" t="s">
        <v>36258</v>
      </c>
      <c r="BB3766" s="3" t="s">
        <v>36268</v>
      </c>
      <c r="BC3766" s="3" t="s">
        <v>142</v>
      </c>
      <c r="BD3766" s="3" t="s">
        <v>68</v>
      </c>
      <c r="BE3766" s="3" t="s">
        <v>36260</v>
      </c>
      <c r="BF3766" s="3" t="s">
        <v>36268</v>
      </c>
      <c r="BG3766" s="3" t="s">
        <v>36269</v>
      </c>
    </row>
    <row r="3767" spans="1:59" ht="57" x14ac:dyDescent="0.45">
      <c r="A3767" s="2" t="s">
        <v>59</v>
      </c>
      <c r="B3767" s="2" t="s">
        <v>60</v>
      </c>
      <c r="C3767" s="2" t="s">
        <v>36270</v>
      </c>
      <c r="D3767" s="2" t="s">
        <v>36271</v>
      </c>
      <c r="E3767" s="2" t="s">
        <v>36272</v>
      </c>
      <c r="G3767" s="3" t="s">
        <v>62</v>
      </c>
      <c r="I3767" s="3" t="s">
        <v>62</v>
      </c>
      <c r="J3767" s="3" t="s">
        <v>62</v>
      </c>
      <c r="K3767" s="3" t="s">
        <v>63</v>
      </c>
      <c r="M3767" s="2" t="s">
        <v>3075</v>
      </c>
      <c r="N3767" s="3" t="s">
        <v>1465</v>
      </c>
      <c r="P3767" s="3" t="s">
        <v>65</v>
      </c>
      <c r="R3767" s="3" t="s">
        <v>66</v>
      </c>
      <c r="S3767" s="4">
        <v>1</v>
      </c>
      <c r="T3767" s="4">
        <v>1</v>
      </c>
      <c r="U3767" s="5" t="s">
        <v>1870</v>
      </c>
      <c r="V3767" s="5" t="s">
        <v>1870</v>
      </c>
      <c r="W3767" s="5" t="s">
        <v>67</v>
      </c>
      <c r="X3767" s="5" t="s">
        <v>67</v>
      </c>
      <c r="Y3767" s="4">
        <v>183</v>
      </c>
      <c r="Z3767" s="4">
        <v>12</v>
      </c>
      <c r="AA3767" s="4">
        <v>17</v>
      </c>
      <c r="AB3767" s="4">
        <v>2</v>
      </c>
      <c r="AC3767" s="4">
        <v>6</v>
      </c>
      <c r="AD3767" s="4">
        <v>66</v>
      </c>
      <c r="AE3767" s="4">
        <v>71</v>
      </c>
      <c r="AF3767" s="4">
        <v>0</v>
      </c>
      <c r="AG3767" s="4">
        <v>1</v>
      </c>
      <c r="AH3767" s="4">
        <v>60</v>
      </c>
      <c r="AI3767" s="4">
        <v>65</v>
      </c>
      <c r="AJ3767" s="4">
        <v>9</v>
      </c>
      <c r="AK3767" s="4">
        <v>11</v>
      </c>
      <c r="AL3767" s="4">
        <v>44</v>
      </c>
      <c r="AM3767" s="4">
        <v>44</v>
      </c>
      <c r="AN3767" s="4">
        <v>0</v>
      </c>
      <c r="AO3767" s="4">
        <v>0</v>
      </c>
      <c r="AP3767" s="4">
        <v>9</v>
      </c>
      <c r="AQ3767" s="4">
        <v>11</v>
      </c>
      <c r="AR3767" s="3" t="s">
        <v>62</v>
      </c>
      <c r="AS3767" s="3" t="s">
        <v>62</v>
      </c>
      <c r="AT3767" s="3" t="s">
        <v>62</v>
      </c>
      <c r="AV3767" s="6" t="str">
        <f>HYPERLINK("http://mcgill.on.worldcat.org/oclc/236142642","Catalog Record")</f>
        <v>Catalog Record</v>
      </c>
      <c r="AW3767" s="6" t="str">
        <f>HYPERLINK("http://www.worldcat.org/oclc/236142642","WorldCat Record")</f>
        <v>WorldCat Record</v>
      </c>
      <c r="AX3767" s="3" t="s">
        <v>36273</v>
      </c>
      <c r="AY3767" s="3" t="s">
        <v>36274</v>
      </c>
      <c r="AZ3767" s="3" t="s">
        <v>36275</v>
      </c>
      <c r="BA3767" s="3" t="s">
        <v>36275</v>
      </c>
      <c r="BB3767" s="3" t="s">
        <v>36276</v>
      </c>
      <c r="BC3767" s="3" t="s">
        <v>142</v>
      </c>
      <c r="BD3767" s="3" t="s">
        <v>68</v>
      </c>
      <c r="BE3767" s="3" t="s">
        <v>36277</v>
      </c>
      <c r="BF3767" s="3" t="s">
        <v>36276</v>
      </c>
      <c r="BG3767" s="3" t="s">
        <v>36278</v>
      </c>
    </row>
    <row r="3768" spans="1:59" ht="57" x14ac:dyDescent="0.45">
      <c r="A3768" s="2" t="s">
        <v>59</v>
      </c>
      <c r="B3768" s="2" t="s">
        <v>60</v>
      </c>
      <c r="C3768" s="2" t="s">
        <v>36279</v>
      </c>
      <c r="D3768" s="2" t="s">
        <v>36280</v>
      </c>
      <c r="E3768" s="2" t="s">
        <v>36281</v>
      </c>
      <c r="G3768" s="3" t="s">
        <v>62</v>
      </c>
      <c r="I3768" s="3" t="s">
        <v>62</v>
      </c>
      <c r="J3768" s="3" t="s">
        <v>62</v>
      </c>
      <c r="K3768" s="3" t="s">
        <v>63</v>
      </c>
      <c r="L3768" s="2" t="s">
        <v>36282</v>
      </c>
      <c r="M3768" s="2" t="s">
        <v>36283</v>
      </c>
      <c r="N3768" s="3" t="s">
        <v>1059</v>
      </c>
      <c r="P3768" s="3" t="s">
        <v>65</v>
      </c>
      <c r="Q3768" s="2" t="s">
        <v>2655</v>
      </c>
      <c r="R3768" s="3" t="s">
        <v>66</v>
      </c>
      <c r="S3768" s="4">
        <v>17</v>
      </c>
      <c r="T3768" s="4">
        <v>17</v>
      </c>
      <c r="U3768" s="5" t="s">
        <v>9122</v>
      </c>
      <c r="V3768" s="5" t="s">
        <v>9122</v>
      </c>
      <c r="W3768" s="5" t="s">
        <v>67</v>
      </c>
      <c r="X3768" s="5" t="s">
        <v>67</v>
      </c>
      <c r="Y3768" s="4">
        <v>309</v>
      </c>
      <c r="Z3768" s="4">
        <v>19</v>
      </c>
      <c r="AA3768" s="4">
        <v>22</v>
      </c>
      <c r="AB3768" s="4">
        <v>1</v>
      </c>
      <c r="AC3768" s="4">
        <v>4</v>
      </c>
      <c r="AD3768" s="4">
        <v>79</v>
      </c>
      <c r="AE3768" s="4">
        <v>81</v>
      </c>
      <c r="AF3768" s="4">
        <v>0</v>
      </c>
      <c r="AG3768" s="4">
        <v>2</v>
      </c>
      <c r="AH3768" s="4">
        <v>71</v>
      </c>
      <c r="AI3768" s="4">
        <v>72</v>
      </c>
      <c r="AJ3768" s="4">
        <v>13</v>
      </c>
      <c r="AK3768" s="4">
        <v>15</v>
      </c>
      <c r="AL3768" s="4">
        <v>44</v>
      </c>
      <c r="AM3768" s="4">
        <v>44</v>
      </c>
      <c r="AN3768" s="4">
        <v>0</v>
      </c>
      <c r="AO3768" s="4">
        <v>0</v>
      </c>
      <c r="AP3768" s="4">
        <v>15</v>
      </c>
      <c r="AQ3768" s="4">
        <v>17</v>
      </c>
      <c r="AR3768" s="3" t="s">
        <v>62</v>
      </c>
      <c r="AS3768" s="3" t="s">
        <v>62</v>
      </c>
      <c r="AT3768" s="3" t="s">
        <v>61</v>
      </c>
      <c r="AU3768" s="6" t="str">
        <f>HYPERLINK("http://catalog.hathitrust.org/Record/005666231","HathiTrust Record")</f>
        <v>HathiTrust Record</v>
      </c>
      <c r="AV3768" s="6" t="str">
        <f>HYPERLINK("http://mcgill.on.worldcat.org/oclc/65206304","Catalog Record")</f>
        <v>Catalog Record</v>
      </c>
      <c r="AW3768" s="6" t="str">
        <f>HYPERLINK("http://www.worldcat.org/oclc/65206304","WorldCat Record")</f>
        <v>WorldCat Record</v>
      </c>
      <c r="AX3768" s="3" t="s">
        <v>36284</v>
      </c>
      <c r="AY3768" s="3" t="s">
        <v>36285</v>
      </c>
      <c r="AZ3768" s="3" t="s">
        <v>36286</v>
      </c>
      <c r="BA3768" s="3" t="s">
        <v>36286</v>
      </c>
      <c r="BB3768" s="3" t="s">
        <v>36287</v>
      </c>
      <c r="BC3768" s="3" t="s">
        <v>142</v>
      </c>
      <c r="BD3768" s="3" t="s">
        <v>68</v>
      </c>
      <c r="BE3768" s="3" t="s">
        <v>36288</v>
      </c>
      <c r="BF3768" s="3" t="s">
        <v>36287</v>
      </c>
      <c r="BG3768" s="3" t="s">
        <v>36289</v>
      </c>
    </row>
    <row r="3769" spans="1:59" ht="57" x14ac:dyDescent="0.45">
      <c r="A3769" s="2" t="s">
        <v>59</v>
      </c>
      <c r="B3769" s="2" t="s">
        <v>60</v>
      </c>
      <c r="C3769" s="2" t="s">
        <v>36290</v>
      </c>
      <c r="D3769" s="2" t="s">
        <v>36291</v>
      </c>
      <c r="E3769" s="2" t="s">
        <v>36292</v>
      </c>
      <c r="G3769" s="3" t="s">
        <v>62</v>
      </c>
      <c r="I3769" s="3" t="s">
        <v>62</v>
      </c>
      <c r="J3769" s="3" t="s">
        <v>62</v>
      </c>
      <c r="K3769" s="3" t="s">
        <v>63</v>
      </c>
      <c r="M3769" s="2" t="s">
        <v>36293</v>
      </c>
      <c r="N3769" s="3" t="s">
        <v>970</v>
      </c>
      <c r="P3769" s="3" t="s">
        <v>65</v>
      </c>
      <c r="Q3769" s="2" t="s">
        <v>36294</v>
      </c>
      <c r="R3769" s="3" t="s">
        <v>66</v>
      </c>
      <c r="S3769" s="4">
        <v>11</v>
      </c>
      <c r="T3769" s="4">
        <v>11</v>
      </c>
      <c r="U3769" s="5" t="s">
        <v>36295</v>
      </c>
      <c r="V3769" s="5" t="s">
        <v>36295</v>
      </c>
      <c r="W3769" s="5" t="s">
        <v>67</v>
      </c>
      <c r="X3769" s="5" t="s">
        <v>67</v>
      </c>
      <c r="Y3769" s="4">
        <v>294</v>
      </c>
      <c r="Z3769" s="4">
        <v>23</v>
      </c>
      <c r="AA3769" s="4">
        <v>82</v>
      </c>
      <c r="AB3769" s="4">
        <v>3</v>
      </c>
      <c r="AC3769" s="4">
        <v>16</v>
      </c>
      <c r="AD3769" s="4">
        <v>95</v>
      </c>
      <c r="AE3769" s="4">
        <v>136</v>
      </c>
      <c r="AF3769" s="4">
        <v>1</v>
      </c>
      <c r="AG3769" s="4">
        <v>8</v>
      </c>
      <c r="AH3769" s="4">
        <v>84</v>
      </c>
      <c r="AI3769" s="4">
        <v>101</v>
      </c>
      <c r="AJ3769" s="4">
        <v>16</v>
      </c>
      <c r="AK3769" s="4">
        <v>25</v>
      </c>
      <c r="AL3769" s="4">
        <v>49</v>
      </c>
      <c r="AM3769" s="4">
        <v>53</v>
      </c>
      <c r="AN3769" s="4">
        <v>0</v>
      </c>
      <c r="AO3769" s="4">
        <v>0</v>
      </c>
      <c r="AP3769" s="4">
        <v>19</v>
      </c>
      <c r="AQ3769" s="4">
        <v>44</v>
      </c>
      <c r="AR3769" s="3" t="s">
        <v>62</v>
      </c>
      <c r="AS3769" s="3" t="s">
        <v>62</v>
      </c>
      <c r="AT3769" s="3" t="s">
        <v>62</v>
      </c>
      <c r="AV3769" s="6" t="str">
        <f>HYPERLINK("http://mcgill.on.worldcat.org/oclc/48074112","Catalog Record")</f>
        <v>Catalog Record</v>
      </c>
      <c r="AW3769" s="6" t="str">
        <f>HYPERLINK("http://www.worldcat.org/oclc/48074112","WorldCat Record")</f>
        <v>WorldCat Record</v>
      </c>
      <c r="AX3769" s="3" t="s">
        <v>36296</v>
      </c>
      <c r="AY3769" s="3" t="s">
        <v>36297</v>
      </c>
      <c r="AZ3769" s="3" t="s">
        <v>36298</v>
      </c>
      <c r="BA3769" s="3" t="s">
        <v>36298</v>
      </c>
      <c r="BB3769" s="3" t="s">
        <v>36299</v>
      </c>
      <c r="BC3769" s="3" t="s">
        <v>142</v>
      </c>
      <c r="BD3769" s="3" t="s">
        <v>68</v>
      </c>
      <c r="BE3769" s="3" t="s">
        <v>36300</v>
      </c>
      <c r="BF3769" s="3" t="s">
        <v>36299</v>
      </c>
      <c r="BG3769" s="3" t="s">
        <v>36301</v>
      </c>
    </row>
    <row r="3770" spans="1:59" ht="57" x14ac:dyDescent="0.45">
      <c r="A3770" s="2" t="s">
        <v>59</v>
      </c>
      <c r="B3770" s="2" t="s">
        <v>60</v>
      </c>
      <c r="C3770" s="2" t="s">
        <v>36302</v>
      </c>
      <c r="D3770" s="2" t="s">
        <v>36303</v>
      </c>
      <c r="E3770" s="2" t="s">
        <v>36304</v>
      </c>
      <c r="G3770" s="3" t="s">
        <v>62</v>
      </c>
      <c r="I3770" s="3" t="s">
        <v>62</v>
      </c>
      <c r="J3770" s="3" t="s">
        <v>62</v>
      </c>
      <c r="K3770" s="3" t="s">
        <v>63</v>
      </c>
      <c r="M3770" s="2" t="s">
        <v>36305</v>
      </c>
      <c r="N3770" s="3" t="s">
        <v>625</v>
      </c>
      <c r="P3770" s="3" t="s">
        <v>65</v>
      </c>
      <c r="Q3770" s="2" t="s">
        <v>36306</v>
      </c>
      <c r="R3770" s="3" t="s">
        <v>66</v>
      </c>
      <c r="S3770" s="4">
        <v>41</v>
      </c>
      <c r="T3770" s="4">
        <v>41</v>
      </c>
      <c r="U3770" s="5" t="s">
        <v>6780</v>
      </c>
      <c r="V3770" s="5" t="s">
        <v>6780</v>
      </c>
      <c r="W3770" s="5" t="s">
        <v>67</v>
      </c>
      <c r="X3770" s="5" t="s">
        <v>67</v>
      </c>
      <c r="Y3770" s="4">
        <v>602</v>
      </c>
      <c r="Z3770" s="4">
        <v>31</v>
      </c>
      <c r="AA3770" s="4">
        <v>35</v>
      </c>
      <c r="AB3770" s="4">
        <v>2</v>
      </c>
      <c r="AC3770" s="4">
        <v>6</v>
      </c>
      <c r="AD3770" s="4">
        <v>118</v>
      </c>
      <c r="AE3770" s="4">
        <v>121</v>
      </c>
      <c r="AF3770" s="4">
        <v>1</v>
      </c>
      <c r="AG3770" s="4">
        <v>4</v>
      </c>
      <c r="AH3770" s="4">
        <v>101</v>
      </c>
      <c r="AI3770" s="4">
        <v>102</v>
      </c>
      <c r="AJ3770" s="4">
        <v>16</v>
      </c>
      <c r="AK3770" s="4">
        <v>19</v>
      </c>
      <c r="AL3770" s="4">
        <v>55</v>
      </c>
      <c r="AM3770" s="4">
        <v>55</v>
      </c>
      <c r="AN3770" s="4">
        <v>0</v>
      </c>
      <c r="AO3770" s="4">
        <v>0</v>
      </c>
      <c r="AP3770" s="4">
        <v>24</v>
      </c>
      <c r="AQ3770" s="4">
        <v>26</v>
      </c>
      <c r="AR3770" s="3" t="s">
        <v>62</v>
      </c>
      <c r="AS3770" s="3" t="s">
        <v>62</v>
      </c>
      <c r="AT3770" s="3" t="s">
        <v>62</v>
      </c>
      <c r="AV3770" s="6" t="str">
        <f>HYPERLINK("http://mcgill.on.worldcat.org/oclc/13823512","Catalog Record")</f>
        <v>Catalog Record</v>
      </c>
      <c r="AW3770" s="6" t="str">
        <f>HYPERLINK("http://www.worldcat.org/oclc/13823512","WorldCat Record")</f>
        <v>WorldCat Record</v>
      </c>
      <c r="AX3770" s="3" t="s">
        <v>36307</v>
      </c>
      <c r="AY3770" s="3" t="s">
        <v>36308</v>
      </c>
      <c r="AZ3770" s="3" t="s">
        <v>36309</v>
      </c>
      <c r="BA3770" s="3" t="s">
        <v>36309</v>
      </c>
      <c r="BB3770" s="3" t="s">
        <v>36310</v>
      </c>
      <c r="BC3770" s="3" t="s">
        <v>142</v>
      </c>
      <c r="BD3770" s="3" t="s">
        <v>68</v>
      </c>
      <c r="BE3770" s="3" t="s">
        <v>36311</v>
      </c>
      <c r="BF3770" s="3" t="s">
        <v>36310</v>
      </c>
      <c r="BG3770" s="3" t="s">
        <v>36312</v>
      </c>
    </row>
    <row r="3771" spans="1:59" ht="57" x14ac:dyDescent="0.45">
      <c r="A3771" s="2" t="s">
        <v>59</v>
      </c>
      <c r="B3771" s="2" t="s">
        <v>60</v>
      </c>
      <c r="C3771" s="2" t="s">
        <v>36313</v>
      </c>
      <c r="D3771" s="2" t="s">
        <v>36314</v>
      </c>
      <c r="E3771" s="2" t="s">
        <v>36315</v>
      </c>
      <c r="G3771" s="3" t="s">
        <v>62</v>
      </c>
      <c r="I3771" s="3" t="s">
        <v>61</v>
      </c>
      <c r="J3771" s="3" t="s">
        <v>61</v>
      </c>
      <c r="K3771" s="3" t="s">
        <v>63</v>
      </c>
      <c r="M3771" s="2" t="s">
        <v>36316</v>
      </c>
      <c r="N3771" s="3" t="s">
        <v>106</v>
      </c>
      <c r="P3771" s="3" t="s">
        <v>65</v>
      </c>
      <c r="Q3771" s="2" t="s">
        <v>8147</v>
      </c>
      <c r="R3771" s="3" t="s">
        <v>66</v>
      </c>
      <c r="S3771" s="4">
        <v>50</v>
      </c>
      <c r="T3771" s="4">
        <v>71</v>
      </c>
      <c r="U3771" s="5" t="s">
        <v>12520</v>
      </c>
      <c r="V3771" s="5" t="s">
        <v>12520</v>
      </c>
      <c r="W3771" s="5" t="s">
        <v>67</v>
      </c>
      <c r="X3771" s="5" t="s">
        <v>67</v>
      </c>
      <c r="Y3771" s="4">
        <v>267</v>
      </c>
      <c r="Z3771" s="4">
        <v>20</v>
      </c>
      <c r="AA3771" s="4">
        <v>106</v>
      </c>
      <c r="AB3771" s="4">
        <v>2</v>
      </c>
      <c r="AC3771" s="4">
        <v>17</v>
      </c>
      <c r="AD3771" s="4">
        <v>84</v>
      </c>
      <c r="AE3771" s="4">
        <v>149</v>
      </c>
      <c r="AF3771" s="4">
        <v>1</v>
      </c>
      <c r="AG3771" s="4">
        <v>8</v>
      </c>
      <c r="AH3771" s="4">
        <v>76</v>
      </c>
      <c r="AI3771" s="4">
        <v>106</v>
      </c>
      <c r="AJ3771" s="4">
        <v>13</v>
      </c>
      <c r="AK3771" s="4">
        <v>27</v>
      </c>
      <c r="AL3771" s="4">
        <v>42</v>
      </c>
      <c r="AM3771" s="4">
        <v>56</v>
      </c>
      <c r="AN3771" s="4">
        <v>0</v>
      </c>
      <c r="AO3771" s="4">
        <v>0</v>
      </c>
      <c r="AP3771" s="4">
        <v>15</v>
      </c>
      <c r="AQ3771" s="4">
        <v>52</v>
      </c>
      <c r="AR3771" s="3" t="s">
        <v>62</v>
      </c>
      <c r="AS3771" s="3" t="s">
        <v>62</v>
      </c>
      <c r="AT3771" s="3" t="s">
        <v>61</v>
      </c>
      <c r="AU3771" s="6" t="str">
        <f>HYPERLINK("http://catalog.hathitrust.org/Record/000561491","HathiTrust Record")</f>
        <v>HathiTrust Record</v>
      </c>
      <c r="AV3771" s="6" t="str">
        <f>HYPERLINK("http://mcgill.on.worldcat.org/oclc/9853898","Catalog Record")</f>
        <v>Catalog Record</v>
      </c>
      <c r="AW3771" s="6" t="str">
        <f>HYPERLINK("http://www.worldcat.org/oclc/9853898","WorldCat Record")</f>
        <v>WorldCat Record</v>
      </c>
      <c r="AX3771" s="3" t="s">
        <v>36317</v>
      </c>
      <c r="AY3771" s="3" t="s">
        <v>36318</v>
      </c>
      <c r="AZ3771" s="3" t="s">
        <v>36319</v>
      </c>
      <c r="BA3771" s="3" t="s">
        <v>36319</v>
      </c>
      <c r="BB3771" s="3" t="s">
        <v>36320</v>
      </c>
      <c r="BC3771" s="3" t="s">
        <v>142</v>
      </c>
      <c r="BD3771" s="3" t="s">
        <v>68</v>
      </c>
      <c r="BE3771" s="3" t="s">
        <v>36321</v>
      </c>
      <c r="BF3771" s="3" t="s">
        <v>36320</v>
      </c>
      <c r="BG3771" s="3" t="s">
        <v>36322</v>
      </c>
    </row>
    <row r="3772" spans="1:59" ht="57" x14ac:dyDescent="0.45">
      <c r="A3772" s="2" t="s">
        <v>59</v>
      </c>
      <c r="B3772" s="2" t="s">
        <v>60</v>
      </c>
      <c r="C3772" s="2" t="s">
        <v>36313</v>
      </c>
      <c r="D3772" s="2" t="s">
        <v>36314</v>
      </c>
      <c r="E3772" s="2" t="s">
        <v>36315</v>
      </c>
      <c r="G3772" s="3" t="s">
        <v>62</v>
      </c>
      <c r="I3772" s="3" t="s">
        <v>61</v>
      </c>
      <c r="J3772" s="3" t="s">
        <v>61</v>
      </c>
      <c r="K3772" s="3" t="s">
        <v>63</v>
      </c>
      <c r="M3772" s="2" t="s">
        <v>36316</v>
      </c>
      <c r="N3772" s="3" t="s">
        <v>106</v>
      </c>
      <c r="P3772" s="3" t="s">
        <v>65</v>
      </c>
      <c r="Q3772" s="2" t="s">
        <v>8147</v>
      </c>
      <c r="R3772" s="3" t="s">
        <v>66</v>
      </c>
      <c r="S3772" s="4">
        <v>21</v>
      </c>
      <c r="T3772" s="4">
        <v>71</v>
      </c>
      <c r="U3772" s="5" t="s">
        <v>36323</v>
      </c>
      <c r="V3772" s="5" t="s">
        <v>12520</v>
      </c>
      <c r="W3772" s="5" t="s">
        <v>67</v>
      </c>
      <c r="X3772" s="5" t="s">
        <v>67</v>
      </c>
      <c r="Y3772" s="4">
        <v>267</v>
      </c>
      <c r="Z3772" s="4">
        <v>20</v>
      </c>
      <c r="AA3772" s="4">
        <v>106</v>
      </c>
      <c r="AB3772" s="4">
        <v>2</v>
      </c>
      <c r="AC3772" s="4">
        <v>17</v>
      </c>
      <c r="AD3772" s="4">
        <v>84</v>
      </c>
      <c r="AE3772" s="4">
        <v>149</v>
      </c>
      <c r="AF3772" s="4">
        <v>1</v>
      </c>
      <c r="AG3772" s="4">
        <v>8</v>
      </c>
      <c r="AH3772" s="4">
        <v>76</v>
      </c>
      <c r="AI3772" s="4">
        <v>106</v>
      </c>
      <c r="AJ3772" s="4">
        <v>13</v>
      </c>
      <c r="AK3772" s="4">
        <v>27</v>
      </c>
      <c r="AL3772" s="4">
        <v>42</v>
      </c>
      <c r="AM3772" s="4">
        <v>56</v>
      </c>
      <c r="AN3772" s="4">
        <v>0</v>
      </c>
      <c r="AO3772" s="4">
        <v>0</v>
      </c>
      <c r="AP3772" s="4">
        <v>15</v>
      </c>
      <c r="AQ3772" s="4">
        <v>52</v>
      </c>
      <c r="AR3772" s="3" t="s">
        <v>62</v>
      </c>
      <c r="AS3772" s="3" t="s">
        <v>62</v>
      </c>
      <c r="AT3772" s="3" t="s">
        <v>61</v>
      </c>
      <c r="AU3772" s="6" t="str">
        <f>HYPERLINK("http://catalog.hathitrust.org/Record/000561491","HathiTrust Record")</f>
        <v>HathiTrust Record</v>
      </c>
      <c r="AV3772" s="6" t="str">
        <f>HYPERLINK("http://mcgill.on.worldcat.org/oclc/9853898","Catalog Record")</f>
        <v>Catalog Record</v>
      </c>
      <c r="AW3772" s="6" t="str">
        <f>HYPERLINK("http://www.worldcat.org/oclc/9853898","WorldCat Record")</f>
        <v>WorldCat Record</v>
      </c>
      <c r="AX3772" s="3" t="s">
        <v>36317</v>
      </c>
      <c r="AY3772" s="3" t="s">
        <v>36318</v>
      </c>
      <c r="AZ3772" s="3" t="s">
        <v>36319</v>
      </c>
      <c r="BA3772" s="3" t="s">
        <v>36319</v>
      </c>
      <c r="BB3772" s="3" t="s">
        <v>36324</v>
      </c>
      <c r="BC3772" s="3" t="s">
        <v>142</v>
      </c>
      <c r="BD3772" s="3" t="s">
        <v>68</v>
      </c>
      <c r="BE3772" s="3" t="s">
        <v>36321</v>
      </c>
      <c r="BF3772" s="3" t="s">
        <v>36324</v>
      </c>
      <c r="BG3772" s="3" t="s">
        <v>36325</v>
      </c>
    </row>
    <row r="3773" spans="1:59" ht="57" x14ac:dyDescent="0.45">
      <c r="A3773" s="2" t="s">
        <v>59</v>
      </c>
      <c r="B3773" s="2" t="s">
        <v>60</v>
      </c>
      <c r="C3773" s="2" t="s">
        <v>36326</v>
      </c>
      <c r="D3773" s="2" t="s">
        <v>36327</v>
      </c>
      <c r="E3773" s="2" t="s">
        <v>36328</v>
      </c>
      <c r="G3773" s="3" t="s">
        <v>62</v>
      </c>
      <c r="I3773" s="3" t="s">
        <v>61</v>
      </c>
      <c r="J3773" s="3" t="s">
        <v>61</v>
      </c>
      <c r="K3773" s="3" t="s">
        <v>63</v>
      </c>
      <c r="L3773" s="2" t="s">
        <v>36329</v>
      </c>
      <c r="M3773" s="2" t="s">
        <v>36330</v>
      </c>
      <c r="N3773" s="3" t="s">
        <v>1059</v>
      </c>
      <c r="O3773" s="2" t="s">
        <v>906</v>
      </c>
      <c r="P3773" s="3" t="s">
        <v>65</v>
      </c>
      <c r="Q3773" s="2" t="s">
        <v>9188</v>
      </c>
      <c r="R3773" s="3" t="s">
        <v>66</v>
      </c>
      <c r="S3773" s="4">
        <v>66</v>
      </c>
      <c r="T3773" s="4">
        <v>123</v>
      </c>
      <c r="U3773" s="5" t="s">
        <v>36331</v>
      </c>
      <c r="V3773" s="5" t="s">
        <v>36331</v>
      </c>
      <c r="W3773" s="5" t="s">
        <v>67</v>
      </c>
      <c r="X3773" s="5" t="s">
        <v>67</v>
      </c>
      <c r="Y3773" s="4">
        <v>503</v>
      </c>
      <c r="Z3773" s="4">
        <v>44</v>
      </c>
      <c r="AA3773" s="4">
        <v>94</v>
      </c>
      <c r="AB3773" s="4">
        <v>5</v>
      </c>
      <c r="AC3773" s="4">
        <v>17</v>
      </c>
      <c r="AD3773" s="4">
        <v>68</v>
      </c>
      <c r="AE3773" s="4">
        <v>138</v>
      </c>
      <c r="AF3773" s="4">
        <v>2</v>
      </c>
      <c r="AG3773" s="4">
        <v>6</v>
      </c>
      <c r="AH3773" s="4">
        <v>50</v>
      </c>
      <c r="AI3773" s="4">
        <v>100</v>
      </c>
      <c r="AJ3773" s="4">
        <v>15</v>
      </c>
      <c r="AK3773" s="4">
        <v>25</v>
      </c>
      <c r="AL3773" s="4">
        <v>29</v>
      </c>
      <c r="AM3773" s="4">
        <v>55</v>
      </c>
      <c r="AN3773" s="4">
        <v>0</v>
      </c>
      <c r="AO3773" s="4">
        <v>0</v>
      </c>
      <c r="AP3773" s="4">
        <v>26</v>
      </c>
      <c r="AQ3773" s="4">
        <v>46</v>
      </c>
      <c r="AR3773" s="3" t="s">
        <v>62</v>
      </c>
      <c r="AS3773" s="3" t="s">
        <v>62</v>
      </c>
      <c r="AT3773" s="3" t="s">
        <v>61</v>
      </c>
      <c r="AU3773" s="6" t="str">
        <f>HYPERLINK("http://catalog.hathitrust.org/Record/005915956","HathiTrust Record")</f>
        <v>HathiTrust Record</v>
      </c>
      <c r="AV3773" s="6" t="str">
        <f>HYPERLINK("http://mcgill.on.worldcat.org/oclc/62796030","Catalog Record")</f>
        <v>Catalog Record</v>
      </c>
      <c r="AW3773" s="6" t="str">
        <f>HYPERLINK("http://www.worldcat.org/oclc/62796030","WorldCat Record")</f>
        <v>WorldCat Record</v>
      </c>
      <c r="AX3773" s="3" t="s">
        <v>36332</v>
      </c>
      <c r="AY3773" s="3" t="s">
        <v>36333</v>
      </c>
      <c r="AZ3773" s="3" t="s">
        <v>36334</v>
      </c>
      <c r="BA3773" s="3" t="s">
        <v>36334</v>
      </c>
      <c r="BB3773" s="3" t="s">
        <v>36335</v>
      </c>
      <c r="BC3773" s="3" t="s">
        <v>142</v>
      </c>
      <c r="BD3773" s="3" t="s">
        <v>68</v>
      </c>
      <c r="BE3773" s="3" t="s">
        <v>36336</v>
      </c>
      <c r="BF3773" s="3" t="s">
        <v>36335</v>
      </c>
      <c r="BG3773" s="3" t="s">
        <v>36337</v>
      </c>
    </row>
    <row r="3774" spans="1:59" ht="57" x14ac:dyDescent="0.45">
      <c r="A3774" s="2" t="s">
        <v>59</v>
      </c>
      <c r="B3774" s="2" t="s">
        <v>60</v>
      </c>
      <c r="C3774" s="2" t="s">
        <v>36326</v>
      </c>
      <c r="D3774" s="2" t="s">
        <v>36327</v>
      </c>
      <c r="E3774" s="2" t="s">
        <v>36328</v>
      </c>
      <c r="G3774" s="3" t="s">
        <v>62</v>
      </c>
      <c r="I3774" s="3" t="s">
        <v>61</v>
      </c>
      <c r="J3774" s="3" t="s">
        <v>61</v>
      </c>
      <c r="K3774" s="3" t="s">
        <v>63</v>
      </c>
      <c r="L3774" s="2" t="s">
        <v>36329</v>
      </c>
      <c r="M3774" s="2" t="s">
        <v>36330</v>
      </c>
      <c r="N3774" s="3" t="s">
        <v>1059</v>
      </c>
      <c r="O3774" s="2" t="s">
        <v>906</v>
      </c>
      <c r="P3774" s="3" t="s">
        <v>65</v>
      </c>
      <c r="Q3774" s="2" t="s">
        <v>9188</v>
      </c>
      <c r="R3774" s="3" t="s">
        <v>66</v>
      </c>
      <c r="S3774" s="4">
        <v>57</v>
      </c>
      <c r="T3774" s="4">
        <v>123</v>
      </c>
      <c r="U3774" s="5" t="s">
        <v>1241</v>
      </c>
      <c r="V3774" s="5" t="s">
        <v>36331</v>
      </c>
      <c r="W3774" s="5" t="s">
        <v>67</v>
      </c>
      <c r="X3774" s="5" t="s">
        <v>67</v>
      </c>
      <c r="Y3774" s="4">
        <v>503</v>
      </c>
      <c r="Z3774" s="4">
        <v>44</v>
      </c>
      <c r="AA3774" s="4">
        <v>94</v>
      </c>
      <c r="AB3774" s="4">
        <v>5</v>
      </c>
      <c r="AC3774" s="4">
        <v>17</v>
      </c>
      <c r="AD3774" s="4">
        <v>68</v>
      </c>
      <c r="AE3774" s="4">
        <v>138</v>
      </c>
      <c r="AF3774" s="4">
        <v>2</v>
      </c>
      <c r="AG3774" s="4">
        <v>6</v>
      </c>
      <c r="AH3774" s="4">
        <v>50</v>
      </c>
      <c r="AI3774" s="4">
        <v>100</v>
      </c>
      <c r="AJ3774" s="4">
        <v>15</v>
      </c>
      <c r="AK3774" s="4">
        <v>25</v>
      </c>
      <c r="AL3774" s="4">
        <v>29</v>
      </c>
      <c r="AM3774" s="4">
        <v>55</v>
      </c>
      <c r="AN3774" s="4">
        <v>0</v>
      </c>
      <c r="AO3774" s="4">
        <v>0</v>
      </c>
      <c r="AP3774" s="4">
        <v>26</v>
      </c>
      <c r="AQ3774" s="4">
        <v>46</v>
      </c>
      <c r="AR3774" s="3" t="s">
        <v>62</v>
      </c>
      <c r="AS3774" s="3" t="s">
        <v>62</v>
      </c>
      <c r="AT3774" s="3" t="s">
        <v>61</v>
      </c>
      <c r="AU3774" s="6" t="str">
        <f>HYPERLINK("http://catalog.hathitrust.org/Record/005915956","HathiTrust Record")</f>
        <v>HathiTrust Record</v>
      </c>
      <c r="AV3774" s="6" t="str">
        <f>HYPERLINK("http://mcgill.on.worldcat.org/oclc/62796030","Catalog Record")</f>
        <v>Catalog Record</v>
      </c>
      <c r="AW3774" s="6" t="str">
        <f>HYPERLINK("http://www.worldcat.org/oclc/62796030","WorldCat Record")</f>
        <v>WorldCat Record</v>
      </c>
      <c r="AX3774" s="3" t="s">
        <v>36332</v>
      </c>
      <c r="AY3774" s="3" t="s">
        <v>36333</v>
      </c>
      <c r="AZ3774" s="3" t="s">
        <v>36334</v>
      </c>
      <c r="BA3774" s="3" t="s">
        <v>36334</v>
      </c>
      <c r="BB3774" s="3" t="s">
        <v>36338</v>
      </c>
      <c r="BC3774" s="3" t="s">
        <v>142</v>
      </c>
      <c r="BD3774" s="3" t="s">
        <v>308</v>
      </c>
      <c r="BE3774" s="3" t="s">
        <v>36336</v>
      </c>
      <c r="BF3774" s="3" t="s">
        <v>36338</v>
      </c>
      <c r="BG3774" s="3" t="s">
        <v>36339</v>
      </c>
    </row>
    <row r="3775" spans="1:59" ht="57" x14ac:dyDescent="0.45">
      <c r="A3775" s="2" t="s">
        <v>59</v>
      </c>
      <c r="B3775" s="2" t="s">
        <v>60</v>
      </c>
      <c r="C3775" s="2" t="s">
        <v>36340</v>
      </c>
      <c r="D3775" s="2" t="s">
        <v>36341</v>
      </c>
      <c r="E3775" s="2" t="s">
        <v>36342</v>
      </c>
      <c r="G3775" s="3" t="s">
        <v>62</v>
      </c>
      <c r="I3775" s="3" t="s">
        <v>62</v>
      </c>
      <c r="J3775" s="3" t="s">
        <v>62</v>
      </c>
      <c r="K3775" s="3" t="s">
        <v>63</v>
      </c>
      <c r="L3775" s="2" t="s">
        <v>36343</v>
      </c>
      <c r="M3775" s="2" t="s">
        <v>36344</v>
      </c>
      <c r="N3775" s="3" t="s">
        <v>116</v>
      </c>
      <c r="P3775" s="3" t="s">
        <v>65</v>
      </c>
      <c r="R3775" s="3" t="s">
        <v>66</v>
      </c>
      <c r="S3775" s="4">
        <v>1</v>
      </c>
      <c r="T3775" s="4">
        <v>1</v>
      </c>
      <c r="U3775" s="5" t="s">
        <v>35407</v>
      </c>
      <c r="V3775" s="5" t="s">
        <v>35407</v>
      </c>
      <c r="W3775" s="5" t="s">
        <v>67</v>
      </c>
      <c r="X3775" s="5" t="s">
        <v>67</v>
      </c>
      <c r="Y3775" s="4">
        <v>52</v>
      </c>
      <c r="Z3775" s="4">
        <v>7</v>
      </c>
      <c r="AA3775" s="4">
        <v>69</v>
      </c>
      <c r="AB3775" s="4">
        <v>1</v>
      </c>
      <c r="AC3775" s="4">
        <v>14</v>
      </c>
      <c r="AD3775" s="4">
        <v>17</v>
      </c>
      <c r="AE3775" s="4">
        <v>80</v>
      </c>
      <c r="AF3775" s="4">
        <v>0</v>
      </c>
      <c r="AG3775" s="4">
        <v>8</v>
      </c>
      <c r="AH3775" s="4">
        <v>16</v>
      </c>
      <c r="AI3775" s="4">
        <v>51</v>
      </c>
      <c r="AJ3775" s="4">
        <v>5</v>
      </c>
      <c r="AK3775" s="4">
        <v>16</v>
      </c>
      <c r="AL3775" s="4">
        <v>7</v>
      </c>
      <c r="AM3775" s="4">
        <v>23</v>
      </c>
      <c r="AN3775" s="4">
        <v>0</v>
      </c>
      <c r="AO3775" s="4">
        <v>0</v>
      </c>
      <c r="AP3775" s="4">
        <v>5</v>
      </c>
      <c r="AQ3775" s="4">
        <v>35</v>
      </c>
      <c r="AR3775" s="3" t="s">
        <v>62</v>
      </c>
      <c r="AS3775" s="3" t="s">
        <v>62</v>
      </c>
      <c r="AT3775" s="3" t="s">
        <v>62</v>
      </c>
      <c r="AV3775" s="6" t="str">
        <f>HYPERLINK("http://mcgill.on.worldcat.org/oclc/798060121","Catalog Record")</f>
        <v>Catalog Record</v>
      </c>
      <c r="AW3775" s="6" t="str">
        <f>HYPERLINK("http://www.worldcat.org/oclc/798060121","WorldCat Record")</f>
        <v>WorldCat Record</v>
      </c>
      <c r="AX3775" s="3" t="s">
        <v>36345</v>
      </c>
      <c r="AY3775" s="3" t="s">
        <v>36346</v>
      </c>
      <c r="AZ3775" s="3" t="s">
        <v>36347</v>
      </c>
      <c r="BA3775" s="3" t="s">
        <v>36347</v>
      </c>
      <c r="BB3775" s="3" t="s">
        <v>36348</v>
      </c>
      <c r="BC3775" s="3" t="s">
        <v>142</v>
      </c>
      <c r="BD3775" s="3" t="s">
        <v>68</v>
      </c>
      <c r="BE3775" s="3" t="s">
        <v>36349</v>
      </c>
      <c r="BF3775" s="3" t="s">
        <v>36348</v>
      </c>
      <c r="BG3775" s="3" t="s">
        <v>36350</v>
      </c>
    </row>
    <row r="3776" spans="1:59" ht="57" x14ac:dyDescent="0.45">
      <c r="A3776" s="2" t="s">
        <v>59</v>
      </c>
      <c r="B3776" s="2" t="s">
        <v>60</v>
      </c>
      <c r="C3776" s="2" t="s">
        <v>36351</v>
      </c>
      <c r="D3776" s="2" t="s">
        <v>36352</v>
      </c>
      <c r="E3776" s="2" t="s">
        <v>36353</v>
      </c>
      <c r="G3776" s="3" t="s">
        <v>62</v>
      </c>
      <c r="I3776" s="3" t="s">
        <v>62</v>
      </c>
      <c r="J3776" s="3" t="s">
        <v>62</v>
      </c>
      <c r="K3776" s="3" t="s">
        <v>63</v>
      </c>
      <c r="M3776" s="2" t="s">
        <v>25814</v>
      </c>
      <c r="N3776" s="3" t="s">
        <v>970</v>
      </c>
      <c r="P3776" s="3" t="s">
        <v>65</v>
      </c>
      <c r="R3776" s="3" t="s">
        <v>66</v>
      </c>
      <c r="S3776" s="4">
        <v>2</v>
      </c>
      <c r="T3776" s="4">
        <v>2</v>
      </c>
      <c r="U3776" s="5" t="s">
        <v>23463</v>
      </c>
      <c r="V3776" s="5" t="s">
        <v>23463</v>
      </c>
      <c r="W3776" s="5" t="s">
        <v>67</v>
      </c>
      <c r="X3776" s="5" t="s">
        <v>67</v>
      </c>
      <c r="Y3776" s="4">
        <v>268</v>
      </c>
      <c r="Z3776" s="4">
        <v>13</v>
      </c>
      <c r="AA3776" s="4">
        <v>120</v>
      </c>
      <c r="AB3776" s="4">
        <v>2</v>
      </c>
      <c r="AC3776" s="4">
        <v>21</v>
      </c>
      <c r="AD3776" s="4">
        <v>97</v>
      </c>
      <c r="AE3776" s="4">
        <v>159</v>
      </c>
      <c r="AF3776" s="4">
        <v>1</v>
      </c>
      <c r="AG3776" s="4">
        <v>9</v>
      </c>
      <c r="AH3776" s="4">
        <v>89</v>
      </c>
      <c r="AI3776" s="4">
        <v>112</v>
      </c>
      <c r="AJ3776" s="4">
        <v>11</v>
      </c>
      <c r="AK3776" s="4">
        <v>28</v>
      </c>
      <c r="AL3776" s="4">
        <v>54</v>
      </c>
      <c r="AM3776" s="4">
        <v>60</v>
      </c>
      <c r="AN3776" s="4">
        <v>0</v>
      </c>
      <c r="AO3776" s="4">
        <v>0</v>
      </c>
      <c r="AP3776" s="4">
        <v>12</v>
      </c>
      <c r="AQ3776" s="4">
        <v>56</v>
      </c>
      <c r="AR3776" s="3" t="s">
        <v>62</v>
      </c>
      <c r="AS3776" s="3" t="s">
        <v>62</v>
      </c>
      <c r="AT3776" s="3" t="s">
        <v>62</v>
      </c>
      <c r="AV3776" s="6" t="str">
        <f>HYPERLINK("http://mcgill.on.worldcat.org/oclc/48753792","Catalog Record")</f>
        <v>Catalog Record</v>
      </c>
      <c r="AW3776" s="6" t="str">
        <f>HYPERLINK("http://www.worldcat.org/oclc/48753792","WorldCat Record")</f>
        <v>WorldCat Record</v>
      </c>
      <c r="AX3776" s="3" t="s">
        <v>36354</v>
      </c>
      <c r="AY3776" s="3" t="s">
        <v>36355</v>
      </c>
      <c r="AZ3776" s="3" t="s">
        <v>36356</v>
      </c>
      <c r="BA3776" s="3" t="s">
        <v>36356</v>
      </c>
      <c r="BB3776" s="3" t="s">
        <v>36357</v>
      </c>
      <c r="BC3776" s="3" t="s">
        <v>142</v>
      </c>
      <c r="BD3776" s="3" t="s">
        <v>68</v>
      </c>
      <c r="BE3776" s="3" t="s">
        <v>36358</v>
      </c>
      <c r="BF3776" s="3" t="s">
        <v>36357</v>
      </c>
      <c r="BG3776" s="3" t="s">
        <v>36359</v>
      </c>
    </row>
    <row r="3777" spans="1:59" ht="57" x14ac:dyDescent="0.45">
      <c r="A3777" s="2" t="s">
        <v>59</v>
      </c>
      <c r="B3777" s="2" t="s">
        <v>60</v>
      </c>
      <c r="C3777" s="2" t="s">
        <v>36360</v>
      </c>
      <c r="D3777" s="2" t="s">
        <v>36361</v>
      </c>
      <c r="E3777" s="2" t="s">
        <v>36362</v>
      </c>
      <c r="G3777" s="3" t="s">
        <v>62</v>
      </c>
      <c r="I3777" s="3" t="s">
        <v>62</v>
      </c>
      <c r="J3777" s="3" t="s">
        <v>62</v>
      </c>
      <c r="K3777" s="3" t="s">
        <v>63</v>
      </c>
      <c r="M3777" s="2" t="s">
        <v>36363</v>
      </c>
      <c r="N3777" s="3" t="s">
        <v>1059</v>
      </c>
      <c r="P3777" s="3" t="s">
        <v>65</v>
      </c>
      <c r="R3777" s="3" t="s">
        <v>66</v>
      </c>
      <c r="S3777" s="4">
        <v>3</v>
      </c>
      <c r="T3777" s="4">
        <v>3</v>
      </c>
      <c r="U3777" s="5" t="s">
        <v>2702</v>
      </c>
      <c r="V3777" s="5" t="s">
        <v>2702</v>
      </c>
      <c r="W3777" s="5" t="s">
        <v>67</v>
      </c>
      <c r="X3777" s="5" t="s">
        <v>67</v>
      </c>
      <c r="Y3777" s="4">
        <v>236</v>
      </c>
      <c r="Z3777" s="4">
        <v>11</v>
      </c>
      <c r="AA3777" s="4">
        <v>25</v>
      </c>
      <c r="AB3777" s="4">
        <v>1</v>
      </c>
      <c r="AC3777" s="4">
        <v>4</v>
      </c>
      <c r="AD3777" s="4">
        <v>83</v>
      </c>
      <c r="AE3777" s="4">
        <v>98</v>
      </c>
      <c r="AF3777" s="4">
        <v>0</v>
      </c>
      <c r="AG3777" s="4">
        <v>1</v>
      </c>
      <c r="AH3777" s="4">
        <v>76</v>
      </c>
      <c r="AI3777" s="4">
        <v>86</v>
      </c>
      <c r="AJ3777" s="4">
        <v>10</v>
      </c>
      <c r="AK3777" s="4">
        <v>18</v>
      </c>
      <c r="AL3777" s="4">
        <v>42</v>
      </c>
      <c r="AM3777" s="4">
        <v>44</v>
      </c>
      <c r="AN3777" s="4">
        <v>0</v>
      </c>
      <c r="AO3777" s="4">
        <v>0</v>
      </c>
      <c r="AP3777" s="4">
        <v>10</v>
      </c>
      <c r="AQ3777" s="4">
        <v>19</v>
      </c>
      <c r="AR3777" s="3" t="s">
        <v>62</v>
      </c>
      <c r="AS3777" s="3" t="s">
        <v>62</v>
      </c>
      <c r="AT3777" s="3" t="s">
        <v>61</v>
      </c>
      <c r="AU3777" s="6" t="str">
        <f>HYPERLINK("http://catalog.hathitrust.org/Record/005290752","HathiTrust Record")</f>
        <v>HathiTrust Record</v>
      </c>
      <c r="AV3777" s="6" t="str">
        <f>HYPERLINK("http://mcgill.on.worldcat.org/oclc/65187287","Catalog Record")</f>
        <v>Catalog Record</v>
      </c>
      <c r="AW3777" s="6" t="str">
        <f>HYPERLINK("http://www.worldcat.org/oclc/65187287","WorldCat Record")</f>
        <v>WorldCat Record</v>
      </c>
      <c r="AX3777" s="3" t="s">
        <v>36364</v>
      </c>
      <c r="AY3777" s="3" t="s">
        <v>36365</v>
      </c>
      <c r="AZ3777" s="3" t="s">
        <v>36366</v>
      </c>
      <c r="BA3777" s="3" t="s">
        <v>36366</v>
      </c>
      <c r="BB3777" s="3" t="s">
        <v>36367</v>
      </c>
      <c r="BC3777" s="3" t="s">
        <v>142</v>
      </c>
      <c r="BD3777" s="3" t="s">
        <v>68</v>
      </c>
      <c r="BE3777" s="3" t="s">
        <v>36368</v>
      </c>
      <c r="BF3777" s="3" t="s">
        <v>36367</v>
      </c>
      <c r="BG3777" s="3" t="s">
        <v>36369</v>
      </c>
    </row>
    <row r="3778" spans="1:59" ht="57" x14ac:dyDescent="0.45">
      <c r="A3778" s="2" t="s">
        <v>59</v>
      </c>
      <c r="B3778" s="2" t="s">
        <v>60</v>
      </c>
      <c r="C3778" s="2" t="s">
        <v>36370</v>
      </c>
      <c r="D3778" s="2" t="s">
        <v>36371</v>
      </c>
      <c r="E3778" s="2" t="s">
        <v>36372</v>
      </c>
      <c r="G3778" s="3" t="s">
        <v>62</v>
      </c>
      <c r="I3778" s="3" t="s">
        <v>61</v>
      </c>
      <c r="J3778" s="3" t="s">
        <v>62</v>
      </c>
      <c r="K3778" s="3" t="s">
        <v>63</v>
      </c>
      <c r="M3778" s="2" t="s">
        <v>36201</v>
      </c>
      <c r="N3778" s="3" t="s">
        <v>3160</v>
      </c>
      <c r="P3778" s="3" t="s">
        <v>65</v>
      </c>
      <c r="Q3778" s="2" t="s">
        <v>36373</v>
      </c>
      <c r="R3778" s="3" t="s">
        <v>66</v>
      </c>
      <c r="S3778" s="4">
        <v>18</v>
      </c>
      <c r="T3778" s="4">
        <v>33</v>
      </c>
      <c r="U3778" s="5" t="s">
        <v>36374</v>
      </c>
      <c r="V3778" s="5" t="s">
        <v>10681</v>
      </c>
      <c r="W3778" s="5" t="s">
        <v>67</v>
      </c>
      <c r="X3778" s="5" t="s">
        <v>67</v>
      </c>
      <c r="Y3778" s="4">
        <v>448</v>
      </c>
      <c r="Z3778" s="4">
        <v>31</v>
      </c>
      <c r="AA3778" s="4">
        <v>37</v>
      </c>
      <c r="AB3778" s="4">
        <v>2</v>
      </c>
      <c r="AC3778" s="4">
        <v>6</v>
      </c>
      <c r="AD3778" s="4">
        <v>129</v>
      </c>
      <c r="AE3778" s="4">
        <v>134</v>
      </c>
      <c r="AF3778" s="4">
        <v>1</v>
      </c>
      <c r="AG3778" s="4">
        <v>4</v>
      </c>
      <c r="AH3778" s="4">
        <v>111</v>
      </c>
      <c r="AI3778" s="4">
        <v>112</v>
      </c>
      <c r="AJ3778" s="4">
        <v>21</v>
      </c>
      <c r="AK3778" s="4">
        <v>24</v>
      </c>
      <c r="AL3778" s="4">
        <v>57</v>
      </c>
      <c r="AM3778" s="4">
        <v>57</v>
      </c>
      <c r="AN3778" s="4">
        <v>0</v>
      </c>
      <c r="AO3778" s="4">
        <v>0</v>
      </c>
      <c r="AP3778" s="4">
        <v>28</v>
      </c>
      <c r="AQ3778" s="4">
        <v>32</v>
      </c>
      <c r="AR3778" s="3" t="s">
        <v>62</v>
      </c>
      <c r="AS3778" s="3" t="s">
        <v>62</v>
      </c>
      <c r="AT3778" s="3" t="s">
        <v>62</v>
      </c>
      <c r="AV3778" s="6" t="str">
        <f>HYPERLINK("http://mcgill.on.worldcat.org/oclc/7671404","Catalog Record")</f>
        <v>Catalog Record</v>
      </c>
      <c r="AW3778" s="6" t="str">
        <f>HYPERLINK("http://www.worldcat.org/oclc/7671404","WorldCat Record")</f>
        <v>WorldCat Record</v>
      </c>
      <c r="AX3778" s="3" t="s">
        <v>36375</v>
      </c>
      <c r="AY3778" s="3" t="s">
        <v>36376</v>
      </c>
      <c r="AZ3778" s="3" t="s">
        <v>36377</v>
      </c>
      <c r="BA3778" s="3" t="s">
        <v>36377</v>
      </c>
      <c r="BB3778" s="3" t="s">
        <v>36378</v>
      </c>
      <c r="BC3778" s="3" t="s">
        <v>142</v>
      </c>
      <c r="BD3778" s="3" t="s">
        <v>68</v>
      </c>
      <c r="BE3778" s="3" t="s">
        <v>36379</v>
      </c>
      <c r="BF3778" s="3" t="s">
        <v>36378</v>
      </c>
      <c r="BG3778" s="3" t="s">
        <v>36380</v>
      </c>
    </row>
    <row r="3779" spans="1:59" ht="57" x14ac:dyDescent="0.45">
      <c r="A3779" s="2" t="s">
        <v>59</v>
      </c>
      <c r="B3779" s="2" t="s">
        <v>60</v>
      </c>
      <c r="C3779" s="2" t="s">
        <v>36370</v>
      </c>
      <c r="D3779" s="2" t="s">
        <v>36371</v>
      </c>
      <c r="E3779" s="2" t="s">
        <v>36372</v>
      </c>
      <c r="G3779" s="3" t="s">
        <v>62</v>
      </c>
      <c r="I3779" s="3" t="s">
        <v>61</v>
      </c>
      <c r="J3779" s="3" t="s">
        <v>62</v>
      </c>
      <c r="K3779" s="3" t="s">
        <v>63</v>
      </c>
      <c r="M3779" s="2" t="s">
        <v>36201</v>
      </c>
      <c r="N3779" s="3" t="s">
        <v>3160</v>
      </c>
      <c r="P3779" s="3" t="s">
        <v>65</v>
      </c>
      <c r="Q3779" s="2" t="s">
        <v>36373</v>
      </c>
      <c r="R3779" s="3" t="s">
        <v>66</v>
      </c>
      <c r="S3779" s="4">
        <v>15</v>
      </c>
      <c r="T3779" s="4">
        <v>33</v>
      </c>
      <c r="U3779" s="5" t="s">
        <v>10681</v>
      </c>
      <c r="V3779" s="5" t="s">
        <v>10681</v>
      </c>
      <c r="W3779" s="5" t="s">
        <v>67</v>
      </c>
      <c r="X3779" s="5" t="s">
        <v>67</v>
      </c>
      <c r="Y3779" s="4">
        <v>448</v>
      </c>
      <c r="Z3779" s="4">
        <v>31</v>
      </c>
      <c r="AA3779" s="4">
        <v>37</v>
      </c>
      <c r="AB3779" s="4">
        <v>2</v>
      </c>
      <c r="AC3779" s="4">
        <v>6</v>
      </c>
      <c r="AD3779" s="4">
        <v>129</v>
      </c>
      <c r="AE3779" s="4">
        <v>134</v>
      </c>
      <c r="AF3779" s="4">
        <v>1</v>
      </c>
      <c r="AG3779" s="4">
        <v>4</v>
      </c>
      <c r="AH3779" s="4">
        <v>111</v>
      </c>
      <c r="AI3779" s="4">
        <v>112</v>
      </c>
      <c r="AJ3779" s="4">
        <v>21</v>
      </c>
      <c r="AK3779" s="4">
        <v>24</v>
      </c>
      <c r="AL3779" s="4">
        <v>57</v>
      </c>
      <c r="AM3779" s="4">
        <v>57</v>
      </c>
      <c r="AN3779" s="4">
        <v>0</v>
      </c>
      <c r="AO3779" s="4">
        <v>0</v>
      </c>
      <c r="AP3779" s="4">
        <v>28</v>
      </c>
      <c r="AQ3779" s="4">
        <v>32</v>
      </c>
      <c r="AR3779" s="3" t="s">
        <v>62</v>
      </c>
      <c r="AS3779" s="3" t="s">
        <v>62</v>
      </c>
      <c r="AT3779" s="3" t="s">
        <v>62</v>
      </c>
      <c r="AV3779" s="6" t="str">
        <f>HYPERLINK("http://mcgill.on.worldcat.org/oclc/7671404","Catalog Record")</f>
        <v>Catalog Record</v>
      </c>
      <c r="AW3779" s="6" t="str">
        <f>HYPERLINK("http://www.worldcat.org/oclc/7671404","WorldCat Record")</f>
        <v>WorldCat Record</v>
      </c>
      <c r="AX3779" s="3" t="s">
        <v>36375</v>
      </c>
      <c r="AY3779" s="3" t="s">
        <v>36376</v>
      </c>
      <c r="AZ3779" s="3" t="s">
        <v>36377</v>
      </c>
      <c r="BA3779" s="3" t="s">
        <v>36377</v>
      </c>
      <c r="BB3779" s="3" t="s">
        <v>36381</v>
      </c>
      <c r="BC3779" s="3" t="s">
        <v>142</v>
      </c>
      <c r="BD3779" s="3" t="s">
        <v>68</v>
      </c>
      <c r="BE3779" s="3" t="s">
        <v>36379</v>
      </c>
      <c r="BF3779" s="3" t="s">
        <v>36381</v>
      </c>
      <c r="BG3779" s="3" t="s">
        <v>36382</v>
      </c>
    </row>
    <row r="3780" spans="1:59" ht="99.75" x14ac:dyDescent="0.45">
      <c r="A3780" s="2" t="s">
        <v>59</v>
      </c>
      <c r="B3780" s="2" t="s">
        <v>36383</v>
      </c>
      <c r="C3780" s="2" t="s">
        <v>36384</v>
      </c>
      <c r="D3780" s="2" t="s">
        <v>36385</v>
      </c>
      <c r="E3780" s="2" t="s">
        <v>36386</v>
      </c>
      <c r="G3780" s="3" t="s">
        <v>62</v>
      </c>
      <c r="I3780" s="3" t="s">
        <v>62</v>
      </c>
      <c r="J3780" s="3" t="s">
        <v>62</v>
      </c>
      <c r="K3780" s="3" t="s">
        <v>63</v>
      </c>
      <c r="L3780" s="2" t="s">
        <v>36387</v>
      </c>
      <c r="M3780" s="2" t="s">
        <v>36388</v>
      </c>
      <c r="N3780" s="3" t="s">
        <v>181</v>
      </c>
      <c r="P3780" s="3" t="s">
        <v>65</v>
      </c>
      <c r="R3780" s="3" t="s">
        <v>66</v>
      </c>
      <c r="S3780" s="4">
        <v>0</v>
      </c>
      <c r="T3780" s="4">
        <v>0</v>
      </c>
      <c r="W3780" s="5" t="s">
        <v>67</v>
      </c>
      <c r="X3780" s="5" t="s">
        <v>67</v>
      </c>
      <c r="Y3780" s="4">
        <v>603</v>
      </c>
      <c r="Z3780" s="4">
        <v>5</v>
      </c>
      <c r="AA3780" s="4">
        <v>5</v>
      </c>
      <c r="AB3780" s="4">
        <v>1</v>
      </c>
      <c r="AC3780" s="4">
        <v>1</v>
      </c>
      <c r="AD3780" s="4">
        <v>3</v>
      </c>
      <c r="AE3780" s="4">
        <v>3</v>
      </c>
      <c r="AF3780" s="4">
        <v>0</v>
      </c>
      <c r="AG3780" s="4">
        <v>0</v>
      </c>
      <c r="AH3780" s="4">
        <v>3</v>
      </c>
      <c r="AI3780" s="4">
        <v>3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3" t="s">
        <v>62</v>
      </c>
      <c r="AS3780" s="3" t="s">
        <v>62</v>
      </c>
      <c r="AT3780" s="3" t="s">
        <v>62</v>
      </c>
      <c r="AV3780" s="6" t="str">
        <f>HYPERLINK("http://mcgill.on.worldcat.org/oclc/931996210","Catalog Record")</f>
        <v>Catalog Record</v>
      </c>
      <c r="AW3780" s="6" t="str">
        <f>HYPERLINK("http://www.worldcat.org/oclc/931996210","WorldCat Record")</f>
        <v>WorldCat Record</v>
      </c>
      <c r="AX3780" s="3" t="s">
        <v>36389</v>
      </c>
      <c r="AY3780" s="3" t="s">
        <v>36390</v>
      </c>
      <c r="AZ3780" s="3" t="s">
        <v>36391</v>
      </c>
      <c r="BA3780" s="3" t="s">
        <v>36391</v>
      </c>
      <c r="BB3780" s="3" t="s">
        <v>36392</v>
      </c>
      <c r="BC3780" s="3" t="s">
        <v>142</v>
      </c>
      <c r="BD3780" s="3" t="s">
        <v>68</v>
      </c>
      <c r="BE3780" s="3" t="s">
        <v>36393</v>
      </c>
      <c r="BF3780" s="3" t="s">
        <v>36392</v>
      </c>
      <c r="BG3780" s="3" t="s">
        <v>36394</v>
      </c>
    </row>
    <row r="3781" spans="1:59" ht="57" x14ac:dyDescent="0.45">
      <c r="A3781" s="2" t="s">
        <v>59</v>
      </c>
      <c r="B3781" s="2" t="s">
        <v>60</v>
      </c>
      <c r="C3781" s="2" t="s">
        <v>36395</v>
      </c>
      <c r="D3781" s="2" t="s">
        <v>36396</v>
      </c>
      <c r="E3781" s="2" t="s">
        <v>36397</v>
      </c>
      <c r="G3781" s="3" t="s">
        <v>62</v>
      </c>
      <c r="I3781" s="3" t="s">
        <v>62</v>
      </c>
      <c r="J3781" s="3" t="s">
        <v>62</v>
      </c>
      <c r="K3781" s="3" t="s">
        <v>63</v>
      </c>
      <c r="M3781" s="2" t="s">
        <v>36398</v>
      </c>
      <c r="N3781" s="3" t="s">
        <v>1239</v>
      </c>
      <c r="P3781" s="3" t="s">
        <v>65</v>
      </c>
      <c r="Q3781" s="2" t="s">
        <v>36399</v>
      </c>
      <c r="R3781" s="3" t="s">
        <v>66</v>
      </c>
      <c r="S3781" s="4">
        <v>14</v>
      </c>
      <c r="T3781" s="4">
        <v>14</v>
      </c>
      <c r="U3781" s="5" t="s">
        <v>32506</v>
      </c>
      <c r="V3781" s="5" t="s">
        <v>32506</v>
      </c>
      <c r="W3781" s="5" t="s">
        <v>67</v>
      </c>
      <c r="X3781" s="5" t="s">
        <v>67</v>
      </c>
      <c r="Y3781" s="4">
        <v>321</v>
      </c>
      <c r="Z3781" s="4">
        <v>26</v>
      </c>
      <c r="AA3781" s="4">
        <v>30</v>
      </c>
      <c r="AB3781" s="4">
        <v>3</v>
      </c>
      <c r="AC3781" s="4">
        <v>6</v>
      </c>
      <c r="AD3781" s="4">
        <v>100</v>
      </c>
      <c r="AE3781" s="4">
        <v>107</v>
      </c>
      <c r="AF3781" s="4">
        <v>2</v>
      </c>
      <c r="AG3781" s="4">
        <v>5</v>
      </c>
      <c r="AH3781" s="4">
        <v>88</v>
      </c>
      <c r="AI3781" s="4">
        <v>92</v>
      </c>
      <c r="AJ3781" s="4">
        <v>17</v>
      </c>
      <c r="AK3781" s="4">
        <v>20</v>
      </c>
      <c r="AL3781" s="4">
        <v>45</v>
      </c>
      <c r="AM3781" s="4">
        <v>46</v>
      </c>
      <c r="AN3781" s="4">
        <v>0</v>
      </c>
      <c r="AO3781" s="4">
        <v>0</v>
      </c>
      <c r="AP3781" s="4">
        <v>22</v>
      </c>
      <c r="AQ3781" s="4">
        <v>25</v>
      </c>
      <c r="AR3781" s="3" t="s">
        <v>62</v>
      </c>
      <c r="AS3781" s="3" t="s">
        <v>62</v>
      </c>
      <c r="AT3781" s="3" t="s">
        <v>62</v>
      </c>
      <c r="AV3781" s="6" t="str">
        <f>HYPERLINK("http://mcgill.on.worldcat.org/oclc/18780645","Catalog Record")</f>
        <v>Catalog Record</v>
      </c>
      <c r="AW3781" s="6" t="str">
        <f>HYPERLINK("http://www.worldcat.org/oclc/18780645","WorldCat Record")</f>
        <v>WorldCat Record</v>
      </c>
      <c r="AX3781" s="3" t="s">
        <v>36400</v>
      </c>
      <c r="AY3781" s="3" t="s">
        <v>36401</v>
      </c>
      <c r="AZ3781" s="3" t="s">
        <v>36402</v>
      </c>
      <c r="BA3781" s="3" t="s">
        <v>36402</v>
      </c>
      <c r="BB3781" s="3" t="s">
        <v>36403</v>
      </c>
      <c r="BC3781" s="3" t="s">
        <v>142</v>
      </c>
      <c r="BD3781" s="3" t="s">
        <v>68</v>
      </c>
      <c r="BE3781" s="3" t="s">
        <v>36404</v>
      </c>
      <c r="BF3781" s="3" t="s">
        <v>36403</v>
      </c>
      <c r="BG3781" s="3" t="s">
        <v>36405</v>
      </c>
    </row>
    <row r="3782" spans="1:59" ht="57" x14ac:dyDescent="0.45">
      <c r="A3782" s="2" t="s">
        <v>59</v>
      </c>
      <c r="B3782" s="2" t="s">
        <v>60</v>
      </c>
      <c r="C3782" s="2" t="s">
        <v>36406</v>
      </c>
      <c r="D3782" s="2" t="s">
        <v>36407</v>
      </c>
      <c r="E3782" s="2" t="s">
        <v>36408</v>
      </c>
      <c r="G3782" s="3" t="s">
        <v>62</v>
      </c>
      <c r="I3782" s="3" t="s">
        <v>62</v>
      </c>
      <c r="J3782" s="3" t="s">
        <v>62</v>
      </c>
      <c r="K3782" s="3" t="s">
        <v>63</v>
      </c>
      <c r="M3782" s="2" t="s">
        <v>5849</v>
      </c>
      <c r="N3782" s="3" t="s">
        <v>1688</v>
      </c>
      <c r="P3782" s="3" t="s">
        <v>65</v>
      </c>
      <c r="Q3782" s="2" t="s">
        <v>36409</v>
      </c>
      <c r="R3782" s="3" t="s">
        <v>66</v>
      </c>
      <c r="S3782" s="4">
        <v>4</v>
      </c>
      <c r="T3782" s="4">
        <v>4</v>
      </c>
      <c r="U3782" s="5" t="s">
        <v>32506</v>
      </c>
      <c r="V3782" s="5" t="s">
        <v>32506</v>
      </c>
      <c r="W3782" s="5" t="s">
        <v>67</v>
      </c>
      <c r="X3782" s="5" t="s">
        <v>67</v>
      </c>
      <c r="Y3782" s="4">
        <v>105</v>
      </c>
      <c r="Z3782" s="4">
        <v>16</v>
      </c>
      <c r="AA3782" s="4">
        <v>81</v>
      </c>
      <c r="AB3782" s="4">
        <v>2</v>
      </c>
      <c r="AC3782" s="4">
        <v>18</v>
      </c>
      <c r="AD3782" s="4">
        <v>45</v>
      </c>
      <c r="AE3782" s="4">
        <v>99</v>
      </c>
      <c r="AF3782" s="4">
        <v>1</v>
      </c>
      <c r="AG3782" s="4">
        <v>9</v>
      </c>
      <c r="AH3782" s="4">
        <v>40</v>
      </c>
      <c r="AI3782" s="4">
        <v>65</v>
      </c>
      <c r="AJ3782" s="4">
        <v>13</v>
      </c>
      <c r="AK3782" s="4">
        <v>23</v>
      </c>
      <c r="AL3782" s="4">
        <v>24</v>
      </c>
      <c r="AM3782" s="4">
        <v>34</v>
      </c>
      <c r="AN3782" s="4">
        <v>0</v>
      </c>
      <c r="AO3782" s="4">
        <v>0</v>
      </c>
      <c r="AP3782" s="4">
        <v>14</v>
      </c>
      <c r="AQ3782" s="4">
        <v>44</v>
      </c>
      <c r="AR3782" s="3" t="s">
        <v>62</v>
      </c>
      <c r="AS3782" s="3" t="s">
        <v>62</v>
      </c>
      <c r="AT3782" s="3" t="s">
        <v>62</v>
      </c>
      <c r="AV3782" s="6" t="str">
        <f>HYPERLINK("http://mcgill.on.worldcat.org/oclc/870699275","Catalog Record")</f>
        <v>Catalog Record</v>
      </c>
      <c r="AW3782" s="6" t="str">
        <f>HYPERLINK("http://www.worldcat.org/oclc/870699275","WorldCat Record")</f>
        <v>WorldCat Record</v>
      </c>
      <c r="AX3782" s="3" t="s">
        <v>36410</v>
      </c>
      <c r="AY3782" s="3" t="s">
        <v>36411</v>
      </c>
      <c r="AZ3782" s="3" t="s">
        <v>36412</v>
      </c>
      <c r="BA3782" s="3" t="s">
        <v>36412</v>
      </c>
      <c r="BB3782" s="3" t="s">
        <v>36413</v>
      </c>
      <c r="BC3782" s="3" t="s">
        <v>142</v>
      </c>
      <c r="BD3782" s="3" t="s">
        <v>68</v>
      </c>
      <c r="BE3782" s="3" t="s">
        <v>36414</v>
      </c>
      <c r="BF3782" s="3" t="s">
        <v>36413</v>
      </c>
      <c r="BG3782" s="3" t="s">
        <v>36415</v>
      </c>
    </row>
    <row r="3783" spans="1:59" ht="57" x14ac:dyDescent="0.45">
      <c r="A3783" s="2" t="s">
        <v>59</v>
      </c>
      <c r="B3783" s="2" t="s">
        <v>60</v>
      </c>
      <c r="C3783" s="2" t="s">
        <v>36416</v>
      </c>
      <c r="D3783" s="2" t="s">
        <v>36417</v>
      </c>
      <c r="E3783" s="2" t="s">
        <v>36418</v>
      </c>
      <c r="G3783" s="3" t="s">
        <v>62</v>
      </c>
      <c r="I3783" s="3" t="s">
        <v>61</v>
      </c>
      <c r="J3783" s="3" t="s">
        <v>62</v>
      </c>
      <c r="K3783" s="3" t="s">
        <v>63</v>
      </c>
      <c r="L3783" s="2" t="s">
        <v>36419</v>
      </c>
      <c r="M3783" s="2" t="s">
        <v>36420</v>
      </c>
      <c r="N3783" s="3" t="s">
        <v>970</v>
      </c>
      <c r="P3783" s="3" t="s">
        <v>65</v>
      </c>
      <c r="Q3783" s="2" t="s">
        <v>36421</v>
      </c>
      <c r="R3783" s="3" t="s">
        <v>66</v>
      </c>
      <c r="S3783" s="4">
        <v>5</v>
      </c>
      <c r="T3783" s="4">
        <v>5</v>
      </c>
      <c r="U3783" s="5" t="s">
        <v>31223</v>
      </c>
      <c r="V3783" s="5" t="s">
        <v>31223</v>
      </c>
      <c r="W3783" s="5" t="s">
        <v>67</v>
      </c>
      <c r="X3783" s="5" t="s">
        <v>67</v>
      </c>
      <c r="Y3783" s="4">
        <v>165</v>
      </c>
      <c r="Z3783" s="4">
        <v>14</v>
      </c>
      <c r="AA3783" s="4">
        <v>99</v>
      </c>
      <c r="AB3783" s="4">
        <v>1</v>
      </c>
      <c r="AC3783" s="4">
        <v>17</v>
      </c>
      <c r="AD3783" s="4">
        <v>63</v>
      </c>
      <c r="AE3783" s="4">
        <v>120</v>
      </c>
      <c r="AF3783" s="4">
        <v>0</v>
      </c>
      <c r="AG3783" s="4">
        <v>8</v>
      </c>
      <c r="AH3783" s="4">
        <v>58</v>
      </c>
      <c r="AI3783" s="4">
        <v>86</v>
      </c>
      <c r="AJ3783" s="4">
        <v>9</v>
      </c>
      <c r="AK3783" s="4">
        <v>20</v>
      </c>
      <c r="AL3783" s="4">
        <v>34</v>
      </c>
      <c r="AM3783" s="4">
        <v>45</v>
      </c>
      <c r="AN3783" s="4">
        <v>0</v>
      </c>
      <c r="AO3783" s="4">
        <v>0</v>
      </c>
      <c r="AP3783" s="4">
        <v>12</v>
      </c>
      <c r="AQ3783" s="4">
        <v>42</v>
      </c>
      <c r="AR3783" s="3" t="s">
        <v>62</v>
      </c>
      <c r="AS3783" s="3" t="s">
        <v>62</v>
      </c>
      <c r="AT3783" s="3" t="s">
        <v>61</v>
      </c>
      <c r="AU3783" s="6" t="str">
        <f>HYPERLINK("http://catalog.hathitrust.org/Record/003707328","HathiTrust Record")</f>
        <v>HathiTrust Record</v>
      </c>
      <c r="AV3783" s="6" t="str">
        <f>HYPERLINK("http://mcgill.on.worldcat.org/oclc/47755970","Catalog Record")</f>
        <v>Catalog Record</v>
      </c>
      <c r="AW3783" s="6" t="str">
        <f>HYPERLINK("http://www.worldcat.org/oclc/47755970","WorldCat Record")</f>
        <v>WorldCat Record</v>
      </c>
      <c r="AX3783" s="3" t="s">
        <v>36422</v>
      </c>
      <c r="AY3783" s="3" t="s">
        <v>36423</v>
      </c>
      <c r="AZ3783" s="3" t="s">
        <v>36424</v>
      </c>
      <c r="BA3783" s="3" t="s">
        <v>36424</v>
      </c>
      <c r="BB3783" s="3" t="s">
        <v>36425</v>
      </c>
      <c r="BC3783" s="3" t="s">
        <v>142</v>
      </c>
      <c r="BD3783" s="3" t="s">
        <v>68</v>
      </c>
      <c r="BE3783" s="3" t="s">
        <v>36426</v>
      </c>
      <c r="BF3783" s="3" t="s">
        <v>36425</v>
      </c>
      <c r="BG3783" s="3" t="s">
        <v>36427</v>
      </c>
    </row>
    <row r="3784" spans="1:59" ht="57" x14ac:dyDescent="0.45">
      <c r="A3784" s="2" t="s">
        <v>59</v>
      </c>
      <c r="B3784" s="2" t="s">
        <v>60</v>
      </c>
      <c r="C3784" s="2" t="s">
        <v>36416</v>
      </c>
      <c r="D3784" s="2" t="s">
        <v>36417</v>
      </c>
      <c r="E3784" s="2" t="s">
        <v>36418</v>
      </c>
      <c r="G3784" s="3" t="s">
        <v>62</v>
      </c>
      <c r="I3784" s="3" t="s">
        <v>61</v>
      </c>
      <c r="J3784" s="3" t="s">
        <v>62</v>
      </c>
      <c r="K3784" s="3" t="s">
        <v>63</v>
      </c>
      <c r="L3784" s="2" t="s">
        <v>36419</v>
      </c>
      <c r="M3784" s="2" t="s">
        <v>36420</v>
      </c>
      <c r="N3784" s="3" t="s">
        <v>970</v>
      </c>
      <c r="P3784" s="3" t="s">
        <v>65</v>
      </c>
      <c r="Q3784" s="2" t="s">
        <v>36421</v>
      </c>
      <c r="R3784" s="3" t="s">
        <v>66</v>
      </c>
      <c r="S3784" s="4">
        <v>0</v>
      </c>
      <c r="T3784" s="4">
        <v>5</v>
      </c>
      <c r="V3784" s="5" t="s">
        <v>31223</v>
      </c>
      <c r="W3784" s="5" t="s">
        <v>67</v>
      </c>
      <c r="X3784" s="5" t="s">
        <v>67</v>
      </c>
      <c r="Y3784" s="4">
        <v>165</v>
      </c>
      <c r="Z3784" s="4">
        <v>14</v>
      </c>
      <c r="AA3784" s="4">
        <v>99</v>
      </c>
      <c r="AB3784" s="4">
        <v>1</v>
      </c>
      <c r="AC3784" s="4">
        <v>17</v>
      </c>
      <c r="AD3784" s="4">
        <v>63</v>
      </c>
      <c r="AE3784" s="4">
        <v>120</v>
      </c>
      <c r="AF3784" s="4">
        <v>0</v>
      </c>
      <c r="AG3784" s="4">
        <v>8</v>
      </c>
      <c r="AH3784" s="4">
        <v>58</v>
      </c>
      <c r="AI3784" s="4">
        <v>86</v>
      </c>
      <c r="AJ3784" s="4">
        <v>9</v>
      </c>
      <c r="AK3784" s="4">
        <v>20</v>
      </c>
      <c r="AL3784" s="4">
        <v>34</v>
      </c>
      <c r="AM3784" s="4">
        <v>45</v>
      </c>
      <c r="AN3784" s="4">
        <v>0</v>
      </c>
      <c r="AO3784" s="4">
        <v>0</v>
      </c>
      <c r="AP3784" s="4">
        <v>12</v>
      </c>
      <c r="AQ3784" s="4">
        <v>42</v>
      </c>
      <c r="AR3784" s="3" t="s">
        <v>62</v>
      </c>
      <c r="AS3784" s="3" t="s">
        <v>62</v>
      </c>
      <c r="AT3784" s="3" t="s">
        <v>61</v>
      </c>
      <c r="AU3784" s="6" t="str">
        <f>HYPERLINK("http://catalog.hathitrust.org/Record/003707328","HathiTrust Record")</f>
        <v>HathiTrust Record</v>
      </c>
      <c r="AV3784" s="6" t="str">
        <f>HYPERLINK("http://mcgill.on.worldcat.org/oclc/47755970","Catalog Record")</f>
        <v>Catalog Record</v>
      </c>
      <c r="AW3784" s="6" t="str">
        <f>HYPERLINK("http://www.worldcat.org/oclc/47755970","WorldCat Record")</f>
        <v>WorldCat Record</v>
      </c>
      <c r="AX3784" s="3" t="s">
        <v>36422</v>
      </c>
      <c r="AY3784" s="3" t="s">
        <v>36423</v>
      </c>
      <c r="AZ3784" s="3" t="s">
        <v>36424</v>
      </c>
      <c r="BA3784" s="3" t="s">
        <v>36424</v>
      </c>
      <c r="BB3784" s="3" t="s">
        <v>36428</v>
      </c>
      <c r="BC3784" s="3" t="s">
        <v>142</v>
      </c>
      <c r="BD3784" s="3" t="s">
        <v>68</v>
      </c>
      <c r="BE3784" s="3" t="s">
        <v>36426</v>
      </c>
      <c r="BF3784" s="3" t="s">
        <v>36428</v>
      </c>
      <c r="BG3784" s="3" t="s">
        <v>36429</v>
      </c>
    </row>
    <row r="3785" spans="1:59" ht="57" x14ac:dyDescent="0.45">
      <c r="A3785" s="2" t="s">
        <v>59</v>
      </c>
      <c r="B3785" s="2" t="s">
        <v>60</v>
      </c>
      <c r="C3785" s="2" t="s">
        <v>36430</v>
      </c>
      <c r="D3785" s="2" t="s">
        <v>36431</v>
      </c>
      <c r="E3785" s="2" t="s">
        <v>36432</v>
      </c>
      <c r="G3785" s="3" t="s">
        <v>62</v>
      </c>
      <c r="I3785" s="3" t="s">
        <v>62</v>
      </c>
      <c r="J3785" s="3" t="s">
        <v>62</v>
      </c>
      <c r="K3785" s="3" t="s">
        <v>63</v>
      </c>
      <c r="L3785" s="2" t="s">
        <v>36433</v>
      </c>
      <c r="M3785" s="2" t="s">
        <v>9187</v>
      </c>
      <c r="N3785" s="3" t="s">
        <v>894</v>
      </c>
      <c r="P3785" s="3" t="s">
        <v>65</v>
      </c>
      <c r="R3785" s="3" t="s">
        <v>66</v>
      </c>
      <c r="S3785" s="4">
        <v>3</v>
      </c>
      <c r="T3785" s="4">
        <v>3</v>
      </c>
      <c r="U3785" s="5" t="s">
        <v>36434</v>
      </c>
      <c r="V3785" s="5" t="s">
        <v>36434</v>
      </c>
      <c r="W3785" s="5" t="s">
        <v>67</v>
      </c>
      <c r="X3785" s="5" t="s">
        <v>67</v>
      </c>
      <c r="Y3785" s="4">
        <v>177</v>
      </c>
      <c r="Z3785" s="4">
        <v>20</v>
      </c>
      <c r="AA3785" s="4">
        <v>24</v>
      </c>
      <c r="AB3785" s="4">
        <v>1</v>
      </c>
      <c r="AC3785" s="4">
        <v>3</v>
      </c>
      <c r="AD3785" s="4">
        <v>84</v>
      </c>
      <c r="AE3785" s="4">
        <v>91</v>
      </c>
      <c r="AF3785" s="4">
        <v>0</v>
      </c>
      <c r="AG3785" s="4">
        <v>1</v>
      </c>
      <c r="AH3785" s="4">
        <v>73</v>
      </c>
      <c r="AI3785" s="4">
        <v>78</v>
      </c>
      <c r="AJ3785" s="4">
        <v>16</v>
      </c>
      <c r="AK3785" s="4">
        <v>18</v>
      </c>
      <c r="AL3785" s="4">
        <v>43</v>
      </c>
      <c r="AM3785" s="4">
        <v>45</v>
      </c>
      <c r="AN3785" s="4">
        <v>0</v>
      </c>
      <c r="AO3785" s="4">
        <v>0</v>
      </c>
      <c r="AP3785" s="4">
        <v>18</v>
      </c>
      <c r="AQ3785" s="4">
        <v>21</v>
      </c>
      <c r="AR3785" s="3" t="s">
        <v>62</v>
      </c>
      <c r="AS3785" s="3" t="s">
        <v>62</v>
      </c>
      <c r="AT3785" s="3" t="s">
        <v>62</v>
      </c>
      <c r="AV3785" s="6" t="str">
        <f>HYPERLINK("http://mcgill.on.worldcat.org/oclc/676923159","Catalog Record")</f>
        <v>Catalog Record</v>
      </c>
      <c r="AW3785" s="6" t="str">
        <f>HYPERLINK("http://www.worldcat.org/oclc/676923159","WorldCat Record")</f>
        <v>WorldCat Record</v>
      </c>
      <c r="AX3785" s="3" t="s">
        <v>36435</v>
      </c>
      <c r="AY3785" s="3" t="s">
        <v>36436</v>
      </c>
      <c r="AZ3785" s="3" t="s">
        <v>36437</v>
      </c>
      <c r="BA3785" s="3" t="s">
        <v>36437</v>
      </c>
      <c r="BB3785" s="3" t="s">
        <v>36438</v>
      </c>
      <c r="BC3785" s="3" t="s">
        <v>142</v>
      </c>
      <c r="BD3785" s="3" t="s">
        <v>68</v>
      </c>
      <c r="BE3785" s="3" t="s">
        <v>36439</v>
      </c>
      <c r="BF3785" s="3" t="s">
        <v>36438</v>
      </c>
      <c r="BG3785" s="3" t="s">
        <v>36440</v>
      </c>
    </row>
    <row r="3786" spans="1:59" ht="57" x14ac:dyDescent="0.45">
      <c r="A3786" s="2" t="s">
        <v>59</v>
      </c>
      <c r="B3786" s="2" t="s">
        <v>60</v>
      </c>
      <c r="C3786" s="2" t="s">
        <v>36441</v>
      </c>
      <c r="D3786" s="2" t="s">
        <v>36442</v>
      </c>
      <c r="E3786" s="2" t="s">
        <v>36443</v>
      </c>
      <c r="G3786" s="3" t="s">
        <v>62</v>
      </c>
      <c r="I3786" s="3" t="s">
        <v>62</v>
      </c>
      <c r="J3786" s="3" t="s">
        <v>62</v>
      </c>
      <c r="K3786" s="3" t="s">
        <v>63</v>
      </c>
      <c r="L3786" s="2" t="s">
        <v>36444</v>
      </c>
      <c r="M3786" s="2" t="s">
        <v>12953</v>
      </c>
      <c r="N3786" s="3" t="s">
        <v>1059</v>
      </c>
      <c r="P3786" s="3" t="s">
        <v>65</v>
      </c>
      <c r="Q3786" s="2" t="s">
        <v>36445</v>
      </c>
      <c r="R3786" s="3" t="s">
        <v>66</v>
      </c>
      <c r="S3786" s="4">
        <v>6</v>
      </c>
      <c r="T3786" s="4">
        <v>6</v>
      </c>
      <c r="U3786" s="5" t="s">
        <v>19153</v>
      </c>
      <c r="V3786" s="5" t="s">
        <v>19153</v>
      </c>
      <c r="W3786" s="5" t="s">
        <v>67</v>
      </c>
      <c r="X3786" s="5" t="s">
        <v>67</v>
      </c>
      <c r="Y3786" s="4">
        <v>223</v>
      </c>
      <c r="Z3786" s="4">
        <v>12</v>
      </c>
      <c r="AA3786" s="4">
        <v>101</v>
      </c>
      <c r="AB3786" s="4">
        <v>2</v>
      </c>
      <c r="AC3786" s="4">
        <v>17</v>
      </c>
      <c r="AD3786" s="4">
        <v>94</v>
      </c>
      <c r="AE3786" s="4">
        <v>144</v>
      </c>
      <c r="AF3786" s="4">
        <v>1</v>
      </c>
      <c r="AG3786" s="4">
        <v>8</v>
      </c>
      <c r="AH3786" s="4">
        <v>87</v>
      </c>
      <c r="AI3786" s="4">
        <v>105</v>
      </c>
      <c r="AJ3786" s="4">
        <v>11</v>
      </c>
      <c r="AK3786" s="4">
        <v>24</v>
      </c>
      <c r="AL3786" s="4">
        <v>51</v>
      </c>
      <c r="AM3786" s="4">
        <v>57</v>
      </c>
      <c r="AN3786" s="4">
        <v>0</v>
      </c>
      <c r="AO3786" s="4">
        <v>0</v>
      </c>
      <c r="AP3786" s="4">
        <v>11</v>
      </c>
      <c r="AQ3786" s="4">
        <v>46</v>
      </c>
      <c r="AR3786" s="3" t="s">
        <v>62</v>
      </c>
      <c r="AS3786" s="3" t="s">
        <v>62</v>
      </c>
      <c r="AT3786" s="3" t="s">
        <v>61</v>
      </c>
      <c r="AU3786" s="6" t="str">
        <f>HYPERLINK("http://catalog.hathitrust.org/Record/005235331","HathiTrust Record")</f>
        <v>HathiTrust Record</v>
      </c>
      <c r="AV3786" s="6" t="str">
        <f>HYPERLINK("http://mcgill.on.worldcat.org/oclc/62331114","Catalog Record")</f>
        <v>Catalog Record</v>
      </c>
      <c r="AW3786" s="6" t="str">
        <f>HYPERLINK("http://www.worldcat.org/oclc/62331114","WorldCat Record")</f>
        <v>WorldCat Record</v>
      </c>
      <c r="AX3786" s="3" t="s">
        <v>36446</v>
      </c>
      <c r="AY3786" s="3" t="s">
        <v>36447</v>
      </c>
      <c r="AZ3786" s="3" t="s">
        <v>36448</v>
      </c>
      <c r="BA3786" s="3" t="s">
        <v>36448</v>
      </c>
      <c r="BB3786" s="3" t="s">
        <v>36449</v>
      </c>
      <c r="BC3786" s="3" t="s">
        <v>142</v>
      </c>
      <c r="BD3786" s="3" t="s">
        <v>308</v>
      </c>
      <c r="BE3786" s="3" t="s">
        <v>36450</v>
      </c>
      <c r="BF3786" s="3" t="s">
        <v>36449</v>
      </c>
      <c r="BG3786" s="3" t="s">
        <v>36451</v>
      </c>
    </row>
    <row r="3787" spans="1:59" ht="57" x14ac:dyDescent="0.45">
      <c r="A3787" s="2" t="s">
        <v>59</v>
      </c>
      <c r="B3787" s="2" t="s">
        <v>60</v>
      </c>
      <c r="C3787" s="2" t="s">
        <v>36452</v>
      </c>
      <c r="D3787" s="2" t="s">
        <v>36453</v>
      </c>
      <c r="E3787" s="2" t="s">
        <v>36454</v>
      </c>
      <c r="G3787" s="3" t="s">
        <v>62</v>
      </c>
      <c r="I3787" s="3" t="s">
        <v>61</v>
      </c>
      <c r="J3787" s="3" t="s">
        <v>62</v>
      </c>
      <c r="K3787" s="3" t="s">
        <v>63</v>
      </c>
      <c r="L3787" s="2" t="s">
        <v>36455</v>
      </c>
      <c r="M3787" s="2" t="s">
        <v>36456</v>
      </c>
      <c r="N3787" s="3" t="s">
        <v>1253</v>
      </c>
      <c r="P3787" s="3" t="s">
        <v>65</v>
      </c>
      <c r="R3787" s="3" t="s">
        <v>66</v>
      </c>
      <c r="S3787" s="4">
        <v>31</v>
      </c>
      <c r="T3787" s="4">
        <v>123</v>
      </c>
      <c r="U3787" s="5" t="s">
        <v>32628</v>
      </c>
      <c r="V3787" s="5" t="s">
        <v>10919</v>
      </c>
      <c r="W3787" s="5" t="s">
        <v>67</v>
      </c>
      <c r="X3787" s="5" t="s">
        <v>67</v>
      </c>
      <c r="Y3787" s="4">
        <v>276</v>
      </c>
      <c r="Z3787" s="4">
        <v>19</v>
      </c>
      <c r="AA3787" s="4">
        <v>23</v>
      </c>
      <c r="AB3787" s="4">
        <v>2</v>
      </c>
      <c r="AC3787" s="4">
        <v>4</v>
      </c>
      <c r="AD3787" s="4">
        <v>95</v>
      </c>
      <c r="AE3787" s="4">
        <v>97</v>
      </c>
      <c r="AF3787" s="4">
        <v>1</v>
      </c>
      <c r="AG3787" s="4">
        <v>2</v>
      </c>
      <c r="AH3787" s="4">
        <v>84</v>
      </c>
      <c r="AI3787" s="4">
        <v>86</v>
      </c>
      <c r="AJ3787" s="4">
        <v>16</v>
      </c>
      <c r="AK3787" s="4">
        <v>17</v>
      </c>
      <c r="AL3787" s="4">
        <v>47</v>
      </c>
      <c r="AM3787" s="4">
        <v>48</v>
      </c>
      <c r="AN3787" s="4">
        <v>0</v>
      </c>
      <c r="AO3787" s="4">
        <v>0</v>
      </c>
      <c r="AP3787" s="4">
        <v>17</v>
      </c>
      <c r="AQ3787" s="4">
        <v>18</v>
      </c>
      <c r="AR3787" s="3" t="s">
        <v>62</v>
      </c>
      <c r="AS3787" s="3" t="s">
        <v>62</v>
      </c>
      <c r="AT3787" s="3" t="s">
        <v>62</v>
      </c>
      <c r="AV3787" s="6" t="str">
        <f>HYPERLINK("http://mcgill.on.worldcat.org/oclc/35714664","Catalog Record")</f>
        <v>Catalog Record</v>
      </c>
      <c r="AW3787" s="6" t="str">
        <f>HYPERLINK("http://www.worldcat.org/oclc/35714664","WorldCat Record")</f>
        <v>WorldCat Record</v>
      </c>
      <c r="AX3787" s="3" t="s">
        <v>36457</v>
      </c>
      <c r="AY3787" s="3" t="s">
        <v>36458</v>
      </c>
      <c r="AZ3787" s="3" t="s">
        <v>36459</v>
      </c>
      <c r="BA3787" s="3" t="s">
        <v>36459</v>
      </c>
      <c r="BB3787" s="3" t="s">
        <v>36460</v>
      </c>
      <c r="BC3787" s="3" t="s">
        <v>142</v>
      </c>
      <c r="BD3787" s="3" t="s">
        <v>68</v>
      </c>
      <c r="BE3787" s="3" t="s">
        <v>36461</v>
      </c>
      <c r="BF3787" s="3" t="s">
        <v>36460</v>
      </c>
      <c r="BG3787" s="3" t="s">
        <v>36462</v>
      </c>
    </row>
    <row r="3788" spans="1:59" ht="57" x14ac:dyDescent="0.45">
      <c r="A3788" s="2" t="s">
        <v>59</v>
      </c>
      <c r="B3788" s="2" t="s">
        <v>60</v>
      </c>
      <c r="C3788" s="2" t="s">
        <v>36452</v>
      </c>
      <c r="D3788" s="2" t="s">
        <v>36453</v>
      </c>
      <c r="E3788" s="2" t="s">
        <v>36454</v>
      </c>
      <c r="G3788" s="3" t="s">
        <v>62</v>
      </c>
      <c r="I3788" s="3" t="s">
        <v>61</v>
      </c>
      <c r="J3788" s="3" t="s">
        <v>62</v>
      </c>
      <c r="K3788" s="3" t="s">
        <v>63</v>
      </c>
      <c r="L3788" s="2" t="s">
        <v>36455</v>
      </c>
      <c r="M3788" s="2" t="s">
        <v>36456</v>
      </c>
      <c r="N3788" s="3" t="s">
        <v>1253</v>
      </c>
      <c r="P3788" s="3" t="s">
        <v>65</v>
      </c>
      <c r="R3788" s="3" t="s">
        <v>66</v>
      </c>
      <c r="S3788" s="4">
        <v>68</v>
      </c>
      <c r="T3788" s="4">
        <v>123</v>
      </c>
      <c r="U3788" s="5" t="s">
        <v>8576</v>
      </c>
      <c r="V3788" s="5" t="s">
        <v>10919</v>
      </c>
      <c r="W3788" s="5" t="s">
        <v>67</v>
      </c>
      <c r="X3788" s="5" t="s">
        <v>67</v>
      </c>
      <c r="Y3788" s="4">
        <v>276</v>
      </c>
      <c r="Z3788" s="4">
        <v>19</v>
      </c>
      <c r="AA3788" s="4">
        <v>23</v>
      </c>
      <c r="AB3788" s="4">
        <v>2</v>
      </c>
      <c r="AC3788" s="4">
        <v>4</v>
      </c>
      <c r="AD3788" s="4">
        <v>95</v>
      </c>
      <c r="AE3788" s="4">
        <v>97</v>
      </c>
      <c r="AF3788" s="4">
        <v>1</v>
      </c>
      <c r="AG3788" s="4">
        <v>2</v>
      </c>
      <c r="AH3788" s="4">
        <v>84</v>
      </c>
      <c r="AI3788" s="4">
        <v>86</v>
      </c>
      <c r="AJ3788" s="4">
        <v>16</v>
      </c>
      <c r="AK3788" s="4">
        <v>17</v>
      </c>
      <c r="AL3788" s="4">
        <v>47</v>
      </c>
      <c r="AM3788" s="4">
        <v>48</v>
      </c>
      <c r="AN3788" s="4">
        <v>0</v>
      </c>
      <c r="AO3788" s="4">
        <v>0</v>
      </c>
      <c r="AP3788" s="4">
        <v>17</v>
      </c>
      <c r="AQ3788" s="4">
        <v>18</v>
      </c>
      <c r="AR3788" s="3" t="s">
        <v>62</v>
      </c>
      <c r="AS3788" s="3" t="s">
        <v>62</v>
      </c>
      <c r="AT3788" s="3" t="s">
        <v>62</v>
      </c>
      <c r="AV3788" s="6" t="str">
        <f>HYPERLINK("http://mcgill.on.worldcat.org/oclc/35714664","Catalog Record")</f>
        <v>Catalog Record</v>
      </c>
      <c r="AW3788" s="6" t="str">
        <f>HYPERLINK("http://www.worldcat.org/oclc/35714664","WorldCat Record")</f>
        <v>WorldCat Record</v>
      </c>
      <c r="AX3788" s="3" t="s">
        <v>36457</v>
      </c>
      <c r="AY3788" s="3" t="s">
        <v>36458</v>
      </c>
      <c r="AZ3788" s="3" t="s">
        <v>36459</v>
      </c>
      <c r="BA3788" s="3" t="s">
        <v>36459</v>
      </c>
      <c r="BB3788" s="3" t="s">
        <v>36463</v>
      </c>
      <c r="BC3788" s="3" t="s">
        <v>142</v>
      </c>
      <c r="BD3788" s="3" t="s">
        <v>68</v>
      </c>
      <c r="BE3788" s="3" t="s">
        <v>36461</v>
      </c>
      <c r="BF3788" s="3" t="s">
        <v>36463</v>
      </c>
      <c r="BG3788" s="3" t="s">
        <v>36464</v>
      </c>
    </row>
    <row r="3789" spans="1:59" ht="57" x14ac:dyDescent="0.45">
      <c r="A3789" s="2" t="s">
        <v>59</v>
      </c>
      <c r="B3789" s="2" t="s">
        <v>60</v>
      </c>
      <c r="C3789" s="2" t="s">
        <v>36452</v>
      </c>
      <c r="D3789" s="2" t="s">
        <v>36453</v>
      </c>
      <c r="E3789" s="2" t="s">
        <v>36454</v>
      </c>
      <c r="G3789" s="3" t="s">
        <v>62</v>
      </c>
      <c r="I3789" s="3" t="s">
        <v>61</v>
      </c>
      <c r="J3789" s="3" t="s">
        <v>62</v>
      </c>
      <c r="K3789" s="3" t="s">
        <v>63</v>
      </c>
      <c r="L3789" s="2" t="s">
        <v>36455</v>
      </c>
      <c r="M3789" s="2" t="s">
        <v>36456</v>
      </c>
      <c r="N3789" s="3" t="s">
        <v>1253</v>
      </c>
      <c r="P3789" s="3" t="s">
        <v>65</v>
      </c>
      <c r="R3789" s="3" t="s">
        <v>66</v>
      </c>
      <c r="S3789" s="4">
        <v>24</v>
      </c>
      <c r="T3789" s="4">
        <v>123</v>
      </c>
      <c r="U3789" s="5" t="s">
        <v>10919</v>
      </c>
      <c r="V3789" s="5" t="s">
        <v>10919</v>
      </c>
      <c r="W3789" s="5" t="s">
        <v>67</v>
      </c>
      <c r="X3789" s="5" t="s">
        <v>67</v>
      </c>
      <c r="Y3789" s="4">
        <v>276</v>
      </c>
      <c r="Z3789" s="4">
        <v>19</v>
      </c>
      <c r="AA3789" s="4">
        <v>23</v>
      </c>
      <c r="AB3789" s="4">
        <v>2</v>
      </c>
      <c r="AC3789" s="4">
        <v>4</v>
      </c>
      <c r="AD3789" s="4">
        <v>95</v>
      </c>
      <c r="AE3789" s="4">
        <v>97</v>
      </c>
      <c r="AF3789" s="4">
        <v>1</v>
      </c>
      <c r="AG3789" s="4">
        <v>2</v>
      </c>
      <c r="AH3789" s="4">
        <v>84</v>
      </c>
      <c r="AI3789" s="4">
        <v>86</v>
      </c>
      <c r="AJ3789" s="4">
        <v>16</v>
      </c>
      <c r="AK3789" s="4">
        <v>17</v>
      </c>
      <c r="AL3789" s="4">
        <v>47</v>
      </c>
      <c r="AM3789" s="4">
        <v>48</v>
      </c>
      <c r="AN3789" s="4">
        <v>0</v>
      </c>
      <c r="AO3789" s="4">
        <v>0</v>
      </c>
      <c r="AP3789" s="4">
        <v>17</v>
      </c>
      <c r="AQ3789" s="4">
        <v>18</v>
      </c>
      <c r="AR3789" s="3" t="s">
        <v>62</v>
      </c>
      <c r="AS3789" s="3" t="s">
        <v>62</v>
      </c>
      <c r="AT3789" s="3" t="s">
        <v>62</v>
      </c>
      <c r="AV3789" s="6" t="str">
        <f>HYPERLINK("http://mcgill.on.worldcat.org/oclc/35714664","Catalog Record")</f>
        <v>Catalog Record</v>
      </c>
      <c r="AW3789" s="6" t="str">
        <f>HYPERLINK("http://www.worldcat.org/oclc/35714664","WorldCat Record")</f>
        <v>WorldCat Record</v>
      </c>
      <c r="AX3789" s="3" t="s">
        <v>36457</v>
      </c>
      <c r="AY3789" s="3" t="s">
        <v>36458</v>
      </c>
      <c r="AZ3789" s="3" t="s">
        <v>36459</v>
      </c>
      <c r="BA3789" s="3" t="s">
        <v>36459</v>
      </c>
      <c r="BB3789" s="3" t="s">
        <v>36465</v>
      </c>
      <c r="BC3789" s="3" t="s">
        <v>142</v>
      </c>
      <c r="BD3789" s="3" t="s">
        <v>68</v>
      </c>
      <c r="BE3789" s="3" t="s">
        <v>36461</v>
      </c>
      <c r="BF3789" s="3" t="s">
        <v>36465</v>
      </c>
      <c r="BG3789" s="3" t="s">
        <v>36466</v>
      </c>
    </row>
    <row r="3790" spans="1:59" ht="57" x14ac:dyDescent="0.45">
      <c r="A3790" s="2" t="s">
        <v>59</v>
      </c>
      <c r="B3790" s="2" t="s">
        <v>60</v>
      </c>
      <c r="C3790" s="2" t="s">
        <v>36467</v>
      </c>
      <c r="D3790" s="2" t="s">
        <v>36468</v>
      </c>
      <c r="E3790" s="2" t="s">
        <v>36469</v>
      </c>
      <c r="G3790" s="3" t="s">
        <v>62</v>
      </c>
      <c r="I3790" s="3" t="s">
        <v>62</v>
      </c>
      <c r="J3790" s="3" t="s">
        <v>62</v>
      </c>
      <c r="K3790" s="3" t="s">
        <v>63</v>
      </c>
      <c r="L3790" s="2" t="s">
        <v>36470</v>
      </c>
      <c r="M3790" s="2" t="s">
        <v>36471</v>
      </c>
      <c r="N3790" s="3" t="s">
        <v>1212</v>
      </c>
      <c r="P3790" s="3" t="s">
        <v>65</v>
      </c>
      <c r="R3790" s="3" t="s">
        <v>66</v>
      </c>
      <c r="S3790" s="4">
        <v>22</v>
      </c>
      <c r="T3790" s="4">
        <v>22</v>
      </c>
      <c r="U3790" s="5" t="s">
        <v>29000</v>
      </c>
      <c r="V3790" s="5" t="s">
        <v>29000</v>
      </c>
      <c r="W3790" s="5" t="s">
        <v>67</v>
      </c>
      <c r="X3790" s="5" t="s">
        <v>67</v>
      </c>
      <c r="Y3790" s="4">
        <v>374</v>
      </c>
      <c r="Z3790" s="4">
        <v>22</v>
      </c>
      <c r="AA3790" s="4">
        <v>27</v>
      </c>
      <c r="AB3790" s="4">
        <v>2</v>
      </c>
      <c r="AC3790" s="4">
        <v>7</v>
      </c>
      <c r="AD3790" s="4">
        <v>106</v>
      </c>
      <c r="AE3790" s="4">
        <v>113</v>
      </c>
      <c r="AF3790" s="4">
        <v>1</v>
      </c>
      <c r="AG3790" s="4">
        <v>3</v>
      </c>
      <c r="AH3790" s="4">
        <v>94</v>
      </c>
      <c r="AI3790" s="4">
        <v>100</v>
      </c>
      <c r="AJ3790" s="4">
        <v>16</v>
      </c>
      <c r="AK3790" s="4">
        <v>18</v>
      </c>
      <c r="AL3790" s="4">
        <v>51</v>
      </c>
      <c r="AM3790" s="4">
        <v>53</v>
      </c>
      <c r="AN3790" s="4">
        <v>0</v>
      </c>
      <c r="AO3790" s="4">
        <v>0</v>
      </c>
      <c r="AP3790" s="4">
        <v>18</v>
      </c>
      <c r="AQ3790" s="4">
        <v>20</v>
      </c>
      <c r="AR3790" s="3" t="s">
        <v>62</v>
      </c>
      <c r="AS3790" s="3" t="s">
        <v>62</v>
      </c>
      <c r="AT3790" s="3" t="s">
        <v>62</v>
      </c>
      <c r="AV3790" s="6" t="str">
        <f>HYPERLINK("http://mcgill.on.worldcat.org/oclc/42641791","Catalog Record")</f>
        <v>Catalog Record</v>
      </c>
      <c r="AW3790" s="6" t="str">
        <f>HYPERLINK("http://www.worldcat.org/oclc/42641791","WorldCat Record")</f>
        <v>WorldCat Record</v>
      </c>
      <c r="AX3790" s="3" t="s">
        <v>36472</v>
      </c>
      <c r="AY3790" s="3" t="s">
        <v>36473</v>
      </c>
      <c r="AZ3790" s="3" t="s">
        <v>36474</v>
      </c>
      <c r="BA3790" s="3" t="s">
        <v>36474</v>
      </c>
      <c r="BB3790" s="3" t="s">
        <v>36475</v>
      </c>
      <c r="BC3790" s="3" t="s">
        <v>142</v>
      </c>
      <c r="BD3790" s="3" t="s">
        <v>308</v>
      </c>
      <c r="BE3790" s="3" t="s">
        <v>36476</v>
      </c>
      <c r="BF3790" s="3" t="s">
        <v>36475</v>
      </c>
      <c r="BG3790" s="3" t="s">
        <v>36477</v>
      </c>
    </row>
    <row r="3791" spans="1:59" ht="57" x14ac:dyDescent="0.45">
      <c r="A3791" s="2" t="s">
        <v>59</v>
      </c>
      <c r="B3791" s="2" t="s">
        <v>60</v>
      </c>
      <c r="C3791" s="2" t="s">
        <v>36478</v>
      </c>
      <c r="D3791" s="2" t="s">
        <v>36479</v>
      </c>
      <c r="E3791" s="2" t="s">
        <v>36480</v>
      </c>
      <c r="G3791" s="3" t="s">
        <v>62</v>
      </c>
      <c r="I3791" s="3" t="s">
        <v>62</v>
      </c>
      <c r="J3791" s="3" t="s">
        <v>62</v>
      </c>
      <c r="K3791" s="3" t="s">
        <v>63</v>
      </c>
      <c r="M3791" s="2" t="s">
        <v>2479</v>
      </c>
      <c r="N3791" s="3" t="s">
        <v>1604</v>
      </c>
      <c r="P3791" s="3" t="s">
        <v>65</v>
      </c>
      <c r="R3791" s="3" t="s">
        <v>66</v>
      </c>
      <c r="S3791" s="4">
        <v>39</v>
      </c>
      <c r="T3791" s="4">
        <v>39</v>
      </c>
      <c r="U3791" s="5" t="s">
        <v>19922</v>
      </c>
      <c r="V3791" s="5" t="s">
        <v>19922</v>
      </c>
      <c r="W3791" s="5" t="s">
        <v>67</v>
      </c>
      <c r="X3791" s="5" t="s">
        <v>67</v>
      </c>
      <c r="Y3791" s="4">
        <v>245</v>
      </c>
      <c r="Z3791" s="4">
        <v>15</v>
      </c>
      <c r="AA3791" s="4">
        <v>23</v>
      </c>
      <c r="AB3791" s="4">
        <v>1</v>
      </c>
      <c r="AC3791" s="4">
        <v>6</v>
      </c>
      <c r="AD3791" s="4">
        <v>93</v>
      </c>
      <c r="AE3791" s="4">
        <v>97</v>
      </c>
      <c r="AF3791" s="4">
        <v>0</v>
      </c>
      <c r="AG3791" s="4">
        <v>1</v>
      </c>
      <c r="AH3791" s="4">
        <v>85</v>
      </c>
      <c r="AI3791" s="4">
        <v>87</v>
      </c>
      <c r="AJ3791" s="4">
        <v>12</v>
      </c>
      <c r="AK3791" s="4">
        <v>16</v>
      </c>
      <c r="AL3791" s="4">
        <v>50</v>
      </c>
      <c r="AM3791" s="4">
        <v>50</v>
      </c>
      <c r="AN3791" s="4">
        <v>0</v>
      </c>
      <c r="AO3791" s="4">
        <v>0</v>
      </c>
      <c r="AP3791" s="4">
        <v>13</v>
      </c>
      <c r="AQ3791" s="4">
        <v>17</v>
      </c>
      <c r="AR3791" s="3" t="s">
        <v>62</v>
      </c>
      <c r="AS3791" s="3" t="s">
        <v>62</v>
      </c>
      <c r="AT3791" s="3" t="s">
        <v>62</v>
      </c>
      <c r="AV3791" s="6" t="str">
        <f>HYPERLINK("http://mcgill.on.worldcat.org/oclc/28063181","Catalog Record")</f>
        <v>Catalog Record</v>
      </c>
      <c r="AW3791" s="6" t="str">
        <f>HYPERLINK("http://www.worldcat.org/oclc/28063181","WorldCat Record")</f>
        <v>WorldCat Record</v>
      </c>
      <c r="AX3791" s="3" t="s">
        <v>36481</v>
      </c>
      <c r="AY3791" s="3" t="s">
        <v>36482</v>
      </c>
      <c r="AZ3791" s="3" t="s">
        <v>36483</v>
      </c>
      <c r="BA3791" s="3" t="s">
        <v>36483</v>
      </c>
      <c r="BB3791" s="3" t="s">
        <v>36484</v>
      </c>
      <c r="BC3791" s="3" t="s">
        <v>142</v>
      </c>
      <c r="BD3791" s="3" t="s">
        <v>68</v>
      </c>
      <c r="BE3791" s="3" t="s">
        <v>36485</v>
      </c>
      <c r="BF3791" s="3" t="s">
        <v>36484</v>
      </c>
      <c r="BG3791" s="3" t="s">
        <v>36486</v>
      </c>
    </row>
    <row r="3792" spans="1:59" ht="57" x14ac:dyDescent="0.45">
      <c r="A3792" s="2" t="s">
        <v>59</v>
      </c>
      <c r="B3792" s="2" t="s">
        <v>60</v>
      </c>
      <c r="C3792" s="2" t="s">
        <v>36487</v>
      </c>
      <c r="D3792" s="2" t="s">
        <v>36488</v>
      </c>
      <c r="E3792" s="2" t="s">
        <v>36489</v>
      </c>
      <c r="G3792" s="3" t="s">
        <v>62</v>
      </c>
      <c r="I3792" s="3" t="s">
        <v>62</v>
      </c>
      <c r="J3792" s="3" t="s">
        <v>61</v>
      </c>
      <c r="K3792" s="3" t="s">
        <v>63</v>
      </c>
      <c r="L3792" s="2" t="s">
        <v>36490</v>
      </c>
      <c r="M3792" s="2" t="s">
        <v>7169</v>
      </c>
      <c r="N3792" s="3" t="s">
        <v>820</v>
      </c>
      <c r="O3792" s="2" t="s">
        <v>15116</v>
      </c>
      <c r="P3792" s="3" t="s">
        <v>65</v>
      </c>
      <c r="R3792" s="3" t="s">
        <v>66</v>
      </c>
      <c r="S3792" s="4">
        <v>8</v>
      </c>
      <c r="T3792" s="4">
        <v>8</v>
      </c>
      <c r="U3792" s="5" t="s">
        <v>36491</v>
      </c>
      <c r="V3792" s="5" t="s">
        <v>36491</v>
      </c>
      <c r="W3792" s="5" t="s">
        <v>67</v>
      </c>
      <c r="X3792" s="5" t="s">
        <v>67</v>
      </c>
      <c r="Y3792" s="4">
        <v>170</v>
      </c>
      <c r="Z3792" s="4">
        <v>10</v>
      </c>
      <c r="AA3792" s="4">
        <v>53</v>
      </c>
      <c r="AB3792" s="4">
        <v>1</v>
      </c>
      <c r="AC3792" s="4">
        <v>8</v>
      </c>
      <c r="AD3792" s="4">
        <v>22</v>
      </c>
      <c r="AE3792" s="4">
        <v>115</v>
      </c>
      <c r="AF3792" s="4">
        <v>0</v>
      </c>
      <c r="AG3792" s="4">
        <v>5</v>
      </c>
      <c r="AH3792" s="4">
        <v>21</v>
      </c>
      <c r="AI3792" s="4">
        <v>92</v>
      </c>
      <c r="AJ3792" s="4">
        <v>5</v>
      </c>
      <c r="AK3792" s="4">
        <v>23</v>
      </c>
      <c r="AL3792" s="4">
        <v>11</v>
      </c>
      <c r="AM3792" s="4">
        <v>48</v>
      </c>
      <c r="AN3792" s="4">
        <v>0</v>
      </c>
      <c r="AO3792" s="4">
        <v>5</v>
      </c>
      <c r="AP3792" s="4">
        <v>5</v>
      </c>
      <c r="AQ3792" s="4">
        <v>33</v>
      </c>
      <c r="AR3792" s="3" t="s">
        <v>62</v>
      </c>
      <c r="AS3792" s="3" t="s">
        <v>62</v>
      </c>
      <c r="AT3792" s="3" t="s">
        <v>62</v>
      </c>
      <c r="AV3792" s="6" t="str">
        <f>HYPERLINK("http://mcgill.on.worldcat.org/oclc/123777575","Catalog Record")</f>
        <v>Catalog Record</v>
      </c>
      <c r="AW3792" s="6" t="str">
        <f>HYPERLINK("http://www.worldcat.org/oclc/123777575","WorldCat Record")</f>
        <v>WorldCat Record</v>
      </c>
      <c r="AX3792" s="3" t="s">
        <v>36492</v>
      </c>
      <c r="AY3792" s="3" t="s">
        <v>36493</v>
      </c>
      <c r="AZ3792" s="3" t="s">
        <v>36494</v>
      </c>
      <c r="BA3792" s="3" t="s">
        <v>36494</v>
      </c>
      <c r="BB3792" s="3" t="s">
        <v>36495</v>
      </c>
      <c r="BC3792" s="3" t="s">
        <v>142</v>
      </c>
      <c r="BD3792" s="3" t="s">
        <v>68</v>
      </c>
      <c r="BE3792" s="3" t="s">
        <v>36496</v>
      </c>
      <c r="BF3792" s="3" t="s">
        <v>36495</v>
      </c>
      <c r="BG3792" s="3" t="s">
        <v>36497</v>
      </c>
    </row>
    <row r="3793" spans="1:59" ht="57" x14ac:dyDescent="0.45">
      <c r="A3793" s="2" t="s">
        <v>59</v>
      </c>
      <c r="B3793" s="2" t="s">
        <v>60</v>
      </c>
      <c r="C3793" s="2" t="s">
        <v>36498</v>
      </c>
      <c r="D3793" s="2" t="s">
        <v>36499</v>
      </c>
      <c r="E3793" s="2" t="s">
        <v>36489</v>
      </c>
      <c r="G3793" s="3" t="s">
        <v>62</v>
      </c>
      <c r="I3793" s="3" t="s">
        <v>62</v>
      </c>
      <c r="J3793" s="3" t="s">
        <v>61</v>
      </c>
      <c r="K3793" s="3" t="s">
        <v>63</v>
      </c>
      <c r="L3793" s="2" t="s">
        <v>36500</v>
      </c>
      <c r="M3793" s="2" t="s">
        <v>36501</v>
      </c>
      <c r="N3793" s="3" t="s">
        <v>1155</v>
      </c>
      <c r="O3793" s="2" t="s">
        <v>35784</v>
      </c>
      <c r="P3793" s="3" t="s">
        <v>65</v>
      </c>
      <c r="Q3793" s="2" t="s">
        <v>35785</v>
      </c>
      <c r="R3793" s="3" t="s">
        <v>66</v>
      </c>
      <c r="S3793" s="4">
        <v>4</v>
      </c>
      <c r="T3793" s="4">
        <v>4</v>
      </c>
      <c r="U3793" s="5" t="s">
        <v>1241</v>
      </c>
      <c r="V3793" s="5" t="s">
        <v>1241</v>
      </c>
      <c r="W3793" s="5" t="s">
        <v>67</v>
      </c>
      <c r="X3793" s="5" t="s">
        <v>67</v>
      </c>
      <c r="Y3793" s="4">
        <v>144</v>
      </c>
      <c r="Z3793" s="4">
        <v>11</v>
      </c>
      <c r="AA3793" s="4">
        <v>53</v>
      </c>
      <c r="AB3793" s="4">
        <v>1</v>
      </c>
      <c r="AC3793" s="4">
        <v>8</v>
      </c>
      <c r="AD3793" s="4">
        <v>26</v>
      </c>
      <c r="AE3793" s="4">
        <v>115</v>
      </c>
      <c r="AF3793" s="4">
        <v>0</v>
      </c>
      <c r="AG3793" s="4">
        <v>5</v>
      </c>
      <c r="AH3793" s="4">
        <v>22</v>
      </c>
      <c r="AI3793" s="4">
        <v>92</v>
      </c>
      <c r="AJ3793" s="4">
        <v>8</v>
      </c>
      <c r="AK3793" s="4">
        <v>23</v>
      </c>
      <c r="AL3793" s="4">
        <v>11</v>
      </c>
      <c r="AM3793" s="4">
        <v>48</v>
      </c>
      <c r="AN3793" s="4">
        <v>0</v>
      </c>
      <c r="AO3793" s="4">
        <v>5</v>
      </c>
      <c r="AP3793" s="4">
        <v>9</v>
      </c>
      <c r="AQ3793" s="4">
        <v>33</v>
      </c>
      <c r="AR3793" s="3" t="s">
        <v>62</v>
      </c>
      <c r="AS3793" s="3" t="s">
        <v>62</v>
      </c>
      <c r="AT3793" s="3" t="s">
        <v>62</v>
      </c>
      <c r="AV3793" s="6" t="str">
        <f>HYPERLINK("http://mcgill.on.worldcat.org/oclc/682896734","Catalog Record")</f>
        <v>Catalog Record</v>
      </c>
      <c r="AW3793" s="6" t="str">
        <f>HYPERLINK("http://www.worldcat.org/oclc/682896734","WorldCat Record")</f>
        <v>WorldCat Record</v>
      </c>
      <c r="AX3793" s="3" t="s">
        <v>36492</v>
      </c>
      <c r="AY3793" s="3" t="s">
        <v>36502</v>
      </c>
      <c r="AZ3793" s="3" t="s">
        <v>36503</v>
      </c>
      <c r="BA3793" s="3" t="s">
        <v>36503</v>
      </c>
      <c r="BB3793" s="3" t="s">
        <v>36504</v>
      </c>
      <c r="BC3793" s="3" t="s">
        <v>142</v>
      </c>
      <c r="BD3793" s="3" t="s">
        <v>68</v>
      </c>
      <c r="BE3793" s="3" t="s">
        <v>36505</v>
      </c>
      <c r="BF3793" s="3" t="s">
        <v>36504</v>
      </c>
      <c r="BG3793" s="3" t="s">
        <v>36506</v>
      </c>
    </row>
    <row r="3794" spans="1:59" ht="57" x14ac:dyDescent="0.45">
      <c r="A3794" s="2" t="s">
        <v>59</v>
      </c>
      <c r="B3794" s="2" t="s">
        <v>60</v>
      </c>
      <c r="C3794" s="2" t="s">
        <v>36507</v>
      </c>
      <c r="D3794" s="2" t="s">
        <v>36508</v>
      </c>
      <c r="E3794" s="2" t="s">
        <v>36509</v>
      </c>
      <c r="G3794" s="3" t="s">
        <v>62</v>
      </c>
      <c r="I3794" s="3" t="s">
        <v>62</v>
      </c>
      <c r="J3794" s="3" t="s">
        <v>62</v>
      </c>
      <c r="K3794" s="3" t="s">
        <v>63</v>
      </c>
      <c r="M3794" s="2" t="s">
        <v>36510</v>
      </c>
      <c r="N3794" s="3" t="s">
        <v>1688</v>
      </c>
      <c r="P3794" s="3" t="s">
        <v>65</v>
      </c>
      <c r="Q3794" s="2" t="s">
        <v>36511</v>
      </c>
      <c r="R3794" s="3" t="s">
        <v>66</v>
      </c>
      <c r="S3794" s="4">
        <v>3</v>
      </c>
      <c r="T3794" s="4">
        <v>3</v>
      </c>
      <c r="U3794" s="5" t="s">
        <v>36512</v>
      </c>
      <c r="V3794" s="5" t="s">
        <v>36512</v>
      </c>
      <c r="W3794" s="5" t="s">
        <v>67</v>
      </c>
      <c r="X3794" s="5" t="s">
        <v>67</v>
      </c>
      <c r="Y3794" s="4">
        <v>118</v>
      </c>
      <c r="Z3794" s="4">
        <v>10</v>
      </c>
      <c r="AA3794" s="4">
        <v>79</v>
      </c>
      <c r="AB3794" s="4">
        <v>1</v>
      </c>
      <c r="AC3794" s="4">
        <v>16</v>
      </c>
      <c r="AD3794" s="4">
        <v>49</v>
      </c>
      <c r="AE3794" s="4">
        <v>114</v>
      </c>
      <c r="AF3794" s="4">
        <v>0</v>
      </c>
      <c r="AG3794" s="4">
        <v>9</v>
      </c>
      <c r="AH3794" s="4">
        <v>46</v>
      </c>
      <c r="AI3794" s="4">
        <v>81</v>
      </c>
      <c r="AJ3794" s="4">
        <v>8</v>
      </c>
      <c r="AK3794" s="4">
        <v>22</v>
      </c>
      <c r="AL3794" s="4">
        <v>30</v>
      </c>
      <c r="AM3794" s="4">
        <v>47</v>
      </c>
      <c r="AN3794" s="4">
        <v>0</v>
      </c>
      <c r="AO3794" s="4">
        <v>0</v>
      </c>
      <c r="AP3794" s="4">
        <v>8</v>
      </c>
      <c r="AQ3794" s="4">
        <v>39</v>
      </c>
      <c r="AR3794" s="3" t="s">
        <v>62</v>
      </c>
      <c r="AS3794" s="3" t="s">
        <v>62</v>
      </c>
      <c r="AT3794" s="3" t="s">
        <v>62</v>
      </c>
      <c r="AV3794" s="6" t="str">
        <f>HYPERLINK("http://mcgill.on.worldcat.org/oclc/858080503","Catalog Record")</f>
        <v>Catalog Record</v>
      </c>
      <c r="AW3794" s="6" t="str">
        <f>HYPERLINK("http://www.worldcat.org/oclc/858080503","WorldCat Record")</f>
        <v>WorldCat Record</v>
      </c>
      <c r="AX3794" s="3" t="s">
        <v>36513</v>
      </c>
      <c r="AY3794" s="3" t="s">
        <v>36514</v>
      </c>
      <c r="AZ3794" s="3" t="s">
        <v>36515</v>
      </c>
      <c r="BA3794" s="3" t="s">
        <v>36515</v>
      </c>
      <c r="BB3794" s="3" t="s">
        <v>36516</v>
      </c>
      <c r="BC3794" s="3" t="s">
        <v>142</v>
      </c>
      <c r="BD3794" s="3" t="s">
        <v>68</v>
      </c>
      <c r="BE3794" s="3" t="s">
        <v>36517</v>
      </c>
      <c r="BF3794" s="3" t="s">
        <v>36516</v>
      </c>
      <c r="BG3794" s="3" t="s">
        <v>36518</v>
      </c>
    </row>
    <row r="3795" spans="1:59" ht="57" x14ac:dyDescent="0.45">
      <c r="A3795" s="2" t="s">
        <v>59</v>
      </c>
      <c r="B3795" s="2" t="s">
        <v>60</v>
      </c>
      <c r="C3795" s="2" t="s">
        <v>36519</v>
      </c>
      <c r="D3795" s="2" t="s">
        <v>36520</v>
      </c>
      <c r="E3795" s="2" t="s">
        <v>36521</v>
      </c>
      <c r="G3795" s="3" t="s">
        <v>62</v>
      </c>
      <c r="I3795" s="3" t="s">
        <v>62</v>
      </c>
      <c r="J3795" s="3" t="s">
        <v>62</v>
      </c>
      <c r="K3795" s="3" t="s">
        <v>63</v>
      </c>
      <c r="M3795" s="2" t="s">
        <v>2964</v>
      </c>
      <c r="N3795" s="3" t="s">
        <v>1059</v>
      </c>
      <c r="P3795" s="3" t="s">
        <v>65</v>
      </c>
      <c r="Q3795" s="2" t="s">
        <v>36522</v>
      </c>
      <c r="R3795" s="3" t="s">
        <v>66</v>
      </c>
      <c r="S3795" s="4">
        <v>7</v>
      </c>
      <c r="T3795" s="4">
        <v>7</v>
      </c>
      <c r="U3795" s="5" t="s">
        <v>12780</v>
      </c>
      <c r="V3795" s="5" t="s">
        <v>12780</v>
      </c>
      <c r="W3795" s="5" t="s">
        <v>67</v>
      </c>
      <c r="X3795" s="5" t="s">
        <v>67</v>
      </c>
      <c r="Y3795" s="4">
        <v>122</v>
      </c>
      <c r="Z3795" s="4">
        <v>12</v>
      </c>
      <c r="AA3795" s="4">
        <v>101</v>
      </c>
      <c r="AB3795" s="4">
        <v>2</v>
      </c>
      <c r="AC3795" s="4">
        <v>17</v>
      </c>
      <c r="AD3795" s="4">
        <v>44</v>
      </c>
      <c r="AE3795" s="4">
        <v>111</v>
      </c>
      <c r="AF3795" s="4">
        <v>1</v>
      </c>
      <c r="AG3795" s="4">
        <v>8</v>
      </c>
      <c r="AH3795" s="4">
        <v>39</v>
      </c>
      <c r="AI3795" s="4">
        <v>74</v>
      </c>
      <c r="AJ3795" s="4">
        <v>9</v>
      </c>
      <c r="AK3795" s="4">
        <v>21</v>
      </c>
      <c r="AL3795" s="4">
        <v>22</v>
      </c>
      <c r="AM3795" s="4">
        <v>37</v>
      </c>
      <c r="AN3795" s="4">
        <v>0</v>
      </c>
      <c r="AO3795" s="4">
        <v>0</v>
      </c>
      <c r="AP3795" s="4">
        <v>10</v>
      </c>
      <c r="AQ3795" s="4">
        <v>43</v>
      </c>
      <c r="AR3795" s="3" t="s">
        <v>62</v>
      </c>
      <c r="AS3795" s="3" t="s">
        <v>62</v>
      </c>
      <c r="AT3795" s="3" t="s">
        <v>62</v>
      </c>
      <c r="AV3795" s="6" t="str">
        <f>HYPERLINK("http://mcgill.on.worldcat.org/oclc/61879795","Catalog Record")</f>
        <v>Catalog Record</v>
      </c>
      <c r="AW3795" s="6" t="str">
        <f>HYPERLINK("http://www.worldcat.org/oclc/61879795","WorldCat Record")</f>
        <v>WorldCat Record</v>
      </c>
      <c r="AX3795" s="3" t="s">
        <v>36523</v>
      </c>
      <c r="AY3795" s="3" t="s">
        <v>36524</v>
      </c>
      <c r="AZ3795" s="3" t="s">
        <v>36525</v>
      </c>
      <c r="BA3795" s="3" t="s">
        <v>36525</v>
      </c>
      <c r="BB3795" s="3" t="s">
        <v>36526</v>
      </c>
      <c r="BC3795" s="3" t="s">
        <v>142</v>
      </c>
      <c r="BD3795" s="3" t="s">
        <v>68</v>
      </c>
      <c r="BE3795" s="3" t="s">
        <v>36527</v>
      </c>
      <c r="BF3795" s="3" t="s">
        <v>36526</v>
      </c>
      <c r="BG3795" s="3" t="s">
        <v>36528</v>
      </c>
    </row>
    <row r="3796" spans="1:59" ht="57" x14ac:dyDescent="0.45">
      <c r="A3796" s="2" t="s">
        <v>59</v>
      </c>
      <c r="B3796" s="2" t="s">
        <v>60</v>
      </c>
      <c r="C3796" s="2" t="s">
        <v>36529</v>
      </c>
      <c r="D3796" s="2" t="s">
        <v>36530</v>
      </c>
      <c r="E3796" s="2" t="s">
        <v>36531</v>
      </c>
      <c r="F3796" s="3" t="s">
        <v>36532</v>
      </c>
      <c r="G3796" s="3" t="s">
        <v>62</v>
      </c>
      <c r="I3796" s="3" t="s">
        <v>62</v>
      </c>
      <c r="J3796" s="3" t="s">
        <v>62</v>
      </c>
      <c r="K3796" s="3" t="s">
        <v>63</v>
      </c>
      <c r="L3796" s="2" t="s">
        <v>36533</v>
      </c>
      <c r="M3796" s="2" t="s">
        <v>36534</v>
      </c>
      <c r="N3796" s="3" t="s">
        <v>1155</v>
      </c>
      <c r="O3796" s="2" t="s">
        <v>933</v>
      </c>
      <c r="P3796" s="3" t="s">
        <v>65</v>
      </c>
      <c r="R3796" s="3" t="s">
        <v>66</v>
      </c>
      <c r="S3796" s="4">
        <v>6</v>
      </c>
      <c r="T3796" s="4">
        <v>6</v>
      </c>
      <c r="U3796" s="5" t="s">
        <v>35561</v>
      </c>
      <c r="V3796" s="5" t="s">
        <v>35561</v>
      </c>
      <c r="W3796" s="5" t="s">
        <v>67</v>
      </c>
      <c r="X3796" s="5" t="s">
        <v>67</v>
      </c>
      <c r="Y3796" s="4">
        <v>91</v>
      </c>
      <c r="Z3796" s="4">
        <v>5</v>
      </c>
      <c r="AA3796" s="4">
        <v>16</v>
      </c>
      <c r="AB3796" s="4">
        <v>1</v>
      </c>
      <c r="AC3796" s="4">
        <v>6</v>
      </c>
      <c r="AD3796" s="4">
        <v>19</v>
      </c>
      <c r="AE3796" s="4">
        <v>43</v>
      </c>
      <c r="AF3796" s="4">
        <v>0</v>
      </c>
      <c r="AG3796" s="4">
        <v>3</v>
      </c>
      <c r="AH3796" s="4">
        <v>17</v>
      </c>
      <c r="AI3796" s="4">
        <v>37</v>
      </c>
      <c r="AJ3796" s="4">
        <v>4</v>
      </c>
      <c r="AK3796" s="4">
        <v>13</v>
      </c>
      <c r="AL3796" s="4">
        <v>10</v>
      </c>
      <c r="AM3796" s="4">
        <v>21</v>
      </c>
      <c r="AN3796" s="4">
        <v>0</v>
      </c>
      <c r="AO3796" s="4">
        <v>0</v>
      </c>
      <c r="AP3796" s="4">
        <v>4</v>
      </c>
      <c r="AQ3796" s="4">
        <v>12</v>
      </c>
      <c r="AR3796" s="3" t="s">
        <v>62</v>
      </c>
      <c r="AS3796" s="3" t="s">
        <v>62</v>
      </c>
      <c r="AT3796" s="3" t="s">
        <v>62</v>
      </c>
      <c r="AV3796" s="6" t="str">
        <f>HYPERLINK("http://mcgill.on.worldcat.org/oclc/681739008","Catalog Record")</f>
        <v>Catalog Record</v>
      </c>
      <c r="AW3796" s="6" t="str">
        <f>HYPERLINK("http://www.worldcat.org/oclc/681739008","WorldCat Record")</f>
        <v>WorldCat Record</v>
      </c>
      <c r="AX3796" s="3" t="s">
        <v>36535</v>
      </c>
      <c r="AY3796" s="3" t="s">
        <v>36536</v>
      </c>
      <c r="AZ3796" s="3" t="s">
        <v>36537</v>
      </c>
      <c r="BA3796" s="3" t="s">
        <v>36537</v>
      </c>
      <c r="BB3796" s="3" t="s">
        <v>36538</v>
      </c>
      <c r="BC3796" s="3" t="s">
        <v>142</v>
      </c>
      <c r="BD3796" s="3" t="s">
        <v>68</v>
      </c>
      <c r="BE3796" s="3" t="s">
        <v>36539</v>
      </c>
      <c r="BF3796" s="3" t="s">
        <v>36538</v>
      </c>
      <c r="BG3796" s="3" t="s">
        <v>36540</v>
      </c>
    </row>
    <row r="3797" spans="1:59" ht="57" x14ac:dyDescent="0.45">
      <c r="A3797" s="2" t="s">
        <v>59</v>
      </c>
      <c r="B3797" s="2" t="s">
        <v>60</v>
      </c>
      <c r="C3797" s="2" t="s">
        <v>36541</v>
      </c>
      <c r="D3797" s="2" t="s">
        <v>36542</v>
      </c>
      <c r="E3797" s="2" t="s">
        <v>36543</v>
      </c>
      <c r="G3797" s="3" t="s">
        <v>62</v>
      </c>
      <c r="I3797" s="3" t="s">
        <v>61</v>
      </c>
      <c r="J3797" s="3" t="s">
        <v>62</v>
      </c>
      <c r="K3797" s="3" t="s">
        <v>63</v>
      </c>
      <c r="L3797" s="2" t="s">
        <v>32066</v>
      </c>
      <c r="M3797" s="2" t="s">
        <v>36544</v>
      </c>
      <c r="N3797" s="3" t="s">
        <v>2107</v>
      </c>
      <c r="P3797" s="3" t="s">
        <v>65</v>
      </c>
      <c r="Q3797" s="2" t="s">
        <v>36545</v>
      </c>
      <c r="R3797" s="3" t="s">
        <v>66</v>
      </c>
      <c r="S3797" s="4">
        <v>30</v>
      </c>
      <c r="T3797" s="4">
        <v>102</v>
      </c>
      <c r="U3797" s="5" t="s">
        <v>399</v>
      </c>
      <c r="V3797" s="5" t="s">
        <v>10985</v>
      </c>
      <c r="W3797" s="5" t="s">
        <v>67</v>
      </c>
      <c r="X3797" s="5" t="s">
        <v>67</v>
      </c>
      <c r="Y3797" s="4">
        <v>565</v>
      </c>
      <c r="Z3797" s="4">
        <v>38</v>
      </c>
      <c r="AA3797" s="4">
        <v>122</v>
      </c>
      <c r="AB3797" s="4">
        <v>2</v>
      </c>
      <c r="AC3797" s="4">
        <v>20</v>
      </c>
      <c r="AD3797" s="4">
        <v>125</v>
      </c>
      <c r="AE3797" s="4">
        <v>157</v>
      </c>
      <c r="AF3797" s="4">
        <v>1</v>
      </c>
      <c r="AG3797" s="4">
        <v>8</v>
      </c>
      <c r="AH3797" s="4">
        <v>104</v>
      </c>
      <c r="AI3797" s="4">
        <v>111</v>
      </c>
      <c r="AJ3797" s="4">
        <v>21</v>
      </c>
      <c r="AK3797" s="4">
        <v>27</v>
      </c>
      <c r="AL3797" s="4">
        <v>54</v>
      </c>
      <c r="AM3797" s="4">
        <v>58</v>
      </c>
      <c r="AN3797" s="4">
        <v>0</v>
      </c>
      <c r="AO3797" s="4">
        <v>0</v>
      </c>
      <c r="AP3797" s="4">
        <v>29</v>
      </c>
      <c r="AQ3797" s="4">
        <v>55</v>
      </c>
      <c r="AR3797" s="3" t="s">
        <v>62</v>
      </c>
      <c r="AS3797" s="3" t="s">
        <v>62</v>
      </c>
      <c r="AT3797" s="3" t="s">
        <v>61</v>
      </c>
      <c r="AU3797" s="6" t="str">
        <f>HYPERLINK("http://catalog.hathitrust.org/Record/004516446","HathiTrust Record")</f>
        <v>HathiTrust Record</v>
      </c>
      <c r="AV3797" s="6" t="str">
        <f>HYPERLINK("http://mcgill.on.worldcat.org/oclc/10402699","Catalog Record")</f>
        <v>Catalog Record</v>
      </c>
      <c r="AW3797" s="6" t="str">
        <f>HYPERLINK("http://www.worldcat.org/oclc/10402699","WorldCat Record")</f>
        <v>WorldCat Record</v>
      </c>
      <c r="AX3797" s="3" t="s">
        <v>36546</v>
      </c>
      <c r="AY3797" s="3" t="s">
        <v>36547</v>
      </c>
      <c r="AZ3797" s="3" t="s">
        <v>36548</v>
      </c>
      <c r="BA3797" s="3" t="s">
        <v>36548</v>
      </c>
      <c r="BB3797" s="3" t="s">
        <v>36549</v>
      </c>
      <c r="BC3797" s="3" t="s">
        <v>142</v>
      </c>
      <c r="BD3797" s="3" t="s">
        <v>68</v>
      </c>
      <c r="BE3797" s="3" t="s">
        <v>36550</v>
      </c>
      <c r="BF3797" s="3" t="s">
        <v>36549</v>
      </c>
      <c r="BG3797" s="3" t="s">
        <v>36551</v>
      </c>
    </row>
    <row r="3798" spans="1:59" ht="57" x14ac:dyDescent="0.45">
      <c r="A3798" s="2" t="s">
        <v>59</v>
      </c>
      <c r="B3798" s="2" t="s">
        <v>60</v>
      </c>
      <c r="C3798" s="2" t="s">
        <v>36541</v>
      </c>
      <c r="D3798" s="2" t="s">
        <v>36542</v>
      </c>
      <c r="E3798" s="2" t="s">
        <v>36543</v>
      </c>
      <c r="G3798" s="3" t="s">
        <v>62</v>
      </c>
      <c r="I3798" s="3" t="s">
        <v>61</v>
      </c>
      <c r="J3798" s="3" t="s">
        <v>62</v>
      </c>
      <c r="K3798" s="3" t="s">
        <v>63</v>
      </c>
      <c r="L3798" s="2" t="s">
        <v>32066</v>
      </c>
      <c r="M3798" s="2" t="s">
        <v>36544</v>
      </c>
      <c r="N3798" s="3" t="s">
        <v>2107</v>
      </c>
      <c r="P3798" s="3" t="s">
        <v>65</v>
      </c>
      <c r="Q3798" s="2" t="s">
        <v>36545</v>
      </c>
      <c r="R3798" s="3" t="s">
        <v>66</v>
      </c>
      <c r="S3798" s="4">
        <v>25</v>
      </c>
      <c r="T3798" s="4">
        <v>102</v>
      </c>
      <c r="U3798" s="5" t="s">
        <v>10985</v>
      </c>
      <c r="V3798" s="5" t="s">
        <v>10985</v>
      </c>
      <c r="W3798" s="5" t="s">
        <v>67</v>
      </c>
      <c r="X3798" s="5" t="s">
        <v>67</v>
      </c>
      <c r="Y3798" s="4">
        <v>565</v>
      </c>
      <c r="Z3798" s="4">
        <v>38</v>
      </c>
      <c r="AA3798" s="4">
        <v>122</v>
      </c>
      <c r="AB3798" s="4">
        <v>2</v>
      </c>
      <c r="AC3798" s="4">
        <v>20</v>
      </c>
      <c r="AD3798" s="4">
        <v>125</v>
      </c>
      <c r="AE3798" s="4">
        <v>157</v>
      </c>
      <c r="AF3798" s="4">
        <v>1</v>
      </c>
      <c r="AG3798" s="4">
        <v>8</v>
      </c>
      <c r="AH3798" s="4">
        <v>104</v>
      </c>
      <c r="AI3798" s="4">
        <v>111</v>
      </c>
      <c r="AJ3798" s="4">
        <v>21</v>
      </c>
      <c r="AK3798" s="4">
        <v>27</v>
      </c>
      <c r="AL3798" s="4">
        <v>54</v>
      </c>
      <c r="AM3798" s="4">
        <v>58</v>
      </c>
      <c r="AN3798" s="4">
        <v>0</v>
      </c>
      <c r="AO3798" s="4">
        <v>0</v>
      </c>
      <c r="AP3798" s="4">
        <v>29</v>
      </c>
      <c r="AQ3798" s="4">
        <v>55</v>
      </c>
      <c r="AR3798" s="3" t="s">
        <v>62</v>
      </c>
      <c r="AS3798" s="3" t="s">
        <v>62</v>
      </c>
      <c r="AT3798" s="3" t="s">
        <v>61</v>
      </c>
      <c r="AU3798" s="6" t="str">
        <f>HYPERLINK("http://catalog.hathitrust.org/Record/004516446","HathiTrust Record")</f>
        <v>HathiTrust Record</v>
      </c>
      <c r="AV3798" s="6" t="str">
        <f>HYPERLINK("http://mcgill.on.worldcat.org/oclc/10402699","Catalog Record")</f>
        <v>Catalog Record</v>
      </c>
      <c r="AW3798" s="6" t="str">
        <f>HYPERLINK("http://www.worldcat.org/oclc/10402699","WorldCat Record")</f>
        <v>WorldCat Record</v>
      </c>
      <c r="AX3798" s="3" t="s">
        <v>36546</v>
      </c>
      <c r="AY3798" s="3" t="s">
        <v>36547</v>
      </c>
      <c r="AZ3798" s="3" t="s">
        <v>36548</v>
      </c>
      <c r="BA3798" s="3" t="s">
        <v>36548</v>
      </c>
      <c r="BB3798" s="3" t="s">
        <v>36552</v>
      </c>
      <c r="BC3798" s="3" t="s">
        <v>142</v>
      </c>
      <c r="BD3798" s="3" t="s">
        <v>68</v>
      </c>
      <c r="BE3798" s="3" t="s">
        <v>36550</v>
      </c>
      <c r="BF3798" s="3" t="s">
        <v>36552</v>
      </c>
      <c r="BG3798" s="3" t="s">
        <v>36553</v>
      </c>
    </row>
    <row r="3799" spans="1:59" ht="57" x14ac:dyDescent="0.45">
      <c r="A3799" s="2" t="s">
        <v>59</v>
      </c>
      <c r="B3799" s="2" t="s">
        <v>60</v>
      </c>
      <c r="C3799" s="2" t="s">
        <v>36541</v>
      </c>
      <c r="D3799" s="2" t="s">
        <v>36542</v>
      </c>
      <c r="E3799" s="2" t="s">
        <v>36543</v>
      </c>
      <c r="G3799" s="3" t="s">
        <v>62</v>
      </c>
      <c r="I3799" s="3" t="s">
        <v>61</v>
      </c>
      <c r="J3799" s="3" t="s">
        <v>62</v>
      </c>
      <c r="K3799" s="3" t="s">
        <v>63</v>
      </c>
      <c r="L3799" s="2" t="s">
        <v>32066</v>
      </c>
      <c r="M3799" s="2" t="s">
        <v>36544</v>
      </c>
      <c r="N3799" s="3" t="s">
        <v>2107</v>
      </c>
      <c r="P3799" s="3" t="s">
        <v>65</v>
      </c>
      <c r="Q3799" s="2" t="s">
        <v>36545</v>
      </c>
      <c r="R3799" s="3" t="s">
        <v>66</v>
      </c>
      <c r="S3799" s="4">
        <v>47</v>
      </c>
      <c r="T3799" s="4">
        <v>102</v>
      </c>
      <c r="U3799" s="5" t="s">
        <v>36554</v>
      </c>
      <c r="V3799" s="5" t="s">
        <v>10985</v>
      </c>
      <c r="W3799" s="5" t="s">
        <v>67</v>
      </c>
      <c r="X3799" s="5" t="s">
        <v>67</v>
      </c>
      <c r="Y3799" s="4">
        <v>565</v>
      </c>
      <c r="Z3799" s="4">
        <v>38</v>
      </c>
      <c r="AA3799" s="4">
        <v>122</v>
      </c>
      <c r="AB3799" s="4">
        <v>2</v>
      </c>
      <c r="AC3799" s="4">
        <v>20</v>
      </c>
      <c r="AD3799" s="4">
        <v>125</v>
      </c>
      <c r="AE3799" s="4">
        <v>157</v>
      </c>
      <c r="AF3799" s="4">
        <v>1</v>
      </c>
      <c r="AG3799" s="4">
        <v>8</v>
      </c>
      <c r="AH3799" s="4">
        <v>104</v>
      </c>
      <c r="AI3799" s="4">
        <v>111</v>
      </c>
      <c r="AJ3799" s="4">
        <v>21</v>
      </c>
      <c r="AK3799" s="4">
        <v>27</v>
      </c>
      <c r="AL3799" s="4">
        <v>54</v>
      </c>
      <c r="AM3799" s="4">
        <v>58</v>
      </c>
      <c r="AN3799" s="4">
        <v>0</v>
      </c>
      <c r="AO3799" s="4">
        <v>0</v>
      </c>
      <c r="AP3799" s="4">
        <v>29</v>
      </c>
      <c r="AQ3799" s="4">
        <v>55</v>
      </c>
      <c r="AR3799" s="3" t="s">
        <v>62</v>
      </c>
      <c r="AS3799" s="3" t="s">
        <v>62</v>
      </c>
      <c r="AT3799" s="3" t="s">
        <v>61</v>
      </c>
      <c r="AU3799" s="6" t="str">
        <f>HYPERLINK("http://catalog.hathitrust.org/Record/004516446","HathiTrust Record")</f>
        <v>HathiTrust Record</v>
      </c>
      <c r="AV3799" s="6" t="str">
        <f>HYPERLINK("http://mcgill.on.worldcat.org/oclc/10402699","Catalog Record")</f>
        <v>Catalog Record</v>
      </c>
      <c r="AW3799" s="6" t="str">
        <f>HYPERLINK("http://www.worldcat.org/oclc/10402699","WorldCat Record")</f>
        <v>WorldCat Record</v>
      </c>
      <c r="AX3799" s="3" t="s">
        <v>36546</v>
      </c>
      <c r="AY3799" s="3" t="s">
        <v>36547</v>
      </c>
      <c r="AZ3799" s="3" t="s">
        <v>36548</v>
      </c>
      <c r="BA3799" s="3" t="s">
        <v>36548</v>
      </c>
      <c r="BB3799" s="3" t="s">
        <v>36555</v>
      </c>
      <c r="BC3799" s="3" t="s">
        <v>142</v>
      </c>
      <c r="BD3799" s="3" t="s">
        <v>68</v>
      </c>
      <c r="BE3799" s="3" t="s">
        <v>36550</v>
      </c>
      <c r="BF3799" s="3" t="s">
        <v>36555</v>
      </c>
      <c r="BG3799" s="3" t="s">
        <v>36556</v>
      </c>
    </row>
    <row r="3800" spans="1:59" ht="57" x14ac:dyDescent="0.45">
      <c r="A3800" s="2" t="s">
        <v>59</v>
      </c>
      <c r="B3800" s="2" t="s">
        <v>60</v>
      </c>
      <c r="C3800" s="2" t="s">
        <v>36557</v>
      </c>
      <c r="D3800" s="2" t="s">
        <v>36558</v>
      </c>
      <c r="E3800" s="2" t="s">
        <v>36559</v>
      </c>
      <c r="G3800" s="3" t="s">
        <v>62</v>
      </c>
      <c r="I3800" s="3" t="s">
        <v>62</v>
      </c>
      <c r="J3800" s="3" t="s">
        <v>61</v>
      </c>
      <c r="K3800" s="3" t="s">
        <v>63</v>
      </c>
      <c r="L3800" s="2" t="s">
        <v>32066</v>
      </c>
      <c r="M3800" s="2" t="s">
        <v>36560</v>
      </c>
      <c r="N3800" s="3" t="s">
        <v>116</v>
      </c>
      <c r="O3800" s="2" t="s">
        <v>36561</v>
      </c>
      <c r="P3800" s="3" t="s">
        <v>65</v>
      </c>
      <c r="Q3800" s="2" t="s">
        <v>35516</v>
      </c>
      <c r="R3800" s="3" t="s">
        <v>66</v>
      </c>
      <c r="S3800" s="4">
        <v>5</v>
      </c>
      <c r="T3800" s="4">
        <v>5</v>
      </c>
      <c r="U3800" s="5" t="s">
        <v>2853</v>
      </c>
      <c r="V3800" s="5" t="s">
        <v>2853</v>
      </c>
      <c r="W3800" s="5" t="s">
        <v>67</v>
      </c>
      <c r="X3800" s="5" t="s">
        <v>67</v>
      </c>
      <c r="Y3800" s="4">
        <v>152</v>
      </c>
      <c r="Z3800" s="4">
        <v>17</v>
      </c>
      <c r="AA3800" s="4">
        <v>107</v>
      </c>
      <c r="AB3800" s="4">
        <v>1</v>
      </c>
      <c r="AC3800" s="4">
        <v>17</v>
      </c>
      <c r="AD3800" s="4">
        <v>60</v>
      </c>
      <c r="AE3800" s="4">
        <v>159</v>
      </c>
      <c r="AF3800" s="4">
        <v>0</v>
      </c>
      <c r="AG3800" s="4">
        <v>8</v>
      </c>
      <c r="AH3800" s="4">
        <v>51</v>
      </c>
      <c r="AI3800" s="4">
        <v>115</v>
      </c>
      <c r="AJ3800" s="4">
        <v>11</v>
      </c>
      <c r="AK3800" s="4">
        <v>28</v>
      </c>
      <c r="AL3800" s="4">
        <v>32</v>
      </c>
      <c r="AM3800" s="4">
        <v>59</v>
      </c>
      <c r="AN3800" s="4">
        <v>0</v>
      </c>
      <c r="AO3800" s="4">
        <v>0</v>
      </c>
      <c r="AP3800" s="4">
        <v>14</v>
      </c>
      <c r="AQ3800" s="4">
        <v>53</v>
      </c>
      <c r="AR3800" s="3" t="s">
        <v>62</v>
      </c>
      <c r="AS3800" s="3" t="s">
        <v>62</v>
      </c>
      <c r="AT3800" s="3" t="s">
        <v>62</v>
      </c>
      <c r="AV3800" s="6" t="str">
        <f>HYPERLINK("http://mcgill.on.worldcat.org/oclc/811778672","Catalog Record")</f>
        <v>Catalog Record</v>
      </c>
      <c r="AW3800" s="6" t="str">
        <f>HYPERLINK("http://www.worldcat.org/oclc/811778672","WorldCat Record")</f>
        <v>WorldCat Record</v>
      </c>
      <c r="AX3800" s="3" t="s">
        <v>36562</v>
      </c>
      <c r="AY3800" s="3" t="s">
        <v>36563</v>
      </c>
      <c r="AZ3800" s="3" t="s">
        <v>36564</v>
      </c>
      <c r="BA3800" s="3" t="s">
        <v>36564</v>
      </c>
      <c r="BB3800" s="3" t="s">
        <v>36565</v>
      </c>
      <c r="BC3800" s="3" t="s">
        <v>142</v>
      </c>
      <c r="BD3800" s="3" t="s">
        <v>68</v>
      </c>
      <c r="BE3800" s="3" t="s">
        <v>36566</v>
      </c>
      <c r="BF3800" s="3" t="s">
        <v>36565</v>
      </c>
      <c r="BG3800" s="3" t="s">
        <v>36567</v>
      </c>
    </row>
    <row r="3801" spans="1:59" ht="57" x14ac:dyDescent="0.45">
      <c r="A3801" s="2" t="s">
        <v>59</v>
      </c>
      <c r="B3801" s="2" t="s">
        <v>60</v>
      </c>
      <c r="C3801" s="2" t="s">
        <v>36568</v>
      </c>
      <c r="D3801" s="2" t="s">
        <v>36569</v>
      </c>
      <c r="E3801" s="2" t="s">
        <v>36570</v>
      </c>
      <c r="G3801" s="3" t="s">
        <v>62</v>
      </c>
      <c r="I3801" s="3" t="s">
        <v>62</v>
      </c>
      <c r="J3801" s="3" t="s">
        <v>62</v>
      </c>
      <c r="K3801" s="3" t="s">
        <v>63</v>
      </c>
      <c r="L3801" s="2" t="s">
        <v>36571</v>
      </c>
      <c r="M3801" s="2" t="s">
        <v>7877</v>
      </c>
      <c r="N3801" s="3" t="s">
        <v>1465</v>
      </c>
      <c r="P3801" s="3" t="s">
        <v>65</v>
      </c>
      <c r="Q3801" s="2" t="s">
        <v>36572</v>
      </c>
      <c r="R3801" s="3" t="s">
        <v>66</v>
      </c>
      <c r="S3801" s="4">
        <v>5</v>
      </c>
      <c r="T3801" s="4">
        <v>5</v>
      </c>
      <c r="U3801" s="5" t="s">
        <v>6824</v>
      </c>
      <c r="V3801" s="5" t="s">
        <v>6824</v>
      </c>
      <c r="W3801" s="5" t="s">
        <v>67</v>
      </c>
      <c r="X3801" s="5" t="s">
        <v>67</v>
      </c>
      <c r="Y3801" s="4">
        <v>131</v>
      </c>
      <c r="Z3801" s="4">
        <v>18</v>
      </c>
      <c r="AA3801" s="4">
        <v>103</v>
      </c>
      <c r="AB3801" s="4">
        <v>1</v>
      </c>
      <c r="AC3801" s="4">
        <v>17</v>
      </c>
      <c r="AD3801" s="4">
        <v>64</v>
      </c>
      <c r="AE3801" s="4">
        <v>133</v>
      </c>
      <c r="AF3801" s="4">
        <v>0</v>
      </c>
      <c r="AG3801" s="4">
        <v>8</v>
      </c>
      <c r="AH3801" s="4">
        <v>55</v>
      </c>
      <c r="AI3801" s="4">
        <v>92</v>
      </c>
      <c r="AJ3801" s="4">
        <v>14</v>
      </c>
      <c r="AK3801" s="4">
        <v>25</v>
      </c>
      <c r="AL3801" s="4">
        <v>35</v>
      </c>
      <c r="AM3801" s="4">
        <v>51</v>
      </c>
      <c r="AN3801" s="4">
        <v>0</v>
      </c>
      <c r="AO3801" s="4">
        <v>0</v>
      </c>
      <c r="AP3801" s="4">
        <v>16</v>
      </c>
      <c r="AQ3801" s="4">
        <v>48</v>
      </c>
      <c r="AR3801" s="3" t="s">
        <v>62</v>
      </c>
      <c r="AS3801" s="3" t="s">
        <v>62</v>
      </c>
      <c r="AT3801" s="3" t="s">
        <v>62</v>
      </c>
      <c r="AV3801" s="6" t="str">
        <f>HYPERLINK("http://mcgill.on.worldcat.org/oclc/430345321","Catalog Record")</f>
        <v>Catalog Record</v>
      </c>
      <c r="AW3801" s="6" t="str">
        <f>HYPERLINK("http://www.worldcat.org/oclc/430345321","WorldCat Record")</f>
        <v>WorldCat Record</v>
      </c>
      <c r="AX3801" s="3" t="s">
        <v>36573</v>
      </c>
      <c r="AY3801" s="3" t="s">
        <v>36574</v>
      </c>
      <c r="AZ3801" s="3" t="s">
        <v>36575</v>
      </c>
      <c r="BA3801" s="3" t="s">
        <v>36575</v>
      </c>
      <c r="BB3801" s="3" t="s">
        <v>36576</v>
      </c>
      <c r="BC3801" s="3" t="s">
        <v>142</v>
      </c>
      <c r="BD3801" s="3" t="s">
        <v>308</v>
      </c>
      <c r="BE3801" s="3" t="s">
        <v>36577</v>
      </c>
      <c r="BF3801" s="3" t="s">
        <v>36576</v>
      </c>
      <c r="BG3801" s="3" t="s">
        <v>36578</v>
      </c>
    </row>
    <row r="3802" spans="1:59" ht="57" x14ac:dyDescent="0.45">
      <c r="A3802" s="2" t="s">
        <v>59</v>
      </c>
      <c r="B3802" s="2" t="s">
        <v>60</v>
      </c>
      <c r="C3802" s="2" t="s">
        <v>36579</v>
      </c>
      <c r="D3802" s="2" t="s">
        <v>36580</v>
      </c>
      <c r="E3802" s="2" t="s">
        <v>36581</v>
      </c>
      <c r="G3802" s="3" t="s">
        <v>62</v>
      </c>
      <c r="I3802" s="3" t="s">
        <v>62</v>
      </c>
      <c r="J3802" s="3" t="s">
        <v>62</v>
      </c>
      <c r="K3802" s="3" t="s">
        <v>63</v>
      </c>
      <c r="L3802" s="2" t="s">
        <v>36582</v>
      </c>
      <c r="M3802" s="2" t="s">
        <v>30534</v>
      </c>
      <c r="N3802" s="3" t="s">
        <v>894</v>
      </c>
      <c r="P3802" s="3" t="s">
        <v>65</v>
      </c>
      <c r="Q3802" s="2" t="s">
        <v>36583</v>
      </c>
      <c r="R3802" s="3" t="s">
        <v>66</v>
      </c>
      <c r="S3802" s="4">
        <v>2</v>
      </c>
      <c r="T3802" s="4">
        <v>2</v>
      </c>
      <c r="U3802" s="5" t="s">
        <v>6045</v>
      </c>
      <c r="V3802" s="5" t="s">
        <v>6045</v>
      </c>
      <c r="W3802" s="5" t="s">
        <v>67</v>
      </c>
      <c r="X3802" s="5" t="s">
        <v>67</v>
      </c>
      <c r="Y3802" s="4">
        <v>59</v>
      </c>
      <c r="Z3802" s="4">
        <v>13</v>
      </c>
      <c r="AA3802" s="4">
        <v>45</v>
      </c>
      <c r="AB3802" s="4">
        <v>2</v>
      </c>
      <c r="AC3802" s="4">
        <v>10</v>
      </c>
      <c r="AD3802" s="4">
        <v>24</v>
      </c>
      <c r="AE3802" s="4">
        <v>40</v>
      </c>
      <c r="AF3802" s="4">
        <v>1</v>
      </c>
      <c r="AG3802" s="4">
        <v>4</v>
      </c>
      <c r="AH3802" s="4">
        <v>18</v>
      </c>
      <c r="AI3802" s="4">
        <v>25</v>
      </c>
      <c r="AJ3802" s="4">
        <v>8</v>
      </c>
      <c r="AK3802" s="4">
        <v>12</v>
      </c>
      <c r="AL3802" s="4">
        <v>13</v>
      </c>
      <c r="AM3802" s="4">
        <v>17</v>
      </c>
      <c r="AN3802" s="4">
        <v>0</v>
      </c>
      <c r="AO3802" s="4">
        <v>0</v>
      </c>
      <c r="AP3802" s="4">
        <v>10</v>
      </c>
      <c r="AQ3802" s="4">
        <v>19</v>
      </c>
      <c r="AR3802" s="3" t="s">
        <v>62</v>
      </c>
      <c r="AS3802" s="3" t="s">
        <v>62</v>
      </c>
      <c r="AT3802" s="3" t="s">
        <v>62</v>
      </c>
      <c r="AV3802" s="6" t="str">
        <f>HYPERLINK("http://mcgill.on.worldcat.org/oclc/716070927","Catalog Record")</f>
        <v>Catalog Record</v>
      </c>
      <c r="AW3802" s="6" t="str">
        <f>HYPERLINK("http://www.worldcat.org/oclc/716070927","WorldCat Record")</f>
        <v>WorldCat Record</v>
      </c>
      <c r="AX3802" s="3" t="s">
        <v>36584</v>
      </c>
      <c r="AY3802" s="3" t="s">
        <v>36585</v>
      </c>
      <c r="AZ3802" s="3" t="s">
        <v>36586</v>
      </c>
      <c r="BA3802" s="3" t="s">
        <v>36586</v>
      </c>
      <c r="BB3802" s="3" t="s">
        <v>36587</v>
      </c>
      <c r="BC3802" s="3" t="s">
        <v>142</v>
      </c>
      <c r="BD3802" s="3" t="s">
        <v>68</v>
      </c>
      <c r="BE3802" s="3" t="s">
        <v>36588</v>
      </c>
      <c r="BF3802" s="3" t="s">
        <v>36587</v>
      </c>
      <c r="BG3802" s="3" t="s">
        <v>36589</v>
      </c>
    </row>
    <row r="3803" spans="1:59" ht="57" x14ac:dyDescent="0.45">
      <c r="A3803" s="2" t="s">
        <v>59</v>
      </c>
      <c r="B3803" s="2" t="s">
        <v>60</v>
      </c>
      <c r="C3803" s="2" t="s">
        <v>36590</v>
      </c>
      <c r="D3803" s="2" t="s">
        <v>36591</v>
      </c>
      <c r="E3803" s="2" t="s">
        <v>36592</v>
      </c>
      <c r="G3803" s="3" t="s">
        <v>62</v>
      </c>
      <c r="I3803" s="3" t="s">
        <v>62</v>
      </c>
      <c r="J3803" s="3" t="s">
        <v>62</v>
      </c>
      <c r="K3803" s="3" t="s">
        <v>63</v>
      </c>
      <c r="L3803" s="2" t="s">
        <v>36593</v>
      </c>
      <c r="M3803" s="2" t="s">
        <v>1650</v>
      </c>
      <c r="N3803" s="3" t="s">
        <v>84</v>
      </c>
      <c r="P3803" s="3" t="s">
        <v>65</v>
      </c>
      <c r="Q3803" s="2" t="s">
        <v>36594</v>
      </c>
      <c r="R3803" s="3" t="s">
        <v>66</v>
      </c>
      <c r="S3803" s="4">
        <v>23</v>
      </c>
      <c r="T3803" s="4">
        <v>23</v>
      </c>
      <c r="U3803" s="5" t="s">
        <v>31495</v>
      </c>
      <c r="V3803" s="5" t="s">
        <v>31495</v>
      </c>
      <c r="W3803" s="5" t="s">
        <v>67</v>
      </c>
      <c r="X3803" s="5" t="s">
        <v>67</v>
      </c>
      <c r="Y3803" s="4">
        <v>309</v>
      </c>
      <c r="Z3803" s="4">
        <v>24</v>
      </c>
      <c r="AA3803" s="4">
        <v>28</v>
      </c>
      <c r="AB3803" s="4">
        <v>2</v>
      </c>
      <c r="AC3803" s="4">
        <v>5</v>
      </c>
      <c r="AD3803" s="4">
        <v>110</v>
      </c>
      <c r="AE3803" s="4">
        <v>114</v>
      </c>
      <c r="AF3803" s="4">
        <v>1</v>
      </c>
      <c r="AG3803" s="4">
        <v>4</v>
      </c>
      <c r="AH3803" s="4">
        <v>95</v>
      </c>
      <c r="AI3803" s="4">
        <v>97</v>
      </c>
      <c r="AJ3803" s="4">
        <v>17</v>
      </c>
      <c r="AK3803" s="4">
        <v>21</v>
      </c>
      <c r="AL3803" s="4">
        <v>52</v>
      </c>
      <c r="AM3803" s="4">
        <v>52</v>
      </c>
      <c r="AN3803" s="4">
        <v>0</v>
      </c>
      <c r="AO3803" s="4">
        <v>0</v>
      </c>
      <c r="AP3803" s="4">
        <v>21</v>
      </c>
      <c r="AQ3803" s="4">
        <v>24</v>
      </c>
      <c r="AR3803" s="3" t="s">
        <v>62</v>
      </c>
      <c r="AS3803" s="3" t="s">
        <v>62</v>
      </c>
      <c r="AT3803" s="3" t="s">
        <v>62</v>
      </c>
      <c r="AV3803" s="6" t="str">
        <f>HYPERLINK("http://mcgill.on.worldcat.org/oclc/23869123","Catalog Record")</f>
        <v>Catalog Record</v>
      </c>
      <c r="AW3803" s="6" t="str">
        <f>HYPERLINK("http://www.worldcat.org/oclc/23869123","WorldCat Record")</f>
        <v>WorldCat Record</v>
      </c>
      <c r="AX3803" s="3" t="s">
        <v>36595</v>
      </c>
      <c r="AY3803" s="3" t="s">
        <v>36596</v>
      </c>
      <c r="AZ3803" s="3" t="s">
        <v>36597</v>
      </c>
      <c r="BA3803" s="3" t="s">
        <v>36597</v>
      </c>
      <c r="BB3803" s="3" t="s">
        <v>36598</v>
      </c>
      <c r="BC3803" s="3" t="s">
        <v>142</v>
      </c>
      <c r="BD3803" s="3" t="s">
        <v>68</v>
      </c>
      <c r="BE3803" s="3" t="s">
        <v>36599</v>
      </c>
      <c r="BF3803" s="3" t="s">
        <v>36598</v>
      </c>
      <c r="BG3803" s="3" t="s">
        <v>36600</v>
      </c>
    </row>
    <row r="3804" spans="1:59" ht="57" x14ac:dyDescent="0.45">
      <c r="A3804" s="2" t="s">
        <v>59</v>
      </c>
      <c r="B3804" s="2" t="s">
        <v>412</v>
      </c>
      <c r="C3804" s="2" t="s">
        <v>36601</v>
      </c>
      <c r="D3804" s="2" t="s">
        <v>36602</v>
      </c>
      <c r="E3804" s="2" t="s">
        <v>36603</v>
      </c>
      <c r="G3804" s="3" t="s">
        <v>62</v>
      </c>
      <c r="I3804" s="3" t="s">
        <v>62</v>
      </c>
      <c r="J3804" s="3" t="s">
        <v>62</v>
      </c>
      <c r="K3804" s="3" t="s">
        <v>63</v>
      </c>
      <c r="L3804" s="2" t="s">
        <v>2547</v>
      </c>
      <c r="M3804" s="2" t="s">
        <v>36604</v>
      </c>
      <c r="N3804" s="3" t="s">
        <v>2417</v>
      </c>
      <c r="P3804" s="3" t="s">
        <v>65</v>
      </c>
      <c r="Q3804" s="2" t="s">
        <v>8147</v>
      </c>
      <c r="R3804" s="3" t="s">
        <v>66</v>
      </c>
      <c r="S3804" s="4">
        <v>30</v>
      </c>
      <c r="T3804" s="4">
        <v>30</v>
      </c>
      <c r="U3804" s="5" t="s">
        <v>32746</v>
      </c>
      <c r="V3804" s="5" t="s">
        <v>32746</v>
      </c>
      <c r="W3804" s="5" t="s">
        <v>67</v>
      </c>
      <c r="X3804" s="5" t="s">
        <v>67</v>
      </c>
      <c r="Y3804" s="4">
        <v>238</v>
      </c>
      <c r="Z3804" s="4">
        <v>18</v>
      </c>
      <c r="AA3804" s="4">
        <v>22</v>
      </c>
      <c r="AB3804" s="4">
        <v>1</v>
      </c>
      <c r="AC3804" s="4">
        <v>5</v>
      </c>
      <c r="AD3804" s="4">
        <v>64</v>
      </c>
      <c r="AE3804" s="4">
        <v>67</v>
      </c>
      <c r="AF3804" s="4">
        <v>0</v>
      </c>
      <c r="AG3804" s="4">
        <v>3</v>
      </c>
      <c r="AH3804" s="4">
        <v>59</v>
      </c>
      <c r="AI3804" s="4">
        <v>60</v>
      </c>
      <c r="AJ3804" s="4">
        <v>12</v>
      </c>
      <c r="AK3804" s="4">
        <v>15</v>
      </c>
      <c r="AL3804" s="4">
        <v>33</v>
      </c>
      <c r="AM3804" s="4">
        <v>33</v>
      </c>
      <c r="AN3804" s="4">
        <v>0</v>
      </c>
      <c r="AO3804" s="4">
        <v>0</v>
      </c>
      <c r="AP3804" s="4">
        <v>13</v>
      </c>
      <c r="AQ3804" s="4">
        <v>15</v>
      </c>
      <c r="AR3804" s="3" t="s">
        <v>62</v>
      </c>
      <c r="AS3804" s="3" t="s">
        <v>62</v>
      </c>
      <c r="AT3804" s="3" t="s">
        <v>61</v>
      </c>
      <c r="AU3804" s="6" t="str">
        <f>HYPERLINK("http://catalog.hathitrust.org/Record/007106440","HathiTrust Record")</f>
        <v>HathiTrust Record</v>
      </c>
      <c r="AV3804" s="6" t="str">
        <f>HYPERLINK("http://mcgill.on.worldcat.org/oclc/17676834","Catalog Record")</f>
        <v>Catalog Record</v>
      </c>
      <c r="AW3804" s="6" t="str">
        <f>HYPERLINK("http://www.worldcat.org/oclc/17676834","WorldCat Record")</f>
        <v>WorldCat Record</v>
      </c>
      <c r="AX3804" s="3" t="s">
        <v>36605</v>
      </c>
      <c r="AY3804" s="3" t="s">
        <v>36606</v>
      </c>
      <c r="AZ3804" s="3" t="s">
        <v>36607</v>
      </c>
      <c r="BA3804" s="3" t="s">
        <v>36607</v>
      </c>
      <c r="BB3804" s="3" t="s">
        <v>36608</v>
      </c>
      <c r="BC3804" s="3" t="s">
        <v>142</v>
      </c>
      <c r="BD3804" s="3" t="s">
        <v>68</v>
      </c>
      <c r="BE3804" s="3" t="s">
        <v>36609</v>
      </c>
      <c r="BF3804" s="3" t="s">
        <v>36608</v>
      </c>
      <c r="BG3804" s="3" t="s">
        <v>36610</v>
      </c>
    </row>
    <row r="3805" spans="1:59" ht="57" x14ac:dyDescent="0.45">
      <c r="A3805" s="2" t="s">
        <v>59</v>
      </c>
      <c r="B3805" s="2" t="s">
        <v>412</v>
      </c>
      <c r="C3805" s="2" t="s">
        <v>36611</v>
      </c>
      <c r="D3805" s="2" t="s">
        <v>36612</v>
      </c>
      <c r="E3805" s="2" t="s">
        <v>36613</v>
      </c>
      <c r="G3805" s="3" t="s">
        <v>62</v>
      </c>
      <c r="I3805" s="3" t="s">
        <v>62</v>
      </c>
      <c r="J3805" s="3" t="s">
        <v>62</v>
      </c>
      <c r="K3805" s="3" t="s">
        <v>63</v>
      </c>
      <c r="M3805" s="2" t="s">
        <v>36614</v>
      </c>
      <c r="N3805" s="3" t="s">
        <v>2107</v>
      </c>
      <c r="P3805" s="3" t="s">
        <v>65</v>
      </c>
      <c r="Q3805" s="2" t="s">
        <v>7960</v>
      </c>
      <c r="R3805" s="3" t="s">
        <v>66</v>
      </c>
      <c r="S3805" s="4">
        <v>11</v>
      </c>
      <c r="T3805" s="4">
        <v>11</v>
      </c>
      <c r="U3805" s="5" t="s">
        <v>1981</v>
      </c>
      <c r="V3805" s="5" t="s">
        <v>1981</v>
      </c>
      <c r="W3805" s="5" t="s">
        <v>67</v>
      </c>
      <c r="X3805" s="5" t="s">
        <v>67</v>
      </c>
      <c r="Y3805" s="4">
        <v>178</v>
      </c>
      <c r="Z3805" s="4">
        <v>7</v>
      </c>
      <c r="AA3805" s="4">
        <v>12</v>
      </c>
      <c r="AB3805" s="4">
        <v>2</v>
      </c>
      <c r="AC3805" s="4">
        <v>6</v>
      </c>
      <c r="AD3805" s="4">
        <v>59</v>
      </c>
      <c r="AE3805" s="4">
        <v>66</v>
      </c>
      <c r="AF3805" s="4">
        <v>1</v>
      </c>
      <c r="AG3805" s="4">
        <v>4</v>
      </c>
      <c r="AH3805" s="4">
        <v>55</v>
      </c>
      <c r="AI3805" s="4">
        <v>58</v>
      </c>
      <c r="AJ3805" s="4">
        <v>5</v>
      </c>
      <c r="AK3805" s="4">
        <v>8</v>
      </c>
      <c r="AL3805" s="4">
        <v>32</v>
      </c>
      <c r="AM3805" s="4">
        <v>34</v>
      </c>
      <c r="AN3805" s="4">
        <v>0</v>
      </c>
      <c r="AO3805" s="4">
        <v>0</v>
      </c>
      <c r="AP3805" s="4">
        <v>5</v>
      </c>
      <c r="AQ3805" s="4">
        <v>8</v>
      </c>
      <c r="AR3805" s="3" t="s">
        <v>62</v>
      </c>
      <c r="AS3805" s="3" t="s">
        <v>62</v>
      </c>
      <c r="AT3805" s="3" t="s">
        <v>61</v>
      </c>
      <c r="AU3805" s="6" t="str">
        <f>HYPERLINK("http://catalog.hathitrust.org/Record/000347458","HathiTrust Record")</f>
        <v>HathiTrust Record</v>
      </c>
      <c r="AV3805" s="6" t="str">
        <f>HYPERLINK("http://mcgill.on.worldcat.org/oclc/10913985","Catalog Record")</f>
        <v>Catalog Record</v>
      </c>
      <c r="AW3805" s="6" t="str">
        <f>HYPERLINK("http://www.worldcat.org/oclc/10913985","WorldCat Record")</f>
        <v>WorldCat Record</v>
      </c>
      <c r="AX3805" s="3" t="s">
        <v>36615</v>
      </c>
      <c r="AY3805" s="3" t="s">
        <v>36616</v>
      </c>
      <c r="AZ3805" s="3" t="s">
        <v>36617</v>
      </c>
      <c r="BA3805" s="3" t="s">
        <v>36617</v>
      </c>
      <c r="BB3805" s="3" t="s">
        <v>36618</v>
      </c>
      <c r="BC3805" s="3" t="s">
        <v>142</v>
      </c>
      <c r="BD3805" s="3" t="s">
        <v>308</v>
      </c>
      <c r="BE3805" s="3" t="s">
        <v>36619</v>
      </c>
      <c r="BF3805" s="3" t="s">
        <v>36618</v>
      </c>
      <c r="BG3805" s="3" t="s">
        <v>36620</v>
      </c>
    </row>
    <row r="3806" spans="1:59" ht="57" x14ac:dyDescent="0.45">
      <c r="A3806" s="2" t="s">
        <v>59</v>
      </c>
      <c r="B3806" s="2" t="s">
        <v>60</v>
      </c>
      <c r="C3806" s="2" t="s">
        <v>36621</v>
      </c>
      <c r="D3806" s="2" t="s">
        <v>36622</v>
      </c>
      <c r="E3806" s="2" t="s">
        <v>36623</v>
      </c>
      <c r="G3806" s="3" t="s">
        <v>62</v>
      </c>
      <c r="I3806" s="3" t="s">
        <v>62</v>
      </c>
      <c r="J3806" s="3" t="s">
        <v>62</v>
      </c>
      <c r="K3806" s="3" t="s">
        <v>63</v>
      </c>
      <c r="L3806" s="2" t="s">
        <v>36624</v>
      </c>
      <c r="M3806" s="2" t="s">
        <v>36625</v>
      </c>
      <c r="N3806" s="3" t="s">
        <v>149</v>
      </c>
      <c r="P3806" s="3" t="s">
        <v>65</v>
      </c>
      <c r="R3806" s="3" t="s">
        <v>66</v>
      </c>
      <c r="S3806" s="4">
        <v>6</v>
      </c>
      <c r="T3806" s="4">
        <v>6</v>
      </c>
      <c r="U3806" s="5" t="s">
        <v>8270</v>
      </c>
      <c r="V3806" s="5" t="s">
        <v>8270</v>
      </c>
      <c r="W3806" s="5" t="s">
        <v>67</v>
      </c>
      <c r="X3806" s="5" t="s">
        <v>67</v>
      </c>
      <c r="Y3806" s="4">
        <v>239</v>
      </c>
      <c r="Z3806" s="4">
        <v>23</v>
      </c>
      <c r="AA3806" s="4">
        <v>29</v>
      </c>
      <c r="AB3806" s="4">
        <v>2</v>
      </c>
      <c r="AC3806" s="4">
        <v>5</v>
      </c>
      <c r="AD3806" s="4">
        <v>43</v>
      </c>
      <c r="AE3806" s="4">
        <v>51</v>
      </c>
      <c r="AF3806" s="4">
        <v>1</v>
      </c>
      <c r="AG3806" s="4">
        <v>3</v>
      </c>
      <c r="AH3806" s="4">
        <v>31</v>
      </c>
      <c r="AI3806" s="4">
        <v>36</v>
      </c>
      <c r="AJ3806" s="4">
        <v>12</v>
      </c>
      <c r="AK3806" s="4">
        <v>15</v>
      </c>
      <c r="AL3806" s="4">
        <v>20</v>
      </c>
      <c r="AM3806" s="4">
        <v>23</v>
      </c>
      <c r="AN3806" s="4">
        <v>0</v>
      </c>
      <c r="AO3806" s="4">
        <v>0</v>
      </c>
      <c r="AP3806" s="4">
        <v>16</v>
      </c>
      <c r="AQ3806" s="4">
        <v>19</v>
      </c>
      <c r="AR3806" s="3" t="s">
        <v>62</v>
      </c>
      <c r="AS3806" s="3" t="s">
        <v>62</v>
      </c>
      <c r="AT3806" s="3" t="s">
        <v>62</v>
      </c>
      <c r="AV3806" s="6" t="str">
        <f>HYPERLINK("http://mcgill.on.worldcat.org/oclc/441152900","Catalog Record")</f>
        <v>Catalog Record</v>
      </c>
      <c r="AW3806" s="6" t="str">
        <f>HYPERLINK("http://www.worldcat.org/oclc/441152900","WorldCat Record")</f>
        <v>WorldCat Record</v>
      </c>
      <c r="AX3806" s="3" t="s">
        <v>36626</v>
      </c>
      <c r="AY3806" s="3" t="s">
        <v>36627</v>
      </c>
      <c r="AZ3806" s="3" t="s">
        <v>36628</v>
      </c>
      <c r="BA3806" s="3" t="s">
        <v>36628</v>
      </c>
      <c r="BB3806" s="3" t="s">
        <v>36629</v>
      </c>
      <c r="BC3806" s="3" t="s">
        <v>142</v>
      </c>
      <c r="BD3806" s="3" t="s">
        <v>68</v>
      </c>
      <c r="BE3806" s="3" t="s">
        <v>36630</v>
      </c>
      <c r="BF3806" s="3" t="s">
        <v>36629</v>
      </c>
      <c r="BG3806" s="3" t="s">
        <v>36631</v>
      </c>
    </row>
    <row r="3807" spans="1:59" ht="57" x14ac:dyDescent="0.45">
      <c r="A3807" s="2" t="s">
        <v>59</v>
      </c>
      <c r="B3807" s="2" t="s">
        <v>60</v>
      </c>
      <c r="C3807" s="2" t="s">
        <v>36632</v>
      </c>
      <c r="D3807" s="2" t="s">
        <v>36633</v>
      </c>
      <c r="E3807" s="2" t="s">
        <v>36634</v>
      </c>
      <c r="G3807" s="3" t="s">
        <v>62</v>
      </c>
      <c r="I3807" s="3" t="s">
        <v>62</v>
      </c>
      <c r="J3807" s="3" t="s">
        <v>62</v>
      </c>
      <c r="K3807" s="3" t="s">
        <v>63</v>
      </c>
      <c r="M3807" s="2" t="s">
        <v>34879</v>
      </c>
      <c r="N3807" s="3" t="s">
        <v>208</v>
      </c>
      <c r="P3807" s="3" t="s">
        <v>65</v>
      </c>
      <c r="R3807" s="3" t="s">
        <v>66</v>
      </c>
      <c r="S3807" s="4">
        <v>0</v>
      </c>
      <c r="T3807" s="4">
        <v>0</v>
      </c>
      <c r="W3807" s="5" t="s">
        <v>67</v>
      </c>
      <c r="X3807" s="5" t="s">
        <v>67</v>
      </c>
      <c r="Y3807" s="4">
        <v>30</v>
      </c>
      <c r="Z3807" s="4">
        <v>7</v>
      </c>
      <c r="AA3807" s="4">
        <v>68</v>
      </c>
      <c r="AB3807" s="4">
        <v>1</v>
      </c>
      <c r="AC3807" s="4">
        <v>14</v>
      </c>
      <c r="AD3807" s="4">
        <v>14</v>
      </c>
      <c r="AE3807" s="4">
        <v>77</v>
      </c>
      <c r="AF3807" s="4">
        <v>0</v>
      </c>
      <c r="AG3807" s="4">
        <v>8</v>
      </c>
      <c r="AH3807" s="4">
        <v>12</v>
      </c>
      <c r="AI3807" s="4">
        <v>46</v>
      </c>
      <c r="AJ3807" s="4">
        <v>6</v>
      </c>
      <c r="AK3807" s="4">
        <v>17</v>
      </c>
      <c r="AL3807" s="4">
        <v>6</v>
      </c>
      <c r="AM3807" s="4">
        <v>23</v>
      </c>
      <c r="AN3807" s="4">
        <v>0</v>
      </c>
      <c r="AO3807" s="4">
        <v>0</v>
      </c>
      <c r="AP3807" s="4">
        <v>6</v>
      </c>
      <c r="AQ3807" s="4">
        <v>36</v>
      </c>
      <c r="AR3807" s="3" t="s">
        <v>62</v>
      </c>
      <c r="AS3807" s="3" t="s">
        <v>62</v>
      </c>
      <c r="AT3807" s="3" t="s">
        <v>62</v>
      </c>
      <c r="AV3807" s="6" t="str">
        <f>HYPERLINK("http://mcgill.on.worldcat.org/oclc/915331716","Catalog Record")</f>
        <v>Catalog Record</v>
      </c>
      <c r="AW3807" s="6" t="str">
        <f>HYPERLINK("http://www.worldcat.org/oclc/915331716","WorldCat Record")</f>
        <v>WorldCat Record</v>
      </c>
      <c r="AX3807" s="3" t="s">
        <v>36635</v>
      </c>
      <c r="AY3807" s="3" t="s">
        <v>36636</v>
      </c>
      <c r="AZ3807" s="3" t="s">
        <v>36637</v>
      </c>
      <c r="BA3807" s="3" t="s">
        <v>36637</v>
      </c>
      <c r="BB3807" s="3" t="s">
        <v>36638</v>
      </c>
      <c r="BC3807" s="3" t="s">
        <v>142</v>
      </c>
      <c r="BD3807" s="3" t="s">
        <v>68</v>
      </c>
      <c r="BE3807" s="3" t="s">
        <v>36639</v>
      </c>
      <c r="BF3807" s="3" t="s">
        <v>36638</v>
      </c>
      <c r="BG3807" s="3" t="s">
        <v>36640</v>
      </c>
    </row>
    <row r="3808" spans="1:59" ht="57" x14ac:dyDescent="0.45">
      <c r="A3808" s="2" t="s">
        <v>59</v>
      </c>
      <c r="B3808" s="2" t="s">
        <v>60</v>
      </c>
      <c r="C3808" s="2" t="s">
        <v>36642</v>
      </c>
      <c r="D3808" s="2" t="s">
        <v>36643</v>
      </c>
      <c r="E3808" s="2" t="s">
        <v>36644</v>
      </c>
      <c r="G3808" s="3" t="s">
        <v>62</v>
      </c>
      <c r="I3808" s="3" t="s">
        <v>62</v>
      </c>
      <c r="J3808" s="3" t="s">
        <v>62</v>
      </c>
      <c r="K3808" s="3" t="s">
        <v>63</v>
      </c>
      <c r="L3808" s="2" t="s">
        <v>36645</v>
      </c>
      <c r="M3808" s="2" t="s">
        <v>36646</v>
      </c>
      <c r="N3808" s="3" t="s">
        <v>106</v>
      </c>
      <c r="P3808" s="3" t="s">
        <v>65</v>
      </c>
      <c r="Q3808" s="2" t="s">
        <v>36647</v>
      </c>
      <c r="R3808" s="3" t="s">
        <v>66</v>
      </c>
      <c r="S3808" s="4">
        <v>24</v>
      </c>
      <c r="T3808" s="4">
        <v>24</v>
      </c>
      <c r="U3808" s="5" t="s">
        <v>32939</v>
      </c>
      <c r="V3808" s="5" t="s">
        <v>32939</v>
      </c>
      <c r="W3808" s="5" t="s">
        <v>67</v>
      </c>
      <c r="X3808" s="5" t="s">
        <v>67</v>
      </c>
      <c r="Y3808" s="4">
        <v>330</v>
      </c>
      <c r="Z3808" s="4">
        <v>22</v>
      </c>
      <c r="AA3808" s="4">
        <v>29</v>
      </c>
      <c r="AB3808" s="4">
        <v>2</v>
      </c>
      <c r="AC3808" s="4">
        <v>6</v>
      </c>
      <c r="AD3808" s="4">
        <v>99</v>
      </c>
      <c r="AE3808" s="4">
        <v>105</v>
      </c>
      <c r="AF3808" s="4">
        <v>1</v>
      </c>
      <c r="AG3808" s="4">
        <v>4</v>
      </c>
      <c r="AH3808" s="4">
        <v>88</v>
      </c>
      <c r="AI3808" s="4">
        <v>89</v>
      </c>
      <c r="AJ3808" s="4">
        <v>12</v>
      </c>
      <c r="AK3808" s="4">
        <v>15</v>
      </c>
      <c r="AL3808" s="4">
        <v>49</v>
      </c>
      <c r="AM3808" s="4">
        <v>49</v>
      </c>
      <c r="AN3808" s="4">
        <v>0</v>
      </c>
      <c r="AO3808" s="4">
        <v>0</v>
      </c>
      <c r="AP3808" s="4">
        <v>18</v>
      </c>
      <c r="AQ3808" s="4">
        <v>23</v>
      </c>
      <c r="AR3808" s="3" t="s">
        <v>62</v>
      </c>
      <c r="AS3808" s="3" t="s">
        <v>62</v>
      </c>
      <c r="AT3808" s="3" t="s">
        <v>61</v>
      </c>
      <c r="AU3808" s="6" t="str">
        <f>HYPERLINK("http://catalog.hathitrust.org/Record/007118015","HathiTrust Record")</f>
        <v>HathiTrust Record</v>
      </c>
      <c r="AV3808" s="6" t="str">
        <f>HYPERLINK("http://mcgill.on.worldcat.org/oclc/9283398","Catalog Record")</f>
        <v>Catalog Record</v>
      </c>
      <c r="AW3808" s="6" t="str">
        <f>HYPERLINK("http://www.worldcat.org/oclc/9283398","WorldCat Record")</f>
        <v>WorldCat Record</v>
      </c>
      <c r="AX3808" s="3" t="s">
        <v>36648</v>
      </c>
      <c r="AY3808" s="3" t="s">
        <v>36649</v>
      </c>
      <c r="AZ3808" s="3" t="s">
        <v>36650</v>
      </c>
      <c r="BA3808" s="3" t="s">
        <v>36650</v>
      </c>
      <c r="BB3808" s="3" t="s">
        <v>36651</v>
      </c>
      <c r="BC3808" s="3" t="s">
        <v>142</v>
      </c>
      <c r="BD3808" s="3" t="s">
        <v>68</v>
      </c>
      <c r="BE3808" s="3" t="s">
        <v>36652</v>
      </c>
      <c r="BF3808" s="3" t="s">
        <v>36651</v>
      </c>
      <c r="BG3808" s="3" t="s">
        <v>36653</v>
      </c>
    </row>
    <row r="3809" spans="1:59" ht="57" x14ac:dyDescent="0.45">
      <c r="A3809" s="2" t="s">
        <v>59</v>
      </c>
      <c r="B3809" s="2" t="s">
        <v>60</v>
      </c>
      <c r="C3809" s="2" t="s">
        <v>36654</v>
      </c>
      <c r="D3809" s="2" t="s">
        <v>36655</v>
      </c>
      <c r="E3809" s="2" t="s">
        <v>36656</v>
      </c>
      <c r="G3809" s="3" t="s">
        <v>62</v>
      </c>
      <c r="I3809" s="3" t="s">
        <v>62</v>
      </c>
      <c r="J3809" s="3" t="s">
        <v>62</v>
      </c>
      <c r="K3809" s="3" t="s">
        <v>63</v>
      </c>
      <c r="M3809" s="2" t="s">
        <v>36657</v>
      </c>
      <c r="N3809" s="3" t="s">
        <v>1155</v>
      </c>
      <c r="P3809" s="3" t="s">
        <v>65</v>
      </c>
      <c r="Q3809" s="2" t="s">
        <v>36658</v>
      </c>
      <c r="R3809" s="3" t="s">
        <v>66</v>
      </c>
      <c r="S3809" s="4">
        <v>3</v>
      </c>
      <c r="T3809" s="4">
        <v>3</v>
      </c>
      <c r="U3809" s="5" t="s">
        <v>36659</v>
      </c>
      <c r="V3809" s="5" t="s">
        <v>36659</v>
      </c>
      <c r="W3809" s="5" t="s">
        <v>67</v>
      </c>
      <c r="X3809" s="5" t="s">
        <v>67</v>
      </c>
      <c r="Y3809" s="4">
        <v>71</v>
      </c>
      <c r="Z3809" s="4">
        <v>13</v>
      </c>
      <c r="AA3809" s="4">
        <v>88</v>
      </c>
      <c r="AB3809" s="4">
        <v>2</v>
      </c>
      <c r="AC3809" s="4">
        <v>17</v>
      </c>
      <c r="AD3809" s="4">
        <v>36</v>
      </c>
      <c r="AE3809" s="4">
        <v>105</v>
      </c>
      <c r="AF3809" s="4">
        <v>1</v>
      </c>
      <c r="AG3809" s="4">
        <v>8</v>
      </c>
      <c r="AH3809" s="4">
        <v>32</v>
      </c>
      <c r="AI3809" s="4">
        <v>71</v>
      </c>
      <c r="AJ3809" s="4">
        <v>10</v>
      </c>
      <c r="AK3809" s="4">
        <v>20</v>
      </c>
      <c r="AL3809" s="4">
        <v>19</v>
      </c>
      <c r="AM3809" s="4">
        <v>36</v>
      </c>
      <c r="AN3809" s="4">
        <v>0</v>
      </c>
      <c r="AO3809" s="4">
        <v>0</v>
      </c>
      <c r="AP3809" s="4">
        <v>10</v>
      </c>
      <c r="AQ3809" s="4">
        <v>41</v>
      </c>
      <c r="AR3809" s="3" t="s">
        <v>62</v>
      </c>
      <c r="AS3809" s="3" t="s">
        <v>62</v>
      </c>
      <c r="AT3809" s="3" t="s">
        <v>62</v>
      </c>
      <c r="AV3809" s="6" t="str">
        <f>HYPERLINK("http://mcgill.on.worldcat.org/oclc/774635864","Catalog Record")</f>
        <v>Catalog Record</v>
      </c>
      <c r="AW3809" s="6" t="str">
        <f>HYPERLINK("http://www.worldcat.org/oclc/774635864","WorldCat Record")</f>
        <v>WorldCat Record</v>
      </c>
      <c r="AX3809" s="3" t="s">
        <v>36660</v>
      </c>
      <c r="AY3809" s="3" t="s">
        <v>36661</v>
      </c>
      <c r="AZ3809" s="3" t="s">
        <v>36662</v>
      </c>
      <c r="BA3809" s="3" t="s">
        <v>36662</v>
      </c>
      <c r="BB3809" s="3" t="s">
        <v>36663</v>
      </c>
      <c r="BC3809" s="3" t="s">
        <v>142</v>
      </c>
      <c r="BD3809" s="3" t="s">
        <v>68</v>
      </c>
      <c r="BE3809" s="3" t="s">
        <v>36664</v>
      </c>
      <c r="BF3809" s="3" t="s">
        <v>36663</v>
      </c>
      <c r="BG3809" s="3" t="s">
        <v>36665</v>
      </c>
    </row>
    <row r="3810" spans="1:59" ht="57" x14ac:dyDescent="0.45">
      <c r="A3810" s="2" t="s">
        <v>59</v>
      </c>
      <c r="B3810" s="2" t="s">
        <v>60</v>
      </c>
      <c r="C3810" s="2" t="s">
        <v>36666</v>
      </c>
      <c r="D3810" s="2" t="s">
        <v>36667</v>
      </c>
      <c r="E3810" s="2" t="s">
        <v>36668</v>
      </c>
      <c r="G3810" s="3" t="s">
        <v>62</v>
      </c>
      <c r="I3810" s="3" t="s">
        <v>61</v>
      </c>
      <c r="J3810" s="3" t="s">
        <v>62</v>
      </c>
      <c r="K3810" s="3" t="s">
        <v>63</v>
      </c>
      <c r="M3810" s="2" t="s">
        <v>36669</v>
      </c>
      <c r="N3810" s="3" t="s">
        <v>181</v>
      </c>
      <c r="P3810" s="3" t="s">
        <v>65</v>
      </c>
      <c r="Q3810" s="2" t="s">
        <v>36670</v>
      </c>
      <c r="R3810" s="3" t="s">
        <v>66</v>
      </c>
      <c r="S3810" s="4">
        <v>3</v>
      </c>
      <c r="T3810" s="4">
        <v>3</v>
      </c>
      <c r="W3810" s="5" t="s">
        <v>67</v>
      </c>
      <c r="X3810" s="5" t="s">
        <v>67</v>
      </c>
      <c r="Y3810" s="4">
        <v>153</v>
      </c>
      <c r="Z3810" s="4">
        <v>10</v>
      </c>
      <c r="AA3810" s="4">
        <v>102</v>
      </c>
      <c r="AB3810" s="4">
        <v>2</v>
      </c>
      <c r="AC3810" s="4">
        <v>16</v>
      </c>
      <c r="AD3810" s="4">
        <v>58</v>
      </c>
      <c r="AE3810" s="4">
        <v>121</v>
      </c>
      <c r="AF3810" s="4">
        <v>1</v>
      </c>
      <c r="AG3810" s="4">
        <v>8</v>
      </c>
      <c r="AH3810" s="4">
        <v>52</v>
      </c>
      <c r="AI3810" s="4">
        <v>82</v>
      </c>
      <c r="AJ3810" s="4">
        <v>6</v>
      </c>
      <c r="AK3810" s="4">
        <v>22</v>
      </c>
      <c r="AL3810" s="4">
        <v>35</v>
      </c>
      <c r="AM3810" s="4">
        <v>47</v>
      </c>
      <c r="AN3810" s="4">
        <v>0</v>
      </c>
      <c r="AO3810" s="4">
        <v>0</v>
      </c>
      <c r="AP3810" s="4">
        <v>7</v>
      </c>
      <c r="AQ3810" s="4">
        <v>43</v>
      </c>
      <c r="AR3810" s="3" t="s">
        <v>62</v>
      </c>
      <c r="AS3810" s="3" t="s">
        <v>62</v>
      </c>
      <c r="AT3810" s="3" t="s">
        <v>62</v>
      </c>
      <c r="AV3810" s="6" t="str">
        <f>HYPERLINK("http://mcgill.on.worldcat.org/oclc/920676933","Catalog Record")</f>
        <v>Catalog Record</v>
      </c>
      <c r="AW3810" s="6" t="str">
        <f>HYPERLINK("http://www.worldcat.org/oclc/920676933","WorldCat Record")</f>
        <v>WorldCat Record</v>
      </c>
      <c r="AX3810" s="3" t="s">
        <v>36671</v>
      </c>
      <c r="AY3810" s="3" t="s">
        <v>36672</v>
      </c>
      <c r="AZ3810" s="3" t="s">
        <v>36673</v>
      </c>
      <c r="BA3810" s="3" t="s">
        <v>36673</v>
      </c>
      <c r="BB3810" s="3" t="s">
        <v>36674</v>
      </c>
      <c r="BC3810" s="3" t="s">
        <v>142</v>
      </c>
      <c r="BD3810" s="3" t="s">
        <v>308</v>
      </c>
      <c r="BE3810" s="3" t="s">
        <v>36675</v>
      </c>
      <c r="BF3810" s="3" t="s">
        <v>36674</v>
      </c>
      <c r="BG3810" s="3" t="s">
        <v>36676</v>
      </c>
    </row>
    <row r="3811" spans="1:59" ht="57" x14ac:dyDescent="0.45">
      <c r="A3811" s="2" t="s">
        <v>59</v>
      </c>
      <c r="B3811" s="2" t="s">
        <v>60</v>
      </c>
      <c r="C3811" s="2" t="s">
        <v>36666</v>
      </c>
      <c r="D3811" s="2" t="s">
        <v>36667</v>
      </c>
      <c r="E3811" s="2" t="s">
        <v>36668</v>
      </c>
      <c r="G3811" s="3" t="s">
        <v>62</v>
      </c>
      <c r="I3811" s="3" t="s">
        <v>61</v>
      </c>
      <c r="J3811" s="3" t="s">
        <v>62</v>
      </c>
      <c r="K3811" s="3" t="s">
        <v>63</v>
      </c>
      <c r="M3811" s="2" t="s">
        <v>36669</v>
      </c>
      <c r="N3811" s="3" t="s">
        <v>181</v>
      </c>
      <c r="P3811" s="3" t="s">
        <v>65</v>
      </c>
      <c r="Q3811" s="2" t="s">
        <v>36670</v>
      </c>
      <c r="R3811" s="3" t="s">
        <v>66</v>
      </c>
      <c r="S3811" s="4">
        <v>0</v>
      </c>
      <c r="T3811" s="4">
        <v>3</v>
      </c>
      <c r="W3811" s="5" t="s">
        <v>67</v>
      </c>
      <c r="X3811" s="5" t="s">
        <v>67</v>
      </c>
      <c r="Y3811" s="4">
        <v>153</v>
      </c>
      <c r="Z3811" s="4">
        <v>10</v>
      </c>
      <c r="AA3811" s="4">
        <v>102</v>
      </c>
      <c r="AB3811" s="4">
        <v>2</v>
      </c>
      <c r="AC3811" s="4">
        <v>16</v>
      </c>
      <c r="AD3811" s="4">
        <v>58</v>
      </c>
      <c r="AE3811" s="4">
        <v>121</v>
      </c>
      <c r="AF3811" s="4">
        <v>1</v>
      </c>
      <c r="AG3811" s="4">
        <v>8</v>
      </c>
      <c r="AH3811" s="4">
        <v>52</v>
      </c>
      <c r="AI3811" s="4">
        <v>82</v>
      </c>
      <c r="AJ3811" s="4">
        <v>6</v>
      </c>
      <c r="AK3811" s="4">
        <v>22</v>
      </c>
      <c r="AL3811" s="4">
        <v>35</v>
      </c>
      <c r="AM3811" s="4">
        <v>47</v>
      </c>
      <c r="AN3811" s="4">
        <v>0</v>
      </c>
      <c r="AO3811" s="4">
        <v>0</v>
      </c>
      <c r="AP3811" s="4">
        <v>7</v>
      </c>
      <c r="AQ3811" s="4">
        <v>43</v>
      </c>
      <c r="AR3811" s="3" t="s">
        <v>62</v>
      </c>
      <c r="AS3811" s="3" t="s">
        <v>62</v>
      </c>
      <c r="AT3811" s="3" t="s">
        <v>62</v>
      </c>
      <c r="AV3811" s="6" t="str">
        <f>HYPERLINK("http://mcgill.on.worldcat.org/oclc/920676933","Catalog Record")</f>
        <v>Catalog Record</v>
      </c>
      <c r="AW3811" s="6" t="str">
        <f>HYPERLINK("http://www.worldcat.org/oclc/920676933","WorldCat Record")</f>
        <v>WorldCat Record</v>
      </c>
      <c r="AX3811" s="3" t="s">
        <v>36671</v>
      </c>
      <c r="AY3811" s="3" t="s">
        <v>36672</v>
      </c>
      <c r="AZ3811" s="3" t="s">
        <v>36673</v>
      </c>
      <c r="BA3811" s="3" t="s">
        <v>36673</v>
      </c>
      <c r="BB3811" s="3" t="s">
        <v>36677</v>
      </c>
      <c r="BC3811" s="3" t="s">
        <v>142</v>
      </c>
      <c r="BD3811" s="3" t="s">
        <v>68</v>
      </c>
      <c r="BE3811" s="3" t="s">
        <v>36675</v>
      </c>
      <c r="BF3811" s="3" t="s">
        <v>36677</v>
      </c>
      <c r="BG3811" s="3" t="s">
        <v>36678</v>
      </c>
    </row>
    <row r="3812" spans="1:59" ht="57" x14ac:dyDescent="0.45">
      <c r="A3812" s="2" t="s">
        <v>59</v>
      </c>
      <c r="B3812" s="2" t="s">
        <v>60</v>
      </c>
      <c r="C3812" s="2" t="s">
        <v>36679</v>
      </c>
      <c r="D3812" s="2" t="s">
        <v>36680</v>
      </c>
      <c r="E3812" s="2" t="s">
        <v>36681</v>
      </c>
      <c r="G3812" s="3" t="s">
        <v>62</v>
      </c>
      <c r="I3812" s="3" t="s">
        <v>62</v>
      </c>
      <c r="J3812" s="3" t="s">
        <v>62</v>
      </c>
      <c r="K3812" s="3" t="s">
        <v>63</v>
      </c>
      <c r="M3812" s="2" t="s">
        <v>36682</v>
      </c>
      <c r="N3812" s="3" t="s">
        <v>149</v>
      </c>
      <c r="P3812" s="3" t="s">
        <v>65</v>
      </c>
      <c r="Q3812" s="2" t="s">
        <v>36683</v>
      </c>
      <c r="R3812" s="3" t="s">
        <v>66</v>
      </c>
      <c r="S3812" s="4">
        <v>0</v>
      </c>
      <c r="T3812" s="4">
        <v>0</v>
      </c>
      <c r="W3812" s="5" t="s">
        <v>67</v>
      </c>
      <c r="X3812" s="5" t="s">
        <v>67</v>
      </c>
      <c r="Y3812" s="4">
        <v>56</v>
      </c>
      <c r="Z3812" s="4">
        <v>2</v>
      </c>
      <c r="AA3812" s="4">
        <v>34</v>
      </c>
      <c r="AB3812" s="4">
        <v>1</v>
      </c>
      <c r="AC3812" s="4">
        <v>9</v>
      </c>
      <c r="AD3812" s="4">
        <v>20</v>
      </c>
      <c r="AE3812" s="4">
        <v>78</v>
      </c>
      <c r="AF3812" s="4">
        <v>0</v>
      </c>
      <c r="AG3812" s="4">
        <v>5</v>
      </c>
      <c r="AH3812" s="4">
        <v>19</v>
      </c>
      <c r="AI3812" s="4">
        <v>53</v>
      </c>
      <c r="AJ3812" s="4">
        <v>1</v>
      </c>
      <c r="AK3812" s="4">
        <v>15</v>
      </c>
      <c r="AL3812" s="4">
        <v>15</v>
      </c>
      <c r="AM3812" s="4">
        <v>29</v>
      </c>
      <c r="AN3812" s="4">
        <v>0</v>
      </c>
      <c r="AO3812" s="4">
        <v>0</v>
      </c>
      <c r="AP3812" s="4">
        <v>1</v>
      </c>
      <c r="AQ3812" s="4">
        <v>28</v>
      </c>
      <c r="AR3812" s="3" t="s">
        <v>62</v>
      </c>
      <c r="AS3812" s="3" t="s">
        <v>62</v>
      </c>
      <c r="AT3812" s="3" t="s">
        <v>62</v>
      </c>
      <c r="AV3812" s="6" t="str">
        <f>HYPERLINK("http://mcgill.on.worldcat.org/oclc/639461819","Catalog Record")</f>
        <v>Catalog Record</v>
      </c>
      <c r="AW3812" s="6" t="str">
        <f>HYPERLINK("http://www.worldcat.org/oclc/639461819","WorldCat Record")</f>
        <v>WorldCat Record</v>
      </c>
      <c r="AX3812" s="3" t="s">
        <v>36684</v>
      </c>
      <c r="AY3812" s="3" t="s">
        <v>36685</v>
      </c>
      <c r="AZ3812" s="3" t="s">
        <v>36686</v>
      </c>
      <c r="BA3812" s="3" t="s">
        <v>36686</v>
      </c>
      <c r="BB3812" s="3" t="s">
        <v>36687</v>
      </c>
      <c r="BC3812" s="3" t="s">
        <v>142</v>
      </c>
      <c r="BD3812" s="3" t="s">
        <v>68</v>
      </c>
      <c r="BE3812" s="3" t="s">
        <v>36688</v>
      </c>
      <c r="BF3812" s="3" t="s">
        <v>36687</v>
      </c>
      <c r="BG3812" s="3" t="s">
        <v>36689</v>
      </c>
    </row>
    <row r="3813" spans="1:59" ht="57" x14ac:dyDescent="0.45">
      <c r="A3813" s="2" t="s">
        <v>59</v>
      </c>
      <c r="B3813" s="2" t="s">
        <v>60</v>
      </c>
      <c r="C3813" s="2" t="s">
        <v>36690</v>
      </c>
      <c r="D3813" s="2" t="s">
        <v>36691</v>
      </c>
      <c r="E3813" s="2" t="s">
        <v>36692</v>
      </c>
      <c r="G3813" s="3" t="s">
        <v>62</v>
      </c>
      <c r="I3813" s="3" t="s">
        <v>61</v>
      </c>
      <c r="J3813" s="3" t="s">
        <v>62</v>
      </c>
      <c r="K3813" s="3" t="s">
        <v>63</v>
      </c>
      <c r="L3813" s="2" t="s">
        <v>36693</v>
      </c>
      <c r="M3813" s="2" t="s">
        <v>36694</v>
      </c>
      <c r="N3813" s="3" t="s">
        <v>1478</v>
      </c>
      <c r="P3813" s="3" t="s">
        <v>65</v>
      </c>
      <c r="Q3813" s="2" t="s">
        <v>36695</v>
      </c>
      <c r="R3813" s="3" t="s">
        <v>66</v>
      </c>
      <c r="S3813" s="4">
        <v>19</v>
      </c>
      <c r="T3813" s="4">
        <v>36</v>
      </c>
      <c r="U3813" s="5" t="s">
        <v>36696</v>
      </c>
      <c r="V3813" s="5" t="s">
        <v>36697</v>
      </c>
      <c r="W3813" s="5" t="s">
        <v>67</v>
      </c>
      <c r="X3813" s="5" t="s">
        <v>67</v>
      </c>
      <c r="Y3813" s="4">
        <v>439</v>
      </c>
      <c r="Z3813" s="4">
        <v>22</v>
      </c>
      <c r="AA3813" s="4">
        <v>24</v>
      </c>
      <c r="AB3813" s="4">
        <v>2</v>
      </c>
      <c r="AC3813" s="4">
        <v>4</v>
      </c>
      <c r="AD3813" s="4">
        <v>102</v>
      </c>
      <c r="AE3813" s="4">
        <v>104</v>
      </c>
      <c r="AF3813" s="4">
        <v>1</v>
      </c>
      <c r="AG3813" s="4">
        <v>3</v>
      </c>
      <c r="AH3813" s="4">
        <v>88</v>
      </c>
      <c r="AI3813" s="4">
        <v>89</v>
      </c>
      <c r="AJ3813" s="4">
        <v>17</v>
      </c>
      <c r="AK3813" s="4">
        <v>19</v>
      </c>
      <c r="AL3813" s="4">
        <v>50</v>
      </c>
      <c r="AM3813" s="4">
        <v>50</v>
      </c>
      <c r="AN3813" s="4">
        <v>0</v>
      </c>
      <c r="AO3813" s="4">
        <v>0</v>
      </c>
      <c r="AP3813" s="4">
        <v>21</v>
      </c>
      <c r="AQ3813" s="4">
        <v>23</v>
      </c>
      <c r="AR3813" s="3" t="s">
        <v>62</v>
      </c>
      <c r="AS3813" s="3" t="s">
        <v>62</v>
      </c>
      <c r="AT3813" s="3" t="s">
        <v>62</v>
      </c>
      <c r="AV3813" s="6" t="str">
        <f>HYPERLINK("http://mcgill.on.worldcat.org/oclc/32432017","Catalog Record")</f>
        <v>Catalog Record</v>
      </c>
      <c r="AW3813" s="6" t="str">
        <f>HYPERLINK("http://www.worldcat.org/oclc/32432017","WorldCat Record")</f>
        <v>WorldCat Record</v>
      </c>
      <c r="AX3813" s="3" t="s">
        <v>36698</v>
      </c>
      <c r="AY3813" s="3" t="s">
        <v>36699</v>
      </c>
      <c r="AZ3813" s="3" t="s">
        <v>36700</v>
      </c>
      <c r="BA3813" s="3" t="s">
        <v>36700</v>
      </c>
      <c r="BB3813" s="3" t="s">
        <v>36701</v>
      </c>
      <c r="BC3813" s="3" t="s">
        <v>142</v>
      </c>
      <c r="BD3813" s="3" t="s">
        <v>68</v>
      </c>
      <c r="BE3813" s="3" t="s">
        <v>36702</v>
      </c>
      <c r="BF3813" s="3" t="s">
        <v>36701</v>
      </c>
      <c r="BG3813" s="3" t="s">
        <v>36703</v>
      </c>
    </row>
    <row r="3814" spans="1:59" ht="57" x14ac:dyDescent="0.45">
      <c r="A3814" s="2" t="s">
        <v>59</v>
      </c>
      <c r="B3814" s="2" t="s">
        <v>60</v>
      </c>
      <c r="C3814" s="2" t="s">
        <v>36690</v>
      </c>
      <c r="D3814" s="2" t="s">
        <v>36691</v>
      </c>
      <c r="E3814" s="2" t="s">
        <v>36692</v>
      </c>
      <c r="G3814" s="3" t="s">
        <v>62</v>
      </c>
      <c r="I3814" s="3" t="s">
        <v>61</v>
      </c>
      <c r="J3814" s="3" t="s">
        <v>62</v>
      </c>
      <c r="K3814" s="3" t="s">
        <v>63</v>
      </c>
      <c r="L3814" s="2" t="s">
        <v>36693</v>
      </c>
      <c r="M3814" s="2" t="s">
        <v>36694</v>
      </c>
      <c r="N3814" s="3" t="s">
        <v>1478</v>
      </c>
      <c r="P3814" s="3" t="s">
        <v>65</v>
      </c>
      <c r="Q3814" s="2" t="s">
        <v>36695</v>
      </c>
      <c r="R3814" s="3" t="s">
        <v>66</v>
      </c>
      <c r="S3814" s="4">
        <v>17</v>
      </c>
      <c r="T3814" s="4">
        <v>36</v>
      </c>
      <c r="U3814" s="5" t="s">
        <v>36697</v>
      </c>
      <c r="V3814" s="5" t="s">
        <v>36697</v>
      </c>
      <c r="W3814" s="5" t="s">
        <v>67</v>
      </c>
      <c r="X3814" s="5" t="s">
        <v>67</v>
      </c>
      <c r="Y3814" s="4">
        <v>439</v>
      </c>
      <c r="Z3814" s="4">
        <v>22</v>
      </c>
      <c r="AA3814" s="4">
        <v>24</v>
      </c>
      <c r="AB3814" s="4">
        <v>2</v>
      </c>
      <c r="AC3814" s="4">
        <v>4</v>
      </c>
      <c r="AD3814" s="4">
        <v>102</v>
      </c>
      <c r="AE3814" s="4">
        <v>104</v>
      </c>
      <c r="AF3814" s="4">
        <v>1</v>
      </c>
      <c r="AG3814" s="4">
        <v>3</v>
      </c>
      <c r="AH3814" s="4">
        <v>88</v>
      </c>
      <c r="AI3814" s="4">
        <v>89</v>
      </c>
      <c r="AJ3814" s="4">
        <v>17</v>
      </c>
      <c r="AK3814" s="4">
        <v>19</v>
      </c>
      <c r="AL3814" s="4">
        <v>50</v>
      </c>
      <c r="AM3814" s="4">
        <v>50</v>
      </c>
      <c r="AN3814" s="4">
        <v>0</v>
      </c>
      <c r="AO3814" s="4">
        <v>0</v>
      </c>
      <c r="AP3814" s="4">
        <v>21</v>
      </c>
      <c r="AQ3814" s="4">
        <v>23</v>
      </c>
      <c r="AR3814" s="3" t="s">
        <v>62</v>
      </c>
      <c r="AS3814" s="3" t="s">
        <v>62</v>
      </c>
      <c r="AT3814" s="3" t="s">
        <v>62</v>
      </c>
      <c r="AV3814" s="6" t="str">
        <f>HYPERLINK("http://mcgill.on.worldcat.org/oclc/32432017","Catalog Record")</f>
        <v>Catalog Record</v>
      </c>
      <c r="AW3814" s="6" t="str">
        <f>HYPERLINK("http://www.worldcat.org/oclc/32432017","WorldCat Record")</f>
        <v>WorldCat Record</v>
      </c>
      <c r="AX3814" s="3" t="s">
        <v>36698</v>
      </c>
      <c r="AY3814" s="3" t="s">
        <v>36699</v>
      </c>
      <c r="AZ3814" s="3" t="s">
        <v>36700</v>
      </c>
      <c r="BA3814" s="3" t="s">
        <v>36700</v>
      </c>
      <c r="BB3814" s="3" t="s">
        <v>36704</v>
      </c>
      <c r="BC3814" s="3" t="s">
        <v>142</v>
      </c>
      <c r="BD3814" s="3" t="s">
        <v>68</v>
      </c>
      <c r="BE3814" s="3" t="s">
        <v>36702</v>
      </c>
      <c r="BF3814" s="3" t="s">
        <v>36704</v>
      </c>
      <c r="BG3814" s="3" t="s">
        <v>36705</v>
      </c>
    </row>
    <row r="3815" spans="1:59" ht="57" x14ac:dyDescent="0.45">
      <c r="A3815" s="2" t="s">
        <v>59</v>
      </c>
      <c r="B3815" s="2" t="s">
        <v>60</v>
      </c>
      <c r="C3815" s="2" t="s">
        <v>36706</v>
      </c>
      <c r="D3815" s="2" t="s">
        <v>36707</v>
      </c>
      <c r="E3815" s="2" t="s">
        <v>36708</v>
      </c>
      <c r="G3815" s="3" t="s">
        <v>62</v>
      </c>
      <c r="I3815" s="3" t="s">
        <v>62</v>
      </c>
      <c r="J3815" s="3" t="s">
        <v>62</v>
      </c>
      <c r="K3815" s="3" t="s">
        <v>63</v>
      </c>
      <c r="M3815" s="2" t="s">
        <v>26753</v>
      </c>
      <c r="N3815" s="3" t="s">
        <v>1465</v>
      </c>
      <c r="P3815" s="3" t="s">
        <v>65</v>
      </c>
      <c r="R3815" s="3" t="s">
        <v>66</v>
      </c>
      <c r="S3815" s="4">
        <v>1</v>
      </c>
      <c r="T3815" s="4">
        <v>1</v>
      </c>
      <c r="U3815" s="5" t="s">
        <v>1963</v>
      </c>
      <c r="V3815" s="5" t="s">
        <v>1963</v>
      </c>
      <c r="W3815" s="5" t="s">
        <v>67</v>
      </c>
      <c r="X3815" s="5" t="s">
        <v>67</v>
      </c>
      <c r="Y3815" s="4">
        <v>148</v>
      </c>
      <c r="Z3815" s="4">
        <v>18</v>
      </c>
      <c r="AA3815" s="4">
        <v>22</v>
      </c>
      <c r="AB3815" s="4">
        <v>3</v>
      </c>
      <c r="AC3815" s="4">
        <v>6</v>
      </c>
      <c r="AD3815" s="4">
        <v>63</v>
      </c>
      <c r="AE3815" s="4">
        <v>66</v>
      </c>
      <c r="AF3815" s="4">
        <v>1</v>
      </c>
      <c r="AG3815" s="4">
        <v>2</v>
      </c>
      <c r="AH3815" s="4">
        <v>57</v>
      </c>
      <c r="AI3815" s="4">
        <v>59</v>
      </c>
      <c r="AJ3815" s="4">
        <v>14</v>
      </c>
      <c r="AK3815" s="4">
        <v>16</v>
      </c>
      <c r="AL3815" s="4">
        <v>35</v>
      </c>
      <c r="AM3815" s="4">
        <v>36</v>
      </c>
      <c r="AN3815" s="4">
        <v>0</v>
      </c>
      <c r="AO3815" s="4">
        <v>0</v>
      </c>
      <c r="AP3815" s="4">
        <v>14</v>
      </c>
      <c r="AQ3815" s="4">
        <v>16</v>
      </c>
      <c r="AR3815" s="3" t="s">
        <v>62</v>
      </c>
      <c r="AS3815" s="3" t="s">
        <v>62</v>
      </c>
      <c r="AT3815" s="3" t="s">
        <v>61</v>
      </c>
      <c r="AU3815" s="6" t="str">
        <f>HYPERLINK("http://catalog.hathitrust.org/Record/008542257","HathiTrust Record")</f>
        <v>HathiTrust Record</v>
      </c>
      <c r="AV3815" s="6" t="str">
        <f>HYPERLINK("http://mcgill.on.worldcat.org/oclc/318670652","Catalog Record")</f>
        <v>Catalog Record</v>
      </c>
      <c r="AW3815" s="6" t="str">
        <f>HYPERLINK("http://www.worldcat.org/oclc/318670652","WorldCat Record")</f>
        <v>WorldCat Record</v>
      </c>
      <c r="AX3815" s="3" t="s">
        <v>36709</v>
      </c>
      <c r="AY3815" s="3" t="s">
        <v>36710</v>
      </c>
      <c r="AZ3815" s="3" t="s">
        <v>36711</v>
      </c>
      <c r="BA3815" s="3" t="s">
        <v>36711</v>
      </c>
      <c r="BB3815" s="3" t="s">
        <v>36712</v>
      </c>
      <c r="BC3815" s="3" t="s">
        <v>142</v>
      </c>
      <c r="BD3815" s="3" t="s">
        <v>68</v>
      </c>
      <c r="BE3815" s="3" t="s">
        <v>36713</v>
      </c>
      <c r="BF3815" s="3" t="s">
        <v>36712</v>
      </c>
      <c r="BG3815" s="3" t="s">
        <v>36714</v>
      </c>
    </row>
    <row r="3816" spans="1:59" ht="57" x14ac:dyDescent="0.45">
      <c r="A3816" s="2" t="s">
        <v>59</v>
      </c>
      <c r="B3816" s="2" t="s">
        <v>60</v>
      </c>
      <c r="C3816" s="2" t="s">
        <v>36715</v>
      </c>
      <c r="D3816" s="2" t="s">
        <v>36716</v>
      </c>
      <c r="E3816" s="2" t="s">
        <v>36717</v>
      </c>
      <c r="G3816" s="3" t="s">
        <v>62</v>
      </c>
      <c r="I3816" s="3" t="s">
        <v>62</v>
      </c>
      <c r="J3816" s="3" t="s">
        <v>62</v>
      </c>
      <c r="K3816" s="3" t="s">
        <v>63</v>
      </c>
      <c r="L3816" s="2" t="s">
        <v>36718</v>
      </c>
      <c r="M3816" s="2" t="s">
        <v>36719</v>
      </c>
      <c r="N3816" s="3" t="s">
        <v>117</v>
      </c>
      <c r="P3816" s="3" t="s">
        <v>65</v>
      </c>
      <c r="R3816" s="3" t="s">
        <v>66</v>
      </c>
      <c r="S3816" s="4">
        <v>21</v>
      </c>
      <c r="T3816" s="4">
        <v>21</v>
      </c>
      <c r="U3816" s="5" t="s">
        <v>9189</v>
      </c>
      <c r="V3816" s="5" t="s">
        <v>9189</v>
      </c>
      <c r="W3816" s="5" t="s">
        <v>67</v>
      </c>
      <c r="X3816" s="5" t="s">
        <v>67</v>
      </c>
      <c r="Y3816" s="4">
        <v>515</v>
      </c>
      <c r="Z3816" s="4">
        <v>28</v>
      </c>
      <c r="AA3816" s="4">
        <v>37</v>
      </c>
      <c r="AB3816" s="4">
        <v>2</v>
      </c>
      <c r="AC3816" s="4">
        <v>6</v>
      </c>
      <c r="AD3816" s="4">
        <v>124</v>
      </c>
      <c r="AE3816" s="4">
        <v>131</v>
      </c>
      <c r="AF3816" s="4">
        <v>1</v>
      </c>
      <c r="AG3816" s="4">
        <v>4</v>
      </c>
      <c r="AH3816" s="4">
        <v>106</v>
      </c>
      <c r="AI3816" s="4">
        <v>107</v>
      </c>
      <c r="AJ3816" s="4">
        <v>18</v>
      </c>
      <c r="AK3816" s="4">
        <v>21</v>
      </c>
      <c r="AL3816" s="4">
        <v>57</v>
      </c>
      <c r="AM3816" s="4">
        <v>57</v>
      </c>
      <c r="AN3816" s="4">
        <v>0</v>
      </c>
      <c r="AO3816" s="4">
        <v>0</v>
      </c>
      <c r="AP3816" s="4">
        <v>25</v>
      </c>
      <c r="AQ3816" s="4">
        <v>31</v>
      </c>
      <c r="AR3816" s="3" t="s">
        <v>62</v>
      </c>
      <c r="AS3816" s="3" t="s">
        <v>62</v>
      </c>
      <c r="AT3816" s="3" t="s">
        <v>62</v>
      </c>
      <c r="AV3816" s="6" t="str">
        <f>HYPERLINK("http://mcgill.on.worldcat.org/oclc/5830590","Catalog Record")</f>
        <v>Catalog Record</v>
      </c>
      <c r="AW3816" s="6" t="str">
        <f>HYPERLINK("http://www.worldcat.org/oclc/5830590","WorldCat Record")</f>
        <v>WorldCat Record</v>
      </c>
      <c r="AX3816" s="3" t="s">
        <v>36720</v>
      </c>
      <c r="AY3816" s="3" t="s">
        <v>36721</v>
      </c>
      <c r="AZ3816" s="3" t="s">
        <v>36722</v>
      </c>
      <c r="BA3816" s="3" t="s">
        <v>36722</v>
      </c>
      <c r="BB3816" s="3" t="s">
        <v>36723</v>
      </c>
      <c r="BC3816" s="3" t="s">
        <v>142</v>
      </c>
      <c r="BD3816" s="3" t="s">
        <v>68</v>
      </c>
      <c r="BE3816" s="3" t="s">
        <v>36724</v>
      </c>
      <c r="BF3816" s="3" t="s">
        <v>36723</v>
      </c>
      <c r="BG3816" s="3" t="s">
        <v>36725</v>
      </c>
    </row>
    <row r="3817" spans="1:59" ht="57" x14ac:dyDescent="0.45">
      <c r="A3817" s="2" t="s">
        <v>59</v>
      </c>
      <c r="B3817" s="2" t="s">
        <v>60</v>
      </c>
      <c r="C3817" s="2" t="s">
        <v>36726</v>
      </c>
      <c r="D3817" s="2" t="s">
        <v>36727</v>
      </c>
      <c r="E3817" s="2" t="s">
        <v>36728</v>
      </c>
      <c r="G3817" s="3" t="s">
        <v>62</v>
      </c>
      <c r="I3817" s="3" t="s">
        <v>62</v>
      </c>
      <c r="J3817" s="3" t="s">
        <v>62</v>
      </c>
      <c r="K3817" s="3" t="s">
        <v>63</v>
      </c>
      <c r="L3817" s="2" t="s">
        <v>36729</v>
      </c>
      <c r="M3817" s="2" t="s">
        <v>36730</v>
      </c>
      <c r="N3817" s="3" t="s">
        <v>1059</v>
      </c>
      <c r="P3817" s="3" t="s">
        <v>65</v>
      </c>
      <c r="R3817" s="3" t="s">
        <v>66</v>
      </c>
      <c r="S3817" s="4">
        <v>5</v>
      </c>
      <c r="T3817" s="4">
        <v>5</v>
      </c>
      <c r="U3817" s="5" t="s">
        <v>13047</v>
      </c>
      <c r="V3817" s="5" t="s">
        <v>13047</v>
      </c>
      <c r="W3817" s="5" t="s">
        <v>67</v>
      </c>
      <c r="X3817" s="5" t="s">
        <v>67</v>
      </c>
      <c r="Y3817" s="4">
        <v>991</v>
      </c>
      <c r="Z3817" s="4">
        <v>45</v>
      </c>
      <c r="AA3817" s="4">
        <v>49</v>
      </c>
      <c r="AB3817" s="4">
        <v>2</v>
      </c>
      <c r="AC3817" s="4">
        <v>6</v>
      </c>
      <c r="AD3817" s="4">
        <v>102</v>
      </c>
      <c r="AE3817" s="4">
        <v>104</v>
      </c>
      <c r="AF3817" s="4">
        <v>1</v>
      </c>
      <c r="AG3817" s="4">
        <v>3</v>
      </c>
      <c r="AH3817" s="4">
        <v>88</v>
      </c>
      <c r="AI3817" s="4">
        <v>89</v>
      </c>
      <c r="AJ3817" s="4">
        <v>16</v>
      </c>
      <c r="AK3817" s="4">
        <v>18</v>
      </c>
      <c r="AL3817" s="4">
        <v>51</v>
      </c>
      <c r="AM3817" s="4">
        <v>51</v>
      </c>
      <c r="AN3817" s="4">
        <v>0</v>
      </c>
      <c r="AO3817" s="4">
        <v>0</v>
      </c>
      <c r="AP3817" s="4">
        <v>23</v>
      </c>
      <c r="AQ3817" s="4">
        <v>25</v>
      </c>
      <c r="AR3817" s="3" t="s">
        <v>62</v>
      </c>
      <c r="AS3817" s="3" t="s">
        <v>62</v>
      </c>
      <c r="AT3817" s="3" t="s">
        <v>62</v>
      </c>
      <c r="AV3817" s="6" t="str">
        <f>HYPERLINK("http://mcgill.on.worldcat.org/oclc/65644726","Catalog Record")</f>
        <v>Catalog Record</v>
      </c>
      <c r="AW3817" s="6" t="str">
        <f>HYPERLINK("http://www.worldcat.org/oclc/65644726","WorldCat Record")</f>
        <v>WorldCat Record</v>
      </c>
      <c r="AX3817" s="3" t="s">
        <v>36731</v>
      </c>
      <c r="AY3817" s="3" t="s">
        <v>36732</v>
      </c>
      <c r="AZ3817" s="3" t="s">
        <v>36733</v>
      </c>
      <c r="BA3817" s="3" t="s">
        <v>36733</v>
      </c>
      <c r="BB3817" s="3" t="s">
        <v>36734</v>
      </c>
      <c r="BC3817" s="3" t="s">
        <v>142</v>
      </c>
      <c r="BD3817" s="3" t="s">
        <v>68</v>
      </c>
      <c r="BE3817" s="3" t="s">
        <v>36735</v>
      </c>
      <c r="BF3817" s="3" t="s">
        <v>36734</v>
      </c>
      <c r="BG3817" s="3" t="s">
        <v>36736</v>
      </c>
    </row>
    <row r="3818" spans="1:59" ht="57" x14ac:dyDescent="0.45">
      <c r="A3818" s="2" t="s">
        <v>59</v>
      </c>
      <c r="B3818" s="2" t="s">
        <v>60</v>
      </c>
      <c r="C3818" s="2" t="s">
        <v>36737</v>
      </c>
      <c r="D3818" s="2" t="s">
        <v>36738</v>
      </c>
      <c r="E3818" s="2" t="s">
        <v>36739</v>
      </c>
      <c r="G3818" s="3" t="s">
        <v>62</v>
      </c>
      <c r="I3818" s="3" t="s">
        <v>62</v>
      </c>
      <c r="J3818" s="3" t="s">
        <v>61</v>
      </c>
      <c r="K3818" s="3" t="s">
        <v>63</v>
      </c>
      <c r="L3818" s="2" t="s">
        <v>36740</v>
      </c>
      <c r="M3818" s="2" t="s">
        <v>11350</v>
      </c>
      <c r="N3818" s="3" t="s">
        <v>970</v>
      </c>
      <c r="P3818" s="3" t="s">
        <v>65</v>
      </c>
      <c r="Q3818" s="2" t="s">
        <v>2941</v>
      </c>
      <c r="R3818" s="3" t="s">
        <v>66</v>
      </c>
      <c r="S3818" s="4">
        <v>8</v>
      </c>
      <c r="T3818" s="4">
        <v>8</v>
      </c>
      <c r="U3818" s="5" t="s">
        <v>18452</v>
      </c>
      <c r="V3818" s="5" t="s">
        <v>18452</v>
      </c>
      <c r="W3818" s="5" t="s">
        <v>67</v>
      </c>
      <c r="X3818" s="5" t="s">
        <v>67</v>
      </c>
      <c r="Y3818" s="4">
        <v>84</v>
      </c>
      <c r="Z3818" s="4">
        <v>12</v>
      </c>
      <c r="AA3818" s="4">
        <v>17</v>
      </c>
      <c r="AB3818" s="4">
        <v>1</v>
      </c>
      <c r="AC3818" s="4">
        <v>4</v>
      </c>
      <c r="AD3818" s="4">
        <v>33</v>
      </c>
      <c r="AE3818" s="4">
        <v>76</v>
      </c>
      <c r="AF3818" s="4">
        <v>0</v>
      </c>
      <c r="AG3818" s="4">
        <v>3</v>
      </c>
      <c r="AH3818" s="4">
        <v>29</v>
      </c>
      <c r="AI3818" s="4">
        <v>68</v>
      </c>
      <c r="AJ3818" s="4">
        <v>8</v>
      </c>
      <c r="AK3818" s="4">
        <v>12</v>
      </c>
      <c r="AL3818" s="4">
        <v>16</v>
      </c>
      <c r="AM3818" s="4">
        <v>42</v>
      </c>
      <c r="AN3818" s="4">
        <v>0</v>
      </c>
      <c r="AO3818" s="4">
        <v>0</v>
      </c>
      <c r="AP3818" s="4">
        <v>9</v>
      </c>
      <c r="AQ3818" s="4">
        <v>14</v>
      </c>
      <c r="AR3818" s="3" t="s">
        <v>62</v>
      </c>
      <c r="AS3818" s="3" t="s">
        <v>62</v>
      </c>
      <c r="AT3818" s="3" t="s">
        <v>62</v>
      </c>
      <c r="AV3818" s="6" t="str">
        <f>HYPERLINK("http://mcgill.on.worldcat.org/oclc/53211402","Catalog Record")</f>
        <v>Catalog Record</v>
      </c>
      <c r="AW3818" s="6" t="str">
        <f>HYPERLINK("http://www.worldcat.org/oclc/53211402","WorldCat Record")</f>
        <v>WorldCat Record</v>
      </c>
      <c r="AX3818" s="3" t="s">
        <v>36741</v>
      </c>
      <c r="AY3818" s="3" t="s">
        <v>36742</v>
      </c>
      <c r="AZ3818" s="3" t="s">
        <v>36743</v>
      </c>
      <c r="BA3818" s="3" t="s">
        <v>36743</v>
      </c>
      <c r="BB3818" s="3" t="s">
        <v>36744</v>
      </c>
      <c r="BC3818" s="3" t="s">
        <v>142</v>
      </c>
      <c r="BD3818" s="3" t="s">
        <v>68</v>
      </c>
      <c r="BE3818" s="3" t="s">
        <v>36745</v>
      </c>
      <c r="BF3818" s="3" t="s">
        <v>36744</v>
      </c>
      <c r="BG3818" s="3" t="s">
        <v>36746</v>
      </c>
    </row>
    <row r="3819" spans="1:59" ht="57" x14ac:dyDescent="0.45">
      <c r="A3819" s="2" t="s">
        <v>59</v>
      </c>
      <c r="B3819" s="2" t="s">
        <v>60</v>
      </c>
      <c r="C3819" s="2" t="s">
        <v>36747</v>
      </c>
      <c r="D3819" s="2" t="s">
        <v>36748</v>
      </c>
      <c r="E3819" s="2" t="s">
        <v>36749</v>
      </c>
      <c r="G3819" s="3" t="s">
        <v>62</v>
      </c>
      <c r="I3819" s="3" t="s">
        <v>62</v>
      </c>
      <c r="J3819" s="3" t="s">
        <v>62</v>
      </c>
      <c r="K3819" s="3" t="s">
        <v>63</v>
      </c>
      <c r="L3819" s="2" t="s">
        <v>36750</v>
      </c>
      <c r="M3819" s="2" t="s">
        <v>36751</v>
      </c>
      <c r="N3819" s="3" t="s">
        <v>1437</v>
      </c>
      <c r="P3819" s="3" t="s">
        <v>65</v>
      </c>
      <c r="Q3819" s="2" t="s">
        <v>36752</v>
      </c>
      <c r="R3819" s="3" t="s">
        <v>66</v>
      </c>
      <c r="S3819" s="4">
        <v>52</v>
      </c>
      <c r="T3819" s="4">
        <v>52</v>
      </c>
      <c r="U3819" s="5" t="s">
        <v>14209</v>
      </c>
      <c r="V3819" s="5" t="s">
        <v>14209</v>
      </c>
      <c r="W3819" s="5" t="s">
        <v>67</v>
      </c>
      <c r="X3819" s="5" t="s">
        <v>67</v>
      </c>
      <c r="Y3819" s="4">
        <v>331</v>
      </c>
      <c r="Z3819" s="4">
        <v>26</v>
      </c>
      <c r="AA3819" s="4">
        <v>95</v>
      </c>
      <c r="AB3819" s="4">
        <v>2</v>
      </c>
      <c r="AC3819" s="4">
        <v>17</v>
      </c>
      <c r="AD3819" s="4">
        <v>112</v>
      </c>
      <c r="AE3819" s="4">
        <v>147</v>
      </c>
      <c r="AF3819" s="4">
        <v>1</v>
      </c>
      <c r="AG3819" s="4">
        <v>8</v>
      </c>
      <c r="AH3819" s="4">
        <v>100</v>
      </c>
      <c r="AI3819" s="4">
        <v>109</v>
      </c>
      <c r="AJ3819" s="4">
        <v>18</v>
      </c>
      <c r="AK3819" s="4">
        <v>27</v>
      </c>
      <c r="AL3819" s="4">
        <v>55</v>
      </c>
      <c r="AM3819" s="4">
        <v>57</v>
      </c>
      <c r="AN3819" s="4">
        <v>0</v>
      </c>
      <c r="AO3819" s="4">
        <v>0</v>
      </c>
      <c r="AP3819" s="4">
        <v>22</v>
      </c>
      <c r="AQ3819" s="4">
        <v>49</v>
      </c>
      <c r="AR3819" s="3" t="s">
        <v>62</v>
      </c>
      <c r="AS3819" s="3" t="s">
        <v>62</v>
      </c>
      <c r="AT3819" s="3" t="s">
        <v>62</v>
      </c>
      <c r="AV3819" s="6" t="str">
        <f>HYPERLINK("http://mcgill.on.worldcat.org/oclc/37890508","Catalog Record")</f>
        <v>Catalog Record</v>
      </c>
      <c r="AW3819" s="6" t="str">
        <f>HYPERLINK("http://www.worldcat.org/oclc/37890508","WorldCat Record")</f>
        <v>WorldCat Record</v>
      </c>
      <c r="AX3819" s="3" t="s">
        <v>36753</v>
      </c>
      <c r="AY3819" s="3" t="s">
        <v>36754</v>
      </c>
      <c r="AZ3819" s="3" t="s">
        <v>36755</v>
      </c>
      <c r="BA3819" s="3" t="s">
        <v>36755</v>
      </c>
      <c r="BB3819" s="3" t="s">
        <v>36756</v>
      </c>
      <c r="BC3819" s="3" t="s">
        <v>142</v>
      </c>
      <c r="BD3819" s="3" t="s">
        <v>68</v>
      </c>
      <c r="BE3819" s="3" t="s">
        <v>36757</v>
      </c>
      <c r="BF3819" s="3" t="s">
        <v>36756</v>
      </c>
      <c r="BG3819" s="3" t="s">
        <v>36758</v>
      </c>
    </row>
    <row r="3820" spans="1:59" ht="57" x14ac:dyDescent="0.45">
      <c r="A3820" s="2" t="s">
        <v>59</v>
      </c>
      <c r="B3820" s="2" t="s">
        <v>60</v>
      </c>
      <c r="C3820" s="2" t="s">
        <v>36759</v>
      </c>
      <c r="D3820" s="2" t="s">
        <v>36760</v>
      </c>
      <c r="E3820" s="2" t="s">
        <v>36761</v>
      </c>
      <c r="G3820" s="3" t="s">
        <v>62</v>
      </c>
      <c r="I3820" s="3" t="s">
        <v>62</v>
      </c>
      <c r="J3820" s="3" t="s">
        <v>62</v>
      </c>
      <c r="K3820" s="3" t="s">
        <v>63</v>
      </c>
      <c r="L3820" s="2" t="s">
        <v>36762</v>
      </c>
      <c r="M3820" s="2" t="s">
        <v>36763</v>
      </c>
      <c r="N3820" s="3" t="s">
        <v>820</v>
      </c>
      <c r="P3820" s="3" t="s">
        <v>65</v>
      </c>
      <c r="R3820" s="3" t="s">
        <v>66</v>
      </c>
      <c r="S3820" s="4">
        <v>3</v>
      </c>
      <c r="T3820" s="4">
        <v>3</v>
      </c>
      <c r="U3820" s="5" t="s">
        <v>1963</v>
      </c>
      <c r="V3820" s="5" t="s">
        <v>1963</v>
      </c>
      <c r="W3820" s="5" t="s">
        <v>67</v>
      </c>
      <c r="X3820" s="5" t="s">
        <v>67</v>
      </c>
      <c r="Y3820" s="4">
        <v>183</v>
      </c>
      <c r="Z3820" s="4">
        <v>20</v>
      </c>
      <c r="AA3820" s="4">
        <v>47</v>
      </c>
      <c r="AB3820" s="4">
        <v>2</v>
      </c>
      <c r="AC3820" s="4">
        <v>7</v>
      </c>
      <c r="AD3820" s="4">
        <v>71</v>
      </c>
      <c r="AE3820" s="4">
        <v>82</v>
      </c>
      <c r="AF3820" s="4">
        <v>1</v>
      </c>
      <c r="AG3820" s="4">
        <v>2</v>
      </c>
      <c r="AH3820" s="4">
        <v>62</v>
      </c>
      <c r="AI3820" s="4">
        <v>66</v>
      </c>
      <c r="AJ3820" s="4">
        <v>15</v>
      </c>
      <c r="AK3820" s="4">
        <v>16</v>
      </c>
      <c r="AL3820" s="4">
        <v>30</v>
      </c>
      <c r="AM3820" s="4">
        <v>32</v>
      </c>
      <c r="AN3820" s="4">
        <v>0</v>
      </c>
      <c r="AO3820" s="4">
        <v>0</v>
      </c>
      <c r="AP3820" s="4">
        <v>17</v>
      </c>
      <c r="AQ3820" s="4">
        <v>25</v>
      </c>
      <c r="AR3820" s="3" t="s">
        <v>62</v>
      </c>
      <c r="AS3820" s="3" t="s">
        <v>62</v>
      </c>
      <c r="AT3820" s="3" t="s">
        <v>62</v>
      </c>
      <c r="AV3820" s="6" t="str">
        <f>HYPERLINK("http://mcgill.on.worldcat.org/oclc/226357770","Catalog Record")</f>
        <v>Catalog Record</v>
      </c>
      <c r="AW3820" s="6" t="str">
        <f>HYPERLINK("http://www.worldcat.org/oclc/226357770","WorldCat Record")</f>
        <v>WorldCat Record</v>
      </c>
      <c r="AX3820" s="3" t="s">
        <v>36764</v>
      </c>
      <c r="AY3820" s="3" t="s">
        <v>36765</v>
      </c>
      <c r="AZ3820" s="3" t="s">
        <v>36766</v>
      </c>
      <c r="BA3820" s="3" t="s">
        <v>36766</v>
      </c>
      <c r="BB3820" s="3" t="s">
        <v>36767</v>
      </c>
      <c r="BC3820" s="3" t="s">
        <v>142</v>
      </c>
      <c r="BD3820" s="3" t="s">
        <v>68</v>
      </c>
      <c r="BE3820" s="3" t="s">
        <v>36768</v>
      </c>
      <c r="BF3820" s="3" t="s">
        <v>36767</v>
      </c>
      <c r="BG3820" s="3" t="s">
        <v>36769</v>
      </c>
    </row>
    <row r="3821" spans="1:59" ht="57" x14ac:dyDescent="0.45">
      <c r="A3821" s="2" t="s">
        <v>59</v>
      </c>
      <c r="B3821" s="2" t="s">
        <v>60</v>
      </c>
      <c r="C3821" s="2" t="s">
        <v>36770</v>
      </c>
      <c r="D3821" s="2" t="s">
        <v>36771</v>
      </c>
      <c r="E3821" s="2" t="s">
        <v>36772</v>
      </c>
      <c r="G3821" s="3" t="s">
        <v>62</v>
      </c>
      <c r="I3821" s="3" t="s">
        <v>62</v>
      </c>
      <c r="J3821" s="3" t="s">
        <v>62</v>
      </c>
      <c r="K3821" s="3" t="s">
        <v>63</v>
      </c>
      <c r="L3821" s="2" t="s">
        <v>36773</v>
      </c>
      <c r="M3821" s="2" t="s">
        <v>3996</v>
      </c>
      <c r="N3821" s="3" t="s">
        <v>1059</v>
      </c>
      <c r="P3821" s="3" t="s">
        <v>65</v>
      </c>
      <c r="Q3821" s="2" t="s">
        <v>29735</v>
      </c>
      <c r="R3821" s="3" t="s">
        <v>66</v>
      </c>
      <c r="S3821" s="4">
        <v>7</v>
      </c>
      <c r="T3821" s="4">
        <v>7</v>
      </c>
      <c r="U3821" s="5" t="s">
        <v>14209</v>
      </c>
      <c r="V3821" s="5" t="s">
        <v>14209</v>
      </c>
      <c r="W3821" s="5" t="s">
        <v>67</v>
      </c>
      <c r="X3821" s="5" t="s">
        <v>67</v>
      </c>
      <c r="Y3821" s="4">
        <v>292</v>
      </c>
      <c r="Z3821" s="4">
        <v>27</v>
      </c>
      <c r="AA3821" s="4">
        <v>83</v>
      </c>
      <c r="AB3821" s="4">
        <v>2</v>
      </c>
      <c r="AC3821" s="4">
        <v>15</v>
      </c>
      <c r="AD3821" s="4">
        <v>70</v>
      </c>
      <c r="AE3821" s="4">
        <v>112</v>
      </c>
      <c r="AF3821" s="4">
        <v>1</v>
      </c>
      <c r="AG3821" s="4">
        <v>8</v>
      </c>
      <c r="AH3821" s="4">
        <v>58</v>
      </c>
      <c r="AI3821" s="4">
        <v>76</v>
      </c>
      <c r="AJ3821" s="4">
        <v>15</v>
      </c>
      <c r="AK3821" s="4">
        <v>23</v>
      </c>
      <c r="AL3821" s="4">
        <v>34</v>
      </c>
      <c r="AM3821" s="4">
        <v>42</v>
      </c>
      <c r="AN3821" s="4">
        <v>0</v>
      </c>
      <c r="AO3821" s="4">
        <v>0</v>
      </c>
      <c r="AP3821" s="4">
        <v>20</v>
      </c>
      <c r="AQ3821" s="4">
        <v>43</v>
      </c>
      <c r="AR3821" s="3" t="s">
        <v>62</v>
      </c>
      <c r="AS3821" s="3" t="s">
        <v>62</v>
      </c>
      <c r="AT3821" s="3" t="s">
        <v>62</v>
      </c>
      <c r="AV3821" s="6" t="str">
        <f>HYPERLINK("http://mcgill.on.worldcat.org/oclc/60794222","Catalog Record")</f>
        <v>Catalog Record</v>
      </c>
      <c r="AW3821" s="6" t="str">
        <f>HYPERLINK("http://www.worldcat.org/oclc/60794222","WorldCat Record")</f>
        <v>WorldCat Record</v>
      </c>
      <c r="AX3821" s="3" t="s">
        <v>36774</v>
      </c>
      <c r="AY3821" s="3" t="s">
        <v>36775</v>
      </c>
      <c r="AZ3821" s="3" t="s">
        <v>36776</v>
      </c>
      <c r="BA3821" s="3" t="s">
        <v>36776</v>
      </c>
      <c r="BB3821" s="3" t="s">
        <v>36777</v>
      </c>
      <c r="BC3821" s="3" t="s">
        <v>142</v>
      </c>
      <c r="BD3821" s="3" t="s">
        <v>68</v>
      </c>
      <c r="BE3821" s="3" t="s">
        <v>36778</v>
      </c>
      <c r="BF3821" s="3" t="s">
        <v>36777</v>
      </c>
      <c r="BG3821" s="3" t="s">
        <v>36779</v>
      </c>
    </row>
    <row r="3822" spans="1:59" ht="57" x14ac:dyDescent="0.45">
      <c r="A3822" s="2" t="s">
        <v>59</v>
      </c>
      <c r="B3822" s="2" t="s">
        <v>60</v>
      </c>
      <c r="C3822" s="2" t="s">
        <v>36780</v>
      </c>
      <c r="D3822" s="2" t="s">
        <v>36781</v>
      </c>
      <c r="E3822" s="2" t="s">
        <v>36782</v>
      </c>
      <c r="G3822" s="3" t="s">
        <v>62</v>
      </c>
      <c r="I3822" s="3" t="s">
        <v>62</v>
      </c>
      <c r="J3822" s="3" t="s">
        <v>62</v>
      </c>
      <c r="K3822" s="3" t="s">
        <v>63</v>
      </c>
      <c r="M3822" s="2" t="s">
        <v>36783</v>
      </c>
      <c r="N3822" s="3" t="s">
        <v>1155</v>
      </c>
      <c r="P3822" s="3" t="s">
        <v>65</v>
      </c>
      <c r="R3822" s="3" t="s">
        <v>66</v>
      </c>
      <c r="S3822" s="4">
        <v>4</v>
      </c>
      <c r="T3822" s="4">
        <v>4</v>
      </c>
      <c r="U3822" s="5" t="s">
        <v>28895</v>
      </c>
      <c r="V3822" s="5" t="s">
        <v>28895</v>
      </c>
      <c r="W3822" s="5" t="s">
        <v>67</v>
      </c>
      <c r="X3822" s="5" t="s">
        <v>67</v>
      </c>
      <c r="Y3822" s="4">
        <v>151</v>
      </c>
      <c r="Z3822" s="4">
        <v>21</v>
      </c>
      <c r="AA3822" s="4">
        <v>55</v>
      </c>
      <c r="AB3822" s="4">
        <v>1</v>
      </c>
      <c r="AC3822" s="4">
        <v>4</v>
      </c>
      <c r="AD3822" s="4">
        <v>60</v>
      </c>
      <c r="AE3822" s="4">
        <v>86</v>
      </c>
      <c r="AF3822" s="4">
        <v>0</v>
      </c>
      <c r="AG3822" s="4">
        <v>1</v>
      </c>
      <c r="AH3822" s="4">
        <v>52</v>
      </c>
      <c r="AI3822" s="4">
        <v>67</v>
      </c>
      <c r="AJ3822" s="4">
        <v>10</v>
      </c>
      <c r="AK3822" s="4">
        <v>17</v>
      </c>
      <c r="AL3822" s="4">
        <v>31</v>
      </c>
      <c r="AM3822" s="4">
        <v>38</v>
      </c>
      <c r="AN3822" s="4">
        <v>0</v>
      </c>
      <c r="AO3822" s="4">
        <v>0</v>
      </c>
      <c r="AP3822" s="4">
        <v>14</v>
      </c>
      <c r="AQ3822" s="4">
        <v>26</v>
      </c>
      <c r="AR3822" s="3" t="s">
        <v>62</v>
      </c>
      <c r="AS3822" s="3" t="s">
        <v>62</v>
      </c>
      <c r="AT3822" s="3" t="s">
        <v>62</v>
      </c>
      <c r="AV3822" s="6" t="str">
        <f>HYPERLINK("http://mcgill.on.worldcat.org/oclc/779863525","Catalog Record")</f>
        <v>Catalog Record</v>
      </c>
      <c r="AW3822" s="6" t="str">
        <f>HYPERLINK("http://www.worldcat.org/oclc/779863525","WorldCat Record")</f>
        <v>WorldCat Record</v>
      </c>
      <c r="AX3822" s="3" t="s">
        <v>36784</v>
      </c>
      <c r="AY3822" s="3" t="s">
        <v>36785</v>
      </c>
      <c r="AZ3822" s="3" t="s">
        <v>36786</v>
      </c>
      <c r="BA3822" s="3" t="s">
        <v>36786</v>
      </c>
      <c r="BB3822" s="3" t="s">
        <v>36787</v>
      </c>
      <c r="BC3822" s="3" t="s">
        <v>142</v>
      </c>
      <c r="BD3822" s="3" t="s">
        <v>68</v>
      </c>
      <c r="BE3822" s="3" t="s">
        <v>36788</v>
      </c>
      <c r="BF3822" s="3" t="s">
        <v>36787</v>
      </c>
      <c r="BG3822" s="3" t="s">
        <v>36789</v>
      </c>
    </row>
    <row r="3823" spans="1:59" ht="57" x14ac:dyDescent="0.45">
      <c r="A3823" s="2" t="s">
        <v>59</v>
      </c>
      <c r="B3823" s="2" t="s">
        <v>60</v>
      </c>
      <c r="C3823" s="2" t="s">
        <v>36790</v>
      </c>
      <c r="D3823" s="2" t="s">
        <v>36791</v>
      </c>
      <c r="E3823" s="2" t="s">
        <v>36792</v>
      </c>
      <c r="G3823" s="3" t="s">
        <v>62</v>
      </c>
      <c r="I3823" s="3" t="s">
        <v>62</v>
      </c>
      <c r="J3823" s="3" t="s">
        <v>62</v>
      </c>
      <c r="K3823" s="3" t="s">
        <v>63</v>
      </c>
      <c r="M3823" s="2" t="s">
        <v>6067</v>
      </c>
      <c r="N3823" s="3" t="s">
        <v>894</v>
      </c>
      <c r="P3823" s="3" t="s">
        <v>65</v>
      </c>
      <c r="Q3823" s="2" t="s">
        <v>7948</v>
      </c>
      <c r="R3823" s="3" t="s">
        <v>66</v>
      </c>
      <c r="S3823" s="4">
        <v>3</v>
      </c>
      <c r="T3823" s="4">
        <v>3</v>
      </c>
      <c r="U3823" s="5" t="s">
        <v>23996</v>
      </c>
      <c r="V3823" s="5" t="s">
        <v>23996</v>
      </c>
      <c r="W3823" s="5" t="s">
        <v>67</v>
      </c>
      <c r="X3823" s="5" t="s">
        <v>67</v>
      </c>
      <c r="Y3823" s="4">
        <v>106</v>
      </c>
      <c r="Z3823" s="4">
        <v>16</v>
      </c>
      <c r="AA3823" s="4">
        <v>82</v>
      </c>
      <c r="AB3823" s="4">
        <v>2</v>
      </c>
      <c r="AC3823" s="4">
        <v>14</v>
      </c>
      <c r="AD3823" s="4">
        <v>47</v>
      </c>
      <c r="AE3823" s="4">
        <v>114</v>
      </c>
      <c r="AF3823" s="4">
        <v>1</v>
      </c>
      <c r="AG3823" s="4">
        <v>8</v>
      </c>
      <c r="AH3823" s="4">
        <v>42</v>
      </c>
      <c r="AI3823" s="4">
        <v>79</v>
      </c>
      <c r="AJ3823" s="4">
        <v>13</v>
      </c>
      <c r="AK3823" s="4">
        <v>25</v>
      </c>
      <c r="AL3823" s="4">
        <v>24</v>
      </c>
      <c r="AM3823" s="4">
        <v>41</v>
      </c>
      <c r="AN3823" s="4">
        <v>0</v>
      </c>
      <c r="AO3823" s="4">
        <v>0</v>
      </c>
      <c r="AP3823" s="4">
        <v>14</v>
      </c>
      <c r="AQ3823" s="4">
        <v>45</v>
      </c>
      <c r="AR3823" s="3" t="s">
        <v>62</v>
      </c>
      <c r="AS3823" s="3" t="s">
        <v>62</v>
      </c>
      <c r="AT3823" s="3" t="s">
        <v>62</v>
      </c>
      <c r="AV3823" s="6" t="str">
        <f>HYPERLINK("http://mcgill.on.worldcat.org/oclc/704895985","Catalog Record")</f>
        <v>Catalog Record</v>
      </c>
      <c r="AW3823" s="6" t="str">
        <f>HYPERLINK("http://www.worldcat.org/oclc/704895985","WorldCat Record")</f>
        <v>WorldCat Record</v>
      </c>
      <c r="AX3823" s="3" t="s">
        <v>36793</v>
      </c>
      <c r="AY3823" s="3" t="s">
        <v>36794</v>
      </c>
      <c r="AZ3823" s="3" t="s">
        <v>36795</v>
      </c>
      <c r="BA3823" s="3" t="s">
        <v>36795</v>
      </c>
      <c r="BB3823" s="3" t="s">
        <v>36796</v>
      </c>
      <c r="BC3823" s="3" t="s">
        <v>142</v>
      </c>
      <c r="BD3823" s="3" t="s">
        <v>68</v>
      </c>
      <c r="BE3823" s="3" t="s">
        <v>36797</v>
      </c>
      <c r="BF3823" s="3" t="s">
        <v>36796</v>
      </c>
      <c r="BG3823" s="3" t="s">
        <v>36798</v>
      </c>
    </row>
    <row r="3824" spans="1:59" ht="57" x14ac:dyDescent="0.45">
      <c r="A3824" s="2" t="s">
        <v>59</v>
      </c>
      <c r="B3824" s="2" t="s">
        <v>60</v>
      </c>
      <c r="C3824" s="2" t="s">
        <v>36799</v>
      </c>
      <c r="D3824" s="2" t="s">
        <v>36800</v>
      </c>
      <c r="E3824" s="2" t="s">
        <v>36801</v>
      </c>
      <c r="G3824" s="3" t="s">
        <v>62</v>
      </c>
      <c r="I3824" s="3" t="s">
        <v>61</v>
      </c>
      <c r="J3824" s="3" t="s">
        <v>62</v>
      </c>
      <c r="K3824" s="3" t="s">
        <v>63</v>
      </c>
      <c r="M3824" s="2" t="s">
        <v>8597</v>
      </c>
      <c r="N3824" s="3" t="s">
        <v>958</v>
      </c>
      <c r="P3824" s="3" t="s">
        <v>65</v>
      </c>
      <c r="Q3824" s="2" t="s">
        <v>9613</v>
      </c>
      <c r="R3824" s="3" t="s">
        <v>66</v>
      </c>
      <c r="S3824" s="4">
        <v>36</v>
      </c>
      <c r="T3824" s="4">
        <v>85</v>
      </c>
      <c r="U3824" s="5" t="s">
        <v>36802</v>
      </c>
      <c r="V3824" s="5" t="s">
        <v>36802</v>
      </c>
      <c r="W3824" s="5" t="s">
        <v>67</v>
      </c>
      <c r="X3824" s="5" t="s">
        <v>67</v>
      </c>
      <c r="Y3824" s="4">
        <v>307</v>
      </c>
      <c r="Z3824" s="4">
        <v>17</v>
      </c>
      <c r="AA3824" s="4">
        <v>97</v>
      </c>
      <c r="AB3824" s="4">
        <v>1</v>
      </c>
      <c r="AC3824" s="4">
        <v>17</v>
      </c>
      <c r="AD3824" s="4">
        <v>77</v>
      </c>
      <c r="AE3824" s="4">
        <v>128</v>
      </c>
      <c r="AF3824" s="4">
        <v>0</v>
      </c>
      <c r="AG3824" s="4">
        <v>8</v>
      </c>
      <c r="AH3824" s="4">
        <v>68</v>
      </c>
      <c r="AI3824" s="4">
        <v>91</v>
      </c>
      <c r="AJ3824" s="4">
        <v>12</v>
      </c>
      <c r="AK3824" s="4">
        <v>23</v>
      </c>
      <c r="AL3824" s="4">
        <v>41</v>
      </c>
      <c r="AM3824" s="4">
        <v>48</v>
      </c>
      <c r="AN3824" s="4">
        <v>0</v>
      </c>
      <c r="AO3824" s="4">
        <v>0</v>
      </c>
      <c r="AP3824" s="4">
        <v>13</v>
      </c>
      <c r="AQ3824" s="4">
        <v>45</v>
      </c>
      <c r="AR3824" s="3" t="s">
        <v>62</v>
      </c>
      <c r="AS3824" s="3" t="s">
        <v>62</v>
      </c>
      <c r="AT3824" s="3" t="s">
        <v>61</v>
      </c>
      <c r="AU3824" s="6" t="str">
        <f>HYPERLINK("http://catalog.hathitrust.org/Record/003041638","HathiTrust Record")</f>
        <v>HathiTrust Record</v>
      </c>
      <c r="AV3824" s="6" t="str">
        <f>HYPERLINK("http://mcgill.on.worldcat.org/oclc/32745444","Catalog Record")</f>
        <v>Catalog Record</v>
      </c>
      <c r="AW3824" s="6" t="str">
        <f>HYPERLINK("http://www.worldcat.org/oclc/32745444","WorldCat Record")</f>
        <v>WorldCat Record</v>
      </c>
      <c r="AX3824" s="3" t="s">
        <v>36803</v>
      </c>
      <c r="AY3824" s="3" t="s">
        <v>36804</v>
      </c>
      <c r="AZ3824" s="3" t="s">
        <v>36805</v>
      </c>
      <c r="BA3824" s="3" t="s">
        <v>36805</v>
      </c>
      <c r="BB3824" s="3" t="s">
        <v>36806</v>
      </c>
      <c r="BC3824" s="3" t="s">
        <v>142</v>
      </c>
      <c r="BD3824" s="3" t="s">
        <v>68</v>
      </c>
      <c r="BE3824" s="3" t="s">
        <v>36807</v>
      </c>
      <c r="BF3824" s="3" t="s">
        <v>36806</v>
      </c>
      <c r="BG3824" s="3" t="s">
        <v>36808</v>
      </c>
    </row>
    <row r="3825" spans="1:59" ht="57" x14ac:dyDescent="0.45">
      <c r="A3825" s="2" t="s">
        <v>59</v>
      </c>
      <c r="B3825" s="2" t="s">
        <v>60</v>
      </c>
      <c r="C3825" s="2" t="s">
        <v>36799</v>
      </c>
      <c r="D3825" s="2" t="s">
        <v>36800</v>
      </c>
      <c r="E3825" s="2" t="s">
        <v>36801</v>
      </c>
      <c r="G3825" s="3" t="s">
        <v>62</v>
      </c>
      <c r="I3825" s="3" t="s">
        <v>61</v>
      </c>
      <c r="J3825" s="3" t="s">
        <v>62</v>
      </c>
      <c r="K3825" s="3" t="s">
        <v>63</v>
      </c>
      <c r="M3825" s="2" t="s">
        <v>8597</v>
      </c>
      <c r="N3825" s="3" t="s">
        <v>958</v>
      </c>
      <c r="P3825" s="3" t="s">
        <v>65</v>
      </c>
      <c r="Q3825" s="2" t="s">
        <v>9613</v>
      </c>
      <c r="R3825" s="3" t="s">
        <v>66</v>
      </c>
      <c r="S3825" s="4">
        <v>49</v>
      </c>
      <c r="T3825" s="4">
        <v>85</v>
      </c>
      <c r="U3825" s="5" t="s">
        <v>36809</v>
      </c>
      <c r="V3825" s="5" t="s">
        <v>36802</v>
      </c>
      <c r="W3825" s="5" t="s">
        <v>67</v>
      </c>
      <c r="X3825" s="5" t="s">
        <v>67</v>
      </c>
      <c r="Y3825" s="4">
        <v>307</v>
      </c>
      <c r="Z3825" s="4">
        <v>17</v>
      </c>
      <c r="AA3825" s="4">
        <v>97</v>
      </c>
      <c r="AB3825" s="4">
        <v>1</v>
      </c>
      <c r="AC3825" s="4">
        <v>17</v>
      </c>
      <c r="AD3825" s="4">
        <v>77</v>
      </c>
      <c r="AE3825" s="4">
        <v>128</v>
      </c>
      <c r="AF3825" s="4">
        <v>0</v>
      </c>
      <c r="AG3825" s="4">
        <v>8</v>
      </c>
      <c r="AH3825" s="4">
        <v>68</v>
      </c>
      <c r="AI3825" s="4">
        <v>91</v>
      </c>
      <c r="AJ3825" s="4">
        <v>12</v>
      </c>
      <c r="AK3825" s="4">
        <v>23</v>
      </c>
      <c r="AL3825" s="4">
        <v>41</v>
      </c>
      <c r="AM3825" s="4">
        <v>48</v>
      </c>
      <c r="AN3825" s="4">
        <v>0</v>
      </c>
      <c r="AO3825" s="4">
        <v>0</v>
      </c>
      <c r="AP3825" s="4">
        <v>13</v>
      </c>
      <c r="AQ3825" s="4">
        <v>45</v>
      </c>
      <c r="AR3825" s="3" t="s">
        <v>62</v>
      </c>
      <c r="AS3825" s="3" t="s">
        <v>62</v>
      </c>
      <c r="AT3825" s="3" t="s">
        <v>61</v>
      </c>
      <c r="AU3825" s="6" t="str">
        <f>HYPERLINK("http://catalog.hathitrust.org/Record/003041638","HathiTrust Record")</f>
        <v>HathiTrust Record</v>
      </c>
      <c r="AV3825" s="6" t="str">
        <f>HYPERLINK("http://mcgill.on.worldcat.org/oclc/32745444","Catalog Record")</f>
        <v>Catalog Record</v>
      </c>
      <c r="AW3825" s="6" t="str">
        <f>HYPERLINK("http://www.worldcat.org/oclc/32745444","WorldCat Record")</f>
        <v>WorldCat Record</v>
      </c>
      <c r="AX3825" s="3" t="s">
        <v>36803</v>
      </c>
      <c r="AY3825" s="3" t="s">
        <v>36804</v>
      </c>
      <c r="AZ3825" s="3" t="s">
        <v>36805</v>
      </c>
      <c r="BA3825" s="3" t="s">
        <v>36805</v>
      </c>
      <c r="BB3825" s="3" t="s">
        <v>36810</v>
      </c>
      <c r="BC3825" s="3" t="s">
        <v>142</v>
      </c>
      <c r="BD3825" s="3" t="s">
        <v>68</v>
      </c>
      <c r="BE3825" s="3" t="s">
        <v>36807</v>
      </c>
      <c r="BF3825" s="3" t="s">
        <v>36810</v>
      </c>
      <c r="BG3825" s="3" t="s">
        <v>36811</v>
      </c>
    </row>
    <row r="3826" spans="1:59" ht="57" x14ac:dyDescent="0.45">
      <c r="A3826" s="2" t="s">
        <v>59</v>
      </c>
      <c r="B3826" s="2" t="s">
        <v>60</v>
      </c>
      <c r="C3826" s="2" t="s">
        <v>36812</v>
      </c>
      <c r="D3826" s="2" t="s">
        <v>36813</v>
      </c>
      <c r="E3826" s="2" t="s">
        <v>36814</v>
      </c>
      <c r="F3826" s="3" t="s">
        <v>87</v>
      </c>
      <c r="G3826" s="3" t="s">
        <v>61</v>
      </c>
      <c r="I3826" s="3" t="s">
        <v>62</v>
      </c>
      <c r="J3826" s="3" t="s">
        <v>62</v>
      </c>
      <c r="K3826" s="3" t="s">
        <v>63</v>
      </c>
      <c r="M3826" s="2" t="s">
        <v>33006</v>
      </c>
      <c r="N3826" s="3" t="s">
        <v>894</v>
      </c>
      <c r="P3826" s="3" t="s">
        <v>65</v>
      </c>
      <c r="Q3826" s="2" t="s">
        <v>36815</v>
      </c>
      <c r="R3826" s="3" t="s">
        <v>66</v>
      </c>
      <c r="S3826" s="4">
        <v>1</v>
      </c>
      <c r="T3826" s="4">
        <v>2</v>
      </c>
      <c r="U3826" s="5" t="s">
        <v>31495</v>
      </c>
      <c r="V3826" s="5" t="s">
        <v>31495</v>
      </c>
      <c r="W3826" s="5" t="s">
        <v>67</v>
      </c>
      <c r="X3826" s="5" t="s">
        <v>67</v>
      </c>
      <c r="Y3826" s="4">
        <v>30</v>
      </c>
      <c r="Z3826" s="4">
        <v>7</v>
      </c>
      <c r="AA3826" s="4">
        <v>7</v>
      </c>
      <c r="AB3826" s="4">
        <v>1</v>
      </c>
      <c r="AC3826" s="4">
        <v>1</v>
      </c>
      <c r="AD3826" s="4">
        <v>16</v>
      </c>
      <c r="AE3826" s="4">
        <v>16</v>
      </c>
      <c r="AF3826" s="4">
        <v>0</v>
      </c>
      <c r="AG3826" s="4">
        <v>0</v>
      </c>
      <c r="AH3826" s="4">
        <v>13</v>
      </c>
      <c r="AI3826" s="4">
        <v>13</v>
      </c>
      <c r="AJ3826" s="4">
        <v>5</v>
      </c>
      <c r="AK3826" s="4">
        <v>5</v>
      </c>
      <c r="AL3826" s="4">
        <v>9</v>
      </c>
      <c r="AM3826" s="4">
        <v>9</v>
      </c>
      <c r="AN3826" s="4">
        <v>0</v>
      </c>
      <c r="AO3826" s="4">
        <v>0</v>
      </c>
      <c r="AP3826" s="4">
        <v>5</v>
      </c>
      <c r="AQ3826" s="4">
        <v>5</v>
      </c>
      <c r="AR3826" s="3" t="s">
        <v>62</v>
      </c>
      <c r="AS3826" s="3" t="s">
        <v>62</v>
      </c>
      <c r="AT3826" s="3" t="s">
        <v>62</v>
      </c>
      <c r="AV3826" s="6" t="str">
        <f>HYPERLINK("http://mcgill.on.worldcat.org/oclc/740616942","Catalog Record")</f>
        <v>Catalog Record</v>
      </c>
      <c r="AW3826" s="6" t="str">
        <f>HYPERLINK("http://www.worldcat.org/oclc/740616942","WorldCat Record")</f>
        <v>WorldCat Record</v>
      </c>
      <c r="AX3826" s="3" t="s">
        <v>36816</v>
      </c>
      <c r="AY3826" s="3" t="s">
        <v>36817</v>
      </c>
      <c r="AZ3826" s="3" t="s">
        <v>36818</v>
      </c>
      <c r="BA3826" s="3" t="s">
        <v>36818</v>
      </c>
      <c r="BB3826" s="3" t="s">
        <v>36819</v>
      </c>
      <c r="BC3826" s="3" t="s">
        <v>142</v>
      </c>
      <c r="BD3826" s="3" t="s">
        <v>68</v>
      </c>
      <c r="BE3826" s="3" t="s">
        <v>36820</v>
      </c>
      <c r="BF3826" s="3" t="s">
        <v>36819</v>
      </c>
      <c r="BG3826" s="3" t="s">
        <v>36821</v>
      </c>
    </row>
    <row r="3827" spans="1:59" ht="57" x14ac:dyDescent="0.45">
      <c r="A3827" s="2" t="s">
        <v>59</v>
      </c>
      <c r="B3827" s="2" t="s">
        <v>60</v>
      </c>
      <c r="C3827" s="2" t="s">
        <v>36812</v>
      </c>
      <c r="D3827" s="2" t="s">
        <v>36813</v>
      </c>
      <c r="E3827" s="2" t="s">
        <v>36814</v>
      </c>
      <c r="F3827" s="3" t="s">
        <v>90</v>
      </c>
      <c r="G3827" s="3" t="s">
        <v>61</v>
      </c>
      <c r="I3827" s="3" t="s">
        <v>62</v>
      </c>
      <c r="J3827" s="3" t="s">
        <v>62</v>
      </c>
      <c r="K3827" s="3" t="s">
        <v>63</v>
      </c>
      <c r="M3827" s="2" t="s">
        <v>33006</v>
      </c>
      <c r="N3827" s="3" t="s">
        <v>894</v>
      </c>
      <c r="P3827" s="3" t="s">
        <v>65</v>
      </c>
      <c r="Q3827" s="2" t="s">
        <v>36815</v>
      </c>
      <c r="R3827" s="3" t="s">
        <v>66</v>
      </c>
      <c r="S3827" s="4">
        <v>1</v>
      </c>
      <c r="T3827" s="4">
        <v>2</v>
      </c>
      <c r="U3827" s="5" t="s">
        <v>31495</v>
      </c>
      <c r="V3827" s="5" t="s">
        <v>31495</v>
      </c>
      <c r="W3827" s="5" t="s">
        <v>67</v>
      </c>
      <c r="X3827" s="5" t="s">
        <v>67</v>
      </c>
      <c r="Y3827" s="4">
        <v>30</v>
      </c>
      <c r="Z3827" s="4">
        <v>7</v>
      </c>
      <c r="AA3827" s="4">
        <v>7</v>
      </c>
      <c r="AB3827" s="4">
        <v>1</v>
      </c>
      <c r="AC3827" s="4">
        <v>1</v>
      </c>
      <c r="AD3827" s="4">
        <v>16</v>
      </c>
      <c r="AE3827" s="4">
        <v>16</v>
      </c>
      <c r="AF3827" s="4">
        <v>0</v>
      </c>
      <c r="AG3827" s="4">
        <v>0</v>
      </c>
      <c r="AH3827" s="4">
        <v>13</v>
      </c>
      <c r="AI3827" s="4">
        <v>13</v>
      </c>
      <c r="AJ3827" s="4">
        <v>5</v>
      </c>
      <c r="AK3827" s="4">
        <v>5</v>
      </c>
      <c r="AL3827" s="4">
        <v>9</v>
      </c>
      <c r="AM3827" s="4">
        <v>9</v>
      </c>
      <c r="AN3827" s="4">
        <v>0</v>
      </c>
      <c r="AO3827" s="4">
        <v>0</v>
      </c>
      <c r="AP3827" s="4">
        <v>5</v>
      </c>
      <c r="AQ3827" s="4">
        <v>5</v>
      </c>
      <c r="AR3827" s="3" t="s">
        <v>62</v>
      </c>
      <c r="AS3827" s="3" t="s">
        <v>62</v>
      </c>
      <c r="AT3827" s="3" t="s">
        <v>62</v>
      </c>
      <c r="AV3827" s="6" t="str">
        <f>HYPERLINK("http://mcgill.on.worldcat.org/oclc/740616942","Catalog Record")</f>
        <v>Catalog Record</v>
      </c>
      <c r="AW3827" s="6" t="str">
        <f>HYPERLINK("http://www.worldcat.org/oclc/740616942","WorldCat Record")</f>
        <v>WorldCat Record</v>
      </c>
      <c r="AX3827" s="3" t="s">
        <v>36816</v>
      </c>
      <c r="AY3827" s="3" t="s">
        <v>36817</v>
      </c>
      <c r="AZ3827" s="3" t="s">
        <v>36818</v>
      </c>
      <c r="BA3827" s="3" t="s">
        <v>36818</v>
      </c>
      <c r="BB3827" s="3" t="s">
        <v>36822</v>
      </c>
      <c r="BC3827" s="3" t="s">
        <v>142</v>
      </c>
      <c r="BD3827" s="3" t="s">
        <v>68</v>
      </c>
      <c r="BE3827" s="3" t="s">
        <v>36820</v>
      </c>
      <c r="BF3827" s="3" t="s">
        <v>36822</v>
      </c>
      <c r="BG3827" s="3" t="s">
        <v>36823</v>
      </c>
    </row>
    <row r="3828" spans="1:59" ht="57" x14ac:dyDescent="0.45">
      <c r="A3828" s="2" t="s">
        <v>59</v>
      </c>
      <c r="B3828" s="2" t="s">
        <v>60</v>
      </c>
      <c r="C3828" s="2" t="s">
        <v>36824</v>
      </c>
      <c r="D3828" s="2" t="s">
        <v>36825</v>
      </c>
      <c r="E3828" s="2" t="s">
        <v>36826</v>
      </c>
      <c r="G3828" s="3" t="s">
        <v>62</v>
      </c>
      <c r="I3828" s="3" t="s">
        <v>61</v>
      </c>
      <c r="J3828" s="3" t="s">
        <v>62</v>
      </c>
      <c r="K3828" s="3" t="s">
        <v>63</v>
      </c>
      <c r="M3828" s="2" t="s">
        <v>1009</v>
      </c>
      <c r="N3828" s="3" t="s">
        <v>894</v>
      </c>
      <c r="O3828" s="2" t="s">
        <v>168</v>
      </c>
      <c r="P3828" s="3" t="s">
        <v>65</v>
      </c>
      <c r="R3828" s="3" t="s">
        <v>66</v>
      </c>
      <c r="S3828" s="4">
        <v>29</v>
      </c>
      <c r="T3828" s="4">
        <v>35</v>
      </c>
      <c r="U3828" s="5" t="s">
        <v>36827</v>
      </c>
      <c r="V3828" s="5" t="s">
        <v>28895</v>
      </c>
      <c r="W3828" s="5" t="s">
        <v>67</v>
      </c>
      <c r="X3828" s="5" t="s">
        <v>67</v>
      </c>
      <c r="Y3828" s="4">
        <v>279</v>
      </c>
      <c r="Z3828" s="4">
        <v>19</v>
      </c>
      <c r="AA3828" s="4">
        <v>83</v>
      </c>
      <c r="AB3828" s="4">
        <v>2</v>
      </c>
      <c r="AC3828" s="4">
        <v>17</v>
      </c>
      <c r="AD3828" s="4">
        <v>69</v>
      </c>
      <c r="AE3828" s="4">
        <v>125</v>
      </c>
      <c r="AF3828" s="4">
        <v>1</v>
      </c>
      <c r="AG3828" s="4">
        <v>8</v>
      </c>
      <c r="AH3828" s="4">
        <v>65</v>
      </c>
      <c r="AI3828" s="4">
        <v>93</v>
      </c>
      <c r="AJ3828" s="4">
        <v>13</v>
      </c>
      <c r="AK3828" s="4">
        <v>23</v>
      </c>
      <c r="AL3828" s="4">
        <v>39</v>
      </c>
      <c r="AM3828" s="4">
        <v>51</v>
      </c>
      <c r="AN3828" s="4">
        <v>0</v>
      </c>
      <c r="AO3828" s="4">
        <v>0</v>
      </c>
      <c r="AP3828" s="4">
        <v>13</v>
      </c>
      <c r="AQ3828" s="4">
        <v>42</v>
      </c>
      <c r="AR3828" s="3" t="s">
        <v>62</v>
      </c>
      <c r="AS3828" s="3" t="s">
        <v>62</v>
      </c>
      <c r="AT3828" s="3" t="s">
        <v>62</v>
      </c>
      <c r="AV3828" s="6" t="str">
        <f>HYPERLINK("http://mcgill.on.worldcat.org/oclc/491887598","Catalog Record")</f>
        <v>Catalog Record</v>
      </c>
      <c r="AW3828" s="6" t="str">
        <f>HYPERLINK("http://www.worldcat.org/oclc/491887598","WorldCat Record")</f>
        <v>WorldCat Record</v>
      </c>
      <c r="AX3828" s="3" t="s">
        <v>36828</v>
      </c>
      <c r="AY3828" s="3" t="s">
        <v>36829</v>
      </c>
      <c r="AZ3828" s="3" t="s">
        <v>36830</v>
      </c>
      <c r="BA3828" s="3" t="s">
        <v>36830</v>
      </c>
      <c r="BB3828" s="3" t="s">
        <v>36831</v>
      </c>
      <c r="BC3828" s="3" t="s">
        <v>142</v>
      </c>
      <c r="BD3828" s="3" t="s">
        <v>68</v>
      </c>
      <c r="BE3828" s="3" t="s">
        <v>36832</v>
      </c>
      <c r="BF3828" s="3" t="s">
        <v>36831</v>
      </c>
      <c r="BG3828" s="3" t="s">
        <v>36833</v>
      </c>
    </row>
    <row r="3829" spans="1:59" ht="57" x14ac:dyDescent="0.45">
      <c r="A3829" s="2" t="s">
        <v>59</v>
      </c>
      <c r="B3829" s="2" t="s">
        <v>60</v>
      </c>
      <c r="C3829" s="2" t="s">
        <v>36824</v>
      </c>
      <c r="D3829" s="2" t="s">
        <v>36825</v>
      </c>
      <c r="E3829" s="2" t="s">
        <v>36826</v>
      </c>
      <c r="G3829" s="3" t="s">
        <v>62</v>
      </c>
      <c r="I3829" s="3" t="s">
        <v>61</v>
      </c>
      <c r="J3829" s="3" t="s">
        <v>62</v>
      </c>
      <c r="K3829" s="3" t="s">
        <v>63</v>
      </c>
      <c r="M3829" s="2" t="s">
        <v>1009</v>
      </c>
      <c r="N3829" s="3" t="s">
        <v>894</v>
      </c>
      <c r="O3829" s="2" t="s">
        <v>168</v>
      </c>
      <c r="P3829" s="3" t="s">
        <v>65</v>
      </c>
      <c r="R3829" s="3" t="s">
        <v>66</v>
      </c>
      <c r="S3829" s="4">
        <v>6</v>
      </c>
      <c r="T3829" s="4">
        <v>35</v>
      </c>
      <c r="U3829" s="5" t="s">
        <v>28895</v>
      </c>
      <c r="V3829" s="5" t="s">
        <v>28895</v>
      </c>
      <c r="W3829" s="5" t="s">
        <v>67</v>
      </c>
      <c r="X3829" s="5" t="s">
        <v>67</v>
      </c>
      <c r="Y3829" s="4">
        <v>279</v>
      </c>
      <c r="Z3829" s="4">
        <v>19</v>
      </c>
      <c r="AA3829" s="4">
        <v>83</v>
      </c>
      <c r="AB3829" s="4">
        <v>2</v>
      </c>
      <c r="AC3829" s="4">
        <v>17</v>
      </c>
      <c r="AD3829" s="4">
        <v>69</v>
      </c>
      <c r="AE3829" s="4">
        <v>125</v>
      </c>
      <c r="AF3829" s="4">
        <v>1</v>
      </c>
      <c r="AG3829" s="4">
        <v>8</v>
      </c>
      <c r="AH3829" s="4">
        <v>65</v>
      </c>
      <c r="AI3829" s="4">
        <v>93</v>
      </c>
      <c r="AJ3829" s="4">
        <v>13</v>
      </c>
      <c r="AK3829" s="4">
        <v>23</v>
      </c>
      <c r="AL3829" s="4">
        <v>39</v>
      </c>
      <c r="AM3829" s="4">
        <v>51</v>
      </c>
      <c r="AN3829" s="4">
        <v>0</v>
      </c>
      <c r="AO3829" s="4">
        <v>0</v>
      </c>
      <c r="AP3829" s="4">
        <v>13</v>
      </c>
      <c r="AQ3829" s="4">
        <v>42</v>
      </c>
      <c r="AR3829" s="3" t="s">
        <v>62</v>
      </c>
      <c r="AS3829" s="3" t="s">
        <v>62</v>
      </c>
      <c r="AT3829" s="3" t="s">
        <v>62</v>
      </c>
      <c r="AV3829" s="6" t="str">
        <f>HYPERLINK("http://mcgill.on.worldcat.org/oclc/491887598","Catalog Record")</f>
        <v>Catalog Record</v>
      </c>
      <c r="AW3829" s="6" t="str">
        <f>HYPERLINK("http://www.worldcat.org/oclc/491887598","WorldCat Record")</f>
        <v>WorldCat Record</v>
      </c>
      <c r="AX3829" s="3" t="s">
        <v>36828</v>
      </c>
      <c r="AY3829" s="3" t="s">
        <v>36829</v>
      </c>
      <c r="AZ3829" s="3" t="s">
        <v>36830</v>
      </c>
      <c r="BA3829" s="3" t="s">
        <v>36830</v>
      </c>
      <c r="BB3829" s="3" t="s">
        <v>36834</v>
      </c>
      <c r="BC3829" s="3" t="s">
        <v>142</v>
      </c>
      <c r="BD3829" s="3" t="s">
        <v>68</v>
      </c>
      <c r="BE3829" s="3" t="s">
        <v>36832</v>
      </c>
      <c r="BF3829" s="3" t="s">
        <v>36834</v>
      </c>
      <c r="BG3829" s="3" t="s">
        <v>36835</v>
      </c>
    </row>
    <row r="3830" spans="1:59" ht="57" x14ac:dyDescent="0.45">
      <c r="A3830" s="2" t="s">
        <v>59</v>
      </c>
      <c r="B3830" s="2" t="s">
        <v>60</v>
      </c>
      <c r="C3830" s="2" t="s">
        <v>36836</v>
      </c>
      <c r="D3830" s="2" t="s">
        <v>36837</v>
      </c>
      <c r="E3830" s="2" t="s">
        <v>36838</v>
      </c>
      <c r="G3830" s="3" t="s">
        <v>62</v>
      </c>
      <c r="I3830" s="3" t="s">
        <v>62</v>
      </c>
      <c r="J3830" s="3" t="s">
        <v>62</v>
      </c>
      <c r="K3830" s="3" t="s">
        <v>63</v>
      </c>
      <c r="L3830" s="2" t="s">
        <v>36839</v>
      </c>
      <c r="M3830" s="2" t="s">
        <v>9542</v>
      </c>
      <c r="N3830" s="3" t="s">
        <v>1155</v>
      </c>
      <c r="P3830" s="3" t="s">
        <v>65</v>
      </c>
      <c r="Q3830" s="2" t="s">
        <v>36840</v>
      </c>
      <c r="R3830" s="3" t="s">
        <v>66</v>
      </c>
      <c r="S3830" s="4">
        <v>0</v>
      </c>
      <c r="T3830" s="4">
        <v>0</v>
      </c>
      <c r="W3830" s="5" t="s">
        <v>67</v>
      </c>
      <c r="X3830" s="5" t="s">
        <v>67</v>
      </c>
      <c r="Y3830" s="4">
        <v>134</v>
      </c>
      <c r="Z3830" s="4">
        <v>21</v>
      </c>
      <c r="AA3830" s="4">
        <v>108</v>
      </c>
      <c r="AB3830" s="4">
        <v>2</v>
      </c>
      <c r="AC3830" s="4">
        <v>14</v>
      </c>
      <c r="AD3830" s="4">
        <v>53</v>
      </c>
      <c r="AE3830" s="4">
        <v>120</v>
      </c>
      <c r="AF3830" s="4">
        <v>1</v>
      </c>
      <c r="AG3830" s="4">
        <v>8</v>
      </c>
      <c r="AH3830" s="4">
        <v>45</v>
      </c>
      <c r="AI3830" s="4">
        <v>79</v>
      </c>
      <c r="AJ3830" s="4">
        <v>17</v>
      </c>
      <c r="AK3830" s="4">
        <v>27</v>
      </c>
      <c r="AL3830" s="4">
        <v>27</v>
      </c>
      <c r="AM3830" s="4">
        <v>42</v>
      </c>
      <c r="AN3830" s="4">
        <v>0</v>
      </c>
      <c r="AO3830" s="4">
        <v>0</v>
      </c>
      <c r="AP3830" s="4">
        <v>18</v>
      </c>
      <c r="AQ3830" s="4">
        <v>50</v>
      </c>
      <c r="AR3830" s="3" t="s">
        <v>62</v>
      </c>
      <c r="AS3830" s="3" t="s">
        <v>62</v>
      </c>
      <c r="AT3830" s="3" t="s">
        <v>62</v>
      </c>
      <c r="AV3830" s="6" t="str">
        <f>HYPERLINK("http://mcgill.on.worldcat.org/oclc/756282570","Catalog Record")</f>
        <v>Catalog Record</v>
      </c>
      <c r="AW3830" s="6" t="str">
        <f>HYPERLINK("http://www.worldcat.org/oclc/756282570","WorldCat Record")</f>
        <v>WorldCat Record</v>
      </c>
      <c r="AX3830" s="3" t="s">
        <v>36841</v>
      </c>
      <c r="AY3830" s="3" t="s">
        <v>36842</v>
      </c>
      <c r="AZ3830" s="3" t="s">
        <v>36843</v>
      </c>
      <c r="BA3830" s="3" t="s">
        <v>36843</v>
      </c>
      <c r="BB3830" s="3" t="s">
        <v>36844</v>
      </c>
      <c r="BC3830" s="3" t="s">
        <v>142</v>
      </c>
      <c r="BD3830" s="3" t="s">
        <v>68</v>
      </c>
      <c r="BE3830" s="3" t="s">
        <v>36845</v>
      </c>
      <c r="BF3830" s="3" t="s">
        <v>36844</v>
      </c>
      <c r="BG3830" s="3" t="s">
        <v>36846</v>
      </c>
    </row>
    <row r="3831" spans="1:59" ht="57" x14ac:dyDescent="0.45">
      <c r="A3831" s="2" t="s">
        <v>59</v>
      </c>
      <c r="B3831" s="2" t="s">
        <v>60</v>
      </c>
      <c r="C3831" s="2" t="s">
        <v>36847</v>
      </c>
      <c r="D3831" s="2" t="s">
        <v>36848</v>
      </c>
      <c r="E3831" s="2" t="s">
        <v>36849</v>
      </c>
      <c r="G3831" s="3" t="s">
        <v>62</v>
      </c>
      <c r="I3831" s="3" t="s">
        <v>62</v>
      </c>
      <c r="J3831" s="3" t="s">
        <v>62</v>
      </c>
      <c r="K3831" s="3" t="s">
        <v>63</v>
      </c>
      <c r="M3831" s="2" t="s">
        <v>1178</v>
      </c>
      <c r="N3831" s="3" t="s">
        <v>894</v>
      </c>
      <c r="P3831" s="3" t="s">
        <v>65</v>
      </c>
      <c r="Q3831" s="2" t="s">
        <v>36850</v>
      </c>
      <c r="R3831" s="3" t="s">
        <v>66</v>
      </c>
      <c r="S3831" s="4">
        <v>5</v>
      </c>
      <c r="T3831" s="4">
        <v>5</v>
      </c>
      <c r="U3831" s="5" t="s">
        <v>22630</v>
      </c>
      <c r="V3831" s="5" t="s">
        <v>22630</v>
      </c>
      <c r="W3831" s="5" t="s">
        <v>67</v>
      </c>
      <c r="X3831" s="5" t="s">
        <v>67</v>
      </c>
      <c r="Y3831" s="4">
        <v>86</v>
      </c>
      <c r="Z3831" s="4">
        <v>12</v>
      </c>
      <c r="AA3831" s="4">
        <v>91</v>
      </c>
      <c r="AB3831" s="4">
        <v>2</v>
      </c>
      <c r="AC3831" s="4">
        <v>18</v>
      </c>
      <c r="AD3831" s="4">
        <v>36</v>
      </c>
      <c r="AE3831" s="4">
        <v>109</v>
      </c>
      <c r="AF3831" s="4">
        <v>1</v>
      </c>
      <c r="AG3831" s="4">
        <v>8</v>
      </c>
      <c r="AH3831" s="4">
        <v>31</v>
      </c>
      <c r="AI3831" s="4">
        <v>72</v>
      </c>
      <c r="AJ3831" s="4">
        <v>8</v>
      </c>
      <c r="AK3831" s="4">
        <v>23</v>
      </c>
      <c r="AL3831" s="4">
        <v>21</v>
      </c>
      <c r="AM3831" s="4">
        <v>38</v>
      </c>
      <c r="AN3831" s="4">
        <v>0</v>
      </c>
      <c r="AO3831" s="4">
        <v>0</v>
      </c>
      <c r="AP3831" s="4">
        <v>9</v>
      </c>
      <c r="AQ3831" s="4">
        <v>45</v>
      </c>
      <c r="AR3831" s="3" t="s">
        <v>62</v>
      </c>
      <c r="AS3831" s="3" t="s">
        <v>62</v>
      </c>
      <c r="AT3831" s="3" t="s">
        <v>62</v>
      </c>
      <c r="AV3831" s="6" t="str">
        <f>HYPERLINK("http://mcgill.on.worldcat.org/oclc/701622890","Catalog Record")</f>
        <v>Catalog Record</v>
      </c>
      <c r="AW3831" s="6" t="str">
        <f>HYPERLINK("http://www.worldcat.org/oclc/701622890","WorldCat Record")</f>
        <v>WorldCat Record</v>
      </c>
      <c r="AX3831" s="3" t="s">
        <v>36851</v>
      </c>
      <c r="AY3831" s="3" t="s">
        <v>36852</v>
      </c>
      <c r="AZ3831" s="3" t="s">
        <v>36853</v>
      </c>
      <c r="BA3831" s="3" t="s">
        <v>36853</v>
      </c>
      <c r="BB3831" s="3" t="s">
        <v>36854</v>
      </c>
      <c r="BC3831" s="3" t="s">
        <v>142</v>
      </c>
      <c r="BD3831" s="3" t="s">
        <v>68</v>
      </c>
      <c r="BE3831" s="3" t="s">
        <v>36855</v>
      </c>
      <c r="BF3831" s="3" t="s">
        <v>36854</v>
      </c>
      <c r="BG3831" s="3" t="s">
        <v>36856</v>
      </c>
    </row>
    <row r="3832" spans="1:59" ht="57" x14ac:dyDescent="0.45">
      <c r="A3832" s="2" t="s">
        <v>59</v>
      </c>
      <c r="B3832" s="2" t="s">
        <v>60</v>
      </c>
      <c r="C3832" s="2" t="s">
        <v>36857</v>
      </c>
      <c r="D3832" s="2" t="s">
        <v>36858</v>
      </c>
      <c r="E3832" s="2" t="s">
        <v>36859</v>
      </c>
      <c r="G3832" s="3" t="s">
        <v>62</v>
      </c>
      <c r="I3832" s="3" t="s">
        <v>62</v>
      </c>
      <c r="J3832" s="3" t="s">
        <v>62</v>
      </c>
      <c r="K3832" s="3" t="s">
        <v>63</v>
      </c>
      <c r="L3832" s="2" t="s">
        <v>36860</v>
      </c>
      <c r="M3832" s="2" t="s">
        <v>36861</v>
      </c>
      <c r="N3832" s="3" t="s">
        <v>1437</v>
      </c>
      <c r="P3832" s="3" t="s">
        <v>65</v>
      </c>
      <c r="Q3832" s="2" t="s">
        <v>36862</v>
      </c>
      <c r="R3832" s="3" t="s">
        <v>66</v>
      </c>
      <c r="S3832" s="4">
        <v>24</v>
      </c>
      <c r="T3832" s="4">
        <v>24</v>
      </c>
      <c r="U3832" s="5" t="s">
        <v>36863</v>
      </c>
      <c r="V3832" s="5" t="s">
        <v>36863</v>
      </c>
      <c r="W3832" s="5" t="s">
        <v>67</v>
      </c>
      <c r="X3832" s="5" t="s">
        <v>67</v>
      </c>
      <c r="Y3832" s="4">
        <v>211</v>
      </c>
      <c r="Z3832" s="4">
        <v>17</v>
      </c>
      <c r="AA3832" s="4">
        <v>97</v>
      </c>
      <c r="AB3832" s="4">
        <v>2</v>
      </c>
      <c r="AC3832" s="4">
        <v>17</v>
      </c>
      <c r="AD3832" s="4">
        <v>80</v>
      </c>
      <c r="AE3832" s="4">
        <v>130</v>
      </c>
      <c r="AF3832" s="4">
        <v>1</v>
      </c>
      <c r="AG3832" s="4">
        <v>8</v>
      </c>
      <c r="AH3832" s="4">
        <v>73</v>
      </c>
      <c r="AI3832" s="4">
        <v>94</v>
      </c>
      <c r="AJ3832" s="4">
        <v>13</v>
      </c>
      <c r="AK3832" s="4">
        <v>23</v>
      </c>
      <c r="AL3832" s="4">
        <v>43</v>
      </c>
      <c r="AM3832" s="4">
        <v>50</v>
      </c>
      <c r="AN3832" s="4">
        <v>0</v>
      </c>
      <c r="AO3832" s="4">
        <v>0</v>
      </c>
      <c r="AP3832" s="4">
        <v>12</v>
      </c>
      <c r="AQ3832" s="4">
        <v>43</v>
      </c>
      <c r="AR3832" s="3" t="s">
        <v>62</v>
      </c>
      <c r="AS3832" s="3" t="s">
        <v>62</v>
      </c>
      <c r="AT3832" s="3" t="s">
        <v>61</v>
      </c>
      <c r="AU3832" s="6" t="str">
        <f>HYPERLINK("http://catalog.hathitrust.org/Record/004040034","HathiTrust Record")</f>
        <v>HathiTrust Record</v>
      </c>
      <c r="AV3832" s="6" t="str">
        <f>HYPERLINK("http://mcgill.on.worldcat.org/oclc/39162299","Catalog Record")</f>
        <v>Catalog Record</v>
      </c>
      <c r="AW3832" s="6" t="str">
        <f>HYPERLINK("http://www.worldcat.org/oclc/39162299","WorldCat Record")</f>
        <v>WorldCat Record</v>
      </c>
      <c r="AX3832" s="3" t="s">
        <v>36864</v>
      </c>
      <c r="AY3832" s="3" t="s">
        <v>36865</v>
      </c>
      <c r="AZ3832" s="3" t="s">
        <v>36866</v>
      </c>
      <c r="BA3832" s="3" t="s">
        <v>36866</v>
      </c>
      <c r="BB3832" s="3" t="s">
        <v>36867</v>
      </c>
      <c r="BC3832" s="3" t="s">
        <v>142</v>
      </c>
      <c r="BD3832" s="3" t="s">
        <v>68</v>
      </c>
      <c r="BE3832" s="3" t="s">
        <v>36868</v>
      </c>
      <c r="BF3832" s="3" t="s">
        <v>36867</v>
      </c>
      <c r="BG3832" s="3" t="s">
        <v>36869</v>
      </c>
    </row>
    <row r="3833" spans="1:59" ht="57" x14ac:dyDescent="0.45">
      <c r="A3833" s="2" t="s">
        <v>59</v>
      </c>
      <c r="B3833" s="2" t="s">
        <v>60</v>
      </c>
      <c r="C3833" s="2" t="s">
        <v>36870</v>
      </c>
      <c r="D3833" s="2" t="s">
        <v>36871</v>
      </c>
      <c r="E3833" s="2" t="s">
        <v>36872</v>
      </c>
      <c r="G3833" s="3" t="s">
        <v>62</v>
      </c>
      <c r="I3833" s="3" t="s">
        <v>62</v>
      </c>
      <c r="J3833" s="3" t="s">
        <v>62</v>
      </c>
      <c r="K3833" s="3" t="s">
        <v>63</v>
      </c>
      <c r="L3833" s="2" t="s">
        <v>36873</v>
      </c>
      <c r="M3833" s="2" t="s">
        <v>36874</v>
      </c>
      <c r="N3833" s="3" t="s">
        <v>1212</v>
      </c>
      <c r="P3833" s="3" t="s">
        <v>65</v>
      </c>
      <c r="Q3833" s="2" t="s">
        <v>9391</v>
      </c>
      <c r="R3833" s="3" t="s">
        <v>66</v>
      </c>
      <c r="S3833" s="4">
        <v>20</v>
      </c>
      <c r="T3833" s="4">
        <v>20</v>
      </c>
      <c r="U3833" s="5" t="s">
        <v>18463</v>
      </c>
      <c r="V3833" s="5" t="s">
        <v>18463</v>
      </c>
      <c r="W3833" s="5" t="s">
        <v>67</v>
      </c>
      <c r="X3833" s="5" t="s">
        <v>67</v>
      </c>
      <c r="Y3833" s="4">
        <v>259</v>
      </c>
      <c r="Z3833" s="4">
        <v>16</v>
      </c>
      <c r="AA3833" s="4">
        <v>23</v>
      </c>
      <c r="AB3833" s="4">
        <v>3</v>
      </c>
      <c r="AC3833" s="4">
        <v>6</v>
      </c>
      <c r="AD3833" s="4">
        <v>90</v>
      </c>
      <c r="AE3833" s="4">
        <v>101</v>
      </c>
      <c r="AF3833" s="4">
        <v>2</v>
      </c>
      <c r="AG3833" s="4">
        <v>4</v>
      </c>
      <c r="AH3833" s="4">
        <v>81</v>
      </c>
      <c r="AI3833" s="4">
        <v>89</v>
      </c>
      <c r="AJ3833" s="4">
        <v>12</v>
      </c>
      <c r="AK3833" s="4">
        <v>16</v>
      </c>
      <c r="AL3833" s="4">
        <v>46</v>
      </c>
      <c r="AM3833" s="4">
        <v>46</v>
      </c>
      <c r="AN3833" s="4">
        <v>0</v>
      </c>
      <c r="AO3833" s="4">
        <v>0</v>
      </c>
      <c r="AP3833" s="4">
        <v>14</v>
      </c>
      <c r="AQ3833" s="4">
        <v>20</v>
      </c>
      <c r="AR3833" s="3" t="s">
        <v>62</v>
      </c>
      <c r="AS3833" s="3" t="s">
        <v>62</v>
      </c>
      <c r="AT3833" s="3" t="s">
        <v>62</v>
      </c>
      <c r="AV3833" s="6" t="str">
        <f>HYPERLINK("http://mcgill.on.worldcat.org/oclc/45315744","Catalog Record")</f>
        <v>Catalog Record</v>
      </c>
      <c r="AW3833" s="6" t="str">
        <f>HYPERLINK("http://www.worldcat.org/oclc/45315744","WorldCat Record")</f>
        <v>WorldCat Record</v>
      </c>
      <c r="AX3833" s="3" t="s">
        <v>36875</v>
      </c>
      <c r="AY3833" s="3" t="s">
        <v>36876</v>
      </c>
      <c r="AZ3833" s="3" t="s">
        <v>36877</v>
      </c>
      <c r="BA3833" s="3" t="s">
        <v>36877</v>
      </c>
      <c r="BB3833" s="3" t="s">
        <v>36878</v>
      </c>
      <c r="BC3833" s="3" t="s">
        <v>142</v>
      </c>
      <c r="BD3833" s="3" t="s">
        <v>68</v>
      </c>
      <c r="BE3833" s="3" t="s">
        <v>36879</v>
      </c>
      <c r="BF3833" s="3" t="s">
        <v>36878</v>
      </c>
      <c r="BG3833" s="3" t="s">
        <v>36880</v>
      </c>
    </row>
    <row r="3834" spans="1:59" ht="57" x14ac:dyDescent="0.45">
      <c r="A3834" s="2" t="s">
        <v>59</v>
      </c>
      <c r="B3834" s="2" t="s">
        <v>60</v>
      </c>
      <c r="C3834" s="2" t="s">
        <v>36881</v>
      </c>
      <c r="D3834" s="2" t="s">
        <v>36882</v>
      </c>
      <c r="E3834" s="2" t="s">
        <v>36883</v>
      </c>
      <c r="G3834" s="3" t="s">
        <v>62</v>
      </c>
      <c r="I3834" s="3" t="s">
        <v>62</v>
      </c>
      <c r="J3834" s="3" t="s">
        <v>62</v>
      </c>
      <c r="K3834" s="3" t="s">
        <v>63</v>
      </c>
      <c r="M3834" s="2" t="s">
        <v>1189</v>
      </c>
      <c r="N3834" s="3" t="s">
        <v>149</v>
      </c>
      <c r="P3834" s="3" t="s">
        <v>65</v>
      </c>
      <c r="R3834" s="3" t="s">
        <v>66</v>
      </c>
      <c r="S3834" s="4">
        <v>2</v>
      </c>
      <c r="T3834" s="4">
        <v>2</v>
      </c>
      <c r="U3834" s="5" t="s">
        <v>36884</v>
      </c>
      <c r="V3834" s="5" t="s">
        <v>36884</v>
      </c>
      <c r="W3834" s="5" t="s">
        <v>67</v>
      </c>
      <c r="X3834" s="5" t="s">
        <v>67</v>
      </c>
      <c r="Y3834" s="4">
        <v>146</v>
      </c>
      <c r="Z3834" s="4">
        <v>9</v>
      </c>
      <c r="AA3834" s="4">
        <v>78</v>
      </c>
      <c r="AB3834" s="4">
        <v>1</v>
      </c>
      <c r="AC3834" s="4">
        <v>15</v>
      </c>
      <c r="AD3834" s="4">
        <v>30</v>
      </c>
      <c r="AE3834" s="4">
        <v>105</v>
      </c>
      <c r="AF3834" s="4">
        <v>0</v>
      </c>
      <c r="AG3834" s="4">
        <v>8</v>
      </c>
      <c r="AH3834" s="4">
        <v>28</v>
      </c>
      <c r="AI3834" s="4">
        <v>73</v>
      </c>
      <c r="AJ3834" s="4">
        <v>7</v>
      </c>
      <c r="AK3834" s="4">
        <v>21</v>
      </c>
      <c r="AL3834" s="4">
        <v>15</v>
      </c>
      <c r="AM3834" s="4">
        <v>36</v>
      </c>
      <c r="AN3834" s="4">
        <v>0</v>
      </c>
      <c r="AO3834" s="4">
        <v>0</v>
      </c>
      <c r="AP3834" s="4">
        <v>7</v>
      </c>
      <c r="AQ3834" s="4">
        <v>40</v>
      </c>
      <c r="AR3834" s="3" t="s">
        <v>62</v>
      </c>
      <c r="AS3834" s="3" t="s">
        <v>62</v>
      </c>
      <c r="AT3834" s="3" t="s">
        <v>62</v>
      </c>
      <c r="AV3834" s="6" t="str">
        <f>HYPERLINK("http://mcgill.on.worldcat.org/oclc/368025573","Catalog Record")</f>
        <v>Catalog Record</v>
      </c>
      <c r="AW3834" s="6" t="str">
        <f>HYPERLINK("http://www.worldcat.org/oclc/368025573","WorldCat Record")</f>
        <v>WorldCat Record</v>
      </c>
      <c r="AX3834" s="3" t="s">
        <v>36885</v>
      </c>
      <c r="AY3834" s="3" t="s">
        <v>36886</v>
      </c>
      <c r="AZ3834" s="3" t="s">
        <v>36887</v>
      </c>
      <c r="BA3834" s="3" t="s">
        <v>36887</v>
      </c>
      <c r="BB3834" s="3" t="s">
        <v>36888</v>
      </c>
      <c r="BC3834" s="3" t="s">
        <v>142</v>
      </c>
      <c r="BD3834" s="3" t="s">
        <v>68</v>
      </c>
      <c r="BE3834" s="3" t="s">
        <v>36889</v>
      </c>
      <c r="BF3834" s="3" t="s">
        <v>36888</v>
      </c>
      <c r="BG3834" s="3" t="s">
        <v>36890</v>
      </c>
    </row>
    <row r="3835" spans="1:59" ht="57" x14ac:dyDescent="0.45">
      <c r="A3835" s="2" t="s">
        <v>59</v>
      </c>
      <c r="B3835" s="2" t="s">
        <v>60</v>
      </c>
      <c r="C3835" s="2" t="s">
        <v>36891</v>
      </c>
      <c r="D3835" s="2" t="s">
        <v>36892</v>
      </c>
      <c r="E3835" s="2" t="s">
        <v>36893</v>
      </c>
      <c r="G3835" s="3" t="s">
        <v>62</v>
      </c>
      <c r="I3835" s="3" t="s">
        <v>62</v>
      </c>
      <c r="J3835" s="3" t="s">
        <v>62</v>
      </c>
      <c r="K3835" s="3" t="s">
        <v>63</v>
      </c>
      <c r="L3835" s="2" t="s">
        <v>36894</v>
      </c>
      <c r="M3835" s="2" t="s">
        <v>4758</v>
      </c>
      <c r="N3835" s="3" t="s">
        <v>945</v>
      </c>
      <c r="P3835" s="3" t="s">
        <v>65</v>
      </c>
      <c r="R3835" s="3" t="s">
        <v>66</v>
      </c>
      <c r="S3835" s="4">
        <v>15</v>
      </c>
      <c r="T3835" s="4">
        <v>15</v>
      </c>
      <c r="U3835" s="5" t="s">
        <v>8125</v>
      </c>
      <c r="V3835" s="5" t="s">
        <v>8125</v>
      </c>
      <c r="W3835" s="5" t="s">
        <v>67</v>
      </c>
      <c r="X3835" s="5" t="s">
        <v>67</v>
      </c>
      <c r="Y3835" s="4">
        <v>190</v>
      </c>
      <c r="Z3835" s="4">
        <v>17</v>
      </c>
      <c r="AA3835" s="4">
        <v>95</v>
      </c>
      <c r="AB3835" s="4">
        <v>2</v>
      </c>
      <c r="AC3835" s="4">
        <v>17</v>
      </c>
      <c r="AD3835" s="4">
        <v>63</v>
      </c>
      <c r="AE3835" s="4">
        <v>119</v>
      </c>
      <c r="AF3835" s="4">
        <v>1</v>
      </c>
      <c r="AG3835" s="4">
        <v>8</v>
      </c>
      <c r="AH3835" s="4">
        <v>58</v>
      </c>
      <c r="AI3835" s="4">
        <v>82</v>
      </c>
      <c r="AJ3835" s="4">
        <v>14</v>
      </c>
      <c r="AK3835" s="4">
        <v>24</v>
      </c>
      <c r="AL3835" s="4">
        <v>32</v>
      </c>
      <c r="AM3835" s="4">
        <v>41</v>
      </c>
      <c r="AN3835" s="4">
        <v>0</v>
      </c>
      <c r="AO3835" s="4">
        <v>0</v>
      </c>
      <c r="AP3835" s="4">
        <v>14</v>
      </c>
      <c r="AQ3835" s="4">
        <v>47</v>
      </c>
      <c r="AR3835" s="3" t="s">
        <v>62</v>
      </c>
      <c r="AS3835" s="3" t="s">
        <v>62</v>
      </c>
      <c r="AT3835" s="3" t="s">
        <v>62</v>
      </c>
      <c r="AV3835" s="6" t="str">
        <f>HYPERLINK("http://mcgill.on.worldcat.org/oclc/72150044","Catalog Record")</f>
        <v>Catalog Record</v>
      </c>
      <c r="AW3835" s="6" t="str">
        <f>HYPERLINK("http://www.worldcat.org/oclc/72150044","WorldCat Record")</f>
        <v>WorldCat Record</v>
      </c>
      <c r="AX3835" s="3" t="s">
        <v>36895</v>
      </c>
      <c r="AY3835" s="3" t="s">
        <v>36896</v>
      </c>
      <c r="AZ3835" s="3" t="s">
        <v>36897</v>
      </c>
      <c r="BA3835" s="3" t="s">
        <v>36897</v>
      </c>
      <c r="BB3835" s="3" t="s">
        <v>36898</v>
      </c>
      <c r="BC3835" s="3" t="s">
        <v>142</v>
      </c>
      <c r="BD3835" s="3" t="s">
        <v>308</v>
      </c>
      <c r="BE3835" s="3" t="s">
        <v>36899</v>
      </c>
      <c r="BF3835" s="3" t="s">
        <v>36898</v>
      </c>
      <c r="BG3835" s="3" t="s">
        <v>36900</v>
      </c>
    </row>
    <row r="3836" spans="1:59" ht="57" x14ac:dyDescent="0.45">
      <c r="A3836" s="2" t="s">
        <v>59</v>
      </c>
      <c r="B3836" s="2" t="s">
        <v>60</v>
      </c>
      <c r="C3836" s="2" t="s">
        <v>36901</v>
      </c>
      <c r="D3836" s="2" t="s">
        <v>36902</v>
      </c>
      <c r="E3836" s="2" t="s">
        <v>36903</v>
      </c>
      <c r="G3836" s="3" t="s">
        <v>62</v>
      </c>
      <c r="I3836" s="3" t="s">
        <v>62</v>
      </c>
      <c r="J3836" s="3" t="s">
        <v>62</v>
      </c>
      <c r="K3836" s="3" t="s">
        <v>63</v>
      </c>
      <c r="L3836" s="2" t="s">
        <v>36894</v>
      </c>
      <c r="M3836" s="2" t="s">
        <v>36904</v>
      </c>
      <c r="N3836" s="3" t="s">
        <v>918</v>
      </c>
      <c r="P3836" s="3" t="s">
        <v>65</v>
      </c>
      <c r="Q3836" s="2" t="s">
        <v>5361</v>
      </c>
      <c r="R3836" s="3" t="s">
        <v>66</v>
      </c>
      <c r="S3836" s="4">
        <v>23</v>
      </c>
      <c r="T3836" s="4">
        <v>23</v>
      </c>
      <c r="U3836" s="5" t="s">
        <v>710</v>
      </c>
      <c r="V3836" s="5" t="s">
        <v>710</v>
      </c>
      <c r="W3836" s="5" t="s">
        <v>67</v>
      </c>
      <c r="X3836" s="5" t="s">
        <v>67</v>
      </c>
      <c r="Y3836" s="4">
        <v>115</v>
      </c>
      <c r="Z3836" s="4">
        <v>11</v>
      </c>
      <c r="AA3836" s="4">
        <v>32</v>
      </c>
      <c r="AB3836" s="4">
        <v>2</v>
      </c>
      <c r="AC3836" s="4">
        <v>8</v>
      </c>
      <c r="AD3836" s="4">
        <v>24</v>
      </c>
      <c r="AE3836" s="4">
        <v>106</v>
      </c>
      <c r="AF3836" s="4">
        <v>1</v>
      </c>
      <c r="AG3836" s="4">
        <v>4</v>
      </c>
      <c r="AH3836" s="4">
        <v>20</v>
      </c>
      <c r="AI3836" s="4">
        <v>90</v>
      </c>
      <c r="AJ3836" s="4">
        <v>8</v>
      </c>
      <c r="AK3836" s="4">
        <v>21</v>
      </c>
      <c r="AL3836" s="4">
        <v>13</v>
      </c>
      <c r="AM3836" s="4">
        <v>49</v>
      </c>
      <c r="AN3836" s="4">
        <v>0</v>
      </c>
      <c r="AO3836" s="4">
        <v>0</v>
      </c>
      <c r="AP3836" s="4">
        <v>8</v>
      </c>
      <c r="AQ3836" s="4">
        <v>23</v>
      </c>
      <c r="AR3836" s="3" t="s">
        <v>62</v>
      </c>
      <c r="AS3836" s="3" t="s">
        <v>62</v>
      </c>
      <c r="AT3836" s="3" t="s">
        <v>61</v>
      </c>
      <c r="AU3836" s="6" t="str">
        <f>HYPERLINK("http://catalog.hathitrust.org/Record/007143154","HathiTrust Record")</f>
        <v>HathiTrust Record</v>
      </c>
      <c r="AV3836" s="6" t="str">
        <f>HYPERLINK("http://mcgill.on.worldcat.org/oclc/51528098","Catalog Record")</f>
        <v>Catalog Record</v>
      </c>
      <c r="AW3836" s="6" t="str">
        <f>HYPERLINK("http://www.worldcat.org/oclc/51528098","WorldCat Record")</f>
        <v>WorldCat Record</v>
      </c>
      <c r="AX3836" s="3" t="s">
        <v>36905</v>
      </c>
      <c r="AY3836" s="3" t="s">
        <v>36906</v>
      </c>
      <c r="AZ3836" s="3" t="s">
        <v>36907</v>
      </c>
      <c r="BA3836" s="3" t="s">
        <v>36907</v>
      </c>
      <c r="BB3836" s="3" t="s">
        <v>36908</v>
      </c>
      <c r="BC3836" s="3" t="s">
        <v>142</v>
      </c>
      <c r="BD3836" s="3" t="s">
        <v>308</v>
      </c>
      <c r="BE3836" s="3" t="s">
        <v>36909</v>
      </c>
      <c r="BF3836" s="3" t="s">
        <v>36908</v>
      </c>
      <c r="BG3836" s="3" t="s">
        <v>36910</v>
      </c>
    </row>
    <row r="3837" spans="1:59" ht="57" x14ac:dyDescent="0.45">
      <c r="A3837" s="2" t="s">
        <v>59</v>
      </c>
      <c r="B3837" s="2" t="s">
        <v>60</v>
      </c>
      <c r="C3837" s="2" t="s">
        <v>36911</v>
      </c>
      <c r="D3837" s="2" t="s">
        <v>36912</v>
      </c>
      <c r="E3837" s="2" t="s">
        <v>36913</v>
      </c>
      <c r="G3837" s="3" t="s">
        <v>62</v>
      </c>
      <c r="I3837" s="3" t="s">
        <v>62</v>
      </c>
      <c r="J3837" s="3" t="s">
        <v>62</v>
      </c>
      <c r="K3837" s="3" t="s">
        <v>63</v>
      </c>
      <c r="L3837" s="2" t="s">
        <v>36914</v>
      </c>
      <c r="M3837" s="2" t="s">
        <v>36915</v>
      </c>
      <c r="N3837" s="3" t="s">
        <v>1465</v>
      </c>
      <c r="P3837" s="3" t="s">
        <v>65</v>
      </c>
      <c r="R3837" s="3" t="s">
        <v>66</v>
      </c>
      <c r="S3837" s="4">
        <v>2</v>
      </c>
      <c r="T3837" s="4">
        <v>2</v>
      </c>
      <c r="U3837" s="5" t="s">
        <v>8070</v>
      </c>
      <c r="V3837" s="5" t="s">
        <v>8070</v>
      </c>
      <c r="W3837" s="5" t="s">
        <v>67</v>
      </c>
      <c r="X3837" s="5" t="s">
        <v>67</v>
      </c>
      <c r="Y3837" s="4">
        <v>112</v>
      </c>
      <c r="Z3837" s="4">
        <v>18</v>
      </c>
      <c r="AA3837" s="4">
        <v>24</v>
      </c>
      <c r="AB3837" s="4">
        <v>3</v>
      </c>
      <c r="AC3837" s="4">
        <v>7</v>
      </c>
      <c r="AD3837" s="4">
        <v>50</v>
      </c>
      <c r="AE3837" s="4">
        <v>59</v>
      </c>
      <c r="AF3837" s="4">
        <v>1</v>
      </c>
      <c r="AG3837" s="4">
        <v>3</v>
      </c>
      <c r="AH3837" s="4">
        <v>44</v>
      </c>
      <c r="AI3837" s="4">
        <v>51</v>
      </c>
      <c r="AJ3837" s="4">
        <v>13</v>
      </c>
      <c r="AK3837" s="4">
        <v>17</v>
      </c>
      <c r="AL3837" s="4">
        <v>26</v>
      </c>
      <c r="AM3837" s="4">
        <v>29</v>
      </c>
      <c r="AN3837" s="4">
        <v>0</v>
      </c>
      <c r="AO3837" s="4">
        <v>0</v>
      </c>
      <c r="AP3837" s="4">
        <v>14</v>
      </c>
      <c r="AQ3837" s="4">
        <v>18</v>
      </c>
      <c r="AR3837" s="3" t="s">
        <v>62</v>
      </c>
      <c r="AS3837" s="3" t="s">
        <v>62</v>
      </c>
      <c r="AT3837" s="3" t="s">
        <v>62</v>
      </c>
      <c r="AV3837" s="6" t="str">
        <f>HYPERLINK("http://mcgill.on.worldcat.org/oclc/308173569","Catalog Record")</f>
        <v>Catalog Record</v>
      </c>
      <c r="AW3837" s="6" t="str">
        <f>HYPERLINK("http://www.worldcat.org/oclc/308173569","WorldCat Record")</f>
        <v>WorldCat Record</v>
      </c>
      <c r="AX3837" s="3" t="s">
        <v>36916</v>
      </c>
      <c r="AY3837" s="3" t="s">
        <v>36917</v>
      </c>
      <c r="AZ3837" s="3" t="s">
        <v>36918</v>
      </c>
      <c r="BA3837" s="3" t="s">
        <v>36918</v>
      </c>
      <c r="BB3837" s="3" t="s">
        <v>36919</v>
      </c>
      <c r="BC3837" s="3" t="s">
        <v>142</v>
      </c>
      <c r="BD3837" s="3" t="s">
        <v>68</v>
      </c>
      <c r="BE3837" s="3" t="s">
        <v>36920</v>
      </c>
      <c r="BF3837" s="3" t="s">
        <v>36919</v>
      </c>
      <c r="BG3837" s="3" t="s">
        <v>36921</v>
      </c>
    </row>
    <row r="3838" spans="1:59" ht="57" x14ac:dyDescent="0.45">
      <c r="A3838" s="2" t="s">
        <v>59</v>
      </c>
      <c r="B3838" s="2" t="s">
        <v>60</v>
      </c>
      <c r="C3838" s="2" t="s">
        <v>36922</v>
      </c>
      <c r="D3838" s="2" t="s">
        <v>36923</v>
      </c>
      <c r="E3838" s="2" t="s">
        <v>36924</v>
      </c>
      <c r="G3838" s="3" t="s">
        <v>62</v>
      </c>
      <c r="I3838" s="3" t="s">
        <v>62</v>
      </c>
      <c r="J3838" s="3" t="s">
        <v>62</v>
      </c>
      <c r="K3838" s="3" t="s">
        <v>63</v>
      </c>
      <c r="L3838" s="2" t="s">
        <v>36925</v>
      </c>
      <c r="M3838" s="2" t="s">
        <v>1189</v>
      </c>
      <c r="N3838" s="3" t="s">
        <v>149</v>
      </c>
      <c r="P3838" s="3" t="s">
        <v>65</v>
      </c>
      <c r="Q3838" s="2" t="s">
        <v>21357</v>
      </c>
      <c r="R3838" s="3" t="s">
        <v>66</v>
      </c>
      <c r="S3838" s="4">
        <v>4</v>
      </c>
      <c r="T3838" s="4">
        <v>4</v>
      </c>
      <c r="U3838" s="5" t="s">
        <v>4094</v>
      </c>
      <c r="V3838" s="5" t="s">
        <v>4094</v>
      </c>
      <c r="W3838" s="5" t="s">
        <v>67</v>
      </c>
      <c r="X3838" s="5" t="s">
        <v>67</v>
      </c>
      <c r="Y3838" s="4">
        <v>188</v>
      </c>
      <c r="Z3838" s="4">
        <v>18</v>
      </c>
      <c r="AA3838" s="4">
        <v>83</v>
      </c>
      <c r="AB3838" s="4">
        <v>1</v>
      </c>
      <c r="AC3838" s="4">
        <v>15</v>
      </c>
      <c r="AD3838" s="4">
        <v>74</v>
      </c>
      <c r="AE3838" s="4">
        <v>126</v>
      </c>
      <c r="AF3838" s="4">
        <v>0</v>
      </c>
      <c r="AG3838" s="4">
        <v>8</v>
      </c>
      <c r="AH3838" s="4">
        <v>66</v>
      </c>
      <c r="AI3838" s="4">
        <v>90</v>
      </c>
      <c r="AJ3838" s="4">
        <v>12</v>
      </c>
      <c r="AK3838" s="4">
        <v>23</v>
      </c>
      <c r="AL3838" s="4">
        <v>43</v>
      </c>
      <c r="AM3838" s="4">
        <v>52</v>
      </c>
      <c r="AN3838" s="4">
        <v>0</v>
      </c>
      <c r="AO3838" s="4">
        <v>0</v>
      </c>
      <c r="AP3838" s="4">
        <v>13</v>
      </c>
      <c r="AQ3838" s="4">
        <v>43</v>
      </c>
      <c r="AR3838" s="3" t="s">
        <v>62</v>
      </c>
      <c r="AS3838" s="3" t="s">
        <v>62</v>
      </c>
      <c r="AT3838" s="3" t="s">
        <v>62</v>
      </c>
      <c r="AV3838" s="6" t="str">
        <f>HYPERLINK("http://mcgill.on.worldcat.org/oclc/299711327","Catalog Record")</f>
        <v>Catalog Record</v>
      </c>
      <c r="AW3838" s="6" t="str">
        <f>HYPERLINK("http://www.worldcat.org/oclc/299711327","WorldCat Record")</f>
        <v>WorldCat Record</v>
      </c>
      <c r="AX3838" s="3" t="s">
        <v>36926</v>
      </c>
      <c r="AY3838" s="3" t="s">
        <v>36927</v>
      </c>
      <c r="AZ3838" s="3" t="s">
        <v>36928</v>
      </c>
      <c r="BA3838" s="3" t="s">
        <v>36928</v>
      </c>
      <c r="BB3838" s="3" t="s">
        <v>36929</v>
      </c>
      <c r="BC3838" s="3" t="s">
        <v>142</v>
      </c>
      <c r="BD3838" s="3" t="s">
        <v>68</v>
      </c>
      <c r="BE3838" s="3" t="s">
        <v>36930</v>
      </c>
      <c r="BF3838" s="3" t="s">
        <v>36929</v>
      </c>
      <c r="BG3838" s="3" t="s">
        <v>36931</v>
      </c>
    </row>
    <row r="3839" spans="1:59" ht="57" x14ac:dyDescent="0.45">
      <c r="A3839" s="2" t="s">
        <v>59</v>
      </c>
      <c r="B3839" s="2" t="s">
        <v>60</v>
      </c>
      <c r="C3839" s="2" t="s">
        <v>36932</v>
      </c>
      <c r="D3839" s="2" t="s">
        <v>36933</v>
      </c>
      <c r="E3839" s="2" t="s">
        <v>36934</v>
      </c>
      <c r="G3839" s="3" t="s">
        <v>62</v>
      </c>
      <c r="I3839" s="3" t="s">
        <v>62</v>
      </c>
      <c r="J3839" s="3" t="s">
        <v>62</v>
      </c>
      <c r="K3839" s="3" t="s">
        <v>63</v>
      </c>
      <c r="L3839" s="2" t="s">
        <v>36935</v>
      </c>
      <c r="M3839" s="2" t="s">
        <v>36936</v>
      </c>
      <c r="N3839" s="3" t="s">
        <v>970</v>
      </c>
      <c r="P3839" s="3" t="s">
        <v>65</v>
      </c>
      <c r="Q3839" s="2" t="s">
        <v>9188</v>
      </c>
      <c r="R3839" s="3" t="s">
        <v>66</v>
      </c>
      <c r="S3839" s="4">
        <v>23</v>
      </c>
      <c r="T3839" s="4">
        <v>23</v>
      </c>
      <c r="U3839" s="5" t="s">
        <v>36937</v>
      </c>
      <c r="V3839" s="5" t="s">
        <v>36937</v>
      </c>
      <c r="W3839" s="5" t="s">
        <v>67</v>
      </c>
      <c r="X3839" s="5" t="s">
        <v>67</v>
      </c>
      <c r="Y3839" s="4">
        <v>286</v>
      </c>
      <c r="Z3839" s="4">
        <v>24</v>
      </c>
      <c r="AA3839" s="4">
        <v>30</v>
      </c>
      <c r="AB3839" s="4">
        <v>2</v>
      </c>
      <c r="AC3839" s="4">
        <v>7</v>
      </c>
      <c r="AD3839" s="4">
        <v>51</v>
      </c>
      <c r="AE3839" s="4">
        <v>54</v>
      </c>
      <c r="AF3839" s="4">
        <v>1</v>
      </c>
      <c r="AG3839" s="4">
        <v>3</v>
      </c>
      <c r="AH3839" s="4">
        <v>38</v>
      </c>
      <c r="AI3839" s="4">
        <v>38</v>
      </c>
      <c r="AJ3839" s="4">
        <v>11</v>
      </c>
      <c r="AK3839" s="4">
        <v>14</v>
      </c>
      <c r="AL3839" s="4">
        <v>24</v>
      </c>
      <c r="AM3839" s="4">
        <v>24</v>
      </c>
      <c r="AN3839" s="4">
        <v>0</v>
      </c>
      <c r="AO3839" s="4">
        <v>0</v>
      </c>
      <c r="AP3839" s="4">
        <v>17</v>
      </c>
      <c r="AQ3839" s="4">
        <v>20</v>
      </c>
      <c r="AR3839" s="3" t="s">
        <v>62</v>
      </c>
      <c r="AS3839" s="3" t="s">
        <v>62</v>
      </c>
      <c r="AT3839" s="3" t="s">
        <v>62</v>
      </c>
      <c r="AV3839" s="6" t="str">
        <f>HYPERLINK("http://mcgill.on.worldcat.org/oclc/50852218","Catalog Record")</f>
        <v>Catalog Record</v>
      </c>
      <c r="AW3839" s="6" t="str">
        <f>HYPERLINK("http://www.worldcat.org/oclc/50852218","WorldCat Record")</f>
        <v>WorldCat Record</v>
      </c>
      <c r="AX3839" s="3" t="s">
        <v>36938</v>
      </c>
      <c r="AY3839" s="3" t="s">
        <v>36939</v>
      </c>
      <c r="AZ3839" s="3" t="s">
        <v>36940</v>
      </c>
      <c r="BA3839" s="3" t="s">
        <v>36940</v>
      </c>
      <c r="BB3839" s="3" t="s">
        <v>36941</v>
      </c>
      <c r="BC3839" s="3" t="s">
        <v>142</v>
      </c>
      <c r="BD3839" s="3" t="s">
        <v>68</v>
      </c>
      <c r="BE3839" s="3" t="s">
        <v>36942</v>
      </c>
      <c r="BF3839" s="3" t="s">
        <v>36941</v>
      </c>
      <c r="BG3839" s="3" t="s">
        <v>36943</v>
      </c>
    </row>
    <row r="3840" spans="1:59" ht="57" x14ac:dyDescent="0.45">
      <c r="A3840" s="2" t="s">
        <v>59</v>
      </c>
      <c r="B3840" s="2" t="s">
        <v>412</v>
      </c>
      <c r="C3840" s="2" t="s">
        <v>36944</v>
      </c>
      <c r="D3840" s="2" t="s">
        <v>36945</v>
      </c>
      <c r="E3840" s="2" t="s">
        <v>36946</v>
      </c>
      <c r="G3840" s="3" t="s">
        <v>62</v>
      </c>
      <c r="I3840" s="3" t="s">
        <v>62</v>
      </c>
      <c r="J3840" s="3" t="s">
        <v>62</v>
      </c>
      <c r="K3840" s="3" t="s">
        <v>63</v>
      </c>
      <c r="L3840" s="2" t="s">
        <v>36935</v>
      </c>
      <c r="M3840" s="2" t="s">
        <v>36947</v>
      </c>
      <c r="N3840" s="3" t="s">
        <v>2417</v>
      </c>
      <c r="P3840" s="3" t="s">
        <v>65</v>
      </c>
      <c r="Q3840" s="2" t="s">
        <v>7700</v>
      </c>
      <c r="R3840" s="3" t="s">
        <v>66</v>
      </c>
      <c r="S3840" s="4">
        <v>39</v>
      </c>
      <c r="T3840" s="4">
        <v>39</v>
      </c>
      <c r="U3840" s="5" t="s">
        <v>2469</v>
      </c>
      <c r="V3840" s="5" t="s">
        <v>2469</v>
      </c>
      <c r="W3840" s="5" t="s">
        <v>67</v>
      </c>
      <c r="X3840" s="5" t="s">
        <v>67</v>
      </c>
      <c r="Y3840" s="4">
        <v>611</v>
      </c>
      <c r="Z3840" s="4">
        <v>32</v>
      </c>
      <c r="AA3840" s="4">
        <v>40</v>
      </c>
      <c r="AB3840" s="4">
        <v>3</v>
      </c>
      <c r="AC3840" s="4">
        <v>9</v>
      </c>
      <c r="AD3840" s="4">
        <v>116</v>
      </c>
      <c r="AE3840" s="4">
        <v>122</v>
      </c>
      <c r="AF3840" s="4">
        <v>2</v>
      </c>
      <c r="AG3840" s="4">
        <v>6</v>
      </c>
      <c r="AH3840" s="4">
        <v>100</v>
      </c>
      <c r="AI3840" s="4">
        <v>101</v>
      </c>
      <c r="AJ3840" s="4">
        <v>20</v>
      </c>
      <c r="AK3840" s="4">
        <v>23</v>
      </c>
      <c r="AL3840" s="4">
        <v>50</v>
      </c>
      <c r="AM3840" s="4">
        <v>50</v>
      </c>
      <c r="AN3840" s="4">
        <v>0</v>
      </c>
      <c r="AO3840" s="4">
        <v>0</v>
      </c>
      <c r="AP3840" s="4">
        <v>24</v>
      </c>
      <c r="AQ3840" s="4">
        <v>30</v>
      </c>
      <c r="AR3840" s="3" t="s">
        <v>62</v>
      </c>
      <c r="AS3840" s="3" t="s">
        <v>62</v>
      </c>
      <c r="AT3840" s="3" t="s">
        <v>62</v>
      </c>
      <c r="AV3840" s="6" t="str">
        <f>HYPERLINK("http://mcgill.on.worldcat.org/oclc/17299633","Catalog Record")</f>
        <v>Catalog Record</v>
      </c>
      <c r="AW3840" s="6" t="str">
        <f>HYPERLINK("http://www.worldcat.org/oclc/17299633","WorldCat Record")</f>
        <v>WorldCat Record</v>
      </c>
      <c r="AX3840" s="3" t="s">
        <v>36948</v>
      </c>
      <c r="AY3840" s="3" t="s">
        <v>36949</v>
      </c>
      <c r="AZ3840" s="3" t="s">
        <v>36950</v>
      </c>
      <c r="BA3840" s="3" t="s">
        <v>36950</v>
      </c>
      <c r="BB3840" s="3" t="s">
        <v>36951</v>
      </c>
      <c r="BC3840" s="3" t="s">
        <v>142</v>
      </c>
      <c r="BD3840" s="3" t="s">
        <v>68</v>
      </c>
      <c r="BE3840" s="3" t="s">
        <v>36952</v>
      </c>
      <c r="BF3840" s="3" t="s">
        <v>36951</v>
      </c>
      <c r="BG3840" s="3" t="s">
        <v>36953</v>
      </c>
    </row>
    <row r="3841" spans="1:59" ht="57" x14ac:dyDescent="0.45">
      <c r="A3841" s="2" t="s">
        <v>59</v>
      </c>
      <c r="B3841" s="2" t="s">
        <v>60</v>
      </c>
      <c r="C3841" s="2" t="s">
        <v>36954</v>
      </c>
      <c r="D3841" s="2" t="s">
        <v>36955</v>
      </c>
      <c r="E3841" s="2" t="s">
        <v>36956</v>
      </c>
      <c r="G3841" s="3" t="s">
        <v>62</v>
      </c>
      <c r="I3841" s="3" t="s">
        <v>62</v>
      </c>
      <c r="J3841" s="3" t="s">
        <v>62</v>
      </c>
      <c r="K3841" s="3" t="s">
        <v>63</v>
      </c>
      <c r="L3841" s="2" t="s">
        <v>36957</v>
      </c>
      <c r="M3841" s="2" t="s">
        <v>36958</v>
      </c>
      <c r="N3841" s="3" t="s">
        <v>1155</v>
      </c>
      <c r="P3841" s="3" t="s">
        <v>65</v>
      </c>
      <c r="R3841" s="3" t="s">
        <v>66</v>
      </c>
      <c r="S3841" s="4">
        <v>5</v>
      </c>
      <c r="T3841" s="4">
        <v>5</v>
      </c>
      <c r="U3841" s="5" t="s">
        <v>36959</v>
      </c>
      <c r="V3841" s="5" t="s">
        <v>36959</v>
      </c>
      <c r="W3841" s="5" t="s">
        <v>67</v>
      </c>
      <c r="X3841" s="5" t="s">
        <v>67</v>
      </c>
      <c r="Y3841" s="4">
        <v>171</v>
      </c>
      <c r="Z3841" s="4">
        <v>17</v>
      </c>
      <c r="AA3841" s="4">
        <v>17</v>
      </c>
      <c r="AB3841" s="4">
        <v>2</v>
      </c>
      <c r="AC3841" s="4">
        <v>2</v>
      </c>
      <c r="AD3841" s="4">
        <v>50</v>
      </c>
      <c r="AE3841" s="4">
        <v>50</v>
      </c>
      <c r="AF3841" s="4">
        <v>1</v>
      </c>
      <c r="AG3841" s="4">
        <v>1</v>
      </c>
      <c r="AH3841" s="4">
        <v>43</v>
      </c>
      <c r="AI3841" s="4">
        <v>43</v>
      </c>
      <c r="AJ3841" s="4">
        <v>12</v>
      </c>
      <c r="AK3841" s="4">
        <v>12</v>
      </c>
      <c r="AL3841" s="4">
        <v>26</v>
      </c>
      <c r="AM3841" s="4">
        <v>26</v>
      </c>
      <c r="AN3841" s="4">
        <v>0</v>
      </c>
      <c r="AO3841" s="4">
        <v>0</v>
      </c>
      <c r="AP3841" s="4">
        <v>13</v>
      </c>
      <c r="AQ3841" s="4">
        <v>13</v>
      </c>
      <c r="AR3841" s="3" t="s">
        <v>62</v>
      </c>
      <c r="AS3841" s="3" t="s">
        <v>62</v>
      </c>
      <c r="AT3841" s="3" t="s">
        <v>62</v>
      </c>
      <c r="AV3841" s="6" t="str">
        <f>HYPERLINK("http://mcgill.on.worldcat.org/oclc/777629892","Catalog Record")</f>
        <v>Catalog Record</v>
      </c>
      <c r="AW3841" s="6" t="str">
        <f>HYPERLINK("http://www.worldcat.org/oclc/777629892","WorldCat Record")</f>
        <v>WorldCat Record</v>
      </c>
      <c r="AX3841" s="3" t="s">
        <v>36960</v>
      </c>
      <c r="AY3841" s="3" t="s">
        <v>36961</v>
      </c>
      <c r="AZ3841" s="3" t="s">
        <v>36962</v>
      </c>
      <c r="BA3841" s="3" t="s">
        <v>36962</v>
      </c>
      <c r="BB3841" s="3" t="s">
        <v>36963</v>
      </c>
      <c r="BC3841" s="3" t="s">
        <v>142</v>
      </c>
      <c r="BD3841" s="3" t="s">
        <v>68</v>
      </c>
      <c r="BE3841" s="3" t="s">
        <v>36964</v>
      </c>
      <c r="BF3841" s="3" t="s">
        <v>36963</v>
      </c>
      <c r="BG3841" s="3" t="s">
        <v>36965</v>
      </c>
    </row>
    <row r="3842" spans="1:59" ht="57" x14ac:dyDescent="0.45">
      <c r="A3842" s="2" t="s">
        <v>59</v>
      </c>
      <c r="B3842" s="2" t="s">
        <v>60</v>
      </c>
      <c r="C3842" s="2" t="s">
        <v>36966</v>
      </c>
      <c r="D3842" s="2" t="s">
        <v>36967</v>
      </c>
      <c r="E3842" s="2" t="s">
        <v>36968</v>
      </c>
      <c r="G3842" s="3" t="s">
        <v>62</v>
      </c>
      <c r="I3842" s="3" t="s">
        <v>61</v>
      </c>
      <c r="J3842" s="3" t="s">
        <v>62</v>
      </c>
      <c r="K3842" s="3" t="s">
        <v>63</v>
      </c>
      <c r="L3842" s="2" t="s">
        <v>36969</v>
      </c>
      <c r="M3842" s="2" t="s">
        <v>1676</v>
      </c>
      <c r="N3842" s="3" t="s">
        <v>1059</v>
      </c>
      <c r="P3842" s="3" t="s">
        <v>65</v>
      </c>
      <c r="Q3842" s="2" t="s">
        <v>36970</v>
      </c>
      <c r="R3842" s="3" t="s">
        <v>66</v>
      </c>
      <c r="S3842" s="4">
        <v>1</v>
      </c>
      <c r="T3842" s="4">
        <v>8</v>
      </c>
      <c r="U3842" s="5" t="s">
        <v>36971</v>
      </c>
      <c r="V3842" s="5" t="s">
        <v>19521</v>
      </c>
      <c r="W3842" s="5" t="s">
        <v>67</v>
      </c>
      <c r="X3842" s="5" t="s">
        <v>67</v>
      </c>
      <c r="Y3842" s="4">
        <v>206</v>
      </c>
      <c r="Z3842" s="4">
        <v>25</v>
      </c>
      <c r="AA3842" s="4">
        <v>108</v>
      </c>
      <c r="AB3842" s="4">
        <v>2</v>
      </c>
      <c r="AC3842" s="4">
        <v>17</v>
      </c>
      <c r="AD3842" s="4">
        <v>77</v>
      </c>
      <c r="AE3842" s="4">
        <v>133</v>
      </c>
      <c r="AF3842" s="4">
        <v>1</v>
      </c>
      <c r="AG3842" s="4">
        <v>8</v>
      </c>
      <c r="AH3842" s="4">
        <v>63</v>
      </c>
      <c r="AI3842" s="4">
        <v>92</v>
      </c>
      <c r="AJ3842" s="4">
        <v>16</v>
      </c>
      <c r="AK3842" s="4">
        <v>26</v>
      </c>
      <c r="AL3842" s="4">
        <v>32</v>
      </c>
      <c r="AM3842" s="4">
        <v>45</v>
      </c>
      <c r="AN3842" s="4">
        <v>0</v>
      </c>
      <c r="AO3842" s="4">
        <v>0</v>
      </c>
      <c r="AP3842" s="4">
        <v>23</v>
      </c>
      <c r="AQ3842" s="4">
        <v>50</v>
      </c>
      <c r="AR3842" s="3" t="s">
        <v>62</v>
      </c>
      <c r="AS3842" s="3" t="s">
        <v>62</v>
      </c>
      <c r="AT3842" s="3" t="s">
        <v>62</v>
      </c>
      <c r="AV3842" s="6" t="str">
        <f>HYPERLINK("http://mcgill.on.worldcat.org/oclc/61694796","Catalog Record")</f>
        <v>Catalog Record</v>
      </c>
      <c r="AW3842" s="6" t="str">
        <f>HYPERLINK("http://www.worldcat.org/oclc/61694796","WorldCat Record")</f>
        <v>WorldCat Record</v>
      </c>
      <c r="AX3842" s="3" t="s">
        <v>36972</v>
      </c>
      <c r="AY3842" s="3" t="s">
        <v>36973</v>
      </c>
      <c r="AZ3842" s="3" t="s">
        <v>36974</v>
      </c>
      <c r="BA3842" s="3" t="s">
        <v>36974</v>
      </c>
      <c r="BB3842" s="3" t="s">
        <v>36975</v>
      </c>
      <c r="BC3842" s="3" t="s">
        <v>142</v>
      </c>
      <c r="BD3842" s="3" t="s">
        <v>68</v>
      </c>
      <c r="BE3842" s="3" t="s">
        <v>36976</v>
      </c>
      <c r="BF3842" s="3" t="s">
        <v>36975</v>
      </c>
      <c r="BG3842" s="3" t="s">
        <v>36977</v>
      </c>
    </row>
    <row r="3843" spans="1:59" ht="57" x14ac:dyDescent="0.45">
      <c r="A3843" s="2" t="s">
        <v>59</v>
      </c>
      <c r="B3843" s="2" t="s">
        <v>60</v>
      </c>
      <c r="C3843" s="2" t="s">
        <v>36966</v>
      </c>
      <c r="D3843" s="2" t="s">
        <v>36967</v>
      </c>
      <c r="E3843" s="2" t="s">
        <v>36968</v>
      </c>
      <c r="G3843" s="3" t="s">
        <v>62</v>
      </c>
      <c r="I3843" s="3" t="s">
        <v>61</v>
      </c>
      <c r="J3843" s="3" t="s">
        <v>62</v>
      </c>
      <c r="K3843" s="3" t="s">
        <v>63</v>
      </c>
      <c r="L3843" s="2" t="s">
        <v>36969</v>
      </c>
      <c r="M3843" s="2" t="s">
        <v>1676</v>
      </c>
      <c r="N3843" s="3" t="s">
        <v>1059</v>
      </c>
      <c r="P3843" s="3" t="s">
        <v>65</v>
      </c>
      <c r="Q3843" s="2" t="s">
        <v>36970</v>
      </c>
      <c r="R3843" s="3" t="s">
        <v>66</v>
      </c>
      <c r="S3843" s="4">
        <v>7</v>
      </c>
      <c r="T3843" s="4">
        <v>8</v>
      </c>
      <c r="U3843" s="5" t="s">
        <v>19521</v>
      </c>
      <c r="V3843" s="5" t="s">
        <v>19521</v>
      </c>
      <c r="W3843" s="5" t="s">
        <v>67</v>
      </c>
      <c r="X3843" s="5" t="s">
        <v>67</v>
      </c>
      <c r="Y3843" s="4">
        <v>206</v>
      </c>
      <c r="Z3843" s="4">
        <v>25</v>
      </c>
      <c r="AA3843" s="4">
        <v>108</v>
      </c>
      <c r="AB3843" s="4">
        <v>2</v>
      </c>
      <c r="AC3843" s="4">
        <v>17</v>
      </c>
      <c r="AD3843" s="4">
        <v>77</v>
      </c>
      <c r="AE3843" s="4">
        <v>133</v>
      </c>
      <c r="AF3843" s="4">
        <v>1</v>
      </c>
      <c r="AG3843" s="4">
        <v>8</v>
      </c>
      <c r="AH3843" s="4">
        <v>63</v>
      </c>
      <c r="AI3843" s="4">
        <v>92</v>
      </c>
      <c r="AJ3843" s="4">
        <v>16</v>
      </c>
      <c r="AK3843" s="4">
        <v>26</v>
      </c>
      <c r="AL3843" s="4">
        <v>32</v>
      </c>
      <c r="AM3843" s="4">
        <v>45</v>
      </c>
      <c r="AN3843" s="4">
        <v>0</v>
      </c>
      <c r="AO3843" s="4">
        <v>0</v>
      </c>
      <c r="AP3843" s="4">
        <v>23</v>
      </c>
      <c r="AQ3843" s="4">
        <v>50</v>
      </c>
      <c r="AR3843" s="3" t="s">
        <v>62</v>
      </c>
      <c r="AS3843" s="3" t="s">
        <v>62</v>
      </c>
      <c r="AT3843" s="3" t="s">
        <v>62</v>
      </c>
      <c r="AV3843" s="6" t="str">
        <f>HYPERLINK("http://mcgill.on.worldcat.org/oclc/61694796","Catalog Record")</f>
        <v>Catalog Record</v>
      </c>
      <c r="AW3843" s="6" t="str">
        <f>HYPERLINK("http://www.worldcat.org/oclc/61694796","WorldCat Record")</f>
        <v>WorldCat Record</v>
      </c>
      <c r="AX3843" s="3" t="s">
        <v>36972</v>
      </c>
      <c r="AY3843" s="3" t="s">
        <v>36973</v>
      </c>
      <c r="AZ3843" s="3" t="s">
        <v>36974</v>
      </c>
      <c r="BA3843" s="3" t="s">
        <v>36974</v>
      </c>
      <c r="BB3843" s="3" t="s">
        <v>36978</v>
      </c>
      <c r="BC3843" s="3" t="s">
        <v>142</v>
      </c>
      <c r="BD3843" s="3" t="s">
        <v>68</v>
      </c>
      <c r="BE3843" s="3" t="s">
        <v>36976</v>
      </c>
      <c r="BF3843" s="3" t="s">
        <v>36978</v>
      </c>
      <c r="BG3843" s="3" t="s">
        <v>36979</v>
      </c>
    </row>
    <row r="3844" spans="1:59" ht="57" x14ac:dyDescent="0.45">
      <c r="A3844" s="2" t="s">
        <v>59</v>
      </c>
      <c r="B3844" s="2" t="s">
        <v>60</v>
      </c>
      <c r="C3844" s="2" t="s">
        <v>36980</v>
      </c>
      <c r="D3844" s="2" t="s">
        <v>36981</v>
      </c>
      <c r="E3844" s="2" t="s">
        <v>36982</v>
      </c>
      <c r="G3844" s="3" t="s">
        <v>62</v>
      </c>
      <c r="I3844" s="3" t="s">
        <v>62</v>
      </c>
      <c r="J3844" s="3" t="s">
        <v>62</v>
      </c>
      <c r="K3844" s="3" t="s">
        <v>63</v>
      </c>
      <c r="M3844" s="2" t="s">
        <v>36983</v>
      </c>
      <c r="N3844" s="3" t="s">
        <v>116</v>
      </c>
      <c r="P3844" s="3" t="s">
        <v>65</v>
      </c>
      <c r="Q3844" s="2" t="s">
        <v>3219</v>
      </c>
      <c r="R3844" s="3" t="s">
        <v>66</v>
      </c>
      <c r="S3844" s="4">
        <v>3</v>
      </c>
      <c r="T3844" s="4">
        <v>3</v>
      </c>
      <c r="U3844" s="5" t="s">
        <v>12942</v>
      </c>
      <c r="V3844" s="5" t="s">
        <v>12942</v>
      </c>
      <c r="W3844" s="5" t="s">
        <v>67</v>
      </c>
      <c r="X3844" s="5" t="s">
        <v>67</v>
      </c>
      <c r="Y3844" s="4">
        <v>179</v>
      </c>
      <c r="Z3844" s="4">
        <v>21</v>
      </c>
      <c r="AA3844" s="4">
        <v>90</v>
      </c>
      <c r="AB3844" s="4">
        <v>2</v>
      </c>
      <c r="AC3844" s="4">
        <v>14</v>
      </c>
      <c r="AD3844" s="4">
        <v>65</v>
      </c>
      <c r="AE3844" s="4">
        <v>131</v>
      </c>
      <c r="AF3844" s="4">
        <v>1</v>
      </c>
      <c r="AG3844" s="4">
        <v>8</v>
      </c>
      <c r="AH3844" s="4">
        <v>60</v>
      </c>
      <c r="AI3844" s="4">
        <v>94</v>
      </c>
      <c r="AJ3844" s="4">
        <v>16</v>
      </c>
      <c r="AK3844" s="4">
        <v>27</v>
      </c>
      <c r="AL3844" s="4">
        <v>31</v>
      </c>
      <c r="AM3844" s="4">
        <v>48</v>
      </c>
      <c r="AN3844" s="4">
        <v>0</v>
      </c>
      <c r="AO3844" s="4">
        <v>0</v>
      </c>
      <c r="AP3844" s="4">
        <v>17</v>
      </c>
      <c r="AQ3844" s="4">
        <v>48</v>
      </c>
      <c r="AR3844" s="3" t="s">
        <v>62</v>
      </c>
      <c r="AS3844" s="3" t="s">
        <v>62</v>
      </c>
      <c r="AT3844" s="3" t="s">
        <v>62</v>
      </c>
      <c r="AV3844" s="6" t="str">
        <f>HYPERLINK("http://mcgill.on.worldcat.org/oclc/828413231","Catalog Record")</f>
        <v>Catalog Record</v>
      </c>
      <c r="AW3844" s="6" t="str">
        <f>HYPERLINK("http://www.worldcat.org/oclc/828413231","WorldCat Record")</f>
        <v>WorldCat Record</v>
      </c>
      <c r="AX3844" s="3" t="s">
        <v>36984</v>
      </c>
      <c r="AY3844" s="3" t="s">
        <v>36985</v>
      </c>
      <c r="AZ3844" s="3" t="s">
        <v>36986</v>
      </c>
      <c r="BA3844" s="3" t="s">
        <v>36986</v>
      </c>
      <c r="BB3844" s="3" t="s">
        <v>36987</v>
      </c>
      <c r="BC3844" s="3" t="s">
        <v>142</v>
      </c>
      <c r="BD3844" s="3" t="s">
        <v>68</v>
      </c>
      <c r="BE3844" s="3" t="s">
        <v>36988</v>
      </c>
      <c r="BF3844" s="3" t="s">
        <v>36987</v>
      </c>
      <c r="BG3844" s="3" t="s">
        <v>36989</v>
      </c>
    </row>
    <row r="3845" spans="1:59" ht="57" x14ac:dyDescent="0.45">
      <c r="A3845" s="2" t="s">
        <v>59</v>
      </c>
      <c r="B3845" s="2" t="s">
        <v>60</v>
      </c>
      <c r="C3845" s="2" t="s">
        <v>36990</v>
      </c>
      <c r="D3845" s="2" t="s">
        <v>36991</v>
      </c>
      <c r="E3845" s="2" t="s">
        <v>36992</v>
      </c>
      <c r="G3845" s="3" t="s">
        <v>62</v>
      </c>
      <c r="I3845" s="3" t="s">
        <v>62</v>
      </c>
      <c r="J3845" s="3" t="s">
        <v>62</v>
      </c>
      <c r="K3845" s="3" t="s">
        <v>63</v>
      </c>
      <c r="L3845" s="2" t="s">
        <v>36993</v>
      </c>
      <c r="M3845" s="2" t="s">
        <v>36994</v>
      </c>
      <c r="N3845" s="3" t="s">
        <v>181</v>
      </c>
      <c r="P3845" s="3" t="s">
        <v>65</v>
      </c>
      <c r="R3845" s="3" t="s">
        <v>66</v>
      </c>
      <c r="S3845" s="4">
        <v>0</v>
      </c>
      <c r="T3845" s="4">
        <v>0</v>
      </c>
      <c r="W3845" s="5" t="s">
        <v>67</v>
      </c>
      <c r="X3845" s="5" t="s">
        <v>67</v>
      </c>
      <c r="Y3845" s="4">
        <v>22</v>
      </c>
      <c r="Z3845" s="4">
        <v>6</v>
      </c>
      <c r="AA3845" s="4">
        <v>8</v>
      </c>
      <c r="AB3845" s="4">
        <v>1</v>
      </c>
      <c r="AC3845" s="4">
        <v>3</v>
      </c>
      <c r="AD3845" s="4">
        <v>11</v>
      </c>
      <c r="AE3845" s="4">
        <v>11</v>
      </c>
      <c r="AF3845" s="4">
        <v>0</v>
      </c>
      <c r="AG3845" s="4">
        <v>0</v>
      </c>
      <c r="AH3845" s="4">
        <v>10</v>
      </c>
      <c r="AI3845" s="4">
        <v>10</v>
      </c>
      <c r="AJ3845" s="4">
        <v>4</v>
      </c>
      <c r="AK3845" s="4">
        <v>4</v>
      </c>
      <c r="AL3845" s="4">
        <v>7</v>
      </c>
      <c r="AM3845" s="4">
        <v>7</v>
      </c>
      <c r="AN3845" s="4">
        <v>0</v>
      </c>
      <c r="AO3845" s="4">
        <v>0</v>
      </c>
      <c r="AP3845" s="4">
        <v>4</v>
      </c>
      <c r="AQ3845" s="4">
        <v>4</v>
      </c>
      <c r="AR3845" s="3" t="s">
        <v>62</v>
      </c>
      <c r="AS3845" s="3" t="s">
        <v>62</v>
      </c>
      <c r="AT3845" s="3" t="s">
        <v>62</v>
      </c>
      <c r="AV3845" s="6" t="str">
        <f>HYPERLINK("http://mcgill.on.worldcat.org/oclc/962402875","Catalog Record")</f>
        <v>Catalog Record</v>
      </c>
      <c r="AW3845" s="6" t="str">
        <f>HYPERLINK("http://www.worldcat.org/oclc/962402875","WorldCat Record")</f>
        <v>WorldCat Record</v>
      </c>
      <c r="AX3845" s="3" t="s">
        <v>36995</v>
      </c>
      <c r="AY3845" s="3" t="s">
        <v>36996</v>
      </c>
      <c r="AZ3845" s="3" t="s">
        <v>36997</v>
      </c>
      <c r="BA3845" s="3" t="s">
        <v>36997</v>
      </c>
      <c r="BB3845" s="3" t="s">
        <v>36998</v>
      </c>
      <c r="BC3845" s="3" t="s">
        <v>142</v>
      </c>
      <c r="BD3845" s="3" t="s">
        <v>68</v>
      </c>
      <c r="BE3845" s="3" t="s">
        <v>36999</v>
      </c>
      <c r="BF3845" s="3" t="s">
        <v>36998</v>
      </c>
      <c r="BG3845" s="3" t="s">
        <v>37000</v>
      </c>
    </row>
    <row r="3846" spans="1:59" ht="57" x14ac:dyDescent="0.45">
      <c r="A3846" s="2" t="s">
        <v>59</v>
      </c>
      <c r="B3846" s="2" t="s">
        <v>60</v>
      </c>
      <c r="C3846" s="2" t="s">
        <v>37001</v>
      </c>
      <c r="D3846" s="2" t="s">
        <v>37002</v>
      </c>
      <c r="E3846" s="2" t="s">
        <v>37003</v>
      </c>
      <c r="G3846" s="3" t="s">
        <v>62</v>
      </c>
      <c r="I3846" s="3" t="s">
        <v>62</v>
      </c>
      <c r="J3846" s="3" t="s">
        <v>62</v>
      </c>
      <c r="K3846" s="3" t="s">
        <v>63</v>
      </c>
      <c r="M3846" s="2" t="s">
        <v>37004</v>
      </c>
      <c r="N3846" s="3" t="s">
        <v>149</v>
      </c>
      <c r="P3846" s="3" t="s">
        <v>65</v>
      </c>
      <c r="Q3846" s="2" t="s">
        <v>37005</v>
      </c>
      <c r="R3846" s="3" t="s">
        <v>66</v>
      </c>
      <c r="S3846" s="4">
        <v>9</v>
      </c>
      <c r="T3846" s="4">
        <v>9</v>
      </c>
      <c r="U3846" s="5" t="s">
        <v>37006</v>
      </c>
      <c r="V3846" s="5" t="s">
        <v>37006</v>
      </c>
      <c r="W3846" s="5" t="s">
        <v>67</v>
      </c>
      <c r="X3846" s="5" t="s">
        <v>67</v>
      </c>
      <c r="Y3846" s="4">
        <v>130</v>
      </c>
      <c r="Z3846" s="4">
        <v>17</v>
      </c>
      <c r="AA3846" s="4">
        <v>100</v>
      </c>
      <c r="AB3846" s="4">
        <v>2</v>
      </c>
      <c r="AC3846" s="4">
        <v>17</v>
      </c>
      <c r="AD3846" s="4">
        <v>51</v>
      </c>
      <c r="AE3846" s="4">
        <v>119</v>
      </c>
      <c r="AF3846" s="4">
        <v>1</v>
      </c>
      <c r="AG3846" s="4">
        <v>8</v>
      </c>
      <c r="AH3846" s="4">
        <v>45</v>
      </c>
      <c r="AI3846" s="4">
        <v>82</v>
      </c>
      <c r="AJ3846" s="4">
        <v>13</v>
      </c>
      <c r="AK3846" s="4">
        <v>24</v>
      </c>
      <c r="AL3846" s="4">
        <v>30</v>
      </c>
      <c r="AM3846" s="4">
        <v>44</v>
      </c>
      <c r="AN3846" s="4">
        <v>0</v>
      </c>
      <c r="AO3846" s="4">
        <v>0</v>
      </c>
      <c r="AP3846" s="4">
        <v>13</v>
      </c>
      <c r="AQ3846" s="4">
        <v>46</v>
      </c>
      <c r="AR3846" s="3" t="s">
        <v>62</v>
      </c>
      <c r="AS3846" s="3" t="s">
        <v>62</v>
      </c>
      <c r="AT3846" s="3" t="s">
        <v>62</v>
      </c>
      <c r="AV3846" s="6" t="str">
        <f>HYPERLINK("http://mcgill.on.worldcat.org/oclc/496610113","Catalog Record")</f>
        <v>Catalog Record</v>
      </c>
      <c r="AW3846" s="6" t="str">
        <f>HYPERLINK("http://www.worldcat.org/oclc/496610113","WorldCat Record")</f>
        <v>WorldCat Record</v>
      </c>
      <c r="AX3846" s="3" t="s">
        <v>37007</v>
      </c>
      <c r="AY3846" s="3" t="s">
        <v>37008</v>
      </c>
      <c r="AZ3846" s="3" t="s">
        <v>37009</v>
      </c>
      <c r="BA3846" s="3" t="s">
        <v>37009</v>
      </c>
      <c r="BB3846" s="3" t="s">
        <v>37010</v>
      </c>
      <c r="BC3846" s="3" t="s">
        <v>142</v>
      </c>
      <c r="BD3846" s="3" t="s">
        <v>68</v>
      </c>
      <c r="BE3846" s="3" t="s">
        <v>37011</v>
      </c>
      <c r="BF3846" s="3" t="s">
        <v>37010</v>
      </c>
      <c r="BG3846" s="3" t="s">
        <v>37012</v>
      </c>
    </row>
    <row r="3847" spans="1:59" ht="57" x14ac:dyDescent="0.45">
      <c r="A3847" s="2" t="s">
        <v>59</v>
      </c>
      <c r="B3847" s="2" t="s">
        <v>60</v>
      </c>
      <c r="C3847" s="2" t="s">
        <v>37013</v>
      </c>
      <c r="D3847" s="2" t="s">
        <v>37014</v>
      </c>
      <c r="E3847" s="2" t="s">
        <v>37015</v>
      </c>
      <c r="G3847" s="3" t="s">
        <v>62</v>
      </c>
      <c r="I3847" s="3" t="s">
        <v>62</v>
      </c>
      <c r="J3847" s="3" t="s">
        <v>61</v>
      </c>
      <c r="K3847" s="3" t="s">
        <v>63</v>
      </c>
      <c r="L3847" s="2" t="s">
        <v>37016</v>
      </c>
      <c r="M3847" s="2" t="s">
        <v>37017</v>
      </c>
      <c r="N3847" s="3" t="s">
        <v>1437</v>
      </c>
      <c r="P3847" s="3" t="s">
        <v>65</v>
      </c>
      <c r="Q3847" s="2" t="s">
        <v>7366</v>
      </c>
      <c r="R3847" s="3" t="s">
        <v>66</v>
      </c>
      <c r="S3847" s="4">
        <v>29</v>
      </c>
      <c r="T3847" s="4">
        <v>29</v>
      </c>
      <c r="U3847" s="5" t="s">
        <v>31358</v>
      </c>
      <c r="V3847" s="5" t="s">
        <v>31358</v>
      </c>
      <c r="W3847" s="5" t="s">
        <v>67</v>
      </c>
      <c r="X3847" s="5" t="s">
        <v>67</v>
      </c>
      <c r="Y3847" s="4">
        <v>380</v>
      </c>
      <c r="Z3847" s="4">
        <v>21</v>
      </c>
      <c r="AA3847" s="4">
        <v>84</v>
      </c>
      <c r="AB3847" s="4">
        <v>2</v>
      </c>
      <c r="AC3847" s="4">
        <v>15</v>
      </c>
      <c r="AD3847" s="4">
        <v>84</v>
      </c>
      <c r="AE3847" s="4">
        <v>132</v>
      </c>
      <c r="AF3847" s="4">
        <v>1</v>
      </c>
      <c r="AG3847" s="4">
        <v>8</v>
      </c>
      <c r="AH3847" s="4">
        <v>76</v>
      </c>
      <c r="AI3847" s="4">
        <v>95</v>
      </c>
      <c r="AJ3847" s="4">
        <v>14</v>
      </c>
      <c r="AK3847" s="4">
        <v>25</v>
      </c>
      <c r="AL3847" s="4">
        <v>44</v>
      </c>
      <c r="AM3847" s="4">
        <v>51</v>
      </c>
      <c r="AN3847" s="4">
        <v>0</v>
      </c>
      <c r="AO3847" s="4">
        <v>0</v>
      </c>
      <c r="AP3847" s="4">
        <v>16</v>
      </c>
      <c r="AQ3847" s="4">
        <v>45</v>
      </c>
      <c r="AR3847" s="3" t="s">
        <v>62</v>
      </c>
      <c r="AS3847" s="3" t="s">
        <v>62</v>
      </c>
      <c r="AT3847" s="3" t="s">
        <v>61</v>
      </c>
      <c r="AU3847" s="6" t="str">
        <f>HYPERLINK("http://catalog.hathitrust.org/Record/004024229","HathiTrust Record")</f>
        <v>HathiTrust Record</v>
      </c>
      <c r="AV3847" s="6" t="str">
        <f>HYPERLINK("http://mcgill.on.worldcat.org/oclc/37432807","Catalog Record")</f>
        <v>Catalog Record</v>
      </c>
      <c r="AW3847" s="6" t="str">
        <f>HYPERLINK("http://www.worldcat.org/oclc/37432807","WorldCat Record")</f>
        <v>WorldCat Record</v>
      </c>
      <c r="AX3847" s="3" t="s">
        <v>37018</v>
      </c>
      <c r="AY3847" s="3" t="s">
        <v>37019</v>
      </c>
      <c r="AZ3847" s="3" t="s">
        <v>37020</v>
      </c>
      <c r="BA3847" s="3" t="s">
        <v>37020</v>
      </c>
      <c r="BB3847" s="3" t="s">
        <v>37021</v>
      </c>
      <c r="BC3847" s="3" t="s">
        <v>142</v>
      </c>
      <c r="BD3847" s="3" t="s">
        <v>68</v>
      </c>
      <c r="BE3847" s="3" t="s">
        <v>37022</v>
      </c>
      <c r="BF3847" s="3" t="s">
        <v>37021</v>
      </c>
      <c r="BG3847" s="3" t="s">
        <v>37023</v>
      </c>
    </row>
    <row r="3848" spans="1:59" ht="57" x14ac:dyDescent="0.45">
      <c r="A3848" s="2" t="s">
        <v>59</v>
      </c>
      <c r="B3848" s="2" t="s">
        <v>60</v>
      </c>
      <c r="C3848" s="2" t="s">
        <v>37024</v>
      </c>
      <c r="D3848" s="2" t="s">
        <v>37025</v>
      </c>
      <c r="E3848" s="2" t="s">
        <v>37015</v>
      </c>
      <c r="G3848" s="3" t="s">
        <v>62</v>
      </c>
      <c r="I3848" s="3" t="s">
        <v>62</v>
      </c>
      <c r="J3848" s="3" t="s">
        <v>61</v>
      </c>
      <c r="K3848" s="3" t="s">
        <v>63</v>
      </c>
      <c r="L3848" s="2" t="s">
        <v>37016</v>
      </c>
      <c r="M3848" s="2" t="s">
        <v>37026</v>
      </c>
      <c r="N3848" s="3" t="s">
        <v>894</v>
      </c>
      <c r="O3848" s="2" t="s">
        <v>933</v>
      </c>
      <c r="P3848" s="3" t="s">
        <v>65</v>
      </c>
      <c r="Q3848" s="2" t="s">
        <v>37027</v>
      </c>
      <c r="R3848" s="3" t="s">
        <v>66</v>
      </c>
      <c r="S3848" s="4">
        <v>2</v>
      </c>
      <c r="T3848" s="4">
        <v>2</v>
      </c>
      <c r="U3848" s="5" t="s">
        <v>6989</v>
      </c>
      <c r="V3848" s="5" t="s">
        <v>6989</v>
      </c>
      <c r="W3848" s="5" t="s">
        <v>67</v>
      </c>
      <c r="X3848" s="5" t="s">
        <v>67</v>
      </c>
      <c r="Y3848" s="4">
        <v>68</v>
      </c>
      <c r="Z3848" s="4">
        <v>10</v>
      </c>
      <c r="AA3848" s="4">
        <v>84</v>
      </c>
      <c r="AB3848" s="4">
        <v>1</v>
      </c>
      <c r="AC3848" s="4">
        <v>15</v>
      </c>
      <c r="AD3848" s="4">
        <v>13</v>
      </c>
      <c r="AE3848" s="4">
        <v>132</v>
      </c>
      <c r="AF3848" s="4">
        <v>0</v>
      </c>
      <c r="AG3848" s="4">
        <v>8</v>
      </c>
      <c r="AH3848" s="4">
        <v>11</v>
      </c>
      <c r="AI3848" s="4">
        <v>95</v>
      </c>
      <c r="AJ3848" s="4">
        <v>7</v>
      </c>
      <c r="AK3848" s="4">
        <v>25</v>
      </c>
      <c r="AL3848" s="4">
        <v>4</v>
      </c>
      <c r="AM3848" s="4">
        <v>51</v>
      </c>
      <c r="AN3848" s="4">
        <v>0</v>
      </c>
      <c r="AO3848" s="4">
        <v>0</v>
      </c>
      <c r="AP3848" s="4">
        <v>7</v>
      </c>
      <c r="AQ3848" s="4">
        <v>45</v>
      </c>
      <c r="AR3848" s="3" t="s">
        <v>62</v>
      </c>
      <c r="AS3848" s="3" t="s">
        <v>62</v>
      </c>
      <c r="AT3848" s="3" t="s">
        <v>62</v>
      </c>
      <c r="AV3848" s="6" t="str">
        <f>HYPERLINK("http://mcgill.on.worldcat.org/oclc/695032998","Catalog Record")</f>
        <v>Catalog Record</v>
      </c>
      <c r="AW3848" s="6" t="str">
        <f>HYPERLINK("http://www.worldcat.org/oclc/695032998","WorldCat Record")</f>
        <v>WorldCat Record</v>
      </c>
      <c r="AX3848" s="3" t="s">
        <v>37018</v>
      </c>
      <c r="AY3848" s="3" t="s">
        <v>37028</v>
      </c>
      <c r="AZ3848" s="3" t="s">
        <v>37029</v>
      </c>
      <c r="BA3848" s="3" t="s">
        <v>37029</v>
      </c>
      <c r="BB3848" s="3" t="s">
        <v>37030</v>
      </c>
      <c r="BC3848" s="3" t="s">
        <v>142</v>
      </c>
      <c r="BD3848" s="3" t="s">
        <v>68</v>
      </c>
      <c r="BE3848" s="3" t="s">
        <v>37031</v>
      </c>
      <c r="BF3848" s="3" t="s">
        <v>37030</v>
      </c>
      <c r="BG3848" s="3" t="s">
        <v>37032</v>
      </c>
    </row>
    <row r="3849" spans="1:59" ht="57" x14ac:dyDescent="0.45">
      <c r="A3849" s="2" t="s">
        <v>59</v>
      </c>
      <c r="B3849" s="2" t="s">
        <v>60</v>
      </c>
      <c r="C3849" s="2" t="s">
        <v>37033</v>
      </c>
      <c r="D3849" s="2" t="s">
        <v>37034</v>
      </c>
      <c r="E3849" s="2" t="s">
        <v>37035</v>
      </c>
      <c r="G3849" s="3" t="s">
        <v>62</v>
      </c>
      <c r="I3849" s="3" t="s">
        <v>62</v>
      </c>
      <c r="J3849" s="3" t="s">
        <v>62</v>
      </c>
      <c r="K3849" s="3" t="s">
        <v>63</v>
      </c>
      <c r="L3849" s="2" t="s">
        <v>37036</v>
      </c>
      <c r="M3849" s="2" t="s">
        <v>33777</v>
      </c>
      <c r="N3849" s="3" t="s">
        <v>208</v>
      </c>
      <c r="P3849" s="3" t="s">
        <v>65</v>
      </c>
      <c r="R3849" s="3" t="s">
        <v>66</v>
      </c>
      <c r="S3849" s="4">
        <v>2</v>
      </c>
      <c r="T3849" s="4">
        <v>2</v>
      </c>
      <c r="W3849" s="5" t="s">
        <v>67</v>
      </c>
      <c r="X3849" s="5" t="s">
        <v>67</v>
      </c>
      <c r="Y3849" s="4">
        <v>95</v>
      </c>
      <c r="Z3849" s="4">
        <v>10</v>
      </c>
      <c r="AA3849" s="4">
        <v>12</v>
      </c>
      <c r="AB3849" s="4">
        <v>1</v>
      </c>
      <c r="AC3849" s="4">
        <v>3</v>
      </c>
      <c r="AD3849" s="4">
        <v>26</v>
      </c>
      <c r="AE3849" s="4">
        <v>32</v>
      </c>
      <c r="AF3849" s="4">
        <v>0</v>
      </c>
      <c r="AG3849" s="4">
        <v>2</v>
      </c>
      <c r="AH3849" s="4">
        <v>25</v>
      </c>
      <c r="AI3849" s="4">
        <v>29</v>
      </c>
      <c r="AJ3849" s="4">
        <v>6</v>
      </c>
      <c r="AK3849" s="4">
        <v>8</v>
      </c>
      <c r="AL3849" s="4">
        <v>13</v>
      </c>
      <c r="AM3849" s="4">
        <v>15</v>
      </c>
      <c r="AN3849" s="4">
        <v>0</v>
      </c>
      <c r="AO3849" s="4">
        <v>0</v>
      </c>
      <c r="AP3849" s="4">
        <v>7</v>
      </c>
      <c r="AQ3849" s="4">
        <v>8</v>
      </c>
      <c r="AR3849" s="3" t="s">
        <v>62</v>
      </c>
      <c r="AS3849" s="3" t="s">
        <v>62</v>
      </c>
      <c r="AT3849" s="3" t="s">
        <v>62</v>
      </c>
      <c r="AV3849" s="6" t="str">
        <f>HYPERLINK("http://mcgill.on.worldcat.org/oclc/907494527","Catalog Record")</f>
        <v>Catalog Record</v>
      </c>
      <c r="AW3849" s="6" t="str">
        <f>HYPERLINK("http://www.worldcat.org/oclc/907494527","WorldCat Record")</f>
        <v>WorldCat Record</v>
      </c>
      <c r="AX3849" s="3" t="s">
        <v>37037</v>
      </c>
      <c r="AY3849" s="3" t="s">
        <v>37038</v>
      </c>
      <c r="AZ3849" s="3" t="s">
        <v>37039</v>
      </c>
      <c r="BA3849" s="3" t="s">
        <v>37039</v>
      </c>
      <c r="BB3849" s="3" t="s">
        <v>37040</v>
      </c>
      <c r="BC3849" s="3" t="s">
        <v>142</v>
      </c>
      <c r="BD3849" s="3" t="s">
        <v>308</v>
      </c>
      <c r="BE3849" s="3" t="s">
        <v>37041</v>
      </c>
      <c r="BF3849" s="3" t="s">
        <v>37040</v>
      </c>
      <c r="BG3849" s="3" t="s">
        <v>37042</v>
      </c>
    </row>
    <row r="3850" spans="1:59" ht="71.25" x14ac:dyDescent="0.45">
      <c r="A3850" s="2" t="s">
        <v>59</v>
      </c>
      <c r="B3850" s="2" t="s">
        <v>60</v>
      </c>
      <c r="C3850" s="2" t="s">
        <v>37043</v>
      </c>
      <c r="D3850" s="2" t="s">
        <v>37044</v>
      </c>
      <c r="E3850" s="2" t="s">
        <v>37045</v>
      </c>
      <c r="G3850" s="3" t="s">
        <v>62</v>
      </c>
      <c r="I3850" s="3" t="s">
        <v>62</v>
      </c>
      <c r="J3850" s="3" t="s">
        <v>62</v>
      </c>
      <c r="K3850" s="3" t="s">
        <v>63</v>
      </c>
      <c r="M3850" s="2" t="s">
        <v>37046</v>
      </c>
      <c r="N3850" s="3" t="s">
        <v>116</v>
      </c>
      <c r="P3850" s="3" t="s">
        <v>65</v>
      </c>
      <c r="Q3850" s="2" t="s">
        <v>37047</v>
      </c>
      <c r="R3850" s="3" t="s">
        <v>66</v>
      </c>
      <c r="S3850" s="4">
        <v>3</v>
      </c>
      <c r="T3850" s="4">
        <v>3</v>
      </c>
      <c r="U3850" s="5" t="s">
        <v>8070</v>
      </c>
      <c r="V3850" s="5" t="s">
        <v>8070</v>
      </c>
      <c r="W3850" s="5" t="s">
        <v>67</v>
      </c>
      <c r="X3850" s="5" t="s">
        <v>67</v>
      </c>
      <c r="Y3850" s="4">
        <v>114</v>
      </c>
      <c r="Z3850" s="4">
        <v>14</v>
      </c>
      <c r="AA3850" s="4">
        <v>80</v>
      </c>
      <c r="AB3850" s="4">
        <v>2</v>
      </c>
      <c r="AC3850" s="4">
        <v>14</v>
      </c>
      <c r="AD3850" s="4">
        <v>35</v>
      </c>
      <c r="AE3850" s="4">
        <v>114</v>
      </c>
      <c r="AF3850" s="4">
        <v>1</v>
      </c>
      <c r="AG3850" s="4">
        <v>8</v>
      </c>
      <c r="AH3850" s="4">
        <v>29</v>
      </c>
      <c r="AI3850" s="4">
        <v>79</v>
      </c>
      <c r="AJ3850" s="4">
        <v>11</v>
      </c>
      <c r="AK3850" s="4">
        <v>23</v>
      </c>
      <c r="AL3850" s="4">
        <v>15</v>
      </c>
      <c r="AM3850" s="4">
        <v>39</v>
      </c>
      <c r="AN3850" s="4">
        <v>0</v>
      </c>
      <c r="AO3850" s="4">
        <v>0</v>
      </c>
      <c r="AP3850" s="4">
        <v>12</v>
      </c>
      <c r="AQ3850" s="4">
        <v>43</v>
      </c>
      <c r="AR3850" s="3" t="s">
        <v>62</v>
      </c>
      <c r="AS3850" s="3" t="s">
        <v>62</v>
      </c>
      <c r="AT3850" s="3" t="s">
        <v>62</v>
      </c>
      <c r="AV3850" s="6" t="str">
        <f>HYPERLINK("http://mcgill.on.worldcat.org/oclc/822532902","Catalog Record")</f>
        <v>Catalog Record</v>
      </c>
      <c r="AW3850" s="6" t="str">
        <f>HYPERLINK("http://www.worldcat.org/oclc/822532902","WorldCat Record")</f>
        <v>WorldCat Record</v>
      </c>
      <c r="AX3850" s="3" t="s">
        <v>37048</v>
      </c>
      <c r="AY3850" s="3" t="s">
        <v>37049</v>
      </c>
      <c r="AZ3850" s="3" t="s">
        <v>37050</v>
      </c>
      <c r="BA3850" s="3" t="s">
        <v>37050</v>
      </c>
      <c r="BB3850" s="3" t="s">
        <v>37051</v>
      </c>
      <c r="BC3850" s="3" t="s">
        <v>142</v>
      </c>
      <c r="BD3850" s="3" t="s">
        <v>68</v>
      </c>
      <c r="BE3850" s="3" t="s">
        <v>37052</v>
      </c>
      <c r="BF3850" s="3" t="s">
        <v>37051</v>
      </c>
      <c r="BG3850" s="3" t="s">
        <v>37053</v>
      </c>
    </row>
    <row r="3851" spans="1:59" ht="57" x14ac:dyDescent="0.45">
      <c r="A3851" s="2" t="s">
        <v>59</v>
      </c>
      <c r="B3851" s="2" t="s">
        <v>60</v>
      </c>
      <c r="C3851" s="2" t="s">
        <v>37054</v>
      </c>
      <c r="D3851" s="2" t="s">
        <v>37055</v>
      </c>
      <c r="E3851" s="2" t="s">
        <v>37056</v>
      </c>
      <c r="G3851" s="3" t="s">
        <v>62</v>
      </c>
      <c r="I3851" s="3" t="s">
        <v>62</v>
      </c>
      <c r="J3851" s="3" t="s">
        <v>62</v>
      </c>
      <c r="K3851" s="3" t="s">
        <v>63</v>
      </c>
      <c r="M3851" s="2" t="s">
        <v>1781</v>
      </c>
      <c r="N3851" s="3" t="s">
        <v>149</v>
      </c>
      <c r="P3851" s="3" t="s">
        <v>65</v>
      </c>
      <c r="Q3851" s="2" t="s">
        <v>37057</v>
      </c>
      <c r="R3851" s="3" t="s">
        <v>66</v>
      </c>
      <c r="S3851" s="4">
        <v>0</v>
      </c>
      <c r="T3851" s="4">
        <v>0</v>
      </c>
      <c r="W3851" s="5" t="s">
        <v>67</v>
      </c>
      <c r="X3851" s="5" t="s">
        <v>67</v>
      </c>
      <c r="Y3851" s="4">
        <v>135</v>
      </c>
      <c r="Z3851" s="4">
        <v>19</v>
      </c>
      <c r="AA3851" s="4">
        <v>101</v>
      </c>
      <c r="AB3851" s="4">
        <v>3</v>
      </c>
      <c r="AC3851" s="4">
        <v>18</v>
      </c>
      <c r="AD3851" s="4">
        <v>44</v>
      </c>
      <c r="AE3851" s="4">
        <v>113</v>
      </c>
      <c r="AF3851" s="4">
        <v>1</v>
      </c>
      <c r="AG3851" s="4">
        <v>8</v>
      </c>
      <c r="AH3851" s="4">
        <v>38</v>
      </c>
      <c r="AI3851" s="4">
        <v>77</v>
      </c>
      <c r="AJ3851" s="4">
        <v>13</v>
      </c>
      <c r="AK3851" s="4">
        <v>26</v>
      </c>
      <c r="AL3851" s="4">
        <v>19</v>
      </c>
      <c r="AM3851" s="4">
        <v>36</v>
      </c>
      <c r="AN3851" s="4">
        <v>0</v>
      </c>
      <c r="AO3851" s="4">
        <v>0</v>
      </c>
      <c r="AP3851" s="4">
        <v>14</v>
      </c>
      <c r="AQ3851" s="4">
        <v>47</v>
      </c>
      <c r="AR3851" s="3" t="s">
        <v>62</v>
      </c>
      <c r="AS3851" s="3" t="s">
        <v>62</v>
      </c>
      <c r="AT3851" s="3" t="s">
        <v>62</v>
      </c>
      <c r="AV3851" s="6" t="str">
        <f>HYPERLINK("http://mcgill.on.worldcat.org/oclc/502158644","Catalog Record")</f>
        <v>Catalog Record</v>
      </c>
      <c r="AW3851" s="6" t="str">
        <f>HYPERLINK("http://www.worldcat.org/oclc/502158644","WorldCat Record")</f>
        <v>WorldCat Record</v>
      </c>
      <c r="AX3851" s="3" t="s">
        <v>37058</v>
      </c>
      <c r="AY3851" s="3" t="s">
        <v>37059</v>
      </c>
      <c r="AZ3851" s="3" t="s">
        <v>37060</v>
      </c>
      <c r="BA3851" s="3" t="s">
        <v>37060</v>
      </c>
      <c r="BB3851" s="3" t="s">
        <v>37061</v>
      </c>
      <c r="BC3851" s="3" t="s">
        <v>142</v>
      </c>
      <c r="BD3851" s="3" t="s">
        <v>68</v>
      </c>
      <c r="BE3851" s="3" t="s">
        <v>37062</v>
      </c>
      <c r="BF3851" s="3" t="s">
        <v>37061</v>
      </c>
      <c r="BG3851" s="3" t="s">
        <v>37063</v>
      </c>
    </row>
    <row r="3852" spans="1:59" ht="57" x14ac:dyDescent="0.45">
      <c r="A3852" s="2" t="s">
        <v>59</v>
      </c>
      <c r="B3852" s="2" t="s">
        <v>60</v>
      </c>
      <c r="C3852" s="2" t="s">
        <v>37064</v>
      </c>
      <c r="D3852" s="2" t="s">
        <v>37065</v>
      </c>
      <c r="E3852" s="2" t="s">
        <v>37066</v>
      </c>
      <c r="G3852" s="3" t="s">
        <v>62</v>
      </c>
      <c r="I3852" s="3" t="s">
        <v>62</v>
      </c>
      <c r="J3852" s="3" t="s">
        <v>62</v>
      </c>
      <c r="K3852" s="3" t="s">
        <v>63</v>
      </c>
      <c r="M3852" s="2" t="s">
        <v>37067</v>
      </c>
      <c r="N3852" s="3" t="s">
        <v>1437</v>
      </c>
      <c r="P3852" s="3" t="s">
        <v>65</v>
      </c>
      <c r="R3852" s="3" t="s">
        <v>66</v>
      </c>
      <c r="S3852" s="4">
        <v>19</v>
      </c>
      <c r="T3852" s="4">
        <v>19</v>
      </c>
      <c r="U3852" s="5" t="s">
        <v>23495</v>
      </c>
      <c r="V3852" s="5" t="s">
        <v>23495</v>
      </c>
      <c r="W3852" s="5" t="s">
        <v>67</v>
      </c>
      <c r="X3852" s="5" t="s">
        <v>67</v>
      </c>
      <c r="Y3852" s="4">
        <v>178</v>
      </c>
      <c r="Z3852" s="4">
        <v>12</v>
      </c>
      <c r="AA3852" s="4">
        <v>13</v>
      </c>
      <c r="AB3852" s="4">
        <v>2</v>
      </c>
      <c r="AC3852" s="4">
        <v>2</v>
      </c>
      <c r="AD3852" s="4">
        <v>64</v>
      </c>
      <c r="AE3852" s="4">
        <v>65</v>
      </c>
      <c r="AF3852" s="4">
        <v>1</v>
      </c>
      <c r="AG3852" s="4">
        <v>1</v>
      </c>
      <c r="AH3852" s="4">
        <v>59</v>
      </c>
      <c r="AI3852" s="4">
        <v>59</v>
      </c>
      <c r="AJ3852" s="4">
        <v>9</v>
      </c>
      <c r="AK3852" s="4">
        <v>9</v>
      </c>
      <c r="AL3852" s="4">
        <v>32</v>
      </c>
      <c r="AM3852" s="4">
        <v>32</v>
      </c>
      <c r="AN3852" s="4">
        <v>0</v>
      </c>
      <c r="AO3852" s="4">
        <v>0</v>
      </c>
      <c r="AP3852" s="4">
        <v>9</v>
      </c>
      <c r="AQ3852" s="4">
        <v>10</v>
      </c>
      <c r="AR3852" s="3" t="s">
        <v>62</v>
      </c>
      <c r="AS3852" s="3" t="s">
        <v>62</v>
      </c>
      <c r="AT3852" s="3" t="s">
        <v>61</v>
      </c>
      <c r="AU3852" s="6" t="str">
        <f>HYPERLINK("http://catalog.hathitrust.org/Record/004018827","HathiTrust Record")</f>
        <v>HathiTrust Record</v>
      </c>
      <c r="AV3852" s="6" t="str">
        <f>HYPERLINK("http://mcgill.on.worldcat.org/oclc/39339441","Catalog Record")</f>
        <v>Catalog Record</v>
      </c>
      <c r="AW3852" s="6" t="str">
        <f>HYPERLINK("http://www.worldcat.org/oclc/39339441","WorldCat Record")</f>
        <v>WorldCat Record</v>
      </c>
      <c r="AX3852" s="3" t="s">
        <v>37068</v>
      </c>
      <c r="AY3852" s="3" t="s">
        <v>37069</v>
      </c>
      <c r="AZ3852" s="3" t="s">
        <v>37070</v>
      </c>
      <c r="BA3852" s="3" t="s">
        <v>37070</v>
      </c>
      <c r="BB3852" s="3" t="s">
        <v>37071</v>
      </c>
      <c r="BC3852" s="3" t="s">
        <v>142</v>
      </c>
      <c r="BD3852" s="3" t="s">
        <v>68</v>
      </c>
      <c r="BE3852" s="3" t="s">
        <v>37072</v>
      </c>
      <c r="BF3852" s="3" t="s">
        <v>37071</v>
      </c>
      <c r="BG3852" s="3" t="s">
        <v>37073</v>
      </c>
    </row>
    <row r="3853" spans="1:59" ht="57" x14ac:dyDescent="0.45">
      <c r="A3853" s="2" t="s">
        <v>59</v>
      </c>
      <c r="B3853" s="2" t="s">
        <v>60</v>
      </c>
      <c r="C3853" s="2" t="s">
        <v>37074</v>
      </c>
      <c r="D3853" s="2" t="s">
        <v>37075</v>
      </c>
      <c r="E3853" s="2" t="s">
        <v>37076</v>
      </c>
      <c r="G3853" s="3" t="s">
        <v>62</v>
      </c>
      <c r="I3853" s="3" t="s">
        <v>61</v>
      </c>
      <c r="J3853" s="3" t="s">
        <v>62</v>
      </c>
      <c r="K3853" s="3" t="s">
        <v>63</v>
      </c>
      <c r="M3853" s="2" t="s">
        <v>5214</v>
      </c>
      <c r="N3853" s="3" t="s">
        <v>945</v>
      </c>
      <c r="P3853" s="3" t="s">
        <v>65</v>
      </c>
      <c r="Q3853" s="2" t="s">
        <v>2655</v>
      </c>
      <c r="R3853" s="3" t="s">
        <v>66</v>
      </c>
      <c r="S3853" s="4">
        <v>7</v>
      </c>
      <c r="T3853" s="4">
        <v>53</v>
      </c>
      <c r="U3853" s="5" t="s">
        <v>13691</v>
      </c>
      <c r="V3853" s="5" t="s">
        <v>26445</v>
      </c>
      <c r="W3853" s="5" t="s">
        <v>67</v>
      </c>
      <c r="X3853" s="5" t="s">
        <v>67</v>
      </c>
      <c r="Y3853" s="4">
        <v>138</v>
      </c>
      <c r="Z3853" s="4">
        <v>13</v>
      </c>
      <c r="AA3853" s="4">
        <v>20</v>
      </c>
      <c r="AB3853" s="4">
        <v>2</v>
      </c>
      <c r="AC3853" s="4">
        <v>5</v>
      </c>
      <c r="AD3853" s="4">
        <v>37</v>
      </c>
      <c r="AE3853" s="4">
        <v>41</v>
      </c>
      <c r="AF3853" s="4">
        <v>1</v>
      </c>
      <c r="AG3853" s="4">
        <v>3</v>
      </c>
      <c r="AH3853" s="4">
        <v>30</v>
      </c>
      <c r="AI3853" s="4">
        <v>33</v>
      </c>
      <c r="AJ3853" s="4">
        <v>7</v>
      </c>
      <c r="AK3853" s="4">
        <v>10</v>
      </c>
      <c r="AL3853" s="4">
        <v>19</v>
      </c>
      <c r="AM3853" s="4">
        <v>21</v>
      </c>
      <c r="AN3853" s="4">
        <v>0</v>
      </c>
      <c r="AO3853" s="4">
        <v>0</v>
      </c>
      <c r="AP3853" s="4">
        <v>9</v>
      </c>
      <c r="AQ3853" s="4">
        <v>12</v>
      </c>
      <c r="AR3853" s="3" t="s">
        <v>62</v>
      </c>
      <c r="AS3853" s="3" t="s">
        <v>62</v>
      </c>
      <c r="AT3853" s="3" t="s">
        <v>61</v>
      </c>
      <c r="AU3853" s="6" t="str">
        <f>HYPERLINK("http://catalog.hathitrust.org/Record/008325182","HathiTrust Record")</f>
        <v>HathiTrust Record</v>
      </c>
      <c r="AV3853" s="6" t="str">
        <f>HYPERLINK("http://mcgill.on.worldcat.org/oclc/123374252","Catalog Record")</f>
        <v>Catalog Record</v>
      </c>
      <c r="AW3853" s="6" t="str">
        <f>HYPERLINK("http://www.worldcat.org/oclc/123374252","WorldCat Record")</f>
        <v>WorldCat Record</v>
      </c>
      <c r="AX3853" s="3" t="s">
        <v>37077</v>
      </c>
      <c r="AY3853" s="3" t="s">
        <v>37078</v>
      </c>
      <c r="AZ3853" s="3" t="s">
        <v>37079</v>
      </c>
      <c r="BA3853" s="3" t="s">
        <v>37079</v>
      </c>
      <c r="BB3853" s="3" t="s">
        <v>37080</v>
      </c>
      <c r="BC3853" s="3" t="s">
        <v>142</v>
      </c>
      <c r="BD3853" s="3" t="s">
        <v>68</v>
      </c>
      <c r="BE3853" s="3" t="s">
        <v>37081</v>
      </c>
      <c r="BF3853" s="3" t="s">
        <v>37080</v>
      </c>
      <c r="BG3853" s="3" t="s">
        <v>37082</v>
      </c>
    </row>
    <row r="3854" spans="1:59" ht="57" x14ac:dyDescent="0.45">
      <c r="A3854" s="2" t="s">
        <v>59</v>
      </c>
      <c r="B3854" s="2" t="s">
        <v>60</v>
      </c>
      <c r="C3854" s="2" t="s">
        <v>37074</v>
      </c>
      <c r="D3854" s="2" t="s">
        <v>37075</v>
      </c>
      <c r="E3854" s="2" t="s">
        <v>37076</v>
      </c>
      <c r="G3854" s="3" t="s">
        <v>62</v>
      </c>
      <c r="I3854" s="3" t="s">
        <v>61</v>
      </c>
      <c r="J3854" s="3" t="s">
        <v>62</v>
      </c>
      <c r="K3854" s="3" t="s">
        <v>63</v>
      </c>
      <c r="M3854" s="2" t="s">
        <v>5214</v>
      </c>
      <c r="N3854" s="3" t="s">
        <v>945</v>
      </c>
      <c r="P3854" s="3" t="s">
        <v>65</v>
      </c>
      <c r="Q3854" s="2" t="s">
        <v>2655</v>
      </c>
      <c r="R3854" s="3" t="s">
        <v>66</v>
      </c>
      <c r="S3854" s="4">
        <v>30</v>
      </c>
      <c r="T3854" s="4">
        <v>53</v>
      </c>
      <c r="U3854" s="5" t="s">
        <v>26445</v>
      </c>
      <c r="V3854" s="5" t="s">
        <v>26445</v>
      </c>
      <c r="W3854" s="5" t="s">
        <v>67</v>
      </c>
      <c r="X3854" s="5" t="s">
        <v>67</v>
      </c>
      <c r="Y3854" s="4">
        <v>138</v>
      </c>
      <c r="Z3854" s="4">
        <v>13</v>
      </c>
      <c r="AA3854" s="4">
        <v>20</v>
      </c>
      <c r="AB3854" s="4">
        <v>2</v>
      </c>
      <c r="AC3854" s="4">
        <v>5</v>
      </c>
      <c r="AD3854" s="4">
        <v>37</v>
      </c>
      <c r="AE3854" s="4">
        <v>41</v>
      </c>
      <c r="AF3854" s="4">
        <v>1</v>
      </c>
      <c r="AG3854" s="4">
        <v>3</v>
      </c>
      <c r="AH3854" s="4">
        <v>30</v>
      </c>
      <c r="AI3854" s="4">
        <v>33</v>
      </c>
      <c r="AJ3854" s="4">
        <v>7</v>
      </c>
      <c r="AK3854" s="4">
        <v>10</v>
      </c>
      <c r="AL3854" s="4">
        <v>19</v>
      </c>
      <c r="AM3854" s="4">
        <v>21</v>
      </c>
      <c r="AN3854" s="4">
        <v>0</v>
      </c>
      <c r="AO3854" s="4">
        <v>0</v>
      </c>
      <c r="AP3854" s="4">
        <v>9</v>
      </c>
      <c r="AQ3854" s="4">
        <v>12</v>
      </c>
      <c r="AR3854" s="3" t="s">
        <v>62</v>
      </c>
      <c r="AS3854" s="3" t="s">
        <v>62</v>
      </c>
      <c r="AT3854" s="3" t="s">
        <v>61</v>
      </c>
      <c r="AU3854" s="6" t="str">
        <f>HYPERLINK("http://catalog.hathitrust.org/Record/008325182","HathiTrust Record")</f>
        <v>HathiTrust Record</v>
      </c>
      <c r="AV3854" s="6" t="str">
        <f>HYPERLINK("http://mcgill.on.worldcat.org/oclc/123374252","Catalog Record")</f>
        <v>Catalog Record</v>
      </c>
      <c r="AW3854" s="6" t="str">
        <f>HYPERLINK("http://www.worldcat.org/oclc/123374252","WorldCat Record")</f>
        <v>WorldCat Record</v>
      </c>
      <c r="AX3854" s="3" t="s">
        <v>37077</v>
      </c>
      <c r="AY3854" s="3" t="s">
        <v>37078</v>
      </c>
      <c r="AZ3854" s="3" t="s">
        <v>37079</v>
      </c>
      <c r="BA3854" s="3" t="s">
        <v>37079</v>
      </c>
      <c r="BB3854" s="3" t="s">
        <v>37083</v>
      </c>
      <c r="BC3854" s="3" t="s">
        <v>142</v>
      </c>
      <c r="BD3854" s="3" t="s">
        <v>308</v>
      </c>
      <c r="BE3854" s="3" t="s">
        <v>37081</v>
      </c>
      <c r="BF3854" s="3" t="s">
        <v>37083</v>
      </c>
      <c r="BG3854" s="3" t="s">
        <v>37084</v>
      </c>
    </row>
    <row r="3855" spans="1:59" ht="57" x14ac:dyDescent="0.45">
      <c r="A3855" s="2" t="s">
        <v>59</v>
      </c>
      <c r="B3855" s="2" t="s">
        <v>60</v>
      </c>
      <c r="C3855" s="2" t="s">
        <v>37074</v>
      </c>
      <c r="D3855" s="2" t="s">
        <v>37075</v>
      </c>
      <c r="E3855" s="2" t="s">
        <v>37076</v>
      </c>
      <c r="G3855" s="3" t="s">
        <v>62</v>
      </c>
      <c r="I3855" s="3" t="s">
        <v>61</v>
      </c>
      <c r="J3855" s="3" t="s">
        <v>62</v>
      </c>
      <c r="K3855" s="3" t="s">
        <v>63</v>
      </c>
      <c r="M3855" s="2" t="s">
        <v>5214</v>
      </c>
      <c r="N3855" s="3" t="s">
        <v>945</v>
      </c>
      <c r="P3855" s="3" t="s">
        <v>65</v>
      </c>
      <c r="Q3855" s="2" t="s">
        <v>2655</v>
      </c>
      <c r="R3855" s="3" t="s">
        <v>66</v>
      </c>
      <c r="S3855" s="4">
        <v>16</v>
      </c>
      <c r="T3855" s="4">
        <v>53</v>
      </c>
      <c r="U3855" s="5" t="s">
        <v>19521</v>
      </c>
      <c r="V3855" s="5" t="s">
        <v>26445</v>
      </c>
      <c r="W3855" s="5" t="s">
        <v>67</v>
      </c>
      <c r="X3855" s="5" t="s">
        <v>67</v>
      </c>
      <c r="Y3855" s="4">
        <v>138</v>
      </c>
      <c r="Z3855" s="4">
        <v>13</v>
      </c>
      <c r="AA3855" s="4">
        <v>20</v>
      </c>
      <c r="AB3855" s="4">
        <v>2</v>
      </c>
      <c r="AC3855" s="4">
        <v>5</v>
      </c>
      <c r="AD3855" s="4">
        <v>37</v>
      </c>
      <c r="AE3855" s="4">
        <v>41</v>
      </c>
      <c r="AF3855" s="4">
        <v>1</v>
      </c>
      <c r="AG3855" s="4">
        <v>3</v>
      </c>
      <c r="AH3855" s="4">
        <v>30</v>
      </c>
      <c r="AI3855" s="4">
        <v>33</v>
      </c>
      <c r="AJ3855" s="4">
        <v>7</v>
      </c>
      <c r="AK3855" s="4">
        <v>10</v>
      </c>
      <c r="AL3855" s="4">
        <v>19</v>
      </c>
      <c r="AM3855" s="4">
        <v>21</v>
      </c>
      <c r="AN3855" s="4">
        <v>0</v>
      </c>
      <c r="AO3855" s="4">
        <v>0</v>
      </c>
      <c r="AP3855" s="4">
        <v>9</v>
      </c>
      <c r="AQ3855" s="4">
        <v>12</v>
      </c>
      <c r="AR3855" s="3" t="s">
        <v>62</v>
      </c>
      <c r="AS3855" s="3" t="s">
        <v>62</v>
      </c>
      <c r="AT3855" s="3" t="s">
        <v>61</v>
      </c>
      <c r="AU3855" s="6" t="str">
        <f>HYPERLINK("http://catalog.hathitrust.org/Record/008325182","HathiTrust Record")</f>
        <v>HathiTrust Record</v>
      </c>
      <c r="AV3855" s="6" t="str">
        <f>HYPERLINK("http://mcgill.on.worldcat.org/oclc/123374252","Catalog Record")</f>
        <v>Catalog Record</v>
      </c>
      <c r="AW3855" s="6" t="str">
        <f>HYPERLINK("http://www.worldcat.org/oclc/123374252","WorldCat Record")</f>
        <v>WorldCat Record</v>
      </c>
      <c r="AX3855" s="3" t="s">
        <v>37077</v>
      </c>
      <c r="AY3855" s="3" t="s">
        <v>37078</v>
      </c>
      <c r="AZ3855" s="3" t="s">
        <v>37079</v>
      </c>
      <c r="BA3855" s="3" t="s">
        <v>37079</v>
      </c>
      <c r="BB3855" s="3" t="s">
        <v>37085</v>
      </c>
      <c r="BC3855" s="3" t="s">
        <v>142</v>
      </c>
      <c r="BD3855" s="3" t="s">
        <v>68</v>
      </c>
      <c r="BE3855" s="3" t="s">
        <v>37081</v>
      </c>
      <c r="BF3855" s="3" t="s">
        <v>37085</v>
      </c>
      <c r="BG3855" s="3" t="s">
        <v>37086</v>
      </c>
    </row>
    <row r="3856" spans="1:59" ht="57" x14ac:dyDescent="0.45">
      <c r="A3856" s="2" t="s">
        <v>59</v>
      </c>
      <c r="B3856" s="2" t="s">
        <v>60</v>
      </c>
      <c r="C3856" s="2" t="s">
        <v>37087</v>
      </c>
      <c r="D3856" s="2" t="s">
        <v>37088</v>
      </c>
      <c r="E3856" s="2" t="s">
        <v>37089</v>
      </c>
      <c r="G3856" s="3" t="s">
        <v>62</v>
      </c>
      <c r="I3856" s="3" t="s">
        <v>62</v>
      </c>
      <c r="J3856" s="3" t="s">
        <v>62</v>
      </c>
      <c r="K3856" s="3" t="s">
        <v>63</v>
      </c>
      <c r="L3856" s="2" t="s">
        <v>11694</v>
      </c>
      <c r="M3856" s="2" t="s">
        <v>37090</v>
      </c>
      <c r="N3856" s="3" t="s">
        <v>195</v>
      </c>
      <c r="P3856" s="3" t="s">
        <v>65</v>
      </c>
      <c r="Q3856" s="2" t="s">
        <v>29789</v>
      </c>
      <c r="R3856" s="3" t="s">
        <v>66</v>
      </c>
      <c r="S3856" s="4">
        <v>38</v>
      </c>
      <c r="T3856" s="4">
        <v>38</v>
      </c>
      <c r="U3856" s="5" t="s">
        <v>445</v>
      </c>
      <c r="V3856" s="5" t="s">
        <v>445</v>
      </c>
      <c r="W3856" s="5" t="s">
        <v>67</v>
      </c>
      <c r="X3856" s="5" t="s">
        <v>67</v>
      </c>
      <c r="Y3856" s="4">
        <v>189</v>
      </c>
      <c r="Z3856" s="4">
        <v>12</v>
      </c>
      <c r="AA3856" s="4">
        <v>29</v>
      </c>
      <c r="AB3856" s="4">
        <v>2</v>
      </c>
      <c r="AC3856" s="4">
        <v>6</v>
      </c>
      <c r="AD3856" s="4">
        <v>68</v>
      </c>
      <c r="AE3856" s="4">
        <v>95</v>
      </c>
      <c r="AF3856" s="4">
        <v>1</v>
      </c>
      <c r="AG3856" s="4">
        <v>5</v>
      </c>
      <c r="AH3856" s="4">
        <v>62</v>
      </c>
      <c r="AI3856" s="4">
        <v>81</v>
      </c>
      <c r="AJ3856" s="4">
        <v>9</v>
      </c>
      <c r="AK3856" s="4">
        <v>21</v>
      </c>
      <c r="AL3856" s="4">
        <v>32</v>
      </c>
      <c r="AM3856" s="4">
        <v>41</v>
      </c>
      <c r="AN3856" s="4">
        <v>0</v>
      </c>
      <c r="AO3856" s="4">
        <v>5</v>
      </c>
      <c r="AP3856" s="4">
        <v>9</v>
      </c>
      <c r="AQ3856" s="4">
        <v>21</v>
      </c>
      <c r="AR3856" s="3" t="s">
        <v>62</v>
      </c>
      <c r="AS3856" s="3" t="s">
        <v>62</v>
      </c>
      <c r="AT3856" s="3" t="s">
        <v>62</v>
      </c>
      <c r="AV3856" s="6" t="str">
        <f>HYPERLINK("http://mcgill.on.worldcat.org/oclc/28063573","Catalog Record")</f>
        <v>Catalog Record</v>
      </c>
      <c r="AW3856" s="6" t="str">
        <f>HYPERLINK("http://www.worldcat.org/oclc/28063573","WorldCat Record")</f>
        <v>WorldCat Record</v>
      </c>
      <c r="AX3856" s="3" t="s">
        <v>37091</v>
      </c>
      <c r="AY3856" s="3" t="s">
        <v>37092</v>
      </c>
      <c r="AZ3856" s="3" t="s">
        <v>37093</v>
      </c>
      <c r="BA3856" s="3" t="s">
        <v>37093</v>
      </c>
      <c r="BB3856" s="3" t="s">
        <v>37094</v>
      </c>
      <c r="BC3856" s="3" t="s">
        <v>142</v>
      </c>
      <c r="BD3856" s="3" t="s">
        <v>68</v>
      </c>
      <c r="BE3856" s="3" t="s">
        <v>37095</v>
      </c>
      <c r="BF3856" s="3" t="s">
        <v>37094</v>
      </c>
      <c r="BG3856" s="3" t="s">
        <v>37096</v>
      </c>
    </row>
    <row r="3857" spans="1:59" ht="57" x14ac:dyDescent="0.45">
      <c r="A3857" s="2" t="s">
        <v>59</v>
      </c>
      <c r="B3857" s="2" t="s">
        <v>60</v>
      </c>
      <c r="C3857" s="2" t="s">
        <v>37097</v>
      </c>
      <c r="D3857" s="2" t="s">
        <v>37098</v>
      </c>
      <c r="E3857" s="2" t="s">
        <v>37099</v>
      </c>
      <c r="G3857" s="3" t="s">
        <v>62</v>
      </c>
      <c r="I3857" s="3" t="s">
        <v>62</v>
      </c>
      <c r="J3857" s="3" t="s">
        <v>62</v>
      </c>
      <c r="K3857" s="3" t="s">
        <v>63</v>
      </c>
      <c r="L3857" s="2" t="s">
        <v>11694</v>
      </c>
      <c r="M3857" s="2" t="s">
        <v>34728</v>
      </c>
      <c r="N3857" s="3" t="s">
        <v>1688</v>
      </c>
      <c r="P3857" s="3" t="s">
        <v>65</v>
      </c>
      <c r="Q3857" s="2" t="s">
        <v>37100</v>
      </c>
      <c r="R3857" s="3" t="s">
        <v>66</v>
      </c>
      <c r="S3857" s="4">
        <v>6</v>
      </c>
      <c r="T3857" s="4">
        <v>6</v>
      </c>
      <c r="U3857" s="5" t="s">
        <v>31370</v>
      </c>
      <c r="V3857" s="5" t="s">
        <v>31370</v>
      </c>
      <c r="W3857" s="5" t="s">
        <v>67</v>
      </c>
      <c r="X3857" s="5" t="s">
        <v>67</v>
      </c>
      <c r="Y3857" s="4">
        <v>111</v>
      </c>
      <c r="Z3857" s="4">
        <v>13</v>
      </c>
      <c r="AA3857" s="4">
        <v>77</v>
      </c>
      <c r="AB3857" s="4">
        <v>1</v>
      </c>
      <c r="AC3857" s="4">
        <v>14</v>
      </c>
      <c r="AD3857" s="4">
        <v>22</v>
      </c>
      <c r="AE3857" s="4">
        <v>88</v>
      </c>
      <c r="AF3857" s="4">
        <v>0</v>
      </c>
      <c r="AG3857" s="4">
        <v>8</v>
      </c>
      <c r="AH3857" s="4">
        <v>19</v>
      </c>
      <c r="AI3857" s="4">
        <v>57</v>
      </c>
      <c r="AJ3857" s="4">
        <v>7</v>
      </c>
      <c r="AK3857" s="4">
        <v>22</v>
      </c>
      <c r="AL3857" s="4">
        <v>10</v>
      </c>
      <c r="AM3857" s="4">
        <v>25</v>
      </c>
      <c r="AN3857" s="4">
        <v>0</v>
      </c>
      <c r="AO3857" s="4">
        <v>0</v>
      </c>
      <c r="AP3857" s="4">
        <v>9</v>
      </c>
      <c r="AQ3857" s="4">
        <v>41</v>
      </c>
      <c r="AR3857" s="3" t="s">
        <v>62</v>
      </c>
      <c r="AS3857" s="3" t="s">
        <v>62</v>
      </c>
      <c r="AT3857" s="3" t="s">
        <v>62</v>
      </c>
      <c r="AV3857" s="6" t="str">
        <f>HYPERLINK("http://mcgill.on.worldcat.org/oclc/865574961","Catalog Record")</f>
        <v>Catalog Record</v>
      </c>
      <c r="AW3857" s="6" t="str">
        <f>HYPERLINK("http://www.worldcat.org/oclc/865574961","WorldCat Record")</f>
        <v>WorldCat Record</v>
      </c>
      <c r="AX3857" s="3" t="s">
        <v>37101</v>
      </c>
      <c r="AY3857" s="3" t="s">
        <v>37102</v>
      </c>
      <c r="AZ3857" s="3" t="s">
        <v>37103</v>
      </c>
      <c r="BA3857" s="3" t="s">
        <v>37103</v>
      </c>
      <c r="BB3857" s="3" t="s">
        <v>37104</v>
      </c>
      <c r="BC3857" s="3" t="s">
        <v>142</v>
      </c>
      <c r="BD3857" s="3" t="s">
        <v>68</v>
      </c>
      <c r="BE3857" s="3" t="s">
        <v>37105</v>
      </c>
      <c r="BF3857" s="3" t="s">
        <v>37104</v>
      </c>
      <c r="BG3857" s="3" t="s">
        <v>37106</v>
      </c>
    </row>
    <row r="3858" spans="1:59" ht="57" x14ac:dyDescent="0.45">
      <c r="A3858" s="2" t="s">
        <v>59</v>
      </c>
      <c r="B3858" s="2" t="s">
        <v>60</v>
      </c>
      <c r="C3858" s="2" t="s">
        <v>37107</v>
      </c>
      <c r="D3858" s="2" t="s">
        <v>37108</v>
      </c>
      <c r="E3858" s="2" t="s">
        <v>37109</v>
      </c>
      <c r="G3858" s="3" t="s">
        <v>62</v>
      </c>
      <c r="I3858" s="3" t="s">
        <v>62</v>
      </c>
      <c r="J3858" s="3" t="s">
        <v>61</v>
      </c>
      <c r="K3858" s="3" t="s">
        <v>63</v>
      </c>
      <c r="L3858" s="2" t="s">
        <v>11694</v>
      </c>
      <c r="M3858" s="2" t="s">
        <v>29876</v>
      </c>
      <c r="N3858" s="3" t="s">
        <v>820</v>
      </c>
      <c r="O3858" s="2" t="s">
        <v>10907</v>
      </c>
      <c r="P3858" s="3" t="s">
        <v>65</v>
      </c>
      <c r="R3858" s="3" t="s">
        <v>66</v>
      </c>
      <c r="S3858" s="4">
        <v>22</v>
      </c>
      <c r="T3858" s="4">
        <v>22</v>
      </c>
      <c r="U3858" s="5" t="s">
        <v>20509</v>
      </c>
      <c r="V3858" s="5" t="s">
        <v>20509</v>
      </c>
      <c r="W3858" s="5" t="s">
        <v>67</v>
      </c>
      <c r="X3858" s="5" t="s">
        <v>67</v>
      </c>
      <c r="Y3858" s="4">
        <v>212</v>
      </c>
      <c r="Z3858" s="4">
        <v>10</v>
      </c>
      <c r="AA3858" s="4">
        <v>61</v>
      </c>
      <c r="AB3858" s="4">
        <v>2</v>
      </c>
      <c r="AC3858" s="4">
        <v>12</v>
      </c>
      <c r="AD3858" s="4">
        <v>25</v>
      </c>
      <c r="AE3858" s="4">
        <v>125</v>
      </c>
      <c r="AF3858" s="4">
        <v>0</v>
      </c>
      <c r="AG3858" s="4">
        <v>5</v>
      </c>
      <c r="AH3858" s="4">
        <v>23</v>
      </c>
      <c r="AI3858" s="4">
        <v>98</v>
      </c>
      <c r="AJ3858" s="4">
        <v>3</v>
      </c>
      <c r="AK3858" s="4">
        <v>26</v>
      </c>
      <c r="AL3858" s="4">
        <v>14</v>
      </c>
      <c r="AM3858" s="4">
        <v>50</v>
      </c>
      <c r="AN3858" s="4">
        <v>0</v>
      </c>
      <c r="AO3858" s="4">
        <v>0</v>
      </c>
      <c r="AP3858" s="4">
        <v>4</v>
      </c>
      <c r="AQ3858" s="4">
        <v>38</v>
      </c>
      <c r="AR3858" s="3" t="s">
        <v>62</v>
      </c>
      <c r="AS3858" s="3" t="s">
        <v>62</v>
      </c>
      <c r="AT3858" s="3" t="s">
        <v>62</v>
      </c>
      <c r="AV3858" s="6" t="str">
        <f>HYPERLINK("http://mcgill.on.worldcat.org/oclc/213479108","Catalog Record")</f>
        <v>Catalog Record</v>
      </c>
      <c r="AW3858" s="6" t="str">
        <f>HYPERLINK("http://www.worldcat.org/oclc/213479108","WorldCat Record")</f>
        <v>WorldCat Record</v>
      </c>
      <c r="AX3858" s="3" t="s">
        <v>37110</v>
      </c>
      <c r="AY3858" s="3" t="s">
        <v>37111</v>
      </c>
      <c r="AZ3858" s="3" t="s">
        <v>37112</v>
      </c>
      <c r="BA3858" s="3" t="s">
        <v>37112</v>
      </c>
      <c r="BB3858" s="3" t="s">
        <v>37113</v>
      </c>
      <c r="BC3858" s="3" t="s">
        <v>142</v>
      </c>
      <c r="BD3858" s="3" t="s">
        <v>68</v>
      </c>
      <c r="BE3858" s="3" t="s">
        <v>37114</v>
      </c>
      <c r="BF3858" s="3" t="s">
        <v>37113</v>
      </c>
      <c r="BG3858" s="3" t="s">
        <v>37115</v>
      </c>
    </row>
    <row r="3859" spans="1:59" ht="57" x14ac:dyDescent="0.45">
      <c r="A3859" s="2" t="s">
        <v>59</v>
      </c>
      <c r="B3859" s="2" t="s">
        <v>60</v>
      </c>
      <c r="C3859" s="2" t="s">
        <v>37116</v>
      </c>
      <c r="D3859" s="2" t="s">
        <v>37117</v>
      </c>
      <c r="E3859" s="2" t="s">
        <v>37118</v>
      </c>
      <c r="G3859" s="3" t="s">
        <v>62</v>
      </c>
      <c r="I3859" s="3" t="s">
        <v>62</v>
      </c>
      <c r="J3859" s="3" t="s">
        <v>62</v>
      </c>
      <c r="K3859" s="3" t="s">
        <v>63</v>
      </c>
      <c r="M3859" s="2" t="s">
        <v>37119</v>
      </c>
      <c r="N3859" s="3" t="s">
        <v>894</v>
      </c>
      <c r="P3859" s="3" t="s">
        <v>65</v>
      </c>
      <c r="Q3859" s="2" t="s">
        <v>37120</v>
      </c>
      <c r="R3859" s="3" t="s">
        <v>66</v>
      </c>
      <c r="S3859" s="4">
        <v>6</v>
      </c>
      <c r="T3859" s="4">
        <v>6</v>
      </c>
      <c r="U3859" s="5" t="s">
        <v>37121</v>
      </c>
      <c r="V3859" s="5" t="s">
        <v>37121</v>
      </c>
      <c r="W3859" s="5" t="s">
        <v>67</v>
      </c>
      <c r="X3859" s="5" t="s">
        <v>67</v>
      </c>
      <c r="Y3859" s="4">
        <v>117</v>
      </c>
      <c r="Z3859" s="4">
        <v>18</v>
      </c>
      <c r="AA3859" s="4">
        <v>96</v>
      </c>
      <c r="AB3859" s="4">
        <v>2</v>
      </c>
      <c r="AC3859" s="4">
        <v>17</v>
      </c>
      <c r="AD3859" s="4">
        <v>56</v>
      </c>
      <c r="AE3859" s="4">
        <v>120</v>
      </c>
      <c r="AF3859" s="4">
        <v>1</v>
      </c>
      <c r="AG3859" s="4">
        <v>8</v>
      </c>
      <c r="AH3859" s="4">
        <v>47</v>
      </c>
      <c r="AI3859" s="4">
        <v>81</v>
      </c>
      <c r="AJ3859" s="4">
        <v>13</v>
      </c>
      <c r="AK3859" s="4">
        <v>25</v>
      </c>
      <c r="AL3859" s="4">
        <v>29</v>
      </c>
      <c r="AM3859" s="4">
        <v>43</v>
      </c>
      <c r="AN3859" s="4">
        <v>0</v>
      </c>
      <c r="AO3859" s="4">
        <v>0</v>
      </c>
      <c r="AP3859" s="4">
        <v>15</v>
      </c>
      <c r="AQ3859" s="4">
        <v>47</v>
      </c>
      <c r="AR3859" s="3" t="s">
        <v>62</v>
      </c>
      <c r="AS3859" s="3" t="s">
        <v>62</v>
      </c>
      <c r="AT3859" s="3" t="s">
        <v>62</v>
      </c>
      <c r="AV3859" s="6" t="str">
        <f>HYPERLINK("http://mcgill.on.worldcat.org/oclc/700042244","Catalog Record")</f>
        <v>Catalog Record</v>
      </c>
      <c r="AW3859" s="6" t="str">
        <f>HYPERLINK("http://www.worldcat.org/oclc/700042244","WorldCat Record")</f>
        <v>WorldCat Record</v>
      </c>
      <c r="AX3859" s="3" t="s">
        <v>37122</v>
      </c>
      <c r="AY3859" s="3" t="s">
        <v>37123</v>
      </c>
      <c r="AZ3859" s="3" t="s">
        <v>37124</v>
      </c>
      <c r="BA3859" s="3" t="s">
        <v>37124</v>
      </c>
      <c r="BB3859" s="3" t="s">
        <v>37125</v>
      </c>
      <c r="BC3859" s="3" t="s">
        <v>142</v>
      </c>
      <c r="BD3859" s="3" t="s">
        <v>68</v>
      </c>
      <c r="BE3859" s="3" t="s">
        <v>37126</v>
      </c>
      <c r="BF3859" s="3" t="s">
        <v>37125</v>
      </c>
      <c r="BG3859" s="3" t="s">
        <v>37127</v>
      </c>
    </row>
    <row r="3860" spans="1:59" ht="57" x14ac:dyDescent="0.45">
      <c r="A3860" s="2" t="s">
        <v>59</v>
      </c>
      <c r="B3860" s="2" t="s">
        <v>60</v>
      </c>
      <c r="C3860" s="2" t="s">
        <v>37128</v>
      </c>
      <c r="D3860" s="2" t="s">
        <v>37129</v>
      </c>
      <c r="E3860" s="2" t="s">
        <v>37130</v>
      </c>
      <c r="G3860" s="3" t="s">
        <v>62</v>
      </c>
      <c r="I3860" s="3" t="s">
        <v>62</v>
      </c>
      <c r="J3860" s="3" t="s">
        <v>62</v>
      </c>
      <c r="K3860" s="3" t="s">
        <v>63</v>
      </c>
      <c r="L3860" s="2" t="s">
        <v>37131</v>
      </c>
      <c r="M3860" s="2" t="s">
        <v>13626</v>
      </c>
      <c r="N3860" s="3" t="s">
        <v>1855</v>
      </c>
      <c r="P3860" s="3" t="s">
        <v>65</v>
      </c>
      <c r="Q3860" s="2" t="s">
        <v>4293</v>
      </c>
      <c r="R3860" s="3" t="s">
        <v>66</v>
      </c>
      <c r="S3860" s="4">
        <v>18</v>
      </c>
      <c r="T3860" s="4">
        <v>18</v>
      </c>
      <c r="U3860" s="5" t="s">
        <v>13932</v>
      </c>
      <c r="V3860" s="5" t="s">
        <v>13932</v>
      </c>
      <c r="W3860" s="5" t="s">
        <v>67</v>
      </c>
      <c r="X3860" s="5" t="s">
        <v>67</v>
      </c>
      <c r="Y3860" s="4">
        <v>278</v>
      </c>
      <c r="Z3860" s="4">
        <v>16</v>
      </c>
      <c r="AA3860" s="4">
        <v>61</v>
      </c>
      <c r="AB3860" s="4">
        <v>2</v>
      </c>
      <c r="AC3860" s="4">
        <v>16</v>
      </c>
      <c r="AD3860" s="4">
        <v>57</v>
      </c>
      <c r="AE3860" s="4">
        <v>93</v>
      </c>
      <c r="AF3860" s="4">
        <v>1</v>
      </c>
      <c r="AG3860" s="4">
        <v>8</v>
      </c>
      <c r="AH3860" s="4">
        <v>50</v>
      </c>
      <c r="AI3860" s="4">
        <v>55</v>
      </c>
      <c r="AJ3860" s="4">
        <v>11</v>
      </c>
      <c r="AK3860" s="4">
        <v>21</v>
      </c>
      <c r="AL3860" s="4">
        <v>30</v>
      </c>
      <c r="AM3860" s="4">
        <v>31</v>
      </c>
      <c r="AN3860" s="4">
        <v>0</v>
      </c>
      <c r="AO3860" s="4">
        <v>0</v>
      </c>
      <c r="AP3860" s="4">
        <v>13</v>
      </c>
      <c r="AQ3860" s="4">
        <v>46</v>
      </c>
      <c r="AR3860" s="3" t="s">
        <v>62</v>
      </c>
      <c r="AS3860" s="3" t="s">
        <v>62</v>
      </c>
      <c r="AT3860" s="3" t="s">
        <v>62</v>
      </c>
      <c r="AV3860" s="6" t="str">
        <f>HYPERLINK("http://mcgill.on.worldcat.org/oclc/56491051","Catalog Record")</f>
        <v>Catalog Record</v>
      </c>
      <c r="AW3860" s="6" t="str">
        <f>HYPERLINK("http://www.worldcat.org/oclc/56491051","WorldCat Record")</f>
        <v>WorldCat Record</v>
      </c>
      <c r="AX3860" s="3" t="s">
        <v>37132</v>
      </c>
      <c r="AY3860" s="3" t="s">
        <v>37133</v>
      </c>
      <c r="AZ3860" s="3" t="s">
        <v>37134</v>
      </c>
      <c r="BA3860" s="3" t="s">
        <v>37134</v>
      </c>
      <c r="BB3860" s="3" t="s">
        <v>37135</v>
      </c>
      <c r="BC3860" s="3" t="s">
        <v>142</v>
      </c>
      <c r="BD3860" s="3" t="s">
        <v>68</v>
      </c>
      <c r="BE3860" s="3" t="s">
        <v>37136</v>
      </c>
      <c r="BF3860" s="3" t="s">
        <v>37135</v>
      </c>
      <c r="BG3860" s="3" t="s">
        <v>37137</v>
      </c>
    </row>
    <row r="3861" spans="1:59" ht="57" x14ac:dyDescent="0.45">
      <c r="A3861" s="2" t="s">
        <v>59</v>
      </c>
      <c r="B3861" s="2" t="s">
        <v>60</v>
      </c>
      <c r="C3861" s="2" t="s">
        <v>37138</v>
      </c>
      <c r="D3861" s="2" t="s">
        <v>37139</v>
      </c>
      <c r="E3861" s="2" t="s">
        <v>37140</v>
      </c>
      <c r="G3861" s="3" t="s">
        <v>62</v>
      </c>
      <c r="I3861" s="3" t="s">
        <v>62</v>
      </c>
      <c r="J3861" s="3" t="s">
        <v>62</v>
      </c>
      <c r="K3861" s="3" t="s">
        <v>63</v>
      </c>
      <c r="M3861" s="2" t="s">
        <v>37141</v>
      </c>
      <c r="N3861" s="3" t="s">
        <v>19337</v>
      </c>
      <c r="P3861" s="3" t="s">
        <v>65</v>
      </c>
      <c r="Q3861" s="2" t="s">
        <v>37142</v>
      </c>
      <c r="R3861" s="3" t="s">
        <v>66</v>
      </c>
      <c r="S3861" s="4">
        <v>2</v>
      </c>
      <c r="T3861" s="4">
        <v>2</v>
      </c>
      <c r="W3861" s="5" t="s">
        <v>17294</v>
      </c>
      <c r="X3861" s="5" t="s">
        <v>17294</v>
      </c>
      <c r="Y3861" s="4">
        <v>39</v>
      </c>
      <c r="Z3861" s="4">
        <v>5</v>
      </c>
      <c r="AA3861" s="4">
        <v>13</v>
      </c>
      <c r="AB3861" s="4">
        <v>2</v>
      </c>
      <c r="AC3861" s="4">
        <v>6</v>
      </c>
      <c r="AD3861" s="4">
        <v>13</v>
      </c>
      <c r="AE3861" s="4">
        <v>23</v>
      </c>
      <c r="AF3861" s="4">
        <v>1</v>
      </c>
      <c r="AG3861" s="4">
        <v>2</v>
      </c>
      <c r="AH3861" s="4">
        <v>10</v>
      </c>
      <c r="AI3861" s="4">
        <v>16</v>
      </c>
      <c r="AJ3861" s="4">
        <v>3</v>
      </c>
      <c r="AK3861" s="4">
        <v>5</v>
      </c>
      <c r="AL3861" s="4">
        <v>5</v>
      </c>
      <c r="AM3861" s="4">
        <v>6</v>
      </c>
      <c r="AN3861" s="4">
        <v>0</v>
      </c>
      <c r="AO3861" s="4">
        <v>0</v>
      </c>
      <c r="AP3861" s="4">
        <v>4</v>
      </c>
      <c r="AQ3861" s="4">
        <v>8</v>
      </c>
      <c r="AR3861" s="3" t="s">
        <v>62</v>
      </c>
      <c r="AS3861" s="3" t="s">
        <v>62</v>
      </c>
      <c r="AT3861" s="3" t="s">
        <v>62</v>
      </c>
      <c r="AV3861" s="6" t="str">
        <f>HYPERLINK("http://mcgill.on.worldcat.org/oclc/1090282465","Catalog Record")</f>
        <v>Catalog Record</v>
      </c>
      <c r="AW3861" s="6" t="str">
        <f>HYPERLINK("http://www.worldcat.org/oclc/1090282465","WorldCat Record")</f>
        <v>WorldCat Record</v>
      </c>
      <c r="AX3861" s="3" t="s">
        <v>37143</v>
      </c>
      <c r="AY3861" s="3" t="s">
        <v>37144</v>
      </c>
      <c r="AZ3861" s="3" t="s">
        <v>37145</v>
      </c>
      <c r="BA3861" s="3" t="s">
        <v>37145</v>
      </c>
      <c r="BB3861" s="3" t="s">
        <v>37146</v>
      </c>
      <c r="BC3861" s="3" t="s">
        <v>142</v>
      </c>
      <c r="BD3861" s="3" t="s">
        <v>308</v>
      </c>
      <c r="BE3861" s="3" t="s">
        <v>37147</v>
      </c>
      <c r="BF3861" s="3" t="s">
        <v>37146</v>
      </c>
      <c r="BG3861" s="3" t="s">
        <v>37148</v>
      </c>
    </row>
    <row r="3862" spans="1:59" ht="57" x14ac:dyDescent="0.45">
      <c r="A3862" s="2" t="s">
        <v>59</v>
      </c>
      <c r="B3862" s="2" t="s">
        <v>60</v>
      </c>
      <c r="C3862" s="2" t="s">
        <v>37149</v>
      </c>
      <c r="D3862" s="2" t="s">
        <v>37150</v>
      </c>
      <c r="E3862" s="2" t="s">
        <v>37151</v>
      </c>
      <c r="G3862" s="3" t="s">
        <v>62</v>
      </c>
      <c r="I3862" s="3" t="s">
        <v>62</v>
      </c>
      <c r="J3862" s="3" t="s">
        <v>62</v>
      </c>
      <c r="K3862" s="3" t="s">
        <v>63</v>
      </c>
      <c r="L3862" s="2" t="s">
        <v>10637</v>
      </c>
      <c r="M3862" s="2" t="s">
        <v>4509</v>
      </c>
      <c r="N3862" s="3" t="s">
        <v>1465</v>
      </c>
      <c r="P3862" s="3" t="s">
        <v>65</v>
      </c>
      <c r="Q3862" s="2" t="s">
        <v>2655</v>
      </c>
      <c r="R3862" s="3" t="s">
        <v>66</v>
      </c>
      <c r="S3862" s="4">
        <v>11</v>
      </c>
      <c r="T3862" s="4">
        <v>11</v>
      </c>
      <c r="U3862" s="5" t="s">
        <v>2036</v>
      </c>
      <c r="V3862" s="5" t="s">
        <v>2036</v>
      </c>
      <c r="W3862" s="5" t="s">
        <v>67</v>
      </c>
      <c r="X3862" s="5" t="s">
        <v>67</v>
      </c>
      <c r="Y3862" s="4">
        <v>287</v>
      </c>
      <c r="Z3862" s="4">
        <v>18</v>
      </c>
      <c r="AA3862" s="4">
        <v>21</v>
      </c>
      <c r="AB3862" s="4">
        <v>3</v>
      </c>
      <c r="AC3862" s="4">
        <v>5</v>
      </c>
      <c r="AD3862" s="4">
        <v>71</v>
      </c>
      <c r="AE3862" s="4">
        <v>74</v>
      </c>
      <c r="AF3862" s="4">
        <v>1</v>
      </c>
      <c r="AG3862" s="4">
        <v>3</v>
      </c>
      <c r="AH3862" s="4">
        <v>63</v>
      </c>
      <c r="AI3862" s="4">
        <v>64</v>
      </c>
      <c r="AJ3862" s="4">
        <v>11</v>
      </c>
      <c r="AK3862" s="4">
        <v>13</v>
      </c>
      <c r="AL3862" s="4">
        <v>40</v>
      </c>
      <c r="AM3862" s="4">
        <v>40</v>
      </c>
      <c r="AN3862" s="4">
        <v>0</v>
      </c>
      <c r="AO3862" s="4">
        <v>0</v>
      </c>
      <c r="AP3862" s="4">
        <v>12</v>
      </c>
      <c r="AQ3862" s="4">
        <v>15</v>
      </c>
      <c r="AR3862" s="3" t="s">
        <v>62</v>
      </c>
      <c r="AS3862" s="3" t="s">
        <v>62</v>
      </c>
      <c r="AT3862" s="3" t="s">
        <v>62</v>
      </c>
      <c r="AV3862" s="6" t="str">
        <f>HYPERLINK("http://mcgill.on.worldcat.org/oclc/319424991","Catalog Record")</f>
        <v>Catalog Record</v>
      </c>
      <c r="AW3862" s="6" t="str">
        <f>HYPERLINK("http://www.worldcat.org/oclc/319424991","WorldCat Record")</f>
        <v>WorldCat Record</v>
      </c>
      <c r="AX3862" s="3" t="s">
        <v>37152</v>
      </c>
      <c r="AY3862" s="3" t="s">
        <v>37153</v>
      </c>
      <c r="AZ3862" s="3" t="s">
        <v>37154</v>
      </c>
      <c r="BA3862" s="3" t="s">
        <v>37154</v>
      </c>
      <c r="BB3862" s="3" t="s">
        <v>37155</v>
      </c>
      <c r="BC3862" s="3" t="s">
        <v>142</v>
      </c>
      <c r="BD3862" s="3" t="s">
        <v>68</v>
      </c>
      <c r="BE3862" s="3" t="s">
        <v>37156</v>
      </c>
      <c r="BF3862" s="3" t="s">
        <v>37155</v>
      </c>
      <c r="BG3862" s="3" t="s">
        <v>37157</v>
      </c>
    </row>
    <row r="3863" spans="1:59" ht="57" x14ac:dyDescent="0.45">
      <c r="A3863" s="2" t="s">
        <v>59</v>
      </c>
      <c r="B3863" s="2" t="s">
        <v>60</v>
      </c>
      <c r="C3863" s="2" t="s">
        <v>37158</v>
      </c>
      <c r="D3863" s="2" t="s">
        <v>37159</v>
      </c>
      <c r="E3863" s="2" t="s">
        <v>37160</v>
      </c>
      <c r="G3863" s="3" t="s">
        <v>62</v>
      </c>
      <c r="I3863" s="3" t="s">
        <v>62</v>
      </c>
      <c r="J3863" s="3" t="s">
        <v>62</v>
      </c>
      <c r="K3863" s="3" t="s">
        <v>63</v>
      </c>
      <c r="L3863" s="2" t="s">
        <v>37161</v>
      </c>
      <c r="M3863" s="2" t="s">
        <v>17471</v>
      </c>
      <c r="N3863" s="3" t="s">
        <v>1855</v>
      </c>
      <c r="P3863" s="3" t="s">
        <v>65</v>
      </c>
      <c r="Q3863" s="2" t="s">
        <v>8528</v>
      </c>
      <c r="R3863" s="3" t="s">
        <v>66</v>
      </c>
      <c r="S3863" s="4">
        <v>28</v>
      </c>
      <c r="T3863" s="4">
        <v>28</v>
      </c>
      <c r="U3863" s="5" t="s">
        <v>18408</v>
      </c>
      <c r="V3863" s="5" t="s">
        <v>18408</v>
      </c>
      <c r="W3863" s="5" t="s">
        <v>67</v>
      </c>
      <c r="X3863" s="5" t="s">
        <v>67</v>
      </c>
      <c r="Y3863" s="4">
        <v>363</v>
      </c>
      <c r="Z3863" s="4">
        <v>24</v>
      </c>
      <c r="AA3863" s="4">
        <v>86</v>
      </c>
      <c r="AB3863" s="4">
        <v>2</v>
      </c>
      <c r="AC3863" s="4">
        <v>15</v>
      </c>
      <c r="AD3863" s="4">
        <v>102</v>
      </c>
      <c r="AE3863" s="4">
        <v>140</v>
      </c>
      <c r="AF3863" s="4">
        <v>1</v>
      </c>
      <c r="AG3863" s="4">
        <v>8</v>
      </c>
      <c r="AH3863" s="4">
        <v>91</v>
      </c>
      <c r="AI3863" s="4">
        <v>104</v>
      </c>
      <c r="AJ3863" s="4">
        <v>16</v>
      </c>
      <c r="AK3863" s="4">
        <v>26</v>
      </c>
      <c r="AL3863" s="4">
        <v>51</v>
      </c>
      <c r="AM3863" s="4">
        <v>56</v>
      </c>
      <c r="AN3863" s="4">
        <v>0</v>
      </c>
      <c r="AO3863" s="4">
        <v>0</v>
      </c>
      <c r="AP3863" s="4">
        <v>18</v>
      </c>
      <c r="AQ3863" s="4">
        <v>45</v>
      </c>
      <c r="AR3863" s="3" t="s">
        <v>62</v>
      </c>
      <c r="AS3863" s="3" t="s">
        <v>62</v>
      </c>
      <c r="AT3863" s="3" t="s">
        <v>62</v>
      </c>
      <c r="AV3863" s="6" t="str">
        <f>HYPERLINK("http://mcgill.on.worldcat.org/oclc/61144323","Catalog Record")</f>
        <v>Catalog Record</v>
      </c>
      <c r="AW3863" s="6" t="str">
        <f>HYPERLINK("http://www.worldcat.org/oclc/61144323","WorldCat Record")</f>
        <v>WorldCat Record</v>
      </c>
      <c r="AX3863" s="3" t="s">
        <v>37162</v>
      </c>
      <c r="AY3863" s="3" t="s">
        <v>37163</v>
      </c>
      <c r="AZ3863" s="3" t="s">
        <v>37164</v>
      </c>
      <c r="BA3863" s="3" t="s">
        <v>37164</v>
      </c>
      <c r="BB3863" s="3" t="s">
        <v>37165</v>
      </c>
      <c r="BC3863" s="3" t="s">
        <v>142</v>
      </c>
      <c r="BD3863" s="3" t="s">
        <v>68</v>
      </c>
      <c r="BE3863" s="3" t="s">
        <v>37166</v>
      </c>
      <c r="BF3863" s="3" t="s">
        <v>37165</v>
      </c>
      <c r="BG3863" s="3" t="s">
        <v>37167</v>
      </c>
    </row>
    <row r="3864" spans="1:59" ht="57" x14ac:dyDescent="0.45">
      <c r="A3864" s="2" t="s">
        <v>59</v>
      </c>
      <c r="B3864" s="2" t="s">
        <v>60</v>
      </c>
      <c r="C3864" s="2" t="s">
        <v>37168</v>
      </c>
      <c r="D3864" s="2" t="s">
        <v>37169</v>
      </c>
      <c r="E3864" s="2" t="s">
        <v>37170</v>
      </c>
      <c r="G3864" s="3" t="s">
        <v>62</v>
      </c>
      <c r="I3864" s="3" t="s">
        <v>62</v>
      </c>
      <c r="J3864" s="3" t="s">
        <v>61</v>
      </c>
      <c r="K3864" s="3" t="s">
        <v>63</v>
      </c>
      <c r="L3864" s="2" t="s">
        <v>10637</v>
      </c>
      <c r="M3864" s="2" t="s">
        <v>8910</v>
      </c>
      <c r="N3864" s="3" t="s">
        <v>149</v>
      </c>
      <c r="O3864" s="2" t="s">
        <v>933</v>
      </c>
      <c r="P3864" s="3" t="s">
        <v>65</v>
      </c>
      <c r="Q3864" s="2" t="s">
        <v>37171</v>
      </c>
      <c r="R3864" s="3" t="s">
        <v>66</v>
      </c>
      <c r="S3864" s="4">
        <v>14</v>
      </c>
      <c r="T3864" s="4">
        <v>14</v>
      </c>
      <c r="U3864" s="5" t="s">
        <v>37172</v>
      </c>
      <c r="V3864" s="5" t="s">
        <v>37172</v>
      </c>
      <c r="W3864" s="5" t="s">
        <v>67</v>
      </c>
      <c r="X3864" s="5" t="s">
        <v>67</v>
      </c>
      <c r="Y3864" s="4">
        <v>180</v>
      </c>
      <c r="Z3864" s="4">
        <v>15</v>
      </c>
      <c r="AA3864" s="4">
        <v>87</v>
      </c>
      <c r="AB3864" s="4">
        <v>2</v>
      </c>
      <c r="AC3864" s="4">
        <v>17</v>
      </c>
      <c r="AD3864" s="4">
        <v>45</v>
      </c>
      <c r="AE3864" s="4">
        <v>141</v>
      </c>
      <c r="AF3864" s="4">
        <v>0</v>
      </c>
      <c r="AG3864" s="4">
        <v>9</v>
      </c>
      <c r="AH3864" s="4">
        <v>39</v>
      </c>
      <c r="AI3864" s="4">
        <v>102</v>
      </c>
      <c r="AJ3864" s="4">
        <v>7</v>
      </c>
      <c r="AK3864" s="4">
        <v>24</v>
      </c>
      <c r="AL3864" s="4">
        <v>27</v>
      </c>
      <c r="AM3864" s="4">
        <v>55</v>
      </c>
      <c r="AN3864" s="4">
        <v>0</v>
      </c>
      <c r="AO3864" s="4">
        <v>0</v>
      </c>
      <c r="AP3864" s="4">
        <v>9</v>
      </c>
      <c r="AQ3864" s="4">
        <v>46</v>
      </c>
      <c r="AR3864" s="3" t="s">
        <v>62</v>
      </c>
      <c r="AS3864" s="3" t="s">
        <v>62</v>
      </c>
      <c r="AT3864" s="3" t="s">
        <v>62</v>
      </c>
      <c r="AV3864" s="6" t="str">
        <f>HYPERLINK("http://mcgill.on.worldcat.org/oclc/277195958","Catalog Record")</f>
        <v>Catalog Record</v>
      </c>
      <c r="AW3864" s="6" t="str">
        <f>HYPERLINK("http://www.worldcat.org/oclc/277195958","WorldCat Record")</f>
        <v>WorldCat Record</v>
      </c>
      <c r="AX3864" s="3" t="s">
        <v>37173</v>
      </c>
      <c r="AY3864" s="3" t="s">
        <v>37174</v>
      </c>
      <c r="AZ3864" s="3" t="s">
        <v>37175</v>
      </c>
      <c r="BA3864" s="3" t="s">
        <v>37175</v>
      </c>
      <c r="BB3864" s="3" t="s">
        <v>37176</v>
      </c>
      <c r="BC3864" s="3" t="s">
        <v>142</v>
      </c>
      <c r="BD3864" s="3" t="s">
        <v>68</v>
      </c>
      <c r="BE3864" s="3" t="s">
        <v>37177</v>
      </c>
      <c r="BF3864" s="3" t="s">
        <v>37176</v>
      </c>
      <c r="BG3864" s="3" t="s">
        <v>37178</v>
      </c>
    </row>
    <row r="3865" spans="1:59" ht="57" x14ac:dyDescent="0.45">
      <c r="A3865" s="2" t="s">
        <v>59</v>
      </c>
      <c r="B3865" s="2" t="s">
        <v>412</v>
      </c>
      <c r="C3865" s="2" t="s">
        <v>37179</v>
      </c>
      <c r="D3865" s="2" t="s">
        <v>37180</v>
      </c>
      <c r="E3865" s="2" t="s">
        <v>37181</v>
      </c>
      <c r="G3865" s="3" t="s">
        <v>62</v>
      </c>
      <c r="I3865" s="3" t="s">
        <v>62</v>
      </c>
      <c r="J3865" s="3" t="s">
        <v>62</v>
      </c>
      <c r="K3865" s="3" t="s">
        <v>63</v>
      </c>
      <c r="M3865" s="2" t="s">
        <v>33164</v>
      </c>
      <c r="N3865" s="3" t="s">
        <v>894</v>
      </c>
      <c r="P3865" s="3" t="s">
        <v>65</v>
      </c>
      <c r="Q3865" s="2" t="s">
        <v>37182</v>
      </c>
      <c r="R3865" s="3" t="s">
        <v>66</v>
      </c>
      <c r="S3865" s="4">
        <v>5</v>
      </c>
      <c r="T3865" s="4">
        <v>5</v>
      </c>
      <c r="U3865" s="5" t="s">
        <v>10693</v>
      </c>
      <c r="V3865" s="5" t="s">
        <v>10693</v>
      </c>
      <c r="W3865" s="5" t="s">
        <v>67</v>
      </c>
      <c r="X3865" s="5" t="s">
        <v>67</v>
      </c>
      <c r="Y3865" s="4">
        <v>123</v>
      </c>
      <c r="Z3865" s="4">
        <v>14</v>
      </c>
      <c r="AA3865" s="4">
        <v>91</v>
      </c>
      <c r="AB3865" s="4">
        <v>2</v>
      </c>
      <c r="AC3865" s="4">
        <v>17</v>
      </c>
      <c r="AD3865" s="4">
        <v>40</v>
      </c>
      <c r="AE3865" s="4">
        <v>114</v>
      </c>
      <c r="AF3865" s="4">
        <v>1</v>
      </c>
      <c r="AG3865" s="4">
        <v>8</v>
      </c>
      <c r="AH3865" s="4">
        <v>34</v>
      </c>
      <c r="AI3865" s="4">
        <v>77</v>
      </c>
      <c r="AJ3865" s="4">
        <v>10</v>
      </c>
      <c r="AK3865" s="4">
        <v>23</v>
      </c>
      <c r="AL3865" s="4">
        <v>23</v>
      </c>
      <c r="AM3865" s="4">
        <v>41</v>
      </c>
      <c r="AN3865" s="4">
        <v>0</v>
      </c>
      <c r="AO3865" s="4">
        <v>0</v>
      </c>
      <c r="AP3865" s="4">
        <v>11</v>
      </c>
      <c r="AQ3865" s="4">
        <v>44</v>
      </c>
      <c r="AR3865" s="3" t="s">
        <v>62</v>
      </c>
      <c r="AS3865" s="3" t="s">
        <v>62</v>
      </c>
      <c r="AT3865" s="3" t="s">
        <v>62</v>
      </c>
      <c r="AV3865" s="6" t="str">
        <f>HYPERLINK("http://mcgill.on.worldcat.org/oclc/671541681","Catalog Record")</f>
        <v>Catalog Record</v>
      </c>
      <c r="AW3865" s="6" t="str">
        <f>HYPERLINK("http://www.worldcat.org/oclc/671541681","WorldCat Record")</f>
        <v>WorldCat Record</v>
      </c>
      <c r="AX3865" s="3" t="s">
        <v>37183</v>
      </c>
      <c r="AY3865" s="3" t="s">
        <v>37184</v>
      </c>
      <c r="AZ3865" s="3" t="s">
        <v>37185</v>
      </c>
      <c r="BA3865" s="3" t="s">
        <v>37185</v>
      </c>
      <c r="BB3865" s="3" t="s">
        <v>37186</v>
      </c>
      <c r="BC3865" s="3" t="s">
        <v>142</v>
      </c>
      <c r="BD3865" s="3" t="s">
        <v>68</v>
      </c>
      <c r="BE3865" s="3" t="s">
        <v>37187</v>
      </c>
      <c r="BF3865" s="3" t="s">
        <v>37186</v>
      </c>
      <c r="BG3865" s="3" t="s">
        <v>37188</v>
      </c>
    </row>
    <row r="3866" spans="1:59" ht="57" x14ac:dyDescent="0.45">
      <c r="A3866" s="2" t="s">
        <v>59</v>
      </c>
      <c r="B3866" s="2" t="s">
        <v>60</v>
      </c>
      <c r="C3866" s="2" t="s">
        <v>37189</v>
      </c>
      <c r="D3866" s="2" t="s">
        <v>37190</v>
      </c>
      <c r="E3866" s="2" t="s">
        <v>37191</v>
      </c>
      <c r="G3866" s="3" t="s">
        <v>62</v>
      </c>
      <c r="I3866" s="3" t="s">
        <v>62</v>
      </c>
      <c r="J3866" s="3" t="s">
        <v>62</v>
      </c>
      <c r="K3866" s="3" t="s">
        <v>63</v>
      </c>
      <c r="L3866" s="2" t="s">
        <v>7051</v>
      </c>
      <c r="M3866" s="2" t="s">
        <v>2940</v>
      </c>
      <c r="N3866" s="3" t="s">
        <v>1855</v>
      </c>
      <c r="P3866" s="3" t="s">
        <v>65</v>
      </c>
      <c r="Q3866" s="2" t="s">
        <v>2655</v>
      </c>
      <c r="R3866" s="3" t="s">
        <v>66</v>
      </c>
      <c r="S3866" s="4">
        <v>4</v>
      </c>
      <c r="T3866" s="4">
        <v>4</v>
      </c>
      <c r="U3866" s="5" t="s">
        <v>2469</v>
      </c>
      <c r="V3866" s="5" t="s">
        <v>2469</v>
      </c>
      <c r="W3866" s="5" t="s">
        <v>67</v>
      </c>
      <c r="X3866" s="5" t="s">
        <v>67</v>
      </c>
      <c r="Y3866" s="4">
        <v>309</v>
      </c>
      <c r="Z3866" s="4">
        <v>19</v>
      </c>
      <c r="AA3866" s="4">
        <v>21</v>
      </c>
      <c r="AB3866" s="4">
        <v>2</v>
      </c>
      <c r="AC3866" s="4">
        <v>4</v>
      </c>
      <c r="AD3866" s="4">
        <v>70</v>
      </c>
      <c r="AE3866" s="4">
        <v>73</v>
      </c>
      <c r="AF3866" s="4">
        <v>1</v>
      </c>
      <c r="AG3866" s="4">
        <v>3</v>
      </c>
      <c r="AH3866" s="4">
        <v>62</v>
      </c>
      <c r="AI3866" s="4">
        <v>64</v>
      </c>
      <c r="AJ3866" s="4">
        <v>12</v>
      </c>
      <c r="AK3866" s="4">
        <v>14</v>
      </c>
      <c r="AL3866" s="4">
        <v>36</v>
      </c>
      <c r="AM3866" s="4">
        <v>36</v>
      </c>
      <c r="AN3866" s="4">
        <v>0</v>
      </c>
      <c r="AO3866" s="4">
        <v>0</v>
      </c>
      <c r="AP3866" s="4">
        <v>15</v>
      </c>
      <c r="AQ3866" s="4">
        <v>17</v>
      </c>
      <c r="AR3866" s="3" t="s">
        <v>62</v>
      </c>
      <c r="AS3866" s="3" t="s">
        <v>62</v>
      </c>
      <c r="AT3866" s="3" t="s">
        <v>61</v>
      </c>
      <c r="AU3866" s="6" t="str">
        <f>HYPERLINK("http://catalog.hathitrust.org/Record/005018294","HathiTrust Record")</f>
        <v>HathiTrust Record</v>
      </c>
      <c r="AV3866" s="6" t="str">
        <f>HYPERLINK("http://mcgill.on.worldcat.org/oclc/58970182","Catalog Record")</f>
        <v>Catalog Record</v>
      </c>
      <c r="AW3866" s="6" t="str">
        <f>HYPERLINK("http://www.worldcat.org/oclc/58970182","WorldCat Record")</f>
        <v>WorldCat Record</v>
      </c>
      <c r="AX3866" s="3" t="s">
        <v>37192</v>
      </c>
      <c r="AY3866" s="3" t="s">
        <v>37193</v>
      </c>
      <c r="AZ3866" s="3" t="s">
        <v>37194</v>
      </c>
      <c r="BA3866" s="3" t="s">
        <v>37194</v>
      </c>
      <c r="BB3866" s="3" t="s">
        <v>37195</v>
      </c>
      <c r="BC3866" s="3" t="s">
        <v>142</v>
      </c>
      <c r="BD3866" s="3" t="s">
        <v>68</v>
      </c>
      <c r="BE3866" s="3" t="s">
        <v>37196</v>
      </c>
      <c r="BF3866" s="3" t="s">
        <v>37195</v>
      </c>
      <c r="BG3866" s="3" t="s">
        <v>37197</v>
      </c>
    </row>
    <row r="3867" spans="1:59" ht="57" x14ac:dyDescent="0.45">
      <c r="A3867" s="2" t="s">
        <v>59</v>
      </c>
      <c r="B3867" s="2" t="s">
        <v>60</v>
      </c>
      <c r="C3867" s="2" t="s">
        <v>37198</v>
      </c>
      <c r="D3867" s="2" t="s">
        <v>37199</v>
      </c>
      <c r="E3867" s="2" t="s">
        <v>37200</v>
      </c>
      <c r="G3867" s="3" t="s">
        <v>62</v>
      </c>
      <c r="I3867" s="3" t="s">
        <v>62</v>
      </c>
      <c r="J3867" s="3" t="s">
        <v>62</v>
      </c>
      <c r="K3867" s="3" t="s">
        <v>63</v>
      </c>
      <c r="M3867" s="2" t="s">
        <v>10560</v>
      </c>
      <c r="N3867" s="3" t="s">
        <v>1465</v>
      </c>
      <c r="P3867" s="3" t="s">
        <v>65</v>
      </c>
      <c r="Q3867" s="2" t="s">
        <v>7948</v>
      </c>
      <c r="R3867" s="3" t="s">
        <v>66</v>
      </c>
      <c r="S3867" s="4">
        <v>14</v>
      </c>
      <c r="T3867" s="4">
        <v>14</v>
      </c>
      <c r="U3867" s="5" t="s">
        <v>2109</v>
      </c>
      <c r="V3867" s="5" t="s">
        <v>2109</v>
      </c>
      <c r="W3867" s="5" t="s">
        <v>67</v>
      </c>
      <c r="X3867" s="5" t="s">
        <v>67</v>
      </c>
      <c r="Y3867" s="4">
        <v>176</v>
      </c>
      <c r="Z3867" s="4">
        <v>21</v>
      </c>
      <c r="AA3867" s="4">
        <v>103</v>
      </c>
      <c r="AB3867" s="4">
        <v>3</v>
      </c>
      <c r="AC3867" s="4">
        <v>18</v>
      </c>
      <c r="AD3867" s="4">
        <v>56</v>
      </c>
      <c r="AE3867" s="4">
        <v>115</v>
      </c>
      <c r="AF3867" s="4">
        <v>1</v>
      </c>
      <c r="AG3867" s="4">
        <v>8</v>
      </c>
      <c r="AH3867" s="4">
        <v>49</v>
      </c>
      <c r="AI3867" s="4">
        <v>79</v>
      </c>
      <c r="AJ3867" s="4">
        <v>17</v>
      </c>
      <c r="AK3867" s="4">
        <v>25</v>
      </c>
      <c r="AL3867" s="4">
        <v>29</v>
      </c>
      <c r="AM3867" s="4">
        <v>41</v>
      </c>
      <c r="AN3867" s="4">
        <v>0</v>
      </c>
      <c r="AO3867" s="4">
        <v>0</v>
      </c>
      <c r="AP3867" s="4">
        <v>17</v>
      </c>
      <c r="AQ3867" s="4">
        <v>46</v>
      </c>
      <c r="AR3867" s="3" t="s">
        <v>62</v>
      </c>
      <c r="AS3867" s="3" t="s">
        <v>62</v>
      </c>
      <c r="AT3867" s="3" t="s">
        <v>61</v>
      </c>
      <c r="AU3867" s="6" t="str">
        <f>HYPERLINK("http://catalog.hathitrust.org/Record/006861116","HathiTrust Record")</f>
        <v>HathiTrust Record</v>
      </c>
      <c r="AV3867" s="6" t="str">
        <f>HYPERLINK("http://mcgill.on.worldcat.org/oclc/317454665","Catalog Record")</f>
        <v>Catalog Record</v>
      </c>
      <c r="AW3867" s="6" t="str">
        <f>HYPERLINK("http://www.worldcat.org/oclc/317454665","WorldCat Record")</f>
        <v>WorldCat Record</v>
      </c>
      <c r="AX3867" s="3" t="s">
        <v>37201</v>
      </c>
      <c r="AY3867" s="3" t="s">
        <v>37202</v>
      </c>
      <c r="AZ3867" s="3" t="s">
        <v>37203</v>
      </c>
      <c r="BA3867" s="3" t="s">
        <v>37203</v>
      </c>
      <c r="BB3867" s="3" t="s">
        <v>37204</v>
      </c>
      <c r="BC3867" s="3" t="s">
        <v>142</v>
      </c>
      <c r="BD3867" s="3" t="s">
        <v>308</v>
      </c>
      <c r="BE3867" s="3" t="s">
        <v>37205</v>
      </c>
      <c r="BF3867" s="3" t="s">
        <v>37204</v>
      </c>
      <c r="BG3867" s="3" t="s">
        <v>37206</v>
      </c>
    </row>
    <row r="3868" spans="1:59" ht="57" x14ac:dyDescent="0.45">
      <c r="A3868" s="2" t="s">
        <v>59</v>
      </c>
      <c r="B3868" s="2" t="s">
        <v>60</v>
      </c>
      <c r="C3868" s="2" t="s">
        <v>37207</v>
      </c>
      <c r="D3868" s="2" t="s">
        <v>37208</v>
      </c>
      <c r="E3868" s="2" t="s">
        <v>37209</v>
      </c>
      <c r="G3868" s="3" t="s">
        <v>62</v>
      </c>
      <c r="I3868" s="3" t="s">
        <v>61</v>
      </c>
      <c r="J3868" s="3" t="s">
        <v>62</v>
      </c>
      <c r="K3868" s="3" t="s">
        <v>63</v>
      </c>
      <c r="L3868" s="2" t="s">
        <v>7051</v>
      </c>
      <c r="M3868" s="2" t="s">
        <v>37210</v>
      </c>
      <c r="N3868" s="3" t="s">
        <v>167</v>
      </c>
      <c r="P3868" s="3" t="s">
        <v>65</v>
      </c>
      <c r="Q3868" s="2" t="s">
        <v>37211</v>
      </c>
      <c r="R3868" s="3" t="s">
        <v>66</v>
      </c>
      <c r="S3868" s="4">
        <v>16</v>
      </c>
      <c r="T3868" s="4">
        <v>32</v>
      </c>
      <c r="U3868" s="5" t="s">
        <v>7222</v>
      </c>
      <c r="V3868" s="5" t="s">
        <v>7222</v>
      </c>
      <c r="W3868" s="5" t="s">
        <v>67</v>
      </c>
      <c r="X3868" s="5" t="s">
        <v>67</v>
      </c>
      <c r="Y3868" s="4">
        <v>350</v>
      </c>
      <c r="Z3868" s="4">
        <v>19</v>
      </c>
      <c r="AA3868" s="4">
        <v>19</v>
      </c>
      <c r="AB3868" s="4">
        <v>2</v>
      </c>
      <c r="AC3868" s="4">
        <v>2</v>
      </c>
      <c r="AD3868" s="4">
        <v>89</v>
      </c>
      <c r="AE3868" s="4">
        <v>89</v>
      </c>
      <c r="AF3868" s="4">
        <v>1</v>
      </c>
      <c r="AG3868" s="4">
        <v>1</v>
      </c>
      <c r="AH3868" s="4">
        <v>79</v>
      </c>
      <c r="AI3868" s="4">
        <v>79</v>
      </c>
      <c r="AJ3868" s="4">
        <v>14</v>
      </c>
      <c r="AK3868" s="4">
        <v>14</v>
      </c>
      <c r="AL3868" s="4">
        <v>48</v>
      </c>
      <c r="AM3868" s="4">
        <v>48</v>
      </c>
      <c r="AN3868" s="4">
        <v>0</v>
      </c>
      <c r="AO3868" s="4">
        <v>0</v>
      </c>
      <c r="AP3868" s="4">
        <v>15</v>
      </c>
      <c r="AQ3868" s="4">
        <v>15</v>
      </c>
      <c r="AR3868" s="3" t="s">
        <v>62</v>
      </c>
      <c r="AS3868" s="3" t="s">
        <v>62</v>
      </c>
      <c r="AT3868" s="3" t="s">
        <v>62</v>
      </c>
      <c r="AV3868" s="6" t="str">
        <f>HYPERLINK("http://mcgill.on.worldcat.org/oclc/41932611","Catalog Record")</f>
        <v>Catalog Record</v>
      </c>
      <c r="AW3868" s="6" t="str">
        <f>HYPERLINK("http://www.worldcat.org/oclc/41932611","WorldCat Record")</f>
        <v>WorldCat Record</v>
      </c>
      <c r="AX3868" s="3" t="s">
        <v>37212</v>
      </c>
      <c r="AY3868" s="3" t="s">
        <v>37213</v>
      </c>
      <c r="AZ3868" s="3" t="s">
        <v>37214</v>
      </c>
      <c r="BA3868" s="3" t="s">
        <v>37214</v>
      </c>
      <c r="BB3868" s="3" t="s">
        <v>37215</v>
      </c>
      <c r="BC3868" s="3" t="s">
        <v>142</v>
      </c>
      <c r="BD3868" s="3" t="s">
        <v>68</v>
      </c>
      <c r="BE3868" s="3" t="s">
        <v>37216</v>
      </c>
      <c r="BF3868" s="3" t="s">
        <v>37215</v>
      </c>
      <c r="BG3868" s="3" t="s">
        <v>37217</v>
      </c>
    </row>
    <row r="3869" spans="1:59" ht="57" x14ac:dyDescent="0.45">
      <c r="A3869" s="2" t="s">
        <v>59</v>
      </c>
      <c r="B3869" s="2" t="s">
        <v>60</v>
      </c>
      <c r="C3869" s="2" t="s">
        <v>37207</v>
      </c>
      <c r="D3869" s="2" t="s">
        <v>37208</v>
      </c>
      <c r="E3869" s="2" t="s">
        <v>37209</v>
      </c>
      <c r="G3869" s="3" t="s">
        <v>62</v>
      </c>
      <c r="I3869" s="3" t="s">
        <v>61</v>
      </c>
      <c r="J3869" s="3" t="s">
        <v>62</v>
      </c>
      <c r="K3869" s="3" t="s">
        <v>63</v>
      </c>
      <c r="L3869" s="2" t="s">
        <v>7051</v>
      </c>
      <c r="M3869" s="2" t="s">
        <v>37210</v>
      </c>
      <c r="N3869" s="3" t="s">
        <v>167</v>
      </c>
      <c r="P3869" s="3" t="s">
        <v>65</v>
      </c>
      <c r="Q3869" s="2" t="s">
        <v>37211</v>
      </c>
      <c r="R3869" s="3" t="s">
        <v>66</v>
      </c>
      <c r="S3869" s="4">
        <v>16</v>
      </c>
      <c r="T3869" s="4">
        <v>32</v>
      </c>
      <c r="U3869" s="5" t="s">
        <v>37218</v>
      </c>
      <c r="V3869" s="5" t="s">
        <v>7222</v>
      </c>
      <c r="W3869" s="5" t="s">
        <v>67</v>
      </c>
      <c r="X3869" s="5" t="s">
        <v>67</v>
      </c>
      <c r="Y3869" s="4">
        <v>350</v>
      </c>
      <c r="Z3869" s="4">
        <v>19</v>
      </c>
      <c r="AA3869" s="4">
        <v>19</v>
      </c>
      <c r="AB3869" s="4">
        <v>2</v>
      </c>
      <c r="AC3869" s="4">
        <v>2</v>
      </c>
      <c r="AD3869" s="4">
        <v>89</v>
      </c>
      <c r="AE3869" s="4">
        <v>89</v>
      </c>
      <c r="AF3869" s="4">
        <v>1</v>
      </c>
      <c r="AG3869" s="4">
        <v>1</v>
      </c>
      <c r="AH3869" s="4">
        <v>79</v>
      </c>
      <c r="AI3869" s="4">
        <v>79</v>
      </c>
      <c r="AJ3869" s="4">
        <v>14</v>
      </c>
      <c r="AK3869" s="4">
        <v>14</v>
      </c>
      <c r="AL3869" s="4">
        <v>48</v>
      </c>
      <c r="AM3869" s="4">
        <v>48</v>
      </c>
      <c r="AN3869" s="4">
        <v>0</v>
      </c>
      <c r="AO3869" s="4">
        <v>0</v>
      </c>
      <c r="AP3869" s="4">
        <v>15</v>
      </c>
      <c r="AQ3869" s="4">
        <v>15</v>
      </c>
      <c r="AR3869" s="3" t="s">
        <v>62</v>
      </c>
      <c r="AS3869" s="3" t="s">
        <v>62</v>
      </c>
      <c r="AT3869" s="3" t="s">
        <v>62</v>
      </c>
      <c r="AV3869" s="6" t="str">
        <f>HYPERLINK("http://mcgill.on.worldcat.org/oclc/41932611","Catalog Record")</f>
        <v>Catalog Record</v>
      </c>
      <c r="AW3869" s="6" t="str">
        <f>HYPERLINK("http://www.worldcat.org/oclc/41932611","WorldCat Record")</f>
        <v>WorldCat Record</v>
      </c>
      <c r="AX3869" s="3" t="s">
        <v>37212</v>
      </c>
      <c r="AY3869" s="3" t="s">
        <v>37213</v>
      </c>
      <c r="AZ3869" s="3" t="s">
        <v>37214</v>
      </c>
      <c r="BA3869" s="3" t="s">
        <v>37214</v>
      </c>
      <c r="BB3869" s="3" t="s">
        <v>37219</v>
      </c>
      <c r="BC3869" s="3" t="s">
        <v>142</v>
      </c>
      <c r="BD3869" s="3" t="s">
        <v>68</v>
      </c>
      <c r="BE3869" s="3" t="s">
        <v>37216</v>
      </c>
      <c r="BF3869" s="3" t="s">
        <v>37219</v>
      </c>
      <c r="BG3869" s="3" t="s">
        <v>37220</v>
      </c>
    </row>
    <row r="3870" spans="1:59" ht="57" x14ac:dyDescent="0.45">
      <c r="A3870" s="2" t="s">
        <v>59</v>
      </c>
      <c r="B3870" s="2" t="s">
        <v>60</v>
      </c>
      <c r="C3870" s="2" t="s">
        <v>37221</v>
      </c>
      <c r="D3870" s="2" t="s">
        <v>37222</v>
      </c>
      <c r="E3870" s="2" t="s">
        <v>37223</v>
      </c>
      <c r="G3870" s="3" t="s">
        <v>62</v>
      </c>
      <c r="I3870" s="3" t="s">
        <v>62</v>
      </c>
      <c r="J3870" s="3" t="s">
        <v>62</v>
      </c>
      <c r="K3870" s="3" t="s">
        <v>63</v>
      </c>
      <c r="L3870" s="2" t="s">
        <v>7051</v>
      </c>
      <c r="M3870" s="2" t="s">
        <v>37224</v>
      </c>
      <c r="N3870" s="3" t="s">
        <v>84</v>
      </c>
      <c r="P3870" s="3" t="s">
        <v>65</v>
      </c>
      <c r="Q3870" s="2" t="s">
        <v>9613</v>
      </c>
      <c r="R3870" s="3" t="s">
        <v>66</v>
      </c>
      <c r="S3870" s="4">
        <v>48</v>
      </c>
      <c r="T3870" s="4">
        <v>48</v>
      </c>
      <c r="U3870" s="5" t="s">
        <v>7625</v>
      </c>
      <c r="V3870" s="5" t="s">
        <v>7625</v>
      </c>
      <c r="W3870" s="5" t="s">
        <v>67</v>
      </c>
      <c r="X3870" s="5" t="s">
        <v>67</v>
      </c>
      <c r="Y3870" s="4">
        <v>240</v>
      </c>
      <c r="Z3870" s="4">
        <v>19</v>
      </c>
      <c r="AA3870" s="4">
        <v>96</v>
      </c>
      <c r="AB3870" s="4">
        <v>2</v>
      </c>
      <c r="AC3870" s="4">
        <v>17</v>
      </c>
      <c r="AD3870" s="4">
        <v>76</v>
      </c>
      <c r="AE3870" s="4">
        <v>120</v>
      </c>
      <c r="AF3870" s="4">
        <v>1</v>
      </c>
      <c r="AG3870" s="4">
        <v>8</v>
      </c>
      <c r="AH3870" s="4">
        <v>68</v>
      </c>
      <c r="AI3870" s="4">
        <v>84</v>
      </c>
      <c r="AJ3870" s="4">
        <v>16</v>
      </c>
      <c r="AK3870" s="4">
        <v>24</v>
      </c>
      <c r="AL3870" s="4">
        <v>32</v>
      </c>
      <c r="AM3870" s="4">
        <v>40</v>
      </c>
      <c r="AN3870" s="4">
        <v>0</v>
      </c>
      <c r="AO3870" s="4">
        <v>0</v>
      </c>
      <c r="AP3870" s="4">
        <v>17</v>
      </c>
      <c r="AQ3870" s="4">
        <v>46</v>
      </c>
      <c r="AR3870" s="3" t="s">
        <v>62</v>
      </c>
      <c r="AS3870" s="3" t="s">
        <v>62</v>
      </c>
      <c r="AT3870" s="3" t="s">
        <v>61</v>
      </c>
      <c r="AU3870" s="6" t="str">
        <f>HYPERLINK("http://catalog.hathitrust.org/Record/007109758","HathiTrust Record")</f>
        <v>HathiTrust Record</v>
      </c>
      <c r="AV3870" s="6" t="str">
        <f>HYPERLINK("http://mcgill.on.worldcat.org/oclc/24550230","Catalog Record")</f>
        <v>Catalog Record</v>
      </c>
      <c r="AW3870" s="6" t="str">
        <f>HYPERLINK("http://www.worldcat.org/oclc/24550230","WorldCat Record")</f>
        <v>WorldCat Record</v>
      </c>
      <c r="AX3870" s="3" t="s">
        <v>37225</v>
      </c>
      <c r="AY3870" s="3" t="s">
        <v>37226</v>
      </c>
      <c r="AZ3870" s="3" t="s">
        <v>37227</v>
      </c>
      <c r="BA3870" s="3" t="s">
        <v>37227</v>
      </c>
      <c r="BB3870" s="3" t="s">
        <v>37228</v>
      </c>
      <c r="BC3870" s="3" t="s">
        <v>142</v>
      </c>
      <c r="BD3870" s="3" t="s">
        <v>68</v>
      </c>
      <c r="BE3870" s="3" t="s">
        <v>37229</v>
      </c>
      <c r="BF3870" s="3" t="s">
        <v>37228</v>
      </c>
      <c r="BG3870" s="3" t="s">
        <v>37230</v>
      </c>
    </row>
    <row r="3871" spans="1:59" ht="57" x14ac:dyDescent="0.45">
      <c r="A3871" s="2" t="s">
        <v>59</v>
      </c>
      <c r="B3871" s="2" t="s">
        <v>60</v>
      </c>
      <c r="C3871" s="2" t="s">
        <v>37231</v>
      </c>
      <c r="D3871" s="2" t="s">
        <v>37232</v>
      </c>
      <c r="E3871" s="2" t="s">
        <v>37233</v>
      </c>
      <c r="G3871" s="3" t="s">
        <v>62</v>
      </c>
      <c r="I3871" s="3" t="s">
        <v>62</v>
      </c>
      <c r="J3871" s="3" t="s">
        <v>62</v>
      </c>
      <c r="K3871" s="3" t="s">
        <v>63</v>
      </c>
      <c r="L3871" s="2" t="s">
        <v>7051</v>
      </c>
      <c r="M3871" s="2" t="s">
        <v>16075</v>
      </c>
      <c r="N3871" s="3" t="s">
        <v>1253</v>
      </c>
      <c r="P3871" s="3" t="s">
        <v>65</v>
      </c>
      <c r="Q3871" s="2" t="s">
        <v>2655</v>
      </c>
      <c r="R3871" s="3" t="s">
        <v>66</v>
      </c>
      <c r="S3871" s="4">
        <v>33</v>
      </c>
      <c r="T3871" s="4">
        <v>33</v>
      </c>
      <c r="U3871" s="5" t="s">
        <v>15621</v>
      </c>
      <c r="V3871" s="5" t="s">
        <v>15621</v>
      </c>
      <c r="W3871" s="5" t="s">
        <v>67</v>
      </c>
      <c r="X3871" s="5" t="s">
        <v>67</v>
      </c>
      <c r="Y3871" s="4">
        <v>354</v>
      </c>
      <c r="Z3871" s="4">
        <v>24</v>
      </c>
      <c r="AA3871" s="4">
        <v>27</v>
      </c>
      <c r="AB3871" s="4">
        <v>3</v>
      </c>
      <c r="AC3871" s="4">
        <v>6</v>
      </c>
      <c r="AD3871" s="4">
        <v>82</v>
      </c>
      <c r="AE3871" s="4">
        <v>85</v>
      </c>
      <c r="AF3871" s="4">
        <v>2</v>
      </c>
      <c r="AG3871" s="4">
        <v>4</v>
      </c>
      <c r="AH3871" s="4">
        <v>70</v>
      </c>
      <c r="AI3871" s="4">
        <v>71</v>
      </c>
      <c r="AJ3871" s="4">
        <v>15</v>
      </c>
      <c r="AK3871" s="4">
        <v>17</v>
      </c>
      <c r="AL3871" s="4">
        <v>43</v>
      </c>
      <c r="AM3871" s="4">
        <v>43</v>
      </c>
      <c r="AN3871" s="4">
        <v>0</v>
      </c>
      <c r="AO3871" s="4">
        <v>0</v>
      </c>
      <c r="AP3871" s="4">
        <v>18</v>
      </c>
      <c r="AQ3871" s="4">
        <v>20</v>
      </c>
      <c r="AR3871" s="3" t="s">
        <v>62</v>
      </c>
      <c r="AS3871" s="3" t="s">
        <v>62</v>
      </c>
      <c r="AT3871" s="3" t="s">
        <v>62</v>
      </c>
      <c r="AV3871" s="6" t="str">
        <f>HYPERLINK("http://mcgill.on.worldcat.org/oclc/38237405","Catalog Record")</f>
        <v>Catalog Record</v>
      </c>
      <c r="AW3871" s="6" t="str">
        <f>HYPERLINK("http://www.worldcat.org/oclc/38237405","WorldCat Record")</f>
        <v>WorldCat Record</v>
      </c>
      <c r="AX3871" s="3" t="s">
        <v>37234</v>
      </c>
      <c r="AY3871" s="3" t="s">
        <v>37235</v>
      </c>
      <c r="AZ3871" s="3" t="s">
        <v>37236</v>
      </c>
      <c r="BA3871" s="3" t="s">
        <v>37236</v>
      </c>
      <c r="BB3871" s="3" t="s">
        <v>37237</v>
      </c>
      <c r="BC3871" s="3" t="s">
        <v>142</v>
      </c>
      <c r="BD3871" s="3" t="s">
        <v>68</v>
      </c>
      <c r="BE3871" s="3" t="s">
        <v>37238</v>
      </c>
      <c r="BF3871" s="3" t="s">
        <v>37237</v>
      </c>
      <c r="BG3871" s="3" t="s">
        <v>37239</v>
      </c>
    </row>
    <row r="3872" spans="1:59" ht="57" x14ac:dyDescent="0.45">
      <c r="A3872" s="2" t="s">
        <v>59</v>
      </c>
      <c r="B3872" s="2" t="s">
        <v>60</v>
      </c>
      <c r="C3872" s="2" t="s">
        <v>37240</v>
      </c>
      <c r="D3872" s="2" t="s">
        <v>37241</v>
      </c>
      <c r="E3872" s="2" t="s">
        <v>37242</v>
      </c>
      <c r="G3872" s="3" t="s">
        <v>62</v>
      </c>
      <c r="I3872" s="3" t="s">
        <v>62</v>
      </c>
      <c r="J3872" s="3" t="s">
        <v>61</v>
      </c>
      <c r="K3872" s="3" t="s">
        <v>63</v>
      </c>
      <c r="L3872" s="2" t="s">
        <v>7051</v>
      </c>
      <c r="M3872" s="2" t="s">
        <v>37243</v>
      </c>
      <c r="N3872" s="3" t="s">
        <v>1604</v>
      </c>
      <c r="P3872" s="3" t="s">
        <v>65</v>
      </c>
      <c r="Q3872" s="2" t="s">
        <v>7516</v>
      </c>
      <c r="R3872" s="3" t="s">
        <v>66</v>
      </c>
      <c r="S3872" s="4">
        <v>74</v>
      </c>
      <c r="T3872" s="4">
        <v>74</v>
      </c>
      <c r="U3872" s="5" t="s">
        <v>13932</v>
      </c>
      <c r="V3872" s="5" t="s">
        <v>13932</v>
      </c>
      <c r="W3872" s="5" t="s">
        <v>67</v>
      </c>
      <c r="X3872" s="5" t="s">
        <v>67</v>
      </c>
      <c r="Y3872" s="4">
        <v>548</v>
      </c>
      <c r="Z3872" s="4">
        <v>34</v>
      </c>
      <c r="AA3872" s="4">
        <v>76</v>
      </c>
      <c r="AB3872" s="4">
        <v>2</v>
      </c>
      <c r="AC3872" s="4">
        <v>15</v>
      </c>
      <c r="AD3872" s="4">
        <v>96</v>
      </c>
      <c r="AE3872" s="4">
        <v>131</v>
      </c>
      <c r="AF3872" s="4">
        <v>1</v>
      </c>
      <c r="AG3872" s="4">
        <v>6</v>
      </c>
      <c r="AH3872" s="4">
        <v>80</v>
      </c>
      <c r="AI3872" s="4">
        <v>101</v>
      </c>
      <c r="AJ3872" s="4">
        <v>17</v>
      </c>
      <c r="AK3872" s="4">
        <v>24</v>
      </c>
      <c r="AL3872" s="4">
        <v>43</v>
      </c>
      <c r="AM3872" s="4">
        <v>55</v>
      </c>
      <c r="AN3872" s="4">
        <v>0</v>
      </c>
      <c r="AO3872" s="4">
        <v>0</v>
      </c>
      <c r="AP3872" s="4">
        <v>23</v>
      </c>
      <c r="AQ3872" s="4">
        <v>38</v>
      </c>
      <c r="AR3872" s="3" t="s">
        <v>62</v>
      </c>
      <c r="AS3872" s="3" t="s">
        <v>62</v>
      </c>
      <c r="AT3872" s="3" t="s">
        <v>61</v>
      </c>
      <c r="AU3872" s="6" t="str">
        <f>HYPERLINK("http://catalog.hathitrust.org/Record/002916167","HathiTrust Record")</f>
        <v>HathiTrust Record</v>
      </c>
      <c r="AV3872" s="6" t="str">
        <f>HYPERLINK("http://mcgill.on.worldcat.org/oclc/59817570","Catalog Record")</f>
        <v>Catalog Record</v>
      </c>
      <c r="AW3872" s="6" t="str">
        <f>HYPERLINK("http://www.worldcat.org/oclc/59817570","WorldCat Record")</f>
        <v>WorldCat Record</v>
      </c>
      <c r="AX3872" s="3" t="s">
        <v>37244</v>
      </c>
      <c r="AY3872" s="3" t="s">
        <v>37245</v>
      </c>
      <c r="AZ3872" s="3" t="s">
        <v>37246</v>
      </c>
      <c r="BA3872" s="3" t="s">
        <v>37246</v>
      </c>
      <c r="BB3872" s="3" t="s">
        <v>37247</v>
      </c>
      <c r="BC3872" s="3" t="s">
        <v>142</v>
      </c>
      <c r="BD3872" s="3" t="s">
        <v>68</v>
      </c>
      <c r="BE3872" s="3" t="s">
        <v>37248</v>
      </c>
      <c r="BF3872" s="3" t="s">
        <v>37247</v>
      </c>
      <c r="BG3872" s="3" t="s">
        <v>37249</v>
      </c>
    </row>
    <row r="3873" spans="1:59" ht="57" x14ac:dyDescent="0.45">
      <c r="A3873" s="2" t="s">
        <v>59</v>
      </c>
      <c r="B3873" s="2" t="s">
        <v>412</v>
      </c>
      <c r="C3873" s="2" t="s">
        <v>37250</v>
      </c>
      <c r="D3873" s="2" t="s">
        <v>37251</v>
      </c>
      <c r="E3873" s="2" t="s">
        <v>37242</v>
      </c>
      <c r="G3873" s="3" t="s">
        <v>62</v>
      </c>
      <c r="I3873" s="3" t="s">
        <v>61</v>
      </c>
      <c r="J3873" s="3" t="s">
        <v>61</v>
      </c>
      <c r="K3873" s="3" t="s">
        <v>63</v>
      </c>
      <c r="L3873" s="2" t="s">
        <v>7051</v>
      </c>
      <c r="M3873" s="2" t="s">
        <v>2654</v>
      </c>
      <c r="N3873" s="3" t="s">
        <v>820</v>
      </c>
      <c r="O3873" s="2" t="s">
        <v>933</v>
      </c>
      <c r="P3873" s="3" t="s">
        <v>65</v>
      </c>
      <c r="Q3873" s="2" t="s">
        <v>2655</v>
      </c>
      <c r="R3873" s="3" t="s">
        <v>66</v>
      </c>
      <c r="S3873" s="4">
        <v>18</v>
      </c>
      <c r="T3873" s="4">
        <v>31</v>
      </c>
      <c r="U3873" s="5" t="s">
        <v>2121</v>
      </c>
      <c r="V3873" s="5" t="s">
        <v>1570</v>
      </c>
      <c r="W3873" s="5" t="s">
        <v>67</v>
      </c>
      <c r="X3873" s="5" t="s">
        <v>67</v>
      </c>
      <c r="Y3873" s="4">
        <v>299</v>
      </c>
      <c r="Z3873" s="4">
        <v>16</v>
      </c>
      <c r="AA3873" s="4">
        <v>76</v>
      </c>
      <c r="AB3873" s="4">
        <v>3</v>
      </c>
      <c r="AC3873" s="4">
        <v>15</v>
      </c>
      <c r="AD3873" s="4">
        <v>65</v>
      </c>
      <c r="AE3873" s="4">
        <v>131</v>
      </c>
      <c r="AF3873" s="4">
        <v>2</v>
      </c>
      <c r="AG3873" s="4">
        <v>6</v>
      </c>
      <c r="AH3873" s="4">
        <v>58</v>
      </c>
      <c r="AI3873" s="4">
        <v>101</v>
      </c>
      <c r="AJ3873" s="4">
        <v>8</v>
      </c>
      <c r="AK3873" s="4">
        <v>24</v>
      </c>
      <c r="AL3873" s="4">
        <v>37</v>
      </c>
      <c r="AM3873" s="4">
        <v>55</v>
      </c>
      <c r="AN3873" s="4">
        <v>0</v>
      </c>
      <c r="AO3873" s="4">
        <v>0</v>
      </c>
      <c r="AP3873" s="4">
        <v>11</v>
      </c>
      <c r="AQ3873" s="4">
        <v>38</v>
      </c>
      <c r="AR3873" s="3" t="s">
        <v>62</v>
      </c>
      <c r="AS3873" s="3" t="s">
        <v>62</v>
      </c>
      <c r="AT3873" s="3" t="s">
        <v>62</v>
      </c>
      <c r="AV3873" s="6" t="str">
        <f>HYPERLINK("http://mcgill.on.worldcat.org/oclc/261266233","Catalog Record")</f>
        <v>Catalog Record</v>
      </c>
      <c r="AW3873" s="6" t="str">
        <f>HYPERLINK("http://www.worldcat.org/oclc/261266233","WorldCat Record")</f>
        <v>WorldCat Record</v>
      </c>
      <c r="AX3873" s="3" t="s">
        <v>37244</v>
      </c>
      <c r="AY3873" s="3" t="s">
        <v>37252</v>
      </c>
      <c r="AZ3873" s="3" t="s">
        <v>37253</v>
      </c>
      <c r="BA3873" s="3" t="s">
        <v>37253</v>
      </c>
      <c r="BB3873" s="3" t="s">
        <v>37254</v>
      </c>
      <c r="BC3873" s="3" t="s">
        <v>142</v>
      </c>
      <c r="BD3873" s="3" t="s">
        <v>308</v>
      </c>
      <c r="BE3873" s="3" t="s">
        <v>37255</v>
      </c>
      <c r="BF3873" s="3" t="s">
        <v>37254</v>
      </c>
      <c r="BG3873" s="3" t="s">
        <v>37256</v>
      </c>
    </row>
    <row r="3874" spans="1:59" ht="57" x14ac:dyDescent="0.45">
      <c r="A3874" s="2" t="s">
        <v>59</v>
      </c>
      <c r="B3874" s="2" t="s">
        <v>60</v>
      </c>
      <c r="C3874" s="2" t="s">
        <v>37250</v>
      </c>
      <c r="D3874" s="2" t="s">
        <v>37251</v>
      </c>
      <c r="E3874" s="2" t="s">
        <v>37242</v>
      </c>
      <c r="G3874" s="3" t="s">
        <v>62</v>
      </c>
      <c r="I3874" s="3" t="s">
        <v>61</v>
      </c>
      <c r="J3874" s="3" t="s">
        <v>61</v>
      </c>
      <c r="K3874" s="3" t="s">
        <v>63</v>
      </c>
      <c r="L3874" s="2" t="s">
        <v>7051</v>
      </c>
      <c r="M3874" s="2" t="s">
        <v>2654</v>
      </c>
      <c r="N3874" s="3" t="s">
        <v>820</v>
      </c>
      <c r="O3874" s="2" t="s">
        <v>933</v>
      </c>
      <c r="P3874" s="3" t="s">
        <v>65</v>
      </c>
      <c r="Q3874" s="2" t="s">
        <v>2655</v>
      </c>
      <c r="R3874" s="3" t="s">
        <v>66</v>
      </c>
      <c r="S3874" s="4">
        <v>13</v>
      </c>
      <c r="T3874" s="4">
        <v>31</v>
      </c>
      <c r="U3874" s="5" t="s">
        <v>1570</v>
      </c>
      <c r="V3874" s="5" t="s">
        <v>1570</v>
      </c>
      <c r="W3874" s="5" t="s">
        <v>67</v>
      </c>
      <c r="X3874" s="5" t="s">
        <v>67</v>
      </c>
      <c r="Y3874" s="4">
        <v>299</v>
      </c>
      <c r="Z3874" s="4">
        <v>16</v>
      </c>
      <c r="AA3874" s="4">
        <v>76</v>
      </c>
      <c r="AB3874" s="4">
        <v>3</v>
      </c>
      <c r="AC3874" s="4">
        <v>15</v>
      </c>
      <c r="AD3874" s="4">
        <v>65</v>
      </c>
      <c r="AE3874" s="4">
        <v>131</v>
      </c>
      <c r="AF3874" s="4">
        <v>2</v>
      </c>
      <c r="AG3874" s="4">
        <v>6</v>
      </c>
      <c r="AH3874" s="4">
        <v>58</v>
      </c>
      <c r="AI3874" s="4">
        <v>101</v>
      </c>
      <c r="AJ3874" s="4">
        <v>8</v>
      </c>
      <c r="AK3874" s="4">
        <v>24</v>
      </c>
      <c r="AL3874" s="4">
        <v>37</v>
      </c>
      <c r="AM3874" s="4">
        <v>55</v>
      </c>
      <c r="AN3874" s="4">
        <v>0</v>
      </c>
      <c r="AO3874" s="4">
        <v>0</v>
      </c>
      <c r="AP3874" s="4">
        <v>11</v>
      </c>
      <c r="AQ3874" s="4">
        <v>38</v>
      </c>
      <c r="AR3874" s="3" t="s">
        <v>62</v>
      </c>
      <c r="AS3874" s="3" t="s">
        <v>62</v>
      </c>
      <c r="AT3874" s="3" t="s">
        <v>62</v>
      </c>
      <c r="AV3874" s="6" t="str">
        <f>HYPERLINK("http://mcgill.on.worldcat.org/oclc/261266233","Catalog Record")</f>
        <v>Catalog Record</v>
      </c>
      <c r="AW3874" s="6" t="str">
        <f>HYPERLINK("http://www.worldcat.org/oclc/261266233","WorldCat Record")</f>
        <v>WorldCat Record</v>
      </c>
      <c r="AX3874" s="3" t="s">
        <v>37244</v>
      </c>
      <c r="AY3874" s="3" t="s">
        <v>37252</v>
      </c>
      <c r="AZ3874" s="3" t="s">
        <v>37253</v>
      </c>
      <c r="BA3874" s="3" t="s">
        <v>37253</v>
      </c>
      <c r="BB3874" s="3" t="s">
        <v>37257</v>
      </c>
      <c r="BC3874" s="3" t="s">
        <v>142</v>
      </c>
      <c r="BD3874" s="3" t="s">
        <v>68</v>
      </c>
      <c r="BE3874" s="3" t="s">
        <v>37255</v>
      </c>
      <c r="BF3874" s="3" t="s">
        <v>37257</v>
      </c>
      <c r="BG3874" s="3" t="s">
        <v>37258</v>
      </c>
    </row>
    <row r="3875" spans="1:59" ht="57" x14ac:dyDescent="0.45">
      <c r="A3875" s="2" t="s">
        <v>59</v>
      </c>
      <c r="B3875" s="2" t="s">
        <v>60</v>
      </c>
      <c r="C3875" s="2" t="s">
        <v>37259</v>
      </c>
      <c r="D3875" s="2" t="s">
        <v>37260</v>
      </c>
      <c r="E3875" s="2" t="s">
        <v>37261</v>
      </c>
      <c r="G3875" s="3" t="s">
        <v>62</v>
      </c>
      <c r="I3875" s="3" t="s">
        <v>62</v>
      </c>
      <c r="J3875" s="3" t="s">
        <v>61</v>
      </c>
      <c r="K3875" s="3" t="s">
        <v>63</v>
      </c>
      <c r="L3875" s="2" t="s">
        <v>7051</v>
      </c>
      <c r="M3875" s="2" t="s">
        <v>16075</v>
      </c>
      <c r="N3875" s="3" t="s">
        <v>1253</v>
      </c>
      <c r="P3875" s="3" t="s">
        <v>65</v>
      </c>
      <c r="Q3875" s="2" t="s">
        <v>2549</v>
      </c>
      <c r="R3875" s="3" t="s">
        <v>66</v>
      </c>
      <c r="S3875" s="4">
        <v>46</v>
      </c>
      <c r="T3875" s="4">
        <v>46</v>
      </c>
      <c r="U3875" s="5" t="s">
        <v>6038</v>
      </c>
      <c r="V3875" s="5" t="s">
        <v>6038</v>
      </c>
      <c r="W3875" s="5" t="s">
        <v>67</v>
      </c>
      <c r="X3875" s="5" t="s">
        <v>67</v>
      </c>
      <c r="Y3875" s="4">
        <v>463</v>
      </c>
      <c r="Z3875" s="4">
        <v>36</v>
      </c>
      <c r="AA3875" s="4">
        <v>76</v>
      </c>
      <c r="AB3875" s="4">
        <v>3</v>
      </c>
      <c r="AC3875" s="4">
        <v>15</v>
      </c>
      <c r="AD3875" s="4">
        <v>64</v>
      </c>
      <c r="AE3875" s="4">
        <v>131</v>
      </c>
      <c r="AF3875" s="4">
        <v>2</v>
      </c>
      <c r="AG3875" s="4">
        <v>6</v>
      </c>
      <c r="AH3875" s="4">
        <v>51</v>
      </c>
      <c r="AI3875" s="4">
        <v>101</v>
      </c>
      <c r="AJ3875" s="4">
        <v>8</v>
      </c>
      <c r="AK3875" s="4">
        <v>24</v>
      </c>
      <c r="AL3875" s="4">
        <v>30</v>
      </c>
      <c r="AM3875" s="4">
        <v>55</v>
      </c>
      <c r="AN3875" s="4">
        <v>0</v>
      </c>
      <c r="AO3875" s="4">
        <v>0</v>
      </c>
      <c r="AP3875" s="4">
        <v>15</v>
      </c>
      <c r="AQ3875" s="4">
        <v>38</v>
      </c>
      <c r="AR3875" s="3" t="s">
        <v>62</v>
      </c>
      <c r="AS3875" s="3" t="s">
        <v>62</v>
      </c>
      <c r="AT3875" s="3" t="s">
        <v>61</v>
      </c>
      <c r="AU3875" s="6" t="str">
        <f>HYPERLINK("http://catalog.hathitrust.org/Record/003943403","HathiTrust Record")</f>
        <v>HathiTrust Record</v>
      </c>
      <c r="AV3875" s="6" t="str">
        <f>HYPERLINK("http://mcgill.on.worldcat.org/oclc/37303510","Catalog Record")</f>
        <v>Catalog Record</v>
      </c>
      <c r="AW3875" s="6" t="str">
        <f>HYPERLINK("http://www.worldcat.org/oclc/37303510","WorldCat Record")</f>
        <v>WorldCat Record</v>
      </c>
      <c r="AX3875" s="3" t="s">
        <v>37244</v>
      </c>
      <c r="AY3875" s="3" t="s">
        <v>37262</v>
      </c>
      <c r="AZ3875" s="3" t="s">
        <v>37263</v>
      </c>
      <c r="BA3875" s="3" t="s">
        <v>37263</v>
      </c>
      <c r="BB3875" s="3" t="s">
        <v>37264</v>
      </c>
      <c r="BC3875" s="3" t="s">
        <v>142</v>
      </c>
      <c r="BD3875" s="3" t="s">
        <v>68</v>
      </c>
      <c r="BE3875" s="3" t="s">
        <v>37265</v>
      </c>
      <c r="BF3875" s="3" t="s">
        <v>37264</v>
      </c>
      <c r="BG3875" s="3" t="s">
        <v>37266</v>
      </c>
    </row>
    <row r="3876" spans="1:59" ht="57" x14ac:dyDescent="0.45">
      <c r="A3876" s="2" t="s">
        <v>59</v>
      </c>
      <c r="B3876" s="2" t="s">
        <v>60</v>
      </c>
      <c r="C3876" s="2" t="s">
        <v>37267</v>
      </c>
      <c r="D3876" s="2" t="s">
        <v>37268</v>
      </c>
      <c r="E3876" s="2" t="s">
        <v>37269</v>
      </c>
      <c r="G3876" s="3" t="s">
        <v>62</v>
      </c>
      <c r="I3876" s="3" t="s">
        <v>61</v>
      </c>
      <c r="J3876" s="3" t="s">
        <v>61</v>
      </c>
      <c r="K3876" s="3" t="s">
        <v>63</v>
      </c>
      <c r="L3876" s="2" t="s">
        <v>7051</v>
      </c>
      <c r="M3876" s="2" t="s">
        <v>37270</v>
      </c>
      <c r="N3876" s="3" t="s">
        <v>625</v>
      </c>
      <c r="P3876" s="3" t="s">
        <v>65</v>
      </c>
      <c r="R3876" s="3" t="s">
        <v>66</v>
      </c>
      <c r="S3876" s="4">
        <v>25</v>
      </c>
      <c r="T3876" s="4">
        <v>68</v>
      </c>
      <c r="U3876" s="5" t="s">
        <v>24522</v>
      </c>
      <c r="V3876" s="5" t="s">
        <v>8386</v>
      </c>
      <c r="W3876" s="5" t="s">
        <v>67</v>
      </c>
      <c r="X3876" s="5" t="s">
        <v>67</v>
      </c>
      <c r="Y3876" s="4">
        <v>95</v>
      </c>
      <c r="Z3876" s="4">
        <v>13</v>
      </c>
      <c r="AA3876" s="4">
        <v>66</v>
      </c>
      <c r="AB3876" s="4">
        <v>1</v>
      </c>
      <c r="AC3876" s="4">
        <v>8</v>
      </c>
      <c r="AD3876" s="4">
        <v>21</v>
      </c>
      <c r="AE3876" s="4">
        <v>129</v>
      </c>
      <c r="AF3876" s="4">
        <v>0</v>
      </c>
      <c r="AG3876" s="4">
        <v>5</v>
      </c>
      <c r="AH3876" s="4">
        <v>15</v>
      </c>
      <c r="AI3876" s="4">
        <v>93</v>
      </c>
      <c r="AJ3876" s="4">
        <v>8</v>
      </c>
      <c r="AK3876" s="4">
        <v>26</v>
      </c>
      <c r="AL3876" s="4">
        <v>6</v>
      </c>
      <c r="AM3876" s="4">
        <v>49</v>
      </c>
      <c r="AN3876" s="4">
        <v>0</v>
      </c>
      <c r="AO3876" s="4">
        <v>0</v>
      </c>
      <c r="AP3876" s="4">
        <v>10</v>
      </c>
      <c r="AQ3876" s="4">
        <v>44</v>
      </c>
      <c r="AR3876" s="3" t="s">
        <v>62</v>
      </c>
      <c r="AS3876" s="3" t="s">
        <v>62</v>
      </c>
      <c r="AT3876" s="3" t="s">
        <v>61</v>
      </c>
      <c r="AU3876" s="6" t="str">
        <f>HYPERLINK("http://catalog.hathitrust.org/Record/007105973","HathiTrust Record")</f>
        <v>HathiTrust Record</v>
      </c>
      <c r="AV3876" s="6" t="str">
        <f>HYPERLINK("http://mcgill.on.worldcat.org/oclc/16626551","Catalog Record")</f>
        <v>Catalog Record</v>
      </c>
      <c r="AW3876" s="6" t="str">
        <f>HYPERLINK("http://www.worldcat.org/oclc/16626551","WorldCat Record")</f>
        <v>WorldCat Record</v>
      </c>
      <c r="AX3876" s="3" t="s">
        <v>37271</v>
      </c>
      <c r="AY3876" s="3" t="s">
        <v>37272</v>
      </c>
      <c r="AZ3876" s="3" t="s">
        <v>37273</v>
      </c>
      <c r="BA3876" s="3" t="s">
        <v>37273</v>
      </c>
      <c r="BB3876" s="3" t="s">
        <v>37274</v>
      </c>
      <c r="BC3876" s="3" t="s">
        <v>142</v>
      </c>
      <c r="BD3876" s="3" t="s">
        <v>68</v>
      </c>
      <c r="BE3876" s="3" t="s">
        <v>37275</v>
      </c>
      <c r="BF3876" s="3" t="s">
        <v>37274</v>
      </c>
      <c r="BG3876" s="3" t="s">
        <v>37276</v>
      </c>
    </row>
    <row r="3877" spans="1:59" ht="57" x14ac:dyDescent="0.45">
      <c r="A3877" s="2" t="s">
        <v>59</v>
      </c>
      <c r="B3877" s="2" t="s">
        <v>60</v>
      </c>
      <c r="C3877" s="2" t="s">
        <v>37267</v>
      </c>
      <c r="D3877" s="2" t="s">
        <v>37268</v>
      </c>
      <c r="E3877" s="2" t="s">
        <v>37269</v>
      </c>
      <c r="G3877" s="3" t="s">
        <v>62</v>
      </c>
      <c r="I3877" s="3" t="s">
        <v>61</v>
      </c>
      <c r="J3877" s="3" t="s">
        <v>61</v>
      </c>
      <c r="K3877" s="3" t="s">
        <v>63</v>
      </c>
      <c r="L3877" s="2" t="s">
        <v>7051</v>
      </c>
      <c r="M3877" s="2" t="s">
        <v>37270</v>
      </c>
      <c r="N3877" s="3" t="s">
        <v>625</v>
      </c>
      <c r="P3877" s="3" t="s">
        <v>65</v>
      </c>
      <c r="R3877" s="3" t="s">
        <v>66</v>
      </c>
      <c r="S3877" s="4">
        <v>24</v>
      </c>
      <c r="T3877" s="4">
        <v>68</v>
      </c>
      <c r="U3877" s="5" t="s">
        <v>37277</v>
      </c>
      <c r="V3877" s="5" t="s">
        <v>8386</v>
      </c>
      <c r="W3877" s="5" t="s">
        <v>67</v>
      </c>
      <c r="X3877" s="5" t="s">
        <v>67</v>
      </c>
      <c r="Y3877" s="4">
        <v>95</v>
      </c>
      <c r="Z3877" s="4">
        <v>13</v>
      </c>
      <c r="AA3877" s="4">
        <v>66</v>
      </c>
      <c r="AB3877" s="4">
        <v>1</v>
      </c>
      <c r="AC3877" s="4">
        <v>8</v>
      </c>
      <c r="AD3877" s="4">
        <v>21</v>
      </c>
      <c r="AE3877" s="4">
        <v>129</v>
      </c>
      <c r="AF3877" s="4">
        <v>0</v>
      </c>
      <c r="AG3877" s="4">
        <v>5</v>
      </c>
      <c r="AH3877" s="4">
        <v>15</v>
      </c>
      <c r="AI3877" s="4">
        <v>93</v>
      </c>
      <c r="AJ3877" s="4">
        <v>8</v>
      </c>
      <c r="AK3877" s="4">
        <v>26</v>
      </c>
      <c r="AL3877" s="4">
        <v>6</v>
      </c>
      <c r="AM3877" s="4">
        <v>49</v>
      </c>
      <c r="AN3877" s="4">
        <v>0</v>
      </c>
      <c r="AO3877" s="4">
        <v>0</v>
      </c>
      <c r="AP3877" s="4">
        <v>10</v>
      </c>
      <c r="AQ3877" s="4">
        <v>44</v>
      </c>
      <c r="AR3877" s="3" t="s">
        <v>62</v>
      </c>
      <c r="AS3877" s="3" t="s">
        <v>62</v>
      </c>
      <c r="AT3877" s="3" t="s">
        <v>61</v>
      </c>
      <c r="AU3877" s="6" t="str">
        <f>HYPERLINK("http://catalog.hathitrust.org/Record/007105973","HathiTrust Record")</f>
        <v>HathiTrust Record</v>
      </c>
      <c r="AV3877" s="6" t="str">
        <f>HYPERLINK("http://mcgill.on.worldcat.org/oclc/16626551","Catalog Record")</f>
        <v>Catalog Record</v>
      </c>
      <c r="AW3877" s="6" t="str">
        <f>HYPERLINK("http://www.worldcat.org/oclc/16626551","WorldCat Record")</f>
        <v>WorldCat Record</v>
      </c>
      <c r="AX3877" s="3" t="s">
        <v>37271</v>
      </c>
      <c r="AY3877" s="3" t="s">
        <v>37272</v>
      </c>
      <c r="AZ3877" s="3" t="s">
        <v>37273</v>
      </c>
      <c r="BA3877" s="3" t="s">
        <v>37273</v>
      </c>
      <c r="BB3877" s="3" t="s">
        <v>37278</v>
      </c>
      <c r="BC3877" s="3" t="s">
        <v>142</v>
      </c>
      <c r="BD3877" s="3" t="s">
        <v>68</v>
      </c>
      <c r="BE3877" s="3" t="s">
        <v>37275</v>
      </c>
      <c r="BF3877" s="3" t="s">
        <v>37278</v>
      </c>
      <c r="BG3877" s="3" t="s">
        <v>37279</v>
      </c>
    </row>
    <row r="3878" spans="1:59" ht="57" x14ac:dyDescent="0.45">
      <c r="A3878" s="2" t="s">
        <v>59</v>
      </c>
      <c r="B3878" s="2" t="s">
        <v>60</v>
      </c>
      <c r="C3878" s="2" t="s">
        <v>37267</v>
      </c>
      <c r="D3878" s="2" t="s">
        <v>37268</v>
      </c>
      <c r="E3878" s="2" t="s">
        <v>37269</v>
      </c>
      <c r="G3878" s="3" t="s">
        <v>62</v>
      </c>
      <c r="I3878" s="3" t="s">
        <v>61</v>
      </c>
      <c r="J3878" s="3" t="s">
        <v>61</v>
      </c>
      <c r="K3878" s="3" t="s">
        <v>63</v>
      </c>
      <c r="L3878" s="2" t="s">
        <v>7051</v>
      </c>
      <c r="M3878" s="2" t="s">
        <v>37270</v>
      </c>
      <c r="N3878" s="3" t="s">
        <v>625</v>
      </c>
      <c r="P3878" s="3" t="s">
        <v>65</v>
      </c>
      <c r="R3878" s="3" t="s">
        <v>66</v>
      </c>
      <c r="S3878" s="4">
        <v>19</v>
      </c>
      <c r="T3878" s="4">
        <v>68</v>
      </c>
      <c r="U3878" s="5" t="s">
        <v>8386</v>
      </c>
      <c r="V3878" s="5" t="s">
        <v>8386</v>
      </c>
      <c r="W3878" s="5" t="s">
        <v>67</v>
      </c>
      <c r="X3878" s="5" t="s">
        <v>67</v>
      </c>
      <c r="Y3878" s="4">
        <v>95</v>
      </c>
      <c r="Z3878" s="4">
        <v>13</v>
      </c>
      <c r="AA3878" s="4">
        <v>66</v>
      </c>
      <c r="AB3878" s="4">
        <v>1</v>
      </c>
      <c r="AC3878" s="4">
        <v>8</v>
      </c>
      <c r="AD3878" s="4">
        <v>21</v>
      </c>
      <c r="AE3878" s="4">
        <v>129</v>
      </c>
      <c r="AF3878" s="4">
        <v>0</v>
      </c>
      <c r="AG3878" s="4">
        <v>5</v>
      </c>
      <c r="AH3878" s="4">
        <v>15</v>
      </c>
      <c r="AI3878" s="4">
        <v>93</v>
      </c>
      <c r="AJ3878" s="4">
        <v>8</v>
      </c>
      <c r="AK3878" s="4">
        <v>26</v>
      </c>
      <c r="AL3878" s="4">
        <v>6</v>
      </c>
      <c r="AM3878" s="4">
        <v>49</v>
      </c>
      <c r="AN3878" s="4">
        <v>0</v>
      </c>
      <c r="AO3878" s="4">
        <v>0</v>
      </c>
      <c r="AP3878" s="4">
        <v>10</v>
      </c>
      <c r="AQ3878" s="4">
        <v>44</v>
      </c>
      <c r="AR3878" s="3" t="s">
        <v>62</v>
      </c>
      <c r="AS3878" s="3" t="s">
        <v>62</v>
      </c>
      <c r="AT3878" s="3" t="s">
        <v>61</v>
      </c>
      <c r="AU3878" s="6" t="str">
        <f>HYPERLINK("http://catalog.hathitrust.org/Record/007105973","HathiTrust Record")</f>
        <v>HathiTrust Record</v>
      </c>
      <c r="AV3878" s="6" t="str">
        <f>HYPERLINK("http://mcgill.on.worldcat.org/oclc/16626551","Catalog Record")</f>
        <v>Catalog Record</v>
      </c>
      <c r="AW3878" s="6" t="str">
        <f>HYPERLINK("http://www.worldcat.org/oclc/16626551","WorldCat Record")</f>
        <v>WorldCat Record</v>
      </c>
      <c r="AX3878" s="3" t="s">
        <v>37271</v>
      </c>
      <c r="AY3878" s="3" t="s">
        <v>37272</v>
      </c>
      <c r="AZ3878" s="3" t="s">
        <v>37273</v>
      </c>
      <c r="BA3878" s="3" t="s">
        <v>37273</v>
      </c>
      <c r="BB3878" s="3" t="s">
        <v>37280</v>
      </c>
      <c r="BC3878" s="3" t="s">
        <v>142</v>
      </c>
      <c r="BD3878" s="3" t="s">
        <v>68</v>
      </c>
      <c r="BE3878" s="3" t="s">
        <v>37275</v>
      </c>
      <c r="BF3878" s="3" t="s">
        <v>37280</v>
      </c>
      <c r="BG3878" s="3" t="s">
        <v>37281</v>
      </c>
    </row>
    <row r="3879" spans="1:59" ht="114" x14ac:dyDescent="0.45">
      <c r="A3879" s="2" t="s">
        <v>59</v>
      </c>
      <c r="B3879" s="2" t="s">
        <v>37282</v>
      </c>
      <c r="C3879" s="2" t="s">
        <v>37283</v>
      </c>
      <c r="D3879" s="2" t="s">
        <v>37284</v>
      </c>
      <c r="E3879" s="2" t="s">
        <v>37269</v>
      </c>
      <c r="G3879" s="3" t="s">
        <v>62</v>
      </c>
      <c r="I3879" s="3" t="s">
        <v>62</v>
      </c>
      <c r="J3879" s="3" t="s">
        <v>61</v>
      </c>
      <c r="K3879" s="3" t="s">
        <v>63</v>
      </c>
      <c r="L3879" s="2" t="s">
        <v>37285</v>
      </c>
      <c r="M3879" s="2" t="s">
        <v>37286</v>
      </c>
      <c r="N3879" s="3" t="s">
        <v>208</v>
      </c>
      <c r="O3879" s="2" t="s">
        <v>3280</v>
      </c>
      <c r="P3879" s="3" t="s">
        <v>65</v>
      </c>
      <c r="Q3879" s="2" t="s">
        <v>2655</v>
      </c>
      <c r="R3879" s="3" t="s">
        <v>66</v>
      </c>
      <c r="S3879" s="4">
        <v>6</v>
      </c>
      <c r="T3879" s="4">
        <v>6</v>
      </c>
      <c r="U3879" s="5" t="s">
        <v>1570</v>
      </c>
      <c r="V3879" s="5" t="s">
        <v>1570</v>
      </c>
      <c r="W3879" s="5" t="s">
        <v>67</v>
      </c>
      <c r="X3879" s="5" t="s">
        <v>67</v>
      </c>
      <c r="Y3879" s="4">
        <v>124</v>
      </c>
      <c r="Z3879" s="4">
        <v>13</v>
      </c>
      <c r="AA3879" s="4">
        <v>66</v>
      </c>
      <c r="AB3879" s="4">
        <v>2</v>
      </c>
      <c r="AC3879" s="4">
        <v>8</v>
      </c>
      <c r="AD3879" s="4">
        <v>30</v>
      </c>
      <c r="AE3879" s="4">
        <v>129</v>
      </c>
      <c r="AF3879" s="4">
        <v>1</v>
      </c>
      <c r="AG3879" s="4">
        <v>5</v>
      </c>
      <c r="AH3879" s="4">
        <v>25</v>
      </c>
      <c r="AI3879" s="4">
        <v>93</v>
      </c>
      <c r="AJ3879" s="4">
        <v>9</v>
      </c>
      <c r="AK3879" s="4">
        <v>26</v>
      </c>
      <c r="AL3879" s="4">
        <v>16</v>
      </c>
      <c r="AM3879" s="4">
        <v>49</v>
      </c>
      <c r="AN3879" s="4">
        <v>0</v>
      </c>
      <c r="AO3879" s="4">
        <v>0</v>
      </c>
      <c r="AP3879" s="4">
        <v>10</v>
      </c>
      <c r="AQ3879" s="4">
        <v>44</v>
      </c>
      <c r="AR3879" s="3" t="s">
        <v>62</v>
      </c>
      <c r="AS3879" s="3" t="s">
        <v>62</v>
      </c>
      <c r="AT3879" s="3" t="s">
        <v>62</v>
      </c>
      <c r="AV3879" s="6" t="str">
        <f>HYPERLINK("http://mcgill.on.worldcat.org/oclc/908630230","Catalog Record")</f>
        <v>Catalog Record</v>
      </c>
      <c r="AW3879" s="6" t="str">
        <f>HYPERLINK("http://www.worldcat.org/oclc/908630230","WorldCat Record")</f>
        <v>WorldCat Record</v>
      </c>
      <c r="AX3879" s="3" t="s">
        <v>37271</v>
      </c>
      <c r="AY3879" s="3" t="s">
        <v>37287</v>
      </c>
      <c r="AZ3879" s="3" t="s">
        <v>37288</v>
      </c>
      <c r="BA3879" s="3" t="s">
        <v>37288</v>
      </c>
      <c r="BB3879" s="3" t="s">
        <v>37289</v>
      </c>
      <c r="BC3879" s="3" t="s">
        <v>142</v>
      </c>
      <c r="BD3879" s="3" t="s">
        <v>68</v>
      </c>
      <c r="BE3879" s="3" t="s">
        <v>37290</v>
      </c>
      <c r="BF3879" s="3" t="s">
        <v>37289</v>
      </c>
      <c r="BG3879" s="3" t="s">
        <v>37291</v>
      </c>
    </row>
    <row r="3880" spans="1:59" ht="57" x14ac:dyDescent="0.45">
      <c r="A3880" s="2" t="s">
        <v>59</v>
      </c>
      <c r="B3880" s="2" t="s">
        <v>60</v>
      </c>
      <c r="C3880" s="2" t="s">
        <v>37292</v>
      </c>
      <c r="D3880" s="2" t="s">
        <v>37293</v>
      </c>
      <c r="E3880" s="2" t="s">
        <v>37294</v>
      </c>
      <c r="G3880" s="3" t="s">
        <v>62</v>
      </c>
      <c r="I3880" s="3" t="s">
        <v>61</v>
      </c>
      <c r="J3880" s="3" t="s">
        <v>62</v>
      </c>
      <c r="K3880" s="3" t="s">
        <v>63</v>
      </c>
      <c r="M3880" s="2" t="s">
        <v>37295</v>
      </c>
      <c r="N3880" s="3" t="s">
        <v>116</v>
      </c>
      <c r="P3880" s="3" t="s">
        <v>110</v>
      </c>
      <c r="Q3880" s="2" t="s">
        <v>37296</v>
      </c>
      <c r="R3880" s="3" t="s">
        <v>66</v>
      </c>
      <c r="S3880" s="4">
        <v>1</v>
      </c>
      <c r="T3880" s="4">
        <v>1</v>
      </c>
      <c r="U3880" s="5" t="s">
        <v>37297</v>
      </c>
      <c r="V3880" s="5" t="s">
        <v>37297</v>
      </c>
      <c r="W3880" s="5" t="s">
        <v>67</v>
      </c>
      <c r="X3880" s="5" t="s">
        <v>67</v>
      </c>
      <c r="Y3880" s="4">
        <v>9</v>
      </c>
      <c r="Z3880" s="4">
        <v>2</v>
      </c>
      <c r="AA3880" s="4">
        <v>9</v>
      </c>
      <c r="AB3880" s="4">
        <v>1</v>
      </c>
      <c r="AC3880" s="4">
        <v>2</v>
      </c>
      <c r="AD3880" s="4">
        <v>3</v>
      </c>
      <c r="AE3880" s="4">
        <v>9</v>
      </c>
      <c r="AF3880" s="4">
        <v>0</v>
      </c>
      <c r="AG3880" s="4">
        <v>1</v>
      </c>
      <c r="AH3880" s="4">
        <v>3</v>
      </c>
      <c r="AI3880" s="4">
        <v>8</v>
      </c>
      <c r="AJ3880" s="4">
        <v>1</v>
      </c>
      <c r="AK3880" s="4">
        <v>7</v>
      </c>
      <c r="AL3880" s="4">
        <v>1</v>
      </c>
      <c r="AM3880" s="4">
        <v>1</v>
      </c>
      <c r="AN3880" s="4">
        <v>0</v>
      </c>
      <c r="AO3880" s="4">
        <v>0</v>
      </c>
      <c r="AP3880" s="4">
        <v>1</v>
      </c>
      <c r="AQ3880" s="4">
        <v>7</v>
      </c>
      <c r="AR3880" s="3" t="s">
        <v>62</v>
      </c>
      <c r="AS3880" s="3" t="s">
        <v>62</v>
      </c>
      <c r="AT3880" s="3" t="s">
        <v>62</v>
      </c>
      <c r="AV3880" s="6" t="str">
        <f>HYPERLINK("http://mcgill.on.worldcat.org/oclc/824486549","Catalog Record")</f>
        <v>Catalog Record</v>
      </c>
      <c r="AW3880" s="6" t="str">
        <f>HYPERLINK("http://www.worldcat.org/oclc/824486549","WorldCat Record")</f>
        <v>WorldCat Record</v>
      </c>
      <c r="AX3880" s="3" t="s">
        <v>37298</v>
      </c>
      <c r="AY3880" s="3" t="s">
        <v>37299</v>
      </c>
      <c r="AZ3880" s="3" t="s">
        <v>37300</v>
      </c>
      <c r="BA3880" s="3" t="s">
        <v>37300</v>
      </c>
      <c r="BB3880" s="3" t="s">
        <v>37301</v>
      </c>
      <c r="BC3880" s="3" t="s">
        <v>142</v>
      </c>
      <c r="BD3880" s="3" t="s">
        <v>68</v>
      </c>
      <c r="BE3880" s="3" t="s">
        <v>37302</v>
      </c>
      <c r="BF3880" s="3" t="s">
        <v>37301</v>
      </c>
      <c r="BG3880" s="3" t="s">
        <v>37303</v>
      </c>
    </row>
    <row r="3881" spans="1:59" ht="57" x14ac:dyDescent="0.45">
      <c r="A3881" s="2" t="s">
        <v>59</v>
      </c>
      <c r="B3881" s="2" t="s">
        <v>60</v>
      </c>
      <c r="C3881" s="2" t="s">
        <v>37292</v>
      </c>
      <c r="D3881" s="2" t="s">
        <v>37293</v>
      </c>
      <c r="E3881" s="2" t="s">
        <v>37294</v>
      </c>
      <c r="G3881" s="3" t="s">
        <v>62</v>
      </c>
      <c r="I3881" s="3" t="s">
        <v>61</v>
      </c>
      <c r="J3881" s="3" t="s">
        <v>62</v>
      </c>
      <c r="K3881" s="3" t="s">
        <v>63</v>
      </c>
      <c r="M3881" s="2" t="s">
        <v>37295</v>
      </c>
      <c r="N3881" s="3" t="s">
        <v>116</v>
      </c>
      <c r="P3881" s="3" t="s">
        <v>110</v>
      </c>
      <c r="Q3881" s="2" t="s">
        <v>37296</v>
      </c>
      <c r="R3881" s="3" t="s">
        <v>66</v>
      </c>
      <c r="S3881" s="4">
        <v>0</v>
      </c>
      <c r="T3881" s="4">
        <v>1</v>
      </c>
      <c r="V3881" s="5" t="s">
        <v>37297</v>
      </c>
      <c r="W3881" s="5" t="s">
        <v>67</v>
      </c>
      <c r="X3881" s="5" t="s">
        <v>67</v>
      </c>
      <c r="Y3881" s="4">
        <v>9</v>
      </c>
      <c r="Z3881" s="4">
        <v>2</v>
      </c>
      <c r="AA3881" s="4">
        <v>9</v>
      </c>
      <c r="AB3881" s="4">
        <v>1</v>
      </c>
      <c r="AC3881" s="4">
        <v>2</v>
      </c>
      <c r="AD3881" s="4">
        <v>3</v>
      </c>
      <c r="AE3881" s="4">
        <v>9</v>
      </c>
      <c r="AF3881" s="4">
        <v>0</v>
      </c>
      <c r="AG3881" s="4">
        <v>1</v>
      </c>
      <c r="AH3881" s="4">
        <v>3</v>
      </c>
      <c r="AI3881" s="4">
        <v>8</v>
      </c>
      <c r="AJ3881" s="4">
        <v>1</v>
      </c>
      <c r="AK3881" s="4">
        <v>7</v>
      </c>
      <c r="AL3881" s="4">
        <v>1</v>
      </c>
      <c r="AM3881" s="4">
        <v>1</v>
      </c>
      <c r="AN3881" s="4">
        <v>0</v>
      </c>
      <c r="AO3881" s="4">
        <v>0</v>
      </c>
      <c r="AP3881" s="4">
        <v>1</v>
      </c>
      <c r="AQ3881" s="4">
        <v>7</v>
      </c>
      <c r="AR3881" s="3" t="s">
        <v>62</v>
      </c>
      <c r="AS3881" s="3" t="s">
        <v>62</v>
      </c>
      <c r="AT3881" s="3" t="s">
        <v>62</v>
      </c>
      <c r="AV3881" s="6" t="str">
        <f>HYPERLINK("http://mcgill.on.worldcat.org/oclc/824486549","Catalog Record")</f>
        <v>Catalog Record</v>
      </c>
      <c r="AW3881" s="6" t="str">
        <f>HYPERLINK("http://www.worldcat.org/oclc/824486549","WorldCat Record")</f>
        <v>WorldCat Record</v>
      </c>
      <c r="AX3881" s="3" t="s">
        <v>37298</v>
      </c>
      <c r="AY3881" s="3" t="s">
        <v>37299</v>
      </c>
      <c r="AZ3881" s="3" t="s">
        <v>37300</v>
      </c>
      <c r="BA3881" s="3" t="s">
        <v>37300</v>
      </c>
      <c r="BB3881" s="3" t="s">
        <v>37304</v>
      </c>
      <c r="BC3881" s="3" t="s">
        <v>142</v>
      </c>
      <c r="BD3881" s="3" t="s">
        <v>68</v>
      </c>
      <c r="BE3881" s="3" t="s">
        <v>37302</v>
      </c>
      <c r="BF3881" s="3" t="s">
        <v>37304</v>
      </c>
      <c r="BG3881" s="3" t="s">
        <v>37305</v>
      </c>
    </row>
    <row r="3882" spans="1:59" ht="57" x14ac:dyDescent="0.45">
      <c r="A3882" s="2" t="s">
        <v>59</v>
      </c>
      <c r="B3882" s="2" t="s">
        <v>60</v>
      </c>
      <c r="C3882" s="2" t="s">
        <v>37292</v>
      </c>
      <c r="D3882" s="2" t="s">
        <v>37293</v>
      </c>
      <c r="E3882" s="2" t="s">
        <v>37294</v>
      </c>
      <c r="G3882" s="3" t="s">
        <v>62</v>
      </c>
      <c r="I3882" s="3" t="s">
        <v>61</v>
      </c>
      <c r="J3882" s="3" t="s">
        <v>62</v>
      </c>
      <c r="K3882" s="3" t="s">
        <v>63</v>
      </c>
      <c r="M3882" s="2" t="s">
        <v>37295</v>
      </c>
      <c r="N3882" s="3" t="s">
        <v>116</v>
      </c>
      <c r="P3882" s="3" t="s">
        <v>110</v>
      </c>
      <c r="Q3882" s="2" t="s">
        <v>37296</v>
      </c>
      <c r="R3882" s="3" t="s">
        <v>66</v>
      </c>
      <c r="S3882" s="4">
        <v>0</v>
      </c>
      <c r="T3882" s="4">
        <v>1</v>
      </c>
      <c r="V3882" s="5" t="s">
        <v>37297</v>
      </c>
      <c r="W3882" s="5" t="s">
        <v>67</v>
      </c>
      <c r="X3882" s="5" t="s">
        <v>67</v>
      </c>
      <c r="Y3882" s="4">
        <v>9</v>
      </c>
      <c r="Z3882" s="4">
        <v>2</v>
      </c>
      <c r="AA3882" s="4">
        <v>9</v>
      </c>
      <c r="AB3882" s="4">
        <v>1</v>
      </c>
      <c r="AC3882" s="4">
        <v>2</v>
      </c>
      <c r="AD3882" s="4">
        <v>3</v>
      </c>
      <c r="AE3882" s="4">
        <v>9</v>
      </c>
      <c r="AF3882" s="4">
        <v>0</v>
      </c>
      <c r="AG3882" s="4">
        <v>1</v>
      </c>
      <c r="AH3882" s="4">
        <v>3</v>
      </c>
      <c r="AI3882" s="4">
        <v>8</v>
      </c>
      <c r="AJ3882" s="4">
        <v>1</v>
      </c>
      <c r="AK3882" s="4">
        <v>7</v>
      </c>
      <c r="AL3882" s="4">
        <v>1</v>
      </c>
      <c r="AM3882" s="4">
        <v>1</v>
      </c>
      <c r="AN3882" s="4">
        <v>0</v>
      </c>
      <c r="AO3882" s="4">
        <v>0</v>
      </c>
      <c r="AP3882" s="4">
        <v>1</v>
      </c>
      <c r="AQ3882" s="4">
        <v>7</v>
      </c>
      <c r="AR3882" s="3" t="s">
        <v>62</v>
      </c>
      <c r="AS3882" s="3" t="s">
        <v>62</v>
      </c>
      <c r="AT3882" s="3" t="s">
        <v>62</v>
      </c>
      <c r="AV3882" s="6" t="str">
        <f>HYPERLINK("http://mcgill.on.worldcat.org/oclc/824486549","Catalog Record")</f>
        <v>Catalog Record</v>
      </c>
      <c r="AW3882" s="6" t="str">
        <f>HYPERLINK("http://www.worldcat.org/oclc/824486549","WorldCat Record")</f>
        <v>WorldCat Record</v>
      </c>
      <c r="AX3882" s="3" t="s">
        <v>37298</v>
      </c>
      <c r="AY3882" s="3" t="s">
        <v>37299</v>
      </c>
      <c r="AZ3882" s="3" t="s">
        <v>37300</v>
      </c>
      <c r="BA3882" s="3" t="s">
        <v>37300</v>
      </c>
      <c r="BB3882" s="3" t="s">
        <v>37306</v>
      </c>
      <c r="BC3882" s="3" t="s">
        <v>142</v>
      </c>
      <c r="BD3882" s="3" t="s">
        <v>68</v>
      </c>
      <c r="BE3882" s="3" t="s">
        <v>37302</v>
      </c>
      <c r="BF3882" s="3" t="s">
        <v>37306</v>
      </c>
      <c r="BG3882" s="3" t="s">
        <v>37307</v>
      </c>
    </row>
    <row r="3883" spans="1:59" ht="57" x14ac:dyDescent="0.45">
      <c r="A3883" s="2" t="s">
        <v>59</v>
      </c>
      <c r="B3883" s="2" t="s">
        <v>60</v>
      </c>
      <c r="C3883" s="2" t="s">
        <v>37308</v>
      </c>
      <c r="D3883" s="2" t="s">
        <v>37309</v>
      </c>
      <c r="E3883" s="2" t="s">
        <v>37310</v>
      </c>
      <c r="G3883" s="3" t="s">
        <v>62</v>
      </c>
      <c r="I3883" s="3" t="s">
        <v>62</v>
      </c>
      <c r="J3883" s="3" t="s">
        <v>62</v>
      </c>
      <c r="K3883" s="3" t="s">
        <v>63</v>
      </c>
      <c r="M3883" s="2" t="s">
        <v>37311</v>
      </c>
      <c r="N3883" s="3" t="s">
        <v>1688</v>
      </c>
      <c r="P3883" s="3" t="s">
        <v>65</v>
      </c>
      <c r="Q3883" s="2" t="s">
        <v>6295</v>
      </c>
      <c r="R3883" s="3" t="s">
        <v>66</v>
      </c>
      <c r="S3883" s="4">
        <v>3</v>
      </c>
      <c r="T3883" s="4">
        <v>3</v>
      </c>
      <c r="U3883" s="5" t="s">
        <v>37312</v>
      </c>
      <c r="V3883" s="5" t="s">
        <v>37312</v>
      </c>
      <c r="W3883" s="5" t="s">
        <v>67</v>
      </c>
      <c r="X3883" s="5" t="s">
        <v>67</v>
      </c>
      <c r="Y3883" s="4">
        <v>159</v>
      </c>
      <c r="Z3883" s="4">
        <v>12</v>
      </c>
      <c r="AA3883" s="4">
        <v>24</v>
      </c>
      <c r="AB3883" s="4">
        <v>1</v>
      </c>
      <c r="AC3883" s="4">
        <v>7</v>
      </c>
      <c r="AD3883" s="4">
        <v>38</v>
      </c>
      <c r="AE3883" s="4">
        <v>58</v>
      </c>
      <c r="AF3883" s="4">
        <v>0</v>
      </c>
      <c r="AG3883" s="4">
        <v>3</v>
      </c>
      <c r="AH3883" s="4">
        <v>32</v>
      </c>
      <c r="AI3883" s="4">
        <v>48</v>
      </c>
      <c r="AJ3883" s="4">
        <v>10</v>
      </c>
      <c r="AK3883" s="4">
        <v>14</v>
      </c>
      <c r="AL3883" s="4">
        <v>15</v>
      </c>
      <c r="AM3883" s="4">
        <v>24</v>
      </c>
      <c r="AN3883" s="4">
        <v>0</v>
      </c>
      <c r="AO3883" s="4">
        <v>0</v>
      </c>
      <c r="AP3883" s="4">
        <v>11</v>
      </c>
      <c r="AQ3883" s="4">
        <v>18</v>
      </c>
      <c r="AR3883" s="3" t="s">
        <v>62</v>
      </c>
      <c r="AS3883" s="3" t="s">
        <v>62</v>
      </c>
      <c r="AT3883" s="3" t="s">
        <v>62</v>
      </c>
      <c r="AV3883" s="6" t="str">
        <f>HYPERLINK("http://mcgill.on.worldcat.org/oclc/758394585","Catalog Record")</f>
        <v>Catalog Record</v>
      </c>
      <c r="AW3883" s="6" t="str">
        <f>HYPERLINK("http://www.worldcat.org/oclc/758394585","WorldCat Record")</f>
        <v>WorldCat Record</v>
      </c>
      <c r="AX3883" s="3" t="s">
        <v>37313</v>
      </c>
      <c r="AY3883" s="3" t="s">
        <v>37314</v>
      </c>
      <c r="AZ3883" s="3" t="s">
        <v>37315</v>
      </c>
      <c r="BA3883" s="3" t="s">
        <v>37315</v>
      </c>
      <c r="BB3883" s="3" t="s">
        <v>37316</v>
      </c>
      <c r="BC3883" s="3" t="s">
        <v>142</v>
      </c>
      <c r="BD3883" s="3" t="s">
        <v>308</v>
      </c>
      <c r="BE3883" s="3" t="s">
        <v>37317</v>
      </c>
      <c r="BF3883" s="3" t="s">
        <v>37316</v>
      </c>
      <c r="BG3883" s="3" t="s">
        <v>37318</v>
      </c>
    </row>
    <row r="3884" spans="1:59" ht="57" x14ac:dyDescent="0.45">
      <c r="A3884" s="2" t="s">
        <v>59</v>
      </c>
      <c r="B3884" s="2" t="s">
        <v>60</v>
      </c>
      <c r="C3884" s="2" t="s">
        <v>37319</v>
      </c>
      <c r="D3884" s="2" t="s">
        <v>37320</v>
      </c>
      <c r="E3884" s="2" t="s">
        <v>37321</v>
      </c>
      <c r="G3884" s="3" t="s">
        <v>62</v>
      </c>
      <c r="I3884" s="3" t="s">
        <v>62</v>
      </c>
      <c r="J3884" s="3" t="s">
        <v>62</v>
      </c>
      <c r="K3884" s="3" t="s">
        <v>63</v>
      </c>
      <c r="M3884" s="2" t="s">
        <v>37322</v>
      </c>
      <c r="N3884" s="3" t="s">
        <v>149</v>
      </c>
      <c r="O3884" s="2" t="s">
        <v>37323</v>
      </c>
      <c r="P3884" s="3" t="s">
        <v>182</v>
      </c>
      <c r="Q3884" s="2" t="s">
        <v>37324</v>
      </c>
      <c r="R3884" s="3" t="s">
        <v>66</v>
      </c>
      <c r="S3884" s="4">
        <v>0</v>
      </c>
      <c r="T3884" s="4">
        <v>0</v>
      </c>
      <c r="W3884" s="5" t="s">
        <v>67</v>
      </c>
      <c r="X3884" s="5" t="s">
        <v>67</v>
      </c>
      <c r="Y3884" s="4">
        <v>7</v>
      </c>
      <c r="Z3884" s="4">
        <v>1</v>
      </c>
      <c r="AA3884" s="4">
        <v>1</v>
      </c>
      <c r="AB3884" s="4">
        <v>1</v>
      </c>
      <c r="AC3884" s="4">
        <v>1</v>
      </c>
      <c r="AD3884" s="4">
        <v>2</v>
      </c>
      <c r="AE3884" s="4">
        <v>2</v>
      </c>
      <c r="AF3884" s="4">
        <v>0</v>
      </c>
      <c r="AG3884" s="4">
        <v>0</v>
      </c>
      <c r="AH3884" s="4">
        <v>2</v>
      </c>
      <c r="AI3884" s="4">
        <v>2</v>
      </c>
      <c r="AJ3884" s="4">
        <v>0</v>
      </c>
      <c r="AK3884" s="4">
        <v>0</v>
      </c>
      <c r="AL3884" s="4">
        <v>2</v>
      </c>
      <c r="AM3884" s="4">
        <v>2</v>
      </c>
      <c r="AN3884" s="4">
        <v>0</v>
      </c>
      <c r="AO3884" s="4">
        <v>0</v>
      </c>
      <c r="AP3884" s="4">
        <v>0</v>
      </c>
      <c r="AQ3884" s="4">
        <v>0</v>
      </c>
      <c r="AR3884" s="3" t="s">
        <v>62</v>
      </c>
      <c r="AS3884" s="3" t="s">
        <v>62</v>
      </c>
      <c r="AT3884" s="3" t="s">
        <v>62</v>
      </c>
      <c r="AV3884" s="6" t="str">
        <f>HYPERLINK("http://mcgill.on.worldcat.org/oclc/688494568","Catalog Record")</f>
        <v>Catalog Record</v>
      </c>
      <c r="AW3884" s="6" t="str">
        <f>HYPERLINK("http://www.worldcat.org/oclc/688494568","WorldCat Record")</f>
        <v>WorldCat Record</v>
      </c>
      <c r="AX3884" s="3" t="s">
        <v>37325</v>
      </c>
      <c r="AY3884" s="3" t="s">
        <v>37326</v>
      </c>
      <c r="AZ3884" s="3" t="s">
        <v>37327</v>
      </c>
      <c r="BA3884" s="3" t="s">
        <v>37327</v>
      </c>
      <c r="BB3884" s="3" t="s">
        <v>37328</v>
      </c>
      <c r="BC3884" s="3" t="s">
        <v>142</v>
      </c>
      <c r="BD3884" s="3" t="s">
        <v>68</v>
      </c>
      <c r="BE3884" s="3" t="s">
        <v>37329</v>
      </c>
      <c r="BF3884" s="3" t="s">
        <v>37328</v>
      </c>
      <c r="BG3884" s="3" t="s">
        <v>37330</v>
      </c>
    </row>
    <row r="3885" spans="1:59" ht="57" x14ac:dyDescent="0.45">
      <c r="A3885" s="2" t="s">
        <v>59</v>
      </c>
      <c r="B3885" s="2" t="s">
        <v>60</v>
      </c>
      <c r="C3885" s="2" t="s">
        <v>37331</v>
      </c>
      <c r="D3885" s="2" t="s">
        <v>37332</v>
      </c>
      <c r="E3885" s="2" t="s">
        <v>37333</v>
      </c>
      <c r="G3885" s="3" t="s">
        <v>62</v>
      </c>
      <c r="I3885" s="3" t="s">
        <v>62</v>
      </c>
      <c r="J3885" s="3" t="s">
        <v>62</v>
      </c>
      <c r="K3885" s="3" t="s">
        <v>63</v>
      </c>
      <c r="L3885" s="2" t="s">
        <v>37334</v>
      </c>
      <c r="M3885" s="2" t="s">
        <v>9542</v>
      </c>
      <c r="N3885" s="3" t="s">
        <v>1155</v>
      </c>
      <c r="P3885" s="3" t="s">
        <v>65</v>
      </c>
      <c r="Q3885" s="2" t="s">
        <v>37335</v>
      </c>
      <c r="R3885" s="3" t="s">
        <v>66</v>
      </c>
      <c r="S3885" s="4">
        <v>1</v>
      </c>
      <c r="T3885" s="4">
        <v>1</v>
      </c>
      <c r="U3885" s="5" t="s">
        <v>2469</v>
      </c>
      <c r="V3885" s="5" t="s">
        <v>2469</v>
      </c>
      <c r="W3885" s="5" t="s">
        <v>67</v>
      </c>
      <c r="X3885" s="5" t="s">
        <v>67</v>
      </c>
      <c r="Y3885" s="4">
        <v>103</v>
      </c>
      <c r="Z3885" s="4">
        <v>18</v>
      </c>
      <c r="AA3885" s="4">
        <v>79</v>
      </c>
      <c r="AB3885" s="4">
        <v>2</v>
      </c>
      <c r="AC3885" s="4">
        <v>15</v>
      </c>
      <c r="AD3885" s="4">
        <v>51</v>
      </c>
      <c r="AE3885" s="4">
        <v>103</v>
      </c>
      <c r="AF3885" s="4">
        <v>1</v>
      </c>
      <c r="AG3885" s="4">
        <v>8</v>
      </c>
      <c r="AH3885" s="4">
        <v>45</v>
      </c>
      <c r="AI3885" s="4">
        <v>72</v>
      </c>
      <c r="AJ3885" s="4">
        <v>15</v>
      </c>
      <c r="AK3885" s="4">
        <v>24</v>
      </c>
      <c r="AL3885" s="4">
        <v>25</v>
      </c>
      <c r="AM3885" s="4">
        <v>38</v>
      </c>
      <c r="AN3885" s="4">
        <v>0</v>
      </c>
      <c r="AO3885" s="4">
        <v>0</v>
      </c>
      <c r="AP3885" s="4">
        <v>15</v>
      </c>
      <c r="AQ3885" s="4">
        <v>41</v>
      </c>
      <c r="AR3885" s="3" t="s">
        <v>62</v>
      </c>
      <c r="AS3885" s="3" t="s">
        <v>62</v>
      </c>
      <c r="AT3885" s="3" t="s">
        <v>62</v>
      </c>
      <c r="AV3885" s="6" t="str">
        <f>HYPERLINK("http://mcgill.on.worldcat.org/oclc/783142338","Catalog Record")</f>
        <v>Catalog Record</v>
      </c>
      <c r="AW3885" s="6" t="str">
        <f>HYPERLINK("http://www.worldcat.org/oclc/783142338","WorldCat Record")</f>
        <v>WorldCat Record</v>
      </c>
      <c r="AX3885" s="3" t="s">
        <v>37336</v>
      </c>
      <c r="AY3885" s="3" t="s">
        <v>37337</v>
      </c>
      <c r="AZ3885" s="3" t="s">
        <v>37338</v>
      </c>
      <c r="BA3885" s="3" t="s">
        <v>37338</v>
      </c>
      <c r="BB3885" s="3" t="s">
        <v>37339</v>
      </c>
      <c r="BC3885" s="3" t="s">
        <v>142</v>
      </c>
      <c r="BD3885" s="3" t="s">
        <v>68</v>
      </c>
      <c r="BE3885" s="3" t="s">
        <v>37340</v>
      </c>
      <c r="BF3885" s="3" t="s">
        <v>37339</v>
      </c>
      <c r="BG3885" s="3" t="s">
        <v>37341</v>
      </c>
    </row>
    <row r="3886" spans="1:59" ht="57" x14ac:dyDescent="0.45">
      <c r="A3886" s="2" t="s">
        <v>59</v>
      </c>
      <c r="B3886" s="2" t="s">
        <v>60</v>
      </c>
      <c r="C3886" s="2" t="s">
        <v>37342</v>
      </c>
      <c r="D3886" s="2" t="s">
        <v>37343</v>
      </c>
      <c r="E3886" s="2" t="s">
        <v>37344</v>
      </c>
      <c r="G3886" s="3" t="s">
        <v>62</v>
      </c>
      <c r="I3886" s="3" t="s">
        <v>62</v>
      </c>
      <c r="J3886" s="3" t="s">
        <v>62</v>
      </c>
      <c r="K3886" s="3" t="s">
        <v>63</v>
      </c>
      <c r="M3886" s="2" t="s">
        <v>37345</v>
      </c>
      <c r="N3886" s="3" t="s">
        <v>542</v>
      </c>
      <c r="P3886" s="3" t="s">
        <v>65</v>
      </c>
      <c r="Q3886" s="2" t="s">
        <v>37346</v>
      </c>
      <c r="R3886" s="3" t="s">
        <v>66</v>
      </c>
      <c r="S3886" s="4">
        <v>4</v>
      </c>
      <c r="T3886" s="4">
        <v>4</v>
      </c>
      <c r="U3886" s="5" t="s">
        <v>3294</v>
      </c>
      <c r="V3886" s="5" t="s">
        <v>3294</v>
      </c>
      <c r="W3886" s="5" t="s">
        <v>67</v>
      </c>
      <c r="X3886" s="5" t="s">
        <v>67</v>
      </c>
      <c r="Y3886" s="4">
        <v>157</v>
      </c>
      <c r="Z3886" s="4">
        <v>16</v>
      </c>
      <c r="AA3886" s="4">
        <v>17</v>
      </c>
      <c r="AB3886" s="4">
        <v>3</v>
      </c>
      <c r="AC3886" s="4">
        <v>4</v>
      </c>
      <c r="AD3886" s="4">
        <v>44</v>
      </c>
      <c r="AE3886" s="4">
        <v>46</v>
      </c>
      <c r="AF3886" s="4">
        <v>1</v>
      </c>
      <c r="AG3886" s="4">
        <v>2</v>
      </c>
      <c r="AH3886" s="4">
        <v>39</v>
      </c>
      <c r="AI3886" s="4">
        <v>40</v>
      </c>
      <c r="AJ3886" s="4">
        <v>9</v>
      </c>
      <c r="AK3886" s="4">
        <v>10</v>
      </c>
      <c r="AL3886" s="4">
        <v>16</v>
      </c>
      <c r="AM3886" s="4">
        <v>16</v>
      </c>
      <c r="AN3886" s="4">
        <v>0</v>
      </c>
      <c r="AO3886" s="4">
        <v>0</v>
      </c>
      <c r="AP3886" s="4">
        <v>11</v>
      </c>
      <c r="AQ3886" s="4">
        <v>12</v>
      </c>
      <c r="AR3886" s="3" t="s">
        <v>62</v>
      </c>
      <c r="AS3886" s="3" t="s">
        <v>62</v>
      </c>
      <c r="AT3886" s="3" t="s">
        <v>62</v>
      </c>
      <c r="AV3886" s="6" t="str">
        <f>HYPERLINK("http://mcgill.on.worldcat.org/oclc/47110002","Catalog Record")</f>
        <v>Catalog Record</v>
      </c>
      <c r="AW3886" s="6" t="str">
        <f>HYPERLINK("http://www.worldcat.org/oclc/47110002","WorldCat Record")</f>
        <v>WorldCat Record</v>
      </c>
      <c r="AX3886" s="3" t="s">
        <v>37347</v>
      </c>
      <c r="AY3886" s="3" t="s">
        <v>37348</v>
      </c>
      <c r="AZ3886" s="3" t="s">
        <v>37349</v>
      </c>
      <c r="BA3886" s="3" t="s">
        <v>37349</v>
      </c>
      <c r="BB3886" s="3" t="s">
        <v>37350</v>
      </c>
      <c r="BC3886" s="3" t="s">
        <v>142</v>
      </c>
      <c r="BD3886" s="3" t="s">
        <v>68</v>
      </c>
      <c r="BE3886" s="3" t="s">
        <v>37351</v>
      </c>
      <c r="BF3886" s="3" t="s">
        <v>37350</v>
      </c>
      <c r="BG3886" s="3" t="s">
        <v>37352</v>
      </c>
    </row>
    <row r="3887" spans="1:59" ht="57" x14ac:dyDescent="0.45">
      <c r="A3887" s="2" t="s">
        <v>59</v>
      </c>
      <c r="B3887" s="2" t="s">
        <v>60</v>
      </c>
      <c r="C3887" s="2" t="s">
        <v>37353</v>
      </c>
      <c r="D3887" s="2" t="s">
        <v>37354</v>
      </c>
      <c r="E3887" s="2" t="s">
        <v>37355</v>
      </c>
      <c r="G3887" s="3" t="s">
        <v>62</v>
      </c>
      <c r="I3887" s="3" t="s">
        <v>62</v>
      </c>
      <c r="J3887" s="3" t="s">
        <v>62</v>
      </c>
      <c r="K3887" s="3" t="s">
        <v>63</v>
      </c>
      <c r="M3887" s="2" t="s">
        <v>10148</v>
      </c>
      <c r="N3887" s="3" t="s">
        <v>945</v>
      </c>
      <c r="P3887" s="3" t="s">
        <v>65</v>
      </c>
      <c r="R3887" s="3" t="s">
        <v>66</v>
      </c>
      <c r="S3887" s="4">
        <v>12</v>
      </c>
      <c r="T3887" s="4">
        <v>12</v>
      </c>
      <c r="U3887" s="5" t="s">
        <v>37356</v>
      </c>
      <c r="V3887" s="5" t="s">
        <v>37356</v>
      </c>
      <c r="W3887" s="5" t="s">
        <v>67</v>
      </c>
      <c r="X3887" s="5" t="s">
        <v>67</v>
      </c>
      <c r="Y3887" s="4">
        <v>84</v>
      </c>
      <c r="Z3887" s="4">
        <v>6</v>
      </c>
      <c r="AA3887" s="4">
        <v>8</v>
      </c>
      <c r="AB3887" s="4">
        <v>2</v>
      </c>
      <c r="AC3887" s="4">
        <v>3</v>
      </c>
      <c r="AD3887" s="4">
        <v>14</v>
      </c>
      <c r="AE3887" s="4">
        <v>16</v>
      </c>
      <c r="AF3887" s="4">
        <v>1</v>
      </c>
      <c r="AG3887" s="4">
        <v>2</v>
      </c>
      <c r="AH3887" s="4">
        <v>10</v>
      </c>
      <c r="AI3887" s="4">
        <v>10</v>
      </c>
      <c r="AJ3887" s="4">
        <v>5</v>
      </c>
      <c r="AK3887" s="4">
        <v>6</v>
      </c>
      <c r="AL3887" s="4">
        <v>6</v>
      </c>
      <c r="AM3887" s="4">
        <v>6</v>
      </c>
      <c r="AN3887" s="4">
        <v>0</v>
      </c>
      <c r="AO3887" s="4">
        <v>0</v>
      </c>
      <c r="AP3887" s="4">
        <v>5</v>
      </c>
      <c r="AQ3887" s="4">
        <v>7</v>
      </c>
      <c r="AR3887" s="3" t="s">
        <v>62</v>
      </c>
      <c r="AS3887" s="3" t="s">
        <v>62</v>
      </c>
      <c r="AT3887" s="3" t="s">
        <v>62</v>
      </c>
      <c r="AV3887" s="6" t="str">
        <f>HYPERLINK("http://mcgill.on.worldcat.org/oclc/144229267","Catalog Record")</f>
        <v>Catalog Record</v>
      </c>
      <c r="AW3887" s="6" t="str">
        <f>HYPERLINK("http://www.worldcat.org/oclc/144229267","WorldCat Record")</f>
        <v>WorldCat Record</v>
      </c>
      <c r="AX3887" s="3" t="s">
        <v>37357</v>
      </c>
      <c r="AY3887" s="3" t="s">
        <v>37358</v>
      </c>
      <c r="AZ3887" s="3" t="s">
        <v>37359</v>
      </c>
      <c r="BA3887" s="3" t="s">
        <v>37359</v>
      </c>
      <c r="BB3887" s="3" t="s">
        <v>37360</v>
      </c>
      <c r="BC3887" s="3" t="s">
        <v>142</v>
      </c>
      <c r="BD3887" s="3" t="s">
        <v>68</v>
      </c>
      <c r="BE3887" s="3" t="s">
        <v>37361</v>
      </c>
      <c r="BF3887" s="3" t="s">
        <v>37360</v>
      </c>
      <c r="BG3887" s="3" t="s">
        <v>37362</v>
      </c>
    </row>
    <row r="3888" spans="1:59" ht="57" x14ac:dyDescent="0.45">
      <c r="A3888" s="2" t="s">
        <v>59</v>
      </c>
      <c r="B3888" s="2" t="s">
        <v>60</v>
      </c>
      <c r="C3888" s="2" t="s">
        <v>37363</v>
      </c>
      <c r="D3888" s="2" t="s">
        <v>37364</v>
      </c>
      <c r="E3888" s="2" t="s">
        <v>37365</v>
      </c>
      <c r="G3888" s="3" t="s">
        <v>62</v>
      </c>
      <c r="I3888" s="3" t="s">
        <v>62</v>
      </c>
      <c r="J3888" s="3" t="s">
        <v>61</v>
      </c>
      <c r="K3888" s="3" t="s">
        <v>63</v>
      </c>
      <c r="L3888" s="2" t="s">
        <v>7099</v>
      </c>
      <c r="M3888" s="2" t="s">
        <v>37366</v>
      </c>
      <c r="N3888" s="3" t="s">
        <v>894</v>
      </c>
      <c r="O3888" s="2" t="s">
        <v>906</v>
      </c>
      <c r="P3888" s="3" t="s">
        <v>65</v>
      </c>
      <c r="R3888" s="3" t="s">
        <v>66</v>
      </c>
      <c r="S3888" s="4">
        <v>1</v>
      </c>
      <c r="T3888" s="4">
        <v>1</v>
      </c>
      <c r="U3888" s="5" t="s">
        <v>37367</v>
      </c>
      <c r="V3888" s="5" t="s">
        <v>37367</v>
      </c>
      <c r="W3888" s="5" t="s">
        <v>67</v>
      </c>
      <c r="X3888" s="5" t="s">
        <v>67</v>
      </c>
      <c r="Y3888" s="4">
        <v>133</v>
      </c>
      <c r="Z3888" s="4">
        <v>15</v>
      </c>
      <c r="AA3888" s="4">
        <v>24</v>
      </c>
      <c r="AB3888" s="4">
        <v>2</v>
      </c>
      <c r="AC3888" s="4">
        <v>3</v>
      </c>
      <c r="AD3888" s="4">
        <v>30</v>
      </c>
      <c r="AE3888" s="4">
        <v>100</v>
      </c>
      <c r="AF3888" s="4">
        <v>1</v>
      </c>
      <c r="AG3888" s="4">
        <v>1</v>
      </c>
      <c r="AH3888" s="4">
        <v>25</v>
      </c>
      <c r="AI3888" s="4">
        <v>86</v>
      </c>
      <c r="AJ3888" s="4">
        <v>10</v>
      </c>
      <c r="AK3888" s="4">
        <v>14</v>
      </c>
      <c r="AL3888" s="4">
        <v>15</v>
      </c>
      <c r="AM3888" s="4">
        <v>44</v>
      </c>
      <c r="AN3888" s="4">
        <v>0</v>
      </c>
      <c r="AO3888" s="4">
        <v>0</v>
      </c>
      <c r="AP3888" s="4">
        <v>10</v>
      </c>
      <c r="AQ3888" s="4">
        <v>18</v>
      </c>
      <c r="AR3888" s="3" t="s">
        <v>62</v>
      </c>
      <c r="AS3888" s="3" t="s">
        <v>62</v>
      </c>
      <c r="AT3888" s="3" t="s">
        <v>62</v>
      </c>
      <c r="AV3888" s="6" t="str">
        <f>HYPERLINK("http://mcgill.on.worldcat.org/oclc/707725994","Catalog Record")</f>
        <v>Catalog Record</v>
      </c>
      <c r="AW3888" s="6" t="str">
        <f>HYPERLINK("http://www.worldcat.org/oclc/707725994","WorldCat Record")</f>
        <v>WorldCat Record</v>
      </c>
      <c r="AX3888" s="3" t="s">
        <v>37368</v>
      </c>
      <c r="AY3888" s="3" t="s">
        <v>37369</v>
      </c>
      <c r="AZ3888" s="3" t="s">
        <v>37370</v>
      </c>
      <c r="BA3888" s="3" t="s">
        <v>37370</v>
      </c>
      <c r="BB3888" s="3" t="s">
        <v>37371</v>
      </c>
      <c r="BC3888" s="3" t="s">
        <v>142</v>
      </c>
      <c r="BD3888" s="3" t="s">
        <v>68</v>
      </c>
      <c r="BE3888" s="3" t="s">
        <v>37372</v>
      </c>
      <c r="BF3888" s="3" t="s">
        <v>37371</v>
      </c>
      <c r="BG3888" s="3" t="s">
        <v>37373</v>
      </c>
    </row>
    <row r="3889" spans="1:59" ht="57" x14ac:dyDescent="0.45">
      <c r="A3889" s="2" t="s">
        <v>59</v>
      </c>
      <c r="B3889" s="2" t="s">
        <v>60</v>
      </c>
      <c r="C3889" s="2" t="s">
        <v>37374</v>
      </c>
      <c r="D3889" s="2" t="s">
        <v>37375</v>
      </c>
      <c r="E3889" s="2" t="s">
        <v>37376</v>
      </c>
      <c r="G3889" s="3" t="s">
        <v>62</v>
      </c>
      <c r="I3889" s="3" t="s">
        <v>62</v>
      </c>
      <c r="J3889" s="3" t="s">
        <v>62</v>
      </c>
      <c r="K3889" s="3" t="s">
        <v>63</v>
      </c>
      <c r="L3889" s="2" t="s">
        <v>37377</v>
      </c>
      <c r="M3889" s="2" t="s">
        <v>37378</v>
      </c>
      <c r="N3889" s="3" t="s">
        <v>1059</v>
      </c>
      <c r="P3889" s="3" t="s">
        <v>65</v>
      </c>
      <c r="R3889" s="3" t="s">
        <v>66</v>
      </c>
      <c r="S3889" s="4">
        <v>10</v>
      </c>
      <c r="T3889" s="4">
        <v>10</v>
      </c>
      <c r="U3889" s="5" t="s">
        <v>37379</v>
      </c>
      <c r="V3889" s="5" t="s">
        <v>37379</v>
      </c>
      <c r="W3889" s="5" t="s">
        <v>67</v>
      </c>
      <c r="X3889" s="5" t="s">
        <v>67</v>
      </c>
      <c r="Y3889" s="4">
        <v>49</v>
      </c>
      <c r="Z3889" s="4">
        <v>13</v>
      </c>
      <c r="AA3889" s="4">
        <v>15</v>
      </c>
      <c r="AB3889" s="4">
        <v>2</v>
      </c>
      <c r="AC3889" s="4">
        <v>4</v>
      </c>
      <c r="AD3889" s="4">
        <v>27</v>
      </c>
      <c r="AE3889" s="4">
        <v>28</v>
      </c>
      <c r="AF3889" s="4">
        <v>1</v>
      </c>
      <c r="AG3889" s="4">
        <v>2</v>
      </c>
      <c r="AH3889" s="4">
        <v>24</v>
      </c>
      <c r="AI3889" s="4">
        <v>24</v>
      </c>
      <c r="AJ3889" s="4">
        <v>11</v>
      </c>
      <c r="AK3889" s="4">
        <v>12</v>
      </c>
      <c r="AL3889" s="4">
        <v>13</v>
      </c>
      <c r="AM3889" s="4">
        <v>13</v>
      </c>
      <c r="AN3889" s="4">
        <v>0</v>
      </c>
      <c r="AO3889" s="4">
        <v>0</v>
      </c>
      <c r="AP3889" s="4">
        <v>10</v>
      </c>
      <c r="AQ3889" s="4">
        <v>10</v>
      </c>
      <c r="AR3889" s="3" t="s">
        <v>62</v>
      </c>
      <c r="AS3889" s="3" t="s">
        <v>62</v>
      </c>
      <c r="AT3889" s="3" t="s">
        <v>61</v>
      </c>
      <c r="AU3889" s="6" t="str">
        <f>HYPERLINK("http://catalog.hathitrust.org/Record/007014752","HathiTrust Record")</f>
        <v>HathiTrust Record</v>
      </c>
      <c r="AV3889" s="6" t="str">
        <f>HYPERLINK("http://mcgill.on.worldcat.org/oclc/63125993","Catalog Record")</f>
        <v>Catalog Record</v>
      </c>
      <c r="AW3889" s="6" t="str">
        <f>HYPERLINK("http://www.worldcat.org/oclc/63125993","WorldCat Record")</f>
        <v>WorldCat Record</v>
      </c>
      <c r="AX3889" s="3" t="s">
        <v>37380</v>
      </c>
      <c r="AY3889" s="3" t="s">
        <v>37381</v>
      </c>
      <c r="AZ3889" s="3" t="s">
        <v>37382</v>
      </c>
      <c r="BA3889" s="3" t="s">
        <v>37382</v>
      </c>
      <c r="BB3889" s="3" t="s">
        <v>37383</v>
      </c>
      <c r="BC3889" s="3" t="s">
        <v>142</v>
      </c>
      <c r="BD3889" s="3" t="s">
        <v>68</v>
      </c>
      <c r="BE3889" s="3" t="s">
        <v>37384</v>
      </c>
      <c r="BF3889" s="3" t="s">
        <v>37383</v>
      </c>
      <c r="BG3889" s="3" t="s">
        <v>37385</v>
      </c>
    </row>
    <row r="3890" spans="1:59" ht="57" x14ac:dyDescent="0.45">
      <c r="A3890" s="2" t="s">
        <v>59</v>
      </c>
      <c r="B3890" s="2" t="s">
        <v>60</v>
      </c>
      <c r="C3890" s="2" t="s">
        <v>37386</v>
      </c>
      <c r="D3890" s="2" t="s">
        <v>37387</v>
      </c>
      <c r="E3890" s="2" t="s">
        <v>37388</v>
      </c>
      <c r="G3890" s="3" t="s">
        <v>62</v>
      </c>
      <c r="I3890" s="3" t="s">
        <v>62</v>
      </c>
      <c r="J3890" s="3" t="s">
        <v>62</v>
      </c>
      <c r="K3890" s="3" t="s">
        <v>63</v>
      </c>
      <c r="L3890" s="2" t="s">
        <v>37389</v>
      </c>
      <c r="M3890" s="2" t="s">
        <v>33712</v>
      </c>
      <c r="N3890" s="3" t="s">
        <v>1253</v>
      </c>
      <c r="P3890" s="3" t="s">
        <v>65</v>
      </c>
      <c r="R3890" s="3" t="s">
        <v>66</v>
      </c>
      <c r="S3890" s="4">
        <v>43</v>
      </c>
      <c r="T3890" s="4">
        <v>43</v>
      </c>
      <c r="U3890" s="5" t="s">
        <v>37390</v>
      </c>
      <c r="V3890" s="5" t="s">
        <v>37390</v>
      </c>
      <c r="W3890" s="5" t="s">
        <v>67</v>
      </c>
      <c r="X3890" s="5" t="s">
        <v>67</v>
      </c>
      <c r="Y3890" s="4">
        <v>342</v>
      </c>
      <c r="Z3890" s="4">
        <v>16</v>
      </c>
      <c r="AA3890" s="4">
        <v>18</v>
      </c>
      <c r="AB3890" s="4">
        <v>2</v>
      </c>
      <c r="AC3890" s="4">
        <v>4</v>
      </c>
      <c r="AD3890" s="4">
        <v>93</v>
      </c>
      <c r="AE3890" s="4">
        <v>93</v>
      </c>
      <c r="AF3890" s="4">
        <v>1</v>
      </c>
      <c r="AG3890" s="4">
        <v>1</v>
      </c>
      <c r="AH3890" s="4">
        <v>83</v>
      </c>
      <c r="AI3890" s="4">
        <v>83</v>
      </c>
      <c r="AJ3890" s="4">
        <v>11</v>
      </c>
      <c r="AK3890" s="4">
        <v>11</v>
      </c>
      <c r="AL3890" s="4">
        <v>49</v>
      </c>
      <c r="AM3890" s="4">
        <v>49</v>
      </c>
      <c r="AN3890" s="4">
        <v>0</v>
      </c>
      <c r="AO3890" s="4">
        <v>0</v>
      </c>
      <c r="AP3890" s="4">
        <v>13</v>
      </c>
      <c r="AQ3890" s="4">
        <v>13</v>
      </c>
      <c r="AR3890" s="3" t="s">
        <v>62</v>
      </c>
      <c r="AS3890" s="3" t="s">
        <v>62</v>
      </c>
      <c r="AT3890" s="3" t="s">
        <v>61</v>
      </c>
      <c r="AU3890" s="6" t="str">
        <f>HYPERLINK("http://catalog.hathitrust.org/Record/003943298","HathiTrust Record")</f>
        <v>HathiTrust Record</v>
      </c>
      <c r="AV3890" s="6" t="str">
        <f>HYPERLINK("http://mcgill.on.worldcat.org/oclc/35770980","Catalog Record")</f>
        <v>Catalog Record</v>
      </c>
      <c r="AW3890" s="6" t="str">
        <f>HYPERLINK("http://www.worldcat.org/oclc/35770980","WorldCat Record")</f>
        <v>WorldCat Record</v>
      </c>
      <c r="AX3890" s="3" t="s">
        <v>37391</v>
      </c>
      <c r="AY3890" s="3" t="s">
        <v>37392</v>
      </c>
      <c r="AZ3890" s="3" t="s">
        <v>37393</v>
      </c>
      <c r="BA3890" s="3" t="s">
        <v>37393</v>
      </c>
      <c r="BB3890" s="3" t="s">
        <v>37394</v>
      </c>
      <c r="BC3890" s="3" t="s">
        <v>142</v>
      </c>
      <c r="BD3890" s="3" t="s">
        <v>68</v>
      </c>
      <c r="BE3890" s="3" t="s">
        <v>37395</v>
      </c>
      <c r="BF3890" s="3" t="s">
        <v>37394</v>
      </c>
      <c r="BG3890" s="3" t="s">
        <v>37396</v>
      </c>
    </row>
    <row r="3891" spans="1:59" ht="57" x14ac:dyDescent="0.45">
      <c r="A3891" s="2" t="s">
        <v>59</v>
      </c>
      <c r="B3891" s="2" t="s">
        <v>60</v>
      </c>
      <c r="C3891" s="2" t="s">
        <v>37397</v>
      </c>
      <c r="D3891" s="2" t="s">
        <v>37398</v>
      </c>
      <c r="E3891" s="2" t="s">
        <v>37399</v>
      </c>
      <c r="G3891" s="3" t="s">
        <v>62</v>
      </c>
      <c r="I3891" s="3" t="s">
        <v>61</v>
      </c>
      <c r="J3891" s="3" t="s">
        <v>61</v>
      </c>
      <c r="K3891" s="3" t="s">
        <v>63</v>
      </c>
      <c r="L3891" s="2" t="s">
        <v>37389</v>
      </c>
      <c r="M3891" s="2" t="s">
        <v>37400</v>
      </c>
      <c r="N3891" s="3" t="s">
        <v>542</v>
      </c>
      <c r="O3891" s="2" t="s">
        <v>933</v>
      </c>
      <c r="P3891" s="3" t="s">
        <v>65</v>
      </c>
      <c r="R3891" s="3" t="s">
        <v>66</v>
      </c>
      <c r="S3891" s="4">
        <v>27</v>
      </c>
      <c r="T3891" s="4">
        <v>52</v>
      </c>
      <c r="U3891" s="5" t="s">
        <v>2059</v>
      </c>
      <c r="V3891" s="5" t="s">
        <v>2059</v>
      </c>
      <c r="W3891" s="5" t="s">
        <v>67</v>
      </c>
      <c r="X3891" s="5" t="s">
        <v>67</v>
      </c>
      <c r="Y3891" s="4">
        <v>397</v>
      </c>
      <c r="Z3891" s="4">
        <v>22</v>
      </c>
      <c r="AA3891" s="4">
        <v>98</v>
      </c>
      <c r="AB3891" s="4">
        <v>3</v>
      </c>
      <c r="AC3891" s="4">
        <v>16</v>
      </c>
      <c r="AD3891" s="4">
        <v>76</v>
      </c>
      <c r="AE3891" s="4">
        <v>152</v>
      </c>
      <c r="AF3891" s="4">
        <v>1</v>
      </c>
      <c r="AG3891" s="4">
        <v>8</v>
      </c>
      <c r="AH3891" s="4">
        <v>62</v>
      </c>
      <c r="AI3891" s="4">
        <v>108</v>
      </c>
      <c r="AJ3891" s="4">
        <v>14</v>
      </c>
      <c r="AK3891" s="4">
        <v>27</v>
      </c>
      <c r="AL3891" s="4">
        <v>36</v>
      </c>
      <c r="AM3891" s="4">
        <v>59</v>
      </c>
      <c r="AN3891" s="4">
        <v>0</v>
      </c>
      <c r="AO3891" s="4">
        <v>0</v>
      </c>
      <c r="AP3891" s="4">
        <v>18</v>
      </c>
      <c r="AQ3891" s="4">
        <v>52</v>
      </c>
      <c r="AR3891" s="3" t="s">
        <v>62</v>
      </c>
      <c r="AS3891" s="3" t="s">
        <v>62</v>
      </c>
      <c r="AT3891" s="3" t="s">
        <v>62</v>
      </c>
      <c r="AV3891" s="6" t="str">
        <f>HYPERLINK("http://mcgill.on.worldcat.org/oclc/45136597","Catalog Record")</f>
        <v>Catalog Record</v>
      </c>
      <c r="AW3891" s="6" t="str">
        <f>HYPERLINK("http://www.worldcat.org/oclc/45136597","WorldCat Record")</f>
        <v>WorldCat Record</v>
      </c>
      <c r="AX3891" s="3" t="s">
        <v>37401</v>
      </c>
      <c r="AY3891" s="3" t="s">
        <v>37402</v>
      </c>
      <c r="AZ3891" s="3" t="s">
        <v>37403</v>
      </c>
      <c r="BA3891" s="3" t="s">
        <v>37403</v>
      </c>
      <c r="BB3891" s="3" t="s">
        <v>37404</v>
      </c>
      <c r="BC3891" s="3" t="s">
        <v>142</v>
      </c>
      <c r="BD3891" s="3" t="s">
        <v>68</v>
      </c>
      <c r="BE3891" s="3" t="s">
        <v>37405</v>
      </c>
      <c r="BF3891" s="3" t="s">
        <v>37404</v>
      </c>
      <c r="BG3891" s="3" t="s">
        <v>37406</v>
      </c>
    </row>
    <row r="3892" spans="1:59" ht="57" x14ac:dyDescent="0.45">
      <c r="A3892" s="2" t="s">
        <v>59</v>
      </c>
      <c r="B3892" s="2" t="s">
        <v>60</v>
      </c>
      <c r="C3892" s="2" t="s">
        <v>37397</v>
      </c>
      <c r="D3892" s="2" t="s">
        <v>37398</v>
      </c>
      <c r="E3892" s="2" t="s">
        <v>37399</v>
      </c>
      <c r="G3892" s="3" t="s">
        <v>62</v>
      </c>
      <c r="I3892" s="3" t="s">
        <v>61</v>
      </c>
      <c r="J3892" s="3" t="s">
        <v>61</v>
      </c>
      <c r="K3892" s="3" t="s">
        <v>63</v>
      </c>
      <c r="L3892" s="2" t="s">
        <v>37389</v>
      </c>
      <c r="M3892" s="2" t="s">
        <v>37400</v>
      </c>
      <c r="N3892" s="3" t="s">
        <v>542</v>
      </c>
      <c r="O3892" s="2" t="s">
        <v>933</v>
      </c>
      <c r="P3892" s="3" t="s">
        <v>65</v>
      </c>
      <c r="R3892" s="3" t="s">
        <v>66</v>
      </c>
      <c r="S3892" s="4">
        <v>25</v>
      </c>
      <c r="T3892" s="4">
        <v>52</v>
      </c>
      <c r="U3892" s="5" t="s">
        <v>37407</v>
      </c>
      <c r="V3892" s="5" t="s">
        <v>2059</v>
      </c>
      <c r="W3892" s="5" t="s">
        <v>67</v>
      </c>
      <c r="X3892" s="5" t="s">
        <v>67</v>
      </c>
      <c r="Y3892" s="4">
        <v>397</v>
      </c>
      <c r="Z3892" s="4">
        <v>22</v>
      </c>
      <c r="AA3892" s="4">
        <v>98</v>
      </c>
      <c r="AB3892" s="4">
        <v>3</v>
      </c>
      <c r="AC3892" s="4">
        <v>16</v>
      </c>
      <c r="AD3892" s="4">
        <v>76</v>
      </c>
      <c r="AE3892" s="4">
        <v>152</v>
      </c>
      <c r="AF3892" s="4">
        <v>1</v>
      </c>
      <c r="AG3892" s="4">
        <v>8</v>
      </c>
      <c r="AH3892" s="4">
        <v>62</v>
      </c>
      <c r="AI3892" s="4">
        <v>108</v>
      </c>
      <c r="AJ3892" s="4">
        <v>14</v>
      </c>
      <c r="AK3892" s="4">
        <v>27</v>
      </c>
      <c r="AL3892" s="4">
        <v>36</v>
      </c>
      <c r="AM3892" s="4">
        <v>59</v>
      </c>
      <c r="AN3892" s="4">
        <v>0</v>
      </c>
      <c r="AO3892" s="4">
        <v>0</v>
      </c>
      <c r="AP3892" s="4">
        <v>18</v>
      </c>
      <c r="AQ3892" s="4">
        <v>52</v>
      </c>
      <c r="AR3892" s="3" t="s">
        <v>62</v>
      </c>
      <c r="AS3892" s="3" t="s">
        <v>62</v>
      </c>
      <c r="AT3892" s="3" t="s">
        <v>62</v>
      </c>
      <c r="AV3892" s="6" t="str">
        <f>HYPERLINK("http://mcgill.on.worldcat.org/oclc/45136597","Catalog Record")</f>
        <v>Catalog Record</v>
      </c>
      <c r="AW3892" s="6" t="str">
        <f>HYPERLINK("http://www.worldcat.org/oclc/45136597","WorldCat Record")</f>
        <v>WorldCat Record</v>
      </c>
      <c r="AX3892" s="3" t="s">
        <v>37401</v>
      </c>
      <c r="AY3892" s="3" t="s">
        <v>37402</v>
      </c>
      <c r="AZ3892" s="3" t="s">
        <v>37403</v>
      </c>
      <c r="BA3892" s="3" t="s">
        <v>37403</v>
      </c>
      <c r="BB3892" s="3" t="s">
        <v>37408</v>
      </c>
      <c r="BC3892" s="3" t="s">
        <v>142</v>
      </c>
      <c r="BD3892" s="3" t="s">
        <v>68</v>
      </c>
      <c r="BE3892" s="3" t="s">
        <v>37405</v>
      </c>
      <c r="BF3892" s="3" t="s">
        <v>37408</v>
      </c>
      <c r="BG3892" s="3" t="s">
        <v>37409</v>
      </c>
    </row>
    <row r="3893" spans="1:59" ht="57" x14ac:dyDescent="0.45">
      <c r="A3893" s="2" t="s">
        <v>59</v>
      </c>
      <c r="B3893" s="2" t="s">
        <v>60</v>
      </c>
      <c r="C3893" s="2" t="s">
        <v>37410</v>
      </c>
      <c r="D3893" s="2" t="s">
        <v>37411</v>
      </c>
      <c r="E3893" s="2" t="s">
        <v>37412</v>
      </c>
      <c r="G3893" s="3" t="s">
        <v>62</v>
      </c>
      <c r="I3893" s="3" t="s">
        <v>62</v>
      </c>
      <c r="J3893" s="3" t="s">
        <v>61</v>
      </c>
      <c r="K3893" s="3" t="s">
        <v>63</v>
      </c>
      <c r="L3893" s="2" t="s">
        <v>37389</v>
      </c>
      <c r="M3893" s="2" t="s">
        <v>12999</v>
      </c>
      <c r="N3893" s="3" t="s">
        <v>116</v>
      </c>
      <c r="O3893" s="2" t="s">
        <v>420</v>
      </c>
      <c r="P3893" s="3" t="s">
        <v>65</v>
      </c>
      <c r="R3893" s="3" t="s">
        <v>66</v>
      </c>
      <c r="S3893" s="4">
        <v>3</v>
      </c>
      <c r="T3893" s="4">
        <v>3</v>
      </c>
      <c r="U3893" s="5" t="s">
        <v>37390</v>
      </c>
      <c r="V3893" s="5" t="s">
        <v>37390</v>
      </c>
      <c r="W3893" s="5" t="s">
        <v>67</v>
      </c>
      <c r="X3893" s="5" t="s">
        <v>67</v>
      </c>
      <c r="Y3893" s="4">
        <v>187</v>
      </c>
      <c r="Z3893" s="4">
        <v>12</v>
      </c>
      <c r="AA3893" s="4">
        <v>98</v>
      </c>
      <c r="AB3893" s="4">
        <v>1</v>
      </c>
      <c r="AC3893" s="4">
        <v>16</v>
      </c>
      <c r="AD3893" s="4">
        <v>33</v>
      </c>
      <c r="AE3893" s="4">
        <v>152</v>
      </c>
      <c r="AF3893" s="4">
        <v>0</v>
      </c>
      <c r="AG3893" s="4">
        <v>8</v>
      </c>
      <c r="AH3893" s="4">
        <v>28</v>
      </c>
      <c r="AI3893" s="4">
        <v>108</v>
      </c>
      <c r="AJ3893" s="4">
        <v>7</v>
      </c>
      <c r="AK3893" s="4">
        <v>27</v>
      </c>
      <c r="AL3893" s="4">
        <v>14</v>
      </c>
      <c r="AM3893" s="4">
        <v>59</v>
      </c>
      <c r="AN3893" s="4">
        <v>0</v>
      </c>
      <c r="AO3893" s="4">
        <v>0</v>
      </c>
      <c r="AP3893" s="4">
        <v>8</v>
      </c>
      <c r="AQ3893" s="4">
        <v>52</v>
      </c>
      <c r="AR3893" s="3" t="s">
        <v>62</v>
      </c>
      <c r="AS3893" s="3" t="s">
        <v>62</v>
      </c>
      <c r="AT3893" s="3" t="s">
        <v>62</v>
      </c>
      <c r="AV3893" s="6" t="str">
        <f>HYPERLINK("http://mcgill.on.worldcat.org/oclc/764304864","Catalog Record")</f>
        <v>Catalog Record</v>
      </c>
      <c r="AW3893" s="6" t="str">
        <f>HYPERLINK("http://www.worldcat.org/oclc/764304864","WorldCat Record")</f>
        <v>WorldCat Record</v>
      </c>
      <c r="AX3893" s="3" t="s">
        <v>37401</v>
      </c>
      <c r="AY3893" s="3" t="s">
        <v>37413</v>
      </c>
      <c r="AZ3893" s="3" t="s">
        <v>37414</v>
      </c>
      <c r="BA3893" s="3" t="s">
        <v>37414</v>
      </c>
      <c r="BB3893" s="3" t="s">
        <v>37415</v>
      </c>
      <c r="BC3893" s="3" t="s">
        <v>142</v>
      </c>
      <c r="BD3893" s="3" t="s">
        <v>68</v>
      </c>
      <c r="BE3893" s="3" t="s">
        <v>37416</v>
      </c>
      <c r="BF3893" s="3" t="s">
        <v>37415</v>
      </c>
      <c r="BG3893" s="3" t="s">
        <v>37417</v>
      </c>
    </row>
    <row r="3894" spans="1:59" ht="57" x14ac:dyDescent="0.45">
      <c r="A3894" s="2" t="s">
        <v>59</v>
      </c>
      <c r="B3894" s="2" t="s">
        <v>60</v>
      </c>
      <c r="C3894" s="2" t="s">
        <v>37418</v>
      </c>
      <c r="D3894" s="2" t="s">
        <v>37419</v>
      </c>
      <c r="E3894" s="2" t="s">
        <v>37420</v>
      </c>
      <c r="G3894" s="3" t="s">
        <v>62</v>
      </c>
      <c r="I3894" s="3" t="s">
        <v>62</v>
      </c>
      <c r="J3894" s="3" t="s">
        <v>62</v>
      </c>
      <c r="K3894" s="3" t="s">
        <v>63</v>
      </c>
      <c r="L3894" s="2" t="s">
        <v>37389</v>
      </c>
      <c r="M3894" s="2" t="s">
        <v>37421</v>
      </c>
      <c r="N3894" s="3" t="s">
        <v>1212</v>
      </c>
      <c r="P3894" s="3" t="s">
        <v>65</v>
      </c>
      <c r="Q3894" s="2" t="s">
        <v>21357</v>
      </c>
      <c r="R3894" s="3" t="s">
        <v>66</v>
      </c>
      <c r="S3894" s="4">
        <v>25</v>
      </c>
      <c r="T3894" s="4">
        <v>25</v>
      </c>
      <c r="U3894" s="5" t="s">
        <v>3875</v>
      </c>
      <c r="V3894" s="5" t="s">
        <v>3875</v>
      </c>
      <c r="W3894" s="5" t="s">
        <v>67</v>
      </c>
      <c r="X3894" s="5" t="s">
        <v>67</v>
      </c>
      <c r="Y3894" s="4">
        <v>229</v>
      </c>
      <c r="Z3894" s="4">
        <v>13</v>
      </c>
      <c r="AA3894" s="4">
        <v>22</v>
      </c>
      <c r="AB3894" s="4">
        <v>2</v>
      </c>
      <c r="AC3894" s="4">
        <v>8</v>
      </c>
      <c r="AD3894" s="4">
        <v>74</v>
      </c>
      <c r="AE3894" s="4">
        <v>90</v>
      </c>
      <c r="AF3894" s="4">
        <v>1</v>
      </c>
      <c r="AG3894" s="4">
        <v>4</v>
      </c>
      <c r="AH3894" s="4">
        <v>68</v>
      </c>
      <c r="AI3894" s="4">
        <v>80</v>
      </c>
      <c r="AJ3894" s="4">
        <v>9</v>
      </c>
      <c r="AK3894" s="4">
        <v>13</v>
      </c>
      <c r="AL3894" s="4">
        <v>38</v>
      </c>
      <c r="AM3894" s="4">
        <v>44</v>
      </c>
      <c r="AN3894" s="4">
        <v>0</v>
      </c>
      <c r="AO3894" s="4">
        <v>0</v>
      </c>
      <c r="AP3894" s="4">
        <v>10</v>
      </c>
      <c r="AQ3894" s="4">
        <v>14</v>
      </c>
      <c r="AR3894" s="3" t="s">
        <v>62</v>
      </c>
      <c r="AS3894" s="3" t="s">
        <v>62</v>
      </c>
      <c r="AT3894" s="3" t="s">
        <v>62</v>
      </c>
      <c r="AV3894" s="6" t="str">
        <f>HYPERLINK("http://mcgill.on.worldcat.org/oclc/41580630","Catalog Record")</f>
        <v>Catalog Record</v>
      </c>
      <c r="AW3894" s="6" t="str">
        <f>HYPERLINK("http://www.worldcat.org/oclc/41580630","WorldCat Record")</f>
        <v>WorldCat Record</v>
      </c>
      <c r="AX3894" s="3" t="s">
        <v>37422</v>
      </c>
      <c r="AY3894" s="3" t="s">
        <v>37423</v>
      </c>
      <c r="AZ3894" s="3" t="s">
        <v>37424</v>
      </c>
      <c r="BA3894" s="3" t="s">
        <v>37424</v>
      </c>
      <c r="BB3894" s="3" t="s">
        <v>37425</v>
      </c>
      <c r="BC3894" s="3" t="s">
        <v>142</v>
      </c>
      <c r="BD3894" s="3" t="s">
        <v>68</v>
      </c>
      <c r="BE3894" s="3" t="s">
        <v>37426</v>
      </c>
      <c r="BF3894" s="3" t="s">
        <v>37425</v>
      </c>
      <c r="BG3894" s="3" t="s">
        <v>37427</v>
      </c>
    </row>
    <row r="3895" spans="1:59" ht="57" x14ac:dyDescent="0.45">
      <c r="A3895" s="2" t="s">
        <v>59</v>
      </c>
      <c r="B3895" s="2" t="s">
        <v>60</v>
      </c>
      <c r="C3895" s="2" t="s">
        <v>37428</v>
      </c>
      <c r="D3895" s="2" t="s">
        <v>37429</v>
      </c>
      <c r="E3895" s="2" t="s">
        <v>37430</v>
      </c>
      <c r="G3895" s="3" t="s">
        <v>62</v>
      </c>
      <c r="I3895" s="3" t="s">
        <v>62</v>
      </c>
      <c r="J3895" s="3" t="s">
        <v>62</v>
      </c>
      <c r="K3895" s="3" t="s">
        <v>63</v>
      </c>
      <c r="M3895" s="2" t="s">
        <v>18125</v>
      </c>
      <c r="N3895" s="3" t="s">
        <v>149</v>
      </c>
      <c r="P3895" s="3" t="s">
        <v>65</v>
      </c>
      <c r="R3895" s="3" t="s">
        <v>66</v>
      </c>
      <c r="S3895" s="4">
        <v>1</v>
      </c>
      <c r="T3895" s="4">
        <v>1</v>
      </c>
      <c r="U3895" s="5" t="s">
        <v>37431</v>
      </c>
      <c r="V3895" s="5" t="s">
        <v>37431</v>
      </c>
      <c r="W3895" s="5" t="s">
        <v>67</v>
      </c>
      <c r="X3895" s="5" t="s">
        <v>67</v>
      </c>
      <c r="Y3895" s="4">
        <v>155</v>
      </c>
      <c r="Z3895" s="4">
        <v>20</v>
      </c>
      <c r="AA3895" s="4">
        <v>25</v>
      </c>
      <c r="AB3895" s="4">
        <v>1</v>
      </c>
      <c r="AC3895" s="4">
        <v>5</v>
      </c>
      <c r="AD3895" s="4">
        <v>73</v>
      </c>
      <c r="AE3895" s="4">
        <v>77</v>
      </c>
      <c r="AF3895" s="4">
        <v>0</v>
      </c>
      <c r="AG3895" s="4">
        <v>2</v>
      </c>
      <c r="AH3895" s="4">
        <v>64</v>
      </c>
      <c r="AI3895" s="4">
        <v>66</v>
      </c>
      <c r="AJ3895" s="4">
        <v>15</v>
      </c>
      <c r="AK3895" s="4">
        <v>18</v>
      </c>
      <c r="AL3895" s="4">
        <v>41</v>
      </c>
      <c r="AM3895" s="4">
        <v>41</v>
      </c>
      <c r="AN3895" s="4">
        <v>0</v>
      </c>
      <c r="AO3895" s="4">
        <v>0</v>
      </c>
      <c r="AP3895" s="4">
        <v>16</v>
      </c>
      <c r="AQ3895" s="4">
        <v>19</v>
      </c>
      <c r="AR3895" s="3" t="s">
        <v>62</v>
      </c>
      <c r="AS3895" s="3" t="s">
        <v>62</v>
      </c>
      <c r="AT3895" s="3" t="s">
        <v>62</v>
      </c>
      <c r="AV3895" s="6" t="str">
        <f>HYPERLINK("http://mcgill.on.worldcat.org/oclc/473445542","Catalog Record")</f>
        <v>Catalog Record</v>
      </c>
      <c r="AW3895" s="6" t="str">
        <f>HYPERLINK("http://www.worldcat.org/oclc/473445542","WorldCat Record")</f>
        <v>WorldCat Record</v>
      </c>
      <c r="AX3895" s="3" t="s">
        <v>37432</v>
      </c>
      <c r="AY3895" s="3" t="s">
        <v>37433</v>
      </c>
      <c r="AZ3895" s="3" t="s">
        <v>37434</v>
      </c>
      <c r="BA3895" s="3" t="s">
        <v>37434</v>
      </c>
      <c r="BB3895" s="3" t="s">
        <v>37435</v>
      </c>
      <c r="BC3895" s="3" t="s">
        <v>142</v>
      </c>
      <c r="BD3895" s="3" t="s">
        <v>68</v>
      </c>
      <c r="BE3895" s="3" t="s">
        <v>37436</v>
      </c>
      <c r="BF3895" s="3" t="s">
        <v>37435</v>
      </c>
      <c r="BG3895" s="3" t="s">
        <v>37437</v>
      </c>
    </row>
    <row r="3896" spans="1:59" ht="57" x14ac:dyDescent="0.45">
      <c r="A3896" s="2" t="s">
        <v>59</v>
      </c>
      <c r="B3896" s="2" t="s">
        <v>60</v>
      </c>
      <c r="C3896" s="2" t="s">
        <v>37438</v>
      </c>
      <c r="D3896" s="2" t="s">
        <v>37439</v>
      </c>
      <c r="E3896" s="2" t="s">
        <v>37440</v>
      </c>
      <c r="G3896" s="3" t="s">
        <v>62</v>
      </c>
      <c r="I3896" s="3" t="s">
        <v>61</v>
      </c>
      <c r="J3896" s="3" t="s">
        <v>62</v>
      </c>
      <c r="K3896" s="3" t="s">
        <v>63</v>
      </c>
      <c r="M3896" s="2" t="s">
        <v>37441</v>
      </c>
      <c r="N3896" s="3" t="s">
        <v>1437</v>
      </c>
      <c r="P3896" s="3" t="s">
        <v>65</v>
      </c>
      <c r="R3896" s="3" t="s">
        <v>66</v>
      </c>
      <c r="S3896" s="4">
        <v>20</v>
      </c>
      <c r="T3896" s="4">
        <v>33</v>
      </c>
      <c r="U3896" s="5" t="s">
        <v>8270</v>
      </c>
      <c r="V3896" s="5" t="s">
        <v>8270</v>
      </c>
      <c r="W3896" s="5" t="s">
        <v>67</v>
      </c>
      <c r="X3896" s="5" t="s">
        <v>67</v>
      </c>
      <c r="Y3896" s="4">
        <v>237</v>
      </c>
      <c r="Z3896" s="4">
        <v>17</v>
      </c>
      <c r="AA3896" s="4">
        <v>23</v>
      </c>
      <c r="AB3896" s="4">
        <v>2</v>
      </c>
      <c r="AC3896" s="4">
        <v>8</v>
      </c>
      <c r="AD3896" s="4">
        <v>85</v>
      </c>
      <c r="AE3896" s="4">
        <v>87</v>
      </c>
      <c r="AF3896" s="4">
        <v>1</v>
      </c>
      <c r="AG3896" s="4">
        <v>3</v>
      </c>
      <c r="AH3896" s="4">
        <v>75</v>
      </c>
      <c r="AI3896" s="4">
        <v>75</v>
      </c>
      <c r="AJ3896" s="4">
        <v>13</v>
      </c>
      <c r="AK3896" s="4">
        <v>15</v>
      </c>
      <c r="AL3896" s="4">
        <v>43</v>
      </c>
      <c r="AM3896" s="4">
        <v>43</v>
      </c>
      <c r="AN3896" s="4">
        <v>0</v>
      </c>
      <c r="AO3896" s="4">
        <v>0</v>
      </c>
      <c r="AP3896" s="4">
        <v>14</v>
      </c>
      <c r="AQ3896" s="4">
        <v>16</v>
      </c>
      <c r="AR3896" s="3" t="s">
        <v>62</v>
      </c>
      <c r="AS3896" s="3" t="s">
        <v>62</v>
      </c>
      <c r="AT3896" s="3" t="s">
        <v>61</v>
      </c>
      <c r="AU3896" s="6" t="str">
        <f>HYPERLINK("http://catalog.hathitrust.org/Record/003967797","HathiTrust Record")</f>
        <v>HathiTrust Record</v>
      </c>
      <c r="AV3896" s="6" t="str">
        <f>HYPERLINK("http://mcgill.on.worldcat.org/oclc/36458071","Catalog Record")</f>
        <v>Catalog Record</v>
      </c>
      <c r="AW3896" s="6" t="str">
        <f>HYPERLINK("http://www.worldcat.org/oclc/36458071","WorldCat Record")</f>
        <v>WorldCat Record</v>
      </c>
      <c r="AX3896" s="3" t="s">
        <v>37442</v>
      </c>
      <c r="AY3896" s="3" t="s">
        <v>37443</v>
      </c>
      <c r="AZ3896" s="3" t="s">
        <v>37444</v>
      </c>
      <c r="BA3896" s="3" t="s">
        <v>37444</v>
      </c>
      <c r="BB3896" s="3" t="s">
        <v>37445</v>
      </c>
      <c r="BC3896" s="3" t="s">
        <v>142</v>
      </c>
      <c r="BD3896" s="3" t="s">
        <v>308</v>
      </c>
      <c r="BE3896" s="3" t="s">
        <v>37446</v>
      </c>
      <c r="BF3896" s="3" t="s">
        <v>37445</v>
      </c>
      <c r="BG3896" s="3" t="s">
        <v>37447</v>
      </c>
    </row>
    <row r="3897" spans="1:59" ht="57" x14ac:dyDescent="0.45">
      <c r="A3897" s="2" t="s">
        <v>59</v>
      </c>
      <c r="B3897" s="2" t="s">
        <v>60</v>
      </c>
      <c r="C3897" s="2" t="s">
        <v>37438</v>
      </c>
      <c r="D3897" s="2" t="s">
        <v>37439</v>
      </c>
      <c r="E3897" s="2" t="s">
        <v>37440</v>
      </c>
      <c r="G3897" s="3" t="s">
        <v>62</v>
      </c>
      <c r="I3897" s="3" t="s">
        <v>61</v>
      </c>
      <c r="J3897" s="3" t="s">
        <v>62</v>
      </c>
      <c r="K3897" s="3" t="s">
        <v>63</v>
      </c>
      <c r="M3897" s="2" t="s">
        <v>37441</v>
      </c>
      <c r="N3897" s="3" t="s">
        <v>1437</v>
      </c>
      <c r="P3897" s="3" t="s">
        <v>65</v>
      </c>
      <c r="R3897" s="3" t="s">
        <v>66</v>
      </c>
      <c r="S3897" s="4">
        <v>13</v>
      </c>
      <c r="T3897" s="4">
        <v>33</v>
      </c>
      <c r="U3897" s="5" t="s">
        <v>7923</v>
      </c>
      <c r="V3897" s="5" t="s">
        <v>8270</v>
      </c>
      <c r="W3897" s="5" t="s">
        <v>67</v>
      </c>
      <c r="X3897" s="5" t="s">
        <v>67</v>
      </c>
      <c r="Y3897" s="4">
        <v>237</v>
      </c>
      <c r="Z3897" s="4">
        <v>17</v>
      </c>
      <c r="AA3897" s="4">
        <v>23</v>
      </c>
      <c r="AB3897" s="4">
        <v>2</v>
      </c>
      <c r="AC3897" s="4">
        <v>8</v>
      </c>
      <c r="AD3897" s="4">
        <v>85</v>
      </c>
      <c r="AE3897" s="4">
        <v>87</v>
      </c>
      <c r="AF3897" s="4">
        <v>1</v>
      </c>
      <c r="AG3897" s="4">
        <v>3</v>
      </c>
      <c r="AH3897" s="4">
        <v>75</v>
      </c>
      <c r="AI3897" s="4">
        <v>75</v>
      </c>
      <c r="AJ3897" s="4">
        <v>13</v>
      </c>
      <c r="AK3897" s="4">
        <v>15</v>
      </c>
      <c r="AL3897" s="4">
        <v>43</v>
      </c>
      <c r="AM3897" s="4">
        <v>43</v>
      </c>
      <c r="AN3897" s="4">
        <v>0</v>
      </c>
      <c r="AO3897" s="4">
        <v>0</v>
      </c>
      <c r="AP3897" s="4">
        <v>14</v>
      </c>
      <c r="AQ3897" s="4">
        <v>16</v>
      </c>
      <c r="AR3897" s="3" t="s">
        <v>62</v>
      </c>
      <c r="AS3897" s="3" t="s">
        <v>62</v>
      </c>
      <c r="AT3897" s="3" t="s">
        <v>61</v>
      </c>
      <c r="AU3897" s="6" t="str">
        <f>HYPERLINK("http://catalog.hathitrust.org/Record/003967797","HathiTrust Record")</f>
        <v>HathiTrust Record</v>
      </c>
      <c r="AV3897" s="6" t="str">
        <f>HYPERLINK("http://mcgill.on.worldcat.org/oclc/36458071","Catalog Record")</f>
        <v>Catalog Record</v>
      </c>
      <c r="AW3897" s="6" t="str">
        <f>HYPERLINK("http://www.worldcat.org/oclc/36458071","WorldCat Record")</f>
        <v>WorldCat Record</v>
      </c>
      <c r="AX3897" s="3" t="s">
        <v>37442</v>
      </c>
      <c r="AY3897" s="3" t="s">
        <v>37443</v>
      </c>
      <c r="AZ3897" s="3" t="s">
        <v>37444</v>
      </c>
      <c r="BA3897" s="3" t="s">
        <v>37444</v>
      </c>
      <c r="BB3897" s="3" t="s">
        <v>37448</v>
      </c>
      <c r="BC3897" s="3" t="s">
        <v>142</v>
      </c>
      <c r="BD3897" s="3" t="s">
        <v>68</v>
      </c>
      <c r="BE3897" s="3" t="s">
        <v>37446</v>
      </c>
      <c r="BF3897" s="3" t="s">
        <v>37448</v>
      </c>
      <c r="BG3897" s="3" t="s">
        <v>37449</v>
      </c>
    </row>
    <row r="3898" spans="1:59" ht="57" x14ac:dyDescent="0.45">
      <c r="A3898" s="2" t="s">
        <v>59</v>
      </c>
      <c r="B3898" s="2" t="s">
        <v>60</v>
      </c>
      <c r="C3898" s="2" t="s">
        <v>37450</v>
      </c>
      <c r="D3898" s="2" t="s">
        <v>37451</v>
      </c>
      <c r="E3898" s="2" t="s">
        <v>37452</v>
      </c>
      <c r="G3898" s="3" t="s">
        <v>62</v>
      </c>
      <c r="I3898" s="3" t="s">
        <v>62</v>
      </c>
      <c r="J3898" s="3" t="s">
        <v>62</v>
      </c>
      <c r="K3898" s="3" t="s">
        <v>63</v>
      </c>
      <c r="L3898" s="2" t="s">
        <v>37453</v>
      </c>
      <c r="M3898" s="2" t="s">
        <v>30534</v>
      </c>
      <c r="N3898" s="3" t="s">
        <v>894</v>
      </c>
      <c r="P3898" s="3" t="s">
        <v>65</v>
      </c>
      <c r="Q3898" s="2" t="s">
        <v>37454</v>
      </c>
      <c r="R3898" s="3" t="s">
        <v>66</v>
      </c>
      <c r="S3898" s="4">
        <v>1</v>
      </c>
      <c r="T3898" s="4">
        <v>1</v>
      </c>
      <c r="U3898" s="5" t="s">
        <v>3064</v>
      </c>
      <c r="V3898" s="5" t="s">
        <v>3064</v>
      </c>
      <c r="W3898" s="5" t="s">
        <v>67</v>
      </c>
      <c r="X3898" s="5" t="s">
        <v>67</v>
      </c>
      <c r="Y3898" s="4">
        <v>59</v>
      </c>
      <c r="Z3898" s="4">
        <v>13</v>
      </c>
      <c r="AA3898" s="4">
        <v>47</v>
      </c>
      <c r="AB3898" s="4">
        <v>1</v>
      </c>
      <c r="AC3898" s="4">
        <v>9</v>
      </c>
      <c r="AD3898" s="4">
        <v>30</v>
      </c>
      <c r="AE3898" s="4">
        <v>49</v>
      </c>
      <c r="AF3898" s="4">
        <v>0</v>
      </c>
      <c r="AG3898" s="4">
        <v>3</v>
      </c>
      <c r="AH3898" s="4">
        <v>26</v>
      </c>
      <c r="AI3898" s="4">
        <v>34</v>
      </c>
      <c r="AJ3898" s="4">
        <v>9</v>
      </c>
      <c r="AK3898" s="4">
        <v>14</v>
      </c>
      <c r="AL3898" s="4">
        <v>14</v>
      </c>
      <c r="AM3898" s="4">
        <v>19</v>
      </c>
      <c r="AN3898" s="4">
        <v>0</v>
      </c>
      <c r="AO3898" s="4">
        <v>0</v>
      </c>
      <c r="AP3898" s="4">
        <v>10</v>
      </c>
      <c r="AQ3898" s="4">
        <v>21</v>
      </c>
      <c r="AR3898" s="3" t="s">
        <v>62</v>
      </c>
      <c r="AS3898" s="3" t="s">
        <v>62</v>
      </c>
      <c r="AT3898" s="3" t="s">
        <v>62</v>
      </c>
      <c r="AV3898" s="6" t="str">
        <f>HYPERLINK("http://mcgill.on.worldcat.org/oclc/685120659","Catalog Record")</f>
        <v>Catalog Record</v>
      </c>
      <c r="AW3898" s="6" t="str">
        <f>HYPERLINK("http://www.worldcat.org/oclc/685120659","WorldCat Record")</f>
        <v>WorldCat Record</v>
      </c>
      <c r="AX3898" s="3" t="s">
        <v>37455</v>
      </c>
      <c r="AY3898" s="3" t="s">
        <v>37456</v>
      </c>
      <c r="AZ3898" s="3" t="s">
        <v>37457</v>
      </c>
      <c r="BA3898" s="3" t="s">
        <v>37457</v>
      </c>
      <c r="BB3898" s="3" t="s">
        <v>37458</v>
      </c>
      <c r="BC3898" s="3" t="s">
        <v>142</v>
      </c>
      <c r="BD3898" s="3" t="s">
        <v>68</v>
      </c>
      <c r="BE3898" s="3" t="s">
        <v>37459</v>
      </c>
      <c r="BF3898" s="3" t="s">
        <v>37458</v>
      </c>
      <c r="BG3898" s="3" t="s">
        <v>37460</v>
      </c>
    </row>
    <row r="3899" spans="1:59" ht="57" x14ac:dyDescent="0.45">
      <c r="A3899" s="2" t="s">
        <v>59</v>
      </c>
      <c r="B3899" s="2" t="s">
        <v>60</v>
      </c>
      <c r="C3899" s="2" t="s">
        <v>37461</v>
      </c>
      <c r="D3899" s="2" t="s">
        <v>37462</v>
      </c>
      <c r="E3899" s="2" t="s">
        <v>37463</v>
      </c>
      <c r="G3899" s="3" t="s">
        <v>62</v>
      </c>
      <c r="I3899" s="3" t="s">
        <v>62</v>
      </c>
      <c r="J3899" s="3" t="s">
        <v>62</v>
      </c>
      <c r="K3899" s="3" t="s">
        <v>63</v>
      </c>
      <c r="L3899" s="2" t="s">
        <v>37464</v>
      </c>
      <c r="M3899" s="2" t="s">
        <v>37465</v>
      </c>
      <c r="N3899" s="3" t="s">
        <v>1097</v>
      </c>
      <c r="P3899" s="3" t="s">
        <v>65</v>
      </c>
      <c r="Q3899" s="2" t="s">
        <v>37466</v>
      </c>
      <c r="R3899" s="3" t="s">
        <v>66</v>
      </c>
      <c r="S3899" s="4">
        <v>20</v>
      </c>
      <c r="T3899" s="4">
        <v>20</v>
      </c>
      <c r="U3899" s="5" t="s">
        <v>19521</v>
      </c>
      <c r="V3899" s="5" t="s">
        <v>19521</v>
      </c>
      <c r="W3899" s="5" t="s">
        <v>67</v>
      </c>
      <c r="X3899" s="5" t="s">
        <v>67</v>
      </c>
      <c r="Y3899" s="4">
        <v>229</v>
      </c>
      <c r="Z3899" s="4">
        <v>26</v>
      </c>
      <c r="AA3899" s="4">
        <v>110</v>
      </c>
      <c r="AB3899" s="4">
        <v>2</v>
      </c>
      <c r="AC3899" s="4">
        <v>17</v>
      </c>
      <c r="AD3899" s="4">
        <v>77</v>
      </c>
      <c r="AE3899" s="4">
        <v>132</v>
      </c>
      <c r="AF3899" s="4">
        <v>1</v>
      </c>
      <c r="AG3899" s="4">
        <v>8</v>
      </c>
      <c r="AH3899" s="4">
        <v>65</v>
      </c>
      <c r="AI3899" s="4">
        <v>95</v>
      </c>
      <c r="AJ3899" s="4">
        <v>15</v>
      </c>
      <c r="AK3899" s="4">
        <v>24</v>
      </c>
      <c r="AL3899" s="4">
        <v>33</v>
      </c>
      <c r="AM3899" s="4">
        <v>47</v>
      </c>
      <c r="AN3899" s="4">
        <v>0</v>
      </c>
      <c r="AO3899" s="4">
        <v>0</v>
      </c>
      <c r="AP3899" s="4">
        <v>20</v>
      </c>
      <c r="AQ3899" s="4">
        <v>46</v>
      </c>
      <c r="AR3899" s="3" t="s">
        <v>62</v>
      </c>
      <c r="AS3899" s="3" t="s">
        <v>62</v>
      </c>
      <c r="AT3899" s="3" t="s">
        <v>62</v>
      </c>
      <c r="AV3899" s="6" t="str">
        <f>HYPERLINK("http://mcgill.on.worldcat.org/oclc/52109149","Catalog Record")</f>
        <v>Catalog Record</v>
      </c>
      <c r="AW3899" s="6" t="str">
        <f>HYPERLINK("http://www.worldcat.org/oclc/52109149","WorldCat Record")</f>
        <v>WorldCat Record</v>
      </c>
      <c r="AX3899" s="3" t="s">
        <v>37467</v>
      </c>
      <c r="AY3899" s="3" t="s">
        <v>37468</v>
      </c>
      <c r="AZ3899" s="3" t="s">
        <v>37469</v>
      </c>
      <c r="BA3899" s="3" t="s">
        <v>37469</v>
      </c>
      <c r="BB3899" s="3" t="s">
        <v>37470</v>
      </c>
      <c r="BC3899" s="3" t="s">
        <v>142</v>
      </c>
      <c r="BD3899" s="3" t="s">
        <v>68</v>
      </c>
      <c r="BE3899" s="3" t="s">
        <v>37471</v>
      </c>
      <c r="BF3899" s="3" t="s">
        <v>37470</v>
      </c>
      <c r="BG3899" s="3" t="s">
        <v>37472</v>
      </c>
    </row>
    <row r="3900" spans="1:59" ht="57" x14ac:dyDescent="0.45">
      <c r="A3900" s="2" t="s">
        <v>59</v>
      </c>
      <c r="B3900" s="2" t="s">
        <v>60</v>
      </c>
      <c r="C3900" s="2" t="s">
        <v>37473</v>
      </c>
      <c r="D3900" s="2" t="s">
        <v>37474</v>
      </c>
      <c r="E3900" s="2" t="s">
        <v>37475</v>
      </c>
      <c r="F3900" s="3" t="s">
        <v>90</v>
      </c>
      <c r="G3900" s="3" t="s">
        <v>61</v>
      </c>
      <c r="I3900" s="3" t="s">
        <v>62</v>
      </c>
      <c r="J3900" s="3" t="s">
        <v>62</v>
      </c>
      <c r="K3900" s="3" t="s">
        <v>63</v>
      </c>
      <c r="M3900" s="2" t="s">
        <v>37476</v>
      </c>
      <c r="N3900" s="3" t="s">
        <v>1855</v>
      </c>
      <c r="P3900" s="3" t="s">
        <v>65</v>
      </c>
      <c r="Q3900" s="2" t="s">
        <v>7221</v>
      </c>
      <c r="R3900" s="3" t="s">
        <v>66</v>
      </c>
      <c r="S3900" s="4">
        <v>6</v>
      </c>
      <c r="T3900" s="4">
        <v>38</v>
      </c>
      <c r="U3900" s="5" t="s">
        <v>7295</v>
      </c>
      <c r="V3900" s="5" t="s">
        <v>37477</v>
      </c>
      <c r="W3900" s="5" t="s">
        <v>67</v>
      </c>
      <c r="X3900" s="5" t="s">
        <v>67</v>
      </c>
      <c r="Y3900" s="4">
        <v>426</v>
      </c>
      <c r="Z3900" s="4">
        <v>21</v>
      </c>
      <c r="AA3900" s="4">
        <v>95</v>
      </c>
      <c r="AB3900" s="4">
        <v>3</v>
      </c>
      <c r="AC3900" s="4">
        <v>18</v>
      </c>
      <c r="AD3900" s="4">
        <v>93</v>
      </c>
      <c r="AE3900" s="4">
        <v>144</v>
      </c>
      <c r="AF3900" s="4">
        <v>1</v>
      </c>
      <c r="AG3900" s="4">
        <v>8</v>
      </c>
      <c r="AH3900" s="4">
        <v>82</v>
      </c>
      <c r="AI3900" s="4">
        <v>103</v>
      </c>
      <c r="AJ3900" s="4">
        <v>10</v>
      </c>
      <c r="AK3900" s="4">
        <v>26</v>
      </c>
      <c r="AL3900" s="4">
        <v>42</v>
      </c>
      <c r="AM3900" s="4">
        <v>54</v>
      </c>
      <c r="AN3900" s="4">
        <v>0</v>
      </c>
      <c r="AO3900" s="4">
        <v>0</v>
      </c>
      <c r="AP3900" s="4">
        <v>17</v>
      </c>
      <c r="AQ3900" s="4">
        <v>51</v>
      </c>
      <c r="AR3900" s="3" t="s">
        <v>62</v>
      </c>
      <c r="AS3900" s="3" t="s">
        <v>62</v>
      </c>
      <c r="AT3900" s="3" t="s">
        <v>62</v>
      </c>
      <c r="AV3900" s="6" t="str">
        <f>HYPERLINK("http://mcgill.on.worldcat.org/oclc/56753376","Catalog Record")</f>
        <v>Catalog Record</v>
      </c>
      <c r="AW3900" s="6" t="str">
        <f>HYPERLINK("http://www.worldcat.org/oclc/56753376","WorldCat Record")</f>
        <v>WorldCat Record</v>
      </c>
      <c r="AX3900" s="3" t="s">
        <v>37478</v>
      </c>
      <c r="AY3900" s="3" t="s">
        <v>37479</v>
      </c>
      <c r="AZ3900" s="3" t="s">
        <v>37480</v>
      </c>
      <c r="BA3900" s="3" t="s">
        <v>37480</v>
      </c>
      <c r="BB3900" s="3" t="s">
        <v>37481</v>
      </c>
      <c r="BC3900" s="3" t="s">
        <v>142</v>
      </c>
      <c r="BD3900" s="3" t="s">
        <v>68</v>
      </c>
      <c r="BE3900" s="3" t="s">
        <v>37482</v>
      </c>
      <c r="BF3900" s="3" t="s">
        <v>37481</v>
      </c>
      <c r="BG3900" s="3" t="s">
        <v>37483</v>
      </c>
    </row>
    <row r="3901" spans="1:59" ht="57" x14ac:dyDescent="0.45">
      <c r="A3901" s="2" t="s">
        <v>59</v>
      </c>
      <c r="B3901" s="2" t="s">
        <v>60</v>
      </c>
      <c r="C3901" s="2" t="s">
        <v>37473</v>
      </c>
      <c r="D3901" s="2" t="s">
        <v>37474</v>
      </c>
      <c r="E3901" s="2" t="s">
        <v>37475</v>
      </c>
      <c r="F3901" s="3" t="s">
        <v>87</v>
      </c>
      <c r="G3901" s="3" t="s">
        <v>61</v>
      </c>
      <c r="I3901" s="3" t="s">
        <v>62</v>
      </c>
      <c r="J3901" s="3" t="s">
        <v>62</v>
      </c>
      <c r="K3901" s="3" t="s">
        <v>63</v>
      </c>
      <c r="M3901" s="2" t="s">
        <v>37476</v>
      </c>
      <c r="N3901" s="3" t="s">
        <v>1855</v>
      </c>
      <c r="P3901" s="3" t="s">
        <v>65</v>
      </c>
      <c r="Q3901" s="2" t="s">
        <v>7221</v>
      </c>
      <c r="R3901" s="3" t="s">
        <v>66</v>
      </c>
      <c r="S3901" s="4">
        <v>32</v>
      </c>
      <c r="T3901" s="4">
        <v>38</v>
      </c>
      <c r="U3901" s="5" t="s">
        <v>37477</v>
      </c>
      <c r="V3901" s="5" t="s">
        <v>37477</v>
      </c>
      <c r="W3901" s="5" t="s">
        <v>67</v>
      </c>
      <c r="X3901" s="5" t="s">
        <v>67</v>
      </c>
      <c r="Y3901" s="4">
        <v>426</v>
      </c>
      <c r="Z3901" s="4">
        <v>21</v>
      </c>
      <c r="AA3901" s="4">
        <v>95</v>
      </c>
      <c r="AB3901" s="4">
        <v>3</v>
      </c>
      <c r="AC3901" s="4">
        <v>18</v>
      </c>
      <c r="AD3901" s="4">
        <v>93</v>
      </c>
      <c r="AE3901" s="4">
        <v>144</v>
      </c>
      <c r="AF3901" s="4">
        <v>1</v>
      </c>
      <c r="AG3901" s="4">
        <v>8</v>
      </c>
      <c r="AH3901" s="4">
        <v>82</v>
      </c>
      <c r="AI3901" s="4">
        <v>103</v>
      </c>
      <c r="AJ3901" s="4">
        <v>10</v>
      </c>
      <c r="AK3901" s="4">
        <v>26</v>
      </c>
      <c r="AL3901" s="4">
        <v>42</v>
      </c>
      <c r="AM3901" s="4">
        <v>54</v>
      </c>
      <c r="AN3901" s="4">
        <v>0</v>
      </c>
      <c r="AO3901" s="4">
        <v>0</v>
      </c>
      <c r="AP3901" s="4">
        <v>17</v>
      </c>
      <c r="AQ3901" s="4">
        <v>51</v>
      </c>
      <c r="AR3901" s="3" t="s">
        <v>62</v>
      </c>
      <c r="AS3901" s="3" t="s">
        <v>62</v>
      </c>
      <c r="AT3901" s="3" t="s">
        <v>62</v>
      </c>
      <c r="AV3901" s="6" t="str">
        <f>HYPERLINK("http://mcgill.on.worldcat.org/oclc/56753376","Catalog Record")</f>
        <v>Catalog Record</v>
      </c>
      <c r="AW3901" s="6" t="str">
        <f>HYPERLINK("http://www.worldcat.org/oclc/56753376","WorldCat Record")</f>
        <v>WorldCat Record</v>
      </c>
      <c r="AX3901" s="3" t="s">
        <v>37478</v>
      </c>
      <c r="AY3901" s="3" t="s">
        <v>37479</v>
      </c>
      <c r="AZ3901" s="3" t="s">
        <v>37480</v>
      </c>
      <c r="BA3901" s="3" t="s">
        <v>37480</v>
      </c>
      <c r="BB3901" s="3" t="s">
        <v>37484</v>
      </c>
      <c r="BC3901" s="3" t="s">
        <v>142</v>
      </c>
      <c r="BD3901" s="3" t="s">
        <v>68</v>
      </c>
      <c r="BE3901" s="3" t="s">
        <v>37482</v>
      </c>
      <c r="BF3901" s="3" t="s">
        <v>37484</v>
      </c>
      <c r="BG3901" s="3" t="s">
        <v>37485</v>
      </c>
    </row>
    <row r="3902" spans="1:59" ht="57" x14ac:dyDescent="0.45">
      <c r="A3902" s="2" t="s">
        <v>59</v>
      </c>
      <c r="B3902" s="2" t="s">
        <v>60</v>
      </c>
      <c r="C3902" s="2" t="s">
        <v>37486</v>
      </c>
      <c r="D3902" s="2" t="s">
        <v>37487</v>
      </c>
      <c r="E3902" s="2" t="s">
        <v>37488</v>
      </c>
      <c r="G3902" s="3" t="s">
        <v>62</v>
      </c>
      <c r="I3902" s="3" t="s">
        <v>61</v>
      </c>
      <c r="J3902" s="3" t="s">
        <v>62</v>
      </c>
      <c r="K3902" s="3" t="s">
        <v>63</v>
      </c>
      <c r="M3902" s="2" t="s">
        <v>37489</v>
      </c>
      <c r="N3902" s="3" t="s">
        <v>1478</v>
      </c>
      <c r="P3902" s="3" t="s">
        <v>65</v>
      </c>
      <c r="R3902" s="3" t="s">
        <v>66</v>
      </c>
      <c r="S3902" s="4">
        <v>27</v>
      </c>
      <c r="T3902" s="4">
        <v>79</v>
      </c>
      <c r="U3902" s="5" t="s">
        <v>6370</v>
      </c>
      <c r="V3902" s="5" t="s">
        <v>6370</v>
      </c>
      <c r="W3902" s="5" t="s">
        <v>67</v>
      </c>
      <c r="X3902" s="5" t="s">
        <v>67</v>
      </c>
      <c r="Y3902" s="4">
        <v>465</v>
      </c>
      <c r="Z3902" s="4">
        <v>26</v>
      </c>
      <c r="AA3902" s="4">
        <v>31</v>
      </c>
      <c r="AB3902" s="4">
        <v>3</v>
      </c>
      <c r="AC3902" s="4">
        <v>7</v>
      </c>
      <c r="AD3902" s="4">
        <v>111</v>
      </c>
      <c r="AE3902" s="4">
        <v>115</v>
      </c>
      <c r="AF3902" s="4">
        <v>1</v>
      </c>
      <c r="AG3902" s="4">
        <v>4</v>
      </c>
      <c r="AH3902" s="4">
        <v>98</v>
      </c>
      <c r="AI3902" s="4">
        <v>99</v>
      </c>
      <c r="AJ3902" s="4">
        <v>16</v>
      </c>
      <c r="AK3902" s="4">
        <v>19</v>
      </c>
      <c r="AL3902" s="4">
        <v>54</v>
      </c>
      <c r="AM3902" s="4">
        <v>54</v>
      </c>
      <c r="AN3902" s="4">
        <v>0</v>
      </c>
      <c r="AO3902" s="4">
        <v>0</v>
      </c>
      <c r="AP3902" s="4">
        <v>21</v>
      </c>
      <c r="AQ3902" s="4">
        <v>24</v>
      </c>
      <c r="AR3902" s="3" t="s">
        <v>62</v>
      </c>
      <c r="AS3902" s="3" t="s">
        <v>62</v>
      </c>
      <c r="AT3902" s="3" t="s">
        <v>62</v>
      </c>
      <c r="AV3902" s="6" t="str">
        <f>HYPERLINK("http://mcgill.on.worldcat.org/oclc/31606463","Catalog Record")</f>
        <v>Catalog Record</v>
      </c>
      <c r="AW3902" s="6" t="str">
        <f>HYPERLINK("http://www.worldcat.org/oclc/31606463","WorldCat Record")</f>
        <v>WorldCat Record</v>
      </c>
      <c r="AX3902" s="3" t="s">
        <v>37490</v>
      </c>
      <c r="AY3902" s="3" t="s">
        <v>37491</v>
      </c>
      <c r="AZ3902" s="3" t="s">
        <v>37492</v>
      </c>
      <c r="BA3902" s="3" t="s">
        <v>37492</v>
      </c>
      <c r="BB3902" s="3" t="s">
        <v>37493</v>
      </c>
      <c r="BC3902" s="3" t="s">
        <v>142</v>
      </c>
      <c r="BD3902" s="3" t="s">
        <v>68</v>
      </c>
      <c r="BE3902" s="3" t="s">
        <v>37494</v>
      </c>
      <c r="BF3902" s="3" t="s">
        <v>37493</v>
      </c>
      <c r="BG3902" s="3" t="s">
        <v>37495</v>
      </c>
    </row>
    <row r="3903" spans="1:59" ht="57" x14ac:dyDescent="0.45">
      <c r="A3903" s="2" t="s">
        <v>59</v>
      </c>
      <c r="B3903" s="2" t="s">
        <v>60</v>
      </c>
      <c r="C3903" s="2" t="s">
        <v>37486</v>
      </c>
      <c r="D3903" s="2" t="s">
        <v>37487</v>
      </c>
      <c r="E3903" s="2" t="s">
        <v>37488</v>
      </c>
      <c r="G3903" s="3" t="s">
        <v>62</v>
      </c>
      <c r="I3903" s="3" t="s">
        <v>61</v>
      </c>
      <c r="J3903" s="3" t="s">
        <v>62</v>
      </c>
      <c r="K3903" s="3" t="s">
        <v>63</v>
      </c>
      <c r="M3903" s="2" t="s">
        <v>37489</v>
      </c>
      <c r="N3903" s="3" t="s">
        <v>1478</v>
      </c>
      <c r="P3903" s="3" t="s">
        <v>65</v>
      </c>
      <c r="R3903" s="3" t="s">
        <v>66</v>
      </c>
      <c r="S3903" s="4">
        <v>52</v>
      </c>
      <c r="T3903" s="4">
        <v>79</v>
      </c>
      <c r="U3903" s="5" t="s">
        <v>25762</v>
      </c>
      <c r="V3903" s="5" t="s">
        <v>6370</v>
      </c>
      <c r="W3903" s="5" t="s">
        <v>67</v>
      </c>
      <c r="X3903" s="5" t="s">
        <v>67</v>
      </c>
      <c r="Y3903" s="4">
        <v>465</v>
      </c>
      <c r="Z3903" s="4">
        <v>26</v>
      </c>
      <c r="AA3903" s="4">
        <v>31</v>
      </c>
      <c r="AB3903" s="4">
        <v>3</v>
      </c>
      <c r="AC3903" s="4">
        <v>7</v>
      </c>
      <c r="AD3903" s="4">
        <v>111</v>
      </c>
      <c r="AE3903" s="4">
        <v>115</v>
      </c>
      <c r="AF3903" s="4">
        <v>1</v>
      </c>
      <c r="AG3903" s="4">
        <v>4</v>
      </c>
      <c r="AH3903" s="4">
        <v>98</v>
      </c>
      <c r="AI3903" s="4">
        <v>99</v>
      </c>
      <c r="AJ3903" s="4">
        <v>16</v>
      </c>
      <c r="AK3903" s="4">
        <v>19</v>
      </c>
      <c r="AL3903" s="4">
        <v>54</v>
      </c>
      <c r="AM3903" s="4">
        <v>54</v>
      </c>
      <c r="AN3903" s="4">
        <v>0</v>
      </c>
      <c r="AO3903" s="4">
        <v>0</v>
      </c>
      <c r="AP3903" s="4">
        <v>21</v>
      </c>
      <c r="AQ3903" s="4">
        <v>24</v>
      </c>
      <c r="AR3903" s="3" t="s">
        <v>62</v>
      </c>
      <c r="AS3903" s="3" t="s">
        <v>62</v>
      </c>
      <c r="AT3903" s="3" t="s">
        <v>62</v>
      </c>
      <c r="AV3903" s="6" t="str">
        <f>HYPERLINK("http://mcgill.on.worldcat.org/oclc/31606463","Catalog Record")</f>
        <v>Catalog Record</v>
      </c>
      <c r="AW3903" s="6" t="str">
        <f>HYPERLINK("http://www.worldcat.org/oclc/31606463","WorldCat Record")</f>
        <v>WorldCat Record</v>
      </c>
      <c r="AX3903" s="3" t="s">
        <v>37490</v>
      </c>
      <c r="AY3903" s="3" t="s">
        <v>37491</v>
      </c>
      <c r="AZ3903" s="3" t="s">
        <v>37492</v>
      </c>
      <c r="BA3903" s="3" t="s">
        <v>37492</v>
      </c>
      <c r="BB3903" s="3" t="s">
        <v>37496</v>
      </c>
      <c r="BC3903" s="3" t="s">
        <v>142</v>
      </c>
      <c r="BD3903" s="3" t="s">
        <v>68</v>
      </c>
      <c r="BE3903" s="3" t="s">
        <v>37494</v>
      </c>
      <c r="BF3903" s="3" t="s">
        <v>37496</v>
      </c>
      <c r="BG3903" s="3" t="s">
        <v>37497</v>
      </c>
    </row>
    <row r="3904" spans="1:59" ht="57" x14ac:dyDescent="0.45">
      <c r="A3904" s="2" t="s">
        <v>59</v>
      </c>
      <c r="B3904" s="2" t="s">
        <v>60</v>
      </c>
      <c r="C3904" s="2" t="s">
        <v>37498</v>
      </c>
      <c r="D3904" s="2" t="s">
        <v>37499</v>
      </c>
      <c r="E3904" s="2" t="s">
        <v>37500</v>
      </c>
      <c r="G3904" s="3" t="s">
        <v>62</v>
      </c>
      <c r="I3904" s="3" t="s">
        <v>61</v>
      </c>
      <c r="J3904" s="3" t="s">
        <v>62</v>
      </c>
      <c r="K3904" s="3" t="s">
        <v>63</v>
      </c>
      <c r="M3904" s="2" t="s">
        <v>37501</v>
      </c>
      <c r="N3904" s="3" t="s">
        <v>918</v>
      </c>
      <c r="P3904" s="3" t="s">
        <v>65</v>
      </c>
      <c r="Q3904" s="2" t="s">
        <v>3014</v>
      </c>
      <c r="R3904" s="3" t="s">
        <v>66</v>
      </c>
      <c r="S3904" s="4">
        <v>44</v>
      </c>
      <c r="T3904" s="4">
        <v>67</v>
      </c>
      <c r="U3904" s="5" t="s">
        <v>31527</v>
      </c>
      <c r="V3904" s="5" t="s">
        <v>31527</v>
      </c>
      <c r="W3904" s="5" t="s">
        <v>67</v>
      </c>
      <c r="X3904" s="5" t="s">
        <v>67</v>
      </c>
      <c r="Y3904" s="4">
        <v>507</v>
      </c>
      <c r="Z3904" s="4">
        <v>28</v>
      </c>
      <c r="AA3904" s="4">
        <v>59</v>
      </c>
      <c r="AB3904" s="4">
        <v>2</v>
      </c>
      <c r="AC3904" s="4">
        <v>13</v>
      </c>
      <c r="AD3904" s="4">
        <v>96</v>
      </c>
      <c r="AE3904" s="4">
        <v>122</v>
      </c>
      <c r="AF3904" s="4">
        <v>1</v>
      </c>
      <c r="AG3904" s="4">
        <v>6</v>
      </c>
      <c r="AH3904" s="4">
        <v>81</v>
      </c>
      <c r="AI3904" s="4">
        <v>95</v>
      </c>
      <c r="AJ3904" s="4">
        <v>14</v>
      </c>
      <c r="AK3904" s="4">
        <v>22</v>
      </c>
      <c r="AL3904" s="4">
        <v>44</v>
      </c>
      <c r="AM3904" s="4">
        <v>50</v>
      </c>
      <c r="AN3904" s="4">
        <v>0</v>
      </c>
      <c r="AO3904" s="4">
        <v>0</v>
      </c>
      <c r="AP3904" s="4">
        <v>21</v>
      </c>
      <c r="AQ3904" s="4">
        <v>36</v>
      </c>
      <c r="AR3904" s="3" t="s">
        <v>62</v>
      </c>
      <c r="AS3904" s="3" t="s">
        <v>62</v>
      </c>
      <c r="AT3904" s="3" t="s">
        <v>61</v>
      </c>
      <c r="AU3904" s="6" t="str">
        <f>HYPERLINK("http://catalog.hathitrust.org/Record/004340677","HathiTrust Record")</f>
        <v>HathiTrust Record</v>
      </c>
      <c r="AV3904" s="6" t="str">
        <f>HYPERLINK("http://mcgill.on.worldcat.org/oclc/51099144","Catalog Record")</f>
        <v>Catalog Record</v>
      </c>
      <c r="AW3904" s="6" t="str">
        <f>HYPERLINK("http://www.worldcat.org/oclc/51099144","WorldCat Record")</f>
        <v>WorldCat Record</v>
      </c>
      <c r="AX3904" s="3" t="s">
        <v>37502</v>
      </c>
      <c r="AY3904" s="3" t="s">
        <v>37503</v>
      </c>
      <c r="AZ3904" s="3" t="s">
        <v>37504</v>
      </c>
      <c r="BA3904" s="3" t="s">
        <v>37504</v>
      </c>
      <c r="BB3904" s="3" t="s">
        <v>37505</v>
      </c>
      <c r="BC3904" s="3" t="s">
        <v>142</v>
      </c>
      <c r="BD3904" s="3" t="s">
        <v>68</v>
      </c>
      <c r="BE3904" s="3" t="s">
        <v>37506</v>
      </c>
      <c r="BF3904" s="3" t="s">
        <v>37505</v>
      </c>
      <c r="BG3904" s="3" t="s">
        <v>37507</v>
      </c>
    </row>
    <row r="3905" spans="1:59" ht="57" x14ac:dyDescent="0.45">
      <c r="A3905" s="2" t="s">
        <v>59</v>
      </c>
      <c r="B3905" s="2" t="s">
        <v>60</v>
      </c>
      <c r="C3905" s="2" t="s">
        <v>37498</v>
      </c>
      <c r="D3905" s="2" t="s">
        <v>37499</v>
      </c>
      <c r="E3905" s="2" t="s">
        <v>37500</v>
      </c>
      <c r="G3905" s="3" t="s">
        <v>62</v>
      </c>
      <c r="I3905" s="3" t="s">
        <v>61</v>
      </c>
      <c r="J3905" s="3" t="s">
        <v>62</v>
      </c>
      <c r="K3905" s="3" t="s">
        <v>63</v>
      </c>
      <c r="M3905" s="2" t="s">
        <v>37501</v>
      </c>
      <c r="N3905" s="3" t="s">
        <v>918</v>
      </c>
      <c r="P3905" s="3" t="s">
        <v>65</v>
      </c>
      <c r="Q3905" s="2" t="s">
        <v>3014</v>
      </c>
      <c r="R3905" s="3" t="s">
        <v>66</v>
      </c>
      <c r="S3905" s="4">
        <v>23</v>
      </c>
      <c r="T3905" s="4">
        <v>67</v>
      </c>
      <c r="U3905" s="5" t="s">
        <v>37508</v>
      </c>
      <c r="V3905" s="5" t="s">
        <v>31527</v>
      </c>
      <c r="W3905" s="5" t="s">
        <v>67</v>
      </c>
      <c r="X3905" s="5" t="s">
        <v>67</v>
      </c>
      <c r="Y3905" s="4">
        <v>507</v>
      </c>
      <c r="Z3905" s="4">
        <v>28</v>
      </c>
      <c r="AA3905" s="4">
        <v>59</v>
      </c>
      <c r="AB3905" s="4">
        <v>2</v>
      </c>
      <c r="AC3905" s="4">
        <v>13</v>
      </c>
      <c r="AD3905" s="4">
        <v>96</v>
      </c>
      <c r="AE3905" s="4">
        <v>122</v>
      </c>
      <c r="AF3905" s="4">
        <v>1</v>
      </c>
      <c r="AG3905" s="4">
        <v>6</v>
      </c>
      <c r="AH3905" s="4">
        <v>81</v>
      </c>
      <c r="AI3905" s="4">
        <v>95</v>
      </c>
      <c r="AJ3905" s="4">
        <v>14</v>
      </c>
      <c r="AK3905" s="4">
        <v>22</v>
      </c>
      <c r="AL3905" s="4">
        <v>44</v>
      </c>
      <c r="AM3905" s="4">
        <v>50</v>
      </c>
      <c r="AN3905" s="4">
        <v>0</v>
      </c>
      <c r="AO3905" s="4">
        <v>0</v>
      </c>
      <c r="AP3905" s="4">
        <v>21</v>
      </c>
      <c r="AQ3905" s="4">
        <v>36</v>
      </c>
      <c r="AR3905" s="3" t="s">
        <v>62</v>
      </c>
      <c r="AS3905" s="3" t="s">
        <v>62</v>
      </c>
      <c r="AT3905" s="3" t="s">
        <v>61</v>
      </c>
      <c r="AU3905" s="6" t="str">
        <f>HYPERLINK("http://catalog.hathitrust.org/Record/004340677","HathiTrust Record")</f>
        <v>HathiTrust Record</v>
      </c>
      <c r="AV3905" s="6" t="str">
        <f>HYPERLINK("http://mcgill.on.worldcat.org/oclc/51099144","Catalog Record")</f>
        <v>Catalog Record</v>
      </c>
      <c r="AW3905" s="6" t="str">
        <f>HYPERLINK("http://www.worldcat.org/oclc/51099144","WorldCat Record")</f>
        <v>WorldCat Record</v>
      </c>
      <c r="AX3905" s="3" t="s">
        <v>37502</v>
      </c>
      <c r="AY3905" s="3" t="s">
        <v>37503</v>
      </c>
      <c r="AZ3905" s="3" t="s">
        <v>37504</v>
      </c>
      <c r="BA3905" s="3" t="s">
        <v>37504</v>
      </c>
      <c r="BB3905" s="3" t="s">
        <v>37509</v>
      </c>
      <c r="BC3905" s="3" t="s">
        <v>142</v>
      </c>
      <c r="BD3905" s="3" t="s">
        <v>68</v>
      </c>
      <c r="BE3905" s="3" t="s">
        <v>37506</v>
      </c>
      <c r="BF3905" s="3" t="s">
        <v>37509</v>
      </c>
      <c r="BG3905" s="3" t="s">
        <v>37510</v>
      </c>
    </row>
    <row r="3906" spans="1:59" ht="57" x14ac:dyDescent="0.45">
      <c r="A3906" s="2" t="s">
        <v>59</v>
      </c>
      <c r="B3906" s="2" t="s">
        <v>60</v>
      </c>
      <c r="C3906" s="2" t="s">
        <v>37511</v>
      </c>
      <c r="D3906" s="2" t="s">
        <v>37512</v>
      </c>
      <c r="E3906" s="2" t="s">
        <v>37513</v>
      </c>
      <c r="G3906" s="3" t="s">
        <v>62</v>
      </c>
      <c r="I3906" s="3" t="s">
        <v>62</v>
      </c>
      <c r="J3906" s="3" t="s">
        <v>62</v>
      </c>
      <c r="K3906" s="3" t="s">
        <v>63</v>
      </c>
      <c r="M3906" s="2" t="s">
        <v>37514</v>
      </c>
      <c r="N3906" s="3" t="s">
        <v>181</v>
      </c>
      <c r="P3906" s="3" t="s">
        <v>65</v>
      </c>
      <c r="Q3906" s="2" t="s">
        <v>37515</v>
      </c>
      <c r="R3906" s="3" t="s">
        <v>66</v>
      </c>
      <c r="S3906" s="4">
        <v>3</v>
      </c>
      <c r="T3906" s="4">
        <v>3</v>
      </c>
      <c r="U3906" s="5" t="s">
        <v>34256</v>
      </c>
      <c r="V3906" s="5" t="s">
        <v>34256</v>
      </c>
      <c r="W3906" s="5" t="s">
        <v>67</v>
      </c>
      <c r="X3906" s="5" t="s">
        <v>67</v>
      </c>
      <c r="Y3906" s="4">
        <v>42</v>
      </c>
      <c r="Z3906" s="4">
        <v>8</v>
      </c>
      <c r="AA3906" s="4">
        <v>9</v>
      </c>
      <c r="AB3906" s="4">
        <v>3</v>
      </c>
      <c r="AC3906" s="4">
        <v>4</v>
      </c>
      <c r="AD3906" s="4">
        <v>16</v>
      </c>
      <c r="AE3906" s="4">
        <v>17</v>
      </c>
      <c r="AF3906" s="4">
        <v>1</v>
      </c>
      <c r="AG3906" s="4">
        <v>2</v>
      </c>
      <c r="AH3906" s="4">
        <v>11</v>
      </c>
      <c r="AI3906" s="4">
        <v>11</v>
      </c>
      <c r="AJ3906" s="4">
        <v>6</v>
      </c>
      <c r="AK3906" s="4">
        <v>7</v>
      </c>
      <c r="AL3906" s="4">
        <v>5</v>
      </c>
      <c r="AM3906" s="4">
        <v>5</v>
      </c>
      <c r="AN3906" s="4">
        <v>0</v>
      </c>
      <c r="AO3906" s="4">
        <v>0</v>
      </c>
      <c r="AP3906" s="4">
        <v>6</v>
      </c>
      <c r="AQ3906" s="4">
        <v>6</v>
      </c>
      <c r="AR3906" s="3" t="s">
        <v>62</v>
      </c>
      <c r="AS3906" s="3" t="s">
        <v>62</v>
      </c>
      <c r="AT3906" s="3" t="s">
        <v>62</v>
      </c>
      <c r="AV3906" s="6" t="str">
        <f>HYPERLINK("http://mcgill.on.worldcat.org/oclc/931648122","Catalog Record")</f>
        <v>Catalog Record</v>
      </c>
      <c r="AW3906" s="6" t="str">
        <f>HYPERLINK("http://www.worldcat.org/oclc/931648122","WorldCat Record")</f>
        <v>WorldCat Record</v>
      </c>
      <c r="AX3906" s="3" t="s">
        <v>37516</v>
      </c>
      <c r="AY3906" s="3" t="s">
        <v>37517</v>
      </c>
      <c r="AZ3906" s="3" t="s">
        <v>37518</v>
      </c>
      <c r="BA3906" s="3" t="s">
        <v>37518</v>
      </c>
      <c r="BB3906" s="3" t="s">
        <v>37519</v>
      </c>
      <c r="BC3906" s="3" t="s">
        <v>142</v>
      </c>
      <c r="BD3906" s="3" t="s">
        <v>68</v>
      </c>
      <c r="BE3906" s="3" t="s">
        <v>37520</v>
      </c>
      <c r="BF3906" s="3" t="s">
        <v>37519</v>
      </c>
      <c r="BG3906" s="3" t="s">
        <v>37521</v>
      </c>
    </row>
    <row r="3907" spans="1:59" ht="57" x14ac:dyDescent="0.45">
      <c r="A3907" s="2" t="s">
        <v>59</v>
      </c>
      <c r="B3907" s="2" t="s">
        <v>60</v>
      </c>
      <c r="C3907" s="2" t="s">
        <v>37522</v>
      </c>
      <c r="D3907" s="2" t="s">
        <v>37523</v>
      </c>
      <c r="E3907" s="2" t="s">
        <v>37524</v>
      </c>
      <c r="G3907" s="3" t="s">
        <v>62</v>
      </c>
      <c r="I3907" s="3" t="s">
        <v>61</v>
      </c>
      <c r="J3907" s="3" t="s">
        <v>62</v>
      </c>
      <c r="K3907" s="3" t="s">
        <v>63</v>
      </c>
      <c r="L3907" s="2" t="s">
        <v>37525</v>
      </c>
      <c r="M3907" s="2" t="s">
        <v>37526</v>
      </c>
      <c r="N3907" s="3" t="s">
        <v>542</v>
      </c>
      <c r="P3907" s="3" t="s">
        <v>65</v>
      </c>
      <c r="R3907" s="3" t="s">
        <v>66</v>
      </c>
      <c r="S3907" s="4">
        <v>50</v>
      </c>
      <c r="T3907" s="4">
        <v>75</v>
      </c>
      <c r="U3907" s="5" t="s">
        <v>2059</v>
      </c>
      <c r="V3907" s="5" t="s">
        <v>2059</v>
      </c>
      <c r="W3907" s="5" t="s">
        <v>67</v>
      </c>
      <c r="X3907" s="5" t="s">
        <v>67</v>
      </c>
      <c r="Y3907" s="4">
        <v>210</v>
      </c>
      <c r="Z3907" s="4">
        <v>18</v>
      </c>
      <c r="AA3907" s="4">
        <v>23</v>
      </c>
      <c r="AB3907" s="4">
        <v>2</v>
      </c>
      <c r="AC3907" s="4">
        <v>4</v>
      </c>
      <c r="AD3907" s="4">
        <v>63</v>
      </c>
      <c r="AE3907" s="4">
        <v>67</v>
      </c>
      <c r="AF3907" s="4">
        <v>1</v>
      </c>
      <c r="AG3907" s="4">
        <v>3</v>
      </c>
      <c r="AH3907" s="4">
        <v>56</v>
      </c>
      <c r="AI3907" s="4">
        <v>58</v>
      </c>
      <c r="AJ3907" s="4">
        <v>13</v>
      </c>
      <c r="AK3907" s="4">
        <v>16</v>
      </c>
      <c r="AL3907" s="4">
        <v>34</v>
      </c>
      <c r="AM3907" s="4">
        <v>34</v>
      </c>
      <c r="AN3907" s="4">
        <v>0</v>
      </c>
      <c r="AO3907" s="4">
        <v>0</v>
      </c>
      <c r="AP3907" s="4">
        <v>14</v>
      </c>
      <c r="AQ3907" s="4">
        <v>18</v>
      </c>
      <c r="AR3907" s="3" t="s">
        <v>62</v>
      </c>
      <c r="AS3907" s="3" t="s">
        <v>62</v>
      </c>
      <c r="AT3907" s="3" t="s">
        <v>62</v>
      </c>
      <c r="AV3907" s="6" t="str">
        <f>HYPERLINK("http://mcgill.on.worldcat.org/oclc/46372941","Catalog Record")</f>
        <v>Catalog Record</v>
      </c>
      <c r="AW3907" s="6" t="str">
        <f>HYPERLINK("http://www.worldcat.org/oclc/46372941","WorldCat Record")</f>
        <v>WorldCat Record</v>
      </c>
      <c r="AX3907" s="3" t="s">
        <v>37527</v>
      </c>
      <c r="AY3907" s="3" t="s">
        <v>37528</v>
      </c>
      <c r="AZ3907" s="3" t="s">
        <v>37529</v>
      </c>
      <c r="BA3907" s="3" t="s">
        <v>37529</v>
      </c>
      <c r="BB3907" s="3" t="s">
        <v>37530</v>
      </c>
      <c r="BC3907" s="3" t="s">
        <v>142</v>
      </c>
      <c r="BD3907" s="3" t="s">
        <v>68</v>
      </c>
      <c r="BE3907" s="3" t="s">
        <v>37531</v>
      </c>
      <c r="BF3907" s="3" t="s">
        <v>37530</v>
      </c>
      <c r="BG3907" s="3" t="s">
        <v>37532</v>
      </c>
    </row>
    <row r="3908" spans="1:59" ht="57" x14ac:dyDescent="0.45">
      <c r="A3908" s="2" t="s">
        <v>59</v>
      </c>
      <c r="B3908" s="2" t="s">
        <v>60</v>
      </c>
      <c r="C3908" s="2" t="s">
        <v>37522</v>
      </c>
      <c r="D3908" s="2" t="s">
        <v>37523</v>
      </c>
      <c r="E3908" s="2" t="s">
        <v>37524</v>
      </c>
      <c r="G3908" s="3" t="s">
        <v>62</v>
      </c>
      <c r="I3908" s="3" t="s">
        <v>61</v>
      </c>
      <c r="J3908" s="3" t="s">
        <v>62</v>
      </c>
      <c r="K3908" s="3" t="s">
        <v>63</v>
      </c>
      <c r="L3908" s="2" t="s">
        <v>37525</v>
      </c>
      <c r="M3908" s="2" t="s">
        <v>37526</v>
      </c>
      <c r="N3908" s="3" t="s">
        <v>542</v>
      </c>
      <c r="P3908" s="3" t="s">
        <v>65</v>
      </c>
      <c r="R3908" s="3" t="s">
        <v>66</v>
      </c>
      <c r="S3908" s="4">
        <v>25</v>
      </c>
      <c r="T3908" s="4">
        <v>75</v>
      </c>
      <c r="U3908" s="5" t="s">
        <v>37533</v>
      </c>
      <c r="V3908" s="5" t="s">
        <v>2059</v>
      </c>
      <c r="W3908" s="5" t="s">
        <v>67</v>
      </c>
      <c r="X3908" s="5" t="s">
        <v>67</v>
      </c>
      <c r="Y3908" s="4">
        <v>210</v>
      </c>
      <c r="Z3908" s="4">
        <v>18</v>
      </c>
      <c r="AA3908" s="4">
        <v>23</v>
      </c>
      <c r="AB3908" s="4">
        <v>2</v>
      </c>
      <c r="AC3908" s="4">
        <v>4</v>
      </c>
      <c r="AD3908" s="4">
        <v>63</v>
      </c>
      <c r="AE3908" s="4">
        <v>67</v>
      </c>
      <c r="AF3908" s="4">
        <v>1</v>
      </c>
      <c r="AG3908" s="4">
        <v>3</v>
      </c>
      <c r="AH3908" s="4">
        <v>56</v>
      </c>
      <c r="AI3908" s="4">
        <v>58</v>
      </c>
      <c r="AJ3908" s="4">
        <v>13</v>
      </c>
      <c r="AK3908" s="4">
        <v>16</v>
      </c>
      <c r="AL3908" s="4">
        <v>34</v>
      </c>
      <c r="AM3908" s="4">
        <v>34</v>
      </c>
      <c r="AN3908" s="4">
        <v>0</v>
      </c>
      <c r="AO3908" s="4">
        <v>0</v>
      </c>
      <c r="AP3908" s="4">
        <v>14</v>
      </c>
      <c r="AQ3908" s="4">
        <v>18</v>
      </c>
      <c r="AR3908" s="3" t="s">
        <v>62</v>
      </c>
      <c r="AS3908" s="3" t="s">
        <v>62</v>
      </c>
      <c r="AT3908" s="3" t="s">
        <v>62</v>
      </c>
      <c r="AV3908" s="6" t="str">
        <f>HYPERLINK("http://mcgill.on.worldcat.org/oclc/46372941","Catalog Record")</f>
        <v>Catalog Record</v>
      </c>
      <c r="AW3908" s="6" t="str">
        <f>HYPERLINK("http://www.worldcat.org/oclc/46372941","WorldCat Record")</f>
        <v>WorldCat Record</v>
      </c>
      <c r="AX3908" s="3" t="s">
        <v>37527</v>
      </c>
      <c r="AY3908" s="3" t="s">
        <v>37528</v>
      </c>
      <c r="AZ3908" s="3" t="s">
        <v>37529</v>
      </c>
      <c r="BA3908" s="3" t="s">
        <v>37529</v>
      </c>
      <c r="BB3908" s="3" t="s">
        <v>37534</v>
      </c>
      <c r="BC3908" s="3" t="s">
        <v>142</v>
      </c>
      <c r="BD3908" s="3" t="s">
        <v>68</v>
      </c>
      <c r="BE3908" s="3" t="s">
        <v>37531</v>
      </c>
      <c r="BF3908" s="3" t="s">
        <v>37534</v>
      </c>
      <c r="BG3908" s="3" t="s">
        <v>37535</v>
      </c>
    </row>
    <row r="3909" spans="1:59" ht="57" x14ac:dyDescent="0.45">
      <c r="A3909" s="2" t="s">
        <v>59</v>
      </c>
      <c r="B3909" s="2" t="s">
        <v>60</v>
      </c>
      <c r="C3909" s="2" t="s">
        <v>37536</v>
      </c>
      <c r="D3909" s="2" t="s">
        <v>37537</v>
      </c>
      <c r="E3909" s="2" t="s">
        <v>37538</v>
      </c>
      <c r="G3909" s="3" t="s">
        <v>62</v>
      </c>
      <c r="I3909" s="3" t="s">
        <v>62</v>
      </c>
      <c r="J3909" s="3" t="s">
        <v>62</v>
      </c>
      <c r="K3909" s="3" t="s">
        <v>63</v>
      </c>
      <c r="L3909" s="2" t="s">
        <v>37539</v>
      </c>
      <c r="M3909" s="2" t="s">
        <v>2739</v>
      </c>
      <c r="N3909" s="3" t="s">
        <v>149</v>
      </c>
      <c r="P3909" s="3" t="s">
        <v>65</v>
      </c>
      <c r="Q3909" s="2" t="s">
        <v>37540</v>
      </c>
      <c r="R3909" s="3" t="s">
        <v>66</v>
      </c>
      <c r="S3909" s="4">
        <v>2</v>
      </c>
      <c r="T3909" s="4">
        <v>2</v>
      </c>
      <c r="U3909" s="5" t="s">
        <v>4276</v>
      </c>
      <c r="V3909" s="5" t="s">
        <v>4276</v>
      </c>
      <c r="W3909" s="5" t="s">
        <v>67</v>
      </c>
      <c r="X3909" s="5" t="s">
        <v>67</v>
      </c>
      <c r="Y3909" s="4">
        <v>77</v>
      </c>
      <c r="Z3909" s="4">
        <v>11</v>
      </c>
      <c r="AA3909" s="4">
        <v>95</v>
      </c>
      <c r="AB3909" s="4">
        <v>2</v>
      </c>
      <c r="AC3909" s="4">
        <v>17</v>
      </c>
      <c r="AD3909" s="4">
        <v>36</v>
      </c>
      <c r="AE3909" s="4">
        <v>109</v>
      </c>
      <c r="AF3909" s="4">
        <v>1</v>
      </c>
      <c r="AG3909" s="4">
        <v>8</v>
      </c>
      <c r="AH3909" s="4">
        <v>32</v>
      </c>
      <c r="AI3909" s="4">
        <v>73</v>
      </c>
      <c r="AJ3909" s="4">
        <v>8</v>
      </c>
      <c r="AK3909" s="4">
        <v>23</v>
      </c>
      <c r="AL3909" s="4">
        <v>23</v>
      </c>
      <c r="AM3909" s="4">
        <v>38</v>
      </c>
      <c r="AN3909" s="4">
        <v>0</v>
      </c>
      <c r="AO3909" s="4">
        <v>0</v>
      </c>
      <c r="AP3909" s="4">
        <v>8</v>
      </c>
      <c r="AQ3909" s="4">
        <v>44</v>
      </c>
      <c r="AR3909" s="3" t="s">
        <v>62</v>
      </c>
      <c r="AS3909" s="3" t="s">
        <v>62</v>
      </c>
      <c r="AT3909" s="3" t="s">
        <v>62</v>
      </c>
      <c r="AV3909" s="6" t="str">
        <f>HYPERLINK("http://mcgill.on.worldcat.org/oclc/503307987","Catalog Record")</f>
        <v>Catalog Record</v>
      </c>
      <c r="AW3909" s="6" t="str">
        <f>HYPERLINK("http://www.worldcat.org/oclc/503307987","WorldCat Record")</f>
        <v>WorldCat Record</v>
      </c>
      <c r="AX3909" s="3" t="s">
        <v>37541</v>
      </c>
      <c r="AY3909" s="3" t="s">
        <v>37542</v>
      </c>
      <c r="AZ3909" s="3" t="s">
        <v>37543</v>
      </c>
      <c r="BA3909" s="3" t="s">
        <v>37543</v>
      </c>
      <c r="BB3909" s="3" t="s">
        <v>37544</v>
      </c>
      <c r="BC3909" s="3" t="s">
        <v>142</v>
      </c>
      <c r="BD3909" s="3" t="s">
        <v>68</v>
      </c>
      <c r="BE3909" s="3" t="s">
        <v>37545</v>
      </c>
      <c r="BF3909" s="3" t="s">
        <v>37544</v>
      </c>
      <c r="BG3909" s="3" t="s">
        <v>37546</v>
      </c>
    </row>
    <row r="3910" spans="1:59" ht="85.5" x14ac:dyDescent="0.45">
      <c r="A3910" s="2" t="s">
        <v>59</v>
      </c>
      <c r="B3910" s="2" t="s">
        <v>5257</v>
      </c>
      <c r="C3910" s="2" t="s">
        <v>37547</v>
      </c>
      <c r="D3910" s="2" t="s">
        <v>37548</v>
      </c>
      <c r="E3910" s="2" t="s">
        <v>37549</v>
      </c>
      <c r="G3910" s="3" t="s">
        <v>62</v>
      </c>
      <c r="I3910" s="3" t="s">
        <v>62</v>
      </c>
      <c r="J3910" s="3" t="s">
        <v>62</v>
      </c>
      <c r="K3910" s="3" t="s">
        <v>63</v>
      </c>
      <c r="L3910" s="2" t="s">
        <v>37550</v>
      </c>
      <c r="M3910" s="2" t="s">
        <v>37551</v>
      </c>
      <c r="N3910" s="3" t="s">
        <v>894</v>
      </c>
      <c r="P3910" s="3" t="s">
        <v>65</v>
      </c>
      <c r="R3910" s="3" t="s">
        <v>66</v>
      </c>
      <c r="S3910" s="4">
        <v>0</v>
      </c>
      <c r="T3910" s="4">
        <v>0</v>
      </c>
      <c r="W3910" s="5" t="s">
        <v>67</v>
      </c>
      <c r="X3910" s="5" t="s">
        <v>67</v>
      </c>
      <c r="Y3910" s="4">
        <v>36</v>
      </c>
      <c r="Z3910" s="4">
        <v>6</v>
      </c>
      <c r="AA3910" s="4">
        <v>8</v>
      </c>
      <c r="AB3910" s="4">
        <v>2</v>
      </c>
      <c r="AC3910" s="4">
        <v>4</v>
      </c>
      <c r="AD3910" s="4">
        <v>15</v>
      </c>
      <c r="AE3910" s="4">
        <v>17</v>
      </c>
      <c r="AF3910" s="4">
        <v>1</v>
      </c>
      <c r="AG3910" s="4">
        <v>3</v>
      </c>
      <c r="AH3910" s="4">
        <v>14</v>
      </c>
      <c r="AI3910" s="4">
        <v>15</v>
      </c>
      <c r="AJ3910" s="4">
        <v>5</v>
      </c>
      <c r="AK3910" s="4">
        <v>7</v>
      </c>
      <c r="AL3910" s="4">
        <v>5</v>
      </c>
      <c r="AM3910" s="4">
        <v>5</v>
      </c>
      <c r="AN3910" s="4">
        <v>0</v>
      </c>
      <c r="AO3910" s="4">
        <v>0</v>
      </c>
      <c r="AP3910" s="4">
        <v>5</v>
      </c>
      <c r="AQ3910" s="4">
        <v>7</v>
      </c>
      <c r="AR3910" s="3" t="s">
        <v>62</v>
      </c>
      <c r="AS3910" s="3" t="s">
        <v>62</v>
      </c>
      <c r="AT3910" s="3" t="s">
        <v>62</v>
      </c>
      <c r="AV3910" s="6" t="str">
        <f>HYPERLINK("http://mcgill.on.worldcat.org/oclc/690584819","Catalog Record")</f>
        <v>Catalog Record</v>
      </c>
      <c r="AW3910" s="6" t="str">
        <f>HYPERLINK("http://www.worldcat.org/oclc/690584819","WorldCat Record")</f>
        <v>WorldCat Record</v>
      </c>
      <c r="AX3910" s="3" t="s">
        <v>37552</v>
      </c>
      <c r="AY3910" s="3" t="s">
        <v>37553</v>
      </c>
      <c r="AZ3910" s="3" t="s">
        <v>37554</v>
      </c>
      <c r="BA3910" s="3" t="s">
        <v>37554</v>
      </c>
      <c r="BB3910" s="3" t="s">
        <v>37555</v>
      </c>
      <c r="BC3910" s="3" t="s">
        <v>142</v>
      </c>
      <c r="BD3910" s="3" t="s">
        <v>68</v>
      </c>
      <c r="BE3910" s="3" t="s">
        <v>37556</v>
      </c>
      <c r="BF3910" s="3" t="s">
        <v>37555</v>
      </c>
      <c r="BG3910" s="3" t="s">
        <v>37557</v>
      </c>
    </row>
    <row r="3911" spans="1:59" ht="57" x14ac:dyDescent="0.45">
      <c r="A3911" s="2" t="s">
        <v>59</v>
      </c>
      <c r="B3911" s="2" t="s">
        <v>60</v>
      </c>
      <c r="C3911" s="2" t="s">
        <v>37558</v>
      </c>
      <c r="D3911" s="2" t="s">
        <v>37559</v>
      </c>
      <c r="E3911" s="2" t="s">
        <v>37560</v>
      </c>
      <c r="G3911" s="3" t="s">
        <v>62</v>
      </c>
      <c r="I3911" s="3" t="s">
        <v>62</v>
      </c>
      <c r="J3911" s="3" t="s">
        <v>62</v>
      </c>
      <c r="K3911" s="3" t="s">
        <v>63</v>
      </c>
      <c r="M3911" s="2" t="s">
        <v>6067</v>
      </c>
      <c r="N3911" s="3" t="s">
        <v>894</v>
      </c>
      <c r="P3911" s="3" t="s">
        <v>65</v>
      </c>
      <c r="Q3911" s="2" t="s">
        <v>37561</v>
      </c>
      <c r="R3911" s="3" t="s">
        <v>66</v>
      </c>
      <c r="S3911" s="4">
        <v>8</v>
      </c>
      <c r="T3911" s="4">
        <v>8</v>
      </c>
      <c r="U3911" s="5" t="s">
        <v>21665</v>
      </c>
      <c r="V3911" s="5" t="s">
        <v>21665</v>
      </c>
      <c r="W3911" s="5" t="s">
        <v>67</v>
      </c>
      <c r="X3911" s="5" t="s">
        <v>67</v>
      </c>
      <c r="Y3911" s="4">
        <v>163</v>
      </c>
      <c r="Z3911" s="4">
        <v>14</v>
      </c>
      <c r="AA3911" s="4">
        <v>79</v>
      </c>
      <c r="AB3911" s="4">
        <v>2</v>
      </c>
      <c r="AC3911" s="4">
        <v>14</v>
      </c>
      <c r="AD3911" s="4">
        <v>48</v>
      </c>
      <c r="AE3911" s="4">
        <v>102</v>
      </c>
      <c r="AF3911" s="4">
        <v>1</v>
      </c>
      <c r="AG3911" s="4">
        <v>8</v>
      </c>
      <c r="AH3911" s="4">
        <v>44</v>
      </c>
      <c r="AI3911" s="4">
        <v>69</v>
      </c>
      <c r="AJ3911" s="4">
        <v>11</v>
      </c>
      <c r="AK3911" s="4">
        <v>22</v>
      </c>
      <c r="AL3911" s="4">
        <v>22</v>
      </c>
      <c r="AM3911" s="4">
        <v>34</v>
      </c>
      <c r="AN3911" s="4">
        <v>0</v>
      </c>
      <c r="AO3911" s="4">
        <v>0</v>
      </c>
      <c r="AP3911" s="4">
        <v>11</v>
      </c>
      <c r="AQ3911" s="4">
        <v>42</v>
      </c>
      <c r="AR3911" s="3" t="s">
        <v>62</v>
      </c>
      <c r="AS3911" s="3" t="s">
        <v>62</v>
      </c>
      <c r="AT3911" s="3" t="s">
        <v>62</v>
      </c>
      <c r="AV3911" s="6" t="str">
        <f>HYPERLINK("http://mcgill.on.worldcat.org/oclc/693810282","Catalog Record")</f>
        <v>Catalog Record</v>
      </c>
      <c r="AW3911" s="6" t="str">
        <f>HYPERLINK("http://www.worldcat.org/oclc/693810282","WorldCat Record")</f>
        <v>WorldCat Record</v>
      </c>
      <c r="AX3911" s="3" t="s">
        <v>37562</v>
      </c>
      <c r="AY3911" s="3" t="s">
        <v>37563</v>
      </c>
      <c r="AZ3911" s="3" t="s">
        <v>37564</v>
      </c>
      <c r="BA3911" s="3" t="s">
        <v>37564</v>
      </c>
      <c r="BB3911" s="3" t="s">
        <v>37565</v>
      </c>
      <c r="BC3911" s="3" t="s">
        <v>142</v>
      </c>
      <c r="BD3911" s="3" t="s">
        <v>68</v>
      </c>
      <c r="BE3911" s="3" t="s">
        <v>37566</v>
      </c>
      <c r="BF3911" s="3" t="s">
        <v>37565</v>
      </c>
      <c r="BG3911" s="3" t="s">
        <v>37567</v>
      </c>
    </row>
    <row r="3912" spans="1:59" ht="57" x14ac:dyDescent="0.45">
      <c r="A3912" s="2" t="s">
        <v>59</v>
      </c>
      <c r="B3912" s="2" t="s">
        <v>60</v>
      </c>
      <c r="C3912" s="2" t="s">
        <v>37568</v>
      </c>
      <c r="D3912" s="2" t="s">
        <v>37569</v>
      </c>
      <c r="E3912" s="2" t="s">
        <v>37570</v>
      </c>
      <c r="G3912" s="3" t="s">
        <v>62</v>
      </c>
      <c r="I3912" s="3" t="s">
        <v>61</v>
      </c>
      <c r="J3912" s="3" t="s">
        <v>62</v>
      </c>
      <c r="K3912" s="3" t="s">
        <v>63</v>
      </c>
      <c r="M3912" s="2" t="s">
        <v>37571</v>
      </c>
      <c r="N3912" s="3" t="s">
        <v>894</v>
      </c>
      <c r="P3912" s="3" t="s">
        <v>65</v>
      </c>
      <c r="Q3912" s="2" t="s">
        <v>3338</v>
      </c>
      <c r="R3912" s="3" t="s">
        <v>66</v>
      </c>
      <c r="S3912" s="4">
        <v>5</v>
      </c>
      <c r="T3912" s="4">
        <v>8</v>
      </c>
      <c r="U3912" s="5" t="s">
        <v>37572</v>
      </c>
      <c r="V3912" s="5" t="s">
        <v>5337</v>
      </c>
      <c r="W3912" s="5" t="s">
        <v>67</v>
      </c>
      <c r="X3912" s="5" t="s">
        <v>67</v>
      </c>
      <c r="Y3912" s="4">
        <v>260</v>
      </c>
      <c r="Z3912" s="4">
        <v>17</v>
      </c>
      <c r="AA3912" s="4">
        <v>97</v>
      </c>
      <c r="AB3912" s="4">
        <v>2</v>
      </c>
      <c r="AC3912" s="4">
        <v>18</v>
      </c>
      <c r="AD3912" s="4">
        <v>75</v>
      </c>
      <c r="AE3912" s="4">
        <v>139</v>
      </c>
      <c r="AF3912" s="4">
        <v>1</v>
      </c>
      <c r="AG3912" s="4">
        <v>8</v>
      </c>
      <c r="AH3912" s="4">
        <v>66</v>
      </c>
      <c r="AI3912" s="4">
        <v>100</v>
      </c>
      <c r="AJ3912" s="4">
        <v>13</v>
      </c>
      <c r="AK3912" s="4">
        <v>25</v>
      </c>
      <c r="AL3912" s="4">
        <v>38</v>
      </c>
      <c r="AM3912" s="4">
        <v>54</v>
      </c>
      <c r="AN3912" s="4">
        <v>0</v>
      </c>
      <c r="AO3912" s="4">
        <v>0</v>
      </c>
      <c r="AP3912" s="4">
        <v>14</v>
      </c>
      <c r="AQ3912" s="4">
        <v>46</v>
      </c>
      <c r="AR3912" s="3" t="s">
        <v>62</v>
      </c>
      <c r="AS3912" s="3" t="s">
        <v>62</v>
      </c>
      <c r="AT3912" s="3" t="s">
        <v>62</v>
      </c>
      <c r="AV3912" s="6" t="str">
        <f>HYPERLINK("http://mcgill.on.worldcat.org/oclc/648934561","Catalog Record")</f>
        <v>Catalog Record</v>
      </c>
      <c r="AW3912" s="6" t="str">
        <f>HYPERLINK("http://www.worldcat.org/oclc/648934561","WorldCat Record")</f>
        <v>WorldCat Record</v>
      </c>
      <c r="AX3912" s="3" t="s">
        <v>37573</v>
      </c>
      <c r="AY3912" s="3" t="s">
        <v>37574</v>
      </c>
      <c r="AZ3912" s="3" t="s">
        <v>37575</v>
      </c>
      <c r="BA3912" s="3" t="s">
        <v>37575</v>
      </c>
      <c r="BB3912" s="3" t="s">
        <v>37576</v>
      </c>
      <c r="BC3912" s="3" t="s">
        <v>142</v>
      </c>
      <c r="BD3912" s="3" t="s">
        <v>68</v>
      </c>
      <c r="BE3912" s="3" t="s">
        <v>37577</v>
      </c>
      <c r="BF3912" s="3" t="s">
        <v>37576</v>
      </c>
      <c r="BG3912" s="3" t="s">
        <v>37578</v>
      </c>
    </row>
    <row r="3913" spans="1:59" ht="57" x14ac:dyDescent="0.45">
      <c r="A3913" s="2" t="s">
        <v>59</v>
      </c>
      <c r="B3913" s="2" t="s">
        <v>60</v>
      </c>
      <c r="C3913" s="2" t="s">
        <v>37568</v>
      </c>
      <c r="D3913" s="2" t="s">
        <v>37569</v>
      </c>
      <c r="E3913" s="2" t="s">
        <v>37570</v>
      </c>
      <c r="G3913" s="3" t="s">
        <v>62</v>
      </c>
      <c r="I3913" s="3" t="s">
        <v>61</v>
      </c>
      <c r="J3913" s="3" t="s">
        <v>62</v>
      </c>
      <c r="K3913" s="3" t="s">
        <v>63</v>
      </c>
      <c r="M3913" s="2" t="s">
        <v>37571</v>
      </c>
      <c r="N3913" s="3" t="s">
        <v>894</v>
      </c>
      <c r="P3913" s="3" t="s">
        <v>65</v>
      </c>
      <c r="Q3913" s="2" t="s">
        <v>3338</v>
      </c>
      <c r="R3913" s="3" t="s">
        <v>66</v>
      </c>
      <c r="S3913" s="4">
        <v>3</v>
      </c>
      <c r="T3913" s="4">
        <v>8</v>
      </c>
      <c r="U3913" s="5" t="s">
        <v>5337</v>
      </c>
      <c r="V3913" s="5" t="s">
        <v>5337</v>
      </c>
      <c r="W3913" s="5" t="s">
        <v>67</v>
      </c>
      <c r="X3913" s="5" t="s">
        <v>67</v>
      </c>
      <c r="Y3913" s="4">
        <v>260</v>
      </c>
      <c r="Z3913" s="4">
        <v>17</v>
      </c>
      <c r="AA3913" s="4">
        <v>97</v>
      </c>
      <c r="AB3913" s="4">
        <v>2</v>
      </c>
      <c r="AC3913" s="4">
        <v>18</v>
      </c>
      <c r="AD3913" s="4">
        <v>75</v>
      </c>
      <c r="AE3913" s="4">
        <v>139</v>
      </c>
      <c r="AF3913" s="4">
        <v>1</v>
      </c>
      <c r="AG3913" s="4">
        <v>8</v>
      </c>
      <c r="AH3913" s="4">
        <v>66</v>
      </c>
      <c r="AI3913" s="4">
        <v>100</v>
      </c>
      <c r="AJ3913" s="4">
        <v>13</v>
      </c>
      <c r="AK3913" s="4">
        <v>25</v>
      </c>
      <c r="AL3913" s="4">
        <v>38</v>
      </c>
      <c r="AM3913" s="4">
        <v>54</v>
      </c>
      <c r="AN3913" s="4">
        <v>0</v>
      </c>
      <c r="AO3913" s="4">
        <v>0</v>
      </c>
      <c r="AP3913" s="4">
        <v>14</v>
      </c>
      <c r="AQ3913" s="4">
        <v>46</v>
      </c>
      <c r="AR3913" s="3" t="s">
        <v>62</v>
      </c>
      <c r="AS3913" s="3" t="s">
        <v>62</v>
      </c>
      <c r="AT3913" s="3" t="s">
        <v>62</v>
      </c>
      <c r="AV3913" s="6" t="str">
        <f>HYPERLINK("http://mcgill.on.worldcat.org/oclc/648934561","Catalog Record")</f>
        <v>Catalog Record</v>
      </c>
      <c r="AW3913" s="6" t="str">
        <f>HYPERLINK("http://www.worldcat.org/oclc/648934561","WorldCat Record")</f>
        <v>WorldCat Record</v>
      </c>
      <c r="AX3913" s="3" t="s">
        <v>37573</v>
      </c>
      <c r="AY3913" s="3" t="s">
        <v>37574</v>
      </c>
      <c r="AZ3913" s="3" t="s">
        <v>37575</v>
      </c>
      <c r="BA3913" s="3" t="s">
        <v>37575</v>
      </c>
      <c r="BB3913" s="3" t="s">
        <v>37579</v>
      </c>
      <c r="BC3913" s="3" t="s">
        <v>142</v>
      </c>
      <c r="BD3913" s="3" t="s">
        <v>68</v>
      </c>
      <c r="BE3913" s="3" t="s">
        <v>37577</v>
      </c>
      <c r="BF3913" s="3" t="s">
        <v>37579</v>
      </c>
      <c r="BG3913" s="3" t="s">
        <v>37580</v>
      </c>
    </row>
    <row r="3914" spans="1:59" ht="85.5" x14ac:dyDescent="0.45">
      <c r="A3914" s="2" t="s">
        <v>59</v>
      </c>
      <c r="B3914" s="2" t="s">
        <v>5257</v>
      </c>
      <c r="C3914" s="2" t="s">
        <v>37581</v>
      </c>
      <c r="D3914" s="2" t="s">
        <v>37582</v>
      </c>
      <c r="E3914" s="2" t="s">
        <v>37583</v>
      </c>
      <c r="G3914" s="3" t="s">
        <v>62</v>
      </c>
      <c r="I3914" s="3" t="s">
        <v>62</v>
      </c>
      <c r="J3914" s="3" t="s">
        <v>62</v>
      </c>
      <c r="K3914" s="3" t="s">
        <v>63</v>
      </c>
      <c r="M3914" s="2" t="s">
        <v>6067</v>
      </c>
      <c r="N3914" s="3" t="s">
        <v>894</v>
      </c>
      <c r="P3914" s="3" t="s">
        <v>65</v>
      </c>
      <c r="Q3914" s="2" t="s">
        <v>7948</v>
      </c>
      <c r="R3914" s="3" t="s">
        <v>66</v>
      </c>
      <c r="S3914" s="4">
        <v>0</v>
      </c>
      <c r="T3914" s="4">
        <v>0</v>
      </c>
      <c r="W3914" s="5" t="s">
        <v>67</v>
      </c>
      <c r="X3914" s="5" t="s">
        <v>67</v>
      </c>
      <c r="Y3914" s="4">
        <v>107</v>
      </c>
      <c r="Z3914" s="4">
        <v>17</v>
      </c>
      <c r="AA3914" s="4">
        <v>89</v>
      </c>
      <c r="AB3914" s="4">
        <v>2</v>
      </c>
      <c r="AC3914" s="4">
        <v>17</v>
      </c>
      <c r="AD3914" s="4">
        <v>41</v>
      </c>
      <c r="AE3914" s="4">
        <v>113</v>
      </c>
      <c r="AF3914" s="4">
        <v>1</v>
      </c>
      <c r="AG3914" s="4">
        <v>8</v>
      </c>
      <c r="AH3914" s="4">
        <v>35</v>
      </c>
      <c r="AI3914" s="4">
        <v>78</v>
      </c>
      <c r="AJ3914" s="4">
        <v>15</v>
      </c>
      <c r="AK3914" s="4">
        <v>26</v>
      </c>
      <c r="AL3914" s="4">
        <v>18</v>
      </c>
      <c r="AM3914" s="4">
        <v>37</v>
      </c>
      <c r="AN3914" s="4">
        <v>0</v>
      </c>
      <c r="AO3914" s="4">
        <v>0</v>
      </c>
      <c r="AP3914" s="4">
        <v>15</v>
      </c>
      <c r="AQ3914" s="4">
        <v>46</v>
      </c>
      <c r="AR3914" s="3" t="s">
        <v>62</v>
      </c>
      <c r="AS3914" s="3" t="s">
        <v>62</v>
      </c>
      <c r="AT3914" s="3" t="s">
        <v>62</v>
      </c>
      <c r="AV3914" s="6" t="str">
        <f>HYPERLINK("http://mcgill.on.worldcat.org/oclc/728840652","Catalog Record")</f>
        <v>Catalog Record</v>
      </c>
      <c r="AW3914" s="6" t="str">
        <f>HYPERLINK("http://www.worldcat.org/oclc/728840652","WorldCat Record")</f>
        <v>WorldCat Record</v>
      </c>
      <c r="AX3914" s="3" t="s">
        <v>37584</v>
      </c>
      <c r="AY3914" s="3" t="s">
        <v>37585</v>
      </c>
      <c r="AZ3914" s="3" t="s">
        <v>37586</v>
      </c>
      <c r="BA3914" s="3" t="s">
        <v>37586</v>
      </c>
      <c r="BB3914" s="3" t="s">
        <v>37587</v>
      </c>
      <c r="BC3914" s="3" t="s">
        <v>142</v>
      </c>
      <c r="BD3914" s="3" t="s">
        <v>68</v>
      </c>
      <c r="BE3914" s="3" t="s">
        <v>37588</v>
      </c>
      <c r="BF3914" s="3" t="s">
        <v>37587</v>
      </c>
      <c r="BG3914" s="3" t="s">
        <v>37589</v>
      </c>
    </row>
    <row r="3915" spans="1:59" ht="57" x14ac:dyDescent="0.45">
      <c r="A3915" s="2" t="s">
        <v>59</v>
      </c>
      <c r="B3915" s="2" t="s">
        <v>60</v>
      </c>
      <c r="C3915" s="2" t="s">
        <v>37590</v>
      </c>
      <c r="D3915" s="2" t="s">
        <v>37591</v>
      </c>
      <c r="E3915" s="2" t="s">
        <v>37592</v>
      </c>
      <c r="G3915" s="3" t="s">
        <v>62</v>
      </c>
      <c r="I3915" s="3" t="s">
        <v>62</v>
      </c>
      <c r="J3915" s="3" t="s">
        <v>62</v>
      </c>
      <c r="K3915" s="3" t="s">
        <v>63</v>
      </c>
      <c r="M3915" s="2" t="s">
        <v>37593</v>
      </c>
      <c r="N3915" s="3" t="s">
        <v>1465</v>
      </c>
      <c r="P3915" s="3" t="s">
        <v>65</v>
      </c>
      <c r="Q3915" s="2" t="s">
        <v>7948</v>
      </c>
      <c r="R3915" s="3" t="s">
        <v>66</v>
      </c>
      <c r="S3915" s="4">
        <v>7</v>
      </c>
      <c r="T3915" s="4">
        <v>7</v>
      </c>
      <c r="U3915" s="5" t="s">
        <v>37572</v>
      </c>
      <c r="V3915" s="5" t="s">
        <v>37572</v>
      </c>
      <c r="W3915" s="5" t="s">
        <v>67</v>
      </c>
      <c r="X3915" s="5" t="s">
        <v>67</v>
      </c>
      <c r="Y3915" s="4">
        <v>153</v>
      </c>
      <c r="Z3915" s="4">
        <v>19</v>
      </c>
      <c r="AA3915" s="4">
        <v>101</v>
      </c>
      <c r="AB3915" s="4">
        <v>2</v>
      </c>
      <c r="AC3915" s="4">
        <v>17</v>
      </c>
      <c r="AD3915" s="4">
        <v>60</v>
      </c>
      <c r="AE3915" s="4">
        <v>118</v>
      </c>
      <c r="AF3915" s="4">
        <v>1</v>
      </c>
      <c r="AG3915" s="4">
        <v>8</v>
      </c>
      <c r="AH3915" s="4">
        <v>53</v>
      </c>
      <c r="AI3915" s="4">
        <v>82</v>
      </c>
      <c r="AJ3915" s="4">
        <v>15</v>
      </c>
      <c r="AK3915" s="4">
        <v>25</v>
      </c>
      <c r="AL3915" s="4">
        <v>32</v>
      </c>
      <c r="AM3915" s="4">
        <v>41</v>
      </c>
      <c r="AN3915" s="4">
        <v>0</v>
      </c>
      <c r="AO3915" s="4">
        <v>0</v>
      </c>
      <c r="AP3915" s="4">
        <v>15</v>
      </c>
      <c r="AQ3915" s="4">
        <v>46</v>
      </c>
      <c r="AR3915" s="3" t="s">
        <v>62</v>
      </c>
      <c r="AS3915" s="3" t="s">
        <v>62</v>
      </c>
      <c r="AT3915" s="3" t="s">
        <v>61</v>
      </c>
      <c r="AU3915" s="6" t="str">
        <f>HYPERLINK("http://catalog.hathitrust.org/Record/005963134","HathiTrust Record")</f>
        <v>HathiTrust Record</v>
      </c>
      <c r="AV3915" s="6" t="str">
        <f>HYPERLINK("http://mcgill.on.worldcat.org/oclc/232921706","Catalog Record")</f>
        <v>Catalog Record</v>
      </c>
      <c r="AW3915" s="6" t="str">
        <f>HYPERLINK("http://www.worldcat.org/oclc/232921706","WorldCat Record")</f>
        <v>WorldCat Record</v>
      </c>
      <c r="AX3915" s="3" t="s">
        <v>37594</v>
      </c>
      <c r="AY3915" s="3" t="s">
        <v>37595</v>
      </c>
      <c r="AZ3915" s="3" t="s">
        <v>37596</v>
      </c>
      <c r="BA3915" s="3" t="s">
        <v>37596</v>
      </c>
      <c r="BB3915" s="3" t="s">
        <v>37597</v>
      </c>
      <c r="BC3915" s="3" t="s">
        <v>142</v>
      </c>
      <c r="BD3915" s="3" t="s">
        <v>68</v>
      </c>
      <c r="BE3915" s="3" t="s">
        <v>37598</v>
      </c>
      <c r="BF3915" s="3" t="s">
        <v>37597</v>
      </c>
      <c r="BG3915" s="3" t="s">
        <v>37599</v>
      </c>
    </row>
    <row r="3916" spans="1:59" ht="57" x14ac:dyDescent="0.45">
      <c r="A3916" s="2" t="s">
        <v>59</v>
      </c>
      <c r="B3916" s="2" t="s">
        <v>60</v>
      </c>
      <c r="C3916" s="2" t="s">
        <v>37600</v>
      </c>
      <c r="D3916" s="2" t="s">
        <v>37601</v>
      </c>
      <c r="E3916" s="2" t="s">
        <v>37602</v>
      </c>
      <c r="G3916" s="3" t="s">
        <v>62</v>
      </c>
      <c r="I3916" s="3" t="s">
        <v>62</v>
      </c>
      <c r="J3916" s="3" t="s">
        <v>62</v>
      </c>
      <c r="K3916" s="3" t="s">
        <v>63</v>
      </c>
      <c r="M3916" s="2" t="s">
        <v>5074</v>
      </c>
      <c r="N3916" s="3" t="s">
        <v>1855</v>
      </c>
      <c r="P3916" s="3" t="s">
        <v>65</v>
      </c>
      <c r="Q3916" s="2" t="s">
        <v>37603</v>
      </c>
      <c r="R3916" s="3" t="s">
        <v>66</v>
      </c>
      <c r="S3916" s="4">
        <v>10</v>
      </c>
      <c r="T3916" s="4">
        <v>10</v>
      </c>
      <c r="U3916" s="5" t="s">
        <v>35881</v>
      </c>
      <c r="V3916" s="5" t="s">
        <v>35881</v>
      </c>
      <c r="W3916" s="5" t="s">
        <v>67</v>
      </c>
      <c r="X3916" s="5" t="s">
        <v>67</v>
      </c>
      <c r="Y3916" s="4">
        <v>136</v>
      </c>
      <c r="Z3916" s="4">
        <v>14</v>
      </c>
      <c r="AA3916" s="4">
        <v>95</v>
      </c>
      <c r="AB3916" s="4">
        <v>2</v>
      </c>
      <c r="AC3916" s="4">
        <v>17</v>
      </c>
      <c r="AD3916" s="4">
        <v>48</v>
      </c>
      <c r="AE3916" s="4">
        <v>114</v>
      </c>
      <c r="AF3916" s="4">
        <v>1</v>
      </c>
      <c r="AG3916" s="4">
        <v>8</v>
      </c>
      <c r="AH3916" s="4">
        <v>42</v>
      </c>
      <c r="AI3916" s="4">
        <v>76</v>
      </c>
      <c r="AJ3916" s="4">
        <v>10</v>
      </c>
      <c r="AK3916" s="4">
        <v>24</v>
      </c>
      <c r="AL3916" s="4">
        <v>27</v>
      </c>
      <c r="AM3916" s="4">
        <v>40</v>
      </c>
      <c r="AN3916" s="4">
        <v>0</v>
      </c>
      <c r="AO3916" s="4">
        <v>0</v>
      </c>
      <c r="AP3916" s="4">
        <v>11</v>
      </c>
      <c r="AQ3916" s="4">
        <v>46</v>
      </c>
      <c r="AR3916" s="3" t="s">
        <v>62</v>
      </c>
      <c r="AS3916" s="3" t="s">
        <v>62</v>
      </c>
      <c r="AT3916" s="3" t="s">
        <v>62</v>
      </c>
      <c r="AV3916" s="6" t="str">
        <f>HYPERLINK("http://mcgill.on.worldcat.org/oclc/57641434","Catalog Record")</f>
        <v>Catalog Record</v>
      </c>
      <c r="AW3916" s="6" t="str">
        <f>HYPERLINK("http://www.worldcat.org/oclc/57641434","WorldCat Record")</f>
        <v>WorldCat Record</v>
      </c>
      <c r="AX3916" s="3" t="s">
        <v>37604</v>
      </c>
      <c r="AY3916" s="3" t="s">
        <v>37605</v>
      </c>
      <c r="AZ3916" s="3" t="s">
        <v>37606</v>
      </c>
      <c r="BA3916" s="3" t="s">
        <v>37606</v>
      </c>
      <c r="BB3916" s="3" t="s">
        <v>37607</v>
      </c>
      <c r="BC3916" s="3" t="s">
        <v>142</v>
      </c>
      <c r="BD3916" s="3" t="s">
        <v>68</v>
      </c>
      <c r="BE3916" s="3" t="s">
        <v>37608</v>
      </c>
      <c r="BF3916" s="3" t="s">
        <v>37607</v>
      </c>
      <c r="BG3916" s="3" t="s">
        <v>37609</v>
      </c>
    </row>
    <row r="3917" spans="1:59" ht="57" x14ac:dyDescent="0.45">
      <c r="A3917" s="2" t="s">
        <v>59</v>
      </c>
      <c r="B3917" s="2" t="s">
        <v>60</v>
      </c>
      <c r="C3917" s="2" t="s">
        <v>37610</v>
      </c>
      <c r="D3917" s="2" t="s">
        <v>37611</v>
      </c>
      <c r="E3917" s="2" t="s">
        <v>37612</v>
      </c>
      <c r="G3917" s="3" t="s">
        <v>62</v>
      </c>
      <c r="I3917" s="3" t="s">
        <v>62</v>
      </c>
      <c r="J3917" s="3" t="s">
        <v>62</v>
      </c>
      <c r="K3917" s="3" t="s">
        <v>63</v>
      </c>
      <c r="M3917" s="2" t="s">
        <v>8328</v>
      </c>
      <c r="N3917" s="3" t="s">
        <v>1465</v>
      </c>
      <c r="P3917" s="3" t="s">
        <v>65</v>
      </c>
      <c r="R3917" s="3" t="s">
        <v>66</v>
      </c>
      <c r="S3917" s="4">
        <v>7</v>
      </c>
      <c r="T3917" s="4">
        <v>7</v>
      </c>
      <c r="U3917" s="5" t="s">
        <v>7321</v>
      </c>
      <c r="V3917" s="5" t="s">
        <v>7321</v>
      </c>
      <c r="W3917" s="5" t="s">
        <v>67</v>
      </c>
      <c r="X3917" s="5" t="s">
        <v>67</v>
      </c>
      <c r="Y3917" s="4">
        <v>118</v>
      </c>
      <c r="Z3917" s="4">
        <v>17</v>
      </c>
      <c r="AA3917" s="4">
        <v>98</v>
      </c>
      <c r="AB3917" s="4">
        <v>3</v>
      </c>
      <c r="AC3917" s="4">
        <v>18</v>
      </c>
      <c r="AD3917" s="4">
        <v>51</v>
      </c>
      <c r="AE3917" s="4">
        <v>120</v>
      </c>
      <c r="AF3917" s="4">
        <v>1</v>
      </c>
      <c r="AG3917" s="4">
        <v>8</v>
      </c>
      <c r="AH3917" s="4">
        <v>45</v>
      </c>
      <c r="AI3917" s="4">
        <v>82</v>
      </c>
      <c r="AJ3917" s="4">
        <v>14</v>
      </c>
      <c r="AK3917" s="4">
        <v>26</v>
      </c>
      <c r="AL3917" s="4">
        <v>28</v>
      </c>
      <c r="AM3917" s="4">
        <v>42</v>
      </c>
      <c r="AN3917" s="4">
        <v>0</v>
      </c>
      <c r="AO3917" s="4">
        <v>0</v>
      </c>
      <c r="AP3917" s="4">
        <v>14</v>
      </c>
      <c r="AQ3917" s="4">
        <v>48</v>
      </c>
      <c r="AR3917" s="3" t="s">
        <v>62</v>
      </c>
      <c r="AS3917" s="3" t="s">
        <v>62</v>
      </c>
      <c r="AT3917" s="3" t="s">
        <v>62</v>
      </c>
      <c r="AV3917" s="6" t="str">
        <f>HYPERLINK("http://mcgill.on.worldcat.org/oclc/427613781","Catalog Record")</f>
        <v>Catalog Record</v>
      </c>
      <c r="AW3917" s="6" t="str">
        <f>HYPERLINK("http://www.worldcat.org/oclc/427613781","WorldCat Record")</f>
        <v>WorldCat Record</v>
      </c>
      <c r="AX3917" s="3" t="s">
        <v>37613</v>
      </c>
      <c r="AY3917" s="3" t="s">
        <v>37614</v>
      </c>
      <c r="AZ3917" s="3" t="s">
        <v>37615</v>
      </c>
      <c r="BA3917" s="3" t="s">
        <v>37615</v>
      </c>
      <c r="BB3917" s="3" t="s">
        <v>37616</v>
      </c>
      <c r="BC3917" s="3" t="s">
        <v>142</v>
      </c>
      <c r="BD3917" s="3" t="s">
        <v>68</v>
      </c>
      <c r="BE3917" s="3" t="s">
        <v>37617</v>
      </c>
      <c r="BF3917" s="3" t="s">
        <v>37616</v>
      </c>
      <c r="BG3917" s="3" t="s">
        <v>37618</v>
      </c>
    </row>
    <row r="3918" spans="1:59" ht="57" x14ac:dyDescent="0.45">
      <c r="A3918" s="2" t="s">
        <v>59</v>
      </c>
      <c r="B3918" s="2" t="s">
        <v>60</v>
      </c>
      <c r="C3918" s="2" t="s">
        <v>37619</v>
      </c>
      <c r="D3918" s="2" t="s">
        <v>37620</v>
      </c>
      <c r="E3918" s="2" t="s">
        <v>37621</v>
      </c>
      <c r="G3918" s="3" t="s">
        <v>62</v>
      </c>
      <c r="I3918" s="3" t="s">
        <v>62</v>
      </c>
      <c r="J3918" s="3" t="s">
        <v>62</v>
      </c>
      <c r="K3918" s="3" t="s">
        <v>63</v>
      </c>
      <c r="L3918" s="2" t="s">
        <v>37622</v>
      </c>
      <c r="M3918" s="2" t="s">
        <v>9755</v>
      </c>
      <c r="N3918" s="3" t="s">
        <v>1155</v>
      </c>
      <c r="P3918" s="3" t="s">
        <v>65</v>
      </c>
      <c r="Q3918" s="2" t="s">
        <v>37623</v>
      </c>
      <c r="R3918" s="3" t="s">
        <v>66</v>
      </c>
      <c r="S3918" s="4">
        <v>5</v>
      </c>
      <c r="T3918" s="4">
        <v>5</v>
      </c>
      <c r="U3918" s="5" t="s">
        <v>37006</v>
      </c>
      <c r="V3918" s="5" t="s">
        <v>37006</v>
      </c>
      <c r="W3918" s="5" t="s">
        <v>67</v>
      </c>
      <c r="X3918" s="5" t="s">
        <v>67</v>
      </c>
      <c r="Y3918" s="4">
        <v>95</v>
      </c>
      <c r="Z3918" s="4">
        <v>12</v>
      </c>
      <c r="AA3918" s="4">
        <v>18</v>
      </c>
      <c r="AB3918" s="4">
        <v>2</v>
      </c>
      <c r="AC3918" s="4">
        <v>6</v>
      </c>
      <c r="AD3918" s="4">
        <v>34</v>
      </c>
      <c r="AE3918" s="4">
        <v>44</v>
      </c>
      <c r="AF3918" s="4">
        <v>1</v>
      </c>
      <c r="AG3918" s="4">
        <v>2</v>
      </c>
      <c r="AH3918" s="4">
        <v>31</v>
      </c>
      <c r="AI3918" s="4">
        <v>39</v>
      </c>
      <c r="AJ3918" s="4">
        <v>9</v>
      </c>
      <c r="AK3918" s="4">
        <v>11</v>
      </c>
      <c r="AL3918" s="4">
        <v>17</v>
      </c>
      <c r="AM3918" s="4">
        <v>22</v>
      </c>
      <c r="AN3918" s="4">
        <v>0</v>
      </c>
      <c r="AO3918" s="4">
        <v>0</v>
      </c>
      <c r="AP3918" s="4">
        <v>9</v>
      </c>
      <c r="AQ3918" s="4">
        <v>12</v>
      </c>
      <c r="AR3918" s="3" t="s">
        <v>62</v>
      </c>
      <c r="AS3918" s="3" t="s">
        <v>62</v>
      </c>
      <c r="AT3918" s="3" t="s">
        <v>62</v>
      </c>
      <c r="AV3918" s="6" t="str">
        <f>HYPERLINK("http://mcgill.on.worldcat.org/oclc/727702679","Catalog Record")</f>
        <v>Catalog Record</v>
      </c>
      <c r="AW3918" s="6" t="str">
        <f>HYPERLINK("http://www.worldcat.org/oclc/727702679","WorldCat Record")</f>
        <v>WorldCat Record</v>
      </c>
      <c r="AX3918" s="3" t="s">
        <v>37624</v>
      </c>
      <c r="AY3918" s="3" t="s">
        <v>37625</v>
      </c>
      <c r="AZ3918" s="3" t="s">
        <v>37626</v>
      </c>
      <c r="BA3918" s="3" t="s">
        <v>37626</v>
      </c>
      <c r="BB3918" s="3" t="s">
        <v>37627</v>
      </c>
      <c r="BC3918" s="3" t="s">
        <v>142</v>
      </c>
      <c r="BD3918" s="3" t="s">
        <v>68</v>
      </c>
      <c r="BE3918" s="3" t="s">
        <v>37628</v>
      </c>
      <c r="BF3918" s="3" t="s">
        <v>37627</v>
      </c>
      <c r="BG3918" s="3" t="s">
        <v>37629</v>
      </c>
    </row>
    <row r="3919" spans="1:59" ht="57" x14ac:dyDescent="0.45">
      <c r="A3919" s="2" t="s">
        <v>59</v>
      </c>
      <c r="B3919" s="2" t="s">
        <v>60</v>
      </c>
      <c r="C3919" s="2" t="s">
        <v>37630</v>
      </c>
      <c r="D3919" s="2" t="s">
        <v>37631</v>
      </c>
      <c r="E3919" s="2" t="s">
        <v>37632</v>
      </c>
      <c r="G3919" s="3" t="s">
        <v>62</v>
      </c>
      <c r="I3919" s="3" t="s">
        <v>62</v>
      </c>
      <c r="J3919" s="3" t="s">
        <v>62</v>
      </c>
      <c r="K3919" s="3" t="s">
        <v>63</v>
      </c>
      <c r="L3919" s="2" t="s">
        <v>37633</v>
      </c>
      <c r="M3919" s="2" t="s">
        <v>37634</v>
      </c>
      <c r="N3919" s="3" t="s">
        <v>1097</v>
      </c>
      <c r="P3919" s="3" t="s">
        <v>65</v>
      </c>
      <c r="Q3919" s="2" t="s">
        <v>37635</v>
      </c>
      <c r="R3919" s="3" t="s">
        <v>66</v>
      </c>
      <c r="S3919" s="4">
        <v>9</v>
      </c>
      <c r="T3919" s="4">
        <v>9</v>
      </c>
      <c r="U3919" s="5" t="s">
        <v>303</v>
      </c>
      <c r="V3919" s="5" t="s">
        <v>303</v>
      </c>
      <c r="W3919" s="5" t="s">
        <v>67</v>
      </c>
      <c r="X3919" s="5" t="s">
        <v>67</v>
      </c>
      <c r="Y3919" s="4">
        <v>194</v>
      </c>
      <c r="Z3919" s="4">
        <v>17</v>
      </c>
      <c r="AA3919" s="4">
        <v>103</v>
      </c>
      <c r="AB3919" s="4">
        <v>2</v>
      </c>
      <c r="AC3919" s="4">
        <v>17</v>
      </c>
      <c r="AD3919" s="4">
        <v>70</v>
      </c>
      <c r="AE3919" s="4">
        <v>125</v>
      </c>
      <c r="AF3919" s="4">
        <v>1</v>
      </c>
      <c r="AG3919" s="4">
        <v>8</v>
      </c>
      <c r="AH3919" s="4">
        <v>63</v>
      </c>
      <c r="AI3919" s="4">
        <v>88</v>
      </c>
      <c r="AJ3919" s="4">
        <v>13</v>
      </c>
      <c r="AK3919" s="4">
        <v>24</v>
      </c>
      <c r="AL3919" s="4">
        <v>35</v>
      </c>
      <c r="AM3919" s="4">
        <v>45</v>
      </c>
      <c r="AN3919" s="4">
        <v>0</v>
      </c>
      <c r="AO3919" s="4">
        <v>0</v>
      </c>
      <c r="AP3919" s="4">
        <v>15</v>
      </c>
      <c r="AQ3919" s="4">
        <v>45</v>
      </c>
      <c r="AR3919" s="3" t="s">
        <v>62</v>
      </c>
      <c r="AS3919" s="3" t="s">
        <v>62</v>
      </c>
      <c r="AT3919" s="3" t="s">
        <v>62</v>
      </c>
      <c r="AV3919" s="6" t="str">
        <f>HYPERLINK("http://mcgill.on.worldcat.org/oclc/53992904","Catalog Record")</f>
        <v>Catalog Record</v>
      </c>
      <c r="AW3919" s="6" t="str">
        <f>HYPERLINK("http://www.worldcat.org/oclc/53992904","WorldCat Record")</f>
        <v>WorldCat Record</v>
      </c>
      <c r="AX3919" s="3" t="s">
        <v>37636</v>
      </c>
      <c r="AY3919" s="3" t="s">
        <v>37637</v>
      </c>
      <c r="AZ3919" s="3" t="s">
        <v>37638</v>
      </c>
      <c r="BA3919" s="3" t="s">
        <v>37638</v>
      </c>
      <c r="BB3919" s="3" t="s">
        <v>37639</v>
      </c>
      <c r="BC3919" s="3" t="s">
        <v>142</v>
      </c>
      <c r="BD3919" s="3" t="s">
        <v>68</v>
      </c>
      <c r="BE3919" s="3" t="s">
        <v>37640</v>
      </c>
      <c r="BF3919" s="3" t="s">
        <v>37639</v>
      </c>
      <c r="BG3919" s="3" t="s">
        <v>37641</v>
      </c>
    </row>
    <row r="3920" spans="1:59" ht="57" x14ac:dyDescent="0.45">
      <c r="A3920" s="2" t="s">
        <v>59</v>
      </c>
      <c r="B3920" s="2" t="s">
        <v>60</v>
      </c>
      <c r="C3920" s="2" t="s">
        <v>37642</v>
      </c>
      <c r="D3920" s="2" t="s">
        <v>37643</v>
      </c>
      <c r="E3920" s="2" t="s">
        <v>37644</v>
      </c>
      <c r="G3920" s="3" t="s">
        <v>62</v>
      </c>
      <c r="I3920" s="3" t="s">
        <v>62</v>
      </c>
      <c r="J3920" s="3" t="s">
        <v>62</v>
      </c>
      <c r="K3920" s="3" t="s">
        <v>63</v>
      </c>
      <c r="L3920" s="2" t="s">
        <v>37645</v>
      </c>
      <c r="M3920" s="2" t="s">
        <v>37646</v>
      </c>
      <c r="N3920" s="3" t="s">
        <v>208</v>
      </c>
      <c r="O3920" s="2" t="s">
        <v>10948</v>
      </c>
      <c r="P3920" s="3" t="s">
        <v>110</v>
      </c>
      <c r="Q3920" s="2" t="s">
        <v>37647</v>
      </c>
      <c r="R3920" s="3" t="s">
        <v>66</v>
      </c>
      <c r="S3920" s="4">
        <v>0</v>
      </c>
      <c r="T3920" s="4">
        <v>0</v>
      </c>
      <c r="W3920" s="5" t="s">
        <v>67</v>
      </c>
      <c r="X3920" s="5" t="s">
        <v>67</v>
      </c>
      <c r="Y3920" s="4">
        <v>6</v>
      </c>
      <c r="Z3920" s="4">
        <v>2</v>
      </c>
      <c r="AA3920" s="4">
        <v>12</v>
      </c>
      <c r="AB3920" s="4">
        <v>1</v>
      </c>
      <c r="AC3920" s="4">
        <v>9</v>
      </c>
      <c r="AD3920" s="4">
        <v>2</v>
      </c>
      <c r="AE3920" s="4">
        <v>8</v>
      </c>
      <c r="AF3920" s="4">
        <v>0</v>
      </c>
      <c r="AG3920" s="4">
        <v>4</v>
      </c>
      <c r="AH3920" s="4">
        <v>1</v>
      </c>
      <c r="AI3920" s="4">
        <v>3</v>
      </c>
      <c r="AJ3920" s="4">
        <v>1</v>
      </c>
      <c r="AK3920" s="4">
        <v>5</v>
      </c>
      <c r="AL3920" s="4">
        <v>1</v>
      </c>
      <c r="AM3920" s="4">
        <v>1</v>
      </c>
      <c r="AN3920" s="4">
        <v>0</v>
      </c>
      <c r="AO3920" s="4">
        <v>0</v>
      </c>
      <c r="AP3920" s="4">
        <v>1</v>
      </c>
      <c r="AQ3920" s="4">
        <v>6</v>
      </c>
      <c r="AR3920" s="3" t="s">
        <v>62</v>
      </c>
      <c r="AS3920" s="3" t="s">
        <v>62</v>
      </c>
      <c r="AT3920" s="3" t="s">
        <v>62</v>
      </c>
      <c r="AV3920" s="6" t="str">
        <f>HYPERLINK("http://mcgill.on.worldcat.org/oclc/904237361","Catalog Record")</f>
        <v>Catalog Record</v>
      </c>
      <c r="AW3920" s="6" t="str">
        <f>HYPERLINK("http://www.worldcat.org/oclc/904237361","WorldCat Record")</f>
        <v>WorldCat Record</v>
      </c>
      <c r="AX3920" s="3" t="s">
        <v>37648</v>
      </c>
      <c r="AY3920" s="3" t="s">
        <v>37649</v>
      </c>
      <c r="AZ3920" s="3" t="s">
        <v>37650</v>
      </c>
      <c r="BA3920" s="3" t="s">
        <v>37650</v>
      </c>
      <c r="BB3920" s="3" t="s">
        <v>37651</v>
      </c>
      <c r="BC3920" s="3" t="s">
        <v>142</v>
      </c>
      <c r="BD3920" s="3" t="s">
        <v>68</v>
      </c>
      <c r="BE3920" s="3" t="s">
        <v>37652</v>
      </c>
      <c r="BF3920" s="3" t="s">
        <v>37651</v>
      </c>
      <c r="BG3920" s="3" t="s">
        <v>37653</v>
      </c>
    </row>
    <row r="3921" spans="1:59" ht="57" x14ac:dyDescent="0.45">
      <c r="A3921" s="2" t="s">
        <v>59</v>
      </c>
      <c r="B3921" s="2" t="s">
        <v>60</v>
      </c>
      <c r="C3921" s="2" t="s">
        <v>37654</v>
      </c>
      <c r="D3921" s="2" t="s">
        <v>37655</v>
      </c>
      <c r="E3921" s="2" t="s">
        <v>37656</v>
      </c>
      <c r="G3921" s="3" t="s">
        <v>62</v>
      </c>
      <c r="I3921" s="3" t="s">
        <v>62</v>
      </c>
      <c r="J3921" s="3" t="s">
        <v>62</v>
      </c>
      <c r="K3921" s="3" t="s">
        <v>63</v>
      </c>
      <c r="L3921" s="2" t="s">
        <v>10085</v>
      </c>
      <c r="M3921" s="2" t="s">
        <v>7220</v>
      </c>
      <c r="N3921" s="3" t="s">
        <v>1059</v>
      </c>
      <c r="P3921" s="3" t="s">
        <v>65</v>
      </c>
      <c r="Q3921" s="2" t="s">
        <v>37657</v>
      </c>
      <c r="R3921" s="3" t="s">
        <v>66</v>
      </c>
      <c r="S3921" s="4">
        <v>13</v>
      </c>
      <c r="T3921" s="4">
        <v>13</v>
      </c>
      <c r="U3921" s="5" t="s">
        <v>37658</v>
      </c>
      <c r="V3921" s="5" t="s">
        <v>37658</v>
      </c>
      <c r="W3921" s="5" t="s">
        <v>67</v>
      </c>
      <c r="X3921" s="5" t="s">
        <v>67</v>
      </c>
      <c r="Y3921" s="4">
        <v>259</v>
      </c>
      <c r="Z3921" s="4">
        <v>18</v>
      </c>
      <c r="AA3921" s="4">
        <v>26</v>
      </c>
      <c r="AB3921" s="4">
        <v>2</v>
      </c>
      <c r="AC3921" s="4">
        <v>9</v>
      </c>
      <c r="AD3921" s="4">
        <v>82</v>
      </c>
      <c r="AE3921" s="4">
        <v>85</v>
      </c>
      <c r="AF3921" s="4">
        <v>1</v>
      </c>
      <c r="AG3921" s="4">
        <v>3</v>
      </c>
      <c r="AH3921" s="4">
        <v>70</v>
      </c>
      <c r="AI3921" s="4">
        <v>71</v>
      </c>
      <c r="AJ3921" s="4">
        <v>15</v>
      </c>
      <c r="AK3921" s="4">
        <v>17</v>
      </c>
      <c r="AL3921" s="4">
        <v>43</v>
      </c>
      <c r="AM3921" s="4">
        <v>43</v>
      </c>
      <c r="AN3921" s="4">
        <v>0</v>
      </c>
      <c r="AO3921" s="4">
        <v>0</v>
      </c>
      <c r="AP3921" s="4">
        <v>16</v>
      </c>
      <c r="AQ3921" s="4">
        <v>19</v>
      </c>
      <c r="AR3921" s="3" t="s">
        <v>62</v>
      </c>
      <c r="AS3921" s="3" t="s">
        <v>62</v>
      </c>
      <c r="AT3921" s="3" t="s">
        <v>62</v>
      </c>
      <c r="AV3921" s="6" t="str">
        <f>HYPERLINK("http://mcgill.on.worldcat.org/oclc/61362208","Catalog Record")</f>
        <v>Catalog Record</v>
      </c>
      <c r="AW3921" s="6" t="str">
        <f>HYPERLINK("http://www.worldcat.org/oclc/61362208","WorldCat Record")</f>
        <v>WorldCat Record</v>
      </c>
      <c r="AX3921" s="3" t="s">
        <v>37659</v>
      </c>
      <c r="AY3921" s="3" t="s">
        <v>37660</v>
      </c>
      <c r="AZ3921" s="3" t="s">
        <v>37661</v>
      </c>
      <c r="BA3921" s="3" t="s">
        <v>37661</v>
      </c>
      <c r="BB3921" s="3" t="s">
        <v>37662</v>
      </c>
      <c r="BC3921" s="3" t="s">
        <v>142</v>
      </c>
      <c r="BD3921" s="3" t="s">
        <v>68</v>
      </c>
      <c r="BE3921" s="3" t="s">
        <v>37663</v>
      </c>
      <c r="BF3921" s="3" t="s">
        <v>37662</v>
      </c>
      <c r="BG3921" s="3" t="s">
        <v>37664</v>
      </c>
    </row>
    <row r="3922" spans="1:59" ht="57" x14ac:dyDescent="0.45">
      <c r="A3922" s="2" t="s">
        <v>59</v>
      </c>
      <c r="B3922" s="2" t="s">
        <v>60</v>
      </c>
      <c r="C3922" s="2" t="s">
        <v>37665</v>
      </c>
      <c r="D3922" s="2" t="s">
        <v>37666</v>
      </c>
      <c r="E3922" s="2" t="s">
        <v>37667</v>
      </c>
      <c r="G3922" s="3" t="s">
        <v>62</v>
      </c>
      <c r="I3922" s="3" t="s">
        <v>62</v>
      </c>
      <c r="J3922" s="3" t="s">
        <v>62</v>
      </c>
      <c r="K3922" s="3" t="s">
        <v>63</v>
      </c>
      <c r="M3922" s="2" t="s">
        <v>37668</v>
      </c>
      <c r="N3922" s="3" t="s">
        <v>970</v>
      </c>
      <c r="P3922" s="3" t="s">
        <v>65</v>
      </c>
      <c r="Q3922" s="2" t="s">
        <v>37669</v>
      </c>
      <c r="R3922" s="3" t="s">
        <v>66</v>
      </c>
      <c r="S3922" s="4">
        <v>14</v>
      </c>
      <c r="T3922" s="4">
        <v>14</v>
      </c>
      <c r="U3922" s="5" t="s">
        <v>19932</v>
      </c>
      <c r="V3922" s="5" t="s">
        <v>19932</v>
      </c>
      <c r="W3922" s="5" t="s">
        <v>67</v>
      </c>
      <c r="X3922" s="5" t="s">
        <v>67</v>
      </c>
      <c r="Y3922" s="4">
        <v>141</v>
      </c>
      <c r="Z3922" s="4">
        <v>11</v>
      </c>
      <c r="AA3922" s="4">
        <v>11</v>
      </c>
      <c r="AB3922" s="4">
        <v>2</v>
      </c>
      <c r="AC3922" s="4">
        <v>2</v>
      </c>
      <c r="AD3922" s="4">
        <v>62</v>
      </c>
      <c r="AE3922" s="4">
        <v>62</v>
      </c>
      <c r="AF3922" s="4">
        <v>1</v>
      </c>
      <c r="AG3922" s="4">
        <v>1</v>
      </c>
      <c r="AH3922" s="4">
        <v>57</v>
      </c>
      <c r="AI3922" s="4">
        <v>57</v>
      </c>
      <c r="AJ3922" s="4">
        <v>8</v>
      </c>
      <c r="AK3922" s="4">
        <v>8</v>
      </c>
      <c r="AL3922" s="4">
        <v>39</v>
      </c>
      <c r="AM3922" s="4">
        <v>39</v>
      </c>
      <c r="AN3922" s="4">
        <v>0</v>
      </c>
      <c r="AO3922" s="4">
        <v>0</v>
      </c>
      <c r="AP3922" s="4">
        <v>8</v>
      </c>
      <c r="AQ3922" s="4">
        <v>8</v>
      </c>
      <c r="AR3922" s="3" t="s">
        <v>62</v>
      </c>
      <c r="AS3922" s="3" t="s">
        <v>62</v>
      </c>
      <c r="AT3922" s="3" t="s">
        <v>62</v>
      </c>
      <c r="AV3922" s="6" t="str">
        <f>HYPERLINK("http://mcgill.on.worldcat.org/oclc/49566620","Catalog Record")</f>
        <v>Catalog Record</v>
      </c>
      <c r="AW3922" s="6" t="str">
        <f>HYPERLINK("http://www.worldcat.org/oclc/49566620","WorldCat Record")</f>
        <v>WorldCat Record</v>
      </c>
      <c r="AX3922" s="3" t="s">
        <v>37670</v>
      </c>
      <c r="AY3922" s="3" t="s">
        <v>37671</v>
      </c>
      <c r="AZ3922" s="3" t="s">
        <v>37672</v>
      </c>
      <c r="BA3922" s="3" t="s">
        <v>37672</v>
      </c>
      <c r="BB3922" s="3" t="s">
        <v>37673</v>
      </c>
      <c r="BC3922" s="3" t="s">
        <v>142</v>
      </c>
      <c r="BD3922" s="3" t="s">
        <v>68</v>
      </c>
      <c r="BE3922" s="3" t="s">
        <v>37674</v>
      </c>
      <c r="BF3922" s="3" t="s">
        <v>37673</v>
      </c>
      <c r="BG3922" s="3" t="s">
        <v>37675</v>
      </c>
    </row>
    <row r="3923" spans="1:59" ht="57" x14ac:dyDescent="0.45">
      <c r="A3923" s="2" t="s">
        <v>59</v>
      </c>
      <c r="B3923" s="2" t="s">
        <v>60</v>
      </c>
      <c r="C3923" s="2" t="s">
        <v>37676</v>
      </c>
      <c r="D3923" s="2" t="s">
        <v>37677</v>
      </c>
      <c r="E3923" s="2" t="s">
        <v>37678</v>
      </c>
      <c r="G3923" s="3" t="s">
        <v>62</v>
      </c>
      <c r="I3923" s="3" t="s">
        <v>62</v>
      </c>
      <c r="J3923" s="3" t="s">
        <v>62</v>
      </c>
      <c r="K3923" s="3" t="s">
        <v>63</v>
      </c>
      <c r="M3923" s="2" t="s">
        <v>6067</v>
      </c>
      <c r="N3923" s="3" t="s">
        <v>894</v>
      </c>
      <c r="P3923" s="3" t="s">
        <v>65</v>
      </c>
      <c r="Q3923" s="2" t="s">
        <v>37679</v>
      </c>
      <c r="R3923" s="3" t="s">
        <v>66</v>
      </c>
      <c r="S3923" s="4">
        <v>4</v>
      </c>
      <c r="T3923" s="4">
        <v>4</v>
      </c>
      <c r="U3923" s="5" t="s">
        <v>2059</v>
      </c>
      <c r="V3923" s="5" t="s">
        <v>2059</v>
      </c>
      <c r="W3923" s="5" t="s">
        <v>67</v>
      </c>
      <c r="X3923" s="5" t="s">
        <v>67</v>
      </c>
      <c r="Y3923" s="4">
        <v>129</v>
      </c>
      <c r="Z3923" s="4">
        <v>17</v>
      </c>
      <c r="AA3923" s="4">
        <v>80</v>
      </c>
      <c r="AB3923" s="4">
        <v>2</v>
      </c>
      <c r="AC3923" s="4">
        <v>14</v>
      </c>
      <c r="AD3923" s="4">
        <v>50</v>
      </c>
      <c r="AE3923" s="4">
        <v>105</v>
      </c>
      <c r="AF3923" s="4">
        <v>1</v>
      </c>
      <c r="AG3923" s="4">
        <v>8</v>
      </c>
      <c r="AH3923" s="4">
        <v>45</v>
      </c>
      <c r="AI3923" s="4">
        <v>72</v>
      </c>
      <c r="AJ3923" s="4">
        <v>13</v>
      </c>
      <c r="AK3923" s="4">
        <v>23</v>
      </c>
      <c r="AL3923" s="4">
        <v>27</v>
      </c>
      <c r="AM3923" s="4">
        <v>38</v>
      </c>
      <c r="AN3923" s="4">
        <v>0</v>
      </c>
      <c r="AO3923" s="4">
        <v>0</v>
      </c>
      <c r="AP3923" s="4">
        <v>14</v>
      </c>
      <c r="AQ3923" s="4">
        <v>43</v>
      </c>
      <c r="AR3923" s="3" t="s">
        <v>62</v>
      </c>
      <c r="AS3923" s="3" t="s">
        <v>62</v>
      </c>
      <c r="AT3923" s="3" t="s">
        <v>62</v>
      </c>
      <c r="AV3923" s="6" t="str">
        <f>HYPERLINK("http://mcgill.on.worldcat.org/oclc/704895982","Catalog Record")</f>
        <v>Catalog Record</v>
      </c>
      <c r="AW3923" s="6" t="str">
        <f>HYPERLINK("http://www.worldcat.org/oclc/704895982","WorldCat Record")</f>
        <v>WorldCat Record</v>
      </c>
      <c r="AX3923" s="3" t="s">
        <v>37680</v>
      </c>
      <c r="AY3923" s="3" t="s">
        <v>37681</v>
      </c>
      <c r="AZ3923" s="3" t="s">
        <v>37682</v>
      </c>
      <c r="BA3923" s="3" t="s">
        <v>37682</v>
      </c>
      <c r="BB3923" s="3" t="s">
        <v>37683</v>
      </c>
      <c r="BC3923" s="3" t="s">
        <v>142</v>
      </c>
      <c r="BD3923" s="3" t="s">
        <v>68</v>
      </c>
      <c r="BE3923" s="3" t="s">
        <v>37684</v>
      </c>
      <c r="BF3923" s="3" t="s">
        <v>37683</v>
      </c>
      <c r="BG3923" s="3" t="s">
        <v>37685</v>
      </c>
    </row>
    <row r="3924" spans="1:59" ht="57" x14ac:dyDescent="0.45">
      <c r="A3924" s="2" t="s">
        <v>59</v>
      </c>
      <c r="B3924" s="2" t="s">
        <v>60</v>
      </c>
      <c r="C3924" s="2" t="s">
        <v>37686</v>
      </c>
      <c r="D3924" s="2" t="s">
        <v>37687</v>
      </c>
      <c r="E3924" s="2" t="s">
        <v>37688</v>
      </c>
      <c r="G3924" s="3" t="s">
        <v>62</v>
      </c>
      <c r="I3924" s="3" t="s">
        <v>61</v>
      </c>
      <c r="J3924" s="3" t="s">
        <v>62</v>
      </c>
      <c r="K3924" s="3" t="s">
        <v>63</v>
      </c>
      <c r="L3924" s="2" t="s">
        <v>37689</v>
      </c>
      <c r="M3924" s="2" t="s">
        <v>37690</v>
      </c>
      <c r="N3924" s="3" t="s">
        <v>1604</v>
      </c>
      <c r="P3924" s="3" t="s">
        <v>65</v>
      </c>
      <c r="Q3924" s="2" t="s">
        <v>37691</v>
      </c>
      <c r="R3924" s="3" t="s">
        <v>66</v>
      </c>
      <c r="S3924" s="4">
        <v>8</v>
      </c>
      <c r="T3924" s="4">
        <v>31</v>
      </c>
      <c r="U3924" s="5" t="s">
        <v>10919</v>
      </c>
      <c r="V3924" s="5" t="s">
        <v>10919</v>
      </c>
      <c r="W3924" s="5" t="s">
        <v>67</v>
      </c>
      <c r="X3924" s="5" t="s">
        <v>67</v>
      </c>
      <c r="Y3924" s="4">
        <v>233</v>
      </c>
      <c r="Z3924" s="4">
        <v>19</v>
      </c>
      <c r="AA3924" s="4">
        <v>98</v>
      </c>
      <c r="AB3924" s="4">
        <v>2</v>
      </c>
      <c r="AC3924" s="4">
        <v>17</v>
      </c>
      <c r="AD3924" s="4">
        <v>89</v>
      </c>
      <c r="AE3924" s="4">
        <v>133</v>
      </c>
      <c r="AF3924" s="4">
        <v>1</v>
      </c>
      <c r="AG3924" s="4">
        <v>8</v>
      </c>
      <c r="AH3924" s="4">
        <v>80</v>
      </c>
      <c r="AI3924" s="4">
        <v>96</v>
      </c>
      <c r="AJ3924" s="4">
        <v>16</v>
      </c>
      <c r="AK3924" s="4">
        <v>25</v>
      </c>
      <c r="AL3924" s="4">
        <v>45</v>
      </c>
      <c r="AM3924" s="4">
        <v>49</v>
      </c>
      <c r="AN3924" s="4">
        <v>0</v>
      </c>
      <c r="AO3924" s="4">
        <v>0</v>
      </c>
      <c r="AP3924" s="4">
        <v>16</v>
      </c>
      <c r="AQ3924" s="4">
        <v>46</v>
      </c>
      <c r="AR3924" s="3" t="s">
        <v>62</v>
      </c>
      <c r="AS3924" s="3" t="s">
        <v>62</v>
      </c>
      <c r="AT3924" s="3" t="s">
        <v>61</v>
      </c>
      <c r="AU3924" s="6" t="str">
        <f>HYPERLINK("http://catalog.hathitrust.org/Record/002889842","HathiTrust Record")</f>
        <v>HathiTrust Record</v>
      </c>
      <c r="AV3924" s="6" t="str">
        <f>HYPERLINK("http://mcgill.on.worldcat.org/oclc/30701671","Catalog Record")</f>
        <v>Catalog Record</v>
      </c>
      <c r="AW3924" s="6" t="str">
        <f>HYPERLINK("http://www.worldcat.org/oclc/30701671","WorldCat Record")</f>
        <v>WorldCat Record</v>
      </c>
      <c r="AX3924" s="3" t="s">
        <v>37692</v>
      </c>
      <c r="AY3924" s="3" t="s">
        <v>37693</v>
      </c>
      <c r="AZ3924" s="3" t="s">
        <v>37694</v>
      </c>
      <c r="BA3924" s="3" t="s">
        <v>37694</v>
      </c>
      <c r="BB3924" s="3" t="s">
        <v>37695</v>
      </c>
      <c r="BC3924" s="3" t="s">
        <v>142</v>
      </c>
      <c r="BD3924" s="3" t="s">
        <v>68</v>
      </c>
      <c r="BE3924" s="3" t="s">
        <v>37696</v>
      </c>
      <c r="BF3924" s="3" t="s">
        <v>37695</v>
      </c>
      <c r="BG3924" s="3" t="s">
        <v>37697</v>
      </c>
    </row>
    <row r="3925" spans="1:59" ht="57" x14ac:dyDescent="0.45">
      <c r="A3925" s="2" t="s">
        <v>59</v>
      </c>
      <c r="B3925" s="2" t="s">
        <v>60</v>
      </c>
      <c r="C3925" s="2" t="s">
        <v>37686</v>
      </c>
      <c r="D3925" s="2" t="s">
        <v>37687</v>
      </c>
      <c r="E3925" s="2" t="s">
        <v>37688</v>
      </c>
      <c r="G3925" s="3" t="s">
        <v>62</v>
      </c>
      <c r="I3925" s="3" t="s">
        <v>61</v>
      </c>
      <c r="J3925" s="3" t="s">
        <v>62</v>
      </c>
      <c r="K3925" s="3" t="s">
        <v>63</v>
      </c>
      <c r="L3925" s="2" t="s">
        <v>37689</v>
      </c>
      <c r="M3925" s="2" t="s">
        <v>37690</v>
      </c>
      <c r="N3925" s="3" t="s">
        <v>1604</v>
      </c>
      <c r="P3925" s="3" t="s">
        <v>65</v>
      </c>
      <c r="Q3925" s="2" t="s">
        <v>37691</v>
      </c>
      <c r="R3925" s="3" t="s">
        <v>66</v>
      </c>
      <c r="S3925" s="4">
        <v>23</v>
      </c>
      <c r="T3925" s="4">
        <v>31</v>
      </c>
      <c r="U3925" s="5" t="s">
        <v>37698</v>
      </c>
      <c r="V3925" s="5" t="s">
        <v>10919</v>
      </c>
      <c r="W3925" s="5" t="s">
        <v>67</v>
      </c>
      <c r="X3925" s="5" t="s">
        <v>67</v>
      </c>
      <c r="Y3925" s="4">
        <v>233</v>
      </c>
      <c r="Z3925" s="4">
        <v>19</v>
      </c>
      <c r="AA3925" s="4">
        <v>98</v>
      </c>
      <c r="AB3925" s="4">
        <v>2</v>
      </c>
      <c r="AC3925" s="4">
        <v>17</v>
      </c>
      <c r="AD3925" s="4">
        <v>89</v>
      </c>
      <c r="AE3925" s="4">
        <v>133</v>
      </c>
      <c r="AF3925" s="4">
        <v>1</v>
      </c>
      <c r="AG3925" s="4">
        <v>8</v>
      </c>
      <c r="AH3925" s="4">
        <v>80</v>
      </c>
      <c r="AI3925" s="4">
        <v>96</v>
      </c>
      <c r="AJ3925" s="4">
        <v>16</v>
      </c>
      <c r="AK3925" s="4">
        <v>25</v>
      </c>
      <c r="AL3925" s="4">
        <v>45</v>
      </c>
      <c r="AM3925" s="4">
        <v>49</v>
      </c>
      <c r="AN3925" s="4">
        <v>0</v>
      </c>
      <c r="AO3925" s="4">
        <v>0</v>
      </c>
      <c r="AP3925" s="4">
        <v>16</v>
      </c>
      <c r="AQ3925" s="4">
        <v>46</v>
      </c>
      <c r="AR3925" s="3" t="s">
        <v>62</v>
      </c>
      <c r="AS3925" s="3" t="s">
        <v>62</v>
      </c>
      <c r="AT3925" s="3" t="s">
        <v>61</v>
      </c>
      <c r="AU3925" s="6" t="str">
        <f>HYPERLINK("http://catalog.hathitrust.org/Record/002889842","HathiTrust Record")</f>
        <v>HathiTrust Record</v>
      </c>
      <c r="AV3925" s="6" t="str">
        <f>HYPERLINK("http://mcgill.on.worldcat.org/oclc/30701671","Catalog Record")</f>
        <v>Catalog Record</v>
      </c>
      <c r="AW3925" s="6" t="str">
        <f>HYPERLINK("http://www.worldcat.org/oclc/30701671","WorldCat Record")</f>
        <v>WorldCat Record</v>
      </c>
      <c r="AX3925" s="3" t="s">
        <v>37692</v>
      </c>
      <c r="AY3925" s="3" t="s">
        <v>37693</v>
      </c>
      <c r="AZ3925" s="3" t="s">
        <v>37694</v>
      </c>
      <c r="BA3925" s="3" t="s">
        <v>37694</v>
      </c>
      <c r="BB3925" s="3" t="s">
        <v>37699</v>
      </c>
      <c r="BC3925" s="3" t="s">
        <v>142</v>
      </c>
      <c r="BD3925" s="3" t="s">
        <v>68</v>
      </c>
      <c r="BE3925" s="3" t="s">
        <v>37696</v>
      </c>
      <c r="BF3925" s="3" t="s">
        <v>37699</v>
      </c>
      <c r="BG3925" s="3" t="s">
        <v>37700</v>
      </c>
    </row>
    <row r="3926" spans="1:59" ht="57" x14ac:dyDescent="0.45">
      <c r="A3926" s="2" t="s">
        <v>59</v>
      </c>
      <c r="B3926" s="2" t="s">
        <v>60</v>
      </c>
      <c r="C3926" s="2" t="s">
        <v>37701</v>
      </c>
      <c r="D3926" s="2" t="s">
        <v>37702</v>
      </c>
      <c r="E3926" s="2" t="s">
        <v>37703</v>
      </c>
      <c r="G3926" s="3" t="s">
        <v>62</v>
      </c>
      <c r="I3926" s="3" t="s">
        <v>62</v>
      </c>
      <c r="J3926" s="3" t="s">
        <v>62</v>
      </c>
      <c r="K3926" s="3" t="s">
        <v>63</v>
      </c>
      <c r="M3926" s="2" t="s">
        <v>37704</v>
      </c>
      <c r="N3926" s="3" t="s">
        <v>149</v>
      </c>
      <c r="P3926" s="3" t="s">
        <v>65</v>
      </c>
      <c r="Q3926" s="2" t="s">
        <v>37705</v>
      </c>
      <c r="R3926" s="3" t="s">
        <v>66</v>
      </c>
      <c r="S3926" s="4">
        <v>0</v>
      </c>
      <c r="T3926" s="4">
        <v>0</v>
      </c>
      <c r="W3926" s="5" t="s">
        <v>67</v>
      </c>
      <c r="X3926" s="5" t="s">
        <v>67</v>
      </c>
      <c r="Y3926" s="4">
        <v>56</v>
      </c>
      <c r="Z3926" s="4">
        <v>11</v>
      </c>
      <c r="AA3926" s="4">
        <v>13</v>
      </c>
      <c r="AB3926" s="4">
        <v>1</v>
      </c>
      <c r="AC3926" s="4">
        <v>3</v>
      </c>
      <c r="AD3926" s="4">
        <v>19</v>
      </c>
      <c r="AE3926" s="4">
        <v>21</v>
      </c>
      <c r="AF3926" s="4">
        <v>0</v>
      </c>
      <c r="AG3926" s="4">
        <v>2</v>
      </c>
      <c r="AH3926" s="4">
        <v>16</v>
      </c>
      <c r="AI3926" s="4">
        <v>16</v>
      </c>
      <c r="AJ3926" s="4">
        <v>8</v>
      </c>
      <c r="AK3926" s="4">
        <v>10</v>
      </c>
      <c r="AL3926" s="4">
        <v>9</v>
      </c>
      <c r="AM3926" s="4">
        <v>9</v>
      </c>
      <c r="AN3926" s="4">
        <v>0</v>
      </c>
      <c r="AO3926" s="4">
        <v>0</v>
      </c>
      <c r="AP3926" s="4">
        <v>8</v>
      </c>
      <c r="AQ3926" s="4">
        <v>10</v>
      </c>
      <c r="AR3926" s="3" t="s">
        <v>62</v>
      </c>
      <c r="AS3926" s="3" t="s">
        <v>62</v>
      </c>
      <c r="AT3926" s="3" t="s">
        <v>62</v>
      </c>
      <c r="AV3926" s="6" t="str">
        <f>HYPERLINK("http://mcgill.on.worldcat.org/oclc/460712264","Catalog Record")</f>
        <v>Catalog Record</v>
      </c>
      <c r="AW3926" s="6" t="str">
        <f>HYPERLINK("http://www.worldcat.org/oclc/460712264","WorldCat Record")</f>
        <v>WorldCat Record</v>
      </c>
      <c r="AX3926" s="3" t="s">
        <v>37706</v>
      </c>
      <c r="AY3926" s="3" t="s">
        <v>37707</v>
      </c>
      <c r="AZ3926" s="3" t="s">
        <v>37708</v>
      </c>
      <c r="BA3926" s="3" t="s">
        <v>37708</v>
      </c>
      <c r="BB3926" s="3" t="s">
        <v>37709</v>
      </c>
      <c r="BC3926" s="3" t="s">
        <v>142</v>
      </c>
      <c r="BD3926" s="3" t="s">
        <v>68</v>
      </c>
      <c r="BE3926" s="3" t="s">
        <v>37710</v>
      </c>
      <c r="BF3926" s="3" t="s">
        <v>37709</v>
      </c>
      <c r="BG3926" s="3" t="s">
        <v>37711</v>
      </c>
    </row>
    <row r="3927" spans="1:59" ht="57" x14ac:dyDescent="0.45">
      <c r="A3927" s="2" t="s">
        <v>59</v>
      </c>
      <c r="B3927" s="2" t="s">
        <v>60</v>
      </c>
      <c r="C3927" s="2" t="s">
        <v>37712</v>
      </c>
      <c r="D3927" s="2" t="s">
        <v>37713</v>
      </c>
      <c r="E3927" s="2" t="s">
        <v>37714</v>
      </c>
      <c r="G3927" s="3" t="s">
        <v>62</v>
      </c>
      <c r="I3927" s="3" t="s">
        <v>62</v>
      </c>
      <c r="J3927" s="3" t="s">
        <v>62</v>
      </c>
      <c r="K3927" s="3" t="s">
        <v>63</v>
      </c>
      <c r="M3927" s="2" t="s">
        <v>37715</v>
      </c>
      <c r="N3927" s="3" t="s">
        <v>1465</v>
      </c>
      <c r="P3927" s="3" t="s">
        <v>65</v>
      </c>
      <c r="Q3927" s="2" t="s">
        <v>37716</v>
      </c>
      <c r="R3927" s="3" t="s">
        <v>66</v>
      </c>
      <c r="S3927" s="4">
        <v>3</v>
      </c>
      <c r="T3927" s="4">
        <v>3</v>
      </c>
      <c r="U3927" s="5" t="s">
        <v>25613</v>
      </c>
      <c r="V3927" s="5" t="s">
        <v>25613</v>
      </c>
      <c r="W3927" s="5" t="s">
        <v>67</v>
      </c>
      <c r="X3927" s="5" t="s">
        <v>67</v>
      </c>
      <c r="Y3927" s="4">
        <v>122</v>
      </c>
      <c r="Z3927" s="4">
        <v>13</v>
      </c>
      <c r="AA3927" s="4">
        <v>17</v>
      </c>
      <c r="AB3927" s="4">
        <v>2</v>
      </c>
      <c r="AC3927" s="4">
        <v>5</v>
      </c>
      <c r="AD3927" s="4">
        <v>49</v>
      </c>
      <c r="AE3927" s="4">
        <v>53</v>
      </c>
      <c r="AF3927" s="4">
        <v>0</v>
      </c>
      <c r="AG3927" s="4">
        <v>2</v>
      </c>
      <c r="AH3927" s="4">
        <v>47</v>
      </c>
      <c r="AI3927" s="4">
        <v>50</v>
      </c>
      <c r="AJ3927" s="4">
        <v>10</v>
      </c>
      <c r="AK3927" s="4">
        <v>12</v>
      </c>
      <c r="AL3927" s="4">
        <v>27</v>
      </c>
      <c r="AM3927" s="4">
        <v>29</v>
      </c>
      <c r="AN3927" s="4">
        <v>0</v>
      </c>
      <c r="AO3927" s="4">
        <v>0</v>
      </c>
      <c r="AP3927" s="4">
        <v>10</v>
      </c>
      <c r="AQ3927" s="4">
        <v>12</v>
      </c>
      <c r="AR3927" s="3" t="s">
        <v>62</v>
      </c>
      <c r="AS3927" s="3" t="s">
        <v>62</v>
      </c>
      <c r="AT3927" s="3" t="s">
        <v>62</v>
      </c>
      <c r="AV3927" s="6" t="str">
        <f>HYPERLINK("http://mcgill.on.worldcat.org/oclc/361969433","Catalog Record")</f>
        <v>Catalog Record</v>
      </c>
      <c r="AW3927" s="6" t="str">
        <f>HYPERLINK("http://www.worldcat.org/oclc/361969433","WorldCat Record")</f>
        <v>WorldCat Record</v>
      </c>
      <c r="AX3927" s="3" t="s">
        <v>37717</v>
      </c>
      <c r="AY3927" s="3" t="s">
        <v>37718</v>
      </c>
      <c r="AZ3927" s="3" t="s">
        <v>37719</v>
      </c>
      <c r="BA3927" s="3" t="s">
        <v>37719</v>
      </c>
      <c r="BB3927" s="3" t="s">
        <v>37720</v>
      </c>
      <c r="BC3927" s="3" t="s">
        <v>142</v>
      </c>
      <c r="BD3927" s="3" t="s">
        <v>68</v>
      </c>
      <c r="BE3927" s="3" t="s">
        <v>37721</v>
      </c>
      <c r="BF3927" s="3" t="s">
        <v>37720</v>
      </c>
      <c r="BG3927" s="3" t="s">
        <v>37722</v>
      </c>
    </row>
    <row r="3928" spans="1:59" ht="57" x14ac:dyDescent="0.45">
      <c r="A3928" s="2" t="s">
        <v>59</v>
      </c>
      <c r="B3928" s="2" t="s">
        <v>60</v>
      </c>
      <c r="C3928" s="2" t="s">
        <v>37723</v>
      </c>
      <c r="D3928" s="2" t="s">
        <v>37724</v>
      </c>
      <c r="E3928" s="2" t="s">
        <v>37725</v>
      </c>
      <c r="G3928" s="3" t="s">
        <v>62</v>
      </c>
      <c r="I3928" s="3" t="s">
        <v>61</v>
      </c>
      <c r="J3928" s="3" t="s">
        <v>62</v>
      </c>
      <c r="K3928" s="3" t="s">
        <v>63</v>
      </c>
      <c r="L3928" s="2" t="s">
        <v>8339</v>
      </c>
      <c r="M3928" s="2" t="s">
        <v>37726</v>
      </c>
      <c r="N3928" s="3" t="s">
        <v>807</v>
      </c>
      <c r="P3928" s="3" t="s">
        <v>65</v>
      </c>
      <c r="Q3928" s="2" t="s">
        <v>7366</v>
      </c>
      <c r="R3928" s="3" t="s">
        <v>66</v>
      </c>
      <c r="S3928" s="4">
        <v>81</v>
      </c>
      <c r="T3928" s="4">
        <v>134</v>
      </c>
      <c r="U3928" s="5" t="s">
        <v>9867</v>
      </c>
      <c r="V3928" s="5" t="s">
        <v>9867</v>
      </c>
      <c r="W3928" s="5" t="s">
        <v>67</v>
      </c>
      <c r="X3928" s="5" t="s">
        <v>67</v>
      </c>
      <c r="Y3928" s="4">
        <v>614</v>
      </c>
      <c r="Z3928" s="4">
        <v>31</v>
      </c>
      <c r="AA3928" s="4">
        <v>41</v>
      </c>
      <c r="AB3928" s="4">
        <v>4</v>
      </c>
      <c r="AC3928" s="4">
        <v>10</v>
      </c>
      <c r="AD3928" s="4">
        <v>103</v>
      </c>
      <c r="AE3928" s="4">
        <v>115</v>
      </c>
      <c r="AF3928" s="4">
        <v>1</v>
      </c>
      <c r="AG3928" s="4">
        <v>3</v>
      </c>
      <c r="AH3928" s="4">
        <v>91</v>
      </c>
      <c r="AI3928" s="4">
        <v>98</v>
      </c>
      <c r="AJ3928" s="4">
        <v>15</v>
      </c>
      <c r="AK3928" s="4">
        <v>20</v>
      </c>
      <c r="AL3928" s="4">
        <v>44</v>
      </c>
      <c r="AM3928" s="4">
        <v>48</v>
      </c>
      <c r="AN3928" s="4">
        <v>0</v>
      </c>
      <c r="AO3928" s="4">
        <v>0</v>
      </c>
      <c r="AP3928" s="4">
        <v>22</v>
      </c>
      <c r="AQ3928" s="4">
        <v>28</v>
      </c>
      <c r="AR3928" s="3" t="s">
        <v>62</v>
      </c>
      <c r="AS3928" s="3" t="s">
        <v>62</v>
      </c>
      <c r="AT3928" s="3" t="s">
        <v>61</v>
      </c>
      <c r="AU3928" s="6" t="str">
        <f>HYPERLINK("http://catalog.hathitrust.org/Record/003133145","HathiTrust Record")</f>
        <v>HathiTrust Record</v>
      </c>
      <c r="AV3928" s="6" t="str">
        <f>HYPERLINK("http://mcgill.on.worldcat.org/oclc/21524540","Catalog Record")</f>
        <v>Catalog Record</v>
      </c>
      <c r="AW3928" s="6" t="str">
        <f>HYPERLINK("http://www.worldcat.org/oclc/21524540","WorldCat Record")</f>
        <v>WorldCat Record</v>
      </c>
      <c r="AX3928" s="3" t="s">
        <v>37727</v>
      </c>
      <c r="AY3928" s="3" t="s">
        <v>37728</v>
      </c>
      <c r="AZ3928" s="3" t="s">
        <v>37729</v>
      </c>
      <c r="BA3928" s="3" t="s">
        <v>37729</v>
      </c>
      <c r="BB3928" s="3" t="s">
        <v>37730</v>
      </c>
      <c r="BC3928" s="3" t="s">
        <v>142</v>
      </c>
      <c r="BD3928" s="3" t="s">
        <v>68</v>
      </c>
      <c r="BE3928" s="3" t="s">
        <v>37731</v>
      </c>
      <c r="BF3928" s="3" t="s">
        <v>37730</v>
      </c>
      <c r="BG3928" s="3" t="s">
        <v>37732</v>
      </c>
    </row>
    <row r="3929" spans="1:59" ht="57" x14ac:dyDescent="0.45">
      <c r="A3929" s="2" t="s">
        <v>59</v>
      </c>
      <c r="B3929" s="2" t="s">
        <v>60</v>
      </c>
      <c r="C3929" s="2" t="s">
        <v>37723</v>
      </c>
      <c r="D3929" s="2" t="s">
        <v>37724</v>
      </c>
      <c r="E3929" s="2" t="s">
        <v>37725</v>
      </c>
      <c r="G3929" s="3" t="s">
        <v>62</v>
      </c>
      <c r="I3929" s="3" t="s">
        <v>61</v>
      </c>
      <c r="J3929" s="3" t="s">
        <v>62</v>
      </c>
      <c r="K3929" s="3" t="s">
        <v>63</v>
      </c>
      <c r="L3929" s="2" t="s">
        <v>8339</v>
      </c>
      <c r="M3929" s="2" t="s">
        <v>37726</v>
      </c>
      <c r="N3929" s="3" t="s">
        <v>807</v>
      </c>
      <c r="P3929" s="3" t="s">
        <v>65</v>
      </c>
      <c r="Q3929" s="2" t="s">
        <v>7366</v>
      </c>
      <c r="R3929" s="3" t="s">
        <v>66</v>
      </c>
      <c r="S3929" s="4">
        <v>53</v>
      </c>
      <c r="T3929" s="4">
        <v>134</v>
      </c>
      <c r="U3929" s="5" t="s">
        <v>37733</v>
      </c>
      <c r="V3929" s="5" t="s">
        <v>9867</v>
      </c>
      <c r="W3929" s="5" t="s">
        <v>67</v>
      </c>
      <c r="X3929" s="5" t="s">
        <v>67</v>
      </c>
      <c r="Y3929" s="4">
        <v>614</v>
      </c>
      <c r="Z3929" s="4">
        <v>31</v>
      </c>
      <c r="AA3929" s="4">
        <v>41</v>
      </c>
      <c r="AB3929" s="4">
        <v>4</v>
      </c>
      <c r="AC3929" s="4">
        <v>10</v>
      </c>
      <c r="AD3929" s="4">
        <v>103</v>
      </c>
      <c r="AE3929" s="4">
        <v>115</v>
      </c>
      <c r="AF3929" s="4">
        <v>1</v>
      </c>
      <c r="AG3929" s="4">
        <v>3</v>
      </c>
      <c r="AH3929" s="4">
        <v>91</v>
      </c>
      <c r="AI3929" s="4">
        <v>98</v>
      </c>
      <c r="AJ3929" s="4">
        <v>15</v>
      </c>
      <c r="AK3929" s="4">
        <v>20</v>
      </c>
      <c r="AL3929" s="4">
        <v>44</v>
      </c>
      <c r="AM3929" s="4">
        <v>48</v>
      </c>
      <c r="AN3929" s="4">
        <v>0</v>
      </c>
      <c r="AO3929" s="4">
        <v>0</v>
      </c>
      <c r="AP3929" s="4">
        <v>22</v>
      </c>
      <c r="AQ3929" s="4">
        <v>28</v>
      </c>
      <c r="AR3929" s="3" t="s">
        <v>62</v>
      </c>
      <c r="AS3929" s="3" t="s">
        <v>62</v>
      </c>
      <c r="AT3929" s="3" t="s">
        <v>61</v>
      </c>
      <c r="AU3929" s="6" t="str">
        <f>HYPERLINK("http://catalog.hathitrust.org/Record/003133145","HathiTrust Record")</f>
        <v>HathiTrust Record</v>
      </c>
      <c r="AV3929" s="6" t="str">
        <f>HYPERLINK("http://mcgill.on.worldcat.org/oclc/21524540","Catalog Record")</f>
        <v>Catalog Record</v>
      </c>
      <c r="AW3929" s="6" t="str">
        <f>HYPERLINK("http://www.worldcat.org/oclc/21524540","WorldCat Record")</f>
        <v>WorldCat Record</v>
      </c>
      <c r="AX3929" s="3" t="s">
        <v>37727</v>
      </c>
      <c r="AY3929" s="3" t="s">
        <v>37728</v>
      </c>
      <c r="AZ3929" s="3" t="s">
        <v>37729</v>
      </c>
      <c r="BA3929" s="3" t="s">
        <v>37729</v>
      </c>
      <c r="BB3929" s="3" t="s">
        <v>37734</v>
      </c>
      <c r="BC3929" s="3" t="s">
        <v>142</v>
      </c>
      <c r="BD3929" s="3" t="s">
        <v>68</v>
      </c>
      <c r="BE3929" s="3" t="s">
        <v>37731</v>
      </c>
      <c r="BF3929" s="3" t="s">
        <v>37734</v>
      </c>
      <c r="BG3929" s="3" t="s">
        <v>37735</v>
      </c>
    </row>
    <row r="3930" spans="1:59" ht="57" x14ac:dyDescent="0.45">
      <c r="A3930" s="2" t="s">
        <v>59</v>
      </c>
      <c r="B3930" s="2" t="s">
        <v>60</v>
      </c>
      <c r="C3930" s="2" t="s">
        <v>37736</v>
      </c>
      <c r="D3930" s="2" t="s">
        <v>37737</v>
      </c>
      <c r="E3930" s="2" t="s">
        <v>37738</v>
      </c>
      <c r="G3930" s="3" t="s">
        <v>62</v>
      </c>
      <c r="I3930" s="3" t="s">
        <v>62</v>
      </c>
      <c r="J3930" s="3" t="s">
        <v>62</v>
      </c>
      <c r="K3930" s="3" t="s">
        <v>63</v>
      </c>
      <c r="L3930" s="2" t="s">
        <v>37739</v>
      </c>
      <c r="M3930" s="2" t="s">
        <v>8910</v>
      </c>
      <c r="N3930" s="3" t="s">
        <v>149</v>
      </c>
      <c r="P3930" s="3" t="s">
        <v>65</v>
      </c>
      <c r="Q3930" s="2" t="s">
        <v>37623</v>
      </c>
      <c r="R3930" s="3" t="s">
        <v>66</v>
      </c>
      <c r="S3930" s="4">
        <v>9</v>
      </c>
      <c r="T3930" s="4">
        <v>9</v>
      </c>
      <c r="U3930" s="5" t="s">
        <v>9923</v>
      </c>
      <c r="V3930" s="5" t="s">
        <v>9923</v>
      </c>
      <c r="W3930" s="5" t="s">
        <v>67</v>
      </c>
      <c r="X3930" s="5" t="s">
        <v>67</v>
      </c>
      <c r="Y3930" s="4">
        <v>182</v>
      </c>
      <c r="Z3930" s="4">
        <v>13</v>
      </c>
      <c r="AA3930" s="4">
        <v>21</v>
      </c>
      <c r="AB3930" s="4">
        <v>3</v>
      </c>
      <c r="AC3930" s="4">
        <v>8</v>
      </c>
      <c r="AD3930" s="4">
        <v>44</v>
      </c>
      <c r="AE3930" s="4">
        <v>57</v>
      </c>
      <c r="AF3930" s="4">
        <v>1</v>
      </c>
      <c r="AG3930" s="4">
        <v>3</v>
      </c>
      <c r="AH3930" s="4">
        <v>39</v>
      </c>
      <c r="AI3930" s="4">
        <v>49</v>
      </c>
      <c r="AJ3930" s="4">
        <v>9</v>
      </c>
      <c r="AK3930" s="4">
        <v>13</v>
      </c>
      <c r="AL3930" s="4">
        <v>23</v>
      </c>
      <c r="AM3930" s="4">
        <v>26</v>
      </c>
      <c r="AN3930" s="4">
        <v>0</v>
      </c>
      <c r="AO3930" s="4">
        <v>0</v>
      </c>
      <c r="AP3930" s="4">
        <v>10</v>
      </c>
      <c r="AQ3930" s="4">
        <v>14</v>
      </c>
      <c r="AR3930" s="3" t="s">
        <v>62</v>
      </c>
      <c r="AS3930" s="3" t="s">
        <v>62</v>
      </c>
      <c r="AT3930" s="3" t="s">
        <v>62</v>
      </c>
      <c r="AV3930" s="6" t="str">
        <f>HYPERLINK("http://mcgill.on.worldcat.org/oclc/192080476","Catalog Record")</f>
        <v>Catalog Record</v>
      </c>
      <c r="AW3930" s="6" t="str">
        <f>HYPERLINK("http://www.worldcat.org/oclc/192080476","WorldCat Record")</f>
        <v>WorldCat Record</v>
      </c>
      <c r="AX3930" s="3" t="s">
        <v>37740</v>
      </c>
      <c r="AY3930" s="3" t="s">
        <v>37741</v>
      </c>
      <c r="AZ3930" s="3" t="s">
        <v>37742</v>
      </c>
      <c r="BA3930" s="3" t="s">
        <v>37742</v>
      </c>
      <c r="BB3930" s="3" t="s">
        <v>37743</v>
      </c>
      <c r="BC3930" s="3" t="s">
        <v>142</v>
      </c>
      <c r="BD3930" s="3" t="s">
        <v>308</v>
      </c>
      <c r="BE3930" s="3" t="s">
        <v>37744</v>
      </c>
      <c r="BF3930" s="3" t="s">
        <v>37743</v>
      </c>
      <c r="BG3930" s="3" t="s">
        <v>37745</v>
      </c>
    </row>
    <row r="3931" spans="1:59" ht="57" x14ac:dyDescent="0.45">
      <c r="A3931" s="2" t="s">
        <v>59</v>
      </c>
      <c r="B3931" s="2" t="s">
        <v>60</v>
      </c>
      <c r="C3931" s="2" t="s">
        <v>37746</v>
      </c>
      <c r="D3931" s="2" t="s">
        <v>37747</v>
      </c>
      <c r="E3931" s="2" t="s">
        <v>37748</v>
      </c>
      <c r="G3931" s="3" t="s">
        <v>62</v>
      </c>
      <c r="I3931" s="3" t="s">
        <v>62</v>
      </c>
      <c r="J3931" s="3" t="s">
        <v>62</v>
      </c>
      <c r="K3931" s="3" t="s">
        <v>63</v>
      </c>
      <c r="M3931" s="2" t="s">
        <v>10828</v>
      </c>
      <c r="N3931" s="3" t="s">
        <v>894</v>
      </c>
      <c r="P3931" s="3" t="s">
        <v>65</v>
      </c>
      <c r="Q3931" s="2" t="s">
        <v>37749</v>
      </c>
      <c r="R3931" s="3" t="s">
        <v>66</v>
      </c>
      <c r="S3931" s="4">
        <v>1</v>
      </c>
      <c r="T3931" s="4">
        <v>1</v>
      </c>
      <c r="U3931" s="5" t="s">
        <v>37750</v>
      </c>
      <c r="V3931" s="5" t="s">
        <v>37750</v>
      </c>
      <c r="W3931" s="5" t="s">
        <v>67</v>
      </c>
      <c r="X3931" s="5" t="s">
        <v>67</v>
      </c>
      <c r="Y3931" s="4">
        <v>145</v>
      </c>
      <c r="Z3931" s="4">
        <v>14</v>
      </c>
      <c r="AA3931" s="4">
        <v>91</v>
      </c>
      <c r="AB3931" s="4">
        <v>2</v>
      </c>
      <c r="AC3931" s="4">
        <v>17</v>
      </c>
      <c r="AD3931" s="4">
        <v>43</v>
      </c>
      <c r="AE3931" s="4">
        <v>119</v>
      </c>
      <c r="AF3931" s="4">
        <v>1</v>
      </c>
      <c r="AG3931" s="4">
        <v>8</v>
      </c>
      <c r="AH3931" s="4">
        <v>37</v>
      </c>
      <c r="AI3931" s="4">
        <v>82</v>
      </c>
      <c r="AJ3931" s="4">
        <v>11</v>
      </c>
      <c r="AK3931" s="4">
        <v>22</v>
      </c>
      <c r="AL3931" s="4">
        <v>21</v>
      </c>
      <c r="AM3931" s="4">
        <v>44</v>
      </c>
      <c r="AN3931" s="4">
        <v>0</v>
      </c>
      <c r="AO3931" s="4">
        <v>0</v>
      </c>
      <c r="AP3931" s="4">
        <v>11</v>
      </c>
      <c r="AQ3931" s="4">
        <v>43</v>
      </c>
      <c r="AR3931" s="3" t="s">
        <v>62</v>
      </c>
      <c r="AS3931" s="3" t="s">
        <v>62</v>
      </c>
      <c r="AT3931" s="3" t="s">
        <v>62</v>
      </c>
      <c r="AV3931" s="6" t="str">
        <f>HYPERLINK("http://mcgill.on.worldcat.org/oclc/729345025","Catalog Record")</f>
        <v>Catalog Record</v>
      </c>
      <c r="AW3931" s="6" t="str">
        <f>HYPERLINK("http://www.worldcat.org/oclc/729345025","WorldCat Record")</f>
        <v>WorldCat Record</v>
      </c>
      <c r="AX3931" s="3" t="s">
        <v>37751</v>
      </c>
      <c r="AY3931" s="3" t="s">
        <v>37752</v>
      </c>
      <c r="AZ3931" s="3" t="s">
        <v>37753</v>
      </c>
      <c r="BA3931" s="3" t="s">
        <v>37753</v>
      </c>
      <c r="BB3931" s="3" t="s">
        <v>37754</v>
      </c>
      <c r="BC3931" s="3" t="s">
        <v>142</v>
      </c>
      <c r="BD3931" s="3" t="s">
        <v>68</v>
      </c>
      <c r="BE3931" s="3" t="s">
        <v>37755</v>
      </c>
      <c r="BF3931" s="3" t="s">
        <v>37754</v>
      </c>
      <c r="BG3931" s="3" t="s">
        <v>37756</v>
      </c>
    </row>
    <row r="3932" spans="1:59" ht="57" x14ac:dyDescent="0.45">
      <c r="A3932" s="2" t="s">
        <v>59</v>
      </c>
      <c r="B3932" s="2" t="s">
        <v>60</v>
      </c>
      <c r="C3932" s="2" t="s">
        <v>37757</v>
      </c>
      <c r="D3932" s="2" t="s">
        <v>37758</v>
      </c>
      <c r="E3932" s="2" t="s">
        <v>37759</v>
      </c>
      <c r="G3932" s="3" t="s">
        <v>62</v>
      </c>
      <c r="I3932" s="3" t="s">
        <v>62</v>
      </c>
      <c r="J3932" s="3" t="s">
        <v>62</v>
      </c>
      <c r="K3932" s="3" t="s">
        <v>63</v>
      </c>
      <c r="M3932" s="2" t="s">
        <v>4141</v>
      </c>
      <c r="N3932" s="3" t="s">
        <v>542</v>
      </c>
      <c r="P3932" s="3" t="s">
        <v>65</v>
      </c>
      <c r="Q3932" s="2" t="s">
        <v>7366</v>
      </c>
      <c r="R3932" s="3" t="s">
        <v>66</v>
      </c>
      <c r="S3932" s="4">
        <v>21</v>
      </c>
      <c r="T3932" s="4">
        <v>21</v>
      </c>
      <c r="U3932" s="5" t="s">
        <v>126</v>
      </c>
      <c r="V3932" s="5" t="s">
        <v>126</v>
      </c>
      <c r="W3932" s="5" t="s">
        <v>67</v>
      </c>
      <c r="X3932" s="5" t="s">
        <v>67</v>
      </c>
      <c r="Y3932" s="4">
        <v>203</v>
      </c>
      <c r="Z3932" s="4">
        <v>17</v>
      </c>
      <c r="AA3932" s="4">
        <v>20</v>
      </c>
      <c r="AB3932" s="4">
        <v>3</v>
      </c>
      <c r="AC3932" s="4">
        <v>6</v>
      </c>
      <c r="AD3932" s="4">
        <v>54</v>
      </c>
      <c r="AE3932" s="4">
        <v>55</v>
      </c>
      <c r="AF3932" s="4">
        <v>1</v>
      </c>
      <c r="AG3932" s="4">
        <v>1</v>
      </c>
      <c r="AH3932" s="4">
        <v>49</v>
      </c>
      <c r="AI3932" s="4">
        <v>50</v>
      </c>
      <c r="AJ3932" s="4">
        <v>10</v>
      </c>
      <c r="AK3932" s="4">
        <v>10</v>
      </c>
      <c r="AL3932" s="4">
        <v>29</v>
      </c>
      <c r="AM3932" s="4">
        <v>29</v>
      </c>
      <c r="AN3932" s="4">
        <v>0</v>
      </c>
      <c r="AO3932" s="4">
        <v>0</v>
      </c>
      <c r="AP3932" s="4">
        <v>12</v>
      </c>
      <c r="AQ3932" s="4">
        <v>12</v>
      </c>
      <c r="AR3932" s="3" t="s">
        <v>62</v>
      </c>
      <c r="AS3932" s="3" t="s">
        <v>62</v>
      </c>
      <c r="AT3932" s="3" t="s">
        <v>62</v>
      </c>
      <c r="AV3932" s="6" t="str">
        <f>HYPERLINK("http://mcgill.on.worldcat.org/oclc/44750712","Catalog Record")</f>
        <v>Catalog Record</v>
      </c>
      <c r="AW3932" s="6" t="str">
        <f>HYPERLINK("http://www.worldcat.org/oclc/44750712","WorldCat Record")</f>
        <v>WorldCat Record</v>
      </c>
      <c r="AX3932" s="3" t="s">
        <v>37760</v>
      </c>
      <c r="AY3932" s="3" t="s">
        <v>37761</v>
      </c>
      <c r="AZ3932" s="3" t="s">
        <v>37762</v>
      </c>
      <c r="BA3932" s="3" t="s">
        <v>37762</v>
      </c>
      <c r="BB3932" s="3" t="s">
        <v>37763</v>
      </c>
      <c r="BC3932" s="3" t="s">
        <v>142</v>
      </c>
      <c r="BD3932" s="3" t="s">
        <v>308</v>
      </c>
      <c r="BE3932" s="3" t="s">
        <v>37764</v>
      </c>
      <c r="BF3932" s="3" t="s">
        <v>37763</v>
      </c>
      <c r="BG3932" s="3" t="s">
        <v>37765</v>
      </c>
    </row>
    <row r="3933" spans="1:59" ht="57" x14ac:dyDescent="0.45">
      <c r="A3933" s="2" t="s">
        <v>59</v>
      </c>
      <c r="B3933" s="2" t="s">
        <v>60</v>
      </c>
      <c r="C3933" s="2" t="s">
        <v>37766</v>
      </c>
      <c r="D3933" s="2" t="s">
        <v>37767</v>
      </c>
      <c r="E3933" s="2" t="s">
        <v>37768</v>
      </c>
      <c r="G3933" s="3" t="s">
        <v>62</v>
      </c>
      <c r="I3933" s="3" t="s">
        <v>62</v>
      </c>
      <c r="J3933" s="3" t="s">
        <v>62</v>
      </c>
      <c r="K3933" s="3" t="s">
        <v>63</v>
      </c>
      <c r="L3933" s="2" t="s">
        <v>8362</v>
      </c>
      <c r="M3933" s="2" t="s">
        <v>36182</v>
      </c>
      <c r="N3933" s="3" t="s">
        <v>945</v>
      </c>
      <c r="P3933" s="3" t="s">
        <v>65</v>
      </c>
      <c r="R3933" s="3" t="s">
        <v>66</v>
      </c>
      <c r="S3933" s="4">
        <v>5</v>
      </c>
      <c r="T3933" s="4">
        <v>5</v>
      </c>
      <c r="U3933" s="5" t="s">
        <v>7321</v>
      </c>
      <c r="V3933" s="5" t="s">
        <v>7321</v>
      </c>
      <c r="W3933" s="5" t="s">
        <v>67</v>
      </c>
      <c r="X3933" s="5" t="s">
        <v>67</v>
      </c>
      <c r="Y3933" s="4">
        <v>134</v>
      </c>
      <c r="Z3933" s="4">
        <v>14</v>
      </c>
      <c r="AA3933" s="4">
        <v>15</v>
      </c>
      <c r="AB3933" s="4">
        <v>2</v>
      </c>
      <c r="AC3933" s="4">
        <v>3</v>
      </c>
      <c r="AD3933" s="4">
        <v>55</v>
      </c>
      <c r="AE3933" s="4">
        <v>56</v>
      </c>
      <c r="AF3933" s="4">
        <v>1</v>
      </c>
      <c r="AG3933" s="4">
        <v>2</v>
      </c>
      <c r="AH3933" s="4">
        <v>50</v>
      </c>
      <c r="AI3933" s="4">
        <v>50</v>
      </c>
      <c r="AJ3933" s="4">
        <v>11</v>
      </c>
      <c r="AK3933" s="4">
        <v>12</v>
      </c>
      <c r="AL3933" s="4">
        <v>31</v>
      </c>
      <c r="AM3933" s="4">
        <v>31</v>
      </c>
      <c r="AN3933" s="4">
        <v>0</v>
      </c>
      <c r="AO3933" s="4">
        <v>0</v>
      </c>
      <c r="AP3933" s="4">
        <v>12</v>
      </c>
      <c r="AQ3933" s="4">
        <v>13</v>
      </c>
      <c r="AR3933" s="3" t="s">
        <v>62</v>
      </c>
      <c r="AS3933" s="3" t="s">
        <v>62</v>
      </c>
      <c r="AT3933" s="3" t="s">
        <v>61</v>
      </c>
      <c r="AU3933" s="6" t="str">
        <f>HYPERLINK("http://catalog.hathitrust.org/Record/008325183","HathiTrust Record")</f>
        <v>HathiTrust Record</v>
      </c>
      <c r="AV3933" s="6" t="str">
        <f>HYPERLINK("http://mcgill.on.worldcat.org/oclc/79861375","Catalog Record")</f>
        <v>Catalog Record</v>
      </c>
      <c r="AW3933" s="6" t="str">
        <f>HYPERLINK("http://www.worldcat.org/oclc/79861375","WorldCat Record")</f>
        <v>WorldCat Record</v>
      </c>
      <c r="AX3933" s="3" t="s">
        <v>37769</v>
      </c>
      <c r="AY3933" s="3" t="s">
        <v>37770</v>
      </c>
      <c r="AZ3933" s="3" t="s">
        <v>37771</v>
      </c>
      <c r="BA3933" s="3" t="s">
        <v>37771</v>
      </c>
      <c r="BB3933" s="3" t="s">
        <v>37772</v>
      </c>
      <c r="BC3933" s="3" t="s">
        <v>142</v>
      </c>
      <c r="BD3933" s="3" t="s">
        <v>68</v>
      </c>
      <c r="BE3933" s="3" t="s">
        <v>37773</v>
      </c>
      <c r="BF3933" s="3" t="s">
        <v>37772</v>
      </c>
      <c r="BG3933" s="3" t="s">
        <v>37774</v>
      </c>
    </row>
    <row r="3934" spans="1:59" ht="57" x14ac:dyDescent="0.45">
      <c r="A3934" s="2" t="s">
        <v>59</v>
      </c>
      <c r="B3934" s="2" t="s">
        <v>60</v>
      </c>
      <c r="C3934" s="2" t="s">
        <v>37775</v>
      </c>
      <c r="D3934" s="2" t="s">
        <v>37776</v>
      </c>
      <c r="E3934" s="2" t="s">
        <v>37777</v>
      </c>
      <c r="G3934" s="3" t="s">
        <v>62</v>
      </c>
      <c r="I3934" s="3" t="s">
        <v>62</v>
      </c>
      <c r="J3934" s="3" t="s">
        <v>62</v>
      </c>
      <c r="K3934" s="3" t="s">
        <v>63</v>
      </c>
      <c r="L3934" s="2" t="s">
        <v>37778</v>
      </c>
      <c r="M3934" s="2" t="s">
        <v>29225</v>
      </c>
      <c r="N3934" s="3" t="s">
        <v>149</v>
      </c>
      <c r="P3934" s="3" t="s">
        <v>65</v>
      </c>
      <c r="R3934" s="3" t="s">
        <v>66</v>
      </c>
      <c r="S3934" s="4">
        <v>0</v>
      </c>
      <c r="T3934" s="4">
        <v>0</v>
      </c>
      <c r="W3934" s="5" t="s">
        <v>67</v>
      </c>
      <c r="X3934" s="5" t="s">
        <v>67</v>
      </c>
      <c r="Y3934" s="4">
        <v>65</v>
      </c>
      <c r="Z3934" s="4">
        <v>10</v>
      </c>
      <c r="AA3934" s="4">
        <v>39</v>
      </c>
      <c r="AB3934" s="4">
        <v>2</v>
      </c>
      <c r="AC3934" s="4">
        <v>12</v>
      </c>
      <c r="AD3934" s="4">
        <v>22</v>
      </c>
      <c r="AE3934" s="4">
        <v>37</v>
      </c>
      <c r="AF3934" s="4">
        <v>1</v>
      </c>
      <c r="AG3934" s="4">
        <v>6</v>
      </c>
      <c r="AH3934" s="4">
        <v>20</v>
      </c>
      <c r="AI3934" s="4">
        <v>26</v>
      </c>
      <c r="AJ3934" s="4">
        <v>7</v>
      </c>
      <c r="AK3934" s="4">
        <v>12</v>
      </c>
      <c r="AL3934" s="4">
        <v>10</v>
      </c>
      <c r="AM3934" s="4">
        <v>13</v>
      </c>
      <c r="AN3934" s="4">
        <v>0</v>
      </c>
      <c r="AO3934" s="4">
        <v>0</v>
      </c>
      <c r="AP3934" s="4">
        <v>7</v>
      </c>
      <c r="AQ3934" s="4">
        <v>17</v>
      </c>
      <c r="AR3934" s="3" t="s">
        <v>62</v>
      </c>
      <c r="AS3934" s="3" t="s">
        <v>62</v>
      </c>
      <c r="AT3934" s="3" t="s">
        <v>62</v>
      </c>
      <c r="AV3934" s="6" t="str">
        <f>HYPERLINK("http://mcgill.on.worldcat.org/oclc/665064422","Catalog Record")</f>
        <v>Catalog Record</v>
      </c>
      <c r="AW3934" s="6" t="str">
        <f>HYPERLINK("http://www.worldcat.org/oclc/665064422","WorldCat Record")</f>
        <v>WorldCat Record</v>
      </c>
      <c r="AX3934" s="3" t="s">
        <v>37779</v>
      </c>
      <c r="AY3934" s="3" t="s">
        <v>37780</v>
      </c>
      <c r="AZ3934" s="3" t="s">
        <v>37781</v>
      </c>
      <c r="BA3934" s="3" t="s">
        <v>37781</v>
      </c>
      <c r="BB3934" s="3" t="s">
        <v>37782</v>
      </c>
      <c r="BC3934" s="3" t="s">
        <v>142</v>
      </c>
      <c r="BD3934" s="3" t="s">
        <v>68</v>
      </c>
      <c r="BE3934" s="3" t="s">
        <v>37783</v>
      </c>
      <c r="BF3934" s="3" t="s">
        <v>37782</v>
      </c>
      <c r="BG3934" s="3" t="s">
        <v>37784</v>
      </c>
    </row>
    <row r="3935" spans="1:59" ht="57" x14ac:dyDescent="0.45">
      <c r="A3935" s="2" t="s">
        <v>59</v>
      </c>
      <c r="B3935" s="2" t="s">
        <v>60</v>
      </c>
      <c r="C3935" s="2" t="s">
        <v>37785</v>
      </c>
      <c r="D3935" s="2" t="s">
        <v>37786</v>
      </c>
      <c r="E3935" s="2" t="s">
        <v>37787</v>
      </c>
      <c r="G3935" s="3" t="s">
        <v>62</v>
      </c>
      <c r="I3935" s="3" t="s">
        <v>62</v>
      </c>
      <c r="J3935" s="3" t="s">
        <v>62</v>
      </c>
      <c r="K3935" s="3" t="s">
        <v>63</v>
      </c>
      <c r="M3935" s="2" t="s">
        <v>37788</v>
      </c>
      <c r="N3935" s="3" t="s">
        <v>1465</v>
      </c>
      <c r="P3935" s="3" t="s">
        <v>65</v>
      </c>
      <c r="Q3935" s="2" t="s">
        <v>37789</v>
      </c>
      <c r="R3935" s="3" t="s">
        <v>66</v>
      </c>
      <c r="S3935" s="4">
        <v>6</v>
      </c>
      <c r="T3935" s="4">
        <v>6</v>
      </c>
      <c r="U3935" s="5" t="s">
        <v>37790</v>
      </c>
      <c r="V3935" s="5" t="s">
        <v>37790</v>
      </c>
      <c r="W3935" s="5" t="s">
        <v>67</v>
      </c>
      <c r="X3935" s="5" t="s">
        <v>67</v>
      </c>
      <c r="Y3935" s="4">
        <v>131</v>
      </c>
      <c r="Z3935" s="4">
        <v>18</v>
      </c>
      <c r="AA3935" s="4">
        <v>99</v>
      </c>
      <c r="AB3935" s="4">
        <v>3</v>
      </c>
      <c r="AC3935" s="4">
        <v>18</v>
      </c>
      <c r="AD3935" s="4">
        <v>37</v>
      </c>
      <c r="AE3935" s="4">
        <v>110</v>
      </c>
      <c r="AF3935" s="4">
        <v>1</v>
      </c>
      <c r="AG3935" s="4">
        <v>8</v>
      </c>
      <c r="AH3935" s="4">
        <v>29</v>
      </c>
      <c r="AI3935" s="4">
        <v>74</v>
      </c>
      <c r="AJ3935" s="4">
        <v>12</v>
      </c>
      <c r="AK3935" s="4">
        <v>23</v>
      </c>
      <c r="AL3935" s="4">
        <v>20</v>
      </c>
      <c r="AM3935" s="4">
        <v>37</v>
      </c>
      <c r="AN3935" s="4">
        <v>0</v>
      </c>
      <c r="AO3935" s="4">
        <v>0</v>
      </c>
      <c r="AP3935" s="4">
        <v>13</v>
      </c>
      <c r="AQ3935" s="4">
        <v>44</v>
      </c>
      <c r="AR3935" s="3" t="s">
        <v>62</v>
      </c>
      <c r="AS3935" s="3" t="s">
        <v>62</v>
      </c>
      <c r="AT3935" s="3" t="s">
        <v>62</v>
      </c>
      <c r="AV3935" s="6" t="str">
        <f>HYPERLINK("http://mcgill.on.worldcat.org/oclc/299240440","Catalog Record")</f>
        <v>Catalog Record</v>
      </c>
      <c r="AW3935" s="6" t="str">
        <f>HYPERLINK("http://www.worldcat.org/oclc/299240440","WorldCat Record")</f>
        <v>WorldCat Record</v>
      </c>
      <c r="AX3935" s="3" t="s">
        <v>37791</v>
      </c>
      <c r="AY3935" s="3" t="s">
        <v>37792</v>
      </c>
      <c r="AZ3935" s="3" t="s">
        <v>37793</v>
      </c>
      <c r="BA3935" s="3" t="s">
        <v>37793</v>
      </c>
      <c r="BB3935" s="3" t="s">
        <v>37794</v>
      </c>
      <c r="BC3935" s="3" t="s">
        <v>142</v>
      </c>
      <c r="BD3935" s="3" t="s">
        <v>68</v>
      </c>
      <c r="BE3935" s="3" t="s">
        <v>37795</v>
      </c>
      <c r="BF3935" s="3" t="s">
        <v>37794</v>
      </c>
      <c r="BG3935" s="3" t="s">
        <v>37796</v>
      </c>
    </row>
    <row r="3936" spans="1:59" ht="57" x14ac:dyDescent="0.45">
      <c r="A3936" s="2" t="s">
        <v>59</v>
      </c>
      <c r="B3936" s="2" t="s">
        <v>60</v>
      </c>
      <c r="C3936" s="2" t="s">
        <v>37797</v>
      </c>
      <c r="D3936" s="2" t="s">
        <v>37798</v>
      </c>
      <c r="E3936" s="2" t="s">
        <v>37799</v>
      </c>
      <c r="G3936" s="3" t="s">
        <v>62</v>
      </c>
      <c r="I3936" s="3" t="s">
        <v>62</v>
      </c>
      <c r="J3936" s="3" t="s">
        <v>62</v>
      </c>
      <c r="K3936" s="3" t="s">
        <v>63</v>
      </c>
      <c r="M3936" s="2" t="s">
        <v>2928</v>
      </c>
      <c r="N3936" s="3" t="s">
        <v>918</v>
      </c>
      <c r="P3936" s="3" t="s">
        <v>65</v>
      </c>
      <c r="Q3936" s="2" t="s">
        <v>37800</v>
      </c>
      <c r="R3936" s="3" t="s">
        <v>66</v>
      </c>
      <c r="S3936" s="4">
        <v>11</v>
      </c>
      <c r="T3936" s="4">
        <v>11</v>
      </c>
      <c r="U3936" s="5" t="s">
        <v>22871</v>
      </c>
      <c r="V3936" s="5" t="s">
        <v>22871</v>
      </c>
      <c r="W3936" s="5" t="s">
        <v>67</v>
      </c>
      <c r="X3936" s="5" t="s">
        <v>67</v>
      </c>
      <c r="Y3936" s="4">
        <v>141</v>
      </c>
      <c r="Z3936" s="4">
        <v>11</v>
      </c>
      <c r="AA3936" s="4">
        <v>103</v>
      </c>
      <c r="AB3936" s="4">
        <v>2</v>
      </c>
      <c r="AC3936" s="4">
        <v>17</v>
      </c>
      <c r="AD3936" s="4">
        <v>59</v>
      </c>
      <c r="AE3936" s="4">
        <v>122</v>
      </c>
      <c r="AF3936" s="4">
        <v>1</v>
      </c>
      <c r="AG3936" s="4">
        <v>8</v>
      </c>
      <c r="AH3936" s="4">
        <v>53</v>
      </c>
      <c r="AI3936" s="4">
        <v>85</v>
      </c>
      <c r="AJ3936" s="4">
        <v>8</v>
      </c>
      <c r="AK3936" s="4">
        <v>23</v>
      </c>
      <c r="AL3936" s="4">
        <v>35</v>
      </c>
      <c r="AM3936" s="4">
        <v>45</v>
      </c>
      <c r="AN3936" s="4">
        <v>0</v>
      </c>
      <c r="AO3936" s="4">
        <v>0</v>
      </c>
      <c r="AP3936" s="4">
        <v>8</v>
      </c>
      <c r="AQ3936" s="4">
        <v>44</v>
      </c>
      <c r="AR3936" s="3" t="s">
        <v>62</v>
      </c>
      <c r="AS3936" s="3" t="s">
        <v>62</v>
      </c>
      <c r="AT3936" s="3" t="s">
        <v>62</v>
      </c>
      <c r="AV3936" s="6" t="str">
        <f>HYPERLINK("http://mcgill.on.worldcat.org/oclc/52377592","Catalog Record")</f>
        <v>Catalog Record</v>
      </c>
      <c r="AW3936" s="6" t="str">
        <f>HYPERLINK("http://www.worldcat.org/oclc/52377592","WorldCat Record")</f>
        <v>WorldCat Record</v>
      </c>
      <c r="AX3936" s="3" t="s">
        <v>37801</v>
      </c>
      <c r="AY3936" s="3" t="s">
        <v>37802</v>
      </c>
      <c r="AZ3936" s="3" t="s">
        <v>37803</v>
      </c>
      <c r="BA3936" s="3" t="s">
        <v>37803</v>
      </c>
      <c r="BB3936" s="3" t="s">
        <v>37804</v>
      </c>
      <c r="BC3936" s="3" t="s">
        <v>142</v>
      </c>
      <c r="BD3936" s="3" t="s">
        <v>68</v>
      </c>
      <c r="BE3936" s="3" t="s">
        <v>37805</v>
      </c>
      <c r="BF3936" s="3" t="s">
        <v>37804</v>
      </c>
      <c r="BG3936" s="3" t="s">
        <v>37806</v>
      </c>
    </row>
    <row r="3937" spans="1:59" ht="57" x14ac:dyDescent="0.45">
      <c r="A3937" s="2" t="s">
        <v>59</v>
      </c>
      <c r="B3937" s="2" t="s">
        <v>60</v>
      </c>
      <c r="C3937" s="2" t="s">
        <v>37807</v>
      </c>
      <c r="D3937" s="2" t="s">
        <v>37808</v>
      </c>
      <c r="E3937" s="2" t="s">
        <v>36328</v>
      </c>
      <c r="G3937" s="3" t="s">
        <v>62</v>
      </c>
      <c r="I3937" s="3" t="s">
        <v>62</v>
      </c>
      <c r="J3937" s="3" t="s">
        <v>61</v>
      </c>
      <c r="K3937" s="3" t="s">
        <v>63</v>
      </c>
      <c r="L3937" s="2" t="s">
        <v>37809</v>
      </c>
      <c r="M3937" s="2" t="s">
        <v>10884</v>
      </c>
      <c r="N3937" s="3" t="s">
        <v>116</v>
      </c>
      <c r="O3937" s="2" t="s">
        <v>10907</v>
      </c>
      <c r="P3937" s="3" t="s">
        <v>65</v>
      </c>
      <c r="Q3937" s="2" t="s">
        <v>9188</v>
      </c>
      <c r="R3937" s="3" t="s">
        <v>66</v>
      </c>
      <c r="S3937" s="4">
        <v>15</v>
      </c>
      <c r="T3937" s="4">
        <v>15</v>
      </c>
      <c r="U3937" s="5" t="s">
        <v>37810</v>
      </c>
      <c r="V3937" s="5" t="s">
        <v>37810</v>
      </c>
      <c r="W3937" s="5" t="s">
        <v>67</v>
      </c>
      <c r="X3937" s="5" t="s">
        <v>67</v>
      </c>
      <c r="Y3937" s="4">
        <v>349</v>
      </c>
      <c r="Z3937" s="4">
        <v>31</v>
      </c>
      <c r="AA3937" s="4">
        <v>94</v>
      </c>
      <c r="AB3937" s="4">
        <v>4</v>
      </c>
      <c r="AC3937" s="4">
        <v>17</v>
      </c>
      <c r="AD3937" s="4">
        <v>72</v>
      </c>
      <c r="AE3937" s="4">
        <v>138</v>
      </c>
      <c r="AF3937" s="4">
        <v>2</v>
      </c>
      <c r="AG3937" s="4">
        <v>6</v>
      </c>
      <c r="AH3937" s="4">
        <v>59</v>
      </c>
      <c r="AI3937" s="4">
        <v>100</v>
      </c>
      <c r="AJ3937" s="4">
        <v>13</v>
      </c>
      <c r="AK3937" s="4">
        <v>25</v>
      </c>
      <c r="AL3937" s="4">
        <v>35</v>
      </c>
      <c r="AM3937" s="4">
        <v>55</v>
      </c>
      <c r="AN3937" s="4">
        <v>0</v>
      </c>
      <c r="AO3937" s="4">
        <v>0</v>
      </c>
      <c r="AP3937" s="4">
        <v>21</v>
      </c>
      <c r="AQ3937" s="4">
        <v>46</v>
      </c>
      <c r="AR3937" s="3" t="s">
        <v>62</v>
      </c>
      <c r="AS3937" s="3" t="s">
        <v>62</v>
      </c>
      <c r="AT3937" s="3" t="s">
        <v>62</v>
      </c>
      <c r="AV3937" s="6" t="str">
        <f>HYPERLINK("http://mcgill.on.worldcat.org/oclc/828884141","Catalog Record")</f>
        <v>Catalog Record</v>
      </c>
      <c r="AW3937" s="6" t="str">
        <f>HYPERLINK("http://www.worldcat.org/oclc/828884141","WorldCat Record")</f>
        <v>WorldCat Record</v>
      </c>
      <c r="AX3937" s="3" t="s">
        <v>36332</v>
      </c>
      <c r="AY3937" s="3" t="s">
        <v>37811</v>
      </c>
      <c r="AZ3937" s="3" t="s">
        <v>37812</v>
      </c>
      <c r="BA3937" s="3" t="s">
        <v>37812</v>
      </c>
      <c r="BB3937" s="3" t="s">
        <v>37813</v>
      </c>
      <c r="BC3937" s="3" t="s">
        <v>142</v>
      </c>
      <c r="BD3937" s="3" t="s">
        <v>308</v>
      </c>
      <c r="BE3937" s="3" t="s">
        <v>37814</v>
      </c>
      <c r="BF3937" s="3" t="s">
        <v>37813</v>
      </c>
      <c r="BG3937" s="3" t="s">
        <v>37815</v>
      </c>
    </row>
    <row r="3938" spans="1:59" ht="57" x14ac:dyDescent="0.45">
      <c r="A3938" s="2" t="s">
        <v>59</v>
      </c>
      <c r="B3938" s="2" t="s">
        <v>60</v>
      </c>
      <c r="C3938" s="2" t="s">
        <v>37816</v>
      </c>
      <c r="D3938" s="2" t="s">
        <v>37817</v>
      </c>
      <c r="E3938" s="2" t="s">
        <v>37818</v>
      </c>
      <c r="G3938" s="3" t="s">
        <v>62</v>
      </c>
      <c r="I3938" s="3" t="s">
        <v>62</v>
      </c>
      <c r="J3938" s="3" t="s">
        <v>62</v>
      </c>
      <c r="K3938" s="3" t="s">
        <v>63</v>
      </c>
      <c r="M3938" s="2" t="s">
        <v>3362</v>
      </c>
      <c r="N3938" s="3" t="s">
        <v>149</v>
      </c>
      <c r="P3938" s="3" t="s">
        <v>65</v>
      </c>
      <c r="Q3938" s="2" t="s">
        <v>7948</v>
      </c>
      <c r="R3938" s="3" t="s">
        <v>66</v>
      </c>
      <c r="S3938" s="4">
        <v>5</v>
      </c>
      <c r="T3938" s="4">
        <v>5</v>
      </c>
      <c r="U3938" s="5" t="s">
        <v>2405</v>
      </c>
      <c r="V3938" s="5" t="s">
        <v>2405</v>
      </c>
      <c r="W3938" s="5" t="s">
        <v>67</v>
      </c>
      <c r="X3938" s="5" t="s">
        <v>67</v>
      </c>
      <c r="Y3938" s="4">
        <v>140</v>
      </c>
      <c r="Z3938" s="4">
        <v>17</v>
      </c>
      <c r="AA3938" s="4">
        <v>86</v>
      </c>
      <c r="AB3938" s="4">
        <v>3</v>
      </c>
      <c r="AC3938" s="4">
        <v>15</v>
      </c>
      <c r="AD3938" s="4">
        <v>58</v>
      </c>
      <c r="AE3938" s="4">
        <v>119</v>
      </c>
      <c r="AF3938" s="4">
        <v>1</v>
      </c>
      <c r="AG3938" s="4">
        <v>8</v>
      </c>
      <c r="AH3938" s="4">
        <v>52</v>
      </c>
      <c r="AI3938" s="4">
        <v>83</v>
      </c>
      <c r="AJ3938" s="4">
        <v>11</v>
      </c>
      <c r="AK3938" s="4">
        <v>24</v>
      </c>
      <c r="AL3938" s="4">
        <v>29</v>
      </c>
      <c r="AM3938" s="4">
        <v>43</v>
      </c>
      <c r="AN3938" s="4">
        <v>0</v>
      </c>
      <c r="AO3938" s="4">
        <v>0</v>
      </c>
      <c r="AP3938" s="4">
        <v>13</v>
      </c>
      <c r="AQ3938" s="4">
        <v>45</v>
      </c>
      <c r="AR3938" s="3" t="s">
        <v>62</v>
      </c>
      <c r="AS3938" s="3" t="s">
        <v>62</v>
      </c>
      <c r="AT3938" s="3" t="s">
        <v>62</v>
      </c>
      <c r="AV3938" s="6" t="str">
        <f>HYPERLINK("http://mcgill.on.worldcat.org/oclc/505423753","Catalog Record")</f>
        <v>Catalog Record</v>
      </c>
      <c r="AW3938" s="6" t="str">
        <f>HYPERLINK("http://www.worldcat.org/oclc/505423753","WorldCat Record")</f>
        <v>WorldCat Record</v>
      </c>
      <c r="AX3938" s="3" t="s">
        <v>37819</v>
      </c>
      <c r="AY3938" s="3" t="s">
        <v>37820</v>
      </c>
      <c r="AZ3938" s="3" t="s">
        <v>37821</v>
      </c>
      <c r="BA3938" s="3" t="s">
        <v>37821</v>
      </c>
      <c r="BB3938" s="3" t="s">
        <v>37822</v>
      </c>
      <c r="BC3938" s="3" t="s">
        <v>142</v>
      </c>
      <c r="BD3938" s="3" t="s">
        <v>68</v>
      </c>
      <c r="BE3938" s="3" t="s">
        <v>37823</v>
      </c>
      <c r="BF3938" s="3" t="s">
        <v>37822</v>
      </c>
      <c r="BG3938" s="3" t="s">
        <v>37824</v>
      </c>
    </row>
    <row r="3939" spans="1:59" ht="57" x14ac:dyDescent="0.45">
      <c r="A3939" s="2" t="s">
        <v>59</v>
      </c>
      <c r="B3939" s="2" t="s">
        <v>60</v>
      </c>
      <c r="C3939" s="2" t="s">
        <v>37825</v>
      </c>
      <c r="D3939" s="2" t="s">
        <v>37826</v>
      </c>
      <c r="E3939" s="2" t="s">
        <v>37827</v>
      </c>
      <c r="G3939" s="3" t="s">
        <v>62</v>
      </c>
      <c r="I3939" s="3" t="s">
        <v>62</v>
      </c>
      <c r="J3939" s="3" t="s">
        <v>62</v>
      </c>
      <c r="K3939" s="3" t="s">
        <v>63</v>
      </c>
      <c r="L3939" s="2" t="s">
        <v>37828</v>
      </c>
      <c r="M3939" s="2" t="s">
        <v>37829</v>
      </c>
      <c r="N3939" s="3" t="s">
        <v>894</v>
      </c>
      <c r="P3939" s="3" t="s">
        <v>65</v>
      </c>
      <c r="Q3939" s="2" t="s">
        <v>33302</v>
      </c>
      <c r="R3939" s="3" t="s">
        <v>66</v>
      </c>
      <c r="S3939" s="4">
        <v>4</v>
      </c>
      <c r="T3939" s="4">
        <v>4</v>
      </c>
      <c r="U3939" s="5" t="s">
        <v>16784</v>
      </c>
      <c r="V3939" s="5" t="s">
        <v>16784</v>
      </c>
      <c r="W3939" s="5" t="s">
        <v>67</v>
      </c>
      <c r="X3939" s="5" t="s">
        <v>67</v>
      </c>
      <c r="Y3939" s="4">
        <v>171</v>
      </c>
      <c r="Z3939" s="4">
        <v>19</v>
      </c>
      <c r="AA3939" s="4">
        <v>23</v>
      </c>
      <c r="AB3939" s="4">
        <v>2</v>
      </c>
      <c r="AC3939" s="4">
        <v>6</v>
      </c>
      <c r="AD3939" s="4">
        <v>54</v>
      </c>
      <c r="AE3939" s="4">
        <v>57</v>
      </c>
      <c r="AF3939" s="4">
        <v>1</v>
      </c>
      <c r="AG3939" s="4">
        <v>3</v>
      </c>
      <c r="AH3939" s="4">
        <v>48</v>
      </c>
      <c r="AI3939" s="4">
        <v>50</v>
      </c>
      <c r="AJ3939" s="4">
        <v>13</v>
      </c>
      <c r="AK3939" s="4">
        <v>14</v>
      </c>
      <c r="AL3939" s="4">
        <v>29</v>
      </c>
      <c r="AM3939" s="4">
        <v>29</v>
      </c>
      <c r="AN3939" s="4">
        <v>0</v>
      </c>
      <c r="AO3939" s="4">
        <v>0</v>
      </c>
      <c r="AP3939" s="4">
        <v>14</v>
      </c>
      <c r="AQ3939" s="4">
        <v>16</v>
      </c>
      <c r="AR3939" s="3" t="s">
        <v>62</v>
      </c>
      <c r="AS3939" s="3" t="s">
        <v>62</v>
      </c>
      <c r="AT3939" s="3" t="s">
        <v>62</v>
      </c>
      <c r="AV3939" s="6" t="str">
        <f>HYPERLINK("http://mcgill.on.worldcat.org/oclc/698330409","Catalog Record")</f>
        <v>Catalog Record</v>
      </c>
      <c r="AW3939" s="6" t="str">
        <f>HYPERLINK("http://www.worldcat.org/oclc/698330409","WorldCat Record")</f>
        <v>WorldCat Record</v>
      </c>
      <c r="AX3939" s="3" t="s">
        <v>37830</v>
      </c>
      <c r="AY3939" s="3" t="s">
        <v>37831</v>
      </c>
      <c r="AZ3939" s="3" t="s">
        <v>37832</v>
      </c>
      <c r="BA3939" s="3" t="s">
        <v>37832</v>
      </c>
      <c r="BB3939" s="3" t="s">
        <v>37833</v>
      </c>
      <c r="BC3939" s="3" t="s">
        <v>142</v>
      </c>
      <c r="BD3939" s="3" t="s">
        <v>68</v>
      </c>
      <c r="BE3939" s="3" t="s">
        <v>37834</v>
      </c>
      <c r="BF3939" s="3" t="s">
        <v>37833</v>
      </c>
      <c r="BG3939" s="3" t="s">
        <v>37835</v>
      </c>
    </row>
    <row r="3940" spans="1:59" ht="57" x14ac:dyDescent="0.45">
      <c r="A3940" s="2" t="s">
        <v>59</v>
      </c>
      <c r="B3940" s="2" t="s">
        <v>60</v>
      </c>
      <c r="C3940" s="2" t="s">
        <v>37836</v>
      </c>
      <c r="D3940" s="2" t="s">
        <v>37837</v>
      </c>
      <c r="E3940" s="2" t="s">
        <v>37838</v>
      </c>
      <c r="F3940" s="3" t="s">
        <v>37839</v>
      </c>
      <c r="G3940" s="3" t="s">
        <v>62</v>
      </c>
      <c r="I3940" s="3" t="s">
        <v>61</v>
      </c>
      <c r="J3940" s="3" t="s">
        <v>62</v>
      </c>
      <c r="K3940" s="3" t="s">
        <v>63</v>
      </c>
      <c r="L3940" s="2" t="s">
        <v>37840</v>
      </c>
      <c r="M3940" s="2" t="s">
        <v>37841</v>
      </c>
      <c r="N3940" s="3" t="s">
        <v>208</v>
      </c>
      <c r="P3940" s="3" t="s">
        <v>65</v>
      </c>
      <c r="R3940" s="3" t="s">
        <v>66</v>
      </c>
      <c r="S3940" s="4">
        <v>3</v>
      </c>
      <c r="T3940" s="4">
        <v>9</v>
      </c>
      <c r="U3940" s="5" t="s">
        <v>10258</v>
      </c>
      <c r="V3940" s="5" t="s">
        <v>6949</v>
      </c>
      <c r="W3940" s="5" t="s">
        <v>67</v>
      </c>
      <c r="X3940" s="5" t="s">
        <v>67</v>
      </c>
      <c r="Y3940" s="4">
        <v>81</v>
      </c>
      <c r="Z3940" s="4">
        <v>8</v>
      </c>
      <c r="AA3940" s="4">
        <v>19</v>
      </c>
      <c r="AB3940" s="4">
        <v>2</v>
      </c>
      <c r="AC3940" s="4">
        <v>8</v>
      </c>
      <c r="AD3940" s="4">
        <v>19</v>
      </c>
      <c r="AE3940" s="4">
        <v>38</v>
      </c>
      <c r="AF3940" s="4">
        <v>1</v>
      </c>
      <c r="AG3940" s="4">
        <v>3</v>
      </c>
      <c r="AH3940" s="4">
        <v>14</v>
      </c>
      <c r="AI3940" s="4">
        <v>31</v>
      </c>
      <c r="AJ3940" s="4">
        <v>6</v>
      </c>
      <c r="AK3940" s="4">
        <v>11</v>
      </c>
      <c r="AL3940" s="4">
        <v>7</v>
      </c>
      <c r="AM3940" s="4">
        <v>17</v>
      </c>
      <c r="AN3940" s="4">
        <v>0</v>
      </c>
      <c r="AO3940" s="4">
        <v>0</v>
      </c>
      <c r="AP3940" s="4">
        <v>7</v>
      </c>
      <c r="AQ3940" s="4">
        <v>13</v>
      </c>
      <c r="AR3940" s="3" t="s">
        <v>62</v>
      </c>
      <c r="AS3940" s="3" t="s">
        <v>62</v>
      </c>
      <c r="AT3940" s="3" t="s">
        <v>62</v>
      </c>
      <c r="AV3940" s="6" t="str">
        <f>HYPERLINK("http://mcgill.on.worldcat.org/oclc/871192009","Catalog Record")</f>
        <v>Catalog Record</v>
      </c>
      <c r="AW3940" s="6" t="str">
        <f>HYPERLINK("http://www.worldcat.org/oclc/871192009","WorldCat Record")</f>
        <v>WorldCat Record</v>
      </c>
      <c r="AX3940" s="3" t="s">
        <v>37842</v>
      </c>
      <c r="AY3940" s="3" t="s">
        <v>37843</v>
      </c>
      <c r="AZ3940" s="3" t="s">
        <v>37844</v>
      </c>
      <c r="BA3940" s="3" t="s">
        <v>37844</v>
      </c>
      <c r="BB3940" s="3" t="s">
        <v>37845</v>
      </c>
      <c r="BC3940" s="3" t="s">
        <v>142</v>
      </c>
      <c r="BD3940" s="3" t="s">
        <v>308</v>
      </c>
      <c r="BE3940" s="3" t="s">
        <v>37846</v>
      </c>
      <c r="BF3940" s="3" t="s">
        <v>37845</v>
      </c>
      <c r="BG3940" s="3" t="s">
        <v>37847</v>
      </c>
    </row>
    <row r="3941" spans="1:59" ht="57" x14ac:dyDescent="0.45">
      <c r="A3941" s="2" t="s">
        <v>59</v>
      </c>
      <c r="B3941" s="2" t="s">
        <v>60</v>
      </c>
      <c r="C3941" s="2" t="s">
        <v>37836</v>
      </c>
      <c r="D3941" s="2" t="s">
        <v>37837</v>
      </c>
      <c r="E3941" s="2" t="s">
        <v>37838</v>
      </c>
      <c r="F3941" s="3" t="s">
        <v>37839</v>
      </c>
      <c r="G3941" s="3" t="s">
        <v>62</v>
      </c>
      <c r="I3941" s="3" t="s">
        <v>61</v>
      </c>
      <c r="J3941" s="3" t="s">
        <v>62</v>
      </c>
      <c r="K3941" s="3" t="s">
        <v>63</v>
      </c>
      <c r="L3941" s="2" t="s">
        <v>37840</v>
      </c>
      <c r="M3941" s="2" t="s">
        <v>37841</v>
      </c>
      <c r="N3941" s="3" t="s">
        <v>208</v>
      </c>
      <c r="P3941" s="3" t="s">
        <v>65</v>
      </c>
      <c r="R3941" s="3" t="s">
        <v>66</v>
      </c>
      <c r="S3941" s="4">
        <v>6</v>
      </c>
      <c r="T3941" s="4">
        <v>9</v>
      </c>
      <c r="U3941" s="5" t="s">
        <v>6949</v>
      </c>
      <c r="V3941" s="5" t="s">
        <v>6949</v>
      </c>
      <c r="W3941" s="5" t="s">
        <v>67</v>
      </c>
      <c r="X3941" s="5" t="s">
        <v>67</v>
      </c>
      <c r="Y3941" s="4">
        <v>81</v>
      </c>
      <c r="Z3941" s="4">
        <v>8</v>
      </c>
      <c r="AA3941" s="4">
        <v>19</v>
      </c>
      <c r="AB3941" s="4">
        <v>2</v>
      </c>
      <c r="AC3941" s="4">
        <v>8</v>
      </c>
      <c r="AD3941" s="4">
        <v>19</v>
      </c>
      <c r="AE3941" s="4">
        <v>38</v>
      </c>
      <c r="AF3941" s="4">
        <v>1</v>
      </c>
      <c r="AG3941" s="4">
        <v>3</v>
      </c>
      <c r="AH3941" s="4">
        <v>14</v>
      </c>
      <c r="AI3941" s="4">
        <v>31</v>
      </c>
      <c r="AJ3941" s="4">
        <v>6</v>
      </c>
      <c r="AK3941" s="4">
        <v>11</v>
      </c>
      <c r="AL3941" s="4">
        <v>7</v>
      </c>
      <c r="AM3941" s="4">
        <v>17</v>
      </c>
      <c r="AN3941" s="4">
        <v>0</v>
      </c>
      <c r="AO3941" s="4">
        <v>0</v>
      </c>
      <c r="AP3941" s="4">
        <v>7</v>
      </c>
      <c r="AQ3941" s="4">
        <v>13</v>
      </c>
      <c r="AR3941" s="3" t="s">
        <v>62</v>
      </c>
      <c r="AS3941" s="3" t="s">
        <v>62</v>
      </c>
      <c r="AT3941" s="3" t="s">
        <v>62</v>
      </c>
      <c r="AV3941" s="6" t="str">
        <f>HYPERLINK("http://mcgill.on.worldcat.org/oclc/871192009","Catalog Record")</f>
        <v>Catalog Record</v>
      </c>
      <c r="AW3941" s="6" t="str">
        <f>HYPERLINK("http://www.worldcat.org/oclc/871192009","WorldCat Record")</f>
        <v>WorldCat Record</v>
      </c>
      <c r="AX3941" s="3" t="s">
        <v>37842</v>
      </c>
      <c r="AY3941" s="3" t="s">
        <v>37843</v>
      </c>
      <c r="AZ3941" s="3" t="s">
        <v>37844</v>
      </c>
      <c r="BA3941" s="3" t="s">
        <v>37844</v>
      </c>
      <c r="BB3941" s="3" t="s">
        <v>37848</v>
      </c>
      <c r="BC3941" s="3" t="s">
        <v>142</v>
      </c>
      <c r="BD3941" s="3" t="s">
        <v>308</v>
      </c>
      <c r="BE3941" s="3" t="s">
        <v>37846</v>
      </c>
      <c r="BF3941" s="3" t="s">
        <v>37848</v>
      </c>
      <c r="BG3941" s="3" t="s">
        <v>37849</v>
      </c>
    </row>
    <row r="3942" spans="1:59" ht="57" x14ac:dyDescent="0.45">
      <c r="A3942" s="2" t="s">
        <v>59</v>
      </c>
      <c r="B3942" s="2" t="s">
        <v>60</v>
      </c>
      <c r="C3942" s="2" t="s">
        <v>37850</v>
      </c>
      <c r="D3942" s="2" t="s">
        <v>37851</v>
      </c>
      <c r="E3942" s="2" t="s">
        <v>37852</v>
      </c>
      <c r="G3942" s="3" t="s">
        <v>62</v>
      </c>
      <c r="I3942" s="3" t="s">
        <v>62</v>
      </c>
      <c r="J3942" s="3" t="s">
        <v>62</v>
      </c>
      <c r="K3942" s="3" t="s">
        <v>63</v>
      </c>
      <c r="L3942" s="2" t="s">
        <v>37853</v>
      </c>
      <c r="M3942" s="2" t="s">
        <v>37854</v>
      </c>
      <c r="N3942" s="3" t="s">
        <v>945</v>
      </c>
      <c r="P3942" s="3" t="s">
        <v>65</v>
      </c>
      <c r="Q3942" s="2" t="s">
        <v>8528</v>
      </c>
      <c r="R3942" s="3" t="s">
        <v>66</v>
      </c>
      <c r="S3942" s="4">
        <v>8</v>
      </c>
      <c r="T3942" s="4">
        <v>8</v>
      </c>
      <c r="U3942" s="5" t="s">
        <v>445</v>
      </c>
      <c r="V3942" s="5" t="s">
        <v>445</v>
      </c>
      <c r="W3942" s="5" t="s">
        <v>67</v>
      </c>
      <c r="X3942" s="5" t="s">
        <v>67</v>
      </c>
      <c r="Y3942" s="4">
        <v>275</v>
      </c>
      <c r="Z3942" s="4">
        <v>23</v>
      </c>
      <c r="AA3942" s="4">
        <v>31</v>
      </c>
      <c r="AB3942" s="4">
        <v>2</v>
      </c>
      <c r="AC3942" s="4">
        <v>9</v>
      </c>
      <c r="AD3942" s="4">
        <v>88</v>
      </c>
      <c r="AE3942" s="4">
        <v>91</v>
      </c>
      <c r="AF3942" s="4">
        <v>1</v>
      </c>
      <c r="AG3942" s="4">
        <v>3</v>
      </c>
      <c r="AH3942" s="4">
        <v>76</v>
      </c>
      <c r="AI3942" s="4">
        <v>77</v>
      </c>
      <c r="AJ3942" s="4">
        <v>16</v>
      </c>
      <c r="AK3942" s="4">
        <v>18</v>
      </c>
      <c r="AL3942" s="4">
        <v>43</v>
      </c>
      <c r="AM3942" s="4">
        <v>43</v>
      </c>
      <c r="AN3942" s="4">
        <v>0</v>
      </c>
      <c r="AO3942" s="4">
        <v>0</v>
      </c>
      <c r="AP3942" s="4">
        <v>20</v>
      </c>
      <c r="AQ3942" s="4">
        <v>23</v>
      </c>
      <c r="AR3942" s="3" t="s">
        <v>62</v>
      </c>
      <c r="AS3942" s="3" t="s">
        <v>62</v>
      </c>
      <c r="AT3942" s="3" t="s">
        <v>62</v>
      </c>
      <c r="AV3942" s="6" t="str">
        <f>HYPERLINK("http://mcgill.on.worldcat.org/oclc/62857831","Catalog Record")</f>
        <v>Catalog Record</v>
      </c>
      <c r="AW3942" s="6" t="str">
        <f>HYPERLINK("http://www.worldcat.org/oclc/62857831","WorldCat Record")</f>
        <v>WorldCat Record</v>
      </c>
      <c r="AX3942" s="3" t="s">
        <v>37855</v>
      </c>
      <c r="AY3942" s="3" t="s">
        <v>37856</v>
      </c>
      <c r="AZ3942" s="3" t="s">
        <v>37857</v>
      </c>
      <c r="BA3942" s="3" t="s">
        <v>37857</v>
      </c>
      <c r="BB3942" s="3" t="s">
        <v>37858</v>
      </c>
      <c r="BC3942" s="3" t="s">
        <v>142</v>
      </c>
      <c r="BD3942" s="3" t="s">
        <v>68</v>
      </c>
      <c r="BE3942" s="3" t="s">
        <v>37859</v>
      </c>
      <c r="BF3942" s="3" t="s">
        <v>37858</v>
      </c>
      <c r="BG3942" s="3" t="s">
        <v>37860</v>
      </c>
    </row>
    <row r="3943" spans="1:59" ht="57" x14ac:dyDescent="0.45">
      <c r="A3943" s="2" t="s">
        <v>59</v>
      </c>
      <c r="B3943" s="2" t="s">
        <v>60</v>
      </c>
      <c r="C3943" s="2" t="s">
        <v>37861</v>
      </c>
      <c r="D3943" s="2" t="s">
        <v>37862</v>
      </c>
      <c r="E3943" s="2" t="s">
        <v>37863</v>
      </c>
      <c r="G3943" s="3" t="s">
        <v>62</v>
      </c>
      <c r="I3943" s="3" t="s">
        <v>62</v>
      </c>
      <c r="J3943" s="3" t="s">
        <v>62</v>
      </c>
      <c r="K3943" s="3" t="s">
        <v>63</v>
      </c>
      <c r="L3943" s="2" t="s">
        <v>37864</v>
      </c>
      <c r="M3943" s="2" t="s">
        <v>37865</v>
      </c>
      <c r="N3943" s="3" t="s">
        <v>1855</v>
      </c>
      <c r="P3943" s="3" t="s">
        <v>65</v>
      </c>
      <c r="R3943" s="3" t="s">
        <v>66</v>
      </c>
      <c r="S3943" s="4">
        <v>32</v>
      </c>
      <c r="T3943" s="4">
        <v>32</v>
      </c>
      <c r="U3943" s="5" t="s">
        <v>17655</v>
      </c>
      <c r="V3943" s="5" t="s">
        <v>17655</v>
      </c>
      <c r="W3943" s="5" t="s">
        <v>67</v>
      </c>
      <c r="X3943" s="5" t="s">
        <v>67</v>
      </c>
      <c r="Y3943" s="4">
        <v>319</v>
      </c>
      <c r="Z3943" s="4">
        <v>19</v>
      </c>
      <c r="AA3943" s="4">
        <v>45</v>
      </c>
      <c r="AB3943" s="4">
        <v>2</v>
      </c>
      <c r="AC3943" s="4">
        <v>10</v>
      </c>
      <c r="AD3943" s="4">
        <v>70</v>
      </c>
      <c r="AE3943" s="4">
        <v>104</v>
      </c>
      <c r="AF3943" s="4">
        <v>1</v>
      </c>
      <c r="AG3943" s="4">
        <v>4</v>
      </c>
      <c r="AH3943" s="4">
        <v>61</v>
      </c>
      <c r="AI3943" s="4">
        <v>80</v>
      </c>
      <c r="AJ3943" s="4">
        <v>13</v>
      </c>
      <c r="AK3943" s="4">
        <v>20</v>
      </c>
      <c r="AL3943" s="4">
        <v>32</v>
      </c>
      <c r="AM3943" s="4">
        <v>42</v>
      </c>
      <c r="AN3943" s="4">
        <v>0</v>
      </c>
      <c r="AO3943" s="4">
        <v>0</v>
      </c>
      <c r="AP3943" s="4">
        <v>16</v>
      </c>
      <c r="AQ3943" s="4">
        <v>31</v>
      </c>
      <c r="AR3943" s="3" t="s">
        <v>62</v>
      </c>
      <c r="AS3943" s="3" t="s">
        <v>62</v>
      </c>
      <c r="AT3943" s="3" t="s">
        <v>62</v>
      </c>
      <c r="AV3943" s="6" t="str">
        <f>HYPERLINK("http://mcgill.on.worldcat.org/oclc/55671802","Catalog Record")</f>
        <v>Catalog Record</v>
      </c>
      <c r="AW3943" s="6" t="str">
        <f>HYPERLINK("http://www.worldcat.org/oclc/55671802","WorldCat Record")</f>
        <v>WorldCat Record</v>
      </c>
      <c r="AX3943" s="3" t="s">
        <v>37866</v>
      </c>
      <c r="AY3943" s="3" t="s">
        <v>37867</v>
      </c>
      <c r="AZ3943" s="3" t="s">
        <v>37868</v>
      </c>
      <c r="BA3943" s="3" t="s">
        <v>37868</v>
      </c>
      <c r="BB3943" s="3" t="s">
        <v>37869</v>
      </c>
      <c r="BC3943" s="3" t="s">
        <v>142</v>
      </c>
      <c r="BD3943" s="3" t="s">
        <v>68</v>
      </c>
      <c r="BE3943" s="3" t="s">
        <v>37870</v>
      </c>
      <c r="BF3943" s="3" t="s">
        <v>37869</v>
      </c>
      <c r="BG3943" s="3" t="s">
        <v>37871</v>
      </c>
    </row>
    <row r="3944" spans="1:59" ht="57" x14ac:dyDescent="0.45">
      <c r="A3944" s="2" t="s">
        <v>59</v>
      </c>
      <c r="B3944" s="2" t="s">
        <v>60</v>
      </c>
      <c r="C3944" s="2" t="s">
        <v>37872</v>
      </c>
      <c r="D3944" s="2" t="s">
        <v>37873</v>
      </c>
      <c r="E3944" s="2" t="s">
        <v>37874</v>
      </c>
      <c r="G3944" s="3" t="s">
        <v>62</v>
      </c>
      <c r="I3944" s="3" t="s">
        <v>62</v>
      </c>
      <c r="J3944" s="3" t="s">
        <v>62</v>
      </c>
      <c r="K3944" s="3" t="s">
        <v>63</v>
      </c>
      <c r="L3944" s="2" t="s">
        <v>37875</v>
      </c>
      <c r="M3944" s="2" t="s">
        <v>28286</v>
      </c>
      <c r="N3944" s="3" t="s">
        <v>1155</v>
      </c>
      <c r="P3944" s="3" t="s">
        <v>65</v>
      </c>
      <c r="Q3944" s="2" t="s">
        <v>2655</v>
      </c>
      <c r="R3944" s="3" t="s">
        <v>66</v>
      </c>
      <c r="S3944" s="4">
        <v>8</v>
      </c>
      <c r="T3944" s="4">
        <v>8</v>
      </c>
      <c r="U3944" s="5" t="s">
        <v>1963</v>
      </c>
      <c r="V3944" s="5" t="s">
        <v>1963</v>
      </c>
      <c r="W3944" s="5" t="s">
        <v>67</v>
      </c>
      <c r="X3944" s="5" t="s">
        <v>67</v>
      </c>
      <c r="Y3944" s="4">
        <v>86</v>
      </c>
      <c r="Z3944" s="4">
        <v>10</v>
      </c>
      <c r="AA3944" s="4">
        <v>10</v>
      </c>
      <c r="AB3944" s="4">
        <v>1</v>
      </c>
      <c r="AC3944" s="4">
        <v>1</v>
      </c>
      <c r="AD3944" s="4">
        <v>23</v>
      </c>
      <c r="AE3944" s="4">
        <v>23</v>
      </c>
      <c r="AF3944" s="4">
        <v>0</v>
      </c>
      <c r="AG3944" s="4">
        <v>0</v>
      </c>
      <c r="AH3944" s="4">
        <v>20</v>
      </c>
      <c r="AI3944" s="4">
        <v>20</v>
      </c>
      <c r="AJ3944" s="4">
        <v>7</v>
      </c>
      <c r="AK3944" s="4">
        <v>7</v>
      </c>
      <c r="AL3944" s="4">
        <v>9</v>
      </c>
      <c r="AM3944" s="4">
        <v>9</v>
      </c>
      <c r="AN3944" s="4">
        <v>0</v>
      </c>
      <c r="AO3944" s="4">
        <v>0</v>
      </c>
      <c r="AP3944" s="4">
        <v>9</v>
      </c>
      <c r="AQ3944" s="4">
        <v>9</v>
      </c>
      <c r="AR3944" s="3" t="s">
        <v>62</v>
      </c>
      <c r="AS3944" s="3" t="s">
        <v>62</v>
      </c>
      <c r="AT3944" s="3" t="s">
        <v>62</v>
      </c>
      <c r="AV3944" s="6" t="str">
        <f>HYPERLINK("http://mcgill.on.worldcat.org/oclc/796999164","Catalog Record")</f>
        <v>Catalog Record</v>
      </c>
      <c r="AW3944" s="6" t="str">
        <f>HYPERLINK("http://www.worldcat.org/oclc/796999164","WorldCat Record")</f>
        <v>WorldCat Record</v>
      </c>
      <c r="AX3944" s="3" t="s">
        <v>37876</v>
      </c>
      <c r="AY3944" s="3" t="s">
        <v>37877</v>
      </c>
      <c r="AZ3944" s="3" t="s">
        <v>37878</v>
      </c>
      <c r="BA3944" s="3" t="s">
        <v>37878</v>
      </c>
      <c r="BB3944" s="3" t="s">
        <v>37879</v>
      </c>
      <c r="BC3944" s="3" t="s">
        <v>142</v>
      </c>
      <c r="BD3944" s="3" t="s">
        <v>68</v>
      </c>
      <c r="BE3944" s="3" t="s">
        <v>37880</v>
      </c>
      <c r="BF3944" s="3" t="s">
        <v>37879</v>
      </c>
      <c r="BG3944" s="3" t="s">
        <v>37881</v>
      </c>
    </row>
    <row r="3945" spans="1:59" ht="57" x14ac:dyDescent="0.45">
      <c r="A3945" s="2" t="s">
        <v>59</v>
      </c>
      <c r="B3945" s="2" t="s">
        <v>60</v>
      </c>
      <c r="C3945" s="2" t="s">
        <v>37882</v>
      </c>
      <c r="D3945" s="2" t="s">
        <v>37883</v>
      </c>
      <c r="E3945" s="2" t="s">
        <v>37884</v>
      </c>
      <c r="G3945" s="3" t="s">
        <v>62</v>
      </c>
      <c r="I3945" s="3" t="s">
        <v>62</v>
      </c>
      <c r="J3945" s="3" t="s">
        <v>62</v>
      </c>
      <c r="K3945" s="3" t="s">
        <v>63</v>
      </c>
      <c r="L3945" s="2" t="s">
        <v>37885</v>
      </c>
      <c r="M3945" s="2" t="s">
        <v>37886</v>
      </c>
      <c r="N3945" s="3" t="s">
        <v>894</v>
      </c>
      <c r="P3945" s="3" t="s">
        <v>65</v>
      </c>
      <c r="Q3945" s="2" t="s">
        <v>37887</v>
      </c>
      <c r="R3945" s="3" t="s">
        <v>66</v>
      </c>
      <c r="S3945" s="4">
        <v>13</v>
      </c>
      <c r="T3945" s="4">
        <v>13</v>
      </c>
      <c r="U3945" s="5" t="s">
        <v>13552</v>
      </c>
      <c r="V3945" s="5" t="s">
        <v>13552</v>
      </c>
      <c r="W3945" s="5" t="s">
        <v>67</v>
      </c>
      <c r="X3945" s="5" t="s">
        <v>67</v>
      </c>
      <c r="Y3945" s="4">
        <v>162</v>
      </c>
      <c r="Z3945" s="4">
        <v>17</v>
      </c>
      <c r="AA3945" s="4">
        <v>78</v>
      </c>
      <c r="AB3945" s="4">
        <v>1</v>
      </c>
      <c r="AC3945" s="4">
        <v>14</v>
      </c>
      <c r="AD3945" s="4">
        <v>45</v>
      </c>
      <c r="AE3945" s="4">
        <v>95</v>
      </c>
      <c r="AF3945" s="4">
        <v>0</v>
      </c>
      <c r="AG3945" s="4">
        <v>8</v>
      </c>
      <c r="AH3945" s="4">
        <v>38</v>
      </c>
      <c r="AI3945" s="4">
        <v>63</v>
      </c>
      <c r="AJ3945" s="4">
        <v>9</v>
      </c>
      <c r="AK3945" s="4">
        <v>20</v>
      </c>
      <c r="AL3945" s="4">
        <v>24</v>
      </c>
      <c r="AM3945" s="4">
        <v>33</v>
      </c>
      <c r="AN3945" s="4">
        <v>0</v>
      </c>
      <c r="AO3945" s="4">
        <v>0</v>
      </c>
      <c r="AP3945" s="4">
        <v>12</v>
      </c>
      <c r="AQ3945" s="4">
        <v>40</v>
      </c>
      <c r="AR3945" s="3" t="s">
        <v>62</v>
      </c>
      <c r="AS3945" s="3" t="s">
        <v>62</v>
      </c>
      <c r="AT3945" s="3" t="s">
        <v>62</v>
      </c>
      <c r="AV3945" s="6" t="str">
        <f>HYPERLINK("http://mcgill.on.worldcat.org/oclc/693684124","Catalog Record")</f>
        <v>Catalog Record</v>
      </c>
      <c r="AW3945" s="6" t="str">
        <f>HYPERLINK("http://www.worldcat.org/oclc/693684124","WorldCat Record")</f>
        <v>WorldCat Record</v>
      </c>
      <c r="AX3945" s="3" t="s">
        <v>37888</v>
      </c>
      <c r="AY3945" s="3" t="s">
        <v>37889</v>
      </c>
      <c r="AZ3945" s="3" t="s">
        <v>37890</v>
      </c>
      <c r="BA3945" s="3" t="s">
        <v>37890</v>
      </c>
      <c r="BB3945" s="3" t="s">
        <v>37891</v>
      </c>
      <c r="BC3945" s="3" t="s">
        <v>142</v>
      </c>
      <c r="BD3945" s="3" t="s">
        <v>308</v>
      </c>
      <c r="BE3945" s="3" t="s">
        <v>37892</v>
      </c>
      <c r="BF3945" s="3" t="s">
        <v>37891</v>
      </c>
      <c r="BG3945" s="3" t="s">
        <v>37893</v>
      </c>
    </row>
    <row r="3946" spans="1:59" ht="57" x14ac:dyDescent="0.45">
      <c r="A3946" s="2" t="s">
        <v>59</v>
      </c>
      <c r="B3946" s="2" t="s">
        <v>60</v>
      </c>
      <c r="C3946" s="2" t="s">
        <v>37894</v>
      </c>
      <c r="D3946" s="2" t="s">
        <v>37895</v>
      </c>
      <c r="E3946" s="2" t="s">
        <v>37896</v>
      </c>
      <c r="G3946" s="3" t="s">
        <v>62</v>
      </c>
      <c r="I3946" s="3" t="s">
        <v>62</v>
      </c>
      <c r="J3946" s="3" t="s">
        <v>62</v>
      </c>
      <c r="K3946" s="3" t="s">
        <v>63</v>
      </c>
      <c r="M3946" s="2" t="s">
        <v>37897</v>
      </c>
      <c r="N3946" s="3" t="s">
        <v>1855</v>
      </c>
      <c r="P3946" s="3" t="s">
        <v>65</v>
      </c>
      <c r="R3946" s="3" t="s">
        <v>66</v>
      </c>
      <c r="S3946" s="4">
        <v>17</v>
      </c>
      <c r="T3946" s="4">
        <v>17</v>
      </c>
      <c r="U3946" s="5" t="s">
        <v>1963</v>
      </c>
      <c r="V3946" s="5" t="s">
        <v>1963</v>
      </c>
      <c r="W3946" s="5" t="s">
        <v>67</v>
      </c>
      <c r="X3946" s="5" t="s">
        <v>67</v>
      </c>
      <c r="Y3946" s="4">
        <v>344</v>
      </c>
      <c r="Z3946" s="4">
        <v>23</v>
      </c>
      <c r="AA3946" s="4">
        <v>98</v>
      </c>
      <c r="AB3946" s="4">
        <v>2</v>
      </c>
      <c r="AC3946" s="4">
        <v>19</v>
      </c>
      <c r="AD3946" s="4">
        <v>105</v>
      </c>
      <c r="AE3946" s="4">
        <v>147</v>
      </c>
      <c r="AF3946" s="4">
        <v>1</v>
      </c>
      <c r="AG3946" s="4">
        <v>8</v>
      </c>
      <c r="AH3946" s="4">
        <v>93</v>
      </c>
      <c r="AI3946" s="4">
        <v>108</v>
      </c>
      <c r="AJ3946" s="4">
        <v>16</v>
      </c>
      <c r="AK3946" s="4">
        <v>25</v>
      </c>
      <c r="AL3946" s="4">
        <v>50</v>
      </c>
      <c r="AM3946" s="4">
        <v>57</v>
      </c>
      <c r="AN3946" s="4">
        <v>0</v>
      </c>
      <c r="AO3946" s="4">
        <v>0</v>
      </c>
      <c r="AP3946" s="4">
        <v>20</v>
      </c>
      <c r="AQ3946" s="4">
        <v>48</v>
      </c>
      <c r="AR3946" s="3" t="s">
        <v>62</v>
      </c>
      <c r="AS3946" s="3" t="s">
        <v>62</v>
      </c>
      <c r="AT3946" s="3" t="s">
        <v>62</v>
      </c>
      <c r="AV3946" s="6" t="str">
        <f>HYPERLINK("http://mcgill.on.worldcat.org/oclc/58789143","Catalog Record")</f>
        <v>Catalog Record</v>
      </c>
      <c r="AW3946" s="6" t="str">
        <f>HYPERLINK("http://www.worldcat.org/oclc/58789143","WorldCat Record")</f>
        <v>WorldCat Record</v>
      </c>
      <c r="AX3946" s="3" t="s">
        <v>37898</v>
      </c>
      <c r="AY3946" s="3" t="s">
        <v>37899</v>
      </c>
      <c r="AZ3946" s="3" t="s">
        <v>37900</v>
      </c>
      <c r="BA3946" s="3" t="s">
        <v>37900</v>
      </c>
      <c r="BB3946" s="3" t="s">
        <v>37901</v>
      </c>
      <c r="BC3946" s="3" t="s">
        <v>142</v>
      </c>
      <c r="BD3946" s="3" t="s">
        <v>68</v>
      </c>
      <c r="BE3946" s="3" t="s">
        <v>37902</v>
      </c>
      <c r="BF3946" s="3" t="s">
        <v>37901</v>
      </c>
      <c r="BG3946" s="3" t="s">
        <v>37903</v>
      </c>
    </row>
    <row r="3947" spans="1:59" ht="57" x14ac:dyDescent="0.45">
      <c r="A3947" s="2" t="s">
        <v>59</v>
      </c>
      <c r="B3947" s="2" t="s">
        <v>60</v>
      </c>
      <c r="C3947" s="2" t="s">
        <v>37904</v>
      </c>
      <c r="D3947" s="2" t="s">
        <v>37905</v>
      </c>
      <c r="E3947" s="2" t="s">
        <v>37906</v>
      </c>
      <c r="G3947" s="3" t="s">
        <v>62</v>
      </c>
      <c r="I3947" s="3" t="s">
        <v>62</v>
      </c>
      <c r="J3947" s="3" t="s">
        <v>61</v>
      </c>
      <c r="K3947" s="3" t="s">
        <v>63</v>
      </c>
      <c r="L3947" s="2" t="s">
        <v>37907</v>
      </c>
      <c r="M3947" s="2" t="s">
        <v>37908</v>
      </c>
      <c r="N3947" s="3" t="s">
        <v>1097</v>
      </c>
      <c r="O3947" s="2" t="s">
        <v>933</v>
      </c>
      <c r="P3947" s="3" t="s">
        <v>65</v>
      </c>
      <c r="R3947" s="3" t="s">
        <v>66</v>
      </c>
      <c r="S3947" s="4">
        <v>12</v>
      </c>
      <c r="T3947" s="4">
        <v>12</v>
      </c>
      <c r="U3947" s="5" t="s">
        <v>37909</v>
      </c>
      <c r="V3947" s="5" t="s">
        <v>37909</v>
      </c>
      <c r="W3947" s="5" t="s">
        <v>67</v>
      </c>
      <c r="X3947" s="5" t="s">
        <v>67</v>
      </c>
      <c r="Y3947" s="4">
        <v>487</v>
      </c>
      <c r="Z3947" s="4">
        <v>28</v>
      </c>
      <c r="AA3947" s="4">
        <v>54</v>
      </c>
      <c r="AB3947" s="4">
        <v>2</v>
      </c>
      <c r="AC3947" s="4">
        <v>15</v>
      </c>
      <c r="AD3947" s="4">
        <v>85</v>
      </c>
      <c r="AE3947" s="4">
        <v>126</v>
      </c>
      <c r="AF3947" s="4">
        <v>1</v>
      </c>
      <c r="AG3947" s="4">
        <v>6</v>
      </c>
      <c r="AH3947" s="4">
        <v>69</v>
      </c>
      <c r="AI3947" s="4">
        <v>102</v>
      </c>
      <c r="AJ3947" s="4">
        <v>15</v>
      </c>
      <c r="AK3947" s="4">
        <v>26</v>
      </c>
      <c r="AL3947" s="4">
        <v>38</v>
      </c>
      <c r="AM3947" s="4">
        <v>53</v>
      </c>
      <c r="AN3947" s="4">
        <v>0</v>
      </c>
      <c r="AO3947" s="4">
        <v>0</v>
      </c>
      <c r="AP3947" s="4">
        <v>21</v>
      </c>
      <c r="AQ3947" s="4">
        <v>34</v>
      </c>
      <c r="AR3947" s="3" t="s">
        <v>62</v>
      </c>
      <c r="AS3947" s="3" t="s">
        <v>62</v>
      </c>
      <c r="AT3947" s="3" t="s">
        <v>62</v>
      </c>
      <c r="AV3947" s="6" t="str">
        <f>HYPERLINK("http://mcgill.on.worldcat.org/oclc/53391538","Catalog Record")</f>
        <v>Catalog Record</v>
      </c>
      <c r="AW3947" s="6" t="str">
        <f>HYPERLINK("http://www.worldcat.org/oclc/53391538","WorldCat Record")</f>
        <v>WorldCat Record</v>
      </c>
      <c r="AX3947" s="3" t="s">
        <v>37910</v>
      </c>
      <c r="AY3947" s="3" t="s">
        <v>37911</v>
      </c>
      <c r="AZ3947" s="3" t="s">
        <v>37912</v>
      </c>
      <c r="BA3947" s="3" t="s">
        <v>37912</v>
      </c>
      <c r="BB3947" s="3" t="s">
        <v>37913</v>
      </c>
      <c r="BC3947" s="3" t="s">
        <v>142</v>
      </c>
      <c r="BD3947" s="3" t="s">
        <v>68</v>
      </c>
      <c r="BE3947" s="3" t="s">
        <v>37914</v>
      </c>
      <c r="BF3947" s="3" t="s">
        <v>37913</v>
      </c>
      <c r="BG3947" s="3" t="s">
        <v>37915</v>
      </c>
    </row>
    <row r="3948" spans="1:59" ht="57" x14ac:dyDescent="0.45">
      <c r="A3948" s="2" t="s">
        <v>59</v>
      </c>
      <c r="B3948" s="2" t="s">
        <v>60</v>
      </c>
      <c r="C3948" s="2" t="s">
        <v>37916</v>
      </c>
      <c r="D3948" s="2" t="s">
        <v>37917</v>
      </c>
      <c r="E3948" s="2" t="s">
        <v>37918</v>
      </c>
      <c r="G3948" s="3" t="s">
        <v>62</v>
      </c>
      <c r="I3948" s="3" t="s">
        <v>62</v>
      </c>
      <c r="J3948" s="3" t="s">
        <v>62</v>
      </c>
      <c r="K3948" s="3" t="s">
        <v>63</v>
      </c>
      <c r="M3948" s="2" t="s">
        <v>35742</v>
      </c>
      <c r="N3948" s="3" t="s">
        <v>1465</v>
      </c>
      <c r="P3948" s="3" t="s">
        <v>65</v>
      </c>
      <c r="Q3948" s="2" t="s">
        <v>7948</v>
      </c>
      <c r="R3948" s="3" t="s">
        <v>66</v>
      </c>
      <c r="S3948" s="4">
        <v>21</v>
      </c>
      <c r="T3948" s="4">
        <v>21</v>
      </c>
      <c r="U3948" s="5" t="s">
        <v>2036</v>
      </c>
      <c r="V3948" s="5" t="s">
        <v>2036</v>
      </c>
      <c r="W3948" s="5" t="s">
        <v>67</v>
      </c>
      <c r="X3948" s="5" t="s">
        <v>67</v>
      </c>
      <c r="Y3948" s="4">
        <v>229</v>
      </c>
      <c r="Z3948" s="4">
        <v>18</v>
      </c>
      <c r="AA3948" s="4">
        <v>103</v>
      </c>
      <c r="AB3948" s="4">
        <v>2</v>
      </c>
      <c r="AC3948" s="4">
        <v>17</v>
      </c>
      <c r="AD3948" s="4">
        <v>69</v>
      </c>
      <c r="AE3948" s="4">
        <v>129</v>
      </c>
      <c r="AF3948" s="4">
        <v>1</v>
      </c>
      <c r="AG3948" s="4">
        <v>8</v>
      </c>
      <c r="AH3948" s="4">
        <v>62</v>
      </c>
      <c r="AI3948" s="4">
        <v>93</v>
      </c>
      <c r="AJ3948" s="4">
        <v>15</v>
      </c>
      <c r="AK3948" s="4">
        <v>26</v>
      </c>
      <c r="AL3948" s="4">
        <v>37</v>
      </c>
      <c r="AM3948" s="4">
        <v>49</v>
      </c>
      <c r="AN3948" s="4">
        <v>0</v>
      </c>
      <c r="AO3948" s="4">
        <v>0</v>
      </c>
      <c r="AP3948" s="4">
        <v>15</v>
      </c>
      <c r="AQ3948" s="4">
        <v>47</v>
      </c>
      <c r="AR3948" s="3" t="s">
        <v>62</v>
      </c>
      <c r="AS3948" s="3" t="s">
        <v>62</v>
      </c>
      <c r="AT3948" s="3" t="s">
        <v>61</v>
      </c>
      <c r="AU3948" s="6" t="str">
        <f>HYPERLINK("http://catalog.hathitrust.org/Record/005990234","HathiTrust Record")</f>
        <v>HathiTrust Record</v>
      </c>
      <c r="AV3948" s="6" t="str">
        <f>HYPERLINK("http://mcgill.on.worldcat.org/oclc/243960498","Catalog Record")</f>
        <v>Catalog Record</v>
      </c>
      <c r="AW3948" s="6" t="str">
        <f>HYPERLINK("http://www.worldcat.org/oclc/243960498","WorldCat Record")</f>
        <v>WorldCat Record</v>
      </c>
      <c r="AX3948" s="3" t="s">
        <v>37919</v>
      </c>
      <c r="AY3948" s="3" t="s">
        <v>37920</v>
      </c>
      <c r="AZ3948" s="3" t="s">
        <v>37921</v>
      </c>
      <c r="BA3948" s="3" t="s">
        <v>37921</v>
      </c>
      <c r="BB3948" s="3" t="s">
        <v>37922</v>
      </c>
      <c r="BC3948" s="3" t="s">
        <v>142</v>
      </c>
      <c r="BD3948" s="3" t="s">
        <v>68</v>
      </c>
      <c r="BE3948" s="3" t="s">
        <v>37923</v>
      </c>
      <c r="BF3948" s="3" t="s">
        <v>37922</v>
      </c>
      <c r="BG3948" s="3" t="s">
        <v>37924</v>
      </c>
    </row>
    <row r="3949" spans="1:59" ht="57" x14ac:dyDescent="0.45">
      <c r="A3949" s="2" t="s">
        <v>59</v>
      </c>
      <c r="B3949" s="2" t="s">
        <v>60</v>
      </c>
      <c r="C3949" s="2" t="s">
        <v>37925</v>
      </c>
      <c r="D3949" s="2" t="s">
        <v>37926</v>
      </c>
      <c r="E3949" s="2" t="s">
        <v>37927</v>
      </c>
      <c r="G3949" s="3" t="s">
        <v>62</v>
      </c>
      <c r="I3949" s="3" t="s">
        <v>61</v>
      </c>
      <c r="J3949" s="3" t="s">
        <v>62</v>
      </c>
      <c r="K3949" s="3" t="s">
        <v>63</v>
      </c>
      <c r="L3949" s="2" t="s">
        <v>37928</v>
      </c>
      <c r="M3949" s="2" t="s">
        <v>3362</v>
      </c>
      <c r="N3949" s="3" t="s">
        <v>149</v>
      </c>
      <c r="P3949" s="3" t="s">
        <v>65</v>
      </c>
      <c r="Q3949" s="2" t="s">
        <v>7948</v>
      </c>
      <c r="R3949" s="3" t="s">
        <v>66</v>
      </c>
      <c r="S3949" s="4">
        <v>1</v>
      </c>
      <c r="T3949" s="4">
        <v>1</v>
      </c>
      <c r="U3949" s="5" t="s">
        <v>37929</v>
      </c>
      <c r="V3949" s="5" t="s">
        <v>37929</v>
      </c>
      <c r="W3949" s="5" t="s">
        <v>67</v>
      </c>
      <c r="X3949" s="5" t="s">
        <v>67</v>
      </c>
      <c r="Y3949" s="4">
        <v>153</v>
      </c>
      <c r="Z3949" s="4">
        <v>21</v>
      </c>
      <c r="AA3949" s="4">
        <v>85</v>
      </c>
      <c r="AB3949" s="4">
        <v>1</v>
      </c>
      <c r="AC3949" s="4">
        <v>14</v>
      </c>
      <c r="AD3949" s="4">
        <v>66</v>
      </c>
      <c r="AE3949" s="4">
        <v>124</v>
      </c>
      <c r="AF3949" s="4">
        <v>0</v>
      </c>
      <c r="AG3949" s="4">
        <v>8</v>
      </c>
      <c r="AH3949" s="4">
        <v>57</v>
      </c>
      <c r="AI3949" s="4">
        <v>86</v>
      </c>
      <c r="AJ3949" s="4">
        <v>15</v>
      </c>
      <c r="AK3949" s="4">
        <v>26</v>
      </c>
      <c r="AL3949" s="4">
        <v>36</v>
      </c>
      <c r="AM3949" s="4">
        <v>49</v>
      </c>
      <c r="AN3949" s="4">
        <v>0</v>
      </c>
      <c r="AO3949" s="4">
        <v>0</v>
      </c>
      <c r="AP3949" s="4">
        <v>18</v>
      </c>
      <c r="AQ3949" s="4">
        <v>46</v>
      </c>
      <c r="AR3949" s="3" t="s">
        <v>62</v>
      </c>
      <c r="AS3949" s="3" t="s">
        <v>62</v>
      </c>
      <c r="AT3949" s="3" t="s">
        <v>62</v>
      </c>
      <c r="AV3949" s="6" t="str">
        <f>HYPERLINK("http://mcgill.on.worldcat.org/oclc/430736644","Catalog Record")</f>
        <v>Catalog Record</v>
      </c>
      <c r="AW3949" s="6" t="str">
        <f>HYPERLINK("http://www.worldcat.org/oclc/430736644","WorldCat Record")</f>
        <v>WorldCat Record</v>
      </c>
      <c r="AX3949" s="3" t="s">
        <v>37930</v>
      </c>
      <c r="AY3949" s="3" t="s">
        <v>37931</v>
      </c>
      <c r="AZ3949" s="3" t="s">
        <v>37932</v>
      </c>
      <c r="BA3949" s="3" t="s">
        <v>37932</v>
      </c>
      <c r="BB3949" s="3" t="s">
        <v>37933</v>
      </c>
      <c r="BC3949" s="3" t="s">
        <v>142</v>
      </c>
      <c r="BD3949" s="3" t="s">
        <v>68</v>
      </c>
      <c r="BE3949" s="3" t="s">
        <v>37934</v>
      </c>
      <c r="BF3949" s="3" t="s">
        <v>37933</v>
      </c>
      <c r="BG3949" s="3" t="s">
        <v>37935</v>
      </c>
    </row>
    <row r="3950" spans="1:59" ht="57" x14ac:dyDescent="0.45">
      <c r="A3950" s="2" t="s">
        <v>59</v>
      </c>
      <c r="B3950" s="2" t="s">
        <v>60</v>
      </c>
      <c r="C3950" s="2" t="s">
        <v>37925</v>
      </c>
      <c r="D3950" s="2" t="s">
        <v>37926</v>
      </c>
      <c r="E3950" s="2" t="s">
        <v>37927</v>
      </c>
      <c r="G3950" s="3" t="s">
        <v>62</v>
      </c>
      <c r="I3950" s="3" t="s">
        <v>61</v>
      </c>
      <c r="J3950" s="3" t="s">
        <v>62</v>
      </c>
      <c r="K3950" s="3" t="s">
        <v>63</v>
      </c>
      <c r="L3950" s="2" t="s">
        <v>37928</v>
      </c>
      <c r="M3950" s="2" t="s">
        <v>3362</v>
      </c>
      <c r="N3950" s="3" t="s">
        <v>149</v>
      </c>
      <c r="P3950" s="3" t="s">
        <v>65</v>
      </c>
      <c r="Q3950" s="2" t="s">
        <v>7948</v>
      </c>
      <c r="R3950" s="3" t="s">
        <v>66</v>
      </c>
      <c r="S3950" s="4">
        <v>0</v>
      </c>
      <c r="T3950" s="4">
        <v>1</v>
      </c>
      <c r="V3950" s="5" t="s">
        <v>37929</v>
      </c>
      <c r="W3950" s="5" t="s">
        <v>67</v>
      </c>
      <c r="X3950" s="5" t="s">
        <v>67</v>
      </c>
      <c r="Y3950" s="4">
        <v>153</v>
      </c>
      <c r="Z3950" s="4">
        <v>21</v>
      </c>
      <c r="AA3950" s="4">
        <v>85</v>
      </c>
      <c r="AB3950" s="4">
        <v>1</v>
      </c>
      <c r="AC3950" s="4">
        <v>14</v>
      </c>
      <c r="AD3950" s="4">
        <v>66</v>
      </c>
      <c r="AE3950" s="4">
        <v>124</v>
      </c>
      <c r="AF3950" s="4">
        <v>0</v>
      </c>
      <c r="AG3950" s="4">
        <v>8</v>
      </c>
      <c r="AH3950" s="4">
        <v>57</v>
      </c>
      <c r="AI3950" s="4">
        <v>86</v>
      </c>
      <c r="AJ3950" s="4">
        <v>15</v>
      </c>
      <c r="AK3950" s="4">
        <v>26</v>
      </c>
      <c r="AL3950" s="4">
        <v>36</v>
      </c>
      <c r="AM3950" s="4">
        <v>49</v>
      </c>
      <c r="AN3950" s="4">
        <v>0</v>
      </c>
      <c r="AO3950" s="4">
        <v>0</v>
      </c>
      <c r="AP3950" s="4">
        <v>18</v>
      </c>
      <c r="AQ3950" s="4">
        <v>46</v>
      </c>
      <c r="AR3950" s="3" t="s">
        <v>62</v>
      </c>
      <c r="AS3950" s="3" t="s">
        <v>62</v>
      </c>
      <c r="AT3950" s="3" t="s">
        <v>62</v>
      </c>
      <c r="AV3950" s="6" t="str">
        <f>HYPERLINK("http://mcgill.on.worldcat.org/oclc/430736644","Catalog Record")</f>
        <v>Catalog Record</v>
      </c>
      <c r="AW3950" s="6" t="str">
        <f>HYPERLINK("http://www.worldcat.org/oclc/430736644","WorldCat Record")</f>
        <v>WorldCat Record</v>
      </c>
      <c r="AX3950" s="3" t="s">
        <v>37930</v>
      </c>
      <c r="AY3950" s="3" t="s">
        <v>37931</v>
      </c>
      <c r="AZ3950" s="3" t="s">
        <v>37932</v>
      </c>
      <c r="BA3950" s="3" t="s">
        <v>37932</v>
      </c>
      <c r="BB3950" s="3" t="s">
        <v>37936</v>
      </c>
      <c r="BC3950" s="3" t="s">
        <v>142</v>
      </c>
      <c r="BD3950" s="3" t="s">
        <v>68</v>
      </c>
      <c r="BE3950" s="3" t="s">
        <v>37934</v>
      </c>
      <c r="BF3950" s="3" t="s">
        <v>37936</v>
      </c>
      <c r="BG3950" s="3" t="s">
        <v>37937</v>
      </c>
    </row>
    <row r="3951" spans="1:59" ht="57" x14ac:dyDescent="0.45">
      <c r="A3951" s="2" t="s">
        <v>59</v>
      </c>
      <c r="B3951" s="2" t="s">
        <v>60</v>
      </c>
      <c r="C3951" s="2" t="s">
        <v>37938</v>
      </c>
      <c r="D3951" s="2" t="s">
        <v>37939</v>
      </c>
      <c r="E3951" s="2" t="s">
        <v>37940</v>
      </c>
      <c r="G3951" s="3" t="s">
        <v>62</v>
      </c>
      <c r="I3951" s="3" t="s">
        <v>62</v>
      </c>
      <c r="J3951" s="3" t="s">
        <v>62</v>
      </c>
      <c r="K3951" s="3" t="s">
        <v>63</v>
      </c>
      <c r="L3951" s="2" t="s">
        <v>37941</v>
      </c>
      <c r="M3951" s="2" t="s">
        <v>33543</v>
      </c>
      <c r="N3951" s="3" t="s">
        <v>1097</v>
      </c>
      <c r="P3951" s="3" t="s">
        <v>65</v>
      </c>
      <c r="Q3951" s="2" t="s">
        <v>37942</v>
      </c>
      <c r="R3951" s="3" t="s">
        <v>66</v>
      </c>
      <c r="S3951" s="4">
        <v>21</v>
      </c>
      <c r="T3951" s="4">
        <v>21</v>
      </c>
      <c r="U3951" s="5" t="s">
        <v>303</v>
      </c>
      <c r="V3951" s="5" t="s">
        <v>303</v>
      </c>
      <c r="W3951" s="5" t="s">
        <v>67</v>
      </c>
      <c r="X3951" s="5" t="s">
        <v>67</v>
      </c>
      <c r="Y3951" s="4">
        <v>213</v>
      </c>
      <c r="Z3951" s="4">
        <v>22</v>
      </c>
      <c r="AA3951" s="4">
        <v>108</v>
      </c>
      <c r="AB3951" s="4">
        <v>2</v>
      </c>
      <c r="AC3951" s="4">
        <v>17</v>
      </c>
      <c r="AD3951" s="4">
        <v>75</v>
      </c>
      <c r="AE3951" s="4">
        <v>131</v>
      </c>
      <c r="AF3951" s="4">
        <v>1</v>
      </c>
      <c r="AG3951" s="4">
        <v>8</v>
      </c>
      <c r="AH3951" s="4">
        <v>65</v>
      </c>
      <c r="AI3951" s="4">
        <v>92</v>
      </c>
      <c r="AJ3951" s="4">
        <v>14</v>
      </c>
      <c r="AK3951" s="4">
        <v>24</v>
      </c>
      <c r="AL3951" s="4">
        <v>37</v>
      </c>
      <c r="AM3951" s="4">
        <v>46</v>
      </c>
      <c r="AN3951" s="4">
        <v>0</v>
      </c>
      <c r="AO3951" s="4">
        <v>0</v>
      </c>
      <c r="AP3951" s="4">
        <v>17</v>
      </c>
      <c r="AQ3951" s="4">
        <v>47</v>
      </c>
      <c r="AR3951" s="3" t="s">
        <v>62</v>
      </c>
      <c r="AS3951" s="3" t="s">
        <v>62</v>
      </c>
      <c r="AT3951" s="3" t="s">
        <v>62</v>
      </c>
      <c r="AV3951" s="6" t="str">
        <f>HYPERLINK("http://mcgill.on.worldcat.org/oclc/52845564","Catalog Record")</f>
        <v>Catalog Record</v>
      </c>
      <c r="AW3951" s="6" t="str">
        <f>HYPERLINK("http://www.worldcat.org/oclc/52845564","WorldCat Record")</f>
        <v>WorldCat Record</v>
      </c>
      <c r="AX3951" s="3" t="s">
        <v>37943</v>
      </c>
      <c r="AY3951" s="3" t="s">
        <v>37944</v>
      </c>
      <c r="AZ3951" s="3" t="s">
        <v>37945</v>
      </c>
      <c r="BA3951" s="3" t="s">
        <v>37945</v>
      </c>
      <c r="BB3951" s="3" t="s">
        <v>37946</v>
      </c>
      <c r="BC3951" s="3" t="s">
        <v>142</v>
      </c>
      <c r="BD3951" s="3" t="s">
        <v>68</v>
      </c>
      <c r="BE3951" s="3" t="s">
        <v>37947</v>
      </c>
      <c r="BF3951" s="3" t="s">
        <v>37946</v>
      </c>
      <c r="BG3951" s="3" t="s">
        <v>37948</v>
      </c>
    </row>
    <row r="3952" spans="1:59" ht="57" x14ac:dyDescent="0.45">
      <c r="A3952" s="2" t="s">
        <v>59</v>
      </c>
      <c r="B3952" s="2" t="s">
        <v>60</v>
      </c>
      <c r="C3952" s="2" t="s">
        <v>37949</v>
      </c>
      <c r="D3952" s="2" t="s">
        <v>37950</v>
      </c>
      <c r="E3952" s="2" t="s">
        <v>37951</v>
      </c>
      <c r="G3952" s="3" t="s">
        <v>62</v>
      </c>
      <c r="I3952" s="3" t="s">
        <v>62</v>
      </c>
      <c r="J3952" s="3" t="s">
        <v>62</v>
      </c>
      <c r="K3952" s="3" t="s">
        <v>63</v>
      </c>
      <c r="M3952" s="2" t="s">
        <v>37952</v>
      </c>
      <c r="N3952" s="3" t="s">
        <v>542</v>
      </c>
      <c r="P3952" s="3" t="s">
        <v>65</v>
      </c>
      <c r="Q3952" s="2" t="s">
        <v>37953</v>
      </c>
      <c r="R3952" s="3" t="s">
        <v>66</v>
      </c>
      <c r="S3952" s="4">
        <v>21</v>
      </c>
      <c r="T3952" s="4">
        <v>21</v>
      </c>
      <c r="U3952" s="5" t="s">
        <v>11707</v>
      </c>
      <c r="V3952" s="5" t="s">
        <v>11707</v>
      </c>
      <c r="W3952" s="5" t="s">
        <v>67</v>
      </c>
      <c r="X3952" s="5" t="s">
        <v>67</v>
      </c>
      <c r="Y3952" s="4">
        <v>221</v>
      </c>
      <c r="Z3952" s="4">
        <v>13</v>
      </c>
      <c r="AA3952" s="4">
        <v>13</v>
      </c>
      <c r="AB3952" s="4">
        <v>2</v>
      </c>
      <c r="AC3952" s="4">
        <v>2</v>
      </c>
      <c r="AD3952" s="4">
        <v>69</v>
      </c>
      <c r="AE3952" s="4">
        <v>69</v>
      </c>
      <c r="AF3952" s="4">
        <v>1</v>
      </c>
      <c r="AG3952" s="4">
        <v>1</v>
      </c>
      <c r="AH3952" s="4">
        <v>60</v>
      </c>
      <c r="AI3952" s="4">
        <v>60</v>
      </c>
      <c r="AJ3952" s="4">
        <v>11</v>
      </c>
      <c r="AK3952" s="4">
        <v>11</v>
      </c>
      <c r="AL3952" s="4">
        <v>40</v>
      </c>
      <c r="AM3952" s="4">
        <v>40</v>
      </c>
      <c r="AN3952" s="4">
        <v>0</v>
      </c>
      <c r="AO3952" s="4">
        <v>0</v>
      </c>
      <c r="AP3952" s="4">
        <v>11</v>
      </c>
      <c r="AQ3952" s="4">
        <v>11</v>
      </c>
      <c r="AR3952" s="3" t="s">
        <v>62</v>
      </c>
      <c r="AS3952" s="3" t="s">
        <v>62</v>
      </c>
      <c r="AT3952" s="3" t="s">
        <v>62</v>
      </c>
      <c r="AV3952" s="6" t="str">
        <f>HYPERLINK("http://mcgill.on.worldcat.org/oclc/48047379","Catalog Record")</f>
        <v>Catalog Record</v>
      </c>
      <c r="AW3952" s="6" t="str">
        <f>HYPERLINK("http://www.worldcat.org/oclc/48047379","WorldCat Record")</f>
        <v>WorldCat Record</v>
      </c>
      <c r="AX3952" s="3" t="s">
        <v>37954</v>
      </c>
      <c r="AY3952" s="3" t="s">
        <v>37955</v>
      </c>
      <c r="AZ3952" s="3" t="s">
        <v>37956</v>
      </c>
      <c r="BA3952" s="3" t="s">
        <v>37956</v>
      </c>
      <c r="BB3952" s="3" t="s">
        <v>37957</v>
      </c>
      <c r="BC3952" s="3" t="s">
        <v>142</v>
      </c>
      <c r="BD3952" s="3" t="s">
        <v>68</v>
      </c>
      <c r="BE3952" s="3" t="s">
        <v>37958</v>
      </c>
      <c r="BF3952" s="3" t="s">
        <v>37957</v>
      </c>
      <c r="BG3952" s="3" t="s">
        <v>37959</v>
      </c>
    </row>
    <row r="3953" spans="1:59" ht="57" x14ac:dyDescent="0.45">
      <c r="A3953" s="2" t="s">
        <v>59</v>
      </c>
      <c r="B3953" s="2" t="s">
        <v>60</v>
      </c>
      <c r="C3953" s="2" t="s">
        <v>37960</v>
      </c>
      <c r="D3953" s="2" t="s">
        <v>37961</v>
      </c>
      <c r="E3953" s="2" t="s">
        <v>37962</v>
      </c>
      <c r="G3953" s="3" t="s">
        <v>62</v>
      </c>
      <c r="I3953" s="3" t="s">
        <v>62</v>
      </c>
      <c r="J3953" s="3" t="s">
        <v>62</v>
      </c>
      <c r="K3953" s="3" t="s">
        <v>63</v>
      </c>
      <c r="M3953" s="2" t="s">
        <v>3075</v>
      </c>
      <c r="N3953" s="3" t="s">
        <v>1465</v>
      </c>
      <c r="P3953" s="3" t="s">
        <v>65</v>
      </c>
      <c r="R3953" s="3" t="s">
        <v>66</v>
      </c>
      <c r="S3953" s="4">
        <v>9</v>
      </c>
      <c r="T3953" s="4">
        <v>9</v>
      </c>
      <c r="U3953" s="5" t="s">
        <v>14909</v>
      </c>
      <c r="V3953" s="5" t="s">
        <v>14909</v>
      </c>
      <c r="W3953" s="5" t="s">
        <v>67</v>
      </c>
      <c r="X3953" s="5" t="s">
        <v>67</v>
      </c>
      <c r="Y3953" s="4">
        <v>117</v>
      </c>
      <c r="Z3953" s="4">
        <v>14</v>
      </c>
      <c r="AA3953" s="4">
        <v>21</v>
      </c>
      <c r="AB3953" s="4">
        <v>2</v>
      </c>
      <c r="AC3953" s="4">
        <v>8</v>
      </c>
      <c r="AD3953" s="4">
        <v>53</v>
      </c>
      <c r="AE3953" s="4">
        <v>59</v>
      </c>
      <c r="AF3953" s="4">
        <v>1</v>
      </c>
      <c r="AG3953" s="4">
        <v>3</v>
      </c>
      <c r="AH3953" s="4">
        <v>46</v>
      </c>
      <c r="AI3953" s="4">
        <v>51</v>
      </c>
      <c r="AJ3953" s="4">
        <v>10</v>
      </c>
      <c r="AK3953" s="4">
        <v>13</v>
      </c>
      <c r="AL3953" s="4">
        <v>35</v>
      </c>
      <c r="AM3953" s="4">
        <v>35</v>
      </c>
      <c r="AN3953" s="4">
        <v>0</v>
      </c>
      <c r="AO3953" s="4">
        <v>0</v>
      </c>
      <c r="AP3953" s="4">
        <v>10</v>
      </c>
      <c r="AQ3953" s="4">
        <v>13</v>
      </c>
      <c r="AR3953" s="3" t="s">
        <v>62</v>
      </c>
      <c r="AS3953" s="3" t="s">
        <v>62</v>
      </c>
      <c r="AT3953" s="3" t="s">
        <v>62</v>
      </c>
      <c r="AV3953" s="6" t="str">
        <f>HYPERLINK("http://mcgill.on.worldcat.org/oclc/192080465","Catalog Record")</f>
        <v>Catalog Record</v>
      </c>
      <c r="AW3953" s="6" t="str">
        <f>HYPERLINK("http://www.worldcat.org/oclc/192080465","WorldCat Record")</f>
        <v>WorldCat Record</v>
      </c>
      <c r="AX3953" s="3" t="s">
        <v>37963</v>
      </c>
      <c r="AY3953" s="3" t="s">
        <v>37964</v>
      </c>
      <c r="AZ3953" s="3" t="s">
        <v>37965</v>
      </c>
      <c r="BA3953" s="3" t="s">
        <v>37965</v>
      </c>
      <c r="BB3953" s="3" t="s">
        <v>37966</v>
      </c>
      <c r="BC3953" s="3" t="s">
        <v>142</v>
      </c>
      <c r="BD3953" s="3" t="s">
        <v>68</v>
      </c>
      <c r="BE3953" s="3" t="s">
        <v>37967</v>
      </c>
      <c r="BF3953" s="3" t="s">
        <v>37966</v>
      </c>
      <c r="BG3953" s="3" t="s">
        <v>37968</v>
      </c>
    </row>
    <row r="3954" spans="1:59" ht="57" x14ac:dyDescent="0.45">
      <c r="A3954" s="2" t="s">
        <v>59</v>
      </c>
      <c r="B3954" s="2" t="s">
        <v>60</v>
      </c>
      <c r="C3954" s="2" t="s">
        <v>37969</v>
      </c>
      <c r="D3954" s="2" t="s">
        <v>37970</v>
      </c>
      <c r="E3954" s="2" t="s">
        <v>37971</v>
      </c>
      <c r="F3954" s="3" t="s">
        <v>87</v>
      </c>
      <c r="G3954" s="3" t="s">
        <v>61</v>
      </c>
      <c r="I3954" s="3" t="s">
        <v>62</v>
      </c>
      <c r="J3954" s="3" t="s">
        <v>62</v>
      </c>
      <c r="K3954" s="3" t="s">
        <v>63</v>
      </c>
      <c r="L3954" s="2" t="s">
        <v>37972</v>
      </c>
      <c r="M3954" s="2" t="s">
        <v>37973</v>
      </c>
      <c r="N3954" s="3" t="s">
        <v>894</v>
      </c>
      <c r="P3954" s="3" t="s">
        <v>65</v>
      </c>
      <c r="Q3954" s="2" t="s">
        <v>7221</v>
      </c>
      <c r="R3954" s="3" t="s">
        <v>66</v>
      </c>
      <c r="S3954" s="4">
        <v>3</v>
      </c>
      <c r="T3954" s="4">
        <v>6</v>
      </c>
      <c r="U3954" s="5" t="s">
        <v>7213</v>
      </c>
      <c r="V3954" s="5" t="s">
        <v>7213</v>
      </c>
      <c r="W3954" s="5" t="s">
        <v>67</v>
      </c>
      <c r="X3954" s="5" t="s">
        <v>67</v>
      </c>
      <c r="Y3954" s="4">
        <v>153</v>
      </c>
      <c r="Z3954" s="4">
        <v>11</v>
      </c>
      <c r="AA3954" s="4">
        <v>36</v>
      </c>
      <c r="AB3954" s="4">
        <v>2</v>
      </c>
      <c r="AC3954" s="4">
        <v>10</v>
      </c>
      <c r="AD3954" s="4">
        <v>25</v>
      </c>
      <c r="AE3954" s="4">
        <v>68</v>
      </c>
      <c r="AF3954" s="4">
        <v>1</v>
      </c>
      <c r="AG3954" s="4">
        <v>5</v>
      </c>
      <c r="AH3954" s="4">
        <v>22</v>
      </c>
      <c r="AI3954" s="4">
        <v>54</v>
      </c>
      <c r="AJ3954" s="4">
        <v>8</v>
      </c>
      <c r="AK3954" s="4">
        <v>15</v>
      </c>
      <c r="AL3954" s="4">
        <v>10</v>
      </c>
      <c r="AM3954" s="4">
        <v>24</v>
      </c>
      <c r="AN3954" s="4">
        <v>0</v>
      </c>
      <c r="AO3954" s="4">
        <v>0</v>
      </c>
      <c r="AP3954" s="4">
        <v>8</v>
      </c>
      <c r="AQ3954" s="4">
        <v>21</v>
      </c>
      <c r="AR3954" s="3" t="s">
        <v>62</v>
      </c>
      <c r="AS3954" s="3" t="s">
        <v>62</v>
      </c>
      <c r="AT3954" s="3" t="s">
        <v>62</v>
      </c>
      <c r="AV3954" s="6" t="str">
        <f>HYPERLINK("http://mcgill.on.worldcat.org/oclc/419793513","Catalog Record")</f>
        <v>Catalog Record</v>
      </c>
      <c r="AW3954" s="6" t="str">
        <f>HYPERLINK("http://www.worldcat.org/oclc/419793513","WorldCat Record")</f>
        <v>WorldCat Record</v>
      </c>
      <c r="AX3954" s="3" t="s">
        <v>37974</v>
      </c>
      <c r="AY3954" s="3" t="s">
        <v>37975</v>
      </c>
      <c r="AZ3954" s="3" t="s">
        <v>37976</v>
      </c>
      <c r="BA3954" s="3" t="s">
        <v>37976</v>
      </c>
      <c r="BB3954" s="3" t="s">
        <v>37977</v>
      </c>
      <c r="BC3954" s="3" t="s">
        <v>142</v>
      </c>
      <c r="BD3954" s="3" t="s">
        <v>68</v>
      </c>
      <c r="BE3954" s="3" t="s">
        <v>37978</v>
      </c>
      <c r="BF3954" s="3" t="s">
        <v>37977</v>
      </c>
      <c r="BG3954" s="3" t="s">
        <v>37979</v>
      </c>
    </row>
    <row r="3955" spans="1:59" ht="57" x14ac:dyDescent="0.45">
      <c r="A3955" s="2" t="s">
        <v>59</v>
      </c>
      <c r="B3955" s="2" t="s">
        <v>60</v>
      </c>
      <c r="C3955" s="2" t="s">
        <v>37969</v>
      </c>
      <c r="D3955" s="2" t="s">
        <v>37970</v>
      </c>
      <c r="E3955" s="2" t="s">
        <v>37971</v>
      </c>
      <c r="F3955" s="3" t="s">
        <v>90</v>
      </c>
      <c r="G3955" s="3" t="s">
        <v>61</v>
      </c>
      <c r="I3955" s="3" t="s">
        <v>62</v>
      </c>
      <c r="J3955" s="3" t="s">
        <v>62</v>
      </c>
      <c r="K3955" s="3" t="s">
        <v>63</v>
      </c>
      <c r="L3955" s="2" t="s">
        <v>37972</v>
      </c>
      <c r="M3955" s="2" t="s">
        <v>37973</v>
      </c>
      <c r="N3955" s="3" t="s">
        <v>894</v>
      </c>
      <c r="P3955" s="3" t="s">
        <v>65</v>
      </c>
      <c r="Q3955" s="2" t="s">
        <v>7221</v>
      </c>
      <c r="R3955" s="3" t="s">
        <v>66</v>
      </c>
      <c r="S3955" s="4">
        <v>3</v>
      </c>
      <c r="T3955" s="4">
        <v>6</v>
      </c>
      <c r="U3955" s="5" t="s">
        <v>7213</v>
      </c>
      <c r="V3955" s="5" t="s">
        <v>7213</v>
      </c>
      <c r="W3955" s="5" t="s">
        <v>67</v>
      </c>
      <c r="X3955" s="5" t="s">
        <v>67</v>
      </c>
      <c r="Y3955" s="4">
        <v>153</v>
      </c>
      <c r="Z3955" s="4">
        <v>11</v>
      </c>
      <c r="AA3955" s="4">
        <v>36</v>
      </c>
      <c r="AB3955" s="4">
        <v>2</v>
      </c>
      <c r="AC3955" s="4">
        <v>10</v>
      </c>
      <c r="AD3955" s="4">
        <v>25</v>
      </c>
      <c r="AE3955" s="4">
        <v>68</v>
      </c>
      <c r="AF3955" s="4">
        <v>1</v>
      </c>
      <c r="AG3955" s="4">
        <v>5</v>
      </c>
      <c r="AH3955" s="4">
        <v>22</v>
      </c>
      <c r="AI3955" s="4">
        <v>54</v>
      </c>
      <c r="AJ3955" s="4">
        <v>8</v>
      </c>
      <c r="AK3955" s="4">
        <v>15</v>
      </c>
      <c r="AL3955" s="4">
        <v>10</v>
      </c>
      <c r="AM3955" s="4">
        <v>24</v>
      </c>
      <c r="AN3955" s="4">
        <v>0</v>
      </c>
      <c r="AO3955" s="4">
        <v>0</v>
      </c>
      <c r="AP3955" s="4">
        <v>8</v>
      </c>
      <c r="AQ3955" s="4">
        <v>21</v>
      </c>
      <c r="AR3955" s="3" t="s">
        <v>62</v>
      </c>
      <c r="AS3955" s="3" t="s">
        <v>62</v>
      </c>
      <c r="AT3955" s="3" t="s">
        <v>62</v>
      </c>
      <c r="AV3955" s="6" t="str">
        <f>HYPERLINK("http://mcgill.on.worldcat.org/oclc/419793513","Catalog Record")</f>
        <v>Catalog Record</v>
      </c>
      <c r="AW3955" s="6" t="str">
        <f>HYPERLINK("http://www.worldcat.org/oclc/419793513","WorldCat Record")</f>
        <v>WorldCat Record</v>
      </c>
      <c r="AX3955" s="3" t="s">
        <v>37974</v>
      </c>
      <c r="AY3955" s="3" t="s">
        <v>37975</v>
      </c>
      <c r="AZ3955" s="3" t="s">
        <v>37976</v>
      </c>
      <c r="BA3955" s="3" t="s">
        <v>37976</v>
      </c>
      <c r="BB3955" s="3" t="s">
        <v>37980</v>
      </c>
      <c r="BC3955" s="3" t="s">
        <v>142</v>
      </c>
      <c r="BD3955" s="3" t="s">
        <v>68</v>
      </c>
      <c r="BE3955" s="3" t="s">
        <v>37978</v>
      </c>
      <c r="BF3955" s="3" t="s">
        <v>37980</v>
      </c>
      <c r="BG3955" s="3" t="s">
        <v>37981</v>
      </c>
    </row>
    <row r="3956" spans="1:59" ht="57" x14ac:dyDescent="0.45">
      <c r="A3956" s="2" t="s">
        <v>59</v>
      </c>
      <c r="B3956" s="2" t="s">
        <v>60</v>
      </c>
      <c r="C3956" s="2" t="s">
        <v>37982</v>
      </c>
      <c r="D3956" s="2" t="s">
        <v>37983</v>
      </c>
      <c r="E3956" s="2" t="s">
        <v>37984</v>
      </c>
      <c r="G3956" s="3" t="s">
        <v>62</v>
      </c>
      <c r="I3956" s="3" t="s">
        <v>62</v>
      </c>
      <c r="J3956" s="3" t="s">
        <v>62</v>
      </c>
      <c r="K3956" s="3" t="s">
        <v>63</v>
      </c>
      <c r="M3956" s="2" t="s">
        <v>5735</v>
      </c>
      <c r="N3956" s="3" t="s">
        <v>1465</v>
      </c>
      <c r="O3956" s="2" t="s">
        <v>168</v>
      </c>
      <c r="P3956" s="3" t="s">
        <v>65</v>
      </c>
      <c r="R3956" s="3" t="s">
        <v>66</v>
      </c>
      <c r="S3956" s="4">
        <v>18</v>
      </c>
      <c r="T3956" s="4">
        <v>18</v>
      </c>
      <c r="U3956" s="5" t="s">
        <v>1981</v>
      </c>
      <c r="V3956" s="5" t="s">
        <v>1981</v>
      </c>
      <c r="W3956" s="5" t="s">
        <v>67</v>
      </c>
      <c r="X3956" s="5" t="s">
        <v>67</v>
      </c>
      <c r="Y3956" s="4">
        <v>152</v>
      </c>
      <c r="Z3956" s="4">
        <v>8</v>
      </c>
      <c r="AA3956" s="4">
        <v>16</v>
      </c>
      <c r="AB3956" s="4">
        <v>2</v>
      </c>
      <c r="AC3956" s="4">
        <v>4</v>
      </c>
      <c r="AD3956" s="4">
        <v>49</v>
      </c>
      <c r="AE3956" s="4">
        <v>60</v>
      </c>
      <c r="AF3956" s="4">
        <v>0</v>
      </c>
      <c r="AG3956" s="4">
        <v>2</v>
      </c>
      <c r="AH3956" s="4">
        <v>47</v>
      </c>
      <c r="AI3956" s="4">
        <v>55</v>
      </c>
      <c r="AJ3956" s="4">
        <v>5</v>
      </c>
      <c r="AK3956" s="4">
        <v>10</v>
      </c>
      <c r="AL3956" s="4">
        <v>27</v>
      </c>
      <c r="AM3956" s="4">
        <v>31</v>
      </c>
      <c r="AN3956" s="4">
        <v>0</v>
      </c>
      <c r="AO3956" s="4">
        <v>0</v>
      </c>
      <c r="AP3956" s="4">
        <v>6</v>
      </c>
      <c r="AQ3956" s="4">
        <v>13</v>
      </c>
      <c r="AR3956" s="3" t="s">
        <v>62</v>
      </c>
      <c r="AS3956" s="3" t="s">
        <v>62</v>
      </c>
      <c r="AT3956" s="3" t="s">
        <v>62</v>
      </c>
      <c r="AV3956" s="6" t="str">
        <f>HYPERLINK("http://mcgill.on.worldcat.org/oclc/390842603","Catalog Record")</f>
        <v>Catalog Record</v>
      </c>
      <c r="AW3956" s="6" t="str">
        <f>HYPERLINK("http://www.worldcat.org/oclc/390842603","WorldCat Record")</f>
        <v>WorldCat Record</v>
      </c>
      <c r="AX3956" s="3" t="s">
        <v>37985</v>
      </c>
      <c r="AY3956" s="3" t="s">
        <v>37986</v>
      </c>
      <c r="AZ3956" s="3" t="s">
        <v>37987</v>
      </c>
      <c r="BA3956" s="3" t="s">
        <v>37987</v>
      </c>
      <c r="BB3956" s="3" t="s">
        <v>37988</v>
      </c>
      <c r="BC3956" s="3" t="s">
        <v>142</v>
      </c>
      <c r="BD3956" s="3" t="s">
        <v>308</v>
      </c>
      <c r="BE3956" s="3" t="s">
        <v>37989</v>
      </c>
      <c r="BF3956" s="3" t="s">
        <v>37988</v>
      </c>
      <c r="BG3956" s="3" t="s">
        <v>37990</v>
      </c>
    </row>
    <row r="3957" spans="1:59" ht="57" x14ac:dyDescent="0.45">
      <c r="A3957" s="2" t="s">
        <v>59</v>
      </c>
      <c r="B3957" s="2" t="s">
        <v>60</v>
      </c>
      <c r="C3957" s="2" t="s">
        <v>37991</v>
      </c>
      <c r="D3957" s="2" t="s">
        <v>37992</v>
      </c>
      <c r="E3957" s="2" t="s">
        <v>37993</v>
      </c>
      <c r="G3957" s="3" t="s">
        <v>62</v>
      </c>
      <c r="I3957" s="3" t="s">
        <v>62</v>
      </c>
      <c r="J3957" s="3" t="s">
        <v>62</v>
      </c>
      <c r="K3957" s="3" t="s">
        <v>63</v>
      </c>
      <c r="M3957" s="2" t="s">
        <v>33430</v>
      </c>
      <c r="N3957" s="3" t="s">
        <v>149</v>
      </c>
      <c r="P3957" s="3" t="s">
        <v>65</v>
      </c>
      <c r="Q3957" s="2" t="s">
        <v>37994</v>
      </c>
      <c r="R3957" s="3" t="s">
        <v>66</v>
      </c>
      <c r="S3957" s="4">
        <v>3</v>
      </c>
      <c r="T3957" s="4">
        <v>3</v>
      </c>
      <c r="U3957" s="5" t="s">
        <v>37995</v>
      </c>
      <c r="V3957" s="5" t="s">
        <v>37995</v>
      </c>
      <c r="W3957" s="5" t="s">
        <v>67</v>
      </c>
      <c r="X3957" s="5" t="s">
        <v>67</v>
      </c>
      <c r="Y3957" s="4">
        <v>162</v>
      </c>
      <c r="Z3957" s="4">
        <v>18</v>
      </c>
      <c r="AA3957" s="4">
        <v>83</v>
      </c>
      <c r="AB3957" s="4">
        <v>1</v>
      </c>
      <c r="AC3957" s="4">
        <v>14</v>
      </c>
      <c r="AD3957" s="4">
        <v>64</v>
      </c>
      <c r="AE3957" s="4">
        <v>121</v>
      </c>
      <c r="AF3957" s="4">
        <v>0</v>
      </c>
      <c r="AG3957" s="4">
        <v>8</v>
      </c>
      <c r="AH3957" s="4">
        <v>59</v>
      </c>
      <c r="AI3957" s="4">
        <v>85</v>
      </c>
      <c r="AJ3957" s="4">
        <v>14</v>
      </c>
      <c r="AK3957" s="4">
        <v>24</v>
      </c>
      <c r="AL3957" s="4">
        <v>35</v>
      </c>
      <c r="AM3957" s="4">
        <v>45</v>
      </c>
      <c r="AN3957" s="4">
        <v>0</v>
      </c>
      <c r="AO3957" s="4">
        <v>0</v>
      </c>
      <c r="AP3957" s="4">
        <v>14</v>
      </c>
      <c r="AQ3957" s="4">
        <v>44</v>
      </c>
      <c r="AR3957" s="3" t="s">
        <v>62</v>
      </c>
      <c r="AS3957" s="3" t="s">
        <v>62</v>
      </c>
      <c r="AT3957" s="3" t="s">
        <v>62</v>
      </c>
      <c r="AV3957" s="6" t="str">
        <f>HYPERLINK("http://mcgill.on.worldcat.org/oclc/468233488","Catalog Record")</f>
        <v>Catalog Record</v>
      </c>
      <c r="AW3957" s="6" t="str">
        <f>HYPERLINK("http://www.worldcat.org/oclc/468233488","WorldCat Record")</f>
        <v>WorldCat Record</v>
      </c>
      <c r="AX3957" s="3" t="s">
        <v>37996</v>
      </c>
      <c r="AY3957" s="3" t="s">
        <v>37997</v>
      </c>
      <c r="AZ3957" s="3" t="s">
        <v>37998</v>
      </c>
      <c r="BA3957" s="3" t="s">
        <v>37998</v>
      </c>
      <c r="BB3957" s="3" t="s">
        <v>37999</v>
      </c>
      <c r="BC3957" s="3" t="s">
        <v>142</v>
      </c>
      <c r="BD3957" s="3" t="s">
        <v>68</v>
      </c>
      <c r="BE3957" s="3" t="s">
        <v>38000</v>
      </c>
      <c r="BF3957" s="3" t="s">
        <v>37999</v>
      </c>
      <c r="BG3957" s="3" t="s">
        <v>38001</v>
      </c>
    </row>
    <row r="3958" spans="1:59" ht="57" x14ac:dyDescent="0.45">
      <c r="A3958" s="2" t="s">
        <v>59</v>
      </c>
      <c r="B3958" s="2" t="s">
        <v>60</v>
      </c>
      <c r="C3958" s="2" t="s">
        <v>38002</v>
      </c>
      <c r="D3958" s="2" t="s">
        <v>38003</v>
      </c>
      <c r="E3958" s="2" t="s">
        <v>38004</v>
      </c>
      <c r="G3958" s="3" t="s">
        <v>62</v>
      </c>
      <c r="I3958" s="3" t="s">
        <v>62</v>
      </c>
      <c r="J3958" s="3" t="s">
        <v>62</v>
      </c>
      <c r="K3958" s="3" t="s">
        <v>63</v>
      </c>
      <c r="L3958" s="2" t="s">
        <v>38005</v>
      </c>
      <c r="M3958" s="2" t="s">
        <v>38006</v>
      </c>
      <c r="N3958" s="3" t="s">
        <v>1212</v>
      </c>
      <c r="P3958" s="3" t="s">
        <v>65</v>
      </c>
      <c r="Q3958" s="2" t="s">
        <v>3411</v>
      </c>
      <c r="R3958" s="3" t="s">
        <v>66</v>
      </c>
      <c r="S3958" s="4">
        <v>34</v>
      </c>
      <c r="T3958" s="4">
        <v>34</v>
      </c>
      <c r="U3958" s="5" t="s">
        <v>11590</v>
      </c>
      <c r="V3958" s="5" t="s">
        <v>11590</v>
      </c>
      <c r="W3958" s="5" t="s">
        <v>67</v>
      </c>
      <c r="X3958" s="5" t="s">
        <v>67</v>
      </c>
      <c r="Y3958" s="4">
        <v>276</v>
      </c>
      <c r="Z3958" s="4">
        <v>27</v>
      </c>
      <c r="AA3958" s="4">
        <v>30</v>
      </c>
      <c r="AB3958" s="4">
        <v>2</v>
      </c>
      <c r="AC3958" s="4">
        <v>4</v>
      </c>
      <c r="AD3958" s="4">
        <v>67</v>
      </c>
      <c r="AE3958" s="4">
        <v>70</v>
      </c>
      <c r="AF3958" s="4">
        <v>1</v>
      </c>
      <c r="AG3958" s="4">
        <v>3</v>
      </c>
      <c r="AH3958" s="4">
        <v>55</v>
      </c>
      <c r="AI3958" s="4">
        <v>55</v>
      </c>
      <c r="AJ3958" s="4">
        <v>17</v>
      </c>
      <c r="AK3958" s="4">
        <v>19</v>
      </c>
      <c r="AL3958" s="4">
        <v>33</v>
      </c>
      <c r="AM3958" s="4">
        <v>33</v>
      </c>
      <c r="AN3958" s="4">
        <v>0</v>
      </c>
      <c r="AO3958" s="4">
        <v>0</v>
      </c>
      <c r="AP3958" s="4">
        <v>21</v>
      </c>
      <c r="AQ3958" s="4">
        <v>24</v>
      </c>
      <c r="AR3958" s="3" t="s">
        <v>62</v>
      </c>
      <c r="AS3958" s="3" t="s">
        <v>62</v>
      </c>
      <c r="AT3958" s="3" t="s">
        <v>61</v>
      </c>
      <c r="AU3958" s="6" t="str">
        <f>HYPERLINK("http://catalog.hathitrust.org/Record/003565435","HathiTrust Record")</f>
        <v>HathiTrust Record</v>
      </c>
      <c r="AV3958" s="6" t="str">
        <f>HYPERLINK("http://mcgill.on.worldcat.org/oclc/43095770","Catalog Record")</f>
        <v>Catalog Record</v>
      </c>
      <c r="AW3958" s="6" t="str">
        <f>HYPERLINK("http://www.worldcat.org/oclc/43095770","WorldCat Record")</f>
        <v>WorldCat Record</v>
      </c>
      <c r="AX3958" s="3" t="s">
        <v>38007</v>
      </c>
      <c r="AY3958" s="3" t="s">
        <v>38008</v>
      </c>
      <c r="AZ3958" s="3" t="s">
        <v>38009</v>
      </c>
      <c r="BA3958" s="3" t="s">
        <v>38009</v>
      </c>
      <c r="BB3958" s="3" t="s">
        <v>38010</v>
      </c>
      <c r="BC3958" s="3" t="s">
        <v>142</v>
      </c>
      <c r="BD3958" s="3" t="s">
        <v>68</v>
      </c>
      <c r="BE3958" s="3" t="s">
        <v>38011</v>
      </c>
      <c r="BF3958" s="3" t="s">
        <v>38010</v>
      </c>
      <c r="BG3958" s="3" t="s">
        <v>38012</v>
      </c>
    </row>
    <row r="3959" spans="1:59" ht="57" x14ac:dyDescent="0.45">
      <c r="A3959" s="2" t="s">
        <v>59</v>
      </c>
      <c r="B3959" s="2" t="s">
        <v>60</v>
      </c>
      <c r="C3959" s="2" t="s">
        <v>38013</v>
      </c>
      <c r="D3959" s="2" t="s">
        <v>38014</v>
      </c>
      <c r="E3959" s="2" t="s">
        <v>38015</v>
      </c>
      <c r="G3959" s="3" t="s">
        <v>62</v>
      </c>
      <c r="I3959" s="3" t="s">
        <v>62</v>
      </c>
      <c r="J3959" s="3" t="s">
        <v>62</v>
      </c>
      <c r="K3959" s="3" t="s">
        <v>63</v>
      </c>
      <c r="L3959" s="2" t="s">
        <v>38016</v>
      </c>
      <c r="M3959" s="2" t="s">
        <v>10318</v>
      </c>
      <c r="N3959" s="3" t="s">
        <v>125</v>
      </c>
      <c r="P3959" s="3" t="s">
        <v>65</v>
      </c>
      <c r="Q3959" s="2" t="s">
        <v>7036</v>
      </c>
      <c r="R3959" s="3" t="s">
        <v>66</v>
      </c>
      <c r="S3959" s="4">
        <v>75</v>
      </c>
      <c r="T3959" s="4">
        <v>75</v>
      </c>
      <c r="U3959" s="5" t="s">
        <v>85</v>
      </c>
      <c r="V3959" s="5" t="s">
        <v>85</v>
      </c>
      <c r="W3959" s="5" t="s">
        <v>67</v>
      </c>
      <c r="X3959" s="5" t="s">
        <v>67</v>
      </c>
      <c r="Y3959" s="4">
        <v>720</v>
      </c>
      <c r="Z3959" s="4">
        <v>41</v>
      </c>
      <c r="AA3959" s="4">
        <v>48</v>
      </c>
      <c r="AB3959" s="4">
        <v>3</v>
      </c>
      <c r="AC3959" s="4">
        <v>9</v>
      </c>
      <c r="AD3959" s="4">
        <v>125</v>
      </c>
      <c r="AE3959" s="4">
        <v>130</v>
      </c>
      <c r="AF3959" s="4">
        <v>2</v>
      </c>
      <c r="AG3959" s="4">
        <v>6</v>
      </c>
      <c r="AH3959" s="4">
        <v>105</v>
      </c>
      <c r="AI3959" s="4">
        <v>107</v>
      </c>
      <c r="AJ3959" s="4">
        <v>19</v>
      </c>
      <c r="AK3959" s="4">
        <v>23</v>
      </c>
      <c r="AL3959" s="4">
        <v>55</v>
      </c>
      <c r="AM3959" s="4">
        <v>55</v>
      </c>
      <c r="AN3959" s="4">
        <v>0</v>
      </c>
      <c r="AO3959" s="4">
        <v>0</v>
      </c>
      <c r="AP3959" s="4">
        <v>30</v>
      </c>
      <c r="AQ3959" s="4">
        <v>33</v>
      </c>
      <c r="AR3959" s="3" t="s">
        <v>62</v>
      </c>
      <c r="AS3959" s="3" t="s">
        <v>62</v>
      </c>
      <c r="AT3959" s="3" t="s">
        <v>62</v>
      </c>
      <c r="AV3959" s="6" t="str">
        <f>HYPERLINK("http://mcgill.on.worldcat.org/oclc/19670860","Catalog Record")</f>
        <v>Catalog Record</v>
      </c>
      <c r="AW3959" s="6" t="str">
        <f>HYPERLINK("http://www.worldcat.org/oclc/19670860","WorldCat Record")</f>
        <v>WorldCat Record</v>
      </c>
      <c r="AX3959" s="3" t="s">
        <v>38017</v>
      </c>
      <c r="AY3959" s="3" t="s">
        <v>38018</v>
      </c>
      <c r="AZ3959" s="3" t="s">
        <v>38019</v>
      </c>
      <c r="BA3959" s="3" t="s">
        <v>38019</v>
      </c>
      <c r="BB3959" s="3" t="s">
        <v>38020</v>
      </c>
      <c r="BC3959" s="3" t="s">
        <v>142</v>
      </c>
      <c r="BD3959" s="3" t="s">
        <v>68</v>
      </c>
      <c r="BE3959" s="3" t="s">
        <v>38021</v>
      </c>
      <c r="BF3959" s="3" t="s">
        <v>38020</v>
      </c>
      <c r="BG3959" s="3" t="s">
        <v>38022</v>
      </c>
    </row>
    <row r="3960" spans="1:59" ht="57" x14ac:dyDescent="0.45">
      <c r="A3960" s="2" t="s">
        <v>59</v>
      </c>
      <c r="B3960" s="2" t="s">
        <v>60</v>
      </c>
      <c r="C3960" s="2" t="s">
        <v>38023</v>
      </c>
      <c r="D3960" s="2" t="s">
        <v>38024</v>
      </c>
      <c r="E3960" s="2" t="s">
        <v>38025</v>
      </c>
      <c r="G3960" s="3" t="s">
        <v>62</v>
      </c>
      <c r="I3960" s="3" t="s">
        <v>62</v>
      </c>
      <c r="J3960" s="3" t="s">
        <v>62</v>
      </c>
      <c r="K3960" s="3" t="s">
        <v>63</v>
      </c>
      <c r="L3960" s="2" t="s">
        <v>38026</v>
      </c>
      <c r="M3960" s="2" t="s">
        <v>38027</v>
      </c>
      <c r="N3960" s="3" t="s">
        <v>1465</v>
      </c>
      <c r="P3960" s="3" t="s">
        <v>65</v>
      </c>
      <c r="Q3960" s="2" t="s">
        <v>38028</v>
      </c>
      <c r="R3960" s="3" t="s">
        <v>66</v>
      </c>
      <c r="S3960" s="4">
        <v>37</v>
      </c>
      <c r="T3960" s="4">
        <v>37</v>
      </c>
      <c r="U3960" s="5" t="s">
        <v>2109</v>
      </c>
      <c r="V3960" s="5" t="s">
        <v>2109</v>
      </c>
      <c r="W3960" s="5" t="s">
        <v>67</v>
      </c>
      <c r="X3960" s="5" t="s">
        <v>67</v>
      </c>
      <c r="Y3960" s="4">
        <v>317</v>
      </c>
      <c r="Z3960" s="4">
        <v>18</v>
      </c>
      <c r="AA3960" s="4">
        <v>34</v>
      </c>
      <c r="AB3960" s="4">
        <v>2</v>
      </c>
      <c r="AC3960" s="4">
        <v>14</v>
      </c>
      <c r="AD3960" s="4">
        <v>64</v>
      </c>
      <c r="AE3960" s="4">
        <v>79</v>
      </c>
      <c r="AF3960" s="4">
        <v>1</v>
      </c>
      <c r="AG3960" s="4">
        <v>5</v>
      </c>
      <c r="AH3960" s="4">
        <v>57</v>
      </c>
      <c r="AI3960" s="4">
        <v>65</v>
      </c>
      <c r="AJ3960" s="4">
        <v>10</v>
      </c>
      <c r="AK3960" s="4">
        <v>15</v>
      </c>
      <c r="AL3960" s="4">
        <v>33</v>
      </c>
      <c r="AM3960" s="4">
        <v>35</v>
      </c>
      <c r="AN3960" s="4">
        <v>0</v>
      </c>
      <c r="AO3960" s="4">
        <v>0</v>
      </c>
      <c r="AP3960" s="4">
        <v>14</v>
      </c>
      <c r="AQ3960" s="4">
        <v>21</v>
      </c>
      <c r="AR3960" s="3" t="s">
        <v>62</v>
      </c>
      <c r="AS3960" s="3" t="s">
        <v>62</v>
      </c>
      <c r="AT3960" s="3" t="s">
        <v>61</v>
      </c>
      <c r="AU3960" s="6" t="str">
        <f>HYPERLINK("http://catalog.hathitrust.org/Record/008325337","HathiTrust Record")</f>
        <v>HathiTrust Record</v>
      </c>
      <c r="AV3960" s="6" t="str">
        <f>HYPERLINK("http://mcgill.on.worldcat.org/oclc/77540694","Catalog Record")</f>
        <v>Catalog Record</v>
      </c>
      <c r="AW3960" s="6" t="str">
        <f>HYPERLINK("http://www.worldcat.org/oclc/77540694","WorldCat Record")</f>
        <v>WorldCat Record</v>
      </c>
      <c r="AX3960" s="3" t="s">
        <v>38029</v>
      </c>
      <c r="AY3960" s="3" t="s">
        <v>38030</v>
      </c>
      <c r="AZ3960" s="3" t="s">
        <v>38031</v>
      </c>
      <c r="BA3960" s="3" t="s">
        <v>38031</v>
      </c>
      <c r="BB3960" s="3" t="s">
        <v>38032</v>
      </c>
      <c r="BC3960" s="3" t="s">
        <v>142</v>
      </c>
      <c r="BD3960" s="3" t="s">
        <v>308</v>
      </c>
      <c r="BE3960" s="3" t="s">
        <v>38033</v>
      </c>
      <c r="BF3960" s="3" t="s">
        <v>38032</v>
      </c>
      <c r="BG3960" s="3" t="s">
        <v>38034</v>
      </c>
    </row>
    <row r="3961" spans="1:59" ht="57" x14ac:dyDescent="0.45">
      <c r="A3961" s="2" t="s">
        <v>59</v>
      </c>
      <c r="B3961" s="2" t="s">
        <v>60</v>
      </c>
      <c r="C3961" s="2" t="s">
        <v>38035</v>
      </c>
      <c r="D3961" s="2" t="s">
        <v>38036</v>
      </c>
      <c r="E3961" s="2" t="s">
        <v>38037</v>
      </c>
      <c r="G3961" s="3" t="s">
        <v>62</v>
      </c>
      <c r="I3961" s="3" t="s">
        <v>62</v>
      </c>
      <c r="J3961" s="3" t="s">
        <v>62</v>
      </c>
      <c r="K3961" s="3" t="s">
        <v>63</v>
      </c>
      <c r="M3961" s="2" t="s">
        <v>38038</v>
      </c>
      <c r="N3961" s="3" t="s">
        <v>820</v>
      </c>
      <c r="P3961" s="3" t="s">
        <v>65</v>
      </c>
      <c r="Q3961" s="2" t="s">
        <v>38039</v>
      </c>
      <c r="R3961" s="3" t="s">
        <v>66</v>
      </c>
      <c r="S3961" s="4">
        <v>25</v>
      </c>
      <c r="T3961" s="4">
        <v>25</v>
      </c>
      <c r="U3961" s="5" t="s">
        <v>7177</v>
      </c>
      <c r="V3961" s="5" t="s">
        <v>7177</v>
      </c>
      <c r="W3961" s="5" t="s">
        <v>67</v>
      </c>
      <c r="X3961" s="5" t="s">
        <v>67</v>
      </c>
      <c r="Y3961" s="4">
        <v>201</v>
      </c>
      <c r="Z3961" s="4">
        <v>18</v>
      </c>
      <c r="AA3961" s="4">
        <v>101</v>
      </c>
      <c r="AB3961" s="4">
        <v>2</v>
      </c>
      <c r="AC3961" s="4">
        <v>17</v>
      </c>
      <c r="AD3961" s="4">
        <v>67</v>
      </c>
      <c r="AE3961" s="4">
        <v>126</v>
      </c>
      <c r="AF3961" s="4">
        <v>1</v>
      </c>
      <c r="AG3961" s="4">
        <v>8</v>
      </c>
      <c r="AH3961" s="4">
        <v>61</v>
      </c>
      <c r="AI3961" s="4">
        <v>87</v>
      </c>
      <c r="AJ3961" s="4">
        <v>14</v>
      </c>
      <c r="AK3961" s="4">
        <v>26</v>
      </c>
      <c r="AL3961" s="4">
        <v>34</v>
      </c>
      <c r="AM3961" s="4">
        <v>46</v>
      </c>
      <c r="AN3961" s="4">
        <v>0</v>
      </c>
      <c r="AO3961" s="4">
        <v>0</v>
      </c>
      <c r="AP3961" s="4">
        <v>14</v>
      </c>
      <c r="AQ3961" s="4">
        <v>47</v>
      </c>
      <c r="AR3961" s="3" t="s">
        <v>62</v>
      </c>
      <c r="AS3961" s="3" t="s">
        <v>62</v>
      </c>
      <c r="AT3961" s="3" t="s">
        <v>62</v>
      </c>
      <c r="AV3961" s="6" t="str">
        <f>HYPERLINK("http://mcgill.on.worldcat.org/oclc/181517037","Catalog Record")</f>
        <v>Catalog Record</v>
      </c>
      <c r="AW3961" s="6" t="str">
        <f>HYPERLINK("http://www.worldcat.org/oclc/181517037","WorldCat Record")</f>
        <v>WorldCat Record</v>
      </c>
      <c r="AX3961" s="3" t="s">
        <v>38040</v>
      </c>
      <c r="AY3961" s="3" t="s">
        <v>38041</v>
      </c>
      <c r="AZ3961" s="3" t="s">
        <v>38042</v>
      </c>
      <c r="BA3961" s="3" t="s">
        <v>38042</v>
      </c>
      <c r="BB3961" s="3" t="s">
        <v>38043</v>
      </c>
      <c r="BC3961" s="3" t="s">
        <v>142</v>
      </c>
      <c r="BD3961" s="3" t="s">
        <v>308</v>
      </c>
      <c r="BE3961" s="3" t="s">
        <v>38044</v>
      </c>
      <c r="BF3961" s="3" t="s">
        <v>38043</v>
      </c>
      <c r="BG3961" s="3" t="s">
        <v>38045</v>
      </c>
    </row>
    <row r="3962" spans="1:59" ht="57" x14ac:dyDescent="0.45">
      <c r="A3962" s="2" t="s">
        <v>59</v>
      </c>
      <c r="B3962" s="2" t="s">
        <v>60</v>
      </c>
      <c r="C3962" s="2" t="s">
        <v>38046</v>
      </c>
      <c r="D3962" s="2" t="s">
        <v>38047</v>
      </c>
      <c r="E3962" s="2" t="s">
        <v>38048</v>
      </c>
      <c r="G3962" s="3" t="s">
        <v>62</v>
      </c>
      <c r="I3962" s="3" t="s">
        <v>62</v>
      </c>
      <c r="J3962" s="3" t="s">
        <v>62</v>
      </c>
      <c r="K3962" s="3" t="s">
        <v>63</v>
      </c>
      <c r="L3962" s="2" t="s">
        <v>38049</v>
      </c>
      <c r="M3962" s="2" t="s">
        <v>38050</v>
      </c>
      <c r="N3962" s="3" t="s">
        <v>1437</v>
      </c>
      <c r="P3962" s="3" t="s">
        <v>65</v>
      </c>
      <c r="Q3962" s="2" t="s">
        <v>38051</v>
      </c>
      <c r="R3962" s="3" t="s">
        <v>66</v>
      </c>
      <c r="S3962" s="4">
        <v>18</v>
      </c>
      <c r="T3962" s="4">
        <v>18</v>
      </c>
      <c r="U3962" s="5" t="s">
        <v>2293</v>
      </c>
      <c r="V3962" s="5" t="s">
        <v>2293</v>
      </c>
      <c r="W3962" s="5" t="s">
        <v>67</v>
      </c>
      <c r="X3962" s="5" t="s">
        <v>67</v>
      </c>
      <c r="Y3962" s="4">
        <v>251</v>
      </c>
      <c r="Z3962" s="4">
        <v>17</v>
      </c>
      <c r="AA3962" s="4">
        <v>98</v>
      </c>
      <c r="AB3962" s="4">
        <v>1</v>
      </c>
      <c r="AC3962" s="4">
        <v>17</v>
      </c>
      <c r="AD3962" s="4">
        <v>84</v>
      </c>
      <c r="AE3962" s="4">
        <v>131</v>
      </c>
      <c r="AF3962" s="4">
        <v>0</v>
      </c>
      <c r="AG3962" s="4">
        <v>8</v>
      </c>
      <c r="AH3962" s="4">
        <v>77</v>
      </c>
      <c r="AI3962" s="4">
        <v>96</v>
      </c>
      <c r="AJ3962" s="4">
        <v>13</v>
      </c>
      <c r="AK3962" s="4">
        <v>23</v>
      </c>
      <c r="AL3962" s="4">
        <v>43</v>
      </c>
      <c r="AM3962" s="4">
        <v>49</v>
      </c>
      <c r="AN3962" s="4">
        <v>0</v>
      </c>
      <c r="AO3962" s="4">
        <v>0</v>
      </c>
      <c r="AP3962" s="4">
        <v>13</v>
      </c>
      <c r="AQ3962" s="4">
        <v>44</v>
      </c>
      <c r="AR3962" s="3" t="s">
        <v>62</v>
      </c>
      <c r="AS3962" s="3" t="s">
        <v>62</v>
      </c>
      <c r="AT3962" s="3" t="s">
        <v>62</v>
      </c>
      <c r="AV3962" s="6" t="str">
        <f>HYPERLINK("http://mcgill.on.worldcat.org/oclc/39042963","Catalog Record")</f>
        <v>Catalog Record</v>
      </c>
      <c r="AW3962" s="6" t="str">
        <f>HYPERLINK("http://www.worldcat.org/oclc/39042963","WorldCat Record")</f>
        <v>WorldCat Record</v>
      </c>
      <c r="AX3962" s="3" t="s">
        <v>38052</v>
      </c>
      <c r="AY3962" s="3" t="s">
        <v>38053</v>
      </c>
      <c r="AZ3962" s="3" t="s">
        <v>38054</v>
      </c>
      <c r="BA3962" s="3" t="s">
        <v>38054</v>
      </c>
      <c r="BB3962" s="3" t="s">
        <v>38055</v>
      </c>
      <c r="BC3962" s="3" t="s">
        <v>142</v>
      </c>
      <c r="BD3962" s="3" t="s">
        <v>68</v>
      </c>
      <c r="BE3962" s="3" t="s">
        <v>38056</v>
      </c>
      <c r="BF3962" s="3" t="s">
        <v>38055</v>
      </c>
      <c r="BG3962" s="3" t="s">
        <v>38057</v>
      </c>
    </row>
    <row r="3963" spans="1:59" ht="57" x14ac:dyDescent="0.45">
      <c r="A3963" s="2" t="s">
        <v>59</v>
      </c>
      <c r="B3963" s="2" t="s">
        <v>60</v>
      </c>
      <c r="C3963" s="2" t="s">
        <v>38058</v>
      </c>
      <c r="D3963" s="2" t="s">
        <v>38059</v>
      </c>
      <c r="E3963" s="2" t="s">
        <v>38060</v>
      </c>
      <c r="G3963" s="3" t="s">
        <v>62</v>
      </c>
      <c r="I3963" s="3" t="s">
        <v>62</v>
      </c>
      <c r="J3963" s="3" t="s">
        <v>62</v>
      </c>
      <c r="K3963" s="3" t="s">
        <v>63</v>
      </c>
      <c r="L3963" s="2" t="s">
        <v>38061</v>
      </c>
      <c r="M3963" s="2" t="s">
        <v>3350</v>
      </c>
      <c r="N3963" s="3" t="s">
        <v>894</v>
      </c>
      <c r="P3963" s="3" t="s">
        <v>65</v>
      </c>
      <c r="Q3963" s="2" t="s">
        <v>7123</v>
      </c>
      <c r="R3963" s="3" t="s">
        <v>66</v>
      </c>
      <c r="S3963" s="4">
        <v>7</v>
      </c>
      <c r="T3963" s="4">
        <v>7</v>
      </c>
      <c r="U3963" s="5" t="s">
        <v>38062</v>
      </c>
      <c r="V3963" s="5" t="s">
        <v>38062</v>
      </c>
      <c r="W3963" s="5" t="s">
        <v>67</v>
      </c>
      <c r="X3963" s="5" t="s">
        <v>67</v>
      </c>
      <c r="Y3963" s="4">
        <v>254</v>
      </c>
      <c r="Z3963" s="4">
        <v>20</v>
      </c>
      <c r="AA3963" s="4">
        <v>27</v>
      </c>
      <c r="AB3963" s="4">
        <v>2</v>
      </c>
      <c r="AC3963" s="4">
        <v>6</v>
      </c>
      <c r="AD3963" s="4">
        <v>45</v>
      </c>
      <c r="AE3963" s="4">
        <v>58</v>
      </c>
      <c r="AF3963" s="4">
        <v>1</v>
      </c>
      <c r="AG3963" s="4">
        <v>3</v>
      </c>
      <c r="AH3963" s="4">
        <v>35</v>
      </c>
      <c r="AI3963" s="4">
        <v>45</v>
      </c>
      <c r="AJ3963" s="4">
        <v>12</v>
      </c>
      <c r="AK3963" s="4">
        <v>16</v>
      </c>
      <c r="AL3963" s="4">
        <v>21</v>
      </c>
      <c r="AM3963" s="4">
        <v>27</v>
      </c>
      <c r="AN3963" s="4">
        <v>0</v>
      </c>
      <c r="AO3963" s="4">
        <v>0</v>
      </c>
      <c r="AP3963" s="4">
        <v>15</v>
      </c>
      <c r="AQ3963" s="4">
        <v>19</v>
      </c>
      <c r="AR3963" s="3" t="s">
        <v>62</v>
      </c>
      <c r="AS3963" s="3" t="s">
        <v>62</v>
      </c>
      <c r="AT3963" s="3" t="s">
        <v>62</v>
      </c>
      <c r="AV3963" s="6" t="str">
        <f>HYPERLINK("http://mcgill.on.worldcat.org/oclc/663772852","Catalog Record")</f>
        <v>Catalog Record</v>
      </c>
      <c r="AW3963" s="6" t="str">
        <f>HYPERLINK("http://www.worldcat.org/oclc/663772852","WorldCat Record")</f>
        <v>WorldCat Record</v>
      </c>
      <c r="AX3963" s="3" t="s">
        <v>38063</v>
      </c>
      <c r="AY3963" s="3" t="s">
        <v>38064</v>
      </c>
      <c r="AZ3963" s="3" t="s">
        <v>38065</v>
      </c>
      <c r="BA3963" s="3" t="s">
        <v>38065</v>
      </c>
      <c r="BB3963" s="3" t="s">
        <v>38066</v>
      </c>
      <c r="BC3963" s="3" t="s">
        <v>142</v>
      </c>
      <c r="BD3963" s="3" t="s">
        <v>68</v>
      </c>
      <c r="BE3963" s="3" t="s">
        <v>38067</v>
      </c>
      <c r="BF3963" s="3" t="s">
        <v>38066</v>
      </c>
      <c r="BG3963" s="3" t="s">
        <v>38068</v>
      </c>
    </row>
    <row r="3964" spans="1:59" ht="57" x14ac:dyDescent="0.45">
      <c r="A3964" s="2" t="s">
        <v>59</v>
      </c>
      <c r="B3964" s="2" t="s">
        <v>412</v>
      </c>
      <c r="C3964" s="2" t="s">
        <v>38069</v>
      </c>
      <c r="D3964" s="2" t="s">
        <v>38070</v>
      </c>
      <c r="E3964" s="2" t="s">
        <v>38071</v>
      </c>
      <c r="G3964" s="3" t="s">
        <v>62</v>
      </c>
      <c r="I3964" s="3" t="s">
        <v>62</v>
      </c>
      <c r="J3964" s="3" t="s">
        <v>62</v>
      </c>
      <c r="K3964" s="3" t="s">
        <v>63</v>
      </c>
      <c r="L3964" s="2" t="s">
        <v>38072</v>
      </c>
      <c r="M3964" s="2" t="s">
        <v>38073</v>
      </c>
      <c r="N3964" s="3" t="s">
        <v>568</v>
      </c>
      <c r="P3964" s="3" t="s">
        <v>65</v>
      </c>
      <c r="Q3964" s="2" t="s">
        <v>8713</v>
      </c>
      <c r="R3964" s="3" t="s">
        <v>66</v>
      </c>
      <c r="S3964" s="4">
        <v>30</v>
      </c>
      <c r="T3964" s="4">
        <v>30</v>
      </c>
      <c r="U3964" s="5" t="s">
        <v>7824</v>
      </c>
      <c r="V3964" s="5" t="s">
        <v>7824</v>
      </c>
      <c r="W3964" s="5" t="s">
        <v>67</v>
      </c>
      <c r="X3964" s="5" t="s">
        <v>67</v>
      </c>
      <c r="Y3964" s="4">
        <v>392</v>
      </c>
      <c r="Z3964" s="4">
        <v>28</v>
      </c>
      <c r="AA3964" s="4">
        <v>34</v>
      </c>
      <c r="AB3964" s="4">
        <v>3</v>
      </c>
      <c r="AC3964" s="4">
        <v>7</v>
      </c>
      <c r="AD3964" s="4">
        <v>84</v>
      </c>
      <c r="AE3964" s="4">
        <v>88</v>
      </c>
      <c r="AF3964" s="4">
        <v>1</v>
      </c>
      <c r="AG3964" s="4">
        <v>3</v>
      </c>
      <c r="AH3964" s="4">
        <v>71</v>
      </c>
      <c r="AI3964" s="4">
        <v>72</v>
      </c>
      <c r="AJ3964" s="4">
        <v>16</v>
      </c>
      <c r="AK3964" s="4">
        <v>18</v>
      </c>
      <c r="AL3964" s="4">
        <v>34</v>
      </c>
      <c r="AM3964" s="4">
        <v>34</v>
      </c>
      <c r="AN3964" s="4">
        <v>0</v>
      </c>
      <c r="AO3964" s="4">
        <v>0</v>
      </c>
      <c r="AP3964" s="4">
        <v>22</v>
      </c>
      <c r="AQ3964" s="4">
        <v>26</v>
      </c>
      <c r="AR3964" s="3" t="s">
        <v>62</v>
      </c>
      <c r="AS3964" s="3" t="s">
        <v>62</v>
      </c>
      <c r="AT3964" s="3" t="s">
        <v>61</v>
      </c>
      <c r="AU3964" s="6" t="str">
        <f>HYPERLINK("http://catalog.hathitrust.org/Record/000882381","HathiTrust Record")</f>
        <v>HathiTrust Record</v>
      </c>
      <c r="AV3964" s="6" t="str">
        <f>HYPERLINK("http://mcgill.on.worldcat.org/oclc/16773107","Catalog Record")</f>
        <v>Catalog Record</v>
      </c>
      <c r="AW3964" s="6" t="str">
        <f>HYPERLINK("http://www.worldcat.org/oclc/16773107","WorldCat Record")</f>
        <v>WorldCat Record</v>
      </c>
      <c r="AX3964" s="3" t="s">
        <v>38074</v>
      </c>
      <c r="AY3964" s="3" t="s">
        <v>38075</v>
      </c>
      <c r="AZ3964" s="3" t="s">
        <v>38076</v>
      </c>
      <c r="BA3964" s="3" t="s">
        <v>38076</v>
      </c>
      <c r="BB3964" s="3" t="s">
        <v>38077</v>
      </c>
      <c r="BC3964" s="3" t="s">
        <v>142</v>
      </c>
      <c r="BD3964" s="3" t="s">
        <v>308</v>
      </c>
      <c r="BE3964" s="3" t="s">
        <v>38078</v>
      </c>
      <c r="BF3964" s="3" t="s">
        <v>38077</v>
      </c>
      <c r="BG3964" s="3" t="s">
        <v>38079</v>
      </c>
    </row>
    <row r="3965" spans="1:59" ht="57" x14ac:dyDescent="0.45">
      <c r="A3965" s="2" t="s">
        <v>59</v>
      </c>
      <c r="B3965" s="2" t="s">
        <v>60</v>
      </c>
      <c r="C3965" s="2" t="s">
        <v>38080</v>
      </c>
      <c r="D3965" s="2" t="s">
        <v>38081</v>
      </c>
      <c r="E3965" s="2" t="s">
        <v>38082</v>
      </c>
      <c r="G3965" s="3" t="s">
        <v>62</v>
      </c>
      <c r="I3965" s="3" t="s">
        <v>62</v>
      </c>
      <c r="J3965" s="3" t="s">
        <v>62</v>
      </c>
      <c r="K3965" s="3" t="s">
        <v>63</v>
      </c>
      <c r="M3965" s="2" t="s">
        <v>16324</v>
      </c>
      <c r="N3965" s="3" t="s">
        <v>1465</v>
      </c>
      <c r="P3965" s="3" t="s">
        <v>65</v>
      </c>
      <c r="R3965" s="3" t="s">
        <v>66</v>
      </c>
      <c r="S3965" s="4">
        <v>4</v>
      </c>
      <c r="T3965" s="4">
        <v>4</v>
      </c>
      <c r="U3965" s="5" t="s">
        <v>78</v>
      </c>
      <c r="V3965" s="5" t="s">
        <v>78</v>
      </c>
      <c r="W3965" s="5" t="s">
        <v>67</v>
      </c>
      <c r="X3965" s="5" t="s">
        <v>67</v>
      </c>
      <c r="Y3965" s="4">
        <v>92</v>
      </c>
      <c r="Z3965" s="4">
        <v>15</v>
      </c>
      <c r="AA3965" s="4">
        <v>88</v>
      </c>
      <c r="AB3965" s="4">
        <v>3</v>
      </c>
      <c r="AC3965" s="4">
        <v>15</v>
      </c>
      <c r="AD3965" s="4">
        <v>34</v>
      </c>
      <c r="AE3965" s="4">
        <v>111</v>
      </c>
      <c r="AF3965" s="4">
        <v>1</v>
      </c>
      <c r="AG3965" s="4">
        <v>8</v>
      </c>
      <c r="AH3965" s="4">
        <v>27</v>
      </c>
      <c r="AI3965" s="4">
        <v>74</v>
      </c>
      <c r="AJ3965" s="4">
        <v>11</v>
      </c>
      <c r="AK3965" s="4">
        <v>25</v>
      </c>
      <c r="AL3965" s="4">
        <v>16</v>
      </c>
      <c r="AM3965" s="4">
        <v>38</v>
      </c>
      <c r="AN3965" s="4">
        <v>0</v>
      </c>
      <c r="AO3965" s="4">
        <v>0</v>
      </c>
      <c r="AP3965" s="4">
        <v>13</v>
      </c>
      <c r="AQ3965" s="4">
        <v>46</v>
      </c>
      <c r="AR3965" s="3" t="s">
        <v>62</v>
      </c>
      <c r="AS3965" s="3" t="s">
        <v>62</v>
      </c>
      <c r="AT3965" s="3" t="s">
        <v>62</v>
      </c>
      <c r="AV3965" s="6" t="str">
        <f>HYPERLINK("http://mcgill.on.worldcat.org/oclc/390401011","Catalog Record")</f>
        <v>Catalog Record</v>
      </c>
      <c r="AW3965" s="6" t="str">
        <f>HYPERLINK("http://www.worldcat.org/oclc/390401011","WorldCat Record")</f>
        <v>WorldCat Record</v>
      </c>
      <c r="AX3965" s="3" t="s">
        <v>38083</v>
      </c>
      <c r="AY3965" s="3" t="s">
        <v>38084</v>
      </c>
      <c r="AZ3965" s="3" t="s">
        <v>38085</v>
      </c>
      <c r="BA3965" s="3" t="s">
        <v>38085</v>
      </c>
      <c r="BB3965" s="3" t="s">
        <v>38086</v>
      </c>
      <c r="BC3965" s="3" t="s">
        <v>142</v>
      </c>
      <c r="BD3965" s="3" t="s">
        <v>68</v>
      </c>
      <c r="BE3965" s="3" t="s">
        <v>38087</v>
      </c>
      <c r="BF3965" s="3" t="s">
        <v>38086</v>
      </c>
      <c r="BG3965" s="3" t="s">
        <v>38088</v>
      </c>
    </row>
    <row r="3966" spans="1:59" ht="57" x14ac:dyDescent="0.45">
      <c r="A3966" s="2" t="s">
        <v>59</v>
      </c>
      <c r="B3966" s="2" t="s">
        <v>60</v>
      </c>
      <c r="C3966" s="2" t="s">
        <v>38089</v>
      </c>
      <c r="D3966" s="2" t="s">
        <v>38090</v>
      </c>
      <c r="E3966" s="2" t="s">
        <v>38091</v>
      </c>
      <c r="G3966" s="3" t="s">
        <v>62</v>
      </c>
      <c r="I3966" s="3" t="s">
        <v>62</v>
      </c>
      <c r="J3966" s="3" t="s">
        <v>62</v>
      </c>
      <c r="K3966" s="3" t="s">
        <v>63</v>
      </c>
      <c r="L3966" s="2" t="s">
        <v>38092</v>
      </c>
      <c r="M3966" s="2" t="s">
        <v>3172</v>
      </c>
      <c r="N3966" s="3" t="s">
        <v>149</v>
      </c>
      <c r="P3966" s="3" t="s">
        <v>65</v>
      </c>
      <c r="R3966" s="3" t="s">
        <v>66</v>
      </c>
      <c r="S3966" s="4">
        <v>2</v>
      </c>
      <c r="T3966" s="4">
        <v>2</v>
      </c>
      <c r="U3966" s="5" t="s">
        <v>74</v>
      </c>
      <c r="V3966" s="5" t="s">
        <v>74</v>
      </c>
      <c r="W3966" s="5" t="s">
        <v>67</v>
      </c>
      <c r="X3966" s="5" t="s">
        <v>67</v>
      </c>
      <c r="Y3966" s="4">
        <v>66</v>
      </c>
      <c r="Z3966" s="4">
        <v>14</v>
      </c>
      <c r="AA3966" s="4">
        <v>79</v>
      </c>
      <c r="AB3966" s="4">
        <v>2</v>
      </c>
      <c r="AC3966" s="4">
        <v>14</v>
      </c>
      <c r="AD3966" s="4">
        <v>32</v>
      </c>
      <c r="AE3966" s="4">
        <v>95</v>
      </c>
      <c r="AF3966" s="4">
        <v>1</v>
      </c>
      <c r="AG3966" s="4">
        <v>8</v>
      </c>
      <c r="AH3966" s="4">
        <v>27</v>
      </c>
      <c r="AI3966" s="4">
        <v>61</v>
      </c>
      <c r="AJ3966" s="4">
        <v>10</v>
      </c>
      <c r="AK3966" s="4">
        <v>22</v>
      </c>
      <c r="AL3966" s="4">
        <v>17</v>
      </c>
      <c r="AM3966" s="4">
        <v>32</v>
      </c>
      <c r="AN3966" s="4">
        <v>0</v>
      </c>
      <c r="AO3966" s="4">
        <v>0</v>
      </c>
      <c r="AP3966" s="4">
        <v>11</v>
      </c>
      <c r="AQ3966" s="4">
        <v>43</v>
      </c>
      <c r="AR3966" s="3" t="s">
        <v>62</v>
      </c>
      <c r="AS3966" s="3" t="s">
        <v>62</v>
      </c>
      <c r="AT3966" s="3" t="s">
        <v>62</v>
      </c>
      <c r="AV3966" s="6" t="str">
        <f>HYPERLINK("http://mcgill.on.worldcat.org/oclc/498931482","Catalog Record")</f>
        <v>Catalog Record</v>
      </c>
      <c r="AW3966" s="6" t="str">
        <f>HYPERLINK("http://www.worldcat.org/oclc/498931482","WorldCat Record")</f>
        <v>WorldCat Record</v>
      </c>
      <c r="AX3966" s="3" t="s">
        <v>38093</v>
      </c>
      <c r="AY3966" s="3" t="s">
        <v>38094</v>
      </c>
      <c r="AZ3966" s="3" t="s">
        <v>38095</v>
      </c>
      <c r="BA3966" s="3" t="s">
        <v>38095</v>
      </c>
      <c r="BB3966" s="3" t="s">
        <v>38096</v>
      </c>
      <c r="BC3966" s="3" t="s">
        <v>142</v>
      </c>
      <c r="BD3966" s="3" t="s">
        <v>68</v>
      </c>
      <c r="BE3966" s="3" t="s">
        <v>38097</v>
      </c>
      <c r="BF3966" s="3" t="s">
        <v>38096</v>
      </c>
      <c r="BG3966" s="3" t="s">
        <v>38098</v>
      </c>
    </row>
    <row r="3967" spans="1:59" ht="57" x14ac:dyDescent="0.45">
      <c r="A3967" s="2" t="s">
        <v>59</v>
      </c>
      <c r="B3967" s="2" t="s">
        <v>60</v>
      </c>
      <c r="C3967" s="2" t="s">
        <v>38099</v>
      </c>
      <c r="D3967" s="2" t="s">
        <v>38100</v>
      </c>
      <c r="E3967" s="2" t="s">
        <v>38101</v>
      </c>
      <c r="G3967" s="3" t="s">
        <v>62</v>
      </c>
      <c r="I3967" s="3" t="s">
        <v>62</v>
      </c>
      <c r="J3967" s="3" t="s">
        <v>62</v>
      </c>
      <c r="K3967" s="3" t="s">
        <v>63</v>
      </c>
      <c r="M3967" s="2" t="s">
        <v>2479</v>
      </c>
      <c r="N3967" s="3" t="s">
        <v>1604</v>
      </c>
      <c r="P3967" s="3" t="s">
        <v>65</v>
      </c>
      <c r="Q3967" s="2" t="s">
        <v>8528</v>
      </c>
      <c r="R3967" s="3" t="s">
        <v>66</v>
      </c>
      <c r="S3967" s="4">
        <v>52</v>
      </c>
      <c r="T3967" s="4">
        <v>52</v>
      </c>
      <c r="U3967" s="5" t="s">
        <v>2202</v>
      </c>
      <c r="V3967" s="5" t="s">
        <v>2202</v>
      </c>
      <c r="W3967" s="5" t="s">
        <v>67</v>
      </c>
      <c r="X3967" s="5" t="s">
        <v>67</v>
      </c>
      <c r="Y3967" s="4">
        <v>324</v>
      </c>
      <c r="Z3967" s="4">
        <v>19</v>
      </c>
      <c r="AA3967" s="4">
        <v>26</v>
      </c>
      <c r="AB3967" s="4">
        <v>2</v>
      </c>
      <c r="AC3967" s="4">
        <v>8</v>
      </c>
      <c r="AD3967" s="4">
        <v>97</v>
      </c>
      <c r="AE3967" s="4">
        <v>102</v>
      </c>
      <c r="AF3967" s="4">
        <v>1</v>
      </c>
      <c r="AG3967" s="4">
        <v>4</v>
      </c>
      <c r="AH3967" s="4">
        <v>86</v>
      </c>
      <c r="AI3967" s="4">
        <v>89</v>
      </c>
      <c r="AJ3967" s="4">
        <v>13</v>
      </c>
      <c r="AK3967" s="4">
        <v>17</v>
      </c>
      <c r="AL3967" s="4">
        <v>50</v>
      </c>
      <c r="AM3967" s="4">
        <v>50</v>
      </c>
      <c r="AN3967" s="4">
        <v>0</v>
      </c>
      <c r="AO3967" s="4">
        <v>0</v>
      </c>
      <c r="AP3967" s="4">
        <v>16</v>
      </c>
      <c r="AQ3967" s="4">
        <v>20</v>
      </c>
      <c r="AR3967" s="3" t="s">
        <v>62</v>
      </c>
      <c r="AS3967" s="3" t="s">
        <v>62</v>
      </c>
      <c r="AT3967" s="3" t="s">
        <v>61</v>
      </c>
      <c r="AU3967" s="6" t="str">
        <f>HYPERLINK("http://catalog.hathitrust.org/Record/004582924","HathiTrust Record")</f>
        <v>HathiTrust Record</v>
      </c>
      <c r="AV3967" s="6" t="str">
        <f>HYPERLINK("http://mcgill.on.worldcat.org/oclc/28966844","Catalog Record")</f>
        <v>Catalog Record</v>
      </c>
      <c r="AW3967" s="6" t="str">
        <f>HYPERLINK("http://www.worldcat.org/oclc/28966844","WorldCat Record")</f>
        <v>WorldCat Record</v>
      </c>
      <c r="AX3967" s="3" t="s">
        <v>38102</v>
      </c>
      <c r="AY3967" s="3" t="s">
        <v>38103</v>
      </c>
      <c r="AZ3967" s="3" t="s">
        <v>38104</v>
      </c>
      <c r="BA3967" s="3" t="s">
        <v>38104</v>
      </c>
      <c r="BB3967" s="3" t="s">
        <v>38105</v>
      </c>
      <c r="BC3967" s="3" t="s">
        <v>142</v>
      </c>
      <c r="BD3967" s="3" t="s">
        <v>68</v>
      </c>
      <c r="BE3967" s="3" t="s">
        <v>38106</v>
      </c>
      <c r="BF3967" s="3" t="s">
        <v>38105</v>
      </c>
      <c r="BG3967" s="3" t="s">
        <v>38107</v>
      </c>
    </row>
    <row r="3968" spans="1:59" ht="57" x14ac:dyDescent="0.45">
      <c r="A3968" s="2" t="s">
        <v>59</v>
      </c>
      <c r="B3968" s="2" t="s">
        <v>60</v>
      </c>
      <c r="C3968" s="2" t="s">
        <v>38108</v>
      </c>
      <c r="D3968" s="2" t="s">
        <v>38109</v>
      </c>
      <c r="E3968" s="2" t="s">
        <v>38110</v>
      </c>
      <c r="G3968" s="3" t="s">
        <v>62</v>
      </c>
      <c r="I3968" s="3" t="s">
        <v>62</v>
      </c>
      <c r="J3968" s="3" t="s">
        <v>62</v>
      </c>
      <c r="K3968" s="3" t="s">
        <v>63</v>
      </c>
      <c r="M3968" s="2" t="s">
        <v>38111</v>
      </c>
      <c r="N3968" s="3" t="s">
        <v>1155</v>
      </c>
      <c r="O3968" s="2" t="s">
        <v>168</v>
      </c>
      <c r="P3968" s="3" t="s">
        <v>65</v>
      </c>
      <c r="Q3968" s="2" t="s">
        <v>38112</v>
      </c>
      <c r="R3968" s="3" t="s">
        <v>66</v>
      </c>
      <c r="S3968" s="4">
        <v>4</v>
      </c>
      <c r="T3968" s="4">
        <v>4</v>
      </c>
      <c r="U3968" s="5" t="s">
        <v>38113</v>
      </c>
      <c r="V3968" s="5" t="s">
        <v>38113</v>
      </c>
      <c r="W3968" s="5" t="s">
        <v>67</v>
      </c>
      <c r="X3968" s="5" t="s">
        <v>67</v>
      </c>
      <c r="Y3968" s="4">
        <v>182</v>
      </c>
      <c r="Z3968" s="4">
        <v>14</v>
      </c>
      <c r="AA3968" s="4">
        <v>57</v>
      </c>
      <c r="AB3968" s="4">
        <v>2</v>
      </c>
      <c r="AC3968" s="4">
        <v>12</v>
      </c>
      <c r="AD3968" s="4">
        <v>33</v>
      </c>
      <c r="AE3968" s="4">
        <v>77</v>
      </c>
      <c r="AF3968" s="4">
        <v>1</v>
      </c>
      <c r="AG3968" s="4">
        <v>6</v>
      </c>
      <c r="AH3968" s="4">
        <v>25</v>
      </c>
      <c r="AI3968" s="4">
        <v>54</v>
      </c>
      <c r="AJ3968" s="4">
        <v>11</v>
      </c>
      <c r="AK3968" s="4">
        <v>21</v>
      </c>
      <c r="AL3968" s="4">
        <v>9</v>
      </c>
      <c r="AM3968" s="4">
        <v>29</v>
      </c>
      <c r="AN3968" s="4">
        <v>0</v>
      </c>
      <c r="AO3968" s="4">
        <v>0</v>
      </c>
      <c r="AP3968" s="4">
        <v>13</v>
      </c>
      <c r="AQ3968" s="4">
        <v>30</v>
      </c>
      <c r="AR3968" s="3" t="s">
        <v>62</v>
      </c>
      <c r="AS3968" s="3" t="s">
        <v>62</v>
      </c>
      <c r="AT3968" s="3" t="s">
        <v>62</v>
      </c>
      <c r="AV3968" s="6" t="str">
        <f>HYPERLINK("http://mcgill.on.worldcat.org/oclc/726621705","Catalog Record")</f>
        <v>Catalog Record</v>
      </c>
      <c r="AW3968" s="6" t="str">
        <f>HYPERLINK("http://www.worldcat.org/oclc/726621705","WorldCat Record")</f>
        <v>WorldCat Record</v>
      </c>
      <c r="AX3968" s="3" t="s">
        <v>38114</v>
      </c>
      <c r="AY3968" s="3" t="s">
        <v>38115</v>
      </c>
      <c r="AZ3968" s="3" t="s">
        <v>38116</v>
      </c>
      <c r="BA3968" s="3" t="s">
        <v>38116</v>
      </c>
      <c r="BB3968" s="3" t="s">
        <v>38117</v>
      </c>
      <c r="BC3968" s="3" t="s">
        <v>142</v>
      </c>
      <c r="BD3968" s="3" t="s">
        <v>68</v>
      </c>
      <c r="BE3968" s="3" t="s">
        <v>38118</v>
      </c>
      <c r="BF3968" s="3" t="s">
        <v>38117</v>
      </c>
      <c r="BG3968" s="3" t="s">
        <v>38119</v>
      </c>
    </row>
    <row r="3969" spans="1:59" ht="57" x14ac:dyDescent="0.45">
      <c r="A3969" s="2" t="s">
        <v>59</v>
      </c>
      <c r="B3969" s="2" t="s">
        <v>60</v>
      </c>
      <c r="C3969" s="2" t="s">
        <v>38120</v>
      </c>
      <c r="D3969" s="2" t="s">
        <v>38121</v>
      </c>
      <c r="E3969" s="2" t="s">
        <v>38122</v>
      </c>
      <c r="G3969" s="3" t="s">
        <v>62</v>
      </c>
      <c r="I3969" s="3" t="s">
        <v>62</v>
      </c>
      <c r="J3969" s="3" t="s">
        <v>62</v>
      </c>
      <c r="K3969" s="3" t="s">
        <v>63</v>
      </c>
      <c r="L3969" s="2" t="s">
        <v>38123</v>
      </c>
      <c r="M3969" s="2" t="s">
        <v>38124</v>
      </c>
      <c r="N3969" s="3" t="s">
        <v>918</v>
      </c>
      <c r="P3969" s="3" t="s">
        <v>65</v>
      </c>
      <c r="Q3969" s="2" t="s">
        <v>38125</v>
      </c>
      <c r="R3969" s="3" t="s">
        <v>66</v>
      </c>
      <c r="S3969" s="4">
        <v>9</v>
      </c>
      <c r="T3969" s="4">
        <v>9</v>
      </c>
      <c r="U3969" s="5" t="s">
        <v>12639</v>
      </c>
      <c r="V3969" s="5" t="s">
        <v>12639</v>
      </c>
      <c r="W3969" s="5" t="s">
        <v>67</v>
      </c>
      <c r="X3969" s="5" t="s">
        <v>67</v>
      </c>
      <c r="Y3969" s="4">
        <v>177</v>
      </c>
      <c r="Z3969" s="4">
        <v>12</v>
      </c>
      <c r="AA3969" s="4">
        <v>12</v>
      </c>
      <c r="AB3969" s="4">
        <v>2</v>
      </c>
      <c r="AC3969" s="4">
        <v>2</v>
      </c>
      <c r="AD3969" s="4">
        <v>76</v>
      </c>
      <c r="AE3969" s="4">
        <v>76</v>
      </c>
      <c r="AF3969" s="4">
        <v>1</v>
      </c>
      <c r="AG3969" s="4">
        <v>1</v>
      </c>
      <c r="AH3969" s="4">
        <v>69</v>
      </c>
      <c r="AI3969" s="4">
        <v>69</v>
      </c>
      <c r="AJ3969" s="4">
        <v>10</v>
      </c>
      <c r="AK3969" s="4">
        <v>10</v>
      </c>
      <c r="AL3969" s="4">
        <v>38</v>
      </c>
      <c r="AM3969" s="4">
        <v>38</v>
      </c>
      <c r="AN3969" s="4">
        <v>0</v>
      </c>
      <c r="AO3969" s="4">
        <v>0</v>
      </c>
      <c r="AP3969" s="4">
        <v>11</v>
      </c>
      <c r="AQ3969" s="4">
        <v>11</v>
      </c>
      <c r="AR3969" s="3" t="s">
        <v>62</v>
      </c>
      <c r="AS3969" s="3" t="s">
        <v>62</v>
      </c>
      <c r="AT3969" s="3" t="s">
        <v>62</v>
      </c>
      <c r="AV3969" s="6" t="str">
        <f>HYPERLINK("http://mcgill.on.worldcat.org/oclc/50422920","Catalog Record")</f>
        <v>Catalog Record</v>
      </c>
      <c r="AW3969" s="6" t="str">
        <f>HYPERLINK("http://www.worldcat.org/oclc/50422920","WorldCat Record")</f>
        <v>WorldCat Record</v>
      </c>
      <c r="AX3969" s="3" t="s">
        <v>38126</v>
      </c>
      <c r="AY3969" s="3" t="s">
        <v>38127</v>
      </c>
      <c r="AZ3969" s="3" t="s">
        <v>38128</v>
      </c>
      <c r="BA3969" s="3" t="s">
        <v>38128</v>
      </c>
      <c r="BB3969" s="3" t="s">
        <v>38129</v>
      </c>
      <c r="BC3969" s="3" t="s">
        <v>142</v>
      </c>
      <c r="BD3969" s="3" t="s">
        <v>68</v>
      </c>
      <c r="BE3969" s="3" t="s">
        <v>38130</v>
      </c>
      <c r="BF3969" s="3" t="s">
        <v>38129</v>
      </c>
      <c r="BG3969" s="3" t="s">
        <v>38131</v>
      </c>
    </row>
    <row r="3970" spans="1:59" ht="57" x14ac:dyDescent="0.45">
      <c r="A3970" s="2" t="s">
        <v>59</v>
      </c>
      <c r="B3970" s="2" t="s">
        <v>60</v>
      </c>
      <c r="C3970" s="2" t="s">
        <v>38132</v>
      </c>
      <c r="D3970" s="2" t="s">
        <v>38133</v>
      </c>
      <c r="E3970" s="2" t="s">
        <v>38134</v>
      </c>
      <c r="G3970" s="3" t="s">
        <v>62</v>
      </c>
      <c r="I3970" s="3" t="s">
        <v>62</v>
      </c>
      <c r="J3970" s="3" t="s">
        <v>62</v>
      </c>
      <c r="K3970" s="3" t="s">
        <v>63</v>
      </c>
      <c r="M3970" s="2" t="s">
        <v>38135</v>
      </c>
      <c r="N3970" s="3" t="s">
        <v>820</v>
      </c>
      <c r="P3970" s="3" t="s">
        <v>65</v>
      </c>
      <c r="Q3970" s="2" t="s">
        <v>38136</v>
      </c>
      <c r="R3970" s="3" t="s">
        <v>66</v>
      </c>
      <c r="S3970" s="4">
        <v>11</v>
      </c>
      <c r="T3970" s="4">
        <v>11</v>
      </c>
      <c r="U3970" s="5" t="s">
        <v>37790</v>
      </c>
      <c r="V3970" s="5" t="s">
        <v>37790</v>
      </c>
      <c r="W3970" s="5" t="s">
        <v>67</v>
      </c>
      <c r="X3970" s="5" t="s">
        <v>67</v>
      </c>
      <c r="Y3970" s="4">
        <v>159</v>
      </c>
      <c r="Z3970" s="4">
        <v>15</v>
      </c>
      <c r="AA3970" s="4">
        <v>22</v>
      </c>
      <c r="AB3970" s="4">
        <v>1</v>
      </c>
      <c r="AC3970" s="4">
        <v>7</v>
      </c>
      <c r="AD3970" s="4">
        <v>65</v>
      </c>
      <c r="AE3970" s="4">
        <v>72</v>
      </c>
      <c r="AF3970" s="4">
        <v>0</v>
      </c>
      <c r="AG3970" s="4">
        <v>3</v>
      </c>
      <c r="AH3970" s="4">
        <v>60</v>
      </c>
      <c r="AI3970" s="4">
        <v>64</v>
      </c>
      <c r="AJ3970" s="4">
        <v>12</v>
      </c>
      <c r="AK3970" s="4">
        <v>16</v>
      </c>
      <c r="AL3970" s="4">
        <v>36</v>
      </c>
      <c r="AM3970" s="4">
        <v>37</v>
      </c>
      <c r="AN3970" s="4">
        <v>2</v>
      </c>
      <c r="AO3970" s="4">
        <v>2</v>
      </c>
      <c r="AP3970" s="4">
        <v>13</v>
      </c>
      <c r="AQ3970" s="4">
        <v>16</v>
      </c>
      <c r="AR3970" s="3" t="s">
        <v>62</v>
      </c>
      <c r="AS3970" s="3" t="s">
        <v>62</v>
      </c>
      <c r="AT3970" s="3" t="s">
        <v>61</v>
      </c>
      <c r="AU3970" s="6" t="str">
        <f>HYPERLINK("http://catalog.hathitrust.org/Record/007148984","HathiTrust Record")</f>
        <v>HathiTrust Record</v>
      </c>
      <c r="AV3970" s="6" t="str">
        <f>HYPERLINK("http://mcgill.on.worldcat.org/oclc/175204882","Catalog Record")</f>
        <v>Catalog Record</v>
      </c>
      <c r="AW3970" s="6" t="str">
        <f>HYPERLINK("http://www.worldcat.org/oclc/175204882","WorldCat Record")</f>
        <v>WorldCat Record</v>
      </c>
      <c r="AX3970" s="3" t="s">
        <v>38137</v>
      </c>
      <c r="AY3970" s="3" t="s">
        <v>38138</v>
      </c>
      <c r="AZ3970" s="3" t="s">
        <v>38139</v>
      </c>
      <c r="BA3970" s="3" t="s">
        <v>38139</v>
      </c>
      <c r="BB3970" s="3" t="s">
        <v>38140</v>
      </c>
      <c r="BC3970" s="3" t="s">
        <v>142</v>
      </c>
      <c r="BD3970" s="3" t="s">
        <v>308</v>
      </c>
      <c r="BE3970" s="3" t="s">
        <v>38141</v>
      </c>
      <c r="BF3970" s="3" t="s">
        <v>38140</v>
      </c>
      <c r="BG3970" s="3" t="s">
        <v>38142</v>
      </c>
    </row>
    <row r="3971" spans="1:59" ht="57" x14ac:dyDescent="0.45">
      <c r="A3971" s="2" t="s">
        <v>59</v>
      </c>
      <c r="B3971" s="2" t="s">
        <v>60</v>
      </c>
      <c r="C3971" s="2" t="s">
        <v>38143</v>
      </c>
      <c r="D3971" s="2" t="s">
        <v>38144</v>
      </c>
      <c r="E3971" s="2" t="s">
        <v>38145</v>
      </c>
      <c r="G3971" s="3" t="s">
        <v>62</v>
      </c>
      <c r="I3971" s="3" t="s">
        <v>62</v>
      </c>
      <c r="J3971" s="3" t="s">
        <v>62</v>
      </c>
      <c r="K3971" s="3" t="s">
        <v>63</v>
      </c>
      <c r="M3971" s="2" t="s">
        <v>12999</v>
      </c>
      <c r="N3971" s="3" t="s">
        <v>116</v>
      </c>
      <c r="P3971" s="3" t="s">
        <v>65</v>
      </c>
      <c r="R3971" s="3" t="s">
        <v>66</v>
      </c>
      <c r="S3971" s="4">
        <v>9</v>
      </c>
      <c r="T3971" s="4">
        <v>9</v>
      </c>
      <c r="U3971" s="5" t="s">
        <v>37790</v>
      </c>
      <c r="V3971" s="5" t="s">
        <v>37790</v>
      </c>
      <c r="W3971" s="5" t="s">
        <v>67</v>
      </c>
      <c r="X3971" s="5" t="s">
        <v>67</v>
      </c>
      <c r="Y3971" s="4">
        <v>122</v>
      </c>
      <c r="Z3971" s="4">
        <v>13</v>
      </c>
      <c r="AA3971" s="4">
        <v>81</v>
      </c>
      <c r="AB3971" s="4">
        <v>2</v>
      </c>
      <c r="AC3971" s="4">
        <v>15</v>
      </c>
      <c r="AD3971" s="4">
        <v>34</v>
      </c>
      <c r="AE3971" s="4">
        <v>101</v>
      </c>
      <c r="AF3971" s="4">
        <v>1</v>
      </c>
      <c r="AG3971" s="4">
        <v>8</v>
      </c>
      <c r="AH3971" s="4">
        <v>30</v>
      </c>
      <c r="AI3971" s="4">
        <v>68</v>
      </c>
      <c r="AJ3971" s="4">
        <v>8</v>
      </c>
      <c r="AK3971" s="4">
        <v>23</v>
      </c>
      <c r="AL3971" s="4">
        <v>17</v>
      </c>
      <c r="AM3971" s="4">
        <v>34</v>
      </c>
      <c r="AN3971" s="4">
        <v>0</v>
      </c>
      <c r="AO3971" s="4">
        <v>0</v>
      </c>
      <c r="AP3971" s="4">
        <v>9</v>
      </c>
      <c r="AQ3971" s="4">
        <v>43</v>
      </c>
      <c r="AR3971" s="3" t="s">
        <v>62</v>
      </c>
      <c r="AS3971" s="3" t="s">
        <v>62</v>
      </c>
      <c r="AT3971" s="3" t="s">
        <v>62</v>
      </c>
      <c r="AV3971" s="6" t="str">
        <f>HYPERLINK("http://mcgill.on.worldcat.org/oclc/746837994","Catalog Record")</f>
        <v>Catalog Record</v>
      </c>
      <c r="AW3971" s="6" t="str">
        <f>HYPERLINK("http://www.worldcat.org/oclc/746837994","WorldCat Record")</f>
        <v>WorldCat Record</v>
      </c>
      <c r="AX3971" s="3" t="s">
        <v>38146</v>
      </c>
      <c r="AY3971" s="3" t="s">
        <v>38147</v>
      </c>
      <c r="AZ3971" s="3" t="s">
        <v>38148</v>
      </c>
      <c r="BA3971" s="3" t="s">
        <v>38148</v>
      </c>
      <c r="BB3971" s="3" t="s">
        <v>38149</v>
      </c>
      <c r="BC3971" s="3" t="s">
        <v>142</v>
      </c>
      <c r="BD3971" s="3" t="s">
        <v>68</v>
      </c>
      <c r="BE3971" s="3" t="s">
        <v>38150</v>
      </c>
      <c r="BF3971" s="3" t="s">
        <v>38149</v>
      </c>
      <c r="BG3971" s="3" t="s">
        <v>38151</v>
      </c>
    </row>
    <row r="3972" spans="1:59" ht="57" x14ac:dyDescent="0.45">
      <c r="A3972" s="2" t="s">
        <v>59</v>
      </c>
      <c r="B3972" s="2" t="s">
        <v>60</v>
      </c>
      <c r="C3972" s="2" t="s">
        <v>38152</v>
      </c>
      <c r="D3972" s="2" t="s">
        <v>38153</v>
      </c>
      <c r="E3972" s="2" t="s">
        <v>38154</v>
      </c>
      <c r="G3972" s="3" t="s">
        <v>62</v>
      </c>
      <c r="I3972" s="3" t="s">
        <v>62</v>
      </c>
      <c r="J3972" s="3" t="s">
        <v>62</v>
      </c>
      <c r="K3972" s="3" t="s">
        <v>63</v>
      </c>
      <c r="M3972" s="2" t="s">
        <v>5568</v>
      </c>
      <c r="N3972" s="3" t="s">
        <v>1155</v>
      </c>
      <c r="P3972" s="3" t="s">
        <v>65</v>
      </c>
      <c r="Q3972" s="2" t="s">
        <v>5837</v>
      </c>
      <c r="R3972" s="3" t="s">
        <v>66</v>
      </c>
      <c r="S3972" s="4">
        <v>9</v>
      </c>
      <c r="T3972" s="4">
        <v>9</v>
      </c>
      <c r="U3972" s="5" t="s">
        <v>12942</v>
      </c>
      <c r="V3972" s="5" t="s">
        <v>12942</v>
      </c>
      <c r="W3972" s="5" t="s">
        <v>67</v>
      </c>
      <c r="X3972" s="5" t="s">
        <v>67</v>
      </c>
      <c r="Y3972" s="4">
        <v>397</v>
      </c>
      <c r="Z3972" s="4">
        <v>31</v>
      </c>
      <c r="AA3972" s="4">
        <v>95</v>
      </c>
      <c r="AB3972" s="4">
        <v>3</v>
      </c>
      <c r="AC3972" s="4">
        <v>16</v>
      </c>
      <c r="AD3972" s="4">
        <v>77</v>
      </c>
      <c r="AE3972" s="4">
        <v>134</v>
      </c>
      <c r="AF3972" s="4">
        <v>2</v>
      </c>
      <c r="AG3972" s="4">
        <v>8</v>
      </c>
      <c r="AH3972" s="4">
        <v>62</v>
      </c>
      <c r="AI3972" s="4">
        <v>92</v>
      </c>
      <c r="AJ3972" s="4">
        <v>16</v>
      </c>
      <c r="AK3972" s="4">
        <v>27</v>
      </c>
      <c r="AL3972" s="4">
        <v>32</v>
      </c>
      <c r="AM3972" s="4">
        <v>46</v>
      </c>
      <c r="AN3972" s="4">
        <v>0</v>
      </c>
      <c r="AO3972" s="4">
        <v>0</v>
      </c>
      <c r="AP3972" s="4">
        <v>24</v>
      </c>
      <c r="AQ3972" s="4">
        <v>53</v>
      </c>
      <c r="AR3972" s="3" t="s">
        <v>62</v>
      </c>
      <c r="AS3972" s="3" t="s">
        <v>62</v>
      </c>
      <c r="AT3972" s="3" t="s">
        <v>62</v>
      </c>
      <c r="AV3972" s="6" t="str">
        <f>HYPERLINK("http://mcgill.on.worldcat.org/oclc/668197111","Catalog Record")</f>
        <v>Catalog Record</v>
      </c>
      <c r="AW3972" s="6" t="str">
        <f>HYPERLINK("http://www.worldcat.org/oclc/668197111","WorldCat Record")</f>
        <v>WorldCat Record</v>
      </c>
      <c r="AX3972" s="3" t="s">
        <v>38155</v>
      </c>
      <c r="AY3972" s="3" t="s">
        <v>38156</v>
      </c>
      <c r="AZ3972" s="3" t="s">
        <v>38157</v>
      </c>
      <c r="BA3972" s="3" t="s">
        <v>38157</v>
      </c>
      <c r="BB3972" s="3" t="s">
        <v>38158</v>
      </c>
      <c r="BC3972" s="3" t="s">
        <v>142</v>
      </c>
      <c r="BD3972" s="3" t="s">
        <v>68</v>
      </c>
      <c r="BE3972" s="3" t="s">
        <v>38159</v>
      </c>
      <c r="BF3972" s="3" t="s">
        <v>38158</v>
      </c>
      <c r="BG3972" s="3" t="s">
        <v>38160</v>
      </c>
    </row>
    <row r="3973" spans="1:59" ht="57" x14ac:dyDescent="0.45">
      <c r="A3973" s="2" t="s">
        <v>59</v>
      </c>
      <c r="B3973" s="2" t="s">
        <v>60</v>
      </c>
      <c r="C3973" s="2" t="s">
        <v>38161</v>
      </c>
      <c r="D3973" s="2" t="s">
        <v>38162</v>
      </c>
      <c r="E3973" s="2" t="s">
        <v>38163</v>
      </c>
      <c r="G3973" s="3" t="s">
        <v>62</v>
      </c>
      <c r="I3973" s="3" t="s">
        <v>62</v>
      </c>
      <c r="J3973" s="3" t="s">
        <v>62</v>
      </c>
      <c r="K3973" s="3" t="s">
        <v>63</v>
      </c>
      <c r="L3973" s="2" t="s">
        <v>38164</v>
      </c>
      <c r="M3973" s="2" t="s">
        <v>38165</v>
      </c>
      <c r="N3973" s="3" t="s">
        <v>820</v>
      </c>
      <c r="P3973" s="3" t="s">
        <v>65</v>
      </c>
      <c r="Q3973" s="2" t="s">
        <v>7123</v>
      </c>
      <c r="R3973" s="3" t="s">
        <v>66</v>
      </c>
      <c r="S3973" s="4">
        <v>6</v>
      </c>
      <c r="T3973" s="4">
        <v>6</v>
      </c>
      <c r="U3973" s="5" t="s">
        <v>8043</v>
      </c>
      <c r="V3973" s="5" t="s">
        <v>8043</v>
      </c>
      <c r="W3973" s="5" t="s">
        <v>67</v>
      </c>
      <c r="X3973" s="5" t="s">
        <v>67</v>
      </c>
      <c r="Y3973" s="4">
        <v>205</v>
      </c>
      <c r="Z3973" s="4">
        <v>16</v>
      </c>
      <c r="AA3973" s="4">
        <v>22</v>
      </c>
      <c r="AB3973" s="4">
        <v>2</v>
      </c>
      <c r="AC3973" s="4">
        <v>8</v>
      </c>
      <c r="AD3973" s="4">
        <v>52</v>
      </c>
      <c r="AE3973" s="4">
        <v>55</v>
      </c>
      <c r="AF3973" s="4">
        <v>1</v>
      </c>
      <c r="AG3973" s="4">
        <v>3</v>
      </c>
      <c r="AH3973" s="4">
        <v>46</v>
      </c>
      <c r="AI3973" s="4">
        <v>48</v>
      </c>
      <c r="AJ3973" s="4">
        <v>12</v>
      </c>
      <c r="AK3973" s="4">
        <v>14</v>
      </c>
      <c r="AL3973" s="4">
        <v>25</v>
      </c>
      <c r="AM3973" s="4">
        <v>26</v>
      </c>
      <c r="AN3973" s="4">
        <v>0</v>
      </c>
      <c r="AO3973" s="4">
        <v>0</v>
      </c>
      <c r="AP3973" s="4">
        <v>13</v>
      </c>
      <c r="AQ3973" s="4">
        <v>15</v>
      </c>
      <c r="AR3973" s="3" t="s">
        <v>62</v>
      </c>
      <c r="AS3973" s="3" t="s">
        <v>62</v>
      </c>
      <c r="AT3973" s="3" t="s">
        <v>62</v>
      </c>
      <c r="AV3973" s="6" t="str">
        <f>HYPERLINK("http://mcgill.on.worldcat.org/oclc/122283886","Catalog Record")</f>
        <v>Catalog Record</v>
      </c>
      <c r="AW3973" s="6" t="str">
        <f>HYPERLINK("http://www.worldcat.org/oclc/122283886","WorldCat Record")</f>
        <v>WorldCat Record</v>
      </c>
      <c r="AX3973" s="3" t="s">
        <v>38166</v>
      </c>
      <c r="AY3973" s="3" t="s">
        <v>38167</v>
      </c>
      <c r="AZ3973" s="3" t="s">
        <v>38168</v>
      </c>
      <c r="BA3973" s="3" t="s">
        <v>38168</v>
      </c>
      <c r="BB3973" s="3" t="s">
        <v>38169</v>
      </c>
      <c r="BC3973" s="3" t="s">
        <v>142</v>
      </c>
      <c r="BD3973" s="3" t="s">
        <v>68</v>
      </c>
      <c r="BE3973" s="3" t="s">
        <v>38170</v>
      </c>
      <c r="BF3973" s="3" t="s">
        <v>38169</v>
      </c>
      <c r="BG3973" s="3" t="s">
        <v>38171</v>
      </c>
    </row>
    <row r="3974" spans="1:59" ht="57" x14ac:dyDescent="0.45">
      <c r="A3974" s="2" t="s">
        <v>59</v>
      </c>
      <c r="B3974" s="2" t="s">
        <v>60</v>
      </c>
      <c r="C3974" s="2" t="s">
        <v>38172</v>
      </c>
      <c r="D3974" s="2" t="s">
        <v>38173</v>
      </c>
      <c r="E3974" s="2" t="s">
        <v>38174</v>
      </c>
      <c r="G3974" s="3" t="s">
        <v>62</v>
      </c>
      <c r="I3974" s="3" t="s">
        <v>62</v>
      </c>
      <c r="J3974" s="3" t="s">
        <v>62</v>
      </c>
      <c r="K3974" s="3" t="s">
        <v>63</v>
      </c>
      <c r="L3974" s="2" t="s">
        <v>38175</v>
      </c>
      <c r="M3974" s="2" t="s">
        <v>1713</v>
      </c>
      <c r="N3974" s="3" t="s">
        <v>1155</v>
      </c>
      <c r="O3974" s="2" t="s">
        <v>933</v>
      </c>
      <c r="P3974" s="3" t="s">
        <v>65</v>
      </c>
      <c r="Q3974" s="2" t="s">
        <v>2632</v>
      </c>
      <c r="R3974" s="3" t="s">
        <v>66</v>
      </c>
      <c r="S3974" s="4">
        <v>7</v>
      </c>
      <c r="T3974" s="4">
        <v>7</v>
      </c>
      <c r="U3974" s="5" t="s">
        <v>16654</v>
      </c>
      <c r="V3974" s="5" t="s">
        <v>16654</v>
      </c>
      <c r="W3974" s="5" t="s">
        <v>67</v>
      </c>
      <c r="X3974" s="5" t="s">
        <v>67</v>
      </c>
      <c r="Y3974" s="4">
        <v>134</v>
      </c>
      <c r="Z3974" s="4">
        <v>11</v>
      </c>
      <c r="AA3974" s="4">
        <v>83</v>
      </c>
      <c r="AB3974" s="4">
        <v>2</v>
      </c>
      <c r="AC3974" s="4">
        <v>12</v>
      </c>
      <c r="AD3974" s="4">
        <v>25</v>
      </c>
      <c r="AE3974" s="4">
        <v>113</v>
      </c>
      <c r="AF3974" s="4">
        <v>0</v>
      </c>
      <c r="AG3974" s="4">
        <v>5</v>
      </c>
      <c r="AH3974" s="4">
        <v>21</v>
      </c>
      <c r="AI3974" s="4">
        <v>79</v>
      </c>
      <c r="AJ3974" s="4">
        <v>7</v>
      </c>
      <c r="AK3974" s="4">
        <v>25</v>
      </c>
      <c r="AL3974" s="4">
        <v>14</v>
      </c>
      <c r="AM3974" s="4">
        <v>44</v>
      </c>
      <c r="AN3974" s="4">
        <v>0</v>
      </c>
      <c r="AO3974" s="4">
        <v>0</v>
      </c>
      <c r="AP3974" s="4">
        <v>9</v>
      </c>
      <c r="AQ3974" s="4">
        <v>42</v>
      </c>
      <c r="AR3974" s="3" t="s">
        <v>62</v>
      </c>
      <c r="AS3974" s="3" t="s">
        <v>62</v>
      </c>
      <c r="AT3974" s="3" t="s">
        <v>62</v>
      </c>
      <c r="AV3974" s="6" t="str">
        <f>HYPERLINK("http://mcgill.on.worldcat.org/oclc/774021239","Catalog Record")</f>
        <v>Catalog Record</v>
      </c>
      <c r="AW3974" s="6" t="str">
        <f>HYPERLINK("http://www.worldcat.org/oclc/774021239","WorldCat Record")</f>
        <v>WorldCat Record</v>
      </c>
      <c r="AX3974" s="3" t="s">
        <v>38176</v>
      </c>
      <c r="AY3974" s="3" t="s">
        <v>38177</v>
      </c>
      <c r="AZ3974" s="3" t="s">
        <v>38178</v>
      </c>
      <c r="BA3974" s="3" t="s">
        <v>38178</v>
      </c>
      <c r="BB3974" s="3" t="s">
        <v>38179</v>
      </c>
      <c r="BC3974" s="3" t="s">
        <v>142</v>
      </c>
      <c r="BD3974" s="3" t="s">
        <v>308</v>
      </c>
      <c r="BE3974" s="3" t="s">
        <v>38180</v>
      </c>
      <c r="BF3974" s="3" t="s">
        <v>38179</v>
      </c>
      <c r="BG3974" s="3" t="s">
        <v>38181</v>
      </c>
    </row>
    <row r="3975" spans="1:59" ht="57" x14ac:dyDescent="0.45">
      <c r="A3975" s="2" t="s">
        <v>59</v>
      </c>
      <c r="B3975" s="2" t="s">
        <v>60</v>
      </c>
      <c r="C3975" s="2" t="s">
        <v>38182</v>
      </c>
      <c r="D3975" s="2" t="s">
        <v>38183</v>
      </c>
      <c r="E3975" s="2" t="s">
        <v>38184</v>
      </c>
      <c r="G3975" s="3" t="s">
        <v>62</v>
      </c>
      <c r="I3975" s="3" t="s">
        <v>62</v>
      </c>
      <c r="J3975" s="3" t="s">
        <v>62</v>
      </c>
      <c r="K3975" s="3" t="s">
        <v>63</v>
      </c>
      <c r="L3975" s="2" t="s">
        <v>38185</v>
      </c>
      <c r="M3975" s="2" t="s">
        <v>38186</v>
      </c>
      <c r="N3975" s="3" t="s">
        <v>1253</v>
      </c>
      <c r="P3975" s="3" t="s">
        <v>65</v>
      </c>
      <c r="Q3975" s="2" t="s">
        <v>38187</v>
      </c>
      <c r="R3975" s="3" t="s">
        <v>66</v>
      </c>
      <c r="S3975" s="4">
        <v>6</v>
      </c>
      <c r="T3975" s="4">
        <v>6</v>
      </c>
      <c r="U3975" s="5" t="s">
        <v>37790</v>
      </c>
      <c r="V3975" s="5" t="s">
        <v>37790</v>
      </c>
      <c r="W3975" s="5" t="s">
        <v>67</v>
      </c>
      <c r="X3975" s="5" t="s">
        <v>67</v>
      </c>
      <c r="Y3975" s="4">
        <v>185</v>
      </c>
      <c r="Z3975" s="4">
        <v>10</v>
      </c>
      <c r="AA3975" s="4">
        <v>12</v>
      </c>
      <c r="AB3975" s="4">
        <v>2</v>
      </c>
      <c r="AC3975" s="4">
        <v>4</v>
      </c>
      <c r="AD3975" s="4">
        <v>77</v>
      </c>
      <c r="AE3975" s="4">
        <v>79</v>
      </c>
      <c r="AF3975" s="4">
        <v>1</v>
      </c>
      <c r="AG3975" s="4">
        <v>3</v>
      </c>
      <c r="AH3975" s="4">
        <v>72</v>
      </c>
      <c r="AI3975" s="4">
        <v>73</v>
      </c>
      <c r="AJ3975" s="4">
        <v>8</v>
      </c>
      <c r="AK3975" s="4">
        <v>10</v>
      </c>
      <c r="AL3975" s="4">
        <v>41</v>
      </c>
      <c r="AM3975" s="4">
        <v>41</v>
      </c>
      <c r="AN3975" s="4">
        <v>0</v>
      </c>
      <c r="AO3975" s="4">
        <v>0</v>
      </c>
      <c r="AP3975" s="4">
        <v>8</v>
      </c>
      <c r="AQ3975" s="4">
        <v>10</v>
      </c>
      <c r="AR3975" s="3" t="s">
        <v>62</v>
      </c>
      <c r="AS3975" s="3" t="s">
        <v>62</v>
      </c>
      <c r="AT3975" s="3" t="s">
        <v>62</v>
      </c>
      <c r="AV3975" s="6" t="str">
        <f>HYPERLINK("http://mcgill.on.worldcat.org/oclc/36029619","Catalog Record")</f>
        <v>Catalog Record</v>
      </c>
      <c r="AW3975" s="6" t="str">
        <f>HYPERLINK("http://www.worldcat.org/oclc/36029619","WorldCat Record")</f>
        <v>WorldCat Record</v>
      </c>
      <c r="AX3975" s="3" t="s">
        <v>38188</v>
      </c>
      <c r="AY3975" s="3" t="s">
        <v>38189</v>
      </c>
      <c r="AZ3975" s="3" t="s">
        <v>38190</v>
      </c>
      <c r="BA3975" s="3" t="s">
        <v>38190</v>
      </c>
      <c r="BB3975" s="3" t="s">
        <v>38191</v>
      </c>
      <c r="BC3975" s="3" t="s">
        <v>142</v>
      </c>
      <c r="BD3975" s="3" t="s">
        <v>68</v>
      </c>
      <c r="BE3975" s="3" t="s">
        <v>38192</v>
      </c>
      <c r="BF3975" s="3" t="s">
        <v>38191</v>
      </c>
      <c r="BG3975" s="3" t="s">
        <v>38193</v>
      </c>
    </row>
    <row r="3976" spans="1:59" ht="57" x14ac:dyDescent="0.45">
      <c r="A3976" s="2" t="s">
        <v>59</v>
      </c>
      <c r="B3976" s="2" t="s">
        <v>60</v>
      </c>
      <c r="C3976" s="2" t="s">
        <v>38194</v>
      </c>
      <c r="D3976" s="2" t="s">
        <v>38195</v>
      </c>
      <c r="E3976" s="2" t="s">
        <v>38196</v>
      </c>
      <c r="G3976" s="3" t="s">
        <v>62</v>
      </c>
      <c r="I3976" s="3" t="s">
        <v>62</v>
      </c>
      <c r="J3976" s="3" t="s">
        <v>62</v>
      </c>
      <c r="K3976" s="3" t="s">
        <v>63</v>
      </c>
      <c r="M3976" s="2" t="s">
        <v>38197</v>
      </c>
      <c r="N3976" s="3" t="s">
        <v>1478</v>
      </c>
      <c r="P3976" s="3" t="s">
        <v>65</v>
      </c>
      <c r="Q3976" s="2" t="s">
        <v>38198</v>
      </c>
      <c r="R3976" s="3" t="s">
        <v>66</v>
      </c>
      <c r="S3976" s="4">
        <v>33</v>
      </c>
      <c r="T3976" s="4">
        <v>33</v>
      </c>
      <c r="U3976" s="5" t="s">
        <v>37750</v>
      </c>
      <c r="V3976" s="5" t="s">
        <v>37750</v>
      </c>
      <c r="W3976" s="5" t="s">
        <v>67</v>
      </c>
      <c r="X3976" s="5" t="s">
        <v>67</v>
      </c>
      <c r="Y3976" s="4">
        <v>295</v>
      </c>
      <c r="Z3976" s="4">
        <v>22</v>
      </c>
      <c r="AA3976" s="4">
        <v>103</v>
      </c>
      <c r="AB3976" s="4">
        <v>2</v>
      </c>
      <c r="AC3976" s="4">
        <v>18</v>
      </c>
      <c r="AD3976" s="4">
        <v>93</v>
      </c>
      <c r="AE3976" s="4">
        <v>138</v>
      </c>
      <c r="AF3976" s="4">
        <v>1</v>
      </c>
      <c r="AG3976" s="4">
        <v>8</v>
      </c>
      <c r="AH3976" s="4">
        <v>81</v>
      </c>
      <c r="AI3976" s="4">
        <v>99</v>
      </c>
      <c r="AJ3976" s="4">
        <v>16</v>
      </c>
      <c r="AK3976" s="4">
        <v>27</v>
      </c>
      <c r="AL3976" s="4">
        <v>44</v>
      </c>
      <c r="AM3976" s="4">
        <v>50</v>
      </c>
      <c r="AN3976" s="4">
        <v>0</v>
      </c>
      <c r="AO3976" s="4">
        <v>0</v>
      </c>
      <c r="AP3976" s="4">
        <v>19</v>
      </c>
      <c r="AQ3976" s="4">
        <v>49</v>
      </c>
      <c r="AR3976" s="3" t="s">
        <v>62</v>
      </c>
      <c r="AS3976" s="3" t="s">
        <v>62</v>
      </c>
      <c r="AT3976" s="3" t="s">
        <v>62</v>
      </c>
      <c r="AV3976" s="6" t="str">
        <f>HYPERLINK("http://mcgill.on.worldcat.org/oclc/34474913","Catalog Record")</f>
        <v>Catalog Record</v>
      </c>
      <c r="AW3976" s="6" t="str">
        <f>HYPERLINK("http://www.worldcat.org/oclc/34474913","WorldCat Record")</f>
        <v>WorldCat Record</v>
      </c>
      <c r="AX3976" s="3" t="s">
        <v>38199</v>
      </c>
      <c r="AY3976" s="3" t="s">
        <v>38200</v>
      </c>
      <c r="AZ3976" s="3" t="s">
        <v>38201</v>
      </c>
      <c r="BA3976" s="3" t="s">
        <v>38201</v>
      </c>
      <c r="BB3976" s="3" t="s">
        <v>38202</v>
      </c>
      <c r="BC3976" s="3" t="s">
        <v>142</v>
      </c>
      <c r="BD3976" s="3" t="s">
        <v>68</v>
      </c>
      <c r="BE3976" s="3" t="s">
        <v>38203</v>
      </c>
      <c r="BF3976" s="3" t="s">
        <v>38202</v>
      </c>
      <c r="BG3976" s="3" t="s">
        <v>38204</v>
      </c>
    </row>
    <row r="3977" spans="1:59" ht="57" x14ac:dyDescent="0.45">
      <c r="A3977" s="2" t="s">
        <v>59</v>
      </c>
      <c r="B3977" s="2" t="s">
        <v>60</v>
      </c>
      <c r="C3977" s="2" t="s">
        <v>38205</v>
      </c>
      <c r="D3977" s="2" t="s">
        <v>38206</v>
      </c>
      <c r="E3977" s="2" t="s">
        <v>38207</v>
      </c>
      <c r="G3977" s="3" t="s">
        <v>62</v>
      </c>
      <c r="I3977" s="3" t="s">
        <v>62</v>
      </c>
      <c r="J3977" s="3" t="s">
        <v>62</v>
      </c>
      <c r="K3977" s="3" t="s">
        <v>63</v>
      </c>
      <c r="M3977" s="2" t="s">
        <v>38208</v>
      </c>
      <c r="N3977" s="3" t="s">
        <v>167</v>
      </c>
      <c r="P3977" s="3" t="s">
        <v>65</v>
      </c>
      <c r="Q3977" s="2" t="s">
        <v>8528</v>
      </c>
      <c r="R3977" s="3" t="s">
        <v>66</v>
      </c>
      <c r="S3977" s="4">
        <v>36</v>
      </c>
      <c r="T3977" s="4">
        <v>36</v>
      </c>
      <c r="U3977" s="5" t="s">
        <v>31414</v>
      </c>
      <c r="V3977" s="5" t="s">
        <v>31414</v>
      </c>
      <c r="W3977" s="5" t="s">
        <v>67</v>
      </c>
      <c r="X3977" s="5" t="s">
        <v>67</v>
      </c>
      <c r="Y3977" s="4">
        <v>381</v>
      </c>
      <c r="Z3977" s="4">
        <v>22</v>
      </c>
      <c r="AA3977" s="4">
        <v>35</v>
      </c>
      <c r="AB3977" s="4">
        <v>2</v>
      </c>
      <c r="AC3977" s="4">
        <v>11</v>
      </c>
      <c r="AD3977" s="4">
        <v>98</v>
      </c>
      <c r="AE3977" s="4">
        <v>119</v>
      </c>
      <c r="AF3977" s="4">
        <v>1</v>
      </c>
      <c r="AG3977" s="4">
        <v>6</v>
      </c>
      <c r="AH3977" s="4">
        <v>86</v>
      </c>
      <c r="AI3977" s="4">
        <v>101</v>
      </c>
      <c r="AJ3977" s="4">
        <v>16</v>
      </c>
      <c r="AK3977" s="4">
        <v>21</v>
      </c>
      <c r="AL3977" s="4">
        <v>53</v>
      </c>
      <c r="AM3977" s="4">
        <v>56</v>
      </c>
      <c r="AN3977" s="4">
        <v>0</v>
      </c>
      <c r="AO3977" s="4">
        <v>0</v>
      </c>
      <c r="AP3977" s="4">
        <v>19</v>
      </c>
      <c r="AQ3977" s="4">
        <v>25</v>
      </c>
      <c r="AR3977" s="3" t="s">
        <v>62</v>
      </c>
      <c r="AS3977" s="3" t="s">
        <v>62</v>
      </c>
      <c r="AT3977" s="3" t="s">
        <v>62</v>
      </c>
      <c r="AV3977" s="6" t="str">
        <f>HYPERLINK("http://mcgill.on.worldcat.org/oclc/39763535","Catalog Record")</f>
        <v>Catalog Record</v>
      </c>
      <c r="AW3977" s="6" t="str">
        <f>HYPERLINK("http://www.worldcat.org/oclc/39763535","WorldCat Record")</f>
        <v>WorldCat Record</v>
      </c>
      <c r="AX3977" s="3" t="s">
        <v>38209</v>
      </c>
      <c r="AY3977" s="3" t="s">
        <v>38210</v>
      </c>
      <c r="AZ3977" s="3" t="s">
        <v>38211</v>
      </c>
      <c r="BA3977" s="3" t="s">
        <v>38211</v>
      </c>
      <c r="BB3977" s="3" t="s">
        <v>38212</v>
      </c>
      <c r="BC3977" s="3" t="s">
        <v>142</v>
      </c>
      <c r="BD3977" s="3" t="s">
        <v>68</v>
      </c>
      <c r="BE3977" s="3" t="s">
        <v>38213</v>
      </c>
      <c r="BF3977" s="3" t="s">
        <v>38212</v>
      </c>
      <c r="BG3977" s="3" t="s">
        <v>38214</v>
      </c>
    </row>
    <row r="3978" spans="1:59" ht="57" x14ac:dyDescent="0.45">
      <c r="A3978" s="2" t="s">
        <v>59</v>
      </c>
      <c r="B3978" s="2" t="s">
        <v>60</v>
      </c>
      <c r="C3978" s="2" t="s">
        <v>38215</v>
      </c>
      <c r="D3978" s="2" t="s">
        <v>38216</v>
      </c>
      <c r="E3978" s="2" t="s">
        <v>38217</v>
      </c>
      <c r="G3978" s="3" t="s">
        <v>62</v>
      </c>
      <c r="I3978" s="3" t="s">
        <v>62</v>
      </c>
      <c r="J3978" s="3" t="s">
        <v>62</v>
      </c>
      <c r="K3978" s="3" t="s">
        <v>63</v>
      </c>
      <c r="M3978" s="2" t="s">
        <v>38218</v>
      </c>
      <c r="N3978" s="3" t="s">
        <v>820</v>
      </c>
      <c r="P3978" s="3" t="s">
        <v>65</v>
      </c>
      <c r="Q3978" s="2" t="s">
        <v>38219</v>
      </c>
      <c r="R3978" s="3" t="s">
        <v>66</v>
      </c>
      <c r="S3978" s="4">
        <v>8</v>
      </c>
      <c r="T3978" s="4">
        <v>8</v>
      </c>
      <c r="U3978" s="5" t="s">
        <v>38220</v>
      </c>
      <c r="V3978" s="5" t="s">
        <v>38220</v>
      </c>
      <c r="W3978" s="5" t="s">
        <v>67</v>
      </c>
      <c r="X3978" s="5" t="s">
        <v>67</v>
      </c>
      <c r="Y3978" s="4">
        <v>206</v>
      </c>
      <c r="Z3978" s="4">
        <v>24</v>
      </c>
      <c r="AA3978" s="4">
        <v>100</v>
      </c>
      <c r="AB3978" s="4">
        <v>2</v>
      </c>
      <c r="AC3978" s="4">
        <v>18</v>
      </c>
      <c r="AD3978" s="4">
        <v>69</v>
      </c>
      <c r="AE3978" s="4">
        <v>121</v>
      </c>
      <c r="AF3978" s="4">
        <v>1</v>
      </c>
      <c r="AG3978" s="4">
        <v>8</v>
      </c>
      <c r="AH3978" s="4">
        <v>59</v>
      </c>
      <c r="AI3978" s="4">
        <v>84</v>
      </c>
      <c r="AJ3978" s="4">
        <v>15</v>
      </c>
      <c r="AK3978" s="4">
        <v>24</v>
      </c>
      <c r="AL3978" s="4">
        <v>35</v>
      </c>
      <c r="AM3978" s="4">
        <v>43</v>
      </c>
      <c r="AN3978" s="4">
        <v>0</v>
      </c>
      <c r="AO3978" s="4">
        <v>0</v>
      </c>
      <c r="AP3978" s="4">
        <v>19</v>
      </c>
      <c r="AQ3978" s="4">
        <v>47</v>
      </c>
      <c r="AR3978" s="3" t="s">
        <v>62</v>
      </c>
      <c r="AS3978" s="3" t="s">
        <v>62</v>
      </c>
      <c r="AT3978" s="3" t="s">
        <v>62</v>
      </c>
      <c r="AV3978" s="6" t="str">
        <f>HYPERLINK("http://mcgill.on.worldcat.org/oclc/233813780","Catalog Record")</f>
        <v>Catalog Record</v>
      </c>
      <c r="AW3978" s="6" t="str">
        <f>HYPERLINK("http://www.worldcat.org/oclc/233813780","WorldCat Record")</f>
        <v>WorldCat Record</v>
      </c>
      <c r="AX3978" s="3" t="s">
        <v>38221</v>
      </c>
      <c r="AY3978" s="3" t="s">
        <v>38222</v>
      </c>
      <c r="AZ3978" s="3" t="s">
        <v>38223</v>
      </c>
      <c r="BA3978" s="3" t="s">
        <v>38223</v>
      </c>
      <c r="BB3978" s="3" t="s">
        <v>38224</v>
      </c>
      <c r="BC3978" s="3" t="s">
        <v>142</v>
      </c>
      <c r="BD3978" s="3" t="s">
        <v>68</v>
      </c>
      <c r="BE3978" s="3" t="s">
        <v>38225</v>
      </c>
      <c r="BF3978" s="3" t="s">
        <v>38224</v>
      </c>
      <c r="BG3978" s="3" t="s">
        <v>38226</v>
      </c>
    </row>
    <row r="3979" spans="1:59" ht="57" x14ac:dyDescent="0.45">
      <c r="A3979" s="2" t="s">
        <v>59</v>
      </c>
      <c r="B3979" s="2" t="s">
        <v>60</v>
      </c>
      <c r="C3979" s="2" t="s">
        <v>38227</v>
      </c>
      <c r="D3979" s="2" t="s">
        <v>38228</v>
      </c>
      <c r="E3979" s="2" t="s">
        <v>38229</v>
      </c>
      <c r="G3979" s="3" t="s">
        <v>62</v>
      </c>
      <c r="I3979" s="3" t="s">
        <v>62</v>
      </c>
      <c r="J3979" s="3" t="s">
        <v>62</v>
      </c>
      <c r="K3979" s="3" t="s">
        <v>63</v>
      </c>
      <c r="M3979" s="2" t="s">
        <v>38230</v>
      </c>
      <c r="N3979" s="3" t="s">
        <v>1465</v>
      </c>
      <c r="P3979" s="3" t="s">
        <v>65</v>
      </c>
      <c r="R3979" s="3" t="s">
        <v>66</v>
      </c>
      <c r="S3979" s="4">
        <v>10</v>
      </c>
      <c r="T3979" s="4">
        <v>10</v>
      </c>
      <c r="U3979" s="5" t="s">
        <v>7408</v>
      </c>
      <c r="V3979" s="5" t="s">
        <v>7408</v>
      </c>
      <c r="W3979" s="5" t="s">
        <v>67</v>
      </c>
      <c r="X3979" s="5" t="s">
        <v>67</v>
      </c>
      <c r="Y3979" s="4">
        <v>205</v>
      </c>
      <c r="Z3979" s="4">
        <v>17</v>
      </c>
      <c r="AA3979" s="4">
        <v>18</v>
      </c>
      <c r="AB3979" s="4">
        <v>3</v>
      </c>
      <c r="AC3979" s="4">
        <v>4</v>
      </c>
      <c r="AD3979" s="4">
        <v>81</v>
      </c>
      <c r="AE3979" s="4">
        <v>82</v>
      </c>
      <c r="AF3979" s="4">
        <v>1</v>
      </c>
      <c r="AG3979" s="4">
        <v>2</v>
      </c>
      <c r="AH3979" s="4">
        <v>73</v>
      </c>
      <c r="AI3979" s="4">
        <v>74</v>
      </c>
      <c r="AJ3979" s="4">
        <v>13</v>
      </c>
      <c r="AK3979" s="4">
        <v>14</v>
      </c>
      <c r="AL3979" s="4">
        <v>42</v>
      </c>
      <c r="AM3979" s="4">
        <v>42</v>
      </c>
      <c r="AN3979" s="4">
        <v>0</v>
      </c>
      <c r="AO3979" s="4">
        <v>0</v>
      </c>
      <c r="AP3979" s="4">
        <v>13</v>
      </c>
      <c r="AQ3979" s="4">
        <v>14</v>
      </c>
      <c r="AR3979" s="3" t="s">
        <v>62</v>
      </c>
      <c r="AS3979" s="3" t="s">
        <v>62</v>
      </c>
      <c r="AT3979" s="3" t="s">
        <v>62</v>
      </c>
      <c r="AV3979" s="6" t="str">
        <f>HYPERLINK("http://mcgill.on.worldcat.org/oclc/303021114","Catalog Record")</f>
        <v>Catalog Record</v>
      </c>
      <c r="AW3979" s="6" t="str">
        <f>HYPERLINK("http://www.worldcat.org/oclc/303021114","WorldCat Record")</f>
        <v>WorldCat Record</v>
      </c>
      <c r="AX3979" s="3" t="s">
        <v>38231</v>
      </c>
      <c r="AY3979" s="3" t="s">
        <v>38232</v>
      </c>
      <c r="AZ3979" s="3" t="s">
        <v>38233</v>
      </c>
      <c r="BA3979" s="3" t="s">
        <v>38233</v>
      </c>
      <c r="BB3979" s="3" t="s">
        <v>38234</v>
      </c>
      <c r="BC3979" s="3" t="s">
        <v>142</v>
      </c>
      <c r="BD3979" s="3" t="s">
        <v>68</v>
      </c>
      <c r="BE3979" s="3" t="s">
        <v>38235</v>
      </c>
      <c r="BF3979" s="3" t="s">
        <v>38234</v>
      </c>
      <c r="BG3979" s="3" t="s">
        <v>38236</v>
      </c>
    </row>
    <row r="3980" spans="1:59" ht="57" x14ac:dyDescent="0.45">
      <c r="A3980" s="2" t="s">
        <v>59</v>
      </c>
      <c r="B3980" s="2" t="s">
        <v>60</v>
      </c>
      <c r="C3980" s="2" t="s">
        <v>38237</v>
      </c>
      <c r="D3980" s="2" t="s">
        <v>38238</v>
      </c>
      <c r="E3980" s="2" t="s">
        <v>38239</v>
      </c>
      <c r="G3980" s="3" t="s">
        <v>62</v>
      </c>
      <c r="I3980" s="3" t="s">
        <v>62</v>
      </c>
      <c r="J3980" s="3" t="s">
        <v>62</v>
      </c>
      <c r="K3980" s="3" t="s">
        <v>63</v>
      </c>
      <c r="M3980" s="2" t="s">
        <v>38240</v>
      </c>
      <c r="N3980" s="3" t="s">
        <v>1465</v>
      </c>
      <c r="P3980" s="3" t="s">
        <v>65</v>
      </c>
      <c r="Q3980" s="2" t="s">
        <v>38241</v>
      </c>
      <c r="R3980" s="3" t="s">
        <v>66</v>
      </c>
      <c r="S3980" s="4">
        <v>5</v>
      </c>
      <c r="T3980" s="4">
        <v>5</v>
      </c>
      <c r="U3980" s="5" t="s">
        <v>29601</v>
      </c>
      <c r="V3980" s="5" t="s">
        <v>29601</v>
      </c>
      <c r="W3980" s="5" t="s">
        <v>67</v>
      </c>
      <c r="X3980" s="5" t="s">
        <v>67</v>
      </c>
      <c r="Y3980" s="4">
        <v>97</v>
      </c>
      <c r="Z3980" s="4">
        <v>14</v>
      </c>
      <c r="AA3980" s="4">
        <v>100</v>
      </c>
      <c r="AB3980" s="4">
        <v>3</v>
      </c>
      <c r="AC3980" s="4">
        <v>18</v>
      </c>
      <c r="AD3980" s="4">
        <v>48</v>
      </c>
      <c r="AE3980" s="4">
        <v>116</v>
      </c>
      <c r="AF3980" s="4">
        <v>1</v>
      </c>
      <c r="AG3980" s="4">
        <v>8</v>
      </c>
      <c r="AH3980" s="4">
        <v>44</v>
      </c>
      <c r="AI3980" s="4">
        <v>80</v>
      </c>
      <c r="AJ3980" s="4">
        <v>11</v>
      </c>
      <c r="AK3980" s="4">
        <v>24</v>
      </c>
      <c r="AL3980" s="4">
        <v>26</v>
      </c>
      <c r="AM3980" s="4">
        <v>39</v>
      </c>
      <c r="AN3980" s="4">
        <v>0</v>
      </c>
      <c r="AO3980" s="4">
        <v>0</v>
      </c>
      <c r="AP3980" s="4">
        <v>11</v>
      </c>
      <c r="AQ3980" s="4">
        <v>45</v>
      </c>
      <c r="AR3980" s="3" t="s">
        <v>62</v>
      </c>
      <c r="AS3980" s="3" t="s">
        <v>62</v>
      </c>
      <c r="AT3980" s="3" t="s">
        <v>62</v>
      </c>
      <c r="AV3980" s="6" t="str">
        <f>HYPERLINK("http://mcgill.on.worldcat.org/oclc/320697116","Catalog Record")</f>
        <v>Catalog Record</v>
      </c>
      <c r="AW3980" s="6" t="str">
        <f>HYPERLINK("http://www.worldcat.org/oclc/320697116","WorldCat Record")</f>
        <v>WorldCat Record</v>
      </c>
      <c r="AX3980" s="3" t="s">
        <v>38242</v>
      </c>
      <c r="AY3980" s="3" t="s">
        <v>38243</v>
      </c>
      <c r="AZ3980" s="3" t="s">
        <v>38244</v>
      </c>
      <c r="BA3980" s="3" t="s">
        <v>38244</v>
      </c>
      <c r="BB3980" s="3" t="s">
        <v>38245</v>
      </c>
      <c r="BC3980" s="3" t="s">
        <v>142</v>
      </c>
      <c r="BD3980" s="3" t="s">
        <v>68</v>
      </c>
      <c r="BE3980" s="3" t="s">
        <v>38246</v>
      </c>
      <c r="BF3980" s="3" t="s">
        <v>38245</v>
      </c>
      <c r="BG3980" s="3" t="s">
        <v>38247</v>
      </c>
    </row>
    <row r="3981" spans="1:59" ht="57" x14ac:dyDescent="0.45">
      <c r="A3981" s="2" t="s">
        <v>59</v>
      </c>
      <c r="B3981" s="2" t="s">
        <v>60</v>
      </c>
      <c r="C3981" s="2" t="s">
        <v>38248</v>
      </c>
      <c r="D3981" s="2" t="s">
        <v>38249</v>
      </c>
      <c r="E3981" s="2" t="s">
        <v>38250</v>
      </c>
      <c r="G3981" s="3" t="s">
        <v>62</v>
      </c>
      <c r="I3981" s="3" t="s">
        <v>62</v>
      </c>
      <c r="J3981" s="3" t="s">
        <v>62</v>
      </c>
      <c r="K3981" s="3" t="s">
        <v>63</v>
      </c>
      <c r="M3981" s="2" t="s">
        <v>38251</v>
      </c>
      <c r="N3981" s="3" t="s">
        <v>958</v>
      </c>
      <c r="P3981" s="3" t="s">
        <v>65</v>
      </c>
      <c r="R3981" s="3" t="s">
        <v>66</v>
      </c>
      <c r="S3981" s="4">
        <v>45</v>
      </c>
      <c r="T3981" s="4">
        <v>45</v>
      </c>
      <c r="U3981" s="5" t="s">
        <v>8576</v>
      </c>
      <c r="V3981" s="5" t="s">
        <v>8576</v>
      </c>
      <c r="W3981" s="5" t="s">
        <v>67</v>
      </c>
      <c r="X3981" s="5" t="s">
        <v>67</v>
      </c>
      <c r="Y3981" s="4">
        <v>365</v>
      </c>
      <c r="Z3981" s="4">
        <v>19</v>
      </c>
      <c r="AA3981" s="4">
        <v>26</v>
      </c>
      <c r="AB3981" s="4">
        <v>2</v>
      </c>
      <c r="AC3981" s="4">
        <v>9</v>
      </c>
      <c r="AD3981" s="4">
        <v>96</v>
      </c>
      <c r="AE3981" s="4">
        <v>100</v>
      </c>
      <c r="AF3981" s="4">
        <v>1</v>
      </c>
      <c r="AG3981" s="4">
        <v>4</v>
      </c>
      <c r="AH3981" s="4">
        <v>86</v>
      </c>
      <c r="AI3981" s="4">
        <v>88</v>
      </c>
      <c r="AJ3981" s="4">
        <v>15</v>
      </c>
      <c r="AK3981" s="4">
        <v>18</v>
      </c>
      <c r="AL3981" s="4">
        <v>46</v>
      </c>
      <c r="AM3981" s="4">
        <v>46</v>
      </c>
      <c r="AN3981" s="4">
        <v>0</v>
      </c>
      <c r="AO3981" s="4">
        <v>0</v>
      </c>
      <c r="AP3981" s="4">
        <v>16</v>
      </c>
      <c r="AQ3981" s="4">
        <v>19</v>
      </c>
      <c r="AR3981" s="3" t="s">
        <v>62</v>
      </c>
      <c r="AS3981" s="3" t="s">
        <v>62</v>
      </c>
      <c r="AT3981" s="3" t="s">
        <v>62</v>
      </c>
      <c r="AV3981" s="6" t="str">
        <f>HYPERLINK("http://mcgill.on.worldcat.org/oclc/32237582","Catalog Record")</f>
        <v>Catalog Record</v>
      </c>
      <c r="AW3981" s="6" t="str">
        <f>HYPERLINK("http://www.worldcat.org/oclc/32237582","WorldCat Record")</f>
        <v>WorldCat Record</v>
      </c>
      <c r="AX3981" s="3" t="s">
        <v>38252</v>
      </c>
      <c r="AY3981" s="3" t="s">
        <v>38253</v>
      </c>
      <c r="AZ3981" s="3" t="s">
        <v>38254</v>
      </c>
      <c r="BA3981" s="3" t="s">
        <v>38254</v>
      </c>
      <c r="BB3981" s="3" t="s">
        <v>38255</v>
      </c>
      <c r="BC3981" s="3" t="s">
        <v>142</v>
      </c>
      <c r="BD3981" s="3" t="s">
        <v>68</v>
      </c>
      <c r="BE3981" s="3" t="s">
        <v>38256</v>
      </c>
      <c r="BF3981" s="3" t="s">
        <v>38255</v>
      </c>
      <c r="BG3981" s="3" t="s">
        <v>38257</v>
      </c>
    </row>
    <row r="3982" spans="1:59" ht="57" x14ac:dyDescent="0.45">
      <c r="A3982" s="2" t="s">
        <v>59</v>
      </c>
      <c r="B3982" s="2" t="s">
        <v>60</v>
      </c>
      <c r="C3982" s="2" t="s">
        <v>38258</v>
      </c>
      <c r="D3982" s="2" t="s">
        <v>38259</v>
      </c>
      <c r="E3982" s="2" t="s">
        <v>38260</v>
      </c>
      <c r="G3982" s="3" t="s">
        <v>62</v>
      </c>
      <c r="I3982" s="3" t="s">
        <v>62</v>
      </c>
      <c r="J3982" s="3" t="s">
        <v>62</v>
      </c>
      <c r="K3982" s="3" t="s">
        <v>63</v>
      </c>
      <c r="M3982" s="2" t="s">
        <v>5406</v>
      </c>
      <c r="N3982" s="3" t="s">
        <v>945</v>
      </c>
      <c r="P3982" s="3" t="s">
        <v>65</v>
      </c>
      <c r="Q3982" s="2" t="s">
        <v>38261</v>
      </c>
      <c r="R3982" s="3" t="s">
        <v>66</v>
      </c>
      <c r="S3982" s="4">
        <v>5</v>
      </c>
      <c r="T3982" s="4">
        <v>5</v>
      </c>
      <c r="U3982" s="5" t="s">
        <v>8070</v>
      </c>
      <c r="V3982" s="5" t="s">
        <v>8070</v>
      </c>
      <c r="W3982" s="5" t="s">
        <v>67</v>
      </c>
      <c r="X3982" s="5" t="s">
        <v>67</v>
      </c>
      <c r="Y3982" s="4">
        <v>164</v>
      </c>
      <c r="Z3982" s="4">
        <v>17</v>
      </c>
      <c r="AA3982" s="4">
        <v>101</v>
      </c>
      <c r="AB3982" s="4">
        <v>2</v>
      </c>
      <c r="AC3982" s="4">
        <v>17</v>
      </c>
      <c r="AD3982" s="4">
        <v>62</v>
      </c>
      <c r="AE3982" s="4">
        <v>122</v>
      </c>
      <c r="AF3982" s="4">
        <v>1</v>
      </c>
      <c r="AG3982" s="4">
        <v>8</v>
      </c>
      <c r="AH3982" s="4">
        <v>57</v>
      </c>
      <c r="AI3982" s="4">
        <v>86</v>
      </c>
      <c r="AJ3982" s="4">
        <v>13</v>
      </c>
      <c r="AK3982" s="4">
        <v>23</v>
      </c>
      <c r="AL3982" s="4">
        <v>34</v>
      </c>
      <c r="AM3982" s="4">
        <v>45</v>
      </c>
      <c r="AN3982" s="4">
        <v>0</v>
      </c>
      <c r="AO3982" s="4">
        <v>0</v>
      </c>
      <c r="AP3982" s="4">
        <v>14</v>
      </c>
      <c r="AQ3982" s="4">
        <v>44</v>
      </c>
      <c r="AR3982" s="3" t="s">
        <v>62</v>
      </c>
      <c r="AS3982" s="3" t="s">
        <v>62</v>
      </c>
      <c r="AT3982" s="3" t="s">
        <v>61</v>
      </c>
      <c r="AU3982" s="6" t="str">
        <f>HYPERLINK("http://catalog.hathitrust.org/Record/007148210","HathiTrust Record")</f>
        <v>HathiTrust Record</v>
      </c>
      <c r="AV3982" s="6" t="str">
        <f>HYPERLINK("http://mcgill.on.worldcat.org/oclc/77574062","Catalog Record")</f>
        <v>Catalog Record</v>
      </c>
      <c r="AW3982" s="6" t="str">
        <f>HYPERLINK("http://www.worldcat.org/oclc/77574062","WorldCat Record")</f>
        <v>WorldCat Record</v>
      </c>
      <c r="AX3982" s="3" t="s">
        <v>38262</v>
      </c>
      <c r="AY3982" s="3" t="s">
        <v>38263</v>
      </c>
      <c r="AZ3982" s="3" t="s">
        <v>38264</v>
      </c>
      <c r="BA3982" s="3" t="s">
        <v>38264</v>
      </c>
      <c r="BB3982" s="3" t="s">
        <v>38265</v>
      </c>
      <c r="BC3982" s="3" t="s">
        <v>142</v>
      </c>
      <c r="BD3982" s="3" t="s">
        <v>68</v>
      </c>
      <c r="BE3982" s="3" t="s">
        <v>38266</v>
      </c>
      <c r="BF3982" s="3" t="s">
        <v>38265</v>
      </c>
      <c r="BG3982" s="3" t="s">
        <v>38267</v>
      </c>
    </row>
    <row r="3983" spans="1:59" ht="57" x14ac:dyDescent="0.45">
      <c r="A3983" s="2" t="s">
        <v>59</v>
      </c>
      <c r="B3983" s="2" t="s">
        <v>60</v>
      </c>
      <c r="C3983" s="2" t="s">
        <v>38268</v>
      </c>
      <c r="D3983" s="2" t="s">
        <v>38269</v>
      </c>
      <c r="E3983" s="2" t="s">
        <v>38270</v>
      </c>
      <c r="G3983" s="3" t="s">
        <v>62</v>
      </c>
      <c r="I3983" s="3" t="s">
        <v>61</v>
      </c>
      <c r="J3983" s="3" t="s">
        <v>62</v>
      </c>
      <c r="K3983" s="3" t="s">
        <v>63</v>
      </c>
      <c r="M3983" s="2" t="s">
        <v>8226</v>
      </c>
      <c r="N3983" s="3" t="s">
        <v>1855</v>
      </c>
      <c r="O3983" s="2" t="s">
        <v>168</v>
      </c>
      <c r="P3983" s="3" t="s">
        <v>65</v>
      </c>
      <c r="Q3983" s="2" t="s">
        <v>38271</v>
      </c>
      <c r="R3983" s="3" t="s">
        <v>66</v>
      </c>
      <c r="S3983" s="4">
        <v>8</v>
      </c>
      <c r="T3983" s="4">
        <v>12</v>
      </c>
      <c r="U3983" s="5" t="s">
        <v>29124</v>
      </c>
      <c r="V3983" s="5" t="s">
        <v>29124</v>
      </c>
      <c r="W3983" s="5" t="s">
        <v>67</v>
      </c>
      <c r="X3983" s="5" t="s">
        <v>67</v>
      </c>
      <c r="Y3983" s="4">
        <v>226</v>
      </c>
      <c r="Z3983" s="4">
        <v>22</v>
      </c>
      <c r="AA3983" s="4">
        <v>112</v>
      </c>
      <c r="AB3983" s="4">
        <v>2</v>
      </c>
      <c r="AC3983" s="4">
        <v>17</v>
      </c>
      <c r="AD3983" s="4">
        <v>74</v>
      </c>
      <c r="AE3983" s="4">
        <v>133</v>
      </c>
      <c r="AF3983" s="4">
        <v>1</v>
      </c>
      <c r="AG3983" s="4">
        <v>8</v>
      </c>
      <c r="AH3983" s="4">
        <v>63</v>
      </c>
      <c r="AI3983" s="4">
        <v>94</v>
      </c>
      <c r="AJ3983" s="4">
        <v>16</v>
      </c>
      <c r="AK3983" s="4">
        <v>26</v>
      </c>
      <c r="AL3983" s="4">
        <v>36</v>
      </c>
      <c r="AM3983" s="4">
        <v>49</v>
      </c>
      <c r="AN3983" s="4">
        <v>0</v>
      </c>
      <c r="AO3983" s="4">
        <v>0</v>
      </c>
      <c r="AP3983" s="4">
        <v>18</v>
      </c>
      <c r="AQ3983" s="4">
        <v>47</v>
      </c>
      <c r="AR3983" s="3" t="s">
        <v>62</v>
      </c>
      <c r="AS3983" s="3" t="s">
        <v>62</v>
      </c>
      <c r="AT3983" s="3" t="s">
        <v>61</v>
      </c>
      <c r="AU3983" s="6" t="str">
        <f>HYPERLINK("http://catalog.hathitrust.org/Record/004989677","HathiTrust Record")</f>
        <v>HathiTrust Record</v>
      </c>
      <c r="AV3983" s="6" t="str">
        <f>HYPERLINK("http://mcgill.on.worldcat.org/oclc/56599788","Catalog Record")</f>
        <v>Catalog Record</v>
      </c>
      <c r="AW3983" s="6" t="str">
        <f>HYPERLINK("http://www.worldcat.org/oclc/56599788","WorldCat Record")</f>
        <v>WorldCat Record</v>
      </c>
      <c r="AX3983" s="3" t="s">
        <v>38272</v>
      </c>
      <c r="AY3983" s="3" t="s">
        <v>38273</v>
      </c>
      <c r="AZ3983" s="3" t="s">
        <v>38274</v>
      </c>
      <c r="BA3983" s="3" t="s">
        <v>38274</v>
      </c>
      <c r="BB3983" s="3" t="s">
        <v>38275</v>
      </c>
      <c r="BC3983" s="3" t="s">
        <v>142</v>
      </c>
      <c r="BD3983" s="3" t="s">
        <v>68</v>
      </c>
      <c r="BE3983" s="3" t="s">
        <v>38276</v>
      </c>
      <c r="BF3983" s="3" t="s">
        <v>38275</v>
      </c>
      <c r="BG3983" s="3" t="s">
        <v>38277</v>
      </c>
    </row>
    <row r="3984" spans="1:59" ht="57" x14ac:dyDescent="0.45">
      <c r="A3984" s="2" t="s">
        <v>59</v>
      </c>
      <c r="B3984" s="2" t="s">
        <v>60</v>
      </c>
      <c r="C3984" s="2" t="s">
        <v>38268</v>
      </c>
      <c r="D3984" s="2" t="s">
        <v>38269</v>
      </c>
      <c r="E3984" s="2" t="s">
        <v>38270</v>
      </c>
      <c r="G3984" s="3" t="s">
        <v>62</v>
      </c>
      <c r="I3984" s="3" t="s">
        <v>61</v>
      </c>
      <c r="J3984" s="3" t="s">
        <v>62</v>
      </c>
      <c r="K3984" s="3" t="s">
        <v>63</v>
      </c>
      <c r="M3984" s="2" t="s">
        <v>8226</v>
      </c>
      <c r="N3984" s="3" t="s">
        <v>1855</v>
      </c>
      <c r="O3984" s="2" t="s">
        <v>168</v>
      </c>
      <c r="P3984" s="3" t="s">
        <v>65</v>
      </c>
      <c r="Q3984" s="2" t="s">
        <v>38271</v>
      </c>
      <c r="R3984" s="3" t="s">
        <v>66</v>
      </c>
      <c r="S3984" s="4">
        <v>4</v>
      </c>
      <c r="T3984" s="4">
        <v>12</v>
      </c>
      <c r="U3984" s="5" t="s">
        <v>38278</v>
      </c>
      <c r="V3984" s="5" t="s">
        <v>29124</v>
      </c>
      <c r="W3984" s="5" t="s">
        <v>67</v>
      </c>
      <c r="X3984" s="5" t="s">
        <v>67</v>
      </c>
      <c r="Y3984" s="4">
        <v>226</v>
      </c>
      <c r="Z3984" s="4">
        <v>22</v>
      </c>
      <c r="AA3984" s="4">
        <v>112</v>
      </c>
      <c r="AB3984" s="4">
        <v>2</v>
      </c>
      <c r="AC3984" s="4">
        <v>17</v>
      </c>
      <c r="AD3984" s="4">
        <v>74</v>
      </c>
      <c r="AE3984" s="4">
        <v>133</v>
      </c>
      <c r="AF3984" s="4">
        <v>1</v>
      </c>
      <c r="AG3984" s="4">
        <v>8</v>
      </c>
      <c r="AH3984" s="4">
        <v>63</v>
      </c>
      <c r="AI3984" s="4">
        <v>94</v>
      </c>
      <c r="AJ3984" s="4">
        <v>16</v>
      </c>
      <c r="AK3984" s="4">
        <v>26</v>
      </c>
      <c r="AL3984" s="4">
        <v>36</v>
      </c>
      <c r="AM3984" s="4">
        <v>49</v>
      </c>
      <c r="AN3984" s="4">
        <v>0</v>
      </c>
      <c r="AO3984" s="4">
        <v>0</v>
      </c>
      <c r="AP3984" s="4">
        <v>18</v>
      </c>
      <c r="AQ3984" s="4">
        <v>47</v>
      </c>
      <c r="AR3984" s="3" t="s">
        <v>62</v>
      </c>
      <c r="AS3984" s="3" t="s">
        <v>62</v>
      </c>
      <c r="AT3984" s="3" t="s">
        <v>61</v>
      </c>
      <c r="AU3984" s="6" t="str">
        <f>HYPERLINK("http://catalog.hathitrust.org/Record/004989677","HathiTrust Record")</f>
        <v>HathiTrust Record</v>
      </c>
      <c r="AV3984" s="6" t="str">
        <f>HYPERLINK("http://mcgill.on.worldcat.org/oclc/56599788","Catalog Record")</f>
        <v>Catalog Record</v>
      </c>
      <c r="AW3984" s="6" t="str">
        <f>HYPERLINK("http://www.worldcat.org/oclc/56599788","WorldCat Record")</f>
        <v>WorldCat Record</v>
      </c>
      <c r="AX3984" s="3" t="s">
        <v>38272</v>
      </c>
      <c r="AY3984" s="3" t="s">
        <v>38273</v>
      </c>
      <c r="AZ3984" s="3" t="s">
        <v>38274</v>
      </c>
      <c r="BA3984" s="3" t="s">
        <v>38274</v>
      </c>
      <c r="BB3984" s="3" t="s">
        <v>38279</v>
      </c>
      <c r="BC3984" s="3" t="s">
        <v>142</v>
      </c>
      <c r="BD3984" s="3" t="s">
        <v>68</v>
      </c>
      <c r="BE3984" s="3" t="s">
        <v>38276</v>
      </c>
      <c r="BF3984" s="3" t="s">
        <v>38279</v>
      </c>
      <c r="BG3984" s="3" t="s">
        <v>38280</v>
      </c>
    </row>
    <row r="3985" spans="1:59" ht="57" x14ac:dyDescent="0.45">
      <c r="A3985" s="2" t="s">
        <v>59</v>
      </c>
      <c r="B3985" s="2" t="s">
        <v>60</v>
      </c>
      <c r="C3985" s="2" t="s">
        <v>38281</v>
      </c>
      <c r="D3985" s="2" t="s">
        <v>38282</v>
      </c>
      <c r="E3985" s="2" t="s">
        <v>38283</v>
      </c>
      <c r="G3985" s="3" t="s">
        <v>62</v>
      </c>
      <c r="I3985" s="3" t="s">
        <v>62</v>
      </c>
      <c r="J3985" s="3" t="s">
        <v>62</v>
      </c>
      <c r="K3985" s="3" t="s">
        <v>63</v>
      </c>
      <c r="M3985" s="2" t="s">
        <v>1178</v>
      </c>
      <c r="N3985" s="3" t="s">
        <v>894</v>
      </c>
      <c r="P3985" s="3" t="s">
        <v>65</v>
      </c>
      <c r="Q3985" s="2" t="s">
        <v>38284</v>
      </c>
      <c r="R3985" s="3" t="s">
        <v>66</v>
      </c>
      <c r="S3985" s="4">
        <v>6</v>
      </c>
      <c r="T3985" s="4">
        <v>6</v>
      </c>
      <c r="U3985" s="5" t="s">
        <v>5880</v>
      </c>
      <c r="V3985" s="5" t="s">
        <v>5880</v>
      </c>
      <c r="W3985" s="5" t="s">
        <v>67</v>
      </c>
      <c r="X3985" s="5" t="s">
        <v>67</v>
      </c>
      <c r="Y3985" s="4">
        <v>104</v>
      </c>
      <c r="Z3985" s="4">
        <v>14</v>
      </c>
      <c r="AA3985" s="4">
        <v>89</v>
      </c>
      <c r="AB3985" s="4">
        <v>2</v>
      </c>
      <c r="AC3985" s="4">
        <v>17</v>
      </c>
      <c r="AD3985" s="4">
        <v>40</v>
      </c>
      <c r="AE3985" s="4">
        <v>111</v>
      </c>
      <c r="AF3985" s="4">
        <v>1</v>
      </c>
      <c r="AG3985" s="4">
        <v>8</v>
      </c>
      <c r="AH3985" s="4">
        <v>36</v>
      </c>
      <c r="AI3985" s="4">
        <v>76</v>
      </c>
      <c r="AJ3985" s="4">
        <v>11</v>
      </c>
      <c r="AK3985" s="4">
        <v>22</v>
      </c>
      <c r="AL3985" s="4">
        <v>19</v>
      </c>
      <c r="AM3985" s="4">
        <v>41</v>
      </c>
      <c r="AN3985" s="4">
        <v>0</v>
      </c>
      <c r="AO3985" s="4">
        <v>0</v>
      </c>
      <c r="AP3985" s="4">
        <v>11</v>
      </c>
      <c r="AQ3985" s="4">
        <v>43</v>
      </c>
      <c r="AR3985" s="3" t="s">
        <v>62</v>
      </c>
      <c r="AS3985" s="3" t="s">
        <v>62</v>
      </c>
      <c r="AT3985" s="3" t="s">
        <v>62</v>
      </c>
      <c r="AV3985" s="6" t="str">
        <f>HYPERLINK("http://mcgill.on.worldcat.org/oclc/728656836","Catalog Record")</f>
        <v>Catalog Record</v>
      </c>
      <c r="AW3985" s="6" t="str">
        <f>HYPERLINK("http://www.worldcat.org/oclc/728656836","WorldCat Record")</f>
        <v>WorldCat Record</v>
      </c>
      <c r="AX3985" s="3" t="s">
        <v>38285</v>
      </c>
      <c r="AY3985" s="3" t="s">
        <v>38286</v>
      </c>
      <c r="AZ3985" s="3" t="s">
        <v>38287</v>
      </c>
      <c r="BA3985" s="3" t="s">
        <v>38287</v>
      </c>
      <c r="BB3985" s="3" t="s">
        <v>38288</v>
      </c>
      <c r="BC3985" s="3" t="s">
        <v>142</v>
      </c>
      <c r="BD3985" s="3" t="s">
        <v>68</v>
      </c>
      <c r="BE3985" s="3" t="s">
        <v>38289</v>
      </c>
      <c r="BF3985" s="3" t="s">
        <v>38288</v>
      </c>
      <c r="BG3985" s="3" t="s">
        <v>38290</v>
      </c>
    </row>
    <row r="3986" spans="1:59" ht="57" x14ac:dyDescent="0.45">
      <c r="A3986" s="2" t="s">
        <v>59</v>
      </c>
      <c r="B3986" s="2" t="s">
        <v>60</v>
      </c>
      <c r="C3986" s="2" t="s">
        <v>38291</v>
      </c>
      <c r="D3986" s="2" t="s">
        <v>38292</v>
      </c>
      <c r="E3986" s="2" t="s">
        <v>38293</v>
      </c>
      <c r="G3986" s="3" t="s">
        <v>62</v>
      </c>
      <c r="I3986" s="3" t="s">
        <v>62</v>
      </c>
      <c r="J3986" s="3" t="s">
        <v>62</v>
      </c>
      <c r="K3986" s="3" t="s">
        <v>63</v>
      </c>
      <c r="L3986" s="2" t="s">
        <v>38294</v>
      </c>
      <c r="M3986" s="2" t="s">
        <v>1189</v>
      </c>
      <c r="N3986" s="3" t="s">
        <v>149</v>
      </c>
      <c r="P3986" s="3" t="s">
        <v>65</v>
      </c>
      <c r="Q3986" s="2" t="s">
        <v>38295</v>
      </c>
      <c r="R3986" s="3" t="s">
        <v>66</v>
      </c>
      <c r="S3986" s="4">
        <v>9</v>
      </c>
      <c r="T3986" s="4">
        <v>9</v>
      </c>
      <c r="U3986" s="5" t="s">
        <v>12942</v>
      </c>
      <c r="V3986" s="5" t="s">
        <v>12942</v>
      </c>
      <c r="W3986" s="5" t="s">
        <v>67</v>
      </c>
      <c r="X3986" s="5" t="s">
        <v>67</v>
      </c>
      <c r="Y3986" s="4">
        <v>208</v>
      </c>
      <c r="Z3986" s="4">
        <v>21</v>
      </c>
      <c r="AA3986" s="4">
        <v>32</v>
      </c>
      <c r="AB3986" s="4">
        <v>2</v>
      </c>
      <c r="AC3986" s="4">
        <v>10</v>
      </c>
      <c r="AD3986" s="4">
        <v>77</v>
      </c>
      <c r="AE3986" s="4">
        <v>86</v>
      </c>
      <c r="AF3986" s="4">
        <v>1</v>
      </c>
      <c r="AG3986" s="4">
        <v>4</v>
      </c>
      <c r="AH3986" s="4">
        <v>66</v>
      </c>
      <c r="AI3986" s="4">
        <v>72</v>
      </c>
      <c r="AJ3986" s="4">
        <v>15</v>
      </c>
      <c r="AK3986" s="4">
        <v>18</v>
      </c>
      <c r="AL3986" s="4">
        <v>41</v>
      </c>
      <c r="AM3986" s="4">
        <v>43</v>
      </c>
      <c r="AN3986" s="4">
        <v>0</v>
      </c>
      <c r="AO3986" s="4">
        <v>0</v>
      </c>
      <c r="AP3986" s="4">
        <v>15</v>
      </c>
      <c r="AQ3986" s="4">
        <v>20</v>
      </c>
      <c r="AR3986" s="3" t="s">
        <v>62</v>
      </c>
      <c r="AS3986" s="3" t="s">
        <v>62</v>
      </c>
      <c r="AT3986" s="3" t="s">
        <v>62</v>
      </c>
      <c r="AV3986" s="6" t="str">
        <f>HYPERLINK("http://mcgill.on.worldcat.org/oclc/262430508","Catalog Record")</f>
        <v>Catalog Record</v>
      </c>
      <c r="AW3986" s="6" t="str">
        <f>HYPERLINK("http://www.worldcat.org/oclc/262430508","WorldCat Record")</f>
        <v>WorldCat Record</v>
      </c>
      <c r="AX3986" s="3" t="s">
        <v>38296</v>
      </c>
      <c r="AY3986" s="3" t="s">
        <v>38297</v>
      </c>
      <c r="AZ3986" s="3" t="s">
        <v>38298</v>
      </c>
      <c r="BA3986" s="3" t="s">
        <v>38298</v>
      </c>
      <c r="BB3986" s="3" t="s">
        <v>38299</v>
      </c>
      <c r="BC3986" s="3" t="s">
        <v>142</v>
      </c>
      <c r="BD3986" s="3" t="s">
        <v>68</v>
      </c>
      <c r="BE3986" s="3" t="s">
        <v>38300</v>
      </c>
      <c r="BF3986" s="3" t="s">
        <v>38299</v>
      </c>
      <c r="BG3986" s="3" t="s">
        <v>38301</v>
      </c>
    </row>
    <row r="3987" spans="1:59" ht="57" x14ac:dyDescent="0.45">
      <c r="A3987" s="2" t="s">
        <v>59</v>
      </c>
      <c r="B3987" s="2" t="s">
        <v>60</v>
      </c>
      <c r="C3987" s="2" t="s">
        <v>38302</v>
      </c>
      <c r="D3987" s="2" t="s">
        <v>38303</v>
      </c>
      <c r="E3987" s="2" t="s">
        <v>38304</v>
      </c>
      <c r="G3987" s="3" t="s">
        <v>62</v>
      </c>
      <c r="I3987" s="3" t="s">
        <v>62</v>
      </c>
      <c r="J3987" s="3" t="s">
        <v>62</v>
      </c>
      <c r="K3987" s="3" t="s">
        <v>63</v>
      </c>
      <c r="L3987" s="2" t="s">
        <v>38305</v>
      </c>
      <c r="M3987" s="2" t="s">
        <v>38306</v>
      </c>
      <c r="N3987" s="3" t="s">
        <v>894</v>
      </c>
      <c r="P3987" s="3" t="s">
        <v>65</v>
      </c>
      <c r="Q3987" s="2" t="s">
        <v>38307</v>
      </c>
      <c r="R3987" s="3" t="s">
        <v>66</v>
      </c>
      <c r="S3987" s="4">
        <v>4</v>
      </c>
      <c r="T3987" s="4">
        <v>4</v>
      </c>
      <c r="U3987" s="5" t="s">
        <v>303</v>
      </c>
      <c r="V3987" s="5" t="s">
        <v>303</v>
      </c>
      <c r="W3987" s="5" t="s">
        <v>67</v>
      </c>
      <c r="X3987" s="5" t="s">
        <v>67</v>
      </c>
      <c r="Y3987" s="4">
        <v>78</v>
      </c>
      <c r="Z3987" s="4">
        <v>9</v>
      </c>
      <c r="AA3987" s="4">
        <v>10</v>
      </c>
      <c r="AB3987" s="4">
        <v>1</v>
      </c>
      <c r="AC3987" s="4">
        <v>2</v>
      </c>
      <c r="AD3987" s="4">
        <v>24</v>
      </c>
      <c r="AE3987" s="4">
        <v>25</v>
      </c>
      <c r="AF3987" s="4">
        <v>0</v>
      </c>
      <c r="AG3987" s="4">
        <v>1</v>
      </c>
      <c r="AH3987" s="4">
        <v>21</v>
      </c>
      <c r="AI3987" s="4">
        <v>21</v>
      </c>
      <c r="AJ3987" s="4">
        <v>7</v>
      </c>
      <c r="AK3987" s="4">
        <v>8</v>
      </c>
      <c r="AL3987" s="4">
        <v>15</v>
      </c>
      <c r="AM3987" s="4">
        <v>15</v>
      </c>
      <c r="AN3987" s="4">
        <v>0</v>
      </c>
      <c r="AO3987" s="4">
        <v>0</v>
      </c>
      <c r="AP3987" s="4">
        <v>7</v>
      </c>
      <c r="AQ3987" s="4">
        <v>7</v>
      </c>
      <c r="AR3987" s="3" t="s">
        <v>62</v>
      </c>
      <c r="AS3987" s="3" t="s">
        <v>62</v>
      </c>
      <c r="AT3987" s="3" t="s">
        <v>62</v>
      </c>
      <c r="AV3987" s="6" t="str">
        <f>HYPERLINK("http://mcgill.on.worldcat.org/oclc/690089123","Catalog Record")</f>
        <v>Catalog Record</v>
      </c>
      <c r="AW3987" s="6" t="str">
        <f>HYPERLINK("http://www.worldcat.org/oclc/690089123","WorldCat Record")</f>
        <v>WorldCat Record</v>
      </c>
      <c r="AX3987" s="3" t="s">
        <v>38308</v>
      </c>
      <c r="AY3987" s="3" t="s">
        <v>38309</v>
      </c>
      <c r="AZ3987" s="3" t="s">
        <v>38310</v>
      </c>
      <c r="BA3987" s="3" t="s">
        <v>38310</v>
      </c>
      <c r="BB3987" s="3" t="s">
        <v>38311</v>
      </c>
      <c r="BC3987" s="3" t="s">
        <v>142</v>
      </c>
      <c r="BD3987" s="3" t="s">
        <v>68</v>
      </c>
      <c r="BE3987" s="3" t="s">
        <v>38312</v>
      </c>
      <c r="BF3987" s="3" t="s">
        <v>38311</v>
      </c>
      <c r="BG3987" s="3" t="s">
        <v>38313</v>
      </c>
    </row>
    <row r="3988" spans="1:59" ht="57" x14ac:dyDescent="0.45">
      <c r="A3988" s="2" t="s">
        <v>59</v>
      </c>
      <c r="B3988" s="2" t="s">
        <v>60</v>
      </c>
      <c r="C3988" s="2" t="s">
        <v>38314</v>
      </c>
      <c r="D3988" s="2" t="s">
        <v>38315</v>
      </c>
      <c r="E3988" s="2" t="s">
        <v>38316</v>
      </c>
      <c r="G3988" s="3" t="s">
        <v>62</v>
      </c>
      <c r="I3988" s="3" t="s">
        <v>62</v>
      </c>
      <c r="J3988" s="3" t="s">
        <v>62</v>
      </c>
      <c r="K3988" s="3" t="s">
        <v>63</v>
      </c>
      <c r="L3988" s="2" t="s">
        <v>38317</v>
      </c>
      <c r="M3988" s="2" t="s">
        <v>38318</v>
      </c>
      <c r="N3988" s="3" t="s">
        <v>1604</v>
      </c>
      <c r="P3988" s="3" t="s">
        <v>65</v>
      </c>
      <c r="Q3988" s="2" t="s">
        <v>7366</v>
      </c>
      <c r="R3988" s="3" t="s">
        <v>66</v>
      </c>
      <c r="S3988" s="4">
        <v>26</v>
      </c>
      <c r="T3988" s="4">
        <v>26</v>
      </c>
      <c r="U3988" s="5" t="s">
        <v>2202</v>
      </c>
      <c r="V3988" s="5" t="s">
        <v>2202</v>
      </c>
      <c r="W3988" s="5" t="s">
        <v>67</v>
      </c>
      <c r="X3988" s="5" t="s">
        <v>67</v>
      </c>
      <c r="Y3988" s="4">
        <v>307</v>
      </c>
      <c r="Z3988" s="4">
        <v>16</v>
      </c>
      <c r="AA3988" s="4">
        <v>21</v>
      </c>
      <c r="AB3988" s="4">
        <v>2</v>
      </c>
      <c r="AC3988" s="4">
        <v>7</v>
      </c>
      <c r="AD3988" s="4">
        <v>71</v>
      </c>
      <c r="AE3988" s="4">
        <v>74</v>
      </c>
      <c r="AF3988" s="4">
        <v>1</v>
      </c>
      <c r="AG3988" s="4">
        <v>3</v>
      </c>
      <c r="AH3988" s="4">
        <v>61</v>
      </c>
      <c r="AI3988" s="4">
        <v>63</v>
      </c>
      <c r="AJ3988" s="4">
        <v>12</v>
      </c>
      <c r="AK3988" s="4">
        <v>14</v>
      </c>
      <c r="AL3988" s="4">
        <v>36</v>
      </c>
      <c r="AM3988" s="4">
        <v>36</v>
      </c>
      <c r="AN3988" s="4">
        <v>0</v>
      </c>
      <c r="AO3988" s="4">
        <v>0</v>
      </c>
      <c r="AP3988" s="4">
        <v>13</v>
      </c>
      <c r="AQ3988" s="4">
        <v>15</v>
      </c>
      <c r="AR3988" s="3" t="s">
        <v>62</v>
      </c>
      <c r="AS3988" s="3" t="s">
        <v>62</v>
      </c>
      <c r="AT3988" s="3" t="s">
        <v>61</v>
      </c>
      <c r="AU3988" s="6" t="str">
        <f>HYPERLINK("http://catalog.hathitrust.org/Record/004584304","HathiTrust Record")</f>
        <v>HathiTrust Record</v>
      </c>
      <c r="AV3988" s="6" t="str">
        <f>HYPERLINK("http://mcgill.on.worldcat.org/oclc/29184655","Catalog Record")</f>
        <v>Catalog Record</v>
      </c>
      <c r="AW3988" s="6" t="str">
        <f>HYPERLINK("http://www.worldcat.org/oclc/29184655","WorldCat Record")</f>
        <v>WorldCat Record</v>
      </c>
      <c r="AX3988" s="3" t="s">
        <v>38319</v>
      </c>
      <c r="AY3988" s="3" t="s">
        <v>38320</v>
      </c>
      <c r="AZ3988" s="3" t="s">
        <v>38321</v>
      </c>
      <c r="BA3988" s="3" t="s">
        <v>38321</v>
      </c>
      <c r="BB3988" s="3" t="s">
        <v>38322</v>
      </c>
      <c r="BC3988" s="3" t="s">
        <v>142</v>
      </c>
      <c r="BD3988" s="3" t="s">
        <v>68</v>
      </c>
      <c r="BE3988" s="3" t="s">
        <v>38323</v>
      </c>
      <c r="BF3988" s="3" t="s">
        <v>38322</v>
      </c>
      <c r="BG3988" s="3" t="s">
        <v>38324</v>
      </c>
    </row>
    <row r="3989" spans="1:59" ht="57" x14ac:dyDescent="0.45">
      <c r="A3989" s="2" t="s">
        <v>59</v>
      </c>
      <c r="B3989" s="2" t="s">
        <v>60</v>
      </c>
      <c r="C3989" s="2" t="s">
        <v>38325</v>
      </c>
      <c r="D3989" s="2" t="s">
        <v>38326</v>
      </c>
      <c r="E3989" s="2" t="s">
        <v>38327</v>
      </c>
      <c r="F3989" s="3" t="s">
        <v>38328</v>
      </c>
      <c r="G3989" s="3" t="s">
        <v>62</v>
      </c>
      <c r="I3989" s="3" t="s">
        <v>62</v>
      </c>
      <c r="J3989" s="3" t="s">
        <v>62</v>
      </c>
      <c r="K3989" s="3" t="s">
        <v>63</v>
      </c>
      <c r="L3989" s="2" t="s">
        <v>38329</v>
      </c>
      <c r="M3989" s="2" t="s">
        <v>38330</v>
      </c>
      <c r="N3989" s="3" t="s">
        <v>149</v>
      </c>
      <c r="P3989" s="3" t="s">
        <v>65</v>
      </c>
      <c r="R3989" s="3" t="s">
        <v>66</v>
      </c>
      <c r="S3989" s="4">
        <v>0</v>
      </c>
      <c r="T3989" s="4">
        <v>0</v>
      </c>
      <c r="W3989" s="5" t="s">
        <v>67</v>
      </c>
      <c r="X3989" s="5" t="s">
        <v>67</v>
      </c>
      <c r="Y3989" s="4">
        <v>58</v>
      </c>
      <c r="Z3989" s="4">
        <v>12</v>
      </c>
      <c r="AA3989" s="4">
        <v>19</v>
      </c>
      <c r="AB3989" s="4">
        <v>1</v>
      </c>
      <c r="AC3989" s="4">
        <v>3</v>
      </c>
      <c r="AD3989" s="4">
        <v>33</v>
      </c>
      <c r="AE3989" s="4">
        <v>44</v>
      </c>
      <c r="AF3989" s="4">
        <v>0</v>
      </c>
      <c r="AG3989" s="4">
        <v>1</v>
      </c>
      <c r="AH3989" s="4">
        <v>30</v>
      </c>
      <c r="AI3989" s="4">
        <v>37</v>
      </c>
      <c r="AJ3989" s="4">
        <v>9</v>
      </c>
      <c r="AK3989" s="4">
        <v>13</v>
      </c>
      <c r="AL3989" s="4">
        <v>19</v>
      </c>
      <c r="AM3989" s="4">
        <v>21</v>
      </c>
      <c r="AN3989" s="4">
        <v>0</v>
      </c>
      <c r="AO3989" s="4">
        <v>0</v>
      </c>
      <c r="AP3989" s="4">
        <v>9</v>
      </c>
      <c r="AQ3989" s="4">
        <v>15</v>
      </c>
      <c r="AR3989" s="3" t="s">
        <v>62</v>
      </c>
      <c r="AS3989" s="3" t="s">
        <v>62</v>
      </c>
      <c r="AT3989" s="3" t="s">
        <v>62</v>
      </c>
      <c r="AV3989" s="6" t="str">
        <f>HYPERLINK("http://mcgill.on.worldcat.org/oclc/607986451","Catalog Record")</f>
        <v>Catalog Record</v>
      </c>
      <c r="AW3989" s="6" t="str">
        <f>HYPERLINK("http://www.worldcat.org/oclc/607986451","WorldCat Record")</f>
        <v>WorldCat Record</v>
      </c>
      <c r="AX3989" s="3" t="s">
        <v>38331</v>
      </c>
      <c r="AY3989" s="3" t="s">
        <v>38332</v>
      </c>
      <c r="AZ3989" s="3" t="s">
        <v>38333</v>
      </c>
      <c r="BA3989" s="3" t="s">
        <v>38333</v>
      </c>
      <c r="BB3989" s="3" t="s">
        <v>38334</v>
      </c>
      <c r="BC3989" s="3" t="s">
        <v>142</v>
      </c>
      <c r="BD3989" s="3" t="s">
        <v>68</v>
      </c>
      <c r="BE3989" s="3" t="s">
        <v>38335</v>
      </c>
      <c r="BF3989" s="3" t="s">
        <v>38334</v>
      </c>
      <c r="BG3989" s="3" t="s">
        <v>38336</v>
      </c>
    </row>
    <row r="3990" spans="1:59" ht="57" x14ac:dyDescent="0.45">
      <c r="A3990" s="2" t="s">
        <v>59</v>
      </c>
      <c r="B3990" s="2" t="s">
        <v>60</v>
      </c>
      <c r="C3990" s="2" t="s">
        <v>38337</v>
      </c>
      <c r="D3990" s="2" t="s">
        <v>38338</v>
      </c>
      <c r="E3990" s="2" t="s">
        <v>38339</v>
      </c>
      <c r="G3990" s="3" t="s">
        <v>62</v>
      </c>
      <c r="I3990" s="3" t="s">
        <v>61</v>
      </c>
      <c r="J3990" s="3" t="s">
        <v>62</v>
      </c>
      <c r="K3990" s="3" t="s">
        <v>63</v>
      </c>
      <c r="L3990" s="2" t="s">
        <v>38340</v>
      </c>
      <c r="M3990" s="2" t="s">
        <v>38341</v>
      </c>
      <c r="N3990" s="3" t="s">
        <v>1437</v>
      </c>
      <c r="P3990" s="3" t="s">
        <v>65</v>
      </c>
      <c r="Q3990" s="2" t="s">
        <v>2655</v>
      </c>
      <c r="R3990" s="3" t="s">
        <v>66</v>
      </c>
      <c r="S3990" s="4">
        <v>58</v>
      </c>
      <c r="T3990" s="4">
        <v>62</v>
      </c>
      <c r="U3990" s="5" t="s">
        <v>38342</v>
      </c>
      <c r="V3990" s="5" t="s">
        <v>5139</v>
      </c>
      <c r="W3990" s="5" t="s">
        <v>67</v>
      </c>
      <c r="X3990" s="5" t="s">
        <v>67</v>
      </c>
      <c r="Y3990" s="4">
        <v>347</v>
      </c>
      <c r="Z3990" s="4">
        <v>23</v>
      </c>
      <c r="AA3990" s="4">
        <v>28</v>
      </c>
      <c r="AB3990" s="4">
        <v>4</v>
      </c>
      <c r="AC3990" s="4">
        <v>9</v>
      </c>
      <c r="AD3990" s="4">
        <v>70</v>
      </c>
      <c r="AE3990" s="4">
        <v>73</v>
      </c>
      <c r="AF3990" s="4">
        <v>2</v>
      </c>
      <c r="AG3990" s="4">
        <v>5</v>
      </c>
      <c r="AH3990" s="4">
        <v>59</v>
      </c>
      <c r="AI3990" s="4">
        <v>60</v>
      </c>
      <c r="AJ3990" s="4">
        <v>11</v>
      </c>
      <c r="AK3990" s="4">
        <v>14</v>
      </c>
      <c r="AL3990" s="4">
        <v>38</v>
      </c>
      <c r="AM3990" s="4">
        <v>38</v>
      </c>
      <c r="AN3990" s="4">
        <v>0</v>
      </c>
      <c r="AO3990" s="4">
        <v>0</v>
      </c>
      <c r="AP3990" s="4">
        <v>16</v>
      </c>
      <c r="AQ3990" s="4">
        <v>18</v>
      </c>
      <c r="AR3990" s="3" t="s">
        <v>62</v>
      </c>
      <c r="AS3990" s="3" t="s">
        <v>62</v>
      </c>
      <c r="AT3990" s="3" t="s">
        <v>61</v>
      </c>
      <c r="AU3990" s="6" t="str">
        <f>HYPERLINK("http://catalog.hathitrust.org/Record/007147394","HathiTrust Record")</f>
        <v>HathiTrust Record</v>
      </c>
      <c r="AV3990" s="6" t="str">
        <f>HYPERLINK("http://mcgill.on.worldcat.org/oclc/39301860","Catalog Record")</f>
        <v>Catalog Record</v>
      </c>
      <c r="AW3990" s="6" t="str">
        <f>HYPERLINK("http://www.worldcat.org/oclc/39301860","WorldCat Record")</f>
        <v>WorldCat Record</v>
      </c>
      <c r="AX3990" s="3" t="s">
        <v>38343</v>
      </c>
      <c r="AY3990" s="3" t="s">
        <v>38344</v>
      </c>
      <c r="AZ3990" s="3" t="s">
        <v>38345</v>
      </c>
      <c r="BA3990" s="3" t="s">
        <v>38345</v>
      </c>
      <c r="BB3990" s="3" t="s">
        <v>38346</v>
      </c>
      <c r="BC3990" s="3" t="s">
        <v>142</v>
      </c>
      <c r="BD3990" s="3" t="s">
        <v>68</v>
      </c>
      <c r="BE3990" s="3" t="s">
        <v>38347</v>
      </c>
      <c r="BF3990" s="3" t="s">
        <v>38346</v>
      </c>
      <c r="BG3990" s="3" t="s">
        <v>38348</v>
      </c>
    </row>
    <row r="3991" spans="1:59" ht="57" x14ac:dyDescent="0.45">
      <c r="A3991" s="2" t="s">
        <v>59</v>
      </c>
      <c r="B3991" s="2" t="s">
        <v>60</v>
      </c>
      <c r="C3991" s="2" t="s">
        <v>38337</v>
      </c>
      <c r="D3991" s="2" t="s">
        <v>38338</v>
      </c>
      <c r="E3991" s="2" t="s">
        <v>38339</v>
      </c>
      <c r="G3991" s="3" t="s">
        <v>62</v>
      </c>
      <c r="I3991" s="3" t="s">
        <v>61</v>
      </c>
      <c r="J3991" s="3" t="s">
        <v>62</v>
      </c>
      <c r="K3991" s="3" t="s">
        <v>63</v>
      </c>
      <c r="L3991" s="2" t="s">
        <v>38340</v>
      </c>
      <c r="M3991" s="2" t="s">
        <v>38341</v>
      </c>
      <c r="N3991" s="3" t="s">
        <v>1437</v>
      </c>
      <c r="P3991" s="3" t="s">
        <v>65</v>
      </c>
      <c r="Q3991" s="2" t="s">
        <v>2655</v>
      </c>
      <c r="R3991" s="3" t="s">
        <v>66</v>
      </c>
      <c r="S3991" s="4">
        <v>4</v>
      </c>
      <c r="T3991" s="4">
        <v>62</v>
      </c>
      <c r="U3991" s="5" t="s">
        <v>5139</v>
      </c>
      <c r="V3991" s="5" t="s">
        <v>5139</v>
      </c>
      <c r="W3991" s="5" t="s">
        <v>67</v>
      </c>
      <c r="X3991" s="5" t="s">
        <v>67</v>
      </c>
      <c r="Y3991" s="4">
        <v>347</v>
      </c>
      <c r="Z3991" s="4">
        <v>23</v>
      </c>
      <c r="AA3991" s="4">
        <v>28</v>
      </c>
      <c r="AB3991" s="4">
        <v>4</v>
      </c>
      <c r="AC3991" s="4">
        <v>9</v>
      </c>
      <c r="AD3991" s="4">
        <v>70</v>
      </c>
      <c r="AE3991" s="4">
        <v>73</v>
      </c>
      <c r="AF3991" s="4">
        <v>2</v>
      </c>
      <c r="AG3991" s="4">
        <v>5</v>
      </c>
      <c r="AH3991" s="4">
        <v>59</v>
      </c>
      <c r="AI3991" s="4">
        <v>60</v>
      </c>
      <c r="AJ3991" s="4">
        <v>11</v>
      </c>
      <c r="AK3991" s="4">
        <v>14</v>
      </c>
      <c r="AL3991" s="4">
        <v>38</v>
      </c>
      <c r="AM3991" s="4">
        <v>38</v>
      </c>
      <c r="AN3991" s="4">
        <v>0</v>
      </c>
      <c r="AO3991" s="4">
        <v>0</v>
      </c>
      <c r="AP3991" s="4">
        <v>16</v>
      </c>
      <c r="AQ3991" s="4">
        <v>18</v>
      </c>
      <c r="AR3991" s="3" t="s">
        <v>62</v>
      </c>
      <c r="AS3991" s="3" t="s">
        <v>62</v>
      </c>
      <c r="AT3991" s="3" t="s">
        <v>61</v>
      </c>
      <c r="AU3991" s="6" t="str">
        <f>HYPERLINK("http://catalog.hathitrust.org/Record/007147394","HathiTrust Record")</f>
        <v>HathiTrust Record</v>
      </c>
      <c r="AV3991" s="6" t="str">
        <f>HYPERLINK("http://mcgill.on.worldcat.org/oclc/39301860","Catalog Record")</f>
        <v>Catalog Record</v>
      </c>
      <c r="AW3991" s="6" t="str">
        <f>HYPERLINK("http://www.worldcat.org/oclc/39301860","WorldCat Record")</f>
        <v>WorldCat Record</v>
      </c>
      <c r="AX3991" s="3" t="s">
        <v>38343</v>
      </c>
      <c r="AY3991" s="3" t="s">
        <v>38344</v>
      </c>
      <c r="AZ3991" s="3" t="s">
        <v>38345</v>
      </c>
      <c r="BA3991" s="3" t="s">
        <v>38345</v>
      </c>
      <c r="BB3991" s="3" t="s">
        <v>38349</v>
      </c>
      <c r="BC3991" s="3" t="s">
        <v>142</v>
      </c>
      <c r="BD3991" s="3" t="s">
        <v>308</v>
      </c>
      <c r="BE3991" s="3" t="s">
        <v>38347</v>
      </c>
      <c r="BF3991" s="3" t="s">
        <v>38349</v>
      </c>
      <c r="BG3991" s="3" t="s">
        <v>38350</v>
      </c>
    </row>
    <row r="3992" spans="1:59" ht="57" x14ac:dyDescent="0.45">
      <c r="A3992" s="2" t="s">
        <v>59</v>
      </c>
      <c r="B3992" s="2" t="s">
        <v>60</v>
      </c>
      <c r="C3992" s="2" t="s">
        <v>38351</v>
      </c>
      <c r="D3992" s="2" t="s">
        <v>38352</v>
      </c>
      <c r="E3992" s="2" t="s">
        <v>38353</v>
      </c>
      <c r="G3992" s="3" t="s">
        <v>62</v>
      </c>
      <c r="I3992" s="3" t="s">
        <v>62</v>
      </c>
      <c r="J3992" s="3" t="s">
        <v>62</v>
      </c>
      <c r="K3992" s="3" t="s">
        <v>63</v>
      </c>
      <c r="L3992" s="2" t="s">
        <v>38354</v>
      </c>
      <c r="M3992" s="2" t="s">
        <v>38355</v>
      </c>
      <c r="N3992" s="3" t="s">
        <v>1239</v>
      </c>
      <c r="P3992" s="3" t="s">
        <v>65</v>
      </c>
      <c r="Q3992" s="2" t="s">
        <v>7948</v>
      </c>
      <c r="R3992" s="3" t="s">
        <v>66</v>
      </c>
      <c r="S3992" s="4">
        <v>72</v>
      </c>
      <c r="T3992" s="4">
        <v>72</v>
      </c>
      <c r="U3992" s="5" t="s">
        <v>7551</v>
      </c>
      <c r="V3992" s="5" t="s">
        <v>7551</v>
      </c>
      <c r="W3992" s="5" t="s">
        <v>67</v>
      </c>
      <c r="X3992" s="5" t="s">
        <v>67</v>
      </c>
      <c r="Y3992" s="4">
        <v>421</v>
      </c>
      <c r="Z3992" s="4">
        <v>29</v>
      </c>
      <c r="AA3992" s="4">
        <v>37</v>
      </c>
      <c r="AB3992" s="4">
        <v>2</v>
      </c>
      <c r="AC3992" s="4">
        <v>9</v>
      </c>
      <c r="AD3992" s="4">
        <v>92</v>
      </c>
      <c r="AE3992" s="4">
        <v>96</v>
      </c>
      <c r="AF3992" s="4">
        <v>1</v>
      </c>
      <c r="AG3992" s="4">
        <v>4</v>
      </c>
      <c r="AH3992" s="4">
        <v>80</v>
      </c>
      <c r="AI3992" s="4">
        <v>82</v>
      </c>
      <c r="AJ3992" s="4">
        <v>18</v>
      </c>
      <c r="AK3992" s="4">
        <v>21</v>
      </c>
      <c r="AL3992" s="4">
        <v>44</v>
      </c>
      <c r="AM3992" s="4">
        <v>44</v>
      </c>
      <c r="AN3992" s="4">
        <v>0</v>
      </c>
      <c r="AO3992" s="4">
        <v>0</v>
      </c>
      <c r="AP3992" s="4">
        <v>22</v>
      </c>
      <c r="AQ3992" s="4">
        <v>24</v>
      </c>
      <c r="AR3992" s="3" t="s">
        <v>62</v>
      </c>
      <c r="AS3992" s="3" t="s">
        <v>62</v>
      </c>
      <c r="AT3992" s="3" t="s">
        <v>62</v>
      </c>
      <c r="AV3992" s="6" t="str">
        <f>HYPERLINK("http://mcgill.on.worldcat.org/oclc/18816846","Catalog Record")</f>
        <v>Catalog Record</v>
      </c>
      <c r="AW3992" s="6" t="str">
        <f>HYPERLINK("http://www.worldcat.org/oclc/18816846","WorldCat Record")</f>
        <v>WorldCat Record</v>
      </c>
      <c r="AX3992" s="3" t="s">
        <v>38356</v>
      </c>
      <c r="AY3992" s="3" t="s">
        <v>38357</v>
      </c>
      <c r="AZ3992" s="3" t="s">
        <v>38358</v>
      </c>
      <c r="BA3992" s="3" t="s">
        <v>38358</v>
      </c>
      <c r="BB3992" s="3" t="s">
        <v>38359</v>
      </c>
      <c r="BC3992" s="3" t="s">
        <v>142</v>
      </c>
      <c r="BD3992" s="3" t="s">
        <v>68</v>
      </c>
      <c r="BE3992" s="3" t="s">
        <v>38360</v>
      </c>
      <c r="BF3992" s="3" t="s">
        <v>38359</v>
      </c>
      <c r="BG3992" s="3" t="s">
        <v>38361</v>
      </c>
    </row>
    <row r="3993" spans="1:59" ht="57" x14ac:dyDescent="0.45">
      <c r="A3993" s="2" t="s">
        <v>59</v>
      </c>
      <c r="B3993" s="2" t="s">
        <v>60</v>
      </c>
      <c r="C3993" s="2" t="s">
        <v>38362</v>
      </c>
      <c r="D3993" s="2" t="s">
        <v>38363</v>
      </c>
      <c r="E3993" s="2" t="s">
        <v>38364</v>
      </c>
      <c r="G3993" s="3" t="s">
        <v>62</v>
      </c>
      <c r="I3993" s="3" t="s">
        <v>62</v>
      </c>
      <c r="J3993" s="3" t="s">
        <v>62</v>
      </c>
      <c r="K3993" s="3" t="s">
        <v>63</v>
      </c>
      <c r="L3993" s="2" t="s">
        <v>38365</v>
      </c>
      <c r="M3993" s="2" t="s">
        <v>38366</v>
      </c>
      <c r="N3993" s="3" t="s">
        <v>1212</v>
      </c>
      <c r="P3993" s="3" t="s">
        <v>65</v>
      </c>
      <c r="R3993" s="3" t="s">
        <v>66</v>
      </c>
      <c r="S3993" s="4">
        <v>18</v>
      </c>
      <c r="T3993" s="4">
        <v>18</v>
      </c>
      <c r="U3993" s="5" t="s">
        <v>3587</v>
      </c>
      <c r="V3993" s="5" t="s">
        <v>3587</v>
      </c>
      <c r="W3993" s="5" t="s">
        <v>67</v>
      </c>
      <c r="X3993" s="5" t="s">
        <v>67</v>
      </c>
      <c r="Y3993" s="4">
        <v>64</v>
      </c>
      <c r="Z3993" s="4">
        <v>4</v>
      </c>
      <c r="AA3993" s="4">
        <v>4</v>
      </c>
      <c r="AB3993" s="4">
        <v>2</v>
      </c>
      <c r="AC3993" s="4">
        <v>2</v>
      </c>
      <c r="AD3993" s="4">
        <v>27</v>
      </c>
      <c r="AE3993" s="4">
        <v>28</v>
      </c>
      <c r="AF3993" s="4">
        <v>0</v>
      </c>
      <c r="AG3993" s="4">
        <v>0</v>
      </c>
      <c r="AH3993" s="4">
        <v>26</v>
      </c>
      <c r="AI3993" s="4">
        <v>27</v>
      </c>
      <c r="AJ3993" s="4">
        <v>2</v>
      </c>
      <c r="AK3993" s="4">
        <v>2</v>
      </c>
      <c r="AL3993" s="4">
        <v>18</v>
      </c>
      <c r="AM3993" s="4">
        <v>18</v>
      </c>
      <c r="AN3993" s="4">
        <v>0</v>
      </c>
      <c r="AO3993" s="4">
        <v>0</v>
      </c>
      <c r="AP3993" s="4">
        <v>2</v>
      </c>
      <c r="AQ3993" s="4">
        <v>2</v>
      </c>
      <c r="AR3993" s="3" t="s">
        <v>62</v>
      </c>
      <c r="AS3993" s="3" t="s">
        <v>62</v>
      </c>
      <c r="AT3993" s="3" t="s">
        <v>62</v>
      </c>
      <c r="AV3993" s="6" t="str">
        <f>HYPERLINK("http://mcgill.on.worldcat.org/oclc/46327834","Catalog Record")</f>
        <v>Catalog Record</v>
      </c>
      <c r="AW3993" s="6" t="str">
        <f>HYPERLINK("http://www.worldcat.org/oclc/46327834","WorldCat Record")</f>
        <v>WorldCat Record</v>
      </c>
      <c r="AX3993" s="3" t="s">
        <v>38367</v>
      </c>
      <c r="AY3993" s="3" t="s">
        <v>38368</v>
      </c>
      <c r="AZ3993" s="3" t="s">
        <v>38369</v>
      </c>
      <c r="BA3993" s="3" t="s">
        <v>38369</v>
      </c>
      <c r="BB3993" s="3" t="s">
        <v>38370</v>
      </c>
      <c r="BC3993" s="3" t="s">
        <v>142</v>
      </c>
      <c r="BD3993" s="3" t="s">
        <v>68</v>
      </c>
      <c r="BE3993" s="3" t="s">
        <v>38371</v>
      </c>
      <c r="BF3993" s="3" t="s">
        <v>38370</v>
      </c>
      <c r="BG3993" s="3" t="s">
        <v>38372</v>
      </c>
    </row>
    <row r="3994" spans="1:59" ht="57" x14ac:dyDescent="0.45">
      <c r="A3994" s="2" t="s">
        <v>59</v>
      </c>
      <c r="B3994" s="2" t="s">
        <v>60</v>
      </c>
      <c r="C3994" s="2" t="s">
        <v>38373</v>
      </c>
      <c r="D3994" s="2" t="s">
        <v>38374</v>
      </c>
      <c r="E3994" s="2" t="s">
        <v>38375</v>
      </c>
      <c r="G3994" s="3" t="s">
        <v>62</v>
      </c>
      <c r="I3994" s="3" t="s">
        <v>62</v>
      </c>
      <c r="J3994" s="3" t="s">
        <v>62</v>
      </c>
      <c r="K3994" s="3" t="s">
        <v>63</v>
      </c>
      <c r="L3994" s="2" t="s">
        <v>38376</v>
      </c>
      <c r="M3994" s="2" t="s">
        <v>819</v>
      </c>
      <c r="N3994" s="3" t="s">
        <v>820</v>
      </c>
      <c r="P3994" s="3" t="s">
        <v>65</v>
      </c>
      <c r="Q3994" s="2" t="s">
        <v>38377</v>
      </c>
      <c r="R3994" s="3" t="s">
        <v>66</v>
      </c>
      <c r="S3994" s="4">
        <v>5</v>
      </c>
      <c r="T3994" s="4">
        <v>5</v>
      </c>
      <c r="U3994" s="5" t="s">
        <v>37790</v>
      </c>
      <c r="V3994" s="5" t="s">
        <v>37790</v>
      </c>
      <c r="W3994" s="5" t="s">
        <v>67</v>
      </c>
      <c r="X3994" s="5" t="s">
        <v>67</v>
      </c>
      <c r="Y3994" s="4">
        <v>114</v>
      </c>
      <c r="Z3994" s="4">
        <v>14</v>
      </c>
      <c r="AA3994" s="4">
        <v>94</v>
      </c>
      <c r="AB3994" s="4">
        <v>1</v>
      </c>
      <c r="AC3994" s="4">
        <v>17</v>
      </c>
      <c r="AD3994" s="4">
        <v>50</v>
      </c>
      <c r="AE3994" s="4">
        <v>113</v>
      </c>
      <c r="AF3994" s="4">
        <v>0</v>
      </c>
      <c r="AG3994" s="4">
        <v>8</v>
      </c>
      <c r="AH3994" s="4">
        <v>45</v>
      </c>
      <c r="AI3994" s="4">
        <v>77</v>
      </c>
      <c r="AJ3994" s="4">
        <v>10</v>
      </c>
      <c r="AK3994" s="4">
        <v>24</v>
      </c>
      <c r="AL3994" s="4">
        <v>28</v>
      </c>
      <c r="AM3994" s="4">
        <v>39</v>
      </c>
      <c r="AN3994" s="4">
        <v>0</v>
      </c>
      <c r="AO3994" s="4">
        <v>0</v>
      </c>
      <c r="AP3994" s="4">
        <v>11</v>
      </c>
      <c r="AQ3994" s="4">
        <v>45</v>
      </c>
      <c r="AR3994" s="3" t="s">
        <v>62</v>
      </c>
      <c r="AS3994" s="3" t="s">
        <v>62</v>
      </c>
      <c r="AT3994" s="3" t="s">
        <v>62</v>
      </c>
      <c r="AV3994" s="6" t="str">
        <f>HYPERLINK("http://mcgill.on.worldcat.org/oclc/244661182","Catalog Record")</f>
        <v>Catalog Record</v>
      </c>
      <c r="AW3994" s="6" t="str">
        <f>HYPERLINK("http://www.worldcat.org/oclc/244661182","WorldCat Record")</f>
        <v>WorldCat Record</v>
      </c>
      <c r="AX3994" s="3" t="s">
        <v>38378</v>
      </c>
      <c r="AY3994" s="3" t="s">
        <v>38379</v>
      </c>
      <c r="AZ3994" s="3" t="s">
        <v>38380</v>
      </c>
      <c r="BA3994" s="3" t="s">
        <v>38380</v>
      </c>
      <c r="BB3994" s="3" t="s">
        <v>38381</v>
      </c>
      <c r="BC3994" s="3" t="s">
        <v>142</v>
      </c>
      <c r="BD3994" s="3" t="s">
        <v>68</v>
      </c>
      <c r="BE3994" s="3" t="s">
        <v>38382</v>
      </c>
      <c r="BF3994" s="3" t="s">
        <v>38381</v>
      </c>
      <c r="BG3994" s="3" t="s">
        <v>38383</v>
      </c>
    </row>
    <row r="3995" spans="1:59" ht="57" x14ac:dyDescent="0.45">
      <c r="A3995" s="2" t="s">
        <v>59</v>
      </c>
      <c r="B3995" s="2" t="s">
        <v>60</v>
      </c>
      <c r="C3995" s="2" t="s">
        <v>38384</v>
      </c>
      <c r="D3995" s="2" t="s">
        <v>38385</v>
      </c>
      <c r="E3995" s="2" t="s">
        <v>38386</v>
      </c>
      <c r="G3995" s="3" t="s">
        <v>62</v>
      </c>
      <c r="I3995" s="3" t="s">
        <v>62</v>
      </c>
      <c r="J3995" s="3" t="s">
        <v>62</v>
      </c>
      <c r="K3995" s="3" t="s">
        <v>63</v>
      </c>
      <c r="L3995" s="2" t="s">
        <v>38387</v>
      </c>
      <c r="M3995" s="2" t="s">
        <v>38388</v>
      </c>
      <c r="N3995" s="3" t="s">
        <v>181</v>
      </c>
      <c r="O3995" s="2" t="s">
        <v>1748</v>
      </c>
      <c r="P3995" s="3" t="s">
        <v>65</v>
      </c>
      <c r="Q3995" s="2" t="s">
        <v>38389</v>
      </c>
      <c r="R3995" s="3" t="s">
        <v>66</v>
      </c>
      <c r="S3995" s="4">
        <v>5</v>
      </c>
      <c r="T3995" s="4">
        <v>5</v>
      </c>
      <c r="U3995" s="5" t="s">
        <v>37790</v>
      </c>
      <c r="V3995" s="5" t="s">
        <v>37790</v>
      </c>
      <c r="W3995" s="5" t="s">
        <v>67</v>
      </c>
      <c r="X3995" s="5" t="s">
        <v>67</v>
      </c>
      <c r="Y3995" s="4">
        <v>78</v>
      </c>
      <c r="Z3995" s="4">
        <v>4</v>
      </c>
      <c r="AA3995" s="4">
        <v>6</v>
      </c>
      <c r="AB3995" s="4">
        <v>1</v>
      </c>
      <c r="AC3995" s="4">
        <v>3</v>
      </c>
      <c r="AD3995" s="4">
        <v>22</v>
      </c>
      <c r="AE3995" s="4">
        <v>23</v>
      </c>
      <c r="AF3995" s="4">
        <v>0</v>
      </c>
      <c r="AG3995" s="4">
        <v>1</v>
      </c>
      <c r="AH3995" s="4">
        <v>21</v>
      </c>
      <c r="AI3995" s="4">
        <v>21</v>
      </c>
      <c r="AJ3995" s="4">
        <v>3</v>
      </c>
      <c r="AK3995" s="4">
        <v>4</v>
      </c>
      <c r="AL3995" s="4">
        <v>14</v>
      </c>
      <c r="AM3995" s="4">
        <v>14</v>
      </c>
      <c r="AN3995" s="4">
        <v>0</v>
      </c>
      <c r="AO3995" s="4">
        <v>0</v>
      </c>
      <c r="AP3995" s="4">
        <v>3</v>
      </c>
      <c r="AQ3995" s="4">
        <v>4</v>
      </c>
      <c r="AR3995" s="3" t="s">
        <v>62</v>
      </c>
      <c r="AS3995" s="3" t="s">
        <v>62</v>
      </c>
      <c r="AT3995" s="3" t="s">
        <v>62</v>
      </c>
      <c r="AV3995" s="6" t="str">
        <f>HYPERLINK("http://mcgill.on.worldcat.org/oclc/920725146","Catalog Record")</f>
        <v>Catalog Record</v>
      </c>
      <c r="AW3995" s="6" t="str">
        <f>HYPERLINK("http://www.worldcat.org/oclc/920725146","WorldCat Record")</f>
        <v>WorldCat Record</v>
      </c>
      <c r="AX3995" s="3" t="s">
        <v>38390</v>
      </c>
      <c r="AY3995" s="3" t="s">
        <v>38391</v>
      </c>
      <c r="AZ3995" s="3" t="s">
        <v>38392</v>
      </c>
      <c r="BA3995" s="3" t="s">
        <v>38392</v>
      </c>
      <c r="BB3995" s="3" t="s">
        <v>38393</v>
      </c>
      <c r="BC3995" s="3" t="s">
        <v>142</v>
      </c>
      <c r="BD3995" s="3" t="s">
        <v>308</v>
      </c>
      <c r="BE3995" s="3" t="s">
        <v>38394</v>
      </c>
      <c r="BF3995" s="3" t="s">
        <v>38393</v>
      </c>
      <c r="BG3995" s="3" t="s">
        <v>38395</v>
      </c>
    </row>
    <row r="3996" spans="1:59" ht="57" x14ac:dyDescent="0.45">
      <c r="A3996" s="2" t="s">
        <v>59</v>
      </c>
      <c r="B3996" s="2" t="s">
        <v>60</v>
      </c>
      <c r="C3996" s="2" t="s">
        <v>38396</v>
      </c>
      <c r="D3996" s="2" t="s">
        <v>38397</v>
      </c>
      <c r="E3996" s="2" t="s">
        <v>38398</v>
      </c>
      <c r="G3996" s="3" t="s">
        <v>62</v>
      </c>
      <c r="I3996" s="3" t="s">
        <v>62</v>
      </c>
      <c r="J3996" s="3" t="s">
        <v>62</v>
      </c>
      <c r="K3996" s="3" t="s">
        <v>63</v>
      </c>
      <c r="L3996" s="2" t="s">
        <v>38376</v>
      </c>
      <c r="M3996" s="2" t="s">
        <v>38399</v>
      </c>
      <c r="N3996" s="3" t="s">
        <v>542</v>
      </c>
      <c r="P3996" s="3" t="s">
        <v>65</v>
      </c>
      <c r="Q3996" s="2" t="s">
        <v>38400</v>
      </c>
      <c r="R3996" s="3" t="s">
        <v>66</v>
      </c>
      <c r="S3996" s="4">
        <v>12</v>
      </c>
      <c r="T3996" s="4">
        <v>12</v>
      </c>
      <c r="U3996" s="5" t="s">
        <v>6824</v>
      </c>
      <c r="V3996" s="5" t="s">
        <v>6824</v>
      </c>
      <c r="W3996" s="5" t="s">
        <v>67</v>
      </c>
      <c r="X3996" s="5" t="s">
        <v>67</v>
      </c>
      <c r="Y3996" s="4">
        <v>112</v>
      </c>
      <c r="Z3996" s="4">
        <v>7</v>
      </c>
      <c r="AA3996" s="4">
        <v>102</v>
      </c>
      <c r="AB3996" s="4">
        <v>1</v>
      </c>
      <c r="AC3996" s="4">
        <v>17</v>
      </c>
      <c r="AD3996" s="4">
        <v>54</v>
      </c>
      <c r="AE3996" s="4">
        <v>126</v>
      </c>
      <c r="AF3996" s="4">
        <v>0</v>
      </c>
      <c r="AG3996" s="4">
        <v>8</v>
      </c>
      <c r="AH3996" s="4">
        <v>53</v>
      </c>
      <c r="AI3996" s="4">
        <v>91</v>
      </c>
      <c r="AJ3996" s="4">
        <v>5</v>
      </c>
      <c r="AK3996" s="4">
        <v>22</v>
      </c>
      <c r="AL3996" s="4">
        <v>32</v>
      </c>
      <c r="AM3996" s="4">
        <v>46</v>
      </c>
      <c r="AN3996" s="4">
        <v>0</v>
      </c>
      <c r="AO3996" s="4">
        <v>0</v>
      </c>
      <c r="AP3996" s="4">
        <v>5</v>
      </c>
      <c r="AQ3996" s="4">
        <v>43</v>
      </c>
      <c r="AR3996" s="3" t="s">
        <v>62</v>
      </c>
      <c r="AS3996" s="3" t="s">
        <v>62</v>
      </c>
      <c r="AT3996" s="3" t="s">
        <v>62</v>
      </c>
      <c r="AV3996" s="6" t="str">
        <f>HYPERLINK("http://mcgill.on.worldcat.org/oclc/45661646","Catalog Record")</f>
        <v>Catalog Record</v>
      </c>
      <c r="AW3996" s="6" t="str">
        <f>HYPERLINK("http://www.worldcat.org/oclc/45661646","WorldCat Record")</f>
        <v>WorldCat Record</v>
      </c>
      <c r="AX3996" s="3" t="s">
        <v>38401</v>
      </c>
      <c r="AY3996" s="3" t="s">
        <v>38402</v>
      </c>
      <c r="AZ3996" s="3" t="s">
        <v>38403</v>
      </c>
      <c r="BA3996" s="3" t="s">
        <v>38403</v>
      </c>
      <c r="BB3996" s="3" t="s">
        <v>38404</v>
      </c>
      <c r="BC3996" s="3" t="s">
        <v>142</v>
      </c>
      <c r="BD3996" s="3" t="s">
        <v>68</v>
      </c>
      <c r="BE3996" s="3" t="s">
        <v>38405</v>
      </c>
      <c r="BF3996" s="3" t="s">
        <v>38404</v>
      </c>
      <c r="BG3996" s="3" t="s">
        <v>38406</v>
      </c>
    </row>
    <row r="3997" spans="1:59" ht="57" x14ac:dyDescent="0.45">
      <c r="A3997" s="2" t="s">
        <v>59</v>
      </c>
      <c r="B3997" s="2" t="s">
        <v>60</v>
      </c>
      <c r="C3997" s="2" t="s">
        <v>38407</v>
      </c>
      <c r="D3997" s="2" t="s">
        <v>38408</v>
      </c>
      <c r="E3997" s="2" t="s">
        <v>38409</v>
      </c>
      <c r="G3997" s="3" t="s">
        <v>62</v>
      </c>
      <c r="I3997" s="3" t="s">
        <v>61</v>
      </c>
      <c r="J3997" s="3" t="s">
        <v>62</v>
      </c>
      <c r="K3997" s="3" t="s">
        <v>63</v>
      </c>
      <c r="M3997" s="2" t="s">
        <v>9379</v>
      </c>
      <c r="N3997" s="3" t="s">
        <v>1212</v>
      </c>
      <c r="P3997" s="3" t="s">
        <v>65</v>
      </c>
      <c r="Q3997" s="2" t="s">
        <v>2655</v>
      </c>
      <c r="R3997" s="3" t="s">
        <v>66</v>
      </c>
      <c r="S3997" s="4">
        <v>49</v>
      </c>
      <c r="T3997" s="4">
        <v>77</v>
      </c>
      <c r="U3997" s="5" t="s">
        <v>38410</v>
      </c>
      <c r="V3997" s="5" t="s">
        <v>6370</v>
      </c>
      <c r="W3997" s="5" t="s">
        <v>67</v>
      </c>
      <c r="X3997" s="5" t="s">
        <v>67</v>
      </c>
      <c r="Y3997" s="4">
        <v>366</v>
      </c>
      <c r="Z3997" s="4">
        <v>23</v>
      </c>
      <c r="AA3997" s="4">
        <v>25</v>
      </c>
      <c r="AB3997" s="4">
        <v>2</v>
      </c>
      <c r="AC3997" s="4">
        <v>2</v>
      </c>
      <c r="AD3997" s="4">
        <v>71</v>
      </c>
      <c r="AE3997" s="4">
        <v>73</v>
      </c>
      <c r="AF3997" s="4">
        <v>1</v>
      </c>
      <c r="AG3997" s="4">
        <v>1</v>
      </c>
      <c r="AH3997" s="4">
        <v>60</v>
      </c>
      <c r="AI3997" s="4">
        <v>61</v>
      </c>
      <c r="AJ3997" s="4">
        <v>14</v>
      </c>
      <c r="AK3997" s="4">
        <v>16</v>
      </c>
      <c r="AL3997" s="4">
        <v>36</v>
      </c>
      <c r="AM3997" s="4">
        <v>36</v>
      </c>
      <c r="AN3997" s="4">
        <v>0</v>
      </c>
      <c r="AO3997" s="4">
        <v>0</v>
      </c>
      <c r="AP3997" s="4">
        <v>18</v>
      </c>
      <c r="AQ3997" s="4">
        <v>20</v>
      </c>
      <c r="AR3997" s="3" t="s">
        <v>62</v>
      </c>
      <c r="AS3997" s="3" t="s">
        <v>62</v>
      </c>
      <c r="AT3997" s="3" t="s">
        <v>62</v>
      </c>
      <c r="AV3997" s="6" t="str">
        <f>HYPERLINK("http://mcgill.on.worldcat.org/oclc/43869482","Catalog Record")</f>
        <v>Catalog Record</v>
      </c>
      <c r="AW3997" s="6" t="str">
        <f>HYPERLINK("http://www.worldcat.org/oclc/43869482","WorldCat Record")</f>
        <v>WorldCat Record</v>
      </c>
      <c r="AX3997" s="3" t="s">
        <v>38411</v>
      </c>
      <c r="AY3997" s="3" t="s">
        <v>38412</v>
      </c>
      <c r="AZ3997" s="3" t="s">
        <v>38413</v>
      </c>
      <c r="BA3997" s="3" t="s">
        <v>38413</v>
      </c>
      <c r="BB3997" s="3" t="s">
        <v>38414</v>
      </c>
      <c r="BC3997" s="3" t="s">
        <v>142</v>
      </c>
      <c r="BD3997" s="3" t="s">
        <v>68</v>
      </c>
      <c r="BE3997" s="3" t="s">
        <v>38415</v>
      </c>
      <c r="BF3997" s="3" t="s">
        <v>38414</v>
      </c>
      <c r="BG3997" s="3" t="s">
        <v>38416</v>
      </c>
    </row>
    <row r="3998" spans="1:59" ht="57" x14ac:dyDescent="0.45">
      <c r="A3998" s="2" t="s">
        <v>59</v>
      </c>
      <c r="B3998" s="2" t="s">
        <v>412</v>
      </c>
      <c r="C3998" s="2" t="s">
        <v>38407</v>
      </c>
      <c r="D3998" s="2" t="s">
        <v>38408</v>
      </c>
      <c r="E3998" s="2" t="s">
        <v>38409</v>
      </c>
      <c r="G3998" s="3" t="s">
        <v>62</v>
      </c>
      <c r="I3998" s="3" t="s">
        <v>61</v>
      </c>
      <c r="J3998" s="3" t="s">
        <v>62</v>
      </c>
      <c r="K3998" s="3" t="s">
        <v>63</v>
      </c>
      <c r="M3998" s="2" t="s">
        <v>9379</v>
      </c>
      <c r="N3998" s="3" t="s">
        <v>1212</v>
      </c>
      <c r="P3998" s="3" t="s">
        <v>65</v>
      </c>
      <c r="Q3998" s="2" t="s">
        <v>2655</v>
      </c>
      <c r="R3998" s="3" t="s">
        <v>66</v>
      </c>
      <c r="S3998" s="4">
        <v>28</v>
      </c>
      <c r="T3998" s="4">
        <v>77</v>
      </c>
      <c r="U3998" s="5" t="s">
        <v>6370</v>
      </c>
      <c r="V3998" s="5" t="s">
        <v>6370</v>
      </c>
      <c r="W3998" s="5" t="s">
        <v>67</v>
      </c>
      <c r="X3998" s="5" t="s">
        <v>67</v>
      </c>
      <c r="Y3998" s="4">
        <v>366</v>
      </c>
      <c r="Z3998" s="4">
        <v>23</v>
      </c>
      <c r="AA3998" s="4">
        <v>25</v>
      </c>
      <c r="AB3998" s="4">
        <v>2</v>
      </c>
      <c r="AC3998" s="4">
        <v>2</v>
      </c>
      <c r="AD3998" s="4">
        <v>71</v>
      </c>
      <c r="AE3998" s="4">
        <v>73</v>
      </c>
      <c r="AF3998" s="4">
        <v>1</v>
      </c>
      <c r="AG3998" s="4">
        <v>1</v>
      </c>
      <c r="AH3998" s="4">
        <v>60</v>
      </c>
      <c r="AI3998" s="4">
        <v>61</v>
      </c>
      <c r="AJ3998" s="4">
        <v>14</v>
      </c>
      <c r="AK3998" s="4">
        <v>16</v>
      </c>
      <c r="AL3998" s="4">
        <v>36</v>
      </c>
      <c r="AM3998" s="4">
        <v>36</v>
      </c>
      <c r="AN3998" s="4">
        <v>0</v>
      </c>
      <c r="AO3998" s="4">
        <v>0</v>
      </c>
      <c r="AP3998" s="4">
        <v>18</v>
      </c>
      <c r="AQ3998" s="4">
        <v>20</v>
      </c>
      <c r="AR3998" s="3" t="s">
        <v>62</v>
      </c>
      <c r="AS3998" s="3" t="s">
        <v>62</v>
      </c>
      <c r="AT3998" s="3" t="s">
        <v>62</v>
      </c>
      <c r="AV3998" s="6" t="str">
        <f>HYPERLINK("http://mcgill.on.worldcat.org/oclc/43869482","Catalog Record")</f>
        <v>Catalog Record</v>
      </c>
      <c r="AW3998" s="6" t="str">
        <f>HYPERLINK("http://www.worldcat.org/oclc/43869482","WorldCat Record")</f>
        <v>WorldCat Record</v>
      </c>
      <c r="AX3998" s="3" t="s">
        <v>38411</v>
      </c>
      <c r="AY3998" s="3" t="s">
        <v>38412</v>
      </c>
      <c r="AZ3998" s="3" t="s">
        <v>38413</v>
      </c>
      <c r="BA3998" s="3" t="s">
        <v>38413</v>
      </c>
      <c r="BB3998" s="3" t="s">
        <v>38417</v>
      </c>
      <c r="BC3998" s="3" t="s">
        <v>142</v>
      </c>
      <c r="BD3998" s="3" t="s">
        <v>68</v>
      </c>
      <c r="BE3998" s="3" t="s">
        <v>38415</v>
      </c>
      <c r="BF3998" s="3" t="s">
        <v>38417</v>
      </c>
      <c r="BG3998" s="3" t="s">
        <v>38418</v>
      </c>
    </row>
    <row r="3999" spans="1:59" ht="57" x14ac:dyDescent="0.45">
      <c r="A3999" s="2" t="s">
        <v>59</v>
      </c>
      <c r="B3999" s="2" t="s">
        <v>60</v>
      </c>
      <c r="C3999" s="2" t="s">
        <v>38419</v>
      </c>
      <c r="D3999" s="2" t="s">
        <v>38420</v>
      </c>
      <c r="E3999" s="2" t="s">
        <v>38421</v>
      </c>
      <c r="G3999" s="3" t="s">
        <v>62</v>
      </c>
      <c r="I3999" s="3" t="s">
        <v>62</v>
      </c>
      <c r="J3999" s="3" t="s">
        <v>62</v>
      </c>
      <c r="K3999" s="3" t="s">
        <v>63</v>
      </c>
      <c r="M3999" s="2" t="s">
        <v>2560</v>
      </c>
      <c r="N3999" s="3" t="s">
        <v>149</v>
      </c>
      <c r="P3999" s="3" t="s">
        <v>65</v>
      </c>
      <c r="Q3999" s="2" t="s">
        <v>2655</v>
      </c>
      <c r="R3999" s="3" t="s">
        <v>66</v>
      </c>
      <c r="S3999" s="4">
        <v>16</v>
      </c>
      <c r="T3999" s="4">
        <v>16</v>
      </c>
      <c r="U3999" s="5" t="s">
        <v>38422</v>
      </c>
      <c r="V3999" s="5" t="s">
        <v>38422</v>
      </c>
      <c r="W3999" s="5" t="s">
        <v>67</v>
      </c>
      <c r="X3999" s="5" t="s">
        <v>67</v>
      </c>
      <c r="Y3999" s="4">
        <v>177</v>
      </c>
      <c r="Z3999" s="4">
        <v>18</v>
      </c>
      <c r="AA3999" s="4">
        <v>19</v>
      </c>
      <c r="AB3999" s="4">
        <v>2</v>
      </c>
      <c r="AC3999" s="4">
        <v>3</v>
      </c>
      <c r="AD3999" s="4">
        <v>68</v>
      </c>
      <c r="AE3999" s="4">
        <v>69</v>
      </c>
      <c r="AF3999" s="4">
        <v>1</v>
      </c>
      <c r="AG3999" s="4">
        <v>2</v>
      </c>
      <c r="AH3999" s="4">
        <v>60</v>
      </c>
      <c r="AI3999" s="4">
        <v>61</v>
      </c>
      <c r="AJ3999" s="4">
        <v>14</v>
      </c>
      <c r="AK3999" s="4">
        <v>15</v>
      </c>
      <c r="AL3999" s="4">
        <v>38</v>
      </c>
      <c r="AM3999" s="4">
        <v>38</v>
      </c>
      <c r="AN3999" s="4">
        <v>0</v>
      </c>
      <c r="AO3999" s="4">
        <v>0</v>
      </c>
      <c r="AP3999" s="4">
        <v>14</v>
      </c>
      <c r="AQ3999" s="4">
        <v>15</v>
      </c>
      <c r="AR3999" s="3" t="s">
        <v>62</v>
      </c>
      <c r="AS3999" s="3" t="s">
        <v>62</v>
      </c>
      <c r="AT3999" s="3" t="s">
        <v>62</v>
      </c>
      <c r="AV3999" s="6" t="str">
        <f>HYPERLINK("http://mcgill.on.worldcat.org/oclc/658653800","Catalog Record")</f>
        <v>Catalog Record</v>
      </c>
      <c r="AW3999" s="6" t="str">
        <f>HYPERLINK("http://www.worldcat.org/oclc/658653800","WorldCat Record")</f>
        <v>WorldCat Record</v>
      </c>
      <c r="AX3999" s="3" t="s">
        <v>38423</v>
      </c>
      <c r="AY3999" s="3" t="s">
        <v>38424</v>
      </c>
      <c r="AZ3999" s="3" t="s">
        <v>38425</v>
      </c>
      <c r="BA3999" s="3" t="s">
        <v>38425</v>
      </c>
      <c r="BB3999" s="3" t="s">
        <v>38426</v>
      </c>
      <c r="BC3999" s="3" t="s">
        <v>142</v>
      </c>
      <c r="BD3999" s="3" t="s">
        <v>68</v>
      </c>
      <c r="BE3999" s="3" t="s">
        <v>38427</v>
      </c>
      <c r="BF3999" s="3" t="s">
        <v>38426</v>
      </c>
      <c r="BG3999" s="3" t="s">
        <v>38428</v>
      </c>
    </row>
    <row r="4000" spans="1:59" ht="57" x14ac:dyDescent="0.45">
      <c r="A4000" s="2" t="s">
        <v>59</v>
      </c>
      <c r="B4000" s="2" t="s">
        <v>60</v>
      </c>
      <c r="C4000" s="2" t="s">
        <v>38429</v>
      </c>
      <c r="D4000" s="2" t="s">
        <v>38430</v>
      </c>
      <c r="E4000" s="2" t="s">
        <v>38431</v>
      </c>
      <c r="G4000" s="3" t="s">
        <v>62</v>
      </c>
      <c r="I4000" s="3" t="s">
        <v>62</v>
      </c>
      <c r="J4000" s="3" t="s">
        <v>62</v>
      </c>
      <c r="K4000" s="3" t="s">
        <v>63</v>
      </c>
      <c r="L4000" s="2" t="s">
        <v>38432</v>
      </c>
      <c r="M4000" s="2" t="s">
        <v>27827</v>
      </c>
      <c r="N4000" s="3" t="s">
        <v>1155</v>
      </c>
      <c r="P4000" s="3" t="s">
        <v>65</v>
      </c>
      <c r="R4000" s="3" t="s">
        <v>66</v>
      </c>
      <c r="S4000" s="4">
        <v>0</v>
      </c>
      <c r="T4000" s="4">
        <v>0</v>
      </c>
      <c r="W4000" s="5" t="s">
        <v>67</v>
      </c>
      <c r="X4000" s="5" t="s">
        <v>67</v>
      </c>
      <c r="Y4000" s="4">
        <v>113</v>
      </c>
      <c r="Z4000" s="4">
        <v>15</v>
      </c>
      <c r="AA4000" s="4">
        <v>50</v>
      </c>
      <c r="AB4000" s="4">
        <v>1</v>
      </c>
      <c r="AC4000" s="4">
        <v>5</v>
      </c>
      <c r="AD4000" s="4">
        <v>48</v>
      </c>
      <c r="AE4000" s="4">
        <v>66</v>
      </c>
      <c r="AF4000" s="4">
        <v>0</v>
      </c>
      <c r="AG4000" s="4">
        <v>1</v>
      </c>
      <c r="AH4000" s="4">
        <v>44</v>
      </c>
      <c r="AI4000" s="4">
        <v>51</v>
      </c>
      <c r="AJ4000" s="4">
        <v>10</v>
      </c>
      <c r="AK4000" s="4">
        <v>16</v>
      </c>
      <c r="AL4000" s="4">
        <v>27</v>
      </c>
      <c r="AM4000" s="4">
        <v>32</v>
      </c>
      <c r="AN4000" s="4">
        <v>0</v>
      </c>
      <c r="AO4000" s="4">
        <v>0</v>
      </c>
      <c r="AP4000" s="4">
        <v>11</v>
      </c>
      <c r="AQ4000" s="4">
        <v>23</v>
      </c>
      <c r="AR4000" s="3" t="s">
        <v>62</v>
      </c>
      <c r="AS4000" s="3" t="s">
        <v>62</v>
      </c>
      <c r="AT4000" s="3" t="s">
        <v>62</v>
      </c>
      <c r="AV4000" s="6" t="str">
        <f>HYPERLINK("http://mcgill.on.worldcat.org/oclc/794708875","Catalog Record")</f>
        <v>Catalog Record</v>
      </c>
      <c r="AW4000" s="6" t="str">
        <f>HYPERLINK("http://www.worldcat.org/oclc/794708875","WorldCat Record")</f>
        <v>WorldCat Record</v>
      </c>
      <c r="AX4000" s="3" t="s">
        <v>38433</v>
      </c>
      <c r="AY4000" s="3" t="s">
        <v>38434</v>
      </c>
      <c r="AZ4000" s="3" t="s">
        <v>38435</v>
      </c>
      <c r="BA4000" s="3" t="s">
        <v>38435</v>
      </c>
      <c r="BB4000" s="3" t="s">
        <v>38436</v>
      </c>
      <c r="BC4000" s="3" t="s">
        <v>142</v>
      </c>
      <c r="BD4000" s="3" t="s">
        <v>68</v>
      </c>
      <c r="BE4000" s="3" t="s">
        <v>38437</v>
      </c>
      <c r="BF4000" s="3" t="s">
        <v>38436</v>
      </c>
      <c r="BG4000" s="3" t="s">
        <v>38438</v>
      </c>
    </row>
    <row r="4001" spans="1:59" ht="57" x14ac:dyDescent="0.45">
      <c r="A4001" s="2" t="s">
        <v>59</v>
      </c>
      <c r="B4001" s="2" t="s">
        <v>412</v>
      </c>
      <c r="C4001" s="2" t="s">
        <v>38439</v>
      </c>
      <c r="D4001" s="2" t="s">
        <v>38440</v>
      </c>
      <c r="E4001" s="2" t="s">
        <v>38441</v>
      </c>
      <c r="G4001" s="3" t="s">
        <v>62</v>
      </c>
      <c r="I4001" s="3" t="s">
        <v>62</v>
      </c>
      <c r="J4001" s="3" t="s">
        <v>62</v>
      </c>
      <c r="K4001" s="3" t="s">
        <v>63</v>
      </c>
      <c r="M4001" s="2" t="s">
        <v>38442</v>
      </c>
      <c r="N4001" s="3" t="s">
        <v>1059</v>
      </c>
      <c r="P4001" s="3" t="s">
        <v>65</v>
      </c>
      <c r="Q4001" s="2" t="s">
        <v>38443</v>
      </c>
      <c r="R4001" s="3" t="s">
        <v>66</v>
      </c>
      <c r="S4001" s="4">
        <v>13</v>
      </c>
      <c r="T4001" s="4">
        <v>13</v>
      </c>
      <c r="U4001" s="5" t="s">
        <v>25093</v>
      </c>
      <c r="V4001" s="5" t="s">
        <v>25093</v>
      </c>
      <c r="W4001" s="5" t="s">
        <v>67</v>
      </c>
      <c r="X4001" s="5" t="s">
        <v>67</v>
      </c>
      <c r="Y4001" s="4">
        <v>180</v>
      </c>
      <c r="Z4001" s="4">
        <v>18</v>
      </c>
      <c r="AA4001" s="4">
        <v>96</v>
      </c>
      <c r="AB4001" s="4">
        <v>2</v>
      </c>
      <c r="AC4001" s="4">
        <v>18</v>
      </c>
      <c r="AD4001" s="4">
        <v>70</v>
      </c>
      <c r="AE4001" s="4">
        <v>122</v>
      </c>
      <c r="AF4001" s="4">
        <v>1</v>
      </c>
      <c r="AG4001" s="4">
        <v>8</v>
      </c>
      <c r="AH4001" s="4">
        <v>60</v>
      </c>
      <c r="AI4001" s="4">
        <v>88</v>
      </c>
      <c r="AJ4001" s="4">
        <v>13</v>
      </c>
      <c r="AK4001" s="4">
        <v>24</v>
      </c>
      <c r="AL4001" s="4">
        <v>35</v>
      </c>
      <c r="AM4001" s="4">
        <v>43</v>
      </c>
      <c r="AN4001" s="4">
        <v>0</v>
      </c>
      <c r="AO4001" s="4">
        <v>0</v>
      </c>
      <c r="AP4001" s="4">
        <v>15</v>
      </c>
      <c r="AQ4001" s="4">
        <v>43</v>
      </c>
      <c r="AR4001" s="3" t="s">
        <v>62</v>
      </c>
      <c r="AS4001" s="3" t="s">
        <v>62</v>
      </c>
      <c r="AT4001" s="3" t="s">
        <v>61</v>
      </c>
      <c r="AU4001" s="6" t="str">
        <f>HYPERLINK("http://catalog.hathitrust.org/Record/007146082","HathiTrust Record")</f>
        <v>HathiTrust Record</v>
      </c>
      <c r="AV4001" s="6" t="str">
        <f>HYPERLINK("http://mcgill.on.worldcat.org/oclc/60491837","Catalog Record")</f>
        <v>Catalog Record</v>
      </c>
      <c r="AW4001" s="6" t="str">
        <f>HYPERLINK("http://www.worldcat.org/oclc/60491837","WorldCat Record")</f>
        <v>WorldCat Record</v>
      </c>
      <c r="AX4001" s="3" t="s">
        <v>38444</v>
      </c>
      <c r="AY4001" s="3" t="s">
        <v>38445</v>
      </c>
      <c r="AZ4001" s="3" t="s">
        <v>38446</v>
      </c>
      <c r="BA4001" s="3" t="s">
        <v>38446</v>
      </c>
      <c r="BB4001" s="3" t="s">
        <v>38447</v>
      </c>
      <c r="BC4001" s="3" t="s">
        <v>142</v>
      </c>
      <c r="BD4001" s="3" t="s">
        <v>68</v>
      </c>
      <c r="BE4001" s="3" t="s">
        <v>38448</v>
      </c>
      <c r="BF4001" s="3" t="s">
        <v>38447</v>
      </c>
      <c r="BG4001" s="3" t="s">
        <v>38449</v>
      </c>
    </row>
    <row r="4002" spans="1:59" ht="57" x14ac:dyDescent="0.45">
      <c r="A4002" s="2" t="s">
        <v>59</v>
      </c>
      <c r="B4002" s="2" t="s">
        <v>60</v>
      </c>
      <c r="C4002" s="2" t="s">
        <v>38450</v>
      </c>
      <c r="D4002" s="2" t="s">
        <v>38451</v>
      </c>
      <c r="E4002" s="2" t="s">
        <v>38452</v>
      </c>
      <c r="G4002" s="3" t="s">
        <v>62</v>
      </c>
      <c r="I4002" s="3" t="s">
        <v>62</v>
      </c>
      <c r="J4002" s="3" t="s">
        <v>62</v>
      </c>
      <c r="K4002" s="3" t="s">
        <v>63</v>
      </c>
      <c r="M4002" s="2" t="s">
        <v>38453</v>
      </c>
      <c r="N4002" s="3" t="s">
        <v>1059</v>
      </c>
      <c r="P4002" s="3" t="s">
        <v>65</v>
      </c>
      <c r="Q4002" s="2" t="s">
        <v>38454</v>
      </c>
      <c r="R4002" s="3" t="s">
        <v>66</v>
      </c>
      <c r="S4002" s="4">
        <v>19</v>
      </c>
      <c r="T4002" s="4">
        <v>19</v>
      </c>
      <c r="U4002" s="5" t="s">
        <v>9157</v>
      </c>
      <c r="V4002" s="5" t="s">
        <v>9157</v>
      </c>
      <c r="W4002" s="5" t="s">
        <v>67</v>
      </c>
      <c r="X4002" s="5" t="s">
        <v>67</v>
      </c>
      <c r="Y4002" s="4">
        <v>190</v>
      </c>
      <c r="Z4002" s="4">
        <v>15</v>
      </c>
      <c r="AA4002" s="4">
        <v>106</v>
      </c>
      <c r="AB4002" s="4">
        <v>2</v>
      </c>
      <c r="AC4002" s="4">
        <v>18</v>
      </c>
      <c r="AD4002" s="4">
        <v>63</v>
      </c>
      <c r="AE4002" s="4">
        <v>126</v>
      </c>
      <c r="AF4002" s="4">
        <v>1</v>
      </c>
      <c r="AG4002" s="4">
        <v>8</v>
      </c>
      <c r="AH4002" s="4">
        <v>56</v>
      </c>
      <c r="AI4002" s="4">
        <v>87</v>
      </c>
      <c r="AJ4002" s="4">
        <v>12</v>
      </c>
      <c r="AK4002" s="4">
        <v>24</v>
      </c>
      <c r="AL4002" s="4">
        <v>36</v>
      </c>
      <c r="AM4002" s="4">
        <v>46</v>
      </c>
      <c r="AN4002" s="4">
        <v>0</v>
      </c>
      <c r="AO4002" s="4">
        <v>0</v>
      </c>
      <c r="AP4002" s="4">
        <v>13</v>
      </c>
      <c r="AQ4002" s="4">
        <v>46</v>
      </c>
      <c r="AR4002" s="3" t="s">
        <v>62</v>
      </c>
      <c r="AS4002" s="3" t="s">
        <v>62</v>
      </c>
      <c r="AT4002" s="3" t="s">
        <v>62</v>
      </c>
      <c r="AV4002" s="6" t="str">
        <f>HYPERLINK("http://mcgill.on.worldcat.org/oclc/64453554","Catalog Record")</f>
        <v>Catalog Record</v>
      </c>
      <c r="AW4002" s="6" t="str">
        <f>HYPERLINK("http://www.worldcat.org/oclc/64453554","WorldCat Record")</f>
        <v>WorldCat Record</v>
      </c>
      <c r="AX4002" s="3" t="s">
        <v>38455</v>
      </c>
      <c r="AY4002" s="3" t="s">
        <v>38456</v>
      </c>
      <c r="AZ4002" s="3" t="s">
        <v>38457</v>
      </c>
      <c r="BA4002" s="3" t="s">
        <v>38457</v>
      </c>
      <c r="BB4002" s="3" t="s">
        <v>38458</v>
      </c>
      <c r="BC4002" s="3" t="s">
        <v>142</v>
      </c>
      <c r="BD4002" s="3" t="s">
        <v>68</v>
      </c>
      <c r="BE4002" s="3" t="s">
        <v>38459</v>
      </c>
      <c r="BF4002" s="3" t="s">
        <v>38458</v>
      </c>
      <c r="BG4002" s="3" t="s">
        <v>38460</v>
      </c>
    </row>
    <row r="4003" spans="1:59" ht="57" x14ac:dyDescent="0.45">
      <c r="A4003" s="2" t="s">
        <v>59</v>
      </c>
      <c r="B4003" s="2" t="s">
        <v>60</v>
      </c>
      <c r="C4003" s="2" t="s">
        <v>38461</v>
      </c>
      <c r="D4003" s="2" t="s">
        <v>38462</v>
      </c>
      <c r="E4003" s="2" t="s">
        <v>38463</v>
      </c>
      <c r="F4003" s="3" t="s">
        <v>38464</v>
      </c>
      <c r="G4003" s="3" t="s">
        <v>62</v>
      </c>
      <c r="I4003" s="3" t="s">
        <v>61</v>
      </c>
      <c r="J4003" s="3" t="s">
        <v>62</v>
      </c>
      <c r="K4003" s="3" t="s">
        <v>63</v>
      </c>
      <c r="L4003" s="2" t="s">
        <v>38465</v>
      </c>
      <c r="M4003" s="2" t="s">
        <v>38466</v>
      </c>
      <c r="N4003" s="3" t="s">
        <v>1465</v>
      </c>
      <c r="P4003" s="3" t="s">
        <v>65</v>
      </c>
      <c r="Q4003" s="2" t="s">
        <v>9188</v>
      </c>
      <c r="R4003" s="3" t="s">
        <v>66</v>
      </c>
      <c r="S4003" s="4">
        <v>4</v>
      </c>
      <c r="T4003" s="4">
        <v>7</v>
      </c>
      <c r="U4003" s="5" t="s">
        <v>13932</v>
      </c>
      <c r="V4003" s="5" t="s">
        <v>13932</v>
      </c>
      <c r="W4003" s="5" t="s">
        <v>2406</v>
      </c>
      <c r="X4003" s="5" t="s">
        <v>2406</v>
      </c>
      <c r="Y4003" s="4">
        <v>80</v>
      </c>
      <c r="Z4003" s="4">
        <v>10</v>
      </c>
      <c r="AA4003" s="4">
        <v>10</v>
      </c>
      <c r="AB4003" s="4">
        <v>2</v>
      </c>
      <c r="AC4003" s="4">
        <v>2</v>
      </c>
      <c r="AD4003" s="4">
        <v>18</v>
      </c>
      <c r="AE4003" s="4">
        <v>18</v>
      </c>
      <c r="AF4003" s="4">
        <v>1</v>
      </c>
      <c r="AG4003" s="4">
        <v>1</v>
      </c>
      <c r="AH4003" s="4">
        <v>17</v>
      </c>
      <c r="AI4003" s="4">
        <v>17</v>
      </c>
      <c r="AJ4003" s="4">
        <v>5</v>
      </c>
      <c r="AK4003" s="4">
        <v>5</v>
      </c>
      <c r="AL4003" s="4">
        <v>11</v>
      </c>
      <c r="AM4003" s="4">
        <v>11</v>
      </c>
      <c r="AN4003" s="4">
        <v>0</v>
      </c>
      <c r="AO4003" s="4">
        <v>0</v>
      </c>
      <c r="AP4003" s="4">
        <v>5</v>
      </c>
      <c r="AQ4003" s="4">
        <v>5</v>
      </c>
      <c r="AR4003" s="3" t="s">
        <v>62</v>
      </c>
      <c r="AS4003" s="3" t="s">
        <v>62</v>
      </c>
      <c r="AT4003" s="3" t="s">
        <v>62</v>
      </c>
      <c r="AV4003" s="6" t="str">
        <f>HYPERLINK("http://mcgill.on.worldcat.org/oclc/456369975","Catalog Record")</f>
        <v>Catalog Record</v>
      </c>
      <c r="AW4003" s="6" t="str">
        <f>HYPERLINK("http://www.worldcat.org/oclc/456369975","WorldCat Record")</f>
        <v>WorldCat Record</v>
      </c>
      <c r="AX4003" s="3" t="s">
        <v>38467</v>
      </c>
      <c r="AY4003" s="3" t="s">
        <v>38468</v>
      </c>
      <c r="AZ4003" s="3" t="s">
        <v>38469</v>
      </c>
      <c r="BA4003" s="3" t="s">
        <v>38469</v>
      </c>
      <c r="BB4003" s="3" t="s">
        <v>38470</v>
      </c>
      <c r="BC4003" s="3" t="s">
        <v>142</v>
      </c>
      <c r="BD4003" s="3" t="s">
        <v>68</v>
      </c>
      <c r="BE4003" s="3" t="s">
        <v>38471</v>
      </c>
      <c r="BF4003" s="3" t="s">
        <v>38470</v>
      </c>
      <c r="BG4003" s="3" t="s">
        <v>38472</v>
      </c>
    </row>
    <row r="4004" spans="1:59" ht="57" x14ac:dyDescent="0.45">
      <c r="A4004" s="2" t="s">
        <v>59</v>
      </c>
      <c r="B4004" s="2" t="s">
        <v>60</v>
      </c>
      <c r="C4004" s="2" t="s">
        <v>38461</v>
      </c>
      <c r="D4004" s="2" t="s">
        <v>38462</v>
      </c>
      <c r="E4004" s="2" t="s">
        <v>38463</v>
      </c>
      <c r="F4004" s="3" t="s">
        <v>38464</v>
      </c>
      <c r="G4004" s="3" t="s">
        <v>62</v>
      </c>
      <c r="I4004" s="3" t="s">
        <v>61</v>
      </c>
      <c r="J4004" s="3" t="s">
        <v>62</v>
      </c>
      <c r="K4004" s="3" t="s">
        <v>63</v>
      </c>
      <c r="L4004" s="2" t="s">
        <v>38465</v>
      </c>
      <c r="M4004" s="2" t="s">
        <v>38466</v>
      </c>
      <c r="N4004" s="3" t="s">
        <v>1465</v>
      </c>
      <c r="P4004" s="3" t="s">
        <v>65</v>
      </c>
      <c r="Q4004" s="2" t="s">
        <v>9188</v>
      </c>
      <c r="R4004" s="3" t="s">
        <v>66</v>
      </c>
      <c r="S4004" s="4">
        <v>3</v>
      </c>
      <c r="T4004" s="4">
        <v>7</v>
      </c>
      <c r="U4004" s="5" t="s">
        <v>38473</v>
      </c>
      <c r="V4004" s="5" t="s">
        <v>13932</v>
      </c>
      <c r="W4004" s="5" t="s">
        <v>2406</v>
      </c>
      <c r="X4004" s="5" t="s">
        <v>2406</v>
      </c>
      <c r="Y4004" s="4">
        <v>80</v>
      </c>
      <c r="Z4004" s="4">
        <v>10</v>
      </c>
      <c r="AA4004" s="4">
        <v>10</v>
      </c>
      <c r="AB4004" s="4">
        <v>2</v>
      </c>
      <c r="AC4004" s="4">
        <v>2</v>
      </c>
      <c r="AD4004" s="4">
        <v>18</v>
      </c>
      <c r="AE4004" s="4">
        <v>18</v>
      </c>
      <c r="AF4004" s="4">
        <v>1</v>
      </c>
      <c r="AG4004" s="4">
        <v>1</v>
      </c>
      <c r="AH4004" s="4">
        <v>17</v>
      </c>
      <c r="AI4004" s="4">
        <v>17</v>
      </c>
      <c r="AJ4004" s="4">
        <v>5</v>
      </c>
      <c r="AK4004" s="4">
        <v>5</v>
      </c>
      <c r="AL4004" s="4">
        <v>11</v>
      </c>
      <c r="AM4004" s="4">
        <v>11</v>
      </c>
      <c r="AN4004" s="4">
        <v>0</v>
      </c>
      <c r="AO4004" s="4">
        <v>0</v>
      </c>
      <c r="AP4004" s="4">
        <v>5</v>
      </c>
      <c r="AQ4004" s="4">
        <v>5</v>
      </c>
      <c r="AR4004" s="3" t="s">
        <v>62</v>
      </c>
      <c r="AS4004" s="3" t="s">
        <v>62</v>
      </c>
      <c r="AT4004" s="3" t="s">
        <v>62</v>
      </c>
      <c r="AV4004" s="6" t="str">
        <f>HYPERLINK("http://mcgill.on.worldcat.org/oclc/456369975","Catalog Record")</f>
        <v>Catalog Record</v>
      </c>
      <c r="AW4004" s="6" t="str">
        <f>HYPERLINK("http://www.worldcat.org/oclc/456369975","WorldCat Record")</f>
        <v>WorldCat Record</v>
      </c>
      <c r="AX4004" s="3" t="s">
        <v>38467</v>
      </c>
      <c r="AY4004" s="3" t="s">
        <v>38468</v>
      </c>
      <c r="AZ4004" s="3" t="s">
        <v>38469</v>
      </c>
      <c r="BA4004" s="3" t="s">
        <v>38469</v>
      </c>
      <c r="BB4004" s="3" t="s">
        <v>38474</v>
      </c>
      <c r="BC4004" s="3" t="s">
        <v>142</v>
      </c>
      <c r="BD4004" s="3" t="s">
        <v>68</v>
      </c>
      <c r="BE4004" s="3" t="s">
        <v>38471</v>
      </c>
      <c r="BF4004" s="3" t="s">
        <v>38474</v>
      </c>
      <c r="BG4004" s="3" t="s">
        <v>38475</v>
      </c>
    </row>
    <row r="4005" spans="1:59" ht="57" x14ac:dyDescent="0.45">
      <c r="A4005" s="2" t="s">
        <v>59</v>
      </c>
      <c r="B4005" s="2" t="s">
        <v>60</v>
      </c>
      <c r="C4005" s="2" t="s">
        <v>38476</v>
      </c>
      <c r="D4005" s="2" t="s">
        <v>38477</v>
      </c>
      <c r="E4005" s="2" t="s">
        <v>38478</v>
      </c>
      <c r="G4005" s="3" t="s">
        <v>62</v>
      </c>
      <c r="I4005" s="3" t="s">
        <v>62</v>
      </c>
      <c r="J4005" s="3" t="s">
        <v>62</v>
      </c>
      <c r="K4005" s="3" t="s">
        <v>63</v>
      </c>
      <c r="L4005" s="2" t="s">
        <v>38465</v>
      </c>
      <c r="M4005" s="2" t="s">
        <v>4509</v>
      </c>
      <c r="N4005" s="3" t="s">
        <v>1465</v>
      </c>
      <c r="P4005" s="3" t="s">
        <v>65</v>
      </c>
      <c r="Q4005" s="2" t="s">
        <v>2655</v>
      </c>
      <c r="R4005" s="3" t="s">
        <v>66</v>
      </c>
      <c r="S4005" s="4">
        <v>5</v>
      </c>
      <c r="T4005" s="4">
        <v>5</v>
      </c>
      <c r="U4005" s="5" t="s">
        <v>303</v>
      </c>
      <c r="V4005" s="5" t="s">
        <v>303</v>
      </c>
      <c r="W4005" s="5" t="s">
        <v>67</v>
      </c>
      <c r="X4005" s="5" t="s">
        <v>67</v>
      </c>
      <c r="Y4005" s="4">
        <v>173</v>
      </c>
      <c r="Z4005" s="4">
        <v>8</v>
      </c>
      <c r="AA4005" s="4">
        <v>10</v>
      </c>
      <c r="AB4005" s="4">
        <v>1</v>
      </c>
      <c r="AC4005" s="4">
        <v>3</v>
      </c>
      <c r="AD4005" s="4">
        <v>58</v>
      </c>
      <c r="AE4005" s="4">
        <v>60</v>
      </c>
      <c r="AF4005" s="4">
        <v>0</v>
      </c>
      <c r="AG4005" s="4">
        <v>2</v>
      </c>
      <c r="AH4005" s="4">
        <v>51</v>
      </c>
      <c r="AI4005" s="4">
        <v>52</v>
      </c>
      <c r="AJ4005" s="4">
        <v>6</v>
      </c>
      <c r="AK4005" s="4">
        <v>8</v>
      </c>
      <c r="AL4005" s="4">
        <v>36</v>
      </c>
      <c r="AM4005" s="4">
        <v>36</v>
      </c>
      <c r="AN4005" s="4">
        <v>0</v>
      </c>
      <c r="AO4005" s="4">
        <v>0</v>
      </c>
      <c r="AP4005" s="4">
        <v>7</v>
      </c>
      <c r="AQ4005" s="4">
        <v>9</v>
      </c>
      <c r="AR4005" s="3" t="s">
        <v>62</v>
      </c>
      <c r="AS4005" s="3" t="s">
        <v>62</v>
      </c>
      <c r="AT4005" s="3" t="s">
        <v>62</v>
      </c>
      <c r="AV4005" s="6" t="str">
        <f>HYPERLINK("http://mcgill.on.worldcat.org/oclc/295561808","Catalog Record")</f>
        <v>Catalog Record</v>
      </c>
      <c r="AW4005" s="6" t="str">
        <f>HYPERLINK("http://www.worldcat.org/oclc/295561808","WorldCat Record")</f>
        <v>WorldCat Record</v>
      </c>
      <c r="AX4005" s="3" t="s">
        <v>38479</v>
      </c>
      <c r="AY4005" s="3" t="s">
        <v>38480</v>
      </c>
      <c r="AZ4005" s="3" t="s">
        <v>38481</v>
      </c>
      <c r="BA4005" s="3" t="s">
        <v>38481</v>
      </c>
      <c r="BB4005" s="3" t="s">
        <v>38482</v>
      </c>
      <c r="BC4005" s="3" t="s">
        <v>142</v>
      </c>
      <c r="BD4005" s="3" t="s">
        <v>68</v>
      </c>
      <c r="BE4005" s="3" t="s">
        <v>38483</v>
      </c>
      <c r="BF4005" s="3" t="s">
        <v>38482</v>
      </c>
      <c r="BG4005" s="3" t="s">
        <v>38484</v>
      </c>
    </row>
    <row r="4006" spans="1:59" ht="57" x14ac:dyDescent="0.45">
      <c r="A4006" s="2" t="s">
        <v>59</v>
      </c>
      <c r="B4006" s="2" t="s">
        <v>60</v>
      </c>
      <c r="C4006" s="2" t="s">
        <v>38485</v>
      </c>
      <c r="D4006" s="2" t="s">
        <v>38486</v>
      </c>
      <c r="E4006" s="2" t="s">
        <v>38487</v>
      </c>
      <c r="G4006" s="3" t="s">
        <v>62</v>
      </c>
      <c r="I4006" s="3" t="s">
        <v>62</v>
      </c>
      <c r="J4006" s="3" t="s">
        <v>62</v>
      </c>
      <c r="K4006" s="3" t="s">
        <v>63</v>
      </c>
      <c r="M4006" s="2" t="s">
        <v>20345</v>
      </c>
      <c r="N4006" s="3" t="s">
        <v>1688</v>
      </c>
      <c r="P4006" s="3" t="s">
        <v>65</v>
      </c>
      <c r="Q4006" s="2" t="s">
        <v>38488</v>
      </c>
      <c r="R4006" s="3" t="s">
        <v>66</v>
      </c>
      <c r="S4006" s="4">
        <v>7</v>
      </c>
      <c r="T4006" s="4">
        <v>7</v>
      </c>
      <c r="U4006" s="5" t="s">
        <v>30198</v>
      </c>
      <c r="V4006" s="5" t="s">
        <v>30198</v>
      </c>
      <c r="W4006" s="5" t="s">
        <v>67</v>
      </c>
      <c r="X4006" s="5" t="s">
        <v>67</v>
      </c>
      <c r="Y4006" s="4">
        <v>67</v>
      </c>
      <c r="Z4006" s="4">
        <v>10</v>
      </c>
      <c r="AA4006" s="4">
        <v>11</v>
      </c>
      <c r="AB4006" s="4">
        <v>2</v>
      </c>
      <c r="AC4006" s="4">
        <v>2</v>
      </c>
      <c r="AD4006" s="4">
        <v>31</v>
      </c>
      <c r="AE4006" s="4">
        <v>32</v>
      </c>
      <c r="AF4006" s="4">
        <v>1</v>
      </c>
      <c r="AG4006" s="4">
        <v>1</v>
      </c>
      <c r="AH4006" s="4">
        <v>27</v>
      </c>
      <c r="AI4006" s="4">
        <v>27</v>
      </c>
      <c r="AJ4006" s="4">
        <v>9</v>
      </c>
      <c r="AK4006" s="4">
        <v>9</v>
      </c>
      <c r="AL4006" s="4">
        <v>18</v>
      </c>
      <c r="AM4006" s="4">
        <v>18</v>
      </c>
      <c r="AN4006" s="4">
        <v>0</v>
      </c>
      <c r="AO4006" s="4">
        <v>0</v>
      </c>
      <c r="AP4006" s="4">
        <v>9</v>
      </c>
      <c r="AQ4006" s="4">
        <v>10</v>
      </c>
      <c r="AR4006" s="3" t="s">
        <v>62</v>
      </c>
      <c r="AS4006" s="3" t="s">
        <v>62</v>
      </c>
      <c r="AT4006" s="3" t="s">
        <v>62</v>
      </c>
      <c r="AV4006" s="6" t="str">
        <f>HYPERLINK("http://mcgill.on.worldcat.org/oclc/857967267","Catalog Record")</f>
        <v>Catalog Record</v>
      </c>
      <c r="AW4006" s="6" t="str">
        <f>HYPERLINK("http://www.worldcat.org/oclc/857967267","WorldCat Record")</f>
        <v>WorldCat Record</v>
      </c>
      <c r="AX4006" s="3" t="s">
        <v>38489</v>
      </c>
      <c r="AY4006" s="3" t="s">
        <v>38490</v>
      </c>
      <c r="AZ4006" s="3" t="s">
        <v>38491</v>
      </c>
      <c r="BA4006" s="3" t="s">
        <v>38491</v>
      </c>
      <c r="BB4006" s="3" t="s">
        <v>38492</v>
      </c>
      <c r="BC4006" s="3" t="s">
        <v>142</v>
      </c>
      <c r="BD4006" s="3" t="s">
        <v>308</v>
      </c>
      <c r="BE4006" s="3" t="s">
        <v>38493</v>
      </c>
      <c r="BF4006" s="3" t="s">
        <v>38492</v>
      </c>
      <c r="BG4006" s="3" t="s">
        <v>38494</v>
      </c>
    </row>
    <row r="4007" spans="1:59" ht="57" x14ac:dyDescent="0.45">
      <c r="A4007" s="2" t="s">
        <v>59</v>
      </c>
      <c r="B4007" s="2" t="s">
        <v>60</v>
      </c>
      <c r="C4007" s="2" t="s">
        <v>38495</v>
      </c>
      <c r="D4007" s="2" t="s">
        <v>38496</v>
      </c>
      <c r="E4007" s="2" t="s">
        <v>38497</v>
      </c>
      <c r="G4007" s="3" t="s">
        <v>62</v>
      </c>
      <c r="I4007" s="3" t="s">
        <v>62</v>
      </c>
      <c r="J4007" s="3" t="s">
        <v>62</v>
      </c>
      <c r="K4007" s="3" t="s">
        <v>63</v>
      </c>
      <c r="M4007" s="2" t="s">
        <v>38498</v>
      </c>
      <c r="N4007" s="3" t="s">
        <v>945</v>
      </c>
      <c r="P4007" s="3" t="s">
        <v>65</v>
      </c>
      <c r="Q4007" s="2" t="s">
        <v>8528</v>
      </c>
      <c r="R4007" s="3" t="s">
        <v>66</v>
      </c>
      <c r="S4007" s="4">
        <v>23</v>
      </c>
      <c r="T4007" s="4">
        <v>23</v>
      </c>
      <c r="U4007" s="5" t="s">
        <v>37390</v>
      </c>
      <c r="V4007" s="5" t="s">
        <v>37390</v>
      </c>
      <c r="W4007" s="5" t="s">
        <v>67</v>
      </c>
      <c r="X4007" s="5" t="s">
        <v>67</v>
      </c>
      <c r="Y4007" s="4">
        <v>325</v>
      </c>
      <c r="Z4007" s="4">
        <v>28</v>
      </c>
      <c r="AA4007" s="4">
        <v>41</v>
      </c>
      <c r="AB4007" s="4">
        <v>2</v>
      </c>
      <c r="AC4007" s="4">
        <v>11</v>
      </c>
      <c r="AD4007" s="4">
        <v>90</v>
      </c>
      <c r="AE4007" s="4">
        <v>113</v>
      </c>
      <c r="AF4007" s="4">
        <v>1</v>
      </c>
      <c r="AG4007" s="4">
        <v>6</v>
      </c>
      <c r="AH4007" s="4">
        <v>76</v>
      </c>
      <c r="AI4007" s="4">
        <v>93</v>
      </c>
      <c r="AJ4007" s="4">
        <v>16</v>
      </c>
      <c r="AK4007" s="4">
        <v>22</v>
      </c>
      <c r="AL4007" s="4">
        <v>45</v>
      </c>
      <c r="AM4007" s="4">
        <v>53</v>
      </c>
      <c r="AN4007" s="4">
        <v>0</v>
      </c>
      <c r="AO4007" s="4">
        <v>0</v>
      </c>
      <c r="AP4007" s="4">
        <v>21</v>
      </c>
      <c r="AQ4007" s="4">
        <v>28</v>
      </c>
      <c r="AR4007" s="3" t="s">
        <v>62</v>
      </c>
      <c r="AS4007" s="3" t="s">
        <v>62</v>
      </c>
      <c r="AT4007" s="3" t="s">
        <v>62</v>
      </c>
      <c r="AV4007" s="6" t="str">
        <f>HYPERLINK("http://mcgill.on.worldcat.org/oclc/76809922","Catalog Record")</f>
        <v>Catalog Record</v>
      </c>
      <c r="AW4007" s="6" t="str">
        <f>HYPERLINK("http://www.worldcat.org/oclc/76809922","WorldCat Record")</f>
        <v>WorldCat Record</v>
      </c>
      <c r="AX4007" s="3" t="s">
        <v>38499</v>
      </c>
      <c r="AY4007" s="3" t="s">
        <v>38500</v>
      </c>
      <c r="AZ4007" s="3" t="s">
        <v>38501</v>
      </c>
      <c r="BA4007" s="3" t="s">
        <v>38501</v>
      </c>
      <c r="BB4007" s="3" t="s">
        <v>38502</v>
      </c>
      <c r="BC4007" s="3" t="s">
        <v>142</v>
      </c>
      <c r="BD4007" s="3" t="s">
        <v>68</v>
      </c>
      <c r="BE4007" s="3" t="s">
        <v>38503</v>
      </c>
      <c r="BF4007" s="3" t="s">
        <v>38502</v>
      </c>
      <c r="BG4007" s="3" t="s">
        <v>38504</v>
      </c>
    </row>
    <row r="4008" spans="1:59" ht="57" x14ac:dyDescent="0.45">
      <c r="A4008" s="2" t="s">
        <v>59</v>
      </c>
      <c r="B4008" s="2" t="s">
        <v>60</v>
      </c>
      <c r="C4008" s="2" t="s">
        <v>38505</v>
      </c>
      <c r="D4008" s="2" t="s">
        <v>38506</v>
      </c>
      <c r="E4008" s="2" t="s">
        <v>38507</v>
      </c>
      <c r="G4008" s="3" t="s">
        <v>62</v>
      </c>
      <c r="I4008" s="3" t="s">
        <v>62</v>
      </c>
      <c r="J4008" s="3" t="s">
        <v>62</v>
      </c>
      <c r="K4008" s="3" t="s">
        <v>63</v>
      </c>
      <c r="L4008" s="2" t="s">
        <v>38508</v>
      </c>
      <c r="M4008" s="2" t="s">
        <v>38509</v>
      </c>
      <c r="N4008" s="3" t="s">
        <v>1604</v>
      </c>
      <c r="P4008" s="3" t="s">
        <v>65</v>
      </c>
      <c r="R4008" s="3" t="s">
        <v>66</v>
      </c>
      <c r="S4008" s="4">
        <v>110</v>
      </c>
      <c r="T4008" s="4">
        <v>110</v>
      </c>
      <c r="U4008" s="5" t="s">
        <v>32815</v>
      </c>
      <c r="V4008" s="5" t="s">
        <v>32815</v>
      </c>
      <c r="W4008" s="5" t="s">
        <v>67</v>
      </c>
      <c r="X4008" s="5" t="s">
        <v>67</v>
      </c>
      <c r="Y4008" s="4">
        <v>413</v>
      </c>
      <c r="Z4008" s="4">
        <v>29</v>
      </c>
      <c r="AA4008" s="4">
        <v>103</v>
      </c>
      <c r="AB4008" s="4">
        <v>2</v>
      </c>
      <c r="AC4008" s="4">
        <v>18</v>
      </c>
      <c r="AD4008" s="4">
        <v>89</v>
      </c>
      <c r="AE4008" s="4">
        <v>134</v>
      </c>
      <c r="AF4008" s="4">
        <v>1</v>
      </c>
      <c r="AG4008" s="4">
        <v>8</v>
      </c>
      <c r="AH4008" s="4">
        <v>78</v>
      </c>
      <c r="AI4008" s="4">
        <v>98</v>
      </c>
      <c r="AJ4008" s="4">
        <v>14</v>
      </c>
      <c r="AK4008" s="4">
        <v>25</v>
      </c>
      <c r="AL4008" s="4">
        <v>43</v>
      </c>
      <c r="AM4008" s="4">
        <v>49</v>
      </c>
      <c r="AN4008" s="4">
        <v>0</v>
      </c>
      <c r="AO4008" s="4">
        <v>0</v>
      </c>
      <c r="AP4008" s="4">
        <v>19</v>
      </c>
      <c r="AQ4008" s="4">
        <v>47</v>
      </c>
      <c r="AR4008" s="3" t="s">
        <v>62</v>
      </c>
      <c r="AS4008" s="3" t="s">
        <v>62</v>
      </c>
      <c r="AT4008" s="3" t="s">
        <v>61</v>
      </c>
      <c r="AU4008" s="6" t="str">
        <f>HYPERLINK("http://catalog.hathitrust.org/Record/002876791","HathiTrust Record")</f>
        <v>HathiTrust Record</v>
      </c>
      <c r="AV4008" s="6" t="str">
        <f>HYPERLINK("http://mcgill.on.worldcat.org/oclc/29667894","Catalog Record")</f>
        <v>Catalog Record</v>
      </c>
      <c r="AW4008" s="6" t="str">
        <f>HYPERLINK("http://www.worldcat.org/oclc/29667894","WorldCat Record")</f>
        <v>WorldCat Record</v>
      </c>
      <c r="AX4008" s="3" t="s">
        <v>38510</v>
      </c>
      <c r="AY4008" s="3" t="s">
        <v>38511</v>
      </c>
      <c r="AZ4008" s="3" t="s">
        <v>38512</v>
      </c>
      <c r="BA4008" s="3" t="s">
        <v>38512</v>
      </c>
      <c r="BB4008" s="3" t="s">
        <v>38513</v>
      </c>
      <c r="BC4008" s="3" t="s">
        <v>142</v>
      </c>
      <c r="BD4008" s="3" t="s">
        <v>68</v>
      </c>
      <c r="BE4008" s="3" t="s">
        <v>38514</v>
      </c>
      <c r="BF4008" s="3" t="s">
        <v>38513</v>
      </c>
      <c r="BG4008" s="3" t="s">
        <v>38515</v>
      </c>
    </row>
    <row r="4009" spans="1:59" ht="57" x14ac:dyDescent="0.45">
      <c r="A4009" s="2" t="s">
        <v>59</v>
      </c>
      <c r="B4009" s="2" t="s">
        <v>60</v>
      </c>
      <c r="C4009" s="2" t="s">
        <v>38516</v>
      </c>
      <c r="D4009" s="2" t="s">
        <v>38517</v>
      </c>
      <c r="E4009" s="2" t="s">
        <v>38518</v>
      </c>
      <c r="G4009" s="3" t="s">
        <v>62</v>
      </c>
      <c r="I4009" s="3" t="s">
        <v>62</v>
      </c>
      <c r="J4009" s="3" t="s">
        <v>62</v>
      </c>
      <c r="K4009" s="3" t="s">
        <v>63</v>
      </c>
      <c r="L4009" s="2" t="s">
        <v>38519</v>
      </c>
      <c r="M4009" s="2" t="s">
        <v>6005</v>
      </c>
      <c r="N4009" s="3" t="s">
        <v>208</v>
      </c>
      <c r="P4009" s="3" t="s">
        <v>65</v>
      </c>
      <c r="Q4009" s="2" t="s">
        <v>38520</v>
      </c>
      <c r="R4009" s="3" t="s">
        <v>66</v>
      </c>
      <c r="S4009" s="4">
        <v>1</v>
      </c>
      <c r="T4009" s="4">
        <v>1</v>
      </c>
      <c r="U4009" s="5" t="s">
        <v>30640</v>
      </c>
      <c r="V4009" s="5" t="s">
        <v>30640</v>
      </c>
      <c r="W4009" s="5" t="s">
        <v>67</v>
      </c>
      <c r="X4009" s="5" t="s">
        <v>67</v>
      </c>
      <c r="Y4009" s="4">
        <v>93</v>
      </c>
      <c r="Z4009" s="4">
        <v>11</v>
      </c>
      <c r="AA4009" s="4">
        <v>76</v>
      </c>
      <c r="AB4009" s="4">
        <v>2</v>
      </c>
      <c r="AC4009" s="4">
        <v>14</v>
      </c>
      <c r="AD4009" s="4">
        <v>31</v>
      </c>
      <c r="AE4009" s="4">
        <v>95</v>
      </c>
      <c r="AF4009" s="4">
        <v>1</v>
      </c>
      <c r="AG4009" s="4">
        <v>8</v>
      </c>
      <c r="AH4009" s="4">
        <v>27</v>
      </c>
      <c r="AI4009" s="4">
        <v>62</v>
      </c>
      <c r="AJ4009" s="4">
        <v>7</v>
      </c>
      <c r="AK4009" s="4">
        <v>20</v>
      </c>
      <c r="AL4009" s="4">
        <v>18</v>
      </c>
      <c r="AM4009" s="4">
        <v>34</v>
      </c>
      <c r="AN4009" s="4">
        <v>0</v>
      </c>
      <c r="AO4009" s="4">
        <v>0</v>
      </c>
      <c r="AP4009" s="4">
        <v>7</v>
      </c>
      <c r="AQ4009" s="4">
        <v>40</v>
      </c>
      <c r="AR4009" s="3" t="s">
        <v>62</v>
      </c>
      <c r="AS4009" s="3" t="s">
        <v>62</v>
      </c>
      <c r="AT4009" s="3" t="s">
        <v>62</v>
      </c>
      <c r="AV4009" s="6" t="str">
        <f>HYPERLINK("http://mcgill.on.worldcat.org/oclc/881869163","Catalog Record")</f>
        <v>Catalog Record</v>
      </c>
      <c r="AW4009" s="6" t="str">
        <f>HYPERLINK("http://www.worldcat.org/oclc/881869163","WorldCat Record")</f>
        <v>WorldCat Record</v>
      </c>
      <c r="AX4009" s="3" t="s">
        <v>38521</v>
      </c>
      <c r="AY4009" s="3" t="s">
        <v>38522</v>
      </c>
      <c r="AZ4009" s="3" t="s">
        <v>38523</v>
      </c>
      <c r="BA4009" s="3" t="s">
        <v>38523</v>
      </c>
      <c r="BB4009" s="3" t="s">
        <v>38524</v>
      </c>
      <c r="BC4009" s="3" t="s">
        <v>142</v>
      </c>
      <c r="BD4009" s="3" t="s">
        <v>68</v>
      </c>
      <c r="BE4009" s="3" t="s">
        <v>38525</v>
      </c>
      <c r="BF4009" s="3" t="s">
        <v>38524</v>
      </c>
      <c r="BG4009" s="3" t="s">
        <v>38526</v>
      </c>
    </row>
    <row r="4010" spans="1:59" ht="57" x14ac:dyDescent="0.45">
      <c r="A4010" s="2" t="s">
        <v>59</v>
      </c>
      <c r="B4010" s="2" t="s">
        <v>60</v>
      </c>
      <c r="C4010" s="2" t="s">
        <v>38527</v>
      </c>
      <c r="D4010" s="2" t="s">
        <v>38528</v>
      </c>
      <c r="E4010" s="2" t="s">
        <v>38529</v>
      </c>
      <c r="G4010" s="3" t="s">
        <v>62</v>
      </c>
      <c r="I4010" s="3" t="s">
        <v>62</v>
      </c>
      <c r="J4010" s="3" t="s">
        <v>62</v>
      </c>
      <c r="K4010" s="3" t="s">
        <v>63</v>
      </c>
      <c r="L4010" s="2" t="s">
        <v>38530</v>
      </c>
      <c r="M4010" s="2" t="s">
        <v>1781</v>
      </c>
      <c r="N4010" s="3" t="s">
        <v>149</v>
      </c>
      <c r="P4010" s="3" t="s">
        <v>65</v>
      </c>
      <c r="R4010" s="3" t="s">
        <v>66</v>
      </c>
      <c r="S4010" s="4">
        <v>2</v>
      </c>
      <c r="T4010" s="4">
        <v>2</v>
      </c>
      <c r="W4010" s="5" t="s">
        <v>67</v>
      </c>
      <c r="X4010" s="5" t="s">
        <v>67</v>
      </c>
      <c r="Y4010" s="4">
        <v>114</v>
      </c>
      <c r="Z4010" s="4">
        <v>14</v>
      </c>
      <c r="AA4010" s="4">
        <v>97</v>
      </c>
      <c r="AB4010" s="4">
        <v>2</v>
      </c>
      <c r="AC4010" s="4">
        <v>18</v>
      </c>
      <c r="AD4010" s="4">
        <v>46</v>
      </c>
      <c r="AE4010" s="4">
        <v>115</v>
      </c>
      <c r="AF4010" s="4">
        <v>1</v>
      </c>
      <c r="AG4010" s="4">
        <v>8</v>
      </c>
      <c r="AH4010" s="4">
        <v>40</v>
      </c>
      <c r="AI4010" s="4">
        <v>79</v>
      </c>
      <c r="AJ4010" s="4">
        <v>12</v>
      </c>
      <c r="AK4010" s="4">
        <v>24</v>
      </c>
      <c r="AL4010" s="4">
        <v>23</v>
      </c>
      <c r="AM4010" s="4">
        <v>39</v>
      </c>
      <c r="AN4010" s="4">
        <v>0</v>
      </c>
      <c r="AO4010" s="4">
        <v>0</v>
      </c>
      <c r="AP4010" s="4">
        <v>12</v>
      </c>
      <c r="AQ4010" s="4">
        <v>45</v>
      </c>
      <c r="AR4010" s="3" t="s">
        <v>62</v>
      </c>
      <c r="AS4010" s="3" t="s">
        <v>62</v>
      </c>
      <c r="AT4010" s="3" t="s">
        <v>62</v>
      </c>
      <c r="AV4010" s="6" t="str">
        <f>HYPERLINK("http://mcgill.on.worldcat.org/oclc/466343684","Catalog Record")</f>
        <v>Catalog Record</v>
      </c>
      <c r="AW4010" s="6" t="str">
        <f>HYPERLINK("http://www.worldcat.org/oclc/466343684","WorldCat Record")</f>
        <v>WorldCat Record</v>
      </c>
      <c r="AX4010" s="3" t="s">
        <v>38531</v>
      </c>
      <c r="AY4010" s="3" t="s">
        <v>38532</v>
      </c>
      <c r="AZ4010" s="3" t="s">
        <v>38533</v>
      </c>
      <c r="BA4010" s="3" t="s">
        <v>38533</v>
      </c>
      <c r="BB4010" s="3" t="s">
        <v>38534</v>
      </c>
      <c r="BC4010" s="3" t="s">
        <v>142</v>
      </c>
      <c r="BD4010" s="3" t="s">
        <v>308</v>
      </c>
      <c r="BE4010" s="3" t="s">
        <v>38535</v>
      </c>
      <c r="BF4010" s="3" t="s">
        <v>38534</v>
      </c>
      <c r="BG4010" s="3" t="s">
        <v>38536</v>
      </c>
    </row>
    <row r="4011" spans="1:59" ht="57" x14ac:dyDescent="0.45">
      <c r="A4011" s="2" t="s">
        <v>59</v>
      </c>
      <c r="B4011" s="2" t="s">
        <v>412</v>
      </c>
      <c r="C4011" s="2" t="s">
        <v>38537</v>
      </c>
      <c r="D4011" s="2" t="s">
        <v>38538</v>
      </c>
      <c r="E4011" s="2" t="s">
        <v>38539</v>
      </c>
      <c r="G4011" s="3" t="s">
        <v>62</v>
      </c>
      <c r="I4011" s="3" t="s">
        <v>62</v>
      </c>
      <c r="J4011" s="3" t="s">
        <v>62</v>
      </c>
      <c r="K4011" s="3" t="s">
        <v>63</v>
      </c>
      <c r="L4011" s="2" t="s">
        <v>38540</v>
      </c>
      <c r="M4011" s="2" t="s">
        <v>9755</v>
      </c>
      <c r="N4011" s="3" t="s">
        <v>1155</v>
      </c>
      <c r="P4011" s="3" t="s">
        <v>65</v>
      </c>
      <c r="R4011" s="3" t="s">
        <v>66</v>
      </c>
      <c r="S4011" s="4">
        <v>0</v>
      </c>
      <c r="T4011" s="4">
        <v>0</v>
      </c>
      <c r="W4011" s="5" t="s">
        <v>67</v>
      </c>
      <c r="X4011" s="5" t="s">
        <v>67</v>
      </c>
      <c r="Y4011" s="4">
        <v>208</v>
      </c>
      <c r="Z4011" s="4">
        <v>25</v>
      </c>
      <c r="AA4011" s="4">
        <v>32</v>
      </c>
      <c r="AB4011" s="4">
        <v>2</v>
      </c>
      <c r="AC4011" s="4">
        <v>9</v>
      </c>
      <c r="AD4011" s="4">
        <v>74</v>
      </c>
      <c r="AE4011" s="4">
        <v>78</v>
      </c>
      <c r="AF4011" s="4">
        <v>1</v>
      </c>
      <c r="AG4011" s="4">
        <v>3</v>
      </c>
      <c r="AH4011" s="4">
        <v>66</v>
      </c>
      <c r="AI4011" s="4">
        <v>69</v>
      </c>
      <c r="AJ4011" s="4">
        <v>15</v>
      </c>
      <c r="AK4011" s="4">
        <v>17</v>
      </c>
      <c r="AL4011" s="4">
        <v>35</v>
      </c>
      <c r="AM4011" s="4">
        <v>35</v>
      </c>
      <c r="AN4011" s="4">
        <v>0</v>
      </c>
      <c r="AO4011" s="4">
        <v>0</v>
      </c>
      <c r="AP4011" s="4">
        <v>17</v>
      </c>
      <c r="AQ4011" s="4">
        <v>19</v>
      </c>
      <c r="AR4011" s="3" t="s">
        <v>62</v>
      </c>
      <c r="AS4011" s="3" t="s">
        <v>62</v>
      </c>
      <c r="AT4011" s="3" t="s">
        <v>62</v>
      </c>
      <c r="AV4011" s="6" t="str">
        <f>HYPERLINK("http://mcgill.on.worldcat.org/oclc/613423709","Catalog Record")</f>
        <v>Catalog Record</v>
      </c>
      <c r="AW4011" s="6" t="str">
        <f>HYPERLINK("http://www.worldcat.org/oclc/613423709","WorldCat Record")</f>
        <v>WorldCat Record</v>
      </c>
      <c r="AX4011" s="3" t="s">
        <v>38541</v>
      </c>
      <c r="AY4011" s="3" t="s">
        <v>38542</v>
      </c>
      <c r="AZ4011" s="3" t="s">
        <v>38543</v>
      </c>
      <c r="BA4011" s="3" t="s">
        <v>38543</v>
      </c>
      <c r="BB4011" s="3" t="s">
        <v>38544</v>
      </c>
      <c r="BC4011" s="3" t="s">
        <v>142</v>
      </c>
      <c r="BD4011" s="3" t="s">
        <v>68</v>
      </c>
      <c r="BE4011" s="3" t="s">
        <v>38545</v>
      </c>
      <c r="BF4011" s="3" t="s">
        <v>38544</v>
      </c>
      <c r="BG4011" s="3" t="s">
        <v>38546</v>
      </c>
    </row>
    <row r="4012" spans="1:59" ht="57" x14ac:dyDescent="0.45">
      <c r="A4012" s="2" t="s">
        <v>59</v>
      </c>
      <c r="B4012" s="2" t="s">
        <v>60</v>
      </c>
      <c r="C4012" s="2" t="s">
        <v>38547</v>
      </c>
      <c r="D4012" s="2" t="s">
        <v>38548</v>
      </c>
      <c r="E4012" s="2" t="s">
        <v>38549</v>
      </c>
      <c r="G4012" s="3" t="s">
        <v>62</v>
      </c>
      <c r="I4012" s="3" t="s">
        <v>62</v>
      </c>
      <c r="J4012" s="3" t="s">
        <v>62</v>
      </c>
      <c r="K4012" s="3" t="s">
        <v>63</v>
      </c>
      <c r="M4012" s="2" t="s">
        <v>2489</v>
      </c>
      <c r="N4012" s="3" t="s">
        <v>918</v>
      </c>
      <c r="P4012" s="3" t="s">
        <v>65</v>
      </c>
      <c r="Q4012" s="2" t="s">
        <v>38550</v>
      </c>
      <c r="R4012" s="3" t="s">
        <v>66</v>
      </c>
      <c r="S4012" s="4">
        <v>7</v>
      </c>
      <c r="T4012" s="4">
        <v>7</v>
      </c>
      <c r="U4012" s="5" t="s">
        <v>4431</v>
      </c>
      <c r="V4012" s="5" t="s">
        <v>4431</v>
      </c>
      <c r="W4012" s="5" t="s">
        <v>67</v>
      </c>
      <c r="X4012" s="5" t="s">
        <v>67</v>
      </c>
      <c r="Y4012" s="4">
        <v>142</v>
      </c>
      <c r="Z4012" s="4">
        <v>11</v>
      </c>
      <c r="AA4012" s="4">
        <v>82</v>
      </c>
      <c r="AB4012" s="4">
        <v>2</v>
      </c>
      <c r="AC4012" s="4">
        <v>14</v>
      </c>
      <c r="AD4012" s="4">
        <v>56</v>
      </c>
      <c r="AE4012" s="4">
        <v>117</v>
      </c>
      <c r="AF4012" s="4">
        <v>1</v>
      </c>
      <c r="AG4012" s="4">
        <v>8</v>
      </c>
      <c r="AH4012" s="4">
        <v>51</v>
      </c>
      <c r="AI4012" s="4">
        <v>82</v>
      </c>
      <c r="AJ4012" s="4">
        <v>8</v>
      </c>
      <c r="AK4012" s="4">
        <v>23</v>
      </c>
      <c r="AL4012" s="4">
        <v>37</v>
      </c>
      <c r="AM4012" s="4">
        <v>47</v>
      </c>
      <c r="AN4012" s="4">
        <v>0</v>
      </c>
      <c r="AO4012" s="4">
        <v>0</v>
      </c>
      <c r="AP4012" s="4">
        <v>9</v>
      </c>
      <c r="AQ4012" s="4">
        <v>43</v>
      </c>
      <c r="AR4012" s="3" t="s">
        <v>62</v>
      </c>
      <c r="AS4012" s="3" t="s">
        <v>62</v>
      </c>
      <c r="AT4012" s="3" t="s">
        <v>62</v>
      </c>
      <c r="AV4012" s="6" t="str">
        <f>HYPERLINK("http://mcgill.on.worldcat.org/oclc/50606424","Catalog Record")</f>
        <v>Catalog Record</v>
      </c>
      <c r="AW4012" s="6" t="str">
        <f>HYPERLINK("http://www.worldcat.org/oclc/50606424","WorldCat Record")</f>
        <v>WorldCat Record</v>
      </c>
      <c r="AX4012" s="3" t="s">
        <v>38551</v>
      </c>
      <c r="AY4012" s="3" t="s">
        <v>38552</v>
      </c>
      <c r="AZ4012" s="3" t="s">
        <v>38553</v>
      </c>
      <c r="BA4012" s="3" t="s">
        <v>38553</v>
      </c>
      <c r="BB4012" s="3" t="s">
        <v>38554</v>
      </c>
      <c r="BC4012" s="3" t="s">
        <v>142</v>
      </c>
      <c r="BD4012" s="3" t="s">
        <v>68</v>
      </c>
      <c r="BE4012" s="3" t="s">
        <v>38555</v>
      </c>
      <c r="BF4012" s="3" t="s">
        <v>38554</v>
      </c>
      <c r="BG4012" s="3" t="s">
        <v>38556</v>
      </c>
    </row>
    <row r="4013" spans="1:59" ht="57" x14ac:dyDescent="0.45">
      <c r="A4013" s="2" t="s">
        <v>59</v>
      </c>
      <c r="B4013" s="2" t="s">
        <v>60</v>
      </c>
      <c r="C4013" s="2" t="s">
        <v>38557</v>
      </c>
      <c r="D4013" s="2" t="s">
        <v>38558</v>
      </c>
      <c r="E4013" s="2" t="s">
        <v>38559</v>
      </c>
      <c r="G4013" s="3" t="s">
        <v>62</v>
      </c>
      <c r="I4013" s="3" t="s">
        <v>62</v>
      </c>
      <c r="J4013" s="3" t="s">
        <v>62</v>
      </c>
      <c r="K4013" s="3" t="s">
        <v>63</v>
      </c>
      <c r="L4013" s="2" t="s">
        <v>38560</v>
      </c>
      <c r="M4013" s="2" t="s">
        <v>38561</v>
      </c>
      <c r="N4013" s="3" t="s">
        <v>1212</v>
      </c>
      <c r="P4013" s="3" t="s">
        <v>326</v>
      </c>
      <c r="Q4013" s="2" t="s">
        <v>38562</v>
      </c>
      <c r="R4013" s="3" t="s">
        <v>66</v>
      </c>
      <c r="S4013" s="4">
        <v>1</v>
      </c>
      <c r="T4013" s="4">
        <v>1</v>
      </c>
      <c r="U4013" s="5" t="s">
        <v>38563</v>
      </c>
      <c r="V4013" s="5" t="s">
        <v>38563</v>
      </c>
      <c r="W4013" s="5" t="s">
        <v>67</v>
      </c>
      <c r="X4013" s="5" t="s">
        <v>67</v>
      </c>
      <c r="Y4013" s="4">
        <v>18</v>
      </c>
      <c r="Z4013" s="4">
        <v>1</v>
      </c>
      <c r="AA4013" s="4">
        <v>1</v>
      </c>
      <c r="AB4013" s="4">
        <v>1</v>
      </c>
      <c r="AC4013" s="4">
        <v>1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3" t="s">
        <v>62</v>
      </c>
      <c r="AS4013" s="3" t="s">
        <v>62</v>
      </c>
      <c r="AT4013" s="3" t="s">
        <v>62</v>
      </c>
      <c r="AV4013" s="6" t="str">
        <f>HYPERLINK("http://mcgill.on.worldcat.org/oclc/44532185","Catalog Record")</f>
        <v>Catalog Record</v>
      </c>
      <c r="AW4013" s="6" t="str">
        <f>HYPERLINK("http://www.worldcat.org/oclc/44532185","WorldCat Record")</f>
        <v>WorldCat Record</v>
      </c>
      <c r="AX4013" s="3" t="s">
        <v>38564</v>
      </c>
      <c r="AY4013" s="3" t="s">
        <v>38565</v>
      </c>
      <c r="AZ4013" s="3" t="s">
        <v>38566</v>
      </c>
      <c r="BA4013" s="3" t="s">
        <v>38566</v>
      </c>
      <c r="BB4013" s="3" t="s">
        <v>38567</v>
      </c>
      <c r="BC4013" s="3" t="s">
        <v>142</v>
      </c>
      <c r="BD4013" s="3" t="s">
        <v>68</v>
      </c>
      <c r="BE4013" s="3" t="s">
        <v>38568</v>
      </c>
      <c r="BF4013" s="3" t="s">
        <v>38567</v>
      </c>
      <c r="BG4013" s="3" t="s">
        <v>38569</v>
      </c>
    </row>
    <row r="4014" spans="1:59" ht="57" x14ac:dyDescent="0.45">
      <c r="A4014" s="2" t="s">
        <v>59</v>
      </c>
      <c r="B4014" s="2" t="s">
        <v>60</v>
      </c>
      <c r="C4014" s="2" t="s">
        <v>38570</v>
      </c>
      <c r="D4014" s="2" t="s">
        <v>38571</v>
      </c>
      <c r="E4014" s="2" t="s">
        <v>38572</v>
      </c>
      <c r="G4014" s="3" t="s">
        <v>62</v>
      </c>
      <c r="I4014" s="3" t="s">
        <v>62</v>
      </c>
      <c r="J4014" s="3" t="s">
        <v>62</v>
      </c>
      <c r="K4014" s="3" t="s">
        <v>63</v>
      </c>
      <c r="M4014" s="2" t="s">
        <v>38573</v>
      </c>
      <c r="N4014" s="3" t="s">
        <v>820</v>
      </c>
      <c r="P4014" s="3" t="s">
        <v>65</v>
      </c>
      <c r="Q4014" s="2" t="s">
        <v>38574</v>
      </c>
      <c r="R4014" s="3" t="s">
        <v>66</v>
      </c>
      <c r="S4014" s="4">
        <v>17</v>
      </c>
      <c r="T4014" s="4">
        <v>17</v>
      </c>
      <c r="U4014" s="5" t="s">
        <v>19521</v>
      </c>
      <c r="V4014" s="5" t="s">
        <v>19521</v>
      </c>
      <c r="W4014" s="5" t="s">
        <v>67</v>
      </c>
      <c r="X4014" s="5" t="s">
        <v>67</v>
      </c>
      <c r="Y4014" s="4">
        <v>180</v>
      </c>
      <c r="Z4014" s="4">
        <v>17</v>
      </c>
      <c r="AA4014" s="4">
        <v>96</v>
      </c>
      <c r="AB4014" s="4">
        <v>2</v>
      </c>
      <c r="AC4014" s="4">
        <v>17</v>
      </c>
      <c r="AD4014" s="4">
        <v>73</v>
      </c>
      <c r="AE4014" s="4">
        <v>118</v>
      </c>
      <c r="AF4014" s="4">
        <v>1</v>
      </c>
      <c r="AG4014" s="4">
        <v>8</v>
      </c>
      <c r="AH4014" s="4">
        <v>68</v>
      </c>
      <c r="AI4014" s="4">
        <v>83</v>
      </c>
      <c r="AJ4014" s="4">
        <v>14</v>
      </c>
      <c r="AK4014" s="4">
        <v>23</v>
      </c>
      <c r="AL4014" s="4">
        <v>39</v>
      </c>
      <c r="AM4014" s="4">
        <v>45</v>
      </c>
      <c r="AN4014" s="4">
        <v>0</v>
      </c>
      <c r="AO4014" s="4">
        <v>0</v>
      </c>
      <c r="AP4014" s="4">
        <v>15</v>
      </c>
      <c r="AQ4014" s="4">
        <v>44</v>
      </c>
      <c r="AR4014" s="3" t="s">
        <v>62</v>
      </c>
      <c r="AS4014" s="3" t="s">
        <v>62</v>
      </c>
      <c r="AT4014" s="3" t="s">
        <v>61</v>
      </c>
      <c r="AU4014" s="6" t="str">
        <f>HYPERLINK("http://catalog.hathitrust.org/Record/008325338","HathiTrust Record")</f>
        <v>HathiTrust Record</v>
      </c>
      <c r="AV4014" s="6" t="str">
        <f>HYPERLINK("http://mcgill.on.worldcat.org/oclc/129956194","Catalog Record")</f>
        <v>Catalog Record</v>
      </c>
      <c r="AW4014" s="6" t="str">
        <f>HYPERLINK("http://www.worldcat.org/oclc/129956194","WorldCat Record")</f>
        <v>WorldCat Record</v>
      </c>
      <c r="AX4014" s="3" t="s">
        <v>38575</v>
      </c>
      <c r="AY4014" s="3" t="s">
        <v>38576</v>
      </c>
      <c r="AZ4014" s="3" t="s">
        <v>38577</v>
      </c>
      <c r="BA4014" s="3" t="s">
        <v>38577</v>
      </c>
      <c r="BB4014" s="3" t="s">
        <v>38578</v>
      </c>
      <c r="BC4014" s="3" t="s">
        <v>142</v>
      </c>
      <c r="BD4014" s="3" t="s">
        <v>68</v>
      </c>
      <c r="BE4014" s="3" t="s">
        <v>38579</v>
      </c>
      <c r="BF4014" s="3" t="s">
        <v>38578</v>
      </c>
      <c r="BG4014" s="3" t="s">
        <v>38580</v>
      </c>
    </row>
    <row r="4015" spans="1:59" ht="57" x14ac:dyDescent="0.45">
      <c r="A4015" s="2" t="s">
        <v>59</v>
      </c>
      <c r="B4015" s="2" t="s">
        <v>60</v>
      </c>
      <c r="C4015" s="2" t="s">
        <v>38581</v>
      </c>
      <c r="D4015" s="2" t="s">
        <v>38582</v>
      </c>
      <c r="E4015" s="2" t="s">
        <v>38583</v>
      </c>
      <c r="G4015" s="3" t="s">
        <v>62</v>
      </c>
      <c r="I4015" s="3" t="s">
        <v>62</v>
      </c>
      <c r="J4015" s="3" t="s">
        <v>62</v>
      </c>
      <c r="K4015" s="3" t="s">
        <v>63</v>
      </c>
      <c r="M4015" s="2" t="s">
        <v>38584</v>
      </c>
      <c r="N4015" s="3" t="s">
        <v>1604</v>
      </c>
      <c r="P4015" s="3" t="s">
        <v>65</v>
      </c>
      <c r="Q4015" s="2" t="s">
        <v>8700</v>
      </c>
      <c r="R4015" s="3" t="s">
        <v>66</v>
      </c>
      <c r="S4015" s="4">
        <v>65</v>
      </c>
      <c r="T4015" s="4">
        <v>65</v>
      </c>
      <c r="U4015" s="5" t="s">
        <v>3232</v>
      </c>
      <c r="V4015" s="5" t="s">
        <v>3232</v>
      </c>
      <c r="W4015" s="5" t="s">
        <v>67</v>
      </c>
      <c r="X4015" s="5" t="s">
        <v>67</v>
      </c>
      <c r="Y4015" s="4">
        <v>306</v>
      </c>
      <c r="Z4015" s="4">
        <v>15</v>
      </c>
      <c r="AA4015" s="4">
        <v>17</v>
      </c>
      <c r="AB4015" s="4">
        <v>2</v>
      </c>
      <c r="AC4015" s="4">
        <v>4</v>
      </c>
      <c r="AD4015" s="4">
        <v>81</v>
      </c>
      <c r="AE4015" s="4">
        <v>84</v>
      </c>
      <c r="AF4015" s="4">
        <v>1</v>
      </c>
      <c r="AG4015" s="4">
        <v>3</v>
      </c>
      <c r="AH4015" s="4">
        <v>74</v>
      </c>
      <c r="AI4015" s="4">
        <v>76</v>
      </c>
      <c r="AJ4015" s="4">
        <v>12</v>
      </c>
      <c r="AK4015" s="4">
        <v>14</v>
      </c>
      <c r="AL4015" s="4">
        <v>42</v>
      </c>
      <c r="AM4015" s="4">
        <v>42</v>
      </c>
      <c r="AN4015" s="4">
        <v>0</v>
      </c>
      <c r="AO4015" s="4">
        <v>0</v>
      </c>
      <c r="AP4015" s="4">
        <v>12</v>
      </c>
      <c r="AQ4015" s="4">
        <v>14</v>
      </c>
      <c r="AR4015" s="3" t="s">
        <v>62</v>
      </c>
      <c r="AS4015" s="3" t="s">
        <v>62</v>
      </c>
      <c r="AT4015" s="3" t="s">
        <v>61</v>
      </c>
      <c r="AU4015" s="6" t="str">
        <f>HYPERLINK("http://catalog.hathitrust.org/Record/002860713","HathiTrust Record")</f>
        <v>HathiTrust Record</v>
      </c>
      <c r="AV4015" s="6" t="str">
        <f>HYPERLINK("http://mcgill.on.worldcat.org/oclc/29670382","Catalog Record")</f>
        <v>Catalog Record</v>
      </c>
      <c r="AW4015" s="6" t="str">
        <f>HYPERLINK("http://www.worldcat.org/oclc/29670382","WorldCat Record")</f>
        <v>WorldCat Record</v>
      </c>
      <c r="AX4015" s="3" t="s">
        <v>38585</v>
      </c>
      <c r="AY4015" s="3" t="s">
        <v>38586</v>
      </c>
      <c r="AZ4015" s="3" t="s">
        <v>38587</v>
      </c>
      <c r="BA4015" s="3" t="s">
        <v>38587</v>
      </c>
      <c r="BB4015" s="3" t="s">
        <v>38588</v>
      </c>
      <c r="BC4015" s="3" t="s">
        <v>142</v>
      </c>
      <c r="BD4015" s="3" t="s">
        <v>68</v>
      </c>
      <c r="BE4015" s="3" t="s">
        <v>38589</v>
      </c>
      <c r="BF4015" s="3" t="s">
        <v>38588</v>
      </c>
      <c r="BG4015" s="3" t="s">
        <v>38590</v>
      </c>
    </row>
    <row r="4016" spans="1:59" ht="57" x14ac:dyDescent="0.45">
      <c r="A4016" s="2" t="s">
        <v>59</v>
      </c>
      <c r="B4016" s="2" t="s">
        <v>60</v>
      </c>
      <c r="C4016" s="2" t="s">
        <v>38591</v>
      </c>
      <c r="D4016" s="2" t="s">
        <v>38592</v>
      </c>
      <c r="E4016" s="2" t="s">
        <v>38593</v>
      </c>
      <c r="G4016" s="3" t="s">
        <v>62</v>
      </c>
      <c r="I4016" s="3" t="s">
        <v>62</v>
      </c>
      <c r="J4016" s="3" t="s">
        <v>62</v>
      </c>
      <c r="K4016" s="3" t="s">
        <v>63</v>
      </c>
      <c r="L4016" s="2" t="s">
        <v>38594</v>
      </c>
      <c r="M4016" s="2" t="s">
        <v>38595</v>
      </c>
      <c r="N4016" s="3" t="s">
        <v>918</v>
      </c>
      <c r="P4016" s="3" t="s">
        <v>65</v>
      </c>
      <c r="Q4016" s="2" t="s">
        <v>29735</v>
      </c>
      <c r="R4016" s="3" t="s">
        <v>66</v>
      </c>
      <c r="S4016" s="4">
        <v>47</v>
      </c>
      <c r="T4016" s="4">
        <v>47</v>
      </c>
      <c r="U4016" s="5" t="s">
        <v>8270</v>
      </c>
      <c r="V4016" s="5" t="s">
        <v>8270</v>
      </c>
      <c r="W4016" s="5" t="s">
        <v>67</v>
      </c>
      <c r="X4016" s="5" t="s">
        <v>67</v>
      </c>
      <c r="Y4016" s="4">
        <v>347</v>
      </c>
      <c r="Z4016" s="4">
        <v>26</v>
      </c>
      <c r="AA4016" s="4">
        <v>101</v>
      </c>
      <c r="AB4016" s="4">
        <v>2</v>
      </c>
      <c r="AC4016" s="4">
        <v>17</v>
      </c>
      <c r="AD4016" s="4">
        <v>88</v>
      </c>
      <c r="AE4016" s="4">
        <v>129</v>
      </c>
      <c r="AF4016" s="4">
        <v>1</v>
      </c>
      <c r="AG4016" s="4">
        <v>8</v>
      </c>
      <c r="AH4016" s="4">
        <v>77</v>
      </c>
      <c r="AI4016" s="4">
        <v>92</v>
      </c>
      <c r="AJ4016" s="4">
        <v>15</v>
      </c>
      <c r="AK4016" s="4">
        <v>23</v>
      </c>
      <c r="AL4016" s="4">
        <v>42</v>
      </c>
      <c r="AM4016" s="4">
        <v>47</v>
      </c>
      <c r="AN4016" s="4">
        <v>0</v>
      </c>
      <c r="AO4016" s="4">
        <v>0</v>
      </c>
      <c r="AP4016" s="4">
        <v>17</v>
      </c>
      <c r="AQ4016" s="4">
        <v>44</v>
      </c>
      <c r="AR4016" s="3" t="s">
        <v>62</v>
      </c>
      <c r="AS4016" s="3" t="s">
        <v>62</v>
      </c>
      <c r="AT4016" s="3" t="s">
        <v>62</v>
      </c>
      <c r="AV4016" s="6" t="str">
        <f>HYPERLINK("http://mcgill.on.worldcat.org/oclc/50280153","Catalog Record")</f>
        <v>Catalog Record</v>
      </c>
      <c r="AW4016" s="6" t="str">
        <f>HYPERLINK("http://www.worldcat.org/oclc/50280153","WorldCat Record")</f>
        <v>WorldCat Record</v>
      </c>
      <c r="AX4016" s="3" t="s">
        <v>38596</v>
      </c>
      <c r="AY4016" s="3" t="s">
        <v>38597</v>
      </c>
      <c r="AZ4016" s="3" t="s">
        <v>38598</v>
      </c>
      <c r="BA4016" s="3" t="s">
        <v>38598</v>
      </c>
      <c r="BB4016" s="3" t="s">
        <v>38599</v>
      </c>
      <c r="BC4016" s="3" t="s">
        <v>142</v>
      </c>
      <c r="BD4016" s="3" t="s">
        <v>308</v>
      </c>
      <c r="BE4016" s="3" t="s">
        <v>38600</v>
      </c>
      <c r="BF4016" s="3" t="s">
        <v>38599</v>
      </c>
      <c r="BG4016" s="3" t="s">
        <v>38601</v>
      </c>
    </row>
    <row r="4017" spans="1:59" ht="57" x14ac:dyDescent="0.45">
      <c r="A4017" s="2" t="s">
        <v>59</v>
      </c>
      <c r="B4017" s="2" t="s">
        <v>60</v>
      </c>
      <c r="C4017" s="2" t="s">
        <v>38602</v>
      </c>
      <c r="D4017" s="2" t="s">
        <v>38603</v>
      </c>
      <c r="E4017" s="2" t="s">
        <v>38604</v>
      </c>
      <c r="G4017" s="3" t="s">
        <v>62</v>
      </c>
      <c r="I4017" s="3" t="s">
        <v>61</v>
      </c>
      <c r="J4017" s="3" t="s">
        <v>62</v>
      </c>
      <c r="K4017" s="3" t="s">
        <v>63</v>
      </c>
      <c r="L4017" s="2" t="s">
        <v>38594</v>
      </c>
      <c r="M4017" s="2" t="s">
        <v>38605</v>
      </c>
      <c r="N4017" s="3" t="s">
        <v>1239</v>
      </c>
      <c r="P4017" s="3" t="s">
        <v>65</v>
      </c>
      <c r="Q4017" s="2" t="s">
        <v>38606</v>
      </c>
      <c r="R4017" s="3" t="s">
        <v>66</v>
      </c>
      <c r="S4017" s="4">
        <v>51</v>
      </c>
      <c r="T4017" s="4">
        <v>147</v>
      </c>
      <c r="U4017" s="5" t="s">
        <v>38607</v>
      </c>
      <c r="V4017" s="5" t="s">
        <v>38607</v>
      </c>
      <c r="W4017" s="5" t="s">
        <v>67</v>
      </c>
      <c r="X4017" s="5" t="s">
        <v>67</v>
      </c>
      <c r="Y4017" s="4">
        <v>393</v>
      </c>
      <c r="Z4017" s="4">
        <v>36</v>
      </c>
      <c r="AA4017" s="4">
        <v>107</v>
      </c>
      <c r="AB4017" s="4">
        <v>3</v>
      </c>
      <c r="AC4017" s="4">
        <v>17</v>
      </c>
      <c r="AD4017" s="4">
        <v>110</v>
      </c>
      <c r="AE4017" s="4">
        <v>144</v>
      </c>
      <c r="AF4017" s="4">
        <v>2</v>
      </c>
      <c r="AG4017" s="4">
        <v>8</v>
      </c>
      <c r="AH4017" s="4">
        <v>90</v>
      </c>
      <c r="AI4017" s="4">
        <v>102</v>
      </c>
      <c r="AJ4017" s="4">
        <v>19</v>
      </c>
      <c r="AK4017" s="4">
        <v>28</v>
      </c>
      <c r="AL4017" s="4">
        <v>49</v>
      </c>
      <c r="AM4017" s="4">
        <v>53</v>
      </c>
      <c r="AN4017" s="4">
        <v>0</v>
      </c>
      <c r="AO4017" s="4">
        <v>0</v>
      </c>
      <c r="AP4017" s="4">
        <v>29</v>
      </c>
      <c r="AQ4017" s="4">
        <v>51</v>
      </c>
      <c r="AR4017" s="3" t="s">
        <v>62</v>
      </c>
      <c r="AS4017" s="3" t="s">
        <v>62</v>
      </c>
      <c r="AT4017" s="3" t="s">
        <v>61</v>
      </c>
      <c r="AU4017" s="6" t="str">
        <f>HYPERLINK("http://catalog.hathitrust.org/Record/002062088","HathiTrust Record")</f>
        <v>HathiTrust Record</v>
      </c>
      <c r="AV4017" s="6" t="str">
        <f>HYPERLINK("http://mcgill.on.worldcat.org/oclc/20692724","Catalog Record")</f>
        <v>Catalog Record</v>
      </c>
      <c r="AW4017" s="6" t="str">
        <f>HYPERLINK("http://www.worldcat.org/oclc/20692724","WorldCat Record")</f>
        <v>WorldCat Record</v>
      </c>
      <c r="AX4017" s="3" t="s">
        <v>38608</v>
      </c>
      <c r="AY4017" s="3" t="s">
        <v>38609</v>
      </c>
      <c r="AZ4017" s="3" t="s">
        <v>38610</v>
      </c>
      <c r="BA4017" s="3" t="s">
        <v>38610</v>
      </c>
      <c r="BB4017" s="3" t="s">
        <v>38611</v>
      </c>
      <c r="BC4017" s="3" t="s">
        <v>142</v>
      </c>
      <c r="BD4017" s="3" t="s">
        <v>68</v>
      </c>
      <c r="BE4017" s="3" t="s">
        <v>38612</v>
      </c>
      <c r="BF4017" s="3" t="s">
        <v>38611</v>
      </c>
      <c r="BG4017" s="3" t="s">
        <v>38613</v>
      </c>
    </row>
    <row r="4018" spans="1:59" ht="57" x14ac:dyDescent="0.45">
      <c r="A4018" s="2" t="s">
        <v>59</v>
      </c>
      <c r="B4018" s="2" t="s">
        <v>60</v>
      </c>
      <c r="C4018" s="2" t="s">
        <v>38602</v>
      </c>
      <c r="D4018" s="2" t="s">
        <v>38603</v>
      </c>
      <c r="E4018" s="2" t="s">
        <v>38604</v>
      </c>
      <c r="G4018" s="3" t="s">
        <v>62</v>
      </c>
      <c r="I4018" s="3" t="s">
        <v>61</v>
      </c>
      <c r="J4018" s="3" t="s">
        <v>62</v>
      </c>
      <c r="K4018" s="3" t="s">
        <v>63</v>
      </c>
      <c r="L4018" s="2" t="s">
        <v>38594</v>
      </c>
      <c r="M4018" s="2" t="s">
        <v>38605</v>
      </c>
      <c r="N4018" s="3" t="s">
        <v>1239</v>
      </c>
      <c r="P4018" s="3" t="s">
        <v>65</v>
      </c>
      <c r="Q4018" s="2" t="s">
        <v>38606</v>
      </c>
      <c r="R4018" s="3" t="s">
        <v>66</v>
      </c>
      <c r="S4018" s="4">
        <v>96</v>
      </c>
      <c r="T4018" s="4">
        <v>147</v>
      </c>
      <c r="U4018" s="5" t="s">
        <v>31984</v>
      </c>
      <c r="V4018" s="5" t="s">
        <v>38607</v>
      </c>
      <c r="W4018" s="5" t="s">
        <v>67</v>
      </c>
      <c r="X4018" s="5" t="s">
        <v>67</v>
      </c>
      <c r="Y4018" s="4">
        <v>393</v>
      </c>
      <c r="Z4018" s="4">
        <v>36</v>
      </c>
      <c r="AA4018" s="4">
        <v>107</v>
      </c>
      <c r="AB4018" s="4">
        <v>3</v>
      </c>
      <c r="AC4018" s="4">
        <v>17</v>
      </c>
      <c r="AD4018" s="4">
        <v>110</v>
      </c>
      <c r="AE4018" s="4">
        <v>144</v>
      </c>
      <c r="AF4018" s="4">
        <v>2</v>
      </c>
      <c r="AG4018" s="4">
        <v>8</v>
      </c>
      <c r="AH4018" s="4">
        <v>90</v>
      </c>
      <c r="AI4018" s="4">
        <v>102</v>
      </c>
      <c r="AJ4018" s="4">
        <v>19</v>
      </c>
      <c r="AK4018" s="4">
        <v>28</v>
      </c>
      <c r="AL4018" s="4">
        <v>49</v>
      </c>
      <c r="AM4018" s="4">
        <v>53</v>
      </c>
      <c r="AN4018" s="4">
        <v>0</v>
      </c>
      <c r="AO4018" s="4">
        <v>0</v>
      </c>
      <c r="AP4018" s="4">
        <v>29</v>
      </c>
      <c r="AQ4018" s="4">
        <v>51</v>
      </c>
      <c r="AR4018" s="3" t="s">
        <v>62</v>
      </c>
      <c r="AS4018" s="3" t="s">
        <v>62</v>
      </c>
      <c r="AT4018" s="3" t="s">
        <v>61</v>
      </c>
      <c r="AU4018" s="6" t="str">
        <f>HYPERLINK("http://catalog.hathitrust.org/Record/002062088","HathiTrust Record")</f>
        <v>HathiTrust Record</v>
      </c>
      <c r="AV4018" s="6" t="str">
        <f>HYPERLINK("http://mcgill.on.worldcat.org/oclc/20692724","Catalog Record")</f>
        <v>Catalog Record</v>
      </c>
      <c r="AW4018" s="6" t="str">
        <f>HYPERLINK("http://www.worldcat.org/oclc/20692724","WorldCat Record")</f>
        <v>WorldCat Record</v>
      </c>
      <c r="AX4018" s="3" t="s">
        <v>38608</v>
      </c>
      <c r="AY4018" s="3" t="s">
        <v>38609</v>
      </c>
      <c r="AZ4018" s="3" t="s">
        <v>38610</v>
      </c>
      <c r="BA4018" s="3" t="s">
        <v>38610</v>
      </c>
      <c r="BB4018" s="3" t="s">
        <v>38614</v>
      </c>
      <c r="BC4018" s="3" t="s">
        <v>142</v>
      </c>
      <c r="BD4018" s="3" t="s">
        <v>68</v>
      </c>
      <c r="BE4018" s="3" t="s">
        <v>38612</v>
      </c>
      <c r="BF4018" s="3" t="s">
        <v>38614</v>
      </c>
      <c r="BG4018" s="3" t="s">
        <v>38615</v>
      </c>
    </row>
    <row r="4019" spans="1:59" ht="57" x14ac:dyDescent="0.45">
      <c r="A4019" s="2" t="s">
        <v>59</v>
      </c>
      <c r="B4019" s="2" t="s">
        <v>60</v>
      </c>
      <c r="C4019" s="2" t="s">
        <v>38616</v>
      </c>
      <c r="D4019" s="2" t="s">
        <v>38617</v>
      </c>
      <c r="E4019" s="2" t="s">
        <v>38618</v>
      </c>
      <c r="G4019" s="3" t="s">
        <v>62</v>
      </c>
      <c r="I4019" s="3" t="s">
        <v>62</v>
      </c>
      <c r="J4019" s="3" t="s">
        <v>62</v>
      </c>
      <c r="K4019" s="3" t="s">
        <v>63</v>
      </c>
      <c r="L4019" s="2" t="s">
        <v>38619</v>
      </c>
      <c r="M4019" s="2" t="s">
        <v>1781</v>
      </c>
      <c r="N4019" s="3" t="s">
        <v>149</v>
      </c>
      <c r="P4019" s="3" t="s">
        <v>65</v>
      </c>
      <c r="R4019" s="3" t="s">
        <v>66</v>
      </c>
      <c r="S4019" s="4">
        <v>2</v>
      </c>
      <c r="T4019" s="4">
        <v>2</v>
      </c>
      <c r="U4019" s="5" t="s">
        <v>38620</v>
      </c>
      <c r="V4019" s="5" t="s">
        <v>38620</v>
      </c>
      <c r="W4019" s="5" t="s">
        <v>67</v>
      </c>
      <c r="X4019" s="5" t="s">
        <v>67</v>
      </c>
      <c r="Y4019" s="4">
        <v>128</v>
      </c>
      <c r="Z4019" s="4">
        <v>15</v>
      </c>
      <c r="AA4019" s="4">
        <v>94</v>
      </c>
      <c r="AB4019" s="4">
        <v>3</v>
      </c>
      <c r="AC4019" s="4">
        <v>18</v>
      </c>
      <c r="AD4019" s="4">
        <v>52</v>
      </c>
      <c r="AE4019" s="4">
        <v>115</v>
      </c>
      <c r="AF4019" s="4">
        <v>1</v>
      </c>
      <c r="AG4019" s="4">
        <v>8</v>
      </c>
      <c r="AH4019" s="4">
        <v>46</v>
      </c>
      <c r="AI4019" s="4">
        <v>78</v>
      </c>
      <c r="AJ4019" s="4">
        <v>12</v>
      </c>
      <c r="AK4019" s="4">
        <v>24</v>
      </c>
      <c r="AL4019" s="4">
        <v>27</v>
      </c>
      <c r="AM4019" s="4">
        <v>40</v>
      </c>
      <c r="AN4019" s="4">
        <v>0</v>
      </c>
      <c r="AO4019" s="4">
        <v>0</v>
      </c>
      <c r="AP4019" s="4">
        <v>12</v>
      </c>
      <c r="AQ4019" s="4">
        <v>45</v>
      </c>
      <c r="AR4019" s="3" t="s">
        <v>62</v>
      </c>
      <c r="AS4019" s="3" t="s">
        <v>62</v>
      </c>
      <c r="AT4019" s="3" t="s">
        <v>62</v>
      </c>
      <c r="AV4019" s="6" t="str">
        <f>HYPERLINK("http://mcgill.on.worldcat.org/oclc/466343682","Catalog Record")</f>
        <v>Catalog Record</v>
      </c>
      <c r="AW4019" s="6" t="str">
        <f>HYPERLINK("http://www.worldcat.org/oclc/466343682","WorldCat Record")</f>
        <v>WorldCat Record</v>
      </c>
      <c r="AX4019" s="3" t="s">
        <v>38621</v>
      </c>
      <c r="AY4019" s="3" t="s">
        <v>38622</v>
      </c>
      <c r="AZ4019" s="3" t="s">
        <v>38623</v>
      </c>
      <c r="BA4019" s="3" t="s">
        <v>38623</v>
      </c>
      <c r="BB4019" s="3" t="s">
        <v>38624</v>
      </c>
      <c r="BC4019" s="3" t="s">
        <v>142</v>
      </c>
      <c r="BD4019" s="3" t="s">
        <v>308</v>
      </c>
      <c r="BE4019" s="3" t="s">
        <v>38625</v>
      </c>
      <c r="BF4019" s="3" t="s">
        <v>38624</v>
      </c>
      <c r="BG4019" s="3" t="s">
        <v>38626</v>
      </c>
    </row>
    <row r="4020" spans="1:59" ht="57" x14ac:dyDescent="0.45">
      <c r="A4020" s="2" t="s">
        <v>59</v>
      </c>
      <c r="B4020" s="2" t="s">
        <v>60</v>
      </c>
      <c r="C4020" s="2" t="s">
        <v>38627</v>
      </c>
      <c r="D4020" s="2" t="s">
        <v>38628</v>
      </c>
      <c r="E4020" s="2" t="s">
        <v>38629</v>
      </c>
      <c r="G4020" s="3" t="s">
        <v>62</v>
      </c>
      <c r="I4020" s="3" t="s">
        <v>62</v>
      </c>
      <c r="J4020" s="3" t="s">
        <v>62</v>
      </c>
      <c r="K4020" s="3" t="s">
        <v>63</v>
      </c>
      <c r="M4020" s="2" t="s">
        <v>6005</v>
      </c>
      <c r="N4020" s="3" t="s">
        <v>208</v>
      </c>
      <c r="P4020" s="3" t="s">
        <v>65</v>
      </c>
      <c r="Q4020" s="2" t="s">
        <v>9613</v>
      </c>
      <c r="R4020" s="3" t="s">
        <v>66</v>
      </c>
      <c r="S4020" s="4">
        <v>4</v>
      </c>
      <c r="T4020" s="4">
        <v>4</v>
      </c>
      <c r="U4020" s="5" t="s">
        <v>38630</v>
      </c>
      <c r="V4020" s="5" t="s">
        <v>38630</v>
      </c>
      <c r="W4020" s="5" t="s">
        <v>67</v>
      </c>
      <c r="X4020" s="5" t="s">
        <v>67</v>
      </c>
      <c r="Y4020" s="4">
        <v>101</v>
      </c>
      <c r="Z4020" s="4">
        <v>13</v>
      </c>
      <c r="AA4020" s="4">
        <v>13</v>
      </c>
      <c r="AB4020" s="4">
        <v>2</v>
      </c>
      <c r="AC4020" s="4">
        <v>2</v>
      </c>
      <c r="AD4020" s="4">
        <v>37</v>
      </c>
      <c r="AE4020" s="4">
        <v>37</v>
      </c>
      <c r="AF4020" s="4">
        <v>1</v>
      </c>
      <c r="AG4020" s="4">
        <v>1</v>
      </c>
      <c r="AH4020" s="4">
        <v>33</v>
      </c>
      <c r="AI4020" s="4">
        <v>33</v>
      </c>
      <c r="AJ4020" s="4">
        <v>10</v>
      </c>
      <c r="AK4020" s="4">
        <v>10</v>
      </c>
      <c r="AL4020" s="4">
        <v>19</v>
      </c>
      <c r="AM4020" s="4">
        <v>19</v>
      </c>
      <c r="AN4020" s="4">
        <v>0</v>
      </c>
      <c r="AO4020" s="4">
        <v>0</v>
      </c>
      <c r="AP4020" s="4">
        <v>10</v>
      </c>
      <c r="AQ4020" s="4">
        <v>10</v>
      </c>
      <c r="AR4020" s="3" t="s">
        <v>62</v>
      </c>
      <c r="AS4020" s="3" t="s">
        <v>62</v>
      </c>
      <c r="AT4020" s="3" t="s">
        <v>62</v>
      </c>
      <c r="AV4020" s="6" t="str">
        <f>HYPERLINK("http://mcgill.on.worldcat.org/oclc/898113462","Catalog Record")</f>
        <v>Catalog Record</v>
      </c>
      <c r="AW4020" s="6" t="str">
        <f>HYPERLINK("http://www.worldcat.org/oclc/898113462","WorldCat Record")</f>
        <v>WorldCat Record</v>
      </c>
      <c r="AX4020" s="3" t="s">
        <v>38631</v>
      </c>
      <c r="AY4020" s="3" t="s">
        <v>38632</v>
      </c>
      <c r="AZ4020" s="3" t="s">
        <v>38633</v>
      </c>
      <c r="BA4020" s="3" t="s">
        <v>38633</v>
      </c>
      <c r="BB4020" s="3" t="s">
        <v>38634</v>
      </c>
      <c r="BC4020" s="3" t="s">
        <v>142</v>
      </c>
      <c r="BD4020" s="3" t="s">
        <v>308</v>
      </c>
      <c r="BE4020" s="3" t="s">
        <v>38635</v>
      </c>
      <c r="BF4020" s="3" t="s">
        <v>38634</v>
      </c>
      <c r="BG4020" s="3" t="s">
        <v>38636</v>
      </c>
    </row>
    <row r="4021" spans="1:59" ht="57" x14ac:dyDescent="0.45">
      <c r="A4021" s="2" t="s">
        <v>59</v>
      </c>
      <c r="B4021" s="2" t="s">
        <v>60</v>
      </c>
      <c r="C4021" s="2" t="s">
        <v>38637</v>
      </c>
      <c r="D4021" s="2" t="s">
        <v>38638</v>
      </c>
      <c r="E4021" s="2" t="s">
        <v>38639</v>
      </c>
      <c r="G4021" s="3" t="s">
        <v>62</v>
      </c>
      <c r="I4021" s="3" t="s">
        <v>62</v>
      </c>
      <c r="J4021" s="3" t="s">
        <v>62</v>
      </c>
      <c r="K4021" s="3" t="s">
        <v>63</v>
      </c>
      <c r="M4021" s="2" t="s">
        <v>38640</v>
      </c>
      <c r="N4021" s="3" t="s">
        <v>1855</v>
      </c>
      <c r="P4021" s="3" t="s">
        <v>65</v>
      </c>
      <c r="Q4021" s="2" t="s">
        <v>38641</v>
      </c>
      <c r="R4021" s="3" t="s">
        <v>66</v>
      </c>
      <c r="S4021" s="4">
        <v>3</v>
      </c>
      <c r="T4021" s="4">
        <v>3</v>
      </c>
      <c r="U4021" s="5" t="s">
        <v>32815</v>
      </c>
      <c r="V4021" s="5" t="s">
        <v>32815</v>
      </c>
      <c r="W4021" s="5" t="s">
        <v>67</v>
      </c>
      <c r="X4021" s="5" t="s">
        <v>67</v>
      </c>
      <c r="Y4021" s="4">
        <v>136</v>
      </c>
      <c r="Z4021" s="4">
        <v>12</v>
      </c>
      <c r="AA4021" s="4">
        <v>104</v>
      </c>
      <c r="AB4021" s="4">
        <v>2</v>
      </c>
      <c r="AC4021" s="4">
        <v>17</v>
      </c>
      <c r="AD4021" s="4">
        <v>47</v>
      </c>
      <c r="AE4021" s="4">
        <v>118</v>
      </c>
      <c r="AF4021" s="4">
        <v>1</v>
      </c>
      <c r="AG4021" s="4">
        <v>8</v>
      </c>
      <c r="AH4021" s="4">
        <v>44</v>
      </c>
      <c r="AI4021" s="4">
        <v>81</v>
      </c>
      <c r="AJ4021" s="4">
        <v>9</v>
      </c>
      <c r="AK4021" s="4">
        <v>22</v>
      </c>
      <c r="AL4021" s="4">
        <v>29</v>
      </c>
      <c r="AM4021" s="4">
        <v>43</v>
      </c>
      <c r="AN4021" s="4">
        <v>0</v>
      </c>
      <c r="AO4021" s="4">
        <v>0</v>
      </c>
      <c r="AP4021" s="4">
        <v>9</v>
      </c>
      <c r="AQ4021" s="4">
        <v>44</v>
      </c>
      <c r="AR4021" s="3" t="s">
        <v>62</v>
      </c>
      <c r="AS4021" s="3" t="s">
        <v>62</v>
      </c>
      <c r="AT4021" s="3" t="s">
        <v>62</v>
      </c>
      <c r="AV4021" s="6" t="str">
        <f>HYPERLINK("http://mcgill.on.worldcat.org/oclc/61731517","Catalog Record")</f>
        <v>Catalog Record</v>
      </c>
      <c r="AW4021" s="6" t="str">
        <f>HYPERLINK("http://www.worldcat.org/oclc/61731517","WorldCat Record")</f>
        <v>WorldCat Record</v>
      </c>
      <c r="AX4021" s="3" t="s">
        <v>38642</v>
      </c>
      <c r="AY4021" s="3" t="s">
        <v>38643</v>
      </c>
      <c r="AZ4021" s="3" t="s">
        <v>38644</v>
      </c>
      <c r="BA4021" s="3" t="s">
        <v>38644</v>
      </c>
      <c r="BB4021" s="3" t="s">
        <v>38645</v>
      </c>
      <c r="BC4021" s="3" t="s">
        <v>142</v>
      </c>
      <c r="BD4021" s="3" t="s">
        <v>68</v>
      </c>
      <c r="BE4021" s="3" t="s">
        <v>38646</v>
      </c>
      <c r="BF4021" s="3" t="s">
        <v>38645</v>
      </c>
      <c r="BG4021" s="3" t="s">
        <v>38647</v>
      </c>
    </row>
    <row r="4022" spans="1:59" ht="57" x14ac:dyDescent="0.45">
      <c r="A4022" s="2" t="s">
        <v>59</v>
      </c>
      <c r="B4022" s="2" t="s">
        <v>60</v>
      </c>
      <c r="C4022" s="2" t="s">
        <v>38648</v>
      </c>
      <c r="D4022" s="2" t="s">
        <v>38649</v>
      </c>
      <c r="E4022" s="2" t="s">
        <v>38650</v>
      </c>
      <c r="G4022" s="3" t="s">
        <v>62</v>
      </c>
      <c r="I4022" s="3" t="s">
        <v>62</v>
      </c>
      <c r="J4022" s="3" t="s">
        <v>62</v>
      </c>
      <c r="K4022" s="3" t="s">
        <v>63</v>
      </c>
      <c r="L4022" s="2" t="s">
        <v>38651</v>
      </c>
      <c r="M4022" s="2" t="s">
        <v>38652</v>
      </c>
      <c r="N4022" s="3" t="s">
        <v>1465</v>
      </c>
      <c r="P4022" s="3" t="s">
        <v>65</v>
      </c>
      <c r="R4022" s="3" t="s">
        <v>66</v>
      </c>
      <c r="S4022" s="4">
        <v>4</v>
      </c>
      <c r="T4022" s="4">
        <v>4</v>
      </c>
      <c r="U4022" s="5" t="s">
        <v>13743</v>
      </c>
      <c r="V4022" s="5" t="s">
        <v>13743</v>
      </c>
      <c r="W4022" s="5" t="s">
        <v>67</v>
      </c>
      <c r="X4022" s="5" t="s">
        <v>67</v>
      </c>
      <c r="Y4022" s="4">
        <v>107</v>
      </c>
      <c r="Z4022" s="4">
        <v>13</v>
      </c>
      <c r="AA4022" s="4">
        <v>99</v>
      </c>
      <c r="AB4022" s="4">
        <v>2</v>
      </c>
      <c r="AC4022" s="4">
        <v>18</v>
      </c>
      <c r="AD4022" s="4">
        <v>41</v>
      </c>
      <c r="AE4022" s="4">
        <v>114</v>
      </c>
      <c r="AF4022" s="4">
        <v>0</v>
      </c>
      <c r="AG4022" s="4">
        <v>8</v>
      </c>
      <c r="AH4022" s="4">
        <v>37</v>
      </c>
      <c r="AI4022" s="4">
        <v>77</v>
      </c>
      <c r="AJ4022" s="4">
        <v>9</v>
      </c>
      <c r="AK4022" s="4">
        <v>24</v>
      </c>
      <c r="AL4022" s="4">
        <v>24</v>
      </c>
      <c r="AM4022" s="4">
        <v>39</v>
      </c>
      <c r="AN4022" s="4">
        <v>0</v>
      </c>
      <c r="AO4022" s="4">
        <v>0</v>
      </c>
      <c r="AP4022" s="4">
        <v>9</v>
      </c>
      <c r="AQ4022" s="4">
        <v>46</v>
      </c>
      <c r="AR4022" s="3" t="s">
        <v>62</v>
      </c>
      <c r="AS4022" s="3" t="s">
        <v>62</v>
      </c>
      <c r="AT4022" s="3" t="s">
        <v>62</v>
      </c>
      <c r="AV4022" s="6" t="str">
        <f>HYPERLINK("http://mcgill.on.worldcat.org/oclc/277203898","Catalog Record")</f>
        <v>Catalog Record</v>
      </c>
      <c r="AW4022" s="6" t="str">
        <f>HYPERLINK("http://www.worldcat.org/oclc/277203898","WorldCat Record")</f>
        <v>WorldCat Record</v>
      </c>
      <c r="AX4022" s="3" t="s">
        <v>38653</v>
      </c>
      <c r="AY4022" s="3" t="s">
        <v>38654</v>
      </c>
      <c r="AZ4022" s="3" t="s">
        <v>38655</v>
      </c>
      <c r="BA4022" s="3" t="s">
        <v>38655</v>
      </c>
      <c r="BB4022" s="3" t="s">
        <v>38656</v>
      </c>
      <c r="BC4022" s="3" t="s">
        <v>142</v>
      </c>
      <c r="BD4022" s="3" t="s">
        <v>68</v>
      </c>
      <c r="BE4022" s="3" t="s">
        <v>38657</v>
      </c>
      <c r="BF4022" s="3" t="s">
        <v>38656</v>
      </c>
      <c r="BG4022" s="3" t="s">
        <v>38658</v>
      </c>
    </row>
    <row r="4023" spans="1:59" ht="57" x14ac:dyDescent="0.45">
      <c r="A4023" s="2" t="s">
        <v>59</v>
      </c>
      <c r="B4023" s="2" t="s">
        <v>60</v>
      </c>
      <c r="C4023" s="2" t="s">
        <v>38659</v>
      </c>
      <c r="D4023" s="2" t="s">
        <v>38660</v>
      </c>
      <c r="E4023" s="2" t="s">
        <v>38661</v>
      </c>
      <c r="G4023" s="3" t="s">
        <v>62</v>
      </c>
      <c r="I4023" s="3" t="s">
        <v>61</v>
      </c>
      <c r="J4023" s="3" t="s">
        <v>62</v>
      </c>
      <c r="K4023" s="3" t="s">
        <v>63</v>
      </c>
      <c r="M4023" s="2" t="s">
        <v>38662</v>
      </c>
      <c r="N4023" s="3" t="s">
        <v>1059</v>
      </c>
      <c r="P4023" s="3" t="s">
        <v>65</v>
      </c>
      <c r="Q4023" s="2" t="s">
        <v>38663</v>
      </c>
      <c r="R4023" s="3" t="s">
        <v>66</v>
      </c>
      <c r="S4023" s="4">
        <v>4</v>
      </c>
      <c r="T4023" s="4">
        <v>13</v>
      </c>
      <c r="U4023" s="5" t="s">
        <v>38664</v>
      </c>
      <c r="V4023" s="5" t="s">
        <v>32815</v>
      </c>
      <c r="W4023" s="5" t="s">
        <v>67</v>
      </c>
      <c r="X4023" s="5" t="s">
        <v>67</v>
      </c>
      <c r="Y4023" s="4">
        <v>155</v>
      </c>
      <c r="Z4023" s="4">
        <v>13</v>
      </c>
      <c r="AA4023" s="4">
        <v>96</v>
      </c>
      <c r="AB4023" s="4">
        <v>2</v>
      </c>
      <c r="AC4023" s="4">
        <v>17</v>
      </c>
      <c r="AD4023" s="4">
        <v>56</v>
      </c>
      <c r="AE4023" s="4">
        <v>122</v>
      </c>
      <c r="AF4023" s="4">
        <v>1</v>
      </c>
      <c r="AG4023" s="4">
        <v>8</v>
      </c>
      <c r="AH4023" s="4">
        <v>49</v>
      </c>
      <c r="AI4023" s="4">
        <v>87</v>
      </c>
      <c r="AJ4023" s="4">
        <v>10</v>
      </c>
      <c r="AK4023" s="4">
        <v>22</v>
      </c>
      <c r="AL4023" s="4">
        <v>30</v>
      </c>
      <c r="AM4023" s="4">
        <v>45</v>
      </c>
      <c r="AN4023" s="4">
        <v>0</v>
      </c>
      <c r="AO4023" s="4">
        <v>0</v>
      </c>
      <c r="AP4023" s="4">
        <v>11</v>
      </c>
      <c r="AQ4023" s="4">
        <v>42</v>
      </c>
      <c r="AR4023" s="3" t="s">
        <v>62</v>
      </c>
      <c r="AS4023" s="3" t="s">
        <v>62</v>
      </c>
      <c r="AT4023" s="3" t="s">
        <v>61</v>
      </c>
      <c r="AU4023" s="6" t="str">
        <f>HYPERLINK("http://catalog.hathitrust.org/Record/007146551","HathiTrust Record")</f>
        <v>HathiTrust Record</v>
      </c>
      <c r="AV4023" s="6" t="str">
        <f>HYPERLINK("http://mcgill.on.worldcat.org/oclc/60491840","Catalog Record")</f>
        <v>Catalog Record</v>
      </c>
      <c r="AW4023" s="6" t="str">
        <f>HYPERLINK("http://www.worldcat.org/oclc/60491840","WorldCat Record")</f>
        <v>WorldCat Record</v>
      </c>
      <c r="AX4023" s="3" t="s">
        <v>38665</v>
      </c>
      <c r="AY4023" s="3" t="s">
        <v>38666</v>
      </c>
      <c r="AZ4023" s="3" t="s">
        <v>38667</v>
      </c>
      <c r="BA4023" s="3" t="s">
        <v>38667</v>
      </c>
      <c r="BB4023" s="3" t="s">
        <v>38668</v>
      </c>
      <c r="BC4023" s="3" t="s">
        <v>142</v>
      </c>
      <c r="BD4023" s="3" t="s">
        <v>68</v>
      </c>
      <c r="BE4023" s="3" t="s">
        <v>38669</v>
      </c>
      <c r="BF4023" s="3" t="s">
        <v>38668</v>
      </c>
      <c r="BG4023" s="3" t="s">
        <v>38670</v>
      </c>
    </row>
    <row r="4024" spans="1:59" ht="57" x14ac:dyDescent="0.45">
      <c r="A4024" s="2" t="s">
        <v>59</v>
      </c>
      <c r="B4024" s="2" t="s">
        <v>60</v>
      </c>
      <c r="C4024" s="2" t="s">
        <v>38659</v>
      </c>
      <c r="D4024" s="2" t="s">
        <v>38660</v>
      </c>
      <c r="E4024" s="2" t="s">
        <v>38661</v>
      </c>
      <c r="G4024" s="3" t="s">
        <v>62</v>
      </c>
      <c r="I4024" s="3" t="s">
        <v>61</v>
      </c>
      <c r="J4024" s="3" t="s">
        <v>62</v>
      </c>
      <c r="K4024" s="3" t="s">
        <v>63</v>
      </c>
      <c r="M4024" s="2" t="s">
        <v>38662</v>
      </c>
      <c r="N4024" s="3" t="s">
        <v>1059</v>
      </c>
      <c r="P4024" s="3" t="s">
        <v>65</v>
      </c>
      <c r="Q4024" s="2" t="s">
        <v>38663</v>
      </c>
      <c r="R4024" s="3" t="s">
        <v>66</v>
      </c>
      <c r="S4024" s="4">
        <v>9</v>
      </c>
      <c r="T4024" s="4">
        <v>13</v>
      </c>
      <c r="U4024" s="5" t="s">
        <v>32815</v>
      </c>
      <c r="V4024" s="5" t="s">
        <v>32815</v>
      </c>
      <c r="W4024" s="5" t="s">
        <v>67</v>
      </c>
      <c r="X4024" s="5" t="s">
        <v>67</v>
      </c>
      <c r="Y4024" s="4">
        <v>155</v>
      </c>
      <c r="Z4024" s="4">
        <v>13</v>
      </c>
      <c r="AA4024" s="4">
        <v>96</v>
      </c>
      <c r="AB4024" s="4">
        <v>2</v>
      </c>
      <c r="AC4024" s="4">
        <v>17</v>
      </c>
      <c r="AD4024" s="4">
        <v>56</v>
      </c>
      <c r="AE4024" s="4">
        <v>122</v>
      </c>
      <c r="AF4024" s="4">
        <v>1</v>
      </c>
      <c r="AG4024" s="4">
        <v>8</v>
      </c>
      <c r="AH4024" s="4">
        <v>49</v>
      </c>
      <c r="AI4024" s="4">
        <v>87</v>
      </c>
      <c r="AJ4024" s="4">
        <v>10</v>
      </c>
      <c r="AK4024" s="4">
        <v>22</v>
      </c>
      <c r="AL4024" s="4">
        <v>30</v>
      </c>
      <c r="AM4024" s="4">
        <v>45</v>
      </c>
      <c r="AN4024" s="4">
        <v>0</v>
      </c>
      <c r="AO4024" s="4">
        <v>0</v>
      </c>
      <c r="AP4024" s="4">
        <v>11</v>
      </c>
      <c r="AQ4024" s="4">
        <v>42</v>
      </c>
      <c r="AR4024" s="3" t="s">
        <v>62</v>
      </c>
      <c r="AS4024" s="3" t="s">
        <v>62</v>
      </c>
      <c r="AT4024" s="3" t="s">
        <v>61</v>
      </c>
      <c r="AU4024" s="6" t="str">
        <f>HYPERLINK("http://catalog.hathitrust.org/Record/007146551","HathiTrust Record")</f>
        <v>HathiTrust Record</v>
      </c>
      <c r="AV4024" s="6" t="str">
        <f>HYPERLINK("http://mcgill.on.worldcat.org/oclc/60491840","Catalog Record")</f>
        <v>Catalog Record</v>
      </c>
      <c r="AW4024" s="6" t="str">
        <f>HYPERLINK("http://www.worldcat.org/oclc/60491840","WorldCat Record")</f>
        <v>WorldCat Record</v>
      </c>
      <c r="AX4024" s="3" t="s">
        <v>38665</v>
      </c>
      <c r="AY4024" s="3" t="s">
        <v>38666</v>
      </c>
      <c r="AZ4024" s="3" t="s">
        <v>38667</v>
      </c>
      <c r="BA4024" s="3" t="s">
        <v>38667</v>
      </c>
      <c r="BB4024" s="3" t="s">
        <v>38671</v>
      </c>
      <c r="BC4024" s="3" t="s">
        <v>142</v>
      </c>
      <c r="BD4024" s="3" t="s">
        <v>68</v>
      </c>
      <c r="BE4024" s="3" t="s">
        <v>38669</v>
      </c>
      <c r="BF4024" s="3" t="s">
        <v>38671</v>
      </c>
      <c r="BG4024" s="3" t="s">
        <v>38672</v>
      </c>
    </row>
    <row r="4025" spans="1:59" ht="57" x14ac:dyDescent="0.45">
      <c r="A4025" s="2" t="s">
        <v>59</v>
      </c>
      <c r="B4025" s="2" t="s">
        <v>60</v>
      </c>
      <c r="C4025" s="2" t="s">
        <v>38673</v>
      </c>
      <c r="D4025" s="2" t="s">
        <v>38674</v>
      </c>
      <c r="E4025" s="2" t="s">
        <v>38675</v>
      </c>
      <c r="G4025" s="3" t="s">
        <v>62</v>
      </c>
      <c r="I4025" s="3" t="s">
        <v>62</v>
      </c>
      <c r="J4025" s="3" t="s">
        <v>62</v>
      </c>
      <c r="K4025" s="3" t="s">
        <v>63</v>
      </c>
      <c r="M4025" s="2" t="s">
        <v>38676</v>
      </c>
      <c r="N4025" s="3" t="s">
        <v>181</v>
      </c>
      <c r="P4025" s="3" t="s">
        <v>65</v>
      </c>
      <c r="Q4025" s="2" t="s">
        <v>38677</v>
      </c>
      <c r="R4025" s="3" t="s">
        <v>66</v>
      </c>
      <c r="S4025" s="4">
        <v>2</v>
      </c>
      <c r="T4025" s="4">
        <v>2</v>
      </c>
      <c r="U4025" s="5" t="s">
        <v>32815</v>
      </c>
      <c r="V4025" s="5" t="s">
        <v>32815</v>
      </c>
      <c r="W4025" s="5" t="s">
        <v>67</v>
      </c>
      <c r="X4025" s="5" t="s">
        <v>67</v>
      </c>
      <c r="Y4025" s="4">
        <v>77</v>
      </c>
      <c r="Z4025" s="4">
        <v>6</v>
      </c>
      <c r="AA4025" s="4">
        <v>14</v>
      </c>
      <c r="AB4025" s="4">
        <v>1</v>
      </c>
      <c r="AC4025" s="4">
        <v>5</v>
      </c>
      <c r="AD4025" s="4">
        <v>30</v>
      </c>
      <c r="AE4025" s="4">
        <v>41</v>
      </c>
      <c r="AF4025" s="4">
        <v>0</v>
      </c>
      <c r="AG4025" s="4">
        <v>1</v>
      </c>
      <c r="AH4025" s="4">
        <v>28</v>
      </c>
      <c r="AI4025" s="4">
        <v>36</v>
      </c>
      <c r="AJ4025" s="4">
        <v>4</v>
      </c>
      <c r="AK4025" s="4">
        <v>6</v>
      </c>
      <c r="AL4025" s="4">
        <v>22</v>
      </c>
      <c r="AM4025" s="4">
        <v>27</v>
      </c>
      <c r="AN4025" s="4">
        <v>0</v>
      </c>
      <c r="AO4025" s="4">
        <v>0</v>
      </c>
      <c r="AP4025" s="4">
        <v>4</v>
      </c>
      <c r="AQ4025" s="4">
        <v>6</v>
      </c>
      <c r="AR4025" s="3" t="s">
        <v>62</v>
      </c>
      <c r="AS4025" s="3" t="s">
        <v>62</v>
      </c>
      <c r="AT4025" s="3" t="s">
        <v>62</v>
      </c>
      <c r="AV4025" s="6" t="str">
        <f>HYPERLINK("http://mcgill.on.worldcat.org/oclc/914417555","Catalog Record")</f>
        <v>Catalog Record</v>
      </c>
      <c r="AW4025" s="6" t="str">
        <f>HYPERLINK("http://www.worldcat.org/oclc/914417555","WorldCat Record")</f>
        <v>WorldCat Record</v>
      </c>
      <c r="AX4025" s="3" t="s">
        <v>38678</v>
      </c>
      <c r="AY4025" s="3" t="s">
        <v>38679</v>
      </c>
      <c r="AZ4025" s="3" t="s">
        <v>38680</v>
      </c>
      <c r="BA4025" s="3" t="s">
        <v>38680</v>
      </c>
      <c r="BB4025" s="3" t="s">
        <v>38681</v>
      </c>
      <c r="BC4025" s="3" t="s">
        <v>142</v>
      </c>
      <c r="BD4025" s="3" t="s">
        <v>68</v>
      </c>
      <c r="BE4025" s="3" t="s">
        <v>38682</v>
      </c>
      <c r="BF4025" s="3" t="s">
        <v>38681</v>
      </c>
      <c r="BG4025" s="3" t="s">
        <v>38683</v>
      </c>
    </row>
    <row r="4026" spans="1:59" ht="57" x14ac:dyDescent="0.45">
      <c r="A4026" s="2" t="s">
        <v>59</v>
      </c>
      <c r="B4026" s="2" t="s">
        <v>60</v>
      </c>
      <c r="C4026" s="2" t="s">
        <v>38684</v>
      </c>
      <c r="D4026" s="2" t="s">
        <v>38685</v>
      </c>
      <c r="E4026" s="2" t="s">
        <v>38686</v>
      </c>
      <c r="G4026" s="3" t="s">
        <v>62</v>
      </c>
      <c r="I4026" s="3" t="s">
        <v>62</v>
      </c>
      <c r="J4026" s="3" t="s">
        <v>62</v>
      </c>
      <c r="K4026" s="3" t="s">
        <v>63</v>
      </c>
      <c r="L4026" s="2" t="s">
        <v>38687</v>
      </c>
      <c r="M4026" s="2" t="s">
        <v>38688</v>
      </c>
      <c r="N4026" s="3" t="s">
        <v>1239</v>
      </c>
      <c r="P4026" s="3" t="s">
        <v>65</v>
      </c>
      <c r="Q4026" s="2" t="s">
        <v>7036</v>
      </c>
      <c r="R4026" s="3" t="s">
        <v>66</v>
      </c>
      <c r="S4026" s="4">
        <v>61</v>
      </c>
      <c r="T4026" s="4">
        <v>61</v>
      </c>
      <c r="U4026" s="5" t="s">
        <v>12520</v>
      </c>
      <c r="V4026" s="5" t="s">
        <v>12520</v>
      </c>
      <c r="W4026" s="5" t="s">
        <v>67</v>
      </c>
      <c r="X4026" s="5" t="s">
        <v>67</v>
      </c>
      <c r="Y4026" s="4">
        <v>634</v>
      </c>
      <c r="Z4026" s="4">
        <v>34</v>
      </c>
      <c r="AA4026" s="4">
        <v>39</v>
      </c>
      <c r="AB4026" s="4">
        <v>3</v>
      </c>
      <c r="AC4026" s="4">
        <v>7</v>
      </c>
      <c r="AD4026" s="4">
        <v>126</v>
      </c>
      <c r="AE4026" s="4">
        <v>129</v>
      </c>
      <c r="AF4026" s="4">
        <v>2</v>
      </c>
      <c r="AG4026" s="4">
        <v>4</v>
      </c>
      <c r="AH4026" s="4">
        <v>107</v>
      </c>
      <c r="AI4026" s="4">
        <v>107</v>
      </c>
      <c r="AJ4026" s="4">
        <v>19</v>
      </c>
      <c r="AK4026" s="4">
        <v>21</v>
      </c>
      <c r="AL4026" s="4">
        <v>57</v>
      </c>
      <c r="AM4026" s="4">
        <v>57</v>
      </c>
      <c r="AN4026" s="4">
        <v>0</v>
      </c>
      <c r="AO4026" s="4">
        <v>0</v>
      </c>
      <c r="AP4026" s="4">
        <v>27</v>
      </c>
      <c r="AQ4026" s="4">
        <v>29</v>
      </c>
      <c r="AR4026" s="3" t="s">
        <v>62</v>
      </c>
      <c r="AS4026" s="3" t="s">
        <v>62</v>
      </c>
      <c r="AT4026" s="3" t="s">
        <v>62</v>
      </c>
      <c r="AV4026" s="6" t="str">
        <f>HYPERLINK("http://mcgill.on.worldcat.org/oclc/18558047","Catalog Record")</f>
        <v>Catalog Record</v>
      </c>
      <c r="AW4026" s="6" t="str">
        <f>HYPERLINK("http://www.worldcat.org/oclc/18558047","WorldCat Record")</f>
        <v>WorldCat Record</v>
      </c>
      <c r="AX4026" s="3" t="s">
        <v>38689</v>
      </c>
      <c r="AY4026" s="3" t="s">
        <v>38690</v>
      </c>
      <c r="AZ4026" s="3" t="s">
        <v>38691</v>
      </c>
      <c r="BA4026" s="3" t="s">
        <v>38691</v>
      </c>
      <c r="BB4026" s="3" t="s">
        <v>38692</v>
      </c>
      <c r="BC4026" s="3" t="s">
        <v>142</v>
      </c>
      <c r="BD4026" s="3" t="s">
        <v>68</v>
      </c>
      <c r="BE4026" s="3" t="s">
        <v>38693</v>
      </c>
      <c r="BF4026" s="3" t="s">
        <v>38692</v>
      </c>
      <c r="BG4026" s="3" t="s">
        <v>38694</v>
      </c>
    </row>
    <row r="4027" spans="1:59" ht="57" x14ac:dyDescent="0.45">
      <c r="A4027" s="2" t="s">
        <v>59</v>
      </c>
      <c r="B4027" s="2" t="s">
        <v>60</v>
      </c>
      <c r="C4027" s="2" t="s">
        <v>38695</v>
      </c>
      <c r="D4027" s="2" t="s">
        <v>38696</v>
      </c>
      <c r="E4027" s="2" t="s">
        <v>38697</v>
      </c>
      <c r="G4027" s="3" t="s">
        <v>62</v>
      </c>
      <c r="I4027" s="3" t="s">
        <v>62</v>
      </c>
      <c r="J4027" s="3" t="s">
        <v>62</v>
      </c>
      <c r="K4027" s="3" t="s">
        <v>63</v>
      </c>
      <c r="M4027" s="2" t="s">
        <v>38698</v>
      </c>
      <c r="N4027" s="3" t="s">
        <v>1239</v>
      </c>
      <c r="P4027" s="3" t="s">
        <v>65</v>
      </c>
      <c r="R4027" s="3" t="s">
        <v>66</v>
      </c>
      <c r="S4027" s="4">
        <v>11</v>
      </c>
      <c r="T4027" s="4">
        <v>11</v>
      </c>
      <c r="U4027" s="5" t="s">
        <v>4431</v>
      </c>
      <c r="V4027" s="5" t="s">
        <v>4431</v>
      </c>
      <c r="W4027" s="5" t="s">
        <v>67</v>
      </c>
      <c r="X4027" s="5" t="s">
        <v>67</v>
      </c>
      <c r="Y4027" s="4">
        <v>168</v>
      </c>
      <c r="Z4027" s="4">
        <v>10</v>
      </c>
      <c r="AA4027" s="4">
        <v>14</v>
      </c>
      <c r="AB4027" s="4">
        <v>2</v>
      </c>
      <c r="AC4027" s="4">
        <v>4</v>
      </c>
      <c r="AD4027" s="4">
        <v>62</v>
      </c>
      <c r="AE4027" s="4">
        <v>65</v>
      </c>
      <c r="AF4027" s="4">
        <v>0</v>
      </c>
      <c r="AG4027" s="4">
        <v>2</v>
      </c>
      <c r="AH4027" s="4">
        <v>58</v>
      </c>
      <c r="AI4027" s="4">
        <v>58</v>
      </c>
      <c r="AJ4027" s="4">
        <v>6</v>
      </c>
      <c r="AK4027" s="4">
        <v>8</v>
      </c>
      <c r="AL4027" s="4">
        <v>36</v>
      </c>
      <c r="AM4027" s="4">
        <v>36</v>
      </c>
      <c r="AN4027" s="4">
        <v>0</v>
      </c>
      <c r="AO4027" s="4">
        <v>0</v>
      </c>
      <c r="AP4027" s="4">
        <v>6</v>
      </c>
      <c r="AQ4027" s="4">
        <v>8</v>
      </c>
      <c r="AR4027" s="3" t="s">
        <v>62</v>
      </c>
      <c r="AS4027" s="3" t="s">
        <v>62</v>
      </c>
      <c r="AT4027" s="3" t="s">
        <v>61</v>
      </c>
      <c r="AU4027" s="6" t="str">
        <f>HYPERLINK("http://catalog.hathitrust.org/Record/001540879","HathiTrust Record")</f>
        <v>HathiTrust Record</v>
      </c>
      <c r="AV4027" s="6" t="str">
        <f>HYPERLINK("http://mcgill.on.worldcat.org/oclc/17508374","Catalog Record")</f>
        <v>Catalog Record</v>
      </c>
      <c r="AW4027" s="6" t="str">
        <f>HYPERLINK("http://www.worldcat.org/oclc/17508374","WorldCat Record")</f>
        <v>WorldCat Record</v>
      </c>
      <c r="AX4027" s="3" t="s">
        <v>38699</v>
      </c>
      <c r="AY4027" s="3" t="s">
        <v>38700</v>
      </c>
      <c r="AZ4027" s="3" t="s">
        <v>38701</v>
      </c>
      <c r="BA4027" s="3" t="s">
        <v>38701</v>
      </c>
      <c r="BB4027" s="3" t="s">
        <v>38702</v>
      </c>
      <c r="BC4027" s="3" t="s">
        <v>142</v>
      </c>
      <c r="BD4027" s="3" t="s">
        <v>68</v>
      </c>
      <c r="BE4027" s="3" t="s">
        <v>38703</v>
      </c>
      <c r="BF4027" s="3" t="s">
        <v>38702</v>
      </c>
      <c r="BG4027" s="3" t="s">
        <v>38704</v>
      </c>
    </row>
    <row r="4028" spans="1:59" ht="57" x14ac:dyDescent="0.45">
      <c r="A4028" s="2" t="s">
        <v>59</v>
      </c>
      <c r="B4028" s="2" t="s">
        <v>60</v>
      </c>
      <c r="C4028" s="2" t="s">
        <v>38705</v>
      </c>
      <c r="D4028" s="2" t="s">
        <v>38706</v>
      </c>
      <c r="E4028" s="2" t="s">
        <v>38707</v>
      </c>
      <c r="G4028" s="3" t="s">
        <v>62</v>
      </c>
      <c r="I4028" s="3" t="s">
        <v>62</v>
      </c>
      <c r="J4028" s="3" t="s">
        <v>62</v>
      </c>
      <c r="K4028" s="3" t="s">
        <v>63</v>
      </c>
      <c r="L4028" s="2" t="s">
        <v>38708</v>
      </c>
      <c r="M4028" s="2" t="s">
        <v>38709</v>
      </c>
      <c r="N4028" s="3" t="s">
        <v>84</v>
      </c>
      <c r="P4028" s="3" t="s">
        <v>65</v>
      </c>
      <c r="R4028" s="3" t="s">
        <v>66</v>
      </c>
      <c r="S4028" s="4">
        <v>13</v>
      </c>
      <c r="T4028" s="4">
        <v>13</v>
      </c>
      <c r="U4028" s="5" t="s">
        <v>26706</v>
      </c>
      <c r="V4028" s="5" t="s">
        <v>26706</v>
      </c>
      <c r="W4028" s="5" t="s">
        <v>67</v>
      </c>
      <c r="X4028" s="5" t="s">
        <v>67</v>
      </c>
      <c r="Y4028" s="4">
        <v>243</v>
      </c>
      <c r="Z4028" s="4">
        <v>11</v>
      </c>
      <c r="AA4028" s="4">
        <v>20</v>
      </c>
      <c r="AB4028" s="4">
        <v>1</v>
      </c>
      <c r="AC4028" s="4">
        <v>3</v>
      </c>
      <c r="AD4028" s="4">
        <v>83</v>
      </c>
      <c r="AE4028" s="4">
        <v>100</v>
      </c>
      <c r="AF4028" s="4">
        <v>0</v>
      </c>
      <c r="AG4028" s="4">
        <v>1</v>
      </c>
      <c r="AH4028" s="4">
        <v>76</v>
      </c>
      <c r="AI4028" s="4">
        <v>91</v>
      </c>
      <c r="AJ4028" s="4">
        <v>10</v>
      </c>
      <c r="AK4028" s="4">
        <v>17</v>
      </c>
      <c r="AL4028" s="4">
        <v>41</v>
      </c>
      <c r="AM4028" s="4">
        <v>49</v>
      </c>
      <c r="AN4028" s="4">
        <v>0</v>
      </c>
      <c r="AO4028" s="4">
        <v>0</v>
      </c>
      <c r="AP4028" s="4">
        <v>10</v>
      </c>
      <c r="AQ4028" s="4">
        <v>17</v>
      </c>
      <c r="AR4028" s="3" t="s">
        <v>62</v>
      </c>
      <c r="AS4028" s="3" t="s">
        <v>62</v>
      </c>
      <c r="AT4028" s="3" t="s">
        <v>62</v>
      </c>
      <c r="AV4028" s="6" t="str">
        <f>HYPERLINK("http://mcgill.on.worldcat.org/oclc/24792108","Catalog Record")</f>
        <v>Catalog Record</v>
      </c>
      <c r="AW4028" s="6" t="str">
        <f>HYPERLINK("http://www.worldcat.org/oclc/24792108","WorldCat Record")</f>
        <v>WorldCat Record</v>
      </c>
      <c r="AX4028" s="3" t="s">
        <v>38710</v>
      </c>
      <c r="AY4028" s="3" t="s">
        <v>38711</v>
      </c>
      <c r="AZ4028" s="3" t="s">
        <v>38712</v>
      </c>
      <c r="BA4028" s="3" t="s">
        <v>38712</v>
      </c>
      <c r="BB4028" s="3" t="s">
        <v>38713</v>
      </c>
      <c r="BC4028" s="3" t="s">
        <v>142</v>
      </c>
      <c r="BD4028" s="3" t="s">
        <v>68</v>
      </c>
      <c r="BE4028" s="3" t="s">
        <v>38714</v>
      </c>
      <c r="BF4028" s="3" t="s">
        <v>38713</v>
      </c>
      <c r="BG4028" s="3" t="s">
        <v>38715</v>
      </c>
    </row>
    <row r="4029" spans="1:59" ht="57" x14ac:dyDescent="0.45">
      <c r="A4029" s="2" t="s">
        <v>59</v>
      </c>
      <c r="B4029" s="2" t="s">
        <v>60</v>
      </c>
      <c r="C4029" s="2" t="s">
        <v>38716</v>
      </c>
      <c r="D4029" s="2" t="s">
        <v>38717</v>
      </c>
      <c r="E4029" s="2" t="s">
        <v>38718</v>
      </c>
      <c r="G4029" s="3" t="s">
        <v>62</v>
      </c>
      <c r="I4029" s="3" t="s">
        <v>62</v>
      </c>
      <c r="J4029" s="3" t="s">
        <v>62</v>
      </c>
      <c r="K4029" s="3" t="s">
        <v>63</v>
      </c>
      <c r="M4029" s="2" t="s">
        <v>18274</v>
      </c>
      <c r="N4029" s="3" t="s">
        <v>894</v>
      </c>
      <c r="P4029" s="3" t="s">
        <v>65</v>
      </c>
      <c r="Q4029" s="2" t="s">
        <v>38719</v>
      </c>
      <c r="R4029" s="3" t="s">
        <v>66</v>
      </c>
      <c r="S4029" s="4">
        <v>4</v>
      </c>
      <c r="T4029" s="4">
        <v>4</v>
      </c>
      <c r="U4029" s="5" t="s">
        <v>38720</v>
      </c>
      <c r="V4029" s="5" t="s">
        <v>38720</v>
      </c>
      <c r="W4029" s="5" t="s">
        <v>67</v>
      </c>
      <c r="X4029" s="5" t="s">
        <v>67</v>
      </c>
      <c r="Y4029" s="4">
        <v>103</v>
      </c>
      <c r="Z4029" s="4">
        <v>7</v>
      </c>
      <c r="AA4029" s="4">
        <v>58</v>
      </c>
      <c r="AB4029" s="4">
        <v>1</v>
      </c>
      <c r="AC4029" s="4">
        <v>10</v>
      </c>
      <c r="AD4029" s="4">
        <v>33</v>
      </c>
      <c r="AE4029" s="4">
        <v>85</v>
      </c>
      <c r="AF4029" s="4">
        <v>0</v>
      </c>
      <c r="AG4029" s="4">
        <v>5</v>
      </c>
      <c r="AH4029" s="4">
        <v>29</v>
      </c>
      <c r="AI4029" s="4">
        <v>65</v>
      </c>
      <c r="AJ4029" s="4">
        <v>4</v>
      </c>
      <c r="AK4029" s="4">
        <v>21</v>
      </c>
      <c r="AL4029" s="4">
        <v>20</v>
      </c>
      <c r="AM4029" s="4">
        <v>36</v>
      </c>
      <c r="AN4029" s="4">
        <v>0</v>
      </c>
      <c r="AO4029" s="4">
        <v>0</v>
      </c>
      <c r="AP4029" s="4">
        <v>5</v>
      </c>
      <c r="AQ4029" s="4">
        <v>28</v>
      </c>
      <c r="AR4029" s="3" t="s">
        <v>62</v>
      </c>
      <c r="AS4029" s="3" t="s">
        <v>62</v>
      </c>
      <c r="AT4029" s="3" t="s">
        <v>62</v>
      </c>
      <c r="AV4029" s="6" t="str">
        <f>HYPERLINK("http://mcgill.on.worldcat.org/oclc/706804043","Catalog Record")</f>
        <v>Catalog Record</v>
      </c>
      <c r="AW4029" s="6" t="str">
        <f>HYPERLINK("http://www.worldcat.org/oclc/706804043","WorldCat Record")</f>
        <v>WorldCat Record</v>
      </c>
      <c r="AX4029" s="3" t="s">
        <v>38721</v>
      </c>
      <c r="AY4029" s="3" t="s">
        <v>38722</v>
      </c>
      <c r="AZ4029" s="3" t="s">
        <v>38723</v>
      </c>
      <c r="BA4029" s="3" t="s">
        <v>38723</v>
      </c>
      <c r="BB4029" s="3" t="s">
        <v>38724</v>
      </c>
      <c r="BC4029" s="3" t="s">
        <v>142</v>
      </c>
      <c r="BD4029" s="3" t="s">
        <v>68</v>
      </c>
      <c r="BE4029" s="3" t="s">
        <v>38725</v>
      </c>
      <c r="BF4029" s="3" t="s">
        <v>38724</v>
      </c>
      <c r="BG4029" s="3" t="s">
        <v>38726</v>
      </c>
    </row>
    <row r="4030" spans="1:59" ht="57" x14ac:dyDescent="0.45">
      <c r="A4030" s="2" t="s">
        <v>59</v>
      </c>
      <c r="B4030" s="2" t="s">
        <v>60</v>
      </c>
      <c r="C4030" s="2" t="s">
        <v>38727</v>
      </c>
      <c r="D4030" s="2" t="s">
        <v>38728</v>
      </c>
      <c r="E4030" s="2" t="s">
        <v>38729</v>
      </c>
      <c r="G4030" s="3" t="s">
        <v>62</v>
      </c>
      <c r="I4030" s="3" t="s">
        <v>62</v>
      </c>
      <c r="J4030" s="3" t="s">
        <v>62</v>
      </c>
      <c r="K4030" s="3" t="s">
        <v>63</v>
      </c>
      <c r="L4030" s="2" t="s">
        <v>38730</v>
      </c>
      <c r="M4030" s="2" t="s">
        <v>38731</v>
      </c>
      <c r="N4030" s="3" t="s">
        <v>125</v>
      </c>
      <c r="P4030" s="3" t="s">
        <v>65</v>
      </c>
      <c r="Q4030" s="2" t="s">
        <v>38732</v>
      </c>
      <c r="R4030" s="3" t="s">
        <v>66</v>
      </c>
      <c r="S4030" s="4">
        <v>10</v>
      </c>
      <c r="T4030" s="4">
        <v>10</v>
      </c>
      <c r="U4030" s="5" t="s">
        <v>32506</v>
      </c>
      <c r="V4030" s="5" t="s">
        <v>32506</v>
      </c>
      <c r="W4030" s="5" t="s">
        <v>67</v>
      </c>
      <c r="X4030" s="5" t="s">
        <v>67</v>
      </c>
      <c r="Y4030" s="4">
        <v>505</v>
      </c>
      <c r="Z4030" s="4">
        <v>27</v>
      </c>
      <c r="AA4030" s="4">
        <v>32</v>
      </c>
      <c r="AB4030" s="4">
        <v>3</v>
      </c>
      <c r="AC4030" s="4">
        <v>8</v>
      </c>
      <c r="AD4030" s="4">
        <v>79</v>
      </c>
      <c r="AE4030" s="4">
        <v>81</v>
      </c>
      <c r="AF4030" s="4">
        <v>1</v>
      </c>
      <c r="AG4030" s="4">
        <v>2</v>
      </c>
      <c r="AH4030" s="4">
        <v>67</v>
      </c>
      <c r="AI4030" s="4">
        <v>69</v>
      </c>
      <c r="AJ4030" s="4">
        <v>13</v>
      </c>
      <c r="AK4030" s="4">
        <v>14</v>
      </c>
      <c r="AL4030" s="4">
        <v>38</v>
      </c>
      <c r="AM4030" s="4">
        <v>38</v>
      </c>
      <c r="AN4030" s="4">
        <v>0</v>
      </c>
      <c r="AO4030" s="4">
        <v>0</v>
      </c>
      <c r="AP4030" s="4">
        <v>18</v>
      </c>
      <c r="AQ4030" s="4">
        <v>19</v>
      </c>
      <c r="AR4030" s="3" t="s">
        <v>62</v>
      </c>
      <c r="AS4030" s="3" t="s">
        <v>62</v>
      </c>
      <c r="AT4030" s="3" t="s">
        <v>61</v>
      </c>
      <c r="AU4030" s="6" t="str">
        <f>HYPERLINK("http://catalog.hathitrust.org/Record/007108753","HathiTrust Record")</f>
        <v>HathiTrust Record</v>
      </c>
      <c r="AV4030" s="6" t="str">
        <f>HYPERLINK("http://mcgill.on.worldcat.org/oclc/20294269","Catalog Record")</f>
        <v>Catalog Record</v>
      </c>
      <c r="AW4030" s="6" t="str">
        <f>HYPERLINK("http://www.worldcat.org/oclc/20294269","WorldCat Record")</f>
        <v>WorldCat Record</v>
      </c>
      <c r="AX4030" s="3" t="s">
        <v>38733</v>
      </c>
      <c r="AY4030" s="3" t="s">
        <v>38734</v>
      </c>
      <c r="AZ4030" s="3" t="s">
        <v>38735</v>
      </c>
      <c r="BA4030" s="3" t="s">
        <v>38735</v>
      </c>
      <c r="BB4030" s="3" t="s">
        <v>38736</v>
      </c>
      <c r="BC4030" s="3" t="s">
        <v>142</v>
      </c>
      <c r="BD4030" s="3" t="s">
        <v>68</v>
      </c>
      <c r="BE4030" s="3" t="s">
        <v>38737</v>
      </c>
      <c r="BF4030" s="3" t="s">
        <v>38736</v>
      </c>
      <c r="BG4030" s="3" t="s">
        <v>38738</v>
      </c>
    </row>
    <row r="4031" spans="1:59" ht="57" x14ac:dyDescent="0.45">
      <c r="A4031" s="2" t="s">
        <v>59</v>
      </c>
      <c r="B4031" s="2" t="s">
        <v>60</v>
      </c>
      <c r="C4031" s="2" t="s">
        <v>38739</v>
      </c>
      <c r="D4031" s="2" t="s">
        <v>38740</v>
      </c>
      <c r="E4031" s="2" t="s">
        <v>38741</v>
      </c>
      <c r="G4031" s="3" t="s">
        <v>62</v>
      </c>
      <c r="I4031" s="3" t="s">
        <v>62</v>
      </c>
      <c r="J4031" s="3" t="s">
        <v>62</v>
      </c>
      <c r="K4031" s="3" t="s">
        <v>63</v>
      </c>
      <c r="M4031" s="2" t="s">
        <v>3925</v>
      </c>
      <c r="N4031" s="3" t="s">
        <v>149</v>
      </c>
      <c r="P4031" s="3" t="s">
        <v>65</v>
      </c>
      <c r="Q4031" s="2" t="s">
        <v>38742</v>
      </c>
      <c r="R4031" s="3" t="s">
        <v>66</v>
      </c>
      <c r="S4031" s="4">
        <v>2</v>
      </c>
      <c r="T4031" s="4">
        <v>2</v>
      </c>
      <c r="U4031" s="5" t="s">
        <v>2293</v>
      </c>
      <c r="V4031" s="5" t="s">
        <v>2293</v>
      </c>
      <c r="W4031" s="5" t="s">
        <v>67</v>
      </c>
      <c r="X4031" s="5" t="s">
        <v>67</v>
      </c>
      <c r="Y4031" s="4">
        <v>100</v>
      </c>
      <c r="Z4031" s="4">
        <v>14</v>
      </c>
      <c r="AA4031" s="4">
        <v>98</v>
      </c>
      <c r="AB4031" s="4">
        <v>2</v>
      </c>
      <c r="AC4031" s="4">
        <v>17</v>
      </c>
      <c r="AD4031" s="4">
        <v>47</v>
      </c>
      <c r="AE4031" s="4">
        <v>115</v>
      </c>
      <c r="AF4031" s="4">
        <v>1</v>
      </c>
      <c r="AG4031" s="4">
        <v>8</v>
      </c>
      <c r="AH4031" s="4">
        <v>42</v>
      </c>
      <c r="AI4031" s="4">
        <v>78</v>
      </c>
      <c r="AJ4031" s="4">
        <v>10</v>
      </c>
      <c r="AK4031" s="4">
        <v>23</v>
      </c>
      <c r="AL4031" s="4">
        <v>27</v>
      </c>
      <c r="AM4031" s="4">
        <v>43</v>
      </c>
      <c r="AN4031" s="4">
        <v>0</v>
      </c>
      <c r="AO4031" s="4">
        <v>0</v>
      </c>
      <c r="AP4031" s="4">
        <v>10</v>
      </c>
      <c r="AQ4031" s="4">
        <v>44</v>
      </c>
      <c r="AR4031" s="3" t="s">
        <v>62</v>
      </c>
      <c r="AS4031" s="3" t="s">
        <v>62</v>
      </c>
      <c r="AT4031" s="3" t="s">
        <v>62</v>
      </c>
      <c r="AV4031" s="6" t="str">
        <f>HYPERLINK("http://mcgill.on.worldcat.org/oclc/670238296","Catalog Record")</f>
        <v>Catalog Record</v>
      </c>
      <c r="AW4031" s="6" t="str">
        <f>HYPERLINK("http://www.worldcat.org/oclc/670238296","WorldCat Record")</f>
        <v>WorldCat Record</v>
      </c>
      <c r="AX4031" s="3" t="s">
        <v>38743</v>
      </c>
      <c r="AY4031" s="3" t="s">
        <v>38744</v>
      </c>
      <c r="AZ4031" s="3" t="s">
        <v>38745</v>
      </c>
      <c r="BA4031" s="3" t="s">
        <v>38745</v>
      </c>
      <c r="BB4031" s="3" t="s">
        <v>38746</v>
      </c>
      <c r="BC4031" s="3" t="s">
        <v>142</v>
      </c>
      <c r="BD4031" s="3" t="s">
        <v>68</v>
      </c>
      <c r="BE4031" s="3" t="s">
        <v>38747</v>
      </c>
      <c r="BF4031" s="3" t="s">
        <v>38746</v>
      </c>
      <c r="BG4031" s="3" t="s">
        <v>38748</v>
      </c>
    </row>
    <row r="4032" spans="1:59" ht="57" x14ac:dyDescent="0.45">
      <c r="A4032" s="2" t="s">
        <v>59</v>
      </c>
      <c r="B4032" s="2" t="s">
        <v>60</v>
      </c>
      <c r="C4032" s="2" t="s">
        <v>38749</v>
      </c>
      <c r="D4032" s="2" t="s">
        <v>38750</v>
      </c>
      <c r="E4032" s="2" t="s">
        <v>38751</v>
      </c>
      <c r="G4032" s="3" t="s">
        <v>62</v>
      </c>
      <c r="I4032" s="3" t="s">
        <v>62</v>
      </c>
      <c r="J4032" s="3" t="s">
        <v>61</v>
      </c>
      <c r="K4032" s="3" t="s">
        <v>63</v>
      </c>
      <c r="L4032" s="2" t="s">
        <v>38752</v>
      </c>
      <c r="M4032" s="2" t="s">
        <v>38753</v>
      </c>
      <c r="N4032" s="3" t="s">
        <v>1688</v>
      </c>
      <c r="P4032" s="3" t="s">
        <v>110</v>
      </c>
      <c r="Q4032" s="2" t="s">
        <v>38754</v>
      </c>
      <c r="R4032" s="3" t="s">
        <v>66</v>
      </c>
      <c r="S4032" s="4">
        <v>0</v>
      </c>
      <c r="T4032" s="4">
        <v>0</v>
      </c>
      <c r="W4032" s="5" t="s">
        <v>67</v>
      </c>
      <c r="X4032" s="5" t="s">
        <v>67</v>
      </c>
      <c r="Y4032" s="4">
        <v>9</v>
      </c>
      <c r="Z4032" s="4">
        <v>6</v>
      </c>
      <c r="AA4032" s="4">
        <v>30</v>
      </c>
      <c r="AB4032" s="4">
        <v>1</v>
      </c>
      <c r="AC4032" s="4">
        <v>19</v>
      </c>
      <c r="AD4032" s="4">
        <v>5</v>
      </c>
      <c r="AE4032" s="4">
        <v>11</v>
      </c>
      <c r="AF4032" s="4">
        <v>0</v>
      </c>
      <c r="AG4032" s="4">
        <v>3</v>
      </c>
      <c r="AH4032" s="4">
        <v>5</v>
      </c>
      <c r="AI4032" s="4">
        <v>7</v>
      </c>
      <c r="AJ4032" s="4">
        <v>4</v>
      </c>
      <c r="AK4032" s="4">
        <v>8</v>
      </c>
      <c r="AL4032" s="4">
        <v>2</v>
      </c>
      <c r="AM4032" s="4">
        <v>2</v>
      </c>
      <c r="AN4032" s="4">
        <v>0</v>
      </c>
      <c r="AO4032" s="4">
        <v>0</v>
      </c>
      <c r="AP4032" s="4">
        <v>4</v>
      </c>
      <c r="AQ4032" s="4">
        <v>9</v>
      </c>
      <c r="AR4032" s="3" t="s">
        <v>61</v>
      </c>
      <c r="AS4032" s="3" t="s">
        <v>62</v>
      </c>
      <c r="AT4032" s="3" t="s">
        <v>62</v>
      </c>
      <c r="AV4032" s="6" t="str">
        <f>HYPERLINK("http://mcgill.on.worldcat.org/oclc/892702830","Catalog Record")</f>
        <v>Catalog Record</v>
      </c>
      <c r="AW4032" s="6" t="str">
        <f>HYPERLINK("http://www.worldcat.org/oclc/892702830","WorldCat Record")</f>
        <v>WorldCat Record</v>
      </c>
      <c r="AX4032" s="3" t="s">
        <v>38755</v>
      </c>
      <c r="AY4032" s="3" t="s">
        <v>38756</v>
      </c>
      <c r="AZ4032" s="3" t="s">
        <v>38757</v>
      </c>
      <c r="BA4032" s="3" t="s">
        <v>38757</v>
      </c>
      <c r="BB4032" s="3" t="s">
        <v>38758</v>
      </c>
      <c r="BC4032" s="3" t="s">
        <v>142</v>
      </c>
      <c r="BD4032" s="3" t="s">
        <v>68</v>
      </c>
      <c r="BE4032" s="3" t="s">
        <v>38759</v>
      </c>
      <c r="BF4032" s="3" t="s">
        <v>38758</v>
      </c>
      <c r="BG4032" s="3" t="s">
        <v>38760</v>
      </c>
    </row>
    <row r="4033" spans="1:59" ht="57" x14ac:dyDescent="0.45">
      <c r="A4033" s="2" t="s">
        <v>59</v>
      </c>
      <c r="B4033" s="2" t="s">
        <v>60</v>
      </c>
      <c r="C4033" s="2" t="s">
        <v>38761</v>
      </c>
      <c r="D4033" s="2" t="s">
        <v>38762</v>
      </c>
      <c r="E4033" s="2" t="s">
        <v>38763</v>
      </c>
      <c r="G4033" s="3" t="s">
        <v>62</v>
      </c>
      <c r="I4033" s="3" t="s">
        <v>62</v>
      </c>
      <c r="J4033" s="3" t="s">
        <v>61</v>
      </c>
      <c r="K4033" s="3" t="s">
        <v>63</v>
      </c>
      <c r="L4033" s="2" t="s">
        <v>38764</v>
      </c>
      <c r="M4033" s="2" t="s">
        <v>38765</v>
      </c>
      <c r="N4033" s="3" t="s">
        <v>5180</v>
      </c>
      <c r="O4033" s="2" t="s">
        <v>38766</v>
      </c>
      <c r="P4033" s="3" t="s">
        <v>110</v>
      </c>
      <c r="Q4033" s="2" t="s">
        <v>38767</v>
      </c>
      <c r="R4033" s="3" t="s">
        <v>66</v>
      </c>
      <c r="S4033" s="4">
        <v>0</v>
      </c>
      <c r="T4033" s="4">
        <v>0</v>
      </c>
      <c r="W4033" s="5" t="s">
        <v>342</v>
      </c>
      <c r="X4033" s="5" t="s">
        <v>342</v>
      </c>
      <c r="Y4033" s="4">
        <v>3</v>
      </c>
      <c r="Z4033" s="4">
        <v>2</v>
      </c>
      <c r="AA4033" s="4">
        <v>30</v>
      </c>
      <c r="AB4033" s="4">
        <v>1</v>
      </c>
      <c r="AC4033" s="4">
        <v>19</v>
      </c>
      <c r="AD4033" s="4">
        <v>1</v>
      </c>
      <c r="AE4033" s="4">
        <v>11</v>
      </c>
      <c r="AF4033" s="4">
        <v>0</v>
      </c>
      <c r="AG4033" s="4">
        <v>3</v>
      </c>
      <c r="AH4033" s="4">
        <v>1</v>
      </c>
      <c r="AI4033" s="4">
        <v>7</v>
      </c>
      <c r="AJ4033" s="4">
        <v>1</v>
      </c>
      <c r="AK4033" s="4">
        <v>8</v>
      </c>
      <c r="AL4033" s="4">
        <v>0</v>
      </c>
      <c r="AM4033" s="4">
        <v>2</v>
      </c>
      <c r="AN4033" s="4">
        <v>0</v>
      </c>
      <c r="AO4033" s="4">
        <v>0</v>
      </c>
      <c r="AP4033" s="4">
        <v>1</v>
      </c>
      <c r="AQ4033" s="4">
        <v>9</v>
      </c>
      <c r="AR4033" s="3" t="s">
        <v>61</v>
      </c>
      <c r="AS4033" s="3" t="s">
        <v>62</v>
      </c>
      <c r="AT4033" s="3" t="s">
        <v>62</v>
      </c>
      <c r="AV4033" s="6" t="str">
        <f>HYPERLINK("http://mcgill.on.worldcat.org/oclc/1082267791","Catalog Record")</f>
        <v>Catalog Record</v>
      </c>
      <c r="AW4033" s="6" t="str">
        <f>HYPERLINK("http://www.worldcat.org/oclc/1082267791","WorldCat Record")</f>
        <v>WorldCat Record</v>
      </c>
      <c r="AX4033" s="3" t="s">
        <v>38755</v>
      </c>
      <c r="AY4033" s="3" t="s">
        <v>38768</v>
      </c>
      <c r="AZ4033" s="3" t="s">
        <v>38769</v>
      </c>
      <c r="BA4033" s="3" t="s">
        <v>38769</v>
      </c>
      <c r="BB4033" s="3" t="s">
        <v>38770</v>
      </c>
      <c r="BC4033" s="3" t="s">
        <v>142</v>
      </c>
      <c r="BD4033" s="3" t="s">
        <v>68</v>
      </c>
      <c r="BE4033" s="3" t="s">
        <v>38771</v>
      </c>
      <c r="BF4033" s="3" t="s">
        <v>38770</v>
      </c>
      <c r="BG4033" s="3" t="s">
        <v>38772</v>
      </c>
    </row>
    <row r="4034" spans="1:59" ht="57" x14ac:dyDescent="0.45">
      <c r="A4034" s="2" t="s">
        <v>59</v>
      </c>
      <c r="B4034" s="2" t="s">
        <v>60</v>
      </c>
      <c r="C4034" s="2" t="s">
        <v>38773</v>
      </c>
      <c r="D4034" s="2" t="s">
        <v>38774</v>
      </c>
      <c r="E4034" s="2" t="s">
        <v>38775</v>
      </c>
      <c r="G4034" s="3" t="s">
        <v>62</v>
      </c>
      <c r="I4034" s="3" t="s">
        <v>62</v>
      </c>
      <c r="J4034" s="3" t="s">
        <v>62</v>
      </c>
      <c r="K4034" s="3" t="s">
        <v>63</v>
      </c>
      <c r="M4034" s="2" t="s">
        <v>7391</v>
      </c>
      <c r="N4034" s="3" t="s">
        <v>1604</v>
      </c>
      <c r="P4034" s="3" t="s">
        <v>65</v>
      </c>
      <c r="R4034" s="3" t="s">
        <v>66</v>
      </c>
      <c r="S4034" s="4">
        <v>23</v>
      </c>
      <c r="T4034" s="4">
        <v>23</v>
      </c>
      <c r="U4034" s="5" t="s">
        <v>32506</v>
      </c>
      <c r="V4034" s="5" t="s">
        <v>32506</v>
      </c>
      <c r="W4034" s="5" t="s">
        <v>67</v>
      </c>
      <c r="X4034" s="5" t="s">
        <v>67</v>
      </c>
      <c r="Y4034" s="4">
        <v>528</v>
      </c>
      <c r="Z4034" s="4">
        <v>32</v>
      </c>
      <c r="AA4034" s="4">
        <v>36</v>
      </c>
      <c r="AB4034" s="4">
        <v>4</v>
      </c>
      <c r="AC4034" s="4">
        <v>8</v>
      </c>
      <c r="AD4034" s="4">
        <v>124</v>
      </c>
      <c r="AE4034" s="4">
        <v>127</v>
      </c>
      <c r="AF4034" s="4">
        <v>2</v>
      </c>
      <c r="AG4034" s="4">
        <v>5</v>
      </c>
      <c r="AH4034" s="4">
        <v>105</v>
      </c>
      <c r="AI4034" s="4">
        <v>106</v>
      </c>
      <c r="AJ4034" s="4">
        <v>21</v>
      </c>
      <c r="AK4034" s="4">
        <v>24</v>
      </c>
      <c r="AL4034" s="4">
        <v>57</v>
      </c>
      <c r="AM4034" s="4">
        <v>57</v>
      </c>
      <c r="AN4034" s="4">
        <v>0</v>
      </c>
      <c r="AO4034" s="4">
        <v>0</v>
      </c>
      <c r="AP4034" s="4">
        <v>28</v>
      </c>
      <c r="AQ4034" s="4">
        <v>30</v>
      </c>
      <c r="AR4034" s="3" t="s">
        <v>62</v>
      </c>
      <c r="AS4034" s="3" t="s">
        <v>62</v>
      </c>
      <c r="AT4034" s="3" t="s">
        <v>62</v>
      </c>
      <c r="AV4034" s="6" t="str">
        <f>HYPERLINK("http://mcgill.on.worldcat.org/oclc/28494702","Catalog Record")</f>
        <v>Catalog Record</v>
      </c>
      <c r="AW4034" s="6" t="str">
        <f>HYPERLINK("http://www.worldcat.org/oclc/28494702","WorldCat Record")</f>
        <v>WorldCat Record</v>
      </c>
      <c r="AX4034" s="3" t="s">
        <v>38776</v>
      </c>
      <c r="AY4034" s="3" t="s">
        <v>38777</v>
      </c>
      <c r="AZ4034" s="3" t="s">
        <v>38778</v>
      </c>
      <c r="BA4034" s="3" t="s">
        <v>38778</v>
      </c>
      <c r="BB4034" s="3" t="s">
        <v>38779</v>
      </c>
      <c r="BC4034" s="3" t="s">
        <v>142</v>
      </c>
      <c r="BD4034" s="3" t="s">
        <v>68</v>
      </c>
      <c r="BE4034" s="3" t="s">
        <v>38780</v>
      </c>
      <c r="BF4034" s="3" t="s">
        <v>38779</v>
      </c>
      <c r="BG4034" s="3" t="s">
        <v>38781</v>
      </c>
    </row>
    <row r="4035" spans="1:59" ht="57" x14ac:dyDescent="0.45">
      <c r="A4035" s="2" t="s">
        <v>59</v>
      </c>
      <c r="B4035" s="2" t="s">
        <v>60</v>
      </c>
      <c r="C4035" s="2" t="s">
        <v>38782</v>
      </c>
      <c r="D4035" s="2" t="s">
        <v>38783</v>
      </c>
      <c r="E4035" s="2" t="s">
        <v>38784</v>
      </c>
      <c r="G4035" s="3" t="s">
        <v>62</v>
      </c>
      <c r="I4035" s="3" t="s">
        <v>62</v>
      </c>
      <c r="J4035" s="3" t="s">
        <v>62</v>
      </c>
      <c r="K4035" s="3" t="s">
        <v>63</v>
      </c>
      <c r="M4035" s="2" t="s">
        <v>38785</v>
      </c>
      <c r="N4035" s="3" t="s">
        <v>1918</v>
      </c>
      <c r="P4035" s="3" t="s">
        <v>65</v>
      </c>
      <c r="Q4035" s="2" t="s">
        <v>38786</v>
      </c>
      <c r="R4035" s="3" t="s">
        <v>66</v>
      </c>
      <c r="S4035" s="4">
        <v>1</v>
      </c>
      <c r="T4035" s="4">
        <v>1</v>
      </c>
      <c r="U4035" s="5" t="s">
        <v>6780</v>
      </c>
      <c r="V4035" s="5" t="s">
        <v>6780</v>
      </c>
      <c r="W4035" s="5" t="s">
        <v>67</v>
      </c>
      <c r="X4035" s="5" t="s">
        <v>67</v>
      </c>
      <c r="Y4035" s="4">
        <v>24</v>
      </c>
      <c r="Z4035" s="4">
        <v>3</v>
      </c>
      <c r="AA4035" s="4">
        <v>67</v>
      </c>
      <c r="AB4035" s="4">
        <v>1</v>
      </c>
      <c r="AC4035" s="4">
        <v>14</v>
      </c>
      <c r="AD4035" s="4">
        <v>10</v>
      </c>
      <c r="AE4035" s="4">
        <v>80</v>
      </c>
      <c r="AF4035" s="4">
        <v>0</v>
      </c>
      <c r="AG4035" s="4">
        <v>8</v>
      </c>
      <c r="AH4035" s="4">
        <v>9</v>
      </c>
      <c r="AI4035" s="4">
        <v>51</v>
      </c>
      <c r="AJ4035" s="4">
        <v>2</v>
      </c>
      <c r="AK4035" s="4">
        <v>16</v>
      </c>
      <c r="AL4035" s="4">
        <v>7</v>
      </c>
      <c r="AM4035" s="4">
        <v>26</v>
      </c>
      <c r="AN4035" s="4">
        <v>0</v>
      </c>
      <c r="AO4035" s="4">
        <v>0</v>
      </c>
      <c r="AP4035" s="4">
        <v>2</v>
      </c>
      <c r="AQ4035" s="4">
        <v>35</v>
      </c>
      <c r="AR4035" s="3" t="s">
        <v>62</v>
      </c>
      <c r="AS4035" s="3" t="s">
        <v>62</v>
      </c>
      <c r="AT4035" s="3" t="s">
        <v>62</v>
      </c>
      <c r="AV4035" s="6" t="str">
        <f>HYPERLINK("http://mcgill.on.worldcat.org/oclc/1021059987","Catalog Record")</f>
        <v>Catalog Record</v>
      </c>
      <c r="AW4035" s="6" t="str">
        <f>HYPERLINK("http://www.worldcat.org/oclc/1021059987","WorldCat Record")</f>
        <v>WorldCat Record</v>
      </c>
      <c r="AX4035" s="3" t="s">
        <v>38787</v>
      </c>
      <c r="AY4035" s="3" t="s">
        <v>38788</v>
      </c>
      <c r="AZ4035" s="3" t="s">
        <v>38789</v>
      </c>
      <c r="BA4035" s="3" t="s">
        <v>38789</v>
      </c>
      <c r="BB4035" s="3" t="s">
        <v>38790</v>
      </c>
      <c r="BC4035" s="3" t="s">
        <v>142</v>
      </c>
      <c r="BD4035" s="3" t="s">
        <v>68</v>
      </c>
      <c r="BE4035" s="3" t="s">
        <v>38791</v>
      </c>
      <c r="BF4035" s="3" t="s">
        <v>38790</v>
      </c>
      <c r="BG4035" s="3" t="s">
        <v>38792</v>
      </c>
    </row>
    <row r="4036" spans="1:59" ht="57" x14ac:dyDescent="0.45">
      <c r="A4036" s="2" t="s">
        <v>59</v>
      </c>
      <c r="B4036" s="2" t="s">
        <v>60</v>
      </c>
      <c r="C4036" s="2" t="s">
        <v>38793</v>
      </c>
      <c r="D4036" s="2" t="s">
        <v>38794</v>
      </c>
      <c r="E4036" s="2" t="s">
        <v>38795</v>
      </c>
      <c r="G4036" s="3" t="s">
        <v>62</v>
      </c>
      <c r="I4036" s="3" t="s">
        <v>62</v>
      </c>
      <c r="J4036" s="3" t="s">
        <v>62</v>
      </c>
      <c r="K4036" s="3" t="s">
        <v>63</v>
      </c>
      <c r="M4036" s="2" t="s">
        <v>5923</v>
      </c>
      <c r="N4036" s="3" t="s">
        <v>918</v>
      </c>
      <c r="P4036" s="3" t="s">
        <v>65</v>
      </c>
      <c r="Q4036" s="2" t="s">
        <v>38796</v>
      </c>
      <c r="R4036" s="3" t="s">
        <v>66</v>
      </c>
      <c r="S4036" s="4">
        <v>32</v>
      </c>
      <c r="T4036" s="4">
        <v>32</v>
      </c>
      <c r="U4036" s="5" t="s">
        <v>9900</v>
      </c>
      <c r="V4036" s="5" t="s">
        <v>9900</v>
      </c>
      <c r="W4036" s="5" t="s">
        <v>67</v>
      </c>
      <c r="X4036" s="5" t="s">
        <v>67</v>
      </c>
      <c r="Y4036" s="4">
        <v>243</v>
      </c>
      <c r="Z4036" s="4">
        <v>20</v>
      </c>
      <c r="AA4036" s="4">
        <v>108</v>
      </c>
      <c r="AB4036" s="4">
        <v>2</v>
      </c>
      <c r="AC4036" s="4">
        <v>17</v>
      </c>
      <c r="AD4036" s="4">
        <v>74</v>
      </c>
      <c r="AE4036" s="4">
        <v>133</v>
      </c>
      <c r="AF4036" s="4">
        <v>1</v>
      </c>
      <c r="AG4036" s="4">
        <v>8</v>
      </c>
      <c r="AH4036" s="4">
        <v>66</v>
      </c>
      <c r="AI4036" s="4">
        <v>95</v>
      </c>
      <c r="AJ4036" s="4">
        <v>13</v>
      </c>
      <c r="AK4036" s="4">
        <v>23</v>
      </c>
      <c r="AL4036" s="4">
        <v>35</v>
      </c>
      <c r="AM4036" s="4">
        <v>50</v>
      </c>
      <c r="AN4036" s="4">
        <v>0</v>
      </c>
      <c r="AO4036" s="4">
        <v>0</v>
      </c>
      <c r="AP4036" s="4">
        <v>15</v>
      </c>
      <c r="AQ4036" s="4">
        <v>44</v>
      </c>
      <c r="AR4036" s="3" t="s">
        <v>62</v>
      </c>
      <c r="AS4036" s="3" t="s">
        <v>62</v>
      </c>
      <c r="AT4036" s="3" t="s">
        <v>61</v>
      </c>
      <c r="AU4036" s="6" t="str">
        <f>HYPERLINK("http://catalog.hathitrust.org/Record/004328115","HathiTrust Record")</f>
        <v>HathiTrust Record</v>
      </c>
      <c r="AV4036" s="6" t="str">
        <f>HYPERLINK("http://mcgill.on.worldcat.org/oclc/50737501","Catalog Record")</f>
        <v>Catalog Record</v>
      </c>
      <c r="AW4036" s="6" t="str">
        <f>HYPERLINK("http://www.worldcat.org/oclc/50737501","WorldCat Record")</f>
        <v>WorldCat Record</v>
      </c>
      <c r="AX4036" s="3" t="s">
        <v>38797</v>
      </c>
      <c r="AY4036" s="3" t="s">
        <v>38798</v>
      </c>
      <c r="AZ4036" s="3" t="s">
        <v>38799</v>
      </c>
      <c r="BA4036" s="3" t="s">
        <v>38799</v>
      </c>
      <c r="BB4036" s="3" t="s">
        <v>38800</v>
      </c>
      <c r="BC4036" s="3" t="s">
        <v>142</v>
      </c>
      <c r="BD4036" s="3" t="s">
        <v>68</v>
      </c>
      <c r="BE4036" s="3" t="s">
        <v>38801</v>
      </c>
      <c r="BF4036" s="3" t="s">
        <v>38800</v>
      </c>
      <c r="BG4036" s="3" t="s">
        <v>38802</v>
      </c>
    </row>
    <row r="4037" spans="1:59" ht="57" x14ac:dyDescent="0.45">
      <c r="A4037" s="2" t="s">
        <v>59</v>
      </c>
      <c r="B4037" s="2" t="s">
        <v>60</v>
      </c>
      <c r="C4037" s="2" t="s">
        <v>38803</v>
      </c>
      <c r="D4037" s="2" t="s">
        <v>38804</v>
      </c>
      <c r="E4037" s="2" t="s">
        <v>38805</v>
      </c>
      <c r="G4037" s="3" t="s">
        <v>62</v>
      </c>
      <c r="I4037" s="3" t="s">
        <v>62</v>
      </c>
      <c r="J4037" s="3" t="s">
        <v>62</v>
      </c>
      <c r="K4037" s="3" t="s">
        <v>63</v>
      </c>
      <c r="M4037" s="2" t="s">
        <v>3447</v>
      </c>
      <c r="N4037" s="3" t="s">
        <v>1059</v>
      </c>
      <c r="P4037" s="3" t="s">
        <v>65</v>
      </c>
      <c r="Q4037" s="2" t="s">
        <v>38806</v>
      </c>
      <c r="R4037" s="3" t="s">
        <v>66</v>
      </c>
      <c r="S4037" s="4">
        <v>9</v>
      </c>
      <c r="T4037" s="4">
        <v>9</v>
      </c>
      <c r="U4037" s="5" t="s">
        <v>18768</v>
      </c>
      <c r="V4037" s="5" t="s">
        <v>18768</v>
      </c>
      <c r="W4037" s="5" t="s">
        <v>67</v>
      </c>
      <c r="X4037" s="5" t="s">
        <v>67</v>
      </c>
      <c r="Y4037" s="4">
        <v>226</v>
      </c>
      <c r="Z4037" s="4">
        <v>16</v>
      </c>
      <c r="AA4037" s="4">
        <v>111</v>
      </c>
      <c r="AB4037" s="4">
        <v>2</v>
      </c>
      <c r="AC4037" s="4">
        <v>18</v>
      </c>
      <c r="AD4037" s="4">
        <v>72</v>
      </c>
      <c r="AE4037" s="4">
        <v>134</v>
      </c>
      <c r="AF4037" s="4">
        <v>1</v>
      </c>
      <c r="AG4037" s="4">
        <v>8</v>
      </c>
      <c r="AH4037" s="4">
        <v>67</v>
      </c>
      <c r="AI4037" s="4">
        <v>97</v>
      </c>
      <c r="AJ4037" s="4">
        <v>12</v>
      </c>
      <c r="AK4037" s="4">
        <v>24</v>
      </c>
      <c r="AL4037" s="4">
        <v>40</v>
      </c>
      <c r="AM4037" s="4">
        <v>52</v>
      </c>
      <c r="AN4037" s="4">
        <v>0</v>
      </c>
      <c r="AO4037" s="4">
        <v>0</v>
      </c>
      <c r="AP4037" s="4">
        <v>13</v>
      </c>
      <c r="AQ4037" s="4">
        <v>45</v>
      </c>
      <c r="AR4037" s="3" t="s">
        <v>62</v>
      </c>
      <c r="AS4037" s="3" t="s">
        <v>62</v>
      </c>
      <c r="AT4037" s="3" t="s">
        <v>61</v>
      </c>
      <c r="AU4037" s="6" t="str">
        <f>HYPERLINK("http://catalog.hathitrust.org/Record/005250272","HathiTrust Record")</f>
        <v>HathiTrust Record</v>
      </c>
      <c r="AV4037" s="6" t="str">
        <f>HYPERLINK("http://mcgill.on.worldcat.org/oclc/63705799","Catalog Record")</f>
        <v>Catalog Record</v>
      </c>
      <c r="AW4037" s="6" t="str">
        <f>HYPERLINK("http://www.worldcat.org/oclc/63705799","WorldCat Record")</f>
        <v>WorldCat Record</v>
      </c>
      <c r="AX4037" s="3" t="s">
        <v>38807</v>
      </c>
      <c r="AY4037" s="3" t="s">
        <v>38808</v>
      </c>
      <c r="AZ4037" s="3" t="s">
        <v>38809</v>
      </c>
      <c r="BA4037" s="3" t="s">
        <v>38809</v>
      </c>
      <c r="BB4037" s="3" t="s">
        <v>38810</v>
      </c>
      <c r="BC4037" s="3" t="s">
        <v>142</v>
      </c>
      <c r="BD4037" s="3" t="s">
        <v>68</v>
      </c>
      <c r="BE4037" s="3" t="s">
        <v>38811</v>
      </c>
      <c r="BF4037" s="3" t="s">
        <v>38810</v>
      </c>
      <c r="BG4037" s="3" t="s">
        <v>38812</v>
      </c>
    </row>
    <row r="4038" spans="1:59" ht="57" x14ac:dyDescent="0.45">
      <c r="A4038" s="2" t="s">
        <v>59</v>
      </c>
      <c r="B4038" s="2" t="s">
        <v>60</v>
      </c>
      <c r="C4038" s="2" t="s">
        <v>38813</v>
      </c>
      <c r="D4038" s="2" t="s">
        <v>38814</v>
      </c>
      <c r="E4038" s="2" t="s">
        <v>38815</v>
      </c>
      <c r="G4038" s="3" t="s">
        <v>62</v>
      </c>
      <c r="I4038" s="3" t="s">
        <v>62</v>
      </c>
      <c r="J4038" s="3" t="s">
        <v>62</v>
      </c>
      <c r="K4038" s="3" t="s">
        <v>63</v>
      </c>
      <c r="M4038" s="2" t="s">
        <v>38816</v>
      </c>
      <c r="N4038" s="3" t="s">
        <v>181</v>
      </c>
      <c r="P4038" s="3" t="s">
        <v>65</v>
      </c>
      <c r="Q4038" s="2" t="s">
        <v>38817</v>
      </c>
      <c r="R4038" s="3" t="s">
        <v>66</v>
      </c>
      <c r="S4038" s="4">
        <v>2</v>
      </c>
      <c r="T4038" s="4">
        <v>2</v>
      </c>
      <c r="U4038" s="5" t="s">
        <v>37172</v>
      </c>
      <c r="V4038" s="5" t="s">
        <v>37172</v>
      </c>
      <c r="W4038" s="5" t="s">
        <v>67</v>
      </c>
      <c r="X4038" s="5" t="s">
        <v>67</v>
      </c>
      <c r="Y4038" s="4">
        <v>143</v>
      </c>
      <c r="Z4038" s="4">
        <v>12</v>
      </c>
      <c r="AA4038" s="4">
        <v>87</v>
      </c>
      <c r="AB4038" s="4">
        <v>1</v>
      </c>
      <c r="AC4038" s="4">
        <v>15</v>
      </c>
      <c r="AD4038" s="4">
        <v>53</v>
      </c>
      <c r="AE4038" s="4">
        <v>123</v>
      </c>
      <c r="AF4038" s="4">
        <v>0</v>
      </c>
      <c r="AG4038" s="4">
        <v>8</v>
      </c>
      <c r="AH4038" s="4">
        <v>48</v>
      </c>
      <c r="AI4038" s="4">
        <v>85</v>
      </c>
      <c r="AJ4038" s="4">
        <v>6</v>
      </c>
      <c r="AK4038" s="4">
        <v>23</v>
      </c>
      <c r="AL4038" s="4">
        <v>28</v>
      </c>
      <c r="AM4038" s="4">
        <v>44</v>
      </c>
      <c r="AN4038" s="4">
        <v>0</v>
      </c>
      <c r="AO4038" s="4">
        <v>0</v>
      </c>
      <c r="AP4038" s="4">
        <v>8</v>
      </c>
      <c r="AQ4038" s="4">
        <v>46</v>
      </c>
      <c r="AR4038" s="3" t="s">
        <v>62</v>
      </c>
      <c r="AS4038" s="3" t="s">
        <v>62</v>
      </c>
      <c r="AT4038" s="3" t="s">
        <v>62</v>
      </c>
      <c r="AV4038" s="6" t="str">
        <f>HYPERLINK("http://mcgill.on.worldcat.org/oclc/940794940","Catalog Record")</f>
        <v>Catalog Record</v>
      </c>
      <c r="AW4038" s="6" t="str">
        <f>HYPERLINK("http://www.worldcat.org/oclc/940794940","WorldCat Record")</f>
        <v>WorldCat Record</v>
      </c>
      <c r="AX4038" s="3" t="s">
        <v>38818</v>
      </c>
      <c r="AY4038" s="3" t="s">
        <v>38819</v>
      </c>
      <c r="AZ4038" s="3" t="s">
        <v>38820</v>
      </c>
      <c r="BA4038" s="3" t="s">
        <v>38820</v>
      </c>
      <c r="BB4038" s="3" t="s">
        <v>38821</v>
      </c>
      <c r="BC4038" s="3" t="s">
        <v>142</v>
      </c>
      <c r="BD4038" s="3" t="s">
        <v>308</v>
      </c>
      <c r="BE4038" s="3" t="s">
        <v>38822</v>
      </c>
      <c r="BF4038" s="3" t="s">
        <v>38821</v>
      </c>
      <c r="BG4038" s="3" t="s">
        <v>38823</v>
      </c>
    </row>
    <row r="4039" spans="1:59" ht="57" x14ac:dyDescent="0.45">
      <c r="A4039" s="2" t="s">
        <v>59</v>
      </c>
      <c r="B4039" s="2" t="s">
        <v>60</v>
      </c>
      <c r="C4039" s="2" t="s">
        <v>38824</v>
      </c>
      <c r="D4039" s="2" t="s">
        <v>38825</v>
      </c>
      <c r="E4039" s="2" t="s">
        <v>38826</v>
      </c>
      <c r="G4039" s="3" t="s">
        <v>62</v>
      </c>
      <c r="I4039" s="3" t="s">
        <v>62</v>
      </c>
      <c r="J4039" s="3" t="s">
        <v>62</v>
      </c>
      <c r="K4039" s="3" t="s">
        <v>63</v>
      </c>
      <c r="L4039" s="2" t="s">
        <v>38827</v>
      </c>
      <c r="M4039" s="2" t="s">
        <v>3135</v>
      </c>
      <c r="N4039" s="3" t="s">
        <v>945</v>
      </c>
      <c r="P4039" s="3" t="s">
        <v>65</v>
      </c>
      <c r="R4039" s="3" t="s">
        <v>66</v>
      </c>
      <c r="S4039" s="4">
        <v>6</v>
      </c>
      <c r="T4039" s="4">
        <v>6</v>
      </c>
      <c r="U4039" s="5" t="s">
        <v>19976</v>
      </c>
      <c r="V4039" s="5" t="s">
        <v>19976</v>
      </c>
      <c r="W4039" s="5" t="s">
        <v>67</v>
      </c>
      <c r="X4039" s="5" t="s">
        <v>67</v>
      </c>
      <c r="Y4039" s="4">
        <v>268</v>
      </c>
      <c r="Z4039" s="4">
        <v>24</v>
      </c>
      <c r="AA4039" s="4">
        <v>84</v>
      </c>
      <c r="AB4039" s="4">
        <v>2</v>
      </c>
      <c r="AC4039" s="4">
        <v>14</v>
      </c>
      <c r="AD4039" s="4">
        <v>91</v>
      </c>
      <c r="AE4039" s="4">
        <v>135</v>
      </c>
      <c r="AF4039" s="4">
        <v>1</v>
      </c>
      <c r="AG4039" s="4">
        <v>8</v>
      </c>
      <c r="AH4039" s="4">
        <v>78</v>
      </c>
      <c r="AI4039" s="4">
        <v>98</v>
      </c>
      <c r="AJ4039" s="4">
        <v>16</v>
      </c>
      <c r="AK4039" s="4">
        <v>25</v>
      </c>
      <c r="AL4039" s="4">
        <v>52</v>
      </c>
      <c r="AM4039" s="4">
        <v>57</v>
      </c>
      <c r="AN4039" s="4">
        <v>0</v>
      </c>
      <c r="AO4039" s="4">
        <v>0</v>
      </c>
      <c r="AP4039" s="4">
        <v>20</v>
      </c>
      <c r="AQ4039" s="4">
        <v>46</v>
      </c>
      <c r="AR4039" s="3" t="s">
        <v>62</v>
      </c>
      <c r="AS4039" s="3" t="s">
        <v>62</v>
      </c>
      <c r="AT4039" s="3" t="s">
        <v>62</v>
      </c>
      <c r="AV4039" s="6" t="str">
        <f>HYPERLINK("http://mcgill.on.worldcat.org/oclc/124961309","Catalog Record")</f>
        <v>Catalog Record</v>
      </c>
      <c r="AW4039" s="6" t="str">
        <f>HYPERLINK("http://www.worldcat.org/oclc/124961309","WorldCat Record")</f>
        <v>WorldCat Record</v>
      </c>
      <c r="AX4039" s="3" t="s">
        <v>38828</v>
      </c>
      <c r="AY4039" s="3" t="s">
        <v>38829</v>
      </c>
      <c r="AZ4039" s="3" t="s">
        <v>38830</v>
      </c>
      <c r="BA4039" s="3" t="s">
        <v>38830</v>
      </c>
      <c r="BB4039" s="3" t="s">
        <v>38831</v>
      </c>
      <c r="BC4039" s="3" t="s">
        <v>142</v>
      </c>
      <c r="BD4039" s="3" t="s">
        <v>68</v>
      </c>
      <c r="BE4039" s="3" t="s">
        <v>38832</v>
      </c>
      <c r="BF4039" s="3" t="s">
        <v>38831</v>
      </c>
      <c r="BG4039" s="3" t="s">
        <v>38833</v>
      </c>
    </row>
    <row r="4040" spans="1:59" ht="57" x14ac:dyDescent="0.45">
      <c r="A4040" s="2" t="s">
        <v>59</v>
      </c>
      <c r="B4040" s="2" t="s">
        <v>60</v>
      </c>
      <c r="C4040" s="2" t="s">
        <v>38834</v>
      </c>
      <c r="D4040" s="2" t="s">
        <v>38835</v>
      </c>
      <c r="E4040" s="2" t="s">
        <v>38836</v>
      </c>
      <c r="G4040" s="3" t="s">
        <v>62</v>
      </c>
      <c r="I4040" s="3" t="s">
        <v>62</v>
      </c>
      <c r="J4040" s="3" t="s">
        <v>61</v>
      </c>
      <c r="K4040" s="3" t="s">
        <v>63</v>
      </c>
      <c r="L4040" s="2" t="s">
        <v>38837</v>
      </c>
      <c r="M4040" s="2" t="s">
        <v>33543</v>
      </c>
      <c r="N4040" s="3" t="s">
        <v>1097</v>
      </c>
      <c r="O4040" s="2" t="s">
        <v>933</v>
      </c>
      <c r="P4040" s="3" t="s">
        <v>65</v>
      </c>
      <c r="Q4040" s="2" t="s">
        <v>38838</v>
      </c>
      <c r="R4040" s="3" t="s">
        <v>66</v>
      </c>
      <c r="S4040" s="4">
        <v>18</v>
      </c>
      <c r="T4040" s="4">
        <v>18</v>
      </c>
      <c r="U4040" s="5" t="s">
        <v>18768</v>
      </c>
      <c r="V4040" s="5" t="s">
        <v>18768</v>
      </c>
      <c r="W4040" s="5" t="s">
        <v>67</v>
      </c>
      <c r="X4040" s="5" t="s">
        <v>67</v>
      </c>
      <c r="Y4040" s="4">
        <v>254</v>
      </c>
      <c r="Z4040" s="4">
        <v>25</v>
      </c>
      <c r="AA4040" s="4">
        <v>122</v>
      </c>
      <c r="AB4040" s="4">
        <v>2</v>
      </c>
      <c r="AC4040" s="4">
        <v>17</v>
      </c>
      <c r="AD4040" s="4">
        <v>77</v>
      </c>
      <c r="AE4040" s="4">
        <v>147</v>
      </c>
      <c r="AF4040" s="4">
        <v>1</v>
      </c>
      <c r="AG4040" s="4">
        <v>8</v>
      </c>
      <c r="AH4040" s="4">
        <v>65</v>
      </c>
      <c r="AI4040" s="4">
        <v>105</v>
      </c>
      <c r="AJ4040" s="4">
        <v>14</v>
      </c>
      <c r="AK4040" s="4">
        <v>27</v>
      </c>
      <c r="AL4040" s="4">
        <v>34</v>
      </c>
      <c r="AM4040" s="4">
        <v>55</v>
      </c>
      <c r="AN4040" s="4">
        <v>0</v>
      </c>
      <c r="AO4040" s="4">
        <v>0</v>
      </c>
      <c r="AP4040" s="4">
        <v>20</v>
      </c>
      <c r="AQ4040" s="4">
        <v>52</v>
      </c>
      <c r="AR4040" s="3" t="s">
        <v>62</v>
      </c>
      <c r="AS4040" s="3" t="s">
        <v>62</v>
      </c>
      <c r="AT4040" s="3" t="s">
        <v>61</v>
      </c>
      <c r="AU4040" s="6" t="str">
        <f>HYPERLINK("http://catalog.hathitrust.org/Record/005850776","HathiTrust Record")</f>
        <v>HathiTrust Record</v>
      </c>
      <c r="AV4040" s="6" t="str">
        <f>HYPERLINK("http://mcgill.on.worldcat.org/oclc/54374742","Catalog Record")</f>
        <v>Catalog Record</v>
      </c>
      <c r="AW4040" s="6" t="str">
        <f>HYPERLINK("http://www.worldcat.org/oclc/54374742","WorldCat Record")</f>
        <v>WorldCat Record</v>
      </c>
      <c r="AX4040" s="3" t="s">
        <v>38839</v>
      </c>
      <c r="AY4040" s="3" t="s">
        <v>38840</v>
      </c>
      <c r="AZ4040" s="3" t="s">
        <v>38841</v>
      </c>
      <c r="BA4040" s="3" t="s">
        <v>38841</v>
      </c>
      <c r="BB4040" s="3" t="s">
        <v>38842</v>
      </c>
      <c r="BC4040" s="3" t="s">
        <v>142</v>
      </c>
      <c r="BD4040" s="3" t="s">
        <v>68</v>
      </c>
      <c r="BE4040" s="3" t="s">
        <v>38843</v>
      </c>
      <c r="BF4040" s="3" t="s">
        <v>38842</v>
      </c>
      <c r="BG4040" s="3" t="s">
        <v>38844</v>
      </c>
    </row>
    <row r="4041" spans="1:59" ht="57" x14ac:dyDescent="0.45">
      <c r="A4041" s="2" t="s">
        <v>59</v>
      </c>
      <c r="B4041" s="2" t="s">
        <v>60</v>
      </c>
      <c r="C4041" s="2" t="s">
        <v>38845</v>
      </c>
      <c r="D4041" s="2" t="s">
        <v>38846</v>
      </c>
      <c r="E4041" s="2" t="s">
        <v>38847</v>
      </c>
      <c r="G4041" s="3" t="s">
        <v>62</v>
      </c>
      <c r="I4041" s="3" t="s">
        <v>62</v>
      </c>
      <c r="J4041" s="3" t="s">
        <v>62</v>
      </c>
      <c r="K4041" s="3" t="s">
        <v>63</v>
      </c>
      <c r="M4041" s="2" t="s">
        <v>34968</v>
      </c>
      <c r="N4041" s="3" t="s">
        <v>970</v>
      </c>
      <c r="P4041" s="3" t="s">
        <v>65</v>
      </c>
      <c r="Q4041" s="2" t="s">
        <v>38848</v>
      </c>
      <c r="R4041" s="3" t="s">
        <v>66</v>
      </c>
      <c r="S4041" s="4">
        <v>12</v>
      </c>
      <c r="T4041" s="4">
        <v>12</v>
      </c>
      <c r="U4041" s="5" t="s">
        <v>33205</v>
      </c>
      <c r="V4041" s="5" t="s">
        <v>33205</v>
      </c>
      <c r="W4041" s="5" t="s">
        <v>67</v>
      </c>
      <c r="X4041" s="5" t="s">
        <v>67</v>
      </c>
      <c r="Y4041" s="4">
        <v>114</v>
      </c>
      <c r="Z4041" s="4">
        <v>8</v>
      </c>
      <c r="AA4041" s="4">
        <v>100</v>
      </c>
      <c r="AB4041" s="4">
        <v>1</v>
      </c>
      <c r="AC4041" s="4">
        <v>17</v>
      </c>
      <c r="AD4041" s="4">
        <v>50</v>
      </c>
      <c r="AE4041" s="4">
        <v>120</v>
      </c>
      <c r="AF4041" s="4">
        <v>0</v>
      </c>
      <c r="AG4041" s="4">
        <v>8</v>
      </c>
      <c r="AH4041" s="4">
        <v>47</v>
      </c>
      <c r="AI4041" s="4">
        <v>85</v>
      </c>
      <c r="AJ4041" s="4">
        <v>4</v>
      </c>
      <c r="AK4041" s="4">
        <v>20</v>
      </c>
      <c r="AL4041" s="4">
        <v>32</v>
      </c>
      <c r="AM4041" s="4">
        <v>46</v>
      </c>
      <c r="AN4041" s="4">
        <v>0</v>
      </c>
      <c r="AO4041" s="4">
        <v>0</v>
      </c>
      <c r="AP4041" s="4">
        <v>5</v>
      </c>
      <c r="AQ4041" s="4">
        <v>41</v>
      </c>
      <c r="AR4041" s="3" t="s">
        <v>62</v>
      </c>
      <c r="AS4041" s="3" t="s">
        <v>62</v>
      </c>
      <c r="AT4041" s="3" t="s">
        <v>62</v>
      </c>
      <c r="AV4041" s="6" t="str">
        <f>HYPERLINK("http://mcgill.on.worldcat.org/oclc/50072630","Catalog Record")</f>
        <v>Catalog Record</v>
      </c>
      <c r="AW4041" s="6" t="str">
        <f>HYPERLINK("http://www.worldcat.org/oclc/50072630","WorldCat Record")</f>
        <v>WorldCat Record</v>
      </c>
      <c r="AX4041" s="3" t="s">
        <v>38849</v>
      </c>
      <c r="AY4041" s="3" t="s">
        <v>38850</v>
      </c>
      <c r="AZ4041" s="3" t="s">
        <v>38851</v>
      </c>
      <c r="BA4041" s="3" t="s">
        <v>38851</v>
      </c>
      <c r="BB4041" s="3" t="s">
        <v>38852</v>
      </c>
      <c r="BC4041" s="3" t="s">
        <v>142</v>
      </c>
      <c r="BD4041" s="3" t="s">
        <v>68</v>
      </c>
      <c r="BE4041" s="3" t="s">
        <v>38853</v>
      </c>
      <c r="BF4041" s="3" t="s">
        <v>38852</v>
      </c>
      <c r="BG4041" s="3" t="s">
        <v>38854</v>
      </c>
    </row>
    <row r="4042" spans="1:59" ht="71.25" x14ac:dyDescent="0.45">
      <c r="A4042" s="2" t="s">
        <v>59</v>
      </c>
      <c r="B4042" s="2" t="s">
        <v>60</v>
      </c>
      <c r="C4042" s="2" t="s">
        <v>38855</v>
      </c>
      <c r="D4042" s="2" t="s">
        <v>38856</v>
      </c>
      <c r="E4042" s="2" t="s">
        <v>38857</v>
      </c>
      <c r="G4042" s="3" t="s">
        <v>62</v>
      </c>
      <c r="I4042" s="3" t="s">
        <v>62</v>
      </c>
      <c r="J4042" s="3" t="s">
        <v>62</v>
      </c>
      <c r="K4042" s="3" t="s">
        <v>63</v>
      </c>
      <c r="L4042" s="2" t="s">
        <v>38858</v>
      </c>
      <c r="M4042" s="2" t="s">
        <v>9944</v>
      </c>
      <c r="N4042" s="3" t="s">
        <v>1465</v>
      </c>
      <c r="P4042" s="3" t="s">
        <v>65</v>
      </c>
      <c r="Q4042" s="2" t="s">
        <v>38859</v>
      </c>
      <c r="R4042" s="3" t="s">
        <v>66</v>
      </c>
      <c r="S4042" s="4">
        <v>4</v>
      </c>
      <c r="T4042" s="4">
        <v>4</v>
      </c>
      <c r="U4042" s="5" t="s">
        <v>38860</v>
      </c>
      <c r="V4042" s="5" t="s">
        <v>38860</v>
      </c>
      <c r="W4042" s="5" t="s">
        <v>67</v>
      </c>
      <c r="X4042" s="5" t="s">
        <v>67</v>
      </c>
      <c r="Y4042" s="4">
        <v>124</v>
      </c>
      <c r="Z4042" s="4">
        <v>8</v>
      </c>
      <c r="AA4042" s="4">
        <v>12</v>
      </c>
      <c r="AB4042" s="4">
        <v>1</v>
      </c>
      <c r="AC4042" s="4">
        <v>3</v>
      </c>
      <c r="AD4042" s="4">
        <v>48</v>
      </c>
      <c r="AE4042" s="4">
        <v>52</v>
      </c>
      <c r="AF4042" s="4">
        <v>0</v>
      </c>
      <c r="AG4042" s="4">
        <v>2</v>
      </c>
      <c r="AH4042" s="4">
        <v>45</v>
      </c>
      <c r="AI4042" s="4">
        <v>47</v>
      </c>
      <c r="AJ4042" s="4">
        <v>6</v>
      </c>
      <c r="AK4042" s="4">
        <v>10</v>
      </c>
      <c r="AL4042" s="4">
        <v>32</v>
      </c>
      <c r="AM4042" s="4">
        <v>32</v>
      </c>
      <c r="AN4042" s="4">
        <v>0</v>
      </c>
      <c r="AO4042" s="4">
        <v>0</v>
      </c>
      <c r="AP4042" s="4">
        <v>6</v>
      </c>
      <c r="AQ4042" s="4">
        <v>10</v>
      </c>
      <c r="AR4042" s="3" t="s">
        <v>62</v>
      </c>
      <c r="AS4042" s="3" t="s">
        <v>62</v>
      </c>
      <c r="AT4042" s="3" t="s">
        <v>62</v>
      </c>
      <c r="AV4042" s="6" t="str">
        <f>HYPERLINK("http://mcgill.on.worldcat.org/oclc/427857575","Catalog Record")</f>
        <v>Catalog Record</v>
      </c>
      <c r="AW4042" s="6" t="str">
        <f>HYPERLINK("http://www.worldcat.org/oclc/427857575","WorldCat Record")</f>
        <v>WorldCat Record</v>
      </c>
      <c r="AX4042" s="3" t="s">
        <v>38861</v>
      </c>
      <c r="AY4042" s="3" t="s">
        <v>38862</v>
      </c>
      <c r="AZ4042" s="3" t="s">
        <v>38863</v>
      </c>
      <c r="BA4042" s="3" t="s">
        <v>38863</v>
      </c>
      <c r="BB4042" s="3" t="s">
        <v>38864</v>
      </c>
      <c r="BC4042" s="3" t="s">
        <v>142</v>
      </c>
      <c r="BD4042" s="3" t="s">
        <v>68</v>
      </c>
      <c r="BE4042" s="3" t="s">
        <v>38865</v>
      </c>
      <c r="BF4042" s="3" t="s">
        <v>38864</v>
      </c>
      <c r="BG4042" s="3" t="s">
        <v>38866</v>
      </c>
    </row>
    <row r="4043" spans="1:59" ht="57" x14ac:dyDescent="0.45">
      <c r="A4043" s="2" t="s">
        <v>59</v>
      </c>
      <c r="B4043" s="2" t="s">
        <v>60</v>
      </c>
      <c r="C4043" s="2" t="s">
        <v>38867</v>
      </c>
      <c r="D4043" s="2" t="s">
        <v>38868</v>
      </c>
      <c r="E4043" s="2" t="s">
        <v>38869</v>
      </c>
      <c r="G4043" s="3" t="s">
        <v>62</v>
      </c>
      <c r="I4043" s="3" t="s">
        <v>62</v>
      </c>
      <c r="J4043" s="3" t="s">
        <v>62</v>
      </c>
      <c r="K4043" s="3" t="s">
        <v>63</v>
      </c>
      <c r="M4043" s="2" t="s">
        <v>1905</v>
      </c>
      <c r="N4043" s="3" t="s">
        <v>149</v>
      </c>
      <c r="P4043" s="3" t="s">
        <v>65</v>
      </c>
      <c r="Q4043" s="2" t="s">
        <v>38870</v>
      </c>
      <c r="R4043" s="3" t="s">
        <v>66</v>
      </c>
      <c r="S4043" s="4">
        <v>2</v>
      </c>
      <c r="T4043" s="4">
        <v>2</v>
      </c>
      <c r="U4043" s="5" t="s">
        <v>115</v>
      </c>
      <c r="V4043" s="5" t="s">
        <v>115</v>
      </c>
      <c r="W4043" s="5" t="s">
        <v>67</v>
      </c>
      <c r="X4043" s="5" t="s">
        <v>67</v>
      </c>
      <c r="Y4043" s="4">
        <v>94</v>
      </c>
      <c r="Z4043" s="4">
        <v>8</v>
      </c>
      <c r="AA4043" s="4">
        <v>9</v>
      </c>
      <c r="AB4043" s="4">
        <v>1</v>
      </c>
      <c r="AC4043" s="4">
        <v>2</v>
      </c>
      <c r="AD4043" s="4">
        <v>46</v>
      </c>
      <c r="AE4043" s="4">
        <v>47</v>
      </c>
      <c r="AF4043" s="4">
        <v>0</v>
      </c>
      <c r="AG4043" s="4">
        <v>1</v>
      </c>
      <c r="AH4043" s="4">
        <v>43</v>
      </c>
      <c r="AI4043" s="4">
        <v>43</v>
      </c>
      <c r="AJ4043" s="4">
        <v>6</v>
      </c>
      <c r="AK4043" s="4">
        <v>7</v>
      </c>
      <c r="AL4043" s="4">
        <v>31</v>
      </c>
      <c r="AM4043" s="4">
        <v>31</v>
      </c>
      <c r="AN4043" s="4">
        <v>0</v>
      </c>
      <c r="AO4043" s="4">
        <v>0</v>
      </c>
      <c r="AP4043" s="4">
        <v>6</v>
      </c>
      <c r="AQ4043" s="4">
        <v>7</v>
      </c>
      <c r="AR4043" s="3" t="s">
        <v>62</v>
      </c>
      <c r="AS4043" s="3" t="s">
        <v>62</v>
      </c>
      <c r="AT4043" s="3" t="s">
        <v>62</v>
      </c>
      <c r="AV4043" s="6" t="str">
        <f>HYPERLINK("http://mcgill.on.worldcat.org/oclc/640918016","Catalog Record")</f>
        <v>Catalog Record</v>
      </c>
      <c r="AW4043" s="6" t="str">
        <f>HYPERLINK("http://www.worldcat.org/oclc/640918016","WorldCat Record")</f>
        <v>WorldCat Record</v>
      </c>
      <c r="AX4043" s="3" t="s">
        <v>38871</v>
      </c>
      <c r="AY4043" s="3" t="s">
        <v>38872</v>
      </c>
      <c r="AZ4043" s="3" t="s">
        <v>38873</v>
      </c>
      <c r="BA4043" s="3" t="s">
        <v>38873</v>
      </c>
      <c r="BB4043" s="3" t="s">
        <v>38874</v>
      </c>
      <c r="BC4043" s="3" t="s">
        <v>142</v>
      </c>
      <c r="BD4043" s="3" t="s">
        <v>68</v>
      </c>
      <c r="BE4043" s="3" t="s">
        <v>38875</v>
      </c>
      <c r="BF4043" s="3" t="s">
        <v>38874</v>
      </c>
      <c r="BG4043" s="3" t="s">
        <v>38876</v>
      </c>
    </row>
    <row r="4044" spans="1:59" ht="57" x14ac:dyDescent="0.45">
      <c r="A4044" s="2" t="s">
        <v>59</v>
      </c>
      <c r="B4044" s="2" t="s">
        <v>60</v>
      </c>
      <c r="C4044" s="2" t="s">
        <v>38877</v>
      </c>
      <c r="D4044" s="2" t="s">
        <v>38878</v>
      </c>
      <c r="E4044" s="2" t="s">
        <v>38879</v>
      </c>
      <c r="G4044" s="3" t="s">
        <v>62</v>
      </c>
      <c r="I4044" s="3" t="s">
        <v>62</v>
      </c>
      <c r="J4044" s="3" t="s">
        <v>62</v>
      </c>
      <c r="K4044" s="3" t="s">
        <v>63</v>
      </c>
      <c r="L4044" s="2" t="s">
        <v>38880</v>
      </c>
      <c r="M4044" s="2" t="s">
        <v>38881</v>
      </c>
      <c r="N4044" s="3" t="s">
        <v>116</v>
      </c>
      <c r="P4044" s="3" t="s">
        <v>38882</v>
      </c>
      <c r="Q4044" s="2" t="s">
        <v>38883</v>
      </c>
      <c r="R4044" s="3" t="s">
        <v>66</v>
      </c>
      <c r="S4044" s="4">
        <v>0</v>
      </c>
      <c r="T4044" s="4">
        <v>0</v>
      </c>
      <c r="W4044" s="5" t="s">
        <v>67</v>
      </c>
      <c r="X4044" s="5" t="s">
        <v>67</v>
      </c>
      <c r="Y4044" s="4">
        <v>92</v>
      </c>
      <c r="Z4044" s="4">
        <v>9</v>
      </c>
      <c r="AA4044" s="4">
        <v>9</v>
      </c>
      <c r="AB4044" s="4">
        <v>1</v>
      </c>
      <c r="AC4044" s="4">
        <v>1</v>
      </c>
      <c r="AD4044" s="4">
        <v>47</v>
      </c>
      <c r="AE4044" s="4">
        <v>47</v>
      </c>
      <c r="AF4044" s="4">
        <v>0</v>
      </c>
      <c r="AG4044" s="4">
        <v>0</v>
      </c>
      <c r="AH4044" s="4">
        <v>44</v>
      </c>
      <c r="AI4044" s="4">
        <v>44</v>
      </c>
      <c r="AJ4044" s="4">
        <v>7</v>
      </c>
      <c r="AK4044" s="4">
        <v>7</v>
      </c>
      <c r="AL4044" s="4">
        <v>26</v>
      </c>
      <c r="AM4044" s="4">
        <v>26</v>
      </c>
      <c r="AN4044" s="4">
        <v>0</v>
      </c>
      <c r="AO4044" s="4">
        <v>0</v>
      </c>
      <c r="AP4044" s="4">
        <v>8</v>
      </c>
      <c r="AQ4044" s="4">
        <v>8</v>
      </c>
      <c r="AR4044" s="3" t="s">
        <v>62</v>
      </c>
      <c r="AS4044" s="3" t="s">
        <v>62</v>
      </c>
      <c r="AT4044" s="3" t="s">
        <v>62</v>
      </c>
      <c r="AV4044" s="6" t="str">
        <f>HYPERLINK("http://mcgill.on.worldcat.org/oclc/818865791","Catalog Record")</f>
        <v>Catalog Record</v>
      </c>
      <c r="AW4044" s="6" t="str">
        <f>HYPERLINK("http://www.worldcat.org/oclc/818865791","WorldCat Record")</f>
        <v>WorldCat Record</v>
      </c>
      <c r="AX4044" s="3" t="s">
        <v>38884</v>
      </c>
      <c r="AY4044" s="3" t="s">
        <v>38885</v>
      </c>
      <c r="AZ4044" s="3" t="s">
        <v>38886</v>
      </c>
      <c r="BA4044" s="3" t="s">
        <v>38886</v>
      </c>
      <c r="BB4044" s="3" t="s">
        <v>38887</v>
      </c>
      <c r="BC4044" s="3" t="s">
        <v>142</v>
      </c>
      <c r="BD4044" s="3" t="s">
        <v>68</v>
      </c>
      <c r="BE4044" s="3" t="s">
        <v>38888</v>
      </c>
      <c r="BF4044" s="3" t="s">
        <v>38887</v>
      </c>
      <c r="BG4044" s="3" t="s">
        <v>38889</v>
      </c>
    </row>
    <row r="4045" spans="1:59" ht="57" x14ac:dyDescent="0.45">
      <c r="A4045" s="2" t="s">
        <v>59</v>
      </c>
      <c r="B4045" s="2" t="s">
        <v>60</v>
      </c>
      <c r="C4045" s="2" t="s">
        <v>38890</v>
      </c>
      <c r="D4045" s="2" t="s">
        <v>38891</v>
      </c>
      <c r="E4045" s="2" t="s">
        <v>38892</v>
      </c>
      <c r="G4045" s="3" t="s">
        <v>62</v>
      </c>
      <c r="I4045" s="3" t="s">
        <v>62</v>
      </c>
      <c r="J4045" s="3" t="s">
        <v>62</v>
      </c>
      <c r="K4045" s="3" t="s">
        <v>63</v>
      </c>
      <c r="M4045" s="2" t="s">
        <v>38893</v>
      </c>
      <c r="N4045" s="3" t="s">
        <v>5180</v>
      </c>
      <c r="P4045" s="3" t="s">
        <v>65</v>
      </c>
      <c r="R4045" s="3" t="s">
        <v>66</v>
      </c>
      <c r="S4045" s="4">
        <v>0</v>
      </c>
      <c r="T4045" s="4">
        <v>0</v>
      </c>
      <c r="W4045" s="5" t="s">
        <v>67</v>
      </c>
      <c r="X4045" s="5" t="s">
        <v>67</v>
      </c>
      <c r="Y4045" s="4">
        <v>64</v>
      </c>
      <c r="Z4045" s="4">
        <v>6</v>
      </c>
      <c r="AA4045" s="4">
        <v>11</v>
      </c>
      <c r="AB4045" s="4">
        <v>2</v>
      </c>
      <c r="AC4045" s="4">
        <v>6</v>
      </c>
      <c r="AD4045" s="4">
        <v>28</v>
      </c>
      <c r="AE4045" s="4">
        <v>38</v>
      </c>
      <c r="AF4045" s="4">
        <v>1</v>
      </c>
      <c r="AG4045" s="4">
        <v>2</v>
      </c>
      <c r="AH4045" s="4">
        <v>25</v>
      </c>
      <c r="AI4045" s="4">
        <v>34</v>
      </c>
      <c r="AJ4045" s="4">
        <v>5</v>
      </c>
      <c r="AK4045" s="4">
        <v>7</v>
      </c>
      <c r="AL4045" s="4">
        <v>18</v>
      </c>
      <c r="AM4045" s="4">
        <v>22</v>
      </c>
      <c r="AN4045" s="4">
        <v>0</v>
      </c>
      <c r="AO4045" s="4">
        <v>0</v>
      </c>
      <c r="AP4045" s="4">
        <v>5</v>
      </c>
      <c r="AQ4045" s="4">
        <v>7</v>
      </c>
      <c r="AR4045" s="3" t="s">
        <v>62</v>
      </c>
      <c r="AS4045" s="3" t="s">
        <v>62</v>
      </c>
      <c r="AT4045" s="3" t="s">
        <v>62</v>
      </c>
      <c r="AV4045" s="6" t="str">
        <f>HYPERLINK("http://mcgill.on.worldcat.org/oclc/968557515","Catalog Record")</f>
        <v>Catalog Record</v>
      </c>
      <c r="AW4045" s="6" t="str">
        <f>HYPERLINK("http://www.worldcat.org/oclc/968557515","WorldCat Record")</f>
        <v>WorldCat Record</v>
      </c>
      <c r="AX4045" s="3" t="s">
        <v>38894</v>
      </c>
      <c r="AY4045" s="3" t="s">
        <v>38895</v>
      </c>
      <c r="AZ4045" s="3" t="s">
        <v>38896</v>
      </c>
      <c r="BA4045" s="3" t="s">
        <v>38896</v>
      </c>
      <c r="BB4045" s="3" t="s">
        <v>38897</v>
      </c>
      <c r="BC4045" s="3" t="s">
        <v>142</v>
      </c>
      <c r="BD4045" s="3" t="s">
        <v>68</v>
      </c>
      <c r="BE4045" s="3" t="s">
        <v>38898</v>
      </c>
      <c r="BF4045" s="3" t="s">
        <v>38897</v>
      </c>
      <c r="BG4045" s="3" t="s">
        <v>38899</v>
      </c>
    </row>
    <row r="4046" spans="1:59" ht="57" x14ac:dyDescent="0.45">
      <c r="A4046" s="2" t="s">
        <v>59</v>
      </c>
      <c r="B4046" s="2" t="s">
        <v>60</v>
      </c>
      <c r="C4046" s="2" t="s">
        <v>38900</v>
      </c>
      <c r="D4046" s="2" t="s">
        <v>38901</v>
      </c>
      <c r="E4046" s="2" t="s">
        <v>38902</v>
      </c>
      <c r="G4046" s="3" t="s">
        <v>62</v>
      </c>
      <c r="I4046" s="3" t="s">
        <v>62</v>
      </c>
      <c r="J4046" s="3" t="s">
        <v>62</v>
      </c>
      <c r="K4046" s="3" t="s">
        <v>63</v>
      </c>
      <c r="L4046" s="2" t="s">
        <v>38903</v>
      </c>
      <c r="M4046" s="2" t="s">
        <v>38904</v>
      </c>
      <c r="N4046" s="3" t="s">
        <v>918</v>
      </c>
      <c r="P4046" s="3" t="s">
        <v>65</v>
      </c>
      <c r="Q4046" s="2" t="s">
        <v>7366</v>
      </c>
      <c r="R4046" s="3" t="s">
        <v>66</v>
      </c>
      <c r="S4046" s="4">
        <v>44</v>
      </c>
      <c r="T4046" s="4">
        <v>44</v>
      </c>
      <c r="U4046" s="5" t="s">
        <v>38860</v>
      </c>
      <c r="V4046" s="5" t="s">
        <v>38860</v>
      </c>
      <c r="W4046" s="5" t="s">
        <v>67</v>
      </c>
      <c r="X4046" s="5" t="s">
        <v>67</v>
      </c>
      <c r="Y4046" s="4">
        <v>128</v>
      </c>
      <c r="Z4046" s="4">
        <v>11</v>
      </c>
      <c r="AA4046" s="4">
        <v>73</v>
      </c>
      <c r="AB4046" s="4">
        <v>2</v>
      </c>
      <c r="AC4046" s="4">
        <v>15</v>
      </c>
      <c r="AD4046" s="4">
        <v>22</v>
      </c>
      <c r="AE4046" s="4">
        <v>94</v>
      </c>
      <c r="AF4046" s="4">
        <v>1</v>
      </c>
      <c r="AG4046" s="4">
        <v>8</v>
      </c>
      <c r="AH4046" s="4">
        <v>17</v>
      </c>
      <c r="AI4046" s="4">
        <v>63</v>
      </c>
      <c r="AJ4046" s="4">
        <v>7</v>
      </c>
      <c r="AK4046" s="4">
        <v>23</v>
      </c>
      <c r="AL4046" s="4">
        <v>9</v>
      </c>
      <c r="AM4046" s="4">
        <v>29</v>
      </c>
      <c r="AN4046" s="4">
        <v>0</v>
      </c>
      <c r="AO4046" s="4">
        <v>0</v>
      </c>
      <c r="AP4046" s="4">
        <v>9</v>
      </c>
      <c r="AQ4046" s="4">
        <v>39</v>
      </c>
      <c r="AR4046" s="3" t="s">
        <v>62</v>
      </c>
      <c r="AS4046" s="3" t="s">
        <v>62</v>
      </c>
      <c r="AT4046" s="3" t="s">
        <v>62</v>
      </c>
      <c r="AV4046" s="6" t="str">
        <f>HYPERLINK("http://mcgill.on.worldcat.org/oclc/56656499","Catalog Record")</f>
        <v>Catalog Record</v>
      </c>
      <c r="AW4046" s="6" t="str">
        <f>HYPERLINK("http://www.worldcat.org/oclc/56656499","WorldCat Record")</f>
        <v>WorldCat Record</v>
      </c>
      <c r="AX4046" s="3" t="s">
        <v>38905</v>
      </c>
      <c r="AY4046" s="3" t="s">
        <v>38906</v>
      </c>
      <c r="AZ4046" s="3" t="s">
        <v>38907</v>
      </c>
      <c r="BA4046" s="3" t="s">
        <v>38907</v>
      </c>
      <c r="BB4046" s="3" t="s">
        <v>38908</v>
      </c>
      <c r="BC4046" s="3" t="s">
        <v>142</v>
      </c>
      <c r="BD4046" s="3" t="s">
        <v>68</v>
      </c>
      <c r="BE4046" s="3" t="s">
        <v>38909</v>
      </c>
      <c r="BF4046" s="3" t="s">
        <v>38908</v>
      </c>
      <c r="BG4046" s="3" t="s">
        <v>38910</v>
      </c>
    </row>
    <row r="4047" spans="1:59" ht="57" x14ac:dyDescent="0.45">
      <c r="A4047" s="2" t="s">
        <v>59</v>
      </c>
      <c r="B4047" s="2" t="s">
        <v>60</v>
      </c>
      <c r="C4047" s="2" t="s">
        <v>38911</v>
      </c>
      <c r="D4047" s="2" t="s">
        <v>38912</v>
      </c>
      <c r="E4047" s="2" t="s">
        <v>38913</v>
      </c>
      <c r="G4047" s="3" t="s">
        <v>62</v>
      </c>
      <c r="I4047" s="3" t="s">
        <v>62</v>
      </c>
      <c r="J4047" s="3" t="s">
        <v>62</v>
      </c>
      <c r="K4047" s="3" t="s">
        <v>63</v>
      </c>
      <c r="L4047" s="2" t="s">
        <v>38914</v>
      </c>
      <c r="M4047" s="2" t="s">
        <v>38915</v>
      </c>
      <c r="N4047" s="3" t="s">
        <v>894</v>
      </c>
      <c r="P4047" s="3" t="s">
        <v>65</v>
      </c>
      <c r="Q4047" s="2" t="s">
        <v>38916</v>
      </c>
      <c r="R4047" s="3" t="s">
        <v>66</v>
      </c>
      <c r="S4047" s="4">
        <v>0</v>
      </c>
      <c r="T4047" s="4">
        <v>0</v>
      </c>
      <c r="W4047" s="5" t="s">
        <v>67</v>
      </c>
      <c r="X4047" s="5" t="s">
        <v>67</v>
      </c>
      <c r="Y4047" s="4">
        <v>17</v>
      </c>
      <c r="Z4047" s="4">
        <v>4</v>
      </c>
      <c r="AA4047" s="4">
        <v>4</v>
      </c>
      <c r="AB4047" s="4">
        <v>1</v>
      </c>
      <c r="AC4047" s="4">
        <v>1</v>
      </c>
      <c r="AD4047" s="4">
        <v>10</v>
      </c>
      <c r="AE4047" s="4">
        <v>10</v>
      </c>
      <c r="AF4047" s="4">
        <v>0</v>
      </c>
      <c r="AG4047" s="4">
        <v>0</v>
      </c>
      <c r="AH4047" s="4">
        <v>9</v>
      </c>
      <c r="AI4047" s="4">
        <v>9</v>
      </c>
      <c r="AJ4047" s="4">
        <v>2</v>
      </c>
      <c r="AK4047" s="4">
        <v>2</v>
      </c>
      <c r="AL4047" s="4">
        <v>7</v>
      </c>
      <c r="AM4047" s="4">
        <v>7</v>
      </c>
      <c r="AN4047" s="4">
        <v>0</v>
      </c>
      <c r="AO4047" s="4">
        <v>0</v>
      </c>
      <c r="AP4047" s="4">
        <v>2</v>
      </c>
      <c r="AQ4047" s="4">
        <v>2</v>
      </c>
      <c r="AR4047" s="3" t="s">
        <v>62</v>
      </c>
      <c r="AS4047" s="3" t="s">
        <v>62</v>
      </c>
      <c r="AT4047" s="3" t="s">
        <v>62</v>
      </c>
      <c r="AV4047" s="6" t="str">
        <f>HYPERLINK("http://mcgill.on.worldcat.org/oclc/748373272","Catalog Record")</f>
        <v>Catalog Record</v>
      </c>
      <c r="AW4047" s="6" t="str">
        <f>HYPERLINK("http://www.worldcat.org/oclc/748373272","WorldCat Record")</f>
        <v>WorldCat Record</v>
      </c>
      <c r="AX4047" s="3" t="s">
        <v>38917</v>
      </c>
      <c r="AY4047" s="3" t="s">
        <v>38918</v>
      </c>
      <c r="AZ4047" s="3" t="s">
        <v>38919</v>
      </c>
      <c r="BA4047" s="3" t="s">
        <v>38919</v>
      </c>
      <c r="BB4047" s="3" t="s">
        <v>38920</v>
      </c>
      <c r="BC4047" s="3" t="s">
        <v>142</v>
      </c>
      <c r="BD4047" s="3" t="s">
        <v>68</v>
      </c>
      <c r="BE4047" s="3" t="s">
        <v>38921</v>
      </c>
      <c r="BF4047" s="3" t="s">
        <v>38920</v>
      </c>
      <c r="BG4047" s="3" t="s">
        <v>38922</v>
      </c>
    </row>
    <row r="4048" spans="1:59" ht="57" x14ac:dyDescent="0.45">
      <c r="A4048" s="2" t="s">
        <v>59</v>
      </c>
      <c r="B4048" s="2" t="s">
        <v>60</v>
      </c>
      <c r="C4048" s="2" t="s">
        <v>38923</v>
      </c>
      <c r="D4048" s="2" t="s">
        <v>38924</v>
      </c>
      <c r="E4048" s="2" t="s">
        <v>38925</v>
      </c>
      <c r="G4048" s="3" t="s">
        <v>62</v>
      </c>
      <c r="I4048" s="3" t="s">
        <v>62</v>
      </c>
      <c r="J4048" s="3" t="s">
        <v>62</v>
      </c>
      <c r="K4048" s="3" t="s">
        <v>63</v>
      </c>
      <c r="M4048" s="2" t="s">
        <v>2489</v>
      </c>
      <c r="N4048" s="3" t="s">
        <v>918</v>
      </c>
      <c r="P4048" s="3" t="s">
        <v>65</v>
      </c>
      <c r="Q4048" s="2" t="s">
        <v>38926</v>
      </c>
      <c r="R4048" s="3" t="s">
        <v>66</v>
      </c>
      <c r="S4048" s="4">
        <v>12</v>
      </c>
      <c r="T4048" s="4">
        <v>12</v>
      </c>
      <c r="U4048" s="5" t="s">
        <v>32838</v>
      </c>
      <c r="V4048" s="5" t="s">
        <v>32838</v>
      </c>
      <c r="W4048" s="5" t="s">
        <v>67</v>
      </c>
      <c r="X4048" s="5" t="s">
        <v>67</v>
      </c>
      <c r="Y4048" s="4">
        <v>186</v>
      </c>
      <c r="Z4048" s="4">
        <v>11</v>
      </c>
      <c r="AA4048" s="4">
        <v>26</v>
      </c>
      <c r="AB4048" s="4">
        <v>1</v>
      </c>
      <c r="AC4048" s="4">
        <v>3</v>
      </c>
      <c r="AD4048" s="4">
        <v>74</v>
      </c>
      <c r="AE4048" s="4">
        <v>93</v>
      </c>
      <c r="AF4048" s="4">
        <v>0</v>
      </c>
      <c r="AG4048" s="4">
        <v>0</v>
      </c>
      <c r="AH4048" s="4">
        <v>70</v>
      </c>
      <c r="AI4048" s="4">
        <v>82</v>
      </c>
      <c r="AJ4048" s="4">
        <v>7</v>
      </c>
      <c r="AK4048" s="4">
        <v>10</v>
      </c>
      <c r="AL4048" s="4">
        <v>44</v>
      </c>
      <c r="AM4048" s="4">
        <v>47</v>
      </c>
      <c r="AN4048" s="4">
        <v>0</v>
      </c>
      <c r="AO4048" s="4">
        <v>0</v>
      </c>
      <c r="AP4048" s="4">
        <v>8</v>
      </c>
      <c r="AQ4048" s="4">
        <v>17</v>
      </c>
      <c r="AR4048" s="3" t="s">
        <v>62</v>
      </c>
      <c r="AS4048" s="3" t="s">
        <v>62</v>
      </c>
      <c r="AT4048" s="3" t="s">
        <v>61</v>
      </c>
      <c r="AU4048" s="6" t="str">
        <f>HYPERLINK("http://catalog.hathitrust.org/Record/004344885","HathiTrust Record")</f>
        <v>HathiTrust Record</v>
      </c>
      <c r="AV4048" s="6" t="str">
        <f>HYPERLINK("http://mcgill.on.worldcat.org/oclc/52540202","Catalog Record")</f>
        <v>Catalog Record</v>
      </c>
      <c r="AW4048" s="6" t="str">
        <f>HYPERLINK("http://www.worldcat.org/oclc/52540202","WorldCat Record")</f>
        <v>WorldCat Record</v>
      </c>
      <c r="AX4048" s="3" t="s">
        <v>38927</v>
      </c>
      <c r="AY4048" s="3" t="s">
        <v>38928</v>
      </c>
      <c r="AZ4048" s="3" t="s">
        <v>38929</v>
      </c>
      <c r="BA4048" s="3" t="s">
        <v>38929</v>
      </c>
      <c r="BB4048" s="3" t="s">
        <v>38930</v>
      </c>
      <c r="BC4048" s="3" t="s">
        <v>142</v>
      </c>
      <c r="BD4048" s="3" t="s">
        <v>68</v>
      </c>
      <c r="BE4048" s="3" t="s">
        <v>38931</v>
      </c>
      <c r="BF4048" s="3" t="s">
        <v>38930</v>
      </c>
      <c r="BG4048" s="3" t="s">
        <v>38932</v>
      </c>
    </row>
    <row r="4049" spans="1:59" ht="57" x14ac:dyDescent="0.45">
      <c r="A4049" s="2" t="s">
        <v>59</v>
      </c>
      <c r="B4049" s="2" t="s">
        <v>60</v>
      </c>
      <c r="C4049" s="2" t="s">
        <v>38933</v>
      </c>
      <c r="D4049" s="2" t="s">
        <v>38934</v>
      </c>
      <c r="E4049" s="2" t="s">
        <v>38935</v>
      </c>
      <c r="G4049" s="3" t="s">
        <v>62</v>
      </c>
      <c r="I4049" s="3" t="s">
        <v>62</v>
      </c>
      <c r="J4049" s="3" t="s">
        <v>62</v>
      </c>
      <c r="K4049" s="3" t="s">
        <v>63</v>
      </c>
      <c r="M4049" s="2" t="s">
        <v>38936</v>
      </c>
      <c r="N4049" s="3" t="s">
        <v>181</v>
      </c>
      <c r="P4049" s="3" t="s">
        <v>65</v>
      </c>
      <c r="Q4049" s="2" t="s">
        <v>38937</v>
      </c>
      <c r="R4049" s="3" t="s">
        <v>66</v>
      </c>
      <c r="S4049" s="4">
        <v>1</v>
      </c>
      <c r="T4049" s="4">
        <v>1</v>
      </c>
      <c r="U4049" s="5" t="s">
        <v>36331</v>
      </c>
      <c r="V4049" s="5" t="s">
        <v>36331</v>
      </c>
      <c r="W4049" s="5" t="s">
        <v>67</v>
      </c>
      <c r="X4049" s="5" t="s">
        <v>67</v>
      </c>
      <c r="Y4049" s="4">
        <v>134</v>
      </c>
      <c r="Z4049" s="4">
        <v>11</v>
      </c>
      <c r="AA4049" s="4">
        <v>15</v>
      </c>
      <c r="AB4049" s="4">
        <v>2</v>
      </c>
      <c r="AC4049" s="4">
        <v>5</v>
      </c>
      <c r="AD4049" s="4">
        <v>58</v>
      </c>
      <c r="AE4049" s="4">
        <v>61</v>
      </c>
      <c r="AF4049" s="4">
        <v>1</v>
      </c>
      <c r="AG4049" s="4">
        <v>1</v>
      </c>
      <c r="AH4049" s="4">
        <v>54</v>
      </c>
      <c r="AI4049" s="4">
        <v>57</v>
      </c>
      <c r="AJ4049" s="4">
        <v>9</v>
      </c>
      <c r="AK4049" s="4">
        <v>9</v>
      </c>
      <c r="AL4049" s="4">
        <v>37</v>
      </c>
      <c r="AM4049" s="4">
        <v>38</v>
      </c>
      <c r="AN4049" s="4">
        <v>0</v>
      </c>
      <c r="AO4049" s="4">
        <v>0</v>
      </c>
      <c r="AP4049" s="4">
        <v>9</v>
      </c>
      <c r="AQ4049" s="4">
        <v>9</v>
      </c>
      <c r="AR4049" s="3" t="s">
        <v>62</v>
      </c>
      <c r="AS4049" s="3" t="s">
        <v>62</v>
      </c>
      <c r="AT4049" s="3" t="s">
        <v>62</v>
      </c>
      <c r="AV4049" s="6" t="str">
        <f>HYPERLINK("http://mcgill.on.worldcat.org/oclc/950004092","Catalog Record")</f>
        <v>Catalog Record</v>
      </c>
      <c r="AW4049" s="6" t="str">
        <f>HYPERLINK("http://www.worldcat.org/oclc/950004092","WorldCat Record")</f>
        <v>WorldCat Record</v>
      </c>
      <c r="AX4049" s="3" t="s">
        <v>38938</v>
      </c>
      <c r="AY4049" s="3" t="s">
        <v>38939</v>
      </c>
      <c r="AZ4049" s="3" t="s">
        <v>38940</v>
      </c>
      <c r="BA4049" s="3" t="s">
        <v>38940</v>
      </c>
      <c r="BB4049" s="3" t="s">
        <v>38941</v>
      </c>
      <c r="BC4049" s="3" t="s">
        <v>142</v>
      </c>
      <c r="BD4049" s="3" t="s">
        <v>68</v>
      </c>
      <c r="BE4049" s="3" t="s">
        <v>38942</v>
      </c>
      <c r="BF4049" s="3" t="s">
        <v>38941</v>
      </c>
      <c r="BG4049" s="3" t="s">
        <v>38943</v>
      </c>
    </row>
    <row r="4050" spans="1:59" ht="57" x14ac:dyDescent="0.45">
      <c r="A4050" s="2" t="s">
        <v>59</v>
      </c>
      <c r="B4050" s="2" t="s">
        <v>60</v>
      </c>
      <c r="C4050" s="2" t="s">
        <v>38944</v>
      </c>
      <c r="D4050" s="2" t="s">
        <v>38945</v>
      </c>
      <c r="E4050" s="2" t="s">
        <v>38946</v>
      </c>
      <c r="G4050" s="3" t="s">
        <v>62</v>
      </c>
      <c r="I4050" s="3" t="s">
        <v>62</v>
      </c>
      <c r="J4050" s="3" t="s">
        <v>62</v>
      </c>
      <c r="K4050" s="3" t="s">
        <v>63</v>
      </c>
      <c r="M4050" s="2" t="s">
        <v>38947</v>
      </c>
      <c r="N4050" s="3" t="s">
        <v>820</v>
      </c>
      <c r="P4050" s="3" t="s">
        <v>65</v>
      </c>
      <c r="Q4050" s="2" t="s">
        <v>38948</v>
      </c>
      <c r="R4050" s="3" t="s">
        <v>66</v>
      </c>
      <c r="S4050" s="4">
        <v>3</v>
      </c>
      <c r="T4050" s="4">
        <v>3</v>
      </c>
      <c r="U4050" s="5" t="s">
        <v>5192</v>
      </c>
      <c r="V4050" s="5" t="s">
        <v>5192</v>
      </c>
      <c r="W4050" s="5" t="s">
        <v>67</v>
      </c>
      <c r="X4050" s="5" t="s">
        <v>67</v>
      </c>
      <c r="Y4050" s="4">
        <v>71</v>
      </c>
      <c r="Z4050" s="4">
        <v>10</v>
      </c>
      <c r="AA4050" s="4">
        <v>10</v>
      </c>
      <c r="AB4050" s="4">
        <v>2</v>
      </c>
      <c r="AC4050" s="4">
        <v>2</v>
      </c>
      <c r="AD4050" s="4">
        <v>41</v>
      </c>
      <c r="AE4050" s="4">
        <v>41</v>
      </c>
      <c r="AF4050" s="4">
        <v>0</v>
      </c>
      <c r="AG4050" s="4">
        <v>0</v>
      </c>
      <c r="AH4050" s="4">
        <v>38</v>
      </c>
      <c r="AI4050" s="4">
        <v>38</v>
      </c>
      <c r="AJ4050" s="4">
        <v>6</v>
      </c>
      <c r="AK4050" s="4">
        <v>6</v>
      </c>
      <c r="AL4050" s="4">
        <v>27</v>
      </c>
      <c r="AM4050" s="4">
        <v>27</v>
      </c>
      <c r="AN4050" s="4">
        <v>0</v>
      </c>
      <c r="AO4050" s="4">
        <v>0</v>
      </c>
      <c r="AP4050" s="4">
        <v>7</v>
      </c>
      <c r="AQ4050" s="4">
        <v>7</v>
      </c>
      <c r="AR4050" s="3" t="s">
        <v>62</v>
      </c>
      <c r="AS4050" s="3" t="s">
        <v>62</v>
      </c>
      <c r="AT4050" s="3" t="s">
        <v>61</v>
      </c>
      <c r="AU4050" s="6" t="str">
        <f>HYPERLINK("http://catalog.hathitrust.org/Record/009802322","HathiTrust Record")</f>
        <v>HathiTrust Record</v>
      </c>
      <c r="AV4050" s="6" t="str">
        <f>HYPERLINK("http://mcgill.on.worldcat.org/oclc/313657771","Catalog Record")</f>
        <v>Catalog Record</v>
      </c>
      <c r="AW4050" s="6" t="str">
        <f>HYPERLINK("http://www.worldcat.org/oclc/313657771","WorldCat Record")</f>
        <v>WorldCat Record</v>
      </c>
      <c r="AX4050" s="3" t="s">
        <v>38949</v>
      </c>
      <c r="AY4050" s="3" t="s">
        <v>38950</v>
      </c>
      <c r="AZ4050" s="3" t="s">
        <v>38951</v>
      </c>
      <c r="BA4050" s="3" t="s">
        <v>38951</v>
      </c>
      <c r="BB4050" s="3" t="s">
        <v>38952</v>
      </c>
      <c r="BC4050" s="3" t="s">
        <v>142</v>
      </c>
      <c r="BD4050" s="3" t="s">
        <v>68</v>
      </c>
      <c r="BE4050" s="3" t="s">
        <v>38953</v>
      </c>
      <c r="BF4050" s="3" t="s">
        <v>38952</v>
      </c>
      <c r="BG4050" s="3" t="s">
        <v>38954</v>
      </c>
    </row>
    <row r="4051" spans="1:59" ht="57" x14ac:dyDescent="0.45">
      <c r="A4051" s="2" t="s">
        <v>59</v>
      </c>
      <c r="B4051" s="2" t="s">
        <v>60</v>
      </c>
      <c r="C4051" s="2" t="s">
        <v>38955</v>
      </c>
      <c r="D4051" s="2" t="s">
        <v>38956</v>
      </c>
      <c r="E4051" s="2" t="s">
        <v>38957</v>
      </c>
      <c r="G4051" s="3" t="s">
        <v>62</v>
      </c>
      <c r="I4051" s="3" t="s">
        <v>62</v>
      </c>
      <c r="J4051" s="3" t="s">
        <v>62</v>
      </c>
      <c r="K4051" s="3" t="s">
        <v>63</v>
      </c>
      <c r="L4051" s="2" t="s">
        <v>38958</v>
      </c>
      <c r="M4051" s="2" t="s">
        <v>38959</v>
      </c>
      <c r="N4051" s="3" t="s">
        <v>1097</v>
      </c>
      <c r="P4051" s="3" t="s">
        <v>65</v>
      </c>
      <c r="R4051" s="3" t="s">
        <v>66</v>
      </c>
      <c r="S4051" s="4">
        <v>48</v>
      </c>
      <c r="T4051" s="4">
        <v>48</v>
      </c>
      <c r="U4051" s="5" t="s">
        <v>18697</v>
      </c>
      <c r="V4051" s="5" t="s">
        <v>18697</v>
      </c>
      <c r="W4051" s="5" t="s">
        <v>67</v>
      </c>
      <c r="X4051" s="5" t="s">
        <v>67</v>
      </c>
      <c r="Y4051" s="4">
        <v>349</v>
      </c>
      <c r="Z4051" s="4">
        <v>22</v>
      </c>
      <c r="AA4051" s="4">
        <v>24</v>
      </c>
      <c r="AB4051" s="4">
        <v>3</v>
      </c>
      <c r="AC4051" s="4">
        <v>5</v>
      </c>
      <c r="AD4051" s="4">
        <v>87</v>
      </c>
      <c r="AE4051" s="4">
        <v>89</v>
      </c>
      <c r="AF4051" s="4">
        <v>2</v>
      </c>
      <c r="AG4051" s="4">
        <v>3</v>
      </c>
      <c r="AH4051" s="4">
        <v>78</v>
      </c>
      <c r="AI4051" s="4">
        <v>79</v>
      </c>
      <c r="AJ4051" s="4">
        <v>14</v>
      </c>
      <c r="AK4051" s="4">
        <v>15</v>
      </c>
      <c r="AL4051" s="4">
        <v>40</v>
      </c>
      <c r="AM4051" s="4">
        <v>41</v>
      </c>
      <c r="AN4051" s="4">
        <v>0</v>
      </c>
      <c r="AO4051" s="4">
        <v>0</v>
      </c>
      <c r="AP4051" s="4">
        <v>17</v>
      </c>
      <c r="AQ4051" s="4">
        <v>17</v>
      </c>
      <c r="AR4051" s="3" t="s">
        <v>62</v>
      </c>
      <c r="AS4051" s="3" t="s">
        <v>62</v>
      </c>
      <c r="AT4051" s="3" t="s">
        <v>61</v>
      </c>
      <c r="AU4051" s="6" t="str">
        <f>HYPERLINK("http://catalog.hathitrust.org/Record/004375997","HathiTrust Record")</f>
        <v>HathiTrust Record</v>
      </c>
      <c r="AV4051" s="6" t="str">
        <f>HYPERLINK("http://mcgill.on.worldcat.org/oclc/53485173","Catalog Record")</f>
        <v>Catalog Record</v>
      </c>
      <c r="AW4051" s="6" t="str">
        <f>HYPERLINK("http://www.worldcat.org/oclc/53485173","WorldCat Record")</f>
        <v>WorldCat Record</v>
      </c>
      <c r="AX4051" s="3" t="s">
        <v>38960</v>
      </c>
      <c r="AY4051" s="3" t="s">
        <v>38961</v>
      </c>
      <c r="AZ4051" s="3" t="s">
        <v>38962</v>
      </c>
      <c r="BA4051" s="3" t="s">
        <v>38962</v>
      </c>
      <c r="BB4051" s="3" t="s">
        <v>38963</v>
      </c>
      <c r="BC4051" s="3" t="s">
        <v>142</v>
      </c>
      <c r="BD4051" s="3" t="s">
        <v>68</v>
      </c>
      <c r="BE4051" s="3" t="s">
        <v>38964</v>
      </c>
      <c r="BF4051" s="3" t="s">
        <v>38963</v>
      </c>
      <c r="BG4051" s="3" t="s">
        <v>38965</v>
      </c>
    </row>
    <row r="4052" spans="1:59" ht="57" x14ac:dyDescent="0.45">
      <c r="A4052" s="2" t="s">
        <v>59</v>
      </c>
      <c r="B4052" s="2" t="s">
        <v>60</v>
      </c>
      <c r="C4052" s="2" t="s">
        <v>38966</v>
      </c>
      <c r="D4052" s="2" t="s">
        <v>38967</v>
      </c>
      <c r="E4052" s="2" t="s">
        <v>38968</v>
      </c>
      <c r="G4052" s="3" t="s">
        <v>62</v>
      </c>
      <c r="H4052" s="3" t="s">
        <v>3960</v>
      </c>
      <c r="I4052" s="3" t="s">
        <v>62</v>
      </c>
      <c r="J4052" s="3" t="s">
        <v>62</v>
      </c>
      <c r="K4052" s="3" t="s">
        <v>63</v>
      </c>
      <c r="L4052" s="2" t="s">
        <v>3196</v>
      </c>
      <c r="M4052" s="2" t="s">
        <v>38969</v>
      </c>
      <c r="N4052" s="3" t="s">
        <v>1918</v>
      </c>
      <c r="P4052" s="3" t="s">
        <v>110</v>
      </c>
      <c r="Q4052" s="2" t="s">
        <v>38970</v>
      </c>
      <c r="R4052" s="3" t="s">
        <v>66</v>
      </c>
      <c r="S4052" s="4">
        <v>0</v>
      </c>
      <c r="T4052" s="4">
        <v>0</v>
      </c>
      <c r="W4052" s="5" t="s">
        <v>5247</v>
      </c>
      <c r="X4052" s="5" t="s">
        <v>5247</v>
      </c>
      <c r="Y4052" s="4">
        <v>4</v>
      </c>
      <c r="Z4052" s="4">
        <v>2</v>
      </c>
      <c r="AA4052" s="4">
        <v>9</v>
      </c>
      <c r="AB4052" s="4">
        <v>1</v>
      </c>
      <c r="AC4052" s="4">
        <v>6</v>
      </c>
      <c r="AD4052" s="4">
        <v>2</v>
      </c>
      <c r="AE4052" s="4">
        <v>7</v>
      </c>
      <c r="AF4052" s="4">
        <v>0</v>
      </c>
      <c r="AG4052" s="4">
        <v>4</v>
      </c>
      <c r="AH4052" s="4">
        <v>1</v>
      </c>
      <c r="AI4052" s="4">
        <v>3</v>
      </c>
      <c r="AJ4052" s="4">
        <v>1</v>
      </c>
      <c r="AK4052" s="4">
        <v>4</v>
      </c>
      <c r="AL4052" s="4">
        <v>1</v>
      </c>
      <c r="AM4052" s="4">
        <v>1</v>
      </c>
      <c r="AN4052" s="4">
        <v>0</v>
      </c>
      <c r="AO4052" s="4">
        <v>0</v>
      </c>
      <c r="AP4052" s="4">
        <v>1</v>
      </c>
      <c r="AQ4052" s="4">
        <v>5</v>
      </c>
      <c r="AR4052" s="3" t="s">
        <v>62</v>
      </c>
      <c r="AS4052" s="3" t="s">
        <v>62</v>
      </c>
      <c r="AT4052" s="3" t="s">
        <v>62</v>
      </c>
      <c r="AV4052" s="6" t="str">
        <f>HYPERLINK("http://mcgill.on.worldcat.org/oclc/1090068864","Catalog Record")</f>
        <v>Catalog Record</v>
      </c>
      <c r="AW4052" s="6" t="str">
        <f>HYPERLINK("http://www.worldcat.org/oclc/1090068864","WorldCat Record")</f>
        <v>WorldCat Record</v>
      </c>
      <c r="AX4052" s="3" t="s">
        <v>38971</v>
      </c>
      <c r="AY4052" s="3" t="s">
        <v>38972</v>
      </c>
      <c r="AZ4052" s="3" t="s">
        <v>38973</v>
      </c>
      <c r="BA4052" s="3" t="s">
        <v>38973</v>
      </c>
      <c r="BB4052" s="3" t="s">
        <v>38974</v>
      </c>
      <c r="BC4052" s="3" t="s">
        <v>142</v>
      </c>
      <c r="BD4052" s="3" t="s">
        <v>68</v>
      </c>
      <c r="BE4052" s="3" t="s">
        <v>38975</v>
      </c>
      <c r="BF4052" s="3" t="s">
        <v>38974</v>
      </c>
      <c r="BG4052" s="3" t="s">
        <v>38976</v>
      </c>
    </row>
    <row r="4053" spans="1:59" ht="57" x14ac:dyDescent="0.45">
      <c r="A4053" s="2" t="s">
        <v>59</v>
      </c>
      <c r="B4053" s="2" t="s">
        <v>60</v>
      </c>
      <c r="C4053" s="2" t="s">
        <v>38977</v>
      </c>
      <c r="D4053" s="2" t="s">
        <v>38978</v>
      </c>
      <c r="E4053" s="2" t="s">
        <v>38979</v>
      </c>
      <c r="G4053" s="3" t="s">
        <v>62</v>
      </c>
      <c r="I4053" s="3" t="s">
        <v>62</v>
      </c>
      <c r="J4053" s="3" t="s">
        <v>62</v>
      </c>
      <c r="K4053" s="3" t="s">
        <v>63</v>
      </c>
      <c r="M4053" s="2" t="s">
        <v>1713</v>
      </c>
      <c r="N4053" s="3" t="s">
        <v>1155</v>
      </c>
      <c r="P4053" s="3" t="s">
        <v>65</v>
      </c>
      <c r="Q4053" s="2" t="s">
        <v>3219</v>
      </c>
      <c r="R4053" s="3" t="s">
        <v>66</v>
      </c>
      <c r="S4053" s="4">
        <v>20</v>
      </c>
      <c r="T4053" s="4">
        <v>20</v>
      </c>
      <c r="U4053" s="5" t="s">
        <v>38980</v>
      </c>
      <c r="V4053" s="5" t="s">
        <v>38980</v>
      </c>
      <c r="W4053" s="5" t="s">
        <v>67</v>
      </c>
      <c r="X4053" s="5" t="s">
        <v>67</v>
      </c>
      <c r="Y4053" s="4">
        <v>169</v>
      </c>
      <c r="Z4053" s="4">
        <v>21</v>
      </c>
      <c r="AA4053" s="4">
        <v>84</v>
      </c>
      <c r="AB4053" s="4">
        <v>1</v>
      </c>
      <c r="AC4053" s="4">
        <v>15</v>
      </c>
      <c r="AD4053" s="4">
        <v>59</v>
      </c>
      <c r="AE4053" s="4">
        <v>122</v>
      </c>
      <c r="AF4053" s="4">
        <v>0</v>
      </c>
      <c r="AG4053" s="4">
        <v>8</v>
      </c>
      <c r="AH4053" s="4">
        <v>51</v>
      </c>
      <c r="AI4053" s="4">
        <v>89</v>
      </c>
      <c r="AJ4053" s="4">
        <v>16</v>
      </c>
      <c r="AK4053" s="4">
        <v>25</v>
      </c>
      <c r="AL4053" s="4">
        <v>26</v>
      </c>
      <c r="AM4053" s="4">
        <v>42</v>
      </c>
      <c r="AN4053" s="4">
        <v>0</v>
      </c>
      <c r="AO4053" s="4">
        <v>0</v>
      </c>
      <c r="AP4053" s="4">
        <v>18</v>
      </c>
      <c r="AQ4053" s="4">
        <v>44</v>
      </c>
      <c r="AR4053" s="3" t="s">
        <v>62</v>
      </c>
      <c r="AS4053" s="3" t="s">
        <v>62</v>
      </c>
      <c r="AT4053" s="3" t="s">
        <v>61</v>
      </c>
      <c r="AU4053" s="6" t="str">
        <f>HYPERLINK("http://catalog.hathitrust.org/Record/011585143","HathiTrust Record")</f>
        <v>HathiTrust Record</v>
      </c>
      <c r="AV4053" s="6" t="str">
        <f>HYPERLINK("http://mcgill.on.worldcat.org/oclc/754168278","Catalog Record")</f>
        <v>Catalog Record</v>
      </c>
      <c r="AW4053" s="6" t="str">
        <f>HYPERLINK("http://www.worldcat.org/oclc/754168278","WorldCat Record")</f>
        <v>WorldCat Record</v>
      </c>
      <c r="AX4053" s="3" t="s">
        <v>38981</v>
      </c>
      <c r="AY4053" s="3" t="s">
        <v>38982</v>
      </c>
      <c r="AZ4053" s="3" t="s">
        <v>38983</v>
      </c>
      <c r="BA4053" s="3" t="s">
        <v>38983</v>
      </c>
      <c r="BB4053" s="3" t="s">
        <v>38984</v>
      </c>
      <c r="BC4053" s="3" t="s">
        <v>142</v>
      </c>
      <c r="BD4053" s="3" t="s">
        <v>68</v>
      </c>
      <c r="BE4053" s="3" t="s">
        <v>38985</v>
      </c>
      <c r="BF4053" s="3" t="s">
        <v>38984</v>
      </c>
      <c r="BG4053" s="3" t="s">
        <v>38986</v>
      </c>
    </row>
    <row r="4054" spans="1:59" ht="57" x14ac:dyDescent="0.45">
      <c r="A4054" s="2" t="s">
        <v>59</v>
      </c>
      <c r="B4054" s="2" t="s">
        <v>60</v>
      </c>
      <c r="C4054" s="2" t="s">
        <v>38987</v>
      </c>
      <c r="D4054" s="2" t="s">
        <v>38988</v>
      </c>
      <c r="E4054" s="2" t="s">
        <v>38989</v>
      </c>
      <c r="G4054" s="3" t="s">
        <v>62</v>
      </c>
      <c r="I4054" s="3" t="s">
        <v>61</v>
      </c>
      <c r="J4054" s="3" t="s">
        <v>61</v>
      </c>
      <c r="K4054" s="3" t="s">
        <v>63</v>
      </c>
      <c r="L4054" s="2" t="s">
        <v>651</v>
      </c>
      <c r="M4054" s="2" t="s">
        <v>38990</v>
      </c>
      <c r="N4054" s="3" t="s">
        <v>1239</v>
      </c>
      <c r="P4054" s="3" t="s">
        <v>65</v>
      </c>
      <c r="R4054" s="3" t="s">
        <v>66</v>
      </c>
      <c r="S4054" s="4">
        <v>13</v>
      </c>
      <c r="T4054" s="4">
        <v>90</v>
      </c>
      <c r="U4054" s="5" t="s">
        <v>38991</v>
      </c>
      <c r="V4054" s="5" t="s">
        <v>27063</v>
      </c>
      <c r="W4054" s="5" t="s">
        <v>67</v>
      </c>
      <c r="X4054" s="5" t="s">
        <v>67</v>
      </c>
      <c r="Y4054" s="4">
        <v>161</v>
      </c>
      <c r="Z4054" s="4">
        <v>15</v>
      </c>
      <c r="AA4054" s="4">
        <v>36</v>
      </c>
      <c r="AB4054" s="4">
        <v>1</v>
      </c>
      <c r="AC4054" s="4">
        <v>3</v>
      </c>
      <c r="AD4054" s="4">
        <v>42</v>
      </c>
      <c r="AE4054" s="4">
        <v>94</v>
      </c>
      <c r="AF4054" s="4">
        <v>0</v>
      </c>
      <c r="AG4054" s="4">
        <v>2</v>
      </c>
      <c r="AH4054" s="4">
        <v>37</v>
      </c>
      <c r="AI4054" s="4">
        <v>76</v>
      </c>
      <c r="AJ4054" s="4">
        <v>4</v>
      </c>
      <c r="AK4054" s="4">
        <v>16</v>
      </c>
      <c r="AL4054" s="4">
        <v>20</v>
      </c>
      <c r="AM4054" s="4">
        <v>42</v>
      </c>
      <c r="AN4054" s="4">
        <v>0</v>
      </c>
      <c r="AO4054" s="4">
        <v>0</v>
      </c>
      <c r="AP4054" s="4">
        <v>7</v>
      </c>
      <c r="AQ4054" s="4">
        <v>20</v>
      </c>
      <c r="AR4054" s="3" t="s">
        <v>61</v>
      </c>
      <c r="AS4054" s="3" t="s">
        <v>62</v>
      </c>
      <c r="AT4054" s="3" t="s">
        <v>61</v>
      </c>
      <c r="AU4054" s="6" t="str">
        <f>HYPERLINK("http://catalog.hathitrust.org/Record/007107354","HathiTrust Record")</f>
        <v>HathiTrust Record</v>
      </c>
      <c r="AV4054" s="6" t="str">
        <f>HYPERLINK("http://mcgill.on.worldcat.org/oclc/19510601","Catalog Record")</f>
        <v>Catalog Record</v>
      </c>
      <c r="AW4054" s="6" t="str">
        <f>HYPERLINK("http://www.worldcat.org/oclc/19510601","WorldCat Record")</f>
        <v>WorldCat Record</v>
      </c>
      <c r="AX4054" s="3" t="s">
        <v>38992</v>
      </c>
      <c r="AY4054" s="3" t="s">
        <v>38993</v>
      </c>
      <c r="AZ4054" s="3" t="s">
        <v>38994</v>
      </c>
      <c r="BA4054" s="3" t="s">
        <v>38994</v>
      </c>
      <c r="BB4054" s="3" t="s">
        <v>38995</v>
      </c>
      <c r="BC4054" s="3" t="s">
        <v>142</v>
      </c>
      <c r="BD4054" s="3" t="s">
        <v>68</v>
      </c>
      <c r="BE4054" s="3" t="s">
        <v>38996</v>
      </c>
      <c r="BF4054" s="3" t="s">
        <v>38995</v>
      </c>
      <c r="BG4054" s="3" t="s">
        <v>38997</v>
      </c>
    </row>
    <row r="4055" spans="1:59" ht="57" x14ac:dyDescent="0.45">
      <c r="A4055" s="2" t="s">
        <v>59</v>
      </c>
      <c r="B4055" s="2" t="s">
        <v>60</v>
      </c>
      <c r="C4055" s="2" t="s">
        <v>38987</v>
      </c>
      <c r="D4055" s="2" t="s">
        <v>38988</v>
      </c>
      <c r="E4055" s="2" t="s">
        <v>38989</v>
      </c>
      <c r="G4055" s="3" t="s">
        <v>62</v>
      </c>
      <c r="I4055" s="3" t="s">
        <v>61</v>
      </c>
      <c r="J4055" s="3" t="s">
        <v>61</v>
      </c>
      <c r="K4055" s="3" t="s">
        <v>63</v>
      </c>
      <c r="L4055" s="2" t="s">
        <v>651</v>
      </c>
      <c r="M4055" s="2" t="s">
        <v>38990</v>
      </c>
      <c r="N4055" s="3" t="s">
        <v>1239</v>
      </c>
      <c r="P4055" s="3" t="s">
        <v>65</v>
      </c>
      <c r="R4055" s="3" t="s">
        <v>66</v>
      </c>
      <c r="S4055" s="4">
        <v>9</v>
      </c>
      <c r="T4055" s="4">
        <v>90</v>
      </c>
      <c r="U4055" s="5" t="s">
        <v>38998</v>
      </c>
      <c r="V4055" s="5" t="s">
        <v>27063</v>
      </c>
      <c r="W4055" s="5" t="s">
        <v>67</v>
      </c>
      <c r="X4055" s="5" t="s">
        <v>67</v>
      </c>
      <c r="Y4055" s="4">
        <v>161</v>
      </c>
      <c r="Z4055" s="4">
        <v>15</v>
      </c>
      <c r="AA4055" s="4">
        <v>36</v>
      </c>
      <c r="AB4055" s="4">
        <v>1</v>
      </c>
      <c r="AC4055" s="4">
        <v>3</v>
      </c>
      <c r="AD4055" s="4">
        <v>42</v>
      </c>
      <c r="AE4055" s="4">
        <v>94</v>
      </c>
      <c r="AF4055" s="4">
        <v>0</v>
      </c>
      <c r="AG4055" s="4">
        <v>2</v>
      </c>
      <c r="AH4055" s="4">
        <v>37</v>
      </c>
      <c r="AI4055" s="4">
        <v>76</v>
      </c>
      <c r="AJ4055" s="4">
        <v>4</v>
      </c>
      <c r="AK4055" s="4">
        <v>16</v>
      </c>
      <c r="AL4055" s="4">
        <v>20</v>
      </c>
      <c r="AM4055" s="4">
        <v>42</v>
      </c>
      <c r="AN4055" s="4">
        <v>0</v>
      </c>
      <c r="AO4055" s="4">
        <v>0</v>
      </c>
      <c r="AP4055" s="4">
        <v>7</v>
      </c>
      <c r="AQ4055" s="4">
        <v>20</v>
      </c>
      <c r="AR4055" s="3" t="s">
        <v>61</v>
      </c>
      <c r="AS4055" s="3" t="s">
        <v>62</v>
      </c>
      <c r="AT4055" s="3" t="s">
        <v>61</v>
      </c>
      <c r="AU4055" s="6" t="str">
        <f>HYPERLINK("http://catalog.hathitrust.org/Record/007107354","HathiTrust Record")</f>
        <v>HathiTrust Record</v>
      </c>
      <c r="AV4055" s="6" t="str">
        <f>HYPERLINK("http://mcgill.on.worldcat.org/oclc/19510601","Catalog Record")</f>
        <v>Catalog Record</v>
      </c>
      <c r="AW4055" s="6" t="str">
        <f>HYPERLINK("http://www.worldcat.org/oclc/19510601","WorldCat Record")</f>
        <v>WorldCat Record</v>
      </c>
      <c r="AX4055" s="3" t="s">
        <v>38992</v>
      </c>
      <c r="AY4055" s="3" t="s">
        <v>38993</v>
      </c>
      <c r="AZ4055" s="3" t="s">
        <v>38994</v>
      </c>
      <c r="BA4055" s="3" t="s">
        <v>38994</v>
      </c>
      <c r="BB4055" s="3" t="s">
        <v>38999</v>
      </c>
      <c r="BC4055" s="3" t="s">
        <v>142</v>
      </c>
      <c r="BD4055" s="3" t="s">
        <v>68</v>
      </c>
      <c r="BE4055" s="3" t="s">
        <v>38996</v>
      </c>
      <c r="BF4055" s="3" t="s">
        <v>38999</v>
      </c>
      <c r="BG4055" s="3" t="s">
        <v>39000</v>
      </c>
    </row>
    <row r="4056" spans="1:59" ht="57" x14ac:dyDescent="0.45">
      <c r="A4056" s="2" t="s">
        <v>59</v>
      </c>
      <c r="B4056" s="2" t="s">
        <v>60</v>
      </c>
      <c r="C4056" s="2" t="s">
        <v>38987</v>
      </c>
      <c r="D4056" s="2" t="s">
        <v>38988</v>
      </c>
      <c r="E4056" s="2" t="s">
        <v>38989</v>
      </c>
      <c r="G4056" s="3" t="s">
        <v>62</v>
      </c>
      <c r="I4056" s="3" t="s">
        <v>61</v>
      </c>
      <c r="J4056" s="3" t="s">
        <v>61</v>
      </c>
      <c r="K4056" s="3" t="s">
        <v>63</v>
      </c>
      <c r="L4056" s="2" t="s">
        <v>651</v>
      </c>
      <c r="M4056" s="2" t="s">
        <v>38990</v>
      </c>
      <c r="N4056" s="3" t="s">
        <v>1239</v>
      </c>
      <c r="P4056" s="3" t="s">
        <v>65</v>
      </c>
      <c r="R4056" s="3" t="s">
        <v>66</v>
      </c>
      <c r="S4056" s="4">
        <v>68</v>
      </c>
      <c r="T4056" s="4">
        <v>90</v>
      </c>
      <c r="U4056" s="5" t="s">
        <v>27063</v>
      </c>
      <c r="V4056" s="5" t="s">
        <v>27063</v>
      </c>
      <c r="W4056" s="5" t="s">
        <v>67</v>
      </c>
      <c r="X4056" s="5" t="s">
        <v>67</v>
      </c>
      <c r="Y4056" s="4">
        <v>161</v>
      </c>
      <c r="Z4056" s="4">
        <v>15</v>
      </c>
      <c r="AA4056" s="4">
        <v>36</v>
      </c>
      <c r="AB4056" s="4">
        <v>1</v>
      </c>
      <c r="AC4056" s="4">
        <v>3</v>
      </c>
      <c r="AD4056" s="4">
        <v>42</v>
      </c>
      <c r="AE4056" s="4">
        <v>94</v>
      </c>
      <c r="AF4056" s="4">
        <v>0</v>
      </c>
      <c r="AG4056" s="4">
        <v>2</v>
      </c>
      <c r="AH4056" s="4">
        <v>37</v>
      </c>
      <c r="AI4056" s="4">
        <v>76</v>
      </c>
      <c r="AJ4056" s="4">
        <v>4</v>
      </c>
      <c r="AK4056" s="4">
        <v>16</v>
      </c>
      <c r="AL4056" s="4">
        <v>20</v>
      </c>
      <c r="AM4056" s="4">
        <v>42</v>
      </c>
      <c r="AN4056" s="4">
        <v>0</v>
      </c>
      <c r="AO4056" s="4">
        <v>0</v>
      </c>
      <c r="AP4056" s="4">
        <v>7</v>
      </c>
      <c r="AQ4056" s="4">
        <v>20</v>
      </c>
      <c r="AR4056" s="3" t="s">
        <v>61</v>
      </c>
      <c r="AS4056" s="3" t="s">
        <v>62</v>
      </c>
      <c r="AT4056" s="3" t="s">
        <v>61</v>
      </c>
      <c r="AU4056" s="6" t="str">
        <f>HYPERLINK("http://catalog.hathitrust.org/Record/007107354","HathiTrust Record")</f>
        <v>HathiTrust Record</v>
      </c>
      <c r="AV4056" s="6" t="str">
        <f>HYPERLINK("http://mcgill.on.worldcat.org/oclc/19510601","Catalog Record")</f>
        <v>Catalog Record</v>
      </c>
      <c r="AW4056" s="6" t="str">
        <f>HYPERLINK("http://www.worldcat.org/oclc/19510601","WorldCat Record")</f>
        <v>WorldCat Record</v>
      </c>
      <c r="AX4056" s="3" t="s">
        <v>38992</v>
      </c>
      <c r="AY4056" s="3" t="s">
        <v>38993</v>
      </c>
      <c r="AZ4056" s="3" t="s">
        <v>38994</v>
      </c>
      <c r="BA4056" s="3" t="s">
        <v>38994</v>
      </c>
      <c r="BB4056" s="3" t="s">
        <v>39001</v>
      </c>
      <c r="BC4056" s="3" t="s">
        <v>142</v>
      </c>
      <c r="BD4056" s="3" t="s">
        <v>68</v>
      </c>
      <c r="BE4056" s="3" t="s">
        <v>38996</v>
      </c>
      <c r="BF4056" s="3" t="s">
        <v>39001</v>
      </c>
      <c r="BG4056" s="3" t="s">
        <v>39002</v>
      </c>
    </row>
    <row r="4057" spans="1:59" ht="57" x14ac:dyDescent="0.45">
      <c r="A4057" s="2" t="s">
        <v>59</v>
      </c>
      <c r="B4057" s="2" t="s">
        <v>60</v>
      </c>
      <c r="C4057" s="2" t="s">
        <v>39003</v>
      </c>
      <c r="D4057" s="2" t="s">
        <v>39004</v>
      </c>
      <c r="E4057" s="2" t="s">
        <v>38989</v>
      </c>
      <c r="G4057" s="3" t="s">
        <v>62</v>
      </c>
      <c r="I4057" s="3" t="s">
        <v>62</v>
      </c>
      <c r="J4057" s="3" t="s">
        <v>61</v>
      </c>
      <c r="K4057" s="3" t="s">
        <v>63</v>
      </c>
      <c r="L4057" s="2" t="s">
        <v>651</v>
      </c>
      <c r="M4057" s="2" t="s">
        <v>39005</v>
      </c>
      <c r="N4057" s="3" t="s">
        <v>1097</v>
      </c>
      <c r="O4057" s="2" t="s">
        <v>39006</v>
      </c>
      <c r="P4057" s="3" t="s">
        <v>65</v>
      </c>
      <c r="R4057" s="3" t="s">
        <v>66</v>
      </c>
      <c r="S4057" s="4">
        <v>23</v>
      </c>
      <c r="T4057" s="4">
        <v>23</v>
      </c>
      <c r="U4057" s="5" t="s">
        <v>39007</v>
      </c>
      <c r="V4057" s="5" t="s">
        <v>39007</v>
      </c>
      <c r="W4057" s="5" t="s">
        <v>67</v>
      </c>
      <c r="X4057" s="5" t="s">
        <v>67</v>
      </c>
      <c r="Y4057" s="4">
        <v>326</v>
      </c>
      <c r="Z4057" s="4">
        <v>16</v>
      </c>
      <c r="AA4057" s="4">
        <v>36</v>
      </c>
      <c r="AB4057" s="4">
        <v>2</v>
      </c>
      <c r="AC4057" s="4">
        <v>3</v>
      </c>
      <c r="AD4057" s="4">
        <v>65</v>
      </c>
      <c r="AE4057" s="4">
        <v>94</v>
      </c>
      <c r="AF4057" s="4">
        <v>1</v>
      </c>
      <c r="AG4057" s="4">
        <v>2</v>
      </c>
      <c r="AH4057" s="4">
        <v>58</v>
      </c>
      <c r="AI4057" s="4">
        <v>76</v>
      </c>
      <c r="AJ4057" s="4">
        <v>8</v>
      </c>
      <c r="AK4057" s="4">
        <v>16</v>
      </c>
      <c r="AL4057" s="4">
        <v>33</v>
      </c>
      <c r="AM4057" s="4">
        <v>42</v>
      </c>
      <c r="AN4057" s="4">
        <v>0</v>
      </c>
      <c r="AO4057" s="4">
        <v>0</v>
      </c>
      <c r="AP4057" s="4">
        <v>9</v>
      </c>
      <c r="AQ4057" s="4">
        <v>20</v>
      </c>
      <c r="AR4057" s="3" t="s">
        <v>62</v>
      </c>
      <c r="AS4057" s="3" t="s">
        <v>62</v>
      </c>
      <c r="AT4057" s="3" t="s">
        <v>62</v>
      </c>
      <c r="AV4057" s="6" t="str">
        <f>HYPERLINK("http://mcgill.on.worldcat.org/oclc/55620674","Catalog Record")</f>
        <v>Catalog Record</v>
      </c>
      <c r="AW4057" s="6" t="str">
        <f>HYPERLINK("http://www.worldcat.org/oclc/55620674","WorldCat Record")</f>
        <v>WorldCat Record</v>
      </c>
      <c r="AX4057" s="3" t="s">
        <v>38992</v>
      </c>
      <c r="AY4057" s="3" t="s">
        <v>39008</v>
      </c>
      <c r="AZ4057" s="3" t="s">
        <v>39009</v>
      </c>
      <c r="BA4057" s="3" t="s">
        <v>39009</v>
      </c>
      <c r="BB4057" s="3" t="s">
        <v>39010</v>
      </c>
      <c r="BC4057" s="3" t="s">
        <v>142</v>
      </c>
      <c r="BD4057" s="3" t="s">
        <v>308</v>
      </c>
      <c r="BE4057" s="3" t="s">
        <v>39011</v>
      </c>
      <c r="BF4057" s="3" t="s">
        <v>39010</v>
      </c>
      <c r="BG4057" s="3" t="s">
        <v>39012</v>
      </c>
    </row>
    <row r="4058" spans="1:59" ht="57" x14ac:dyDescent="0.45">
      <c r="A4058" s="2" t="s">
        <v>59</v>
      </c>
      <c r="B4058" s="2" t="s">
        <v>60</v>
      </c>
      <c r="C4058" s="2" t="s">
        <v>39013</v>
      </c>
      <c r="D4058" s="2" t="s">
        <v>39014</v>
      </c>
      <c r="E4058" s="2" t="s">
        <v>39015</v>
      </c>
      <c r="G4058" s="3" t="s">
        <v>62</v>
      </c>
      <c r="I4058" s="3" t="s">
        <v>62</v>
      </c>
      <c r="J4058" s="3" t="s">
        <v>62</v>
      </c>
      <c r="K4058" s="3" t="s">
        <v>63</v>
      </c>
      <c r="L4058" s="2" t="s">
        <v>39016</v>
      </c>
      <c r="M4058" s="2" t="s">
        <v>2764</v>
      </c>
      <c r="N4058" s="3" t="s">
        <v>1097</v>
      </c>
      <c r="P4058" s="3" t="s">
        <v>65</v>
      </c>
      <c r="R4058" s="3" t="s">
        <v>66</v>
      </c>
      <c r="S4058" s="4">
        <v>5</v>
      </c>
      <c r="T4058" s="4">
        <v>5</v>
      </c>
      <c r="U4058" s="5" t="s">
        <v>2469</v>
      </c>
      <c r="V4058" s="5" t="s">
        <v>2469</v>
      </c>
      <c r="W4058" s="5" t="s">
        <v>67</v>
      </c>
      <c r="X4058" s="5" t="s">
        <v>67</v>
      </c>
      <c r="Y4058" s="4">
        <v>279</v>
      </c>
      <c r="Z4058" s="4">
        <v>13</v>
      </c>
      <c r="AA4058" s="4">
        <v>95</v>
      </c>
      <c r="AB4058" s="4">
        <v>1</v>
      </c>
      <c r="AC4058" s="4">
        <v>19</v>
      </c>
      <c r="AD4058" s="4">
        <v>76</v>
      </c>
      <c r="AE4058" s="4">
        <v>139</v>
      </c>
      <c r="AF4058" s="4">
        <v>0</v>
      </c>
      <c r="AG4058" s="4">
        <v>9</v>
      </c>
      <c r="AH4058" s="4">
        <v>71</v>
      </c>
      <c r="AI4058" s="4">
        <v>93</v>
      </c>
      <c r="AJ4058" s="4">
        <v>9</v>
      </c>
      <c r="AK4058" s="4">
        <v>25</v>
      </c>
      <c r="AL4058" s="4">
        <v>41</v>
      </c>
      <c r="AM4058" s="4">
        <v>49</v>
      </c>
      <c r="AN4058" s="4">
        <v>0</v>
      </c>
      <c r="AO4058" s="4">
        <v>0</v>
      </c>
      <c r="AP4058" s="4">
        <v>10</v>
      </c>
      <c r="AQ4058" s="4">
        <v>53</v>
      </c>
      <c r="AR4058" s="3" t="s">
        <v>62</v>
      </c>
      <c r="AS4058" s="3" t="s">
        <v>62</v>
      </c>
      <c r="AT4058" s="3" t="s">
        <v>62</v>
      </c>
      <c r="AV4058" s="6" t="str">
        <f>HYPERLINK("http://mcgill.on.worldcat.org/oclc/52334789","Catalog Record")</f>
        <v>Catalog Record</v>
      </c>
      <c r="AW4058" s="6" t="str">
        <f>HYPERLINK("http://www.worldcat.org/oclc/52334789","WorldCat Record")</f>
        <v>WorldCat Record</v>
      </c>
      <c r="AX4058" s="3" t="s">
        <v>39017</v>
      </c>
      <c r="AY4058" s="3" t="s">
        <v>39018</v>
      </c>
      <c r="AZ4058" s="3" t="s">
        <v>39019</v>
      </c>
      <c r="BA4058" s="3" t="s">
        <v>39019</v>
      </c>
      <c r="BB4058" s="3" t="s">
        <v>39020</v>
      </c>
      <c r="BC4058" s="3" t="s">
        <v>142</v>
      </c>
      <c r="BD4058" s="3" t="s">
        <v>68</v>
      </c>
      <c r="BE4058" s="3" t="s">
        <v>39021</v>
      </c>
      <c r="BF4058" s="3" t="s">
        <v>39020</v>
      </c>
      <c r="BG4058" s="3" t="s">
        <v>39022</v>
      </c>
    </row>
    <row r="4059" spans="1:59" ht="57" x14ac:dyDescent="0.45">
      <c r="A4059" s="2" t="s">
        <v>59</v>
      </c>
      <c r="B4059" s="2" t="s">
        <v>60</v>
      </c>
      <c r="C4059" s="2" t="s">
        <v>39023</v>
      </c>
      <c r="D4059" s="2" t="s">
        <v>39024</v>
      </c>
      <c r="E4059" s="2" t="s">
        <v>39025</v>
      </c>
      <c r="G4059" s="3" t="s">
        <v>62</v>
      </c>
      <c r="I4059" s="3" t="s">
        <v>61</v>
      </c>
      <c r="J4059" s="3" t="s">
        <v>62</v>
      </c>
      <c r="K4059" s="3" t="s">
        <v>63</v>
      </c>
      <c r="L4059" s="2" t="s">
        <v>39026</v>
      </c>
      <c r="M4059" s="2" t="s">
        <v>39027</v>
      </c>
      <c r="N4059" s="3" t="s">
        <v>480</v>
      </c>
      <c r="P4059" s="3" t="s">
        <v>65</v>
      </c>
      <c r="R4059" s="3" t="s">
        <v>66</v>
      </c>
      <c r="S4059" s="4">
        <v>9</v>
      </c>
      <c r="T4059" s="4">
        <v>16</v>
      </c>
      <c r="U4059" s="5" t="s">
        <v>39028</v>
      </c>
      <c r="V4059" s="5" t="s">
        <v>12354</v>
      </c>
      <c r="W4059" s="5" t="s">
        <v>67</v>
      </c>
      <c r="X4059" s="5" t="s">
        <v>67</v>
      </c>
      <c r="Y4059" s="4">
        <v>445</v>
      </c>
      <c r="Z4059" s="4">
        <v>14</v>
      </c>
      <c r="AA4059" s="4">
        <v>23</v>
      </c>
      <c r="AB4059" s="4">
        <v>1</v>
      </c>
      <c r="AC4059" s="4">
        <v>3</v>
      </c>
      <c r="AD4059" s="4">
        <v>104</v>
      </c>
      <c r="AE4059" s="4">
        <v>117</v>
      </c>
      <c r="AF4059" s="4">
        <v>0</v>
      </c>
      <c r="AG4059" s="4">
        <v>2</v>
      </c>
      <c r="AH4059" s="4">
        <v>94</v>
      </c>
      <c r="AI4059" s="4">
        <v>104</v>
      </c>
      <c r="AJ4059" s="4">
        <v>9</v>
      </c>
      <c r="AK4059" s="4">
        <v>17</v>
      </c>
      <c r="AL4059" s="4">
        <v>51</v>
      </c>
      <c r="AM4059" s="4">
        <v>56</v>
      </c>
      <c r="AN4059" s="4">
        <v>0</v>
      </c>
      <c r="AO4059" s="4">
        <v>0</v>
      </c>
      <c r="AP4059" s="4">
        <v>12</v>
      </c>
      <c r="AQ4059" s="4">
        <v>19</v>
      </c>
      <c r="AR4059" s="3" t="s">
        <v>62</v>
      </c>
      <c r="AS4059" s="3" t="s">
        <v>62</v>
      </c>
      <c r="AT4059" s="3" t="s">
        <v>62</v>
      </c>
      <c r="AV4059" s="6" t="str">
        <f>HYPERLINK("http://mcgill.on.worldcat.org/oclc/5952392","Catalog Record")</f>
        <v>Catalog Record</v>
      </c>
      <c r="AW4059" s="6" t="str">
        <f>HYPERLINK("http://www.worldcat.org/oclc/5952392","WorldCat Record")</f>
        <v>WorldCat Record</v>
      </c>
      <c r="AX4059" s="3" t="s">
        <v>39029</v>
      </c>
      <c r="AY4059" s="3" t="s">
        <v>39030</v>
      </c>
      <c r="AZ4059" s="3" t="s">
        <v>39031</v>
      </c>
      <c r="BA4059" s="3" t="s">
        <v>39031</v>
      </c>
      <c r="BB4059" s="3" t="s">
        <v>39032</v>
      </c>
      <c r="BC4059" s="3" t="s">
        <v>142</v>
      </c>
      <c r="BD4059" s="3" t="s">
        <v>68</v>
      </c>
      <c r="BE4059" s="3" t="s">
        <v>39033</v>
      </c>
      <c r="BF4059" s="3" t="s">
        <v>39032</v>
      </c>
      <c r="BG4059" s="3" t="s">
        <v>39034</v>
      </c>
    </row>
    <row r="4060" spans="1:59" ht="57" x14ac:dyDescent="0.45">
      <c r="A4060" s="2" t="s">
        <v>59</v>
      </c>
      <c r="B4060" s="2" t="s">
        <v>60</v>
      </c>
      <c r="C4060" s="2" t="s">
        <v>39023</v>
      </c>
      <c r="D4060" s="2" t="s">
        <v>39024</v>
      </c>
      <c r="E4060" s="2" t="s">
        <v>39025</v>
      </c>
      <c r="G4060" s="3" t="s">
        <v>62</v>
      </c>
      <c r="I4060" s="3" t="s">
        <v>61</v>
      </c>
      <c r="J4060" s="3" t="s">
        <v>62</v>
      </c>
      <c r="K4060" s="3" t="s">
        <v>63</v>
      </c>
      <c r="L4060" s="2" t="s">
        <v>39026</v>
      </c>
      <c r="M4060" s="2" t="s">
        <v>39027</v>
      </c>
      <c r="N4060" s="3" t="s">
        <v>480</v>
      </c>
      <c r="P4060" s="3" t="s">
        <v>65</v>
      </c>
      <c r="R4060" s="3" t="s">
        <v>66</v>
      </c>
      <c r="S4060" s="4">
        <v>7</v>
      </c>
      <c r="T4060" s="4">
        <v>16</v>
      </c>
      <c r="U4060" s="5" t="s">
        <v>12354</v>
      </c>
      <c r="V4060" s="5" t="s">
        <v>12354</v>
      </c>
      <c r="W4060" s="5" t="s">
        <v>67</v>
      </c>
      <c r="X4060" s="5" t="s">
        <v>67</v>
      </c>
      <c r="Y4060" s="4">
        <v>445</v>
      </c>
      <c r="Z4060" s="4">
        <v>14</v>
      </c>
      <c r="AA4060" s="4">
        <v>23</v>
      </c>
      <c r="AB4060" s="4">
        <v>1</v>
      </c>
      <c r="AC4060" s="4">
        <v>3</v>
      </c>
      <c r="AD4060" s="4">
        <v>104</v>
      </c>
      <c r="AE4060" s="4">
        <v>117</v>
      </c>
      <c r="AF4060" s="4">
        <v>0</v>
      </c>
      <c r="AG4060" s="4">
        <v>2</v>
      </c>
      <c r="AH4060" s="4">
        <v>94</v>
      </c>
      <c r="AI4060" s="4">
        <v>104</v>
      </c>
      <c r="AJ4060" s="4">
        <v>9</v>
      </c>
      <c r="AK4060" s="4">
        <v>17</v>
      </c>
      <c r="AL4060" s="4">
        <v>51</v>
      </c>
      <c r="AM4060" s="4">
        <v>56</v>
      </c>
      <c r="AN4060" s="4">
        <v>0</v>
      </c>
      <c r="AO4060" s="4">
        <v>0</v>
      </c>
      <c r="AP4060" s="4">
        <v>12</v>
      </c>
      <c r="AQ4060" s="4">
        <v>19</v>
      </c>
      <c r="AR4060" s="3" t="s">
        <v>62</v>
      </c>
      <c r="AS4060" s="3" t="s">
        <v>62</v>
      </c>
      <c r="AT4060" s="3" t="s">
        <v>62</v>
      </c>
      <c r="AV4060" s="6" t="str">
        <f>HYPERLINK("http://mcgill.on.worldcat.org/oclc/5952392","Catalog Record")</f>
        <v>Catalog Record</v>
      </c>
      <c r="AW4060" s="6" t="str">
        <f>HYPERLINK("http://www.worldcat.org/oclc/5952392","WorldCat Record")</f>
        <v>WorldCat Record</v>
      </c>
      <c r="AX4060" s="3" t="s">
        <v>39029</v>
      </c>
      <c r="AY4060" s="3" t="s">
        <v>39030</v>
      </c>
      <c r="AZ4060" s="3" t="s">
        <v>39031</v>
      </c>
      <c r="BA4060" s="3" t="s">
        <v>39031</v>
      </c>
      <c r="BB4060" s="3" t="s">
        <v>39035</v>
      </c>
      <c r="BC4060" s="3" t="s">
        <v>142</v>
      </c>
      <c r="BD4060" s="3" t="s">
        <v>68</v>
      </c>
      <c r="BE4060" s="3" t="s">
        <v>39033</v>
      </c>
      <c r="BF4060" s="3" t="s">
        <v>39035</v>
      </c>
      <c r="BG4060" s="3" t="s">
        <v>39036</v>
      </c>
    </row>
    <row r="4061" spans="1:59" ht="57" x14ac:dyDescent="0.45">
      <c r="A4061" s="2" t="s">
        <v>59</v>
      </c>
      <c r="B4061" s="2" t="s">
        <v>60</v>
      </c>
      <c r="C4061" s="2" t="s">
        <v>39037</v>
      </c>
      <c r="D4061" s="2" t="s">
        <v>39038</v>
      </c>
      <c r="E4061" s="2" t="s">
        <v>39039</v>
      </c>
      <c r="G4061" s="3" t="s">
        <v>62</v>
      </c>
      <c r="I4061" s="3" t="s">
        <v>62</v>
      </c>
      <c r="J4061" s="3" t="s">
        <v>62</v>
      </c>
      <c r="K4061" s="3" t="s">
        <v>63</v>
      </c>
      <c r="M4061" s="2" t="s">
        <v>20507</v>
      </c>
      <c r="N4061" s="3" t="s">
        <v>1155</v>
      </c>
      <c r="P4061" s="3" t="s">
        <v>65</v>
      </c>
      <c r="Q4061" s="2" t="s">
        <v>20508</v>
      </c>
      <c r="R4061" s="3" t="s">
        <v>66</v>
      </c>
      <c r="S4061" s="4">
        <v>5</v>
      </c>
      <c r="T4061" s="4">
        <v>5</v>
      </c>
      <c r="U4061" s="5" t="s">
        <v>2316</v>
      </c>
      <c r="V4061" s="5" t="s">
        <v>2316</v>
      </c>
      <c r="W4061" s="5" t="s">
        <v>67</v>
      </c>
      <c r="X4061" s="5" t="s">
        <v>67</v>
      </c>
      <c r="Y4061" s="4">
        <v>223</v>
      </c>
      <c r="Z4061" s="4">
        <v>28</v>
      </c>
      <c r="AA4061" s="4">
        <v>64</v>
      </c>
      <c r="AB4061" s="4">
        <v>2</v>
      </c>
      <c r="AC4061" s="4">
        <v>4</v>
      </c>
      <c r="AD4061" s="4">
        <v>94</v>
      </c>
      <c r="AE4061" s="4">
        <v>115</v>
      </c>
      <c r="AF4061" s="4">
        <v>1</v>
      </c>
      <c r="AG4061" s="4">
        <v>1</v>
      </c>
      <c r="AH4061" s="4">
        <v>77</v>
      </c>
      <c r="AI4061" s="4">
        <v>88</v>
      </c>
      <c r="AJ4061" s="4">
        <v>15</v>
      </c>
      <c r="AK4061" s="4">
        <v>21</v>
      </c>
      <c r="AL4061" s="4">
        <v>47</v>
      </c>
      <c r="AM4061" s="4">
        <v>52</v>
      </c>
      <c r="AN4061" s="4">
        <v>0</v>
      </c>
      <c r="AO4061" s="4">
        <v>0</v>
      </c>
      <c r="AP4061" s="4">
        <v>24</v>
      </c>
      <c r="AQ4061" s="4">
        <v>36</v>
      </c>
      <c r="AR4061" s="3" t="s">
        <v>62</v>
      </c>
      <c r="AS4061" s="3" t="s">
        <v>62</v>
      </c>
      <c r="AT4061" s="3" t="s">
        <v>62</v>
      </c>
      <c r="AV4061" s="6" t="str">
        <f>HYPERLINK("http://mcgill.on.worldcat.org/oclc/741273590","Catalog Record")</f>
        <v>Catalog Record</v>
      </c>
      <c r="AW4061" s="6" t="str">
        <f>HYPERLINK("http://www.worldcat.org/oclc/741273590","WorldCat Record")</f>
        <v>WorldCat Record</v>
      </c>
      <c r="AX4061" s="3" t="s">
        <v>39040</v>
      </c>
      <c r="AY4061" s="3" t="s">
        <v>39041</v>
      </c>
      <c r="AZ4061" s="3" t="s">
        <v>39042</v>
      </c>
      <c r="BA4061" s="3" t="s">
        <v>39042</v>
      </c>
      <c r="BB4061" s="3" t="s">
        <v>39043</v>
      </c>
      <c r="BC4061" s="3" t="s">
        <v>142</v>
      </c>
      <c r="BD4061" s="3" t="s">
        <v>68</v>
      </c>
      <c r="BE4061" s="3" t="s">
        <v>39044</v>
      </c>
      <c r="BF4061" s="3" t="s">
        <v>39043</v>
      </c>
      <c r="BG4061" s="3" t="s">
        <v>39045</v>
      </c>
    </row>
    <row r="4062" spans="1:59" ht="57" x14ac:dyDescent="0.45">
      <c r="A4062" s="2" t="s">
        <v>59</v>
      </c>
      <c r="B4062" s="2" t="s">
        <v>60</v>
      </c>
      <c r="C4062" s="2" t="s">
        <v>39046</v>
      </c>
      <c r="D4062" s="2" t="s">
        <v>39047</v>
      </c>
      <c r="E4062" s="2" t="s">
        <v>39048</v>
      </c>
      <c r="G4062" s="3" t="s">
        <v>62</v>
      </c>
      <c r="I4062" s="3" t="s">
        <v>62</v>
      </c>
      <c r="J4062" s="3" t="s">
        <v>62</v>
      </c>
      <c r="K4062" s="3" t="s">
        <v>63</v>
      </c>
      <c r="L4062" s="2" t="s">
        <v>39049</v>
      </c>
      <c r="M4062" s="2" t="s">
        <v>39050</v>
      </c>
      <c r="N4062" s="3" t="s">
        <v>945</v>
      </c>
      <c r="P4062" s="3" t="s">
        <v>110</v>
      </c>
      <c r="R4062" s="3" t="s">
        <v>66</v>
      </c>
      <c r="S4062" s="4">
        <v>10</v>
      </c>
      <c r="T4062" s="4">
        <v>10</v>
      </c>
      <c r="U4062" s="5" t="s">
        <v>39051</v>
      </c>
      <c r="V4062" s="5" t="s">
        <v>39051</v>
      </c>
      <c r="W4062" s="5" t="s">
        <v>67</v>
      </c>
      <c r="X4062" s="5" t="s">
        <v>67</v>
      </c>
      <c r="Y4062" s="4">
        <v>38</v>
      </c>
      <c r="Z4062" s="4">
        <v>8</v>
      </c>
      <c r="AA4062" s="4">
        <v>12</v>
      </c>
      <c r="AB4062" s="4">
        <v>1</v>
      </c>
      <c r="AC4062" s="4">
        <v>4</v>
      </c>
      <c r="AD4062" s="4">
        <v>20</v>
      </c>
      <c r="AE4062" s="4">
        <v>23</v>
      </c>
      <c r="AF4062" s="4">
        <v>0</v>
      </c>
      <c r="AG4062" s="4">
        <v>2</v>
      </c>
      <c r="AH4062" s="4">
        <v>18</v>
      </c>
      <c r="AI4062" s="4">
        <v>19</v>
      </c>
      <c r="AJ4062" s="4">
        <v>4</v>
      </c>
      <c r="AK4062" s="4">
        <v>6</v>
      </c>
      <c r="AL4062" s="4">
        <v>11</v>
      </c>
      <c r="AM4062" s="4">
        <v>11</v>
      </c>
      <c r="AN4062" s="4">
        <v>0</v>
      </c>
      <c r="AO4062" s="4">
        <v>0</v>
      </c>
      <c r="AP4062" s="4">
        <v>6</v>
      </c>
      <c r="AQ4062" s="4">
        <v>8</v>
      </c>
      <c r="AR4062" s="3" t="s">
        <v>62</v>
      </c>
      <c r="AS4062" s="3" t="s">
        <v>62</v>
      </c>
      <c r="AT4062" s="3" t="s">
        <v>62</v>
      </c>
      <c r="AV4062" s="6" t="str">
        <f>HYPERLINK("http://mcgill.on.worldcat.org/oclc/85336268","Catalog Record")</f>
        <v>Catalog Record</v>
      </c>
      <c r="AW4062" s="6" t="str">
        <f>HYPERLINK("http://www.worldcat.org/oclc/85336268","WorldCat Record")</f>
        <v>WorldCat Record</v>
      </c>
      <c r="AX4062" s="3" t="s">
        <v>39052</v>
      </c>
      <c r="AY4062" s="3" t="s">
        <v>39053</v>
      </c>
      <c r="AZ4062" s="3" t="s">
        <v>39054</v>
      </c>
      <c r="BA4062" s="3" t="s">
        <v>39054</v>
      </c>
      <c r="BB4062" s="3" t="s">
        <v>39055</v>
      </c>
      <c r="BC4062" s="3" t="s">
        <v>142</v>
      </c>
      <c r="BD4062" s="3" t="s">
        <v>68</v>
      </c>
      <c r="BE4062" s="3" t="s">
        <v>39056</v>
      </c>
      <c r="BF4062" s="3" t="s">
        <v>39055</v>
      </c>
      <c r="BG4062" s="3" t="s">
        <v>39057</v>
      </c>
    </row>
    <row r="4063" spans="1:59" ht="57" x14ac:dyDescent="0.45">
      <c r="A4063" s="2" t="s">
        <v>59</v>
      </c>
      <c r="B4063" s="2" t="s">
        <v>60</v>
      </c>
      <c r="C4063" s="2" t="s">
        <v>39058</v>
      </c>
      <c r="D4063" s="2" t="s">
        <v>39059</v>
      </c>
      <c r="E4063" s="2" t="s">
        <v>39060</v>
      </c>
      <c r="G4063" s="3" t="s">
        <v>62</v>
      </c>
      <c r="I4063" s="3" t="s">
        <v>62</v>
      </c>
      <c r="J4063" s="3" t="s">
        <v>62</v>
      </c>
      <c r="K4063" s="3" t="s">
        <v>63</v>
      </c>
      <c r="M4063" s="2" t="s">
        <v>6141</v>
      </c>
      <c r="N4063" s="3" t="s">
        <v>894</v>
      </c>
      <c r="P4063" s="3" t="s">
        <v>65</v>
      </c>
      <c r="R4063" s="3" t="s">
        <v>66</v>
      </c>
      <c r="S4063" s="4">
        <v>9</v>
      </c>
      <c r="T4063" s="4">
        <v>9</v>
      </c>
      <c r="U4063" s="5" t="s">
        <v>17751</v>
      </c>
      <c r="V4063" s="5" t="s">
        <v>17751</v>
      </c>
      <c r="W4063" s="5" t="s">
        <v>67</v>
      </c>
      <c r="X4063" s="5" t="s">
        <v>67</v>
      </c>
      <c r="Y4063" s="4">
        <v>253</v>
      </c>
      <c r="Z4063" s="4">
        <v>18</v>
      </c>
      <c r="AA4063" s="4">
        <v>23</v>
      </c>
      <c r="AB4063" s="4">
        <v>1</v>
      </c>
      <c r="AC4063" s="4">
        <v>5</v>
      </c>
      <c r="AD4063" s="4">
        <v>82</v>
      </c>
      <c r="AE4063" s="4">
        <v>89</v>
      </c>
      <c r="AF4063" s="4">
        <v>0</v>
      </c>
      <c r="AG4063" s="4">
        <v>1</v>
      </c>
      <c r="AH4063" s="4">
        <v>72</v>
      </c>
      <c r="AI4063" s="4">
        <v>78</v>
      </c>
      <c r="AJ4063" s="4">
        <v>13</v>
      </c>
      <c r="AK4063" s="4">
        <v>15</v>
      </c>
      <c r="AL4063" s="4">
        <v>44</v>
      </c>
      <c r="AM4063" s="4">
        <v>46</v>
      </c>
      <c r="AN4063" s="4">
        <v>0</v>
      </c>
      <c r="AO4063" s="4">
        <v>0</v>
      </c>
      <c r="AP4063" s="4">
        <v>16</v>
      </c>
      <c r="AQ4063" s="4">
        <v>18</v>
      </c>
      <c r="AR4063" s="3" t="s">
        <v>62</v>
      </c>
      <c r="AS4063" s="3" t="s">
        <v>62</v>
      </c>
      <c r="AT4063" s="3" t="s">
        <v>62</v>
      </c>
      <c r="AV4063" s="6" t="str">
        <f>HYPERLINK("http://mcgill.on.worldcat.org/oclc/640919133","Catalog Record")</f>
        <v>Catalog Record</v>
      </c>
      <c r="AW4063" s="6" t="str">
        <f>HYPERLINK("http://www.worldcat.org/oclc/640919133","WorldCat Record")</f>
        <v>WorldCat Record</v>
      </c>
      <c r="AX4063" s="3" t="s">
        <v>39061</v>
      </c>
      <c r="AY4063" s="3" t="s">
        <v>39062</v>
      </c>
      <c r="AZ4063" s="3" t="s">
        <v>39063</v>
      </c>
      <c r="BA4063" s="3" t="s">
        <v>39063</v>
      </c>
      <c r="BB4063" s="3" t="s">
        <v>39064</v>
      </c>
      <c r="BC4063" s="3" t="s">
        <v>142</v>
      </c>
      <c r="BD4063" s="3" t="s">
        <v>308</v>
      </c>
      <c r="BE4063" s="3" t="s">
        <v>39065</v>
      </c>
      <c r="BF4063" s="3" t="s">
        <v>39064</v>
      </c>
      <c r="BG4063" s="3" t="s">
        <v>39066</v>
      </c>
    </row>
    <row r="4064" spans="1:59" ht="57" x14ac:dyDescent="0.45">
      <c r="A4064" s="2" t="s">
        <v>59</v>
      </c>
      <c r="B4064" s="2" t="s">
        <v>60</v>
      </c>
      <c r="C4064" s="2" t="s">
        <v>39067</v>
      </c>
      <c r="D4064" s="2" t="s">
        <v>39068</v>
      </c>
      <c r="E4064" s="2" t="s">
        <v>39069</v>
      </c>
      <c r="G4064" s="3" t="s">
        <v>62</v>
      </c>
      <c r="I4064" s="3" t="s">
        <v>62</v>
      </c>
      <c r="J4064" s="3" t="s">
        <v>62</v>
      </c>
      <c r="K4064" s="3" t="s">
        <v>63</v>
      </c>
      <c r="M4064" s="2" t="s">
        <v>39070</v>
      </c>
      <c r="N4064" s="3" t="s">
        <v>1059</v>
      </c>
      <c r="P4064" s="3" t="s">
        <v>65</v>
      </c>
      <c r="Q4064" s="2" t="s">
        <v>39071</v>
      </c>
      <c r="R4064" s="3" t="s">
        <v>66</v>
      </c>
      <c r="S4064" s="4">
        <v>27</v>
      </c>
      <c r="T4064" s="4">
        <v>27</v>
      </c>
      <c r="U4064" s="5" t="s">
        <v>3656</v>
      </c>
      <c r="V4064" s="5" t="s">
        <v>3656</v>
      </c>
      <c r="W4064" s="5" t="s">
        <v>67</v>
      </c>
      <c r="X4064" s="5" t="s">
        <v>67</v>
      </c>
      <c r="Y4064" s="4">
        <v>252</v>
      </c>
      <c r="Z4064" s="4">
        <v>27</v>
      </c>
      <c r="AA4064" s="4">
        <v>46</v>
      </c>
      <c r="AB4064" s="4">
        <v>2</v>
      </c>
      <c r="AC4064" s="4">
        <v>6</v>
      </c>
      <c r="AD4064" s="4">
        <v>77</v>
      </c>
      <c r="AE4064" s="4">
        <v>90</v>
      </c>
      <c r="AF4064" s="4">
        <v>1</v>
      </c>
      <c r="AG4064" s="4">
        <v>4</v>
      </c>
      <c r="AH4064" s="4">
        <v>63</v>
      </c>
      <c r="AI4064" s="4">
        <v>70</v>
      </c>
      <c r="AJ4064" s="4">
        <v>19</v>
      </c>
      <c r="AK4064" s="4">
        <v>21</v>
      </c>
      <c r="AL4064" s="4">
        <v>35</v>
      </c>
      <c r="AM4064" s="4">
        <v>38</v>
      </c>
      <c r="AN4064" s="4">
        <v>0</v>
      </c>
      <c r="AO4064" s="4">
        <v>0</v>
      </c>
      <c r="AP4064" s="4">
        <v>23</v>
      </c>
      <c r="AQ4064" s="4">
        <v>30</v>
      </c>
      <c r="AR4064" s="3" t="s">
        <v>62</v>
      </c>
      <c r="AS4064" s="3" t="s">
        <v>62</v>
      </c>
      <c r="AT4064" s="3" t="s">
        <v>62</v>
      </c>
      <c r="AV4064" s="6" t="str">
        <f>HYPERLINK("http://mcgill.on.worldcat.org/oclc/58789214","Catalog Record")</f>
        <v>Catalog Record</v>
      </c>
      <c r="AW4064" s="6" t="str">
        <f>HYPERLINK("http://www.worldcat.org/oclc/58789214","WorldCat Record")</f>
        <v>WorldCat Record</v>
      </c>
      <c r="AX4064" s="3" t="s">
        <v>39072</v>
      </c>
      <c r="AY4064" s="3" t="s">
        <v>39073</v>
      </c>
      <c r="AZ4064" s="3" t="s">
        <v>39074</v>
      </c>
      <c r="BA4064" s="3" t="s">
        <v>39074</v>
      </c>
      <c r="BB4064" s="3" t="s">
        <v>39075</v>
      </c>
      <c r="BC4064" s="3" t="s">
        <v>142</v>
      </c>
      <c r="BD4064" s="3" t="s">
        <v>68</v>
      </c>
      <c r="BE4064" s="3" t="s">
        <v>39076</v>
      </c>
      <c r="BF4064" s="3" t="s">
        <v>39075</v>
      </c>
      <c r="BG4064" s="3" t="s">
        <v>39077</v>
      </c>
    </row>
    <row r="4065" spans="1:59" ht="57" x14ac:dyDescent="0.45">
      <c r="A4065" s="2" t="s">
        <v>59</v>
      </c>
      <c r="B4065" s="2" t="s">
        <v>60</v>
      </c>
      <c r="C4065" s="2" t="s">
        <v>39078</v>
      </c>
      <c r="D4065" s="2" t="s">
        <v>39079</v>
      </c>
      <c r="E4065" s="2" t="s">
        <v>39080</v>
      </c>
      <c r="G4065" s="3" t="s">
        <v>62</v>
      </c>
      <c r="I4065" s="3" t="s">
        <v>62</v>
      </c>
      <c r="J4065" s="3" t="s">
        <v>62</v>
      </c>
      <c r="K4065" s="3" t="s">
        <v>63</v>
      </c>
      <c r="L4065" s="2" t="s">
        <v>31714</v>
      </c>
      <c r="M4065" s="2" t="s">
        <v>5360</v>
      </c>
      <c r="N4065" s="3" t="s">
        <v>1059</v>
      </c>
      <c r="P4065" s="3" t="s">
        <v>65</v>
      </c>
      <c r="Q4065" s="2" t="s">
        <v>5361</v>
      </c>
      <c r="R4065" s="3" t="s">
        <v>66</v>
      </c>
      <c r="S4065" s="4">
        <v>6</v>
      </c>
      <c r="T4065" s="4">
        <v>6</v>
      </c>
      <c r="U4065" s="5" t="s">
        <v>28987</v>
      </c>
      <c r="V4065" s="5" t="s">
        <v>28987</v>
      </c>
      <c r="W4065" s="5" t="s">
        <v>67</v>
      </c>
      <c r="X4065" s="5" t="s">
        <v>67</v>
      </c>
      <c r="Y4065" s="4">
        <v>183</v>
      </c>
      <c r="Z4065" s="4">
        <v>15</v>
      </c>
      <c r="AA4065" s="4">
        <v>100</v>
      </c>
      <c r="AB4065" s="4">
        <v>2</v>
      </c>
      <c r="AC4065" s="4">
        <v>18</v>
      </c>
      <c r="AD4065" s="4">
        <v>47</v>
      </c>
      <c r="AE4065" s="4">
        <v>128</v>
      </c>
      <c r="AF4065" s="4">
        <v>1</v>
      </c>
      <c r="AG4065" s="4">
        <v>8</v>
      </c>
      <c r="AH4065" s="4">
        <v>43</v>
      </c>
      <c r="AI4065" s="4">
        <v>88</v>
      </c>
      <c r="AJ4065" s="4">
        <v>11</v>
      </c>
      <c r="AK4065" s="4">
        <v>24</v>
      </c>
      <c r="AL4065" s="4">
        <v>24</v>
      </c>
      <c r="AM4065" s="4">
        <v>46</v>
      </c>
      <c r="AN4065" s="4">
        <v>0</v>
      </c>
      <c r="AO4065" s="4">
        <v>0</v>
      </c>
      <c r="AP4065" s="4">
        <v>13</v>
      </c>
      <c r="AQ4065" s="4">
        <v>49</v>
      </c>
      <c r="AR4065" s="3" t="s">
        <v>62</v>
      </c>
      <c r="AS4065" s="3" t="s">
        <v>62</v>
      </c>
      <c r="AT4065" s="3" t="s">
        <v>61</v>
      </c>
      <c r="AU4065" s="6" t="str">
        <f>HYPERLINK("http://catalog.hathitrust.org/Record/005543637","HathiTrust Record")</f>
        <v>HathiTrust Record</v>
      </c>
      <c r="AV4065" s="6" t="str">
        <f>HYPERLINK("http://mcgill.on.worldcat.org/oclc/64555280","Catalog Record")</f>
        <v>Catalog Record</v>
      </c>
      <c r="AW4065" s="6" t="str">
        <f>HYPERLINK("http://www.worldcat.org/oclc/64555280","WorldCat Record")</f>
        <v>WorldCat Record</v>
      </c>
      <c r="AX4065" s="3" t="s">
        <v>39081</v>
      </c>
      <c r="AY4065" s="3" t="s">
        <v>39082</v>
      </c>
      <c r="AZ4065" s="3" t="s">
        <v>39083</v>
      </c>
      <c r="BA4065" s="3" t="s">
        <v>39083</v>
      </c>
      <c r="BB4065" s="3" t="s">
        <v>39084</v>
      </c>
      <c r="BC4065" s="3" t="s">
        <v>142</v>
      </c>
      <c r="BD4065" s="3" t="s">
        <v>68</v>
      </c>
      <c r="BE4065" s="3" t="s">
        <v>39085</v>
      </c>
      <c r="BF4065" s="3" t="s">
        <v>39084</v>
      </c>
      <c r="BG4065" s="3" t="s">
        <v>39086</v>
      </c>
    </row>
    <row r="4066" spans="1:59" ht="57" x14ac:dyDescent="0.45">
      <c r="A4066" s="2" t="s">
        <v>59</v>
      </c>
      <c r="B4066" s="2" t="s">
        <v>60</v>
      </c>
      <c r="C4066" s="2" t="s">
        <v>39087</v>
      </c>
      <c r="D4066" s="2" t="s">
        <v>39088</v>
      </c>
      <c r="E4066" s="2" t="s">
        <v>39089</v>
      </c>
      <c r="G4066" s="3" t="s">
        <v>62</v>
      </c>
      <c r="I4066" s="3" t="s">
        <v>62</v>
      </c>
      <c r="J4066" s="3" t="s">
        <v>62</v>
      </c>
      <c r="K4066" s="3" t="s">
        <v>63</v>
      </c>
      <c r="L4066" s="2" t="s">
        <v>39090</v>
      </c>
      <c r="M4066" s="2" t="s">
        <v>39091</v>
      </c>
      <c r="N4066" s="3" t="s">
        <v>208</v>
      </c>
      <c r="P4066" s="3" t="s">
        <v>110</v>
      </c>
      <c r="Q4066" s="2" t="s">
        <v>39092</v>
      </c>
      <c r="R4066" s="3" t="s">
        <v>66</v>
      </c>
      <c r="S4066" s="4">
        <v>1</v>
      </c>
      <c r="T4066" s="4">
        <v>1</v>
      </c>
      <c r="U4066" s="5" t="s">
        <v>11900</v>
      </c>
      <c r="V4066" s="5" t="s">
        <v>11900</v>
      </c>
      <c r="W4066" s="5" t="s">
        <v>67</v>
      </c>
      <c r="X4066" s="5" t="s">
        <v>67</v>
      </c>
      <c r="Y4066" s="4">
        <v>22</v>
      </c>
      <c r="Z4066" s="4">
        <v>2</v>
      </c>
      <c r="AA4066" s="4">
        <v>7</v>
      </c>
      <c r="AB4066" s="4">
        <v>1</v>
      </c>
      <c r="AC4066" s="4">
        <v>4</v>
      </c>
      <c r="AD4066" s="4">
        <v>9</v>
      </c>
      <c r="AE4066" s="4">
        <v>11</v>
      </c>
      <c r="AF4066" s="4">
        <v>0</v>
      </c>
      <c r="AG4066" s="4">
        <v>2</v>
      </c>
      <c r="AH4066" s="4">
        <v>8</v>
      </c>
      <c r="AI4066" s="4">
        <v>9</v>
      </c>
      <c r="AJ4066" s="4">
        <v>1</v>
      </c>
      <c r="AK4066" s="4">
        <v>3</v>
      </c>
      <c r="AL4066" s="4">
        <v>6</v>
      </c>
      <c r="AM4066" s="4">
        <v>6</v>
      </c>
      <c r="AN4066" s="4">
        <v>0</v>
      </c>
      <c r="AO4066" s="4">
        <v>0</v>
      </c>
      <c r="AP4066" s="4">
        <v>1</v>
      </c>
      <c r="AQ4066" s="4">
        <v>2</v>
      </c>
      <c r="AR4066" s="3" t="s">
        <v>62</v>
      </c>
      <c r="AS4066" s="3" t="s">
        <v>62</v>
      </c>
      <c r="AT4066" s="3" t="s">
        <v>62</v>
      </c>
      <c r="AV4066" s="6" t="str">
        <f>HYPERLINK("http://mcgill.on.worldcat.org/oclc/904950044","Catalog Record")</f>
        <v>Catalog Record</v>
      </c>
      <c r="AW4066" s="6" t="str">
        <f>HYPERLINK("http://www.worldcat.org/oclc/904950044","WorldCat Record")</f>
        <v>WorldCat Record</v>
      </c>
      <c r="AX4066" s="3" t="s">
        <v>39093</v>
      </c>
      <c r="AY4066" s="3" t="s">
        <v>39094</v>
      </c>
      <c r="AZ4066" s="3" t="s">
        <v>39095</v>
      </c>
      <c r="BA4066" s="3" t="s">
        <v>39095</v>
      </c>
      <c r="BB4066" s="3" t="s">
        <v>39096</v>
      </c>
      <c r="BC4066" s="3" t="s">
        <v>142</v>
      </c>
      <c r="BD4066" s="3" t="s">
        <v>68</v>
      </c>
      <c r="BE4066" s="3" t="s">
        <v>39097</v>
      </c>
      <c r="BF4066" s="3" t="s">
        <v>39096</v>
      </c>
      <c r="BG4066" s="3" t="s">
        <v>39098</v>
      </c>
    </row>
    <row r="4067" spans="1:59" ht="57" x14ac:dyDescent="0.45">
      <c r="A4067" s="2" t="s">
        <v>59</v>
      </c>
      <c r="B4067" s="2" t="s">
        <v>60</v>
      </c>
      <c r="C4067" s="2" t="s">
        <v>39099</v>
      </c>
      <c r="D4067" s="2" t="s">
        <v>39100</v>
      </c>
      <c r="E4067" s="2" t="s">
        <v>39101</v>
      </c>
      <c r="G4067" s="3" t="s">
        <v>62</v>
      </c>
      <c r="I4067" s="3" t="s">
        <v>62</v>
      </c>
      <c r="J4067" s="3" t="s">
        <v>62</v>
      </c>
      <c r="K4067" s="3" t="s">
        <v>63</v>
      </c>
      <c r="L4067" s="2" t="s">
        <v>4706</v>
      </c>
      <c r="M4067" s="2" t="s">
        <v>39102</v>
      </c>
      <c r="N4067" s="3" t="s">
        <v>125</v>
      </c>
      <c r="P4067" s="3" t="s">
        <v>65</v>
      </c>
      <c r="R4067" s="3" t="s">
        <v>66</v>
      </c>
      <c r="S4067" s="4">
        <v>47</v>
      </c>
      <c r="T4067" s="4">
        <v>47</v>
      </c>
      <c r="U4067" s="5" t="s">
        <v>23930</v>
      </c>
      <c r="V4067" s="5" t="s">
        <v>23930</v>
      </c>
      <c r="W4067" s="5" t="s">
        <v>67</v>
      </c>
      <c r="X4067" s="5" t="s">
        <v>67</v>
      </c>
      <c r="Y4067" s="4">
        <v>786</v>
      </c>
      <c r="Z4067" s="4">
        <v>33</v>
      </c>
      <c r="AA4067" s="4">
        <v>43</v>
      </c>
      <c r="AB4067" s="4">
        <v>3</v>
      </c>
      <c r="AC4067" s="4">
        <v>7</v>
      </c>
      <c r="AD4067" s="4">
        <v>118</v>
      </c>
      <c r="AE4067" s="4">
        <v>126</v>
      </c>
      <c r="AF4067" s="4">
        <v>1</v>
      </c>
      <c r="AG4067" s="4">
        <v>4</v>
      </c>
      <c r="AH4067" s="4">
        <v>100</v>
      </c>
      <c r="AI4067" s="4">
        <v>103</v>
      </c>
      <c r="AJ4067" s="4">
        <v>18</v>
      </c>
      <c r="AK4067" s="4">
        <v>22</v>
      </c>
      <c r="AL4067" s="4">
        <v>53</v>
      </c>
      <c r="AM4067" s="4">
        <v>54</v>
      </c>
      <c r="AN4067" s="4">
        <v>0</v>
      </c>
      <c r="AO4067" s="4">
        <v>0</v>
      </c>
      <c r="AP4067" s="4">
        <v>24</v>
      </c>
      <c r="AQ4067" s="4">
        <v>31</v>
      </c>
      <c r="AR4067" s="3" t="s">
        <v>62</v>
      </c>
      <c r="AS4067" s="3" t="s">
        <v>62</v>
      </c>
      <c r="AT4067" s="3" t="s">
        <v>61</v>
      </c>
      <c r="AU4067" s="6" t="str">
        <f>HYPERLINK("http://catalog.hathitrust.org/Record/002215369","HathiTrust Record")</f>
        <v>HathiTrust Record</v>
      </c>
      <c r="AV4067" s="6" t="str">
        <f>HYPERLINK("http://mcgill.on.worldcat.org/oclc/21443460","Catalog Record")</f>
        <v>Catalog Record</v>
      </c>
      <c r="AW4067" s="6" t="str">
        <f>HYPERLINK("http://www.worldcat.org/oclc/21443460","WorldCat Record")</f>
        <v>WorldCat Record</v>
      </c>
      <c r="AX4067" s="3" t="s">
        <v>39103</v>
      </c>
      <c r="AY4067" s="3" t="s">
        <v>39104</v>
      </c>
      <c r="AZ4067" s="3" t="s">
        <v>39105</v>
      </c>
      <c r="BA4067" s="3" t="s">
        <v>39105</v>
      </c>
      <c r="BB4067" s="3" t="s">
        <v>39106</v>
      </c>
      <c r="BC4067" s="3" t="s">
        <v>142</v>
      </c>
      <c r="BD4067" s="3" t="s">
        <v>68</v>
      </c>
      <c r="BE4067" s="3" t="s">
        <v>39107</v>
      </c>
      <c r="BF4067" s="3" t="s">
        <v>39106</v>
      </c>
      <c r="BG4067" s="3" t="s">
        <v>39108</v>
      </c>
    </row>
    <row r="4068" spans="1:59" ht="57" x14ac:dyDescent="0.45">
      <c r="A4068" s="2" t="s">
        <v>59</v>
      </c>
      <c r="B4068" s="2" t="s">
        <v>60</v>
      </c>
      <c r="C4068" s="2" t="s">
        <v>39109</v>
      </c>
      <c r="D4068" s="2" t="s">
        <v>39110</v>
      </c>
      <c r="E4068" s="2" t="s">
        <v>39111</v>
      </c>
      <c r="F4068" s="3" t="s">
        <v>86</v>
      </c>
      <c r="G4068" s="3" t="s">
        <v>61</v>
      </c>
      <c r="I4068" s="3" t="s">
        <v>62</v>
      </c>
      <c r="J4068" s="3" t="s">
        <v>62</v>
      </c>
      <c r="K4068" s="3" t="s">
        <v>63</v>
      </c>
      <c r="M4068" s="2" t="s">
        <v>4009</v>
      </c>
      <c r="N4068" s="3" t="s">
        <v>149</v>
      </c>
      <c r="P4068" s="3" t="s">
        <v>65</v>
      </c>
      <c r="Q4068" s="2" t="s">
        <v>39112</v>
      </c>
      <c r="R4068" s="3" t="s">
        <v>66</v>
      </c>
      <c r="S4068" s="4">
        <v>1</v>
      </c>
      <c r="T4068" s="4">
        <v>3</v>
      </c>
      <c r="U4068" s="5" t="s">
        <v>39113</v>
      </c>
      <c r="V4068" s="5" t="s">
        <v>39113</v>
      </c>
      <c r="W4068" s="5" t="s">
        <v>67</v>
      </c>
      <c r="X4068" s="5" t="s">
        <v>67</v>
      </c>
      <c r="Y4068" s="4">
        <v>45</v>
      </c>
      <c r="Z4068" s="4">
        <v>2</v>
      </c>
      <c r="AA4068" s="4">
        <v>2</v>
      </c>
      <c r="AB4068" s="4">
        <v>2</v>
      </c>
      <c r="AC4068" s="4">
        <v>2</v>
      </c>
      <c r="AD4068" s="4">
        <v>8</v>
      </c>
      <c r="AE4068" s="4">
        <v>8</v>
      </c>
      <c r="AF4068" s="4">
        <v>0</v>
      </c>
      <c r="AG4068" s="4">
        <v>0</v>
      </c>
      <c r="AH4068" s="4">
        <v>7</v>
      </c>
      <c r="AI4068" s="4">
        <v>7</v>
      </c>
      <c r="AJ4068" s="4">
        <v>0</v>
      </c>
      <c r="AK4068" s="4">
        <v>0</v>
      </c>
      <c r="AL4068" s="4">
        <v>5</v>
      </c>
      <c r="AM4068" s="4">
        <v>5</v>
      </c>
      <c r="AN4068" s="4">
        <v>0</v>
      </c>
      <c r="AO4068" s="4">
        <v>0</v>
      </c>
      <c r="AP4068" s="4">
        <v>0</v>
      </c>
      <c r="AQ4068" s="4">
        <v>0</v>
      </c>
      <c r="AR4068" s="3" t="s">
        <v>62</v>
      </c>
      <c r="AS4068" s="3" t="s">
        <v>62</v>
      </c>
      <c r="AT4068" s="3" t="s">
        <v>62</v>
      </c>
      <c r="AV4068" s="6" t="str">
        <f>HYPERLINK("http://mcgill.on.worldcat.org/oclc/498365188","Catalog Record")</f>
        <v>Catalog Record</v>
      </c>
      <c r="AW4068" s="6" t="str">
        <f>HYPERLINK("http://www.worldcat.org/oclc/498365188","WorldCat Record")</f>
        <v>WorldCat Record</v>
      </c>
      <c r="AX4068" s="3" t="s">
        <v>39114</v>
      </c>
      <c r="AY4068" s="3" t="s">
        <v>39115</v>
      </c>
      <c r="AZ4068" s="3" t="s">
        <v>39116</v>
      </c>
      <c r="BA4068" s="3" t="s">
        <v>39116</v>
      </c>
      <c r="BB4068" s="3" t="s">
        <v>39117</v>
      </c>
      <c r="BC4068" s="3" t="s">
        <v>142</v>
      </c>
      <c r="BD4068" s="3" t="s">
        <v>68</v>
      </c>
      <c r="BE4068" s="3" t="s">
        <v>39118</v>
      </c>
      <c r="BF4068" s="3" t="s">
        <v>39117</v>
      </c>
      <c r="BG4068" s="3" t="s">
        <v>39119</v>
      </c>
    </row>
    <row r="4069" spans="1:59" ht="57" x14ac:dyDescent="0.45">
      <c r="A4069" s="2" t="s">
        <v>59</v>
      </c>
      <c r="B4069" s="2" t="s">
        <v>60</v>
      </c>
      <c r="C4069" s="2" t="s">
        <v>39109</v>
      </c>
      <c r="D4069" s="2" t="s">
        <v>39110</v>
      </c>
      <c r="E4069" s="2" t="s">
        <v>39111</v>
      </c>
      <c r="F4069" s="3" t="s">
        <v>88</v>
      </c>
      <c r="G4069" s="3" t="s">
        <v>61</v>
      </c>
      <c r="I4069" s="3" t="s">
        <v>62</v>
      </c>
      <c r="J4069" s="3" t="s">
        <v>62</v>
      </c>
      <c r="K4069" s="3" t="s">
        <v>63</v>
      </c>
      <c r="M4069" s="2" t="s">
        <v>4009</v>
      </c>
      <c r="N4069" s="3" t="s">
        <v>149</v>
      </c>
      <c r="P4069" s="3" t="s">
        <v>65</v>
      </c>
      <c r="Q4069" s="2" t="s">
        <v>39112</v>
      </c>
      <c r="R4069" s="3" t="s">
        <v>66</v>
      </c>
      <c r="S4069" s="4">
        <v>1</v>
      </c>
      <c r="T4069" s="4">
        <v>3</v>
      </c>
      <c r="U4069" s="5" t="s">
        <v>23930</v>
      </c>
      <c r="V4069" s="5" t="s">
        <v>39113</v>
      </c>
      <c r="W4069" s="5" t="s">
        <v>67</v>
      </c>
      <c r="X4069" s="5" t="s">
        <v>67</v>
      </c>
      <c r="Y4069" s="4">
        <v>45</v>
      </c>
      <c r="Z4069" s="4">
        <v>2</v>
      </c>
      <c r="AA4069" s="4">
        <v>2</v>
      </c>
      <c r="AB4069" s="4">
        <v>2</v>
      </c>
      <c r="AC4069" s="4">
        <v>2</v>
      </c>
      <c r="AD4069" s="4">
        <v>8</v>
      </c>
      <c r="AE4069" s="4">
        <v>8</v>
      </c>
      <c r="AF4069" s="4">
        <v>0</v>
      </c>
      <c r="AG4069" s="4">
        <v>0</v>
      </c>
      <c r="AH4069" s="4">
        <v>7</v>
      </c>
      <c r="AI4069" s="4">
        <v>7</v>
      </c>
      <c r="AJ4069" s="4">
        <v>0</v>
      </c>
      <c r="AK4069" s="4">
        <v>0</v>
      </c>
      <c r="AL4069" s="4">
        <v>5</v>
      </c>
      <c r="AM4069" s="4">
        <v>5</v>
      </c>
      <c r="AN4069" s="4">
        <v>0</v>
      </c>
      <c r="AO4069" s="4">
        <v>0</v>
      </c>
      <c r="AP4069" s="4">
        <v>0</v>
      </c>
      <c r="AQ4069" s="4">
        <v>0</v>
      </c>
      <c r="AR4069" s="3" t="s">
        <v>62</v>
      </c>
      <c r="AS4069" s="3" t="s">
        <v>62</v>
      </c>
      <c r="AT4069" s="3" t="s">
        <v>62</v>
      </c>
      <c r="AV4069" s="6" t="str">
        <f>HYPERLINK("http://mcgill.on.worldcat.org/oclc/498365188","Catalog Record")</f>
        <v>Catalog Record</v>
      </c>
      <c r="AW4069" s="6" t="str">
        <f>HYPERLINK("http://www.worldcat.org/oclc/498365188","WorldCat Record")</f>
        <v>WorldCat Record</v>
      </c>
      <c r="AX4069" s="3" t="s">
        <v>39114</v>
      </c>
      <c r="AY4069" s="3" t="s">
        <v>39115</v>
      </c>
      <c r="AZ4069" s="3" t="s">
        <v>39116</v>
      </c>
      <c r="BA4069" s="3" t="s">
        <v>39116</v>
      </c>
      <c r="BB4069" s="3" t="s">
        <v>39120</v>
      </c>
      <c r="BC4069" s="3" t="s">
        <v>142</v>
      </c>
      <c r="BD4069" s="3" t="s">
        <v>68</v>
      </c>
      <c r="BE4069" s="3" t="s">
        <v>39118</v>
      </c>
      <c r="BF4069" s="3" t="s">
        <v>39120</v>
      </c>
      <c r="BG4069" s="3" t="s">
        <v>39121</v>
      </c>
    </row>
    <row r="4070" spans="1:59" ht="57" x14ac:dyDescent="0.45">
      <c r="A4070" s="2" t="s">
        <v>59</v>
      </c>
      <c r="B4070" s="2" t="s">
        <v>60</v>
      </c>
      <c r="C4070" s="2" t="s">
        <v>39109</v>
      </c>
      <c r="D4070" s="2" t="s">
        <v>39110</v>
      </c>
      <c r="E4070" s="2" t="s">
        <v>39111</v>
      </c>
      <c r="F4070" s="3" t="s">
        <v>90</v>
      </c>
      <c r="G4070" s="3" t="s">
        <v>61</v>
      </c>
      <c r="I4070" s="3" t="s">
        <v>62</v>
      </c>
      <c r="J4070" s="3" t="s">
        <v>62</v>
      </c>
      <c r="K4070" s="3" t="s">
        <v>63</v>
      </c>
      <c r="M4070" s="2" t="s">
        <v>4009</v>
      </c>
      <c r="N4070" s="3" t="s">
        <v>149</v>
      </c>
      <c r="P4070" s="3" t="s">
        <v>65</v>
      </c>
      <c r="Q4070" s="2" t="s">
        <v>39112</v>
      </c>
      <c r="R4070" s="3" t="s">
        <v>66</v>
      </c>
      <c r="S4070" s="4">
        <v>0</v>
      </c>
      <c r="T4070" s="4">
        <v>3</v>
      </c>
      <c r="V4070" s="5" t="s">
        <v>39113</v>
      </c>
      <c r="W4070" s="5" t="s">
        <v>67</v>
      </c>
      <c r="X4070" s="5" t="s">
        <v>67</v>
      </c>
      <c r="Y4070" s="4">
        <v>45</v>
      </c>
      <c r="Z4070" s="4">
        <v>2</v>
      </c>
      <c r="AA4070" s="4">
        <v>2</v>
      </c>
      <c r="AB4070" s="4">
        <v>2</v>
      </c>
      <c r="AC4070" s="4">
        <v>2</v>
      </c>
      <c r="AD4070" s="4">
        <v>8</v>
      </c>
      <c r="AE4070" s="4">
        <v>8</v>
      </c>
      <c r="AF4070" s="4">
        <v>0</v>
      </c>
      <c r="AG4070" s="4">
        <v>0</v>
      </c>
      <c r="AH4070" s="4">
        <v>7</v>
      </c>
      <c r="AI4070" s="4">
        <v>7</v>
      </c>
      <c r="AJ4070" s="4">
        <v>0</v>
      </c>
      <c r="AK4070" s="4">
        <v>0</v>
      </c>
      <c r="AL4070" s="4">
        <v>5</v>
      </c>
      <c r="AM4070" s="4">
        <v>5</v>
      </c>
      <c r="AN4070" s="4">
        <v>0</v>
      </c>
      <c r="AO4070" s="4">
        <v>0</v>
      </c>
      <c r="AP4070" s="4">
        <v>0</v>
      </c>
      <c r="AQ4070" s="4">
        <v>0</v>
      </c>
      <c r="AR4070" s="3" t="s">
        <v>62</v>
      </c>
      <c r="AS4070" s="3" t="s">
        <v>62</v>
      </c>
      <c r="AT4070" s="3" t="s">
        <v>62</v>
      </c>
      <c r="AV4070" s="6" t="str">
        <f>HYPERLINK("http://mcgill.on.worldcat.org/oclc/498365188","Catalog Record")</f>
        <v>Catalog Record</v>
      </c>
      <c r="AW4070" s="6" t="str">
        <f>HYPERLINK("http://www.worldcat.org/oclc/498365188","WorldCat Record")</f>
        <v>WorldCat Record</v>
      </c>
      <c r="AX4070" s="3" t="s">
        <v>39114</v>
      </c>
      <c r="AY4070" s="3" t="s">
        <v>39115</v>
      </c>
      <c r="AZ4070" s="3" t="s">
        <v>39116</v>
      </c>
      <c r="BA4070" s="3" t="s">
        <v>39116</v>
      </c>
      <c r="BB4070" s="3" t="s">
        <v>39122</v>
      </c>
      <c r="BC4070" s="3" t="s">
        <v>142</v>
      </c>
      <c r="BD4070" s="3" t="s">
        <v>68</v>
      </c>
      <c r="BE4070" s="3" t="s">
        <v>39118</v>
      </c>
      <c r="BF4070" s="3" t="s">
        <v>39122</v>
      </c>
      <c r="BG4070" s="3" t="s">
        <v>39123</v>
      </c>
    </row>
    <row r="4071" spans="1:59" ht="57" x14ac:dyDescent="0.45">
      <c r="A4071" s="2" t="s">
        <v>59</v>
      </c>
      <c r="B4071" s="2" t="s">
        <v>60</v>
      </c>
      <c r="C4071" s="2" t="s">
        <v>39109</v>
      </c>
      <c r="D4071" s="2" t="s">
        <v>39110</v>
      </c>
      <c r="E4071" s="2" t="s">
        <v>39111</v>
      </c>
      <c r="F4071" s="3" t="s">
        <v>87</v>
      </c>
      <c r="G4071" s="3" t="s">
        <v>61</v>
      </c>
      <c r="I4071" s="3" t="s">
        <v>62</v>
      </c>
      <c r="J4071" s="3" t="s">
        <v>62</v>
      </c>
      <c r="K4071" s="3" t="s">
        <v>63</v>
      </c>
      <c r="M4071" s="2" t="s">
        <v>4009</v>
      </c>
      <c r="N4071" s="3" t="s">
        <v>149</v>
      </c>
      <c r="P4071" s="3" t="s">
        <v>65</v>
      </c>
      <c r="Q4071" s="2" t="s">
        <v>39112</v>
      </c>
      <c r="R4071" s="3" t="s">
        <v>66</v>
      </c>
      <c r="S4071" s="4">
        <v>1</v>
      </c>
      <c r="T4071" s="4">
        <v>3</v>
      </c>
      <c r="U4071" s="5" t="s">
        <v>12354</v>
      </c>
      <c r="V4071" s="5" t="s">
        <v>39113</v>
      </c>
      <c r="W4071" s="5" t="s">
        <v>67</v>
      </c>
      <c r="X4071" s="5" t="s">
        <v>67</v>
      </c>
      <c r="Y4071" s="4">
        <v>45</v>
      </c>
      <c r="Z4071" s="4">
        <v>2</v>
      </c>
      <c r="AA4071" s="4">
        <v>2</v>
      </c>
      <c r="AB4071" s="4">
        <v>2</v>
      </c>
      <c r="AC4071" s="4">
        <v>2</v>
      </c>
      <c r="AD4071" s="4">
        <v>8</v>
      </c>
      <c r="AE4071" s="4">
        <v>8</v>
      </c>
      <c r="AF4071" s="4">
        <v>0</v>
      </c>
      <c r="AG4071" s="4">
        <v>0</v>
      </c>
      <c r="AH4071" s="4">
        <v>7</v>
      </c>
      <c r="AI4071" s="4">
        <v>7</v>
      </c>
      <c r="AJ4071" s="4">
        <v>0</v>
      </c>
      <c r="AK4071" s="4">
        <v>0</v>
      </c>
      <c r="AL4071" s="4">
        <v>5</v>
      </c>
      <c r="AM4071" s="4">
        <v>5</v>
      </c>
      <c r="AN4071" s="4">
        <v>0</v>
      </c>
      <c r="AO4071" s="4">
        <v>0</v>
      </c>
      <c r="AP4071" s="4">
        <v>0</v>
      </c>
      <c r="AQ4071" s="4">
        <v>0</v>
      </c>
      <c r="AR4071" s="3" t="s">
        <v>62</v>
      </c>
      <c r="AS4071" s="3" t="s">
        <v>62</v>
      </c>
      <c r="AT4071" s="3" t="s">
        <v>62</v>
      </c>
      <c r="AV4071" s="6" t="str">
        <f>HYPERLINK("http://mcgill.on.worldcat.org/oclc/498365188","Catalog Record")</f>
        <v>Catalog Record</v>
      </c>
      <c r="AW4071" s="6" t="str">
        <f>HYPERLINK("http://www.worldcat.org/oclc/498365188","WorldCat Record")</f>
        <v>WorldCat Record</v>
      </c>
      <c r="AX4071" s="3" t="s">
        <v>39114</v>
      </c>
      <c r="AY4071" s="3" t="s">
        <v>39115</v>
      </c>
      <c r="AZ4071" s="3" t="s">
        <v>39116</v>
      </c>
      <c r="BA4071" s="3" t="s">
        <v>39116</v>
      </c>
      <c r="BB4071" s="3" t="s">
        <v>39124</v>
      </c>
      <c r="BC4071" s="3" t="s">
        <v>142</v>
      </c>
      <c r="BD4071" s="3" t="s">
        <v>68</v>
      </c>
      <c r="BE4071" s="3" t="s">
        <v>39118</v>
      </c>
      <c r="BF4071" s="3" t="s">
        <v>39124</v>
      </c>
      <c r="BG4071" s="3" t="s">
        <v>39125</v>
      </c>
    </row>
    <row r="4072" spans="1:59" ht="57" x14ac:dyDescent="0.45">
      <c r="A4072" s="2" t="s">
        <v>59</v>
      </c>
      <c r="B4072" s="2" t="s">
        <v>60</v>
      </c>
      <c r="C4072" s="2" t="s">
        <v>39126</v>
      </c>
      <c r="D4072" s="2" t="s">
        <v>39127</v>
      </c>
      <c r="E4072" s="2" t="s">
        <v>39128</v>
      </c>
      <c r="G4072" s="3" t="s">
        <v>62</v>
      </c>
      <c r="I4072" s="3" t="s">
        <v>62</v>
      </c>
      <c r="J4072" s="3" t="s">
        <v>62</v>
      </c>
      <c r="K4072" s="3" t="s">
        <v>63</v>
      </c>
      <c r="M4072" s="2" t="s">
        <v>39129</v>
      </c>
      <c r="N4072" s="3" t="s">
        <v>167</v>
      </c>
      <c r="P4072" s="3" t="s">
        <v>65</v>
      </c>
      <c r="R4072" s="3" t="s">
        <v>66</v>
      </c>
      <c r="S4072" s="4">
        <v>13</v>
      </c>
      <c r="T4072" s="4">
        <v>13</v>
      </c>
      <c r="U4072" s="5" t="s">
        <v>6253</v>
      </c>
      <c r="V4072" s="5" t="s">
        <v>6253</v>
      </c>
      <c r="W4072" s="5" t="s">
        <v>67</v>
      </c>
      <c r="X4072" s="5" t="s">
        <v>67</v>
      </c>
      <c r="Y4072" s="4">
        <v>254</v>
      </c>
      <c r="Z4072" s="4">
        <v>13</v>
      </c>
      <c r="AA4072" s="4">
        <v>104</v>
      </c>
      <c r="AB4072" s="4">
        <v>1</v>
      </c>
      <c r="AC4072" s="4">
        <v>17</v>
      </c>
      <c r="AD4072" s="4">
        <v>91</v>
      </c>
      <c r="AE4072" s="4">
        <v>143</v>
      </c>
      <c r="AF4072" s="4">
        <v>0</v>
      </c>
      <c r="AG4072" s="4">
        <v>8</v>
      </c>
      <c r="AH4072" s="4">
        <v>83</v>
      </c>
      <c r="AI4072" s="4">
        <v>104</v>
      </c>
      <c r="AJ4072" s="4">
        <v>9</v>
      </c>
      <c r="AK4072" s="4">
        <v>27</v>
      </c>
      <c r="AL4072" s="4">
        <v>48</v>
      </c>
      <c r="AM4072" s="4">
        <v>55</v>
      </c>
      <c r="AN4072" s="4">
        <v>0</v>
      </c>
      <c r="AO4072" s="4">
        <v>0</v>
      </c>
      <c r="AP4072" s="4">
        <v>10</v>
      </c>
      <c r="AQ4072" s="4">
        <v>47</v>
      </c>
      <c r="AR4072" s="3" t="s">
        <v>62</v>
      </c>
      <c r="AS4072" s="3" t="s">
        <v>62</v>
      </c>
      <c r="AT4072" s="3" t="s">
        <v>62</v>
      </c>
      <c r="AV4072" s="6" t="str">
        <f>HYPERLINK("http://mcgill.on.worldcat.org/oclc/42603429","Catalog Record")</f>
        <v>Catalog Record</v>
      </c>
      <c r="AW4072" s="6" t="str">
        <f>HYPERLINK("http://www.worldcat.org/oclc/42603429","WorldCat Record")</f>
        <v>WorldCat Record</v>
      </c>
      <c r="AX4072" s="3" t="s">
        <v>39130</v>
      </c>
      <c r="AY4072" s="3" t="s">
        <v>39131</v>
      </c>
      <c r="AZ4072" s="3" t="s">
        <v>39132</v>
      </c>
      <c r="BA4072" s="3" t="s">
        <v>39132</v>
      </c>
      <c r="BB4072" s="3" t="s">
        <v>39133</v>
      </c>
      <c r="BC4072" s="3" t="s">
        <v>142</v>
      </c>
      <c r="BD4072" s="3" t="s">
        <v>68</v>
      </c>
      <c r="BE4072" s="3" t="s">
        <v>39134</v>
      </c>
      <c r="BF4072" s="3" t="s">
        <v>39133</v>
      </c>
      <c r="BG4072" s="3" t="s">
        <v>39135</v>
      </c>
    </row>
    <row r="4073" spans="1:59" ht="57" x14ac:dyDescent="0.45">
      <c r="A4073" s="2" t="s">
        <v>59</v>
      </c>
      <c r="B4073" s="2" t="s">
        <v>60</v>
      </c>
      <c r="C4073" s="2" t="s">
        <v>39136</v>
      </c>
      <c r="D4073" s="2" t="s">
        <v>39137</v>
      </c>
      <c r="E4073" s="2" t="s">
        <v>39138</v>
      </c>
      <c r="G4073" s="3" t="s">
        <v>62</v>
      </c>
      <c r="I4073" s="3" t="s">
        <v>62</v>
      </c>
      <c r="J4073" s="3" t="s">
        <v>62</v>
      </c>
      <c r="K4073" s="3" t="s">
        <v>63</v>
      </c>
      <c r="M4073" s="2" t="s">
        <v>39139</v>
      </c>
      <c r="N4073" s="3" t="s">
        <v>970</v>
      </c>
      <c r="P4073" s="3" t="s">
        <v>65</v>
      </c>
      <c r="Q4073" s="2" t="s">
        <v>39140</v>
      </c>
      <c r="R4073" s="3" t="s">
        <v>66</v>
      </c>
      <c r="S4073" s="4">
        <v>12</v>
      </c>
      <c r="T4073" s="4">
        <v>12</v>
      </c>
      <c r="U4073" s="5" t="s">
        <v>12411</v>
      </c>
      <c r="V4073" s="5" t="s">
        <v>12411</v>
      </c>
      <c r="W4073" s="5" t="s">
        <v>67</v>
      </c>
      <c r="X4073" s="5" t="s">
        <v>67</v>
      </c>
      <c r="Y4073" s="4">
        <v>162</v>
      </c>
      <c r="Z4073" s="4">
        <v>15</v>
      </c>
      <c r="AA4073" s="4">
        <v>94</v>
      </c>
      <c r="AB4073" s="4">
        <v>1</v>
      </c>
      <c r="AC4073" s="4">
        <v>19</v>
      </c>
      <c r="AD4073" s="4">
        <v>73</v>
      </c>
      <c r="AE4073" s="4">
        <v>138</v>
      </c>
      <c r="AF4073" s="4">
        <v>0</v>
      </c>
      <c r="AG4073" s="4">
        <v>9</v>
      </c>
      <c r="AH4073" s="4">
        <v>67</v>
      </c>
      <c r="AI4073" s="4">
        <v>94</v>
      </c>
      <c r="AJ4073" s="4">
        <v>9</v>
      </c>
      <c r="AK4073" s="4">
        <v>26</v>
      </c>
      <c r="AL4073" s="4">
        <v>41</v>
      </c>
      <c r="AM4073" s="4">
        <v>49</v>
      </c>
      <c r="AN4073" s="4">
        <v>0</v>
      </c>
      <c r="AO4073" s="4">
        <v>0</v>
      </c>
      <c r="AP4073" s="4">
        <v>11</v>
      </c>
      <c r="AQ4073" s="4">
        <v>52</v>
      </c>
      <c r="AR4073" s="3" t="s">
        <v>62</v>
      </c>
      <c r="AS4073" s="3" t="s">
        <v>62</v>
      </c>
      <c r="AT4073" s="3" t="s">
        <v>62</v>
      </c>
      <c r="AV4073" s="6" t="str">
        <f>HYPERLINK("http://mcgill.on.worldcat.org/oclc/49395494","Catalog Record")</f>
        <v>Catalog Record</v>
      </c>
      <c r="AW4073" s="6" t="str">
        <f>HYPERLINK("http://www.worldcat.org/oclc/49395494","WorldCat Record")</f>
        <v>WorldCat Record</v>
      </c>
      <c r="AX4073" s="3" t="s">
        <v>39141</v>
      </c>
      <c r="AY4073" s="3" t="s">
        <v>39142</v>
      </c>
      <c r="AZ4073" s="3" t="s">
        <v>39143</v>
      </c>
      <c r="BA4073" s="3" t="s">
        <v>39143</v>
      </c>
      <c r="BB4073" s="3" t="s">
        <v>39144</v>
      </c>
      <c r="BC4073" s="3" t="s">
        <v>142</v>
      </c>
      <c r="BD4073" s="3" t="s">
        <v>68</v>
      </c>
      <c r="BE4073" s="3" t="s">
        <v>39145</v>
      </c>
      <c r="BF4073" s="3" t="s">
        <v>39144</v>
      </c>
      <c r="BG4073" s="3" t="s">
        <v>39146</v>
      </c>
    </row>
    <row r="4074" spans="1:59" ht="71.25" x14ac:dyDescent="0.45">
      <c r="A4074" s="2" t="s">
        <v>59</v>
      </c>
      <c r="B4074" s="2" t="s">
        <v>60</v>
      </c>
      <c r="C4074" s="2" t="s">
        <v>39147</v>
      </c>
      <c r="D4074" s="2" t="s">
        <v>39148</v>
      </c>
      <c r="E4074" s="2" t="s">
        <v>39149</v>
      </c>
      <c r="G4074" s="3" t="s">
        <v>62</v>
      </c>
      <c r="I4074" s="3" t="s">
        <v>62</v>
      </c>
      <c r="J4074" s="3" t="s">
        <v>62</v>
      </c>
      <c r="K4074" s="3" t="s">
        <v>63</v>
      </c>
      <c r="L4074" s="2" t="s">
        <v>39150</v>
      </c>
      <c r="M4074" s="2" t="s">
        <v>39151</v>
      </c>
      <c r="N4074" s="3" t="s">
        <v>1437</v>
      </c>
      <c r="P4074" s="3" t="s">
        <v>65</v>
      </c>
      <c r="Q4074" s="2" t="s">
        <v>39152</v>
      </c>
      <c r="R4074" s="3" t="s">
        <v>66</v>
      </c>
      <c r="S4074" s="4">
        <v>16</v>
      </c>
      <c r="T4074" s="4">
        <v>16</v>
      </c>
      <c r="U4074" s="5" t="s">
        <v>34280</v>
      </c>
      <c r="V4074" s="5" t="s">
        <v>34280</v>
      </c>
      <c r="W4074" s="5" t="s">
        <v>67</v>
      </c>
      <c r="X4074" s="5" t="s">
        <v>67</v>
      </c>
      <c r="Y4074" s="4">
        <v>161</v>
      </c>
      <c r="Z4074" s="4">
        <v>16</v>
      </c>
      <c r="AA4074" s="4">
        <v>98</v>
      </c>
      <c r="AB4074" s="4">
        <v>1</v>
      </c>
      <c r="AC4074" s="4">
        <v>17</v>
      </c>
      <c r="AD4074" s="4">
        <v>66</v>
      </c>
      <c r="AE4074" s="4">
        <v>127</v>
      </c>
      <c r="AF4074" s="4">
        <v>0</v>
      </c>
      <c r="AG4074" s="4">
        <v>8</v>
      </c>
      <c r="AH4074" s="4">
        <v>59</v>
      </c>
      <c r="AI4074" s="4">
        <v>91</v>
      </c>
      <c r="AJ4074" s="4">
        <v>11</v>
      </c>
      <c r="AK4074" s="4">
        <v>24</v>
      </c>
      <c r="AL4074" s="4">
        <v>38</v>
      </c>
      <c r="AM4074" s="4">
        <v>47</v>
      </c>
      <c r="AN4074" s="4">
        <v>0</v>
      </c>
      <c r="AO4074" s="4">
        <v>0</v>
      </c>
      <c r="AP4074" s="4">
        <v>12</v>
      </c>
      <c r="AQ4074" s="4">
        <v>45</v>
      </c>
      <c r="AR4074" s="3" t="s">
        <v>62</v>
      </c>
      <c r="AS4074" s="3" t="s">
        <v>62</v>
      </c>
      <c r="AT4074" s="3" t="s">
        <v>61</v>
      </c>
      <c r="AU4074" s="6" t="str">
        <f>HYPERLINK("http://catalog.hathitrust.org/Record/004019665","HathiTrust Record")</f>
        <v>HathiTrust Record</v>
      </c>
      <c r="AV4074" s="6" t="str">
        <f>HYPERLINK("http://mcgill.on.worldcat.org/oclc/39261929","Catalog Record")</f>
        <v>Catalog Record</v>
      </c>
      <c r="AW4074" s="6" t="str">
        <f>HYPERLINK("http://www.worldcat.org/oclc/39261929","WorldCat Record")</f>
        <v>WorldCat Record</v>
      </c>
      <c r="AX4074" s="3" t="s">
        <v>39153</v>
      </c>
      <c r="AY4074" s="3" t="s">
        <v>39154</v>
      </c>
      <c r="AZ4074" s="3" t="s">
        <v>39155</v>
      </c>
      <c r="BA4074" s="3" t="s">
        <v>39155</v>
      </c>
      <c r="BB4074" s="3" t="s">
        <v>39156</v>
      </c>
      <c r="BC4074" s="3" t="s">
        <v>142</v>
      </c>
      <c r="BD4074" s="3" t="s">
        <v>68</v>
      </c>
      <c r="BE4074" s="3" t="s">
        <v>39157</v>
      </c>
      <c r="BF4074" s="3" t="s">
        <v>39156</v>
      </c>
      <c r="BG4074" s="3" t="s">
        <v>39158</v>
      </c>
    </row>
    <row r="4075" spans="1:59" ht="57" x14ac:dyDescent="0.45">
      <c r="A4075" s="2" t="s">
        <v>59</v>
      </c>
      <c r="B4075" s="2" t="s">
        <v>60</v>
      </c>
      <c r="C4075" s="2" t="s">
        <v>39159</v>
      </c>
      <c r="D4075" s="2" t="s">
        <v>39160</v>
      </c>
      <c r="E4075" s="2" t="s">
        <v>39161</v>
      </c>
      <c r="G4075" s="3" t="s">
        <v>62</v>
      </c>
      <c r="I4075" s="3" t="s">
        <v>62</v>
      </c>
      <c r="J4075" s="3" t="s">
        <v>62</v>
      </c>
      <c r="K4075" s="3" t="s">
        <v>63</v>
      </c>
      <c r="M4075" s="2" t="s">
        <v>39162</v>
      </c>
      <c r="N4075" s="3" t="s">
        <v>970</v>
      </c>
      <c r="P4075" s="3" t="s">
        <v>65</v>
      </c>
      <c r="R4075" s="3" t="s">
        <v>66</v>
      </c>
      <c r="S4075" s="4">
        <v>10</v>
      </c>
      <c r="T4075" s="4">
        <v>10</v>
      </c>
      <c r="U4075" s="5" t="s">
        <v>11578</v>
      </c>
      <c r="V4075" s="5" t="s">
        <v>11578</v>
      </c>
      <c r="W4075" s="5" t="s">
        <v>67</v>
      </c>
      <c r="X4075" s="5" t="s">
        <v>67</v>
      </c>
      <c r="Y4075" s="4">
        <v>8</v>
      </c>
      <c r="Z4075" s="4">
        <v>2</v>
      </c>
      <c r="AA4075" s="4">
        <v>2</v>
      </c>
      <c r="AB4075" s="4">
        <v>1</v>
      </c>
      <c r="AC4075" s="4">
        <v>1</v>
      </c>
      <c r="AD4075" s="4">
        <v>3</v>
      </c>
      <c r="AE4075" s="4">
        <v>3</v>
      </c>
      <c r="AF4075" s="4">
        <v>0</v>
      </c>
      <c r="AG4075" s="4">
        <v>0</v>
      </c>
      <c r="AH4075" s="4">
        <v>2</v>
      </c>
      <c r="AI4075" s="4">
        <v>2</v>
      </c>
      <c r="AJ4075" s="4">
        <v>1</v>
      </c>
      <c r="AK4075" s="4">
        <v>1</v>
      </c>
      <c r="AL4075" s="4">
        <v>1</v>
      </c>
      <c r="AM4075" s="4">
        <v>1</v>
      </c>
      <c r="AN4075" s="4">
        <v>0</v>
      </c>
      <c r="AO4075" s="4">
        <v>0</v>
      </c>
      <c r="AP4075" s="4">
        <v>1</v>
      </c>
      <c r="AQ4075" s="4">
        <v>1</v>
      </c>
      <c r="AR4075" s="3" t="s">
        <v>62</v>
      </c>
      <c r="AS4075" s="3" t="s">
        <v>62</v>
      </c>
      <c r="AT4075" s="3" t="s">
        <v>62</v>
      </c>
      <c r="AV4075" s="6" t="str">
        <f>HYPERLINK("http://mcgill.on.worldcat.org/oclc/224732200","Catalog Record")</f>
        <v>Catalog Record</v>
      </c>
      <c r="AW4075" s="6" t="str">
        <f>HYPERLINK("http://www.worldcat.org/oclc/224732200","WorldCat Record")</f>
        <v>WorldCat Record</v>
      </c>
      <c r="AX4075" s="3" t="s">
        <v>39163</v>
      </c>
      <c r="AY4075" s="3" t="s">
        <v>39164</v>
      </c>
      <c r="AZ4075" s="3" t="s">
        <v>39165</v>
      </c>
      <c r="BA4075" s="3" t="s">
        <v>39165</v>
      </c>
      <c r="BB4075" s="3" t="s">
        <v>39166</v>
      </c>
      <c r="BC4075" s="3" t="s">
        <v>142</v>
      </c>
      <c r="BD4075" s="3" t="s">
        <v>68</v>
      </c>
      <c r="BF4075" s="3" t="s">
        <v>39166</v>
      </c>
      <c r="BG4075" s="3" t="s">
        <v>39167</v>
      </c>
    </row>
    <row r="4076" spans="1:59" ht="57" x14ac:dyDescent="0.45">
      <c r="A4076" s="2" t="s">
        <v>59</v>
      </c>
      <c r="B4076" s="2" t="s">
        <v>60</v>
      </c>
      <c r="C4076" s="2" t="s">
        <v>39168</v>
      </c>
      <c r="D4076" s="2" t="s">
        <v>39169</v>
      </c>
      <c r="E4076" s="2" t="s">
        <v>39170</v>
      </c>
      <c r="G4076" s="3" t="s">
        <v>62</v>
      </c>
      <c r="I4076" s="3" t="s">
        <v>62</v>
      </c>
      <c r="J4076" s="3" t="s">
        <v>62</v>
      </c>
      <c r="K4076" s="3" t="s">
        <v>63</v>
      </c>
      <c r="M4076" s="2" t="s">
        <v>6005</v>
      </c>
      <c r="N4076" s="3" t="s">
        <v>208</v>
      </c>
      <c r="P4076" s="3" t="s">
        <v>65</v>
      </c>
      <c r="Q4076" s="2" t="s">
        <v>39171</v>
      </c>
      <c r="R4076" s="3" t="s">
        <v>66</v>
      </c>
      <c r="S4076" s="4">
        <v>1</v>
      </c>
      <c r="T4076" s="4">
        <v>1</v>
      </c>
      <c r="U4076" s="5" t="s">
        <v>16208</v>
      </c>
      <c r="V4076" s="5" t="s">
        <v>16208</v>
      </c>
      <c r="W4076" s="5" t="s">
        <v>67</v>
      </c>
      <c r="X4076" s="5" t="s">
        <v>67</v>
      </c>
      <c r="Y4076" s="4">
        <v>51</v>
      </c>
      <c r="Z4076" s="4">
        <v>6</v>
      </c>
      <c r="AA4076" s="4">
        <v>72</v>
      </c>
      <c r="AB4076" s="4">
        <v>1</v>
      </c>
      <c r="AC4076" s="4">
        <v>14</v>
      </c>
      <c r="AD4076" s="4">
        <v>16</v>
      </c>
      <c r="AE4076" s="4">
        <v>85</v>
      </c>
      <c r="AF4076" s="4">
        <v>0</v>
      </c>
      <c r="AG4076" s="4">
        <v>8</v>
      </c>
      <c r="AH4076" s="4">
        <v>14</v>
      </c>
      <c r="AI4076" s="4">
        <v>54</v>
      </c>
      <c r="AJ4076" s="4">
        <v>3</v>
      </c>
      <c r="AK4076" s="4">
        <v>18</v>
      </c>
      <c r="AL4076" s="4">
        <v>13</v>
      </c>
      <c r="AM4076" s="4">
        <v>30</v>
      </c>
      <c r="AN4076" s="4">
        <v>0</v>
      </c>
      <c r="AO4076" s="4">
        <v>0</v>
      </c>
      <c r="AP4076" s="4">
        <v>3</v>
      </c>
      <c r="AQ4076" s="4">
        <v>37</v>
      </c>
      <c r="AR4076" s="3" t="s">
        <v>62</v>
      </c>
      <c r="AS4076" s="3" t="s">
        <v>62</v>
      </c>
      <c r="AT4076" s="3" t="s">
        <v>62</v>
      </c>
      <c r="AV4076" s="6" t="str">
        <f>HYPERLINK("http://mcgill.on.worldcat.org/oclc/881869224","Catalog Record")</f>
        <v>Catalog Record</v>
      </c>
      <c r="AW4076" s="6" t="str">
        <f>HYPERLINK("http://www.worldcat.org/oclc/881869224","WorldCat Record")</f>
        <v>WorldCat Record</v>
      </c>
      <c r="AX4076" s="3" t="s">
        <v>39172</v>
      </c>
      <c r="AY4076" s="3" t="s">
        <v>39173</v>
      </c>
      <c r="AZ4076" s="3" t="s">
        <v>39174</v>
      </c>
      <c r="BA4076" s="3" t="s">
        <v>39174</v>
      </c>
      <c r="BB4076" s="3" t="s">
        <v>39175</v>
      </c>
      <c r="BC4076" s="3" t="s">
        <v>142</v>
      </c>
      <c r="BD4076" s="3" t="s">
        <v>68</v>
      </c>
      <c r="BE4076" s="3" t="s">
        <v>39176</v>
      </c>
      <c r="BF4076" s="3" t="s">
        <v>39175</v>
      </c>
      <c r="BG4076" s="3" t="s">
        <v>39177</v>
      </c>
    </row>
    <row r="4077" spans="1:59" ht="57" x14ac:dyDescent="0.45">
      <c r="A4077" s="2" t="s">
        <v>59</v>
      </c>
      <c r="B4077" s="2" t="s">
        <v>60</v>
      </c>
      <c r="C4077" s="2" t="s">
        <v>39178</v>
      </c>
      <c r="D4077" s="2" t="s">
        <v>39179</v>
      </c>
      <c r="E4077" s="2" t="s">
        <v>39180</v>
      </c>
      <c r="G4077" s="3" t="s">
        <v>62</v>
      </c>
      <c r="I4077" s="3" t="s">
        <v>62</v>
      </c>
      <c r="J4077" s="3" t="s">
        <v>62</v>
      </c>
      <c r="K4077" s="3" t="s">
        <v>63</v>
      </c>
      <c r="M4077" s="2" t="s">
        <v>39181</v>
      </c>
      <c r="N4077" s="3" t="s">
        <v>529</v>
      </c>
      <c r="P4077" s="3" t="s">
        <v>65</v>
      </c>
      <c r="R4077" s="3" t="s">
        <v>66</v>
      </c>
      <c r="S4077" s="4">
        <v>39</v>
      </c>
      <c r="T4077" s="4">
        <v>39</v>
      </c>
      <c r="U4077" s="5" t="s">
        <v>34280</v>
      </c>
      <c r="V4077" s="5" t="s">
        <v>34280</v>
      </c>
      <c r="W4077" s="5" t="s">
        <v>67</v>
      </c>
      <c r="X4077" s="5" t="s">
        <v>67</v>
      </c>
      <c r="Y4077" s="4">
        <v>289</v>
      </c>
      <c r="Z4077" s="4">
        <v>25</v>
      </c>
      <c r="AA4077" s="4">
        <v>27</v>
      </c>
      <c r="AB4077" s="4">
        <v>3</v>
      </c>
      <c r="AC4077" s="4">
        <v>5</v>
      </c>
      <c r="AD4077" s="4">
        <v>101</v>
      </c>
      <c r="AE4077" s="4">
        <v>103</v>
      </c>
      <c r="AF4077" s="4">
        <v>2</v>
      </c>
      <c r="AG4077" s="4">
        <v>4</v>
      </c>
      <c r="AH4077" s="4">
        <v>87</v>
      </c>
      <c r="AI4077" s="4">
        <v>87</v>
      </c>
      <c r="AJ4077" s="4">
        <v>17</v>
      </c>
      <c r="AK4077" s="4">
        <v>19</v>
      </c>
      <c r="AL4077" s="4">
        <v>52</v>
      </c>
      <c r="AM4077" s="4">
        <v>52</v>
      </c>
      <c r="AN4077" s="4">
        <v>0</v>
      </c>
      <c r="AO4077" s="4">
        <v>0</v>
      </c>
      <c r="AP4077" s="4">
        <v>19</v>
      </c>
      <c r="AQ4077" s="4">
        <v>20</v>
      </c>
      <c r="AR4077" s="3" t="s">
        <v>62</v>
      </c>
      <c r="AS4077" s="3" t="s">
        <v>62</v>
      </c>
      <c r="AT4077" s="3" t="s">
        <v>61</v>
      </c>
      <c r="AU4077" s="6" t="str">
        <f>HYPERLINK("http://catalog.hathitrust.org/Record/001541448","HathiTrust Record")</f>
        <v>HathiTrust Record</v>
      </c>
      <c r="AV4077" s="6" t="str">
        <f>HYPERLINK("http://mcgill.on.worldcat.org/oclc/10602784","Catalog Record")</f>
        <v>Catalog Record</v>
      </c>
      <c r="AW4077" s="6" t="str">
        <f>HYPERLINK("http://www.worldcat.org/oclc/10602784","WorldCat Record")</f>
        <v>WorldCat Record</v>
      </c>
      <c r="AX4077" s="3" t="s">
        <v>39182</v>
      </c>
      <c r="AY4077" s="3" t="s">
        <v>39183</v>
      </c>
      <c r="AZ4077" s="3" t="s">
        <v>39184</v>
      </c>
      <c r="BA4077" s="3" t="s">
        <v>39184</v>
      </c>
      <c r="BB4077" s="3" t="s">
        <v>39185</v>
      </c>
      <c r="BC4077" s="3" t="s">
        <v>142</v>
      </c>
      <c r="BD4077" s="3" t="s">
        <v>68</v>
      </c>
      <c r="BE4077" s="3" t="s">
        <v>39186</v>
      </c>
      <c r="BF4077" s="3" t="s">
        <v>39185</v>
      </c>
      <c r="BG4077" s="3" t="s">
        <v>39187</v>
      </c>
    </row>
    <row r="4078" spans="1:59" ht="57" x14ac:dyDescent="0.45">
      <c r="A4078" s="2" t="s">
        <v>59</v>
      </c>
      <c r="B4078" s="2" t="s">
        <v>60</v>
      </c>
      <c r="C4078" s="2" t="s">
        <v>39188</v>
      </c>
      <c r="D4078" s="2" t="s">
        <v>39189</v>
      </c>
      <c r="E4078" s="2" t="s">
        <v>39190</v>
      </c>
      <c r="G4078" s="3" t="s">
        <v>62</v>
      </c>
      <c r="I4078" s="3" t="s">
        <v>62</v>
      </c>
      <c r="J4078" s="3" t="s">
        <v>62</v>
      </c>
      <c r="K4078" s="3" t="s">
        <v>63</v>
      </c>
      <c r="M4078" s="2" t="s">
        <v>39191</v>
      </c>
      <c r="N4078" s="3" t="s">
        <v>1688</v>
      </c>
      <c r="P4078" s="3" t="s">
        <v>65</v>
      </c>
      <c r="R4078" s="3" t="s">
        <v>66</v>
      </c>
      <c r="S4078" s="4">
        <v>1</v>
      </c>
      <c r="T4078" s="4">
        <v>1</v>
      </c>
      <c r="U4078" s="5" t="s">
        <v>11578</v>
      </c>
      <c r="V4078" s="5" t="s">
        <v>11578</v>
      </c>
      <c r="W4078" s="5" t="s">
        <v>67</v>
      </c>
      <c r="X4078" s="5" t="s">
        <v>67</v>
      </c>
      <c r="Y4078" s="4">
        <v>47</v>
      </c>
      <c r="Z4078" s="4">
        <v>3</v>
      </c>
      <c r="AA4078" s="4">
        <v>4</v>
      </c>
      <c r="AB4078" s="4">
        <v>1</v>
      </c>
      <c r="AC4078" s="4">
        <v>1</v>
      </c>
      <c r="AD4078" s="4">
        <v>22</v>
      </c>
      <c r="AE4078" s="4">
        <v>25</v>
      </c>
      <c r="AF4078" s="4">
        <v>0</v>
      </c>
      <c r="AG4078" s="4">
        <v>0</v>
      </c>
      <c r="AH4078" s="4">
        <v>21</v>
      </c>
      <c r="AI4078" s="4">
        <v>23</v>
      </c>
      <c r="AJ4078" s="4">
        <v>2</v>
      </c>
      <c r="AK4078" s="4">
        <v>3</v>
      </c>
      <c r="AL4078" s="4">
        <v>16</v>
      </c>
      <c r="AM4078" s="4">
        <v>17</v>
      </c>
      <c r="AN4078" s="4">
        <v>0</v>
      </c>
      <c r="AO4078" s="4">
        <v>0</v>
      </c>
      <c r="AP4078" s="4">
        <v>2</v>
      </c>
      <c r="AQ4078" s="4">
        <v>3</v>
      </c>
      <c r="AR4078" s="3" t="s">
        <v>62</v>
      </c>
      <c r="AS4078" s="3" t="s">
        <v>62</v>
      </c>
      <c r="AT4078" s="3" t="s">
        <v>62</v>
      </c>
      <c r="AV4078" s="6" t="str">
        <f>HYPERLINK("http://mcgill.on.worldcat.org/oclc/904436509","Catalog Record")</f>
        <v>Catalog Record</v>
      </c>
      <c r="AW4078" s="6" t="str">
        <f>HYPERLINK("http://www.worldcat.org/oclc/904436509","WorldCat Record")</f>
        <v>WorldCat Record</v>
      </c>
      <c r="AX4078" s="3" t="s">
        <v>39192</v>
      </c>
      <c r="AY4078" s="3" t="s">
        <v>39193</v>
      </c>
      <c r="AZ4078" s="3" t="s">
        <v>39194</v>
      </c>
      <c r="BA4078" s="3" t="s">
        <v>39194</v>
      </c>
      <c r="BB4078" s="3" t="s">
        <v>39195</v>
      </c>
      <c r="BC4078" s="3" t="s">
        <v>142</v>
      </c>
      <c r="BD4078" s="3" t="s">
        <v>68</v>
      </c>
      <c r="BE4078" s="3" t="s">
        <v>39196</v>
      </c>
      <c r="BF4078" s="3" t="s">
        <v>39195</v>
      </c>
      <c r="BG4078" s="3" t="s">
        <v>39197</v>
      </c>
    </row>
    <row r="4079" spans="1:59" ht="57" x14ac:dyDescent="0.45">
      <c r="A4079" s="2" t="s">
        <v>59</v>
      </c>
      <c r="B4079" s="2" t="s">
        <v>60</v>
      </c>
      <c r="C4079" s="2" t="s">
        <v>39198</v>
      </c>
      <c r="D4079" s="2" t="s">
        <v>39199</v>
      </c>
      <c r="E4079" s="2" t="s">
        <v>39200</v>
      </c>
      <c r="G4079" s="3" t="s">
        <v>62</v>
      </c>
      <c r="I4079" s="3" t="s">
        <v>62</v>
      </c>
      <c r="J4079" s="3" t="s">
        <v>62</v>
      </c>
      <c r="K4079" s="3" t="s">
        <v>63</v>
      </c>
      <c r="L4079" s="2" t="s">
        <v>39201</v>
      </c>
      <c r="M4079" s="2" t="s">
        <v>39202</v>
      </c>
      <c r="N4079" s="3" t="s">
        <v>149</v>
      </c>
      <c r="P4079" s="3" t="s">
        <v>65</v>
      </c>
      <c r="Q4079" s="2" t="s">
        <v>39203</v>
      </c>
      <c r="R4079" s="3" t="s">
        <v>66</v>
      </c>
      <c r="S4079" s="4">
        <v>2</v>
      </c>
      <c r="T4079" s="4">
        <v>2</v>
      </c>
      <c r="U4079" s="5" t="s">
        <v>18039</v>
      </c>
      <c r="V4079" s="5" t="s">
        <v>18039</v>
      </c>
      <c r="W4079" s="5" t="s">
        <v>67</v>
      </c>
      <c r="X4079" s="5" t="s">
        <v>67</v>
      </c>
      <c r="Y4079" s="4">
        <v>111</v>
      </c>
      <c r="Z4079" s="4">
        <v>6</v>
      </c>
      <c r="AA4079" s="4">
        <v>76</v>
      </c>
      <c r="AB4079" s="4">
        <v>1</v>
      </c>
      <c r="AC4079" s="4">
        <v>14</v>
      </c>
      <c r="AD4079" s="4">
        <v>39</v>
      </c>
      <c r="AE4079" s="4">
        <v>117</v>
      </c>
      <c r="AF4079" s="4">
        <v>0</v>
      </c>
      <c r="AG4079" s="4">
        <v>8</v>
      </c>
      <c r="AH4079" s="4">
        <v>38</v>
      </c>
      <c r="AI4079" s="4">
        <v>85</v>
      </c>
      <c r="AJ4079" s="4">
        <v>4</v>
      </c>
      <c r="AK4079" s="4">
        <v>19</v>
      </c>
      <c r="AL4079" s="4">
        <v>22</v>
      </c>
      <c r="AM4079" s="4">
        <v>45</v>
      </c>
      <c r="AN4079" s="4">
        <v>0</v>
      </c>
      <c r="AO4079" s="4">
        <v>0</v>
      </c>
      <c r="AP4079" s="4">
        <v>4</v>
      </c>
      <c r="AQ4079" s="4">
        <v>38</v>
      </c>
      <c r="AR4079" s="3" t="s">
        <v>62</v>
      </c>
      <c r="AS4079" s="3" t="s">
        <v>62</v>
      </c>
      <c r="AT4079" s="3" t="s">
        <v>62</v>
      </c>
      <c r="AV4079" s="6" t="str">
        <f>HYPERLINK("http://mcgill.on.worldcat.org/oclc/630480040","Catalog Record")</f>
        <v>Catalog Record</v>
      </c>
      <c r="AW4079" s="6" t="str">
        <f>HYPERLINK("http://www.worldcat.org/oclc/630480040","WorldCat Record")</f>
        <v>WorldCat Record</v>
      </c>
      <c r="AX4079" s="3" t="s">
        <v>39204</v>
      </c>
      <c r="AY4079" s="3" t="s">
        <v>39205</v>
      </c>
      <c r="AZ4079" s="3" t="s">
        <v>39206</v>
      </c>
      <c r="BA4079" s="3" t="s">
        <v>39206</v>
      </c>
      <c r="BB4079" s="3" t="s">
        <v>39207</v>
      </c>
      <c r="BC4079" s="3" t="s">
        <v>142</v>
      </c>
      <c r="BD4079" s="3" t="s">
        <v>68</v>
      </c>
      <c r="BE4079" s="3" t="s">
        <v>39208</v>
      </c>
      <c r="BF4079" s="3" t="s">
        <v>39207</v>
      </c>
      <c r="BG4079" s="3" t="s">
        <v>39209</v>
      </c>
    </row>
    <row r="4080" spans="1:59" ht="57" x14ac:dyDescent="0.45">
      <c r="A4080" s="2" t="s">
        <v>59</v>
      </c>
      <c r="B4080" s="2" t="s">
        <v>60</v>
      </c>
      <c r="C4080" s="2" t="s">
        <v>39210</v>
      </c>
      <c r="D4080" s="2" t="s">
        <v>39211</v>
      </c>
      <c r="E4080" s="2" t="s">
        <v>39212</v>
      </c>
      <c r="G4080" s="3" t="s">
        <v>62</v>
      </c>
      <c r="I4080" s="3" t="s">
        <v>62</v>
      </c>
      <c r="J4080" s="3" t="s">
        <v>62</v>
      </c>
      <c r="K4080" s="3" t="s">
        <v>63</v>
      </c>
      <c r="M4080" s="2" t="s">
        <v>39213</v>
      </c>
      <c r="N4080" s="3" t="s">
        <v>125</v>
      </c>
      <c r="P4080" s="3" t="s">
        <v>65</v>
      </c>
      <c r="Q4080" s="2" t="s">
        <v>39214</v>
      </c>
      <c r="R4080" s="3" t="s">
        <v>66</v>
      </c>
      <c r="S4080" s="4">
        <v>40</v>
      </c>
      <c r="T4080" s="4">
        <v>40</v>
      </c>
      <c r="U4080" s="5" t="s">
        <v>31680</v>
      </c>
      <c r="V4080" s="5" t="s">
        <v>31680</v>
      </c>
      <c r="W4080" s="5" t="s">
        <v>67</v>
      </c>
      <c r="X4080" s="5" t="s">
        <v>67</v>
      </c>
      <c r="Y4080" s="4">
        <v>199</v>
      </c>
      <c r="Z4080" s="4">
        <v>14</v>
      </c>
      <c r="AA4080" s="4">
        <v>16</v>
      </c>
      <c r="AB4080" s="4">
        <v>3</v>
      </c>
      <c r="AC4080" s="4">
        <v>5</v>
      </c>
      <c r="AD4080" s="4">
        <v>84</v>
      </c>
      <c r="AE4080" s="4">
        <v>86</v>
      </c>
      <c r="AF4080" s="4">
        <v>1</v>
      </c>
      <c r="AG4080" s="4">
        <v>3</v>
      </c>
      <c r="AH4080" s="4">
        <v>77</v>
      </c>
      <c r="AI4080" s="4">
        <v>77</v>
      </c>
      <c r="AJ4080" s="4">
        <v>9</v>
      </c>
      <c r="AK4080" s="4">
        <v>11</v>
      </c>
      <c r="AL4080" s="4">
        <v>50</v>
      </c>
      <c r="AM4080" s="4">
        <v>50</v>
      </c>
      <c r="AN4080" s="4">
        <v>0</v>
      </c>
      <c r="AO4080" s="4">
        <v>0</v>
      </c>
      <c r="AP4080" s="4">
        <v>10</v>
      </c>
      <c r="AQ4080" s="4">
        <v>11</v>
      </c>
      <c r="AR4080" s="3" t="s">
        <v>62</v>
      </c>
      <c r="AS4080" s="3" t="s">
        <v>62</v>
      </c>
      <c r="AT4080" s="3" t="s">
        <v>61</v>
      </c>
      <c r="AU4080" s="6" t="str">
        <f>HYPERLINK("http://catalog.hathitrust.org/Record/002430151","HathiTrust Record")</f>
        <v>HathiTrust Record</v>
      </c>
      <c r="AV4080" s="6" t="str">
        <f>HYPERLINK("http://mcgill.on.worldcat.org/oclc/21197506","Catalog Record")</f>
        <v>Catalog Record</v>
      </c>
      <c r="AW4080" s="6" t="str">
        <f>HYPERLINK("http://www.worldcat.org/oclc/21197506","WorldCat Record")</f>
        <v>WorldCat Record</v>
      </c>
      <c r="AX4080" s="3" t="s">
        <v>39215</v>
      </c>
      <c r="AY4080" s="3" t="s">
        <v>39216</v>
      </c>
      <c r="AZ4080" s="3" t="s">
        <v>39217</v>
      </c>
      <c r="BA4080" s="3" t="s">
        <v>39217</v>
      </c>
      <c r="BB4080" s="3" t="s">
        <v>39218</v>
      </c>
      <c r="BC4080" s="3" t="s">
        <v>142</v>
      </c>
      <c r="BD4080" s="3" t="s">
        <v>68</v>
      </c>
      <c r="BE4080" s="3" t="s">
        <v>39219</v>
      </c>
      <c r="BF4080" s="3" t="s">
        <v>39218</v>
      </c>
      <c r="BG4080" s="3" t="s">
        <v>39220</v>
      </c>
    </row>
    <row r="4081" spans="1:59" ht="57" x14ac:dyDescent="0.45">
      <c r="A4081" s="2" t="s">
        <v>59</v>
      </c>
      <c r="B4081" s="2" t="s">
        <v>60</v>
      </c>
      <c r="C4081" s="2" t="s">
        <v>39221</v>
      </c>
      <c r="D4081" s="2" t="s">
        <v>39222</v>
      </c>
      <c r="E4081" s="2" t="s">
        <v>39223</v>
      </c>
      <c r="G4081" s="3" t="s">
        <v>62</v>
      </c>
      <c r="I4081" s="3" t="s">
        <v>62</v>
      </c>
      <c r="J4081" s="3" t="s">
        <v>62</v>
      </c>
      <c r="K4081" s="3" t="s">
        <v>63</v>
      </c>
      <c r="M4081" s="2" t="s">
        <v>2952</v>
      </c>
      <c r="N4081" s="3" t="s">
        <v>918</v>
      </c>
      <c r="P4081" s="3" t="s">
        <v>65</v>
      </c>
      <c r="R4081" s="3" t="s">
        <v>66</v>
      </c>
      <c r="S4081" s="4">
        <v>7</v>
      </c>
      <c r="T4081" s="4">
        <v>7</v>
      </c>
      <c r="U4081" s="5" t="s">
        <v>29969</v>
      </c>
      <c r="V4081" s="5" t="s">
        <v>29969</v>
      </c>
      <c r="W4081" s="5" t="s">
        <v>67</v>
      </c>
      <c r="X4081" s="5" t="s">
        <v>67</v>
      </c>
      <c r="Y4081" s="4">
        <v>359</v>
      </c>
      <c r="Z4081" s="4">
        <v>49</v>
      </c>
      <c r="AA4081" s="4">
        <v>126</v>
      </c>
      <c r="AB4081" s="4">
        <v>2</v>
      </c>
      <c r="AC4081" s="4">
        <v>17</v>
      </c>
      <c r="AD4081" s="4">
        <v>119</v>
      </c>
      <c r="AE4081" s="4">
        <v>152</v>
      </c>
      <c r="AF4081" s="4">
        <v>1</v>
      </c>
      <c r="AG4081" s="4">
        <v>8</v>
      </c>
      <c r="AH4081" s="4">
        <v>93</v>
      </c>
      <c r="AI4081" s="4">
        <v>106</v>
      </c>
      <c r="AJ4081" s="4">
        <v>22</v>
      </c>
      <c r="AK4081" s="4">
        <v>28</v>
      </c>
      <c r="AL4081" s="4">
        <v>56</v>
      </c>
      <c r="AM4081" s="4">
        <v>59</v>
      </c>
      <c r="AN4081" s="4">
        <v>0</v>
      </c>
      <c r="AO4081" s="4">
        <v>0</v>
      </c>
      <c r="AP4081" s="4">
        <v>32</v>
      </c>
      <c r="AQ4081" s="4">
        <v>53</v>
      </c>
      <c r="AR4081" s="3" t="s">
        <v>62</v>
      </c>
      <c r="AS4081" s="3" t="s">
        <v>62</v>
      </c>
      <c r="AT4081" s="3" t="s">
        <v>62</v>
      </c>
      <c r="AV4081" s="6" t="str">
        <f>HYPERLINK("http://mcgill.on.worldcat.org/oclc/51315423","Catalog Record")</f>
        <v>Catalog Record</v>
      </c>
      <c r="AW4081" s="6" t="str">
        <f>HYPERLINK("http://www.worldcat.org/oclc/51315423","WorldCat Record")</f>
        <v>WorldCat Record</v>
      </c>
      <c r="AX4081" s="3" t="s">
        <v>39224</v>
      </c>
      <c r="AY4081" s="3" t="s">
        <v>39225</v>
      </c>
      <c r="AZ4081" s="3" t="s">
        <v>39226</v>
      </c>
      <c r="BA4081" s="3" t="s">
        <v>39226</v>
      </c>
      <c r="BB4081" s="3" t="s">
        <v>39227</v>
      </c>
      <c r="BC4081" s="3" t="s">
        <v>142</v>
      </c>
      <c r="BD4081" s="3" t="s">
        <v>68</v>
      </c>
      <c r="BE4081" s="3" t="s">
        <v>39228</v>
      </c>
      <c r="BF4081" s="3" t="s">
        <v>39227</v>
      </c>
      <c r="BG4081" s="3" t="s">
        <v>39229</v>
      </c>
    </row>
    <row r="4082" spans="1:59" ht="57" x14ac:dyDescent="0.45">
      <c r="A4082" s="2" t="s">
        <v>59</v>
      </c>
      <c r="B4082" s="2" t="s">
        <v>60</v>
      </c>
      <c r="C4082" s="2" t="s">
        <v>39230</v>
      </c>
      <c r="D4082" s="2" t="s">
        <v>39231</v>
      </c>
      <c r="E4082" s="2" t="s">
        <v>39232</v>
      </c>
      <c r="G4082" s="3" t="s">
        <v>62</v>
      </c>
      <c r="I4082" s="3" t="s">
        <v>62</v>
      </c>
      <c r="J4082" s="3" t="s">
        <v>62</v>
      </c>
      <c r="K4082" s="3" t="s">
        <v>63</v>
      </c>
      <c r="M4082" s="2" t="s">
        <v>3915</v>
      </c>
      <c r="N4082" s="3" t="s">
        <v>1155</v>
      </c>
      <c r="P4082" s="3" t="s">
        <v>65</v>
      </c>
      <c r="Q4082" s="2" t="s">
        <v>39233</v>
      </c>
      <c r="R4082" s="3" t="s">
        <v>66</v>
      </c>
      <c r="S4082" s="4">
        <v>2</v>
      </c>
      <c r="T4082" s="4">
        <v>2</v>
      </c>
      <c r="U4082" s="5" t="s">
        <v>23332</v>
      </c>
      <c r="V4082" s="5" t="s">
        <v>23332</v>
      </c>
      <c r="W4082" s="5" t="s">
        <v>67</v>
      </c>
      <c r="X4082" s="5" t="s">
        <v>67</v>
      </c>
      <c r="Y4082" s="4">
        <v>102</v>
      </c>
      <c r="Z4082" s="4">
        <v>13</v>
      </c>
      <c r="AA4082" s="4">
        <v>47</v>
      </c>
      <c r="AB4082" s="4">
        <v>1</v>
      </c>
      <c r="AC4082" s="4">
        <v>3</v>
      </c>
      <c r="AD4082" s="4">
        <v>42</v>
      </c>
      <c r="AE4082" s="4">
        <v>59</v>
      </c>
      <c r="AF4082" s="4">
        <v>0</v>
      </c>
      <c r="AG4082" s="4">
        <v>0</v>
      </c>
      <c r="AH4082" s="4">
        <v>37</v>
      </c>
      <c r="AI4082" s="4">
        <v>44</v>
      </c>
      <c r="AJ4082" s="4">
        <v>11</v>
      </c>
      <c r="AK4082" s="4">
        <v>16</v>
      </c>
      <c r="AL4082" s="4">
        <v>23</v>
      </c>
      <c r="AM4082" s="4">
        <v>27</v>
      </c>
      <c r="AN4082" s="4">
        <v>0</v>
      </c>
      <c r="AO4082" s="4">
        <v>0</v>
      </c>
      <c r="AP4082" s="4">
        <v>11</v>
      </c>
      <c r="AQ4082" s="4">
        <v>21</v>
      </c>
      <c r="AR4082" s="3" t="s">
        <v>62</v>
      </c>
      <c r="AS4082" s="3" t="s">
        <v>62</v>
      </c>
      <c r="AT4082" s="3" t="s">
        <v>62</v>
      </c>
      <c r="AV4082" s="6" t="str">
        <f>HYPERLINK("http://mcgill.on.worldcat.org/oclc/797975722","Catalog Record")</f>
        <v>Catalog Record</v>
      </c>
      <c r="AW4082" s="6" t="str">
        <f>HYPERLINK("http://www.worldcat.org/oclc/797975722","WorldCat Record")</f>
        <v>WorldCat Record</v>
      </c>
      <c r="AX4082" s="3" t="s">
        <v>39234</v>
      </c>
      <c r="AY4082" s="3" t="s">
        <v>39235</v>
      </c>
      <c r="AZ4082" s="3" t="s">
        <v>39236</v>
      </c>
      <c r="BA4082" s="3" t="s">
        <v>39236</v>
      </c>
      <c r="BB4082" s="3" t="s">
        <v>39237</v>
      </c>
      <c r="BC4082" s="3" t="s">
        <v>142</v>
      </c>
      <c r="BD4082" s="3" t="s">
        <v>68</v>
      </c>
      <c r="BE4082" s="3" t="s">
        <v>39238</v>
      </c>
      <c r="BF4082" s="3" t="s">
        <v>39237</v>
      </c>
      <c r="BG4082" s="3" t="s">
        <v>39239</v>
      </c>
    </row>
    <row r="4083" spans="1:59" ht="57" x14ac:dyDescent="0.45">
      <c r="A4083" s="2" t="s">
        <v>59</v>
      </c>
      <c r="B4083" s="2" t="s">
        <v>60</v>
      </c>
      <c r="C4083" s="2" t="s">
        <v>39240</v>
      </c>
      <c r="D4083" s="2" t="s">
        <v>39241</v>
      </c>
      <c r="E4083" s="2" t="s">
        <v>39242</v>
      </c>
      <c r="G4083" s="3" t="s">
        <v>62</v>
      </c>
      <c r="I4083" s="3" t="s">
        <v>62</v>
      </c>
      <c r="J4083" s="3" t="s">
        <v>62</v>
      </c>
      <c r="K4083" s="3" t="s">
        <v>63</v>
      </c>
      <c r="M4083" s="2" t="s">
        <v>7307</v>
      </c>
      <c r="N4083" s="3" t="s">
        <v>149</v>
      </c>
      <c r="P4083" s="3" t="s">
        <v>65</v>
      </c>
      <c r="R4083" s="3" t="s">
        <v>66</v>
      </c>
      <c r="S4083" s="4">
        <v>9</v>
      </c>
      <c r="T4083" s="4">
        <v>9</v>
      </c>
      <c r="U4083" s="5" t="s">
        <v>39243</v>
      </c>
      <c r="V4083" s="5" t="s">
        <v>39243</v>
      </c>
      <c r="W4083" s="5" t="s">
        <v>67</v>
      </c>
      <c r="X4083" s="5" t="s">
        <v>67</v>
      </c>
      <c r="Y4083" s="4">
        <v>56</v>
      </c>
      <c r="Z4083" s="4">
        <v>8</v>
      </c>
      <c r="AA4083" s="4">
        <v>10</v>
      </c>
      <c r="AB4083" s="4">
        <v>1</v>
      </c>
      <c r="AC4083" s="4">
        <v>2</v>
      </c>
      <c r="AD4083" s="4">
        <v>24</v>
      </c>
      <c r="AE4083" s="4">
        <v>26</v>
      </c>
      <c r="AF4083" s="4">
        <v>0</v>
      </c>
      <c r="AG4083" s="4">
        <v>1</v>
      </c>
      <c r="AH4083" s="4">
        <v>22</v>
      </c>
      <c r="AI4083" s="4">
        <v>23</v>
      </c>
      <c r="AJ4083" s="4">
        <v>6</v>
      </c>
      <c r="AK4083" s="4">
        <v>7</v>
      </c>
      <c r="AL4083" s="4">
        <v>14</v>
      </c>
      <c r="AM4083" s="4">
        <v>14</v>
      </c>
      <c r="AN4083" s="4">
        <v>0</v>
      </c>
      <c r="AO4083" s="4">
        <v>0</v>
      </c>
      <c r="AP4083" s="4">
        <v>6</v>
      </c>
      <c r="AQ4083" s="4">
        <v>8</v>
      </c>
      <c r="AR4083" s="3" t="s">
        <v>62</v>
      </c>
      <c r="AS4083" s="3" t="s">
        <v>62</v>
      </c>
      <c r="AT4083" s="3" t="s">
        <v>62</v>
      </c>
      <c r="AV4083" s="6" t="str">
        <f>HYPERLINK("http://mcgill.on.worldcat.org/oclc/629991068","Catalog Record")</f>
        <v>Catalog Record</v>
      </c>
      <c r="AW4083" s="6" t="str">
        <f>HYPERLINK("http://www.worldcat.org/oclc/629991068","WorldCat Record")</f>
        <v>WorldCat Record</v>
      </c>
      <c r="AX4083" s="3" t="s">
        <v>39244</v>
      </c>
      <c r="AY4083" s="3" t="s">
        <v>39245</v>
      </c>
      <c r="AZ4083" s="3" t="s">
        <v>39246</v>
      </c>
      <c r="BA4083" s="3" t="s">
        <v>39246</v>
      </c>
      <c r="BB4083" s="3" t="s">
        <v>39247</v>
      </c>
      <c r="BC4083" s="3" t="s">
        <v>142</v>
      </c>
      <c r="BD4083" s="3" t="s">
        <v>308</v>
      </c>
      <c r="BE4083" s="3" t="s">
        <v>39248</v>
      </c>
      <c r="BF4083" s="3" t="s">
        <v>39247</v>
      </c>
      <c r="BG4083" s="3" t="s">
        <v>39249</v>
      </c>
    </row>
    <row r="4084" spans="1:59" ht="57" x14ac:dyDescent="0.45">
      <c r="A4084" s="2" t="s">
        <v>59</v>
      </c>
      <c r="B4084" s="2" t="s">
        <v>60</v>
      </c>
      <c r="C4084" s="2" t="s">
        <v>39250</v>
      </c>
      <c r="D4084" s="2" t="s">
        <v>39251</v>
      </c>
      <c r="E4084" s="2" t="s">
        <v>39252</v>
      </c>
      <c r="G4084" s="3" t="s">
        <v>62</v>
      </c>
      <c r="I4084" s="3" t="s">
        <v>62</v>
      </c>
      <c r="J4084" s="3" t="s">
        <v>62</v>
      </c>
      <c r="K4084" s="3" t="s">
        <v>63</v>
      </c>
      <c r="L4084" s="2" t="s">
        <v>21344</v>
      </c>
      <c r="M4084" s="2" t="s">
        <v>39253</v>
      </c>
      <c r="N4084" s="3" t="s">
        <v>116</v>
      </c>
      <c r="P4084" s="3" t="s">
        <v>65</v>
      </c>
      <c r="Q4084" s="2" t="s">
        <v>39254</v>
      </c>
      <c r="R4084" s="3" t="s">
        <v>66</v>
      </c>
      <c r="S4084" s="4">
        <v>2</v>
      </c>
      <c r="T4084" s="4">
        <v>2</v>
      </c>
      <c r="W4084" s="5" t="s">
        <v>67</v>
      </c>
      <c r="X4084" s="5" t="s">
        <v>67</v>
      </c>
      <c r="Y4084" s="4">
        <v>81</v>
      </c>
      <c r="Z4084" s="4">
        <v>14</v>
      </c>
      <c r="AA4084" s="4">
        <v>16</v>
      </c>
      <c r="AB4084" s="4">
        <v>1</v>
      </c>
      <c r="AC4084" s="4">
        <v>2</v>
      </c>
      <c r="AD4084" s="4">
        <v>33</v>
      </c>
      <c r="AE4084" s="4">
        <v>38</v>
      </c>
      <c r="AF4084" s="4">
        <v>0</v>
      </c>
      <c r="AG4084" s="4">
        <v>0</v>
      </c>
      <c r="AH4084" s="4">
        <v>27</v>
      </c>
      <c r="AI4084" s="4">
        <v>32</v>
      </c>
      <c r="AJ4084" s="4">
        <v>11</v>
      </c>
      <c r="AK4084" s="4">
        <v>12</v>
      </c>
      <c r="AL4084" s="4">
        <v>19</v>
      </c>
      <c r="AM4084" s="4">
        <v>21</v>
      </c>
      <c r="AN4084" s="4">
        <v>0</v>
      </c>
      <c r="AO4084" s="4">
        <v>0</v>
      </c>
      <c r="AP4084" s="4">
        <v>12</v>
      </c>
      <c r="AQ4084" s="4">
        <v>13</v>
      </c>
      <c r="AR4084" s="3" t="s">
        <v>62</v>
      </c>
      <c r="AS4084" s="3" t="s">
        <v>62</v>
      </c>
      <c r="AT4084" s="3" t="s">
        <v>62</v>
      </c>
      <c r="AV4084" s="6" t="str">
        <f>HYPERLINK("http://mcgill.on.worldcat.org/oclc/818462791","Catalog Record")</f>
        <v>Catalog Record</v>
      </c>
      <c r="AW4084" s="6" t="str">
        <f>HYPERLINK("http://www.worldcat.org/oclc/818462791","WorldCat Record")</f>
        <v>WorldCat Record</v>
      </c>
      <c r="AX4084" s="3" t="s">
        <v>39255</v>
      </c>
      <c r="AY4084" s="3" t="s">
        <v>39256</v>
      </c>
      <c r="AZ4084" s="3" t="s">
        <v>39257</v>
      </c>
      <c r="BA4084" s="3" t="s">
        <v>39257</v>
      </c>
      <c r="BB4084" s="3" t="s">
        <v>39258</v>
      </c>
      <c r="BC4084" s="3" t="s">
        <v>142</v>
      </c>
      <c r="BD4084" s="3" t="s">
        <v>308</v>
      </c>
      <c r="BE4084" s="3" t="s">
        <v>39259</v>
      </c>
      <c r="BF4084" s="3" t="s">
        <v>39258</v>
      </c>
      <c r="BG4084" s="3" t="s">
        <v>39260</v>
      </c>
    </row>
    <row r="4085" spans="1:59" ht="57" x14ac:dyDescent="0.45">
      <c r="A4085" s="2" t="s">
        <v>59</v>
      </c>
      <c r="B4085" s="2" t="s">
        <v>60</v>
      </c>
      <c r="C4085" s="2" t="s">
        <v>39261</v>
      </c>
      <c r="D4085" s="2" t="s">
        <v>39262</v>
      </c>
      <c r="E4085" s="2" t="s">
        <v>39263</v>
      </c>
      <c r="G4085" s="3" t="s">
        <v>62</v>
      </c>
      <c r="I4085" s="3" t="s">
        <v>62</v>
      </c>
      <c r="J4085" s="3" t="s">
        <v>61</v>
      </c>
      <c r="K4085" s="3" t="s">
        <v>63</v>
      </c>
      <c r="L4085" s="2" t="s">
        <v>39264</v>
      </c>
      <c r="M4085" s="2" t="s">
        <v>9755</v>
      </c>
      <c r="N4085" s="3" t="s">
        <v>1155</v>
      </c>
      <c r="O4085" s="2" t="s">
        <v>933</v>
      </c>
      <c r="P4085" s="3" t="s">
        <v>65</v>
      </c>
      <c r="R4085" s="3" t="s">
        <v>66</v>
      </c>
      <c r="S4085" s="4">
        <v>22</v>
      </c>
      <c r="T4085" s="4">
        <v>22</v>
      </c>
      <c r="U4085" s="5" t="s">
        <v>3596</v>
      </c>
      <c r="V4085" s="5" t="s">
        <v>3596</v>
      </c>
      <c r="W4085" s="5" t="s">
        <v>67</v>
      </c>
      <c r="X4085" s="5" t="s">
        <v>67</v>
      </c>
      <c r="Y4085" s="4">
        <v>170</v>
      </c>
      <c r="Z4085" s="4">
        <v>18</v>
      </c>
      <c r="AA4085" s="4">
        <v>93</v>
      </c>
      <c r="AB4085" s="4">
        <v>1</v>
      </c>
      <c r="AC4085" s="4">
        <v>16</v>
      </c>
      <c r="AD4085" s="4">
        <v>57</v>
      </c>
      <c r="AE4085" s="4">
        <v>149</v>
      </c>
      <c r="AF4085" s="4">
        <v>0</v>
      </c>
      <c r="AG4085" s="4">
        <v>8</v>
      </c>
      <c r="AH4085" s="4">
        <v>49</v>
      </c>
      <c r="AI4085" s="4">
        <v>109</v>
      </c>
      <c r="AJ4085" s="4">
        <v>12</v>
      </c>
      <c r="AK4085" s="4">
        <v>28</v>
      </c>
      <c r="AL4085" s="4">
        <v>29</v>
      </c>
      <c r="AM4085" s="4">
        <v>57</v>
      </c>
      <c r="AN4085" s="4">
        <v>0</v>
      </c>
      <c r="AO4085" s="4">
        <v>0</v>
      </c>
      <c r="AP4085" s="4">
        <v>15</v>
      </c>
      <c r="AQ4085" s="4">
        <v>49</v>
      </c>
      <c r="AR4085" s="3" t="s">
        <v>62</v>
      </c>
      <c r="AS4085" s="3" t="s">
        <v>62</v>
      </c>
      <c r="AT4085" s="3" t="s">
        <v>62</v>
      </c>
      <c r="AV4085" s="6" t="str">
        <f>HYPERLINK("http://mcgill.on.worldcat.org/oclc/607983032","Catalog Record")</f>
        <v>Catalog Record</v>
      </c>
      <c r="AW4085" s="6" t="str">
        <f>HYPERLINK("http://www.worldcat.org/oclc/607983032","WorldCat Record")</f>
        <v>WorldCat Record</v>
      </c>
      <c r="AX4085" s="3" t="s">
        <v>39265</v>
      </c>
      <c r="AY4085" s="3" t="s">
        <v>39266</v>
      </c>
      <c r="AZ4085" s="3" t="s">
        <v>39267</v>
      </c>
      <c r="BA4085" s="3" t="s">
        <v>39267</v>
      </c>
      <c r="BB4085" s="3" t="s">
        <v>39268</v>
      </c>
      <c r="BC4085" s="3" t="s">
        <v>142</v>
      </c>
      <c r="BD4085" s="3" t="s">
        <v>68</v>
      </c>
      <c r="BE4085" s="3" t="s">
        <v>39269</v>
      </c>
      <c r="BF4085" s="3" t="s">
        <v>39268</v>
      </c>
      <c r="BG4085" s="3" t="s">
        <v>39270</v>
      </c>
    </row>
    <row r="4086" spans="1:59" ht="57" x14ac:dyDescent="0.45">
      <c r="A4086" s="2" t="s">
        <v>59</v>
      </c>
      <c r="B4086" s="2" t="s">
        <v>60</v>
      </c>
      <c r="C4086" s="2" t="s">
        <v>39271</v>
      </c>
      <c r="D4086" s="2" t="s">
        <v>39272</v>
      </c>
      <c r="E4086" s="2" t="s">
        <v>39273</v>
      </c>
      <c r="G4086" s="3" t="s">
        <v>62</v>
      </c>
      <c r="I4086" s="3" t="s">
        <v>62</v>
      </c>
      <c r="J4086" s="3" t="s">
        <v>62</v>
      </c>
      <c r="K4086" s="3" t="s">
        <v>63</v>
      </c>
      <c r="M4086" s="2" t="s">
        <v>4336</v>
      </c>
      <c r="N4086" s="3" t="s">
        <v>1688</v>
      </c>
      <c r="P4086" s="3" t="s">
        <v>110</v>
      </c>
      <c r="Q4086" s="2" t="s">
        <v>5983</v>
      </c>
      <c r="R4086" s="3" t="s">
        <v>66</v>
      </c>
      <c r="S4086" s="4">
        <v>0</v>
      </c>
      <c r="T4086" s="4">
        <v>0</v>
      </c>
      <c r="W4086" s="5" t="s">
        <v>67</v>
      </c>
      <c r="X4086" s="5" t="s">
        <v>67</v>
      </c>
      <c r="Y4086" s="4">
        <v>16</v>
      </c>
      <c r="Z4086" s="4">
        <v>4</v>
      </c>
      <c r="AA4086" s="4">
        <v>6</v>
      </c>
      <c r="AB4086" s="4">
        <v>1</v>
      </c>
      <c r="AC4086" s="4">
        <v>2</v>
      </c>
      <c r="AD4086" s="4">
        <v>10</v>
      </c>
      <c r="AE4086" s="4">
        <v>11</v>
      </c>
      <c r="AF4086" s="4">
        <v>0</v>
      </c>
      <c r="AG4086" s="4">
        <v>0</v>
      </c>
      <c r="AH4086" s="4">
        <v>10</v>
      </c>
      <c r="AI4086" s="4">
        <v>11</v>
      </c>
      <c r="AJ4086" s="4">
        <v>2</v>
      </c>
      <c r="AK4086" s="4">
        <v>3</v>
      </c>
      <c r="AL4086" s="4">
        <v>7</v>
      </c>
      <c r="AM4086" s="4">
        <v>7</v>
      </c>
      <c r="AN4086" s="4">
        <v>0</v>
      </c>
      <c r="AO4086" s="4">
        <v>0</v>
      </c>
      <c r="AP4086" s="4">
        <v>2</v>
      </c>
      <c r="AQ4086" s="4">
        <v>3</v>
      </c>
      <c r="AR4086" s="3" t="s">
        <v>62</v>
      </c>
      <c r="AS4086" s="3" t="s">
        <v>62</v>
      </c>
      <c r="AT4086" s="3" t="s">
        <v>62</v>
      </c>
      <c r="AV4086" s="6" t="str">
        <f>HYPERLINK("http://mcgill.on.worldcat.org/oclc/900465091","Catalog Record")</f>
        <v>Catalog Record</v>
      </c>
      <c r="AW4086" s="6" t="str">
        <f>HYPERLINK("http://www.worldcat.org/oclc/900465091","WorldCat Record")</f>
        <v>WorldCat Record</v>
      </c>
      <c r="AX4086" s="3" t="s">
        <v>39274</v>
      </c>
      <c r="AY4086" s="3" t="s">
        <v>39275</v>
      </c>
      <c r="AZ4086" s="3" t="s">
        <v>39276</v>
      </c>
      <c r="BA4086" s="3" t="s">
        <v>39276</v>
      </c>
      <c r="BB4086" s="3" t="s">
        <v>39277</v>
      </c>
      <c r="BC4086" s="3" t="s">
        <v>142</v>
      </c>
      <c r="BD4086" s="3" t="s">
        <v>68</v>
      </c>
      <c r="BE4086" s="3" t="s">
        <v>39278</v>
      </c>
      <c r="BF4086" s="3" t="s">
        <v>39277</v>
      </c>
      <c r="BG4086" s="3" t="s">
        <v>39279</v>
      </c>
    </row>
    <row r="4087" spans="1:59" ht="57" x14ac:dyDescent="0.45">
      <c r="A4087" s="2" t="s">
        <v>59</v>
      </c>
      <c r="B4087" s="2" t="s">
        <v>60</v>
      </c>
      <c r="C4087" s="2" t="s">
        <v>39280</v>
      </c>
      <c r="D4087" s="2" t="s">
        <v>39281</v>
      </c>
      <c r="E4087" s="2" t="s">
        <v>39282</v>
      </c>
      <c r="G4087" s="3" t="s">
        <v>62</v>
      </c>
      <c r="I4087" s="3" t="s">
        <v>62</v>
      </c>
      <c r="J4087" s="3" t="s">
        <v>62</v>
      </c>
      <c r="K4087" s="3" t="s">
        <v>63</v>
      </c>
      <c r="M4087" s="2" t="s">
        <v>39283</v>
      </c>
      <c r="N4087" s="3" t="s">
        <v>1212</v>
      </c>
      <c r="P4087" s="3" t="s">
        <v>65</v>
      </c>
      <c r="Q4087" s="2" t="s">
        <v>39284</v>
      </c>
      <c r="R4087" s="3" t="s">
        <v>66</v>
      </c>
      <c r="S4087" s="4">
        <v>30</v>
      </c>
      <c r="T4087" s="4">
        <v>30</v>
      </c>
      <c r="U4087" s="5" t="s">
        <v>39285</v>
      </c>
      <c r="V4087" s="5" t="s">
        <v>39285</v>
      </c>
      <c r="W4087" s="5" t="s">
        <v>67</v>
      </c>
      <c r="X4087" s="5" t="s">
        <v>67</v>
      </c>
      <c r="Y4087" s="4">
        <v>284</v>
      </c>
      <c r="Z4087" s="4">
        <v>19</v>
      </c>
      <c r="AA4087" s="4">
        <v>21</v>
      </c>
      <c r="AB4087" s="4">
        <v>2</v>
      </c>
      <c r="AC4087" s="4">
        <v>3</v>
      </c>
      <c r="AD4087" s="4">
        <v>94</v>
      </c>
      <c r="AE4087" s="4">
        <v>96</v>
      </c>
      <c r="AF4087" s="4">
        <v>1</v>
      </c>
      <c r="AG4087" s="4">
        <v>2</v>
      </c>
      <c r="AH4087" s="4">
        <v>87</v>
      </c>
      <c r="AI4087" s="4">
        <v>87</v>
      </c>
      <c r="AJ4087" s="4">
        <v>13</v>
      </c>
      <c r="AK4087" s="4">
        <v>14</v>
      </c>
      <c r="AL4087" s="4">
        <v>51</v>
      </c>
      <c r="AM4087" s="4">
        <v>51</v>
      </c>
      <c r="AN4087" s="4">
        <v>0</v>
      </c>
      <c r="AO4087" s="4">
        <v>0</v>
      </c>
      <c r="AP4087" s="4">
        <v>14</v>
      </c>
      <c r="AQ4087" s="4">
        <v>15</v>
      </c>
      <c r="AR4087" s="3" t="s">
        <v>62</v>
      </c>
      <c r="AS4087" s="3" t="s">
        <v>62</v>
      </c>
      <c r="AT4087" s="3" t="s">
        <v>62</v>
      </c>
      <c r="AV4087" s="6" t="str">
        <f>HYPERLINK("http://mcgill.on.worldcat.org/oclc/41452588","Catalog Record")</f>
        <v>Catalog Record</v>
      </c>
      <c r="AW4087" s="6" t="str">
        <f>HYPERLINK("http://www.worldcat.org/oclc/41452588","WorldCat Record")</f>
        <v>WorldCat Record</v>
      </c>
      <c r="AX4087" s="3" t="s">
        <v>39286</v>
      </c>
      <c r="AY4087" s="3" t="s">
        <v>39287</v>
      </c>
      <c r="AZ4087" s="3" t="s">
        <v>39288</v>
      </c>
      <c r="BA4087" s="3" t="s">
        <v>39288</v>
      </c>
      <c r="BB4087" s="3" t="s">
        <v>39289</v>
      </c>
      <c r="BC4087" s="3" t="s">
        <v>142</v>
      </c>
      <c r="BD4087" s="3" t="s">
        <v>68</v>
      </c>
      <c r="BE4087" s="3" t="s">
        <v>39290</v>
      </c>
      <c r="BF4087" s="3" t="s">
        <v>39289</v>
      </c>
      <c r="BG4087" s="3" t="s">
        <v>39291</v>
      </c>
    </row>
    <row r="4088" spans="1:59" ht="57" x14ac:dyDescent="0.45">
      <c r="A4088" s="2" t="s">
        <v>59</v>
      </c>
      <c r="B4088" s="2" t="s">
        <v>60</v>
      </c>
      <c r="C4088" s="2" t="s">
        <v>39292</v>
      </c>
      <c r="D4088" s="2" t="s">
        <v>39293</v>
      </c>
      <c r="E4088" s="2" t="s">
        <v>39294</v>
      </c>
      <c r="G4088" s="3" t="s">
        <v>62</v>
      </c>
      <c r="I4088" s="3" t="s">
        <v>62</v>
      </c>
      <c r="J4088" s="3" t="s">
        <v>62</v>
      </c>
      <c r="K4088" s="3" t="s">
        <v>63</v>
      </c>
      <c r="M4088" s="2" t="s">
        <v>6245</v>
      </c>
      <c r="N4088" s="3" t="s">
        <v>1212</v>
      </c>
      <c r="P4088" s="3" t="s">
        <v>65</v>
      </c>
      <c r="R4088" s="3" t="s">
        <v>66</v>
      </c>
      <c r="S4088" s="4">
        <v>47</v>
      </c>
      <c r="T4088" s="4">
        <v>47</v>
      </c>
      <c r="U4088" s="5" t="s">
        <v>39295</v>
      </c>
      <c r="V4088" s="5" t="s">
        <v>39295</v>
      </c>
      <c r="W4088" s="5" t="s">
        <v>67</v>
      </c>
      <c r="X4088" s="5" t="s">
        <v>67</v>
      </c>
      <c r="Y4088" s="4">
        <v>309</v>
      </c>
      <c r="Z4088" s="4">
        <v>20</v>
      </c>
      <c r="AA4088" s="4">
        <v>24</v>
      </c>
      <c r="AB4088" s="4">
        <v>1</v>
      </c>
      <c r="AC4088" s="4">
        <v>4</v>
      </c>
      <c r="AD4088" s="4">
        <v>95</v>
      </c>
      <c r="AE4088" s="4">
        <v>104</v>
      </c>
      <c r="AF4088" s="4">
        <v>0</v>
      </c>
      <c r="AG4088" s="4">
        <v>0</v>
      </c>
      <c r="AH4088" s="4">
        <v>87</v>
      </c>
      <c r="AI4088" s="4">
        <v>94</v>
      </c>
      <c r="AJ4088" s="4">
        <v>14</v>
      </c>
      <c r="AK4088" s="4">
        <v>14</v>
      </c>
      <c r="AL4088" s="4">
        <v>45</v>
      </c>
      <c r="AM4088" s="4">
        <v>48</v>
      </c>
      <c r="AN4088" s="4">
        <v>0</v>
      </c>
      <c r="AO4088" s="4">
        <v>0</v>
      </c>
      <c r="AP4088" s="4">
        <v>16</v>
      </c>
      <c r="AQ4088" s="4">
        <v>17</v>
      </c>
      <c r="AR4088" s="3" t="s">
        <v>62</v>
      </c>
      <c r="AS4088" s="3" t="s">
        <v>62</v>
      </c>
      <c r="AT4088" s="3" t="s">
        <v>62</v>
      </c>
      <c r="AV4088" s="6" t="str">
        <f>HYPERLINK("http://mcgill.on.worldcat.org/oclc/43333552","Catalog Record")</f>
        <v>Catalog Record</v>
      </c>
      <c r="AW4088" s="6" t="str">
        <f>HYPERLINK("http://www.worldcat.org/oclc/43333552","WorldCat Record")</f>
        <v>WorldCat Record</v>
      </c>
      <c r="AX4088" s="3" t="s">
        <v>39296</v>
      </c>
      <c r="AY4088" s="3" t="s">
        <v>39297</v>
      </c>
      <c r="AZ4088" s="3" t="s">
        <v>39298</v>
      </c>
      <c r="BA4088" s="3" t="s">
        <v>39298</v>
      </c>
      <c r="BB4088" s="3" t="s">
        <v>39299</v>
      </c>
      <c r="BC4088" s="3" t="s">
        <v>142</v>
      </c>
      <c r="BD4088" s="3" t="s">
        <v>68</v>
      </c>
      <c r="BE4088" s="3" t="s">
        <v>39300</v>
      </c>
      <c r="BF4088" s="3" t="s">
        <v>39299</v>
      </c>
      <c r="BG4088" s="3" t="s">
        <v>39301</v>
      </c>
    </row>
    <row r="4089" spans="1:59" ht="57" x14ac:dyDescent="0.45">
      <c r="A4089" s="2" t="s">
        <v>59</v>
      </c>
      <c r="B4089" s="2" t="s">
        <v>60</v>
      </c>
      <c r="C4089" s="2" t="s">
        <v>39302</v>
      </c>
      <c r="D4089" s="2" t="s">
        <v>39303</v>
      </c>
      <c r="E4089" s="2" t="s">
        <v>39304</v>
      </c>
      <c r="G4089" s="3" t="s">
        <v>62</v>
      </c>
      <c r="I4089" s="3" t="s">
        <v>62</v>
      </c>
      <c r="J4089" s="3" t="s">
        <v>62</v>
      </c>
      <c r="K4089" s="3" t="s">
        <v>63</v>
      </c>
      <c r="L4089" s="2" t="s">
        <v>9434</v>
      </c>
      <c r="M4089" s="2" t="s">
        <v>6523</v>
      </c>
      <c r="N4089" s="3" t="s">
        <v>1059</v>
      </c>
      <c r="P4089" s="3" t="s">
        <v>65</v>
      </c>
      <c r="R4089" s="3" t="s">
        <v>66</v>
      </c>
      <c r="S4089" s="4">
        <v>24</v>
      </c>
      <c r="T4089" s="4">
        <v>24</v>
      </c>
      <c r="U4089" s="5" t="s">
        <v>17751</v>
      </c>
      <c r="V4089" s="5" t="s">
        <v>17751</v>
      </c>
      <c r="W4089" s="5" t="s">
        <v>67</v>
      </c>
      <c r="X4089" s="5" t="s">
        <v>67</v>
      </c>
      <c r="Y4089" s="4">
        <v>237</v>
      </c>
      <c r="Z4089" s="4">
        <v>20</v>
      </c>
      <c r="AA4089" s="4">
        <v>63</v>
      </c>
      <c r="AB4089" s="4">
        <v>2</v>
      </c>
      <c r="AC4089" s="4">
        <v>17</v>
      </c>
      <c r="AD4089" s="4">
        <v>77</v>
      </c>
      <c r="AE4089" s="4">
        <v>117</v>
      </c>
      <c r="AF4089" s="4">
        <v>1</v>
      </c>
      <c r="AG4089" s="4">
        <v>8</v>
      </c>
      <c r="AH4089" s="4">
        <v>70</v>
      </c>
      <c r="AI4089" s="4">
        <v>79</v>
      </c>
      <c r="AJ4089" s="4">
        <v>16</v>
      </c>
      <c r="AK4089" s="4">
        <v>25</v>
      </c>
      <c r="AL4089" s="4">
        <v>40</v>
      </c>
      <c r="AM4089" s="4">
        <v>43</v>
      </c>
      <c r="AN4089" s="4">
        <v>0</v>
      </c>
      <c r="AO4089" s="4">
        <v>0</v>
      </c>
      <c r="AP4089" s="4">
        <v>17</v>
      </c>
      <c r="AQ4089" s="4">
        <v>49</v>
      </c>
      <c r="AR4089" s="3" t="s">
        <v>62</v>
      </c>
      <c r="AS4089" s="3" t="s">
        <v>62</v>
      </c>
      <c r="AT4089" s="3" t="s">
        <v>62</v>
      </c>
      <c r="AV4089" s="6" t="str">
        <f>HYPERLINK("http://mcgill.on.worldcat.org/oclc/58546521","Catalog Record")</f>
        <v>Catalog Record</v>
      </c>
      <c r="AW4089" s="6" t="str">
        <f>HYPERLINK("http://www.worldcat.org/oclc/58546521","WorldCat Record")</f>
        <v>WorldCat Record</v>
      </c>
      <c r="AX4089" s="3" t="s">
        <v>39305</v>
      </c>
      <c r="AY4089" s="3" t="s">
        <v>39306</v>
      </c>
      <c r="AZ4089" s="3" t="s">
        <v>39307</v>
      </c>
      <c r="BA4089" s="3" t="s">
        <v>39307</v>
      </c>
      <c r="BB4089" s="3" t="s">
        <v>39308</v>
      </c>
      <c r="BC4089" s="3" t="s">
        <v>142</v>
      </c>
      <c r="BD4089" s="3" t="s">
        <v>68</v>
      </c>
      <c r="BE4089" s="3" t="s">
        <v>39309</v>
      </c>
      <c r="BF4089" s="3" t="s">
        <v>39308</v>
      </c>
      <c r="BG4089" s="3" t="s">
        <v>39310</v>
      </c>
    </row>
    <row r="4090" spans="1:59" ht="57" x14ac:dyDescent="0.45">
      <c r="A4090" s="2" t="s">
        <v>59</v>
      </c>
      <c r="B4090" s="2" t="s">
        <v>60</v>
      </c>
      <c r="C4090" s="2" t="s">
        <v>39311</v>
      </c>
      <c r="D4090" s="2" t="s">
        <v>39312</v>
      </c>
      <c r="E4090" s="2" t="s">
        <v>39313</v>
      </c>
      <c r="G4090" s="3" t="s">
        <v>62</v>
      </c>
      <c r="I4090" s="3" t="s">
        <v>62</v>
      </c>
      <c r="J4090" s="3" t="s">
        <v>62</v>
      </c>
      <c r="K4090" s="3" t="s">
        <v>63</v>
      </c>
      <c r="L4090" s="2" t="s">
        <v>39314</v>
      </c>
      <c r="M4090" s="2" t="s">
        <v>4429</v>
      </c>
      <c r="N4090" s="3" t="s">
        <v>1097</v>
      </c>
      <c r="P4090" s="3" t="s">
        <v>65</v>
      </c>
      <c r="Q4090" s="2" t="s">
        <v>1267</v>
      </c>
      <c r="R4090" s="3" t="s">
        <v>66</v>
      </c>
      <c r="S4090" s="4">
        <v>42</v>
      </c>
      <c r="T4090" s="4">
        <v>42</v>
      </c>
      <c r="U4090" s="5" t="s">
        <v>39315</v>
      </c>
      <c r="V4090" s="5" t="s">
        <v>39315</v>
      </c>
      <c r="W4090" s="5" t="s">
        <v>67</v>
      </c>
      <c r="X4090" s="5" t="s">
        <v>67</v>
      </c>
      <c r="Y4090" s="4">
        <v>379</v>
      </c>
      <c r="Z4090" s="4">
        <v>28</v>
      </c>
      <c r="AA4090" s="4">
        <v>87</v>
      </c>
      <c r="AB4090" s="4">
        <v>1</v>
      </c>
      <c r="AC4090" s="4">
        <v>14</v>
      </c>
      <c r="AD4090" s="4">
        <v>105</v>
      </c>
      <c r="AE4090" s="4">
        <v>142</v>
      </c>
      <c r="AF4090" s="4">
        <v>0</v>
      </c>
      <c r="AG4090" s="4">
        <v>8</v>
      </c>
      <c r="AH4090" s="4">
        <v>90</v>
      </c>
      <c r="AI4090" s="4">
        <v>104</v>
      </c>
      <c r="AJ4090" s="4">
        <v>16</v>
      </c>
      <c r="AK4090" s="4">
        <v>27</v>
      </c>
      <c r="AL4090" s="4">
        <v>51</v>
      </c>
      <c r="AM4090" s="4">
        <v>56</v>
      </c>
      <c r="AN4090" s="4">
        <v>0</v>
      </c>
      <c r="AO4090" s="4">
        <v>0</v>
      </c>
      <c r="AP4090" s="4">
        <v>22</v>
      </c>
      <c r="AQ4090" s="4">
        <v>47</v>
      </c>
      <c r="AR4090" s="3" t="s">
        <v>62</v>
      </c>
      <c r="AS4090" s="3" t="s">
        <v>62</v>
      </c>
      <c r="AT4090" s="3" t="s">
        <v>62</v>
      </c>
      <c r="AV4090" s="6" t="str">
        <f>HYPERLINK("http://mcgill.on.worldcat.org/oclc/52377617","Catalog Record")</f>
        <v>Catalog Record</v>
      </c>
      <c r="AW4090" s="6" t="str">
        <f>HYPERLINK("http://www.worldcat.org/oclc/52377617","WorldCat Record")</f>
        <v>WorldCat Record</v>
      </c>
      <c r="AX4090" s="3" t="s">
        <v>39316</v>
      </c>
      <c r="AY4090" s="3" t="s">
        <v>39317</v>
      </c>
      <c r="AZ4090" s="3" t="s">
        <v>39318</v>
      </c>
      <c r="BA4090" s="3" t="s">
        <v>39318</v>
      </c>
      <c r="BB4090" s="3" t="s">
        <v>39319</v>
      </c>
      <c r="BC4090" s="3" t="s">
        <v>142</v>
      </c>
      <c r="BD4090" s="3" t="s">
        <v>68</v>
      </c>
      <c r="BE4090" s="3" t="s">
        <v>39320</v>
      </c>
      <c r="BF4090" s="3" t="s">
        <v>39319</v>
      </c>
      <c r="BG4090" s="3" t="s">
        <v>39321</v>
      </c>
    </row>
    <row r="4091" spans="1:59" ht="57" x14ac:dyDescent="0.45">
      <c r="A4091" s="2" t="s">
        <v>59</v>
      </c>
      <c r="B4091" s="2" t="s">
        <v>60</v>
      </c>
      <c r="C4091" s="2" t="s">
        <v>39322</v>
      </c>
      <c r="D4091" s="2" t="s">
        <v>39323</v>
      </c>
      <c r="E4091" s="2" t="s">
        <v>39324</v>
      </c>
      <c r="G4091" s="3" t="s">
        <v>62</v>
      </c>
      <c r="I4091" s="3" t="s">
        <v>62</v>
      </c>
      <c r="J4091" s="3" t="s">
        <v>62</v>
      </c>
      <c r="K4091" s="3" t="s">
        <v>63</v>
      </c>
      <c r="L4091" s="2" t="s">
        <v>39325</v>
      </c>
      <c r="M4091" s="2" t="s">
        <v>39326</v>
      </c>
      <c r="N4091" s="3" t="s">
        <v>181</v>
      </c>
      <c r="P4091" s="3" t="s">
        <v>65</v>
      </c>
      <c r="R4091" s="3" t="s">
        <v>66</v>
      </c>
      <c r="S4091" s="4">
        <v>0</v>
      </c>
      <c r="T4091" s="4">
        <v>0</v>
      </c>
      <c r="W4091" s="5" t="s">
        <v>67</v>
      </c>
      <c r="X4091" s="5" t="s">
        <v>67</v>
      </c>
      <c r="Y4091" s="4">
        <v>66</v>
      </c>
      <c r="Z4091" s="4">
        <v>8</v>
      </c>
      <c r="AA4091" s="4">
        <v>36</v>
      </c>
      <c r="AB4091" s="4">
        <v>4</v>
      </c>
      <c r="AC4091" s="4">
        <v>6</v>
      </c>
      <c r="AD4091" s="4">
        <v>18</v>
      </c>
      <c r="AE4091" s="4">
        <v>83</v>
      </c>
      <c r="AF4091" s="4">
        <v>2</v>
      </c>
      <c r="AG4091" s="4">
        <v>2</v>
      </c>
      <c r="AH4091" s="4">
        <v>14</v>
      </c>
      <c r="AI4091" s="4">
        <v>70</v>
      </c>
      <c r="AJ4091" s="4">
        <v>3</v>
      </c>
      <c r="AK4091" s="4">
        <v>11</v>
      </c>
      <c r="AL4091" s="4">
        <v>12</v>
      </c>
      <c r="AM4091" s="4">
        <v>43</v>
      </c>
      <c r="AN4091" s="4">
        <v>0</v>
      </c>
      <c r="AO4091" s="4">
        <v>0</v>
      </c>
      <c r="AP4091" s="4">
        <v>5</v>
      </c>
      <c r="AQ4091" s="4">
        <v>17</v>
      </c>
      <c r="AR4091" s="3" t="s">
        <v>62</v>
      </c>
      <c r="AS4091" s="3" t="s">
        <v>62</v>
      </c>
      <c r="AT4091" s="3" t="s">
        <v>62</v>
      </c>
      <c r="AV4091" s="6" t="str">
        <f>HYPERLINK("http://mcgill.on.worldcat.org/oclc/959268097","Catalog Record")</f>
        <v>Catalog Record</v>
      </c>
      <c r="AW4091" s="6" t="str">
        <f>HYPERLINK("http://www.worldcat.org/oclc/959268097","WorldCat Record")</f>
        <v>WorldCat Record</v>
      </c>
      <c r="AX4091" s="3" t="s">
        <v>39327</v>
      </c>
      <c r="AY4091" s="3" t="s">
        <v>39328</v>
      </c>
      <c r="AZ4091" s="3" t="s">
        <v>39329</v>
      </c>
      <c r="BA4091" s="3" t="s">
        <v>39329</v>
      </c>
      <c r="BB4091" s="3" t="s">
        <v>39330</v>
      </c>
      <c r="BC4091" s="3" t="s">
        <v>142</v>
      </c>
      <c r="BD4091" s="3" t="s">
        <v>68</v>
      </c>
      <c r="BE4091" s="3" t="s">
        <v>39331</v>
      </c>
      <c r="BF4091" s="3" t="s">
        <v>39330</v>
      </c>
      <c r="BG4091" s="3" t="s">
        <v>39332</v>
      </c>
    </row>
    <row r="4092" spans="1:59" ht="57" x14ac:dyDescent="0.45">
      <c r="A4092" s="2" t="s">
        <v>59</v>
      </c>
      <c r="B4092" s="2" t="s">
        <v>60</v>
      </c>
      <c r="C4092" s="2" t="s">
        <v>39333</v>
      </c>
      <c r="D4092" s="2" t="s">
        <v>39334</v>
      </c>
      <c r="E4092" s="2" t="s">
        <v>39335</v>
      </c>
      <c r="G4092" s="3" t="s">
        <v>62</v>
      </c>
      <c r="I4092" s="3" t="s">
        <v>62</v>
      </c>
      <c r="J4092" s="3" t="s">
        <v>62</v>
      </c>
      <c r="K4092" s="3" t="s">
        <v>63</v>
      </c>
      <c r="L4092" s="2" t="s">
        <v>39336</v>
      </c>
      <c r="M4092" s="2" t="s">
        <v>37726</v>
      </c>
      <c r="N4092" s="3" t="s">
        <v>807</v>
      </c>
      <c r="P4092" s="3" t="s">
        <v>65</v>
      </c>
      <c r="Q4092" s="2" t="s">
        <v>3411</v>
      </c>
      <c r="R4092" s="3" t="s">
        <v>66</v>
      </c>
      <c r="S4092" s="4">
        <v>20</v>
      </c>
      <c r="T4092" s="4">
        <v>20</v>
      </c>
      <c r="U4092" s="5" t="s">
        <v>4708</v>
      </c>
      <c r="V4092" s="5" t="s">
        <v>4708</v>
      </c>
      <c r="W4092" s="5" t="s">
        <v>67</v>
      </c>
      <c r="X4092" s="5" t="s">
        <v>67</v>
      </c>
      <c r="Y4092" s="4">
        <v>346</v>
      </c>
      <c r="Z4092" s="4">
        <v>20</v>
      </c>
      <c r="AA4092" s="4">
        <v>23</v>
      </c>
      <c r="AB4092" s="4">
        <v>2</v>
      </c>
      <c r="AC4092" s="4">
        <v>4</v>
      </c>
      <c r="AD4092" s="4">
        <v>77</v>
      </c>
      <c r="AE4092" s="4">
        <v>80</v>
      </c>
      <c r="AF4092" s="4">
        <v>1</v>
      </c>
      <c r="AG4092" s="4">
        <v>3</v>
      </c>
      <c r="AH4092" s="4">
        <v>67</v>
      </c>
      <c r="AI4092" s="4">
        <v>67</v>
      </c>
      <c r="AJ4092" s="4">
        <v>12</v>
      </c>
      <c r="AK4092" s="4">
        <v>15</v>
      </c>
      <c r="AL4092" s="4">
        <v>43</v>
      </c>
      <c r="AM4092" s="4">
        <v>43</v>
      </c>
      <c r="AN4092" s="4">
        <v>0</v>
      </c>
      <c r="AO4092" s="4">
        <v>0</v>
      </c>
      <c r="AP4092" s="4">
        <v>15</v>
      </c>
      <c r="AQ4092" s="4">
        <v>17</v>
      </c>
      <c r="AR4092" s="3" t="s">
        <v>62</v>
      </c>
      <c r="AS4092" s="3" t="s">
        <v>62</v>
      </c>
      <c r="AT4092" s="3" t="s">
        <v>61</v>
      </c>
      <c r="AU4092" s="6" t="str">
        <f>HYPERLINK("http://catalog.hathitrust.org/Record/004512658","HathiTrust Record")</f>
        <v>HathiTrust Record</v>
      </c>
      <c r="AV4092" s="6" t="str">
        <f>HYPERLINK("http://mcgill.on.worldcat.org/oclc/21524535","Catalog Record")</f>
        <v>Catalog Record</v>
      </c>
      <c r="AW4092" s="6" t="str">
        <f>HYPERLINK("http://www.worldcat.org/oclc/21524535","WorldCat Record")</f>
        <v>WorldCat Record</v>
      </c>
      <c r="AX4092" s="3" t="s">
        <v>39337</v>
      </c>
      <c r="AY4092" s="3" t="s">
        <v>39338</v>
      </c>
      <c r="AZ4092" s="3" t="s">
        <v>39339</v>
      </c>
      <c r="BA4092" s="3" t="s">
        <v>39339</v>
      </c>
      <c r="BB4092" s="3" t="s">
        <v>39340</v>
      </c>
      <c r="BC4092" s="3" t="s">
        <v>142</v>
      </c>
      <c r="BD4092" s="3" t="s">
        <v>68</v>
      </c>
      <c r="BE4092" s="3" t="s">
        <v>39341</v>
      </c>
      <c r="BF4092" s="3" t="s">
        <v>39340</v>
      </c>
      <c r="BG4092" s="3" t="s">
        <v>39342</v>
      </c>
    </row>
    <row r="4093" spans="1:59" ht="57" x14ac:dyDescent="0.45">
      <c r="A4093" s="2" t="s">
        <v>59</v>
      </c>
      <c r="B4093" s="2" t="s">
        <v>60</v>
      </c>
      <c r="C4093" s="2" t="s">
        <v>39343</v>
      </c>
      <c r="D4093" s="2" t="s">
        <v>39344</v>
      </c>
      <c r="E4093" s="2" t="s">
        <v>39345</v>
      </c>
      <c r="G4093" s="3" t="s">
        <v>62</v>
      </c>
      <c r="I4093" s="3" t="s">
        <v>62</v>
      </c>
      <c r="J4093" s="3" t="s">
        <v>62</v>
      </c>
      <c r="K4093" s="3" t="s">
        <v>63</v>
      </c>
      <c r="M4093" s="2" t="s">
        <v>6067</v>
      </c>
      <c r="N4093" s="3" t="s">
        <v>894</v>
      </c>
      <c r="P4093" s="3" t="s">
        <v>65</v>
      </c>
      <c r="Q4093" s="2" t="s">
        <v>9613</v>
      </c>
      <c r="R4093" s="3" t="s">
        <v>66</v>
      </c>
      <c r="S4093" s="4">
        <v>4</v>
      </c>
      <c r="T4093" s="4">
        <v>4</v>
      </c>
      <c r="U4093" s="5" t="s">
        <v>3596</v>
      </c>
      <c r="V4093" s="5" t="s">
        <v>3596</v>
      </c>
      <c r="W4093" s="5" t="s">
        <v>67</v>
      </c>
      <c r="X4093" s="5" t="s">
        <v>67</v>
      </c>
      <c r="Y4093" s="4">
        <v>117</v>
      </c>
      <c r="Z4093" s="4">
        <v>16</v>
      </c>
      <c r="AA4093" s="4">
        <v>84</v>
      </c>
      <c r="AB4093" s="4">
        <v>1</v>
      </c>
      <c r="AC4093" s="4">
        <v>14</v>
      </c>
      <c r="AD4093" s="4">
        <v>36</v>
      </c>
      <c r="AE4093" s="4">
        <v>104</v>
      </c>
      <c r="AF4093" s="4">
        <v>0</v>
      </c>
      <c r="AG4093" s="4">
        <v>8</v>
      </c>
      <c r="AH4093" s="4">
        <v>31</v>
      </c>
      <c r="AI4093" s="4">
        <v>69</v>
      </c>
      <c r="AJ4093" s="4">
        <v>12</v>
      </c>
      <c r="AK4093" s="4">
        <v>24</v>
      </c>
      <c r="AL4093" s="4">
        <v>21</v>
      </c>
      <c r="AM4093" s="4">
        <v>33</v>
      </c>
      <c r="AN4093" s="4">
        <v>0</v>
      </c>
      <c r="AO4093" s="4">
        <v>0</v>
      </c>
      <c r="AP4093" s="4">
        <v>12</v>
      </c>
      <c r="AQ4093" s="4">
        <v>44</v>
      </c>
      <c r="AR4093" s="3" t="s">
        <v>62</v>
      </c>
      <c r="AS4093" s="3" t="s">
        <v>62</v>
      </c>
      <c r="AT4093" s="3" t="s">
        <v>62</v>
      </c>
      <c r="AV4093" s="6" t="str">
        <f>HYPERLINK("http://mcgill.on.worldcat.org/oclc/730914447","Catalog Record")</f>
        <v>Catalog Record</v>
      </c>
      <c r="AW4093" s="6" t="str">
        <f>HYPERLINK("http://www.worldcat.org/oclc/730914447","WorldCat Record")</f>
        <v>WorldCat Record</v>
      </c>
      <c r="AX4093" s="3" t="s">
        <v>39346</v>
      </c>
      <c r="AY4093" s="3" t="s">
        <v>39347</v>
      </c>
      <c r="AZ4093" s="3" t="s">
        <v>39348</v>
      </c>
      <c r="BA4093" s="3" t="s">
        <v>39348</v>
      </c>
      <c r="BB4093" s="3" t="s">
        <v>39349</v>
      </c>
      <c r="BC4093" s="3" t="s">
        <v>142</v>
      </c>
      <c r="BD4093" s="3" t="s">
        <v>68</v>
      </c>
      <c r="BE4093" s="3" t="s">
        <v>39350</v>
      </c>
      <c r="BF4093" s="3" t="s">
        <v>39349</v>
      </c>
      <c r="BG4093" s="3" t="s">
        <v>39351</v>
      </c>
    </row>
    <row r="4094" spans="1:59" ht="57" x14ac:dyDescent="0.45">
      <c r="A4094" s="2" t="s">
        <v>59</v>
      </c>
      <c r="B4094" s="2" t="s">
        <v>60</v>
      </c>
      <c r="C4094" s="2" t="s">
        <v>39352</v>
      </c>
      <c r="D4094" s="2" t="s">
        <v>39353</v>
      </c>
      <c r="E4094" s="2" t="s">
        <v>39354</v>
      </c>
      <c r="G4094" s="3" t="s">
        <v>62</v>
      </c>
      <c r="I4094" s="3" t="s">
        <v>62</v>
      </c>
      <c r="J4094" s="3" t="s">
        <v>62</v>
      </c>
      <c r="K4094" s="3" t="s">
        <v>63</v>
      </c>
      <c r="L4094" s="2" t="s">
        <v>39355</v>
      </c>
      <c r="M4094" s="2" t="s">
        <v>9187</v>
      </c>
      <c r="N4094" s="3" t="s">
        <v>894</v>
      </c>
      <c r="P4094" s="3" t="s">
        <v>65</v>
      </c>
      <c r="Q4094" s="2" t="s">
        <v>1805</v>
      </c>
      <c r="R4094" s="3" t="s">
        <v>66</v>
      </c>
      <c r="S4094" s="4">
        <v>2</v>
      </c>
      <c r="T4094" s="4">
        <v>2</v>
      </c>
      <c r="U4094" s="5" t="s">
        <v>33392</v>
      </c>
      <c r="V4094" s="5" t="s">
        <v>33392</v>
      </c>
      <c r="W4094" s="5" t="s">
        <v>67</v>
      </c>
      <c r="X4094" s="5" t="s">
        <v>67</v>
      </c>
      <c r="Y4094" s="4">
        <v>180</v>
      </c>
      <c r="Z4094" s="4">
        <v>22</v>
      </c>
      <c r="AA4094" s="4">
        <v>29</v>
      </c>
      <c r="AB4094" s="4">
        <v>2</v>
      </c>
      <c r="AC4094" s="4">
        <v>6</v>
      </c>
      <c r="AD4094" s="4">
        <v>76</v>
      </c>
      <c r="AE4094" s="4">
        <v>82</v>
      </c>
      <c r="AF4094" s="4">
        <v>1</v>
      </c>
      <c r="AG4094" s="4">
        <v>2</v>
      </c>
      <c r="AH4094" s="4">
        <v>64</v>
      </c>
      <c r="AI4094" s="4">
        <v>67</v>
      </c>
      <c r="AJ4094" s="4">
        <v>15</v>
      </c>
      <c r="AK4094" s="4">
        <v>17</v>
      </c>
      <c r="AL4094" s="4">
        <v>38</v>
      </c>
      <c r="AM4094" s="4">
        <v>39</v>
      </c>
      <c r="AN4094" s="4">
        <v>0</v>
      </c>
      <c r="AO4094" s="4">
        <v>0</v>
      </c>
      <c r="AP4094" s="4">
        <v>19</v>
      </c>
      <c r="AQ4094" s="4">
        <v>23</v>
      </c>
      <c r="AR4094" s="3" t="s">
        <v>62</v>
      </c>
      <c r="AS4094" s="3" t="s">
        <v>62</v>
      </c>
      <c r="AT4094" s="3" t="s">
        <v>62</v>
      </c>
      <c r="AV4094" s="6" t="str">
        <f>HYPERLINK("http://mcgill.on.worldcat.org/oclc/467360635","Catalog Record")</f>
        <v>Catalog Record</v>
      </c>
      <c r="AW4094" s="6" t="str">
        <f>HYPERLINK("http://www.worldcat.org/oclc/467360635","WorldCat Record")</f>
        <v>WorldCat Record</v>
      </c>
      <c r="AX4094" s="3" t="s">
        <v>39356</v>
      </c>
      <c r="AY4094" s="3" t="s">
        <v>39357</v>
      </c>
      <c r="AZ4094" s="3" t="s">
        <v>39358</v>
      </c>
      <c r="BA4094" s="3" t="s">
        <v>39358</v>
      </c>
      <c r="BB4094" s="3" t="s">
        <v>39359</v>
      </c>
      <c r="BC4094" s="3" t="s">
        <v>142</v>
      </c>
      <c r="BD4094" s="3" t="s">
        <v>68</v>
      </c>
      <c r="BE4094" s="3" t="s">
        <v>39360</v>
      </c>
      <c r="BF4094" s="3" t="s">
        <v>39359</v>
      </c>
      <c r="BG4094" s="3" t="s">
        <v>39361</v>
      </c>
    </row>
    <row r="4095" spans="1:59" ht="57" x14ac:dyDescent="0.45">
      <c r="A4095" s="2" t="s">
        <v>59</v>
      </c>
      <c r="B4095" s="2" t="s">
        <v>60</v>
      </c>
      <c r="C4095" s="2" t="s">
        <v>39362</v>
      </c>
      <c r="D4095" s="2" t="s">
        <v>39363</v>
      </c>
      <c r="E4095" s="2" t="s">
        <v>39364</v>
      </c>
      <c r="G4095" s="3" t="s">
        <v>62</v>
      </c>
      <c r="I4095" s="3" t="s">
        <v>62</v>
      </c>
      <c r="J4095" s="3" t="s">
        <v>62</v>
      </c>
      <c r="K4095" s="3" t="s">
        <v>63</v>
      </c>
      <c r="L4095" s="2" t="s">
        <v>39365</v>
      </c>
      <c r="M4095" s="2" t="s">
        <v>38509</v>
      </c>
      <c r="N4095" s="3" t="s">
        <v>1604</v>
      </c>
      <c r="P4095" s="3" t="s">
        <v>65</v>
      </c>
      <c r="Q4095" s="2" t="s">
        <v>39366</v>
      </c>
      <c r="R4095" s="3" t="s">
        <v>66</v>
      </c>
      <c r="S4095" s="4">
        <v>21</v>
      </c>
      <c r="T4095" s="4">
        <v>21</v>
      </c>
      <c r="U4095" s="5" t="s">
        <v>7517</v>
      </c>
      <c r="V4095" s="5" t="s">
        <v>7517</v>
      </c>
      <c r="W4095" s="5" t="s">
        <v>67</v>
      </c>
      <c r="X4095" s="5" t="s">
        <v>67</v>
      </c>
      <c r="Y4095" s="4">
        <v>193</v>
      </c>
      <c r="Z4095" s="4">
        <v>20</v>
      </c>
      <c r="AA4095" s="4">
        <v>101</v>
      </c>
      <c r="AB4095" s="4">
        <v>2</v>
      </c>
      <c r="AC4095" s="4">
        <v>17</v>
      </c>
      <c r="AD4095" s="4">
        <v>76</v>
      </c>
      <c r="AE4095" s="4">
        <v>128</v>
      </c>
      <c r="AF4095" s="4">
        <v>1</v>
      </c>
      <c r="AG4095" s="4">
        <v>8</v>
      </c>
      <c r="AH4095" s="4">
        <v>68</v>
      </c>
      <c r="AI4095" s="4">
        <v>92</v>
      </c>
      <c r="AJ4095" s="4">
        <v>14</v>
      </c>
      <c r="AK4095" s="4">
        <v>25</v>
      </c>
      <c r="AL4095" s="4">
        <v>35</v>
      </c>
      <c r="AM4095" s="4">
        <v>46</v>
      </c>
      <c r="AN4095" s="4">
        <v>0</v>
      </c>
      <c r="AO4095" s="4">
        <v>0</v>
      </c>
      <c r="AP4095" s="4">
        <v>15</v>
      </c>
      <c r="AQ4095" s="4">
        <v>46</v>
      </c>
      <c r="AR4095" s="3" t="s">
        <v>62</v>
      </c>
      <c r="AS4095" s="3" t="s">
        <v>62</v>
      </c>
      <c r="AT4095" s="3" t="s">
        <v>61</v>
      </c>
      <c r="AU4095" s="6" t="str">
        <f>HYPERLINK("http://catalog.hathitrust.org/Record/002899992","HathiTrust Record")</f>
        <v>HathiTrust Record</v>
      </c>
      <c r="AV4095" s="6" t="str">
        <f>HYPERLINK("http://mcgill.on.worldcat.org/oclc/28585752","Catalog Record")</f>
        <v>Catalog Record</v>
      </c>
      <c r="AW4095" s="6" t="str">
        <f>HYPERLINK("http://www.worldcat.org/oclc/28585752","WorldCat Record")</f>
        <v>WorldCat Record</v>
      </c>
      <c r="AX4095" s="3" t="s">
        <v>39367</v>
      </c>
      <c r="AY4095" s="3" t="s">
        <v>39368</v>
      </c>
      <c r="AZ4095" s="3" t="s">
        <v>39369</v>
      </c>
      <c r="BA4095" s="3" t="s">
        <v>39369</v>
      </c>
      <c r="BB4095" s="3" t="s">
        <v>39370</v>
      </c>
      <c r="BC4095" s="3" t="s">
        <v>142</v>
      </c>
      <c r="BD4095" s="3" t="s">
        <v>68</v>
      </c>
      <c r="BE4095" s="3" t="s">
        <v>39371</v>
      </c>
      <c r="BF4095" s="3" t="s">
        <v>39370</v>
      </c>
      <c r="BG4095" s="3" t="s">
        <v>39372</v>
      </c>
    </row>
    <row r="4096" spans="1:59" ht="57" x14ac:dyDescent="0.45">
      <c r="A4096" s="2" t="s">
        <v>59</v>
      </c>
      <c r="B4096" s="2" t="s">
        <v>60</v>
      </c>
      <c r="C4096" s="2" t="s">
        <v>39373</v>
      </c>
      <c r="D4096" s="2" t="s">
        <v>39374</v>
      </c>
      <c r="E4096" s="2" t="s">
        <v>39375</v>
      </c>
      <c r="G4096" s="3" t="s">
        <v>62</v>
      </c>
      <c r="I4096" s="3" t="s">
        <v>62</v>
      </c>
      <c r="J4096" s="3" t="s">
        <v>62</v>
      </c>
      <c r="K4096" s="3" t="s">
        <v>63</v>
      </c>
      <c r="M4096" s="2" t="s">
        <v>39376</v>
      </c>
      <c r="N4096" s="3" t="s">
        <v>1465</v>
      </c>
      <c r="P4096" s="3" t="s">
        <v>65</v>
      </c>
      <c r="R4096" s="3" t="s">
        <v>66</v>
      </c>
      <c r="S4096" s="4">
        <v>3</v>
      </c>
      <c r="T4096" s="4">
        <v>3</v>
      </c>
      <c r="U4096" s="5" t="s">
        <v>111</v>
      </c>
      <c r="V4096" s="5" t="s">
        <v>111</v>
      </c>
      <c r="W4096" s="5" t="s">
        <v>67</v>
      </c>
      <c r="X4096" s="5" t="s">
        <v>67</v>
      </c>
      <c r="Y4096" s="4">
        <v>227</v>
      </c>
      <c r="Z4096" s="4">
        <v>22</v>
      </c>
      <c r="AA4096" s="4">
        <v>34</v>
      </c>
      <c r="AB4096" s="4">
        <v>1</v>
      </c>
      <c r="AC4096" s="4">
        <v>5</v>
      </c>
      <c r="AD4096" s="4">
        <v>90</v>
      </c>
      <c r="AE4096" s="4">
        <v>101</v>
      </c>
      <c r="AF4096" s="4">
        <v>0</v>
      </c>
      <c r="AG4096" s="4">
        <v>2</v>
      </c>
      <c r="AH4096" s="4">
        <v>81</v>
      </c>
      <c r="AI4096" s="4">
        <v>84</v>
      </c>
      <c r="AJ4096" s="4">
        <v>12</v>
      </c>
      <c r="AK4096" s="4">
        <v>17</v>
      </c>
      <c r="AL4096" s="4">
        <v>47</v>
      </c>
      <c r="AM4096" s="4">
        <v>48</v>
      </c>
      <c r="AN4096" s="4">
        <v>0</v>
      </c>
      <c r="AO4096" s="4">
        <v>0</v>
      </c>
      <c r="AP4096" s="4">
        <v>18</v>
      </c>
      <c r="AQ4096" s="4">
        <v>26</v>
      </c>
      <c r="AR4096" s="3" t="s">
        <v>62</v>
      </c>
      <c r="AS4096" s="3" t="s">
        <v>62</v>
      </c>
      <c r="AT4096" s="3" t="s">
        <v>62</v>
      </c>
      <c r="AV4096" s="6" t="str">
        <f>HYPERLINK("http://mcgill.on.worldcat.org/oclc/318534272","Catalog Record")</f>
        <v>Catalog Record</v>
      </c>
      <c r="AW4096" s="6" t="str">
        <f>HYPERLINK("http://www.worldcat.org/oclc/318534272","WorldCat Record")</f>
        <v>WorldCat Record</v>
      </c>
      <c r="AX4096" s="3" t="s">
        <v>39377</v>
      </c>
      <c r="AY4096" s="3" t="s">
        <v>39378</v>
      </c>
      <c r="AZ4096" s="3" t="s">
        <v>39379</v>
      </c>
      <c r="BA4096" s="3" t="s">
        <v>39379</v>
      </c>
      <c r="BB4096" s="3" t="s">
        <v>39380</v>
      </c>
      <c r="BC4096" s="3" t="s">
        <v>142</v>
      </c>
      <c r="BD4096" s="3" t="s">
        <v>68</v>
      </c>
      <c r="BE4096" s="3" t="s">
        <v>39381</v>
      </c>
      <c r="BF4096" s="3" t="s">
        <v>39380</v>
      </c>
      <c r="BG4096" s="3" t="s">
        <v>39382</v>
      </c>
    </row>
    <row r="4097" spans="1:59" ht="57" x14ac:dyDescent="0.45">
      <c r="A4097" s="2" t="s">
        <v>59</v>
      </c>
      <c r="B4097" s="2" t="s">
        <v>60</v>
      </c>
      <c r="C4097" s="2" t="s">
        <v>39383</v>
      </c>
      <c r="D4097" s="2" t="s">
        <v>39384</v>
      </c>
      <c r="E4097" s="2" t="s">
        <v>39385</v>
      </c>
      <c r="G4097" s="3" t="s">
        <v>62</v>
      </c>
      <c r="I4097" s="3" t="s">
        <v>62</v>
      </c>
      <c r="J4097" s="3" t="s">
        <v>62</v>
      </c>
      <c r="K4097" s="3" t="s">
        <v>63</v>
      </c>
      <c r="M4097" s="2" t="s">
        <v>6005</v>
      </c>
      <c r="N4097" s="3" t="s">
        <v>208</v>
      </c>
      <c r="P4097" s="3" t="s">
        <v>65</v>
      </c>
      <c r="Q4097" s="2" t="s">
        <v>39386</v>
      </c>
      <c r="R4097" s="3" t="s">
        <v>66</v>
      </c>
      <c r="S4097" s="4">
        <v>0</v>
      </c>
      <c r="T4097" s="4">
        <v>0</v>
      </c>
      <c r="W4097" s="5" t="s">
        <v>67</v>
      </c>
      <c r="X4097" s="5" t="s">
        <v>67</v>
      </c>
      <c r="Y4097" s="4">
        <v>60</v>
      </c>
      <c r="Z4097" s="4">
        <v>6</v>
      </c>
      <c r="AA4097" s="4">
        <v>10</v>
      </c>
      <c r="AB4097" s="4">
        <v>3</v>
      </c>
      <c r="AC4097" s="4">
        <v>6</v>
      </c>
      <c r="AD4097" s="4">
        <v>22</v>
      </c>
      <c r="AE4097" s="4">
        <v>28</v>
      </c>
      <c r="AF4097" s="4">
        <v>1</v>
      </c>
      <c r="AG4097" s="4">
        <v>2</v>
      </c>
      <c r="AH4097" s="4">
        <v>19</v>
      </c>
      <c r="AI4097" s="4">
        <v>25</v>
      </c>
      <c r="AJ4097" s="4">
        <v>3</v>
      </c>
      <c r="AK4097" s="4">
        <v>5</v>
      </c>
      <c r="AL4097" s="4">
        <v>15</v>
      </c>
      <c r="AM4097" s="4">
        <v>16</v>
      </c>
      <c r="AN4097" s="4">
        <v>0</v>
      </c>
      <c r="AO4097" s="4">
        <v>0</v>
      </c>
      <c r="AP4097" s="4">
        <v>4</v>
      </c>
      <c r="AQ4097" s="4">
        <v>6</v>
      </c>
      <c r="AR4097" s="3" t="s">
        <v>62</v>
      </c>
      <c r="AS4097" s="3" t="s">
        <v>62</v>
      </c>
      <c r="AT4097" s="3" t="s">
        <v>62</v>
      </c>
      <c r="AV4097" s="6" t="str">
        <f>HYPERLINK("http://mcgill.on.worldcat.org/oclc/905735867","Catalog Record")</f>
        <v>Catalog Record</v>
      </c>
      <c r="AW4097" s="6" t="str">
        <f>HYPERLINK("http://www.worldcat.org/oclc/905735867","WorldCat Record")</f>
        <v>WorldCat Record</v>
      </c>
      <c r="AX4097" s="3" t="s">
        <v>39387</v>
      </c>
      <c r="AY4097" s="3" t="s">
        <v>39388</v>
      </c>
      <c r="AZ4097" s="3" t="s">
        <v>39389</v>
      </c>
      <c r="BA4097" s="3" t="s">
        <v>39389</v>
      </c>
      <c r="BB4097" s="3" t="s">
        <v>39390</v>
      </c>
      <c r="BC4097" s="3" t="s">
        <v>142</v>
      </c>
      <c r="BD4097" s="3" t="s">
        <v>68</v>
      </c>
      <c r="BE4097" s="3" t="s">
        <v>39391</v>
      </c>
      <c r="BF4097" s="3" t="s">
        <v>39390</v>
      </c>
      <c r="BG4097" s="3" t="s">
        <v>39392</v>
      </c>
    </row>
    <row r="4098" spans="1:59" ht="57" x14ac:dyDescent="0.45">
      <c r="A4098" s="2" t="s">
        <v>59</v>
      </c>
      <c r="B4098" s="2" t="s">
        <v>60</v>
      </c>
      <c r="C4098" s="2" t="s">
        <v>39393</v>
      </c>
      <c r="D4098" s="2" t="s">
        <v>39394</v>
      </c>
      <c r="E4098" s="2" t="s">
        <v>39395</v>
      </c>
      <c r="G4098" s="3" t="s">
        <v>62</v>
      </c>
      <c r="I4098" s="3" t="s">
        <v>62</v>
      </c>
      <c r="J4098" s="3" t="s">
        <v>61</v>
      </c>
      <c r="K4098" s="3" t="s">
        <v>63</v>
      </c>
      <c r="L4098" s="2" t="s">
        <v>39396</v>
      </c>
      <c r="M4098" s="2" t="s">
        <v>39397</v>
      </c>
      <c r="N4098" s="3" t="s">
        <v>167</v>
      </c>
      <c r="P4098" s="3" t="s">
        <v>65</v>
      </c>
      <c r="Q4098" s="2" t="s">
        <v>39398</v>
      </c>
      <c r="R4098" s="3" t="s">
        <v>66</v>
      </c>
      <c r="S4098" s="4">
        <v>35</v>
      </c>
      <c r="T4098" s="4">
        <v>35</v>
      </c>
      <c r="U4098" s="5" t="s">
        <v>2316</v>
      </c>
      <c r="V4098" s="5" t="s">
        <v>2316</v>
      </c>
      <c r="W4098" s="5" t="s">
        <v>67</v>
      </c>
      <c r="X4098" s="5" t="s">
        <v>67</v>
      </c>
      <c r="Y4098" s="4">
        <v>199</v>
      </c>
      <c r="Z4098" s="4">
        <v>23</v>
      </c>
      <c r="AA4098" s="4">
        <v>104</v>
      </c>
      <c r="AB4098" s="4">
        <v>3</v>
      </c>
      <c r="AC4098" s="4">
        <v>19</v>
      </c>
      <c r="AD4098" s="4">
        <v>89</v>
      </c>
      <c r="AE4098" s="4">
        <v>142</v>
      </c>
      <c r="AF4098" s="4">
        <v>1</v>
      </c>
      <c r="AG4098" s="4">
        <v>8</v>
      </c>
      <c r="AH4098" s="4">
        <v>77</v>
      </c>
      <c r="AI4098" s="4">
        <v>102</v>
      </c>
      <c r="AJ4098" s="4">
        <v>13</v>
      </c>
      <c r="AK4098" s="4">
        <v>27</v>
      </c>
      <c r="AL4098" s="4">
        <v>46</v>
      </c>
      <c r="AM4098" s="4">
        <v>54</v>
      </c>
      <c r="AN4098" s="4">
        <v>0</v>
      </c>
      <c r="AO4098" s="4">
        <v>0</v>
      </c>
      <c r="AP4098" s="4">
        <v>17</v>
      </c>
      <c r="AQ4098" s="4">
        <v>49</v>
      </c>
      <c r="AR4098" s="3" t="s">
        <v>62</v>
      </c>
      <c r="AS4098" s="3" t="s">
        <v>62</v>
      </c>
      <c r="AT4098" s="3" t="s">
        <v>61</v>
      </c>
      <c r="AU4098" s="6" t="str">
        <f>HYPERLINK("http://catalog.hathitrust.org/Record/004032855","HathiTrust Record")</f>
        <v>HathiTrust Record</v>
      </c>
      <c r="AV4098" s="6" t="str">
        <f>HYPERLINK("http://mcgill.on.worldcat.org/oclc/39508163","Catalog Record")</f>
        <v>Catalog Record</v>
      </c>
      <c r="AW4098" s="6" t="str">
        <f>HYPERLINK("http://www.worldcat.org/oclc/39508163","WorldCat Record")</f>
        <v>WorldCat Record</v>
      </c>
      <c r="AX4098" s="3" t="s">
        <v>39399</v>
      </c>
      <c r="AY4098" s="3" t="s">
        <v>39400</v>
      </c>
      <c r="AZ4098" s="3" t="s">
        <v>39401</v>
      </c>
      <c r="BA4098" s="3" t="s">
        <v>39401</v>
      </c>
      <c r="BB4098" s="3" t="s">
        <v>39402</v>
      </c>
      <c r="BC4098" s="3" t="s">
        <v>142</v>
      </c>
      <c r="BD4098" s="3" t="s">
        <v>308</v>
      </c>
      <c r="BE4098" s="3" t="s">
        <v>39403</v>
      </c>
      <c r="BF4098" s="3" t="s">
        <v>39402</v>
      </c>
      <c r="BG4098" s="3" t="s">
        <v>39404</v>
      </c>
    </row>
    <row r="4099" spans="1:59" ht="57" x14ac:dyDescent="0.45">
      <c r="A4099" s="2" t="s">
        <v>59</v>
      </c>
      <c r="B4099" s="2" t="s">
        <v>60</v>
      </c>
      <c r="C4099" s="2" t="s">
        <v>39405</v>
      </c>
      <c r="D4099" s="2" t="s">
        <v>39406</v>
      </c>
      <c r="E4099" s="2" t="s">
        <v>39407</v>
      </c>
      <c r="G4099" s="3" t="s">
        <v>62</v>
      </c>
      <c r="I4099" s="3" t="s">
        <v>62</v>
      </c>
      <c r="J4099" s="3" t="s">
        <v>61</v>
      </c>
      <c r="K4099" s="3" t="s">
        <v>63</v>
      </c>
      <c r="L4099" s="2" t="s">
        <v>39396</v>
      </c>
      <c r="M4099" s="2" t="s">
        <v>39408</v>
      </c>
      <c r="N4099" s="3" t="s">
        <v>1059</v>
      </c>
      <c r="O4099" s="2" t="s">
        <v>933</v>
      </c>
      <c r="P4099" s="3" t="s">
        <v>65</v>
      </c>
      <c r="Q4099" s="2" t="s">
        <v>1782</v>
      </c>
      <c r="R4099" s="3" t="s">
        <v>66</v>
      </c>
      <c r="S4099" s="4">
        <v>18</v>
      </c>
      <c r="T4099" s="4">
        <v>18</v>
      </c>
      <c r="U4099" s="5" t="s">
        <v>10764</v>
      </c>
      <c r="V4099" s="5" t="s">
        <v>10764</v>
      </c>
      <c r="W4099" s="5" t="s">
        <v>67</v>
      </c>
      <c r="X4099" s="5" t="s">
        <v>67</v>
      </c>
      <c r="Y4099" s="4">
        <v>184</v>
      </c>
      <c r="Z4099" s="4">
        <v>18</v>
      </c>
      <c r="AA4099" s="4">
        <v>104</v>
      </c>
      <c r="AB4099" s="4">
        <v>1</v>
      </c>
      <c r="AC4099" s="4">
        <v>19</v>
      </c>
      <c r="AD4099" s="4">
        <v>68</v>
      </c>
      <c r="AE4099" s="4">
        <v>142</v>
      </c>
      <c r="AF4099" s="4">
        <v>0</v>
      </c>
      <c r="AG4099" s="4">
        <v>8</v>
      </c>
      <c r="AH4099" s="4">
        <v>63</v>
      </c>
      <c r="AI4099" s="4">
        <v>102</v>
      </c>
      <c r="AJ4099" s="4">
        <v>11</v>
      </c>
      <c r="AK4099" s="4">
        <v>27</v>
      </c>
      <c r="AL4099" s="4">
        <v>38</v>
      </c>
      <c r="AM4099" s="4">
        <v>54</v>
      </c>
      <c r="AN4099" s="4">
        <v>0</v>
      </c>
      <c r="AO4099" s="4">
        <v>0</v>
      </c>
      <c r="AP4099" s="4">
        <v>12</v>
      </c>
      <c r="AQ4099" s="4">
        <v>49</v>
      </c>
      <c r="AR4099" s="3" t="s">
        <v>62</v>
      </c>
      <c r="AS4099" s="3" t="s">
        <v>62</v>
      </c>
      <c r="AT4099" s="3" t="s">
        <v>61</v>
      </c>
      <c r="AU4099" s="6" t="str">
        <f>HYPERLINK("http://catalog.hathitrust.org/Record/007147674","HathiTrust Record")</f>
        <v>HathiTrust Record</v>
      </c>
      <c r="AV4099" s="6" t="str">
        <f>HYPERLINK("http://mcgill.on.worldcat.org/oclc/70672226","Catalog Record")</f>
        <v>Catalog Record</v>
      </c>
      <c r="AW4099" s="6" t="str">
        <f>HYPERLINK("http://www.worldcat.org/oclc/70672226","WorldCat Record")</f>
        <v>WorldCat Record</v>
      </c>
      <c r="AX4099" s="3" t="s">
        <v>39399</v>
      </c>
      <c r="AY4099" s="3" t="s">
        <v>39409</v>
      </c>
      <c r="AZ4099" s="3" t="s">
        <v>39410</v>
      </c>
      <c r="BA4099" s="3" t="s">
        <v>39410</v>
      </c>
      <c r="BB4099" s="3" t="s">
        <v>39411</v>
      </c>
      <c r="BC4099" s="3" t="s">
        <v>142</v>
      </c>
      <c r="BD4099" s="3" t="s">
        <v>308</v>
      </c>
      <c r="BE4099" s="3" t="s">
        <v>39412</v>
      </c>
      <c r="BF4099" s="3" t="s">
        <v>39411</v>
      </c>
      <c r="BG4099" s="3" t="s">
        <v>39413</v>
      </c>
    </row>
    <row r="4100" spans="1:59" ht="85.5" x14ac:dyDescent="0.45">
      <c r="A4100" s="2" t="s">
        <v>59</v>
      </c>
      <c r="B4100" s="2" t="s">
        <v>60</v>
      </c>
      <c r="C4100" s="2" t="s">
        <v>39414</v>
      </c>
      <c r="D4100" s="2" t="s">
        <v>39415</v>
      </c>
      <c r="E4100" s="2" t="s">
        <v>39416</v>
      </c>
      <c r="G4100" s="3" t="s">
        <v>62</v>
      </c>
      <c r="I4100" s="3" t="s">
        <v>62</v>
      </c>
      <c r="J4100" s="3" t="s">
        <v>62</v>
      </c>
      <c r="K4100" s="3" t="s">
        <v>63</v>
      </c>
      <c r="L4100" s="2" t="s">
        <v>39417</v>
      </c>
      <c r="M4100" s="2" t="s">
        <v>39418</v>
      </c>
      <c r="N4100" s="3" t="s">
        <v>3160</v>
      </c>
      <c r="P4100" s="3" t="s">
        <v>65</v>
      </c>
      <c r="R4100" s="3" t="s">
        <v>66</v>
      </c>
      <c r="S4100" s="4">
        <v>5</v>
      </c>
      <c r="T4100" s="4">
        <v>5</v>
      </c>
      <c r="U4100" s="5" t="s">
        <v>5362</v>
      </c>
      <c r="V4100" s="5" t="s">
        <v>5362</v>
      </c>
      <c r="W4100" s="5" t="s">
        <v>67</v>
      </c>
      <c r="X4100" s="5" t="s">
        <v>67</v>
      </c>
      <c r="Y4100" s="4">
        <v>308</v>
      </c>
      <c r="Z4100" s="4">
        <v>13</v>
      </c>
      <c r="AA4100" s="4">
        <v>20</v>
      </c>
      <c r="AB4100" s="4">
        <v>2</v>
      </c>
      <c r="AC4100" s="4">
        <v>5</v>
      </c>
      <c r="AD4100" s="4">
        <v>82</v>
      </c>
      <c r="AE4100" s="4">
        <v>93</v>
      </c>
      <c r="AF4100" s="4">
        <v>0</v>
      </c>
      <c r="AG4100" s="4">
        <v>3</v>
      </c>
      <c r="AH4100" s="4">
        <v>78</v>
      </c>
      <c r="AI4100" s="4">
        <v>86</v>
      </c>
      <c r="AJ4100" s="4">
        <v>9</v>
      </c>
      <c r="AK4100" s="4">
        <v>14</v>
      </c>
      <c r="AL4100" s="4">
        <v>46</v>
      </c>
      <c r="AM4100" s="4">
        <v>50</v>
      </c>
      <c r="AN4100" s="4">
        <v>0</v>
      </c>
      <c r="AO4100" s="4">
        <v>0</v>
      </c>
      <c r="AP4100" s="4">
        <v>10</v>
      </c>
      <c r="AQ4100" s="4">
        <v>14</v>
      </c>
      <c r="AR4100" s="3" t="s">
        <v>62</v>
      </c>
      <c r="AS4100" s="3" t="s">
        <v>62</v>
      </c>
      <c r="AT4100" s="3" t="s">
        <v>62</v>
      </c>
      <c r="AV4100" s="6" t="str">
        <f>HYPERLINK("http://mcgill.on.worldcat.org/oclc/8930906","Catalog Record")</f>
        <v>Catalog Record</v>
      </c>
      <c r="AW4100" s="6" t="str">
        <f>HYPERLINK("http://www.worldcat.org/oclc/8930906","WorldCat Record")</f>
        <v>WorldCat Record</v>
      </c>
      <c r="AX4100" s="3" t="s">
        <v>39419</v>
      </c>
      <c r="AY4100" s="3" t="s">
        <v>39420</v>
      </c>
      <c r="AZ4100" s="3" t="s">
        <v>39421</v>
      </c>
      <c r="BA4100" s="3" t="s">
        <v>39421</v>
      </c>
      <c r="BB4100" s="3" t="s">
        <v>39422</v>
      </c>
      <c r="BC4100" s="3" t="s">
        <v>142</v>
      </c>
      <c r="BD4100" s="3" t="s">
        <v>68</v>
      </c>
      <c r="BE4100" s="3" t="s">
        <v>39423</v>
      </c>
      <c r="BF4100" s="3" t="s">
        <v>39422</v>
      </c>
      <c r="BG4100" s="3" t="s">
        <v>39424</v>
      </c>
    </row>
    <row r="4101" spans="1:59" ht="57" x14ac:dyDescent="0.45">
      <c r="A4101" s="2" t="s">
        <v>59</v>
      </c>
      <c r="B4101" s="2" t="s">
        <v>60</v>
      </c>
      <c r="C4101" s="2" t="s">
        <v>39425</v>
      </c>
      <c r="D4101" s="2" t="s">
        <v>39426</v>
      </c>
      <c r="E4101" s="2" t="s">
        <v>39427</v>
      </c>
      <c r="G4101" s="3" t="s">
        <v>62</v>
      </c>
      <c r="I4101" s="3" t="s">
        <v>62</v>
      </c>
      <c r="J4101" s="3" t="s">
        <v>62</v>
      </c>
      <c r="K4101" s="3" t="s">
        <v>63</v>
      </c>
      <c r="L4101" s="2" t="s">
        <v>39428</v>
      </c>
      <c r="M4101" s="2" t="s">
        <v>3668</v>
      </c>
      <c r="N4101" s="3" t="s">
        <v>894</v>
      </c>
      <c r="P4101" s="3" t="s">
        <v>65</v>
      </c>
      <c r="Q4101" s="2" t="s">
        <v>39429</v>
      </c>
      <c r="R4101" s="3" t="s">
        <v>66</v>
      </c>
      <c r="S4101" s="4">
        <v>0</v>
      </c>
      <c r="T4101" s="4">
        <v>0</v>
      </c>
      <c r="W4101" s="5" t="s">
        <v>67</v>
      </c>
      <c r="X4101" s="5" t="s">
        <v>67</v>
      </c>
      <c r="Y4101" s="4">
        <v>94</v>
      </c>
      <c r="Z4101" s="4">
        <v>9</v>
      </c>
      <c r="AA4101" s="4">
        <v>88</v>
      </c>
      <c r="AB4101" s="4">
        <v>1</v>
      </c>
      <c r="AC4101" s="4">
        <v>17</v>
      </c>
      <c r="AD4101" s="4">
        <v>49</v>
      </c>
      <c r="AE4101" s="4">
        <v>118</v>
      </c>
      <c r="AF4101" s="4">
        <v>0</v>
      </c>
      <c r="AG4101" s="4">
        <v>8</v>
      </c>
      <c r="AH4101" s="4">
        <v>46</v>
      </c>
      <c r="AI4101" s="4">
        <v>83</v>
      </c>
      <c r="AJ4101" s="4">
        <v>7</v>
      </c>
      <c r="AK4101" s="4">
        <v>21</v>
      </c>
      <c r="AL4101" s="4">
        <v>30</v>
      </c>
      <c r="AM4101" s="4">
        <v>43</v>
      </c>
      <c r="AN4101" s="4">
        <v>0</v>
      </c>
      <c r="AO4101" s="4">
        <v>0</v>
      </c>
      <c r="AP4101" s="4">
        <v>8</v>
      </c>
      <c r="AQ4101" s="4">
        <v>43</v>
      </c>
      <c r="AR4101" s="3" t="s">
        <v>62</v>
      </c>
      <c r="AS4101" s="3" t="s">
        <v>62</v>
      </c>
      <c r="AT4101" s="3" t="s">
        <v>62</v>
      </c>
      <c r="AV4101" s="6" t="str">
        <f>HYPERLINK("http://mcgill.on.worldcat.org/oclc/700042443","Catalog Record")</f>
        <v>Catalog Record</v>
      </c>
      <c r="AW4101" s="6" t="str">
        <f>HYPERLINK("http://www.worldcat.org/oclc/700042443","WorldCat Record")</f>
        <v>WorldCat Record</v>
      </c>
      <c r="AX4101" s="3" t="s">
        <v>39430</v>
      </c>
      <c r="AY4101" s="3" t="s">
        <v>39431</v>
      </c>
      <c r="AZ4101" s="3" t="s">
        <v>39432</v>
      </c>
      <c r="BA4101" s="3" t="s">
        <v>39432</v>
      </c>
      <c r="BB4101" s="3" t="s">
        <v>39433</v>
      </c>
      <c r="BC4101" s="3" t="s">
        <v>142</v>
      </c>
      <c r="BD4101" s="3" t="s">
        <v>68</v>
      </c>
      <c r="BE4101" s="3" t="s">
        <v>39434</v>
      </c>
      <c r="BF4101" s="3" t="s">
        <v>39433</v>
      </c>
      <c r="BG4101" s="3" t="s">
        <v>39435</v>
      </c>
    </row>
    <row r="4102" spans="1:59" ht="57" x14ac:dyDescent="0.45">
      <c r="A4102" s="2" t="s">
        <v>59</v>
      </c>
      <c r="B4102" s="2" t="s">
        <v>60</v>
      </c>
      <c r="C4102" s="2" t="s">
        <v>39436</v>
      </c>
      <c r="D4102" s="2" t="s">
        <v>39437</v>
      </c>
      <c r="E4102" s="2" t="s">
        <v>39438</v>
      </c>
      <c r="G4102" s="3" t="s">
        <v>62</v>
      </c>
      <c r="I4102" s="3" t="s">
        <v>62</v>
      </c>
      <c r="J4102" s="3" t="s">
        <v>62</v>
      </c>
      <c r="K4102" s="3" t="s">
        <v>63</v>
      </c>
      <c r="L4102" s="2" t="s">
        <v>39439</v>
      </c>
      <c r="M4102" s="2" t="s">
        <v>39440</v>
      </c>
      <c r="N4102" s="3" t="s">
        <v>1212</v>
      </c>
      <c r="P4102" s="3" t="s">
        <v>65</v>
      </c>
      <c r="Q4102" s="2" t="s">
        <v>39441</v>
      </c>
      <c r="R4102" s="3" t="s">
        <v>66</v>
      </c>
      <c r="S4102" s="4">
        <v>39</v>
      </c>
      <c r="T4102" s="4">
        <v>39</v>
      </c>
      <c r="U4102" s="5" t="s">
        <v>5826</v>
      </c>
      <c r="V4102" s="5" t="s">
        <v>5826</v>
      </c>
      <c r="W4102" s="5" t="s">
        <v>67</v>
      </c>
      <c r="X4102" s="5" t="s">
        <v>67</v>
      </c>
      <c r="Y4102" s="4">
        <v>49</v>
      </c>
      <c r="Z4102" s="4">
        <v>29</v>
      </c>
      <c r="AA4102" s="4">
        <v>30</v>
      </c>
      <c r="AB4102" s="4">
        <v>3</v>
      </c>
      <c r="AC4102" s="4">
        <v>3</v>
      </c>
      <c r="AD4102" s="4">
        <v>35</v>
      </c>
      <c r="AE4102" s="4">
        <v>36</v>
      </c>
      <c r="AF4102" s="4">
        <v>1</v>
      </c>
      <c r="AG4102" s="4">
        <v>1</v>
      </c>
      <c r="AH4102" s="4">
        <v>24</v>
      </c>
      <c r="AI4102" s="4">
        <v>24</v>
      </c>
      <c r="AJ4102" s="4">
        <v>17</v>
      </c>
      <c r="AK4102" s="4">
        <v>18</v>
      </c>
      <c r="AL4102" s="4">
        <v>11</v>
      </c>
      <c r="AM4102" s="4">
        <v>11</v>
      </c>
      <c r="AN4102" s="4">
        <v>0</v>
      </c>
      <c r="AO4102" s="4">
        <v>0</v>
      </c>
      <c r="AP4102" s="4">
        <v>21</v>
      </c>
      <c r="AQ4102" s="4">
        <v>21</v>
      </c>
      <c r="AR4102" s="3" t="s">
        <v>61</v>
      </c>
      <c r="AS4102" s="3" t="s">
        <v>62</v>
      </c>
      <c r="AT4102" s="3" t="s">
        <v>62</v>
      </c>
      <c r="AV4102" s="6" t="str">
        <f>HYPERLINK("http://mcgill.on.worldcat.org/oclc/45020713","Catalog Record")</f>
        <v>Catalog Record</v>
      </c>
      <c r="AW4102" s="6" t="str">
        <f>HYPERLINK("http://www.worldcat.org/oclc/45020713","WorldCat Record")</f>
        <v>WorldCat Record</v>
      </c>
      <c r="AX4102" s="3" t="s">
        <v>39442</v>
      </c>
      <c r="AY4102" s="3" t="s">
        <v>39443</v>
      </c>
      <c r="AZ4102" s="3" t="s">
        <v>39444</v>
      </c>
      <c r="BA4102" s="3" t="s">
        <v>39444</v>
      </c>
      <c r="BB4102" s="3" t="s">
        <v>39445</v>
      </c>
      <c r="BC4102" s="3" t="s">
        <v>142</v>
      </c>
      <c r="BD4102" s="3" t="s">
        <v>68</v>
      </c>
      <c r="BE4102" s="3" t="s">
        <v>39446</v>
      </c>
      <c r="BF4102" s="3" t="s">
        <v>39445</v>
      </c>
      <c r="BG4102" s="3" t="s">
        <v>39447</v>
      </c>
    </row>
    <row r="4103" spans="1:59" ht="57" x14ac:dyDescent="0.45">
      <c r="A4103" s="2" t="s">
        <v>59</v>
      </c>
      <c r="B4103" s="2" t="s">
        <v>60</v>
      </c>
      <c r="C4103" s="2" t="s">
        <v>39448</v>
      </c>
      <c r="D4103" s="2" t="s">
        <v>39449</v>
      </c>
      <c r="E4103" s="2" t="s">
        <v>39450</v>
      </c>
      <c r="G4103" s="3" t="s">
        <v>62</v>
      </c>
      <c r="I4103" s="3" t="s">
        <v>62</v>
      </c>
      <c r="J4103" s="3" t="s">
        <v>62</v>
      </c>
      <c r="K4103" s="3" t="s">
        <v>63</v>
      </c>
      <c r="L4103" s="2" t="s">
        <v>39451</v>
      </c>
      <c r="M4103" s="2" t="s">
        <v>39452</v>
      </c>
      <c r="N4103" s="3" t="s">
        <v>1239</v>
      </c>
      <c r="P4103" s="3" t="s">
        <v>65</v>
      </c>
      <c r="R4103" s="3" t="s">
        <v>66</v>
      </c>
      <c r="S4103" s="4">
        <v>28</v>
      </c>
      <c r="T4103" s="4">
        <v>28</v>
      </c>
      <c r="U4103" s="5" t="s">
        <v>39295</v>
      </c>
      <c r="V4103" s="5" t="s">
        <v>39295</v>
      </c>
      <c r="W4103" s="5" t="s">
        <v>67</v>
      </c>
      <c r="X4103" s="5" t="s">
        <v>67</v>
      </c>
      <c r="Y4103" s="4">
        <v>368</v>
      </c>
      <c r="Z4103" s="4">
        <v>21</v>
      </c>
      <c r="AA4103" s="4">
        <v>27</v>
      </c>
      <c r="AB4103" s="4">
        <v>2</v>
      </c>
      <c r="AC4103" s="4">
        <v>7</v>
      </c>
      <c r="AD4103" s="4">
        <v>91</v>
      </c>
      <c r="AE4103" s="4">
        <v>95</v>
      </c>
      <c r="AF4103" s="4">
        <v>1</v>
      </c>
      <c r="AG4103" s="4">
        <v>5</v>
      </c>
      <c r="AH4103" s="4">
        <v>82</v>
      </c>
      <c r="AI4103" s="4">
        <v>83</v>
      </c>
      <c r="AJ4103" s="4">
        <v>14</v>
      </c>
      <c r="AK4103" s="4">
        <v>17</v>
      </c>
      <c r="AL4103" s="4">
        <v>43</v>
      </c>
      <c r="AM4103" s="4">
        <v>43</v>
      </c>
      <c r="AN4103" s="4">
        <v>0</v>
      </c>
      <c r="AO4103" s="4">
        <v>0</v>
      </c>
      <c r="AP4103" s="4">
        <v>18</v>
      </c>
      <c r="AQ4103" s="4">
        <v>21</v>
      </c>
      <c r="AR4103" s="3" t="s">
        <v>62</v>
      </c>
      <c r="AS4103" s="3" t="s">
        <v>62</v>
      </c>
      <c r="AT4103" s="3" t="s">
        <v>61</v>
      </c>
      <c r="AU4103" s="6" t="str">
        <f>HYPERLINK("http://catalog.hathitrust.org/Record/001841438","HathiTrust Record")</f>
        <v>HathiTrust Record</v>
      </c>
      <c r="AV4103" s="6" t="str">
        <f>HYPERLINK("http://mcgill.on.worldcat.org/oclc/20017311","Catalog Record")</f>
        <v>Catalog Record</v>
      </c>
      <c r="AW4103" s="6" t="str">
        <f>HYPERLINK("http://www.worldcat.org/oclc/20017311","WorldCat Record")</f>
        <v>WorldCat Record</v>
      </c>
      <c r="AX4103" s="3" t="s">
        <v>39453</v>
      </c>
      <c r="AY4103" s="3" t="s">
        <v>39454</v>
      </c>
      <c r="AZ4103" s="3" t="s">
        <v>39455</v>
      </c>
      <c r="BA4103" s="3" t="s">
        <v>39455</v>
      </c>
      <c r="BB4103" s="3" t="s">
        <v>39456</v>
      </c>
      <c r="BC4103" s="3" t="s">
        <v>142</v>
      </c>
      <c r="BD4103" s="3" t="s">
        <v>68</v>
      </c>
      <c r="BE4103" s="3" t="s">
        <v>39457</v>
      </c>
      <c r="BF4103" s="3" t="s">
        <v>39456</v>
      </c>
      <c r="BG4103" s="3" t="s">
        <v>39458</v>
      </c>
    </row>
    <row r="4104" spans="1:59" ht="57" x14ac:dyDescent="0.45">
      <c r="A4104" s="2" t="s">
        <v>59</v>
      </c>
      <c r="B4104" s="2" t="s">
        <v>60</v>
      </c>
      <c r="C4104" s="2" t="s">
        <v>39459</v>
      </c>
      <c r="D4104" s="2" t="s">
        <v>39460</v>
      </c>
      <c r="E4104" s="2" t="s">
        <v>39461</v>
      </c>
      <c r="G4104" s="3" t="s">
        <v>62</v>
      </c>
      <c r="I4104" s="3" t="s">
        <v>62</v>
      </c>
      <c r="J4104" s="3" t="s">
        <v>62</v>
      </c>
      <c r="K4104" s="3" t="s">
        <v>63</v>
      </c>
      <c r="M4104" s="2" t="s">
        <v>39462</v>
      </c>
      <c r="N4104" s="3" t="s">
        <v>529</v>
      </c>
      <c r="P4104" s="3" t="s">
        <v>65</v>
      </c>
      <c r="Q4104" s="2" t="s">
        <v>39463</v>
      </c>
      <c r="R4104" s="3" t="s">
        <v>66</v>
      </c>
      <c r="S4104" s="4">
        <v>51</v>
      </c>
      <c r="T4104" s="4">
        <v>51</v>
      </c>
      <c r="U4104" s="5" t="s">
        <v>3596</v>
      </c>
      <c r="V4104" s="5" t="s">
        <v>3596</v>
      </c>
      <c r="W4104" s="5" t="s">
        <v>67</v>
      </c>
      <c r="X4104" s="5" t="s">
        <v>67</v>
      </c>
      <c r="Y4104" s="4">
        <v>336</v>
      </c>
      <c r="Z4104" s="4">
        <v>23</v>
      </c>
      <c r="AA4104" s="4">
        <v>28</v>
      </c>
      <c r="AB4104" s="4">
        <v>2</v>
      </c>
      <c r="AC4104" s="4">
        <v>6</v>
      </c>
      <c r="AD4104" s="4">
        <v>103</v>
      </c>
      <c r="AE4104" s="4">
        <v>105</v>
      </c>
      <c r="AF4104" s="4">
        <v>1</v>
      </c>
      <c r="AG4104" s="4">
        <v>3</v>
      </c>
      <c r="AH4104" s="4">
        <v>91</v>
      </c>
      <c r="AI4104" s="4">
        <v>92</v>
      </c>
      <c r="AJ4104" s="4">
        <v>18</v>
      </c>
      <c r="AK4104" s="4">
        <v>20</v>
      </c>
      <c r="AL4104" s="4">
        <v>48</v>
      </c>
      <c r="AM4104" s="4">
        <v>48</v>
      </c>
      <c r="AN4104" s="4">
        <v>0</v>
      </c>
      <c r="AO4104" s="4">
        <v>0</v>
      </c>
      <c r="AP4104" s="4">
        <v>19</v>
      </c>
      <c r="AQ4104" s="4">
        <v>20</v>
      </c>
      <c r="AR4104" s="3" t="s">
        <v>62</v>
      </c>
      <c r="AS4104" s="3" t="s">
        <v>62</v>
      </c>
      <c r="AT4104" s="3" t="s">
        <v>61</v>
      </c>
      <c r="AU4104" s="6" t="str">
        <f>HYPERLINK("http://catalog.hathitrust.org/Record/000433818","HathiTrust Record")</f>
        <v>HathiTrust Record</v>
      </c>
      <c r="AV4104" s="6" t="str">
        <f>HYPERLINK("http://mcgill.on.worldcat.org/oclc/11676353","Catalog Record")</f>
        <v>Catalog Record</v>
      </c>
      <c r="AW4104" s="6" t="str">
        <f>HYPERLINK("http://www.worldcat.org/oclc/11676353","WorldCat Record")</f>
        <v>WorldCat Record</v>
      </c>
      <c r="AX4104" s="3" t="s">
        <v>39464</v>
      </c>
      <c r="AY4104" s="3" t="s">
        <v>39465</v>
      </c>
      <c r="AZ4104" s="3" t="s">
        <v>39466</v>
      </c>
      <c r="BA4104" s="3" t="s">
        <v>39466</v>
      </c>
      <c r="BB4104" s="3" t="s">
        <v>39467</v>
      </c>
      <c r="BC4104" s="3" t="s">
        <v>142</v>
      </c>
      <c r="BD4104" s="3" t="s">
        <v>68</v>
      </c>
      <c r="BE4104" s="3" t="s">
        <v>39468</v>
      </c>
      <c r="BF4104" s="3" t="s">
        <v>39467</v>
      </c>
      <c r="BG4104" s="3" t="s">
        <v>39469</v>
      </c>
    </row>
    <row r="4105" spans="1:59" ht="57" x14ac:dyDescent="0.45">
      <c r="A4105" s="2" t="s">
        <v>59</v>
      </c>
      <c r="B4105" s="2" t="s">
        <v>60</v>
      </c>
      <c r="C4105" s="2" t="s">
        <v>39470</v>
      </c>
      <c r="D4105" s="2" t="s">
        <v>39471</v>
      </c>
      <c r="E4105" s="2" t="s">
        <v>39472</v>
      </c>
      <c r="G4105" s="3" t="s">
        <v>62</v>
      </c>
      <c r="I4105" s="3" t="s">
        <v>62</v>
      </c>
      <c r="J4105" s="3" t="s">
        <v>62</v>
      </c>
      <c r="K4105" s="3" t="s">
        <v>63</v>
      </c>
      <c r="M4105" s="2" t="s">
        <v>39473</v>
      </c>
      <c r="N4105" s="3" t="s">
        <v>1155</v>
      </c>
      <c r="P4105" s="3" t="s">
        <v>65</v>
      </c>
      <c r="Q4105" s="2" t="s">
        <v>39474</v>
      </c>
      <c r="R4105" s="3" t="s">
        <v>66</v>
      </c>
      <c r="S4105" s="4">
        <v>2</v>
      </c>
      <c r="T4105" s="4">
        <v>2</v>
      </c>
      <c r="U4105" s="5" t="s">
        <v>39475</v>
      </c>
      <c r="V4105" s="5" t="s">
        <v>39475</v>
      </c>
      <c r="W4105" s="5" t="s">
        <v>67</v>
      </c>
      <c r="X4105" s="5" t="s">
        <v>67</v>
      </c>
      <c r="Y4105" s="4">
        <v>94</v>
      </c>
      <c r="Z4105" s="4">
        <v>20</v>
      </c>
      <c r="AA4105" s="4">
        <v>85</v>
      </c>
      <c r="AB4105" s="4">
        <v>1</v>
      </c>
      <c r="AC4105" s="4">
        <v>14</v>
      </c>
      <c r="AD4105" s="4">
        <v>38</v>
      </c>
      <c r="AE4105" s="4">
        <v>102</v>
      </c>
      <c r="AF4105" s="4">
        <v>0</v>
      </c>
      <c r="AG4105" s="4">
        <v>8</v>
      </c>
      <c r="AH4105" s="4">
        <v>30</v>
      </c>
      <c r="AI4105" s="4">
        <v>66</v>
      </c>
      <c r="AJ4105" s="4">
        <v>14</v>
      </c>
      <c r="AK4105" s="4">
        <v>27</v>
      </c>
      <c r="AL4105" s="4">
        <v>19</v>
      </c>
      <c r="AM4105" s="4">
        <v>34</v>
      </c>
      <c r="AN4105" s="4">
        <v>0</v>
      </c>
      <c r="AO4105" s="4">
        <v>0</v>
      </c>
      <c r="AP4105" s="4">
        <v>16</v>
      </c>
      <c r="AQ4105" s="4">
        <v>47</v>
      </c>
      <c r="AR4105" s="3" t="s">
        <v>62</v>
      </c>
      <c r="AS4105" s="3" t="s">
        <v>62</v>
      </c>
      <c r="AT4105" s="3" t="s">
        <v>62</v>
      </c>
      <c r="AV4105" s="6" t="str">
        <f>HYPERLINK("http://mcgill.on.worldcat.org/oclc/788266848","Catalog Record")</f>
        <v>Catalog Record</v>
      </c>
      <c r="AW4105" s="6" t="str">
        <f>HYPERLINK("http://www.worldcat.org/oclc/788266848","WorldCat Record")</f>
        <v>WorldCat Record</v>
      </c>
      <c r="AX4105" s="3" t="s">
        <v>39476</v>
      </c>
      <c r="AY4105" s="3" t="s">
        <v>39477</v>
      </c>
      <c r="AZ4105" s="3" t="s">
        <v>39478</v>
      </c>
      <c r="BA4105" s="3" t="s">
        <v>39478</v>
      </c>
      <c r="BB4105" s="3" t="s">
        <v>39479</v>
      </c>
      <c r="BC4105" s="3" t="s">
        <v>142</v>
      </c>
      <c r="BD4105" s="3" t="s">
        <v>68</v>
      </c>
      <c r="BE4105" s="3" t="s">
        <v>39480</v>
      </c>
      <c r="BF4105" s="3" t="s">
        <v>39479</v>
      </c>
      <c r="BG4105" s="3" t="s">
        <v>39481</v>
      </c>
    </row>
    <row r="4106" spans="1:59" ht="57" x14ac:dyDescent="0.45">
      <c r="A4106" s="2" t="s">
        <v>59</v>
      </c>
      <c r="B4106" s="2" t="s">
        <v>60</v>
      </c>
      <c r="C4106" s="2" t="s">
        <v>39482</v>
      </c>
      <c r="D4106" s="2" t="s">
        <v>39483</v>
      </c>
      <c r="E4106" s="2" t="s">
        <v>39484</v>
      </c>
      <c r="G4106" s="3" t="s">
        <v>62</v>
      </c>
      <c r="I4106" s="3" t="s">
        <v>62</v>
      </c>
      <c r="J4106" s="3" t="s">
        <v>62</v>
      </c>
      <c r="K4106" s="3" t="s">
        <v>63</v>
      </c>
      <c r="M4106" s="2" t="s">
        <v>39485</v>
      </c>
      <c r="N4106" s="3" t="s">
        <v>958</v>
      </c>
      <c r="P4106" s="3" t="s">
        <v>65</v>
      </c>
      <c r="R4106" s="3" t="s">
        <v>66</v>
      </c>
      <c r="S4106" s="4">
        <v>30</v>
      </c>
      <c r="T4106" s="4">
        <v>30</v>
      </c>
      <c r="U4106" s="5" t="s">
        <v>3596</v>
      </c>
      <c r="V4106" s="5" t="s">
        <v>3596</v>
      </c>
      <c r="W4106" s="5" t="s">
        <v>67</v>
      </c>
      <c r="X4106" s="5" t="s">
        <v>67</v>
      </c>
      <c r="Y4106" s="4">
        <v>137</v>
      </c>
      <c r="Z4106" s="4">
        <v>14</v>
      </c>
      <c r="AA4106" s="4">
        <v>85</v>
      </c>
      <c r="AB4106" s="4">
        <v>1</v>
      </c>
      <c r="AC4106" s="4">
        <v>14</v>
      </c>
      <c r="AD4106" s="4">
        <v>29</v>
      </c>
      <c r="AE4106" s="4">
        <v>136</v>
      </c>
      <c r="AF4106" s="4">
        <v>0</v>
      </c>
      <c r="AG4106" s="4">
        <v>8</v>
      </c>
      <c r="AH4106" s="4">
        <v>22</v>
      </c>
      <c r="AI4106" s="4">
        <v>100</v>
      </c>
      <c r="AJ4106" s="4">
        <v>10</v>
      </c>
      <c r="AK4106" s="4">
        <v>24</v>
      </c>
      <c r="AL4106" s="4">
        <v>6</v>
      </c>
      <c r="AM4106" s="4">
        <v>52</v>
      </c>
      <c r="AN4106" s="4">
        <v>0</v>
      </c>
      <c r="AO4106" s="4">
        <v>0</v>
      </c>
      <c r="AP4106" s="4">
        <v>12</v>
      </c>
      <c r="AQ4106" s="4">
        <v>45</v>
      </c>
      <c r="AR4106" s="3" t="s">
        <v>62</v>
      </c>
      <c r="AS4106" s="3" t="s">
        <v>62</v>
      </c>
      <c r="AT4106" s="3" t="s">
        <v>62</v>
      </c>
      <c r="AV4106" s="6" t="str">
        <f>HYPERLINK("http://mcgill.on.worldcat.org/oclc/32589168","Catalog Record")</f>
        <v>Catalog Record</v>
      </c>
      <c r="AW4106" s="6" t="str">
        <f>HYPERLINK("http://www.worldcat.org/oclc/32589168","WorldCat Record")</f>
        <v>WorldCat Record</v>
      </c>
      <c r="AX4106" s="3" t="s">
        <v>39486</v>
      </c>
      <c r="AY4106" s="3" t="s">
        <v>39487</v>
      </c>
      <c r="AZ4106" s="3" t="s">
        <v>39488</v>
      </c>
      <c r="BA4106" s="3" t="s">
        <v>39488</v>
      </c>
      <c r="BB4106" s="3" t="s">
        <v>39489</v>
      </c>
      <c r="BC4106" s="3" t="s">
        <v>142</v>
      </c>
      <c r="BD4106" s="3" t="s">
        <v>68</v>
      </c>
      <c r="BE4106" s="3" t="s">
        <v>39490</v>
      </c>
      <c r="BF4106" s="3" t="s">
        <v>39489</v>
      </c>
      <c r="BG4106" s="3" t="s">
        <v>39491</v>
      </c>
    </row>
    <row r="4107" spans="1:59" ht="57" x14ac:dyDescent="0.45">
      <c r="A4107" s="2" t="s">
        <v>59</v>
      </c>
      <c r="B4107" s="2" t="s">
        <v>60</v>
      </c>
      <c r="C4107" s="2" t="s">
        <v>39492</v>
      </c>
      <c r="D4107" s="2" t="s">
        <v>39493</v>
      </c>
      <c r="E4107" s="2" t="s">
        <v>39494</v>
      </c>
      <c r="G4107" s="3" t="s">
        <v>62</v>
      </c>
      <c r="I4107" s="3" t="s">
        <v>62</v>
      </c>
      <c r="J4107" s="3" t="s">
        <v>61</v>
      </c>
      <c r="K4107" s="3" t="s">
        <v>63</v>
      </c>
      <c r="L4107" s="2" t="s">
        <v>39264</v>
      </c>
      <c r="M4107" s="2" t="s">
        <v>39495</v>
      </c>
      <c r="N4107" s="3" t="s">
        <v>542</v>
      </c>
      <c r="P4107" s="3" t="s">
        <v>65</v>
      </c>
      <c r="Q4107" s="2" t="s">
        <v>3411</v>
      </c>
      <c r="R4107" s="3" t="s">
        <v>66</v>
      </c>
      <c r="S4107" s="4">
        <v>28</v>
      </c>
      <c r="T4107" s="4">
        <v>28</v>
      </c>
      <c r="U4107" s="5" t="s">
        <v>23930</v>
      </c>
      <c r="V4107" s="5" t="s">
        <v>23930</v>
      </c>
      <c r="W4107" s="5" t="s">
        <v>67</v>
      </c>
      <c r="X4107" s="5" t="s">
        <v>67</v>
      </c>
      <c r="Y4107" s="4">
        <v>207</v>
      </c>
      <c r="Z4107" s="4">
        <v>17</v>
      </c>
      <c r="AA4107" s="4">
        <v>93</v>
      </c>
      <c r="AB4107" s="4">
        <v>3</v>
      </c>
      <c r="AC4107" s="4">
        <v>16</v>
      </c>
      <c r="AD4107" s="4">
        <v>59</v>
      </c>
      <c r="AE4107" s="4">
        <v>149</v>
      </c>
      <c r="AF4107" s="4">
        <v>1</v>
      </c>
      <c r="AG4107" s="4">
        <v>8</v>
      </c>
      <c r="AH4107" s="4">
        <v>51</v>
      </c>
      <c r="AI4107" s="4">
        <v>109</v>
      </c>
      <c r="AJ4107" s="4">
        <v>10</v>
      </c>
      <c r="AK4107" s="4">
        <v>28</v>
      </c>
      <c r="AL4107" s="4">
        <v>30</v>
      </c>
      <c r="AM4107" s="4">
        <v>57</v>
      </c>
      <c r="AN4107" s="4">
        <v>0</v>
      </c>
      <c r="AO4107" s="4">
        <v>0</v>
      </c>
      <c r="AP4107" s="4">
        <v>13</v>
      </c>
      <c r="AQ4107" s="4">
        <v>49</v>
      </c>
      <c r="AR4107" s="3" t="s">
        <v>62</v>
      </c>
      <c r="AS4107" s="3" t="s">
        <v>62</v>
      </c>
      <c r="AT4107" s="3" t="s">
        <v>61</v>
      </c>
      <c r="AU4107" s="6" t="str">
        <f>HYPERLINK("http://catalog.hathitrust.org/Record/004173573","HathiTrust Record")</f>
        <v>HathiTrust Record</v>
      </c>
      <c r="AV4107" s="6" t="str">
        <f>HYPERLINK("http://mcgill.on.worldcat.org/oclc/45263926","Catalog Record")</f>
        <v>Catalog Record</v>
      </c>
      <c r="AW4107" s="6" t="str">
        <f>HYPERLINK("http://www.worldcat.org/oclc/45263926","WorldCat Record")</f>
        <v>WorldCat Record</v>
      </c>
      <c r="AX4107" s="3" t="s">
        <v>39265</v>
      </c>
      <c r="AY4107" s="3" t="s">
        <v>39496</v>
      </c>
      <c r="AZ4107" s="3" t="s">
        <v>39497</v>
      </c>
      <c r="BA4107" s="3" t="s">
        <v>39497</v>
      </c>
      <c r="BB4107" s="3" t="s">
        <v>39498</v>
      </c>
      <c r="BC4107" s="3" t="s">
        <v>142</v>
      </c>
      <c r="BD4107" s="3" t="s">
        <v>68</v>
      </c>
      <c r="BE4107" s="3" t="s">
        <v>39499</v>
      </c>
      <c r="BF4107" s="3" t="s">
        <v>39498</v>
      </c>
      <c r="BG4107" s="3" t="s">
        <v>39500</v>
      </c>
    </row>
    <row r="4108" spans="1:59" ht="57" x14ac:dyDescent="0.45">
      <c r="A4108" s="2" t="s">
        <v>59</v>
      </c>
      <c r="B4108" s="2" t="s">
        <v>60</v>
      </c>
      <c r="C4108" s="2" t="s">
        <v>39501</v>
      </c>
      <c r="D4108" s="2" t="s">
        <v>39502</v>
      </c>
      <c r="E4108" s="2" t="s">
        <v>39503</v>
      </c>
      <c r="G4108" s="3" t="s">
        <v>62</v>
      </c>
      <c r="I4108" s="3" t="s">
        <v>62</v>
      </c>
      <c r="J4108" s="3" t="s">
        <v>62</v>
      </c>
      <c r="K4108" s="3" t="s">
        <v>63</v>
      </c>
      <c r="M4108" s="2" t="s">
        <v>39504</v>
      </c>
      <c r="N4108" s="3" t="s">
        <v>149</v>
      </c>
      <c r="P4108" s="3" t="s">
        <v>65</v>
      </c>
      <c r="Q4108" s="2" t="s">
        <v>39505</v>
      </c>
      <c r="R4108" s="3" t="s">
        <v>66</v>
      </c>
      <c r="S4108" s="4">
        <v>0</v>
      </c>
      <c r="T4108" s="4">
        <v>0</v>
      </c>
      <c r="W4108" s="5" t="s">
        <v>67</v>
      </c>
      <c r="X4108" s="5" t="s">
        <v>67</v>
      </c>
      <c r="Y4108" s="4">
        <v>10</v>
      </c>
      <c r="Z4108" s="4">
        <v>1</v>
      </c>
      <c r="AA4108" s="4">
        <v>1</v>
      </c>
      <c r="AB4108" s="4">
        <v>1</v>
      </c>
      <c r="AC4108" s="4">
        <v>1</v>
      </c>
      <c r="AD4108" s="4">
        <v>2</v>
      </c>
      <c r="AE4108" s="4">
        <v>2</v>
      </c>
      <c r="AF4108" s="4">
        <v>0</v>
      </c>
      <c r="AG4108" s="4">
        <v>0</v>
      </c>
      <c r="AH4108" s="4">
        <v>2</v>
      </c>
      <c r="AI4108" s="4">
        <v>2</v>
      </c>
      <c r="AJ4108" s="4">
        <v>0</v>
      </c>
      <c r="AK4108" s="4">
        <v>0</v>
      </c>
      <c r="AL4108" s="4">
        <v>1</v>
      </c>
      <c r="AM4108" s="4">
        <v>1</v>
      </c>
      <c r="AN4108" s="4">
        <v>0</v>
      </c>
      <c r="AO4108" s="4">
        <v>0</v>
      </c>
      <c r="AP4108" s="4">
        <v>0</v>
      </c>
      <c r="AQ4108" s="4">
        <v>0</v>
      </c>
      <c r="AR4108" s="3" t="s">
        <v>62</v>
      </c>
      <c r="AS4108" s="3" t="s">
        <v>62</v>
      </c>
      <c r="AT4108" s="3" t="s">
        <v>62</v>
      </c>
      <c r="AV4108" s="6" t="str">
        <f>HYPERLINK("http://mcgill.on.worldcat.org/oclc/607973778","Catalog Record")</f>
        <v>Catalog Record</v>
      </c>
      <c r="AW4108" s="6" t="str">
        <f>HYPERLINK("http://www.worldcat.org/oclc/607973778","WorldCat Record")</f>
        <v>WorldCat Record</v>
      </c>
      <c r="AX4108" s="3" t="s">
        <v>39506</v>
      </c>
      <c r="AY4108" s="3" t="s">
        <v>39507</v>
      </c>
      <c r="AZ4108" s="3" t="s">
        <v>39508</v>
      </c>
      <c r="BA4108" s="3" t="s">
        <v>39508</v>
      </c>
      <c r="BB4108" s="3" t="s">
        <v>39509</v>
      </c>
      <c r="BC4108" s="3" t="s">
        <v>142</v>
      </c>
      <c r="BD4108" s="3" t="s">
        <v>68</v>
      </c>
      <c r="BE4108" s="3" t="s">
        <v>39510</v>
      </c>
      <c r="BF4108" s="3" t="s">
        <v>39509</v>
      </c>
      <c r="BG4108" s="3" t="s">
        <v>39511</v>
      </c>
    </row>
    <row r="4109" spans="1:59" ht="57" x14ac:dyDescent="0.45">
      <c r="A4109" s="2" t="s">
        <v>59</v>
      </c>
      <c r="B4109" s="2" t="s">
        <v>60</v>
      </c>
      <c r="C4109" s="2" t="s">
        <v>39512</v>
      </c>
      <c r="D4109" s="2" t="s">
        <v>39513</v>
      </c>
      <c r="E4109" s="2" t="s">
        <v>39514</v>
      </c>
      <c r="G4109" s="3" t="s">
        <v>62</v>
      </c>
      <c r="I4109" s="3" t="s">
        <v>62</v>
      </c>
      <c r="J4109" s="3" t="s">
        <v>62</v>
      </c>
      <c r="K4109" s="3" t="s">
        <v>63</v>
      </c>
      <c r="M4109" s="2" t="s">
        <v>39515</v>
      </c>
      <c r="N4109" s="3" t="s">
        <v>1155</v>
      </c>
      <c r="P4109" s="3" t="s">
        <v>65</v>
      </c>
      <c r="Q4109" s="2" t="s">
        <v>39516</v>
      </c>
      <c r="R4109" s="3" t="s">
        <v>66</v>
      </c>
      <c r="S4109" s="4">
        <v>2</v>
      </c>
      <c r="T4109" s="4">
        <v>2</v>
      </c>
      <c r="U4109" s="5" t="s">
        <v>14606</v>
      </c>
      <c r="V4109" s="5" t="s">
        <v>14606</v>
      </c>
      <c r="W4109" s="5" t="s">
        <v>67</v>
      </c>
      <c r="X4109" s="5" t="s">
        <v>67</v>
      </c>
      <c r="Y4109" s="4">
        <v>112</v>
      </c>
      <c r="Z4109" s="4">
        <v>13</v>
      </c>
      <c r="AA4109" s="4">
        <v>48</v>
      </c>
      <c r="AB4109" s="4">
        <v>1</v>
      </c>
      <c r="AC4109" s="4">
        <v>4</v>
      </c>
      <c r="AD4109" s="4">
        <v>44</v>
      </c>
      <c r="AE4109" s="4">
        <v>59</v>
      </c>
      <c r="AF4109" s="4">
        <v>0</v>
      </c>
      <c r="AG4109" s="4">
        <v>1</v>
      </c>
      <c r="AH4109" s="4">
        <v>40</v>
      </c>
      <c r="AI4109" s="4">
        <v>45</v>
      </c>
      <c r="AJ4109" s="4">
        <v>11</v>
      </c>
      <c r="AK4109" s="4">
        <v>16</v>
      </c>
      <c r="AL4109" s="4">
        <v>24</v>
      </c>
      <c r="AM4109" s="4">
        <v>28</v>
      </c>
      <c r="AN4109" s="4">
        <v>0</v>
      </c>
      <c r="AO4109" s="4">
        <v>0</v>
      </c>
      <c r="AP4109" s="4">
        <v>11</v>
      </c>
      <c r="AQ4109" s="4">
        <v>20</v>
      </c>
      <c r="AR4109" s="3" t="s">
        <v>62</v>
      </c>
      <c r="AS4109" s="3" t="s">
        <v>62</v>
      </c>
      <c r="AT4109" s="3" t="s">
        <v>62</v>
      </c>
      <c r="AV4109" s="6" t="str">
        <f>HYPERLINK("http://mcgill.on.worldcat.org/oclc/748328720","Catalog Record")</f>
        <v>Catalog Record</v>
      </c>
      <c r="AW4109" s="6" t="str">
        <f>HYPERLINK("http://www.worldcat.org/oclc/748328720","WorldCat Record")</f>
        <v>WorldCat Record</v>
      </c>
      <c r="AX4109" s="3" t="s">
        <v>39517</v>
      </c>
      <c r="AY4109" s="3" t="s">
        <v>39518</v>
      </c>
      <c r="AZ4109" s="3" t="s">
        <v>39519</v>
      </c>
      <c r="BA4109" s="3" t="s">
        <v>39519</v>
      </c>
      <c r="BB4109" s="3" t="s">
        <v>39520</v>
      </c>
      <c r="BC4109" s="3" t="s">
        <v>142</v>
      </c>
      <c r="BD4109" s="3" t="s">
        <v>68</v>
      </c>
      <c r="BE4109" s="3" t="s">
        <v>39521</v>
      </c>
      <c r="BF4109" s="3" t="s">
        <v>39520</v>
      </c>
      <c r="BG4109" s="3" t="s">
        <v>39522</v>
      </c>
    </row>
    <row r="4110" spans="1:59" ht="57" x14ac:dyDescent="0.45">
      <c r="A4110" s="2" t="s">
        <v>59</v>
      </c>
      <c r="B4110" s="2" t="s">
        <v>60</v>
      </c>
      <c r="C4110" s="2" t="s">
        <v>39523</v>
      </c>
      <c r="D4110" s="2" t="s">
        <v>39524</v>
      </c>
      <c r="E4110" s="2" t="s">
        <v>39525</v>
      </c>
      <c r="G4110" s="3" t="s">
        <v>62</v>
      </c>
      <c r="I4110" s="3" t="s">
        <v>62</v>
      </c>
      <c r="J4110" s="3" t="s">
        <v>62</v>
      </c>
      <c r="K4110" s="3" t="s">
        <v>63</v>
      </c>
      <c r="L4110" s="2" t="s">
        <v>39526</v>
      </c>
      <c r="M4110" s="2" t="s">
        <v>3567</v>
      </c>
      <c r="N4110" s="3" t="s">
        <v>894</v>
      </c>
      <c r="P4110" s="3" t="s">
        <v>65</v>
      </c>
      <c r="Q4110" s="2" t="s">
        <v>39527</v>
      </c>
      <c r="R4110" s="3" t="s">
        <v>66</v>
      </c>
      <c r="S4110" s="4">
        <v>0</v>
      </c>
      <c r="T4110" s="4">
        <v>0</v>
      </c>
      <c r="W4110" s="5" t="s">
        <v>67</v>
      </c>
      <c r="X4110" s="5" t="s">
        <v>67</v>
      </c>
      <c r="Y4110" s="4">
        <v>33</v>
      </c>
      <c r="Z4110" s="4">
        <v>4</v>
      </c>
      <c r="AA4110" s="4">
        <v>4</v>
      </c>
      <c r="AB4110" s="4">
        <v>1</v>
      </c>
      <c r="AC4110" s="4">
        <v>1</v>
      </c>
      <c r="AD4110" s="4">
        <v>15</v>
      </c>
      <c r="AE4110" s="4">
        <v>15</v>
      </c>
      <c r="AF4110" s="4">
        <v>0</v>
      </c>
      <c r="AG4110" s="4">
        <v>0</v>
      </c>
      <c r="AH4110" s="4">
        <v>15</v>
      </c>
      <c r="AI4110" s="4">
        <v>15</v>
      </c>
      <c r="AJ4110" s="4">
        <v>3</v>
      </c>
      <c r="AK4110" s="4">
        <v>3</v>
      </c>
      <c r="AL4110" s="4">
        <v>12</v>
      </c>
      <c r="AM4110" s="4">
        <v>12</v>
      </c>
      <c r="AN4110" s="4">
        <v>0</v>
      </c>
      <c r="AO4110" s="4">
        <v>0</v>
      </c>
      <c r="AP4110" s="4">
        <v>3</v>
      </c>
      <c r="AQ4110" s="4">
        <v>3</v>
      </c>
      <c r="AR4110" s="3" t="s">
        <v>62</v>
      </c>
      <c r="AS4110" s="3" t="s">
        <v>62</v>
      </c>
      <c r="AT4110" s="3" t="s">
        <v>62</v>
      </c>
      <c r="AV4110" s="6" t="str">
        <f>HYPERLINK("http://mcgill.on.worldcat.org/oclc/715099100","Catalog Record")</f>
        <v>Catalog Record</v>
      </c>
      <c r="AW4110" s="6" t="str">
        <f>HYPERLINK("http://www.worldcat.org/oclc/715099100","WorldCat Record")</f>
        <v>WorldCat Record</v>
      </c>
      <c r="AX4110" s="3" t="s">
        <v>39528</v>
      </c>
      <c r="AY4110" s="3" t="s">
        <v>39529</v>
      </c>
      <c r="AZ4110" s="3" t="s">
        <v>39530</v>
      </c>
      <c r="BA4110" s="3" t="s">
        <v>39530</v>
      </c>
      <c r="BB4110" s="3" t="s">
        <v>39531</v>
      </c>
      <c r="BC4110" s="3" t="s">
        <v>142</v>
      </c>
      <c r="BD4110" s="3" t="s">
        <v>68</v>
      </c>
      <c r="BE4110" s="3" t="s">
        <v>39532</v>
      </c>
      <c r="BF4110" s="3" t="s">
        <v>39531</v>
      </c>
      <c r="BG4110" s="3" t="s">
        <v>39533</v>
      </c>
    </row>
    <row r="4111" spans="1:59" ht="57" x14ac:dyDescent="0.45">
      <c r="A4111" s="2" t="s">
        <v>59</v>
      </c>
      <c r="B4111" s="2" t="s">
        <v>60</v>
      </c>
      <c r="C4111" s="2" t="s">
        <v>39534</v>
      </c>
      <c r="D4111" s="2" t="s">
        <v>39535</v>
      </c>
      <c r="E4111" s="2" t="s">
        <v>39536</v>
      </c>
      <c r="G4111" s="3" t="s">
        <v>62</v>
      </c>
      <c r="I4111" s="3" t="s">
        <v>62</v>
      </c>
      <c r="J4111" s="3" t="s">
        <v>62</v>
      </c>
      <c r="K4111" s="3" t="s">
        <v>63</v>
      </c>
      <c r="L4111" s="2" t="s">
        <v>39537</v>
      </c>
      <c r="M4111" s="2" t="s">
        <v>3350</v>
      </c>
      <c r="N4111" s="3" t="s">
        <v>894</v>
      </c>
      <c r="P4111" s="3" t="s">
        <v>65</v>
      </c>
      <c r="Q4111" s="2" t="s">
        <v>39516</v>
      </c>
      <c r="R4111" s="3" t="s">
        <v>66</v>
      </c>
      <c r="S4111" s="4">
        <v>0</v>
      </c>
      <c r="T4111" s="4">
        <v>0</v>
      </c>
      <c r="W4111" s="5" t="s">
        <v>67</v>
      </c>
      <c r="X4111" s="5" t="s">
        <v>67</v>
      </c>
      <c r="Y4111" s="4">
        <v>107</v>
      </c>
      <c r="Z4111" s="4">
        <v>12</v>
      </c>
      <c r="AA4111" s="4">
        <v>16</v>
      </c>
      <c r="AB4111" s="4">
        <v>1</v>
      </c>
      <c r="AC4111" s="4">
        <v>3</v>
      </c>
      <c r="AD4111" s="4">
        <v>46</v>
      </c>
      <c r="AE4111" s="4">
        <v>51</v>
      </c>
      <c r="AF4111" s="4">
        <v>0</v>
      </c>
      <c r="AG4111" s="4">
        <v>0</v>
      </c>
      <c r="AH4111" s="4">
        <v>45</v>
      </c>
      <c r="AI4111" s="4">
        <v>49</v>
      </c>
      <c r="AJ4111" s="4">
        <v>9</v>
      </c>
      <c r="AK4111" s="4">
        <v>10</v>
      </c>
      <c r="AL4111" s="4">
        <v>22</v>
      </c>
      <c r="AM4111" s="4">
        <v>25</v>
      </c>
      <c r="AN4111" s="4">
        <v>0</v>
      </c>
      <c r="AO4111" s="4">
        <v>0</v>
      </c>
      <c r="AP4111" s="4">
        <v>10</v>
      </c>
      <c r="AQ4111" s="4">
        <v>11</v>
      </c>
      <c r="AR4111" s="3" t="s">
        <v>62</v>
      </c>
      <c r="AS4111" s="3" t="s">
        <v>62</v>
      </c>
      <c r="AT4111" s="3" t="s">
        <v>62</v>
      </c>
      <c r="AV4111" s="6" t="str">
        <f>HYPERLINK("http://mcgill.on.worldcat.org/oclc/635463551","Catalog Record")</f>
        <v>Catalog Record</v>
      </c>
      <c r="AW4111" s="6" t="str">
        <f>HYPERLINK("http://www.worldcat.org/oclc/635463551","WorldCat Record")</f>
        <v>WorldCat Record</v>
      </c>
      <c r="AX4111" s="3" t="s">
        <v>39538</v>
      </c>
      <c r="AY4111" s="3" t="s">
        <v>39539</v>
      </c>
      <c r="AZ4111" s="3" t="s">
        <v>39540</v>
      </c>
      <c r="BA4111" s="3" t="s">
        <v>39540</v>
      </c>
      <c r="BB4111" s="3" t="s">
        <v>39541</v>
      </c>
      <c r="BC4111" s="3" t="s">
        <v>142</v>
      </c>
      <c r="BD4111" s="3" t="s">
        <v>68</v>
      </c>
      <c r="BE4111" s="3" t="s">
        <v>39542</v>
      </c>
      <c r="BF4111" s="3" t="s">
        <v>39541</v>
      </c>
      <c r="BG4111" s="3" t="s">
        <v>39543</v>
      </c>
    </row>
    <row r="4112" spans="1:59" ht="57" x14ac:dyDescent="0.45">
      <c r="A4112" s="2" t="s">
        <v>59</v>
      </c>
      <c r="B4112" s="2" t="s">
        <v>60</v>
      </c>
      <c r="C4112" s="2" t="s">
        <v>39544</v>
      </c>
      <c r="D4112" s="2" t="s">
        <v>39545</v>
      </c>
      <c r="E4112" s="2" t="s">
        <v>39546</v>
      </c>
      <c r="G4112" s="3" t="s">
        <v>62</v>
      </c>
      <c r="I4112" s="3" t="s">
        <v>62</v>
      </c>
      <c r="J4112" s="3" t="s">
        <v>62</v>
      </c>
      <c r="K4112" s="3" t="s">
        <v>63</v>
      </c>
      <c r="M4112" s="2" t="s">
        <v>39547</v>
      </c>
      <c r="N4112" s="3" t="s">
        <v>542</v>
      </c>
      <c r="P4112" s="3" t="s">
        <v>65</v>
      </c>
      <c r="Q4112" s="2" t="s">
        <v>9613</v>
      </c>
      <c r="R4112" s="3" t="s">
        <v>66</v>
      </c>
      <c r="S4112" s="4">
        <v>15</v>
      </c>
      <c r="T4112" s="4">
        <v>15</v>
      </c>
      <c r="U4112" s="5" t="s">
        <v>35817</v>
      </c>
      <c r="V4112" s="5" t="s">
        <v>35817</v>
      </c>
      <c r="W4112" s="5" t="s">
        <v>67</v>
      </c>
      <c r="X4112" s="5" t="s">
        <v>67</v>
      </c>
      <c r="Y4112" s="4">
        <v>179</v>
      </c>
      <c r="Z4112" s="4">
        <v>19</v>
      </c>
      <c r="AA4112" s="4">
        <v>20</v>
      </c>
      <c r="AB4112" s="4">
        <v>2</v>
      </c>
      <c r="AC4112" s="4">
        <v>3</v>
      </c>
      <c r="AD4112" s="4">
        <v>67</v>
      </c>
      <c r="AE4112" s="4">
        <v>68</v>
      </c>
      <c r="AF4112" s="4">
        <v>0</v>
      </c>
      <c r="AG4112" s="4">
        <v>1</v>
      </c>
      <c r="AH4112" s="4">
        <v>57</v>
      </c>
      <c r="AI4112" s="4">
        <v>57</v>
      </c>
      <c r="AJ4112" s="4">
        <v>13</v>
      </c>
      <c r="AK4112" s="4">
        <v>14</v>
      </c>
      <c r="AL4112" s="4">
        <v>40</v>
      </c>
      <c r="AM4112" s="4">
        <v>40</v>
      </c>
      <c r="AN4112" s="4">
        <v>0</v>
      </c>
      <c r="AO4112" s="4">
        <v>0</v>
      </c>
      <c r="AP4112" s="4">
        <v>15</v>
      </c>
      <c r="AQ4112" s="4">
        <v>16</v>
      </c>
      <c r="AR4112" s="3" t="s">
        <v>62</v>
      </c>
      <c r="AS4112" s="3" t="s">
        <v>62</v>
      </c>
      <c r="AT4112" s="3" t="s">
        <v>61</v>
      </c>
      <c r="AU4112" s="6" t="str">
        <f>HYPERLINK("http://catalog.hathitrust.org/Record/004134271","HathiTrust Record")</f>
        <v>HathiTrust Record</v>
      </c>
      <c r="AV4112" s="6" t="str">
        <f>HYPERLINK("http://mcgill.on.worldcat.org/oclc/44802827","Catalog Record")</f>
        <v>Catalog Record</v>
      </c>
      <c r="AW4112" s="6" t="str">
        <f>HYPERLINK("http://www.worldcat.org/oclc/44802827","WorldCat Record")</f>
        <v>WorldCat Record</v>
      </c>
      <c r="AX4112" s="3" t="s">
        <v>39548</v>
      </c>
      <c r="AY4112" s="3" t="s">
        <v>39549</v>
      </c>
      <c r="AZ4112" s="3" t="s">
        <v>39550</v>
      </c>
      <c r="BA4112" s="3" t="s">
        <v>39550</v>
      </c>
      <c r="BB4112" s="3" t="s">
        <v>39551</v>
      </c>
      <c r="BC4112" s="3" t="s">
        <v>142</v>
      </c>
      <c r="BD4112" s="3" t="s">
        <v>68</v>
      </c>
      <c r="BE4112" s="3" t="s">
        <v>39552</v>
      </c>
      <c r="BF4112" s="3" t="s">
        <v>39551</v>
      </c>
      <c r="BG4112" s="3" t="s">
        <v>39553</v>
      </c>
    </row>
    <row r="4113" spans="1:59" ht="57" x14ac:dyDescent="0.45">
      <c r="A4113" s="2" t="s">
        <v>59</v>
      </c>
      <c r="B4113" s="2" t="s">
        <v>60</v>
      </c>
      <c r="C4113" s="2" t="s">
        <v>39554</v>
      </c>
      <c r="D4113" s="2" t="s">
        <v>39555</v>
      </c>
      <c r="E4113" s="2" t="s">
        <v>39556</v>
      </c>
      <c r="G4113" s="3" t="s">
        <v>62</v>
      </c>
      <c r="I4113" s="3" t="s">
        <v>62</v>
      </c>
      <c r="J4113" s="3" t="s">
        <v>62</v>
      </c>
      <c r="K4113" s="3" t="s">
        <v>63</v>
      </c>
      <c r="M4113" s="2" t="s">
        <v>16324</v>
      </c>
      <c r="N4113" s="3" t="s">
        <v>1465</v>
      </c>
      <c r="P4113" s="3" t="s">
        <v>65</v>
      </c>
      <c r="R4113" s="3" t="s">
        <v>66</v>
      </c>
      <c r="S4113" s="4">
        <v>3</v>
      </c>
      <c r="T4113" s="4">
        <v>3</v>
      </c>
      <c r="U4113" s="5" t="s">
        <v>39557</v>
      </c>
      <c r="V4113" s="5" t="s">
        <v>39557</v>
      </c>
      <c r="W4113" s="5" t="s">
        <v>67</v>
      </c>
      <c r="X4113" s="5" t="s">
        <v>67</v>
      </c>
      <c r="Y4113" s="4">
        <v>83</v>
      </c>
      <c r="Z4113" s="4">
        <v>23</v>
      </c>
      <c r="AA4113" s="4">
        <v>23</v>
      </c>
      <c r="AB4113" s="4">
        <v>2</v>
      </c>
      <c r="AC4113" s="4">
        <v>2</v>
      </c>
      <c r="AD4113" s="4">
        <v>41</v>
      </c>
      <c r="AE4113" s="4">
        <v>41</v>
      </c>
      <c r="AF4113" s="4">
        <v>0</v>
      </c>
      <c r="AG4113" s="4">
        <v>0</v>
      </c>
      <c r="AH4113" s="4">
        <v>33</v>
      </c>
      <c r="AI4113" s="4">
        <v>33</v>
      </c>
      <c r="AJ4113" s="4">
        <v>13</v>
      </c>
      <c r="AK4113" s="4">
        <v>13</v>
      </c>
      <c r="AL4113" s="4">
        <v>19</v>
      </c>
      <c r="AM4113" s="4">
        <v>19</v>
      </c>
      <c r="AN4113" s="4">
        <v>0</v>
      </c>
      <c r="AO4113" s="4">
        <v>0</v>
      </c>
      <c r="AP4113" s="4">
        <v>16</v>
      </c>
      <c r="AQ4113" s="4">
        <v>16</v>
      </c>
      <c r="AR4113" s="3" t="s">
        <v>62</v>
      </c>
      <c r="AS4113" s="3" t="s">
        <v>62</v>
      </c>
      <c r="AT4113" s="3" t="s">
        <v>62</v>
      </c>
      <c r="AV4113" s="6" t="str">
        <f>HYPERLINK("http://mcgill.on.worldcat.org/oclc/428370886","Catalog Record")</f>
        <v>Catalog Record</v>
      </c>
      <c r="AW4113" s="6" t="str">
        <f>HYPERLINK("http://www.worldcat.org/oclc/428370886","WorldCat Record")</f>
        <v>WorldCat Record</v>
      </c>
      <c r="AX4113" s="3" t="s">
        <v>39558</v>
      </c>
      <c r="AY4113" s="3" t="s">
        <v>39559</v>
      </c>
      <c r="AZ4113" s="3" t="s">
        <v>39560</v>
      </c>
      <c r="BA4113" s="3" t="s">
        <v>39560</v>
      </c>
      <c r="BB4113" s="3" t="s">
        <v>39561</v>
      </c>
      <c r="BC4113" s="3" t="s">
        <v>142</v>
      </c>
      <c r="BD4113" s="3" t="s">
        <v>68</v>
      </c>
      <c r="BE4113" s="3" t="s">
        <v>39562</v>
      </c>
      <c r="BF4113" s="3" t="s">
        <v>39561</v>
      </c>
      <c r="BG4113" s="3" t="s">
        <v>39563</v>
      </c>
    </row>
    <row r="4114" spans="1:59" ht="57" x14ac:dyDescent="0.45">
      <c r="A4114" s="2" t="s">
        <v>59</v>
      </c>
      <c r="B4114" s="2" t="s">
        <v>60</v>
      </c>
      <c r="C4114" s="2" t="s">
        <v>39564</v>
      </c>
      <c r="D4114" s="2" t="s">
        <v>39565</v>
      </c>
      <c r="E4114" s="2" t="s">
        <v>39566</v>
      </c>
      <c r="G4114" s="3" t="s">
        <v>62</v>
      </c>
      <c r="I4114" s="3" t="s">
        <v>62</v>
      </c>
      <c r="J4114" s="3" t="s">
        <v>62</v>
      </c>
      <c r="K4114" s="3" t="s">
        <v>63</v>
      </c>
      <c r="L4114" s="2" t="s">
        <v>39567</v>
      </c>
      <c r="M4114" s="2" t="s">
        <v>18105</v>
      </c>
      <c r="N4114" s="3" t="s">
        <v>1465</v>
      </c>
      <c r="P4114" s="3" t="s">
        <v>65</v>
      </c>
      <c r="Q4114" s="2" t="s">
        <v>39516</v>
      </c>
      <c r="R4114" s="3" t="s">
        <v>66</v>
      </c>
      <c r="S4114" s="4">
        <v>5</v>
      </c>
      <c r="T4114" s="4">
        <v>5</v>
      </c>
      <c r="U4114" s="5" t="s">
        <v>39557</v>
      </c>
      <c r="V4114" s="5" t="s">
        <v>39557</v>
      </c>
      <c r="W4114" s="5" t="s">
        <v>67</v>
      </c>
      <c r="X4114" s="5" t="s">
        <v>67</v>
      </c>
      <c r="Y4114" s="4">
        <v>128</v>
      </c>
      <c r="Z4114" s="4">
        <v>13</v>
      </c>
      <c r="AA4114" s="4">
        <v>21</v>
      </c>
      <c r="AB4114" s="4">
        <v>2</v>
      </c>
      <c r="AC4114" s="4">
        <v>5</v>
      </c>
      <c r="AD4114" s="4">
        <v>60</v>
      </c>
      <c r="AE4114" s="4">
        <v>66</v>
      </c>
      <c r="AF4114" s="4">
        <v>0</v>
      </c>
      <c r="AG4114" s="4">
        <v>1</v>
      </c>
      <c r="AH4114" s="4">
        <v>56</v>
      </c>
      <c r="AI4114" s="4">
        <v>59</v>
      </c>
      <c r="AJ4114" s="4">
        <v>10</v>
      </c>
      <c r="AK4114" s="4">
        <v>13</v>
      </c>
      <c r="AL4114" s="4">
        <v>34</v>
      </c>
      <c r="AM4114" s="4">
        <v>35</v>
      </c>
      <c r="AN4114" s="4">
        <v>0</v>
      </c>
      <c r="AO4114" s="4">
        <v>0</v>
      </c>
      <c r="AP4114" s="4">
        <v>10</v>
      </c>
      <c r="AQ4114" s="4">
        <v>15</v>
      </c>
      <c r="AR4114" s="3" t="s">
        <v>62</v>
      </c>
      <c r="AS4114" s="3" t="s">
        <v>62</v>
      </c>
      <c r="AT4114" s="3" t="s">
        <v>61</v>
      </c>
      <c r="AU4114" s="6" t="str">
        <f>HYPERLINK("http://catalog.hathitrust.org/Record/006769304","HathiTrust Record")</f>
        <v>HathiTrust Record</v>
      </c>
      <c r="AV4114" s="6" t="str">
        <f>HYPERLINK("http://mcgill.on.worldcat.org/oclc/237885882","Catalog Record")</f>
        <v>Catalog Record</v>
      </c>
      <c r="AW4114" s="6" t="str">
        <f>HYPERLINK("http://www.worldcat.org/oclc/237885882","WorldCat Record")</f>
        <v>WorldCat Record</v>
      </c>
      <c r="AX4114" s="3" t="s">
        <v>39568</v>
      </c>
      <c r="AY4114" s="3" t="s">
        <v>39569</v>
      </c>
      <c r="AZ4114" s="3" t="s">
        <v>39570</v>
      </c>
      <c r="BA4114" s="3" t="s">
        <v>39570</v>
      </c>
      <c r="BB4114" s="3" t="s">
        <v>39571</v>
      </c>
      <c r="BC4114" s="3" t="s">
        <v>142</v>
      </c>
      <c r="BD4114" s="3" t="s">
        <v>68</v>
      </c>
      <c r="BE4114" s="3" t="s">
        <v>39572</v>
      </c>
      <c r="BF4114" s="3" t="s">
        <v>39571</v>
      </c>
      <c r="BG4114" s="3" t="s">
        <v>39573</v>
      </c>
    </row>
    <row r="4115" spans="1:59" ht="57" x14ac:dyDescent="0.45">
      <c r="A4115" s="2" t="s">
        <v>59</v>
      </c>
      <c r="B4115" s="2" t="s">
        <v>60</v>
      </c>
      <c r="C4115" s="2" t="s">
        <v>39574</v>
      </c>
      <c r="D4115" s="2" t="s">
        <v>39575</v>
      </c>
      <c r="E4115" s="2" t="s">
        <v>39576</v>
      </c>
      <c r="G4115" s="3" t="s">
        <v>62</v>
      </c>
      <c r="I4115" s="3" t="s">
        <v>62</v>
      </c>
      <c r="J4115" s="3" t="s">
        <v>62</v>
      </c>
      <c r="K4115" s="3" t="s">
        <v>63</v>
      </c>
      <c r="L4115" s="2" t="s">
        <v>39577</v>
      </c>
      <c r="M4115" s="2" t="s">
        <v>38165</v>
      </c>
      <c r="N4115" s="3" t="s">
        <v>820</v>
      </c>
      <c r="P4115" s="3" t="s">
        <v>65</v>
      </c>
      <c r="Q4115" s="2" t="s">
        <v>3375</v>
      </c>
      <c r="R4115" s="3" t="s">
        <v>66</v>
      </c>
      <c r="S4115" s="4">
        <v>6</v>
      </c>
      <c r="T4115" s="4">
        <v>6</v>
      </c>
      <c r="U4115" s="5" t="s">
        <v>14606</v>
      </c>
      <c r="V4115" s="5" t="s">
        <v>14606</v>
      </c>
      <c r="W4115" s="5" t="s">
        <v>67</v>
      </c>
      <c r="X4115" s="5" t="s">
        <v>67</v>
      </c>
      <c r="Y4115" s="4">
        <v>180</v>
      </c>
      <c r="Z4115" s="4">
        <v>22</v>
      </c>
      <c r="AA4115" s="4">
        <v>28</v>
      </c>
      <c r="AB4115" s="4">
        <v>1</v>
      </c>
      <c r="AC4115" s="4">
        <v>5</v>
      </c>
      <c r="AD4115" s="4">
        <v>76</v>
      </c>
      <c r="AE4115" s="4">
        <v>80</v>
      </c>
      <c r="AF4115" s="4">
        <v>0</v>
      </c>
      <c r="AG4115" s="4">
        <v>2</v>
      </c>
      <c r="AH4115" s="4">
        <v>66</v>
      </c>
      <c r="AI4115" s="4">
        <v>68</v>
      </c>
      <c r="AJ4115" s="4">
        <v>15</v>
      </c>
      <c r="AK4115" s="4">
        <v>17</v>
      </c>
      <c r="AL4115" s="4">
        <v>38</v>
      </c>
      <c r="AM4115" s="4">
        <v>38</v>
      </c>
      <c r="AN4115" s="4">
        <v>0</v>
      </c>
      <c r="AO4115" s="4">
        <v>0</v>
      </c>
      <c r="AP4115" s="4">
        <v>17</v>
      </c>
      <c r="AQ4115" s="4">
        <v>19</v>
      </c>
      <c r="AR4115" s="3" t="s">
        <v>62</v>
      </c>
      <c r="AS4115" s="3" t="s">
        <v>62</v>
      </c>
      <c r="AT4115" s="3" t="s">
        <v>62</v>
      </c>
      <c r="AV4115" s="6" t="str">
        <f>HYPERLINK("http://mcgill.on.worldcat.org/oclc/122283904","Catalog Record")</f>
        <v>Catalog Record</v>
      </c>
      <c r="AW4115" s="6" t="str">
        <f>HYPERLINK("http://www.worldcat.org/oclc/122283904","WorldCat Record")</f>
        <v>WorldCat Record</v>
      </c>
      <c r="AX4115" s="3" t="s">
        <v>39578</v>
      </c>
      <c r="AY4115" s="3" t="s">
        <v>39579</v>
      </c>
      <c r="AZ4115" s="3" t="s">
        <v>39580</v>
      </c>
      <c r="BA4115" s="3" t="s">
        <v>39580</v>
      </c>
      <c r="BB4115" s="3" t="s">
        <v>39581</v>
      </c>
      <c r="BC4115" s="3" t="s">
        <v>142</v>
      </c>
      <c r="BD4115" s="3" t="s">
        <v>68</v>
      </c>
      <c r="BE4115" s="3" t="s">
        <v>39582</v>
      </c>
      <c r="BF4115" s="3" t="s">
        <v>39581</v>
      </c>
      <c r="BG4115" s="3" t="s">
        <v>39583</v>
      </c>
    </row>
    <row r="4116" spans="1:59" ht="57" x14ac:dyDescent="0.45">
      <c r="A4116" s="2" t="s">
        <v>59</v>
      </c>
      <c r="B4116" s="2" t="s">
        <v>60</v>
      </c>
      <c r="C4116" s="2" t="s">
        <v>39584</v>
      </c>
      <c r="D4116" s="2" t="s">
        <v>39585</v>
      </c>
      <c r="E4116" s="2" t="s">
        <v>39586</v>
      </c>
      <c r="G4116" s="3" t="s">
        <v>62</v>
      </c>
      <c r="I4116" s="3" t="s">
        <v>62</v>
      </c>
      <c r="J4116" s="3" t="s">
        <v>62</v>
      </c>
      <c r="K4116" s="3" t="s">
        <v>63</v>
      </c>
      <c r="L4116" s="2" t="s">
        <v>39587</v>
      </c>
      <c r="M4116" s="2" t="s">
        <v>10680</v>
      </c>
      <c r="N4116" s="3" t="s">
        <v>807</v>
      </c>
      <c r="P4116" s="3" t="s">
        <v>65</v>
      </c>
      <c r="R4116" s="3" t="s">
        <v>66</v>
      </c>
      <c r="S4116" s="4">
        <v>37</v>
      </c>
      <c r="T4116" s="4">
        <v>37</v>
      </c>
      <c r="U4116" s="5" t="s">
        <v>1663</v>
      </c>
      <c r="V4116" s="5" t="s">
        <v>1663</v>
      </c>
      <c r="W4116" s="5" t="s">
        <v>67</v>
      </c>
      <c r="X4116" s="5" t="s">
        <v>67</v>
      </c>
      <c r="Y4116" s="4">
        <v>197</v>
      </c>
      <c r="Z4116" s="4">
        <v>14</v>
      </c>
      <c r="AA4116" s="4">
        <v>15</v>
      </c>
      <c r="AB4116" s="4">
        <v>2</v>
      </c>
      <c r="AC4116" s="4">
        <v>3</v>
      </c>
      <c r="AD4116" s="4">
        <v>81</v>
      </c>
      <c r="AE4116" s="4">
        <v>83</v>
      </c>
      <c r="AF4116" s="4">
        <v>1</v>
      </c>
      <c r="AG4116" s="4">
        <v>2</v>
      </c>
      <c r="AH4116" s="4">
        <v>73</v>
      </c>
      <c r="AI4116" s="4">
        <v>74</v>
      </c>
      <c r="AJ4116" s="4">
        <v>9</v>
      </c>
      <c r="AK4116" s="4">
        <v>10</v>
      </c>
      <c r="AL4116" s="4">
        <v>43</v>
      </c>
      <c r="AM4116" s="4">
        <v>43</v>
      </c>
      <c r="AN4116" s="4">
        <v>0</v>
      </c>
      <c r="AO4116" s="4">
        <v>0</v>
      </c>
      <c r="AP4116" s="4">
        <v>12</v>
      </c>
      <c r="AQ4116" s="4">
        <v>12</v>
      </c>
      <c r="AR4116" s="3" t="s">
        <v>62</v>
      </c>
      <c r="AS4116" s="3" t="s">
        <v>62</v>
      </c>
      <c r="AT4116" s="3" t="s">
        <v>61</v>
      </c>
      <c r="AU4116" s="6" t="str">
        <f>HYPERLINK("http://catalog.hathitrust.org/Record/002594990","HathiTrust Record")</f>
        <v>HathiTrust Record</v>
      </c>
      <c r="AV4116" s="6" t="str">
        <f>HYPERLINK("http://mcgill.on.worldcat.org/oclc/22911555","Catalog Record")</f>
        <v>Catalog Record</v>
      </c>
      <c r="AW4116" s="6" t="str">
        <f>HYPERLINK("http://www.worldcat.org/oclc/22911555","WorldCat Record")</f>
        <v>WorldCat Record</v>
      </c>
      <c r="AX4116" s="3" t="s">
        <v>39588</v>
      </c>
      <c r="AY4116" s="3" t="s">
        <v>39589</v>
      </c>
      <c r="AZ4116" s="3" t="s">
        <v>39590</v>
      </c>
      <c r="BA4116" s="3" t="s">
        <v>39590</v>
      </c>
      <c r="BB4116" s="3" t="s">
        <v>39591</v>
      </c>
      <c r="BC4116" s="3" t="s">
        <v>142</v>
      </c>
      <c r="BD4116" s="3" t="s">
        <v>68</v>
      </c>
      <c r="BE4116" s="3" t="s">
        <v>39592</v>
      </c>
      <c r="BF4116" s="3" t="s">
        <v>39591</v>
      </c>
      <c r="BG4116" s="3" t="s">
        <v>39593</v>
      </c>
    </row>
    <row r="4117" spans="1:59" ht="57" x14ac:dyDescent="0.45">
      <c r="A4117" s="2" t="s">
        <v>59</v>
      </c>
      <c r="B4117" s="2" t="s">
        <v>60</v>
      </c>
      <c r="C4117" s="2" t="s">
        <v>39594</v>
      </c>
      <c r="D4117" s="2" t="s">
        <v>39595</v>
      </c>
      <c r="E4117" s="2" t="s">
        <v>39596</v>
      </c>
      <c r="G4117" s="3" t="s">
        <v>62</v>
      </c>
      <c r="I4117" s="3" t="s">
        <v>62</v>
      </c>
      <c r="J4117" s="3" t="s">
        <v>62</v>
      </c>
      <c r="K4117" s="3" t="s">
        <v>63</v>
      </c>
      <c r="M4117" s="2" t="s">
        <v>2654</v>
      </c>
      <c r="N4117" s="3" t="s">
        <v>820</v>
      </c>
      <c r="P4117" s="3" t="s">
        <v>65</v>
      </c>
      <c r="R4117" s="3" t="s">
        <v>66</v>
      </c>
      <c r="S4117" s="4">
        <v>4</v>
      </c>
      <c r="T4117" s="4">
        <v>4</v>
      </c>
      <c r="U4117" s="5" t="s">
        <v>11578</v>
      </c>
      <c r="V4117" s="5" t="s">
        <v>11578</v>
      </c>
      <c r="W4117" s="5" t="s">
        <v>67</v>
      </c>
      <c r="X4117" s="5" t="s">
        <v>67</v>
      </c>
      <c r="Y4117" s="4">
        <v>290</v>
      </c>
      <c r="Z4117" s="4">
        <v>12</v>
      </c>
      <c r="AA4117" s="4">
        <v>104</v>
      </c>
      <c r="AB4117" s="4">
        <v>1</v>
      </c>
      <c r="AC4117" s="4">
        <v>21</v>
      </c>
      <c r="AD4117" s="4">
        <v>85</v>
      </c>
      <c r="AE4117" s="4">
        <v>146</v>
      </c>
      <c r="AF4117" s="4">
        <v>0</v>
      </c>
      <c r="AG4117" s="4">
        <v>9</v>
      </c>
      <c r="AH4117" s="4">
        <v>82</v>
      </c>
      <c r="AI4117" s="4">
        <v>102</v>
      </c>
      <c r="AJ4117" s="4">
        <v>9</v>
      </c>
      <c r="AK4117" s="4">
        <v>25</v>
      </c>
      <c r="AL4117" s="4">
        <v>52</v>
      </c>
      <c r="AM4117" s="4">
        <v>56</v>
      </c>
      <c r="AN4117" s="4">
        <v>0</v>
      </c>
      <c r="AO4117" s="4">
        <v>0</v>
      </c>
      <c r="AP4117" s="4">
        <v>9</v>
      </c>
      <c r="AQ4117" s="4">
        <v>54</v>
      </c>
      <c r="AR4117" s="3" t="s">
        <v>62</v>
      </c>
      <c r="AS4117" s="3" t="s">
        <v>62</v>
      </c>
      <c r="AT4117" s="3" t="s">
        <v>61</v>
      </c>
      <c r="AU4117" s="6" t="str">
        <f>HYPERLINK("http://catalog.hathitrust.org/Record/005653733","HathiTrust Record")</f>
        <v>HathiTrust Record</v>
      </c>
      <c r="AV4117" s="6" t="str">
        <f>HYPERLINK("http://mcgill.on.worldcat.org/oclc/173659535","Catalog Record")</f>
        <v>Catalog Record</v>
      </c>
      <c r="AW4117" s="6" t="str">
        <f>HYPERLINK("http://www.worldcat.org/oclc/173659535","WorldCat Record")</f>
        <v>WorldCat Record</v>
      </c>
      <c r="AX4117" s="3" t="s">
        <v>39597</v>
      </c>
      <c r="AY4117" s="3" t="s">
        <v>39598</v>
      </c>
      <c r="AZ4117" s="3" t="s">
        <v>39599</v>
      </c>
      <c r="BA4117" s="3" t="s">
        <v>39599</v>
      </c>
      <c r="BB4117" s="3" t="s">
        <v>39600</v>
      </c>
      <c r="BC4117" s="3" t="s">
        <v>142</v>
      </c>
      <c r="BD4117" s="3" t="s">
        <v>68</v>
      </c>
      <c r="BE4117" s="3" t="s">
        <v>39601</v>
      </c>
      <c r="BF4117" s="3" t="s">
        <v>39600</v>
      </c>
      <c r="BG4117" s="3" t="s">
        <v>39602</v>
      </c>
    </row>
    <row r="4118" spans="1:59" ht="57" x14ac:dyDescent="0.45">
      <c r="A4118" s="2" t="s">
        <v>59</v>
      </c>
      <c r="B4118" s="2" t="s">
        <v>60</v>
      </c>
      <c r="C4118" s="2" t="s">
        <v>39603</v>
      </c>
      <c r="D4118" s="2" t="s">
        <v>39604</v>
      </c>
      <c r="E4118" s="2" t="s">
        <v>39605</v>
      </c>
      <c r="G4118" s="3" t="s">
        <v>62</v>
      </c>
      <c r="I4118" s="3" t="s">
        <v>62</v>
      </c>
      <c r="J4118" s="3" t="s">
        <v>62</v>
      </c>
      <c r="K4118" s="3" t="s">
        <v>63</v>
      </c>
      <c r="M4118" s="2" t="s">
        <v>3172</v>
      </c>
      <c r="N4118" s="3" t="s">
        <v>149</v>
      </c>
      <c r="P4118" s="3" t="s">
        <v>65</v>
      </c>
      <c r="R4118" s="3" t="s">
        <v>66</v>
      </c>
      <c r="S4118" s="4">
        <v>5</v>
      </c>
      <c r="T4118" s="4">
        <v>5</v>
      </c>
      <c r="U4118" s="5" t="s">
        <v>3809</v>
      </c>
      <c r="V4118" s="5" t="s">
        <v>3809</v>
      </c>
      <c r="W4118" s="5" t="s">
        <v>67</v>
      </c>
      <c r="X4118" s="5" t="s">
        <v>67</v>
      </c>
      <c r="Y4118" s="4">
        <v>64</v>
      </c>
      <c r="Z4118" s="4">
        <v>10</v>
      </c>
      <c r="AA4118" s="4">
        <v>11</v>
      </c>
      <c r="AB4118" s="4">
        <v>2</v>
      </c>
      <c r="AC4118" s="4">
        <v>3</v>
      </c>
      <c r="AD4118" s="4">
        <v>35</v>
      </c>
      <c r="AE4118" s="4">
        <v>36</v>
      </c>
      <c r="AF4118" s="4">
        <v>1</v>
      </c>
      <c r="AG4118" s="4">
        <v>2</v>
      </c>
      <c r="AH4118" s="4">
        <v>31</v>
      </c>
      <c r="AI4118" s="4">
        <v>32</v>
      </c>
      <c r="AJ4118" s="4">
        <v>9</v>
      </c>
      <c r="AK4118" s="4">
        <v>10</v>
      </c>
      <c r="AL4118" s="4">
        <v>20</v>
      </c>
      <c r="AM4118" s="4">
        <v>20</v>
      </c>
      <c r="AN4118" s="4">
        <v>0</v>
      </c>
      <c r="AO4118" s="4">
        <v>0</v>
      </c>
      <c r="AP4118" s="4">
        <v>9</v>
      </c>
      <c r="AQ4118" s="4">
        <v>10</v>
      </c>
      <c r="AR4118" s="3" t="s">
        <v>62</v>
      </c>
      <c r="AS4118" s="3" t="s">
        <v>62</v>
      </c>
      <c r="AT4118" s="3" t="s">
        <v>62</v>
      </c>
      <c r="AV4118" s="6" t="str">
        <f>HYPERLINK("http://mcgill.on.worldcat.org/oclc/656784534","Catalog Record")</f>
        <v>Catalog Record</v>
      </c>
      <c r="AW4118" s="6" t="str">
        <f>HYPERLINK("http://www.worldcat.org/oclc/656784534","WorldCat Record")</f>
        <v>WorldCat Record</v>
      </c>
      <c r="AX4118" s="3" t="s">
        <v>39606</v>
      </c>
      <c r="AY4118" s="3" t="s">
        <v>39607</v>
      </c>
      <c r="AZ4118" s="3" t="s">
        <v>39608</v>
      </c>
      <c r="BA4118" s="3" t="s">
        <v>39608</v>
      </c>
      <c r="BB4118" s="3" t="s">
        <v>39609</v>
      </c>
      <c r="BC4118" s="3" t="s">
        <v>142</v>
      </c>
      <c r="BD4118" s="3" t="s">
        <v>68</v>
      </c>
      <c r="BE4118" s="3" t="s">
        <v>39610</v>
      </c>
      <c r="BF4118" s="3" t="s">
        <v>39609</v>
      </c>
      <c r="BG4118" s="3" t="s">
        <v>39611</v>
      </c>
    </row>
    <row r="4119" spans="1:59" ht="71.25" x14ac:dyDescent="0.45">
      <c r="A4119" s="2" t="s">
        <v>59</v>
      </c>
      <c r="B4119" s="2" t="s">
        <v>60</v>
      </c>
      <c r="C4119" s="2" t="s">
        <v>39612</v>
      </c>
      <c r="D4119" s="2" t="s">
        <v>39613</v>
      </c>
      <c r="E4119" s="2" t="s">
        <v>39614</v>
      </c>
      <c r="G4119" s="3" t="s">
        <v>62</v>
      </c>
      <c r="I4119" s="3" t="s">
        <v>62</v>
      </c>
      <c r="J4119" s="3" t="s">
        <v>62</v>
      </c>
      <c r="K4119" s="3" t="s">
        <v>63</v>
      </c>
      <c r="M4119" s="2" t="s">
        <v>39615</v>
      </c>
      <c r="N4119" s="3" t="s">
        <v>1097</v>
      </c>
      <c r="P4119" s="3" t="s">
        <v>110</v>
      </c>
      <c r="Q4119" s="2" t="s">
        <v>39616</v>
      </c>
      <c r="R4119" s="3" t="s">
        <v>66</v>
      </c>
      <c r="S4119" s="4">
        <v>11</v>
      </c>
      <c r="T4119" s="4">
        <v>11</v>
      </c>
      <c r="U4119" s="5" t="s">
        <v>39617</v>
      </c>
      <c r="V4119" s="5" t="s">
        <v>39617</v>
      </c>
      <c r="W4119" s="5" t="s">
        <v>67</v>
      </c>
      <c r="X4119" s="5" t="s">
        <v>67</v>
      </c>
      <c r="Y4119" s="4">
        <v>6</v>
      </c>
      <c r="Z4119" s="4">
        <v>6</v>
      </c>
      <c r="AA4119" s="4">
        <v>6</v>
      </c>
      <c r="AB4119" s="4">
        <v>5</v>
      </c>
      <c r="AC4119" s="4">
        <v>5</v>
      </c>
      <c r="AD4119" s="4">
        <v>3</v>
      </c>
      <c r="AE4119" s="4">
        <v>3</v>
      </c>
      <c r="AF4119" s="4">
        <v>2</v>
      </c>
      <c r="AG4119" s="4">
        <v>2</v>
      </c>
      <c r="AH4119" s="4">
        <v>2</v>
      </c>
      <c r="AI4119" s="4">
        <v>2</v>
      </c>
      <c r="AJ4119" s="4">
        <v>3</v>
      </c>
      <c r="AK4119" s="4">
        <v>3</v>
      </c>
      <c r="AL4119" s="4">
        <v>0</v>
      </c>
      <c r="AM4119" s="4">
        <v>0</v>
      </c>
      <c r="AN4119" s="4">
        <v>0</v>
      </c>
      <c r="AO4119" s="4">
        <v>0</v>
      </c>
      <c r="AP4119" s="4">
        <v>3</v>
      </c>
      <c r="AQ4119" s="4">
        <v>3</v>
      </c>
      <c r="AR4119" s="3" t="s">
        <v>61</v>
      </c>
      <c r="AS4119" s="3" t="s">
        <v>62</v>
      </c>
      <c r="AT4119" s="3" t="s">
        <v>62</v>
      </c>
      <c r="AV4119" s="6" t="str">
        <f>HYPERLINK("http://mcgill.on.worldcat.org/oclc/56361662","Catalog Record")</f>
        <v>Catalog Record</v>
      </c>
      <c r="AW4119" s="6" t="str">
        <f>HYPERLINK("http://www.worldcat.org/oclc/56361662","WorldCat Record")</f>
        <v>WorldCat Record</v>
      </c>
      <c r="AX4119" s="3" t="s">
        <v>39618</v>
      </c>
      <c r="AY4119" s="3" t="s">
        <v>39619</v>
      </c>
      <c r="AZ4119" s="3" t="s">
        <v>39620</v>
      </c>
      <c r="BA4119" s="3" t="s">
        <v>39620</v>
      </c>
      <c r="BB4119" s="3" t="s">
        <v>39621</v>
      </c>
      <c r="BC4119" s="3" t="s">
        <v>142</v>
      </c>
      <c r="BD4119" s="3" t="s">
        <v>68</v>
      </c>
      <c r="BF4119" s="3" t="s">
        <v>39621</v>
      </c>
      <c r="BG4119" s="3" t="s">
        <v>39622</v>
      </c>
    </row>
    <row r="4120" spans="1:59" ht="57" x14ac:dyDescent="0.45">
      <c r="A4120" s="2" t="s">
        <v>59</v>
      </c>
      <c r="B4120" s="2" t="s">
        <v>60</v>
      </c>
      <c r="C4120" s="2" t="s">
        <v>39623</v>
      </c>
      <c r="D4120" s="2" t="s">
        <v>39624</v>
      </c>
      <c r="E4120" s="2" t="s">
        <v>39625</v>
      </c>
      <c r="G4120" s="3" t="s">
        <v>62</v>
      </c>
      <c r="I4120" s="3" t="s">
        <v>62</v>
      </c>
      <c r="J4120" s="3" t="s">
        <v>62</v>
      </c>
      <c r="K4120" s="3" t="s">
        <v>63</v>
      </c>
      <c r="M4120" s="2" t="s">
        <v>38498</v>
      </c>
      <c r="N4120" s="3" t="s">
        <v>945</v>
      </c>
      <c r="P4120" s="3" t="s">
        <v>65</v>
      </c>
      <c r="R4120" s="3" t="s">
        <v>66</v>
      </c>
      <c r="S4120" s="4">
        <v>27</v>
      </c>
      <c r="T4120" s="4">
        <v>27</v>
      </c>
      <c r="U4120" s="5" t="s">
        <v>6427</v>
      </c>
      <c r="V4120" s="5" t="s">
        <v>6427</v>
      </c>
      <c r="W4120" s="5" t="s">
        <v>67</v>
      </c>
      <c r="X4120" s="5" t="s">
        <v>67</v>
      </c>
      <c r="Y4120" s="4">
        <v>227</v>
      </c>
      <c r="Z4120" s="4">
        <v>20</v>
      </c>
      <c r="AA4120" s="4">
        <v>23</v>
      </c>
      <c r="AB4120" s="4">
        <v>1</v>
      </c>
      <c r="AC4120" s="4">
        <v>4</v>
      </c>
      <c r="AD4120" s="4">
        <v>84</v>
      </c>
      <c r="AE4120" s="4">
        <v>85</v>
      </c>
      <c r="AF4120" s="4">
        <v>0</v>
      </c>
      <c r="AG4120" s="4">
        <v>0</v>
      </c>
      <c r="AH4120" s="4">
        <v>75</v>
      </c>
      <c r="AI4120" s="4">
        <v>76</v>
      </c>
      <c r="AJ4120" s="4">
        <v>14</v>
      </c>
      <c r="AK4120" s="4">
        <v>14</v>
      </c>
      <c r="AL4120" s="4">
        <v>43</v>
      </c>
      <c r="AM4120" s="4">
        <v>43</v>
      </c>
      <c r="AN4120" s="4">
        <v>0</v>
      </c>
      <c r="AO4120" s="4">
        <v>0</v>
      </c>
      <c r="AP4120" s="4">
        <v>17</v>
      </c>
      <c r="AQ4120" s="4">
        <v>17</v>
      </c>
      <c r="AR4120" s="3" t="s">
        <v>62</v>
      </c>
      <c r="AS4120" s="3" t="s">
        <v>62</v>
      </c>
      <c r="AT4120" s="3" t="s">
        <v>62</v>
      </c>
      <c r="AV4120" s="6" t="str">
        <f>HYPERLINK("http://mcgill.on.worldcat.org/oclc/63390633","Catalog Record")</f>
        <v>Catalog Record</v>
      </c>
      <c r="AW4120" s="6" t="str">
        <f>HYPERLINK("http://www.worldcat.org/oclc/63390633","WorldCat Record")</f>
        <v>WorldCat Record</v>
      </c>
      <c r="AX4120" s="3" t="s">
        <v>39626</v>
      </c>
      <c r="AY4120" s="3" t="s">
        <v>39627</v>
      </c>
      <c r="AZ4120" s="3" t="s">
        <v>39628</v>
      </c>
      <c r="BA4120" s="3" t="s">
        <v>39628</v>
      </c>
      <c r="BB4120" s="3" t="s">
        <v>39629</v>
      </c>
      <c r="BC4120" s="3" t="s">
        <v>142</v>
      </c>
      <c r="BD4120" s="3" t="s">
        <v>68</v>
      </c>
      <c r="BE4120" s="3" t="s">
        <v>39630</v>
      </c>
      <c r="BF4120" s="3" t="s">
        <v>39629</v>
      </c>
      <c r="BG4120" s="3" t="s">
        <v>39631</v>
      </c>
    </row>
    <row r="4121" spans="1:59" ht="57" x14ac:dyDescent="0.45">
      <c r="A4121" s="2" t="s">
        <v>59</v>
      </c>
      <c r="B4121" s="2" t="s">
        <v>60</v>
      </c>
      <c r="C4121" s="2" t="s">
        <v>39632</v>
      </c>
      <c r="D4121" s="2" t="s">
        <v>39633</v>
      </c>
      <c r="E4121" s="2" t="s">
        <v>39634</v>
      </c>
      <c r="G4121" s="3" t="s">
        <v>62</v>
      </c>
      <c r="I4121" s="3" t="s">
        <v>62</v>
      </c>
      <c r="J4121" s="3" t="s">
        <v>62</v>
      </c>
      <c r="K4121" s="3" t="s">
        <v>63</v>
      </c>
      <c r="L4121" s="2" t="s">
        <v>39635</v>
      </c>
      <c r="M4121" s="2" t="s">
        <v>39636</v>
      </c>
      <c r="N4121" s="3" t="s">
        <v>1155</v>
      </c>
      <c r="P4121" s="3" t="s">
        <v>65</v>
      </c>
      <c r="Q4121" s="2" t="s">
        <v>39637</v>
      </c>
      <c r="R4121" s="3" t="s">
        <v>66</v>
      </c>
      <c r="S4121" s="4">
        <v>4</v>
      </c>
      <c r="T4121" s="4">
        <v>4</v>
      </c>
      <c r="U4121" s="5" t="s">
        <v>39638</v>
      </c>
      <c r="V4121" s="5" t="s">
        <v>39638</v>
      </c>
      <c r="W4121" s="5" t="s">
        <v>67</v>
      </c>
      <c r="X4121" s="5" t="s">
        <v>67</v>
      </c>
      <c r="Y4121" s="4">
        <v>116</v>
      </c>
      <c r="Z4121" s="4">
        <v>15</v>
      </c>
      <c r="AA4121" s="4">
        <v>65</v>
      </c>
      <c r="AB4121" s="4">
        <v>1</v>
      </c>
      <c r="AC4121" s="4">
        <v>7</v>
      </c>
      <c r="AD4121" s="4">
        <v>50</v>
      </c>
      <c r="AE4121" s="4">
        <v>71</v>
      </c>
      <c r="AF4121" s="4">
        <v>0</v>
      </c>
      <c r="AG4121" s="4">
        <v>1</v>
      </c>
      <c r="AH4121" s="4">
        <v>46</v>
      </c>
      <c r="AI4121" s="4">
        <v>55</v>
      </c>
      <c r="AJ4121" s="4">
        <v>12</v>
      </c>
      <c r="AK4121" s="4">
        <v>16</v>
      </c>
      <c r="AL4121" s="4">
        <v>29</v>
      </c>
      <c r="AM4121" s="4">
        <v>34</v>
      </c>
      <c r="AN4121" s="4">
        <v>0</v>
      </c>
      <c r="AO4121" s="4">
        <v>0</v>
      </c>
      <c r="AP4121" s="4">
        <v>13</v>
      </c>
      <c r="AQ4121" s="4">
        <v>24</v>
      </c>
      <c r="AR4121" s="3" t="s">
        <v>62</v>
      </c>
      <c r="AS4121" s="3" t="s">
        <v>62</v>
      </c>
      <c r="AT4121" s="3" t="s">
        <v>62</v>
      </c>
      <c r="AV4121" s="6" t="str">
        <f>HYPERLINK("http://mcgill.on.worldcat.org/oclc/751735908","Catalog Record")</f>
        <v>Catalog Record</v>
      </c>
      <c r="AW4121" s="6" t="str">
        <f>HYPERLINK("http://www.worldcat.org/oclc/751735908","WorldCat Record")</f>
        <v>WorldCat Record</v>
      </c>
      <c r="AX4121" s="3" t="s">
        <v>39639</v>
      </c>
      <c r="AY4121" s="3" t="s">
        <v>39640</v>
      </c>
      <c r="AZ4121" s="3" t="s">
        <v>39641</v>
      </c>
      <c r="BA4121" s="3" t="s">
        <v>39641</v>
      </c>
      <c r="BB4121" s="3" t="s">
        <v>39642</v>
      </c>
      <c r="BC4121" s="3" t="s">
        <v>142</v>
      </c>
      <c r="BD4121" s="3" t="s">
        <v>68</v>
      </c>
      <c r="BE4121" s="3" t="s">
        <v>39643</v>
      </c>
      <c r="BF4121" s="3" t="s">
        <v>39642</v>
      </c>
      <c r="BG4121" s="3" t="s">
        <v>39644</v>
      </c>
    </row>
    <row r="4122" spans="1:59" ht="57" x14ac:dyDescent="0.45">
      <c r="A4122" s="2" t="s">
        <v>59</v>
      </c>
      <c r="B4122" s="2" t="s">
        <v>60</v>
      </c>
      <c r="C4122" s="2" t="s">
        <v>39645</v>
      </c>
      <c r="D4122" s="2" t="s">
        <v>39646</v>
      </c>
      <c r="E4122" s="2" t="s">
        <v>39647</v>
      </c>
      <c r="G4122" s="3" t="s">
        <v>62</v>
      </c>
      <c r="I4122" s="3" t="s">
        <v>62</v>
      </c>
      <c r="J4122" s="3" t="s">
        <v>62</v>
      </c>
      <c r="K4122" s="3" t="s">
        <v>63</v>
      </c>
      <c r="M4122" s="2" t="s">
        <v>39648</v>
      </c>
      <c r="N4122" s="3" t="s">
        <v>1155</v>
      </c>
      <c r="P4122" s="3" t="s">
        <v>65</v>
      </c>
      <c r="Q4122" s="2" t="s">
        <v>39649</v>
      </c>
      <c r="R4122" s="3" t="s">
        <v>66</v>
      </c>
      <c r="S4122" s="4">
        <v>0</v>
      </c>
      <c r="T4122" s="4">
        <v>0</v>
      </c>
      <c r="W4122" s="5" t="s">
        <v>67</v>
      </c>
      <c r="X4122" s="5" t="s">
        <v>67</v>
      </c>
      <c r="Y4122" s="4">
        <v>67</v>
      </c>
      <c r="Z4122" s="4">
        <v>7</v>
      </c>
      <c r="AA4122" s="4">
        <v>28</v>
      </c>
      <c r="AB4122" s="4">
        <v>1</v>
      </c>
      <c r="AC4122" s="4">
        <v>4</v>
      </c>
      <c r="AD4122" s="4">
        <v>31</v>
      </c>
      <c r="AE4122" s="4">
        <v>73</v>
      </c>
      <c r="AF4122" s="4">
        <v>0</v>
      </c>
      <c r="AG4122" s="4">
        <v>1</v>
      </c>
      <c r="AH4122" s="4">
        <v>31</v>
      </c>
      <c r="AI4122" s="4">
        <v>62</v>
      </c>
      <c r="AJ4122" s="4">
        <v>5</v>
      </c>
      <c r="AK4122" s="4">
        <v>11</v>
      </c>
      <c r="AL4122" s="4">
        <v>22</v>
      </c>
      <c r="AM4122" s="4">
        <v>36</v>
      </c>
      <c r="AN4122" s="4">
        <v>0</v>
      </c>
      <c r="AO4122" s="4">
        <v>0</v>
      </c>
      <c r="AP4122" s="4">
        <v>5</v>
      </c>
      <c r="AQ4122" s="4">
        <v>18</v>
      </c>
      <c r="AR4122" s="3" t="s">
        <v>62</v>
      </c>
      <c r="AS4122" s="3" t="s">
        <v>62</v>
      </c>
      <c r="AT4122" s="3" t="s">
        <v>62</v>
      </c>
      <c r="AV4122" s="6" t="str">
        <f>HYPERLINK("http://mcgill.on.worldcat.org/oclc/752471924","Catalog Record")</f>
        <v>Catalog Record</v>
      </c>
      <c r="AW4122" s="6" t="str">
        <f>HYPERLINK("http://www.worldcat.org/oclc/752471924","WorldCat Record")</f>
        <v>WorldCat Record</v>
      </c>
      <c r="AX4122" s="3" t="s">
        <v>39650</v>
      </c>
      <c r="AY4122" s="3" t="s">
        <v>39651</v>
      </c>
      <c r="AZ4122" s="3" t="s">
        <v>39652</v>
      </c>
      <c r="BA4122" s="3" t="s">
        <v>39652</v>
      </c>
      <c r="BB4122" s="3" t="s">
        <v>39653</v>
      </c>
      <c r="BC4122" s="3" t="s">
        <v>142</v>
      </c>
      <c r="BD4122" s="3" t="s">
        <v>68</v>
      </c>
      <c r="BE4122" s="3" t="s">
        <v>39654</v>
      </c>
      <c r="BF4122" s="3" t="s">
        <v>39653</v>
      </c>
      <c r="BG4122" s="3" t="s">
        <v>39655</v>
      </c>
    </row>
    <row r="4123" spans="1:59" ht="57" x14ac:dyDescent="0.45">
      <c r="A4123" s="2" t="s">
        <v>59</v>
      </c>
      <c r="B4123" s="2" t="s">
        <v>60</v>
      </c>
      <c r="C4123" s="2" t="s">
        <v>39656</v>
      </c>
      <c r="D4123" s="2" t="s">
        <v>39657</v>
      </c>
      <c r="E4123" s="2" t="s">
        <v>39658</v>
      </c>
      <c r="G4123" s="3" t="s">
        <v>62</v>
      </c>
      <c r="I4123" s="3" t="s">
        <v>62</v>
      </c>
      <c r="J4123" s="3" t="s">
        <v>62</v>
      </c>
      <c r="K4123" s="3" t="s">
        <v>63</v>
      </c>
      <c r="L4123" s="2" t="s">
        <v>39659</v>
      </c>
      <c r="M4123" s="2" t="s">
        <v>39660</v>
      </c>
      <c r="N4123" s="3" t="s">
        <v>894</v>
      </c>
      <c r="P4123" s="3" t="s">
        <v>110</v>
      </c>
      <c r="R4123" s="3" t="s">
        <v>66</v>
      </c>
      <c r="S4123" s="4">
        <v>1</v>
      </c>
      <c r="T4123" s="4">
        <v>1</v>
      </c>
      <c r="U4123" s="5" t="s">
        <v>22060</v>
      </c>
      <c r="V4123" s="5" t="s">
        <v>22060</v>
      </c>
      <c r="W4123" s="5" t="s">
        <v>67</v>
      </c>
      <c r="X4123" s="5" t="s">
        <v>67</v>
      </c>
      <c r="Y4123" s="4">
        <v>9</v>
      </c>
      <c r="Z4123" s="4">
        <v>3</v>
      </c>
      <c r="AA4123" s="4">
        <v>16</v>
      </c>
      <c r="AB4123" s="4">
        <v>1</v>
      </c>
      <c r="AC4123" s="4">
        <v>9</v>
      </c>
      <c r="AD4123" s="4">
        <v>6</v>
      </c>
      <c r="AE4123" s="4">
        <v>14</v>
      </c>
      <c r="AF4123" s="4">
        <v>0</v>
      </c>
      <c r="AG4123" s="4">
        <v>4</v>
      </c>
      <c r="AH4123" s="4">
        <v>6</v>
      </c>
      <c r="AI4123" s="4">
        <v>8</v>
      </c>
      <c r="AJ4123" s="4">
        <v>2</v>
      </c>
      <c r="AK4123" s="4">
        <v>9</v>
      </c>
      <c r="AL4123" s="4">
        <v>3</v>
      </c>
      <c r="AM4123" s="4">
        <v>3</v>
      </c>
      <c r="AN4123" s="4">
        <v>0</v>
      </c>
      <c r="AO4123" s="4">
        <v>0</v>
      </c>
      <c r="AP4123" s="4">
        <v>2</v>
      </c>
      <c r="AQ4123" s="4">
        <v>7</v>
      </c>
      <c r="AR4123" s="3" t="s">
        <v>61</v>
      </c>
      <c r="AS4123" s="3" t="s">
        <v>62</v>
      </c>
      <c r="AT4123" s="3" t="s">
        <v>62</v>
      </c>
      <c r="AV4123" s="6" t="str">
        <f>HYPERLINK("http://mcgill.on.worldcat.org/oclc/767261768","Catalog Record")</f>
        <v>Catalog Record</v>
      </c>
      <c r="AW4123" s="6" t="str">
        <f>HYPERLINK("http://www.worldcat.org/oclc/767261768","WorldCat Record")</f>
        <v>WorldCat Record</v>
      </c>
      <c r="AX4123" s="3" t="s">
        <v>39661</v>
      </c>
      <c r="AY4123" s="3" t="s">
        <v>39662</v>
      </c>
      <c r="AZ4123" s="3" t="s">
        <v>39663</v>
      </c>
      <c r="BA4123" s="3" t="s">
        <v>39663</v>
      </c>
      <c r="BB4123" s="3" t="s">
        <v>39664</v>
      </c>
      <c r="BC4123" s="3" t="s">
        <v>142</v>
      </c>
      <c r="BD4123" s="3" t="s">
        <v>68</v>
      </c>
      <c r="BE4123" s="3" t="s">
        <v>39665</v>
      </c>
      <c r="BF4123" s="3" t="s">
        <v>39664</v>
      </c>
      <c r="BG4123" s="3" t="s">
        <v>39666</v>
      </c>
    </row>
    <row r="4124" spans="1:59" ht="57" x14ac:dyDescent="0.45">
      <c r="A4124" s="2" t="s">
        <v>59</v>
      </c>
      <c r="B4124" s="2" t="s">
        <v>60</v>
      </c>
      <c r="C4124" s="2" t="s">
        <v>39667</v>
      </c>
      <c r="D4124" s="2" t="s">
        <v>39668</v>
      </c>
      <c r="E4124" s="2" t="s">
        <v>39669</v>
      </c>
      <c r="G4124" s="3" t="s">
        <v>62</v>
      </c>
      <c r="I4124" s="3" t="s">
        <v>62</v>
      </c>
      <c r="J4124" s="3" t="s">
        <v>62</v>
      </c>
      <c r="K4124" s="3" t="s">
        <v>63</v>
      </c>
      <c r="L4124" s="2" t="s">
        <v>39670</v>
      </c>
      <c r="M4124" s="2" t="s">
        <v>39671</v>
      </c>
      <c r="N4124" s="3" t="s">
        <v>167</v>
      </c>
      <c r="P4124" s="3" t="s">
        <v>65</v>
      </c>
      <c r="Q4124" s="2" t="s">
        <v>39672</v>
      </c>
      <c r="R4124" s="3" t="s">
        <v>66</v>
      </c>
      <c r="S4124" s="4">
        <v>14</v>
      </c>
      <c r="T4124" s="4">
        <v>14</v>
      </c>
      <c r="U4124" s="5" t="s">
        <v>5147</v>
      </c>
      <c r="V4124" s="5" t="s">
        <v>5147</v>
      </c>
      <c r="W4124" s="5" t="s">
        <v>67</v>
      </c>
      <c r="X4124" s="5" t="s">
        <v>67</v>
      </c>
      <c r="Y4124" s="4">
        <v>40</v>
      </c>
      <c r="Z4124" s="4">
        <v>7</v>
      </c>
      <c r="AA4124" s="4">
        <v>7</v>
      </c>
      <c r="AB4124" s="4">
        <v>2</v>
      </c>
      <c r="AC4124" s="4">
        <v>2</v>
      </c>
      <c r="AD4124" s="4">
        <v>22</v>
      </c>
      <c r="AE4124" s="4">
        <v>22</v>
      </c>
      <c r="AF4124" s="4">
        <v>0</v>
      </c>
      <c r="AG4124" s="4">
        <v>0</v>
      </c>
      <c r="AH4124" s="4">
        <v>19</v>
      </c>
      <c r="AI4124" s="4">
        <v>19</v>
      </c>
      <c r="AJ4124" s="4">
        <v>4</v>
      </c>
      <c r="AK4124" s="4">
        <v>4</v>
      </c>
      <c r="AL4124" s="4">
        <v>12</v>
      </c>
      <c r="AM4124" s="4">
        <v>12</v>
      </c>
      <c r="AN4124" s="4">
        <v>0</v>
      </c>
      <c r="AO4124" s="4">
        <v>0</v>
      </c>
      <c r="AP4124" s="4">
        <v>5</v>
      </c>
      <c r="AQ4124" s="4">
        <v>5</v>
      </c>
      <c r="AR4124" s="3" t="s">
        <v>62</v>
      </c>
      <c r="AS4124" s="3" t="s">
        <v>62</v>
      </c>
      <c r="AT4124" s="3" t="s">
        <v>62</v>
      </c>
      <c r="AV4124" s="6" t="str">
        <f>HYPERLINK("http://mcgill.on.worldcat.org/oclc/50251806","Catalog Record")</f>
        <v>Catalog Record</v>
      </c>
      <c r="AW4124" s="6" t="str">
        <f>HYPERLINK("http://www.worldcat.org/oclc/50251806","WorldCat Record")</f>
        <v>WorldCat Record</v>
      </c>
      <c r="AX4124" s="3" t="s">
        <v>39673</v>
      </c>
      <c r="AY4124" s="3" t="s">
        <v>39674</v>
      </c>
      <c r="AZ4124" s="3" t="s">
        <v>39675</v>
      </c>
      <c r="BA4124" s="3" t="s">
        <v>39675</v>
      </c>
      <c r="BB4124" s="3" t="s">
        <v>39676</v>
      </c>
      <c r="BC4124" s="3" t="s">
        <v>142</v>
      </c>
      <c r="BD4124" s="3" t="s">
        <v>68</v>
      </c>
      <c r="BE4124" s="3" t="s">
        <v>39677</v>
      </c>
      <c r="BF4124" s="3" t="s">
        <v>39676</v>
      </c>
      <c r="BG4124" s="3" t="s">
        <v>39678</v>
      </c>
    </row>
    <row r="4125" spans="1:59" ht="57" x14ac:dyDescent="0.45">
      <c r="A4125" s="2" t="s">
        <v>59</v>
      </c>
      <c r="B4125" s="2" t="s">
        <v>60</v>
      </c>
      <c r="C4125" s="2" t="s">
        <v>39679</v>
      </c>
      <c r="D4125" s="2" t="s">
        <v>39680</v>
      </c>
      <c r="E4125" s="2" t="s">
        <v>39681</v>
      </c>
      <c r="G4125" s="3" t="s">
        <v>62</v>
      </c>
      <c r="I4125" s="3" t="s">
        <v>62</v>
      </c>
      <c r="J4125" s="3" t="s">
        <v>62</v>
      </c>
      <c r="K4125" s="3" t="s">
        <v>63</v>
      </c>
      <c r="M4125" s="2" t="s">
        <v>39682</v>
      </c>
      <c r="N4125" s="3" t="s">
        <v>1059</v>
      </c>
      <c r="P4125" s="3" t="s">
        <v>110</v>
      </c>
      <c r="Q4125" s="2" t="s">
        <v>39683</v>
      </c>
      <c r="R4125" s="3" t="s">
        <v>66</v>
      </c>
      <c r="S4125" s="4">
        <v>20</v>
      </c>
      <c r="T4125" s="4">
        <v>20</v>
      </c>
      <c r="U4125" s="5" t="s">
        <v>17815</v>
      </c>
      <c r="V4125" s="5" t="s">
        <v>17815</v>
      </c>
      <c r="W4125" s="5" t="s">
        <v>67</v>
      </c>
      <c r="X4125" s="5" t="s">
        <v>67</v>
      </c>
      <c r="Y4125" s="4">
        <v>39</v>
      </c>
      <c r="Z4125" s="4">
        <v>13</v>
      </c>
      <c r="AA4125" s="4">
        <v>43</v>
      </c>
      <c r="AB4125" s="4">
        <v>1</v>
      </c>
      <c r="AC4125" s="4">
        <v>18</v>
      </c>
      <c r="AD4125" s="4">
        <v>22</v>
      </c>
      <c r="AE4125" s="4">
        <v>38</v>
      </c>
      <c r="AF4125" s="4">
        <v>0</v>
      </c>
      <c r="AG4125" s="4">
        <v>6</v>
      </c>
      <c r="AH4125" s="4">
        <v>15</v>
      </c>
      <c r="AI4125" s="4">
        <v>22</v>
      </c>
      <c r="AJ4125" s="4">
        <v>8</v>
      </c>
      <c r="AK4125" s="4">
        <v>17</v>
      </c>
      <c r="AL4125" s="4">
        <v>8</v>
      </c>
      <c r="AM4125" s="4">
        <v>11</v>
      </c>
      <c r="AN4125" s="4">
        <v>2</v>
      </c>
      <c r="AO4125" s="4">
        <v>2</v>
      </c>
      <c r="AP4125" s="4">
        <v>11</v>
      </c>
      <c r="AQ4125" s="4">
        <v>22</v>
      </c>
      <c r="AR4125" s="3" t="s">
        <v>61</v>
      </c>
      <c r="AS4125" s="3" t="s">
        <v>62</v>
      </c>
      <c r="AT4125" s="3" t="s">
        <v>61</v>
      </c>
      <c r="AU4125" s="6" t="str">
        <f>HYPERLINK("http://catalog.hathitrust.org/Record/010655130","HathiTrust Record")</f>
        <v>HathiTrust Record</v>
      </c>
      <c r="AV4125" s="6" t="str">
        <f>HYPERLINK("http://mcgill.on.worldcat.org/oclc/70175226","Catalog Record")</f>
        <v>Catalog Record</v>
      </c>
      <c r="AW4125" s="6" t="str">
        <f>HYPERLINK("http://www.worldcat.org/oclc/70175226","WorldCat Record")</f>
        <v>WorldCat Record</v>
      </c>
      <c r="AX4125" s="3" t="s">
        <v>39684</v>
      </c>
      <c r="AY4125" s="3" t="s">
        <v>39685</v>
      </c>
      <c r="AZ4125" s="3" t="s">
        <v>39686</v>
      </c>
      <c r="BA4125" s="3" t="s">
        <v>39686</v>
      </c>
      <c r="BB4125" s="3" t="s">
        <v>39687</v>
      </c>
      <c r="BC4125" s="3" t="s">
        <v>142</v>
      </c>
      <c r="BD4125" s="3" t="s">
        <v>68</v>
      </c>
      <c r="BE4125" s="3" t="s">
        <v>39688</v>
      </c>
      <c r="BF4125" s="3" t="s">
        <v>39687</v>
      </c>
      <c r="BG4125" s="3" t="s">
        <v>39689</v>
      </c>
    </row>
    <row r="4126" spans="1:59" ht="57" x14ac:dyDescent="0.45">
      <c r="A4126" s="2" t="s">
        <v>59</v>
      </c>
      <c r="B4126" s="2" t="s">
        <v>60</v>
      </c>
      <c r="C4126" s="2" t="s">
        <v>39690</v>
      </c>
      <c r="D4126" s="2" t="s">
        <v>39691</v>
      </c>
      <c r="E4126" s="2" t="s">
        <v>39692</v>
      </c>
      <c r="G4126" s="3" t="s">
        <v>62</v>
      </c>
      <c r="I4126" s="3" t="s">
        <v>62</v>
      </c>
      <c r="J4126" s="3" t="s">
        <v>62</v>
      </c>
      <c r="K4126" s="3" t="s">
        <v>63</v>
      </c>
      <c r="M4126" s="2" t="s">
        <v>39693</v>
      </c>
      <c r="N4126" s="3" t="s">
        <v>1097</v>
      </c>
      <c r="P4126" s="3" t="s">
        <v>110</v>
      </c>
      <c r="Q4126" s="2" t="s">
        <v>5983</v>
      </c>
      <c r="R4126" s="3" t="s">
        <v>66</v>
      </c>
      <c r="S4126" s="4">
        <v>12</v>
      </c>
      <c r="T4126" s="4">
        <v>12</v>
      </c>
      <c r="U4126" s="5" t="s">
        <v>39694</v>
      </c>
      <c r="V4126" s="5" t="s">
        <v>39694</v>
      </c>
      <c r="W4126" s="5" t="s">
        <v>67</v>
      </c>
      <c r="X4126" s="5" t="s">
        <v>67</v>
      </c>
      <c r="Y4126" s="4">
        <v>9</v>
      </c>
      <c r="Z4126" s="4">
        <v>2</v>
      </c>
      <c r="AA4126" s="4">
        <v>19</v>
      </c>
      <c r="AB4126" s="4">
        <v>1</v>
      </c>
      <c r="AC4126" s="4">
        <v>6</v>
      </c>
      <c r="AD4126" s="4">
        <v>5</v>
      </c>
      <c r="AE4126" s="4">
        <v>28</v>
      </c>
      <c r="AF4126" s="4">
        <v>0</v>
      </c>
      <c r="AG4126" s="4">
        <v>4</v>
      </c>
      <c r="AH4126" s="4">
        <v>5</v>
      </c>
      <c r="AI4126" s="4">
        <v>19</v>
      </c>
      <c r="AJ4126" s="4">
        <v>0</v>
      </c>
      <c r="AK4126" s="4">
        <v>10</v>
      </c>
      <c r="AL4126" s="4">
        <v>3</v>
      </c>
      <c r="AM4126" s="4">
        <v>11</v>
      </c>
      <c r="AN4126" s="4">
        <v>0</v>
      </c>
      <c r="AO4126" s="4">
        <v>0</v>
      </c>
      <c r="AP4126" s="4">
        <v>0</v>
      </c>
      <c r="AQ4126" s="4">
        <v>11</v>
      </c>
      <c r="AR4126" s="3" t="s">
        <v>62</v>
      </c>
      <c r="AS4126" s="3" t="s">
        <v>62</v>
      </c>
      <c r="AT4126" s="3" t="s">
        <v>62</v>
      </c>
      <c r="AV4126" s="6" t="str">
        <f>HYPERLINK("http://mcgill.on.worldcat.org/oclc/54773442","Catalog Record")</f>
        <v>Catalog Record</v>
      </c>
      <c r="AW4126" s="6" t="str">
        <f>HYPERLINK("http://www.worldcat.org/oclc/54773442","WorldCat Record")</f>
        <v>WorldCat Record</v>
      </c>
      <c r="AX4126" s="3" t="s">
        <v>39695</v>
      </c>
      <c r="AY4126" s="3" t="s">
        <v>39696</v>
      </c>
      <c r="AZ4126" s="3" t="s">
        <v>39697</v>
      </c>
      <c r="BA4126" s="3" t="s">
        <v>39697</v>
      </c>
      <c r="BB4126" s="3" t="s">
        <v>39698</v>
      </c>
      <c r="BC4126" s="3" t="s">
        <v>142</v>
      </c>
      <c r="BD4126" s="3" t="s">
        <v>68</v>
      </c>
      <c r="BE4126" s="3" t="s">
        <v>39699</v>
      </c>
      <c r="BF4126" s="3" t="s">
        <v>39698</v>
      </c>
      <c r="BG4126" s="3" t="s">
        <v>39700</v>
      </c>
    </row>
    <row r="4127" spans="1:59" ht="57" x14ac:dyDescent="0.45">
      <c r="A4127" s="2" t="s">
        <v>59</v>
      </c>
      <c r="B4127" s="2" t="s">
        <v>60</v>
      </c>
      <c r="C4127" s="2" t="s">
        <v>39701</v>
      </c>
      <c r="D4127" s="2" t="s">
        <v>39702</v>
      </c>
      <c r="E4127" s="2" t="s">
        <v>39703</v>
      </c>
      <c r="G4127" s="3" t="s">
        <v>62</v>
      </c>
      <c r="I4127" s="3" t="s">
        <v>62</v>
      </c>
      <c r="J4127" s="3" t="s">
        <v>62</v>
      </c>
      <c r="K4127" s="3" t="s">
        <v>63</v>
      </c>
      <c r="L4127" s="2" t="s">
        <v>39704</v>
      </c>
      <c r="M4127" s="2" t="s">
        <v>39705</v>
      </c>
      <c r="N4127" s="3" t="s">
        <v>1688</v>
      </c>
      <c r="P4127" s="3" t="s">
        <v>110</v>
      </c>
      <c r="Q4127" s="2" t="s">
        <v>39706</v>
      </c>
      <c r="R4127" s="3" t="s">
        <v>66</v>
      </c>
      <c r="S4127" s="4">
        <v>0</v>
      </c>
      <c r="T4127" s="4">
        <v>0</v>
      </c>
      <c r="W4127" s="5" t="s">
        <v>67</v>
      </c>
      <c r="X4127" s="5" t="s">
        <v>67</v>
      </c>
      <c r="Y4127" s="4">
        <v>16</v>
      </c>
      <c r="Z4127" s="4">
        <v>6</v>
      </c>
      <c r="AA4127" s="4">
        <v>8</v>
      </c>
      <c r="AB4127" s="4">
        <v>1</v>
      </c>
      <c r="AC4127" s="4">
        <v>2</v>
      </c>
      <c r="AD4127" s="4">
        <v>10</v>
      </c>
      <c r="AE4127" s="4">
        <v>12</v>
      </c>
      <c r="AF4127" s="4">
        <v>0</v>
      </c>
      <c r="AG4127" s="4">
        <v>1</v>
      </c>
      <c r="AH4127" s="4">
        <v>8</v>
      </c>
      <c r="AI4127" s="4">
        <v>10</v>
      </c>
      <c r="AJ4127" s="4">
        <v>4</v>
      </c>
      <c r="AK4127" s="4">
        <v>6</v>
      </c>
      <c r="AL4127" s="4">
        <v>5</v>
      </c>
      <c r="AM4127" s="4">
        <v>5</v>
      </c>
      <c r="AN4127" s="4">
        <v>0</v>
      </c>
      <c r="AO4127" s="4">
        <v>0</v>
      </c>
      <c r="AP4127" s="4">
        <v>3</v>
      </c>
      <c r="AQ4127" s="4">
        <v>5</v>
      </c>
      <c r="AR4127" s="3" t="s">
        <v>62</v>
      </c>
      <c r="AS4127" s="3" t="s">
        <v>62</v>
      </c>
      <c r="AT4127" s="3" t="s">
        <v>62</v>
      </c>
      <c r="AV4127" s="6" t="str">
        <f>HYPERLINK("http://mcgill.on.worldcat.org/oclc/897805746","Catalog Record")</f>
        <v>Catalog Record</v>
      </c>
      <c r="AW4127" s="6" t="str">
        <f>HYPERLINK("http://www.worldcat.org/oclc/897805746","WorldCat Record")</f>
        <v>WorldCat Record</v>
      </c>
      <c r="AX4127" s="3" t="s">
        <v>39707</v>
      </c>
      <c r="AY4127" s="3" t="s">
        <v>39708</v>
      </c>
      <c r="AZ4127" s="3" t="s">
        <v>39709</v>
      </c>
      <c r="BA4127" s="3" t="s">
        <v>39709</v>
      </c>
      <c r="BB4127" s="3" t="s">
        <v>39710</v>
      </c>
      <c r="BC4127" s="3" t="s">
        <v>142</v>
      </c>
      <c r="BD4127" s="3" t="s">
        <v>68</v>
      </c>
      <c r="BE4127" s="3" t="s">
        <v>39711</v>
      </c>
      <c r="BF4127" s="3" t="s">
        <v>39710</v>
      </c>
      <c r="BG4127" s="3" t="s">
        <v>39712</v>
      </c>
    </row>
    <row r="4128" spans="1:59" ht="57" x14ac:dyDescent="0.45">
      <c r="A4128" s="2" t="s">
        <v>59</v>
      </c>
      <c r="B4128" s="2" t="s">
        <v>60</v>
      </c>
      <c r="C4128" s="2" t="s">
        <v>39713</v>
      </c>
      <c r="D4128" s="2" t="s">
        <v>39714</v>
      </c>
      <c r="E4128" s="2" t="s">
        <v>39715</v>
      </c>
      <c r="G4128" s="3" t="s">
        <v>62</v>
      </c>
      <c r="I4128" s="3" t="s">
        <v>62</v>
      </c>
      <c r="J4128" s="3" t="s">
        <v>62</v>
      </c>
      <c r="K4128" s="3" t="s">
        <v>63</v>
      </c>
      <c r="L4128" s="2" t="s">
        <v>39716</v>
      </c>
      <c r="M4128" s="2" t="s">
        <v>39717</v>
      </c>
      <c r="N4128" s="3" t="s">
        <v>918</v>
      </c>
      <c r="P4128" s="3" t="s">
        <v>65</v>
      </c>
      <c r="R4128" s="3" t="s">
        <v>66</v>
      </c>
      <c r="S4128" s="4">
        <v>3</v>
      </c>
      <c r="T4128" s="4">
        <v>3</v>
      </c>
      <c r="U4128" s="5" t="s">
        <v>39718</v>
      </c>
      <c r="V4128" s="5" t="s">
        <v>39718</v>
      </c>
      <c r="W4128" s="5" t="s">
        <v>67</v>
      </c>
      <c r="X4128" s="5" t="s">
        <v>67</v>
      </c>
      <c r="Y4128" s="4">
        <v>54</v>
      </c>
      <c r="Z4128" s="4">
        <v>40</v>
      </c>
      <c r="AA4128" s="4">
        <v>79</v>
      </c>
      <c r="AB4128" s="4">
        <v>2</v>
      </c>
      <c r="AC4128" s="4">
        <v>2</v>
      </c>
      <c r="AD4128" s="4">
        <v>33</v>
      </c>
      <c r="AE4128" s="4">
        <v>49</v>
      </c>
      <c r="AF4128" s="4">
        <v>1</v>
      </c>
      <c r="AG4128" s="4">
        <v>1</v>
      </c>
      <c r="AH4128" s="4">
        <v>15</v>
      </c>
      <c r="AI4128" s="4">
        <v>21</v>
      </c>
      <c r="AJ4128" s="4">
        <v>18</v>
      </c>
      <c r="AK4128" s="4">
        <v>24</v>
      </c>
      <c r="AL4128" s="4">
        <v>5</v>
      </c>
      <c r="AM4128" s="4">
        <v>7</v>
      </c>
      <c r="AN4128" s="4">
        <v>0</v>
      </c>
      <c r="AO4128" s="4">
        <v>0</v>
      </c>
      <c r="AP4128" s="4">
        <v>26</v>
      </c>
      <c r="AQ4128" s="4">
        <v>36</v>
      </c>
      <c r="AR4128" s="3" t="s">
        <v>61</v>
      </c>
      <c r="AS4128" s="3" t="s">
        <v>62</v>
      </c>
      <c r="AT4128" s="3" t="s">
        <v>61</v>
      </c>
      <c r="AU4128" s="6" t="str">
        <f>HYPERLINK("http://catalog.hathitrust.org/Record/100853282","HathiTrust Record")</f>
        <v>HathiTrust Record</v>
      </c>
      <c r="AV4128" s="6" t="str">
        <f>HYPERLINK("http://mcgill.on.worldcat.org/oclc/52031679","Catalog Record")</f>
        <v>Catalog Record</v>
      </c>
      <c r="AW4128" s="6" t="str">
        <f>HYPERLINK("http://www.worldcat.org/oclc/52031679","WorldCat Record")</f>
        <v>WorldCat Record</v>
      </c>
      <c r="AX4128" s="3" t="s">
        <v>39719</v>
      </c>
      <c r="AY4128" s="3" t="s">
        <v>39720</v>
      </c>
      <c r="AZ4128" s="3" t="s">
        <v>39721</v>
      </c>
      <c r="BA4128" s="3" t="s">
        <v>39721</v>
      </c>
      <c r="BB4128" s="3" t="s">
        <v>39722</v>
      </c>
      <c r="BC4128" s="3" t="s">
        <v>142</v>
      </c>
      <c r="BD4128" s="3" t="s">
        <v>68</v>
      </c>
      <c r="BE4128" s="3" t="s">
        <v>39723</v>
      </c>
      <c r="BF4128" s="3" t="s">
        <v>39722</v>
      </c>
      <c r="BG4128" s="3" t="s">
        <v>39724</v>
      </c>
    </row>
    <row r="4129" spans="1:59" ht="57" x14ac:dyDescent="0.45">
      <c r="A4129" s="2" t="s">
        <v>59</v>
      </c>
      <c r="B4129" s="2" t="s">
        <v>60</v>
      </c>
      <c r="C4129" s="2" t="s">
        <v>39725</v>
      </c>
      <c r="D4129" s="2" t="s">
        <v>39726</v>
      </c>
      <c r="E4129" s="2" t="s">
        <v>39727</v>
      </c>
      <c r="G4129" s="3" t="s">
        <v>62</v>
      </c>
      <c r="I4129" s="3" t="s">
        <v>62</v>
      </c>
      <c r="J4129" s="3" t="s">
        <v>62</v>
      </c>
      <c r="K4129" s="3" t="s">
        <v>63</v>
      </c>
      <c r="M4129" s="2" t="s">
        <v>39728</v>
      </c>
      <c r="N4129" s="3" t="s">
        <v>149</v>
      </c>
      <c r="P4129" s="3" t="s">
        <v>65</v>
      </c>
      <c r="R4129" s="3" t="s">
        <v>66</v>
      </c>
      <c r="S4129" s="4">
        <v>24</v>
      </c>
      <c r="T4129" s="4">
        <v>24</v>
      </c>
      <c r="U4129" s="5" t="s">
        <v>2316</v>
      </c>
      <c r="V4129" s="5" t="s">
        <v>2316</v>
      </c>
      <c r="W4129" s="5" t="s">
        <v>67</v>
      </c>
      <c r="X4129" s="5" t="s">
        <v>67</v>
      </c>
      <c r="Y4129" s="4">
        <v>188</v>
      </c>
      <c r="Z4129" s="4">
        <v>52</v>
      </c>
      <c r="AA4129" s="4">
        <v>140</v>
      </c>
      <c r="AB4129" s="4">
        <v>2</v>
      </c>
      <c r="AC4129" s="4">
        <v>20</v>
      </c>
      <c r="AD4129" s="4">
        <v>81</v>
      </c>
      <c r="AE4129" s="4">
        <v>134</v>
      </c>
      <c r="AF4129" s="4">
        <v>1</v>
      </c>
      <c r="AG4129" s="4">
        <v>8</v>
      </c>
      <c r="AH4129" s="4">
        <v>59</v>
      </c>
      <c r="AI4129" s="4">
        <v>86</v>
      </c>
      <c r="AJ4129" s="4">
        <v>21</v>
      </c>
      <c r="AK4129" s="4">
        <v>29</v>
      </c>
      <c r="AL4129" s="4">
        <v>30</v>
      </c>
      <c r="AM4129" s="4">
        <v>42</v>
      </c>
      <c r="AN4129" s="4">
        <v>0</v>
      </c>
      <c r="AO4129" s="4">
        <v>0</v>
      </c>
      <c r="AP4129" s="4">
        <v>31</v>
      </c>
      <c r="AQ4129" s="4">
        <v>58</v>
      </c>
      <c r="AR4129" s="3" t="s">
        <v>61</v>
      </c>
      <c r="AS4129" s="3" t="s">
        <v>62</v>
      </c>
      <c r="AT4129" s="3" t="s">
        <v>62</v>
      </c>
      <c r="AV4129" s="6" t="str">
        <f>HYPERLINK("http://mcgill.on.worldcat.org/oclc/495781327","Catalog Record")</f>
        <v>Catalog Record</v>
      </c>
      <c r="AW4129" s="6" t="str">
        <f>HYPERLINK("http://www.worldcat.org/oclc/495781327","WorldCat Record")</f>
        <v>WorldCat Record</v>
      </c>
      <c r="AX4129" s="3" t="s">
        <v>39729</v>
      </c>
      <c r="AY4129" s="3" t="s">
        <v>39730</v>
      </c>
      <c r="AZ4129" s="3" t="s">
        <v>39731</v>
      </c>
      <c r="BA4129" s="3" t="s">
        <v>39731</v>
      </c>
      <c r="BB4129" s="3" t="s">
        <v>39732</v>
      </c>
      <c r="BC4129" s="3" t="s">
        <v>142</v>
      </c>
      <c r="BD4129" s="3" t="s">
        <v>308</v>
      </c>
      <c r="BE4129" s="3" t="s">
        <v>39733</v>
      </c>
      <c r="BF4129" s="3" t="s">
        <v>39732</v>
      </c>
      <c r="BG4129" s="3" t="s">
        <v>39734</v>
      </c>
    </row>
    <row r="4130" spans="1:59" ht="57" x14ac:dyDescent="0.45">
      <c r="A4130" s="2" t="s">
        <v>59</v>
      </c>
      <c r="B4130" s="2" t="s">
        <v>60</v>
      </c>
      <c r="C4130" s="2" t="s">
        <v>39735</v>
      </c>
      <c r="D4130" s="2" t="s">
        <v>39736</v>
      </c>
      <c r="E4130" s="2" t="s">
        <v>39737</v>
      </c>
      <c r="G4130" s="3" t="s">
        <v>62</v>
      </c>
      <c r="I4130" s="3" t="s">
        <v>62</v>
      </c>
      <c r="J4130" s="3" t="s">
        <v>62</v>
      </c>
      <c r="K4130" s="3" t="s">
        <v>63</v>
      </c>
      <c r="L4130" s="2" t="s">
        <v>39738</v>
      </c>
      <c r="M4130" s="2" t="s">
        <v>39739</v>
      </c>
      <c r="N4130" s="3" t="s">
        <v>181</v>
      </c>
      <c r="P4130" s="3" t="s">
        <v>110</v>
      </c>
      <c r="R4130" s="3" t="s">
        <v>66</v>
      </c>
      <c r="S4130" s="4">
        <v>0</v>
      </c>
      <c r="T4130" s="4">
        <v>0</v>
      </c>
      <c r="W4130" s="5" t="s">
        <v>67</v>
      </c>
      <c r="X4130" s="5" t="s">
        <v>67</v>
      </c>
      <c r="Y4130" s="4">
        <v>13</v>
      </c>
      <c r="Z4130" s="4">
        <v>8</v>
      </c>
      <c r="AA4130" s="4">
        <v>16</v>
      </c>
      <c r="AB4130" s="4">
        <v>1</v>
      </c>
      <c r="AC4130" s="4">
        <v>7</v>
      </c>
      <c r="AD4130" s="4">
        <v>7</v>
      </c>
      <c r="AE4130" s="4">
        <v>12</v>
      </c>
      <c r="AF4130" s="4">
        <v>0</v>
      </c>
      <c r="AG4130" s="4">
        <v>3</v>
      </c>
      <c r="AH4130" s="4">
        <v>6</v>
      </c>
      <c r="AI4130" s="4">
        <v>7</v>
      </c>
      <c r="AJ4130" s="4">
        <v>4</v>
      </c>
      <c r="AK4130" s="4">
        <v>7</v>
      </c>
      <c r="AL4130" s="4">
        <v>4</v>
      </c>
      <c r="AM4130" s="4">
        <v>4</v>
      </c>
      <c r="AN4130" s="4">
        <v>0</v>
      </c>
      <c r="AO4130" s="4">
        <v>0</v>
      </c>
      <c r="AP4130" s="4">
        <v>3</v>
      </c>
      <c r="AQ4130" s="4">
        <v>6</v>
      </c>
      <c r="AR4130" s="3" t="s">
        <v>61</v>
      </c>
      <c r="AS4130" s="3" t="s">
        <v>62</v>
      </c>
      <c r="AT4130" s="3" t="s">
        <v>62</v>
      </c>
      <c r="AV4130" s="6" t="str">
        <f>HYPERLINK("http://mcgill.on.worldcat.org/oclc/944466083","Catalog Record")</f>
        <v>Catalog Record</v>
      </c>
      <c r="AW4130" s="6" t="str">
        <f>HYPERLINK("http://www.worldcat.org/oclc/944466083","WorldCat Record")</f>
        <v>WorldCat Record</v>
      </c>
      <c r="AX4130" s="3" t="s">
        <v>39740</v>
      </c>
      <c r="AY4130" s="3" t="s">
        <v>39741</v>
      </c>
      <c r="AZ4130" s="3" t="s">
        <v>39742</v>
      </c>
      <c r="BA4130" s="3" t="s">
        <v>39742</v>
      </c>
      <c r="BB4130" s="3" t="s">
        <v>39743</v>
      </c>
      <c r="BC4130" s="3" t="s">
        <v>142</v>
      </c>
      <c r="BD4130" s="3" t="s">
        <v>68</v>
      </c>
      <c r="BE4130" s="3" t="s">
        <v>39744</v>
      </c>
      <c r="BF4130" s="3" t="s">
        <v>39743</v>
      </c>
      <c r="BG4130" s="3" t="s">
        <v>39745</v>
      </c>
    </row>
    <row r="4131" spans="1:59" ht="57" x14ac:dyDescent="0.45">
      <c r="A4131" s="2" t="s">
        <v>59</v>
      </c>
      <c r="B4131" s="2" t="s">
        <v>60</v>
      </c>
      <c r="C4131" s="2" t="s">
        <v>39746</v>
      </c>
      <c r="D4131" s="2" t="s">
        <v>39747</v>
      </c>
      <c r="E4131" s="2" t="s">
        <v>39748</v>
      </c>
      <c r="G4131" s="3" t="s">
        <v>62</v>
      </c>
      <c r="I4131" s="3" t="s">
        <v>62</v>
      </c>
      <c r="J4131" s="3" t="s">
        <v>62</v>
      </c>
      <c r="K4131" s="3" t="s">
        <v>63</v>
      </c>
      <c r="L4131" s="2" t="s">
        <v>39749</v>
      </c>
      <c r="M4131" s="2" t="s">
        <v>39750</v>
      </c>
      <c r="N4131" s="3" t="s">
        <v>945</v>
      </c>
      <c r="P4131" s="3" t="s">
        <v>110</v>
      </c>
      <c r="Q4131" s="2" t="s">
        <v>39751</v>
      </c>
      <c r="R4131" s="3" t="s">
        <v>66</v>
      </c>
      <c r="S4131" s="4">
        <v>20</v>
      </c>
      <c r="T4131" s="4">
        <v>20</v>
      </c>
      <c r="U4131" s="5" t="s">
        <v>11178</v>
      </c>
      <c r="V4131" s="5" t="s">
        <v>11178</v>
      </c>
      <c r="W4131" s="5" t="s">
        <v>67</v>
      </c>
      <c r="X4131" s="5" t="s">
        <v>67</v>
      </c>
      <c r="Y4131" s="4">
        <v>38</v>
      </c>
      <c r="Z4131" s="4">
        <v>27</v>
      </c>
      <c r="AA4131" s="4">
        <v>45</v>
      </c>
      <c r="AB4131" s="4">
        <v>13</v>
      </c>
      <c r="AC4131" s="4">
        <v>16</v>
      </c>
      <c r="AD4131" s="4">
        <v>16</v>
      </c>
      <c r="AE4131" s="4">
        <v>36</v>
      </c>
      <c r="AF4131" s="4">
        <v>6</v>
      </c>
      <c r="AG4131" s="4">
        <v>8</v>
      </c>
      <c r="AH4131" s="4">
        <v>5</v>
      </c>
      <c r="AI4131" s="4">
        <v>20</v>
      </c>
      <c r="AJ4131" s="4">
        <v>11</v>
      </c>
      <c r="AK4131" s="4">
        <v>22</v>
      </c>
      <c r="AL4131" s="4">
        <v>0</v>
      </c>
      <c r="AM4131" s="4">
        <v>7</v>
      </c>
      <c r="AN4131" s="4">
        <v>0</v>
      </c>
      <c r="AO4131" s="4">
        <v>0</v>
      </c>
      <c r="AP4131" s="4">
        <v>14</v>
      </c>
      <c r="AQ4131" s="4">
        <v>26</v>
      </c>
      <c r="AR4131" s="3" t="s">
        <v>61</v>
      </c>
      <c r="AS4131" s="3" t="s">
        <v>62</v>
      </c>
      <c r="AT4131" s="3" t="s">
        <v>62</v>
      </c>
      <c r="AV4131" s="6" t="str">
        <f>HYPERLINK("http://mcgill.on.worldcat.org/oclc/122707229","Catalog Record")</f>
        <v>Catalog Record</v>
      </c>
      <c r="AW4131" s="6" t="str">
        <f>HYPERLINK("http://www.worldcat.org/oclc/122707229","WorldCat Record")</f>
        <v>WorldCat Record</v>
      </c>
      <c r="AX4131" s="3" t="s">
        <v>39752</v>
      </c>
      <c r="AY4131" s="3" t="s">
        <v>39753</v>
      </c>
      <c r="AZ4131" s="3" t="s">
        <v>39754</v>
      </c>
      <c r="BA4131" s="3" t="s">
        <v>39754</v>
      </c>
      <c r="BB4131" s="3" t="s">
        <v>39755</v>
      </c>
      <c r="BC4131" s="3" t="s">
        <v>142</v>
      </c>
      <c r="BD4131" s="3" t="s">
        <v>68</v>
      </c>
      <c r="BE4131" s="3" t="s">
        <v>39756</v>
      </c>
      <c r="BF4131" s="3" t="s">
        <v>39755</v>
      </c>
      <c r="BG4131" s="3" t="s">
        <v>39757</v>
      </c>
    </row>
    <row r="4132" spans="1:59" ht="57" x14ac:dyDescent="0.45">
      <c r="A4132" s="2" t="s">
        <v>59</v>
      </c>
      <c r="B4132" s="2" t="s">
        <v>60</v>
      </c>
      <c r="C4132" s="2" t="s">
        <v>39758</v>
      </c>
      <c r="D4132" s="2" t="s">
        <v>39759</v>
      </c>
      <c r="E4132" s="2" t="s">
        <v>39760</v>
      </c>
      <c r="G4132" s="3" t="s">
        <v>62</v>
      </c>
      <c r="I4132" s="3" t="s">
        <v>61</v>
      </c>
      <c r="J4132" s="3" t="s">
        <v>62</v>
      </c>
      <c r="K4132" s="3" t="s">
        <v>63</v>
      </c>
      <c r="L4132" s="2" t="s">
        <v>39761</v>
      </c>
      <c r="M4132" s="2" t="s">
        <v>15069</v>
      </c>
      <c r="N4132" s="3" t="s">
        <v>958</v>
      </c>
      <c r="P4132" s="3" t="s">
        <v>65</v>
      </c>
      <c r="Q4132" s="2" t="s">
        <v>39762</v>
      </c>
      <c r="R4132" s="3" t="s">
        <v>66</v>
      </c>
      <c r="S4132" s="4">
        <v>31</v>
      </c>
      <c r="T4132" s="4">
        <v>155</v>
      </c>
      <c r="U4132" s="5" t="s">
        <v>1061</v>
      </c>
      <c r="V4132" s="5" t="s">
        <v>1061</v>
      </c>
      <c r="W4132" s="5" t="s">
        <v>67</v>
      </c>
      <c r="X4132" s="5" t="s">
        <v>67</v>
      </c>
      <c r="Y4132" s="4">
        <v>290</v>
      </c>
      <c r="Z4132" s="4">
        <v>49</v>
      </c>
      <c r="AA4132" s="4">
        <v>49</v>
      </c>
      <c r="AB4132" s="4">
        <v>3</v>
      </c>
      <c r="AC4132" s="4">
        <v>3</v>
      </c>
      <c r="AD4132" s="4">
        <v>104</v>
      </c>
      <c r="AE4132" s="4">
        <v>104</v>
      </c>
      <c r="AF4132" s="4">
        <v>2</v>
      </c>
      <c r="AG4132" s="4">
        <v>2</v>
      </c>
      <c r="AH4132" s="4">
        <v>75</v>
      </c>
      <c r="AI4132" s="4">
        <v>75</v>
      </c>
      <c r="AJ4132" s="4">
        <v>23</v>
      </c>
      <c r="AK4132" s="4">
        <v>23</v>
      </c>
      <c r="AL4132" s="4">
        <v>43</v>
      </c>
      <c r="AM4132" s="4">
        <v>43</v>
      </c>
      <c r="AN4132" s="4">
        <v>0</v>
      </c>
      <c r="AO4132" s="4">
        <v>0</v>
      </c>
      <c r="AP4132" s="4">
        <v>35</v>
      </c>
      <c r="AQ4132" s="4">
        <v>35</v>
      </c>
      <c r="AR4132" s="3" t="s">
        <v>62</v>
      </c>
      <c r="AS4132" s="3" t="s">
        <v>62</v>
      </c>
      <c r="AT4132" s="3" t="s">
        <v>61</v>
      </c>
      <c r="AU4132" s="6" t="str">
        <f>HYPERLINK("http://catalog.hathitrust.org/Record/003150244","HathiTrust Record")</f>
        <v>HathiTrust Record</v>
      </c>
      <c r="AV4132" s="6" t="str">
        <f>HYPERLINK("http://mcgill.on.worldcat.org/oclc/30353812","Catalog Record")</f>
        <v>Catalog Record</v>
      </c>
      <c r="AW4132" s="6" t="str">
        <f>HYPERLINK("http://www.worldcat.org/oclc/30353812","WorldCat Record")</f>
        <v>WorldCat Record</v>
      </c>
      <c r="AX4132" s="3" t="s">
        <v>39763</v>
      </c>
      <c r="AY4132" s="3" t="s">
        <v>39764</v>
      </c>
      <c r="AZ4132" s="3" t="s">
        <v>39765</v>
      </c>
      <c r="BA4132" s="3" t="s">
        <v>39765</v>
      </c>
      <c r="BB4132" s="3" t="s">
        <v>39766</v>
      </c>
      <c r="BC4132" s="3" t="s">
        <v>142</v>
      </c>
      <c r="BD4132" s="3" t="s">
        <v>68</v>
      </c>
      <c r="BE4132" s="3" t="s">
        <v>39767</v>
      </c>
      <c r="BF4132" s="3" t="s">
        <v>39766</v>
      </c>
      <c r="BG4132" s="3" t="s">
        <v>39768</v>
      </c>
    </row>
    <row r="4133" spans="1:59" ht="57" x14ac:dyDescent="0.45">
      <c r="A4133" s="2" t="s">
        <v>59</v>
      </c>
      <c r="B4133" s="2" t="s">
        <v>60</v>
      </c>
      <c r="C4133" s="2" t="s">
        <v>39758</v>
      </c>
      <c r="D4133" s="2" t="s">
        <v>39759</v>
      </c>
      <c r="E4133" s="2" t="s">
        <v>39760</v>
      </c>
      <c r="G4133" s="3" t="s">
        <v>62</v>
      </c>
      <c r="I4133" s="3" t="s">
        <v>61</v>
      </c>
      <c r="J4133" s="3" t="s">
        <v>62</v>
      </c>
      <c r="K4133" s="3" t="s">
        <v>63</v>
      </c>
      <c r="L4133" s="2" t="s">
        <v>39761</v>
      </c>
      <c r="M4133" s="2" t="s">
        <v>15069</v>
      </c>
      <c r="N4133" s="3" t="s">
        <v>958</v>
      </c>
      <c r="P4133" s="3" t="s">
        <v>65</v>
      </c>
      <c r="Q4133" s="2" t="s">
        <v>39762</v>
      </c>
      <c r="R4133" s="3" t="s">
        <v>66</v>
      </c>
      <c r="S4133" s="4">
        <v>64</v>
      </c>
      <c r="T4133" s="4">
        <v>155</v>
      </c>
      <c r="U4133" s="5" t="s">
        <v>34280</v>
      </c>
      <c r="V4133" s="5" t="s">
        <v>1061</v>
      </c>
      <c r="W4133" s="5" t="s">
        <v>67</v>
      </c>
      <c r="X4133" s="5" t="s">
        <v>67</v>
      </c>
      <c r="Y4133" s="4">
        <v>290</v>
      </c>
      <c r="Z4133" s="4">
        <v>49</v>
      </c>
      <c r="AA4133" s="4">
        <v>49</v>
      </c>
      <c r="AB4133" s="4">
        <v>3</v>
      </c>
      <c r="AC4133" s="4">
        <v>3</v>
      </c>
      <c r="AD4133" s="4">
        <v>104</v>
      </c>
      <c r="AE4133" s="4">
        <v>104</v>
      </c>
      <c r="AF4133" s="4">
        <v>2</v>
      </c>
      <c r="AG4133" s="4">
        <v>2</v>
      </c>
      <c r="AH4133" s="4">
        <v>75</v>
      </c>
      <c r="AI4133" s="4">
        <v>75</v>
      </c>
      <c r="AJ4133" s="4">
        <v>23</v>
      </c>
      <c r="AK4133" s="4">
        <v>23</v>
      </c>
      <c r="AL4133" s="4">
        <v>43</v>
      </c>
      <c r="AM4133" s="4">
        <v>43</v>
      </c>
      <c r="AN4133" s="4">
        <v>0</v>
      </c>
      <c r="AO4133" s="4">
        <v>0</v>
      </c>
      <c r="AP4133" s="4">
        <v>35</v>
      </c>
      <c r="AQ4133" s="4">
        <v>35</v>
      </c>
      <c r="AR4133" s="3" t="s">
        <v>62</v>
      </c>
      <c r="AS4133" s="3" t="s">
        <v>62</v>
      </c>
      <c r="AT4133" s="3" t="s">
        <v>61</v>
      </c>
      <c r="AU4133" s="6" t="str">
        <f>HYPERLINK("http://catalog.hathitrust.org/Record/003150244","HathiTrust Record")</f>
        <v>HathiTrust Record</v>
      </c>
      <c r="AV4133" s="6" t="str">
        <f>HYPERLINK("http://mcgill.on.worldcat.org/oclc/30353812","Catalog Record")</f>
        <v>Catalog Record</v>
      </c>
      <c r="AW4133" s="6" t="str">
        <f>HYPERLINK("http://www.worldcat.org/oclc/30353812","WorldCat Record")</f>
        <v>WorldCat Record</v>
      </c>
      <c r="AX4133" s="3" t="s">
        <v>39763</v>
      </c>
      <c r="AY4133" s="3" t="s">
        <v>39764</v>
      </c>
      <c r="AZ4133" s="3" t="s">
        <v>39765</v>
      </c>
      <c r="BA4133" s="3" t="s">
        <v>39765</v>
      </c>
      <c r="BB4133" s="3" t="s">
        <v>39769</v>
      </c>
      <c r="BC4133" s="3" t="s">
        <v>142</v>
      </c>
      <c r="BD4133" s="3" t="s">
        <v>68</v>
      </c>
      <c r="BE4133" s="3" t="s">
        <v>39767</v>
      </c>
      <c r="BF4133" s="3" t="s">
        <v>39769</v>
      </c>
      <c r="BG4133" s="3" t="s">
        <v>39770</v>
      </c>
    </row>
    <row r="4134" spans="1:59" ht="57" x14ac:dyDescent="0.45">
      <c r="A4134" s="2" t="s">
        <v>59</v>
      </c>
      <c r="B4134" s="2" t="s">
        <v>60</v>
      </c>
      <c r="C4134" s="2" t="s">
        <v>39758</v>
      </c>
      <c r="D4134" s="2" t="s">
        <v>39759</v>
      </c>
      <c r="E4134" s="2" t="s">
        <v>39760</v>
      </c>
      <c r="G4134" s="3" t="s">
        <v>62</v>
      </c>
      <c r="I4134" s="3" t="s">
        <v>61</v>
      </c>
      <c r="J4134" s="3" t="s">
        <v>62</v>
      </c>
      <c r="K4134" s="3" t="s">
        <v>63</v>
      </c>
      <c r="L4134" s="2" t="s">
        <v>39761</v>
      </c>
      <c r="M4134" s="2" t="s">
        <v>15069</v>
      </c>
      <c r="N4134" s="3" t="s">
        <v>958</v>
      </c>
      <c r="P4134" s="3" t="s">
        <v>65</v>
      </c>
      <c r="Q4134" s="2" t="s">
        <v>39762</v>
      </c>
      <c r="R4134" s="3" t="s">
        <v>66</v>
      </c>
      <c r="S4134" s="4">
        <v>60</v>
      </c>
      <c r="T4134" s="4">
        <v>155</v>
      </c>
      <c r="U4134" s="5" t="s">
        <v>8307</v>
      </c>
      <c r="V4134" s="5" t="s">
        <v>1061</v>
      </c>
      <c r="W4134" s="5" t="s">
        <v>67</v>
      </c>
      <c r="X4134" s="5" t="s">
        <v>67</v>
      </c>
      <c r="Y4134" s="4">
        <v>290</v>
      </c>
      <c r="Z4134" s="4">
        <v>49</v>
      </c>
      <c r="AA4134" s="4">
        <v>49</v>
      </c>
      <c r="AB4134" s="4">
        <v>3</v>
      </c>
      <c r="AC4134" s="4">
        <v>3</v>
      </c>
      <c r="AD4134" s="4">
        <v>104</v>
      </c>
      <c r="AE4134" s="4">
        <v>104</v>
      </c>
      <c r="AF4134" s="4">
        <v>2</v>
      </c>
      <c r="AG4134" s="4">
        <v>2</v>
      </c>
      <c r="AH4134" s="4">
        <v>75</v>
      </c>
      <c r="AI4134" s="4">
        <v>75</v>
      </c>
      <c r="AJ4134" s="4">
        <v>23</v>
      </c>
      <c r="AK4134" s="4">
        <v>23</v>
      </c>
      <c r="AL4134" s="4">
        <v>43</v>
      </c>
      <c r="AM4134" s="4">
        <v>43</v>
      </c>
      <c r="AN4134" s="4">
        <v>0</v>
      </c>
      <c r="AO4134" s="4">
        <v>0</v>
      </c>
      <c r="AP4134" s="4">
        <v>35</v>
      </c>
      <c r="AQ4134" s="4">
        <v>35</v>
      </c>
      <c r="AR4134" s="3" t="s">
        <v>62</v>
      </c>
      <c r="AS4134" s="3" t="s">
        <v>62</v>
      </c>
      <c r="AT4134" s="3" t="s">
        <v>61</v>
      </c>
      <c r="AU4134" s="6" t="str">
        <f>HYPERLINK("http://catalog.hathitrust.org/Record/003150244","HathiTrust Record")</f>
        <v>HathiTrust Record</v>
      </c>
      <c r="AV4134" s="6" t="str">
        <f>HYPERLINK("http://mcgill.on.worldcat.org/oclc/30353812","Catalog Record")</f>
        <v>Catalog Record</v>
      </c>
      <c r="AW4134" s="6" t="str">
        <f>HYPERLINK("http://www.worldcat.org/oclc/30353812","WorldCat Record")</f>
        <v>WorldCat Record</v>
      </c>
      <c r="AX4134" s="3" t="s">
        <v>39763</v>
      </c>
      <c r="AY4134" s="3" t="s">
        <v>39764</v>
      </c>
      <c r="AZ4134" s="3" t="s">
        <v>39765</v>
      </c>
      <c r="BA4134" s="3" t="s">
        <v>39765</v>
      </c>
      <c r="BB4134" s="3" t="s">
        <v>39771</v>
      </c>
      <c r="BC4134" s="3" t="s">
        <v>142</v>
      </c>
      <c r="BD4134" s="3" t="s">
        <v>68</v>
      </c>
      <c r="BE4134" s="3" t="s">
        <v>39767</v>
      </c>
      <c r="BF4134" s="3" t="s">
        <v>39771</v>
      </c>
      <c r="BG4134" s="3" t="s">
        <v>39772</v>
      </c>
    </row>
    <row r="4135" spans="1:59" ht="57" x14ac:dyDescent="0.45">
      <c r="A4135" s="2" t="s">
        <v>59</v>
      </c>
      <c r="B4135" s="2" t="s">
        <v>60</v>
      </c>
      <c r="C4135" s="2" t="s">
        <v>39773</v>
      </c>
      <c r="D4135" s="2" t="s">
        <v>39774</v>
      </c>
      <c r="E4135" s="2" t="s">
        <v>39775</v>
      </c>
      <c r="G4135" s="3" t="s">
        <v>62</v>
      </c>
      <c r="I4135" s="3" t="s">
        <v>62</v>
      </c>
      <c r="J4135" s="3" t="s">
        <v>62</v>
      </c>
      <c r="K4135" s="3" t="s">
        <v>63</v>
      </c>
      <c r="L4135" s="2" t="s">
        <v>39776</v>
      </c>
      <c r="M4135" s="2" t="s">
        <v>39777</v>
      </c>
      <c r="N4135" s="3" t="s">
        <v>820</v>
      </c>
      <c r="P4135" s="3" t="s">
        <v>110</v>
      </c>
      <c r="R4135" s="3" t="s">
        <v>66</v>
      </c>
      <c r="S4135" s="4">
        <v>4</v>
      </c>
      <c r="T4135" s="4">
        <v>4</v>
      </c>
      <c r="U4135" s="5" t="s">
        <v>10204</v>
      </c>
      <c r="V4135" s="5" t="s">
        <v>10204</v>
      </c>
      <c r="W4135" s="5" t="s">
        <v>67</v>
      </c>
      <c r="X4135" s="5" t="s">
        <v>67</v>
      </c>
      <c r="Y4135" s="4">
        <v>12</v>
      </c>
      <c r="Z4135" s="4">
        <v>7</v>
      </c>
      <c r="AA4135" s="4">
        <v>29</v>
      </c>
      <c r="AB4135" s="4">
        <v>1</v>
      </c>
      <c r="AC4135" s="4">
        <v>16</v>
      </c>
      <c r="AD4135" s="4">
        <v>4</v>
      </c>
      <c r="AE4135" s="4">
        <v>16</v>
      </c>
      <c r="AF4135" s="4">
        <v>0</v>
      </c>
      <c r="AG4135" s="4">
        <v>6</v>
      </c>
      <c r="AH4135" s="4">
        <v>3</v>
      </c>
      <c r="AI4135" s="4">
        <v>6</v>
      </c>
      <c r="AJ4135" s="4">
        <v>4</v>
      </c>
      <c r="AK4135" s="4">
        <v>12</v>
      </c>
      <c r="AL4135" s="4">
        <v>1</v>
      </c>
      <c r="AM4135" s="4">
        <v>1</v>
      </c>
      <c r="AN4135" s="4">
        <v>0</v>
      </c>
      <c r="AO4135" s="4">
        <v>0</v>
      </c>
      <c r="AP4135" s="4">
        <v>4</v>
      </c>
      <c r="AQ4135" s="4">
        <v>13</v>
      </c>
      <c r="AR4135" s="3" t="s">
        <v>61</v>
      </c>
      <c r="AS4135" s="3" t="s">
        <v>62</v>
      </c>
      <c r="AT4135" s="3" t="s">
        <v>62</v>
      </c>
      <c r="AV4135" s="6" t="str">
        <f>HYPERLINK("http://mcgill.on.worldcat.org/oclc/314157373","Catalog Record")</f>
        <v>Catalog Record</v>
      </c>
      <c r="AW4135" s="6" t="str">
        <f>HYPERLINK("http://www.worldcat.org/oclc/314157373","WorldCat Record")</f>
        <v>WorldCat Record</v>
      </c>
      <c r="AX4135" s="3" t="s">
        <v>39778</v>
      </c>
      <c r="AY4135" s="3" t="s">
        <v>39779</v>
      </c>
      <c r="AZ4135" s="3" t="s">
        <v>39780</v>
      </c>
      <c r="BA4135" s="3" t="s">
        <v>39780</v>
      </c>
      <c r="BB4135" s="3" t="s">
        <v>39781</v>
      </c>
      <c r="BC4135" s="3" t="s">
        <v>142</v>
      </c>
      <c r="BD4135" s="3" t="s">
        <v>68</v>
      </c>
      <c r="BE4135" s="3" t="s">
        <v>39782</v>
      </c>
      <c r="BF4135" s="3" t="s">
        <v>39781</v>
      </c>
      <c r="BG4135" s="3" t="s">
        <v>39783</v>
      </c>
    </row>
    <row r="4136" spans="1:59" ht="57" x14ac:dyDescent="0.45">
      <c r="A4136" s="2" t="s">
        <v>59</v>
      </c>
      <c r="B4136" s="2" t="s">
        <v>60</v>
      </c>
      <c r="C4136" s="2" t="s">
        <v>39784</v>
      </c>
      <c r="D4136" s="2" t="s">
        <v>39785</v>
      </c>
      <c r="E4136" s="2" t="s">
        <v>39786</v>
      </c>
      <c r="G4136" s="3" t="s">
        <v>62</v>
      </c>
      <c r="I4136" s="3" t="s">
        <v>62</v>
      </c>
      <c r="J4136" s="3" t="s">
        <v>62</v>
      </c>
      <c r="K4136" s="3" t="s">
        <v>63</v>
      </c>
      <c r="M4136" s="2" t="s">
        <v>39787</v>
      </c>
      <c r="N4136" s="3" t="s">
        <v>1688</v>
      </c>
      <c r="P4136" s="3" t="s">
        <v>110</v>
      </c>
      <c r="Q4136" s="2" t="s">
        <v>39788</v>
      </c>
      <c r="R4136" s="3" t="s">
        <v>66</v>
      </c>
      <c r="S4136" s="4">
        <v>2</v>
      </c>
      <c r="T4136" s="4">
        <v>2</v>
      </c>
      <c r="U4136" s="5" t="s">
        <v>23238</v>
      </c>
      <c r="V4136" s="5" t="s">
        <v>23238</v>
      </c>
      <c r="W4136" s="5" t="s">
        <v>67</v>
      </c>
      <c r="X4136" s="5" t="s">
        <v>67</v>
      </c>
      <c r="Y4136" s="4">
        <v>27</v>
      </c>
      <c r="Z4136" s="4">
        <v>16</v>
      </c>
      <c r="AA4136" s="4">
        <v>63</v>
      </c>
      <c r="AB4136" s="4">
        <v>1</v>
      </c>
      <c r="AC4136" s="4">
        <v>21</v>
      </c>
      <c r="AD4136" s="4">
        <v>20</v>
      </c>
      <c r="AE4136" s="4">
        <v>45</v>
      </c>
      <c r="AF4136" s="4">
        <v>0</v>
      </c>
      <c r="AG4136" s="4">
        <v>7</v>
      </c>
      <c r="AH4136" s="4">
        <v>14</v>
      </c>
      <c r="AI4136" s="4">
        <v>18</v>
      </c>
      <c r="AJ4136" s="4">
        <v>11</v>
      </c>
      <c r="AK4136" s="4">
        <v>21</v>
      </c>
      <c r="AL4136" s="4">
        <v>8</v>
      </c>
      <c r="AM4136" s="4">
        <v>9</v>
      </c>
      <c r="AN4136" s="4">
        <v>0</v>
      </c>
      <c r="AO4136" s="4">
        <v>0</v>
      </c>
      <c r="AP4136" s="4">
        <v>13</v>
      </c>
      <c r="AQ4136" s="4">
        <v>34</v>
      </c>
      <c r="AR4136" s="3" t="s">
        <v>61</v>
      </c>
      <c r="AS4136" s="3" t="s">
        <v>62</v>
      </c>
      <c r="AT4136" s="3" t="s">
        <v>62</v>
      </c>
      <c r="AV4136" s="6" t="str">
        <f>HYPERLINK("http://mcgill.on.worldcat.org/oclc/880676295","Catalog Record")</f>
        <v>Catalog Record</v>
      </c>
      <c r="AW4136" s="6" t="str">
        <f>HYPERLINK("http://www.worldcat.org/oclc/880676295","WorldCat Record")</f>
        <v>WorldCat Record</v>
      </c>
      <c r="AX4136" s="3" t="s">
        <v>39789</v>
      </c>
      <c r="AY4136" s="3" t="s">
        <v>39790</v>
      </c>
      <c r="AZ4136" s="3" t="s">
        <v>39791</v>
      </c>
      <c r="BA4136" s="3" t="s">
        <v>39791</v>
      </c>
      <c r="BB4136" s="3" t="s">
        <v>39792</v>
      </c>
      <c r="BC4136" s="3" t="s">
        <v>142</v>
      </c>
      <c r="BD4136" s="3" t="s">
        <v>68</v>
      </c>
      <c r="BE4136" s="3" t="s">
        <v>39793</v>
      </c>
      <c r="BF4136" s="3" t="s">
        <v>39792</v>
      </c>
      <c r="BG4136" s="3" t="s">
        <v>39794</v>
      </c>
    </row>
    <row r="4137" spans="1:59" ht="57" x14ac:dyDescent="0.45">
      <c r="A4137" s="2" t="s">
        <v>59</v>
      </c>
      <c r="B4137" s="2" t="s">
        <v>60</v>
      </c>
      <c r="C4137" s="2" t="s">
        <v>39795</v>
      </c>
      <c r="D4137" s="2" t="s">
        <v>39796</v>
      </c>
      <c r="E4137" s="2" t="s">
        <v>39797</v>
      </c>
      <c r="G4137" s="3" t="s">
        <v>62</v>
      </c>
      <c r="I4137" s="3" t="s">
        <v>61</v>
      </c>
      <c r="J4137" s="3" t="s">
        <v>62</v>
      </c>
      <c r="K4137" s="3" t="s">
        <v>63</v>
      </c>
      <c r="L4137" s="2" t="s">
        <v>39798</v>
      </c>
      <c r="M4137" s="2" t="s">
        <v>39799</v>
      </c>
      <c r="N4137" s="3" t="s">
        <v>106</v>
      </c>
      <c r="P4137" s="3" t="s">
        <v>110</v>
      </c>
      <c r="Q4137" s="2" t="s">
        <v>39800</v>
      </c>
      <c r="R4137" s="3" t="s">
        <v>66</v>
      </c>
      <c r="S4137" s="4">
        <v>51</v>
      </c>
      <c r="T4137" s="4">
        <v>51</v>
      </c>
      <c r="U4137" s="5" t="s">
        <v>5880</v>
      </c>
      <c r="V4137" s="5" t="s">
        <v>5880</v>
      </c>
      <c r="W4137" s="5" t="s">
        <v>67</v>
      </c>
      <c r="X4137" s="5" t="s">
        <v>67</v>
      </c>
      <c r="Y4137" s="4">
        <v>36</v>
      </c>
      <c r="Z4137" s="4">
        <v>15</v>
      </c>
      <c r="AA4137" s="4">
        <v>16</v>
      </c>
      <c r="AB4137" s="4">
        <v>3</v>
      </c>
      <c r="AC4137" s="4">
        <v>3</v>
      </c>
      <c r="AD4137" s="4">
        <v>26</v>
      </c>
      <c r="AE4137" s="4">
        <v>27</v>
      </c>
      <c r="AF4137" s="4">
        <v>2</v>
      </c>
      <c r="AG4137" s="4">
        <v>2</v>
      </c>
      <c r="AH4137" s="4">
        <v>21</v>
      </c>
      <c r="AI4137" s="4">
        <v>21</v>
      </c>
      <c r="AJ4137" s="4">
        <v>7</v>
      </c>
      <c r="AK4137" s="4">
        <v>8</v>
      </c>
      <c r="AL4137" s="4">
        <v>10</v>
      </c>
      <c r="AM4137" s="4">
        <v>10</v>
      </c>
      <c r="AN4137" s="4">
        <v>0</v>
      </c>
      <c r="AO4137" s="4">
        <v>0</v>
      </c>
      <c r="AP4137" s="4">
        <v>12</v>
      </c>
      <c r="AQ4137" s="4">
        <v>13</v>
      </c>
      <c r="AR4137" s="3" t="s">
        <v>61</v>
      </c>
      <c r="AS4137" s="3" t="s">
        <v>62</v>
      </c>
      <c r="AT4137" s="3" t="s">
        <v>61</v>
      </c>
      <c r="AU4137" s="6" t="str">
        <f>HYPERLINK("http://catalog.hathitrust.org/Record/004714520","HathiTrust Record")</f>
        <v>HathiTrust Record</v>
      </c>
      <c r="AV4137" s="6" t="str">
        <f>HYPERLINK("http://mcgill.on.worldcat.org/oclc/11159181","Catalog Record")</f>
        <v>Catalog Record</v>
      </c>
      <c r="AW4137" s="6" t="str">
        <f>HYPERLINK("http://www.worldcat.org/oclc/11159181","WorldCat Record")</f>
        <v>WorldCat Record</v>
      </c>
      <c r="AX4137" s="3" t="s">
        <v>39801</v>
      </c>
      <c r="AY4137" s="3" t="s">
        <v>39802</v>
      </c>
      <c r="AZ4137" s="3" t="s">
        <v>39803</v>
      </c>
      <c r="BA4137" s="3" t="s">
        <v>39803</v>
      </c>
      <c r="BB4137" s="3" t="s">
        <v>39804</v>
      </c>
      <c r="BC4137" s="3" t="s">
        <v>142</v>
      </c>
      <c r="BD4137" s="3" t="s">
        <v>68</v>
      </c>
      <c r="BE4137" s="3" t="s">
        <v>39805</v>
      </c>
      <c r="BF4137" s="3" t="s">
        <v>39804</v>
      </c>
      <c r="BG4137" s="3" t="s">
        <v>39806</v>
      </c>
    </row>
    <row r="4138" spans="1:59" ht="57" x14ac:dyDescent="0.45">
      <c r="A4138" s="2" t="s">
        <v>59</v>
      </c>
      <c r="B4138" s="2" t="s">
        <v>60</v>
      </c>
      <c r="C4138" s="2" t="s">
        <v>39807</v>
      </c>
      <c r="D4138" s="2" t="s">
        <v>39808</v>
      </c>
      <c r="E4138" s="2" t="s">
        <v>39809</v>
      </c>
      <c r="G4138" s="3" t="s">
        <v>62</v>
      </c>
      <c r="I4138" s="3" t="s">
        <v>62</v>
      </c>
      <c r="J4138" s="3" t="s">
        <v>62</v>
      </c>
      <c r="K4138" s="3" t="s">
        <v>63</v>
      </c>
      <c r="M4138" s="2" t="s">
        <v>39810</v>
      </c>
      <c r="N4138" s="3" t="s">
        <v>1855</v>
      </c>
      <c r="P4138" s="3" t="s">
        <v>110</v>
      </c>
      <c r="Q4138" s="2" t="s">
        <v>39811</v>
      </c>
      <c r="R4138" s="3" t="s">
        <v>66</v>
      </c>
      <c r="S4138" s="4">
        <v>11</v>
      </c>
      <c r="T4138" s="4">
        <v>11</v>
      </c>
      <c r="U4138" s="5" t="s">
        <v>5880</v>
      </c>
      <c r="V4138" s="5" t="s">
        <v>5880</v>
      </c>
      <c r="W4138" s="5" t="s">
        <v>67</v>
      </c>
      <c r="X4138" s="5" t="s">
        <v>67</v>
      </c>
      <c r="Y4138" s="4">
        <v>32</v>
      </c>
      <c r="Z4138" s="4">
        <v>24</v>
      </c>
      <c r="AA4138" s="4">
        <v>92</v>
      </c>
      <c r="AB4138" s="4">
        <v>8</v>
      </c>
      <c r="AC4138" s="4">
        <v>19</v>
      </c>
      <c r="AD4138" s="4">
        <v>18</v>
      </c>
      <c r="AE4138" s="4">
        <v>67</v>
      </c>
      <c r="AF4138" s="4">
        <v>5</v>
      </c>
      <c r="AG4138" s="4">
        <v>8</v>
      </c>
      <c r="AH4138" s="4">
        <v>6</v>
      </c>
      <c r="AI4138" s="4">
        <v>24</v>
      </c>
      <c r="AJ4138" s="4">
        <v>12</v>
      </c>
      <c r="AK4138" s="4">
        <v>26</v>
      </c>
      <c r="AL4138" s="4">
        <v>2</v>
      </c>
      <c r="AM4138" s="4">
        <v>10</v>
      </c>
      <c r="AN4138" s="4">
        <v>0</v>
      </c>
      <c r="AO4138" s="4">
        <v>0</v>
      </c>
      <c r="AP4138" s="4">
        <v>14</v>
      </c>
      <c r="AQ4138" s="4">
        <v>51</v>
      </c>
      <c r="AR4138" s="3" t="s">
        <v>61</v>
      </c>
      <c r="AS4138" s="3" t="s">
        <v>62</v>
      </c>
      <c r="AT4138" s="3" t="s">
        <v>62</v>
      </c>
      <c r="AV4138" s="6" t="str">
        <f>HYPERLINK("http://mcgill.on.worldcat.org/oclc/57431576","Catalog Record")</f>
        <v>Catalog Record</v>
      </c>
      <c r="AW4138" s="6" t="str">
        <f>HYPERLINK("http://www.worldcat.org/oclc/57431576","WorldCat Record")</f>
        <v>WorldCat Record</v>
      </c>
      <c r="AX4138" s="3" t="s">
        <v>39812</v>
      </c>
      <c r="AY4138" s="3" t="s">
        <v>39813</v>
      </c>
      <c r="AZ4138" s="3" t="s">
        <v>39814</v>
      </c>
      <c r="BA4138" s="3" t="s">
        <v>39814</v>
      </c>
      <c r="BB4138" s="3" t="s">
        <v>39815</v>
      </c>
      <c r="BC4138" s="3" t="s">
        <v>142</v>
      </c>
      <c r="BD4138" s="3" t="s">
        <v>68</v>
      </c>
      <c r="BE4138" s="3" t="s">
        <v>39816</v>
      </c>
      <c r="BF4138" s="3" t="s">
        <v>39815</v>
      </c>
      <c r="BG4138" s="3" t="s">
        <v>39817</v>
      </c>
    </row>
    <row r="4139" spans="1:59" ht="57" x14ac:dyDescent="0.45">
      <c r="A4139" s="2" t="s">
        <v>59</v>
      </c>
      <c r="B4139" s="2" t="s">
        <v>60</v>
      </c>
      <c r="C4139" s="2" t="s">
        <v>39818</v>
      </c>
      <c r="D4139" s="2" t="s">
        <v>39819</v>
      </c>
      <c r="E4139" s="2" t="s">
        <v>39820</v>
      </c>
      <c r="G4139" s="3" t="s">
        <v>62</v>
      </c>
      <c r="I4139" s="3" t="s">
        <v>62</v>
      </c>
      <c r="J4139" s="3" t="s">
        <v>62</v>
      </c>
      <c r="K4139" s="3" t="s">
        <v>63</v>
      </c>
      <c r="L4139" s="2" t="s">
        <v>39821</v>
      </c>
      <c r="M4139" s="2" t="s">
        <v>39822</v>
      </c>
      <c r="N4139" s="3" t="s">
        <v>970</v>
      </c>
      <c r="P4139" s="3" t="s">
        <v>110</v>
      </c>
      <c r="Q4139" s="2" t="s">
        <v>39823</v>
      </c>
      <c r="R4139" s="3" t="s">
        <v>66</v>
      </c>
      <c r="S4139" s="4">
        <v>13</v>
      </c>
      <c r="T4139" s="4">
        <v>13</v>
      </c>
      <c r="U4139" s="5" t="s">
        <v>39694</v>
      </c>
      <c r="V4139" s="5" t="s">
        <v>39694</v>
      </c>
      <c r="W4139" s="5" t="s">
        <v>67</v>
      </c>
      <c r="X4139" s="5" t="s">
        <v>67</v>
      </c>
      <c r="Y4139" s="4">
        <v>20</v>
      </c>
      <c r="Z4139" s="4">
        <v>18</v>
      </c>
      <c r="AA4139" s="4">
        <v>26</v>
      </c>
      <c r="AB4139" s="4">
        <v>6</v>
      </c>
      <c r="AC4139" s="4">
        <v>7</v>
      </c>
      <c r="AD4139" s="4">
        <v>12</v>
      </c>
      <c r="AE4139" s="4">
        <v>22</v>
      </c>
      <c r="AF4139" s="4">
        <v>3</v>
      </c>
      <c r="AG4139" s="4">
        <v>3</v>
      </c>
      <c r="AH4139" s="4">
        <v>5</v>
      </c>
      <c r="AI4139" s="4">
        <v>13</v>
      </c>
      <c r="AJ4139" s="4">
        <v>9</v>
      </c>
      <c r="AK4139" s="4">
        <v>13</v>
      </c>
      <c r="AL4139" s="4">
        <v>1</v>
      </c>
      <c r="AM4139" s="4">
        <v>5</v>
      </c>
      <c r="AN4139" s="4">
        <v>0</v>
      </c>
      <c r="AO4139" s="4">
        <v>0</v>
      </c>
      <c r="AP4139" s="4">
        <v>9</v>
      </c>
      <c r="AQ4139" s="4">
        <v>14</v>
      </c>
      <c r="AR4139" s="3" t="s">
        <v>61</v>
      </c>
      <c r="AS4139" s="3" t="s">
        <v>62</v>
      </c>
      <c r="AT4139" s="3" t="s">
        <v>61</v>
      </c>
      <c r="AU4139" s="6" t="str">
        <f>HYPERLINK("http://catalog.hathitrust.org/Record/007492817","HathiTrust Record")</f>
        <v>HathiTrust Record</v>
      </c>
      <c r="AV4139" s="6" t="str">
        <f>HYPERLINK("http://mcgill.on.worldcat.org/oclc/48804006","Catalog Record")</f>
        <v>Catalog Record</v>
      </c>
      <c r="AW4139" s="6" t="str">
        <f>HYPERLINK("http://www.worldcat.org/oclc/48804006","WorldCat Record")</f>
        <v>WorldCat Record</v>
      </c>
      <c r="AX4139" s="3" t="s">
        <v>39824</v>
      </c>
      <c r="AY4139" s="3" t="s">
        <v>39825</v>
      </c>
      <c r="AZ4139" s="3" t="s">
        <v>39826</v>
      </c>
      <c r="BA4139" s="3" t="s">
        <v>39826</v>
      </c>
      <c r="BB4139" s="3" t="s">
        <v>39827</v>
      </c>
      <c r="BC4139" s="3" t="s">
        <v>142</v>
      </c>
      <c r="BD4139" s="3" t="s">
        <v>68</v>
      </c>
      <c r="BE4139" s="3" t="s">
        <v>39828</v>
      </c>
      <c r="BF4139" s="3" t="s">
        <v>39827</v>
      </c>
      <c r="BG4139" s="3" t="s">
        <v>39829</v>
      </c>
    </row>
    <row r="4140" spans="1:59" ht="57" x14ac:dyDescent="0.45">
      <c r="A4140" s="2" t="s">
        <v>59</v>
      </c>
      <c r="B4140" s="2" t="s">
        <v>60</v>
      </c>
      <c r="C4140" s="2" t="s">
        <v>39830</v>
      </c>
      <c r="D4140" s="2" t="s">
        <v>39831</v>
      </c>
      <c r="E4140" s="2" t="s">
        <v>39832</v>
      </c>
      <c r="G4140" s="3" t="s">
        <v>62</v>
      </c>
      <c r="I4140" s="3" t="s">
        <v>61</v>
      </c>
      <c r="J4140" s="3" t="s">
        <v>62</v>
      </c>
      <c r="K4140" s="3" t="s">
        <v>63</v>
      </c>
      <c r="L4140" s="2" t="s">
        <v>39833</v>
      </c>
      <c r="M4140" s="2" t="s">
        <v>39834</v>
      </c>
      <c r="N4140" s="3" t="s">
        <v>125</v>
      </c>
      <c r="P4140" s="3" t="s">
        <v>65</v>
      </c>
      <c r="Q4140" s="2" t="s">
        <v>39835</v>
      </c>
      <c r="R4140" s="3" t="s">
        <v>66</v>
      </c>
      <c r="S4140" s="4">
        <v>61</v>
      </c>
      <c r="T4140" s="4">
        <v>236</v>
      </c>
      <c r="U4140" s="5" t="s">
        <v>16504</v>
      </c>
      <c r="V4140" s="5" t="s">
        <v>1337</v>
      </c>
      <c r="W4140" s="5" t="s">
        <v>67</v>
      </c>
      <c r="X4140" s="5" t="s">
        <v>67</v>
      </c>
      <c r="Y4140" s="4">
        <v>350</v>
      </c>
      <c r="Z4140" s="4">
        <v>54</v>
      </c>
      <c r="AA4140" s="4">
        <v>74</v>
      </c>
      <c r="AB4140" s="4">
        <v>4</v>
      </c>
      <c r="AC4140" s="4">
        <v>19</v>
      </c>
      <c r="AD4140" s="4">
        <v>131</v>
      </c>
      <c r="AE4140" s="4">
        <v>145</v>
      </c>
      <c r="AF4140" s="4">
        <v>2</v>
      </c>
      <c r="AG4140" s="4">
        <v>10</v>
      </c>
      <c r="AH4140" s="4">
        <v>100</v>
      </c>
      <c r="AI4140" s="4">
        <v>104</v>
      </c>
      <c r="AJ4140" s="4">
        <v>25</v>
      </c>
      <c r="AK4140" s="4">
        <v>29</v>
      </c>
      <c r="AL4140" s="4">
        <v>55</v>
      </c>
      <c r="AM4140" s="4">
        <v>55</v>
      </c>
      <c r="AN4140" s="4">
        <v>0</v>
      </c>
      <c r="AO4140" s="4">
        <v>0</v>
      </c>
      <c r="AP4140" s="4">
        <v>38</v>
      </c>
      <c r="AQ4140" s="4">
        <v>48</v>
      </c>
      <c r="AR4140" s="3" t="s">
        <v>62</v>
      </c>
      <c r="AS4140" s="3" t="s">
        <v>62</v>
      </c>
      <c r="AT4140" s="3" t="s">
        <v>62</v>
      </c>
      <c r="AV4140" s="6" t="str">
        <f>HYPERLINK("http://mcgill.on.worldcat.org/oclc/20417813","Catalog Record")</f>
        <v>Catalog Record</v>
      </c>
      <c r="AW4140" s="6" t="str">
        <f>HYPERLINK("http://www.worldcat.org/oclc/20417813","WorldCat Record")</f>
        <v>WorldCat Record</v>
      </c>
      <c r="AX4140" s="3" t="s">
        <v>39836</v>
      </c>
      <c r="AY4140" s="3" t="s">
        <v>39837</v>
      </c>
      <c r="AZ4140" s="3" t="s">
        <v>39838</v>
      </c>
      <c r="BA4140" s="3" t="s">
        <v>39838</v>
      </c>
      <c r="BB4140" s="3" t="s">
        <v>39839</v>
      </c>
      <c r="BC4140" s="3" t="s">
        <v>142</v>
      </c>
      <c r="BD4140" s="3" t="s">
        <v>308</v>
      </c>
      <c r="BE4140" s="3" t="s">
        <v>39840</v>
      </c>
      <c r="BF4140" s="3" t="s">
        <v>39839</v>
      </c>
      <c r="BG4140" s="3" t="s">
        <v>39841</v>
      </c>
    </row>
    <row r="4141" spans="1:59" ht="57" x14ac:dyDescent="0.45">
      <c r="A4141" s="2" t="s">
        <v>59</v>
      </c>
      <c r="B4141" s="2" t="s">
        <v>60</v>
      </c>
      <c r="C4141" s="2" t="s">
        <v>39830</v>
      </c>
      <c r="D4141" s="2" t="s">
        <v>39831</v>
      </c>
      <c r="E4141" s="2" t="s">
        <v>39832</v>
      </c>
      <c r="G4141" s="3" t="s">
        <v>62</v>
      </c>
      <c r="I4141" s="3" t="s">
        <v>61</v>
      </c>
      <c r="J4141" s="3" t="s">
        <v>62</v>
      </c>
      <c r="K4141" s="3" t="s">
        <v>63</v>
      </c>
      <c r="L4141" s="2" t="s">
        <v>39833</v>
      </c>
      <c r="M4141" s="2" t="s">
        <v>39834</v>
      </c>
      <c r="N4141" s="3" t="s">
        <v>125</v>
      </c>
      <c r="P4141" s="3" t="s">
        <v>65</v>
      </c>
      <c r="Q4141" s="2" t="s">
        <v>39835</v>
      </c>
      <c r="R4141" s="3" t="s">
        <v>66</v>
      </c>
      <c r="S4141" s="4">
        <v>51</v>
      </c>
      <c r="T4141" s="4">
        <v>236</v>
      </c>
      <c r="U4141" s="5" t="s">
        <v>8307</v>
      </c>
      <c r="V4141" s="5" t="s">
        <v>1337</v>
      </c>
      <c r="W4141" s="5" t="s">
        <v>67</v>
      </c>
      <c r="X4141" s="5" t="s">
        <v>67</v>
      </c>
      <c r="Y4141" s="4">
        <v>350</v>
      </c>
      <c r="Z4141" s="4">
        <v>54</v>
      </c>
      <c r="AA4141" s="4">
        <v>74</v>
      </c>
      <c r="AB4141" s="4">
        <v>4</v>
      </c>
      <c r="AC4141" s="4">
        <v>19</v>
      </c>
      <c r="AD4141" s="4">
        <v>131</v>
      </c>
      <c r="AE4141" s="4">
        <v>145</v>
      </c>
      <c r="AF4141" s="4">
        <v>2</v>
      </c>
      <c r="AG4141" s="4">
        <v>10</v>
      </c>
      <c r="AH4141" s="4">
        <v>100</v>
      </c>
      <c r="AI4141" s="4">
        <v>104</v>
      </c>
      <c r="AJ4141" s="4">
        <v>25</v>
      </c>
      <c r="AK4141" s="4">
        <v>29</v>
      </c>
      <c r="AL4141" s="4">
        <v>55</v>
      </c>
      <c r="AM4141" s="4">
        <v>55</v>
      </c>
      <c r="AN4141" s="4">
        <v>0</v>
      </c>
      <c r="AO4141" s="4">
        <v>0</v>
      </c>
      <c r="AP4141" s="4">
        <v>38</v>
      </c>
      <c r="AQ4141" s="4">
        <v>48</v>
      </c>
      <c r="AR4141" s="3" t="s">
        <v>62</v>
      </c>
      <c r="AS4141" s="3" t="s">
        <v>62</v>
      </c>
      <c r="AT4141" s="3" t="s">
        <v>62</v>
      </c>
      <c r="AV4141" s="6" t="str">
        <f>HYPERLINK("http://mcgill.on.worldcat.org/oclc/20417813","Catalog Record")</f>
        <v>Catalog Record</v>
      </c>
      <c r="AW4141" s="6" t="str">
        <f>HYPERLINK("http://www.worldcat.org/oclc/20417813","WorldCat Record")</f>
        <v>WorldCat Record</v>
      </c>
      <c r="AX4141" s="3" t="s">
        <v>39836</v>
      </c>
      <c r="AY4141" s="3" t="s">
        <v>39837</v>
      </c>
      <c r="AZ4141" s="3" t="s">
        <v>39838</v>
      </c>
      <c r="BA4141" s="3" t="s">
        <v>39838</v>
      </c>
      <c r="BB4141" s="3" t="s">
        <v>39842</v>
      </c>
      <c r="BC4141" s="3" t="s">
        <v>142</v>
      </c>
      <c r="BD4141" s="3" t="s">
        <v>68</v>
      </c>
      <c r="BE4141" s="3" t="s">
        <v>39840</v>
      </c>
      <c r="BF4141" s="3" t="s">
        <v>39842</v>
      </c>
      <c r="BG4141" s="3" t="s">
        <v>39843</v>
      </c>
    </row>
    <row r="4142" spans="1:59" ht="57" x14ac:dyDescent="0.45">
      <c r="A4142" s="2" t="s">
        <v>59</v>
      </c>
      <c r="B4142" s="2" t="s">
        <v>60</v>
      </c>
      <c r="C4142" s="2" t="s">
        <v>39830</v>
      </c>
      <c r="D4142" s="2" t="s">
        <v>39831</v>
      </c>
      <c r="E4142" s="2" t="s">
        <v>39832</v>
      </c>
      <c r="G4142" s="3" t="s">
        <v>62</v>
      </c>
      <c r="I4142" s="3" t="s">
        <v>61</v>
      </c>
      <c r="J4142" s="3" t="s">
        <v>62</v>
      </c>
      <c r="K4142" s="3" t="s">
        <v>63</v>
      </c>
      <c r="L4142" s="2" t="s">
        <v>39833</v>
      </c>
      <c r="M4142" s="2" t="s">
        <v>39834</v>
      </c>
      <c r="N4142" s="3" t="s">
        <v>125</v>
      </c>
      <c r="P4142" s="3" t="s">
        <v>65</v>
      </c>
      <c r="Q4142" s="2" t="s">
        <v>39835</v>
      </c>
      <c r="R4142" s="3" t="s">
        <v>66</v>
      </c>
      <c r="S4142" s="4">
        <v>124</v>
      </c>
      <c r="T4142" s="4">
        <v>236</v>
      </c>
      <c r="U4142" s="5" t="s">
        <v>1337</v>
      </c>
      <c r="V4142" s="5" t="s">
        <v>1337</v>
      </c>
      <c r="W4142" s="5" t="s">
        <v>67</v>
      </c>
      <c r="X4142" s="5" t="s">
        <v>67</v>
      </c>
      <c r="Y4142" s="4">
        <v>350</v>
      </c>
      <c r="Z4142" s="4">
        <v>54</v>
      </c>
      <c r="AA4142" s="4">
        <v>74</v>
      </c>
      <c r="AB4142" s="4">
        <v>4</v>
      </c>
      <c r="AC4142" s="4">
        <v>19</v>
      </c>
      <c r="AD4142" s="4">
        <v>131</v>
      </c>
      <c r="AE4142" s="4">
        <v>145</v>
      </c>
      <c r="AF4142" s="4">
        <v>2</v>
      </c>
      <c r="AG4142" s="4">
        <v>10</v>
      </c>
      <c r="AH4142" s="4">
        <v>100</v>
      </c>
      <c r="AI4142" s="4">
        <v>104</v>
      </c>
      <c r="AJ4142" s="4">
        <v>25</v>
      </c>
      <c r="AK4142" s="4">
        <v>29</v>
      </c>
      <c r="AL4142" s="4">
        <v>55</v>
      </c>
      <c r="AM4142" s="4">
        <v>55</v>
      </c>
      <c r="AN4142" s="4">
        <v>0</v>
      </c>
      <c r="AO4142" s="4">
        <v>0</v>
      </c>
      <c r="AP4142" s="4">
        <v>38</v>
      </c>
      <c r="AQ4142" s="4">
        <v>48</v>
      </c>
      <c r="AR4142" s="3" t="s">
        <v>62</v>
      </c>
      <c r="AS4142" s="3" t="s">
        <v>62</v>
      </c>
      <c r="AT4142" s="3" t="s">
        <v>62</v>
      </c>
      <c r="AV4142" s="6" t="str">
        <f>HYPERLINK("http://mcgill.on.worldcat.org/oclc/20417813","Catalog Record")</f>
        <v>Catalog Record</v>
      </c>
      <c r="AW4142" s="6" t="str">
        <f>HYPERLINK("http://www.worldcat.org/oclc/20417813","WorldCat Record")</f>
        <v>WorldCat Record</v>
      </c>
      <c r="AX4142" s="3" t="s">
        <v>39836</v>
      </c>
      <c r="AY4142" s="3" t="s">
        <v>39837</v>
      </c>
      <c r="AZ4142" s="3" t="s">
        <v>39838</v>
      </c>
      <c r="BA4142" s="3" t="s">
        <v>39838</v>
      </c>
      <c r="BB4142" s="3" t="s">
        <v>39844</v>
      </c>
      <c r="BC4142" s="3" t="s">
        <v>142</v>
      </c>
      <c r="BD4142" s="3" t="s">
        <v>68</v>
      </c>
      <c r="BE4142" s="3" t="s">
        <v>39840</v>
      </c>
      <c r="BF4142" s="3" t="s">
        <v>39844</v>
      </c>
      <c r="BG4142" s="3" t="s">
        <v>39845</v>
      </c>
    </row>
    <row r="4143" spans="1:59" ht="57" x14ac:dyDescent="0.45">
      <c r="A4143" s="2" t="s">
        <v>59</v>
      </c>
      <c r="B4143" s="2" t="s">
        <v>60</v>
      </c>
      <c r="C4143" s="2" t="s">
        <v>39846</v>
      </c>
      <c r="D4143" s="2" t="s">
        <v>39847</v>
      </c>
      <c r="E4143" s="2" t="s">
        <v>39848</v>
      </c>
      <c r="G4143" s="3" t="s">
        <v>62</v>
      </c>
      <c r="I4143" s="3" t="s">
        <v>62</v>
      </c>
      <c r="J4143" s="3" t="s">
        <v>62</v>
      </c>
      <c r="K4143" s="3" t="s">
        <v>63</v>
      </c>
      <c r="L4143" s="2" t="s">
        <v>39833</v>
      </c>
      <c r="M4143" s="2" t="s">
        <v>39849</v>
      </c>
      <c r="N4143" s="3" t="s">
        <v>1253</v>
      </c>
      <c r="P4143" s="3" t="s">
        <v>110</v>
      </c>
      <c r="Q4143" s="2" t="s">
        <v>39850</v>
      </c>
      <c r="R4143" s="3" t="s">
        <v>66</v>
      </c>
      <c r="S4143" s="4">
        <v>46</v>
      </c>
      <c r="T4143" s="4">
        <v>46</v>
      </c>
      <c r="U4143" s="5" t="s">
        <v>4022</v>
      </c>
      <c r="V4143" s="5" t="s">
        <v>4022</v>
      </c>
      <c r="W4143" s="5" t="s">
        <v>67</v>
      </c>
      <c r="X4143" s="5" t="s">
        <v>67</v>
      </c>
      <c r="Y4143" s="4">
        <v>27</v>
      </c>
      <c r="Z4143" s="4">
        <v>19</v>
      </c>
      <c r="AA4143" s="4">
        <v>24</v>
      </c>
      <c r="AB4143" s="4">
        <v>13</v>
      </c>
      <c r="AC4143" s="4">
        <v>13</v>
      </c>
      <c r="AD4143" s="4">
        <v>13</v>
      </c>
      <c r="AE4143" s="4">
        <v>16</v>
      </c>
      <c r="AF4143" s="4">
        <v>6</v>
      </c>
      <c r="AG4143" s="4">
        <v>6</v>
      </c>
      <c r="AH4143" s="4">
        <v>5</v>
      </c>
      <c r="AI4143" s="4">
        <v>7</v>
      </c>
      <c r="AJ4143" s="4">
        <v>8</v>
      </c>
      <c r="AK4143" s="4">
        <v>10</v>
      </c>
      <c r="AL4143" s="4">
        <v>2</v>
      </c>
      <c r="AM4143" s="4">
        <v>3</v>
      </c>
      <c r="AN4143" s="4">
        <v>0</v>
      </c>
      <c r="AO4143" s="4">
        <v>0</v>
      </c>
      <c r="AP4143" s="4">
        <v>8</v>
      </c>
      <c r="AQ4143" s="4">
        <v>11</v>
      </c>
      <c r="AR4143" s="3" t="s">
        <v>61</v>
      </c>
      <c r="AS4143" s="3" t="s">
        <v>62</v>
      </c>
      <c r="AT4143" s="3" t="s">
        <v>61</v>
      </c>
      <c r="AU4143" s="6" t="str">
        <f>HYPERLINK("http://catalog.hathitrust.org/Record/003556713","HathiTrust Record")</f>
        <v>HathiTrust Record</v>
      </c>
      <c r="AV4143" s="6" t="str">
        <f>HYPERLINK("http://mcgill.on.worldcat.org/oclc/36693628","Catalog Record")</f>
        <v>Catalog Record</v>
      </c>
      <c r="AW4143" s="6" t="str">
        <f>HYPERLINK("http://www.worldcat.org/oclc/36693628","WorldCat Record")</f>
        <v>WorldCat Record</v>
      </c>
      <c r="AX4143" s="3" t="s">
        <v>39851</v>
      </c>
      <c r="AY4143" s="3" t="s">
        <v>39852</v>
      </c>
      <c r="AZ4143" s="3" t="s">
        <v>39853</v>
      </c>
      <c r="BA4143" s="3" t="s">
        <v>39853</v>
      </c>
      <c r="BB4143" s="3" t="s">
        <v>39854</v>
      </c>
      <c r="BC4143" s="3" t="s">
        <v>142</v>
      </c>
      <c r="BD4143" s="3" t="s">
        <v>68</v>
      </c>
      <c r="BE4143" s="3" t="s">
        <v>39855</v>
      </c>
      <c r="BF4143" s="3" t="s">
        <v>39854</v>
      </c>
      <c r="BG4143" s="3" t="s">
        <v>39856</v>
      </c>
    </row>
    <row r="4144" spans="1:59" ht="57" x14ac:dyDescent="0.45">
      <c r="A4144" s="2" t="s">
        <v>59</v>
      </c>
      <c r="B4144" s="2" t="s">
        <v>60</v>
      </c>
      <c r="C4144" s="2" t="s">
        <v>39857</v>
      </c>
      <c r="D4144" s="2" t="s">
        <v>39858</v>
      </c>
      <c r="E4144" s="2" t="s">
        <v>39859</v>
      </c>
      <c r="G4144" s="3" t="s">
        <v>62</v>
      </c>
      <c r="I4144" s="3" t="s">
        <v>61</v>
      </c>
      <c r="J4144" s="3" t="s">
        <v>62</v>
      </c>
      <c r="K4144" s="3" t="s">
        <v>63</v>
      </c>
      <c r="M4144" s="2" t="s">
        <v>14039</v>
      </c>
      <c r="N4144" s="3" t="s">
        <v>918</v>
      </c>
      <c r="P4144" s="3" t="s">
        <v>65</v>
      </c>
      <c r="R4144" s="3" t="s">
        <v>66</v>
      </c>
      <c r="S4144" s="4">
        <v>41</v>
      </c>
      <c r="T4144" s="4">
        <v>85</v>
      </c>
      <c r="U4144" s="5" t="s">
        <v>11178</v>
      </c>
      <c r="V4144" s="5" t="s">
        <v>7135</v>
      </c>
      <c r="W4144" s="5" t="s">
        <v>67</v>
      </c>
      <c r="X4144" s="5" t="s">
        <v>67</v>
      </c>
      <c r="Y4144" s="4">
        <v>263</v>
      </c>
      <c r="Z4144" s="4">
        <v>37</v>
      </c>
      <c r="AA4144" s="4">
        <v>42</v>
      </c>
      <c r="AB4144" s="4">
        <v>3</v>
      </c>
      <c r="AC4144" s="4">
        <v>6</v>
      </c>
      <c r="AD4144" s="4">
        <v>90</v>
      </c>
      <c r="AE4144" s="4">
        <v>94</v>
      </c>
      <c r="AF4144" s="4">
        <v>2</v>
      </c>
      <c r="AG4144" s="4">
        <v>4</v>
      </c>
      <c r="AH4144" s="4">
        <v>71</v>
      </c>
      <c r="AI4144" s="4">
        <v>73</v>
      </c>
      <c r="AJ4144" s="4">
        <v>19</v>
      </c>
      <c r="AK4144" s="4">
        <v>21</v>
      </c>
      <c r="AL4144" s="4">
        <v>38</v>
      </c>
      <c r="AM4144" s="4">
        <v>39</v>
      </c>
      <c r="AN4144" s="4">
        <v>0</v>
      </c>
      <c r="AO4144" s="4">
        <v>0</v>
      </c>
      <c r="AP4144" s="4">
        <v>27</v>
      </c>
      <c r="AQ4144" s="4">
        <v>30</v>
      </c>
      <c r="AR4144" s="3" t="s">
        <v>62</v>
      </c>
      <c r="AS4144" s="3" t="s">
        <v>62</v>
      </c>
      <c r="AT4144" s="3" t="s">
        <v>62</v>
      </c>
      <c r="AV4144" s="6" t="str">
        <f>HYPERLINK("http://mcgill.on.worldcat.org/oclc/50090249","Catalog Record")</f>
        <v>Catalog Record</v>
      </c>
      <c r="AW4144" s="6" t="str">
        <f>HYPERLINK("http://www.worldcat.org/oclc/50090249","WorldCat Record")</f>
        <v>WorldCat Record</v>
      </c>
      <c r="AX4144" s="3" t="s">
        <v>39860</v>
      </c>
      <c r="AY4144" s="3" t="s">
        <v>39861</v>
      </c>
      <c r="AZ4144" s="3" t="s">
        <v>39862</v>
      </c>
      <c r="BA4144" s="3" t="s">
        <v>39862</v>
      </c>
      <c r="BB4144" s="3" t="s">
        <v>39863</v>
      </c>
      <c r="BC4144" s="3" t="s">
        <v>142</v>
      </c>
      <c r="BD4144" s="3" t="s">
        <v>68</v>
      </c>
      <c r="BE4144" s="3" t="s">
        <v>39864</v>
      </c>
      <c r="BF4144" s="3" t="s">
        <v>39863</v>
      </c>
      <c r="BG4144" s="3" t="s">
        <v>39865</v>
      </c>
    </row>
    <row r="4145" spans="1:59" ht="57" x14ac:dyDescent="0.45">
      <c r="A4145" s="2" t="s">
        <v>59</v>
      </c>
      <c r="B4145" s="2" t="s">
        <v>60</v>
      </c>
      <c r="C4145" s="2" t="s">
        <v>39857</v>
      </c>
      <c r="D4145" s="2" t="s">
        <v>39858</v>
      </c>
      <c r="E4145" s="2" t="s">
        <v>39859</v>
      </c>
      <c r="G4145" s="3" t="s">
        <v>62</v>
      </c>
      <c r="I4145" s="3" t="s">
        <v>61</v>
      </c>
      <c r="J4145" s="3" t="s">
        <v>62</v>
      </c>
      <c r="K4145" s="3" t="s">
        <v>63</v>
      </c>
      <c r="M4145" s="2" t="s">
        <v>14039</v>
      </c>
      <c r="N4145" s="3" t="s">
        <v>918</v>
      </c>
      <c r="P4145" s="3" t="s">
        <v>65</v>
      </c>
      <c r="R4145" s="3" t="s">
        <v>66</v>
      </c>
      <c r="S4145" s="4">
        <v>44</v>
      </c>
      <c r="T4145" s="4">
        <v>85</v>
      </c>
      <c r="U4145" s="5" t="s">
        <v>7135</v>
      </c>
      <c r="V4145" s="5" t="s">
        <v>7135</v>
      </c>
      <c r="W4145" s="5" t="s">
        <v>67</v>
      </c>
      <c r="X4145" s="5" t="s">
        <v>67</v>
      </c>
      <c r="Y4145" s="4">
        <v>263</v>
      </c>
      <c r="Z4145" s="4">
        <v>37</v>
      </c>
      <c r="AA4145" s="4">
        <v>42</v>
      </c>
      <c r="AB4145" s="4">
        <v>3</v>
      </c>
      <c r="AC4145" s="4">
        <v>6</v>
      </c>
      <c r="AD4145" s="4">
        <v>90</v>
      </c>
      <c r="AE4145" s="4">
        <v>94</v>
      </c>
      <c r="AF4145" s="4">
        <v>2</v>
      </c>
      <c r="AG4145" s="4">
        <v>4</v>
      </c>
      <c r="AH4145" s="4">
        <v>71</v>
      </c>
      <c r="AI4145" s="4">
        <v>73</v>
      </c>
      <c r="AJ4145" s="4">
        <v>19</v>
      </c>
      <c r="AK4145" s="4">
        <v>21</v>
      </c>
      <c r="AL4145" s="4">
        <v>38</v>
      </c>
      <c r="AM4145" s="4">
        <v>39</v>
      </c>
      <c r="AN4145" s="4">
        <v>0</v>
      </c>
      <c r="AO4145" s="4">
        <v>0</v>
      </c>
      <c r="AP4145" s="4">
        <v>27</v>
      </c>
      <c r="AQ4145" s="4">
        <v>30</v>
      </c>
      <c r="AR4145" s="3" t="s">
        <v>62</v>
      </c>
      <c r="AS4145" s="3" t="s">
        <v>62</v>
      </c>
      <c r="AT4145" s="3" t="s">
        <v>62</v>
      </c>
      <c r="AV4145" s="6" t="str">
        <f>HYPERLINK("http://mcgill.on.worldcat.org/oclc/50090249","Catalog Record")</f>
        <v>Catalog Record</v>
      </c>
      <c r="AW4145" s="6" t="str">
        <f>HYPERLINK("http://www.worldcat.org/oclc/50090249","WorldCat Record")</f>
        <v>WorldCat Record</v>
      </c>
      <c r="AX4145" s="3" t="s">
        <v>39860</v>
      </c>
      <c r="AY4145" s="3" t="s">
        <v>39861</v>
      </c>
      <c r="AZ4145" s="3" t="s">
        <v>39862</v>
      </c>
      <c r="BA4145" s="3" t="s">
        <v>39862</v>
      </c>
      <c r="BB4145" s="3" t="s">
        <v>39866</v>
      </c>
      <c r="BC4145" s="3" t="s">
        <v>142</v>
      </c>
      <c r="BD4145" s="3" t="s">
        <v>68</v>
      </c>
      <c r="BE4145" s="3" t="s">
        <v>39864</v>
      </c>
      <c r="BF4145" s="3" t="s">
        <v>39866</v>
      </c>
      <c r="BG4145" s="3" t="s">
        <v>39867</v>
      </c>
    </row>
    <row r="4146" spans="1:59" ht="57" x14ac:dyDescent="0.45">
      <c r="A4146" s="2" t="s">
        <v>59</v>
      </c>
      <c r="B4146" s="2" t="s">
        <v>60</v>
      </c>
      <c r="C4146" s="2" t="s">
        <v>39868</v>
      </c>
      <c r="D4146" s="2" t="s">
        <v>39869</v>
      </c>
      <c r="E4146" s="2" t="s">
        <v>39870</v>
      </c>
      <c r="G4146" s="3" t="s">
        <v>62</v>
      </c>
      <c r="I4146" s="3" t="s">
        <v>61</v>
      </c>
      <c r="J4146" s="3" t="s">
        <v>62</v>
      </c>
      <c r="K4146" s="3" t="s">
        <v>63</v>
      </c>
      <c r="L4146" s="2" t="s">
        <v>39871</v>
      </c>
      <c r="M4146" s="2" t="s">
        <v>22726</v>
      </c>
      <c r="N4146" s="3" t="s">
        <v>1437</v>
      </c>
      <c r="P4146" s="3" t="s">
        <v>65</v>
      </c>
      <c r="R4146" s="3" t="s">
        <v>66</v>
      </c>
      <c r="S4146" s="4">
        <v>31</v>
      </c>
      <c r="T4146" s="4">
        <v>100</v>
      </c>
      <c r="U4146" s="5" t="s">
        <v>10962</v>
      </c>
      <c r="V4146" s="5" t="s">
        <v>10962</v>
      </c>
      <c r="W4146" s="5" t="s">
        <v>67</v>
      </c>
      <c r="X4146" s="5" t="s">
        <v>67</v>
      </c>
      <c r="Y4146" s="4">
        <v>298</v>
      </c>
      <c r="Z4146" s="4">
        <v>64</v>
      </c>
      <c r="AA4146" s="4">
        <v>137</v>
      </c>
      <c r="AB4146" s="4">
        <v>3</v>
      </c>
      <c r="AC4146" s="4">
        <v>25</v>
      </c>
      <c r="AD4146" s="4">
        <v>127</v>
      </c>
      <c r="AE4146" s="4">
        <v>159</v>
      </c>
      <c r="AF4146" s="4">
        <v>0</v>
      </c>
      <c r="AG4146" s="4">
        <v>9</v>
      </c>
      <c r="AH4146" s="4">
        <v>92</v>
      </c>
      <c r="AI4146" s="4">
        <v>105</v>
      </c>
      <c r="AJ4146" s="4">
        <v>22</v>
      </c>
      <c r="AK4146" s="4">
        <v>29</v>
      </c>
      <c r="AL4146" s="4">
        <v>51</v>
      </c>
      <c r="AM4146" s="4">
        <v>56</v>
      </c>
      <c r="AN4146" s="4">
        <v>0</v>
      </c>
      <c r="AO4146" s="4">
        <v>0</v>
      </c>
      <c r="AP4146" s="4">
        <v>40</v>
      </c>
      <c r="AQ4146" s="4">
        <v>59</v>
      </c>
      <c r="AR4146" s="3" t="s">
        <v>61</v>
      </c>
      <c r="AS4146" s="3" t="s">
        <v>62</v>
      </c>
      <c r="AT4146" s="3" t="s">
        <v>62</v>
      </c>
      <c r="AV4146" s="6" t="str">
        <f>HYPERLINK("http://mcgill.on.worldcat.org/oclc/39052130","Catalog Record")</f>
        <v>Catalog Record</v>
      </c>
      <c r="AW4146" s="6" t="str">
        <f>HYPERLINK("http://www.worldcat.org/oclc/39052130","WorldCat Record")</f>
        <v>WorldCat Record</v>
      </c>
      <c r="AX4146" s="3" t="s">
        <v>39872</v>
      </c>
      <c r="AY4146" s="3" t="s">
        <v>39873</v>
      </c>
      <c r="AZ4146" s="3" t="s">
        <v>39874</v>
      </c>
      <c r="BA4146" s="3" t="s">
        <v>39874</v>
      </c>
      <c r="BB4146" s="3" t="s">
        <v>39875</v>
      </c>
      <c r="BC4146" s="3" t="s">
        <v>142</v>
      </c>
      <c r="BD4146" s="3" t="s">
        <v>68</v>
      </c>
      <c r="BE4146" s="3" t="s">
        <v>39876</v>
      </c>
      <c r="BF4146" s="3" t="s">
        <v>39875</v>
      </c>
      <c r="BG4146" s="3" t="s">
        <v>39877</v>
      </c>
    </row>
    <row r="4147" spans="1:59" ht="57" x14ac:dyDescent="0.45">
      <c r="A4147" s="2" t="s">
        <v>59</v>
      </c>
      <c r="B4147" s="2" t="s">
        <v>60</v>
      </c>
      <c r="C4147" s="2" t="s">
        <v>39868</v>
      </c>
      <c r="D4147" s="2" t="s">
        <v>39869</v>
      </c>
      <c r="E4147" s="2" t="s">
        <v>39870</v>
      </c>
      <c r="G4147" s="3" t="s">
        <v>62</v>
      </c>
      <c r="I4147" s="3" t="s">
        <v>61</v>
      </c>
      <c r="J4147" s="3" t="s">
        <v>62</v>
      </c>
      <c r="K4147" s="3" t="s">
        <v>63</v>
      </c>
      <c r="L4147" s="2" t="s">
        <v>39871</v>
      </c>
      <c r="M4147" s="2" t="s">
        <v>22726</v>
      </c>
      <c r="N4147" s="3" t="s">
        <v>1437</v>
      </c>
      <c r="P4147" s="3" t="s">
        <v>65</v>
      </c>
      <c r="R4147" s="3" t="s">
        <v>66</v>
      </c>
      <c r="S4147" s="4">
        <v>22</v>
      </c>
      <c r="T4147" s="4">
        <v>100</v>
      </c>
      <c r="U4147" s="5" t="s">
        <v>2514</v>
      </c>
      <c r="V4147" s="5" t="s">
        <v>10962</v>
      </c>
      <c r="W4147" s="5" t="s">
        <v>67</v>
      </c>
      <c r="X4147" s="5" t="s">
        <v>67</v>
      </c>
      <c r="Y4147" s="4">
        <v>298</v>
      </c>
      <c r="Z4147" s="4">
        <v>64</v>
      </c>
      <c r="AA4147" s="4">
        <v>137</v>
      </c>
      <c r="AB4147" s="4">
        <v>3</v>
      </c>
      <c r="AC4147" s="4">
        <v>25</v>
      </c>
      <c r="AD4147" s="4">
        <v>127</v>
      </c>
      <c r="AE4147" s="4">
        <v>159</v>
      </c>
      <c r="AF4147" s="4">
        <v>0</v>
      </c>
      <c r="AG4147" s="4">
        <v>9</v>
      </c>
      <c r="AH4147" s="4">
        <v>92</v>
      </c>
      <c r="AI4147" s="4">
        <v>105</v>
      </c>
      <c r="AJ4147" s="4">
        <v>22</v>
      </c>
      <c r="AK4147" s="4">
        <v>29</v>
      </c>
      <c r="AL4147" s="4">
        <v>51</v>
      </c>
      <c r="AM4147" s="4">
        <v>56</v>
      </c>
      <c r="AN4147" s="4">
        <v>0</v>
      </c>
      <c r="AO4147" s="4">
        <v>0</v>
      </c>
      <c r="AP4147" s="4">
        <v>40</v>
      </c>
      <c r="AQ4147" s="4">
        <v>59</v>
      </c>
      <c r="AR4147" s="3" t="s">
        <v>61</v>
      </c>
      <c r="AS4147" s="3" t="s">
        <v>62</v>
      </c>
      <c r="AT4147" s="3" t="s">
        <v>62</v>
      </c>
      <c r="AV4147" s="6" t="str">
        <f>HYPERLINK("http://mcgill.on.worldcat.org/oclc/39052130","Catalog Record")</f>
        <v>Catalog Record</v>
      </c>
      <c r="AW4147" s="6" t="str">
        <f>HYPERLINK("http://www.worldcat.org/oclc/39052130","WorldCat Record")</f>
        <v>WorldCat Record</v>
      </c>
      <c r="AX4147" s="3" t="s">
        <v>39872</v>
      </c>
      <c r="AY4147" s="3" t="s">
        <v>39873</v>
      </c>
      <c r="AZ4147" s="3" t="s">
        <v>39874</v>
      </c>
      <c r="BA4147" s="3" t="s">
        <v>39874</v>
      </c>
      <c r="BB4147" s="3" t="s">
        <v>39878</v>
      </c>
      <c r="BC4147" s="3" t="s">
        <v>142</v>
      </c>
      <c r="BD4147" s="3" t="s">
        <v>68</v>
      </c>
      <c r="BE4147" s="3" t="s">
        <v>39876</v>
      </c>
      <c r="BF4147" s="3" t="s">
        <v>39878</v>
      </c>
      <c r="BG4147" s="3" t="s">
        <v>39879</v>
      </c>
    </row>
    <row r="4148" spans="1:59" ht="57" x14ac:dyDescent="0.45">
      <c r="A4148" s="2" t="s">
        <v>59</v>
      </c>
      <c r="B4148" s="2" t="s">
        <v>60</v>
      </c>
      <c r="C4148" s="2" t="s">
        <v>39868</v>
      </c>
      <c r="D4148" s="2" t="s">
        <v>39869</v>
      </c>
      <c r="E4148" s="2" t="s">
        <v>39870</v>
      </c>
      <c r="G4148" s="3" t="s">
        <v>62</v>
      </c>
      <c r="I4148" s="3" t="s">
        <v>61</v>
      </c>
      <c r="J4148" s="3" t="s">
        <v>62</v>
      </c>
      <c r="K4148" s="3" t="s">
        <v>63</v>
      </c>
      <c r="L4148" s="2" t="s">
        <v>39871</v>
      </c>
      <c r="M4148" s="2" t="s">
        <v>22726</v>
      </c>
      <c r="N4148" s="3" t="s">
        <v>1437</v>
      </c>
      <c r="P4148" s="3" t="s">
        <v>65</v>
      </c>
      <c r="R4148" s="3" t="s">
        <v>66</v>
      </c>
      <c r="S4148" s="4">
        <v>47</v>
      </c>
      <c r="T4148" s="4">
        <v>100</v>
      </c>
      <c r="U4148" s="5" t="s">
        <v>17714</v>
      </c>
      <c r="V4148" s="5" t="s">
        <v>10962</v>
      </c>
      <c r="W4148" s="5" t="s">
        <v>67</v>
      </c>
      <c r="X4148" s="5" t="s">
        <v>67</v>
      </c>
      <c r="Y4148" s="4">
        <v>298</v>
      </c>
      <c r="Z4148" s="4">
        <v>64</v>
      </c>
      <c r="AA4148" s="4">
        <v>137</v>
      </c>
      <c r="AB4148" s="4">
        <v>3</v>
      </c>
      <c r="AC4148" s="4">
        <v>25</v>
      </c>
      <c r="AD4148" s="4">
        <v>127</v>
      </c>
      <c r="AE4148" s="4">
        <v>159</v>
      </c>
      <c r="AF4148" s="4">
        <v>0</v>
      </c>
      <c r="AG4148" s="4">
        <v>9</v>
      </c>
      <c r="AH4148" s="4">
        <v>92</v>
      </c>
      <c r="AI4148" s="4">
        <v>105</v>
      </c>
      <c r="AJ4148" s="4">
        <v>22</v>
      </c>
      <c r="AK4148" s="4">
        <v>29</v>
      </c>
      <c r="AL4148" s="4">
        <v>51</v>
      </c>
      <c r="AM4148" s="4">
        <v>56</v>
      </c>
      <c r="AN4148" s="4">
        <v>0</v>
      </c>
      <c r="AO4148" s="4">
        <v>0</v>
      </c>
      <c r="AP4148" s="4">
        <v>40</v>
      </c>
      <c r="AQ4148" s="4">
        <v>59</v>
      </c>
      <c r="AR4148" s="3" t="s">
        <v>61</v>
      </c>
      <c r="AS4148" s="3" t="s">
        <v>62</v>
      </c>
      <c r="AT4148" s="3" t="s">
        <v>62</v>
      </c>
      <c r="AV4148" s="6" t="str">
        <f>HYPERLINK("http://mcgill.on.worldcat.org/oclc/39052130","Catalog Record")</f>
        <v>Catalog Record</v>
      </c>
      <c r="AW4148" s="6" t="str">
        <f>HYPERLINK("http://www.worldcat.org/oclc/39052130","WorldCat Record")</f>
        <v>WorldCat Record</v>
      </c>
      <c r="AX4148" s="3" t="s">
        <v>39872</v>
      </c>
      <c r="AY4148" s="3" t="s">
        <v>39873</v>
      </c>
      <c r="AZ4148" s="3" t="s">
        <v>39874</v>
      </c>
      <c r="BA4148" s="3" t="s">
        <v>39874</v>
      </c>
      <c r="BB4148" s="3" t="s">
        <v>39880</v>
      </c>
      <c r="BC4148" s="3" t="s">
        <v>142</v>
      </c>
      <c r="BD4148" s="3" t="s">
        <v>68</v>
      </c>
      <c r="BE4148" s="3" t="s">
        <v>39876</v>
      </c>
      <c r="BF4148" s="3" t="s">
        <v>39880</v>
      </c>
      <c r="BG4148" s="3" t="s">
        <v>39881</v>
      </c>
    </row>
    <row r="4149" spans="1:59" ht="57" x14ac:dyDescent="0.45">
      <c r="A4149" s="2" t="s">
        <v>59</v>
      </c>
      <c r="B4149" s="2" t="s">
        <v>60</v>
      </c>
      <c r="C4149" s="2" t="s">
        <v>39882</v>
      </c>
      <c r="D4149" s="2" t="s">
        <v>39883</v>
      </c>
      <c r="E4149" s="2" t="s">
        <v>39884</v>
      </c>
      <c r="G4149" s="3" t="s">
        <v>62</v>
      </c>
      <c r="I4149" s="3" t="s">
        <v>62</v>
      </c>
      <c r="J4149" s="3" t="s">
        <v>62</v>
      </c>
      <c r="K4149" s="3" t="s">
        <v>63</v>
      </c>
      <c r="L4149" s="2" t="s">
        <v>39885</v>
      </c>
      <c r="M4149" s="2" t="s">
        <v>17087</v>
      </c>
      <c r="N4149" s="3" t="s">
        <v>149</v>
      </c>
      <c r="P4149" s="3" t="s">
        <v>110</v>
      </c>
      <c r="R4149" s="3" t="s">
        <v>66</v>
      </c>
      <c r="S4149" s="4">
        <v>11</v>
      </c>
      <c r="T4149" s="4">
        <v>11</v>
      </c>
      <c r="U4149" s="5" t="s">
        <v>39886</v>
      </c>
      <c r="V4149" s="5" t="s">
        <v>39886</v>
      </c>
      <c r="W4149" s="5" t="s">
        <v>67</v>
      </c>
      <c r="X4149" s="5" t="s">
        <v>67</v>
      </c>
      <c r="Y4149" s="4">
        <v>45</v>
      </c>
      <c r="Z4149" s="4">
        <v>34</v>
      </c>
      <c r="AA4149" s="4">
        <v>47</v>
      </c>
      <c r="AB4149" s="4">
        <v>20</v>
      </c>
      <c r="AC4149" s="4">
        <v>20</v>
      </c>
      <c r="AD4149" s="4">
        <v>13</v>
      </c>
      <c r="AE4149" s="4">
        <v>31</v>
      </c>
      <c r="AF4149" s="4">
        <v>6</v>
      </c>
      <c r="AG4149" s="4">
        <v>6</v>
      </c>
      <c r="AH4149" s="4">
        <v>4</v>
      </c>
      <c r="AI4149" s="4">
        <v>19</v>
      </c>
      <c r="AJ4149" s="4">
        <v>9</v>
      </c>
      <c r="AK4149" s="4">
        <v>19</v>
      </c>
      <c r="AL4149" s="4">
        <v>1</v>
      </c>
      <c r="AM4149" s="4">
        <v>7</v>
      </c>
      <c r="AN4149" s="4">
        <v>0</v>
      </c>
      <c r="AO4149" s="4">
        <v>0</v>
      </c>
      <c r="AP4149" s="4">
        <v>9</v>
      </c>
      <c r="AQ4149" s="4">
        <v>20</v>
      </c>
      <c r="AR4149" s="3" t="s">
        <v>61</v>
      </c>
      <c r="AS4149" s="3" t="s">
        <v>62</v>
      </c>
      <c r="AT4149" s="3" t="s">
        <v>62</v>
      </c>
      <c r="AV4149" s="6" t="str">
        <f>HYPERLINK("http://mcgill.on.worldcat.org/oclc/612724011","Catalog Record")</f>
        <v>Catalog Record</v>
      </c>
      <c r="AW4149" s="6" t="str">
        <f>HYPERLINK("http://www.worldcat.org/oclc/612724011","WorldCat Record")</f>
        <v>WorldCat Record</v>
      </c>
      <c r="AX4149" s="3" t="s">
        <v>39887</v>
      </c>
      <c r="AY4149" s="3" t="s">
        <v>39888</v>
      </c>
      <c r="AZ4149" s="3" t="s">
        <v>39889</v>
      </c>
      <c r="BA4149" s="3" t="s">
        <v>39889</v>
      </c>
      <c r="BB4149" s="3" t="s">
        <v>39890</v>
      </c>
      <c r="BC4149" s="3" t="s">
        <v>142</v>
      </c>
      <c r="BD4149" s="3" t="s">
        <v>68</v>
      </c>
      <c r="BE4149" s="3" t="s">
        <v>39891</v>
      </c>
      <c r="BF4149" s="3" t="s">
        <v>39890</v>
      </c>
      <c r="BG4149" s="3" t="s">
        <v>39892</v>
      </c>
    </row>
    <row r="4150" spans="1:59" ht="57" x14ac:dyDescent="0.45">
      <c r="A4150" s="2" t="s">
        <v>59</v>
      </c>
      <c r="B4150" s="2" t="s">
        <v>60</v>
      </c>
      <c r="C4150" s="2" t="s">
        <v>39893</v>
      </c>
      <c r="D4150" s="2" t="s">
        <v>39894</v>
      </c>
      <c r="E4150" s="2" t="s">
        <v>39895</v>
      </c>
      <c r="G4150" s="3" t="s">
        <v>62</v>
      </c>
      <c r="I4150" s="3" t="s">
        <v>62</v>
      </c>
      <c r="J4150" s="3" t="s">
        <v>62</v>
      </c>
      <c r="K4150" s="3" t="s">
        <v>63</v>
      </c>
      <c r="L4150" s="2" t="s">
        <v>39885</v>
      </c>
      <c r="M4150" s="2" t="s">
        <v>39896</v>
      </c>
      <c r="N4150" s="3" t="s">
        <v>1155</v>
      </c>
      <c r="P4150" s="3" t="s">
        <v>65</v>
      </c>
      <c r="R4150" s="3" t="s">
        <v>66</v>
      </c>
      <c r="S4150" s="4">
        <v>15</v>
      </c>
      <c r="T4150" s="4">
        <v>15</v>
      </c>
      <c r="U4150" s="5" t="s">
        <v>39897</v>
      </c>
      <c r="V4150" s="5" t="s">
        <v>39897</v>
      </c>
      <c r="W4150" s="5" t="s">
        <v>67</v>
      </c>
      <c r="X4150" s="5" t="s">
        <v>67</v>
      </c>
      <c r="Y4150" s="4">
        <v>116</v>
      </c>
      <c r="Z4150" s="4">
        <v>56</v>
      </c>
      <c r="AA4150" s="4">
        <v>61</v>
      </c>
      <c r="AB4150" s="4">
        <v>3</v>
      </c>
      <c r="AC4150" s="4">
        <v>7</v>
      </c>
      <c r="AD4150" s="4">
        <v>71</v>
      </c>
      <c r="AE4150" s="4">
        <v>74</v>
      </c>
      <c r="AF4150" s="4">
        <v>1</v>
      </c>
      <c r="AG4150" s="4">
        <v>3</v>
      </c>
      <c r="AH4150" s="4">
        <v>44</v>
      </c>
      <c r="AI4150" s="4">
        <v>45</v>
      </c>
      <c r="AJ4150" s="4">
        <v>22</v>
      </c>
      <c r="AK4150" s="4">
        <v>23</v>
      </c>
      <c r="AL4150" s="4">
        <v>27</v>
      </c>
      <c r="AM4150" s="4">
        <v>27</v>
      </c>
      <c r="AN4150" s="4">
        <v>0</v>
      </c>
      <c r="AO4150" s="4">
        <v>0</v>
      </c>
      <c r="AP4150" s="4">
        <v>35</v>
      </c>
      <c r="AQ4150" s="4">
        <v>37</v>
      </c>
      <c r="AR4150" s="3" t="s">
        <v>61</v>
      </c>
      <c r="AS4150" s="3" t="s">
        <v>62</v>
      </c>
      <c r="AT4150" s="3" t="s">
        <v>62</v>
      </c>
      <c r="AV4150" s="6" t="str">
        <f>HYPERLINK("http://mcgill.on.worldcat.org/oclc/820424616","Catalog Record")</f>
        <v>Catalog Record</v>
      </c>
      <c r="AW4150" s="6" t="str">
        <f>HYPERLINK("http://www.worldcat.org/oclc/820424616","WorldCat Record")</f>
        <v>WorldCat Record</v>
      </c>
      <c r="AX4150" s="3" t="s">
        <v>39898</v>
      </c>
      <c r="AY4150" s="3" t="s">
        <v>39899</v>
      </c>
      <c r="AZ4150" s="3" t="s">
        <v>39900</v>
      </c>
      <c r="BA4150" s="3" t="s">
        <v>39900</v>
      </c>
      <c r="BB4150" s="3" t="s">
        <v>39901</v>
      </c>
      <c r="BC4150" s="3" t="s">
        <v>142</v>
      </c>
      <c r="BD4150" s="3" t="s">
        <v>68</v>
      </c>
      <c r="BE4150" s="3" t="s">
        <v>39902</v>
      </c>
      <c r="BF4150" s="3" t="s">
        <v>39901</v>
      </c>
      <c r="BG4150" s="3" t="s">
        <v>39903</v>
      </c>
    </row>
    <row r="4151" spans="1:59" ht="57" x14ac:dyDescent="0.45">
      <c r="A4151" s="2" t="s">
        <v>59</v>
      </c>
      <c r="B4151" s="2" t="s">
        <v>60</v>
      </c>
      <c r="C4151" s="2" t="s">
        <v>39904</v>
      </c>
      <c r="D4151" s="2" t="s">
        <v>39905</v>
      </c>
      <c r="E4151" s="2" t="s">
        <v>39906</v>
      </c>
      <c r="G4151" s="3" t="s">
        <v>62</v>
      </c>
      <c r="I4151" s="3" t="s">
        <v>62</v>
      </c>
      <c r="J4151" s="3" t="s">
        <v>62</v>
      </c>
      <c r="K4151" s="3" t="s">
        <v>63</v>
      </c>
      <c r="L4151" s="2" t="s">
        <v>39907</v>
      </c>
      <c r="M4151" s="2" t="s">
        <v>39908</v>
      </c>
      <c r="N4151" s="3" t="s">
        <v>149</v>
      </c>
      <c r="P4151" s="3" t="s">
        <v>110</v>
      </c>
      <c r="R4151" s="3" t="s">
        <v>66</v>
      </c>
      <c r="S4151" s="4">
        <v>5</v>
      </c>
      <c r="T4151" s="4">
        <v>5</v>
      </c>
      <c r="U4151" s="5" t="s">
        <v>3268</v>
      </c>
      <c r="V4151" s="5" t="s">
        <v>3268</v>
      </c>
      <c r="W4151" s="5" t="s">
        <v>67</v>
      </c>
      <c r="X4151" s="5" t="s">
        <v>67</v>
      </c>
      <c r="Y4151" s="4">
        <v>27</v>
      </c>
      <c r="Z4151" s="4">
        <v>12</v>
      </c>
      <c r="AA4151" s="4">
        <v>32</v>
      </c>
      <c r="AB4151" s="4">
        <v>1</v>
      </c>
      <c r="AC4151" s="4">
        <v>13</v>
      </c>
      <c r="AD4151" s="4">
        <v>15</v>
      </c>
      <c r="AE4151" s="4">
        <v>26</v>
      </c>
      <c r="AF4151" s="4">
        <v>0</v>
      </c>
      <c r="AG4151" s="4">
        <v>6</v>
      </c>
      <c r="AH4151" s="4">
        <v>11</v>
      </c>
      <c r="AI4151" s="4">
        <v>14</v>
      </c>
      <c r="AJ4151" s="4">
        <v>7</v>
      </c>
      <c r="AK4151" s="4">
        <v>15</v>
      </c>
      <c r="AL4151" s="4">
        <v>5</v>
      </c>
      <c r="AM4151" s="4">
        <v>5</v>
      </c>
      <c r="AN4151" s="4">
        <v>0</v>
      </c>
      <c r="AO4151" s="4">
        <v>0</v>
      </c>
      <c r="AP4151" s="4">
        <v>9</v>
      </c>
      <c r="AQ4151" s="4">
        <v>17</v>
      </c>
      <c r="AR4151" s="3" t="s">
        <v>61</v>
      </c>
      <c r="AS4151" s="3" t="s">
        <v>62</v>
      </c>
      <c r="AT4151" s="3" t="s">
        <v>62</v>
      </c>
      <c r="AV4151" s="6" t="str">
        <f>HYPERLINK("http://mcgill.on.worldcat.org/oclc/562568689","Catalog Record")</f>
        <v>Catalog Record</v>
      </c>
      <c r="AW4151" s="6" t="str">
        <f>HYPERLINK("http://www.worldcat.org/oclc/562568689","WorldCat Record")</f>
        <v>WorldCat Record</v>
      </c>
      <c r="AX4151" s="3" t="s">
        <v>39909</v>
      </c>
      <c r="AY4151" s="3" t="s">
        <v>39910</v>
      </c>
      <c r="AZ4151" s="3" t="s">
        <v>39911</v>
      </c>
      <c r="BA4151" s="3" t="s">
        <v>39911</v>
      </c>
      <c r="BB4151" s="3" t="s">
        <v>39912</v>
      </c>
      <c r="BC4151" s="3" t="s">
        <v>142</v>
      </c>
      <c r="BD4151" s="3" t="s">
        <v>68</v>
      </c>
      <c r="BE4151" s="3" t="s">
        <v>39913</v>
      </c>
      <c r="BF4151" s="3" t="s">
        <v>39912</v>
      </c>
      <c r="BG4151" s="3" t="s">
        <v>39914</v>
      </c>
    </row>
    <row r="4152" spans="1:59" ht="57" x14ac:dyDescent="0.45">
      <c r="A4152" s="2" t="s">
        <v>59</v>
      </c>
      <c r="B4152" s="2" t="s">
        <v>60</v>
      </c>
      <c r="C4152" s="2" t="s">
        <v>39915</v>
      </c>
      <c r="D4152" s="2" t="s">
        <v>39916</v>
      </c>
      <c r="E4152" s="2" t="s">
        <v>39917</v>
      </c>
      <c r="G4152" s="3" t="s">
        <v>62</v>
      </c>
      <c r="I4152" s="3" t="s">
        <v>62</v>
      </c>
      <c r="J4152" s="3" t="s">
        <v>62</v>
      </c>
      <c r="K4152" s="3" t="s">
        <v>63</v>
      </c>
      <c r="L4152" s="2" t="s">
        <v>39918</v>
      </c>
      <c r="M4152" s="2" t="s">
        <v>39919</v>
      </c>
      <c r="N4152" s="3" t="s">
        <v>568</v>
      </c>
      <c r="P4152" s="3" t="s">
        <v>110</v>
      </c>
      <c r="Q4152" s="2" t="s">
        <v>39920</v>
      </c>
      <c r="R4152" s="3" t="s">
        <v>66</v>
      </c>
      <c r="S4152" s="4">
        <v>29</v>
      </c>
      <c r="T4152" s="4">
        <v>29</v>
      </c>
      <c r="U4152" s="5" t="s">
        <v>28598</v>
      </c>
      <c r="V4152" s="5" t="s">
        <v>28598</v>
      </c>
      <c r="W4152" s="5" t="s">
        <v>67</v>
      </c>
      <c r="X4152" s="5" t="s">
        <v>67</v>
      </c>
      <c r="Y4152" s="4">
        <v>28</v>
      </c>
      <c r="Z4152" s="4">
        <v>16</v>
      </c>
      <c r="AA4152" s="4">
        <v>24</v>
      </c>
      <c r="AB4152" s="4">
        <v>2</v>
      </c>
      <c r="AC4152" s="4">
        <v>6</v>
      </c>
      <c r="AD4152" s="4">
        <v>20</v>
      </c>
      <c r="AE4152" s="4">
        <v>27</v>
      </c>
      <c r="AF4152" s="4">
        <v>1</v>
      </c>
      <c r="AG4152" s="4">
        <v>4</v>
      </c>
      <c r="AH4152" s="4">
        <v>15</v>
      </c>
      <c r="AI4152" s="4">
        <v>17</v>
      </c>
      <c r="AJ4152" s="4">
        <v>10</v>
      </c>
      <c r="AK4152" s="4">
        <v>15</v>
      </c>
      <c r="AL4152" s="4">
        <v>7</v>
      </c>
      <c r="AM4152" s="4">
        <v>8</v>
      </c>
      <c r="AN4152" s="4">
        <v>0</v>
      </c>
      <c r="AO4152" s="4">
        <v>0</v>
      </c>
      <c r="AP4152" s="4">
        <v>13</v>
      </c>
      <c r="AQ4152" s="4">
        <v>16</v>
      </c>
      <c r="AR4152" s="3" t="s">
        <v>61</v>
      </c>
      <c r="AS4152" s="3" t="s">
        <v>62</v>
      </c>
      <c r="AT4152" s="3" t="s">
        <v>61</v>
      </c>
      <c r="AU4152" s="6" t="str">
        <f>HYPERLINK("http://catalog.hathitrust.org/Record/002059881","HathiTrust Record")</f>
        <v>HathiTrust Record</v>
      </c>
      <c r="AV4152" s="6" t="str">
        <f>HYPERLINK("http://mcgill.on.worldcat.org/oclc/20669804","Catalog Record")</f>
        <v>Catalog Record</v>
      </c>
      <c r="AW4152" s="6" t="str">
        <f>HYPERLINK("http://www.worldcat.org/oclc/20669804","WorldCat Record")</f>
        <v>WorldCat Record</v>
      </c>
      <c r="AX4152" s="3" t="s">
        <v>39921</v>
      </c>
      <c r="AY4152" s="3" t="s">
        <v>39922</v>
      </c>
      <c r="AZ4152" s="3" t="s">
        <v>39923</v>
      </c>
      <c r="BA4152" s="3" t="s">
        <v>39923</v>
      </c>
      <c r="BB4152" s="3" t="s">
        <v>39924</v>
      </c>
      <c r="BC4152" s="3" t="s">
        <v>142</v>
      </c>
      <c r="BD4152" s="3" t="s">
        <v>68</v>
      </c>
      <c r="BE4152" s="3" t="s">
        <v>39925</v>
      </c>
      <c r="BF4152" s="3" t="s">
        <v>39924</v>
      </c>
      <c r="BG4152" s="3" t="s">
        <v>39926</v>
      </c>
    </row>
    <row r="4153" spans="1:59" ht="57" x14ac:dyDescent="0.45">
      <c r="A4153" s="2" t="s">
        <v>59</v>
      </c>
      <c r="B4153" s="2" t="s">
        <v>60</v>
      </c>
      <c r="C4153" s="2" t="s">
        <v>39927</v>
      </c>
      <c r="D4153" s="2" t="s">
        <v>39928</v>
      </c>
      <c r="E4153" s="2" t="s">
        <v>39929</v>
      </c>
      <c r="G4153" s="3" t="s">
        <v>62</v>
      </c>
      <c r="I4153" s="3" t="s">
        <v>61</v>
      </c>
      <c r="J4153" s="3" t="s">
        <v>62</v>
      </c>
      <c r="K4153" s="3" t="s">
        <v>63</v>
      </c>
      <c r="L4153" s="2" t="s">
        <v>39930</v>
      </c>
      <c r="M4153" s="2" t="s">
        <v>39931</v>
      </c>
      <c r="N4153" s="3" t="s">
        <v>1239</v>
      </c>
      <c r="P4153" s="3" t="s">
        <v>110</v>
      </c>
      <c r="Q4153" s="2" t="s">
        <v>39932</v>
      </c>
      <c r="R4153" s="3" t="s">
        <v>66</v>
      </c>
      <c r="S4153" s="4">
        <v>37</v>
      </c>
      <c r="T4153" s="4">
        <v>37</v>
      </c>
      <c r="U4153" s="5" t="s">
        <v>28598</v>
      </c>
      <c r="V4153" s="5" t="s">
        <v>28598</v>
      </c>
      <c r="W4153" s="5" t="s">
        <v>67</v>
      </c>
      <c r="X4153" s="5" t="s">
        <v>67</v>
      </c>
      <c r="Y4153" s="4">
        <v>17</v>
      </c>
      <c r="Z4153" s="4">
        <v>11</v>
      </c>
      <c r="AA4153" s="4">
        <v>27</v>
      </c>
      <c r="AB4153" s="4">
        <v>2</v>
      </c>
      <c r="AC4153" s="4">
        <v>12</v>
      </c>
      <c r="AD4153" s="4">
        <v>11</v>
      </c>
      <c r="AE4153" s="4">
        <v>23</v>
      </c>
      <c r="AF4153" s="4">
        <v>1</v>
      </c>
      <c r="AG4153" s="4">
        <v>7</v>
      </c>
      <c r="AH4153" s="4">
        <v>8</v>
      </c>
      <c r="AI4153" s="4">
        <v>8</v>
      </c>
      <c r="AJ4153" s="4">
        <v>7</v>
      </c>
      <c r="AK4153" s="4">
        <v>14</v>
      </c>
      <c r="AL4153" s="4">
        <v>3</v>
      </c>
      <c r="AM4153" s="4">
        <v>3</v>
      </c>
      <c r="AN4153" s="4">
        <v>0</v>
      </c>
      <c r="AO4153" s="4">
        <v>0</v>
      </c>
      <c r="AP4153" s="4">
        <v>8</v>
      </c>
      <c r="AQ4153" s="4">
        <v>17</v>
      </c>
      <c r="AR4153" s="3" t="s">
        <v>61</v>
      </c>
      <c r="AS4153" s="3" t="s">
        <v>62</v>
      </c>
      <c r="AT4153" s="3" t="s">
        <v>62</v>
      </c>
      <c r="AV4153" s="6" t="str">
        <f>HYPERLINK("http://mcgill.on.worldcat.org/oclc/20266224","Catalog Record")</f>
        <v>Catalog Record</v>
      </c>
      <c r="AW4153" s="6" t="str">
        <f>HYPERLINK("http://www.worldcat.org/oclc/20266224","WorldCat Record")</f>
        <v>WorldCat Record</v>
      </c>
      <c r="AX4153" s="3" t="s">
        <v>39933</v>
      </c>
      <c r="AY4153" s="3" t="s">
        <v>39934</v>
      </c>
      <c r="AZ4153" s="3" t="s">
        <v>39935</v>
      </c>
      <c r="BA4153" s="3" t="s">
        <v>39935</v>
      </c>
      <c r="BB4153" s="3" t="s">
        <v>39936</v>
      </c>
      <c r="BC4153" s="3" t="s">
        <v>142</v>
      </c>
      <c r="BD4153" s="3" t="s">
        <v>68</v>
      </c>
      <c r="BE4153" s="3" t="s">
        <v>39937</v>
      </c>
      <c r="BF4153" s="3" t="s">
        <v>39936</v>
      </c>
      <c r="BG4153" s="3" t="s">
        <v>39938</v>
      </c>
    </row>
    <row r="4154" spans="1:59" ht="57" x14ac:dyDescent="0.45">
      <c r="A4154" s="2" t="s">
        <v>59</v>
      </c>
      <c r="B4154" s="2" t="s">
        <v>60</v>
      </c>
      <c r="C4154" s="2" t="s">
        <v>39939</v>
      </c>
      <c r="D4154" s="2" t="s">
        <v>39940</v>
      </c>
      <c r="E4154" s="2" t="s">
        <v>39941</v>
      </c>
      <c r="G4154" s="3" t="s">
        <v>62</v>
      </c>
      <c r="I4154" s="3" t="s">
        <v>62</v>
      </c>
      <c r="J4154" s="3" t="s">
        <v>62</v>
      </c>
      <c r="K4154" s="3" t="s">
        <v>63</v>
      </c>
      <c r="M4154" s="2" t="s">
        <v>39942</v>
      </c>
      <c r="N4154" s="3" t="s">
        <v>1688</v>
      </c>
      <c r="P4154" s="3" t="s">
        <v>110</v>
      </c>
      <c r="Q4154" s="2" t="s">
        <v>39943</v>
      </c>
      <c r="R4154" s="3" t="s">
        <v>66</v>
      </c>
      <c r="S4154" s="4">
        <v>1</v>
      </c>
      <c r="T4154" s="4">
        <v>1</v>
      </c>
      <c r="W4154" s="5" t="s">
        <v>67</v>
      </c>
      <c r="X4154" s="5" t="s">
        <v>67</v>
      </c>
      <c r="Y4154" s="4">
        <v>33</v>
      </c>
      <c r="Z4154" s="4">
        <v>20</v>
      </c>
      <c r="AA4154" s="4">
        <v>69</v>
      </c>
      <c r="AB4154" s="4">
        <v>2</v>
      </c>
      <c r="AC4154" s="4">
        <v>20</v>
      </c>
      <c r="AD4154" s="4">
        <v>23</v>
      </c>
      <c r="AE4154" s="4">
        <v>50</v>
      </c>
      <c r="AF4154" s="4">
        <v>1</v>
      </c>
      <c r="AG4154" s="4">
        <v>8</v>
      </c>
      <c r="AH4154" s="4">
        <v>17</v>
      </c>
      <c r="AI4154" s="4">
        <v>19</v>
      </c>
      <c r="AJ4154" s="4">
        <v>13</v>
      </c>
      <c r="AK4154" s="4">
        <v>24</v>
      </c>
      <c r="AL4154" s="4">
        <v>7</v>
      </c>
      <c r="AM4154" s="4">
        <v>7</v>
      </c>
      <c r="AN4154" s="4">
        <v>0</v>
      </c>
      <c r="AO4154" s="4">
        <v>0</v>
      </c>
      <c r="AP4154" s="4">
        <v>15</v>
      </c>
      <c r="AQ4154" s="4">
        <v>40</v>
      </c>
      <c r="AR4154" s="3" t="s">
        <v>61</v>
      </c>
      <c r="AS4154" s="3" t="s">
        <v>62</v>
      </c>
      <c r="AT4154" s="3" t="s">
        <v>62</v>
      </c>
      <c r="AV4154" s="6" t="str">
        <f>HYPERLINK("http://mcgill.on.worldcat.org/oclc/946565880","Catalog Record")</f>
        <v>Catalog Record</v>
      </c>
      <c r="AW4154" s="6" t="str">
        <f>HYPERLINK("http://www.worldcat.org/oclc/946565880","WorldCat Record")</f>
        <v>WorldCat Record</v>
      </c>
      <c r="AX4154" s="3" t="s">
        <v>39944</v>
      </c>
      <c r="AY4154" s="3" t="s">
        <v>39945</v>
      </c>
      <c r="AZ4154" s="3" t="s">
        <v>39946</v>
      </c>
      <c r="BA4154" s="3" t="s">
        <v>39946</v>
      </c>
      <c r="BB4154" s="3" t="s">
        <v>39947</v>
      </c>
      <c r="BC4154" s="3" t="s">
        <v>142</v>
      </c>
      <c r="BD4154" s="3" t="s">
        <v>308</v>
      </c>
      <c r="BE4154" s="3" t="s">
        <v>39948</v>
      </c>
      <c r="BF4154" s="3" t="s">
        <v>39947</v>
      </c>
      <c r="BG4154" s="3" t="s">
        <v>39949</v>
      </c>
    </row>
    <row r="4155" spans="1:59" ht="57" x14ac:dyDescent="0.45">
      <c r="A4155" s="2" t="s">
        <v>59</v>
      </c>
      <c r="B4155" s="2" t="s">
        <v>60</v>
      </c>
      <c r="C4155" s="2" t="s">
        <v>39950</v>
      </c>
      <c r="D4155" s="2" t="s">
        <v>39951</v>
      </c>
      <c r="E4155" s="2" t="s">
        <v>39952</v>
      </c>
      <c r="G4155" s="3" t="s">
        <v>62</v>
      </c>
      <c r="I4155" s="3" t="s">
        <v>62</v>
      </c>
      <c r="J4155" s="3" t="s">
        <v>62</v>
      </c>
      <c r="K4155" s="3" t="s">
        <v>63</v>
      </c>
      <c r="M4155" s="2" t="s">
        <v>5568</v>
      </c>
      <c r="N4155" s="3" t="s">
        <v>1155</v>
      </c>
      <c r="P4155" s="3" t="s">
        <v>65</v>
      </c>
      <c r="Q4155" s="2" t="s">
        <v>39953</v>
      </c>
      <c r="R4155" s="3" t="s">
        <v>66</v>
      </c>
      <c r="S4155" s="4">
        <v>5</v>
      </c>
      <c r="T4155" s="4">
        <v>5</v>
      </c>
      <c r="U4155" s="5" t="s">
        <v>37810</v>
      </c>
      <c r="V4155" s="5" t="s">
        <v>37810</v>
      </c>
      <c r="W4155" s="5" t="s">
        <v>67</v>
      </c>
      <c r="X4155" s="5" t="s">
        <v>67</v>
      </c>
      <c r="Y4155" s="4">
        <v>109</v>
      </c>
      <c r="Z4155" s="4">
        <v>14</v>
      </c>
      <c r="AA4155" s="4">
        <v>82</v>
      </c>
      <c r="AB4155" s="4">
        <v>1</v>
      </c>
      <c r="AC4155" s="4">
        <v>15</v>
      </c>
      <c r="AD4155" s="4">
        <v>60</v>
      </c>
      <c r="AE4155" s="4">
        <v>118</v>
      </c>
      <c r="AF4155" s="4">
        <v>0</v>
      </c>
      <c r="AG4155" s="4">
        <v>8</v>
      </c>
      <c r="AH4155" s="4">
        <v>55</v>
      </c>
      <c r="AI4155" s="4">
        <v>84</v>
      </c>
      <c r="AJ4155" s="4">
        <v>11</v>
      </c>
      <c r="AK4155" s="4">
        <v>22</v>
      </c>
      <c r="AL4155" s="4">
        <v>31</v>
      </c>
      <c r="AM4155" s="4">
        <v>44</v>
      </c>
      <c r="AN4155" s="4">
        <v>0</v>
      </c>
      <c r="AO4155" s="4">
        <v>0</v>
      </c>
      <c r="AP4155" s="4">
        <v>12</v>
      </c>
      <c r="AQ4155" s="4">
        <v>42</v>
      </c>
      <c r="AR4155" s="3" t="s">
        <v>62</v>
      </c>
      <c r="AS4155" s="3" t="s">
        <v>62</v>
      </c>
      <c r="AT4155" s="3" t="s">
        <v>62</v>
      </c>
      <c r="AV4155" s="6" t="str">
        <f>HYPERLINK("http://mcgill.on.worldcat.org/oclc/707726490","Catalog Record")</f>
        <v>Catalog Record</v>
      </c>
      <c r="AW4155" s="6" t="str">
        <f>HYPERLINK("http://www.worldcat.org/oclc/707726490","WorldCat Record")</f>
        <v>WorldCat Record</v>
      </c>
      <c r="AX4155" s="3" t="s">
        <v>39954</v>
      </c>
      <c r="AY4155" s="3" t="s">
        <v>39955</v>
      </c>
      <c r="AZ4155" s="3" t="s">
        <v>39956</v>
      </c>
      <c r="BA4155" s="3" t="s">
        <v>39956</v>
      </c>
      <c r="BB4155" s="3" t="s">
        <v>39957</v>
      </c>
      <c r="BC4155" s="3" t="s">
        <v>142</v>
      </c>
      <c r="BD4155" s="3" t="s">
        <v>68</v>
      </c>
      <c r="BE4155" s="3" t="s">
        <v>39958</v>
      </c>
      <c r="BF4155" s="3" t="s">
        <v>39957</v>
      </c>
      <c r="BG4155" s="3" t="s">
        <v>39959</v>
      </c>
    </row>
    <row r="4156" spans="1:59" ht="57" x14ac:dyDescent="0.45">
      <c r="A4156" s="2" t="s">
        <v>59</v>
      </c>
      <c r="B4156" s="2" t="s">
        <v>60</v>
      </c>
      <c r="C4156" s="2" t="s">
        <v>39960</v>
      </c>
      <c r="D4156" s="2" t="s">
        <v>39961</v>
      </c>
      <c r="E4156" s="2" t="s">
        <v>39962</v>
      </c>
      <c r="F4156" s="3" t="s">
        <v>39963</v>
      </c>
      <c r="G4156" s="3" t="s">
        <v>61</v>
      </c>
      <c r="I4156" s="3" t="s">
        <v>62</v>
      </c>
      <c r="J4156" s="3" t="s">
        <v>62</v>
      </c>
      <c r="K4156" s="3" t="s">
        <v>63</v>
      </c>
      <c r="M4156" s="2" t="s">
        <v>39964</v>
      </c>
      <c r="N4156" s="3" t="s">
        <v>116</v>
      </c>
      <c r="P4156" s="3" t="s">
        <v>65</v>
      </c>
      <c r="Q4156" s="2" t="s">
        <v>39965</v>
      </c>
      <c r="R4156" s="3" t="s">
        <v>66</v>
      </c>
      <c r="S4156" s="4">
        <v>1</v>
      </c>
      <c r="T4156" s="4">
        <v>1</v>
      </c>
      <c r="U4156" s="5" t="s">
        <v>37810</v>
      </c>
      <c r="V4156" s="5" t="s">
        <v>37810</v>
      </c>
      <c r="W4156" s="5" t="s">
        <v>67</v>
      </c>
      <c r="X4156" s="5" t="s">
        <v>67</v>
      </c>
      <c r="Y4156" s="4">
        <v>43</v>
      </c>
      <c r="Z4156" s="4">
        <v>5</v>
      </c>
      <c r="AA4156" s="4">
        <v>97</v>
      </c>
      <c r="AB4156" s="4">
        <v>1</v>
      </c>
      <c r="AC4156" s="4">
        <v>17</v>
      </c>
      <c r="AD4156" s="4">
        <v>22</v>
      </c>
      <c r="AE4156" s="4">
        <v>102</v>
      </c>
      <c r="AF4156" s="4">
        <v>0</v>
      </c>
      <c r="AG4156" s="4">
        <v>8</v>
      </c>
      <c r="AH4156" s="4">
        <v>21</v>
      </c>
      <c r="AI4156" s="4">
        <v>68</v>
      </c>
      <c r="AJ4156" s="4">
        <v>4</v>
      </c>
      <c r="AK4156" s="4">
        <v>18</v>
      </c>
      <c r="AL4156" s="4">
        <v>11</v>
      </c>
      <c r="AM4156" s="4">
        <v>33</v>
      </c>
      <c r="AN4156" s="4">
        <v>0</v>
      </c>
      <c r="AO4156" s="4">
        <v>0</v>
      </c>
      <c r="AP4156" s="4">
        <v>4</v>
      </c>
      <c r="AQ4156" s="4">
        <v>40</v>
      </c>
      <c r="AR4156" s="3" t="s">
        <v>62</v>
      </c>
      <c r="AS4156" s="3" t="s">
        <v>62</v>
      </c>
      <c r="AT4156" s="3" t="s">
        <v>62</v>
      </c>
      <c r="AV4156" s="6" t="str">
        <f>HYPERLINK("http://mcgill.on.worldcat.org/oclc/814529432","Catalog Record")</f>
        <v>Catalog Record</v>
      </c>
      <c r="AW4156" s="6" t="str">
        <f>HYPERLINK("http://www.worldcat.org/oclc/814529432","WorldCat Record")</f>
        <v>WorldCat Record</v>
      </c>
      <c r="AX4156" s="3" t="s">
        <v>39966</v>
      </c>
      <c r="AY4156" s="3" t="s">
        <v>39967</v>
      </c>
      <c r="AZ4156" s="3" t="s">
        <v>39968</v>
      </c>
      <c r="BA4156" s="3" t="s">
        <v>39968</v>
      </c>
      <c r="BB4156" s="3" t="s">
        <v>39969</v>
      </c>
      <c r="BC4156" s="3" t="s">
        <v>142</v>
      </c>
      <c r="BD4156" s="3" t="s">
        <v>68</v>
      </c>
      <c r="BE4156" s="3" t="s">
        <v>39970</v>
      </c>
      <c r="BF4156" s="3" t="s">
        <v>39969</v>
      </c>
      <c r="BG4156" s="3" t="s">
        <v>39971</v>
      </c>
    </row>
    <row r="4157" spans="1:59" ht="85.5" x14ac:dyDescent="0.45">
      <c r="A4157" s="2" t="s">
        <v>59</v>
      </c>
      <c r="B4157" s="2" t="s">
        <v>5257</v>
      </c>
      <c r="C4157" s="2" t="s">
        <v>39972</v>
      </c>
      <c r="D4157" s="2" t="s">
        <v>39973</v>
      </c>
      <c r="E4157" s="2" t="s">
        <v>39974</v>
      </c>
      <c r="G4157" s="3" t="s">
        <v>62</v>
      </c>
      <c r="I4157" s="3" t="s">
        <v>62</v>
      </c>
      <c r="J4157" s="3" t="s">
        <v>62</v>
      </c>
      <c r="K4157" s="3" t="s">
        <v>63</v>
      </c>
      <c r="M4157" s="2" t="s">
        <v>39975</v>
      </c>
      <c r="N4157" s="3" t="s">
        <v>894</v>
      </c>
      <c r="P4157" s="3" t="s">
        <v>110</v>
      </c>
      <c r="Q4157" s="2" t="s">
        <v>39976</v>
      </c>
      <c r="R4157" s="3" t="s">
        <v>66</v>
      </c>
      <c r="S4157" s="4">
        <v>0</v>
      </c>
      <c r="T4157" s="4">
        <v>0</v>
      </c>
      <c r="W4157" s="5" t="s">
        <v>67</v>
      </c>
      <c r="X4157" s="5" t="s">
        <v>67</v>
      </c>
      <c r="Y4157" s="4">
        <v>13</v>
      </c>
      <c r="Z4157" s="4">
        <v>5</v>
      </c>
      <c r="AA4157" s="4">
        <v>9</v>
      </c>
      <c r="AB4157" s="4">
        <v>1</v>
      </c>
      <c r="AC4157" s="4">
        <v>2</v>
      </c>
      <c r="AD4157" s="4">
        <v>7</v>
      </c>
      <c r="AE4157" s="4">
        <v>12</v>
      </c>
      <c r="AF4157" s="4">
        <v>0</v>
      </c>
      <c r="AG4157" s="4">
        <v>1</v>
      </c>
      <c r="AH4157" s="4">
        <v>5</v>
      </c>
      <c r="AI4157" s="4">
        <v>10</v>
      </c>
      <c r="AJ4157" s="4">
        <v>3</v>
      </c>
      <c r="AK4157" s="4">
        <v>7</v>
      </c>
      <c r="AL4157" s="4">
        <v>2</v>
      </c>
      <c r="AM4157" s="4">
        <v>3</v>
      </c>
      <c r="AN4157" s="4">
        <v>0</v>
      </c>
      <c r="AO4157" s="4">
        <v>0</v>
      </c>
      <c r="AP4157" s="4">
        <v>4</v>
      </c>
      <c r="AQ4157" s="4">
        <v>8</v>
      </c>
      <c r="AR4157" s="3" t="s">
        <v>62</v>
      </c>
      <c r="AS4157" s="3" t="s">
        <v>62</v>
      </c>
      <c r="AT4157" s="3" t="s">
        <v>62</v>
      </c>
      <c r="AV4157" s="6" t="str">
        <f>HYPERLINK("http://mcgill.on.worldcat.org/oclc/761033661","Catalog Record")</f>
        <v>Catalog Record</v>
      </c>
      <c r="AW4157" s="6" t="str">
        <f>HYPERLINK("http://www.worldcat.org/oclc/761033661","WorldCat Record")</f>
        <v>WorldCat Record</v>
      </c>
      <c r="AX4157" s="3" t="s">
        <v>39977</v>
      </c>
      <c r="AY4157" s="3" t="s">
        <v>39978</v>
      </c>
      <c r="AZ4157" s="3" t="s">
        <v>39979</v>
      </c>
      <c r="BA4157" s="3" t="s">
        <v>39979</v>
      </c>
      <c r="BB4157" s="3" t="s">
        <v>39980</v>
      </c>
      <c r="BC4157" s="3" t="s">
        <v>142</v>
      </c>
      <c r="BD4157" s="3" t="s">
        <v>68</v>
      </c>
      <c r="BE4157" s="3" t="s">
        <v>39981</v>
      </c>
      <c r="BF4157" s="3" t="s">
        <v>39980</v>
      </c>
      <c r="BG4157" s="3" t="s">
        <v>39982</v>
      </c>
    </row>
    <row r="4158" spans="1:59" ht="57" x14ac:dyDescent="0.45">
      <c r="A4158" s="2" t="s">
        <v>59</v>
      </c>
      <c r="B4158" s="2" t="s">
        <v>60</v>
      </c>
      <c r="C4158" s="2" t="s">
        <v>39983</v>
      </c>
      <c r="D4158" s="2" t="s">
        <v>39984</v>
      </c>
      <c r="E4158" s="2" t="s">
        <v>39985</v>
      </c>
      <c r="G4158" s="3" t="s">
        <v>62</v>
      </c>
      <c r="I4158" s="3" t="s">
        <v>62</v>
      </c>
      <c r="J4158" s="3" t="s">
        <v>62</v>
      </c>
      <c r="K4158" s="3" t="s">
        <v>63</v>
      </c>
      <c r="M4158" s="2" t="s">
        <v>39986</v>
      </c>
      <c r="N4158" s="3" t="s">
        <v>542</v>
      </c>
      <c r="P4158" s="3" t="s">
        <v>65</v>
      </c>
      <c r="R4158" s="3" t="s">
        <v>66</v>
      </c>
      <c r="S4158" s="4">
        <v>16</v>
      </c>
      <c r="T4158" s="4">
        <v>16</v>
      </c>
      <c r="U4158" s="5" t="s">
        <v>13932</v>
      </c>
      <c r="V4158" s="5" t="s">
        <v>13932</v>
      </c>
      <c r="W4158" s="5" t="s">
        <v>67</v>
      </c>
      <c r="X4158" s="5" t="s">
        <v>67</v>
      </c>
      <c r="Y4158" s="4">
        <v>128</v>
      </c>
      <c r="Z4158" s="4">
        <v>5</v>
      </c>
      <c r="AA4158" s="4">
        <v>9</v>
      </c>
      <c r="AB4158" s="4">
        <v>1</v>
      </c>
      <c r="AC4158" s="4">
        <v>4</v>
      </c>
      <c r="AD4158" s="4">
        <v>53</v>
      </c>
      <c r="AE4158" s="4">
        <v>55</v>
      </c>
      <c r="AF4158" s="4">
        <v>0</v>
      </c>
      <c r="AG4158" s="4">
        <v>0</v>
      </c>
      <c r="AH4158" s="4">
        <v>50</v>
      </c>
      <c r="AI4158" s="4">
        <v>51</v>
      </c>
      <c r="AJ4158" s="4">
        <v>3</v>
      </c>
      <c r="AK4158" s="4">
        <v>4</v>
      </c>
      <c r="AL4158" s="4">
        <v>36</v>
      </c>
      <c r="AM4158" s="4">
        <v>36</v>
      </c>
      <c r="AN4158" s="4">
        <v>0</v>
      </c>
      <c r="AO4158" s="4">
        <v>0</v>
      </c>
      <c r="AP4158" s="4">
        <v>3</v>
      </c>
      <c r="AQ4158" s="4">
        <v>4</v>
      </c>
      <c r="AR4158" s="3" t="s">
        <v>62</v>
      </c>
      <c r="AS4158" s="3" t="s">
        <v>62</v>
      </c>
      <c r="AT4158" s="3" t="s">
        <v>62</v>
      </c>
      <c r="AV4158" s="6" t="str">
        <f>HYPERLINK("http://mcgill.on.worldcat.org/oclc/46908657","Catalog Record")</f>
        <v>Catalog Record</v>
      </c>
      <c r="AW4158" s="6" t="str">
        <f>HYPERLINK("http://www.worldcat.org/oclc/46908657","WorldCat Record")</f>
        <v>WorldCat Record</v>
      </c>
      <c r="AX4158" s="3" t="s">
        <v>39987</v>
      </c>
      <c r="AY4158" s="3" t="s">
        <v>39988</v>
      </c>
      <c r="AZ4158" s="3" t="s">
        <v>39989</v>
      </c>
      <c r="BA4158" s="3" t="s">
        <v>39989</v>
      </c>
      <c r="BB4158" s="3" t="s">
        <v>39990</v>
      </c>
      <c r="BC4158" s="3" t="s">
        <v>142</v>
      </c>
      <c r="BD4158" s="3" t="s">
        <v>68</v>
      </c>
      <c r="BE4158" s="3" t="s">
        <v>39991</v>
      </c>
      <c r="BF4158" s="3" t="s">
        <v>39990</v>
      </c>
      <c r="BG4158" s="3" t="s">
        <v>39992</v>
      </c>
    </row>
    <row r="4159" spans="1:59" ht="57" x14ac:dyDescent="0.45">
      <c r="A4159" s="2" t="s">
        <v>59</v>
      </c>
      <c r="B4159" s="2" t="s">
        <v>60</v>
      </c>
      <c r="C4159" s="2" t="s">
        <v>39993</v>
      </c>
      <c r="D4159" s="2" t="s">
        <v>39994</v>
      </c>
      <c r="E4159" s="2" t="s">
        <v>39995</v>
      </c>
      <c r="G4159" s="3" t="s">
        <v>62</v>
      </c>
      <c r="I4159" s="3" t="s">
        <v>62</v>
      </c>
      <c r="J4159" s="3" t="s">
        <v>62</v>
      </c>
      <c r="K4159" s="3" t="s">
        <v>63</v>
      </c>
      <c r="L4159" s="2" t="s">
        <v>39996</v>
      </c>
      <c r="M4159" s="2" t="s">
        <v>20797</v>
      </c>
      <c r="N4159" s="3" t="s">
        <v>1688</v>
      </c>
      <c r="P4159" s="3" t="s">
        <v>65</v>
      </c>
      <c r="R4159" s="3" t="s">
        <v>66</v>
      </c>
      <c r="S4159" s="4">
        <v>3</v>
      </c>
      <c r="T4159" s="4">
        <v>3</v>
      </c>
      <c r="U4159" s="5" t="s">
        <v>39997</v>
      </c>
      <c r="V4159" s="5" t="s">
        <v>39997</v>
      </c>
      <c r="W4159" s="5" t="s">
        <v>67</v>
      </c>
      <c r="X4159" s="5" t="s">
        <v>67</v>
      </c>
      <c r="Y4159" s="4">
        <v>125</v>
      </c>
      <c r="Z4159" s="4">
        <v>15</v>
      </c>
      <c r="AA4159" s="4">
        <v>25</v>
      </c>
      <c r="AB4159" s="4">
        <v>1</v>
      </c>
      <c r="AC4159" s="4">
        <v>5</v>
      </c>
      <c r="AD4159" s="4">
        <v>47</v>
      </c>
      <c r="AE4159" s="4">
        <v>60</v>
      </c>
      <c r="AF4159" s="4">
        <v>0</v>
      </c>
      <c r="AG4159" s="4">
        <v>1</v>
      </c>
      <c r="AH4159" s="4">
        <v>42</v>
      </c>
      <c r="AI4159" s="4">
        <v>54</v>
      </c>
      <c r="AJ4159" s="4">
        <v>11</v>
      </c>
      <c r="AK4159" s="4">
        <v>15</v>
      </c>
      <c r="AL4159" s="4">
        <v>24</v>
      </c>
      <c r="AM4159" s="4">
        <v>30</v>
      </c>
      <c r="AN4159" s="4">
        <v>0</v>
      </c>
      <c r="AO4159" s="4">
        <v>0</v>
      </c>
      <c r="AP4159" s="4">
        <v>13</v>
      </c>
      <c r="AQ4159" s="4">
        <v>17</v>
      </c>
      <c r="AR4159" s="3" t="s">
        <v>62</v>
      </c>
      <c r="AS4159" s="3" t="s">
        <v>62</v>
      </c>
      <c r="AT4159" s="3" t="s">
        <v>62</v>
      </c>
      <c r="AV4159" s="6" t="str">
        <f>HYPERLINK("http://mcgill.on.worldcat.org/oclc/811606409","Catalog Record")</f>
        <v>Catalog Record</v>
      </c>
      <c r="AW4159" s="6" t="str">
        <f>HYPERLINK("http://www.worldcat.org/oclc/811606409","WorldCat Record")</f>
        <v>WorldCat Record</v>
      </c>
      <c r="AX4159" s="3" t="s">
        <v>39998</v>
      </c>
      <c r="AY4159" s="3" t="s">
        <v>39999</v>
      </c>
      <c r="AZ4159" s="3" t="s">
        <v>40000</v>
      </c>
      <c r="BA4159" s="3" t="s">
        <v>40000</v>
      </c>
      <c r="BB4159" s="3" t="s">
        <v>40001</v>
      </c>
      <c r="BC4159" s="3" t="s">
        <v>142</v>
      </c>
      <c r="BD4159" s="3" t="s">
        <v>308</v>
      </c>
      <c r="BE4159" s="3" t="s">
        <v>40002</v>
      </c>
      <c r="BF4159" s="3" t="s">
        <v>40001</v>
      </c>
      <c r="BG4159" s="3" t="s">
        <v>40003</v>
      </c>
    </row>
    <row r="4160" spans="1:59" ht="57" x14ac:dyDescent="0.45">
      <c r="A4160" s="2" t="s">
        <v>59</v>
      </c>
      <c r="B4160" s="2" t="s">
        <v>60</v>
      </c>
      <c r="C4160" s="2" t="s">
        <v>40004</v>
      </c>
      <c r="D4160" s="2" t="s">
        <v>40005</v>
      </c>
      <c r="E4160" s="2" t="s">
        <v>40006</v>
      </c>
      <c r="G4160" s="3" t="s">
        <v>62</v>
      </c>
      <c r="I4160" s="3" t="s">
        <v>62</v>
      </c>
      <c r="J4160" s="3" t="s">
        <v>62</v>
      </c>
      <c r="K4160" s="3" t="s">
        <v>63</v>
      </c>
      <c r="M4160" s="2" t="s">
        <v>9445</v>
      </c>
      <c r="N4160" s="3" t="s">
        <v>1478</v>
      </c>
      <c r="P4160" s="3" t="s">
        <v>65</v>
      </c>
      <c r="Q4160" s="2" t="s">
        <v>40007</v>
      </c>
      <c r="R4160" s="3" t="s">
        <v>66</v>
      </c>
      <c r="S4160" s="4">
        <v>34</v>
      </c>
      <c r="T4160" s="4">
        <v>34</v>
      </c>
      <c r="U4160" s="5" t="s">
        <v>971</v>
      </c>
      <c r="V4160" s="5" t="s">
        <v>971</v>
      </c>
      <c r="W4160" s="5" t="s">
        <v>67</v>
      </c>
      <c r="X4160" s="5" t="s">
        <v>67</v>
      </c>
      <c r="Y4160" s="4">
        <v>229</v>
      </c>
      <c r="Z4160" s="4">
        <v>21</v>
      </c>
      <c r="AA4160" s="4">
        <v>101</v>
      </c>
      <c r="AB4160" s="4">
        <v>2</v>
      </c>
      <c r="AC4160" s="4">
        <v>17</v>
      </c>
      <c r="AD4160" s="4">
        <v>63</v>
      </c>
      <c r="AE4160" s="4">
        <v>124</v>
      </c>
      <c r="AF4160" s="4">
        <v>1</v>
      </c>
      <c r="AG4160" s="4">
        <v>8</v>
      </c>
      <c r="AH4160" s="4">
        <v>51</v>
      </c>
      <c r="AI4160" s="4">
        <v>87</v>
      </c>
      <c r="AJ4160" s="4">
        <v>12</v>
      </c>
      <c r="AK4160" s="4">
        <v>22</v>
      </c>
      <c r="AL4160" s="4">
        <v>33</v>
      </c>
      <c r="AM4160" s="4">
        <v>45</v>
      </c>
      <c r="AN4160" s="4">
        <v>0</v>
      </c>
      <c r="AO4160" s="4">
        <v>0</v>
      </c>
      <c r="AP4160" s="4">
        <v>14</v>
      </c>
      <c r="AQ4160" s="4">
        <v>44</v>
      </c>
      <c r="AR4160" s="3" t="s">
        <v>62</v>
      </c>
      <c r="AS4160" s="3" t="s">
        <v>62</v>
      </c>
      <c r="AT4160" s="3" t="s">
        <v>61</v>
      </c>
      <c r="AU4160" s="6" t="str">
        <f>HYPERLINK("http://catalog.hathitrust.org/Record/003126174","HathiTrust Record")</f>
        <v>HathiTrust Record</v>
      </c>
      <c r="AV4160" s="6" t="str">
        <f>HYPERLINK("http://mcgill.on.worldcat.org/oclc/33334514","Catalog Record")</f>
        <v>Catalog Record</v>
      </c>
      <c r="AW4160" s="6" t="str">
        <f>HYPERLINK("http://www.worldcat.org/oclc/33334514","WorldCat Record")</f>
        <v>WorldCat Record</v>
      </c>
      <c r="AX4160" s="3" t="s">
        <v>40008</v>
      </c>
      <c r="AY4160" s="3" t="s">
        <v>40009</v>
      </c>
      <c r="AZ4160" s="3" t="s">
        <v>40010</v>
      </c>
      <c r="BA4160" s="3" t="s">
        <v>40010</v>
      </c>
      <c r="BB4160" s="3" t="s">
        <v>40011</v>
      </c>
      <c r="BC4160" s="3" t="s">
        <v>142</v>
      </c>
      <c r="BD4160" s="3" t="s">
        <v>68</v>
      </c>
      <c r="BE4160" s="3" t="s">
        <v>40012</v>
      </c>
      <c r="BF4160" s="3" t="s">
        <v>40011</v>
      </c>
      <c r="BG4160" s="3" t="s">
        <v>40013</v>
      </c>
    </row>
    <row r="4161" spans="1:59" ht="57" x14ac:dyDescent="0.45">
      <c r="A4161" s="2" t="s">
        <v>59</v>
      </c>
      <c r="B4161" s="2" t="s">
        <v>60</v>
      </c>
      <c r="C4161" s="2" t="s">
        <v>40014</v>
      </c>
      <c r="D4161" s="2" t="s">
        <v>40015</v>
      </c>
      <c r="E4161" s="2" t="s">
        <v>40016</v>
      </c>
      <c r="G4161" s="3" t="s">
        <v>62</v>
      </c>
      <c r="I4161" s="3" t="s">
        <v>62</v>
      </c>
      <c r="J4161" s="3" t="s">
        <v>62</v>
      </c>
      <c r="K4161" s="3" t="s">
        <v>63</v>
      </c>
      <c r="L4161" s="2" t="s">
        <v>40017</v>
      </c>
      <c r="M4161" s="2" t="s">
        <v>18105</v>
      </c>
      <c r="N4161" s="3" t="s">
        <v>1465</v>
      </c>
      <c r="P4161" s="3" t="s">
        <v>65</v>
      </c>
      <c r="R4161" s="3" t="s">
        <v>66</v>
      </c>
      <c r="S4161" s="4">
        <v>6</v>
      </c>
      <c r="T4161" s="4">
        <v>6</v>
      </c>
      <c r="U4161" s="5" t="s">
        <v>40018</v>
      </c>
      <c r="V4161" s="5" t="s">
        <v>40018</v>
      </c>
      <c r="W4161" s="5" t="s">
        <v>67</v>
      </c>
      <c r="X4161" s="5" t="s">
        <v>67</v>
      </c>
      <c r="Y4161" s="4">
        <v>145</v>
      </c>
      <c r="Z4161" s="4">
        <v>15</v>
      </c>
      <c r="AA4161" s="4">
        <v>22</v>
      </c>
      <c r="AB4161" s="4">
        <v>1</v>
      </c>
      <c r="AC4161" s="4">
        <v>4</v>
      </c>
      <c r="AD4161" s="4">
        <v>56</v>
      </c>
      <c r="AE4161" s="4">
        <v>71</v>
      </c>
      <c r="AF4161" s="4">
        <v>0</v>
      </c>
      <c r="AG4161" s="4">
        <v>1</v>
      </c>
      <c r="AH4161" s="4">
        <v>51</v>
      </c>
      <c r="AI4161" s="4">
        <v>63</v>
      </c>
      <c r="AJ4161" s="4">
        <v>11</v>
      </c>
      <c r="AK4161" s="4">
        <v>13</v>
      </c>
      <c r="AL4161" s="4">
        <v>31</v>
      </c>
      <c r="AM4161" s="4">
        <v>39</v>
      </c>
      <c r="AN4161" s="4">
        <v>0</v>
      </c>
      <c r="AO4161" s="4">
        <v>0</v>
      </c>
      <c r="AP4161" s="4">
        <v>13</v>
      </c>
      <c r="AQ4161" s="4">
        <v>17</v>
      </c>
      <c r="AR4161" s="3" t="s">
        <v>62</v>
      </c>
      <c r="AS4161" s="3" t="s">
        <v>62</v>
      </c>
      <c r="AT4161" s="3" t="s">
        <v>62</v>
      </c>
      <c r="AV4161" s="6" t="str">
        <f>HYPERLINK("http://mcgill.on.worldcat.org/oclc/190620094","Catalog Record")</f>
        <v>Catalog Record</v>
      </c>
      <c r="AW4161" s="6" t="str">
        <f>HYPERLINK("http://www.worldcat.org/oclc/190620094","WorldCat Record")</f>
        <v>WorldCat Record</v>
      </c>
      <c r="AX4161" s="3" t="s">
        <v>40019</v>
      </c>
      <c r="AY4161" s="3" t="s">
        <v>40020</v>
      </c>
      <c r="AZ4161" s="3" t="s">
        <v>40021</v>
      </c>
      <c r="BA4161" s="3" t="s">
        <v>40021</v>
      </c>
      <c r="BB4161" s="3" t="s">
        <v>40022</v>
      </c>
      <c r="BC4161" s="3" t="s">
        <v>142</v>
      </c>
      <c r="BD4161" s="3" t="s">
        <v>68</v>
      </c>
      <c r="BE4161" s="3" t="s">
        <v>40023</v>
      </c>
      <c r="BF4161" s="3" t="s">
        <v>40022</v>
      </c>
      <c r="BG4161" s="3" t="s">
        <v>40024</v>
      </c>
    </row>
    <row r="4162" spans="1:59" ht="57" x14ac:dyDescent="0.45">
      <c r="A4162" s="2" t="s">
        <v>59</v>
      </c>
      <c r="B4162" s="2" t="s">
        <v>60</v>
      </c>
      <c r="C4162" s="2" t="s">
        <v>40025</v>
      </c>
      <c r="D4162" s="2" t="s">
        <v>40026</v>
      </c>
      <c r="E4162" s="2" t="s">
        <v>40027</v>
      </c>
      <c r="G4162" s="3" t="s">
        <v>62</v>
      </c>
      <c r="I4162" s="3" t="s">
        <v>62</v>
      </c>
      <c r="J4162" s="3" t="s">
        <v>62</v>
      </c>
      <c r="K4162" s="3" t="s">
        <v>63</v>
      </c>
      <c r="M4162" s="2" t="s">
        <v>40028</v>
      </c>
      <c r="N4162" s="3" t="s">
        <v>1155</v>
      </c>
      <c r="P4162" s="3" t="s">
        <v>65</v>
      </c>
      <c r="Q4162" s="2" t="s">
        <v>40029</v>
      </c>
      <c r="R4162" s="3" t="s">
        <v>66</v>
      </c>
      <c r="S4162" s="4">
        <v>1</v>
      </c>
      <c r="T4162" s="4">
        <v>1</v>
      </c>
      <c r="U4162" s="5" t="s">
        <v>40030</v>
      </c>
      <c r="V4162" s="5" t="s">
        <v>40030</v>
      </c>
      <c r="W4162" s="5" t="s">
        <v>67</v>
      </c>
      <c r="X4162" s="5" t="s">
        <v>67</v>
      </c>
      <c r="Y4162" s="4">
        <v>127</v>
      </c>
      <c r="Z4162" s="4">
        <v>19</v>
      </c>
      <c r="AA4162" s="4">
        <v>82</v>
      </c>
      <c r="AB4162" s="4">
        <v>1</v>
      </c>
      <c r="AC4162" s="4">
        <v>14</v>
      </c>
      <c r="AD4162" s="4">
        <v>47</v>
      </c>
      <c r="AE4162" s="4">
        <v>102</v>
      </c>
      <c r="AF4162" s="4">
        <v>0</v>
      </c>
      <c r="AG4162" s="4">
        <v>8</v>
      </c>
      <c r="AH4162" s="4">
        <v>41</v>
      </c>
      <c r="AI4162" s="4">
        <v>70</v>
      </c>
      <c r="AJ4162" s="4">
        <v>13</v>
      </c>
      <c r="AK4162" s="4">
        <v>24</v>
      </c>
      <c r="AL4162" s="4">
        <v>22</v>
      </c>
      <c r="AM4162" s="4">
        <v>37</v>
      </c>
      <c r="AN4162" s="4">
        <v>0</v>
      </c>
      <c r="AO4162" s="4">
        <v>0</v>
      </c>
      <c r="AP4162" s="4">
        <v>15</v>
      </c>
      <c r="AQ4162" s="4">
        <v>42</v>
      </c>
      <c r="AR4162" s="3" t="s">
        <v>62</v>
      </c>
      <c r="AS4162" s="3" t="s">
        <v>62</v>
      </c>
      <c r="AT4162" s="3" t="s">
        <v>62</v>
      </c>
      <c r="AV4162" s="6" t="str">
        <f>HYPERLINK("http://mcgill.on.worldcat.org/oclc/776777205","Catalog Record")</f>
        <v>Catalog Record</v>
      </c>
      <c r="AW4162" s="6" t="str">
        <f>HYPERLINK("http://www.worldcat.org/oclc/776777205","WorldCat Record")</f>
        <v>WorldCat Record</v>
      </c>
      <c r="AX4162" s="3" t="s">
        <v>40031</v>
      </c>
      <c r="AY4162" s="3" t="s">
        <v>40032</v>
      </c>
      <c r="AZ4162" s="3" t="s">
        <v>40033</v>
      </c>
      <c r="BA4162" s="3" t="s">
        <v>40033</v>
      </c>
      <c r="BB4162" s="3" t="s">
        <v>40034</v>
      </c>
      <c r="BC4162" s="3" t="s">
        <v>142</v>
      </c>
      <c r="BD4162" s="3" t="s">
        <v>68</v>
      </c>
      <c r="BE4162" s="3" t="s">
        <v>40035</v>
      </c>
      <c r="BF4162" s="3" t="s">
        <v>40034</v>
      </c>
      <c r="BG4162" s="3" t="s">
        <v>40036</v>
      </c>
    </row>
    <row r="4163" spans="1:59" ht="57" x14ac:dyDescent="0.45">
      <c r="A4163" s="2" t="s">
        <v>59</v>
      </c>
      <c r="B4163" s="2" t="s">
        <v>60</v>
      </c>
      <c r="C4163" s="2" t="s">
        <v>40037</v>
      </c>
      <c r="D4163" s="2" t="s">
        <v>40038</v>
      </c>
      <c r="E4163" s="2" t="s">
        <v>40039</v>
      </c>
      <c r="G4163" s="3" t="s">
        <v>62</v>
      </c>
      <c r="I4163" s="3" t="s">
        <v>62</v>
      </c>
      <c r="J4163" s="3" t="s">
        <v>62</v>
      </c>
      <c r="K4163" s="3" t="s">
        <v>63</v>
      </c>
      <c r="M4163" s="2" t="s">
        <v>21072</v>
      </c>
      <c r="N4163" s="3" t="s">
        <v>1059</v>
      </c>
      <c r="P4163" s="3" t="s">
        <v>65</v>
      </c>
      <c r="Q4163" s="2" t="s">
        <v>3375</v>
      </c>
      <c r="R4163" s="3" t="s">
        <v>66</v>
      </c>
      <c r="S4163" s="4">
        <v>15</v>
      </c>
      <c r="T4163" s="4">
        <v>15</v>
      </c>
      <c r="U4163" s="5" t="s">
        <v>30739</v>
      </c>
      <c r="V4163" s="5" t="s">
        <v>30739</v>
      </c>
      <c r="W4163" s="5" t="s">
        <v>67</v>
      </c>
      <c r="X4163" s="5" t="s">
        <v>67</v>
      </c>
      <c r="Y4163" s="4">
        <v>175</v>
      </c>
      <c r="Z4163" s="4">
        <v>16</v>
      </c>
      <c r="AA4163" s="4">
        <v>24</v>
      </c>
      <c r="AB4163" s="4">
        <v>1</v>
      </c>
      <c r="AC4163" s="4">
        <v>4</v>
      </c>
      <c r="AD4163" s="4">
        <v>73</v>
      </c>
      <c r="AE4163" s="4">
        <v>81</v>
      </c>
      <c r="AF4163" s="4">
        <v>0</v>
      </c>
      <c r="AG4163" s="4">
        <v>1</v>
      </c>
      <c r="AH4163" s="4">
        <v>68</v>
      </c>
      <c r="AI4163" s="4">
        <v>72</v>
      </c>
      <c r="AJ4163" s="4">
        <v>12</v>
      </c>
      <c r="AK4163" s="4">
        <v>15</v>
      </c>
      <c r="AL4163" s="4">
        <v>39</v>
      </c>
      <c r="AM4163" s="4">
        <v>41</v>
      </c>
      <c r="AN4163" s="4">
        <v>0</v>
      </c>
      <c r="AO4163" s="4">
        <v>0</v>
      </c>
      <c r="AP4163" s="4">
        <v>13</v>
      </c>
      <c r="AQ4163" s="4">
        <v>19</v>
      </c>
      <c r="AR4163" s="3" t="s">
        <v>62</v>
      </c>
      <c r="AS4163" s="3" t="s">
        <v>62</v>
      </c>
      <c r="AT4163" s="3" t="s">
        <v>62</v>
      </c>
      <c r="AV4163" s="6" t="str">
        <f>HYPERLINK("http://mcgill.on.worldcat.org/oclc/60798546","Catalog Record")</f>
        <v>Catalog Record</v>
      </c>
      <c r="AW4163" s="6" t="str">
        <f>HYPERLINK("http://www.worldcat.org/oclc/60798546","WorldCat Record")</f>
        <v>WorldCat Record</v>
      </c>
      <c r="AX4163" s="3" t="s">
        <v>40040</v>
      </c>
      <c r="AY4163" s="3" t="s">
        <v>40041</v>
      </c>
      <c r="AZ4163" s="3" t="s">
        <v>40042</v>
      </c>
      <c r="BA4163" s="3" t="s">
        <v>40042</v>
      </c>
      <c r="BB4163" s="3" t="s">
        <v>40043</v>
      </c>
      <c r="BC4163" s="3" t="s">
        <v>142</v>
      </c>
      <c r="BD4163" s="3" t="s">
        <v>68</v>
      </c>
      <c r="BE4163" s="3" t="s">
        <v>40044</v>
      </c>
      <c r="BF4163" s="3" t="s">
        <v>40043</v>
      </c>
      <c r="BG4163" s="3" t="s">
        <v>40045</v>
      </c>
    </row>
    <row r="4164" spans="1:59" ht="57" x14ac:dyDescent="0.45">
      <c r="A4164" s="2" t="s">
        <v>59</v>
      </c>
      <c r="B4164" s="2" t="s">
        <v>60</v>
      </c>
      <c r="C4164" s="2" t="s">
        <v>40046</v>
      </c>
      <c r="D4164" s="2" t="s">
        <v>40047</v>
      </c>
      <c r="E4164" s="2" t="s">
        <v>40048</v>
      </c>
      <c r="G4164" s="3" t="s">
        <v>62</v>
      </c>
      <c r="I4164" s="3" t="s">
        <v>62</v>
      </c>
      <c r="J4164" s="3" t="s">
        <v>62</v>
      </c>
      <c r="K4164" s="3" t="s">
        <v>63</v>
      </c>
      <c r="M4164" s="2" t="s">
        <v>40049</v>
      </c>
      <c r="N4164" s="3" t="s">
        <v>1465</v>
      </c>
      <c r="P4164" s="3" t="s">
        <v>65</v>
      </c>
      <c r="Q4164" s="2" t="s">
        <v>40050</v>
      </c>
      <c r="R4164" s="3" t="s">
        <v>66</v>
      </c>
      <c r="S4164" s="4">
        <v>7</v>
      </c>
      <c r="T4164" s="4">
        <v>7</v>
      </c>
      <c r="U4164" s="5" t="s">
        <v>5192</v>
      </c>
      <c r="V4164" s="5" t="s">
        <v>5192</v>
      </c>
      <c r="W4164" s="5" t="s">
        <v>67</v>
      </c>
      <c r="X4164" s="5" t="s">
        <v>67</v>
      </c>
      <c r="Y4164" s="4">
        <v>87</v>
      </c>
      <c r="Z4164" s="4">
        <v>12</v>
      </c>
      <c r="AA4164" s="4">
        <v>16</v>
      </c>
      <c r="AB4164" s="4">
        <v>1</v>
      </c>
      <c r="AC4164" s="4">
        <v>4</v>
      </c>
      <c r="AD4164" s="4">
        <v>50</v>
      </c>
      <c r="AE4164" s="4">
        <v>53</v>
      </c>
      <c r="AF4164" s="4">
        <v>0</v>
      </c>
      <c r="AG4164" s="4">
        <v>3</v>
      </c>
      <c r="AH4164" s="4">
        <v>47</v>
      </c>
      <c r="AI4164" s="4">
        <v>48</v>
      </c>
      <c r="AJ4164" s="4">
        <v>9</v>
      </c>
      <c r="AK4164" s="4">
        <v>12</v>
      </c>
      <c r="AL4164" s="4">
        <v>27</v>
      </c>
      <c r="AM4164" s="4">
        <v>27</v>
      </c>
      <c r="AN4164" s="4">
        <v>0</v>
      </c>
      <c r="AO4164" s="4">
        <v>0</v>
      </c>
      <c r="AP4164" s="4">
        <v>9</v>
      </c>
      <c r="AQ4164" s="4">
        <v>11</v>
      </c>
      <c r="AR4164" s="3" t="s">
        <v>62</v>
      </c>
      <c r="AS4164" s="3" t="s">
        <v>62</v>
      </c>
      <c r="AT4164" s="3" t="s">
        <v>62</v>
      </c>
      <c r="AV4164" s="6" t="str">
        <f>HYPERLINK("http://mcgill.on.worldcat.org/oclc/437369671","Catalog Record")</f>
        <v>Catalog Record</v>
      </c>
      <c r="AW4164" s="6" t="str">
        <f>HYPERLINK("http://www.worldcat.org/oclc/437369671","WorldCat Record")</f>
        <v>WorldCat Record</v>
      </c>
      <c r="AX4164" s="3" t="s">
        <v>40051</v>
      </c>
      <c r="AY4164" s="3" t="s">
        <v>40052</v>
      </c>
      <c r="AZ4164" s="3" t="s">
        <v>40053</v>
      </c>
      <c r="BA4164" s="3" t="s">
        <v>40053</v>
      </c>
      <c r="BB4164" s="3" t="s">
        <v>40054</v>
      </c>
      <c r="BC4164" s="3" t="s">
        <v>142</v>
      </c>
      <c r="BD4164" s="3" t="s">
        <v>68</v>
      </c>
      <c r="BE4164" s="3" t="s">
        <v>40055</v>
      </c>
      <c r="BF4164" s="3" t="s">
        <v>40054</v>
      </c>
      <c r="BG4164" s="3" t="s">
        <v>40056</v>
      </c>
    </row>
    <row r="4165" spans="1:59" ht="71.25" x14ac:dyDescent="0.45">
      <c r="A4165" s="2" t="s">
        <v>59</v>
      </c>
      <c r="B4165" s="2" t="s">
        <v>60</v>
      </c>
      <c r="C4165" s="2" t="s">
        <v>40057</v>
      </c>
      <c r="D4165" s="2" t="s">
        <v>40058</v>
      </c>
      <c r="E4165" s="2" t="s">
        <v>40059</v>
      </c>
      <c r="G4165" s="3" t="s">
        <v>62</v>
      </c>
      <c r="I4165" s="3" t="s">
        <v>62</v>
      </c>
      <c r="J4165" s="3" t="s">
        <v>62</v>
      </c>
      <c r="K4165" s="3" t="s">
        <v>63</v>
      </c>
      <c r="M4165" s="2" t="s">
        <v>25145</v>
      </c>
      <c r="N4165" s="3" t="s">
        <v>945</v>
      </c>
      <c r="P4165" s="3" t="s">
        <v>65</v>
      </c>
      <c r="Q4165" s="2" t="s">
        <v>39516</v>
      </c>
      <c r="R4165" s="3" t="s">
        <v>66</v>
      </c>
      <c r="S4165" s="4">
        <v>10</v>
      </c>
      <c r="T4165" s="4">
        <v>10</v>
      </c>
      <c r="U4165" s="5" t="s">
        <v>17974</v>
      </c>
      <c r="V4165" s="5" t="s">
        <v>17974</v>
      </c>
      <c r="W4165" s="5" t="s">
        <v>67</v>
      </c>
      <c r="X4165" s="5" t="s">
        <v>67</v>
      </c>
      <c r="Y4165" s="4">
        <v>146</v>
      </c>
      <c r="Z4165" s="4">
        <v>16</v>
      </c>
      <c r="AA4165" s="4">
        <v>24</v>
      </c>
      <c r="AB4165" s="4">
        <v>1</v>
      </c>
      <c r="AC4165" s="4">
        <v>4</v>
      </c>
      <c r="AD4165" s="4">
        <v>73</v>
      </c>
      <c r="AE4165" s="4">
        <v>79</v>
      </c>
      <c r="AF4165" s="4">
        <v>0</v>
      </c>
      <c r="AG4165" s="4">
        <v>1</v>
      </c>
      <c r="AH4165" s="4">
        <v>66</v>
      </c>
      <c r="AI4165" s="4">
        <v>69</v>
      </c>
      <c r="AJ4165" s="4">
        <v>13</v>
      </c>
      <c r="AK4165" s="4">
        <v>16</v>
      </c>
      <c r="AL4165" s="4">
        <v>40</v>
      </c>
      <c r="AM4165" s="4">
        <v>41</v>
      </c>
      <c r="AN4165" s="4">
        <v>0</v>
      </c>
      <c r="AO4165" s="4">
        <v>0</v>
      </c>
      <c r="AP4165" s="4">
        <v>14</v>
      </c>
      <c r="AQ4165" s="4">
        <v>19</v>
      </c>
      <c r="AR4165" s="3" t="s">
        <v>62</v>
      </c>
      <c r="AS4165" s="3" t="s">
        <v>62</v>
      </c>
      <c r="AT4165" s="3" t="s">
        <v>61</v>
      </c>
      <c r="AU4165" s="6" t="str">
        <f>HYPERLINK("http://catalog.hathitrust.org/Record/005561981","HathiTrust Record")</f>
        <v>HathiTrust Record</v>
      </c>
      <c r="AV4165" s="6" t="str">
        <f>HYPERLINK("http://mcgill.on.worldcat.org/oclc/73743526","Catalog Record")</f>
        <v>Catalog Record</v>
      </c>
      <c r="AW4165" s="6" t="str">
        <f>HYPERLINK("http://www.worldcat.org/oclc/73743526","WorldCat Record")</f>
        <v>WorldCat Record</v>
      </c>
      <c r="AX4165" s="3" t="s">
        <v>40060</v>
      </c>
      <c r="AY4165" s="3" t="s">
        <v>40061</v>
      </c>
      <c r="AZ4165" s="3" t="s">
        <v>40062</v>
      </c>
      <c r="BA4165" s="3" t="s">
        <v>40062</v>
      </c>
      <c r="BB4165" s="3" t="s">
        <v>40063</v>
      </c>
      <c r="BC4165" s="3" t="s">
        <v>142</v>
      </c>
      <c r="BD4165" s="3" t="s">
        <v>68</v>
      </c>
      <c r="BE4165" s="3" t="s">
        <v>40064</v>
      </c>
      <c r="BF4165" s="3" t="s">
        <v>40063</v>
      </c>
      <c r="BG4165" s="3" t="s">
        <v>40065</v>
      </c>
    </row>
    <row r="4166" spans="1:59" ht="57" x14ac:dyDescent="0.45">
      <c r="A4166" s="2" t="s">
        <v>59</v>
      </c>
      <c r="B4166" s="2" t="s">
        <v>60</v>
      </c>
      <c r="C4166" s="2" t="s">
        <v>40066</v>
      </c>
      <c r="D4166" s="2" t="s">
        <v>40067</v>
      </c>
      <c r="E4166" s="2" t="s">
        <v>40068</v>
      </c>
      <c r="G4166" s="3" t="s">
        <v>62</v>
      </c>
      <c r="I4166" s="3" t="s">
        <v>62</v>
      </c>
      <c r="J4166" s="3" t="s">
        <v>62</v>
      </c>
      <c r="K4166" s="3" t="s">
        <v>63</v>
      </c>
      <c r="M4166" s="2" t="s">
        <v>40069</v>
      </c>
      <c r="N4166" s="3" t="s">
        <v>918</v>
      </c>
      <c r="P4166" s="3" t="s">
        <v>65</v>
      </c>
      <c r="R4166" s="3" t="s">
        <v>66</v>
      </c>
      <c r="S4166" s="4">
        <v>12</v>
      </c>
      <c r="T4166" s="4">
        <v>12</v>
      </c>
      <c r="U4166" s="5" t="s">
        <v>10962</v>
      </c>
      <c r="V4166" s="5" t="s">
        <v>10962</v>
      </c>
      <c r="W4166" s="5" t="s">
        <v>67</v>
      </c>
      <c r="X4166" s="5" t="s">
        <v>67</v>
      </c>
      <c r="Y4166" s="4">
        <v>126</v>
      </c>
      <c r="Z4166" s="4">
        <v>7</v>
      </c>
      <c r="AA4166" s="4">
        <v>8</v>
      </c>
      <c r="AB4166" s="4">
        <v>1</v>
      </c>
      <c r="AC4166" s="4">
        <v>2</v>
      </c>
      <c r="AD4166" s="4">
        <v>58</v>
      </c>
      <c r="AE4166" s="4">
        <v>59</v>
      </c>
      <c r="AF4166" s="4">
        <v>0</v>
      </c>
      <c r="AG4166" s="4">
        <v>1</v>
      </c>
      <c r="AH4166" s="4">
        <v>54</v>
      </c>
      <c r="AI4166" s="4">
        <v>54</v>
      </c>
      <c r="AJ4166" s="4">
        <v>5</v>
      </c>
      <c r="AK4166" s="4">
        <v>6</v>
      </c>
      <c r="AL4166" s="4">
        <v>33</v>
      </c>
      <c r="AM4166" s="4">
        <v>33</v>
      </c>
      <c r="AN4166" s="4">
        <v>0</v>
      </c>
      <c r="AO4166" s="4">
        <v>0</v>
      </c>
      <c r="AP4166" s="4">
        <v>5</v>
      </c>
      <c r="AQ4166" s="4">
        <v>5</v>
      </c>
      <c r="AR4166" s="3" t="s">
        <v>62</v>
      </c>
      <c r="AS4166" s="3" t="s">
        <v>62</v>
      </c>
      <c r="AT4166" s="3" t="s">
        <v>61</v>
      </c>
      <c r="AU4166" s="6" t="str">
        <f>HYPERLINK("http://catalog.hathitrust.org/Record/007144231","HathiTrust Record")</f>
        <v>HathiTrust Record</v>
      </c>
      <c r="AV4166" s="6" t="str">
        <f>HYPERLINK("http://mcgill.on.worldcat.org/oclc/52912321","Catalog Record")</f>
        <v>Catalog Record</v>
      </c>
      <c r="AW4166" s="6" t="str">
        <f>HYPERLINK("http://www.worldcat.org/oclc/52912321","WorldCat Record")</f>
        <v>WorldCat Record</v>
      </c>
      <c r="AX4166" s="3" t="s">
        <v>40070</v>
      </c>
      <c r="AY4166" s="3" t="s">
        <v>40071</v>
      </c>
      <c r="AZ4166" s="3" t="s">
        <v>40072</v>
      </c>
      <c r="BA4166" s="3" t="s">
        <v>40072</v>
      </c>
      <c r="BB4166" s="3" t="s">
        <v>40073</v>
      </c>
      <c r="BC4166" s="3" t="s">
        <v>142</v>
      </c>
      <c r="BD4166" s="3" t="s">
        <v>68</v>
      </c>
      <c r="BE4166" s="3" t="s">
        <v>40074</v>
      </c>
      <c r="BF4166" s="3" t="s">
        <v>40073</v>
      </c>
      <c r="BG4166" s="3" t="s">
        <v>40075</v>
      </c>
    </row>
    <row r="4167" spans="1:59" ht="57" x14ac:dyDescent="0.45">
      <c r="A4167" s="2" t="s">
        <v>59</v>
      </c>
      <c r="B4167" s="2" t="s">
        <v>60</v>
      </c>
      <c r="C4167" s="2" t="s">
        <v>40076</v>
      </c>
      <c r="D4167" s="2" t="s">
        <v>40077</v>
      </c>
      <c r="E4167" s="2" t="s">
        <v>40078</v>
      </c>
      <c r="G4167" s="3" t="s">
        <v>62</v>
      </c>
      <c r="I4167" s="3" t="s">
        <v>62</v>
      </c>
      <c r="J4167" s="3" t="s">
        <v>62</v>
      </c>
      <c r="K4167" s="3" t="s">
        <v>63</v>
      </c>
      <c r="L4167" s="2" t="s">
        <v>40079</v>
      </c>
      <c r="M4167" s="2" t="s">
        <v>40080</v>
      </c>
      <c r="N4167" s="3" t="s">
        <v>820</v>
      </c>
      <c r="P4167" s="3" t="s">
        <v>110</v>
      </c>
      <c r="R4167" s="3" t="s">
        <v>66</v>
      </c>
      <c r="S4167" s="4">
        <v>6</v>
      </c>
      <c r="T4167" s="4">
        <v>6</v>
      </c>
      <c r="U4167" s="5" t="s">
        <v>39718</v>
      </c>
      <c r="V4167" s="5" t="s">
        <v>39718</v>
      </c>
      <c r="W4167" s="5" t="s">
        <v>67</v>
      </c>
      <c r="X4167" s="5" t="s">
        <v>67</v>
      </c>
      <c r="Y4167" s="4">
        <v>29</v>
      </c>
      <c r="Z4167" s="4">
        <v>6</v>
      </c>
      <c r="AA4167" s="4">
        <v>10</v>
      </c>
      <c r="AB4167" s="4">
        <v>3</v>
      </c>
      <c r="AC4167" s="4">
        <v>6</v>
      </c>
      <c r="AD4167" s="4">
        <v>14</v>
      </c>
      <c r="AE4167" s="4">
        <v>17</v>
      </c>
      <c r="AF4167" s="4">
        <v>0</v>
      </c>
      <c r="AG4167" s="4">
        <v>2</v>
      </c>
      <c r="AH4167" s="4">
        <v>13</v>
      </c>
      <c r="AI4167" s="4">
        <v>15</v>
      </c>
      <c r="AJ4167" s="4">
        <v>2</v>
      </c>
      <c r="AK4167" s="4">
        <v>5</v>
      </c>
      <c r="AL4167" s="4">
        <v>11</v>
      </c>
      <c r="AM4167" s="4">
        <v>11</v>
      </c>
      <c r="AN4167" s="4">
        <v>0</v>
      </c>
      <c r="AO4167" s="4">
        <v>0</v>
      </c>
      <c r="AP4167" s="4">
        <v>2</v>
      </c>
      <c r="AQ4167" s="4">
        <v>5</v>
      </c>
      <c r="AR4167" s="3" t="s">
        <v>62</v>
      </c>
      <c r="AS4167" s="3" t="s">
        <v>62</v>
      </c>
      <c r="AT4167" s="3" t="s">
        <v>62</v>
      </c>
      <c r="AV4167" s="6" t="str">
        <f>HYPERLINK("http://mcgill.on.worldcat.org/oclc/272561577","Catalog Record")</f>
        <v>Catalog Record</v>
      </c>
      <c r="AW4167" s="6" t="str">
        <f>HYPERLINK("http://www.worldcat.org/oclc/272561577","WorldCat Record")</f>
        <v>WorldCat Record</v>
      </c>
      <c r="AX4167" s="3" t="s">
        <v>40081</v>
      </c>
      <c r="AY4167" s="3" t="s">
        <v>40082</v>
      </c>
      <c r="AZ4167" s="3" t="s">
        <v>40083</v>
      </c>
      <c r="BA4167" s="3" t="s">
        <v>40083</v>
      </c>
      <c r="BB4167" s="3" t="s">
        <v>40084</v>
      </c>
      <c r="BC4167" s="3" t="s">
        <v>142</v>
      </c>
      <c r="BD4167" s="3" t="s">
        <v>68</v>
      </c>
      <c r="BE4167" s="3" t="s">
        <v>40085</v>
      </c>
      <c r="BF4167" s="3" t="s">
        <v>40084</v>
      </c>
      <c r="BG4167" s="3" t="s">
        <v>40086</v>
      </c>
    </row>
    <row r="4168" spans="1:59" ht="57" x14ac:dyDescent="0.45">
      <c r="A4168" s="2" t="s">
        <v>59</v>
      </c>
      <c r="B4168" s="2" t="s">
        <v>60</v>
      </c>
      <c r="C4168" s="2" t="s">
        <v>40087</v>
      </c>
      <c r="D4168" s="2" t="s">
        <v>40088</v>
      </c>
      <c r="E4168" s="2" t="s">
        <v>40089</v>
      </c>
      <c r="G4168" s="3" t="s">
        <v>62</v>
      </c>
      <c r="I4168" s="3" t="s">
        <v>62</v>
      </c>
      <c r="J4168" s="3" t="s">
        <v>62</v>
      </c>
      <c r="K4168" s="3" t="s">
        <v>63</v>
      </c>
      <c r="L4168" s="2" t="s">
        <v>40090</v>
      </c>
      <c r="M4168" s="2" t="s">
        <v>25145</v>
      </c>
      <c r="N4168" s="3" t="s">
        <v>945</v>
      </c>
      <c r="P4168" s="3" t="s">
        <v>65</v>
      </c>
      <c r="Q4168" s="2" t="s">
        <v>39516</v>
      </c>
      <c r="R4168" s="3" t="s">
        <v>66</v>
      </c>
      <c r="S4168" s="4">
        <v>3</v>
      </c>
      <c r="T4168" s="4">
        <v>3</v>
      </c>
      <c r="U4168" s="5" t="s">
        <v>1974</v>
      </c>
      <c r="V4168" s="5" t="s">
        <v>1974</v>
      </c>
      <c r="W4168" s="5" t="s">
        <v>67</v>
      </c>
      <c r="X4168" s="5" t="s">
        <v>67</v>
      </c>
      <c r="Y4168" s="4">
        <v>184</v>
      </c>
      <c r="Z4168" s="4">
        <v>19</v>
      </c>
      <c r="AA4168" s="4">
        <v>23</v>
      </c>
      <c r="AB4168" s="4">
        <v>1</v>
      </c>
      <c r="AC4168" s="4">
        <v>4</v>
      </c>
      <c r="AD4168" s="4">
        <v>77</v>
      </c>
      <c r="AE4168" s="4">
        <v>79</v>
      </c>
      <c r="AF4168" s="4">
        <v>0</v>
      </c>
      <c r="AG4168" s="4">
        <v>1</v>
      </c>
      <c r="AH4168" s="4">
        <v>69</v>
      </c>
      <c r="AI4168" s="4">
        <v>71</v>
      </c>
      <c r="AJ4168" s="4">
        <v>14</v>
      </c>
      <c r="AK4168" s="4">
        <v>16</v>
      </c>
      <c r="AL4168" s="4">
        <v>41</v>
      </c>
      <c r="AM4168" s="4">
        <v>41</v>
      </c>
      <c r="AN4168" s="4">
        <v>0</v>
      </c>
      <c r="AO4168" s="4">
        <v>0</v>
      </c>
      <c r="AP4168" s="4">
        <v>16</v>
      </c>
      <c r="AQ4168" s="4">
        <v>18</v>
      </c>
      <c r="AR4168" s="3" t="s">
        <v>62</v>
      </c>
      <c r="AS4168" s="3" t="s">
        <v>62</v>
      </c>
      <c r="AT4168" s="3" t="s">
        <v>62</v>
      </c>
      <c r="AV4168" s="6" t="str">
        <f>HYPERLINK("http://mcgill.on.worldcat.org/oclc/70265644","Catalog Record")</f>
        <v>Catalog Record</v>
      </c>
      <c r="AW4168" s="6" t="str">
        <f>HYPERLINK("http://www.worldcat.org/oclc/70265644","WorldCat Record")</f>
        <v>WorldCat Record</v>
      </c>
      <c r="AX4168" s="3" t="s">
        <v>40091</v>
      </c>
      <c r="AY4168" s="3" t="s">
        <v>40092</v>
      </c>
      <c r="AZ4168" s="3" t="s">
        <v>40093</v>
      </c>
      <c r="BA4168" s="3" t="s">
        <v>40093</v>
      </c>
      <c r="BB4168" s="3" t="s">
        <v>40094</v>
      </c>
      <c r="BC4168" s="3" t="s">
        <v>142</v>
      </c>
      <c r="BD4168" s="3" t="s">
        <v>68</v>
      </c>
      <c r="BE4168" s="3" t="s">
        <v>40095</v>
      </c>
      <c r="BF4168" s="3" t="s">
        <v>40094</v>
      </c>
      <c r="BG4168" s="3" t="s">
        <v>40096</v>
      </c>
    </row>
    <row r="4169" spans="1:59" ht="57" x14ac:dyDescent="0.45">
      <c r="A4169" s="2" t="s">
        <v>59</v>
      </c>
      <c r="B4169" s="2" t="s">
        <v>60</v>
      </c>
      <c r="C4169" s="2" t="s">
        <v>40097</v>
      </c>
      <c r="D4169" s="2" t="s">
        <v>40098</v>
      </c>
      <c r="E4169" s="2" t="s">
        <v>40099</v>
      </c>
      <c r="G4169" s="3" t="s">
        <v>62</v>
      </c>
      <c r="I4169" s="3" t="s">
        <v>62</v>
      </c>
      <c r="J4169" s="3" t="s">
        <v>62</v>
      </c>
      <c r="K4169" s="3" t="s">
        <v>63</v>
      </c>
      <c r="L4169" s="2" t="s">
        <v>40100</v>
      </c>
      <c r="M4169" s="2" t="s">
        <v>40101</v>
      </c>
      <c r="N4169" s="3" t="s">
        <v>894</v>
      </c>
      <c r="P4169" s="3" t="s">
        <v>110</v>
      </c>
      <c r="Q4169" s="2" t="s">
        <v>40102</v>
      </c>
      <c r="R4169" s="3" t="s">
        <v>66</v>
      </c>
      <c r="S4169" s="4">
        <v>0</v>
      </c>
      <c r="T4169" s="4">
        <v>0</v>
      </c>
      <c r="W4169" s="5" t="s">
        <v>67</v>
      </c>
      <c r="X4169" s="5" t="s">
        <v>67</v>
      </c>
      <c r="Y4169" s="4">
        <v>42</v>
      </c>
      <c r="Z4169" s="4">
        <v>9</v>
      </c>
      <c r="AA4169" s="4">
        <v>18</v>
      </c>
      <c r="AB4169" s="4">
        <v>1</v>
      </c>
      <c r="AC4169" s="4">
        <v>5</v>
      </c>
      <c r="AD4169" s="4">
        <v>26</v>
      </c>
      <c r="AE4169" s="4">
        <v>32</v>
      </c>
      <c r="AF4169" s="4">
        <v>0</v>
      </c>
      <c r="AG4169" s="4">
        <v>3</v>
      </c>
      <c r="AH4169" s="4">
        <v>22</v>
      </c>
      <c r="AI4169" s="4">
        <v>25</v>
      </c>
      <c r="AJ4169" s="4">
        <v>6</v>
      </c>
      <c r="AK4169" s="4">
        <v>11</v>
      </c>
      <c r="AL4169" s="4">
        <v>15</v>
      </c>
      <c r="AM4169" s="4">
        <v>16</v>
      </c>
      <c r="AN4169" s="4">
        <v>0</v>
      </c>
      <c r="AO4169" s="4">
        <v>0</v>
      </c>
      <c r="AP4169" s="4">
        <v>6</v>
      </c>
      <c r="AQ4169" s="4">
        <v>11</v>
      </c>
      <c r="AR4169" s="3" t="s">
        <v>62</v>
      </c>
      <c r="AS4169" s="3" t="s">
        <v>62</v>
      </c>
      <c r="AT4169" s="3" t="s">
        <v>62</v>
      </c>
      <c r="AV4169" s="6" t="str">
        <f>HYPERLINK("http://mcgill.on.worldcat.org/oclc/706625215","Catalog Record")</f>
        <v>Catalog Record</v>
      </c>
      <c r="AW4169" s="6" t="str">
        <f>HYPERLINK("http://www.worldcat.org/oclc/706625215","WorldCat Record")</f>
        <v>WorldCat Record</v>
      </c>
      <c r="AX4169" s="3" t="s">
        <v>40103</v>
      </c>
      <c r="AY4169" s="3" t="s">
        <v>40104</v>
      </c>
      <c r="AZ4169" s="3" t="s">
        <v>40105</v>
      </c>
      <c r="BA4169" s="3" t="s">
        <v>40105</v>
      </c>
      <c r="BB4169" s="3" t="s">
        <v>40106</v>
      </c>
      <c r="BC4169" s="3" t="s">
        <v>142</v>
      </c>
      <c r="BD4169" s="3" t="s">
        <v>68</v>
      </c>
      <c r="BE4169" s="3" t="s">
        <v>40107</v>
      </c>
      <c r="BF4169" s="3" t="s">
        <v>40106</v>
      </c>
      <c r="BG4169" s="3" t="s">
        <v>40108</v>
      </c>
    </row>
    <row r="4170" spans="1:59" ht="57" x14ac:dyDescent="0.45">
      <c r="A4170" s="2" t="s">
        <v>59</v>
      </c>
      <c r="B4170" s="2" t="s">
        <v>60</v>
      </c>
      <c r="C4170" s="2" t="s">
        <v>40109</v>
      </c>
      <c r="D4170" s="2" t="s">
        <v>40110</v>
      </c>
      <c r="E4170" s="2" t="s">
        <v>40111</v>
      </c>
      <c r="G4170" s="3" t="s">
        <v>62</v>
      </c>
      <c r="I4170" s="3" t="s">
        <v>62</v>
      </c>
      <c r="J4170" s="3" t="s">
        <v>62</v>
      </c>
      <c r="K4170" s="3" t="s">
        <v>63</v>
      </c>
      <c r="L4170" s="2" t="s">
        <v>40112</v>
      </c>
      <c r="M4170" s="2" t="s">
        <v>996</v>
      </c>
      <c r="N4170" s="3" t="s">
        <v>167</v>
      </c>
      <c r="P4170" s="3" t="s">
        <v>65</v>
      </c>
      <c r="Q4170" s="2" t="s">
        <v>40113</v>
      </c>
      <c r="R4170" s="3" t="s">
        <v>66</v>
      </c>
      <c r="S4170" s="4">
        <v>12</v>
      </c>
      <c r="T4170" s="4">
        <v>12</v>
      </c>
      <c r="U4170" s="5" t="s">
        <v>10962</v>
      </c>
      <c r="V4170" s="5" t="s">
        <v>10962</v>
      </c>
      <c r="W4170" s="5" t="s">
        <v>67</v>
      </c>
      <c r="X4170" s="5" t="s">
        <v>67</v>
      </c>
      <c r="Y4170" s="4">
        <v>209</v>
      </c>
      <c r="Z4170" s="4">
        <v>12</v>
      </c>
      <c r="AA4170" s="4">
        <v>118</v>
      </c>
      <c r="AB4170" s="4">
        <v>1</v>
      </c>
      <c r="AC4170" s="4">
        <v>22</v>
      </c>
      <c r="AD4170" s="4">
        <v>80</v>
      </c>
      <c r="AE4170" s="4">
        <v>145</v>
      </c>
      <c r="AF4170" s="4">
        <v>0</v>
      </c>
      <c r="AG4170" s="4">
        <v>9</v>
      </c>
      <c r="AH4170" s="4">
        <v>74</v>
      </c>
      <c r="AI4170" s="4">
        <v>97</v>
      </c>
      <c r="AJ4170" s="4">
        <v>7</v>
      </c>
      <c r="AK4170" s="4">
        <v>25</v>
      </c>
      <c r="AL4170" s="4">
        <v>45</v>
      </c>
      <c r="AM4170" s="4">
        <v>51</v>
      </c>
      <c r="AN4170" s="4">
        <v>0</v>
      </c>
      <c r="AO4170" s="4">
        <v>0</v>
      </c>
      <c r="AP4170" s="4">
        <v>8</v>
      </c>
      <c r="AQ4170" s="4">
        <v>54</v>
      </c>
      <c r="AR4170" s="3" t="s">
        <v>62</v>
      </c>
      <c r="AS4170" s="3" t="s">
        <v>62</v>
      </c>
      <c r="AT4170" s="3" t="s">
        <v>62</v>
      </c>
      <c r="AV4170" s="6" t="str">
        <f>HYPERLINK("http://mcgill.on.worldcat.org/oclc/38520156","Catalog Record")</f>
        <v>Catalog Record</v>
      </c>
      <c r="AW4170" s="6" t="str">
        <f>HYPERLINK("http://www.worldcat.org/oclc/38520156","WorldCat Record")</f>
        <v>WorldCat Record</v>
      </c>
      <c r="AX4170" s="3" t="s">
        <v>40114</v>
      </c>
      <c r="AY4170" s="3" t="s">
        <v>40115</v>
      </c>
      <c r="AZ4170" s="3" t="s">
        <v>40116</v>
      </c>
      <c r="BA4170" s="3" t="s">
        <v>40116</v>
      </c>
      <c r="BB4170" s="3" t="s">
        <v>40117</v>
      </c>
      <c r="BC4170" s="3" t="s">
        <v>142</v>
      </c>
      <c r="BD4170" s="3" t="s">
        <v>68</v>
      </c>
      <c r="BE4170" s="3" t="s">
        <v>40118</v>
      </c>
      <c r="BF4170" s="3" t="s">
        <v>40117</v>
      </c>
      <c r="BG4170" s="3" t="s">
        <v>40119</v>
      </c>
    </row>
    <row r="4171" spans="1:59" ht="57" x14ac:dyDescent="0.45">
      <c r="A4171" s="2" t="s">
        <v>59</v>
      </c>
      <c r="B4171" s="2" t="s">
        <v>60</v>
      </c>
      <c r="C4171" s="2" t="s">
        <v>40120</v>
      </c>
      <c r="D4171" s="2" t="s">
        <v>40121</v>
      </c>
      <c r="E4171" s="2" t="s">
        <v>40122</v>
      </c>
      <c r="G4171" s="3" t="s">
        <v>62</v>
      </c>
      <c r="I4171" s="3" t="s">
        <v>62</v>
      </c>
      <c r="J4171" s="3" t="s">
        <v>62</v>
      </c>
      <c r="K4171" s="3" t="s">
        <v>63</v>
      </c>
      <c r="M4171" s="2" t="s">
        <v>40123</v>
      </c>
      <c r="N4171" s="3" t="s">
        <v>945</v>
      </c>
      <c r="P4171" s="3" t="s">
        <v>65</v>
      </c>
      <c r="Q4171" s="2" t="s">
        <v>40124</v>
      </c>
      <c r="R4171" s="3" t="s">
        <v>66</v>
      </c>
      <c r="S4171" s="4">
        <v>2</v>
      </c>
      <c r="T4171" s="4">
        <v>2</v>
      </c>
      <c r="U4171" s="5" t="s">
        <v>35817</v>
      </c>
      <c r="V4171" s="5" t="s">
        <v>35817</v>
      </c>
      <c r="W4171" s="5" t="s">
        <v>67</v>
      </c>
      <c r="X4171" s="5" t="s">
        <v>67</v>
      </c>
      <c r="Y4171" s="4">
        <v>113</v>
      </c>
      <c r="Z4171" s="4">
        <v>25</v>
      </c>
      <c r="AA4171" s="4">
        <v>27</v>
      </c>
      <c r="AB4171" s="4">
        <v>2</v>
      </c>
      <c r="AC4171" s="4">
        <v>4</v>
      </c>
      <c r="AD4171" s="4">
        <v>61</v>
      </c>
      <c r="AE4171" s="4">
        <v>63</v>
      </c>
      <c r="AF4171" s="4">
        <v>1</v>
      </c>
      <c r="AG4171" s="4">
        <v>3</v>
      </c>
      <c r="AH4171" s="4">
        <v>51</v>
      </c>
      <c r="AI4171" s="4">
        <v>52</v>
      </c>
      <c r="AJ4171" s="4">
        <v>15</v>
      </c>
      <c r="AK4171" s="4">
        <v>17</v>
      </c>
      <c r="AL4171" s="4">
        <v>29</v>
      </c>
      <c r="AM4171" s="4">
        <v>29</v>
      </c>
      <c r="AN4171" s="4">
        <v>0</v>
      </c>
      <c r="AO4171" s="4">
        <v>0</v>
      </c>
      <c r="AP4171" s="4">
        <v>18</v>
      </c>
      <c r="AQ4171" s="4">
        <v>19</v>
      </c>
      <c r="AR4171" s="3" t="s">
        <v>62</v>
      </c>
      <c r="AS4171" s="3" t="s">
        <v>62</v>
      </c>
      <c r="AT4171" s="3" t="s">
        <v>62</v>
      </c>
      <c r="AV4171" s="6" t="str">
        <f>HYPERLINK("http://mcgill.on.worldcat.org/oclc/191820664","Catalog Record")</f>
        <v>Catalog Record</v>
      </c>
      <c r="AW4171" s="6" t="str">
        <f>HYPERLINK("http://www.worldcat.org/oclc/191820664","WorldCat Record")</f>
        <v>WorldCat Record</v>
      </c>
      <c r="AX4171" s="3" t="s">
        <v>40125</v>
      </c>
      <c r="AY4171" s="3" t="s">
        <v>40126</v>
      </c>
      <c r="AZ4171" s="3" t="s">
        <v>40127</v>
      </c>
      <c r="BA4171" s="3" t="s">
        <v>40127</v>
      </c>
      <c r="BB4171" s="3" t="s">
        <v>40128</v>
      </c>
      <c r="BC4171" s="3" t="s">
        <v>142</v>
      </c>
      <c r="BD4171" s="3" t="s">
        <v>68</v>
      </c>
      <c r="BE4171" s="3" t="s">
        <v>40129</v>
      </c>
      <c r="BF4171" s="3" t="s">
        <v>40128</v>
      </c>
      <c r="BG4171" s="3" t="s">
        <v>40130</v>
      </c>
    </row>
    <row r="4172" spans="1:59" ht="57" x14ac:dyDescent="0.45">
      <c r="A4172" s="2" t="s">
        <v>59</v>
      </c>
      <c r="B4172" s="2" t="s">
        <v>60</v>
      </c>
      <c r="C4172" s="2" t="s">
        <v>40131</v>
      </c>
      <c r="D4172" s="2" t="s">
        <v>40132</v>
      </c>
      <c r="E4172" s="2" t="s">
        <v>40133</v>
      </c>
      <c r="G4172" s="3" t="s">
        <v>62</v>
      </c>
      <c r="I4172" s="3" t="s">
        <v>62</v>
      </c>
      <c r="J4172" s="3" t="s">
        <v>62</v>
      </c>
      <c r="K4172" s="3" t="s">
        <v>63</v>
      </c>
      <c r="L4172" s="2" t="s">
        <v>40134</v>
      </c>
      <c r="M4172" s="2" t="s">
        <v>40135</v>
      </c>
      <c r="N4172" s="3" t="s">
        <v>84</v>
      </c>
      <c r="P4172" s="3" t="s">
        <v>65</v>
      </c>
      <c r="Q4172" s="2" t="s">
        <v>40136</v>
      </c>
      <c r="R4172" s="3" t="s">
        <v>66</v>
      </c>
      <c r="S4172" s="4">
        <v>7</v>
      </c>
      <c r="T4172" s="4">
        <v>7</v>
      </c>
      <c r="U4172" s="5" t="s">
        <v>12377</v>
      </c>
      <c r="V4172" s="5" t="s">
        <v>12377</v>
      </c>
      <c r="W4172" s="5" t="s">
        <v>67</v>
      </c>
      <c r="X4172" s="5" t="s">
        <v>67</v>
      </c>
      <c r="Y4172" s="4">
        <v>59</v>
      </c>
      <c r="Z4172" s="4">
        <v>11</v>
      </c>
      <c r="AA4172" s="4">
        <v>11</v>
      </c>
      <c r="AB4172" s="4">
        <v>2</v>
      </c>
      <c r="AC4172" s="4">
        <v>2</v>
      </c>
      <c r="AD4172" s="4">
        <v>35</v>
      </c>
      <c r="AE4172" s="4">
        <v>35</v>
      </c>
      <c r="AF4172" s="4">
        <v>1</v>
      </c>
      <c r="AG4172" s="4">
        <v>1</v>
      </c>
      <c r="AH4172" s="4">
        <v>29</v>
      </c>
      <c r="AI4172" s="4">
        <v>29</v>
      </c>
      <c r="AJ4172" s="4">
        <v>7</v>
      </c>
      <c r="AK4172" s="4">
        <v>7</v>
      </c>
      <c r="AL4172" s="4">
        <v>22</v>
      </c>
      <c r="AM4172" s="4">
        <v>22</v>
      </c>
      <c r="AN4172" s="4">
        <v>0</v>
      </c>
      <c r="AO4172" s="4">
        <v>0</v>
      </c>
      <c r="AP4172" s="4">
        <v>9</v>
      </c>
      <c r="AQ4172" s="4">
        <v>9</v>
      </c>
      <c r="AR4172" s="3" t="s">
        <v>62</v>
      </c>
      <c r="AS4172" s="3" t="s">
        <v>62</v>
      </c>
      <c r="AT4172" s="3" t="s">
        <v>61</v>
      </c>
      <c r="AU4172" s="6" t="str">
        <f>HYPERLINK("http://catalog.hathitrust.org/Record/002728164","HathiTrust Record")</f>
        <v>HathiTrust Record</v>
      </c>
      <c r="AV4172" s="6" t="str">
        <f>HYPERLINK("http://mcgill.on.worldcat.org/oclc/27815669","Catalog Record")</f>
        <v>Catalog Record</v>
      </c>
      <c r="AW4172" s="6" t="str">
        <f>HYPERLINK("http://www.worldcat.org/oclc/27815669","WorldCat Record")</f>
        <v>WorldCat Record</v>
      </c>
      <c r="AX4172" s="3" t="s">
        <v>40137</v>
      </c>
      <c r="AY4172" s="3" t="s">
        <v>40138</v>
      </c>
      <c r="AZ4172" s="3" t="s">
        <v>40139</v>
      </c>
      <c r="BA4172" s="3" t="s">
        <v>40139</v>
      </c>
      <c r="BB4172" s="3" t="s">
        <v>40140</v>
      </c>
      <c r="BC4172" s="3" t="s">
        <v>142</v>
      </c>
      <c r="BD4172" s="3" t="s">
        <v>68</v>
      </c>
      <c r="BE4172" s="3" t="s">
        <v>40141</v>
      </c>
      <c r="BF4172" s="3" t="s">
        <v>40140</v>
      </c>
      <c r="BG4172" s="3" t="s">
        <v>40142</v>
      </c>
    </row>
    <row r="4173" spans="1:59" ht="57" x14ac:dyDescent="0.45">
      <c r="A4173" s="2" t="s">
        <v>59</v>
      </c>
      <c r="B4173" s="2" t="s">
        <v>60</v>
      </c>
      <c r="C4173" s="2" t="s">
        <v>40143</v>
      </c>
      <c r="D4173" s="2" t="s">
        <v>40144</v>
      </c>
      <c r="E4173" s="2" t="s">
        <v>40145</v>
      </c>
      <c r="G4173" s="3" t="s">
        <v>62</v>
      </c>
      <c r="I4173" s="3" t="s">
        <v>62</v>
      </c>
      <c r="J4173" s="3" t="s">
        <v>62</v>
      </c>
      <c r="K4173" s="3" t="s">
        <v>63</v>
      </c>
      <c r="M4173" s="2" t="s">
        <v>40146</v>
      </c>
      <c r="N4173" s="3" t="s">
        <v>1465</v>
      </c>
      <c r="P4173" s="3" t="s">
        <v>65</v>
      </c>
      <c r="Q4173" s="2" t="s">
        <v>40147</v>
      </c>
      <c r="R4173" s="3" t="s">
        <v>66</v>
      </c>
      <c r="S4173" s="4">
        <v>12</v>
      </c>
      <c r="T4173" s="4">
        <v>12</v>
      </c>
      <c r="U4173" s="5" t="s">
        <v>4283</v>
      </c>
      <c r="V4173" s="5" t="s">
        <v>4283</v>
      </c>
      <c r="W4173" s="5" t="s">
        <v>67</v>
      </c>
      <c r="X4173" s="5" t="s">
        <v>67</v>
      </c>
      <c r="Y4173" s="4">
        <v>123</v>
      </c>
      <c r="Z4173" s="4">
        <v>15</v>
      </c>
      <c r="AA4173" s="4">
        <v>15</v>
      </c>
      <c r="AB4173" s="4">
        <v>2</v>
      </c>
      <c r="AC4173" s="4">
        <v>2</v>
      </c>
      <c r="AD4173" s="4">
        <v>60</v>
      </c>
      <c r="AE4173" s="4">
        <v>60</v>
      </c>
      <c r="AF4173" s="4">
        <v>0</v>
      </c>
      <c r="AG4173" s="4">
        <v>0</v>
      </c>
      <c r="AH4173" s="4">
        <v>54</v>
      </c>
      <c r="AI4173" s="4">
        <v>54</v>
      </c>
      <c r="AJ4173" s="4">
        <v>8</v>
      </c>
      <c r="AK4173" s="4">
        <v>8</v>
      </c>
      <c r="AL4173" s="4">
        <v>34</v>
      </c>
      <c r="AM4173" s="4">
        <v>34</v>
      </c>
      <c r="AN4173" s="4">
        <v>0</v>
      </c>
      <c r="AO4173" s="4">
        <v>0</v>
      </c>
      <c r="AP4173" s="4">
        <v>10</v>
      </c>
      <c r="AQ4173" s="4">
        <v>10</v>
      </c>
      <c r="AR4173" s="3" t="s">
        <v>62</v>
      </c>
      <c r="AS4173" s="3" t="s">
        <v>62</v>
      </c>
      <c r="AT4173" s="3" t="s">
        <v>62</v>
      </c>
      <c r="AV4173" s="6" t="str">
        <f>HYPERLINK("http://mcgill.on.worldcat.org/oclc/244417276","Catalog Record")</f>
        <v>Catalog Record</v>
      </c>
      <c r="AW4173" s="6" t="str">
        <f>HYPERLINK("http://www.worldcat.org/oclc/244417276","WorldCat Record")</f>
        <v>WorldCat Record</v>
      </c>
      <c r="AX4173" s="3" t="s">
        <v>40148</v>
      </c>
      <c r="AY4173" s="3" t="s">
        <v>40149</v>
      </c>
      <c r="AZ4173" s="3" t="s">
        <v>40150</v>
      </c>
      <c r="BA4173" s="3" t="s">
        <v>40150</v>
      </c>
      <c r="BB4173" s="3" t="s">
        <v>40151</v>
      </c>
      <c r="BC4173" s="3" t="s">
        <v>142</v>
      </c>
      <c r="BD4173" s="3" t="s">
        <v>68</v>
      </c>
      <c r="BE4173" s="3" t="s">
        <v>40152</v>
      </c>
      <c r="BF4173" s="3" t="s">
        <v>40151</v>
      </c>
      <c r="BG4173" s="3" t="s">
        <v>40153</v>
      </c>
    </row>
    <row r="4174" spans="1:59" ht="57" x14ac:dyDescent="0.45">
      <c r="A4174" s="2" t="s">
        <v>59</v>
      </c>
      <c r="B4174" s="2" t="s">
        <v>60</v>
      </c>
      <c r="C4174" s="2" t="s">
        <v>40154</v>
      </c>
      <c r="D4174" s="2" t="s">
        <v>40155</v>
      </c>
      <c r="E4174" s="2" t="s">
        <v>40156</v>
      </c>
      <c r="G4174" s="3" t="s">
        <v>62</v>
      </c>
      <c r="I4174" s="3" t="s">
        <v>62</v>
      </c>
      <c r="J4174" s="3" t="s">
        <v>62</v>
      </c>
      <c r="K4174" s="3" t="s">
        <v>63</v>
      </c>
      <c r="L4174" s="2" t="s">
        <v>40157</v>
      </c>
      <c r="M4174" s="2" t="s">
        <v>40158</v>
      </c>
      <c r="N4174" s="3" t="s">
        <v>1465</v>
      </c>
      <c r="P4174" s="3" t="s">
        <v>65</v>
      </c>
      <c r="Q4174" s="2" t="s">
        <v>40159</v>
      </c>
      <c r="R4174" s="3" t="s">
        <v>66</v>
      </c>
      <c r="S4174" s="4">
        <v>9</v>
      </c>
      <c r="T4174" s="4">
        <v>9</v>
      </c>
      <c r="U4174" s="5" t="s">
        <v>5537</v>
      </c>
      <c r="V4174" s="5" t="s">
        <v>5537</v>
      </c>
      <c r="W4174" s="5" t="s">
        <v>67</v>
      </c>
      <c r="X4174" s="5" t="s">
        <v>67</v>
      </c>
      <c r="Y4174" s="4">
        <v>190</v>
      </c>
      <c r="Z4174" s="4">
        <v>14</v>
      </c>
      <c r="AA4174" s="4">
        <v>102</v>
      </c>
      <c r="AB4174" s="4">
        <v>3</v>
      </c>
      <c r="AC4174" s="4">
        <v>18</v>
      </c>
      <c r="AD4174" s="4">
        <v>77</v>
      </c>
      <c r="AE4174" s="4">
        <v>136</v>
      </c>
      <c r="AF4174" s="4">
        <v>1</v>
      </c>
      <c r="AG4174" s="4">
        <v>8</v>
      </c>
      <c r="AH4174" s="4">
        <v>73</v>
      </c>
      <c r="AI4174" s="4">
        <v>98</v>
      </c>
      <c r="AJ4174" s="4">
        <v>9</v>
      </c>
      <c r="AK4174" s="4">
        <v>23</v>
      </c>
      <c r="AL4174" s="4">
        <v>49</v>
      </c>
      <c r="AM4174" s="4">
        <v>57</v>
      </c>
      <c r="AN4174" s="4">
        <v>0</v>
      </c>
      <c r="AO4174" s="4">
        <v>0</v>
      </c>
      <c r="AP4174" s="4">
        <v>9</v>
      </c>
      <c r="AQ4174" s="4">
        <v>44</v>
      </c>
      <c r="AR4174" s="3" t="s">
        <v>62</v>
      </c>
      <c r="AS4174" s="3" t="s">
        <v>62</v>
      </c>
      <c r="AT4174" s="3" t="s">
        <v>61</v>
      </c>
      <c r="AU4174" s="6" t="str">
        <f>HYPERLINK("http://catalog.hathitrust.org/Record/006766449","HathiTrust Record")</f>
        <v>HathiTrust Record</v>
      </c>
      <c r="AV4174" s="6" t="str">
        <f>HYPERLINK("http://mcgill.on.worldcat.org/oclc/245536705","Catalog Record")</f>
        <v>Catalog Record</v>
      </c>
      <c r="AW4174" s="6" t="str">
        <f>HYPERLINK("http://www.worldcat.org/oclc/245536705","WorldCat Record")</f>
        <v>WorldCat Record</v>
      </c>
      <c r="AX4174" s="3" t="s">
        <v>40160</v>
      </c>
      <c r="AY4174" s="3" t="s">
        <v>40161</v>
      </c>
      <c r="AZ4174" s="3" t="s">
        <v>40162</v>
      </c>
      <c r="BA4174" s="3" t="s">
        <v>40162</v>
      </c>
      <c r="BB4174" s="3" t="s">
        <v>40163</v>
      </c>
      <c r="BC4174" s="3" t="s">
        <v>142</v>
      </c>
      <c r="BD4174" s="3" t="s">
        <v>68</v>
      </c>
      <c r="BE4174" s="3" t="s">
        <v>40164</v>
      </c>
      <c r="BF4174" s="3" t="s">
        <v>40163</v>
      </c>
      <c r="BG4174" s="3" t="s">
        <v>40165</v>
      </c>
    </row>
    <row r="4175" spans="1:59" ht="57" x14ac:dyDescent="0.45">
      <c r="A4175" s="2" t="s">
        <v>59</v>
      </c>
      <c r="B4175" s="2" t="s">
        <v>60</v>
      </c>
      <c r="C4175" s="2" t="s">
        <v>40166</v>
      </c>
      <c r="D4175" s="2" t="s">
        <v>40167</v>
      </c>
      <c r="E4175" s="2" t="s">
        <v>40168</v>
      </c>
      <c r="G4175" s="3" t="s">
        <v>62</v>
      </c>
      <c r="I4175" s="3" t="s">
        <v>62</v>
      </c>
      <c r="J4175" s="3" t="s">
        <v>62</v>
      </c>
      <c r="K4175" s="3" t="s">
        <v>63</v>
      </c>
      <c r="L4175" s="2" t="s">
        <v>39314</v>
      </c>
      <c r="M4175" s="2" t="s">
        <v>40169</v>
      </c>
      <c r="N4175" s="3" t="s">
        <v>167</v>
      </c>
      <c r="P4175" s="3" t="s">
        <v>65</v>
      </c>
      <c r="Q4175" s="2" t="s">
        <v>40170</v>
      </c>
      <c r="R4175" s="3" t="s">
        <v>66</v>
      </c>
      <c r="S4175" s="4">
        <v>17</v>
      </c>
      <c r="T4175" s="4">
        <v>17</v>
      </c>
      <c r="U4175" s="5" t="s">
        <v>4546</v>
      </c>
      <c r="V4175" s="5" t="s">
        <v>4546</v>
      </c>
      <c r="W4175" s="5" t="s">
        <v>67</v>
      </c>
      <c r="X4175" s="5" t="s">
        <v>67</v>
      </c>
      <c r="Y4175" s="4">
        <v>184</v>
      </c>
      <c r="Z4175" s="4">
        <v>11</v>
      </c>
      <c r="AA4175" s="4">
        <v>12</v>
      </c>
      <c r="AB4175" s="4">
        <v>1</v>
      </c>
      <c r="AC4175" s="4">
        <v>1</v>
      </c>
      <c r="AD4175" s="4">
        <v>74</v>
      </c>
      <c r="AE4175" s="4">
        <v>75</v>
      </c>
      <c r="AF4175" s="4">
        <v>0</v>
      </c>
      <c r="AG4175" s="4">
        <v>0</v>
      </c>
      <c r="AH4175" s="4">
        <v>70</v>
      </c>
      <c r="AI4175" s="4">
        <v>70</v>
      </c>
      <c r="AJ4175" s="4">
        <v>8</v>
      </c>
      <c r="AK4175" s="4">
        <v>9</v>
      </c>
      <c r="AL4175" s="4">
        <v>42</v>
      </c>
      <c r="AM4175" s="4">
        <v>42</v>
      </c>
      <c r="AN4175" s="4">
        <v>0</v>
      </c>
      <c r="AO4175" s="4">
        <v>0</v>
      </c>
      <c r="AP4175" s="4">
        <v>8</v>
      </c>
      <c r="AQ4175" s="4">
        <v>9</v>
      </c>
      <c r="AR4175" s="3" t="s">
        <v>62</v>
      </c>
      <c r="AS4175" s="3" t="s">
        <v>62</v>
      </c>
      <c r="AT4175" s="3" t="s">
        <v>61</v>
      </c>
      <c r="AU4175" s="6" t="str">
        <f>HYPERLINK("http://catalog.hathitrust.org/Record/004072931","HathiTrust Record")</f>
        <v>HathiTrust Record</v>
      </c>
      <c r="AV4175" s="6" t="str">
        <f>HYPERLINK("http://mcgill.on.worldcat.org/oclc/41338132","Catalog Record")</f>
        <v>Catalog Record</v>
      </c>
      <c r="AW4175" s="6" t="str">
        <f>HYPERLINK("http://www.worldcat.org/oclc/41338132","WorldCat Record")</f>
        <v>WorldCat Record</v>
      </c>
      <c r="AX4175" s="3" t="s">
        <v>40171</v>
      </c>
      <c r="AY4175" s="3" t="s">
        <v>40172</v>
      </c>
      <c r="AZ4175" s="3" t="s">
        <v>40173</v>
      </c>
      <c r="BA4175" s="3" t="s">
        <v>40173</v>
      </c>
      <c r="BB4175" s="3" t="s">
        <v>40174</v>
      </c>
      <c r="BC4175" s="3" t="s">
        <v>142</v>
      </c>
      <c r="BD4175" s="3" t="s">
        <v>68</v>
      </c>
      <c r="BE4175" s="3" t="s">
        <v>40175</v>
      </c>
      <c r="BF4175" s="3" t="s">
        <v>40174</v>
      </c>
      <c r="BG4175" s="3" t="s">
        <v>40176</v>
      </c>
    </row>
    <row r="4176" spans="1:59" ht="57" x14ac:dyDescent="0.45">
      <c r="A4176" s="2" t="s">
        <v>59</v>
      </c>
      <c r="B4176" s="2" t="s">
        <v>60</v>
      </c>
      <c r="C4176" s="2" t="s">
        <v>40177</v>
      </c>
      <c r="D4176" s="2" t="s">
        <v>40178</v>
      </c>
      <c r="E4176" s="2" t="s">
        <v>40179</v>
      </c>
      <c r="G4176" s="3" t="s">
        <v>62</v>
      </c>
      <c r="I4176" s="3" t="s">
        <v>62</v>
      </c>
      <c r="J4176" s="3" t="s">
        <v>62</v>
      </c>
      <c r="K4176" s="3" t="s">
        <v>63</v>
      </c>
      <c r="L4176" s="2" t="s">
        <v>40180</v>
      </c>
      <c r="M4176" s="2" t="s">
        <v>40181</v>
      </c>
      <c r="N4176" s="3" t="s">
        <v>208</v>
      </c>
      <c r="P4176" s="3" t="s">
        <v>65</v>
      </c>
      <c r="Q4176" s="2" t="s">
        <v>40182</v>
      </c>
      <c r="R4176" s="3" t="s">
        <v>66</v>
      </c>
      <c r="S4176" s="4">
        <v>0</v>
      </c>
      <c r="T4176" s="4">
        <v>0</v>
      </c>
      <c r="W4176" s="5" t="s">
        <v>67</v>
      </c>
      <c r="X4176" s="5" t="s">
        <v>67</v>
      </c>
      <c r="Y4176" s="4">
        <v>118</v>
      </c>
      <c r="Z4176" s="4">
        <v>17</v>
      </c>
      <c r="AA4176" s="4">
        <v>92</v>
      </c>
      <c r="AB4176" s="4">
        <v>3</v>
      </c>
      <c r="AC4176" s="4">
        <v>16</v>
      </c>
      <c r="AD4176" s="4">
        <v>57</v>
      </c>
      <c r="AE4176" s="4">
        <v>117</v>
      </c>
      <c r="AF4176" s="4">
        <v>2</v>
      </c>
      <c r="AG4176" s="4">
        <v>8</v>
      </c>
      <c r="AH4176" s="4">
        <v>46</v>
      </c>
      <c r="AI4176" s="4">
        <v>75</v>
      </c>
      <c r="AJ4176" s="4">
        <v>11</v>
      </c>
      <c r="AK4176" s="4">
        <v>23</v>
      </c>
      <c r="AL4176" s="4">
        <v>30</v>
      </c>
      <c r="AM4176" s="4">
        <v>42</v>
      </c>
      <c r="AN4176" s="4">
        <v>0</v>
      </c>
      <c r="AO4176" s="4">
        <v>0</v>
      </c>
      <c r="AP4176" s="4">
        <v>12</v>
      </c>
      <c r="AQ4176" s="4">
        <v>48</v>
      </c>
      <c r="AR4176" s="3" t="s">
        <v>61</v>
      </c>
      <c r="AS4176" s="3" t="s">
        <v>62</v>
      </c>
      <c r="AT4176" s="3" t="s">
        <v>62</v>
      </c>
      <c r="AV4176" s="6" t="str">
        <f>HYPERLINK("http://mcgill.on.worldcat.org/oclc/900656330","Catalog Record")</f>
        <v>Catalog Record</v>
      </c>
      <c r="AW4176" s="6" t="str">
        <f>HYPERLINK("http://www.worldcat.org/oclc/900656330","WorldCat Record")</f>
        <v>WorldCat Record</v>
      </c>
      <c r="AX4176" s="3" t="s">
        <v>40183</v>
      </c>
      <c r="AY4176" s="3" t="s">
        <v>40184</v>
      </c>
      <c r="AZ4176" s="3" t="s">
        <v>40185</v>
      </c>
      <c r="BA4176" s="3" t="s">
        <v>40185</v>
      </c>
      <c r="BB4176" s="3" t="s">
        <v>40186</v>
      </c>
      <c r="BC4176" s="3" t="s">
        <v>142</v>
      </c>
      <c r="BD4176" s="3" t="s">
        <v>68</v>
      </c>
      <c r="BE4176" s="3" t="s">
        <v>40187</v>
      </c>
      <c r="BF4176" s="3" t="s">
        <v>40186</v>
      </c>
      <c r="BG4176" s="3" t="s">
        <v>40188</v>
      </c>
    </row>
    <row r="4177" spans="1:59" ht="57" x14ac:dyDescent="0.45">
      <c r="A4177" s="2" t="s">
        <v>59</v>
      </c>
      <c r="B4177" s="2" t="s">
        <v>60</v>
      </c>
      <c r="C4177" s="2" t="s">
        <v>40189</v>
      </c>
      <c r="D4177" s="2" t="s">
        <v>40190</v>
      </c>
      <c r="E4177" s="2" t="s">
        <v>40191</v>
      </c>
      <c r="G4177" s="3" t="s">
        <v>62</v>
      </c>
      <c r="I4177" s="3" t="s">
        <v>62</v>
      </c>
      <c r="J4177" s="3" t="s">
        <v>62</v>
      </c>
      <c r="K4177" s="3" t="s">
        <v>63</v>
      </c>
      <c r="L4177" s="2" t="s">
        <v>40192</v>
      </c>
      <c r="M4177" s="2" t="s">
        <v>6005</v>
      </c>
      <c r="N4177" s="3" t="s">
        <v>208</v>
      </c>
      <c r="P4177" s="3" t="s">
        <v>65</v>
      </c>
      <c r="Q4177" s="2" t="s">
        <v>40193</v>
      </c>
      <c r="R4177" s="3" t="s">
        <v>66</v>
      </c>
      <c r="S4177" s="4">
        <v>0</v>
      </c>
      <c r="T4177" s="4">
        <v>0</v>
      </c>
      <c r="W4177" s="5" t="s">
        <v>67</v>
      </c>
      <c r="X4177" s="5" t="s">
        <v>67</v>
      </c>
      <c r="Y4177" s="4">
        <v>59</v>
      </c>
      <c r="Z4177" s="4">
        <v>7</v>
      </c>
      <c r="AA4177" s="4">
        <v>17</v>
      </c>
      <c r="AB4177" s="4">
        <v>1</v>
      </c>
      <c r="AC4177" s="4">
        <v>3</v>
      </c>
      <c r="AD4177" s="4">
        <v>28</v>
      </c>
      <c r="AE4177" s="4">
        <v>33</v>
      </c>
      <c r="AF4177" s="4">
        <v>0</v>
      </c>
      <c r="AG4177" s="4">
        <v>0</v>
      </c>
      <c r="AH4177" s="4">
        <v>26</v>
      </c>
      <c r="AI4177" s="4">
        <v>29</v>
      </c>
      <c r="AJ4177" s="4">
        <v>5</v>
      </c>
      <c r="AK4177" s="4">
        <v>5</v>
      </c>
      <c r="AL4177" s="4">
        <v>21</v>
      </c>
      <c r="AM4177" s="4">
        <v>22</v>
      </c>
      <c r="AN4177" s="4">
        <v>0</v>
      </c>
      <c r="AO4177" s="4">
        <v>0</v>
      </c>
      <c r="AP4177" s="4">
        <v>5</v>
      </c>
      <c r="AQ4177" s="4">
        <v>7</v>
      </c>
      <c r="AR4177" s="3" t="s">
        <v>62</v>
      </c>
      <c r="AS4177" s="3" t="s">
        <v>62</v>
      </c>
      <c r="AT4177" s="3" t="s">
        <v>62</v>
      </c>
      <c r="AV4177" s="6" t="str">
        <f>HYPERLINK("http://mcgill.on.worldcat.org/oclc/908700998","Catalog Record")</f>
        <v>Catalog Record</v>
      </c>
      <c r="AW4177" s="6" t="str">
        <f>HYPERLINK("http://www.worldcat.org/oclc/908700998","WorldCat Record")</f>
        <v>WorldCat Record</v>
      </c>
      <c r="AX4177" s="3" t="s">
        <v>40194</v>
      </c>
      <c r="AY4177" s="3" t="s">
        <v>40195</v>
      </c>
      <c r="AZ4177" s="3" t="s">
        <v>40196</v>
      </c>
      <c r="BA4177" s="3" t="s">
        <v>40196</v>
      </c>
      <c r="BB4177" s="3" t="s">
        <v>40197</v>
      </c>
      <c r="BC4177" s="3" t="s">
        <v>142</v>
      </c>
      <c r="BD4177" s="3" t="s">
        <v>68</v>
      </c>
      <c r="BE4177" s="3" t="s">
        <v>40198</v>
      </c>
      <c r="BF4177" s="3" t="s">
        <v>40197</v>
      </c>
      <c r="BG4177" s="3" t="s">
        <v>40199</v>
      </c>
    </row>
    <row r="4178" spans="1:59" ht="57" x14ac:dyDescent="0.45">
      <c r="A4178" s="2" t="s">
        <v>59</v>
      </c>
      <c r="B4178" s="2" t="s">
        <v>60</v>
      </c>
      <c r="C4178" s="2" t="s">
        <v>40200</v>
      </c>
      <c r="D4178" s="2" t="s">
        <v>40201</v>
      </c>
      <c r="E4178" s="2" t="s">
        <v>40202</v>
      </c>
      <c r="G4178" s="3" t="s">
        <v>62</v>
      </c>
      <c r="I4178" s="3" t="s">
        <v>62</v>
      </c>
      <c r="J4178" s="3" t="s">
        <v>62</v>
      </c>
      <c r="K4178" s="3" t="s">
        <v>63</v>
      </c>
      <c r="L4178" s="2" t="s">
        <v>40203</v>
      </c>
      <c r="M4178" s="2" t="s">
        <v>4069</v>
      </c>
      <c r="N4178" s="3" t="s">
        <v>116</v>
      </c>
      <c r="P4178" s="3" t="s">
        <v>65</v>
      </c>
      <c r="Q4178" s="2" t="s">
        <v>40204</v>
      </c>
      <c r="R4178" s="3" t="s">
        <v>66</v>
      </c>
      <c r="S4178" s="4">
        <v>1</v>
      </c>
      <c r="T4178" s="4">
        <v>1</v>
      </c>
      <c r="U4178" s="5" t="s">
        <v>40205</v>
      </c>
      <c r="V4178" s="5" t="s">
        <v>40205</v>
      </c>
      <c r="W4178" s="5" t="s">
        <v>67</v>
      </c>
      <c r="X4178" s="5" t="s">
        <v>67</v>
      </c>
      <c r="Y4178" s="4">
        <v>143</v>
      </c>
      <c r="Z4178" s="4">
        <v>16</v>
      </c>
      <c r="AA4178" s="4">
        <v>30</v>
      </c>
      <c r="AB4178" s="4">
        <v>2</v>
      </c>
      <c r="AC4178" s="4">
        <v>4</v>
      </c>
      <c r="AD4178" s="4">
        <v>51</v>
      </c>
      <c r="AE4178" s="4">
        <v>75</v>
      </c>
      <c r="AF4178" s="4">
        <v>1</v>
      </c>
      <c r="AG4178" s="4">
        <v>2</v>
      </c>
      <c r="AH4178" s="4">
        <v>44</v>
      </c>
      <c r="AI4178" s="4">
        <v>60</v>
      </c>
      <c r="AJ4178" s="4">
        <v>13</v>
      </c>
      <c r="AK4178" s="4">
        <v>15</v>
      </c>
      <c r="AL4178" s="4">
        <v>26</v>
      </c>
      <c r="AM4178" s="4">
        <v>33</v>
      </c>
      <c r="AN4178" s="4">
        <v>0</v>
      </c>
      <c r="AO4178" s="4">
        <v>0</v>
      </c>
      <c r="AP4178" s="4">
        <v>14</v>
      </c>
      <c r="AQ4178" s="4">
        <v>21</v>
      </c>
      <c r="AR4178" s="3" t="s">
        <v>62</v>
      </c>
      <c r="AS4178" s="3" t="s">
        <v>62</v>
      </c>
      <c r="AT4178" s="3" t="s">
        <v>62</v>
      </c>
      <c r="AV4178" s="6" t="str">
        <f>HYPERLINK("http://mcgill.on.worldcat.org/oclc/829055876","Catalog Record")</f>
        <v>Catalog Record</v>
      </c>
      <c r="AW4178" s="6" t="str">
        <f>HYPERLINK("http://www.worldcat.org/oclc/829055876","WorldCat Record")</f>
        <v>WorldCat Record</v>
      </c>
      <c r="AX4178" s="3" t="s">
        <v>40206</v>
      </c>
      <c r="AY4178" s="3" t="s">
        <v>40207</v>
      </c>
      <c r="AZ4178" s="3" t="s">
        <v>40208</v>
      </c>
      <c r="BA4178" s="3" t="s">
        <v>40208</v>
      </c>
      <c r="BB4178" s="3" t="s">
        <v>40209</v>
      </c>
      <c r="BC4178" s="3" t="s">
        <v>142</v>
      </c>
      <c r="BD4178" s="3" t="s">
        <v>68</v>
      </c>
      <c r="BE4178" s="3" t="s">
        <v>40210</v>
      </c>
      <c r="BF4178" s="3" t="s">
        <v>40209</v>
      </c>
      <c r="BG4178" s="3" t="s">
        <v>40211</v>
      </c>
    </row>
    <row r="4179" spans="1:59" ht="57" x14ac:dyDescent="0.45">
      <c r="A4179" s="2" t="s">
        <v>59</v>
      </c>
      <c r="B4179" s="2" t="s">
        <v>60</v>
      </c>
      <c r="C4179" s="2" t="s">
        <v>40212</v>
      </c>
      <c r="D4179" s="2" t="s">
        <v>40213</v>
      </c>
      <c r="E4179" s="2" t="s">
        <v>40214</v>
      </c>
      <c r="G4179" s="3" t="s">
        <v>62</v>
      </c>
      <c r="I4179" s="3" t="s">
        <v>62</v>
      </c>
      <c r="J4179" s="3" t="s">
        <v>62</v>
      </c>
      <c r="K4179" s="3" t="s">
        <v>63</v>
      </c>
      <c r="L4179" s="2" t="s">
        <v>40215</v>
      </c>
      <c r="M4179" s="2" t="s">
        <v>40216</v>
      </c>
      <c r="N4179" s="3" t="s">
        <v>1688</v>
      </c>
      <c r="P4179" s="3" t="s">
        <v>65</v>
      </c>
      <c r="R4179" s="3" t="s">
        <v>66</v>
      </c>
      <c r="S4179" s="4">
        <v>0</v>
      </c>
      <c r="T4179" s="4">
        <v>0</v>
      </c>
      <c r="W4179" s="5" t="s">
        <v>67</v>
      </c>
      <c r="X4179" s="5" t="s">
        <v>67</v>
      </c>
      <c r="Y4179" s="4">
        <v>81</v>
      </c>
      <c r="Z4179" s="4">
        <v>7</v>
      </c>
      <c r="AA4179" s="4">
        <v>7</v>
      </c>
      <c r="AB4179" s="4">
        <v>1</v>
      </c>
      <c r="AC4179" s="4">
        <v>1</v>
      </c>
      <c r="AD4179" s="4">
        <v>37</v>
      </c>
      <c r="AE4179" s="4">
        <v>37</v>
      </c>
      <c r="AF4179" s="4">
        <v>0</v>
      </c>
      <c r="AG4179" s="4">
        <v>0</v>
      </c>
      <c r="AH4179" s="4">
        <v>36</v>
      </c>
      <c r="AI4179" s="4">
        <v>36</v>
      </c>
      <c r="AJ4179" s="4">
        <v>4</v>
      </c>
      <c r="AK4179" s="4">
        <v>4</v>
      </c>
      <c r="AL4179" s="4">
        <v>23</v>
      </c>
      <c r="AM4179" s="4">
        <v>23</v>
      </c>
      <c r="AN4179" s="4">
        <v>0</v>
      </c>
      <c r="AO4179" s="4">
        <v>0</v>
      </c>
      <c r="AP4179" s="4">
        <v>4</v>
      </c>
      <c r="AQ4179" s="4">
        <v>4</v>
      </c>
      <c r="AR4179" s="3" t="s">
        <v>62</v>
      </c>
      <c r="AS4179" s="3" t="s">
        <v>62</v>
      </c>
      <c r="AT4179" s="3" t="s">
        <v>62</v>
      </c>
      <c r="AV4179" s="6" t="str">
        <f>HYPERLINK("http://mcgill.on.worldcat.org/oclc/867916033","Catalog Record")</f>
        <v>Catalog Record</v>
      </c>
      <c r="AW4179" s="6" t="str">
        <f>HYPERLINK("http://www.worldcat.org/oclc/867916033","WorldCat Record")</f>
        <v>WorldCat Record</v>
      </c>
      <c r="AX4179" s="3" t="s">
        <v>40217</v>
      </c>
      <c r="AY4179" s="3" t="s">
        <v>40218</v>
      </c>
      <c r="AZ4179" s="3" t="s">
        <v>40219</v>
      </c>
      <c r="BA4179" s="3" t="s">
        <v>40219</v>
      </c>
      <c r="BB4179" s="3" t="s">
        <v>40220</v>
      </c>
      <c r="BC4179" s="3" t="s">
        <v>142</v>
      </c>
      <c r="BD4179" s="3" t="s">
        <v>68</v>
      </c>
      <c r="BE4179" s="3" t="s">
        <v>40221</v>
      </c>
      <c r="BF4179" s="3" t="s">
        <v>40220</v>
      </c>
      <c r="BG4179" s="3" t="s">
        <v>40222</v>
      </c>
    </row>
    <row r="4180" spans="1:59" ht="57" x14ac:dyDescent="0.45">
      <c r="A4180" s="2" t="s">
        <v>59</v>
      </c>
      <c r="B4180" s="2" t="s">
        <v>60</v>
      </c>
      <c r="C4180" s="2" t="s">
        <v>40223</v>
      </c>
      <c r="D4180" s="2" t="s">
        <v>40224</v>
      </c>
      <c r="E4180" s="2" t="s">
        <v>40225</v>
      </c>
      <c r="G4180" s="3" t="s">
        <v>62</v>
      </c>
      <c r="I4180" s="3" t="s">
        <v>62</v>
      </c>
      <c r="J4180" s="3" t="s">
        <v>62</v>
      </c>
      <c r="K4180" s="3" t="s">
        <v>63</v>
      </c>
      <c r="L4180" s="2" t="s">
        <v>40226</v>
      </c>
      <c r="M4180" s="2" t="s">
        <v>40227</v>
      </c>
      <c r="N4180" s="3" t="s">
        <v>149</v>
      </c>
      <c r="P4180" s="3" t="s">
        <v>65</v>
      </c>
      <c r="R4180" s="3" t="s">
        <v>66</v>
      </c>
      <c r="S4180" s="4">
        <v>2</v>
      </c>
      <c r="T4180" s="4">
        <v>2</v>
      </c>
      <c r="U4180" s="5" t="s">
        <v>14051</v>
      </c>
      <c r="V4180" s="5" t="s">
        <v>14051</v>
      </c>
      <c r="W4180" s="5" t="s">
        <v>67</v>
      </c>
      <c r="X4180" s="5" t="s">
        <v>67</v>
      </c>
      <c r="Y4180" s="4">
        <v>71</v>
      </c>
      <c r="Z4180" s="4">
        <v>10</v>
      </c>
      <c r="AA4180" s="4">
        <v>25</v>
      </c>
      <c r="AB4180" s="4">
        <v>1</v>
      </c>
      <c r="AC4180" s="4">
        <v>5</v>
      </c>
      <c r="AD4180" s="4">
        <v>44</v>
      </c>
      <c r="AE4180" s="4">
        <v>45</v>
      </c>
      <c r="AF4180" s="4">
        <v>0</v>
      </c>
      <c r="AG4180" s="4">
        <v>0</v>
      </c>
      <c r="AH4180" s="4">
        <v>43</v>
      </c>
      <c r="AI4180" s="4">
        <v>43</v>
      </c>
      <c r="AJ4180" s="4">
        <v>7</v>
      </c>
      <c r="AK4180" s="4">
        <v>7</v>
      </c>
      <c r="AL4180" s="4">
        <v>28</v>
      </c>
      <c r="AM4180" s="4">
        <v>28</v>
      </c>
      <c r="AN4180" s="4">
        <v>0</v>
      </c>
      <c r="AO4180" s="4">
        <v>0</v>
      </c>
      <c r="AP4180" s="4">
        <v>7</v>
      </c>
      <c r="AQ4180" s="4">
        <v>8</v>
      </c>
      <c r="AR4180" s="3" t="s">
        <v>62</v>
      </c>
      <c r="AS4180" s="3" t="s">
        <v>62</v>
      </c>
      <c r="AT4180" s="3" t="s">
        <v>62</v>
      </c>
      <c r="AV4180" s="6" t="str">
        <f>HYPERLINK("http://mcgill.on.worldcat.org/oclc/650827406","Catalog Record")</f>
        <v>Catalog Record</v>
      </c>
      <c r="AW4180" s="6" t="str">
        <f>HYPERLINK("http://www.worldcat.org/oclc/650827406","WorldCat Record")</f>
        <v>WorldCat Record</v>
      </c>
      <c r="AX4180" s="3" t="s">
        <v>40228</v>
      </c>
      <c r="AY4180" s="3" t="s">
        <v>40229</v>
      </c>
      <c r="AZ4180" s="3" t="s">
        <v>40230</v>
      </c>
      <c r="BA4180" s="3" t="s">
        <v>40230</v>
      </c>
      <c r="BB4180" s="3" t="s">
        <v>40231</v>
      </c>
      <c r="BC4180" s="3" t="s">
        <v>142</v>
      </c>
      <c r="BD4180" s="3" t="s">
        <v>68</v>
      </c>
      <c r="BE4180" s="3" t="s">
        <v>40232</v>
      </c>
      <c r="BF4180" s="3" t="s">
        <v>40231</v>
      </c>
      <c r="BG4180" s="3" t="s">
        <v>40233</v>
      </c>
    </row>
    <row r="4181" spans="1:59" ht="57" x14ac:dyDescent="0.45">
      <c r="A4181" s="2" t="s">
        <v>59</v>
      </c>
      <c r="B4181" s="2" t="s">
        <v>60</v>
      </c>
      <c r="C4181" s="2" t="s">
        <v>40234</v>
      </c>
      <c r="D4181" s="2" t="s">
        <v>40235</v>
      </c>
      <c r="E4181" s="2" t="s">
        <v>40236</v>
      </c>
      <c r="G4181" s="3" t="s">
        <v>62</v>
      </c>
      <c r="I4181" s="3" t="s">
        <v>62</v>
      </c>
      <c r="J4181" s="3" t="s">
        <v>62</v>
      </c>
      <c r="K4181" s="3" t="s">
        <v>63</v>
      </c>
      <c r="M4181" s="2" t="s">
        <v>40237</v>
      </c>
      <c r="N4181" s="3" t="s">
        <v>1097</v>
      </c>
      <c r="P4181" s="3" t="s">
        <v>65</v>
      </c>
      <c r="R4181" s="3" t="s">
        <v>66</v>
      </c>
      <c r="S4181" s="4">
        <v>5</v>
      </c>
      <c r="T4181" s="4">
        <v>5</v>
      </c>
      <c r="U4181" s="5" t="s">
        <v>13743</v>
      </c>
      <c r="V4181" s="5" t="s">
        <v>13743</v>
      </c>
      <c r="W4181" s="5" t="s">
        <v>67</v>
      </c>
      <c r="X4181" s="5" t="s">
        <v>67</v>
      </c>
      <c r="Y4181" s="4">
        <v>133</v>
      </c>
      <c r="Z4181" s="4">
        <v>6</v>
      </c>
      <c r="AA4181" s="4">
        <v>6</v>
      </c>
      <c r="AB4181" s="4">
        <v>1</v>
      </c>
      <c r="AC4181" s="4">
        <v>1</v>
      </c>
      <c r="AD4181" s="4">
        <v>61</v>
      </c>
      <c r="AE4181" s="4">
        <v>61</v>
      </c>
      <c r="AF4181" s="4">
        <v>0</v>
      </c>
      <c r="AG4181" s="4">
        <v>0</v>
      </c>
      <c r="AH4181" s="4">
        <v>56</v>
      </c>
      <c r="AI4181" s="4">
        <v>56</v>
      </c>
      <c r="AJ4181" s="4">
        <v>5</v>
      </c>
      <c r="AK4181" s="4">
        <v>5</v>
      </c>
      <c r="AL4181" s="4">
        <v>35</v>
      </c>
      <c r="AM4181" s="4">
        <v>35</v>
      </c>
      <c r="AN4181" s="4">
        <v>0</v>
      </c>
      <c r="AO4181" s="4">
        <v>0</v>
      </c>
      <c r="AP4181" s="4">
        <v>5</v>
      </c>
      <c r="AQ4181" s="4">
        <v>5</v>
      </c>
      <c r="AR4181" s="3" t="s">
        <v>62</v>
      </c>
      <c r="AS4181" s="3" t="s">
        <v>62</v>
      </c>
      <c r="AT4181" s="3" t="s">
        <v>61</v>
      </c>
      <c r="AU4181" s="6" t="str">
        <f>HYPERLINK("http://catalog.hathitrust.org/Record/004350287","HathiTrust Record")</f>
        <v>HathiTrust Record</v>
      </c>
      <c r="AV4181" s="6" t="str">
        <f>HYPERLINK("http://mcgill.on.worldcat.org/oclc/54077935","Catalog Record")</f>
        <v>Catalog Record</v>
      </c>
      <c r="AW4181" s="6" t="str">
        <f>HYPERLINK("http://www.worldcat.org/oclc/54077935","WorldCat Record")</f>
        <v>WorldCat Record</v>
      </c>
      <c r="AX4181" s="3" t="s">
        <v>40238</v>
      </c>
      <c r="AY4181" s="3" t="s">
        <v>40239</v>
      </c>
      <c r="AZ4181" s="3" t="s">
        <v>40240</v>
      </c>
      <c r="BA4181" s="3" t="s">
        <v>40240</v>
      </c>
      <c r="BB4181" s="3" t="s">
        <v>40241</v>
      </c>
      <c r="BC4181" s="3" t="s">
        <v>142</v>
      </c>
      <c r="BD4181" s="3" t="s">
        <v>68</v>
      </c>
      <c r="BE4181" s="3" t="s">
        <v>40242</v>
      </c>
      <c r="BF4181" s="3" t="s">
        <v>40241</v>
      </c>
      <c r="BG4181" s="3" t="s">
        <v>40243</v>
      </c>
    </row>
    <row r="4182" spans="1:59" ht="57" x14ac:dyDescent="0.45">
      <c r="A4182" s="2" t="s">
        <v>59</v>
      </c>
      <c r="B4182" s="2" t="s">
        <v>60</v>
      </c>
      <c r="C4182" s="2" t="s">
        <v>40244</v>
      </c>
      <c r="D4182" s="2" t="s">
        <v>40245</v>
      </c>
      <c r="E4182" s="2" t="s">
        <v>40246</v>
      </c>
      <c r="G4182" s="3" t="s">
        <v>62</v>
      </c>
      <c r="I4182" s="3" t="s">
        <v>62</v>
      </c>
      <c r="J4182" s="3" t="s">
        <v>62</v>
      </c>
      <c r="K4182" s="3" t="s">
        <v>63</v>
      </c>
      <c r="L4182" s="2" t="s">
        <v>40247</v>
      </c>
      <c r="M4182" s="2" t="s">
        <v>40248</v>
      </c>
      <c r="N4182" s="3" t="s">
        <v>1059</v>
      </c>
      <c r="O4182" s="2" t="s">
        <v>168</v>
      </c>
      <c r="P4182" s="3" t="s">
        <v>65</v>
      </c>
      <c r="Q4182" s="2" t="s">
        <v>40249</v>
      </c>
      <c r="R4182" s="3" t="s">
        <v>66</v>
      </c>
      <c r="S4182" s="4">
        <v>9</v>
      </c>
      <c r="T4182" s="4">
        <v>9</v>
      </c>
      <c r="U4182" s="5" t="s">
        <v>6580</v>
      </c>
      <c r="V4182" s="5" t="s">
        <v>6580</v>
      </c>
      <c r="W4182" s="5" t="s">
        <v>67</v>
      </c>
      <c r="X4182" s="5" t="s">
        <v>67</v>
      </c>
      <c r="Y4182" s="4">
        <v>132</v>
      </c>
      <c r="Z4182" s="4">
        <v>12</v>
      </c>
      <c r="AA4182" s="4">
        <v>48</v>
      </c>
      <c r="AB4182" s="4">
        <v>1</v>
      </c>
      <c r="AC4182" s="4">
        <v>13</v>
      </c>
      <c r="AD4182" s="4">
        <v>65</v>
      </c>
      <c r="AE4182" s="4">
        <v>115</v>
      </c>
      <c r="AF4182" s="4">
        <v>0</v>
      </c>
      <c r="AG4182" s="4">
        <v>8</v>
      </c>
      <c r="AH4182" s="4">
        <v>60</v>
      </c>
      <c r="AI4182" s="4">
        <v>84</v>
      </c>
      <c r="AJ4182" s="4">
        <v>9</v>
      </c>
      <c r="AK4182" s="4">
        <v>22</v>
      </c>
      <c r="AL4182" s="4">
        <v>36</v>
      </c>
      <c r="AM4182" s="4">
        <v>47</v>
      </c>
      <c r="AN4182" s="4">
        <v>0</v>
      </c>
      <c r="AO4182" s="4">
        <v>0</v>
      </c>
      <c r="AP4182" s="4">
        <v>9</v>
      </c>
      <c r="AQ4182" s="4">
        <v>39</v>
      </c>
      <c r="AR4182" s="3" t="s">
        <v>62</v>
      </c>
      <c r="AS4182" s="3" t="s">
        <v>62</v>
      </c>
      <c r="AT4182" s="3" t="s">
        <v>62</v>
      </c>
      <c r="AV4182" s="6" t="str">
        <f>HYPERLINK("http://mcgill.on.worldcat.org/oclc/69647557","Catalog Record")</f>
        <v>Catalog Record</v>
      </c>
      <c r="AW4182" s="6" t="str">
        <f>HYPERLINK("http://www.worldcat.org/oclc/69647557","WorldCat Record")</f>
        <v>WorldCat Record</v>
      </c>
      <c r="AX4182" s="3" t="s">
        <v>40250</v>
      </c>
      <c r="AY4182" s="3" t="s">
        <v>40251</v>
      </c>
      <c r="AZ4182" s="3" t="s">
        <v>40252</v>
      </c>
      <c r="BA4182" s="3" t="s">
        <v>40252</v>
      </c>
      <c r="BB4182" s="3" t="s">
        <v>40253</v>
      </c>
      <c r="BC4182" s="3" t="s">
        <v>142</v>
      </c>
      <c r="BD4182" s="3" t="s">
        <v>68</v>
      </c>
      <c r="BE4182" s="3" t="s">
        <v>40254</v>
      </c>
      <c r="BF4182" s="3" t="s">
        <v>40253</v>
      </c>
      <c r="BG4182" s="3" t="s">
        <v>40255</v>
      </c>
    </row>
    <row r="4183" spans="1:59" ht="57" x14ac:dyDescent="0.45">
      <c r="A4183" s="2" t="s">
        <v>59</v>
      </c>
      <c r="B4183" s="2" t="s">
        <v>60</v>
      </c>
      <c r="C4183" s="2" t="s">
        <v>40256</v>
      </c>
      <c r="D4183" s="2" t="s">
        <v>40257</v>
      </c>
      <c r="E4183" s="2" t="s">
        <v>40258</v>
      </c>
      <c r="G4183" s="3" t="s">
        <v>62</v>
      </c>
      <c r="I4183" s="3" t="s">
        <v>62</v>
      </c>
      <c r="J4183" s="3" t="s">
        <v>62</v>
      </c>
      <c r="K4183" s="3" t="s">
        <v>63</v>
      </c>
      <c r="L4183" s="2" t="s">
        <v>5615</v>
      </c>
      <c r="M4183" s="2" t="s">
        <v>40259</v>
      </c>
      <c r="N4183" s="3" t="s">
        <v>918</v>
      </c>
      <c r="P4183" s="3" t="s">
        <v>65</v>
      </c>
      <c r="Q4183" s="2" t="s">
        <v>40260</v>
      </c>
      <c r="R4183" s="3" t="s">
        <v>66</v>
      </c>
      <c r="S4183" s="4">
        <v>9</v>
      </c>
      <c r="T4183" s="4">
        <v>9</v>
      </c>
      <c r="U4183" s="5" t="s">
        <v>20687</v>
      </c>
      <c r="V4183" s="5" t="s">
        <v>20687</v>
      </c>
      <c r="W4183" s="5" t="s">
        <v>67</v>
      </c>
      <c r="X4183" s="5" t="s">
        <v>67</v>
      </c>
      <c r="Y4183" s="4">
        <v>144</v>
      </c>
      <c r="Z4183" s="4">
        <v>11</v>
      </c>
      <c r="AA4183" s="4">
        <v>34</v>
      </c>
      <c r="AB4183" s="4">
        <v>1</v>
      </c>
      <c r="AC4183" s="4">
        <v>3</v>
      </c>
      <c r="AD4183" s="4">
        <v>64</v>
      </c>
      <c r="AE4183" s="4">
        <v>94</v>
      </c>
      <c r="AF4183" s="4">
        <v>0</v>
      </c>
      <c r="AG4183" s="4">
        <v>0</v>
      </c>
      <c r="AH4183" s="4">
        <v>61</v>
      </c>
      <c r="AI4183" s="4">
        <v>78</v>
      </c>
      <c r="AJ4183" s="4">
        <v>8</v>
      </c>
      <c r="AK4183" s="4">
        <v>13</v>
      </c>
      <c r="AL4183" s="4">
        <v>37</v>
      </c>
      <c r="AM4183" s="4">
        <v>42</v>
      </c>
      <c r="AN4183" s="4">
        <v>0</v>
      </c>
      <c r="AO4183" s="4">
        <v>0</v>
      </c>
      <c r="AP4183" s="4">
        <v>8</v>
      </c>
      <c r="AQ4183" s="4">
        <v>22</v>
      </c>
      <c r="AR4183" s="3" t="s">
        <v>62</v>
      </c>
      <c r="AS4183" s="3" t="s">
        <v>62</v>
      </c>
      <c r="AT4183" s="3" t="s">
        <v>62</v>
      </c>
      <c r="AV4183" s="6" t="str">
        <f>HYPERLINK("http://mcgill.on.worldcat.org/oclc/52895058","Catalog Record")</f>
        <v>Catalog Record</v>
      </c>
      <c r="AW4183" s="6" t="str">
        <f>HYPERLINK("http://www.worldcat.org/oclc/52895058","WorldCat Record")</f>
        <v>WorldCat Record</v>
      </c>
      <c r="AX4183" s="3" t="s">
        <v>40261</v>
      </c>
      <c r="AY4183" s="3" t="s">
        <v>40262</v>
      </c>
      <c r="AZ4183" s="3" t="s">
        <v>40263</v>
      </c>
      <c r="BA4183" s="3" t="s">
        <v>40263</v>
      </c>
      <c r="BB4183" s="3" t="s">
        <v>40264</v>
      </c>
      <c r="BC4183" s="3" t="s">
        <v>142</v>
      </c>
      <c r="BD4183" s="3" t="s">
        <v>68</v>
      </c>
      <c r="BE4183" s="3" t="s">
        <v>40265</v>
      </c>
      <c r="BF4183" s="3" t="s">
        <v>40264</v>
      </c>
      <c r="BG4183" s="3" t="s">
        <v>40266</v>
      </c>
    </row>
    <row r="4184" spans="1:59" ht="57" x14ac:dyDescent="0.45">
      <c r="A4184" s="2" t="s">
        <v>59</v>
      </c>
      <c r="B4184" s="2" t="s">
        <v>60</v>
      </c>
      <c r="C4184" s="2" t="s">
        <v>40267</v>
      </c>
      <c r="D4184" s="2" t="s">
        <v>40268</v>
      </c>
      <c r="E4184" s="2" t="s">
        <v>40269</v>
      </c>
      <c r="G4184" s="3" t="s">
        <v>62</v>
      </c>
      <c r="I4184" s="3" t="s">
        <v>62</v>
      </c>
      <c r="J4184" s="3" t="s">
        <v>62</v>
      </c>
      <c r="K4184" s="3" t="s">
        <v>63</v>
      </c>
      <c r="L4184" s="2" t="s">
        <v>40270</v>
      </c>
      <c r="M4184" s="2" t="s">
        <v>1687</v>
      </c>
      <c r="N4184" s="3" t="s">
        <v>208</v>
      </c>
      <c r="P4184" s="3" t="s">
        <v>65</v>
      </c>
      <c r="Q4184" s="2" t="s">
        <v>40271</v>
      </c>
      <c r="R4184" s="3" t="s">
        <v>66</v>
      </c>
      <c r="S4184" s="4">
        <v>3</v>
      </c>
      <c r="T4184" s="4">
        <v>3</v>
      </c>
      <c r="U4184" s="5" t="s">
        <v>13932</v>
      </c>
      <c r="V4184" s="5" t="s">
        <v>13932</v>
      </c>
      <c r="W4184" s="5" t="s">
        <v>67</v>
      </c>
      <c r="X4184" s="5" t="s">
        <v>67</v>
      </c>
      <c r="Y4184" s="4">
        <v>59</v>
      </c>
      <c r="Z4184" s="4">
        <v>2</v>
      </c>
      <c r="AA4184" s="4">
        <v>8</v>
      </c>
      <c r="AB4184" s="4">
        <v>1</v>
      </c>
      <c r="AC4184" s="4">
        <v>4</v>
      </c>
      <c r="AD4184" s="4">
        <v>23</v>
      </c>
      <c r="AE4184" s="4">
        <v>35</v>
      </c>
      <c r="AF4184" s="4">
        <v>0</v>
      </c>
      <c r="AG4184" s="4">
        <v>0</v>
      </c>
      <c r="AH4184" s="4">
        <v>23</v>
      </c>
      <c r="AI4184" s="4">
        <v>35</v>
      </c>
      <c r="AJ4184" s="4">
        <v>1</v>
      </c>
      <c r="AK4184" s="4">
        <v>3</v>
      </c>
      <c r="AL4184" s="4">
        <v>16</v>
      </c>
      <c r="AM4184" s="4">
        <v>23</v>
      </c>
      <c r="AN4184" s="4">
        <v>0</v>
      </c>
      <c r="AO4184" s="4">
        <v>0</v>
      </c>
      <c r="AP4184" s="4">
        <v>1</v>
      </c>
      <c r="AQ4184" s="4">
        <v>3</v>
      </c>
      <c r="AR4184" s="3" t="s">
        <v>62</v>
      </c>
      <c r="AS4184" s="3" t="s">
        <v>62</v>
      </c>
      <c r="AT4184" s="3" t="s">
        <v>62</v>
      </c>
      <c r="AV4184" s="6" t="str">
        <f>HYPERLINK("http://mcgill.on.worldcat.org/oclc/853244963","Catalog Record")</f>
        <v>Catalog Record</v>
      </c>
      <c r="AW4184" s="6" t="str">
        <f>HYPERLINK("http://www.worldcat.org/oclc/853244963","WorldCat Record")</f>
        <v>WorldCat Record</v>
      </c>
      <c r="AX4184" s="3" t="s">
        <v>40272</v>
      </c>
      <c r="AY4184" s="3" t="s">
        <v>40273</v>
      </c>
      <c r="AZ4184" s="3" t="s">
        <v>40274</v>
      </c>
      <c r="BA4184" s="3" t="s">
        <v>40274</v>
      </c>
      <c r="BB4184" s="3" t="s">
        <v>40275</v>
      </c>
      <c r="BC4184" s="3" t="s">
        <v>142</v>
      </c>
      <c r="BD4184" s="3" t="s">
        <v>68</v>
      </c>
      <c r="BE4184" s="3" t="s">
        <v>40276</v>
      </c>
      <c r="BF4184" s="3" t="s">
        <v>40275</v>
      </c>
      <c r="BG4184" s="3" t="s">
        <v>40277</v>
      </c>
    </row>
    <row r="4185" spans="1:59" ht="57" x14ac:dyDescent="0.45">
      <c r="A4185" s="2" t="s">
        <v>59</v>
      </c>
      <c r="B4185" s="2" t="s">
        <v>60</v>
      </c>
      <c r="C4185" s="2" t="s">
        <v>40278</v>
      </c>
      <c r="D4185" s="2" t="s">
        <v>40279</v>
      </c>
      <c r="E4185" s="2" t="s">
        <v>40280</v>
      </c>
      <c r="G4185" s="3" t="s">
        <v>62</v>
      </c>
      <c r="I4185" s="3" t="s">
        <v>62</v>
      </c>
      <c r="J4185" s="3" t="s">
        <v>62</v>
      </c>
      <c r="K4185" s="3" t="s">
        <v>63</v>
      </c>
      <c r="L4185" s="2" t="s">
        <v>40281</v>
      </c>
      <c r="M4185" s="2" t="s">
        <v>40282</v>
      </c>
      <c r="N4185" s="3" t="s">
        <v>149</v>
      </c>
      <c r="P4185" s="3" t="s">
        <v>65</v>
      </c>
      <c r="Q4185" s="2" t="s">
        <v>40283</v>
      </c>
      <c r="R4185" s="3" t="s">
        <v>66</v>
      </c>
      <c r="S4185" s="4">
        <v>0</v>
      </c>
      <c r="T4185" s="4">
        <v>0</v>
      </c>
      <c r="W4185" s="5" t="s">
        <v>67</v>
      </c>
      <c r="X4185" s="5" t="s">
        <v>67</v>
      </c>
      <c r="Y4185" s="4">
        <v>25</v>
      </c>
      <c r="Z4185" s="4">
        <v>4</v>
      </c>
      <c r="AA4185" s="4">
        <v>4</v>
      </c>
      <c r="AB4185" s="4">
        <v>1</v>
      </c>
      <c r="AC4185" s="4">
        <v>1</v>
      </c>
      <c r="AD4185" s="4">
        <v>15</v>
      </c>
      <c r="AE4185" s="4">
        <v>15</v>
      </c>
      <c r="AF4185" s="4">
        <v>0</v>
      </c>
      <c r="AG4185" s="4">
        <v>0</v>
      </c>
      <c r="AH4185" s="4">
        <v>15</v>
      </c>
      <c r="AI4185" s="4">
        <v>15</v>
      </c>
      <c r="AJ4185" s="4">
        <v>2</v>
      </c>
      <c r="AK4185" s="4">
        <v>2</v>
      </c>
      <c r="AL4185" s="4">
        <v>11</v>
      </c>
      <c r="AM4185" s="4">
        <v>11</v>
      </c>
      <c r="AN4185" s="4">
        <v>0</v>
      </c>
      <c r="AO4185" s="4">
        <v>0</v>
      </c>
      <c r="AP4185" s="4">
        <v>2</v>
      </c>
      <c r="AQ4185" s="4">
        <v>2</v>
      </c>
      <c r="AR4185" s="3" t="s">
        <v>62</v>
      </c>
      <c r="AS4185" s="3" t="s">
        <v>62</v>
      </c>
      <c r="AT4185" s="3" t="s">
        <v>62</v>
      </c>
      <c r="AV4185" s="6" t="str">
        <f>HYPERLINK("http://mcgill.on.worldcat.org/oclc/759395760","Catalog Record")</f>
        <v>Catalog Record</v>
      </c>
      <c r="AW4185" s="6" t="str">
        <f>HYPERLINK("http://www.worldcat.org/oclc/759395760","WorldCat Record")</f>
        <v>WorldCat Record</v>
      </c>
      <c r="AX4185" s="3" t="s">
        <v>40284</v>
      </c>
      <c r="AY4185" s="3" t="s">
        <v>40285</v>
      </c>
      <c r="AZ4185" s="3" t="s">
        <v>40286</v>
      </c>
      <c r="BA4185" s="3" t="s">
        <v>40286</v>
      </c>
      <c r="BB4185" s="3" t="s">
        <v>40287</v>
      </c>
      <c r="BC4185" s="3" t="s">
        <v>142</v>
      </c>
      <c r="BD4185" s="3" t="s">
        <v>68</v>
      </c>
      <c r="BE4185" s="3" t="s">
        <v>40288</v>
      </c>
      <c r="BF4185" s="3" t="s">
        <v>40287</v>
      </c>
      <c r="BG4185" s="3" t="s">
        <v>40289</v>
      </c>
    </row>
    <row r="4186" spans="1:59" ht="57" x14ac:dyDescent="0.45">
      <c r="A4186" s="2" t="s">
        <v>59</v>
      </c>
      <c r="B4186" s="2" t="s">
        <v>60</v>
      </c>
      <c r="C4186" s="2" t="s">
        <v>40290</v>
      </c>
      <c r="D4186" s="2" t="s">
        <v>40291</v>
      </c>
      <c r="E4186" s="2" t="s">
        <v>40292</v>
      </c>
      <c r="G4186" s="3" t="s">
        <v>62</v>
      </c>
      <c r="I4186" s="3" t="s">
        <v>62</v>
      </c>
      <c r="J4186" s="3" t="s">
        <v>62</v>
      </c>
      <c r="K4186" s="3" t="s">
        <v>63</v>
      </c>
      <c r="L4186" s="2" t="s">
        <v>40293</v>
      </c>
      <c r="M4186" s="2" t="s">
        <v>40294</v>
      </c>
      <c r="N4186" s="3" t="s">
        <v>945</v>
      </c>
      <c r="P4186" s="3" t="s">
        <v>65</v>
      </c>
      <c r="Q4186" s="2" t="s">
        <v>40295</v>
      </c>
      <c r="R4186" s="3" t="s">
        <v>66</v>
      </c>
      <c r="S4186" s="4">
        <v>2</v>
      </c>
      <c r="T4186" s="4">
        <v>2</v>
      </c>
      <c r="U4186" s="5" t="s">
        <v>971</v>
      </c>
      <c r="V4186" s="5" t="s">
        <v>971</v>
      </c>
      <c r="W4186" s="5" t="s">
        <v>67</v>
      </c>
      <c r="X4186" s="5" t="s">
        <v>67</v>
      </c>
      <c r="Y4186" s="4">
        <v>27</v>
      </c>
      <c r="Z4186" s="4">
        <v>2</v>
      </c>
      <c r="AA4186" s="4">
        <v>4</v>
      </c>
      <c r="AB4186" s="4">
        <v>1</v>
      </c>
      <c r="AC4186" s="4">
        <v>1</v>
      </c>
      <c r="AD4186" s="4">
        <v>16</v>
      </c>
      <c r="AE4186" s="4">
        <v>17</v>
      </c>
      <c r="AF4186" s="4">
        <v>0</v>
      </c>
      <c r="AG4186" s="4">
        <v>0</v>
      </c>
      <c r="AH4186" s="4">
        <v>15</v>
      </c>
      <c r="AI4186" s="4">
        <v>16</v>
      </c>
      <c r="AJ4186" s="4">
        <v>1</v>
      </c>
      <c r="AK4186" s="4">
        <v>2</v>
      </c>
      <c r="AL4186" s="4">
        <v>13</v>
      </c>
      <c r="AM4186" s="4">
        <v>14</v>
      </c>
      <c r="AN4186" s="4">
        <v>0</v>
      </c>
      <c r="AO4186" s="4">
        <v>0</v>
      </c>
      <c r="AP4186" s="4">
        <v>1</v>
      </c>
      <c r="AQ4186" s="4">
        <v>2</v>
      </c>
      <c r="AR4186" s="3" t="s">
        <v>62</v>
      </c>
      <c r="AS4186" s="3" t="s">
        <v>62</v>
      </c>
      <c r="AT4186" s="3" t="s">
        <v>62</v>
      </c>
      <c r="AV4186" s="6" t="str">
        <f>HYPERLINK("http://mcgill.on.worldcat.org/oclc/156914917","Catalog Record")</f>
        <v>Catalog Record</v>
      </c>
      <c r="AW4186" s="6" t="str">
        <f>HYPERLINK("http://www.worldcat.org/oclc/156914917","WorldCat Record")</f>
        <v>WorldCat Record</v>
      </c>
      <c r="AX4186" s="3" t="s">
        <v>40296</v>
      </c>
      <c r="AY4186" s="3" t="s">
        <v>40297</v>
      </c>
      <c r="AZ4186" s="3" t="s">
        <v>40298</v>
      </c>
      <c r="BA4186" s="3" t="s">
        <v>40298</v>
      </c>
      <c r="BB4186" s="3" t="s">
        <v>40299</v>
      </c>
      <c r="BC4186" s="3" t="s">
        <v>142</v>
      </c>
      <c r="BD4186" s="3" t="s">
        <v>68</v>
      </c>
      <c r="BE4186" s="3" t="s">
        <v>40300</v>
      </c>
      <c r="BF4186" s="3" t="s">
        <v>40299</v>
      </c>
      <c r="BG4186" s="3" t="s">
        <v>40301</v>
      </c>
    </row>
    <row r="4187" spans="1:59" ht="57" x14ac:dyDescent="0.45">
      <c r="A4187" s="2" t="s">
        <v>59</v>
      </c>
      <c r="B4187" s="2" t="s">
        <v>60</v>
      </c>
      <c r="C4187" s="2" t="s">
        <v>40302</v>
      </c>
      <c r="D4187" s="2" t="s">
        <v>40303</v>
      </c>
      <c r="E4187" s="2" t="s">
        <v>40304</v>
      </c>
      <c r="G4187" s="3" t="s">
        <v>62</v>
      </c>
      <c r="I4187" s="3" t="s">
        <v>61</v>
      </c>
      <c r="J4187" s="3" t="s">
        <v>62</v>
      </c>
      <c r="K4187" s="3" t="s">
        <v>63</v>
      </c>
      <c r="L4187" s="2" t="s">
        <v>40305</v>
      </c>
      <c r="M4187" s="2" t="s">
        <v>40306</v>
      </c>
      <c r="N4187" s="3" t="s">
        <v>125</v>
      </c>
      <c r="P4187" s="3" t="s">
        <v>65</v>
      </c>
      <c r="R4187" s="3" t="s">
        <v>66</v>
      </c>
      <c r="S4187" s="4">
        <v>27</v>
      </c>
      <c r="T4187" s="4">
        <v>27</v>
      </c>
      <c r="U4187" s="5" t="s">
        <v>342</v>
      </c>
      <c r="V4187" s="5" t="s">
        <v>342</v>
      </c>
      <c r="W4187" s="5" t="s">
        <v>67</v>
      </c>
      <c r="X4187" s="5" t="s">
        <v>67</v>
      </c>
      <c r="Y4187" s="4">
        <v>1287</v>
      </c>
      <c r="Z4187" s="4">
        <v>29</v>
      </c>
      <c r="AA4187" s="4">
        <v>36</v>
      </c>
      <c r="AB4187" s="4">
        <v>2</v>
      </c>
      <c r="AC4187" s="4">
        <v>4</v>
      </c>
      <c r="AD4187" s="4">
        <v>124</v>
      </c>
      <c r="AE4187" s="4">
        <v>128</v>
      </c>
      <c r="AF4187" s="4">
        <v>1</v>
      </c>
      <c r="AG4187" s="4">
        <v>2</v>
      </c>
      <c r="AH4187" s="4">
        <v>106</v>
      </c>
      <c r="AI4187" s="4">
        <v>108</v>
      </c>
      <c r="AJ4187" s="4">
        <v>16</v>
      </c>
      <c r="AK4187" s="4">
        <v>17</v>
      </c>
      <c r="AL4187" s="4">
        <v>58</v>
      </c>
      <c r="AM4187" s="4">
        <v>60</v>
      </c>
      <c r="AN4187" s="4">
        <v>0</v>
      </c>
      <c r="AO4187" s="4">
        <v>0</v>
      </c>
      <c r="AP4187" s="4">
        <v>20</v>
      </c>
      <c r="AQ4187" s="4">
        <v>21</v>
      </c>
      <c r="AR4187" s="3" t="s">
        <v>62</v>
      </c>
      <c r="AS4187" s="3" t="s">
        <v>62</v>
      </c>
      <c r="AT4187" s="3" t="s">
        <v>62</v>
      </c>
      <c r="AV4187" s="6" t="str">
        <f>HYPERLINK("http://mcgill.on.worldcat.org/oclc/21117795","Catalog Record")</f>
        <v>Catalog Record</v>
      </c>
      <c r="AW4187" s="6" t="str">
        <f>HYPERLINK("http://www.worldcat.org/oclc/21117795","WorldCat Record")</f>
        <v>WorldCat Record</v>
      </c>
      <c r="AX4187" s="3" t="s">
        <v>40307</v>
      </c>
      <c r="AY4187" s="3" t="s">
        <v>40308</v>
      </c>
      <c r="AZ4187" s="3" t="s">
        <v>40309</v>
      </c>
      <c r="BA4187" s="3" t="s">
        <v>40309</v>
      </c>
      <c r="BB4187" s="3" t="s">
        <v>40310</v>
      </c>
      <c r="BC4187" s="3" t="s">
        <v>142</v>
      </c>
      <c r="BD4187" s="3" t="s">
        <v>68</v>
      </c>
      <c r="BE4187" s="3" t="s">
        <v>40311</v>
      </c>
      <c r="BF4187" s="3" t="s">
        <v>40310</v>
      </c>
      <c r="BG4187" s="3" t="s">
        <v>40312</v>
      </c>
    </row>
    <row r="4188" spans="1:59" ht="57" x14ac:dyDescent="0.45">
      <c r="A4188" s="2" t="s">
        <v>59</v>
      </c>
      <c r="B4188" s="2" t="s">
        <v>60</v>
      </c>
      <c r="C4188" s="2" t="s">
        <v>40313</v>
      </c>
      <c r="D4188" s="2" t="s">
        <v>40314</v>
      </c>
      <c r="E4188" s="2" t="s">
        <v>40315</v>
      </c>
      <c r="G4188" s="3" t="s">
        <v>62</v>
      </c>
      <c r="I4188" s="3" t="s">
        <v>62</v>
      </c>
      <c r="J4188" s="3" t="s">
        <v>62</v>
      </c>
      <c r="K4188" s="3" t="s">
        <v>63</v>
      </c>
      <c r="L4188" s="2" t="s">
        <v>40316</v>
      </c>
      <c r="M4188" s="2" t="s">
        <v>40317</v>
      </c>
      <c r="N4188" s="3" t="s">
        <v>1212</v>
      </c>
      <c r="P4188" s="3" t="s">
        <v>65</v>
      </c>
      <c r="Q4188" s="2" t="s">
        <v>40318</v>
      </c>
      <c r="R4188" s="3" t="s">
        <v>66</v>
      </c>
      <c r="S4188" s="4">
        <v>20</v>
      </c>
      <c r="T4188" s="4">
        <v>20</v>
      </c>
      <c r="U4188" s="5" t="s">
        <v>99</v>
      </c>
      <c r="V4188" s="5" t="s">
        <v>99</v>
      </c>
      <c r="W4188" s="5" t="s">
        <v>67</v>
      </c>
      <c r="X4188" s="5" t="s">
        <v>67</v>
      </c>
      <c r="Y4188" s="4">
        <v>381</v>
      </c>
      <c r="Z4188" s="4">
        <v>22</v>
      </c>
      <c r="AA4188" s="4">
        <v>109</v>
      </c>
      <c r="AB4188" s="4">
        <v>2</v>
      </c>
      <c r="AC4188" s="4">
        <v>17</v>
      </c>
      <c r="AD4188" s="4">
        <v>99</v>
      </c>
      <c r="AE4188" s="4">
        <v>143</v>
      </c>
      <c r="AF4188" s="4">
        <v>1</v>
      </c>
      <c r="AG4188" s="4">
        <v>8</v>
      </c>
      <c r="AH4188" s="4">
        <v>88</v>
      </c>
      <c r="AI4188" s="4">
        <v>104</v>
      </c>
      <c r="AJ4188" s="4">
        <v>14</v>
      </c>
      <c r="AK4188" s="4">
        <v>24</v>
      </c>
      <c r="AL4188" s="4">
        <v>48</v>
      </c>
      <c r="AM4188" s="4">
        <v>53</v>
      </c>
      <c r="AN4188" s="4">
        <v>0</v>
      </c>
      <c r="AO4188" s="4">
        <v>0</v>
      </c>
      <c r="AP4188" s="4">
        <v>19</v>
      </c>
      <c r="AQ4188" s="4">
        <v>47</v>
      </c>
      <c r="AR4188" s="3" t="s">
        <v>62</v>
      </c>
      <c r="AS4188" s="3" t="s">
        <v>62</v>
      </c>
      <c r="AT4188" s="3" t="s">
        <v>61</v>
      </c>
      <c r="AU4188" s="6" t="str">
        <f>HYPERLINK("http://catalog.hathitrust.org/Record/003577228","HathiTrust Record")</f>
        <v>HathiTrust Record</v>
      </c>
      <c r="AV4188" s="6" t="str">
        <f>HYPERLINK("http://mcgill.on.worldcat.org/oclc/44860908","Catalog Record")</f>
        <v>Catalog Record</v>
      </c>
      <c r="AW4188" s="6" t="str">
        <f>HYPERLINK("http://www.worldcat.org/oclc/44860908","WorldCat Record")</f>
        <v>WorldCat Record</v>
      </c>
      <c r="AX4188" s="3" t="s">
        <v>40319</v>
      </c>
      <c r="AY4188" s="3" t="s">
        <v>40320</v>
      </c>
      <c r="AZ4188" s="3" t="s">
        <v>40321</v>
      </c>
      <c r="BA4188" s="3" t="s">
        <v>40321</v>
      </c>
      <c r="BB4188" s="3" t="s">
        <v>40322</v>
      </c>
      <c r="BC4188" s="3" t="s">
        <v>142</v>
      </c>
      <c r="BD4188" s="3" t="s">
        <v>68</v>
      </c>
      <c r="BE4188" s="3" t="s">
        <v>40323</v>
      </c>
      <c r="BF4188" s="3" t="s">
        <v>40322</v>
      </c>
      <c r="BG4188" s="3" t="s">
        <v>40324</v>
      </c>
    </row>
    <row r="4189" spans="1:59" ht="57" x14ac:dyDescent="0.45">
      <c r="A4189" s="2" t="s">
        <v>59</v>
      </c>
      <c r="B4189" s="2" t="s">
        <v>60</v>
      </c>
      <c r="C4189" s="2" t="s">
        <v>40325</v>
      </c>
      <c r="D4189" s="2" t="s">
        <v>40326</v>
      </c>
      <c r="E4189" s="2" t="s">
        <v>40327</v>
      </c>
      <c r="G4189" s="3" t="s">
        <v>62</v>
      </c>
      <c r="I4189" s="3" t="s">
        <v>62</v>
      </c>
      <c r="J4189" s="3" t="s">
        <v>62</v>
      </c>
      <c r="K4189" s="3" t="s">
        <v>63</v>
      </c>
      <c r="L4189" s="2" t="s">
        <v>40316</v>
      </c>
      <c r="M4189" s="2" t="s">
        <v>40328</v>
      </c>
      <c r="N4189" s="3" t="s">
        <v>84</v>
      </c>
      <c r="P4189" s="3" t="s">
        <v>65</v>
      </c>
      <c r="R4189" s="3" t="s">
        <v>66</v>
      </c>
      <c r="S4189" s="4">
        <v>20</v>
      </c>
      <c r="T4189" s="4">
        <v>20</v>
      </c>
      <c r="U4189" s="5" t="s">
        <v>40329</v>
      </c>
      <c r="V4189" s="5" t="s">
        <v>40329</v>
      </c>
      <c r="W4189" s="5" t="s">
        <v>67</v>
      </c>
      <c r="X4189" s="5" t="s">
        <v>67</v>
      </c>
      <c r="Y4189" s="4">
        <v>813</v>
      </c>
      <c r="Z4189" s="4">
        <v>37</v>
      </c>
      <c r="AA4189" s="4">
        <v>38</v>
      </c>
      <c r="AB4189" s="4">
        <v>3</v>
      </c>
      <c r="AC4189" s="4">
        <v>4</v>
      </c>
      <c r="AD4189" s="4">
        <v>116</v>
      </c>
      <c r="AE4189" s="4">
        <v>118</v>
      </c>
      <c r="AF4189" s="4">
        <v>1</v>
      </c>
      <c r="AG4189" s="4">
        <v>2</v>
      </c>
      <c r="AH4189" s="4">
        <v>94</v>
      </c>
      <c r="AI4189" s="4">
        <v>96</v>
      </c>
      <c r="AJ4189" s="4">
        <v>19</v>
      </c>
      <c r="AK4189" s="4">
        <v>20</v>
      </c>
      <c r="AL4189" s="4">
        <v>52</v>
      </c>
      <c r="AM4189" s="4">
        <v>53</v>
      </c>
      <c r="AN4189" s="4">
        <v>0</v>
      </c>
      <c r="AO4189" s="4">
        <v>0</v>
      </c>
      <c r="AP4189" s="4">
        <v>25</v>
      </c>
      <c r="AQ4189" s="4">
        <v>26</v>
      </c>
      <c r="AR4189" s="3" t="s">
        <v>62</v>
      </c>
      <c r="AS4189" s="3" t="s">
        <v>62</v>
      </c>
      <c r="AT4189" s="3" t="s">
        <v>61</v>
      </c>
      <c r="AU4189" s="6" t="str">
        <f>HYPERLINK("http://catalog.hathitrust.org/Record/002615279","HathiTrust Record")</f>
        <v>HathiTrust Record</v>
      </c>
      <c r="AV4189" s="6" t="str">
        <f>HYPERLINK("http://mcgill.on.worldcat.org/oclc/25094006","Catalog Record")</f>
        <v>Catalog Record</v>
      </c>
      <c r="AW4189" s="6" t="str">
        <f>HYPERLINK("http://www.worldcat.org/oclc/25094006","WorldCat Record")</f>
        <v>WorldCat Record</v>
      </c>
      <c r="AX4189" s="3" t="s">
        <v>40330</v>
      </c>
      <c r="AY4189" s="3" t="s">
        <v>40331</v>
      </c>
      <c r="AZ4189" s="3" t="s">
        <v>40332</v>
      </c>
      <c r="BA4189" s="3" t="s">
        <v>40332</v>
      </c>
      <c r="BB4189" s="3" t="s">
        <v>40333</v>
      </c>
      <c r="BC4189" s="3" t="s">
        <v>142</v>
      </c>
      <c r="BD4189" s="3" t="s">
        <v>68</v>
      </c>
      <c r="BE4189" s="3" t="s">
        <v>40334</v>
      </c>
      <c r="BF4189" s="3" t="s">
        <v>40333</v>
      </c>
      <c r="BG4189" s="3" t="s">
        <v>40335</v>
      </c>
    </row>
    <row r="4190" spans="1:59" ht="57" x14ac:dyDescent="0.45">
      <c r="A4190" s="2" t="s">
        <v>59</v>
      </c>
      <c r="B4190" s="2" t="s">
        <v>60</v>
      </c>
      <c r="C4190" s="2" t="s">
        <v>40336</v>
      </c>
      <c r="D4190" s="2" t="s">
        <v>40337</v>
      </c>
      <c r="E4190" s="2" t="s">
        <v>40338</v>
      </c>
      <c r="G4190" s="3" t="s">
        <v>62</v>
      </c>
      <c r="I4190" s="3" t="s">
        <v>61</v>
      </c>
      <c r="J4190" s="3" t="s">
        <v>62</v>
      </c>
      <c r="K4190" s="3" t="s">
        <v>63</v>
      </c>
      <c r="M4190" s="2" t="s">
        <v>37441</v>
      </c>
      <c r="N4190" s="3" t="s">
        <v>1437</v>
      </c>
      <c r="P4190" s="3" t="s">
        <v>65</v>
      </c>
      <c r="R4190" s="3" t="s">
        <v>66</v>
      </c>
      <c r="S4190" s="4">
        <v>31</v>
      </c>
      <c r="T4190" s="4">
        <v>61</v>
      </c>
      <c r="U4190" s="5" t="s">
        <v>3424</v>
      </c>
      <c r="V4190" s="5" t="s">
        <v>4406</v>
      </c>
      <c r="W4190" s="5" t="s">
        <v>67</v>
      </c>
      <c r="X4190" s="5" t="s">
        <v>67</v>
      </c>
      <c r="Y4190" s="4">
        <v>319</v>
      </c>
      <c r="Z4190" s="4">
        <v>38</v>
      </c>
      <c r="AA4190" s="4">
        <v>69</v>
      </c>
      <c r="AB4190" s="4">
        <v>2</v>
      </c>
      <c r="AC4190" s="4">
        <v>10</v>
      </c>
      <c r="AD4190" s="4">
        <v>111</v>
      </c>
      <c r="AE4190" s="4">
        <v>126</v>
      </c>
      <c r="AF4190" s="4">
        <v>1</v>
      </c>
      <c r="AG4190" s="4">
        <v>6</v>
      </c>
      <c r="AH4190" s="4">
        <v>91</v>
      </c>
      <c r="AI4190" s="4">
        <v>98</v>
      </c>
      <c r="AJ4190" s="4">
        <v>23</v>
      </c>
      <c r="AK4190" s="4">
        <v>26</v>
      </c>
      <c r="AL4190" s="4">
        <v>48</v>
      </c>
      <c r="AM4190" s="4">
        <v>50</v>
      </c>
      <c r="AN4190" s="4">
        <v>0</v>
      </c>
      <c r="AO4190" s="4">
        <v>0</v>
      </c>
      <c r="AP4190" s="4">
        <v>27</v>
      </c>
      <c r="AQ4190" s="4">
        <v>35</v>
      </c>
      <c r="AR4190" s="3" t="s">
        <v>62</v>
      </c>
      <c r="AS4190" s="3" t="s">
        <v>62</v>
      </c>
      <c r="AT4190" s="3" t="s">
        <v>62</v>
      </c>
      <c r="AV4190" s="6" t="str">
        <f>HYPERLINK("http://mcgill.on.worldcat.org/oclc/37742265","Catalog Record")</f>
        <v>Catalog Record</v>
      </c>
      <c r="AW4190" s="6" t="str">
        <f>HYPERLINK("http://www.worldcat.org/oclc/37742265","WorldCat Record")</f>
        <v>WorldCat Record</v>
      </c>
      <c r="AX4190" s="3" t="s">
        <v>40339</v>
      </c>
      <c r="AY4190" s="3" t="s">
        <v>40340</v>
      </c>
      <c r="AZ4190" s="3" t="s">
        <v>40341</v>
      </c>
      <c r="BA4190" s="3" t="s">
        <v>40341</v>
      </c>
      <c r="BB4190" s="3" t="s">
        <v>40342</v>
      </c>
      <c r="BC4190" s="3" t="s">
        <v>142</v>
      </c>
      <c r="BD4190" s="3" t="s">
        <v>68</v>
      </c>
      <c r="BE4190" s="3" t="s">
        <v>40343</v>
      </c>
      <c r="BF4190" s="3" t="s">
        <v>40342</v>
      </c>
      <c r="BG4190" s="3" t="s">
        <v>40344</v>
      </c>
    </row>
    <row r="4191" spans="1:59" ht="57" x14ac:dyDescent="0.45">
      <c r="A4191" s="2" t="s">
        <v>59</v>
      </c>
      <c r="B4191" s="2" t="s">
        <v>60</v>
      </c>
      <c r="C4191" s="2" t="s">
        <v>40336</v>
      </c>
      <c r="D4191" s="2" t="s">
        <v>40337</v>
      </c>
      <c r="E4191" s="2" t="s">
        <v>40338</v>
      </c>
      <c r="G4191" s="3" t="s">
        <v>62</v>
      </c>
      <c r="I4191" s="3" t="s">
        <v>61</v>
      </c>
      <c r="J4191" s="3" t="s">
        <v>62</v>
      </c>
      <c r="K4191" s="3" t="s">
        <v>63</v>
      </c>
      <c r="M4191" s="2" t="s">
        <v>37441</v>
      </c>
      <c r="N4191" s="3" t="s">
        <v>1437</v>
      </c>
      <c r="P4191" s="3" t="s">
        <v>65</v>
      </c>
      <c r="R4191" s="3" t="s">
        <v>66</v>
      </c>
      <c r="S4191" s="4">
        <v>30</v>
      </c>
      <c r="T4191" s="4">
        <v>61</v>
      </c>
      <c r="U4191" s="5" t="s">
        <v>4406</v>
      </c>
      <c r="V4191" s="5" t="s">
        <v>4406</v>
      </c>
      <c r="W4191" s="5" t="s">
        <v>67</v>
      </c>
      <c r="X4191" s="5" t="s">
        <v>67</v>
      </c>
      <c r="Y4191" s="4">
        <v>319</v>
      </c>
      <c r="Z4191" s="4">
        <v>38</v>
      </c>
      <c r="AA4191" s="4">
        <v>69</v>
      </c>
      <c r="AB4191" s="4">
        <v>2</v>
      </c>
      <c r="AC4191" s="4">
        <v>10</v>
      </c>
      <c r="AD4191" s="4">
        <v>111</v>
      </c>
      <c r="AE4191" s="4">
        <v>126</v>
      </c>
      <c r="AF4191" s="4">
        <v>1</v>
      </c>
      <c r="AG4191" s="4">
        <v>6</v>
      </c>
      <c r="AH4191" s="4">
        <v>91</v>
      </c>
      <c r="AI4191" s="4">
        <v>98</v>
      </c>
      <c r="AJ4191" s="4">
        <v>23</v>
      </c>
      <c r="AK4191" s="4">
        <v>26</v>
      </c>
      <c r="AL4191" s="4">
        <v>48</v>
      </c>
      <c r="AM4191" s="4">
        <v>50</v>
      </c>
      <c r="AN4191" s="4">
        <v>0</v>
      </c>
      <c r="AO4191" s="4">
        <v>0</v>
      </c>
      <c r="AP4191" s="4">
        <v>27</v>
      </c>
      <c r="AQ4191" s="4">
        <v>35</v>
      </c>
      <c r="AR4191" s="3" t="s">
        <v>62</v>
      </c>
      <c r="AS4191" s="3" t="s">
        <v>62</v>
      </c>
      <c r="AT4191" s="3" t="s">
        <v>62</v>
      </c>
      <c r="AV4191" s="6" t="str">
        <f>HYPERLINK("http://mcgill.on.worldcat.org/oclc/37742265","Catalog Record")</f>
        <v>Catalog Record</v>
      </c>
      <c r="AW4191" s="6" t="str">
        <f>HYPERLINK("http://www.worldcat.org/oclc/37742265","WorldCat Record")</f>
        <v>WorldCat Record</v>
      </c>
      <c r="AX4191" s="3" t="s">
        <v>40339</v>
      </c>
      <c r="AY4191" s="3" t="s">
        <v>40340</v>
      </c>
      <c r="AZ4191" s="3" t="s">
        <v>40341</v>
      </c>
      <c r="BA4191" s="3" t="s">
        <v>40341</v>
      </c>
      <c r="BB4191" s="3" t="s">
        <v>40345</v>
      </c>
      <c r="BC4191" s="3" t="s">
        <v>142</v>
      </c>
      <c r="BD4191" s="3" t="s">
        <v>68</v>
      </c>
      <c r="BE4191" s="3" t="s">
        <v>40343</v>
      </c>
      <c r="BF4191" s="3" t="s">
        <v>40345</v>
      </c>
      <c r="BG4191" s="3" t="s">
        <v>40346</v>
      </c>
    </row>
    <row r="4192" spans="1:59" ht="57" x14ac:dyDescent="0.45">
      <c r="A4192" s="2" t="s">
        <v>59</v>
      </c>
      <c r="B4192" s="2" t="s">
        <v>60</v>
      </c>
      <c r="C4192" s="2" t="s">
        <v>40347</v>
      </c>
      <c r="D4192" s="2" t="s">
        <v>40348</v>
      </c>
      <c r="E4192" s="2" t="s">
        <v>40349</v>
      </c>
      <c r="G4192" s="3" t="s">
        <v>62</v>
      </c>
      <c r="I4192" s="3" t="s">
        <v>62</v>
      </c>
      <c r="J4192" s="3" t="s">
        <v>62</v>
      </c>
      <c r="K4192" s="3" t="s">
        <v>63</v>
      </c>
      <c r="M4192" s="2" t="s">
        <v>40350</v>
      </c>
      <c r="N4192" s="3" t="s">
        <v>125</v>
      </c>
      <c r="P4192" s="3" t="s">
        <v>65</v>
      </c>
      <c r="Q4192" s="2" t="s">
        <v>40351</v>
      </c>
      <c r="R4192" s="3" t="s">
        <v>66</v>
      </c>
      <c r="S4192" s="4">
        <v>20</v>
      </c>
      <c r="T4192" s="4">
        <v>20</v>
      </c>
      <c r="U4192" s="5" t="s">
        <v>11647</v>
      </c>
      <c r="V4192" s="5" t="s">
        <v>11647</v>
      </c>
      <c r="W4192" s="5" t="s">
        <v>67</v>
      </c>
      <c r="X4192" s="5" t="s">
        <v>67</v>
      </c>
      <c r="Y4192" s="4">
        <v>286</v>
      </c>
      <c r="Z4192" s="4">
        <v>16</v>
      </c>
      <c r="AA4192" s="4">
        <v>18</v>
      </c>
      <c r="AB4192" s="4">
        <v>2</v>
      </c>
      <c r="AC4192" s="4">
        <v>4</v>
      </c>
      <c r="AD4192" s="4">
        <v>90</v>
      </c>
      <c r="AE4192" s="4">
        <v>92</v>
      </c>
      <c r="AF4192" s="4">
        <v>1</v>
      </c>
      <c r="AG4192" s="4">
        <v>2</v>
      </c>
      <c r="AH4192" s="4">
        <v>82</v>
      </c>
      <c r="AI4192" s="4">
        <v>84</v>
      </c>
      <c r="AJ4192" s="4">
        <v>12</v>
      </c>
      <c r="AK4192" s="4">
        <v>13</v>
      </c>
      <c r="AL4192" s="4">
        <v>46</v>
      </c>
      <c r="AM4192" s="4">
        <v>46</v>
      </c>
      <c r="AN4192" s="4">
        <v>0</v>
      </c>
      <c r="AO4192" s="4">
        <v>0</v>
      </c>
      <c r="AP4192" s="4">
        <v>13</v>
      </c>
      <c r="AQ4192" s="4">
        <v>14</v>
      </c>
      <c r="AR4192" s="3" t="s">
        <v>62</v>
      </c>
      <c r="AS4192" s="3" t="s">
        <v>62</v>
      </c>
      <c r="AT4192" s="3" t="s">
        <v>61</v>
      </c>
      <c r="AU4192" s="6" t="str">
        <f>HYPERLINK("http://catalog.hathitrust.org/Record/003999411","HathiTrust Record")</f>
        <v>HathiTrust Record</v>
      </c>
      <c r="AV4192" s="6" t="str">
        <f>HYPERLINK("http://mcgill.on.worldcat.org/oclc/21410541","Catalog Record")</f>
        <v>Catalog Record</v>
      </c>
      <c r="AW4192" s="6" t="str">
        <f>HYPERLINK("http://www.worldcat.org/oclc/21410541","WorldCat Record")</f>
        <v>WorldCat Record</v>
      </c>
      <c r="AX4192" s="3" t="s">
        <v>40352</v>
      </c>
      <c r="AY4192" s="3" t="s">
        <v>40353</v>
      </c>
      <c r="AZ4192" s="3" t="s">
        <v>40354</v>
      </c>
      <c r="BA4192" s="3" t="s">
        <v>40354</v>
      </c>
      <c r="BB4192" s="3" t="s">
        <v>40355</v>
      </c>
      <c r="BC4192" s="3" t="s">
        <v>142</v>
      </c>
      <c r="BD4192" s="3" t="s">
        <v>68</v>
      </c>
      <c r="BE4192" s="3" t="s">
        <v>40356</v>
      </c>
      <c r="BF4192" s="3" t="s">
        <v>40355</v>
      </c>
      <c r="BG4192" s="3" t="s">
        <v>40357</v>
      </c>
    </row>
    <row r="4193" spans="1:59" ht="57" x14ac:dyDescent="0.45">
      <c r="A4193" s="2" t="s">
        <v>59</v>
      </c>
      <c r="B4193" s="2" t="s">
        <v>60</v>
      </c>
      <c r="C4193" s="2" t="s">
        <v>40358</v>
      </c>
      <c r="D4193" s="2" t="s">
        <v>40359</v>
      </c>
      <c r="E4193" s="2" t="s">
        <v>40360</v>
      </c>
      <c r="G4193" s="3" t="s">
        <v>62</v>
      </c>
      <c r="I4193" s="3" t="s">
        <v>62</v>
      </c>
      <c r="J4193" s="3" t="s">
        <v>62</v>
      </c>
      <c r="K4193" s="3" t="s">
        <v>63</v>
      </c>
      <c r="L4193" s="2" t="s">
        <v>40361</v>
      </c>
      <c r="M4193" s="2" t="s">
        <v>40362</v>
      </c>
      <c r="N4193" s="3" t="s">
        <v>542</v>
      </c>
      <c r="P4193" s="3" t="s">
        <v>65</v>
      </c>
      <c r="R4193" s="3" t="s">
        <v>66</v>
      </c>
      <c r="S4193" s="4">
        <v>41</v>
      </c>
      <c r="T4193" s="4">
        <v>41</v>
      </c>
      <c r="U4193" s="5" t="s">
        <v>4406</v>
      </c>
      <c r="V4193" s="5" t="s">
        <v>4406</v>
      </c>
      <c r="W4193" s="5" t="s">
        <v>67</v>
      </c>
      <c r="X4193" s="5" t="s">
        <v>67</v>
      </c>
      <c r="Y4193" s="4">
        <v>518</v>
      </c>
      <c r="Z4193" s="4">
        <v>30</v>
      </c>
      <c r="AA4193" s="4">
        <v>120</v>
      </c>
      <c r="AB4193" s="4">
        <v>3</v>
      </c>
      <c r="AC4193" s="4">
        <v>22</v>
      </c>
      <c r="AD4193" s="4">
        <v>95</v>
      </c>
      <c r="AE4193" s="4">
        <v>155</v>
      </c>
      <c r="AF4193" s="4">
        <v>1</v>
      </c>
      <c r="AG4193" s="4">
        <v>9</v>
      </c>
      <c r="AH4193" s="4">
        <v>84</v>
      </c>
      <c r="AI4193" s="4">
        <v>107</v>
      </c>
      <c r="AJ4193" s="4">
        <v>18</v>
      </c>
      <c r="AK4193" s="4">
        <v>28</v>
      </c>
      <c r="AL4193" s="4">
        <v>45</v>
      </c>
      <c r="AM4193" s="4">
        <v>56</v>
      </c>
      <c r="AN4193" s="4">
        <v>0</v>
      </c>
      <c r="AO4193" s="4">
        <v>0</v>
      </c>
      <c r="AP4193" s="4">
        <v>20</v>
      </c>
      <c r="AQ4193" s="4">
        <v>57</v>
      </c>
      <c r="AR4193" s="3" t="s">
        <v>62</v>
      </c>
      <c r="AS4193" s="3" t="s">
        <v>62</v>
      </c>
      <c r="AT4193" s="3" t="s">
        <v>62</v>
      </c>
      <c r="AV4193" s="6" t="str">
        <f>HYPERLINK("http://mcgill.on.worldcat.org/oclc/43311724","Catalog Record")</f>
        <v>Catalog Record</v>
      </c>
      <c r="AW4193" s="6" t="str">
        <f>HYPERLINK("http://www.worldcat.org/oclc/43311724","WorldCat Record")</f>
        <v>WorldCat Record</v>
      </c>
      <c r="AX4193" s="3" t="s">
        <v>40363</v>
      </c>
      <c r="AY4193" s="3" t="s">
        <v>40364</v>
      </c>
      <c r="AZ4193" s="3" t="s">
        <v>40365</v>
      </c>
      <c r="BA4193" s="3" t="s">
        <v>40365</v>
      </c>
      <c r="BB4193" s="3" t="s">
        <v>40366</v>
      </c>
      <c r="BC4193" s="3" t="s">
        <v>142</v>
      </c>
      <c r="BD4193" s="3" t="s">
        <v>68</v>
      </c>
      <c r="BE4193" s="3" t="s">
        <v>40367</v>
      </c>
      <c r="BF4193" s="3" t="s">
        <v>40366</v>
      </c>
      <c r="BG4193" s="3" t="s">
        <v>40368</v>
      </c>
    </row>
    <row r="4194" spans="1:59" ht="57" x14ac:dyDescent="0.45">
      <c r="A4194" s="2" t="s">
        <v>59</v>
      </c>
      <c r="B4194" s="2" t="s">
        <v>60</v>
      </c>
      <c r="C4194" s="2" t="s">
        <v>40369</v>
      </c>
      <c r="D4194" s="2" t="s">
        <v>40370</v>
      </c>
      <c r="E4194" s="2" t="s">
        <v>40371</v>
      </c>
      <c r="G4194" s="3" t="s">
        <v>62</v>
      </c>
      <c r="I4194" s="3" t="s">
        <v>62</v>
      </c>
      <c r="J4194" s="3" t="s">
        <v>62</v>
      </c>
      <c r="K4194" s="3" t="s">
        <v>63</v>
      </c>
      <c r="L4194" s="2" t="s">
        <v>40372</v>
      </c>
      <c r="M4194" s="2" t="s">
        <v>40373</v>
      </c>
      <c r="N4194" s="3" t="s">
        <v>1212</v>
      </c>
      <c r="P4194" s="3" t="s">
        <v>65</v>
      </c>
      <c r="Q4194" s="2" t="s">
        <v>40374</v>
      </c>
      <c r="R4194" s="3" t="s">
        <v>66</v>
      </c>
      <c r="S4194" s="4">
        <v>23</v>
      </c>
      <c r="T4194" s="4">
        <v>23</v>
      </c>
      <c r="U4194" s="5" t="s">
        <v>12351</v>
      </c>
      <c r="V4194" s="5" t="s">
        <v>12351</v>
      </c>
      <c r="W4194" s="5" t="s">
        <v>67</v>
      </c>
      <c r="X4194" s="5" t="s">
        <v>67</v>
      </c>
      <c r="Y4194" s="4">
        <v>387</v>
      </c>
      <c r="Z4194" s="4">
        <v>20</v>
      </c>
      <c r="AA4194" s="4">
        <v>32</v>
      </c>
      <c r="AB4194" s="4">
        <v>1</v>
      </c>
      <c r="AC4194" s="4">
        <v>4</v>
      </c>
      <c r="AD4194" s="4">
        <v>108</v>
      </c>
      <c r="AE4194" s="4">
        <v>118</v>
      </c>
      <c r="AF4194" s="4">
        <v>0</v>
      </c>
      <c r="AG4194" s="4">
        <v>1</v>
      </c>
      <c r="AH4194" s="4">
        <v>96</v>
      </c>
      <c r="AI4194" s="4">
        <v>103</v>
      </c>
      <c r="AJ4194" s="4">
        <v>15</v>
      </c>
      <c r="AK4194" s="4">
        <v>17</v>
      </c>
      <c r="AL4194" s="4">
        <v>52</v>
      </c>
      <c r="AM4194" s="4">
        <v>55</v>
      </c>
      <c r="AN4194" s="4">
        <v>0</v>
      </c>
      <c r="AO4194" s="4">
        <v>0</v>
      </c>
      <c r="AP4194" s="4">
        <v>17</v>
      </c>
      <c r="AQ4194" s="4">
        <v>22</v>
      </c>
      <c r="AR4194" s="3" t="s">
        <v>62</v>
      </c>
      <c r="AS4194" s="3" t="s">
        <v>62</v>
      </c>
      <c r="AT4194" s="3" t="s">
        <v>62</v>
      </c>
      <c r="AV4194" s="6" t="str">
        <f>HYPERLINK("http://mcgill.on.worldcat.org/oclc/43095827","Catalog Record")</f>
        <v>Catalog Record</v>
      </c>
      <c r="AW4194" s="6" t="str">
        <f>HYPERLINK("http://www.worldcat.org/oclc/43095827","WorldCat Record")</f>
        <v>WorldCat Record</v>
      </c>
      <c r="AX4194" s="3" t="s">
        <v>40375</v>
      </c>
      <c r="AY4194" s="3" t="s">
        <v>40376</v>
      </c>
      <c r="AZ4194" s="3" t="s">
        <v>40377</v>
      </c>
      <c r="BA4194" s="3" t="s">
        <v>40377</v>
      </c>
      <c r="BB4194" s="3" t="s">
        <v>40378</v>
      </c>
      <c r="BC4194" s="3" t="s">
        <v>142</v>
      </c>
      <c r="BD4194" s="3" t="s">
        <v>68</v>
      </c>
      <c r="BE4194" s="3" t="s">
        <v>40379</v>
      </c>
      <c r="BF4194" s="3" t="s">
        <v>40378</v>
      </c>
      <c r="BG4194" s="3" t="s">
        <v>40380</v>
      </c>
    </row>
    <row r="4195" spans="1:59" ht="57" x14ac:dyDescent="0.45">
      <c r="A4195" s="2" t="s">
        <v>59</v>
      </c>
      <c r="B4195" s="2" t="s">
        <v>60</v>
      </c>
      <c r="C4195" s="2" t="s">
        <v>40381</v>
      </c>
      <c r="D4195" s="2" t="s">
        <v>40382</v>
      </c>
      <c r="E4195" s="2" t="s">
        <v>40383</v>
      </c>
      <c r="G4195" s="3" t="s">
        <v>62</v>
      </c>
      <c r="I4195" s="3" t="s">
        <v>62</v>
      </c>
      <c r="J4195" s="3" t="s">
        <v>62</v>
      </c>
      <c r="K4195" s="3" t="s">
        <v>63</v>
      </c>
      <c r="M4195" s="2" t="s">
        <v>40384</v>
      </c>
      <c r="N4195" s="3" t="s">
        <v>167</v>
      </c>
      <c r="P4195" s="3" t="s">
        <v>65</v>
      </c>
      <c r="Q4195" s="2" t="s">
        <v>40385</v>
      </c>
      <c r="R4195" s="3" t="s">
        <v>66</v>
      </c>
      <c r="S4195" s="4">
        <v>10</v>
      </c>
      <c r="T4195" s="4">
        <v>10</v>
      </c>
      <c r="U4195" s="5" t="s">
        <v>971</v>
      </c>
      <c r="V4195" s="5" t="s">
        <v>971</v>
      </c>
      <c r="W4195" s="5" t="s">
        <v>67</v>
      </c>
      <c r="X4195" s="5" t="s">
        <v>67</v>
      </c>
      <c r="Y4195" s="4">
        <v>199</v>
      </c>
      <c r="Z4195" s="4">
        <v>13</v>
      </c>
      <c r="AA4195" s="4">
        <v>99</v>
      </c>
      <c r="AB4195" s="4">
        <v>1</v>
      </c>
      <c r="AC4195" s="4">
        <v>17</v>
      </c>
      <c r="AD4195" s="4">
        <v>74</v>
      </c>
      <c r="AE4195" s="4">
        <v>129</v>
      </c>
      <c r="AF4195" s="4">
        <v>0</v>
      </c>
      <c r="AG4195" s="4">
        <v>8</v>
      </c>
      <c r="AH4195" s="4">
        <v>67</v>
      </c>
      <c r="AI4195" s="4">
        <v>94</v>
      </c>
      <c r="AJ4195" s="4">
        <v>8</v>
      </c>
      <c r="AK4195" s="4">
        <v>23</v>
      </c>
      <c r="AL4195" s="4">
        <v>40</v>
      </c>
      <c r="AM4195" s="4">
        <v>48</v>
      </c>
      <c r="AN4195" s="4">
        <v>0</v>
      </c>
      <c r="AO4195" s="4">
        <v>0</v>
      </c>
      <c r="AP4195" s="4">
        <v>10</v>
      </c>
      <c r="AQ4195" s="4">
        <v>44</v>
      </c>
      <c r="AR4195" s="3" t="s">
        <v>62</v>
      </c>
      <c r="AS4195" s="3" t="s">
        <v>62</v>
      </c>
      <c r="AT4195" s="3" t="s">
        <v>62</v>
      </c>
      <c r="AV4195" s="6" t="str">
        <f>HYPERLINK("http://mcgill.on.worldcat.org/oclc/41035511","Catalog Record")</f>
        <v>Catalog Record</v>
      </c>
      <c r="AW4195" s="6" t="str">
        <f>HYPERLINK("http://www.worldcat.org/oclc/41035511","WorldCat Record")</f>
        <v>WorldCat Record</v>
      </c>
      <c r="AX4195" s="3" t="s">
        <v>40386</v>
      </c>
      <c r="AY4195" s="3" t="s">
        <v>40387</v>
      </c>
      <c r="AZ4195" s="3" t="s">
        <v>40388</v>
      </c>
      <c r="BA4195" s="3" t="s">
        <v>40388</v>
      </c>
      <c r="BB4195" s="3" t="s">
        <v>40389</v>
      </c>
      <c r="BC4195" s="3" t="s">
        <v>142</v>
      </c>
      <c r="BD4195" s="3" t="s">
        <v>68</v>
      </c>
      <c r="BE4195" s="3" t="s">
        <v>40390</v>
      </c>
      <c r="BF4195" s="3" t="s">
        <v>40389</v>
      </c>
      <c r="BG4195" s="3" t="s">
        <v>40391</v>
      </c>
    </row>
    <row r="4196" spans="1:59" ht="57" x14ac:dyDescent="0.45">
      <c r="A4196" s="2" t="s">
        <v>59</v>
      </c>
      <c r="B4196" s="2" t="s">
        <v>60</v>
      </c>
      <c r="C4196" s="2" t="s">
        <v>40392</v>
      </c>
      <c r="D4196" s="2" t="s">
        <v>40393</v>
      </c>
      <c r="E4196" s="2" t="s">
        <v>40394</v>
      </c>
      <c r="G4196" s="3" t="s">
        <v>62</v>
      </c>
      <c r="I4196" s="3" t="s">
        <v>62</v>
      </c>
      <c r="J4196" s="3" t="s">
        <v>62</v>
      </c>
      <c r="K4196" s="3" t="s">
        <v>63</v>
      </c>
      <c r="L4196" s="2" t="s">
        <v>40395</v>
      </c>
      <c r="M4196" s="2" t="s">
        <v>40396</v>
      </c>
      <c r="N4196" s="3" t="s">
        <v>122</v>
      </c>
      <c r="P4196" s="3" t="s">
        <v>65</v>
      </c>
      <c r="R4196" s="3" t="s">
        <v>66</v>
      </c>
      <c r="S4196" s="4">
        <v>12</v>
      </c>
      <c r="T4196" s="4">
        <v>12</v>
      </c>
      <c r="U4196" s="5" t="s">
        <v>1134</v>
      </c>
      <c r="V4196" s="5" t="s">
        <v>1134</v>
      </c>
      <c r="W4196" s="5" t="s">
        <v>67</v>
      </c>
      <c r="X4196" s="5" t="s">
        <v>67</v>
      </c>
      <c r="Y4196" s="4">
        <v>220</v>
      </c>
      <c r="Z4196" s="4">
        <v>17</v>
      </c>
      <c r="AA4196" s="4">
        <v>17</v>
      </c>
      <c r="AB4196" s="4">
        <v>2</v>
      </c>
      <c r="AC4196" s="4">
        <v>2</v>
      </c>
      <c r="AD4196" s="4">
        <v>86</v>
      </c>
      <c r="AE4196" s="4">
        <v>86</v>
      </c>
      <c r="AF4196" s="4">
        <v>1</v>
      </c>
      <c r="AG4196" s="4">
        <v>1</v>
      </c>
      <c r="AH4196" s="4">
        <v>76</v>
      </c>
      <c r="AI4196" s="4">
        <v>76</v>
      </c>
      <c r="AJ4196" s="4">
        <v>13</v>
      </c>
      <c r="AK4196" s="4">
        <v>13</v>
      </c>
      <c r="AL4196" s="4">
        <v>44</v>
      </c>
      <c r="AM4196" s="4">
        <v>44</v>
      </c>
      <c r="AN4196" s="4">
        <v>0</v>
      </c>
      <c r="AO4196" s="4">
        <v>0</v>
      </c>
      <c r="AP4196" s="4">
        <v>14</v>
      </c>
      <c r="AQ4196" s="4">
        <v>14</v>
      </c>
      <c r="AR4196" s="3" t="s">
        <v>62</v>
      </c>
      <c r="AS4196" s="3" t="s">
        <v>62</v>
      </c>
      <c r="AT4196" s="3" t="s">
        <v>62</v>
      </c>
      <c r="AV4196" s="6" t="str">
        <f>HYPERLINK("http://mcgill.on.worldcat.org/oclc/3380010","Catalog Record")</f>
        <v>Catalog Record</v>
      </c>
      <c r="AW4196" s="6" t="str">
        <f>HYPERLINK("http://www.worldcat.org/oclc/3380010","WorldCat Record")</f>
        <v>WorldCat Record</v>
      </c>
      <c r="AX4196" s="3" t="s">
        <v>40397</v>
      </c>
      <c r="AY4196" s="3" t="s">
        <v>40398</v>
      </c>
      <c r="AZ4196" s="3" t="s">
        <v>40399</v>
      </c>
      <c r="BA4196" s="3" t="s">
        <v>40399</v>
      </c>
      <c r="BB4196" s="3" t="s">
        <v>40400</v>
      </c>
      <c r="BC4196" s="3" t="s">
        <v>142</v>
      </c>
      <c r="BD4196" s="3" t="s">
        <v>68</v>
      </c>
      <c r="BE4196" s="3" t="s">
        <v>40401</v>
      </c>
      <c r="BF4196" s="3" t="s">
        <v>40400</v>
      </c>
      <c r="BG4196" s="3" t="s">
        <v>40402</v>
      </c>
    </row>
    <row r="4197" spans="1:59" ht="57" x14ac:dyDescent="0.45">
      <c r="A4197" s="2" t="s">
        <v>59</v>
      </c>
      <c r="B4197" s="2" t="s">
        <v>60</v>
      </c>
      <c r="C4197" s="2" t="s">
        <v>40403</v>
      </c>
      <c r="D4197" s="2" t="s">
        <v>40404</v>
      </c>
      <c r="E4197" s="2" t="s">
        <v>40405</v>
      </c>
      <c r="G4197" s="3" t="s">
        <v>62</v>
      </c>
      <c r="I4197" s="3" t="s">
        <v>62</v>
      </c>
      <c r="J4197" s="3" t="s">
        <v>62</v>
      </c>
      <c r="K4197" s="3" t="s">
        <v>63</v>
      </c>
      <c r="M4197" s="2" t="s">
        <v>6056</v>
      </c>
      <c r="N4197" s="3" t="s">
        <v>945</v>
      </c>
      <c r="P4197" s="3" t="s">
        <v>65</v>
      </c>
      <c r="Q4197" s="2" t="s">
        <v>40406</v>
      </c>
      <c r="R4197" s="3" t="s">
        <v>66</v>
      </c>
      <c r="S4197" s="4">
        <v>3</v>
      </c>
      <c r="T4197" s="4">
        <v>3</v>
      </c>
      <c r="U4197" s="5" t="s">
        <v>25530</v>
      </c>
      <c r="V4197" s="5" t="s">
        <v>25530</v>
      </c>
      <c r="W4197" s="5" t="s">
        <v>67</v>
      </c>
      <c r="X4197" s="5" t="s">
        <v>67</v>
      </c>
      <c r="Y4197" s="4">
        <v>103</v>
      </c>
      <c r="Z4197" s="4">
        <v>12</v>
      </c>
      <c r="AA4197" s="4">
        <v>98</v>
      </c>
      <c r="AB4197" s="4">
        <v>1</v>
      </c>
      <c r="AC4197" s="4">
        <v>17</v>
      </c>
      <c r="AD4197" s="4">
        <v>47</v>
      </c>
      <c r="AE4197" s="4">
        <v>117</v>
      </c>
      <c r="AF4197" s="4">
        <v>0</v>
      </c>
      <c r="AG4197" s="4">
        <v>8</v>
      </c>
      <c r="AH4197" s="4">
        <v>43</v>
      </c>
      <c r="AI4197" s="4">
        <v>81</v>
      </c>
      <c r="AJ4197" s="4">
        <v>8</v>
      </c>
      <c r="AK4197" s="4">
        <v>21</v>
      </c>
      <c r="AL4197" s="4">
        <v>28</v>
      </c>
      <c r="AM4197" s="4">
        <v>43</v>
      </c>
      <c r="AN4197" s="4">
        <v>0</v>
      </c>
      <c r="AO4197" s="4">
        <v>0</v>
      </c>
      <c r="AP4197" s="4">
        <v>9</v>
      </c>
      <c r="AQ4197" s="4">
        <v>43</v>
      </c>
      <c r="AR4197" s="3" t="s">
        <v>62</v>
      </c>
      <c r="AS4197" s="3" t="s">
        <v>62</v>
      </c>
      <c r="AT4197" s="3" t="s">
        <v>62</v>
      </c>
      <c r="AV4197" s="6" t="str">
        <f>HYPERLINK("http://mcgill.on.worldcat.org/oclc/77333637","Catalog Record")</f>
        <v>Catalog Record</v>
      </c>
      <c r="AW4197" s="6" t="str">
        <f>HYPERLINK("http://www.worldcat.org/oclc/77333637","WorldCat Record")</f>
        <v>WorldCat Record</v>
      </c>
      <c r="AX4197" s="3" t="s">
        <v>40407</v>
      </c>
      <c r="AY4197" s="3" t="s">
        <v>40408</v>
      </c>
      <c r="AZ4197" s="3" t="s">
        <v>40409</v>
      </c>
      <c r="BA4197" s="3" t="s">
        <v>40409</v>
      </c>
      <c r="BB4197" s="3" t="s">
        <v>40410</v>
      </c>
      <c r="BC4197" s="3" t="s">
        <v>142</v>
      </c>
      <c r="BD4197" s="3" t="s">
        <v>68</v>
      </c>
      <c r="BE4197" s="3" t="s">
        <v>40411</v>
      </c>
      <c r="BF4197" s="3" t="s">
        <v>40410</v>
      </c>
      <c r="BG4197" s="3" t="s">
        <v>40412</v>
      </c>
    </row>
    <row r="4198" spans="1:59" ht="57" x14ac:dyDescent="0.45">
      <c r="A4198" s="2" t="s">
        <v>59</v>
      </c>
      <c r="B4198" s="2" t="s">
        <v>60</v>
      </c>
      <c r="C4198" s="2" t="s">
        <v>40413</v>
      </c>
      <c r="D4198" s="2" t="s">
        <v>40414</v>
      </c>
      <c r="E4198" s="2" t="s">
        <v>40415</v>
      </c>
      <c r="G4198" s="3" t="s">
        <v>62</v>
      </c>
      <c r="I4198" s="3" t="s">
        <v>62</v>
      </c>
      <c r="J4198" s="3" t="s">
        <v>62</v>
      </c>
      <c r="K4198" s="3" t="s">
        <v>63</v>
      </c>
      <c r="L4198" s="2" t="s">
        <v>40416</v>
      </c>
      <c r="M4198" s="2" t="s">
        <v>9667</v>
      </c>
      <c r="N4198" s="3" t="s">
        <v>894</v>
      </c>
      <c r="P4198" s="3" t="s">
        <v>65</v>
      </c>
      <c r="R4198" s="3" t="s">
        <v>66</v>
      </c>
      <c r="S4198" s="4">
        <v>2</v>
      </c>
      <c r="T4198" s="4">
        <v>2</v>
      </c>
      <c r="U4198" s="5" t="s">
        <v>40417</v>
      </c>
      <c r="V4198" s="5" t="s">
        <v>40417</v>
      </c>
      <c r="W4198" s="5" t="s">
        <v>67</v>
      </c>
      <c r="X4198" s="5" t="s">
        <v>67</v>
      </c>
      <c r="Y4198" s="4">
        <v>131</v>
      </c>
      <c r="Z4198" s="4">
        <v>11</v>
      </c>
      <c r="AA4198" s="4">
        <v>76</v>
      </c>
      <c r="AB4198" s="4">
        <v>2</v>
      </c>
      <c r="AC4198" s="4">
        <v>15</v>
      </c>
      <c r="AD4198" s="4">
        <v>37</v>
      </c>
      <c r="AE4198" s="4">
        <v>94</v>
      </c>
      <c r="AF4198" s="4">
        <v>1</v>
      </c>
      <c r="AG4198" s="4">
        <v>8</v>
      </c>
      <c r="AH4198" s="4">
        <v>32</v>
      </c>
      <c r="AI4198" s="4">
        <v>62</v>
      </c>
      <c r="AJ4198" s="4">
        <v>10</v>
      </c>
      <c r="AK4198" s="4">
        <v>21</v>
      </c>
      <c r="AL4198" s="4">
        <v>19</v>
      </c>
      <c r="AM4198" s="4">
        <v>32</v>
      </c>
      <c r="AN4198" s="4">
        <v>0</v>
      </c>
      <c r="AO4198" s="4">
        <v>0</v>
      </c>
      <c r="AP4198" s="4">
        <v>10</v>
      </c>
      <c r="AQ4198" s="4">
        <v>40</v>
      </c>
      <c r="AR4198" s="3" t="s">
        <v>62</v>
      </c>
      <c r="AS4198" s="3" t="s">
        <v>62</v>
      </c>
      <c r="AT4198" s="3" t="s">
        <v>62</v>
      </c>
      <c r="AV4198" s="6" t="str">
        <f>HYPERLINK("http://mcgill.on.worldcat.org/oclc/707967679","Catalog Record")</f>
        <v>Catalog Record</v>
      </c>
      <c r="AW4198" s="6" t="str">
        <f>HYPERLINK("http://www.worldcat.org/oclc/707967679","WorldCat Record")</f>
        <v>WorldCat Record</v>
      </c>
      <c r="AX4198" s="3" t="s">
        <v>40418</v>
      </c>
      <c r="AY4198" s="3" t="s">
        <v>40419</v>
      </c>
      <c r="AZ4198" s="3" t="s">
        <v>40420</v>
      </c>
      <c r="BA4198" s="3" t="s">
        <v>40420</v>
      </c>
      <c r="BB4198" s="3" t="s">
        <v>40421</v>
      </c>
      <c r="BC4198" s="3" t="s">
        <v>142</v>
      </c>
      <c r="BD4198" s="3" t="s">
        <v>68</v>
      </c>
      <c r="BE4198" s="3" t="s">
        <v>40422</v>
      </c>
      <c r="BF4198" s="3" t="s">
        <v>40421</v>
      </c>
      <c r="BG4198" s="3" t="s">
        <v>40423</v>
      </c>
    </row>
    <row r="4199" spans="1:59" ht="57" x14ac:dyDescent="0.45">
      <c r="A4199" s="2" t="s">
        <v>59</v>
      </c>
      <c r="B4199" s="2" t="s">
        <v>60</v>
      </c>
      <c r="C4199" s="2" t="s">
        <v>40424</v>
      </c>
      <c r="D4199" s="2" t="s">
        <v>40425</v>
      </c>
      <c r="E4199" s="2" t="s">
        <v>40426</v>
      </c>
      <c r="G4199" s="3" t="s">
        <v>62</v>
      </c>
      <c r="I4199" s="3" t="s">
        <v>62</v>
      </c>
      <c r="J4199" s="3" t="s">
        <v>62</v>
      </c>
      <c r="K4199" s="3" t="s">
        <v>63</v>
      </c>
      <c r="L4199" s="2" t="s">
        <v>3278</v>
      </c>
      <c r="M4199" s="2" t="s">
        <v>40427</v>
      </c>
      <c r="N4199" s="3" t="s">
        <v>84</v>
      </c>
      <c r="P4199" s="3" t="s">
        <v>65</v>
      </c>
      <c r="R4199" s="3" t="s">
        <v>66</v>
      </c>
      <c r="S4199" s="4">
        <v>24</v>
      </c>
      <c r="T4199" s="4">
        <v>24</v>
      </c>
      <c r="U4199" s="5" t="s">
        <v>31134</v>
      </c>
      <c r="V4199" s="5" t="s">
        <v>31134</v>
      </c>
      <c r="W4199" s="5" t="s">
        <v>67</v>
      </c>
      <c r="X4199" s="5" t="s">
        <v>67</v>
      </c>
      <c r="Y4199" s="4">
        <v>216</v>
      </c>
      <c r="Z4199" s="4">
        <v>13</v>
      </c>
      <c r="AA4199" s="4">
        <v>16</v>
      </c>
      <c r="AB4199" s="4">
        <v>1</v>
      </c>
      <c r="AC4199" s="4">
        <v>4</v>
      </c>
      <c r="AD4199" s="4">
        <v>78</v>
      </c>
      <c r="AE4199" s="4">
        <v>80</v>
      </c>
      <c r="AF4199" s="4">
        <v>0</v>
      </c>
      <c r="AG4199" s="4">
        <v>2</v>
      </c>
      <c r="AH4199" s="4">
        <v>74</v>
      </c>
      <c r="AI4199" s="4">
        <v>75</v>
      </c>
      <c r="AJ4199" s="4">
        <v>10</v>
      </c>
      <c r="AK4199" s="4">
        <v>12</v>
      </c>
      <c r="AL4199" s="4">
        <v>43</v>
      </c>
      <c r="AM4199" s="4">
        <v>43</v>
      </c>
      <c r="AN4199" s="4">
        <v>0</v>
      </c>
      <c r="AO4199" s="4">
        <v>0</v>
      </c>
      <c r="AP4199" s="4">
        <v>10</v>
      </c>
      <c r="AQ4199" s="4">
        <v>12</v>
      </c>
      <c r="AR4199" s="3" t="s">
        <v>62</v>
      </c>
      <c r="AS4199" s="3" t="s">
        <v>62</v>
      </c>
      <c r="AT4199" s="3" t="s">
        <v>62</v>
      </c>
      <c r="AV4199" s="6" t="str">
        <f>HYPERLINK("http://mcgill.on.worldcat.org/oclc/25789139","Catalog Record")</f>
        <v>Catalog Record</v>
      </c>
      <c r="AW4199" s="6" t="str">
        <f>HYPERLINK("http://www.worldcat.org/oclc/25789139","WorldCat Record")</f>
        <v>WorldCat Record</v>
      </c>
      <c r="AX4199" s="3" t="s">
        <v>40428</v>
      </c>
      <c r="AY4199" s="3" t="s">
        <v>40429</v>
      </c>
      <c r="AZ4199" s="3" t="s">
        <v>40430</v>
      </c>
      <c r="BA4199" s="3" t="s">
        <v>40430</v>
      </c>
      <c r="BB4199" s="3" t="s">
        <v>40431</v>
      </c>
      <c r="BC4199" s="3" t="s">
        <v>142</v>
      </c>
      <c r="BD4199" s="3" t="s">
        <v>68</v>
      </c>
      <c r="BE4199" s="3" t="s">
        <v>40432</v>
      </c>
      <c r="BF4199" s="3" t="s">
        <v>40431</v>
      </c>
      <c r="BG4199" s="3" t="s">
        <v>40433</v>
      </c>
    </row>
    <row r="4200" spans="1:59" ht="57" x14ac:dyDescent="0.45">
      <c r="A4200" s="2" t="s">
        <v>59</v>
      </c>
      <c r="B4200" s="2" t="s">
        <v>60</v>
      </c>
      <c r="C4200" s="2" t="s">
        <v>40434</v>
      </c>
      <c r="D4200" s="2" t="s">
        <v>40435</v>
      </c>
      <c r="E4200" s="2" t="s">
        <v>40436</v>
      </c>
      <c r="G4200" s="3" t="s">
        <v>62</v>
      </c>
      <c r="I4200" s="3" t="s">
        <v>62</v>
      </c>
      <c r="J4200" s="3" t="s">
        <v>62</v>
      </c>
      <c r="K4200" s="3" t="s">
        <v>63</v>
      </c>
      <c r="M4200" s="2" t="s">
        <v>32796</v>
      </c>
      <c r="N4200" s="3" t="s">
        <v>149</v>
      </c>
      <c r="P4200" s="3" t="s">
        <v>65</v>
      </c>
      <c r="Q4200" s="2" t="s">
        <v>3375</v>
      </c>
      <c r="R4200" s="3" t="s">
        <v>66</v>
      </c>
      <c r="S4200" s="4">
        <v>3</v>
      </c>
      <c r="T4200" s="4">
        <v>3</v>
      </c>
      <c r="U4200" s="5" t="s">
        <v>2861</v>
      </c>
      <c r="V4200" s="5" t="s">
        <v>2861</v>
      </c>
      <c r="W4200" s="5" t="s">
        <v>67</v>
      </c>
      <c r="X4200" s="5" t="s">
        <v>67</v>
      </c>
      <c r="Y4200" s="4">
        <v>127</v>
      </c>
      <c r="Z4200" s="4">
        <v>12</v>
      </c>
      <c r="AA4200" s="4">
        <v>12</v>
      </c>
      <c r="AB4200" s="4">
        <v>1</v>
      </c>
      <c r="AC4200" s="4">
        <v>1</v>
      </c>
      <c r="AD4200" s="4">
        <v>54</v>
      </c>
      <c r="AE4200" s="4">
        <v>54</v>
      </c>
      <c r="AF4200" s="4">
        <v>0</v>
      </c>
      <c r="AG4200" s="4">
        <v>0</v>
      </c>
      <c r="AH4200" s="4">
        <v>51</v>
      </c>
      <c r="AI4200" s="4">
        <v>51</v>
      </c>
      <c r="AJ4200" s="4">
        <v>8</v>
      </c>
      <c r="AK4200" s="4">
        <v>8</v>
      </c>
      <c r="AL4200" s="4">
        <v>32</v>
      </c>
      <c r="AM4200" s="4">
        <v>32</v>
      </c>
      <c r="AN4200" s="4">
        <v>0</v>
      </c>
      <c r="AO4200" s="4">
        <v>0</v>
      </c>
      <c r="AP4200" s="4">
        <v>8</v>
      </c>
      <c r="AQ4200" s="4">
        <v>8</v>
      </c>
      <c r="AR4200" s="3" t="s">
        <v>62</v>
      </c>
      <c r="AS4200" s="3" t="s">
        <v>62</v>
      </c>
      <c r="AT4200" s="3" t="s">
        <v>62</v>
      </c>
      <c r="AV4200" s="6" t="str">
        <f>HYPERLINK("http://mcgill.on.worldcat.org/oclc/468976191","Catalog Record")</f>
        <v>Catalog Record</v>
      </c>
      <c r="AW4200" s="6" t="str">
        <f>HYPERLINK("http://www.worldcat.org/oclc/468976191","WorldCat Record")</f>
        <v>WorldCat Record</v>
      </c>
      <c r="AX4200" s="3" t="s">
        <v>40437</v>
      </c>
      <c r="AY4200" s="3" t="s">
        <v>40438</v>
      </c>
      <c r="AZ4200" s="3" t="s">
        <v>40439</v>
      </c>
      <c r="BA4200" s="3" t="s">
        <v>40439</v>
      </c>
      <c r="BB4200" s="3" t="s">
        <v>40440</v>
      </c>
      <c r="BC4200" s="3" t="s">
        <v>142</v>
      </c>
      <c r="BD4200" s="3" t="s">
        <v>68</v>
      </c>
      <c r="BE4200" s="3" t="s">
        <v>40441</v>
      </c>
      <c r="BF4200" s="3" t="s">
        <v>40440</v>
      </c>
      <c r="BG4200" s="3" t="s">
        <v>40442</v>
      </c>
    </row>
    <row r="4201" spans="1:59" ht="57" x14ac:dyDescent="0.45">
      <c r="A4201" s="2" t="s">
        <v>59</v>
      </c>
      <c r="B4201" s="2" t="s">
        <v>60</v>
      </c>
      <c r="C4201" s="2" t="s">
        <v>40443</v>
      </c>
      <c r="D4201" s="2" t="s">
        <v>40444</v>
      </c>
      <c r="E4201" s="2" t="s">
        <v>40445</v>
      </c>
      <c r="G4201" s="3" t="s">
        <v>62</v>
      </c>
      <c r="I4201" s="3" t="s">
        <v>62</v>
      </c>
      <c r="J4201" s="3" t="s">
        <v>62</v>
      </c>
      <c r="K4201" s="3" t="s">
        <v>63</v>
      </c>
      <c r="M4201" s="2" t="s">
        <v>3828</v>
      </c>
      <c r="N4201" s="3" t="s">
        <v>820</v>
      </c>
      <c r="P4201" s="3" t="s">
        <v>65</v>
      </c>
      <c r="R4201" s="3" t="s">
        <v>66</v>
      </c>
      <c r="S4201" s="4">
        <v>7</v>
      </c>
      <c r="T4201" s="4">
        <v>7</v>
      </c>
      <c r="U4201" s="5" t="s">
        <v>6272</v>
      </c>
      <c r="V4201" s="5" t="s">
        <v>6272</v>
      </c>
      <c r="W4201" s="5" t="s">
        <v>67</v>
      </c>
      <c r="X4201" s="5" t="s">
        <v>67</v>
      </c>
      <c r="Y4201" s="4">
        <v>185</v>
      </c>
      <c r="Z4201" s="4">
        <v>20</v>
      </c>
      <c r="AA4201" s="4">
        <v>97</v>
      </c>
      <c r="AB4201" s="4">
        <v>2</v>
      </c>
      <c r="AC4201" s="4">
        <v>17</v>
      </c>
      <c r="AD4201" s="4">
        <v>77</v>
      </c>
      <c r="AE4201" s="4">
        <v>126</v>
      </c>
      <c r="AF4201" s="4">
        <v>1</v>
      </c>
      <c r="AG4201" s="4">
        <v>8</v>
      </c>
      <c r="AH4201" s="4">
        <v>69</v>
      </c>
      <c r="AI4201" s="4">
        <v>90</v>
      </c>
      <c r="AJ4201" s="4">
        <v>15</v>
      </c>
      <c r="AK4201" s="4">
        <v>23</v>
      </c>
      <c r="AL4201" s="4">
        <v>41</v>
      </c>
      <c r="AM4201" s="4">
        <v>49</v>
      </c>
      <c r="AN4201" s="4">
        <v>0</v>
      </c>
      <c r="AO4201" s="4">
        <v>0</v>
      </c>
      <c r="AP4201" s="4">
        <v>16</v>
      </c>
      <c r="AQ4201" s="4">
        <v>45</v>
      </c>
      <c r="AR4201" s="3" t="s">
        <v>62</v>
      </c>
      <c r="AS4201" s="3" t="s">
        <v>62</v>
      </c>
      <c r="AT4201" s="3" t="s">
        <v>62</v>
      </c>
      <c r="AV4201" s="6" t="str">
        <f>HYPERLINK("http://mcgill.on.worldcat.org/oclc/212847586","Catalog Record")</f>
        <v>Catalog Record</v>
      </c>
      <c r="AW4201" s="6" t="str">
        <f>HYPERLINK("http://www.worldcat.org/oclc/212847586","WorldCat Record")</f>
        <v>WorldCat Record</v>
      </c>
      <c r="AX4201" s="3" t="s">
        <v>40446</v>
      </c>
      <c r="AY4201" s="3" t="s">
        <v>40447</v>
      </c>
      <c r="AZ4201" s="3" t="s">
        <v>40448</v>
      </c>
      <c r="BA4201" s="3" t="s">
        <v>40448</v>
      </c>
      <c r="BB4201" s="3" t="s">
        <v>40449</v>
      </c>
      <c r="BC4201" s="3" t="s">
        <v>142</v>
      </c>
      <c r="BD4201" s="3" t="s">
        <v>308</v>
      </c>
      <c r="BE4201" s="3" t="s">
        <v>40450</v>
      </c>
      <c r="BF4201" s="3" t="s">
        <v>40449</v>
      </c>
      <c r="BG4201" s="3" t="s">
        <v>40451</v>
      </c>
    </row>
    <row r="4202" spans="1:59" ht="57" x14ac:dyDescent="0.45">
      <c r="A4202" s="2" t="s">
        <v>59</v>
      </c>
      <c r="B4202" s="2" t="s">
        <v>60</v>
      </c>
      <c r="C4202" s="2" t="s">
        <v>40452</v>
      </c>
      <c r="D4202" s="2" t="s">
        <v>40453</v>
      </c>
      <c r="E4202" s="2" t="s">
        <v>40454</v>
      </c>
      <c r="G4202" s="3" t="s">
        <v>62</v>
      </c>
      <c r="I4202" s="3" t="s">
        <v>62</v>
      </c>
      <c r="J4202" s="3" t="s">
        <v>62</v>
      </c>
      <c r="K4202" s="3" t="s">
        <v>63</v>
      </c>
      <c r="M4202" s="2" t="s">
        <v>9755</v>
      </c>
      <c r="N4202" s="3" t="s">
        <v>1155</v>
      </c>
      <c r="P4202" s="3" t="s">
        <v>65</v>
      </c>
      <c r="Q4202" s="2" t="s">
        <v>40455</v>
      </c>
      <c r="R4202" s="3" t="s">
        <v>66</v>
      </c>
      <c r="S4202" s="4">
        <v>1</v>
      </c>
      <c r="T4202" s="4">
        <v>1</v>
      </c>
      <c r="U4202" s="5" t="s">
        <v>32213</v>
      </c>
      <c r="V4202" s="5" t="s">
        <v>32213</v>
      </c>
      <c r="W4202" s="5" t="s">
        <v>67</v>
      </c>
      <c r="X4202" s="5" t="s">
        <v>67</v>
      </c>
      <c r="Y4202" s="4">
        <v>146</v>
      </c>
      <c r="Z4202" s="4">
        <v>15</v>
      </c>
      <c r="AA4202" s="4">
        <v>82</v>
      </c>
      <c r="AB4202" s="4">
        <v>1</v>
      </c>
      <c r="AC4202" s="4">
        <v>15</v>
      </c>
      <c r="AD4202" s="4">
        <v>59</v>
      </c>
      <c r="AE4202" s="4">
        <v>119</v>
      </c>
      <c r="AF4202" s="4">
        <v>0</v>
      </c>
      <c r="AG4202" s="4">
        <v>8</v>
      </c>
      <c r="AH4202" s="4">
        <v>54</v>
      </c>
      <c r="AI4202" s="4">
        <v>84</v>
      </c>
      <c r="AJ4202" s="4">
        <v>12</v>
      </c>
      <c r="AK4202" s="4">
        <v>25</v>
      </c>
      <c r="AL4202" s="4">
        <v>36</v>
      </c>
      <c r="AM4202" s="4">
        <v>47</v>
      </c>
      <c r="AN4202" s="4">
        <v>0</v>
      </c>
      <c r="AO4202" s="4">
        <v>0</v>
      </c>
      <c r="AP4202" s="4">
        <v>12</v>
      </c>
      <c r="AQ4202" s="4">
        <v>44</v>
      </c>
      <c r="AR4202" s="3" t="s">
        <v>62</v>
      </c>
      <c r="AS4202" s="3" t="s">
        <v>62</v>
      </c>
      <c r="AT4202" s="3" t="s">
        <v>62</v>
      </c>
      <c r="AV4202" s="6" t="str">
        <f>HYPERLINK("http://mcgill.on.worldcat.org/oclc/666242889","Catalog Record")</f>
        <v>Catalog Record</v>
      </c>
      <c r="AW4202" s="6" t="str">
        <f>HYPERLINK("http://www.worldcat.org/oclc/666242889","WorldCat Record")</f>
        <v>WorldCat Record</v>
      </c>
      <c r="AX4202" s="3" t="s">
        <v>40456</v>
      </c>
      <c r="AY4202" s="3" t="s">
        <v>40457</v>
      </c>
      <c r="AZ4202" s="3" t="s">
        <v>40458</v>
      </c>
      <c r="BA4202" s="3" t="s">
        <v>40458</v>
      </c>
      <c r="BB4202" s="3" t="s">
        <v>40459</v>
      </c>
      <c r="BC4202" s="3" t="s">
        <v>142</v>
      </c>
      <c r="BD4202" s="3" t="s">
        <v>8544</v>
      </c>
      <c r="BE4202" s="3" t="s">
        <v>40460</v>
      </c>
      <c r="BF4202" s="3" t="s">
        <v>40459</v>
      </c>
      <c r="BG4202" s="3" t="s">
        <v>40461</v>
      </c>
    </row>
    <row r="4203" spans="1:59" ht="57" x14ac:dyDescent="0.45">
      <c r="A4203" s="2" t="s">
        <v>59</v>
      </c>
      <c r="B4203" s="2" t="s">
        <v>60</v>
      </c>
      <c r="C4203" s="2" t="s">
        <v>40462</v>
      </c>
      <c r="D4203" s="2" t="s">
        <v>40463</v>
      </c>
      <c r="E4203" s="2" t="s">
        <v>40464</v>
      </c>
      <c r="G4203" s="3" t="s">
        <v>62</v>
      </c>
      <c r="I4203" s="3" t="s">
        <v>62</v>
      </c>
      <c r="J4203" s="3" t="s">
        <v>62</v>
      </c>
      <c r="K4203" s="3" t="s">
        <v>63</v>
      </c>
      <c r="M4203" s="2" t="s">
        <v>40465</v>
      </c>
      <c r="N4203" s="3" t="s">
        <v>1437</v>
      </c>
      <c r="P4203" s="3" t="s">
        <v>110</v>
      </c>
      <c r="Q4203" s="2" t="s">
        <v>40466</v>
      </c>
      <c r="R4203" s="3" t="s">
        <v>66</v>
      </c>
      <c r="S4203" s="4">
        <v>9</v>
      </c>
      <c r="T4203" s="4">
        <v>9</v>
      </c>
      <c r="U4203" s="5" t="s">
        <v>40467</v>
      </c>
      <c r="V4203" s="5" t="s">
        <v>40467</v>
      </c>
      <c r="W4203" s="5" t="s">
        <v>67</v>
      </c>
      <c r="X4203" s="5" t="s">
        <v>67</v>
      </c>
      <c r="Y4203" s="4">
        <v>79</v>
      </c>
      <c r="Z4203" s="4">
        <v>13</v>
      </c>
      <c r="AA4203" s="4">
        <v>22</v>
      </c>
      <c r="AB4203" s="4">
        <v>2</v>
      </c>
      <c r="AC4203" s="4">
        <v>8</v>
      </c>
      <c r="AD4203" s="4">
        <v>45</v>
      </c>
      <c r="AE4203" s="4">
        <v>52</v>
      </c>
      <c r="AF4203" s="4">
        <v>1</v>
      </c>
      <c r="AG4203" s="4">
        <v>5</v>
      </c>
      <c r="AH4203" s="4">
        <v>39</v>
      </c>
      <c r="AI4203" s="4">
        <v>42</v>
      </c>
      <c r="AJ4203" s="4">
        <v>8</v>
      </c>
      <c r="AK4203" s="4">
        <v>13</v>
      </c>
      <c r="AL4203" s="4">
        <v>29</v>
      </c>
      <c r="AM4203" s="4">
        <v>29</v>
      </c>
      <c r="AN4203" s="4">
        <v>0</v>
      </c>
      <c r="AO4203" s="4">
        <v>0</v>
      </c>
      <c r="AP4203" s="4">
        <v>10</v>
      </c>
      <c r="AQ4203" s="4">
        <v>16</v>
      </c>
      <c r="AR4203" s="3" t="s">
        <v>62</v>
      </c>
      <c r="AS4203" s="3" t="s">
        <v>62</v>
      </c>
      <c r="AT4203" s="3" t="s">
        <v>62</v>
      </c>
      <c r="AV4203" s="6" t="str">
        <f>HYPERLINK("http://mcgill.on.worldcat.org/oclc/44128820","Catalog Record")</f>
        <v>Catalog Record</v>
      </c>
      <c r="AW4203" s="6" t="str">
        <f>HYPERLINK("http://www.worldcat.org/oclc/44128820","WorldCat Record")</f>
        <v>WorldCat Record</v>
      </c>
      <c r="AX4203" s="3" t="s">
        <v>40468</v>
      </c>
      <c r="AY4203" s="3" t="s">
        <v>40469</v>
      </c>
      <c r="AZ4203" s="3" t="s">
        <v>40470</v>
      </c>
      <c r="BA4203" s="3" t="s">
        <v>40470</v>
      </c>
      <c r="BB4203" s="3" t="s">
        <v>40471</v>
      </c>
      <c r="BC4203" s="3" t="s">
        <v>142</v>
      </c>
      <c r="BD4203" s="3" t="s">
        <v>68</v>
      </c>
      <c r="BE4203" s="3" t="s">
        <v>40472</v>
      </c>
      <c r="BF4203" s="3" t="s">
        <v>40471</v>
      </c>
      <c r="BG4203" s="3" t="s">
        <v>40473</v>
      </c>
    </row>
    <row r="4204" spans="1:59" ht="57" x14ac:dyDescent="0.45">
      <c r="A4204" s="2" t="s">
        <v>59</v>
      </c>
      <c r="B4204" s="2" t="s">
        <v>60</v>
      </c>
      <c r="C4204" s="2" t="s">
        <v>40474</v>
      </c>
      <c r="D4204" s="2" t="s">
        <v>40475</v>
      </c>
      <c r="E4204" s="2" t="s">
        <v>40476</v>
      </c>
      <c r="G4204" s="3" t="s">
        <v>62</v>
      </c>
      <c r="I4204" s="3" t="s">
        <v>62</v>
      </c>
      <c r="J4204" s="3" t="s">
        <v>62</v>
      </c>
      <c r="K4204" s="3" t="s">
        <v>63</v>
      </c>
      <c r="M4204" s="2" t="s">
        <v>40477</v>
      </c>
      <c r="N4204" s="3" t="s">
        <v>5180</v>
      </c>
      <c r="P4204" s="3" t="s">
        <v>65</v>
      </c>
      <c r="R4204" s="3" t="s">
        <v>66</v>
      </c>
      <c r="S4204" s="4">
        <v>2</v>
      </c>
      <c r="T4204" s="4">
        <v>2</v>
      </c>
      <c r="U4204" s="5" t="s">
        <v>4708</v>
      </c>
      <c r="V4204" s="5" t="s">
        <v>4708</v>
      </c>
      <c r="W4204" s="5" t="s">
        <v>67</v>
      </c>
      <c r="X4204" s="5" t="s">
        <v>67</v>
      </c>
      <c r="Y4204" s="4">
        <v>78</v>
      </c>
      <c r="Z4204" s="4">
        <v>9</v>
      </c>
      <c r="AA4204" s="4">
        <v>9</v>
      </c>
      <c r="AB4204" s="4">
        <v>1</v>
      </c>
      <c r="AC4204" s="4">
        <v>1</v>
      </c>
      <c r="AD4204" s="4">
        <v>46</v>
      </c>
      <c r="AE4204" s="4">
        <v>46</v>
      </c>
      <c r="AF4204" s="4">
        <v>0</v>
      </c>
      <c r="AG4204" s="4">
        <v>0</v>
      </c>
      <c r="AH4204" s="4">
        <v>43</v>
      </c>
      <c r="AI4204" s="4">
        <v>43</v>
      </c>
      <c r="AJ4204" s="4">
        <v>8</v>
      </c>
      <c r="AK4204" s="4">
        <v>8</v>
      </c>
      <c r="AL4204" s="4">
        <v>27</v>
      </c>
      <c r="AM4204" s="4">
        <v>27</v>
      </c>
      <c r="AN4204" s="4">
        <v>0</v>
      </c>
      <c r="AO4204" s="4">
        <v>0</v>
      </c>
      <c r="AP4204" s="4">
        <v>8</v>
      </c>
      <c r="AQ4204" s="4">
        <v>8</v>
      </c>
      <c r="AR4204" s="3" t="s">
        <v>62</v>
      </c>
      <c r="AS4204" s="3" t="s">
        <v>62</v>
      </c>
      <c r="AT4204" s="3" t="s">
        <v>62</v>
      </c>
      <c r="AV4204" s="6" t="str">
        <f>HYPERLINK("http://mcgill.on.worldcat.org/oclc/1028532917","Catalog Record")</f>
        <v>Catalog Record</v>
      </c>
      <c r="AW4204" s="6" t="str">
        <f>HYPERLINK("http://www.worldcat.org/oclc/1028532917","WorldCat Record")</f>
        <v>WorldCat Record</v>
      </c>
      <c r="AX4204" s="3" t="s">
        <v>40478</v>
      </c>
      <c r="AY4204" s="3" t="s">
        <v>40479</v>
      </c>
      <c r="AZ4204" s="3" t="s">
        <v>40480</v>
      </c>
      <c r="BA4204" s="3" t="s">
        <v>40480</v>
      </c>
      <c r="BB4204" s="3" t="s">
        <v>40481</v>
      </c>
      <c r="BC4204" s="3" t="s">
        <v>142</v>
      </c>
      <c r="BD4204" s="3" t="s">
        <v>68</v>
      </c>
      <c r="BE4204" s="3" t="s">
        <v>40482</v>
      </c>
      <c r="BF4204" s="3" t="s">
        <v>40481</v>
      </c>
      <c r="BG4204" s="3" t="s">
        <v>40483</v>
      </c>
    </row>
    <row r="4205" spans="1:59" ht="57" x14ac:dyDescent="0.45">
      <c r="A4205" s="2" t="s">
        <v>59</v>
      </c>
      <c r="B4205" s="2" t="s">
        <v>60</v>
      </c>
      <c r="C4205" s="2" t="s">
        <v>40484</v>
      </c>
      <c r="D4205" s="2" t="s">
        <v>40485</v>
      </c>
      <c r="E4205" s="2" t="s">
        <v>40486</v>
      </c>
      <c r="G4205" s="3" t="s">
        <v>62</v>
      </c>
      <c r="I4205" s="3" t="s">
        <v>62</v>
      </c>
      <c r="J4205" s="3" t="s">
        <v>62</v>
      </c>
      <c r="K4205" s="3" t="s">
        <v>63</v>
      </c>
      <c r="L4205" s="2" t="s">
        <v>40487</v>
      </c>
      <c r="M4205" s="2" t="s">
        <v>4009</v>
      </c>
      <c r="N4205" s="3" t="s">
        <v>149</v>
      </c>
      <c r="P4205" s="3" t="s">
        <v>65</v>
      </c>
      <c r="Q4205" s="2" t="s">
        <v>40488</v>
      </c>
      <c r="R4205" s="3" t="s">
        <v>66</v>
      </c>
      <c r="S4205" s="4">
        <v>1</v>
      </c>
      <c r="T4205" s="4">
        <v>1</v>
      </c>
      <c r="U4205" s="5" t="s">
        <v>16573</v>
      </c>
      <c r="V4205" s="5" t="s">
        <v>16573</v>
      </c>
      <c r="W4205" s="5" t="s">
        <v>67</v>
      </c>
      <c r="X4205" s="5" t="s">
        <v>67</v>
      </c>
      <c r="Y4205" s="4">
        <v>128</v>
      </c>
      <c r="Z4205" s="4">
        <v>20</v>
      </c>
      <c r="AA4205" s="4">
        <v>25</v>
      </c>
      <c r="AB4205" s="4">
        <v>2</v>
      </c>
      <c r="AC4205" s="4">
        <v>5</v>
      </c>
      <c r="AD4205" s="4">
        <v>64</v>
      </c>
      <c r="AE4205" s="4">
        <v>77</v>
      </c>
      <c r="AF4205" s="4">
        <v>1</v>
      </c>
      <c r="AG4205" s="4">
        <v>2</v>
      </c>
      <c r="AH4205" s="4">
        <v>56</v>
      </c>
      <c r="AI4205" s="4">
        <v>66</v>
      </c>
      <c r="AJ4205" s="4">
        <v>12</v>
      </c>
      <c r="AK4205" s="4">
        <v>14</v>
      </c>
      <c r="AL4205" s="4">
        <v>37</v>
      </c>
      <c r="AM4205" s="4">
        <v>43</v>
      </c>
      <c r="AN4205" s="4">
        <v>0</v>
      </c>
      <c r="AO4205" s="4">
        <v>0</v>
      </c>
      <c r="AP4205" s="4">
        <v>15</v>
      </c>
      <c r="AQ4205" s="4">
        <v>17</v>
      </c>
      <c r="AR4205" s="3" t="s">
        <v>62</v>
      </c>
      <c r="AS4205" s="3" t="s">
        <v>62</v>
      </c>
      <c r="AT4205" s="3" t="s">
        <v>62</v>
      </c>
      <c r="AV4205" s="6" t="str">
        <f>HYPERLINK("http://mcgill.on.worldcat.org/oclc/308215746","Catalog Record")</f>
        <v>Catalog Record</v>
      </c>
      <c r="AW4205" s="6" t="str">
        <f>HYPERLINK("http://www.worldcat.org/oclc/308215746","WorldCat Record")</f>
        <v>WorldCat Record</v>
      </c>
      <c r="AX4205" s="3" t="s">
        <v>40489</v>
      </c>
      <c r="AY4205" s="3" t="s">
        <v>40490</v>
      </c>
      <c r="AZ4205" s="3" t="s">
        <v>40491</v>
      </c>
      <c r="BA4205" s="3" t="s">
        <v>40491</v>
      </c>
      <c r="BB4205" s="3" t="s">
        <v>40492</v>
      </c>
      <c r="BC4205" s="3" t="s">
        <v>142</v>
      </c>
      <c r="BD4205" s="3" t="s">
        <v>68</v>
      </c>
      <c r="BE4205" s="3" t="s">
        <v>40493</v>
      </c>
      <c r="BF4205" s="3" t="s">
        <v>40492</v>
      </c>
      <c r="BG4205" s="3" t="s">
        <v>40494</v>
      </c>
    </row>
    <row r="4206" spans="1:59" ht="57" x14ac:dyDescent="0.45">
      <c r="A4206" s="2" t="s">
        <v>59</v>
      </c>
      <c r="B4206" s="2" t="s">
        <v>60</v>
      </c>
      <c r="C4206" s="2" t="s">
        <v>40495</v>
      </c>
      <c r="D4206" s="2" t="s">
        <v>40496</v>
      </c>
      <c r="E4206" s="2" t="s">
        <v>40497</v>
      </c>
      <c r="G4206" s="3" t="s">
        <v>62</v>
      </c>
      <c r="I4206" s="3" t="s">
        <v>62</v>
      </c>
      <c r="J4206" s="3" t="s">
        <v>62</v>
      </c>
      <c r="K4206" s="3" t="s">
        <v>63</v>
      </c>
      <c r="L4206" s="2" t="s">
        <v>40498</v>
      </c>
      <c r="M4206" s="2" t="s">
        <v>2882</v>
      </c>
      <c r="N4206" s="3" t="s">
        <v>1688</v>
      </c>
      <c r="P4206" s="3" t="s">
        <v>65</v>
      </c>
      <c r="Q4206" s="2" t="s">
        <v>40499</v>
      </c>
      <c r="R4206" s="3" t="s">
        <v>66</v>
      </c>
      <c r="S4206" s="4">
        <v>1</v>
      </c>
      <c r="T4206" s="4">
        <v>1</v>
      </c>
      <c r="U4206" s="5" t="s">
        <v>16011</v>
      </c>
      <c r="V4206" s="5" t="s">
        <v>16011</v>
      </c>
      <c r="W4206" s="5" t="s">
        <v>67</v>
      </c>
      <c r="X4206" s="5" t="s">
        <v>67</v>
      </c>
      <c r="Y4206" s="4">
        <v>85</v>
      </c>
      <c r="Z4206" s="4">
        <v>16</v>
      </c>
      <c r="AA4206" s="4">
        <v>25</v>
      </c>
      <c r="AB4206" s="4">
        <v>1</v>
      </c>
      <c r="AC4206" s="4">
        <v>8</v>
      </c>
      <c r="AD4206" s="4">
        <v>38</v>
      </c>
      <c r="AE4206" s="4">
        <v>52</v>
      </c>
      <c r="AF4206" s="4">
        <v>0</v>
      </c>
      <c r="AG4206" s="4">
        <v>3</v>
      </c>
      <c r="AH4206" s="4">
        <v>32</v>
      </c>
      <c r="AI4206" s="4">
        <v>43</v>
      </c>
      <c r="AJ4206" s="4">
        <v>11</v>
      </c>
      <c r="AK4206" s="4">
        <v>15</v>
      </c>
      <c r="AL4206" s="4">
        <v>21</v>
      </c>
      <c r="AM4206" s="4">
        <v>28</v>
      </c>
      <c r="AN4206" s="4">
        <v>0</v>
      </c>
      <c r="AO4206" s="4">
        <v>0</v>
      </c>
      <c r="AP4206" s="4">
        <v>12</v>
      </c>
      <c r="AQ4206" s="4">
        <v>16</v>
      </c>
      <c r="AR4206" s="3" t="s">
        <v>62</v>
      </c>
      <c r="AS4206" s="3" t="s">
        <v>62</v>
      </c>
      <c r="AT4206" s="3" t="s">
        <v>62</v>
      </c>
      <c r="AV4206" s="6" t="str">
        <f>HYPERLINK("http://mcgill.on.worldcat.org/oclc/827261175","Catalog Record")</f>
        <v>Catalog Record</v>
      </c>
      <c r="AW4206" s="6" t="str">
        <f>HYPERLINK("http://www.worldcat.org/oclc/827261175","WorldCat Record")</f>
        <v>WorldCat Record</v>
      </c>
      <c r="AX4206" s="3" t="s">
        <v>40500</v>
      </c>
      <c r="AY4206" s="3" t="s">
        <v>40501</v>
      </c>
      <c r="AZ4206" s="3" t="s">
        <v>40502</v>
      </c>
      <c r="BA4206" s="3" t="s">
        <v>40502</v>
      </c>
      <c r="BB4206" s="3" t="s">
        <v>40503</v>
      </c>
      <c r="BC4206" s="3" t="s">
        <v>142</v>
      </c>
      <c r="BD4206" s="3" t="s">
        <v>68</v>
      </c>
      <c r="BE4206" s="3" t="s">
        <v>40504</v>
      </c>
      <c r="BF4206" s="3" t="s">
        <v>40503</v>
      </c>
      <c r="BG4206" s="3" t="s">
        <v>40505</v>
      </c>
    </row>
    <row r="4207" spans="1:59" ht="57" x14ac:dyDescent="0.45">
      <c r="A4207" s="2" t="s">
        <v>59</v>
      </c>
      <c r="B4207" s="2" t="s">
        <v>60</v>
      </c>
      <c r="C4207" s="2" t="s">
        <v>40506</v>
      </c>
      <c r="D4207" s="2" t="s">
        <v>40507</v>
      </c>
      <c r="E4207" s="2" t="s">
        <v>40508</v>
      </c>
      <c r="G4207" s="3" t="s">
        <v>62</v>
      </c>
      <c r="H4207" s="3" t="s">
        <v>3960</v>
      </c>
      <c r="I4207" s="3" t="s">
        <v>62</v>
      </c>
      <c r="J4207" s="3" t="s">
        <v>62</v>
      </c>
      <c r="K4207" s="3" t="s">
        <v>63</v>
      </c>
      <c r="L4207" s="2" t="s">
        <v>40509</v>
      </c>
      <c r="M4207" s="2" t="s">
        <v>40510</v>
      </c>
      <c r="N4207" s="3" t="s">
        <v>19337</v>
      </c>
      <c r="P4207" s="3" t="s">
        <v>65</v>
      </c>
      <c r="R4207" s="3" t="s">
        <v>66</v>
      </c>
      <c r="S4207" s="4">
        <v>0</v>
      </c>
      <c r="T4207" s="4">
        <v>0</v>
      </c>
      <c r="W4207" s="5" t="s">
        <v>18980</v>
      </c>
      <c r="X4207" s="5" t="s">
        <v>18980</v>
      </c>
      <c r="Y4207" s="4">
        <v>1363</v>
      </c>
      <c r="Z4207" s="4">
        <v>26</v>
      </c>
      <c r="AA4207" s="4">
        <v>30</v>
      </c>
      <c r="AB4207" s="4">
        <v>2</v>
      </c>
      <c r="AC4207" s="4">
        <v>5</v>
      </c>
      <c r="AD4207" s="4">
        <v>82</v>
      </c>
      <c r="AE4207" s="4">
        <v>84</v>
      </c>
      <c r="AF4207" s="4">
        <v>1</v>
      </c>
      <c r="AG4207" s="4">
        <v>2</v>
      </c>
      <c r="AH4207" s="4">
        <v>72</v>
      </c>
      <c r="AI4207" s="4">
        <v>74</v>
      </c>
      <c r="AJ4207" s="4">
        <v>10</v>
      </c>
      <c r="AK4207" s="4">
        <v>11</v>
      </c>
      <c r="AL4207" s="4">
        <v>42</v>
      </c>
      <c r="AM4207" s="4">
        <v>42</v>
      </c>
      <c r="AN4207" s="4">
        <v>0</v>
      </c>
      <c r="AO4207" s="4">
        <v>0</v>
      </c>
      <c r="AP4207" s="4">
        <v>14</v>
      </c>
      <c r="AQ4207" s="4">
        <v>15</v>
      </c>
      <c r="AR4207" s="3" t="s">
        <v>62</v>
      </c>
      <c r="AS4207" s="3" t="s">
        <v>62</v>
      </c>
      <c r="AT4207" s="3" t="s">
        <v>62</v>
      </c>
      <c r="AV4207" s="6" t="str">
        <f>HYPERLINK("http://mcgill.on.worldcat.org/oclc/1088599449","Catalog Record")</f>
        <v>Catalog Record</v>
      </c>
      <c r="AW4207" s="6" t="str">
        <f>HYPERLINK("http://www.worldcat.org/oclc/1088599449","WorldCat Record")</f>
        <v>WorldCat Record</v>
      </c>
      <c r="AX4207" s="3" t="s">
        <v>40511</v>
      </c>
      <c r="AY4207" s="3" t="s">
        <v>40512</v>
      </c>
      <c r="AZ4207" s="3" t="s">
        <v>40513</v>
      </c>
      <c r="BA4207" s="3" t="s">
        <v>40513</v>
      </c>
      <c r="BB4207" s="3" t="s">
        <v>40514</v>
      </c>
      <c r="BC4207" s="3" t="s">
        <v>142</v>
      </c>
      <c r="BD4207" s="3" t="s">
        <v>68</v>
      </c>
      <c r="BE4207" s="3" t="s">
        <v>40515</v>
      </c>
      <c r="BF4207" s="3" t="s">
        <v>40514</v>
      </c>
      <c r="BG4207" s="3" t="s">
        <v>40516</v>
      </c>
    </row>
    <row r="4208" spans="1:59" ht="57" x14ac:dyDescent="0.45">
      <c r="A4208" s="2" t="s">
        <v>59</v>
      </c>
      <c r="B4208" s="2" t="s">
        <v>60</v>
      </c>
      <c r="C4208" s="2" t="s">
        <v>40517</v>
      </c>
      <c r="D4208" s="2" t="s">
        <v>40518</v>
      </c>
      <c r="E4208" s="2" t="s">
        <v>40519</v>
      </c>
      <c r="G4208" s="3" t="s">
        <v>62</v>
      </c>
      <c r="I4208" s="3" t="s">
        <v>62</v>
      </c>
      <c r="J4208" s="3" t="s">
        <v>62</v>
      </c>
      <c r="K4208" s="3" t="s">
        <v>63</v>
      </c>
      <c r="L4208" s="2" t="s">
        <v>40520</v>
      </c>
      <c r="M4208" s="2" t="s">
        <v>40521</v>
      </c>
      <c r="N4208" s="3" t="s">
        <v>84</v>
      </c>
      <c r="P4208" s="3" t="s">
        <v>65</v>
      </c>
      <c r="Q4208" s="2" t="s">
        <v>40522</v>
      </c>
      <c r="R4208" s="3" t="s">
        <v>66</v>
      </c>
      <c r="S4208" s="4">
        <v>41</v>
      </c>
      <c r="T4208" s="4">
        <v>41</v>
      </c>
      <c r="U4208" s="5" t="s">
        <v>128</v>
      </c>
      <c r="V4208" s="5" t="s">
        <v>128</v>
      </c>
      <c r="W4208" s="5" t="s">
        <v>67</v>
      </c>
      <c r="X4208" s="5" t="s">
        <v>67</v>
      </c>
      <c r="Y4208" s="4">
        <v>327</v>
      </c>
      <c r="Z4208" s="4">
        <v>22</v>
      </c>
      <c r="AA4208" s="4">
        <v>23</v>
      </c>
      <c r="AB4208" s="4">
        <v>3</v>
      </c>
      <c r="AC4208" s="4">
        <v>3</v>
      </c>
      <c r="AD4208" s="4">
        <v>80</v>
      </c>
      <c r="AE4208" s="4">
        <v>81</v>
      </c>
      <c r="AF4208" s="4">
        <v>1</v>
      </c>
      <c r="AG4208" s="4">
        <v>1</v>
      </c>
      <c r="AH4208" s="4">
        <v>72</v>
      </c>
      <c r="AI4208" s="4">
        <v>72</v>
      </c>
      <c r="AJ4208" s="4">
        <v>15</v>
      </c>
      <c r="AK4208" s="4">
        <v>15</v>
      </c>
      <c r="AL4208" s="4">
        <v>38</v>
      </c>
      <c r="AM4208" s="4">
        <v>38</v>
      </c>
      <c r="AN4208" s="4">
        <v>0</v>
      </c>
      <c r="AO4208" s="4">
        <v>0</v>
      </c>
      <c r="AP4208" s="4">
        <v>17</v>
      </c>
      <c r="AQ4208" s="4">
        <v>18</v>
      </c>
      <c r="AR4208" s="3" t="s">
        <v>62</v>
      </c>
      <c r="AS4208" s="3" t="s">
        <v>62</v>
      </c>
      <c r="AT4208" s="3" t="s">
        <v>61</v>
      </c>
      <c r="AU4208" s="6" t="str">
        <f>HYPERLINK("http://catalog.hathitrust.org/Record/002891285","HathiTrust Record")</f>
        <v>HathiTrust Record</v>
      </c>
      <c r="AV4208" s="6" t="str">
        <f>HYPERLINK("http://mcgill.on.worldcat.org/oclc/24010966","Catalog Record")</f>
        <v>Catalog Record</v>
      </c>
      <c r="AW4208" s="6" t="str">
        <f>HYPERLINK("http://www.worldcat.org/oclc/24010966","WorldCat Record")</f>
        <v>WorldCat Record</v>
      </c>
      <c r="AX4208" s="3" t="s">
        <v>40523</v>
      </c>
      <c r="AY4208" s="3" t="s">
        <v>40524</v>
      </c>
      <c r="AZ4208" s="3" t="s">
        <v>40525</v>
      </c>
      <c r="BA4208" s="3" t="s">
        <v>40525</v>
      </c>
      <c r="BB4208" s="3" t="s">
        <v>40526</v>
      </c>
      <c r="BC4208" s="3" t="s">
        <v>142</v>
      </c>
      <c r="BD4208" s="3" t="s">
        <v>68</v>
      </c>
      <c r="BE4208" s="3" t="s">
        <v>40527</v>
      </c>
      <c r="BF4208" s="3" t="s">
        <v>40526</v>
      </c>
      <c r="BG4208" s="3" t="s">
        <v>40528</v>
      </c>
    </row>
    <row r="4209" spans="1:59" ht="57" x14ac:dyDescent="0.45">
      <c r="A4209" s="2" t="s">
        <v>59</v>
      </c>
      <c r="B4209" s="2" t="s">
        <v>60</v>
      </c>
      <c r="C4209" s="2" t="s">
        <v>40529</v>
      </c>
      <c r="D4209" s="2" t="s">
        <v>40530</v>
      </c>
      <c r="E4209" s="2" t="s">
        <v>40531</v>
      </c>
      <c r="G4209" s="3" t="s">
        <v>62</v>
      </c>
      <c r="I4209" s="3" t="s">
        <v>62</v>
      </c>
      <c r="J4209" s="3" t="s">
        <v>62</v>
      </c>
      <c r="K4209" s="3" t="s">
        <v>63</v>
      </c>
      <c r="M4209" s="2" t="s">
        <v>40532</v>
      </c>
      <c r="N4209" s="3" t="s">
        <v>84</v>
      </c>
      <c r="P4209" s="3" t="s">
        <v>65</v>
      </c>
      <c r="Q4209" s="2" t="s">
        <v>39398</v>
      </c>
      <c r="R4209" s="3" t="s">
        <v>66</v>
      </c>
      <c r="S4209" s="4">
        <v>28</v>
      </c>
      <c r="T4209" s="4">
        <v>28</v>
      </c>
      <c r="U4209" s="5" t="s">
        <v>10764</v>
      </c>
      <c r="V4209" s="5" t="s">
        <v>10764</v>
      </c>
      <c r="W4209" s="5" t="s">
        <v>67</v>
      </c>
      <c r="X4209" s="5" t="s">
        <v>67</v>
      </c>
      <c r="Y4209" s="4">
        <v>302</v>
      </c>
      <c r="Z4209" s="4">
        <v>14</v>
      </c>
      <c r="AA4209" s="4">
        <v>17</v>
      </c>
      <c r="AB4209" s="4">
        <v>1</v>
      </c>
      <c r="AC4209" s="4">
        <v>4</v>
      </c>
      <c r="AD4209" s="4">
        <v>67</v>
      </c>
      <c r="AE4209" s="4">
        <v>70</v>
      </c>
      <c r="AF4209" s="4">
        <v>0</v>
      </c>
      <c r="AG4209" s="4">
        <v>2</v>
      </c>
      <c r="AH4209" s="4">
        <v>63</v>
      </c>
      <c r="AI4209" s="4">
        <v>65</v>
      </c>
      <c r="AJ4209" s="4">
        <v>10</v>
      </c>
      <c r="AK4209" s="4">
        <v>12</v>
      </c>
      <c r="AL4209" s="4">
        <v>37</v>
      </c>
      <c r="AM4209" s="4">
        <v>37</v>
      </c>
      <c r="AN4209" s="4">
        <v>0</v>
      </c>
      <c r="AO4209" s="4">
        <v>0</v>
      </c>
      <c r="AP4209" s="4">
        <v>11</v>
      </c>
      <c r="AQ4209" s="4">
        <v>12</v>
      </c>
      <c r="AR4209" s="3" t="s">
        <v>62</v>
      </c>
      <c r="AS4209" s="3" t="s">
        <v>62</v>
      </c>
      <c r="AT4209" s="3" t="s">
        <v>61</v>
      </c>
      <c r="AU4209" s="6" t="str">
        <f>HYPERLINK("http://catalog.hathitrust.org/Record/002617249","HathiTrust Record")</f>
        <v>HathiTrust Record</v>
      </c>
      <c r="AV4209" s="6" t="str">
        <f>HYPERLINK("http://mcgill.on.worldcat.org/oclc/24215621","Catalog Record")</f>
        <v>Catalog Record</v>
      </c>
      <c r="AW4209" s="6" t="str">
        <f>HYPERLINK("http://www.worldcat.org/oclc/24215621","WorldCat Record")</f>
        <v>WorldCat Record</v>
      </c>
      <c r="AX4209" s="3" t="s">
        <v>40533</v>
      </c>
      <c r="AY4209" s="3" t="s">
        <v>40534</v>
      </c>
      <c r="AZ4209" s="3" t="s">
        <v>40535</v>
      </c>
      <c r="BA4209" s="3" t="s">
        <v>40535</v>
      </c>
      <c r="BB4209" s="3" t="s">
        <v>40536</v>
      </c>
      <c r="BC4209" s="3" t="s">
        <v>142</v>
      </c>
      <c r="BD4209" s="3" t="s">
        <v>308</v>
      </c>
      <c r="BE4209" s="3" t="s">
        <v>40537</v>
      </c>
      <c r="BF4209" s="3" t="s">
        <v>40536</v>
      </c>
      <c r="BG4209" s="3" t="s">
        <v>40538</v>
      </c>
    </row>
    <row r="4210" spans="1:59" ht="57" x14ac:dyDescent="0.45">
      <c r="A4210" s="2" t="s">
        <v>59</v>
      </c>
      <c r="B4210" s="2" t="s">
        <v>60</v>
      </c>
      <c r="C4210" s="2" t="s">
        <v>40539</v>
      </c>
      <c r="D4210" s="2" t="s">
        <v>40540</v>
      </c>
      <c r="E4210" s="2" t="s">
        <v>40541</v>
      </c>
      <c r="G4210" s="3" t="s">
        <v>62</v>
      </c>
      <c r="I4210" s="3" t="s">
        <v>61</v>
      </c>
      <c r="J4210" s="3" t="s">
        <v>62</v>
      </c>
      <c r="K4210" s="3" t="s">
        <v>63</v>
      </c>
      <c r="M4210" s="2" t="s">
        <v>40542</v>
      </c>
      <c r="N4210" s="3" t="s">
        <v>181</v>
      </c>
      <c r="O4210" s="2" t="s">
        <v>40543</v>
      </c>
      <c r="P4210" s="3" t="s">
        <v>65</v>
      </c>
      <c r="R4210" s="3" t="s">
        <v>66</v>
      </c>
      <c r="S4210" s="4">
        <v>1</v>
      </c>
      <c r="T4210" s="4">
        <v>6</v>
      </c>
      <c r="U4210" s="5" t="s">
        <v>3850</v>
      </c>
      <c r="V4210" s="5" t="s">
        <v>40544</v>
      </c>
      <c r="W4210" s="5" t="s">
        <v>67</v>
      </c>
      <c r="X4210" s="5" t="s">
        <v>67</v>
      </c>
      <c r="Y4210" s="4">
        <v>47</v>
      </c>
      <c r="Z4210" s="4">
        <v>2</v>
      </c>
      <c r="AA4210" s="4">
        <v>10</v>
      </c>
      <c r="AB4210" s="4">
        <v>1</v>
      </c>
      <c r="AC4210" s="4">
        <v>1</v>
      </c>
      <c r="AD4210" s="4">
        <v>4</v>
      </c>
      <c r="AE4210" s="4">
        <v>35</v>
      </c>
      <c r="AF4210" s="4">
        <v>0</v>
      </c>
      <c r="AG4210" s="4">
        <v>0</v>
      </c>
      <c r="AH4210" s="4">
        <v>3</v>
      </c>
      <c r="AI4210" s="4">
        <v>32</v>
      </c>
      <c r="AJ4210" s="4">
        <v>1</v>
      </c>
      <c r="AK4210" s="4">
        <v>5</v>
      </c>
      <c r="AL4210" s="4">
        <v>3</v>
      </c>
      <c r="AM4210" s="4">
        <v>16</v>
      </c>
      <c r="AN4210" s="4">
        <v>0</v>
      </c>
      <c r="AO4210" s="4">
        <v>0</v>
      </c>
      <c r="AP4210" s="4">
        <v>1</v>
      </c>
      <c r="AQ4210" s="4">
        <v>6</v>
      </c>
      <c r="AR4210" s="3" t="s">
        <v>62</v>
      </c>
      <c r="AS4210" s="3" t="s">
        <v>62</v>
      </c>
      <c r="AT4210" s="3" t="s">
        <v>62</v>
      </c>
      <c r="AV4210" s="6" t="str">
        <f>HYPERLINK("http://mcgill.on.worldcat.org/oclc/948521816","Catalog Record")</f>
        <v>Catalog Record</v>
      </c>
      <c r="AW4210" s="6" t="str">
        <f>HYPERLINK("http://www.worldcat.org/oclc/948521816","WorldCat Record")</f>
        <v>WorldCat Record</v>
      </c>
      <c r="AX4210" s="3" t="s">
        <v>40545</v>
      </c>
      <c r="AY4210" s="3" t="s">
        <v>40546</v>
      </c>
      <c r="AZ4210" s="3" t="s">
        <v>40547</v>
      </c>
      <c r="BA4210" s="3" t="s">
        <v>40547</v>
      </c>
      <c r="BB4210" s="3" t="s">
        <v>40548</v>
      </c>
      <c r="BC4210" s="3" t="s">
        <v>142</v>
      </c>
      <c r="BD4210" s="3" t="s">
        <v>68</v>
      </c>
      <c r="BE4210" s="3" t="s">
        <v>40549</v>
      </c>
      <c r="BF4210" s="3" t="s">
        <v>40548</v>
      </c>
      <c r="BG4210" s="3" t="s">
        <v>40550</v>
      </c>
    </row>
    <row r="4211" spans="1:59" ht="57" x14ac:dyDescent="0.45">
      <c r="A4211" s="2" t="s">
        <v>59</v>
      </c>
      <c r="B4211" s="2" t="s">
        <v>60</v>
      </c>
      <c r="C4211" s="2" t="s">
        <v>40539</v>
      </c>
      <c r="D4211" s="2" t="s">
        <v>40540</v>
      </c>
      <c r="E4211" s="2" t="s">
        <v>40541</v>
      </c>
      <c r="G4211" s="3" t="s">
        <v>62</v>
      </c>
      <c r="I4211" s="3" t="s">
        <v>61</v>
      </c>
      <c r="J4211" s="3" t="s">
        <v>62</v>
      </c>
      <c r="K4211" s="3" t="s">
        <v>63</v>
      </c>
      <c r="M4211" s="2" t="s">
        <v>40542</v>
      </c>
      <c r="N4211" s="3" t="s">
        <v>181</v>
      </c>
      <c r="O4211" s="2" t="s">
        <v>40543</v>
      </c>
      <c r="P4211" s="3" t="s">
        <v>65</v>
      </c>
      <c r="R4211" s="3" t="s">
        <v>66</v>
      </c>
      <c r="S4211" s="4">
        <v>5</v>
      </c>
      <c r="T4211" s="4">
        <v>6</v>
      </c>
      <c r="U4211" s="5" t="s">
        <v>40544</v>
      </c>
      <c r="V4211" s="5" t="s">
        <v>40544</v>
      </c>
      <c r="W4211" s="5" t="s">
        <v>67</v>
      </c>
      <c r="X4211" s="5" t="s">
        <v>67</v>
      </c>
      <c r="Y4211" s="4">
        <v>47</v>
      </c>
      <c r="Z4211" s="4">
        <v>2</v>
      </c>
      <c r="AA4211" s="4">
        <v>10</v>
      </c>
      <c r="AB4211" s="4">
        <v>1</v>
      </c>
      <c r="AC4211" s="4">
        <v>1</v>
      </c>
      <c r="AD4211" s="4">
        <v>4</v>
      </c>
      <c r="AE4211" s="4">
        <v>35</v>
      </c>
      <c r="AF4211" s="4">
        <v>0</v>
      </c>
      <c r="AG4211" s="4">
        <v>0</v>
      </c>
      <c r="AH4211" s="4">
        <v>3</v>
      </c>
      <c r="AI4211" s="4">
        <v>32</v>
      </c>
      <c r="AJ4211" s="4">
        <v>1</v>
      </c>
      <c r="AK4211" s="4">
        <v>5</v>
      </c>
      <c r="AL4211" s="4">
        <v>3</v>
      </c>
      <c r="AM4211" s="4">
        <v>16</v>
      </c>
      <c r="AN4211" s="4">
        <v>0</v>
      </c>
      <c r="AO4211" s="4">
        <v>0</v>
      </c>
      <c r="AP4211" s="4">
        <v>1</v>
      </c>
      <c r="AQ4211" s="4">
        <v>6</v>
      </c>
      <c r="AR4211" s="3" t="s">
        <v>62</v>
      </c>
      <c r="AS4211" s="3" t="s">
        <v>62</v>
      </c>
      <c r="AT4211" s="3" t="s">
        <v>62</v>
      </c>
      <c r="AV4211" s="6" t="str">
        <f>HYPERLINK("http://mcgill.on.worldcat.org/oclc/948521816","Catalog Record")</f>
        <v>Catalog Record</v>
      </c>
      <c r="AW4211" s="6" t="str">
        <f>HYPERLINK("http://www.worldcat.org/oclc/948521816","WorldCat Record")</f>
        <v>WorldCat Record</v>
      </c>
      <c r="AX4211" s="3" t="s">
        <v>40545</v>
      </c>
      <c r="AY4211" s="3" t="s">
        <v>40546</v>
      </c>
      <c r="AZ4211" s="3" t="s">
        <v>40547</v>
      </c>
      <c r="BA4211" s="3" t="s">
        <v>40547</v>
      </c>
      <c r="BB4211" s="3" t="s">
        <v>40551</v>
      </c>
      <c r="BC4211" s="3" t="s">
        <v>142</v>
      </c>
      <c r="BD4211" s="3" t="s">
        <v>68</v>
      </c>
      <c r="BE4211" s="3" t="s">
        <v>40549</v>
      </c>
      <c r="BF4211" s="3" t="s">
        <v>40551</v>
      </c>
      <c r="BG4211" s="3" t="s">
        <v>40552</v>
      </c>
    </row>
    <row r="4212" spans="1:59" ht="57" x14ac:dyDescent="0.45">
      <c r="A4212" s="2" t="s">
        <v>59</v>
      </c>
      <c r="B4212" s="2" t="s">
        <v>60</v>
      </c>
      <c r="C4212" s="2" t="s">
        <v>40553</v>
      </c>
      <c r="D4212" s="2" t="s">
        <v>40554</v>
      </c>
      <c r="E4212" s="2" t="s">
        <v>40555</v>
      </c>
      <c r="G4212" s="3" t="s">
        <v>62</v>
      </c>
      <c r="I4212" s="3" t="s">
        <v>62</v>
      </c>
      <c r="J4212" s="3" t="s">
        <v>62</v>
      </c>
      <c r="K4212" s="3" t="s">
        <v>63</v>
      </c>
      <c r="M4212" s="2" t="s">
        <v>5813</v>
      </c>
      <c r="N4212" s="3" t="s">
        <v>5180</v>
      </c>
      <c r="P4212" s="3" t="s">
        <v>65</v>
      </c>
      <c r="Q4212" s="2" t="s">
        <v>40556</v>
      </c>
      <c r="R4212" s="3" t="s">
        <v>66</v>
      </c>
      <c r="S4212" s="4">
        <v>1</v>
      </c>
      <c r="T4212" s="4">
        <v>1</v>
      </c>
      <c r="W4212" s="5" t="s">
        <v>67</v>
      </c>
      <c r="X4212" s="5" t="s">
        <v>67</v>
      </c>
      <c r="Y4212" s="4">
        <v>33</v>
      </c>
      <c r="Z4212" s="4">
        <v>3</v>
      </c>
      <c r="AA4212" s="4">
        <v>24</v>
      </c>
      <c r="AB4212" s="4">
        <v>1</v>
      </c>
      <c r="AC4212" s="4">
        <v>4</v>
      </c>
      <c r="AD4212" s="4">
        <v>22</v>
      </c>
      <c r="AE4212" s="4">
        <v>58</v>
      </c>
      <c r="AF4212" s="4">
        <v>0</v>
      </c>
      <c r="AG4212" s="4">
        <v>1</v>
      </c>
      <c r="AH4212" s="4">
        <v>19</v>
      </c>
      <c r="AI4212" s="4">
        <v>46</v>
      </c>
      <c r="AJ4212" s="4">
        <v>1</v>
      </c>
      <c r="AK4212" s="4">
        <v>9</v>
      </c>
      <c r="AL4212" s="4">
        <v>16</v>
      </c>
      <c r="AM4212" s="4">
        <v>29</v>
      </c>
      <c r="AN4212" s="4">
        <v>0</v>
      </c>
      <c r="AO4212" s="4">
        <v>0</v>
      </c>
      <c r="AP4212" s="4">
        <v>2</v>
      </c>
      <c r="AQ4212" s="4">
        <v>16</v>
      </c>
      <c r="AR4212" s="3" t="s">
        <v>62</v>
      </c>
      <c r="AS4212" s="3" t="s">
        <v>62</v>
      </c>
      <c r="AT4212" s="3" t="s">
        <v>62</v>
      </c>
      <c r="AV4212" s="6" t="str">
        <f>HYPERLINK("http://mcgill.on.worldcat.org/oclc/1035562111","Catalog Record")</f>
        <v>Catalog Record</v>
      </c>
      <c r="AW4212" s="6" t="str">
        <f>HYPERLINK("http://www.worldcat.org/oclc/1035562111","WorldCat Record")</f>
        <v>WorldCat Record</v>
      </c>
      <c r="AX4212" s="3" t="s">
        <v>40557</v>
      </c>
      <c r="AY4212" s="3" t="s">
        <v>40558</v>
      </c>
      <c r="AZ4212" s="3" t="s">
        <v>40559</v>
      </c>
      <c r="BA4212" s="3" t="s">
        <v>40559</v>
      </c>
      <c r="BB4212" s="3" t="s">
        <v>40560</v>
      </c>
      <c r="BC4212" s="3" t="s">
        <v>142</v>
      </c>
      <c r="BD4212" s="3" t="s">
        <v>308</v>
      </c>
      <c r="BE4212" s="3" t="s">
        <v>40561</v>
      </c>
      <c r="BF4212" s="3" t="s">
        <v>40560</v>
      </c>
      <c r="BG4212" s="3" t="s">
        <v>40562</v>
      </c>
    </row>
    <row r="4213" spans="1:59" ht="57" x14ac:dyDescent="0.45">
      <c r="A4213" s="2" t="s">
        <v>59</v>
      </c>
      <c r="B4213" s="2" t="s">
        <v>60</v>
      </c>
      <c r="C4213" s="2" t="s">
        <v>40563</v>
      </c>
      <c r="D4213" s="2" t="s">
        <v>40564</v>
      </c>
      <c r="E4213" s="2" t="s">
        <v>40565</v>
      </c>
      <c r="G4213" s="3" t="s">
        <v>62</v>
      </c>
      <c r="I4213" s="3" t="s">
        <v>62</v>
      </c>
      <c r="J4213" s="3" t="s">
        <v>62</v>
      </c>
      <c r="K4213" s="3" t="s">
        <v>63</v>
      </c>
      <c r="L4213" s="2" t="s">
        <v>40566</v>
      </c>
      <c r="M4213" s="2" t="s">
        <v>917</v>
      </c>
      <c r="N4213" s="3" t="s">
        <v>918</v>
      </c>
      <c r="P4213" s="3" t="s">
        <v>65</v>
      </c>
      <c r="R4213" s="3" t="s">
        <v>66</v>
      </c>
      <c r="S4213" s="4">
        <v>15</v>
      </c>
      <c r="T4213" s="4">
        <v>15</v>
      </c>
      <c r="U4213" s="5" t="s">
        <v>197</v>
      </c>
      <c r="V4213" s="5" t="s">
        <v>197</v>
      </c>
      <c r="W4213" s="5" t="s">
        <v>67</v>
      </c>
      <c r="X4213" s="5" t="s">
        <v>67</v>
      </c>
      <c r="Y4213" s="4">
        <v>400</v>
      </c>
      <c r="Z4213" s="4">
        <v>28</v>
      </c>
      <c r="AA4213" s="4">
        <v>39</v>
      </c>
      <c r="AB4213" s="4">
        <v>1</v>
      </c>
      <c r="AC4213" s="4">
        <v>9</v>
      </c>
      <c r="AD4213" s="4">
        <v>107</v>
      </c>
      <c r="AE4213" s="4">
        <v>116</v>
      </c>
      <c r="AF4213" s="4">
        <v>0</v>
      </c>
      <c r="AG4213" s="4">
        <v>4</v>
      </c>
      <c r="AH4213" s="4">
        <v>94</v>
      </c>
      <c r="AI4213" s="4">
        <v>97</v>
      </c>
      <c r="AJ4213" s="4">
        <v>15</v>
      </c>
      <c r="AK4213" s="4">
        <v>19</v>
      </c>
      <c r="AL4213" s="4">
        <v>48</v>
      </c>
      <c r="AM4213" s="4">
        <v>50</v>
      </c>
      <c r="AN4213" s="4">
        <v>0</v>
      </c>
      <c r="AO4213" s="4">
        <v>0</v>
      </c>
      <c r="AP4213" s="4">
        <v>23</v>
      </c>
      <c r="AQ4213" s="4">
        <v>29</v>
      </c>
      <c r="AR4213" s="3" t="s">
        <v>62</v>
      </c>
      <c r="AS4213" s="3" t="s">
        <v>62</v>
      </c>
      <c r="AT4213" s="3" t="s">
        <v>62</v>
      </c>
      <c r="AV4213" s="6" t="str">
        <f>HYPERLINK("http://mcgill.on.worldcat.org/oclc/49383813","Catalog Record")</f>
        <v>Catalog Record</v>
      </c>
      <c r="AW4213" s="6" t="str">
        <f>HYPERLINK("http://www.worldcat.org/oclc/49383813","WorldCat Record")</f>
        <v>WorldCat Record</v>
      </c>
      <c r="AX4213" s="3" t="s">
        <v>40567</v>
      </c>
      <c r="AY4213" s="3" t="s">
        <v>40568</v>
      </c>
      <c r="AZ4213" s="3" t="s">
        <v>40569</v>
      </c>
      <c r="BA4213" s="3" t="s">
        <v>40569</v>
      </c>
      <c r="BB4213" s="3" t="s">
        <v>40570</v>
      </c>
      <c r="BC4213" s="3" t="s">
        <v>142</v>
      </c>
      <c r="BD4213" s="3" t="s">
        <v>68</v>
      </c>
      <c r="BE4213" s="3" t="s">
        <v>40571</v>
      </c>
      <c r="BF4213" s="3" t="s">
        <v>40570</v>
      </c>
      <c r="BG4213" s="3" t="s">
        <v>40572</v>
      </c>
    </row>
    <row r="4214" spans="1:59" ht="57" x14ac:dyDescent="0.45">
      <c r="A4214" s="2" t="s">
        <v>59</v>
      </c>
      <c r="B4214" s="2" t="s">
        <v>60</v>
      </c>
      <c r="C4214" s="2" t="s">
        <v>40573</v>
      </c>
      <c r="D4214" s="2" t="s">
        <v>40574</v>
      </c>
      <c r="E4214" s="2" t="s">
        <v>40575</v>
      </c>
      <c r="G4214" s="3" t="s">
        <v>62</v>
      </c>
      <c r="I4214" s="3" t="s">
        <v>62</v>
      </c>
      <c r="J4214" s="3" t="s">
        <v>62</v>
      </c>
      <c r="K4214" s="3" t="s">
        <v>63</v>
      </c>
      <c r="M4214" s="2" t="s">
        <v>40576</v>
      </c>
      <c r="N4214" s="3" t="s">
        <v>1253</v>
      </c>
      <c r="P4214" s="3" t="s">
        <v>65</v>
      </c>
      <c r="R4214" s="3" t="s">
        <v>66</v>
      </c>
      <c r="S4214" s="4">
        <v>2</v>
      </c>
      <c r="T4214" s="4">
        <v>2</v>
      </c>
      <c r="U4214" s="5" t="s">
        <v>17974</v>
      </c>
      <c r="V4214" s="5" t="s">
        <v>17974</v>
      </c>
      <c r="W4214" s="5" t="s">
        <v>67</v>
      </c>
      <c r="X4214" s="5" t="s">
        <v>67</v>
      </c>
      <c r="Y4214" s="4">
        <v>429</v>
      </c>
      <c r="Z4214" s="4">
        <v>22</v>
      </c>
      <c r="AA4214" s="4">
        <v>26</v>
      </c>
      <c r="AB4214" s="4">
        <v>1</v>
      </c>
      <c r="AC4214" s="4">
        <v>2</v>
      </c>
      <c r="AD4214" s="4">
        <v>99</v>
      </c>
      <c r="AE4214" s="4">
        <v>104</v>
      </c>
      <c r="AF4214" s="4">
        <v>0</v>
      </c>
      <c r="AG4214" s="4">
        <v>1</v>
      </c>
      <c r="AH4214" s="4">
        <v>90</v>
      </c>
      <c r="AI4214" s="4">
        <v>93</v>
      </c>
      <c r="AJ4214" s="4">
        <v>14</v>
      </c>
      <c r="AK4214" s="4">
        <v>17</v>
      </c>
      <c r="AL4214" s="4">
        <v>52</v>
      </c>
      <c r="AM4214" s="4">
        <v>52</v>
      </c>
      <c r="AN4214" s="4">
        <v>0</v>
      </c>
      <c r="AO4214" s="4">
        <v>0</v>
      </c>
      <c r="AP4214" s="4">
        <v>17</v>
      </c>
      <c r="AQ4214" s="4">
        <v>21</v>
      </c>
      <c r="AR4214" s="3" t="s">
        <v>62</v>
      </c>
      <c r="AS4214" s="3" t="s">
        <v>62</v>
      </c>
      <c r="AT4214" s="3" t="s">
        <v>62</v>
      </c>
      <c r="AV4214" s="6" t="str">
        <f>HYPERLINK("http://mcgill.on.worldcat.org/oclc/34513696","Catalog Record")</f>
        <v>Catalog Record</v>
      </c>
      <c r="AW4214" s="6" t="str">
        <f>HYPERLINK("http://www.worldcat.org/oclc/34513696","WorldCat Record")</f>
        <v>WorldCat Record</v>
      </c>
      <c r="AX4214" s="3" t="s">
        <v>40577</v>
      </c>
      <c r="AY4214" s="3" t="s">
        <v>40578</v>
      </c>
      <c r="AZ4214" s="3" t="s">
        <v>40579</v>
      </c>
      <c r="BA4214" s="3" t="s">
        <v>40579</v>
      </c>
      <c r="BB4214" s="3" t="s">
        <v>40580</v>
      </c>
      <c r="BC4214" s="3" t="s">
        <v>142</v>
      </c>
      <c r="BD4214" s="3" t="s">
        <v>68</v>
      </c>
      <c r="BE4214" s="3" t="s">
        <v>40581</v>
      </c>
      <c r="BF4214" s="3" t="s">
        <v>40580</v>
      </c>
      <c r="BG4214" s="3" t="s">
        <v>40582</v>
      </c>
    </row>
    <row r="4215" spans="1:59" ht="71.25" x14ac:dyDescent="0.45">
      <c r="A4215" s="2" t="s">
        <v>59</v>
      </c>
      <c r="B4215" s="2" t="s">
        <v>60</v>
      </c>
      <c r="C4215" s="2" t="s">
        <v>40583</v>
      </c>
      <c r="D4215" s="2" t="s">
        <v>40584</v>
      </c>
      <c r="E4215" s="2" t="s">
        <v>40585</v>
      </c>
      <c r="G4215" s="3" t="s">
        <v>62</v>
      </c>
      <c r="I4215" s="3" t="s">
        <v>62</v>
      </c>
      <c r="J4215" s="3" t="s">
        <v>62</v>
      </c>
      <c r="K4215" s="3" t="s">
        <v>63</v>
      </c>
      <c r="L4215" s="2" t="s">
        <v>40586</v>
      </c>
      <c r="M4215" s="2" t="s">
        <v>21252</v>
      </c>
      <c r="N4215" s="3" t="s">
        <v>1155</v>
      </c>
      <c r="P4215" s="3" t="s">
        <v>65</v>
      </c>
      <c r="Q4215" s="2" t="s">
        <v>40587</v>
      </c>
      <c r="R4215" s="3" t="s">
        <v>66</v>
      </c>
      <c r="S4215" s="4">
        <v>1</v>
      </c>
      <c r="T4215" s="4">
        <v>1</v>
      </c>
      <c r="U4215" s="5" t="s">
        <v>40588</v>
      </c>
      <c r="V4215" s="5" t="s">
        <v>40588</v>
      </c>
      <c r="W4215" s="5" t="s">
        <v>67</v>
      </c>
      <c r="X4215" s="5" t="s">
        <v>67</v>
      </c>
      <c r="Y4215" s="4">
        <v>115</v>
      </c>
      <c r="Z4215" s="4">
        <v>14</v>
      </c>
      <c r="AA4215" s="4">
        <v>28</v>
      </c>
      <c r="AB4215" s="4">
        <v>2</v>
      </c>
      <c r="AC4215" s="4">
        <v>7</v>
      </c>
      <c r="AD4215" s="4">
        <v>63</v>
      </c>
      <c r="AE4215" s="4">
        <v>79</v>
      </c>
      <c r="AF4215" s="4">
        <v>1</v>
      </c>
      <c r="AG4215" s="4">
        <v>3</v>
      </c>
      <c r="AH4215" s="4">
        <v>58</v>
      </c>
      <c r="AI4215" s="4">
        <v>66</v>
      </c>
      <c r="AJ4215" s="4">
        <v>11</v>
      </c>
      <c r="AK4215" s="4">
        <v>17</v>
      </c>
      <c r="AL4215" s="4">
        <v>36</v>
      </c>
      <c r="AM4215" s="4">
        <v>39</v>
      </c>
      <c r="AN4215" s="4">
        <v>0</v>
      </c>
      <c r="AO4215" s="4">
        <v>0</v>
      </c>
      <c r="AP4215" s="4">
        <v>12</v>
      </c>
      <c r="AQ4215" s="4">
        <v>23</v>
      </c>
      <c r="AR4215" s="3" t="s">
        <v>62</v>
      </c>
      <c r="AS4215" s="3" t="s">
        <v>62</v>
      </c>
      <c r="AT4215" s="3" t="s">
        <v>62</v>
      </c>
      <c r="AV4215" s="6" t="str">
        <f>HYPERLINK("http://mcgill.on.worldcat.org/oclc/759583738","Catalog Record")</f>
        <v>Catalog Record</v>
      </c>
      <c r="AW4215" s="6" t="str">
        <f>HYPERLINK("http://www.worldcat.org/oclc/759583738","WorldCat Record")</f>
        <v>WorldCat Record</v>
      </c>
      <c r="AX4215" s="3" t="s">
        <v>40589</v>
      </c>
      <c r="AY4215" s="3" t="s">
        <v>40590</v>
      </c>
      <c r="AZ4215" s="3" t="s">
        <v>40591</v>
      </c>
      <c r="BA4215" s="3" t="s">
        <v>40591</v>
      </c>
      <c r="BB4215" s="3" t="s">
        <v>40592</v>
      </c>
      <c r="BC4215" s="3" t="s">
        <v>142</v>
      </c>
      <c r="BD4215" s="3" t="s">
        <v>68</v>
      </c>
      <c r="BE4215" s="3" t="s">
        <v>40593</v>
      </c>
      <c r="BF4215" s="3" t="s">
        <v>40592</v>
      </c>
      <c r="BG4215" s="3" t="s">
        <v>40594</v>
      </c>
    </row>
    <row r="4216" spans="1:59" ht="57" x14ac:dyDescent="0.45">
      <c r="A4216" s="2" t="s">
        <v>59</v>
      </c>
      <c r="B4216" s="2" t="s">
        <v>60</v>
      </c>
      <c r="C4216" s="2" t="s">
        <v>40595</v>
      </c>
      <c r="D4216" s="2" t="s">
        <v>40596</v>
      </c>
      <c r="E4216" s="2" t="s">
        <v>40597</v>
      </c>
      <c r="G4216" s="3" t="s">
        <v>62</v>
      </c>
      <c r="I4216" s="3" t="s">
        <v>62</v>
      </c>
      <c r="J4216" s="3" t="s">
        <v>62</v>
      </c>
      <c r="K4216" s="3" t="s">
        <v>63</v>
      </c>
      <c r="L4216" s="2" t="s">
        <v>40598</v>
      </c>
      <c r="M4216" s="2" t="s">
        <v>40599</v>
      </c>
      <c r="N4216" s="3" t="s">
        <v>149</v>
      </c>
      <c r="P4216" s="3" t="s">
        <v>65</v>
      </c>
      <c r="Q4216" s="2" t="s">
        <v>40600</v>
      </c>
      <c r="R4216" s="3" t="s">
        <v>66</v>
      </c>
      <c r="S4216" s="4">
        <v>0</v>
      </c>
      <c r="T4216" s="4">
        <v>0</v>
      </c>
      <c r="W4216" s="5" t="s">
        <v>67</v>
      </c>
      <c r="X4216" s="5" t="s">
        <v>67</v>
      </c>
      <c r="Y4216" s="4">
        <v>114</v>
      </c>
      <c r="Z4216" s="4">
        <v>15</v>
      </c>
      <c r="AA4216" s="4">
        <v>32</v>
      </c>
      <c r="AB4216" s="4">
        <v>1</v>
      </c>
      <c r="AC4216" s="4">
        <v>3</v>
      </c>
      <c r="AD4216" s="4">
        <v>54</v>
      </c>
      <c r="AE4216" s="4">
        <v>85</v>
      </c>
      <c r="AF4216" s="4">
        <v>0</v>
      </c>
      <c r="AG4216" s="4">
        <v>1</v>
      </c>
      <c r="AH4216" s="4">
        <v>47</v>
      </c>
      <c r="AI4216" s="4">
        <v>70</v>
      </c>
      <c r="AJ4216" s="4">
        <v>12</v>
      </c>
      <c r="AK4216" s="4">
        <v>16</v>
      </c>
      <c r="AL4216" s="4">
        <v>29</v>
      </c>
      <c r="AM4216" s="4">
        <v>39</v>
      </c>
      <c r="AN4216" s="4">
        <v>0</v>
      </c>
      <c r="AO4216" s="4">
        <v>0</v>
      </c>
      <c r="AP4216" s="4">
        <v>12</v>
      </c>
      <c r="AQ4216" s="4">
        <v>23</v>
      </c>
      <c r="AR4216" s="3" t="s">
        <v>62</v>
      </c>
      <c r="AS4216" s="3" t="s">
        <v>62</v>
      </c>
      <c r="AT4216" s="3" t="s">
        <v>62</v>
      </c>
      <c r="AV4216" s="6" t="str">
        <f>HYPERLINK("http://mcgill.on.worldcat.org/oclc/608491951","Catalog Record")</f>
        <v>Catalog Record</v>
      </c>
      <c r="AW4216" s="6" t="str">
        <f>HYPERLINK("http://www.worldcat.org/oclc/608491951","WorldCat Record")</f>
        <v>WorldCat Record</v>
      </c>
      <c r="AX4216" s="3" t="s">
        <v>40601</v>
      </c>
      <c r="AY4216" s="3" t="s">
        <v>40602</v>
      </c>
      <c r="AZ4216" s="3" t="s">
        <v>40603</v>
      </c>
      <c r="BA4216" s="3" t="s">
        <v>40603</v>
      </c>
      <c r="BB4216" s="3" t="s">
        <v>40604</v>
      </c>
      <c r="BC4216" s="3" t="s">
        <v>142</v>
      </c>
      <c r="BD4216" s="3" t="s">
        <v>68</v>
      </c>
      <c r="BE4216" s="3" t="s">
        <v>40605</v>
      </c>
      <c r="BF4216" s="3" t="s">
        <v>40604</v>
      </c>
      <c r="BG4216" s="3" t="s">
        <v>40606</v>
      </c>
    </row>
    <row r="4217" spans="1:59" ht="57" x14ac:dyDescent="0.45">
      <c r="A4217" s="2" t="s">
        <v>59</v>
      </c>
      <c r="B4217" s="2" t="s">
        <v>60</v>
      </c>
      <c r="C4217" s="2" t="s">
        <v>40607</v>
      </c>
      <c r="D4217" s="2" t="s">
        <v>40608</v>
      </c>
      <c r="E4217" s="2" t="s">
        <v>40609</v>
      </c>
      <c r="G4217" s="3" t="s">
        <v>62</v>
      </c>
      <c r="I4217" s="3" t="s">
        <v>62</v>
      </c>
      <c r="J4217" s="3" t="s">
        <v>62</v>
      </c>
      <c r="K4217" s="3" t="s">
        <v>63</v>
      </c>
      <c r="M4217" s="2" t="s">
        <v>2964</v>
      </c>
      <c r="N4217" s="3" t="s">
        <v>1059</v>
      </c>
      <c r="P4217" s="3" t="s">
        <v>65</v>
      </c>
      <c r="Q4217" s="2" t="s">
        <v>40610</v>
      </c>
      <c r="R4217" s="3" t="s">
        <v>66</v>
      </c>
      <c r="S4217" s="4">
        <v>14</v>
      </c>
      <c r="T4217" s="4">
        <v>14</v>
      </c>
      <c r="U4217" s="5" t="s">
        <v>3985</v>
      </c>
      <c r="V4217" s="5" t="s">
        <v>3985</v>
      </c>
      <c r="W4217" s="5" t="s">
        <v>67</v>
      </c>
      <c r="X4217" s="5" t="s">
        <v>67</v>
      </c>
      <c r="Y4217" s="4">
        <v>112</v>
      </c>
      <c r="Z4217" s="4">
        <v>11</v>
      </c>
      <c r="AA4217" s="4">
        <v>101</v>
      </c>
      <c r="AB4217" s="4">
        <v>1</v>
      </c>
      <c r="AC4217" s="4">
        <v>17</v>
      </c>
      <c r="AD4217" s="4">
        <v>50</v>
      </c>
      <c r="AE4217" s="4">
        <v>123</v>
      </c>
      <c r="AF4217" s="4">
        <v>0</v>
      </c>
      <c r="AG4217" s="4">
        <v>8</v>
      </c>
      <c r="AH4217" s="4">
        <v>45</v>
      </c>
      <c r="AI4217" s="4">
        <v>86</v>
      </c>
      <c r="AJ4217" s="4">
        <v>8</v>
      </c>
      <c r="AK4217" s="4">
        <v>22</v>
      </c>
      <c r="AL4217" s="4">
        <v>30</v>
      </c>
      <c r="AM4217" s="4">
        <v>46</v>
      </c>
      <c r="AN4217" s="4">
        <v>0</v>
      </c>
      <c r="AO4217" s="4">
        <v>0</v>
      </c>
      <c r="AP4217" s="4">
        <v>9</v>
      </c>
      <c r="AQ4217" s="4">
        <v>43</v>
      </c>
      <c r="AR4217" s="3" t="s">
        <v>62</v>
      </c>
      <c r="AS4217" s="3" t="s">
        <v>62</v>
      </c>
      <c r="AT4217" s="3" t="s">
        <v>62</v>
      </c>
      <c r="AV4217" s="6" t="str">
        <f>HYPERLINK("http://mcgill.on.worldcat.org/oclc/71427472","Catalog Record")</f>
        <v>Catalog Record</v>
      </c>
      <c r="AW4217" s="6" t="str">
        <f>HYPERLINK("http://www.worldcat.org/oclc/71427472","WorldCat Record")</f>
        <v>WorldCat Record</v>
      </c>
      <c r="AX4217" s="3" t="s">
        <v>40611</v>
      </c>
      <c r="AY4217" s="3" t="s">
        <v>40612</v>
      </c>
      <c r="AZ4217" s="3" t="s">
        <v>40613</v>
      </c>
      <c r="BA4217" s="3" t="s">
        <v>40613</v>
      </c>
      <c r="BB4217" s="3" t="s">
        <v>40614</v>
      </c>
      <c r="BC4217" s="3" t="s">
        <v>142</v>
      </c>
      <c r="BD4217" s="3" t="s">
        <v>68</v>
      </c>
      <c r="BE4217" s="3" t="s">
        <v>40615</v>
      </c>
      <c r="BF4217" s="3" t="s">
        <v>40614</v>
      </c>
      <c r="BG4217" s="3" t="s">
        <v>40616</v>
      </c>
    </row>
    <row r="4218" spans="1:59" ht="57" x14ac:dyDescent="0.45">
      <c r="A4218" s="2" t="s">
        <v>59</v>
      </c>
      <c r="B4218" s="2" t="s">
        <v>60</v>
      </c>
      <c r="C4218" s="2" t="s">
        <v>40617</v>
      </c>
      <c r="D4218" s="2" t="s">
        <v>40618</v>
      </c>
      <c r="E4218" s="2" t="s">
        <v>40619</v>
      </c>
      <c r="G4218" s="3" t="s">
        <v>62</v>
      </c>
      <c r="I4218" s="3" t="s">
        <v>62</v>
      </c>
      <c r="J4218" s="3" t="s">
        <v>62</v>
      </c>
      <c r="K4218" s="3" t="s">
        <v>63</v>
      </c>
      <c r="M4218" s="2" t="s">
        <v>40620</v>
      </c>
      <c r="N4218" s="3" t="s">
        <v>2417</v>
      </c>
      <c r="P4218" s="3" t="s">
        <v>65</v>
      </c>
      <c r="R4218" s="3" t="s">
        <v>66</v>
      </c>
      <c r="S4218" s="4">
        <v>46</v>
      </c>
      <c r="T4218" s="4">
        <v>46</v>
      </c>
      <c r="U4218" s="5" t="s">
        <v>35662</v>
      </c>
      <c r="V4218" s="5" t="s">
        <v>35662</v>
      </c>
      <c r="W4218" s="5" t="s">
        <v>67</v>
      </c>
      <c r="X4218" s="5" t="s">
        <v>67</v>
      </c>
      <c r="Y4218" s="4">
        <v>431</v>
      </c>
      <c r="Z4218" s="4">
        <v>25</v>
      </c>
      <c r="AA4218" s="4">
        <v>28</v>
      </c>
      <c r="AB4218" s="4">
        <v>3</v>
      </c>
      <c r="AC4218" s="4">
        <v>6</v>
      </c>
      <c r="AD4218" s="4">
        <v>114</v>
      </c>
      <c r="AE4218" s="4">
        <v>117</v>
      </c>
      <c r="AF4218" s="4">
        <v>1</v>
      </c>
      <c r="AG4218" s="4">
        <v>4</v>
      </c>
      <c r="AH4218" s="4">
        <v>100</v>
      </c>
      <c r="AI4218" s="4">
        <v>100</v>
      </c>
      <c r="AJ4218" s="4">
        <v>18</v>
      </c>
      <c r="AK4218" s="4">
        <v>21</v>
      </c>
      <c r="AL4218" s="4">
        <v>55</v>
      </c>
      <c r="AM4218" s="4">
        <v>55</v>
      </c>
      <c r="AN4218" s="4">
        <v>0</v>
      </c>
      <c r="AO4218" s="4">
        <v>0</v>
      </c>
      <c r="AP4218" s="4">
        <v>21</v>
      </c>
      <c r="AQ4218" s="4">
        <v>23</v>
      </c>
      <c r="AR4218" s="3" t="s">
        <v>62</v>
      </c>
      <c r="AS4218" s="3" t="s">
        <v>62</v>
      </c>
      <c r="AT4218" s="3" t="s">
        <v>62</v>
      </c>
      <c r="AV4218" s="6" t="str">
        <f>HYPERLINK("http://mcgill.on.worldcat.org/oclc/17353926","Catalog Record")</f>
        <v>Catalog Record</v>
      </c>
      <c r="AW4218" s="6" t="str">
        <f>HYPERLINK("http://www.worldcat.org/oclc/17353926","WorldCat Record")</f>
        <v>WorldCat Record</v>
      </c>
      <c r="AX4218" s="3" t="s">
        <v>40621</v>
      </c>
      <c r="AY4218" s="3" t="s">
        <v>40622</v>
      </c>
      <c r="AZ4218" s="3" t="s">
        <v>40623</v>
      </c>
      <c r="BA4218" s="3" t="s">
        <v>40623</v>
      </c>
      <c r="BB4218" s="3" t="s">
        <v>40624</v>
      </c>
      <c r="BC4218" s="3" t="s">
        <v>142</v>
      </c>
      <c r="BD4218" s="3" t="s">
        <v>68</v>
      </c>
      <c r="BE4218" s="3" t="s">
        <v>40625</v>
      </c>
      <c r="BF4218" s="3" t="s">
        <v>40624</v>
      </c>
      <c r="BG4218" s="3" t="s">
        <v>40626</v>
      </c>
    </row>
    <row r="4219" spans="1:59" ht="57" x14ac:dyDescent="0.45">
      <c r="A4219" s="2" t="s">
        <v>59</v>
      </c>
      <c r="B4219" s="2" t="s">
        <v>60</v>
      </c>
      <c r="C4219" s="2" t="s">
        <v>40627</v>
      </c>
      <c r="D4219" s="2" t="s">
        <v>40628</v>
      </c>
      <c r="E4219" s="2" t="s">
        <v>40629</v>
      </c>
      <c r="G4219" s="3" t="s">
        <v>62</v>
      </c>
      <c r="I4219" s="3" t="s">
        <v>62</v>
      </c>
      <c r="J4219" s="3" t="s">
        <v>62</v>
      </c>
      <c r="K4219" s="3" t="s">
        <v>63</v>
      </c>
      <c r="L4219" s="2" t="s">
        <v>40630</v>
      </c>
      <c r="M4219" s="2" t="s">
        <v>40631</v>
      </c>
      <c r="N4219" s="3" t="s">
        <v>820</v>
      </c>
      <c r="P4219" s="3" t="s">
        <v>65</v>
      </c>
      <c r="Q4219" s="2" t="s">
        <v>40632</v>
      </c>
      <c r="R4219" s="3" t="s">
        <v>66</v>
      </c>
      <c r="S4219" s="4">
        <v>10</v>
      </c>
      <c r="T4219" s="4">
        <v>10</v>
      </c>
      <c r="U4219" s="5" t="s">
        <v>40633</v>
      </c>
      <c r="V4219" s="5" t="s">
        <v>40633</v>
      </c>
      <c r="W4219" s="5" t="s">
        <v>67</v>
      </c>
      <c r="X4219" s="5" t="s">
        <v>67</v>
      </c>
      <c r="Y4219" s="4">
        <v>523</v>
      </c>
      <c r="Z4219" s="4">
        <v>35</v>
      </c>
      <c r="AA4219" s="4">
        <v>68</v>
      </c>
      <c r="AB4219" s="4">
        <v>2</v>
      </c>
      <c r="AC4219" s="4">
        <v>9</v>
      </c>
      <c r="AD4219" s="4">
        <v>108</v>
      </c>
      <c r="AE4219" s="4">
        <v>134</v>
      </c>
      <c r="AF4219" s="4">
        <v>1</v>
      </c>
      <c r="AG4219" s="4">
        <v>5</v>
      </c>
      <c r="AH4219" s="4">
        <v>90</v>
      </c>
      <c r="AI4219" s="4">
        <v>104</v>
      </c>
      <c r="AJ4219" s="4">
        <v>18</v>
      </c>
      <c r="AK4219" s="4">
        <v>23</v>
      </c>
      <c r="AL4219" s="4">
        <v>51</v>
      </c>
      <c r="AM4219" s="4">
        <v>57</v>
      </c>
      <c r="AN4219" s="4">
        <v>0</v>
      </c>
      <c r="AO4219" s="4">
        <v>0</v>
      </c>
      <c r="AP4219" s="4">
        <v>26</v>
      </c>
      <c r="AQ4219" s="4">
        <v>38</v>
      </c>
      <c r="AR4219" s="3" t="s">
        <v>62</v>
      </c>
      <c r="AS4219" s="3" t="s">
        <v>62</v>
      </c>
      <c r="AT4219" s="3" t="s">
        <v>62</v>
      </c>
      <c r="AV4219" s="6" t="str">
        <f>HYPERLINK("http://mcgill.on.worldcat.org/oclc/214322845","Catalog Record")</f>
        <v>Catalog Record</v>
      </c>
      <c r="AW4219" s="6" t="str">
        <f>HYPERLINK("http://www.worldcat.org/oclc/214322845","WorldCat Record")</f>
        <v>WorldCat Record</v>
      </c>
      <c r="AX4219" s="3" t="s">
        <v>40634</v>
      </c>
      <c r="AY4219" s="3" t="s">
        <v>40635</v>
      </c>
      <c r="AZ4219" s="3" t="s">
        <v>40636</v>
      </c>
      <c r="BA4219" s="3" t="s">
        <v>40636</v>
      </c>
      <c r="BB4219" s="3" t="s">
        <v>40637</v>
      </c>
      <c r="BC4219" s="3" t="s">
        <v>142</v>
      </c>
      <c r="BD4219" s="3" t="s">
        <v>68</v>
      </c>
      <c r="BE4219" s="3" t="s">
        <v>40638</v>
      </c>
      <c r="BF4219" s="3" t="s">
        <v>40637</v>
      </c>
      <c r="BG4219" s="3" t="s">
        <v>40639</v>
      </c>
    </row>
    <row r="4220" spans="1:59" ht="57" x14ac:dyDescent="0.45">
      <c r="A4220" s="2" t="s">
        <v>59</v>
      </c>
      <c r="B4220" s="2" t="s">
        <v>60</v>
      </c>
      <c r="C4220" s="2" t="s">
        <v>40640</v>
      </c>
      <c r="D4220" s="2" t="s">
        <v>40641</v>
      </c>
      <c r="E4220" s="2" t="s">
        <v>40642</v>
      </c>
      <c r="G4220" s="3" t="s">
        <v>62</v>
      </c>
      <c r="I4220" s="3" t="s">
        <v>62</v>
      </c>
      <c r="J4220" s="3" t="s">
        <v>62</v>
      </c>
      <c r="K4220" s="3" t="s">
        <v>63</v>
      </c>
      <c r="L4220" s="2" t="s">
        <v>40643</v>
      </c>
      <c r="M4220" s="2" t="s">
        <v>7465</v>
      </c>
      <c r="N4220" s="3" t="s">
        <v>820</v>
      </c>
      <c r="P4220" s="3" t="s">
        <v>65</v>
      </c>
      <c r="R4220" s="3" t="s">
        <v>66</v>
      </c>
      <c r="S4220" s="4">
        <v>15</v>
      </c>
      <c r="T4220" s="4">
        <v>15</v>
      </c>
      <c r="U4220" s="5" t="s">
        <v>40644</v>
      </c>
      <c r="V4220" s="5" t="s">
        <v>40644</v>
      </c>
      <c r="W4220" s="5" t="s">
        <v>67</v>
      </c>
      <c r="X4220" s="5" t="s">
        <v>67</v>
      </c>
      <c r="Y4220" s="4">
        <v>210</v>
      </c>
      <c r="Z4220" s="4">
        <v>25</v>
      </c>
      <c r="AA4220" s="4">
        <v>84</v>
      </c>
      <c r="AB4220" s="4">
        <v>2</v>
      </c>
      <c r="AC4220" s="4">
        <v>14</v>
      </c>
      <c r="AD4220" s="4">
        <v>88</v>
      </c>
      <c r="AE4220" s="4">
        <v>124</v>
      </c>
      <c r="AF4220" s="4">
        <v>1</v>
      </c>
      <c r="AG4220" s="4">
        <v>8</v>
      </c>
      <c r="AH4220" s="4">
        <v>76</v>
      </c>
      <c r="AI4220" s="4">
        <v>90</v>
      </c>
      <c r="AJ4220" s="4">
        <v>14</v>
      </c>
      <c r="AK4220" s="4">
        <v>21</v>
      </c>
      <c r="AL4220" s="4">
        <v>44</v>
      </c>
      <c r="AM4220" s="4">
        <v>51</v>
      </c>
      <c r="AN4220" s="4">
        <v>0</v>
      </c>
      <c r="AO4220" s="4">
        <v>0</v>
      </c>
      <c r="AP4220" s="4">
        <v>18</v>
      </c>
      <c r="AQ4220" s="4">
        <v>42</v>
      </c>
      <c r="AR4220" s="3" t="s">
        <v>62</v>
      </c>
      <c r="AS4220" s="3" t="s">
        <v>62</v>
      </c>
      <c r="AT4220" s="3" t="s">
        <v>61</v>
      </c>
      <c r="AU4220" s="6" t="str">
        <f>HYPERLINK("http://catalog.hathitrust.org/Record/006813763","HathiTrust Record")</f>
        <v>HathiTrust Record</v>
      </c>
      <c r="AV4220" s="6" t="str">
        <f>HYPERLINK("http://mcgill.on.worldcat.org/oclc/129951642","Catalog Record")</f>
        <v>Catalog Record</v>
      </c>
      <c r="AW4220" s="6" t="str">
        <f>HYPERLINK("http://www.worldcat.org/oclc/129951642","WorldCat Record")</f>
        <v>WorldCat Record</v>
      </c>
      <c r="AX4220" s="3" t="s">
        <v>40645</v>
      </c>
      <c r="AY4220" s="3" t="s">
        <v>40646</v>
      </c>
      <c r="AZ4220" s="3" t="s">
        <v>40647</v>
      </c>
      <c r="BA4220" s="3" t="s">
        <v>40647</v>
      </c>
      <c r="BB4220" s="3" t="s">
        <v>40648</v>
      </c>
      <c r="BC4220" s="3" t="s">
        <v>142</v>
      </c>
      <c r="BD4220" s="3" t="s">
        <v>68</v>
      </c>
      <c r="BE4220" s="3" t="s">
        <v>40649</v>
      </c>
      <c r="BF4220" s="3" t="s">
        <v>40648</v>
      </c>
      <c r="BG4220" s="3" t="s">
        <v>40650</v>
      </c>
    </row>
    <row r="4221" spans="1:59" ht="57" x14ac:dyDescent="0.45">
      <c r="A4221" s="2" t="s">
        <v>59</v>
      </c>
      <c r="B4221" s="2" t="s">
        <v>60</v>
      </c>
      <c r="C4221" s="2" t="s">
        <v>40651</v>
      </c>
      <c r="D4221" s="2" t="s">
        <v>40652</v>
      </c>
      <c r="E4221" s="2" t="s">
        <v>40653</v>
      </c>
      <c r="G4221" s="3" t="s">
        <v>62</v>
      </c>
      <c r="I4221" s="3" t="s">
        <v>62</v>
      </c>
      <c r="J4221" s="3" t="s">
        <v>62</v>
      </c>
      <c r="K4221" s="3" t="s">
        <v>63</v>
      </c>
      <c r="L4221" s="2" t="s">
        <v>40643</v>
      </c>
      <c r="M4221" s="2" t="s">
        <v>2882</v>
      </c>
      <c r="N4221" s="3" t="s">
        <v>1688</v>
      </c>
      <c r="P4221" s="3" t="s">
        <v>65</v>
      </c>
      <c r="R4221" s="3" t="s">
        <v>66</v>
      </c>
      <c r="S4221" s="4">
        <v>2</v>
      </c>
      <c r="T4221" s="4">
        <v>2</v>
      </c>
      <c r="U4221" s="5" t="s">
        <v>13158</v>
      </c>
      <c r="V4221" s="5" t="s">
        <v>13158</v>
      </c>
      <c r="W4221" s="5" t="s">
        <v>67</v>
      </c>
      <c r="X4221" s="5" t="s">
        <v>67</v>
      </c>
      <c r="Y4221" s="4">
        <v>136</v>
      </c>
      <c r="Z4221" s="4">
        <v>17</v>
      </c>
      <c r="AA4221" s="4">
        <v>21</v>
      </c>
      <c r="AB4221" s="4">
        <v>1</v>
      </c>
      <c r="AC4221" s="4">
        <v>4</v>
      </c>
      <c r="AD4221" s="4">
        <v>61</v>
      </c>
      <c r="AE4221" s="4">
        <v>66</v>
      </c>
      <c r="AF4221" s="4">
        <v>0</v>
      </c>
      <c r="AG4221" s="4">
        <v>1</v>
      </c>
      <c r="AH4221" s="4">
        <v>57</v>
      </c>
      <c r="AI4221" s="4">
        <v>61</v>
      </c>
      <c r="AJ4221" s="4">
        <v>13</v>
      </c>
      <c r="AK4221" s="4">
        <v>15</v>
      </c>
      <c r="AL4221" s="4">
        <v>35</v>
      </c>
      <c r="AM4221" s="4">
        <v>38</v>
      </c>
      <c r="AN4221" s="4">
        <v>0</v>
      </c>
      <c r="AO4221" s="4">
        <v>0</v>
      </c>
      <c r="AP4221" s="4">
        <v>13</v>
      </c>
      <c r="AQ4221" s="4">
        <v>15</v>
      </c>
      <c r="AR4221" s="3" t="s">
        <v>62</v>
      </c>
      <c r="AS4221" s="3" t="s">
        <v>62</v>
      </c>
      <c r="AT4221" s="3" t="s">
        <v>62</v>
      </c>
      <c r="AV4221" s="6" t="str">
        <f>HYPERLINK("http://mcgill.on.worldcat.org/oclc/849210022","Catalog Record")</f>
        <v>Catalog Record</v>
      </c>
      <c r="AW4221" s="6" t="str">
        <f>HYPERLINK("http://www.worldcat.org/oclc/849210022","WorldCat Record")</f>
        <v>WorldCat Record</v>
      </c>
      <c r="AX4221" s="3" t="s">
        <v>40654</v>
      </c>
      <c r="AY4221" s="3" t="s">
        <v>40655</v>
      </c>
      <c r="AZ4221" s="3" t="s">
        <v>40656</v>
      </c>
      <c r="BA4221" s="3" t="s">
        <v>40656</v>
      </c>
      <c r="BB4221" s="3" t="s">
        <v>40657</v>
      </c>
      <c r="BC4221" s="3" t="s">
        <v>142</v>
      </c>
      <c r="BD4221" s="3" t="s">
        <v>68</v>
      </c>
      <c r="BE4221" s="3" t="s">
        <v>40658</v>
      </c>
      <c r="BF4221" s="3" t="s">
        <v>40657</v>
      </c>
      <c r="BG4221" s="3" t="s">
        <v>40659</v>
      </c>
    </row>
    <row r="4222" spans="1:59" ht="57" x14ac:dyDescent="0.45">
      <c r="A4222" s="2" t="s">
        <v>59</v>
      </c>
      <c r="B4222" s="2" t="s">
        <v>60</v>
      </c>
      <c r="C4222" s="2" t="s">
        <v>40660</v>
      </c>
      <c r="D4222" s="2" t="s">
        <v>40661</v>
      </c>
      <c r="E4222" s="2" t="s">
        <v>40662</v>
      </c>
      <c r="G4222" s="3" t="s">
        <v>62</v>
      </c>
      <c r="I4222" s="3" t="s">
        <v>62</v>
      </c>
      <c r="J4222" s="3" t="s">
        <v>62</v>
      </c>
      <c r="K4222" s="3" t="s">
        <v>63</v>
      </c>
      <c r="L4222" s="2" t="s">
        <v>5567</v>
      </c>
      <c r="M4222" s="2" t="s">
        <v>40663</v>
      </c>
      <c r="N4222" s="3" t="s">
        <v>945</v>
      </c>
      <c r="P4222" s="3" t="s">
        <v>65</v>
      </c>
      <c r="R4222" s="3" t="s">
        <v>66</v>
      </c>
      <c r="S4222" s="4">
        <v>14</v>
      </c>
      <c r="T4222" s="4">
        <v>14</v>
      </c>
      <c r="U4222" s="5" t="s">
        <v>4570</v>
      </c>
      <c r="V4222" s="5" t="s">
        <v>4570</v>
      </c>
      <c r="W4222" s="5" t="s">
        <v>67</v>
      </c>
      <c r="X4222" s="5" t="s">
        <v>67</v>
      </c>
      <c r="Y4222" s="4">
        <v>534</v>
      </c>
      <c r="Z4222" s="4">
        <v>32</v>
      </c>
      <c r="AA4222" s="4">
        <v>50</v>
      </c>
      <c r="AB4222" s="4">
        <v>2</v>
      </c>
      <c r="AC4222" s="4">
        <v>5</v>
      </c>
      <c r="AD4222" s="4">
        <v>101</v>
      </c>
      <c r="AE4222" s="4">
        <v>116</v>
      </c>
      <c r="AF4222" s="4">
        <v>1</v>
      </c>
      <c r="AG4222" s="4">
        <v>2</v>
      </c>
      <c r="AH4222" s="4">
        <v>90</v>
      </c>
      <c r="AI4222" s="4">
        <v>98</v>
      </c>
      <c r="AJ4222" s="4">
        <v>12</v>
      </c>
      <c r="AK4222" s="4">
        <v>20</v>
      </c>
      <c r="AL4222" s="4">
        <v>53</v>
      </c>
      <c r="AM4222" s="4">
        <v>56</v>
      </c>
      <c r="AN4222" s="4">
        <v>0</v>
      </c>
      <c r="AO4222" s="4">
        <v>0</v>
      </c>
      <c r="AP4222" s="4">
        <v>16</v>
      </c>
      <c r="AQ4222" s="4">
        <v>27</v>
      </c>
      <c r="AR4222" s="3" t="s">
        <v>62</v>
      </c>
      <c r="AS4222" s="3" t="s">
        <v>62</v>
      </c>
      <c r="AT4222" s="3" t="s">
        <v>61</v>
      </c>
      <c r="AU4222" s="6" t="str">
        <f>HYPERLINK("http://catalog.hathitrust.org/Record/005627044","HathiTrust Record")</f>
        <v>HathiTrust Record</v>
      </c>
      <c r="AV4222" s="6" t="str">
        <f>HYPERLINK("http://mcgill.on.worldcat.org/oclc/174501182","Catalog Record")</f>
        <v>Catalog Record</v>
      </c>
      <c r="AW4222" s="6" t="str">
        <f>HYPERLINK("http://www.worldcat.org/oclc/174501182","WorldCat Record")</f>
        <v>WorldCat Record</v>
      </c>
      <c r="AX4222" s="3" t="s">
        <v>40664</v>
      </c>
      <c r="AY4222" s="3" t="s">
        <v>40665</v>
      </c>
      <c r="AZ4222" s="3" t="s">
        <v>40666</v>
      </c>
      <c r="BA4222" s="3" t="s">
        <v>40666</v>
      </c>
      <c r="BB4222" s="3" t="s">
        <v>40667</v>
      </c>
      <c r="BC4222" s="3" t="s">
        <v>142</v>
      </c>
      <c r="BD4222" s="3" t="s">
        <v>68</v>
      </c>
      <c r="BE4222" s="3" t="s">
        <v>40668</v>
      </c>
      <c r="BF4222" s="3" t="s">
        <v>40667</v>
      </c>
      <c r="BG4222" s="3" t="s">
        <v>40669</v>
      </c>
    </row>
    <row r="4223" spans="1:59" ht="57" x14ac:dyDescent="0.45">
      <c r="A4223" s="2" t="s">
        <v>59</v>
      </c>
      <c r="B4223" s="2" t="s">
        <v>60</v>
      </c>
      <c r="C4223" s="2" t="s">
        <v>40670</v>
      </c>
      <c r="D4223" s="2" t="s">
        <v>40671</v>
      </c>
      <c r="E4223" s="2" t="s">
        <v>40672</v>
      </c>
      <c r="G4223" s="3" t="s">
        <v>62</v>
      </c>
      <c r="I4223" s="3" t="s">
        <v>62</v>
      </c>
      <c r="J4223" s="3" t="s">
        <v>62</v>
      </c>
      <c r="K4223" s="3" t="s">
        <v>63</v>
      </c>
      <c r="L4223" s="2" t="s">
        <v>5567</v>
      </c>
      <c r="M4223" s="2" t="s">
        <v>6523</v>
      </c>
      <c r="N4223" s="3" t="s">
        <v>1059</v>
      </c>
      <c r="P4223" s="3" t="s">
        <v>65</v>
      </c>
      <c r="R4223" s="3" t="s">
        <v>66</v>
      </c>
      <c r="S4223" s="4">
        <v>11</v>
      </c>
      <c r="T4223" s="4">
        <v>11</v>
      </c>
      <c r="U4223" s="5" t="s">
        <v>17714</v>
      </c>
      <c r="V4223" s="5" t="s">
        <v>17714</v>
      </c>
      <c r="W4223" s="5" t="s">
        <v>67</v>
      </c>
      <c r="X4223" s="5" t="s">
        <v>67</v>
      </c>
      <c r="Y4223" s="4">
        <v>305</v>
      </c>
      <c r="Z4223" s="4">
        <v>25</v>
      </c>
      <c r="AA4223" s="4">
        <v>31</v>
      </c>
      <c r="AB4223" s="4">
        <v>2</v>
      </c>
      <c r="AC4223" s="4">
        <v>5</v>
      </c>
      <c r="AD4223" s="4">
        <v>92</v>
      </c>
      <c r="AE4223" s="4">
        <v>94</v>
      </c>
      <c r="AF4223" s="4">
        <v>1</v>
      </c>
      <c r="AG4223" s="4">
        <v>1</v>
      </c>
      <c r="AH4223" s="4">
        <v>80</v>
      </c>
      <c r="AI4223" s="4">
        <v>80</v>
      </c>
      <c r="AJ4223" s="4">
        <v>16</v>
      </c>
      <c r="AK4223" s="4">
        <v>16</v>
      </c>
      <c r="AL4223" s="4">
        <v>45</v>
      </c>
      <c r="AM4223" s="4">
        <v>45</v>
      </c>
      <c r="AN4223" s="4">
        <v>0</v>
      </c>
      <c r="AO4223" s="4">
        <v>0</v>
      </c>
      <c r="AP4223" s="4">
        <v>20</v>
      </c>
      <c r="AQ4223" s="4">
        <v>22</v>
      </c>
      <c r="AR4223" s="3" t="s">
        <v>62</v>
      </c>
      <c r="AS4223" s="3" t="s">
        <v>62</v>
      </c>
      <c r="AT4223" s="3" t="s">
        <v>62</v>
      </c>
      <c r="AV4223" s="6" t="str">
        <f>HYPERLINK("http://mcgill.on.worldcat.org/oclc/60791634","Catalog Record")</f>
        <v>Catalog Record</v>
      </c>
      <c r="AW4223" s="6" t="str">
        <f>HYPERLINK("http://www.worldcat.org/oclc/60791634","WorldCat Record")</f>
        <v>WorldCat Record</v>
      </c>
      <c r="AX4223" s="3" t="s">
        <v>40673</v>
      </c>
      <c r="AY4223" s="3" t="s">
        <v>40674</v>
      </c>
      <c r="AZ4223" s="3" t="s">
        <v>40675</v>
      </c>
      <c r="BA4223" s="3" t="s">
        <v>40675</v>
      </c>
      <c r="BB4223" s="3" t="s">
        <v>40676</v>
      </c>
      <c r="BC4223" s="3" t="s">
        <v>142</v>
      </c>
      <c r="BD4223" s="3" t="s">
        <v>68</v>
      </c>
      <c r="BE4223" s="3" t="s">
        <v>40677</v>
      </c>
      <c r="BF4223" s="3" t="s">
        <v>40676</v>
      </c>
      <c r="BG4223" s="3" t="s">
        <v>40678</v>
      </c>
    </row>
    <row r="4224" spans="1:59" ht="57" x14ac:dyDescent="0.45">
      <c r="A4224" s="2" t="s">
        <v>59</v>
      </c>
      <c r="B4224" s="2" t="s">
        <v>60</v>
      </c>
      <c r="C4224" s="2" t="s">
        <v>40679</v>
      </c>
      <c r="D4224" s="2" t="s">
        <v>40680</v>
      </c>
      <c r="E4224" s="2" t="s">
        <v>40681</v>
      </c>
      <c r="G4224" s="3" t="s">
        <v>62</v>
      </c>
      <c r="I4224" s="3" t="s">
        <v>62</v>
      </c>
      <c r="J4224" s="3" t="s">
        <v>62</v>
      </c>
      <c r="K4224" s="3" t="s">
        <v>63</v>
      </c>
      <c r="L4224" s="2" t="s">
        <v>5567</v>
      </c>
      <c r="M4224" s="2" t="s">
        <v>40682</v>
      </c>
      <c r="N4224" s="3" t="s">
        <v>1155</v>
      </c>
      <c r="P4224" s="3" t="s">
        <v>65</v>
      </c>
      <c r="Q4224" s="2" t="s">
        <v>40683</v>
      </c>
      <c r="R4224" s="3" t="s">
        <v>66</v>
      </c>
      <c r="S4224" s="4">
        <v>0</v>
      </c>
      <c r="T4224" s="4">
        <v>0</v>
      </c>
      <c r="W4224" s="5" t="s">
        <v>67</v>
      </c>
      <c r="X4224" s="5" t="s">
        <v>67</v>
      </c>
      <c r="Y4224" s="4">
        <v>44</v>
      </c>
      <c r="Z4224" s="4">
        <v>17</v>
      </c>
      <c r="AA4224" s="4">
        <v>40</v>
      </c>
      <c r="AB4224" s="4">
        <v>1</v>
      </c>
      <c r="AC4224" s="4">
        <v>5</v>
      </c>
      <c r="AD4224" s="4">
        <v>25</v>
      </c>
      <c r="AE4224" s="4">
        <v>60</v>
      </c>
      <c r="AF4224" s="4">
        <v>0</v>
      </c>
      <c r="AG4224" s="4">
        <v>2</v>
      </c>
      <c r="AH4224" s="4">
        <v>21</v>
      </c>
      <c r="AI4224" s="4">
        <v>43</v>
      </c>
      <c r="AJ4224" s="4">
        <v>7</v>
      </c>
      <c r="AK4224" s="4">
        <v>12</v>
      </c>
      <c r="AL4224" s="4">
        <v>11</v>
      </c>
      <c r="AM4224" s="4">
        <v>22</v>
      </c>
      <c r="AN4224" s="4">
        <v>0</v>
      </c>
      <c r="AO4224" s="4">
        <v>0</v>
      </c>
      <c r="AP4224" s="4">
        <v>8</v>
      </c>
      <c r="AQ4224" s="4">
        <v>21</v>
      </c>
      <c r="AR4224" s="3" t="s">
        <v>61</v>
      </c>
      <c r="AS4224" s="3" t="s">
        <v>62</v>
      </c>
      <c r="AT4224" s="3" t="s">
        <v>62</v>
      </c>
      <c r="AV4224" s="6" t="str">
        <f>HYPERLINK("http://mcgill.on.worldcat.org/oclc/804030539","Catalog Record")</f>
        <v>Catalog Record</v>
      </c>
      <c r="AW4224" s="6" t="str">
        <f>HYPERLINK("http://www.worldcat.org/oclc/804030539","WorldCat Record")</f>
        <v>WorldCat Record</v>
      </c>
      <c r="AX4224" s="3" t="s">
        <v>40684</v>
      </c>
      <c r="AY4224" s="3" t="s">
        <v>40685</v>
      </c>
      <c r="AZ4224" s="3" t="s">
        <v>40686</v>
      </c>
      <c r="BA4224" s="3" t="s">
        <v>40686</v>
      </c>
      <c r="BB4224" s="3" t="s">
        <v>40687</v>
      </c>
      <c r="BC4224" s="3" t="s">
        <v>142</v>
      </c>
      <c r="BD4224" s="3" t="s">
        <v>68</v>
      </c>
      <c r="BE4224" s="3" t="s">
        <v>40688</v>
      </c>
      <c r="BF4224" s="3" t="s">
        <v>40687</v>
      </c>
      <c r="BG4224" s="3" t="s">
        <v>40689</v>
      </c>
    </row>
    <row r="4225" spans="1:59" ht="57" x14ac:dyDescent="0.45">
      <c r="A4225" s="2" t="s">
        <v>59</v>
      </c>
      <c r="B4225" s="2" t="s">
        <v>60</v>
      </c>
      <c r="C4225" s="2" t="s">
        <v>40690</v>
      </c>
      <c r="D4225" s="2" t="s">
        <v>40691</v>
      </c>
      <c r="E4225" s="2" t="s">
        <v>40692</v>
      </c>
      <c r="G4225" s="3" t="s">
        <v>62</v>
      </c>
      <c r="I4225" s="3" t="s">
        <v>61</v>
      </c>
      <c r="J4225" s="3" t="s">
        <v>62</v>
      </c>
      <c r="K4225" s="3" t="s">
        <v>63</v>
      </c>
      <c r="L4225" s="2" t="s">
        <v>5567</v>
      </c>
      <c r="M4225" s="2" t="s">
        <v>40693</v>
      </c>
      <c r="N4225" s="3" t="s">
        <v>918</v>
      </c>
      <c r="P4225" s="3" t="s">
        <v>65</v>
      </c>
      <c r="R4225" s="3" t="s">
        <v>66</v>
      </c>
      <c r="S4225" s="4">
        <v>46</v>
      </c>
      <c r="T4225" s="4">
        <v>122</v>
      </c>
      <c r="U4225" s="5" t="s">
        <v>67</v>
      </c>
      <c r="V4225" s="5" t="s">
        <v>67</v>
      </c>
      <c r="W4225" s="5" t="s">
        <v>67</v>
      </c>
      <c r="X4225" s="5" t="s">
        <v>67</v>
      </c>
      <c r="Y4225" s="4">
        <v>718</v>
      </c>
      <c r="Z4225" s="4">
        <v>37</v>
      </c>
      <c r="AA4225" s="4">
        <v>109</v>
      </c>
      <c r="AB4225" s="4">
        <v>2</v>
      </c>
      <c r="AC4225" s="4">
        <v>17</v>
      </c>
      <c r="AD4225" s="4">
        <v>118</v>
      </c>
      <c r="AE4225" s="4">
        <v>148</v>
      </c>
      <c r="AF4225" s="4">
        <v>1</v>
      </c>
      <c r="AG4225" s="4">
        <v>8</v>
      </c>
      <c r="AH4225" s="4">
        <v>99</v>
      </c>
      <c r="AI4225" s="4">
        <v>106</v>
      </c>
      <c r="AJ4225" s="4">
        <v>19</v>
      </c>
      <c r="AK4225" s="4">
        <v>26</v>
      </c>
      <c r="AL4225" s="4">
        <v>52</v>
      </c>
      <c r="AM4225" s="4">
        <v>56</v>
      </c>
      <c r="AN4225" s="4">
        <v>0</v>
      </c>
      <c r="AO4225" s="4">
        <v>0</v>
      </c>
      <c r="AP4225" s="4">
        <v>29</v>
      </c>
      <c r="AQ4225" s="4">
        <v>52</v>
      </c>
      <c r="AR4225" s="3" t="s">
        <v>62</v>
      </c>
      <c r="AS4225" s="3" t="s">
        <v>62</v>
      </c>
      <c r="AT4225" s="3" t="s">
        <v>62</v>
      </c>
      <c r="AV4225" s="6" t="str">
        <f>HYPERLINK("http://mcgill.on.worldcat.org/oclc/51271730","Catalog Record")</f>
        <v>Catalog Record</v>
      </c>
      <c r="AW4225" s="6" t="str">
        <f>HYPERLINK("http://www.worldcat.org/oclc/51271730","WorldCat Record")</f>
        <v>WorldCat Record</v>
      </c>
      <c r="AX4225" s="3" t="s">
        <v>40694</v>
      </c>
      <c r="AY4225" s="3" t="s">
        <v>40695</v>
      </c>
      <c r="AZ4225" s="3" t="s">
        <v>40696</v>
      </c>
      <c r="BA4225" s="3" t="s">
        <v>40696</v>
      </c>
      <c r="BB4225" s="3" t="s">
        <v>40697</v>
      </c>
      <c r="BC4225" s="3" t="s">
        <v>142</v>
      </c>
      <c r="BD4225" s="3" t="s">
        <v>68</v>
      </c>
      <c r="BE4225" s="3" t="s">
        <v>40698</v>
      </c>
      <c r="BF4225" s="3" t="s">
        <v>40697</v>
      </c>
      <c r="BG4225" s="3" t="s">
        <v>40699</v>
      </c>
    </row>
    <row r="4226" spans="1:59" ht="57" x14ac:dyDescent="0.45">
      <c r="A4226" s="2" t="s">
        <v>59</v>
      </c>
      <c r="B4226" s="2" t="s">
        <v>60</v>
      </c>
      <c r="C4226" s="2" t="s">
        <v>40690</v>
      </c>
      <c r="D4226" s="2" t="s">
        <v>40691</v>
      </c>
      <c r="E4226" s="2" t="s">
        <v>40692</v>
      </c>
      <c r="G4226" s="3" t="s">
        <v>62</v>
      </c>
      <c r="I4226" s="3" t="s">
        <v>61</v>
      </c>
      <c r="J4226" s="3" t="s">
        <v>62</v>
      </c>
      <c r="K4226" s="3" t="s">
        <v>63</v>
      </c>
      <c r="L4226" s="2" t="s">
        <v>5567</v>
      </c>
      <c r="M4226" s="2" t="s">
        <v>40693</v>
      </c>
      <c r="N4226" s="3" t="s">
        <v>918</v>
      </c>
      <c r="P4226" s="3" t="s">
        <v>65</v>
      </c>
      <c r="R4226" s="3" t="s">
        <v>66</v>
      </c>
      <c r="S4226" s="4">
        <v>76</v>
      </c>
      <c r="T4226" s="4">
        <v>122</v>
      </c>
      <c r="U4226" s="5" t="s">
        <v>3424</v>
      </c>
      <c r="V4226" s="5" t="s">
        <v>67</v>
      </c>
      <c r="W4226" s="5" t="s">
        <v>67</v>
      </c>
      <c r="X4226" s="5" t="s">
        <v>67</v>
      </c>
      <c r="Y4226" s="4">
        <v>718</v>
      </c>
      <c r="Z4226" s="4">
        <v>37</v>
      </c>
      <c r="AA4226" s="4">
        <v>109</v>
      </c>
      <c r="AB4226" s="4">
        <v>2</v>
      </c>
      <c r="AC4226" s="4">
        <v>17</v>
      </c>
      <c r="AD4226" s="4">
        <v>118</v>
      </c>
      <c r="AE4226" s="4">
        <v>148</v>
      </c>
      <c r="AF4226" s="4">
        <v>1</v>
      </c>
      <c r="AG4226" s="4">
        <v>8</v>
      </c>
      <c r="AH4226" s="4">
        <v>99</v>
      </c>
      <c r="AI4226" s="4">
        <v>106</v>
      </c>
      <c r="AJ4226" s="4">
        <v>19</v>
      </c>
      <c r="AK4226" s="4">
        <v>26</v>
      </c>
      <c r="AL4226" s="4">
        <v>52</v>
      </c>
      <c r="AM4226" s="4">
        <v>56</v>
      </c>
      <c r="AN4226" s="4">
        <v>0</v>
      </c>
      <c r="AO4226" s="4">
        <v>0</v>
      </c>
      <c r="AP4226" s="4">
        <v>29</v>
      </c>
      <c r="AQ4226" s="4">
        <v>52</v>
      </c>
      <c r="AR4226" s="3" t="s">
        <v>62</v>
      </c>
      <c r="AS4226" s="3" t="s">
        <v>62</v>
      </c>
      <c r="AT4226" s="3" t="s">
        <v>62</v>
      </c>
      <c r="AV4226" s="6" t="str">
        <f>HYPERLINK("http://mcgill.on.worldcat.org/oclc/51271730","Catalog Record")</f>
        <v>Catalog Record</v>
      </c>
      <c r="AW4226" s="6" t="str">
        <f>HYPERLINK("http://www.worldcat.org/oclc/51271730","WorldCat Record")</f>
        <v>WorldCat Record</v>
      </c>
      <c r="AX4226" s="3" t="s">
        <v>40694</v>
      </c>
      <c r="AY4226" s="3" t="s">
        <v>40695</v>
      </c>
      <c r="AZ4226" s="3" t="s">
        <v>40696</v>
      </c>
      <c r="BA4226" s="3" t="s">
        <v>40696</v>
      </c>
      <c r="BB4226" s="3" t="s">
        <v>40700</v>
      </c>
      <c r="BC4226" s="3" t="s">
        <v>142</v>
      </c>
      <c r="BD4226" s="3" t="s">
        <v>68</v>
      </c>
      <c r="BE4226" s="3" t="s">
        <v>40698</v>
      </c>
      <c r="BF4226" s="3" t="s">
        <v>40700</v>
      </c>
      <c r="BG4226" s="3" t="s">
        <v>40701</v>
      </c>
    </row>
    <row r="4227" spans="1:59" ht="57" x14ac:dyDescent="0.45">
      <c r="A4227" s="2" t="s">
        <v>59</v>
      </c>
      <c r="B4227" s="2" t="s">
        <v>60</v>
      </c>
      <c r="C4227" s="2" t="s">
        <v>40702</v>
      </c>
      <c r="D4227" s="2" t="s">
        <v>40703</v>
      </c>
      <c r="E4227" s="2" t="s">
        <v>40704</v>
      </c>
      <c r="G4227" s="3" t="s">
        <v>62</v>
      </c>
      <c r="I4227" s="3" t="s">
        <v>62</v>
      </c>
      <c r="J4227" s="3" t="s">
        <v>61</v>
      </c>
      <c r="K4227" s="3" t="s">
        <v>63</v>
      </c>
      <c r="L4227" s="2" t="s">
        <v>40705</v>
      </c>
      <c r="M4227" s="2" t="s">
        <v>2583</v>
      </c>
      <c r="N4227" s="3" t="s">
        <v>195</v>
      </c>
      <c r="O4227" s="2" t="s">
        <v>933</v>
      </c>
      <c r="P4227" s="3" t="s">
        <v>65</v>
      </c>
      <c r="Q4227" s="2" t="s">
        <v>40706</v>
      </c>
      <c r="R4227" s="3" t="s">
        <v>66</v>
      </c>
      <c r="S4227" s="4">
        <v>69</v>
      </c>
      <c r="T4227" s="4">
        <v>69</v>
      </c>
      <c r="U4227" s="5" t="s">
        <v>1086</v>
      </c>
      <c r="V4227" s="5" t="s">
        <v>1086</v>
      </c>
      <c r="W4227" s="5" t="s">
        <v>67</v>
      </c>
      <c r="X4227" s="5" t="s">
        <v>67</v>
      </c>
      <c r="Y4227" s="4">
        <v>513</v>
      </c>
      <c r="Z4227" s="4">
        <v>33</v>
      </c>
      <c r="AA4227" s="4">
        <v>63</v>
      </c>
      <c r="AB4227" s="4">
        <v>3</v>
      </c>
      <c r="AC4227" s="4">
        <v>9</v>
      </c>
      <c r="AD4227" s="4">
        <v>108</v>
      </c>
      <c r="AE4227" s="4">
        <v>149</v>
      </c>
      <c r="AF4227" s="4">
        <v>1</v>
      </c>
      <c r="AG4227" s="4">
        <v>4</v>
      </c>
      <c r="AH4227" s="4">
        <v>92</v>
      </c>
      <c r="AI4227" s="4">
        <v>115</v>
      </c>
      <c r="AJ4227" s="4">
        <v>15</v>
      </c>
      <c r="AK4227" s="4">
        <v>24</v>
      </c>
      <c r="AL4227" s="4">
        <v>49</v>
      </c>
      <c r="AM4227" s="4">
        <v>61</v>
      </c>
      <c r="AN4227" s="4">
        <v>0</v>
      </c>
      <c r="AO4227" s="4">
        <v>0</v>
      </c>
      <c r="AP4227" s="4">
        <v>23</v>
      </c>
      <c r="AQ4227" s="4">
        <v>42</v>
      </c>
      <c r="AR4227" s="3" t="s">
        <v>62</v>
      </c>
      <c r="AS4227" s="3" t="s">
        <v>62</v>
      </c>
      <c r="AT4227" s="3" t="s">
        <v>61</v>
      </c>
      <c r="AU4227" s="6" t="str">
        <f>HYPERLINK("http://catalog.hathitrust.org/Record/002882358","HathiTrust Record")</f>
        <v>HathiTrust Record</v>
      </c>
      <c r="AV4227" s="6" t="str">
        <f>HYPERLINK("http://mcgill.on.worldcat.org/oclc/26673406","Catalog Record")</f>
        <v>Catalog Record</v>
      </c>
      <c r="AW4227" s="6" t="str">
        <f>HYPERLINK("http://www.worldcat.org/oclc/26673406","WorldCat Record")</f>
        <v>WorldCat Record</v>
      </c>
      <c r="AX4227" s="3" t="s">
        <v>40707</v>
      </c>
      <c r="AY4227" s="3" t="s">
        <v>40708</v>
      </c>
      <c r="AZ4227" s="3" t="s">
        <v>40709</v>
      </c>
      <c r="BA4227" s="3" t="s">
        <v>40709</v>
      </c>
      <c r="BB4227" s="3" t="s">
        <v>40710</v>
      </c>
      <c r="BC4227" s="3" t="s">
        <v>142</v>
      </c>
      <c r="BD4227" s="3" t="s">
        <v>68</v>
      </c>
      <c r="BE4227" s="3" t="s">
        <v>40711</v>
      </c>
      <c r="BF4227" s="3" t="s">
        <v>40710</v>
      </c>
      <c r="BG4227" s="3" t="s">
        <v>40712</v>
      </c>
    </row>
    <row r="4228" spans="1:59" ht="57" x14ac:dyDescent="0.45">
      <c r="A4228" s="2" t="s">
        <v>59</v>
      </c>
      <c r="B4228" s="2" t="s">
        <v>60</v>
      </c>
      <c r="C4228" s="2" t="s">
        <v>40713</v>
      </c>
      <c r="D4228" s="2" t="s">
        <v>40714</v>
      </c>
      <c r="E4228" s="2" t="s">
        <v>40704</v>
      </c>
      <c r="G4228" s="3" t="s">
        <v>62</v>
      </c>
      <c r="I4228" s="3" t="s">
        <v>62</v>
      </c>
      <c r="J4228" s="3" t="s">
        <v>61</v>
      </c>
      <c r="K4228" s="3" t="s">
        <v>63</v>
      </c>
      <c r="L4228" s="2" t="s">
        <v>40705</v>
      </c>
      <c r="M4228" s="2" t="s">
        <v>40715</v>
      </c>
      <c r="N4228" s="3" t="s">
        <v>1097</v>
      </c>
      <c r="O4228" s="2" t="s">
        <v>906</v>
      </c>
      <c r="P4228" s="3" t="s">
        <v>65</v>
      </c>
      <c r="Q4228" s="2" t="s">
        <v>38732</v>
      </c>
      <c r="R4228" s="3" t="s">
        <v>66</v>
      </c>
      <c r="S4228" s="4">
        <v>28</v>
      </c>
      <c r="T4228" s="4">
        <v>28</v>
      </c>
      <c r="U4228" s="5" t="s">
        <v>4748</v>
      </c>
      <c r="V4228" s="5" t="s">
        <v>4748</v>
      </c>
      <c r="W4228" s="5" t="s">
        <v>67</v>
      </c>
      <c r="X4228" s="5" t="s">
        <v>67</v>
      </c>
      <c r="Y4228" s="4">
        <v>310</v>
      </c>
      <c r="Z4228" s="4">
        <v>26</v>
      </c>
      <c r="AA4228" s="4">
        <v>63</v>
      </c>
      <c r="AB4228" s="4">
        <v>2</v>
      </c>
      <c r="AC4228" s="4">
        <v>9</v>
      </c>
      <c r="AD4228" s="4">
        <v>79</v>
      </c>
      <c r="AE4228" s="4">
        <v>149</v>
      </c>
      <c r="AF4228" s="4">
        <v>1</v>
      </c>
      <c r="AG4228" s="4">
        <v>4</v>
      </c>
      <c r="AH4228" s="4">
        <v>64</v>
      </c>
      <c r="AI4228" s="4">
        <v>115</v>
      </c>
      <c r="AJ4228" s="4">
        <v>13</v>
      </c>
      <c r="AK4228" s="4">
        <v>24</v>
      </c>
      <c r="AL4228" s="4">
        <v>41</v>
      </c>
      <c r="AM4228" s="4">
        <v>61</v>
      </c>
      <c r="AN4228" s="4">
        <v>0</v>
      </c>
      <c r="AO4228" s="4">
        <v>0</v>
      </c>
      <c r="AP4228" s="4">
        <v>19</v>
      </c>
      <c r="AQ4228" s="4">
        <v>42</v>
      </c>
      <c r="AR4228" s="3" t="s">
        <v>62</v>
      </c>
      <c r="AS4228" s="3" t="s">
        <v>62</v>
      </c>
      <c r="AT4228" s="3" t="s">
        <v>62</v>
      </c>
      <c r="AV4228" s="6" t="str">
        <f>HYPERLINK("http://mcgill.on.worldcat.org/oclc/54024099","Catalog Record")</f>
        <v>Catalog Record</v>
      </c>
      <c r="AW4228" s="6" t="str">
        <f>HYPERLINK("http://www.worldcat.org/oclc/54024099","WorldCat Record")</f>
        <v>WorldCat Record</v>
      </c>
      <c r="AX4228" s="3" t="s">
        <v>40707</v>
      </c>
      <c r="AY4228" s="3" t="s">
        <v>40716</v>
      </c>
      <c r="AZ4228" s="3" t="s">
        <v>40717</v>
      </c>
      <c r="BA4228" s="3" t="s">
        <v>40717</v>
      </c>
      <c r="BB4228" s="3" t="s">
        <v>40718</v>
      </c>
      <c r="BC4228" s="3" t="s">
        <v>142</v>
      </c>
      <c r="BD4228" s="3" t="s">
        <v>68</v>
      </c>
      <c r="BE4228" s="3" t="s">
        <v>40719</v>
      </c>
      <c r="BF4228" s="3" t="s">
        <v>40718</v>
      </c>
      <c r="BG4228" s="3" t="s">
        <v>40720</v>
      </c>
    </row>
    <row r="4229" spans="1:59" ht="57" x14ac:dyDescent="0.45">
      <c r="A4229" s="2" t="s">
        <v>59</v>
      </c>
      <c r="B4229" s="2" t="s">
        <v>60</v>
      </c>
      <c r="C4229" s="2" t="s">
        <v>40721</v>
      </c>
      <c r="D4229" s="2" t="s">
        <v>40722</v>
      </c>
      <c r="E4229" s="2" t="s">
        <v>40723</v>
      </c>
      <c r="G4229" s="3" t="s">
        <v>62</v>
      </c>
      <c r="I4229" s="3" t="s">
        <v>62</v>
      </c>
      <c r="J4229" s="3" t="s">
        <v>62</v>
      </c>
      <c r="K4229" s="3" t="s">
        <v>63</v>
      </c>
      <c r="M4229" s="2" t="s">
        <v>893</v>
      </c>
      <c r="N4229" s="3" t="s">
        <v>894</v>
      </c>
      <c r="P4229" s="3" t="s">
        <v>65</v>
      </c>
      <c r="R4229" s="3" t="s">
        <v>66</v>
      </c>
      <c r="S4229" s="4">
        <v>6</v>
      </c>
      <c r="T4229" s="4">
        <v>6</v>
      </c>
      <c r="U4229" s="5" t="s">
        <v>17714</v>
      </c>
      <c r="V4229" s="5" t="s">
        <v>17714</v>
      </c>
      <c r="W4229" s="5" t="s">
        <v>67</v>
      </c>
      <c r="X4229" s="5" t="s">
        <v>67</v>
      </c>
      <c r="Y4229" s="4">
        <v>334</v>
      </c>
      <c r="Z4229" s="4">
        <v>31</v>
      </c>
      <c r="AA4229" s="4">
        <v>96</v>
      </c>
      <c r="AB4229" s="4">
        <v>2</v>
      </c>
      <c r="AC4229" s="4">
        <v>16</v>
      </c>
      <c r="AD4229" s="4">
        <v>97</v>
      </c>
      <c r="AE4229" s="4">
        <v>142</v>
      </c>
      <c r="AF4229" s="4">
        <v>1</v>
      </c>
      <c r="AG4229" s="4">
        <v>10</v>
      </c>
      <c r="AH4229" s="4">
        <v>86</v>
      </c>
      <c r="AI4229" s="4">
        <v>102</v>
      </c>
      <c r="AJ4229" s="4">
        <v>17</v>
      </c>
      <c r="AK4229" s="4">
        <v>26</v>
      </c>
      <c r="AL4229" s="4">
        <v>45</v>
      </c>
      <c r="AM4229" s="4">
        <v>53</v>
      </c>
      <c r="AN4229" s="4">
        <v>0</v>
      </c>
      <c r="AO4229" s="4">
        <v>0</v>
      </c>
      <c r="AP4229" s="4">
        <v>23</v>
      </c>
      <c r="AQ4229" s="4">
        <v>50</v>
      </c>
      <c r="AR4229" s="3" t="s">
        <v>62</v>
      </c>
      <c r="AS4229" s="3" t="s">
        <v>62</v>
      </c>
      <c r="AT4229" s="3" t="s">
        <v>62</v>
      </c>
      <c r="AV4229" s="6" t="str">
        <f>HYPERLINK("http://mcgill.on.worldcat.org/oclc/503072958","Catalog Record")</f>
        <v>Catalog Record</v>
      </c>
      <c r="AW4229" s="6" t="str">
        <f>HYPERLINK("http://www.worldcat.org/oclc/503072958","WorldCat Record")</f>
        <v>WorldCat Record</v>
      </c>
      <c r="AX4229" s="3" t="s">
        <v>40724</v>
      </c>
      <c r="AY4229" s="3" t="s">
        <v>40725</v>
      </c>
      <c r="AZ4229" s="3" t="s">
        <v>40726</v>
      </c>
      <c r="BA4229" s="3" t="s">
        <v>40726</v>
      </c>
      <c r="BB4229" s="3" t="s">
        <v>40727</v>
      </c>
      <c r="BC4229" s="3" t="s">
        <v>142</v>
      </c>
      <c r="BD4229" s="3" t="s">
        <v>68</v>
      </c>
      <c r="BE4229" s="3" t="s">
        <v>40728</v>
      </c>
      <c r="BF4229" s="3" t="s">
        <v>40727</v>
      </c>
      <c r="BG4229" s="3" t="s">
        <v>40729</v>
      </c>
    </row>
    <row r="4230" spans="1:59" ht="57" x14ac:dyDescent="0.45">
      <c r="A4230" s="2" t="s">
        <v>59</v>
      </c>
      <c r="B4230" s="2" t="s">
        <v>60</v>
      </c>
      <c r="C4230" s="2" t="s">
        <v>40730</v>
      </c>
      <c r="D4230" s="2" t="s">
        <v>40731</v>
      </c>
      <c r="E4230" s="2" t="s">
        <v>40732</v>
      </c>
      <c r="G4230" s="3" t="s">
        <v>62</v>
      </c>
      <c r="I4230" s="3" t="s">
        <v>61</v>
      </c>
      <c r="J4230" s="3" t="s">
        <v>62</v>
      </c>
      <c r="K4230" s="3" t="s">
        <v>63</v>
      </c>
      <c r="L4230" s="2" t="s">
        <v>40733</v>
      </c>
      <c r="M4230" s="2" t="s">
        <v>40734</v>
      </c>
      <c r="N4230" s="3" t="s">
        <v>958</v>
      </c>
      <c r="P4230" s="3" t="s">
        <v>65</v>
      </c>
      <c r="Q4230" s="2" t="s">
        <v>40735</v>
      </c>
      <c r="R4230" s="3" t="s">
        <v>66</v>
      </c>
      <c r="S4230" s="4">
        <v>7</v>
      </c>
      <c r="T4230" s="4">
        <v>69</v>
      </c>
      <c r="U4230" s="5" t="s">
        <v>40736</v>
      </c>
      <c r="V4230" s="5" t="s">
        <v>17974</v>
      </c>
      <c r="W4230" s="5" t="s">
        <v>67</v>
      </c>
      <c r="X4230" s="5" t="s">
        <v>67</v>
      </c>
      <c r="Y4230" s="4">
        <v>661</v>
      </c>
      <c r="Z4230" s="4">
        <v>40</v>
      </c>
      <c r="AA4230" s="4">
        <v>99</v>
      </c>
      <c r="AB4230" s="4">
        <v>2</v>
      </c>
      <c r="AC4230" s="4">
        <v>15</v>
      </c>
      <c r="AD4230" s="4">
        <v>127</v>
      </c>
      <c r="AE4230" s="4">
        <v>155</v>
      </c>
      <c r="AF4230" s="4">
        <v>1</v>
      </c>
      <c r="AG4230" s="4">
        <v>8</v>
      </c>
      <c r="AH4230" s="4">
        <v>102</v>
      </c>
      <c r="AI4230" s="4">
        <v>109</v>
      </c>
      <c r="AJ4230" s="4">
        <v>20</v>
      </c>
      <c r="AK4230" s="4">
        <v>26</v>
      </c>
      <c r="AL4230" s="4">
        <v>51</v>
      </c>
      <c r="AM4230" s="4">
        <v>55</v>
      </c>
      <c r="AN4230" s="4">
        <v>0</v>
      </c>
      <c r="AO4230" s="4">
        <v>0</v>
      </c>
      <c r="AP4230" s="4">
        <v>34</v>
      </c>
      <c r="AQ4230" s="4">
        <v>56</v>
      </c>
      <c r="AR4230" s="3" t="s">
        <v>62</v>
      </c>
      <c r="AS4230" s="3" t="s">
        <v>62</v>
      </c>
      <c r="AT4230" s="3" t="s">
        <v>61</v>
      </c>
      <c r="AU4230" s="6" t="str">
        <f>HYPERLINK("http://catalog.hathitrust.org/Record/002991559","HathiTrust Record")</f>
        <v>HathiTrust Record</v>
      </c>
      <c r="AV4230" s="6" t="str">
        <f>HYPERLINK("http://mcgill.on.worldcat.org/oclc/33003117","Catalog Record")</f>
        <v>Catalog Record</v>
      </c>
      <c r="AW4230" s="6" t="str">
        <f>HYPERLINK("http://www.worldcat.org/oclc/33003117","WorldCat Record")</f>
        <v>WorldCat Record</v>
      </c>
      <c r="AX4230" s="3" t="s">
        <v>40737</v>
      </c>
      <c r="AY4230" s="3" t="s">
        <v>40738</v>
      </c>
      <c r="AZ4230" s="3" t="s">
        <v>40739</v>
      </c>
      <c r="BA4230" s="3" t="s">
        <v>40739</v>
      </c>
      <c r="BB4230" s="3" t="s">
        <v>40740</v>
      </c>
      <c r="BC4230" s="3" t="s">
        <v>142</v>
      </c>
      <c r="BD4230" s="3" t="s">
        <v>68</v>
      </c>
      <c r="BE4230" s="3" t="s">
        <v>40741</v>
      </c>
      <c r="BF4230" s="3" t="s">
        <v>40740</v>
      </c>
      <c r="BG4230" s="3" t="s">
        <v>40742</v>
      </c>
    </row>
    <row r="4231" spans="1:59" ht="57" x14ac:dyDescent="0.45">
      <c r="A4231" s="2" t="s">
        <v>59</v>
      </c>
      <c r="B4231" s="2" t="s">
        <v>60</v>
      </c>
      <c r="C4231" s="2" t="s">
        <v>40730</v>
      </c>
      <c r="D4231" s="2" t="s">
        <v>40731</v>
      </c>
      <c r="E4231" s="2" t="s">
        <v>40732</v>
      </c>
      <c r="G4231" s="3" t="s">
        <v>62</v>
      </c>
      <c r="I4231" s="3" t="s">
        <v>61</v>
      </c>
      <c r="J4231" s="3" t="s">
        <v>62</v>
      </c>
      <c r="K4231" s="3" t="s">
        <v>63</v>
      </c>
      <c r="L4231" s="2" t="s">
        <v>40733</v>
      </c>
      <c r="M4231" s="2" t="s">
        <v>40734</v>
      </c>
      <c r="N4231" s="3" t="s">
        <v>958</v>
      </c>
      <c r="P4231" s="3" t="s">
        <v>65</v>
      </c>
      <c r="Q4231" s="2" t="s">
        <v>40735</v>
      </c>
      <c r="R4231" s="3" t="s">
        <v>66</v>
      </c>
      <c r="S4231" s="4">
        <v>49</v>
      </c>
      <c r="T4231" s="4">
        <v>69</v>
      </c>
      <c r="U4231" s="5" t="s">
        <v>17974</v>
      </c>
      <c r="V4231" s="5" t="s">
        <v>17974</v>
      </c>
      <c r="W4231" s="5" t="s">
        <v>67</v>
      </c>
      <c r="X4231" s="5" t="s">
        <v>67</v>
      </c>
      <c r="Y4231" s="4">
        <v>661</v>
      </c>
      <c r="Z4231" s="4">
        <v>40</v>
      </c>
      <c r="AA4231" s="4">
        <v>99</v>
      </c>
      <c r="AB4231" s="4">
        <v>2</v>
      </c>
      <c r="AC4231" s="4">
        <v>15</v>
      </c>
      <c r="AD4231" s="4">
        <v>127</v>
      </c>
      <c r="AE4231" s="4">
        <v>155</v>
      </c>
      <c r="AF4231" s="4">
        <v>1</v>
      </c>
      <c r="AG4231" s="4">
        <v>8</v>
      </c>
      <c r="AH4231" s="4">
        <v>102</v>
      </c>
      <c r="AI4231" s="4">
        <v>109</v>
      </c>
      <c r="AJ4231" s="4">
        <v>20</v>
      </c>
      <c r="AK4231" s="4">
        <v>26</v>
      </c>
      <c r="AL4231" s="4">
        <v>51</v>
      </c>
      <c r="AM4231" s="4">
        <v>55</v>
      </c>
      <c r="AN4231" s="4">
        <v>0</v>
      </c>
      <c r="AO4231" s="4">
        <v>0</v>
      </c>
      <c r="AP4231" s="4">
        <v>34</v>
      </c>
      <c r="AQ4231" s="4">
        <v>56</v>
      </c>
      <c r="AR4231" s="3" t="s">
        <v>62</v>
      </c>
      <c r="AS4231" s="3" t="s">
        <v>62</v>
      </c>
      <c r="AT4231" s="3" t="s">
        <v>61</v>
      </c>
      <c r="AU4231" s="6" t="str">
        <f>HYPERLINK("http://catalog.hathitrust.org/Record/002991559","HathiTrust Record")</f>
        <v>HathiTrust Record</v>
      </c>
      <c r="AV4231" s="6" t="str">
        <f>HYPERLINK("http://mcgill.on.worldcat.org/oclc/33003117","Catalog Record")</f>
        <v>Catalog Record</v>
      </c>
      <c r="AW4231" s="6" t="str">
        <f>HYPERLINK("http://www.worldcat.org/oclc/33003117","WorldCat Record")</f>
        <v>WorldCat Record</v>
      </c>
      <c r="AX4231" s="3" t="s">
        <v>40737</v>
      </c>
      <c r="AY4231" s="3" t="s">
        <v>40738</v>
      </c>
      <c r="AZ4231" s="3" t="s">
        <v>40739</v>
      </c>
      <c r="BA4231" s="3" t="s">
        <v>40739</v>
      </c>
      <c r="BB4231" s="3" t="s">
        <v>40743</v>
      </c>
      <c r="BC4231" s="3" t="s">
        <v>142</v>
      </c>
      <c r="BD4231" s="3" t="s">
        <v>68</v>
      </c>
      <c r="BE4231" s="3" t="s">
        <v>40741</v>
      </c>
      <c r="BF4231" s="3" t="s">
        <v>40743</v>
      </c>
      <c r="BG4231" s="3" t="s">
        <v>40744</v>
      </c>
    </row>
    <row r="4232" spans="1:59" ht="57" x14ac:dyDescent="0.45">
      <c r="A4232" s="2" t="s">
        <v>59</v>
      </c>
      <c r="B4232" s="2" t="s">
        <v>60</v>
      </c>
      <c r="C4232" s="2" t="s">
        <v>40730</v>
      </c>
      <c r="D4232" s="2" t="s">
        <v>40731</v>
      </c>
      <c r="E4232" s="2" t="s">
        <v>40732</v>
      </c>
      <c r="G4232" s="3" t="s">
        <v>62</v>
      </c>
      <c r="I4232" s="3" t="s">
        <v>61</v>
      </c>
      <c r="J4232" s="3" t="s">
        <v>62</v>
      </c>
      <c r="K4232" s="3" t="s">
        <v>63</v>
      </c>
      <c r="L4232" s="2" t="s">
        <v>40733</v>
      </c>
      <c r="M4232" s="2" t="s">
        <v>40734</v>
      </c>
      <c r="N4232" s="3" t="s">
        <v>958</v>
      </c>
      <c r="P4232" s="3" t="s">
        <v>65</v>
      </c>
      <c r="Q4232" s="2" t="s">
        <v>40735</v>
      </c>
      <c r="R4232" s="3" t="s">
        <v>66</v>
      </c>
      <c r="S4232" s="4">
        <v>13</v>
      </c>
      <c r="T4232" s="4">
        <v>69</v>
      </c>
      <c r="U4232" s="5" t="s">
        <v>4570</v>
      </c>
      <c r="V4232" s="5" t="s">
        <v>17974</v>
      </c>
      <c r="W4232" s="5" t="s">
        <v>67</v>
      </c>
      <c r="X4232" s="5" t="s">
        <v>67</v>
      </c>
      <c r="Y4232" s="4">
        <v>661</v>
      </c>
      <c r="Z4232" s="4">
        <v>40</v>
      </c>
      <c r="AA4232" s="4">
        <v>99</v>
      </c>
      <c r="AB4232" s="4">
        <v>2</v>
      </c>
      <c r="AC4232" s="4">
        <v>15</v>
      </c>
      <c r="AD4232" s="4">
        <v>127</v>
      </c>
      <c r="AE4232" s="4">
        <v>155</v>
      </c>
      <c r="AF4232" s="4">
        <v>1</v>
      </c>
      <c r="AG4232" s="4">
        <v>8</v>
      </c>
      <c r="AH4232" s="4">
        <v>102</v>
      </c>
      <c r="AI4232" s="4">
        <v>109</v>
      </c>
      <c r="AJ4232" s="4">
        <v>20</v>
      </c>
      <c r="AK4232" s="4">
        <v>26</v>
      </c>
      <c r="AL4232" s="4">
        <v>51</v>
      </c>
      <c r="AM4232" s="4">
        <v>55</v>
      </c>
      <c r="AN4232" s="4">
        <v>0</v>
      </c>
      <c r="AO4232" s="4">
        <v>0</v>
      </c>
      <c r="AP4232" s="4">
        <v>34</v>
      </c>
      <c r="AQ4232" s="4">
        <v>56</v>
      </c>
      <c r="AR4232" s="3" t="s">
        <v>62</v>
      </c>
      <c r="AS4232" s="3" t="s">
        <v>62</v>
      </c>
      <c r="AT4232" s="3" t="s">
        <v>61</v>
      </c>
      <c r="AU4232" s="6" t="str">
        <f>HYPERLINK("http://catalog.hathitrust.org/Record/002991559","HathiTrust Record")</f>
        <v>HathiTrust Record</v>
      </c>
      <c r="AV4232" s="6" t="str">
        <f>HYPERLINK("http://mcgill.on.worldcat.org/oclc/33003117","Catalog Record")</f>
        <v>Catalog Record</v>
      </c>
      <c r="AW4232" s="6" t="str">
        <f>HYPERLINK("http://www.worldcat.org/oclc/33003117","WorldCat Record")</f>
        <v>WorldCat Record</v>
      </c>
      <c r="AX4232" s="3" t="s">
        <v>40737</v>
      </c>
      <c r="AY4232" s="3" t="s">
        <v>40738</v>
      </c>
      <c r="AZ4232" s="3" t="s">
        <v>40739</v>
      </c>
      <c r="BA4232" s="3" t="s">
        <v>40739</v>
      </c>
      <c r="BB4232" s="3" t="s">
        <v>40745</v>
      </c>
      <c r="BC4232" s="3" t="s">
        <v>142</v>
      </c>
      <c r="BD4232" s="3" t="s">
        <v>68</v>
      </c>
      <c r="BE4232" s="3" t="s">
        <v>40741</v>
      </c>
      <c r="BF4232" s="3" t="s">
        <v>40745</v>
      </c>
      <c r="BG4232" s="3" t="s">
        <v>40746</v>
      </c>
    </row>
    <row r="4233" spans="1:59" ht="57" x14ac:dyDescent="0.45">
      <c r="A4233" s="2" t="s">
        <v>59</v>
      </c>
      <c r="B4233" s="2" t="s">
        <v>60</v>
      </c>
      <c r="C4233" s="2" t="s">
        <v>40747</v>
      </c>
      <c r="D4233" s="2" t="s">
        <v>40748</v>
      </c>
      <c r="E4233" s="2" t="s">
        <v>40749</v>
      </c>
      <c r="G4233" s="3" t="s">
        <v>62</v>
      </c>
      <c r="I4233" s="3" t="s">
        <v>62</v>
      </c>
      <c r="J4233" s="3" t="s">
        <v>62</v>
      </c>
      <c r="K4233" s="3" t="s">
        <v>63</v>
      </c>
      <c r="L4233" s="2" t="s">
        <v>40750</v>
      </c>
      <c r="M4233" s="2" t="s">
        <v>40751</v>
      </c>
      <c r="N4233" s="3" t="s">
        <v>820</v>
      </c>
      <c r="P4233" s="3" t="s">
        <v>65</v>
      </c>
      <c r="R4233" s="3" t="s">
        <v>66</v>
      </c>
      <c r="S4233" s="4">
        <v>2</v>
      </c>
      <c r="T4233" s="4">
        <v>2</v>
      </c>
      <c r="U4233" s="5" t="s">
        <v>3424</v>
      </c>
      <c r="V4233" s="5" t="s">
        <v>3424</v>
      </c>
      <c r="W4233" s="5" t="s">
        <v>67</v>
      </c>
      <c r="X4233" s="5" t="s">
        <v>67</v>
      </c>
      <c r="Y4233" s="4">
        <v>102</v>
      </c>
      <c r="Z4233" s="4">
        <v>11</v>
      </c>
      <c r="AA4233" s="4">
        <v>26</v>
      </c>
      <c r="AB4233" s="4">
        <v>1</v>
      </c>
      <c r="AC4233" s="4">
        <v>5</v>
      </c>
      <c r="AD4233" s="4">
        <v>44</v>
      </c>
      <c r="AE4233" s="4">
        <v>45</v>
      </c>
      <c r="AF4233" s="4">
        <v>0</v>
      </c>
      <c r="AG4233" s="4">
        <v>0</v>
      </c>
      <c r="AH4233" s="4">
        <v>42</v>
      </c>
      <c r="AI4233" s="4">
        <v>42</v>
      </c>
      <c r="AJ4233" s="4">
        <v>8</v>
      </c>
      <c r="AK4233" s="4">
        <v>8</v>
      </c>
      <c r="AL4233" s="4">
        <v>26</v>
      </c>
      <c r="AM4233" s="4">
        <v>26</v>
      </c>
      <c r="AN4233" s="4">
        <v>0</v>
      </c>
      <c r="AO4233" s="4">
        <v>0</v>
      </c>
      <c r="AP4233" s="4">
        <v>8</v>
      </c>
      <c r="AQ4233" s="4">
        <v>9</v>
      </c>
      <c r="AR4233" s="3" t="s">
        <v>62</v>
      </c>
      <c r="AS4233" s="3" t="s">
        <v>62</v>
      </c>
      <c r="AT4233" s="3" t="s">
        <v>62</v>
      </c>
      <c r="AV4233" s="6" t="str">
        <f>HYPERLINK("http://mcgill.on.worldcat.org/oclc/228631643","Catalog Record")</f>
        <v>Catalog Record</v>
      </c>
      <c r="AW4233" s="6" t="str">
        <f>HYPERLINK("http://www.worldcat.org/oclc/228631643","WorldCat Record")</f>
        <v>WorldCat Record</v>
      </c>
      <c r="AX4233" s="3" t="s">
        <v>40752</v>
      </c>
      <c r="AY4233" s="3" t="s">
        <v>40753</v>
      </c>
      <c r="AZ4233" s="3" t="s">
        <v>40754</v>
      </c>
      <c r="BA4233" s="3" t="s">
        <v>40754</v>
      </c>
      <c r="BB4233" s="3" t="s">
        <v>40755</v>
      </c>
      <c r="BC4233" s="3" t="s">
        <v>142</v>
      </c>
      <c r="BD4233" s="3" t="s">
        <v>68</v>
      </c>
      <c r="BE4233" s="3" t="s">
        <v>40756</v>
      </c>
      <c r="BF4233" s="3" t="s">
        <v>40755</v>
      </c>
      <c r="BG4233" s="3" t="s">
        <v>40757</v>
      </c>
    </row>
    <row r="4234" spans="1:59" ht="57" x14ac:dyDescent="0.45">
      <c r="A4234" s="2" t="s">
        <v>59</v>
      </c>
      <c r="B4234" s="2" t="s">
        <v>60</v>
      </c>
      <c r="C4234" s="2" t="s">
        <v>40758</v>
      </c>
      <c r="D4234" s="2" t="s">
        <v>40759</v>
      </c>
      <c r="E4234" s="2" t="s">
        <v>40760</v>
      </c>
      <c r="G4234" s="3" t="s">
        <v>62</v>
      </c>
      <c r="I4234" s="3" t="s">
        <v>62</v>
      </c>
      <c r="J4234" s="3" t="s">
        <v>62</v>
      </c>
      <c r="K4234" s="3" t="s">
        <v>63</v>
      </c>
      <c r="M4234" s="2" t="s">
        <v>40761</v>
      </c>
      <c r="N4234" s="3" t="s">
        <v>19337</v>
      </c>
      <c r="P4234" s="3" t="s">
        <v>110</v>
      </c>
      <c r="R4234" s="3" t="s">
        <v>66</v>
      </c>
      <c r="S4234" s="4">
        <v>0</v>
      </c>
      <c r="T4234" s="4">
        <v>0</v>
      </c>
      <c r="W4234" s="5" t="s">
        <v>23847</v>
      </c>
      <c r="X4234" s="5" t="s">
        <v>23847</v>
      </c>
      <c r="Y4234" s="4">
        <v>19</v>
      </c>
      <c r="Z4234" s="4">
        <v>2</v>
      </c>
      <c r="AA4234" s="4">
        <v>5</v>
      </c>
      <c r="AB4234" s="4">
        <v>1</v>
      </c>
      <c r="AC4234" s="4">
        <v>2</v>
      </c>
      <c r="AD4234" s="4">
        <v>13</v>
      </c>
      <c r="AE4234" s="4">
        <v>16</v>
      </c>
      <c r="AF4234" s="4">
        <v>0</v>
      </c>
      <c r="AG4234" s="4">
        <v>1</v>
      </c>
      <c r="AH4234" s="4">
        <v>12</v>
      </c>
      <c r="AI4234" s="4">
        <v>13</v>
      </c>
      <c r="AJ4234" s="4">
        <v>1</v>
      </c>
      <c r="AK4234" s="4">
        <v>3</v>
      </c>
      <c r="AL4234" s="4">
        <v>10</v>
      </c>
      <c r="AM4234" s="4">
        <v>10</v>
      </c>
      <c r="AN4234" s="4">
        <v>0</v>
      </c>
      <c r="AO4234" s="4">
        <v>0</v>
      </c>
      <c r="AP4234" s="4">
        <v>1</v>
      </c>
      <c r="AQ4234" s="4">
        <v>3</v>
      </c>
      <c r="AR4234" s="3" t="s">
        <v>62</v>
      </c>
      <c r="AS4234" s="3" t="s">
        <v>62</v>
      </c>
      <c r="AT4234" s="3" t="s">
        <v>62</v>
      </c>
      <c r="AV4234" s="6" t="str">
        <f>HYPERLINK("http://mcgill.on.worldcat.org/oclc/1102596855","Catalog Record")</f>
        <v>Catalog Record</v>
      </c>
      <c r="AW4234" s="6" t="str">
        <f>HYPERLINK("http://www.worldcat.org/oclc/1102596855","WorldCat Record")</f>
        <v>WorldCat Record</v>
      </c>
      <c r="AX4234" s="3" t="s">
        <v>40762</v>
      </c>
      <c r="AY4234" s="3" t="s">
        <v>40763</v>
      </c>
      <c r="AZ4234" s="3" t="s">
        <v>40764</v>
      </c>
      <c r="BA4234" s="3" t="s">
        <v>40764</v>
      </c>
      <c r="BB4234" s="3" t="s">
        <v>40765</v>
      </c>
      <c r="BC4234" s="3" t="s">
        <v>142</v>
      </c>
      <c r="BD4234" s="3" t="s">
        <v>68</v>
      </c>
      <c r="BE4234" s="3" t="s">
        <v>40766</v>
      </c>
      <c r="BF4234" s="3" t="s">
        <v>40765</v>
      </c>
      <c r="BG4234" s="3" t="s">
        <v>40767</v>
      </c>
    </row>
    <row r="4235" spans="1:59" ht="71.25" x14ac:dyDescent="0.45">
      <c r="A4235" s="2" t="s">
        <v>59</v>
      </c>
      <c r="B4235" s="2" t="s">
        <v>60</v>
      </c>
      <c r="C4235" s="2" t="s">
        <v>40768</v>
      </c>
      <c r="D4235" s="2" t="s">
        <v>40769</v>
      </c>
      <c r="E4235" s="2" t="s">
        <v>40770</v>
      </c>
      <c r="G4235" s="3" t="s">
        <v>62</v>
      </c>
      <c r="I4235" s="3" t="s">
        <v>62</v>
      </c>
      <c r="J4235" s="3" t="s">
        <v>62</v>
      </c>
      <c r="K4235" s="3" t="s">
        <v>63</v>
      </c>
      <c r="M4235" s="2" t="s">
        <v>28050</v>
      </c>
      <c r="N4235" s="3" t="s">
        <v>149</v>
      </c>
      <c r="P4235" s="3" t="s">
        <v>65</v>
      </c>
      <c r="R4235" s="3" t="s">
        <v>66</v>
      </c>
      <c r="S4235" s="4">
        <v>5</v>
      </c>
      <c r="T4235" s="4">
        <v>5</v>
      </c>
      <c r="U4235" s="5" t="s">
        <v>40771</v>
      </c>
      <c r="V4235" s="5" t="s">
        <v>40771</v>
      </c>
      <c r="W4235" s="5" t="s">
        <v>67</v>
      </c>
      <c r="X4235" s="5" t="s">
        <v>67</v>
      </c>
      <c r="Y4235" s="4">
        <v>70</v>
      </c>
      <c r="Z4235" s="4">
        <v>10</v>
      </c>
      <c r="AA4235" s="4">
        <v>75</v>
      </c>
      <c r="AB4235" s="4">
        <v>1</v>
      </c>
      <c r="AC4235" s="4">
        <v>14</v>
      </c>
      <c r="AD4235" s="4">
        <v>35</v>
      </c>
      <c r="AE4235" s="4">
        <v>95</v>
      </c>
      <c r="AF4235" s="4">
        <v>0</v>
      </c>
      <c r="AG4235" s="4">
        <v>8</v>
      </c>
      <c r="AH4235" s="4">
        <v>31</v>
      </c>
      <c r="AI4235" s="4">
        <v>64</v>
      </c>
      <c r="AJ4235" s="4">
        <v>7</v>
      </c>
      <c r="AK4235" s="4">
        <v>19</v>
      </c>
      <c r="AL4235" s="4">
        <v>21</v>
      </c>
      <c r="AM4235" s="4">
        <v>35</v>
      </c>
      <c r="AN4235" s="4">
        <v>0</v>
      </c>
      <c r="AO4235" s="4">
        <v>0</v>
      </c>
      <c r="AP4235" s="4">
        <v>8</v>
      </c>
      <c r="AQ4235" s="4">
        <v>39</v>
      </c>
      <c r="AR4235" s="3" t="s">
        <v>62</v>
      </c>
      <c r="AS4235" s="3" t="s">
        <v>62</v>
      </c>
      <c r="AT4235" s="3" t="s">
        <v>62</v>
      </c>
      <c r="AV4235" s="6" t="str">
        <f>HYPERLINK("http://mcgill.on.worldcat.org/oclc/659240396","Catalog Record")</f>
        <v>Catalog Record</v>
      </c>
      <c r="AW4235" s="6" t="str">
        <f>HYPERLINK("http://www.worldcat.org/oclc/659240396","WorldCat Record")</f>
        <v>WorldCat Record</v>
      </c>
      <c r="AX4235" s="3" t="s">
        <v>40772</v>
      </c>
      <c r="AY4235" s="3" t="s">
        <v>40773</v>
      </c>
      <c r="AZ4235" s="3" t="s">
        <v>40774</v>
      </c>
      <c r="BA4235" s="3" t="s">
        <v>40774</v>
      </c>
      <c r="BB4235" s="3" t="s">
        <v>40775</v>
      </c>
      <c r="BC4235" s="3" t="s">
        <v>142</v>
      </c>
      <c r="BD4235" s="3" t="s">
        <v>68</v>
      </c>
      <c r="BE4235" s="3" t="s">
        <v>40776</v>
      </c>
      <c r="BF4235" s="3" t="s">
        <v>40775</v>
      </c>
      <c r="BG4235" s="3" t="s">
        <v>40777</v>
      </c>
    </row>
    <row r="4236" spans="1:59" ht="57" x14ac:dyDescent="0.45">
      <c r="A4236" s="2" t="s">
        <v>59</v>
      </c>
      <c r="B4236" s="2" t="s">
        <v>60</v>
      </c>
      <c r="C4236" s="2" t="s">
        <v>40778</v>
      </c>
      <c r="D4236" s="2" t="s">
        <v>40779</v>
      </c>
      <c r="E4236" s="2" t="s">
        <v>40780</v>
      </c>
      <c r="G4236" s="3" t="s">
        <v>62</v>
      </c>
      <c r="I4236" s="3" t="s">
        <v>61</v>
      </c>
      <c r="J4236" s="3" t="s">
        <v>61</v>
      </c>
      <c r="K4236" s="3" t="s">
        <v>63</v>
      </c>
      <c r="M4236" s="2" t="s">
        <v>3184</v>
      </c>
      <c r="N4236" s="3" t="s">
        <v>125</v>
      </c>
      <c r="P4236" s="3" t="s">
        <v>65</v>
      </c>
      <c r="Q4236" s="2" t="s">
        <v>40781</v>
      </c>
      <c r="R4236" s="3" t="s">
        <v>66</v>
      </c>
      <c r="S4236" s="4">
        <v>48</v>
      </c>
      <c r="T4236" s="4">
        <v>88</v>
      </c>
      <c r="U4236" s="5" t="s">
        <v>1268</v>
      </c>
      <c r="V4236" s="5" t="s">
        <v>8397</v>
      </c>
      <c r="W4236" s="5" t="s">
        <v>67</v>
      </c>
      <c r="X4236" s="5" t="s">
        <v>67</v>
      </c>
      <c r="Y4236" s="4">
        <v>579</v>
      </c>
      <c r="Z4236" s="4">
        <v>48</v>
      </c>
      <c r="AA4236" s="4">
        <v>64</v>
      </c>
      <c r="AB4236" s="4">
        <v>2</v>
      </c>
      <c r="AC4236" s="4">
        <v>7</v>
      </c>
      <c r="AD4236" s="4">
        <v>124</v>
      </c>
      <c r="AE4236" s="4">
        <v>147</v>
      </c>
      <c r="AF4236" s="4">
        <v>1</v>
      </c>
      <c r="AG4236" s="4">
        <v>6</v>
      </c>
      <c r="AH4236" s="4">
        <v>94</v>
      </c>
      <c r="AI4236" s="4">
        <v>108</v>
      </c>
      <c r="AJ4236" s="4">
        <v>20</v>
      </c>
      <c r="AK4236" s="4">
        <v>26</v>
      </c>
      <c r="AL4236" s="4">
        <v>53</v>
      </c>
      <c r="AM4236" s="4">
        <v>57</v>
      </c>
      <c r="AN4236" s="4">
        <v>0</v>
      </c>
      <c r="AO4236" s="4">
        <v>0</v>
      </c>
      <c r="AP4236" s="4">
        <v>39</v>
      </c>
      <c r="AQ4236" s="4">
        <v>48</v>
      </c>
      <c r="AR4236" s="3" t="s">
        <v>62</v>
      </c>
      <c r="AS4236" s="3" t="s">
        <v>62</v>
      </c>
      <c r="AT4236" s="3" t="s">
        <v>62</v>
      </c>
      <c r="AV4236" s="6" t="str">
        <f>HYPERLINK("http://mcgill.on.worldcat.org/oclc/19555616","Catalog Record")</f>
        <v>Catalog Record</v>
      </c>
      <c r="AW4236" s="6" t="str">
        <f>HYPERLINK("http://www.worldcat.org/oclc/19555616","WorldCat Record")</f>
        <v>WorldCat Record</v>
      </c>
      <c r="AX4236" s="3" t="s">
        <v>40782</v>
      </c>
      <c r="AY4236" s="3" t="s">
        <v>40783</v>
      </c>
      <c r="AZ4236" s="3" t="s">
        <v>40784</v>
      </c>
      <c r="BA4236" s="3" t="s">
        <v>40784</v>
      </c>
      <c r="BB4236" s="3" t="s">
        <v>40785</v>
      </c>
      <c r="BC4236" s="3" t="s">
        <v>142</v>
      </c>
      <c r="BD4236" s="3" t="s">
        <v>68</v>
      </c>
      <c r="BE4236" s="3" t="s">
        <v>40786</v>
      </c>
      <c r="BF4236" s="3" t="s">
        <v>40785</v>
      </c>
      <c r="BG4236" s="3" t="s">
        <v>40787</v>
      </c>
    </row>
    <row r="4237" spans="1:59" ht="57" x14ac:dyDescent="0.45">
      <c r="A4237" s="2" t="s">
        <v>59</v>
      </c>
      <c r="B4237" s="2" t="s">
        <v>60</v>
      </c>
      <c r="C4237" s="2" t="s">
        <v>40778</v>
      </c>
      <c r="D4237" s="2" t="s">
        <v>40779</v>
      </c>
      <c r="E4237" s="2" t="s">
        <v>40780</v>
      </c>
      <c r="G4237" s="3" t="s">
        <v>62</v>
      </c>
      <c r="I4237" s="3" t="s">
        <v>61</v>
      </c>
      <c r="J4237" s="3" t="s">
        <v>61</v>
      </c>
      <c r="K4237" s="3" t="s">
        <v>63</v>
      </c>
      <c r="M4237" s="2" t="s">
        <v>3184</v>
      </c>
      <c r="N4237" s="3" t="s">
        <v>125</v>
      </c>
      <c r="P4237" s="3" t="s">
        <v>65</v>
      </c>
      <c r="Q4237" s="2" t="s">
        <v>40781</v>
      </c>
      <c r="R4237" s="3" t="s">
        <v>66</v>
      </c>
      <c r="S4237" s="4">
        <v>40</v>
      </c>
      <c r="T4237" s="4">
        <v>88</v>
      </c>
      <c r="U4237" s="5" t="s">
        <v>8397</v>
      </c>
      <c r="V4237" s="5" t="s">
        <v>8397</v>
      </c>
      <c r="W4237" s="5" t="s">
        <v>67</v>
      </c>
      <c r="X4237" s="5" t="s">
        <v>67</v>
      </c>
      <c r="Y4237" s="4">
        <v>579</v>
      </c>
      <c r="Z4237" s="4">
        <v>48</v>
      </c>
      <c r="AA4237" s="4">
        <v>64</v>
      </c>
      <c r="AB4237" s="4">
        <v>2</v>
      </c>
      <c r="AC4237" s="4">
        <v>7</v>
      </c>
      <c r="AD4237" s="4">
        <v>124</v>
      </c>
      <c r="AE4237" s="4">
        <v>147</v>
      </c>
      <c r="AF4237" s="4">
        <v>1</v>
      </c>
      <c r="AG4237" s="4">
        <v>6</v>
      </c>
      <c r="AH4237" s="4">
        <v>94</v>
      </c>
      <c r="AI4237" s="4">
        <v>108</v>
      </c>
      <c r="AJ4237" s="4">
        <v>20</v>
      </c>
      <c r="AK4237" s="4">
        <v>26</v>
      </c>
      <c r="AL4237" s="4">
        <v>53</v>
      </c>
      <c r="AM4237" s="4">
        <v>57</v>
      </c>
      <c r="AN4237" s="4">
        <v>0</v>
      </c>
      <c r="AO4237" s="4">
        <v>0</v>
      </c>
      <c r="AP4237" s="4">
        <v>39</v>
      </c>
      <c r="AQ4237" s="4">
        <v>48</v>
      </c>
      <c r="AR4237" s="3" t="s">
        <v>62</v>
      </c>
      <c r="AS4237" s="3" t="s">
        <v>62</v>
      </c>
      <c r="AT4237" s="3" t="s">
        <v>62</v>
      </c>
      <c r="AV4237" s="6" t="str">
        <f>HYPERLINK("http://mcgill.on.worldcat.org/oclc/19555616","Catalog Record")</f>
        <v>Catalog Record</v>
      </c>
      <c r="AW4237" s="6" t="str">
        <f>HYPERLINK("http://www.worldcat.org/oclc/19555616","WorldCat Record")</f>
        <v>WorldCat Record</v>
      </c>
      <c r="AX4237" s="3" t="s">
        <v>40782</v>
      </c>
      <c r="AY4237" s="3" t="s">
        <v>40783</v>
      </c>
      <c r="AZ4237" s="3" t="s">
        <v>40784</v>
      </c>
      <c r="BA4237" s="3" t="s">
        <v>40784</v>
      </c>
      <c r="BB4237" s="3" t="s">
        <v>40788</v>
      </c>
      <c r="BC4237" s="3" t="s">
        <v>142</v>
      </c>
      <c r="BD4237" s="3" t="s">
        <v>68</v>
      </c>
      <c r="BE4237" s="3" t="s">
        <v>40786</v>
      </c>
      <c r="BF4237" s="3" t="s">
        <v>40788</v>
      </c>
      <c r="BG4237" s="3" t="s">
        <v>40789</v>
      </c>
    </row>
    <row r="4238" spans="1:59" ht="57" x14ac:dyDescent="0.45">
      <c r="A4238" s="2" t="s">
        <v>59</v>
      </c>
      <c r="B4238" s="2" t="s">
        <v>60</v>
      </c>
      <c r="C4238" s="2" t="s">
        <v>40790</v>
      </c>
      <c r="D4238" s="2" t="s">
        <v>40791</v>
      </c>
      <c r="E4238" s="2" t="s">
        <v>40792</v>
      </c>
      <c r="G4238" s="3" t="s">
        <v>62</v>
      </c>
      <c r="I4238" s="3" t="s">
        <v>62</v>
      </c>
      <c r="J4238" s="3" t="s">
        <v>61</v>
      </c>
      <c r="K4238" s="3" t="s">
        <v>63</v>
      </c>
      <c r="M4238" s="2" t="s">
        <v>1829</v>
      </c>
      <c r="N4238" s="3" t="s">
        <v>1437</v>
      </c>
      <c r="O4238" s="2" t="s">
        <v>933</v>
      </c>
      <c r="P4238" s="3" t="s">
        <v>65</v>
      </c>
      <c r="R4238" s="3" t="s">
        <v>66</v>
      </c>
      <c r="S4238" s="4">
        <v>26</v>
      </c>
      <c r="T4238" s="4">
        <v>26</v>
      </c>
      <c r="U4238" s="5" t="s">
        <v>28233</v>
      </c>
      <c r="V4238" s="5" t="s">
        <v>28233</v>
      </c>
      <c r="W4238" s="5" t="s">
        <v>67</v>
      </c>
      <c r="X4238" s="5" t="s">
        <v>67</v>
      </c>
      <c r="Y4238" s="4">
        <v>518</v>
      </c>
      <c r="Z4238" s="4">
        <v>32</v>
      </c>
      <c r="AA4238" s="4">
        <v>64</v>
      </c>
      <c r="AB4238" s="4">
        <v>3</v>
      </c>
      <c r="AC4238" s="4">
        <v>7</v>
      </c>
      <c r="AD4238" s="4">
        <v>98</v>
      </c>
      <c r="AE4238" s="4">
        <v>147</v>
      </c>
      <c r="AF4238" s="4">
        <v>2</v>
      </c>
      <c r="AG4238" s="4">
        <v>6</v>
      </c>
      <c r="AH4238" s="4">
        <v>84</v>
      </c>
      <c r="AI4238" s="4">
        <v>108</v>
      </c>
      <c r="AJ4238" s="4">
        <v>17</v>
      </c>
      <c r="AK4238" s="4">
        <v>26</v>
      </c>
      <c r="AL4238" s="4">
        <v>44</v>
      </c>
      <c r="AM4238" s="4">
        <v>57</v>
      </c>
      <c r="AN4238" s="4">
        <v>0</v>
      </c>
      <c r="AO4238" s="4">
        <v>0</v>
      </c>
      <c r="AP4238" s="4">
        <v>25</v>
      </c>
      <c r="AQ4238" s="4">
        <v>48</v>
      </c>
      <c r="AR4238" s="3" t="s">
        <v>62</v>
      </c>
      <c r="AS4238" s="3" t="s">
        <v>62</v>
      </c>
      <c r="AT4238" s="3" t="s">
        <v>62</v>
      </c>
      <c r="AV4238" s="6" t="str">
        <f>HYPERLINK("http://mcgill.on.worldcat.org/oclc/37011370","Catalog Record")</f>
        <v>Catalog Record</v>
      </c>
      <c r="AW4238" s="6" t="str">
        <f>HYPERLINK("http://www.worldcat.org/oclc/37011370","WorldCat Record")</f>
        <v>WorldCat Record</v>
      </c>
      <c r="AX4238" s="3" t="s">
        <v>40782</v>
      </c>
      <c r="AY4238" s="3" t="s">
        <v>40793</v>
      </c>
      <c r="AZ4238" s="3" t="s">
        <v>40794</v>
      </c>
      <c r="BA4238" s="3" t="s">
        <v>40794</v>
      </c>
      <c r="BB4238" s="3" t="s">
        <v>40795</v>
      </c>
      <c r="BC4238" s="3" t="s">
        <v>142</v>
      </c>
      <c r="BD4238" s="3" t="s">
        <v>68</v>
      </c>
      <c r="BE4238" s="3" t="s">
        <v>40796</v>
      </c>
      <c r="BF4238" s="3" t="s">
        <v>40795</v>
      </c>
      <c r="BG4238" s="3" t="s">
        <v>40797</v>
      </c>
    </row>
    <row r="4239" spans="1:59" ht="57" x14ac:dyDescent="0.45">
      <c r="A4239" s="2" t="s">
        <v>59</v>
      </c>
      <c r="B4239" s="2" t="s">
        <v>60</v>
      </c>
      <c r="C4239" s="2" t="s">
        <v>40798</v>
      </c>
      <c r="D4239" s="2" t="s">
        <v>40799</v>
      </c>
      <c r="E4239" s="2" t="s">
        <v>40800</v>
      </c>
      <c r="G4239" s="3" t="s">
        <v>62</v>
      </c>
      <c r="I4239" s="3" t="s">
        <v>62</v>
      </c>
      <c r="J4239" s="3" t="s">
        <v>62</v>
      </c>
      <c r="K4239" s="3" t="s">
        <v>63</v>
      </c>
      <c r="M4239" s="2" t="s">
        <v>40801</v>
      </c>
      <c r="N4239" s="3" t="s">
        <v>1253</v>
      </c>
      <c r="P4239" s="3" t="s">
        <v>65</v>
      </c>
      <c r="Q4239" s="2" t="s">
        <v>40802</v>
      </c>
      <c r="R4239" s="3" t="s">
        <v>66</v>
      </c>
      <c r="S4239" s="4">
        <v>21</v>
      </c>
      <c r="T4239" s="4">
        <v>21</v>
      </c>
      <c r="U4239" s="5" t="s">
        <v>40803</v>
      </c>
      <c r="V4239" s="5" t="s">
        <v>40803</v>
      </c>
      <c r="W4239" s="5" t="s">
        <v>67</v>
      </c>
      <c r="X4239" s="5" t="s">
        <v>67</v>
      </c>
      <c r="Y4239" s="4">
        <v>430</v>
      </c>
      <c r="Z4239" s="4">
        <v>27</v>
      </c>
      <c r="AA4239" s="4">
        <v>55</v>
      </c>
      <c r="AB4239" s="4">
        <v>2</v>
      </c>
      <c r="AC4239" s="4">
        <v>8</v>
      </c>
      <c r="AD4239" s="4">
        <v>111</v>
      </c>
      <c r="AE4239" s="4">
        <v>117</v>
      </c>
      <c r="AF4239" s="4">
        <v>1</v>
      </c>
      <c r="AG4239" s="4">
        <v>2</v>
      </c>
      <c r="AH4239" s="4">
        <v>96</v>
      </c>
      <c r="AI4239" s="4">
        <v>96</v>
      </c>
      <c r="AJ4239" s="4">
        <v>19</v>
      </c>
      <c r="AK4239" s="4">
        <v>20</v>
      </c>
      <c r="AL4239" s="4">
        <v>52</v>
      </c>
      <c r="AM4239" s="4">
        <v>52</v>
      </c>
      <c r="AN4239" s="4">
        <v>0</v>
      </c>
      <c r="AO4239" s="4">
        <v>0</v>
      </c>
      <c r="AP4239" s="4">
        <v>23</v>
      </c>
      <c r="AQ4239" s="4">
        <v>29</v>
      </c>
      <c r="AR4239" s="3" t="s">
        <v>62</v>
      </c>
      <c r="AS4239" s="3" t="s">
        <v>62</v>
      </c>
      <c r="AT4239" s="3" t="s">
        <v>61</v>
      </c>
      <c r="AU4239" s="6" t="str">
        <f>HYPERLINK("http://catalog.hathitrust.org/Record/003949737","HathiTrust Record")</f>
        <v>HathiTrust Record</v>
      </c>
      <c r="AV4239" s="6" t="str">
        <f>HYPERLINK("http://mcgill.on.worldcat.org/oclc/37880575","Catalog Record")</f>
        <v>Catalog Record</v>
      </c>
      <c r="AW4239" s="6" t="str">
        <f>HYPERLINK("http://www.worldcat.org/oclc/37880575","WorldCat Record")</f>
        <v>WorldCat Record</v>
      </c>
      <c r="AX4239" s="3" t="s">
        <v>40804</v>
      </c>
      <c r="AY4239" s="3" t="s">
        <v>40805</v>
      </c>
      <c r="AZ4239" s="3" t="s">
        <v>40806</v>
      </c>
      <c r="BA4239" s="3" t="s">
        <v>40806</v>
      </c>
      <c r="BB4239" s="3" t="s">
        <v>40807</v>
      </c>
      <c r="BC4239" s="3" t="s">
        <v>142</v>
      </c>
      <c r="BD4239" s="3" t="s">
        <v>68</v>
      </c>
      <c r="BE4239" s="3" t="s">
        <v>40808</v>
      </c>
      <c r="BF4239" s="3" t="s">
        <v>40807</v>
      </c>
      <c r="BG4239" s="3" t="s">
        <v>40809</v>
      </c>
    </row>
    <row r="4240" spans="1:59" ht="57" x14ac:dyDescent="0.45">
      <c r="A4240" s="2" t="s">
        <v>59</v>
      </c>
      <c r="B4240" s="2" t="s">
        <v>60</v>
      </c>
      <c r="C4240" s="2" t="s">
        <v>40810</v>
      </c>
      <c r="D4240" s="2" t="s">
        <v>40811</v>
      </c>
      <c r="E4240" s="2" t="s">
        <v>40812</v>
      </c>
      <c r="G4240" s="3" t="s">
        <v>62</v>
      </c>
      <c r="I4240" s="3" t="s">
        <v>62</v>
      </c>
      <c r="J4240" s="3" t="s">
        <v>62</v>
      </c>
      <c r="K4240" s="3" t="s">
        <v>63</v>
      </c>
      <c r="M4240" s="2" t="s">
        <v>22458</v>
      </c>
      <c r="N4240" s="3" t="s">
        <v>820</v>
      </c>
      <c r="P4240" s="3" t="s">
        <v>65</v>
      </c>
      <c r="R4240" s="3" t="s">
        <v>66</v>
      </c>
      <c r="S4240" s="4">
        <v>18</v>
      </c>
      <c r="T4240" s="4">
        <v>18</v>
      </c>
      <c r="U4240" s="5" t="s">
        <v>3424</v>
      </c>
      <c r="V4240" s="5" t="s">
        <v>3424</v>
      </c>
      <c r="W4240" s="5" t="s">
        <v>67</v>
      </c>
      <c r="X4240" s="5" t="s">
        <v>67</v>
      </c>
      <c r="Y4240" s="4">
        <v>279</v>
      </c>
      <c r="Z4240" s="4">
        <v>25</v>
      </c>
      <c r="AA4240" s="4">
        <v>27</v>
      </c>
      <c r="AB4240" s="4">
        <v>2</v>
      </c>
      <c r="AC4240" s="4">
        <v>4</v>
      </c>
      <c r="AD4240" s="4">
        <v>93</v>
      </c>
      <c r="AE4240" s="4">
        <v>94</v>
      </c>
      <c r="AF4240" s="4">
        <v>1</v>
      </c>
      <c r="AG4240" s="4">
        <v>2</v>
      </c>
      <c r="AH4240" s="4">
        <v>77</v>
      </c>
      <c r="AI4240" s="4">
        <v>77</v>
      </c>
      <c r="AJ4240" s="4">
        <v>16</v>
      </c>
      <c r="AK4240" s="4">
        <v>17</v>
      </c>
      <c r="AL4240" s="4">
        <v>46</v>
      </c>
      <c r="AM4240" s="4">
        <v>46</v>
      </c>
      <c r="AN4240" s="4">
        <v>0</v>
      </c>
      <c r="AO4240" s="4">
        <v>0</v>
      </c>
      <c r="AP4240" s="4">
        <v>21</v>
      </c>
      <c r="AQ4240" s="4">
        <v>22</v>
      </c>
      <c r="AR4240" s="3" t="s">
        <v>62</v>
      </c>
      <c r="AS4240" s="3" t="s">
        <v>62</v>
      </c>
      <c r="AT4240" s="3" t="s">
        <v>61</v>
      </c>
      <c r="AU4240" s="6" t="str">
        <f>HYPERLINK("http://catalog.hathitrust.org/Record/005866121","HathiTrust Record")</f>
        <v>HathiTrust Record</v>
      </c>
      <c r="AV4240" s="6" t="str">
        <f>HYPERLINK("http://mcgill.on.worldcat.org/oclc/223106106","Catalog Record")</f>
        <v>Catalog Record</v>
      </c>
      <c r="AW4240" s="6" t="str">
        <f>HYPERLINK("http://www.worldcat.org/oclc/223106106","WorldCat Record")</f>
        <v>WorldCat Record</v>
      </c>
      <c r="AX4240" s="3" t="s">
        <v>40813</v>
      </c>
      <c r="AY4240" s="3" t="s">
        <v>40814</v>
      </c>
      <c r="AZ4240" s="3" t="s">
        <v>40815</v>
      </c>
      <c r="BA4240" s="3" t="s">
        <v>40815</v>
      </c>
      <c r="BB4240" s="3" t="s">
        <v>40816</v>
      </c>
      <c r="BC4240" s="3" t="s">
        <v>142</v>
      </c>
      <c r="BD4240" s="3" t="s">
        <v>68</v>
      </c>
      <c r="BE4240" s="3" t="s">
        <v>40817</v>
      </c>
      <c r="BF4240" s="3" t="s">
        <v>40816</v>
      </c>
      <c r="BG4240" s="3" t="s">
        <v>40818</v>
      </c>
    </row>
    <row r="4241" spans="1:59" ht="57" x14ac:dyDescent="0.45">
      <c r="A4241" s="2" t="s">
        <v>59</v>
      </c>
      <c r="B4241" s="2" t="s">
        <v>60</v>
      </c>
      <c r="C4241" s="2" t="s">
        <v>40819</v>
      </c>
      <c r="D4241" s="2" t="s">
        <v>40820</v>
      </c>
      <c r="E4241" s="2" t="s">
        <v>40821</v>
      </c>
      <c r="G4241" s="3" t="s">
        <v>62</v>
      </c>
      <c r="I4241" s="3" t="s">
        <v>62</v>
      </c>
      <c r="J4241" s="3" t="s">
        <v>62</v>
      </c>
      <c r="K4241" s="3" t="s">
        <v>63</v>
      </c>
      <c r="M4241" s="2" t="s">
        <v>40822</v>
      </c>
      <c r="N4241" s="3" t="s">
        <v>820</v>
      </c>
      <c r="P4241" s="3" t="s">
        <v>65</v>
      </c>
      <c r="R4241" s="3" t="s">
        <v>66</v>
      </c>
      <c r="S4241" s="4">
        <v>9</v>
      </c>
      <c r="T4241" s="4">
        <v>9</v>
      </c>
      <c r="U4241" s="5" t="s">
        <v>3985</v>
      </c>
      <c r="V4241" s="5" t="s">
        <v>3985</v>
      </c>
      <c r="W4241" s="5" t="s">
        <v>67</v>
      </c>
      <c r="X4241" s="5" t="s">
        <v>67</v>
      </c>
      <c r="Y4241" s="4">
        <v>63</v>
      </c>
      <c r="Z4241" s="4">
        <v>12</v>
      </c>
      <c r="AA4241" s="4">
        <v>82</v>
      </c>
      <c r="AB4241" s="4">
        <v>2</v>
      </c>
      <c r="AC4241" s="4">
        <v>15</v>
      </c>
      <c r="AD4241" s="4">
        <v>35</v>
      </c>
      <c r="AE4241" s="4">
        <v>96</v>
      </c>
      <c r="AF4241" s="4">
        <v>0</v>
      </c>
      <c r="AG4241" s="4">
        <v>8</v>
      </c>
      <c r="AH4241" s="4">
        <v>28</v>
      </c>
      <c r="AI4241" s="4">
        <v>61</v>
      </c>
      <c r="AJ4241" s="4">
        <v>7</v>
      </c>
      <c r="AK4241" s="4">
        <v>19</v>
      </c>
      <c r="AL4241" s="4">
        <v>23</v>
      </c>
      <c r="AM4241" s="4">
        <v>36</v>
      </c>
      <c r="AN4241" s="4">
        <v>0</v>
      </c>
      <c r="AO4241" s="4">
        <v>0</v>
      </c>
      <c r="AP4241" s="4">
        <v>10</v>
      </c>
      <c r="AQ4241" s="4">
        <v>41</v>
      </c>
      <c r="AR4241" s="3" t="s">
        <v>62</v>
      </c>
      <c r="AS4241" s="3" t="s">
        <v>62</v>
      </c>
      <c r="AT4241" s="3" t="s">
        <v>61</v>
      </c>
      <c r="AU4241" s="6" t="str">
        <f>HYPERLINK("http://catalog.hathitrust.org/Record/008325339","HathiTrust Record")</f>
        <v>HathiTrust Record</v>
      </c>
      <c r="AV4241" s="6" t="str">
        <f>HYPERLINK("http://mcgill.on.worldcat.org/oclc/239844292","Catalog Record")</f>
        <v>Catalog Record</v>
      </c>
      <c r="AW4241" s="6" t="str">
        <f>HYPERLINK("http://www.worldcat.org/oclc/239844292","WorldCat Record")</f>
        <v>WorldCat Record</v>
      </c>
      <c r="AX4241" s="3" t="s">
        <v>40823</v>
      </c>
      <c r="AY4241" s="3" t="s">
        <v>40824</v>
      </c>
      <c r="AZ4241" s="3" t="s">
        <v>40825</v>
      </c>
      <c r="BA4241" s="3" t="s">
        <v>40825</v>
      </c>
      <c r="BB4241" s="3" t="s">
        <v>40826</v>
      </c>
      <c r="BC4241" s="3" t="s">
        <v>142</v>
      </c>
      <c r="BD4241" s="3" t="s">
        <v>68</v>
      </c>
      <c r="BE4241" s="3" t="s">
        <v>40827</v>
      </c>
      <c r="BF4241" s="3" t="s">
        <v>40826</v>
      </c>
      <c r="BG4241" s="3" t="s">
        <v>40828</v>
      </c>
    </row>
    <row r="4242" spans="1:59" ht="57" x14ac:dyDescent="0.45">
      <c r="A4242" s="2" t="s">
        <v>59</v>
      </c>
      <c r="B4242" s="2" t="s">
        <v>60</v>
      </c>
      <c r="C4242" s="2" t="s">
        <v>40829</v>
      </c>
      <c r="D4242" s="2" t="s">
        <v>40830</v>
      </c>
      <c r="E4242" s="2" t="s">
        <v>40831</v>
      </c>
      <c r="G4242" s="3" t="s">
        <v>62</v>
      </c>
      <c r="I4242" s="3" t="s">
        <v>62</v>
      </c>
      <c r="J4242" s="3" t="s">
        <v>62</v>
      </c>
      <c r="K4242" s="3" t="s">
        <v>63</v>
      </c>
      <c r="M4242" s="2" t="s">
        <v>21891</v>
      </c>
      <c r="N4242" s="3" t="s">
        <v>958</v>
      </c>
      <c r="P4242" s="3" t="s">
        <v>65</v>
      </c>
      <c r="R4242" s="3" t="s">
        <v>66</v>
      </c>
      <c r="S4242" s="4">
        <v>51</v>
      </c>
      <c r="T4242" s="4">
        <v>51</v>
      </c>
      <c r="U4242" s="5" t="s">
        <v>3364</v>
      </c>
      <c r="V4242" s="5" t="s">
        <v>3364</v>
      </c>
      <c r="W4242" s="5" t="s">
        <v>67</v>
      </c>
      <c r="X4242" s="5" t="s">
        <v>67</v>
      </c>
      <c r="Y4242" s="4">
        <v>714</v>
      </c>
      <c r="Z4242" s="4">
        <v>40</v>
      </c>
      <c r="AA4242" s="4">
        <v>45</v>
      </c>
      <c r="AB4242" s="4">
        <v>2</v>
      </c>
      <c r="AC4242" s="4">
        <v>7</v>
      </c>
      <c r="AD4242" s="4">
        <v>124</v>
      </c>
      <c r="AE4242" s="4">
        <v>126</v>
      </c>
      <c r="AF4242" s="4">
        <v>1</v>
      </c>
      <c r="AG4242" s="4">
        <v>3</v>
      </c>
      <c r="AH4242" s="4">
        <v>103</v>
      </c>
      <c r="AI4242" s="4">
        <v>103</v>
      </c>
      <c r="AJ4242" s="4">
        <v>19</v>
      </c>
      <c r="AK4242" s="4">
        <v>21</v>
      </c>
      <c r="AL4242" s="4">
        <v>56</v>
      </c>
      <c r="AM4242" s="4">
        <v>56</v>
      </c>
      <c r="AN4242" s="4">
        <v>0</v>
      </c>
      <c r="AO4242" s="4">
        <v>0</v>
      </c>
      <c r="AP4242" s="4">
        <v>29</v>
      </c>
      <c r="AQ4242" s="4">
        <v>30</v>
      </c>
      <c r="AR4242" s="3" t="s">
        <v>62</v>
      </c>
      <c r="AS4242" s="3" t="s">
        <v>62</v>
      </c>
      <c r="AT4242" s="3" t="s">
        <v>62</v>
      </c>
      <c r="AV4242" s="6" t="str">
        <f>HYPERLINK("http://mcgill.on.worldcat.org/oclc/32468785","Catalog Record")</f>
        <v>Catalog Record</v>
      </c>
      <c r="AW4242" s="6" t="str">
        <f>HYPERLINK("http://www.worldcat.org/oclc/32468785","WorldCat Record")</f>
        <v>WorldCat Record</v>
      </c>
      <c r="AX4242" s="3" t="s">
        <v>40832</v>
      </c>
      <c r="AY4242" s="3" t="s">
        <v>40833</v>
      </c>
      <c r="AZ4242" s="3" t="s">
        <v>40834</v>
      </c>
      <c r="BA4242" s="3" t="s">
        <v>40834</v>
      </c>
      <c r="BB4242" s="3" t="s">
        <v>40835</v>
      </c>
      <c r="BC4242" s="3" t="s">
        <v>142</v>
      </c>
      <c r="BD4242" s="3" t="s">
        <v>68</v>
      </c>
      <c r="BE4242" s="3" t="s">
        <v>40836</v>
      </c>
      <c r="BF4242" s="3" t="s">
        <v>40835</v>
      </c>
      <c r="BG4242" s="3" t="s">
        <v>40837</v>
      </c>
    </row>
    <row r="4243" spans="1:59" ht="57" x14ac:dyDescent="0.45">
      <c r="A4243" s="2" t="s">
        <v>59</v>
      </c>
      <c r="B4243" s="2" t="s">
        <v>60</v>
      </c>
      <c r="C4243" s="2" t="s">
        <v>40838</v>
      </c>
      <c r="D4243" s="2" t="s">
        <v>40839</v>
      </c>
      <c r="E4243" s="2" t="s">
        <v>40840</v>
      </c>
      <c r="G4243" s="3" t="s">
        <v>62</v>
      </c>
      <c r="I4243" s="3" t="s">
        <v>62</v>
      </c>
      <c r="J4243" s="3" t="s">
        <v>62</v>
      </c>
      <c r="K4243" s="3" t="s">
        <v>63</v>
      </c>
      <c r="M4243" s="2" t="s">
        <v>40841</v>
      </c>
      <c r="N4243" s="3" t="s">
        <v>970</v>
      </c>
      <c r="P4243" s="3" t="s">
        <v>65</v>
      </c>
      <c r="R4243" s="3" t="s">
        <v>66</v>
      </c>
      <c r="S4243" s="4">
        <v>17</v>
      </c>
      <c r="T4243" s="4">
        <v>17</v>
      </c>
      <c r="U4243" s="5" t="s">
        <v>17974</v>
      </c>
      <c r="V4243" s="5" t="s">
        <v>17974</v>
      </c>
      <c r="W4243" s="5" t="s">
        <v>67</v>
      </c>
      <c r="X4243" s="5" t="s">
        <v>67</v>
      </c>
      <c r="Y4243" s="4">
        <v>219</v>
      </c>
      <c r="Z4243" s="4">
        <v>28</v>
      </c>
      <c r="AA4243" s="4">
        <v>30</v>
      </c>
      <c r="AB4243" s="4">
        <v>3</v>
      </c>
      <c r="AC4243" s="4">
        <v>5</v>
      </c>
      <c r="AD4243" s="4">
        <v>91</v>
      </c>
      <c r="AE4243" s="4">
        <v>93</v>
      </c>
      <c r="AF4243" s="4">
        <v>1</v>
      </c>
      <c r="AG4243" s="4">
        <v>3</v>
      </c>
      <c r="AH4243" s="4">
        <v>75</v>
      </c>
      <c r="AI4243" s="4">
        <v>76</v>
      </c>
      <c r="AJ4243" s="4">
        <v>16</v>
      </c>
      <c r="AK4243" s="4">
        <v>18</v>
      </c>
      <c r="AL4243" s="4">
        <v>43</v>
      </c>
      <c r="AM4243" s="4">
        <v>43</v>
      </c>
      <c r="AN4243" s="4">
        <v>0</v>
      </c>
      <c r="AO4243" s="4">
        <v>0</v>
      </c>
      <c r="AP4243" s="4">
        <v>23</v>
      </c>
      <c r="AQ4243" s="4">
        <v>24</v>
      </c>
      <c r="AR4243" s="3" t="s">
        <v>62</v>
      </c>
      <c r="AS4243" s="3" t="s">
        <v>62</v>
      </c>
      <c r="AT4243" s="3" t="s">
        <v>62</v>
      </c>
      <c r="AV4243" s="6" t="str">
        <f>HYPERLINK("http://mcgill.on.worldcat.org/oclc/47894903","Catalog Record")</f>
        <v>Catalog Record</v>
      </c>
      <c r="AW4243" s="6" t="str">
        <f>HYPERLINK("http://www.worldcat.org/oclc/47894903","WorldCat Record")</f>
        <v>WorldCat Record</v>
      </c>
      <c r="AX4243" s="3" t="s">
        <v>40842</v>
      </c>
      <c r="AY4243" s="3" t="s">
        <v>40843</v>
      </c>
      <c r="AZ4243" s="3" t="s">
        <v>40844</v>
      </c>
      <c r="BA4243" s="3" t="s">
        <v>40844</v>
      </c>
      <c r="BB4243" s="3" t="s">
        <v>40845</v>
      </c>
      <c r="BC4243" s="3" t="s">
        <v>142</v>
      </c>
      <c r="BD4243" s="3" t="s">
        <v>68</v>
      </c>
      <c r="BE4243" s="3" t="s">
        <v>40846</v>
      </c>
      <c r="BF4243" s="3" t="s">
        <v>40845</v>
      </c>
      <c r="BG4243" s="3" t="s">
        <v>40847</v>
      </c>
    </row>
    <row r="4244" spans="1:59" ht="57" x14ac:dyDescent="0.45">
      <c r="A4244" s="2" t="s">
        <v>59</v>
      </c>
      <c r="B4244" s="2" t="s">
        <v>60</v>
      </c>
      <c r="C4244" s="2" t="s">
        <v>40848</v>
      </c>
      <c r="D4244" s="2" t="s">
        <v>40849</v>
      </c>
      <c r="E4244" s="2" t="s">
        <v>40850</v>
      </c>
      <c r="G4244" s="3" t="s">
        <v>62</v>
      </c>
      <c r="I4244" s="3" t="s">
        <v>62</v>
      </c>
      <c r="J4244" s="3" t="s">
        <v>62</v>
      </c>
      <c r="K4244" s="3" t="s">
        <v>63</v>
      </c>
      <c r="L4244" s="2" t="s">
        <v>40851</v>
      </c>
      <c r="M4244" s="2" t="s">
        <v>39397</v>
      </c>
      <c r="N4244" s="3" t="s">
        <v>167</v>
      </c>
      <c r="P4244" s="3" t="s">
        <v>65</v>
      </c>
      <c r="Q4244" s="2" t="s">
        <v>40852</v>
      </c>
      <c r="R4244" s="3" t="s">
        <v>66</v>
      </c>
      <c r="S4244" s="4">
        <v>22</v>
      </c>
      <c r="T4244" s="4">
        <v>22</v>
      </c>
      <c r="U4244" s="5" t="s">
        <v>3596</v>
      </c>
      <c r="V4244" s="5" t="s">
        <v>3596</v>
      </c>
      <c r="W4244" s="5" t="s">
        <v>67</v>
      </c>
      <c r="X4244" s="5" t="s">
        <v>67</v>
      </c>
      <c r="Y4244" s="4">
        <v>281</v>
      </c>
      <c r="Z4244" s="4">
        <v>26</v>
      </c>
      <c r="AA4244" s="4">
        <v>31</v>
      </c>
      <c r="AB4244" s="4">
        <v>2</v>
      </c>
      <c r="AC4244" s="4">
        <v>5</v>
      </c>
      <c r="AD4244" s="4">
        <v>105</v>
      </c>
      <c r="AE4244" s="4">
        <v>108</v>
      </c>
      <c r="AF4244" s="4">
        <v>1</v>
      </c>
      <c r="AG4244" s="4">
        <v>2</v>
      </c>
      <c r="AH4244" s="4">
        <v>89</v>
      </c>
      <c r="AI4244" s="4">
        <v>91</v>
      </c>
      <c r="AJ4244" s="4">
        <v>17</v>
      </c>
      <c r="AK4244" s="4">
        <v>19</v>
      </c>
      <c r="AL4244" s="4">
        <v>49</v>
      </c>
      <c r="AM4244" s="4">
        <v>49</v>
      </c>
      <c r="AN4244" s="4">
        <v>0</v>
      </c>
      <c r="AO4244" s="4">
        <v>0</v>
      </c>
      <c r="AP4244" s="4">
        <v>22</v>
      </c>
      <c r="AQ4244" s="4">
        <v>25</v>
      </c>
      <c r="AR4244" s="3" t="s">
        <v>62</v>
      </c>
      <c r="AS4244" s="3" t="s">
        <v>62</v>
      </c>
      <c r="AT4244" s="3" t="s">
        <v>61</v>
      </c>
      <c r="AU4244" s="6" t="str">
        <f>HYPERLINK("http://catalog.hathitrust.org/Record/004051980","HathiTrust Record")</f>
        <v>HathiTrust Record</v>
      </c>
      <c r="AV4244" s="6" t="str">
        <f>HYPERLINK("http://mcgill.on.worldcat.org/oclc/40119693","Catalog Record")</f>
        <v>Catalog Record</v>
      </c>
      <c r="AW4244" s="6" t="str">
        <f>HYPERLINK("http://www.worldcat.org/oclc/40119693","WorldCat Record")</f>
        <v>WorldCat Record</v>
      </c>
      <c r="AX4244" s="3" t="s">
        <v>40853</v>
      </c>
      <c r="AY4244" s="3" t="s">
        <v>40854</v>
      </c>
      <c r="AZ4244" s="3" t="s">
        <v>40855</v>
      </c>
      <c r="BA4244" s="3" t="s">
        <v>40855</v>
      </c>
      <c r="BB4244" s="3" t="s">
        <v>40856</v>
      </c>
      <c r="BC4244" s="3" t="s">
        <v>142</v>
      </c>
      <c r="BD4244" s="3" t="s">
        <v>68</v>
      </c>
      <c r="BE4244" s="3" t="s">
        <v>40857</v>
      </c>
      <c r="BF4244" s="3" t="s">
        <v>40856</v>
      </c>
      <c r="BG4244" s="3" t="s">
        <v>40858</v>
      </c>
    </row>
    <row r="4245" spans="1:59" ht="57" x14ac:dyDescent="0.45">
      <c r="A4245" s="2" t="s">
        <v>59</v>
      </c>
      <c r="B4245" s="2" t="s">
        <v>60</v>
      </c>
      <c r="C4245" s="2" t="s">
        <v>40859</v>
      </c>
      <c r="D4245" s="2" t="s">
        <v>40860</v>
      </c>
      <c r="E4245" s="2" t="s">
        <v>40861</v>
      </c>
      <c r="G4245" s="3" t="s">
        <v>62</v>
      </c>
      <c r="I4245" s="3" t="s">
        <v>62</v>
      </c>
      <c r="J4245" s="3" t="s">
        <v>62</v>
      </c>
      <c r="K4245" s="3" t="s">
        <v>63</v>
      </c>
      <c r="L4245" s="2" t="s">
        <v>40862</v>
      </c>
      <c r="M4245" s="2" t="s">
        <v>40863</v>
      </c>
      <c r="N4245" s="3" t="s">
        <v>894</v>
      </c>
      <c r="O4245" s="2" t="s">
        <v>15672</v>
      </c>
      <c r="P4245" s="3" t="s">
        <v>65</v>
      </c>
      <c r="R4245" s="3" t="s">
        <v>66</v>
      </c>
      <c r="S4245" s="4">
        <v>3</v>
      </c>
      <c r="T4245" s="4">
        <v>3</v>
      </c>
      <c r="U4245" s="5" t="s">
        <v>17714</v>
      </c>
      <c r="V4245" s="5" t="s">
        <v>17714</v>
      </c>
      <c r="W4245" s="5" t="s">
        <v>67</v>
      </c>
      <c r="X4245" s="5" t="s">
        <v>67</v>
      </c>
      <c r="Y4245" s="4">
        <v>12</v>
      </c>
      <c r="Z4245" s="4">
        <v>4</v>
      </c>
      <c r="AA4245" s="4">
        <v>8</v>
      </c>
      <c r="AB4245" s="4">
        <v>2</v>
      </c>
      <c r="AC4245" s="4">
        <v>3</v>
      </c>
      <c r="AD4245" s="4">
        <v>4</v>
      </c>
      <c r="AE4245" s="4">
        <v>5</v>
      </c>
      <c r="AF4245" s="4">
        <v>1</v>
      </c>
      <c r="AG4245" s="4">
        <v>1</v>
      </c>
      <c r="AH4245" s="4">
        <v>2</v>
      </c>
      <c r="AI4245" s="4">
        <v>3</v>
      </c>
      <c r="AJ4245" s="4">
        <v>3</v>
      </c>
      <c r="AK4245" s="4">
        <v>4</v>
      </c>
      <c r="AL4245" s="4">
        <v>0</v>
      </c>
      <c r="AM4245" s="4">
        <v>1</v>
      </c>
      <c r="AN4245" s="4">
        <v>0</v>
      </c>
      <c r="AO4245" s="4">
        <v>0</v>
      </c>
      <c r="AP4245" s="4">
        <v>2</v>
      </c>
      <c r="AQ4245" s="4">
        <v>3</v>
      </c>
      <c r="AR4245" s="3" t="s">
        <v>61</v>
      </c>
      <c r="AS4245" s="3" t="s">
        <v>62</v>
      </c>
      <c r="AT4245" s="3" t="s">
        <v>62</v>
      </c>
      <c r="AV4245" s="6" t="str">
        <f>HYPERLINK("http://mcgill.on.worldcat.org/oclc/712851619","Catalog Record")</f>
        <v>Catalog Record</v>
      </c>
      <c r="AW4245" s="6" t="str">
        <f>HYPERLINK("http://www.worldcat.org/oclc/712851619","WorldCat Record")</f>
        <v>WorldCat Record</v>
      </c>
      <c r="AX4245" s="3" t="s">
        <v>40864</v>
      </c>
      <c r="AY4245" s="3" t="s">
        <v>40865</v>
      </c>
      <c r="AZ4245" s="3" t="s">
        <v>40866</v>
      </c>
      <c r="BA4245" s="3" t="s">
        <v>40866</v>
      </c>
      <c r="BB4245" s="3" t="s">
        <v>40867</v>
      </c>
      <c r="BC4245" s="3" t="s">
        <v>142</v>
      </c>
      <c r="BD4245" s="3" t="s">
        <v>68</v>
      </c>
      <c r="BE4245" s="3" t="s">
        <v>40868</v>
      </c>
      <c r="BF4245" s="3" t="s">
        <v>40867</v>
      </c>
      <c r="BG4245" s="3" t="s">
        <v>40869</v>
      </c>
    </row>
    <row r="4246" spans="1:59" ht="57" x14ac:dyDescent="0.45">
      <c r="A4246" s="2" t="s">
        <v>59</v>
      </c>
      <c r="B4246" s="2" t="s">
        <v>60</v>
      </c>
      <c r="C4246" s="2" t="s">
        <v>40870</v>
      </c>
      <c r="D4246" s="2" t="s">
        <v>40871</v>
      </c>
      <c r="E4246" s="2" t="s">
        <v>40872</v>
      </c>
      <c r="G4246" s="3" t="s">
        <v>62</v>
      </c>
      <c r="I4246" s="3" t="s">
        <v>62</v>
      </c>
      <c r="J4246" s="3" t="s">
        <v>62</v>
      </c>
      <c r="K4246" s="3" t="s">
        <v>63</v>
      </c>
      <c r="M4246" s="2" t="s">
        <v>917</v>
      </c>
      <c r="N4246" s="3" t="s">
        <v>918</v>
      </c>
      <c r="P4246" s="3" t="s">
        <v>65</v>
      </c>
      <c r="Q4246" s="2" t="s">
        <v>40873</v>
      </c>
      <c r="R4246" s="3" t="s">
        <v>66</v>
      </c>
      <c r="S4246" s="4">
        <v>31</v>
      </c>
      <c r="T4246" s="4">
        <v>31</v>
      </c>
      <c r="U4246" s="5" t="s">
        <v>27309</v>
      </c>
      <c r="V4246" s="5" t="s">
        <v>27309</v>
      </c>
      <c r="W4246" s="5" t="s">
        <v>67</v>
      </c>
      <c r="X4246" s="5" t="s">
        <v>67</v>
      </c>
      <c r="Y4246" s="4">
        <v>473</v>
      </c>
      <c r="Z4246" s="4">
        <v>23</v>
      </c>
      <c r="AA4246" s="4">
        <v>64</v>
      </c>
      <c r="AB4246" s="4">
        <v>3</v>
      </c>
      <c r="AC4246" s="4">
        <v>10</v>
      </c>
      <c r="AD4246" s="4">
        <v>106</v>
      </c>
      <c r="AE4246" s="4">
        <v>137</v>
      </c>
      <c r="AF4246" s="4">
        <v>1</v>
      </c>
      <c r="AG4246" s="4">
        <v>5</v>
      </c>
      <c r="AH4246" s="4">
        <v>88</v>
      </c>
      <c r="AI4246" s="4">
        <v>106</v>
      </c>
      <c r="AJ4246" s="4">
        <v>10</v>
      </c>
      <c r="AK4246" s="4">
        <v>22</v>
      </c>
      <c r="AL4246" s="4">
        <v>54</v>
      </c>
      <c r="AM4246" s="4">
        <v>58</v>
      </c>
      <c r="AN4246" s="4">
        <v>0</v>
      </c>
      <c r="AO4246" s="4">
        <v>0</v>
      </c>
      <c r="AP4246" s="4">
        <v>19</v>
      </c>
      <c r="AQ4246" s="4">
        <v>39</v>
      </c>
      <c r="AR4246" s="3" t="s">
        <v>62</v>
      </c>
      <c r="AS4246" s="3" t="s">
        <v>62</v>
      </c>
      <c r="AT4246" s="3" t="s">
        <v>62</v>
      </c>
      <c r="AV4246" s="6" t="str">
        <f>HYPERLINK("http://mcgill.on.worldcat.org/oclc/49681248","Catalog Record")</f>
        <v>Catalog Record</v>
      </c>
      <c r="AW4246" s="6" t="str">
        <f>HYPERLINK("http://www.worldcat.org/oclc/49681248","WorldCat Record")</f>
        <v>WorldCat Record</v>
      </c>
      <c r="AX4246" s="3" t="s">
        <v>40874</v>
      </c>
      <c r="AY4246" s="3" t="s">
        <v>40875</v>
      </c>
      <c r="AZ4246" s="3" t="s">
        <v>40876</v>
      </c>
      <c r="BA4246" s="3" t="s">
        <v>40876</v>
      </c>
      <c r="BB4246" s="3" t="s">
        <v>40877</v>
      </c>
      <c r="BC4246" s="3" t="s">
        <v>142</v>
      </c>
      <c r="BD4246" s="3" t="s">
        <v>68</v>
      </c>
      <c r="BE4246" s="3" t="s">
        <v>40878</v>
      </c>
      <c r="BF4246" s="3" t="s">
        <v>40877</v>
      </c>
      <c r="BG4246" s="3" t="s">
        <v>40879</v>
      </c>
    </row>
    <row r="4247" spans="1:59" ht="57" x14ac:dyDescent="0.45">
      <c r="A4247" s="2" t="s">
        <v>59</v>
      </c>
      <c r="B4247" s="2" t="s">
        <v>60</v>
      </c>
      <c r="C4247" s="2" t="s">
        <v>40880</v>
      </c>
      <c r="D4247" s="2" t="s">
        <v>40881</v>
      </c>
      <c r="E4247" s="2" t="s">
        <v>40882</v>
      </c>
      <c r="G4247" s="3" t="s">
        <v>62</v>
      </c>
      <c r="I4247" s="3" t="s">
        <v>62</v>
      </c>
      <c r="J4247" s="3" t="s">
        <v>62</v>
      </c>
      <c r="K4247" s="3" t="s">
        <v>63</v>
      </c>
      <c r="L4247" s="2" t="s">
        <v>40883</v>
      </c>
      <c r="M4247" s="2" t="s">
        <v>40884</v>
      </c>
      <c r="N4247" s="3" t="s">
        <v>625</v>
      </c>
      <c r="P4247" s="3" t="s">
        <v>65</v>
      </c>
      <c r="R4247" s="3" t="s">
        <v>66</v>
      </c>
      <c r="S4247" s="4">
        <v>5</v>
      </c>
      <c r="T4247" s="4">
        <v>5</v>
      </c>
      <c r="U4247" s="5" t="s">
        <v>17974</v>
      </c>
      <c r="V4247" s="5" t="s">
        <v>17974</v>
      </c>
      <c r="W4247" s="5" t="s">
        <v>67</v>
      </c>
      <c r="X4247" s="5" t="s">
        <v>67</v>
      </c>
      <c r="Y4247" s="4">
        <v>513</v>
      </c>
      <c r="Z4247" s="4">
        <v>31</v>
      </c>
      <c r="AA4247" s="4">
        <v>107</v>
      </c>
      <c r="AB4247" s="4">
        <v>2</v>
      </c>
      <c r="AC4247" s="4">
        <v>17</v>
      </c>
      <c r="AD4247" s="4">
        <v>121</v>
      </c>
      <c r="AE4247" s="4">
        <v>151</v>
      </c>
      <c r="AF4247" s="4">
        <v>1</v>
      </c>
      <c r="AG4247" s="4">
        <v>8</v>
      </c>
      <c r="AH4247" s="4">
        <v>106</v>
      </c>
      <c r="AI4247" s="4">
        <v>112</v>
      </c>
      <c r="AJ4247" s="4">
        <v>18</v>
      </c>
      <c r="AK4247" s="4">
        <v>26</v>
      </c>
      <c r="AL4247" s="4">
        <v>55</v>
      </c>
      <c r="AM4247" s="4">
        <v>57</v>
      </c>
      <c r="AN4247" s="4">
        <v>0</v>
      </c>
      <c r="AO4247" s="4">
        <v>0</v>
      </c>
      <c r="AP4247" s="4">
        <v>23</v>
      </c>
      <c r="AQ4247" s="4">
        <v>49</v>
      </c>
      <c r="AR4247" s="3" t="s">
        <v>62</v>
      </c>
      <c r="AS4247" s="3" t="s">
        <v>62</v>
      </c>
      <c r="AT4247" s="3" t="s">
        <v>61</v>
      </c>
      <c r="AU4247" s="6" t="str">
        <f>HYPERLINK("http://catalog.hathitrust.org/Record/000804649","HathiTrust Record")</f>
        <v>HathiTrust Record</v>
      </c>
      <c r="AV4247" s="6" t="str">
        <f>HYPERLINK("http://mcgill.on.worldcat.org/oclc/13186509","Catalog Record")</f>
        <v>Catalog Record</v>
      </c>
      <c r="AW4247" s="6" t="str">
        <f>HYPERLINK("http://www.worldcat.org/oclc/13186509","WorldCat Record")</f>
        <v>WorldCat Record</v>
      </c>
      <c r="AX4247" s="3" t="s">
        <v>40885</v>
      </c>
      <c r="AY4247" s="3" t="s">
        <v>40886</v>
      </c>
      <c r="AZ4247" s="3" t="s">
        <v>40887</v>
      </c>
      <c r="BA4247" s="3" t="s">
        <v>40887</v>
      </c>
      <c r="BB4247" s="3" t="s">
        <v>40888</v>
      </c>
      <c r="BC4247" s="3" t="s">
        <v>142</v>
      </c>
      <c r="BD4247" s="3" t="s">
        <v>68</v>
      </c>
      <c r="BE4247" s="3" t="s">
        <v>40889</v>
      </c>
      <c r="BF4247" s="3" t="s">
        <v>40888</v>
      </c>
      <c r="BG4247" s="3" t="s">
        <v>40890</v>
      </c>
    </row>
    <row r="4248" spans="1:59" ht="57" x14ac:dyDescent="0.45">
      <c r="A4248" s="2" t="s">
        <v>59</v>
      </c>
      <c r="B4248" s="2" t="s">
        <v>60</v>
      </c>
      <c r="C4248" s="2" t="s">
        <v>40891</v>
      </c>
      <c r="D4248" s="2" t="s">
        <v>40892</v>
      </c>
      <c r="E4248" s="2" t="s">
        <v>40893</v>
      </c>
      <c r="G4248" s="3" t="s">
        <v>62</v>
      </c>
      <c r="I4248" s="3" t="s">
        <v>62</v>
      </c>
      <c r="J4248" s="3" t="s">
        <v>62</v>
      </c>
      <c r="K4248" s="3" t="s">
        <v>63</v>
      </c>
      <c r="L4248" s="2" t="s">
        <v>8237</v>
      </c>
      <c r="M4248" s="2" t="s">
        <v>40894</v>
      </c>
      <c r="N4248" s="3" t="s">
        <v>820</v>
      </c>
      <c r="P4248" s="3" t="s">
        <v>65</v>
      </c>
      <c r="Q4248" s="2" t="s">
        <v>3363</v>
      </c>
      <c r="R4248" s="3" t="s">
        <v>66</v>
      </c>
      <c r="S4248" s="4">
        <v>8</v>
      </c>
      <c r="T4248" s="4">
        <v>8</v>
      </c>
      <c r="U4248" s="5" t="s">
        <v>16727</v>
      </c>
      <c r="V4248" s="5" t="s">
        <v>16727</v>
      </c>
      <c r="W4248" s="5" t="s">
        <v>67</v>
      </c>
      <c r="X4248" s="5" t="s">
        <v>67</v>
      </c>
      <c r="Y4248" s="4">
        <v>163</v>
      </c>
      <c r="Z4248" s="4">
        <v>17</v>
      </c>
      <c r="AA4248" s="4">
        <v>25</v>
      </c>
      <c r="AB4248" s="4">
        <v>2</v>
      </c>
      <c r="AC4248" s="4">
        <v>4</v>
      </c>
      <c r="AD4248" s="4">
        <v>39</v>
      </c>
      <c r="AE4248" s="4">
        <v>48</v>
      </c>
      <c r="AF4248" s="4">
        <v>1</v>
      </c>
      <c r="AG4248" s="4">
        <v>1</v>
      </c>
      <c r="AH4248" s="4">
        <v>31</v>
      </c>
      <c r="AI4248" s="4">
        <v>39</v>
      </c>
      <c r="AJ4248" s="4">
        <v>10</v>
      </c>
      <c r="AK4248" s="4">
        <v>11</v>
      </c>
      <c r="AL4248" s="4">
        <v>17</v>
      </c>
      <c r="AM4248" s="4">
        <v>21</v>
      </c>
      <c r="AN4248" s="4">
        <v>0</v>
      </c>
      <c r="AO4248" s="4">
        <v>0</v>
      </c>
      <c r="AP4248" s="4">
        <v>13</v>
      </c>
      <c r="AQ4248" s="4">
        <v>15</v>
      </c>
      <c r="AR4248" s="3" t="s">
        <v>62</v>
      </c>
      <c r="AS4248" s="3" t="s">
        <v>62</v>
      </c>
      <c r="AT4248" s="3" t="s">
        <v>62</v>
      </c>
      <c r="AV4248" s="6" t="str">
        <f>HYPERLINK("http://mcgill.on.worldcat.org/oclc/183879768","Catalog Record")</f>
        <v>Catalog Record</v>
      </c>
      <c r="AW4248" s="6" t="str">
        <f>HYPERLINK("http://www.worldcat.org/oclc/183879768","WorldCat Record")</f>
        <v>WorldCat Record</v>
      </c>
      <c r="AX4248" s="3" t="s">
        <v>40895</v>
      </c>
      <c r="AY4248" s="3" t="s">
        <v>40896</v>
      </c>
      <c r="AZ4248" s="3" t="s">
        <v>40897</v>
      </c>
      <c r="BA4248" s="3" t="s">
        <v>40897</v>
      </c>
      <c r="BB4248" s="3" t="s">
        <v>40898</v>
      </c>
      <c r="BC4248" s="3" t="s">
        <v>142</v>
      </c>
      <c r="BD4248" s="3" t="s">
        <v>68</v>
      </c>
      <c r="BE4248" s="3" t="s">
        <v>40899</v>
      </c>
      <c r="BF4248" s="3" t="s">
        <v>40898</v>
      </c>
      <c r="BG4248" s="3" t="s">
        <v>40900</v>
      </c>
    </row>
    <row r="4249" spans="1:59" ht="57" x14ac:dyDescent="0.45">
      <c r="A4249" s="2" t="s">
        <v>59</v>
      </c>
      <c r="B4249" s="2" t="s">
        <v>60</v>
      </c>
      <c r="C4249" s="2" t="s">
        <v>40901</v>
      </c>
      <c r="D4249" s="2" t="s">
        <v>40902</v>
      </c>
      <c r="E4249" s="2" t="s">
        <v>40903</v>
      </c>
      <c r="G4249" s="3" t="s">
        <v>62</v>
      </c>
      <c r="I4249" s="3" t="s">
        <v>61</v>
      </c>
      <c r="J4249" s="3" t="s">
        <v>62</v>
      </c>
      <c r="K4249" s="3" t="s">
        <v>63</v>
      </c>
      <c r="L4249" s="2" t="s">
        <v>40904</v>
      </c>
      <c r="M4249" s="2" t="s">
        <v>40905</v>
      </c>
      <c r="N4249" s="3" t="s">
        <v>3160</v>
      </c>
      <c r="P4249" s="3" t="s">
        <v>65</v>
      </c>
      <c r="R4249" s="3" t="s">
        <v>66</v>
      </c>
      <c r="S4249" s="4">
        <v>42</v>
      </c>
      <c r="T4249" s="4">
        <v>84</v>
      </c>
      <c r="U4249" s="5" t="s">
        <v>20732</v>
      </c>
      <c r="V4249" s="5" t="s">
        <v>20732</v>
      </c>
      <c r="W4249" s="5" t="s">
        <v>67</v>
      </c>
      <c r="X4249" s="5" t="s">
        <v>67</v>
      </c>
      <c r="Y4249" s="4">
        <v>627</v>
      </c>
      <c r="Z4249" s="4">
        <v>33</v>
      </c>
      <c r="AA4249" s="4">
        <v>41</v>
      </c>
      <c r="AB4249" s="4">
        <v>2</v>
      </c>
      <c r="AC4249" s="4">
        <v>7</v>
      </c>
      <c r="AD4249" s="4">
        <v>117</v>
      </c>
      <c r="AE4249" s="4">
        <v>123</v>
      </c>
      <c r="AF4249" s="4">
        <v>0</v>
      </c>
      <c r="AG4249" s="4">
        <v>4</v>
      </c>
      <c r="AH4249" s="4">
        <v>100</v>
      </c>
      <c r="AI4249" s="4">
        <v>102</v>
      </c>
      <c r="AJ4249" s="4">
        <v>18</v>
      </c>
      <c r="AK4249" s="4">
        <v>23</v>
      </c>
      <c r="AL4249" s="4">
        <v>55</v>
      </c>
      <c r="AM4249" s="4">
        <v>55</v>
      </c>
      <c r="AN4249" s="4">
        <v>0</v>
      </c>
      <c r="AO4249" s="4">
        <v>0</v>
      </c>
      <c r="AP4249" s="4">
        <v>27</v>
      </c>
      <c r="AQ4249" s="4">
        <v>31</v>
      </c>
      <c r="AR4249" s="3" t="s">
        <v>62</v>
      </c>
      <c r="AS4249" s="3" t="s">
        <v>62</v>
      </c>
      <c r="AT4249" s="3" t="s">
        <v>61</v>
      </c>
      <c r="AU4249" s="6" t="str">
        <f>HYPERLINK("http://catalog.hathitrust.org/Record/000084189","HathiTrust Record")</f>
        <v>HathiTrust Record</v>
      </c>
      <c r="AV4249" s="6" t="str">
        <f>HYPERLINK("http://mcgill.on.worldcat.org/oclc/6421047","Catalog Record")</f>
        <v>Catalog Record</v>
      </c>
      <c r="AW4249" s="6" t="str">
        <f>HYPERLINK("http://www.worldcat.org/oclc/6421047","WorldCat Record")</f>
        <v>WorldCat Record</v>
      </c>
      <c r="AX4249" s="3" t="s">
        <v>40906</v>
      </c>
      <c r="AY4249" s="3" t="s">
        <v>40907</v>
      </c>
      <c r="AZ4249" s="3" t="s">
        <v>40908</v>
      </c>
      <c r="BA4249" s="3" t="s">
        <v>40908</v>
      </c>
      <c r="BB4249" s="3" t="s">
        <v>40909</v>
      </c>
      <c r="BC4249" s="3" t="s">
        <v>142</v>
      </c>
      <c r="BD4249" s="3" t="s">
        <v>68</v>
      </c>
      <c r="BE4249" s="3" t="s">
        <v>40910</v>
      </c>
      <c r="BF4249" s="3" t="s">
        <v>40909</v>
      </c>
      <c r="BG4249" s="3" t="s">
        <v>40911</v>
      </c>
    </row>
    <row r="4250" spans="1:59" ht="57" x14ac:dyDescent="0.45">
      <c r="A4250" s="2" t="s">
        <v>59</v>
      </c>
      <c r="B4250" s="2" t="s">
        <v>60</v>
      </c>
      <c r="C4250" s="2" t="s">
        <v>40901</v>
      </c>
      <c r="D4250" s="2" t="s">
        <v>40902</v>
      </c>
      <c r="E4250" s="2" t="s">
        <v>40903</v>
      </c>
      <c r="G4250" s="3" t="s">
        <v>62</v>
      </c>
      <c r="I4250" s="3" t="s">
        <v>61</v>
      </c>
      <c r="J4250" s="3" t="s">
        <v>62</v>
      </c>
      <c r="K4250" s="3" t="s">
        <v>63</v>
      </c>
      <c r="L4250" s="2" t="s">
        <v>40904</v>
      </c>
      <c r="M4250" s="2" t="s">
        <v>40905</v>
      </c>
      <c r="N4250" s="3" t="s">
        <v>3160</v>
      </c>
      <c r="P4250" s="3" t="s">
        <v>65</v>
      </c>
      <c r="R4250" s="3" t="s">
        <v>66</v>
      </c>
      <c r="S4250" s="4">
        <v>42</v>
      </c>
      <c r="T4250" s="4">
        <v>84</v>
      </c>
      <c r="U4250" s="5" t="s">
        <v>40912</v>
      </c>
      <c r="V4250" s="5" t="s">
        <v>20732</v>
      </c>
      <c r="W4250" s="5" t="s">
        <v>67</v>
      </c>
      <c r="X4250" s="5" t="s">
        <v>67</v>
      </c>
      <c r="Y4250" s="4">
        <v>627</v>
      </c>
      <c r="Z4250" s="4">
        <v>33</v>
      </c>
      <c r="AA4250" s="4">
        <v>41</v>
      </c>
      <c r="AB4250" s="4">
        <v>2</v>
      </c>
      <c r="AC4250" s="4">
        <v>7</v>
      </c>
      <c r="AD4250" s="4">
        <v>117</v>
      </c>
      <c r="AE4250" s="4">
        <v>123</v>
      </c>
      <c r="AF4250" s="4">
        <v>0</v>
      </c>
      <c r="AG4250" s="4">
        <v>4</v>
      </c>
      <c r="AH4250" s="4">
        <v>100</v>
      </c>
      <c r="AI4250" s="4">
        <v>102</v>
      </c>
      <c r="AJ4250" s="4">
        <v>18</v>
      </c>
      <c r="AK4250" s="4">
        <v>23</v>
      </c>
      <c r="AL4250" s="4">
        <v>55</v>
      </c>
      <c r="AM4250" s="4">
        <v>55</v>
      </c>
      <c r="AN4250" s="4">
        <v>0</v>
      </c>
      <c r="AO4250" s="4">
        <v>0</v>
      </c>
      <c r="AP4250" s="4">
        <v>27</v>
      </c>
      <c r="AQ4250" s="4">
        <v>31</v>
      </c>
      <c r="AR4250" s="3" t="s">
        <v>62</v>
      </c>
      <c r="AS4250" s="3" t="s">
        <v>62</v>
      </c>
      <c r="AT4250" s="3" t="s">
        <v>61</v>
      </c>
      <c r="AU4250" s="6" t="str">
        <f>HYPERLINK("http://catalog.hathitrust.org/Record/000084189","HathiTrust Record")</f>
        <v>HathiTrust Record</v>
      </c>
      <c r="AV4250" s="6" t="str">
        <f>HYPERLINK("http://mcgill.on.worldcat.org/oclc/6421047","Catalog Record")</f>
        <v>Catalog Record</v>
      </c>
      <c r="AW4250" s="6" t="str">
        <f>HYPERLINK("http://www.worldcat.org/oclc/6421047","WorldCat Record")</f>
        <v>WorldCat Record</v>
      </c>
      <c r="AX4250" s="3" t="s">
        <v>40906</v>
      </c>
      <c r="AY4250" s="3" t="s">
        <v>40907</v>
      </c>
      <c r="AZ4250" s="3" t="s">
        <v>40908</v>
      </c>
      <c r="BA4250" s="3" t="s">
        <v>40908</v>
      </c>
      <c r="BB4250" s="3" t="s">
        <v>40913</v>
      </c>
      <c r="BC4250" s="3" t="s">
        <v>142</v>
      </c>
      <c r="BD4250" s="3" t="s">
        <v>68</v>
      </c>
      <c r="BE4250" s="3" t="s">
        <v>40910</v>
      </c>
      <c r="BF4250" s="3" t="s">
        <v>40913</v>
      </c>
      <c r="BG4250" s="3" t="s">
        <v>40914</v>
      </c>
    </row>
    <row r="4251" spans="1:59" ht="57" x14ac:dyDescent="0.45">
      <c r="A4251" s="2" t="s">
        <v>59</v>
      </c>
      <c r="B4251" s="2" t="s">
        <v>60</v>
      </c>
      <c r="C4251" s="2" t="s">
        <v>40915</v>
      </c>
      <c r="D4251" s="2" t="s">
        <v>40916</v>
      </c>
      <c r="E4251" s="2" t="s">
        <v>40917</v>
      </c>
      <c r="G4251" s="3" t="s">
        <v>62</v>
      </c>
      <c r="I4251" s="3" t="s">
        <v>62</v>
      </c>
      <c r="J4251" s="3" t="s">
        <v>62</v>
      </c>
      <c r="K4251" s="3" t="s">
        <v>63</v>
      </c>
      <c r="M4251" s="2" t="s">
        <v>40918</v>
      </c>
      <c r="N4251" s="3" t="s">
        <v>958</v>
      </c>
      <c r="P4251" s="3" t="s">
        <v>65</v>
      </c>
      <c r="R4251" s="3" t="s">
        <v>66</v>
      </c>
      <c r="S4251" s="4">
        <v>48</v>
      </c>
      <c r="T4251" s="4">
        <v>48</v>
      </c>
      <c r="U4251" s="5" t="s">
        <v>1086</v>
      </c>
      <c r="V4251" s="5" t="s">
        <v>1086</v>
      </c>
      <c r="W4251" s="5" t="s">
        <v>67</v>
      </c>
      <c r="X4251" s="5" t="s">
        <v>67</v>
      </c>
      <c r="Y4251" s="4">
        <v>364</v>
      </c>
      <c r="Z4251" s="4">
        <v>26</v>
      </c>
      <c r="AA4251" s="4">
        <v>29</v>
      </c>
      <c r="AB4251" s="4">
        <v>1</v>
      </c>
      <c r="AC4251" s="4">
        <v>4</v>
      </c>
      <c r="AD4251" s="4">
        <v>103</v>
      </c>
      <c r="AE4251" s="4">
        <v>103</v>
      </c>
      <c r="AF4251" s="4">
        <v>0</v>
      </c>
      <c r="AG4251" s="4">
        <v>0</v>
      </c>
      <c r="AH4251" s="4">
        <v>91</v>
      </c>
      <c r="AI4251" s="4">
        <v>91</v>
      </c>
      <c r="AJ4251" s="4">
        <v>15</v>
      </c>
      <c r="AK4251" s="4">
        <v>15</v>
      </c>
      <c r="AL4251" s="4">
        <v>49</v>
      </c>
      <c r="AM4251" s="4">
        <v>49</v>
      </c>
      <c r="AN4251" s="4">
        <v>0</v>
      </c>
      <c r="AO4251" s="4">
        <v>0</v>
      </c>
      <c r="AP4251" s="4">
        <v>20</v>
      </c>
      <c r="AQ4251" s="4">
        <v>20</v>
      </c>
      <c r="AR4251" s="3" t="s">
        <v>62</v>
      </c>
      <c r="AS4251" s="3" t="s">
        <v>62</v>
      </c>
      <c r="AT4251" s="3" t="s">
        <v>61</v>
      </c>
      <c r="AU4251" s="6" t="str">
        <f>HYPERLINK("http://catalog.hathitrust.org/Record/003032779","HathiTrust Record")</f>
        <v>HathiTrust Record</v>
      </c>
      <c r="AV4251" s="6" t="str">
        <f>HYPERLINK("http://mcgill.on.worldcat.org/oclc/32349287","Catalog Record")</f>
        <v>Catalog Record</v>
      </c>
      <c r="AW4251" s="6" t="str">
        <f>HYPERLINK("http://www.worldcat.org/oclc/32349287","WorldCat Record")</f>
        <v>WorldCat Record</v>
      </c>
      <c r="AX4251" s="3" t="s">
        <v>40919</v>
      </c>
      <c r="AY4251" s="3" t="s">
        <v>40920</v>
      </c>
      <c r="AZ4251" s="3" t="s">
        <v>40921</v>
      </c>
      <c r="BA4251" s="3" t="s">
        <v>40921</v>
      </c>
      <c r="BB4251" s="3" t="s">
        <v>40922</v>
      </c>
      <c r="BC4251" s="3" t="s">
        <v>142</v>
      </c>
      <c r="BD4251" s="3" t="s">
        <v>68</v>
      </c>
      <c r="BE4251" s="3" t="s">
        <v>40923</v>
      </c>
      <c r="BF4251" s="3" t="s">
        <v>40922</v>
      </c>
      <c r="BG4251" s="3" t="s">
        <v>40924</v>
      </c>
    </row>
    <row r="4252" spans="1:59" ht="57" x14ac:dyDescent="0.45">
      <c r="A4252" s="2" t="s">
        <v>59</v>
      </c>
      <c r="B4252" s="2" t="s">
        <v>60</v>
      </c>
      <c r="C4252" s="2" t="s">
        <v>40925</v>
      </c>
      <c r="D4252" s="2" t="s">
        <v>40926</v>
      </c>
      <c r="E4252" s="2" t="s">
        <v>40927</v>
      </c>
      <c r="G4252" s="3" t="s">
        <v>62</v>
      </c>
      <c r="I4252" s="3" t="s">
        <v>61</v>
      </c>
      <c r="J4252" s="3" t="s">
        <v>62</v>
      </c>
      <c r="K4252" s="3" t="s">
        <v>63</v>
      </c>
      <c r="M4252" s="2" t="s">
        <v>40928</v>
      </c>
      <c r="N4252" s="3" t="s">
        <v>480</v>
      </c>
      <c r="P4252" s="3" t="s">
        <v>65</v>
      </c>
      <c r="Q4252" s="2" t="s">
        <v>40929</v>
      </c>
      <c r="R4252" s="3" t="s">
        <v>66</v>
      </c>
      <c r="S4252" s="4">
        <v>51</v>
      </c>
      <c r="T4252" s="4">
        <v>86</v>
      </c>
      <c r="U4252" s="5" t="s">
        <v>4696</v>
      </c>
      <c r="V4252" s="5" t="s">
        <v>1086</v>
      </c>
      <c r="W4252" s="5" t="s">
        <v>67</v>
      </c>
      <c r="X4252" s="5" t="s">
        <v>67</v>
      </c>
      <c r="Y4252" s="4">
        <v>333</v>
      </c>
      <c r="Z4252" s="4">
        <v>21</v>
      </c>
      <c r="AA4252" s="4">
        <v>24</v>
      </c>
      <c r="AB4252" s="4">
        <v>1</v>
      </c>
      <c r="AC4252" s="4">
        <v>3</v>
      </c>
      <c r="AD4252" s="4">
        <v>82</v>
      </c>
      <c r="AE4252" s="4">
        <v>85</v>
      </c>
      <c r="AF4252" s="4">
        <v>0</v>
      </c>
      <c r="AG4252" s="4">
        <v>2</v>
      </c>
      <c r="AH4252" s="4">
        <v>71</v>
      </c>
      <c r="AI4252" s="4">
        <v>71</v>
      </c>
      <c r="AJ4252" s="4">
        <v>14</v>
      </c>
      <c r="AK4252" s="4">
        <v>17</v>
      </c>
      <c r="AL4252" s="4">
        <v>41</v>
      </c>
      <c r="AM4252" s="4">
        <v>41</v>
      </c>
      <c r="AN4252" s="4">
        <v>0</v>
      </c>
      <c r="AO4252" s="4">
        <v>0</v>
      </c>
      <c r="AP4252" s="4">
        <v>16</v>
      </c>
      <c r="AQ4252" s="4">
        <v>19</v>
      </c>
      <c r="AR4252" s="3" t="s">
        <v>62</v>
      </c>
      <c r="AS4252" s="3" t="s">
        <v>62</v>
      </c>
      <c r="AT4252" s="3" t="s">
        <v>62</v>
      </c>
      <c r="AV4252" s="6" t="str">
        <f>HYPERLINK("http://mcgill.on.worldcat.org/oclc/5027398","Catalog Record")</f>
        <v>Catalog Record</v>
      </c>
      <c r="AW4252" s="6" t="str">
        <f>HYPERLINK("http://www.worldcat.org/oclc/5027398","WorldCat Record")</f>
        <v>WorldCat Record</v>
      </c>
      <c r="AX4252" s="3" t="s">
        <v>40930</v>
      </c>
      <c r="AY4252" s="3" t="s">
        <v>40931</v>
      </c>
      <c r="AZ4252" s="3" t="s">
        <v>40932</v>
      </c>
      <c r="BA4252" s="3" t="s">
        <v>40932</v>
      </c>
      <c r="BB4252" s="3" t="s">
        <v>40933</v>
      </c>
      <c r="BC4252" s="3" t="s">
        <v>142</v>
      </c>
      <c r="BD4252" s="3" t="s">
        <v>68</v>
      </c>
      <c r="BE4252" s="3" t="s">
        <v>40934</v>
      </c>
      <c r="BF4252" s="3" t="s">
        <v>40933</v>
      </c>
      <c r="BG4252" s="3" t="s">
        <v>40935</v>
      </c>
    </row>
    <row r="4253" spans="1:59" ht="57" x14ac:dyDescent="0.45">
      <c r="A4253" s="2" t="s">
        <v>59</v>
      </c>
      <c r="B4253" s="2" t="s">
        <v>60</v>
      </c>
      <c r="C4253" s="2" t="s">
        <v>40925</v>
      </c>
      <c r="D4253" s="2" t="s">
        <v>40926</v>
      </c>
      <c r="E4253" s="2" t="s">
        <v>40927</v>
      </c>
      <c r="G4253" s="3" t="s">
        <v>62</v>
      </c>
      <c r="I4253" s="3" t="s">
        <v>61</v>
      </c>
      <c r="J4253" s="3" t="s">
        <v>62</v>
      </c>
      <c r="K4253" s="3" t="s">
        <v>63</v>
      </c>
      <c r="M4253" s="2" t="s">
        <v>40928</v>
      </c>
      <c r="N4253" s="3" t="s">
        <v>480</v>
      </c>
      <c r="P4253" s="3" t="s">
        <v>65</v>
      </c>
      <c r="Q4253" s="2" t="s">
        <v>40929</v>
      </c>
      <c r="R4253" s="3" t="s">
        <v>66</v>
      </c>
      <c r="S4253" s="4">
        <v>35</v>
      </c>
      <c r="T4253" s="4">
        <v>86</v>
      </c>
      <c r="U4253" s="5" t="s">
        <v>1086</v>
      </c>
      <c r="V4253" s="5" t="s">
        <v>1086</v>
      </c>
      <c r="W4253" s="5" t="s">
        <v>67</v>
      </c>
      <c r="X4253" s="5" t="s">
        <v>67</v>
      </c>
      <c r="Y4253" s="4">
        <v>333</v>
      </c>
      <c r="Z4253" s="4">
        <v>21</v>
      </c>
      <c r="AA4253" s="4">
        <v>24</v>
      </c>
      <c r="AB4253" s="4">
        <v>1</v>
      </c>
      <c r="AC4253" s="4">
        <v>3</v>
      </c>
      <c r="AD4253" s="4">
        <v>82</v>
      </c>
      <c r="AE4253" s="4">
        <v>85</v>
      </c>
      <c r="AF4253" s="4">
        <v>0</v>
      </c>
      <c r="AG4253" s="4">
        <v>2</v>
      </c>
      <c r="AH4253" s="4">
        <v>71</v>
      </c>
      <c r="AI4253" s="4">
        <v>71</v>
      </c>
      <c r="AJ4253" s="4">
        <v>14</v>
      </c>
      <c r="AK4253" s="4">
        <v>17</v>
      </c>
      <c r="AL4253" s="4">
        <v>41</v>
      </c>
      <c r="AM4253" s="4">
        <v>41</v>
      </c>
      <c r="AN4253" s="4">
        <v>0</v>
      </c>
      <c r="AO4253" s="4">
        <v>0</v>
      </c>
      <c r="AP4253" s="4">
        <v>16</v>
      </c>
      <c r="AQ4253" s="4">
        <v>19</v>
      </c>
      <c r="AR4253" s="3" t="s">
        <v>62</v>
      </c>
      <c r="AS4253" s="3" t="s">
        <v>62</v>
      </c>
      <c r="AT4253" s="3" t="s">
        <v>62</v>
      </c>
      <c r="AV4253" s="6" t="str">
        <f>HYPERLINK("http://mcgill.on.worldcat.org/oclc/5027398","Catalog Record")</f>
        <v>Catalog Record</v>
      </c>
      <c r="AW4253" s="6" t="str">
        <f>HYPERLINK("http://www.worldcat.org/oclc/5027398","WorldCat Record")</f>
        <v>WorldCat Record</v>
      </c>
      <c r="AX4253" s="3" t="s">
        <v>40930</v>
      </c>
      <c r="AY4253" s="3" t="s">
        <v>40931</v>
      </c>
      <c r="AZ4253" s="3" t="s">
        <v>40932</v>
      </c>
      <c r="BA4253" s="3" t="s">
        <v>40932</v>
      </c>
      <c r="BB4253" s="3" t="s">
        <v>40936</v>
      </c>
      <c r="BC4253" s="3" t="s">
        <v>142</v>
      </c>
      <c r="BD4253" s="3" t="s">
        <v>68</v>
      </c>
      <c r="BE4253" s="3" t="s">
        <v>40934</v>
      </c>
      <c r="BF4253" s="3" t="s">
        <v>40936</v>
      </c>
      <c r="BG4253" s="3" t="s">
        <v>40937</v>
      </c>
    </row>
    <row r="4254" spans="1:59" ht="57" x14ac:dyDescent="0.45">
      <c r="A4254" s="2" t="s">
        <v>59</v>
      </c>
      <c r="B4254" s="2" t="s">
        <v>60</v>
      </c>
      <c r="C4254" s="2" t="s">
        <v>40938</v>
      </c>
      <c r="D4254" s="2" t="s">
        <v>40939</v>
      </c>
      <c r="E4254" s="2" t="s">
        <v>40940</v>
      </c>
      <c r="F4254" s="3" t="s">
        <v>88</v>
      </c>
      <c r="G4254" s="3" t="s">
        <v>61</v>
      </c>
      <c r="I4254" s="3" t="s">
        <v>62</v>
      </c>
      <c r="J4254" s="3" t="s">
        <v>62</v>
      </c>
      <c r="K4254" s="3" t="s">
        <v>63</v>
      </c>
      <c r="M4254" s="2" t="s">
        <v>1841</v>
      </c>
      <c r="N4254" s="3" t="s">
        <v>820</v>
      </c>
      <c r="P4254" s="3" t="s">
        <v>65</v>
      </c>
      <c r="Q4254" s="2" t="s">
        <v>39112</v>
      </c>
      <c r="R4254" s="3" t="s">
        <v>66</v>
      </c>
      <c r="S4254" s="4">
        <v>6</v>
      </c>
      <c r="T4254" s="4">
        <v>26</v>
      </c>
      <c r="U4254" s="5" t="s">
        <v>3424</v>
      </c>
      <c r="V4254" s="5" t="s">
        <v>3424</v>
      </c>
      <c r="W4254" s="5" t="s">
        <v>67</v>
      </c>
      <c r="X4254" s="5" t="s">
        <v>67</v>
      </c>
      <c r="Y4254" s="4">
        <v>64</v>
      </c>
      <c r="Z4254" s="4">
        <v>5</v>
      </c>
      <c r="AA4254" s="4">
        <v>5</v>
      </c>
      <c r="AB4254" s="4">
        <v>1</v>
      </c>
      <c r="AC4254" s="4">
        <v>1</v>
      </c>
      <c r="AD4254" s="4">
        <v>14</v>
      </c>
      <c r="AE4254" s="4">
        <v>14</v>
      </c>
      <c r="AF4254" s="4">
        <v>0</v>
      </c>
      <c r="AG4254" s="4">
        <v>0</v>
      </c>
      <c r="AH4254" s="4">
        <v>12</v>
      </c>
      <c r="AI4254" s="4">
        <v>12</v>
      </c>
      <c r="AJ4254" s="4">
        <v>4</v>
      </c>
      <c r="AK4254" s="4">
        <v>4</v>
      </c>
      <c r="AL4254" s="4">
        <v>8</v>
      </c>
      <c r="AM4254" s="4">
        <v>8</v>
      </c>
      <c r="AN4254" s="4">
        <v>0</v>
      </c>
      <c r="AO4254" s="4">
        <v>0</v>
      </c>
      <c r="AP4254" s="4">
        <v>4</v>
      </c>
      <c r="AQ4254" s="4">
        <v>4</v>
      </c>
      <c r="AR4254" s="3" t="s">
        <v>62</v>
      </c>
      <c r="AS4254" s="3" t="s">
        <v>62</v>
      </c>
      <c r="AT4254" s="3" t="s">
        <v>62</v>
      </c>
      <c r="AV4254" s="6" t="str">
        <f>HYPERLINK("http://mcgill.on.worldcat.org/oclc/170203696","Catalog Record")</f>
        <v>Catalog Record</v>
      </c>
      <c r="AW4254" s="6" t="str">
        <f>HYPERLINK("http://www.worldcat.org/oclc/170203696","WorldCat Record")</f>
        <v>WorldCat Record</v>
      </c>
      <c r="AX4254" s="3" t="s">
        <v>40941</v>
      </c>
      <c r="AY4254" s="3" t="s">
        <v>40942</v>
      </c>
      <c r="AZ4254" s="3" t="s">
        <v>40943</v>
      </c>
      <c r="BA4254" s="3" t="s">
        <v>40943</v>
      </c>
      <c r="BB4254" s="3" t="s">
        <v>40944</v>
      </c>
      <c r="BC4254" s="3" t="s">
        <v>142</v>
      </c>
      <c r="BD4254" s="3" t="s">
        <v>68</v>
      </c>
      <c r="BE4254" s="3" t="s">
        <v>40945</v>
      </c>
      <c r="BF4254" s="3" t="s">
        <v>40944</v>
      </c>
      <c r="BG4254" s="3" t="s">
        <v>40946</v>
      </c>
    </row>
    <row r="4255" spans="1:59" ht="57" x14ac:dyDescent="0.45">
      <c r="A4255" s="2" t="s">
        <v>59</v>
      </c>
      <c r="B4255" s="2" t="s">
        <v>60</v>
      </c>
      <c r="C4255" s="2" t="s">
        <v>40938</v>
      </c>
      <c r="D4255" s="2" t="s">
        <v>40939</v>
      </c>
      <c r="E4255" s="2" t="s">
        <v>40940</v>
      </c>
      <c r="F4255" s="3" t="s">
        <v>86</v>
      </c>
      <c r="G4255" s="3" t="s">
        <v>61</v>
      </c>
      <c r="I4255" s="3" t="s">
        <v>62</v>
      </c>
      <c r="J4255" s="3" t="s">
        <v>62</v>
      </c>
      <c r="K4255" s="3" t="s">
        <v>63</v>
      </c>
      <c r="M4255" s="2" t="s">
        <v>1841</v>
      </c>
      <c r="N4255" s="3" t="s">
        <v>820</v>
      </c>
      <c r="P4255" s="3" t="s">
        <v>65</v>
      </c>
      <c r="Q4255" s="2" t="s">
        <v>39112</v>
      </c>
      <c r="R4255" s="3" t="s">
        <v>66</v>
      </c>
      <c r="S4255" s="4">
        <v>5</v>
      </c>
      <c r="T4255" s="4">
        <v>26</v>
      </c>
      <c r="U4255" s="5" t="s">
        <v>40947</v>
      </c>
      <c r="V4255" s="5" t="s">
        <v>3424</v>
      </c>
      <c r="W4255" s="5" t="s">
        <v>67</v>
      </c>
      <c r="X4255" s="5" t="s">
        <v>67</v>
      </c>
      <c r="Y4255" s="4">
        <v>64</v>
      </c>
      <c r="Z4255" s="4">
        <v>5</v>
      </c>
      <c r="AA4255" s="4">
        <v>5</v>
      </c>
      <c r="AB4255" s="4">
        <v>1</v>
      </c>
      <c r="AC4255" s="4">
        <v>1</v>
      </c>
      <c r="AD4255" s="4">
        <v>14</v>
      </c>
      <c r="AE4255" s="4">
        <v>14</v>
      </c>
      <c r="AF4255" s="4">
        <v>0</v>
      </c>
      <c r="AG4255" s="4">
        <v>0</v>
      </c>
      <c r="AH4255" s="4">
        <v>12</v>
      </c>
      <c r="AI4255" s="4">
        <v>12</v>
      </c>
      <c r="AJ4255" s="4">
        <v>4</v>
      </c>
      <c r="AK4255" s="4">
        <v>4</v>
      </c>
      <c r="AL4255" s="4">
        <v>8</v>
      </c>
      <c r="AM4255" s="4">
        <v>8</v>
      </c>
      <c r="AN4255" s="4">
        <v>0</v>
      </c>
      <c r="AO4255" s="4">
        <v>0</v>
      </c>
      <c r="AP4255" s="4">
        <v>4</v>
      </c>
      <c r="AQ4255" s="4">
        <v>4</v>
      </c>
      <c r="AR4255" s="3" t="s">
        <v>62</v>
      </c>
      <c r="AS4255" s="3" t="s">
        <v>62</v>
      </c>
      <c r="AT4255" s="3" t="s">
        <v>62</v>
      </c>
      <c r="AV4255" s="6" t="str">
        <f>HYPERLINK("http://mcgill.on.worldcat.org/oclc/170203696","Catalog Record")</f>
        <v>Catalog Record</v>
      </c>
      <c r="AW4255" s="6" t="str">
        <f>HYPERLINK("http://www.worldcat.org/oclc/170203696","WorldCat Record")</f>
        <v>WorldCat Record</v>
      </c>
      <c r="AX4255" s="3" t="s">
        <v>40941</v>
      </c>
      <c r="AY4255" s="3" t="s">
        <v>40942</v>
      </c>
      <c r="AZ4255" s="3" t="s">
        <v>40943</v>
      </c>
      <c r="BA4255" s="3" t="s">
        <v>40943</v>
      </c>
      <c r="BB4255" s="3" t="s">
        <v>40948</v>
      </c>
      <c r="BC4255" s="3" t="s">
        <v>142</v>
      </c>
      <c r="BD4255" s="3" t="s">
        <v>68</v>
      </c>
      <c r="BE4255" s="3" t="s">
        <v>40945</v>
      </c>
      <c r="BF4255" s="3" t="s">
        <v>40948</v>
      </c>
      <c r="BG4255" s="3" t="s">
        <v>40949</v>
      </c>
    </row>
    <row r="4256" spans="1:59" ht="57" x14ac:dyDescent="0.45">
      <c r="A4256" s="2" t="s">
        <v>59</v>
      </c>
      <c r="B4256" s="2" t="s">
        <v>60</v>
      </c>
      <c r="C4256" s="2" t="s">
        <v>40938</v>
      </c>
      <c r="D4256" s="2" t="s">
        <v>40939</v>
      </c>
      <c r="E4256" s="2" t="s">
        <v>40940</v>
      </c>
      <c r="F4256" s="3" t="s">
        <v>90</v>
      </c>
      <c r="G4256" s="3" t="s">
        <v>61</v>
      </c>
      <c r="I4256" s="3" t="s">
        <v>62</v>
      </c>
      <c r="J4256" s="3" t="s">
        <v>62</v>
      </c>
      <c r="K4256" s="3" t="s">
        <v>63</v>
      </c>
      <c r="M4256" s="2" t="s">
        <v>1841</v>
      </c>
      <c r="N4256" s="3" t="s">
        <v>820</v>
      </c>
      <c r="P4256" s="3" t="s">
        <v>65</v>
      </c>
      <c r="Q4256" s="2" t="s">
        <v>39112</v>
      </c>
      <c r="R4256" s="3" t="s">
        <v>66</v>
      </c>
      <c r="S4256" s="4">
        <v>5</v>
      </c>
      <c r="T4256" s="4">
        <v>26</v>
      </c>
      <c r="U4256" s="5" t="s">
        <v>40950</v>
      </c>
      <c r="V4256" s="5" t="s">
        <v>3424</v>
      </c>
      <c r="W4256" s="5" t="s">
        <v>67</v>
      </c>
      <c r="X4256" s="5" t="s">
        <v>67</v>
      </c>
      <c r="Y4256" s="4">
        <v>64</v>
      </c>
      <c r="Z4256" s="4">
        <v>5</v>
      </c>
      <c r="AA4256" s="4">
        <v>5</v>
      </c>
      <c r="AB4256" s="4">
        <v>1</v>
      </c>
      <c r="AC4256" s="4">
        <v>1</v>
      </c>
      <c r="AD4256" s="4">
        <v>14</v>
      </c>
      <c r="AE4256" s="4">
        <v>14</v>
      </c>
      <c r="AF4256" s="4">
        <v>0</v>
      </c>
      <c r="AG4256" s="4">
        <v>0</v>
      </c>
      <c r="AH4256" s="4">
        <v>12</v>
      </c>
      <c r="AI4256" s="4">
        <v>12</v>
      </c>
      <c r="AJ4256" s="4">
        <v>4</v>
      </c>
      <c r="AK4256" s="4">
        <v>4</v>
      </c>
      <c r="AL4256" s="4">
        <v>8</v>
      </c>
      <c r="AM4256" s="4">
        <v>8</v>
      </c>
      <c r="AN4256" s="4">
        <v>0</v>
      </c>
      <c r="AO4256" s="4">
        <v>0</v>
      </c>
      <c r="AP4256" s="4">
        <v>4</v>
      </c>
      <c r="AQ4256" s="4">
        <v>4</v>
      </c>
      <c r="AR4256" s="3" t="s">
        <v>62</v>
      </c>
      <c r="AS4256" s="3" t="s">
        <v>62</v>
      </c>
      <c r="AT4256" s="3" t="s">
        <v>62</v>
      </c>
      <c r="AV4256" s="6" t="str">
        <f>HYPERLINK("http://mcgill.on.worldcat.org/oclc/170203696","Catalog Record")</f>
        <v>Catalog Record</v>
      </c>
      <c r="AW4256" s="6" t="str">
        <f>HYPERLINK("http://www.worldcat.org/oclc/170203696","WorldCat Record")</f>
        <v>WorldCat Record</v>
      </c>
      <c r="AX4256" s="3" t="s">
        <v>40941</v>
      </c>
      <c r="AY4256" s="3" t="s">
        <v>40942</v>
      </c>
      <c r="AZ4256" s="3" t="s">
        <v>40943</v>
      </c>
      <c r="BA4256" s="3" t="s">
        <v>40943</v>
      </c>
      <c r="BB4256" s="3" t="s">
        <v>40951</v>
      </c>
      <c r="BC4256" s="3" t="s">
        <v>142</v>
      </c>
      <c r="BD4256" s="3" t="s">
        <v>68</v>
      </c>
      <c r="BE4256" s="3" t="s">
        <v>40945</v>
      </c>
      <c r="BF4256" s="3" t="s">
        <v>40951</v>
      </c>
      <c r="BG4256" s="3" t="s">
        <v>40952</v>
      </c>
    </row>
    <row r="4257" spans="1:59" ht="57" x14ac:dyDescent="0.45">
      <c r="A4257" s="2" t="s">
        <v>59</v>
      </c>
      <c r="B4257" s="2" t="s">
        <v>60</v>
      </c>
      <c r="C4257" s="2" t="s">
        <v>40938</v>
      </c>
      <c r="D4257" s="2" t="s">
        <v>40939</v>
      </c>
      <c r="E4257" s="2" t="s">
        <v>40940</v>
      </c>
      <c r="F4257" s="3" t="s">
        <v>87</v>
      </c>
      <c r="G4257" s="3" t="s">
        <v>61</v>
      </c>
      <c r="I4257" s="3" t="s">
        <v>62</v>
      </c>
      <c r="J4257" s="3" t="s">
        <v>62</v>
      </c>
      <c r="K4257" s="3" t="s">
        <v>63</v>
      </c>
      <c r="M4257" s="2" t="s">
        <v>1841</v>
      </c>
      <c r="N4257" s="3" t="s">
        <v>820</v>
      </c>
      <c r="P4257" s="3" t="s">
        <v>65</v>
      </c>
      <c r="Q4257" s="2" t="s">
        <v>39112</v>
      </c>
      <c r="R4257" s="3" t="s">
        <v>66</v>
      </c>
      <c r="S4257" s="4">
        <v>10</v>
      </c>
      <c r="T4257" s="4">
        <v>26</v>
      </c>
      <c r="U4257" s="5" t="s">
        <v>18638</v>
      </c>
      <c r="V4257" s="5" t="s">
        <v>3424</v>
      </c>
      <c r="W4257" s="5" t="s">
        <v>67</v>
      </c>
      <c r="X4257" s="5" t="s">
        <v>67</v>
      </c>
      <c r="Y4257" s="4">
        <v>64</v>
      </c>
      <c r="Z4257" s="4">
        <v>5</v>
      </c>
      <c r="AA4257" s="4">
        <v>5</v>
      </c>
      <c r="AB4257" s="4">
        <v>1</v>
      </c>
      <c r="AC4257" s="4">
        <v>1</v>
      </c>
      <c r="AD4257" s="4">
        <v>14</v>
      </c>
      <c r="AE4257" s="4">
        <v>14</v>
      </c>
      <c r="AF4257" s="4">
        <v>0</v>
      </c>
      <c r="AG4257" s="4">
        <v>0</v>
      </c>
      <c r="AH4257" s="4">
        <v>12</v>
      </c>
      <c r="AI4257" s="4">
        <v>12</v>
      </c>
      <c r="AJ4257" s="4">
        <v>4</v>
      </c>
      <c r="AK4257" s="4">
        <v>4</v>
      </c>
      <c r="AL4257" s="4">
        <v>8</v>
      </c>
      <c r="AM4257" s="4">
        <v>8</v>
      </c>
      <c r="AN4257" s="4">
        <v>0</v>
      </c>
      <c r="AO4257" s="4">
        <v>0</v>
      </c>
      <c r="AP4257" s="4">
        <v>4</v>
      </c>
      <c r="AQ4257" s="4">
        <v>4</v>
      </c>
      <c r="AR4257" s="3" t="s">
        <v>62</v>
      </c>
      <c r="AS4257" s="3" t="s">
        <v>62</v>
      </c>
      <c r="AT4257" s="3" t="s">
        <v>62</v>
      </c>
      <c r="AV4257" s="6" t="str">
        <f>HYPERLINK("http://mcgill.on.worldcat.org/oclc/170203696","Catalog Record")</f>
        <v>Catalog Record</v>
      </c>
      <c r="AW4257" s="6" t="str">
        <f>HYPERLINK("http://www.worldcat.org/oclc/170203696","WorldCat Record")</f>
        <v>WorldCat Record</v>
      </c>
      <c r="AX4257" s="3" t="s">
        <v>40941</v>
      </c>
      <c r="AY4257" s="3" t="s">
        <v>40942</v>
      </c>
      <c r="AZ4257" s="3" t="s">
        <v>40943</v>
      </c>
      <c r="BA4257" s="3" t="s">
        <v>40943</v>
      </c>
      <c r="BB4257" s="3" t="s">
        <v>40953</v>
      </c>
      <c r="BC4257" s="3" t="s">
        <v>142</v>
      </c>
      <c r="BD4257" s="3" t="s">
        <v>68</v>
      </c>
      <c r="BE4257" s="3" t="s">
        <v>40945</v>
      </c>
      <c r="BF4257" s="3" t="s">
        <v>40953</v>
      </c>
      <c r="BG4257" s="3" t="s">
        <v>40954</v>
      </c>
    </row>
    <row r="4258" spans="1:59" ht="57" x14ac:dyDescent="0.45">
      <c r="A4258" s="2" t="s">
        <v>59</v>
      </c>
      <c r="B4258" s="2" t="s">
        <v>60</v>
      </c>
      <c r="C4258" s="2" t="s">
        <v>40955</v>
      </c>
      <c r="D4258" s="2" t="s">
        <v>40956</v>
      </c>
      <c r="E4258" s="2" t="s">
        <v>40957</v>
      </c>
      <c r="G4258" s="3" t="s">
        <v>62</v>
      </c>
      <c r="I4258" s="3" t="s">
        <v>62</v>
      </c>
      <c r="J4258" s="3" t="s">
        <v>61</v>
      </c>
      <c r="K4258" s="3" t="s">
        <v>63</v>
      </c>
      <c r="M4258" s="2" t="s">
        <v>40958</v>
      </c>
      <c r="N4258" s="3" t="s">
        <v>1437</v>
      </c>
      <c r="P4258" s="3" t="s">
        <v>65</v>
      </c>
      <c r="R4258" s="3" t="s">
        <v>66</v>
      </c>
      <c r="S4258" s="4">
        <v>42</v>
      </c>
      <c r="T4258" s="4">
        <v>42</v>
      </c>
      <c r="U4258" s="5" t="s">
        <v>1255</v>
      </c>
      <c r="V4258" s="5" t="s">
        <v>1255</v>
      </c>
      <c r="W4258" s="5" t="s">
        <v>67</v>
      </c>
      <c r="X4258" s="5" t="s">
        <v>67</v>
      </c>
      <c r="Y4258" s="4">
        <v>402</v>
      </c>
      <c r="Z4258" s="4">
        <v>12</v>
      </c>
      <c r="AA4258" s="4">
        <v>40</v>
      </c>
      <c r="AB4258" s="4">
        <v>1</v>
      </c>
      <c r="AC4258" s="4">
        <v>4</v>
      </c>
      <c r="AD4258" s="4">
        <v>81</v>
      </c>
      <c r="AE4258" s="4">
        <v>120</v>
      </c>
      <c r="AF4258" s="4">
        <v>0</v>
      </c>
      <c r="AG4258" s="4">
        <v>3</v>
      </c>
      <c r="AH4258" s="4">
        <v>75</v>
      </c>
      <c r="AI4258" s="4">
        <v>101</v>
      </c>
      <c r="AJ4258" s="4">
        <v>6</v>
      </c>
      <c r="AK4258" s="4">
        <v>22</v>
      </c>
      <c r="AL4258" s="4">
        <v>46</v>
      </c>
      <c r="AM4258" s="4">
        <v>55</v>
      </c>
      <c r="AN4258" s="4">
        <v>0</v>
      </c>
      <c r="AO4258" s="4">
        <v>0</v>
      </c>
      <c r="AP4258" s="4">
        <v>8</v>
      </c>
      <c r="AQ4258" s="4">
        <v>30</v>
      </c>
      <c r="AR4258" s="3" t="s">
        <v>62</v>
      </c>
      <c r="AS4258" s="3" t="s">
        <v>62</v>
      </c>
      <c r="AT4258" s="3" t="s">
        <v>62</v>
      </c>
      <c r="AV4258" s="6" t="str">
        <f>HYPERLINK("http://mcgill.on.worldcat.org/oclc/36824839","Catalog Record")</f>
        <v>Catalog Record</v>
      </c>
      <c r="AW4258" s="6" t="str">
        <f>HYPERLINK("http://www.worldcat.org/oclc/36824839","WorldCat Record")</f>
        <v>WorldCat Record</v>
      </c>
      <c r="AX4258" s="3" t="s">
        <v>40959</v>
      </c>
      <c r="AY4258" s="3" t="s">
        <v>40960</v>
      </c>
      <c r="AZ4258" s="3" t="s">
        <v>40961</v>
      </c>
      <c r="BA4258" s="3" t="s">
        <v>40961</v>
      </c>
      <c r="BB4258" s="3" t="s">
        <v>40962</v>
      </c>
      <c r="BC4258" s="3" t="s">
        <v>142</v>
      </c>
      <c r="BD4258" s="3" t="s">
        <v>68</v>
      </c>
      <c r="BE4258" s="3" t="s">
        <v>40963</v>
      </c>
      <c r="BF4258" s="3" t="s">
        <v>40962</v>
      </c>
      <c r="BG4258" s="3" t="s">
        <v>40964</v>
      </c>
    </row>
    <row r="4259" spans="1:59" ht="57" x14ac:dyDescent="0.45">
      <c r="A4259" s="2" t="s">
        <v>59</v>
      </c>
      <c r="B4259" s="2" t="s">
        <v>60</v>
      </c>
      <c r="C4259" s="2" t="s">
        <v>40965</v>
      </c>
      <c r="D4259" s="2" t="s">
        <v>40966</v>
      </c>
      <c r="E4259" s="2" t="s">
        <v>40967</v>
      </c>
      <c r="G4259" s="3" t="s">
        <v>62</v>
      </c>
      <c r="I4259" s="3" t="s">
        <v>62</v>
      </c>
      <c r="J4259" s="3" t="s">
        <v>61</v>
      </c>
      <c r="K4259" s="3" t="s">
        <v>63</v>
      </c>
      <c r="M4259" s="2" t="s">
        <v>18146</v>
      </c>
      <c r="N4259" s="3" t="s">
        <v>894</v>
      </c>
      <c r="O4259" s="2" t="s">
        <v>933</v>
      </c>
      <c r="P4259" s="3" t="s">
        <v>65</v>
      </c>
      <c r="R4259" s="3" t="s">
        <v>66</v>
      </c>
      <c r="S4259" s="4">
        <v>6</v>
      </c>
      <c r="T4259" s="4">
        <v>6</v>
      </c>
      <c r="U4259" s="5" t="s">
        <v>3596</v>
      </c>
      <c r="V4259" s="5" t="s">
        <v>3596</v>
      </c>
      <c r="W4259" s="5" t="s">
        <v>67</v>
      </c>
      <c r="X4259" s="5" t="s">
        <v>67</v>
      </c>
      <c r="Y4259" s="4">
        <v>243</v>
      </c>
      <c r="Z4259" s="4">
        <v>19</v>
      </c>
      <c r="AA4259" s="4">
        <v>40</v>
      </c>
      <c r="AB4259" s="4">
        <v>2</v>
      </c>
      <c r="AC4259" s="4">
        <v>4</v>
      </c>
      <c r="AD4259" s="4">
        <v>62</v>
      </c>
      <c r="AE4259" s="4">
        <v>120</v>
      </c>
      <c r="AF4259" s="4">
        <v>1</v>
      </c>
      <c r="AG4259" s="4">
        <v>3</v>
      </c>
      <c r="AH4259" s="4">
        <v>55</v>
      </c>
      <c r="AI4259" s="4">
        <v>101</v>
      </c>
      <c r="AJ4259" s="4">
        <v>14</v>
      </c>
      <c r="AK4259" s="4">
        <v>22</v>
      </c>
      <c r="AL4259" s="4">
        <v>30</v>
      </c>
      <c r="AM4259" s="4">
        <v>55</v>
      </c>
      <c r="AN4259" s="4">
        <v>0</v>
      </c>
      <c r="AO4259" s="4">
        <v>0</v>
      </c>
      <c r="AP4259" s="4">
        <v>15</v>
      </c>
      <c r="AQ4259" s="4">
        <v>30</v>
      </c>
      <c r="AR4259" s="3" t="s">
        <v>62</v>
      </c>
      <c r="AS4259" s="3" t="s">
        <v>62</v>
      </c>
      <c r="AT4259" s="3" t="s">
        <v>62</v>
      </c>
      <c r="AV4259" s="6" t="str">
        <f>HYPERLINK("http://mcgill.on.worldcat.org/oclc/659305823","Catalog Record")</f>
        <v>Catalog Record</v>
      </c>
      <c r="AW4259" s="6" t="str">
        <f>HYPERLINK("http://www.worldcat.org/oclc/659305823","WorldCat Record")</f>
        <v>WorldCat Record</v>
      </c>
      <c r="AX4259" s="3" t="s">
        <v>40959</v>
      </c>
      <c r="AY4259" s="3" t="s">
        <v>40968</v>
      </c>
      <c r="AZ4259" s="3" t="s">
        <v>40969</v>
      </c>
      <c r="BA4259" s="3" t="s">
        <v>40969</v>
      </c>
      <c r="BB4259" s="3" t="s">
        <v>40970</v>
      </c>
      <c r="BC4259" s="3" t="s">
        <v>142</v>
      </c>
      <c r="BD4259" s="3" t="s">
        <v>68</v>
      </c>
      <c r="BE4259" s="3" t="s">
        <v>40971</v>
      </c>
      <c r="BF4259" s="3" t="s">
        <v>40970</v>
      </c>
      <c r="BG4259" s="3" t="s">
        <v>40972</v>
      </c>
    </row>
    <row r="4260" spans="1:59" ht="57" x14ac:dyDescent="0.45">
      <c r="A4260" s="2" t="s">
        <v>59</v>
      </c>
      <c r="B4260" s="2" t="s">
        <v>60</v>
      </c>
      <c r="C4260" s="2" t="s">
        <v>40973</v>
      </c>
      <c r="D4260" s="2" t="s">
        <v>40974</v>
      </c>
      <c r="E4260" s="2" t="s">
        <v>40975</v>
      </c>
      <c r="G4260" s="3" t="s">
        <v>62</v>
      </c>
      <c r="I4260" s="3" t="s">
        <v>62</v>
      </c>
      <c r="J4260" s="3" t="s">
        <v>62</v>
      </c>
      <c r="K4260" s="3" t="s">
        <v>63</v>
      </c>
      <c r="M4260" s="2" t="s">
        <v>40976</v>
      </c>
      <c r="N4260" s="3" t="s">
        <v>167</v>
      </c>
      <c r="P4260" s="3" t="s">
        <v>65</v>
      </c>
      <c r="Q4260" s="2" t="s">
        <v>40977</v>
      </c>
      <c r="R4260" s="3" t="s">
        <v>66</v>
      </c>
      <c r="S4260" s="4">
        <v>26</v>
      </c>
      <c r="T4260" s="4">
        <v>26</v>
      </c>
      <c r="U4260" s="5" t="s">
        <v>303</v>
      </c>
      <c r="V4260" s="5" t="s">
        <v>303</v>
      </c>
      <c r="W4260" s="5" t="s">
        <v>67</v>
      </c>
      <c r="X4260" s="5" t="s">
        <v>67</v>
      </c>
      <c r="Y4260" s="4">
        <v>470</v>
      </c>
      <c r="Z4260" s="4">
        <v>31</v>
      </c>
      <c r="AA4260" s="4">
        <v>101</v>
      </c>
      <c r="AB4260" s="4">
        <v>2</v>
      </c>
      <c r="AC4260" s="4">
        <v>18</v>
      </c>
      <c r="AD4260" s="4">
        <v>111</v>
      </c>
      <c r="AE4260" s="4">
        <v>149</v>
      </c>
      <c r="AF4260" s="4">
        <v>1</v>
      </c>
      <c r="AG4260" s="4">
        <v>9</v>
      </c>
      <c r="AH4260" s="4">
        <v>93</v>
      </c>
      <c r="AI4260" s="4">
        <v>109</v>
      </c>
      <c r="AJ4260" s="4">
        <v>18</v>
      </c>
      <c r="AK4260" s="4">
        <v>27</v>
      </c>
      <c r="AL4260" s="4">
        <v>51</v>
      </c>
      <c r="AM4260" s="4">
        <v>55</v>
      </c>
      <c r="AN4260" s="4">
        <v>0</v>
      </c>
      <c r="AO4260" s="4">
        <v>0</v>
      </c>
      <c r="AP4260" s="4">
        <v>24</v>
      </c>
      <c r="AQ4260" s="4">
        <v>50</v>
      </c>
      <c r="AR4260" s="3" t="s">
        <v>62</v>
      </c>
      <c r="AS4260" s="3" t="s">
        <v>62</v>
      </c>
      <c r="AT4260" s="3" t="s">
        <v>62</v>
      </c>
      <c r="AV4260" s="6" t="str">
        <f>HYPERLINK("http://mcgill.on.worldcat.org/oclc/39256598","Catalog Record")</f>
        <v>Catalog Record</v>
      </c>
      <c r="AW4260" s="6" t="str">
        <f>HYPERLINK("http://www.worldcat.org/oclc/39256598","WorldCat Record")</f>
        <v>WorldCat Record</v>
      </c>
      <c r="AX4260" s="3" t="s">
        <v>40978</v>
      </c>
      <c r="AY4260" s="3" t="s">
        <v>40979</v>
      </c>
      <c r="AZ4260" s="3" t="s">
        <v>40980</v>
      </c>
      <c r="BA4260" s="3" t="s">
        <v>40980</v>
      </c>
      <c r="BB4260" s="3" t="s">
        <v>40981</v>
      </c>
      <c r="BC4260" s="3" t="s">
        <v>142</v>
      </c>
      <c r="BD4260" s="3" t="s">
        <v>68</v>
      </c>
      <c r="BE4260" s="3" t="s">
        <v>40982</v>
      </c>
      <c r="BF4260" s="3" t="s">
        <v>40981</v>
      </c>
      <c r="BG4260" s="3" t="s">
        <v>40983</v>
      </c>
    </row>
    <row r="4261" spans="1:59" ht="57" x14ac:dyDescent="0.45">
      <c r="A4261" s="2" t="s">
        <v>59</v>
      </c>
      <c r="B4261" s="2" t="s">
        <v>60</v>
      </c>
      <c r="C4261" s="2" t="s">
        <v>40984</v>
      </c>
      <c r="D4261" s="2" t="s">
        <v>40985</v>
      </c>
      <c r="E4261" s="2" t="s">
        <v>40986</v>
      </c>
      <c r="G4261" s="3" t="s">
        <v>62</v>
      </c>
      <c r="I4261" s="3" t="s">
        <v>62</v>
      </c>
      <c r="J4261" s="3" t="s">
        <v>62</v>
      </c>
      <c r="K4261" s="3" t="s">
        <v>63</v>
      </c>
      <c r="M4261" s="2" t="s">
        <v>40987</v>
      </c>
      <c r="N4261" s="3" t="s">
        <v>970</v>
      </c>
      <c r="P4261" s="3" t="s">
        <v>65</v>
      </c>
      <c r="R4261" s="3" t="s">
        <v>66</v>
      </c>
      <c r="S4261" s="4">
        <v>24</v>
      </c>
      <c r="T4261" s="4">
        <v>24</v>
      </c>
      <c r="U4261" s="5" t="s">
        <v>28865</v>
      </c>
      <c r="V4261" s="5" t="s">
        <v>28865</v>
      </c>
      <c r="W4261" s="5" t="s">
        <v>67</v>
      </c>
      <c r="X4261" s="5" t="s">
        <v>67</v>
      </c>
      <c r="Y4261" s="4">
        <v>211</v>
      </c>
      <c r="Z4261" s="4">
        <v>18</v>
      </c>
      <c r="AA4261" s="4">
        <v>19</v>
      </c>
      <c r="AB4261" s="4">
        <v>2</v>
      </c>
      <c r="AC4261" s="4">
        <v>3</v>
      </c>
      <c r="AD4261" s="4">
        <v>86</v>
      </c>
      <c r="AE4261" s="4">
        <v>87</v>
      </c>
      <c r="AF4261" s="4">
        <v>0</v>
      </c>
      <c r="AG4261" s="4">
        <v>1</v>
      </c>
      <c r="AH4261" s="4">
        <v>77</v>
      </c>
      <c r="AI4261" s="4">
        <v>78</v>
      </c>
      <c r="AJ4261" s="4">
        <v>12</v>
      </c>
      <c r="AK4261" s="4">
        <v>13</v>
      </c>
      <c r="AL4261" s="4">
        <v>42</v>
      </c>
      <c r="AM4261" s="4">
        <v>42</v>
      </c>
      <c r="AN4261" s="4">
        <v>0</v>
      </c>
      <c r="AO4261" s="4">
        <v>0</v>
      </c>
      <c r="AP4261" s="4">
        <v>15</v>
      </c>
      <c r="AQ4261" s="4">
        <v>16</v>
      </c>
      <c r="AR4261" s="3" t="s">
        <v>62</v>
      </c>
      <c r="AS4261" s="3" t="s">
        <v>62</v>
      </c>
      <c r="AT4261" s="3" t="s">
        <v>62</v>
      </c>
      <c r="AV4261" s="6" t="str">
        <f>HYPERLINK("http://mcgill.on.worldcat.org/oclc/48003205","Catalog Record")</f>
        <v>Catalog Record</v>
      </c>
      <c r="AW4261" s="6" t="str">
        <f>HYPERLINK("http://www.worldcat.org/oclc/48003205","WorldCat Record")</f>
        <v>WorldCat Record</v>
      </c>
      <c r="AX4261" s="3" t="s">
        <v>40988</v>
      </c>
      <c r="AY4261" s="3" t="s">
        <v>40989</v>
      </c>
      <c r="AZ4261" s="3" t="s">
        <v>40990</v>
      </c>
      <c r="BA4261" s="3" t="s">
        <v>40990</v>
      </c>
      <c r="BB4261" s="3" t="s">
        <v>40991</v>
      </c>
      <c r="BC4261" s="3" t="s">
        <v>142</v>
      </c>
      <c r="BD4261" s="3" t="s">
        <v>68</v>
      </c>
      <c r="BE4261" s="3" t="s">
        <v>40992</v>
      </c>
      <c r="BF4261" s="3" t="s">
        <v>40991</v>
      </c>
      <c r="BG4261" s="3" t="s">
        <v>40993</v>
      </c>
    </row>
    <row r="4262" spans="1:59" ht="57" x14ac:dyDescent="0.45">
      <c r="A4262" s="2" t="s">
        <v>59</v>
      </c>
      <c r="B4262" s="2" t="s">
        <v>60</v>
      </c>
      <c r="C4262" s="2" t="s">
        <v>40994</v>
      </c>
      <c r="D4262" s="2" t="s">
        <v>40995</v>
      </c>
      <c r="E4262" s="2" t="s">
        <v>40996</v>
      </c>
      <c r="G4262" s="3" t="s">
        <v>62</v>
      </c>
      <c r="I4262" s="3" t="s">
        <v>62</v>
      </c>
      <c r="J4262" s="3" t="s">
        <v>62</v>
      </c>
      <c r="K4262" s="3" t="s">
        <v>63</v>
      </c>
      <c r="M4262" s="2" t="s">
        <v>6523</v>
      </c>
      <c r="N4262" s="3" t="s">
        <v>1059</v>
      </c>
      <c r="P4262" s="3" t="s">
        <v>65</v>
      </c>
      <c r="R4262" s="3" t="s">
        <v>66</v>
      </c>
      <c r="S4262" s="4">
        <v>19</v>
      </c>
      <c r="T4262" s="4">
        <v>19</v>
      </c>
      <c r="U4262" s="5" t="s">
        <v>197</v>
      </c>
      <c r="V4262" s="5" t="s">
        <v>197</v>
      </c>
      <c r="W4262" s="5" t="s">
        <v>67</v>
      </c>
      <c r="X4262" s="5" t="s">
        <v>67</v>
      </c>
      <c r="Y4262" s="4">
        <v>274</v>
      </c>
      <c r="Z4262" s="4">
        <v>22</v>
      </c>
      <c r="AA4262" s="4">
        <v>63</v>
      </c>
      <c r="AB4262" s="4">
        <v>1</v>
      </c>
      <c r="AC4262" s="4">
        <v>15</v>
      </c>
      <c r="AD4262" s="4">
        <v>79</v>
      </c>
      <c r="AE4262" s="4">
        <v>113</v>
      </c>
      <c r="AF4262" s="4">
        <v>0</v>
      </c>
      <c r="AG4262" s="4">
        <v>7</v>
      </c>
      <c r="AH4262" s="4">
        <v>69</v>
      </c>
      <c r="AI4262" s="4">
        <v>75</v>
      </c>
      <c r="AJ4262" s="4">
        <v>13</v>
      </c>
      <c r="AK4262" s="4">
        <v>22</v>
      </c>
      <c r="AL4262" s="4">
        <v>40</v>
      </c>
      <c r="AM4262" s="4">
        <v>40</v>
      </c>
      <c r="AN4262" s="4">
        <v>0</v>
      </c>
      <c r="AO4262" s="4">
        <v>0</v>
      </c>
      <c r="AP4262" s="4">
        <v>17</v>
      </c>
      <c r="AQ4262" s="4">
        <v>47</v>
      </c>
      <c r="AR4262" s="3" t="s">
        <v>62</v>
      </c>
      <c r="AS4262" s="3" t="s">
        <v>62</v>
      </c>
      <c r="AT4262" s="3" t="s">
        <v>62</v>
      </c>
      <c r="AV4262" s="6" t="str">
        <f>HYPERLINK("http://mcgill.on.worldcat.org/oclc/61879693","Catalog Record")</f>
        <v>Catalog Record</v>
      </c>
      <c r="AW4262" s="6" t="str">
        <f>HYPERLINK("http://www.worldcat.org/oclc/61879693","WorldCat Record")</f>
        <v>WorldCat Record</v>
      </c>
      <c r="AX4262" s="3" t="s">
        <v>40997</v>
      </c>
      <c r="AY4262" s="3" t="s">
        <v>40998</v>
      </c>
      <c r="AZ4262" s="3" t="s">
        <v>40999</v>
      </c>
      <c r="BA4262" s="3" t="s">
        <v>40999</v>
      </c>
      <c r="BB4262" s="3" t="s">
        <v>41000</v>
      </c>
      <c r="BC4262" s="3" t="s">
        <v>142</v>
      </c>
      <c r="BD4262" s="3" t="s">
        <v>68</v>
      </c>
      <c r="BE4262" s="3" t="s">
        <v>41001</v>
      </c>
      <c r="BF4262" s="3" t="s">
        <v>41000</v>
      </c>
      <c r="BG4262" s="3" t="s">
        <v>41002</v>
      </c>
    </row>
    <row r="4263" spans="1:59" ht="57" x14ac:dyDescent="0.45">
      <c r="A4263" s="2" t="s">
        <v>59</v>
      </c>
      <c r="B4263" s="2" t="s">
        <v>60</v>
      </c>
      <c r="C4263" s="2" t="s">
        <v>41003</v>
      </c>
      <c r="D4263" s="2" t="s">
        <v>41004</v>
      </c>
      <c r="E4263" s="2" t="s">
        <v>41005</v>
      </c>
      <c r="G4263" s="3" t="s">
        <v>62</v>
      </c>
      <c r="I4263" s="3" t="s">
        <v>62</v>
      </c>
      <c r="J4263" s="3" t="s">
        <v>62</v>
      </c>
      <c r="K4263" s="3" t="s">
        <v>63</v>
      </c>
      <c r="M4263" s="2" t="s">
        <v>2871</v>
      </c>
      <c r="N4263" s="3" t="s">
        <v>149</v>
      </c>
      <c r="P4263" s="3" t="s">
        <v>65</v>
      </c>
      <c r="R4263" s="3" t="s">
        <v>66</v>
      </c>
      <c r="S4263" s="4">
        <v>1</v>
      </c>
      <c r="T4263" s="4">
        <v>1</v>
      </c>
      <c r="U4263" s="5" t="s">
        <v>1086</v>
      </c>
      <c r="V4263" s="5" t="s">
        <v>1086</v>
      </c>
      <c r="W4263" s="5" t="s">
        <v>67</v>
      </c>
      <c r="X4263" s="5" t="s">
        <v>67</v>
      </c>
      <c r="Y4263" s="4">
        <v>74</v>
      </c>
      <c r="Z4263" s="4">
        <v>15</v>
      </c>
      <c r="AA4263" s="4">
        <v>81</v>
      </c>
      <c r="AB4263" s="4">
        <v>2</v>
      </c>
      <c r="AC4263" s="4">
        <v>14</v>
      </c>
      <c r="AD4263" s="4">
        <v>38</v>
      </c>
      <c r="AE4263" s="4">
        <v>99</v>
      </c>
      <c r="AF4263" s="4">
        <v>1</v>
      </c>
      <c r="AG4263" s="4">
        <v>8</v>
      </c>
      <c r="AH4263" s="4">
        <v>33</v>
      </c>
      <c r="AI4263" s="4">
        <v>66</v>
      </c>
      <c r="AJ4263" s="4">
        <v>12</v>
      </c>
      <c r="AK4263" s="4">
        <v>24</v>
      </c>
      <c r="AL4263" s="4">
        <v>21</v>
      </c>
      <c r="AM4263" s="4">
        <v>34</v>
      </c>
      <c r="AN4263" s="4">
        <v>0</v>
      </c>
      <c r="AO4263" s="4">
        <v>0</v>
      </c>
      <c r="AP4263" s="4">
        <v>12</v>
      </c>
      <c r="AQ4263" s="4">
        <v>44</v>
      </c>
      <c r="AR4263" s="3" t="s">
        <v>62</v>
      </c>
      <c r="AS4263" s="3" t="s">
        <v>62</v>
      </c>
      <c r="AT4263" s="3" t="s">
        <v>62</v>
      </c>
      <c r="AV4263" s="6" t="str">
        <f>HYPERLINK("http://mcgill.on.worldcat.org/oclc/636921476","Catalog Record")</f>
        <v>Catalog Record</v>
      </c>
      <c r="AW4263" s="6" t="str">
        <f>HYPERLINK("http://www.worldcat.org/oclc/636921476","WorldCat Record")</f>
        <v>WorldCat Record</v>
      </c>
      <c r="AX4263" s="3" t="s">
        <v>41006</v>
      </c>
      <c r="AY4263" s="3" t="s">
        <v>41007</v>
      </c>
      <c r="AZ4263" s="3" t="s">
        <v>41008</v>
      </c>
      <c r="BA4263" s="3" t="s">
        <v>41008</v>
      </c>
      <c r="BB4263" s="3" t="s">
        <v>41009</v>
      </c>
      <c r="BC4263" s="3" t="s">
        <v>142</v>
      </c>
      <c r="BD4263" s="3" t="s">
        <v>68</v>
      </c>
      <c r="BE4263" s="3" t="s">
        <v>41010</v>
      </c>
      <c r="BF4263" s="3" t="s">
        <v>41009</v>
      </c>
      <c r="BG4263" s="3" t="s">
        <v>41011</v>
      </c>
    </row>
    <row r="4264" spans="1:59" ht="57" x14ac:dyDescent="0.45">
      <c r="A4264" s="2" t="s">
        <v>59</v>
      </c>
      <c r="B4264" s="2" t="s">
        <v>60</v>
      </c>
      <c r="C4264" s="2" t="s">
        <v>41012</v>
      </c>
      <c r="D4264" s="2" t="s">
        <v>41013</v>
      </c>
      <c r="E4264" s="2" t="s">
        <v>41014</v>
      </c>
      <c r="G4264" s="3" t="s">
        <v>62</v>
      </c>
      <c r="I4264" s="3" t="s">
        <v>62</v>
      </c>
      <c r="J4264" s="3" t="s">
        <v>62</v>
      </c>
      <c r="K4264" s="3" t="s">
        <v>63</v>
      </c>
      <c r="M4264" s="2" t="s">
        <v>41015</v>
      </c>
      <c r="N4264" s="3" t="s">
        <v>568</v>
      </c>
      <c r="P4264" s="3" t="s">
        <v>65</v>
      </c>
      <c r="Q4264" s="2" t="s">
        <v>41016</v>
      </c>
      <c r="R4264" s="3" t="s">
        <v>66</v>
      </c>
      <c r="S4264" s="4">
        <v>61</v>
      </c>
      <c r="T4264" s="4">
        <v>61</v>
      </c>
      <c r="U4264" s="5" t="s">
        <v>1086</v>
      </c>
      <c r="V4264" s="5" t="s">
        <v>1086</v>
      </c>
      <c r="W4264" s="5" t="s">
        <v>67</v>
      </c>
      <c r="X4264" s="5" t="s">
        <v>67</v>
      </c>
      <c r="Y4264" s="4">
        <v>720</v>
      </c>
      <c r="Z4264" s="4">
        <v>43</v>
      </c>
      <c r="AA4264" s="4">
        <v>48</v>
      </c>
      <c r="AB4264" s="4">
        <v>3</v>
      </c>
      <c r="AC4264" s="4">
        <v>8</v>
      </c>
      <c r="AD4264" s="4">
        <v>132</v>
      </c>
      <c r="AE4264" s="4">
        <v>137</v>
      </c>
      <c r="AF4264" s="4">
        <v>1</v>
      </c>
      <c r="AG4264" s="4">
        <v>5</v>
      </c>
      <c r="AH4264" s="4">
        <v>108</v>
      </c>
      <c r="AI4264" s="4">
        <v>110</v>
      </c>
      <c r="AJ4264" s="4">
        <v>22</v>
      </c>
      <c r="AK4264" s="4">
        <v>25</v>
      </c>
      <c r="AL4264" s="4">
        <v>59</v>
      </c>
      <c r="AM4264" s="4">
        <v>59</v>
      </c>
      <c r="AN4264" s="4">
        <v>0</v>
      </c>
      <c r="AO4264" s="4">
        <v>0</v>
      </c>
      <c r="AP4264" s="4">
        <v>33</v>
      </c>
      <c r="AQ4264" s="4">
        <v>36</v>
      </c>
      <c r="AR4264" s="3" t="s">
        <v>62</v>
      </c>
      <c r="AS4264" s="3" t="s">
        <v>62</v>
      </c>
      <c r="AT4264" s="3" t="s">
        <v>62</v>
      </c>
      <c r="AV4264" s="6" t="str">
        <f>HYPERLINK("http://mcgill.on.worldcat.org/oclc/13823346","Catalog Record")</f>
        <v>Catalog Record</v>
      </c>
      <c r="AW4264" s="6" t="str">
        <f>HYPERLINK("http://www.worldcat.org/oclc/13823346","WorldCat Record")</f>
        <v>WorldCat Record</v>
      </c>
      <c r="AX4264" s="3" t="s">
        <v>41017</v>
      </c>
      <c r="AY4264" s="3" t="s">
        <v>41018</v>
      </c>
      <c r="AZ4264" s="3" t="s">
        <v>41019</v>
      </c>
      <c r="BA4264" s="3" t="s">
        <v>41019</v>
      </c>
      <c r="BB4264" s="3" t="s">
        <v>41020</v>
      </c>
      <c r="BC4264" s="3" t="s">
        <v>142</v>
      </c>
      <c r="BD4264" s="3" t="s">
        <v>68</v>
      </c>
      <c r="BE4264" s="3" t="s">
        <v>41021</v>
      </c>
      <c r="BF4264" s="3" t="s">
        <v>41020</v>
      </c>
      <c r="BG4264" s="3" t="s">
        <v>41022</v>
      </c>
    </row>
    <row r="4265" spans="1:59" ht="57" x14ac:dyDescent="0.45">
      <c r="A4265" s="2" t="s">
        <v>59</v>
      </c>
      <c r="B4265" s="2" t="s">
        <v>60</v>
      </c>
      <c r="C4265" s="2" t="s">
        <v>41023</v>
      </c>
      <c r="D4265" s="2" t="s">
        <v>41024</v>
      </c>
      <c r="E4265" s="2" t="s">
        <v>41025</v>
      </c>
      <c r="G4265" s="3" t="s">
        <v>62</v>
      </c>
      <c r="I4265" s="3" t="s">
        <v>62</v>
      </c>
      <c r="J4265" s="3" t="s">
        <v>62</v>
      </c>
      <c r="K4265" s="3" t="s">
        <v>63</v>
      </c>
      <c r="M4265" s="2" t="s">
        <v>4129</v>
      </c>
      <c r="N4265" s="3" t="s">
        <v>106</v>
      </c>
      <c r="P4265" s="3" t="s">
        <v>65</v>
      </c>
      <c r="R4265" s="3" t="s">
        <v>66</v>
      </c>
      <c r="S4265" s="4">
        <v>70</v>
      </c>
      <c r="T4265" s="4">
        <v>70</v>
      </c>
      <c r="U4265" s="5" t="s">
        <v>1255</v>
      </c>
      <c r="V4265" s="5" t="s">
        <v>1255</v>
      </c>
      <c r="W4265" s="5" t="s">
        <v>67</v>
      </c>
      <c r="X4265" s="5" t="s">
        <v>67</v>
      </c>
      <c r="Y4265" s="4">
        <v>734</v>
      </c>
      <c r="Z4265" s="4">
        <v>41</v>
      </c>
      <c r="AA4265" s="4">
        <v>53</v>
      </c>
      <c r="AB4265" s="4">
        <v>3</v>
      </c>
      <c r="AC4265" s="4">
        <v>11</v>
      </c>
      <c r="AD4265" s="4">
        <v>128</v>
      </c>
      <c r="AE4265" s="4">
        <v>135</v>
      </c>
      <c r="AF4265" s="4">
        <v>2</v>
      </c>
      <c r="AG4265" s="4">
        <v>6</v>
      </c>
      <c r="AH4265" s="4">
        <v>103</v>
      </c>
      <c r="AI4265" s="4">
        <v>105</v>
      </c>
      <c r="AJ4265" s="4">
        <v>20</v>
      </c>
      <c r="AK4265" s="4">
        <v>24</v>
      </c>
      <c r="AL4265" s="4">
        <v>56</v>
      </c>
      <c r="AM4265" s="4">
        <v>56</v>
      </c>
      <c r="AN4265" s="4">
        <v>0</v>
      </c>
      <c r="AO4265" s="4">
        <v>0</v>
      </c>
      <c r="AP4265" s="4">
        <v>35</v>
      </c>
      <c r="AQ4265" s="4">
        <v>40</v>
      </c>
      <c r="AR4265" s="3" t="s">
        <v>62</v>
      </c>
      <c r="AS4265" s="3" t="s">
        <v>62</v>
      </c>
      <c r="AT4265" s="3" t="s">
        <v>61</v>
      </c>
      <c r="AU4265" s="6" t="str">
        <f>HYPERLINK("http://catalog.hathitrust.org/Record/000366990","HathiTrust Record")</f>
        <v>HathiTrust Record</v>
      </c>
      <c r="AV4265" s="6" t="str">
        <f>HYPERLINK("http://mcgill.on.worldcat.org/oclc/9082933","Catalog Record")</f>
        <v>Catalog Record</v>
      </c>
      <c r="AW4265" s="6" t="str">
        <f>HYPERLINK("http://www.worldcat.org/oclc/9082933","WorldCat Record")</f>
        <v>WorldCat Record</v>
      </c>
      <c r="AX4265" s="3" t="s">
        <v>41026</v>
      </c>
      <c r="AY4265" s="3" t="s">
        <v>41027</v>
      </c>
      <c r="AZ4265" s="3" t="s">
        <v>41028</v>
      </c>
      <c r="BA4265" s="3" t="s">
        <v>41028</v>
      </c>
      <c r="BB4265" s="3" t="s">
        <v>41029</v>
      </c>
      <c r="BC4265" s="3" t="s">
        <v>142</v>
      </c>
      <c r="BD4265" s="3" t="s">
        <v>68</v>
      </c>
      <c r="BE4265" s="3" t="s">
        <v>41030</v>
      </c>
      <c r="BF4265" s="3" t="s">
        <v>41029</v>
      </c>
      <c r="BG4265" s="3" t="s">
        <v>41031</v>
      </c>
    </row>
    <row r="4266" spans="1:59" ht="57" x14ac:dyDescent="0.45">
      <c r="A4266" s="2" t="s">
        <v>59</v>
      </c>
      <c r="B4266" s="2" t="s">
        <v>60</v>
      </c>
      <c r="C4266" s="2" t="s">
        <v>41032</v>
      </c>
      <c r="D4266" s="2" t="s">
        <v>41033</v>
      </c>
      <c r="E4266" s="2" t="s">
        <v>41034</v>
      </c>
      <c r="G4266" s="3" t="s">
        <v>62</v>
      </c>
      <c r="I4266" s="3" t="s">
        <v>62</v>
      </c>
      <c r="J4266" s="3" t="s">
        <v>62</v>
      </c>
      <c r="K4266" s="3" t="s">
        <v>63</v>
      </c>
      <c r="M4266" s="2" t="s">
        <v>41035</v>
      </c>
      <c r="N4266" s="3" t="s">
        <v>149</v>
      </c>
      <c r="P4266" s="3" t="s">
        <v>65</v>
      </c>
      <c r="R4266" s="3" t="s">
        <v>66</v>
      </c>
      <c r="S4266" s="4">
        <v>4</v>
      </c>
      <c r="T4266" s="4">
        <v>4</v>
      </c>
      <c r="U4266" s="5" t="s">
        <v>16727</v>
      </c>
      <c r="V4266" s="5" t="s">
        <v>16727</v>
      </c>
      <c r="W4266" s="5" t="s">
        <v>67</v>
      </c>
      <c r="X4266" s="5" t="s">
        <v>67</v>
      </c>
      <c r="Y4266" s="4">
        <v>81</v>
      </c>
      <c r="Z4266" s="4">
        <v>16</v>
      </c>
      <c r="AA4266" s="4">
        <v>18</v>
      </c>
      <c r="AB4266" s="4">
        <v>1</v>
      </c>
      <c r="AC4266" s="4">
        <v>2</v>
      </c>
      <c r="AD4266" s="4">
        <v>40</v>
      </c>
      <c r="AE4266" s="4">
        <v>42</v>
      </c>
      <c r="AF4266" s="4">
        <v>0</v>
      </c>
      <c r="AG4266" s="4">
        <v>1</v>
      </c>
      <c r="AH4266" s="4">
        <v>34</v>
      </c>
      <c r="AI4266" s="4">
        <v>35</v>
      </c>
      <c r="AJ4266" s="4">
        <v>14</v>
      </c>
      <c r="AK4266" s="4">
        <v>16</v>
      </c>
      <c r="AL4266" s="4">
        <v>21</v>
      </c>
      <c r="AM4266" s="4">
        <v>21</v>
      </c>
      <c r="AN4266" s="4">
        <v>0</v>
      </c>
      <c r="AO4266" s="4">
        <v>0</v>
      </c>
      <c r="AP4266" s="4">
        <v>14</v>
      </c>
      <c r="AQ4266" s="4">
        <v>16</v>
      </c>
      <c r="AR4266" s="3" t="s">
        <v>62</v>
      </c>
      <c r="AS4266" s="3" t="s">
        <v>62</v>
      </c>
      <c r="AT4266" s="3" t="s">
        <v>62</v>
      </c>
      <c r="AV4266" s="6" t="str">
        <f>HYPERLINK("http://mcgill.on.worldcat.org/oclc/669984264","Catalog Record")</f>
        <v>Catalog Record</v>
      </c>
      <c r="AW4266" s="6" t="str">
        <f>HYPERLINK("http://www.worldcat.org/oclc/669984264","WorldCat Record")</f>
        <v>WorldCat Record</v>
      </c>
      <c r="AX4266" s="3" t="s">
        <v>41036</v>
      </c>
      <c r="AY4266" s="3" t="s">
        <v>41037</v>
      </c>
      <c r="AZ4266" s="3" t="s">
        <v>41038</v>
      </c>
      <c r="BA4266" s="3" t="s">
        <v>41038</v>
      </c>
      <c r="BB4266" s="3" t="s">
        <v>41039</v>
      </c>
      <c r="BC4266" s="3" t="s">
        <v>142</v>
      </c>
      <c r="BD4266" s="3" t="s">
        <v>68</v>
      </c>
      <c r="BE4266" s="3" t="s">
        <v>41040</v>
      </c>
      <c r="BF4266" s="3" t="s">
        <v>41039</v>
      </c>
      <c r="BG4266" s="3" t="s">
        <v>41041</v>
      </c>
    </row>
    <row r="4267" spans="1:59" ht="57" x14ac:dyDescent="0.45">
      <c r="A4267" s="2" t="s">
        <v>59</v>
      </c>
      <c r="B4267" s="2" t="s">
        <v>60</v>
      </c>
      <c r="C4267" s="2" t="s">
        <v>41042</v>
      </c>
      <c r="D4267" s="2" t="s">
        <v>41043</v>
      </c>
      <c r="E4267" s="2" t="s">
        <v>41044</v>
      </c>
      <c r="G4267" s="3" t="s">
        <v>62</v>
      </c>
      <c r="I4267" s="3" t="s">
        <v>62</v>
      </c>
      <c r="J4267" s="3" t="s">
        <v>62</v>
      </c>
      <c r="K4267" s="3" t="s">
        <v>63</v>
      </c>
      <c r="L4267" s="2" t="s">
        <v>41045</v>
      </c>
      <c r="M4267" s="2" t="s">
        <v>41046</v>
      </c>
      <c r="N4267" s="3" t="s">
        <v>1212</v>
      </c>
      <c r="P4267" s="3" t="s">
        <v>110</v>
      </c>
      <c r="R4267" s="3" t="s">
        <v>66</v>
      </c>
      <c r="S4267" s="4">
        <v>4</v>
      </c>
      <c r="T4267" s="4">
        <v>4</v>
      </c>
      <c r="U4267" s="5" t="s">
        <v>32176</v>
      </c>
      <c r="V4267" s="5" t="s">
        <v>32176</v>
      </c>
      <c r="W4267" s="5" t="s">
        <v>67</v>
      </c>
      <c r="X4267" s="5" t="s">
        <v>67</v>
      </c>
      <c r="Y4267" s="4">
        <v>56</v>
      </c>
      <c r="Z4267" s="4">
        <v>30</v>
      </c>
      <c r="AA4267" s="4">
        <v>43</v>
      </c>
      <c r="AB4267" s="4">
        <v>10</v>
      </c>
      <c r="AC4267" s="4">
        <v>11</v>
      </c>
      <c r="AD4267" s="4">
        <v>22</v>
      </c>
      <c r="AE4267" s="4">
        <v>36</v>
      </c>
      <c r="AF4267" s="4">
        <v>5</v>
      </c>
      <c r="AG4267" s="4">
        <v>5</v>
      </c>
      <c r="AH4267" s="4">
        <v>11</v>
      </c>
      <c r="AI4267" s="4">
        <v>19</v>
      </c>
      <c r="AJ4267" s="4">
        <v>14</v>
      </c>
      <c r="AK4267" s="4">
        <v>19</v>
      </c>
      <c r="AL4267" s="4">
        <v>4</v>
      </c>
      <c r="AM4267" s="4">
        <v>7</v>
      </c>
      <c r="AN4267" s="4">
        <v>0</v>
      </c>
      <c r="AO4267" s="4">
        <v>0</v>
      </c>
      <c r="AP4267" s="4">
        <v>15</v>
      </c>
      <c r="AQ4267" s="4">
        <v>24</v>
      </c>
      <c r="AR4267" s="3" t="s">
        <v>61</v>
      </c>
      <c r="AS4267" s="3" t="s">
        <v>62</v>
      </c>
      <c r="AT4267" s="3" t="s">
        <v>62</v>
      </c>
      <c r="AV4267" s="6" t="str">
        <f>HYPERLINK("http://mcgill.on.worldcat.org/oclc/45191101","Catalog Record")</f>
        <v>Catalog Record</v>
      </c>
      <c r="AW4267" s="6" t="str">
        <f>HYPERLINK("http://www.worldcat.org/oclc/45191101","WorldCat Record")</f>
        <v>WorldCat Record</v>
      </c>
      <c r="AX4267" s="3" t="s">
        <v>41047</v>
      </c>
      <c r="AY4267" s="3" t="s">
        <v>41048</v>
      </c>
      <c r="AZ4267" s="3" t="s">
        <v>41049</v>
      </c>
      <c r="BA4267" s="3" t="s">
        <v>41049</v>
      </c>
      <c r="BB4267" s="3" t="s">
        <v>41050</v>
      </c>
      <c r="BC4267" s="3" t="s">
        <v>142</v>
      </c>
      <c r="BD4267" s="3" t="s">
        <v>68</v>
      </c>
      <c r="BE4267" s="3" t="s">
        <v>41051</v>
      </c>
      <c r="BF4267" s="3" t="s">
        <v>41050</v>
      </c>
      <c r="BG4267" s="3" t="s">
        <v>41052</v>
      </c>
    </row>
    <row r="4268" spans="1:59" ht="57" x14ac:dyDescent="0.45">
      <c r="A4268" s="2" t="s">
        <v>59</v>
      </c>
      <c r="B4268" s="2" t="s">
        <v>60</v>
      </c>
      <c r="C4268" s="2" t="s">
        <v>41053</v>
      </c>
      <c r="D4268" s="2" t="s">
        <v>41054</v>
      </c>
      <c r="E4268" s="2" t="s">
        <v>41055</v>
      </c>
      <c r="G4268" s="3" t="s">
        <v>62</v>
      </c>
      <c r="I4268" s="3" t="s">
        <v>62</v>
      </c>
      <c r="J4268" s="3" t="s">
        <v>62</v>
      </c>
      <c r="K4268" s="3" t="s">
        <v>63</v>
      </c>
      <c r="L4268" s="2" t="s">
        <v>41056</v>
      </c>
      <c r="M4268" s="2" t="s">
        <v>14039</v>
      </c>
      <c r="N4268" s="3" t="s">
        <v>918</v>
      </c>
      <c r="P4268" s="3" t="s">
        <v>65</v>
      </c>
      <c r="R4268" s="3" t="s">
        <v>66</v>
      </c>
      <c r="S4268" s="4">
        <v>12</v>
      </c>
      <c r="T4268" s="4">
        <v>12</v>
      </c>
      <c r="U4268" s="5" t="s">
        <v>1086</v>
      </c>
      <c r="V4268" s="5" t="s">
        <v>1086</v>
      </c>
      <c r="W4268" s="5" t="s">
        <v>67</v>
      </c>
      <c r="X4268" s="5" t="s">
        <v>67</v>
      </c>
      <c r="Y4268" s="4">
        <v>215</v>
      </c>
      <c r="Z4268" s="4">
        <v>14</v>
      </c>
      <c r="AA4268" s="4">
        <v>19</v>
      </c>
      <c r="AB4268" s="4">
        <v>1</v>
      </c>
      <c r="AC4268" s="4">
        <v>4</v>
      </c>
      <c r="AD4268" s="4">
        <v>73</v>
      </c>
      <c r="AE4268" s="4">
        <v>76</v>
      </c>
      <c r="AF4268" s="4">
        <v>0</v>
      </c>
      <c r="AG4268" s="4">
        <v>0</v>
      </c>
      <c r="AH4268" s="4">
        <v>65</v>
      </c>
      <c r="AI4268" s="4">
        <v>67</v>
      </c>
      <c r="AJ4268" s="4">
        <v>10</v>
      </c>
      <c r="AK4268" s="4">
        <v>11</v>
      </c>
      <c r="AL4268" s="4">
        <v>38</v>
      </c>
      <c r="AM4268" s="4">
        <v>39</v>
      </c>
      <c r="AN4268" s="4">
        <v>0</v>
      </c>
      <c r="AO4268" s="4">
        <v>0</v>
      </c>
      <c r="AP4268" s="4">
        <v>11</v>
      </c>
      <c r="AQ4268" s="4">
        <v>13</v>
      </c>
      <c r="AR4268" s="3" t="s">
        <v>62</v>
      </c>
      <c r="AS4268" s="3" t="s">
        <v>62</v>
      </c>
      <c r="AT4268" s="3" t="s">
        <v>62</v>
      </c>
      <c r="AV4268" s="6" t="str">
        <f>HYPERLINK("http://mcgill.on.worldcat.org/oclc/51942734","Catalog Record")</f>
        <v>Catalog Record</v>
      </c>
      <c r="AW4268" s="6" t="str">
        <f>HYPERLINK("http://www.worldcat.org/oclc/51942734","WorldCat Record")</f>
        <v>WorldCat Record</v>
      </c>
      <c r="AX4268" s="3" t="s">
        <v>41057</v>
      </c>
      <c r="AY4268" s="3" t="s">
        <v>41058</v>
      </c>
      <c r="AZ4268" s="3" t="s">
        <v>41059</v>
      </c>
      <c r="BA4268" s="3" t="s">
        <v>41059</v>
      </c>
      <c r="BB4268" s="3" t="s">
        <v>41060</v>
      </c>
      <c r="BC4268" s="3" t="s">
        <v>142</v>
      </c>
      <c r="BD4268" s="3" t="s">
        <v>68</v>
      </c>
      <c r="BE4268" s="3" t="s">
        <v>41061</v>
      </c>
      <c r="BF4268" s="3" t="s">
        <v>41060</v>
      </c>
      <c r="BG4268" s="3" t="s">
        <v>41062</v>
      </c>
    </row>
    <row r="4269" spans="1:59" ht="57" x14ac:dyDescent="0.45">
      <c r="A4269" s="2" t="s">
        <v>59</v>
      </c>
      <c r="B4269" s="2" t="s">
        <v>60</v>
      </c>
      <c r="C4269" s="2" t="s">
        <v>41063</v>
      </c>
      <c r="D4269" s="2" t="s">
        <v>41064</v>
      </c>
      <c r="E4269" s="2" t="s">
        <v>41065</v>
      </c>
      <c r="G4269" s="3" t="s">
        <v>62</v>
      </c>
      <c r="I4269" s="3" t="s">
        <v>62</v>
      </c>
      <c r="J4269" s="3" t="s">
        <v>62</v>
      </c>
      <c r="K4269" s="3" t="s">
        <v>63</v>
      </c>
      <c r="L4269" s="2" t="s">
        <v>41066</v>
      </c>
      <c r="M4269" s="2" t="s">
        <v>41067</v>
      </c>
      <c r="N4269" s="3" t="s">
        <v>1059</v>
      </c>
      <c r="P4269" s="3" t="s">
        <v>65</v>
      </c>
      <c r="R4269" s="3" t="s">
        <v>66</v>
      </c>
      <c r="S4269" s="4">
        <v>15</v>
      </c>
      <c r="T4269" s="4">
        <v>15</v>
      </c>
      <c r="U4269" s="5" t="s">
        <v>3596</v>
      </c>
      <c r="V4269" s="5" t="s">
        <v>3596</v>
      </c>
      <c r="W4269" s="5" t="s">
        <v>67</v>
      </c>
      <c r="X4269" s="5" t="s">
        <v>67</v>
      </c>
      <c r="Y4269" s="4">
        <v>235</v>
      </c>
      <c r="Z4269" s="4">
        <v>26</v>
      </c>
      <c r="AA4269" s="4">
        <v>32</v>
      </c>
      <c r="AB4269" s="4">
        <v>2</v>
      </c>
      <c r="AC4269" s="4">
        <v>7</v>
      </c>
      <c r="AD4269" s="4">
        <v>69</v>
      </c>
      <c r="AE4269" s="4">
        <v>74</v>
      </c>
      <c r="AF4269" s="4">
        <v>1</v>
      </c>
      <c r="AG4269" s="4">
        <v>3</v>
      </c>
      <c r="AH4269" s="4">
        <v>56</v>
      </c>
      <c r="AI4269" s="4">
        <v>59</v>
      </c>
      <c r="AJ4269" s="4">
        <v>16</v>
      </c>
      <c r="AK4269" s="4">
        <v>18</v>
      </c>
      <c r="AL4269" s="4">
        <v>31</v>
      </c>
      <c r="AM4269" s="4">
        <v>31</v>
      </c>
      <c r="AN4269" s="4">
        <v>0</v>
      </c>
      <c r="AO4269" s="4">
        <v>0</v>
      </c>
      <c r="AP4269" s="4">
        <v>22</v>
      </c>
      <c r="AQ4269" s="4">
        <v>25</v>
      </c>
      <c r="AR4269" s="3" t="s">
        <v>62</v>
      </c>
      <c r="AS4269" s="3" t="s">
        <v>62</v>
      </c>
      <c r="AT4269" s="3" t="s">
        <v>62</v>
      </c>
      <c r="AV4269" s="6" t="str">
        <f>HYPERLINK("http://mcgill.on.worldcat.org/oclc/62225214","Catalog Record")</f>
        <v>Catalog Record</v>
      </c>
      <c r="AW4269" s="6" t="str">
        <f>HYPERLINK("http://www.worldcat.org/oclc/62225214","WorldCat Record")</f>
        <v>WorldCat Record</v>
      </c>
      <c r="AX4269" s="3" t="s">
        <v>41068</v>
      </c>
      <c r="AY4269" s="3" t="s">
        <v>41069</v>
      </c>
      <c r="AZ4269" s="3" t="s">
        <v>41070</v>
      </c>
      <c r="BA4269" s="3" t="s">
        <v>41070</v>
      </c>
      <c r="BB4269" s="3" t="s">
        <v>41071</v>
      </c>
      <c r="BC4269" s="3" t="s">
        <v>142</v>
      </c>
      <c r="BD4269" s="3" t="s">
        <v>68</v>
      </c>
      <c r="BE4269" s="3" t="s">
        <v>41072</v>
      </c>
      <c r="BF4269" s="3" t="s">
        <v>41071</v>
      </c>
      <c r="BG4269" s="3" t="s">
        <v>41073</v>
      </c>
    </row>
    <row r="4270" spans="1:59" ht="71.25" x14ac:dyDescent="0.45">
      <c r="A4270" s="2" t="s">
        <v>59</v>
      </c>
      <c r="B4270" s="2" t="s">
        <v>60</v>
      </c>
      <c r="C4270" s="2" t="s">
        <v>41074</v>
      </c>
      <c r="D4270" s="2" t="s">
        <v>41075</v>
      </c>
      <c r="E4270" s="2" t="s">
        <v>41076</v>
      </c>
      <c r="G4270" s="3" t="s">
        <v>62</v>
      </c>
      <c r="I4270" s="3" t="s">
        <v>62</v>
      </c>
      <c r="J4270" s="3" t="s">
        <v>62</v>
      </c>
      <c r="K4270" s="3" t="s">
        <v>63</v>
      </c>
      <c r="L4270" s="2" t="s">
        <v>41077</v>
      </c>
      <c r="M4270" s="2" t="s">
        <v>1760</v>
      </c>
      <c r="N4270" s="3" t="s">
        <v>894</v>
      </c>
      <c r="P4270" s="3" t="s">
        <v>65</v>
      </c>
      <c r="Q4270" s="2" t="s">
        <v>41078</v>
      </c>
      <c r="R4270" s="3" t="s">
        <v>66</v>
      </c>
      <c r="S4270" s="4">
        <v>7</v>
      </c>
      <c r="T4270" s="4">
        <v>7</v>
      </c>
      <c r="U4270" s="5" t="s">
        <v>18242</v>
      </c>
      <c r="V4270" s="5" t="s">
        <v>18242</v>
      </c>
      <c r="W4270" s="5" t="s">
        <v>67</v>
      </c>
      <c r="X4270" s="5" t="s">
        <v>67</v>
      </c>
      <c r="Y4270" s="4">
        <v>178</v>
      </c>
      <c r="Z4270" s="4">
        <v>19</v>
      </c>
      <c r="AA4270" s="4">
        <v>87</v>
      </c>
      <c r="AB4270" s="4">
        <v>2</v>
      </c>
      <c r="AC4270" s="4">
        <v>14</v>
      </c>
      <c r="AD4270" s="4">
        <v>76</v>
      </c>
      <c r="AE4270" s="4">
        <v>132</v>
      </c>
      <c r="AF4270" s="4">
        <v>1</v>
      </c>
      <c r="AG4270" s="4">
        <v>8</v>
      </c>
      <c r="AH4270" s="4">
        <v>68</v>
      </c>
      <c r="AI4270" s="4">
        <v>95</v>
      </c>
      <c r="AJ4270" s="4">
        <v>13</v>
      </c>
      <c r="AK4270" s="4">
        <v>25</v>
      </c>
      <c r="AL4270" s="4">
        <v>39</v>
      </c>
      <c r="AM4270" s="4">
        <v>52</v>
      </c>
      <c r="AN4270" s="4">
        <v>0</v>
      </c>
      <c r="AO4270" s="4">
        <v>0</v>
      </c>
      <c r="AP4270" s="4">
        <v>15</v>
      </c>
      <c r="AQ4270" s="4">
        <v>46</v>
      </c>
      <c r="AR4270" s="3" t="s">
        <v>62</v>
      </c>
      <c r="AS4270" s="3" t="s">
        <v>62</v>
      </c>
      <c r="AT4270" s="3" t="s">
        <v>62</v>
      </c>
      <c r="AV4270" s="6" t="str">
        <f>HYPERLINK("http://mcgill.on.worldcat.org/oclc/150363777","Catalog Record")</f>
        <v>Catalog Record</v>
      </c>
      <c r="AW4270" s="6" t="str">
        <f>HYPERLINK("http://www.worldcat.org/oclc/150363777","WorldCat Record")</f>
        <v>WorldCat Record</v>
      </c>
      <c r="AX4270" s="3" t="s">
        <v>41079</v>
      </c>
      <c r="AY4270" s="3" t="s">
        <v>41080</v>
      </c>
      <c r="AZ4270" s="3" t="s">
        <v>41081</v>
      </c>
      <c r="BA4270" s="3" t="s">
        <v>41081</v>
      </c>
      <c r="BB4270" s="3" t="s">
        <v>41082</v>
      </c>
      <c r="BC4270" s="3" t="s">
        <v>142</v>
      </c>
      <c r="BD4270" s="3" t="s">
        <v>68</v>
      </c>
      <c r="BE4270" s="3" t="s">
        <v>41083</v>
      </c>
      <c r="BF4270" s="3" t="s">
        <v>41082</v>
      </c>
      <c r="BG4270" s="3" t="s">
        <v>41084</v>
      </c>
    </row>
    <row r="4271" spans="1:59" ht="71.25" x14ac:dyDescent="0.45">
      <c r="A4271" s="2" t="s">
        <v>59</v>
      </c>
      <c r="B4271" s="2" t="s">
        <v>60</v>
      </c>
      <c r="C4271" s="2" t="s">
        <v>41085</v>
      </c>
      <c r="D4271" s="2" t="s">
        <v>41086</v>
      </c>
      <c r="E4271" s="2" t="s">
        <v>41087</v>
      </c>
      <c r="G4271" s="3" t="s">
        <v>62</v>
      </c>
      <c r="I4271" s="3" t="s">
        <v>62</v>
      </c>
      <c r="J4271" s="3" t="s">
        <v>62</v>
      </c>
      <c r="K4271" s="3" t="s">
        <v>63</v>
      </c>
      <c r="L4271" s="2" t="s">
        <v>41088</v>
      </c>
      <c r="M4271" s="2" t="s">
        <v>31234</v>
      </c>
      <c r="N4271" s="3" t="s">
        <v>958</v>
      </c>
      <c r="P4271" s="3" t="s">
        <v>65</v>
      </c>
      <c r="Q4271" s="2" t="s">
        <v>41089</v>
      </c>
      <c r="R4271" s="3" t="s">
        <v>66</v>
      </c>
      <c r="S4271" s="4">
        <v>33</v>
      </c>
      <c r="T4271" s="4">
        <v>33</v>
      </c>
      <c r="U4271" s="5" t="s">
        <v>17714</v>
      </c>
      <c r="V4271" s="5" t="s">
        <v>17714</v>
      </c>
      <c r="W4271" s="5" t="s">
        <v>67</v>
      </c>
      <c r="X4271" s="5" t="s">
        <v>67</v>
      </c>
      <c r="Y4271" s="4">
        <v>402</v>
      </c>
      <c r="Z4271" s="4">
        <v>26</v>
      </c>
      <c r="AA4271" s="4">
        <v>65</v>
      </c>
      <c r="AB4271" s="4">
        <v>2</v>
      </c>
      <c r="AC4271" s="4">
        <v>17</v>
      </c>
      <c r="AD4271" s="4">
        <v>113</v>
      </c>
      <c r="AE4271" s="4">
        <v>143</v>
      </c>
      <c r="AF4271" s="4">
        <v>1</v>
      </c>
      <c r="AG4271" s="4">
        <v>8</v>
      </c>
      <c r="AH4271" s="4">
        <v>99</v>
      </c>
      <c r="AI4271" s="4">
        <v>103</v>
      </c>
      <c r="AJ4271" s="4">
        <v>18</v>
      </c>
      <c r="AK4271" s="4">
        <v>26</v>
      </c>
      <c r="AL4271" s="4">
        <v>55</v>
      </c>
      <c r="AM4271" s="4">
        <v>55</v>
      </c>
      <c r="AN4271" s="4">
        <v>0</v>
      </c>
      <c r="AO4271" s="4">
        <v>0</v>
      </c>
      <c r="AP4271" s="4">
        <v>21</v>
      </c>
      <c r="AQ4271" s="4">
        <v>49</v>
      </c>
      <c r="AR4271" s="3" t="s">
        <v>62</v>
      </c>
      <c r="AS4271" s="3" t="s">
        <v>62</v>
      </c>
      <c r="AT4271" s="3" t="s">
        <v>62</v>
      </c>
      <c r="AV4271" s="6" t="str">
        <f>HYPERLINK("http://mcgill.on.worldcat.org/oclc/30892691","Catalog Record")</f>
        <v>Catalog Record</v>
      </c>
      <c r="AW4271" s="6" t="str">
        <f>HYPERLINK("http://www.worldcat.org/oclc/30892691","WorldCat Record")</f>
        <v>WorldCat Record</v>
      </c>
      <c r="AX4271" s="3" t="s">
        <v>41090</v>
      </c>
      <c r="AY4271" s="3" t="s">
        <v>41091</v>
      </c>
      <c r="AZ4271" s="3" t="s">
        <v>41092</v>
      </c>
      <c r="BA4271" s="3" t="s">
        <v>41092</v>
      </c>
      <c r="BB4271" s="3" t="s">
        <v>41093</v>
      </c>
      <c r="BC4271" s="3" t="s">
        <v>142</v>
      </c>
      <c r="BD4271" s="3" t="s">
        <v>68</v>
      </c>
      <c r="BE4271" s="3" t="s">
        <v>41094</v>
      </c>
      <c r="BF4271" s="3" t="s">
        <v>41093</v>
      </c>
      <c r="BG4271" s="3" t="s">
        <v>41095</v>
      </c>
    </row>
    <row r="4272" spans="1:59" ht="71.25" x14ac:dyDescent="0.45">
      <c r="A4272" s="2" t="s">
        <v>59</v>
      </c>
      <c r="B4272" s="2" t="s">
        <v>60</v>
      </c>
      <c r="C4272" s="2" t="s">
        <v>41096</v>
      </c>
      <c r="D4272" s="2" t="s">
        <v>41097</v>
      </c>
      <c r="E4272" s="2" t="s">
        <v>41098</v>
      </c>
      <c r="G4272" s="3" t="s">
        <v>62</v>
      </c>
      <c r="I4272" s="3" t="s">
        <v>62</v>
      </c>
      <c r="J4272" s="3" t="s">
        <v>62</v>
      </c>
      <c r="K4272" s="3" t="s">
        <v>63</v>
      </c>
      <c r="L4272" s="2" t="s">
        <v>41088</v>
      </c>
      <c r="M4272" s="2" t="s">
        <v>7538</v>
      </c>
      <c r="N4272" s="3" t="s">
        <v>918</v>
      </c>
      <c r="P4272" s="3" t="s">
        <v>65</v>
      </c>
      <c r="Q4272" s="2" t="s">
        <v>41099</v>
      </c>
      <c r="R4272" s="3" t="s">
        <v>66</v>
      </c>
      <c r="S4272" s="4">
        <v>15</v>
      </c>
      <c r="T4272" s="4">
        <v>15</v>
      </c>
      <c r="U4272" s="5" t="s">
        <v>3596</v>
      </c>
      <c r="V4272" s="5" t="s">
        <v>3596</v>
      </c>
      <c r="W4272" s="5" t="s">
        <v>67</v>
      </c>
      <c r="X4272" s="5" t="s">
        <v>67</v>
      </c>
      <c r="Y4272" s="4">
        <v>472</v>
      </c>
      <c r="Z4272" s="4">
        <v>30</v>
      </c>
      <c r="AA4272" s="4">
        <v>106</v>
      </c>
      <c r="AB4272" s="4">
        <v>1</v>
      </c>
      <c r="AC4272" s="4">
        <v>17</v>
      </c>
      <c r="AD4272" s="4">
        <v>108</v>
      </c>
      <c r="AE4272" s="4">
        <v>148</v>
      </c>
      <c r="AF4272" s="4">
        <v>0</v>
      </c>
      <c r="AG4272" s="4">
        <v>8</v>
      </c>
      <c r="AH4272" s="4">
        <v>93</v>
      </c>
      <c r="AI4272" s="4">
        <v>107</v>
      </c>
      <c r="AJ4272" s="4">
        <v>15</v>
      </c>
      <c r="AK4272" s="4">
        <v>26</v>
      </c>
      <c r="AL4272" s="4">
        <v>53</v>
      </c>
      <c r="AM4272" s="4">
        <v>57</v>
      </c>
      <c r="AN4272" s="4">
        <v>0</v>
      </c>
      <c r="AO4272" s="4">
        <v>0</v>
      </c>
      <c r="AP4272" s="4">
        <v>22</v>
      </c>
      <c r="AQ4272" s="4">
        <v>51</v>
      </c>
      <c r="AR4272" s="3" t="s">
        <v>62</v>
      </c>
      <c r="AS4272" s="3" t="s">
        <v>62</v>
      </c>
      <c r="AT4272" s="3" t="s">
        <v>62</v>
      </c>
      <c r="AV4272" s="6" t="str">
        <f>HYPERLINK("http://mcgill.on.worldcat.org/oclc/51223525","Catalog Record")</f>
        <v>Catalog Record</v>
      </c>
      <c r="AW4272" s="6" t="str">
        <f>HYPERLINK("http://www.worldcat.org/oclc/51223525","WorldCat Record")</f>
        <v>WorldCat Record</v>
      </c>
      <c r="AX4272" s="3" t="s">
        <v>41100</v>
      </c>
      <c r="AY4272" s="3" t="s">
        <v>41101</v>
      </c>
      <c r="AZ4272" s="3" t="s">
        <v>41102</v>
      </c>
      <c r="BA4272" s="3" t="s">
        <v>41102</v>
      </c>
      <c r="BB4272" s="3" t="s">
        <v>41103</v>
      </c>
      <c r="BC4272" s="3" t="s">
        <v>142</v>
      </c>
      <c r="BD4272" s="3" t="s">
        <v>68</v>
      </c>
      <c r="BE4272" s="3" t="s">
        <v>41104</v>
      </c>
      <c r="BF4272" s="3" t="s">
        <v>41103</v>
      </c>
      <c r="BG4272" s="3" t="s">
        <v>41105</v>
      </c>
    </row>
    <row r="4273" spans="1:59" ht="71.25" x14ac:dyDescent="0.45">
      <c r="A4273" s="2" t="s">
        <v>59</v>
      </c>
      <c r="B4273" s="2" t="s">
        <v>60</v>
      </c>
      <c r="C4273" s="2" t="s">
        <v>41106</v>
      </c>
      <c r="D4273" s="2" t="s">
        <v>41107</v>
      </c>
      <c r="E4273" s="2" t="s">
        <v>41108</v>
      </c>
      <c r="G4273" s="3" t="s">
        <v>62</v>
      </c>
      <c r="I4273" s="3" t="s">
        <v>62</v>
      </c>
      <c r="J4273" s="3" t="s">
        <v>62</v>
      </c>
      <c r="K4273" s="3" t="s">
        <v>63</v>
      </c>
      <c r="L4273" s="2" t="s">
        <v>41088</v>
      </c>
      <c r="M4273" s="2" t="s">
        <v>8776</v>
      </c>
      <c r="N4273" s="3" t="s">
        <v>820</v>
      </c>
      <c r="P4273" s="3" t="s">
        <v>65</v>
      </c>
      <c r="R4273" s="3" t="s">
        <v>66</v>
      </c>
      <c r="S4273" s="4">
        <v>4</v>
      </c>
      <c r="T4273" s="4">
        <v>4</v>
      </c>
      <c r="U4273" s="5" t="s">
        <v>17974</v>
      </c>
      <c r="V4273" s="5" t="s">
        <v>17974</v>
      </c>
      <c r="W4273" s="5" t="s">
        <v>67</v>
      </c>
      <c r="X4273" s="5" t="s">
        <v>67</v>
      </c>
      <c r="Y4273" s="4">
        <v>402</v>
      </c>
      <c r="Z4273" s="4">
        <v>33</v>
      </c>
      <c r="AA4273" s="4">
        <v>90</v>
      </c>
      <c r="AB4273" s="4">
        <v>2</v>
      </c>
      <c r="AC4273" s="4">
        <v>14</v>
      </c>
      <c r="AD4273" s="4">
        <v>116</v>
      </c>
      <c r="AE4273" s="4">
        <v>147</v>
      </c>
      <c r="AF4273" s="4">
        <v>1</v>
      </c>
      <c r="AG4273" s="4">
        <v>8</v>
      </c>
      <c r="AH4273" s="4">
        <v>97</v>
      </c>
      <c r="AI4273" s="4">
        <v>107</v>
      </c>
      <c r="AJ4273" s="4">
        <v>19</v>
      </c>
      <c r="AK4273" s="4">
        <v>26</v>
      </c>
      <c r="AL4273" s="4">
        <v>52</v>
      </c>
      <c r="AM4273" s="4">
        <v>55</v>
      </c>
      <c r="AN4273" s="4">
        <v>0</v>
      </c>
      <c r="AO4273" s="4">
        <v>0</v>
      </c>
      <c r="AP4273" s="4">
        <v>28</v>
      </c>
      <c r="AQ4273" s="4">
        <v>50</v>
      </c>
      <c r="AR4273" s="3" t="s">
        <v>62</v>
      </c>
      <c r="AS4273" s="3" t="s">
        <v>62</v>
      </c>
      <c r="AT4273" s="3" t="s">
        <v>62</v>
      </c>
      <c r="AV4273" s="6" t="str">
        <f>HYPERLINK("http://mcgill.on.worldcat.org/oclc/227031748","Catalog Record")</f>
        <v>Catalog Record</v>
      </c>
      <c r="AW4273" s="6" t="str">
        <f>HYPERLINK("http://www.worldcat.org/oclc/227031748","WorldCat Record")</f>
        <v>WorldCat Record</v>
      </c>
      <c r="AX4273" s="3" t="s">
        <v>41109</v>
      </c>
      <c r="AY4273" s="3" t="s">
        <v>41110</v>
      </c>
      <c r="AZ4273" s="3" t="s">
        <v>41111</v>
      </c>
      <c r="BA4273" s="3" t="s">
        <v>41111</v>
      </c>
      <c r="BB4273" s="3" t="s">
        <v>41112</v>
      </c>
      <c r="BC4273" s="3" t="s">
        <v>142</v>
      </c>
      <c r="BD4273" s="3" t="s">
        <v>68</v>
      </c>
      <c r="BE4273" s="3" t="s">
        <v>41113</v>
      </c>
      <c r="BF4273" s="3" t="s">
        <v>41112</v>
      </c>
      <c r="BG4273" s="3" t="s">
        <v>41114</v>
      </c>
    </row>
    <row r="4274" spans="1:59" ht="71.25" x14ac:dyDescent="0.45">
      <c r="A4274" s="2" t="s">
        <v>59</v>
      </c>
      <c r="B4274" s="2" t="s">
        <v>60</v>
      </c>
      <c r="C4274" s="2" t="s">
        <v>41115</v>
      </c>
      <c r="D4274" s="2" t="s">
        <v>41116</v>
      </c>
      <c r="E4274" s="2" t="s">
        <v>41117</v>
      </c>
      <c r="G4274" s="3" t="s">
        <v>62</v>
      </c>
      <c r="I4274" s="3" t="s">
        <v>62</v>
      </c>
      <c r="J4274" s="3" t="s">
        <v>62</v>
      </c>
      <c r="K4274" s="3" t="s">
        <v>63</v>
      </c>
      <c r="L4274" s="2" t="s">
        <v>41088</v>
      </c>
      <c r="M4274" s="2" t="s">
        <v>6294</v>
      </c>
      <c r="N4274" s="3" t="s">
        <v>894</v>
      </c>
      <c r="P4274" s="3" t="s">
        <v>65</v>
      </c>
      <c r="R4274" s="3" t="s">
        <v>66</v>
      </c>
      <c r="S4274" s="4">
        <v>15</v>
      </c>
      <c r="T4274" s="4">
        <v>15</v>
      </c>
      <c r="U4274" s="5" t="s">
        <v>10752</v>
      </c>
      <c r="V4274" s="5" t="s">
        <v>10752</v>
      </c>
      <c r="W4274" s="5" t="s">
        <v>67</v>
      </c>
      <c r="X4274" s="5" t="s">
        <v>67</v>
      </c>
      <c r="Y4274" s="4">
        <v>233</v>
      </c>
      <c r="Z4274" s="4">
        <v>25</v>
      </c>
      <c r="AA4274" s="4">
        <v>32</v>
      </c>
      <c r="AB4274" s="4">
        <v>2</v>
      </c>
      <c r="AC4274" s="4">
        <v>7</v>
      </c>
      <c r="AD4274" s="4">
        <v>88</v>
      </c>
      <c r="AE4274" s="4">
        <v>96</v>
      </c>
      <c r="AF4274" s="4">
        <v>1</v>
      </c>
      <c r="AG4274" s="4">
        <v>3</v>
      </c>
      <c r="AH4274" s="4">
        <v>74</v>
      </c>
      <c r="AI4274" s="4">
        <v>80</v>
      </c>
      <c r="AJ4274" s="4">
        <v>15</v>
      </c>
      <c r="AK4274" s="4">
        <v>19</v>
      </c>
      <c r="AL4274" s="4">
        <v>44</v>
      </c>
      <c r="AM4274" s="4">
        <v>46</v>
      </c>
      <c r="AN4274" s="4">
        <v>0</v>
      </c>
      <c r="AO4274" s="4">
        <v>0</v>
      </c>
      <c r="AP4274" s="4">
        <v>20</v>
      </c>
      <c r="AQ4274" s="4">
        <v>24</v>
      </c>
      <c r="AR4274" s="3" t="s">
        <v>62</v>
      </c>
      <c r="AS4274" s="3" t="s">
        <v>62</v>
      </c>
      <c r="AT4274" s="3" t="s">
        <v>62</v>
      </c>
      <c r="AV4274" s="6" t="str">
        <f>HYPERLINK("http://mcgill.on.worldcat.org/oclc/500783823","Catalog Record")</f>
        <v>Catalog Record</v>
      </c>
      <c r="AW4274" s="6" t="str">
        <f>HYPERLINK("http://www.worldcat.org/oclc/500783823","WorldCat Record")</f>
        <v>WorldCat Record</v>
      </c>
      <c r="AX4274" s="3" t="s">
        <v>41118</v>
      </c>
      <c r="AY4274" s="3" t="s">
        <v>41119</v>
      </c>
      <c r="AZ4274" s="3" t="s">
        <v>41120</v>
      </c>
      <c r="BA4274" s="3" t="s">
        <v>41120</v>
      </c>
      <c r="BB4274" s="3" t="s">
        <v>41121</v>
      </c>
      <c r="BC4274" s="3" t="s">
        <v>142</v>
      </c>
      <c r="BD4274" s="3" t="s">
        <v>68</v>
      </c>
      <c r="BE4274" s="3" t="s">
        <v>41122</v>
      </c>
      <c r="BF4274" s="3" t="s">
        <v>41121</v>
      </c>
      <c r="BG4274" s="3" t="s">
        <v>41123</v>
      </c>
    </row>
    <row r="4275" spans="1:59" ht="71.25" x14ac:dyDescent="0.45">
      <c r="A4275" s="2" t="s">
        <v>59</v>
      </c>
      <c r="B4275" s="2" t="s">
        <v>60</v>
      </c>
      <c r="C4275" s="2" t="s">
        <v>41124</v>
      </c>
      <c r="D4275" s="2" t="s">
        <v>41125</v>
      </c>
      <c r="E4275" s="2" t="s">
        <v>41126</v>
      </c>
      <c r="G4275" s="3" t="s">
        <v>62</v>
      </c>
      <c r="I4275" s="3" t="s">
        <v>62</v>
      </c>
      <c r="J4275" s="3" t="s">
        <v>62</v>
      </c>
      <c r="K4275" s="3" t="s">
        <v>63</v>
      </c>
      <c r="M4275" s="2" t="s">
        <v>41127</v>
      </c>
      <c r="N4275" s="3" t="s">
        <v>5180</v>
      </c>
      <c r="P4275" s="3" t="s">
        <v>65</v>
      </c>
      <c r="R4275" s="3" t="s">
        <v>66</v>
      </c>
      <c r="S4275" s="4">
        <v>0</v>
      </c>
      <c r="T4275" s="4">
        <v>0</v>
      </c>
      <c r="W4275" s="5" t="s">
        <v>67</v>
      </c>
      <c r="X4275" s="5" t="s">
        <v>67</v>
      </c>
      <c r="Y4275" s="4">
        <v>32</v>
      </c>
      <c r="Z4275" s="4">
        <v>4</v>
      </c>
      <c r="AA4275" s="4">
        <v>6</v>
      </c>
      <c r="AB4275" s="4">
        <v>1</v>
      </c>
      <c r="AC4275" s="4">
        <v>3</v>
      </c>
      <c r="AD4275" s="4">
        <v>17</v>
      </c>
      <c r="AE4275" s="4">
        <v>18</v>
      </c>
      <c r="AF4275" s="4">
        <v>0</v>
      </c>
      <c r="AG4275" s="4">
        <v>0</v>
      </c>
      <c r="AH4275" s="4">
        <v>14</v>
      </c>
      <c r="AI4275" s="4">
        <v>15</v>
      </c>
      <c r="AJ4275" s="4">
        <v>3</v>
      </c>
      <c r="AK4275" s="4">
        <v>3</v>
      </c>
      <c r="AL4275" s="4">
        <v>13</v>
      </c>
      <c r="AM4275" s="4">
        <v>14</v>
      </c>
      <c r="AN4275" s="4">
        <v>0</v>
      </c>
      <c r="AO4275" s="4">
        <v>0</v>
      </c>
      <c r="AP4275" s="4">
        <v>3</v>
      </c>
      <c r="AQ4275" s="4">
        <v>3</v>
      </c>
      <c r="AR4275" s="3" t="s">
        <v>62</v>
      </c>
      <c r="AS4275" s="3" t="s">
        <v>62</v>
      </c>
      <c r="AT4275" s="3" t="s">
        <v>62</v>
      </c>
      <c r="AV4275" s="6" t="str">
        <f>HYPERLINK("http://mcgill.on.worldcat.org/oclc/1035513121","Catalog Record")</f>
        <v>Catalog Record</v>
      </c>
      <c r="AW4275" s="6" t="str">
        <f>HYPERLINK("http://www.worldcat.org/oclc/1035513121","WorldCat Record")</f>
        <v>WorldCat Record</v>
      </c>
      <c r="AX4275" s="3" t="s">
        <v>41128</v>
      </c>
      <c r="AY4275" s="3" t="s">
        <v>41129</v>
      </c>
      <c r="AZ4275" s="3" t="s">
        <v>41130</v>
      </c>
      <c r="BA4275" s="3" t="s">
        <v>41130</v>
      </c>
      <c r="BB4275" s="3" t="s">
        <v>41131</v>
      </c>
      <c r="BC4275" s="3" t="s">
        <v>142</v>
      </c>
      <c r="BD4275" s="3" t="s">
        <v>68</v>
      </c>
      <c r="BE4275" s="3" t="s">
        <v>41132</v>
      </c>
      <c r="BF4275" s="3" t="s">
        <v>41131</v>
      </c>
      <c r="BG4275" s="3" t="s">
        <v>41133</v>
      </c>
    </row>
    <row r="4276" spans="1:59" ht="71.25" x14ac:dyDescent="0.45">
      <c r="A4276" s="2" t="s">
        <v>59</v>
      </c>
      <c r="B4276" s="2" t="s">
        <v>60</v>
      </c>
      <c r="C4276" s="2" t="s">
        <v>41134</v>
      </c>
      <c r="D4276" s="2" t="s">
        <v>41135</v>
      </c>
      <c r="E4276" s="2" t="s">
        <v>41136</v>
      </c>
      <c r="G4276" s="3" t="s">
        <v>62</v>
      </c>
      <c r="I4276" s="3" t="s">
        <v>62</v>
      </c>
      <c r="J4276" s="3" t="s">
        <v>62</v>
      </c>
      <c r="K4276" s="3" t="s">
        <v>63</v>
      </c>
      <c r="L4276" s="2" t="s">
        <v>41137</v>
      </c>
      <c r="M4276" s="2" t="s">
        <v>41138</v>
      </c>
      <c r="N4276" s="3" t="s">
        <v>945</v>
      </c>
      <c r="P4276" s="3" t="s">
        <v>65</v>
      </c>
      <c r="R4276" s="3" t="s">
        <v>66</v>
      </c>
      <c r="S4276" s="4">
        <v>6</v>
      </c>
      <c r="T4276" s="4">
        <v>6</v>
      </c>
      <c r="U4276" s="5" t="s">
        <v>3424</v>
      </c>
      <c r="V4276" s="5" t="s">
        <v>3424</v>
      </c>
      <c r="W4276" s="5" t="s">
        <v>67</v>
      </c>
      <c r="X4276" s="5" t="s">
        <v>67</v>
      </c>
      <c r="Y4276" s="4">
        <v>15</v>
      </c>
      <c r="Z4276" s="4">
        <v>1</v>
      </c>
      <c r="AA4276" s="4">
        <v>1</v>
      </c>
      <c r="AB4276" s="4">
        <v>1</v>
      </c>
      <c r="AC4276" s="4">
        <v>1</v>
      </c>
      <c r="AD4276" s="4">
        <v>3</v>
      </c>
      <c r="AE4276" s="4">
        <v>3</v>
      </c>
      <c r="AF4276" s="4">
        <v>0</v>
      </c>
      <c r="AG4276" s="4">
        <v>0</v>
      </c>
      <c r="AH4276" s="4">
        <v>3</v>
      </c>
      <c r="AI4276" s="4">
        <v>3</v>
      </c>
      <c r="AJ4276" s="4">
        <v>0</v>
      </c>
      <c r="AK4276" s="4">
        <v>0</v>
      </c>
      <c r="AL4276" s="4">
        <v>2</v>
      </c>
      <c r="AM4276" s="4">
        <v>2</v>
      </c>
      <c r="AN4276" s="4">
        <v>0</v>
      </c>
      <c r="AO4276" s="4">
        <v>0</v>
      </c>
      <c r="AP4276" s="4">
        <v>0</v>
      </c>
      <c r="AQ4276" s="4">
        <v>0</v>
      </c>
      <c r="AR4276" s="3" t="s">
        <v>62</v>
      </c>
      <c r="AS4276" s="3" t="s">
        <v>62</v>
      </c>
      <c r="AT4276" s="3" t="s">
        <v>61</v>
      </c>
      <c r="AU4276" s="6" t="str">
        <f>HYPERLINK("http://catalog.hathitrust.org/Record/005635215","HathiTrust Record")</f>
        <v>HathiTrust Record</v>
      </c>
      <c r="AV4276" s="6" t="str">
        <f>HYPERLINK("http://mcgill.on.worldcat.org/oclc/122283887","Catalog Record")</f>
        <v>Catalog Record</v>
      </c>
      <c r="AW4276" s="6" t="str">
        <f>HYPERLINK("http://www.worldcat.org/oclc/122283887","WorldCat Record")</f>
        <v>WorldCat Record</v>
      </c>
      <c r="AX4276" s="3" t="s">
        <v>41139</v>
      </c>
      <c r="AY4276" s="3" t="s">
        <v>41140</v>
      </c>
      <c r="AZ4276" s="3" t="s">
        <v>41141</v>
      </c>
      <c r="BA4276" s="3" t="s">
        <v>41141</v>
      </c>
      <c r="BB4276" s="3" t="s">
        <v>41142</v>
      </c>
      <c r="BC4276" s="3" t="s">
        <v>142</v>
      </c>
      <c r="BD4276" s="3" t="s">
        <v>68</v>
      </c>
      <c r="BE4276" s="3" t="s">
        <v>41143</v>
      </c>
      <c r="BF4276" s="3" t="s">
        <v>41142</v>
      </c>
      <c r="BG4276" s="3" t="s">
        <v>41144</v>
      </c>
    </row>
    <row r="4277" spans="1:59" ht="71.25" x14ac:dyDescent="0.45">
      <c r="A4277" s="2" t="s">
        <v>59</v>
      </c>
      <c r="B4277" s="2" t="s">
        <v>60</v>
      </c>
      <c r="C4277" s="2" t="s">
        <v>41145</v>
      </c>
      <c r="D4277" s="2" t="s">
        <v>41146</v>
      </c>
      <c r="E4277" s="2" t="s">
        <v>41147</v>
      </c>
      <c r="G4277" s="3" t="s">
        <v>62</v>
      </c>
      <c r="I4277" s="3" t="s">
        <v>62</v>
      </c>
      <c r="J4277" s="3" t="s">
        <v>62</v>
      </c>
      <c r="K4277" s="3" t="s">
        <v>63</v>
      </c>
      <c r="L4277" s="2" t="s">
        <v>41148</v>
      </c>
      <c r="M4277" s="2" t="s">
        <v>41149</v>
      </c>
      <c r="N4277" s="3" t="s">
        <v>149</v>
      </c>
      <c r="P4277" s="3" t="s">
        <v>65</v>
      </c>
      <c r="Q4277" s="2" t="s">
        <v>41150</v>
      </c>
      <c r="R4277" s="3" t="s">
        <v>66</v>
      </c>
      <c r="S4277" s="4">
        <v>6</v>
      </c>
      <c r="T4277" s="4">
        <v>6</v>
      </c>
      <c r="U4277" s="5" t="s">
        <v>3596</v>
      </c>
      <c r="V4277" s="5" t="s">
        <v>3596</v>
      </c>
      <c r="W4277" s="5" t="s">
        <v>67</v>
      </c>
      <c r="X4277" s="5" t="s">
        <v>67</v>
      </c>
      <c r="Y4277" s="4">
        <v>132</v>
      </c>
      <c r="Z4277" s="4">
        <v>15</v>
      </c>
      <c r="AA4277" s="4">
        <v>100</v>
      </c>
      <c r="AB4277" s="4">
        <v>2</v>
      </c>
      <c r="AC4277" s="4">
        <v>17</v>
      </c>
      <c r="AD4277" s="4">
        <v>59</v>
      </c>
      <c r="AE4277" s="4">
        <v>126</v>
      </c>
      <c r="AF4277" s="4">
        <v>1</v>
      </c>
      <c r="AG4277" s="4">
        <v>8</v>
      </c>
      <c r="AH4277" s="4">
        <v>54</v>
      </c>
      <c r="AI4277" s="4">
        <v>91</v>
      </c>
      <c r="AJ4277" s="4">
        <v>11</v>
      </c>
      <c r="AK4277" s="4">
        <v>23</v>
      </c>
      <c r="AL4277" s="4">
        <v>35</v>
      </c>
      <c r="AM4277" s="4">
        <v>50</v>
      </c>
      <c r="AN4277" s="4">
        <v>0</v>
      </c>
      <c r="AO4277" s="4">
        <v>0</v>
      </c>
      <c r="AP4277" s="4">
        <v>11</v>
      </c>
      <c r="AQ4277" s="4">
        <v>44</v>
      </c>
      <c r="AR4277" s="3" t="s">
        <v>62</v>
      </c>
      <c r="AS4277" s="3" t="s">
        <v>62</v>
      </c>
      <c r="AT4277" s="3" t="s">
        <v>62</v>
      </c>
      <c r="AV4277" s="6" t="str">
        <f>HYPERLINK("http://mcgill.on.worldcat.org/oclc/660161974","Catalog Record")</f>
        <v>Catalog Record</v>
      </c>
      <c r="AW4277" s="6" t="str">
        <f>HYPERLINK("http://www.worldcat.org/oclc/660161974","WorldCat Record")</f>
        <v>WorldCat Record</v>
      </c>
      <c r="AX4277" s="3" t="s">
        <v>41151</v>
      </c>
      <c r="AY4277" s="3" t="s">
        <v>41152</v>
      </c>
      <c r="AZ4277" s="3" t="s">
        <v>41153</v>
      </c>
      <c r="BA4277" s="3" t="s">
        <v>41153</v>
      </c>
      <c r="BB4277" s="3" t="s">
        <v>41154</v>
      </c>
      <c r="BC4277" s="3" t="s">
        <v>142</v>
      </c>
      <c r="BD4277" s="3" t="s">
        <v>68</v>
      </c>
      <c r="BE4277" s="3" t="s">
        <v>41155</v>
      </c>
      <c r="BF4277" s="3" t="s">
        <v>41154</v>
      </c>
      <c r="BG4277" s="3" t="s">
        <v>41156</v>
      </c>
    </row>
    <row r="4278" spans="1:59" ht="57" x14ac:dyDescent="0.45">
      <c r="A4278" s="2" t="s">
        <v>59</v>
      </c>
      <c r="B4278" s="2" t="s">
        <v>60</v>
      </c>
      <c r="C4278" s="2" t="s">
        <v>41157</v>
      </c>
      <c r="D4278" s="2" t="s">
        <v>41158</v>
      </c>
      <c r="E4278" s="2" t="s">
        <v>41159</v>
      </c>
      <c r="G4278" s="3" t="s">
        <v>62</v>
      </c>
      <c r="I4278" s="3" t="s">
        <v>62</v>
      </c>
      <c r="J4278" s="3" t="s">
        <v>62</v>
      </c>
      <c r="K4278" s="3" t="s">
        <v>63</v>
      </c>
      <c r="L4278" s="2" t="s">
        <v>41160</v>
      </c>
      <c r="M4278" s="2" t="s">
        <v>41161</v>
      </c>
      <c r="N4278" s="3" t="s">
        <v>181</v>
      </c>
      <c r="P4278" s="3" t="s">
        <v>65</v>
      </c>
      <c r="Q4278" s="2" t="s">
        <v>41162</v>
      </c>
      <c r="R4278" s="3" t="s">
        <v>66</v>
      </c>
      <c r="S4278" s="4">
        <v>1</v>
      </c>
      <c r="T4278" s="4">
        <v>1</v>
      </c>
      <c r="U4278" s="5" t="s">
        <v>4748</v>
      </c>
      <c r="V4278" s="5" t="s">
        <v>4748</v>
      </c>
      <c r="W4278" s="5" t="s">
        <v>67</v>
      </c>
      <c r="X4278" s="5" t="s">
        <v>67</v>
      </c>
      <c r="Y4278" s="4">
        <v>65</v>
      </c>
      <c r="Z4278" s="4">
        <v>5</v>
      </c>
      <c r="AA4278" s="4">
        <v>5</v>
      </c>
      <c r="AB4278" s="4">
        <v>1</v>
      </c>
      <c r="AC4278" s="4">
        <v>1</v>
      </c>
      <c r="AD4278" s="4">
        <v>24</v>
      </c>
      <c r="AE4278" s="4">
        <v>25</v>
      </c>
      <c r="AF4278" s="4">
        <v>0</v>
      </c>
      <c r="AG4278" s="4">
        <v>0</v>
      </c>
      <c r="AH4278" s="4">
        <v>22</v>
      </c>
      <c r="AI4278" s="4">
        <v>23</v>
      </c>
      <c r="AJ4278" s="4">
        <v>2</v>
      </c>
      <c r="AK4278" s="4">
        <v>2</v>
      </c>
      <c r="AL4278" s="4">
        <v>19</v>
      </c>
      <c r="AM4278" s="4">
        <v>20</v>
      </c>
      <c r="AN4278" s="4">
        <v>0</v>
      </c>
      <c r="AO4278" s="4">
        <v>0</v>
      </c>
      <c r="AP4278" s="4">
        <v>3</v>
      </c>
      <c r="AQ4278" s="4">
        <v>3</v>
      </c>
      <c r="AR4278" s="3" t="s">
        <v>62</v>
      </c>
      <c r="AS4278" s="3" t="s">
        <v>62</v>
      </c>
      <c r="AT4278" s="3" t="s">
        <v>62</v>
      </c>
      <c r="AV4278" s="6" t="str">
        <f>HYPERLINK("http://mcgill.on.worldcat.org/oclc/951210441","Catalog Record")</f>
        <v>Catalog Record</v>
      </c>
      <c r="AW4278" s="6" t="str">
        <f>HYPERLINK("http://www.worldcat.org/oclc/951210441","WorldCat Record")</f>
        <v>WorldCat Record</v>
      </c>
      <c r="AX4278" s="3" t="s">
        <v>41163</v>
      </c>
      <c r="AY4278" s="3" t="s">
        <v>41164</v>
      </c>
      <c r="AZ4278" s="3" t="s">
        <v>41165</v>
      </c>
      <c r="BA4278" s="3" t="s">
        <v>41165</v>
      </c>
      <c r="BB4278" s="3" t="s">
        <v>41166</v>
      </c>
      <c r="BC4278" s="3" t="s">
        <v>142</v>
      </c>
      <c r="BD4278" s="3" t="s">
        <v>68</v>
      </c>
      <c r="BE4278" s="3" t="s">
        <v>41167</v>
      </c>
      <c r="BF4278" s="3" t="s">
        <v>41166</v>
      </c>
      <c r="BG4278" s="3" t="s">
        <v>41168</v>
      </c>
    </row>
    <row r="4279" spans="1:59" ht="57" x14ac:dyDescent="0.45">
      <c r="A4279" s="2" t="s">
        <v>59</v>
      </c>
      <c r="B4279" s="2" t="s">
        <v>60</v>
      </c>
      <c r="C4279" s="2" t="s">
        <v>41169</v>
      </c>
      <c r="D4279" s="2" t="s">
        <v>41170</v>
      </c>
      <c r="E4279" s="2" t="s">
        <v>41171</v>
      </c>
      <c r="G4279" s="3" t="s">
        <v>62</v>
      </c>
      <c r="I4279" s="3" t="s">
        <v>62</v>
      </c>
      <c r="J4279" s="3" t="s">
        <v>62</v>
      </c>
      <c r="K4279" s="3" t="s">
        <v>63</v>
      </c>
      <c r="L4279" s="2" t="s">
        <v>41172</v>
      </c>
      <c r="M4279" s="2" t="s">
        <v>41173</v>
      </c>
      <c r="N4279" s="3" t="s">
        <v>2107</v>
      </c>
      <c r="O4279" s="2" t="s">
        <v>12448</v>
      </c>
      <c r="P4279" s="3" t="s">
        <v>114</v>
      </c>
      <c r="Q4279" s="2" t="s">
        <v>41174</v>
      </c>
      <c r="R4279" s="3" t="s">
        <v>66</v>
      </c>
      <c r="S4279" s="4">
        <v>14</v>
      </c>
      <c r="T4279" s="4">
        <v>14</v>
      </c>
      <c r="U4279" s="5" t="s">
        <v>23332</v>
      </c>
      <c r="V4279" s="5" t="s">
        <v>23332</v>
      </c>
      <c r="W4279" s="5" t="s">
        <v>67</v>
      </c>
      <c r="X4279" s="5" t="s">
        <v>67</v>
      </c>
      <c r="Y4279" s="4">
        <v>211</v>
      </c>
      <c r="Z4279" s="4">
        <v>11</v>
      </c>
      <c r="AA4279" s="4">
        <v>11</v>
      </c>
      <c r="AB4279" s="4">
        <v>1</v>
      </c>
      <c r="AC4279" s="4">
        <v>1</v>
      </c>
      <c r="AD4279" s="4">
        <v>65</v>
      </c>
      <c r="AE4279" s="4">
        <v>65</v>
      </c>
      <c r="AF4279" s="4">
        <v>0</v>
      </c>
      <c r="AG4279" s="4">
        <v>0</v>
      </c>
      <c r="AH4279" s="4">
        <v>59</v>
      </c>
      <c r="AI4279" s="4">
        <v>59</v>
      </c>
      <c r="AJ4279" s="4">
        <v>8</v>
      </c>
      <c r="AK4279" s="4">
        <v>8</v>
      </c>
      <c r="AL4279" s="4">
        <v>41</v>
      </c>
      <c r="AM4279" s="4">
        <v>41</v>
      </c>
      <c r="AN4279" s="4">
        <v>0</v>
      </c>
      <c r="AO4279" s="4">
        <v>0</v>
      </c>
      <c r="AP4279" s="4">
        <v>9</v>
      </c>
      <c r="AQ4279" s="4">
        <v>9</v>
      </c>
      <c r="AR4279" s="3" t="s">
        <v>62</v>
      </c>
      <c r="AS4279" s="3" t="s">
        <v>62</v>
      </c>
      <c r="AT4279" s="3" t="s">
        <v>61</v>
      </c>
      <c r="AU4279" s="6" t="str">
        <f>HYPERLINK("http://catalog.hathitrust.org/Record/000579169","HathiTrust Record")</f>
        <v>HathiTrust Record</v>
      </c>
      <c r="AV4279" s="6" t="str">
        <f>HYPERLINK("http://mcgill.on.worldcat.org/oclc/11005180","Catalog Record")</f>
        <v>Catalog Record</v>
      </c>
      <c r="AW4279" s="6" t="str">
        <f>HYPERLINK("http://www.worldcat.org/oclc/11005180","WorldCat Record")</f>
        <v>WorldCat Record</v>
      </c>
      <c r="AX4279" s="3" t="s">
        <v>41175</v>
      </c>
      <c r="AY4279" s="3" t="s">
        <v>41176</v>
      </c>
      <c r="AZ4279" s="3" t="s">
        <v>41177</v>
      </c>
      <c r="BA4279" s="3" t="s">
        <v>41177</v>
      </c>
      <c r="BB4279" s="3" t="s">
        <v>41178</v>
      </c>
      <c r="BC4279" s="3" t="s">
        <v>142</v>
      </c>
      <c r="BD4279" s="3" t="s">
        <v>68</v>
      </c>
      <c r="BE4279" s="3" t="s">
        <v>41179</v>
      </c>
      <c r="BF4279" s="3" t="s">
        <v>41178</v>
      </c>
      <c r="BG4279" s="3" t="s">
        <v>41180</v>
      </c>
    </row>
    <row r="4280" spans="1:59" ht="57" x14ac:dyDescent="0.45">
      <c r="A4280" s="2" t="s">
        <v>59</v>
      </c>
      <c r="B4280" s="2" t="s">
        <v>60</v>
      </c>
      <c r="C4280" s="2" t="s">
        <v>41181</v>
      </c>
      <c r="D4280" s="2" t="s">
        <v>41182</v>
      </c>
      <c r="E4280" s="2" t="s">
        <v>41183</v>
      </c>
      <c r="G4280" s="3" t="s">
        <v>62</v>
      </c>
      <c r="I4280" s="3" t="s">
        <v>62</v>
      </c>
      <c r="J4280" s="3" t="s">
        <v>62</v>
      </c>
      <c r="K4280" s="3" t="s">
        <v>63</v>
      </c>
      <c r="M4280" s="2" t="s">
        <v>9401</v>
      </c>
      <c r="N4280" s="3" t="s">
        <v>1478</v>
      </c>
      <c r="P4280" s="3" t="s">
        <v>65</v>
      </c>
      <c r="Q4280" s="2" t="s">
        <v>39398</v>
      </c>
      <c r="R4280" s="3" t="s">
        <v>66</v>
      </c>
      <c r="S4280" s="4">
        <v>33</v>
      </c>
      <c r="T4280" s="4">
        <v>33</v>
      </c>
      <c r="U4280" s="5" t="s">
        <v>4594</v>
      </c>
      <c r="V4280" s="5" t="s">
        <v>4594</v>
      </c>
      <c r="W4280" s="5" t="s">
        <v>67</v>
      </c>
      <c r="X4280" s="5" t="s">
        <v>67</v>
      </c>
      <c r="Y4280" s="4">
        <v>326</v>
      </c>
      <c r="Z4280" s="4">
        <v>24</v>
      </c>
      <c r="AA4280" s="4">
        <v>27</v>
      </c>
      <c r="AB4280" s="4">
        <v>2</v>
      </c>
      <c r="AC4280" s="4">
        <v>5</v>
      </c>
      <c r="AD4280" s="4">
        <v>92</v>
      </c>
      <c r="AE4280" s="4">
        <v>92</v>
      </c>
      <c r="AF4280" s="4">
        <v>1</v>
      </c>
      <c r="AG4280" s="4">
        <v>1</v>
      </c>
      <c r="AH4280" s="4">
        <v>78</v>
      </c>
      <c r="AI4280" s="4">
        <v>78</v>
      </c>
      <c r="AJ4280" s="4">
        <v>16</v>
      </c>
      <c r="AK4280" s="4">
        <v>16</v>
      </c>
      <c r="AL4280" s="4">
        <v>47</v>
      </c>
      <c r="AM4280" s="4">
        <v>47</v>
      </c>
      <c r="AN4280" s="4">
        <v>0</v>
      </c>
      <c r="AO4280" s="4">
        <v>0</v>
      </c>
      <c r="AP4280" s="4">
        <v>20</v>
      </c>
      <c r="AQ4280" s="4">
        <v>20</v>
      </c>
      <c r="AR4280" s="3" t="s">
        <v>62</v>
      </c>
      <c r="AS4280" s="3" t="s">
        <v>62</v>
      </c>
      <c r="AT4280" s="3" t="s">
        <v>61</v>
      </c>
      <c r="AU4280" s="6" t="str">
        <f>HYPERLINK("http://catalog.hathitrust.org/Record/003124572","HathiTrust Record")</f>
        <v>HathiTrust Record</v>
      </c>
      <c r="AV4280" s="6" t="str">
        <f>HYPERLINK("http://mcgill.on.worldcat.org/oclc/34772088","Catalog Record")</f>
        <v>Catalog Record</v>
      </c>
      <c r="AW4280" s="6" t="str">
        <f>HYPERLINK("http://www.worldcat.org/oclc/34772088","WorldCat Record")</f>
        <v>WorldCat Record</v>
      </c>
      <c r="AX4280" s="3" t="s">
        <v>41184</v>
      </c>
      <c r="AY4280" s="3" t="s">
        <v>41185</v>
      </c>
      <c r="AZ4280" s="3" t="s">
        <v>41186</v>
      </c>
      <c r="BA4280" s="3" t="s">
        <v>41186</v>
      </c>
      <c r="BB4280" s="3" t="s">
        <v>41187</v>
      </c>
      <c r="BC4280" s="3" t="s">
        <v>142</v>
      </c>
      <c r="BD4280" s="3" t="s">
        <v>68</v>
      </c>
      <c r="BE4280" s="3" t="s">
        <v>41188</v>
      </c>
      <c r="BF4280" s="3" t="s">
        <v>41187</v>
      </c>
      <c r="BG4280" s="3" t="s">
        <v>41189</v>
      </c>
    </row>
    <row r="4281" spans="1:59" ht="57" x14ac:dyDescent="0.45">
      <c r="A4281" s="2" t="s">
        <v>59</v>
      </c>
      <c r="B4281" s="2" t="s">
        <v>60</v>
      </c>
      <c r="C4281" s="2" t="s">
        <v>41190</v>
      </c>
      <c r="D4281" s="2" t="s">
        <v>41191</v>
      </c>
      <c r="E4281" s="2" t="s">
        <v>41192</v>
      </c>
      <c r="G4281" s="3" t="s">
        <v>62</v>
      </c>
      <c r="I4281" s="3" t="s">
        <v>62</v>
      </c>
      <c r="J4281" s="3" t="s">
        <v>62</v>
      </c>
      <c r="K4281" s="3" t="s">
        <v>63</v>
      </c>
      <c r="L4281" s="2" t="s">
        <v>4035</v>
      </c>
      <c r="M4281" s="2" t="s">
        <v>5025</v>
      </c>
      <c r="N4281" s="3" t="s">
        <v>167</v>
      </c>
      <c r="P4281" s="3" t="s">
        <v>65</v>
      </c>
      <c r="R4281" s="3" t="s">
        <v>66</v>
      </c>
      <c r="S4281" s="4">
        <v>28</v>
      </c>
      <c r="T4281" s="4">
        <v>28</v>
      </c>
      <c r="U4281" s="5" t="s">
        <v>372</v>
      </c>
      <c r="V4281" s="5" t="s">
        <v>372</v>
      </c>
      <c r="W4281" s="5" t="s">
        <v>67</v>
      </c>
      <c r="X4281" s="5" t="s">
        <v>67</v>
      </c>
      <c r="Y4281" s="4">
        <v>482</v>
      </c>
      <c r="Z4281" s="4">
        <v>23</v>
      </c>
      <c r="AA4281" s="4">
        <v>32</v>
      </c>
      <c r="AB4281" s="4">
        <v>2</v>
      </c>
      <c r="AC4281" s="4">
        <v>9</v>
      </c>
      <c r="AD4281" s="4">
        <v>106</v>
      </c>
      <c r="AE4281" s="4">
        <v>121</v>
      </c>
      <c r="AF4281" s="4">
        <v>1</v>
      </c>
      <c r="AG4281" s="4">
        <v>5</v>
      </c>
      <c r="AH4281" s="4">
        <v>93</v>
      </c>
      <c r="AI4281" s="4">
        <v>105</v>
      </c>
      <c r="AJ4281" s="4">
        <v>15</v>
      </c>
      <c r="AK4281" s="4">
        <v>18</v>
      </c>
      <c r="AL4281" s="4">
        <v>49</v>
      </c>
      <c r="AM4281" s="4">
        <v>56</v>
      </c>
      <c r="AN4281" s="4">
        <v>0</v>
      </c>
      <c r="AO4281" s="4">
        <v>0</v>
      </c>
      <c r="AP4281" s="4">
        <v>20</v>
      </c>
      <c r="AQ4281" s="4">
        <v>23</v>
      </c>
      <c r="AR4281" s="3" t="s">
        <v>62</v>
      </c>
      <c r="AS4281" s="3" t="s">
        <v>62</v>
      </c>
      <c r="AT4281" s="3" t="s">
        <v>62</v>
      </c>
      <c r="AV4281" s="6" t="str">
        <f>HYPERLINK("http://mcgill.on.worldcat.org/oclc/38910051","Catalog Record")</f>
        <v>Catalog Record</v>
      </c>
      <c r="AW4281" s="6" t="str">
        <f>HYPERLINK("http://www.worldcat.org/oclc/38910051","WorldCat Record")</f>
        <v>WorldCat Record</v>
      </c>
      <c r="AX4281" s="3" t="s">
        <v>41193</v>
      </c>
      <c r="AY4281" s="3" t="s">
        <v>41194</v>
      </c>
      <c r="AZ4281" s="3" t="s">
        <v>41195</v>
      </c>
      <c r="BA4281" s="3" t="s">
        <v>41195</v>
      </c>
      <c r="BB4281" s="3" t="s">
        <v>41196</v>
      </c>
      <c r="BC4281" s="3" t="s">
        <v>142</v>
      </c>
      <c r="BD4281" s="3" t="s">
        <v>68</v>
      </c>
      <c r="BE4281" s="3" t="s">
        <v>41197</v>
      </c>
      <c r="BF4281" s="3" t="s">
        <v>41196</v>
      </c>
      <c r="BG4281" s="3" t="s">
        <v>41198</v>
      </c>
    </row>
    <row r="4282" spans="1:59" ht="57" x14ac:dyDescent="0.45">
      <c r="A4282" s="2" t="s">
        <v>59</v>
      </c>
      <c r="B4282" s="2" t="s">
        <v>60</v>
      </c>
      <c r="C4282" s="2" t="s">
        <v>41199</v>
      </c>
      <c r="D4282" s="2" t="s">
        <v>41200</v>
      </c>
      <c r="E4282" s="2" t="s">
        <v>41201</v>
      </c>
      <c r="G4282" s="3" t="s">
        <v>62</v>
      </c>
      <c r="I4282" s="3" t="s">
        <v>62</v>
      </c>
      <c r="J4282" s="3" t="s">
        <v>62</v>
      </c>
      <c r="K4282" s="3" t="s">
        <v>63</v>
      </c>
      <c r="M4282" s="2" t="s">
        <v>41202</v>
      </c>
      <c r="N4282" s="3" t="s">
        <v>1059</v>
      </c>
      <c r="P4282" s="3" t="s">
        <v>65</v>
      </c>
      <c r="R4282" s="3" t="s">
        <v>66</v>
      </c>
      <c r="S4282" s="4">
        <v>4</v>
      </c>
      <c r="T4282" s="4">
        <v>4</v>
      </c>
      <c r="U4282" s="5" t="s">
        <v>4999</v>
      </c>
      <c r="V4282" s="5" t="s">
        <v>4999</v>
      </c>
      <c r="W4282" s="5" t="s">
        <v>67</v>
      </c>
      <c r="X4282" s="5" t="s">
        <v>67</v>
      </c>
      <c r="Y4282" s="4">
        <v>281</v>
      </c>
      <c r="Z4282" s="4">
        <v>27</v>
      </c>
      <c r="AA4282" s="4">
        <v>35</v>
      </c>
      <c r="AB4282" s="4">
        <v>2</v>
      </c>
      <c r="AC4282" s="4">
        <v>6</v>
      </c>
      <c r="AD4282" s="4">
        <v>103</v>
      </c>
      <c r="AE4282" s="4">
        <v>109</v>
      </c>
      <c r="AF4282" s="4">
        <v>1</v>
      </c>
      <c r="AG4282" s="4">
        <v>3</v>
      </c>
      <c r="AH4282" s="4">
        <v>88</v>
      </c>
      <c r="AI4282" s="4">
        <v>89</v>
      </c>
      <c r="AJ4282" s="4">
        <v>17</v>
      </c>
      <c r="AK4282" s="4">
        <v>20</v>
      </c>
      <c r="AL4282" s="4">
        <v>49</v>
      </c>
      <c r="AM4282" s="4">
        <v>49</v>
      </c>
      <c r="AN4282" s="4">
        <v>0</v>
      </c>
      <c r="AO4282" s="4">
        <v>0</v>
      </c>
      <c r="AP4282" s="4">
        <v>23</v>
      </c>
      <c r="AQ4282" s="4">
        <v>28</v>
      </c>
      <c r="AR4282" s="3" t="s">
        <v>62</v>
      </c>
      <c r="AS4282" s="3" t="s">
        <v>62</v>
      </c>
      <c r="AT4282" s="3" t="s">
        <v>62</v>
      </c>
      <c r="AV4282" s="6" t="str">
        <f>HYPERLINK("http://mcgill.on.worldcat.org/oclc/61217899","Catalog Record")</f>
        <v>Catalog Record</v>
      </c>
      <c r="AW4282" s="6" t="str">
        <f>HYPERLINK("http://www.worldcat.org/oclc/61217899","WorldCat Record")</f>
        <v>WorldCat Record</v>
      </c>
      <c r="AX4282" s="3" t="s">
        <v>41203</v>
      </c>
      <c r="AY4282" s="3" t="s">
        <v>41204</v>
      </c>
      <c r="AZ4282" s="3" t="s">
        <v>41205</v>
      </c>
      <c r="BA4282" s="3" t="s">
        <v>41205</v>
      </c>
      <c r="BB4282" s="3" t="s">
        <v>41206</v>
      </c>
      <c r="BC4282" s="3" t="s">
        <v>142</v>
      </c>
      <c r="BD4282" s="3" t="s">
        <v>68</v>
      </c>
      <c r="BE4282" s="3" t="s">
        <v>41207</v>
      </c>
      <c r="BF4282" s="3" t="s">
        <v>41206</v>
      </c>
      <c r="BG4282" s="3" t="s">
        <v>41208</v>
      </c>
    </row>
    <row r="4283" spans="1:59" ht="57" x14ac:dyDescent="0.45">
      <c r="A4283" s="2" t="s">
        <v>59</v>
      </c>
      <c r="B4283" s="2" t="s">
        <v>60</v>
      </c>
      <c r="C4283" s="2" t="s">
        <v>41209</v>
      </c>
      <c r="D4283" s="2" t="s">
        <v>41210</v>
      </c>
      <c r="E4283" s="2" t="s">
        <v>41211</v>
      </c>
      <c r="G4283" s="3" t="s">
        <v>62</v>
      </c>
      <c r="I4283" s="3" t="s">
        <v>62</v>
      </c>
      <c r="J4283" s="3" t="s">
        <v>61</v>
      </c>
      <c r="K4283" s="3" t="s">
        <v>63</v>
      </c>
      <c r="L4283" s="2" t="s">
        <v>41212</v>
      </c>
      <c r="M4283" s="2" t="s">
        <v>41213</v>
      </c>
      <c r="N4283" s="3" t="s">
        <v>117</v>
      </c>
      <c r="P4283" s="3" t="s">
        <v>65</v>
      </c>
      <c r="R4283" s="3" t="s">
        <v>66</v>
      </c>
      <c r="S4283" s="4">
        <v>18</v>
      </c>
      <c r="T4283" s="4">
        <v>18</v>
      </c>
      <c r="U4283" s="5" t="s">
        <v>31680</v>
      </c>
      <c r="V4283" s="5" t="s">
        <v>31680</v>
      </c>
      <c r="W4283" s="5" t="s">
        <v>67</v>
      </c>
      <c r="X4283" s="5" t="s">
        <v>67</v>
      </c>
      <c r="Y4283" s="4">
        <v>803</v>
      </c>
      <c r="Z4283" s="4">
        <v>33</v>
      </c>
      <c r="AA4283" s="4">
        <v>70</v>
      </c>
      <c r="AB4283" s="4">
        <v>3</v>
      </c>
      <c r="AC4283" s="4">
        <v>8</v>
      </c>
      <c r="AD4283" s="4">
        <v>119</v>
      </c>
      <c r="AE4283" s="4">
        <v>149</v>
      </c>
      <c r="AF4283" s="4">
        <v>1</v>
      </c>
      <c r="AG4283" s="4">
        <v>5</v>
      </c>
      <c r="AH4283" s="4">
        <v>103</v>
      </c>
      <c r="AI4283" s="4">
        <v>112</v>
      </c>
      <c r="AJ4283" s="4">
        <v>20</v>
      </c>
      <c r="AK4283" s="4">
        <v>25</v>
      </c>
      <c r="AL4283" s="4">
        <v>55</v>
      </c>
      <c r="AM4283" s="4">
        <v>59</v>
      </c>
      <c r="AN4283" s="4">
        <v>0</v>
      </c>
      <c r="AO4283" s="4">
        <v>0</v>
      </c>
      <c r="AP4283" s="4">
        <v>26</v>
      </c>
      <c r="AQ4283" s="4">
        <v>45</v>
      </c>
      <c r="AR4283" s="3" t="s">
        <v>62</v>
      </c>
      <c r="AS4283" s="3" t="s">
        <v>62</v>
      </c>
      <c r="AT4283" s="3" t="s">
        <v>62</v>
      </c>
      <c r="AV4283" s="6" t="str">
        <f>HYPERLINK("http://mcgill.on.worldcat.org/oclc/7012176","Catalog Record")</f>
        <v>Catalog Record</v>
      </c>
      <c r="AW4283" s="6" t="str">
        <f>HYPERLINK("http://www.worldcat.org/oclc/7012176","WorldCat Record")</f>
        <v>WorldCat Record</v>
      </c>
      <c r="AX4283" s="3" t="s">
        <v>41214</v>
      </c>
      <c r="AY4283" s="3" t="s">
        <v>41215</v>
      </c>
      <c r="AZ4283" s="3" t="s">
        <v>41216</v>
      </c>
      <c r="BA4283" s="3" t="s">
        <v>41216</v>
      </c>
      <c r="BB4283" s="3" t="s">
        <v>41217</v>
      </c>
      <c r="BC4283" s="3" t="s">
        <v>142</v>
      </c>
      <c r="BD4283" s="3" t="s">
        <v>68</v>
      </c>
      <c r="BE4283" s="3" t="s">
        <v>41218</v>
      </c>
      <c r="BF4283" s="3" t="s">
        <v>41217</v>
      </c>
      <c r="BG4283" s="3" t="s">
        <v>41219</v>
      </c>
    </row>
    <row r="4284" spans="1:59" ht="57" x14ac:dyDescent="0.45">
      <c r="A4284" s="2" t="s">
        <v>59</v>
      </c>
      <c r="B4284" s="2" t="s">
        <v>60</v>
      </c>
      <c r="C4284" s="2" t="s">
        <v>41220</v>
      </c>
      <c r="D4284" s="2" t="s">
        <v>41221</v>
      </c>
      <c r="E4284" s="2" t="s">
        <v>41211</v>
      </c>
      <c r="G4284" s="3" t="s">
        <v>62</v>
      </c>
      <c r="I4284" s="3" t="s">
        <v>61</v>
      </c>
      <c r="J4284" s="3" t="s">
        <v>61</v>
      </c>
      <c r="K4284" s="3" t="s">
        <v>63</v>
      </c>
      <c r="L4284" s="2" t="s">
        <v>41212</v>
      </c>
      <c r="M4284" s="2" t="s">
        <v>41222</v>
      </c>
      <c r="N4284" s="3" t="s">
        <v>529</v>
      </c>
      <c r="O4284" s="2" t="s">
        <v>933</v>
      </c>
      <c r="P4284" s="3" t="s">
        <v>65</v>
      </c>
      <c r="R4284" s="3" t="s">
        <v>66</v>
      </c>
      <c r="S4284" s="4">
        <v>67</v>
      </c>
      <c r="T4284" s="4">
        <v>115</v>
      </c>
      <c r="U4284" s="5" t="s">
        <v>3424</v>
      </c>
      <c r="V4284" s="5" t="s">
        <v>41223</v>
      </c>
      <c r="W4284" s="5" t="s">
        <v>67</v>
      </c>
      <c r="X4284" s="5" t="s">
        <v>67</v>
      </c>
      <c r="Y4284" s="4">
        <v>391</v>
      </c>
      <c r="Z4284" s="4">
        <v>36</v>
      </c>
      <c r="AA4284" s="4">
        <v>70</v>
      </c>
      <c r="AB4284" s="4">
        <v>2</v>
      </c>
      <c r="AC4284" s="4">
        <v>8</v>
      </c>
      <c r="AD4284" s="4">
        <v>88</v>
      </c>
      <c r="AE4284" s="4">
        <v>149</v>
      </c>
      <c r="AF4284" s="4">
        <v>1</v>
      </c>
      <c r="AG4284" s="4">
        <v>5</v>
      </c>
      <c r="AH4284" s="4">
        <v>71</v>
      </c>
      <c r="AI4284" s="4">
        <v>112</v>
      </c>
      <c r="AJ4284" s="4">
        <v>16</v>
      </c>
      <c r="AK4284" s="4">
        <v>25</v>
      </c>
      <c r="AL4284" s="4">
        <v>39</v>
      </c>
      <c r="AM4284" s="4">
        <v>59</v>
      </c>
      <c r="AN4284" s="4">
        <v>0</v>
      </c>
      <c r="AO4284" s="4">
        <v>0</v>
      </c>
      <c r="AP4284" s="4">
        <v>24</v>
      </c>
      <c r="AQ4284" s="4">
        <v>45</v>
      </c>
      <c r="AR4284" s="3" t="s">
        <v>62</v>
      </c>
      <c r="AS4284" s="3" t="s">
        <v>62</v>
      </c>
      <c r="AT4284" s="3" t="s">
        <v>61</v>
      </c>
      <c r="AU4284" s="6" t="str">
        <f>HYPERLINK("http://catalog.hathitrust.org/Record/000609150","HathiTrust Record")</f>
        <v>HathiTrust Record</v>
      </c>
      <c r="AV4284" s="6" t="str">
        <f>HYPERLINK("http://mcgill.on.worldcat.org/oclc/12072141","Catalog Record")</f>
        <v>Catalog Record</v>
      </c>
      <c r="AW4284" s="6" t="str">
        <f>HYPERLINK("http://www.worldcat.org/oclc/12072141","WorldCat Record")</f>
        <v>WorldCat Record</v>
      </c>
      <c r="AX4284" s="3" t="s">
        <v>41214</v>
      </c>
      <c r="AY4284" s="3" t="s">
        <v>41224</v>
      </c>
      <c r="AZ4284" s="3" t="s">
        <v>41225</v>
      </c>
      <c r="BA4284" s="3" t="s">
        <v>41225</v>
      </c>
      <c r="BB4284" s="3" t="s">
        <v>41226</v>
      </c>
      <c r="BC4284" s="3" t="s">
        <v>142</v>
      </c>
      <c r="BD4284" s="3" t="s">
        <v>68</v>
      </c>
      <c r="BE4284" s="3" t="s">
        <v>41227</v>
      </c>
      <c r="BF4284" s="3" t="s">
        <v>41226</v>
      </c>
      <c r="BG4284" s="3" t="s">
        <v>41228</v>
      </c>
    </row>
    <row r="4285" spans="1:59" ht="57" x14ac:dyDescent="0.45">
      <c r="A4285" s="2" t="s">
        <v>59</v>
      </c>
      <c r="B4285" s="2" t="s">
        <v>60</v>
      </c>
      <c r="C4285" s="2" t="s">
        <v>41220</v>
      </c>
      <c r="D4285" s="2" t="s">
        <v>41221</v>
      </c>
      <c r="E4285" s="2" t="s">
        <v>41211</v>
      </c>
      <c r="G4285" s="3" t="s">
        <v>62</v>
      </c>
      <c r="I4285" s="3" t="s">
        <v>61</v>
      </c>
      <c r="J4285" s="3" t="s">
        <v>61</v>
      </c>
      <c r="K4285" s="3" t="s">
        <v>63</v>
      </c>
      <c r="L4285" s="2" t="s">
        <v>41212</v>
      </c>
      <c r="M4285" s="2" t="s">
        <v>41222</v>
      </c>
      <c r="N4285" s="3" t="s">
        <v>529</v>
      </c>
      <c r="O4285" s="2" t="s">
        <v>933</v>
      </c>
      <c r="P4285" s="3" t="s">
        <v>65</v>
      </c>
      <c r="R4285" s="3" t="s">
        <v>66</v>
      </c>
      <c r="S4285" s="4">
        <v>48</v>
      </c>
      <c r="T4285" s="4">
        <v>115</v>
      </c>
      <c r="U4285" s="5" t="s">
        <v>41223</v>
      </c>
      <c r="V4285" s="5" t="s">
        <v>41223</v>
      </c>
      <c r="W4285" s="5" t="s">
        <v>67</v>
      </c>
      <c r="X4285" s="5" t="s">
        <v>67</v>
      </c>
      <c r="Y4285" s="4">
        <v>391</v>
      </c>
      <c r="Z4285" s="4">
        <v>36</v>
      </c>
      <c r="AA4285" s="4">
        <v>70</v>
      </c>
      <c r="AB4285" s="4">
        <v>2</v>
      </c>
      <c r="AC4285" s="4">
        <v>8</v>
      </c>
      <c r="AD4285" s="4">
        <v>88</v>
      </c>
      <c r="AE4285" s="4">
        <v>149</v>
      </c>
      <c r="AF4285" s="4">
        <v>1</v>
      </c>
      <c r="AG4285" s="4">
        <v>5</v>
      </c>
      <c r="AH4285" s="4">
        <v>71</v>
      </c>
      <c r="AI4285" s="4">
        <v>112</v>
      </c>
      <c r="AJ4285" s="4">
        <v>16</v>
      </c>
      <c r="AK4285" s="4">
        <v>25</v>
      </c>
      <c r="AL4285" s="4">
        <v>39</v>
      </c>
      <c r="AM4285" s="4">
        <v>59</v>
      </c>
      <c r="AN4285" s="4">
        <v>0</v>
      </c>
      <c r="AO4285" s="4">
        <v>0</v>
      </c>
      <c r="AP4285" s="4">
        <v>24</v>
      </c>
      <c r="AQ4285" s="4">
        <v>45</v>
      </c>
      <c r="AR4285" s="3" t="s">
        <v>62</v>
      </c>
      <c r="AS4285" s="3" t="s">
        <v>62</v>
      </c>
      <c r="AT4285" s="3" t="s">
        <v>61</v>
      </c>
      <c r="AU4285" s="6" t="str">
        <f>HYPERLINK("http://catalog.hathitrust.org/Record/000609150","HathiTrust Record")</f>
        <v>HathiTrust Record</v>
      </c>
      <c r="AV4285" s="6" t="str">
        <f>HYPERLINK("http://mcgill.on.worldcat.org/oclc/12072141","Catalog Record")</f>
        <v>Catalog Record</v>
      </c>
      <c r="AW4285" s="6" t="str">
        <f>HYPERLINK("http://www.worldcat.org/oclc/12072141","WorldCat Record")</f>
        <v>WorldCat Record</v>
      </c>
      <c r="AX4285" s="3" t="s">
        <v>41214</v>
      </c>
      <c r="AY4285" s="3" t="s">
        <v>41224</v>
      </c>
      <c r="AZ4285" s="3" t="s">
        <v>41225</v>
      </c>
      <c r="BA4285" s="3" t="s">
        <v>41225</v>
      </c>
      <c r="BB4285" s="3" t="s">
        <v>41229</v>
      </c>
      <c r="BC4285" s="3" t="s">
        <v>142</v>
      </c>
      <c r="BD4285" s="3" t="s">
        <v>68</v>
      </c>
      <c r="BE4285" s="3" t="s">
        <v>41227</v>
      </c>
      <c r="BF4285" s="3" t="s">
        <v>41229</v>
      </c>
      <c r="BG4285" s="3" t="s">
        <v>41230</v>
      </c>
    </row>
    <row r="4286" spans="1:59" ht="57" x14ac:dyDescent="0.45">
      <c r="A4286" s="2" t="s">
        <v>59</v>
      </c>
      <c r="B4286" s="2" t="s">
        <v>60</v>
      </c>
      <c r="C4286" s="2" t="s">
        <v>41231</v>
      </c>
      <c r="D4286" s="2" t="s">
        <v>41232</v>
      </c>
      <c r="E4286" s="2" t="s">
        <v>41233</v>
      </c>
      <c r="G4286" s="3" t="s">
        <v>62</v>
      </c>
      <c r="I4286" s="3" t="s">
        <v>62</v>
      </c>
      <c r="J4286" s="3" t="s">
        <v>62</v>
      </c>
      <c r="K4286" s="3" t="s">
        <v>63</v>
      </c>
      <c r="L4286" s="2" t="s">
        <v>41234</v>
      </c>
      <c r="M4286" s="2" t="s">
        <v>27849</v>
      </c>
      <c r="N4286" s="3" t="s">
        <v>149</v>
      </c>
      <c r="O4286" s="2" t="s">
        <v>933</v>
      </c>
      <c r="P4286" s="3" t="s">
        <v>65</v>
      </c>
      <c r="R4286" s="3" t="s">
        <v>66</v>
      </c>
      <c r="S4286" s="4">
        <v>9</v>
      </c>
      <c r="T4286" s="4">
        <v>9</v>
      </c>
      <c r="U4286" s="5" t="s">
        <v>3596</v>
      </c>
      <c r="V4286" s="5" t="s">
        <v>3596</v>
      </c>
      <c r="W4286" s="5" t="s">
        <v>67</v>
      </c>
      <c r="X4286" s="5" t="s">
        <v>67</v>
      </c>
      <c r="Y4286" s="4">
        <v>235</v>
      </c>
      <c r="Z4286" s="4">
        <v>29</v>
      </c>
      <c r="AA4286" s="4">
        <v>34</v>
      </c>
      <c r="AB4286" s="4">
        <v>2</v>
      </c>
      <c r="AC4286" s="4">
        <v>6</v>
      </c>
      <c r="AD4286" s="4">
        <v>51</v>
      </c>
      <c r="AE4286" s="4">
        <v>57</v>
      </c>
      <c r="AF4286" s="4">
        <v>1</v>
      </c>
      <c r="AG4286" s="4">
        <v>3</v>
      </c>
      <c r="AH4286" s="4">
        <v>40</v>
      </c>
      <c r="AI4286" s="4">
        <v>44</v>
      </c>
      <c r="AJ4286" s="4">
        <v>14</v>
      </c>
      <c r="AK4286" s="4">
        <v>16</v>
      </c>
      <c r="AL4286" s="4">
        <v>21</v>
      </c>
      <c r="AM4286" s="4">
        <v>23</v>
      </c>
      <c r="AN4286" s="4">
        <v>0</v>
      </c>
      <c r="AO4286" s="4">
        <v>0</v>
      </c>
      <c r="AP4286" s="4">
        <v>17</v>
      </c>
      <c r="AQ4286" s="4">
        <v>20</v>
      </c>
      <c r="AR4286" s="3" t="s">
        <v>62</v>
      </c>
      <c r="AS4286" s="3" t="s">
        <v>62</v>
      </c>
      <c r="AT4286" s="3" t="s">
        <v>62</v>
      </c>
      <c r="AV4286" s="6" t="str">
        <f>HYPERLINK("http://mcgill.on.worldcat.org/oclc/503640940","Catalog Record")</f>
        <v>Catalog Record</v>
      </c>
      <c r="AW4286" s="6" t="str">
        <f>HYPERLINK("http://www.worldcat.org/oclc/503640940","WorldCat Record")</f>
        <v>WorldCat Record</v>
      </c>
      <c r="AX4286" s="3" t="s">
        <v>41235</v>
      </c>
      <c r="AY4286" s="3" t="s">
        <v>41236</v>
      </c>
      <c r="AZ4286" s="3" t="s">
        <v>41237</v>
      </c>
      <c r="BA4286" s="3" t="s">
        <v>41237</v>
      </c>
      <c r="BB4286" s="3" t="s">
        <v>41238</v>
      </c>
      <c r="BC4286" s="3" t="s">
        <v>142</v>
      </c>
      <c r="BD4286" s="3" t="s">
        <v>68</v>
      </c>
      <c r="BE4286" s="3" t="s">
        <v>41239</v>
      </c>
      <c r="BF4286" s="3" t="s">
        <v>41238</v>
      </c>
      <c r="BG4286" s="3" t="s">
        <v>41240</v>
      </c>
    </row>
    <row r="4287" spans="1:59" ht="57" x14ac:dyDescent="0.45">
      <c r="A4287" s="2" t="s">
        <v>59</v>
      </c>
      <c r="B4287" s="2" t="s">
        <v>60</v>
      </c>
      <c r="C4287" s="2" t="s">
        <v>41241</v>
      </c>
      <c r="D4287" s="2" t="s">
        <v>41242</v>
      </c>
      <c r="E4287" s="2" t="s">
        <v>41243</v>
      </c>
      <c r="G4287" s="3" t="s">
        <v>62</v>
      </c>
      <c r="I4287" s="3" t="s">
        <v>62</v>
      </c>
      <c r="J4287" s="3" t="s">
        <v>62</v>
      </c>
      <c r="K4287" s="3" t="s">
        <v>63</v>
      </c>
      <c r="L4287" s="2" t="s">
        <v>21476</v>
      </c>
      <c r="M4287" s="2" t="s">
        <v>41244</v>
      </c>
      <c r="N4287" s="3" t="s">
        <v>1604</v>
      </c>
      <c r="P4287" s="3" t="s">
        <v>65</v>
      </c>
      <c r="R4287" s="3" t="s">
        <v>66</v>
      </c>
      <c r="S4287" s="4">
        <v>60</v>
      </c>
      <c r="T4287" s="4">
        <v>60</v>
      </c>
      <c r="U4287" s="5" t="s">
        <v>1255</v>
      </c>
      <c r="V4287" s="5" t="s">
        <v>1255</v>
      </c>
      <c r="W4287" s="5" t="s">
        <v>67</v>
      </c>
      <c r="X4287" s="5" t="s">
        <v>67</v>
      </c>
      <c r="Y4287" s="4">
        <v>1082</v>
      </c>
      <c r="Z4287" s="4">
        <v>38</v>
      </c>
      <c r="AA4287" s="4">
        <v>124</v>
      </c>
      <c r="AB4287" s="4">
        <v>2</v>
      </c>
      <c r="AC4287" s="4">
        <v>21</v>
      </c>
      <c r="AD4287" s="4">
        <v>121</v>
      </c>
      <c r="AE4287" s="4">
        <v>164</v>
      </c>
      <c r="AF4287" s="4">
        <v>1</v>
      </c>
      <c r="AG4287" s="4">
        <v>9</v>
      </c>
      <c r="AH4287" s="4">
        <v>103</v>
      </c>
      <c r="AI4287" s="4">
        <v>111</v>
      </c>
      <c r="AJ4287" s="4">
        <v>20</v>
      </c>
      <c r="AK4287" s="4">
        <v>29</v>
      </c>
      <c r="AL4287" s="4">
        <v>54</v>
      </c>
      <c r="AM4287" s="4">
        <v>58</v>
      </c>
      <c r="AN4287" s="4">
        <v>0</v>
      </c>
      <c r="AO4287" s="4">
        <v>0</v>
      </c>
      <c r="AP4287" s="4">
        <v>25</v>
      </c>
      <c r="AQ4287" s="4">
        <v>60</v>
      </c>
      <c r="AR4287" s="3" t="s">
        <v>62</v>
      </c>
      <c r="AS4287" s="3" t="s">
        <v>62</v>
      </c>
      <c r="AT4287" s="3" t="s">
        <v>62</v>
      </c>
      <c r="AV4287" s="6" t="str">
        <f>HYPERLINK("http://mcgill.on.worldcat.org/oclc/29259376","Catalog Record")</f>
        <v>Catalog Record</v>
      </c>
      <c r="AW4287" s="6" t="str">
        <f>HYPERLINK("http://www.worldcat.org/oclc/29259376","WorldCat Record")</f>
        <v>WorldCat Record</v>
      </c>
      <c r="AX4287" s="3" t="s">
        <v>41245</v>
      </c>
      <c r="AY4287" s="3" t="s">
        <v>41246</v>
      </c>
      <c r="AZ4287" s="3" t="s">
        <v>41247</v>
      </c>
      <c r="BA4287" s="3" t="s">
        <v>41247</v>
      </c>
      <c r="BB4287" s="3" t="s">
        <v>41248</v>
      </c>
      <c r="BC4287" s="3" t="s">
        <v>142</v>
      </c>
      <c r="BD4287" s="3" t="s">
        <v>68</v>
      </c>
      <c r="BE4287" s="3" t="s">
        <v>41249</v>
      </c>
      <c r="BF4287" s="3" t="s">
        <v>41248</v>
      </c>
      <c r="BG4287" s="3" t="s">
        <v>41250</v>
      </c>
    </row>
    <row r="4288" spans="1:59" ht="71.25" x14ac:dyDescent="0.45">
      <c r="A4288" s="2" t="s">
        <v>59</v>
      </c>
      <c r="B4288" s="2" t="s">
        <v>60</v>
      </c>
      <c r="C4288" s="2" t="s">
        <v>41251</v>
      </c>
      <c r="D4288" s="2" t="s">
        <v>41252</v>
      </c>
      <c r="E4288" s="2" t="s">
        <v>41253</v>
      </c>
      <c r="G4288" s="3" t="s">
        <v>62</v>
      </c>
      <c r="I4288" s="3" t="s">
        <v>62</v>
      </c>
      <c r="J4288" s="3" t="s">
        <v>62</v>
      </c>
      <c r="K4288" s="3" t="s">
        <v>63</v>
      </c>
      <c r="L4288" s="2" t="s">
        <v>41254</v>
      </c>
      <c r="M4288" s="2" t="s">
        <v>41255</v>
      </c>
      <c r="N4288" s="3" t="s">
        <v>970</v>
      </c>
      <c r="P4288" s="3" t="s">
        <v>65</v>
      </c>
      <c r="Q4288" s="2" t="s">
        <v>41256</v>
      </c>
      <c r="R4288" s="3" t="s">
        <v>66</v>
      </c>
      <c r="S4288" s="4">
        <v>31</v>
      </c>
      <c r="T4288" s="4">
        <v>31</v>
      </c>
      <c r="U4288" s="5" t="s">
        <v>31680</v>
      </c>
      <c r="V4288" s="5" t="s">
        <v>31680</v>
      </c>
      <c r="W4288" s="5" t="s">
        <v>67</v>
      </c>
      <c r="X4288" s="5" t="s">
        <v>67</v>
      </c>
      <c r="Y4288" s="4">
        <v>353</v>
      </c>
      <c r="Z4288" s="4">
        <v>23</v>
      </c>
      <c r="AA4288" s="4">
        <v>102</v>
      </c>
      <c r="AB4288" s="4">
        <v>3</v>
      </c>
      <c r="AC4288" s="4">
        <v>19</v>
      </c>
      <c r="AD4288" s="4">
        <v>99</v>
      </c>
      <c r="AE4288" s="4">
        <v>158</v>
      </c>
      <c r="AF4288" s="4">
        <v>2</v>
      </c>
      <c r="AG4288" s="4">
        <v>9</v>
      </c>
      <c r="AH4288" s="4">
        <v>88</v>
      </c>
      <c r="AI4288" s="4">
        <v>108</v>
      </c>
      <c r="AJ4288" s="4">
        <v>15</v>
      </c>
      <c r="AK4288" s="4">
        <v>28</v>
      </c>
      <c r="AL4288" s="4">
        <v>48</v>
      </c>
      <c r="AM4288" s="4">
        <v>56</v>
      </c>
      <c r="AN4288" s="4">
        <v>0</v>
      </c>
      <c r="AO4288" s="4">
        <v>0</v>
      </c>
      <c r="AP4288" s="4">
        <v>19</v>
      </c>
      <c r="AQ4288" s="4">
        <v>59</v>
      </c>
      <c r="AR4288" s="3" t="s">
        <v>62</v>
      </c>
      <c r="AS4288" s="3" t="s">
        <v>62</v>
      </c>
      <c r="AT4288" s="3" t="s">
        <v>62</v>
      </c>
      <c r="AV4288" s="6" t="str">
        <f>HYPERLINK("http://mcgill.on.worldcat.org/oclc/50228717","Catalog Record")</f>
        <v>Catalog Record</v>
      </c>
      <c r="AW4288" s="6" t="str">
        <f>HYPERLINK("http://www.worldcat.org/oclc/50228717","WorldCat Record")</f>
        <v>WorldCat Record</v>
      </c>
      <c r="AX4288" s="3" t="s">
        <v>41257</v>
      </c>
      <c r="AY4288" s="3" t="s">
        <v>41258</v>
      </c>
      <c r="AZ4288" s="3" t="s">
        <v>41259</v>
      </c>
      <c r="BA4288" s="3" t="s">
        <v>41259</v>
      </c>
      <c r="BB4288" s="3" t="s">
        <v>41260</v>
      </c>
      <c r="BC4288" s="3" t="s">
        <v>142</v>
      </c>
      <c r="BD4288" s="3" t="s">
        <v>68</v>
      </c>
      <c r="BE4288" s="3" t="s">
        <v>41261</v>
      </c>
      <c r="BF4288" s="3" t="s">
        <v>41260</v>
      </c>
      <c r="BG4288" s="3" t="s">
        <v>41262</v>
      </c>
    </row>
    <row r="4289" spans="1:59" ht="57" x14ac:dyDescent="0.45">
      <c r="A4289" s="2" t="s">
        <v>59</v>
      </c>
      <c r="B4289" s="2" t="s">
        <v>60</v>
      </c>
      <c r="C4289" s="2" t="s">
        <v>41263</v>
      </c>
      <c r="D4289" s="2" t="s">
        <v>41264</v>
      </c>
      <c r="E4289" s="2" t="s">
        <v>41265</v>
      </c>
      <c r="G4289" s="3" t="s">
        <v>62</v>
      </c>
      <c r="I4289" s="3" t="s">
        <v>62</v>
      </c>
      <c r="J4289" s="3" t="s">
        <v>62</v>
      </c>
      <c r="K4289" s="3" t="s">
        <v>63</v>
      </c>
      <c r="L4289" s="2" t="s">
        <v>41266</v>
      </c>
      <c r="M4289" s="2" t="s">
        <v>3172</v>
      </c>
      <c r="N4289" s="3" t="s">
        <v>149</v>
      </c>
      <c r="P4289" s="3" t="s">
        <v>65</v>
      </c>
      <c r="R4289" s="3" t="s">
        <v>66</v>
      </c>
      <c r="S4289" s="4">
        <v>0</v>
      </c>
      <c r="T4289" s="4">
        <v>0</v>
      </c>
      <c r="W4289" s="5" t="s">
        <v>67</v>
      </c>
      <c r="X4289" s="5" t="s">
        <v>67</v>
      </c>
      <c r="Y4289" s="4">
        <v>64</v>
      </c>
      <c r="Z4289" s="4">
        <v>12</v>
      </c>
      <c r="AA4289" s="4">
        <v>78</v>
      </c>
      <c r="AB4289" s="4">
        <v>1</v>
      </c>
      <c r="AC4289" s="4">
        <v>14</v>
      </c>
      <c r="AD4289" s="4">
        <v>35</v>
      </c>
      <c r="AE4289" s="4">
        <v>94</v>
      </c>
      <c r="AF4289" s="4">
        <v>0</v>
      </c>
      <c r="AG4289" s="4">
        <v>8</v>
      </c>
      <c r="AH4289" s="4">
        <v>32</v>
      </c>
      <c r="AI4289" s="4">
        <v>62</v>
      </c>
      <c r="AJ4289" s="4">
        <v>9</v>
      </c>
      <c r="AK4289" s="4">
        <v>21</v>
      </c>
      <c r="AL4289" s="4">
        <v>20</v>
      </c>
      <c r="AM4289" s="4">
        <v>31</v>
      </c>
      <c r="AN4289" s="4">
        <v>0</v>
      </c>
      <c r="AO4289" s="4">
        <v>0</v>
      </c>
      <c r="AP4289" s="4">
        <v>9</v>
      </c>
      <c r="AQ4289" s="4">
        <v>41</v>
      </c>
      <c r="AR4289" s="3" t="s">
        <v>62</v>
      </c>
      <c r="AS4289" s="3" t="s">
        <v>62</v>
      </c>
      <c r="AT4289" s="3" t="s">
        <v>62</v>
      </c>
      <c r="AV4289" s="6" t="str">
        <f>HYPERLINK("http://mcgill.on.worldcat.org/oclc/666223946","Catalog Record")</f>
        <v>Catalog Record</v>
      </c>
      <c r="AW4289" s="6" t="str">
        <f>HYPERLINK("http://www.worldcat.org/oclc/666223946","WorldCat Record")</f>
        <v>WorldCat Record</v>
      </c>
      <c r="AX4289" s="3" t="s">
        <v>41267</v>
      </c>
      <c r="AY4289" s="3" t="s">
        <v>41268</v>
      </c>
      <c r="AZ4289" s="3" t="s">
        <v>41269</v>
      </c>
      <c r="BA4289" s="3" t="s">
        <v>41269</v>
      </c>
      <c r="BB4289" s="3" t="s">
        <v>41270</v>
      </c>
      <c r="BC4289" s="3" t="s">
        <v>142</v>
      </c>
      <c r="BD4289" s="3" t="s">
        <v>68</v>
      </c>
      <c r="BE4289" s="3" t="s">
        <v>41271</v>
      </c>
      <c r="BF4289" s="3" t="s">
        <v>41270</v>
      </c>
      <c r="BG4289" s="3" t="s">
        <v>41272</v>
      </c>
    </row>
    <row r="4290" spans="1:59" ht="57" x14ac:dyDescent="0.45">
      <c r="A4290" s="2" t="s">
        <v>59</v>
      </c>
      <c r="B4290" s="2" t="s">
        <v>60</v>
      </c>
      <c r="C4290" s="2" t="s">
        <v>41273</v>
      </c>
      <c r="D4290" s="2" t="s">
        <v>41274</v>
      </c>
      <c r="E4290" s="2" t="s">
        <v>41275</v>
      </c>
      <c r="G4290" s="3" t="s">
        <v>62</v>
      </c>
      <c r="I4290" s="3" t="s">
        <v>62</v>
      </c>
      <c r="J4290" s="3" t="s">
        <v>62</v>
      </c>
      <c r="K4290" s="3" t="s">
        <v>63</v>
      </c>
      <c r="M4290" s="2" t="s">
        <v>41276</v>
      </c>
      <c r="N4290" s="3" t="s">
        <v>181</v>
      </c>
      <c r="P4290" s="3" t="s">
        <v>65</v>
      </c>
      <c r="R4290" s="3" t="s">
        <v>66</v>
      </c>
      <c r="S4290" s="4">
        <v>2</v>
      </c>
      <c r="T4290" s="4">
        <v>2</v>
      </c>
      <c r="U4290" s="5" t="s">
        <v>1570</v>
      </c>
      <c r="V4290" s="5" t="s">
        <v>1570</v>
      </c>
      <c r="W4290" s="5" t="s">
        <v>67</v>
      </c>
      <c r="X4290" s="5" t="s">
        <v>67</v>
      </c>
      <c r="Y4290" s="4">
        <v>22</v>
      </c>
      <c r="Z4290" s="4">
        <v>4</v>
      </c>
      <c r="AA4290" s="4">
        <v>68</v>
      </c>
      <c r="AB4290" s="4">
        <v>1</v>
      </c>
      <c r="AC4290" s="4">
        <v>14</v>
      </c>
      <c r="AD4290" s="4">
        <v>12</v>
      </c>
      <c r="AE4290" s="4">
        <v>78</v>
      </c>
      <c r="AF4290" s="4">
        <v>0</v>
      </c>
      <c r="AG4290" s="4">
        <v>8</v>
      </c>
      <c r="AH4290" s="4">
        <v>11</v>
      </c>
      <c r="AI4290" s="4">
        <v>48</v>
      </c>
      <c r="AJ4290" s="4">
        <v>3</v>
      </c>
      <c r="AK4290" s="4">
        <v>17</v>
      </c>
      <c r="AL4290" s="4">
        <v>7</v>
      </c>
      <c r="AM4290" s="4">
        <v>25</v>
      </c>
      <c r="AN4290" s="4">
        <v>0</v>
      </c>
      <c r="AO4290" s="4">
        <v>0</v>
      </c>
      <c r="AP4290" s="4">
        <v>3</v>
      </c>
      <c r="AQ4290" s="4">
        <v>36</v>
      </c>
      <c r="AR4290" s="3" t="s">
        <v>62</v>
      </c>
      <c r="AS4290" s="3" t="s">
        <v>62</v>
      </c>
      <c r="AT4290" s="3" t="s">
        <v>62</v>
      </c>
      <c r="AV4290" s="6" t="str">
        <f>HYPERLINK("http://mcgill.on.worldcat.org/oclc/978718715","Catalog Record")</f>
        <v>Catalog Record</v>
      </c>
      <c r="AW4290" s="6" t="str">
        <f>HYPERLINK("http://www.worldcat.org/oclc/978718715","WorldCat Record")</f>
        <v>WorldCat Record</v>
      </c>
      <c r="AX4290" s="3" t="s">
        <v>41277</v>
      </c>
      <c r="AY4290" s="3" t="s">
        <v>41278</v>
      </c>
      <c r="AZ4290" s="3" t="s">
        <v>41279</v>
      </c>
      <c r="BA4290" s="3" t="s">
        <v>41279</v>
      </c>
      <c r="BB4290" s="3" t="s">
        <v>41280</v>
      </c>
      <c r="BC4290" s="3" t="s">
        <v>142</v>
      </c>
      <c r="BD4290" s="3" t="s">
        <v>68</v>
      </c>
      <c r="BE4290" s="3" t="s">
        <v>41281</v>
      </c>
      <c r="BF4290" s="3" t="s">
        <v>41280</v>
      </c>
      <c r="BG4290" s="3" t="s">
        <v>41282</v>
      </c>
    </row>
    <row r="4291" spans="1:59" ht="57" x14ac:dyDescent="0.45">
      <c r="A4291" s="2" t="s">
        <v>59</v>
      </c>
      <c r="B4291" s="2" t="s">
        <v>60</v>
      </c>
      <c r="C4291" s="2" t="s">
        <v>41283</v>
      </c>
      <c r="D4291" s="2" t="s">
        <v>41284</v>
      </c>
      <c r="E4291" s="2" t="s">
        <v>41285</v>
      </c>
      <c r="G4291" s="3" t="s">
        <v>62</v>
      </c>
      <c r="I4291" s="3" t="s">
        <v>62</v>
      </c>
      <c r="J4291" s="3" t="s">
        <v>62</v>
      </c>
      <c r="K4291" s="3" t="s">
        <v>63</v>
      </c>
      <c r="M4291" s="2" t="s">
        <v>3925</v>
      </c>
      <c r="N4291" s="3" t="s">
        <v>149</v>
      </c>
      <c r="P4291" s="3" t="s">
        <v>65</v>
      </c>
      <c r="Q4291" s="2" t="s">
        <v>41286</v>
      </c>
      <c r="R4291" s="3" t="s">
        <v>66</v>
      </c>
      <c r="S4291" s="4">
        <v>1</v>
      </c>
      <c r="T4291" s="4">
        <v>1</v>
      </c>
      <c r="U4291" s="5" t="s">
        <v>41287</v>
      </c>
      <c r="V4291" s="5" t="s">
        <v>41287</v>
      </c>
      <c r="W4291" s="5" t="s">
        <v>67</v>
      </c>
      <c r="X4291" s="5" t="s">
        <v>67</v>
      </c>
      <c r="Y4291" s="4">
        <v>70</v>
      </c>
      <c r="Z4291" s="4">
        <v>5</v>
      </c>
      <c r="AA4291" s="4">
        <v>93</v>
      </c>
      <c r="AB4291" s="4">
        <v>1</v>
      </c>
      <c r="AC4291" s="4">
        <v>17</v>
      </c>
      <c r="AD4291" s="4">
        <v>33</v>
      </c>
      <c r="AE4291" s="4">
        <v>116</v>
      </c>
      <c r="AF4291" s="4">
        <v>0</v>
      </c>
      <c r="AG4291" s="4">
        <v>8</v>
      </c>
      <c r="AH4291" s="4">
        <v>31</v>
      </c>
      <c r="AI4291" s="4">
        <v>80</v>
      </c>
      <c r="AJ4291" s="4">
        <v>4</v>
      </c>
      <c r="AK4291" s="4">
        <v>21</v>
      </c>
      <c r="AL4291" s="4">
        <v>23</v>
      </c>
      <c r="AM4291" s="4">
        <v>44</v>
      </c>
      <c r="AN4291" s="4">
        <v>0</v>
      </c>
      <c r="AO4291" s="4">
        <v>0</v>
      </c>
      <c r="AP4291" s="4">
        <v>4</v>
      </c>
      <c r="AQ4291" s="4">
        <v>42</v>
      </c>
      <c r="AR4291" s="3" t="s">
        <v>62</v>
      </c>
      <c r="AS4291" s="3" t="s">
        <v>62</v>
      </c>
      <c r="AT4291" s="3" t="s">
        <v>62</v>
      </c>
      <c r="AV4291" s="6" t="str">
        <f>HYPERLINK("http://mcgill.on.worldcat.org/oclc/660804611","Catalog Record")</f>
        <v>Catalog Record</v>
      </c>
      <c r="AW4291" s="6" t="str">
        <f>HYPERLINK("http://www.worldcat.org/oclc/660804611","WorldCat Record")</f>
        <v>WorldCat Record</v>
      </c>
      <c r="AX4291" s="3" t="s">
        <v>41288</v>
      </c>
      <c r="AY4291" s="3" t="s">
        <v>41289</v>
      </c>
      <c r="AZ4291" s="3" t="s">
        <v>41290</v>
      </c>
      <c r="BA4291" s="3" t="s">
        <v>41290</v>
      </c>
      <c r="BB4291" s="3" t="s">
        <v>41291</v>
      </c>
      <c r="BC4291" s="3" t="s">
        <v>142</v>
      </c>
      <c r="BD4291" s="3" t="s">
        <v>68</v>
      </c>
      <c r="BE4291" s="3" t="s">
        <v>41292</v>
      </c>
      <c r="BF4291" s="3" t="s">
        <v>41291</v>
      </c>
      <c r="BG4291" s="3" t="s">
        <v>41293</v>
      </c>
    </row>
    <row r="4292" spans="1:59" ht="57" x14ac:dyDescent="0.45">
      <c r="A4292" s="2" t="s">
        <v>59</v>
      </c>
      <c r="B4292" s="2" t="s">
        <v>60</v>
      </c>
      <c r="C4292" s="2" t="s">
        <v>41294</v>
      </c>
      <c r="D4292" s="2" t="s">
        <v>41295</v>
      </c>
      <c r="E4292" s="2" t="s">
        <v>41296</v>
      </c>
      <c r="G4292" s="3" t="s">
        <v>62</v>
      </c>
      <c r="I4292" s="3" t="s">
        <v>62</v>
      </c>
      <c r="J4292" s="3" t="s">
        <v>62</v>
      </c>
      <c r="K4292" s="3" t="s">
        <v>63</v>
      </c>
      <c r="L4292" s="2" t="s">
        <v>41297</v>
      </c>
      <c r="M4292" s="2" t="s">
        <v>41298</v>
      </c>
      <c r="N4292" s="3" t="s">
        <v>5180</v>
      </c>
      <c r="P4292" s="3" t="s">
        <v>65</v>
      </c>
      <c r="Q4292" s="2" t="s">
        <v>41299</v>
      </c>
      <c r="R4292" s="3" t="s">
        <v>66</v>
      </c>
      <c r="S4292" s="4">
        <v>0</v>
      </c>
      <c r="T4292" s="4">
        <v>0</v>
      </c>
      <c r="W4292" s="5" t="s">
        <v>67</v>
      </c>
      <c r="X4292" s="5" t="s">
        <v>67</v>
      </c>
      <c r="Y4292" s="4">
        <v>41</v>
      </c>
      <c r="Z4292" s="4">
        <v>3</v>
      </c>
      <c r="AA4292" s="4">
        <v>3</v>
      </c>
      <c r="AB4292" s="4">
        <v>1</v>
      </c>
      <c r="AC4292" s="4">
        <v>1</v>
      </c>
      <c r="AD4292" s="4">
        <v>24</v>
      </c>
      <c r="AE4292" s="4">
        <v>24</v>
      </c>
      <c r="AF4292" s="4">
        <v>0</v>
      </c>
      <c r="AG4292" s="4">
        <v>0</v>
      </c>
      <c r="AH4292" s="4">
        <v>23</v>
      </c>
      <c r="AI4292" s="4">
        <v>23</v>
      </c>
      <c r="AJ4292" s="4">
        <v>2</v>
      </c>
      <c r="AK4292" s="4">
        <v>2</v>
      </c>
      <c r="AL4292" s="4">
        <v>18</v>
      </c>
      <c r="AM4292" s="4">
        <v>18</v>
      </c>
      <c r="AN4292" s="4">
        <v>0</v>
      </c>
      <c r="AO4292" s="4">
        <v>0</v>
      </c>
      <c r="AP4292" s="4">
        <v>2</v>
      </c>
      <c r="AQ4292" s="4">
        <v>2</v>
      </c>
      <c r="AR4292" s="3" t="s">
        <v>62</v>
      </c>
      <c r="AS4292" s="3" t="s">
        <v>62</v>
      </c>
      <c r="AT4292" s="3" t="s">
        <v>62</v>
      </c>
      <c r="AV4292" s="6" t="str">
        <f>HYPERLINK("http://mcgill.on.worldcat.org/oclc/1023390439","Catalog Record")</f>
        <v>Catalog Record</v>
      </c>
      <c r="AW4292" s="6" t="str">
        <f>HYPERLINK("http://www.worldcat.org/oclc/1023390439","WorldCat Record")</f>
        <v>WorldCat Record</v>
      </c>
      <c r="AX4292" s="3" t="s">
        <v>41300</v>
      </c>
      <c r="AY4292" s="3" t="s">
        <v>41301</v>
      </c>
      <c r="AZ4292" s="3" t="s">
        <v>41302</v>
      </c>
      <c r="BA4292" s="3" t="s">
        <v>41302</v>
      </c>
      <c r="BB4292" s="3" t="s">
        <v>41303</v>
      </c>
      <c r="BC4292" s="3" t="s">
        <v>142</v>
      </c>
      <c r="BD4292" s="3" t="s">
        <v>68</v>
      </c>
      <c r="BE4292" s="3" t="s">
        <v>41304</v>
      </c>
      <c r="BF4292" s="3" t="s">
        <v>41303</v>
      </c>
      <c r="BG4292" s="3" t="s">
        <v>41305</v>
      </c>
    </row>
    <row r="4293" spans="1:59" ht="57" x14ac:dyDescent="0.45">
      <c r="A4293" s="2" t="s">
        <v>59</v>
      </c>
      <c r="B4293" s="2" t="s">
        <v>60</v>
      </c>
      <c r="C4293" s="2" t="s">
        <v>41306</v>
      </c>
      <c r="D4293" s="2" t="s">
        <v>41307</v>
      </c>
      <c r="E4293" s="2" t="s">
        <v>41308</v>
      </c>
      <c r="G4293" s="3" t="s">
        <v>62</v>
      </c>
      <c r="I4293" s="3" t="s">
        <v>62</v>
      </c>
      <c r="J4293" s="3" t="s">
        <v>62</v>
      </c>
      <c r="K4293" s="3" t="s">
        <v>63</v>
      </c>
      <c r="L4293" s="2" t="s">
        <v>41309</v>
      </c>
      <c r="M4293" s="2" t="s">
        <v>7623</v>
      </c>
      <c r="N4293" s="3" t="s">
        <v>208</v>
      </c>
      <c r="P4293" s="3" t="s">
        <v>65</v>
      </c>
      <c r="Q4293" s="2" t="s">
        <v>41310</v>
      </c>
      <c r="R4293" s="3" t="s">
        <v>66</v>
      </c>
      <c r="S4293" s="4">
        <v>0</v>
      </c>
      <c r="T4293" s="4">
        <v>0</v>
      </c>
      <c r="W4293" s="5" t="s">
        <v>67</v>
      </c>
      <c r="X4293" s="5" t="s">
        <v>67</v>
      </c>
      <c r="Y4293" s="4">
        <v>58</v>
      </c>
      <c r="Z4293" s="4">
        <v>6</v>
      </c>
      <c r="AA4293" s="4">
        <v>71</v>
      </c>
      <c r="AB4293" s="4">
        <v>1</v>
      </c>
      <c r="AC4293" s="4">
        <v>14</v>
      </c>
      <c r="AD4293" s="4">
        <v>27</v>
      </c>
      <c r="AE4293" s="4">
        <v>91</v>
      </c>
      <c r="AF4293" s="4">
        <v>0</v>
      </c>
      <c r="AG4293" s="4">
        <v>8</v>
      </c>
      <c r="AH4293" s="4">
        <v>24</v>
      </c>
      <c r="AI4293" s="4">
        <v>59</v>
      </c>
      <c r="AJ4293" s="4">
        <v>4</v>
      </c>
      <c r="AK4293" s="4">
        <v>19</v>
      </c>
      <c r="AL4293" s="4">
        <v>18</v>
      </c>
      <c r="AM4293" s="4">
        <v>31</v>
      </c>
      <c r="AN4293" s="4">
        <v>0</v>
      </c>
      <c r="AO4293" s="4">
        <v>0</v>
      </c>
      <c r="AP4293" s="4">
        <v>4</v>
      </c>
      <c r="AQ4293" s="4">
        <v>38</v>
      </c>
      <c r="AR4293" s="3" t="s">
        <v>62</v>
      </c>
      <c r="AS4293" s="3" t="s">
        <v>62</v>
      </c>
      <c r="AT4293" s="3" t="s">
        <v>62</v>
      </c>
      <c r="AV4293" s="6" t="str">
        <f>HYPERLINK("http://mcgill.on.worldcat.org/oclc/912706048","Catalog Record")</f>
        <v>Catalog Record</v>
      </c>
      <c r="AW4293" s="6" t="str">
        <f>HYPERLINK("http://www.worldcat.org/oclc/912706048","WorldCat Record")</f>
        <v>WorldCat Record</v>
      </c>
      <c r="AX4293" s="3" t="s">
        <v>41311</v>
      </c>
      <c r="AY4293" s="3" t="s">
        <v>41312</v>
      </c>
      <c r="AZ4293" s="3" t="s">
        <v>41313</v>
      </c>
      <c r="BA4293" s="3" t="s">
        <v>41313</v>
      </c>
      <c r="BB4293" s="3" t="s">
        <v>41314</v>
      </c>
      <c r="BC4293" s="3" t="s">
        <v>142</v>
      </c>
      <c r="BD4293" s="3" t="s">
        <v>68</v>
      </c>
      <c r="BE4293" s="3" t="s">
        <v>41315</v>
      </c>
      <c r="BF4293" s="3" t="s">
        <v>41314</v>
      </c>
      <c r="BG4293" s="3" t="s">
        <v>41316</v>
      </c>
    </row>
    <row r="4294" spans="1:59" ht="57" x14ac:dyDescent="0.45">
      <c r="A4294" s="2" t="s">
        <v>59</v>
      </c>
      <c r="B4294" s="2" t="s">
        <v>60</v>
      </c>
      <c r="C4294" s="2" t="s">
        <v>41317</v>
      </c>
      <c r="D4294" s="2" t="s">
        <v>41318</v>
      </c>
      <c r="E4294" s="2" t="s">
        <v>41319</v>
      </c>
      <c r="G4294" s="3" t="s">
        <v>62</v>
      </c>
      <c r="I4294" s="3" t="s">
        <v>62</v>
      </c>
      <c r="J4294" s="3" t="s">
        <v>62</v>
      </c>
      <c r="K4294" s="3" t="s">
        <v>63</v>
      </c>
      <c r="M4294" s="2" t="s">
        <v>6005</v>
      </c>
      <c r="N4294" s="3" t="s">
        <v>208</v>
      </c>
      <c r="P4294" s="3" t="s">
        <v>65</v>
      </c>
      <c r="Q4294" s="2" t="s">
        <v>41320</v>
      </c>
      <c r="R4294" s="3" t="s">
        <v>66</v>
      </c>
      <c r="S4294" s="4">
        <v>0</v>
      </c>
      <c r="T4294" s="4">
        <v>0</v>
      </c>
      <c r="W4294" s="5" t="s">
        <v>67</v>
      </c>
      <c r="X4294" s="5" t="s">
        <v>67</v>
      </c>
      <c r="Y4294" s="4">
        <v>81</v>
      </c>
      <c r="Z4294" s="4">
        <v>11</v>
      </c>
      <c r="AA4294" s="4">
        <v>74</v>
      </c>
      <c r="AB4294" s="4">
        <v>1</v>
      </c>
      <c r="AC4294" s="4">
        <v>14</v>
      </c>
      <c r="AD4294" s="4">
        <v>31</v>
      </c>
      <c r="AE4294" s="4">
        <v>90</v>
      </c>
      <c r="AF4294" s="4">
        <v>0</v>
      </c>
      <c r="AG4294" s="4">
        <v>8</v>
      </c>
      <c r="AH4294" s="4">
        <v>27</v>
      </c>
      <c r="AI4294" s="4">
        <v>58</v>
      </c>
      <c r="AJ4294" s="4">
        <v>9</v>
      </c>
      <c r="AK4294" s="4">
        <v>21</v>
      </c>
      <c r="AL4294" s="4">
        <v>20</v>
      </c>
      <c r="AM4294" s="4">
        <v>33</v>
      </c>
      <c r="AN4294" s="4">
        <v>0</v>
      </c>
      <c r="AO4294" s="4">
        <v>0</v>
      </c>
      <c r="AP4294" s="4">
        <v>9</v>
      </c>
      <c r="AQ4294" s="4">
        <v>40</v>
      </c>
      <c r="AR4294" s="3" t="s">
        <v>62</v>
      </c>
      <c r="AS4294" s="3" t="s">
        <v>62</v>
      </c>
      <c r="AT4294" s="3" t="s">
        <v>62</v>
      </c>
      <c r="AV4294" s="6" t="str">
        <f>HYPERLINK("http://mcgill.on.worldcat.org/oclc/881206882","Catalog Record")</f>
        <v>Catalog Record</v>
      </c>
      <c r="AW4294" s="6" t="str">
        <f>HYPERLINK("http://www.worldcat.org/oclc/881206882","WorldCat Record")</f>
        <v>WorldCat Record</v>
      </c>
      <c r="AX4294" s="3" t="s">
        <v>41321</v>
      </c>
      <c r="AY4294" s="3" t="s">
        <v>41322</v>
      </c>
      <c r="AZ4294" s="3" t="s">
        <v>41323</v>
      </c>
      <c r="BA4294" s="3" t="s">
        <v>41323</v>
      </c>
      <c r="BB4294" s="3" t="s">
        <v>41324</v>
      </c>
      <c r="BC4294" s="3" t="s">
        <v>142</v>
      </c>
      <c r="BD4294" s="3" t="s">
        <v>68</v>
      </c>
      <c r="BE4294" s="3" t="s">
        <v>41325</v>
      </c>
      <c r="BF4294" s="3" t="s">
        <v>41324</v>
      </c>
      <c r="BG4294" s="3" t="s">
        <v>41326</v>
      </c>
    </row>
    <row r="4295" spans="1:59" ht="71.25" x14ac:dyDescent="0.45">
      <c r="A4295" s="2" t="s">
        <v>59</v>
      </c>
      <c r="B4295" s="2" t="s">
        <v>60</v>
      </c>
      <c r="C4295" s="2" t="s">
        <v>41327</v>
      </c>
      <c r="D4295" s="2" t="s">
        <v>41328</v>
      </c>
      <c r="E4295" s="2" t="s">
        <v>41329</v>
      </c>
      <c r="G4295" s="3" t="s">
        <v>62</v>
      </c>
      <c r="I4295" s="3" t="s">
        <v>62</v>
      </c>
      <c r="J4295" s="3" t="s">
        <v>62</v>
      </c>
      <c r="K4295" s="3" t="s">
        <v>63</v>
      </c>
      <c r="L4295" s="2" t="s">
        <v>41330</v>
      </c>
      <c r="M4295" s="2" t="s">
        <v>41331</v>
      </c>
      <c r="N4295" s="3" t="s">
        <v>568</v>
      </c>
      <c r="P4295" s="3" t="s">
        <v>65</v>
      </c>
      <c r="R4295" s="3" t="s">
        <v>66</v>
      </c>
      <c r="S4295" s="4">
        <v>3</v>
      </c>
      <c r="T4295" s="4">
        <v>3</v>
      </c>
      <c r="U4295" s="5" t="s">
        <v>5594</v>
      </c>
      <c r="V4295" s="5" t="s">
        <v>5594</v>
      </c>
      <c r="W4295" s="5" t="s">
        <v>67</v>
      </c>
      <c r="X4295" s="5" t="s">
        <v>67</v>
      </c>
      <c r="Y4295" s="4">
        <v>48</v>
      </c>
      <c r="Z4295" s="4">
        <v>5</v>
      </c>
      <c r="AA4295" s="4">
        <v>8</v>
      </c>
      <c r="AB4295" s="4">
        <v>1</v>
      </c>
      <c r="AC4295" s="4">
        <v>3</v>
      </c>
      <c r="AD4295" s="4">
        <v>35</v>
      </c>
      <c r="AE4295" s="4">
        <v>42</v>
      </c>
      <c r="AF4295" s="4">
        <v>0</v>
      </c>
      <c r="AG4295" s="4">
        <v>2</v>
      </c>
      <c r="AH4295" s="4">
        <v>32</v>
      </c>
      <c r="AI4295" s="4">
        <v>37</v>
      </c>
      <c r="AJ4295" s="4">
        <v>2</v>
      </c>
      <c r="AK4295" s="4">
        <v>5</v>
      </c>
      <c r="AL4295" s="4">
        <v>20</v>
      </c>
      <c r="AM4295" s="4">
        <v>24</v>
      </c>
      <c r="AN4295" s="4">
        <v>0</v>
      </c>
      <c r="AO4295" s="4">
        <v>0</v>
      </c>
      <c r="AP4295" s="4">
        <v>3</v>
      </c>
      <c r="AQ4295" s="4">
        <v>6</v>
      </c>
      <c r="AR4295" s="3" t="s">
        <v>62</v>
      </c>
      <c r="AS4295" s="3" t="s">
        <v>62</v>
      </c>
      <c r="AT4295" s="3" t="s">
        <v>61</v>
      </c>
      <c r="AU4295" s="6" t="str">
        <f>HYPERLINK("http://catalog.hathitrust.org/Record/001085616","HathiTrust Record")</f>
        <v>HathiTrust Record</v>
      </c>
      <c r="AV4295" s="6" t="str">
        <f>HYPERLINK("http://mcgill.on.worldcat.org/oclc/17884913","Catalog Record")</f>
        <v>Catalog Record</v>
      </c>
      <c r="AW4295" s="6" t="str">
        <f>HYPERLINK("http://www.worldcat.org/oclc/17884913","WorldCat Record")</f>
        <v>WorldCat Record</v>
      </c>
      <c r="AX4295" s="3" t="s">
        <v>41332</v>
      </c>
      <c r="AY4295" s="3" t="s">
        <v>41333</v>
      </c>
      <c r="AZ4295" s="3" t="s">
        <v>41334</v>
      </c>
      <c r="BA4295" s="3" t="s">
        <v>41334</v>
      </c>
      <c r="BB4295" s="3" t="s">
        <v>41335</v>
      </c>
      <c r="BC4295" s="3" t="s">
        <v>142</v>
      </c>
      <c r="BD4295" s="3" t="s">
        <v>68</v>
      </c>
      <c r="BF4295" s="3" t="s">
        <v>41335</v>
      </c>
      <c r="BG4295" s="3" t="s">
        <v>41336</v>
      </c>
    </row>
    <row r="4296" spans="1:59" ht="57" x14ac:dyDescent="0.45">
      <c r="A4296" s="2" t="s">
        <v>59</v>
      </c>
      <c r="B4296" s="2" t="s">
        <v>60</v>
      </c>
      <c r="C4296" s="2" t="s">
        <v>41337</v>
      </c>
      <c r="D4296" s="2" t="s">
        <v>41338</v>
      </c>
      <c r="E4296" s="2" t="s">
        <v>41339</v>
      </c>
      <c r="G4296" s="3" t="s">
        <v>62</v>
      </c>
      <c r="I4296" s="3" t="s">
        <v>62</v>
      </c>
      <c r="J4296" s="3" t="s">
        <v>62</v>
      </c>
      <c r="K4296" s="3" t="s">
        <v>63</v>
      </c>
      <c r="M4296" s="2" t="s">
        <v>3925</v>
      </c>
      <c r="N4296" s="3" t="s">
        <v>149</v>
      </c>
      <c r="P4296" s="3" t="s">
        <v>65</v>
      </c>
      <c r="Q4296" s="2" t="s">
        <v>41340</v>
      </c>
      <c r="R4296" s="3" t="s">
        <v>66</v>
      </c>
      <c r="S4296" s="4">
        <v>0</v>
      </c>
      <c r="T4296" s="4">
        <v>0</v>
      </c>
      <c r="W4296" s="5" t="s">
        <v>67</v>
      </c>
      <c r="X4296" s="5" t="s">
        <v>67</v>
      </c>
      <c r="Y4296" s="4">
        <v>100</v>
      </c>
      <c r="Z4296" s="4">
        <v>15</v>
      </c>
      <c r="AA4296" s="4">
        <v>100</v>
      </c>
      <c r="AB4296" s="4">
        <v>1</v>
      </c>
      <c r="AC4296" s="4">
        <v>17</v>
      </c>
      <c r="AD4296" s="4">
        <v>46</v>
      </c>
      <c r="AE4296" s="4">
        <v>115</v>
      </c>
      <c r="AF4296" s="4">
        <v>0</v>
      </c>
      <c r="AG4296" s="4">
        <v>8</v>
      </c>
      <c r="AH4296" s="4">
        <v>39</v>
      </c>
      <c r="AI4296" s="4">
        <v>78</v>
      </c>
      <c r="AJ4296" s="4">
        <v>11</v>
      </c>
      <c r="AK4296" s="4">
        <v>25</v>
      </c>
      <c r="AL4296" s="4">
        <v>26</v>
      </c>
      <c r="AM4296" s="4">
        <v>38</v>
      </c>
      <c r="AN4296" s="4">
        <v>0</v>
      </c>
      <c r="AO4296" s="4">
        <v>0</v>
      </c>
      <c r="AP4296" s="4">
        <v>13</v>
      </c>
      <c r="AQ4296" s="4">
        <v>46</v>
      </c>
      <c r="AR4296" s="3" t="s">
        <v>62</v>
      </c>
      <c r="AS4296" s="3" t="s">
        <v>62</v>
      </c>
      <c r="AT4296" s="3" t="s">
        <v>62</v>
      </c>
      <c r="AV4296" s="6" t="str">
        <f>HYPERLINK("http://mcgill.on.worldcat.org/oclc/606054263","Catalog Record")</f>
        <v>Catalog Record</v>
      </c>
      <c r="AW4296" s="6" t="str">
        <f>HYPERLINK("http://www.worldcat.org/oclc/606054263","WorldCat Record")</f>
        <v>WorldCat Record</v>
      </c>
      <c r="AX4296" s="3" t="s">
        <v>41341</v>
      </c>
      <c r="AY4296" s="3" t="s">
        <v>41342</v>
      </c>
      <c r="AZ4296" s="3" t="s">
        <v>41343</v>
      </c>
      <c r="BA4296" s="3" t="s">
        <v>41343</v>
      </c>
      <c r="BB4296" s="3" t="s">
        <v>41344</v>
      </c>
      <c r="BC4296" s="3" t="s">
        <v>142</v>
      </c>
      <c r="BD4296" s="3" t="s">
        <v>68</v>
      </c>
      <c r="BE4296" s="3" t="s">
        <v>41345</v>
      </c>
      <c r="BF4296" s="3" t="s">
        <v>41344</v>
      </c>
      <c r="BG4296" s="3" t="s">
        <v>41346</v>
      </c>
    </row>
    <row r="4297" spans="1:59" ht="57" x14ac:dyDescent="0.45">
      <c r="A4297" s="2" t="s">
        <v>59</v>
      </c>
      <c r="B4297" s="2" t="s">
        <v>60</v>
      </c>
      <c r="C4297" s="2" t="s">
        <v>41347</v>
      </c>
      <c r="D4297" s="2" t="s">
        <v>41348</v>
      </c>
      <c r="E4297" s="2" t="s">
        <v>41349</v>
      </c>
      <c r="G4297" s="3" t="s">
        <v>62</v>
      </c>
      <c r="I4297" s="3" t="s">
        <v>62</v>
      </c>
      <c r="J4297" s="3" t="s">
        <v>62</v>
      </c>
      <c r="K4297" s="3" t="s">
        <v>63</v>
      </c>
      <c r="L4297" s="2" t="s">
        <v>6028</v>
      </c>
      <c r="M4297" s="2" t="s">
        <v>37400</v>
      </c>
      <c r="N4297" s="3" t="s">
        <v>542</v>
      </c>
      <c r="P4297" s="3" t="s">
        <v>65</v>
      </c>
      <c r="R4297" s="3" t="s">
        <v>66</v>
      </c>
      <c r="S4297" s="4">
        <v>12</v>
      </c>
      <c r="T4297" s="4">
        <v>12</v>
      </c>
      <c r="U4297" s="5" t="s">
        <v>16727</v>
      </c>
      <c r="V4297" s="5" t="s">
        <v>16727</v>
      </c>
      <c r="W4297" s="5" t="s">
        <v>67</v>
      </c>
      <c r="X4297" s="5" t="s">
        <v>67</v>
      </c>
      <c r="Y4297" s="4">
        <v>310</v>
      </c>
      <c r="Z4297" s="4">
        <v>16</v>
      </c>
      <c r="AA4297" s="4">
        <v>110</v>
      </c>
      <c r="AB4297" s="4">
        <v>2</v>
      </c>
      <c r="AC4297" s="4">
        <v>18</v>
      </c>
      <c r="AD4297" s="4">
        <v>77</v>
      </c>
      <c r="AE4297" s="4">
        <v>136</v>
      </c>
      <c r="AF4297" s="4">
        <v>1</v>
      </c>
      <c r="AG4297" s="4">
        <v>8</v>
      </c>
      <c r="AH4297" s="4">
        <v>67</v>
      </c>
      <c r="AI4297" s="4">
        <v>95</v>
      </c>
      <c r="AJ4297" s="4">
        <v>10</v>
      </c>
      <c r="AK4297" s="4">
        <v>24</v>
      </c>
      <c r="AL4297" s="4">
        <v>39</v>
      </c>
      <c r="AM4297" s="4">
        <v>50</v>
      </c>
      <c r="AN4297" s="4">
        <v>0</v>
      </c>
      <c r="AO4297" s="4">
        <v>0</v>
      </c>
      <c r="AP4297" s="4">
        <v>13</v>
      </c>
      <c r="AQ4297" s="4">
        <v>47</v>
      </c>
      <c r="AR4297" s="3" t="s">
        <v>62</v>
      </c>
      <c r="AS4297" s="3" t="s">
        <v>62</v>
      </c>
      <c r="AT4297" s="3" t="s">
        <v>62</v>
      </c>
      <c r="AV4297" s="6" t="str">
        <f>HYPERLINK("http://mcgill.on.worldcat.org/oclc/43245512","Catalog Record")</f>
        <v>Catalog Record</v>
      </c>
      <c r="AW4297" s="6" t="str">
        <f>HYPERLINK("http://www.worldcat.org/oclc/43245512","WorldCat Record")</f>
        <v>WorldCat Record</v>
      </c>
      <c r="AX4297" s="3" t="s">
        <v>41350</v>
      </c>
      <c r="AY4297" s="3" t="s">
        <v>41351</v>
      </c>
      <c r="AZ4297" s="3" t="s">
        <v>41352</v>
      </c>
      <c r="BA4297" s="3" t="s">
        <v>41352</v>
      </c>
      <c r="BB4297" s="3" t="s">
        <v>41353</v>
      </c>
      <c r="BC4297" s="3" t="s">
        <v>142</v>
      </c>
      <c r="BD4297" s="3" t="s">
        <v>68</v>
      </c>
      <c r="BE4297" s="3" t="s">
        <v>41354</v>
      </c>
      <c r="BF4297" s="3" t="s">
        <v>41353</v>
      </c>
      <c r="BG4297" s="3" t="s">
        <v>41355</v>
      </c>
    </row>
    <row r="4298" spans="1:59" ht="57" x14ac:dyDescent="0.45">
      <c r="A4298" s="2" t="s">
        <v>59</v>
      </c>
      <c r="B4298" s="2" t="s">
        <v>60</v>
      </c>
      <c r="C4298" s="2" t="s">
        <v>41356</v>
      </c>
      <c r="D4298" s="2" t="s">
        <v>41357</v>
      </c>
      <c r="E4298" s="2" t="s">
        <v>41358</v>
      </c>
      <c r="G4298" s="3" t="s">
        <v>62</v>
      </c>
      <c r="I4298" s="3" t="s">
        <v>62</v>
      </c>
      <c r="J4298" s="3" t="s">
        <v>62</v>
      </c>
      <c r="K4298" s="3" t="s">
        <v>63</v>
      </c>
      <c r="L4298" s="2" t="s">
        <v>3291</v>
      </c>
      <c r="M4298" s="2" t="s">
        <v>9700</v>
      </c>
      <c r="N4298" s="3" t="s">
        <v>945</v>
      </c>
      <c r="P4298" s="3" t="s">
        <v>65</v>
      </c>
      <c r="Q4298" s="2" t="s">
        <v>1267</v>
      </c>
      <c r="R4298" s="3" t="s">
        <v>66</v>
      </c>
      <c r="S4298" s="4">
        <v>13</v>
      </c>
      <c r="T4298" s="4">
        <v>13</v>
      </c>
      <c r="U4298" s="5" t="s">
        <v>9777</v>
      </c>
      <c r="V4298" s="5" t="s">
        <v>9777</v>
      </c>
      <c r="W4298" s="5" t="s">
        <v>67</v>
      </c>
      <c r="X4298" s="5" t="s">
        <v>67</v>
      </c>
      <c r="Y4298" s="4">
        <v>303</v>
      </c>
      <c r="Z4298" s="4">
        <v>20</v>
      </c>
      <c r="AA4298" s="4">
        <v>82</v>
      </c>
      <c r="AB4298" s="4">
        <v>1</v>
      </c>
      <c r="AC4298" s="4">
        <v>14</v>
      </c>
      <c r="AD4298" s="4">
        <v>99</v>
      </c>
      <c r="AE4298" s="4">
        <v>139</v>
      </c>
      <c r="AF4298" s="4">
        <v>0</v>
      </c>
      <c r="AG4298" s="4">
        <v>8</v>
      </c>
      <c r="AH4298" s="4">
        <v>89</v>
      </c>
      <c r="AI4298" s="4">
        <v>104</v>
      </c>
      <c r="AJ4298" s="4">
        <v>16</v>
      </c>
      <c r="AK4298" s="4">
        <v>26</v>
      </c>
      <c r="AL4298" s="4">
        <v>51</v>
      </c>
      <c r="AM4298" s="4">
        <v>56</v>
      </c>
      <c r="AN4298" s="4">
        <v>0</v>
      </c>
      <c r="AO4298" s="4">
        <v>0</v>
      </c>
      <c r="AP4298" s="4">
        <v>18</v>
      </c>
      <c r="AQ4298" s="4">
        <v>45</v>
      </c>
      <c r="AR4298" s="3" t="s">
        <v>62</v>
      </c>
      <c r="AS4298" s="3" t="s">
        <v>62</v>
      </c>
      <c r="AT4298" s="3" t="s">
        <v>62</v>
      </c>
      <c r="AV4298" s="6" t="str">
        <f>HYPERLINK("http://mcgill.on.worldcat.org/oclc/76836110","Catalog Record")</f>
        <v>Catalog Record</v>
      </c>
      <c r="AW4298" s="6" t="str">
        <f>HYPERLINK("http://www.worldcat.org/oclc/76836110","WorldCat Record")</f>
        <v>WorldCat Record</v>
      </c>
      <c r="AX4298" s="3" t="s">
        <v>41359</v>
      </c>
      <c r="AY4298" s="3" t="s">
        <v>41360</v>
      </c>
      <c r="AZ4298" s="3" t="s">
        <v>41361</v>
      </c>
      <c r="BA4298" s="3" t="s">
        <v>41361</v>
      </c>
      <c r="BB4298" s="3" t="s">
        <v>41362</v>
      </c>
      <c r="BC4298" s="3" t="s">
        <v>142</v>
      </c>
      <c r="BD4298" s="3" t="s">
        <v>68</v>
      </c>
      <c r="BE4298" s="3" t="s">
        <v>41363</v>
      </c>
      <c r="BF4298" s="3" t="s">
        <v>41362</v>
      </c>
      <c r="BG4298" s="3" t="s">
        <v>41364</v>
      </c>
    </row>
    <row r="4299" spans="1:59" ht="57" x14ac:dyDescent="0.45">
      <c r="A4299" s="2" t="s">
        <v>59</v>
      </c>
      <c r="B4299" s="2" t="s">
        <v>60</v>
      </c>
      <c r="C4299" s="2" t="s">
        <v>41365</v>
      </c>
      <c r="D4299" s="2" t="s">
        <v>41366</v>
      </c>
      <c r="E4299" s="2" t="s">
        <v>41367</v>
      </c>
      <c r="G4299" s="3" t="s">
        <v>62</v>
      </c>
      <c r="I4299" s="3" t="s">
        <v>62</v>
      </c>
      <c r="J4299" s="3" t="s">
        <v>62</v>
      </c>
      <c r="K4299" s="3" t="s">
        <v>63</v>
      </c>
      <c r="L4299" s="2" t="s">
        <v>41368</v>
      </c>
      <c r="M4299" s="2" t="s">
        <v>4162</v>
      </c>
      <c r="N4299" s="3" t="s">
        <v>894</v>
      </c>
      <c r="P4299" s="3" t="s">
        <v>65</v>
      </c>
      <c r="Q4299" s="2" t="s">
        <v>41369</v>
      </c>
      <c r="R4299" s="3" t="s">
        <v>66</v>
      </c>
      <c r="S4299" s="4">
        <v>0</v>
      </c>
      <c r="T4299" s="4">
        <v>0</v>
      </c>
      <c r="W4299" s="5" t="s">
        <v>67</v>
      </c>
      <c r="X4299" s="5" t="s">
        <v>67</v>
      </c>
      <c r="Y4299" s="4">
        <v>55</v>
      </c>
      <c r="Z4299" s="4">
        <v>9</v>
      </c>
      <c r="AA4299" s="4">
        <v>88</v>
      </c>
      <c r="AB4299" s="4">
        <v>1</v>
      </c>
      <c r="AC4299" s="4">
        <v>17</v>
      </c>
      <c r="AD4299" s="4">
        <v>30</v>
      </c>
      <c r="AE4299" s="4">
        <v>106</v>
      </c>
      <c r="AF4299" s="4">
        <v>0</v>
      </c>
      <c r="AG4299" s="4">
        <v>8</v>
      </c>
      <c r="AH4299" s="4">
        <v>27</v>
      </c>
      <c r="AI4299" s="4">
        <v>71</v>
      </c>
      <c r="AJ4299" s="4">
        <v>7</v>
      </c>
      <c r="AK4299" s="4">
        <v>21</v>
      </c>
      <c r="AL4299" s="4">
        <v>17</v>
      </c>
      <c r="AM4299" s="4">
        <v>37</v>
      </c>
      <c r="AN4299" s="4">
        <v>0</v>
      </c>
      <c r="AO4299" s="4">
        <v>0</v>
      </c>
      <c r="AP4299" s="4">
        <v>7</v>
      </c>
      <c r="AQ4299" s="4">
        <v>42</v>
      </c>
      <c r="AR4299" s="3" t="s">
        <v>62</v>
      </c>
      <c r="AS4299" s="3" t="s">
        <v>62</v>
      </c>
      <c r="AT4299" s="3" t="s">
        <v>62</v>
      </c>
      <c r="AV4299" s="6" t="str">
        <f>HYPERLINK("http://mcgill.on.worldcat.org/oclc/731009776","Catalog Record")</f>
        <v>Catalog Record</v>
      </c>
      <c r="AW4299" s="6" t="str">
        <f>HYPERLINK("http://www.worldcat.org/oclc/731009776","WorldCat Record")</f>
        <v>WorldCat Record</v>
      </c>
      <c r="AX4299" s="3" t="s">
        <v>41370</v>
      </c>
      <c r="AY4299" s="3" t="s">
        <v>41371</v>
      </c>
      <c r="AZ4299" s="3" t="s">
        <v>41372</v>
      </c>
      <c r="BA4299" s="3" t="s">
        <v>41372</v>
      </c>
      <c r="BB4299" s="3" t="s">
        <v>41373</v>
      </c>
      <c r="BC4299" s="3" t="s">
        <v>142</v>
      </c>
      <c r="BD4299" s="3" t="s">
        <v>68</v>
      </c>
      <c r="BE4299" s="3" t="s">
        <v>41374</v>
      </c>
      <c r="BF4299" s="3" t="s">
        <v>41373</v>
      </c>
      <c r="BG4299" s="3" t="s">
        <v>41375</v>
      </c>
    </row>
    <row r="4300" spans="1:59" ht="57" x14ac:dyDescent="0.45">
      <c r="A4300" s="2" t="s">
        <v>59</v>
      </c>
      <c r="B4300" s="2" t="s">
        <v>60</v>
      </c>
      <c r="C4300" s="2" t="s">
        <v>41376</v>
      </c>
      <c r="D4300" s="2" t="s">
        <v>41377</v>
      </c>
      <c r="E4300" s="2" t="s">
        <v>41378</v>
      </c>
      <c r="G4300" s="3" t="s">
        <v>62</v>
      </c>
      <c r="I4300" s="3" t="s">
        <v>62</v>
      </c>
      <c r="J4300" s="3" t="s">
        <v>62</v>
      </c>
      <c r="K4300" s="3" t="s">
        <v>63</v>
      </c>
      <c r="M4300" s="2" t="s">
        <v>41379</v>
      </c>
      <c r="N4300" s="3" t="s">
        <v>945</v>
      </c>
      <c r="P4300" s="3" t="s">
        <v>65</v>
      </c>
      <c r="Q4300" s="2" t="s">
        <v>41380</v>
      </c>
      <c r="R4300" s="3" t="s">
        <v>66</v>
      </c>
      <c r="S4300" s="4">
        <v>2</v>
      </c>
      <c r="T4300" s="4">
        <v>2</v>
      </c>
      <c r="U4300" s="5" t="s">
        <v>9777</v>
      </c>
      <c r="V4300" s="5" t="s">
        <v>9777</v>
      </c>
      <c r="W4300" s="5" t="s">
        <v>67</v>
      </c>
      <c r="X4300" s="5" t="s">
        <v>67</v>
      </c>
      <c r="Y4300" s="4">
        <v>124</v>
      </c>
      <c r="Z4300" s="4">
        <v>14</v>
      </c>
      <c r="AA4300" s="4">
        <v>14</v>
      </c>
      <c r="AB4300" s="4">
        <v>2</v>
      </c>
      <c r="AC4300" s="4">
        <v>2</v>
      </c>
      <c r="AD4300" s="4">
        <v>61</v>
      </c>
      <c r="AE4300" s="4">
        <v>61</v>
      </c>
      <c r="AF4300" s="4">
        <v>1</v>
      </c>
      <c r="AG4300" s="4">
        <v>1</v>
      </c>
      <c r="AH4300" s="4">
        <v>56</v>
      </c>
      <c r="AI4300" s="4">
        <v>56</v>
      </c>
      <c r="AJ4300" s="4">
        <v>11</v>
      </c>
      <c r="AK4300" s="4">
        <v>11</v>
      </c>
      <c r="AL4300" s="4">
        <v>34</v>
      </c>
      <c r="AM4300" s="4">
        <v>34</v>
      </c>
      <c r="AN4300" s="4">
        <v>0</v>
      </c>
      <c r="AO4300" s="4">
        <v>0</v>
      </c>
      <c r="AP4300" s="4">
        <v>12</v>
      </c>
      <c r="AQ4300" s="4">
        <v>12</v>
      </c>
      <c r="AR4300" s="3" t="s">
        <v>62</v>
      </c>
      <c r="AS4300" s="3" t="s">
        <v>62</v>
      </c>
      <c r="AT4300" s="3" t="s">
        <v>61</v>
      </c>
      <c r="AU4300" s="6" t="str">
        <f>HYPERLINK("http://catalog.hathitrust.org/Record/007148084","HathiTrust Record")</f>
        <v>HathiTrust Record</v>
      </c>
      <c r="AV4300" s="6" t="str">
        <f>HYPERLINK("http://mcgill.on.worldcat.org/oclc/85829942","Catalog Record")</f>
        <v>Catalog Record</v>
      </c>
      <c r="AW4300" s="6" t="str">
        <f>HYPERLINK("http://www.worldcat.org/oclc/85829942","WorldCat Record")</f>
        <v>WorldCat Record</v>
      </c>
      <c r="AX4300" s="3" t="s">
        <v>41381</v>
      </c>
      <c r="AY4300" s="3" t="s">
        <v>41382</v>
      </c>
      <c r="AZ4300" s="3" t="s">
        <v>41383</v>
      </c>
      <c r="BA4300" s="3" t="s">
        <v>41383</v>
      </c>
      <c r="BB4300" s="3" t="s">
        <v>41384</v>
      </c>
      <c r="BC4300" s="3" t="s">
        <v>142</v>
      </c>
      <c r="BD4300" s="3" t="s">
        <v>68</v>
      </c>
      <c r="BE4300" s="3" t="s">
        <v>41385</v>
      </c>
      <c r="BF4300" s="3" t="s">
        <v>41384</v>
      </c>
      <c r="BG4300" s="3" t="s">
        <v>41386</v>
      </c>
    </row>
    <row r="4301" spans="1:59" ht="57" x14ac:dyDescent="0.45">
      <c r="A4301" s="2" t="s">
        <v>59</v>
      </c>
      <c r="B4301" s="2" t="s">
        <v>60</v>
      </c>
      <c r="C4301" s="2" t="s">
        <v>41387</v>
      </c>
      <c r="D4301" s="2" t="s">
        <v>41388</v>
      </c>
      <c r="E4301" s="2" t="s">
        <v>41389</v>
      </c>
      <c r="G4301" s="3" t="s">
        <v>62</v>
      </c>
      <c r="I4301" s="3" t="s">
        <v>62</v>
      </c>
      <c r="J4301" s="3" t="s">
        <v>62</v>
      </c>
      <c r="K4301" s="3" t="s">
        <v>63</v>
      </c>
      <c r="L4301" s="2" t="s">
        <v>41390</v>
      </c>
      <c r="M4301" s="2" t="s">
        <v>41391</v>
      </c>
      <c r="N4301" s="3" t="s">
        <v>1155</v>
      </c>
      <c r="P4301" s="3" t="s">
        <v>65</v>
      </c>
      <c r="R4301" s="3" t="s">
        <v>66</v>
      </c>
      <c r="S4301" s="4">
        <v>0</v>
      </c>
      <c r="T4301" s="4">
        <v>0</v>
      </c>
      <c r="W4301" s="5" t="s">
        <v>67</v>
      </c>
      <c r="X4301" s="5" t="s">
        <v>67</v>
      </c>
      <c r="Y4301" s="4">
        <v>168</v>
      </c>
      <c r="Z4301" s="4">
        <v>9</v>
      </c>
      <c r="AA4301" s="4">
        <v>32</v>
      </c>
      <c r="AB4301" s="4">
        <v>1</v>
      </c>
      <c r="AC4301" s="4">
        <v>4</v>
      </c>
      <c r="AD4301" s="4">
        <v>61</v>
      </c>
      <c r="AE4301" s="4">
        <v>96</v>
      </c>
      <c r="AF4301" s="4">
        <v>0</v>
      </c>
      <c r="AG4301" s="4">
        <v>0</v>
      </c>
      <c r="AH4301" s="4">
        <v>58</v>
      </c>
      <c r="AI4301" s="4">
        <v>84</v>
      </c>
      <c r="AJ4301" s="4">
        <v>5</v>
      </c>
      <c r="AK4301" s="4">
        <v>11</v>
      </c>
      <c r="AL4301" s="4">
        <v>41</v>
      </c>
      <c r="AM4301" s="4">
        <v>49</v>
      </c>
      <c r="AN4301" s="4">
        <v>0</v>
      </c>
      <c r="AO4301" s="4">
        <v>0</v>
      </c>
      <c r="AP4301" s="4">
        <v>6</v>
      </c>
      <c r="AQ4301" s="4">
        <v>19</v>
      </c>
      <c r="AR4301" s="3" t="s">
        <v>62</v>
      </c>
      <c r="AS4301" s="3" t="s">
        <v>62</v>
      </c>
      <c r="AT4301" s="3" t="s">
        <v>62</v>
      </c>
      <c r="AV4301" s="6" t="str">
        <f>HYPERLINK("http://mcgill.on.worldcat.org/oclc/756594337","Catalog Record")</f>
        <v>Catalog Record</v>
      </c>
      <c r="AW4301" s="6" t="str">
        <f>HYPERLINK("http://www.worldcat.org/oclc/756594337","WorldCat Record")</f>
        <v>WorldCat Record</v>
      </c>
      <c r="AX4301" s="3" t="s">
        <v>41392</v>
      </c>
      <c r="AY4301" s="3" t="s">
        <v>41393</v>
      </c>
      <c r="AZ4301" s="3" t="s">
        <v>41394</v>
      </c>
      <c r="BA4301" s="3" t="s">
        <v>41394</v>
      </c>
      <c r="BB4301" s="3" t="s">
        <v>41395</v>
      </c>
      <c r="BC4301" s="3" t="s">
        <v>142</v>
      </c>
      <c r="BD4301" s="3" t="s">
        <v>68</v>
      </c>
      <c r="BE4301" s="3" t="s">
        <v>41396</v>
      </c>
      <c r="BF4301" s="3" t="s">
        <v>41395</v>
      </c>
      <c r="BG4301" s="3" t="s">
        <v>41397</v>
      </c>
    </row>
    <row r="4302" spans="1:59" ht="57" x14ac:dyDescent="0.45">
      <c r="A4302" s="2" t="s">
        <v>59</v>
      </c>
      <c r="B4302" s="2" t="s">
        <v>60</v>
      </c>
      <c r="C4302" s="2" t="s">
        <v>41398</v>
      </c>
      <c r="D4302" s="2" t="s">
        <v>41399</v>
      </c>
      <c r="E4302" s="2" t="s">
        <v>41400</v>
      </c>
      <c r="G4302" s="3" t="s">
        <v>62</v>
      </c>
      <c r="I4302" s="3" t="s">
        <v>62</v>
      </c>
      <c r="J4302" s="3" t="s">
        <v>62</v>
      </c>
      <c r="K4302" s="3" t="s">
        <v>63</v>
      </c>
      <c r="M4302" s="2" t="s">
        <v>1178</v>
      </c>
      <c r="N4302" s="3" t="s">
        <v>894</v>
      </c>
      <c r="P4302" s="3" t="s">
        <v>65</v>
      </c>
      <c r="Q4302" s="2" t="s">
        <v>41401</v>
      </c>
      <c r="R4302" s="3" t="s">
        <v>66</v>
      </c>
      <c r="S4302" s="4">
        <v>0</v>
      </c>
      <c r="T4302" s="4">
        <v>0</v>
      </c>
      <c r="W4302" s="5" t="s">
        <v>67</v>
      </c>
      <c r="X4302" s="5" t="s">
        <v>67</v>
      </c>
      <c r="Y4302" s="4">
        <v>83</v>
      </c>
      <c r="Z4302" s="4">
        <v>11</v>
      </c>
      <c r="AA4302" s="4">
        <v>92</v>
      </c>
      <c r="AB4302" s="4">
        <v>1</v>
      </c>
      <c r="AC4302" s="4">
        <v>17</v>
      </c>
      <c r="AD4302" s="4">
        <v>23</v>
      </c>
      <c r="AE4302" s="4">
        <v>108</v>
      </c>
      <c r="AF4302" s="4">
        <v>0</v>
      </c>
      <c r="AG4302" s="4">
        <v>8</v>
      </c>
      <c r="AH4302" s="4">
        <v>20</v>
      </c>
      <c r="AI4302" s="4">
        <v>73</v>
      </c>
      <c r="AJ4302" s="4">
        <v>8</v>
      </c>
      <c r="AK4302" s="4">
        <v>22</v>
      </c>
      <c r="AL4302" s="4">
        <v>13</v>
      </c>
      <c r="AM4302" s="4">
        <v>38</v>
      </c>
      <c r="AN4302" s="4">
        <v>0</v>
      </c>
      <c r="AO4302" s="4">
        <v>0</v>
      </c>
      <c r="AP4302" s="4">
        <v>8</v>
      </c>
      <c r="AQ4302" s="4">
        <v>43</v>
      </c>
      <c r="AR4302" s="3" t="s">
        <v>62</v>
      </c>
      <c r="AS4302" s="3" t="s">
        <v>62</v>
      </c>
      <c r="AT4302" s="3" t="s">
        <v>62</v>
      </c>
      <c r="AV4302" s="6" t="str">
        <f>HYPERLINK("http://mcgill.on.worldcat.org/oclc/748941795","Catalog Record")</f>
        <v>Catalog Record</v>
      </c>
      <c r="AW4302" s="6" t="str">
        <f>HYPERLINK("http://www.worldcat.org/oclc/748941795","WorldCat Record")</f>
        <v>WorldCat Record</v>
      </c>
      <c r="AX4302" s="3" t="s">
        <v>41402</v>
      </c>
      <c r="AY4302" s="3" t="s">
        <v>41403</v>
      </c>
      <c r="AZ4302" s="3" t="s">
        <v>41404</v>
      </c>
      <c r="BA4302" s="3" t="s">
        <v>41404</v>
      </c>
      <c r="BB4302" s="3" t="s">
        <v>41405</v>
      </c>
      <c r="BC4302" s="3" t="s">
        <v>142</v>
      </c>
      <c r="BD4302" s="3" t="s">
        <v>68</v>
      </c>
      <c r="BE4302" s="3" t="s">
        <v>41406</v>
      </c>
      <c r="BF4302" s="3" t="s">
        <v>41405</v>
      </c>
      <c r="BG4302" s="3" t="s">
        <v>41407</v>
      </c>
    </row>
    <row r="4303" spans="1:59" ht="57" x14ac:dyDescent="0.45">
      <c r="A4303" s="2" t="s">
        <v>59</v>
      </c>
      <c r="B4303" s="2" t="s">
        <v>60</v>
      </c>
      <c r="C4303" s="2" t="s">
        <v>41408</v>
      </c>
      <c r="D4303" s="2" t="s">
        <v>41409</v>
      </c>
      <c r="E4303" s="2" t="s">
        <v>41410</v>
      </c>
      <c r="G4303" s="3" t="s">
        <v>62</v>
      </c>
      <c r="I4303" s="3" t="s">
        <v>62</v>
      </c>
      <c r="J4303" s="3" t="s">
        <v>62</v>
      </c>
      <c r="K4303" s="3" t="s">
        <v>63</v>
      </c>
      <c r="L4303" s="2" t="s">
        <v>41411</v>
      </c>
      <c r="M4303" s="2" t="s">
        <v>41412</v>
      </c>
      <c r="N4303" s="3" t="s">
        <v>1059</v>
      </c>
      <c r="P4303" s="3" t="s">
        <v>110</v>
      </c>
      <c r="Q4303" s="2" t="s">
        <v>41413</v>
      </c>
      <c r="R4303" s="3" t="s">
        <v>66</v>
      </c>
      <c r="S4303" s="4">
        <v>2</v>
      </c>
      <c r="T4303" s="4">
        <v>2</v>
      </c>
      <c r="U4303" s="5" t="s">
        <v>4418</v>
      </c>
      <c r="V4303" s="5" t="s">
        <v>4418</v>
      </c>
      <c r="W4303" s="5" t="s">
        <v>67</v>
      </c>
      <c r="X4303" s="5" t="s">
        <v>67</v>
      </c>
      <c r="Y4303" s="4">
        <v>30</v>
      </c>
      <c r="Z4303" s="4">
        <v>4</v>
      </c>
      <c r="AA4303" s="4">
        <v>9</v>
      </c>
      <c r="AB4303" s="4">
        <v>1</v>
      </c>
      <c r="AC4303" s="4">
        <v>4</v>
      </c>
      <c r="AD4303" s="4">
        <v>12</v>
      </c>
      <c r="AE4303" s="4">
        <v>17</v>
      </c>
      <c r="AF4303" s="4">
        <v>0</v>
      </c>
      <c r="AG4303" s="4">
        <v>3</v>
      </c>
      <c r="AH4303" s="4">
        <v>11</v>
      </c>
      <c r="AI4303" s="4">
        <v>14</v>
      </c>
      <c r="AJ4303" s="4">
        <v>2</v>
      </c>
      <c r="AK4303" s="4">
        <v>7</v>
      </c>
      <c r="AL4303" s="4">
        <v>8</v>
      </c>
      <c r="AM4303" s="4">
        <v>8</v>
      </c>
      <c r="AN4303" s="4">
        <v>0</v>
      </c>
      <c r="AO4303" s="4">
        <v>0</v>
      </c>
      <c r="AP4303" s="4">
        <v>2</v>
      </c>
      <c r="AQ4303" s="4">
        <v>6</v>
      </c>
      <c r="AR4303" s="3" t="s">
        <v>62</v>
      </c>
      <c r="AS4303" s="3" t="s">
        <v>62</v>
      </c>
      <c r="AT4303" s="3" t="s">
        <v>62</v>
      </c>
      <c r="AV4303" s="6" t="str">
        <f>HYPERLINK("http://mcgill.on.worldcat.org/oclc/56755696","Catalog Record")</f>
        <v>Catalog Record</v>
      </c>
      <c r="AW4303" s="6" t="str">
        <f>HYPERLINK("http://www.worldcat.org/oclc/56755696","WorldCat Record")</f>
        <v>WorldCat Record</v>
      </c>
      <c r="AX4303" s="3" t="s">
        <v>41414</v>
      </c>
      <c r="AY4303" s="3" t="s">
        <v>41415</v>
      </c>
      <c r="AZ4303" s="3" t="s">
        <v>41416</v>
      </c>
      <c r="BA4303" s="3" t="s">
        <v>41416</v>
      </c>
      <c r="BB4303" s="3" t="s">
        <v>41417</v>
      </c>
      <c r="BC4303" s="3" t="s">
        <v>142</v>
      </c>
      <c r="BD4303" s="3" t="s">
        <v>68</v>
      </c>
      <c r="BE4303" s="3" t="s">
        <v>41418</v>
      </c>
      <c r="BF4303" s="3" t="s">
        <v>41417</v>
      </c>
      <c r="BG4303" s="3" t="s">
        <v>41419</v>
      </c>
    </row>
    <row r="4304" spans="1:59" ht="57" x14ac:dyDescent="0.45">
      <c r="A4304" s="2" t="s">
        <v>59</v>
      </c>
      <c r="B4304" s="2" t="s">
        <v>60</v>
      </c>
      <c r="C4304" s="2" t="s">
        <v>41420</v>
      </c>
      <c r="D4304" s="2" t="s">
        <v>41421</v>
      </c>
      <c r="E4304" s="2" t="s">
        <v>41422</v>
      </c>
      <c r="G4304" s="3" t="s">
        <v>62</v>
      </c>
      <c r="I4304" s="3" t="s">
        <v>62</v>
      </c>
      <c r="J4304" s="3" t="s">
        <v>62</v>
      </c>
      <c r="K4304" s="3" t="s">
        <v>63</v>
      </c>
      <c r="M4304" s="2" t="s">
        <v>41423</v>
      </c>
      <c r="N4304" s="3" t="s">
        <v>894</v>
      </c>
      <c r="P4304" s="3" t="s">
        <v>110</v>
      </c>
      <c r="Q4304" s="2" t="s">
        <v>41424</v>
      </c>
      <c r="R4304" s="3" t="s">
        <v>66</v>
      </c>
      <c r="S4304" s="4">
        <v>0</v>
      </c>
      <c r="T4304" s="4">
        <v>0</v>
      </c>
      <c r="W4304" s="5" t="s">
        <v>67</v>
      </c>
      <c r="X4304" s="5" t="s">
        <v>67</v>
      </c>
      <c r="Y4304" s="4">
        <v>35</v>
      </c>
      <c r="Z4304" s="4">
        <v>16</v>
      </c>
      <c r="AA4304" s="4">
        <v>25</v>
      </c>
      <c r="AB4304" s="4">
        <v>10</v>
      </c>
      <c r="AC4304" s="4">
        <v>11</v>
      </c>
      <c r="AD4304" s="4">
        <v>9</v>
      </c>
      <c r="AE4304" s="4">
        <v>32</v>
      </c>
      <c r="AF4304" s="4">
        <v>4</v>
      </c>
      <c r="AG4304" s="4">
        <v>5</v>
      </c>
      <c r="AH4304" s="4">
        <v>5</v>
      </c>
      <c r="AI4304" s="4">
        <v>22</v>
      </c>
      <c r="AJ4304" s="4">
        <v>8</v>
      </c>
      <c r="AK4304" s="4">
        <v>16</v>
      </c>
      <c r="AL4304" s="4">
        <v>1</v>
      </c>
      <c r="AM4304" s="4">
        <v>13</v>
      </c>
      <c r="AN4304" s="4">
        <v>0</v>
      </c>
      <c r="AO4304" s="4">
        <v>0</v>
      </c>
      <c r="AP4304" s="4">
        <v>7</v>
      </c>
      <c r="AQ4304" s="4">
        <v>16</v>
      </c>
      <c r="AR4304" s="3" t="s">
        <v>61</v>
      </c>
      <c r="AS4304" s="3" t="s">
        <v>62</v>
      </c>
      <c r="AT4304" s="3" t="s">
        <v>62</v>
      </c>
      <c r="AV4304" s="6" t="str">
        <f>HYPERLINK("http://mcgill.on.worldcat.org/oclc/777303859","Catalog Record")</f>
        <v>Catalog Record</v>
      </c>
      <c r="AW4304" s="6" t="str">
        <f>HYPERLINK("http://www.worldcat.org/oclc/777303859","WorldCat Record")</f>
        <v>WorldCat Record</v>
      </c>
      <c r="AX4304" s="3" t="s">
        <v>41425</v>
      </c>
      <c r="AY4304" s="3" t="s">
        <v>41426</v>
      </c>
      <c r="AZ4304" s="3" t="s">
        <v>41427</v>
      </c>
      <c r="BA4304" s="3" t="s">
        <v>41427</v>
      </c>
      <c r="BB4304" s="3" t="s">
        <v>41428</v>
      </c>
      <c r="BC4304" s="3" t="s">
        <v>142</v>
      </c>
      <c r="BD4304" s="3" t="s">
        <v>68</v>
      </c>
      <c r="BE4304" s="3" t="s">
        <v>41429</v>
      </c>
      <c r="BF4304" s="3" t="s">
        <v>41428</v>
      </c>
      <c r="BG4304" s="3" t="s">
        <v>41430</v>
      </c>
    </row>
    <row r="4305" spans="1:59" ht="57" x14ac:dyDescent="0.45">
      <c r="A4305" s="2" t="s">
        <v>59</v>
      </c>
      <c r="B4305" s="2" t="s">
        <v>60</v>
      </c>
      <c r="C4305" s="2" t="s">
        <v>41431</v>
      </c>
      <c r="D4305" s="2" t="s">
        <v>41432</v>
      </c>
      <c r="E4305" s="2" t="s">
        <v>41433</v>
      </c>
      <c r="G4305" s="3" t="s">
        <v>62</v>
      </c>
      <c r="I4305" s="3" t="s">
        <v>61</v>
      </c>
      <c r="J4305" s="3" t="s">
        <v>62</v>
      </c>
      <c r="K4305" s="3" t="s">
        <v>63</v>
      </c>
      <c r="L4305" s="2" t="s">
        <v>41434</v>
      </c>
      <c r="M4305" s="2" t="s">
        <v>41435</v>
      </c>
      <c r="N4305" s="3" t="s">
        <v>19337</v>
      </c>
      <c r="P4305" s="3" t="s">
        <v>65</v>
      </c>
      <c r="Q4305" s="2" t="s">
        <v>3338</v>
      </c>
      <c r="R4305" s="3" t="s">
        <v>66</v>
      </c>
      <c r="S4305" s="4">
        <v>0</v>
      </c>
      <c r="T4305" s="4">
        <v>0</v>
      </c>
      <c r="W4305" s="5" t="s">
        <v>13367</v>
      </c>
      <c r="X4305" s="5" t="s">
        <v>13367</v>
      </c>
      <c r="Y4305" s="4">
        <v>108</v>
      </c>
      <c r="Z4305" s="4">
        <v>7</v>
      </c>
      <c r="AA4305" s="4">
        <v>19</v>
      </c>
      <c r="AB4305" s="4">
        <v>2</v>
      </c>
      <c r="AC4305" s="4">
        <v>8</v>
      </c>
      <c r="AD4305" s="4">
        <v>49</v>
      </c>
      <c r="AE4305" s="4">
        <v>62</v>
      </c>
      <c r="AF4305" s="4">
        <v>1</v>
      </c>
      <c r="AG4305" s="4">
        <v>3</v>
      </c>
      <c r="AH4305" s="4">
        <v>42</v>
      </c>
      <c r="AI4305" s="4">
        <v>50</v>
      </c>
      <c r="AJ4305" s="4">
        <v>5</v>
      </c>
      <c r="AK4305" s="4">
        <v>10</v>
      </c>
      <c r="AL4305" s="4">
        <v>27</v>
      </c>
      <c r="AM4305" s="4">
        <v>29</v>
      </c>
      <c r="AN4305" s="4">
        <v>0</v>
      </c>
      <c r="AO4305" s="4">
        <v>0</v>
      </c>
      <c r="AP4305" s="4">
        <v>6</v>
      </c>
      <c r="AQ4305" s="4">
        <v>14</v>
      </c>
      <c r="AR4305" s="3" t="s">
        <v>62</v>
      </c>
      <c r="AS4305" s="3" t="s">
        <v>62</v>
      </c>
      <c r="AT4305" s="3" t="s">
        <v>62</v>
      </c>
      <c r="AV4305" s="6" t="str">
        <f>HYPERLINK("http://mcgill.on.worldcat.org/oclc/1044778006","Catalog Record")</f>
        <v>Catalog Record</v>
      </c>
      <c r="AW4305" s="6" t="str">
        <f>HYPERLINK("http://www.worldcat.org/oclc/1044778006","WorldCat Record")</f>
        <v>WorldCat Record</v>
      </c>
      <c r="AX4305" s="3" t="s">
        <v>41436</v>
      </c>
      <c r="AY4305" s="3" t="s">
        <v>41437</v>
      </c>
      <c r="AZ4305" s="3" t="s">
        <v>41438</v>
      </c>
      <c r="BA4305" s="3" t="s">
        <v>41438</v>
      </c>
      <c r="BB4305" s="3" t="s">
        <v>41439</v>
      </c>
      <c r="BC4305" s="3" t="s">
        <v>142</v>
      </c>
      <c r="BD4305" s="3" t="s">
        <v>68</v>
      </c>
      <c r="BE4305" s="3" t="s">
        <v>41440</v>
      </c>
      <c r="BF4305" s="3" t="s">
        <v>41439</v>
      </c>
      <c r="BG4305" s="3" t="s">
        <v>41441</v>
      </c>
    </row>
    <row r="4306" spans="1:59" ht="57" x14ac:dyDescent="0.45">
      <c r="A4306" s="2" t="s">
        <v>59</v>
      </c>
      <c r="B4306" s="2" t="s">
        <v>60</v>
      </c>
      <c r="C4306" s="2" t="s">
        <v>41431</v>
      </c>
      <c r="D4306" s="2" t="s">
        <v>41432</v>
      </c>
      <c r="E4306" s="2" t="s">
        <v>41433</v>
      </c>
      <c r="G4306" s="3" t="s">
        <v>62</v>
      </c>
      <c r="I4306" s="3" t="s">
        <v>61</v>
      </c>
      <c r="J4306" s="3" t="s">
        <v>62</v>
      </c>
      <c r="K4306" s="3" t="s">
        <v>63</v>
      </c>
      <c r="L4306" s="2" t="s">
        <v>41434</v>
      </c>
      <c r="M4306" s="2" t="s">
        <v>41435</v>
      </c>
      <c r="N4306" s="3" t="s">
        <v>19337</v>
      </c>
      <c r="P4306" s="3" t="s">
        <v>65</v>
      </c>
      <c r="Q4306" s="2" t="s">
        <v>3338</v>
      </c>
      <c r="R4306" s="3" t="s">
        <v>66</v>
      </c>
      <c r="S4306" s="4">
        <v>0</v>
      </c>
      <c r="T4306" s="4">
        <v>0</v>
      </c>
      <c r="W4306" s="5" t="s">
        <v>13367</v>
      </c>
      <c r="X4306" s="5" t="s">
        <v>13367</v>
      </c>
      <c r="Y4306" s="4">
        <v>108</v>
      </c>
      <c r="Z4306" s="4">
        <v>7</v>
      </c>
      <c r="AA4306" s="4">
        <v>19</v>
      </c>
      <c r="AB4306" s="4">
        <v>2</v>
      </c>
      <c r="AC4306" s="4">
        <v>8</v>
      </c>
      <c r="AD4306" s="4">
        <v>49</v>
      </c>
      <c r="AE4306" s="4">
        <v>62</v>
      </c>
      <c r="AF4306" s="4">
        <v>1</v>
      </c>
      <c r="AG4306" s="4">
        <v>3</v>
      </c>
      <c r="AH4306" s="4">
        <v>42</v>
      </c>
      <c r="AI4306" s="4">
        <v>50</v>
      </c>
      <c r="AJ4306" s="4">
        <v>5</v>
      </c>
      <c r="AK4306" s="4">
        <v>10</v>
      </c>
      <c r="AL4306" s="4">
        <v>27</v>
      </c>
      <c r="AM4306" s="4">
        <v>29</v>
      </c>
      <c r="AN4306" s="4">
        <v>0</v>
      </c>
      <c r="AO4306" s="4">
        <v>0</v>
      </c>
      <c r="AP4306" s="4">
        <v>6</v>
      </c>
      <c r="AQ4306" s="4">
        <v>14</v>
      </c>
      <c r="AR4306" s="3" t="s">
        <v>62</v>
      </c>
      <c r="AS4306" s="3" t="s">
        <v>62</v>
      </c>
      <c r="AT4306" s="3" t="s">
        <v>62</v>
      </c>
      <c r="AV4306" s="6" t="str">
        <f>HYPERLINK("http://mcgill.on.worldcat.org/oclc/1044778006","Catalog Record")</f>
        <v>Catalog Record</v>
      </c>
      <c r="AW4306" s="6" t="str">
        <f>HYPERLINK("http://www.worldcat.org/oclc/1044778006","WorldCat Record")</f>
        <v>WorldCat Record</v>
      </c>
      <c r="AX4306" s="3" t="s">
        <v>41436</v>
      </c>
      <c r="AY4306" s="3" t="s">
        <v>41437</v>
      </c>
      <c r="AZ4306" s="3" t="s">
        <v>41438</v>
      </c>
      <c r="BA4306" s="3" t="s">
        <v>41438</v>
      </c>
      <c r="BB4306" s="3" t="s">
        <v>41442</v>
      </c>
      <c r="BC4306" s="3" t="s">
        <v>142</v>
      </c>
      <c r="BD4306" s="3" t="s">
        <v>68</v>
      </c>
      <c r="BE4306" s="3" t="s">
        <v>41440</v>
      </c>
      <c r="BF4306" s="3" t="s">
        <v>41442</v>
      </c>
      <c r="BG4306" s="3" t="s">
        <v>41443</v>
      </c>
    </row>
    <row r="4307" spans="1:59" ht="57" x14ac:dyDescent="0.45">
      <c r="A4307" s="2" t="s">
        <v>59</v>
      </c>
      <c r="B4307" s="2" t="s">
        <v>60</v>
      </c>
      <c r="C4307" s="2" t="s">
        <v>41444</v>
      </c>
      <c r="D4307" s="2" t="s">
        <v>41445</v>
      </c>
      <c r="E4307" s="2" t="s">
        <v>41446</v>
      </c>
      <c r="G4307" s="3" t="s">
        <v>62</v>
      </c>
      <c r="I4307" s="3" t="s">
        <v>62</v>
      </c>
      <c r="J4307" s="3" t="s">
        <v>62</v>
      </c>
      <c r="K4307" s="3" t="s">
        <v>63</v>
      </c>
      <c r="L4307" s="2" t="s">
        <v>41447</v>
      </c>
      <c r="M4307" s="2" t="s">
        <v>41448</v>
      </c>
      <c r="N4307" s="3" t="s">
        <v>894</v>
      </c>
      <c r="P4307" s="3" t="s">
        <v>65</v>
      </c>
      <c r="R4307" s="3" t="s">
        <v>66</v>
      </c>
      <c r="S4307" s="4">
        <v>5</v>
      </c>
      <c r="T4307" s="4">
        <v>5</v>
      </c>
      <c r="U4307" s="5" t="s">
        <v>41449</v>
      </c>
      <c r="V4307" s="5" t="s">
        <v>41449</v>
      </c>
      <c r="W4307" s="5" t="s">
        <v>67</v>
      </c>
      <c r="X4307" s="5" t="s">
        <v>67</v>
      </c>
      <c r="Y4307" s="4">
        <v>177</v>
      </c>
      <c r="Z4307" s="4">
        <v>21</v>
      </c>
      <c r="AA4307" s="4">
        <v>111</v>
      </c>
      <c r="AB4307" s="4">
        <v>1</v>
      </c>
      <c r="AC4307" s="4">
        <v>18</v>
      </c>
      <c r="AD4307" s="4">
        <v>64</v>
      </c>
      <c r="AE4307" s="4">
        <v>134</v>
      </c>
      <c r="AF4307" s="4">
        <v>0</v>
      </c>
      <c r="AG4307" s="4">
        <v>8</v>
      </c>
      <c r="AH4307" s="4">
        <v>54</v>
      </c>
      <c r="AI4307" s="4">
        <v>95</v>
      </c>
      <c r="AJ4307" s="4">
        <v>13</v>
      </c>
      <c r="AK4307" s="4">
        <v>25</v>
      </c>
      <c r="AL4307" s="4">
        <v>31</v>
      </c>
      <c r="AM4307" s="4">
        <v>49</v>
      </c>
      <c r="AN4307" s="4">
        <v>0</v>
      </c>
      <c r="AO4307" s="4">
        <v>0</v>
      </c>
      <c r="AP4307" s="4">
        <v>17</v>
      </c>
      <c r="AQ4307" s="4">
        <v>49</v>
      </c>
      <c r="AR4307" s="3" t="s">
        <v>62</v>
      </c>
      <c r="AS4307" s="3" t="s">
        <v>62</v>
      </c>
      <c r="AT4307" s="3" t="s">
        <v>62</v>
      </c>
      <c r="AV4307" s="6" t="str">
        <f>HYPERLINK("http://mcgill.on.worldcat.org/oclc/679940598","Catalog Record")</f>
        <v>Catalog Record</v>
      </c>
      <c r="AW4307" s="6" t="str">
        <f>HYPERLINK("http://www.worldcat.org/oclc/679940598","WorldCat Record")</f>
        <v>WorldCat Record</v>
      </c>
      <c r="AX4307" s="3" t="s">
        <v>41450</v>
      </c>
      <c r="AY4307" s="3" t="s">
        <v>41451</v>
      </c>
      <c r="AZ4307" s="3" t="s">
        <v>41452</v>
      </c>
      <c r="BA4307" s="3" t="s">
        <v>41452</v>
      </c>
      <c r="BB4307" s="3" t="s">
        <v>41453</v>
      </c>
      <c r="BC4307" s="3" t="s">
        <v>142</v>
      </c>
      <c r="BD4307" s="3" t="s">
        <v>68</v>
      </c>
      <c r="BE4307" s="3" t="s">
        <v>41454</v>
      </c>
      <c r="BF4307" s="3" t="s">
        <v>41453</v>
      </c>
      <c r="BG4307" s="3" t="s">
        <v>41455</v>
      </c>
    </row>
    <row r="4308" spans="1:59" ht="57" x14ac:dyDescent="0.45">
      <c r="A4308" s="2" t="s">
        <v>59</v>
      </c>
      <c r="B4308" s="2" t="s">
        <v>60</v>
      </c>
      <c r="C4308" s="2" t="s">
        <v>41456</v>
      </c>
      <c r="D4308" s="2" t="s">
        <v>41457</v>
      </c>
      <c r="E4308" s="2" t="s">
        <v>41458</v>
      </c>
      <c r="G4308" s="3" t="s">
        <v>62</v>
      </c>
      <c r="I4308" s="3" t="s">
        <v>62</v>
      </c>
      <c r="J4308" s="3" t="s">
        <v>62</v>
      </c>
      <c r="K4308" s="3" t="s">
        <v>63</v>
      </c>
      <c r="M4308" s="2" t="s">
        <v>3110</v>
      </c>
      <c r="N4308" s="3" t="s">
        <v>149</v>
      </c>
      <c r="P4308" s="3" t="s">
        <v>65</v>
      </c>
      <c r="Q4308" s="2" t="s">
        <v>41459</v>
      </c>
      <c r="R4308" s="3" t="s">
        <v>66</v>
      </c>
      <c r="S4308" s="4">
        <v>1</v>
      </c>
      <c r="T4308" s="4">
        <v>1</v>
      </c>
      <c r="U4308" s="5" t="s">
        <v>41460</v>
      </c>
      <c r="V4308" s="5" t="s">
        <v>41460</v>
      </c>
      <c r="W4308" s="5" t="s">
        <v>67</v>
      </c>
      <c r="X4308" s="5" t="s">
        <v>67</v>
      </c>
      <c r="Y4308" s="4">
        <v>38</v>
      </c>
      <c r="Z4308" s="4">
        <v>10</v>
      </c>
      <c r="AA4308" s="4">
        <v>37</v>
      </c>
      <c r="AB4308" s="4">
        <v>1</v>
      </c>
      <c r="AC4308" s="4">
        <v>6</v>
      </c>
      <c r="AD4308" s="4">
        <v>21</v>
      </c>
      <c r="AE4308" s="4">
        <v>33</v>
      </c>
      <c r="AF4308" s="4">
        <v>0</v>
      </c>
      <c r="AG4308" s="4">
        <v>1</v>
      </c>
      <c r="AH4308" s="4">
        <v>18</v>
      </c>
      <c r="AI4308" s="4">
        <v>21</v>
      </c>
      <c r="AJ4308" s="4">
        <v>7</v>
      </c>
      <c r="AK4308" s="4">
        <v>8</v>
      </c>
      <c r="AL4308" s="4">
        <v>12</v>
      </c>
      <c r="AM4308" s="4">
        <v>15</v>
      </c>
      <c r="AN4308" s="4">
        <v>0</v>
      </c>
      <c r="AO4308" s="4">
        <v>0</v>
      </c>
      <c r="AP4308" s="4">
        <v>7</v>
      </c>
      <c r="AQ4308" s="4">
        <v>14</v>
      </c>
      <c r="AR4308" s="3" t="s">
        <v>62</v>
      </c>
      <c r="AS4308" s="3" t="s">
        <v>62</v>
      </c>
      <c r="AT4308" s="3" t="s">
        <v>62</v>
      </c>
      <c r="AV4308" s="6" t="str">
        <f>HYPERLINK("http://mcgill.on.worldcat.org/oclc/664669030","Catalog Record")</f>
        <v>Catalog Record</v>
      </c>
      <c r="AW4308" s="6" t="str">
        <f>HYPERLINK("http://www.worldcat.org/oclc/664669030","WorldCat Record")</f>
        <v>WorldCat Record</v>
      </c>
      <c r="AX4308" s="3" t="s">
        <v>41461</v>
      </c>
      <c r="AY4308" s="3" t="s">
        <v>41462</v>
      </c>
      <c r="AZ4308" s="3" t="s">
        <v>41463</v>
      </c>
      <c r="BA4308" s="3" t="s">
        <v>41463</v>
      </c>
      <c r="BB4308" s="3" t="s">
        <v>41464</v>
      </c>
      <c r="BC4308" s="3" t="s">
        <v>142</v>
      </c>
      <c r="BD4308" s="3" t="s">
        <v>68</v>
      </c>
      <c r="BE4308" s="3" t="s">
        <v>41465</v>
      </c>
      <c r="BF4308" s="3" t="s">
        <v>41464</v>
      </c>
      <c r="BG4308" s="3" t="s">
        <v>41466</v>
      </c>
    </row>
    <row r="4309" spans="1:59" ht="57" x14ac:dyDescent="0.45">
      <c r="A4309" s="2" t="s">
        <v>59</v>
      </c>
      <c r="B4309" s="2" t="s">
        <v>60</v>
      </c>
      <c r="C4309" s="2" t="s">
        <v>41467</v>
      </c>
      <c r="D4309" s="2" t="s">
        <v>41468</v>
      </c>
      <c r="E4309" s="2" t="s">
        <v>41469</v>
      </c>
      <c r="G4309" s="3" t="s">
        <v>62</v>
      </c>
      <c r="I4309" s="3" t="s">
        <v>62</v>
      </c>
      <c r="J4309" s="3" t="s">
        <v>62</v>
      </c>
      <c r="K4309" s="3" t="s">
        <v>63</v>
      </c>
      <c r="L4309" s="2" t="s">
        <v>41470</v>
      </c>
      <c r="M4309" s="2" t="s">
        <v>41471</v>
      </c>
      <c r="N4309" s="3" t="s">
        <v>116</v>
      </c>
      <c r="P4309" s="3" t="s">
        <v>65</v>
      </c>
      <c r="Q4309" s="2" t="s">
        <v>41472</v>
      </c>
      <c r="R4309" s="3" t="s">
        <v>66</v>
      </c>
      <c r="S4309" s="4">
        <v>1</v>
      </c>
      <c r="T4309" s="4">
        <v>1</v>
      </c>
      <c r="U4309" s="5" t="s">
        <v>41460</v>
      </c>
      <c r="V4309" s="5" t="s">
        <v>41460</v>
      </c>
      <c r="W4309" s="5" t="s">
        <v>67</v>
      </c>
      <c r="X4309" s="5" t="s">
        <v>67</v>
      </c>
      <c r="Y4309" s="4">
        <v>65</v>
      </c>
      <c r="Z4309" s="4">
        <v>5</v>
      </c>
      <c r="AA4309" s="4">
        <v>27</v>
      </c>
      <c r="AB4309" s="4">
        <v>1</v>
      </c>
      <c r="AC4309" s="4">
        <v>4</v>
      </c>
      <c r="AD4309" s="4">
        <v>18</v>
      </c>
      <c r="AE4309" s="4">
        <v>37</v>
      </c>
      <c r="AF4309" s="4">
        <v>0</v>
      </c>
      <c r="AG4309" s="4">
        <v>1</v>
      </c>
      <c r="AH4309" s="4">
        <v>17</v>
      </c>
      <c r="AI4309" s="4">
        <v>28</v>
      </c>
      <c r="AJ4309" s="4">
        <v>4</v>
      </c>
      <c r="AK4309" s="4">
        <v>7</v>
      </c>
      <c r="AL4309" s="4">
        <v>11</v>
      </c>
      <c r="AM4309" s="4">
        <v>18</v>
      </c>
      <c r="AN4309" s="4">
        <v>0</v>
      </c>
      <c r="AO4309" s="4">
        <v>0</v>
      </c>
      <c r="AP4309" s="4">
        <v>4</v>
      </c>
      <c r="AQ4309" s="4">
        <v>14</v>
      </c>
      <c r="AR4309" s="3" t="s">
        <v>62</v>
      </c>
      <c r="AS4309" s="3" t="s">
        <v>62</v>
      </c>
      <c r="AT4309" s="3" t="s">
        <v>62</v>
      </c>
      <c r="AV4309" s="6" t="str">
        <f>HYPERLINK("http://mcgill.on.worldcat.org/oclc/835101391","Catalog Record")</f>
        <v>Catalog Record</v>
      </c>
      <c r="AW4309" s="6" t="str">
        <f>HYPERLINK("http://www.worldcat.org/oclc/835101391","WorldCat Record")</f>
        <v>WorldCat Record</v>
      </c>
      <c r="AX4309" s="3" t="s">
        <v>41473</v>
      </c>
      <c r="AY4309" s="3" t="s">
        <v>41474</v>
      </c>
      <c r="AZ4309" s="3" t="s">
        <v>41475</v>
      </c>
      <c r="BA4309" s="3" t="s">
        <v>41475</v>
      </c>
      <c r="BB4309" s="3" t="s">
        <v>41476</v>
      </c>
      <c r="BC4309" s="3" t="s">
        <v>142</v>
      </c>
      <c r="BD4309" s="3" t="s">
        <v>68</v>
      </c>
      <c r="BE4309" s="3" t="s">
        <v>41477</v>
      </c>
      <c r="BF4309" s="3" t="s">
        <v>41476</v>
      </c>
      <c r="BG4309" s="3" t="s">
        <v>41478</v>
      </c>
    </row>
    <row r="4310" spans="1:59" ht="71.25" x14ac:dyDescent="0.45">
      <c r="A4310" s="2" t="s">
        <v>59</v>
      </c>
      <c r="B4310" s="2" t="s">
        <v>60</v>
      </c>
      <c r="C4310" s="2" t="s">
        <v>41479</v>
      </c>
      <c r="D4310" s="2" t="s">
        <v>41480</v>
      </c>
      <c r="E4310" s="2" t="s">
        <v>41481</v>
      </c>
      <c r="G4310" s="3" t="s">
        <v>62</v>
      </c>
      <c r="I4310" s="3" t="s">
        <v>62</v>
      </c>
      <c r="J4310" s="3" t="s">
        <v>62</v>
      </c>
      <c r="K4310" s="3" t="s">
        <v>63</v>
      </c>
      <c r="L4310" s="2" t="s">
        <v>41482</v>
      </c>
      <c r="M4310" s="2" t="s">
        <v>1178</v>
      </c>
      <c r="N4310" s="3" t="s">
        <v>894</v>
      </c>
      <c r="P4310" s="3" t="s">
        <v>65</v>
      </c>
      <c r="Q4310" s="2" t="s">
        <v>41483</v>
      </c>
      <c r="R4310" s="3" t="s">
        <v>66</v>
      </c>
      <c r="S4310" s="4">
        <v>0</v>
      </c>
      <c r="T4310" s="4">
        <v>0</v>
      </c>
      <c r="W4310" s="5" t="s">
        <v>67</v>
      </c>
      <c r="X4310" s="5" t="s">
        <v>67</v>
      </c>
      <c r="Y4310" s="4">
        <v>55</v>
      </c>
      <c r="Z4310" s="4">
        <v>4</v>
      </c>
      <c r="AA4310" s="4">
        <v>84</v>
      </c>
      <c r="AB4310" s="4">
        <v>1</v>
      </c>
      <c r="AC4310" s="4">
        <v>17</v>
      </c>
      <c r="AD4310" s="4">
        <v>22</v>
      </c>
      <c r="AE4310" s="4">
        <v>102</v>
      </c>
      <c r="AF4310" s="4">
        <v>0</v>
      </c>
      <c r="AG4310" s="4">
        <v>8</v>
      </c>
      <c r="AH4310" s="4">
        <v>21</v>
      </c>
      <c r="AI4310" s="4">
        <v>68</v>
      </c>
      <c r="AJ4310" s="4">
        <v>3</v>
      </c>
      <c r="AK4310" s="4">
        <v>19</v>
      </c>
      <c r="AL4310" s="4">
        <v>13</v>
      </c>
      <c r="AM4310" s="4">
        <v>35</v>
      </c>
      <c r="AN4310" s="4">
        <v>0</v>
      </c>
      <c r="AO4310" s="4">
        <v>0</v>
      </c>
      <c r="AP4310" s="4">
        <v>3</v>
      </c>
      <c r="AQ4310" s="4">
        <v>40</v>
      </c>
      <c r="AR4310" s="3" t="s">
        <v>62</v>
      </c>
      <c r="AS4310" s="3" t="s">
        <v>62</v>
      </c>
      <c r="AT4310" s="3" t="s">
        <v>62</v>
      </c>
      <c r="AV4310" s="6" t="str">
        <f>HYPERLINK("http://mcgill.on.worldcat.org/oclc/670238299","Catalog Record")</f>
        <v>Catalog Record</v>
      </c>
      <c r="AW4310" s="6" t="str">
        <f>HYPERLINK("http://www.worldcat.org/oclc/670238299","WorldCat Record")</f>
        <v>WorldCat Record</v>
      </c>
      <c r="AX4310" s="3" t="s">
        <v>41484</v>
      </c>
      <c r="AY4310" s="3" t="s">
        <v>41485</v>
      </c>
      <c r="AZ4310" s="3" t="s">
        <v>41486</v>
      </c>
      <c r="BA4310" s="3" t="s">
        <v>41486</v>
      </c>
      <c r="BB4310" s="3" t="s">
        <v>41487</v>
      </c>
      <c r="BC4310" s="3" t="s">
        <v>142</v>
      </c>
      <c r="BD4310" s="3" t="s">
        <v>68</v>
      </c>
      <c r="BE4310" s="3" t="s">
        <v>41488</v>
      </c>
      <c r="BF4310" s="3" t="s">
        <v>41487</v>
      </c>
      <c r="BG4310" s="3" t="s">
        <v>41489</v>
      </c>
    </row>
    <row r="4311" spans="1:59" ht="57" x14ac:dyDescent="0.45">
      <c r="A4311" s="2" t="s">
        <v>59</v>
      </c>
      <c r="B4311" s="2" t="s">
        <v>60</v>
      </c>
      <c r="C4311" s="2" t="s">
        <v>41490</v>
      </c>
      <c r="D4311" s="2" t="s">
        <v>41491</v>
      </c>
      <c r="E4311" s="2" t="s">
        <v>41492</v>
      </c>
      <c r="G4311" s="3" t="s">
        <v>62</v>
      </c>
      <c r="I4311" s="3" t="s">
        <v>62</v>
      </c>
      <c r="J4311" s="3" t="s">
        <v>62</v>
      </c>
      <c r="K4311" s="3" t="s">
        <v>63</v>
      </c>
      <c r="L4311" s="2" t="s">
        <v>41493</v>
      </c>
      <c r="M4311" s="2" t="s">
        <v>41494</v>
      </c>
      <c r="N4311" s="3" t="s">
        <v>894</v>
      </c>
      <c r="P4311" s="3" t="s">
        <v>65</v>
      </c>
      <c r="Q4311" s="2" t="s">
        <v>41495</v>
      </c>
      <c r="R4311" s="3" t="s">
        <v>66</v>
      </c>
      <c r="S4311" s="4">
        <v>2</v>
      </c>
      <c r="T4311" s="4">
        <v>2</v>
      </c>
      <c r="U4311" s="5" t="s">
        <v>41496</v>
      </c>
      <c r="V4311" s="5" t="s">
        <v>41496</v>
      </c>
      <c r="W4311" s="5" t="s">
        <v>67</v>
      </c>
      <c r="X4311" s="5" t="s">
        <v>67</v>
      </c>
      <c r="Y4311" s="4">
        <v>27</v>
      </c>
      <c r="Z4311" s="4">
        <v>3</v>
      </c>
      <c r="AA4311" s="4">
        <v>71</v>
      </c>
      <c r="AB4311" s="4">
        <v>1</v>
      </c>
      <c r="AC4311" s="4">
        <v>14</v>
      </c>
      <c r="AD4311" s="4">
        <v>8</v>
      </c>
      <c r="AE4311" s="4">
        <v>76</v>
      </c>
      <c r="AF4311" s="4">
        <v>0</v>
      </c>
      <c r="AG4311" s="4">
        <v>8</v>
      </c>
      <c r="AH4311" s="4">
        <v>7</v>
      </c>
      <c r="AI4311" s="4">
        <v>46</v>
      </c>
      <c r="AJ4311" s="4">
        <v>1</v>
      </c>
      <c r="AK4311" s="4">
        <v>16</v>
      </c>
      <c r="AL4311" s="4">
        <v>5</v>
      </c>
      <c r="AM4311" s="4">
        <v>22</v>
      </c>
      <c r="AN4311" s="4">
        <v>0</v>
      </c>
      <c r="AO4311" s="4">
        <v>0</v>
      </c>
      <c r="AP4311" s="4">
        <v>2</v>
      </c>
      <c r="AQ4311" s="4">
        <v>36</v>
      </c>
      <c r="AR4311" s="3" t="s">
        <v>62</v>
      </c>
      <c r="AS4311" s="3" t="s">
        <v>62</v>
      </c>
      <c r="AT4311" s="3" t="s">
        <v>62</v>
      </c>
      <c r="AV4311" s="6" t="str">
        <f>HYPERLINK("http://mcgill.on.worldcat.org/oclc/750408943","Catalog Record")</f>
        <v>Catalog Record</v>
      </c>
      <c r="AW4311" s="6" t="str">
        <f>HYPERLINK("http://www.worldcat.org/oclc/750408943","WorldCat Record")</f>
        <v>WorldCat Record</v>
      </c>
      <c r="AX4311" s="3" t="s">
        <v>41497</v>
      </c>
      <c r="AY4311" s="3" t="s">
        <v>41498</v>
      </c>
      <c r="AZ4311" s="3" t="s">
        <v>41499</v>
      </c>
      <c r="BA4311" s="3" t="s">
        <v>41499</v>
      </c>
      <c r="BB4311" s="3" t="s">
        <v>41500</v>
      </c>
      <c r="BC4311" s="3" t="s">
        <v>142</v>
      </c>
      <c r="BD4311" s="3" t="s">
        <v>68</v>
      </c>
      <c r="BE4311" s="3" t="s">
        <v>41501</v>
      </c>
      <c r="BF4311" s="3" t="s">
        <v>41500</v>
      </c>
      <c r="BG4311" s="3" t="s">
        <v>41502</v>
      </c>
    </row>
    <row r="4312" spans="1:59" ht="57" x14ac:dyDescent="0.45">
      <c r="A4312" s="2" t="s">
        <v>59</v>
      </c>
      <c r="B4312" s="2" t="s">
        <v>60</v>
      </c>
      <c r="C4312" s="2" t="s">
        <v>41503</v>
      </c>
      <c r="D4312" s="2" t="s">
        <v>41504</v>
      </c>
      <c r="E4312" s="2" t="s">
        <v>41505</v>
      </c>
      <c r="G4312" s="3" t="s">
        <v>62</v>
      </c>
      <c r="I4312" s="3" t="s">
        <v>62</v>
      </c>
      <c r="J4312" s="3" t="s">
        <v>62</v>
      </c>
      <c r="K4312" s="3" t="s">
        <v>63</v>
      </c>
      <c r="M4312" s="2" t="s">
        <v>1178</v>
      </c>
      <c r="N4312" s="3" t="s">
        <v>894</v>
      </c>
      <c r="P4312" s="3" t="s">
        <v>65</v>
      </c>
      <c r="Q4312" s="2" t="s">
        <v>41506</v>
      </c>
      <c r="R4312" s="3" t="s">
        <v>66</v>
      </c>
      <c r="S4312" s="4">
        <v>0</v>
      </c>
      <c r="T4312" s="4">
        <v>0</v>
      </c>
      <c r="W4312" s="5" t="s">
        <v>67</v>
      </c>
      <c r="X4312" s="5" t="s">
        <v>67</v>
      </c>
      <c r="Y4312" s="4">
        <v>88</v>
      </c>
      <c r="Z4312" s="4">
        <v>10</v>
      </c>
      <c r="AA4312" s="4">
        <v>92</v>
      </c>
      <c r="AB4312" s="4">
        <v>1</v>
      </c>
      <c r="AC4312" s="4">
        <v>17</v>
      </c>
      <c r="AD4312" s="4">
        <v>37</v>
      </c>
      <c r="AE4312" s="4">
        <v>113</v>
      </c>
      <c r="AF4312" s="4">
        <v>0</v>
      </c>
      <c r="AG4312" s="4">
        <v>8</v>
      </c>
      <c r="AH4312" s="4">
        <v>33</v>
      </c>
      <c r="AI4312" s="4">
        <v>78</v>
      </c>
      <c r="AJ4312" s="4">
        <v>7</v>
      </c>
      <c r="AK4312" s="4">
        <v>23</v>
      </c>
      <c r="AL4312" s="4">
        <v>18</v>
      </c>
      <c r="AM4312" s="4">
        <v>40</v>
      </c>
      <c r="AN4312" s="4">
        <v>0</v>
      </c>
      <c r="AO4312" s="4">
        <v>0</v>
      </c>
      <c r="AP4312" s="4">
        <v>8</v>
      </c>
      <c r="AQ4312" s="4">
        <v>44</v>
      </c>
      <c r="AR4312" s="3" t="s">
        <v>62</v>
      </c>
      <c r="AS4312" s="3" t="s">
        <v>62</v>
      </c>
      <c r="AT4312" s="3" t="s">
        <v>62</v>
      </c>
      <c r="AV4312" s="6" t="str">
        <f>HYPERLINK("http://mcgill.on.worldcat.org/oclc/698626504","Catalog Record")</f>
        <v>Catalog Record</v>
      </c>
      <c r="AW4312" s="6" t="str">
        <f>HYPERLINK("http://www.worldcat.org/oclc/698626504","WorldCat Record")</f>
        <v>WorldCat Record</v>
      </c>
      <c r="AX4312" s="3" t="s">
        <v>41507</v>
      </c>
      <c r="AY4312" s="3" t="s">
        <v>41508</v>
      </c>
      <c r="AZ4312" s="3" t="s">
        <v>41509</v>
      </c>
      <c r="BA4312" s="3" t="s">
        <v>41509</v>
      </c>
      <c r="BB4312" s="3" t="s">
        <v>41510</v>
      </c>
      <c r="BC4312" s="3" t="s">
        <v>142</v>
      </c>
      <c r="BD4312" s="3" t="s">
        <v>68</v>
      </c>
      <c r="BE4312" s="3" t="s">
        <v>41511</v>
      </c>
      <c r="BF4312" s="3" t="s">
        <v>41510</v>
      </c>
      <c r="BG4312" s="3" t="s">
        <v>41512</v>
      </c>
    </row>
    <row r="4313" spans="1:59" ht="57" x14ac:dyDescent="0.45">
      <c r="A4313" s="2" t="s">
        <v>59</v>
      </c>
      <c r="B4313" s="2" t="s">
        <v>60</v>
      </c>
      <c r="C4313" s="2" t="s">
        <v>41514</v>
      </c>
      <c r="D4313" s="2" t="s">
        <v>41515</v>
      </c>
      <c r="E4313" s="2" t="s">
        <v>41516</v>
      </c>
      <c r="F4313" s="3" t="s">
        <v>41517</v>
      </c>
      <c r="G4313" s="3" t="s">
        <v>61</v>
      </c>
      <c r="I4313" s="3" t="s">
        <v>62</v>
      </c>
      <c r="J4313" s="3" t="s">
        <v>62</v>
      </c>
      <c r="K4313" s="3" t="s">
        <v>63</v>
      </c>
      <c r="M4313" s="2" t="s">
        <v>41518</v>
      </c>
      <c r="P4313" s="3" t="s">
        <v>65</v>
      </c>
      <c r="Q4313" s="2" t="s">
        <v>41519</v>
      </c>
      <c r="R4313" s="3" t="s">
        <v>66</v>
      </c>
      <c r="S4313" s="4">
        <v>2</v>
      </c>
      <c r="T4313" s="4">
        <v>7</v>
      </c>
      <c r="U4313" s="5" t="s">
        <v>41520</v>
      </c>
      <c r="V4313" s="5" t="s">
        <v>17319</v>
      </c>
      <c r="W4313" s="5" t="s">
        <v>67</v>
      </c>
      <c r="X4313" s="5" t="s">
        <v>67</v>
      </c>
      <c r="Y4313" s="4">
        <v>4</v>
      </c>
      <c r="Z4313" s="4">
        <v>1</v>
      </c>
      <c r="AA4313" s="4">
        <v>86</v>
      </c>
      <c r="AB4313" s="4">
        <v>1</v>
      </c>
      <c r="AC4313" s="4">
        <v>17</v>
      </c>
      <c r="AD4313" s="4">
        <v>0</v>
      </c>
      <c r="AE4313" s="4">
        <v>102</v>
      </c>
      <c r="AF4313" s="4">
        <v>0</v>
      </c>
      <c r="AG4313" s="4">
        <v>8</v>
      </c>
      <c r="AH4313" s="4">
        <v>0</v>
      </c>
      <c r="AI4313" s="4">
        <v>69</v>
      </c>
      <c r="AJ4313" s="4">
        <v>0</v>
      </c>
      <c r="AK4313" s="4">
        <v>22</v>
      </c>
      <c r="AL4313" s="4">
        <v>0</v>
      </c>
      <c r="AM4313" s="4">
        <v>37</v>
      </c>
      <c r="AN4313" s="4">
        <v>0</v>
      </c>
      <c r="AO4313" s="4">
        <v>0</v>
      </c>
      <c r="AP4313" s="4">
        <v>0</v>
      </c>
      <c r="AQ4313" s="4">
        <v>42</v>
      </c>
      <c r="AR4313" s="3" t="s">
        <v>62</v>
      </c>
      <c r="AS4313" s="3" t="s">
        <v>62</v>
      </c>
      <c r="AT4313" s="3" t="s">
        <v>62</v>
      </c>
      <c r="AV4313" s="6" t="str">
        <f>HYPERLINK("http://mcgill.on.worldcat.org/oclc/608658976","Catalog Record")</f>
        <v>Catalog Record</v>
      </c>
      <c r="AW4313" s="6" t="str">
        <f>HYPERLINK("http://www.worldcat.org/oclc/608658976","WorldCat Record")</f>
        <v>WorldCat Record</v>
      </c>
      <c r="AX4313" s="3" t="s">
        <v>41521</v>
      </c>
      <c r="AY4313" s="3" t="s">
        <v>41522</v>
      </c>
      <c r="AZ4313" s="3" t="s">
        <v>41523</v>
      </c>
      <c r="BA4313" s="3" t="s">
        <v>41523</v>
      </c>
      <c r="BB4313" s="3" t="s">
        <v>41524</v>
      </c>
      <c r="BC4313" s="3" t="s">
        <v>142</v>
      </c>
      <c r="BD4313" s="3" t="s">
        <v>68</v>
      </c>
      <c r="BF4313" s="3" t="s">
        <v>41524</v>
      </c>
      <c r="BG4313" s="3" t="s">
        <v>41525</v>
      </c>
    </row>
    <row r="4314" spans="1:59" ht="57" x14ac:dyDescent="0.45">
      <c r="A4314" s="2" t="s">
        <v>59</v>
      </c>
      <c r="B4314" s="2" t="s">
        <v>60</v>
      </c>
      <c r="C4314" s="2" t="s">
        <v>41514</v>
      </c>
      <c r="D4314" s="2" t="s">
        <v>41515</v>
      </c>
      <c r="E4314" s="2" t="s">
        <v>41516</v>
      </c>
      <c r="F4314" s="3" t="s">
        <v>87</v>
      </c>
      <c r="G4314" s="3" t="s">
        <v>61</v>
      </c>
      <c r="I4314" s="3" t="s">
        <v>62</v>
      </c>
      <c r="J4314" s="3" t="s">
        <v>62</v>
      </c>
      <c r="K4314" s="3" t="s">
        <v>63</v>
      </c>
      <c r="M4314" s="2" t="s">
        <v>41518</v>
      </c>
      <c r="P4314" s="3" t="s">
        <v>65</v>
      </c>
      <c r="Q4314" s="2" t="s">
        <v>41519</v>
      </c>
      <c r="R4314" s="3" t="s">
        <v>66</v>
      </c>
      <c r="S4314" s="4">
        <v>3</v>
      </c>
      <c r="T4314" s="4">
        <v>7</v>
      </c>
      <c r="U4314" s="5" t="s">
        <v>41526</v>
      </c>
      <c r="V4314" s="5" t="s">
        <v>17319</v>
      </c>
      <c r="W4314" s="5" t="s">
        <v>67</v>
      </c>
      <c r="X4314" s="5" t="s">
        <v>67</v>
      </c>
      <c r="Y4314" s="4">
        <v>4</v>
      </c>
      <c r="Z4314" s="4">
        <v>1</v>
      </c>
      <c r="AA4314" s="4">
        <v>86</v>
      </c>
      <c r="AB4314" s="4">
        <v>1</v>
      </c>
      <c r="AC4314" s="4">
        <v>17</v>
      </c>
      <c r="AD4314" s="4">
        <v>0</v>
      </c>
      <c r="AE4314" s="4">
        <v>102</v>
      </c>
      <c r="AF4314" s="4">
        <v>0</v>
      </c>
      <c r="AG4314" s="4">
        <v>8</v>
      </c>
      <c r="AH4314" s="4">
        <v>0</v>
      </c>
      <c r="AI4314" s="4">
        <v>69</v>
      </c>
      <c r="AJ4314" s="4">
        <v>0</v>
      </c>
      <c r="AK4314" s="4">
        <v>22</v>
      </c>
      <c r="AL4314" s="4">
        <v>0</v>
      </c>
      <c r="AM4314" s="4">
        <v>37</v>
      </c>
      <c r="AN4314" s="4">
        <v>0</v>
      </c>
      <c r="AO4314" s="4">
        <v>0</v>
      </c>
      <c r="AP4314" s="4">
        <v>0</v>
      </c>
      <c r="AQ4314" s="4">
        <v>42</v>
      </c>
      <c r="AR4314" s="3" t="s">
        <v>62</v>
      </c>
      <c r="AS4314" s="3" t="s">
        <v>62</v>
      </c>
      <c r="AT4314" s="3" t="s">
        <v>62</v>
      </c>
      <c r="AV4314" s="6" t="str">
        <f>HYPERLINK("http://mcgill.on.worldcat.org/oclc/608658976","Catalog Record")</f>
        <v>Catalog Record</v>
      </c>
      <c r="AW4314" s="6" t="str">
        <f>HYPERLINK("http://www.worldcat.org/oclc/608658976","WorldCat Record")</f>
        <v>WorldCat Record</v>
      </c>
      <c r="AX4314" s="3" t="s">
        <v>41521</v>
      </c>
      <c r="AY4314" s="3" t="s">
        <v>41522</v>
      </c>
      <c r="AZ4314" s="3" t="s">
        <v>41523</v>
      </c>
      <c r="BA4314" s="3" t="s">
        <v>41523</v>
      </c>
      <c r="BB4314" s="3" t="s">
        <v>41527</v>
      </c>
      <c r="BC4314" s="3" t="s">
        <v>142</v>
      </c>
      <c r="BD4314" s="3" t="s">
        <v>68</v>
      </c>
      <c r="BF4314" s="3" t="s">
        <v>41527</v>
      </c>
      <c r="BG4314" s="3" t="s">
        <v>41528</v>
      </c>
    </row>
    <row r="4315" spans="1:59" ht="57" x14ac:dyDescent="0.45">
      <c r="A4315" s="2" t="s">
        <v>59</v>
      </c>
      <c r="B4315" s="2" t="s">
        <v>60</v>
      </c>
      <c r="C4315" s="2" t="s">
        <v>41514</v>
      </c>
      <c r="D4315" s="2" t="s">
        <v>41515</v>
      </c>
      <c r="E4315" s="2" t="s">
        <v>41516</v>
      </c>
      <c r="F4315" s="3" t="s">
        <v>86</v>
      </c>
      <c r="G4315" s="3" t="s">
        <v>61</v>
      </c>
      <c r="I4315" s="3" t="s">
        <v>62</v>
      </c>
      <c r="J4315" s="3" t="s">
        <v>62</v>
      </c>
      <c r="K4315" s="3" t="s">
        <v>63</v>
      </c>
      <c r="M4315" s="2" t="s">
        <v>41518</v>
      </c>
      <c r="P4315" s="3" t="s">
        <v>65</v>
      </c>
      <c r="Q4315" s="2" t="s">
        <v>41519</v>
      </c>
      <c r="R4315" s="3" t="s">
        <v>66</v>
      </c>
      <c r="S4315" s="4">
        <v>1</v>
      </c>
      <c r="T4315" s="4">
        <v>7</v>
      </c>
      <c r="U4315" s="5" t="s">
        <v>17319</v>
      </c>
      <c r="V4315" s="5" t="s">
        <v>17319</v>
      </c>
      <c r="W4315" s="5" t="s">
        <v>67</v>
      </c>
      <c r="X4315" s="5" t="s">
        <v>67</v>
      </c>
      <c r="Y4315" s="4">
        <v>4</v>
      </c>
      <c r="Z4315" s="4">
        <v>1</v>
      </c>
      <c r="AA4315" s="4">
        <v>86</v>
      </c>
      <c r="AB4315" s="4">
        <v>1</v>
      </c>
      <c r="AC4315" s="4">
        <v>17</v>
      </c>
      <c r="AD4315" s="4">
        <v>0</v>
      </c>
      <c r="AE4315" s="4">
        <v>102</v>
      </c>
      <c r="AF4315" s="4">
        <v>0</v>
      </c>
      <c r="AG4315" s="4">
        <v>8</v>
      </c>
      <c r="AH4315" s="4">
        <v>0</v>
      </c>
      <c r="AI4315" s="4">
        <v>69</v>
      </c>
      <c r="AJ4315" s="4">
        <v>0</v>
      </c>
      <c r="AK4315" s="4">
        <v>22</v>
      </c>
      <c r="AL4315" s="4">
        <v>0</v>
      </c>
      <c r="AM4315" s="4">
        <v>37</v>
      </c>
      <c r="AN4315" s="4">
        <v>0</v>
      </c>
      <c r="AO4315" s="4">
        <v>0</v>
      </c>
      <c r="AP4315" s="4">
        <v>0</v>
      </c>
      <c r="AQ4315" s="4">
        <v>42</v>
      </c>
      <c r="AR4315" s="3" t="s">
        <v>62</v>
      </c>
      <c r="AS4315" s="3" t="s">
        <v>62</v>
      </c>
      <c r="AT4315" s="3" t="s">
        <v>62</v>
      </c>
      <c r="AV4315" s="6" t="str">
        <f>HYPERLINK("http://mcgill.on.worldcat.org/oclc/608658976","Catalog Record")</f>
        <v>Catalog Record</v>
      </c>
      <c r="AW4315" s="6" t="str">
        <f>HYPERLINK("http://www.worldcat.org/oclc/608658976","WorldCat Record")</f>
        <v>WorldCat Record</v>
      </c>
      <c r="AX4315" s="3" t="s">
        <v>41521</v>
      </c>
      <c r="AY4315" s="3" t="s">
        <v>41522</v>
      </c>
      <c r="AZ4315" s="3" t="s">
        <v>41523</v>
      </c>
      <c r="BA4315" s="3" t="s">
        <v>41523</v>
      </c>
      <c r="BB4315" s="3" t="s">
        <v>41529</v>
      </c>
      <c r="BC4315" s="3" t="s">
        <v>142</v>
      </c>
      <c r="BD4315" s="3" t="s">
        <v>68</v>
      </c>
      <c r="BF4315" s="3" t="s">
        <v>41529</v>
      </c>
      <c r="BG4315" s="3" t="s">
        <v>41530</v>
      </c>
    </row>
    <row r="4316" spans="1:59" ht="57" x14ac:dyDescent="0.45">
      <c r="A4316" s="2" t="s">
        <v>59</v>
      </c>
      <c r="B4316" s="2" t="s">
        <v>60</v>
      </c>
      <c r="C4316" s="2" t="s">
        <v>41514</v>
      </c>
      <c r="D4316" s="2" t="s">
        <v>41515</v>
      </c>
      <c r="E4316" s="2" t="s">
        <v>41516</v>
      </c>
      <c r="F4316" s="3" t="s">
        <v>41531</v>
      </c>
      <c r="G4316" s="3" t="s">
        <v>61</v>
      </c>
      <c r="I4316" s="3" t="s">
        <v>62</v>
      </c>
      <c r="J4316" s="3" t="s">
        <v>62</v>
      </c>
      <c r="K4316" s="3" t="s">
        <v>63</v>
      </c>
      <c r="M4316" s="2" t="s">
        <v>41518</v>
      </c>
      <c r="P4316" s="3" t="s">
        <v>65</v>
      </c>
      <c r="Q4316" s="2" t="s">
        <v>41519</v>
      </c>
      <c r="R4316" s="3" t="s">
        <v>66</v>
      </c>
      <c r="S4316" s="4">
        <v>1</v>
      </c>
      <c r="T4316" s="4">
        <v>7</v>
      </c>
      <c r="U4316" s="5" t="s">
        <v>25888</v>
      </c>
      <c r="V4316" s="5" t="s">
        <v>17319</v>
      </c>
      <c r="W4316" s="5" t="s">
        <v>67</v>
      </c>
      <c r="X4316" s="5" t="s">
        <v>67</v>
      </c>
      <c r="Y4316" s="4">
        <v>4</v>
      </c>
      <c r="Z4316" s="4">
        <v>1</v>
      </c>
      <c r="AA4316" s="4">
        <v>86</v>
      </c>
      <c r="AB4316" s="4">
        <v>1</v>
      </c>
      <c r="AC4316" s="4">
        <v>17</v>
      </c>
      <c r="AD4316" s="4">
        <v>0</v>
      </c>
      <c r="AE4316" s="4">
        <v>102</v>
      </c>
      <c r="AF4316" s="4">
        <v>0</v>
      </c>
      <c r="AG4316" s="4">
        <v>8</v>
      </c>
      <c r="AH4316" s="4">
        <v>0</v>
      </c>
      <c r="AI4316" s="4">
        <v>69</v>
      </c>
      <c r="AJ4316" s="4">
        <v>0</v>
      </c>
      <c r="AK4316" s="4">
        <v>22</v>
      </c>
      <c r="AL4316" s="4">
        <v>0</v>
      </c>
      <c r="AM4316" s="4">
        <v>37</v>
      </c>
      <c r="AN4316" s="4">
        <v>0</v>
      </c>
      <c r="AO4316" s="4">
        <v>0</v>
      </c>
      <c r="AP4316" s="4">
        <v>0</v>
      </c>
      <c r="AQ4316" s="4">
        <v>42</v>
      </c>
      <c r="AR4316" s="3" t="s">
        <v>62</v>
      </c>
      <c r="AS4316" s="3" t="s">
        <v>62</v>
      </c>
      <c r="AT4316" s="3" t="s">
        <v>62</v>
      </c>
      <c r="AV4316" s="6" t="str">
        <f>HYPERLINK("http://mcgill.on.worldcat.org/oclc/608658976","Catalog Record")</f>
        <v>Catalog Record</v>
      </c>
      <c r="AW4316" s="6" t="str">
        <f>HYPERLINK("http://www.worldcat.org/oclc/608658976","WorldCat Record")</f>
        <v>WorldCat Record</v>
      </c>
      <c r="AX4316" s="3" t="s">
        <v>41521</v>
      </c>
      <c r="AY4316" s="3" t="s">
        <v>41522</v>
      </c>
      <c r="AZ4316" s="3" t="s">
        <v>41523</v>
      </c>
      <c r="BA4316" s="3" t="s">
        <v>41523</v>
      </c>
      <c r="BB4316" s="3" t="s">
        <v>41532</v>
      </c>
      <c r="BC4316" s="3" t="s">
        <v>142</v>
      </c>
      <c r="BD4316" s="3" t="s">
        <v>68</v>
      </c>
      <c r="BF4316" s="3" t="s">
        <v>41532</v>
      </c>
      <c r="BG4316" s="3" t="s">
        <v>41533</v>
      </c>
    </row>
    <row r="4317" spans="1:59" ht="57" x14ac:dyDescent="0.45">
      <c r="A4317" s="2" t="s">
        <v>59</v>
      </c>
      <c r="B4317" s="2" t="s">
        <v>60</v>
      </c>
      <c r="C4317" s="2" t="s">
        <v>41534</v>
      </c>
      <c r="D4317" s="2" t="s">
        <v>41535</v>
      </c>
      <c r="E4317" s="2" t="s">
        <v>41536</v>
      </c>
      <c r="G4317" s="3" t="s">
        <v>62</v>
      </c>
      <c r="I4317" s="3" t="s">
        <v>62</v>
      </c>
      <c r="J4317" s="3" t="s">
        <v>62</v>
      </c>
      <c r="K4317" s="3" t="s">
        <v>63</v>
      </c>
      <c r="M4317" s="2" t="s">
        <v>38605</v>
      </c>
      <c r="N4317" s="3" t="s">
        <v>1239</v>
      </c>
      <c r="P4317" s="3" t="s">
        <v>65</v>
      </c>
      <c r="Q4317" s="2" t="s">
        <v>41537</v>
      </c>
      <c r="R4317" s="3" t="s">
        <v>66</v>
      </c>
      <c r="S4317" s="4">
        <v>20</v>
      </c>
      <c r="T4317" s="4">
        <v>20</v>
      </c>
      <c r="U4317" s="5" t="s">
        <v>12354</v>
      </c>
      <c r="V4317" s="5" t="s">
        <v>12354</v>
      </c>
      <c r="W4317" s="5" t="s">
        <v>67</v>
      </c>
      <c r="X4317" s="5" t="s">
        <v>67</v>
      </c>
      <c r="Y4317" s="4">
        <v>242</v>
      </c>
      <c r="Z4317" s="4">
        <v>23</v>
      </c>
      <c r="AA4317" s="4">
        <v>101</v>
      </c>
      <c r="AB4317" s="4">
        <v>1</v>
      </c>
      <c r="AC4317" s="4">
        <v>17</v>
      </c>
      <c r="AD4317" s="4">
        <v>92</v>
      </c>
      <c r="AE4317" s="4">
        <v>132</v>
      </c>
      <c r="AF4317" s="4">
        <v>0</v>
      </c>
      <c r="AG4317" s="4">
        <v>8</v>
      </c>
      <c r="AH4317" s="4">
        <v>81</v>
      </c>
      <c r="AI4317" s="4">
        <v>94</v>
      </c>
      <c r="AJ4317" s="4">
        <v>14</v>
      </c>
      <c r="AK4317" s="4">
        <v>26</v>
      </c>
      <c r="AL4317" s="4">
        <v>49</v>
      </c>
      <c r="AM4317" s="4">
        <v>51</v>
      </c>
      <c r="AN4317" s="4">
        <v>0</v>
      </c>
      <c r="AO4317" s="4">
        <v>0</v>
      </c>
      <c r="AP4317" s="4">
        <v>18</v>
      </c>
      <c r="AQ4317" s="4">
        <v>48</v>
      </c>
      <c r="AR4317" s="3" t="s">
        <v>62</v>
      </c>
      <c r="AS4317" s="3" t="s">
        <v>62</v>
      </c>
      <c r="AT4317" s="3" t="s">
        <v>61</v>
      </c>
      <c r="AU4317" s="6" t="str">
        <f>HYPERLINK("http://catalog.hathitrust.org/Record/001298048","HathiTrust Record")</f>
        <v>HathiTrust Record</v>
      </c>
      <c r="AV4317" s="6" t="str">
        <f>HYPERLINK("http://mcgill.on.worldcat.org/oclc/18986144","Catalog Record")</f>
        <v>Catalog Record</v>
      </c>
      <c r="AW4317" s="6" t="str">
        <f>HYPERLINK("http://www.worldcat.org/oclc/18986144","WorldCat Record")</f>
        <v>WorldCat Record</v>
      </c>
      <c r="AX4317" s="3" t="s">
        <v>41538</v>
      </c>
      <c r="AY4317" s="3" t="s">
        <v>41539</v>
      </c>
      <c r="AZ4317" s="3" t="s">
        <v>41540</v>
      </c>
      <c r="BA4317" s="3" t="s">
        <v>41540</v>
      </c>
      <c r="BB4317" s="3" t="s">
        <v>41541</v>
      </c>
      <c r="BC4317" s="3" t="s">
        <v>142</v>
      </c>
      <c r="BD4317" s="3" t="s">
        <v>68</v>
      </c>
      <c r="BE4317" s="3" t="s">
        <v>41542</v>
      </c>
      <c r="BF4317" s="3" t="s">
        <v>41541</v>
      </c>
      <c r="BG4317" s="3" t="s">
        <v>41543</v>
      </c>
    </row>
    <row r="4318" spans="1:59" ht="57" x14ac:dyDescent="0.45">
      <c r="A4318" s="2" t="s">
        <v>59</v>
      </c>
      <c r="B4318" s="2" t="s">
        <v>60</v>
      </c>
      <c r="C4318" s="2" t="s">
        <v>41544</v>
      </c>
      <c r="D4318" s="2" t="s">
        <v>41545</v>
      </c>
      <c r="E4318" s="2" t="s">
        <v>41546</v>
      </c>
      <c r="G4318" s="3" t="s">
        <v>62</v>
      </c>
      <c r="I4318" s="3" t="s">
        <v>62</v>
      </c>
      <c r="J4318" s="3" t="s">
        <v>62</v>
      </c>
      <c r="K4318" s="3" t="s">
        <v>63</v>
      </c>
      <c r="M4318" s="2" t="s">
        <v>2822</v>
      </c>
      <c r="N4318" s="3" t="s">
        <v>894</v>
      </c>
      <c r="P4318" s="3" t="s">
        <v>65</v>
      </c>
      <c r="Q4318" s="2" t="s">
        <v>41547</v>
      </c>
      <c r="R4318" s="3" t="s">
        <v>66</v>
      </c>
      <c r="S4318" s="4">
        <v>1</v>
      </c>
      <c r="T4318" s="4">
        <v>1</v>
      </c>
      <c r="U4318" s="5" t="s">
        <v>17306</v>
      </c>
      <c r="V4318" s="5" t="s">
        <v>17306</v>
      </c>
      <c r="W4318" s="5" t="s">
        <v>67</v>
      </c>
      <c r="X4318" s="5" t="s">
        <v>67</v>
      </c>
      <c r="Y4318" s="4">
        <v>106</v>
      </c>
      <c r="Z4318" s="4">
        <v>12</v>
      </c>
      <c r="AA4318" s="4">
        <v>91</v>
      </c>
      <c r="AB4318" s="4">
        <v>1</v>
      </c>
      <c r="AC4318" s="4">
        <v>17</v>
      </c>
      <c r="AD4318" s="4">
        <v>55</v>
      </c>
      <c r="AE4318" s="4">
        <v>123</v>
      </c>
      <c r="AF4318" s="4">
        <v>0</v>
      </c>
      <c r="AG4318" s="4">
        <v>8</v>
      </c>
      <c r="AH4318" s="4">
        <v>50</v>
      </c>
      <c r="AI4318" s="4">
        <v>87</v>
      </c>
      <c r="AJ4318" s="4">
        <v>9</v>
      </c>
      <c r="AK4318" s="4">
        <v>24</v>
      </c>
      <c r="AL4318" s="4">
        <v>32</v>
      </c>
      <c r="AM4318" s="4">
        <v>47</v>
      </c>
      <c r="AN4318" s="4">
        <v>0</v>
      </c>
      <c r="AO4318" s="4">
        <v>0</v>
      </c>
      <c r="AP4318" s="4">
        <v>10</v>
      </c>
      <c r="AQ4318" s="4">
        <v>45</v>
      </c>
      <c r="AR4318" s="3" t="s">
        <v>62</v>
      </c>
      <c r="AS4318" s="3" t="s">
        <v>62</v>
      </c>
      <c r="AT4318" s="3" t="s">
        <v>62</v>
      </c>
      <c r="AV4318" s="6" t="str">
        <f>HYPERLINK("http://mcgill.on.worldcat.org/oclc/706804051","Catalog Record")</f>
        <v>Catalog Record</v>
      </c>
      <c r="AW4318" s="6" t="str">
        <f>HYPERLINK("http://www.worldcat.org/oclc/706804051","WorldCat Record")</f>
        <v>WorldCat Record</v>
      </c>
      <c r="AX4318" s="3" t="s">
        <v>41548</v>
      </c>
      <c r="AY4318" s="3" t="s">
        <v>41549</v>
      </c>
      <c r="AZ4318" s="3" t="s">
        <v>41550</v>
      </c>
      <c r="BA4318" s="3" t="s">
        <v>41550</v>
      </c>
      <c r="BB4318" s="3" t="s">
        <v>41551</v>
      </c>
      <c r="BC4318" s="3" t="s">
        <v>142</v>
      </c>
      <c r="BD4318" s="3" t="s">
        <v>68</v>
      </c>
      <c r="BE4318" s="3" t="s">
        <v>41552</v>
      </c>
      <c r="BF4318" s="3" t="s">
        <v>41551</v>
      </c>
      <c r="BG4318" s="3" t="s">
        <v>41553</v>
      </c>
    </row>
    <row r="4319" spans="1:59" ht="57" x14ac:dyDescent="0.45">
      <c r="A4319" s="2" t="s">
        <v>59</v>
      </c>
      <c r="B4319" s="2" t="s">
        <v>60</v>
      </c>
      <c r="C4319" s="2" t="s">
        <v>41554</v>
      </c>
      <c r="D4319" s="2" t="s">
        <v>41555</v>
      </c>
      <c r="E4319" s="2" t="s">
        <v>41556</v>
      </c>
      <c r="G4319" s="3" t="s">
        <v>62</v>
      </c>
      <c r="I4319" s="3" t="s">
        <v>62</v>
      </c>
      <c r="J4319" s="3" t="s">
        <v>62</v>
      </c>
      <c r="K4319" s="3" t="s">
        <v>63</v>
      </c>
      <c r="M4319" s="2" t="s">
        <v>7281</v>
      </c>
      <c r="N4319" s="3" t="s">
        <v>1918</v>
      </c>
      <c r="P4319" s="3" t="s">
        <v>65</v>
      </c>
      <c r="Q4319" s="2" t="s">
        <v>11033</v>
      </c>
      <c r="R4319" s="3" t="s">
        <v>66</v>
      </c>
      <c r="S4319" s="4">
        <v>0</v>
      </c>
      <c r="T4319" s="4">
        <v>0</v>
      </c>
      <c r="W4319" s="5" t="s">
        <v>67</v>
      </c>
      <c r="X4319" s="5" t="s">
        <v>67</v>
      </c>
      <c r="Y4319" s="4">
        <v>78</v>
      </c>
      <c r="Z4319" s="4">
        <v>7</v>
      </c>
      <c r="AA4319" s="4">
        <v>14</v>
      </c>
      <c r="AB4319" s="4">
        <v>1</v>
      </c>
      <c r="AC4319" s="4">
        <v>5</v>
      </c>
      <c r="AD4319" s="4">
        <v>39</v>
      </c>
      <c r="AE4319" s="4">
        <v>47</v>
      </c>
      <c r="AF4319" s="4">
        <v>0</v>
      </c>
      <c r="AG4319" s="4">
        <v>1</v>
      </c>
      <c r="AH4319" s="4">
        <v>34</v>
      </c>
      <c r="AI4319" s="4">
        <v>41</v>
      </c>
      <c r="AJ4319" s="4">
        <v>6</v>
      </c>
      <c r="AK4319" s="4">
        <v>10</v>
      </c>
      <c r="AL4319" s="4">
        <v>26</v>
      </c>
      <c r="AM4319" s="4">
        <v>30</v>
      </c>
      <c r="AN4319" s="4">
        <v>0</v>
      </c>
      <c r="AO4319" s="4">
        <v>0</v>
      </c>
      <c r="AP4319" s="4">
        <v>6</v>
      </c>
      <c r="AQ4319" s="4">
        <v>9</v>
      </c>
      <c r="AR4319" s="3" t="s">
        <v>62</v>
      </c>
      <c r="AS4319" s="3" t="s">
        <v>62</v>
      </c>
      <c r="AT4319" s="3" t="s">
        <v>62</v>
      </c>
      <c r="AV4319" s="6" t="str">
        <f>HYPERLINK("http://mcgill.on.worldcat.org/oclc/953981332","Catalog Record")</f>
        <v>Catalog Record</v>
      </c>
      <c r="AW4319" s="6" t="str">
        <f>HYPERLINK("http://www.worldcat.org/oclc/953981332","WorldCat Record")</f>
        <v>WorldCat Record</v>
      </c>
      <c r="AX4319" s="3" t="s">
        <v>41557</v>
      </c>
      <c r="AY4319" s="3" t="s">
        <v>41558</v>
      </c>
      <c r="AZ4319" s="3" t="s">
        <v>41559</v>
      </c>
      <c r="BA4319" s="3" t="s">
        <v>41559</v>
      </c>
      <c r="BB4319" s="3" t="s">
        <v>41560</v>
      </c>
      <c r="BC4319" s="3" t="s">
        <v>142</v>
      </c>
      <c r="BD4319" s="3" t="s">
        <v>68</v>
      </c>
      <c r="BE4319" s="3" t="s">
        <v>41561</v>
      </c>
      <c r="BF4319" s="3" t="s">
        <v>41560</v>
      </c>
      <c r="BG4319" s="3" t="s">
        <v>41562</v>
      </c>
    </row>
    <row r="4320" spans="1:59" ht="57" x14ac:dyDescent="0.45">
      <c r="A4320" s="2" t="s">
        <v>59</v>
      </c>
      <c r="B4320" s="2" t="s">
        <v>60</v>
      </c>
      <c r="C4320" s="2" t="s">
        <v>41563</v>
      </c>
      <c r="D4320" s="2" t="s">
        <v>41564</v>
      </c>
      <c r="E4320" s="2" t="s">
        <v>41565</v>
      </c>
      <c r="G4320" s="3" t="s">
        <v>62</v>
      </c>
      <c r="I4320" s="3" t="s">
        <v>61</v>
      </c>
      <c r="J4320" s="3" t="s">
        <v>62</v>
      </c>
      <c r="K4320" s="3" t="s">
        <v>63</v>
      </c>
      <c r="M4320" s="2" t="s">
        <v>35573</v>
      </c>
      <c r="N4320" s="3" t="s">
        <v>117</v>
      </c>
      <c r="P4320" s="3" t="s">
        <v>65</v>
      </c>
      <c r="Q4320" s="2" t="s">
        <v>41566</v>
      </c>
      <c r="R4320" s="3" t="s">
        <v>66</v>
      </c>
      <c r="S4320" s="4">
        <v>18</v>
      </c>
      <c r="T4320" s="4">
        <v>30</v>
      </c>
      <c r="U4320" s="5" t="s">
        <v>12703</v>
      </c>
      <c r="V4320" s="5" t="s">
        <v>12703</v>
      </c>
      <c r="W4320" s="5" t="s">
        <v>67</v>
      </c>
      <c r="X4320" s="5" t="s">
        <v>67</v>
      </c>
      <c r="Y4320" s="4">
        <v>380</v>
      </c>
      <c r="Z4320" s="4">
        <v>26</v>
      </c>
      <c r="AA4320" s="4">
        <v>30</v>
      </c>
      <c r="AB4320" s="4">
        <v>2</v>
      </c>
      <c r="AC4320" s="4">
        <v>5</v>
      </c>
      <c r="AD4320" s="4">
        <v>116</v>
      </c>
      <c r="AE4320" s="4">
        <v>120</v>
      </c>
      <c r="AF4320" s="4">
        <v>1</v>
      </c>
      <c r="AG4320" s="4">
        <v>4</v>
      </c>
      <c r="AH4320" s="4">
        <v>102</v>
      </c>
      <c r="AI4320" s="4">
        <v>103</v>
      </c>
      <c r="AJ4320" s="4">
        <v>17</v>
      </c>
      <c r="AK4320" s="4">
        <v>20</v>
      </c>
      <c r="AL4320" s="4">
        <v>57</v>
      </c>
      <c r="AM4320" s="4">
        <v>57</v>
      </c>
      <c r="AN4320" s="4">
        <v>0</v>
      </c>
      <c r="AO4320" s="4">
        <v>0</v>
      </c>
      <c r="AP4320" s="4">
        <v>21</v>
      </c>
      <c r="AQ4320" s="4">
        <v>24</v>
      </c>
      <c r="AR4320" s="3" t="s">
        <v>62</v>
      </c>
      <c r="AS4320" s="3" t="s">
        <v>62</v>
      </c>
      <c r="AT4320" s="3" t="s">
        <v>61</v>
      </c>
      <c r="AU4320" s="6" t="str">
        <f>HYPERLINK("http://catalog.hathitrust.org/Record/000188598","HathiTrust Record")</f>
        <v>HathiTrust Record</v>
      </c>
      <c r="AV4320" s="6" t="str">
        <f>HYPERLINK("http://mcgill.on.worldcat.org/oclc/6861774","Catalog Record")</f>
        <v>Catalog Record</v>
      </c>
      <c r="AW4320" s="6" t="str">
        <f>HYPERLINK("http://www.worldcat.org/oclc/6861774","WorldCat Record")</f>
        <v>WorldCat Record</v>
      </c>
      <c r="AX4320" s="3" t="s">
        <v>41567</v>
      </c>
      <c r="AY4320" s="3" t="s">
        <v>41568</v>
      </c>
      <c r="AZ4320" s="3" t="s">
        <v>41569</v>
      </c>
      <c r="BA4320" s="3" t="s">
        <v>41569</v>
      </c>
      <c r="BB4320" s="3" t="s">
        <v>41570</v>
      </c>
      <c r="BC4320" s="3" t="s">
        <v>142</v>
      </c>
      <c r="BD4320" s="3" t="s">
        <v>68</v>
      </c>
      <c r="BE4320" s="3" t="s">
        <v>41571</v>
      </c>
      <c r="BF4320" s="3" t="s">
        <v>41570</v>
      </c>
      <c r="BG4320" s="3" t="s">
        <v>41572</v>
      </c>
    </row>
    <row r="4321" spans="1:59" ht="57" x14ac:dyDescent="0.45">
      <c r="A4321" s="2" t="s">
        <v>59</v>
      </c>
      <c r="B4321" s="2" t="s">
        <v>60</v>
      </c>
      <c r="C4321" s="2" t="s">
        <v>41563</v>
      </c>
      <c r="D4321" s="2" t="s">
        <v>41564</v>
      </c>
      <c r="E4321" s="2" t="s">
        <v>41565</v>
      </c>
      <c r="G4321" s="3" t="s">
        <v>62</v>
      </c>
      <c r="I4321" s="3" t="s">
        <v>61</v>
      </c>
      <c r="J4321" s="3" t="s">
        <v>62</v>
      </c>
      <c r="K4321" s="3" t="s">
        <v>63</v>
      </c>
      <c r="M4321" s="2" t="s">
        <v>35573</v>
      </c>
      <c r="N4321" s="3" t="s">
        <v>117</v>
      </c>
      <c r="P4321" s="3" t="s">
        <v>65</v>
      </c>
      <c r="Q4321" s="2" t="s">
        <v>41566</v>
      </c>
      <c r="R4321" s="3" t="s">
        <v>66</v>
      </c>
      <c r="S4321" s="4">
        <v>12</v>
      </c>
      <c r="T4321" s="4">
        <v>30</v>
      </c>
      <c r="U4321" s="5" t="s">
        <v>12703</v>
      </c>
      <c r="V4321" s="5" t="s">
        <v>12703</v>
      </c>
      <c r="W4321" s="5" t="s">
        <v>67</v>
      </c>
      <c r="X4321" s="5" t="s">
        <v>67</v>
      </c>
      <c r="Y4321" s="4">
        <v>380</v>
      </c>
      <c r="Z4321" s="4">
        <v>26</v>
      </c>
      <c r="AA4321" s="4">
        <v>30</v>
      </c>
      <c r="AB4321" s="4">
        <v>2</v>
      </c>
      <c r="AC4321" s="4">
        <v>5</v>
      </c>
      <c r="AD4321" s="4">
        <v>116</v>
      </c>
      <c r="AE4321" s="4">
        <v>120</v>
      </c>
      <c r="AF4321" s="4">
        <v>1</v>
      </c>
      <c r="AG4321" s="4">
        <v>4</v>
      </c>
      <c r="AH4321" s="4">
        <v>102</v>
      </c>
      <c r="AI4321" s="4">
        <v>103</v>
      </c>
      <c r="AJ4321" s="4">
        <v>17</v>
      </c>
      <c r="AK4321" s="4">
        <v>20</v>
      </c>
      <c r="AL4321" s="4">
        <v>57</v>
      </c>
      <c r="AM4321" s="4">
        <v>57</v>
      </c>
      <c r="AN4321" s="4">
        <v>0</v>
      </c>
      <c r="AO4321" s="4">
        <v>0</v>
      </c>
      <c r="AP4321" s="4">
        <v>21</v>
      </c>
      <c r="AQ4321" s="4">
        <v>24</v>
      </c>
      <c r="AR4321" s="3" t="s">
        <v>62</v>
      </c>
      <c r="AS4321" s="3" t="s">
        <v>62</v>
      </c>
      <c r="AT4321" s="3" t="s">
        <v>61</v>
      </c>
      <c r="AU4321" s="6" t="str">
        <f>HYPERLINK("http://catalog.hathitrust.org/Record/000188598","HathiTrust Record")</f>
        <v>HathiTrust Record</v>
      </c>
      <c r="AV4321" s="6" t="str">
        <f>HYPERLINK("http://mcgill.on.worldcat.org/oclc/6861774","Catalog Record")</f>
        <v>Catalog Record</v>
      </c>
      <c r="AW4321" s="6" t="str">
        <f>HYPERLINK("http://www.worldcat.org/oclc/6861774","WorldCat Record")</f>
        <v>WorldCat Record</v>
      </c>
      <c r="AX4321" s="3" t="s">
        <v>41567</v>
      </c>
      <c r="AY4321" s="3" t="s">
        <v>41568</v>
      </c>
      <c r="AZ4321" s="3" t="s">
        <v>41569</v>
      </c>
      <c r="BA4321" s="3" t="s">
        <v>41569</v>
      </c>
      <c r="BB4321" s="3" t="s">
        <v>41573</v>
      </c>
      <c r="BC4321" s="3" t="s">
        <v>142</v>
      </c>
      <c r="BD4321" s="3" t="s">
        <v>68</v>
      </c>
      <c r="BE4321" s="3" t="s">
        <v>41571</v>
      </c>
      <c r="BF4321" s="3" t="s">
        <v>41573</v>
      </c>
      <c r="BG4321" s="3" t="s">
        <v>41574</v>
      </c>
    </row>
    <row r="4322" spans="1:59" ht="57" x14ac:dyDescent="0.45">
      <c r="A4322" s="2" t="s">
        <v>59</v>
      </c>
      <c r="B4322" s="2" t="s">
        <v>60</v>
      </c>
      <c r="C4322" s="2" t="s">
        <v>41575</v>
      </c>
      <c r="D4322" s="2" t="s">
        <v>41576</v>
      </c>
      <c r="E4322" s="2" t="s">
        <v>41577</v>
      </c>
      <c r="G4322" s="3" t="s">
        <v>62</v>
      </c>
      <c r="I4322" s="3" t="s">
        <v>62</v>
      </c>
      <c r="J4322" s="3" t="s">
        <v>62</v>
      </c>
      <c r="K4322" s="3" t="s">
        <v>63</v>
      </c>
      <c r="L4322" s="2" t="s">
        <v>41578</v>
      </c>
      <c r="M4322" s="2" t="s">
        <v>41579</v>
      </c>
      <c r="N4322" s="3" t="s">
        <v>1239</v>
      </c>
      <c r="P4322" s="3" t="s">
        <v>65</v>
      </c>
      <c r="Q4322" s="2" t="s">
        <v>41580</v>
      </c>
      <c r="R4322" s="3" t="s">
        <v>66</v>
      </c>
      <c r="S4322" s="4">
        <v>31</v>
      </c>
      <c r="T4322" s="4">
        <v>31</v>
      </c>
      <c r="U4322" s="5" t="s">
        <v>17306</v>
      </c>
      <c r="V4322" s="5" t="s">
        <v>17306</v>
      </c>
      <c r="W4322" s="5" t="s">
        <v>67</v>
      </c>
      <c r="X4322" s="5" t="s">
        <v>67</v>
      </c>
      <c r="Y4322" s="4">
        <v>429</v>
      </c>
      <c r="Z4322" s="4">
        <v>27</v>
      </c>
      <c r="AA4322" s="4">
        <v>27</v>
      </c>
      <c r="AB4322" s="4">
        <v>2</v>
      </c>
      <c r="AC4322" s="4">
        <v>2</v>
      </c>
      <c r="AD4322" s="4">
        <v>99</v>
      </c>
      <c r="AE4322" s="4">
        <v>99</v>
      </c>
      <c r="AF4322" s="4">
        <v>1</v>
      </c>
      <c r="AG4322" s="4">
        <v>1</v>
      </c>
      <c r="AH4322" s="4">
        <v>87</v>
      </c>
      <c r="AI4322" s="4">
        <v>87</v>
      </c>
      <c r="AJ4322" s="4">
        <v>17</v>
      </c>
      <c r="AK4322" s="4">
        <v>17</v>
      </c>
      <c r="AL4322" s="4">
        <v>48</v>
      </c>
      <c r="AM4322" s="4">
        <v>48</v>
      </c>
      <c r="AN4322" s="4">
        <v>0</v>
      </c>
      <c r="AO4322" s="4">
        <v>0</v>
      </c>
      <c r="AP4322" s="4">
        <v>21</v>
      </c>
      <c r="AQ4322" s="4">
        <v>21</v>
      </c>
      <c r="AR4322" s="3" t="s">
        <v>62</v>
      </c>
      <c r="AS4322" s="3" t="s">
        <v>62</v>
      </c>
      <c r="AT4322" s="3" t="s">
        <v>62</v>
      </c>
      <c r="AV4322" s="6" t="str">
        <f>HYPERLINK("http://mcgill.on.worldcat.org/oclc/18948840","Catalog Record")</f>
        <v>Catalog Record</v>
      </c>
      <c r="AW4322" s="6" t="str">
        <f>HYPERLINK("http://www.worldcat.org/oclc/18948840","WorldCat Record")</f>
        <v>WorldCat Record</v>
      </c>
      <c r="AX4322" s="3" t="s">
        <v>41581</v>
      </c>
      <c r="AY4322" s="3" t="s">
        <v>41582</v>
      </c>
      <c r="AZ4322" s="3" t="s">
        <v>41583</v>
      </c>
      <c r="BA4322" s="3" t="s">
        <v>41583</v>
      </c>
      <c r="BB4322" s="3" t="s">
        <v>41584</v>
      </c>
      <c r="BC4322" s="3" t="s">
        <v>142</v>
      </c>
      <c r="BD4322" s="3" t="s">
        <v>68</v>
      </c>
      <c r="BE4322" s="3" t="s">
        <v>41585</v>
      </c>
      <c r="BF4322" s="3" t="s">
        <v>41584</v>
      </c>
      <c r="BG4322" s="3" t="s">
        <v>41586</v>
      </c>
    </row>
    <row r="4323" spans="1:59" ht="57" x14ac:dyDescent="0.45">
      <c r="A4323" s="2" t="s">
        <v>59</v>
      </c>
      <c r="B4323" s="2" t="s">
        <v>60</v>
      </c>
      <c r="C4323" s="2" t="s">
        <v>41587</v>
      </c>
      <c r="D4323" s="2" t="s">
        <v>41588</v>
      </c>
      <c r="E4323" s="2" t="s">
        <v>41589</v>
      </c>
      <c r="G4323" s="3" t="s">
        <v>62</v>
      </c>
      <c r="I4323" s="3" t="s">
        <v>62</v>
      </c>
      <c r="J4323" s="3" t="s">
        <v>62</v>
      </c>
      <c r="K4323" s="3" t="s">
        <v>63</v>
      </c>
      <c r="L4323" s="2" t="s">
        <v>41590</v>
      </c>
      <c r="M4323" s="2" t="s">
        <v>41591</v>
      </c>
      <c r="N4323" s="3" t="s">
        <v>208</v>
      </c>
      <c r="P4323" s="3" t="s">
        <v>65</v>
      </c>
      <c r="R4323" s="3" t="s">
        <v>66</v>
      </c>
      <c r="S4323" s="4">
        <v>1</v>
      </c>
      <c r="T4323" s="4">
        <v>1</v>
      </c>
      <c r="U4323" s="5" t="s">
        <v>22260</v>
      </c>
      <c r="V4323" s="5" t="s">
        <v>22260</v>
      </c>
      <c r="W4323" s="5" t="s">
        <v>67</v>
      </c>
      <c r="X4323" s="5" t="s">
        <v>67</v>
      </c>
      <c r="Y4323" s="4">
        <v>134</v>
      </c>
      <c r="Z4323" s="4">
        <v>9</v>
      </c>
      <c r="AA4323" s="4">
        <v>10</v>
      </c>
      <c r="AB4323" s="4">
        <v>1</v>
      </c>
      <c r="AC4323" s="4">
        <v>2</v>
      </c>
      <c r="AD4323" s="4">
        <v>43</v>
      </c>
      <c r="AE4323" s="4">
        <v>43</v>
      </c>
      <c r="AF4323" s="4">
        <v>0</v>
      </c>
      <c r="AG4323" s="4">
        <v>0</v>
      </c>
      <c r="AH4323" s="4">
        <v>40</v>
      </c>
      <c r="AI4323" s="4">
        <v>40</v>
      </c>
      <c r="AJ4323" s="4">
        <v>5</v>
      </c>
      <c r="AK4323" s="4">
        <v>5</v>
      </c>
      <c r="AL4323" s="4">
        <v>27</v>
      </c>
      <c r="AM4323" s="4">
        <v>27</v>
      </c>
      <c r="AN4323" s="4">
        <v>0</v>
      </c>
      <c r="AO4323" s="4">
        <v>0</v>
      </c>
      <c r="AP4323" s="4">
        <v>5</v>
      </c>
      <c r="AQ4323" s="4">
        <v>5</v>
      </c>
      <c r="AR4323" s="3" t="s">
        <v>62</v>
      </c>
      <c r="AS4323" s="3" t="s">
        <v>62</v>
      </c>
      <c r="AT4323" s="3" t="s">
        <v>62</v>
      </c>
      <c r="AV4323" s="6" t="str">
        <f>HYPERLINK("http://mcgill.on.worldcat.org/oclc/876882916","Catalog Record")</f>
        <v>Catalog Record</v>
      </c>
      <c r="AW4323" s="6" t="str">
        <f>HYPERLINK("http://www.worldcat.org/oclc/876882916","WorldCat Record")</f>
        <v>WorldCat Record</v>
      </c>
      <c r="AX4323" s="3" t="s">
        <v>41592</v>
      </c>
      <c r="AY4323" s="3" t="s">
        <v>41593</v>
      </c>
      <c r="AZ4323" s="3" t="s">
        <v>41594</v>
      </c>
      <c r="BA4323" s="3" t="s">
        <v>41594</v>
      </c>
      <c r="BB4323" s="3" t="s">
        <v>41595</v>
      </c>
      <c r="BC4323" s="3" t="s">
        <v>142</v>
      </c>
      <c r="BD4323" s="3" t="s">
        <v>68</v>
      </c>
      <c r="BE4323" s="3" t="s">
        <v>41596</v>
      </c>
      <c r="BF4323" s="3" t="s">
        <v>41595</v>
      </c>
      <c r="BG4323" s="3" t="s">
        <v>41597</v>
      </c>
    </row>
    <row r="4324" spans="1:59" ht="57" x14ac:dyDescent="0.45">
      <c r="A4324" s="2" t="s">
        <v>59</v>
      </c>
      <c r="B4324" s="2" t="s">
        <v>60</v>
      </c>
      <c r="C4324" s="2" t="s">
        <v>41598</v>
      </c>
      <c r="D4324" s="2" t="s">
        <v>41599</v>
      </c>
      <c r="E4324" s="2" t="s">
        <v>41600</v>
      </c>
      <c r="G4324" s="3" t="s">
        <v>62</v>
      </c>
      <c r="I4324" s="3" t="s">
        <v>62</v>
      </c>
      <c r="J4324" s="3" t="s">
        <v>62</v>
      </c>
      <c r="K4324" s="3" t="s">
        <v>63</v>
      </c>
      <c r="L4324" s="2" t="s">
        <v>41601</v>
      </c>
      <c r="M4324" s="2" t="s">
        <v>2146</v>
      </c>
      <c r="N4324" s="3" t="s">
        <v>116</v>
      </c>
      <c r="P4324" s="3" t="s">
        <v>65</v>
      </c>
      <c r="Q4324" s="2" t="s">
        <v>41602</v>
      </c>
      <c r="R4324" s="3" t="s">
        <v>66</v>
      </c>
      <c r="S4324" s="4">
        <v>1</v>
      </c>
      <c r="T4324" s="4">
        <v>1</v>
      </c>
      <c r="U4324" s="5" t="s">
        <v>41460</v>
      </c>
      <c r="V4324" s="5" t="s">
        <v>41460</v>
      </c>
      <c r="W4324" s="5" t="s">
        <v>67</v>
      </c>
      <c r="X4324" s="5" t="s">
        <v>67</v>
      </c>
      <c r="Y4324" s="4">
        <v>41</v>
      </c>
      <c r="Z4324" s="4">
        <v>5</v>
      </c>
      <c r="AA4324" s="4">
        <v>98</v>
      </c>
      <c r="AB4324" s="4">
        <v>1</v>
      </c>
      <c r="AC4324" s="4">
        <v>17</v>
      </c>
      <c r="AD4324" s="4">
        <v>21</v>
      </c>
      <c r="AE4324" s="4">
        <v>102</v>
      </c>
      <c r="AF4324" s="4">
        <v>0</v>
      </c>
      <c r="AG4324" s="4">
        <v>8</v>
      </c>
      <c r="AH4324" s="4">
        <v>19</v>
      </c>
      <c r="AI4324" s="4">
        <v>69</v>
      </c>
      <c r="AJ4324" s="4">
        <v>3</v>
      </c>
      <c r="AK4324" s="4">
        <v>21</v>
      </c>
      <c r="AL4324" s="4">
        <v>13</v>
      </c>
      <c r="AM4324" s="4">
        <v>35</v>
      </c>
      <c r="AN4324" s="4">
        <v>0</v>
      </c>
      <c r="AO4324" s="4">
        <v>0</v>
      </c>
      <c r="AP4324" s="4">
        <v>4</v>
      </c>
      <c r="AQ4324" s="4">
        <v>40</v>
      </c>
      <c r="AR4324" s="3" t="s">
        <v>62</v>
      </c>
      <c r="AS4324" s="3" t="s">
        <v>62</v>
      </c>
      <c r="AT4324" s="3" t="s">
        <v>62</v>
      </c>
      <c r="AV4324" s="6" t="str">
        <f>HYPERLINK("http://mcgill.on.worldcat.org/oclc/852658290","Catalog Record")</f>
        <v>Catalog Record</v>
      </c>
      <c r="AW4324" s="6" t="str">
        <f>HYPERLINK("http://www.worldcat.org/oclc/852658290","WorldCat Record")</f>
        <v>WorldCat Record</v>
      </c>
      <c r="AX4324" s="3" t="s">
        <v>41603</v>
      </c>
      <c r="AY4324" s="3" t="s">
        <v>41604</v>
      </c>
      <c r="AZ4324" s="3" t="s">
        <v>41605</v>
      </c>
      <c r="BA4324" s="3" t="s">
        <v>41605</v>
      </c>
      <c r="BB4324" s="3" t="s">
        <v>41606</v>
      </c>
      <c r="BC4324" s="3" t="s">
        <v>142</v>
      </c>
      <c r="BD4324" s="3" t="s">
        <v>68</v>
      </c>
      <c r="BE4324" s="3" t="s">
        <v>41607</v>
      </c>
      <c r="BF4324" s="3" t="s">
        <v>41606</v>
      </c>
      <c r="BG4324" s="3" t="s">
        <v>41608</v>
      </c>
    </row>
    <row r="4325" spans="1:59" ht="57" x14ac:dyDescent="0.45">
      <c r="A4325" s="2" t="s">
        <v>59</v>
      </c>
      <c r="B4325" s="2" t="s">
        <v>60</v>
      </c>
      <c r="C4325" s="2" t="s">
        <v>41609</v>
      </c>
      <c r="D4325" s="2" t="s">
        <v>41610</v>
      </c>
      <c r="E4325" s="2" t="s">
        <v>41611</v>
      </c>
      <c r="G4325" s="3" t="s">
        <v>62</v>
      </c>
      <c r="I4325" s="3" t="s">
        <v>62</v>
      </c>
      <c r="J4325" s="3" t="s">
        <v>62</v>
      </c>
      <c r="K4325" s="3" t="s">
        <v>63</v>
      </c>
      <c r="L4325" s="2" t="s">
        <v>41612</v>
      </c>
      <c r="M4325" s="2" t="s">
        <v>1266</v>
      </c>
      <c r="N4325" s="3" t="s">
        <v>1059</v>
      </c>
      <c r="P4325" s="3" t="s">
        <v>65</v>
      </c>
      <c r="Q4325" s="2" t="s">
        <v>1267</v>
      </c>
      <c r="R4325" s="3" t="s">
        <v>66</v>
      </c>
      <c r="S4325" s="4">
        <v>17</v>
      </c>
      <c r="T4325" s="4">
        <v>17</v>
      </c>
      <c r="U4325" s="5" t="s">
        <v>4070</v>
      </c>
      <c r="V4325" s="5" t="s">
        <v>4070</v>
      </c>
      <c r="W4325" s="5" t="s">
        <v>67</v>
      </c>
      <c r="X4325" s="5" t="s">
        <v>67</v>
      </c>
      <c r="Y4325" s="4">
        <v>288</v>
      </c>
      <c r="Z4325" s="4">
        <v>27</v>
      </c>
      <c r="AA4325" s="4">
        <v>85</v>
      </c>
      <c r="AB4325" s="4">
        <v>2</v>
      </c>
      <c r="AC4325" s="4">
        <v>15</v>
      </c>
      <c r="AD4325" s="4">
        <v>90</v>
      </c>
      <c r="AE4325" s="4">
        <v>132</v>
      </c>
      <c r="AF4325" s="4">
        <v>1</v>
      </c>
      <c r="AG4325" s="4">
        <v>8</v>
      </c>
      <c r="AH4325" s="4">
        <v>75</v>
      </c>
      <c r="AI4325" s="4">
        <v>96</v>
      </c>
      <c r="AJ4325" s="4">
        <v>19</v>
      </c>
      <c r="AK4325" s="4">
        <v>26</v>
      </c>
      <c r="AL4325" s="4">
        <v>41</v>
      </c>
      <c r="AM4325" s="4">
        <v>50</v>
      </c>
      <c r="AN4325" s="4">
        <v>0</v>
      </c>
      <c r="AO4325" s="4">
        <v>0</v>
      </c>
      <c r="AP4325" s="4">
        <v>24</v>
      </c>
      <c r="AQ4325" s="4">
        <v>46</v>
      </c>
      <c r="AR4325" s="3" t="s">
        <v>62</v>
      </c>
      <c r="AS4325" s="3" t="s">
        <v>62</v>
      </c>
      <c r="AT4325" s="3" t="s">
        <v>62</v>
      </c>
      <c r="AV4325" s="6" t="str">
        <f>HYPERLINK("http://mcgill.on.worldcat.org/oclc/62532855","Catalog Record")</f>
        <v>Catalog Record</v>
      </c>
      <c r="AW4325" s="6" t="str">
        <f>HYPERLINK("http://www.worldcat.org/oclc/62532855","WorldCat Record")</f>
        <v>WorldCat Record</v>
      </c>
      <c r="AX4325" s="3" t="s">
        <v>41613</v>
      </c>
      <c r="AY4325" s="3" t="s">
        <v>41614</v>
      </c>
      <c r="AZ4325" s="3" t="s">
        <v>41615</v>
      </c>
      <c r="BA4325" s="3" t="s">
        <v>41615</v>
      </c>
      <c r="BB4325" s="3" t="s">
        <v>41616</v>
      </c>
      <c r="BC4325" s="3" t="s">
        <v>142</v>
      </c>
      <c r="BD4325" s="3" t="s">
        <v>68</v>
      </c>
      <c r="BE4325" s="3" t="s">
        <v>41617</v>
      </c>
      <c r="BF4325" s="3" t="s">
        <v>41616</v>
      </c>
      <c r="BG4325" s="3" t="s">
        <v>41618</v>
      </c>
    </row>
    <row r="4326" spans="1:59" ht="57" x14ac:dyDescent="0.45">
      <c r="A4326" s="2" t="s">
        <v>59</v>
      </c>
      <c r="B4326" s="2" t="s">
        <v>60</v>
      </c>
      <c r="C4326" s="2" t="s">
        <v>41619</v>
      </c>
      <c r="D4326" s="2" t="s">
        <v>41620</v>
      </c>
      <c r="E4326" s="2" t="s">
        <v>41621</v>
      </c>
      <c r="G4326" s="3" t="s">
        <v>62</v>
      </c>
      <c r="I4326" s="3" t="s">
        <v>62</v>
      </c>
      <c r="J4326" s="3" t="s">
        <v>62</v>
      </c>
      <c r="K4326" s="3" t="s">
        <v>63</v>
      </c>
      <c r="L4326" s="2" t="s">
        <v>41612</v>
      </c>
      <c r="M4326" s="2" t="s">
        <v>20418</v>
      </c>
      <c r="N4326" s="3" t="s">
        <v>1155</v>
      </c>
      <c r="P4326" s="3" t="s">
        <v>65</v>
      </c>
      <c r="Q4326" s="2" t="s">
        <v>41622</v>
      </c>
      <c r="R4326" s="3" t="s">
        <v>66</v>
      </c>
      <c r="S4326" s="4">
        <v>2</v>
      </c>
      <c r="T4326" s="4">
        <v>2</v>
      </c>
      <c r="U4326" s="5" t="s">
        <v>12703</v>
      </c>
      <c r="V4326" s="5" t="s">
        <v>12703</v>
      </c>
      <c r="W4326" s="5" t="s">
        <v>67</v>
      </c>
      <c r="X4326" s="5" t="s">
        <v>67</v>
      </c>
      <c r="Y4326" s="4">
        <v>126</v>
      </c>
      <c r="Z4326" s="4">
        <v>13</v>
      </c>
      <c r="AA4326" s="4">
        <v>60</v>
      </c>
      <c r="AB4326" s="4">
        <v>1</v>
      </c>
      <c r="AC4326" s="4">
        <v>6</v>
      </c>
      <c r="AD4326" s="4">
        <v>40</v>
      </c>
      <c r="AE4326" s="4">
        <v>84</v>
      </c>
      <c r="AF4326" s="4">
        <v>0</v>
      </c>
      <c r="AG4326" s="4">
        <v>3</v>
      </c>
      <c r="AH4326" s="4">
        <v>38</v>
      </c>
      <c r="AI4326" s="4">
        <v>62</v>
      </c>
      <c r="AJ4326" s="4">
        <v>8</v>
      </c>
      <c r="AK4326" s="4">
        <v>17</v>
      </c>
      <c r="AL4326" s="4">
        <v>19</v>
      </c>
      <c r="AM4326" s="4">
        <v>32</v>
      </c>
      <c r="AN4326" s="4">
        <v>0</v>
      </c>
      <c r="AO4326" s="4">
        <v>0</v>
      </c>
      <c r="AP4326" s="4">
        <v>9</v>
      </c>
      <c r="AQ4326" s="4">
        <v>28</v>
      </c>
      <c r="AR4326" s="3" t="s">
        <v>62</v>
      </c>
      <c r="AS4326" s="3" t="s">
        <v>62</v>
      </c>
      <c r="AT4326" s="3" t="s">
        <v>62</v>
      </c>
      <c r="AV4326" s="6" t="str">
        <f>HYPERLINK("http://mcgill.on.worldcat.org/oclc/707726493","Catalog Record")</f>
        <v>Catalog Record</v>
      </c>
      <c r="AW4326" s="6" t="str">
        <f>HYPERLINK("http://www.worldcat.org/oclc/707726493","WorldCat Record")</f>
        <v>WorldCat Record</v>
      </c>
      <c r="AX4326" s="3" t="s">
        <v>41623</v>
      </c>
      <c r="AY4326" s="3" t="s">
        <v>41624</v>
      </c>
      <c r="AZ4326" s="3" t="s">
        <v>41625</v>
      </c>
      <c r="BA4326" s="3" t="s">
        <v>41625</v>
      </c>
      <c r="BB4326" s="3" t="s">
        <v>41626</v>
      </c>
      <c r="BC4326" s="3" t="s">
        <v>142</v>
      </c>
      <c r="BD4326" s="3" t="s">
        <v>68</v>
      </c>
      <c r="BE4326" s="3" t="s">
        <v>41627</v>
      </c>
      <c r="BF4326" s="3" t="s">
        <v>41626</v>
      </c>
      <c r="BG4326" s="3" t="s">
        <v>41628</v>
      </c>
    </row>
    <row r="4327" spans="1:59" ht="57" x14ac:dyDescent="0.45">
      <c r="A4327" s="2" t="s">
        <v>59</v>
      </c>
      <c r="B4327" s="2" t="s">
        <v>60</v>
      </c>
      <c r="C4327" s="2" t="s">
        <v>41629</v>
      </c>
      <c r="D4327" s="2" t="s">
        <v>41630</v>
      </c>
      <c r="E4327" s="2" t="s">
        <v>41631</v>
      </c>
      <c r="G4327" s="3" t="s">
        <v>62</v>
      </c>
      <c r="I4327" s="3" t="s">
        <v>62</v>
      </c>
      <c r="J4327" s="3" t="s">
        <v>62</v>
      </c>
      <c r="K4327" s="3" t="s">
        <v>63</v>
      </c>
      <c r="M4327" s="2" t="s">
        <v>41632</v>
      </c>
      <c r="N4327" s="3" t="s">
        <v>208</v>
      </c>
      <c r="P4327" s="3" t="s">
        <v>65</v>
      </c>
      <c r="Q4327" s="2" t="s">
        <v>41633</v>
      </c>
      <c r="R4327" s="3" t="s">
        <v>66</v>
      </c>
      <c r="S4327" s="4">
        <v>0</v>
      </c>
      <c r="T4327" s="4">
        <v>0</v>
      </c>
      <c r="W4327" s="5" t="s">
        <v>67</v>
      </c>
      <c r="X4327" s="5" t="s">
        <v>67</v>
      </c>
      <c r="Y4327" s="4">
        <v>49</v>
      </c>
      <c r="Z4327" s="4">
        <v>7</v>
      </c>
      <c r="AA4327" s="4">
        <v>77</v>
      </c>
      <c r="AB4327" s="4">
        <v>1</v>
      </c>
      <c r="AC4327" s="4">
        <v>14</v>
      </c>
      <c r="AD4327" s="4">
        <v>26</v>
      </c>
      <c r="AE4327" s="4">
        <v>102</v>
      </c>
      <c r="AF4327" s="4">
        <v>0</v>
      </c>
      <c r="AG4327" s="4">
        <v>8</v>
      </c>
      <c r="AH4327" s="4">
        <v>22</v>
      </c>
      <c r="AI4327" s="4">
        <v>69</v>
      </c>
      <c r="AJ4327" s="4">
        <v>5</v>
      </c>
      <c r="AK4327" s="4">
        <v>20</v>
      </c>
      <c r="AL4327" s="4">
        <v>19</v>
      </c>
      <c r="AM4327" s="4">
        <v>37</v>
      </c>
      <c r="AN4327" s="4">
        <v>0</v>
      </c>
      <c r="AO4327" s="4">
        <v>0</v>
      </c>
      <c r="AP4327" s="4">
        <v>5</v>
      </c>
      <c r="AQ4327" s="4">
        <v>40</v>
      </c>
      <c r="AR4327" s="3" t="s">
        <v>62</v>
      </c>
      <c r="AS4327" s="3" t="s">
        <v>62</v>
      </c>
      <c r="AT4327" s="3" t="s">
        <v>62</v>
      </c>
      <c r="AV4327" s="6" t="str">
        <f>HYPERLINK("http://mcgill.on.worldcat.org/oclc/910595743","Catalog Record")</f>
        <v>Catalog Record</v>
      </c>
      <c r="AW4327" s="6" t="str">
        <f>HYPERLINK("http://www.worldcat.org/oclc/910595743","WorldCat Record")</f>
        <v>WorldCat Record</v>
      </c>
      <c r="AX4327" s="3" t="s">
        <v>41634</v>
      </c>
      <c r="AY4327" s="3" t="s">
        <v>41635</v>
      </c>
      <c r="AZ4327" s="3" t="s">
        <v>41636</v>
      </c>
      <c r="BA4327" s="3" t="s">
        <v>41636</v>
      </c>
      <c r="BB4327" s="3" t="s">
        <v>41637</v>
      </c>
      <c r="BC4327" s="3" t="s">
        <v>142</v>
      </c>
      <c r="BD4327" s="3" t="s">
        <v>68</v>
      </c>
      <c r="BE4327" s="3" t="s">
        <v>41638</v>
      </c>
      <c r="BF4327" s="3" t="s">
        <v>41637</v>
      </c>
      <c r="BG4327" s="3" t="s">
        <v>41639</v>
      </c>
    </row>
    <row r="4328" spans="1:59" ht="71.25" x14ac:dyDescent="0.45">
      <c r="A4328" s="2" t="s">
        <v>59</v>
      </c>
      <c r="B4328" s="2" t="s">
        <v>60</v>
      </c>
      <c r="C4328" s="2" t="s">
        <v>41640</v>
      </c>
      <c r="D4328" s="2" t="s">
        <v>41641</v>
      </c>
      <c r="E4328" s="2" t="s">
        <v>41642</v>
      </c>
      <c r="G4328" s="3" t="s">
        <v>62</v>
      </c>
      <c r="I4328" s="3" t="s">
        <v>62</v>
      </c>
      <c r="J4328" s="3" t="s">
        <v>62</v>
      </c>
      <c r="K4328" s="3" t="s">
        <v>63</v>
      </c>
      <c r="L4328" s="2" t="s">
        <v>41643</v>
      </c>
      <c r="M4328" s="2" t="s">
        <v>41644</v>
      </c>
      <c r="N4328" s="3" t="s">
        <v>149</v>
      </c>
      <c r="P4328" s="3" t="s">
        <v>65</v>
      </c>
      <c r="R4328" s="3" t="s">
        <v>66</v>
      </c>
      <c r="S4328" s="4">
        <v>0</v>
      </c>
      <c r="T4328" s="4">
        <v>0</v>
      </c>
      <c r="W4328" s="5" t="s">
        <v>67</v>
      </c>
      <c r="X4328" s="5" t="s">
        <v>67</v>
      </c>
      <c r="Y4328" s="4">
        <v>162</v>
      </c>
      <c r="Z4328" s="4">
        <v>23</v>
      </c>
      <c r="AA4328" s="4">
        <v>28</v>
      </c>
      <c r="AB4328" s="4">
        <v>1</v>
      </c>
      <c r="AC4328" s="4">
        <v>6</v>
      </c>
      <c r="AD4328" s="4">
        <v>72</v>
      </c>
      <c r="AE4328" s="4">
        <v>77</v>
      </c>
      <c r="AF4328" s="4">
        <v>0</v>
      </c>
      <c r="AG4328" s="4">
        <v>2</v>
      </c>
      <c r="AH4328" s="4">
        <v>62</v>
      </c>
      <c r="AI4328" s="4">
        <v>66</v>
      </c>
      <c r="AJ4328" s="4">
        <v>14</v>
      </c>
      <c r="AK4328" s="4">
        <v>16</v>
      </c>
      <c r="AL4328" s="4">
        <v>39</v>
      </c>
      <c r="AM4328" s="4">
        <v>41</v>
      </c>
      <c r="AN4328" s="4">
        <v>0</v>
      </c>
      <c r="AO4328" s="4">
        <v>0</v>
      </c>
      <c r="AP4328" s="4">
        <v>17</v>
      </c>
      <c r="AQ4328" s="4">
        <v>19</v>
      </c>
      <c r="AR4328" s="3" t="s">
        <v>62</v>
      </c>
      <c r="AS4328" s="3" t="s">
        <v>62</v>
      </c>
      <c r="AT4328" s="3" t="s">
        <v>62</v>
      </c>
      <c r="AV4328" s="6" t="str">
        <f>HYPERLINK("http://mcgill.on.worldcat.org/oclc/454384494","Catalog Record")</f>
        <v>Catalog Record</v>
      </c>
      <c r="AW4328" s="6" t="str">
        <f>HYPERLINK("http://www.worldcat.org/oclc/454384494","WorldCat Record")</f>
        <v>WorldCat Record</v>
      </c>
      <c r="AX4328" s="3" t="s">
        <v>41645</v>
      </c>
      <c r="AY4328" s="3" t="s">
        <v>41646</v>
      </c>
      <c r="AZ4328" s="3" t="s">
        <v>41647</v>
      </c>
      <c r="BA4328" s="3" t="s">
        <v>41647</v>
      </c>
      <c r="BB4328" s="3" t="s">
        <v>41648</v>
      </c>
      <c r="BC4328" s="3" t="s">
        <v>142</v>
      </c>
      <c r="BD4328" s="3" t="s">
        <v>68</v>
      </c>
      <c r="BE4328" s="3" t="s">
        <v>41649</v>
      </c>
      <c r="BF4328" s="3" t="s">
        <v>41648</v>
      </c>
      <c r="BG4328" s="3" t="s">
        <v>41650</v>
      </c>
    </row>
    <row r="4329" spans="1:59" ht="57" x14ac:dyDescent="0.45">
      <c r="A4329" s="2" t="s">
        <v>59</v>
      </c>
      <c r="B4329" s="2" t="s">
        <v>60</v>
      </c>
      <c r="C4329" s="2" t="s">
        <v>41651</v>
      </c>
      <c r="D4329" s="2" t="s">
        <v>41652</v>
      </c>
      <c r="E4329" s="2" t="s">
        <v>41653</v>
      </c>
      <c r="G4329" s="3" t="s">
        <v>62</v>
      </c>
      <c r="I4329" s="3" t="s">
        <v>62</v>
      </c>
      <c r="J4329" s="3" t="s">
        <v>62</v>
      </c>
      <c r="K4329" s="3" t="s">
        <v>63</v>
      </c>
      <c r="L4329" s="2" t="s">
        <v>41654</v>
      </c>
      <c r="M4329" s="2" t="s">
        <v>41655</v>
      </c>
      <c r="N4329" s="3" t="s">
        <v>1604</v>
      </c>
      <c r="P4329" s="3" t="s">
        <v>65</v>
      </c>
      <c r="Q4329" s="2" t="s">
        <v>41656</v>
      </c>
      <c r="R4329" s="3" t="s">
        <v>66</v>
      </c>
      <c r="S4329" s="4">
        <v>10</v>
      </c>
      <c r="T4329" s="4">
        <v>10</v>
      </c>
      <c r="U4329" s="5" t="s">
        <v>41657</v>
      </c>
      <c r="V4329" s="5" t="s">
        <v>41657</v>
      </c>
      <c r="W4329" s="5" t="s">
        <v>67</v>
      </c>
      <c r="X4329" s="5" t="s">
        <v>67</v>
      </c>
      <c r="Y4329" s="4">
        <v>431</v>
      </c>
      <c r="Z4329" s="4">
        <v>22</v>
      </c>
      <c r="AA4329" s="4">
        <v>24</v>
      </c>
      <c r="AB4329" s="4">
        <v>2</v>
      </c>
      <c r="AC4329" s="4">
        <v>4</v>
      </c>
      <c r="AD4329" s="4">
        <v>110</v>
      </c>
      <c r="AE4329" s="4">
        <v>112</v>
      </c>
      <c r="AF4329" s="4">
        <v>1</v>
      </c>
      <c r="AG4329" s="4">
        <v>3</v>
      </c>
      <c r="AH4329" s="4">
        <v>98</v>
      </c>
      <c r="AI4329" s="4">
        <v>99</v>
      </c>
      <c r="AJ4329" s="4">
        <v>15</v>
      </c>
      <c r="AK4329" s="4">
        <v>17</v>
      </c>
      <c r="AL4329" s="4">
        <v>55</v>
      </c>
      <c r="AM4329" s="4">
        <v>55</v>
      </c>
      <c r="AN4329" s="4">
        <v>0</v>
      </c>
      <c r="AO4329" s="4">
        <v>0</v>
      </c>
      <c r="AP4329" s="4">
        <v>17</v>
      </c>
      <c r="AQ4329" s="4">
        <v>18</v>
      </c>
      <c r="AR4329" s="3" t="s">
        <v>62</v>
      </c>
      <c r="AS4329" s="3" t="s">
        <v>62</v>
      </c>
      <c r="AT4329" s="3" t="s">
        <v>61</v>
      </c>
      <c r="AU4329" s="6" t="str">
        <f>HYPERLINK("http://catalog.hathitrust.org/Record/002875204","HathiTrust Record")</f>
        <v>HathiTrust Record</v>
      </c>
      <c r="AV4329" s="6" t="str">
        <f>HYPERLINK("http://mcgill.on.worldcat.org/oclc/29637729","Catalog Record")</f>
        <v>Catalog Record</v>
      </c>
      <c r="AW4329" s="6" t="str">
        <f>HYPERLINK("http://www.worldcat.org/oclc/29637729","WorldCat Record")</f>
        <v>WorldCat Record</v>
      </c>
      <c r="AX4329" s="3" t="s">
        <v>41658</v>
      </c>
      <c r="AY4329" s="3" t="s">
        <v>41659</v>
      </c>
      <c r="AZ4329" s="3" t="s">
        <v>41660</v>
      </c>
      <c r="BA4329" s="3" t="s">
        <v>41660</v>
      </c>
      <c r="BB4329" s="3" t="s">
        <v>41661</v>
      </c>
      <c r="BC4329" s="3" t="s">
        <v>142</v>
      </c>
      <c r="BD4329" s="3" t="s">
        <v>68</v>
      </c>
      <c r="BE4329" s="3" t="s">
        <v>41662</v>
      </c>
      <c r="BF4329" s="3" t="s">
        <v>41661</v>
      </c>
      <c r="BG4329" s="3" t="s">
        <v>41663</v>
      </c>
    </row>
    <row r="4330" spans="1:59" ht="57" x14ac:dyDescent="0.45">
      <c r="A4330" s="2" t="s">
        <v>59</v>
      </c>
      <c r="B4330" s="2" t="s">
        <v>60</v>
      </c>
      <c r="C4330" s="2" t="s">
        <v>41664</v>
      </c>
      <c r="D4330" s="2" t="s">
        <v>41665</v>
      </c>
      <c r="E4330" s="2" t="s">
        <v>41666</v>
      </c>
      <c r="G4330" s="3" t="s">
        <v>62</v>
      </c>
      <c r="I4330" s="3" t="s">
        <v>62</v>
      </c>
      <c r="J4330" s="3" t="s">
        <v>62</v>
      </c>
      <c r="K4330" s="3" t="s">
        <v>63</v>
      </c>
      <c r="M4330" s="2" t="s">
        <v>23795</v>
      </c>
      <c r="N4330" s="3" t="s">
        <v>1212</v>
      </c>
      <c r="P4330" s="3" t="s">
        <v>65</v>
      </c>
      <c r="Q4330" s="2" t="s">
        <v>21543</v>
      </c>
      <c r="R4330" s="3" t="s">
        <v>66</v>
      </c>
      <c r="S4330" s="4">
        <v>6</v>
      </c>
      <c r="T4330" s="4">
        <v>6</v>
      </c>
      <c r="U4330" s="5" t="s">
        <v>11301</v>
      </c>
      <c r="V4330" s="5" t="s">
        <v>11301</v>
      </c>
      <c r="W4330" s="5" t="s">
        <v>67</v>
      </c>
      <c r="X4330" s="5" t="s">
        <v>67</v>
      </c>
      <c r="Y4330" s="4">
        <v>159</v>
      </c>
      <c r="Z4330" s="4">
        <v>7</v>
      </c>
      <c r="AA4330" s="4">
        <v>7</v>
      </c>
      <c r="AB4330" s="4">
        <v>1</v>
      </c>
      <c r="AC4330" s="4">
        <v>1</v>
      </c>
      <c r="AD4330" s="4">
        <v>81</v>
      </c>
      <c r="AE4330" s="4">
        <v>81</v>
      </c>
      <c r="AF4330" s="4">
        <v>0</v>
      </c>
      <c r="AG4330" s="4">
        <v>0</v>
      </c>
      <c r="AH4330" s="4">
        <v>76</v>
      </c>
      <c r="AI4330" s="4">
        <v>76</v>
      </c>
      <c r="AJ4330" s="4">
        <v>6</v>
      </c>
      <c r="AK4330" s="4">
        <v>6</v>
      </c>
      <c r="AL4330" s="4">
        <v>45</v>
      </c>
      <c r="AM4330" s="4">
        <v>45</v>
      </c>
      <c r="AN4330" s="4">
        <v>0</v>
      </c>
      <c r="AO4330" s="4">
        <v>0</v>
      </c>
      <c r="AP4330" s="4">
        <v>6</v>
      </c>
      <c r="AQ4330" s="4">
        <v>6</v>
      </c>
      <c r="AR4330" s="3" t="s">
        <v>62</v>
      </c>
      <c r="AS4330" s="3" t="s">
        <v>62</v>
      </c>
      <c r="AT4330" s="3" t="s">
        <v>61</v>
      </c>
      <c r="AU4330" s="6" t="str">
        <f>HYPERLINK("http://catalog.hathitrust.org/Record/004099023","HathiTrust Record")</f>
        <v>HathiTrust Record</v>
      </c>
      <c r="AV4330" s="6" t="str">
        <f>HYPERLINK("http://mcgill.on.worldcat.org/oclc/42022370","Catalog Record")</f>
        <v>Catalog Record</v>
      </c>
      <c r="AW4330" s="6" t="str">
        <f>HYPERLINK("http://www.worldcat.org/oclc/42022370","WorldCat Record")</f>
        <v>WorldCat Record</v>
      </c>
      <c r="AX4330" s="3" t="s">
        <v>41667</v>
      </c>
      <c r="AY4330" s="3" t="s">
        <v>41668</v>
      </c>
      <c r="AZ4330" s="3" t="s">
        <v>41669</v>
      </c>
      <c r="BA4330" s="3" t="s">
        <v>41669</v>
      </c>
      <c r="BB4330" s="3" t="s">
        <v>41670</v>
      </c>
      <c r="BC4330" s="3" t="s">
        <v>142</v>
      </c>
      <c r="BD4330" s="3" t="s">
        <v>68</v>
      </c>
      <c r="BE4330" s="3" t="s">
        <v>41671</v>
      </c>
      <c r="BF4330" s="3" t="s">
        <v>41670</v>
      </c>
      <c r="BG4330" s="3" t="s">
        <v>41672</v>
      </c>
    </row>
    <row r="4331" spans="1:59" ht="71.25" x14ac:dyDescent="0.45">
      <c r="A4331" s="2" t="s">
        <v>59</v>
      </c>
      <c r="B4331" s="2" t="s">
        <v>60</v>
      </c>
      <c r="C4331" s="2" t="s">
        <v>41673</v>
      </c>
      <c r="D4331" s="2" t="s">
        <v>41674</v>
      </c>
      <c r="E4331" s="2" t="s">
        <v>41675</v>
      </c>
      <c r="G4331" s="3" t="s">
        <v>62</v>
      </c>
      <c r="I4331" s="3" t="s">
        <v>62</v>
      </c>
      <c r="J4331" s="3" t="s">
        <v>62</v>
      </c>
      <c r="K4331" s="3" t="s">
        <v>63</v>
      </c>
      <c r="L4331" s="2" t="s">
        <v>41676</v>
      </c>
      <c r="M4331" s="2" t="s">
        <v>41677</v>
      </c>
      <c r="N4331" s="3" t="s">
        <v>149</v>
      </c>
      <c r="P4331" s="3" t="s">
        <v>65</v>
      </c>
      <c r="Q4331" s="2" t="s">
        <v>41678</v>
      </c>
      <c r="R4331" s="3" t="s">
        <v>66</v>
      </c>
      <c r="S4331" s="4">
        <v>1</v>
      </c>
      <c r="T4331" s="4">
        <v>1</v>
      </c>
      <c r="U4331" s="5" t="s">
        <v>3424</v>
      </c>
      <c r="V4331" s="5" t="s">
        <v>3424</v>
      </c>
      <c r="W4331" s="5" t="s">
        <v>67</v>
      </c>
      <c r="X4331" s="5" t="s">
        <v>67</v>
      </c>
      <c r="Y4331" s="4">
        <v>129</v>
      </c>
      <c r="Z4331" s="4">
        <v>17</v>
      </c>
      <c r="AA4331" s="4">
        <v>100</v>
      </c>
      <c r="AB4331" s="4">
        <v>2</v>
      </c>
      <c r="AC4331" s="4">
        <v>17</v>
      </c>
      <c r="AD4331" s="4">
        <v>58</v>
      </c>
      <c r="AE4331" s="4">
        <v>121</v>
      </c>
      <c r="AF4331" s="4">
        <v>1</v>
      </c>
      <c r="AG4331" s="4">
        <v>8</v>
      </c>
      <c r="AH4331" s="4">
        <v>51</v>
      </c>
      <c r="AI4331" s="4">
        <v>84</v>
      </c>
      <c r="AJ4331" s="4">
        <v>15</v>
      </c>
      <c r="AK4331" s="4">
        <v>26</v>
      </c>
      <c r="AL4331" s="4">
        <v>30</v>
      </c>
      <c r="AM4331" s="4">
        <v>43</v>
      </c>
      <c r="AN4331" s="4">
        <v>0</v>
      </c>
      <c r="AO4331" s="4">
        <v>0</v>
      </c>
      <c r="AP4331" s="4">
        <v>15</v>
      </c>
      <c r="AQ4331" s="4">
        <v>47</v>
      </c>
      <c r="AR4331" s="3" t="s">
        <v>62</v>
      </c>
      <c r="AS4331" s="3" t="s">
        <v>62</v>
      </c>
      <c r="AT4331" s="3" t="s">
        <v>62</v>
      </c>
      <c r="AV4331" s="6" t="str">
        <f>HYPERLINK("http://mcgill.on.worldcat.org/oclc/461895833","Catalog Record")</f>
        <v>Catalog Record</v>
      </c>
      <c r="AW4331" s="6" t="str">
        <f>HYPERLINK("http://www.worldcat.org/oclc/461895833","WorldCat Record")</f>
        <v>WorldCat Record</v>
      </c>
      <c r="AX4331" s="3" t="s">
        <v>41679</v>
      </c>
      <c r="AY4331" s="3" t="s">
        <v>41680</v>
      </c>
      <c r="AZ4331" s="3" t="s">
        <v>41681</v>
      </c>
      <c r="BA4331" s="3" t="s">
        <v>41681</v>
      </c>
      <c r="BB4331" s="3" t="s">
        <v>41682</v>
      </c>
      <c r="BC4331" s="3" t="s">
        <v>142</v>
      </c>
      <c r="BD4331" s="3" t="s">
        <v>68</v>
      </c>
      <c r="BE4331" s="3" t="s">
        <v>41683</v>
      </c>
      <c r="BF4331" s="3" t="s">
        <v>41682</v>
      </c>
      <c r="BG4331" s="3" t="s">
        <v>41684</v>
      </c>
    </row>
    <row r="4332" spans="1:59" ht="57" x14ac:dyDescent="0.45">
      <c r="A4332" s="2" t="s">
        <v>59</v>
      </c>
      <c r="B4332" s="2" t="s">
        <v>60</v>
      </c>
      <c r="C4332" s="2" t="s">
        <v>41685</v>
      </c>
      <c r="D4332" s="2" t="s">
        <v>41686</v>
      </c>
      <c r="E4332" s="2" t="s">
        <v>41687</v>
      </c>
      <c r="G4332" s="3" t="s">
        <v>62</v>
      </c>
      <c r="I4332" s="3" t="s">
        <v>62</v>
      </c>
      <c r="J4332" s="3" t="s">
        <v>62</v>
      </c>
      <c r="K4332" s="3" t="s">
        <v>63</v>
      </c>
      <c r="L4332" s="2" t="s">
        <v>41688</v>
      </c>
      <c r="M4332" s="2" t="s">
        <v>37017</v>
      </c>
      <c r="N4332" s="3" t="s">
        <v>1437</v>
      </c>
      <c r="P4332" s="3" t="s">
        <v>65</v>
      </c>
      <c r="Q4332" s="2" t="s">
        <v>39398</v>
      </c>
      <c r="R4332" s="3" t="s">
        <v>66</v>
      </c>
      <c r="S4332" s="4">
        <v>16</v>
      </c>
      <c r="T4332" s="4">
        <v>16</v>
      </c>
      <c r="U4332" s="5" t="s">
        <v>41689</v>
      </c>
      <c r="V4332" s="5" t="s">
        <v>41689</v>
      </c>
      <c r="W4332" s="5" t="s">
        <v>67</v>
      </c>
      <c r="X4332" s="5" t="s">
        <v>67</v>
      </c>
      <c r="Y4332" s="4">
        <v>345</v>
      </c>
      <c r="Z4332" s="4">
        <v>24</v>
      </c>
      <c r="AA4332" s="4">
        <v>24</v>
      </c>
      <c r="AB4332" s="4">
        <v>2</v>
      </c>
      <c r="AC4332" s="4">
        <v>2</v>
      </c>
      <c r="AD4332" s="4">
        <v>112</v>
      </c>
      <c r="AE4332" s="4">
        <v>112</v>
      </c>
      <c r="AF4332" s="4">
        <v>1</v>
      </c>
      <c r="AG4332" s="4">
        <v>1</v>
      </c>
      <c r="AH4332" s="4">
        <v>98</v>
      </c>
      <c r="AI4332" s="4">
        <v>98</v>
      </c>
      <c r="AJ4332" s="4">
        <v>19</v>
      </c>
      <c r="AK4332" s="4">
        <v>19</v>
      </c>
      <c r="AL4332" s="4">
        <v>55</v>
      </c>
      <c r="AM4332" s="4">
        <v>55</v>
      </c>
      <c r="AN4332" s="4">
        <v>0</v>
      </c>
      <c r="AO4332" s="4">
        <v>0</v>
      </c>
      <c r="AP4332" s="4">
        <v>22</v>
      </c>
      <c r="AQ4332" s="4">
        <v>22</v>
      </c>
      <c r="AR4332" s="3" t="s">
        <v>62</v>
      </c>
      <c r="AS4332" s="3" t="s">
        <v>62</v>
      </c>
      <c r="AT4332" s="3" t="s">
        <v>61</v>
      </c>
      <c r="AU4332" s="6" t="str">
        <f>HYPERLINK("http://catalog.hathitrust.org/Record/004016148","HathiTrust Record")</f>
        <v>HathiTrust Record</v>
      </c>
      <c r="AV4332" s="6" t="str">
        <f>HYPERLINK("http://mcgill.on.worldcat.org/oclc/37820006","Catalog Record")</f>
        <v>Catalog Record</v>
      </c>
      <c r="AW4332" s="6" t="str">
        <f>HYPERLINK("http://www.worldcat.org/oclc/37820006","WorldCat Record")</f>
        <v>WorldCat Record</v>
      </c>
      <c r="AX4332" s="3" t="s">
        <v>41690</v>
      </c>
      <c r="AY4332" s="3" t="s">
        <v>41691</v>
      </c>
      <c r="AZ4332" s="3" t="s">
        <v>41692</v>
      </c>
      <c r="BA4332" s="3" t="s">
        <v>41692</v>
      </c>
      <c r="BB4332" s="3" t="s">
        <v>41693</v>
      </c>
      <c r="BC4332" s="3" t="s">
        <v>142</v>
      </c>
      <c r="BD4332" s="3" t="s">
        <v>68</v>
      </c>
      <c r="BE4332" s="3" t="s">
        <v>41694</v>
      </c>
      <c r="BF4332" s="3" t="s">
        <v>41693</v>
      </c>
      <c r="BG4332" s="3" t="s">
        <v>41695</v>
      </c>
    </row>
    <row r="4333" spans="1:59" ht="71.25" x14ac:dyDescent="0.45">
      <c r="A4333" s="2" t="s">
        <v>59</v>
      </c>
      <c r="B4333" s="2" t="s">
        <v>60</v>
      </c>
      <c r="C4333" s="2" t="s">
        <v>41696</v>
      </c>
      <c r="D4333" s="2" t="s">
        <v>41697</v>
      </c>
      <c r="E4333" s="2" t="s">
        <v>41698</v>
      </c>
      <c r="G4333" s="3" t="s">
        <v>62</v>
      </c>
      <c r="I4333" s="3" t="s">
        <v>62</v>
      </c>
      <c r="J4333" s="3" t="s">
        <v>62</v>
      </c>
      <c r="K4333" s="3" t="s">
        <v>63</v>
      </c>
      <c r="M4333" s="2" t="s">
        <v>41699</v>
      </c>
      <c r="N4333" s="3" t="s">
        <v>195</v>
      </c>
      <c r="P4333" s="3" t="s">
        <v>65</v>
      </c>
      <c r="R4333" s="3" t="s">
        <v>66</v>
      </c>
      <c r="S4333" s="4">
        <v>28</v>
      </c>
      <c r="T4333" s="4">
        <v>28</v>
      </c>
      <c r="U4333" s="5" t="s">
        <v>19857</v>
      </c>
      <c r="V4333" s="5" t="s">
        <v>19857</v>
      </c>
      <c r="W4333" s="5" t="s">
        <v>67</v>
      </c>
      <c r="X4333" s="5" t="s">
        <v>67</v>
      </c>
      <c r="Y4333" s="4">
        <v>415</v>
      </c>
      <c r="Z4333" s="4">
        <v>13</v>
      </c>
      <c r="AA4333" s="4">
        <v>98</v>
      </c>
      <c r="AB4333" s="4">
        <v>2</v>
      </c>
      <c r="AC4333" s="4">
        <v>17</v>
      </c>
      <c r="AD4333" s="4">
        <v>100</v>
      </c>
      <c r="AE4333" s="4">
        <v>143</v>
      </c>
      <c r="AF4333" s="4">
        <v>1</v>
      </c>
      <c r="AG4333" s="4">
        <v>8</v>
      </c>
      <c r="AH4333" s="4">
        <v>89</v>
      </c>
      <c r="AI4333" s="4">
        <v>105</v>
      </c>
      <c r="AJ4333" s="4">
        <v>8</v>
      </c>
      <c r="AK4333" s="4">
        <v>21</v>
      </c>
      <c r="AL4333" s="4">
        <v>50</v>
      </c>
      <c r="AM4333" s="4">
        <v>55</v>
      </c>
      <c r="AN4333" s="4">
        <v>0</v>
      </c>
      <c r="AO4333" s="4">
        <v>0</v>
      </c>
      <c r="AP4333" s="4">
        <v>12</v>
      </c>
      <c r="AQ4333" s="4">
        <v>45</v>
      </c>
      <c r="AR4333" s="3" t="s">
        <v>62</v>
      </c>
      <c r="AS4333" s="3" t="s">
        <v>62</v>
      </c>
      <c r="AT4333" s="3" t="s">
        <v>62</v>
      </c>
      <c r="AV4333" s="6" t="str">
        <f>HYPERLINK("http://mcgill.on.worldcat.org/oclc/27897665","Catalog Record")</f>
        <v>Catalog Record</v>
      </c>
      <c r="AW4333" s="6" t="str">
        <f>HYPERLINK("http://www.worldcat.org/oclc/27897665","WorldCat Record")</f>
        <v>WorldCat Record</v>
      </c>
      <c r="AX4333" s="3" t="s">
        <v>41700</v>
      </c>
      <c r="AY4333" s="3" t="s">
        <v>41701</v>
      </c>
      <c r="AZ4333" s="3" t="s">
        <v>41702</v>
      </c>
      <c r="BA4333" s="3" t="s">
        <v>41702</v>
      </c>
      <c r="BB4333" s="3" t="s">
        <v>41703</v>
      </c>
      <c r="BC4333" s="3" t="s">
        <v>142</v>
      </c>
      <c r="BD4333" s="3" t="s">
        <v>68</v>
      </c>
      <c r="BE4333" s="3" t="s">
        <v>41704</v>
      </c>
      <c r="BF4333" s="3" t="s">
        <v>41703</v>
      </c>
      <c r="BG4333" s="3" t="s">
        <v>41705</v>
      </c>
    </row>
    <row r="4334" spans="1:59" ht="57" x14ac:dyDescent="0.45">
      <c r="A4334" s="2" t="s">
        <v>59</v>
      </c>
      <c r="B4334" s="2" t="s">
        <v>60</v>
      </c>
      <c r="C4334" s="2" t="s">
        <v>41706</v>
      </c>
      <c r="D4334" s="2" t="s">
        <v>41707</v>
      </c>
      <c r="E4334" s="2" t="s">
        <v>41708</v>
      </c>
      <c r="G4334" s="3" t="s">
        <v>62</v>
      </c>
      <c r="I4334" s="3" t="s">
        <v>62</v>
      </c>
      <c r="J4334" s="3" t="s">
        <v>62</v>
      </c>
      <c r="K4334" s="3" t="s">
        <v>63</v>
      </c>
      <c r="L4334" s="2" t="s">
        <v>41709</v>
      </c>
      <c r="M4334" s="2" t="s">
        <v>37886</v>
      </c>
      <c r="N4334" s="3" t="s">
        <v>894</v>
      </c>
      <c r="P4334" s="3" t="s">
        <v>65</v>
      </c>
      <c r="R4334" s="3" t="s">
        <v>66</v>
      </c>
      <c r="S4334" s="4">
        <v>7</v>
      </c>
      <c r="T4334" s="4">
        <v>7</v>
      </c>
      <c r="U4334" s="5" t="s">
        <v>1806</v>
      </c>
      <c r="V4334" s="5" t="s">
        <v>1806</v>
      </c>
      <c r="W4334" s="5" t="s">
        <v>67</v>
      </c>
      <c r="X4334" s="5" t="s">
        <v>67</v>
      </c>
      <c r="Y4334" s="4">
        <v>402</v>
      </c>
      <c r="Z4334" s="4">
        <v>23</v>
      </c>
      <c r="AA4334" s="4">
        <v>88</v>
      </c>
      <c r="AB4334" s="4">
        <v>2</v>
      </c>
      <c r="AC4334" s="4">
        <v>15</v>
      </c>
      <c r="AD4334" s="4">
        <v>92</v>
      </c>
      <c r="AE4334" s="4">
        <v>136</v>
      </c>
      <c r="AF4334" s="4">
        <v>0</v>
      </c>
      <c r="AG4334" s="4">
        <v>8</v>
      </c>
      <c r="AH4334" s="4">
        <v>78</v>
      </c>
      <c r="AI4334" s="4">
        <v>98</v>
      </c>
      <c r="AJ4334" s="4">
        <v>13</v>
      </c>
      <c r="AK4334" s="4">
        <v>25</v>
      </c>
      <c r="AL4334" s="4">
        <v>46</v>
      </c>
      <c r="AM4334" s="4">
        <v>53</v>
      </c>
      <c r="AN4334" s="4">
        <v>0</v>
      </c>
      <c r="AO4334" s="4">
        <v>0</v>
      </c>
      <c r="AP4334" s="4">
        <v>18</v>
      </c>
      <c r="AQ4334" s="4">
        <v>47</v>
      </c>
      <c r="AR4334" s="3" t="s">
        <v>62</v>
      </c>
      <c r="AS4334" s="3" t="s">
        <v>62</v>
      </c>
      <c r="AT4334" s="3" t="s">
        <v>62</v>
      </c>
      <c r="AV4334" s="6" t="str">
        <f>HYPERLINK("http://mcgill.on.worldcat.org/oclc/700394237","Catalog Record")</f>
        <v>Catalog Record</v>
      </c>
      <c r="AW4334" s="6" t="str">
        <f>HYPERLINK("http://www.worldcat.org/oclc/700394237","WorldCat Record")</f>
        <v>WorldCat Record</v>
      </c>
      <c r="AX4334" s="3" t="s">
        <v>41710</v>
      </c>
      <c r="AY4334" s="3" t="s">
        <v>41711</v>
      </c>
      <c r="AZ4334" s="3" t="s">
        <v>41712</v>
      </c>
      <c r="BA4334" s="3" t="s">
        <v>41712</v>
      </c>
      <c r="BB4334" s="3" t="s">
        <v>41713</v>
      </c>
      <c r="BC4334" s="3" t="s">
        <v>142</v>
      </c>
      <c r="BD4334" s="3" t="s">
        <v>68</v>
      </c>
      <c r="BE4334" s="3" t="s">
        <v>41714</v>
      </c>
      <c r="BF4334" s="3" t="s">
        <v>41713</v>
      </c>
      <c r="BG4334" s="3" t="s">
        <v>41715</v>
      </c>
    </row>
    <row r="4335" spans="1:59" ht="57" x14ac:dyDescent="0.45">
      <c r="A4335" s="2" t="s">
        <v>59</v>
      </c>
      <c r="B4335" s="2" t="s">
        <v>60</v>
      </c>
      <c r="C4335" s="2" t="s">
        <v>41716</v>
      </c>
      <c r="D4335" s="2" t="s">
        <v>41717</v>
      </c>
      <c r="E4335" s="2" t="s">
        <v>41718</v>
      </c>
      <c r="G4335" s="3" t="s">
        <v>62</v>
      </c>
      <c r="I4335" s="3" t="s">
        <v>62</v>
      </c>
      <c r="J4335" s="3" t="s">
        <v>62</v>
      </c>
      <c r="K4335" s="3" t="s">
        <v>63</v>
      </c>
      <c r="M4335" s="2" t="s">
        <v>2871</v>
      </c>
      <c r="N4335" s="3" t="s">
        <v>149</v>
      </c>
      <c r="P4335" s="3" t="s">
        <v>65</v>
      </c>
      <c r="R4335" s="3" t="s">
        <v>66</v>
      </c>
      <c r="S4335" s="4">
        <v>1</v>
      </c>
      <c r="T4335" s="4">
        <v>1</v>
      </c>
      <c r="U4335" s="5" t="s">
        <v>12086</v>
      </c>
      <c r="V4335" s="5" t="s">
        <v>12086</v>
      </c>
      <c r="W4335" s="5" t="s">
        <v>67</v>
      </c>
      <c r="X4335" s="5" t="s">
        <v>67</v>
      </c>
      <c r="Y4335" s="4">
        <v>65</v>
      </c>
      <c r="Z4335" s="4">
        <v>13</v>
      </c>
      <c r="AA4335" s="4">
        <v>14</v>
      </c>
      <c r="AB4335" s="4">
        <v>1</v>
      </c>
      <c r="AC4335" s="4">
        <v>2</v>
      </c>
      <c r="AD4335" s="4">
        <v>34</v>
      </c>
      <c r="AE4335" s="4">
        <v>35</v>
      </c>
      <c r="AF4335" s="4">
        <v>0</v>
      </c>
      <c r="AG4335" s="4">
        <v>1</v>
      </c>
      <c r="AH4335" s="4">
        <v>30</v>
      </c>
      <c r="AI4335" s="4">
        <v>31</v>
      </c>
      <c r="AJ4335" s="4">
        <v>10</v>
      </c>
      <c r="AK4335" s="4">
        <v>11</v>
      </c>
      <c r="AL4335" s="4">
        <v>16</v>
      </c>
      <c r="AM4335" s="4">
        <v>16</v>
      </c>
      <c r="AN4335" s="4">
        <v>0</v>
      </c>
      <c r="AO4335" s="4">
        <v>0</v>
      </c>
      <c r="AP4335" s="4">
        <v>10</v>
      </c>
      <c r="AQ4335" s="4">
        <v>11</v>
      </c>
      <c r="AR4335" s="3" t="s">
        <v>62</v>
      </c>
      <c r="AS4335" s="3" t="s">
        <v>62</v>
      </c>
      <c r="AT4335" s="3" t="s">
        <v>62</v>
      </c>
      <c r="AV4335" s="6" t="str">
        <f>HYPERLINK("http://mcgill.on.worldcat.org/oclc/603067100","Catalog Record")</f>
        <v>Catalog Record</v>
      </c>
      <c r="AW4335" s="6" t="str">
        <f>HYPERLINK("http://www.worldcat.org/oclc/603067100","WorldCat Record")</f>
        <v>WorldCat Record</v>
      </c>
      <c r="AX4335" s="3" t="s">
        <v>41719</v>
      </c>
      <c r="AY4335" s="3" t="s">
        <v>41720</v>
      </c>
      <c r="AZ4335" s="3" t="s">
        <v>41721</v>
      </c>
      <c r="BA4335" s="3" t="s">
        <v>41721</v>
      </c>
      <c r="BB4335" s="3" t="s">
        <v>41722</v>
      </c>
      <c r="BC4335" s="3" t="s">
        <v>142</v>
      </c>
      <c r="BD4335" s="3" t="s">
        <v>68</v>
      </c>
      <c r="BE4335" s="3" t="s">
        <v>41723</v>
      </c>
      <c r="BF4335" s="3" t="s">
        <v>41722</v>
      </c>
      <c r="BG4335" s="3" t="s">
        <v>41724</v>
      </c>
    </row>
    <row r="4336" spans="1:59" ht="57" x14ac:dyDescent="0.45">
      <c r="A4336" s="2" t="s">
        <v>59</v>
      </c>
      <c r="B4336" s="2" t="s">
        <v>60</v>
      </c>
      <c r="C4336" s="2" t="s">
        <v>41725</v>
      </c>
      <c r="D4336" s="2" t="s">
        <v>41726</v>
      </c>
      <c r="E4336" s="2" t="s">
        <v>41727</v>
      </c>
      <c r="G4336" s="3" t="s">
        <v>62</v>
      </c>
      <c r="I4336" s="3" t="s">
        <v>62</v>
      </c>
      <c r="J4336" s="3" t="s">
        <v>62</v>
      </c>
      <c r="K4336" s="3" t="s">
        <v>63</v>
      </c>
      <c r="L4336" s="2" t="s">
        <v>41728</v>
      </c>
      <c r="M4336" s="2" t="s">
        <v>41729</v>
      </c>
      <c r="N4336" s="3" t="s">
        <v>208</v>
      </c>
      <c r="P4336" s="3" t="s">
        <v>65</v>
      </c>
      <c r="Q4336" s="2" t="s">
        <v>41730</v>
      </c>
      <c r="R4336" s="3" t="s">
        <v>66</v>
      </c>
      <c r="S4336" s="4">
        <v>0</v>
      </c>
      <c r="T4336" s="4">
        <v>0</v>
      </c>
      <c r="W4336" s="5" t="s">
        <v>67</v>
      </c>
      <c r="X4336" s="5" t="s">
        <v>67</v>
      </c>
      <c r="Y4336" s="4">
        <v>54</v>
      </c>
      <c r="Z4336" s="4">
        <v>3</v>
      </c>
      <c r="AA4336" s="4">
        <v>3</v>
      </c>
      <c r="AB4336" s="4">
        <v>1</v>
      </c>
      <c r="AC4336" s="4">
        <v>1</v>
      </c>
      <c r="AD4336" s="4">
        <v>25</v>
      </c>
      <c r="AE4336" s="4">
        <v>26</v>
      </c>
      <c r="AF4336" s="4">
        <v>0</v>
      </c>
      <c r="AG4336" s="4">
        <v>0</v>
      </c>
      <c r="AH4336" s="4">
        <v>23</v>
      </c>
      <c r="AI4336" s="4">
        <v>24</v>
      </c>
      <c r="AJ4336" s="4">
        <v>1</v>
      </c>
      <c r="AK4336" s="4">
        <v>1</v>
      </c>
      <c r="AL4336" s="4">
        <v>16</v>
      </c>
      <c r="AM4336" s="4">
        <v>16</v>
      </c>
      <c r="AN4336" s="4">
        <v>0</v>
      </c>
      <c r="AO4336" s="4">
        <v>0</v>
      </c>
      <c r="AP4336" s="4">
        <v>2</v>
      </c>
      <c r="AQ4336" s="4">
        <v>2</v>
      </c>
      <c r="AR4336" s="3" t="s">
        <v>62</v>
      </c>
      <c r="AS4336" s="3" t="s">
        <v>62</v>
      </c>
      <c r="AT4336" s="3" t="s">
        <v>62</v>
      </c>
      <c r="AV4336" s="6" t="str">
        <f>HYPERLINK("http://mcgill.on.worldcat.org/oclc/913514486","Catalog Record")</f>
        <v>Catalog Record</v>
      </c>
      <c r="AW4336" s="6" t="str">
        <f>HYPERLINK("http://www.worldcat.org/oclc/913514486","WorldCat Record")</f>
        <v>WorldCat Record</v>
      </c>
      <c r="AX4336" s="3" t="s">
        <v>41731</v>
      </c>
      <c r="AY4336" s="3" t="s">
        <v>41732</v>
      </c>
      <c r="AZ4336" s="3" t="s">
        <v>41733</v>
      </c>
      <c r="BA4336" s="3" t="s">
        <v>41733</v>
      </c>
      <c r="BB4336" s="3" t="s">
        <v>41734</v>
      </c>
      <c r="BC4336" s="3" t="s">
        <v>142</v>
      </c>
      <c r="BD4336" s="3" t="s">
        <v>68</v>
      </c>
      <c r="BE4336" s="3" t="s">
        <v>41735</v>
      </c>
      <c r="BF4336" s="3" t="s">
        <v>41734</v>
      </c>
      <c r="BG4336" s="3" t="s">
        <v>41736</v>
      </c>
    </row>
    <row r="4337" spans="1:59" ht="57" x14ac:dyDescent="0.45">
      <c r="A4337" s="2" t="s">
        <v>59</v>
      </c>
      <c r="B4337" s="2" t="s">
        <v>60</v>
      </c>
      <c r="C4337" s="2" t="s">
        <v>41737</v>
      </c>
      <c r="D4337" s="2" t="s">
        <v>41738</v>
      </c>
      <c r="E4337" s="2" t="s">
        <v>41739</v>
      </c>
      <c r="G4337" s="3" t="s">
        <v>62</v>
      </c>
      <c r="I4337" s="3" t="s">
        <v>62</v>
      </c>
      <c r="J4337" s="3" t="s">
        <v>62</v>
      </c>
      <c r="K4337" s="3" t="s">
        <v>63</v>
      </c>
      <c r="L4337" s="2" t="s">
        <v>41740</v>
      </c>
      <c r="M4337" s="2" t="s">
        <v>41741</v>
      </c>
      <c r="N4337" s="3" t="s">
        <v>116</v>
      </c>
      <c r="P4337" s="3" t="s">
        <v>65</v>
      </c>
      <c r="Q4337" s="2" t="s">
        <v>41742</v>
      </c>
      <c r="R4337" s="3" t="s">
        <v>66</v>
      </c>
      <c r="S4337" s="4">
        <v>0</v>
      </c>
      <c r="T4337" s="4">
        <v>0</v>
      </c>
      <c r="W4337" s="5" t="s">
        <v>67</v>
      </c>
      <c r="X4337" s="5" t="s">
        <v>67</v>
      </c>
      <c r="Y4337" s="4">
        <v>112</v>
      </c>
      <c r="Z4337" s="4">
        <v>17</v>
      </c>
      <c r="AA4337" s="4">
        <v>22</v>
      </c>
      <c r="AB4337" s="4">
        <v>1</v>
      </c>
      <c r="AC4337" s="4">
        <v>6</v>
      </c>
      <c r="AD4337" s="4">
        <v>47</v>
      </c>
      <c r="AE4337" s="4">
        <v>51</v>
      </c>
      <c r="AF4337" s="4">
        <v>0</v>
      </c>
      <c r="AG4337" s="4">
        <v>2</v>
      </c>
      <c r="AH4337" s="4">
        <v>42</v>
      </c>
      <c r="AI4337" s="4">
        <v>45</v>
      </c>
      <c r="AJ4337" s="4">
        <v>13</v>
      </c>
      <c r="AK4337" s="4">
        <v>15</v>
      </c>
      <c r="AL4337" s="4">
        <v>26</v>
      </c>
      <c r="AM4337" s="4">
        <v>27</v>
      </c>
      <c r="AN4337" s="4">
        <v>0</v>
      </c>
      <c r="AO4337" s="4">
        <v>0</v>
      </c>
      <c r="AP4337" s="4">
        <v>14</v>
      </c>
      <c r="AQ4337" s="4">
        <v>16</v>
      </c>
      <c r="AR4337" s="3" t="s">
        <v>62</v>
      </c>
      <c r="AS4337" s="3" t="s">
        <v>62</v>
      </c>
      <c r="AT4337" s="3" t="s">
        <v>62</v>
      </c>
      <c r="AV4337" s="6" t="str">
        <f>HYPERLINK("http://mcgill.on.worldcat.org/oclc/830627964","Catalog Record")</f>
        <v>Catalog Record</v>
      </c>
      <c r="AW4337" s="6" t="str">
        <f>HYPERLINK("http://www.worldcat.org/oclc/830627964","WorldCat Record")</f>
        <v>WorldCat Record</v>
      </c>
      <c r="AX4337" s="3" t="s">
        <v>41743</v>
      </c>
      <c r="AY4337" s="3" t="s">
        <v>41744</v>
      </c>
      <c r="AZ4337" s="3" t="s">
        <v>41745</v>
      </c>
      <c r="BA4337" s="3" t="s">
        <v>41745</v>
      </c>
      <c r="BB4337" s="3" t="s">
        <v>41746</v>
      </c>
      <c r="BC4337" s="3" t="s">
        <v>142</v>
      </c>
      <c r="BD4337" s="3" t="s">
        <v>68</v>
      </c>
      <c r="BE4337" s="3" t="s">
        <v>41747</v>
      </c>
      <c r="BF4337" s="3" t="s">
        <v>41746</v>
      </c>
      <c r="BG4337" s="3" t="s">
        <v>41748</v>
      </c>
    </row>
    <row r="4338" spans="1:59" ht="57" x14ac:dyDescent="0.45">
      <c r="A4338" s="2" t="s">
        <v>59</v>
      </c>
      <c r="B4338" s="2" t="s">
        <v>60</v>
      </c>
      <c r="C4338" s="2" t="s">
        <v>41749</v>
      </c>
      <c r="D4338" s="2" t="s">
        <v>41750</v>
      </c>
      <c r="E4338" s="2" t="s">
        <v>41751</v>
      </c>
      <c r="G4338" s="3" t="s">
        <v>62</v>
      </c>
      <c r="I4338" s="3" t="s">
        <v>62</v>
      </c>
      <c r="J4338" s="3" t="s">
        <v>62</v>
      </c>
      <c r="K4338" s="3" t="s">
        <v>63</v>
      </c>
      <c r="M4338" s="2" t="s">
        <v>7307</v>
      </c>
      <c r="N4338" s="3" t="s">
        <v>149</v>
      </c>
      <c r="P4338" s="3" t="s">
        <v>65</v>
      </c>
      <c r="Q4338" s="2" t="s">
        <v>41752</v>
      </c>
      <c r="R4338" s="3" t="s">
        <v>66</v>
      </c>
      <c r="S4338" s="4">
        <v>2</v>
      </c>
      <c r="T4338" s="4">
        <v>2</v>
      </c>
      <c r="U4338" s="5" t="s">
        <v>16573</v>
      </c>
      <c r="V4338" s="5" t="s">
        <v>16573</v>
      </c>
      <c r="W4338" s="5" t="s">
        <v>67</v>
      </c>
      <c r="X4338" s="5" t="s">
        <v>67</v>
      </c>
      <c r="Y4338" s="4">
        <v>29</v>
      </c>
      <c r="Z4338" s="4">
        <v>6</v>
      </c>
      <c r="AA4338" s="4">
        <v>6</v>
      </c>
      <c r="AB4338" s="4">
        <v>2</v>
      </c>
      <c r="AC4338" s="4">
        <v>2</v>
      </c>
      <c r="AD4338" s="4">
        <v>19</v>
      </c>
      <c r="AE4338" s="4">
        <v>19</v>
      </c>
      <c r="AF4338" s="4">
        <v>1</v>
      </c>
      <c r="AG4338" s="4">
        <v>1</v>
      </c>
      <c r="AH4338" s="4">
        <v>16</v>
      </c>
      <c r="AI4338" s="4">
        <v>16</v>
      </c>
      <c r="AJ4338" s="4">
        <v>5</v>
      </c>
      <c r="AK4338" s="4">
        <v>5</v>
      </c>
      <c r="AL4338" s="4">
        <v>11</v>
      </c>
      <c r="AM4338" s="4">
        <v>11</v>
      </c>
      <c r="AN4338" s="4">
        <v>0</v>
      </c>
      <c r="AO4338" s="4">
        <v>0</v>
      </c>
      <c r="AP4338" s="4">
        <v>5</v>
      </c>
      <c r="AQ4338" s="4">
        <v>5</v>
      </c>
      <c r="AR4338" s="3" t="s">
        <v>62</v>
      </c>
      <c r="AS4338" s="3" t="s">
        <v>62</v>
      </c>
      <c r="AT4338" s="3" t="s">
        <v>62</v>
      </c>
      <c r="AV4338" s="6" t="str">
        <f>HYPERLINK("http://mcgill.on.worldcat.org/oclc/680228565","Catalog Record")</f>
        <v>Catalog Record</v>
      </c>
      <c r="AW4338" s="6" t="str">
        <f>HYPERLINK("http://www.worldcat.org/oclc/680228565","WorldCat Record")</f>
        <v>WorldCat Record</v>
      </c>
      <c r="AX4338" s="3" t="s">
        <v>41753</v>
      </c>
      <c r="AY4338" s="3" t="s">
        <v>41754</v>
      </c>
      <c r="AZ4338" s="3" t="s">
        <v>41755</v>
      </c>
      <c r="BA4338" s="3" t="s">
        <v>41755</v>
      </c>
      <c r="BB4338" s="3" t="s">
        <v>41756</v>
      </c>
      <c r="BC4338" s="3" t="s">
        <v>142</v>
      </c>
      <c r="BD4338" s="3" t="s">
        <v>68</v>
      </c>
      <c r="BE4338" s="3" t="s">
        <v>41757</v>
      </c>
      <c r="BF4338" s="3" t="s">
        <v>41756</v>
      </c>
      <c r="BG4338" s="3" t="s">
        <v>41758</v>
      </c>
    </row>
    <row r="4339" spans="1:59" ht="57" x14ac:dyDescent="0.45">
      <c r="A4339" s="2" t="s">
        <v>59</v>
      </c>
      <c r="B4339" s="2" t="s">
        <v>60</v>
      </c>
      <c r="C4339" s="2" t="s">
        <v>41759</v>
      </c>
      <c r="D4339" s="2" t="s">
        <v>41760</v>
      </c>
      <c r="E4339" s="2" t="s">
        <v>41761</v>
      </c>
      <c r="G4339" s="3" t="s">
        <v>62</v>
      </c>
      <c r="I4339" s="3" t="s">
        <v>62</v>
      </c>
      <c r="J4339" s="3" t="s">
        <v>62</v>
      </c>
      <c r="K4339" s="3" t="s">
        <v>63</v>
      </c>
      <c r="L4339" s="2" t="s">
        <v>41762</v>
      </c>
      <c r="M4339" s="2" t="s">
        <v>41763</v>
      </c>
      <c r="N4339" s="3" t="s">
        <v>149</v>
      </c>
      <c r="P4339" s="3" t="s">
        <v>65</v>
      </c>
      <c r="Q4339" s="2" t="s">
        <v>41764</v>
      </c>
      <c r="R4339" s="3" t="s">
        <v>66</v>
      </c>
      <c r="S4339" s="4">
        <v>1</v>
      </c>
      <c r="T4339" s="4">
        <v>1</v>
      </c>
      <c r="U4339" s="5" t="s">
        <v>37431</v>
      </c>
      <c r="V4339" s="5" t="s">
        <v>37431</v>
      </c>
      <c r="W4339" s="5" t="s">
        <v>67</v>
      </c>
      <c r="X4339" s="5" t="s">
        <v>67</v>
      </c>
      <c r="Y4339" s="4">
        <v>26</v>
      </c>
      <c r="Z4339" s="4">
        <v>1</v>
      </c>
      <c r="AA4339" s="4">
        <v>19</v>
      </c>
      <c r="AB4339" s="4">
        <v>1</v>
      </c>
      <c r="AC4339" s="4">
        <v>3</v>
      </c>
      <c r="AD4339" s="4">
        <v>3</v>
      </c>
      <c r="AE4339" s="4">
        <v>75</v>
      </c>
      <c r="AF4339" s="4">
        <v>0</v>
      </c>
      <c r="AG4339" s="4">
        <v>2</v>
      </c>
      <c r="AH4339" s="4">
        <v>3</v>
      </c>
      <c r="AI4339" s="4">
        <v>65</v>
      </c>
      <c r="AJ4339" s="4">
        <v>0</v>
      </c>
      <c r="AK4339" s="4">
        <v>14</v>
      </c>
      <c r="AL4339" s="4">
        <v>3</v>
      </c>
      <c r="AM4339" s="4">
        <v>40</v>
      </c>
      <c r="AN4339" s="4">
        <v>0</v>
      </c>
      <c r="AO4339" s="4">
        <v>0</v>
      </c>
      <c r="AP4339" s="4">
        <v>0</v>
      </c>
      <c r="AQ4339" s="4">
        <v>16</v>
      </c>
      <c r="AR4339" s="3" t="s">
        <v>62</v>
      </c>
      <c r="AS4339" s="3" t="s">
        <v>62</v>
      </c>
      <c r="AT4339" s="3" t="s">
        <v>62</v>
      </c>
      <c r="AV4339" s="6" t="str">
        <f>HYPERLINK("http://mcgill.on.worldcat.org/oclc/610567555","Catalog Record")</f>
        <v>Catalog Record</v>
      </c>
      <c r="AW4339" s="6" t="str">
        <f>HYPERLINK("http://www.worldcat.org/oclc/610567555","WorldCat Record")</f>
        <v>WorldCat Record</v>
      </c>
      <c r="AX4339" s="3" t="s">
        <v>41765</v>
      </c>
      <c r="AY4339" s="3" t="s">
        <v>41766</v>
      </c>
      <c r="AZ4339" s="3" t="s">
        <v>41767</v>
      </c>
      <c r="BA4339" s="3" t="s">
        <v>41767</v>
      </c>
      <c r="BB4339" s="3" t="s">
        <v>41768</v>
      </c>
      <c r="BC4339" s="3" t="s">
        <v>142</v>
      </c>
      <c r="BD4339" s="3" t="s">
        <v>68</v>
      </c>
      <c r="BE4339" s="3" t="s">
        <v>41769</v>
      </c>
      <c r="BF4339" s="3" t="s">
        <v>41768</v>
      </c>
      <c r="BG4339" s="3" t="s">
        <v>41770</v>
      </c>
    </row>
    <row r="4340" spans="1:59" ht="57" x14ac:dyDescent="0.45">
      <c r="A4340" s="2" t="s">
        <v>59</v>
      </c>
      <c r="B4340" s="2" t="s">
        <v>60</v>
      </c>
      <c r="C4340" s="2" t="s">
        <v>41771</v>
      </c>
      <c r="D4340" s="2" t="s">
        <v>41772</v>
      </c>
      <c r="E4340" s="2" t="s">
        <v>41773</v>
      </c>
      <c r="G4340" s="3" t="s">
        <v>62</v>
      </c>
      <c r="I4340" s="3" t="s">
        <v>62</v>
      </c>
      <c r="J4340" s="3" t="s">
        <v>62</v>
      </c>
      <c r="K4340" s="3" t="s">
        <v>63</v>
      </c>
      <c r="L4340" s="2" t="s">
        <v>41774</v>
      </c>
      <c r="M4340" s="2" t="s">
        <v>41775</v>
      </c>
      <c r="N4340" s="3" t="s">
        <v>918</v>
      </c>
      <c r="P4340" s="3" t="s">
        <v>65</v>
      </c>
      <c r="Q4340" s="2" t="s">
        <v>41776</v>
      </c>
      <c r="R4340" s="3" t="s">
        <v>66</v>
      </c>
      <c r="S4340" s="4">
        <v>17</v>
      </c>
      <c r="T4340" s="4">
        <v>17</v>
      </c>
      <c r="U4340" s="5" t="s">
        <v>41777</v>
      </c>
      <c r="V4340" s="5" t="s">
        <v>41777</v>
      </c>
      <c r="W4340" s="5" t="s">
        <v>67</v>
      </c>
      <c r="X4340" s="5" t="s">
        <v>67</v>
      </c>
      <c r="Y4340" s="4">
        <v>73</v>
      </c>
      <c r="Z4340" s="4">
        <v>4</v>
      </c>
      <c r="AA4340" s="4">
        <v>20</v>
      </c>
      <c r="AB4340" s="4">
        <v>1</v>
      </c>
      <c r="AC4340" s="4">
        <v>2</v>
      </c>
      <c r="AD4340" s="4">
        <v>1</v>
      </c>
      <c r="AE4340" s="4">
        <v>38</v>
      </c>
      <c r="AF4340" s="4">
        <v>0</v>
      </c>
      <c r="AG4340" s="4">
        <v>1</v>
      </c>
      <c r="AH4340" s="4">
        <v>1</v>
      </c>
      <c r="AI4340" s="4">
        <v>30</v>
      </c>
      <c r="AJ4340" s="4">
        <v>0</v>
      </c>
      <c r="AK4340" s="4">
        <v>9</v>
      </c>
      <c r="AL4340" s="4">
        <v>0</v>
      </c>
      <c r="AM4340" s="4">
        <v>17</v>
      </c>
      <c r="AN4340" s="4">
        <v>0</v>
      </c>
      <c r="AO4340" s="4">
        <v>0</v>
      </c>
      <c r="AP4340" s="4">
        <v>0</v>
      </c>
      <c r="AQ4340" s="4">
        <v>11</v>
      </c>
      <c r="AR4340" s="3" t="s">
        <v>62</v>
      </c>
      <c r="AS4340" s="3" t="s">
        <v>62</v>
      </c>
      <c r="AT4340" s="3" t="s">
        <v>62</v>
      </c>
      <c r="AV4340" s="6" t="str">
        <f>HYPERLINK("http://mcgill.on.worldcat.org/oclc/54542690","Catalog Record")</f>
        <v>Catalog Record</v>
      </c>
      <c r="AW4340" s="6" t="str">
        <f>HYPERLINK("http://www.worldcat.org/oclc/54542690","WorldCat Record")</f>
        <v>WorldCat Record</v>
      </c>
      <c r="AX4340" s="3" t="s">
        <v>41778</v>
      </c>
      <c r="AY4340" s="3" t="s">
        <v>41779</v>
      </c>
      <c r="AZ4340" s="3" t="s">
        <v>41780</v>
      </c>
      <c r="BA4340" s="3" t="s">
        <v>41780</v>
      </c>
      <c r="BB4340" s="3" t="s">
        <v>41781</v>
      </c>
      <c r="BC4340" s="3" t="s">
        <v>142</v>
      </c>
      <c r="BD4340" s="3" t="s">
        <v>68</v>
      </c>
      <c r="BE4340" s="3" t="s">
        <v>41782</v>
      </c>
      <c r="BF4340" s="3" t="s">
        <v>41781</v>
      </c>
      <c r="BG4340" s="3" t="s">
        <v>41783</v>
      </c>
    </row>
    <row r="4341" spans="1:59" ht="57" x14ac:dyDescent="0.45">
      <c r="A4341" s="2" t="s">
        <v>59</v>
      </c>
      <c r="B4341" s="2" t="s">
        <v>60</v>
      </c>
      <c r="C4341" s="2" t="s">
        <v>41784</v>
      </c>
      <c r="D4341" s="2" t="s">
        <v>41785</v>
      </c>
      <c r="E4341" s="2" t="s">
        <v>41786</v>
      </c>
      <c r="G4341" s="3" t="s">
        <v>62</v>
      </c>
      <c r="I4341" s="3" t="s">
        <v>61</v>
      </c>
      <c r="J4341" s="3" t="s">
        <v>61</v>
      </c>
      <c r="K4341" s="3" t="s">
        <v>63</v>
      </c>
      <c r="M4341" s="2" t="s">
        <v>41787</v>
      </c>
      <c r="N4341" s="3" t="s">
        <v>958</v>
      </c>
      <c r="O4341" s="2" t="s">
        <v>420</v>
      </c>
      <c r="P4341" s="3" t="s">
        <v>65</v>
      </c>
      <c r="R4341" s="3" t="s">
        <v>66</v>
      </c>
      <c r="S4341" s="4">
        <v>16</v>
      </c>
      <c r="T4341" s="4">
        <v>31</v>
      </c>
      <c r="U4341" s="5" t="s">
        <v>4852</v>
      </c>
      <c r="V4341" s="5" t="s">
        <v>4852</v>
      </c>
      <c r="W4341" s="5" t="s">
        <v>67</v>
      </c>
      <c r="X4341" s="5" t="s">
        <v>67</v>
      </c>
      <c r="Y4341" s="4">
        <v>318</v>
      </c>
      <c r="Z4341" s="4">
        <v>25</v>
      </c>
      <c r="AA4341" s="4">
        <v>87</v>
      </c>
      <c r="AB4341" s="4">
        <v>1</v>
      </c>
      <c r="AC4341" s="4">
        <v>14</v>
      </c>
      <c r="AD4341" s="4">
        <v>63</v>
      </c>
      <c r="AE4341" s="4">
        <v>155</v>
      </c>
      <c r="AF4341" s="4">
        <v>0</v>
      </c>
      <c r="AG4341" s="4">
        <v>7</v>
      </c>
      <c r="AH4341" s="4">
        <v>51</v>
      </c>
      <c r="AI4341" s="4">
        <v>113</v>
      </c>
      <c r="AJ4341" s="4">
        <v>11</v>
      </c>
      <c r="AK4341" s="4">
        <v>27</v>
      </c>
      <c r="AL4341" s="4">
        <v>29</v>
      </c>
      <c r="AM4341" s="4">
        <v>61</v>
      </c>
      <c r="AN4341" s="4">
        <v>0</v>
      </c>
      <c r="AO4341" s="4">
        <v>0</v>
      </c>
      <c r="AP4341" s="4">
        <v>16</v>
      </c>
      <c r="AQ4341" s="4">
        <v>50</v>
      </c>
      <c r="AR4341" s="3" t="s">
        <v>62</v>
      </c>
      <c r="AS4341" s="3" t="s">
        <v>62</v>
      </c>
      <c r="AT4341" s="3" t="s">
        <v>62</v>
      </c>
      <c r="AV4341" s="6" t="str">
        <f>HYPERLINK("http://mcgill.on.worldcat.org/oclc/32203191","Catalog Record")</f>
        <v>Catalog Record</v>
      </c>
      <c r="AW4341" s="6" t="str">
        <f>HYPERLINK("http://www.worldcat.org/oclc/32203191","WorldCat Record")</f>
        <v>WorldCat Record</v>
      </c>
      <c r="AX4341" s="3" t="s">
        <v>41788</v>
      </c>
      <c r="AY4341" s="3" t="s">
        <v>41789</v>
      </c>
      <c r="AZ4341" s="3" t="s">
        <v>41790</v>
      </c>
      <c r="BA4341" s="3" t="s">
        <v>41790</v>
      </c>
      <c r="BB4341" s="3" t="s">
        <v>41791</v>
      </c>
      <c r="BC4341" s="3" t="s">
        <v>142</v>
      </c>
      <c r="BD4341" s="3" t="s">
        <v>68</v>
      </c>
      <c r="BE4341" s="3" t="s">
        <v>41792</v>
      </c>
      <c r="BF4341" s="3" t="s">
        <v>41791</v>
      </c>
      <c r="BG4341" s="3" t="s">
        <v>41793</v>
      </c>
    </row>
    <row r="4342" spans="1:59" ht="57" x14ac:dyDescent="0.45">
      <c r="A4342" s="2" t="s">
        <v>59</v>
      </c>
      <c r="B4342" s="2" t="s">
        <v>60</v>
      </c>
      <c r="C4342" s="2" t="s">
        <v>41784</v>
      </c>
      <c r="D4342" s="2" t="s">
        <v>41785</v>
      </c>
      <c r="E4342" s="2" t="s">
        <v>41786</v>
      </c>
      <c r="G4342" s="3" t="s">
        <v>62</v>
      </c>
      <c r="I4342" s="3" t="s">
        <v>61</v>
      </c>
      <c r="J4342" s="3" t="s">
        <v>61</v>
      </c>
      <c r="K4342" s="3" t="s">
        <v>63</v>
      </c>
      <c r="M4342" s="2" t="s">
        <v>41787</v>
      </c>
      <c r="N4342" s="3" t="s">
        <v>958</v>
      </c>
      <c r="O4342" s="2" t="s">
        <v>420</v>
      </c>
      <c r="P4342" s="3" t="s">
        <v>65</v>
      </c>
      <c r="R4342" s="3" t="s">
        <v>66</v>
      </c>
      <c r="S4342" s="4">
        <v>15</v>
      </c>
      <c r="T4342" s="4">
        <v>31</v>
      </c>
      <c r="U4342" s="5" t="s">
        <v>41794</v>
      </c>
      <c r="V4342" s="5" t="s">
        <v>4852</v>
      </c>
      <c r="W4342" s="5" t="s">
        <v>67</v>
      </c>
      <c r="X4342" s="5" t="s">
        <v>67</v>
      </c>
      <c r="Y4342" s="4">
        <v>318</v>
      </c>
      <c r="Z4342" s="4">
        <v>25</v>
      </c>
      <c r="AA4342" s="4">
        <v>87</v>
      </c>
      <c r="AB4342" s="4">
        <v>1</v>
      </c>
      <c r="AC4342" s="4">
        <v>14</v>
      </c>
      <c r="AD4342" s="4">
        <v>63</v>
      </c>
      <c r="AE4342" s="4">
        <v>155</v>
      </c>
      <c r="AF4342" s="4">
        <v>0</v>
      </c>
      <c r="AG4342" s="4">
        <v>7</v>
      </c>
      <c r="AH4342" s="4">
        <v>51</v>
      </c>
      <c r="AI4342" s="4">
        <v>113</v>
      </c>
      <c r="AJ4342" s="4">
        <v>11</v>
      </c>
      <c r="AK4342" s="4">
        <v>27</v>
      </c>
      <c r="AL4342" s="4">
        <v>29</v>
      </c>
      <c r="AM4342" s="4">
        <v>61</v>
      </c>
      <c r="AN4342" s="4">
        <v>0</v>
      </c>
      <c r="AO4342" s="4">
        <v>0</v>
      </c>
      <c r="AP4342" s="4">
        <v>16</v>
      </c>
      <c r="AQ4342" s="4">
        <v>50</v>
      </c>
      <c r="AR4342" s="3" t="s">
        <v>62</v>
      </c>
      <c r="AS4342" s="3" t="s">
        <v>62</v>
      </c>
      <c r="AT4342" s="3" t="s">
        <v>62</v>
      </c>
      <c r="AV4342" s="6" t="str">
        <f>HYPERLINK("http://mcgill.on.worldcat.org/oclc/32203191","Catalog Record")</f>
        <v>Catalog Record</v>
      </c>
      <c r="AW4342" s="6" t="str">
        <f>HYPERLINK("http://www.worldcat.org/oclc/32203191","WorldCat Record")</f>
        <v>WorldCat Record</v>
      </c>
      <c r="AX4342" s="3" t="s">
        <v>41788</v>
      </c>
      <c r="AY4342" s="3" t="s">
        <v>41789</v>
      </c>
      <c r="AZ4342" s="3" t="s">
        <v>41790</v>
      </c>
      <c r="BA4342" s="3" t="s">
        <v>41790</v>
      </c>
      <c r="BB4342" s="3" t="s">
        <v>41795</v>
      </c>
      <c r="BC4342" s="3" t="s">
        <v>142</v>
      </c>
      <c r="BD4342" s="3" t="s">
        <v>68</v>
      </c>
      <c r="BE4342" s="3" t="s">
        <v>41792</v>
      </c>
      <c r="BF4342" s="3" t="s">
        <v>41795</v>
      </c>
      <c r="BG4342" s="3" t="s">
        <v>41796</v>
      </c>
    </row>
    <row r="4343" spans="1:59" ht="57" x14ac:dyDescent="0.45">
      <c r="A4343" s="2" t="s">
        <v>59</v>
      </c>
      <c r="B4343" s="2" t="s">
        <v>60</v>
      </c>
      <c r="C4343" s="2" t="s">
        <v>41797</v>
      </c>
      <c r="D4343" s="2" t="s">
        <v>41798</v>
      </c>
      <c r="E4343" s="2" t="s">
        <v>41786</v>
      </c>
      <c r="G4343" s="3" t="s">
        <v>62</v>
      </c>
      <c r="I4343" s="3" t="s">
        <v>61</v>
      </c>
      <c r="J4343" s="3" t="s">
        <v>61</v>
      </c>
      <c r="K4343" s="3" t="s">
        <v>63</v>
      </c>
      <c r="M4343" s="2" t="s">
        <v>21778</v>
      </c>
      <c r="N4343" s="3" t="s">
        <v>149</v>
      </c>
      <c r="O4343" s="2" t="s">
        <v>4282</v>
      </c>
      <c r="P4343" s="3" t="s">
        <v>65</v>
      </c>
      <c r="R4343" s="3" t="s">
        <v>66</v>
      </c>
      <c r="S4343" s="4">
        <v>8</v>
      </c>
      <c r="T4343" s="4">
        <v>14</v>
      </c>
      <c r="U4343" s="5" t="s">
        <v>137</v>
      </c>
      <c r="V4343" s="5" t="s">
        <v>137</v>
      </c>
      <c r="W4343" s="5" t="s">
        <v>67</v>
      </c>
      <c r="X4343" s="5" t="s">
        <v>67</v>
      </c>
      <c r="Y4343" s="4">
        <v>166</v>
      </c>
      <c r="Z4343" s="4">
        <v>13</v>
      </c>
      <c r="AA4343" s="4">
        <v>87</v>
      </c>
      <c r="AB4343" s="4">
        <v>1</v>
      </c>
      <c r="AC4343" s="4">
        <v>14</v>
      </c>
      <c r="AD4343" s="4">
        <v>19</v>
      </c>
      <c r="AE4343" s="4">
        <v>155</v>
      </c>
      <c r="AF4343" s="4">
        <v>0</v>
      </c>
      <c r="AG4343" s="4">
        <v>7</v>
      </c>
      <c r="AH4343" s="4">
        <v>13</v>
      </c>
      <c r="AI4343" s="4">
        <v>113</v>
      </c>
      <c r="AJ4343" s="4">
        <v>6</v>
      </c>
      <c r="AK4343" s="4">
        <v>27</v>
      </c>
      <c r="AL4343" s="4">
        <v>10</v>
      </c>
      <c r="AM4343" s="4">
        <v>61</v>
      </c>
      <c r="AN4343" s="4">
        <v>0</v>
      </c>
      <c r="AO4343" s="4">
        <v>0</v>
      </c>
      <c r="AP4343" s="4">
        <v>8</v>
      </c>
      <c r="AQ4343" s="4">
        <v>50</v>
      </c>
      <c r="AR4343" s="3" t="s">
        <v>62</v>
      </c>
      <c r="AS4343" s="3" t="s">
        <v>62</v>
      </c>
      <c r="AT4343" s="3" t="s">
        <v>62</v>
      </c>
      <c r="AV4343" s="6" t="str">
        <f>HYPERLINK("http://mcgill.on.worldcat.org/oclc/424454992","Catalog Record")</f>
        <v>Catalog Record</v>
      </c>
      <c r="AW4343" s="6" t="str">
        <f>HYPERLINK("http://www.worldcat.org/oclc/424454992","WorldCat Record")</f>
        <v>WorldCat Record</v>
      </c>
      <c r="AX4343" s="3" t="s">
        <v>41788</v>
      </c>
      <c r="AY4343" s="3" t="s">
        <v>41799</v>
      </c>
      <c r="AZ4343" s="3" t="s">
        <v>41800</v>
      </c>
      <c r="BA4343" s="3" t="s">
        <v>41800</v>
      </c>
      <c r="BB4343" s="3" t="s">
        <v>41801</v>
      </c>
      <c r="BC4343" s="3" t="s">
        <v>142</v>
      </c>
      <c r="BD4343" s="3" t="s">
        <v>308</v>
      </c>
      <c r="BE4343" s="3" t="s">
        <v>41802</v>
      </c>
      <c r="BF4343" s="3" t="s">
        <v>41801</v>
      </c>
      <c r="BG4343" s="3" t="s">
        <v>41803</v>
      </c>
    </row>
    <row r="4344" spans="1:59" ht="57" x14ac:dyDescent="0.45">
      <c r="A4344" s="2" t="s">
        <v>59</v>
      </c>
      <c r="B4344" s="2" t="s">
        <v>60</v>
      </c>
      <c r="C4344" s="2" t="s">
        <v>41797</v>
      </c>
      <c r="D4344" s="2" t="s">
        <v>41798</v>
      </c>
      <c r="E4344" s="2" t="s">
        <v>41786</v>
      </c>
      <c r="G4344" s="3" t="s">
        <v>62</v>
      </c>
      <c r="I4344" s="3" t="s">
        <v>61</v>
      </c>
      <c r="J4344" s="3" t="s">
        <v>61</v>
      </c>
      <c r="K4344" s="3" t="s">
        <v>63</v>
      </c>
      <c r="M4344" s="2" t="s">
        <v>21778</v>
      </c>
      <c r="N4344" s="3" t="s">
        <v>149</v>
      </c>
      <c r="O4344" s="2" t="s">
        <v>4282</v>
      </c>
      <c r="P4344" s="3" t="s">
        <v>65</v>
      </c>
      <c r="R4344" s="3" t="s">
        <v>66</v>
      </c>
      <c r="S4344" s="4">
        <v>2</v>
      </c>
      <c r="T4344" s="4">
        <v>14</v>
      </c>
      <c r="U4344" s="5" t="s">
        <v>38410</v>
      </c>
      <c r="V4344" s="5" t="s">
        <v>137</v>
      </c>
      <c r="W4344" s="5" t="s">
        <v>67</v>
      </c>
      <c r="X4344" s="5" t="s">
        <v>67</v>
      </c>
      <c r="Y4344" s="4">
        <v>166</v>
      </c>
      <c r="Z4344" s="4">
        <v>13</v>
      </c>
      <c r="AA4344" s="4">
        <v>87</v>
      </c>
      <c r="AB4344" s="4">
        <v>1</v>
      </c>
      <c r="AC4344" s="4">
        <v>14</v>
      </c>
      <c r="AD4344" s="4">
        <v>19</v>
      </c>
      <c r="AE4344" s="4">
        <v>155</v>
      </c>
      <c r="AF4344" s="4">
        <v>0</v>
      </c>
      <c r="AG4344" s="4">
        <v>7</v>
      </c>
      <c r="AH4344" s="4">
        <v>13</v>
      </c>
      <c r="AI4344" s="4">
        <v>113</v>
      </c>
      <c r="AJ4344" s="4">
        <v>6</v>
      </c>
      <c r="AK4344" s="4">
        <v>27</v>
      </c>
      <c r="AL4344" s="4">
        <v>10</v>
      </c>
      <c r="AM4344" s="4">
        <v>61</v>
      </c>
      <c r="AN4344" s="4">
        <v>0</v>
      </c>
      <c r="AO4344" s="4">
        <v>0</v>
      </c>
      <c r="AP4344" s="4">
        <v>8</v>
      </c>
      <c r="AQ4344" s="4">
        <v>50</v>
      </c>
      <c r="AR4344" s="3" t="s">
        <v>62</v>
      </c>
      <c r="AS4344" s="3" t="s">
        <v>62</v>
      </c>
      <c r="AT4344" s="3" t="s">
        <v>62</v>
      </c>
      <c r="AV4344" s="6" t="str">
        <f>HYPERLINK("http://mcgill.on.worldcat.org/oclc/424454992","Catalog Record")</f>
        <v>Catalog Record</v>
      </c>
      <c r="AW4344" s="6" t="str">
        <f>HYPERLINK("http://www.worldcat.org/oclc/424454992","WorldCat Record")</f>
        <v>WorldCat Record</v>
      </c>
      <c r="AX4344" s="3" t="s">
        <v>41788</v>
      </c>
      <c r="AY4344" s="3" t="s">
        <v>41799</v>
      </c>
      <c r="AZ4344" s="3" t="s">
        <v>41800</v>
      </c>
      <c r="BA4344" s="3" t="s">
        <v>41800</v>
      </c>
      <c r="BB4344" s="3" t="s">
        <v>41804</v>
      </c>
      <c r="BC4344" s="3" t="s">
        <v>142</v>
      </c>
      <c r="BD4344" s="3" t="s">
        <v>68</v>
      </c>
      <c r="BE4344" s="3" t="s">
        <v>41802</v>
      </c>
      <c r="BF4344" s="3" t="s">
        <v>41804</v>
      </c>
      <c r="BG4344" s="3" t="s">
        <v>41805</v>
      </c>
    </row>
    <row r="4345" spans="1:59" ht="57" x14ac:dyDescent="0.45">
      <c r="A4345" s="2" t="s">
        <v>59</v>
      </c>
      <c r="B4345" s="2" t="s">
        <v>60</v>
      </c>
      <c r="C4345" s="2" t="s">
        <v>41797</v>
      </c>
      <c r="D4345" s="2" t="s">
        <v>41798</v>
      </c>
      <c r="E4345" s="2" t="s">
        <v>41786</v>
      </c>
      <c r="G4345" s="3" t="s">
        <v>62</v>
      </c>
      <c r="I4345" s="3" t="s">
        <v>61</v>
      </c>
      <c r="J4345" s="3" t="s">
        <v>61</v>
      </c>
      <c r="K4345" s="3" t="s">
        <v>63</v>
      </c>
      <c r="M4345" s="2" t="s">
        <v>21778</v>
      </c>
      <c r="N4345" s="3" t="s">
        <v>149</v>
      </c>
      <c r="O4345" s="2" t="s">
        <v>4282</v>
      </c>
      <c r="P4345" s="3" t="s">
        <v>65</v>
      </c>
      <c r="R4345" s="3" t="s">
        <v>66</v>
      </c>
      <c r="S4345" s="4">
        <v>4</v>
      </c>
      <c r="T4345" s="4">
        <v>14</v>
      </c>
      <c r="U4345" s="5" t="s">
        <v>41806</v>
      </c>
      <c r="V4345" s="5" t="s">
        <v>137</v>
      </c>
      <c r="W4345" s="5" t="s">
        <v>67</v>
      </c>
      <c r="X4345" s="5" t="s">
        <v>67</v>
      </c>
      <c r="Y4345" s="4">
        <v>166</v>
      </c>
      <c r="Z4345" s="4">
        <v>13</v>
      </c>
      <c r="AA4345" s="4">
        <v>87</v>
      </c>
      <c r="AB4345" s="4">
        <v>1</v>
      </c>
      <c r="AC4345" s="4">
        <v>14</v>
      </c>
      <c r="AD4345" s="4">
        <v>19</v>
      </c>
      <c r="AE4345" s="4">
        <v>155</v>
      </c>
      <c r="AF4345" s="4">
        <v>0</v>
      </c>
      <c r="AG4345" s="4">
        <v>7</v>
      </c>
      <c r="AH4345" s="4">
        <v>13</v>
      </c>
      <c r="AI4345" s="4">
        <v>113</v>
      </c>
      <c r="AJ4345" s="4">
        <v>6</v>
      </c>
      <c r="AK4345" s="4">
        <v>27</v>
      </c>
      <c r="AL4345" s="4">
        <v>10</v>
      </c>
      <c r="AM4345" s="4">
        <v>61</v>
      </c>
      <c r="AN4345" s="4">
        <v>0</v>
      </c>
      <c r="AO4345" s="4">
        <v>0</v>
      </c>
      <c r="AP4345" s="4">
        <v>8</v>
      </c>
      <c r="AQ4345" s="4">
        <v>50</v>
      </c>
      <c r="AR4345" s="3" t="s">
        <v>62</v>
      </c>
      <c r="AS4345" s="3" t="s">
        <v>62</v>
      </c>
      <c r="AT4345" s="3" t="s">
        <v>62</v>
      </c>
      <c r="AV4345" s="6" t="str">
        <f>HYPERLINK("http://mcgill.on.worldcat.org/oclc/424454992","Catalog Record")</f>
        <v>Catalog Record</v>
      </c>
      <c r="AW4345" s="6" t="str">
        <f>HYPERLINK("http://www.worldcat.org/oclc/424454992","WorldCat Record")</f>
        <v>WorldCat Record</v>
      </c>
      <c r="AX4345" s="3" t="s">
        <v>41788</v>
      </c>
      <c r="AY4345" s="3" t="s">
        <v>41799</v>
      </c>
      <c r="AZ4345" s="3" t="s">
        <v>41800</v>
      </c>
      <c r="BA4345" s="3" t="s">
        <v>41800</v>
      </c>
      <c r="BB4345" s="3" t="s">
        <v>41807</v>
      </c>
      <c r="BC4345" s="3" t="s">
        <v>142</v>
      </c>
      <c r="BD4345" s="3" t="s">
        <v>68</v>
      </c>
      <c r="BE4345" s="3" t="s">
        <v>41802</v>
      </c>
      <c r="BF4345" s="3" t="s">
        <v>41807</v>
      </c>
      <c r="BG4345" s="3" t="s">
        <v>41808</v>
      </c>
    </row>
    <row r="4346" spans="1:59" ht="57" x14ac:dyDescent="0.45">
      <c r="A4346" s="2" t="s">
        <v>59</v>
      </c>
      <c r="B4346" s="2" t="s">
        <v>60</v>
      </c>
      <c r="C4346" s="2" t="s">
        <v>41809</v>
      </c>
      <c r="D4346" s="2" t="s">
        <v>41810</v>
      </c>
      <c r="E4346" s="2" t="s">
        <v>41811</v>
      </c>
      <c r="G4346" s="3" t="s">
        <v>62</v>
      </c>
      <c r="I4346" s="3" t="s">
        <v>62</v>
      </c>
      <c r="J4346" s="3" t="s">
        <v>61</v>
      </c>
      <c r="K4346" s="3" t="s">
        <v>63</v>
      </c>
      <c r="L4346" s="2" t="s">
        <v>41812</v>
      </c>
      <c r="M4346" s="2" t="s">
        <v>20129</v>
      </c>
      <c r="N4346" s="3" t="s">
        <v>1918</v>
      </c>
      <c r="O4346" s="2" t="s">
        <v>41813</v>
      </c>
      <c r="P4346" s="3" t="s">
        <v>65</v>
      </c>
      <c r="R4346" s="3" t="s">
        <v>66</v>
      </c>
      <c r="S4346" s="4">
        <v>3</v>
      </c>
      <c r="T4346" s="4">
        <v>3</v>
      </c>
      <c r="W4346" s="5" t="s">
        <v>67</v>
      </c>
      <c r="X4346" s="5" t="s">
        <v>67</v>
      </c>
      <c r="Y4346" s="4">
        <v>46</v>
      </c>
      <c r="Z4346" s="4">
        <v>2</v>
      </c>
      <c r="AA4346" s="4">
        <v>87</v>
      </c>
      <c r="AB4346" s="4">
        <v>1</v>
      </c>
      <c r="AC4346" s="4">
        <v>14</v>
      </c>
      <c r="AD4346" s="4">
        <v>9</v>
      </c>
      <c r="AE4346" s="4">
        <v>155</v>
      </c>
      <c r="AF4346" s="4">
        <v>0</v>
      </c>
      <c r="AG4346" s="4">
        <v>7</v>
      </c>
      <c r="AH4346" s="4">
        <v>8</v>
      </c>
      <c r="AI4346" s="4">
        <v>113</v>
      </c>
      <c r="AJ4346" s="4">
        <v>0</v>
      </c>
      <c r="AK4346" s="4">
        <v>27</v>
      </c>
      <c r="AL4346" s="4">
        <v>6</v>
      </c>
      <c r="AM4346" s="4">
        <v>61</v>
      </c>
      <c r="AN4346" s="4">
        <v>0</v>
      </c>
      <c r="AO4346" s="4">
        <v>0</v>
      </c>
      <c r="AP4346" s="4">
        <v>1</v>
      </c>
      <c r="AQ4346" s="4">
        <v>50</v>
      </c>
      <c r="AR4346" s="3" t="s">
        <v>62</v>
      </c>
      <c r="AS4346" s="3" t="s">
        <v>62</v>
      </c>
      <c r="AT4346" s="3" t="s">
        <v>62</v>
      </c>
      <c r="AV4346" s="6" t="str">
        <f>HYPERLINK("http://mcgill.on.worldcat.org/oclc/957057073","Catalog Record")</f>
        <v>Catalog Record</v>
      </c>
      <c r="AW4346" s="6" t="str">
        <f>HYPERLINK("http://www.worldcat.org/oclc/957057073","WorldCat Record")</f>
        <v>WorldCat Record</v>
      </c>
      <c r="AX4346" s="3" t="s">
        <v>41788</v>
      </c>
      <c r="AY4346" s="3" t="s">
        <v>41814</v>
      </c>
      <c r="AZ4346" s="3" t="s">
        <v>41815</v>
      </c>
      <c r="BA4346" s="3" t="s">
        <v>41815</v>
      </c>
      <c r="BB4346" s="3" t="s">
        <v>41816</v>
      </c>
      <c r="BC4346" s="3" t="s">
        <v>142</v>
      </c>
      <c r="BD4346" s="3" t="s">
        <v>68</v>
      </c>
      <c r="BE4346" s="3" t="s">
        <v>41817</v>
      </c>
      <c r="BF4346" s="3" t="s">
        <v>41816</v>
      </c>
      <c r="BG4346" s="3" t="s">
        <v>41818</v>
      </c>
    </row>
    <row r="4347" spans="1:59" ht="57" x14ac:dyDescent="0.45">
      <c r="A4347" s="2" t="s">
        <v>59</v>
      </c>
      <c r="B4347" s="2" t="s">
        <v>60</v>
      </c>
      <c r="C4347" s="2" t="s">
        <v>41819</v>
      </c>
      <c r="D4347" s="2" t="s">
        <v>41820</v>
      </c>
      <c r="E4347" s="2" t="s">
        <v>41821</v>
      </c>
      <c r="F4347" s="3" t="s">
        <v>87</v>
      </c>
      <c r="G4347" s="3" t="s">
        <v>61</v>
      </c>
      <c r="I4347" s="3" t="s">
        <v>62</v>
      </c>
      <c r="J4347" s="3" t="s">
        <v>62</v>
      </c>
      <c r="K4347" s="3" t="s">
        <v>63</v>
      </c>
      <c r="L4347" s="2" t="s">
        <v>41822</v>
      </c>
      <c r="M4347" s="2" t="s">
        <v>9187</v>
      </c>
      <c r="N4347" s="3" t="s">
        <v>894</v>
      </c>
      <c r="P4347" s="3" t="s">
        <v>65</v>
      </c>
      <c r="Q4347" s="2" t="s">
        <v>21253</v>
      </c>
      <c r="R4347" s="3" t="s">
        <v>66</v>
      </c>
      <c r="S4347" s="4">
        <v>0</v>
      </c>
      <c r="T4347" s="4">
        <v>0</v>
      </c>
      <c r="W4347" s="5" t="s">
        <v>67</v>
      </c>
      <c r="X4347" s="5" t="s">
        <v>67</v>
      </c>
      <c r="Y4347" s="4">
        <v>60</v>
      </c>
      <c r="Z4347" s="4">
        <v>9</v>
      </c>
      <c r="AA4347" s="4">
        <v>10</v>
      </c>
      <c r="AB4347" s="4">
        <v>1</v>
      </c>
      <c r="AC4347" s="4">
        <v>2</v>
      </c>
      <c r="AD4347" s="4">
        <v>30</v>
      </c>
      <c r="AE4347" s="4">
        <v>36</v>
      </c>
      <c r="AF4347" s="4">
        <v>0</v>
      </c>
      <c r="AG4347" s="4">
        <v>0</v>
      </c>
      <c r="AH4347" s="4">
        <v>26</v>
      </c>
      <c r="AI4347" s="4">
        <v>32</v>
      </c>
      <c r="AJ4347" s="4">
        <v>6</v>
      </c>
      <c r="AK4347" s="4">
        <v>6</v>
      </c>
      <c r="AL4347" s="4">
        <v>16</v>
      </c>
      <c r="AM4347" s="4">
        <v>19</v>
      </c>
      <c r="AN4347" s="4">
        <v>0</v>
      </c>
      <c r="AO4347" s="4">
        <v>0</v>
      </c>
      <c r="AP4347" s="4">
        <v>7</v>
      </c>
      <c r="AQ4347" s="4">
        <v>7</v>
      </c>
      <c r="AR4347" s="3" t="s">
        <v>62</v>
      </c>
      <c r="AS4347" s="3" t="s">
        <v>62</v>
      </c>
      <c r="AT4347" s="3" t="s">
        <v>62</v>
      </c>
      <c r="AV4347" s="6" t="str">
        <f>HYPERLINK("http://mcgill.on.worldcat.org/oclc/778891013","Catalog Record")</f>
        <v>Catalog Record</v>
      </c>
      <c r="AW4347" s="6" t="str">
        <f>HYPERLINK("http://www.worldcat.org/oclc/778891013","WorldCat Record")</f>
        <v>WorldCat Record</v>
      </c>
      <c r="AX4347" s="3" t="s">
        <v>41823</v>
      </c>
      <c r="AY4347" s="3" t="s">
        <v>41824</v>
      </c>
      <c r="AZ4347" s="3" t="s">
        <v>41825</v>
      </c>
      <c r="BA4347" s="3" t="s">
        <v>41825</v>
      </c>
      <c r="BB4347" s="3" t="s">
        <v>41826</v>
      </c>
      <c r="BC4347" s="3" t="s">
        <v>142</v>
      </c>
      <c r="BD4347" s="3" t="s">
        <v>68</v>
      </c>
      <c r="BE4347" s="3" t="s">
        <v>41827</v>
      </c>
      <c r="BF4347" s="3" t="s">
        <v>41826</v>
      </c>
      <c r="BG4347" s="3" t="s">
        <v>41828</v>
      </c>
    </row>
    <row r="4348" spans="1:59" ht="57" x14ac:dyDescent="0.45">
      <c r="A4348" s="2" t="s">
        <v>59</v>
      </c>
      <c r="B4348" s="2" t="s">
        <v>60</v>
      </c>
      <c r="C4348" s="2" t="s">
        <v>41819</v>
      </c>
      <c r="D4348" s="2" t="s">
        <v>41820</v>
      </c>
      <c r="E4348" s="2" t="s">
        <v>41821</v>
      </c>
      <c r="F4348" s="3" t="s">
        <v>90</v>
      </c>
      <c r="G4348" s="3" t="s">
        <v>61</v>
      </c>
      <c r="I4348" s="3" t="s">
        <v>62</v>
      </c>
      <c r="J4348" s="3" t="s">
        <v>62</v>
      </c>
      <c r="K4348" s="3" t="s">
        <v>63</v>
      </c>
      <c r="L4348" s="2" t="s">
        <v>41822</v>
      </c>
      <c r="M4348" s="2" t="s">
        <v>9187</v>
      </c>
      <c r="N4348" s="3" t="s">
        <v>894</v>
      </c>
      <c r="P4348" s="3" t="s">
        <v>65</v>
      </c>
      <c r="Q4348" s="2" t="s">
        <v>21253</v>
      </c>
      <c r="R4348" s="3" t="s">
        <v>66</v>
      </c>
      <c r="S4348" s="4">
        <v>0</v>
      </c>
      <c r="T4348" s="4">
        <v>0</v>
      </c>
      <c r="W4348" s="5" t="s">
        <v>67</v>
      </c>
      <c r="X4348" s="5" t="s">
        <v>67</v>
      </c>
      <c r="Y4348" s="4">
        <v>60</v>
      </c>
      <c r="Z4348" s="4">
        <v>9</v>
      </c>
      <c r="AA4348" s="4">
        <v>10</v>
      </c>
      <c r="AB4348" s="4">
        <v>1</v>
      </c>
      <c r="AC4348" s="4">
        <v>2</v>
      </c>
      <c r="AD4348" s="4">
        <v>30</v>
      </c>
      <c r="AE4348" s="4">
        <v>36</v>
      </c>
      <c r="AF4348" s="4">
        <v>0</v>
      </c>
      <c r="AG4348" s="4">
        <v>0</v>
      </c>
      <c r="AH4348" s="4">
        <v>26</v>
      </c>
      <c r="AI4348" s="4">
        <v>32</v>
      </c>
      <c r="AJ4348" s="4">
        <v>6</v>
      </c>
      <c r="AK4348" s="4">
        <v>6</v>
      </c>
      <c r="AL4348" s="4">
        <v>16</v>
      </c>
      <c r="AM4348" s="4">
        <v>19</v>
      </c>
      <c r="AN4348" s="4">
        <v>0</v>
      </c>
      <c r="AO4348" s="4">
        <v>0</v>
      </c>
      <c r="AP4348" s="4">
        <v>7</v>
      </c>
      <c r="AQ4348" s="4">
        <v>7</v>
      </c>
      <c r="AR4348" s="3" t="s">
        <v>62</v>
      </c>
      <c r="AS4348" s="3" t="s">
        <v>62</v>
      </c>
      <c r="AT4348" s="3" t="s">
        <v>62</v>
      </c>
      <c r="AV4348" s="6" t="str">
        <f>HYPERLINK("http://mcgill.on.worldcat.org/oclc/778891013","Catalog Record")</f>
        <v>Catalog Record</v>
      </c>
      <c r="AW4348" s="6" t="str">
        <f>HYPERLINK("http://www.worldcat.org/oclc/778891013","WorldCat Record")</f>
        <v>WorldCat Record</v>
      </c>
      <c r="AX4348" s="3" t="s">
        <v>41823</v>
      </c>
      <c r="AY4348" s="3" t="s">
        <v>41824</v>
      </c>
      <c r="AZ4348" s="3" t="s">
        <v>41825</v>
      </c>
      <c r="BA4348" s="3" t="s">
        <v>41825</v>
      </c>
      <c r="BB4348" s="3" t="s">
        <v>41829</v>
      </c>
      <c r="BC4348" s="3" t="s">
        <v>142</v>
      </c>
      <c r="BD4348" s="3" t="s">
        <v>68</v>
      </c>
      <c r="BE4348" s="3" t="s">
        <v>41827</v>
      </c>
      <c r="BF4348" s="3" t="s">
        <v>41829</v>
      </c>
      <c r="BG4348" s="3" t="s">
        <v>41830</v>
      </c>
    </row>
    <row r="4349" spans="1:59" ht="57" x14ac:dyDescent="0.45">
      <c r="A4349" s="2" t="s">
        <v>59</v>
      </c>
      <c r="B4349" s="2" t="s">
        <v>60</v>
      </c>
      <c r="C4349" s="2" t="s">
        <v>41819</v>
      </c>
      <c r="D4349" s="2" t="s">
        <v>41820</v>
      </c>
      <c r="E4349" s="2" t="s">
        <v>41821</v>
      </c>
      <c r="F4349" s="3" t="s">
        <v>86</v>
      </c>
      <c r="G4349" s="3" t="s">
        <v>61</v>
      </c>
      <c r="I4349" s="3" t="s">
        <v>62</v>
      </c>
      <c r="J4349" s="3" t="s">
        <v>62</v>
      </c>
      <c r="K4349" s="3" t="s">
        <v>63</v>
      </c>
      <c r="L4349" s="2" t="s">
        <v>41822</v>
      </c>
      <c r="M4349" s="2" t="s">
        <v>9187</v>
      </c>
      <c r="N4349" s="3" t="s">
        <v>894</v>
      </c>
      <c r="P4349" s="3" t="s">
        <v>65</v>
      </c>
      <c r="Q4349" s="2" t="s">
        <v>21253</v>
      </c>
      <c r="R4349" s="3" t="s">
        <v>66</v>
      </c>
      <c r="S4349" s="4">
        <v>0</v>
      </c>
      <c r="T4349" s="4">
        <v>0</v>
      </c>
      <c r="W4349" s="5" t="s">
        <v>67</v>
      </c>
      <c r="X4349" s="5" t="s">
        <v>67</v>
      </c>
      <c r="Y4349" s="4">
        <v>60</v>
      </c>
      <c r="Z4349" s="4">
        <v>9</v>
      </c>
      <c r="AA4349" s="4">
        <v>10</v>
      </c>
      <c r="AB4349" s="4">
        <v>1</v>
      </c>
      <c r="AC4349" s="4">
        <v>2</v>
      </c>
      <c r="AD4349" s="4">
        <v>30</v>
      </c>
      <c r="AE4349" s="4">
        <v>36</v>
      </c>
      <c r="AF4349" s="4">
        <v>0</v>
      </c>
      <c r="AG4349" s="4">
        <v>0</v>
      </c>
      <c r="AH4349" s="4">
        <v>26</v>
      </c>
      <c r="AI4349" s="4">
        <v>32</v>
      </c>
      <c r="AJ4349" s="4">
        <v>6</v>
      </c>
      <c r="AK4349" s="4">
        <v>6</v>
      </c>
      <c r="AL4349" s="4">
        <v>16</v>
      </c>
      <c r="AM4349" s="4">
        <v>19</v>
      </c>
      <c r="AN4349" s="4">
        <v>0</v>
      </c>
      <c r="AO4349" s="4">
        <v>0</v>
      </c>
      <c r="AP4349" s="4">
        <v>7</v>
      </c>
      <c r="AQ4349" s="4">
        <v>7</v>
      </c>
      <c r="AR4349" s="3" t="s">
        <v>62</v>
      </c>
      <c r="AS4349" s="3" t="s">
        <v>62</v>
      </c>
      <c r="AT4349" s="3" t="s">
        <v>62</v>
      </c>
      <c r="AV4349" s="6" t="str">
        <f>HYPERLINK("http://mcgill.on.worldcat.org/oclc/778891013","Catalog Record")</f>
        <v>Catalog Record</v>
      </c>
      <c r="AW4349" s="6" t="str">
        <f>HYPERLINK("http://www.worldcat.org/oclc/778891013","WorldCat Record")</f>
        <v>WorldCat Record</v>
      </c>
      <c r="AX4349" s="3" t="s">
        <v>41823</v>
      </c>
      <c r="AY4349" s="3" t="s">
        <v>41824</v>
      </c>
      <c r="AZ4349" s="3" t="s">
        <v>41825</v>
      </c>
      <c r="BA4349" s="3" t="s">
        <v>41825</v>
      </c>
      <c r="BB4349" s="3" t="s">
        <v>41831</v>
      </c>
      <c r="BC4349" s="3" t="s">
        <v>142</v>
      </c>
      <c r="BD4349" s="3" t="s">
        <v>68</v>
      </c>
      <c r="BE4349" s="3" t="s">
        <v>41827</v>
      </c>
      <c r="BF4349" s="3" t="s">
        <v>41831</v>
      </c>
      <c r="BG4349" s="3" t="s">
        <v>41832</v>
      </c>
    </row>
    <row r="4350" spans="1:59" ht="71.25" x14ac:dyDescent="0.45">
      <c r="A4350" s="2" t="s">
        <v>59</v>
      </c>
      <c r="B4350" s="2" t="s">
        <v>60</v>
      </c>
      <c r="C4350" s="2" t="s">
        <v>41833</v>
      </c>
      <c r="D4350" s="2" t="s">
        <v>41834</v>
      </c>
      <c r="E4350" s="2" t="s">
        <v>41835</v>
      </c>
      <c r="G4350" s="3" t="s">
        <v>62</v>
      </c>
      <c r="I4350" s="3" t="s">
        <v>62</v>
      </c>
      <c r="J4350" s="3" t="s">
        <v>62</v>
      </c>
      <c r="K4350" s="3" t="s">
        <v>63</v>
      </c>
      <c r="L4350" s="2" t="s">
        <v>41836</v>
      </c>
      <c r="M4350" s="2" t="s">
        <v>41837</v>
      </c>
      <c r="N4350" s="3" t="s">
        <v>149</v>
      </c>
      <c r="P4350" s="3" t="s">
        <v>326</v>
      </c>
      <c r="Q4350" s="2" t="s">
        <v>41838</v>
      </c>
      <c r="R4350" s="3" t="s">
        <v>66</v>
      </c>
      <c r="S4350" s="4">
        <v>3</v>
      </c>
      <c r="T4350" s="4">
        <v>3</v>
      </c>
      <c r="U4350" s="5" t="s">
        <v>23332</v>
      </c>
      <c r="V4350" s="5" t="s">
        <v>23332</v>
      </c>
      <c r="W4350" s="5" t="s">
        <v>67</v>
      </c>
      <c r="X4350" s="5" t="s">
        <v>67</v>
      </c>
      <c r="Y4350" s="4">
        <v>6</v>
      </c>
      <c r="Z4350" s="4">
        <v>1</v>
      </c>
      <c r="AA4350" s="4">
        <v>1</v>
      </c>
      <c r="AB4350" s="4">
        <v>1</v>
      </c>
      <c r="AC4350" s="4">
        <v>1</v>
      </c>
      <c r="AD4350" s="4">
        <v>1</v>
      </c>
      <c r="AE4350" s="4">
        <v>1</v>
      </c>
      <c r="AF4350" s="4">
        <v>0</v>
      </c>
      <c r="AG4350" s="4">
        <v>0</v>
      </c>
      <c r="AH4350" s="4">
        <v>1</v>
      </c>
      <c r="AI4350" s="4">
        <v>1</v>
      </c>
      <c r="AJ4350" s="4">
        <v>0</v>
      </c>
      <c r="AK4350" s="4">
        <v>0</v>
      </c>
      <c r="AL4350" s="4">
        <v>1</v>
      </c>
      <c r="AM4350" s="4">
        <v>1</v>
      </c>
      <c r="AN4350" s="4">
        <v>0</v>
      </c>
      <c r="AO4350" s="4">
        <v>0</v>
      </c>
      <c r="AP4350" s="4">
        <v>0</v>
      </c>
      <c r="AQ4350" s="4">
        <v>0</v>
      </c>
      <c r="AR4350" s="3" t="s">
        <v>62</v>
      </c>
      <c r="AS4350" s="3" t="s">
        <v>62</v>
      </c>
      <c r="AT4350" s="3" t="s">
        <v>62</v>
      </c>
      <c r="AV4350" s="6" t="str">
        <f>HYPERLINK("http://mcgill.on.worldcat.org/oclc/727147485","Catalog Record")</f>
        <v>Catalog Record</v>
      </c>
      <c r="AW4350" s="6" t="str">
        <f>HYPERLINK("http://www.worldcat.org/oclc/727147485","WorldCat Record")</f>
        <v>WorldCat Record</v>
      </c>
      <c r="AX4350" s="3" t="s">
        <v>41839</v>
      </c>
      <c r="AY4350" s="3" t="s">
        <v>41840</v>
      </c>
      <c r="AZ4350" s="3" t="s">
        <v>41841</v>
      </c>
      <c r="BA4350" s="3" t="s">
        <v>41841</v>
      </c>
      <c r="BB4350" s="3" t="s">
        <v>41842</v>
      </c>
      <c r="BC4350" s="3" t="s">
        <v>142</v>
      </c>
      <c r="BD4350" s="3" t="s">
        <v>68</v>
      </c>
      <c r="BE4350" s="3" t="s">
        <v>41843</v>
      </c>
      <c r="BF4350" s="3" t="s">
        <v>41842</v>
      </c>
      <c r="BG4350" s="3" t="s">
        <v>41844</v>
      </c>
    </row>
    <row r="4351" spans="1:59" ht="57" x14ac:dyDescent="0.45">
      <c r="A4351" s="2" t="s">
        <v>59</v>
      </c>
      <c r="B4351" s="2" t="s">
        <v>60</v>
      </c>
      <c r="C4351" s="2" t="s">
        <v>41845</v>
      </c>
      <c r="D4351" s="2" t="s">
        <v>41846</v>
      </c>
      <c r="E4351" s="2" t="s">
        <v>41847</v>
      </c>
      <c r="G4351" s="3" t="s">
        <v>62</v>
      </c>
      <c r="I4351" s="3" t="s">
        <v>62</v>
      </c>
      <c r="J4351" s="3" t="s">
        <v>62</v>
      </c>
      <c r="K4351" s="3" t="s">
        <v>63</v>
      </c>
      <c r="M4351" s="2" t="s">
        <v>41848</v>
      </c>
      <c r="N4351" s="3" t="s">
        <v>116</v>
      </c>
      <c r="P4351" s="3" t="s">
        <v>65</v>
      </c>
      <c r="Q4351" s="2" t="s">
        <v>41849</v>
      </c>
      <c r="R4351" s="3" t="s">
        <v>66</v>
      </c>
      <c r="S4351" s="4">
        <v>0</v>
      </c>
      <c r="T4351" s="4">
        <v>0</v>
      </c>
      <c r="W4351" s="5" t="s">
        <v>67</v>
      </c>
      <c r="X4351" s="5" t="s">
        <v>67</v>
      </c>
      <c r="Y4351" s="4">
        <v>60</v>
      </c>
      <c r="Z4351" s="4">
        <v>8</v>
      </c>
      <c r="AA4351" s="4">
        <v>96</v>
      </c>
      <c r="AB4351" s="4">
        <v>1</v>
      </c>
      <c r="AC4351" s="4">
        <v>17</v>
      </c>
      <c r="AD4351" s="4">
        <v>33</v>
      </c>
      <c r="AE4351" s="4">
        <v>102</v>
      </c>
      <c r="AF4351" s="4">
        <v>0</v>
      </c>
      <c r="AG4351" s="4">
        <v>8</v>
      </c>
      <c r="AH4351" s="4">
        <v>29</v>
      </c>
      <c r="AI4351" s="4">
        <v>69</v>
      </c>
      <c r="AJ4351" s="4">
        <v>5</v>
      </c>
      <c r="AK4351" s="4">
        <v>19</v>
      </c>
      <c r="AL4351" s="4">
        <v>21</v>
      </c>
      <c r="AM4351" s="4">
        <v>39</v>
      </c>
      <c r="AN4351" s="4">
        <v>0</v>
      </c>
      <c r="AO4351" s="4">
        <v>0</v>
      </c>
      <c r="AP4351" s="4">
        <v>6</v>
      </c>
      <c r="AQ4351" s="4">
        <v>40</v>
      </c>
      <c r="AR4351" s="3" t="s">
        <v>62</v>
      </c>
      <c r="AS4351" s="3" t="s">
        <v>62</v>
      </c>
      <c r="AT4351" s="3" t="s">
        <v>62</v>
      </c>
      <c r="AV4351" s="6" t="str">
        <f>HYPERLINK("http://mcgill.on.worldcat.org/oclc/861177190","Catalog Record")</f>
        <v>Catalog Record</v>
      </c>
      <c r="AW4351" s="6" t="str">
        <f>HYPERLINK("http://www.worldcat.org/oclc/861177190","WorldCat Record")</f>
        <v>WorldCat Record</v>
      </c>
      <c r="AX4351" s="3" t="s">
        <v>41850</v>
      </c>
      <c r="AY4351" s="3" t="s">
        <v>41851</v>
      </c>
      <c r="AZ4351" s="3" t="s">
        <v>41852</v>
      </c>
      <c r="BA4351" s="3" t="s">
        <v>41852</v>
      </c>
      <c r="BB4351" s="3" t="s">
        <v>41853</v>
      </c>
      <c r="BC4351" s="3" t="s">
        <v>142</v>
      </c>
      <c r="BD4351" s="3" t="s">
        <v>68</v>
      </c>
      <c r="BE4351" s="3" t="s">
        <v>41854</v>
      </c>
      <c r="BF4351" s="3" t="s">
        <v>41853</v>
      </c>
      <c r="BG4351" s="3" t="s">
        <v>41855</v>
      </c>
    </row>
    <row r="4352" spans="1:59" ht="57" x14ac:dyDescent="0.45">
      <c r="A4352" s="2" t="s">
        <v>59</v>
      </c>
      <c r="B4352" s="2" t="s">
        <v>60</v>
      </c>
      <c r="C4352" s="2" t="s">
        <v>41856</v>
      </c>
      <c r="D4352" s="2" t="s">
        <v>41857</v>
      </c>
      <c r="E4352" s="2" t="s">
        <v>41858</v>
      </c>
      <c r="G4352" s="3" t="s">
        <v>62</v>
      </c>
      <c r="I4352" s="3" t="s">
        <v>62</v>
      </c>
      <c r="J4352" s="3" t="s">
        <v>61</v>
      </c>
      <c r="K4352" s="3" t="s">
        <v>63</v>
      </c>
      <c r="L4352" s="2" t="s">
        <v>41859</v>
      </c>
      <c r="M4352" s="2" t="s">
        <v>41860</v>
      </c>
      <c r="N4352" s="3" t="s">
        <v>109</v>
      </c>
      <c r="O4352" s="2" t="s">
        <v>41861</v>
      </c>
      <c r="P4352" s="3" t="s">
        <v>110</v>
      </c>
      <c r="R4352" s="3" t="s">
        <v>66</v>
      </c>
      <c r="S4352" s="4">
        <v>9</v>
      </c>
      <c r="T4352" s="4">
        <v>9</v>
      </c>
      <c r="U4352" s="5" t="s">
        <v>2084</v>
      </c>
      <c r="V4352" s="5" t="s">
        <v>2084</v>
      </c>
      <c r="W4352" s="5" t="s">
        <v>67</v>
      </c>
      <c r="X4352" s="5" t="s">
        <v>67</v>
      </c>
      <c r="Y4352" s="4">
        <v>209</v>
      </c>
      <c r="Z4352" s="4">
        <v>20</v>
      </c>
      <c r="AA4352" s="4">
        <v>45</v>
      </c>
      <c r="AB4352" s="4">
        <v>1</v>
      </c>
      <c r="AC4352" s="4">
        <v>9</v>
      </c>
      <c r="AD4352" s="4">
        <v>67</v>
      </c>
      <c r="AE4352" s="4">
        <v>124</v>
      </c>
      <c r="AF4352" s="4">
        <v>0</v>
      </c>
      <c r="AG4352" s="4">
        <v>6</v>
      </c>
      <c r="AH4352" s="4">
        <v>52</v>
      </c>
      <c r="AI4352" s="4">
        <v>97</v>
      </c>
      <c r="AJ4352" s="4">
        <v>9</v>
      </c>
      <c r="AK4352" s="4">
        <v>22</v>
      </c>
      <c r="AL4352" s="4">
        <v>38</v>
      </c>
      <c r="AM4352" s="4">
        <v>55</v>
      </c>
      <c r="AN4352" s="4">
        <v>0</v>
      </c>
      <c r="AO4352" s="4">
        <v>0</v>
      </c>
      <c r="AP4352" s="4">
        <v>18</v>
      </c>
      <c r="AQ4352" s="4">
        <v>34</v>
      </c>
      <c r="AR4352" s="3" t="s">
        <v>62</v>
      </c>
      <c r="AS4352" s="3" t="s">
        <v>62</v>
      </c>
      <c r="AT4352" s="3" t="s">
        <v>61</v>
      </c>
      <c r="AU4352" s="6" t="str">
        <f>HYPERLINK("http://catalog.hathitrust.org/Record/001897868","HathiTrust Record")</f>
        <v>HathiTrust Record</v>
      </c>
      <c r="AV4352" s="6" t="str">
        <f>HYPERLINK("http://mcgill.on.worldcat.org/oclc/950415","Catalog Record")</f>
        <v>Catalog Record</v>
      </c>
      <c r="AW4352" s="6" t="str">
        <f>HYPERLINK("http://www.worldcat.org/oclc/950415","WorldCat Record")</f>
        <v>WorldCat Record</v>
      </c>
      <c r="AX4352" s="3" t="s">
        <v>41862</v>
      </c>
      <c r="AY4352" s="3" t="s">
        <v>41863</v>
      </c>
      <c r="AZ4352" s="3" t="s">
        <v>41864</v>
      </c>
      <c r="BA4352" s="3" t="s">
        <v>41864</v>
      </c>
      <c r="BB4352" s="3" t="s">
        <v>41865</v>
      </c>
      <c r="BC4352" s="3" t="s">
        <v>142</v>
      </c>
      <c r="BD4352" s="3" t="s">
        <v>68</v>
      </c>
      <c r="BE4352" s="3" t="s">
        <v>41866</v>
      </c>
      <c r="BF4352" s="3" t="s">
        <v>41865</v>
      </c>
      <c r="BG4352" s="3" t="s">
        <v>41867</v>
      </c>
    </row>
    <row r="4353" spans="1:59" ht="57" x14ac:dyDescent="0.45">
      <c r="A4353" s="2" t="s">
        <v>59</v>
      </c>
      <c r="B4353" s="2" t="s">
        <v>60</v>
      </c>
      <c r="C4353" s="2" t="s">
        <v>41868</v>
      </c>
      <c r="D4353" s="2" t="s">
        <v>41869</v>
      </c>
      <c r="E4353" s="2" t="s">
        <v>41870</v>
      </c>
      <c r="G4353" s="3" t="s">
        <v>62</v>
      </c>
      <c r="I4353" s="3" t="s">
        <v>62</v>
      </c>
      <c r="J4353" s="3" t="s">
        <v>62</v>
      </c>
      <c r="K4353" s="3" t="s">
        <v>63</v>
      </c>
      <c r="L4353" s="2" t="s">
        <v>41871</v>
      </c>
      <c r="M4353" s="2" t="s">
        <v>41872</v>
      </c>
      <c r="N4353" s="3" t="s">
        <v>945</v>
      </c>
      <c r="P4353" s="3" t="s">
        <v>65</v>
      </c>
      <c r="R4353" s="3" t="s">
        <v>66</v>
      </c>
      <c r="S4353" s="4">
        <v>3</v>
      </c>
      <c r="T4353" s="4">
        <v>3</v>
      </c>
      <c r="U4353" s="5" t="s">
        <v>4852</v>
      </c>
      <c r="V4353" s="5" t="s">
        <v>4852</v>
      </c>
      <c r="W4353" s="5" t="s">
        <v>67</v>
      </c>
      <c r="X4353" s="5" t="s">
        <v>67</v>
      </c>
      <c r="Y4353" s="4">
        <v>180</v>
      </c>
      <c r="Z4353" s="4">
        <v>17</v>
      </c>
      <c r="AA4353" s="4">
        <v>98</v>
      </c>
      <c r="AB4353" s="4">
        <v>1</v>
      </c>
      <c r="AC4353" s="4">
        <v>18</v>
      </c>
      <c r="AD4353" s="4">
        <v>57</v>
      </c>
      <c r="AE4353" s="4">
        <v>124</v>
      </c>
      <c r="AF4353" s="4">
        <v>0</v>
      </c>
      <c r="AG4353" s="4">
        <v>8</v>
      </c>
      <c r="AH4353" s="4">
        <v>51</v>
      </c>
      <c r="AI4353" s="4">
        <v>86</v>
      </c>
      <c r="AJ4353" s="4">
        <v>10</v>
      </c>
      <c r="AK4353" s="4">
        <v>24</v>
      </c>
      <c r="AL4353" s="4">
        <v>28</v>
      </c>
      <c r="AM4353" s="4">
        <v>44</v>
      </c>
      <c r="AN4353" s="4">
        <v>1</v>
      </c>
      <c r="AO4353" s="4">
        <v>1</v>
      </c>
      <c r="AP4353" s="4">
        <v>14</v>
      </c>
      <c r="AQ4353" s="4">
        <v>47</v>
      </c>
      <c r="AR4353" s="3" t="s">
        <v>62</v>
      </c>
      <c r="AS4353" s="3" t="s">
        <v>62</v>
      </c>
      <c r="AT4353" s="3" t="s">
        <v>61</v>
      </c>
      <c r="AU4353" s="6" t="str">
        <f>HYPERLINK("http://catalog.hathitrust.org/Record/005938306","HathiTrust Record")</f>
        <v>HathiTrust Record</v>
      </c>
      <c r="AV4353" s="6" t="str">
        <f>HYPERLINK("http://mcgill.on.worldcat.org/oclc/190872469","Catalog Record")</f>
        <v>Catalog Record</v>
      </c>
      <c r="AW4353" s="6" t="str">
        <f>HYPERLINK("http://www.worldcat.org/oclc/190872469","WorldCat Record")</f>
        <v>WorldCat Record</v>
      </c>
      <c r="AX4353" s="3" t="s">
        <v>41873</v>
      </c>
      <c r="AY4353" s="3" t="s">
        <v>41874</v>
      </c>
      <c r="AZ4353" s="3" t="s">
        <v>41875</v>
      </c>
      <c r="BA4353" s="3" t="s">
        <v>41875</v>
      </c>
      <c r="BB4353" s="3" t="s">
        <v>41876</v>
      </c>
      <c r="BC4353" s="3" t="s">
        <v>142</v>
      </c>
      <c r="BD4353" s="3" t="s">
        <v>68</v>
      </c>
      <c r="BE4353" s="3" t="s">
        <v>41877</v>
      </c>
      <c r="BF4353" s="3" t="s">
        <v>41876</v>
      </c>
      <c r="BG4353" s="3" t="s">
        <v>41878</v>
      </c>
    </row>
    <row r="4354" spans="1:59" ht="57" x14ac:dyDescent="0.45">
      <c r="A4354" s="2" t="s">
        <v>59</v>
      </c>
      <c r="B4354" s="2" t="s">
        <v>60</v>
      </c>
      <c r="C4354" s="2" t="s">
        <v>41879</v>
      </c>
      <c r="D4354" s="2" t="s">
        <v>41880</v>
      </c>
      <c r="E4354" s="2" t="s">
        <v>41881</v>
      </c>
      <c r="F4354" s="3" t="s">
        <v>87</v>
      </c>
      <c r="G4354" s="3" t="s">
        <v>61</v>
      </c>
      <c r="I4354" s="3" t="s">
        <v>61</v>
      </c>
      <c r="J4354" s="3" t="s">
        <v>62</v>
      </c>
      <c r="K4354" s="3" t="s">
        <v>63</v>
      </c>
      <c r="L4354" s="2" t="s">
        <v>41882</v>
      </c>
      <c r="M4354" s="2" t="s">
        <v>41883</v>
      </c>
      <c r="N4354" s="3" t="s">
        <v>419</v>
      </c>
      <c r="P4354" s="3" t="s">
        <v>110</v>
      </c>
      <c r="Q4354" s="2" t="s">
        <v>41884</v>
      </c>
      <c r="R4354" s="3" t="s">
        <v>66</v>
      </c>
      <c r="S4354" s="4">
        <v>38</v>
      </c>
      <c r="T4354" s="4">
        <v>79</v>
      </c>
      <c r="U4354" s="5" t="s">
        <v>41885</v>
      </c>
      <c r="V4354" s="5" t="s">
        <v>30739</v>
      </c>
      <c r="W4354" s="5" t="s">
        <v>67</v>
      </c>
      <c r="X4354" s="5" t="s">
        <v>67</v>
      </c>
      <c r="Y4354" s="4">
        <v>345</v>
      </c>
      <c r="Z4354" s="4">
        <v>35</v>
      </c>
      <c r="AA4354" s="4">
        <v>60</v>
      </c>
      <c r="AB4354" s="4">
        <v>3</v>
      </c>
      <c r="AC4354" s="4">
        <v>16</v>
      </c>
      <c r="AD4354" s="4">
        <v>114</v>
      </c>
      <c r="AE4354" s="4">
        <v>130</v>
      </c>
      <c r="AF4354" s="4">
        <v>1</v>
      </c>
      <c r="AG4354" s="4">
        <v>6</v>
      </c>
      <c r="AH4354" s="4">
        <v>94</v>
      </c>
      <c r="AI4354" s="4">
        <v>102</v>
      </c>
      <c r="AJ4354" s="4">
        <v>20</v>
      </c>
      <c r="AK4354" s="4">
        <v>26</v>
      </c>
      <c r="AL4354" s="4">
        <v>54</v>
      </c>
      <c r="AM4354" s="4">
        <v>57</v>
      </c>
      <c r="AN4354" s="4">
        <v>0</v>
      </c>
      <c r="AO4354" s="4">
        <v>0</v>
      </c>
      <c r="AP4354" s="4">
        <v>28</v>
      </c>
      <c r="AQ4354" s="4">
        <v>36</v>
      </c>
      <c r="AR4354" s="3" t="s">
        <v>62</v>
      </c>
      <c r="AS4354" s="3" t="s">
        <v>62</v>
      </c>
      <c r="AT4354" s="3" t="s">
        <v>61</v>
      </c>
      <c r="AU4354" s="6" t="str">
        <f>HYPERLINK("http://catalog.hathitrust.org/Record/000198234","HathiTrust Record")</f>
        <v>HathiTrust Record</v>
      </c>
      <c r="AV4354" s="6" t="str">
        <f>HYPERLINK("http://mcgill.on.worldcat.org/oclc/871621","Catalog Record")</f>
        <v>Catalog Record</v>
      </c>
      <c r="AW4354" s="6" t="str">
        <f>HYPERLINK("http://www.worldcat.org/oclc/871621","WorldCat Record")</f>
        <v>WorldCat Record</v>
      </c>
      <c r="AX4354" s="3" t="s">
        <v>41886</v>
      </c>
      <c r="AY4354" s="3" t="s">
        <v>41887</v>
      </c>
      <c r="AZ4354" s="3" t="s">
        <v>41888</v>
      </c>
      <c r="BA4354" s="3" t="s">
        <v>41888</v>
      </c>
      <c r="BB4354" s="3" t="s">
        <v>41889</v>
      </c>
      <c r="BC4354" s="3" t="s">
        <v>142</v>
      </c>
      <c r="BD4354" s="3" t="s">
        <v>68</v>
      </c>
      <c r="BE4354" s="3" t="s">
        <v>41890</v>
      </c>
      <c r="BF4354" s="3" t="s">
        <v>41889</v>
      </c>
      <c r="BG4354" s="3" t="s">
        <v>41891</v>
      </c>
    </row>
    <row r="4355" spans="1:59" ht="57" x14ac:dyDescent="0.45">
      <c r="A4355" s="2" t="s">
        <v>59</v>
      </c>
      <c r="B4355" s="2" t="s">
        <v>60</v>
      </c>
      <c r="C4355" s="2" t="s">
        <v>41879</v>
      </c>
      <c r="D4355" s="2" t="s">
        <v>41880</v>
      </c>
      <c r="E4355" s="2" t="s">
        <v>41881</v>
      </c>
      <c r="F4355" s="3" t="s">
        <v>87</v>
      </c>
      <c r="G4355" s="3" t="s">
        <v>61</v>
      </c>
      <c r="I4355" s="3" t="s">
        <v>61</v>
      </c>
      <c r="J4355" s="3" t="s">
        <v>62</v>
      </c>
      <c r="K4355" s="3" t="s">
        <v>63</v>
      </c>
      <c r="L4355" s="2" t="s">
        <v>41882</v>
      </c>
      <c r="M4355" s="2" t="s">
        <v>41883</v>
      </c>
      <c r="N4355" s="3" t="s">
        <v>419</v>
      </c>
      <c r="P4355" s="3" t="s">
        <v>110</v>
      </c>
      <c r="Q4355" s="2" t="s">
        <v>41884</v>
      </c>
      <c r="R4355" s="3" t="s">
        <v>66</v>
      </c>
      <c r="S4355" s="4">
        <v>8</v>
      </c>
      <c r="T4355" s="4">
        <v>79</v>
      </c>
      <c r="U4355" s="5" t="s">
        <v>30739</v>
      </c>
      <c r="V4355" s="5" t="s">
        <v>30739</v>
      </c>
      <c r="W4355" s="5" t="s">
        <v>67</v>
      </c>
      <c r="X4355" s="5" t="s">
        <v>67</v>
      </c>
      <c r="Y4355" s="4">
        <v>345</v>
      </c>
      <c r="Z4355" s="4">
        <v>35</v>
      </c>
      <c r="AA4355" s="4">
        <v>60</v>
      </c>
      <c r="AB4355" s="4">
        <v>3</v>
      </c>
      <c r="AC4355" s="4">
        <v>16</v>
      </c>
      <c r="AD4355" s="4">
        <v>114</v>
      </c>
      <c r="AE4355" s="4">
        <v>130</v>
      </c>
      <c r="AF4355" s="4">
        <v>1</v>
      </c>
      <c r="AG4355" s="4">
        <v>6</v>
      </c>
      <c r="AH4355" s="4">
        <v>94</v>
      </c>
      <c r="AI4355" s="4">
        <v>102</v>
      </c>
      <c r="AJ4355" s="4">
        <v>20</v>
      </c>
      <c r="AK4355" s="4">
        <v>26</v>
      </c>
      <c r="AL4355" s="4">
        <v>54</v>
      </c>
      <c r="AM4355" s="4">
        <v>57</v>
      </c>
      <c r="AN4355" s="4">
        <v>0</v>
      </c>
      <c r="AO4355" s="4">
        <v>0</v>
      </c>
      <c r="AP4355" s="4">
        <v>28</v>
      </c>
      <c r="AQ4355" s="4">
        <v>36</v>
      </c>
      <c r="AR4355" s="3" t="s">
        <v>62</v>
      </c>
      <c r="AS4355" s="3" t="s">
        <v>62</v>
      </c>
      <c r="AT4355" s="3" t="s">
        <v>61</v>
      </c>
      <c r="AU4355" s="6" t="str">
        <f>HYPERLINK("http://catalog.hathitrust.org/Record/000198234","HathiTrust Record")</f>
        <v>HathiTrust Record</v>
      </c>
      <c r="AV4355" s="6" t="str">
        <f>HYPERLINK("http://mcgill.on.worldcat.org/oclc/871621","Catalog Record")</f>
        <v>Catalog Record</v>
      </c>
      <c r="AW4355" s="6" t="str">
        <f>HYPERLINK("http://www.worldcat.org/oclc/871621","WorldCat Record")</f>
        <v>WorldCat Record</v>
      </c>
      <c r="AX4355" s="3" t="s">
        <v>41886</v>
      </c>
      <c r="AY4355" s="3" t="s">
        <v>41887</v>
      </c>
      <c r="AZ4355" s="3" t="s">
        <v>41888</v>
      </c>
      <c r="BA4355" s="3" t="s">
        <v>41888</v>
      </c>
      <c r="BB4355" s="3" t="s">
        <v>41892</v>
      </c>
      <c r="BC4355" s="3" t="s">
        <v>142</v>
      </c>
      <c r="BD4355" s="3" t="s">
        <v>68</v>
      </c>
      <c r="BE4355" s="3" t="s">
        <v>41890</v>
      </c>
      <c r="BF4355" s="3" t="s">
        <v>41892</v>
      </c>
      <c r="BG4355" s="3" t="s">
        <v>41893</v>
      </c>
    </row>
    <row r="4356" spans="1:59" ht="57" x14ac:dyDescent="0.45">
      <c r="A4356" s="2" t="s">
        <v>59</v>
      </c>
      <c r="B4356" s="2" t="s">
        <v>60</v>
      </c>
      <c r="C4356" s="2" t="s">
        <v>41879</v>
      </c>
      <c r="D4356" s="2" t="s">
        <v>41880</v>
      </c>
      <c r="E4356" s="2" t="s">
        <v>41881</v>
      </c>
      <c r="F4356" s="3" t="s">
        <v>87</v>
      </c>
      <c r="G4356" s="3" t="s">
        <v>61</v>
      </c>
      <c r="I4356" s="3" t="s">
        <v>61</v>
      </c>
      <c r="J4356" s="3" t="s">
        <v>62</v>
      </c>
      <c r="K4356" s="3" t="s">
        <v>63</v>
      </c>
      <c r="L4356" s="2" t="s">
        <v>41882</v>
      </c>
      <c r="M4356" s="2" t="s">
        <v>41883</v>
      </c>
      <c r="N4356" s="3" t="s">
        <v>419</v>
      </c>
      <c r="P4356" s="3" t="s">
        <v>110</v>
      </c>
      <c r="Q4356" s="2" t="s">
        <v>41884</v>
      </c>
      <c r="R4356" s="3" t="s">
        <v>66</v>
      </c>
      <c r="S4356" s="4">
        <v>33</v>
      </c>
      <c r="T4356" s="4">
        <v>79</v>
      </c>
      <c r="U4356" s="5" t="s">
        <v>11540</v>
      </c>
      <c r="V4356" s="5" t="s">
        <v>30739</v>
      </c>
      <c r="W4356" s="5" t="s">
        <v>67</v>
      </c>
      <c r="X4356" s="5" t="s">
        <v>67</v>
      </c>
      <c r="Y4356" s="4">
        <v>345</v>
      </c>
      <c r="Z4356" s="4">
        <v>35</v>
      </c>
      <c r="AA4356" s="4">
        <v>60</v>
      </c>
      <c r="AB4356" s="4">
        <v>3</v>
      </c>
      <c r="AC4356" s="4">
        <v>16</v>
      </c>
      <c r="AD4356" s="4">
        <v>114</v>
      </c>
      <c r="AE4356" s="4">
        <v>130</v>
      </c>
      <c r="AF4356" s="4">
        <v>1</v>
      </c>
      <c r="AG4356" s="4">
        <v>6</v>
      </c>
      <c r="AH4356" s="4">
        <v>94</v>
      </c>
      <c r="AI4356" s="4">
        <v>102</v>
      </c>
      <c r="AJ4356" s="4">
        <v>20</v>
      </c>
      <c r="AK4356" s="4">
        <v>26</v>
      </c>
      <c r="AL4356" s="4">
        <v>54</v>
      </c>
      <c r="AM4356" s="4">
        <v>57</v>
      </c>
      <c r="AN4356" s="4">
        <v>0</v>
      </c>
      <c r="AO4356" s="4">
        <v>0</v>
      </c>
      <c r="AP4356" s="4">
        <v>28</v>
      </c>
      <c r="AQ4356" s="4">
        <v>36</v>
      </c>
      <c r="AR4356" s="3" t="s">
        <v>62</v>
      </c>
      <c r="AS4356" s="3" t="s">
        <v>62</v>
      </c>
      <c r="AT4356" s="3" t="s">
        <v>61</v>
      </c>
      <c r="AU4356" s="6" t="str">
        <f>HYPERLINK("http://catalog.hathitrust.org/Record/000198234","HathiTrust Record")</f>
        <v>HathiTrust Record</v>
      </c>
      <c r="AV4356" s="6" t="str">
        <f>HYPERLINK("http://mcgill.on.worldcat.org/oclc/871621","Catalog Record")</f>
        <v>Catalog Record</v>
      </c>
      <c r="AW4356" s="6" t="str">
        <f>HYPERLINK("http://www.worldcat.org/oclc/871621","WorldCat Record")</f>
        <v>WorldCat Record</v>
      </c>
      <c r="AX4356" s="3" t="s">
        <v>41886</v>
      </c>
      <c r="AY4356" s="3" t="s">
        <v>41887</v>
      </c>
      <c r="AZ4356" s="3" t="s">
        <v>41888</v>
      </c>
      <c r="BA4356" s="3" t="s">
        <v>41888</v>
      </c>
      <c r="BB4356" s="3" t="s">
        <v>41894</v>
      </c>
      <c r="BC4356" s="3" t="s">
        <v>142</v>
      </c>
      <c r="BD4356" s="3" t="s">
        <v>68</v>
      </c>
      <c r="BE4356" s="3" t="s">
        <v>41890</v>
      </c>
      <c r="BF4356" s="3" t="s">
        <v>41894</v>
      </c>
      <c r="BG4356" s="3" t="s">
        <v>41895</v>
      </c>
    </row>
    <row r="4357" spans="1:59" ht="57" x14ac:dyDescent="0.45">
      <c r="A4357" s="2" t="s">
        <v>59</v>
      </c>
      <c r="B4357" s="2" t="s">
        <v>60</v>
      </c>
      <c r="C4357" s="2" t="s">
        <v>41896</v>
      </c>
      <c r="D4357" s="2" t="s">
        <v>41897</v>
      </c>
      <c r="E4357" s="2" t="s">
        <v>41898</v>
      </c>
      <c r="G4357" s="3" t="s">
        <v>62</v>
      </c>
      <c r="I4357" s="3" t="s">
        <v>62</v>
      </c>
      <c r="J4357" s="3" t="s">
        <v>62</v>
      </c>
      <c r="K4357" s="3" t="s">
        <v>63</v>
      </c>
      <c r="L4357" s="2" t="s">
        <v>41882</v>
      </c>
      <c r="M4357" s="2" t="s">
        <v>41899</v>
      </c>
      <c r="N4357" s="3" t="s">
        <v>220</v>
      </c>
      <c r="P4357" s="3" t="s">
        <v>65</v>
      </c>
      <c r="Q4357" s="2" t="s">
        <v>41900</v>
      </c>
      <c r="R4357" s="3" t="s">
        <v>66</v>
      </c>
      <c r="S4357" s="4">
        <v>60</v>
      </c>
      <c r="T4357" s="4">
        <v>60</v>
      </c>
      <c r="U4357" s="5" t="s">
        <v>16620</v>
      </c>
      <c r="V4357" s="5" t="s">
        <v>16620</v>
      </c>
      <c r="W4357" s="5" t="s">
        <v>67</v>
      </c>
      <c r="X4357" s="5" t="s">
        <v>67</v>
      </c>
      <c r="Y4357" s="4">
        <v>558</v>
      </c>
      <c r="Z4357" s="4">
        <v>31</v>
      </c>
      <c r="AA4357" s="4">
        <v>31</v>
      </c>
      <c r="AB4357" s="4">
        <v>2</v>
      </c>
      <c r="AC4357" s="4">
        <v>2</v>
      </c>
      <c r="AD4357" s="4">
        <v>122</v>
      </c>
      <c r="AE4357" s="4">
        <v>122</v>
      </c>
      <c r="AF4357" s="4">
        <v>1</v>
      </c>
      <c r="AG4357" s="4">
        <v>1</v>
      </c>
      <c r="AH4357" s="4">
        <v>105</v>
      </c>
      <c r="AI4357" s="4">
        <v>105</v>
      </c>
      <c r="AJ4357" s="4">
        <v>18</v>
      </c>
      <c r="AK4357" s="4">
        <v>18</v>
      </c>
      <c r="AL4357" s="4">
        <v>56</v>
      </c>
      <c r="AM4357" s="4">
        <v>56</v>
      </c>
      <c r="AN4357" s="4">
        <v>0</v>
      </c>
      <c r="AO4357" s="4">
        <v>0</v>
      </c>
      <c r="AP4357" s="4">
        <v>26</v>
      </c>
      <c r="AQ4357" s="4">
        <v>26</v>
      </c>
      <c r="AR4357" s="3" t="s">
        <v>62</v>
      </c>
      <c r="AS4357" s="3" t="s">
        <v>62</v>
      </c>
      <c r="AT4357" s="3" t="s">
        <v>61</v>
      </c>
      <c r="AU4357" s="6" t="str">
        <f>HYPERLINK("http://catalog.hathitrust.org/Record/000379879","HathiTrust Record")</f>
        <v>HathiTrust Record</v>
      </c>
      <c r="AV4357" s="6" t="str">
        <f>HYPERLINK("http://mcgill.on.worldcat.org/oclc/191462","Catalog Record")</f>
        <v>Catalog Record</v>
      </c>
      <c r="AW4357" s="6" t="str">
        <f>HYPERLINK("http://www.worldcat.org/oclc/191462","WorldCat Record")</f>
        <v>WorldCat Record</v>
      </c>
      <c r="AX4357" s="3" t="s">
        <v>41901</v>
      </c>
      <c r="AY4357" s="3" t="s">
        <v>41902</v>
      </c>
      <c r="AZ4357" s="3" t="s">
        <v>41903</v>
      </c>
      <c r="BA4357" s="3" t="s">
        <v>41903</v>
      </c>
      <c r="BB4357" s="3" t="s">
        <v>41904</v>
      </c>
      <c r="BC4357" s="3" t="s">
        <v>142</v>
      </c>
      <c r="BD4357" s="3" t="s">
        <v>68</v>
      </c>
      <c r="BE4357" s="3" t="s">
        <v>41905</v>
      </c>
      <c r="BF4357" s="3" t="s">
        <v>41904</v>
      </c>
      <c r="BG4357" s="3" t="s">
        <v>41906</v>
      </c>
    </row>
    <row r="4358" spans="1:59" ht="57" x14ac:dyDescent="0.45">
      <c r="A4358" s="2" t="s">
        <v>59</v>
      </c>
      <c r="B4358" s="2" t="s">
        <v>60</v>
      </c>
      <c r="C4358" s="2" t="s">
        <v>41907</v>
      </c>
      <c r="D4358" s="2" t="s">
        <v>41908</v>
      </c>
      <c r="E4358" s="2" t="s">
        <v>41909</v>
      </c>
      <c r="G4358" s="3" t="s">
        <v>62</v>
      </c>
      <c r="I4358" s="3" t="s">
        <v>62</v>
      </c>
      <c r="J4358" s="3" t="s">
        <v>61</v>
      </c>
      <c r="K4358" s="3" t="s">
        <v>63</v>
      </c>
      <c r="L4358" s="2" t="s">
        <v>41910</v>
      </c>
      <c r="M4358" s="2" t="s">
        <v>41911</v>
      </c>
      <c r="N4358" s="3" t="s">
        <v>41912</v>
      </c>
      <c r="P4358" s="3" t="s">
        <v>65</v>
      </c>
      <c r="R4358" s="3" t="s">
        <v>66</v>
      </c>
      <c r="S4358" s="4">
        <v>38</v>
      </c>
      <c r="T4358" s="4">
        <v>38</v>
      </c>
      <c r="U4358" s="5" t="s">
        <v>11095</v>
      </c>
      <c r="V4358" s="5" t="s">
        <v>11095</v>
      </c>
      <c r="W4358" s="5" t="s">
        <v>67</v>
      </c>
      <c r="X4358" s="5" t="s">
        <v>67</v>
      </c>
      <c r="Y4358" s="4">
        <v>937</v>
      </c>
      <c r="Z4358" s="4">
        <v>27</v>
      </c>
      <c r="AA4358" s="4">
        <v>78</v>
      </c>
      <c r="AB4358" s="4">
        <v>2</v>
      </c>
      <c r="AC4358" s="4">
        <v>11</v>
      </c>
      <c r="AD4358" s="4">
        <v>124</v>
      </c>
      <c r="AE4358" s="4">
        <v>157</v>
      </c>
      <c r="AF4358" s="4">
        <v>0</v>
      </c>
      <c r="AG4358" s="4">
        <v>5</v>
      </c>
      <c r="AH4358" s="4">
        <v>105</v>
      </c>
      <c r="AI4358" s="4">
        <v>115</v>
      </c>
      <c r="AJ4358" s="4">
        <v>13</v>
      </c>
      <c r="AK4358" s="4">
        <v>26</v>
      </c>
      <c r="AL4358" s="4">
        <v>58</v>
      </c>
      <c r="AM4358" s="4">
        <v>61</v>
      </c>
      <c r="AN4358" s="4">
        <v>0</v>
      </c>
      <c r="AO4358" s="4">
        <v>0</v>
      </c>
      <c r="AP4358" s="4">
        <v>23</v>
      </c>
      <c r="AQ4358" s="4">
        <v>50</v>
      </c>
      <c r="AR4358" s="3" t="s">
        <v>62</v>
      </c>
      <c r="AS4358" s="3" t="s">
        <v>62</v>
      </c>
      <c r="AT4358" s="3" t="s">
        <v>61</v>
      </c>
      <c r="AU4358" s="6" t="str">
        <f>HYPERLINK("http://catalog.hathitrust.org/Record/001180945","HathiTrust Record")</f>
        <v>HathiTrust Record</v>
      </c>
      <c r="AV4358" s="6" t="str">
        <f>HYPERLINK("http://mcgill.on.worldcat.org/oclc/306607","Catalog Record")</f>
        <v>Catalog Record</v>
      </c>
      <c r="AW4358" s="6" t="str">
        <f>HYPERLINK("http://www.worldcat.org/oclc/306607","WorldCat Record")</f>
        <v>WorldCat Record</v>
      </c>
      <c r="AX4358" s="3" t="s">
        <v>41913</v>
      </c>
      <c r="AY4358" s="3" t="s">
        <v>41914</v>
      </c>
      <c r="AZ4358" s="3" t="s">
        <v>41915</v>
      </c>
      <c r="BA4358" s="3" t="s">
        <v>41915</v>
      </c>
      <c r="BB4358" s="3" t="s">
        <v>41916</v>
      </c>
      <c r="BC4358" s="3" t="s">
        <v>142</v>
      </c>
      <c r="BD4358" s="3" t="s">
        <v>68</v>
      </c>
      <c r="BF4358" s="3" t="s">
        <v>41916</v>
      </c>
      <c r="BG4358" s="3" t="s">
        <v>41917</v>
      </c>
    </row>
    <row r="4359" spans="1:59" ht="57" x14ac:dyDescent="0.45">
      <c r="A4359" s="2" t="s">
        <v>59</v>
      </c>
      <c r="B4359" s="2" t="s">
        <v>60</v>
      </c>
      <c r="C4359" s="2" t="s">
        <v>41918</v>
      </c>
      <c r="D4359" s="2" t="s">
        <v>41919</v>
      </c>
      <c r="E4359" s="2" t="s">
        <v>41920</v>
      </c>
      <c r="G4359" s="3" t="s">
        <v>62</v>
      </c>
      <c r="I4359" s="3" t="s">
        <v>61</v>
      </c>
      <c r="J4359" s="3" t="s">
        <v>61</v>
      </c>
      <c r="K4359" s="3" t="s">
        <v>63</v>
      </c>
      <c r="L4359" s="2" t="s">
        <v>41921</v>
      </c>
      <c r="M4359" s="2" t="s">
        <v>41922</v>
      </c>
      <c r="N4359" s="3" t="s">
        <v>41923</v>
      </c>
      <c r="O4359" s="2" t="s">
        <v>168</v>
      </c>
      <c r="P4359" s="3" t="s">
        <v>65</v>
      </c>
      <c r="R4359" s="3" t="s">
        <v>66</v>
      </c>
      <c r="S4359" s="4">
        <v>7</v>
      </c>
      <c r="T4359" s="4">
        <v>7</v>
      </c>
      <c r="U4359" s="5" t="s">
        <v>5547</v>
      </c>
      <c r="V4359" s="5" t="s">
        <v>5547</v>
      </c>
      <c r="W4359" s="5" t="s">
        <v>67</v>
      </c>
      <c r="X4359" s="5" t="s">
        <v>67</v>
      </c>
      <c r="Y4359" s="4">
        <v>1067</v>
      </c>
      <c r="Z4359" s="4">
        <v>45</v>
      </c>
      <c r="AA4359" s="4">
        <v>68</v>
      </c>
      <c r="AB4359" s="4">
        <v>4</v>
      </c>
      <c r="AC4359" s="4">
        <v>6</v>
      </c>
      <c r="AD4359" s="4">
        <v>124</v>
      </c>
      <c r="AE4359" s="4">
        <v>144</v>
      </c>
      <c r="AF4359" s="4">
        <v>1</v>
      </c>
      <c r="AG4359" s="4">
        <v>3</v>
      </c>
      <c r="AH4359" s="4">
        <v>100</v>
      </c>
      <c r="AI4359" s="4">
        <v>111</v>
      </c>
      <c r="AJ4359" s="4">
        <v>15</v>
      </c>
      <c r="AK4359" s="4">
        <v>22</v>
      </c>
      <c r="AL4359" s="4">
        <v>58</v>
      </c>
      <c r="AM4359" s="4">
        <v>59</v>
      </c>
      <c r="AN4359" s="4">
        <v>2</v>
      </c>
      <c r="AO4359" s="4">
        <v>2</v>
      </c>
      <c r="AP4359" s="4">
        <v>27</v>
      </c>
      <c r="AQ4359" s="4">
        <v>38</v>
      </c>
      <c r="AR4359" s="3" t="s">
        <v>62</v>
      </c>
      <c r="AS4359" s="3" t="s">
        <v>62</v>
      </c>
      <c r="AT4359" s="3" t="s">
        <v>61</v>
      </c>
      <c r="AU4359" s="6" t="str">
        <f>HYPERLINK("http://catalog.hathitrust.org/Record/001434640","HathiTrust Record")</f>
        <v>HathiTrust Record</v>
      </c>
      <c r="AV4359" s="6" t="str">
        <f>HYPERLINK("http://mcgill.on.worldcat.org/oclc/20114957","Catalog Record")</f>
        <v>Catalog Record</v>
      </c>
      <c r="AW4359" s="6" t="str">
        <f>HYPERLINK("http://www.worldcat.org/oclc/20114957","WorldCat Record")</f>
        <v>WorldCat Record</v>
      </c>
      <c r="AX4359" s="3" t="s">
        <v>41924</v>
      </c>
      <c r="AY4359" s="3" t="s">
        <v>41925</v>
      </c>
      <c r="AZ4359" s="3" t="s">
        <v>41926</v>
      </c>
      <c r="BA4359" s="3" t="s">
        <v>41926</v>
      </c>
      <c r="BB4359" s="3" t="s">
        <v>41927</v>
      </c>
      <c r="BC4359" s="3" t="s">
        <v>142</v>
      </c>
      <c r="BD4359" s="3" t="s">
        <v>68</v>
      </c>
      <c r="BF4359" s="3" t="s">
        <v>41927</v>
      </c>
      <c r="BG4359" s="3" t="s">
        <v>41928</v>
      </c>
    </row>
    <row r="4360" spans="1:59" ht="57" x14ac:dyDescent="0.45">
      <c r="A4360" s="2" t="s">
        <v>59</v>
      </c>
      <c r="B4360" s="2" t="s">
        <v>60</v>
      </c>
      <c r="C4360" s="2" t="s">
        <v>41929</v>
      </c>
      <c r="D4360" s="2" t="s">
        <v>41930</v>
      </c>
      <c r="E4360" s="2" t="s">
        <v>41931</v>
      </c>
      <c r="G4360" s="3" t="s">
        <v>62</v>
      </c>
      <c r="I4360" s="3" t="s">
        <v>62</v>
      </c>
      <c r="J4360" s="3" t="s">
        <v>62</v>
      </c>
      <c r="K4360" s="3" t="s">
        <v>63</v>
      </c>
      <c r="L4360" s="2" t="s">
        <v>41932</v>
      </c>
      <c r="M4360" s="2" t="s">
        <v>41933</v>
      </c>
      <c r="N4360" s="3" t="s">
        <v>122</v>
      </c>
      <c r="P4360" s="3" t="s">
        <v>110</v>
      </c>
      <c r="Q4360" s="2" t="s">
        <v>41934</v>
      </c>
      <c r="R4360" s="3" t="s">
        <v>66</v>
      </c>
      <c r="S4360" s="4">
        <v>3</v>
      </c>
      <c r="T4360" s="4">
        <v>3</v>
      </c>
      <c r="U4360" s="5" t="s">
        <v>12354</v>
      </c>
      <c r="V4360" s="5" t="s">
        <v>12354</v>
      </c>
      <c r="W4360" s="5" t="s">
        <v>67</v>
      </c>
      <c r="X4360" s="5" t="s">
        <v>67</v>
      </c>
      <c r="Y4360" s="4">
        <v>54</v>
      </c>
      <c r="Z4360" s="4">
        <v>11</v>
      </c>
      <c r="AA4360" s="4">
        <v>25</v>
      </c>
      <c r="AB4360" s="4">
        <v>2</v>
      </c>
      <c r="AC4360" s="4">
        <v>13</v>
      </c>
      <c r="AD4360" s="4">
        <v>22</v>
      </c>
      <c r="AE4360" s="4">
        <v>31</v>
      </c>
      <c r="AF4360" s="4">
        <v>0</v>
      </c>
      <c r="AG4360" s="4">
        <v>6</v>
      </c>
      <c r="AH4360" s="4">
        <v>18</v>
      </c>
      <c r="AI4360" s="4">
        <v>20</v>
      </c>
      <c r="AJ4360" s="4">
        <v>6</v>
      </c>
      <c r="AK4360" s="4">
        <v>11</v>
      </c>
      <c r="AL4360" s="4">
        <v>13</v>
      </c>
      <c r="AM4360" s="4">
        <v>14</v>
      </c>
      <c r="AN4360" s="4">
        <v>0</v>
      </c>
      <c r="AO4360" s="4">
        <v>0</v>
      </c>
      <c r="AP4360" s="4">
        <v>8</v>
      </c>
      <c r="AQ4360" s="4">
        <v>15</v>
      </c>
      <c r="AR4360" s="3" t="s">
        <v>62</v>
      </c>
      <c r="AS4360" s="3" t="s">
        <v>62</v>
      </c>
      <c r="AT4360" s="3" t="s">
        <v>62</v>
      </c>
      <c r="AV4360" s="6" t="str">
        <f>HYPERLINK("http://mcgill.on.worldcat.org/oclc/6305153","Catalog Record")</f>
        <v>Catalog Record</v>
      </c>
      <c r="AW4360" s="6" t="str">
        <f>HYPERLINK("http://www.worldcat.org/oclc/6305153","WorldCat Record")</f>
        <v>WorldCat Record</v>
      </c>
      <c r="AX4360" s="3" t="s">
        <v>41935</v>
      </c>
      <c r="AY4360" s="3" t="s">
        <v>41936</v>
      </c>
      <c r="AZ4360" s="3" t="s">
        <v>41937</v>
      </c>
      <c r="BA4360" s="3" t="s">
        <v>41937</v>
      </c>
      <c r="BB4360" s="3" t="s">
        <v>41938</v>
      </c>
      <c r="BC4360" s="3" t="s">
        <v>142</v>
      </c>
      <c r="BD4360" s="3" t="s">
        <v>68</v>
      </c>
      <c r="BE4360" s="3" t="s">
        <v>41939</v>
      </c>
      <c r="BF4360" s="3" t="s">
        <v>41938</v>
      </c>
      <c r="BG4360" s="3" t="s">
        <v>41940</v>
      </c>
    </row>
    <row r="4361" spans="1:59" ht="57" x14ac:dyDescent="0.45">
      <c r="A4361" s="2" t="s">
        <v>59</v>
      </c>
      <c r="B4361" s="2" t="s">
        <v>60</v>
      </c>
      <c r="C4361" s="2" t="s">
        <v>41941</v>
      </c>
      <c r="D4361" s="2" t="s">
        <v>41942</v>
      </c>
      <c r="E4361" s="2" t="s">
        <v>41943</v>
      </c>
      <c r="G4361" s="3" t="s">
        <v>62</v>
      </c>
      <c r="I4361" s="3" t="s">
        <v>61</v>
      </c>
      <c r="J4361" s="3" t="s">
        <v>62</v>
      </c>
      <c r="K4361" s="3" t="s">
        <v>63</v>
      </c>
      <c r="L4361" s="2" t="s">
        <v>651</v>
      </c>
      <c r="M4361" s="2" t="s">
        <v>41944</v>
      </c>
      <c r="N4361" s="3" t="s">
        <v>419</v>
      </c>
      <c r="P4361" s="3" t="s">
        <v>65</v>
      </c>
      <c r="Q4361" s="2" t="s">
        <v>41945</v>
      </c>
      <c r="R4361" s="3" t="s">
        <v>66</v>
      </c>
      <c r="S4361" s="4">
        <v>6</v>
      </c>
      <c r="T4361" s="4">
        <v>37</v>
      </c>
      <c r="U4361" s="5" t="s">
        <v>10681</v>
      </c>
      <c r="V4361" s="5" t="s">
        <v>10681</v>
      </c>
      <c r="W4361" s="5" t="s">
        <v>67</v>
      </c>
      <c r="X4361" s="5" t="s">
        <v>67</v>
      </c>
      <c r="Y4361" s="4">
        <v>56</v>
      </c>
      <c r="Z4361" s="4">
        <v>3</v>
      </c>
      <c r="AA4361" s="4">
        <v>51</v>
      </c>
      <c r="AB4361" s="4">
        <v>1</v>
      </c>
      <c r="AC4361" s="4">
        <v>6</v>
      </c>
      <c r="AD4361" s="4">
        <v>12</v>
      </c>
      <c r="AE4361" s="4">
        <v>139</v>
      </c>
      <c r="AF4361" s="4">
        <v>0</v>
      </c>
      <c r="AG4361" s="4">
        <v>4</v>
      </c>
      <c r="AH4361" s="4">
        <v>11</v>
      </c>
      <c r="AI4361" s="4">
        <v>109</v>
      </c>
      <c r="AJ4361" s="4">
        <v>1</v>
      </c>
      <c r="AK4361" s="4">
        <v>24</v>
      </c>
      <c r="AL4361" s="4">
        <v>4</v>
      </c>
      <c r="AM4361" s="4">
        <v>56</v>
      </c>
      <c r="AN4361" s="4">
        <v>0</v>
      </c>
      <c r="AO4361" s="4">
        <v>0</v>
      </c>
      <c r="AP4361" s="4">
        <v>2</v>
      </c>
      <c r="AQ4361" s="4">
        <v>39</v>
      </c>
      <c r="AR4361" s="3" t="s">
        <v>62</v>
      </c>
      <c r="AS4361" s="3" t="s">
        <v>62</v>
      </c>
      <c r="AT4361" s="3" t="s">
        <v>62</v>
      </c>
      <c r="AV4361" s="6" t="str">
        <f>HYPERLINK("http://mcgill.on.worldcat.org/oclc/7405090","Catalog Record")</f>
        <v>Catalog Record</v>
      </c>
      <c r="AW4361" s="6" t="str">
        <f>HYPERLINK("http://www.worldcat.org/oclc/7405090","WorldCat Record")</f>
        <v>WorldCat Record</v>
      </c>
      <c r="AX4361" s="3" t="s">
        <v>41946</v>
      </c>
      <c r="AY4361" s="3" t="s">
        <v>41947</v>
      </c>
      <c r="AZ4361" s="3" t="s">
        <v>41948</v>
      </c>
      <c r="BA4361" s="3" t="s">
        <v>41948</v>
      </c>
      <c r="BB4361" s="3" t="s">
        <v>41949</v>
      </c>
      <c r="BC4361" s="3" t="s">
        <v>142</v>
      </c>
      <c r="BD4361" s="3" t="s">
        <v>68</v>
      </c>
      <c r="BF4361" s="3" t="s">
        <v>41949</v>
      </c>
      <c r="BG4361" s="3" t="s">
        <v>41950</v>
      </c>
    </row>
    <row r="4362" spans="1:59" ht="57" x14ac:dyDescent="0.45">
      <c r="A4362" s="2" t="s">
        <v>59</v>
      </c>
      <c r="B4362" s="2" t="s">
        <v>60</v>
      </c>
      <c r="C4362" s="2" t="s">
        <v>41941</v>
      </c>
      <c r="D4362" s="2" t="s">
        <v>41942</v>
      </c>
      <c r="E4362" s="2" t="s">
        <v>41943</v>
      </c>
      <c r="G4362" s="3" t="s">
        <v>62</v>
      </c>
      <c r="I4362" s="3" t="s">
        <v>61</v>
      </c>
      <c r="J4362" s="3" t="s">
        <v>62</v>
      </c>
      <c r="K4362" s="3" t="s">
        <v>63</v>
      </c>
      <c r="L4362" s="2" t="s">
        <v>651</v>
      </c>
      <c r="M4362" s="2" t="s">
        <v>41944</v>
      </c>
      <c r="N4362" s="3" t="s">
        <v>419</v>
      </c>
      <c r="P4362" s="3" t="s">
        <v>65</v>
      </c>
      <c r="Q4362" s="2" t="s">
        <v>41945</v>
      </c>
      <c r="R4362" s="3" t="s">
        <v>66</v>
      </c>
      <c r="S4362" s="4">
        <v>19</v>
      </c>
      <c r="T4362" s="4">
        <v>37</v>
      </c>
      <c r="U4362" s="5" t="s">
        <v>41951</v>
      </c>
      <c r="V4362" s="5" t="s">
        <v>10681</v>
      </c>
      <c r="W4362" s="5" t="s">
        <v>67</v>
      </c>
      <c r="X4362" s="5" t="s">
        <v>67</v>
      </c>
      <c r="Y4362" s="4">
        <v>56</v>
      </c>
      <c r="Z4362" s="4">
        <v>3</v>
      </c>
      <c r="AA4362" s="4">
        <v>51</v>
      </c>
      <c r="AB4362" s="4">
        <v>1</v>
      </c>
      <c r="AC4362" s="4">
        <v>6</v>
      </c>
      <c r="AD4362" s="4">
        <v>12</v>
      </c>
      <c r="AE4362" s="4">
        <v>139</v>
      </c>
      <c r="AF4362" s="4">
        <v>0</v>
      </c>
      <c r="AG4362" s="4">
        <v>4</v>
      </c>
      <c r="AH4362" s="4">
        <v>11</v>
      </c>
      <c r="AI4362" s="4">
        <v>109</v>
      </c>
      <c r="AJ4362" s="4">
        <v>1</v>
      </c>
      <c r="AK4362" s="4">
        <v>24</v>
      </c>
      <c r="AL4362" s="4">
        <v>4</v>
      </c>
      <c r="AM4362" s="4">
        <v>56</v>
      </c>
      <c r="AN4362" s="4">
        <v>0</v>
      </c>
      <c r="AO4362" s="4">
        <v>0</v>
      </c>
      <c r="AP4362" s="4">
        <v>2</v>
      </c>
      <c r="AQ4362" s="4">
        <v>39</v>
      </c>
      <c r="AR4362" s="3" t="s">
        <v>62</v>
      </c>
      <c r="AS4362" s="3" t="s">
        <v>62</v>
      </c>
      <c r="AT4362" s="3" t="s">
        <v>62</v>
      </c>
      <c r="AV4362" s="6" t="str">
        <f>HYPERLINK("http://mcgill.on.worldcat.org/oclc/7405090","Catalog Record")</f>
        <v>Catalog Record</v>
      </c>
      <c r="AW4362" s="6" t="str">
        <f>HYPERLINK("http://www.worldcat.org/oclc/7405090","WorldCat Record")</f>
        <v>WorldCat Record</v>
      </c>
      <c r="AX4362" s="3" t="s">
        <v>41946</v>
      </c>
      <c r="AY4362" s="3" t="s">
        <v>41947</v>
      </c>
      <c r="AZ4362" s="3" t="s">
        <v>41948</v>
      </c>
      <c r="BA4362" s="3" t="s">
        <v>41948</v>
      </c>
      <c r="BB4362" s="3" t="s">
        <v>41952</v>
      </c>
      <c r="BC4362" s="3" t="s">
        <v>142</v>
      </c>
      <c r="BD4362" s="3" t="s">
        <v>68</v>
      </c>
      <c r="BF4362" s="3" t="s">
        <v>41952</v>
      </c>
      <c r="BG4362" s="3" t="s">
        <v>41953</v>
      </c>
    </row>
    <row r="4363" spans="1:59" ht="57" x14ac:dyDescent="0.45">
      <c r="A4363" s="2" t="s">
        <v>59</v>
      </c>
      <c r="B4363" s="2" t="s">
        <v>60</v>
      </c>
      <c r="C4363" s="2" t="s">
        <v>41941</v>
      </c>
      <c r="D4363" s="2" t="s">
        <v>41942</v>
      </c>
      <c r="E4363" s="2" t="s">
        <v>41943</v>
      </c>
      <c r="G4363" s="3" t="s">
        <v>62</v>
      </c>
      <c r="I4363" s="3" t="s">
        <v>61</v>
      </c>
      <c r="J4363" s="3" t="s">
        <v>62</v>
      </c>
      <c r="K4363" s="3" t="s">
        <v>63</v>
      </c>
      <c r="L4363" s="2" t="s">
        <v>651</v>
      </c>
      <c r="M4363" s="2" t="s">
        <v>41944</v>
      </c>
      <c r="N4363" s="3" t="s">
        <v>419</v>
      </c>
      <c r="P4363" s="3" t="s">
        <v>65</v>
      </c>
      <c r="Q4363" s="2" t="s">
        <v>41945</v>
      </c>
      <c r="R4363" s="3" t="s">
        <v>66</v>
      </c>
      <c r="S4363" s="4">
        <v>12</v>
      </c>
      <c r="T4363" s="4">
        <v>37</v>
      </c>
      <c r="U4363" s="5" t="s">
        <v>41954</v>
      </c>
      <c r="V4363" s="5" t="s">
        <v>10681</v>
      </c>
      <c r="W4363" s="5" t="s">
        <v>67</v>
      </c>
      <c r="X4363" s="5" t="s">
        <v>67</v>
      </c>
      <c r="Y4363" s="4">
        <v>56</v>
      </c>
      <c r="Z4363" s="4">
        <v>3</v>
      </c>
      <c r="AA4363" s="4">
        <v>51</v>
      </c>
      <c r="AB4363" s="4">
        <v>1</v>
      </c>
      <c r="AC4363" s="4">
        <v>6</v>
      </c>
      <c r="AD4363" s="4">
        <v>12</v>
      </c>
      <c r="AE4363" s="4">
        <v>139</v>
      </c>
      <c r="AF4363" s="4">
        <v>0</v>
      </c>
      <c r="AG4363" s="4">
        <v>4</v>
      </c>
      <c r="AH4363" s="4">
        <v>11</v>
      </c>
      <c r="AI4363" s="4">
        <v>109</v>
      </c>
      <c r="AJ4363" s="4">
        <v>1</v>
      </c>
      <c r="AK4363" s="4">
        <v>24</v>
      </c>
      <c r="AL4363" s="4">
        <v>4</v>
      </c>
      <c r="AM4363" s="4">
        <v>56</v>
      </c>
      <c r="AN4363" s="4">
        <v>0</v>
      </c>
      <c r="AO4363" s="4">
        <v>0</v>
      </c>
      <c r="AP4363" s="4">
        <v>2</v>
      </c>
      <c r="AQ4363" s="4">
        <v>39</v>
      </c>
      <c r="AR4363" s="3" t="s">
        <v>62</v>
      </c>
      <c r="AS4363" s="3" t="s">
        <v>62</v>
      </c>
      <c r="AT4363" s="3" t="s">
        <v>62</v>
      </c>
      <c r="AV4363" s="6" t="str">
        <f>HYPERLINK("http://mcgill.on.worldcat.org/oclc/7405090","Catalog Record")</f>
        <v>Catalog Record</v>
      </c>
      <c r="AW4363" s="6" t="str">
        <f>HYPERLINK("http://www.worldcat.org/oclc/7405090","WorldCat Record")</f>
        <v>WorldCat Record</v>
      </c>
      <c r="AX4363" s="3" t="s">
        <v>41946</v>
      </c>
      <c r="AY4363" s="3" t="s">
        <v>41947</v>
      </c>
      <c r="AZ4363" s="3" t="s">
        <v>41948</v>
      </c>
      <c r="BA4363" s="3" t="s">
        <v>41948</v>
      </c>
      <c r="BB4363" s="3" t="s">
        <v>41955</v>
      </c>
      <c r="BC4363" s="3" t="s">
        <v>142</v>
      </c>
      <c r="BD4363" s="3" t="s">
        <v>68</v>
      </c>
      <c r="BF4363" s="3" t="s">
        <v>41955</v>
      </c>
      <c r="BG4363" s="3" t="s">
        <v>41956</v>
      </c>
    </row>
    <row r="4364" spans="1:59" ht="57" x14ac:dyDescent="0.45">
      <c r="A4364" s="2" t="s">
        <v>59</v>
      </c>
      <c r="B4364" s="2" t="s">
        <v>60</v>
      </c>
      <c r="C4364" s="2" t="s">
        <v>41957</v>
      </c>
      <c r="D4364" s="2" t="s">
        <v>41958</v>
      </c>
      <c r="E4364" s="2" t="s">
        <v>41959</v>
      </c>
      <c r="G4364" s="3" t="s">
        <v>62</v>
      </c>
      <c r="I4364" s="3" t="s">
        <v>62</v>
      </c>
      <c r="J4364" s="3" t="s">
        <v>62</v>
      </c>
      <c r="K4364" s="3" t="s">
        <v>63</v>
      </c>
      <c r="L4364" s="2" t="s">
        <v>41960</v>
      </c>
      <c r="M4364" s="2" t="s">
        <v>29577</v>
      </c>
      <c r="N4364" s="3" t="s">
        <v>5180</v>
      </c>
      <c r="P4364" s="3" t="s">
        <v>110</v>
      </c>
      <c r="R4364" s="3" t="s">
        <v>66</v>
      </c>
      <c r="S4364" s="4">
        <v>0</v>
      </c>
      <c r="T4364" s="4">
        <v>0</v>
      </c>
      <c r="W4364" s="5" t="s">
        <v>67</v>
      </c>
      <c r="X4364" s="5" t="s">
        <v>67</v>
      </c>
      <c r="Y4364" s="4">
        <v>1</v>
      </c>
      <c r="Z4364" s="4">
        <v>1</v>
      </c>
      <c r="AA4364" s="4">
        <v>1</v>
      </c>
      <c r="AB4364" s="4">
        <v>1</v>
      </c>
      <c r="AC4364" s="4">
        <v>1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3" t="s">
        <v>62</v>
      </c>
      <c r="AS4364" s="3" t="s">
        <v>62</v>
      </c>
      <c r="AT4364" s="3" t="s">
        <v>62</v>
      </c>
      <c r="AV4364" s="6" t="str">
        <f>HYPERLINK("http://mcgill.on.worldcat.org/oclc/1044752126","Catalog Record")</f>
        <v>Catalog Record</v>
      </c>
      <c r="AW4364" s="6" t="str">
        <f>HYPERLINK("http://www.worldcat.org/oclc/1044752126","WorldCat Record")</f>
        <v>WorldCat Record</v>
      </c>
      <c r="AX4364" s="3" t="s">
        <v>41961</v>
      </c>
      <c r="AY4364" s="3" t="s">
        <v>41962</v>
      </c>
      <c r="AZ4364" s="3" t="s">
        <v>41963</v>
      </c>
      <c r="BA4364" s="3" t="s">
        <v>41963</v>
      </c>
      <c r="BB4364" s="3" t="s">
        <v>41964</v>
      </c>
      <c r="BC4364" s="3" t="s">
        <v>142</v>
      </c>
      <c r="BD4364" s="3" t="s">
        <v>68</v>
      </c>
      <c r="BE4364" s="3" t="s">
        <v>41965</v>
      </c>
      <c r="BF4364" s="3" t="s">
        <v>41964</v>
      </c>
      <c r="BG4364" s="3" t="s">
        <v>41966</v>
      </c>
    </row>
    <row r="4365" spans="1:59" ht="57" x14ac:dyDescent="0.45">
      <c r="A4365" s="2" t="s">
        <v>59</v>
      </c>
      <c r="B4365" s="2" t="s">
        <v>60</v>
      </c>
      <c r="C4365" s="2" t="s">
        <v>41967</v>
      </c>
      <c r="D4365" s="2" t="s">
        <v>41968</v>
      </c>
      <c r="E4365" s="2" t="s">
        <v>41969</v>
      </c>
      <c r="G4365" s="3" t="s">
        <v>62</v>
      </c>
      <c r="I4365" s="3" t="s">
        <v>62</v>
      </c>
      <c r="J4365" s="3" t="s">
        <v>62</v>
      </c>
      <c r="K4365" s="3" t="s">
        <v>63</v>
      </c>
      <c r="L4365" s="2" t="s">
        <v>33269</v>
      </c>
      <c r="M4365" s="2" t="s">
        <v>41970</v>
      </c>
      <c r="N4365" s="3" t="s">
        <v>894</v>
      </c>
      <c r="O4365" s="2" t="s">
        <v>906</v>
      </c>
      <c r="P4365" s="3" t="s">
        <v>65</v>
      </c>
      <c r="R4365" s="3" t="s">
        <v>66</v>
      </c>
      <c r="S4365" s="4">
        <v>0</v>
      </c>
      <c r="T4365" s="4">
        <v>0</v>
      </c>
      <c r="W4365" s="5" t="s">
        <v>67</v>
      </c>
      <c r="X4365" s="5" t="s">
        <v>67</v>
      </c>
      <c r="Y4365" s="4">
        <v>21</v>
      </c>
      <c r="Z4365" s="4">
        <v>3</v>
      </c>
      <c r="AA4365" s="4">
        <v>3</v>
      </c>
      <c r="AB4365" s="4">
        <v>1</v>
      </c>
      <c r="AC4365" s="4">
        <v>1</v>
      </c>
      <c r="AD4365" s="4">
        <v>2</v>
      </c>
      <c r="AE4365" s="4">
        <v>2</v>
      </c>
      <c r="AF4365" s="4">
        <v>0</v>
      </c>
      <c r="AG4365" s="4">
        <v>0</v>
      </c>
      <c r="AH4365" s="4">
        <v>2</v>
      </c>
      <c r="AI4365" s="4">
        <v>2</v>
      </c>
      <c r="AJ4365" s="4">
        <v>1</v>
      </c>
      <c r="AK4365" s="4">
        <v>1</v>
      </c>
      <c r="AL4365" s="4">
        <v>0</v>
      </c>
      <c r="AM4365" s="4">
        <v>0</v>
      </c>
      <c r="AN4365" s="4">
        <v>0</v>
      </c>
      <c r="AO4365" s="4">
        <v>0</v>
      </c>
      <c r="AP4365" s="4">
        <v>1</v>
      </c>
      <c r="AQ4365" s="4">
        <v>1</v>
      </c>
      <c r="AR4365" s="3" t="s">
        <v>62</v>
      </c>
      <c r="AS4365" s="3" t="s">
        <v>62</v>
      </c>
      <c r="AT4365" s="3" t="s">
        <v>62</v>
      </c>
      <c r="AV4365" s="6" t="str">
        <f>HYPERLINK("http://mcgill.on.worldcat.org/oclc/721541538","Catalog Record")</f>
        <v>Catalog Record</v>
      </c>
      <c r="AW4365" s="6" t="str">
        <f>HYPERLINK("http://www.worldcat.org/oclc/721541538","WorldCat Record")</f>
        <v>WorldCat Record</v>
      </c>
      <c r="AX4365" s="3" t="s">
        <v>41971</v>
      </c>
      <c r="AY4365" s="3" t="s">
        <v>41972</v>
      </c>
      <c r="AZ4365" s="3" t="s">
        <v>41973</v>
      </c>
      <c r="BA4365" s="3" t="s">
        <v>41973</v>
      </c>
      <c r="BB4365" s="3" t="s">
        <v>41974</v>
      </c>
      <c r="BC4365" s="3" t="s">
        <v>142</v>
      </c>
      <c r="BD4365" s="3" t="s">
        <v>68</v>
      </c>
      <c r="BE4365" s="3" t="s">
        <v>41975</v>
      </c>
      <c r="BF4365" s="3" t="s">
        <v>41974</v>
      </c>
      <c r="BG4365" s="3" t="s">
        <v>41976</v>
      </c>
    </row>
    <row r="4366" spans="1:59" ht="57" x14ac:dyDescent="0.45">
      <c r="A4366" s="2" t="s">
        <v>59</v>
      </c>
      <c r="B4366" s="2" t="s">
        <v>60</v>
      </c>
      <c r="C4366" s="2" t="s">
        <v>41977</v>
      </c>
      <c r="D4366" s="2" t="s">
        <v>41978</v>
      </c>
      <c r="E4366" s="2" t="s">
        <v>41979</v>
      </c>
      <c r="G4366" s="3" t="s">
        <v>62</v>
      </c>
      <c r="I4366" s="3" t="s">
        <v>62</v>
      </c>
      <c r="J4366" s="3" t="s">
        <v>62</v>
      </c>
      <c r="K4366" s="3" t="s">
        <v>63</v>
      </c>
      <c r="L4366" s="2" t="s">
        <v>41980</v>
      </c>
      <c r="M4366" s="2" t="s">
        <v>2764</v>
      </c>
      <c r="N4366" s="3" t="s">
        <v>1097</v>
      </c>
      <c r="P4366" s="3" t="s">
        <v>65</v>
      </c>
      <c r="Q4366" s="2" t="s">
        <v>41981</v>
      </c>
      <c r="R4366" s="3" t="s">
        <v>66</v>
      </c>
      <c r="S4366" s="4">
        <v>4</v>
      </c>
      <c r="T4366" s="4">
        <v>4</v>
      </c>
      <c r="U4366" s="5" t="s">
        <v>18380</v>
      </c>
      <c r="V4366" s="5" t="s">
        <v>18380</v>
      </c>
      <c r="W4366" s="5" t="s">
        <v>67</v>
      </c>
      <c r="X4366" s="5" t="s">
        <v>67</v>
      </c>
      <c r="Y4366" s="4">
        <v>311</v>
      </c>
      <c r="Z4366" s="4">
        <v>17</v>
      </c>
      <c r="AA4366" s="4">
        <v>63</v>
      </c>
      <c r="AB4366" s="4">
        <v>1</v>
      </c>
      <c r="AC4366" s="4">
        <v>17</v>
      </c>
      <c r="AD4366" s="4">
        <v>88</v>
      </c>
      <c r="AE4366" s="4">
        <v>126</v>
      </c>
      <c r="AF4366" s="4">
        <v>0</v>
      </c>
      <c r="AG4366" s="4">
        <v>8</v>
      </c>
      <c r="AH4366" s="4">
        <v>80</v>
      </c>
      <c r="AI4366" s="4">
        <v>86</v>
      </c>
      <c r="AJ4366" s="4">
        <v>10</v>
      </c>
      <c r="AK4366" s="4">
        <v>24</v>
      </c>
      <c r="AL4366" s="4">
        <v>44</v>
      </c>
      <c r="AM4366" s="4">
        <v>45</v>
      </c>
      <c r="AN4366" s="4">
        <v>0</v>
      </c>
      <c r="AO4366" s="4">
        <v>0</v>
      </c>
      <c r="AP4366" s="4">
        <v>13</v>
      </c>
      <c r="AQ4366" s="4">
        <v>48</v>
      </c>
      <c r="AR4366" s="3" t="s">
        <v>62</v>
      </c>
      <c r="AS4366" s="3" t="s">
        <v>62</v>
      </c>
      <c r="AT4366" s="3" t="s">
        <v>62</v>
      </c>
      <c r="AV4366" s="6" t="str">
        <f>HYPERLINK("http://mcgill.on.worldcat.org/oclc/53075819","Catalog Record")</f>
        <v>Catalog Record</v>
      </c>
      <c r="AW4366" s="6" t="str">
        <f>HYPERLINK("http://www.worldcat.org/oclc/53075819","WorldCat Record")</f>
        <v>WorldCat Record</v>
      </c>
      <c r="AX4366" s="3" t="s">
        <v>41982</v>
      </c>
      <c r="AY4366" s="3" t="s">
        <v>41983</v>
      </c>
      <c r="AZ4366" s="3" t="s">
        <v>41984</v>
      </c>
      <c r="BA4366" s="3" t="s">
        <v>41984</v>
      </c>
      <c r="BB4366" s="3" t="s">
        <v>41985</v>
      </c>
      <c r="BC4366" s="3" t="s">
        <v>142</v>
      </c>
      <c r="BD4366" s="3" t="s">
        <v>68</v>
      </c>
      <c r="BE4366" s="3" t="s">
        <v>41986</v>
      </c>
      <c r="BF4366" s="3" t="s">
        <v>41985</v>
      </c>
      <c r="BG4366" s="3" t="s">
        <v>41987</v>
      </c>
    </row>
    <row r="4367" spans="1:59" ht="85.5" x14ac:dyDescent="0.45">
      <c r="A4367" s="2" t="s">
        <v>59</v>
      </c>
      <c r="B4367" s="2" t="s">
        <v>5257</v>
      </c>
      <c r="C4367" s="2" t="s">
        <v>41988</v>
      </c>
      <c r="D4367" s="2" t="s">
        <v>41989</v>
      </c>
      <c r="E4367" s="2" t="s">
        <v>41990</v>
      </c>
      <c r="G4367" s="3" t="s">
        <v>62</v>
      </c>
      <c r="I4367" s="3" t="s">
        <v>62</v>
      </c>
      <c r="J4367" s="3" t="s">
        <v>62</v>
      </c>
      <c r="K4367" s="3" t="s">
        <v>63</v>
      </c>
      <c r="L4367" s="2" t="s">
        <v>41991</v>
      </c>
      <c r="M4367" s="2" t="s">
        <v>41992</v>
      </c>
      <c r="N4367" s="3" t="s">
        <v>149</v>
      </c>
      <c r="P4367" s="3" t="s">
        <v>65</v>
      </c>
      <c r="Q4367" s="2" t="s">
        <v>41993</v>
      </c>
      <c r="R4367" s="3" t="s">
        <v>66</v>
      </c>
      <c r="S4367" s="4">
        <v>0</v>
      </c>
      <c r="T4367" s="4">
        <v>0</v>
      </c>
      <c r="W4367" s="5" t="s">
        <v>67</v>
      </c>
      <c r="X4367" s="5" t="s">
        <v>67</v>
      </c>
      <c r="Y4367" s="4">
        <v>27</v>
      </c>
      <c r="Z4367" s="4">
        <v>6</v>
      </c>
      <c r="AA4367" s="4">
        <v>10</v>
      </c>
      <c r="AB4367" s="4">
        <v>1</v>
      </c>
      <c r="AC4367" s="4">
        <v>3</v>
      </c>
      <c r="AD4367" s="4">
        <v>9</v>
      </c>
      <c r="AE4367" s="4">
        <v>16</v>
      </c>
      <c r="AF4367" s="4">
        <v>0</v>
      </c>
      <c r="AG4367" s="4">
        <v>0</v>
      </c>
      <c r="AH4367" s="4">
        <v>7</v>
      </c>
      <c r="AI4367" s="4">
        <v>12</v>
      </c>
      <c r="AJ4367" s="4">
        <v>4</v>
      </c>
      <c r="AK4367" s="4">
        <v>6</v>
      </c>
      <c r="AL4367" s="4">
        <v>4</v>
      </c>
      <c r="AM4367" s="4">
        <v>7</v>
      </c>
      <c r="AN4367" s="4">
        <v>0</v>
      </c>
      <c r="AO4367" s="4">
        <v>0</v>
      </c>
      <c r="AP4367" s="4">
        <v>4</v>
      </c>
      <c r="AQ4367" s="4">
        <v>6</v>
      </c>
      <c r="AR4367" s="3" t="s">
        <v>62</v>
      </c>
      <c r="AS4367" s="3" t="s">
        <v>62</v>
      </c>
      <c r="AT4367" s="3" t="s">
        <v>62</v>
      </c>
      <c r="AV4367" s="6" t="str">
        <f>HYPERLINK("http://mcgill.on.worldcat.org/oclc/560559742","Catalog Record")</f>
        <v>Catalog Record</v>
      </c>
      <c r="AW4367" s="6" t="str">
        <f>HYPERLINK("http://www.worldcat.org/oclc/560559742","WorldCat Record")</f>
        <v>WorldCat Record</v>
      </c>
      <c r="AX4367" s="3" t="s">
        <v>41994</v>
      </c>
      <c r="AY4367" s="3" t="s">
        <v>41995</v>
      </c>
      <c r="AZ4367" s="3" t="s">
        <v>41996</v>
      </c>
      <c r="BA4367" s="3" t="s">
        <v>41996</v>
      </c>
      <c r="BB4367" s="3" t="s">
        <v>41997</v>
      </c>
      <c r="BC4367" s="3" t="s">
        <v>142</v>
      </c>
      <c r="BD4367" s="3" t="s">
        <v>68</v>
      </c>
      <c r="BE4367" s="3" t="s">
        <v>41998</v>
      </c>
      <c r="BF4367" s="3" t="s">
        <v>41997</v>
      </c>
      <c r="BG4367" s="3" t="s">
        <v>41999</v>
      </c>
    </row>
    <row r="4368" spans="1:59" ht="57" x14ac:dyDescent="0.45">
      <c r="A4368" s="2" t="s">
        <v>59</v>
      </c>
      <c r="B4368" s="2" t="s">
        <v>60</v>
      </c>
      <c r="C4368" s="2" t="s">
        <v>42000</v>
      </c>
      <c r="D4368" s="2" t="s">
        <v>42001</v>
      </c>
      <c r="E4368" s="2" t="s">
        <v>42002</v>
      </c>
      <c r="G4368" s="3" t="s">
        <v>62</v>
      </c>
      <c r="I4368" s="3" t="s">
        <v>62</v>
      </c>
      <c r="J4368" s="3" t="s">
        <v>62</v>
      </c>
      <c r="K4368" s="3" t="s">
        <v>63</v>
      </c>
      <c r="L4368" s="2" t="s">
        <v>956</v>
      </c>
      <c r="M4368" s="2" t="s">
        <v>42003</v>
      </c>
      <c r="N4368" s="3" t="s">
        <v>1239</v>
      </c>
      <c r="P4368" s="3" t="s">
        <v>110</v>
      </c>
      <c r="Q4368" s="2" t="s">
        <v>21846</v>
      </c>
      <c r="R4368" s="3" t="s">
        <v>66</v>
      </c>
      <c r="S4368" s="4">
        <v>27</v>
      </c>
      <c r="T4368" s="4">
        <v>27</v>
      </c>
      <c r="U4368" s="5" t="s">
        <v>30739</v>
      </c>
      <c r="V4368" s="5" t="s">
        <v>30739</v>
      </c>
      <c r="W4368" s="5" t="s">
        <v>67</v>
      </c>
      <c r="X4368" s="5" t="s">
        <v>67</v>
      </c>
      <c r="Y4368" s="4">
        <v>118</v>
      </c>
      <c r="Z4368" s="4">
        <v>20</v>
      </c>
      <c r="AA4368" s="4">
        <v>29</v>
      </c>
      <c r="AB4368" s="4">
        <v>2</v>
      </c>
      <c r="AC4368" s="4">
        <v>10</v>
      </c>
      <c r="AD4368" s="4">
        <v>58</v>
      </c>
      <c r="AE4368" s="4">
        <v>63</v>
      </c>
      <c r="AF4368" s="4">
        <v>1</v>
      </c>
      <c r="AG4368" s="4">
        <v>5</v>
      </c>
      <c r="AH4368" s="4">
        <v>47</v>
      </c>
      <c r="AI4368" s="4">
        <v>48</v>
      </c>
      <c r="AJ4368" s="4">
        <v>15</v>
      </c>
      <c r="AK4368" s="4">
        <v>18</v>
      </c>
      <c r="AL4368" s="4">
        <v>31</v>
      </c>
      <c r="AM4368" s="4">
        <v>31</v>
      </c>
      <c r="AN4368" s="4">
        <v>0</v>
      </c>
      <c r="AO4368" s="4">
        <v>0</v>
      </c>
      <c r="AP4368" s="4">
        <v>18</v>
      </c>
      <c r="AQ4368" s="4">
        <v>23</v>
      </c>
      <c r="AR4368" s="3" t="s">
        <v>62</v>
      </c>
      <c r="AS4368" s="3" t="s">
        <v>62</v>
      </c>
      <c r="AT4368" s="3" t="s">
        <v>62</v>
      </c>
      <c r="AV4368" s="6" t="str">
        <f>HYPERLINK("http://mcgill.on.worldcat.org/oclc/22245728","Catalog Record")</f>
        <v>Catalog Record</v>
      </c>
      <c r="AW4368" s="6" t="str">
        <f>HYPERLINK("http://www.worldcat.org/oclc/22245728","WorldCat Record")</f>
        <v>WorldCat Record</v>
      </c>
      <c r="AX4368" s="3" t="s">
        <v>42004</v>
      </c>
      <c r="AY4368" s="3" t="s">
        <v>42005</v>
      </c>
      <c r="AZ4368" s="3" t="s">
        <v>42006</v>
      </c>
      <c r="BA4368" s="3" t="s">
        <v>42006</v>
      </c>
      <c r="BB4368" s="3" t="s">
        <v>42007</v>
      </c>
      <c r="BC4368" s="3" t="s">
        <v>142</v>
      </c>
      <c r="BD4368" s="3" t="s">
        <v>68</v>
      </c>
      <c r="BE4368" s="3" t="s">
        <v>42008</v>
      </c>
      <c r="BF4368" s="3" t="s">
        <v>42007</v>
      </c>
      <c r="BG4368" s="3" t="s">
        <v>42009</v>
      </c>
    </row>
    <row r="4369" spans="1:59" ht="57" x14ac:dyDescent="0.45">
      <c r="A4369" s="2" t="s">
        <v>59</v>
      </c>
      <c r="B4369" s="2" t="s">
        <v>60</v>
      </c>
      <c r="C4369" s="2" t="s">
        <v>42010</v>
      </c>
      <c r="D4369" s="2" t="s">
        <v>42011</v>
      </c>
      <c r="E4369" s="2" t="s">
        <v>42012</v>
      </c>
      <c r="G4369" s="3" t="s">
        <v>62</v>
      </c>
      <c r="I4369" s="3" t="s">
        <v>62</v>
      </c>
      <c r="J4369" s="3" t="s">
        <v>62</v>
      </c>
      <c r="K4369" s="3" t="s">
        <v>63</v>
      </c>
      <c r="L4369" s="2" t="s">
        <v>42013</v>
      </c>
      <c r="M4369" s="2" t="s">
        <v>1917</v>
      </c>
      <c r="N4369" s="3" t="s">
        <v>1918</v>
      </c>
      <c r="P4369" s="3" t="s">
        <v>65</v>
      </c>
      <c r="Q4369" s="2" t="s">
        <v>42014</v>
      </c>
      <c r="R4369" s="3" t="s">
        <v>66</v>
      </c>
      <c r="S4369" s="4">
        <v>0</v>
      </c>
      <c r="T4369" s="4">
        <v>0</v>
      </c>
      <c r="W4369" s="5" t="s">
        <v>67</v>
      </c>
      <c r="X4369" s="5" t="s">
        <v>67</v>
      </c>
      <c r="Y4369" s="4">
        <v>50</v>
      </c>
      <c r="Z4369" s="4">
        <v>5</v>
      </c>
      <c r="AA4369" s="4">
        <v>74</v>
      </c>
      <c r="AB4369" s="4">
        <v>2</v>
      </c>
      <c r="AC4369" s="4">
        <v>14</v>
      </c>
      <c r="AD4369" s="4">
        <v>29</v>
      </c>
      <c r="AE4369" s="4">
        <v>103</v>
      </c>
      <c r="AF4369" s="4">
        <v>1</v>
      </c>
      <c r="AG4369" s="4">
        <v>8</v>
      </c>
      <c r="AH4369" s="4">
        <v>27</v>
      </c>
      <c r="AI4369" s="4">
        <v>72</v>
      </c>
      <c r="AJ4369" s="4">
        <v>4</v>
      </c>
      <c r="AK4369" s="4">
        <v>19</v>
      </c>
      <c r="AL4369" s="4">
        <v>18</v>
      </c>
      <c r="AM4369" s="4">
        <v>38</v>
      </c>
      <c r="AN4369" s="4">
        <v>0</v>
      </c>
      <c r="AO4369" s="4">
        <v>0</v>
      </c>
      <c r="AP4369" s="4">
        <v>4</v>
      </c>
      <c r="AQ4369" s="4">
        <v>37</v>
      </c>
      <c r="AR4369" s="3" t="s">
        <v>62</v>
      </c>
      <c r="AS4369" s="3" t="s">
        <v>62</v>
      </c>
      <c r="AT4369" s="3" t="s">
        <v>62</v>
      </c>
      <c r="AV4369" s="6" t="str">
        <f>HYPERLINK("http://mcgill.on.worldcat.org/oclc/1001563959","Catalog Record")</f>
        <v>Catalog Record</v>
      </c>
      <c r="AW4369" s="6" t="str">
        <f>HYPERLINK("http://www.worldcat.org/oclc/1001563959","WorldCat Record")</f>
        <v>WorldCat Record</v>
      </c>
      <c r="AX4369" s="3" t="s">
        <v>42015</v>
      </c>
      <c r="AY4369" s="3" t="s">
        <v>42016</v>
      </c>
      <c r="AZ4369" s="3" t="s">
        <v>42017</v>
      </c>
      <c r="BA4369" s="3" t="s">
        <v>42017</v>
      </c>
      <c r="BB4369" s="3" t="s">
        <v>42018</v>
      </c>
      <c r="BC4369" s="3" t="s">
        <v>142</v>
      </c>
      <c r="BD4369" s="3" t="s">
        <v>68</v>
      </c>
      <c r="BE4369" s="3" t="s">
        <v>42019</v>
      </c>
      <c r="BF4369" s="3" t="s">
        <v>42018</v>
      </c>
      <c r="BG4369" s="3" t="s">
        <v>42020</v>
      </c>
    </row>
    <row r="4370" spans="1:59" ht="57" x14ac:dyDescent="0.45">
      <c r="A4370" s="2" t="s">
        <v>59</v>
      </c>
      <c r="B4370" s="2" t="s">
        <v>60</v>
      </c>
      <c r="C4370" s="2" t="s">
        <v>42021</v>
      </c>
      <c r="D4370" s="2" t="s">
        <v>42022</v>
      </c>
      <c r="E4370" s="2" t="s">
        <v>42023</v>
      </c>
      <c r="G4370" s="3" t="s">
        <v>62</v>
      </c>
      <c r="I4370" s="3" t="s">
        <v>62</v>
      </c>
      <c r="J4370" s="3" t="s">
        <v>62</v>
      </c>
      <c r="K4370" s="3" t="s">
        <v>63</v>
      </c>
      <c r="L4370" s="2" t="s">
        <v>42024</v>
      </c>
      <c r="M4370" s="2" t="s">
        <v>42025</v>
      </c>
      <c r="N4370" s="3" t="s">
        <v>1253</v>
      </c>
      <c r="P4370" s="3" t="s">
        <v>65</v>
      </c>
      <c r="Q4370" s="2" t="s">
        <v>42026</v>
      </c>
      <c r="R4370" s="3" t="s">
        <v>66</v>
      </c>
      <c r="S4370" s="4">
        <v>9</v>
      </c>
      <c r="T4370" s="4">
        <v>9</v>
      </c>
      <c r="U4370" s="5" t="s">
        <v>6177</v>
      </c>
      <c r="V4370" s="5" t="s">
        <v>6177</v>
      </c>
      <c r="W4370" s="5" t="s">
        <v>67</v>
      </c>
      <c r="X4370" s="5" t="s">
        <v>67</v>
      </c>
      <c r="Y4370" s="4">
        <v>218</v>
      </c>
      <c r="Z4370" s="4">
        <v>10</v>
      </c>
      <c r="AA4370" s="4">
        <v>14</v>
      </c>
      <c r="AB4370" s="4">
        <v>2</v>
      </c>
      <c r="AC4370" s="4">
        <v>2</v>
      </c>
      <c r="AD4370" s="4">
        <v>61</v>
      </c>
      <c r="AE4370" s="4">
        <v>65</v>
      </c>
      <c r="AF4370" s="4">
        <v>1</v>
      </c>
      <c r="AG4370" s="4">
        <v>1</v>
      </c>
      <c r="AH4370" s="4">
        <v>55</v>
      </c>
      <c r="AI4370" s="4">
        <v>57</v>
      </c>
      <c r="AJ4370" s="4">
        <v>8</v>
      </c>
      <c r="AK4370" s="4">
        <v>10</v>
      </c>
      <c r="AL4370" s="4">
        <v>32</v>
      </c>
      <c r="AM4370" s="4">
        <v>34</v>
      </c>
      <c r="AN4370" s="4">
        <v>0</v>
      </c>
      <c r="AO4370" s="4">
        <v>0</v>
      </c>
      <c r="AP4370" s="4">
        <v>9</v>
      </c>
      <c r="AQ4370" s="4">
        <v>12</v>
      </c>
      <c r="AR4370" s="3" t="s">
        <v>62</v>
      </c>
      <c r="AS4370" s="3" t="s">
        <v>62</v>
      </c>
      <c r="AT4370" s="3" t="s">
        <v>62</v>
      </c>
      <c r="AV4370" s="6" t="str">
        <f>HYPERLINK("http://mcgill.on.worldcat.org/oclc/36458240","Catalog Record")</f>
        <v>Catalog Record</v>
      </c>
      <c r="AW4370" s="6" t="str">
        <f>HYPERLINK("http://www.worldcat.org/oclc/36458240","WorldCat Record")</f>
        <v>WorldCat Record</v>
      </c>
      <c r="AX4370" s="3" t="s">
        <v>42027</v>
      </c>
      <c r="AY4370" s="3" t="s">
        <v>42028</v>
      </c>
      <c r="AZ4370" s="3" t="s">
        <v>42029</v>
      </c>
      <c r="BA4370" s="3" t="s">
        <v>42029</v>
      </c>
      <c r="BB4370" s="3" t="s">
        <v>42030</v>
      </c>
      <c r="BC4370" s="3" t="s">
        <v>142</v>
      </c>
      <c r="BD4370" s="3" t="s">
        <v>68</v>
      </c>
      <c r="BE4370" s="3" t="s">
        <v>42031</v>
      </c>
      <c r="BF4370" s="3" t="s">
        <v>42030</v>
      </c>
      <c r="BG4370" s="3" t="s">
        <v>42032</v>
      </c>
    </row>
    <row r="4371" spans="1:59" ht="57" x14ac:dyDescent="0.45">
      <c r="A4371" s="2" t="s">
        <v>59</v>
      </c>
      <c r="B4371" s="2" t="s">
        <v>60</v>
      </c>
      <c r="C4371" s="2" t="s">
        <v>42033</v>
      </c>
      <c r="D4371" s="2" t="s">
        <v>42034</v>
      </c>
      <c r="E4371" s="2" t="s">
        <v>42035</v>
      </c>
      <c r="G4371" s="3" t="s">
        <v>62</v>
      </c>
      <c r="I4371" s="3" t="s">
        <v>61</v>
      </c>
      <c r="J4371" s="3" t="s">
        <v>62</v>
      </c>
      <c r="K4371" s="3" t="s">
        <v>63</v>
      </c>
      <c r="M4371" s="2" t="s">
        <v>42036</v>
      </c>
      <c r="N4371" s="3" t="s">
        <v>135</v>
      </c>
      <c r="P4371" s="3" t="s">
        <v>65</v>
      </c>
      <c r="R4371" s="3" t="s">
        <v>66</v>
      </c>
      <c r="S4371" s="4">
        <v>12</v>
      </c>
      <c r="T4371" s="4">
        <v>19</v>
      </c>
      <c r="U4371" s="5" t="s">
        <v>33227</v>
      </c>
      <c r="V4371" s="5" t="s">
        <v>33227</v>
      </c>
      <c r="W4371" s="5" t="s">
        <v>67</v>
      </c>
      <c r="X4371" s="5" t="s">
        <v>67</v>
      </c>
      <c r="Y4371" s="4">
        <v>1227</v>
      </c>
      <c r="Z4371" s="4">
        <v>59</v>
      </c>
      <c r="AA4371" s="4">
        <v>71</v>
      </c>
      <c r="AB4371" s="4">
        <v>4</v>
      </c>
      <c r="AC4371" s="4">
        <v>12</v>
      </c>
      <c r="AD4371" s="4">
        <v>141</v>
      </c>
      <c r="AE4371" s="4">
        <v>149</v>
      </c>
      <c r="AF4371" s="4">
        <v>2</v>
      </c>
      <c r="AG4371" s="4">
        <v>6</v>
      </c>
      <c r="AH4371" s="4">
        <v>108</v>
      </c>
      <c r="AI4371" s="4">
        <v>110</v>
      </c>
      <c r="AJ4371" s="4">
        <v>21</v>
      </c>
      <c r="AK4371" s="4">
        <v>27</v>
      </c>
      <c r="AL4371" s="4">
        <v>59</v>
      </c>
      <c r="AM4371" s="4">
        <v>60</v>
      </c>
      <c r="AN4371" s="4">
        <v>0</v>
      </c>
      <c r="AO4371" s="4">
        <v>0</v>
      </c>
      <c r="AP4371" s="4">
        <v>41</v>
      </c>
      <c r="AQ4371" s="4">
        <v>47</v>
      </c>
      <c r="AR4371" s="3" t="s">
        <v>62</v>
      </c>
      <c r="AS4371" s="3" t="s">
        <v>62</v>
      </c>
      <c r="AT4371" s="3" t="s">
        <v>61</v>
      </c>
      <c r="AU4371" s="6" t="str">
        <f>HYPERLINK("http://catalog.hathitrust.org/Record/001180953","HathiTrust Record")</f>
        <v>HathiTrust Record</v>
      </c>
      <c r="AV4371" s="6" t="str">
        <f>HYPERLINK("http://mcgill.on.worldcat.org/oclc/710863","Catalog Record")</f>
        <v>Catalog Record</v>
      </c>
      <c r="AW4371" s="6" t="str">
        <f>HYPERLINK("http://www.worldcat.org/oclc/710863","WorldCat Record")</f>
        <v>WorldCat Record</v>
      </c>
      <c r="AX4371" s="3" t="s">
        <v>42037</v>
      </c>
      <c r="AY4371" s="3" t="s">
        <v>42038</v>
      </c>
      <c r="AZ4371" s="3" t="s">
        <v>42039</v>
      </c>
      <c r="BA4371" s="3" t="s">
        <v>42039</v>
      </c>
      <c r="BB4371" s="3" t="s">
        <v>42040</v>
      </c>
      <c r="BC4371" s="3" t="s">
        <v>142</v>
      </c>
      <c r="BD4371" s="3" t="s">
        <v>68</v>
      </c>
      <c r="BF4371" s="3" t="s">
        <v>42040</v>
      </c>
      <c r="BG4371" s="3" t="s">
        <v>42041</v>
      </c>
    </row>
    <row r="4372" spans="1:59" ht="57" x14ac:dyDescent="0.45">
      <c r="A4372" s="2" t="s">
        <v>59</v>
      </c>
      <c r="B4372" s="2" t="s">
        <v>60</v>
      </c>
      <c r="C4372" s="2" t="s">
        <v>42033</v>
      </c>
      <c r="D4372" s="2" t="s">
        <v>42034</v>
      </c>
      <c r="E4372" s="2" t="s">
        <v>42035</v>
      </c>
      <c r="G4372" s="3" t="s">
        <v>62</v>
      </c>
      <c r="I4372" s="3" t="s">
        <v>61</v>
      </c>
      <c r="J4372" s="3" t="s">
        <v>62</v>
      </c>
      <c r="K4372" s="3" t="s">
        <v>63</v>
      </c>
      <c r="M4372" s="2" t="s">
        <v>42036</v>
      </c>
      <c r="N4372" s="3" t="s">
        <v>135</v>
      </c>
      <c r="P4372" s="3" t="s">
        <v>65</v>
      </c>
      <c r="R4372" s="3" t="s">
        <v>66</v>
      </c>
      <c r="S4372" s="4">
        <v>7</v>
      </c>
      <c r="T4372" s="4">
        <v>19</v>
      </c>
      <c r="U4372" s="5" t="s">
        <v>42042</v>
      </c>
      <c r="V4372" s="5" t="s">
        <v>33227</v>
      </c>
      <c r="W4372" s="5" t="s">
        <v>67</v>
      </c>
      <c r="X4372" s="5" t="s">
        <v>67</v>
      </c>
      <c r="Y4372" s="4">
        <v>1227</v>
      </c>
      <c r="Z4372" s="4">
        <v>59</v>
      </c>
      <c r="AA4372" s="4">
        <v>71</v>
      </c>
      <c r="AB4372" s="4">
        <v>4</v>
      </c>
      <c r="AC4372" s="4">
        <v>12</v>
      </c>
      <c r="AD4372" s="4">
        <v>141</v>
      </c>
      <c r="AE4372" s="4">
        <v>149</v>
      </c>
      <c r="AF4372" s="4">
        <v>2</v>
      </c>
      <c r="AG4372" s="4">
        <v>6</v>
      </c>
      <c r="AH4372" s="4">
        <v>108</v>
      </c>
      <c r="AI4372" s="4">
        <v>110</v>
      </c>
      <c r="AJ4372" s="4">
        <v>21</v>
      </c>
      <c r="AK4372" s="4">
        <v>27</v>
      </c>
      <c r="AL4372" s="4">
        <v>59</v>
      </c>
      <c r="AM4372" s="4">
        <v>60</v>
      </c>
      <c r="AN4372" s="4">
        <v>0</v>
      </c>
      <c r="AO4372" s="4">
        <v>0</v>
      </c>
      <c r="AP4372" s="4">
        <v>41</v>
      </c>
      <c r="AQ4372" s="4">
        <v>47</v>
      </c>
      <c r="AR4372" s="3" t="s">
        <v>62</v>
      </c>
      <c r="AS4372" s="3" t="s">
        <v>62</v>
      </c>
      <c r="AT4372" s="3" t="s">
        <v>61</v>
      </c>
      <c r="AU4372" s="6" t="str">
        <f>HYPERLINK("http://catalog.hathitrust.org/Record/001180953","HathiTrust Record")</f>
        <v>HathiTrust Record</v>
      </c>
      <c r="AV4372" s="6" t="str">
        <f>HYPERLINK("http://mcgill.on.worldcat.org/oclc/710863","Catalog Record")</f>
        <v>Catalog Record</v>
      </c>
      <c r="AW4372" s="6" t="str">
        <f>HYPERLINK("http://www.worldcat.org/oclc/710863","WorldCat Record")</f>
        <v>WorldCat Record</v>
      </c>
      <c r="AX4372" s="3" t="s">
        <v>42037</v>
      </c>
      <c r="AY4372" s="3" t="s">
        <v>42038</v>
      </c>
      <c r="AZ4372" s="3" t="s">
        <v>42039</v>
      </c>
      <c r="BA4372" s="3" t="s">
        <v>42039</v>
      </c>
      <c r="BB4372" s="3" t="s">
        <v>42043</v>
      </c>
      <c r="BC4372" s="3" t="s">
        <v>142</v>
      </c>
      <c r="BD4372" s="3" t="s">
        <v>68</v>
      </c>
      <c r="BF4372" s="3" t="s">
        <v>42043</v>
      </c>
      <c r="BG4372" s="3" t="s">
        <v>42044</v>
      </c>
    </row>
    <row r="4373" spans="1:59" ht="57" x14ac:dyDescent="0.45">
      <c r="A4373" s="2" t="s">
        <v>59</v>
      </c>
      <c r="B4373" s="2" t="s">
        <v>412</v>
      </c>
      <c r="C4373" s="2" t="s">
        <v>42033</v>
      </c>
      <c r="D4373" s="2" t="s">
        <v>42034</v>
      </c>
      <c r="E4373" s="2" t="s">
        <v>42035</v>
      </c>
      <c r="G4373" s="3" t="s">
        <v>62</v>
      </c>
      <c r="I4373" s="3" t="s">
        <v>61</v>
      </c>
      <c r="J4373" s="3" t="s">
        <v>62</v>
      </c>
      <c r="K4373" s="3" t="s">
        <v>63</v>
      </c>
      <c r="M4373" s="2" t="s">
        <v>42036</v>
      </c>
      <c r="N4373" s="3" t="s">
        <v>135</v>
      </c>
      <c r="P4373" s="3" t="s">
        <v>65</v>
      </c>
      <c r="R4373" s="3" t="s">
        <v>66</v>
      </c>
      <c r="S4373" s="4">
        <v>0</v>
      </c>
      <c r="T4373" s="4">
        <v>19</v>
      </c>
      <c r="V4373" s="5" t="s">
        <v>33227</v>
      </c>
      <c r="W4373" s="5" t="s">
        <v>67</v>
      </c>
      <c r="X4373" s="5" t="s">
        <v>67</v>
      </c>
      <c r="Y4373" s="4">
        <v>1227</v>
      </c>
      <c r="Z4373" s="4">
        <v>59</v>
      </c>
      <c r="AA4373" s="4">
        <v>71</v>
      </c>
      <c r="AB4373" s="4">
        <v>4</v>
      </c>
      <c r="AC4373" s="4">
        <v>12</v>
      </c>
      <c r="AD4373" s="4">
        <v>141</v>
      </c>
      <c r="AE4373" s="4">
        <v>149</v>
      </c>
      <c r="AF4373" s="4">
        <v>2</v>
      </c>
      <c r="AG4373" s="4">
        <v>6</v>
      </c>
      <c r="AH4373" s="4">
        <v>108</v>
      </c>
      <c r="AI4373" s="4">
        <v>110</v>
      </c>
      <c r="AJ4373" s="4">
        <v>21</v>
      </c>
      <c r="AK4373" s="4">
        <v>27</v>
      </c>
      <c r="AL4373" s="4">
        <v>59</v>
      </c>
      <c r="AM4373" s="4">
        <v>60</v>
      </c>
      <c r="AN4373" s="4">
        <v>0</v>
      </c>
      <c r="AO4373" s="4">
        <v>0</v>
      </c>
      <c r="AP4373" s="4">
        <v>41</v>
      </c>
      <c r="AQ4373" s="4">
        <v>47</v>
      </c>
      <c r="AR4373" s="3" t="s">
        <v>62</v>
      </c>
      <c r="AS4373" s="3" t="s">
        <v>62</v>
      </c>
      <c r="AT4373" s="3" t="s">
        <v>61</v>
      </c>
      <c r="AU4373" s="6" t="str">
        <f>HYPERLINK("http://catalog.hathitrust.org/Record/001180953","HathiTrust Record")</f>
        <v>HathiTrust Record</v>
      </c>
      <c r="AV4373" s="6" t="str">
        <f>HYPERLINK("http://mcgill.on.worldcat.org/oclc/710863","Catalog Record")</f>
        <v>Catalog Record</v>
      </c>
      <c r="AW4373" s="6" t="str">
        <f>HYPERLINK("http://www.worldcat.org/oclc/710863","WorldCat Record")</f>
        <v>WorldCat Record</v>
      </c>
      <c r="AX4373" s="3" t="s">
        <v>42037</v>
      </c>
      <c r="AY4373" s="3" t="s">
        <v>42038</v>
      </c>
      <c r="AZ4373" s="3" t="s">
        <v>42039</v>
      </c>
      <c r="BA4373" s="3" t="s">
        <v>42039</v>
      </c>
      <c r="BB4373" s="3" t="s">
        <v>42045</v>
      </c>
      <c r="BC4373" s="3" t="s">
        <v>142</v>
      </c>
      <c r="BD4373" s="3" t="s">
        <v>68</v>
      </c>
      <c r="BF4373" s="3" t="s">
        <v>42045</v>
      </c>
      <c r="BG4373" s="3" t="s">
        <v>42046</v>
      </c>
    </row>
    <row r="4374" spans="1:59" ht="57" x14ac:dyDescent="0.45">
      <c r="A4374" s="2" t="s">
        <v>59</v>
      </c>
      <c r="B4374" s="2" t="s">
        <v>60</v>
      </c>
      <c r="C4374" s="2" t="s">
        <v>42047</v>
      </c>
      <c r="D4374" s="2" t="s">
        <v>42048</v>
      </c>
      <c r="E4374" s="2" t="s">
        <v>42049</v>
      </c>
      <c r="G4374" s="3" t="s">
        <v>62</v>
      </c>
      <c r="I4374" s="3" t="s">
        <v>62</v>
      </c>
      <c r="J4374" s="3" t="s">
        <v>62</v>
      </c>
      <c r="K4374" s="3" t="s">
        <v>63</v>
      </c>
      <c r="L4374" s="2" t="s">
        <v>42050</v>
      </c>
      <c r="M4374" s="2" t="s">
        <v>42051</v>
      </c>
      <c r="N4374" s="3" t="s">
        <v>945</v>
      </c>
      <c r="P4374" s="3" t="s">
        <v>110</v>
      </c>
      <c r="Q4374" s="2" t="s">
        <v>42052</v>
      </c>
      <c r="R4374" s="3" t="s">
        <v>66</v>
      </c>
      <c r="S4374" s="4">
        <v>13</v>
      </c>
      <c r="T4374" s="4">
        <v>13</v>
      </c>
      <c r="U4374" s="5" t="s">
        <v>14532</v>
      </c>
      <c r="V4374" s="5" t="s">
        <v>14532</v>
      </c>
      <c r="W4374" s="5" t="s">
        <v>67</v>
      </c>
      <c r="X4374" s="5" t="s">
        <v>67</v>
      </c>
      <c r="Y4374" s="4">
        <v>14</v>
      </c>
      <c r="Z4374" s="4">
        <v>1</v>
      </c>
      <c r="AA4374" s="4">
        <v>16</v>
      </c>
      <c r="AB4374" s="4">
        <v>1</v>
      </c>
      <c r="AC4374" s="4">
        <v>9</v>
      </c>
      <c r="AD4374" s="4">
        <v>0</v>
      </c>
      <c r="AE4374" s="4">
        <v>11</v>
      </c>
      <c r="AF4374" s="4">
        <v>0</v>
      </c>
      <c r="AG4374" s="4">
        <v>4</v>
      </c>
      <c r="AH4374" s="4">
        <v>0</v>
      </c>
      <c r="AI4374" s="4">
        <v>6</v>
      </c>
      <c r="AJ4374" s="4">
        <v>0</v>
      </c>
      <c r="AK4374" s="4">
        <v>8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9</v>
      </c>
      <c r="AR4374" s="3" t="s">
        <v>62</v>
      </c>
      <c r="AS4374" s="3" t="s">
        <v>62</v>
      </c>
      <c r="AT4374" s="3" t="s">
        <v>62</v>
      </c>
      <c r="AV4374" s="6" t="str">
        <f>HYPERLINK("http://mcgill.on.worldcat.org/oclc/159955918","Catalog Record")</f>
        <v>Catalog Record</v>
      </c>
      <c r="AW4374" s="6" t="str">
        <f>HYPERLINK("http://www.worldcat.org/oclc/159955918","WorldCat Record")</f>
        <v>WorldCat Record</v>
      </c>
      <c r="AX4374" s="3" t="s">
        <v>42053</v>
      </c>
      <c r="AY4374" s="3" t="s">
        <v>42054</v>
      </c>
      <c r="AZ4374" s="3" t="s">
        <v>42055</v>
      </c>
      <c r="BA4374" s="3" t="s">
        <v>42055</v>
      </c>
      <c r="BB4374" s="3" t="s">
        <v>42056</v>
      </c>
      <c r="BC4374" s="3" t="s">
        <v>142</v>
      </c>
      <c r="BD4374" s="3" t="s">
        <v>68</v>
      </c>
      <c r="BE4374" s="3" t="s">
        <v>42057</v>
      </c>
      <c r="BF4374" s="3" t="s">
        <v>42056</v>
      </c>
      <c r="BG4374" s="3" t="s">
        <v>42058</v>
      </c>
    </row>
    <row r="4375" spans="1:59" ht="57" x14ac:dyDescent="0.45">
      <c r="A4375" s="2" t="s">
        <v>59</v>
      </c>
      <c r="B4375" s="2" t="s">
        <v>60</v>
      </c>
      <c r="C4375" s="2" t="s">
        <v>42059</v>
      </c>
      <c r="D4375" s="2" t="s">
        <v>42060</v>
      </c>
      <c r="E4375" s="2" t="s">
        <v>42061</v>
      </c>
      <c r="F4375" s="3" t="s">
        <v>42062</v>
      </c>
      <c r="G4375" s="3" t="s">
        <v>61</v>
      </c>
      <c r="I4375" s="3" t="s">
        <v>61</v>
      </c>
      <c r="J4375" s="3" t="s">
        <v>62</v>
      </c>
      <c r="K4375" s="3" t="s">
        <v>63</v>
      </c>
      <c r="L4375" s="2" t="s">
        <v>42063</v>
      </c>
      <c r="M4375" s="2" t="s">
        <v>42064</v>
      </c>
      <c r="N4375" s="3" t="s">
        <v>3160</v>
      </c>
      <c r="P4375" s="3" t="s">
        <v>110</v>
      </c>
      <c r="R4375" s="3" t="s">
        <v>66</v>
      </c>
      <c r="S4375" s="4">
        <v>5</v>
      </c>
      <c r="T4375" s="4">
        <v>43</v>
      </c>
      <c r="U4375" s="5" t="s">
        <v>42065</v>
      </c>
      <c r="V4375" s="5" t="s">
        <v>421</v>
      </c>
      <c r="W4375" s="5" t="s">
        <v>67</v>
      </c>
      <c r="X4375" s="5" t="s">
        <v>67</v>
      </c>
      <c r="Y4375" s="4">
        <v>86</v>
      </c>
      <c r="Z4375" s="4">
        <v>16</v>
      </c>
      <c r="AA4375" s="4">
        <v>40</v>
      </c>
      <c r="AB4375" s="4">
        <v>2</v>
      </c>
      <c r="AC4375" s="4">
        <v>12</v>
      </c>
      <c r="AD4375" s="4">
        <v>53</v>
      </c>
      <c r="AE4375" s="4">
        <v>65</v>
      </c>
      <c r="AF4375" s="4">
        <v>1</v>
      </c>
      <c r="AG4375" s="4">
        <v>5</v>
      </c>
      <c r="AH4375" s="4">
        <v>43</v>
      </c>
      <c r="AI4375" s="4">
        <v>46</v>
      </c>
      <c r="AJ4375" s="4">
        <v>8</v>
      </c>
      <c r="AK4375" s="4">
        <v>17</v>
      </c>
      <c r="AL4375" s="4">
        <v>24</v>
      </c>
      <c r="AM4375" s="4">
        <v>26</v>
      </c>
      <c r="AN4375" s="4">
        <v>0</v>
      </c>
      <c r="AO4375" s="4">
        <v>0</v>
      </c>
      <c r="AP4375" s="4">
        <v>14</v>
      </c>
      <c r="AQ4375" s="4">
        <v>24</v>
      </c>
      <c r="AR4375" s="3" t="s">
        <v>61</v>
      </c>
      <c r="AS4375" s="3" t="s">
        <v>62</v>
      </c>
      <c r="AT4375" s="3" t="s">
        <v>61</v>
      </c>
      <c r="AU4375" s="6" t="str">
        <f>HYPERLINK("http://catalog.hathitrust.org/Record/000340938","HathiTrust Record")</f>
        <v>HathiTrust Record</v>
      </c>
      <c r="AV4375" s="6" t="str">
        <f>HYPERLINK("http://mcgill.on.worldcat.org/oclc/9577077","Catalog Record")</f>
        <v>Catalog Record</v>
      </c>
      <c r="AW4375" s="6" t="str">
        <f>HYPERLINK("http://www.worldcat.org/oclc/9577077","WorldCat Record")</f>
        <v>WorldCat Record</v>
      </c>
      <c r="AX4375" s="3" t="s">
        <v>42066</v>
      </c>
      <c r="AY4375" s="3" t="s">
        <v>42067</v>
      </c>
      <c r="AZ4375" s="3" t="s">
        <v>42068</v>
      </c>
      <c r="BA4375" s="3" t="s">
        <v>42068</v>
      </c>
      <c r="BB4375" s="3" t="s">
        <v>42069</v>
      </c>
      <c r="BC4375" s="3" t="s">
        <v>142</v>
      </c>
      <c r="BD4375" s="3" t="s">
        <v>68</v>
      </c>
      <c r="BE4375" s="3" t="s">
        <v>42070</v>
      </c>
      <c r="BF4375" s="3" t="s">
        <v>42069</v>
      </c>
      <c r="BG4375" s="3" t="s">
        <v>42071</v>
      </c>
    </row>
    <row r="4376" spans="1:59" ht="57" x14ac:dyDescent="0.45">
      <c r="A4376" s="2" t="s">
        <v>59</v>
      </c>
      <c r="B4376" s="2" t="s">
        <v>60</v>
      </c>
      <c r="C4376" s="2" t="s">
        <v>42059</v>
      </c>
      <c r="D4376" s="2" t="s">
        <v>42060</v>
      </c>
      <c r="E4376" s="2" t="s">
        <v>42061</v>
      </c>
      <c r="F4376" s="3" t="s">
        <v>488</v>
      </c>
      <c r="G4376" s="3" t="s">
        <v>61</v>
      </c>
      <c r="I4376" s="3" t="s">
        <v>61</v>
      </c>
      <c r="J4376" s="3" t="s">
        <v>62</v>
      </c>
      <c r="K4376" s="3" t="s">
        <v>63</v>
      </c>
      <c r="L4376" s="2" t="s">
        <v>42063</v>
      </c>
      <c r="M4376" s="2" t="s">
        <v>42064</v>
      </c>
      <c r="N4376" s="3" t="s">
        <v>3160</v>
      </c>
      <c r="P4376" s="3" t="s">
        <v>110</v>
      </c>
      <c r="R4376" s="3" t="s">
        <v>66</v>
      </c>
      <c r="S4376" s="4">
        <v>7</v>
      </c>
      <c r="T4376" s="4">
        <v>43</v>
      </c>
      <c r="U4376" s="5" t="s">
        <v>42072</v>
      </c>
      <c r="V4376" s="5" t="s">
        <v>421</v>
      </c>
      <c r="W4376" s="5" t="s">
        <v>67</v>
      </c>
      <c r="X4376" s="5" t="s">
        <v>67</v>
      </c>
      <c r="Y4376" s="4">
        <v>86</v>
      </c>
      <c r="Z4376" s="4">
        <v>16</v>
      </c>
      <c r="AA4376" s="4">
        <v>40</v>
      </c>
      <c r="AB4376" s="4">
        <v>2</v>
      </c>
      <c r="AC4376" s="4">
        <v>12</v>
      </c>
      <c r="AD4376" s="4">
        <v>53</v>
      </c>
      <c r="AE4376" s="4">
        <v>65</v>
      </c>
      <c r="AF4376" s="4">
        <v>1</v>
      </c>
      <c r="AG4376" s="4">
        <v>5</v>
      </c>
      <c r="AH4376" s="4">
        <v>43</v>
      </c>
      <c r="AI4376" s="4">
        <v>46</v>
      </c>
      <c r="AJ4376" s="4">
        <v>8</v>
      </c>
      <c r="AK4376" s="4">
        <v>17</v>
      </c>
      <c r="AL4376" s="4">
        <v>24</v>
      </c>
      <c r="AM4376" s="4">
        <v>26</v>
      </c>
      <c r="AN4376" s="4">
        <v>0</v>
      </c>
      <c r="AO4376" s="4">
        <v>0</v>
      </c>
      <c r="AP4376" s="4">
        <v>14</v>
      </c>
      <c r="AQ4376" s="4">
        <v>24</v>
      </c>
      <c r="AR4376" s="3" t="s">
        <v>61</v>
      </c>
      <c r="AS4376" s="3" t="s">
        <v>62</v>
      </c>
      <c r="AT4376" s="3" t="s">
        <v>61</v>
      </c>
      <c r="AU4376" s="6" t="str">
        <f>HYPERLINK("http://catalog.hathitrust.org/Record/000340938","HathiTrust Record")</f>
        <v>HathiTrust Record</v>
      </c>
      <c r="AV4376" s="6" t="str">
        <f>HYPERLINK("http://mcgill.on.worldcat.org/oclc/9577077","Catalog Record")</f>
        <v>Catalog Record</v>
      </c>
      <c r="AW4376" s="6" t="str">
        <f>HYPERLINK("http://www.worldcat.org/oclc/9577077","WorldCat Record")</f>
        <v>WorldCat Record</v>
      </c>
      <c r="AX4376" s="3" t="s">
        <v>42066</v>
      </c>
      <c r="AY4376" s="3" t="s">
        <v>42067</v>
      </c>
      <c r="AZ4376" s="3" t="s">
        <v>42068</v>
      </c>
      <c r="BA4376" s="3" t="s">
        <v>42068</v>
      </c>
      <c r="BB4376" s="3" t="s">
        <v>42073</v>
      </c>
      <c r="BC4376" s="3" t="s">
        <v>142</v>
      </c>
      <c r="BD4376" s="3" t="s">
        <v>68</v>
      </c>
      <c r="BE4376" s="3" t="s">
        <v>42070</v>
      </c>
      <c r="BF4376" s="3" t="s">
        <v>42073</v>
      </c>
      <c r="BG4376" s="3" t="s">
        <v>42074</v>
      </c>
    </row>
    <row r="4377" spans="1:59" ht="57" x14ac:dyDescent="0.45">
      <c r="A4377" s="2" t="s">
        <v>59</v>
      </c>
      <c r="B4377" s="2" t="s">
        <v>60</v>
      </c>
      <c r="C4377" s="2" t="s">
        <v>42059</v>
      </c>
      <c r="D4377" s="2" t="s">
        <v>42060</v>
      </c>
      <c r="E4377" s="2" t="s">
        <v>42061</v>
      </c>
      <c r="F4377" s="3" t="s">
        <v>478</v>
      </c>
      <c r="G4377" s="3" t="s">
        <v>61</v>
      </c>
      <c r="I4377" s="3" t="s">
        <v>61</v>
      </c>
      <c r="J4377" s="3" t="s">
        <v>62</v>
      </c>
      <c r="K4377" s="3" t="s">
        <v>63</v>
      </c>
      <c r="L4377" s="2" t="s">
        <v>42063</v>
      </c>
      <c r="M4377" s="2" t="s">
        <v>42064</v>
      </c>
      <c r="N4377" s="3" t="s">
        <v>3160</v>
      </c>
      <c r="P4377" s="3" t="s">
        <v>110</v>
      </c>
      <c r="R4377" s="3" t="s">
        <v>66</v>
      </c>
      <c r="S4377" s="4">
        <v>12</v>
      </c>
      <c r="T4377" s="4">
        <v>43</v>
      </c>
      <c r="U4377" s="5" t="s">
        <v>421</v>
      </c>
      <c r="V4377" s="5" t="s">
        <v>421</v>
      </c>
      <c r="W4377" s="5" t="s">
        <v>67</v>
      </c>
      <c r="X4377" s="5" t="s">
        <v>67</v>
      </c>
      <c r="Y4377" s="4">
        <v>86</v>
      </c>
      <c r="Z4377" s="4">
        <v>16</v>
      </c>
      <c r="AA4377" s="4">
        <v>40</v>
      </c>
      <c r="AB4377" s="4">
        <v>2</v>
      </c>
      <c r="AC4377" s="4">
        <v>12</v>
      </c>
      <c r="AD4377" s="4">
        <v>53</v>
      </c>
      <c r="AE4377" s="4">
        <v>65</v>
      </c>
      <c r="AF4377" s="4">
        <v>1</v>
      </c>
      <c r="AG4377" s="4">
        <v>5</v>
      </c>
      <c r="AH4377" s="4">
        <v>43</v>
      </c>
      <c r="AI4377" s="4">
        <v>46</v>
      </c>
      <c r="AJ4377" s="4">
        <v>8</v>
      </c>
      <c r="AK4377" s="4">
        <v>17</v>
      </c>
      <c r="AL4377" s="4">
        <v>24</v>
      </c>
      <c r="AM4377" s="4">
        <v>26</v>
      </c>
      <c r="AN4377" s="4">
        <v>0</v>
      </c>
      <c r="AO4377" s="4">
        <v>0</v>
      </c>
      <c r="AP4377" s="4">
        <v>14</v>
      </c>
      <c r="AQ4377" s="4">
        <v>24</v>
      </c>
      <c r="AR4377" s="3" t="s">
        <v>61</v>
      </c>
      <c r="AS4377" s="3" t="s">
        <v>62</v>
      </c>
      <c r="AT4377" s="3" t="s">
        <v>61</v>
      </c>
      <c r="AU4377" s="6" t="str">
        <f>HYPERLINK("http://catalog.hathitrust.org/Record/000340938","HathiTrust Record")</f>
        <v>HathiTrust Record</v>
      </c>
      <c r="AV4377" s="6" t="str">
        <f>HYPERLINK("http://mcgill.on.worldcat.org/oclc/9577077","Catalog Record")</f>
        <v>Catalog Record</v>
      </c>
      <c r="AW4377" s="6" t="str">
        <f>HYPERLINK("http://www.worldcat.org/oclc/9577077","WorldCat Record")</f>
        <v>WorldCat Record</v>
      </c>
      <c r="AX4377" s="3" t="s">
        <v>42066</v>
      </c>
      <c r="AY4377" s="3" t="s">
        <v>42067</v>
      </c>
      <c r="AZ4377" s="3" t="s">
        <v>42068</v>
      </c>
      <c r="BA4377" s="3" t="s">
        <v>42068</v>
      </c>
      <c r="BB4377" s="3" t="s">
        <v>42075</v>
      </c>
      <c r="BC4377" s="3" t="s">
        <v>142</v>
      </c>
      <c r="BD4377" s="3" t="s">
        <v>68</v>
      </c>
      <c r="BE4377" s="3" t="s">
        <v>42070</v>
      </c>
      <c r="BF4377" s="3" t="s">
        <v>42075</v>
      </c>
      <c r="BG4377" s="3" t="s">
        <v>42076</v>
      </c>
    </row>
    <row r="4378" spans="1:59" ht="57" x14ac:dyDescent="0.45">
      <c r="A4378" s="2" t="s">
        <v>59</v>
      </c>
      <c r="B4378" s="2" t="s">
        <v>60</v>
      </c>
      <c r="C4378" s="2" t="s">
        <v>42059</v>
      </c>
      <c r="D4378" s="2" t="s">
        <v>42060</v>
      </c>
      <c r="E4378" s="2" t="s">
        <v>42061</v>
      </c>
      <c r="F4378" s="3" t="s">
        <v>595</v>
      </c>
      <c r="G4378" s="3" t="s">
        <v>61</v>
      </c>
      <c r="I4378" s="3" t="s">
        <v>61</v>
      </c>
      <c r="J4378" s="3" t="s">
        <v>62</v>
      </c>
      <c r="K4378" s="3" t="s">
        <v>63</v>
      </c>
      <c r="L4378" s="2" t="s">
        <v>42063</v>
      </c>
      <c r="M4378" s="2" t="s">
        <v>42064</v>
      </c>
      <c r="N4378" s="3" t="s">
        <v>3160</v>
      </c>
      <c r="P4378" s="3" t="s">
        <v>110</v>
      </c>
      <c r="R4378" s="3" t="s">
        <v>66</v>
      </c>
      <c r="S4378" s="4">
        <v>8</v>
      </c>
      <c r="T4378" s="4">
        <v>43</v>
      </c>
      <c r="U4378" s="5" t="s">
        <v>42077</v>
      </c>
      <c r="V4378" s="5" t="s">
        <v>421</v>
      </c>
      <c r="W4378" s="5" t="s">
        <v>67</v>
      </c>
      <c r="X4378" s="5" t="s">
        <v>67</v>
      </c>
      <c r="Y4378" s="4">
        <v>86</v>
      </c>
      <c r="Z4378" s="4">
        <v>16</v>
      </c>
      <c r="AA4378" s="4">
        <v>40</v>
      </c>
      <c r="AB4378" s="4">
        <v>2</v>
      </c>
      <c r="AC4378" s="4">
        <v>12</v>
      </c>
      <c r="AD4378" s="4">
        <v>53</v>
      </c>
      <c r="AE4378" s="4">
        <v>65</v>
      </c>
      <c r="AF4378" s="4">
        <v>1</v>
      </c>
      <c r="AG4378" s="4">
        <v>5</v>
      </c>
      <c r="AH4378" s="4">
        <v>43</v>
      </c>
      <c r="AI4378" s="4">
        <v>46</v>
      </c>
      <c r="AJ4378" s="4">
        <v>8</v>
      </c>
      <c r="AK4378" s="4">
        <v>17</v>
      </c>
      <c r="AL4378" s="4">
        <v>24</v>
      </c>
      <c r="AM4378" s="4">
        <v>26</v>
      </c>
      <c r="AN4378" s="4">
        <v>0</v>
      </c>
      <c r="AO4378" s="4">
        <v>0</v>
      </c>
      <c r="AP4378" s="4">
        <v>14</v>
      </c>
      <c r="AQ4378" s="4">
        <v>24</v>
      </c>
      <c r="AR4378" s="3" t="s">
        <v>61</v>
      </c>
      <c r="AS4378" s="3" t="s">
        <v>62</v>
      </c>
      <c r="AT4378" s="3" t="s">
        <v>61</v>
      </c>
      <c r="AU4378" s="6" t="str">
        <f>HYPERLINK("http://catalog.hathitrust.org/Record/000340938","HathiTrust Record")</f>
        <v>HathiTrust Record</v>
      </c>
      <c r="AV4378" s="6" t="str">
        <f>HYPERLINK("http://mcgill.on.worldcat.org/oclc/9577077","Catalog Record")</f>
        <v>Catalog Record</v>
      </c>
      <c r="AW4378" s="6" t="str">
        <f>HYPERLINK("http://www.worldcat.org/oclc/9577077","WorldCat Record")</f>
        <v>WorldCat Record</v>
      </c>
      <c r="AX4378" s="3" t="s">
        <v>42066</v>
      </c>
      <c r="AY4378" s="3" t="s">
        <v>42067</v>
      </c>
      <c r="AZ4378" s="3" t="s">
        <v>42068</v>
      </c>
      <c r="BA4378" s="3" t="s">
        <v>42068</v>
      </c>
      <c r="BB4378" s="3" t="s">
        <v>42078</v>
      </c>
      <c r="BC4378" s="3" t="s">
        <v>142</v>
      </c>
      <c r="BD4378" s="3" t="s">
        <v>68</v>
      </c>
      <c r="BE4378" s="3" t="s">
        <v>42070</v>
      </c>
      <c r="BF4378" s="3" t="s">
        <v>42078</v>
      </c>
      <c r="BG4378" s="3" t="s">
        <v>42079</v>
      </c>
    </row>
    <row r="4379" spans="1:59" ht="57" x14ac:dyDescent="0.45">
      <c r="A4379" s="2" t="s">
        <v>59</v>
      </c>
      <c r="B4379" s="2" t="s">
        <v>60</v>
      </c>
      <c r="C4379" s="2" t="s">
        <v>42059</v>
      </c>
      <c r="D4379" s="2" t="s">
        <v>42060</v>
      </c>
      <c r="E4379" s="2" t="s">
        <v>42061</v>
      </c>
      <c r="F4379" s="3" t="s">
        <v>488</v>
      </c>
      <c r="G4379" s="3" t="s">
        <v>61</v>
      </c>
      <c r="I4379" s="3" t="s">
        <v>61</v>
      </c>
      <c r="J4379" s="3" t="s">
        <v>62</v>
      </c>
      <c r="K4379" s="3" t="s">
        <v>63</v>
      </c>
      <c r="L4379" s="2" t="s">
        <v>42063</v>
      </c>
      <c r="M4379" s="2" t="s">
        <v>42064</v>
      </c>
      <c r="N4379" s="3" t="s">
        <v>3160</v>
      </c>
      <c r="P4379" s="3" t="s">
        <v>110</v>
      </c>
      <c r="R4379" s="3" t="s">
        <v>66</v>
      </c>
      <c r="S4379" s="4">
        <v>11</v>
      </c>
      <c r="T4379" s="4">
        <v>43</v>
      </c>
      <c r="U4379" s="5" t="s">
        <v>42080</v>
      </c>
      <c r="V4379" s="5" t="s">
        <v>421</v>
      </c>
      <c r="W4379" s="5" t="s">
        <v>67</v>
      </c>
      <c r="X4379" s="5" t="s">
        <v>67</v>
      </c>
      <c r="Y4379" s="4">
        <v>86</v>
      </c>
      <c r="Z4379" s="4">
        <v>16</v>
      </c>
      <c r="AA4379" s="4">
        <v>40</v>
      </c>
      <c r="AB4379" s="4">
        <v>2</v>
      </c>
      <c r="AC4379" s="4">
        <v>12</v>
      </c>
      <c r="AD4379" s="4">
        <v>53</v>
      </c>
      <c r="AE4379" s="4">
        <v>65</v>
      </c>
      <c r="AF4379" s="4">
        <v>1</v>
      </c>
      <c r="AG4379" s="4">
        <v>5</v>
      </c>
      <c r="AH4379" s="4">
        <v>43</v>
      </c>
      <c r="AI4379" s="4">
        <v>46</v>
      </c>
      <c r="AJ4379" s="4">
        <v>8</v>
      </c>
      <c r="AK4379" s="4">
        <v>17</v>
      </c>
      <c r="AL4379" s="4">
        <v>24</v>
      </c>
      <c r="AM4379" s="4">
        <v>26</v>
      </c>
      <c r="AN4379" s="4">
        <v>0</v>
      </c>
      <c r="AO4379" s="4">
        <v>0</v>
      </c>
      <c r="AP4379" s="4">
        <v>14</v>
      </c>
      <c r="AQ4379" s="4">
        <v>24</v>
      </c>
      <c r="AR4379" s="3" t="s">
        <v>61</v>
      </c>
      <c r="AS4379" s="3" t="s">
        <v>62</v>
      </c>
      <c r="AT4379" s="3" t="s">
        <v>61</v>
      </c>
      <c r="AU4379" s="6" t="str">
        <f>HYPERLINK("http://catalog.hathitrust.org/Record/000340938","HathiTrust Record")</f>
        <v>HathiTrust Record</v>
      </c>
      <c r="AV4379" s="6" t="str">
        <f>HYPERLINK("http://mcgill.on.worldcat.org/oclc/9577077","Catalog Record")</f>
        <v>Catalog Record</v>
      </c>
      <c r="AW4379" s="6" t="str">
        <f>HYPERLINK("http://www.worldcat.org/oclc/9577077","WorldCat Record")</f>
        <v>WorldCat Record</v>
      </c>
      <c r="AX4379" s="3" t="s">
        <v>42066</v>
      </c>
      <c r="AY4379" s="3" t="s">
        <v>42067</v>
      </c>
      <c r="AZ4379" s="3" t="s">
        <v>42068</v>
      </c>
      <c r="BA4379" s="3" t="s">
        <v>42068</v>
      </c>
      <c r="BB4379" s="3" t="s">
        <v>42081</v>
      </c>
      <c r="BC4379" s="3" t="s">
        <v>142</v>
      </c>
      <c r="BD4379" s="3" t="s">
        <v>68</v>
      </c>
      <c r="BE4379" s="3" t="s">
        <v>42070</v>
      </c>
      <c r="BF4379" s="3" t="s">
        <v>42081</v>
      </c>
      <c r="BG4379" s="3" t="s">
        <v>42082</v>
      </c>
    </row>
    <row r="4380" spans="1:59" ht="57" x14ac:dyDescent="0.45">
      <c r="A4380" s="2" t="s">
        <v>59</v>
      </c>
      <c r="B4380" s="2" t="s">
        <v>60</v>
      </c>
      <c r="C4380" s="2" t="s">
        <v>42083</v>
      </c>
      <c r="D4380" s="2" t="s">
        <v>42084</v>
      </c>
      <c r="E4380" s="2" t="s">
        <v>42085</v>
      </c>
      <c r="G4380" s="3" t="s">
        <v>62</v>
      </c>
      <c r="I4380" s="3" t="s">
        <v>62</v>
      </c>
      <c r="J4380" s="3" t="s">
        <v>62</v>
      </c>
      <c r="K4380" s="3" t="s">
        <v>63</v>
      </c>
      <c r="L4380" s="2" t="s">
        <v>16969</v>
      </c>
      <c r="M4380" s="2" t="s">
        <v>42086</v>
      </c>
      <c r="N4380" s="3" t="s">
        <v>820</v>
      </c>
      <c r="P4380" s="3" t="s">
        <v>65</v>
      </c>
      <c r="Q4380" s="2" t="s">
        <v>42087</v>
      </c>
      <c r="R4380" s="3" t="s">
        <v>66</v>
      </c>
      <c r="S4380" s="4">
        <v>3</v>
      </c>
      <c r="T4380" s="4">
        <v>3</v>
      </c>
      <c r="U4380" s="5" t="s">
        <v>21380</v>
      </c>
      <c r="V4380" s="5" t="s">
        <v>21380</v>
      </c>
      <c r="W4380" s="5" t="s">
        <v>67</v>
      </c>
      <c r="X4380" s="5" t="s">
        <v>67</v>
      </c>
      <c r="Y4380" s="4">
        <v>114</v>
      </c>
      <c r="Z4380" s="4">
        <v>7</v>
      </c>
      <c r="AA4380" s="4">
        <v>10</v>
      </c>
      <c r="AB4380" s="4">
        <v>1</v>
      </c>
      <c r="AC4380" s="4">
        <v>4</v>
      </c>
      <c r="AD4380" s="4">
        <v>27</v>
      </c>
      <c r="AE4380" s="4">
        <v>28</v>
      </c>
      <c r="AF4380" s="4">
        <v>0</v>
      </c>
      <c r="AG4380" s="4">
        <v>1</v>
      </c>
      <c r="AH4380" s="4">
        <v>27</v>
      </c>
      <c r="AI4380" s="4">
        <v>27</v>
      </c>
      <c r="AJ4380" s="4">
        <v>2</v>
      </c>
      <c r="AK4380" s="4">
        <v>3</v>
      </c>
      <c r="AL4380" s="4">
        <v>16</v>
      </c>
      <c r="AM4380" s="4">
        <v>16</v>
      </c>
      <c r="AN4380" s="4">
        <v>0</v>
      </c>
      <c r="AO4380" s="4">
        <v>0</v>
      </c>
      <c r="AP4380" s="4">
        <v>3</v>
      </c>
      <c r="AQ4380" s="4">
        <v>4</v>
      </c>
      <c r="AR4380" s="3" t="s">
        <v>62</v>
      </c>
      <c r="AS4380" s="3" t="s">
        <v>62</v>
      </c>
      <c r="AT4380" s="3" t="s">
        <v>61</v>
      </c>
      <c r="AU4380" s="6" t="str">
        <f>HYPERLINK("http://catalog.hathitrust.org/Record/005897897","HathiTrust Record")</f>
        <v>HathiTrust Record</v>
      </c>
      <c r="AV4380" s="6" t="str">
        <f>HYPERLINK("http://mcgill.on.worldcat.org/oclc/181600001","Catalog Record")</f>
        <v>Catalog Record</v>
      </c>
      <c r="AW4380" s="6" t="str">
        <f>HYPERLINK("http://www.worldcat.org/oclc/181600001","WorldCat Record")</f>
        <v>WorldCat Record</v>
      </c>
      <c r="AX4380" s="3" t="s">
        <v>42088</v>
      </c>
      <c r="AY4380" s="3" t="s">
        <v>42089</v>
      </c>
      <c r="AZ4380" s="3" t="s">
        <v>42090</v>
      </c>
      <c r="BA4380" s="3" t="s">
        <v>42090</v>
      </c>
      <c r="BB4380" s="3" t="s">
        <v>42091</v>
      </c>
      <c r="BC4380" s="3" t="s">
        <v>142</v>
      </c>
      <c r="BD4380" s="3" t="s">
        <v>68</v>
      </c>
      <c r="BE4380" s="3" t="s">
        <v>42092</v>
      </c>
      <c r="BF4380" s="3" t="s">
        <v>42091</v>
      </c>
      <c r="BG4380" s="3" t="s">
        <v>42093</v>
      </c>
    </row>
    <row r="4381" spans="1:59" ht="57" x14ac:dyDescent="0.45">
      <c r="A4381" s="2" t="s">
        <v>59</v>
      </c>
      <c r="B4381" s="2" t="s">
        <v>60</v>
      </c>
      <c r="C4381" s="2" t="s">
        <v>42094</v>
      </c>
      <c r="D4381" s="2" t="s">
        <v>42095</v>
      </c>
      <c r="E4381" s="2" t="s">
        <v>42096</v>
      </c>
      <c r="G4381" s="3" t="s">
        <v>62</v>
      </c>
      <c r="I4381" s="3" t="s">
        <v>62</v>
      </c>
      <c r="J4381" s="3" t="s">
        <v>62</v>
      </c>
      <c r="K4381" s="3" t="s">
        <v>63</v>
      </c>
      <c r="L4381" s="2" t="s">
        <v>42097</v>
      </c>
      <c r="M4381" s="2" t="s">
        <v>42098</v>
      </c>
      <c r="N4381" s="3" t="s">
        <v>125</v>
      </c>
      <c r="P4381" s="3" t="s">
        <v>65</v>
      </c>
      <c r="R4381" s="3" t="s">
        <v>66</v>
      </c>
      <c r="S4381" s="4">
        <v>11</v>
      </c>
      <c r="T4381" s="4">
        <v>11</v>
      </c>
      <c r="U4381" s="5" t="s">
        <v>14606</v>
      </c>
      <c r="V4381" s="5" t="s">
        <v>14606</v>
      </c>
      <c r="W4381" s="5" t="s">
        <v>67</v>
      </c>
      <c r="X4381" s="5" t="s">
        <v>67</v>
      </c>
      <c r="Y4381" s="4">
        <v>242</v>
      </c>
      <c r="Z4381" s="4">
        <v>20</v>
      </c>
      <c r="AA4381" s="4">
        <v>22</v>
      </c>
      <c r="AB4381" s="4">
        <v>2</v>
      </c>
      <c r="AC4381" s="4">
        <v>4</v>
      </c>
      <c r="AD4381" s="4">
        <v>94</v>
      </c>
      <c r="AE4381" s="4">
        <v>96</v>
      </c>
      <c r="AF4381" s="4">
        <v>0</v>
      </c>
      <c r="AG4381" s="4">
        <v>2</v>
      </c>
      <c r="AH4381" s="4">
        <v>85</v>
      </c>
      <c r="AI4381" s="4">
        <v>86</v>
      </c>
      <c r="AJ4381" s="4">
        <v>13</v>
      </c>
      <c r="AK4381" s="4">
        <v>15</v>
      </c>
      <c r="AL4381" s="4">
        <v>50</v>
      </c>
      <c r="AM4381" s="4">
        <v>50</v>
      </c>
      <c r="AN4381" s="4">
        <v>0</v>
      </c>
      <c r="AO4381" s="4">
        <v>0</v>
      </c>
      <c r="AP4381" s="4">
        <v>14</v>
      </c>
      <c r="AQ4381" s="4">
        <v>15</v>
      </c>
      <c r="AR4381" s="3" t="s">
        <v>62</v>
      </c>
      <c r="AS4381" s="3" t="s">
        <v>62</v>
      </c>
      <c r="AT4381" s="3" t="s">
        <v>62</v>
      </c>
      <c r="AV4381" s="6" t="str">
        <f>HYPERLINK("http://mcgill.on.worldcat.org/oclc/20755361","Catalog Record")</f>
        <v>Catalog Record</v>
      </c>
      <c r="AW4381" s="6" t="str">
        <f>HYPERLINK("http://www.worldcat.org/oclc/20755361","WorldCat Record")</f>
        <v>WorldCat Record</v>
      </c>
      <c r="AX4381" s="3" t="s">
        <v>42099</v>
      </c>
      <c r="AY4381" s="3" t="s">
        <v>42100</v>
      </c>
      <c r="AZ4381" s="3" t="s">
        <v>42101</v>
      </c>
      <c r="BA4381" s="3" t="s">
        <v>42101</v>
      </c>
      <c r="BB4381" s="3" t="s">
        <v>42102</v>
      </c>
      <c r="BC4381" s="3" t="s">
        <v>142</v>
      </c>
      <c r="BD4381" s="3" t="s">
        <v>68</v>
      </c>
      <c r="BE4381" s="3" t="s">
        <v>42103</v>
      </c>
      <c r="BF4381" s="3" t="s">
        <v>42102</v>
      </c>
      <c r="BG4381" s="3" t="s">
        <v>42104</v>
      </c>
    </row>
    <row r="4382" spans="1:59" ht="57" x14ac:dyDescent="0.45">
      <c r="A4382" s="2" t="s">
        <v>59</v>
      </c>
      <c r="B4382" s="2" t="s">
        <v>60</v>
      </c>
      <c r="C4382" s="2" t="s">
        <v>42105</v>
      </c>
      <c r="D4382" s="2" t="s">
        <v>42106</v>
      </c>
      <c r="E4382" s="2" t="s">
        <v>42107</v>
      </c>
      <c r="G4382" s="3" t="s">
        <v>62</v>
      </c>
      <c r="I4382" s="3" t="s">
        <v>62</v>
      </c>
      <c r="J4382" s="3" t="s">
        <v>62</v>
      </c>
      <c r="K4382" s="3" t="s">
        <v>63</v>
      </c>
      <c r="L4382" s="2" t="s">
        <v>42108</v>
      </c>
      <c r="M4382" s="2" t="s">
        <v>42109</v>
      </c>
      <c r="N4382" s="3" t="s">
        <v>5180</v>
      </c>
      <c r="P4382" s="3" t="s">
        <v>65</v>
      </c>
      <c r="R4382" s="3" t="s">
        <v>66</v>
      </c>
      <c r="S4382" s="4">
        <v>2</v>
      </c>
      <c r="T4382" s="4">
        <v>2</v>
      </c>
      <c r="W4382" s="5" t="s">
        <v>67</v>
      </c>
      <c r="X4382" s="5" t="s">
        <v>67</v>
      </c>
      <c r="Y4382" s="4">
        <v>51</v>
      </c>
      <c r="Z4382" s="4">
        <v>5</v>
      </c>
      <c r="AA4382" s="4">
        <v>5</v>
      </c>
      <c r="AB4382" s="4">
        <v>1</v>
      </c>
      <c r="AC4382" s="4">
        <v>1</v>
      </c>
      <c r="AD4382" s="4">
        <v>10</v>
      </c>
      <c r="AE4382" s="4">
        <v>10</v>
      </c>
      <c r="AF4382" s="4">
        <v>0</v>
      </c>
      <c r="AG4382" s="4">
        <v>0</v>
      </c>
      <c r="AH4382" s="4">
        <v>9</v>
      </c>
      <c r="AI4382" s="4">
        <v>9</v>
      </c>
      <c r="AJ4382" s="4">
        <v>4</v>
      </c>
      <c r="AK4382" s="4">
        <v>4</v>
      </c>
      <c r="AL4382" s="4">
        <v>5</v>
      </c>
      <c r="AM4382" s="4">
        <v>5</v>
      </c>
      <c r="AN4382" s="4">
        <v>0</v>
      </c>
      <c r="AO4382" s="4">
        <v>0</v>
      </c>
      <c r="AP4382" s="4">
        <v>4</v>
      </c>
      <c r="AQ4382" s="4">
        <v>4</v>
      </c>
      <c r="AR4382" s="3" t="s">
        <v>62</v>
      </c>
      <c r="AS4382" s="3" t="s">
        <v>62</v>
      </c>
      <c r="AT4382" s="3" t="s">
        <v>62</v>
      </c>
      <c r="AV4382" s="6" t="str">
        <f>HYPERLINK("http://mcgill.on.worldcat.org/oclc/1053859543","Catalog Record")</f>
        <v>Catalog Record</v>
      </c>
      <c r="AW4382" s="6" t="str">
        <f>HYPERLINK("http://www.worldcat.org/oclc/1053859543","WorldCat Record")</f>
        <v>WorldCat Record</v>
      </c>
      <c r="AX4382" s="3" t="s">
        <v>42110</v>
      </c>
      <c r="AY4382" s="3" t="s">
        <v>42111</v>
      </c>
      <c r="AZ4382" s="3" t="s">
        <v>42112</v>
      </c>
      <c r="BA4382" s="3" t="s">
        <v>42112</v>
      </c>
      <c r="BB4382" s="3" t="s">
        <v>42113</v>
      </c>
      <c r="BC4382" s="3" t="s">
        <v>142</v>
      </c>
      <c r="BD4382" s="3" t="s">
        <v>308</v>
      </c>
      <c r="BE4382" s="3" t="s">
        <v>42114</v>
      </c>
      <c r="BF4382" s="3" t="s">
        <v>42113</v>
      </c>
      <c r="BG4382" s="3" t="s">
        <v>42115</v>
      </c>
    </row>
    <row r="4383" spans="1:59" ht="57" x14ac:dyDescent="0.45">
      <c r="A4383" s="2" t="s">
        <v>59</v>
      </c>
      <c r="B4383" s="2" t="s">
        <v>60</v>
      </c>
      <c r="C4383" s="2" t="s">
        <v>42116</v>
      </c>
      <c r="D4383" s="2" t="s">
        <v>42117</v>
      </c>
      <c r="E4383" s="2" t="s">
        <v>42118</v>
      </c>
      <c r="G4383" s="3" t="s">
        <v>62</v>
      </c>
      <c r="I4383" s="3" t="s">
        <v>62</v>
      </c>
      <c r="J4383" s="3" t="s">
        <v>62</v>
      </c>
      <c r="K4383" s="3" t="s">
        <v>63</v>
      </c>
      <c r="L4383" s="2" t="s">
        <v>42119</v>
      </c>
      <c r="M4383" s="2" t="s">
        <v>42120</v>
      </c>
      <c r="N4383" s="3" t="s">
        <v>918</v>
      </c>
      <c r="P4383" s="3" t="s">
        <v>65</v>
      </c>
      <c r="R4383" s="3" t="s">
        <v>66</v>
      </c>
      <c r="S4383" s="4">
        <v>5</v>
      </c>
      <c r="T4383" s="4">
        <v>5</v>
      </c>
      <c r="U4383" s="5" t="s">
        <v>19748</v>
      </c>
      <c r="V4383" s="5" t="s">
        <v>19748</v>
      </c>
      <c r="W4383" s="5" t="s">
        <v>67</v>
      </c>
      <c r="X4383" s="5" t="s">
        <v>67</v>
      </c>
      <c r="Y4383" s="4">
        <v>223</v>
      </c>
      <c r="Z4383" s="4">
        <v>11</v>
      </c>
      <c r="AA4383" s="4">
        <v>12</v>
      </c>
      <c r="AB4383" s="4">
        <v>1</v>
      </c>
      <c r="AC4383" s="4">
        <v>2</v>
      </c>
      <c r="AD4383" s="4">
        <v>89</v>
      </c>
      <c r="AE4383" s="4">
        <v>90</v>
      </c>
      <c r="AF4383" s="4">
        <v>0</v>
      </c>
      <c r="AG4383" s="4">
        <v>1</v>
      </c>
      <c r="AH4383" s="4">
        <v>84</v>
      </c>
      <c r="AI4383" s="4">
        <v>84</v>
      </c>
      <c r="AJ4383" s="4">
        <v>9</v>
      </c>
      <c r="AK4383" s="4">
        <v>10</v>
      </c>
      <c r="AL4383" s="4">
        <v>49</v>
      </c>
      <c r="AM4383" s="4">
        <v>49</v>
      </c>
      <c r="AN4383" s="4">
        <v>0</v>
      </c>
      <c r="AO4383" s="4">
        <v>0</v>
      </c>
      <c r="AP4383" s="4">
        <v>9</v>
      </c>
      <c r="AQ4383" s="4">
        <v>9</v>
      </c>
      <c r="AR4383" s="3" t="s">
        <v>62</v>
      </c>
      <c r="AS4383" s="3" t="s">
        <v>62</v>
      </c>
      <c r="AT4383" s="3" t="s">
        <v>62</v>
      </c>
      <c r="AV4383" s="6" t="str">
        <f>HYPERLINK("http://mcgill.on.worldcat.org/oclc/50323020","Catalog Record")</f>
        <v>Catalog Record</v>
      </c>
      <c r="AW4383" s="6" t="str">
        <f>HYPERLINK("http://www.worldcat.org/oclc/50323020","WorldCat Record")</f>
        <v>WorldCat Record</v>
      </c>
      <c r="AX4383" s="3" t="s">
        <v>42121</v>
      </c>
      <c r="AY4383" s="3" t="s">
        <v>42122</v>
      </c>
      <c r="AZ4383" s="3" t="s">
        <v>42123</v>
      </c>
      <c r="BA4383" s="3" t="s">
        <v>42123</v>
      </c>
      <c r="BB4383" s="3" t="s">
        <v>42124</v>
      </c>
      <c r="BC4383" s="3" t="s">
        <v>142</v>
      </c>
      <c r="BD4383" s="3" t="s">
        <v>68</v>
      </c>
      <c r="BE4383" s="3" t="s">
        <v>42125</v>
      </c>
      <c r="BF4383" s="3" t="s">
        <v>42124</v>
      </c>
      <c r="BG4383" s="3" t="s">
        <v>42126</v>
      </c>
    </row>
    <row r="4384" spans="1:59" ht="57" x14ac:dyDescent="0.45">
      <c r="A4384" s="2" t="s">
        <v>59</v>
      </c>
      <c r="B4384" s="2" t="s">
        <v>60</v>
      </c>
      <c r="C4384" s="2" t="s">
        <v>42127</v>
      </c>
      <c r="D4384" s="2" t="s">
        <v>42128</v>
      </c>
      <c r="E4384" s="2" t="s">
        <v>42129</v>
      </c>
      <c r="G4384" s="3" t="s">
        <v>62</v>
      </c>
      <c r="I4384" s="3" t="s">
        <v>62</v>
      </c>
      <c r="J4384" s="3" t="s">
        <v>62</v>
      </c>
      <c r="K4384" s="3" t="s">
        <v>63</v>
      </c>
      <c r="L4384" s="2" t="s">
        <v>42130</v>
      </c>
      <c r="M4384" s="2" t="s">
        <v>3208</v>
      </c>
      <c r="N4384" s="3" t="s">
        <v>116</v>
      </c>
      <c r="O4384" s="2" t="s">
        <v>42131</v>
      </c>
      <c r="P4384" s="3" t="s">
        <v>110</v>
      </c>
      <c r="Q4384" s="2" t="s">
        <v>42132</v>
      </c>
      <c r="R4384" s="3" t="s">
        <v>66</v>
      </c>
      <c r="S4384" s="4">
        <v>0</v>
      </c>
      <c r="T4384" s="4">
        <v>0</v>
      </c>
      <c r="W4384" s="5" t="s">
        <v>67</v>
      </c>
      <c r="X4384" s="5" t="s">
        <v>67</v>
      </c>
      <c r="Y4384" s="4">
        <v>1</v>
      </c>
      <c r="Z4384" s="4">
        <v>1</v>
      </c>
      <c r="AA4384" s="4">
        <v>37</v>
      </c>
      <c r="AB4384" s="4">
        <v>1</v>
      </c>
      <c r="AC4384" s="4">
        <v>16</v>
      </c>
      <c r="AD4384" s="4">
        <v>0</v>
      </c>
      <c r="AE4384" s="4">
        <v>51</v>
      </c>
      <c r="AF4384" s="4">
        <v>0</v>
      </c>
      <c r="AG4384" s="4">
        <v>6</v>
      </c>
      <c r="AH4384" s="4">
        <v>0</v>
      </c>
      <c r="AI4384" s="4">
        <v>37</v>
      </c>
      <c r="AJ4384" s="4">
        <v>0</v>
      </c>
      <c r="AK4384" s="4">
        <v>17</v>
      </c>
      <c r="AL4384" s="4">
        <v>0</v>
      </c>
      <c r="AM4384" s="4">
        <v>23</v>
      </c>
      <c r="AN4384" s="4">
        <v>0</v>
      </c>
      <c r="AO4384" s="4">
        <v>1</v>
      </c>
      <c r="AP4384" s="4">
        <v>0</v>
      </c>
      <c r="AQ4384" s="4">
        <v>20</v>
      </c>
      <c r="AR4384" s="3" t="s">
        <v>62</v>
      </c>
      <c r="AS4384" s="3" t="s">
        <v>62</v>
      </c>
      <c r="AT4384" s="3" t="s">
        <v>62</v>
      </c>
      <c r="AV4384" s="6" t="str">
        <f>HYPERLINK("http://mcgill.on.worldcat.org/oclc/905123218","Catalog Record")</f>
        <v>Catalog Record</v>
      </c>
      <c r="AW4384" s="6" t="str">
        <f>HYPERLINK("http://www.worldcat.org/oclc/905123218","WorldCat Record")</f>
        <v>WorldCat Record</v>
      </c>
      <c r="AX4384" s="3" t="s">
        <v>42133</v>
      </c>
      <c r="AY4384" s="3" t="s">
        <v>42134</v>
      </c>
      <c r="AZ4384" s="3" t="s">
        <v>42135</v>
      </c>
      <c r="BA4384" s="3" t="s">
        <v>42135</v>
      </c>
      <c r="BB4384" s="3" t="s">
        <v>42136</v>
      </c>
      <c r="BC4384" s="3" t="s">
        <v>142</v>
      </c>
      <c r="BD4384" s="3" t="s">
        <v>68</v>
      </c>
      <c r="BE4384" s="3" t="s">
        <v>42137</v>
      </c>
      <c r="BF4384" s="3" t="s">
        <v>42136</v>
      </c>
      <c r="BG4384" s="3" t="s">
        <v>42138</v>
      </c>
    </row>
    <row r="4385" spans="1:59" ht="57" x14ac:dyDescent="0.45">
      <c r="A4385" s="2" t="s">
        <v>59</v>
      </c>
      <c r="B4385" s="2" t="s">
        <v>60</v>
      </c>
      <c r="C4385" s="2" t="s">
        <v>42139</v>
      </c>
      <c r="D4385" s="2" t="s">
        <v>42140</v>
      </c>
      <c r="E4385" s="2" t="s">
        <v>42141</v>
      </c>
      <c r="G4385" s="3" t="s">
        <v>62</v>
      </c>
      <c r="I4385" s="3" t="s">
        <v>62</v>
      </c>
      <c r="J4385" s="3" t="s">
        <v>62</v>
      </c>
      <c r="K4385" s="3" t="s">
        <v>63</v>
      </c>
      <c r="L4385" s="2" t="s">
        <v>5202</v>
      </c>
      <c r="M4385" s="2" t="s">
        <v>42142</v>
      </c>
      <c r="N4385" s="3" t="s">
        <v>529</v>
      </c>
      <c r="P4385" s="3" t="s">
        <v>110</v>
      </c>
      <c r="Q4385" s="2" t="s">
        <v>42143</v>
      </c>
      <c r="R4385" s="3" t="s">
        <v>66</v>
      </c>
      <c r="S4385" s="4">
        <v>4</v>
      </c>
      <c r="T4385" s="4">
        <v>4</v>
      </c>
      <c r="U4385" s="5" t="s">
        <v>3557</v>
      </c>
      <c r="V4385" s="5" t="s">
        <v>3557</v>
      </c>
      <c r="W4385" s="5" t="s">
        <v>67</v>
      </c>
      <c r="X4385" s="5" t="s">
        <v>67</v>
      </c>
      <c r="Y4385" s="4">
        <v>143</v>
      </c>
      <c r="Z4385" s="4">
        <v>15</v>
      </c>
      <c r="AA4385" s="4">
        <v>40</v>
      </c>
      <c r="AB4385" s="4">
        <v>2</v>
      </c>
      <c r="AC4385" s="4">
        <v>18</v>
      </c>
      <c r="AD4385" s="4">
        <v>53</v>
      </c>
      <c r="AE4385" s="4">
        <v>80</v>
      </c>
      <c r="AF4385" s="4">
        <v>0</v>
      </c>
      <c r="AG4385" s="4">
        <v>7</v>
      </c>
      <c r="AH4385" s="4">
        <v>47</v>
      </c>
      <c r="AI4385" s="4">
        <v>65</v>
      </c>
      <c r="AJ4385" s="4">
        <v>10</v>
      </c>
      <c r="AK4385" s="4">
        <v>18</v>
      </c>
      <c r="AL4385" s="4">
        <v>32</v>
      </c>
      <c r="AM4385" s="4">
        <v>39</v>
      </c>
      <c r="AN4385" s="4">
        <v>0</v>
      </c>
      <c r="AO4385" s="4">
        <v>0</v>
      </c>
      <c r="AP4385" s="4">
        <v>11</v>
      </c>
      <c r="AQ4385" s="4">
        <v>23</v>
      </c>
      <c r="AR4385" s="3" t="s">
        <v>62</v>
      </c>
      <c r="AS4385" s="3" t="s">
        <v>62</v>
      </c>
      <c r="AT4385" s="3" t="s">
        <v>62</v>
      </c>
      <c r="AV4385" s="6" t="str">
        <f>HYPERLINK("http://mcgill.on.worldcat.org/oclc/14355772","Catalog Record")</f>
        <v>Catalog Record</v>
      </c>
      <c r="AW4385" s="6" t="str">
        <f>HYPERLINK("http://www.worldcat.org/oclc/14355772","WorldCat Record")</f>
        <v>WorldCat Record</v>
      </c>
      <c r="AX4385" s="3" t="s">
        <v>42144</v>
      </c>
      <c r="AY4385" s="3" t="s">
        <v>42145</v>
      </c>
      <c r="AZ4385" s="3" t="s">
        <v>42146</v>
      </c>
      <c r="BA4385" s="3" t="s">
        <v>42146</v>
      </c>
      <c r="BB4385" s="3" t="s">
        <v>42147</v>
      </c>
      <c r="BC4385" s="3" t="s">
        <v>142</v>
      </c>
      <c r="BD4385" s="3" t="s">
        <v>308</v>
      </c>
      <c r="BE4385" s="3" t="s">
        <v>42148</v>
      </c>
      <c r="BF4385" s="3" t="s">
        <v>42147</v>
      </c>
      <c r="BG4385" s="3" t="s">
        <v>42149</v>
      </c>
    </row>
    <row r="4386" spans="1:59" ht="57" x14ac:dyDescent="0.45">
      <c r="A4386" s="2" t="s">
        <v>59</v>
      </c>
      <c r="B4386" s="2" t="s">
        <v>60</v>
      </c>
      <c r="C4386" s="2" t="s">
        <v>42150</v>
      </c>
      <c r="D4386" s="2" t="s">
        <v>42151</v>
      </c>
      <c r="E4386" s="2" t="s">
        <v>42152</v>
      </c>
      <c r="G4386" s="3" t="s">
        <v>62</v>
      </c>
      <c r="I4386" s="3" t="s">
        <v>62</v>
      </c>
      <c r="J4386" s="3" t="s">
        <v>62</v>
      </c>
      <c r="K4386" s="3" t="s">
        <v>63</v>
      </c>
      <c r="L4386" s="2" t="s">
        <v>5202</v>
      </c>
      <c r="M4386" s="2" t="s">
        <v>42153</v>
      </c>
      <c r="N4386" s="3" t="s">
        <v>125</v>
      </c>
      <c r="P4386" s="3" t="s">
        <v>65</v>
      </c>
      <c r="Q4386" s="2" t="s">
        <v>28885</v>
      </c>
      <c r="R4386" s="3" t="s">
        <v>66</v>
      </c>
      <c r="S4386" s="4">
        <v>9</v>
      </c>
      <c r="T4386" s="4">
        <v>9</v>
      </c>
      <c r="U4386" s="5" t="s">
        <v>42154</v>
      </c>
      <c r="V4386" s="5" t="s">
        <v>42154</v>
      </c>
      <c r="W4386" s="5" t="s">
        <v>67</v>
      </c>
      <c r="X4386" s="5" t="s">
        <v>67</v>
      </c>
      <c r="Y4386" s="4">
        <v>244</v>
      </c>
      <c r="Z4386" s="4">
        <v>17</v>
      </c>
      <c r="AA4386" s="4">
        <v>18</v>
      </c>
      <c r="AB4386" s="4">
        <v>1</v>
      </c>
      <c r="AC4386" s="4">
        <v>1</v>
      </c>
      <c r="AD4386" s="4">
        <v>98</v>
      </c>
      <c r="AE4386" s="4">
        <v>99</v>
      </c>
      <c r="AF4386" s="4">
        <v>0</v>
      </c>
      <c r="AG4386" s="4">
        <v>0</v>
      </c>
      <c r="AH4386" s="4">
        <v>87</v>
      </c>
      <c r="AI4386" s="4">
        <v>87</v>
      </c>
      <c r="AJ4386" s="4">
        <v>13</v>
      </c>
      <c r="AK4386" s="4">
        <v>13</v>
      </c>
      <c r="AL4386" s="4">
        <v>51</v>
      </c>
      <c r="AM4386" s="4">
        <v>51</v>
      </c>
      <c r="AN4386" s="4">
        <v>0</v>
      </c>
      <c r="AO4386" s="4">
        <v>0</v>
      </c>
      <c r="AP4386" s="4">
        <v>14</v>
      </c>
      <c r="AQ4386" s="4">
        <v>15</v>
      </c>
      <c r="AR4386" s="3" t="s">
        <v>62</v>
      </c>
      <c r="AS4386" s="3" t="s">
        <v>62</v>
      </c>
      <c r="AT4386" s="3" t="s">
        <v>62</v>
      </c>
      <c r="AV4386" s="6" t="str">
        <f>HYPERLINK("http://mcgill.on.worldcat.org/oclc/20930768","Catalog Record")</f>
        <v>Catalog Record</v>
      </c>
      <c r="AW4386" s="6" t="str">
        <f>HYPERLINK("http://www.worldcat.org/oclc/20930768","WorldCat Record")</f>
        <v>WorldCat Record</v>
      </c>
      <c r="AX4386" s="3" t="s">
        <v>42155</v>
      </c>
      <c r="AY4386" s="3" t="s">
        <v>42156</v>
      </c>
      <c r="AZ4386" s="3" t="s">
        <v>42157</v>
      </c>
      <c r="BA4386" s="3" t="s">
        <v>42157</v>
      </c>
      <c r="BB4386" s="3" t="s">
        <v>42158</v>
      </c>
      <c r="BC4386" s="3" t="s">
        <v>142</v>
      </c>
      <c r="BD4386" s="3" t="s">
        <v>68</v>
      </c>
      <c r="BE4386" s="3" t="s">
        <v>42159</v>
      </c>
      <c r="BF4386" s="3" t="s">
        <v>42158</v>
      </c>
      <c r="BG4386" s="3" t="s">
        <v>42160</v>
      </c>
    </row>
    <row r="4387" spans="1:59" ht="57" x14ac:dyDescent="0.45">
      <c r="A4387" s="2" t="s">
        <v>59</v>
      </c>
      <c r="B4387" s="2" t="s">
        <v>412</v>
      </c>
      <c r="C4387" s="2" t="s">
        <v>42161</v>
      </c>
      <c r="D4387" s="2" t="s">
        <v>42162</v>
      </c>
      <c r="E4387" s="2" t="s">
        <v>42163</v>
      </c>
      <c r="G4387" s="3" t="s">
        <v>62</v>
      </c>
      <c r="I4387" s="3" t="s">
        <v>62</v>
      </c>
      <c r="J4387" s="3" t="s">
        <v>62</v>
      </c>
      <c r="K4387" s="3" t="s">
        <v>63</v>
      </c>
      <c r="L4387" s="2" t="s">
        <v>433</v>
      </c>
      <c r="M4387" s="2" t="s">
        <v>42164</v>
      </c>
      <c r="N4387" s="3" t="s">
        <v>419</v>
      </c>
      <c r="P4387" s="3" t="s">
        <v>110</v>
      </c>
      <c r="Q4387" s="2" t="s">
        <v>42165</v>
      </c>
      <c r="R4387" s="3" t="s">
        <v>66</v>
      </c>
      <c r="S4387" s="4">
        <v>3</v>
      </c>
      <c r="T4387" s="4">
        <v>3</v>
      </c>
      <c r="U4387" s="5" t="s">
        <v>3557</v>
      </c>
      <c r="V4387" s="5" t="s">
        <v>3557</v>
      </c>
      <c r="W4387" s="5" t="s">
        <v>67</v>
      </c>
      <c r="X4387" s="5" t="s">
        <v>67</v>
      </c>
      <c r="Y4387" s="4">
        <v>4</v>
      </c>
      <c r="Z4387" s="4">
        <v>3</v>
      </c>
      <c r="AA4387" s="4">
        <v>4</v>
      </c>
      <c r="AB4387" s="4">
        <v>1</v>
      </c>
      <c r="AC4387" s="4">
        <v>1</v>
      </c>
      <c r="AD4387" s="4">
        <v>1</v>
      </c>
      <c r="AE4387" s="4">
        <v>3</v>
      </c>
      <c r="AF4387" s="4">
        <v>0</v>
      </c>
      <c r="AG4387" s="4">
        <v>0</v>
      </c>
      <c r="AH4387" s="4">
        <v>1</v>
      </c>
      <c r="AI4387" s="4">
        <v>2</v>
      </c>
      <c r="AJ4387" s="4">
        <v>1</v>
      </c>
      <c r="AK4387" s="4">
        <v>2</v>
      </c>
      <c r="AL4387" s="4">
        <v>1</v>
      </c>
      <c r="AM4387" s="4">
        <v>2</v>
      </c>
      <c r="AN4387" s="4">
        <v>0</v>
      </c>
      <c r="AO4387" s="4">
        <v>0</v>
      </c>
      <c r="AP4387" s="4">
        <v>1</v>
      </c>
      <c r="AQ4387" s="4">
        <v>2</v>
      </c>
      <c r="AR4387" s="3" t="s">
        <v>62</v>
      </c>
      <c r="AS4387" s="3" t="s">
        <v>62</v>
      </c>
      <c r="AT4387" s="3" t="s">
        <v>62</v>
      </c>
      <c r="AV4387" s="6" t="str">
        <f>HYPERLINK("http://mcgill.on.worldcat.org/oclc/61621138","Catalog Record")</f>
        <v>Catalog Record</v>
      </c>
      <c r="AW4387" s="6" t="str">
        <f>HYPERLINK("http://www.worldcat.org/oclc/61621138","WorldCat Record")</f>
        <v>WorldCat Record</v>
      </c>
      <c r="AX4387" s="3" t="s">
        <v>42166</v>
      </c>
      <c r="AY4387" s="3" t="s">
        <v>42167</v>
      </c>
      <c r="AZ4387" s="3" t="s">
        <v>42168</v>
      </c>
      <c r="BA4387" s="3" t="s">
        <v>42168</v>
      </c>
      <c r="BB4387" s="3" t="s">
        <v>42169</v>
      </c>
      <c r="BC4387" s="3" t="s">
        <v>142</v>
      </c>
      <c r="BD4387" s="3" t="s">
        <v>308</v>
      </c>
      <c r="BF4387" s="3" t="s">
        <v>42169</v>
      </c>
      <c r="BG4387" s="3" t="s">
        <v>42170</v>
      </c>
    </row>
    <row r="4388" spans="1:59" ht="57" x14ac:dyDescent="0.45">
      <c r="A4388" s="2" t="s">
        <v>59</v>
      </c>
      <c r="B4388" s="2" t="s">
        <v>60</v>
      </c>
      <c r="C4388" s="2" t="s">
        <v>42171</v>
      </c>
      <c r="D4388" s="2" t="s">
        <v>42172</v>
      </c>
      <c r="E4388" s="2" t="s">
        <v>42173</v>
      </c>
      <c r="G4388" s="3" t="s">
        <v>62</v>
      </c>
      <c r="I4388" s="3" t="s">
        <v>62</v>
      </c>
      <c r="J4388" s="3" t="s">
        <v>62</v>
      </c>
      <c r="K4388" s="3" t="s">
        <v>63</v>
      </c>
      <c r="L4388" s="2" t="s">
        <v>42174</v>
      </c>
      <c r="M4388" s="2" t="s">
        <v>42175</v>
      </c>
      <c r="N4388" s="3" t="s">
        <v>42176</v>
      </c>
      <c r="P4388" s="3" t="s">
        <v>65</v>
      </c>
      <c r="Q4388" s="2" t="s">
        <v>42177</v>
      </c>
      <c r="R4388" s="3" t="s">
        <v>66</v>
      </c>
      <c r="S4388" s="4">
        <v>1</v>
      </c>
      <c r="T4388" s="4">
        <v>1</v>
      </c>
      <c r="U4388" s="5" t="s">
        <v>2668</v>
      </c>
      <c r="V4388" s="5" t="s">
        <v>2668</v>
      </c>
      <c r="W4388" s="5" t="s">
        <v>67</v>
      </c>
      <c r="X4388" s="5" t="s">
        <v>67</v>
      </c>
      <c r="Y4388" s="4">
        <v>112</v>
      </c>
      <c r="Z4388" s="4">
        <v>8</v>
      </c>
      <c r="AA4388" s="4">
        <v>12</v>
      </c>
      <c r="AB4388" s="4">
        <v>1</v>
      </c>
      <c r="AC4388" s="4">
        <v>1</v>
      </c>
      <c r="AD4388" s="4">
        <v>42</v>
      </c>
      <c r="AE4388" s="4">
        <v>51</v>
      </c>
      <c r="AF4388" s="4">
        <v>0</v>
      </c>
      <c r="AG4388" s="4">
        <v>0</v>
      </c>
      <c r="AH4388" s="4">
        <v>40</v>
      </c>
      <c r="AI4388" s="4">
        <v>46</v>
      </c>
      <c r="AJ4388" s="4">
        <v>5</v>
      </c>
      <c r="AK4388" s="4">
        <v>6</v>
      </c>
      <c r="AL4388" s="4">
        <v>27</v>
      </c>
      <c r="AM4388" s="4">
        <v>30</v>
      </c>
      <c r="AN4388" s="4">
        <v>0</v>
      </c>
      <c r="AO4388" s="4">
        <v>0</v>
      </c>
      <c r="AP4388" s="4">
        <v>5</v>
      </c>
      <c r="AQ4388" s="4">
        <v>8</v>
      </c>
      <c r="AR4388" s="3" t="s">
        <v>62</v>
      </c>
      <c r="AS4388" s="3" t="s">
        <v>61</v>
      </c>
      <c r="AT4388" s="3" t="s">
        <v>62</v>
      </c>
      <c r="AU4388" s="6" t="str">
        <f>HYPERLINK("http://catalog.hathitrust.org/Record/000917215","HathiTrust Record")</f>
        <v>HathiTrust Record</v>
      </c>
      <c r="AV4388" s="6" t="str">
        <f>HYPERLINK("http://mcgill.on.worldcat.org/oclc/3530673","Catalog Record")</f>
        <v>Catalog Record</v>
      </c>
      <c r="AW4388" s="6" t="str">
        <f>HYPERLINK("http://www.worldcat.org/oclc/3530673","WorldCat Record")</f>
        <v>WorldCat Record</v>
      </c>
      <c r="AX4388" s="3" t="s">
        <v>42178</v>
      </c>
      <c r="AY4388" s="3" t="s">
        <v>42179</v>
      </c>
      <c r="AZ4388" s="3" t="s">
        <v>42180</v>
      </c>
      <c r="BA4388" s="3" t="s">
        <v>42180</v>
      </c>
      <c r="BB4388" s="3" t="s">
        <v>42181</v>
      </c>
      <c r="BC4388" s="3" t="s">
        <v>142</v>
      </c>
      <c r="BD4388" s="3" t="s">
        <v>68</v>
      </c>
      <c r="BF4388" s="3" t="s">
        <v>42181</v>
      </c>
      <c r="BG4388" s="3" t="s">
        <v>42182</v>
      </c>
    </row>
    <row r="4389" spans="1:59" ht="57" x14ac:dyDescent="0.45">
      <c r="A4389" s="2" t="s">
        <v>59</v>
      </c>
      <c r="B4389" s="2" t="s">
        <v>60</v>
      </c>
      <c r="C4389" s="2" t="s">
        <v>42183</v>
      </c>
      <c r="D4389" s="2" t="s">
        <v>42184</v>
      </c>
      <c r="E4389" s="2" t="s">
        <v>42185</v>
      </c>
      <c r="G4389" s="3" t="s">
        <v>62</v>
      </c>
      <c r="I4389" s="3" t="s">
        <v>62</v>
      </c>
      <c r="J4389" s="3" t="s">
        <v>62</v>
      </c>
      <c r="K4389" s="3" t="s">
        <v>63</v>
      </c>
      <c r="L4389" s="2" t="s">
        <v>42186</v>
      </c>
      <c r="M4389" s="2" t="s">
        <v>42187</v>
      </c>
      <c r="N4389" s="3" t="s">
        <v>2107</v>
      </c>
      <c r="P4389" s="3" t="s">
        <v>65</v>
      </c>
      <c r="Q4389" s="2" t="s">
        <v>42188</v>
      </c>
      <c r="R4389" s="3" t="s">
        <v>66</v>
      </c>
      <c r="S4389" s="4">
        <v>9</v>
      </c>
      <c r="T4389" s="4">
        <v>9</v>
      </c>
      <c r="U4389" s="5" t="s">
        <v>42189</v>
      </c>
      <c r="V4389" s="5" t="s">
        <v>42189</v>
      </c>
      <c r="W4389" s="5" t="s">
        <v>67</v>
      </c>
      <c r="X4389" s="5" t="s">
        <v>67</v>
      </c>
      <c r="Y4389" s="4">
        <v>398</v>
      </c>
      <c r="Z4389" s="4">
        <v>23</v>
      </c>
      <c r="AA4389" s="4">
        <v>40</v>
      </c>
      <c r="AB4389" s="4">
        <v>1</v>
      </c>
      <c r="AC4389" s="4">
        <v>5</v>
      </c>
      <c r="AD4389" s="4">
        <v>90</v>
      </c>
      <c r="AE4389" s="4">
        <v>115</v>
      </c>
      <c r="AF4389" s="4">
        <v>0</v>
      </c>
      <c r="AG4389" s="4">
        <v>3</v>
      </c>
      <c r="AH4389" s="4">
        <v>79</v>
      </c>
      <c r="AI4389" s="4">
        <v>93</v>
      </c>
      <c r="AJ4389" s="4">
        <v>13</v>
      </c>
      <c r="AK4389" s="4">
        <v>19</v>
      </c>
      <c r="AL4389" s="4">
        <v>43</v>
      </c>
      <c r="AM4389" s="4">
        <v>50</v>
      </c>
      <c r="AN4389" s="4">
        <v>0</v>
      </c>
      <c r="AO4389" s="4">
        <v>0</v>
      </c>
      <c r="AP4389" s="4">
        <v>18</v>
      </c>
      <c r="AQ4389" s="4">
        <v>31</v>
      </c>
      <c r="AR4389" s="3" t="s">
        <v>62</v>
      </c>
      <c r="AS4389" s="3" t="s">
        <v>62</v>
      </c>
      <c r="AT4389" s="3" t="s">
        <v>61</v>
      </c>
      <c r="AU4389" s="6" t="str">
        <f>HYPERLINK("http://catalog.hathitrust.org/Record/009494697","HathiTrust Record")</f>
        <v>HathiTrust Record</v>
      </c>
      <c r="AV4389" s="6" t="str">
        <f>HYPERLINK("http://mcgill.on.worldcat.org/oclc/11532581","Catalog Record")</f>
        <v>Catalog Record</v>
      </c>
      <c r="AW4389" s="6" t="str">
        <f>HYPERLINK("http://www.worldcat.org/oclc/11532581","WorldCat Record")</f>
        <v>WorldCat Record</v>
      </c>
      <c r="AX4389" s="3" t="s">
        <v>42190</v>
      </c>
      <c r="AY4389" s="3" t="s">
        <v>42191</v>
      </c>
      <c r="AZ4389" s="3" t="s">
        <v>42192</v>
      </c>
      <c r="BA4389" s="3" t="s">
        <v>42192</v>
      </c>
      <c r="BB4389" s="3" t="s">
        <v>42193</v>
      </c>
      <c r="BC4389" s="3" t="s">
        <v>142</v>
      </c>
      <c r="BD4389" s="3" t="s">
        <v>68</v>
      </c>
      <c r="BE4389" s="3" t="s">
        <v>42194</v>
      </c>
      <c r="BF4389" s="3" t="s">
        <v>42193</v>
      </c>
      <c r="BG4389" s="3" t="s">
        <v>42195</v>
      </c>
    </row>
    <row r="4390" spans="1:59" ht="57" x14ac:dyDescent="0.45">
      <c r="A4390" s="2" t="s">
        <v>59</v>
      </c>
      <c r="B4390" s="2" t="s">
        <v>60</v>
      </c>
      <c r="C4390" s="2" t="s">
        <v>42196</v>
      </c>
      <c r="D4390" s="2" t="s">
        <v>42197</v>
      </c>
      <c r="E4390" s="2" t="s">
        <v>42198</v>
      </c>
      <c r="G4390" s="3" t="s">
        <v>62</v>
      </c>
      <c r="I4390" s="3" t="s">
        <v>62</v>
      </c>
      <c r="J4390" s="3" t="s">
        <v>62</v>
      </c>
      <c r="K4390" s="3" t="s">
        <v>63</v>
      </c>
      <c r="M4390" s="2" t="s">
        <v>42199</v>
      </c>
      <c r="N4390" s="3" t="s">
        <v>894</v>
      </c>
      <c r="P4390" s="3" t="s">
        <v>65</v>
      </c>
      <c r="R4390" s="3" t="s">
        <v>66</v>
      </c>
      <c r="S4390" s="4">
        <v>0</v>
      </c>
      <c r="T4390" s="4">
        <v>0</v>
      </c>
      <c r="W4390" s="5" t="s">
        <v>67</v>
      </c>
      <c r="X4390" s="5" t="s">
        <v>67</v>
      </c>
      <c r="Y4390" s="4">
        <v>41</v>
      </c>
      <c r="Z4390" s="4">
        <v>5</v>
      </c>
      <c r="AA4390" s="4">
        <v>72</v>
      </c>
      <c r="AB4390" s="4">
        <v>1</v>
      </c>
      <c r="AC4390" s="4">
        <v>14</v>
      </c>
      <c r="AD4390" s="4">
        <v>22</v>
      </c>
      <c r="AE4390" s="4">
        <v>89</v>
      </c>
      <c r="AF4390" s="4">
        <v>0</v>
      </c>
      <c r="AG4390" s="4">
        <v>8</v>
      </c>
      <c r="AH4390" s="4">
        <v>22</v>
      </c>
      <c r="AI4390" s="4">
        <v>59</v>
      </c>
      <c r="AJ4390" s="4">
        <v>4</v>
      </c>
      <c r="AK4390" s="4">
        <v>17</v>
      </c>
      <c r="AL4390" s="4">
        <v>15</v>
      </c>
      <c r="AM4390" s="4">
        <v>31</v>
      </c>
      <c r="AN4390" s="4">
        <v>0</v>
      </c>
      <c r="AO4390" s="4">
        <v>0</v>
      </c>
      <c r="AP4390" s="4">
        <v>4</v>
      </c>
      <c r="AQ4390" s="4">
        <v>37</v>
      </c>
      <c r="AR4390" s="3" t="s">
        <v>62</v>
      </c>
      <c r="AS4390" s="3" t="s">
        <v>62</v>
      </c>
      <c r="AT4390" s="3" t="s">
        <v>62</v>
      </c>
      <c r="AV4390" s="6" t="str">
        <f>HYPERLINK("http://mcgill.on.worldcat.org/oclc/730403509","Catalog Record")</f>
        <v>Catalog Record</v>
      </c>
      <c r="AW4390" s="6" t="str">
        <f>HYPERLINK("http://www.worldcat.org/oclc/730403509","WorldCat Record")</f>
        <v>WorldCat Record</v>
      </c>
      <c r="AX4390" s="3" t="s">
        <v>42200</v>
      </c>
      <c r="AY4390" s="3" t="s">
        <v>42201</v>
      </c>
      <c r="AZ4390" s="3" t="s">
        <v>42202</v>
      </c>
      <c r="BA4390" s="3" t="s">
        <v>42202</v>
      </c>
      <c r="BB4390" s="3" t="s">
        <v>42203</v>
      </c>
      <c r="BC4390" s="3" t="s">
        <v>142</v>
      </c>
      <c r="BD4390" s="3" t="s">
        <v>68</v>
      </c>
      <c r="BE4390" s="3" t="s">
        <v>42204</v>
      </c>
      <c r="BF4390" s="3" t="s">
        <v>42203</v>
      </c>
      <c r="BG4390" s="3" t="s">
        <v>42205</v>
      </c>
    </row>
    <row r="4391" spans="1:59" ht="57" x14ac:dyDescent="0.45">
      <c r="A4391" s="2" t="s">
        <v>59</v>
      </c>
      <c r="B4391" s="2" t="s">
        <v>60</v>
      </c>
      <c r="C4391" s="2" t="s">
        <v>42206</v>
      </c>
      <c r="D4391" s="2" t="s">
        <v>42207</v>
      </c>
      <c r="E4391" s="2" t="s">
        <v>42208</v>
      </c>
      <c r="G4391" s="3" t="s">
        <v>62</v>
      </c>
      <c r="I4391" s="3" t="s">
        <v>62</v>
      </c>
      <c r="J4391" s="3" t="s">
        <v>62</v>
      </c>
      <c r="K4391" s="3" t="s">
        <v>63</v>
      </c>
      <c r="M4391" s="2" t="s">
        <v>3172</v>
      </c>
      <c r="N4391" s="3" t="s">
        <v>149</v>
      </c>
      <c r="P4391" s="3" t="s">
        <v>65</v>
      </c>
      <c r="R4391" s="3" t="s">
        <v>66</v>
      </c>
      <c r="S4391" s="4">
        <v>0</v>
      </c>
      <c r="T4391" s="4">
        <v>0</v>
      </c>
      <c r="W4391" s="5" t="s">
        <v>67</v>
      </c>
      <c r="X4391" s="5" t="s">
        <v>67</v>
      </c>
      <c r="Y4391" s="4">
        <v>45</v>
      </c>
      <c r="Z4391" s="4">
        <v>6</v>
      </c>
      <c r="AA4391" s="4">
        <v>77</v>
      </c>
      <c r="AB4391" s="4">
        <v>1</v>
      </c>
      <c r="AC4391" s="4">
        <v>14</v>
      </c>
      <c r="AD4391" s="4">
        <v>22</v>
      </c>
      <c r="AE4391" s="4">
        <v>105</v>
      </c>
      <c r="AF4391" s="4">
        <v>0</v>
      </c>
      <c r="AG4391" s="4">
        <v>8</v>
      </c>
      <c r="AH4391" s="4">
        <v>20</v>
      </c>
      <c r="AI4391" s="4">
        <v>69</v>
      </c>
      <c r="AJ4391" s="4">
        <v>5</v>
      </c>
      <c r="AK4391" s="4">
        <v>21</v>
      </c>
      <c r="AL4391" s="4">
        <v>13</v>
      </c>
      <c r="AM4391" s="4">
        <v>36</v>
      </c>
      <c r="AN4391" s="4">
        <v>0</v>
      </c>
      <c r="AO4391" s="4">
        <v>0</v>
      </c>
      <c r="AP4391" s="4">
        <v>5</v>
      </c>
      <c r="AQ4391" s="4">
        <v>41</v>
      </c>
      <c r="AR4391" s="3" t="s">
        <v>62</v>
      </c>
      <c r="AS4391" s="3" t="s">
        <v>62</v>
      </c>
      <c r="AT4391" s="3" t="s">
        <v>62</v>
      </c>
      <c r="AV4391" s="6" t="str">
        <f>HYPERLINK("http://mcgill.on.worldcat.org/oclc/656784499","Catalog Record")</f>
        <v>Catalog Record</v>
      </c>
      <c r="AW4391" s="6" t="str">
        <f>HYPERLINK("http://www.worldcat.org/oclc/656784499","WorldCat Record")</f>
        <v>WorldCat Record</v>
      </c>
      <c r="AX4391" s="3" t="s">
        <v>42209</v>
      </c>
      <c r="AY4391" s="3" t="s">
        <v>42210</v>
      </c>
      <c r="AZ4391" s="3" t="s">
        <v>42211</v>
      </c>
      <c r="BA4391" s="3" t="s">
        <v>42211</v>
      </c>
      <c r="BB4391" s="3" t="s">
        <v>42212</v>
      </c>
      <c r="BC4391" s="3" t="s">
        <v>142</v>
      </c>
      <c r="BD4391" s="3" t="s">
        <v>68</v>
      </c>
      <c r="BE4391" s="3" t="s">
        <v>42213</v>
      </c>
      <c r="BF4391" s="3" t="s">
        <v>42212</v>
      </c>
      <c r="BG4391" s="3" t="s">
        <v>42214</v>
      </c>
    </row>
    <row r="4392" spans="1:59" ht="57" x14ac:dyDescent="0.45">
      <c r="A4392" s="2" t="s">
        <v>59</v>
      </c>
      <c r="B4392" s="2" t="s">
        <v>60</v>
      </c>
      <c r="C4392" s="2" t="s">
        <v>42215</v>
      </c>
      <c r="D4392" s="2" t="s">
        <v>42216</v>
      </c>
      <c r="E4392" s="2" t="s">
        <v>42217</v>
      </c>
      <c r="G4392" s="3" t="s">
        <v>62</v>
      </c>
      <c r="I4392" s="3" t="s">
        <v>62</v>
      </c>
      <c r="J4392" s="3" t="s">
        <v>62</v>
      </c>
      <c r="K4392" s="3" t="s">
        <v>63</v>
      </c>
      <c r="M4392" s="2" t="s">
        <v>42218</v>
      </c>
      <c r="N4392" s="3" t="s">
        <v>5180</v>
      </c>
      <c r="P4392" s="3" t="s">
        <v>65</v>
      </c>
      <c r="Q4392" s="2" t="s">
        <v>42219</v>
      </c>
      <c r="R4392" s="3" t="s">
        <v>66</v>
      </c>
      <c r="S4392" s="4">
        <v>1</v>
      </c>
      <c r="T4392" s="4">
        <v>1</v>
      </c>
      <c r="U4392" s="5" t="s">
        <v>42220</v>
      </c>
      <c r="V4392" s="5" t="s">
        <v>42220</v>
      </c>
      <c r="W4392" s="5" t="s">
        <v>67</v>
      </c>
      <c r="X4392" s="5" t="s">
        <v>67</v>
      </c>
      <c r="Y4392" s="4">
        <v>40</v>
      </c>
      <c r="Z4392" s="4">
        <v>4</v>
      </c>
      <c r="AA4392" s="4">
        <v>72</v>
      </c>
      <c r="AB4392" s="4">
        <v>1</v>
      </c>
      <c r="AC4392" s="4">
        <v>14</v>
      </c>
      <c r="AD4392" s="4">
        <v>19</v>
      </c>
      <c r="AE4392" s="4">
        <v>99</v>
      </c>
      <c r="AF4392" s="4">
        <v>0</v>
      </c>
      <c r="AG4392" s="4">
        <v>8</v>
      </c>
      <c r="AH4392" s="4">
        <v>15</v>
      </c>
      <c r="AI4392" s="4">
        <v>66</v>
      </c>
      <c r="AJ4392" s="4">
        <v>2</v>
      </c>
      <c r="AK4392" s="4">
        <v>20</v>
      </c>
      <c r="AL4392" s="4">
        <v>13</v>
      </c>
      <c r="AM4392" s="4">
        <v>34</v>
      </c>
      <c r="AN4392" s="4">
        <v>0</v>
      </c>
      <c r="AO4392" s="4">
        <v>0</v>
      </c>
      <c r="AP4392" s="4">
        <v>3</v>
      </c>
      <c r="AQ4392" s="4">
        <v>39</v>
      </c>
      <c r="AR4392" s="3" t="s">
        <v>62</v>
      </c>
      <c r="AS4392" s="3" t="s">
        <v>62</v>
      </c>
      <c r="AT4392" s="3" t="s">
        <v>62</v>
      </c>
      <c r="AV4392" s="6" t="str">
        <f>HYPERLINK("http://mcgill.on.worldcat.org/oclc/1023394118","Catalog Record")</f>
        <v>Catalog Record</v>
      </c>
      <c r="AW4392" s="6" t="str">
        <f>HYPERLINK("http://www.worldcat.org/oclc/1023394118","WorldCat Record")</f>
        <v>WorldCat Record</v>
      </c>
      <c r="AX4392" s="3" t="s">
        <v>42221</v>
      </c>
      <c r="AY4392" s="3" t="s">
        <v>42222</v>
      </c>
      <c r="AZ4392" s="3" t="s">
        <v>42223</v>
      </c>
      <c r="BA4392" s="3" t="s">
        <v>42223</v>
      </c>
      <c r="BB4392" s="3" t="s">
        <v>42224</v>
      </c>
      <c r="BC4392" s="3" t="s">
        <v>142</v>
      </c>
      <c r="BD4392" s="3" t="s">
        <v>68</v>
      </c>
      <c r="BE4392" s="3" t="s">
        <v>42225</v>
      </c>
      <c r="BF4392" s="3" t="s">
        <v>42224</v>
      </c>
      <c r="BG4392" s="3" t="s">
        <v>42226</v>
      </c>
    </row>
    <row r="4393" spans="1:59" ht="57" x14ac:dyDescent="0.45">
      <c r="A4393" s="2" t="s">
        <v>59</v>
      </c>
      <c r="B4393" s="2" t="s">
        <v>60</v>
      </c>
      <c r="C4393" s="2" t="s">
        <v>42227</v>
      </c>
      <c r="D4393" s="2" t="s">
        <v>42228</v>
      </c>
      <c r="E4393" s="2" t="s">
        <v>42229</v>
      </c>
      <c r="G4393" s="3" t="s">
        <v>62</v>
      </c>
      <c r="I4393" s="3" t="s">
        <v>61</v>
      </c>
      <c r="J4393" s="3" t="s">
        <v>61</v>
      </c>
      <c r="K4393" s="3" t="s">
        <v>63</v>
      </c>
      <c r="L4393" s="2" t="s">
        <v>42230</v>
      </c>
      <c r="M4393" s="2" t="s">
        <v>2654</v>
      </c>
      <c r="N4393" s="3" t="s">
        <v>820</v>
      </c>
      <c r="P4393" s="3" t="s">
        <v>65</v>
      </c>
      <c r="Q4393" s="2" t="s">
        <v>21253</v>
      </c>
      <c r="R4393" s="3" t="s">
        <v>66</v>
      </c>
      <c r="S4393" s="4">
        <v>16</v>
      </c>
      <c r="T4393" s="4">
        <v>165</v>
      </c>
      <c r="U4393" s="5" t="s">
        <v>4265</v>
      </c>
      <c r="V4393" s="5" t="s">
        <v>10429</v>
      </c>
      <c r="W4393" s="5" t="s">
        <v>67</v>
      </c>
      <c r="X4393" s="5" t="s">
        <v>67</v>
      </c>
      <c r="Y4393" s="4">
        <v>181</v>
      </c>
      <c r="Z4393" s="4">
        <v>20</v>
      </c>
      <c r="AA4393" s="4">
        <v>29</v>
      </c>
      <c r="AB4393" s="4">
        <v>2</v>
      </c>
      <c r="AC4393" s="4">
        <v>7</v>
      </c>
      <c r="AD4393" s="4">
        <v>58</v>
      </c>
      <c r="AE4393" s="4">
        <v>75</v>
      </c>
      <c r="AF4393" s="4">
        <v>1</v>
      </c>
      <c r="AG4393" s="4">
        <v>4</v>
      </c>
      <c r="AH4393" s="4">
        <v>49</v>
      </c>
      <c r="AI4393" s="4">
        <v>62</v>
      </c>
      <c r="AJ4393" s="4">
        <v>15</v>
      </c>
      <c r="AK4393" s="4">
        <v>20</v>
      </c>
      <c r="AL4393" s="4">
        <v>27</v>
      </c>
      <c r="AM4393" s="4">
        <v>35</v>
      </c>
      <c r="AN4393" s="4">
        <v>0</v>
      </c>
      <c r="AO4393" s="4">
        <v>0</v>
      </c>
      <c r="AP4393" s="4">
        <v>18</v>
      </c>
      <c r="AQ4393" s="4">
        <v>23</v>
      </c>
      <c r="AR4393" s="3" t="s">
        <v>62</v>
      </c>
      <c r="AS4393" s="3" t="s">
        <v>62</v>
      </c>
      <c r="AT4393" s="3" t="s">
        <v>62</v>
      </c>
      <c r="AV4393" s="6" t="str">
        <f>HYPERLINK("http://mcgill.on.worldcat.org/oclc/183609885","Catalog Record")</f>
        <v>Catalog Record</v>
      </c>
      <c r="AW4393" s="6" t="str">
        <f>HYPERLINK("http://www.worldcat.org/oclc/183609885","WorldCat Record")</f>
        <v>WorldCat Record</v>
      </c>
      <c r="AX4393" s="3" t="s">
        <v>42231</v>
      </c>
      <c r="AY4393" s="3" t="s">
        <v>42232</v>
      </c>
      <c r="AZ4393" s="3" t="s">
        <v>42233</v>
      </c>
      <c r="BA4393" s="3" t="s">
        <v>42233</v>
      </c>
      <c r="BB4393" s="3" t="s">
        <v>42234</v>
      </c>
      <c r="BC4393" s="3" t="s">
        <v>142</v>
      </c>
      <c r="BD4393" s="3" t="s">
        <v>68</v>
      </c>
      <c r="BE4393" s="3" t="s">
        <v>42235</v>
      </c>
      <c r="BF4393" s="3" t="s">
        <v>42234</v>
      </c>
      <c r="BG4393" s="3" t="s">
        <v>42236</v>
      </c>
    </row>
    <row r="4394" spans="1:59" ht="57" x14ac:dyDescent="0.45">
      <c r="A4394" s="2" t="s">
        <v>59</v>
      </c>
      <c r="B4394" s="2" t="s">
        <v>60</v>
      </c>
      <c r="C4394" s="2" t="s">
        <v>42227</v>
      </c>
      <c r="D4394" s="2" t="s">
        <v>42228</v>
      </c>
      <c r="E4394" s="2" t="s">
        <v>42229</v>
      </c>
      <c r="G4394" s="3" t="s">
        <v>62</v>
      </c>
      <c r="I4394" s="3" t="s">
        <v>61</v>
      </c>
      <c r="J4394" s="3" t="s">
        <v>61</v>
      </c>
      <c r="K4394" s="3" t="s">
        <v>63</v>
      </c>
      <c r="L4394" s="2" t="s">
        <v>42230</v>
      </c>
      <c r="M4394" s="2" t="s">
        <v>2654</v>
      </c>
      <c r="N4394" s="3" t="s">
        <v>820</v>
      </c>
      <c r="P4394" s="3" t="s">
        <v>65</v>
      </c>
      <c r="Q4394" s="2" t="s">
        <v>21253</v>
      </c>
      <c r="R4394" s="3" t="s">
        <v>66</v>
      </c>
      <c r="S4394" s="4">
        <v>94</v>
      </c>
      <c r="T4394" s="4">
        <v>165</v>
      </c>
      <c r="U4394" s="5" t="s">
        <v>10429</v>
      </c>
      <c r="V4394" s="5" t="s">
        <v>10429</v>
      </c>
      <c r="W4394" s="5" t="s">
        <v>67</v>
      </c>
      <c r="X4394" s="5" t="s">
        <v>67</v>
      </c>
      <c r="Y4394" s="4">
        <v>181</v>
      </c>
      <c r="Z4394" s="4">
        <v>20</v>
      </c>
      <c r="AA4394" s="4">
        <v>29</v>
      </c>
      <c r="AB4394" s="4">
        <v>2</v>
      </c>
      <c r="AC4394" s="4">
        <v>7</v>
      </c>
      <c r="AD4394" s="4">
        <v>58</v>
      </c>
      <c r="AE4394" s="4">
        <v>75</v>
      </c>
      <c r="AF4394" s="4">
        <v>1</v>
      </c>
      <c r="AG4394" s="4">
        <v>4</v>
      </c>
      <c r="AH4394" s="4">
        <v>49</v>
      </c>
      <c r="AI4394" s="4">
        <v>62</v>
      </c>
      <c r="AJ4394" s="4">
        <v>15</v>
      </c>
      <c r="AK4394" s="4">
        <v>20</v>
      </c>
      <c r="AL4394" s="4">
        <v>27</v>
      </c>
      <c r="AM4394" s="4">
        <v>35</v>
      </c>
      <c r="AN4394" s="4">
        <v>0</v>
      </c>
      <c r="AO4394" s="4">
        <v>0</v>
      </c>
      <c r="AP4394" s="4">
        <v>18</v>
      </c>
      <c r="AQ4394" s="4">
        <v>23</v>
      </c>
      <c r="AR4394" s="3" t="s">
        <v>62</v>
      </c>
      <c r="AS4394" s="3" t="s">
        <v>62</v>
      </c>
      <c r="AT4394" s="3" t="s">
        <v>62</v>
      </c>
      <c r="AV4394" s="6" t="str">
        <f>HYPERLINK("http://mcgill.on.worldcat.org/oclc/183609885","Catalog Record")</f>
        <v>Catalog Record</v>
      </c>
      <c r="AW4394" s="6" t="str">
        <f>HYPERLINK("http://www.worldcat.org/oclc/183609885","WorldCat Record")</f>
        <v>WorldCat Record</v>
      </c>
      <c r="AX4394" s="3" t="s">
        <v>42231</v>
      </c>
      <c r="AY4394" s="3" t="s">
        <v>42232</v>
      </c>
      <c r="AZ4394" s="3" t="s">
        <v>42233</v>
      </c>
      <c r="BA4394" s="3" t="s">
        <v>42233</v>
      </c>
      <c r="BB4394" s="3" t="s">
        <v>42237</v>
      </c>
      <c r="BC4394" s="3" t="s">
        <v>142</v>
      </c>
      <c r="BD4394" s="3" t="s">
        <v>68</v>
      </c>
      <c r="BE4394" s="3" t="s">
        <v>42235</v>
      </c>
      <c r="BF4394" s="3" t="s">
        <v>42237</v>
      </c>
      <c r="BG4394" s="3" t="s">
        <v>42238</v>
      </c>
    </row>
    <row r="4395" spans="1:59" ht="57" x14ac:dyDescent="0.45">
      <c r="A4395" s="2" t="s">
        <v>59</v>
      </c>
      <c r="B4395" s="2" t="s">
        <v>60</v>
      </c>
      <c r="C4395" s="2" t="s">
        <v>42227</v>
      </c>
      <c r="D4395" s="2" t="s">
        <v>42228</v>
      </c>
      <c r="E4395" s="2" t="s">
        <v>42229</v>
      </c>
      <c r="G4395" s="3" t="s">
        <v>62</v>
      </c>
      <c r="I4395" s="3" t="s">
        <v>61</v>
      </c>
      <c r="J4395" s="3" t="s">
        <v>61</v>
      </c>
      <c r="K4395" s="3" t="s">
        <v>63</v>
      </c>
      <c r="L4395" s="2" t="s">
        <v>42230</v>
      </c>
      <c r="M4395" s="2" t="s">
        <v>2654</v>
      </c>
      <c r="N4395" s="3" t="s">
        <v>820</v>
      </c>
      <c r="P4395" s="3" t="s">
        <v>65</v>
      </c>
      <c r="Q4395" s="2" t="s">
        <v>21253</v>
      </c>
      <c r="R4395" s="3" t="s">
        <v>66</v>
      </c>
      <c r="S4395" s="4">
        <v>28</v>
      </c>
      <c r="T4395" s="4">
        <v>165</v>
      </c>
      <c r="U4395" s="5" t="s">
        <v>41777</v>
      </c>
      <c r="V4395" s="5" t="s">
        <v>10429</v>
      </c>
      <c r="W4395" s="5" t="s">
        <v>67</v>
      </c>
      <c r="X4395" s="5" t="s">
        <v>67</v>
      </c>
      <c r="Y4395" s="4">
        <v>181</v>
      </c>
      <c r="Z4395" s="4">
        <v>20</v>
      </c>
      <c r="AA4395" s="4">
        <v>29</v>
      </c>
      <c r="AB4395" s="4">
        <v>2</v>
      </c>
      <c r="AC4395" s="4">
        <v>7</v>
      </c>
      <c r="AD4395" s="4">
        <v>58</v>
      </c>
      <c r="AE4395" s="4">
        <v>75</v>
      </c>
      <c r="AF4395" s="4">
        <v>1</v>
      </c>
      <c r="AG4395" s="4">
        <v>4</v>
      </c>
      <c r="AH4395" s="4">
        <v>49</v>
      </c>
      <c r="AI4395" s="4">
        <v>62</v>
      </c>
      <c r="AJ4395" s="4">
        <v>15</v>
      </c>
      <c r="AK4395" s="4">
        <v>20</v>
      </c>
      <c r="AL4395" s="4">
        <v>27</v>
      </c>
      <c r="AM4395" s="4">
        <v>35</v>
      </c>
      <c r="AN4395" s="4">
        <v>0</v>
      </c>
      <c r="AO4395" s="4">
        <v>0</v>
      </c>
      <c r="AP4395" s="4">
        <v>18</v>
      </c>
      <c r="AQ4395" s="4">
        <v>23</v>
      </c>
      <c r="AR4395" s="3" t="s">
        <v>62</v>
      </c>
      <c r="AS4395" s="3" t="s">
        <v>62</v>
      </c>
      <c r="AT4395" s="3" t="s">
        <v>62</v>
      </c>
      <c r="AV4395" s="6" t="str">
        <f>HYPERLINK("http://mcgill.on.worldcat.org/oclc/183609885","Catalog Record")</f>
        <v>Catalog Record</v>
      </c>
      <c r="AW4395" s="6" t="str">
        <f>HYPERLINK("http://www.worldcat.org/oclc/183609885","WorldCat Record")</f>
        <v>WorldCat Record</v>
      </c>
      <c r="AX4395" s="3" t="s">
        <v>42231</v>
      </c>
      <c r="AY4395" s="3" t="s">
        <v>42232</v>
      </c>
      <c r="AZ4395" s="3" t="s">
        <v>42233</v>
      </c>
      <c r="BA4395" s="3" t="s">
        <v>42233</v>
      </c>
      <c r="BB4395" s="3" t="s">
        <v>42239</v>
      </c>
      <c r="BC4395" s="3" t="s">
        <v>142</v>
      </c>
      <c r="BD4395" s="3" t="s">
        <v>68</v>
      </c>
      <c r="BE4395" s="3" t="s">
        <v>42235</v>
      </c>
      <c r="BF4395" s="3" t="s">
        <v>42239</v>
      </c>
      <c r="BG4395" s="3" t="s">
        <v>42240</v>
      </c>
    </row>
    <row r="4396" spans="1:59" ht="57" x14ac:dyDescent="0.45">
      <c r="A4396" s="2" t="s">
        <v>59</v>
      </c>
      <c r="B4396" s="2" t="s">
        <v>60</v>
      </c>
      <c r="C4396" s="2" t="s">
        <v>42227</v>
      </c>
      <c r="D4396" s="2" t="s">
        <v>42228</v>
      </c>
      <c r="E4396" s="2" t="s">
        <v>42229</v>
      </c>
      <c r="G4396" s="3" t="s">
        <v>62</v>
      </c>
      <c r="I4396" s="3" t="s">
        <v>61</v>
      </c>
      <c r="J4396" s="3" t="s">
        <v>61</v>
      </c>
      <c r="K4396" s="3" t="s">
        <v>63</v>
      </c>
      <c r="L4396" s="2" t="s">
        <v>42230</v>
      </c>
      <c r="M4396" s="2" t="s">
        <v>2654</v>
      </c>
      <c r="N4396" s="3" t="s">
        <v>820</v>
      </c>
      <c r="P4396" s="3" t="s">
        <v>65</v>
      </c>
      <c r="Q4396" s="2" t="s">
        <v>21253</v>
      </c>
      <c r="R4396" s="3" t="s">
        <v>66</v>
      </c>
      <c r="S4396" s="4">
        <v>27</v>
      </c>
      <c r="T4396" s="4">
        <v>165</v>
      </c>
      <c r="U4396" s="5" t="s">
        <v>42241</v>
      </c>
      <c r="V4396" s="5" t="s">
        <v>10429</v>
      </c>
      <c r="W4396" s="5" t="s">
        <v>67</v>
      </c>
      <c r="X4396" s="5" t="s">
        <v>67</v>
      </c>
      <c r="Y4396" s="4">
        <v>181</v>
      </c>
      <c r="Z4396" s="4">
        <v>20</v>
      </c>
      <c r="AA4396" s="4">
        <v>29</v>
      </c>
      <c r="AB4396" s="4">
        <v>2</v>
      </c>
      <c r="AC4396" s="4">
        <v>7</v>
      </c>
      <c r="AD4396" s="4">
        <v>58</v>
      </c>
      <c r="AE4396" s="4">
        <v>75</v>
      </c>
      <c r="AF4396" s="4">
        <v>1</v>
      </c>
      <c r="AG4396" s="4">
        <v>4</v>
      </c>
      <c r="AH4396" s="4">
        <v>49</v>
      </c>
      <c r="AI4396" s="4">
        <v>62</v>
      </c>
      <c r="AJ4396" s="4">
        <v>15</v>
      </c>
      <c r="AK4396" s="4">
        <v>20</v>
      </c>
      <c r="AL4396" s="4">
        <v>27</v>
      </c>
      <c r="AM4396" s="4">
        <v>35</v>
      </c>
      <c r="AN4396" s="4">
        <v>0</v>
      </c>
      <c r="AO4396" s="4">
        <v>0</v>
      </c>
      <c r="AP4396" s="4">
        <v>18</v>
      </c>
      <c r="AQ4396" s="4">
        <v>23</v>
      </c>
      <c r="AR4396" s="3" t="s">
        <v>62</v>
      </c>
      <c r="AS4396" s="3" t="s">
        <v>62</v>
      </c>
      <c r="AT4396" s="3" t="s">
        <v>62</v>
      </c>
      <c r="AV4396" s="6" t="str">
        <f>HYPERLINK("http://mcgill.on.worldcat.org/oclc/183609885","Catalog Record")</f>
        <v>Catalog Record</v>
      </c>
      <c r="AW4396" s="6" t="str">
        <f>HYPERLINK("http://www.worldcat.org/oclc/183609885","WorldCat Record")</f>
        <v>WorldCat Record</v>
      </c>
      <c r="AX4396" s="3" t="s">
        <v>42231</v>
      </c>
      <c r="AY4396" s="3" t="s">
        <v>42232</v>
      </c>
      <c r="AZ4396" s="3" t="s">
        <v>42233</v>
      </c>
      <c r="BA4396" s="3" t="s">
        <v>42233</v>
      </c>
      <c r="BB4396" s="3" t="s">
        <v>42242</v>
      </c>
      <c r="BC4396" s="3" t="s">
        <v>142</v>
      </c>
      <c r="BD4396" s="3" t="s">
        <v>68</v>
      </c>
      <c r="BE4396" s="3" t="s">
        <v>42235</v>
      </c>
      <c r="BF4396" s="3" t="s">
        <v>42242</v>
      </c>
      <c r="BG4396" s="3" t="s">
        <v>42243</v>
      </c>
    </row>
    <row r="4397" spans="1:59" ht="57" x14ac:dyDescent="0.45">
      <c r="A4397" s="2" t="s">
        <v>59</v>
      </c>
      <c r="B4397" s="2" t="s">
        <v>60</v>
      </c>
      <c r="C4397" s="2" t="s">
        <v>42244</v>
      </c>
      <c r="D4397" s="2" t="s">
        <v>42245</v>
      </c>
      <c r="E4397" s="2" t="s">
        <v>42229</v>
      </c>
      <c r="G4397" s="3" t="s">
        <v>62</v>
      </c>
      <c r="I4397" s="3" t="s">
        <v>61</v>
      </c>
      <c r="J4397" s="3" t="s">
        <v>61</v>
      </c>
      <c r="K4397" s="3" t="s">
        <v>63</v>
      </c>
      <c r="L4397" s="2" t="s">
        <v>42230</v>
      </c>
      <c r="M4397" s="2" t="s">
        <v>10884</v>
      </c>
      <c r="N4397" s="3" t="s">
        <v>116</v>
      </c>
      <c r="O4397" s="2" t="s">
        <v>933</v>
      </c>
      <c r="P4397" s="3" t="s">
        <v>65</v>
      </c>
      <c r="Q4397" s="2" t="s">
        <v>38389</v>
      </c>
      <c r="R4397" s="3" t="s">
        <v>66</v>
      </c>
      <c r="S4397" s="4">
        <v>19</v>
      </c>
      <c r="T4397" s="4">
        <v>63</v>
      </c>
      <c r="U4397" s="5" t="s">
        <v>27247</v>
      </c>
      <c r="V4397" s="5" t="s">
        <v>22630</v>
      </c>
      <c r="W4397" s="5" t="s">
        <v>67</v>
      </c>
      <c r="X4397" s="5" t="s">
        <v>67</v>
      </c>
      <c r="Y4397" s="4">
        <v>87</v>
      </c>
      <c r="Z4397" s="4">
        <v>12</v>
      </c>
      <c r="AA4397" s="4">
        <v>29</v>
      </c>
      <c r="AB4397" s="4">
        <v>2</v>
      </c>
      <c r="AC4397" s="4">
        <v>7</v>
      </c>
      <c r="AD4397" s="4">
        <v>28</v>
      </c>
      <c r="AE4397" s="4">
        <v>75</v>
      </c>
      <c r="AF4397" s="4">
        <v>1</v>
      </c>
      <c r="AG4397" s="4">
        <v>4</v>
      </c>
      <c r="AH4397" s="4">
        <v>25</v>
      </c>
      <c r="AI4397" s="4">
        <v>62</v>
      </c>
      <c r="AJ4397" s="4">
        <v>9</v>
      </c>
      <c r="AK4397" s="4">
        <v>20</v>
      </c>
      <c r="AL4397" s="4">
        <v>14</v>
      </c>
      <c r="AM4397" s="4">
        <v>35</v>
      </c>
      <c r="AN4397" s="4">
        <v>0</v>
      </c>
      <c r="AO4397" s="4">
        <v>0</v>
      </c>
      <c r="AP4397" s="4">
        <v>9</v>
      </c>
      <c r="AQ4397" s="4">
        <v>23</v>
      </c>
      <c r="AR4397" s="3" t="s">
        <v>62</v>
      </c>
      <c r="AS4397" s="3" t="s">
        <v>62</v>
      </c>
      <c r="AT4397" s="3" t="s">
        <v>62</v>
      </c>
      <c r="AV4397" s="6" t="str">
        <f>HYPERLINK("http://mcgill.on.worldcat.org/oclc/812686111","Catalog Record")</f>
        <v>Catalog Record</v>
      </c>
      <c r="AW4397" s="6" t="str">
        <f>HYPERLINK("http://www.worldcat.org/oclc/812686111","WorldCat Record")</f>
        <v>WorldCat Record</v>
      </c>
      <c r="AX4397" s="3" t="s">
        <v>42231</v>
      </c>
      <c r="AY4397" s="3" t="s">
        <v>42246</v>
      </c>
      <c r="AZ4397" s="3" t="s">
        <v>42247</v>
      </c>
      <c r="BA4397" s="3" t="s">
        <v>42247</v>
      </c>
      <c r="BB4397" s="3" t="s">
        <v>42248</v>
      </c>
      <c r="BC4397" s="3" t="s">
        <v>142</v>
      </c>
      <c r="BD4397" s="3" t="s">
        <v>68</v>
      </c>
      <c r="BE4397" s="3" t="s">
        <v>42249</v>
      </c>
      <c r="BF4397" s="3" t="s">
        <v>42248</v>
      </c>
      <c r="BG4397" s="3" t="s">
        <v>42250</v>
      </c>
    </row>
    <row r="4398" spans="1:59" ht="57" x14ac:dyDescent="0.45">
      <c r="A4398" s="2" t="s">
        <v>59</v>
      </c>
      <c r="B4398" s="2" t="s">
        <v>60</v>
      </c>
      <c r="C4398" s="2" t="s">
        <v>42244</v>
      </c>
      <c r="D4398" s="2" t="s">
        <v>42245</v>
      </c>
      <c r="E4398" s="2" t="s">
        <v>42229</v>
      </c>
      <c r="G4398" s="3" t="s">
        <v>62</v>
      </c>
      <c r="I4398" s="3" t="s">
        <v>61</v>
      </c>
      <c r="J4398" s="3" t="s">
        <v>61</v>
      </c>
      <c r="K4398" s="3" t="s">
        <v>63</v>
      </c>
      <c r="L4398" s="2" t="s">
        <v>42230</v>
      </c>
      <c r="M4398" s="2" t="s">
        <v>10884</v>
      </c>
      <c r="N4398" s="3" t="s">
        <v>116</v>
      </c>
      <c r="O4398" s="2" t="s">
        <v>933</v>
      </c>
      <c r="P4398" s="3" t="s">
        <v>65</v>
      </c>
      <c r="Q4398" s="2" t="s">
        <v>38389</v>
      </c>
      <c r="R4398" s="3" t="s">
        <v>66</v>
      </c>
      <c r="S4398" s="4">
        <v>17</v>
      </c>
      <c r="T4398" s="4">
        <v>63</v>
      </c>
      <c r="U4398" s="5" t="s">
        <v>22630</v>
      </c>
      <c r="V4398" s="5" t="s">
        <v>22630</v>
      </c>
      <c r="W4398" s="5" t="s">
        <v>67</v>
      </c>
      <c r="X4398" s="5" t="s">
        <v>67</v>
      </c>
      <c r="Y4398" s="4">
        <v>87</v>
      </c>
      <c r="Z4398" s="4">
        <v>12</v>
      </c>
      <c r="AA4398" s="4">
        <v>29</v>
      </c>
      <c r="AB4398" s="4">
        <v>2</v>
      </c>
      <c r="AC4398" s="4">
        <v>7</v>
      </c>
      <c r="AD4398" s="4">
        <v>28</v>
      </c>
      <c r="AE4398" s="4">
        <v>75</v>
      </c>
      <c r="AF4398" s="4">
        <v>1</v>
      </c>
      <c r="AG4398" s="4">
        <v>4</v>
      </c>
      <c r="AH4398" s="4">
        <v>25</v>
      </c>
      <c r="AI4398" s="4">
        <v>62</v>
      </c>
      <c r="AJ4398" s="4">
        <v>9</v>
      </c>
      <c r="AK4398" s="4">
        <v>20</v>
      </c>
      <c r="AL4398" s="4">
        <v>14</v>
      </c>
      <c r="AM4398" s="4">
        <v>35</v>
      </c>
      <c r="AN4398" s="4">
        <v>0</v>
      </c>
      <c r="AO4398" s="4">
        <v>0</v>
      </c>
      <c r="AP4398" s="4">
        <v>9</v>
      </c>
      <c r="AQ4398" s="4">
        <v>23</v>
      </c>
      <c r="AR4398" s="3" t="s">
        <v>62</v>
      </c>
      <c r="AS4398" s="3" t="s">
        <v>62</v>
      </c>
      <c r="AT4398" s="3" t="s">
        <v>62</v>
      </c>
      <c r="AV4398" s="6" t="str">
        <f>HYPERLINK("http://mcgill.on.worldcat.org/oclc/812686111","Catalog Record")</f>
        <v>Catalog Record</v>
      </c>
      <c r="AW4398" s="6" t="str">
        <f>HYPERLINK("http://www.worldcat.org/oclc/812686111","WorldCat Record")</f>
        <v>WorldCat Record</v>
      </c>
      <c r="AX4398" s="3" t="s">
        <v>42231</v>
      </c>
      <c r="AY4398" s="3" t="s">
        <v>42246</v>
      </c>
      <c r="AZ4398" s="3" t="s">
        <v>42247</v>
      </c>
      <c r="BA4398" s="3" t="s">
        <v>42247</v>
      </c>
      <c r="BB4398" s="3" t="s">
        <v>42251</v>
      </c>
      <c r="BC4398" s="3" t="s">
        <v>142</v>
      </c>
      <c r="BD4398" s="3" t="s">
        <v>68</v>
      </c>
      <c r="BE4398" s="3" t="s">
        <v>42249</v>
      </c>
      <c r="BF4398" s="3" t="s">
        <v>42251</v>
      </c>
      <c r="BG4398" s="3" t="s">
        <v>42252</v>
      </c>
    </row>
    <row r="4399" spans="1:59" ht="57" x14ac:dyDescent="0.45">
      <c r="A4399" s="2" t="s">
        <v>59</v>
      </c>
      <c r="B4399" s="2" t="s">
        <v>60</v>
      </c>
      <c r="C4399" s="2" t="s">
        <v>42244</v>
      </c>
      <c r="D4399" s="2" t="s">
        <v>42245</v>
      </c>
      <c r="E4399" s="2" t="s">
        <v>42229</v>
      </c>
      <c r="G4399" s="3" t="s">
        <v>62</v>
      </c>
      <c r="I4399" s="3" t="s">
        <v>61</v>
      </c>
      <c r="J4399" s="3" t="s">
        <v>61</v>
      </c>
      <c r="K4399" s="3" t="s">
        <v>63</v>
      </c>
      <c r="L4399" s="2" t="s">
        <v>42230</v>
      </c>
      <c r="M4399" s="2" t="s">
        <v>10884</v>
      </c>
      <c r="N4399" s="3" t="s">
        <v>116</v>
      </c>
      <c r="O4399" s="2" t="s">
        <v>933</v>
      </c>
      <c r="P4399" s="3" t="s">
        <v>65</v>
      </c>
      <c r="Q4399" s="2" t="s">
        <v>38389</v>
      </c>
      <c r="R4399" s="3" t="s">
        <v>66</v>
      </c>
      <c r="S4399" s="4">
        <v>27</v>
      </c>
      <c r="T4399" s="4">
        <v>63</v>
      </c>
      <c r="U4399" s="5" t="s">
        <v>137</v>
      </c>
      <c r="V4399" s="5" t="s">
        <v>22630</v>
      </c>
      <c r="W4399" s="5" t="s">
        <v>67</v>
      </c>
      <c r="X4399" s="5" t="s">
        <v>67</v>
      </c>
      <c r="Y4399" s="4">
        <v>87</v>
      </c>
      <c r="Z4399" s="4">
        <v>12</v>
      </c>
      <c r="AA4399" s="4">
        <v>29</v>
      </c>
      <c r="AB4399" s="4">
        <v>2</v>
      </c>
      <c r="AC4399" s="4">
        <v>7</v>
      </c>
      <c r="AD4399" s="4">
        <v>28</v>
      </c>
      <c r="AE4399" s="4">
        <v>75</v>
      </c>
      <c r="AF4399" s="4">
        <v>1</v>
      </c>
      <c r="AG4399" s="4">
        <v>4</v>
      </c>
      <c r="AH4399" s="4">
        <v>25</v>
      </c>
      <c r="AI4399" s="4">
        <v>62</v>
      </c>
      <c r="AJ4399" s="4">
        <v>9</v>
      </c>
      <c r="AK4399" s="4">
        <v>20</v>
      </c>
      <c r="AL4399" s="4">
        <v>14</v>
      </c>
      <c r="AM4399" s="4">
        <v>35</v>
      </c>
      <c r="AN4399" s="4">
        <v>0</v>
      </c>
      <c r="AO4399" s="4">
        <v>0</v>
      </c>
      <c r="AP4399" s="4">
        <v>9</v>
      </c>
      <c r="AQ4399" s="4">
        <v>23</v>
      </c>
      <c r="AR4399" s="3" t="s">
        <v>62</v>
      </c>
      <c r="AS4399" s="3" t="s">
        <v>62</v>
      </c>
      <c r="AT4399" s="3" t="s">
        <v>62</v>
      </c>
      <c r="AV4399" s="6" t="str">
        <f>HYPERLINK("http://mcgill.on.worldcat.org/oclc/812686111","Catalog Record")</f>
        <v>Catalog Record</v>
      </c>
      <c r="AW4399" s="6" t="str">
        <f>HYPERLINK("http://www.worldcat.org/oclc/812686111","WorldCat Record")</f>
        <v>WorldCat Record</v>
      </c>
      <c r="AX4399" s="3" t="s">
        <v>42231</v>
      </c>
      <c r="AY4399" s="3" t="s">
        <v>42246</v>
      </c>
      <c r="AZ4399" s="3" t="s">
        <v>42247</v>
      </c>
      <c r="BA4399" s="3" t="s">
        <v>42247</v>
      </c>
      <c r="BB4399" s="3" t="s">
        <v>42253</v>
      </c>
      <c r="BC4399" s="3" t="s">
        <v>142</v>
      </c>
      <c r="BD4399" s="3" t="s">
        <v>68</v>
      </c>
      <c r="BE4399" s="3" t="s">
        <v>42249</v>
      </c>
      <c r="BF4399" s="3" t="s">
        <v>42253</v>
      </c>
      <c r="BG4399" s="3" t="s">
        <v>42254</v>
      </c>
    </row>
    <row r="4400" spans="1:59" ht="57" x14ac:dyDescent="0.45">
      <c r="A4400" s="2" t="s">
        <v>59</v>
      </c>
      <c r="B4400" s="2" t="s">
        <v>60</v>
      </c>
      <c r="C4400" s="2" t="s">
        <v>42255</v>
      </c>
      <c r="D4400" s="2" t="s">
        <v>42256</v>
      </c>
      <c r="E4400" s="2" t="s">
        <v>42257</v>
      </c>
      <c r="G4400" s="3" t="s">
        <v>62</v>
      </c>
      <c r="I4400" s="3" t="s">
        <v>62</v>
      </c>
      <c r="J4400" s="3" t="s">
        <v>62</v>
      </c>
      <c r="K4400" s="3" t="s">
        <v>63</v>
      </c>
      <c r="L4400" s="2" t="s">
        <v>720</v>
      </c>
      <c r="M4400" s="2" t="s">
        <v>42258</v>
      </c>
      <c r="N4400" s="3" t="s">
        <v>125</v>
      </c>
      <c r="P4400" s="3" t="s">
        <v>65</v>
      </c>
      <c r="R4400" s="3" t="s">
        <v>66</v>
      </c>
      <c r="S4400" s="4">
        <v>39</v>
      </c>
      <c r="T4400" s="4">
        <v>39</v>
      </c>
      <c r="U4400" s="5" t="s">
        <v>33502</v>
      </c>
      <c r="V4400" s="5" t="s">
        <v>33502</v>
      </c>
      <c r="W4400" s="5" t="s">
        <v>67</v>
      </c>
      <c r="X4400" s="5" t="s">
        <v>67</v>
      </c>
      <c r="Y4400" s="4">
        <v>644</v>
      </c>
      <c r="Z4400" s="4">
        <v>40</v>
      </c>
      <c r="AA4400" s="4">
        <v>44</v>
      </c>
      <c r="AB4400" s="4">
        <v>2</v>
      </c>
      <c r="AC4400" s="4">
        <v>4</v>
      </c>
      <c r="AD4400" s="4">
        <v>131</v>
      </c>
      <c r="AE4400" s="4">
        <v>134</v>
      </c>
      <c r="AF4400" s="4">
        <v>1</v>
      </c>
      <c r="AG4400" s="4">
        <v>3</v>
      </c>
      <c r="AH4400" s="4">
        <v>110</v>
      </c>
      <c r="AI4400" s="4">
        <v>111</v>
      </c>
      <c r="AJ4400" s="4">
        <v>19</v>
      </c>
      <c r="AK4400" s="4">
        <v>21</v>
      </c>
      <c r="AL4400" s="4">
        <v>59</v>
      </c>
      <c r="AM4400" s="4">
        <v>59</v>
      </c>
      <c r="AN4400" s="4">
        <v>0</v>
      </c>
      <c r="AO4400" s="4">
        <v>0</v>
      </c>
      <c r="AP4400" s="4">
        <v>30</v>
      </c>
      <c r="AQ4400" s="4">
        <v>33</v>
      </c>
      <c r="AR4400" s="3" t="s">
        <v>62</v>
      </c>
      <c r="AS4400" s="3" t="s">
        <v>62</v>
      </c>
      <c r="AT4400" s="3" t="s">
        <v>61</v>
      </c>
      <c r="AU4400" s="6" t="str">
        <f>HYPERLINK("http://catalog.hathitrust.org/Record/002235067","HathiTrust Record")</f>
        <v>HathiTrust Record</v>
      </c>
      <c r="AV4400" s="6" t="str">
        <f>HYPERLINK("http://mcgill.on.worldcat.org/oclc/20932787","Catalog Record")</f>
        <v>Catalog Record</v>
      </c>
      <c r="AW4400" s="6" t="str">
        <f>HYPERLINK("http://www.worldcat.org/oclc/20932787","WorldCat Record")</f>
        <v>WorldCat Record</v>
      </c>
      <c r="AX4400" s="3" t="s">
        <v>42259</v>
      </c>
      <c r="AY4400" s="3" t="s">
        <v>42260</v>
      </c>
      <c r="AZ4400" s="3" t="s">
        <v>42261</v>
      </c>
      <c r="BA4400" s="3" t="s">
        <v>42261</v>
      </c>
      <c r="BB4400" s="3" t="s">
        <v>42262</v>
      </c>
      <c r="BC4400" s="3" t="s">
        <v>142</v>
      </c>
      <c r="BD4400" s="3" t="s">
        <v>68</v>
      </c>
      <c r="BE4400" s="3" t="s">
        <v>42263</v>
      </c>
      <c r="BF4400" s="3" t="s">
        <v>42262</v>
      </c>
      <c r="BG4400" s="3" t="s">
        <v>42264</v>
      </c>
    </row>
    <row r="4401" spans="1:59" ht="57" x14ac:dyDescent="0.45">
      <c r="A4401" s="2" t="s">
        <v>59</v>
      </c>
      <c r="B4401" s="2" t="s">
        <v>60</v>
      </c>
      <c r="C4401" s="2" t="s">
        <v>42265</v>
      </c>
      <c r="D4401" s="2" t="s">
        <v>42266</v>
      </c>
      <c r="E4401" s="2" t="s">
        <v>42267</v>
      </c>
      <c r="G4401" s="3" t="s">
        <v>62</v>
      </c>
      <c r="I4401" s="3" t="s">
        <v>61</v>
      </c>
      <c r="J4401" s="3" t="s">
        <v>62</v>
      </c>
      <c r="K4401" s="3" t="s">
        <v>63</v>
      </c>
      <c r="L4401" s="2" t="s">
        <v>42268</v>
      </c>
      <c r="M4401" s="2" t="s">
        <v>7220</v>
      </c>
      <c r="N4401" s="3" t="s">
        <v>1059</v>
      </c>
      <c r="P4401" s="3" t="s">
        <v>65</v>
      </c>
      <c r="R4401" s="3" t="s">
        <v>66</v>
      </c>
      <c r="S4401" s="4">
        <v>3</v>
      </c>
      <c r="T4401" s="4">
        <v>4</v>
      </c>
      <c r="U4401" s="5" t="s">
        <v>7625</v>
      </c>
      <c r="V4401" s="5" t="s">
        <v>7625</v>
      </c>
      <c r="W4401" s="5" t="s">
        <v>67</v>
      </c>
      <c r="X4401" s="5" t="s">
        <v>67</v>
      </c>
      <c r="Y4401" s="4">
        <v>155</v>
      </c>
      <c r="Z4401" s="4">
        <v>14</v>
      </c>
      <c r="AA4401" s="4">
        <v>17</v>
      </c>
      <c r="AB4401" s="4">
        <v>2</v>
      </c>
      <c r="AC4401" s="4">
        <v>5</v>
      </c>
      <c r="AD4401" s="4">
        <v>69</v>
      </c>
      <c r="AE4401" s="4">
        <v>73</v>
      </c>
      <c r="AF4401" s="4">
        <v>1</v>
      </c>
      <c r="AG4401" s="4">
        <v>1</v>
      </c>
      <c r="AH4401" s="4">
        <v>62</v>
      </c>
      <c r="AI4401" s="4">
        <v>66</v>
      </c>
      <c r="AJ4401" s="4">
        <v>11</v>
      </c>
      <c r="AK4401" s="4">
        <v>11</v>
      </c>
      <c r="AL4401" s="4">
        <v>39</v>
      </c>
      <c r="AM4401" s="4">
        <v>41</v>
      </c>
      <c r="AN4401" s="4">
        <v>0</v>
      </c>
      <c r="AO4401" s="4">
        <v>0</v>
      </c>
      <c r="AP4401" s="4">
        <v>12</v>
      </c>
      <c r="AQ4401" s="4">
        <v>12</v>
      </c>
      <c r="AR4401" s="3" t="s">
        <v>62</v>
      </c>
      <c r="AS4401" s="3" t="s">
        <v>62</v>
      </c>
      <c r="AT4401" s="3" t="s">
        <v>62</v>
      </c>
      <c r="AV4401" s="6" t="str">
        <f>HYPERLINK("http://mcgill.on.worldcat.org/oclc/61229822","Catalog Record")</f>
        <v>Catalog Record</v>
      </c>
      <c r="AW4401" s="6" t="str">
        <f>HYPERLINK("http://www.worldcat.org/oclc/61229822","WorldCat Record")</f>
        <v>WorldCat Record</v>
      </c>
      <c r="AX4401" s="3" t="s">
        <v>42269</v>
      </c>
      <c r="AY4401" s="3" t="s">
        <v>42270</v>
      </c>
      <c r="AZ4401" s="3" t="s">
        <v>42271</v>
      </c>
      <c r="BA4401" s="3" t="s">
        <v>42271</v>
      </c>
      <c r="BB4401" s="3" t="s">
        <v>42272</v>
      </c>
      <c r="BC4401" s="3" t="s">
        <v>142</v>
      </c>
      <c r="BD4401" s="3" t="s">
        <v>68</v>
      </c>
      <c r="BE4401" s="3" t="s">
        <v>42273</v>
      </c>
      <c r="BF4401" s="3" t="s">
        <v>42272</v>
      </c>
      <c r="BG4401" s="3" t="s">
        <v>42274</v>
      </c>
    </row>
    <row r="4402" spans="1:59" ht="57" x14ac:dyDescent="0.45">
      <c r="A4402" s="2" t="s">
        <v>59</v>
      </c>
      <c r="B4402" s="2" t="s">
        <v>60</v>
      </c>
      <c r="C4402" s="2" t="s">
        <v>42265</v>
      </c>
      <c r="D4402" s="2" t="s">
        <v>42266</v>
      </c>
      <c r="E4402" s="2" t="s">
        <v>42267</v>
      </c>
      <c r="G4402" s="3" t="s">
        <v>62</v>
      </c>
      <c r="I4402" s="3" t="s">
        <v>61</v>
      </c>
      <c r="J4402" s="3" t="s">
        <v>62</v>
      </c>
      <c r="K4402" s="3" t="s">
        <v>63</v>
      </c>
      <c r="L4402" s="2" t="s">
        <v>42268</v>
      </c>
      <c r="M4402" s="2" t="s">
        <v>7220</v>
      </c>
      <c r="N4402" s="3" t="s">
        <v>1059</v>
      </c>
      <c r="P4402" s="3" t="s">
        <v>65</v>
      </c>
      <c r="R4402" s="3" t="s">
        <v>66</v>
      </c>
      <c r="S4402" s="4">
        <v>1</v>
      </c>
      <c r="T4402" s="4">
        <v>4</v>
      </c>
      <c r="U4402" s="5" t="s">
        <v>42275</v>
      </c>
      <c r="V4402" s="5" t="s">
        <v>7625</v>
      </c>
      <c r="W4402" s="5" t="s">
        <v>67</v>
      </c>
      <c r="X4402" s="5" t="s">
        <v>67</v>
      </c>
      <c r="Y4402" s="4">
        <v>155</v>
      </c>
      <c r="Z4402" s="4">
        <v>14</v>
      </c>
      <c r="AA4402" s="4">
        <v>17</v>
      </c>
      <c r="AB4402" s="4">
        <v>2</v>
      </c>
      <c r="AC4402" s="4">
        <v>5</v>
      </c>
      <c r="AD4402" s="4">
        <v>69</v>
      </c>
      <c r="AE4402" s="4">
        <v>73</v>
      </c>
      <c r="AF4402" s="4">
        <v>1</v>
      </c>
      <c r="AG4402" s="4">
        <v>1</v>
      </c>
      <c r="AH4402" s="4">
        <v>62</v>
      </c>
      <c r="AI4402" s="4">
        <v>66</v>
      </c>
      <c r="AJ4402" s="4">
        <v>11</v>
      </c>
      <c r="AK4402" s="4">
        <v>11</v>
      </c>
      <c r="AL4402" s="4">
        <v>39</v>
      </c>
      <c r="AM4402" s="4">
        <v>41</v>
      </c>
      <c r="AN4402" s="4">
        <v>0</v>
      </c>
      <c r="AO4402" s="4">
        <v>0</v>
      </c>
      <c r="AP4402" s="4">
        <v>12</v>
      </c>
      <c r="AQ4402" s="4">
        <v>12</v>
      </c>
      <c r="AR4402" s="3" t="s">
        <v>62</v>
      </c>
      <c r="AS4402" s="3" t="s">
        <v>62</v>
      </c>
      <c r="AT4402" s="3" t="s">
        <v>62</v>
      </c>
      <c r="AV4402" s="6" t="str">
        <f>HYPERLINK("http://mcgill.on.worldcat.org/oclc/61229822","Catalog Record")</f>
        <v>Catalog Record</v>
      </c>
      <c r="AW4402" s="6" t="str">
        <f>HYPERLINK("http://www.worldcat.org/oclc/61229822","WorldCat Record")</f>
        <v>WorldCat Record</v>
      </c>
      <c r="AX4402" s="3" t="s">
        <v>42269</v>
      </c>
      <c r="AY4402" s="3" t="s">
        <v>42270</v>
      </c>
      <c r="AZ4402" s="3" t="s">
        <v>42271</v>
      </c>
      <c r="BA4402" s="3" t="s">
        <v>42271</v>
      </c>
      <c r="BB4402" s="3" t="s">
        <v>42276</v>
      </c>
      <c r="BC4402" s="3" t="s">
        <v>142</v>
      </c>
      <c r="BD4402" s="3" t="s">
        <v>68</v>
      </c>
      <c r="BE4402" s="3" t="s">
        <v>42273</v>
      </c>
      <c r="BF4402" s="3" t="s">
        <v>42276</v>
      </c>
      <c r="BG4402" s="3" t="s">
        <v>42277</v>
      </c>
    </row>
    <row r="4403" spans="1:59" ht="57" x14ac:dyDescent="0.45">
      <c r="A4403" s="2" t="s">
        <v>59</v>
      </c>
      <c r="B4403" s="2" t="s">
        <v>60</v>
      </c>
      <c r="C4403" s="2" t="s">
        <v>42278</v>
      </c>
      <c r="D4403" s="2" t="s">
        <v>42279</v>
      </c>
      <c r="E4403" s="2" t="s">
        <v>42280</v>
      </c>
      <c r="G4403" s="3" t="s">
        <v>62</v>
      </c>
      <c r="I4403" s="3" t="s">
        <v>62</v>
      </c>
      <c r="J4403" s="3" t="s">
        <v>62</v>
      </c>
      <c r="K4403" s="3" t="s">
        <v>63</v>
      </c>
      <c r="L4403" s="2" t="s">
        <v>42281</v>
      </c>
      <c r="M4403" s="2" t="s">
        <v>42218</v>
      </c>
      <c r="N4403" s="3" t="s">
        <v>5180</v>
      </c>
      <c r="P4403" s="3" t="s">
        <v>65</v>
      </c>
      <c r="Q4403" s="2" t="s">
        <v>42282</v>
      </c>
      <c r="R4403" s="3" t="s">
        <v>66</v>
      </c>
      <c r="S4403" s="4">
        <v>0</v>
      </c>
      <c r="T4403" s="4">
        <v>0</v>
      </c>
      <c r="W4403" s="5" t="s">
        <v>67</v>
      </c>
      <c r="X4403" s="5" t="s">
        <v>67</v>
      </c>
      <c r="Y4403" s="4">
        <v>38</v>
      </c>
      <c r="Z4403" s="4">
        <v>3</v>
      </c>
      <c r="AA4403" s="4">
        <v>71</v>
      </c>
      <c r="AB4403" s="4">
        <v>1</v>
      </c>
      <c r="AC4403" s="4">
        <v>14</v>
      </c>
      <c r="AD4403" s="4">
        <v>23</v>
      </c>
      <c r="AE4403" s="4">
        <v>103</v>
      </c>
      <c r="AF4403" s="4">
        <v>0</v>
      </c>
      <c r="AG4403" s="4">
        <v>8</v>
      </c>
      <c r="AH4403" s="4">
        <v>21</v>
      </c>
      <c r="AI4403" s="4">
        <v>70</v>
      </c>
      <c r="AJ4403" s="4">
        <v>2</v>
      </c>
      <c r="AK4403" s="4">
        <v>20</v>
      </c>
      <c r="AL4403" s="4">
        <v>17</v>
      </c>
      <c r="AM4403" s="4">
        <v>37</v>
      </c>
      <c r="AN4403" s="4">
        <v>0</v>
      </c>
      <c r="AO4403" s="4">
        <v>0</v>
      </c>
      <c r="AP4403" s="4">
        <v>2</v>
      </c>
      <c r="AQ4403" s="4">
        <v>39</v>
      </c>
      <c r="AR4403" s="3" t="s">
        <v>62</v>
      </c>
      <c r="AS4403" s="3" t="s">
        <v>62</v>
      </c>
      <c r="AT4403" s="3" t="s">
        <v>62</v>
      </c>
      <c r="AV4403" s="6" t="str">
        <f>HYPERLINK("http://mcgill.on.worldcat.org/oclc/996941319","Catalog Record")</f>
        <v>Catalog Record</v>
      </c>
      <c r="AW4403" s="6" t="str">
        <f>HYPERLINK("http://www.worldcat.org/oclc/996941319","WorldCat Record")</f>
        <v>WorldCat Record</v>
      </c>
      <c r="AX4403" s="3" t="s">
        <v>42283</v>
      </c>
      <c r="AY4403" s="3" t="s">
        <v>42284</v>
      </c>
      <c r="AZ4403" s="3" t="s">
        <v>42285</v>
      </c>
      <c r="BA4403" s="3" t="s">
        <v>42285</v>
      </c>
      <c r="BB4403" s="3" t="s">
        <v>42286</v>
      </c>
      <c r="BC4403" s="3" t="s">
        <v>142</v>
      </c>
      <c r="BD4403" s="3" t="s">
        <v>68</v>
      </c>
      <c r="BE4403" s="3" t="s">
        <v>42287</v>
      </c>
      <c r="BF4403" s="3" t="s">
        <v>42286</v>
      </c>
      <c r="BG4403" s="3" t="s">
        <v>42288</v>
      </c>
    </row>
    <row r="4404" spans="1:59" ht="57" x14ac:dyDescent="0.45">
      <c r="A4404" s="2" t="s">
        <v>59</v>
      </c>
      <c r="B4404" s="2" t="s">
        <v>60</v>
      </c>
      <c r="C4404" s="2" t="s">
        <v>42289</v>
      </c>
      <c r="D4404" s="2" t="s">
        <v>42290</v>
      </c>
      <c r="E4404" s="2" t="s">
        <v>42291</v>
      </c>
      <c r="G4404" s="3" t="s">
        <v>62</v>
      </c>
      <c r="I4404" s="3" t="s">
        <v>62</v>
      </c>
      <c r="J4404" s="3" t="s">
        <v>62</v>
      </c>
      <c r="K4404" s="3" t="s">
        <v>63</v>
      </c>
      <c r="M4404" s="2" t="s">
        <v>42292</v>
      </c>
      <c r="N4404" s="3" t="s">
        <v>945</v>
      </c>
      <c r="O4404" s="2" t="s">
        <v>42293</v>
      </c>
      <c r="P4404" s="3" t="s">
        <v>65</v>
      </c>
      <c r="R4404" s="3" t="s">
        <v>66</v>
      </c>
      <c r="S4404" s="4">
        <v>6</v>
      </c>
      <c r="T4404" s="4">
        <v>6</v>
      </c>
      <c r="U4404" s="5" t="s">
        <v>25354</v>
      </c>
      <c r="V4404" s="5" t="s">
        <v>25354</v>
      </c>
      <c r="W4404" s="5" t="s">
        <v>67</v>
      </c>
      <c r="X4404" s="5" t="s">
        <v>67</v>
      </c>
      <c r="Y4404" s="4">
        <v>145</v>
      </c>
      <c r="Z4404" s="4">
        <v>9</v>
      </c>
      <c r="AA4404" s="4">
        <v>9</v>
      </c>
      <c r="AB4404" s="4">
        <v>1</v>
      </c>
      <c r="AC4404" s="4">
        <v>1</v>
      </c>
      <c r="AD4404" s="4">
        <v>43</v>
      </c>
      <c r="AE4404" s="4">
        <v>43</v>
      </c>
      <c r="AF4404" s="4">
        <v>0</v>
      </c>
      <c r="AG4404" s="4">
        <v>0</v>
      </c>
      <c r="AH4404" s="4">
        <v>40</v>
      </c>
      <c r="AI4404" s="4">
        <v>40</v>
      </c>
      <c r="AJ4404" s="4">
        <v>6</v>
      </c>
      <c r="AK4404" s="4">
        <v>6</v>
      </c>
      <c r="AL4404" s="4">
        <v>23</v>
      </c>
      <c r="AM4404" s="4">
        <v>23</v>
      </c>
      <c r="AN4404" s="4">
        <v>0</v>
      </c>
      <c r="AO4404" s="4">
        <v>0</v>
      </c>
      <c r="AP4404" s="4">
        <v>7</v>
      </c>
      <c r="AQ4404" s="4">
        <v>7</v>
      </c>
      <c r="AR4404" s="3" t="s">
        <v>62</v>
      </c>
      <c r="AS4404" s="3" t="s">
        <v>62</v>
      </c>
      <c r="AT4404" s="3" t="s">
        <v>61</v>
      </c>
      <c r="AU4404" s="6" t="str">
        <f>HYPERLINK("http://catalog.hathitrust.org/Record/006876286","HathiTrust Record")</f>
        <v>HathiTrust Record</v>
      </c>
      <c r="AV4404" s="6" t="str">
        <f>HYPERLINK("http://mcgill.on.worldcat.org/oclc/81944316","Catalog Record")</f>
        <v>Catalog Record</v>
      </c>
      <c r="AW4404" s="6" t="str">
        <f>HYPERLINK("http://www.worldcat.org/oclc/81944316","WorldCat Record")</f>
        <v>WorldCat Record</v>
      </c>
      <c r="AX4404" s="3" t="s">
        <v>42294</v>
      </c>
      <c r="AY4404" s="3" t="s">
        <v>42295</v>
      </c>
      <c r="AZ4404" s="3" t="s">
        <v>42296</v>
      </c>
      <c r="BA4404" s="3" t="s">
        <v>42296</v>
      </c>
      <c r="BB4404" s="3" t="s">
        <v>42297</v>
      </c>
      <c r="BC4404" s="3" t="s">
        <v>142</v>
      </c>
      <c r="BD4404" s="3" t="s">
        <v>68</v>
      </c>
      <c r="BE4404" s="3" t="s">
        <v>42298</v>
      </c>
      <c r="BF4404" s="3" t="s">
        <v>42297</v>
      </c>
      <c r="BG4404" s="3" t="s">
        <v>42299</v>
      </c>
    </row>
    <row r="4405" spans="1:59" ht="57" x14ac:dyDescent="0.45">
      <c r="A4405" s="2" t="s">
        <v>59</v>
      </c>
      <c r="B4405" s="2" t="s">
        <v>60</v>
      </c>
      <c r="C4405" s="2" t="s">
        <v>42300</v>
      </c>
      <c r="D4405" s="2" t="s">
        <v>42301</v>
      </c>
      <c r="E4405" s="2" t="s">
        <v>42302</v>
      </c>
      <c r="G4405" s="3" t="s">
        <v>62</v>
      </c>
      <c r="I4405" s="3" t="s">
        <v>61</v>
      </c>
      <c r="J4405" s="3" t="s">
        <v>62</v>
      </c>
      <c r="K4405" s="3" t="s">
        <v>63</v>
      </c>
      <c r="M4405" s="2" t="s">
        <v>42303</v>
      </c>
      <c r="N4405" s="3" t="s">
        <v>894</v>
      </c>
      <c r="O4405" s="2" t="s">
        <v>42304</v>
      </c>
      <c r="P4405" s="3" t="s">
        <v>65</v>
      </c>
      <c r="R4405" s="3" t="s">
        <v>66</v>
      </c>
      <c r="S4405" s="4">
        <v>4</v>
      </c>
      <c r="T4405" s="4">
        <v>5</v>
      </c>
      <c r="U4405" s="5" t="s">
        <v>8842</v>
      </c>
      <c r="V4405" s="5" t="s">
        <v>12870</v>
      </c>
      <c r="W4405" s="5" t="s">
        <v>67</v>
      </c>
      <c r="X4405" s="5" t="s">
        <v>67</v>
      </c>
      <c r="Y4405" s="4">
        <v>198</v>
      </c>
      <c r="Z4405" s="4">
        <v>11</v>
      </c>
      <c r="AA4405" s="4">
        <v>11</v>
      </c>
      <c r="AB4405" s="4">
        <v>2</v>
      </c>
      <c r="AC4405" s="4">
        <v>2</v>
      </c>
      <c r="AD4405" s="4">
        <v>56</v>
      </c>
      <c r="AE4405" s="4">
        <v>56</v>
      </c>
      <c r="AF4405" s="4">
        <v>1</v>
      </c>
      <c r="AG4405" s="4">
        <v>1</v>
      </c>
      <c r="AH4405" s="4">
        <v>54</v>
      </c>
      <c r="AI4405" s="4">
        <v>54</v>
      </c>
      <c r="AJ4405" s="4">
        <v>6</v>
      </c>
      <c r="AK4405" s="4">
        <v>6</v>
      </c>
      <c r="AL4405" s="4">
        <v>32</v>
      </c>
      <c r="AM4405" s="4">
        <v>32</v>
      </c>
      <c r="AN4405" s="4">
        <v>0</v>
      </c>
      <c r="AO4405" s="4">
        <v>0</v>
      </c>
      <c r="AP4405" s="4">
        <v>6</v>
      </c>
      <c r="AQ4405" s="4">
        <v>6</v>
      </c>
      <c r="AR4405" s="3" t="s">
        <v>62</v>
      </c>
      <c r="AS4405" s="3" t="s">
        <v>62</v>
      </c>
      <c r="AT4405" s="3" t="s">
        <v>62</v>
      </c>
      <c r="AV4405" s="6" t="str">
        <f>HYPERLINK("http://mcgill.on.worldcat.org/oclc/687677601","Catalog Record")</f>
        <v>Catalog Record</v>
      </c>
      <c r="AW4405" s="6" t="str">
        <f>HYPERLINK("http://www.worldcat.org/oclc/687677601","WorldCat Record")</f>
        <v>WorldCat Record</v>
      </c>
      <c r="AX4405" s="3" t="s">
        <v>42305</v>
      </c>
      <c r="AY4405" s="3" t="s">
        <v>42306</v>
      </c>
      <c r="AZ4405" s="3" t="s">
        <v>42307</v>
      </c>
      <c r="BA4405" s="3" t="s">
        <v>42307</v>
      </c>
      <c r="BB4405" s="3" t="s">
        <v>42308</v>
      </c>
      <c r="BC4405" s="3" t="s">
        <v>142</v>
      </c>
      <c r="BD4405" s="3" t="s">
        <v>68</v>
      </c>
      <c r="BE4405" s="3" t="s">
        <v>42309</v>
      </c>
      <c r="BF4405" s="3" t="s">
        <v>42308</v>
      </c>
      <c r="BG4405" s="3" t="s">
        <v>42310</v>
      </c>
    </row>
    <row r="4406" spans="1:59" ht="57" x14ac:dyDescent="0.45">
      <c r="A4406" s="2" t="s">
        <v>59</v>
      </c>
      <c r="B4406" s="2" t="s">
        <v>60</v>
      </c>
      <c r="C4406" s="2" t="s">
        <v>42300</v>
      </c>
      <c r="D4406" s="2" t="s">
        <v>42301</v>
      </c>
      <c r="E4406" s="2" t="s">
        <v>42302</v>
      </c>
      <c r="G4406" s="3" t="s">
        <v>62</v>
      </c>
      <c r="I4406" s="3" t="s">
        <v>61</v>
      </c>
      <c r="J4406" s="3" t="s">
        <v>62</v>
      </c>
      <c r="K4406" s="3" t="s">
        <v>63</v>
      </c>
      <c r="M4406" s="2" t="s">
        <v>42303</v>
      </c>
      <c r="N4406" s="3" t="s">
        <v>894</v>
      </c>
      <c r="O4406" s="2" t="s">
        <v>42304</v>
      </c>
      <c r="P4406" s="3" t="s">
        <v>65</v>
      </c>
      <c r="R4406" s="3" t="s">
        <v>66</v>
      </c>
      <c r="S4406" s="4">
        <v>1</v>
      </c>
      <c r="T4406" s="4">
        <v>5</v>
      </c>
      <c r="U4406" s="5" t="s">
        <v>12870</v>
      </c>
      <c r="V4406" s="5" t="s">
        <v>12870</v>
      </c>
      <c r="W4406" s="5" t="s">
        <v>67</v>
      </c>
      <c r="X4406" s="5" t="s">
        <v>67</v>
      </c>
      <c r="Y4406" s="4">
        <v>198</v>
      </c>
      <c r="Z4406" s="4">
        <v>11</v>
      </c>
      <c r="AA4406" s="4">
        <v>11</v>
      </c>
      <c r="AB4406" s="4">
        <v>2</v>
      </c>
      <c r="AC4406" s="4">
        <v>2</v>
      </c>
      <c r="AD4406" s="4">
        <v>56</v>
      </c>
      <c r="AE4406" s="4">
        <v>56</v>
      </c>
      <c r="AF4406" s="4">
        <v>1</v>
      </c>
      <c r="AG4406" s="4">
        <v>1</v>
      </c>
      <c r="AH4406" s="4">
        <v>54</v>
      </c>
      <c r="AI4406" s="4">
        <v>54</v>
      </c>
      <c r="AJ4406" s="4">
        <v>6</v>
      </c>
      <c r="AK4406" s="4">
        <v>6</v>
      </c>
      <c r="AL4406" s="4">
        <v>32</v>
      </c>
      <c r="AM4406" s="4">
        <v>32</v>
      </c>
      <c r="AN4406" s="4">
        <v>0</v>
      </c>
      <c r="AO4406" s="4">
        <v>0</v>
      </c>
      <c r="AP4406" s="4">
        <v>6</v>
      </c>
      <c r="AQ4406" s="4">
        <v>6</v>
      </c>
      <c r="AR4406" s="3" t="s">
        <v>62</v>
      </c>
      <c r="AS4406" s="3" t="s">
        <v>62</v>
      </c>
      <c r="AT4406" s="3" t="s">
        <v>62</v>
      </c>
      <c r="AV4406" s="6" t="str">
        <f>HYPERLINK("http://mcgill.on.worldcat.org/oclc/687677601","Catalog Record")</f>
        <v>Catalog Record</v>
      </c>
      <c r="AW4406" s="6" t="str">
        <f>HYPERLINK("http://www.worldcat.org/oclc/687677601","WorldCat Record")</f>
        <v>WorldCat Record</v>
      </c>
      <c r="AX4406" s="3" t="s">
        <v>42305</v>
      </c>
      <c r="AY4406" s="3" t="s">
        <v>42306</v>
      </c>
      <c r="AZ4406" s="3" t="s">
        <v>42307</v>
      </c>
      <c r="BA4406" s="3" t="s">
        <v>42307</v>
      </c>
      <c r="BB4406" s="3" t="s">
        <v>42311</v>
      </c>
      <c r="BC4406" s="3" t="s">
        <v>142</v>
      </c>
      <c r="BD4406" s="3" t="s">
        <v>68</v>
      </c>
      <c r="BE4406" s="3" t="s">
        <v>42309</v>
      </c>
      <c r="BF4406" s="3" t="s">
        <v>42311</v>
      </c>
      <c r="BG4406" s="3" t="s">
        <v>42312</v>
      </c>
    </row>
    <row r="4407" spans="1:59" ht="57" x14ac:dyDescent="0.45">
      <c r="A4407" s="2" t="s">
        <v>59</v>
      </c>
      <c r="B4407" s="2" t="s">
        <v>60</v>
      </c>
      <c r="C4407" s="2" t="s">
        <v>42313</v>
      </c>
      <c r="D4407" s="2" t="s">
        <v>42314</v>
      </c>
      <c r="E4407" s="2" t="s">
        <v>42315</v>
      </c>
      <c r="G4407" s="3" t="s">
        <v>62</v>
      </c>
      <c r="I4407" s="3" t="s">
        <v>62</v>
      </c>
      <c r="J4407" s="3" t="s">
        <v>61</v>
      </c>
      <c r="K4407" s="3" t="s">
        <v>63</v>
      </c>
      <c r="L4407" s="2" t="s">
        <v>42316</v>
      </c>
      <c r="M4407" s="2" t="s">
        <v>14372</v>
      </c>
      <c r="N4407" s="3" t="s">
        <v>84</v>
      </c>
      <c r="O4407" s="2" t="s">
        <v>906</v>
      </c>
      <c r="P4407" s="3" t="s">
        <v>65</v>
      </c>
      <c r="R4407" s="3" t="s">
        <v>66</v>
      </c>
      <c r="S4407" s="4">
        <v>21</v>
      </c>
      <c r="T4407" s="4">
        <v>21</v>
      </c>
      <c r="U4407" s="5" t="s">
        <v>32037</v>
      </c>
      <c r="V4407" s="5" t="s">
        <v>32037</v>
      </c>
      <c r="W4407" s="5" t="s">
        <v>67</v>
      </c>
      <c r="X4407" s="5" t="s">
        <v>67</v>
      </c>
      <c r="Y4407" s="4">
        <v>376</v>
      </c>
      <c r="Z4407" s="4">
        <v>29</v>
      </c>
      <c r="AA4407" s="4">
        <v>68</v>
      </c>
      <c r="AB4407" s="4">
        <v>1</v>
      </c>
      <c r="AC4407" s="4">
        <v>12</v>
      </c>
      <c r="AD4407" s="4">
        <v>97</v>
      </c>
      <c r="AE4407" s="4">
        <v>151</v>
      </c>
      <c r="AF4407" s="4">
        <v>0</v>
      </c>
      <c r="AG4407" s="4">
        <v>5</v>
      </c>
      <c r="AH4407" s="4">
        <v>86</v>
      </c>
      <c r="AI4407" s="4">
        <v>114</v>
      </c>
      <c r="AJ4407" s="4">
        <v>18</v>
      </c>
      <c r="AK4407" s="4">
        <v>26</v>
      </c>
      <c r="AL4407" s="4">
        <v>45</v>
      </c>
      <c r="AM4407" s="4">
        <v>62</v>
      </c>
      <c r="AN4407" s="4">
        <v>0</v>
      </c>
      <c r="AO4407" s="4">
        <v>1</v>
      </c>
      <c r="AP4407" s="4">
        <v>21</v>
      </c>
      <c r="AQ4407" s="4">
        <v>45</v>
      </c>
      <c r="AR4407" s="3" t="s">
        <v>62</v>
      </c>
      <c r="AS4407" s="3" t="s">
        <v>62</v>
      </c>
      <c r="AT4407" s="3" t="s">
        <v>62</v>
      </c>
      <c r="AV4407" s="6" t="str">
        <f>HYPERLINK("http://mcgill.on.worldcat.org/oclc/25163373","Catalog Record")</f>
        <v>Catalog Record</v>
      </c>
      <c r="AW4407" s="6" t="str">
        <f>HYPERLINK("http://www.worldcat.org/oclc/25163373","WorldCat Record")</f>
        <v>WorldCat Record</v>
      </c>
      <c r="AX4407" s="3" t="s">
        <v>42317</v>
      </c>
      <c r="AY4407" s="3" t="s">
        <v>42318</v>
      </c>
      <c r="AZ4407" s="3" t="s">
        <v>42319</v>
      </c>
      <c r="BA4407" s="3" t="s">
        <v>42319</v>
      </c>
      <c r="BB4407" s="3" t="s">
        <v>42320</v>
      </c>
      <c r="BC4407" s="3" t="s">
        <v>142</v>
      </c>
      <c r="BD4407" s="3" t="s">
        <v>68</v>
      </c>
      <c r="BE4407" s="3" t="s">
        <v>42321</v>
      </c>
      <c r="BF4407" s="3" t="s">
        <v>42320</v>
      </c>
      <c r="BG4407" s="3" t="s">
        <v>42322</v>
      </c>
    </row>
    <row r="4408" spans="1:59" ht="57" x14ac:dyDescent="0.45">
      <c r="A4408" s="2" t="s">
        <v>59</v>
      </c>
      <c r="B4408" s="2" t="s">
        <v>60</v>
      </c>
      <c r="C4408" s="2" t="s">
        <v>42323</v>
      </c>
      <c r="D4408" s="2" t="s">
        <v>42324</v>
      </c>
      <c r="E4408" s="2" t="s">
        <v>42325</v>
      </c>
      <c r="G4408" s="3" t="s">
        <v>62</v>
      </c>
      <c r="I4408" s="3" t="s">
        <v>62</v>
      </c>
      <c r="J4408" s="3" t="s">
        <v>62</v>
      </c>
      <c r="K4408" s="3" t="s">
        <v>63</v>
      </c>
      <c r="L4408" s="2" t="s">
        <v>42326</v>
      </c>
      <c r="M4408" s="2" t="s">
        <v>42327</v>
      </c>
      <c r="N4408" s="3" t="s">
        <v>195</v>
      </c>
      <c r="P4408" s="3" t="s">
        <v>110</v>
      </c>
      <c r="Q4408" s="2" t="s">
        <v>21846</v>
      </c>
      <c r="R4408" s="3" t="s">
        <v>66</v>
      </c>
      <c r="S4408" s="4">
        <v>4</v>
      </c>
      <c r="T4408" s="4">
        <v>4</v>
      </c>
      <c r="U4408" s="5" t="s">
        <v>30739</v>
      </c>
      <c r="V4408" s="5" t="s">
        <v>30739</v>
      </c>
      <c r="W4408" s="5" t="s">
        <v>67</v>
      </c>
      <c r="X4408" s="5" t="s">
        <v>67</v>
      </c>
      <c r="Y4408" s="4">
        <v>75</v>
      </c>
      <c r="Z4408" s="4">
        <v>13</v>
      </c>
      <c r="AA4408" s="4">
        <v>19</v>
      </c>
      <c r="AB4408" s="4">
        <v>8</v>
      </c>
      <c r="AC4408" s="4">
        <v>8</v>
      </c>
      <c r="AD4408" s="4">
        <v>11</v>
      </c>
      <c r="AE4408" s="4">
        <v>34</v>
      </c>
      <c r="AF4408" s="4">
        <v>4</v>
      </c>
      <c r="AG4408" s="4">
        <v>4</v>
      </c>
      <c r="AH4408" s="4">
        <v>8</v>
      </c>
      <c r="AI4408" s="4">
        <v>28</v>
      </c>
      <c r="AJ4408" s="4">
        <v>8</v>
      </c>
      <c r="AK4408" s="4">
        <v>13</v>
      </c>
      <c r="AL4408" s="4">
        <v>4</v>
      </c>
      <c r="AM4408" s="4">
        <v>15</v>
      </c>
      <c r="AN4408" s="4">
        <v>0</v>
      </c>
      <c r="AO4408" s="4">
        <v>0</v>
      </c>
      <c r="AP4408" s="4">
        <v>7</v>
      </c>
      <c r="AQ4408" s="4">
        <v>13</v>
      </c>
      <c r="AR4408" s="3" t="s">
        <v>62</v>
      </c>
      <c r="AS4408" s="3" t="s">
        <v>62</v>
      </c>
      <c r="AT4408" s="3" t="s">
        <v>62</v>
      </c>
      <c r="AV4408" s="6" t="str">
        <f>HYPERLINK("http://mcgill.on.worldcat.org/oclc/414615231","Catalog Record")</f>
        <v>Catalog Record</v>
      </c>
      <c r="AW4408" s="6" t="str">
        <f>HYPERLINK("http://www.worldcat.org/oclc/414615231","WorldCat Record")</f>
        <v>WorldCat Record</v>
      </c>
      <c r="AX4408" s="3" t="s">
        <v>42328</v>
      </c>
      <c r="AY4408" s="3" t="s">
        <v>42329</v>
      </c>
      <c r="AZ4408" s="3" t="s">
        <v>42330</v>
      </c>
      <c r="BA4408" s="3" t="s">
        <v>42330</v>
      </c>
      <c r="BB4408" s="3" t="s">
        <v>42331</v>
      </c>
      <c r="BC4408" s="3" t="s">
        <v>142</v>
      </c>
      <c r="BD4408" s="3" t="s">
        <v>68</v>
      </c>
      <c r="BE4408" s="3" t="s">
        <v>42332</v>
      </c>
      <c r="BF4408" s="3" t="s">
        <v>42331</v>
      </c>
      <c r="BG4408" s="3" t="s">
        <v>42333</v>
      </c>
    </row>
    <row r="4409" spans="1:59" ht="57" x14ac:dyDescent="0.45">
      <c r="A4409" s="2" t="s">
        <v>59</v>
      </c>
      <c r="B4409" s="2" t="s">
        <v>60</v>
      </c>
      <c r="C4409" s="2" t="s">
        <v>42334</v>
      </c>
      <c r="D4409" s="2" t="s">
        <v>42335</v>
      </c>
      <c r="E4409" s="2" t="s">
        <v>42336</v>
      </c>
      <c r="G4409" s="3" t="s">
        <v>62</v>
      </c>
      <c r="I4409" s="3" t="s">
        <v>62</v>
      </c>
      <c r="J4409" s="3" t="s">
        <v>62</v>
      </c>
      <c r="K4409" s="3" t="s">
        <v>63</v>
      </c>
      <c r="M4409" s="2" t="s">
        <v>42337</v>
      </c>
      <c r="N4409" s="3" t="s">
        <v>1465</v>
      </c>
      <c r="O4409" s="2" t="s">
        <v>3280</v>
      </c>
      <c r="P4409" s="3" t="s">
        <v>65</v>
      </c>
      <c r="R4409" s="3" t="s">
        <v>66</v>
      </c>
      <c r="S4409" s="4">
        <v>13</v>
      </c>
      <c r="T4409" s="4">
        <v>13</v>
      </c>
      <c r="U4409" s="5" t="s">
        <v>1201</v>
      </c>
      <c r="V4409" s="5" t="s">
        <v>1201</v>
      </c>
      <c r="W4409" s="5" t="s">
        <v>67</v>
      </c>
      <c r="X4409" s="5" t="s">
        <v>67</v>
      </c>
      <c r="Y4409" s="4">
        <v>188</v>
      </c>
      <c r="Z4409" s="4">
        <v>12</v>
      </c>
      <c r="AA4409" s="4">
        <v>37</v>
      </c>
      <c r="AB4409" s="4">
        <v>1</v>
      </c>
      <c r="AC4409" s="4">
        <v>6</v>
      </c>
      <c r="AD4409" s="4">
        <v>29</v>
      </c>
      <c r="AE4409" s="4">
        <v>77</v>
      </c>
      <c r="AF4409" s="4">
        <v>0</v>
      </c>
      <c r="AG4409" s="4">
        <v>3</v>
      </c>
      <c r="AH4409" s="4">
        <v>25</v>
      </c>
      <c r="AI4409" s="4">
        <v>61</v>
      </c>
      <c r="AJ4409" s="4">
        <v>8</v>
      </c>
      <c r="AK4409" s="4">
        <v>19</v>
      </c>
      <c r="AL4409" s="4">
        <v>16</v>
      </c>
      <c r="AM4409" s="4">
        <v>35</v>
      </c>
      <c r="AN4409" s="4">
        <v>0</v>
      </c>
      <c r="AO4409" s="4">
        <v>0</v>
      </c>
      <c r="AP4409" s="4">
        <v>8</v>
      </c>
      <c r="AQ4409" s="4">
        <v>24</v>
      </c>
      <c r="AR4409" s="3" t="s">
        <v>62</v>
      </c>
      <c r="AS4409" s="3" t="s">
        <v>62</v>
      </c>
      <c r="AT4409" s="3" t="s">
        <v>62</v>
      </c>
      <c r="AV4409" s="6" t="str">
        <f>HYPERLINK("http://mcgill.on.worldcat.org/oclc/237884125","Catalog Record")</f>
        <v>Catalog Record</v>
      </c>
      <c r="AW4409" s="6" t="str">
        <f>HYPERLINK("http://www.worldcat.org/oclc/237884125","WorldCat Record")</f>
        <v>WorldCat Record</v>
      </c>
      <c r="AX4409" s="3" t="s">
        <v>42338</v>
      </c>
      <c r="AY4409" s="3" t="s">
        <v>42339</v>
      </c>
      <c r="AZ4409" s="3" t="s">
        <v>42340</v>
      </c>
      <c r="BA4409" s="3" t="s">
        <v>42340</v>
      </c>
      <c r="BB4409" s="3" t="s">
        <v>42341</v>
      </c>
      <c r="BC4409" s="3" t="s">
        <v>142</v>
      </c>
      <c r="BD4409" s="3" t="s">
        <v>68</v>
      </c>
      <c r="BE4409" s="3" t="s">
        <v>42342</v>
      </c>
      <c r="BF4409" s="3" t="s">
        <v>42341</v>
      </c>
      <c r="BG4409" s="3" t="s">
        <v>42343</v>
      </c>
    </row>
    <row r="4410" spans="1:59" ht="57" x14ac:dyDescent="0.45">
      <c r="A4410" s="2" t="s">
        <v>59</v>
      </c>
      <c r="B4410" s="2" t="s">
        <v>60</v>
      </c>
      <c r="C4410" s="2" t="s">
        <v>42344</v>
      </c>
      <c r="D4410" s="2" t="s">
        <v>42345</v>
      </c>
      <c r="E4410" s="2" t="s">
        <v>42346</v>
      </c>
      <c r="G4410" s="3" t="s">
        <v>62</v>
      </c>
      <c r="I4410" s="3" t="s">
        <v>62</v>
      </c>
      <c r="J4410" s="3" t="s">
        <v>62</v>
      </c>
      <c r="K4410" s="3" t="s">
        <v>63</v>
      </c>
      <c r="L4410" s="2" t="s">
        <v>42347</v>
      </c>
      <c r="M4410" s="2" t="s">
        <v>42348</v>
      </c>
      <c r="N4410" s="3" t="s">
        <v>1155</v>
      </c>
      <c r="P4410" s="3" t="s">
        <v>326</v>
      </c>
      <c r="Q4410" s="2" t="s">
        <v>42349</v>
      </c>
      <c r="R4410" s="3" t="s">
        <v>66</v>
      </c>
      <c r="S4410" s="4">
        <v>0</v>
      </c>
      <c r="T4410" s="4">
        <v>0</v>
      </c>
      <c r="W4410" s="5" t="s">
        <v>67</v>
      </c>
      <c r="X4410" s="5" t="s">
        <v>67</v>
      </c>
      <c r="Y4410" s="4">
        <v>14</v>
      </c>
      <c r="Z4410" s="4">
        <v>2</v>
      </c>
      <c r="AA4410" s="4">
        <v>2</v>
      </c>
      <c r="AB4410" s="4">
        <v>1</v>
      </c>
      <c r="AC4410" s="4">
        <v>1</v>
      </c>
      <c r="AD4410" s="4">
        <v>4</v>
      </c>
      <c r="AE4410" s="4">
        <v>4</v>
      </c>
      <c r="AF4410" s="4">
        <v>0</v>
      </c>
      <c r="AG4410" s="4">
        <v>0</v>
      </c>
      <c r="AH4410" s="4">
        <v>4</v>
      </c>
      <c r="AI4410" s="4">
        <v>4</v>
      </c>
      <c r="AJ4410" s="4">
        <v>1</v>
      </c>
      <c r="AK4410" s="4">
        <v>1</v>
      </c>
      <c r="AL4410" s="4">
        <v>2</v>
      </c>
      <c r="AM4410" s="4">
        <v>2</v>
      </c>
      <c r="AN4410" s="4">
        <v>0</v>
      </c>
      <c r="AO4410" s="4">
        <v>0</v>
      </c>
      <c r="AP4410" s="4">
        <v>1</v>
      </c>
      <c r="AQ4410" s="4">
        <v>1</v>
      </c>
      <c r="AR4410" s="3" t="s">
        <v>62</v>
      </c>
      <c r="AS4410" s="3" t="s">
        <v>62</v>
      </c>
      <c r="AT4410" s="3" t="s">
        <v>62</v>
      </c>
      <c r="AV4410" s="6" t="str">
        <f>HYPERLINK("http://mcgill.on.worldcat.org/oclc/785336295","Catalog Record")</f>
        <v>Catalog Record</v>
      </c>
      <c r="AW4410" s="6" t="str">
        <f>HYPERLINK("http://www.worldcat.org/oclc/785336295","WorldCat Record")</f>
        <v>WorldCat Record</v>
      </c>
      <c r="AX4410" s="3" t="s">
        <v>42350</v>
      </c>
      <c r="AY4410" s="3" t="s">
        <v>42351</v>
      </c>
      <c r="AZ4410" s="3" t="s">
        <v>42352</v>
      </c>
      <c r="BA4410" s="3" t="s">
        <v>42352</v>
      </c>
      <c r="BB4410" s="3" t="s">
        <v>42353</v>
      </c>
      <c r="BC4410" s="3" t="s">
        <v>142</v>
      </c>
      <c r="BD4410" s="3" t="s">
        <v>68</v>
      </c>
      <c r="BE4410" s="3" t="s">
        <v>42354</v>
      </c>
      <c r="BF4410" s="3" t="s">
        <v>42353</v>
      </c>
      <c r="BG4410" s="3" t="s">
        <v>42355</v>
      </c>
    </row>
    <row r="4411" spans="1:59" ht="71.25" x14ac:dyDescent="0.45">
      <c r="A4411" s="2" t="s">
        <v>59</v>
      </c>
      <c r="B4411" s="2" t="s">
        <v>60</v>
      </c>
      <c r="C4411" s="2" t="s">
        <v>42356</v>
      </c>
      <c r="D4411" s="2" t="s">
        <v>42357</v>
      </c>
      <c r="E4411" s="2" t="s">
        <v>42358</v>
      </c>
      <c r="G4411" s="3" t="s">
        <v>62</v>
      </c>
      <c r="I4411" s="3" t="s">
        <v>62</v>
      </c>
      <c r="J4411" s="3" t="s">
        <v>62</v>
      </c>
      <c r="K4411" s="3" t="s">
        <v>63</v>
      </c>
      <c r="L4411" s="2" t="s">
        <v>42359</v>
      </c>
      <c r="M4411" s="2" t="s">
        <v>42360</v>
      </c>
      <c r="N4411" s="3" t="s">
        <v>1465</v>
      </c>
      <c r="O4411" s="2" t="s">
        <v>42361</v>
      </c>
      <c r="P4411" s="3" t="s">
        <v>110</v>
      </c>
      <c r="Q4411" s="2" t="s">
        <v>42362</v>
      </c>
      <c r="R4411" s="3" t="s">
        <v>66</v>
      </c>
      <c r="S4411" s="4">
        <v>3</v>
      </c>
      <c r="T4411" s="4">
        <v>3</v>
      </c>
      <c r="U4411" s="5" t="s">
        <v>23463</v>
      </c>
      <c r="V4411" s="5" t="s">
        <v>23463</v>
      </c>
      <c r="W4411" s="5" t="s">
        <v>67</v>
      </c>
      <c r="X4411" s="5" t="s">
        <v>67</v>
      </c>
      <c r="Y4411" s="4">
        <v>6</v>
      </c>
      <c r="Z4411" s="4">
        <v>3</v>
      </c>
      <c r="AA4411" s="4">
        <v>28</v>
      </c>
      <c r="AB4411" s="4">
        <v>1</v>
      </c>
      <c r="AC4411" s="4">
        <v>11</v>
      </c>
      <c r="AD4411" s="4">
        <v>3</v>
      </c>
      <c r="AE4411" s="4">
        <v>18</v>
      </c>
      <c r="AF4411" s="4">
        <v>0</v>
      </c>
      <c r="AG4411" s="4">
        <v>5</v>
      </c>
      <c r="AH4411" s="4">
        <v>1</v>
      </c>
      <c r="AI4411" s="4">
        <v>7</v>
      </c>
      <c r="AJ4411" s="4">
        <v>2</v>
      </c>
      <c r="AK4411" s="4">
        <v>13</v>
      </c>
      <c r="AL4411" s="4">
        <v>1</v>
      </c>
      <c r="AM4411" s="4">
        <v>2</v>
      </c>
      <c r="AN4411" s="4">
        <v>0</v>
      </c>
      <c r="AO4411" s="4">
        <v>0</v>
      </c>
      <c r="AP4411" s="4">
        <v>2</v>
      </c>
      <c r="AQ4411" s="4">
        <v>16</v>
      </c>
      <c r="AR4411" s="3" t="s">
        <v>62</v>
      </c>
      <c r="AS4411" s="3" t="s">
        <v>62</v>
      </c>
      <c r="AT4411" s="3" t="s">
        <v>62</v>
      </c>
      <c r="AV4411" s="6" t="str">
        <f>HYPERLINK("http://mcgill.on.worldcat.org/oclc/503242772","Catalog Record")</f>
        <v>Catalog Record</v>
      </c>
      <c r="AW4411" s="6" t="str">
        <f>HYPERLINK("http://www.worldcat.org/oclc/503242772","WorldCat Record")</f>
        <v>WorldCat Record</v>
      </c>
      <c r="AX4411" s="3" t="s">
        <v>42363</v>
      </c>
      <c r="AY4411" s="3" t="s">
        <v>42364</v>
      </c>
      <c r="AZ4411" s="3" t="s">
        <v>42365</v>
      </c>
      <c r="BA4411" s="3" t="s">
        <v>42365</v>
      </c>
      <c r="BB4411" s="3" t="s">
        <v>42366</v>
      </c>
      <c r="BC4411" s="3" t="s">
        <v>142</v>
      </c>
      <c r="BD4411" s="3" t="s">
        <v>68</v>
      </c>
      <c r="BE4411" s="3" t="s">
        <v>42367</v>
      </c>
      <c r="BF4411" s="3" t="s">
        <v>42366</v>
      </c>
      <c r="BG4411" s="3" t="s">
        <v>42368</v>
      </c>
    </row>
    <row r="4412" spans="1:59" ht="57" x14ac:dyDescent="0.45">
      <c r="A4412" s="2" t="s">
        <v>59</v>
      </c>
      <c r="B4412" s="2" t="s">
        <v>60</v>
      </c>
      <c r="C4412" s="2" t="s">
        <v>42369</v>
      </c>
      <c r="D4412" s="2" t="s">
        <v>42370</v>
      </c>
      <c r="E4412" s="2" t="s">
        <v>42371</v>
      </c>
      <c r="G4412" s="3" t="s">
        <v>62</v>
      </c>
      <c r="I4412" s="3" t="s">
        <v>62</v>
      </c>
      <c r="J4412" s="3" t="s">
        <v>62</v>
      </c>
      <c r="K4412" s="3" t="s">
        <v>63</v>
      </c>
      <c r="L4412" s="2" t="s">
        <v>11967</v>
      </c>
      <c r="M4412" s="2" t="s">
        <v>42372</v>
      </c>
      <c r="N4412" s="3" t="s">
        <v>820</v>
      </c>
      <c r="P4412" s="3" t="s">
        <v>110</v>
      </c>
      <c r="R4412" s="3" t="s">
        <v>66</v>
      </c>
      <c r="S4412" s="4">
        <v>10</v>
      </c>
      <c r="T4412" s="4">
        <v>10</v>
      </c>
      <c r="U4412" s="5" t="s">
        <v>1554</v>
      </c>
      <c r="V4412" s="5" t="s">
        <v>1554</v>
      </c>
      <c r="W4412" s="5" t="s">
        <v>67</v>
      </c>
      <c r="X4412" s="5" t="s">
        <v>67</v>
      </c>
      <c r="Y4412" s="4">
        <v>47</v>
      </c>
      <c r="Z4412" s="4">
        <v>9</v>
      </c>
      <c r="AA4412" s="4">
        <v>13</v>
      </c>
      <c r="AB4412" s="4">
        <v>1</v>
      </c>
      <c r="AC4412" s="4">
        <v>4</v>
      </c>
      <c r="AD4412" s="4">
        <v>24</v>
      </c>
      <c r="AE4412" s="4">
        <v>27</v>
      </c>
      <c r="AF4412" s="4">
        <v>0</v>
      </c>
      <c r="AG4412" s="4">
        <v>2</v>
      </c>
      <c r="AH4412" s="4">
        <v>22</v>
      </c>
      <c r="AI4412" s="4">
        <v>24</v>
      </c>
      <c r="AJ4412" s="4">
        <v>5</v>
      </c>
      <c r="AK4412" s="4">
        <v>8</v>
      </c>
      <c r="AL4412" s="4">
        <v>17</v>
      </c>
      <c r="AM4412" s="4">
        <v>17</v>
      </c>
      <c r="AN4412" s="4">
        <v>0</v>
      </c>
      <c r="AO4412" s="4">
        <v>0</v>
      </c>
      <c r="AP4412" s="4">
        <v>5</v>
      </c>
      <c r="AQ4412" s="4">
        <v>8</v>
      </c>
      <c r="AR4412" s="3" t="s">
        <v>62</v>
      </c>
      <c r="AS4412" s="3" t="s">
        <v>62</v>
      </c>
      <c r="AT4412" s="3" t="s">
        <v>62</v>
      </c>
      <c r="AV4412" s="6" t="str">
        <f>HYPERLINK("http://mcgill.on.worldcat.org/oclc/265644785","Catalog Record")</f>
        <v>Catalog Record</v>
      </c>
      <c r="AW4412" s="6" t="str">
        <f>HYPERLINK("http://www.worldcat.org/oclc/265644785","WorldCat Record")</f>
        <v>WorldCat Record</v>
      </c>
      <c r="AX4412" s="3" t="s">
        <v>42373</v>
      </c>
      <c r="AY4412" s="3" t="s">
        <v>42374</v>
      </c>
      <c r="AZ4412" s="3" t="s">
        <v>42375</v>
      </c>
      <c r="BA4412" s="3" t="s">
        <v>42375</v>
      </c>
      <c r="BB4412" s="3" t="s">
        <v>42376</v>
      </c>
      <c r="BC4412" s="3" t="s">
        <v>142</v>
      </c>
      <c r="BD4412" s="3" t="s">
        <v>68</v>
      </c>
      <c r="BE4412" s="3" t="s">
        <v>42377</v>
      </c>
      <c r="BF4412" s="3" t="s">
        <v>42376</v>
      </c>
      <c r="BG4412" s="3" t="s">
        <v>42378</v>
      </c>
    </row>
    <row r="4413" spans="1:59" ht="57" x14ac:dyDescent="0.45">
      <c r="A4413" s="2" t="s">
        <v>59</v>
      </c>
      <c r="B4413" s="2" t="s">
        <v>60</v>
      </c>
      <c r="C4413" s="2" t="s">
        <v>42379</v>
      </c>
      <c r="D4413" s="2" t="s">
        <v>42380</v>
      </c>
      <c r="E4413" s="2" t="s">
        <v>42381</v>
      </c>
      <c r="G4413" s="3" t="s">
        <v>62</v>
      </c>
      <c r="I4413" s="3" t="s">
        <v>62</v>
      </c>
      <c r="J4413" s="3" t="s">
        <v>62</v>
      </c>
      <c r="K4413" s="3" t="s">
        <v>63</v>
      </c>
      <c r="L4413" s="2" t="s">
        <v>42382</v>
      </c>
      <c r="M4413" s="2" t="s">
        <v>1713</v>
      </c>
      <c r="N4413" s="3" t="s">
        <v>1155</v>
      </c>
      <c r="P4413" s="3" t="s">
        <v>65</v>
      </c>
      <c r="R4413" s="3" t="s">
        <v>66</v>
      </c>
      <c r="S4413" s="4">
        <v>4</v>
      </c>
      <c r="T4413" s="4">
        <v>4</v>
      </c>
      <c r="U4413" s="5" t="s">
        <v>372</v>
      </c>
      <c r="V4413" s="5" t="s">
        <v>372</v>
      </c>
      <c r="W4413" s="5" t="s">
        <v>67</v>
      </c>
      <c r="X4413" s="5" t="s">
        <v>67</v>
      </c>
      <c r="Y4413" s="4">
        <v>103</v>
      </c>
      <c r="Z4413" s="4">
        <v>10</v>
      </c>
      <c r="AA4413" s="4">
        <v>83</v>
      </c>
      <c r="AB4413" s="4">
        <v>1</v>
      </c>
      <c r="AC4413" s="4">
        <v>14</v>
      </c>
      <c r="AD4413" s="4">
        <v>12</v>
      </c>
      <c r="AE4413" s="4">
        <v>97</v>
      </c>
      <c r="AF4413" s="4">
        <v>0</v>
      </c>
      <c r="AG4413" s="4">
        <v>8</v>
      </c>
      <c r="AH4413" s="4">
        <v>10</v>
      </c>
      <c r="AI4413" s="4">
        <v>64</v>
      </c>
      <c r="AJ4413" s="4">
        <v>4</v>
      </c>
      <c r="AK4413" s="4">
        <v>22</v>
      </c>
      <c r="AL4413" s="4">
        <v>5</v>
      </c>
      <c r="AM4413" s="4">
        <v>30</v>
      </c>
      <c r="AN4413" s="4">
        <v>0</v>
      </c>
      <c r="AO4413" s="4">
        <v>0</v>
      </c>
      <c r="AP4413" s="4">
        <v>6</v>
      </c>
      <c r="AQ4413" s="4">
        <v>41</v>
      </c>
      <c r="AR4413" s="3" t="s">
        <v>62</v>
      </c>
      <c r="AS4413" s="3" t="s">
        <v>62</v>
      </c>
      <c r="AT4413" s="3" t="s">
        <v>62</v>
      </c>
      <c r="AV4413" s="6" t="str">
        <f>HYPERLINK("http://mcgill.on.worldcat.org/oclc/747232733","Catalog Record")</f>
        <v>Catalog Record</v>
      </c>
      <c r="AW4413" s="6" t="str">
        <f>HYPERLINK("http://www.worldcat.org/oclc/747232733","WorldCat Record")</f>
        <v>WorldCat Record</v>
      </c>
      <c r="AX4413" s="3" t="s">
        <v>42383</v>
      </c>
      <c r="AY4413" s="3" t="s">
        <v>42384</v>
      </c>
      <c r="AZ4413" s="3" t="s">
        <v>42385</v>
      </c>
      <c r="BA4413" s="3" t="s">
        <v>42385</v>
      </c>
      <c r="BB4413" s="3" t="s">
        <v>42386</v>
      </c>
      <c r="BC4413" s="3" t="s">
        <v>142</v>
      </c>
      <c r="BD4413" s="3" t="s">
        <v>68</v>
      </c>
      <c r="BE4413" s="3" t="s">
        <v>42387</v>
      </c>
      <c r="BF4413" s="3" t="s">
        <v>42386</v>
      </c>
      <c r="BG4413" s="3" t="s">
        <v>42388</v>
      </c>
    </row>
    <row r="4414" spans="1:59" ht="57" x14ac:dyDescent="0.45">
      <c r="A4414" s="2" t="s">
        <v>59</v>
      </c>
      <c r="B4414" s="2" t="s">
        <v>60</v>
      </c>
      <c r="C4414" s="2" t="s">
        <v>42389</v>
      </c>
      <c r="D4414" s="2" t="s">
        <v>42390</v>
      </c>
      <c r="E4414" s="2" t="s">
        <v>42391</v>
      </c>
      <c r="G4414" s="3" t="s">
        <v>62</v>
      </c>
      <c r="I4414" s="3" t="s">
        <v>62</v>
      </c>
      <c r="J4414" s="3" t="s">
        <v>62</v>
      </c>
      <c r="K4414" s="3" t="s">
        <v>63</v>
      </c>
      <c r="L4414" s="2" t="s">
        <v>42392</v>
      </c>
      <c r="M4414" s="2" t="s">
        <v>36682</v>
      </c>
      <c r="N4414" s="3" t="s">
        <v>149</v>
      </c>
      <c r="P4414" s="3" t="s">
        <v>65</v>
      </c>
      <c r="Q4414" s="2" t="s">
        <v>42393</v>
      </c>
      <c r="R4414" s="3" t="s">
        <v>66</v>
      </c>
      <c r="S4414" s="4">
        <v>0</v>
      </c>
      <c r="T4414" s="4">
        <v>0</v>
      </c>
      <c r="W4414" s="5" t="s">
        <v>67</v>
      </c>
      <c r="X4414" s="5" t="s">
        <v>67</v>
      </c>
      <c r="Y4414" s="4">
        <v>61</v>
      </c>
      <c r="Z4414" s="4">
        <v>2</v>
      </c>
      <c r="AA4414" s="4">
        <v>38</v>
      </c>
      <c r="AB4414" s="4">
        <v>1</v>
      </c>
      <c r="AC4414" s="4">
        <v>10</v>
      </c>
      <c r="AD4414" s="4">
        <v>28</v>
      </c>
      <c r="AE4414" s="4">
        <v>94</v>
      </c>
      <c r="AF4414" s="4">
        <v>0</v>
      </c>
      <c r="AG4414" s="4">
        <v>6</v>
      </c>
      <c r="AH4414" s="4">
        <v>26</v>
      </c>
      <c r="AI4414" s="4">
        <v>68</v>
      </c>
      <c r="AJ4414" s="4">
        <v>1</v>
      </c>
      <c r="AK4414" s="4">
        <v>19</v>
      </c>
      <c r="AL4414" s="4">
        <v>20</v>
      </c>
      <c r="AM4414" s="4">
        <v>37</v>
      </c>
      <c r="AN4414" s="4">
        <v>0</v>
      </c>
      <c r="AO4414" s="4">
        <v>0</v>
      </c>
      <c r="AP4414" s="4">
        <v>1</v>
      </c>
      <c r="AQ4414" s="4">
        <v>32</v>
      </c>
      <c r="AR4414" s="3" t="s">
        <v>62</v>
      </c>
      <c r="AS4414" s="3" t="s">
        <v>62</v>
      </c>
      <c r="AT4414" s="3" t="s">
        <v>62</v>
      </c>
      <c r="AV4414" s="6" t="str">
        <f>HYPERLINK("http://mcgill.on.worldcat.org/oclc/428029227","Catalog Record")</f>
        <v>Catalog Record</v>
      </c>
      <c r="AW4414" s="6" t="str">
        <f>HYPERLINK("http://www.worldcat.org/oclc/428029227","WorldCat Record")</f>
        <v>WorldCat Record</v>
      </c>
      <c r="AX4414" s="3" t="s">
        <v>42394</v>
      </c>
      <c r="AY4414" s="3" t="s">
        <v>42395</v>
      </c>
      <c r="AZ4414" s="3" t="s">
        <v>42396</v>
      </c>
      <c r="BA4414" s="3" t="s">
        <v>42396</v>
      </c>
      <c r="BB4414" s="3" t="s">
        <v>42397</v>
      </c>
      <c r="BC4414" s="3" t="s">
        <v>142</v>
      </c>
      <c r="BD4414" s="3" t="s">
        <v>68</v>
      </c>
      <c r="BE4414" s="3" t="s">
        <v>42398</v>
      </c>
      <c r="BF4414" s="3" t="s">
        <v>42397</v>
      </c>
      <c r="BG4414" s="3" t="s">
        <v>42399</v>
      </c>
    </row>
    <row r="4415" spans="1:59" ht="57" x14ac:dyDescent="0.45">
      <c r="A4415" s="2" t="s">
        <v>59</v>
      </c>
      <c r="B4415" s="2" t="s">
        <v>60</v>
      </c>
      <c r="C4415" s="2" t="s">
        <v>42400</v>
      </c>
      <c r="D4415" s="2" t="s">
        <v>42401</v>
      </c>
      <c r="E4415" s="2" t="s">
        <v>42402</v>
      </c>
      <c r="G4415" s="3" t="s">
        <v>62</v>
      </c>
      <c r="I4415" s="3" t="s">
        <v>62</v>
      </c>
      <c r="J4415" s="3" t="s">
        <v>62</v>
      </c>
      <c r="K4415" s="3" t="s">
        <v>63</v>
      </c>
      <c r="L4415" s="2" t="s">
        <v>42403</v>
      </c>
      <c r="M4415" s="2" t="s">
        <v>42404</v>
      </c>
      <c r="N4415" s="3" t="s">
        <v>42405</v>
      </c>
      <c r="P4415" s="3" t="s">
        <v>65</v>
      </c>
      <c r="R4415" s="3" t="s">
        <v>66</v>
      </c>
      <c r="S4415" s="4">
        <v>2</v>
      </c>
      <c r="T4415" s="4">
        <v>2</v>
      </c>
      <c r="U4415" s="5" t="s">
        <v>14837</v>
      </c>
      <c r="V4415" s="5" t="s">
        <v>14837</v>
      </c>
      <c r="W4415" s="5" t="s">
        <v>67</v>
      </c>
      <c r="X4415" s="5" t="s">
        <v>67</v>
      </c>
      <c r="Y4415" s="4">
        <v>102</v>
      </c>
      <c r="Z4415" s="4">
        <v>11</v>
      </c>
      <c r="AA4415" s="4">
        <v>11</v>
      </c>
      <c r="AB4415" s="4">
        <v>1</v>
      </c>
      <c r="AC4415" s="4">
        <v>1</v>
      </c>
      <c r="AD4415" s="4">
        <v>44</v>
      </c>
      <c r="AE4415" s="4">
        <v>44</v>
      </c>
      <c r="AF4415" s="4">
        <v>0</v>
      </c>
      <c r="AG4415" s="4">
        <v>0</v>
      </c>
      <c r="AH4415" s="4">
        <v>39</v>
      </c>
      <c r="AI4415" s="4">
        <v>39</v>
      </c>
      <c r="AJ4415" s="4">
        <v>9</v>
      </c>
      <c r="AK4415" s="4">
        <v>9</v>
      </c>
      <c r="AL4415" s="4">
        <v>27</v>
      </c>
      <c r="AM4415" s="4">
        <v>27</v>
      </c>
      <c r="AN4415" s="4">
        <v>0</v>
      </c>
      <c r="AO4415" s="4">
        <v>0</v>
      </c>
      <c r="AP4415" s="4">
        <v>8</v>
      </c>
      <c r="AQ4415" s="4">
        <v>8</v>
      </c>
      <c r="AR4415" s="3" t="s">
        <v>62</v>
      </c>
      <c r="AS4415" s="3" t="s">
        <v>62</v>
      </c>
      <c r="AT4415" s="3" t="s">
        <v>61</v>
      </c>
      <c r="AU4415" s="6" t="str">
        <f>HYPERLINK("http://catalog.hathitrust.org/Record/001898140","HathiTrust Record")</f>
        <v>HathiTrust Record</v>
      </c>
      <c r="AV4415" s="6" t="str">
        <f>HYPERLINK("http://mcgill.on.worldcat.org/oclc/1923021","Catalog Record")</f>
        <v>Catalog Record</v>
      </c>
      <c r="AW4415" s="6" t="str">
        <f>HYPERLINK("http://www.worldcat.org/oclc/1923021","WorldCat Record")</f>
        <v>WorldCat Record</v>
      </c>
      <c r="AX4415" s="3" t="s">
        <v>42406</v>
      </c>
      <c r="AY4415" s="3" t="s">
        <v>42407</v>
      </c>
      <c r="AZ4415" s="3" t="s">
        <v>42408</v>
      </c>
      <c r="BA4415" s="3" t="s">
        <v>42408</v>
      </c>
      <c r="BB4415" s="3" t="s">
        <v>42409</v>
      </c>
      <c r="BC4415" s="3" t="s">
        <v>142</v>
      </c>
      <c r="BD4415" s="3" t="s">
        <v>68</v>
      </c>
      <c r="BF4415" s="3" t="s">
        <v>42409</v>
      </c>
      <c r="BG4415" s="3" t="s">
        <v>42410</v>
      </c>
    </row>
    <row r="4416" spans="1:59" ht="57" x14ac:dyDescent="0.45">
      <c r="A4416" s="2" t="s">
        <v>59</v>
      </c>
      <c r="B4416" s="2" t="s">
        <v>60</v>
      </c>
      <c r="C4416" s="2" t="s">
        <v>42411</v>
      </c>
      <c r="D4416" s="2" t="s">
        <v>42412</v>
      </c>
      <c r="E4416" s="2" t="s">
        <v>42413</v>
      </c>
      <c r="G4416" s="3" t="s">
        <v>62</v>
      </c>
      <c r="I4416" s="3" t="s">
        <v>62</v>
      </c>
      <c r="J4416" s="3" t="s">
        <v>62</v>
      </c>
      <c r="K4416" s="3" t="s">
        <v>63</v>
      </c>
      <c r="L4416" s="2" t="s">
        <v>42414</v>
      </c>
      <c r="M4416" s="2" t="s">
        <v>42415</v>
      </c>
      <c r="N4416" s="3" t="s">
        <v>149</v>
      </c>
      <c r="O4416" s="2" t="s">
        <v>919</v>
      </c>
      <c r="P4416" s="3" t="s">
        <v>65</v>
      </c>
      <c r="R4416" s="3" t="s">
        <v>66</v>
      </c>
      <c r="S4416" s="4">
        <v>2</v>
      </c>
      <c r="T4416" s="4">
        <v>2</v>
      </c>
      <c r="U4416" s="5" t="s">
        <v>42416</v>
      </c>
      <c r="V4416" s="5" t="s">
        <v>42416</v>
      </c>
      <c r="W4416" s="5" t="s">
        <v>67</v>
      </c>
      <c r="X4416" s="5" t="s">
        <v>67</v>
      </c>
      <c r="Y4416" s="4">
        <v>95</v>
      </c>
      <c r="Z4416" s="4">
        <v>6</v>
      </c>
      <c r="AA4416" s="4">
        <v>27</v>
      </c>
      <c r="AB4416" s="4">
        <v>1</v>
      </c>
      <c r="AC4416" s="4">
        <v>4</v>
      </c>
      <c r="AD4416" s="4">
        <v>13</v>
      </c>
      <c r="AE4416" s="4">
        <v>71</v>
      </c>
      <c r="AF4416" s="4">
        <v>0</v>
      </c>
      <c r="AG4416" s="4">
        <v>2</v>
      </c>
      <c r="AH4416" s="4">
        <v>10</v>
      </c>
      <c r="AI4416" s="4">
        <v>61</v>
      </c>
      <c r="AJ4416" s="4">
        <v>3</v>
      </c>
      <c r="AK4416" s="4">
        <v>14</v>
      </c>
      <c r="AL4416" s="4">
        <v>8</v>
      </c>
      <c r="AM4416" s="4">
        <v>28</v>
      </c>
      <c r="AN4416" s="4">
        <v>0</v>
      </c>
      <c r="AO4416" s="4">
        <v>0</v>
      </c>
      <c r="AP4416" s="4">
        <v>3</v>
      </c>
      <c r="AQ4416" s="4">
        <v>16</v>
      </c>
      <c r="AR4416" s="3" t="s">
        <v>62</v>
      </c>
      <c r="AS4416" s="3" t="s">
        <v>62</v>
      </c>
      <c r="AT4416" s="3" t="s">
        <v>62</v>
      </c>
      <c r="AV4416" s="6" t="str">
        <f>HYPERLINK("http://mcgill.on.worldcat.org/oclc/268788478","Catalog Record")</f>
        <v>Catalog Record</v>
      </c>
      <c r="AW4416" s="6" t="str">
        <f>HYPERLINK("http://www.worldcat.org/oclc/268788478","WorldCat Record")</f>
        <v>WorldCat Record</v>
      </c>
      <c r="AX4416" s="3" t="s">
        <v>42417</v>
      </c>
      <c r="AY4416" s="3" t="s">
        <v>42418</v>
      </c>
      <c r="AZ4416" s="3" t="s">
        <v>42419</v>
      </c>
      <c r="BA4416" s="3" t="s">
        <v>42419</v>
      </c>
      <c r="BB4416" s="3" t="s">
        <v>42420</v>
      </c>
      <c r="BC4416" s="3" t="s">
        <v>142</v>
      </c>
      <c r="BD4416" s="3" t="s">
        <v>68</v>
      </c>
      <c r="BE4416" s="3" t="s">
        <v>42421</v>
      </c>
      <c r="BF4416" s="3" t="s">
        <v>42420</v>
      </c>
      <c r="BG4416" s="3" t="s">
        <v>42422</v>
      </c>
    </row>
    <row r="4417" spans="1:59" ht="57" x14ac:dyDescent="0.45">
      <c r="A4417" s="2" t="s">
        <v>59</v>
      </c>
      <c r="B4417" s="2" t="s">
        <v>60</v>
      </c>
      <c r="C4417" s="2" t="s">
        <v>42423</v>
      </c>
      <c r="D4417" s="2" t="s">
        <v>42424</v>
      </c>
      <c r="E4417" s="2" t="s">
        <v>42425</v>
      </c>
      <c r="G4417" s="3" t="s">
        <v>62</v>
      </c>
      <c r="I4417" s="3" t="s">
        <v>61</v>
      </c>
      <c r="J4417" s="3" t="s">
        <v>61</v>
      </c>
      <c r="K4417" s="3" t="s">
        <v>63</v>
      </c>
      <c r="L4417" s="2" t="s">
        <v>42426</v>
      </c>
      <c r="M4417" s="2" t="s">
        <v>42427</v>
      </c>
      <c r="N4417" s="3" t="s">
        <v>109</v>
      </c>
      <c r="O4417" s="2" t="s">
        <v>3255</v>
      </c>
      <c r="P4417" s="3" t="s">
        <v>65</v>
      </c>
      <c r="R4417" s="3" t="s">
        <v>66</v>
      </c>
      <c r="S4417" s="4">
        <v>17</v>
      </c>
      <c r="T4417" s="4">
        <v>22</v>
      </c>
      <c r="U4417" s="5" t="s">
        <v>29149</v>
      </c>
      <c r="V4417" s="5" t="s">
        <v>29149</v>
      </c>
      <c r="W4417" s="5" t="s">
        <v>67</v>
      </c>
      <c r="X4417" s="5" t="s">
        <v>67</v>
      </c>
      <c r="Y4417" s="4">
        <v>1691</v>
      </c>
      <c r="Z4417" s="4">
        <v>45</v>
      </c>
      <c r="AA4417" s="4">
        <v>92</v>
      </c>
      <c r="AB4417" s="4">
        <v>2</v>
      </c>
      <c r="AC4417" s="4">
        <v>12</v>
      </c>
      <c r="AD4417" s="4">
        <v>111</v>
      </c>
      <c r="AE4417" s="4">
        <v>156</v>
      </c>
      <c r="AF4417" s="4">
        <v>0</v>
      </c>
      <c r="AG4417" s="4">
        <v>6</v>
      </c>
      <c r="AH4417" s="4">
        <v>92</v>
      </c>
      <c r="AI4417" s="4">
        <v>115</v>
      </c>
      <c r="AJ4417" s="4">
        <v>14</v>
      </c>
      <c r="AK4417" s="4">
        <v>28</v>
      </c>
      <c r="AL4417" s="4">
        <v>47</v>
      </c>
      <c r="AM4417" s="4">
        <v>62</v>
      </c>
      <c r="AN4417" s="4">
        <v>0</v>
      </c>
      <c r="AO4417" s="4">
        <v>0</v>
      </c>
      <c r="AP4417" s="4">
        <v>24</v>
      </c>
      <c r="AQ4417" s="4">
        <v>47</v>
      </c>
      <c r="AR4417" s="3" t="s">
        <v>62</v>
      </c>
      <c r="AS4417" s="3" t="s">
        <v>62</v>
      </c>
      <c r="AT4417" s="3" t="s">
        <v>61</v>
      </c>
      <c r="AU4417" s="6" t="str">
        <f>HYPERLINK("http://catalog.hathitrust.org/Record/001193123","HathiTrust Record")</f>
        <v>HathiTrust Record</v>
      </c>
      <c r="AV4417" s="6" t="str">
        <f>HYPERLINK("http://mcgill.on.worldcat.org/oclc/306668","Catalog Record")</f>
        <v>Catalog Record</v>
      </c>
      <c r="AW4417" s="6" t="str">
        <f>HYPERLINK("http://www.worldcat.org/oclc/306668","WorldCat Record")</f>
        <v>WorldCat Record</v>
      </c>
      <c r="AX4417" s="3" t="s">
        <v>42428</v>
      </c>
      <c r="AY4417" s="3" t="s">
        <v>42429</v>
      </c>
      <c r="AZ4417" s="3" t="s">
        <v>42430</v>
      </c>
      <c r="BA4417" s="3" t="s">
        <v>42430</v>
      </c>
      <c r="BB4417" s="3" t="s">
        <v>42431</v>
      </c>
      <c r="BC4417" s="3" t="s">
        <v>142</v>
      </c>
      <c r="BD4417" s="3" t="s">
        <v>68</v>
      </c>
      <c r="BF4417" s="3" t="s">
        <v>42431</v>
      </c>
      <c r="BG4417" s="3" t="s">
        <v>42432</v>
      </c>
    </row>
    <row r="4418" spans="1:59" ht="57" x14ac:dyDescent="0.45">
      <c r="A4418" s="2" t="s">
        <v>59</v>
      </c>
      <c r="B4418" s="2" t="s">
        <v>60</v>
      </c>
      <c r="C4418" s="2" t="s">
        <v>42423</v>
      </c>
      <c r="D4418" s="2" t="s">
        <v>42424</v>
      </c>
      <c r="E4418" s="2" t="s">
        <v>42425</v>
      </c>
      <c r="G4418" s="3" t="s">
        <v>62</v>
      </c>
      <c r="I4418" s="3" t="s">
        <v>61</v>
      </c>
      <c r="J4418" s="3" t="s">
        <v>61</v>
      </c>
      <c r="K4418" s="3" t="s">
        <v>63</v>
      </c>
      <c r="L4418" s="2" t="s">
        <v>42426</v>
      </c>
      <c r="M4418" s="2" t="s">
        <v>42427</v>
      </c>
      <c r="N4418" s="3" t="s">
        <v>109</v>
      </c>
      <c r="O4418" s="2" t="s">
        <v>3255</v>
      </c>
      <c r="P4418" s="3" t="s">
        <v>65</v>
      </c>
      <c r="R4418" s="3" t="s">
        <v>66</v>
      </c>
      <c r="S4418" s="4">
        <v>5</v>
      </c>
      <c r="T4418" s="4">
        <v>22</v>
      </c>
      <c r="U4418" s="5" t="s">
        <v>42433</v>
      </c>
      <c r="V4418" s="5" t="s">
        <v>29149</v>
      </c>
      <c r="W4418" s="5" t="s">
        <v>67</v>
      </c>
      <c r="X4418" s="5" t="s">
        <v>67</v>
      </c>
      <c r="Y4418" s="4">
        <v>1691</v>
      </c>
      <c r="Z4418" s="4">
        <v>45</v>
      </c>
      <c r="AA4418" s="4">
        <v>92</v>
      </c>
      <c r="AB4418" s="4">
        <v>2</v>
      </c>
      <c r="AC4418" s="4">
        <v>12</v>
      </c>
      <c r="AD4418" s="4">
        <v>111</v>
      </c>
      <c r="AE4418" s="4">
        <v>156</v>
      </c>
      <c r="AF4418" s="4">
        <v>0</v>
      </c>
      <c r="AG4418" s="4">
        <v>6</v>
      </c>
      <c r="AH4418" s="4">
        <v>92</v>
      </c>
      <c r="AI4418" s="4">
        <v>115</v>
      </c>
      <c r="AJ4418" s="4">
        <v>14</v>
      </c>
      <c r="AK4418" s="4">
        <v>28</v>
      </c>
      <c r="AL4418" s="4">
        <v>47</v>
      </c>
      <c r="AM4418" s="4">
        <v>62</v>
      </c>
      <c r="AN4418" s="4">
        <v>0</v>
      </c>
      <c r="AO4418" s="4">
        <v>0</v>
      </c>
      <c r="AP4418" s="4">
        <v>24</v>
      </c>
      <c r="AQ4418" s="4">
        <v>47</v>
      </c>
      <c r="AR4418" s="3" t="s">
        <v>62</v>
      </c>
      <c r="AS4418" s="3" t="s">
        <v>62</v>
      </c>
      <c r="AT4418" s="3" t="s">
        <v>61</v>
      </c>
      <c r="AU4418" s="6" t="str">
        <f>HYPERLINK("http://catalog.hathitrust.org/Record/001193123","HathiTrust Record")</f>
        <v>HathiTrust Record</v>
      </c>
      <c r="AV4418" s="6" t="str">
        <f>HYPERLINK("http://mcgill.on.worldcat.org/oclc/306668","Catalog Record")</f>
        <v>Catalog Record</v>
      </c>
      <c r="AW4418" s="6" t="str">
        <f>HYPERLINK("http://www.worldcat.org/oclc/306668","WorldCat Record")</f>
        <v>WorldCat Record</v>
      </c>
      <c r="AX4418" s="3" t="s">
        <v>42428</v>
      </c>
      <c r="AY4418" s="3" t="s">
        <v>42429</v>
      </c>
      <c r="AZ4418" s="3" t="s">
        <v>42430</v>
      </c>
      <c r="BA4418" s="3" t="s">
        <v>42430</v>
      </c>
      <c r="BB4418" s="3" t="s">
        <v>42434</v>
      </c>
      <c r="BC4418" s="3" t="s">
        <v>142</v>
      </c>
      <c r="BD4418" s="3" t="s">
        <v>68</v>
      </c>
      <c r="BF4418" s="3" t="s">
        <v>42434</v>
      </c>
      <c r="BG4418" s="3" t="s">
        <v>42435</v>
      </c>
    </row>
    <row r="4419" spans="1:59" ht="57" x14ac:dyDescent="0.45">
      <c r="A4419" s="2" t="s">
        <v>59</v>
      </c>
      <c r="B4419" s="2" t="s">
        <v>60</v>
      </c>
      <c r="C4419" s="2" t="s">
        <v>42436</v>
      </c>
      <c r="D4419" s="2" t="s">
        <v>42437</v>
      </c>
      <c r="E4419" s="2" t="s">
        <v>42438</v>
      </c>
      <c r="G4419" s="3" t="s">
        <v>62</v>
      </c>
      <c r="I4419" s="3" t="s">
        <v>61</v>
      </c>
      <c r="J4419" s="3" t="s">
        <v>62</v>
      </c>
      <c r="K4419" s="3" t="s">
        <v>63</v>
      </c>
      <c r="M4419" s="2" t="s">
        <v>42439</v>
      </c>
      <c r="N4419" s="3" t="s">
        <v>529</v>
      </c>
      <c r="P4419" s="3" t="s">
        <v>65</v>
      </c>
      <c r="Q4419" s="2" t="s">
        <v>42440</v>
      </c>
      <c r="R4419" s="3" t="s">
        <v>66</v>
      </c>
      <c r="S4419" s="4">
        <v>11</v>
      </c>
      <c r="T4419" s="4">
        <v>18</v>
      </c>
      <c r="U4419" s="5" t="s">
        <v>23495</v>
      </c>
      <c r="V4419" s="5" t="s">
        <v>23495</v>
      </c>
      <c r="W4419" s="5" t="s">
        <v>67</v>
      </c>
      <c r="X4419" s="5" t="s">
        <v>67</v>
      </c>
      <c r="Y4419" s="4">
        <v>452</v>
      </c>
      <c r="Z4419" s="4">
        <v>34</v>
      </c>
      <c r="AA4419" s="4">
        <v>37</v>
      </c>
      <c r="AB4419" s="4">
        <v>3</v>
      </c>
      <c r="AC4419" s="4">
        <v>6</v>
      </c>
      <c r="AD4419" s="4">
        <v>115</v>
      </c>
      <c r="AE4419" s="4">
        <v>118</v>
      </c>
      <c r="AF4419" s="4">
        <v>2</v>
      </c>
      <c r="AG4419" s="4">
        <v>5</v>
      </c>
      <c r="AH4419" s="4">
        <v>95</v>
      </c>
      <c r="AI4419" s="4">
        <v>96</v>
      </c>
      <c r="AJ4419" s="4">
        <v>18</v>
      </c>
      <c r="AK4419" s="4">
        <v>21</v>
      </c>
      <c r="AL4419" s="4">
        <v>53</v>
      </c>
      <c r="AM4419" s="4">
        <v>53</v>
      </c>
      <c r="AN4419" s="4">
        <v>0</v>
      </c>
      <c r="AO4419" s="4">
        <v>0</v>
      </c>
      <c r="AP4419" s="4">
        <v>26</v>
      </c>
      <c r="AQ4419" s="4">
        <v>28</v>
      </c>
      <c r="AR4419" s="3" t="s">
        <v>62</v>
      </c>
      <c r="AS4419" s="3" t="s">
        <v>62</v>
      </c>
      <c r="AT4419" s="3" t="s">
        <v>61</v>
      </c>
      <c r="AU4419" s="6" t="str">
        <f>HYPERLINK("http://catalog.hathitrust.org/Record/000652272","HathiTrust Record")</f>
        <v>HathiTrust Record</v>
      </c>
      <c r="AV4419" s="6" t="str">
        <f>HYPERLINK("http://mcgill.on.worldcat.org/oclc/11134462","Catalog Record")</f>
        <v>Catalog Record</v>
      </c>
      <c r="AW4419" s="6" t="str">
        <f>HYPERLINK("http://www.worldcat.org/oclc/11134462","WorldCat Record")</f>
        <v>WorldCat Record</v>
      </c>
      <c r="AX4419" s="3" t="s">
        <v>42441</v>
      </c>
      <c r="AY4419" s="3" t="s">
        <v>42442</v>
      </c>
      <c r="AZ4419" s="3" t="s">
        <v>42443</v>
      </c>
      <c r="BA4419" s="3" t="s">
        <v>42443</v>
      </c>
      <c r="BB4419" s="3" t="s">
        <v>42444</v>
      </c>
      <c r="BC4419" s="3" t="s">
        <v>142</v>
      </c>
      <c r="BD4419" s="3" t="s">
        <v>68</v>
      </c>
      <c r="BE4419" s="3" t="s">
        <v>42445</v>
      </c>
      <c r="BF4419" s="3" t="s">
        <v>42444</v>
      </c>
      <c r="BG4419" s="3" t="s">
        <v>42446</v>
      </c>
    </row>
    <row r="4420" spans="1:59" ht="57" x14ac:dyDescent="0.45">
      <c r="A4420" s="2" t="s">
        <v>59</v>
      </c>
      <c r="B4420" s="2" t="s">
        <v>60</v>
      </c>
      <c r="C4420" s="2" t="s">
        <v>42436</v>
      </c>
      <c r="D4420" s="2" t="s">
        <v>42437</v>
      </c>
      <c r="E4420" s="2" t="s">
        <v>42438</v>
      </c>
      <c r="G4420" s="3" t="s">
        <v>62</v>
      </c>
      <c r="I4420" s="3" t="s">
        <v>61</v>
      </c>
      <c r="J4420" s="3" t="s">
        <v>62</v>
      </c>
      <c r="K4420" s="3" t="s">
        <v>63</v>
      </c>
      <c r="M4420" s="2" t="s">
        <v>42439</v>
      </c>
      <c r="N4420" s="3" t="s">
        <v>529</v>
      </c>
      <c r="P4420" s="3" t="s">
        <v>65</v>
      </c>
      <c r="Q4420" s="2" t="s">
        <v>42440</v>
      </c>
      <c r="R4420" s="3" t="s">
        <v>66</v>
      </c>
      <c r="S4420" s="4">
        <v>7</v>
      </c>
      <c r="T4420" s="4">
        <v>18</v>
      </c>
      <c r="U4420" s="5" t="s">
        <v>42416</v>
      </c>
      <c r="V4420" s="5" t="s">
        <v>23495</v>
      </c>
      <c r="W4420" s="5" t="s">
        <v>67</v>
      </c>
      <c r="X4420" s="5" t="s">
        <v>67</v>
      </c>
      <c r="Y4420" s="4">
        <v>452</v>
      </c>
      <c r="Z4420" s="4">
        <v>34</v>
      </c>
      <c r="AA4420" s="4">
        <v>37</v>
      </c>
      <c r="AB4420" s="4">
        <v>3</v>
      </c>
      <c r="AC4420" s="4">
        <v>6</v>
      </c>
      <c r="AD4420" s="4">
        <v>115</v>
      </c>
      <c r="AE4420" s="4">
        <v>118</v>
      </c>
      <c r="AF4420" s="4">
        <v>2</v>
      </c>
      <c r="AG4420" s="4">
        <v>5</v>
      </c>
      <c r="AH4420" s="4">
        <v>95</v>
      </c>
      <c r="AI4420" s="4">
        <v>96</v>
      </c>
      <c r="AJ4420" s="4">
        <v>18</v>
      </c>
      <c r="AK4420" s="4">
        <v>21</v>
      </c>
      <c r="AL4420" s="4">
        <v>53</v>
      </c>
      <c r="AM4420" s="4">
        <v>53</v>
      </c>
      <c r="AN4420" s="4">
        <v>0</v>
      </c>
      <c r="AO4420" s="4">
        <v>0</v>
      </c>
      <c r="AP4420" s="4">
        <v>26</v>
      </c>
      <c r="AQ4420" s="4">
        <v>28</v>
      </c>
      <c r="AR4420" s="3" t="s">
        <v>62</v>
      </c>
      <c r="AS4420" s="3" t="s">
        <v>62</v>
      </c>
      <c r="AT4420" s="3" t="s">
        <v>61</v>
      </c>
      <c r="AU4420" s="6" t="str">
        <f>HYPERLINK("http://catalog.hathitrust.org/Record/000652272","HathiTrust Record")</f>
        <v>HathiTrust Record</v>
      </c>
      <c r="AV4420" s="6" t="str">
        <f>HYPERLINK("http://mcgill.on.worldcat.org/oclc/11134462","Catalog Record")</f>
        <v>Catalog Record</v>
      </c>
      <c r="AW4420" s="6" t="str">
        <f>HYPERLINK("http://www.worldcat.org/oclc/11134462","WorldCat Record")</f>
        <v>WorldCat Record</v>
      </c>
      <c r="AX4420" s="3" t="s">
        <v>42441</v>
      </c>
      <c r="AY4420" s="3" t="s">
        <v>42442</v>
      </c>
      <c r="AZ4420" s="3" t="s">
        <v>42443</v>
      </c>
      <c r="BA4420" s="3" t="s">
        <v>42443</v>
      </c>
      <c r="BB4420" s="3" t="s">
        <v>42447</v>
      </c>
      <c r="BC4420" s="3" t="s">
        <v>142</v>
      </c>
      <c r="BD4420" s="3" t="s">
        <v>68</v>
      </c>
      <c r="BE4420" s="3" t="s">
        <v>42445</v>
      </c>
      <c r="BF4420" s="3" t="s">
        <v>42447</v>
      </c>
      <c r="BG4420" s="3" t="s">
        <v>42448</v>
      </c>
    </row>
    <row r="4421" spans="1:59" ht="57" x14ac:dyDescent="0.45">
      <c r="A4421" s="2" t="s">
        <v>59</v>
      </c>
      <c r="B4421" s="2" t="s">
        <v>60</v>
      </c>
      <c r="C4421" s="2" t="s">
        <v>42449</v>
      </c>
      <c r="D4421" s="2" t="s">
        <v>42450</v>
      </c>
      <c r="E4421" s="2" t="s">
        <v>42451</v>
      </c>
      <c r="G4421" s="3" t="s">
        <v>62</v>
      </c>
      <c r="I4421" s="3" t="s">
        <v>62</v>
      </c>
      <c r="J4421" s="3" t="s">
        <v>62</v>
      </c>
      <c r="K4421" s="3" t="s">
        <v>63</v>
      </c>
      <c r="L4421" s="2" t="s">
        <v>42452</v>
      </c>
      <c r="M4421" s="2" t="s">
        <v>42453</v>
      </c>
      <c r="N4421" s="3" t="s">
        <v>149</v>
      </c>
      <c r="O4421" s="2" t="s">
        <v>42454</v>
      </c>
      <c r="P4421" s="3" t="s">
        <v>110</v>
      </c>
      <c r="Q4421" s="2" t="s">
        <v>42455</v>
      </c>
      <c r="R4421" s="3" t="s">
        <v>66</v>
      </c>
      <c r="S4421" s="4">
        <v>0</v>
      </c>
      <c r="T4421" s="4">
        <v>0</v>
      </c>
      <c r="W4421" s="5" t="s">
        <v>67</v>
      </c>
      <c r="X4421" s="5" t="s">
        <v>67</v>
      </c>
      <c r="Y4421" s="4">
        <v>65</v>
      </c>
      <c r="Z4421" s="4">
        <v>6</v>
      </c>
      <c r="AA4421" s="4">
        <v>49</v>
      </c>
      <c r="AB4421" s="4">
        <v>5</v>
      </c>
      <c r="AC4421" s="4">
        <v>13</v>
      </c>
      <c r="AD4421" s="4">
        <v>4</v>
      </c>
      <c r="AE4421" s="4">
        <v>97</v>
      </c>
      <c r="AF4421" s="4">
        <v>3</v>
      </c>
      <c r="AG4421" s="4">
        <v>6</v>
      </c>
      <c r="AH4421" s="4">
        <v>1</v>
      </c>
      <c r="AI4421" s="4">
        <v>75</v>
      </c>
      <c r="AJ4421" s="4">
        <v>4</v>
      </c>
      <c r="AK4421" s="4">
        <v>22</v>
      </c>
      <c r="AL4421" s="4">
        <v>0</v>
      </c>
      <c r="AM4421" s="4">
        <v>41</v>
      </c>
      <c r="AN4421" s="4">
        <v>0</v>
      </c>
      <c r="AO4421" s="4">
        <v>0</v>
      </c>
      <c r="AP4421" s="4">
        <v>3</v>
      </c>
      <c r="AQ4421" s="4">
        <v>33</v>
      </c>
      <c r="AR4421" s="3" t="s">
        <v>62</v>
      </c>
      <c r="AS4421" s="3" t="s">
        <v>62</v>
      </c>
      <c r="AT4421" s="3" t="s">
        <v>62</v>
      </c>
      <c r="AV4421" s="6" t="str">
        <f>HYPERLINK("http://mcgill.on.worldcat.org/oclc/707822213","Catalog Record")</f>
        <v>Catalog Record</v>
      </c>
      <c r="AW4421" s="6" t="str">
        <f>HYPERLINK("http://www.worldcat.org/oclc/707822213","WorldCat Record")</f>
        <v>WorldCat Record</v>
      </c>
      <c r="AX4421" s="3" t="s">
        <v>42456</v>
      </c>
      <c r="AY4421" s="3" t="s">
        <v>42457</v>
      </c>
      <c r="AZ4421" s="3" t="s">
        <v>42458</v>
      </c>
      <c r="BA4421" s="3" t="s">
        <v>42458</v>
      </c>
      <c r="BB4421" s="3" t="s">
        <v>42459</v>
      </c>
      <c r="BC4421" s="3" t="s">
        <v>142</v>
      </c>
      <c r="BD4421" s="3" t="s">
        <v>68</v>
      </c>
      <c r="BE4421" s="3" t="s">
        <v>42460</v>
      </c>
      <c r="BF4421" s="3" t="s">
        <v>42459</v>
      </c>
      <c r="BG4421" s="3" t="s">
        <v>42461</v>
      </c>
    </row>
    <row r="4422" spans="1:59" ht="57" x14ac:dyDescent="0.45">
      <c r="A4422" s="2" t="s">
        <v>59</v>
      </c>
      <c r="B4422" s="2" t="s">
        <v>60</v>
      </c>
      <c r="C4422" s="2" t="s">
        <v>42462</v>
      </c>
      <c r="D4422" s="2" t="s">
        <v>42463</v>
      </c>
      <c r="E4422" s="2" t="s">
        <v>42464</v>
      </c>
      <c r="G4422" s="3" t="s">
        <v>62</v>
      </c>
      <c r="I4422" s="3" t="s">
        <v>61</v>
      </c>
      <c r="J4422" s="3" t="s">
        <v>62</v>
      </c>
      <c r="K4422" s="3" t="s">
        <v>63</v>
      </c>
      <c r="L4422" s="2" t="s">
        <v>42465</v>
      </c>
      <c r="M4422" s="2" t="s">
        <v>42466</v>
      </c>
      <c r="N4422" s="3" t="s">
        <v>113</v>
      </c>
      <c r="P4422" s="3" t="s">
        <v>65</v>
      </c>
      <c r="R4422" s="3" t="s">
        <v>66</v>
      </c>
      <c r="S4422" s="4">
        <v>1</v>
      </c>
      <c r="T4422" s="4">
        <v>8</v>
      </c>
      <c r="U4422" s="5" t="s">
        <v>42467</v>
      </c>
      <c r="V4422" s="5" t="s">
        <v>42468</v>
      </c>
      <c r="W4422" s="5" t="s">
        <v>67</v>
      </c>
      <c r="X4422" s="5" t="s">
        <v>67</v>
      </c>
      <c r="Y4422" s="4">
        <v>606</v>
      </c>
      <c r="Z4422" s="4">
        <v>43</v>
      </c>
      <c r="AA4422" s="4">
        <v>48</v>
      </c>
      <c r="AB4422" s="4">
        <v>3</v>
      </c>
      <c r="AC4422" s="4">
        <v>8</v>
      </c>
      <c r="AD4422" s="4">
        <v>120</v>
      </c>
      <c r="AE4422" s="4">
        <v>124</v>
      </c>
      <c r="AF4422" s="4">
        <v>1</v>
      </c>
      <c r="AG4422" s="4">
        <v>5</v>
      </c>
      <c r="AH4422" s="4">
        <v>98</v>
      </c>
      <c r="AI4422" s="4">
        <v>99</v>
      </c>
      <c r="AJ4422" s="4">
        <v>21</v>
      </c>
      <c r="AK4422" s="4">
        <v>25</v>
      </c>
      <c r="AL4422" s="4">
        <v>54</v>
      </c>
      <c r="AM4422" s="4">
        <v>54</v>
      </c>
      <c r="AN4422" s="4">
        <v>0</v>
      </c>
      <c r="AO4422" s="4">
        <v>0</v>
      </c>
      <c r="AP4422" s="4">
        <v>31</v>
      </c>
      <c r="AQ4422" s="4">
        <v>34</v>
      </c>
      <c r="AR4422" s="3" t="s">
        <v>62</v>
      </c>
      <c r="AS4422" s="3" t="s">
        <v>62</v>
      </c>
      <c r="AT4422" s="3" t="s">
        <v>61</v>
      </c>
      <c r="AU4422" s="6" t="str">
        <f>HYPERLINK("http://catalog.hathitrust.org/Record/001435425","HathiTrust Record")</f>
        <v>HathiTrust Record</v>
      </c>
      <c r="AV4422" s="6" t="str">
        <f>HYPERLINK("http://mcgill.on.worldcat.org/oclc/1063431","Catalog Record")</f>
        <v>Catalog Record</v>
      </c>
      <c r="AW4422" s="6" t="str">
        <f>HYPERLINK("http://www.worldcat.org/oclc/1063431","WorldCat Record")</f>
        <v>WorldCat Record</v>
      </c>
      <c r="AX4422" s="3" t="s">
        <v>42469</v>
      </c>
      <c r="AY4422" s="3" t="s">
        <v>42470</v>
      </c>
      <c r="AZ4422" s="3" t="s">
        <v>42471</v>
      </c>
      <c r="BA4422" s="3" t="s">
        <v>42471</v>
      </c>
      <c r="BB4422" s="3" t="s">
        <v>42472</v>
      </c>
      <c r="BC4422" s="3" t="s">
        <v>142</v>
      </c>
      <c r="BD4422" s="3" t="s">
        <v>68</v>
      </c>
      <c r="BF4422" s="3" t="s">
        <v>42472</v>
      </c>
      <c r="BG4422" s="3" t="s">
        <v>42473</v>
      </c>
    </row>
    <row r="4423" spans="1:59" ht="57" x14ac:dyDescent="0.45">
      <c r="A4423" s="2" t="s">
        <v>59</v>
      </c>
      <c r="B4423" s="2" t="s">
        <v>60</v>
      </c>
      <c r="C4423" s="2" t="s">
        <v>42462</v>
      </c>
      <c r="D4423" s="2" t="s">
        <v>42463</v>
      </c>
      <c r="E4423" s="2" t="s">
        <v>42464</v>
      </c>
      <c r="G4423" s="3" t="s">
        <v>62</v>
      </c>
      <c r="I4423" s="3" t="s">
        <v>61</v>
      </c>
      <c r="J4423" s="3" t="s">
        <v>62</v>
      </c>
      <c r="K4423" s="3" t="s">
        <v>63</v>
      </c>
      <c r="L4423" s="2" t="s">
        <v>42465</v>
      </c>
      <c r="M4423" s="2" t="s">
        <v>42466</v>
      </c>
      <c r="N4423" s="3" t="s">
        <v>113</v>
      </c>
      <c r="P4423" s="3" t="s">
        <v>65</v>
      </c>
      <c r="R4423" s="3" t="s">
        <v>66</v>
      </c>
      <c r="S4423" s="4">
        <v>0</v>
      </c>
      <c r="T4423" s="4">
        <v>8</v>
      </c>
      <c r="V4423" s="5" t="s">
        <v>42468</v>
      </c>
      <c r="W4423" s="5" t="s">
        <v>67</v>
      </c>
      <c r="X4423" s="5" t="s">
        <v>67</v>
      </c>
      <c r="Y4423" s="4">
        <v>606</v>
      </c>
      <c r="Z4423" s="4">
        <v>43</v>
      </c>
      <c r="AA4423" s="4">
        <v>48</v>
      </c>
      <c r="AB4423" s="4">
        <v>3</v>
      </c>
      <c r="AC4423" s="4">
        <v>8</v>
      </c>
      <c r="AD4423" s="4">
        <v>120</v>
      </c>
      <c r="AE4423" s="4">
        <v>124</v>
      </c>
      <c r="AF4423" s="4">
        <v>1</v>
      </c>
      <c r="AG4423" s="4">
        <v>5</v>
      </c>
      <c r="AH4423" s="4">
        <v>98</v>
      </c>
      <c r="AI4423" s="4">
        <v>99</v>
      </c>
      <c r="AJ4423" s="4">
        <v>21</v>
      </c>
      <c r="AK4423" s="4">
        <v>25</v>
      </c>
      <c r="AL4423" s="4">
        <v>54</v>
      </c>
      <c r="AM4423" s="4">
        <v>54</v>
      </c>
      <c r="AN4423" s="4">
        <v>0</v>
      </c>
      <c r="AO4423" s="4">
        <v>0</v>
      </c>
      <c r="AP4423" s="4">
        <v>31</v>
      </c>
      <c r="AQ4423" s="4">
        <v>34</v>
      </c>
      <c r="AR4423" s="3" t="s">
        <v>62</v>
      </c>
      <c r="AS4423" s="3" t="s">
        <v>62</v>
      </c>
      <c r="AT4423" s="3" t="s">
        <v>61</v>
      </c>
      <c r="AU4423" s="6" t="str">
        <f>HYPERLINK("http://catalog.hathitrust.org/Record/001435425","HathiTrust Record")</f>
        <v>HathiTrust Record</v>
      </c>
      <c r="AV4423" s="6" t="str">
        <f>HYPERLINK("http://mcgill.on.worldcat.org/oclc/1063431","Catalog Record")</f>
        <v>Catalog Record</v>
      </c>
      <c r="AW4423" s="6" t="str">
        <f>HYPERLINK("http://www.worldcat.org/oclc/1063431","WorldCat Record")</f>
        <v>WorldCat Record</v>
      </c>
      <c r="AX4423" s="3" t="s">
        <v>42469</v>
      </c>
      <c r="AY4423" s="3" t="s">
        <v>42470</v>
      </c>
      <c r="AZ4423" s="3" t="s">
        <v>42471</v>
      </c>
      <c r="BA4423" s="3" t="s">
        <v>42471</v>
      </c>
      <c r="BB4423" s="3" t="s">
        <v>42474</v>
      </c>
      <c r="BC4423" s="3" t="s">
        <v>142</v>
      </c>
      <c r="BD4423" s="3" t="s">
        <v>68</v>
      </c>
      <c r="BF4423" s="3" t="s">
        <v>42474</v>
      </c>
      <c r="BG4423" s="3" t="s">
        <v>42475</v>
      </c>
    </row>
    <row r="4424" spans="1:59" ht="57" x14ac:dyDescent="0.45">
      <c r="A4424" s="2" t="s">
        <v>59</v>
      </c>
      <c r="B4424" s="2" t="s">
        <v>60</v>
      </c>
      <c r="C4424" s="2" t="s">
        <v>42462</v>
      </c>
      <c r="D4424" s="2" t="s">
        <v>42463</v>
      </c>
      <c r="E4424" s="2" t="s">
        <v>42464</v>
      </c>
      <c r="G4424" s="3" t="s">
        <v>62</v>
      </c>
      <c r="I4424" s="3" t="s">
        <v>61</v>
      </c>
      <c r="J4424" s="3" t="s">
        <v>62</v>
      </c>
      <c r="K4424" s="3" t="s">
        <v>63</v>
      </c>
      <c r="L4424" s="2" t="s">
        <v>42465</v>
      </c>
      <c r="M4424" s="2" t="s">
        <v>42466</v>
      </c>
      <c r="N4424" s="3" t="s">
        <v>113</v>
      </c>
      <c r="P4424" s="3" t="s">
        <v>65</v>
      </c>
      <c r="R4424" s="3" t="s">
        <v>66</v>
      </c>
      <c r="S4424" s="4">
        <v>6</v>
      </c>
      <c r="T4424" s="4">
        <v>8</v>
      </c>
      <c r="U4424" s="5" t="s">
        <v>42468</v>
      </c>
      <c r="V4424" s="5" t="s">
        <v>42468</v>
      </c>
      <c r="W4424" s="5" t="s">
        <v>67</v>
      </c>
      <c r="X4424" s="5" t="s">
        <v>67</v>
      </c>
      <c r="Y4424" s="4">
        <v>606</v>
      </c>
      <c r="Z4424" s="4">
        <v>43</v>
      </c>
      <c r="AA4424" s="4">
        <v>48</v>
      </c>
      <c r="AB4424" s="4">
        <v>3</v>
      </c>
      <c r="AC4424" s="4">
        <v>8</v>
      </c>
      <c r="AD4424" s="4">
        <v>120</v>
      </c>
      <c r="AE4424" s="4">
        <v>124</v>
      </c>
      <c r="AF4424" s="4">
        <v>1</v>
      </c>
      <c r="AG4424" s="4">
        <v>5</v>
      </c>
      <c r="AH4424" s="4">
        <v>98</v>
      </c>
      <c r="AI4424" s="4">
        <v>99</v>
      </c>
      <c r="AJ4424" s="4">
        <v>21</v>
      </c>
      <c r="AK4424" s="4">
        <v>25</v>
      </c>
      <c r="AL4424" s="4">
        <v>54</v>
      </c>
      <c r="AM4424" s="4">
        <v>54</v>
      </c>
      <c r="AN4424" s="4">
        <v>0</v>
      </c>
      <c r="AO4424" s="4">
        <v>0</v>
      </c>
      <c r="AP4424" s="4">
        <v>31</v>
      </c>
      <c r="AQ4424" s="4">
        <v>34</v>
      </c>
      <c r="AR4424" s="3" t="s">
        <v>62</v>
      </c>
      <c r="AS4424" s="3" t="s">
        <v>62</v>
      </c>
      <c r="AT4424" s="3" t="s">
        <v>61</v>
      </c>
      <c r="AU4424" s="6" t="str">
        <f>HYPERLINK("http://catalog.hathitrust.org/Record/001435425","HathiTrust Record")</f>
        <v>HathiTrust Record</v>
      </c>
      <c r="AV4424" s="6" t="str">
        <f>HYPERLINK("http://mcgill.on.worldcat.org/oclc/1063431","Catalog Record")</f>
        <v>Catalog Record</v>
      </c>
      <c r="AW4424" s="6" t="str">
        <f>HYPERLINK("http://www.worldcat.org/oclc/1063431","WorldCat Record")</f>
        <v>WorldCat Record</v>
      </c>
      <c r="AX4424" s="3" t="s">
        <v>42469</v>
      </c>
      <c r="AY4424" s="3" t="s">
        <v>42470</v>
      </c>
      <c r="AZ4424" s="3" t="s">
        <v>42471</v>
      </c>
      <c r="BA4424" s="3" t="s">
        <v>42471</v>
      </c>
      <c r="BB4424" s="3" t="s">
        <v>42476</v>
      </c>
      <c r="BC4424" s="3" t="s">
        <v>142</v>
      </c>
      <c r="BD4424" s="3" t="s">
        <v>68</v>
      </c>
      <c r="BF4424" s="3" t="s">
        <v>42476</v>
      </c>
      <c r="BG4424" s="3" t="s">
        <v>42477</v>
      </c>
    </row>
    <row r="4425" spans="1:59" ht="57" x14ac:dyDescent="0.45">
      <c r="A4425" s="2" t="s">
        <v>59</v>
      </c>
      <c r="B4425" s="2" t="s">
        <v>60</v>
      </c>
      <c r="C4425" s="2" t="s">
        <v>42478</v>
      </c>
      <c r="D4425" s="2" t="s">
        <v>42479</v>
      </c>
      <c r="E4425" s="2" t="s">
        <v>42480</v>
      </c>
      <c r="G4425" s="3" t="s">
        <v>62</v>
      </c>
      <c r="I4425" s="3" t="s">
        <v>62</v>
      </c>
      <c r="J4425" s="3" t="s">
        <v>62</v>
      </c>
      <c r="K4425" s="3" t="s">
        <v>63</v>
      </c>
      <c r="L4425" s="2" t="s">
        <v>42481</v>
      </c>
      <c r="M4425" s="2" t="s">
        <v>42482</v>
      </c>
      <c r="N4425" s="3" t="s">
        <v>117</v>
      </c>
      <c r="P4425" s="3" t="s">
        <v>65</v>
      </c>
      <c r="R4425" s="3" t="s">
        <v>66</v>
      </c>
      <c r="S4425" s="4">
        <v>4</v>
      </c>
      <c r="T4425" s="4">
        <v>4</v>
      </c>
      <c r="U4425" s="5" t="s">
        <v>8148</v>
      </c>
      <c r="V4425" s="5" t="s">
        <v>8148</v>
      </c>
      <c r="W4425" s="5" t="s">
        <v>67</v>
      </c>
      <c r="X4425" s="5" t="s">
        <v>67</v>
      </c>
      <c r="Y4425" s="4">
        <v>508</v>
      </c>
      <c r="Z4425" s="4">
        <v>35</v>
      </c>
      <c r="AA4425" s="4">
        <v>36</v>
      </c>
      <c r="AB4425" s="4">
        <v>2</v>
      </c>
      <c r="AC4425" s="4">
        <v>3</v>
      </c>
      <c r="AD4425" s="4">
        <v>124</v>
      </c>
      <c r="AE4425" s="4">
        <v>125</v>
      </c>
      <c r="AF4425" s="4">
        <v>1</v>
      </c>
      <c r="AG4425" s="4">
        <v>2</v>
      </c>
      <c r="AH4425" s="4">
        <v>102</v>
      </c>
      <c r="AI4425" s="4">
        <v>102</v>
      </c>
      <c r="AJ4425" s="4">
        <v>21</v>
      </c>
      <c r="AK4425" s="4">
        <v>22</v>
      </c>
      <c r="AL4425" s="4">
        <v>53</v>
      </c>
      <c r="AM4425" s="4">
        <v>53</v>
      </c>
      <c r="AN4425" s="4">
        <v>0</v>
      </c>
      <c r="AO4425" s="4">
        <v>0</v>
      </c>
      <c r="AP4425" s="4">
        <v>30</v>
      </c>
      <c r="AQ4425" s="4">
        <v>31</v>
      </c>
      <c r="AR4425" s="3" t="s">
        <v>62</v>
      </c>
      <c r="AS4425" s="3" t="s">
        <v>62</v>
      </c>
      <c r="AT4425" s="3" t="s">
        <v>61</v>
      </c>
      <c r="AU4425" s="6" t="str">
        <f>HYPERLINK("http://catalog.hathitrust.org/Record/000696351","HathiTrust Record")</f>
        <v>HathiTrust Record</v>
      </c>
      <c r="AV4425" s="6" t="str">
        <f>HYPERLINK("http://mcgill.on.worldcat.org/oclc/5831926","Catalog Record")</f>
        <v>Catalog Record</v>
      </c>
      <c r="AW4425" s="6" t="str">
        <f>HYPERLINK("http://www.worldcat.org/oclc/5831926","WorldCat Record")</f>
        <v>WorldCat Record</v>
      </c>
      <c r="AX4425" s="3" t="s">
        <v>42483</v>
      </c>
      <c r="AY4425" s="3" t="s">
        <v>42484</v>
      </c>
      <c r="AZ4425" s="3" t="s">
        <v>42485</v>
      </c>
      <c r="BA4425" s="3" t="s">
        <v>42485</v>
      </c>
      <c r="BB4425" s="3" t="s">
        <v>42486</v>
      </c>
      <c r="BC4425" s="3" t="s">
        <v>142</v>
      </c>
      <c r="BD4425" s="3" t="s">
        <v>68</v>
      </c>
      <c r="BE4425" s="3" t="s">
        <v>42487</v>
      </c>
      <c r="BF4425" s="3" t="s">
        <v>42486</v>
      </c>
      <c r="BG4425" s="3" t="s">
        <v>42488</v>
      </c>
    </row>
    <row r="4426" spans="1:59" ht="57" x14ac:dyDescent="0.45">
      <c r="A4426" s="2" t="s">
        <v>59</v>
      </c>
      <c r="B4426" s="2" t="s">
        <v>60</v>
      </c>
      <c r="C4426" s="2" t="s">
        <v>42489</v>
      </c>
      <c r="D4426" s="2" t="s">
        <v>42490</v>
      </c>
      <c r="E4426" s="2" t="s">
        <v>42491</v>
      </c>
      <c r="F4426" s="3" t="s">
        <v>90</v>
      </c>
      <c r="G4426" s="3" t="s">
        <v>61</v>
      </c>
      <c r="I4426" s="3" t="s">
        <v>62</v>
      </c>
      <c r="J4426" s="3" t="s">
        <v>61</v>
      </c>
      <c r="K4426" s="3" t="s">
        <v>63</v>
      </c>
      <c r="L4426" s="2" t="s">
        <v>42492</v>
      </c>
      <c r="M4426" s="2" t="s">
        <v>42493</v>
      </c>
      <c r="N4426" s="3" t="s">
        <v>113</v>
      </c>
      <c r="P4426" s="3" t="s">
        <v>110</v>
      </c>
      <c r="R4426" s="3" t="s">
        <v>66</v>
      </c>
      <c r="S4426" s="4">
        <v>11</v>
      </c>
      <c r="T4426" s="4">
        <v>11</v>
      </c>
      <c r="U4426" s="5" t="s">
        <v>14183</v>
      </c>
      <c r="V4426" s="5" t="s">
        <v>14183</v>
      </c>
      <c r="W4426" s="5" t="s">
        <v>67</v>
      </c>
      <c r="X4426" s="5" t="s">
        <v>67</v>
      </c>
      <c r="Y4426" s="4">
        <v>128</v>
      </c>
      <c r="Z4426" s="4">
        <v>15</v>
      </c>
      <c r="AA4426" s="4">
        <v>71</v>
      </c>
      <c r="AB4426" s="4">
        <v>2</v>
      </c>
      <c r="AC4426" s="4">
        <v>20</v>
      </c>
      <c r="AD4426" s="4">
        <v>68</v>
      </c>
      <c r="AE4426" s="4">
        <v>138</v>
      </c>
      <c r="AF4426" s="4">
        <v>0</v>
      </c>
      <c r="AG4426" s="4">
        <v>6</v>
      </c>
      <c r="AH4426" s="4">
        <v>62</v>
      </c>
      <c r="AI4426" s="4">
        <v>108</v>
      </c>
      <c r="AJ4426" s="4">
        <v>10</v>
      </c>
      <c r="AK4426" s="4">
        <v>26</v>
      </c>
      <c r="AL4426" s="4">
        <v>36</v>
      </c>
      <c r="AM4426" s="4">
        <v>57</v>
      </c>
      <c r="AN4426" s="4">
        <v>0</v>
      </c>
      <c r="AO4426" s="4">
        <v>1</v>
      </c>
      <c r="AP4426" s="4">
        <v>12</v>
      </c>
      <c r="AQ4426" s="4">
        <v>38</v>
      </c>
      <c r="AR4426" s="3" t="s">
        <v>62</v>
      </c>
      <c r="AS4426" s="3" t="s">
        <v>62</v>
      </c>
      <c r="AT4426" s="3" t="s">
        <v>61</v>
      </c>
      <c r="AU4426" s="6" t="str">
        <f>HYPERLINK("http://catalog.hathitrust.org/Record/001462982","HathiTrust Record")</f>
        <v>HathiTrust Record</v>
      </c>
      <c r="AV4426" s="6" t="str">
        <f>HYPERLINK("http://mcgill.on.worldcat.org/oclc/1728395","Catalog Record")</f>
        <v>Catalog Record</v>
      </c>
      <c r="AW4426" s="6" t="str">
        <f>HYPERLINK("http://www.worldcat.org/oclc/1728395","WorldCat Record")</f>
        <v>WorldCat Record</v>
      </c>
      <c r="AX4426" s="3" t="s">
        <v>42494</v>
      </c>
      <c r="AY4426" s="3" t="s">
        <v>42495</v>
      </c>
      <c r="AZ4426" s="3" t="s">
        <v>42496</v>
      </c>
      <c r="BA4426" s="3" t="s">
        <v>42496</v>
      </c>
      <c r="BB4426" s="3" t="s">
        <v>42497</v>
      </c>
      <c r="BC4426" s="3" t="s">
        <v>142</v>
      </c>
      <c r="BD4426" s="3" t="s">
        <v>68</v>
      </c>
      <c r="BF4426" s="3" t="s">
        <v>42497</v>
      </c>
      <c r="BG4426" s="3" t="s">
        <v>42498</v>
      </c>
    </row>
    <row r="4427" spans="1:59" ht="57" x14ac:dyDescent="0.45">
      <c r="A4427" s="2" t="s">
        <v>59</v>
      </c>
      <c r="B4427" s="2" t="s">
        <v>60</v>
      </c>
      <c r="C4427" s="2" t="s">
        <v>42499</v>
      </c>
      <c r="D4427" s="2" t="s">
        <v>42500</v>
      </c>
      <c r="E4427" s="2" t="s">
        <v>42501</v>
      </c>
      <c r="G4427" s="3" t="s">
        <v>62</v>
      </c>
      <c r="I4427" s="3" t="s">
        <v>62</v>
      </c>
      <c r="J4427" s="3" t="s">
        <v>61</v>
      </c>
      <c r="K4427" s="3" t="s">
        <v>63</v>
      </c>
      <c r="L4427" s="2" t="s">
        <v>42492</v>
      </c>
      <c r="M4427" s="2" t="s">
        <v>42502</v>
      </c>
      <c r="N4427" s="3" t="s">
        <v>42503</v>
      </c>
      <c r="P4427" s="3" t="s">
        <v>110</v>
      </c>
      <c r="R4427" s="3" t="s">
        <v>66</v>
      </c>
      <c r="S4427" s="4">
        <v>9</v>
      </c>
      <c r="T4427" s="4">
        <v>9</v>
      </c>
      <c r="U4427" s="5" t="s">
        <v>42504</v>
      </c>
      <c r="V4427" s="5" t="s">
        <v>42504</v>
      </c>
      <c r="W4427" s="5" t="s">
        <v>67</v>
      </c>
      <c r="X4427" s="5" t="s">
        <v>67</v>
      </c>
      <c r="Y4427" s="4">
        <v>63</v>
      </c>
      <c r="Z4427" s="4">
        <v>3</v>
      </c>
      <c r="AA4427" s="4">
        <v>71</v>
      </c>
      <c r="AB4427" s="4">
        <v>2</v>
      </c>
      <c r="AC4427" s="4">
        <v>20</v>
      </c>
      <c r="AD4427" s="4">
        <v>16</v>
      </c>
      <c r="AE4427" s="4">
        <v>138</v>
      </c>
      <c r="AF4427" s="4">
        <v>0</v>
      </c>
      <c r="AG4427" s="4">
        <v>6</v>
      </c>
      <c r="AH4427" s="4">
        <v>16</v>
      </c>
      <c r="AI4427" s="4">
        <v>108</v>
      </c>
      <c r="AJ4427" s="4">
        <v>1</v>
      </c>
      <c r="AK4427" s="4">
        <v>26</v>
      </c>
      <c r="AL4427" s="4">
        <v>12</v>
      </c>
      <c r="AM4427" s="4">
        <v>57</v>
      </c>
      <c r="AN4427" s="4">
        <v>0</v>
      </c>
      <c r="AO4427" s="4">
        <v>1</v>
      </c>
      <c r="AP4427" s="4">
        <v>1</v>
      </c>
      <c r="AQ4427" s="4">
        <v>38</v>
      </c>
      <c r="AR4427" s="3" t="s">
        <v>62</v>
      </c>
      <c r="AS4427" s="3" t="s">
        <v>62</v>
      </c>
      <c r="AT4427" s="3" t="s">
        <v>62</v>
      </c>
      <c r="AU4427" s="6" t="str">
        <f>HYPERLINK("http://catalog.hathitrust.org/Record/012203514","HathiTrust Record")</f>
        <v>HathiTrust Record</v>
      </c>
      <c r="AV4427" s="6" t="str">
        <f>HYPERLINK("http://mcgill.on.worldcat.org/oclc/2640864","Catalog Record")</f>
        <v>Catalog Record</v>
      </c>
      <c r="AW4427" s="6" t="str">
        <f>HYPERLINK("http://www.worldcat.org/oclc/2640864","WorldCat Record")</f>
        <v>WorldCat Record</v>
      </c>
      <c r="AX4427" s="3" t="s">
        <v>42494</v>
      </c>
      <c r="AY4427" s="3" t="s">
        <v>42505</v>
      </c>
      <c r="AZ4427" s="3" t="s">
        <v>42506</v>
      </c>
      <c r="BA4427" s="3" t="s">
        <v>42506</v>
      </c>
      <c r="BB4427" s="3" t="s">
        <v>42507</v>
      </c>
      <c r="BC4427" s="3" t="s">
        <v>142</v>
      </c>
      <c r="BD4427" s="3" t="s">
        <v>68</v>
      </c>
      <c r="BF4427" s="3" t="s">
        <v>42507</v>
      </c>
      <c r="BG4427" s="3" t="s">
        <v>42508</v>
      </c>
    </row>
    <row r="4428" spans="1:59" ht="57" x14ac:dyDescent="0.45">
      <c r="A4428" s="2" t="s">
        <v>59</v>
      </c>
      <c r="B4428" s="2" t="s">
        <v>60</v>
      </c>
      <c r="C4428" s="2" t="s">
        <v>42509</v>
      </c>
      <c r="D4428" s="2" t="s">
        <v>42510</v>
      </c>
      <c r="E4428" s="2" t="s">
        <v>42511</v>
      </c>
      <c r="G4428" s="3" t="s">
        <v>62</v>
      </c>
      <c r="I4428" s="3" t="s">
        <v>62</v>
      </c>
      <c r="J4428" s="3" t="s">
        <v>62</v>
      </c>
      <c r="K4428" s="3" t="s">
        <v>63</v>
      </c>
      <c r="L4428" s="2" t="s">
        <v>42492</v>
      </c>
      <c r="M4428" s="2" t="s">
        <v>42512</v>
      </c>
      <c r="N4428" s="3" t="s">
        <v>42513</v>
      </c>
      <c r="O4428" s="2" t="s">
        <v>42514</v>
      </c>
      <c r="P4428" s="3" t="s">
        <v>110</v>
      </c>
      <c r="R4428" s="3" t="s">
        <v>66</v>
      </c>
      <c r="S4428" s="4">
        <v>21</v>
      </c>
      <c r="T4428" s="4">
        <v>21</v>
      </c>
      <c r="U4428" s="5" t="s">
        <v>18812</v>
      </c>
      <c r="V4428" s="5" t="s">
        <v>18812</v>
      </c>
      <c r="W4428" s="5" t="s">
        <v>67</v>
      </c>
      <c r="X4428" s="5" t="s">
        <v>67</v>
      </c>
      <c r="Y4428" s="4">
        <v>6</v>
      </c>
      <c r="Z4428" s="4">
        <v>2</v>
      </c>
      <c r="AA4428" s="4">
        <v>2</v>
      </c>
      <c r="AB4428" s="4">
        <v>1</v>
      </c>
      <c r="AC4428" s="4">
        <v>1</v>
      </c>
      <c r="AD4428" s="4">
        <v>3</v>
      </c>
      <c r="AE4428" s="4">
        <v>3</v>
      </c>
      <c r="AF4428" s="4">
        <v>0</v>
      </c>
      <c r="AG4428" s="4">
        <v>0</v>
      </c>
      <c r="AH4428" s="4">
        <v>3</v>
      </c>
      <c r="AI4428" s="4">
        <v>3</v>
      </c>
      <c r="AJ4428" s="4">
        <v>1</v>
      </c>
      <c r="AK4428" s="4">
        <v>1</v>
      </c>
      <c r="AL4428" s="4">
        <v>2</v>
      </c>
      <c r="AM4428" s="4">
        <v>2</v>
      </c>
      <c r="AN4428" s="4">
        <v>0</v>
      </c>
      <c r="AO4428" s="4">
        <v>0</v>
      </c>
      <c r="AP4428" s="4">
        <v>1</v>
      </c>
      <c r="AQ4428" s="4">
        <v>1</v>
      </c>
      <c r="AR4428" s="3" t="s">
        <v>62</v>
      </c>
      <c r="AS4428" s="3" t="s">
        <v>62</v>
      </c>
      <c r="AT4428" s="3" t="s">
        <v>62</v>
      </c>
      <c r="AV4428" s="6" t="str">
        <f>HYPERLINK("http://mcgill.on.worldcat.org/oclc/427975674","Catalog Record")</f>
        <v>Catalog Record</v>
      </c>
      <c r="AW4428" s="6" t="str">
        <f>HYPERLINK("http://www.worldcat.org/oclc/427975674","WorldCat Record")</f>
        <v>WorldCat Record</v>
      </c>
      <c r="AX4428" s="3" t="s">
        <v>42515</v>
      </c>
      <c r="AY4428" s="3" t="s">
        <v>42516</v>
      </c>
      <c r="AZ4428" s="3" t="s">
        <v>42517</v>
      </c>
      <c r="BA4428" s="3" t="s">
        <v>42517</v>
      </c>
      <c r="BB4428" s="3" t="s">
        <v>42518</v>
      </c>
      <c r="BC4428" s="3" t="s">
        <v>142</v>
      </c>
      <c r="BD4428" s="3" t="s">
        <v>68</v>
      </c>
      <c r="BF4428" s="3" t="s">
        <v>42518</v>
      </c>
      <c r="BG4428" s="3" t="s">
        <v>42519</v>
      </c>
    </row>
    <row r="4429" spans="1:59" ht="57" x14ac:dyDescent="0.45">
      <c r="A4429" s="2" t="s">
        <v>59</v>
      </c>
      <c r="B4429" s="2" t="s">
        <v>60</v>
      </c>
      <c r="C4429" s="2" t="s">
        <v>42520</v>
      </c>
      <c r="D4429" s="2" t="s">
        <v>42521</v>
      </c>
      <c r="E4429" s="2" t="s">
        <v>42522</v>
      </c>
      <c r="G4429" s="3" t="s">
        <v>62</v>
      </c>
      <c r="I4429" s="3" t="s">
        <v>62</v>
      </c>
      <c r="J4429" s="3" t="s">
        <v>61</v>
      </c>
      <c r="K4429" s="3" t="s">
        <v>63</v>
      </c>
      <c r="L4429" s="2" t="s">
        <v>42492</v>
      </c>
      <c r="M4429" s="2" t="s">
        <v>42523</v>
      </c>
      <c r="N4429" s="3" t="s">
        <v>220</v>
      </c>
      <c r="O4429" s="2" t="s">
        <v>42524</v>
      </c>
      <c r="P4429" s="3" t="s">
        <v>65</v>
      </c>
      <c r="Q4429" s="2" t="s">
        <v>42525</v>
      </c>
      <c r="R4429" s="3" t="s">
        <v>66</v>
      </c>
      <c r="S4429" s="4">
        <v>28</v>
      </c>
      <c r="T4429" s="4">
        <v>28</v>
      </c>
      <c r="U4429" s="5" t="s">
        <v>12639</v>
      </c>
      <c r="V4429" s="5" t="s">
        <v>12639</v>
      </c>
      <c r="W4429" s="5" t="s">
        <v>67</v>
      </c>
      <c r="X4429" s="5" t="s">
        <v>67</v>
      </c>
      <c r="Y4429" s="4">
        <v>28</v>
      </c>
      <c r="Z4429" s="4">
        <v>2</v>
      </c>
      <c r="AA4429" s="4">
        <v>137</v>
      </c>
      <c r="AB4429" s="4">
        <v>1</v>
      </c>
      <c r="AC4429" s="4">
        <v>20</v>
      </c>
      <c r="AD4429" s="4">
        <v>4</v>
      </c>
      <c r="AE4429" s="4">
        <v>168</v>
      </c>
      <c r="AF4429" s="4">
        <v>0</v>
      </c>
      <c r="AG4429" s="4">
        <v>8</v>
      </c>
      <c r="AH4429" s="4">
        <v>4</v>
      </c>
      <c r="AI4429" s="4">
        <v>116</v>
      </c>
      <c r="AJ4429" s="4">
        <v>1</v>
      </c>
      <c r="AK4429" s="4">
        <v>28</v>
      </c>
      <c r="AL4429" s="4">
        <v>1</v>
      </c>
      <c r="AM4429" s="4">
        <v>62</v>
      </c>
      <c r="AN4429" s="4">
        <v>0</v>
      </c>
      <c r="AO4429" s="4">
        <v>9</v>
      </c>
      <c r="AP4429" s="4">
        <v>1</v>
      </c>
      <c r="AQ4429" s="4">
        <v>59</v>
      </c>
      <c r="AR4429" s="3" t="s">
        <v>62</v>
      </c>
      <c r="AS4429" s="3" t="s">
        <v>62</v>
      </c>
      <c r="AT4429" s="3" t="s">
        <v>62</v>
      </c>
      <c r="AV4429" s="6" t="str">
        <f>HYPERLINK("http://mcgill.on.worldcat.org/oclc/1513041","Catalog Record")</f>
        <v>Catalog Record</v>
      </c>
      <c r="AW4429" s="6" t="str">
        <f>HYPERLINK("http://www.worldcat.org/oclc/1513041","WorldCat Record")</f>
        <v>WorldCat Record</v>
      </c>
      <c r="AX4429" s="3" t="s">
        <v>42526</v>
      </c>
      <c r="AY4429" s="3" t="s">
        <v>42527</v>
      </c>
      <c r="AZ4429" s="3" t="s">
        <v>42528</v>
      </c>
      <c r="BA4429" s="3" t="s">
        <v>42528</v>
      </c>
      <c r="BB4429" s="3" t="s">
        <v>42529</v>
      </c>
      <c r="BC4429" s="3" t="s">
        <v>142</v>
      </c>
      <c r="BD4429" s="3" t="s">
        <v>68</v>
      </c>
      <c r="BF4429" s="3" t="s">
        <v>42529</v>
      </c>
      <c r="BG4429" s="3" t="s">
        <v>42530</v>
      </c>
    </row>
    <row r="4430" spans="1:59" ht="71.25" x14ac:dyDescent="0.45">
      <c r="A4430" s="2" t="s">
        <v>59</v>
      </c>
      <c r="B4430" s="2" t="s">
        <v>60</v>
      </c>
      <c r="C4430" s="2" t="s">
        <v>42531</v>
      </c>
      <c r="D4430" s="2" t="s">
        <v>42532</v>
      </c>
      <c r="E4430" s="2" t="s">
        <v>42533</v>
      </c>
      <c r="G4430" s="3" t="s">
        <v>62</v>
      </c>
      <c r="I4430" s="3" t="s">
        <v>62</v>
      </c>
      <c r="J4430" s="3" t="s">
        <v>61</v>
      </c>
      <c r="K4430" s="3" t="s">
        <v>63</v>
      </c>
      <c r="L4430" s="2" t="s">
        <v>42492</v>
      </c>
      <c r="M4430" s="2" t="s">
        <v>42534</v>
      </c>
      <c r="N4430" s="3" t="s">
        <v>157</v>
      </c>
      <c r="O4430" s="2" t="s">
        <v>42535</v>
      </c>
      <c r="P4430" s="3" t="s">
        <v>110</v>
      </c>
      <c r="Q4430" s="2" t="s">
        <v>42536</v>
      </c>
      <c r="R4430" s="3" t="s">
        <v>66</v>
      </c>
      <c r="S4430" s="4">
        <v>52</v>
      </c>
      <c r="T4430" s="4">
        <v>52</v>
      </c>
      <c r="U4430" s="5" t="s">
        <v>107</v>
      </c>
      <c r="V4430" s="5" t="s">
        <v>107</v>
      </c>
      <c r="W4430" s="5" t="s">
        <v>67</v>
      </c>
      <c r="X4430" s="5" t="s">
        <v>67</v>
      </c>
      <c r="Y4430" s="4">
        <v>10</v>
      </c>
      <c r="Z4430" s="4">
        <v>1</v>
      </c>
      <c r="AA4430" s="4">
        <v>71</v>
      </c>
      <c r="AB4430" s="4">
        <v>1</v>
      </c>
      <c r="AC4430" s="4">
        <v>20</v>
      </c>
      <c r="AD4430" s="4">
        <v>4</v>
      </c>
      <c r="AE4430" s="4">
        <v>138</v>
      </c>
      <c r="AF4430" s="4">
        <v>0</v>
      </c>
      <c r="AG4430" s="4">
        <v>6</v>
      </c>
      <c r="AH4430" s="4">
        <v>3</v>
      </c>
      <c r="AI4430" s="4">
        <v>108</v>
      </c>
      <c r="AJ4430" s="4">
        <v>0</v>
      </c>
      <c r="AK4430" s="4">
        <v>26</v>
      </c>
      <c r="AL4430" s="4">
        <v>4</v>
      </c>
      <c r="AM4430" s="4">
        <v>57</v>
      </c>
      <c r="AN4430" s="4">
        <v>0</v>
      </c>
      <c r="AO4430" s="4">
        <v>1</v>
      </c>
      <c r="AP4430" s="4">
        <v>0</v>
      </c>
      <c r="AQ4430" s="4">
        <v>38</v>
      </c>
      <c r="AR4430" s="3" t="s">
        <v>62</v>
      </c>
      <c r="AS4430" s="3" t="s">
        <v>62</v>
      </c>
      <c r="AT4430" s="3" t="s">
        <v>61</v>
      </c>
      <c r="AU4430" s="6" t="str">
        <f>HYPERLINK("http://catalog.hathitrust.org/Record/007104597","HathiTrust Record")</f>
        <v>HathiTrust Record</v>
      </c>
      <c r="AV4430" s="6" t="str">
        <f>HYPERLINK("http://mcgill.on.worldcat.org/oclc/10244049","Catalog Record")</f>
        <v>Catalog Record</v>
      </c>
      <c r="AW4430" s="6" t="str">
        <f>HYPERLINK("http://www.worldcat.org/oclc/10244049","WorldCat Record")</f>
        <v>WorldCat Record</v>
      </c>
      <c r="AX4430" s="3" t="s">
        <v>42494</v>
      </c>
      <c r="AY4430" s="3" t="s">
        <v>42537</v>
      </c>
      <c r="AZ4430" s="3" t="s">
        <v>42538</v>
      </c>
      <c r="BA4430" s="3" t="s">
        <v>42538</v>
      </c>
      <c r="BB4430" s="3" t="s">
        <v>42539</v>
      </c>
      <c r="BC4430" s="3" t="s">
        <v>142</v>
      </c>
      <c r="BD4430" s="3" t="s">
        <v>308</v>
      </c>
      <c r="BE4430" s="3" t="s">
        <v>42540</v>
      </c>
      <c r="BF4430" s="3" t="s">
        <v>42539</v>
      </c>
      <c r="BG4430" s="3" t="s">
        <v>42541</v>
      </c>
    </row>
    <row r="4431" spans="1:59" ht="57" x14ac:dyDescent="0.45">
      <c r="A4431" s="2" t="s">
        <v>59</v>
      </c>
      <c r="B4431" s="2" t="s">
        <v>60</v>
      </c>
      <c r="C4431" s="2" t="s">
        <v>42542</v>
      </c>
      <c r="D4431" s="2" t="s">
        <v>42543</v>
      </c>
      <c r="E4431" s="2" t="s">
        <v>42544</v>
      </c>
      <c r="G4431" s="3" t="s">
        <v>62</v>
      </c>
      <c r="I4431" s="3" t="s">
        <v>62</v>
      </c>
      <c r="J4431" s="3" t="s">
        <v>61</v>
      </c>
      <c r="K4431" s="3" t="s">
        <v>63</v>
      </c>
      <c r="L4431" s="2" t="s">
        <v>42545</v>
      </c>
      <c r="M4431" s="2" t="s">
        <v>42546</v>
      </c>
      <c r="N4431" s="3" t="s">
        <v>106</v>
      </c>
      <c r="P4431" s="3" t="s">
        <v>65</v>
      </c>
      <c r="Q4431" s="2" t="s">
        <v>42547</v>
      </c>
      <c r="R4431" s="3" t="s">
        <v>66</v>
      </c>
      <c r="S4431" s="4">
        <v>10</v>
      </c>
      <c r="T4431" s="4">
        <v>10</v>
      </c>
      <c r="U4431" s="5" t="s">
        <v>18380</v>
      </c>
      <c r="V4431" s="5" t="s">
        <v>18380</v>
      </c>
      <c r="W4431" s="5" t="s">
        <v>67</v>
      </c>
      <c r="X4431" s="5" t="s">
        <v>67</v>
      </c>
      <c r="Y4431" s="4">
        <v>184</v>
      </c>
      <c r="Z4431" s="4">
        <v>15</v>
      </c>
      <c r="AA4431" s="4">
        <v>137</v>
      </c>
      <c r="AB4431" s="4">
        <v>1</v>
      </c>
      <c r="AC4431" s="4">
        <v>20</v>
      </c>
      <c r="AD4431" s="4">
        <v>52</v>
      </c>
      <c r="AE4431" s="4">
        <v>168</v>
      </c>
      <c r="AF4431" s="4">
        <v>0</v>
      </c>
      <c r="AG4431" s="4">
        <v>8</v>
      </c>
      <c r="AH4431" s="4">
        <v>47</v>
      </c>
      <c r="AI4431" s="4">
        <v>116</v>
      </c>
      <c r="AJ4431" s="4">
        <v>10</v>
      </c>
      <c r="AK4431" s="4">
        <v>28</v>
      </c>
      <c r="AL4431" s="4">
        <v>30</v>
      </c>
      <c r="AM4431" s="4">
        <v>62</v>
      </c>
      <c r="AN4431" s="4">
        <v>5</v>
      </c>
      <c r="AO4431" s="4">
        <v>9</v>
      </c>
      <c r="AP4431" s="4">
        <v>11</v>
      </c>
      <c r="AQ4431" s="4">
        <v>59</v>
      </c>
      <c r="AR4431" s="3" t="s">
        <v>62</v>
      </c>
      <c r="AS4431" s="3" t="s">
        <v>62</v>
      </c>
      <c r="AT4431" s="3" t="s">
        <v>61</v>
      </c>
      <c r="AU4431" s="6" t="str">
        <f>HYPERLINK("http://catalog.hathitrust.org/Record/000320016","HathiTrust Record")</f>
        <v>HathiTrust Record</v>
      </c>
      <c r="AV4431" s="6" t="str">
        <f>HYPERLINK("http://mcgill.on.worldcat.org/oclc/10200339","Catalog Record")</f>
        <v>Catalog Record</v>
      </c>
      <c r="AW4431" s="6" t="str">
        <f>HYPERLINK("http://www.worldcat.org/oclc/10200339","WorldCat Record")</f>
        <v>WorldCat Record</v>
      </c>
      <c r="AX4431" s="3" t="s">
        <v>42526</v>
      </c>
      <c r="AY4431" s="3" t="s">
        <v>42548</v>
      </c>
      <c r="AZ4431" s="3" t="s">
        <v>42549</v>
      </c>
      <c r="BA4431" s="3" t="s">
        <v>42549</v>
      </c>
      <c r="BB4431" s="3" t="s">
        <v>42550</v>
      </c>
      <c r="BC4431" s="3" t="s">
        <v>142</v>
      </c>
      <c r="BD4431" s="3" t="s">
        <v>68</v>
      </c>
      <c r="BE4431" s="3" t="s">
        <v>42551</v>
      </c>
      <c r="BF4431" s="3" t="s">
        <v>42550</v>
      </c>
      <c r="BG4431" s="3" t="s">
        <v>42552</v>
      </c>
    </row>
    <row r="4432" spans="1:59" ht="57" x14ac:dyDescent="0.45">
      <c r="A4432" s="2" t="s">
        <v>59</v>
      </c>
      <c r="B4432" s="2" t="s">
        <v>60</v>
      </c>
      <c r="C4432" s="2" t="s">
        <v>42553</v>
      </c>
      <c r="D4432" s="2" t="s">
        <v>42554</v>
      </c>
      <c r="E4432" s="2" t="s">
        <v>42555</v>
      </c>
      <c r="G4432" s="3" t="s">
        <v>62</v>
      </c>
      <c r="I4432" s="3" t="s">
        <v>61</v>
      </c>
      <c r="J4432" s="3" t="s">
        <v>61</v>
      </c>
      <c r="K4432" s="3" t="s">
        <v>63</v>
      </c>
      <c r="L4432" s="2" t="s">
        <v>42492</v>
      </c>
      <c r="M4432" s="2" t="s">
        <v>42556</v>
      </c>
      <c r="N4432" s="3" t="s">
        <v>419</v>
      </c>
      <c r="P4432" s="3" t="s">
        <v>65</v>
      </c>
      <c r="Q4432" s="2" t="s">
        <v>42557</v>
      </c>
      <c r="R4432" s="3" t="s">
        <v>66</v>
      </c>
      <c r="S4432" s="4">
        <v>27</v>
      </c>
      <c r="T4432" s="4">
        <v>76</v>
      </c>
      <c r="U4432" s="5" t="s">
        <v>42558</v>
      </c>
      <c r="V4432" s="5" t="s">
        <v>30780</v>
      </c>
      <c r="W4432" s="5" t="s">
        <v>67</v>
      </c>
      <c r="X4432" s="5" t="s">
        <v>67</v>
      </c>
      <c r="Y4432" s="4">
        <v>167</v>
      </c>
      <c r="Z4432" s="4">
        <v>19</v>
      </c>
      <c r="AA4432" s="4">
        <v>137</v>
      </c>
      <c r="AB4432" s="4">
        <v>2</v>
      </c>
      <c r="AC4432" s="4">
        <v>20</v>
      </c>
      <c r="AD4432" s="4">
        <v>34</v>
      </c>
      <c r="AE4432" s="4">
        <v>168</v>
      </c>
      <c r="AF4432" s="4">
        <v>0</v>
      </c>
      <c r="AG4432" s="4">
        <v>8</v>
      </c>
      <c r="AH4432" s="4">
        <v>26</v>
      </c>
      <c r="AI4432" s="4">
        <v>116</v>
      </c>
      <c r="AJ4432" s="4">
        <v>10</v>
      </c>
      <c r="AK4432" s="4">
        <v>28</v>
      </c>
      <c r="AL4432" s="4">
        <v>17</v>
      </c>
      <c r="AM4432" s="4">
        <v>62</v>
      </c>
      <c r="AN4432" s="4">
        <v>0</v>
      </c>
      <c r="AO4432" s="4">
        <v>9</v>
      </c>
      <c r="AP4432" s="4">
        <v>12</v>
      </c>
      <c r="AQ4432" s="4">
        <v>59</v>
      </c>
      <c r="AR4432" s="3" t="s">
        <v>62</v>
      </c>
      <c r="AS4432" s="3" t="s">
        <v>62</v>
      </c>
      <c r="AT4432" s="3" t="s">
        <v>62</v>
      </c>
      <c r="AV4432" s="6" t="str">
        <f>HYPERLINK("http://mcgill.on.worldcat.org/oclc/553329","Catalog Record")</f>
        <v>Catalog Record</v>
      </c>
      <c r="AW4432" s="6" t="str">
        <f>HYPERLINK("http://www.worldcat.org/oclc/553329","WorldCat Record")</f>
        <v>WorldCat Record</v>
      </c>
      <c r="AX4432" s="3" t="s">
        <v>42526</v>
      </c>
      <c r="AY4432" s="3" t="s">
        <v>42559</v>
      </c>
      <c r="AZ4432" s="3" t="s">
        <v>42560</v>
      </c>
      <c r="BA4432" s="3" t="s">
        <v>42560</v>
      </c>
      <c r="BB4432" s="3" t="s">
        <v>42561</v>
      </c>
      <c r="BC4432" s="3" t="s">
        <v>142</v>
      </c>
      <c r="BD4432" s="3" t="s">
        <v>68</v>
      </c>
      <c r="BE4432" s="3" t="s">
        <v>42562</v>
      </c>
      <c r="BF4432" s="3" t="s">
        <v>42561</v>
      </c>
      <c r="BG4432" s="3" t="s">
        <v>42563</v>
      </c>
    </row>
    <row r="4433" spans="1:59" ht="57" x14ac:dyDescent="0.45">
      <c r="A4433" s="2" t="s">
        <v>59</v>
      </c>
      <c r="B4433" s="2" t="s">
        <v>60</v>
      </c>
      <c r="C4433" s="2" t="s">
        <v>42553</v>
      </c>
      <c r="D4433" s="2" t="s">
        <v>42554</v>
      </c>
      <c r="E4433" s="2" t="s">
        <v>42555</v>
      </c>
      <c r="G4433" s="3" t="s">
        <v>62</v>
      </c>
      <c r="I4433" s="3" t="s">
        <v>61</v>
      </c>
      <c r="J4433" s="3" t="s">
        <v>61</v>
      </c>
      <c r="K4433" s="3" t="s">
        <v>63</v>
      </c>
      <c r="L4433" s="2" t="s">
        <v>42492</v>
      </c>
      <c r="M4433" s="2" t="s">
        <v>42556</v>
      </c>
      <c r="N4433" s="3" t="s">
        <v>419</v>
      </c>
      <c r="P4433" s="3" t="s">
        <v>65</v>
      </c>
      <c r="Q4433" s="2" t="s">
        <v>42557</v>
      </c>
      <c r="R4433" s="3" t="s">
        <v>66</v>
      </c>
      <c r="S4433" s="4">
        <v>47</v>
      </c>
      <c r="T4433" s="4">
        <v>76</v>
      </c>
      <c r="U4433" s="5" t="s">
        <v>11590</v>
      </c>
      <c r="V4433" s="5" t="s">
        <v>30780</v>
      </c>
      <c r="W4433" s="5" t="s">
        <v>67</v>
      </c>
      <c r="X4433" s="5" t="s">
        <v>67</v>
      </c>
      <c r="Y4433" s="4">
        <v>167</v>
      </c>
      <c r="Z4433" s="4">
        <v>19</v>
      </c>
      <c r="AA4433" s="4">
        <v>137</v>
      </c>
      <c r="AB4433" s="4">
        <v>2</v>
      </c>
      <c r="AC4433" s="4">
        <v>20</v>
      </c>
      <c r="AD4433" s="4">
        <v>34</v>
      </c>
      <c r="AE4433" s="4">
        <v>168</v>
      </c>
      <c r="AF4433" s="4">
        <v>0</v>
      </c>
      <c r="AG4433" s="4">
        <v>8</v>
      </c>
      <c r="AH4433" s="4">
        <v>26</v>
      </c>
      <c r="AI4433" s="4">
        <v>116</v>
      </c>
      <c r="AJ4433" s="4">
        <v>10</v>
      </c>
      <c r="AK4433" s="4">
        <v>28</v>
      </c>
      <c r="AL4433" s="4">
        <v>17</v>
      </c>
      <c r="AM4433" s="4">
        <v>62</v>
      </c>
      <c r="AN4433" s="4">
        <v>0</v>
      </c>
      <c r="AO4433" s="4">
        <v>9</v>
      </c>
      <c r="AP4433" s="4">
        <v>12</v>
      </c>
      <c r="AQ4433" s="4">
        <v>59</v>
      </c>
      <c r="AR4433" s="3" t="s">
        <v>62</v>
      </c>
      <c r="AS4433" s="3" t="s">
        <v>62</v>
      </c>
      <c r="AT4433" s="3" t="s">
        <v>62</v>
      </c>
      <c r="AV4433" s="6" t="str">
        <f>HYPERLINK("http://mcgill.on.worldcat.org/oclc/553329","Catalog Record")</f>
        <v>Catalog Record</v>
      </c>
      <c r="AW4433" s="6" t="str">
        <f>HYPERLINK("http://www.worldcat.org/oclc/553329","WorldCat Record")</f>
        <v>WorldCat Record</v>
      </c>
      <c r="AX4433" s="3" t="s">
        <v>42526</v>
      </c>
      <c r="AY4433" s="3" t="s">
        <v>42559</v>
      </c>
      <c r="AZ4433" s="3" t="s">
        <v>42560</v>
      </c>
      <c r="BA4433" s="3" t="s">
        <v>42560</v>
      </c>
      <c r="BB4433" s="3" t="s">
        <v>42564</v>
      </c>
      <c r="BC4433" s="3" t="s">
        <v>142</v>
      </c>
      <c r="BD4433" s="3" t="s">
        <v>308</v>
      </c>
      <c r="BE4433" s="3" t="s">
        <v>42562</v>
      </c>
      <c r="BF4433" s="3" t="s">
        <v>42564</v>
      </c>
      <c r="BG4433" s="3" t="s">
        <v>42565</v>
      </c>
    </row>
    <row r="4434" spans="1:59" ht="57" x14ac:dyDescent="0.45">
      <c r="A4434" s="2" t="s">
        <v>59</v>
      </c>
      <c r="B4434" s="2" t="s">
        <v>60</v>
      </c>
      <c r="C4434" s="2" t="s">
        <v>42553</v>
      </c>
      <c r="D4434" s="2" t="s">
        <v>42554</v>
      </c>
      <c r="E4434" s="2" t="s">
        <v>42555</v>
      </c>
      <c r="G4434" s="3" t="s">
        <v>62</v>
      </c>
      <c r="I4434" s="3" t="s">
        <v>61</v>
      </c>
      <c r="J4434" s="3" t="s">
        <v>61</v>
      </c>
      <c r="K4434" s="3" t="s">
        <v>63</v>
      </c>
      <c r="L4434" s="2" t="s">
        <v>42492</v>
      </c>
      <c r="M4434" s="2" t="s">
        <v>42556</v>
      </c>
      <c r="N4434" s="3" t="s">
        <v>419</v>
      </c>
      <c r="P4434" s="3" t="s">
        <v>65</v>
      </c>
      <c r="Q4434" s="2" t="s">
        <v>42557</v>
      </c>
      <c r="R4434" s="3" t="s">
        <v>66</v>
      </c>
      <c r="S4434" s="4">
        <v>2</v>
      </c>
      <c r="T4434" s="4">
        <v>76</v>
      </c>
      <c r="U4434" s="5" t="s">
        <v>30780</v>
      </c>
      <c r="V4434" s="5" t="s">
        <v>30780</v>
      </c>
      <c r="W4434" s="5" t="s">
        <v>67</v>
      </c>
      <c r="X4434" s="5" t="s">
        <v>67</v>
      </c>
      <c r="Y4434" s="4">
        <v>167</v>
      </c>
      <c r="Z4434" s="4">
        <v>19</v>
      </c>
      <c r="AA4434" s="4">
        <v>137</v>
      </c>
      <c r="AB4434" s="4">
        <v>2</v>
      </c>
      <c r="AC4434" s="4">
        <v>20</v>
      </c>
      <c r="AD4434" s="4">
        <v>34</v>
      </c>
      <c r="AE4434" s="4">
        <v>168</v>
      </c>
      <c r="AF4434" s="4">
        <v>0</v>
      </c>
      <c r="AG4434" s="4">
        <v>8</v>
      </c>
      <c r="AH4434" s="4">
        <v>26</v>
      </c>
      <c r="AI4434" s="4">
        <v>116</v>
      </c>
      <c r="AJ4434" s="4">
        <v>10</v>
      </c>
      <c r="AK4434" s="4">
        <v>28</v>
      </c>
      <c r="AL4434" s="4">
        <v>17</v>
      </c>
      <c r="AM4434" s="4">
        <v>62</v>
      </c>
      <c r="AN4434" s="4">
        <v>0</v>
      </c>
      <c r="AO4434" s="4">
        <v>9</v>
      </c>
      <c r="AP4434" s="4">
        <v>12</v>
      </c>
      <c r="AQ4434" s="4">
        <v>59</v>
      </c>
      <c r="AR4434" s="3" t="s">
        <v>62</v>
      </c>
      <c r="AS4434" s="3" t="s">
        <v>62</v>
      </c>
      <c r="AT4434" s="3" t="s">
        <v>62</v>
      </c>
      <c r="AV4434" s="6" t="str">
        <f>HYPERLINK("http://mcgill.on.worldcat.org/oclc/553329","Catalog Record")</f>
        <v>Catalog Record</v>
      </c>
      <c r="AW4434" s="6" t="str">
        <f>HYPERLINK("http://www.worldcat.org/oclc/553329","WorldCat Record")</f>
        <v>WorldCat Record</v>
      </c>
      <c r="AX4434" s="3" t="s">
        <v>42526</v>
      </c>
      <c r="AY4434" s="3" t="s">
        <v>42559</v>
      </c>
      <c r="AZ4434" s="3" t="s">
        <v>42560</v>
      </c>
      <c r="BA4434" s="3" t="s">
        <v>42560</v>
      </c>
      <c r="BB4434" s="3" t="s">
        <v>42566</v>
      </c>
      <c r="BC4434" s="3" t="s">
        <v>142</v>
      </c>
      <c r="BD4434" s="3" t="s">
        <v>68</v>
      </c>
      <c r="BE4434" s="3" t="s">
        <v>42562</v>
      </c>
      <c r="BF4434" s="3" t="s">
        <v>42566</v>
      </c>
      <c r="BG4434" s="3" t="s">
        <v>42567</v>
      </c>
    </row>
    <row r="4435" spans="1:59" ht="71.25" x14ac:dyDescent="0.45">
      <c r="A4435" s="2" t="s">
        <v>59</v>
      </c>
      <c r="B4435" s="2" t="s">
        <v>60</v>
      </c>
      <c r="C4435" s="2" t="s">
        <v>42568</v>
      </c>
      <c r="D4435" s="2" t="s">
        <v>42569</v>
      </c>
      <c r="E4435" s="2" t="s">
        <v>42570</v>
      </c>
      <c r="G4435" s="3" t="s">
        <v>62</v>
      </c>
      <c r="I4435" s="3" t="s">
        <v>61</v>
      </c>
      <c r="J4435" s="3" t="s">
        <v>61</v>
      </c>
      <c r="K4435" s="3" t="s">
        <v>63</v>
      </c>
      <c r="L4435" s="2" t="s">
        <v>42492</v>
      </c>
      <c r="M4435" s="2" t="s">
        <v>42571</v>
      </c>
      <c r="N4435" s="3" t="s">
        <v>625</v>
      </c>
      <c r="P4435" s="3" t="s">
        <v>65</v>
      </c>
      <c r="R4435" s="3" t="s">
        <v>66</v>
      </c>
      <c r="S4435" s="4">
        <v>21</v>
      </c>
      <c r="T4435" s="4">
        <v>104</v>
      </c>
      <c r="U4435" s="5" t="s">
        <v>13047</v>
      </c>
      <c r="V4435" s="5" t="s">
        <v>3611</v>
      </c>
      <c r="W4435" s="5" t="s">
        <v>67</v>
      </c>
      <c r="X4435" s="5" t="s">
        <v>67</v>
      </c>
      <c r="Y4435" s="4">
        <v>340</v>
      </c>
      <c r="Z4435" s="4">
        <v>18</v>
      </c>
      <c r="AA4435" s="4">
        <v>137</v>
      </c>
      <c r="AB4435" s="4">
        <v>2</v>
      </c>
      <c r="AC4435" s="4">
        <v>20</v>
      </c>
      <c r="AD4435" s="4">
        <v>64</v>
      </c>
      <c r="AE4435" s="4">
        <v>168</v>
      </c>
      <c r="AF4435" s="4">
        <v>1</v>
      </c>
      <c r="AG4435" s="4">
        <v>8</v>
      </c>
      <c r="AH4435" s="4">
        <v>56</v>
      </c>
      <c r="AI4435" s="4">
        <v>116</v>
      </c>
      <c r="AJ4435" s="4">
        <v>7</v>
      </c>
      <c r="AK4435" s="4">
        <v>28</v>
      </c>
      <c r="AL4435" s="4">
        <v>32</v>
      </c>
      <c r="AM4435" s="4">
        <v>62</v>
      </c>
      <c r="AN4435" s="4">
        <v>0</v>
      </c>
      <c r="AO4435" s="4">
        <v>9</v>
      </c>
      <c r="AP4435" s="4">
        <v>11</v>
      </c>
      <c r="AQ4435" s="4">
        <v>59</v>
      </c>
      <c r="AR4435" s="3" t="s">
        <v>62</v>
      </c>
      <c r="AS4435" s="3" t="s">
        <v>62</v>
      </c>
      <c r="AT4435" s="3" t="s">
        <v>61</v>
      </c>
      <c r="AU4435" s="6" t="str">
        <f>HYPERLINK("http://catalog.hathitrust.org/Record/007111657","HathiTrust Record")</f>
        <v>HathiTrust Record</v>
      </c>
      <c r="AV4435" s="6" t="str">
        <f>HYPERLINK("http://mcgill.on.worldcat.org/oclc/13332004","Catalog Record")</f>
        <v>Catalog Record</v>
      </c>
      <c r="AW4435" s="6" t="str">
        <f>HYPERLINK("http://www.worldcat.org/oclc/13332004","WorldCat Record")</f>
        <v>WorldCat Record</v>
      </c>
      <c r="AX4435" s="3" t="s">
        <v>42526</v>
      </c>
      <c r="AY4435" s="3" t="s">
        <v>42572</v>
      </c>
      <c r="AZ4435" s="3" t="s">
        <v>42573</v>
      </c>
      <c r="BA4435" s="3" t="s">
        <v>42573</v>
      </c>
      <c r="BB4435" s="3" t="s">
        <v>42574</v>
      </c>
      <c r="BC4435" s="3" t="s">
        <v>142</v>
      </c>
      <c r="BD4435" s="3" t="s">
        <v>308</v>
      </c>
      <c r="BE4435" s="3" t="s">
        <v>42575</v>
      </c>
      <c r="BF4435" s="3" t="s">
        <v>42574</v>
      </c>
      <c r="BG4435" s="3" t="s">
        <v>42576</v>
      </c>
    </row>
    <row r="4436" spans="1:59" ht="71.25" x14ac:dyDescent="0.45">
      <c r="A4436" s="2" t="s">
        <v>59</v>
      </c>
      <c r="B4436" s="2" t="s">
        <v>60</v>
      </c>
      <c r="C4436" s="2" t="s">
        <v>42568</v>
      </c>
      <c r="D4436" s="2" t="s">
        <v>42569</v>
      </c>
      <c r="E4436" s="2" t="s">
        <v>42570</v>
      </c>
      <c r="G4436" s="3" t="s">
        <v>62</v>
      </c>
      <c r="I4436" s="3" t="s">
        <v>61</v>
      </c>
      <c r="J4436" s="3" t="s">
        <v>61</v>
      </c>
      <c r="K4436" s="3" t="s">
        <v>63</v>
      </c>
      <c r="L4436" s="2" t="s">
        <v>42492</v>
      </c>
      <c r="M4436" s="2" t="s">
        <v>42571</v>
      </c>
      <c r="N4436" s="3" t="s">
        <v>625</v>
      </c>
      <c r="P4436" s="3" t="s">
        <v>65</v>
      </c>
      <c r="R4436" s="3" t="s">
        <v>66</v>
      </c>
      <c r="S4436" s="4">
        <v>83</v>
      </c>
      <c r="T4436" s="4">
        <v>104</v>
      </c>
      <c r="U4436" s="5" t="s">
        <v>3611</v>
      </c>
      <c r="V4436" s="5" t="s">
        <v>3611</v>
      </c>
      <c r="W4436" s="5" t="s">
        <v>67</v>
      </c>
      <c r="X4436" s="5" t="s">
        <v>67</v>
      </c>
      <c r="Y4436" s="4">
        <v>340</v>
      </c>
      <c r="Z4436" s="4">
        <v>18</v>
      </c>
      <c r="AA4436" s="4">
        <v>137</v>
      </c>
      <c r="AB4436" s="4">
        <v>2</v>
      </c>
      <c r="AC4436" s="4">
        <v>20</v>
      </c>
      <c r="AD4436" s="4">
        <v>64</v>
      </c>
      <c r="AE4436" s="4">
        <v>168</v>
      </c>
      <c r="AF4436" s="4">
        <v>1</v>
      </c>
      <c r="AG4436" s="4">
        <v>8</v>
      </c>
      <c r="AH4436" s="4">
        <v>56</v>
      </c>
      <c r="AI4436" s="4">
        <v>116</v>
      </c>
      <c r="AJ4436" s="4">
        <v>7</v>
      </c>
      <c r="AK4436" s="4">
        <v>28</v>
      </c>
      <c r="AL4436" s="4">
        <v>32</v>
      </c>
      <c r="AM4436" s="4">
        <v>62</v>
      </c>
      <c r="AN4436" s="4">
        <v>0</v>
      </c>
      <c r="AO4436" s="4">
        <v>9</v>
      </c>
      <c r="AP4436" s="4">
        <v>11</v>
      </c>
      <c r="AQ4436" s="4">
        <v>59</v>
      </c>
      <c r="AR4436" s="3" t="s">
        <v>62</v>
      </c>
      <c r="AS4436" s="3" t="s">
        <v>62</v>
      </c>
      <c r="AT4436" s="3" t="s">
        <v>61</v>
      </c>
      <c r="AU4436" s="6" t="str">
        <f>HYPERLINK("http://catalog.hathitrust.org/Record/007111657","HathiTrust Record")</f>
        <v>HathiTrust Record</v>
      </c>
      <c r="AV4436" s="6" t="str">
        <f>HYPERLINK("http://mcgill.on.worldcat.org/oclc/13332004","Catalog Record")</f>
        <v>Catalog Record</v>
      </c>
      <c r="AW4436" s="6" t="str">
        <f>HYPERLINK("http://www.worldcat.org/oclc/13332004","WorldCat Record")</f>
        <v>WorldCat Record</v>
      </c>
      <c r="AX4436" s="3" t="s">
        <v>42526</v>
      </c>
      <c r="AY4436" s="3" t="s">
        <v>42572</v>
      </c>
      <c r="AZ4436" s="3" t="s">
        <v>42573</v>
      </c>
      <c r="BA4436" s="3" t="s">
        <v>42573</v>
      </c>
      <c r="BB4436" s="3" t="s">
        <v>42577</v>
      </c>
      <c r="BC4436" s="3" t="s">
        <v>142</v>
      </c>
      <c r="BD4436" s="3" t="s">
        <v>68</v>
      </c>
      <c r="BE4436" s="3" t="s">
        <v>42575</v>
      </c>
      <c r="BF4436" s="3" t="s">
        <v>42577</v>
      </c>
      <c r="BG4436" s="3" t="s">
        <v>42578</v>
      </c>
    </row>
    <row r="4437" spans="1:59" ht="99.75" x14ac:dyDescent="0.45">
      <c r="A4437" s="2" t="s">
        <v>59</v>
      </c>
      <c r="B4437" s="2" t="s">
        <v>60</v>
      </c>
      <c r="C4437" s="2" t="s">
        <v>42579</v>
      </c>
      <c r="D4437" s="2" t="s">
        <v>42580</v>
      </c>
      <c r="E4437" s="2" t="s">
        <v>42581</v>
      </c>
      <c r="G4437" s="3" t="s">
        <v>62</v>
      </c>
      <c r="I4437" s="3" t="s">
        <v>62</v>
      </c>
      <c r="J4437" s="3" t="s">
        <v>62</v>
      </c>
      <c r="K4437" s="3" t="s">
        <v>63</v>
      </c>
      <c r="L4437" s="2" t="s">
        <v>42492</v>
      </c>
      <c r="M4437" s="2" t="s">
        <v>42582</v>
      </c>
      <c r="N4437" s="3" t="s">
        <v>195</v>
      </c>
      <c r="O4437" s="2" t="s">
        <v>168</v>
      </c>
      <c r="P4437" s="3" t="s">
        <v>65</v>
      </c>
      <c r="Q4437" s="2" t="s">
        <v>42583</v>
      </c>
      <c r="R4437" s="3" t="s">
        <v>66</v>
      </c>
      <c r="S4437" s="4">
        <v>19</v>
      </c>
      <c r="T4437" s="4">
        <v>19</v>
      </c>
      <c r="U4437" s="5" t="s">
        <v>18380</v>
      </c>
      <c r="V4437" s="5" t="s">
        <v>18380</v>
      </c>
      <c r="W4437" s="5" t="s">
        <v>67</v>
      </c>
      <c r="X4437" s="5" t="s">
        <v>67</v>
      </c>
      <c r="Y4437" s="4">
        <v>192</v>
      </c>
      <c r="Z4437" s="4">
        <v>13</v>
      </c>
      <c r="AA4437" s="4">
        <v>19</v>
      </c>
      <c r="AB4437" s="4">
        <v>1</v>
      </c>
      <c r="AC4437" s="4">
        <v>4</v>
      </c>
      <c r="AD4437" s="4">
        <v>75</v>
      </c>
      <c r="AE4437" s="4">
        <v>82</v>
      </c>
      <c r="AF4437" s="4">
        <v>0</v>
      </c>
      <c r="AG4437" s="4">
        <v>1</v>
      </c>
      <c r="AH4437" s="4">
        <v>69</v>
      </c>
      <c r="AI4437" s="4">
        <v>74</v>
      </c>
      <c r="AJ4437" s="4">
        <v>9</v>
      </c>
      <c r="AK4437" s="4">
        <v>13</v>
      </c>
      <c r="AL4437" s="4">
        <v>40</v>
      </c>
      <c r="AM4437" s="4">
        <v>42</v>
      </c>
      <c r="AN4437" s="4">
        <v>0</v>
      </c>
      <c r="AO4437" s="4">
        <v>0</v>
      </c>
      <c r="AP4437" s="4">
        <v>10</v>
      </c>
      <c r="AQ4437" s="4">
        <v>14</v>
      </c>
      <c r="AR4437" s="3" t="s">
        <v>62</v>
      </c>
      <c r="AS4437" s="3" t="s">
        <v>62</v>
      </c>
      <c r="AT4437" s="3" t="s">
        <v>61</v>
      </c>
      <c r="AU4437" s="6" t="str">
        <f>HYPERLINK("http://catalog.hathitrust.org/Record/002804008","HathiTrust Record")</f>
        <v>HathiTrust Record</v>
      </c>
      <c r="AV4437" s="6" t="str">
        <f>HYPERLINK("http://mcgill.on.worldcat.org/oclc/28113400","Catalog Record")</f>
        <v>Catalog Record</v>
      </c>
      <c r="AW4437" s="6" t="str">
        <f>HYPERLINK("http://www.worldcat.org/oclc/28113400","WorldCat Record")</f>
        <v>WorldCat Record</v>
      </c>
      <c r="AX4437" s="3" t="s">
        <v>42584</v>
      </c>
      <c r="AY4437" s="3" t="s">
        <v>42585</v>
      </c>
      <c r="AZ4437" s="3" t="s">
        <v>42586</v>
      </c>
      <c r="BA4437" s="3" t="s">
        <v>42586</v>
      </c>
      <c r="BB4437" s="3" t="s">
        <v>42587</v>
      </c>
      <c r="BC4437" s="3" t="s">
        <v>142</v>
      </c>
      <c r="BD4437" s="3" t="s">
        <v>68</v>
      </c>
      <c r="BE4437" s="3" t="s">
        <v>42588</v>
      </c>
      <c r="BF4437" s="3" t="s">
        <v>42587</v>
      </c>
      <c r="BG4437" s="3" t="s">
        <v>42589</v>
      </c>
    </row>
    <row r="4438" spans="1:59" ht="57" x14ac:dyDescent="0.45">
      <c r="A4438" s="2" t="s">
        <v>59</v>
      </c>
      <c r="B4438" s="2" t="s">
        <v>60</v>
      </c>
      <c r="C4438" s="2" t="s">
        <v>42590</v>
      </c>
      <c r="D4438" s="2" t="s">
        <v>42591</v>
      </c>
      <c r="E4438" s="2" t="s">
        <v>42592</v>
      </c>
      <c r="G4438" s="3" t="s">
        <v>62</v>
      </c>
      <c r="I4438" s="3" t="s">
        <v>62</v>
      </c>
      <c r="J4438" s="3" t="s">
        <v>62</v>
      </c>
      <c r="K4438" s="3" t="s">
        <v>63</v>
      </c>
      <c r="L4438" s="2" t="s">
        <v>42492</v>
      </c>
      <c r="M4438" s="2" t="s">
        <v>42593</v>
      </c>
      <c r="N4438" s="3" t="s">
        <v>1059</v>
      </c>
      <c r="P4438" s="3" t="s">
        <v>65</v>
      </c>
      <c r="R4438" s="3" t="s">
        <v>66</v>
      </c>
      <c r="S4438" s="4">
        <v>9</v>
      </c>
      <c r="T4438" s="4">
        <v>9</v>
      </c>
      <c r="U4438" s="5" t="s">
        <v>23508</v>
      </c>
      <c r="V4438" s="5" t="s">
        <v>23508</v>
      </c>
      <c r="W4438" s="5" t="s">
        <v>67</v>
      </c>
      <c r="X4438" s="5" t="s">
        <v>67</v>
      </c>
      <c r="Y4438" s="4">
        <v>344</v>
      </c>
      <c r="Z4438" s="4">
        <v>23</v>
      </c>
      <c r="AA4438" s="4">
        <v>24</v>
      </c>
      <c r="AB4438" s="4">
        <v>2</v>
      </c>
      <c r="AC4438" s="4">
        <v>3</v>
      </c>
      <c r="AD4438" s="4">
        <v>101</v>
      </c>
      <c r="AE4438" s="4">
        <v>102</v>
      </c>
      <c r="AF4438" s="4">
        <v>1</v>
      </c>
      <c r="AG4438" s="4">
        <v>2</v>
      </c>
      <c r="AH4438" s="4">
        <v>93</v>
      </c>
      <c r="AI4438" s="4">
        <v>94</v>
      </c>
      <c r="AJ4438" s="4">
        <v>13</v>
      </c>
      <c r="AK4438" s="4">
        <v>14</v>
      </c>
      <c r="AL4438" s="4">
        <v>54</v>
      </c>
      <c r="AM4438" s="4">
        <v>54</v>
      </c>
      <c r="AN4438" s="4">
        <v>0</v>
      </c>
      <c r="AO4438" s="4">
        <v>0</v>
      </c>
      <c r="AP4438" s="4">
        <v>15</v>
      </c>
      <c r="AQ4438" s="4">
        <v>16</v>
      </c>
      <c r="AR4438" s="3" t="s">
        <v>62</v>
      </c>
      <c r="AS4438" s="3" t="s">
        <v>62</v>
      </c>
      <c r="AT4438" s="3" t="s">
        <v>61</v>
      </c>
      <c r="AU4438" s="6" t="str">
        <f>HYPERLINK("http://catalog.hathitrust.org/Record/005287928","HathiTrust Record")</f>
        <v>HathiTrust Record</v>
      </c>
      <c r="AV4438" s="6" t="str">
        <f>HYPERLINK("http://mcgill.on.worldcat.org/oclc/67240389","Catalog Record")</f>
        <v>Catalog Record</v>
      </c>
      <c r="AW4438" s="6" t="str">
        <f>HYPERLINK("http://www.worldcat.org/oclc/67240389","WorldCat Record")</f>
        <v>WorldCat Record</v>
      </c>
      <c r="AX4438" s="3" t="s">
        <v>42594</v>
      </c>
      <c r="AY4438" s="3" t="s">
        <v>42595</v>
      </c>
      <c r="AZ4438" s="3" t="s">
        <v>42596</v>
      </c>
      <c r="BA4438" s="3" t="s">
        <v>42596</v>
      </c>
      <c r="BB4438" s="3" t="s">
        <v>42597</v>
      </c>
      <c r="BC4438" s="3" t="s">
        <v>142</v>
      </c>
      <c r="BD4438" s="3" t="s">
        <v>68</v>
      </c>
      <c r="BE4438" s="3" t="s">
        <v>42598</v>
      </c>
      <c r="BF4438" s="3" t="s">
        <v>42597</v>
      </c>
      <c r="BG4438" s="3" t="s">
        <v>42599</v>
      </c>
    </row>
    <row r="4439" spans="1:59" ht="85.5" x14ac:dyDescent="0.45">
      <c r="A4439" s="2" t="s">
        <v>59</v>
      </c>
      <c r="B4439" s="2" t="s">
        <v>60</v>
      </c>
      <c r="C4439" s="2" t="s">
        <v>42600</v>
      </c>
      <c r="D4439" s="2" t="s">
        <v>42601</v>
      </c>
      <c r="E4439" s="2" t="s">
        <v>42602</v>
      </c>
      <c r="G4439" s="3" t="s">
        <v>62</v>
      </c>
      <c r="I4439" s="3" t="s">
        <v>62</v>
      </c>
      <c r="J4439" s="3" t="s">
        <v>62</v>
      </c>
      <c r="K4439" s="3" t="s">
        <v>63</v>
      </c>
      <c r="L4439" s="2" t="s">
        <v>42603</v>
      </c>
      <c r="M4439" s="2" t="s">
        <v>42604</v>
      </c>
      <c r="N4439" s="3" t="s">
        <v>77</v>
      </c>
      <c r="P4439" s="3" t="s">
        <v>65</v>
      </c>
      <c r="Q4439" s="2" t="s">
        <v>42605</v>
      </c>
      <c r="R4439" s="3" t="s">
        <v>66</v>
      </c>
      <c r="S4439" s="4">
        <v>4</v>
      </c>
      <c r="T4439" s="4">
        <v>4</v>
      </c>
      <c r="U4439" s="5" t="s">
        <v>13001</v>
      </c>
      <c r="V4439" s="5" t="s">
        <v>13001</v>
      </c>
      <c r="W4439" s="5" t="s">
        <v>67</v>
      </c>
      <c r="X4439" s="5" t="s">
        <v>67</v>
      </c>
      <c r="Y4439" s="4">
        <v>349</v>
      </c>
      <c r="Z4439" s="4">
        <v>20</v>
      </c>
      <c r="AA4439" s="4">
        <v>30</v>
      </c>
      <c r="AB4439" s="4">
        <v>2</v>
      </c>
      <c r="AC4439" s="4">
        <v>7</v>
      </c>
      <c r="AD4439" s="4">
        <v>88</v>
      </c>
      <c r="AE4439" s="4">
        <v>105</v>
      </c>
      <c r="AF4439" s="4">
        <v>1</v>
      </c>
      <c r="AG4439" s="4">
        <v>4</v>
      </c>
      <c r="AH4439" s="4">
        <v>76</v>
      </c>
      <c r="AI4439" s="4">
        <v>90</v>
      </c>
      <c r="AJ4439" s="4">
        <v>10</v>
      </c>
      <c r="AK4439" s="4">
        <v>18</v>
      </c>
      <c r="AL4439" s="4">
        <v>43</v>
      </c>
      <c r="AM4439" s="4">
        <v>49</v>
      </c>
      <c r="AN4439" s="4">
        <v>0</v>
      </c>
      <c r="AO4439" s="4">
        <v>0</v>
      </c>
      <c r="AP4439" s="4">
        <v>16</v>
      </c>
      <c r="AQ4439" s="4">
        <v>23</v>
      </c>
      <c r="AR4439" s="3" t="s">
        <v>62</v>
      </c>
      <c r="AS4439" s="3" t="s">
        <v>62</v>
      </c>
      <c r="AT4439" s="3" t="s">
        <v>62</v>
      </c>
      <c r="AV4439" s="6" t="str">
        <f>HYPERLINK("http://mcgill.on.worldcat.org/oclc/322466","Catalog Record")</f>
        <v>Catalog Record</v>
      </c>
      <c r="AW4439" s="6" t="str">
        <f>HYPERLINK("http://www.worldcat.org/oclc/322466","WorldCat Record")</f>
        <v>WorldCat Record</v>
      </c>
      <c r="AX4439" s="3" t="s">
        <v>42606</v>
      </c>
      <c r="AY4439" s="3" t="s">
        <v>42607</v>
      </c>
      <c r="AZ4439" s="3" t="s">
        <v>42608</v>
      </c>
      <c r="BA4439" s="3" t="s">
        <v>42608</v>
      </c>
      <c r="BB4439" s="3" t="s">
        <v>42609</v>
      </c>
      <c r="BC4439" s="3" t="s">
        <v>142</v>
      </c>
      <c r="BD4439" s="3" t="s">
        <v>68</v>
      </c>
      <c r="BF4439" s="3" t="s">
        <v>42609</v>
      </c>
      <c r="BG4439" s="3" t="s">
        <v>42610</v>
      </c>
    </row>
    <row r="4440" spans="1:59" ht="57" x14ac:dyDescent="0.45">
      <c r="A4440" s="2" t="s">
        <v>59</v>
      </c>
      <c r="B4440" s="2" t="s">
        <v>60</v>
      </c>
      <c r="C4440" s="2" t="s">
        <v>42611</v>
      </c>
      <c r="D4440" s="2" t="s">
        <v>42612</v>
      </c>
      <c r="E4440" s="2" t="s">
        <v>42613</v>
      </c>
      <c r="G4440" s="3" t="s">
        <v>62</v>
      </c>
      <c r="I4440" s="3" t="s">
        <v>62</v>
      </c>
      <c r="J4440" s="3" t="s">
        <v>62</v>
      </c>
      <c r="K4440" s="3" t="s">
        <v>63</v>
      </c>
      <c r="L4440" s="2" t="s">
        <v>42614</v>
      </c>
      <c r="M4440" s="2" t="s">
        <v>30953</v>
      </c>
      <c r="N4440" s="3" t="s">
        <v>894</v>
      </c>
      <c r="P4440" s="3" t="s">
        <v>65</v>
      </c>
      <c r="Q4440" s="2" t="s">
        <v>42615</v>
      </c>
      <c r="R4440" s="3" t="s">
        <v>66</v>
      </c>
      <c r="S4440" s="4">
        <v>0</v>
      </c>
      <c r="T4440" s="4">
        <v>0</v>
      </c>
      <c r="W4440" s="5" t="s">
        <v>67</v>
      </c>
      <c r="X4440" s="5" t="s">
        <v>67</v>
      </c>
      <c r="Y4440" s="4">
        <v>121</v>
      </c>
      <c r="Z4440" s="4">
        <v>12</v>
      </c>
      <c r="AA4440" s="4">
        <v>20</v>
      </c>
      <c r="AB4440" s="4">
        <v>1</v>
      </c>
      <c r="AC4440" s="4">
        <v>5</v>
      </c>
      <c r="AD4440" s="4">
        <v>56</v>
      </c>
      <c r="AE4440" s="4">
        <v>65</v>
      </c>
      <c r="AF4440" s="4">
        <v>0</v>
      </c>
      <c r="AG4440" s="4">
        <v>1</v>
      </c>
      <c r="AH4440" s="4">
        <v>51</v>
      </c>
      <c r="AI4440" s="4">
        <v>57</v>
      </c>
      <c r="AJ4440" s="4">
        <v>10</v>
      </c>
      <c r="AK4440" s="4">
        <v>13</v>
      </c>
      <c r="AL4440" s="4">
        <v>34</v>
      </c>
      <c r="AM4440" s="4">
        <v>35</v>
      </c>
      <c r="AN4440" s="4">
        <v>0</v>
      </c>
      <c r="AO4440" s="4">
        <v>0</v>
      </c>
      <c r="AP4440" s="4">
        <v>11</v>
      </c>
      <c r="AQ4440" s="4">
        <v>16</v>
      </c>
      <c r="AR4440" s="3" t="s">
        <v>62</v>
      </c>
      <c r="AS4440" s="3" t="s">
        <v>62</v>
      </c>
      <c r="AT4440" s="3" t="s">
        <v>62</v>
      </c>
      <c r="AV4440" s="6" t="str">
        <f>HYPERLINK("http://mcgill.on.worldcat.org/oclc/650215693","Catalog Record")</f>
        <v>Catalog Record</v>
      </c>
      <c r="AW4440" s="6" t="str">
        <f>HYPERLINK("http://www.worldcat.org/oclc/650215693","WorldCat Record")</f>
        <v>WorldCat Record</v>
      </c>
      <c r="AX4440" s="3" t="s">
        <v>42616</v>
      </c>
      <c r="AY4440" s="3" t="s">
        <v>42617</v>
      </c>
      <c r="AZ4440" s="3" t="s">
        <v>42618</v>
      </c>
      <c r="BA4440" s="3" t="s">
        <v>42618</v>
      </c>
      <c r="BB4440" s="3" t="s">
        <v>42619</v>
      </c>
      <c r="BC4440" s="3" t="s">
        <v>142</v>
      </c>
      <c r="BD4440" s="3" t="s">
        <v>68</v>
      </c>
      <c r="BE4440" s="3" t="s">
        <v>42620</v>
      </c>
      <c r="BF4440" s="3" t="s">
        <v>42619</v>
      </c>
      <c r="BG4440" s="3" t="s">
        <v>42621</v>
      </c>
    </row>
    <row r="4441" spans="1:59" ht="57" x14ac:dyDescent="0.45">
      <c r="A4441" s="2" t="s">
        <v>59</v>
      </c>
      <c r="B4441" s="2" t="s">
        <v>60</v>
      </c>
      <c r="C4441" s="2" t="s">
        <v>42622</v>
      </c>
      <c r="D4441" s="2" t="s">
        <v>42623</v>
      </c>
      <c r="E4441" s="2" t="s">
        <v>42624</v>
      </c>
      <c r="G4441" s="3" t="s">
        <v>62</v>
      </c>
      <c r="I4441" s="3" t="s">
        <v>61</v>
      </c>
      <c r="J4441" s="3" t="s">
        <v>62</v>
      </c>
      <c r="K4441" s="3" t="s">
        <v>63</v>
      </c>
      <c r="L4441" s="2" t="s">
        <v>4256</v>
      </c>
      <c r="M4441" s="2" t="s">
        <v>42625</v>
      </c>
      <c r="N4441" s="3" t="s">
        <v>220</v>
      </c>
      <c r="P4441" s="3" t="s">
        <v>65</v>
      </c>
      <c r="R4441" s="3" t="s">
        <v>66</v>
      </c>
      <c r="S4441" s="4">
        <v>15</v>
      </c>
      <c r="T4441" s="4">
        <v>17</v>
      </c>
      <c r="U4441" s="5" t="s">
        <v>14837</v>
      </c>
      <c r="V4441" s="5" t="s">
        <v>17306</v>
      </c>
      <c r="W4441" s="5" t="s">
        <v>67</v>
      </c>
      <c r="X4441" s="5" t="s">
        <v>67</v>
      </c>
      <c r="Y4441" s="4">
        <v>388</v>
      </c>
      <c r="Z4441" s="4">
        <v>32</v>
      </c>
      <c r="AA4441" s="4">
        <v>63</v>
      </c>
      <c r="AB4441" s="4">
        <v>1</v>
      </c>
      <c r="AC4441" s="4">
        <v>6</v>
      </c>
      <c r="AD4441" s="4">
        <v>86</v>
      </c>
      <c r="AE4441" s="4">
        <v>125</v>
      </c>
      <c r="AF4441" s="4">
        <v>0</v>
      </c>
      <c r="AG4441" s="4">
        <v>4</v>
      </c>
      <c r="AH4441" s="4">
        <v>72</v>
      </c>
      <c r="AI4441" s="4">
        <v>95</v>
      </c>
      <c r="AJ4441" s="4">
        <v>15</v>
      </c>
      <c r="AK4441" s="4">
        <v>26</v>
      </c>
      <c r="AL4441" s="4">
        <v>39</v>
      </c>
      <c r="AM4441" s="4">
        <v>47</v>
      </c>
      <c r="AN4441" s="4">
        <v>0</v>
      </c>
      <c r="AO4441" s="4">
        <v>5</v>
      </c>
      <c r="AP4441" s="4">
        <v>22</v>
      </c>
      <c r="AQ4441" s="4">
        <v>40</v>
      </c>
      <c r="AR4441" s="3" t="s">
        <v>62</v>
      </c>
      <c r="AS4441" s="3" t="s">
        <v>62</v>
      </c>
      <c r="AT4441" s="3" t="s">
        <v>61</v>
      </c>
      <c r="AU4441" s="6" t="str">
        <f>HYPERLINK("http://catalog.hathitrust.org/Record/001180990","HathiTrust Record")</f>
        <v>HathiTrust Record</v>
      </c>
      <c r="AV4441" s="6" t="str">
        <f>HYPERLINK("http://mcgill.on.worldcat.org/oclc/218890","Catalog Record")</f>
        <v>Catalog Record</v>
      </c>
      <c r="AW4441" s="6" t="str">
        <f>HYPERLINK("http://www.worldcat.org/oclc/218890","WorldCat Record")</f>
        <v>WorldCat Record</v>
      </c>
      <c r="AX4441" s="3" t="s">
        <v>42626</v>
      </c>
      <c r="AY4441" s="3" t="s">
        <v>42627</v>
      </c>
      <c r="AZ4441" s="3" t="s">
        <v>42628</v>
      </c>
      <c r="BA4441" s="3" t="s">
        <v>42628</v>
      </c>
      <c r="BB4441" s="3" t="s">
        <v>42629</v>
      </c>
      <c r="BC4441" s="3" t="s">
        <v>142</v>
      </c>
      <c r="BD4441" s="3" t="s">
        <v>68</v>
      </c>
      <c r="BE4441" s="3" t="s">
        <v>42630</v>
      </c>
      <c r="BF4441" s="3" t="s">
        <v>42629</v>
      </c>
      <c r="BG4441" s="3" t="s">
        <v>42631</v>
      </c>
    </row>
    <row r="4442" spans="1:59" ht="57" x14ac:dyDescent="0.45">
      <c r="A4442" s="2" t="s">
        <v>59</v>
      </c>
      <c r="B4442" s="2" t="s">
        <v>60</v>
      </c>
      <c r="C4442" s="2" t="s">
        <v>42622</v>
      </c>
      <c r="D4442" s="2" t="s">
        <v>42623</v>
      </c>
      <c r="E4442" s="2" t="s">
        <v>42624</v>
      </c>
      <c r="G4442" s="3" t="s">
        <v>62</v>
      </c>
      <c r="I4442" s="3" t="s">
        <v>61</v>
      </c>
      <c r="J4442" s="3" t="s">
        <v>62</v>
      </c>
      <c r="K4442" s="3" t="s">
        <v>63</v>
      </c>
      <c r="L4442" s="2" t="s">
        <v>4256</v>
      </c>
      <c r="M4442" s="2" t="s">
        <v>42625</v>
      </c>
      <c r="N4442" s="3" t="s">
        <v>220</v>
      </c>
      <c r="P4442" s="3" t="s">
        <v>65</v>
      </c>
      <c r="R4442" s="3" t="s">
        <v>66</v>
      </c>
      <c r="S4442" s="4">
        <v>2</v>
      </c>
      <c r="T4442" s="4">
        <v>17</v>
      </c>
      <c r="U4442" s="5" t="s">
        <v>17306</v>
      </c>
      <c r="V4442" s="5" t="s">
        <v>17306</v>
      </c>
      <c r="W4442" s="5" t="s">
        <v>67</v>
      </c>
      <c r="X4442" s="5" t="s">
        <v>67</v>
      </c>
      <c r="Y4442" s="4">
        <v>388</v>
      </c>
      <c r="Z4442" s="4">
        <v>32</v>
      </c>
      <c r="AA4442" s="4">
        <v>63</v>
      </c>
      <c r="AB4442" s="4">
        <v>1</v>
      </c>
      <c r="AC4442" s="4">
        <v>6</v>
      </c>
      <c r="AD4442" s="4">
        <v>86</v>
      </c>
      <c r="AE4442" s="4">
        <v>125</v>
      </c>
      <c r="AF4442" s="4">
        <v>0</v>
      </c>
      <c r="AG4442" s="4">
        <v>4</v>
      </c>
      <c r="AH4442" s="4">
        <v>72</v>
      </c>
      <c r="AI4442" s="4">
        <v>95</v>
      </c>
      <c r="AJ4442" s="4">
        <v>15</v>
      </c>
      <c r="AK4442" s="4">
        <v>26</v>
      </c>
      <c r="AL4442" s="4">
        <v>39</v>
      </c>
      <c r="AM4442" s="4">
        <v>47</v>
      </c>
      <c r="AN4442" s="4">
        <v>0</v>
      </c>
      <c r="AO4442" s="4">
        <v>5</v>
      </c>
      <c r="AP4442" s="4">
        <v>22</v>
      </c>
      <c r="AQ4442" s="4">
        <v>40</v>
      </c>
      <c r="AR4442" s="3" t="s">
        <v>62</v>
      </c>
      <c r="AS4442" s="3" t="s">
        <v>62</v>
      </c>
      <c r="AT4442" s="3" t="s">
        <v>61</v>
      </c>
      <c r="AU4442" s="6" t="str">
        <f>HYPERLINK("http://catalog.hathitrust.org/Record/001180990","HathiTrust Record")</f>
        <v>HathiTrust Record</v>
      </c>
      <c r="AV4442" s="6" t="str">
        <f>HYPERLINK("http://mcgill.on.worldcat.org/oclc/218890","Catalog Record")</f>
        <v>Catalog Record</v>
      </c>
      <c r="AW4442" s="6" t="str">
        <f>HYPERLINK("http://www.worldcat.org/oclc/218890","WorldCat Record")</f>
        <v>WorldCat Record</v>
      </c>
      <c r="AX4442" s="3" t="s">
        <v>42626</v>
      </c>
      <c r="AY4442" s="3" t="s">
        <v>42627</v>
      </c>
      <c r="AZ4442" s="3" t="s">
        <v>42628</v>
      </c>
      <c r="BA4442" s="3" t="s">
        <v>42628</v>
      </c>
      <c r="BB4442" s="3" t="s">
        <v>42632</v>
      </c>
      <c r="BC4442" s="3" t="s">
        <v>142</v>
      </c>
      <c r="BD4442" s="3" t="s">
        <v>68</v>
      </c>
      <c r="BE4442" s="3" t="s">
        <v>42630</v>
      </c>
      <c r="BF4442" s="3" t="s">
        <v>42632</v>
      </c>
      <c r="BG4442" s="3" t="s">
        <v>42633</v>
      </c>
    </row>
    <row r="4443" spans="1:59" ht="57" x14ac:dyDescent="0.45">
      <c r="A4443" s="2" t="s">
        <v>59</v>
      </c>
      <c r="B4443" s="2" t="s">
        <v>60</v>
      </c>
      <c r="C4443" s="2" t="s">
        <v>42634</v>
      </c>
      <c r="D4443" s="2" t="s">
        <v>42635</v>
      </c>
      <c r="E4443" s="2" t="s">
        <v>42636</v>
      </c>
      <c r="F4443" s="3" t="s">
        <v>87</v>
      </c>
      <c r="G4443" s="3" t="s">
        <v>61</v>
      </c>
      <c r="I4443" s="3" t="s">
        <v>62</v>
      </c>
      <c r="J4443" s="3" t="s">
        <v>62</v>
      </c>
      <c r="K4443" s="3" t="s">
        <v>63</v>
      </c>
      <c r="M4443" s="2" t="s">
        <v>29404</v>
      </c>
      <c r="N4443" s="3" t="s">
        <v>208</v>
      </c>
      <c r="P4443" s="3" t="s">
        <v>65</v>
      </c>
      <c r="R4443" s="3" t="s">
        <v>66</v>
      </c>
      <c r="S4443" s="4">
        <v>0</v>
      </c>
      <c r="T4443" s="4">
        <v>0</v>
      </c>
      <c r="W4443" s="5" t="s">
        <v>67</v>
      </c>
      <c r="X4443" s="5" t="s">
        <v>67</v>
      </c>
      <c r="Y4443" s="4">
        <v>29</v>
      </c>
      <c r="Z4443" s="4">
        <v>4</v>
      </c>
      <c r="AA4443" s="4">
        <v>4</v>
      </c>
      <c r="AB4443" s="4">
        <v>1</v>
      </c>
      <c r="AC4443" s="4">
        <v>1</v>
      </c>
      <c r="AD4443" s="4">
        <v>17</v>
      </c>
      <c r="AE4443" s="4">
        <v>17</v>
      </c>
      <c r="AF4443" s="4">
        <v>0</v>
      </c>
      <c r="AG4443" s="4">
        <v>0</v>
      </c>
      <c r="AH4443" s="4">
        <v>16</v>
      </c>
      <c r="AI4443" s="4">
        <v>16</v>
      </c>
      <c r="AJ4443" s="4">
        <v>2</v>
      </c>
      <c r="AK4443" s="4">
        <v>2</v>
      </c>
      <c r="AL4443" s="4">
        <v>13</v>
      </c>
      <c r="AM4443" s="4">
        <v>13</v>
      </c>
      <c r="AN4443" s="4">
        <v>0</v>
      </c>
      <c r="AO4443" s="4">
        <v>0</v>
      </c>
      <c r="AP4443" s="4">
        <v>2</v>
      </c>
      <c r="AQ4443" s="4">
        <v>2</v>
      </c>
      <c r="AR4443" s="3" t="s">
        <v>62</v>
      </c>
      <c r="AS4443" s="3" t="s">
        <v>62</v>
      </c>
      <c r="AT4443" s="3" t="s">
        <v>62</v>
      </c>
      <c r="AV4443" s="6" t="str">
        <f>HYPERLINK("http://mcgill.on.worldcat.org/oclc/908175765","Catalog Record")</f>
        <v>Catalog Record</v>
      </c>
      <c r="AW4443" s="6" t="str">
        <f>HYPERLINK("http://www.worldcat.org/oclc/908175765","WorldCat Record")</f>
        <v>WorldCat Record</v>
      </c>
      <c r="AX4443" s="3" t="s">
        <v>42637</v>
      </c>
      <c r="AY4443" s="3" t="s">
        <v>42638</v>
      </c>
      <c r="AZ4443" s="3" t="s">
        <v>42639</v>
      </c>
      <c r="BA4443" s="3" t="s">
        <v>42639</v>
      </c>
      <c r="BB4443" s="3" t="s">
        <v>42640</v>
      </c>
      <c r="BC4443" s="3" t="s">
        <v>142</v>
      </c>
      <c r="BD4443" s="3" t="s">
        <v>68</v>
      </c>
      <c r="BE4443" s="3" t="s">
        <v>42641</v>
      </c>
      <c r="BF4443" s="3" t="s">
        <v>42640</v>
      </c>
      <c r="BG4443" s="3" t="s">
        <v>42642</v>
      </c>
    </row>
    <row r="4444" spans="1:59" ht="57" x14ac:dyDescent="0.45">
      <c r="A4444" s="2" t="s">
        <v>59</v>
      </c>
      <c r="B4444" s="2" t="s">
        <v>60</v>
      </c>
      <c r="C4444" s="2" t="s">
        <v>42643</v>
      </c>
      <c r="D4444" s="2" t="s">
        <v>42644</v>
      </c>
      <c r="E4444" s="2" t="s">
        <v>42645</v>
      </c>
      <c r="G4444" s="3" t="s">
        <v>62</v>
      </c>
      <c r="I4444" s="3" t="s">
        <v>62</v>
      </c>
      <c r="J4444" s="3" t="s">
        <v>62</v>
      </c>
      <c r="K4444" s="3" t="s">
        <v>63</v>
      </c>
      <c r="L4444" s="2" t="s">
        <v>8711</v>
      </c>
      <c r="M4444" s="2" t="s">
        <v>30286</v>
      </c>
      <c r="N4444" s="3" t="s">
        <v>1478</v>
      </c>
      <c r="P4444" s="3" t="s">
        <v>65</v>
      </c>
      <c r="Q4444" s="2" t="s">
        <v>2549</v>
      </c>
      <c r="R4444" s="3" t="s">
        <v>66</v>
      </c>
      <c r="S4444" s="4">
        <v>7</v>
      </c>
      <c r="T4444" s="4">
        <v>7</v>
      </c>
      <c r="U4444" s="5" t="s">
        <v>42646</v>
      </c>
      <c r="V4444" s="5" t="s">
        <v>42646</v>
      </c>
      <c r="W4444" s="5" t="s">
        <v>67</v>
      </c>
      <c r="X4444" s="5" t="s">
        <v>67</v>
      </c>
      <c r="Y4444" s="4">
        <v>258</v>
      </c>
      <c r="Z4444" s="4">
        <v>24</v>
      </c>
      <c r="AA4444" s="4">
        <v>26</v>
      </c>
      <c r="AB4444" s="4">
        <v>3</v>
      </c>
      <c r="AC4444" s="4">
        <v>4</v>
      </c>
      <c r="AD4444" s="4">
        <v>27</v>
      </c>
      <c r="AE4444" s="4">
        <v>30</v>
      </c>
      <c r="AF4444" s="4">
        <v>2</v>
      </c>
      <c r="AG4444" s="4">
        <v>3</v>
      </c>
      <c r="AH4444" s="4">
        <v>18</v>
      </c>
      <c r="AI4444" s="4">
        <v>19</v>
      </c>
      <c r="AJ4444" s="4">
        <v>7</v>
      </c>
      <c r="AK4444" s="4">
        <v>9</v>
      </c>
      <c r="AL4444" s="4">
        <v>11</v>
      </c>
      <c r="AM4444" s="4">
        <v>11</v>
      </c>
      <c r="AN4444" s="4">
        <v>0</v>
      </c>
      <c r="AO4444" s="4">
        <v>0</v>
      </c>
      <c r="AP4444" s="4">
        <v>12</v>
      </c>
      <c r="AQ4444" s="4">
        <v>14</v>
      </c>
      <c r="AR4444" s="3" t="s">
        <v>62</v>
      </c>
      <c r="AS4444" s="3" t="s">
        <v>62</v>
      </c>
      <c r="AT4444" s="3" t="s">
        <v>62</v>
      </c>
      <c r="AV4444" s="6" t="str">
        <f>HYPERLINK("http://mcgill.on.worldcat.org/oclc/36386677","Catalog Record")</f>
        <v>Catalog Record</v>
      </c>
      <c r="AW4444" s="6" t="str">
        <f>HYPERLINK("http://www.worldcat.org/oclc/36386677","WorldCat Record")</f>
        <v>WorldCat Record</v>
      </c>
      <c r="AX4444" s="3" t="s">
        <v>42647</v>
      </c>
      <c r="AY4444" s="3" t="s">
        <v>42648</v>
      </c>
      <c r="AZ4444" s="3" t="s">
        <v>42649</v>
      </c>
      <c r="BA4444" s="3" t="s">
        <v>42649</v>
      </c>
      <c r="BB4444" s="3" t="s">
        <v>42650</v>
      </c>
      <c r="BC4444" s="3" t="s">
        <v>142</v>
      </c>
      <c r="BD4444" s="3" t="s">
        <v>68</v>
      </c>
      <c r="BE4444" s="3" t="s">
        <v>42651</v>
      </c>
      <c r="BF4444" s="3" t="s">
        <v>42650</v>
      </c>
      <c r="BG4444" s="3" t="s">
        <v>42652</v>
      </c>
    </row>
    <row r="4445" spans="1:59" ht="57" x14ac:dyDescent="0.45">
      <c r="A4445" s="2" t="s">
        <v>59</v>
      </c>
      <c r="B4445" s="2" t="s">
        <v>60</v>
      </c>
      <c r="C4445" s="2" t="s">
        <v>42653</v>
      </c>
      <c r="D4445" s="2" t="s">
        <v>42654</v>
      </c>
      <c r="E4445" s="2" t="s">
        <v>42655</v>
      </c>
      <c r="G4445" s="3" t="s">
        <v>62</v>
      </c>
      <c r="I4445" s="3" t="s">
        <v>62</v>
      </c>
      <c r="J4445" s="3" t="s">
        <v>61</v>
      </c>
      <c r="K4445" s="3" t="s">
        <v>63</v>
      </c>
      <c r="L4445" s="2" t="s">
        <v>42656</v>
      </c>
      <c r="M4445" s="2" t="s">
        <v>42657</v>
      </c>
      <c r="N4445" s="3" t="s">
        <v>1097</v>
      </c>
      <c r="P4445" s="3" t="s">
        <v>110</v>
      </c>
      <c r="Q4445" s="2" t="s">
        <v>42658</v>
      </c>
      <c r="R4445" s="3" t="s">
        <v>66</v>
      </c>
      <c r="S4445" s="4">
        <v>6</v>
      </c>
      <c r="T4445" s="4">
        <v>6</v>
      </c>
      <c r="U4445" s="5" t="s">
        <v>3533</v>
      </c>
      <c r="V4445" s="5" t="s">
        <v>3533</v>
      </c>
      <c r="W4445" s="5" t="s">
        <v>67</v>
      </c>
      <c r="X4445" s="5" t="s">
        <v>67</v>
      </c>
      <c r="Y4445" s="4">
        <v>16</v>
      </c>
      <c r="Z4445" s="4">
        <v>6</v>
      </c>
      <c r="AA4445" s="4">
        <v>23</v>
      </c>
      <c r="AB4445" s="4">
        <v>2</v>
      </c>
      <c r="AC4445" s="4">
        <v>13</v>
      </c>
      <c r="AD4445" s="4">
        <v>6</v>
      </c>
      <c r="AE4445" s="4">
        <v>15</v>
      </c>
      <c r="AF4445" s="4">
        <v>1</v>
      </c>
      <c r="AG4445" s="4">
        <v>6</v>
      </c>
      <c r="AH4445" s="4">
        <v>4</v>
      </c>
      <c r="AI4445" s="4">
        <v>8</v>
      </c>
      <c r="AJ4445" s="4">
        <v>2</v>
      </c>
      <c r="AK4445" s="4">
        <v>7</v>
      </c>
      <c r="AL4445" s="4">
        <v>1</v>
      </c>
      <c r="AM4445" s="4">
        <v>2</v>
      </c>
      <c r="AN4445" s="4">
        <v>0</v>
      </c>
      <c r="AO4445" s="4">
        <v>0</v>
      </c>
      <c r="AP4445" s="4">
        <v>4</v>
      </c>
      <c r="AQ4445" s="4">
        <v>10</v>
      </c>
      <c r="AR4445" s="3" t="s">
        <v>62</v>
      </c>
      <c r="AS4445" s="3" t="s">
        <v>62</v>
      </c>
      <c r="AT4445" s="3" t="s">
        <v>62</v>
      </c>
      <c r="AV4445" s="6" t="str">
        <f>HYPERLINK("http://mcgill.on.worldcat.org/oclc/55104543","Catalog Record")</f>
        <v>Catalog Record</v>
      </c>
      <c r="AW4445" s="6" t="str">
        <f>HYPERLINK("http://www.worldcat.org/oclc/55104543","WorldCat Record")</f>
        <v>WorldCat Record</v>
      </c>
      <c r="AX4445" s="3" t="s">
        <v>42659</v>
      </c>
      <c r="AY4445" s="3" t="s">
        <v>42660</v>
      </c>
      <c r="AZ4445" s="3" t="s">
        <v>42661</v>
      </c>
      <c r="BA4445" s="3" t="s">
        <v>42661</v>
      </c>
      <c r="BB4445" s="3" t="s">
        <v>42662</v>
      </c>
      <c r="BC4445" s="3" t="s">
        <v>142</v>
      </c>
      <c r="BD4445" s="3" t="s">
        <v>68</v>
      </c>
      <c r="BE4445" s="3" t="s">
        <v>42663</v>
      </c>
      <c r="BF4445" s="3" t="s">
        <v>42662</v>
      </c>
      <c r="BG4445" s="3" t="s">
        <v>42664</v>
      </c>
    </row>
    <row r="4446" spans="1:59" ht="57" x14ac:dyDescent="0.45">
      <c r="A4446" s="2" t="s">
        <v>59</v>
      </c>
      <c r="B4446" s="2" t="s">
        <v>60</v>
      </c>
      <c r="C4446" s="2" t="s">
        <v>42665</v>
      </c>
      <c r="D4446" s="2" t="s">
        <v>42666</v>
      </c>
      <c r="E4446" s="2" t="s">
        <v>42667</v>
      </c>
      <c r="G4446" s="3" t="s">
        <v>62</v>
      </c>
      <c r="I4446" s="3" t="s">
        <v>62</v>
      </c>
      <c r="J4446" s="3" t="s">
        <v>61</v>
      </c>
      <c r="K4446" s="3" t="s">
        <v>63</v>
      </c>
      <c r="L4446" s="2" t="s">
        <v>42656</v>
      </c>
      <c r="M4446" s="2" t="s">
        <v>42668</v>
      </c>
      <c r="N4446" s="3" t="s">
        <v>820</v>
      </c>
      <c r="O4446" s="2" t="s">
        <v>42669</v>
      </c>
      <c r="P4446" s="3" t="s">
        <v>110</v>
      </c>
      <c r="Q4446" s="2" t="s">
        <v>42670</v>
      </c>
      <c r="R4446" s="3" t="s">
        <v>66</v>
      </c>
      <c r="S4446" s="4">
        <v>3</v>
      </c>
      <c r="T4446" s="4">
        <v>3</v>
      </c>
      <c r="U4446" s="5" t="s">
        <v>6500</v>
      </c>
      <c r="V4446" s="5" t="s">
        <v>6500</v>
      </c>
      <c r="W4446" s="5" t="s">
        <v>67</v>
      </c>
      <c r="X4446" s="5" t="s">
        <v>67</v>
      </c>
      <c r="Y4446" s="4">
        <v>12</v>
      </c>
      <c r="Z4446" s="4">
        <v>4</v>
      </c>
      <c r="AA4446" s="4">
        <v>23</v>
      </c>
      <c r="AB4446" s="4">
        <v>3</v>
      </c>
      <c r="AC4446" s="4">
        <v>13</v>
      </c>
      <c r="AD4446" s="4">
        <v>4</v>
      </c>
      <c r="AE4446" s="4">
        <v>15</v>
      </c>
      <c r="AF4446" s="4">
        <v>1</v>
      </c>
      <c r="AG4446" s="4">
        <v>6</v>
      </c>
      <c r="AH4446" s="4">
        <v>2</v>
      </c>
      <c r="AI4446" s="4">
        <v>8</v>
      </c>
      <c r="AJ4446" s="4">
        <v>1</v>
      </c>
      <c r="AK4446" s="4">
        <v>7</v>
      </c>
      <c r="AL4446" s="4">
        <v>1</v>
      </c>
      <c r="AM4446" s="4">
        <v>2</v>
      </c>
      <c r="AN4446" s="4">
        <v>0</v>
      </c>
      <c r="AO4446" s="4">
        <v>0</v>
      </c>
      <c r="AP4446" s="4">
        <v>2</v>
      </c>
      <c r="AQ4446" s="4">
        <v>10</v>
      </c>
      <c r="AR4446" s="3" t="s">
        <v>62</v>
      </c>
      <c r="AS4446" s="3" t="s">
        <v>62</v>
      </c>
      <c r="AT4446" s="3" t="s">
        <v>62</v>
      </c>
      <c r="AV4446" s="6" t="str">
        <f>HYPERLINK("http://mcgill.on.worldcat.org/oclc/277194970","Catalog Record")</f>
        <v>Catalog Record</v>
      </c>
      <c r="AW4446" s="6" t="str">
        <f>HYPERLINK("http://www.worldcat.org/oclc/277194970","WorldCat Record")</f>
        <v>WorldCat Record</v>
      </c>
      <c r="AX4446" s="3" t="s">
        <v>42659</v>
      </c>
      <c r="AY4446" s="3" t="s">
        <v>42671</v>
      </c>
      <c r="AZ4446" s="3" t="s">
        <v>42672</v>
      </c>
      <c r="BA4446" s="3" t="s">
        <v>42672</v>
      </c>
      <c r="BB4446" s="3" t="s">
        <v>42673</v>
      </c>
      <c r="BC4446" s="3" t="s">
        <v>142</v>
      </c>
      <c r="BD4446" s="3" t="s">
        <v>68</v>
      </c>
      <c r="BE4446" s="3" t="s">
        <v>42674</v>
      </c>
      <c r="BF4446" s="3" t="s">
        <v>42673</v>
      </c>
      <c r="BG4446" s="3" t="s">
        <v>42675</v>
      </c>
    </row>
    <row r="4447" spans="1:59" ht="57" x14ac:dyDescent="0.45">
      <c r="A4447" s="2" t="s">
        <v>59</v>
      </c>
      <c r="B4447" s="2" t="s">
        <v>60</v>
      </c>
      <c r="C4447" s="2" t="s">
        <v>42676</v>
      </c>
      <c r="D4447" s="2" t="s">
        <v>42677</v>
      </c>
      <c r="E4447" s="2" t="s">
        <v>42678</v>
      </c>
      <c r="G4447" s="3" t="s">
        <v>62</v>
      </c>
      <c r="I4447" s="3" t="s">
        <v>62</v>
      </c>
      <c r="J4447" s="3" t="s">
        <v>62</v>
      </c>
      <c r="K4447" s="3" t="s">
        <v>63</v>
      </c>
      <c r="L4447" s="2" t="s">
        <v>42679</v>
      </c>
      <c r="M4447" s="2" t="s">
        <v>42680</v>
      </c>
      <c r="N4447" s="3" t="s">
        <v>1688</v>
      </c>
      <c r="P4447" s="3" t="s">
        <v>65</v>
      </c>
      <c r="Q4447" s="2" t="s">
        <v>42681</v>
      </c>
      <c r="R4447" s="3" t="s">
        <v>66</v>
      </c>
      <c r="S4447" s="4">
        <v>0</v>
      </c>
      <c r="T4447" s="4">
        <v>0</v>
      </c>
      <c r="W4447" s="5" t="s">
        <v>67</v>
      </c>
      <c r="X4447" s="5" t="s">
        <v>67</v>
      </c>
      <c r="Y4447" s="4">
        <v>20</v>
      </c>
      <c r="Z4447" s="4">
        <v>2</v>
      </c>
      <c r="AA4447" s="4">
        <v>3</v>
      </c>
      <c r="AB4447" s="4">
        <v>1</v>
      </c>
      <c r="AC4447" s="4">
        <v>1</v>
      </c>
      <c r="AD4447" s="4">
        <v>15</v>
      </c>
      <c r="AE4447" s="4">
        <v>16</v>
      </c>
      <c r="AF4447" s="4">
        <v>0</v>
      </c>
      <c r="AG4447" s="4">
        <v>0</v>
      </c>
      <c r="AH4447" s="4">
        <v>14</v>
      </c>
      <c r="AI4447" s="4">
        <v>14</v>
      </c>
      <c r="AJ4447" s="4">
        <v>1</v>
      </c>
      <c r="AK4447" s="4">
        <v>2</v>
      </c>
      <c r="AL4447" s="4">
        <v>13</v>
      </c>
      <c r="AM4447" s="4">
        <v>13</v>
      </c>
      <c r="AN4447" s="4">
        <v>0</v>
      </c>
      <c r="AO4447" s="4">
        <v>0</v>
      </c>
      <c r="AP4447" s="4">
        <v>1</v>
      </c>
      <c r="AQ4447" s="4">
        <v>2</v>
      </c>
      <c r="AR4447" s="3" t="s">
        <v>62</v>
      </c>
      <c r="AS4447" s="3" t="s">
        <v>62</v>
      </c>
      <c r="AT4447" s="3" t="s">
        <v>62</v>
      </c>
      <c r="AV4447" s="6" t="str">
        <f>HYPERLINK("http://mcgill.on.worldcat.org/oclc/915848481","Catalog Record")</f>
        <v>Catalog Record</v>
      </c>
      <c r="AW4447" s="6" t="str">
        <f>HYPERLINK("http://www.worldcat.org/oclc/915848481","WorldCat Record")</f>
        <v>WorldCat Record</v>
      </c>
      <c r="AX4447" s="3" t="s">
        <v>42682</v>
      </c>
      <c r="AY4447" s="3" t="s">
        <v>42683</v>
      </c>
      <c r="AZ4447" s="3" t="s">
        <v>42684</v>
      </c>
      <c r="BA4447" s="3" t="s">
        <v>42684</v>
      </c>
      <c r="BB4447" s="3" t="s">
        <v>42685</v>
      </c>
      <c r="BC4447" s="3" t="s">
        <v>142</v>
      </c>
      <c r="BD4447" s="3" t="s">
        <v>68</v>
      </c>
      <c r="BF4447" s="3" t="s">
        <v>42685</v>
      </c>
      <c r="BG4447" s="3" t="s">
        <v>42686</v>
      </c>
    </row>
    <row r="4448" spans="1:59" ht="57" x14ac:dyDescent="0.45">
      <c r="A4448" s="2" t="s">
        <v>59</v>
      </c>
      <c r="B4448" s="2" t="s">
        <v>60</v>
      </c>
      <c r="C4448" s="2" t="s">
        <v>42687</v>
      </c>
      <c r="D4448" s="2" t="s">
        <v>42688</v>
      </c>
      <c r="E4448" s="2" t="s">
        <v>42689</v>
      </c>
      <c r="G4448" s="3" t="s">
        <v>62</v>
      </c>
      <c r="I4448" s="3" t="s">
        <v>62</v>
      </c>
      <c r="J4448" s="3" t="s">
        <v>62</v>
      </c>
      <c r="K4448" s="3" t="s">
        <v>63</v>
      </c>
      <c r="L4448" s="2" t="s">
        <v>42690</v>
      </c>
      <c r="M4448" s="2" t="s">
        <v>42691</v>
      </c>
      <c r="N4448" s="3" t="s">
        <v>1918</v>
      </c>
      <c r="P4448" s="3" t="s">
        <v>65</v>
      </c>
      <c r="Q4448" s="2" t="s">
        <v>42692</v>
      </c>
      <c r="R4448" s="3" t="s">
        <v>66</v>
      </c>
      <c r="S4448" s="4">
        <v>0</v>
      </c>
      <c r="T4448" s="4">
        <v>0</v>
      </c>
      <c r="W4448" s="5" t="s">
        <v>67</v>
      </c>
      <c r="X4448" s="5" t="s">
        <v>67</v>
      </c>
      <c r="Y4448" s="4">
        <v>19</v>
      </c>
      <c r="Z4448" s="4">
        <v>3</v>
      </c>
      <c r="AA4448" s="4">
        <v>3</v>
      </c>
      <c r="AB4448" s="4">
        <v>1</v>
      </c>
      <c r="AC4448" s="4">
        <v>1</v>
      </c>
      <c r="AD4448" s="4">
        <v>13</v>
      </c>
      <c r="AE4448" s="4">
        <v>13</v>
      </c>
      <c r="AF4448" s="4">
        <v>0</v>
      </c>
      <c r="AG4448" s="4">
        <v>0</v>
      </c>
      <c r="AH4448" s="4">
        <v>12</v>
      </c>
      <c r="AI4448" s="4">
        <v>12</v>
      </c>
      <c r="AJ4448" s="4">
        <v>2</v>
      </c>
      <c r="AK4448" s="4">
        <v>2</v>
      </c>
      <c r="AL4448" s="4">
        <v>11</v>
      </c>
      <c r="AM4448" s="4">
        <v>11</v>
      </c>
      <c r="AN4448" s="4">
        <v>0</v>
      </c>
      <c r="AO4448" s="4">
        <v>0</v>
      </c>
      <c r="AP4448" s="4">
        <v>2</v>
      </c>
      <c r="AQ4448" s="4">
        <v>2</v>
      </c>
      <c r="AR4448" s="3" t="s">
        <v>62</v>
      </c>
      <c r="AS4448" s="3" t="s">
        <v>62</v>
      </c>
      <c r="AT4448" s="3" t="s">
        <v>62</v>
      </c>
      <c r="AV4448" s="6" t="str">
        <f>HYPERLINK("http://mcgill.on.worldcat.org/oclc/1004772018","Catalog Record")</f>
        <v>Catalog Record</v>
      </c>
      <c r="AW4448" s="6" t="str">
        <f>HYPERLINK("http://www.worldcat.org/oclc/1004772018","WorldCat Record")</f>
        <v>WorldCat Record</v>
      </c>
      <c r="AX4448" s="3" t="s">
        <v>42693</v>
      </c>
      <c r="AY4448" s="3" t="s">
        <v>42694</v>
      </c>
      <c r="AZ4448" s="3" t="s">
        <v>42695</v>
      </c>
      <c r="BA4448" s="3" t="s">
        <v>42695</v>
      </c>
      <c r="BB4448" s="3" t="s">
        <v>42696</v>
      </c>
      <c r="BC4448" s="3" t="s">
        <v>142</v>
      </c>
      <c r="BD4448" s="3" t="s">
        <v>68</v>
      </c>
      <c r="BF4448" s="3" t="s">
        <v>42696</v>
      </c>
      <c r="BG4448" s="3" t="s">
        <v>42697</v>
      </c>
    </row>
    <row r="4449" spans="1:59" ht="57" x14ac:dyDescent="0.45">
      <c r="A4449" s="2" t="s">
        <v>59</v>
      </c>
      <c r="B4449" s="2" t="s">
        <v>60</v>
      </c>
      <c r="C4449" s="2" t="s">
        <v>42698</v>
      </c>
      <c r="D4449" s="2" t="s">
        <v>42699</v>
      </c>
      <c r="E4449" s="2" t="s">
        <v>42700</v>
      </c>
      <c r="G4449" s="3" t="s">
        <v>62</v>
      </c>
      <c r="I4449" s="3" t="s">
        <v>62</v>
      </c>
      <c r="J4449" s="3" t="s">
        <v>62</v>
      </c>
      <c r="K4449" s="3" t="s">
        <v>63</v>
      </c>
      <c r="L4449" s="2" t="s">
        <v>42701</v>
      </c>
      <c r="M4449" s="2" t="s">
        <v>42702</v>
      </c>
      <c r="N4449" s="3" t="s">
        <v>1688</v>
      </c>
      <c r="P4449" s="3" t="s">
        <v>65</v>
      </c>
      <c r="Q4449" s="2" t="s">
        <v>42703</v>
      </c>
      <c r="R4449" s="3" t="s">
        <v>66</v>
      </c>
      <c r="S4449" s="4">
        <v>0</v>
      </c>
      <c r="T4449" s="4">
        <v>0</v>
      </c>
      <c r="W4449" s="5" t="s">
        <v>67</v>
      </c>
      <c r="X4449" s="5" t="s">
        <v>67</v>
      </c>
      <c r="Y4449" s="4">
        <v>21</v>
      </c>
      <c r="Z4449" s="4">
        <v>3</v>
      </c>
      <c r="AA4449" s="4">
        <v>4</v>
      </c>
      <c r="AB4449" s="4">
        <v>1</v>
      </c>
      <c r="AC4449" s="4">
        <v>1</v>
      </c>
      <c r="AD4449" s="4">
        <v>16</v>
      </c>
      <c r="AE4449" s="4">
        <v>17</v>
      </c>
      <c r="AF4449" s="4">
        <v>0</v>
      </c>
      <c r="AG4449" s="4">
        <v>0</v>
      </c>
      <c r="AH4449" s="4">
        <v>15</v>
      </c>
      <c r="AI4449" s="4">
        <v>15</v>
      </c>
      <c r="AJ4449" s="4">
        <v>2</v>
      </c>
      <c r="AK4449" s="4">
        <v>3</v>
      </c>
      <c r="AL4449" s="4">
        <v>13</v>
      </c>
      <c r="AM4449" s="4">
        <v>13</v>
      </c>
      <c r="AN4449" s="4">
        <v>0</v>
      </c>
      <c r="AO4449" s="4">
        <v>0</v>
      </c>
      <c r="AP4449" s="4">
        <v>2</v>
      </c>
      <c r="AQ4449" s="4">
        <v>3</v>
      </c>
      <c r="AR4449" s="3" t="s">
        <v>62</v>
      </c>
      <c r="AS4449" s="3" t="s">
        <v>62</v>
      </c>
      <c r="AT4449" s="3" t="s">
        <v>62</v>
      </c>
      <c r="AV4449" s="6" t="str">
        <f>HYPERLINK("http://mcgill.on.worldcat.org/oclc/908694632","Catalog Record")</f>
        <v>Catalog Record</v>
      </c>
      <c r="AW4449" s="6" t="str">
        <f>HYPERLINK("http://www.worldcat.org/oclc/908694632","WorldCat Record")</f>
        <v>WorldCat Record</v>
      </c>
      <c r="AX4449" s="3" t="s">
        <v>42704</v>
      </c>
      <c r="AY4449" s="3" t="s">
        <v>42705</v>
      </c>
      <c r="AZ4449" s="3" t="s">
        <v>42706</v>
      </c>
      <c r="BA4449" s="3" t="s">
        <v>42706</v>
      </c>
      <c r="BB4449" s="3" t="s">
        <v>42707</v>
      </c>
      <c r="BC4449" s="3" t="s">
        <v>142</v>
      </c>
      <c r="BD4449" s="3" t="s">
        <v>68</v>
      </c>
      <c r="BF4449" s="3" t="s">
        <v>42707</v>
      </c>
      <c r="BG4449" s="3" t="s">
        <v>42708</v>
      </c>
    </row>
    <row r="4450" spans="1:59" ht="57" x14ac:dyDescent="0.45">
      <c r="A4450" s="2" t="s">
        <v>59</v>
      </c>
      <c r="B4450" s="2" t="s">
        <v>60</v>
      </c>
      <c r="C4450" s="2" t="s">
        <v>42709</v>
      </c>
      <c r="D4450" s="2" t="s">
        <v>42710</v>
      </c>
      <c r="E4450" s="2" t="s">
        <v>42711</v>
      </c>
      <c r="G4450" s="3" t="s">
        <v>62</v>
      </c>
      <c r="I4450" s="3" t="s">
        <v>62</v>
      </c>
      <c r="J4450" s="3" t="s">
        <v>62</v>
      </c>
      <c r="K4450" s="3" t="s">
        <v>63</v>
      </c>
      <c r="L4450" s="2" t="s">
        <v>42712</v>
      </c>
      <c r="M4450" s="2" t="s">
        <v>42691</v>
      </c>
      <c r="N4450" s="3" t="s">
        <v>1918</v>
      </c>
      <c r="P4450" s="3" t="s">
        <v>65</v>
      </c>
      <c r="Q4450" s="2" t="s">
        <v>42713</v>
      </c>
      <c r="R4450" s="3" t="s">
        <v>66</v>
      </c>
      <c r="S4450" s="4">
        <v>0</v>
      </c>
      <c r="T4450" s="4">
        <v>0</v>
      </c>
      <c r="W4450" s="5" t="s">
        <v>67</v>
      </c>
      <c r="X4450" s="5" t="s">
        <v>67</v>
      </c>
      <c r="Y4450" s="4">
        <v>19</v>
      </c>
      <c r="Z4450" s="4">
        <v>2</v>
      </c>
      <c r="AA4450" s="4">
        <v>2</v>
      </c>
      <c r="AB4450" s="4">
        <v>1</v>
      </c>
      <c r="AC4450" s="4">
        <v>1</v>
      </c>
      <c r="AD4450" s="4">
        <v>12</v>
      </c>
      <c r="AE4450" s="4">
        <v>12</v>
      </c>
      <c r="AF4450" s="4">
        <v>0</v>
      </c>
      <c r="AG4450" s="4">
        <v>0</v>
      </c>
      <c r="AH4450" s="4">
        <v>11</v>
      </c>
      <c r="AI4450" s="4">
        <v>11</v>
      </c>
      <c r="AJ4450" s="4">
        <v>1</v>
      </c>
      <c r="AK4450" s="4">
        <v>1</v>
      </c>
      <c r="AL4450" s="4">
        <v>11</v>
      </c>
      <c r="AM4450" s="4">
        <v>11</v>
      </c>
      <c r="AN4450" s="4">
        <v>0</v>
      </c>
      <c r="AO4450" s="4">
        <v>0</v>
      </c>
      <c r="AP4450" s="4">
        <v>1</v>
      </c>
      <c r="AQ4450" s="4">
        <v>1</v>
      </c>
      <c r="AR4450" s="3" t="s">
        <v>62</v>
      </c>
      <c r="AS4450" s="3" t="s">
        <v>62</v>
      </c>
      <c r="AT4450" s="3" t="s">
        <v>62</v>
      </c>
      <c r="AV4450" s="6" t="str">
        <f>HYPERLINK("http://mcgill.on.worldcat.org/oclc/1035017193","Catalog Record")</f>
        <v>Catalog Record</v>
      </c>
      <c r="AW4450" s="6" t="str">
        <f>HYPERLINK("http://www.worldcat.org/oclc/1035017193","WorldCat Record")</f>
        <v>WorldCat Record</v>
      </c>
      <c r="AX4450" s="3" t="s">
        <v>42714</v>
      </c>
      <c r="AY4450" s="3" t="s">
        <v>42715</v>
      </c>
      <c r="AZ4450" s="3" t="s">
        <v>42716</v>
      </c>
      <c r="BA4450" s="3" t="s">
        <v>42716</v>
      </c>
      <c r="BB4450" s="3" t="s">
        <v>42717</v>
      </c>
      <c r="BC4450" s="3" t="s">
        <v>142</v>
      </c>
      <c r="BD4450" s="3" t="s">
        <v>68</v>
      </c>
      <c r="BF4450" s="3" t="s">
        <v>42717</v>
      </c>
      <c r="BG4450" s="3" t="s">
        <v>42718</v>
      </c>
    </row>
    <row r="4451" spans="1:59" ht="57" x14ac:dyDescent="0.45">
      <c r="A4451" s="2" t="s">
        <v>59</v>
      </c>
      <c r="B4451" s="2" t="s">
        <v>60</v>
      </c>
      <c r="C4451" s="2" t="s">
        <v>42719</v>
      </c>
      <c r="D4451" s="2" t="s">
        <v>42720</v>
      </c>
      <c r="E4451" s="2" t="s">
        <v>42721</v>
      </c>
      <c r="G4451" s="3" t="s">
        <v>62</v>
      </c>
      <c r="H4451" s="3" t="s">
        <v>3960</v>
      </c>
      <c r="I4451" s="3" t="s">
        <v>62</v>
      </c>
      <c r="J4451" s="3" t="s">
        <v>62</v>
      </c>
      <c r="K4451" s="3" t="s">
        <v>63</v>
      </c>
      <c r="L4451" s="2" t="s">
        <v>42722</v>
      </c>
      <c r="M4451" s="2" t="s">
        <v>42723</v>
      </c>
      <c r="N4451" s="3" t="s">
        <v>5180</v>
      </c>
      <c r="P4451" s="3" t="s">
        <v>65</v>
      </c>
      <c r="Q4451" s="2" t="s">
        <v>42724</v>
      </c>
      <c r="R4451" s="3" t="s">
        <v>66</v>
      </c>
      <c r="S4451" s="4">
        <v>0</v>
      </c>
      <c r="T4451" s="4">
        <v>0</v>
      </c>
      <c r="W4451" s="5" t="s">
        <v>73</v>
      </c>
      <c r="X4451" s="5" t="s">
        <v>73</v>
      </c>
      <c r="Y4451" s="4">
        <v>16</v>
      </c>
      <c r="Z4451" s="4">
        <v>1</v>
      </c>
      <c r="AA4451" s="4">
        <v>1</v>
      </c>
      <c r="AB4451" s="4">
        <v>1</v>
      </c>
      <c r="AC4451" s="4">
        <v>1</v>
      </c>
      <c r="AD4451" s="4">
        <v>11</v>
      </c>
      <c r="AE4451" s="4">
        <v>11</v>
      </c>
      <c r="AF4451" s="4">
        <v>0</v>
      </c>
      <c r="AG4451" s="4">
        <v>0</v>
      </c>
      <c r="AH4451" s="4">
        <v>11</v>
      </c>
      <c r="AI4451" s="4">
        <v>11</v>
      </c>
      <c r="AJ4451" s="4">
        <v>0</v>
      </c>
      <c r="AK4451" s="4">
        <v>0</v>
      </c>
      <c r="AL4451" s="4">
        <v>11</v>
      </c>
      <c r="AM4451" s="4">
        <v>11</v>
      </c>
      <c r="AN4451" s="4">
        <v>0</v>
      </c>
      <c r="AO4451" s="4">
        <v>0</v>
      </c>
      <c r="AP4451" s="4">
        <v>0</v>
      </c>
      <c r="AQ4451" s="4">
        <v>0</v>
      </c>
      <c r="AR4451" s="3" t="s">
        <v>62</v>
      </c>
      <c r="AS4451" s="3" t="s">
        <v>62</v>
      </c>
      <c r="AT4451" s="3" t="s">
        <v>62</v>
      </c>
      <c r="AV4451" s="6" t="str">
        <f>HYPERLINK("http://mcgill.on.worldcat.org/oclc/1082264202","Catalog Record")</f>
        <v>Catalog Record</v>
      </c>
      <c r="AW4451" s="6" t="str">
        <f>HYPERLINK("http://www.worldcat.org/oclc/1082264202","WorldCat Record")</f>
        <v>WorldCat Record</v>
      </c>
      <c r="AX4451" s="3" t="s">
        <v>42725</v>
      </c>
      <c r="AY4451" s="3" t="s">
        <v>42726</v>
      </c>
      <c r="AZ4451" s="3" t="s">
        <v>42727</v>
      </c>
      <c r="BA4451" s="3" t="s">
        <v>42727</v>
      </c>
      <c r="BB4451" s="3" t="s">
        <v>42728</v>
      </c>
      <c r="BC4451" s="3" t="s">
        <v>142</v>
      </c>
      <c r="BD4451" s="3" t="s">
        <v>68</v>
      </c>
      <c r="BF4451" s="3" t="s">
        <v>42728</v>
      </c>
      <c r="BG4451" s="3" t="s">
        <v>42729</v>
      </c>
    </row>
    <row r="4452" spans="1:59" ht="57" x14ac:dyDescent="0.45">
      <c r="A4452" s="2" t="s">
        <v>59</v>
      </c>
      <c r="B4452" s="2" t="s">
        <v>60</v>
      </c>
      <c r="C4452" s="2" t="s">
        <v>42730</v>
      </c>
      <c r="D4452" s="2" t="s">
        <v>42731</v>
      </c>
      <c r="E4452" s="2" t="s">
        <v>42732</v>
      </c>
      <c r="G4452" s="3" t="s">
        <v>62</v>
      </c>
      <c r="I4452" s="3" t="s">
        <v>61</v>
      </c>
      <c r="J4452" s="3" t="s">
        <v>62</v>
      </c>
      <c r="K4452" s="3" t="s">
        <v>63</v>
      </c>
      <c r="M4452" s="2" t="s">
        <v>42733</v>
      </c>
      <c r="N4452" s="3" t="s">
        <v>583</v>
      </c>
      <c r="O4452" s="2" t="s">
        <v>168</v>
      </c>
      <c r="P4452" s="3" t="s">
        <v>65</v>
      </c>
      <c r="Q4452" s="2" t="s">
        <v>42734</v>
      </c>
      <c r="R4452" s="3" t="s">
        <v>66</v>
      </c>
      <c r="S4452" s="4">
        <v>29</v>
      </c>
      <c r="T4452" s="4">
        <v>98</v>
      </c>
      <c r="U4452" s="5" t="s">
        <v>16620</v>
      </c>
      <c r="V4452" s="5" t="s">
        <v>35686</v>
      </c>
      <c r="W4452" s="5" t="s">
        <v>67</v>
      </c>
      <c r="X4452" s="5" t="s">
        <v>67</v>
      </c>
      <c r="Y4452" s="4">
        <v>227</v>
      </c>
      <c r="Z4452" s="4">
        <v>27</v>
      </c>
      <c r="AA4452" s="4">
        <v>36</v>
      </c>
      <c r="AB4452" s="4">
        <v>2</v>
      </c>
      <c r="AC4452" s="4">
        <v>6</v>
      </c>
      <c r="AD4452" s="4">
        <v>79</v>
      </c>
      <c r="AE4452" s="4">
        <v>84</v>
      </c>
      <c r="AF4452" s="4">
        <v>1</v>
      </c>
      <c r="AG4452" s="4">
        <v>4</v>
      </c>
      <c r="AH4452" s="4">
        <v>63</v>
      </c>
      <c r="AI4452" s="4">
        <v>63</v>
      </c>
      <c r="AJ4452" s="4">
        <v>16</v>
      </c>
      <c r="AK4452" s="4">
        <v>19</v>
      </c>
      <c r="AL4452" s="4">
        <v>36</v>
      </c>
      <c r="AM4452" s="4">
        <v>36</v>
      </c>
      <c r="AN4452" s="4">
        <v>0</v>
      </c>
      <c r="AO4452" s="4">
        <v>0</v>
      </c>
      <c r="AP4452" s="4">
        <v>21</v>
      </c>
      <c r="AQ4452" s="4">
        <v>25</v>
      </c>
      <c r="AR4452" s="3" t="s">
        <v>62</v>
      </c>
      <c r="AS4452" s="3" t="s">
        <v>62</v>
      </c>
      <c r="AT4452" s="3" t="s">
        <v>61</v>
      </c>
      <c r="AU4452" s="6" t="str">
        <f>HYPERLINK("http://catalog.hathitrust.org/Record/000717142","HathiTrust Record")</f>
        <v>HathiTrust Record</v>
      </c>
      <c r="AV4452" s="6" t="str">
        <f>HYPERLINK("http://mcgill.on.worldcat.org/oclc/4303985","Catalog Record")</f>
        <v>Catalog Record</v>
      </c>
      <c r="AW4452" s="6" t="str">
        <f>HYPERLINK("http://www.worldcat.org/oclc/4303985","WorldCat Record")</f>
        <v>WorldCat Record</v>
      </c>
      <c r="AX4452" s="3" t="s">
        <v>42735</v>
      </c>
      <c r="AY4452" s="3" t="s">
        <v>42736</v>
      </c>
      <c r="AZ4452" s="3" t="s">
        <v>42737</v>
      </c>
      <c r="BA4452" s="3" t="s">
        <v>42737</v>
      </c>
      <c r="BB4452" s="3" t="s">
        <v>42738</v>
      </c>
      <c r="BC4452" s="3" t="s">
        <v>142</v>
      </c>
      <c r="BD4452" s="3" t="s">
        <v>68</v>
      </c>
      <c r="BF4452" s="3" t="s">
        <v>42738</v>
      </c>
      <c r="BG4452" s="3" t="s">
        <v>42739</v>
      </c>
    </row>
    <row r="4453" spans="1:59" ht="57" x14ac:dyDescent="0.45">
      <c r="A4453" s="2" t="s">
        <v>59</v>
      </c>
      <c r="B4453" s="2" t="s">
        <v>60</v>
      </c>
      <c r="C4453" s="2" t="s">
        <v>42730</v>
      </c>
      <c r="D4453" s="2" t="s">
        <v>42731</v>
      </c>
      <c r="E4453" s="2" t="s">
        <v>42732</v>
      </c>
      <c r="G4453" s="3" t="s">
        <v>62</v>
      </c>
      <c r="I4453" s="3" t="s">
        <v>61</v>
      </c>
      <c r="J4453" s="3" t="s">
        <v>62</v>
      </c>
      <c r="K4453" s="3" t="s">
        <v>63</v>
      </c>
      <c r="M4453" s="2" t="s">
        <v>42733</v>
      </c>
      <c r="N4453" s="3" t="s">
        <v>583</v>
      </c>
      <c r="O4453" s="2" t="s">
        <v>168</v>
      </c>
      <c r="P4453" s="3" t="s">
        <v>65</v>
      </c>
      <c r="Q4453" s="2" t="s">
        <v>42734</v>
      </c>
      <c r="R4453" s="3" t="s">
        <v>66</v>
      </c>
      <c r="S4453" s="4">
        <v>32</v>
      </c>
      <c r="T4453" s="4">
        <v>98</v>
      </c>
      <c r="U4453" s="5" t="s">
        <v>35686</v>
      </c>
      <c r="V4453" s="5" t="s">
        <v>35686</v>
      </c>
      <c r="W4453" s="5" t="s">
        <v>67</v>
      </c>
      <c r="X4453" s="5" t="s">
        <v>67</v>
      </c>
      <c r="Y4453" s="4">
        <v>227</v>
      </c>
      <c r="Z4453" s="4">
        <v>27</v>
      </c>
      <c r="AA4453" s="4">
        <v>36</v>
      </c>
      <c r="AB4453" s="4">
        <v>2</v>
      </c>
      <c r="AC4453" s="4">
        <v>6</v>
      </c>
      <c r="AD4453" s="4">
        <v>79</v>
      </c>
      <c r="AE4453" s="4">
        <v>84</v>
      </c>
      <c r="AF4453" s="4">
        <v>1</v>
      </c>
      <c r="AG4453" s="4">
        <v>4</v>
      </c>
      <c r="AH4453" s="4">
        <v>63</v>
      </c>
      <c r="AI4453" s="4">
        <v>63</v>
      </c>
      <c r="AJ4453" s="4">
        <v>16</v>
      </c>
      <c r="AK4453" s="4">
        <v>19</v>
      </c>
      <c r="AL4453" s="4">
        <v>36</v>
      </c>
      <c r="AM4453" s="4">
        <v>36</v>
      </c>
      <c r="AN4453" s="4">
        <v>0</v>
      </c>
      <c r="AO4453" s="4">
        <v>0</v>
      </c>
      <c r="AP4453" s="4">
        <v>21</v>
      </c>
      <c r="AQ4453" s="4">
        <v>25</v>
      </c>
      <c r="AR4453" s="3" t="s">
        <v>62</v>
      </c>
      <c r="AS4453" s="3" t="s">
        <v>62</v>
      </c>
      <c r="AT4453" s="3" t="s">
        <v>61</v>
      </c>
      <c r="AU4453" s="6" t="str">
        <f>HYPERLINK("http://catalog.hathitrust.org/Record/000717142","HathiTrust Record")</f>
        <v>HathiTrust Record</v>
      </c>
      <c r="AV4453" s="6" t="str">
        <f>HYPERLINK("http://mcgill.on.worldcat.org/oclc/4303985","Catalog Record")</f>
        <v>Catalog Record</v>
      </c>
      <c r="AW4453" s="6" t="str">
        <f>HYPERLINK("http://www.worldcat.org/oclc/4303985","WorldCat Record")</f>
        <v>WorldCat Record</v>
      </c>
      <c r="AX4453" s="3" t="s">
        <v>42735</v>
      </c>
      <c r="AY4453" s="3" t="s">
        <v>42736</v>
      </c>
      <c r="AZ4453" s="3" t="s">
        <v>42737</v>
      </c>
      <c r="BA4453" s="3" t="s">
        <v>42737</v>
      </c>
      <c r="BB4453" s="3" t="s">
        <v>42740</v>
      </c>
      <c r="BC4453" s="3" t="s">
        <v>142</v>
      </c>
      <c r="BD4453" s="3" t="s">
        <v>68</v>
      </c>
      <c r="BF4453" s="3" t="s">
        <v>42740</v>
      </c>
      <c r="BG4453" s="3" t="s">
        <v>42741</v>
      </c>
    </row>
    <row r="4454" spans="1:59" ht="57" x14ac:dyDescent="0.45">
      <c r="A4454" s="2" t="s">
        <v>59</v>
      </c>
      <c r="B4454" s="2" t="s">
        <v>412</v>
      </c>
      <c r="C4454" s="2" t="s">
        <v>42730</v>
      </c>
      <c r="D4454" s="2" t="s">
        <v>42731</v>
      </c>
      <c r="E4454" s="2" t="s">
        <v>42732</v>
      </c>
      <c r="G4454" s="3" t="s">
        <v>62</v>
      </c>
      <c r="I4454" s="3" t="s">
        <v>61</v>
      </c>
      <c r="J4454" s="3" t="s">
        <v>62</v>
      </c>
      <c r="K4454" s="3" t="s">
        <v>63</v>
      </c>
      <c r="M4454" s="2" t="s">
        <v>42733</v>
      </c>
      <c r="N4454" s="3" t="s">
        <v>583</v>
      </c>
      <c r="O4454" s="2" t="s">
        <v>168</v>
      </c>
      <c r="P4454" s="3" t="s">
        <v>65</v>
      </c>
      <c r="Q4454" s="2" t="s">
        <v>42734</v>
      </c>
      <c r="R4454" s="3" t="s">
        <v>66</v>
      </c>
      <c r="S4454" s="4">
        <v>17</v>
      </c>
      <c r="T4454" s="4">
        <v>98</v>
      </c>
      <c r="U4454" s="5" t="s">
        <v>31271</v>
      </c>
      <c r="V4454" s="5" t="s">
        <v>35686</v>
      </c>
      <c r="W4454" s="5" t="s">
        <v>67</v>
      </c>
      <c r="X4454" s="5" t="s">
        <v>67</v>
      </c>
      <c r="Y4454" s="4">
        <v>227</v>
      </c>
      <c r="Z4454" s="4">
        <v>27</v>
      </c>
      <c r="AA4454" s="4">
        <v>36</v>
      </c>
      <c r="AB4454" s="4">
        <v>2</v>
      </c>
      <c r="AC4454" s="4">
        <v>6</v>
      </c>
      <c r="AD4454" s="4">
        <v>79</v>
      </c>
      <c r="AE4454" s="4">
        <v>84</v>
      </c>
      <c r="AF4454" s="4">
        <v>1</v>
      </c>
      <c r="AG4454" s="4">
        <v>4</v>
      </c>
      <c r="AH4454" s="4">
        <v>63</v>
      </c>
      <c r="AI4454" s="4">
        <v>63</v>
      </c>
      <c r="AJ4454" s="4">
        <v>16</v>
      </c>
      <c r="AK4454" s="4">
        <v>19</v>
      </c>
      <c r="AL4454" s="4">
        <v>36</v>
      </c>
      <c r="AM4454" s="4">
        <v>36</v>
      </c>
      <c r="AN4454" s="4">
        <v>0</v>
      </c>
      <c r="AO4454" s="4">
        <v>0</v>
      </c>
      <c r="AP4454" s="4">
        <v>21</v>
      </c>
      <c r="AQ4454" s="4">
        <v>25</v>
      </c>
      <c r="AR4454" s="3" t="s">
        <v>62</v>
      </c>
      <c r="AS4454" s="3" t="s">
        <v>62</v>
      </c>
      <c r="AT4454" s="3" t="s">
        <v>61</v>
      </c>
      <c r="AU4454" s="6" t="str">
        <f>HYPERLINK("http://catalog.hathitrust.org/Record/000717142","HathiTrust Record")</f>
        <v>HathiTrust Record</v>
      </c>
      <c r="AV4454" s="6" t="str">
        <f>HYPERLINK("http://mcgill.on.worldcat.org/oclc/4303985","Catalog Record")</f>
        <v>Catalog Record</v>
      </c>
      <c r="AW4454" s="6" t="str">
        <f>HYPERLINK("http://www.worldcat.org/oclc/4303985","WorldCat Record")</f>
        <v>WorldCat Record</v>
      </c>
      <c r="AX4454" s="3" t="s">
        <v>42735</v>
      </c>
      <c r="AY4454" s="3" t="s">
        <v>42736</v>
      </c>
      <c r="AZ4454" s="3" t="s">
        <v>42737</v>
      </c>
      <c r="BA4454" s="3" t="s">
        <v>42737</v>
      </c>
      <c r="BB4454" s="3" t="s">
        <v>42742</v>
      </c>
      <c r="BC4454" s="3" t="s">
        <v>142</v>
      </c>
      <c r="BD4454" s="3" t="s">
        <v>68</v>
      </c>
      <c r="BF4454" s="3" t="s">
        <v>42742</v>
      </c>
      <c r="BG4454" s="3" t="s">
        <v>42743</v>
      </c>
    </row>
    <row r="4455" spans="1:59" ht="57" x14ac:dyDescent="0.45">
      <c r="A4455" s="2" t="s">
        <v>59</v>
      </c>
      <c r="B4455" s="2" t="s">
        <v>60</v>
      </c>
      <c r="C4455" s="2" t="s">
        <v>42730</v>
      </c>
      <c r="D4455" s="2" t="s">
        <v>42731</v>
      </c>
      <c r="E4455" s="2" t="s">
        <v>42732</v>
      </c>
      <c r="G4455" s="3" t="s">
        <v>62</v>
      </c>
      <c r="I4455" s="3" t="s">
        <v>61</v>
      </c>
      <c r="J4455" s="3" t="s">
        <v>62</v>
      </c>
      <c r="K4455" s="3" t="s">
        <v>63</v>
      </c>
      <c r="M4455" s="2" t="s">
        <v>42733</v>
      </c>
      <c r="N4455" s="3" t="s">
        <v>583</v>
      </c>
      <c r="O4455" s="2" t="s">
        <v>168</v>
      </c>
      <c r="P4455" s="3" t="s">
        <v>65</v>
      </c>
      <c r="Q4455" s="2" t="s">
        <v>42734</v>
      </c>
      <c r="R4455" s="3" t="s">
        <v>66</v>
      </c>
      <c r="S4455" s="4">
        <v>20</v>
      </c>
      <c r="T4455" s="4">
        <v>98</v>
      </c>
      <c r="U4455" s="5" t="s">
        <v>42744</v>
      </c>
      <c r="V4455" s="5" t="s">
        <v>35686</v>
      </c>
      <c r="W4455" s="5" t="s">
        <v>67</v>
      </c>
      <c r="X4455" s="5" t="s">
        <v>67</v>
      </c>
      <c r="Y4455" s="4">
        <v>227</v>
      </c>
      <c r="Z4455" s="4">
        <v>27</v>
      </c>
      <c r="AA4455" s="4">
        <v>36</v>
      </c>
      <c r="AB4455" s="4">
        <v>2</v>
      </c>
      <c r="AC4455" s="4">
        <v>6</v>
      </c>
      <c r="AD4455" s="4">
        <v>79</v>
      </c>
      <c r="AE4455" s="4">
        <v>84</v>
      </c>
      <c r="AF4455" s="4">
        <v>1</v>
      </c>
      <c r="AG4455" s="4">
        <v>4</v>
      </c>
      <c r="AH4455" s="4">
        <v>63</v>
      </c>
      <c r="AI4455" s="4">
        <v>63</v>
      </c>
      <c r="AJ4455" s="4">
        <v>16</v>
      </c>
      <c r="AK4455" s="4">
        <v>19</v>
      </c>
      <c r="AL4455" s="4">
        <v>36</v>
      </c>
      <c r="AM4455" s="4">
        <v>36</v>
      </c>
      <c r="AN4455" s="4">
        <v>0</v>
      </c>
      <c r="AO4455" s="4">
        <v>0</v>
      </c>
      <c r="AP4455" s="4">
        <v>21</v>
      </c>
      <c r="AQ4455" s="4">
        <v>25</v>
      </c>
      <c r="AR4455" s="3" t="s">
        <v>62</v>
      </c>
      <c r="AS4455" s="3" t="s">
        <v>62</v>
      </c>
      <c r="AT4455" s="3" t="s">
        <v>61</v>
      </c>
      <c r="AU4455" s="6" t="str">
        <f>HYPERLINK("http://catalog.hathitrust.org/Record/000717142","HathiTrust Record")</f>
        <v>HathiTrust Record</v>
      </c>
      <c r="AV4455" s="6" t="str">
        <f>HYPERLINK("http://mcgill.on.worldcat.org/oclc/4303985","Catalog Record")</f>
        <v>Catalog Record</v>
      </c>
      <c r="AW4455" s="6" t="str">
        <f>HYPERLINK("http://www.worldcat.org/oclc/4303985","WorldCat Record")</f>
        <v>WorldCat Record</v>
      </c>
      <c r="AX4455" s="3" t="s">
        <v>42735</v>
      </c>
      <c r="AY4455" s="3" t="s">
        <v>42736</v>
      </c>
      <c r="AZ4455" s="3" t="s">
        <v>42737</v>
      </c>
      <c r="BA4455" s="3" t="s">
        <v>42737</v>
      </c>
      <c r="BB4455" s="3" t="s">
        <v>42745</v>
      </c>
      <c r="BC4455" s="3" t="s">
        <v>142</v>
      </c>
      <c r="BD4455" s="3" t="s">
        <v>68</v>
      </c>
      <c r="BF4455" s="3" t="s">
        <v>42745</v>
      </c>
      <c r="BG4455" s="3" t="s">
        <v>42746</v>
      </c>
    </row>
    <row r="4456" spans="1:59" ht="57" x14ac:dyDescent="0.45">
      <c r="A4456" s="2" t="s">
        <v>59</v>
      </c>
      <c r="B4456" s="2" t="s">
        <v>60</v>
      </c>
      <c r="C4456" s="2" t="s">
        <v>42747</v>
      </c>
      <c r="D4456" s="2" t="s">
        <v>42748</v>
      </c>
      <c r="E4456" s="2" t="s">
        <v>42749</v>
      </c>
      <c r="G4456" s="3" t="s">
        <v>62</v>
      </c>
      <c r="I4456" s="3" t="s">
        <v>61</v>
      </c>
      <c r="J4456" s="3" t="s">
        <v>62</v>
      </c>
      <c r="K4456" s="3" t="s">
        <v>63</v>
      </c>
      <c r="L4456" s="2" t="s">
        <v>6821</v>
      </c>
      <c r="M4456" s="2" t="s">
        <v>42750</v>
      </c>
      <c r="N4456" s="3" t="s">
        <v>113</v>
      </c>
      <c r="P4456" s="3" t="s">
        <v>65</v>
      </c>
      <c r="Q4456" s="2" t="s">
        <v>42751</v>
      </c>
      <c r="R4456" s="3" t="s">
        <v>66</v>
      </c>
      <c r="S4456" s="4">
        <v>8</v>
      </c>
      <c r="T4456" s="4">
        <v>62</v>
      </c>
      <c r="U4456" s="5" t="s">
        <v>19223</v>
      </c>
      <c r="V4456" s="5" t="s">
        <v>42752</v>
      </c>
      <c r="W4456" s="5" t="s">
        <v>67</v>
      </c>
      <c r="X4456" s="5" t="s">
        <v>67</v>
      </c>
      <c r="Y4456" s="4">
        <v>139</v>
      </c>
      <c r="Z4456" s="4">
        <v>16</v>
      </c>
      <c r="AA4456" s="4">
        <v>30</v>
      </c>
      <c r="AB4456" s="4">
        <v>1</v>
      </c>
      <c r="AC4456" s="4">
        <v>3</v>
      </c>
      <c r="AD4456" s="4">
        <v>42</v>
      </c>
      <c r="AE4456" s="4">
        <v>67</v>
      </c>
      <c r="AF4456" s="4">
        <v>0</v>
      </c>
      <c r="AG4456" s="4">
        <v>1</v>
      </c>
      <c r="AH4456" s="4">
        <v>33</v>
      </c>
      <c r="AI4456" s="4">
        <v>49</v>
      </c>
      <c r="AJ4456" s="4">
        <v>9</v>
      </c>
      <c r="AK4456" s="4">
        <v>13</v>
      </c>
      <c r="AL4456" s="4">
        <v>21</v>
      </c>
      <c r="AM4456" s="4">
        <v>29</v>
      </c>
      <c r="AN4456" s="4">
        <v>0</v>
      </c>
      <c r="AO4456" s="4">
        <v>0</v>
      </c>
      <c r="AP4456" s="4">
        <v>11</v>
      </c>
      <c r="AQ4456" s="4">
        <v>20</v>
      </c>
      <c r="AR4456" s="3" t="s">
        <v>62</v>
      </c>
      <c r="AS4456" s="3" t="s">
        <v>62</v>
      </c>
      <c r="AT4456" s="3" t="s">
        <v>62</v>
      </c>
      <c r="AV4456" s="6" t="str">
        <f>HYPERLINK("http://mcgill.on.worldcat.org/oclc/457481","Catalog Record")</f>
        <v>Catalog Record</v>
      </c>
      <c r="AW4456" s="6" t="str">
        <f>HYPERLINK("http://www.worldcat.org/oclc/457481","WorldCat Record")</f>
        <v>WorldCat Record</v>
      </c>
      <c r="AX4456" s="3" t="s">
        <v>42753</v>
      </c>
      <c r="AY4456" s="3" t="s">
        <v>42754</v>
      </c>
      <c r="AZ4456" s="3" t="s">
        <v>42755</v>
      </c>
      <c r="BA4456" s="3" t="s">
        <v>42755</v>
      </c>
      <c r="BB4456" s="3" t="s">
        <v>42756</v>
      </c>
      <c r="BC4456" s="3" t="s">
        <v>142</v>
      </c>
      <c r="BD4456" s="3" t="s">
        <v>68</v>
      </c>
      <c r="BF4456" s="3" t="s">
        <v>42756</v>
      </c>
      <c r="BG4456" s="3" t="s">
        <v>42757</v>
      </c>
    </row>
    <row r="4457" spans="1:59" ht="57" x14ac:dyDescent="0.45">
      <c r="A4457" s="2" t="s">
        <v>59</v>
      </c>
      <c r="B4457" s="2" t="s">
        <v>60</v>
      </c>
      <c r="C4457" s="2" t="s">
        <v>42747</v>
      </c>
      <c r="D4457" s="2" t="s">
        <v>42748</v>
      </c>
      <c r="E4457" s="2" t="s">
        <v>42749</v>
      </c>
      <c r="G4457" s="3" t="s">
        <v>62</v>
      </c>
      <c r="I4457" s="3" t="s">
        <v>61</v>
      </c>
      <c r="J4457" s="3" t="s">
        <v>62</v>
      </c>
      <c r="K4457" s="3" t="s">
        <v>63</v>
      </c>
      <c r="L4457" s="2" t="s">
        <v>6821</v>
      </c>
      <c r="M4457" s="2" t="s">
        <v>42750</v>
      </c>
      <c r="N4457" s="3" t="s">
        <v>113</v>
      </c>
      <c r="P4457" s="3" t="s">
        <v>65</v>
      </c>
      <c r="Q4457" s="2" t="s">
        <v>42751</v>
      </c>
      <c r="R4457" s="3" t="s">
        <v>66</v>
      </c>
      <c r="S4457" s="4">
        <v>20</v>
      </c>
      <c r="T4457" s="4">
        <v>62</v>
      </c>
      <c r="U4457" s="5" t="s">
        <v>42758</v>
      </c>
      <c r="V4457" s="5" t="s">
        <v>42752</v>
      </c>
      <c r="W4457" s="5" t="s">
        <v>67</v>
      </c>
      <c r="X4457" s="5" t="s">
        <v>67</v>
      </c>
      <c r="Y4457" s="4">
        <v>139</v>
      </c>
      <c r="Z4457" s="4">
        <v>16</v>
      </c>
      <c r="AA4457" s="4">
        <v>30</v>
      </c>
      <c r="AB4457" s="4">
        <v>1</v>
      </c>
      <c r="AC4457" s="4">
        <v>3</v>
      </c>
      <c r="AD4457" s="4">
        <v>42</v>
      </c>
      <c r="AE4457" s="4">
        <v>67</v>
      </c>
      <c r="AF4457" s="4">
        <v>0</v>
      </c>
      <c r="AG4457" s="4">
        <v>1</v>
      </c>
      <c r="AH4457" s="4">
        <v>33</v>
      </c>
      <c r="AI4457" s="4">
        <v>49</v>
      </c>
      <c r="AJ4457" s="4">
        <v>9</v>
      </c>
      <c r="AK4457" s="4">
        <v>13</v>
      </c>
      <c r="AL4457" s="4">
        <v>21</v>
      </c>
      <c r="AM4457" s="4">
        <v>29</v>
      </c>
      <c r="AN4457" s="4">
        <v>0</v>
      </c>
      <c r="AO4457" s="4">
        <v>0</v>
      </c>
      <c r="AP4457" s="4">
        <v>11</v>
      </c>
      <c r="AQ4457" s="4">
        <v>20</v>
      </c>
      <c r="AR4457" s="3" t="s">
        <v>62</v>
      </c>
      <c r="AS4457" s="3" t="s">
        <v>62</v>
      </c>
      <c r="AT4457" s="3" t="s">
        <v>62</v>
      </c>
      <c r="AV4457" s="6" t="str">
        <f>HYPERLINK("http://mcgill.on.worldcat.org/oclc/457481","Catalog Record")</f>
        <v>Catalog Record</v>
      </c>
      <c r="AW4457" s="6" t="str">
        <f>HYPERLINK("http://www.worldcat.org/oclc/457481","WorldCat Record")</f>
        <v>WorldCat Record</v>
      </c>
      <c r="AX4457" s="3" t="s">
        <v>42753</v>
      </c>
      <c r="AY4457" s="3" t="s">
        <v>42754</v>
      </c>
      <c r="AZ4457" s="3" t="s">
        <v>42755</v>
      </c>
      <c r="BA4457" s="3" t="s">
        <v>42755</v>
      </c>
      <c r="BB4457" s="3" t="s">
        <v>42759</v>
      </c>
      <c r="BC4457" s="3" t="s">
        <v>142</v>
      </c>
      <c r="BD4457" s="3" t="s">
        <v>68</v>
      </c>
      <c r="BF4457" s="3" t="s">
        <v>42759</v>
      </c>
      <c r="BG4457" s="3" t="s">
        <v>42760</v>
      </c>
    </row>
    <row r="4458" spans="1:59" ht="57" x14ac:dyDescent="0.45">
      <c r="A4458" s="2" t="s">
        <v>59</v>
      </c>
      <c r="B4458" s="2" t="s">
        <v>60</v>
      </c>
      <c r="C4458" s="2" t="s">
        <v>42747</v>
      </c>
      <c r="D4458" s="2" t="s">
        <v>42748</v>
      </c>
      <c r="E4458" s="2" t="s">
        <v>42749</v>
      </c>
      <c r="G4458" s="3" t="s">
        <v>62</v>
      </c>
      <c r="I4458" s="3" t="s">
        <v>61</v>
      </c>
      <c r="J4458" s="3" t="s">
        <v>62</v>
      </c>
      <c r="K4458" s="3" t="s">
        <v>63</v>
      </c>
      <c r="L4458" s="2" t="s">
        <v>6821</v>
      </c>
      <c r="M4458" s="2" t="s">
        <v>42750</v>
      </c>
      <c r="N4458" s="3" t="s">
        <v>113</v>
      </c>
      <c r="P4458" s="3" t="s">
        <v>65</v>
      </c>
      <c r="Q4458" s="2" t="s">
        <v>42751</v>
      </c>
      <c r="R4458" s="3" t="s">
        <v>66</v>
      </c>
      <c r="S4458" s="4">
        <v>34</v>
      </c>
      <c r="T4458" s="4">
        <v>62</v>
      </c>
      <c r="U4458" s="5" t="s">
        <v>42752</v>
      </c>
      <c r="V4458" s="5" t="s">
        <v>42752</v>
      </c>
      <c r="W4458" s="5" t="s">
        <v>67</v>
      </c>
      <c r="X4458" s="5" t="s">
        <v>67</v>
      </c>
      <c r="Y4458" s="4">
        <v>139</v>
      </c>
      <c r="Z4458" s="4">
        <v>16</v>
      </c>
      <c r="AA4458" s="4">
        <v>30</v>
      </c>
      <c r="AB4458" s="4">
        <v>1</v>
      </c>
      <c r="AC4458" s="4">
        <v>3</v>
      </c>
      <c r="AD4458" s="4">
        <v>42</v>
      </c>
      <c r="AE4458" s="4">
        <v>67</v>
      </c>
      <c r="AF4458" s="4">
        <v>0</v>
      </c>
      <c r="AG4458" s="4">
        <v>1</v>
      </c>
      <c r="AH4458" s="4">
        <v>33</v>
      </c>
      <c r="AI4458" s="4">
        <v>49</v>
      </c>
      <c r="AJ4458" s="4">
        <v>9</v>
      </c>
      <c r="AK4458" s="4">
        <v>13</v>
      </c>
      <c r="AL4458" s="4">
        <v>21</v>
      </c>
      <c r="AM4458" s="4">
        <v>29</v>
      </c>
      <c r="AN4458" s="4">
        <v>0</v>
      </c>
      <c r="AO4458" s="4">
        <v>0</v>
      </c>
      <c r="AP4458" s="4">
        <v>11</v>
      </c>
      <c r="AQ4458" s="4">
        <v>20</v>
      </c>
      <c r="AR4458" s="3" t="s">
        <v>62</v>
      </c>
      <c r="AS4458" s="3" t="s">
        <v>62</v>
      </c>
      <c r="AT4458" s="3" t="s">
        <v>62</v>
      </c>
      <c r="AV4458" s="6" t="str">
        <f>HYPERLINK("http://mcgill.on.worldcat.org/oclc/457481","Catalog Record")</f>
        <v>Catalog Record</v>
      </c>
      <c r="AW4458" s="6" t="str">
        <f>HYPERLINK("http://www.worldcat.org/oclc/457481","WorldCat Record")</f>
        <v>WorldCat Record</v>
      </c>
      <c r="AX4458" s="3" t="s">
        <v>42753</v>
      </c>
      <c r="AY4458" s="3" t="s">
        <v>42754</v>
      </c>
      <c r="AZ4458" s="3" t="s">
        <v>42755</v>
      </c>
      <c r="BA4458" s="3" t="s">
        <v>42755</v>
      </c>
      <c r="BB4458" s="3" t="s">
        <v>42761</v>
      </c>
      <c r="BC4458" s="3" t="s">
        <v>142</v>
      </c>
      <c r="BD4458" s="3" t="s">
        <v>68</v>
      </c>
      <c r="BF4458" s="3" t="s">
        <v>42761</v>
      </c>
      <c r="BG4458" s="3" t="s">
        <v>42762</v>
      </c>
    </row>
    <row r="4459" spans="1:59" ht="57" x14ac:dyDescent="0.45">
      <c r="A4459" s="2" t="s">
        <v>59</v>
      </c>
      <c r="B4459" s="2" t="s">
        <v>60</v>
      </c>
      <c r="C4459" s="2" t="s">
        <v>42763</v>
      </c>
      <c r="D4459" s="2" t="s">
        <v>42764</v>
      </c>
      <c r="E4459" s="2" t="s">
        <v>42765</v>
      </c>
      <c r="G4459" s="3" t="s">
        <v>62</v>
      </c>
      <c r="I4459" s="3" t="s">
        <v>62</v>
      </c>
      <c r="J4459" s="3" t="s">
        <v>62</v>
      </c>
      <c r="K4459" s="3" t="s">
        <v>63</v>
      </c>
      <c r="L4459" s="2" t="s">
        <v>42766</v>
      </c>
      <c r="M4459" s="2" t="s">
        <v>42767</v>
      </c>
      <c r="N4459" s="3" t="s">
        <v>1155</v>
      </c>
      <c r="P4459" s="3" t="s">
        <v>65</v>
      </c>
      <c r="R4459" s="3" t="s">
        <v>66</v>
      </c>
      <c r="S4459" s="4">
        <v>0</v>
      </c>
      <c r="T4459" s="4">
        <v>0</v>
      </c>
      <c r="W4459" s="5" t="s">
        <v>67</v>
      </c>
      <c r="X4459" s="5" t="s">
        <v>67</v>
      </c>
      <c r="Y4459" s="4">
        <v>67</v>
      </c>
      <c r="Z4459" s="4">
        <v>9</v>
      </c>
      <c r="AA4459" s="4">
        <v>21</v>
      </c>
      <c r="AB4459" s="4">
        <v>1</v>
      </c>
      <c r="AC4459" s="4">
        <v>4</v>
      </c>
      <c r="AD4459" s="4">
        <v>30</v>
      </c>
      <c r="AE4459" s="4">
        <v>50</v>
      </c>
      <c r="AF4459" s="4">
        <v>0</v>
      </c>
      <c r="AG4459" s="4">
        <v>2</v>
      </c>
      <c r="AH4459" s="4">
        <v>26</v>
      </c>
      <c r="AI4459" s="4">
        <v>40</v>
      </c>
      <c r="AJ4459" s="4">
        <v>5</v>
      </c>
      <c r="AK4459" s="4">
        <v>15</v>
      </c>
      <c r="AL4459" s="4">
        <v>15</v>
      </c>
      <c r="AM4459" s="4">
        <v>24</v>
      </c>
      <c r="AN4459" s="4">
        <v>0</v>
      </c>
      <c r="AO4459" s="4">
        <v>0</v>
      </c>
      <c r="AP4459" s="4">
        <v>7</v>
      </c>
      <c r="AQ4459" s="4">
        <v>16</v>
      </c>
      <c r="AR4459" s="3" t="s">
        <v>62</v>
      </c>
      <c r="AS4459" s="3" t="s">
        <v>62</v>
      </c>
      <c r="AT4459" s="3" t="s">
        <v>62</v>
      </c>
      <c r="AV4459" s="6" t="str">
        <f>HYPERLINK("http://mcgill.on.worldcat.org/oclc/302099959","Catalog Record")</f>
        <v>Catalog Record</v>
      </c>
      <c r="AW4459" s="6" t="str">
        <f>HYPERLINK("http://www.worldcat.org/oclc/302099959","WorldCat Record")</f>
        <v>WorldCat Record</v>
      </c>
      <c r="AX4459" s="3" t="s">
        <v>42768</v>
      </c>
      <c r="AY4459" s="3" t="s">
        <v>42769</v>
      </c>
      <c r="AZ4459" s="3" t="s">
        <v>42770</v>
      </c>
      <c r="BA4459" s="3" t="s">
        <v>42770</v>
      </c>
      <c r="BB4459" s="3" t="s">
        <v>42771</v>
      </c>
      <c r="BC4459" s="3" t="s">
        <v>142</v>
      </c>
      <c r="BD4459" s="3" t="s">
        <v>68</v>
      </c>
      <c r="BE4459" s="3" t="s">
        <v>42772</v>
      </c>
      <c r="BF4459" s="3" t="s">
        <v>42771</v>
      </c>
      <c r="BG4459" s="3" t="s">
        <v>42773</v>
      </c>
    </row>
    <row r="4460" spans="1:59" ht="57" x14ac:dyDescent="0.45">
      <c r="A4460" s="2" t="s">
        <v>59</v>
      </c>
      <c r="B4460" s="2" t="s">
        <v>60</v>
      </c>
      <c r="C4460" s="2" t="s">
        <v>42774</v>
      </c>
      <c r="D4460" s="2" t="s">
        <v>42775</v>
      </c>
      <c r="E4460" s="2" t="s">
        <v>2716</v>
      </c>
      <c r="G4460" s="3" t="s">
        <v>62</v>
      </c>
      <c r="I4460" s="3" t="s">
        <v>61</v>
      </c>
      <c r="J4460" s="3" t="s">
        <v>61</v>
      </c>
      <c r="K4460" s="3" t="s">
        <v>63</v>
      </c>
      <c r="L4460" s="2" t="s">
        <v>651</v>
      </c>
      <c r="M4460" s="2" t="s">
        <v>42776</v>
      </c>
      <c r="N4460" s="3" t="s">
        <v>419</v>
      </c>
      <c r="O4460" s="2" t="s">
        <v>13366</v>
      </c>
      <c r="P4460" s="3" t="s">
        <v>65</v>
      </c>
      <c r="Q4460" s="2" t="s">
        <v>121</v>
      </c>
      <c r="R4460" s="3" t="s">
        <v>66</v>
      </c>
      <c r="S4460" s="4">
        <v>53</v>
      </c>
      <c r="T4460" s="4">
        <v>167</v>
      </c>
      <c r="U4460" s="5" t="s">
        <v>42777</v>
      </c>
      <c r="V4460" s="5" t="s">
        <v>28090</v>
      </c>
      <c r="W4460" s="5" t="s">
        <v>67</v>
      </c>
      <c r="X4460" s="5" t="s">
        <v>67</v>
      </c>
      <c r="Y4460" s="4">
        <v>1137</v>
      </c>
      <c r="Z4460" s="4">
        <v>56</v>
      </c>
      <c r="AA4460" s="4">
        <v>109</v>
      </c>
      <c r="AB4460" s="4">
        <v>3</v>
      </c>
      <c r="AC4460" s="4">
        <v>14</v>
      </c>
      <c r="AD4460" s="4">
        <v>139</v>
      </c>
      <c r="AE4460" s="4">
        <v>163</v>
      </c>
      <c r="AF4460" s="4">
        <v>2</v>
      </c>
      <c r="AG4460" s="4">
        <v>8</v>
      </c>
      <c r="AH4460" s="4">
        <v>111</v>
      </c>
      <c r="AI4460" s="4">
        <v>116</v>
      </c>
      <c r="AJ4460" s="4">
        <v>22</v>
      </c>
      <c r="AK4460" s="4">
        <v>27</v>
      </c>
      <c r="AL4460" s="4">
        <v>60</v>
      </c>
      <c r="AM4460" s="4">
        <v>61</v>
      </c>
      <c r="AN4460" s="4">
        <v>0</v>
      </c>
      <c r="AO4460" s="4">
        <v>0</v>
      </c>
      <c r="AP4460" s="4">
        <v>37</v>
      </c>
      <c r="AQ4460" s="4">
        <v>56</v>
      </c>
      <c r="AR4460" s="3" t="s">
        <v>62</v>
      </c>
      <c r="AS4460" s="3" t="s">
        <v>62</v>
      </c>
      <c r="AT4460" s="3" t="s">
        <v>61</v>
      </c>
      <c r="AU4460" s="6" t="str">
        <f>HYPERLINK("http://catalog.hathitrust.org/Record/001180996","HathiTrust Record")</f>
        <v>HathiTrust Record</v>
      </c>
      <c r="AV4460" s="6" t="str">
        <f>HYPERLINK("http://mcgill.on.worldcat.org/oclc/711934","Catalog Record")</f>
        <v>Catalog Record</v>
      </c>
      <c r="AW4460" s="6" t="str">
        <f>HYPERLINK("http://www.worldcat.org/oclc/711934","WorldCat Record")</f>
        <v>WorldCat Record</v>
      </c>
      <c r="AX4460" s="3" t="s">
        <v>2719</v>
      </c>
      <c r="AY4460" s="3" t="s">
        <v>42778</v>
      </c>
      <c r="AZ4460" s="3" t="s">
        <v>42779</v>
      </c>
      <c r="BA4460" s="3" t="s">
        <v>42779</v>
      </c>
      <c r="BB4460" s="3" t="s">
        <v>42780</v>
      </c>
      <c r="BC4460" s="3" t="s">
        <v>142</v>
      </c>
      <c r="BD4460" s="3" t="s">
        <v>68</v>
      </c>
      <c r="BF4460" s="3" t="s">
        <v>42780</v>
      </c>
      <c r="BG4460" s="3" t="s">
        <v>42781</v>
      </c>
    </row>
    <row r="4461" spans="1:59" ht="57" x14ac:dyDescent="0.45">
      <c r="A4461" s="2" t="s">
        <v>59</v>
      </c>
      <c r="B4461" s="2" t="s">
        <v>60</v>
      </c>
      <c r="C4461" s="2" t="s">
        <v>42774</v>
      </c>
      <c r="D4461" s="2" t="s">
        <v>42775</v>
      </c>
      <c r="E4461" s="2" t="s">
        <v>2716</v>
      </c>
      <c r="G4461" s="3" t="s">
        <v>62</v>
      </c>
      <c r="I4461" s="3" t="s">
        <v>61</v>
      </c>
      <c r="J4461" s="3" t="s">
        <v>61</v>
      </c>
      <c r="K4461" s="3" t="s">
        <v>63</v>
      </c>
      <c r="L4461" s="2" t="s">
        <v>651</v>
      </c>
      <c r="M4461" s="2" t="s">
        <v>42776</v>
      </c>
      <c r="N4461" s="3" t="s">
        <v>419</v>
      </c>
      <c r="O4461" s="2" t="s">
        <v>13366</v>
      </c>
      <c r="P4461" s="3" t="s">
        <v>65</v>
      </c>
      <c r="Q4461" s="2" t="s">
        <v>121</v>
      </c>
      <c r="R4461" s="3" t="s">
        <v>66</v>
      </c>
      <c r="S4461" s="4">
        <v>55</v>
      </c>
      <c r="T4461" s="4">
        <v>167</v>
      </c>
      <c r="U4461" s="5" t="s">
        <v>42782</v>
      </c>
      <c r="V4461" s="5" t="s">
        <v>28090</v>
      </c>
      <c r="W4461" s="5" t="s">
        <v>67</v>
      </c>
      <c r="X4461" s="5" t="s">
        <v>67</v>
      </c>
      <c r="Y4461" s="4">
        <v>1137</v>
      </c>
      <c r="Z4461" s="4">
        <v>56</v>
      </c>
      <c r="AA4461" s="4">
        <v>109</v>
      </c>
      <c r="AB4461" s="4">
        <v>3</v>
      </c>
      <c r="AC4461" s="4">
        <v>14</v>
      </c>
      <c r="AD4461" s="4">
        <v>139</v>
      </c>
      <c r="AE4461" s="4">
        <v>163</v>
      </c>
      <c r="AF4461" s="4">
        <v>2</v>
      </c>
      <c r="AG4461" s="4">
        <v>8</v>
      </c>
      <c r="AH4461" s="4">
        <v>111</v>
      </c>
      <c r="AI4461" s="4">
        <v>116</v>
      </c>
      <c r="AJ4461" s="4">
        <v>22</v>
      </c>
      <c r="AK4461" s="4">
        <v>27</v>
      </c>
      <c r="AL4461" s="4">
        <v>60</v>
      </c>
      <c r="AM4461" s="4">
        <v>61</v>
      </c>
      <c r="AN4461" s="4">
        <v>0</v>
      </c>
      <c r="AO4461" s="4">
        <v>0</v>
      </c>
      <c r="AP4461" s="4">
        <v>37</v>
      </c>
      <c r="AQ4461" s="4">
        <v>56</v>
      </c>
      <c r="AR4461" s="3" t="s">
        <v>62</v>
      </c>
      <c r="AS4461" s="3" t="s">
        <v>62</v>
      </c>
      <c r="AT4461" s="3" t="s">
        <v>61</v>
      </c>
      <c r="AU4461" s="6" t="str">
        <f>HYPERLINK("http://catalog.hathitrust.org/Record/001180996","HathiTrust Record")</f>
        <v>HathiTrust Record</v>
      </c>
      <c r="AV4461" s="6" t="str">
        <f>HYPERLINK("http://mcgill.on.worldcat.org/oclc/711934","Catalog Record")</f>
        <v>Catalog Record</v>
      </c>
      <c r="AW4461" s="6" t="str">
        <f>HYPERLINK("http://www.worldcat.org/oclc/711934","WorldCat Record")</f>
        <v>WorldCat Record</v>
      </c>
      <c r="AX4461" s="3" t="s">
        <v>2719</v>
      </c>
      <c r="AY4461" s="3" t="s">
        <v>42778</v>
      </c>
      <c r="AZ4461" s="3" t="s">
        <v>42779</v>
      </c>
      <c r="BA4461" s="3" t="s">
        <v>42779</v>
      </c>
      <c r="BB4461" s="3" t="s">
        <v>42783</v>
      </c>
      <c r="BC4461" s="3" t="s">
        <v>142</v>
      </c>
      <c r="BD4461" s="3" t="s">
        <v>68</v>
      </c>
      <c r="BF4461" s="3" t="s">
        <v>42783</v>
      </c>
      <c r="BG4461" s="3" t="s">
        <v>42784</v>
      </c>
    </row>
    <row r="4462" spans="1:59" ht="57" x14ac:dyDescent="0.45">
      <c r="A4462" s="2" t="s">
        <v>59</v>
      </c>
      <c r="B4462" s="2" t="s">
        <v>60</v>
      </c>
      <c r="C4462" s="2" t="s">
        <v>42774</v>
      </c>
      <c r="D4462" s="2" t="s">
        <v>42775</v>
      </c>
      <c r="E4462" s="2" t="s">
        <v>2716</v>
      </c>
      <c r="G4462" s="3" t="s">
        <v>62</v>
      </c>
      <c r="I4462" s="3" t="s">
        <v>61</v>
      </c>
      <c r="J4462" s="3" t="s">
        <v>61</v>
      </c>
      <c r="K4462" s="3" t="s">
        <v>63</v>
      </c>
      <c r="L4462" s="2" t="s">
        <v>651</v>
      </c>
      <c r="M4462" s="2" t="s">
        <v>42776</v>
      </c>
      <c r="N4462" s="3" t="s">
        <v>419</v>
      </c>
      <c r="O4462" s="2" t="s">
        <v>13366</v>
      </c>
      <c r="P4462" s="3" t="s">
        <v>65</v>
      </c>
      <c r="Q4462" s="2" t="s">
        <v>121</v>
      </c>
      <c r="R4462" s="3" t="s">
        <v>66</v>
      </c>
      <c r="S4462" s="4">
        <v>59</v>
      </c>
      <c r="T4462" s="4">
        <v>167</v>
      </c>
      <c r="U4462" s="5" t="s">
        <v>28090</v>
      </c>
      <c r="V4462" s="5" t="s">
        <v>28090</v>
      </c>
      <c r="W4462" s="5" t="s">
        <v>67</v>
      </c>
      <c r="X4462" s="5" t="s">
        <v>67</v>
      </c>
      <c r="Y4462" s="4">
        <v>1137</v>
      </c>
      <c r="Z4462" s="4">
        <v>56</v>
      </c>
      <c r="AA4462" s="4">
        <v>109</v>
      </c>
      <c r="AB4462" s="4">
        <v>3</v>
      </c>
      <c r="AC4462" s="4">
        <v>14</v>
      </c>
      <c r="AD4462" s="4">
        <v>139</v>
      </c>
      <c r="AE4462" s="4">
        <v>163</v>
      </c>
      <c r="AF4462" s="4">
        <v>2</v>
      </c>
      <c r="AG4462" s="4">
        <v>8</v>
      </c>
      <c r="AH4462" s="4">
        <v>111</v>
      </c>
      <c r="AI4462" s="4">
        <v>116</v>
      </c>
      <c r="AJ4462" s="4">
        <v>22</v>
      </c>
      <c r="AK4462" s="4">
        <v>27</v>
      </c>
      <c r="AL4462" s="4">
        <v>60</v>
      </c>
      <c r="AM4462" s="4">
        <v>61</v>
      </c>
      <c r="AN4462" s="4">
        <v>0</v>
      </c>
      <c r="AO4462" s="4">
        <v>0</v>
      </c>
      <c r="AP4462" s="4">
        <v>37</v>
      </c>
      <c r="AQ4462" s="4">
        <v>56</v>
      </c>
      <c r="AR4462" s="3" t="s">
        <v>62</v>
      </c>
      <c r="AS4462" s="3" t="s">
        <v>62</v>
      </c>
      <c r="AT4462" s="3" t="s">
        <v>61</v>
      </c>
      <c r="AU4462" s="6" t="str">
        <f>HYPERLINK("http://catalog.hathitrust.org/Record/001180996","HathiTrust Record")</f>
        <v>HathiTrust Record</v>
      </c>
      <c r="AV4462" s="6" t="str">
        <f>HYPERLINK("http://mcgill.on.worldcat.org/oclc/711934","Catalog Record")</f>
        <v>Catalog Record</v>
      </c>
      <c r="AW4462" s="6" t="str">
        <f>HYPERLINK("http://www.worldcat.org/oclc/711934","WorldCat Record")</f>
        <v>WorldCat Record</v>
      </c>
      <c r="AX4462" s="3" t="s">
        <v>2719</v>
      </c>
      <c r="AY4462" s="3" t="s">
        <v>42778</v>
      </c>
      <c r="AZ4462" s="3" t="s">
        <v>42779</v>
      </c>
      <c r="BA4462" s="3" t="s">
        <v>42779</v>
      </c>
      <c r="BB4462" s="3" t="s">
        <v>42785</v>
      </c>
      <c r="BC4462" s="3" t="s">
        <v>142</v>
      </c>
      <c r="BD4462" s="3" t="s">
        <v>68</v>
      </c>
      <c r="BF4462" s="3" t="s">
        <v>42785</v>
      </c>
      <c r="BG4462" s="3" t="s">
        <v>42786</v>
      </c>
    </row>
    <row r="4463" spans="1:59" ht="71.25" x14ac:dyDescent="0.45">
      <c r="A4463" s="2" t="s">
        <v>59</v>
      </c>
      <c r="B4463" s="2" t="s">
        <v>60</v>
      </c>
      <c r="C4463" s="2" t="s">
        <v>42787</v>
      </c>
      <c r="D4463" s="2" t="s">
        <v>42788</v>
      </c>
      <c r="E4463" s="2" t="s">
        <v>42789</v>
      </c>
      <c r="G4463" s="3" t="s">
        <v>62</v>
      </c>
      <c r="I4463" s="3" t="s">
        <v>62</v>
      </c>
      <c r="J4463" s="3" t="s">
        <v>61</v>
      </c>
      <c r="K4463" s="3" t="s">
        <v>63</v>
      </c>
      <c r="L4463" s="2" t="s">
        <v>42790</v>
      </c>
      <c r="M4463" s="2" t="s">
        <v>42791</v>
      </c>
      <c r="N4463" s="3" t="s">
        <v>117</v>
      </c>
      <c r="O4463" s="2" t="s">
        <v>42792</v>
      </c>
      <c r="P4463" s="3" t="s">
        <v>110</v>
      </c>
      <c r="Q4463" s="2" t="s">
        <v>42793</v>
      </c>
      <c r="R4463" s="3" t="s">
        <v>66</v>
      </c>
      <c r="S4463" s="4">
        <v>2</v>
      </c>
      <c r="T4463" s="4">
        <v>2</v>
      </c>
      <c r="U4463" s="5" t="s">
        <v>14837</v>
      </c>
      <c r="V4463" s="5" t="s">
        <v>14837</v>
      </c>
      <c r="W4463" s="5" t="s">
        <v>67</v>
      </c>
      <c r="X4463" s="5" t="s">
        <v>67</v>
      </c>
      <c r="Y4463" s="4">
        <v>39</v>
      </c>
      <c r="Z4463" s="4">
        <v>6</v>
      </c>
      <c r="AA4463" s="4">
        <v>25</v>
      </c>
      <c r="AB4463" s="4">
        <v>2</v>
      </c>
      <c r="AC4463" s="4">
        <v>7</v>
      </c>
      <c r="AD4463" s="4">
        <v>18</v>
      </c>
      <c r="AE4463" s="4">
        <v>75</v>
      </c>
      <c r="AF4463" s="4">
        <v>1</v>
      </c>
      <c r="AG4463" s="4">
        <v>4</v>
      </c>
      <c r="AH4463" s="4">
        <v>15</v>
      </c>
      <c r="AI4463" s="4">
        <v>60</v>
      </c>
      <c r="AJ4463" s="4">
        <v>4</v>
      </c>
      <c r="AK4463" s="4">
        <v>18</v>
      </c>
      <c r="AL4463" s="4">
        <v>9</v>
      </c>
      <c r="AM4463" s="4">
        <v>37</v>
      </c>
      <c r="AN4463" s="4">
        <v>0</v>
      </c>
      <c r="AO4463" s="4">
        <v>0</v>
      </c>
      <c r="AP4463" s="4">
        <v>5</v>
      </c>
      <c r="AQ4463" s="4">
        <v>20</v>
      </c>
      <c r="AR4463" s="3" t="s">
        <v>62</v>
      </c>
      <c r="AS4463" s="3" t="s">
        <v>62</v>
      </c>
      <c r="AT4463" s="3" t="s">
        <v>61</v>
      </c>
      <c r="AU4463" s="6" t="str">
        <f>HYPERLINK("http://catalog.hathitrust.org/Record/000397931","HathiTrust Record")</f>
        <v>HathiTrust Record</v>
      </c>
      <c r="AV4463" s="6" t="str">
        <f>HYPERLINK("http://mcgill.on.worldcat.org/oclc/12160823","Catalog Record")</f>
        <v>Catalog Record</v>
      </c>
      <c r="AW4463" s="6" t="str">
        <f>HYPERLINK("http://www.worldcat.org/oclc/12160823","WorldCat Record")</f>
        <v>WorldCat Record</v>
      </c>
      <c r="AX4463" s="3" t="s">
        <v>42794</v>
      </c>
      <c r="AY4463" s="3" t="s">
        <v>42795</v>
      </c>
      <c r="AZ4463" s="3" t="s">
        <v>42796</v>
      </c>
      <c r="BA4463" s="3" t="s">
        <v>42796</v>
      </c>
      <c r="BB4463" s="3" t="s">
        <v>42797</v>
      </c>
      <c r="BC4463" s="3" t="s">
        <v>142</v>
      </c>
      <c r="BD4463" s="3" t="s">
        <v>68</v>
      </c>
      <c r="BF4463" s="3" t="s">
        <v>42797</v>
      </c>
      <c r="BG4463" s="3" t="s">
        <v>42798</v>
      </c>
    </row>
    <row r="4464" spans="1:59" ht="57" x14ac:dyDescent="0.45">
      <c r="A4464" s="2" t="s">
        <v>59</v>
      </c>
      <c r="B4464" s="2" t="s">
        <v>60</v>
      </c>
      <c r="C4464" s="2" t="s">
        <v>42799</v>
      </c>
      <c r="D4464" s="2" t="s">
        <v>42800</v>
      </c>
      <c r="E4464" s="2" t="s">
        <v>42801</v>
      </c>
      <c r="G4464" s="3" t="s">
        <v>62</v>
      </c>
      <c r="I4464" s="3" t="s">
        <v>62</v>
      </c>
      <c r="J4464" s="3" t="s">
        <v>62</v>
      </c>
      <c r="K4464" s="3" t="s">
        <v>63</v>
      </c>
      <c r="L4464" s="2" t="s">
        <v>42802</v>
      </c>
      <c r="M4464" s="2" t="s">
        <v>42803</v>
      </c>
      <c r="N4464" s="3" t="s">
        <v>1224</v>
      </c>
      <c r="P4464" s="3" t="s">
        <v>182</v>
      </c>
      <c r="Q4464" s="2" t="s">
        <v>42804</v>
      </c>
      <c r="R4464" s="3" t="s">
        <v>66</v>
      </c>
      <c r="S4464" s="4">
        <v>4</v>
      </c>
      <c r="T4464" s="4">
        <v>4</v>
      </c>
      <c r="U4464" s="5" t="s">
        <v>13321</v>
      </c>
      <c r="V4464" s="5" t="s">
        <v>13321</v>
      </c>
      <c r="W4464" s="5" t="s">
        <v>67</v>
      </c>
      <c r="X4464" s="5" t="s">
        <v>67</v>
      </c>
      <c r="Y4464" s="4">
        <v>36</v>
      </c>
      <c r="Z4464" s="4">
        <v>2</v>
      </c>
      <c r="AA4464" s="4">
        <v>2</v>
      </c>
      <c r="AB4464" s="4">
        <v>1</v>
      </c>
      <c r="AC4464" s="4">
        <v>1</v>
      </c>
      <c r="AD4464" s="4">
        <v>16</v>
      </c>
      <c r="AE4464" s="4">
        <v>16</v>
      </c>
      <c r="AF4464" s="4">
        <v>0</v>
      </c>
      <c r="AG4464" s="4">
        <v>0</v>
      </c>
      <c r="AH4464" s="4">
        <v>15</v>
      </c>
      <c r="AI4464" s="4">
        <v>15</v>
      </c>
      <c r="AJ4464" s="4">
        <v>1</v>
      </c>
      <c r="AK4464" s="4">
        <v>1</v>
      </c>
      <c r="AL4464" s="4">
        <v>13</v>
      </c>
      <c r="AM4464" s="4">
        <v>13</v>
      </c>
      <c r="AN4464" s="4">
        <v>0</v>
      </c>
      <c r="AO4464" s="4">
        <v>0</v>
      </c>
      <c r="AP4464" s="4">
        <v>1</v>
      </c>
      <c r="AQ4464" s="4">
        <v>1</v>
      </c>
      <c r="AR4464" s="3" t="s">
        <v>62</v>
      </c>
      <c r="AS4464" s="3" t="s">
        <v>62</v>
      </c>
      <c r="AT4464" s="3" t="s">
        <v>61</v>
      </c>
      <c r="AU4464" s="6" t="str">
        <f>HYPERLINK("http://catalog.hathitrust.org/Record/000715350","HathiTrust Record")</f>
        <v>HathiTrust Record</v>
      </c>
      <c r="AV4464" s="6" t="str">
        <f>HYPERLINK("http://mcgill.on.worldcat.org/oclc/1970896","Catalog Record")</f>
        <v>Catalog Record</v>
      </c>
      <c r="AW4464" s="6" t="str">
        <f>HYPERLINK("http://www.worldcat.org/oclc/1970896","WorldCat Record")</f>
        <v>WorldCat Record</v>
      </c>
      <c r="AX4464" s="3" t="s">
        <v>42805</v>
      </c>
      <c r="AY4464" s="3" t="s">
        <v>42806</v>
      </c>
      <c r="AZ4464" s="3" t="s">
        <v>42807</v>
      </c>
      <c r="BA4464" s="3" t="s">
        <v>42807</v>
      </c>
      <c r="BB4464" s="3" t="s">
        <v>42808</v>
      </c>
      <c r="BC4464" s="3" t="s">
        <v>142</v>
      </c>
      <c r="BD4464" s="3" t="s">
        <v>68</v>
      </c>
      <c r="BF4464" s="3" t="s">
        <v>42808</v>
      </c>
      <c r="BG4464" s="3" t="s">
        <v>42809</v>
      </c>
    </row>
    <row r="4465" spans="1:59" ht="57" x14ac:dyDescent="0.45">
      <c r="A4465" s="2" t="s">
        <v>59</v>
      </c>
      <c r="B4465" s="2" t="s">
        <v>60</v>
      </c>
      <c r="C4465" s="2" t="s">
        <v>42810</v>
      </c>
      <c r="D4465" s="2" t="s">
        <v>42811</v>
      </c>
      <c r="E4465" s="2" t="s">
        <v>42812</v>
      </c>
      <c r="G4465" s="3" t="s">
        <v>62</v>
      </c>
      <c r="I4465" s="3" t="s">
        <v>61</v>
      </c>
      <c r="J4465" s="3" t="s">
        <v>62</v>
      </c>
      <c r="K4465" s="3" t="s">
        <v>63</v>
      </c>
      <c r="L4465" s="2" t="s">
        <v>42813</v>
      </c>
      <c r="M4465" s="2" t="s">
        <v>42814</v>
      </c>
      <c r="N4465" s="3" t="s">
        <v>113</v>
      </c>
      <c r="P4465" s="3" t="s">
        <v>65</v>
      </c>
      <c r="Q4465" s="2" t="s">
        <v>42815</v>
      </c>
      <c r="R4465" s="3" t="s">
        <v>66</v>
      </c>
      <c r="S4465" s="4">
        <v>3</v>
      </c>
      <c r="T4465" s="4">
        <v>5</v>
      </c>
      <c r="U4465" s="5" t="s">
        <v>28051</v>
      </c>
      <c r="V4465" s="5" t="s">
        <v>1663</v>
      </c>
      <c r="W4465" s="5" t="s">
        <v>67</v>
      </c>
      <c r="X4465" s="5" t="s">
        <v>67</v>
      </c>
      <c r="Y4465" s="4">
        <v>583</v>
      </c>
      <c r="Z4465" s="4">
        <v>30</v>
      </c>
      <c r="AA4465" s="4">
        <v>37</v>
      </c>
      <c r="AB4465" s="4">
        <v>2</v>
      </c>
      <c r="AC4465" s="4">
        <v>6</v>
      </c>
      <c r="AD4465" s="4">
        <v>114</v>
      </c>
      <c r="AE4465" s="4">
        <v>122</v>
      </c>
      <c r="AF4465" s="4">
        <v>1</v>
      </c>
      <c r="AG4465" s="4">
        <v>4</v>
      </c>
      <c r="AH4465" s="4">
        <v>95</v>
      </c>
      <c r="AI4465" s="4">
        <v>98</v>
      </c>
      <c r="AJ4465" s="4">
        <v>20</v>
      </c>
      <c r="AK4465" s="4">
        <v>24</v>
      </c>
      <c r="AL4465" s="4">
        <v>50</v>
      </c>
      <c r="AM4465" s="4">
        <v>52</v>
      </c>
      <c r="AN4465" s="4">
        <v>0</v>
      </c>
      <c r="AO4465" s="4">
        <v>0</v>
      </c>
      <c r="AP4465" s="4">
        <v>27</v>
      </c>
      <c r="AQ4465" s="4">
        <v>33</v>
      </c>
      <c r="AR4465" s="3" t="s">
        <v>62</v>
      </c>
      <c r="AS4465" s="3" t="s">
        <v>62</v>
      </c>
      <c r="AT4465" s="3" t="s">
        <v>61</v>
      </c>
      <c r="AU4465" s="6" t="str">
        <f>HYPERLINK("http://catalog.hathitrust.org/Record/001181003","HathiTrust Record")</f>
        <v>HathiTrust Record</v>
      </c>
      <c r="AV4465" s="6" t="str">
        <f>HYPERLINK("http://mcgill.on.worldcat.org/oclc/221047","Catalog Record")</f>
        <v>Catalog Record</v>
      </c>
      <c r="AW4465" s="6" t="str">
        <f>HYPERLINK("http://www.worldcat.org/oclc/221047","WorldCat Record")</f>
        <v>WorldCat Record</v>
      </c>
      <c r="AX4465" s="3" t="s">
        <v>42816</v>
      </c>
      <c r="AY4465" s="3" t="s">
        <v>42817</v>
      </c>
      <c r="AZ4465" s="3" t="s">
        <v>42818</v>
      </c>
      <c r="BA4465" s="3" t="s">
        <v>42818</v>
      </c>
      <c r="BB4465" s="3" t="s">
        <v>42819</v>
      </c>
      <c r="BC4465" s="3" t="s">
        <v>142</v>
      </c>
      <c r="BD4465" s="3" t="s">
        <v>68</v>
      </c>
      <c r="BF4465" s="3" t="s">
        <v>42819</v>
      </c>
      <c r="BG4465" s="3" t="s">
        <v>42820</v>
      </c>
    </row>
    <row r="4466" spans="1:59" ht="57" x14ac:dyDescent="0.45">
      <c r="A4466" s="2" t="s">
        <v>13313</v>
      </c>
      <c r="B4466" s="2" t="s">
        <v>60</v>
      </c>
      <c r="C4466" s="2" t="s">
        <v>42810</v>
      </c>
      <c r="D4466" s="2" t="s">
        <v>42811</v>
      </c>
      <c r="E4466" s="2" t="s">
        <v>42812</v>
      </c>
      <c r="G4466" s="3" t="s">
        <v>62</v>
      </c>
      <c r="I4466" s="3" t="s">
        <v>61</v>
      </c>
      <c r="J4466" s="3" t="s">
        <v>62</v>
      </c>
      <c r="K4466" s="3" t="s">
        <v>63</v>
      </c>
      <c r="L4466" s="2" t="s">
        <v>42813</v>
      </c>
      <c r="M4466" s="2" t="s">
        <v>42814</v>
      </c>
      <c r="N4466" s="3" t="s">
        <v>113</v>
      </c>
      <c r="P4466" s="3" t="s">
        <v>65</v>
      </c>
      <c r="Q4466" s="2" t="s">
        <v>42815</v>
      </c>
      <c r="R4466" s="3" t="s">
        <v>66</v>
      </c>
      <c r="S4466" s="4">
        <v>2</v>
      </c>
      <c r="T4466" s="4">
        <v>5</v>
      </c>
      <c r="U4466" s="5" t="s">
        <v>1663</v>
      </c>
      <c r="V4466" s="5" t="s">
        <v>1663</v>
      </c>
      <c r="W4466" s="5" t="s">
        <v>67</v>
      </c>
      <c r="X4466" s="5" t="s">
        <v>67</v>
      </c>
      <c r="Y4466" s="4">
        <v>583</v>
      </c>
      <c r="Z4466" s="4">
        <v>30</v>
      </c>
      <c r="AA4466" s="4">
        <v>37</v>
      </c>
      <c r="AB4466" s="4">
        <v>2</v>
      </c>
      <c r="AC4466" s="4">
        <v>6</v>
      </c>
      <c r="AD4466" s="4">
        <v>114</v>
      </c>
      <c r="AE4466" s="4">
        <v>122</v>
      </c>
      <c r="AF4466" s="4">
        <v>1</v>
      </c>
      <c r="AG4466" s="4">
        <v>4</v>
      </c>
      <c r="AH4466" s="4">
        <v>95</v>
      </c>
      <c r="AI4466" s="4">
        <v>98</v>
      </c>
      <c r="AJ4466" s="4">
        <v>20</v>
      </c>
      <c r="AK4466" s="4">
        <v>24</v>
      </c>
      <c r="AL4466" s="4">
        <v>50</v>
      </c>
      <c r="AM4466" s="4">
        <v>52</v>
      </c>
      <c r="AN4466" s="4">
        <v>0</v>
      </c>
      <c r="AO4466" s="4">
        <v>0</v>
      </c>
      <c r="AP4466" s="4">
        <v>27</v>
      </c>
      <c r="AQ4466" s="4">
        <v>33</v>
      </c>
      <c r="AR4466" s="3" t="s">
        <v>62</v>
      </c>
      <c r="AS4466" s="3" t="s">
        <v>62</v>
      </c>
      <c r="AT4466" s="3" t="s">
        <v>61</v>
      </c>
      <c r="AU4466" s="6" t="str">
        <f>HYPERLINK("http://catalog.hathitrust.org/Record/001181003","HathiTrust Record")</f>
        <v>HathiTrust Record</v>
      </c>
      <c r="AV4466" s="6" t="str">
        <f>HYPERLINK("http://mcgill.on.worldcat.org/oclc/221047","Catalog Record")</f>
        <v>Catalog Record</v>
      </c>
      <c r="AW4466" s="6" t="str">
        <f>HYPERLINK("http://www.worldcat.org/oclc/221047","WorldCat Record")</f>
        <v>WorldCat Record</v>
      </c>
      <c r="AX4466" s="3" t="s">
        <v>42816</v>
      </c>
      <c r="AY4466" s="3" t="s">
        <v>42817</v>
      </c>
      <c r="AZ4466" s="3" t="s">
        <v>42818</v>
      </c>
      <c r="BA4466" s="3" t="s">
        <v>42818</v>
      </c>
      <c r="BB4466" s="3" t="s">
        <v>42821</v>
      </c>
      <c r="BC4466" s="3" t="s">
        <v>142</v>
      </c>
      <c r="BD4466" s="3" t="s">
        <v>68</v>
      </c>
      <c r="BF4466" s="3" t="s">
        <v>42821</v>
      </c>
      <c r="BG4466" s="3" t="s">
        <v>42822</v>
      </c>
    </row>
    <row r="4467" spans="1:59" ht="57" x14ac:dyDescent="0.45">
      <c r="A4467" s="2" t="s">
        <v>59</v>
      </c>
      <c r="B4467" s="2" t="s">
        <v>60</v>
      </c>
      <c r="C4467" s="2" t="s">
        <v>42823</v>
      </c>
      <c r="D4467" s="2" t="s">
        <v>42824</v>
      </c>
      <c r="E4467" s="2" t="s">
        <v>42825</v>
      </c>
      <c r="F4467" s="3" t="s">
        <v>31253</v>
      </c>
      <c r="G4467" s="3" t="s">
        <v>61</v>
      </c>
      <c r="I4467" s="3" t="s">
        <v>62</v>
      </c>
      <c r="J4467" s="3" t="s">
        <v>62</v>
      </c>
      <c r="K4467" s="3" t="s">
        <v>63</v>
      </c>
      <c r="M4467" s="2" t="s">
        <v>42826</v>
      </c>
      <c r="N4467" s="3" t="s">
        <v>1239</v>
      </c>
      <c r="P4467" s="3" t="s">
        <v>110</v>
      </c>
      <c r="Q4467" s="2" t="s">
        <v>10751</v>
      </c>
      <c r="R4467" s="3" t="s">
        <v>66</v>
      </c>
      <c r="S4467" s="4">
        <v>8</v>
      </c>
      <c r="T4467" s="4">
        <v>16</v>
      </c>
      <c r="U4467" s="5" t="s">
        <v>41223</v>
      </c>
      <c r="V4467" s="5" t="s">
        <v>41223</v>
      </c>
      <c r="W4467" s="5" t="s">
        <v>67</v>
      </c>
      <c r="X4467" s="5" t="s">
        <v>67</v>
      </c>
      <c r="Y4467" s="4">
        <v>15</v>
      </c>
      <c r="Z4467" s="4">
        <v>1</v>
      </c>
      <c r="AA4467" s="4">
        <v>2</v>
      </c>
      <c r="AB4467" s="4">
        <v>1</v>
      </c>
      <c r="AC4467" s="4">
        <v>1</v>
      </c>
      <c r="AD4467" s="4">
        <v>7</v>
      </c>
      <c r="AE4467" s="4">
        <v>8</v>
      </c>
      <c r="AF4467" s="4">
        <v>0</v>
      </c>
      <c r="AG4467" s="4">
        <v>0</v>
      </c>
      <c r="AH4467" s="4">
        <v>7</v>
      </c>
      <c r="AI4467" s="4">
        <v>7</v>
      </c>
      <c r="AJ4467" s="4">
        <v>0</v>
      </c>
      <c r="AK4467" s="4">
        <v>1</v>
      </c>
      <c r="AL4467" s="4">
        <v>7</v>
      </c>
      <c r="AM4467" s="4">
        <v>7</v>
      </c>
      <c r="AN4467" s="4">
        <v>0</v>
      </c>
      <c r="AO4467" s="4">
        <v>0</v>
      </c>
      <c r="AP4467" s="4">
        <v>0</v>
      </c>
      <c r="AQ4467" s="4">
        <v>1</v>
      </c>
      <c r="AR4467" s="3" t="s">
        <v>62</v>
      </c>
      <c r="AS4467" s="3" t="s">
        <v>62</v>
      </c>
      <c r="AT4467" s="3" t="s">
        <v>61</v>
      </c>
      <c r="AU4467" s="6" t="str">
        <f>HYPERLINK("http://catalog.hathitrust.org/Record/002789856","HathiTrust Record")</f>
        <v>HathiTrust Record</v>
      </c>
      <c r="AV4467" s="6" t="str">
        <f>HYPERLINK("http://mcgill.on.worldcat.org/oclc/27688114","Catalog Record")</f>
        <v>Catalog Record</v>
      </c>
      <c r="AW4467" s="6" t="str">
        <f>HYPERLINK("http://www.worldcat.org/oclc/27688114","WorldCat Record")</f>
        <v>WorldCat Record</v>
      </c>
      <c r="AX4467" s="3" t="s">
        <v>42827</v>
      </c>
      <c r="AY4467" s="3" t="s">
        <v>42828</v>
      </c>
      <c r="AZ4467" s="3" t="s">
        <v>42829</v>
      </c>
      <c r="BA4467" s="3" t="s">
        <v>42829</v>
      </c>
      <c r="BB4467" s="3" t="s">
        <v>42830</v>
      </c>
      <c r="BC4467" s="3" t="s">
        <v>142</v>
      </c>
      <c r="BD4467" s="3" t="s">
        <v>308</v>
      </c>
      <c r="BE4467" s="3" t="s">
        <v>42831</v>
      </c>
      <c r="BF4467" s="3" t="s">
        <v>42830</v>
      </c>
      <c r="BG4467" s="3" t="s">
        <v>42832</v>
      </c>
    </row>
    <row r="4468" spans="1:59" ht="57" x14ac:dyDescent="0.45">
      <c r="A4468" s="2" t="s">
        <v>59</v>
      </c>
      <c r="B4468" s="2" t="s">
        <v>60</v>
      </c>
      <c r="C4468" s="2" t="s">
        <v>42823</v>
      </c>
      <c r="D4468" s="2" t="s">
        <v>42824</v>
      </c>
      <c r="E4468" s="2" t="s">
        <v>42825</v>
      </c>
      <c r="F4468" s="3" t="s">
        <v>31244</v>
      </c>
      <c r="G4468" s="3" t="s">
        <v>61</v>
      </c>
      <c r="I4468" s="3" t="s">
        <v>62</v>
      </c>
      <c r="J4468" s="3" t="s">
        <v>62</v>
      </c>
      <c r="K4468" s="3" t="s">
        <v>63</v>
      </c>
      <c r="M4468" s="2" t="s">
        <v>42826</v>
      </c>
      <c r="N4468" s="3" t="s">
        <v>1239</v>
      </c>
      <c r="P4468" s="3" t="s">
        <v>110</v>
      </c>
      <c r="Q4468" s="2" t="s">
        <v>10751</v>
      </c>
      <c r="R4468" s="3" t="s">
        <v>66</v>
      </c>
      <c r="S4468" s="4">
        <v>8</v>
      </c>
      <c r="T4468" s="4">
        <v>16</v>
      </c>
      <c r="U4468" s="5" t="s">
        <v>41223</v>
      </c>
      <c r="V4468" s="5" t="s">
        <v>41223</v>
      </c>
      <c r="W4468" s="5" t="s">
        <v>67</v>
      </c>
      <c r="X4468" s="5" t="s">
        <v>67</v>
      </c>
      <c r="Y4468" s="4">
        <v>15</v>
      </c>
      <c r="Z4468" s="4">
        <v>1</v>
      </c>
      <c r="AA4468" s="4">
        <v>2</v>
      </c>
      <c r="AB4468" s="4">
        <v>1</v>
      </c>
      <c r="AC4468" s="4">
        <v>1</v>
      </c>
      <c r="AD4468" s="4">
        <v>7</v>
      </c>
      <c r="AE4468" s="4">
        <v>8</v>
      </c>
      <c r="AF4468" s="4">
        <v>0</v>
      </c>
      <c r="AG4468" s="4">
        <v>0</v>
      </c>
      <c r="AH4468" s="4">
        <v>7</v>
      </c>
      <c r="AI4468" s="4">
        <v>7</v>
      </c>
      <c r="AJ4468" s="4">
        <v>0</v>
      </c>
      <c r="AK4468" s="4">
        <v>1</v>
      </c>
      <c r="AL4468" s="4">
        <v>7</v>
      </c>
      <c r="AM4468" s="4">
        <v>7</v>
      </c>
      <c r="AN4468" s="4">
        <v>0</v>
      </c>
      <c r="AO4468" s="4">
        <v>0</v>
      </c>
      <c r="AP4468" s="4">
        <v>0</v>
      </c>
      <c r="AQ4468" s="4">
        <v>1</v>
      </c>
      <c r="AR4468" s="3" t="s">
        <v>62</v>
      </c>
      <c r="AS4468" s="3" t="s">
        <v>62</v>
      </c>
      <c r="AT4468" s="3" t="s">
        <v>61</v>
      </c>
      <c r="AU4468" s="6" t="str">
        <f>HYPERLINK("http://catalog.hathitrust.org/Record/002789856","HathiTrust Record")</f>
        <v>HathiTrust Record</v>
      </c>
      <c r="AV4468" s="6" t="str">
        <f>HYPERLINK("http://mcgill.on.worldcat.org/oclc/27688114","Catalog Record")</f>
        <v>Catalog Record</v>
      </c>
      <c r="AW4468" s="6" t="str">
        <f>HYPERLINK("http://www.worldcat.org/oclc/27688114","WorldCat Record")</f>
        <v>WorldCat Record</v>
      </c>
      <c r="AX4468" s="3" t="s">
        <v>42827</v>
      </c>
      <c r="AY4468" s="3" t="s">
        <v>42828</v>
      </c>
      <c r="AZ4468" s="3" t="s">
        <v>42829</v>
      </c>
      <c r="BA4468" s="3" t="s">
        <v>42829</v>
      </c>
      <c r="BB4468" s="3" t="s">
        <v>42833</v>
      </c>
      <c r="BC4468" s="3" t="s">
        <v>142</v>
      </c>
      <c r="BD4468" s="3" t="s">
        <v>308</v>
      </c>
      <c r="BE4468" s="3" t="s">
        <v>42831</v>
      </c>
      <c r="BF4468" s="3" t="s">
        <v>42833</v>
      </c>
      <c r="BG4468" s="3" t="s">
        <v>42834</v>
      </c>
    </row>
    <row r="4469" spans="1:59" ht="57" x14ac:dyDescent="0.45">
      <c r="A4469" s="2" t="s">
        <v>59</v>
      </c>
      <c r="B4469" s="2" t="s">
        <v>60</v>
      </c>
      <c r="C4469" s="2" t="s">
        <v>42835</v>
      </c>
      <c r="D4469" s="2" t="s">
        <v>42836</v>
      </c>
      <c r="E4469" s="2" t="s">
        <v>42837</v>
      </c>
      <c r="G4469" s="3" t="s">
        <v>62</v>
      </c>
      <c r="I4469" s="3" t="s">
        <v>62</v>
      </c>
      <c r="J4469" s="3" t="s">
        <v>62</v>
      </c>
      <c r="K4469" s="3" t="s">
        <v>63</v>
      </c>
      <c r="L4469" s="2" t="s">
        <v>42838</v>
      </c>
      <c r="M4469" s="2" t="s">
        <v>42839</v>
      </c>
      <c r="N4469" s="3" t="s">
        <v>113</v>
      </c>
      <c r="P4469" s="3" t="s">
        <v>65</v>
      </c>
      <c r="Q4469" s="2" t="s">
        <v>42840</v>
      </c>
      <c r="R4469" s="3" t="s">
        <v>66</v>
      </c>
      <c r="S4469" s="4">
        <v>4</v>
      </c>
      <c r="T4469" s="4">
        <v>4</v>
      </c>
      <c r="U4469" s="5" t="s">
        <v>6031</v>
      </c>
      <c r="V4469" s="5" t="s">
        <v>6031</v>
      </c>
      <c r="W4469" s="5" t="s">
        <v>67</v>
      </c>
      <c r="X4469" s="5" t="s">
        <v>67</v>
      </c>
      <c r="Y4469" s="4">
        <v>445</v>
      </c>
      <c r="Z4469" s="4">
        <v>28</v>
      </c>
      <c r="AA4469" s="4">
        <v>38</v>
      </c>
      <c r="AB4469" s="4">
        <v>2</v>
      </c>
      <c r="AC4469" s="4">
        <v>10</v>
      </c>
      <c r="AD4469" s="4">
        <v>107</v>
      </c>
      <c r="AE4469" s="4">
        <v>116</v>
      </c>
      <c r="AF4469" s="4">
        <v>1</v>
      </c>
      <c r="AG4469" s="4">
        <v>5</v>
      </c>
      <c r="AH4469" s="4">
        <v>89</v>
      </c>
      <c r="AI4469" s="4">
        <v>94</v>
      </c>
      <c r="AJ4469" s="4">
        <v>18</v>
      </c>
      <c r="AK4469" s="4">
        <v>23</v>
      </c>
      <c r="AL4469" s="4">
        <v>50</v>
      </c>
      <c r="AM4469" s="4">
        <v>51</v>
      </c>
      <c r="AN4469" s="4">
        <v>0</v>
      </c>
      <c r="AO4469" s="4">
        <v>0</v>
      </c>
      <c r="AP4469" s="4">
        <v>24</v>
      </c>
      <c r="AQ4469" s="4">
        <v>29</v>
      </c>
      <c r="AR4469" s="3" t="s">
        <v>62</v>
      </c>
      <c r="AS4469" s="3" t="s">
        <v>62</v>
      </c>
      <c r="AT4469" s="3" t="s">
        <v>61</v>
      </c>
      <c r="AU4469" s="6" t="str">
        <f>HYPERLINK("http://catalog.hathitrust.org/Record/001657814","HathiTrust Record")</f>
        <v>HathiTrust Record</v>
      </c>
      <c r="AV4469" s="6" t="str">
        <f>HYPERLINK("http://mcgill.on.worldcat.org/oclc/279477","Catalog Record")</f>
        <v>Catalog Record</v>
      </c>
      <c r="AW4469" s="6" t="str">
        <f>HYPERLINK("http://www.worldcat.org/oclc/279477","WorldCat Record")</f>
        <v>WorldCat Record</v>
      </c>
      <c r="AX4469" s="3" t="s">
        <v>42841</v>
      </c>
      <c r="AY4469" s="3" t="s">
        <v>42842</v>
      </c>
      <c r="AZ4469" s="3" t="s">
        <v>42843</v>
      </c>
      <c r="BA4469" s="3" t="s">
        <v>42843</v>
      </c>
      <c r="BB4469" s="3" t="s">
        <v>42844</v>
      </c>
      <c r="BC4469" s="3" t="s">
        <v>142</v>
      </c>
      <c r="BD4469" s="3" t="s">
        <v>68</v>
      </c>
      <c r="BF4469" s="3" t="s">
        <v>42844</v>
      </c>
      <c r="BG4469" s="3" t="s">
        <v>42845</v>
      </c>
    </row>
    <row r="4470" spans="1:59" ht="57" x14ac:dyDescent="0.45">
      <c r="A4470" s="2" t="s">
        <v>59</v>
      </c>
      <c r="B4470" s="2" t="s">
        <v>60</v>
      </c>
      <c r="C4470" s="2" t="s">
        <v>42846</v>
      </c>
      <c r="D4470" s="2" t="s">
        <v>42847</v>
      </c>
      <c r="E4470" s="2" t="s">
        <v>42848</v>
      </c>
      <c r="G4470" s="3" t="s">
        <v>62</v>
      </c>
      <c r="I4470" s="3" t="s">
        <v>61</v>
      </c>
      <c r="J4470" s="3" t="s">
        <v>62</v>
      </c>
      <c r="K4470" s="3" t="s">
        <v>63</v>
      </c>
      <c r="L4470" s="2" t="s">
        <v>42849</v>
      </c>
      <c r="M4470" s="2" t="s">
        <v>42850</v>
      </c>
      <c r="N4470" s="3" t="s">
        <v>793</v>
      </c>
      <c r="P4470" s="3" t="s">
        <v>65</v>
      </c>
      <c r="Q4470" s="2" t="s">
        <v>42851</v>
      </c>
      <c r="R4470" s="3" t="s">
        <v>66</v>
      </c>
      <c r="S4470" s="4">
        <v>19</v>
      </c>
      <c r="T4470" s="4">
        <v>84</v>
      </c>
      <c r="U4470" s="5" t="s">
        <v>42852</v>
      </c>
      <c r="V4470" s="5" t="s">
        <v>42853</v>
      </c>
      <c r="W4470" s="5" t="s">
        <v>67</v>
      </c>
      <c r="X4470" s="5" t="s">
        <v>67</v>
      </c>
      <c r="Y4470" s="4">
        <v>811</v>
      </c>
      <c r="Z4470" s="4">
        <v>44</v>
      </c>
      <c r="AA4470" s="4">
        <v>60</v>
      </c>
      <c r="AB4470" s="4">
        <v>2</v>
      </c>
      <c r="AC4470" s="4">
        <v>6</v>
      </c>
      <c r="AD4470" s="4">
        <v>133</v>
      </c>
      <c r="AE4470" s="4">
        <v>147</v>
      </c>
      <c r="AF4470" s="4">
        <v>1</v>
      </c>
      <c r="AG4470" s="4">
        <v>5</v>
      </c>
      <c r="AH4470" s="4">
        <v>106</v>
      </c>
      <c r="AI4470" s="4">
        <v>113</v>
      </c>
      <c r="AJ4470" s="4">
        <v>19</v>
      </c>
      <c r="AK4470" s="4">
        <v>25</v>
      </c>
      <c r="AL4470" s="4">
        <v>60</v>
      </c>
      <c r="AM4470" s="4">
        <v>60</v>
      </c>
      <c r="AN4470" s="4">
        <v>0</v>
      </c>
      <c r="AO4470" s="4">
        <v>0</v>
      </c>
      <c r="AP4470" s="4">
        <v>34</v>
      </c>
      <c r="AQ4470" s="4">
        <v>43</v>
      </c>
      <c r="AR4470" s="3" t="s">
        <v>62</v>
      </c>
      <c r="AS4470" s="3" t="s">
        <v>62</v>
      </c>
      <c r="AT4470" s="3" t="s">
        <v>62</v>
      </c>
      <c r="AV4470" s="6" t="str">
        <f>HYPERLINK("http://mcgill.on.worldcat.org/oclc/2780382","Catalog Record")</f>
        <v>Catalog Record</v>
      </c>
      <c r="AW4470" s="6" t="str">
        <f>HYPERLINK("http://www.worldcat.org/oclc/2780382","WorldCat Record")</f>
        <v>WorldCat Record</v>
      </c>
      <c r="AX4470" s="3" t="s">
        <v>42854</v>
      </c>
      <c r="AY4470" s="3" t="s">
        <v>42855</v>
      </c>
      <c r="AZ4470" s="3" t="s">
        <v>42856</v>
      </c>
      <c r="BA4470" s="3" t="s">
        <v>42856</v>
      </c>
      <c r="BB4470" s="3" t="s">
        <v>42857</v>
      </c>
      <c r="BC4470" s="3" t="s">
        <v>142</v>
      </c>
      <c r="BD4470" s="3" t="s">
        <v>68</v>
      </c>
      <c r="BE4470" s="3" t="s">
        <v>42858</v>
      </c>
      <c r="BF4470" s="3" t="s">
        <v>42857</v>
      </c>
      <c r="BG4470" s="3" t="s">
        <v>42859</v>
      </c>
    </row>
    <row r="4471" spans="1:59" ht="57" x14ac:dyDescent="0.45">
      <c r="A4471" s="2" t="s">
        <v>59</v>
      </c>
      <c r="B4471" s="2" t="s">
        <v>60</v>
      </c>
      <c r="C4471" s="2" t="s">
        <v>42846</v>
      </c>
      <c r="D4471" s="2" t="s">
        <v>42847</v>
      </c>
      <c r="E4471" s="2" t="s">
        <v>42848</v>
      </c>
      <c r="G4471" s="3" t="s">
        <v>62</v>
      </c>
      <c r="I4471" s="3" t="s">
        <v>61</v>
      </c>
      <c r="J4471" s="3" t="s">
        <v>62</v>
      </c>
      <c r="K4471" s="3" t="s">
        <v>63</v>
      </c>
      <c r="L4471" s="2" t="s">
        <v>42849</v>
      </c>
      <c r="M4471" s="2" t="s">
        <v>42850</v>
      </c>
      <c r="N4471" s="3" t="s">
        <v>793</v>
      </c>
      <c r="P4471" s="3" t="s">
        <v>65</v>
      </c>
      <c r="Q4471" s="2" t="s">
        <v>42851</v>
      </c>
      <c r="R4471" s="3" t="s">
        <v>66</v>
      </c>
      <c r="S4471" s="4">
        <v>17</v>
      </c>
      <c r="T4471" s="4">
        <v>84</v>
      </c>
      <c r="U4471" s="5" t="s">
        <v>42860</v>
      </c>
      <c r="V4471" s="5" t="s">
        <v>42853</v>
      </c>
      <c r="W4471" s="5" t="s">
        <v>67</v>
      </c>
      <c r="X4471" s="5" t="s">
        <v>67</v>
      </c>
      <c r="Y4471" s="4">
        <v>811</v>
      </c>
      <c r="Z4471" s="4">
        <v>44</v>
      </c>
      <c r="AA4471" s="4">
        <v>60</v>
      </c>
      <c r="AB4471" s="4">
        <v>2</v>
      </c>
      <c r="AC4471" s="4">
        <v>6</v>
      </c>
      <c r="AD4471" s="4">
        <v>133</v>
      </c>
      <c r="AE4471" s="4">
        <v>147</v>
      </c>
      <c r="AF4471" s="4">
        <v>1</v>
      </c>
      <c r="AG4471" s="4">
        <v>5</v>
      </c>
      <c r="AH4471" s="4">
        <v>106</v>
      </c>
      <c r="AI4471" s="4">
        <v>113</v>
      </c>
      <c r="AJ4471" s="4">
        <v>19</v>
      </c>
      <c r="AK4471" s="4">
        <v>25</v>
      </c>
      <c r="AL4471" s="4">
        <v>60</v>
      </c>
      <c r="AM4471" s="4">
        <v>60</v>
      </c>
      <c r="AN4471" s="4">
        <v>0</v>
      </c>
      <c r="AO4471" s="4">
        <v>0</v>
      </c>
      <c r="AP4471" s="4">
        <v>34</v>
      </c>
      <c r="AQ4471" s="4">
        <v>43</v>
      </c>
      <c r="AR4471" s="3" t="s">
        <v>62</v>
      </c>
      <c r="AS4471" s="3" t="s">
        <v>62</v>
      </c>
      <c r="AT4471" s="3" t="s">
        <v>62</v>
      </c>
      <c r="AV4471" s="6" t="str">
        <f>HYPERLINK("http://mcgill.on.worldcat.org/oclc/2780382","Catalog Record")</f>
        <v>Catalog Record</v>
      </c>
      <c r="AW4471" s="6" t="str">
        <f>HYPERLINK("http://www.worldcat.org/oclc/2780382","WorldCat Record")</f>
        <v>WorldCat Record</v>
      </c>
      <c r="AX4471" s="3" t="s">
        <v>42854</v>
      </c>
      <c r="AY4471" s="3" t="s">
        <v>42855</v>
      </c>
      <c r="AZ4471" s="3" t="s">
        <v>42856</v>
      </c>
      <c r="BA4471" s="3" t="s">
        <v>42856</v>
      </c>
      <c r="BB4471" s="3" t="s">
        <v>42861</v>
      </c>
      <c r="BC4471" s="3" t="s">
        <v>142</v>
      </c>
      <c r="BD4471" s="3" t="s">
        <v>68</v>
      </c>
      <c r="BE4471" s="3" t="s">
        <v>42858</v>
      </c>
      <c r="BF4471" s="3" t="s">
        <v>42861</v>
      </c>
      <c r="BG4471" s="3" t="s">
        <v>42862</v>
      </c>
    </row>
    <row r="4472" spans="1:59" ht="57" x14ac:dyDescent="0.45">
      <c r="A4472" s="2" t="s">
        <v>59</v>
      </c>
      <c r="B4472" s="2" t="s">
        <v>60</v>
      </c>
      <c r="C4472" s="2" t="s">
        <v>42846</v>
      </c>
      <c r="D4472" s="2" t="s">
        <v>42847</v>
      </c>
      <c r="E4472" s="2" t="s">
        <v>42848</v>
      </c>
      <c r="G4472" s="3" t="s">
        <v>62</v>
      </c>
      <c r="I4472" s="3" t="s">
        <v>61</v>
      </c>
      <c r="J4472" s="3" t="s">
        <v>62</v>
      </c>
      <c r="K4472" s="3" t="s">
        <v>63</v>
      </c>
      <c r="L4472" s="2" t="s">
        <v>42849</v>
      </c>
      <c r="M4472" s="2" t="s">
        <v>42850</v>
      </c>
      <c r="N4472" s="3" t="s">
        <v>793</v>
      </c>
      <c r="P4472" s="3" t="s">
        <v>65</v>
      </c>
      <c r="Q4472" s="2" t="s">
        <v>42851</v>
      </c>
      <c r="R4472" s="3" t="s">
        <v>66</v>
      </c>
      <c r="S4472" s="4">
        <v>33</v>
      </c>
      <c r="T4472" s="4">
        <v>84</v>
      </c>
      <c r="U4472" s="5" t="s">
        <v>42853</v>
      </c>
      <c r="V4472" s="5" t="s">
        <v>42853</v>
      </c>
      <c r="W4472" s="5" t="s">
        <v>67</v>
      </c>
      <c r="X4472" s="5" t="s">
        <v>67</v>
      </c>
      <c r="Y4472" s="4">
        <v>811</v>
      </c>
      <c r="Z4472" s="4">
        <v>44</v>
      </c>
      <c r="AA4472" s="4">
        <v>60</v>
      </c>
      <c r="AB4472" s="4">
        <v>2</v>
      </c>
      <c r="AC4472" s="4">
        <v>6</v>
      </c>
      <c r="AD4472" s="4">
        <v>133</v>
      </c>
      <c r="AE4472" s="4">
        <v>147</v>
      </c>
      <c r="AF4472" s="4">
        <v>1</v>
      </c>
      <c r="AG4472" s="4">
        <v>5</v>
      </c>
      <c r="AH4472" s="4">
        <v>106</v>
      </c>
      <c r="AI4472" s="4">
        <v>113</v>
      </c>
      <c r="AJ4472" s="4">
        <v>19</v>
      </c>
      <c r="AK4472" s="4">
        <v>25</v>
      </c>
      <c r="AL4472" s="4">
        <v>60</v>
      </c>
      <c r="AM4472" s="4">
        <v>60</v>
      </c>
      <c r="AN4472" s="4">
        <v>0</v>
      </c>
      <c r="AO4472" s="4">
        <v>0</v>
      </c>
      <c r="AP4472" s="4">
        <v>34</v>
      </c>
      <c r="AQ4472" s="4">
        <v>43</v>
      </c>
      <c r="AR4472" s="3" t="s">
        <v>62</v>
      </c>
      <c r="AS4472" s="3" t="s">
        <v>62</v>
      </c>
      <c r="AT4472" s="3" t="s">
        <v>62</v>
      </c>
      <c r="AV4472" s="6" t="str">
        <f>HYPERLINK("http://mcgill.on.worldcat.org/oclc/2780382","Catalog Record")</f>
        <v>Catalog Record</v>
      </c>
      <c r="AW4472" s="6" t="str">
        <f>HYPERLINK("http://www.worldcat.org/oclc/2780382","WorldCat Record")</f>
        <v>WorldCat Record</v>
      </c>
      <c r="AX4472" s="3" t="s">
        <v>42854</v>
      </c>
      <c r="AY4472" s="3" t="s">
        <v>42855</v>
      </c>
      <c r="AZ4472" s="3" t="s">
        <v>42856</v>
      </c>
      <c r="BA4472" s="3" t="s">
        <v>42856</v>
      </c>
      <c r="BB4472" s="3" t="s">
        <v>42863</v>
      </c>
      <c r="BC4472" s="3" t="s">
        <v>142</v>
      </c>
      <c r="BD4472" s="3" t="s">
        <v>68</v>
      </c>
      <c r="BE4472" s="3" t="s">
        <v>42858</v>
      </c>
      <c r="BF4472" s="3" t="s">
        <v>42863</v>
      </c>
      <c r="BG4472" s="3" t="s">
        <v>42864</v>
      </c>
    </row>
    <row r="4473" spans="1:59" ht="57" x14ac:dyDescent="0.45">
      <c r="A4473" s="2" t="s">
        <v>59</v>
      </c>
      <c r="B4473" s="2" t="s">
        <v>60</v>
      </c>
      <c r="C4473" s="2" t="s">
        <v>42846</v>
      </c>
      <c r="D4473" s="2" t="s">
        <v>42847</v>
      </c>
      <c r="E4473" s="2" t="s">
        <v>42848</v>
      </c>
      <c r="G4473" s="3" t="s">
        <v>62</v>
      </c>
      <c r="I4473" s="3" t="s">
        <v>61</v>
      </c>
      <c r="J4473" s="3" t="s">
        <v>62</v>
      </c>
      <c r="K4473" s="3" t="s">
        <v>63</v>
      </c>
      <c r="L4473" s="2" t="s">
        <v>42849</v>
      </c>
      <c r="M4473" s="2" t="s">
        <v>42850</v>
      </c>
      <c r="N4473" s="3" t="s">
        <v>793</v>
      </c>
      <c r="P4473" s="3" t="s">
        <v>65</v>
      </c>
      <c r="Q4473" s="2" t="s">
        <v>42851</v>
      </c>
      <c r="R4473" s="3" t="s">
        <v>66</v>
      </c>
      <c r="S4473" s="4">
        <v>15</v>
      </c>
      <c r="T4473" s="4">
        <v>84</v>
      </c>
      <c r="U4473" s="5" t="s">
        <v>42865</v>
      </c>
      <c r="V4473" s="5" t="s">
        <v>42853</v>
      </c>
      <c r="W4473" s="5" t="s">
        <v>67</v>
      </c>
      <c r="X4473" s="5" t="s">
        <v>67</v>
      </c>
      <c r="Y4473" s="4">
        <v>811</v>
      </c>
      <c r="Z4473" s="4">
        <v>44</v>
      </c>
      <c r="AA4473" s="4">
        <v>60</v>
      </c>
      <c r="AB4473" s="4">
        <v>2</v>
      </c>
      <c r="AC4473" s="4">
        <v>6</v>
      </c>
      <c r="AD4473" s="4">
        <v>133</v>
      </c>
      <c r="AE4473" s="4">
        <v>147</v>
      </c>
      <c r="AF4473" s="4">
        <v>1</v>
      </c>
      <c r="AG4473" s="4">
        <v>5</v>
      </c>
      <c r="AH4473" s="4">
        <v>106</v>
      </c>
      <c r="AI4473" s="4">
        <v>113</v>
      </c>
      <c r="AJ4473" s="4">
        <v>19</v>
      </c>
      <c r="AK4473" s="4">
        <v>25</v>
      </c>
      <c r="AL4473" s="4">
        <v>60</v>
      </c>
      <c r="AM4473" s="4">
        <v>60</v>
      </c>
      <c r="AN4473" s="4">
        <v>0</v>
      </c>
      <c r="AO4473" s="4">
        <v>0</v>
      </c>
      <c r="AP4473" s="4">
        <v>34</v>
      </c>
      <c r="AQ4473" s="4">
        <v>43</v>
      </c>
      <c r="AR4473" s="3" t="s">
        <v>62</v>
      </c>
      <c r="AS4473" s="3" t="s">
        <v>62</v>
      </c>
      <c r="AT4473" s="3" t="s">
        <v>62</v>
      </c>
      <c r="AV4473" s="6" t="str">
        <f>HYPERLINK("http://mcgill.on.worldcat.org/oclc/2780382","Catalog Record")</f>
        <v>Catalog Record</v>
      </c>
      <c r="AW4473" s="6" t="str">
        <f>HYPERLINK("http://www.worldcat.org/oclc/2780382","WorldCat Record")</f>
        <v>WorldCat Record</v>
      </c>
      <c r="AX4473" s="3" t="s">
        <v>42854</v>
      </c>
      <c r="AY4473" s="3" t="s">
        <v>42855</v>
      </c>
      <c r="AZ4473" s="3" t="s">
        <v>42856</v>
      </c>
      <c r="BA4473" s="3" t="s">
        <v>42856</v>
      </c>
      <c r="BB4473" s="3" t="s">
        <v>42866</v>
      </c>
      <c r="BC4473" s="3" t="s">
        <v>142</v>
      </c>
      <c r="BD4473" s="3" t="s">
        <v>68</v>
      </c>
      <c r="BE4473" s="3" t="s">
        <v>42858</v>
      </c>
      <c r="BF4473" s="3" t="s">
        <v>42866</v>
      </c>
      <c r="BG4473" s="3" t="s">
        <v>42867</v>
      </c>
    </row>
    <row r="4474" spans="1:59" ht="57" x14ac:dyDescent="0.45">
      <c r="A4474" s="2" t="s">
        <v>59</v>
      </c>
      <c r="B4474" s="2" t="s">
        <v>60</v>
      </c>
      <c r="C4474" s="2" t="s">
        <v>42868</v>
      </c>
      <c r="D4474" s="2" t="s">
        <v>42869</v>
      </c>
      <c r="E4474" s="2" t="s">
        <v>42870</v>
      </c>
      <c r="G4474" s="3" t="s">
        <v>62</v>
      </c>
      <c r="I4474" s="3" t="s">
        <v>62</v>
      </c>
      <c r="J4474" s="3" t="s">
        <v>62</v>
      </c>
      <c r="K4474" s="3" t="s">
        <v>63</v>
      </c>
      <c r="L4474" s="2" t="s">
        <v>42871</v>
      </c>
      <c r="M4474" s="2" t="s">
        <v>3423</v>
      </c>
      <c r="N4474" s="3" t="s">
        <v>1478</v>
      </c>
      <c r="P4474" s="3" t="s">
        <v>65</v>
      </c>
      <c r="Q4474" s="2" t="s">
        <v>1805</v>
      </c>
      <c r="R4474" s="3" t="s">
        <v>66</v>
      </c>
      <c r="S4474" s="4">
        <v>11</v>
      </c>
      <c r="T4474" s="4">
        <v>11</v>
      </c>
      <c r="U4474" s="5" t="s">
        <v>3875</v>
      </c>
      <c r="V4474" s="5" t="s">
        <v>3875</v>
      </c>
      <c r="W4474" s="5" t="s">
        <v>67</v>
      </c>
      <c r="X4474" s="5" t="s">
        <v>67</v>
      </c>
      <c r="Y4474" s="4">
        <v>411</v>
      </c>
      <c r="Z4474" s="4">
        <v>27</v>
      </c>
      <c r="AA4474" s="4">
        <v>109</v>
      </c>
      <c r="AB4474" s="4">
        <v>1</v>
      </c>
      <c r="AC4474" s="4">
        <v>21</v>
      </c>
      <c r="AD4474" s="4">
        <v>113</v>
      </c>
      <c r="AE4474" s="4">
        <v>158</v>
      </c>
      <c r="AF4474" s="4">
        <v>0</v>
      </c>
      <c r="AG4474" s="4">
        <v>9</v>
      </c>
      <c r="AH4474" s="4">
        <v>97</v>
      </c>
      <c r="AI4474" s="4">
        <v>110</v>
      </c>
      <c r="AJ4474" s="4">
        <v>18</v>
      </c>
      <c r="AK4474" s="4">
        <v>28</v>
      </c>
      <c r="AL4474" s="4">
        <v>55</v>
      </c>
      <c r="AM4474" s="4">
        <v>58</v>
      </c>
      <c r="AN4474" s="4">
        <v>0</v>
      </c>
      <c r="AO4474" s="4">
        <v>0</v>
      </c>
      <c r="AP4474" s="4">
        <v>24</v>
      </c>
      <c r="AQ4474" s="4">
        <v>57</v>
      </c>
      <c r="AR4474" s="3" t="s">
        <v>62</v>
      </c>
      <c r="AS4474" s="3" t="s">
        <v>62</v>
      </c>
      <c r="AT4474" s="3" t="s">
        <v>62</v>
      </c>
      <c r="AV4474" s="6" t="str">
        <f>HYPERLINK("http://mcgill.on.worldcat.org/oclc/32665495","Catalog Record")</f>
        <v>Catalog Record</v>
      </c>
      <c r="AW4474" s="6" t="str">
        <f>HYPERLINK("http://www.worldcat.org/oclc/32665495","WorldCat Record")</f>
        <v>WorldCat Record</v>
      </c>
      <c r="AX4474" s="3" t="s">
        <v>42872</v>
      </c>
      <c r="AY4474" s="3" t="s">
        <v>42873</v>
      </c>
      <c r="AZ4474" s="3" t="s">
        <v>42874</v>
      </c>
      <c r="BA4474" s="3" t="s">
        <v>42874</v>
      </c>
      <c r="BB4474" s="3" t="s">
        <v>42875</v>
      </c>
      <c r="BC4474" s="3" t="s">
        <v>142</v>
      </c>
      <c r="BD4474" s="3" t="s">
        <v>68</v>
      </c>
      <c r="BE4474" s="3" t="s">
        <v>42876</v>
      </c>
      <c r="BF4474" s="3" t="s">
        <v>42875</v>
      </c>
      <c r="BG4474" s="3" t="s">
        <v>42877</v>
      </c>
    </row>
    <row r="4475" spans="1:59" ht="57" x14ac:dyDescent="0.45">
      <c r="A4475" s="2" t="s">
        <v>59</v>
      </c>
      <c r="B4475" s="2" t="s">
        <v>60</v>
      </c>
      <c r="C4475" s="2" t="s">
        <v>42878</v>
      </c>
      <c r="D4475" s="2" t="s">
        <v>42879</v>
      </c>
      <c r="E4475" s="2" t="s">
        <v>42880</v>
      </c>
      <c r="G4475" s="3" t="s">
        <v>62</v>
      </c>
      <c r="I4475" s="3" t="s">
        <v>61</v>
      </c>
      <c r="J4475" s="3" t="s">
        <v>61</v>
      </c>
      <c r="K4475" s="3" t="s">
        <v>63</v>
      </c>
      <c r="L4475" s="2" t="s">
        <v>30810</v>
      </c>
      <c r="M4475" s="2" t="s">
        <v>42881</v>
      </c>
      <c r="N4475" s="3" t="s">
        <v>135</v>
      </c>
      <c r="P4475" s="3" t="s">
        <v>65</v>
      </c>
      <c r="Q4475" s="2" t="s">
        <v>42882</v>
      </c>
      <c r="R4475" s="3" t="s">
        <v>66</v>
      </c>
      <c r="S4475" s="4">
        <v>0</v>
      </c>
      <c r="T4475" s="4">
        <v>13</v>
      </c>
      <c r="V4475" s="5" t="s">
        <v>16703</v>
      </c>
      <c r="W4475" s="5" t="s">
        <v>67</v>
      </c>
      <c r="X4475" s="5" t="s">
        <v>67</v>
      </c>
      <c r="Y4475" s="4">
        <v>739</v>
      </c>
      <c r="Z4475" s="4">
        <v>33</v>
      </c>
      <c r="AA4475" s="4">
        <v>39</v>
      </c>
      <c r="AB4475" s="4">
        <v>2</v>
      </c>
      <c r="AC4475" s="4">
        <v>5</v>
      </c>
      <c r="AD4475" s="4">
        <v>121</v>
      </c>
      <c r="AE4475" s="4">
        <v>129</v>
      </c>
      <c r="AF4475" s="4">
        <v>1</v>
      </c>
      <c r="AG4475" s="4">
        <v>4</v>
      </c>
      <c r="AH4475" s="4">
        <v>98</v>
      </c>
      <c r="AI4475" s="4">
        <v>103</v>
      </c>
      <c r="AJ4475" s="4">
        <v>18</v>
      </c>
      <c r="AK4475" s="4">
        <v>22</v>
      </c>
      <c r="AL4475" s="4">
        <v>55</v>
      </c>
      <c r="AM4475" s="4">
        <v>55</v>
      </c>
      <c r="AN4475" s="4">
        <v>0</v>
      </c>
      <c r="AO4475" s="4">
        <v>0</v>
      </c>
      <c r="AP4475" s="4">
        <v>28</v>
      </c>
      <c r="AQ4475" s="4">
        <v>33</v>
      </c>
      <c r="AR4475" s="3" t="s">
        <v>62</v>
      </c>
      <c r="AS4475" s="3" t="s">
        <v>62</v>
      </c>
      <c r="AT4475" s="3" t="s">
        <v>62</v>
      </c>
      <c r="AV4475" s="6" t="str">
        <f>HYPERLINK("http://mcgill.on.worldcat.org/oclc/308346","Catalog Record")</f>
        <v>Catalog Record</v>
      </c>
      <c r="AW4475" s="6" t="str">
        <f>HYPERLINK("http://www.worldcat.org/oclc/308346","WorldCat Record")</f>
        <v>WorldCat Record</v>
      </c>
      <c r="AX4475" s="3" t="s">
        <v>42883</v>
      </c>
      <c r="AY4475" s="3" t="s">
        <v>42884</v>
      </c>
      <c r="AZ4475" s="3" t="s">
        <v>42885</v>
      </c>
      <c r="BA4475" s="3" t="s">
        <v>42885</v>
      </c>
      <c r="BB4475" s="3" t="s">
        <v>42886</v>
      </c>
      <c r="BC4475" s="3" t="s">
        <v>142</v>
      </c>
      <c r="BD4475" s="3" t="s">
        <v>68</v>
      </c>
      <c r="BE4475" s="3" t="s">
        <v>42887</v>
      </c>
      <c r="BF4475" s="3" t="s">
        <v>42886</v>
      </c>
      <c r="BG4475" s="3" t="s">
        <v>42888</v>
      </c>
    </row>
    <row r="4476" spans="1:59" ht="57" x14ac:dyDescent="0.45">
      <c r="A4476" s="2" t="s">
        <v>59</v>
      </c>
      <c r="B4476" s="2" t="s">
        <v>60</v>
      </c>
      <c r="C4476" s="2" t="s">
        <v>42878</v>
      </c>
      <c r="D4476" s="2" t="s">
        <v>42879</v>
      </c>
      <c r="E4476" s="2" t="s">
        <v>42880</v>
      </c>
      <c r="G4476" s="3" t="s">
        <v>62</v>
      </c>
      <c r="I4476" s="3" t="s">
        <v>61</v>
      </c>
      <c r="J4476" s="3" t="s">
        <v>61</v>
      </c>
      <c r="K4476" s="3" t="s">
        <v>63</v>
      </c>
      <c r="L4476" s="2" t="s">
        <v>30810</v>
      </c>
      <c r="M4476" s="2" t="s">
        <v>42881</v>
      </c>
      <c r="N4476" s="3" t="s">
        <v>135</v>
      </c>
      <c r="P4476" s="3" t="s">
        <v>65</v>
      </c>
      <c r="Q4476" s="2" t="s">
        <v>42882</v>
      </c>
      <c r="R4476" s="3" t="s">
        <v>66</v>
      </c>
      <c r="S4476" s="4">
        <v>13</v>
      </c>
      <c r="T4476" s="4">
        <v>13</v>
      </c>
      <c r="U4476" s="5" t="s">
        <v>16703</v>
      </c>
      <c r="V4476" s="5" t="s">
        <v>16703</v>
      </c>
      <c r="W4476" s="5" t="s">
        <v>67</v>
      </c>
      <c r="X4476" s="5" t="s">
        <v>67</v>
      </c>
      <c r="Y4476" s="4">
        <v>739</v>
      </c>
      <c r="Z4476" s="4">
        <v>33</v>
      </c>
      <c r="AA4476" s="4">
        <v>39</v>
      </c>
      <c r="AB4476" s="4">
        <v>2</v>
      </c>
      <c r="AC4476" s="4">
        <v>5</v>
      </c>
      <c r="AD4476" s="4">
        <v>121</v>
      </c>
      <c r="AE4476" s="4">
        <v>129</v>
      </c>
      <c r="AF4476" s="4">
        <v>1</v>
      </c>
      <c r="AG4476" s="4">
        <v>4</v>
      </c>
      <c r="AH4476" s="4">
        <v>98</v>
      </c>
      <c r="AI4476" s="4">
        <v>103</v>
      </c>
      <c r="AJ4476" s="4">
        <v>18</v>
      </c>
      <c r="AK4476" s="4">
        <v>22</v>
      </c>
      <c r="AL4476" s="4">
        <v>55</v>
      </c>
      <c r="AM4476" s="4">
        <v>55</v>
      </c>
      <c r="AN4476" s="4">
        <v>0</v>
      </c>
      <c r="AO4476" s="4">
        <v>0</v>
      </c>
      <c r="AP4476" s="4">
        <v>28</v>
      </c>
      <c r="AQ4476" s="4">
        <v>33</v>
      </c>
      <c r="AR4476" s="3" t="s">
        <v>62</v>
      </c>
      <c r="AS4476" s="3" t="s">
        <v>62</v>
      </c>
      <c r="AT4476" s="3" t="s">
        <v>62</v>
      </c>
      <c r="AV4476" s="6" t="str">
        <f>HYPERLINK("http://mcgill.on.worldcat.org/oclc/308346","Catalog Record")</f>
        <v>Catalog Record</v>
      </c>
      <c r="AW4476" s="6" t="str">
        <f>HYPERLINK("http://www.worldcat.org/oclc/308346","WorldCat Record")</f>
        <v>WorldCat Record</v>
      </c>
      <c r="AX4476" s="3" t="s">
        <v>42883</v>
      </c>
      <c r="AY4476" s="3" t="s">
        <v>42884</v>
      </c>
      <c r="AZ4476" s="3" t="s">
        <v>42885</v>
      </c>
      <c r="BA4476" s="3" t="s">
        <v>42885</v>
      </c>
      <c r="BB4476" s="3" t="s">
        <v>42889</v>
      </c>
      <c r="BC4476" s="3" t="s">
        <v>142</v>
      </c>
      <c r="BD4476" s="3" t="s">
        <v>68</v>
      </c>
      <c r="BE4476" s="3" t="s">
        <v>42887</v>
      </c>
      <c r="BF4476" s="3" t="s">
        <v>42889</v>
      </c>
      <c r="BG4476" s="3" t="s">
        <v>42890</v>
      </c>
    </row>
    <row r="4477" spans="1:59" ht="57" x14ac:dyDescent="0.45">
      <c r="A4477" s="2" t="s">
        <v>59</v>
      </c>
      <c r="B4477" s="2" t="s">
        <v>60</v>
      </c>
      <c r="C4477" s="2" t="s">
        <v>42891</v>
      </c>
      <c r="D4477" s="2" t="s">
        <v>42892</v>
      </c>
      <c r="E4477" s="2" t="s">
        <v>42893</v>
      </c>
      <c r="G4477" s="3" t="s">
        <v>62</v>
      </c>
      <c r="I4477" s="3" t="s">
        <v>62</v>
      </c>
      <c r="J4477" s="3" t="s">
        <v>62</v>
      </c>
      <c r="K4477" s="3" t="s">
        <v>63</v>
      </c>
      <c r="L4477" s="2" t="s">
        <v>29945</v>
      </c>
      <c r="M4477" s="2" t="s">
        <v>42894</v>
      </c>
      <c r="N4477" s="3" t="s">
        <v>117</v>
      </c>
      <c r="P4477" s="3" t="s">
        <v>110</v>
      </c>
      <c r="Q4477" s="2" t="s">
        <v>496</v>
      </c>
      <c r="R4477" s="3" t="s">
        <v>66</v>
      </c>
      <c r="S4477" s="4">
        <v>40</v>
      </c>
      <c r="T4477" s="4">
        <v>40</v>
      </c>
      <c r="U4477" s="5" t="s">
        <v>8032</v>
      </c>
      <c r="V4477" s="5" t="s">
        <v>8032</v>
      </c>
      <c r="W4477" s="5" t="s">
        <v>67</v>
      </c>
      <c r="X4477" s="5" t="s">
        <v>67</v>
      </c>
      <c r="Y4477" s="4">
        <v>129</v>
      </c>
      <c r="Z4477" s="4">
        <v>22</v>
      </c>
      <c r="AA4477" s="4">
        <v>42</v>
      </c>
      <c r="AB4477" s="4">
        <v>3</v>
      </c>
      <c r="AC4477" s="4">
        <v>14</v>
      </c>
      <c r="AD4477" s="4">
        <v>54</v>
      </c>
      <c r="AE4477" s="4">
        <v>72</v>
      </c>
      <c r="AF4477" s="4">
        <v>2</v>
      </c>
      <c r="AG4477" s="4">
        <v>7</v>
      </c>
      <c r="AH4477" s="4">
        <v>43</v>
      </c>
      <c r="AI4477" s="4">
        <v>52</v>
      </c>
      <c r="AJ4477" s="4">
        <v>16</v>
      </c>
      <c r="AK4477" s="4">
        <v>24</v>
      </c>
      <c r="AL4477" s="4">
        <v>26</v>
      </c>
      <c r="AM4477" s="4">
        <v>30</v>
      </c>
      <c r="AN4477" s="4">
        <v>0</v>
      </c>
      <c r="AO4477" s="4">
        <v>0</v>
      </c>
      <c r="AP4477" s="4">
        <v>20</v>
      </c>
      <c r="AQ4477" s="4">
        <v>31</v>
      </c>
      <c r="AR4477" s="3" t="s">
        <v>62</v>
      </c>
      <c r="AS4477" s="3" t="s">
        <v>62</v>
      </c>
      <c r="AT4477" s="3" t="s">
        <v>61</v>
      </c>
      <c r="AU4477" s="6" t="str">
        <f>HYPERLINK("http://catalog.hathitrust.org/Record/000418656","HathiTrust Record")</f>
        <v>HathiTrust Record</v>
      </c>
      <c r="AV4477" s="6" t="str">
        <f>HYPERLINK("http://mcgill.on.worldcat.org/oclc/9852518","Catalog Record")</f>
        <v>Catalog Record</v>
      </c>
      <c r="AW4477" s="6" t="str">
        <f>HYPERLINK("http://www.worldcat.org/oclc/9852518","WorldCat Record")</f>
        <v>WorldCat Record</v>
      </c>
      <c r="AX4477" s="3" t="s">
        <v>42895</v>
      </c>
      <c r="AY4477" s="3" t="s">
        <v>42896</v>
      </c>
      <c r="AZ4477" s="3" t="s">
        <v>42897</v>
      </c>
      <c r="BA4477" s="3" t="s">
        <v>42897</v>
      </c>
      <c r="BB4477" s="3" t="s">
        <v>42898</v>
      </c>
      <c r="BC4477" s="3" t="s">
        <v>142</v>
      </c>
      <c r="BD4477" s="3" t="s">
        <v>308</v>
      </c>
      <c r="BE4477" s="3" t="s">
        <v>42899</v>
      </c>
      <c r="BF4477" s="3" t="s">
        <v>42898</v>
      </c>
      <c r="BG4477" s="3" t="s">
        <v>42900</v>
      </c>
    </row>
    <row r="4478" spans="1:59" ht="57" x14ac:dyDescent="0.45">
      <c r="A4478" s="2" t="s">
        <v>59</v>
      </c>
      <c r="B4478" s="2" t="s">
        <v>60</v>
      </c>
      <c r="C4478" s="2" t="s">
        <v>42901</v>
      </c>
      <c r="D4478" s="2" t="s">
        <v>42902</v>
      </c>
      <c r="E4478" s="2" t="s">
        <v>42903</v>
      </c>
      <c r="G4478" s="3" t="s">
        <v>62</v>
      </c>
      <c r="I4478" s="3" t="s">
        <v>62</v>
      </c>
      <c r="J4478" s="3" t="s">
        <v>62</v>
      </c>
      <c r="K4478" s="3" t="s">
        <v>63</v>
      </c>
      <c r="M4478" s="2" t="s">
        <v>42904</v>
      </c>
      <c r="N4478" s="3" t="s">
        <v>1437</v>
      </c>
      <c r="P4478" s="3" t="s">
        <v>65</v>
      </c>
      <c r="R4478" s="3" t="s">
        <v>66</v>
      </c>
      <c r="S4478" s="4">
        <v>29</v>
      </c>
      <c r="T4478" s="4">
        <v>29</v>
      </c>
      <c r="U4478" s="5" t="s">
        <v>19748</v>
      </c>
      <c r="V4478" s="5" t="s">
        <v>19748</v>
      </c>
      <c r="W4478" s="5" t="s">
        <v>67</v>
      </c>
      <c r="X4478" s="5" t="s">
        <v>67</v>
      </c>
      <c r="Y4478" s="4">
        <v>554</v>
      </c>
      <c r="Z4478" s="4">
        <v>28</v>
      </c>
      <c r="AA4478" s="4">
        <v>31</v>
      </c>
      <c r="AB4478" s="4">
        <v>1</v>
      </c>
      <c r="AC4478" s="4">
        <v>4</v>
      </c>
      <c r="AD4478" s="4">
        <v>101</v>
      </c>
      <c r="AE4478" s="4">
        <v>103</v>
      </c>
      <c r="AF4478" s="4">
        <v>0</v>
      </c>
      <c r="AG4478" s="4">
        <v>2</v>
      </c>
      <c r="AH4478" s="4">
        <v>89</v>
      </c>
      <c r="AI4478" s="4">
        <v>89</v>
      </c>
      <c r="AJ4478" s="4">
        <v>14</v>
      </c>
      <c r="AK4478" s="4">
        <v>16</v>
      </c>
      <c r="AL4478" s="4">
        <v>50</v>
      </c>
      <c r="AM4478" s="4">
        <v>50</v>
      </c>
      <c r="AN4478" s="4">
        <v>0</v>
      </c>
      <c r="AO4478" s="4">
        <v>0</v>
      </c>
      <c r="AP4478" s="4">
        <v>19</v>
      </c>
      <c r="AQ4478" s="4">
        <v>20</v>
      </c>
      <c r="AR4478" s="3" t="s">
        <v>62</v>
      </c>
      <c r="AS4478" s="3" t="s">
        <v>62</v>
      </c>
      <c r="AT4478" s="3" t="s">
        <v>62</v>
      </c>
      <c r="AV4478" s="6" t="str">
        <f>HYPERLINK("http://mcgill.on.worldcat.org/oclc/40539606","Catalog Record")</f>
        <v>Catalog Record</v>
      </c>
      <c r="AW4478" s="6" t="str">
        <f>HYPERLINK("http://www.worldcat.org/oclc/40539606","WorldCat Record")</f>
        <v>WorldCat Record</v>
      </c>
      <c r="AX4478" s="3" t="s">
        <v>42905</v>
      </c>
      <c r="AY4478" s="3" t="s">
        <v>42906</v>
      </c>
      <c r="AZ4478" s="3" t="s">
        <v>42907</v>
      </c>
      <c r="BA4478" s="3" t="s">
        <v>42907</v>
      </c>
      <c r="BB4478" s="3" t="s">
        <v>42908</v>
      </c>
      <c r="BC4478" s="3" t="s">
        <v>142</v>
      </c>
      <c r="BD4478" s="3" t="s">
        <v>68</v>
      </c>
      <c r="BE4478" s="3" t="s">
        <v>42909</v>
      </c>
      <c r="BF4478" s="3" t="s">
        <v>42908</v>
      </c>
      <c r="BG4478" s="3" t="s">
        <v>42910</v>
      </c>
    </row>
    <row r="4479" spans="1:59" ht="57" x14ac:dyDescent="0.45">
      <c r="A4479" s="2" t="s">
        <v>59</v>
      </c>
      <c r="B4479" s="2" t="s">
        <v>60</v>
      </c>
      <c r="C4479" s="2" t="s">
        <v>42911</v>
      </c>
      <c r="D4479" s="2" t="s">
        <v>42912</v>
      </c>
      <c r="E4479" s="2" t="s">
        <v>42913</v>
      </c>
      <c r="G4479" s="3" t="s">
        <v>62</v>
      </c>
      <c r="I4479" s="3" t="s">
        <v>61</v>
      </c>
      <c r="J4479" s="3" t="s">
        <v>62</v>
      </c>
      <c r="K4479" s="3" t="s">
        <v>63</v>
      </c>
      <c r="M4479" s="2" t="s">
        <v>42914</v>
      </c>
      <c r="N4479" s="3" t="s">
        <v>122</v>
      </c>
      <c r="P4479" s="3" t="s">
        <v>65</v>
      </c>
      <c r="Q4479" s="2" t="s">
        <v>42915</v>
      </c>
      <c r="R4479" s="3" t="s">
        <v>66</v>
      </c>
      <c r="S4479" s="4">
        <v>49</v>
      </c>
      <c r="T4479" s="4">
        <v>81</v>
      </c>
      <c r="U4479" s="5" t="s">
        <v>42916</v>
      </c>
      <c r="V4479" s="5" t="s">
        <v>9523</v>
      </c>
      <c r="W4479" s="5" t="s">
        <v>67</v>
      </c>
      <c r="X4479" s="5" t="s">
        <v>67</v>
      </c>
      <c r="Y4479" s="4">
        <v>442</v>
      </c>
      <c r="Z4479" s="4">
        <v>31</v>
      </c>
      <c r="AA4479" s="4">
        <v>34</v>
      </c>
      <c r="AB4479" s="4">
        <v>2</v>
      </c>
      <c r="AC4479" s="4">
        <v>5</v>
      </c>
      <c r="AD4479" s="4">
        <v>113</v>
      </c>
      <c r="AE4479" s="4">
        <v>116</v>
      </c>
      <c r="AF4479" s="4">
        <v>0</v>
      </c>
      <c r="AG4479" s="4">
        <v>3</v>
      </c>
      <c r="AH4479" s="4">
        <v>97</v>
      </c>
      <c r="AI4479" s="4">
        <v>98</v>
      </c>
      <c r="AJ4479" s="4">
        <v>19</v>
      </c>
      <c r="AK4479" s="4">
        <v>22</v>
      </c>
      <c r="AL4479" s="4">
        <v>51</v>
      </c>
      <c r="AM4479" s="4">
        <v>51</v>
      </c>
      <c r="AN4479" s="4">
        <v>0</v>
      </c>
      <c r="AO4479" s="4">
        <v>0</v>
      </c>
      <c r="AP4479" s="4">
        <v>24</v>
      </c>
      <c r="AQ4479" s="4">
        <v>26</v>
      </c>
      <c r="AR4479" s="3" t="s">
        <v>62</v>
      </c>
      <c r="AS4479" s="3" t="s">
        <v>62</v>
      </c>
      <c r="AT4479" s="3" t="s">
        <v>61</v>
      </c>
      <c r="AU4479" s="6" t="str">
        <f>HYPERLINK("http://catalog.hathitrust.org/Record/000175144","HathiTrust Record")</f>
        <v>HathiTrust Record</v>
      </c>
      <c r="AV4479" s="6" t="str">
        <f>HYPERLINK("http://mcgill.on.worldcat.org/oclc/3956637","Catalog Record")</f>
        <v>Catalog Record</v>
      </c>
      <c r="AW4479" s="6" t="str">
        <f>HYPERLINK("http://www.worldcat.org/oclc/3956637","WorldCat Record")</f>
        <v>WorldCat Record</v>
      </c>
      <c r="AX4479" s="3" t="s">
        <v>42917</v>
      </c>
      <c r="AY4479" s="3" t="s">
        <v>42918</v>
      </c>
      <c r="AZ4479" s="3" t="s">
        <v>42919</v>
      </c>
      <c r="BA4479" s="3" t="s">
        <v>42919</v>
      </c>
      <c r="BB4479" s="3" t="s">
        <v>42920</v>
      </c>
      <c r="BC4479" s="3" t="s">
        <v>142</v>
      </c>
      <c r="BD4479" s="3" t="s">
        <v>68</v>
      </c>
      <c r="BE4479" s="3" t="s">
        <v>42921</v>
      </c>
      <c r="BF4479" s="3" t="s">
        <v>42920</v>
      </c>
      <c r="BG4479" s="3" t="s">
        <v>42922</v>
      </c>
    </row>
    <row r="4480" spans="1:59" ht="57" x14ac:dyDescent="0.45">
      <c r="A4480" s="2" t="s">
        <v>59</v>
      </c>
      <c r="B4480" s="2" t="s">
        <v>60</v>
      </c>
      <c r="C4480" s="2" t="s">
        <v>42911</v>
      </c>
      <c r="D4480" s="2" t="s">
        <v>42912</v>
      </c>
      <c r="E4480" s="2" t="s">
        <v>42913</v>
      </c>
      <c r="G4480" s="3" t="s">
        <v>62</v>
      </c>
      <c r="I4480" s="3" t="s">
        <v>61</v>
      </c>
      <c r="J4480" s="3" t="s">
        <v>62</v>
      </c>
      <c r="K4480" s="3" t="s">
        <v>63</v>
      </c>
      <c r="M4480" s="2" t="s">
        <v>42914</v>
      </c>
      <c r="N4480" s="3" t="s">
        <v>122</v>
      </c>
      <c r="P4480" s="3" t="s">
        <v>65</v>
      </c>
      <c r="Q4480" s="2" t="s">
        <v>42915</v>
      </c>
      <c r="R4480" s="3" t="s">
        <v>66</v>
      </c>
      <c r="S4480" s="4">
        <v>32</v>
      </c>
      <c r="T4480" s="4">
        <v>81</v>
      </c>
      <c r="U4480" s="5" t="s">
        <v>9523</v>
      </c>
      <c r="V4480" s="5" t="s">
        <v>9523</v>
      </c>
      <c r="W4480" s="5" t="s">
        <v>67</v>
      </c>
      <c r="X4480" s="5" t="s">
        <v>67</v>
      </c>
      <c r="Y4480" s="4">
        <v>442</v>
      </c>
      <c r="Z4480" s="4">
        <v>31</v>
      </c>
      <c r="AA4480" s="4">
        <v>34</v>
      </c>
      <c r="AB4480" s="4">
        <v>2</v>
      </c>
      <c r="AC4480" s="4">
        <v>5</v>
      </c>
      <c r="AD4480" s="4">
        <v>113</v>
      </c>
      <c r="AE4480" s="4">
        <v>116</v>
      </c>
      <c r="AF4480" s="4">
        <v>0</v>
      </c>
      <c r="AG4480" s="4">
        <v>3</v>
      </c>
      <c r="AH4480" s="4">
        <v>97</v>
      </c>
      <c r="AI4480" s="4">
        <v>98</v>
      </c>
      <c r="AJ4480" s="4">
        <v>19</v>
      </c>
      <c r="AK4480" s="4">
        <v>22</v>
      </c>
      <c r="AL4480" s="4">
        <v>51</v>
      </c>
      <c r="AM4480" s="4">
        <v>51</v>
      </c>
      <c r="AN4480" s="4">
        <v>0</v>
      </c>
      <c r="AO4480" s="4">
        <v>0</v>
      </c>
      <c r="AP4480" s="4">
        <v>24</v>
      </c>
      <c r="AQ4480" s="4">
        <v>26</v>
      </c>
      <c r="AR4480" s="3" t="s">
        <v>62</v>
      </c>
      <c r="AS4480" s="3" t="s">
        <v>62</v>
      </c>
      <c r="AT4480" s="3" t="s">
        <v>61</v>
      </c>
      <c r="AU4480" s="6" t="str">
        <f>HYPERLINK("http://catalog.hathitrust.org/Record/000175144","HathiTrust Record")</f>
        <v>HathiTrust Record</v>
      </c>
      <c r="AV4480" s="6" t="str">
        <f>HYPERLINK("http://mcgill.on.worldcat.org/oclc/3956637","Catalog Record")</f>
        <v>Catalog Record</v>
      </c>
      <c r="AW4480" s="6" t="str">
        <f>HYPERLINK("http://www.worldcat.org/oclc/3956637","WorldCat Record")</f>
        <v>WorldCat Record</v>
      </c>
      <c r="AX4480" s="3" t="s">
        <v>42917</v>
      </c>
      <c r="AY4480" s="3" t="s">
        <v>42918</v>
      </c>
      <c r="AZ4480" s="3" t="s">
        <v>42919</v>
      </c>
      <c r="BA4480" s="3" t="s">
        <v>42919</v>
      </c>
      <c r="BB4480" s="3" t="s">
        <v>42923</v>
      </c>
      <c r="BC4480" s="3" t="s">
        <v>142</v>
      </c>
      <c r="BD4480" s="3" t="s">
        <v>68</v>
      </c>
      <c r="BE4480" s="3" t="s">
        <v>42921</v>
      </c>
      <c r="BF4480" s="3" t="s">
        <v>42923</v>
      </c>
      <c r="BG4480" s="3" t="s">
        <v>42924</v>
      </c>
    </row>
    <row r="4481" spans="1:59" ht="42.75" x14ac:dyDescent="0.45">
      <c r="A4481" s="2" t="s">
        <v>80</v>
      </c>
      <c r="B4481" s="2" t="s">
        <v>12661</v>
      </c>
      <c r="C4481" s="2" t="s">
        <v>42925</v>
      </c>
      <c r="D4481" s="2" t="s">
        <v>42926</v>
      </c>
      <c r="E4481" s="2" t="s">
        <v>42927</v>
      </c>
      <c r="G4481" s="3" t="s">
        <v>62</v>
      </c>
      <c r="I4481" s="3" t="s">
        <v>61</v>
      </c>
      <c r="J4481" s="3" t="s">
        <v>62</v>
      </c>
      <c r="K4481" s="3" t="s">
        <v>63</v>
      </c>
      <c r="L4481" s="2" t="s">
        <v>42928</v>
      </c>
      <c r="M4481" s="2" t="s">
        <v>42929</v>
      </c>
      <c r="N4481" s="3" t="s">
        <v>113</v>
      </c>
      <c r="P4481" s="3" t="s">
        <v>65</v>
      </c>
      <c r="Q4481" s="2" t="s">
        <v>42930</v>
      </c>
      <c r="R4481" s="3" t="s">
        <v>66</v>
      </c>
      <c r="S4481" s="4">
        <v>8</v>
      </c>
      <c r="T4481" s="4">
        <v>8</v>
      </c>
      <c r="U4481" s="5" t="s">
        <v>30617</v>
      </c>
      <c r="V4481" s="5" t="s">
        <v>30617</v>
      </c>
      <c r="W4481" s="5" t="s">
        <v>67</v>
      </c>
      <c r="X4481" s="5" t="s">
        <v>67</v>
      </c>
      <c r="Y4481" s="4">
        <v>370</v>
      </c>
      <c r="Z4481" s="4">
        <v>22</v>
      </c>
      <c r="AA4481" s="4">
        <v>32</v>
      </c>
      <c r="AB4481" s="4">
        <v>1</v>
      </c>
      <c r="AC4481" s="4">
        <v>6</v>
      </c>
      <c r="AD4481" s="4">
        <v>106</v>
      </c>
      <c r="AE4481" s="4">
        <v>115</v>
      </c>
      <c r="AF4481" s="4">
        <v>0</v>
      </c>
      <c r="AG4481" s="4">
        <v>2</v>
      </c>
      <c r="AH4481" s="4">
        <v>93</v>
      </c>
      <c r="AI4481" s="4">
        <v>98</v>
      </c>
      <c r="AJ4481" s="4">
        <v>15</v>
      </c>
      <c r="AK4481" s="4">
        <v>21</v>
      </c>
      <c r="AL4481" s="4">
        <v>54</v>
      </c>
      <c r="AM4481" s="4">
        <v>55</v>
      </c>
      <c r="AN4481" s="4">
        <v>0</v>
      </c>
      <c r="AO4481" s="4">
        <v>0</v>
      </c>
      <c r="AP4481" s="4">
        <v>19</v>
      </c>
      <c r="AQ4481" s="4">
        <v>25</v>
      </c>
      <c r="AR4481" s="3" t="s">
        <v>62</v>
      </c>
      <c r="AS4481" s="3" t="s">
        <v>62</v>
      </c>
      <c r="AT4481" s="3" t="s">
        <v>61</v>
      </c>
      <c r="AU4481" s="6" t="str">
        <f>HYPERLINK("http://catalog.hathitrust.org/Record/001181011","HathiTrust Record")</f>
        <v>HathiTrust Record</v>
      </c>
      <c r="AV4481" s="6" t="str">
        <f>HYPERLINK("http://mcgill.on.worldcat.org/oclc/952809","Catalog Record")</f>
        <v>Catalog Record</v>
      </c>
      <c r="AW4481" s="6" t="str">
        <f>HYPERLINK("http://www.worldcat.org/oclc/952809","WorldCat Record")</f>
        <v>WorldCat Record</v>
      </c>
      <c r="AX4481" s="3" t="s">
        <v>42931</v>
      </c>
      <c r="AY4481" s="3" t="s">
        <v>42932</v>
      </c>
      <c r="AZ4481" s="3" t="s">
        <v>42933</v>
      </c>
      <c r="BA4481" s="3" t="s">
        <v>42933</v>
      </c>
      <c r="BB4481" s="3" t="s">
        <v>42934</v>
      </c>
      <c r="BC4481" s="3" t="s">
        <v>142</v>
      </c>
      <c r="BD4481" s="3" t="s">
        <v>68</v>
      </c>
      <c r="BE4481" s="3" t="s">
        <v>42935</v>
      </c>
      <c r="BF4481" s="3" t="s">
        <v>42934</v>
      </c>
      <c r="BG4481" s="3" t="s">
        <v>42936</v>
      </c>
    </row>
    <row r="4482" spans="1:59" ht="57" x14ac:dyDescent="0.45">
      <c r="A4482" s="2" t="s">
        <v>59</v>
      </c>
      <c r="B4482" s="2" t="s">
        <v>60</v>
      </c>
      <c r="C4482" s="2" t="s">
        <v>42925</v>
      </c>
      <c r="D4482" s="2" t="s">
        <v>42926</v>
      </c>
      <c r="E4482" s="2" t="s">
        <v>42927</v>
      </c>
      <c r="G4482" s="3" t="s">
        <v>62</v>
      </c>
      <c r="I4482" s="3" t="s">
        <v>61</v>
      </c>
      <c r="J4482" s="3" t="s">
        <v>62</v>
      </c>
      <c r="K4482" s="3" t="s">
        <v>63</v>
      </c>
      <c r="L4482" s="2" t="s">
        <v>42928</v>
      </c>
      <c r="M4482" s="2" t="s">
        <v>42929</v>
      </c>
      <c r="N4482" s="3" t="s">
        <v>113</v>
      </c>
      <c r="P4482" s="3" t="s">
        <v>65</v>
      </c>
      <c r="Q4482" s="2" t="s">
        <v>42930</v>
      </c>
      <c r="R4482" s="3" t="s">
        <v>66</v>
      </c>
      <c r="S4482" s="4">
        <v>0</v>
      </c>
      <c r="T4482" s="4">
        <v>8</v>
      </c>
      <c r="V4482" s="5" t="s">
        <v>30617</v>
      </c>
      <c r="W4482" s="5" t="s">
        <v>67</v>
      </c>
      <c r="X4482" s="5" t="s">
        <v>67</v>
      </c>
      <c r="Y4482" s="4">
        <v>370</v>
      </c>
      <c r="Z4482" s="4">
        <v>22</v>
      </c>
      <c r="AA4482" s="4">
        <v>32</v>
      </c>
      <c r="AB4482" s="4">
        <v>1</v>
      </c>
      <c r="AC4482" s="4">
        <v>6</v>
      </c>
      <c r="AD4482" s="4">
        <v>106</v>
      </c>
      <c r="AE4482" s="4">
        <v>115</v>
      </c>
      <c r="AF4482" s="4">
        <v>0</v>
      </c>
      <c r="AG4482" s="4">
        <v>2</v>
      </c>
      <c r="AH4482" s="4">
        <v>93</v>
      </c>
      <c r="AI4482" s="4">
        <v>98</v>
      </c>
      <c r="AJ4482" s="4">
        <v>15</v>
      </c>
      <c r="AK4482" s="4">
        <v>21</v>
      </c>
      <c r="AL4482" s="4">
        <v>54</v>
      </c>
      <c r="AM4482" s="4">
        <v>55</v>
      </c>
      <c r="AN4482" s="4">
        <v>0</v>
      </c>
      <c r="AO4482" s="4">
        <v>0</v>
      </c>
      <c r="AP4482" s="4">
        <v>19</v>
      </c>
      <c r="AQ4482" s="4">
        <v>25</v>
      </c>
      <c r="AR4482" s="3" t="s">
        <v>62</v>
      </c>
      <c r="AS4482" s="3" t="s">
        <v>62</v>
      </c>
      <c r="AT4482" s="3" t="s">
        <v>61</v>
      </c>
      <c r="AU4482" s="6" t="str">
        <f>HYPERLINK("http://catalog.hathitrust.org/Record/001181011","HathiTrust Record")</f>
        <v>HathiTrust Record</v>
      </c>
      <c r="AV4482" s="6" t="str">
        <f>HYPERLINK("http://mcgill.on.worldcat.org/oclc/952809","Catalog Record")</f>
        <v>Catalog Record</v>
      </c>
      <c r="AW4482" s="6" t="str">
        <f>HYPERLINK("http://www.worldcat.org/oclc/952809","WorldCat Record")</f>
        <v>WorldCat Record</v>
      </c>
      <c r="AX4482" s="3" t="s">
        <v>42931</v>
      </c>
      <c r="AY4482" s="3" t="s">
        <v>42932</v>
      </c>
      <c r="AZ4482" s="3" t="s">
        <v>42933</v>
      </c>
      <c r="BA4482" s="3" t="s">
        <v>42933</v>
      </c>
      <c r="BB4482" s="3" t="s">
        <v>42937</v>
      </c>
      <c r="BC4482" s="3" t="s">
        <v>142</v>
      </c>
      <c r="BD4482" s="3" t="s">
        <v>68</v>
      </c>
      <c r="BE4482" s="3" t="s">
        <v>42935</v>
      </c>
      <c r="BF4482" s="3" t="s">
        <v>42937</v>
      </c>
      <c r="BG4482" s="3" t="s">
        <v>42938</v>
      </c>
    </row>
    <row r="4483" spans="1:59" ht="57" x14ac:dyDescent="0.45">
      <c r="A4483" s="2" t="s">
        <v>59</v>
      </c>
      <c r="B4483" s="2" t="s">
        <v>60</v>
      </c>
      <c r="C4483" s="2" t="s">
        <v>42939</v>
      </c>
      <c r="D4483" s="2" t="s">
        <v>42940</v>
      </c>
      <c r="E4483" s="2" t="s">
        <v>42941</v>
      </c>
      <c r="G4483" s="3" t="s">
        <v>62</v>
      </c>
      <c r="I4483" s="3" t="s">
        <v>61</v>
      </c>
      <c r="J4483" s="3" t="s">
        <v>62</v>
      </c>
      <c r="K4483" s="3" t="s">
        <v>63</v>
      </c>
      <c r="L4483" s="2" t="s">
        <v>42942</v>
      </c>
      <c r="M4483" s="2" t="s">
        <v>8375</v>
      </c>
      <c r="N4483" s="3" t="s">
        <v>495</v>
      </c>
      <c r="P4483" s="3" t="s">
        <v>65</v>
      </c>
      <c r="Q4483" s="2" t="s">
        <v>42943</v>
      </c>
      <c r="R4483" s="3" t="s">
        <v>66</v>
      </c>
      <c r="S4483" s="4">
        <v>3</v>
      </c>
      <c r="T4483" s="4">
        <v>3</v>
      </c>
      <c r="U4483" s="5" t="s">
        <v>18361</v>
      </c>
      <c r="V4483" s="5" t="s">
        <v>18361</v>
      </c>
      <c r="W4483" s="5" t="s">
        <v>67</v>
      </c>
      <c r="X4483" s="5" t="s">
        <v>67</v>
      </c>
      <c r="Y4483" s="4">
        <v>276</v>
      </c>
      <c r="Z4483" s="4">
        <v>25</v>
      </c>
      <c r="AA4483" s="4">
        <v>28</v>
      </c>
      <c r="AB4483" s="4">
        <v>2</v>
      </c>
      <c r="AC4483" s="4">
        <v>5</v>
      </c>
      <c r="AD4483" s="4">
        <v>94</v>
      </c>
      <c r="AE4483" s="4">
        <v>97</v>
      </c>
      <c r="AF4483" s="4">
        <v>1</v>
      </c>
      <c r="AG4483" s="4">
        <v>4</v>
      </c>
      <c r="AH4483" s="4">
        <v>82</v>
      </c>
      <c r="AI4483" s="4">
        <v>83</v>
      </c>
      <c r="AJ4483" s="4">
        <v>15</v>
      </c>
      <c r="AK4483" s="4">
        <v>18</v>
      </c>
      <c r="AL4483" s="4">
        <v>46</v>
      </c>
      <c r="AM4483" s="4">
        <v>46</v>
      </c>
      <c r="AN4483" s="4">
        <v>0</v>
      </c>
      <c r="AO4483" s="4">
        <v>0</v>
      </c>
      <c r="AP4483" s="4">
        <v>20</v>
      </c>
      <c r="AQ4483" s="4">
        <v>22</v>
      </c>
      <c r="AR4483" s="3" t="s">
        <v>62</v>
      </c>
      <c r="AS4483" s="3" t="s">
        <v>62</v>
      </c>
      <c r="AT4483" s="3" t="s">
        <v>61</v>
      </c>
      <c r="AU4483" s="6" t="str">
        <f>HYPERLINK("http://catalog.hathitrust.org/Record/000688131","HathiTrust Record")</f>
        <v>HathiTrust Record</v>
      </c>
      <c r="AV4483" s="6" t="str">
        <f>HYPERLINK("http://mcgill.on.worldcat.org/oclc/1849305","Catalog Record")</f>
        <v>Catalog Record</v>
      </c>
      <c r="AW4483" s="6" t="str">
        <f>HYPERLINK("http://www.worldcat.org/oclc/1849305","WorldCat Record")</f>
        <v>WorldCat Record</v>
      </c>
      <c r="AX4483" s="3" t="s">
        <v>42944</v>
      </c>
      <c r="AY4483" s="3" t="s">
        <v>42945</v>
      </c>
      <c r="AZ4483" s="3" t="s">
        <v>42946</v>
      </c>
      <c r="BA4483" s="3" t="s">
        <v>42946</v>
      </c>
      <c r="BB4483" s="3" t="s">
        <v>42947</v>
      </c>
      <c r="BC4483" s="3" t="s">
        <v>142</v>
      </c>
      <c r="BD4483" s="3" t="s">
        <v>68</v>
      </c>
      <c r="BE4483" s="3" t="s">
        <v>42948</v>
      </c>
      <c r="BF4483" s="3" t="s">
        <v>42947</v>
      </c>
      <c r="BG4483" s="3" t="s">
        <v>42949</v>
      </c>
    </row>
    <row r="4484" spans="1:59" ht="57" x14ac:dyDescent="0.45">
      <c r="A4484" s="2" t="s">
        <v>59</v>
      </c>
      <c r="B4484" s="2" t="s">
        <v>412</v>
      </c>
      <c r="C4484" s="2" t="s">
        <v>42939</v>
      </c>
      <c r="D4484" s="2" t="s">
        <v>42940</v>
      </c>
      <c r="E4484" s="2" t="s">
        <v>42941</v>
      </c>
      <c r="G4484" s="3" t="s">
        <v>62</v>
      </c>
      <c r="I4484" s="3" t="s">
        <v>61</v>
      </c>
      <c r="J4484" s="3" t="s">
        <v>62</v>
      </c>
      <c r="K4484" s="3" t="s">
        <v>63</v>
      </c>
      <c r="L4484" s="2" t="s">
        <v>42942</v>
      </c>
      <c r="M4484" s="2" t="s">
        <v>8375</v>
      </c>
      <c r="N4484" s="3" t="s">
        <v>495</v>
      </c>
      <c r="P4484" s="3" t="s">
        <v>65</v>
      </c>
      <c r="Q4484" s="2" t="s">
        <v>42943</v>
      </c>
      <c r="R4484" s="3" t="s">
        <v>66</v>
      </c>
      <c r="S4484" s="4">
        <v>0</v>
      </c>
      <c r="T4484" s="4">
        <v>3</v>
      </c>
      <c r="V4484" s="5" t="s">
        <v>18361</v>
      </c>
      <c r="W4484" s="5" t="s">
        <v>67</v>
      </c>
      <c r="X4484" s="5" t="s">
        <v>67</v>
      </c>
      <c r="Y4484" s="4">
        <v>276</v>
      </c>
      <c r="Z4484" s="4">
        <v>25</v>
      </c>
      <c r="AA4484" s="4">
        <v>28</v>
      </c>
      <c r="AB4484" s="4">
        <v>2</v>
      </c>
      <c r="AC4484" s="4">
        <v>5</v>
      </c>
      <c r="AD4484" s="4">
        <v>94</v>
      </c>
      <c r="AE4484" s="4">
        <v>97</v>
      </c>
      <c r="AF4484" s="4">
        <v>1</v>
      </c>
      <c r="AG4484" s="4">
        <v>4</v>
      </c>
      <c r="AH4484" s="4">
        <v>82</v>
      </c>
      <c r="AI4484" s="4">
        <v>83</v>
      </c>
      <c r="AJ4484" s="4">
        <v>15</v>
      </c>
      <c r="AK4484" s="4">
        <v>18</v>
      </c>
      <c r="AL4484" s="4">
        <v>46</v>
      </c>
      <c r="AM4484" s="4">
        <v>46</v>
      </c>
      <c r="AN4484" s="4">
        <v>0</v>
      </c>
      <c r="AO4484" s="4">
        <v>0</v>
      </c>
      <c r="AP4484" s="4">
        <v>20</v>
      </c>
      <c r="AQ4484" s="4">
        <v>22</v>
      </c>
      <c r="AR4484" s="3" t="s">
        <v>62</v>
      </c>
      <c r="AS4484" s="3" t="s">
        <v>62</v>
      </c>
      <c r="AT4484" s="3" t="s">
        <v>61</v>
      </c>
      <c r="AU4484" s="6" t="str">
        <f>HYPERLINK("http://catalog.hathitrust.org/Record/000688131","HathiTrust Record")</f>
        <v>HathiTrust Record</v>
      </c>
      <c r="AV4484" s="6" t="str">
        <f>HYPERLINK("http://mcgill.on.worldcat.org/oclc/1849305","Catalog Record")</f>
        <v>Catalog Record</v>
      </c>
      <c r="AW4484" s="6" t="str">
        <f>HYPERLINK("http://www.worldcat.org/oclc/1849305","WorldCat Record")</f>
        <v>WorldCat Record</v>
      </c>
      <c r="AX4484" s="3" t="s">
        <v>42944</v>
      </c>
      <c r="AY4484" s="3" t="s">
        <v>42945</v>
      </c>
      <c r="AZ4484" s="3" t="s">
        <v>42946</v>
      </c>
      <c r="BA4484" s="3" t="s">
        <v>42946</v>
      </c>
      <c r="BB4484" s="3" t="s">
        <v>42950</v>
      </c>
      <c r="BC4484" s="3" t="s">
        <v>142</v>
      </c>
      <c r="BD4484" s="3" t="s">
        <v>68</v>
      </c>
      <c r="BE4484" s="3" t="s">
        <v>42948</v>
      </c>
      <c r="BF4484" s="3" t="s">
        <v>42950</v>
      </c>
      <c r="BG4484" s="3" t="s">
        <v>42951</v>
      </c>
    </row>
    <row r="4485" spans="1:59" ht="57" x14ac:dyDescent="0.45">
      <c r="A4485" s="2" t="s">
        <v>59</v>
      </c>
      <c r="B4485" s="2" t="s">
        <v>60</v>
      </c>
      <c r="C4485" s="2" t="s">
        <v>42952</v>
      </c>
      <c r="D4485" s="2" t="s">
        <v>42953</v>
      </c>
      <c r="E4485" s="2" t="s">
        <v>42954</v>
      </c>
      <c r="G4485" s="3" t="s">
        <v>62</v>
      </c>
      <c r="I4485" s="3" t="s">
        <v>62</v>
      </c>
      <c r="J4485" s="3" t="s">
        <v>62</v>
      </c>
      <c r="K4485" s="3" t="s">
        <v>63</v>
      </c>
      <c r="L4485" s="2" t="s">
        <v>42955</v>
      </c>
      <c r="M4485" s="2" t="s">
        <v>42956</v>
      </c>
      <c r="N4485" s="3" t="s">
        <v>1212</v>
      </c>
      <c r="P4485" s="3" t="s">
        <v>65</v>
      </c>
      <c r="R4485" s="3" t="s">
        <v>66</v>
      </c>
      <c r="S4485" s="4">
        <v>4</v>
      </c>
      <c r="T4485" s="4">
        <v>4</v>
      </c>
      <c r="U4485" s="5" t="s">
        <v>20357</v>
      </c>
      <c r="V4485" s="5" t="s">
        <v>20357</v>
      </c>
      <c r="W4485" s="5" t="s">
        <v>67</v>
      </c>
      <c r="X4485" s="5" t="s">
        <v>67</v>
      </c>
      <c r="Y4485" s="4">
        <v>63</v>
      </c>
      <c r="Z4485" s="4">
        <v>5</v>
      </c>
      <c r="AA4485" s="4">
        <v>78</v>
      </c>
      <c r="AB4485" s="4">
        <v>1</v>
      </c>
      <c r="AC4485" s="4">
        <v>14</v>
      </c>
      <c r="AD4485" s="4">
        <v>23</v>
      </c>
      <c r="AE4485" s="4">
        <v>87</v>
      </c>
      <c r="AF4485" s="4">
        <v>0</v>
      </c>
      <c r="AG4485" s="4">
        <v>8</v>
      </c>
      <c r="AH4485" s="4">
        <v>20</v>
      </c>
      <c r="AI4485" s="4">
        <v>56</v>
      </c>
      <c r="AJ4485" s="4">
        <v>3</v>
      </c>
      <c r="AK4485" s="4">
        <v>17</v>
      </c>
      <c r="AL4485" s="4">
        <v>15</v>
      </c>
      <c r="AM4485" s="4">
        <v>28</v>
      </c>
      <c r="AN4485" s="4">
        <v>0</v>
      </c>
      <c r="AO4485" s="4">
        <v>0</v>
      </c>
      <c r="AP4485" s="4">
        <v>4</v>
      </c>
      <c r="AQ4485" s="4">
        <v>37</v>
      </c>
      <c r="AR4485" s="3" t="s">
        <v>62</v>
      </c>
      <c r="AS4485" s="3" t="s">
        <v>62</v>
      </c>
      <c r="AT4485" s="3" t="s">
        <v>62</v>
      </c>
      <c r="AV4485" s="6" t="str">
        <f>HYPERLINK("http://mcgill.on.worldcat.org/oclc/59423576","Catalog Record")</f>
        <v>Catalog Record</v>
      </c>
      <c r="AW4485" s="6" t="str">
        <f>HYPERLINK("http://www.worldcat.org/oclc/59423576","WorldCat Record")</f>
        <v>WorldCat Record</v>
      </c>
      <c r="AX4485" s="3" t="s">
        <v>42957</v>
      </c>
      <c r="AY4485" s="3" t="s">
        <v>42958</v>
      </c>
      <c r="AZ4485" s="3" t="s">
        <v>42959</v>
      </c>
      <c r="BA4485" s="3" t="s">
        <v>42959</v>
      </c>
      <c r="BB4485" s="3" t="s">
        <v>42960</v>
      </c>
      <c r="BC4485" s="3" t="s">
        <v>142</v>
      </c>
      <c r="BD4485" s="3" t="s">
        <v>68</v>
      </c>
      <c r="BE4485" s="3" t="s">
        <v>42961</v>
      </c>
      <c r="BF4485" s="3" t="s">
        <v>42960</v>
      </c>
      <c r="BG4485" s="3" t="s">
        <v>42962</v>
      </c>
    </row>
    <row r="4486" spans="1:59" ht="57" x14ac:dyDescent="0.45">
      <c r="A4486" s="2" t="s">
        <v>59</v>
      </c>
      <c r="B4486" s="2" t="s">
        <v>60</v>
      </c>
      <c r="C4486" s="2" t="s">
        <v>42963</v>
      </c>
      <c r="D4486" s="2" t="s">
        <v>42964</v>
      </c>
      <c r="E4486" s="2" t="s">
        <v>42965</v>
      </c>
      <c r="G4486" s="3" t="s">
        <v>62</v>
      </c>
      <c r="I4486" s="3" t="s">
        <v>62</v>
      </c>
      <c r="J4486" s="3" t="s">
        <v>62</v>
      </c>
      <c r="K4486" s="3" t="s">
        <v>63</v>
      </c>
      <c r="L4486" s="2" t="s">
        <v>42966</v>
      </c>
      <c r="M4486" s="2" t="s">
        <v>42967</v>
      </c>
      <c r="N4486" s="3" t="s">
        <v>5180</v>
      </c>
      <c r="P4486" s="3" t="s">
        <v>65</v>
      </c>
      <c r="Q4486" s="2" t="s">
        <v>42968</v>
      </c>
      <c r="R4486" s="3" t="s">
        <v>66</v>
      </c>
      <c r="S4486" s="4">
        <v>0</v>
      </c>
      <c r="T4486" s="4">
        <v>0</v>
      </c>
      <c r="W4486" s="5" t="s">
        <v>67</v>
      </c>
      <c r="X4486" s="5" t="s">
        <v>67</v>
      </c>
      <c r="Y4486" s="4">
        <v>243</v>
      </c>
      <c r="Z4486" s="4">
        <v>11</v>
      </c>
      <c r="AA4486" s="4">
        <v>15</v>
      </c>
      <c r="AB4486" s="4">
        <v>1</v>
      </c>
      <c r="AC4486" s="4">
        <v>5</v>
      </c>
      <c r="AD4486" s="4">
        <v>47</v>
      </c>
      <c r="AE4486" s="4">
        <v>52</v>
      </c>
      <c r="AF4486" s="4">
        <v>0</v>
      </c>
      <c r="AG4486" s="4">
        <v>2</v>
      </c>
      <c r="AH4486" s="4">
        <v>43</v>
      </c>
      <c r="AI4486" s="4">
        <v>45</v>
      </c>
      <c r="AJ4486" s="4">
        <v>6</v>
      </c>
      <c r="AK4486" s="4">
        <v>8</v>
      </c>
      <c r="AL4486" s="4">
        <v>27</v>
      </c>
      <c r="AM4486" s="4">
        <v>28</v>
      </c>
      <c r="AN4486" s="4">
        <v>0</v>
      </c>
      <c r="AO4486" s="4">
        <v>0</v>
      </c>
      <c r="AP4486" s="4">
        <v>7</v>
      </c>
      <c r="AQ4486" s="4">
        <v>8</v>
      </c>
      <c r="AR4486" s="3" t="s">
        <v>62</v>
      </c>
      <c r="AS4486" s="3" t="s">
        <v>62</v>
      </c>
      <c r="AT4486" s="3" t="s">
        <v>62</v>
      </c>
      <c r="AV4486" s="6" t="str">
        <f>HYPERLINK("http://mcgill.on.worldcat.org/oclc/1050141407","Catalog Record")</f>
        <v>Catalog Record</v>
      </c>
      <c r="AW4486" s="6" t="str">
        <f>HYPERLINK("http://www.worldcat.org/oclc/1050141407","WorldCat Record")</f>
        <v>WorldCat Record</v>
      </c>
      <c r="AX4486" s="3" t="s">
        <v>42969</v>
      </c>
      <c r="AY4486" s="3" t="s">
        <v>42970</v>
      </c>
      <c r="AZ4486" s="3" t="s">
        <v>42971</v>
      </c>
      <c r="BA4486" s="3" t="s">
        <v>42971</v>
      </c>
      <c r="BB4486" s="3" t="s">
        <v>42972</v>
      </c>
      <c r="BC4486" s="3" t="s">
        <v>142</v>
      </c>
      <c r="BD4486" s="3" t="s">
        <v>68</v>
      </c>
      <c r="BE4486" s="3" t="s">
        <v>42973</v>
      </c>
      <c r="BF4486" s="3" t="s">
        <v>42972</v>
      </c>
      <c r="BG4486" s="3" t="s">
        <v>42974</v>
      </c>
    </row>
    <row r="4487" spans="1:59" ht="57" x14ac:dyDescent="0.45">
      <c r="A4487" s="2" t="s">
        <v>59</v>
      </c>
      <c r="B4487" s="2" t="s">
        <v>60</v>
      </c>
      <c r="C4487" s="2" t="s">
        <v>42975</v>
      </c>
      <c r="D4487" s="2" t="s">
        <v>42976</v>
      </c>
      <c r="E4487" s="2" t="s">
        <v>42977</v>
      </c>
      <c r="G4487" s="3" t="s">
        <v>62</v>
      </c>
      <c r="I4487" s="3" t="s">
        <v>62</v>
      </c>
      <c r="J4487" s="3" t="s">
        <v>62</v>
      </c>
      <c r="K4487" s="3" t="s">
        <v>63</v>
      </c>
      <c r="L4487" s="2" t="s">
        <v>42978</v>
      </c>
      <c r="M4487" s="2" t="s">
        <v>42979</v>
      </c>
      <c r="N4487" s="3" t="s">
        <v>793</v>
      </c>
      <c r="O4487" s="2" t="s">
        <v>13366</v>
      </c>
      <c r="P4487" s="3" t="s">
        <v>65</v>
      </c>
      <c r="R4487" s="3" t="s">
        <v>66</v>
      </c>
      <c r="S4487" s="4">
        <v>6</v>
      </c>
      <c r="T4487" s="4">
        <v>6</v>
      </c>
      <c r="U4487" s="5" t="s">
        <v>10009</v>
      </c>
      <c r="V4487" s="5" t="s">
        <v>10009</v>
      </c>
      <c r="W4487" s="5" t="s">
        <v>67</v>
      </c>
      <c r="X4487" s="5" t="s">
        <v>67</v>
      </c>
      <c r="Y4487" s="4">
        <v>42</v>
      </c>
      <c r="Z4487" s="4">
        <v>13</v>
      </c>
      <c r="AA4487" s="4">
        <v>15</v>
      </c>
      <c r="AB4487" s="4">
        <v>2</v>
      </c>
      <c r="AC4487" s="4">
        <v>3</v>
      </c>
      <c r="AD4487" s="4">
        <v>35</v>
      </c>
      <c r="AE4487" s="4">
        <v>50</v>
      </c>
      <c r="AF4487" s="4">
        <v>1</v>
      </c>
      <c r="AG4487" s="4">
        <v>2</v>
      </c>
      <c r="AH4487" s="4">
        <v>30</v>
      </c>
      <c r="AI4487" s="4">
        <v>42</v>
      </c>
      <c r="AJ4487" s="4">
        <v>10</v>
      </c>
      <c r="AK4487" s="4">
        <v>12</v>
      </c>
      <c r="AL4487" s="4">
        <v>20</v>
      </c>
      <c r="AM4487" s="4">
        <v>30</v>
      </c>
      <c r="AN4487" s="4">
        <v>0</v>
      </c>
      <c r="AO4487" s="4">
        <v>0</v>
      </c>
      <c r="AP4487" s="4">
        <v>10</v>
      </c>
      <c r="AQ4487" s="4">
        <v>12</v>
      </c>
      <c r="AR4487" s="3" t="s">
        <v>62</v>
      </c>
      <c r="AS4487" s="3" t="s">
        <v>62</v>
      </c>
      <c r="AT4487" s="3" t="s">
        <v>61</v>
      </c>
      <c r="AU4487" s="6" t="str">
        <f>HYPERLINK("http://catalog.hathitrust.org/Record/001181014","HathiTrust Record")</f>
        <v>HathiTrust Record</v>
      </c>
      <c r="AV4487" s="6" t="str">
        <f>HYPERLINK("http://mcgill.on.worldcat.org/oclc/694979","Catalog Record")</f>
        <v>Catalog Record</v>
      </c>
      <c r="AW4487" s="6" t="str">
        <f>HYPERLINK("http://www.worldcat.org/oclc/694979","WorldCat Record")</f>
        <v>WorldCat Record</v>
      </c>
      <c r="AX4487" s="3" t="s">
        <v>42980</v>
      </c>
      <c r="AY4487" s="3" t="s">
        <v>42981</v>
      </c>
      <c r="AZ4487" s="3" t="s">
        <v>42982</v>
      </c>
      <c r="BA4487" s="3" t="s">
        <v>42982</v>
      </c>
      <c r="BB4487" s="3" t="s">
        <v>42983</v>
      </c>
      <c r="BC4487" s="3" t="s">
        <v>142</v>
      </c>
      <c r="BD4487" s="3" t="s">
        <v>68</v>
      </c>
      <c r="BF4487" s="3" t="s">
        <v>42983</v>
      </c>
      <c r="BG4487" s="3" t="s">
        <v>42984</v>
      </c>
    </row>
    <row r="4488" spans="1:59" ht="57" x14ac:dyDescent="0.45">
      <c r="A4488" s="2" t="s">
        <v>59</v>
      </c>
      <c r="B4488" s="2" t="s">
        <v>60</v>
      </c>
      <c r="C4488" s="2" t="s">
        <v>42985</v>
      </c>
      <c r="D4488" s="2" t="s">
        <v>42986</v>
      </c>
      <c r="E4488" s="2" t="s">
        <v>42987</v>
      </c>
      <c r="G4488" s="3" t="s">
        <v>62</v>
      </c>
      <c r="I4488" s="3" t="s">
        <v>62</v>
      </c>
      <c r="J4488" s="3" t="s">
        <v>62</v>
      </c>
      <c r="K4488" s="3" t="s">
        <v>63</v>
      </c>
      <c r="L4488" s="2" t="s">
        <v>42988</v>
      </c>
      <c r="M4488" s="2" t="s">
        <v>42989</v>
      </c>
      <c r="N4488" s="3" t="s">
        <v>117</v>
      </c>
      <c r="P4488" s="3" t="s">
        <v>65</v>
      </c>
      <c r="R4488" s="3" t="s">
        <v>66</v>
      </c>
      <c r="S4488" s="4">
        <v>14</v>
      </c>
      <c r="T4488" s="4">
        <v>14</v>
      </c>
      <c r="U4488" s="5" t="s">
        <v>23463</v>
      </c>
      <c r="V4488" s="5" t="s">
        <v>23463</v>
      </c>
      <c r="W4488" s="5" t="s">
        <v>67</v>
      </c>
      <c r="X4488" s="5" t="s">
        <v>67</v>
      </c>
      <c r="Y4488" s="4">
        <v>534</v>
      </c>
      <c r="Z4488" s="4">
        <v>36</v>
      </c>
      <c r="AA4488" s="4">
        <v>39</v>
      </c>
      <c r="AB4488" s="4">
        <v>1</v>
      </c>
      <c r="AC4488" s="4">
        <v>3</v>
      </c>
      <c r="AD4488" s="4">
        <v>119</v>
      </c>
      <c r="AE4488" s="4">
        <v>122</v>
      </c>
      <c r="AF4488" s="4">
        <v>0</v>
      </c>
      <c r="AG4488" s="4">
        <v>2</v>
      </c>
      <c r="AH4488" s="4">
        <v>96</v>
      </c>
      <c r="AI4488" s="4">
        <v>97</v>
      </c>
      <c r="AJ4488" s="4">
        <v>23</v>
      </c>
      <c r="AK4488" s="4">
        <v>25</v>
      </c>
      <c r="AL4488" s="4">
        <v>55</v>
      </c>
      <c r="AM4488" s="4">
        <v>55</v>
      </c>
      <c r="AN4488" s="4">
        <v>0</v>
      </c>
      <c r="AO4488" s="4">
        <v>0</v>
      </c>
      <c r="AP4488" s="4">
        <v>30</v>
      </c>
      <c r="AQ4488" s="4">
        <v>32</v>
      </c>
      <c r="AR4488" s="3" t="s">
        <v>62</v>
      </c>
      <c r="AS4488" s="3" t="s">
        <v>62</v>
      </c>
      <c r="AT4488" s="3" t="s">
        <v>61</v>
      </c>
      <c r="AU4488" s="6" t="str">
        <f>HYPERLINK("http://catalog.hathitrust.org/Record/002526550","HathiTrust Record")</f>
        <v>HathiTrust Record</v>
      </c>
      <c r="AV4488" s="6" t="str">
        <f>HYPERLINK("http://mcgill.on.worldcat.org/oclc/6304268","Catalog Record")</f>
        <v>Catalog Record</v>
      </c>
      <c r="AW4488" s="6" t="str">
        <f>HYPERLINK("http://www.worldcat.org/oclc/6304268","WorldCat Record")</f>
        <v>WorldCat Record</v>
      </c>
      <c r="AX4488" s="3" t="s">
        <v>42990</v>
      </c>
      <c r="AY4488" s="3" t="s">
        <v>42991</v>
      </c>
      <c r="AZ4488" s="3" t="s">
        <v>42992</v>
      </c>
      <c r="BA4488" s="3" t="s">
        <v>42992</v>
      </c>
      <c r="BB4488" s="3" t="s">
        <v>42993</v>
      </c>
      <c r="BC4488" s="3" t="s">
        <v>142</v>
      </c>
      <c r="BD4488" s="3" t="s">
        <v>68</v>
      </c>
      <c r="BE4488" s="3" t="s">
        <v>42994</v>
      </c>
      <c r="BF4488" s="3" t="s">
        <v>42993</v>
      </c>
      <c r="BG4488" s="3" t="s">
        <v>42995</v>
      </c>
    </row>
    <row r="4489" spans="1:59" ht="57" x14ac:dyDescent="0.45">
      <c r="A4489" s="2" t="s">
        <v>59</v>
      </c>
      <c r="B4489" s="2" t="s">
        <v>60</v>
      </c>
      <c r="C4489" s="2" t="s">
        <v>42996</v>
      </c>
      <c r="D4489" s="2" t="s">
        <v>42997</v>
      </c>
      <c r="E4489" s="2" t="s">
        <v>42998</v>
      </c>
      <c r="G4489" s="3" t="s">
        <v>62</v>
      </c>
      <c r="I4489" s="3" t="s">
        <v>62</v>
      </c>
      <c r="J4489" s="3" t="s">
        <v>62</v>
      </c>
      <c r="K4489" s="3" t="s">
        <v>63</v>
      </c>
      <c r="L4489" s="2" t="s">
        <v>42999</v>
      </c>
      <c r="M4489" s="2" t="s">
        <v>43000</v>
      </c>
      <c r="N4489" s="3" t="s">
        <v>793</v>
      </c>
      <c r="P4489" s="3" t="s">
        <v>65</v>
      </c>
      <c r="R4489" s="3" t="s">
        <v>66</v>
      </c>
      <c r="S4489" s="4">
        <v>11</v>
      </c>
      <c r="T4489" s="4">
        <v>11</v>
      </c>
      <c r="U4489" s="5" t="s">
        <v>43001</v>
      </c>
      <c r="V4489" s="5" t="s">
        <v>43001</v>
      </c>
      <c r="W4489" s="5" t="s">
        <v>67</v>
      </c>
      <c r="X4489" s="5" t="s">
        <v>67</v>
      </c>
      <c r="Y4489" s="4">
        <v>363</v>
      </c>
      <c r="Z4489" s="4">
        <v>28</v>
      </c>
      <c r="AA4489" s="4">
        <v>32</v>
      </c>
      <c r="AB4489" s="4">
        <v>2</v>
      </c>
      <c r="AC4489" s="4">
        <v>6</v>
      </c>
      <c r="AD4489" s="4">
        <v>95</v>
      </c>
      <c r="AE4489" s="4">
        <v>98</v>
      </c>
      <c r="AF4489" s="4">
        <v>1</v>
      </c>
      <c r="AG4489" s="4">
        <v>4</v>
      </c>
      <c r="AH4489" s="4">
        <v>80</v>
      </c>
      <c r="AI4489" s="4">
        <v>81</v>
      </c>
      <c r="AJ4489" s="4">
        <v>18</v>
      </c>
      <c r="AK4489" s="4">
        <v>21</v>
      </c>
      <c r="AL4489" s="4">
        <v>47</v>
      </c>
      <c r="AM4489" s="4">
        <v>47</v>
      </c>
      <c r="AN4489" s="4">
        <v>0</v>
      </c>
      <c r="AO4489" s="4">
        <v>0</v>
      </c>
      <c r="AP4489" s="4">
        <v>23</v>
      </c>
      <c r="AQ4489" s="4">
        <v>25</v>
      </c>
      <c r="AR4489" s="3" t="s">
        <v>62</v>
      </c>
      <c r="AS4489" s="3" t="s">
        <v>62</v>
      </c>
      <c r="AT4489" s="3" t="s">
        <v>61</v>
      </c>
      <c r="AU4489" s="6" t="str">
        <f>HYPERLINK("http://catalog.hathitrust.org/Record/000005654","HathiTrust Record")</f>
        <v>HathiTrust Record</v>
      </c>
      <c r="AV4489" s="6" t="str">
        <f>HYPERLINK("http://mcgill.on.worldcat.org/oclc/403022","Catalog Record")</f>
        <v>Catalog Record</v>
      </c>
      <c r="AW4489" s="6" t="str">
        <f>HYPERLINK("http://www.worldcat.org/oclc/403022","WorldCat Record")</f>
        <v>WorldCat Record</v>
      </c>
      <c r="AX4489" s="3" t="s">
        <v>43002</v>
      </c>
      <c r="AY4489" s="3" t="s">
        <v>43003</v>
      </c>
      <c r="AZ4489" s="3" t="s">
        <v>43004</v>
      </c>
      <c r="BA4489" s="3" t="s">
        <v>43004</v>
      </c>
      <c r="BB4489" s="3" t="s">
        <v>43005</v>
      </c>
      <c r="BC4489" s="3" t="s">
        <v>142</v>
      </c>
      <c r="BD4489" s="3" t="s">
        <v>68</v>
      </c>
      <c r="BE4489" s="3" t="s">
        <v>43006</v>
      </c>
      <c r="BF4489" s="3" t="s">
        <v>43005</v>
      </c>
      <c r="BG4489" s="3" t="s">
        <v>43007</v>
      </c>
    </row>
    <row r="4490" spans="1:59" ht="57" x14ac:dyDescent="0.45">
      <c r="A4490" s="2" t="s">
        <v>59</v>
      </c>
      <c r="B4490" s="2" t="s">
        <v>60</v>
      </c>
      <c r="C4490" s="2" t="s">
        <v>43008</v>
      </c>
      <c r="D4490" s="2" t="s">
        <v>43009</v>
      </c>
      <c r="E4490" s="2" t="s">
        <v>43010</v>
      </c>
      <c r="G4490" s="3" t="s">
        <v>62</v>
      </c>
      <c r="I4490" s="3" t="s">
        <v>62</v>
      </c>
      <c r="J4490" s="3" t="s">
        <v>62</v>
      </c>
      <c r="K4490" s="3" t="s">
        <v>63</v>
      </c>
      <c r="L4490" s="2" t="s">
        <v>651</v>
      </c>
      <c r="M4490" s="2" t="s">
        <v>43011</v>
      </c>
      <c r="N4490" s="3" t="s">
        <v>820</v>
      </c>
      <c r="P4490" s="3" t="s">
        <v>65</v>
      </c>
      <c r="R4490" s="3" t="s">
        <v>66</v>
      </c>
      <c r="S4490" s="4">
        <v>22</v>
      </c>
      <c r="T4490" s="4">
        <v>22</v>
      </c>
      <c r="U4490" s="5" t="s">
        <v>28713</v>
      </c>
      <c r="V4490" s="5" t="s">
        <v>28713</v>
      </c>
      <c r="W4490" s="5" t="s">
        <v>67</v>
      </c>
      <c r="X4490" s="5" t="s">
        <v>67</v>
      </c>
      <c r="Y4490" s="4">
        <v>549</v>
      </c>
      <c r="Z4490" s="4">
        <v>43</v>
      </c>
      <c r="AA4490" s="4">
        <v>47</v>
      </c>
      <c r="AB4490" s="4">
        <v>2</v>
      </c>
      <c r="AC4490" s="4">
        <v>4</v>
      </c>
      <c r="AD4490" s="4">
        <v>89</v>
      </c>
      <c r="AE4490" s="4">
        <v>91</v>
      </c>
      <c r="AF4490" s="4">
        <v>1</v>
      </c>
      <c r="AG4490" s="4">
        <v>1</v>
      </c>
      <c r="AH4490" s="4">
        <v>74</v>
      </c>
      <c r="AI4490" s="4">
        <v>75</v>
      </c>
      <c r="AJ4490" s="4">
        <v>15</v>
      </c>
      <c r="AK4490" s="4">
        <v>15</v>
      </c>
      <c r="AL4490" s="4">
        <v>38</v>
      </c>
      <c r="AM4490" s="4">
        <v>38</v>
      </c>
      <c r="AN4490" s="4">
        <v>0</v>
      </c>
      <c r="AO4490" s="4">
        <v>0</v>
      </c>
      <c r="AP4490" s="4">
        <v>19</v>
      </c>
      <c r="AQ4490" s="4">
        <v>20</v>
      </c>
      <c r="AR4490" s="3" t="s">
        <v>62</v>
      </c>
      <c r="AS4490" s="3" t="s">
        <v>62</v>
      </c>
      <c r="AT4490" s="3" t="s">
        <v>61</v>
      </c>
      <c r="AU4490" s="6" t="str">
        <f>HYPERLINK("http://catalog.hathitrust.org/Record/005621019","HathiTrust Record")</f>
        <v>HathiTrust Record</v>
      </c>
      <c r="AV4490" s="6" t="str">
        <f>HYPERLINK("http://mcgill.on.worldcat.org/oclc/154706789","Catalog Record")</f>
        <v>Catalog Record</v>
      </c>
      <c r="AW4490" s="6" t="str">
        <f>HYPERLINK("http://www.worldcat.org/oclc/154706789","WorldCat Record")</f>
        <v>WorldCat Record</v>
      </c>
      <c r="AX4490" s="3" t="s">
        <v>43012</v>
      </c>
      <c r="AY4490" s="3" t="s">
        <v>43013</v>
      </c>
      <c r="AZ4490" s="3" t="s">
        <v>43014</v>
      </c>
      <c r="BA4490" s="3" t="s">
        <v>43014</v>
      </c>
      <c r="BB4490" s="3" t="s">
        <v>43015</v>
      </c>
      <c r="BC4490" s="3" t="s">
        <v>142</v>
      </c>
      <c r="BD4490" s="3" t="s">
        <v>68</v>
      </c>
      <c r="BE4490" s="3" t="s">
        <v>43016</v>
      </c>
      <c r="BF4490" s="3" t="s">
        <v>43015</v>
      </c>
      <c r="BG4490" s="3" t="s">
        <v>43017</v>
      </c>
    </row>
    <row r="4491" spans="1:59" ht="57" x14ac:dyDescent="0.45">
      <c r="A4491" s="2" t="s">
        <v>59</v>
      </c>
      <c r="B4491" s="2" t="s">
        <v>60</v>
      </c>
      <c r="C4491" s="2" t="s">
        <v>43018</v>
      </c>
      <c r="D4491" s="2" t="s">
        <v>43019</v>
      </c>
      <c r="E4491" s="2" t="s">
        <v>43020</v>
      </c>
      <c r="G4491" s="3" t="s">
        <v>62</v>
      </c>
      <c r="I4491" s="3" t="s">
        <v>62</v>
      </c>
      <c r="J4491" s="3" t="s">
        <v>62</v>
      </c>
      <c r="K4491" s="3" t="s">
        <v>63</v>
      </c>
      <c r="M4491" s="2" t="s">
        <v>21778</v>
      </c>
      <c r="N4491" s="3" t="s">
        <v>149</v>
      </c>
      <c r="P4491" s="3" t="s">
        <v>65</v>
      </c>
      <c r="Q4491" s="2" t="s">
        <v>43021</v>
      </c>
      <c r="R4491" s="3" t="s">
        <v>66</v>
      </c>
      <c r="S4491" s="4">
        <v>0</v>
      </c>
      <c r="T4491" s="4">
        <v>0</v>
      </c>
      <c r="W4491" s="5" t="s">
        <v>67</v>
      </c>
      <c r="X4491" s="5" t="s">
        <v>67</v>
      </c>
      <c r="Y4491" s="4">
        <v>117</v>
      </c>
      <c r="Z4491" s="4">
        <v>12</v>
      </c>
      <c r="AA4491" s="4">
        <v>93</v>
      </c>
      <c r="AB4491" s="4">
        <v>1</v>
      </c>
      <c r="AC4491" s="4">
        <v>17</v>
      </c>
      <c r="AD4491" s="4">
        <v>57</v>
      </c>
      <c r="AE4491" s="4">
        <v>124</v>
      </c>
      <c r="AF4491" s="4">
        <v>0</v>
      </c>
      <c r="AG4491" s="4">
        <v>8</v>
      </c>
      <c r="AH4491" s="4">
        <v>52</v>
      </c>
      <c r="AI4491" s="4">
        <v>87</v>
      </c>
      <c r="AJ4491" s="4">
        <v>10</v>
      </c>
      <c r="AK4491" s="4">
        <v>23</v>
      </c>
      <c r="AL4491" s="4">
        <v>35</v>
      </c>
      <c r="AM4491" s="4">
        <v>43</v>
      </c>
      <c r="AN4491" s="4">
        <v>0</v>
      </c>
      <c r="AO4491" s="4">
        <v>0</v>
      </c>
      <c r="AP4491" s="4">
        <v>10</v>
      </c>
      <c r="AQ4491" s="4">
        <v>45</v>
      </c>
      <c r="AR4491" s="3" t="s">
        <v>62</v>
      </c>
      <c r="AS4491" s="3" t="s">
        <v>62</v>
      </c>
      <c r="AT4491" s="3" t="s">
        <v>62</v>
      </c>
      <c r="AV4491" s="6" t="str">
        <f>HYPERLINK("http://mcgill.on.worldcat.org/oclc/317574198","Catalog Record")</f>
        <v>Catalog Record</v>
      </c>
      <c r="AW4491" s="6" t="str">
        <f>HYPERLINK("http://www.worldcat.org/oclc/317574198","WorldCat Record")</f>
        <v>WorldCat Record</v>
      </c>
      <c r="AX4491" s="3" t="s">
        <v>43022</v>
      </c>
      <c r="AY4491" s="3" t="s">
        <v>43023</v>
      </c>
      <c r="AZ4491" s="3" t="s">
        <v>43024</v>
      </c>
      <c r="BA4491" s="3" t="s">
        <v>43024</v>
      </c>
      <c r="BB4491" s="3" t="s">
        <v>43025</v>
      </c>
      <c r="BC4491" s="3" t="s">
        <v>142</v>
      </c>
      <c r="BD4491" s="3" t="s">
        <v>68</v>
      </c>
      <c r="BE4491" s="3" t="s">
        <v>43026</v>
      </c>
      <c r="BF4491" s="3" t="s">
        <v>43025</v>
      </c>
      <c r="BG4491" s="3" t="s">
        <v>43027</v>
      </c>
    </row>
    <row r="4492" spans="1:59" ht="57" x14ac:dyDescent="0.45">
      <c r="A4492" s="2" t="s">
        <v>59</v>
      </c>
      <c r="B4492" s="2" t="s">
        <v>60</v>
      </c>
      <c r="C4492" s="2" t="s">
        <v>43028</v>
      </c>
      <c r="D4492" s="2" t="s">
        <v>43029</v>
      </c>
      <c r="E4492" s="2" t="s">
        <v>43030</v>
      </c>
      <c r="G4492" s="3" t="s">
        <v>62</v>
      </c>
      <c r="I4492" s="3" t="s">
        <v>62</v>
      </c>
      <c r="J4492" s="3" t="s">
        <v>62</v>
      </c>
      <c r="K4492" s="3" t="s">
        <v>63</v>
      </c>
      <c r="L4492" s="2" t="s">
        <v>43031</v>
      </c>
      <c r="M4492" s="2" t="s">
        <v>43032</v>
      </c>
      <c r="N4492" s="3" t="s">
        <v>1212</v>
      </c>
      <c r="P4492" s="3" t="s">
        <v>65</v>
      </c>
      <c r="Q4492" s="2" t="s">
        <v>43033</v>
      </c>
      <c r="R4492" s="3" t="s">
        <v>66</v>
      </c>
      <c r="S4492" s="4">
        <v>4</v>
      </c>
      <c r="T4492" s="4">
        <v>4</v>
      </c>
      <c r="U4492" s="5" t="s">
        <v>43034</v>
      </c>
      <c r="V4492" s="5" t="s">
        <v>43034</v>
      </c>
      <c r="W4492" s="5" t="s">
        <v>67</v>
      </c>
      <c r="X4492" s="5" t="s">
        <v>67</v>
      </c>
      <c r="Y4492" s="4">
        <v>75</v>
      </c>
      <c r="Z4492" s="4">
        <v>6</v>
      </c>
      <c r="AA4492" s="4">
        <v>6</v>
      </c>
      <c r="AB4492" s="4">
        <v>2</v>
      </c>
      <c r="AC4492" s="4">
        <v>2</v>
      </c>
      <c r="AD4492" s="4">
        <v>42</v>
      </c>
      <c r="AE4492" s="4">
        <v>43</v>
      </c>
      <c r="AF4492" s="4">
        <v>0</v>
      </c>
      <c r="AG4492" s="4">
        <v>0</v>
      </c>
      <c r="AH4492" s="4">
        <v>40</v>
      </c>
      <c r="AI4492" s="4">
        <v>41</v>
      </c>
      <c r="AJ4492" s="4">
        <v>3</v>
      </c>
      <c r="AK4492" s="4">
        <v>3</v>
      </c>
      <c r="AL4492" s="4">
        <v>29</v>
      </c>
      <c r="AM4492" s="4">
        <v>29</v>
      </c>
      <c r="AN4492" s="4">
        <v>0</v>
      </c>
      <c r="AO4492" s="4">
        <v>0</v>
      </c>
      <c r="AP4492" s="4">
        <v>3</v>
      </c>
      <c r="AQ4492" s="4">
        <v>3</v>
      </c>
      <c r="AR4492" s="3" t="s">
        <v>62</v>
      </c>
      <c r="AS4492" s="3" t="s">
        <v>62</v>
      </c>
      <c r="AT4492" s="3" t="s">
        <v>62</v>
      </c>
      <c r="AV4492" s="6" t="str">
        <f>HYPERLINK("http://mcgill.on.worldcat.org/oclc/46340647","Catalog Record")</f>
        <v>Catalog Record</v>
      </c>
      <c r="AW4492" s="6" t="str">
        <f>HYPERLINK("http://www.worldcat.org/oclc/46340647","WorldCat Record")</f>
        <v>WorldCat Record</v>
      </c>
      <c r="AX4492" s="3" t="s">
        <v>43035</v>
      </c>
      <c r="AY4492" s="3" t="s">
        <v>43036</v>
      </c>
      <c r="AZ4492" s="3" t="s">
        <v>43037</v>
      </c>
      <c r="BA4492" s="3" t="s">
        <v>43037</v>
      </c>
      <c r="BB4492" s="3" t="s">
        <v>43038</v>
      </c>
      <c r="BC4492" s="3" t="s">
        <v>142</v>
      </c>
      <c r="BD4492" s="3" t="s">
        <v>68</v>
      </c>
      <c r="BE4492" s="3" t="s">
        <v>43039</v>
      </c>
      <c r="BF4492" s="3" t="s">
        <v>43038</v>
      </c>
      <c r="BG4492" s="3" t="s">
        <v>43040</v>
      </c>
    </row>
    <row r="4493" spans="1:59" ht="57" x14ac:dyDescent="0.45">
      <c r="A4493" s="2" t="s">
        <v>59</v>
      </c>
      <c r="B4493" s="2" t="s">
        <v>60</v>
      </c>
      <c r="C4493" s="2" t="s">
        <v>43041</v>
      </c>
      <c r="D4493" s="2" t="s">
        <v>43042</v>
      </c>
      <c r="E4493" s="2" t="s">
        <v>43043</v>
      </c>
      <c r="G4493" s="3" t="s">
        <v>62</v>
      </c>
      <c r="I4493" s="3" t="s">
        <v>62</v>
      </c>
      <c r="J4493" s="3" t="s">
        <v>62</v>
      </c>
      <c r="K4493" s="3" t="s">
        <v>63</v>
      </c>
      <c r="M4493" s="2" t="s">
        <v>43044</v>
      </c>
      <c r="N4493" s="3" t="s">
        <v>529</v>
      </c>
      <c r="P4493" s="3" t="s">
        <v>110</v>
      </c>
      <c r="R4493" s="3" t="s">
        <v>66</v>
      </c>
      <c r="S4493" s="4">
        <v>6</v>
      </c>
      <c r="T4493" s="4">
        <v>6</v>
      </c>
      <c r="U4493" s="5" t="s">
        <v>2668</v>
      </c>
      <c r="V4493" s="5" t="s">
        <v>2668</v>
      </c>
      <c r="W4493" s="5" t="s">
        <v>67</v>
      </c>
      <c r="X4493" s="5" t="s">
        <v>67</v>
      </c>
      <c r="Y4493" s="4">
        <v>111</v>
      </c>
      <c r="Z4493" s="4">
        <v>15</v>
      </c>
      <c r="AA4493" s="4">
        <v>21</v>
      </c>
      <c r="AB4493" s="4">
        <v>2</v>
      </c>
      <c r="AC4493" s="4">
        <v>8</v>
      </c>
      <c r="AD4493" s="4">
        <v>62</v>
      </c>
      <c r="AE4493" s="4">
        <v>66</v>
      </c>
      <c r="AF4493" s="4">
        <v>1</v>
      </c>
      <c r="AG4493" s="4">
        <v>5</v>
      </c>
      <c r="AH4493" s="4">
        <v>56</v>
      </c>
      <c r="AI4493" s="4">
        <v>57</v>
      </c>
      <c r="AJ4493" s="4">
        <v>13</v>
      </c>
      <c r="AK4493" s="4">
        <v>17</v>
      </c>
      <c r="AL4493" s="4">
        <v>39</v>
      </c>
      <c r="AM4493" s="4">
        <v>39</v>
      </c>
      <c r="AN4493" s="4">
        <v>0</v>
      </c>
      <c r="AO4493" s="4">
        <v>0</v>
      </c>
      <c r="AP4493" s="4">
        <v>13</v>
      </c>
      <c r="AQ4493" s="4">
        <v>16</v>
      </c>
      <c r="AR4493" s="3" t="s">
        <v>62</v>
      </c>
      <c r="AS4493" s="3" t="s">
        <v>62</v>
      </c>
      <c r="AT4493" s="3" t="s">
        <v>62</v>
      </c>
      <c r="AV4493" s="6" t="str">
        <f>HYPERLINK("http://mcgill.on.worldcat.org/oclc/12574243","Catalog Record")</f>
        <v>Catalog Record</v>
      </c>
      <c r="AW4493" s="6" t="str">
        <f>HYPERLINK("http://www.worldcat.org/oclc/12574243","WorldCat Record")</f>
        <v>WorldCat Record</v>
      </c>
      <c r="AX4493" s="3" t="s">
        <v>43045</v>
      </c>
      <c r="AY4493" s="3" t="s">
        <v>43046</v>
      </c>
      <c r="AZ4493" s="3" t="s">
        <v>43047</v>
      </c>
      <c r="BA4493" s="3" t="s">
        <v>43047</v>
      </c>
      <c r="BB4493" s="3" t="s">
        <v>43048</v>
      </c>
      <c r="BC4493" s="3" t="s">
        <v>142</v>
      </c>
      <c r="BD4493" s="3" t="s">
        <v>68</v>
      </c>
      <c r="BE4493" s="3" t="s">
        <v>43049</v>
      </c>
      <c r="BF4493" s="3" t="s">
        <v>43048</v>
      </c>
      <c r="BG4493" s="3" t="s">
        <v>43050</v>
      </c>
    </row>
    <row r="4494" spans="1:59" ht="57" x14ac:dyDescent="0.45">
      <c r="A4494" s="2" t="s">
        <v>59</v>
      </c>
      <c r="B4494" s="2" t="s">
        <v>60</v>
      </c>
      <c r="C4494" s="2" t="s">
        <v>43051</v>
      </c>
      <c r="D4494" s="2" t="s">
        <v>43052</v>
      </c>
      <c r="E4494" s="2" t="s">
        <v>43053</v>
      </c>
      <c r="G4494" s="3" t="s">
        <v>62</v>
      </c>
      <c r="I4494" s="3" t="s">
        <v>62</v>
      </c>
      <c r="J4494" s="3" t="s">
        <v>62</v>
      </c>
      <c r="K4494" s="3" t="s">
        <v>63</v>
      </c>
      <c r="M4494" s="2" t="s">
        <v>43054</v>
      </c>
      <c r="N4494" s="3" t="s">
        <v>1155</v>
      </c>
      <c r="O4494" s="2" t="s">
        <v>43055</v>
      </c>
      <c r="P4494" s="3" t="s">
        <v>182</v>
      </c>
      <c r="R4494" s="3" t="s">
        <v>66</v>
      </c>
      <c r="S4494" s="4">
        <v>0</v>
      </c>
      <c r="T4494" s="4">
        <v>0</v>
      </c>
      <c r="W4494" s="5" t="s">
        <v>67</v>
      </c>
      <c r="X4494" s="5" t="s">
        <v>67</v>
      </c>
      <c r="Y4494" s="4">
        <v>28</v>
      </c>
      <c r="Z4494" s="4">
        <v>3</v>
      </c>
      <c r="AA4494" s="4">
        <v>3</v>
      </c>
      <c r="AB4494" s="4">
        <v>1</v>
      </c>
      <c r="AC4494" s="4">
        <v>1</v>
      </c>
      <c r="AD4494" s="4">
        <v>18</v>
      </c>
      <c r="AE4494" s="4">
        <v>18</v>
      </c>
      <c r="AF4494" s="4">
        <v>0</v>
      </c>
      <c r="AG4494" s="4">
        <v>0</v>
      </c>
      <c r="AH4494" s="4">
        <v>18</v>
      </c>
      <c r="AI4494" s="4">
        <v>18</v>
      </c>
      <c r="AJ4494" s="4">
        <v>1</v>
      </c>
      <c r="AK4494" s="4">
        <v>1</v>
      </c>
      <c r="AL4494" s="4">
        <v>15</v>
      </c>
      <c r="AM4494" s="4">
        <v>15</v>
      </c>
      <c r="AN4494" s="4">
        <v>0</v>
      </c>
      <c r="AO4494" s="4">
        <v>0</v>
      </c>
      <c r="AP4494" s="4">
        <v>1</v>
      </c>
      <c r="AQ4494" s="4">
        <v>1</v>
      </c>
      <c r="AR4494" s="3" t="s">
        <v>62</v>
      </c>
      <c r="AS4494" s="3" t="s">
        <v>62</v>
      </c>
      <c r="AT4494" s="3" t="s">
        <v>62</v>
      </c>
      <c r="AV4494" s="6" t="str">
        <f>HYPERLINK("http://mcgill.on.worldcat.org/oclc/788215038","Catalog Record")</f>
        <v>Catalog Record</v>
      </c>
      <c r="AW4494" s="6" t="str">
        <f>HYPERLINK("http://www.worldcat.org/oclc/788215038","WorldCat Record")</f>
        <v>WorldCat Record</v>
      </c>
      <c r="AX4494" s="3" t="s">
        <v>43056</v>
      </c>
      <c r="AY4494" s="3" t="s">
        <v>43057</v>
      </c>
      <c r="AZ4494" s="3" t="s">
        <v>43058</v>
      </c>
      <c r="BA4494" s="3" t="s">
        <v>43058</v>
      </c>
      <c r="BB4494" s="3" t="s">
        <v>43059</v>
      </c>
      <c r="BC4494" s="3" t="s">
        <v>142</v>
      </c>
      <c r="BD4494" s="3" t="s">
        <v>68</v>
      </c>
      <c r="BE4494" s="3" t="s">
        <v>43060</v>
      </c>
      <c r="BF4494" s="3" t="s">
        <v>43059</v>
      </c>
      <c r="BG4494" s="3" t="s">
        <v>43061</v>
      </c>
    </row>
    <row r="4495" spans="1:59" ht="57" x14ac:dyDescent="0.45">
      <c r="A4495" s="2" t="s">
        <v>59</v>
      </c>
      <c r="B4495" s="2" t="s">
        <v>60</v>
      </c>
      <c r="C4495" s="2" t="s">
        <v>43062</v>
      </c>
      <c r="D4495" s="2" t="s">
        <v>43063</v>
      </c>
      <c r="E4495" s="2" t="s">
        <v>43064</v>
      </c>
      <c r="G4495" s="3" t="s">
        <v>62</v>
      </c>
      <c r="I4495" s="3" t="s">
        <v>62</v>
      </c>
      <c r="J4495" s="3" t="s">
        <v>62</v>
      </c>
      <c r="K4495" s="3" t="s">
        <v>63</v>
      </c>
      <c r="M4495" s="2" t="s">
        <v>2489</v>
      </c>
      <c r="N4495" s="3" t="s">
        <v>918</v>
      </c>
      <c r="P4495" s="3" t="s">
        <v>65</v>
      </c>
      <c r="Q4495" s="2" t="s">
        <v>43065</v>
      </c>
      <c r="R4495" s="3" t="s">
        <v>66</v>
      </c>
      <c r="S4495" s="4">
        <v>9</v>
      </c>
      <c r="T4495" s="4">
        <v>9</v>
      </c>
      <c r="U4495" s="5" t="s">
        <v>43066</v>
      </c>
      <c r="V4495" s="5" t="s">
        <v>43066</v>
      </c>
      <c r="W4495" s="5" t="s">
        <v>67</v>
      </c>
      <c r="X4495" s="5" t="s">
        <v>67</v>
      </c>
      <c r="Y4495" s="4">
        <v>110</v>
      </c>
      <c r="Z4495" s="4">
        <v>8</v>
      </c>
      <c r="AA4495" s="4">
        <v>25</v>
      </c>
      <c r="AB4495" s="4">
        <v>1</v>
      </c>
      <c r="AC4495" s="4">
        <v>4</v>
      </c>
      <c r="AD4495" s="4">
        <v>55</v>
      </c>
      <c r="AE4495" s="4">
        <v>80</v>
      </c>
      <c r="AF4495" s="4">
        <v>0</v>
      </c>
      <c r="AG4495" s="4">
        <v>1</v>
      </c>
      <c r="AH4495" s="4">
        <v>53</v>
      </c>
      <c r="AI4495" s="4">
        <v>71</v>
      </c>
      <c r="AJ4495" s="4">
        <v>6</v>
      </c>
      <c r="AK4495" s="4">
        <v>11</v>
      </c>
      <c r="AL4495" s="4">
        <v>36</v>
      </c>
      <c r="AM4495" s="4">
        <v>41</v>
      </c>
      <c r="AN4495" s="4">
        <v>0</v>
      </c>
      <c r="AO4495" s="4">
        <v>0</v>
      </c>
      <c r="AP4495" s="4">
        <v>6</v>
      </c>
      <c r="AQ4495" s="4">
        <v>17</v>
      </c>
      <c r="AR4495" s="3" t="s">
        <v>62</v>
      </c>
      <c r="AS4495" s="3" t="s">
        <v>62</v>
      </c>
      <c r="AT4495" s="3" t="s">
        <v>62</v>
      </c>
      <c r="AV4495" s="6" t="str">
        <f>HYPERLINK("http://mcgill.on.worldcat.org/oclc/50478438","Catalog Record")</f>
        <v>Catalog Record</v>
      </c>
      <c r="AW4495" s="6" t="str">
        <f>HYPERLINK("http://www.worldcat.org/oclc/50478438","WorldCat Record")</f>
        <v>WorldCat Record</v>
      </c>
      <c r="AX4495" s="3" t="s">
        <v>43067</v>
      </c>
      <c r="AY4495" s="3" t="s">
        <v>43068</v>
      </c>
      <c r="AZ4495" s="3" t="s">
        <v>43069</v>
      </c>
      <c r="BA4495" s="3" t="s">
        <v>43069</v>
      </c>
      <c r="BB4495" s="3" t="s">
        <v>43070</v>
      </c>
      <c r="BC4495" s="3" t="s">
        <v>142</v>
      </c>
      <c r="BD4495" s="3" t="s">
        <v>68</v>
      </c>
      <c r="BE4495" s="3" t="s">
        <v>43071</v>
      </c>
      <c r="BF4495" s="3" t="s">
        <v>43070</v>
      </c>
      <c r="BG4495" s="3" t="s">
        <v>43072</v>
      </c>
    </row>
    <row r="4496" spans="1:59" ht="57" x14ac:dyDescent="0.45">
      <c r="A4496" s="2" t="s">
        <v>59</v>
      </c>
      <c r="B4496" s="2" t="s">
        <v>60</v>
      </c>
      <c r="C4496" s="2" t="s">
        <v>43073</v>
      </c>
      <c r="D4496" s="2" t="s">
        <v>43074</v>
      </c>
      <c r="E4496" s="2" t="s">
        <v>43075</v>
      </c>
      <c r="G4496" s="3" t="s">
        <v>62</v>
      </c>
      <c r="I4496" s="3" t="s">
        <v>61</v>
      </c>
      <c r="J4496" s="3" t="s">
        <v>61</v>
      </c>
      <c r="K4496" s="3" t="s">
        <v>63</v>
      </c>
      <c r="M4496" s="2" t="s">
        <v>43076</v>
      </c>
      <c r="N4496" s="3" t="s">
        <v>84</v>
      </c>
      <c r="O4496" s="2" t="s">
        <v>933</v>
      </c>
      <c r="P4496" s="3" t="s">
        <v>65</v>
      </c>
      <c r="R4496" s="3" t="s">
        <v>66</v>
      </c>
      <c r="S4496" s="4">
        <v>13</v>
      </c>
      <c r="T4496" s="4">
        <v>25</v>
      </c>
      <c r="U4496" s="5" t="s">
        <v>43077</v>
      </c>
      <c r="V4496" s="5" t="s">
        <v>18991</v>
      </c>
      <c r="W4496" s="5" t="s">
        <v>67</v>
      </c>
      <c r="X4496" s="5" t="s">
        <v>67</v>
      </c>
      <c r="Y4496" s="4">
        <v>34</v>
      </c>
      <c r="Z4496" s="4">
        <v>27</v>
      </c>
      <c r="AA4496" s="4">
        <v>86</v>
      </c>
      <c r="AB4496" s="4">
        <v>2</v>
      </c>
      <c r="AC4496" s="4">
        <v>9</v>
      </c>
      <c r="AD4496" s="4">
        <v>19</v>
      </c>
      <c r="AE4496" s="4">
        <v>62</v>
      </c>
      <c r="AF4496" s="4">
        <v>1</v>
      </c>
      <c r="AG4496" s="4">
        <v>6</v>
      </c>
      <c r="AH4496" s="4">
        <v>7</v>
      </c>
      <c r="AI4496" s="4">
        <v>23</v>
      </c>
      <c r="AJ4496" s="4">
        <v>12</v>
      </c>
      <c r="AK4496" s="4">
        <v>28</v>
      </c>
      <c r="AL4496" s="4">
        <v>1</v>
      </c>
      <c r="AM4496" s="4">
        <v>9</v>
      </c>
      <c r="AN4496" s="4">
        <v>0</v>
      </c>
      <c r="AO4496" s="4">
        <v>0</v>
      </c>
      <c r="AP4496" s="4">
        <v>18</v>
      </c>
      <c r="AQ4496" s="4">
        <v>50</v>
      </c>
      <c r="AR4496" s="3" t="s">
        <v>61</v>
      </c>
      <c r="AS4496" s="3" t="s">
        <v>62</v>
      </c>
      <c r="AT4496" s="3" t="s">
        <v>62</v>
      </c>
      <c r="AV4496" s="6" t="str">
        <f>HYPERLINK("http://mcgill.on.worldcat.org/oclc/25096032","Catalog Record")</f>
        <v>Catalog Record</v>
      </c>
      <c r="AW4496" s="6" t="str">
        <f>HYPERLINK("http://www.worldcat.org/oclc/25096032","WorldCat Record")</f>
        <v>WorldCat Record</v>
      </c>
      <c r="AX4496" s="3" t="s">
        <v>43078</v>
      </c>
      <c r="AY4496" s="3" t="s">
        <v>43079</v>
      </c>
      <c r="AZ4496" s="3" t="s">
        <v>43080</v>
      </c>
      <c r="BA4496" s="3" t="s">
        <v>43080</v>
      </c>
      <c r="BB4496" s="3" t="s">
        <v>43081</v>
      </c>
      <c r="BC4496" s="3" t="s">
        <v>142</v>
      </c>
      <c r="BD4496" s="3" t="s">
        <v>68</v>
      </c>
      <c r="BE4496" s="3" t="s">
        <v>43082</v>
      </c>
      <c r="BF4496" s="3" t="s">
        <v>43081</v>
      </c>
      <c r="BG4496" s="3" t="s">
        <v>43083</v>
      </c>
    </row>
    <row r="4497" spans="1:59" ht="57" x14ac:dyDescent="0.45">
      <c r="A4497" s="2" t="s">
        <v>59</v>
      </c>
      <c r="B4497" s="2" t="s">
        <v>60</v>
      </c>
      <c r="C4497" s="2" t="s">
        <v>43073</v>
      </c>
      <c r="D4497" s="2" t="s">
        <v>43074</v>
      </c>
      <c r="E4497" s="2" t="s">
        <v>43075</v>
      </c>
      <c r="G4497" s="3" t="s">
        <v>62</v>
      </c>
      <c r="I4497" s="3" t="s">
        <v>61</v>
      </c>
      <c r="J4497" s="3" t="s">
        <v>61</v>
      </c>
      <c r="K4497" s="3" t="s">
        <v>63</v>
      </c>
      <c r="M4497" s="2" t="s">
        <v>43076</v>
      </c>
      <c r="N4497" s="3" t="s">
        <v>84</v>
      </c>
      <c r="O4497" s="2" t="s">
        <v>933</v>
      </c>
      <c r="P4497" s="3" t="s">
        <v>65</v>
      </c>
      <c r="R4497" s="3" t="s">
        <v>66</v>
      </c>
      <c r="S4497" s="4">
        <v>12</v>
      </c>
      <c r="T4497" s="4">
        <v>25</v>
      </c>
      <c r="U4497" s="5" t="s">
        <v>18991</v>
      </c>
      <c r="V4497" s="5" t="s">
        <v>18991</v>
      </c>
      <c r="W4497" s="5" t="s">
        <v>67</v>
      </c>
      <c r="X4497" s="5" t="s">
        <v>67</v>
      </c>
      <c r="Y4497" s="4">
        <v>34</v>
      </c>
      <c r="Z4497" s="4">
        <v>27</v>
      </c>
      <c r="AA4497" s="4">
        <v>86</v>
      </c>
      <c r="AB4497" s="4">
        <v>2</v>
      </c>
      <c r="AC4497" s="4">
        <v>9</v>
      </c>
      <c r="AD4497" s="4">
        <v>19</v>
      </c>
      <c r="AE4497" s="4">
        <v>62</v>
      </c>
      <c r="AF4497" s="4">
        <v>1</v>
      </c>
      <c r="AG4497" s="4">
        <v>6</v>
      </c>
      <c r="AH4497" s="4">
        <v>7</v>
      </c>
      <c r="AI4497" s="4">
        <v>23</v>
      </c>
      <c r="AJ4497" s="4">
        <v>12</v>
      </c>
      <c r="AK4497" s="4">
        <v>28</v>
      </c>
      <c r="AL4497" s="4">
        <v>1</v>
      </c>
      <c r="AM4497" s="4">
        <v>9</v>
      </c>
      <c r="AN4497" s="4">
        <v>0</v>
      </c>
      <c r="AO4497" s="4">
        <v>0</v>
      </c>
      <c r="AP4497" s="4">
        <v>18</v>
      </c>
      <c r="AQ4497" s="4">
        <v>50</v>
      </c>
      <c r="AR4497" s="3" t="s">
        <v>61</v>
      </c>
      <c r="AS4497" s="3" t="s">
        <v>62</v>
      </c>
      <c r="AT4497" s="3" t="s">
        <v>62</v>
      </c>
      <c r="AV4497" s="6" t="str">
        <f>HYPERLINK("http://mcgill.on.worldcat.org/oclc/25096032","Catalog Record")</f>
        <v>Catalog Record</v>
      </c>
      <c r="AW4497" s="6" t="str">
        <f>HYPERLINK("http://www.worldcat.org/oclc/25096032","WorldCat Record")</f>
        <v>WorldCat Record</v>
      </c>
      <c r="AX4497" s="3" t="s">
        <v>43078</v>
      </c>
      <c r="AY4497" s="3" t="s">
        <v>43079</v>
      </c>
      <c r="AZ4497" s="3" t="s">
        <v>43080</v>
      </c>
      <c r="BA4497" s="3" t="s">
        <v>43080</v>
      </c>
      <c r="BB4497" s="3" t="s">
        <v>43084</v>
      </c>
      <c r="BC4497" s="3" t="s">
        <v>142</v>
      </c>
      <c r="BD4497" s="3" t="s">
        <v>68</v>
      </c>
      <c r="BE4497" s="3" t="s">
        <v>43082</v>
      </c>
      <c r="BF4497" s="3" t="s">
        <v>43084</v>
      </c>
      <c r="BG4497" s="3" t="s">
        <v>43085</v>
      </c>
    </row>
    <row r="4498" spans="1:59" ht="57" x14ac:dyDescent="0.45">
      <c r="A4498" s="2" t="s">
        <v>59</v>
      </c>
      <c r="B4498" s="2" t="s">
        <v>60</v>
      </c>
      <c r="C4498" s="2" t="s">
        <v>43086</v>
      </c>
      <c r="D4498" s="2" t="s">
        <v>43087</v>
      </c>
      <c r="E4498" s="2" t="s">
        <v>43088</v>
      </c>
      <c r="G4498" s="3" t="s">
        <v>62</v>
      </c>
      <c r="I4498" s="3" t="s">
        <v>61</v>
      </c>
      <c r="J4498" s="3" t="s">
        <v>61</v>
      </c>
      <c r="K4498" s="3" t="s">
        <v>63</v>
      </c>
      <c r="M4498" s="2" t="s">
        <v>43089</v>
      </c>
      <c r="N4498" s="3" t="s">
        <v>1212</v>
      </c>
      <c r="O4498" s="2" t="s">
        <v>420</v>
      </c>
      <c r="P4498" s="3" t="s">
        <v>65</v>
      </c>
      <c r="R4498" s="3" t="s">
        <v>66</v>
      </c>
      <c r="S4498" s="4">
        <v>257</v>
      </c>
      <c r="T4498" s="4">
        <v>872</v>
      </c>
      <c r="U4498" s="5" t="s">
        <v>43090</v>
      </c>
      <c r="V4498" s="5" t="s">
        <v>17714</v>
      </c>
      <c r="W4498" s="5" t="s">
        <v>67</v>
      </c>
      <c r="X4498" s="5" t="s">
        <v>67</v>
      </c>
      <c r="Y4498" s="4">
        <v>37</v>
      </c>
      <c r="Z4498" s="4">
        <v>25</v>
      </c>
      <c r="AA4498" s="4">
        <v>86</v>
      </c>
      <c r="AB4498" s="4">
        <v>1</v>
      </c>
      <c r="AC4498" s="4">
        <v>9</v>
      </c>
      <c r="AD4498" s="4">
        <v>20</v>
      </c>
      <c r="AE4498" s="4">
        <v>62</v>
      </c>
      <c r="AF4498" s="4">
        <v>0</v>
      </c>
      <c r="AG4498" s="4">
        <v>6</v>
      </c>
      <c r="AH4498" s="4">
        <v>8</v>
      </c>
      <c r="AI4498" s="4">
        <v>23</v>
      </c>
      <c r="AJ4498" s="4">
        <v>15</v>
      </c>
      <c r="AK4498" s="4">
        <v>28</v>
      </c>
      <c r="AL4498" s="4">
        <v>2</v>
      </c>
      <c r="AM4498" s="4">
        <v>9</v>
      </c>
      <c r="AN4498" s="4">
        <v>0</v>
      </c>
      <c r="AO4498" s="4">
        <v>0</v>
      </c>
      <c r="AP4498" s="4">
        <v>18</v>
      </c>
      <c r="AQ4498" s="4">
        <v>50</v>
      </c>
      <c r="AR4498" s="3" t="s">
        <v>61</v>
      </c>
      <c r="AS4498" s="3" t="s">
        <v>62</v>
      </c>
      <c r="AT4498" s="3" t="s">
        <v>62</v>
      </c>
      <c r="AV4498" s="6" t="str">
        <f>HYPERLINK("http://mcgill.on.worldcat.org/oclc/43277214","Catalog Record")</f>
        <v>Catalog Record</v>
      </c>
      <c r="AW4498" s="6" t="str">
        <f>HYPERLINK("http://www.worldcat.org/oclc/43277214","WorldCat Record")</f>
        <v>WorldCat Record</v>
      </c>
      <c r="AX4498" s="3" t="s">
        <v>43078</v>
      </c>
      <c r="AY4498" s="3" t="s">
        <v>43091</v>
      </c>
      <c r="AZ4498" s="3" t="s">
        <v>43092</v>
      </c>
      <c r="BA4498" s="3" t="s">
        <v>43092</v>
      </c>
      <c r="BB4498" s="3" t="s">
        <v>43093</v>
      </c>
      <c r="BC4498" s="3" t="s">
        <v>142</v>
      </c>
      <c r="BD4498" s="3" t="s">
        <v>68</v>
      </c>
      <c r="BE4498" s="3" t="s">
        <v>43094</v>
      </c>
      <c r="BF4498" s="3" t="s">
        <v>43093</v>
      </c>
      <c r="BG4498" s="3" t="s">
        <v>43095</v>
      </c>
    </row>
    <row r="4499" spans="1:59" ht="57" x14ac:dyDescent="0.45">
      <c r="A4499" s="2" t="s">
        <v>59</v>
      </c>
      <c r="B4499" s="2" t="s">
        <v>60</v>
      </c>
      <c r="C4499" s="2" t="s">
        <v>43086</v>
      </c>
      <c r="D4499" s="2" t="s">
        <v>43087</v>
      </c>
      <c r="E4499" s="2" t="s">
        <v>43088</v>
      </c>
      <c r="G4499" s="3" t="s">
        <v>62</v>
      </c>
      <c r="I4499" s="3" t="s">
        <v>61</v>
      </c>
      <c r="J4499" s="3" t="s">
        <v>61</v>
      </c>
      <c r="K4499" s="3" t="s">
        <v>63</v>
      </c>
      <c r="M4499" s="2" t="s">
        <v>43089</v>
      </c>
      <c r="N4499" s="3" t="s">
        <v>1212</v>
      </c>
      <c r="O4499" s="2" t="s">
        <v>420</v>
      </c>
      <c r="P4499" s="3" t="s">
        <v>65</v>
      </c>
      <c r="R4499" s="3" t="s">
        <v>66</v>
      </c>
      <c r="S4499" s="4">
        <v>317</v>
      </c>
      <c r="T4499" s="4">
        <v>872</v>
      </c>
      <c r="U4499" s="5" t="s">
        <v>17714</v>
      </c>
      <c r="V4499" s="5" t="s">
        <v>17714</v>
      </c>
      <c r="W4499" s="5" t="s">
        <v>67</v>
      </c>
      <c r="X4499" s="5" t="s">
        <v>67</v>
      </c>
      <c r="Y4499" s="4">
        <v>37</v>
      </c>
      <c r="Z4499" s="4">
        <v>25</v>
      </c>
      <c r="AA4499" s="4">
        <v>86</v>
      </c>
      <c r="AB4499" s="4">
        <v>1</v>
      </c>
      <c r="AC4499" s="4">
        <v>9</v>
      </c>
      <c r="AD4499" s="4">
        <v>20</v>
      </c>
      <c r="AE4499" s="4">
        <v>62</v>
      </c>
      <c r="AF4499" s="4">
        <v>0</v>
      </c>
      <c r="AG4499" s="4">
        <v>6</v>
      </c>
      <c r="AH4499" s="4">
        <v>8</v>
      </c>
      <c r="AI4499" s="4">
        <v>23</v>
      </c>
      <c r="AJ4499" s="4">
        <v>15</v>
      </c>
      <c r="AK4499" s="4">
        <v>28</v>
      </c>
      <c r="AL4499" s="4">
        <v>2</v>
      </c>
      <c r="AM4499" s="4">
        <v>9</v>
      </c>
      <c r="AN4499" s="4">
        <v>0</v>
      </c>
      <c r="AO4499" s="4">
        <v>0</v>
      </c>
      <c r="AP4499" s="4">
        <v>18</v>
      </c>
      <c r="AQ4499" s="4">
        <v>50</v>
      </c>
      <c r="AR4499" s="3" t="s">
        <v>61</v>
      </c>
      <c r="AS4499" s="3" t="s">
        <v>62</v>
      </c>
      <c r="AT4499" s="3" t="s">
        <v>62</v>
      </c>
      <c r="AV4499" s="6" t="str">
        <f>HYPERLINK("http://mcgill.on.worldcat.org/oclc/43277214","Catalog Record")</f>
        <v>Catalog Record</v>
      </c>
      <c r="AW4499" s="6" t="str">
        <f>HYPERLINK("http://www.worldcat.org/oclc/43277214","WorldCat Record")</f>
        <v>WorldCat Record</v>
      </c>
      <c r="AX4499" s="3" t="s">
        <v>43078</v>
      </c>
      <c r="AY4499" s="3" t="s">
        <v>43091</v>
      </c>
      <c r="AZ4499" s="3" t="s">
        <v>43092</v>
      </c>
      <c r="BA4499" s="3" t="s">
        <v>43092</v>
      </c>
      <c r="BB4499" s="3" t="s">
        <v>43096</v>
      </c>
      <c r="BC4499" s="3" t="s">
        <v>142</v>
      </c>
      <c r="BD4499" s="3" t="s">
        <v>308</v>
      </c>
      <c r="BE4499" s="3" t="s">
        <v>43094</v>
      </c>
      <c r="BF4499" s="3" t="s">
        <v>43096</v>
      </c>
      <c r="BG4499" s="3" t="s">
        <v>43097</v>
      </c>
    </row>
    <row r="4500" spans="1:59" ht="57" x14ac:dyDescent="0.45">
      <c r="A4500" s="2" t="s">
        <v>59</v>
      </c>
      <c r="B4500" s="2" t="s">
        <v>60</v>
      </c>
      <c r="C4500" s="2" t="s">
        <v>43086</v>
      </c>
      <c r="D4500" s="2" t="s">
        <v>43087</v>
      </c>
      <c r="E4500" s="2" t="s">
        <v>43088</v>
      </c>
      <c r="G4500" s="3" t="s">
        <v>62</v>
      </c>
      <c r="I4500" s="3" t="s">
        <v>61</v>
      </c>
      <c r="J4500" s="3" t="s">
        <v>61</v>
      </c>
      <c r="K4500" s="3" t="s">
        <v>63</v>
      </c>
      <c r="M4500" s="2" t="s">
        <v>43089</v>
      </c>
      <c r="N4500" s="3" t="s">
        <v>1212</v>
      </c>
      <c r="O4500" s="2" t="s">
        <v>420</v>
      </c>
      <c r="P4500" s="3" t="s">
        <v>65</v>
      </c>
      <c r="R4500" s="3" t="s">
        <v>66</v>
      </c>
      <c r="S4500" s="4">
        <v>298</v>
      </c>
      <c r="T4500" s="4">
        <v>872</v>
      </c>
      <c r="U4500" s="5" t="s">
        <v>43098</v>
      </c>
      <c r="V4500" s="5" t="s">
        <v>17714</v>
      </c>
      <c r="W4500" s="5" t="s">
        <v>67</v>
      </c>
      <c r="X4500" s="5" t="s">
        <v>67</v>
      </c>
      <c r="Y4500" s="4">
        <v>37</v>
      </c>
      <c r="Z4500" s="4">
        <v>25</v>
      </c>
      <c r="AA4500" s="4">
        <v>86</v>
      </c>
      <c r="AB4500" s="4">
        <v>1</v>
      </c>
      <c r="AC4500" s="4">
        <v>9</v>
      </c>
      <c r="AD4500" s="4">
        <v>20</v>
      </c>
      <c r="AE4500" s="4">
        <v>62</v>
      </c>
      <c r="AF4500" s="4">
        <v>0</v>
      </c>
      <c r="AG4500" s="4">
        <v>6</v>
      </c>
      <c r="AH4500" s="4">
        <v>8</v>
      </c>
      <c r="AI4500" s="4">
        <v>23</v>
      </c>
      <c r="AJ4500" s="4">
        <v>15</v>
      </c>
      <c r="AK4500" s="4">
        <v>28</v>
      </c>
      <c r="AL4500" s="4">
        <v>2</v>
      </c>
      <c r="AM4500" s="4">
        <v>9</v>
      </c>
      <c r="AN4500" s="4">
        <v>0</v>
      </c>
      <c r="AO4500" s="4">
        <v>0</v>
      </c>
      <c r="AP4500" s="4">
        <v>18</v>
      </c>
      <c r="AQ4500" s="4">
        <v>50</v>
      </c>
      <c r="AR4500" s="3" t="s">
        <v>61</v>
      </c>
      <c r="AS4500" s="3" t="s">
        <v>62</v>
      </c>
      <c r="AT4500" s="3" t="s">
        <v>62</v>
      </c>
      <c r="AV4500" s="6" t="str">
        <f>HYPERLINK("http://mcgill.on.worldcat.org/oclc/43277214","Catalog Record")</f>
        <v>Catalog Record</v>
      </c>
      <c r="AW4500" s="6" t="str">
        <f>HYPERLINK("http://www.worldcat.org/oclc/43277214","WorldCat Record")</f>
        <v>WorldCat Record</v>
      </c>
      <c r="AX4500" s="3" t="s">
        <v>43078</v>
      </c>
      <c r="AY4500" s="3" t="s">
        <v>43091</v>
      </c>
      <c r="AZ4500" s="3" t="s">
        <v>43092</v>
      </c>
      <c r="BA4500" s="3" t="s">
        <v>43092</v>
      </c>
      <c r="BB4500" s="3" t="s">
        <v>43099</v>
      </c>
      <c r="BC4500" s="3" t="s">
        <v>142</v>
      </c>
      <c r="BD4500" s="3" t="s">
        <v>68</v>
      </c>
      <c r="BE4500" s="3" t="s">
        <v>43094</v>
      </c>
      <c r="BF4500" s="3" t="s">
        <v>43099</v>
      </c>
      <c r="BG4500" s="3" t="s">
        <v>43100</v>
      </c>
    </row>
    <row r="4501" spans="1:59" ht="57" x14ac:dyDescent="0.45">
      <c r="A4501" s="2" t="s">
        <v>59</v>
      </c>
      <c r="B4501" s="2" t="s">
        <v>60</v>
      </c>
      <c r="C4501" s="2" t="s">
        <v>43101</v>
      </c>
      <c r="D4501" s="2" t="s">
        <v>43102</v>
      </c>
      <c r="E4501" s="2" t="s">
        <v>43088</v>
      </c>
      <c r="G4501" s="3" t="s">
        <v>62</v>
      </c>
      <c r="I4501" s="3" t="s">
        <v>61</v>
      </c>
      <c r="J4501" s="3" t="s">
        <v>61</v>
      </c>
      <c r="K4501" s="3" t="s">
        <v>63</v>
      </c>
      <c r="M4501" s="2" t="s">
        <v>43103</v>
      </c>
      <c r="N4501" s="3" t="s">
        <v>1097</v>
      </c>
      <c r="O4501" s="2" t="s">
        <v>919</v>
      </c>
      <c r="P4501" s="3" t="s">
        <v>65</v>
      </c>
      <c r="R4501" s="3" t="s">
        <v>66</v>
      </c>
      <c r="S4501" s="4">
        <v>66</v>
      </c>
      <c r="T4501" s="4">
        <v>809</v>
      </c>
      <c r="U4501" s="5" t="s">
        <v>19450</v>
      </c>
      <c r="V4501" s="5" t="s">
        <v>12086</v>
      </c>
      <c r="W4501" s="5" t="s">
        <v>67</v>
      </c>
      <c r="X4501" s="5" t="s">
        <v>67</v>
      </c>
      <c r="Y4501" s="4">
        <v>42</v>
      </c>
      <c r="Z4501" s="4">
        <v>24</v>
      </c>
      <c r="AA4501" s="4">
        <v>86</v>
      </c>
      <c r="AB4501" s="4">
        <v>1</v>
      </c>
      <c r="AC4501" s="4">
        <v>9</v>
      </c>
      <c r="AD4501" s="4">
        <v>17</v>
      </c>
      <c r="AE4501" s="4">
        <v>62</v>
      </c>
      <c r="AF4501" s="4">
        <v>0</v>
      </c>
      <c r="AG4501" s="4">
        <v>6</v>
      </c>
      <c r="AH4501" s="4">
        <v>5</v>
      </c>
      <c r="AI4501" s="4">
        <v>23</v>
      </c>
      <c r="AJ4501" s="4">
        <v>13</v>
      </c>
      <c r="AK4501" s="4">
        <v>28</v>
      </c>
      <c r="AL4501" s="4">
        <v>1</v>
      </c>
      <c r="AM4501" s="4">
        <v>9</v>
      </c>
      <c r="AN4501" s="4">
        <v>0</v>
      </c>
      <c r="AO4501" s="4">
        <v>0</v>
      </c>
      <c r="AP4501" s="4">
        <v>16</v>
      </c>
      <c r="AQ4501" s="4">
        <v>50</v>
      </c>
      <c r="AR4501" s="3" t="s">
        <v>61</v>
      </c>
      <c r="AS4501" s="3" t="s">
        <v>62</v>
      </c>
      <c r="AT4501" s="3" t="s">
        <v>62</v>
      </c>
      <c r="AV4501" s="6" t="str">
        <f>HYPERLINK("http://mcgill.on.worldcat.org/oclc/53793404","Catalog Record")</f>
        <v>Catalog Record</v>
      </c>
      <c r="AW4501" s="6" t="str">
        <f>HYPERLINK("http://www.worldcat.org/oclc/53793404","WorldCat Record")</f>
        <v>WorldCat Record</v>
      </c>
      <c r="AX4501" s="3" t="s">
        <v>43078</v>
      </c>
      <c r="AY4501" s="3" t="s">
        <v>43104</v>
      </c>
      <c r="AZ4501" s="3" t="s">
        <v>43105</v>
      </c>
      <c r="BA4501" s="3" t="s">
        <v>43105</v>
      </c>
      <c r="BB4501" s="3" t="s">
        <v>43106</v>
      </c>
      <c r="BC4501" s="3" t="s">
        <v>142</v>
      </c>
      <c r="BD4501" s="3" t="s">
        <v>68</v>
      </c>
      <c r="BE4501" s="3" t="s">
        <v>43107</v>
      </c>
      <c r="BF4501" s="3" t="s">
        <v>43106</v>
      </c>
      <c r="BG4501" s="3" t="s">
        <v>43108</v>
      </c>
    </row>
    <row r="4502" spans="1:59" ht="57" x14ac:dyDescent="0.45">
      <c r="A4502" s="2" t="s">
        <v>59</v>
      </c>
      <c r="B4502" s="2" t="s">
        <v>60</v>
      </c>
      <c r="C4502" s="2" t="s">
        <v>43101</v>
      </c>
      <c r="D4502" s="2" t="s">
        <v>43102</v>
      </c>
      <c r="E4502" s="2" t="s">
        <v>43088</v>
      </c>
      <c r="G4502" s="3" t="s">
        <v>62</v>
      </c>
      <c r="I4502" s="3" t="s">
        <v>61</v>
      </c>
      <c r="J4502" s="3" t="s">
        <v>61</v>
      </c>
      <c r="K4502" s="3" t="s">
        <v>63</v>
      </c>
      <c r="M4502" s="2" t="s">
        <v>43103</v>
      </c>
      <c r="N4502" s="3" t="s">
        <v>1097</v>
      </c>
      <c r="O4502" s="2" t="s">
        <v>919</v>
      </c>
      <c r="P4502" s="3" t="s">
        <v>65</v>
      </c>
      <c r="R4502" s="3" t="s">
        <v>66</v>
      </c>
      <c r="S4502" s="4">
        <v>359</v>
      </c>
      <c r="T4502" s="4">
        <v>809</v>
      </c>
      <c r="U4502" s="5" t="s">
        <v>43109</v>
      </c>
      <c r="V4502" s="5" t="s">
        <v>12086</v>
      </c>
      <c r="W4502" s="5" t="s">
        <v>67</v>
      </c>
      <c r="X4502" s="5" t="s">
        <v>67</v>
      </c>
      <c r="Y4502" s="4">
        <v>42</v>
      </c>
      <c r="Z4502" s="4">
        <v>24</v>
      </c>
      <c r="AA4502" s="4">
        <v>86</v>
      </c>
      <c r="AB4502" s="4">
        <v>1</v>
      </c>
      <c r="AC4502" s="4">
        <v>9</v>
      </c>
      <c r="AD4502" s="4">
        <v>17</v>
      </c>
      <c r="AE4502" s="4">
        <v>62</v>
      </c>
      <c r="AF4502" s="4">
        <v>0</v>
      </c>
      <c r="AG4502" s="4">
        <v>6</v>
      </c>
      <c r="AH4502" s="4">
        <v>5</v>
      </c>
      <c r="AI4502" s="4">
        <v>23</v>
      </c>
      <c r="AJ4502" s="4">
        <v>13</v>
      </c>
      <c r="AK4502" s="4">
        <v>28</v>
      </c>
      <c r="AL4502" s="4">
        <v>1</v>
      </c>
      <c r="AM4502" s="4">
        <v>9</v>
      </c>
      <c r="AN4502" s="4">
        <v>0</v>
      </c>
      <c r="AO4502" s="4">
        <v>0</v>
      </c>
      <c r="AP4502" s="4">
        <v>16</v>
      </c>
      <c r="AQ4502" s="4">
        <v>50</v>
      </c>
      <c r="AR4502" s="3" t="s">
        <v>61</v>
      </c>
      <c r="AS4502" s="3" t="s">
        <v>62</v>
      </c>
      <c r="AT4502" s="3" t="s">
        <v>62</v>
      </c>
      <c r="AV4502" s="6" t="str">
        <f>HYPERLINK("http://mcgill.on.worldcat.org/oclc/53793404","Catalog Record")</f>
        <v>Catalog Record</v>
      </c>
      <c r="AW4502" s="6" t="str">
        <f>HYPERLINK("http://www.worldcat.org/oclc/53793404","WorldCat Record")</f>
        <v>WorldCat Record</v>
      </c>
      <c r="AX4502" s="3" t="s">
        <v>43078</v>
      </c>
      <c r="AY4502" s="3" t="s">
        <v>43104</v>
      </c>
      <c r="AZ4502" s="3" t="s">
        <v>43105</v>
      </c>
      <c r="BA4502" s="3" t="s">
        <v>43105</v>
      </c>
      <c r="BB4502" s="3" t="s">
        <v>43110</v>
      </c>
      <c r="BC4502" s="3" t="s">
        <v>142</v>
      </c>
      <c r="BD4502" s="3" t="s">
        <v>68</v>
      </c>
      <c r="BE4502" s="3" t="s">
        <v>43107</v>
      </c>
      <c r="BF4502" s="3" t="s">
        <v>43110</v>
      </c>
      <c r="BG4502" s="3" t="s">
        <v>43111</v>
      </c>
    </row>
    <row r="4503" spans="1:59" ht="57" x14ac:dyDescent="0.45">
      <c r="A4503" s="2" t="s">
        <v>59</v>
      </c>
      <c r="B4503" s="2" t="s">
        <v>60</v>
      </c>
      <c r="C4503" s="2" t="s">
        <v>43101</v>
      </c>
      <c r="D4503" s="2" t="s">
        <v>43102</v>
      </c>
      <c r="E4503" s="2" t="s">
        <v>43088</v>
      </c>
      <c r="G4503" s="3" t="s">
        <v>62</v>
      </c>
      <c r="I4503" s="3" t="s">
        <v>61</v>
      </c>
      <c r="J4503" s="3" t="s">
        <v>61</v>
      </c>
      <c r="K4503" s="3" t="s">
        <v>63</v>
      </c>
      <c r="M4503" s="2" t="s">
        <v>43103</v>
      </c>
      <c r="N4503" s="3" t="s">
        <v>1097</v>
      </c>
      <c r="O4503" s="2" t="s">
        <v>919</v>
      </c>
      <c r="P4503" s="3" t="s">
        <v>65</v>
      </c>
      <c r="R4503" s="3" t="s">
        <v>66</v>
      </c>
      <c r="S4503" s="4">
        <v>282</v>
      </c>
      <c r="T4503" s="4">
        <v>809</v>
      </c>
      <c r="U4503" s="5" t="s">
        <v>17208</v>
      </c>
      <c r="V4503" s="5" t="s">
        <v>12086</v>
      </c>
      <c r="W4503" s="5" t="s">
        <v>67</v>
      </c>
      <c r="X4503" s="5" t="s">
        <v>67</v>
      </c>
      <c r="Y4503" s="4">
        <v>42</v>
      </c>
      <c r="Z4503" s="4">
        <v>24</v>
      </c>
      <c r="AA4503" s="4">
        <v>86</v>
      </c>
      <c r="AB4503" s="4">
        <v>1</v>
      </c>
      <c r="AC4503" s="4">
        <v>9</v>
      </c>
      <c r="AD4503" s="4">
        <v>17</v>
      </c>
      <c r="AE4503" s="4">
        <v>62</v>
      </c>
      <c r="AF4503" s="4">
        <v>0</v>
      </c>
      <c r="AG4503" s="4">
        <v>6</v>
      </c>
      <c r="AH4503" s="4">
        <v>5</v>
      </c>
      <c r="AI4503" s="4">
        <v>23</v>
      </c>
      <c r="AJ4503" s="4">
        <v>13</v>
      </c>
      <c r="AK4503" s="4">
        <v>28</v>
      </c>
      <c r="AL4503" s="4">
        <v>1</v>
      </c>
      <c r="AM4503" s="4">
        <v>9</v>
      </c>
      <c r="AN4503" s="4">
        <v>0</v>
      </c>
      <c r="AO4503" s="4">
        <v>0</v>
      </c>
      <c r="AP4503" s="4">
        <v>16</v>
      </c>
      <c r="AQ4503" s="4">
        <v>50</v>
      </c>
      <c r="AR4503" s="3" t="s">
        <v>61</v>
      </c>
      <c r="AS4503" s="3" t="s">
        <v>62</v>
      </c>
      <c r="AT4503" s="3" t="s">
        <v>62</v>
      </c>
      <c r="AV4503" s="6" t="str">
        <f>HYPERLINK("http://mcgill.on.worldcat.org/oclc/53793404","Catalog Record")</f>
        <v>Catalog Record</v>
      </c>
      <c r="AW4503" s="6" t="str">
        <f>HYPERLINK("http://www.worldcat.org/oclc/53793404","WorldCat Record")</f>
        <v>WorldCat Record</v>
      </c>
      <c r="AX4503" s="3" t="s">
        <v>43078</v>
      </c>
      <c r="AY4503" s="3" t="s">
        <v>43104</v>
      </c>
      <c r="AZ4503" s="3" t="s">
        <v>43105</v>
      </c>
      <c r="BA4503" s="3" t="s">
        <v>43105</v>
      </c>
      <c r="BB4503" s="3" t="s">
        <v>43112</v>
      </c>
      <c r="BC4503" s="3" t="s">
        <v>142</v>
      </c>
      <c r="BD4503" s="3" t="s">
        <v>68</v>
      </c>
      <c r="BE4503" s="3" t="s">
        <v>43107</v>
      </c>
      <c r="BF4503" s="3" t="s">
        <v>43112</v>
      </c>
      <c r="BG4503" s="3" t="s">
        <v>43113</v>
      </c>
    </row>
    <row r="4504" spans="1:59" ht="57" x14ac:dyDescent="0.45">
      <c r="A4504" s="2" t="s">
        <v>59</v>
      </c>
      <c r="B4504" s="2" t="s">
        <v>60</v>
      </c>
      <c r="C4504" s="2" t="s">
        <v>43101</v>
      </c>
      <c r="D4504" s="2" t="s">
        <v>43102</v>
      </c>
      <c r="E4504" s="2" t="s">
        <v>43088</v>
      </c>
      <c r="G4504" s="3" t="s">
        <v>62</v>
      </c>
      <c r="I4504" s="3" t="s">
        <v>61</v>
      </c>
      <c r="J4504" s="3" t="s">
        <v>61</v>
      </c>
      <c r="K4504" s="3" t="s">
        <v>63</v>
      </c>
      <c r="M4504" s="2" t="s">
        <v>43103</v>
      </c>
      <c r="N4504" s="3" t="s">
        <v>1097</v>
      </c>
      <c r="O4504" s="2" t="s">
        <v>919</v>
      </c>
      <c r="P4504" s="3" t="s">
        <v>65</v>
      </c>
      <c r="R4504" s="3" t="s">
        <v>66</v>
      </c>
      <c r="S4504" s="4">
        <v>46</v>
      </c>
      <c r="T4504" s="4">
        <v>809</v>
      </c>
      <c r="U4504" s="5" t="s">
        <v>1439</v>
      </c>
      <c r="V4504" s="5" t="s">
        <v>12086</v>
      </c>
      <c r="W4504" s="5" t="s">
        <v>67</v>
      </c>
      <c r="X4504" s="5" t="s">
        <v>67</v>
      </c>
      <c r="Y4504" s="4">
        <v>42</v>
      </c>
      <c r="Z4504" s="4">
        <v>24</v>
      </c>
      <c r="AA4504" s="4">
        <v>86</v>
      </c>
      <c r="AB4504" s="4">
        <v>1</v>
      </c>
      <c r="AC4504" s="4">
        <v>9</v>
      </c>
      <c r="AD4504" s="4">
        <v>17</v>
      </c>
      <c r="AE4504" s="4">
        <v>62</v>
      </c>
      <c r="AF4504" s="4">
        <v>0</v>
      </c>
      <c r="AG4504" s="4">
        <v>6</v>
      </c>
      <c r="AH4504" s="4">
        <v>5</v>
      </c>
      <c r="AI4504" s="4">
        <v>23</v>
      </c>
      <c r="AJ4504" s="4">
        <v>13</v>
      </c>
      <c r="AK4504" s="4">
        <v>28</v>
      </c>
      <c r="AL4504" s="4">
        <v>1</v>
      </c>
      <c r="AM4504" s="4">
        <v>9</v>
      </c>
      <c r="AN4504" s="4">
        <v>0</v>
      </c>
      <c r="AO4504" s="4">
        <v>0</v>
      </c>
      <c r="AP4504" s="4">
        <v>16</v>
      </c>
      <c r="AQ4504" s="4">
        <v>50</v>
      </c>
      <c r="AR4504" s="3" t="s">
        <v>61</v>
      </c>
      <c r="AS4504" s="3" t="s">
        <v>62</v>
      </c>
      <c r="AT4504" s="3" t="s">
        <v>62</v>
      </c>
      <c r="AV4504" s="6" t="str">
        <f>HYPERLINK("http://mcgill.on.worldcat.org/oclc/53793404","Catalog Record")</f>
        <v>Catalog Record</v>
      </c>
      <c r="AW4504" s="6" t="str">
        <f>HYPERLINK("http://www.worldcat.org/oclc/53793404","WorldCat Record")</f>
        <v>WorldCat Record</v>
      </c>
      <c r="AX4504" s="3" t="s">
        <v>43078</v>
      </c>
      <c r="AY4504" s="3" t="s">
        <v>43104</v>
      </c>
      <c r="AZ4504" s="3" t="s">
        <v>43105</v>
      </c>
      <c r="BA4504" s="3" t="s">
        <v>43105</v>
      </c>
      <c r="BB4504" s="3" t="s">
        <v>43114</v>
      </c>
      <c r="BC4504" s="3" t="s">
        <v>142</v>
      </c>
      <c r="BD4504" s="3" t="s">
        <v>68</v>
      </c>
      <c r="BE4504" s="3" t="s">
        <v>43107</v>
      </c>
      <c r="BF4504" s="3" t="s">
        <v>43114</v>
      </c>
      <c r="BG4504" s="3" t="s">
        <v>43115</v>
      </c>
    </row>
    <row r="4505" spans="1:59" ht="57" x14ac:dyDescent="0.45">
      <c r="A4505" s="2" t="s">
        <v>59</v>
      </c>
      <c r="B4505" s="2" t="s">
        <v>60</v>
      </c>
      <c r="C4505" s="2" t="s">
        <v>43101</v>
      </c>
      <c r="D4505" s="2" t="s">
        <v>43102</v>
      </c>
      <c r="E4505" s="2" t="s">
        <v>43088</v>
      </c>
      <c r="G4505" s="3" t="s">
        <v>62</v>
      </c>
      <c r="I4505" s="3" t="s">
        <v>61</v>
      </c>
      <c r="J4505" s="3" t="s">
        <v>61</v>
      </c>
      <c r="K4505" s="3" t="s">
        <v>63</v>
      </c>
      <c r="M4505" s="2" t="s">
        <v>43103</v>
      </c>
      <c r="N4505" s="3" t="s">
        <v>1097</v>
      </c>
      <c r="O4505" s="2" t="s">
        <v>919</v>
      </c>
      <c r="P4505" s="3" t="s">
        <v>65</v>
      </c>
      <c r="R4505" s="3" t="s">
        <v>66</v>
      </c>
      <c r="S4505" s="4">
        <v>56</v>
      </c>
      <c r="T4505" s="4">
        <v>809</v>
      </c>
      <c r="U4505" s="5" t="s">
        <v>12086</v>
      </c>
      <c r="V4505" s="5" t="s">
        <v>12086</v>
      </c>
      <c r="W4505" s="5" t="s">
        <v>67</v>
      </c>
      <c r="X4505" s="5" t="s">
        <v>67</v>
      </c>
      <c r="Y4505" s="4">
        <v>42</v>
      </c>
      <c r="Z4505" s="4">
        <v>24</v>
      </c>
      <c r="AA4505" s="4">
        <v>86</v>
      </c>
      <c r="AB4505" s="4">
        <v>1</v>
      </c>
      <c r="AC4505" s="4">
        <v>9</v>
      </c>
      <c r="AD4505" s="4">
        <v>17</v>
      </c>
      <c r="AE4505" s="4">
        <v>62</v>
      </c>
      <c r="AF4505" s="4">
        <v>0</v>
      </c>
      <c r="AG4505" s="4">
        <v>6</v>
      </c>
      <c r="AH4505" s="4">
        <v>5</v>
      </c>
      <c r="AI4505" s="4">
        <v>23</v>
      </c>
      <c r="AJ4505" s="4">
        <v>13</v>
      </c>
      <c r="AK4505" s="4">
        <v>28</v>
      </c>
      <c r="AL4505" s="4">
        <v>1</v>
      </c>
      <c r="AM4505" s="4">
        <v>9</v>
      </c>
      <c r="AN4505" s="4">
        <v>0</v>
      </c>
      <c r="AO4505" s="4">
        <v>0</v>
      </c>
      <c r="AP4505" s="4">
        <v>16</v>
      </c>
      <c r="AQ4505" s="4">
        <v>50</v>
      </c>
      <c r="AR4505" s="3" t="s">
        <v>61</v>
      </c>
      <c r="AS4505" s="3" t="s">
        <v>62</v>
      </c>
      <c r="AT4505" s="3" t="s">
        <v>62</v>
      </c>
      <c r="AV4505" s="6" t="str">
        <f>HYPERLINK("http://mcgill.on.worldcat.org/oclc/53793404","Catalog Record")</f>
        <v>Catalog Record</v>
      </c>
      <c r="AW4505" s="6" t="str">
        <f>HYPERLINK("http://www.worldcat.org/oclc/53793404","WorldCat Record")</f>
        <v>WorldCat Record</v>
      </c>
      <c r="AX4505" s="3" t="s">
        <v>43078</v>
      </c>
      <c r="AY4505" s="3" t="s">
        <v>43104</v>
      </c>
      <c r="AZ4505" s="3" t="s">
        <v>43105</v>
      </c>
      <c r="BA4505" s="3" t="s">
        <v>43105</v>
      </c>
      <c r="BB4505" s="3" t="s">
        <v>43116</v>
      </c>
      <c r="BC4505" s="3" t="s">
        <v>142</v>
      </c>
      <c r="BD4505" s="3" t="s">
        <v>68</v>
      </c>
      <c r="BE4505" s="3" t="s">
        <v>43107</v>
      </c>
      <c r="BF4505" s="3" t="s">
        <v>43116</v>
      </c>
      <c r="BG4505" s="3" t="s">
        <v>43117</v>
      </c>
    </row>
    <row r="4506" spans="1:59" ht="57" x14ac:dyDescent="0.45">
      <c r="A4506" s="2" t="s">
        <v>59</v>
      </c>
      <c r="B4506" s="2" t="s">
        <v>60</v>
      </c>
      <c r="C4506" s="2" t="s">
        <v>43118</v>
      </c>
      <c r="D4506" s="2" t="s">
        <v>43119</v>
      </c>
      <c r="E4506" s="2" t="s">
        <v>43088</v>
      </c>
      <c r="G4506" s="3" t="s">
        <v>62</v>
      </c>
      <c r="I4506" s="3" t="s">
        <v>61</v>
      </c>
      <c r="J4506" s="3" t="s">
        <v>61</v>
      </c>
      <c r="K4506" s="3" t="s">
        <v>63</v>
      </c>
      <c r="M4506" s="2" t="s">
        <v>43120</v>
      </c>
      <c r="N4506" s="3" t="s">
        <v>820</v>
      </c>
      <c r="O4506" s="2" t="s">
        <v>4282</v>
      </c>
      <c r="P4506" s="3" t="s">
        <v>65</v>
      </c>
      <c r="R4506" s="3" t="s">
        <v>66</v>
      </c>
      <c r="S4506" s="4">
        <v>45</v>
      </c>
      <c r="T4506" s="4">
        <v>216</v>
      </c>
      <c r="U4506" s="5" t="s">
        <v>43121</v>
      </c>
      <c r="V4506" s="5" t="s">
        <v>1168</v>
      </c>
      <c r="W4506" s="5" t="s">
        <v>67</v>
      </c>
      <c r="X4506" s="5" t="s">
        <v>67</v>
      </c>
      <c r="Y4506" s="4">
        <v>37</v>
      </c>
      <c r="Z4506" s="4">
        <v>18</v>
      </c>
      <c r="AA4506" s="4">
        <v>86</v>
      </c>
      <c r="AB4506" s="4">
        <v>2</v>
      </c>
      <c r="AC4506" s="4">
        <v>9</v>
      </c>
      <c r="AD4506" s="4">
        <v>11</v>
      </c>
      <c r="AE4506" s="4">
        <v>62</v>
      </c>
      <c r="AF4506" s="4">
        <v>1</v>
      </c>
      <c r="AG4506" s="4">
        <v>6</v>
      </c>
      <c r="AH4506" s="4">
        <v>6</v>
      </c>
      <c r="AI4506" s="4">
        <v>23</v>
      </c>
      <c r="AJ4506" s="4">
        <v>10</v>
      </c>
      <c r="AK4506" s="4">
        <v>28</v>
      </c>
      <c r="AL4506" s="4">
        <v>1</v>
      </c>
      <c r="AM4506" s="4">
        <v>9</v>
      </c>
      <c r="AN4506" s="4">
        <v>0</v>
      </c>
      <c r="AO4506" s="4">
        <v>0</v>
      </c>
      <c r="AP4506" s="4">
        <v>10</v>
      </c>
      <c r="AQ4506" s="4">
        <v>50</v>
      </c>
      <c r="AR4506" s="3" t="s">
        <v>61</v>
      </c>
      <c r="AS4506" s="3" t="s">
        <v>62</v>
      </c>
      <c r="AT4506" s="3" t="s">
        <v>62</v>
      </c>
      <c r="AV4506" s="6" t="str">
        <f>HYPERLINK("http://mcgill.on.worldcat.org/oclc/190965410","Catalog Record")</f>
        <v>Catalog Record</v>
      </c>
      <c r="AW4506" s="6" t="str">
        <f>HYPERLINK("http://www.worldcat.org/oclc/190965410","WorldCat Record")</f>
        <v>WorldCat Record</v>
      </c>
      <c r="AX4506" s="3" t="s">
        <v>43078</v>
      </c>
      <c r="AY4506" s="3" t="s">
        <v>43122</v>
      </c>
      <c r="AZ4506" s="3" t="s">
        <v>43123</v>
      </c>
      <c r="BA4506" s="3" t="s">
        <v>43123</v>
      </c>
      <c r="BB4506" s="3" t="s">
        <v>43124</v>
      </c>
      <c r="BC4506" s="3" t="s">
        <v>142</v>
      </c>
      <c r="BD4506" s="3" t="s">
        <v>68</v>
      </c>
      <c r="BE4506" s="3" t="s">
        <v>43125</v>
      </c>
      <c r="BF4506" s="3" t="s">
        <v>43124</v>
      </c>
      <c r="BG4506" s="3" t="s">
        <v>43126</v>
      </c>
    </row>
    <row r="4507" spans="1:59" ht="57" x14ac:dyDescent="0.45">
      <c r="A4507" s="2" t="s">
        <v>59</v>
      </c>
      <c r="B4507" s="2" t="s">
        <v>60</v>
      </c>
      <c r="C4507" s="2" t="s">
        <v>43118</v>
      </c>
      <c r="D4507" s="2" t="s">
        <v>43119</v>
      </c>
      <c r="E4507" s="2" t="s">
        <v>43088</v>
      </c>
      <c r="G4507" s="3" t="s">
        <v>62</v>
      </c>
      <c r="I4507" s="3" t="s">
        <v>61</v>
      </c>
      <c r="J4507" s="3" t="s">
        <v>61</v>
      </c>
      <c r="K4507" s="3" t="s">
        <v>63</v>
      </c>
      <c r="M4507" s="2" t="s">
        <v>43120</v>
      </c>
      <c r="N4507" s="3" t="s">
        <v>820</v>
      </c>
      <c r="O4507" s="2" t="s">
        <v>4282</v>
      </c>
      <c r="P4507" s="3" t="s">
        <v>65</v>
      </c>
      <c r="R4507" s="3" t="s">
        <v>66</v>
      </c>
      <c r="S4507" s="4">
        <v>117</v>
      </c>
      <c r="T4507" s="4">
        <v>216</v>
      </c>
      <c r="U4507" s="5" t="s">
        <v>1168</v>
      </c>
      <c r="V4507" s="5" t="s">
        <v>1168</v>
      </c>
      <c r="W4507" s="5" t="s">
        <v>67</v>
      </c>
      <c r="X4507" s="5" t="s">
        <v>67</v>
      </c>
      <c r="Y4507" s="4">
        <v>37</v>
      </c>
      <c r="Z4507" s="4">
        <v>18</v>
      </c>
      <c r="AA4507" s="4">
        <v>86</v>
      </c>
      <c r="AB4507" s="4">
        <v>2</v>
      </c>
      <c r="AC4507" s="4">
        <v>9</v>
      </c>
      <c r="AD4507" s="4">
        <v>11</v>
      </c>
      <c r="AE4507" s="4">
        <v>62</v>
      </c>
      <c r="AF4507" s="4">
        <v>1</v>
      </c>
      <c r="AG4507" s="4">
        <v>6</v>
      </c>
      <c r="AH4507" s="4">
        <v>6</v>
      </c>
      <c r="AI4507" s="4">
        <v>23</v>
      </c>
      <c r="AJ4507" s="4">
        <v>10</v>
      </c>
      <c r="AK4507" s="4">
        <v>28</v>
      </c>
      <c r="AL4507" s="4">
        <v>1</v>
      </c>
      <c r="AM4507" s="4">
        <v>9</v>
      </c>
      <c r="AN4507" s="4">
        <v>0</v>
      </c>
      <c r="AO4507" s="4">
        <v>0</v>
      </c>
      <c r="AP4507" s="4">
        <v>10</v>
      </c>
      <c r="AQ4507" s="4">
        <v>50</v>
      </c>
      <c r="AR4507" s="3" t="s">
        <v>61</v>
      </c>
      <c r="AS4507" s="3" t="s">
        <v>62</v>
      </c>
      <c r="AT4507" s="3" t="s">
        <v>62</v>
      </c>
      <c r="AV4507" s="6" t="str">
        <f>HYPERLINK("http://mcgill.on.worldcat.org/oclc/190965410","Catalog Record")</f>
        <v>Catalog Record</v>
      </c>
      <c r="AW4507" s="6" t="str">
        <f>HYPERLINK("http://www.worldcat.org/oclc/190965410","WorldCat Record")</f>
        <v>WorldCat Record</v>
      </c>
      <c r="AX4507" s="3" t="s">
        <v>43078</v>
      </c>
      <c r="AY4507" s="3" t="s">
        <v>43122</v>
      </c>
      <c r="AZ4507" s="3" t="s">
        <v>43123</v>
      </c>
      <c r="BA4507" s="3" t="s">
        <v>43123</v>
      </c>
      <c r="BB4507" s="3" t="s">
        <v>43127</v>
      </c>
      <c r="BC4507" s="3" t="s">
        <v>142</v>
      </c>
      <c r="BD4507" s="3" t="s">
        <v>68</v>
      </c>
      <c r="BE4507" s="3" t="s">
        <v>43125</v>
      </c>
      <c r="BF4507" s="3" t="s">
        <v>43127</v>
      </c>
      <c r="BG4507" s="3" t="s">
        <v>43128</v>
      </c>
    </row>
    <row r="4508" spans="1:59" ht="57" x14ac:dyDescent="0.45">
      <c r="A4508" s="2" t="s">
        <v>59</v>
      </c>
      <c r="B4508" s="2" t="s">
        <v>60</v>
      </c>
      <c r="C4508" s="2" t="s">
        <v>43118</v>
      </c>
      <c r="D4508" s="2" t="s">
        <v>43119</v>
      </c>
      <c r="E4508" s="2" t="s">
        <v>43088</v>
      </c>
      <c r="G4508" s="3" t="s">
        <v>62</v>
      </c>
      <c r="I4508" s="3" t="s">
        <v>61</v>
      </c>
      <c r="J4508" s="3" t="s">
        <v>61</v>
      </c>
      <c r="K4508" s="3" t="s">
        <v>63</v>
      </c>
      <c r="M4508" s="2" t="s">
        <v>43120</v>
      </c>
      <c r="N4508" s="3" t="s">
        <v>820</v>
      </c>
      <c r="O4508" s="2" t="s">
        <v>4282</v>
      </c>
      <c r="P4508" s="3" t="s">
        <v>65</v>
      </c>
      <c r="R4508" s="3" t="s">
        <v>66</v>
      </c>
      <c r="S4508" s="4">
        <v>54</v>
      </c>
      <c r="T4508" s="4">
        <v>216</v>
      </c>
      <c r="U4508" s="5" t="s">
        <v>1168</v>
      </c>
      <c r="V4508" s="5" t="s">
        <v>1168</v>
      </c>
      <c r="W4508" s="5" t="s">
        <v>67</v>
      </c>
      <c r="X4508" s="5" t="s">
        <v>67</v>
      </c>
      <c r="Y4508" s="4">
        <v>37</v>
      </c>
      <c r="Z4508" s="4">
        <v>18</v>
      </c>
      <c r="AA4508" s="4">
        <v>86</v>
      </c>
      <c r="AB4508" s="4">
        <v>2</v>
      </c>
      <c r="AC4508" s="4">
        <v>9</v>
      </c>
      <c r="AD4508" s="4">
        <v>11</v>
      </c>
      <c r="AE4508" s="4">
        <v>62</v>
      </c>
      <c r="AF4508" s="4">
        <v>1</v>
      </c>
      <c r="AG4508" s="4">
        <v>6</v>
      </c>
      <c r="AH4508" s="4">
        <v>6</v>
      </c>
      <c r="AI4508" s="4">
        <v>23</v>
      </c>
      <c r="AJ4508" s="4">
        <v>10</v>
      </c>
      <c r="AK4508" s="4">
        <v>28</v>
      </c>
      <c r="AL4508" s="4">
        <v>1</v>
      </c>
      <c r="AM4508" s="4">
        <v>9</v>
      </c>
      <c r="AN4508" s="4">
        <v>0</v>
      </c>
      <c r="AO4508" s="4">
        <v>0</v>
      </c>
      <c r="AP4508" s="4">
        <v>10</v>
      </c>
      <c r="AQ4508" s="4">
        <v>50</v>
      </c>
      <c r="AR4508" s="3" t="s">
        <v>61</v>
      </c>
      <c r="AS4508" s="3" t="s">
        <v>62</v>
      </c>
      <c r="AT4508" s="3" t="s">
        <v>62</v>
      </c>
      <c r="AV4508" s="6" t="str">
        <f>HYPERLINK("http://mcgill.on.worldcat.org/oclc/190965410","Catalog Record")</f>
        <v>Catalog Record</v>
      </c>
      <c r="AW4508" s="6" t="str">
        <f>HYPERLINK("http://www.worldcat.org/oclc/190965410","WorldCat Record")</f>
        <v>WorldCat Record</v>
      </c>
      <c r="AX4508" s="3" t="s">
        <v>43078</v>
      </c>
      <c r="AY4508" s="3" t="s">
        <v>43122</v>
      </c>
      <c r="AZ4508" s="3" t="s">
        <v>43123</v>
      </c>
      <c r="BA4508" s="3" t="s">
        <v>43123</v>
      </c>
      <c r="BB4508" s="3" t="s">
        <v>43129</v>
      </c>
      <c r="BC4508" s="3" t="s">
        <v>142</v>
      </c>
      <c r="BD4508" s="3" t="s">
        <v>68</v>
      </c>
      <c r="BE4508" s="3" t="s">
        <v>43125</v>
      </c>
      <c r="BF4508" s="3" t="s">
        <v>43129</v>
      </c>
      <c r="BG4508" s="3" t="s">
        <v>43130</v>
      </c>
    </row>
    <row r="4509" spans="1:59" ht="57" x14ac:dyDescent="0.45">
      <c r="A4509" s="2" t="s">
        <v>59</v>
      </c>
      <c r="B4509" s="2" t="s">
        <v>60</v>
      </c>
      <c r="C4509" s="2" t="s">
        <v>43131</v>
      </c>
      <c r="D4509" s="2" t="s">
        <v>43132</v>
      </c>
      <c r="E4509" s="2" t="s">
        <v>43088</v>
      </c>
      <c r="G4509" s="3" t="s">
        <v>62</v>
      </c>
      <c r="I4509" s="3" t="s">
        <v>61</v>
      </c>
      <c r="J4509" s="3" t="s">
        <v>61</v>
      </c>
      <c r="K4509" s="3" t="s">
        <v>63</v>
      </c>
      <c r="M4509" s="2" t="s">
        <v>43133</v>
      </c>
      <c r="N4509" s="3" t="s">
        <v>1155</v>
      </c>
      <c r="O4509" s="2" t="s">
        <v>15116</v>
      </c>
      <c r="P4509" s="3" t="s">
        <v>65</v>
      </c>
      <c r="R4509" s="3" t="s">
        <v>66</v>
      </c>
      <c r="S4509" s="4">
        <v>77</v>
      </c>
      <c r="T4509" s="4">
        <v>304</v>
      </c>
      <c r="U4509" s="5" t="s">
        <v>43134</v>
      </c>
      <c r="V4509" s="5" t="s">
        <v>43135</v>
      </c>
      <c r="W4509" s="5" t="s">
        <v>67</v>
      </c>
      <c r="X4509" s="5" t="s">
        <v>5583</v>
      </c>
      <c r="Y4509" s="4">
        <v>32</v>
      </c>
      <c r="Z4509" s="4">
        <v>16</v>
      </c>
      <c r="AA4509" s="4">
        <v>86</v>
      </c>
      <c r="AB4509" s="4">
        <v>3</v>
      </c>
      <c r="AC4509" s="4">
        <v>9</v>
      </c>
      <c r="AD4509" s="4">
        <v>9</v>
      </c>
      <c r="AE4509" s="4">
        <v>62</v>
      </c>
      <c r="AF4509" s="4">
        <v>2</v>
      </c>
      <c r="AG4509" s="4">
        <v>6</v>
      </c>
      <c r="AH4509" s="4">
        <v>3</v>
      </c>
      <c r="AI4509" s="4">
        <v>23</v>
      </c>
      <c r="AJ4509" s="4">
        <v>6</v>
      </c>
      <c r="AK4509" s="4">
        <v>28</v>
      </c>
      <c r="AL4509" s="4">
        <v>1</v>
      </c>
      <c r="AM4509" s="4">
        <v>9</v>
      </c>
      <c r="AN4509" s="4">
        <v>0</v>
      </c>
      <c r="AO4509" s="4">
        <v>0</v>
      </c>
      <c r="AP4509" s="4">
        <v>9</v>
      </c>
      <c r="AQ4509" s="4">
        <v>50</v>
      </c>
      <c r="AR4509" s="3" t="s">
        <v>61</v>
      </c>
      <c r="AS4509" s="3" t="s">
        <v>62</v>
      </c>
      <c r="AT4509" s="3" t="s">
        <v>62</v>
      </c>
      <c r="AV4509" s="6" t="str">
        <f>HYPERLINK("http://mcgill.on.worldcat.org/oclc/747768141","Catalog Record")</f>
        <v>Catalog Record</v>
      </c>
      <c r="AW4509" s="6" t="str">
        <f>HYPERLINK("http://www.worldcat.org/oclc/747768141","WorldCat Record")</f>
        <v>WorldCat Record</v>
      </c>
      <c r="AX4509" s="3" t="s">
        <v>43078</v>
      </c>
      <c r="AY4509" s="3" t="s">
        <v>43136</v>
      </c>
      <c r="AZ4509" s="3" t="s">
        <v>43137</v>
      </c>
      <c r="BA4509" s="3" t="s">
        <v>43137</v>
      </c>
      <c r="BB4509" s="3" t="s">
        <v>43138</v>
      </c>
      <c r="BC4509" s="3" t="s">
        <v>142</v>
      </c>
      <c r="BD4509" s="3" t="s">
        <v>68</v>
      </c>
      <c r="BE4509" s="3" t="s">
        <v>43139</v>
      </c>
      <c r="BF4509" s="3" t="s">
        <v>43138</v>
      </c>
      <c r="BG4509" s="3" t="s">
        <v>43140</v>
      </c>
    </row>
    <row r="4510" spans="1:59" ht="57" x14ac:dyDescent="0.45">
      <c r="A4510" s="2" t="s">
        <v>59</v>
      </c>
      <c r="B4510" s="2" t="s">
        <v>60</v>
      </c>
      <c r="C4510" s="2" t="s">
        <v>43131</v>
      </c>
      <c r="D4510" s="2" t="s">
        <v>43132</v>
      </c>
      <c r="E4510" s="2" t="s">
        <v>43088</v>
      </c>
      <c r="G4510" s="3" t="s">
        <v>62</v>
      </c>
      <c r="I4510" s="3" t="s">
        <v>61</v>
      </c>
      <c r="J4510" s="3" t="s">
        <v>61</v>
      </c>
      <c r="K4510" s="3" t="s">
        <v>63</v>
      </c>
      <c r="M4510" s="2" t="s">
        <v>43133</v>
      </c>
      <c r="N4510" s="3" t="s">
        <v>1155</v>
      </c>
      <c r="O4510" s="2" t="s">
        <v>15116</v>
      </c>
      <c r="P4510" s="3" t="s">
        <v>65</v>
      </c>
      <c r="R4510" s="3" t="s">
        <v>66</v>
      </c>
      <c r="S4510" s="4">
        <v>2</v>
      </c>
      <c r="T4510" s="4">
        <v>304</v>
      </c>
      <c r="U4510" s="5" t="s">
        <v>43135</v>
      </c>
      <c r="V4510" s="5" t="s">
        <v>43135</v>
      </c>
      <c r="W4510" s="5" t="s">
        <v>5583</v>
      </c>
      <c r="X4510" s="5" t="s">
        <v>5583</v>
      </c>
      <c r="Y4510" s="4">
        <v>32</v>
      </c>
      <c r="Z4510" s="4">
        <v>16</v>
      </c>
      <c r="AA4510" s="4">
        <v>86</v>
      </c>
      <c r="AB4510" s="4">
        <v>3</v>
      </c>
      <c r="AC4510" s="4">
        <v>9</v>
      </c>
      <c r="AD4510" s="4">
        <v>9</v>
      </c>
      <c r="AE4510" s="4">
        <v>62</v>
      </c>
      <c r="AF4510" s="4">
        <v>2</v>
      </c>
      <c r="AG4510" s="4">
        <v>6</v>
      </c>
      <c r="AH4510" s="4">
        <v>3</v>
      </c>
      <c r="AI4510" s="4">
        <v>23</v>
      </c>
      <c r="AJ4510" s="4">
        <v>6</v>
      </c>
      <c r="AK4510" s="4">
        <v>28</v>
      </c>
      <c r="AL4510" s="4">
        <v>1</v>
      </c>
      <c r="AM4510" s="4">
        <v>9</v>
      </c>
      <c r="AN4510" s="4">
        <v>0</v>
      </c>
      <c r="AO4510" s="4">
        <v>0</v>
      </c>
      <c r="AP4510" s="4">
        <v>9</v>
      </c>
      <c r="AQ4510" s="4">
        <v>50</v>
      </c>
      <c r="AR4510" s="3" t="s">
        <v>61</v>
      </c>
      <c r="AS4510" s="3" t="s">
        <v>62</v>
      </c>
      <c r="AT4510" s="3" t="s">
        <v>62</v>
      </c>
      <c r="AV4510" s="6" t="str">
        <f>HYPERLINK("http://mcgill.on.worldcat.org/oclc/747768141","Catalog Record")</f>
        <v>Catalog Record</v>
      </c>
      <c r="AW4510" s="6" t="str">
        <f>HYPERLINK("http://www.worldcat.org/oclc/747768141","WorldCat Record")</f>
        <v>WorldCat Record</v>
      </c>
      <c r="AX4510" s="3" t="s">
        <v>43078</v>
      </c>
      <c r="AY4510" s="3" t="s">
        <v>43136</v>
      </c>
      <c r="AZ4510" s="3" t="s">
        <v>43137</v>
      </c>
      <c r="BA4510" s="3" t="s">
        <v>43137</v>
      </c>
      <c r="BB4510" s="3" t="s">
        <v>43141</v>
      </c>
      <c r="BC4510" s="3" t="s">
        <v>142</v>
      </c>
      <c r="BD4510" s="3" t="s">
        <v>308</v>
      </c>
      <c r="BE4510" s="3" t="s">
        <v>43139</v>
      </c>
      <c r="BF4510" s="3" t="s">
        <v>43141</v>
      </c>
      <c r="BG4510" s="3" t="s">
        <v>43142</v>
      </c>
    </row>
    <row r="4511" spans="1:59" ht="57" x14ac:dyDescent="0.45">
      <c r="A4511" s="2" t="s">
        <v>59</v>
      </c>
      <c r="B4511" s="2" t="s">
        <v>60</v>
      </c>
      <c r="C4511" s="2" t="s">
        <v>43131</v>
      </c>
      <c r="D4511" s="2" t="s">
        <v>43132</v>
      </c>
      <c r="E4511" s="2" t="s">
        <v>43088</v>
      </c>
      <c r="G4511" s="3" t="s">
        <v>62</v>
      </c>
      <c r="I4511" s="3" t="s">
        <v>61</v>
      </c>
      <c r="J4511" s="3" t="s">
        <v>61</v>
      </c>
      <c r="K4511" s="3" t="s">
        <v>63</v>
      </c>
      <c r="M4511" s="2" t="s">
        <v>43133</v>
      </c>
      <c r="N4511" s="3" t="s">
        <v>1155</v>
      </c>
      <c r="O4511" s="2" t="s">
        <v>15116</v>
      </c>
      <c r="P4511" s="3" t="s">
        <v>65</v>
      </c>
      <c r="R4511" s="3" t="s">
        <v>66</v>
      </c>
      <c r="S4511" s="4">
        <v>131</v>
      </c>
      <c r="T4511" s="4">
        <v>304</v>
      </c>
      <c r="U4511" s="5" t="s">
        <v>3589</v>
      </c>
      <c r="V4511" s="5" t="s">
        <v>43135</v>
      </c>
      <c r="W4511" s="5" t="s">
        <v>67</v>
      </c>
      <c r="X4511" s="5" t="s">
        <v>5583</v>
      </c>
      <c r="Y4511" s="4">
        <v>32</v>
      </c>
      <c r="Z4511" s="4">
        <v>16</v>
      </c>
      <c r="AA4511" s="4">
        <v>86</v>
      </c>
      <c r="AB4511" s="4">
        <v>3</v>
      </c>
      <c r="AC4511" s="4">
        <v>9</v>
      </c>
      <c r="AD4511" s="4">
        <v>9</v>
      </c>
      <c r="AE4511" s="4">
        <v>62</v>
      </c>
      <c r="AF4511" s="4">
        <v>2</v>
      </c>
      <c r="AG4511" s="4">
        <v>6</v>
      </c>
      <c r="AH4511" s="4">
        <v>3</v>
      </c>
      <c r="AI4511" s="4">
        <v>23</v>
      </c>
      <c r="AJ4511" s="4">
        <v>6</v>
      </c>
      <c r="AK4511" s="4">
        <v>28</v>
      </c>
      <c r="AL4511" s="4">
        <v>1</v>
      </c>
      <c r="AM4511" s="4">
        <v>9</v>
      </c>
      <c r="AN4511" s="4">
        <v>0</v>
      </c>
      <c r="AO4511" s="4">
        <v>0</v>
      </c>
      <c r="AP4511" s="4">
        <v>9</v>
      </c>
      <c r="AQ4511" s="4">
        <v>50</v>
      </c>
      <c r="AR4511" s="3" t="s">
        <v>61</v>
      </c>
      <c r="AS4511" s="3" t="s">
        <v>62</v>
      </c>
      <c r="AT4511" s="3" t="s">
        <v>62</v>
      </c>
      <c r="AV4511" s="6" t="str">
        <f>HYPERLINK("http://mcgill.on.worldcat.org/oclc/747768141","Catalog Record")</f>
        <v>Catalog Record</v>
      </c>
      <c r="AW4511" s="6" t="str">
        <f>HYPERLINK("http://www.worldcat.org/oclc/747768141","WorldCat Record")</f>
        <v>WorldCat Record</v>
      </c>
      <c r="AX4511" s="3" t="s">
        <v>43078</v>
      </c>
      <c r="AY4511" s="3" t="s">
        <v>43136</v>
      </c>
      <c r="AZ4511" s="3" t="s">
        <v>43137</v>
      </c>
      <c r="BA4511" s="3" t="s">
        <v>43137</v>
      </c>
      <c r="BB4511" s="3" t="s">
        <v>43143</v>
      </c>
      <c r="BC4511" s="3" t="s">
        <v>142</v>
      </c>
      <c r="BD4511" s="3" t="s">
        <v>68</v>
      </c>
      <c r="BE4511" s="3" t="s">
        <v>43139</v>
      </c>
      <c r="BF4511" s="3" t="s">
        <v>43143</v>
      </c>
      <c r="BG4511" s="3" t="s">
        <v>43144</v>
      </c>
    </row>
    <row r="4512" spans="1:59" ht="57" x14ac:dyDescent="0.45">
      <c r="A4512" s="2" t="s">
        <v>59</v>
      </c>
      <c r="B4512" s="2" t="s">
        <v>60</v>
      </c>
      <c r="C4512" s="2" t="s">
        <v>43131</v>
      </c>
      <c r="D4512" s="2" t="s">
        <v>43132</v>
      </c>
      <c r="E4512" s="2" t="s">
        <v>43088</v>
      </c>
      <c r="G4512" s="3" t="s">
        <v>62</v>
      </c>
      <c r="I4512" s="3" t="s">
        <v>61</v>
      </c>
      <c r="J4512" s="3" t="s">
        <v>61</v>
      </c>
      <c r="K4512" s="3" t="s">
        <v>63</v>
      </c>
      <c r="M4512" s="2" t="s">
        <v>43133</v>
      </c>
      <c r="N4512" s="3" t="s">
        <v>1155</v>
      </c>
      <c r="O4512" s="2" t="s">
        <v>15116</v>
      </c>
      <c r="P4512" s="3" t="s">
        <v>65</v>
      </c>
      <c r="R4512" s="3" t="s">
        <v>66</v>
      </c>
      <c r="S4512" s="4">
        <v>94</v>
      </c>
      <c r="T4512" s="4">
        <v>304</v>
      </c>
      <c r="U4512" s="5" t="s">
        <v>18463</v>
      </c>
      <c r="V4512" s="5" t="s">
        <v>43135</v>
      </c>
      <c r="W4512" s="5" t="s">
        <v>67</v>
      </c>
      <c r="X4512" s="5" t="s">
        <v>5583</v>
      </c>
      <c r="Y4512" s="4">
        <v>32</v>
      </c>
      <c r="Z4512" s="4">
        <v>16</v>
      </c>
      <c r="AA4512" s="4">
        <v>86</v>
      </c>
      <c r="AB4512" s="4">
        <v>3</v>
      </c>
      <c r="AC4512" s="4">
        <v>9</v>
      </c>
      <c r="AD4512" s="4">
        <v>9</v>
      </c>
      <c r="AE4512" s="4">
        <v>62</v>
      </c>
      <c r="AF4512" s="4">
        <v>2</v>
      </c>
      <c r="AG4512" s="4">
        <v>6</v>
      </c>
      <c r="AH4512" s="4">
        <v>3</v>
      </c>
      <c r="AI4512" s="4">
        <v>23</v>
      </c>
      <c r="AJ4512" s="4">
        <v>6</v>
      </c>
      <c r="AK4512" s="4">
        <v>28</v>
      </c>
      <c r="AL4512" s="4">
        <v>1</v>
      </c>
      <c r="AM4512" s="4">
        <v>9</v>
      </c>
      <c r="AN4512" s="4">
        <v>0</v>
      </c>
      <c r="AO4512" s="4">
        <v>0</v>
      </c>
      <c r="AP4512" s="4">
        <v>9</v>
      </c>
      <c r="AQ4512" s="4">
        <v>50</v>
      </c>
      <c r="AR4512" s="3" t="s">
        <v>61</v>
      </c>
      <c r="AS4512" s="3" t="s">
        <v>62</v>
      </c>
      <c r="AT4512" s="3" t="s">
        <v>62</v>
      </c>
      <c r="AV4512" s="6" t="str">
        <f>HYPERLINK("http://mcgill.on.worldcat.org/oclc/747768141","Catalog Record")</f>
        <v>Catalog Record</v>
      </c>
      <c r="AW4512" s="6" t="str">
        <f>HYPERLINK("http://www.worldcat.org/oclc/747768141","WorldCat Record")</f>
        <v>WorldCat Record</v>
      </c>
      <c r="AX4512" s="3" t="s">
        <v>43078</v>
      </c>
      <c r="AY4512" s="3" t="s">
        <v>43136</v>
      </c>
      <c r="AZ4512" s="3" t="s">
        <v>43137</v>
      </c>
      <c r="BA4512" s="3" t="s">
        <v>43137</v>
      </c>
      <c r="BB4512" s="3" t="s">
        <v>43145</v>
      </c>
      <c r="BC4512" s="3" t="s">
        <v>142</v>
      </c>
      <c r="BD4512" s="3" t="s">
        <v>68</v>
      </c>
      <c r="BE4512" s="3" t="s">
        <v>43139</v>
      </c>
      <c r="BF4512" s="3" t="s">
        <v>43145</v>
      </c>
      <c r="BG4512" s="3" t="s">
        <v>43146</v>
      </c>
    </row>
    <row r="4513" spans="1:59" ht="57" x14ac:dyDescent="0.45">
      <c r="A4513" s="2" t="s">
        <v>59</v>
      </c>
      <c r="B4513" s="2" t="s">
        <v>60</v>
      </c>
      <c r="C4513" s="2" t="s">
        <v>43147</v>
      </c>
      <c r="D4513" s="2" t="s">
        <v>43148</v>
      </c>
      <c r="E4513" s="2" t="s">
        <v>43088</v>
      </c>
      <c r="G4513" s="3" t="s">
        <v>62</v>
      </c>
      <c r="H4513" s="3" t="s">
        <v>28859</v>
      </c>
      <c r="I4513" s="3" t="s">
        <v>61</v>
      </c>
      <c r="J4513" s="3" t="s">
        <v>61</v>
      </c>
      <c r="K4513" s="3" t="s">
        <v>63</v>
      </c>
      <c r="M4513" s="2" t="s">
        <v>43149</v>
      </c>
      <c r="N4513" s="3" t="s">
        <v>181</v>
      </c>
      <c r="O4513" s="2" t="s">
        <v>43150</v>
      </c>
      <c r="P4513" s="3" t="s">
        <v>65</v>
      </c>
      <c r="R4513" s="3" t="s">
        <v>66</v>
      </c>
      <c r="S4513" s="4">
        <v>3</v>
      </c>
      <c r="T4513" s="4">
        <v>12</v>
      </c>
      <c r="U4513" s="5" t="s">
        <v>12039</v>
      </c>
      <c r="V4513" s="5" t="s">
        <v>2160</v>
      </c>
      <c r="W4513" s="5" t="s">
        <v>28177</v>
      </c>
      <c r="X4513" s="5" t="s">
        <v>28177</v>
      </c>
      <c r="Y4513" s="4">
        <v>25</v>
      </c>
      <c r="Z4513" s="4">
        <v>17</v>
      </c>
      <c r="AA4513" s="4">
        <v>86</v>
      </c>
      <c r="AB4513" s="4">
        <v>1</v>
      </c>
      <c r="AC4513" s="4">
        <v>9</v>
      </c>
      <c r="AD4513" s="4">
        <v>10</v>
      </c>
      <c r="AE4513" s="4">
        <v>62</v>
      </c>
      <c r="AF4513" s="4">
        <v>0</v>
      </c>
      <c r="AG4513" s="4">
        <v>6</v>
      </c>
      <c r="AH4513" s="4">
        <v>5</v>
      </c>
      <c r="AI4513" s="4">
        <v>23</v>
      </c>
      <c r="AJ4513" s="4">
        <v>7</v>
      </c>
      <c r="AK4513" s="4">
        <v>28</v>
      </c>
      <c r="AL4513" s="4">
        <v>2</v>
      </c>
      <c r="AM4513" s="4">
        <v>9</v>
      </c>
      <c r="AN4513" s="4">
        <v>0</v>
      </c>
      <c r="AO4513" s="4">
        <v>0</v>
      </c>
      <c r="AP4513" s="4">
        <v>9</v>
      </c>
      <c r="AQ4513" s="4">
        <v>50</v>
      </c>
      <c r="AR4513" s="3" t="s">
        <v>61</v>
      </c>
      <c r="AS4513" s="3" t="s">
        <v>62</v>
      </c>
      <c r="AT4513" s="3" t="s">
        <v>62</v>
      </c>
      <c r="AV4513" s="6" t="str">
        <f>HYPERLINK("http://mcgill.on.worldcat.org/oclc/976501171","Catalog Record")</f>
        <v>Catalog Record</v>
      </c>
      <c r="AW4513" s="6" t="str">
        <f>HYPERLINK("http://www.worldcat.org/oclc/976501171","WorldCat Record")</f>
        <v>WorldCat Record</v>
      </c>
      <c r="AX4513" s="3" t="s">
        <v>43078</v>
      </c>
      <c r="AY4513" s="3" t="s">
        <v>43151</v>
      </c>
      <c r="AZ4513" s="3" t="s">
        <v>43152</v>
      </c>
      <c r="BA4513" s="3" t="s">
        <v>43152</v>
      </c>
      <c r="BB4513" s="3" t="s">
        <v>43153</v>
      </c>
      <c r="BC4513" s="3" t="s">
        <v>142</v>
      </c>
      <c r="BD4513" s="3" t="s">
        <v>68</v>
      </c>
      <c r="BE4513" s="3" t="s">
        <v>43154</v>
      </c>
      <c r="BF4513" s="3" t="s">
        <v>43153</v>
      </c>
      <c r="BG4513" s="3" t="s">
        <v>43155</v>
      </c>
    </row>
    <row r="4514" spans="1:59" ht="57" x14ac:dyDescent="0.45">
      <c r="A4514" s="2" t="s">
        <v>59</v>
      </c>
      <c r="B4514" s="2" t="s">
        <v>60</v>
      </c>
      <c r="C4514" s="2" t="s">
        <v>43147</v>
      </c>
      <c r="D4514" s="2" t="s">
        <v>43148</v>
      </c>
      <c r="E4514" s="2" t="s">
        <v>43088</v>
      </c>
      <c r="G4514" s="3" t="s">
        <v>62</v>
      </c>
      <c r="H4514" s="3" t="s">
        <v>28845</v>
      </c>
      <c r="I4514" s="3" t="s">
        <v>61</v>
      </c>
      <c r="J4514" s="3" t="s">
        <v>61</v>
      </c>
      <c r="K4514" s="3" t="s">
        <v>63</v>
      </c>
      <c r="M4514" s="2" t="s">
        <v>43149</v>
      </c>
      <c r="N4514" s="3" t="s">
        <v>181</v>
      </c>
      <c r="O4514" s="2" t="s">
        <v>43150</v>
      </c>
      <c r="P4514" s="3" t="s">
        <v>65</v>
      </c>
      <c r="R4514" s="3" t="s">
        <v>66</v>
      </c>
      <c r="S4514" s="4">
        <v>2</v>
      </c>
      <c r="T4514" s="4">
        <v>12</v>
      </c>
      <c r="U4514" s="5" t="s">
        <v>2365</v>
      </c>
      <c r="V4514" s="5" t="s">
        <v>2160</v>
      </c>
      <c r="W4514" s="5" t="s">
        <v>28177</v>
      </c>
      <c r="X4514" s="5" t="s">
        <v>28177</v>
      </c>
      <c r="Y4514" s="4">
        <v>25</v>
      </c>
      <c r="Z4514" s="4">
        <v>17</v>
      </c>
      <c r="AA4514" s="4">
        <v>86</v>
      </c>
      <c r="AB4514" s="4">
        <v>1</v>
      </c>
      <c r="AC4514" s="4">
        <v>9</v>
      </c>
      <c r="AD4514" s="4">
        <v>10</v>
      </c>
      <c r="AE4514" s="4">
        <v>62</v>
      </c>
      <c r="AF4514" s="4">
        <v>0</v>
      </c>
      <c r="AG4514" s="4">
        <v>6</v>
      </c>
      <c r="AH4514" s="4">
        <v>5</v>
      </c>
      <c r="AI4514" s="4">
        <v>23</v>
      </c>
      <c r="AJ4514" s="4">
        <v>7</v>
      </c>
      <c r="AK4514" s="4">
        <v>28</v>
      </c>
      <c r="AL4514" s="4">
        <v>2</v>
      </c>
      <c r="AM4514" s="4">
        <v>9</v>
      </c>
      <c r="AN4514" s="4">
        <v>0</v>
      </c>
      <c r="AO4514" s="4">
        <v>0</v>
      </c>
      <c r="AP4514" s="4">
        <v>9</v>
      </c>
      <c r="AQ4514" s="4">
        <v>50</v>
      </c>
      <c r="AR4514" s="3" t="s">
        <v>61</v>
      </c>
      <c r="AS4514" s="3" t="s">
        <v>62</v>
      </c>
      <c r="AT4514" s="3" t="s">
        <v>62</v>
      </c>
      <c r="AV4514" s="6" t="str">
        <f>HYPERLINK("http://mcgill.on.worldcat.org/oclc/976501171","Catalog Record")</f>
        <v>Catalog Record</v>
      </c>
      <c r="AW4514" s="6" t="str">
        <f>HYPERLINK("http://www.worldcat.org/oclc/976501171","WorldCat Record")</f>
        <v>WorldCat Record</v>
      </c>
      <c r="AX4514" s="3" t="s">
        <v>43078</v>
      </c>
      <c r="AY4514" s="3" t="s">
        <v>43151</v>
      </c>
      <c r="AZ4514" s="3" t="s">
        <v>43152</v>
      </c>
      <c r="BA4514" s="3" t="s">
        <v>43152</v>
      </c>
      <c r="BB4514" s="3" t="s">
        <v>43156</v>
      </c>
      <c r="BC4514" s="3" t="s">
        <v>142</v>
      </c>
      <c r="BD4514" s="3" t="s">
        <v>68</v>
      </c>
      <c r="BE4514" s="3" t="s">
        <v>43154</v>
      </c>
      <c r="BF4514" s="3" t="s">
        <v>43156</v>
      </c>
      <c r="BG4514" s="3" t="s">
        <v>43157</v>
      </c>
    </row>
    <row r="4515" spans="1:59" ht="57" x14ac:dyDescent="0.45">
      <c r="A4515" s="2" t="s">
        <v>59</v>
      </c>
      <c r="B4515" s="2" t="s">
        <v>60</v>
      </c>
      <c r="C4515" s="2" t="s">
        <v>43147</v>
      </c>
      <c r="D4515" s="2" t="s">
        <v>43148</v>
      </c>
      <c r="E4515" s="2" t="s">
        <v>43088</v>
      </c>
      <c r="G4515" s="3" t="s">
        <v>62</v>
      </c>
      <c r="H4515" s="3" t="s">
        <v>3960</v>
      </c>
      <c r="I4515" s="3" t="s">
        <v>61</v>
      </c>
      <c r="J4515" s="3" t="s">
        <v>61</v>
      </c>
      <c r="K4515" s="3" t="s">
        <v>63</v>
      </c>
      <c r="M4515" s="2" t="s">
        <v>43149</v>
      </c>
      <c r="N4515" s="3" t="s">
        <v>181</v>
      </c>
      <c r="O4515" s="2" t="s">
        <v>43150</v>
      </c>
      <c r="P4515" s="3" t="s">
        <v>65</v>
      </c>
      <c r="R4515" s="3" t="s">
        <v>66</v>
      </c>
      <c r="S4515" s="4">
        <v>3</v>
      </c>
      <c r="T4515" s="4">
        <v>12</v>
      </c>
      <c r="U4515" s="5" t="s">
        <v>21102</v>
      </c>
      <c r="V4515" s="5" t="s">
        <v>2160</v>
      </c>
      <c r="W4515" s="5" t="s">
        <v>28177</v>
      </c>
      <c r="X4515" s="5" t="s">
        <v>28177</v>
      </c>
      <c r="Y4515" s="4">
        <v>25</v>
      </c>
      <c r="Z4515" s="4">
        <v>17</v>
      </c>
      <c r="AA4515" s="4">
        <v>86</v>
      </c>
      <c r="AB4515" s="4">
        <v>1</v>
      </c>
      <c r="AC4515" s="4">
        <v>9</v>
      </c>
      <c r="AD4515" s="4">
        <v>10</v>
      </c>
      <c r="AE4515" s="4">
        <v>62</v>
      </c>
      <c r="AF4515" s="4">
        <v>0</v>
      </c>
      <c r="AG4515" s="4">
        <v>6</v>
      </c>
      <c r="AH4515" s="4">
        <v>5</v>
      </c>
      <c r="AI4515" s="4">
        <v>23</v>
      </c>
      <c r="AJ4515" s="4">
        <v>7</v>
      </c>
      <c r="AK4515" s="4">
        <v>28</v>
      </c>
      <c r="AL4515" s="4">
        <v>2</v>
      </c>
      <c r="AM4515" s="4">
        <v>9</v>
      </c>
      <c r="AN4515" s="4">
        <v>0</v>
      </c>
      <c r="AO4515" s="4">
        <v>0</v>
      </c>
      <c r="AP4515" s="4">
        <v>9</v>
      </c>
      <c r="AQ4515" s="4">
        <v>50</v>
      </c>
      <c r="AR4515" s="3" t="s">
        <v>61</v>
      </c>
      <c r="AS4515" s="3" t="s">
        <v>62</v>
      </c>
      <c r="AT4515" s="3" t="s">
        <v>62</v>
      </c>
      <c r="AV4515" s="6" t="str">
        <f>HYPERLINK("http://mcgill.on.worldcat.org/oclc/976501171","Catalog Record")</f>
        <v>Catalog Record</v>
      </c>
      <c r="AW4515" s="6" t="str">
        <f>HYPERLINK("http://www.worldcat.org/oclc/976501171","WorldCat Record")</f>
        <v>WorldCat Record</v>
      </c>
      <c r="AX4515" s="3" t="s">
        <v>43078</v>
      </c>
      <c r="AY4515" s="3" t="s">
        <v>43151</v>
      </c>
      <c r="AZ4515" s="3" t="s">
        <v>43152</v>
      </c>
      <c r="BA4515" s="3" t="s">
        <v>43152</v>
      </c>
      <c r="BB4515" s="3" t="s">
        <v>43158</v>
      </c>
      <c r="BC4515" s="3" t="s">
        <v>142</v>
      </c>
      <c r="BD4515" s="3" t="s">
        <v>68</v>
      </c>
      <c r="BE4515" s="3" t="s">
        <v>43154</v>
      </c>
      <c r="BF4515" s="3" t="s">
        <v>43158</v>
      </c>
      <c r="BG4515" s="3" t="s">
        <v>43159</v>
      </c>
    </row>
    <row r="4516" spans="1:59" ht="57" x14ac:dyDescent="0.45">
      <c r="A4516" s="2" t="s">
        <v>59</v>
      </c>
      <c r="B4516" s="2" t="s">
        <v>60</v>
      </c>
      <c r="C4516" s="2" t="s">
        <v>43147</v>
      </c>
      <c r="D4516" s="2" t="s">
        <v>43148</v>
      </c>
      <c r="E4516" s="2" t="s">
        <v>43088</v>
      </c>
      <c r="G4516" s="3" t="s">
        <v>62</v>
      </c>
      <c r="H4516" s="3" t="s">
        <v>43160</v>
      </c>
      <c r="I4516" s="3" t="s">
        <v>61</v>
      </c>
      <c r="J4516" s="3" t="s">
        <v>61</v>
      </c>
      <c r="K4516" s="3" t="s">
        <v>63</v>
      </c>
      <c r="M4516" s="2" t="s">
        <v>43149</v>
      </c>
      <c r="N4516" s="3" t="s">
        <v>181</v>
      </c>
      <c r="O4516" s="2" t="s">
        <v>43150</v>
      </c>
      <c r="P4516" s="3" t="s">
        <v>65</v>
      </c>
      <c r="R4516" s="3" t="s">
        <v>66</v>
      </c>
      <c r="S4516" s="4">
        <v>4</v>
      </c>
      <c r="T4516" s="4">
        <v>12</v>
      </c>
      <c r="U4516" s="5" t="s">
        <v>2160</v>
      </c>
      <c r="V4516" s="5" t="s">
        <v>2160</v>
      </c>
      <c r="W4516" s="5" t="s">
        <v>28177</v>
      </c>
      <c r="X4516" s="5" t="s">
        <v>28177</v>
      </c>
      <c r="Y4516" s="4">
        <v>25</v>
      </c>
      <c r="Z4516" s="4">
        <v>17</v>
      </c>
      <c r="AA4516" s="4">
        <v>86</v>
      </c>
      <c r="AB4516" s="4">
        <v>1</v>
      </c>
      <c r="AC4516" s="4">
        <v>9</v>
      </c>
      <c r="AD4516" s="4">
        <v>10</v>
      </c>
      <c r="AE4516" s="4">
        <v>62</v>
      </c>
      <c r="AF4516" s="4">
        <v>0</v>
      </c>
      <c r="AG4516" s="4">
        <v>6</v>
      </c>
      <c r="AH4516" s="4">
        <v>5</v>
      </c>
      <c r="AI4516" s="4">
        <v>23</v>
      </c>
      <c r="AJ4516" s="4">
        <v>7</v>
      </c>
      <c r="AK4516" s="4">
        <v>28</v>
      </c>
      <c r="AL4516" s="4">
        <v>2</v>
      </c>
      <c r="AM4516" s="4">
        <v>9</v>
      </c>
      <c r="AN4516" s="4">
        <v>0</v>
      </c>
      <c r="AO4516" s="4">
        <v>0</v>
      </c>
      <c r="AP4516" s="4">
        <v>9</v>
      </c>
      <c r="AQ4516" s="4">
        <v>50</v>
      </c>
      <c r="AR4516" s="3" t="s">
        <v>61</v>
      </c>
      <c r="AS4516" s="3" t="s">
        <v>62</v>
      </c>
      <c r="AT4516" s="3" t="s">
        <v>62</v>
      </c>
      <c r="AV4516" s="6" t="str">
        <f>HYPERLINK("http://mcgill.on.worldcat.org/oclc/976501171","Catalog Record")</f>
        <v>Catalog Record</v>
      </c>
      <c r="AW4516" s="6" t="str">
        <f>HYPERLINK("http://www.worldcat.org/oclc/976501171","WorldCat Record")</f>
        <v>WorldCat Record</v>
      </c>
      <c r="AX4516" s="3" t="s">
        <v>43078</v>
      </c>
      <c r="AY4516" s="3" t="s">
        <v>43151</v>
      </c>
      <c r="AZ4516" s="3" t="s">
        <v>43152</v>
      </c>
      <c r="BA4516" s="3" t="s">
        <v>43152</v>
      </c>
      <c r="BB4516" s="3" t="s">
        <v>43161</v>
      </c>
      <c r="BC4516" s="3" t="s">
        <v>142</v>
      </c>
      <c r="BD4516" s="3" t="s">
        <v>68</v>
      </c>
      <c r="BE4516" s="3" t="s">
        <v>43154</v>
      </c>
      <c r="BF4516" s="3" t="s">
        <v>43161</v>
      </c>
      <c r="BG4516" s="3" t="s">
        <v>43162</v>
      </c>
    </row>
    <row r="4517" spans="1:59" ht="57" x14ac:dyDescent="0.45">
      <c r="A4517" s="2" t="s">
        <v>59</v>
      </c>
      <c r="B4517" s="2" t="s">
        <v>60</v>
      </c>
      <c r="C4517" s="2" t="s">
        <v>43163</v>
      </c>
      <c r="D4517" s="2" t="s">
        <v>43164</v>
      </c>
      <c r="E4517" s="2" t="s">
        <v>43165</v>
      </c>
      <c r="G4517" s="3" t="s">
        <v>62</v>
      </c>
      <c r="I4517" s="3" t="s">
        <v>62</v>
      </c>
      <c r="J4517" s="3" t="s">
        <v>62</v>
      </c>
      <c r="K4517" s="3" t="s">
        <v>63</v>
      </c>
      <c r="M4517" s="2" t="s">
        <v>1178</v>
      </c>
      <c r="N4517" s="3" t="s">
        <v>894</v>
      </c>
      <c r="P4517" s="3" t="s">
        <v>65</v>
      </c>
      <c r="Q4517" s="2" t="s">
        <v>43166</v>
      </c>
      <c r="R4517" s="3" t="s">
        <v>66</v>
      </c>
      <c r="S4517" s="4">
        <v>1</v>
      </c>
      <c r="T4517" s="4">
        <v>1</v>
      </c>
      <c r="U4517" s="5" t="s">
        <v>1034</v>
      </c>
      <c r="V4517" s="5" t="s">
        <v>1034</v>
      </c>
      <c r="W4517" s="5" t="s">
        <v>67</v>
      </c>
      <c r="X4517" s="5" t="s">
        <v>67</v>
      </c>
      <c r="Y4517" s="4">
        <v>71</v>
      </c>
      <c r="Z4517" s="4">
        <v>9</v>
      </c>
      <c r="AA4517" s="4">
        <v>113</v>
      </c>
      <c r="AB4517" s="4">
        <v>2</v>
      </c>
      <c r="AC4517" s="4">
        <v>17</v>
      </c>
      <c r="AD4517" s="4">
        <v>29</v>
      </c>
      <c r="AE4517" s="4">
        <v>111</v>
      </c>
      <c r="AF4517" s="4">
        <v>1</v>
      </c>
      <c r="AG4517" s="4">
        <v>8</v>
      </c>
      <c r="AH4517" s="4">
        <v>26</v>
      </c>
      <c r="AI4517" s="4">
        <v>72</v>
      </c>
      <c r="AJ4517" s="4">
        <v>7</v>
      </c>
      <c r="AK4517" s="4">
        <v>22</v>
      </c>
      <c r="AL4517" s="4">
        <v>17</v>
      </c>
      <c r="AM4517" s="4">
        <v>38</v>
      </c>
      <c r="AN4517" s="4">
        <v>0</v>
      </c>
      <c r="AO4517" s="4">
        <v>0</v>
      </c>
      <c r="AP4517" s="4">
        <v>7</v>
      </c>
      <c r="AQ4517" s="4">
        <v>45</v>
      </c>
      <c r="AR4517" s="3" t="s">
        <v>62</v>
      </c>
      <c r="AS4517" s="3" t="s">
        <v>62</v>
      </c>
      <c r="AT4517" s="3" t="s">
        <v>62</v>
      </c>
      <c r="AV4517" s="6" t="str">
        <f>HYPERLINK("http://mcgill.on.worldcat.org/oclc/743277989","Catalog Record")</f>
        <v>Catalog Record</v>
      </c>
      <c r="AW4517" s="6" t="str">
        <f>HYPERLINK("http://www.worldcat.org/oclc/743277989","WorldCat Record")</f>
        <v>WorldCat Record</v>
      </c>
      <c r="AX4517" s="3" t="s">
        <v>43167</v>
      </c>
      <c r="AY4517" s="3" t="s">
        <v>43168</v>
      </c>
      <c r="AZ4517" s="3" t="s">
        <v>43169</v>
      </c>
      <c r="BA4517" s="3" t="s">
        <v>43169</v>
      </c>
      <c r="BB4517" s="3" t="s">
        <v>43170</v>
      </c>
      <c r="BC4517" s="3" t="s">
        <v>142</v>
      </c>
      <c r="BD4517" s="3" t="s">
        <v>68</v>
      </c>
      <c r="BE4517" s="3" t="s">
        <v>43171</v>
      </c>
      <c r="BF4517" s="3" t="s">
        <v>43170</v>
      </c>
      <c r="BG4517" s="3" t="s">
        <v>43172</v>
      </c>
    </row>
    <row r="4518" spans="1:59" ht="57" x14ac:dyDescent="0.45">
      <c r="A4518" s="2" t="s">
        <v>59</v>
      </c>
      <c r="B4518" s="2" t="s">
        <v>60</v>
      </c>
      <c r="C4518" s="2" t="s">
        <v>43173</v>
      </c>
      <c r="D4518" s="2" t="s">
        <v>43174</v>
      </c>
      <c r="E4518" s="2" t="s">
        <v>43175</v>
      </c>
      <c r="G4518" s="3" t="s">
        <v>62</v>
      </c>
      <c r="I4518" s="3" t="s">
        <v>62</v>
      </c>
      <c r="J4518" s="3" t="s">
        <v>62</v>
      </c>
      <c r="K4518" s="3" t="s">
        <v>63</v>
      </c>
      <c r="L4518" s="2" t="s">
        <v>43176</v>
      </c>
      <c r="M4518" s="2" t="s">
        <v>43177</v>
      </c>
      <c r="N4518" s="3" t="s">
        <v>1155</v>
      </c>
      <c r="P4518" s="3" t="s">
        <v>65</v>
      </c>
      <c r="Q4518" s="2" t="s">
        <v>6295</v>
      </c>
      <c r="R4518" s="3" t="s">
        <v>66</v>
      </c>
      <c r="S4518" s="4">
        <v>0</v>
      </c>
      <c r="T4518" s="4">
        <v>0</v>
      </c>
      <c r="W4518" s="5" t="s">
        <v>67</v>
      </c>
      <c r="X4518" s="5" t="s">
        <v>67</v>
      </c>
      <c r="Y4518" s="4">
        <v>124</v>
      </c>
      <c r="Z4518" s="4">
        <v>16</v>
      </c>
      <c r="AA4518" s="4">
        <v>79</v>
      </c>
      <c r="AB4518" s="4">
        <v>1</v>
      </c>
      <c r="AC4518" s="4">
        <v>15</v>
      </c>
      <c r="AD4518" s="4">
        <v>30</v>
      </c>
      <c r="AE4518" s="4">
        <v>101</v>
      </c>
      <c r="AF4518" s="4">
        <v>0</v>
      </c>
      <c r="AG4518" s="4">
        <v>8</v>
      </c>
      <c r="AH4518" s="4">
        <v>22</v>
      </c>
      <c r="AI4518" s="4">
        <v>67</v>
      </c>
      <c r="AJ4518" s="4">
        <v>12</v>
      </c>
      <c r="AK4518" s="4">
        <v>24</v>
      </c>
      <c r="AL4518" s="4">
        <v>10</v>
      </c>
      <c r="AM4518" s="4">
        <v>31</v>
      </c>
      <c r="AN4518" s="4">
        <v>0</v>
      </c>
      <c r="AO4518" s="4">
        <v>0</v>
      </c>
      <c r="AP4518" s="4">
        <v>14</v>
      </c>
      <c r="AQ4518" s="4">
        <v>43</v>
      </c>
      <c r="AR4518" s="3" t="s">
        <v>62</v>
      </c>
      <c r="AS4518" s="3" t="s">
        <v>62</v>
      </c>
      <c r="AT4518" s="3" t="s">
        <v>62</v>
      </c>
      <c r="AV4518" s="6" t="str">
        <f>HYPERLINK("http://mcgill.on.worldcat.org/oclc/671700616","Catalog Record")</f>
        <v>Catalog Record</v>
      </c>
      <c r="AW4518" s="6" t="str">
        <f>HYPERLINK("http://www.worldcat.org/oclc/671700616","WorldCat Record")</f>
        <v>WorldCat Record</v>
      </c>
      <c r="AX4518" s="3" t="s">
        <v>43178</v>
      </c>
      <c r="AY4518" s="3" t="s">
        <v>43179</v>
      </c>
      <c r="AZ4518" s="3" t="s">
        <v>43180</v>
      </c>
      <c r="BA4518" s="3" t="s">
        <v>43180</v>
      </c>
      <c r="BB4518" s="3" t="s">
        <v>43181</v>
      </c>
      <c r="BC4518" s="3" t="s">
        <v>142</v>
      </c>
      <c r="BD4518" s="3" t="s">
        <v>68</v>
      </c>
      <c r="BE4518" s="3" t="s">
        <v>43182</v>
      </c>
      <c r="BF4518" s="3" t="s">
        <v>43181</v>
      </c>
      <c r="BG4518" s="3" t="s">
        <v>43183</v>
      </c>
    </row>
    <row r="4519" spans="1:59" ht="57" x14ac:dyDescent="0.45">
      <c r="A4519" s="2" t="s">
        <v>59</v>
      </c>
      <c r="B4519" s="2" t="s">
        <v>60</v>
      </c>
      <c r="C4519" s="2" t="s">
        <v>43184</v>
      </c>
      <c r="D4519" s="2" t="s">
        <v>43185</v>
      </c>
      <c r="E4519" s="2" t="s">
        <v>43186</v>
      </c>
      <c r="F4519" s="3" t="s">
        <v>87</v>
      </c>
      <c r="G4519" s="3" t="s">
        <v>61</v>
      </c>
      <c r="I4519" s="3" t="s">
        <v>62</v>
      </c>
      <c r="J4519" s="3" t="s">
        <v>62</v>
      </c>
      <c r="K4519" s="3" t="s">
        <v>63</v>
      </c>
      <c r="L4519" s="2" t="s">
        <v>11885</v>
      </c>
      <c r="M4519" s="2" t="s">
        <v>43187</v>
      </c>
      <c r="N4519" s="3" t="s">
        <v>149</v>
      </c>
      <c r="P4519" s="3" t="s">
        <v>65</v>
      </c>
      <c r="R4519" s="3" t="s">
        <v>66</v>
      </c>
      <c r="S4519" s="4">
        <v>2</v>
      </c>
      <c r="T4519" s="4">
        <v>3</v>
      </c>
      <c r="U4519" s="5" t="s">
        <v>43188</v>
      </c>
      <c r="V4519" s="5" t="s">
        <v>25258</v>
      </c>
      <c r="W4519" s="5" t="s">
        <v>67</v>
      </c>
      <c r="X4519" s="5" t="s">
        <v>67</v>
      </c>
      <c r="Y4519" s="4">
        <v>191</v>
      </c>
      <c r="Z4519" s="4">
        <v>23</v>
      </c>
      <c r="AA4519" s="4">
        <v>25</v>
      </c>
      <c r="AB4519" s="4">
        <v>2</v>
      </c>
      <c r="AC4519" s="4">
        <v>2</v>
      </c>
      <c r="AD4519" s="4">
        <v>88</v>
      </c>
      <c r="AE4519" s="4">
        <v>89</v>
      </c>
      <c r="AF4519" s="4">
        <v>0</v>
      </c>
      <c r="AG4519" s="4">
        <v>0</v>
      </c>
      <c r="AH4519" s="4">
        <v>76</v>
      </c>
      <c r="AI4519" s="4">
        <v>77</v>
      </c>
      <c r="AJ4519" s="4">
        <v>15</v>
      </c>
      <c r="AK4519" s="4">
        <v>16</v>
      </c>
      <c r="AL4519" s="4">
        <v>45</v>
      </c>
      <c r="AM4519" s="4">
        <v>45</v>
      </c>
      <c r="AN4519" s="4">
        <v>0</v>
      </c>
      <c r="AO4519" s="4">
        <v>0</v>
      </c>
      <c r="AP4519" s="4">
        <v>18</v>
      </c>
      <c r="AQ4519" s="4">
        <v>19</v>
      </c>
      <c r="AR4519" s="3" t="s">
        <v>62</v>
      </c>
      <c r="AS4519" s="3" t="s">
        <v>62</v>
      </c>
      <c r="AT4519" s="3" t="s">
        <v>62</v>
      </c>
      <c r="AV4519" s="6" t="str">
        <f>HYPERLINK("http://mcgill.on.worldcat.org/oclc/461245121","Catalog Record")</f>
        <v>Catalog Record</v>
      </c>
      <c r="AW4519" s="6" t="str">
        <f>HYPERLINK("http://www.worldcat.org/oclc/461245121","WorldCat Record")</f>
        <v>WorldCat Record</v>
      </c>
      <c r="AX4519" s="3" t="s">
        <v>43189</v>
      </c>
      <c r="AY4519" s="3" t="s">
        <v>43190</v>
      </c>
      <c r="AZ4519" s="3" t="s">
        <v>43191</v>
      </c>
      <c r="BA4519" s="3" t="s">
        <v>43191</v>
      </c>
      <c r="BB4519" s="3" t="s">
        <v>43192</v>
      </c>
      <c r="BC4519" s="3" t="s">
        <v>142</v>
      </c>
      <c r="BD4519" s="3" t="s">
        <v>308</v>
      </c>
      <c r="BE4519" s="3" t="s">
        <v>43193</v>
      </c>
      <c r="BF4519" s="3" t="s">
        <v>43192</v>
      </c>
      <c r="BG4519" s="3" t="s">
        <v>43194</v>
      </c>
    </row>
    <row r="4520" spans="1:59" ht="57" x14ac:dyDescent="0.45">
      <c r="A4520" s="2" t="s">
        <v>59</v>
      </c>
      <c r="B4520" s="2" t="s">
        <v>60</v>
      </c>
      <c r="C4520" s="2" t="s">
        <v>43184</v>
      </c>
      <c r="D4520" s="2" t="s">
        <v>43185</v>
      </c>
      <c r="E4520" s="2" t="s">
        <v>43186</v>
      </c>
      <c r="F4520" s="3" t="s">
        <v>90</v>
      </c>
      <c r="G4520" s="3" t="s">
        <v>61</v>
      </c>
      <c r="I4520" s="3" t="s">
        <v>62</v>
      </c>
      <c r="J4520" s="3" t="s">
        <v>62</v>
      </c>
      <c r="K4520" s="3" t="s">
        <v>63</v>
      </c>
      <c r="L4520" s="2" t="s">
        <v>11885</v>
      </c>
      <c r="M4520" s="2" t="s">
        <v>43187</v>
      </c>
      <c r="N4520" s="3" t="s">
        <v>149</v>
      </c>
      <c r="P4520" s="3" t="s">
        <v>65</v>
      </c>
      <c r="R4520" s="3" t="s">
        <v>66</v>
      </c>
      <c r="S4520" s="4">
        <v>0</v>
      </c>
      <c r="T4520" s="4">
        <v>3</v>
      </c>
      <c r="V4520" s="5" t="s">
        <v>25258</v>
      </c>
      <c r="W4520" s="5" t="s">
        <v>67</v>
      </c>
      <c r="X4520" s="5" t="s">
        <v>67</v>
      </c>
      <c r="Y4520" s="4">
        <v>191</v>
      </c>
      <c r="Z4520" s="4">
        <v>23</v>
      </c>
      <c r="AA4520" s="4">
        <v>25</v>
      </c>
      <c r="AB4520" s="4">
        <v>2</v>
      </c>
      <c r="AC4520" s="4">
        <v>2</v>
      </c>
      <c r="AD4520" s="4">
        <v>88</v>
      </c>
      <c r="AE4520" s="4">
        <v>89</v>
      </c>
      <c r="AF4520" s="4">
        <v>0</v>
      </c>
      <c r="AG4520" s="4">
        <v>0</v>
      </c>
      <c r="AH4520" s="4">
        <v>76</v>
      </c>
      <c r="AI4520" s="4">
        <v>77</v>
      </c>
      <c r="AJ4520" s="4">
        <v>15</v>
      </c>
      <c r="AK4520" s="4">
        <v>16</v>
      </c>
      <c r="AL4520" s="4">
        <v>45</v>
      </c>
      <c r="AM4520" s="4">
        <v>45</v>
      </c>
      <c r="AN4520" s="4">
        <v>0</v>
      </c>
      <c r="AO4520" s="4">
        <v>0</v>
      </c>
      <c r="AP4520" s="4">
        <v>18</v>
      </c>
      <c r="AQ4520" s="4">
        <v>19</v>
      </c>
      <c r="AR4520" s="3" t="s">
        <v>62</v>
      </c>
      <c r="AS4520" s="3" t="s">
        <v>62</v>
      </c>
      <c r="AT4520" s="3" t="s">
        <v>62</v>
      </c>
      <c r="AV4520" s="6" t="str">
        <f>HYPERLINK("http://mcgill.on.worldcat.org/oclc/461245121","Catalog Record")</f>
        <v>Catalog Record</v>
      </c>
      <c r="AW4520" s="6" t="str">
        <f>HYPERLINK("http://www.worldcat.org/oclc/461245121","WorldCat Record")</f>
        <v>WorldCat Record</v>
      </c>
      <c r="AX4520" s="3" t="s">
        <v>43189</v>
      </c>
      <c r="AY4520" s="3" t="s">
        <v>43190</v>
      </c>
      <c r="AZ4520" s="3" t="s">
        <v>43191</v>
      </c>
      <c r="BA4520" s="3" t="s">
        <v>43191</v>
      </c>
      <c r="BB4520" s="3" t="s">
        <v>43195</v>
      </c>
      <c r="BC4520" s="3" t="s">
        <v>142</v>
      </c>
      <c r="BD4520" s="3" t="s">
        <v>68</v>
      </c>
      <c r="BE4520" s="3" t="s">
        <v>43193</v>
      </c>
      <c r="BF4520" s="3" t="s">
        <v>43195</v>
      </c>
      <c r="BG4520" s="3" t="s">
        <v>43196</v>
      </c>
    </row>
    <row r="4521" spans="1:59" ht="57" x14ac:dyDescent="0.45">
      <c r="A4521" s="2" t="s">
        <v>59</v>
      </c>
      <c r="B4521" s="2" t="s">
        <v>60</v>
      </c>
      <c r="C4521" s="2" t="s">
        <v>43184</v>
      </c>
      <c r="D4521" s="2" t="s">
        <v>43185</v>
      </c>
      <c r="E4521" s="2" t="s">
        <v>43186</v>
      </c>
      <c r="F4521" s="3" t="s">
        <v>86</v>
      </c>
      <c r="G4521" s="3" t="s">
        <v>61</v>
      </c>
      <c r="I4521" s="3" t="s">
        <v>62</v>
      </c>
      <c r="J4521" s="3" t="s">
        <v>62</v>
      </c>
      <c r="K4521" s="3" t="s">
        <v>63</v>
      </c>
      <c r="L4521" s="2" t="s">
        <v>11885</v>
      </c>
      <c r="M4521" s="2" t="s">
        <v>43187</v>
      </c>
      <c r="N4521" s="3" t="s">
        <v>149</v>
      </c>
      <c r="P4521" s="3" t="s">
        <v>65</v>
      </c>
      <c r="R4521" s="3" t="s">
        <v>66</v>
      </c>
      <c r="S4521" s="4">
        <v>1</v>
      </c>
      <c r="T4521" s="4">
        <v>3</v>
      </c>
      <c r="U4521" s="5" t="s">
        <v>25258</v>
      </c>
      <c r="V4521" s="5" t="s">
        <v>25258</v>
      </c>
      <c r="W4521" s="5" t="s">
        <v>67</v>
      </c>
      <c r="X4521" s="5" t="s">
        <v>67</v>
      </c>
      <c r="Y4521" s="4">
        <v>191</v>
      </c>
      <c r="Z4521" s="4">
        <v>23</v>
      </c>
      <c r="AA4521" s="4">
        <v>25</v>
      </c>
      <c r="AB4521" s="4">
        <v>2</v>
      </c>
      <c r="AC4521" s="4">
        <v>2</v>
      </c>
      <c r="AD4521" s="4">
        <v>88</v>
      </c>
      <c r="AE4521" s="4">
        <v>89</v>
      </c>
      <c r="AF4521" s="4">
        <v>0</v>
      </c>
      <c r="AG4521" s="4">
        <v>0</v>
      </c>
      <c r="AH4521" s="4">
        <v>76</v>
      </c>
      <c r="AI4521" s="4">
        <v>77</v>
      </c>
      <c r="AJ4521" s="4">
        <v>15</v>
      </c>
      <c r="AK4521" s="4">
        <v>16</v>
      </c>
      <c r="AL4521" s="4">
        <v>45</v>
      </c>
      <c r="AM4521" s="4">
        <v>45</v>
      </c>
      <c r="AN4521" s="4">
        <v>0</v>
      </c>
      <c r="AO4521" s="4">
        <v>0</v>
      </c>
      <c r="AP4521" s="4">
        <v>18</v>
      </c>
      <c r="AQ4521" s="4">
        <v>19</v>
      </c>
      <c r="AR4521" s="3" t="s">
        <v>62</v>
      </c>
      <c r="AS4521" s="3" t="s">
        <v>62</v>
      </c>
      <c r="AT4521" s="3" t="s">
        <v>62</v>
      </c>
      <c r="AV4521" s="6" t="str">
        <f>HYPERLINK("http://mcgill.on.worldcat.org/oclc/461245121","Catalog Record")</f>
        <v>Catalog Record</v>
      </c>
      <c r="AW4521" s="6" t="str">
        <f>HYPERLINK("http://www.worldcat.org/oclc/461245121","WorldCat Record")</f>
        <v>WorldCat Record</v>
      </c>
      <c r="AX4521" s="3" t="s">
        <v>43189</v>
      </c>
      <c r="AY4521" s="3" t="s">
        <v>43190</v>
      </c>
      <c r="AZ4521" s="3" t="s">
        <v>43191</v>
      </c>
      <c r="BA4521" s="3" t="s">
        <v>43191</v>
      </c>
      <c r="BB4521" s="3" t="s">
        <v>43197</v>
      </c>
      <c r="BC4521" s="3" t="s">
        <v>142</v>
      </c>
      <c r="BD4521" s="3" t="s">
        <v>68</v>
      </c>
      <c r="BE4521" s="3" t="s">
        <v>43193</v>
      </c>
      <c r="BF4521" s="3" t="s">
        <v>43197</v>
      </c>
      <c r="BG4521" s="3" t="s">
        <v>43198</v>
      </c>
    </row>
    <row r="4522" spans="1:59" ht="57" x14ac:dyDescent="0.45">
      <c r="A4522" s="2" t="s">
        <v>59</v>
      </c>
      <c r="B4522" s="2" t="s">
        <v>60</v>
      </c>
      <c r="C4522" s="2" t="s">
        <v>43199</v>
      </c>
      <c r="D4522" s="2" t="s">
        <v>43200</v>
      </c>
      <c r="E4522" s="2" t="s">
        <v>43201</v>
      </c>
      <c r="G4522" s="3" t="s">
        <v>62</v>
      </c>
      <c r="I4522" s="3" t="s">
        <v>62</v>
      </c>
      <c r="J4522" s="3" t="s">
        <v>62</v>
      </c>
      <c r="K4522" s="3" t="s">
        <v>63</v>
      </c>
      <c r="M4522" s="2" t="s">
        <v>43202</v>
      </c>
      <c r="N4522" s="3" t="s">
        <v>1155</v>
      </c>
      <c r="P4522" s="3" t="s">
        <v>65</v>
      </c>
      <c r="Q4522" s="2" t="s">
        <v>43203</v>
      </c>
      <c r="R4522" s="3" t="s">
        <v>66</v>
      </c>
      <c r="S4522" s="4">
        <v>1</v>
      </c>
      <c r="T4522" s="4">
        <v>1</v>
      </c>
      <c r="U4522" s="5" t="s">
        <v>43204</v>
      </c>
      <c r="V4522" s="5" t="s">
        <v>43204</v>
      </c>
      <c r="W4522" s="5" t="s">
        <v>67</v>
      </c>
      <c r="X4522" s="5" t="s">
        <v>67</v>
      </c>
      <c r="Y4522" s="4">
        <v>64</v>
      </c>
      <c r="Z4522" s="4">
        <v>6</v>
      </c>
      <c r="AA4522" s="4">
        <v>80</v>
      </c>
      <c r="AB4522" s="4">
        <v>1</v>
      </c>
      <c r="AC4522" s="4">
        <v>14</v>
      </c>
      <c r="AD4522" s="4">
        <v>28</v>
      </c>
      <c r="AE4522" s="4">
        <v>111</v>
      </c>
      <c r="AF4522" s="4">
        <v>0</v>
      </c>
      <c r="AG4522" s="4">
        <v>8</v>
      </c>
      <c r="AH4522" s="4">
        <v>24</v>
      </c>
      <c r="AI4522" s="4">
        <v>75</v>
      </c>
      <c r="AJ4522" s="4">
        <v>5</v>
      </c>
      <c r="AK4522" s="4">
        <v>21</v>
      </c>
      <c r="AL4522" s="4">
        <v>16</v>
      </c>
      <c r="AM4522" s="4">
        <v>39</v>
      </c>
      <c r="AN4522" s="4">
        <v>0</v>
      </c>
      <c r="AO4522" s="4">
        <v>0</v>
      </c>
      <c r="AP4522" s="4">
        <v>5</v>
      </c>
      <c r="AQ4522" s="4">
        <v>43</v>
      </c>
      <c r="AR4522" s="3" t="s">
        <v>62</v>
      </c>
      <c r="AS4522" s="3" t="s">
        <v>62</v>
      </c>
      <c r="AT4522" s="3" t="s">
        <v>62</v>
      </c>
      <c r="AV4522" s="6" t="str">
        <f>HYPERLINK("http://mcgill.on.worldcat.org/oclc/783142391","Catalog Record")</f>
        <v>Catalog Record</v>
      </c>
      <c r="AW4522" s="6" t="str">
        <f>HYPERLINK("http://www.worldcat.org/oclc/783142391","WorldCat Record")</f>
        <v>WorldCat Record</v>
      </c>
      <c r="AX4522" s="3" t="s">
        <v>43205</v>
      </c>
      <c r="AY4522" s="3" t="s">
        <v>43206</v>
      </c>
      <c r="AZ4522" s="3" t="s">
        <v>43207</v>
      </c>
      <c r="BA4522" s="3" t="s">
        <v>43207</v>
      </c>
      <c r="BB4522" s="3" t="s">
        <v>43208</v>
      </c>
      <c r="BC4522" s="3" t="s">
        <v>142</v>
      </c>
      <c r="BD4522" s="3" t="s">
        <v>68</v>
      </c>
      <c r="BE4522" s="3" t="s">
        <v>43209</v>
      </c>
      <c r="BF4522" s="3" t="s">
        <v>43208</v>
      </c>
      <c r="BG4522" s="3" t="s">
        <v>43210</v>
      </c>
    </row>
    <row r="4523" spans="1:59" ht="57" x14ac:dyDescent="0.45">
      <c r="A4523" s="2" t="s">
        <v>59</v>
      </c>
      <c r="B4523" s="2" t="s">
        <v>60</v>
      </c>
      <c r="C4523" s="2" t="s">
        <v>43211</v>
      </c>
      <c r="D4523" s="2" t="s">
        <v>43212</v>
      </c>
      <c r="E4523" s="2" t="s">
        <v>43213</v>
      </c>
      <c r="F4523" s="3" t="s">
        <v>90</v>
      </c>
      <c r="G4523" s="3" t="s">
        <v>61</v>
      </c>
      <c r="I4523" s="3" t="s">
        <v>62</v>
      </c>
      <c r="J4523" s="3" t="s">
        <v>62</v>
      </c>
      <c r="K4523" s="3" t="s">
        <v>63</v>
      </c>
      <c r="M4523" s="2" t="s">
        <v>43214</v>
      </c>
      <c r="N4523" s="3" t="s">
        <v>1465</v>
      </c>
      <c r="P4523" s="3" t="s">
        <v>65</v>
      </c>
      <c r="Q4523" s="2" t="s">
        <v>43215</v>
      </c>
      <c r="R4523" s="3" t="s">
        <v>66</v>
      </c>
      <c r="S4523" s="4">
        <v>2</v>
      </c>
      <c r="T4523" s="4">
        <v>3</v>
      </c>
      <c r="U4523" s="5" t="s">
        <v>23238</v>
      </c>
      <c r="V4523" s="5" t="s">
        <v>569</v>
      </c>
      <c r="W4523" s="5" t="s">
        <v>67</v>
      </c>
      <c r="X4523" s="5" t="s">
        <v>67</v>
      </c>
      <c r="Y4523" s="4">
        <v>90</v>
      </c>
      <c r="Z4523" s="4">
        <v>11</v>
      </c>
      <c r="AA4523" s="4">
        <v>11</v>
      </c>
      <c r="AB4523" s="4">
        <v>2</v>
      </c>
      <c r="AC4523" s="4">
        <v>2</v>
      </c>
      <c r="AD4523" s="4">
        <v>38</v>
      </c>
      <c r="AE4523" s="4">
        <v>38</v>
      </c>
      <c r="AF4523" s="4">
        <v>0</v>
      </c>
      <c r="AG4523" s="4">
        <v>0</v>
      </c>
      <c r="AH4523" s="4">
        <v>35</v>
      </c>
      <c r="AI4523" s="4">
        <v>35</v>
      </c>
      <c r="AJ4523" s="4">
        <v>8</v>
      </c>
      <c r="AK4523" s="4">
        <v>8</v>
      </c>
      <c r="AL4523" s="4">
        <v>23</v>
      </c>
      <c r="AM4523" s="4">
        <v>23</v>
      </c>
      <c r="AN4523" s="4">
        <v>0</v>
      </c>
      <c r="AO4523" s="4">
        <v>0</v>
      </c>
      <c r="AP4523" s="4">
        <v>8</v>
      </c>
      <c r="AQ4523" s="4">
        <v>8</v>
      </c>
      <c r="AR4523" s="3" t="s">
        <v>62</v>
      </c>
      <c r="AS4523" s="3" t="s">
        <v>62</v>
      </c>
      <c r="AT4523" s="3" t="s">
        <v>62</v>
      </c>
      <c r="AV4523" s="6" t="str">
        <f>HYPERLINK("http://mcgill.on.worldcat.org/oclc/258770310","Catalog Record")</f>
        <v>Catalog Record</v>
      </c>
      <c r="AW4523" s="6" t="str">
        <f>HYPERLINK("http://www.worldcat.org/oclc/258770310","WorldCat Record")</f>
        <v>WorldCat Record</v>
      </c>
      <c r="AX4523" s="3" t="s">
        <v>43216</v>
      </c>
      <c r="AY4523" s="3" t="s">
        <v>43217</v>
      </c>
      <c r="AZ4523" s="3" t="s">
        <v>43218</v>
      </c>
      <c r="BA4523" s="3" t="s">
        <v>43218</v>
      </c>
      <c r="BB4523" s="3" t="s">
        <v>43219</v>
      </c>
      <c r="BC4523" s="3" t="s">
        <v>142</v>
      </c>
      <c r="BD4523" s="3" t="s">
        <v>68</v>
      </c>
      <c r="BE4523" s="3" t="s">
        <v>43220</v>
      </c>
      <c r="BF4523" s="3" t="s">
        <v>43219</v>
      </c>
      <c r="BG4523" s="3" t="s">
        <v>43221</v>
      </c>
    </row>
    <row r="4524" spans="1:59" ht="57" x14ac:dyDescent="0.45">
      <c r="A4524" s="2" t="s">
        <v>59</v>
      </c>
      <c r="B4524" s="2" t="s">
        <v>60</v>
      </c>
      <c r="C4524" s="2" t="s">
        <v>43211</v>
      </c>
      <c r="D4524" s="2" t="s">
        <v>43212</v>
      </c>
      <c r="E4524" s="2" t="s">
        <v>43213</v>
      </c>
      <c r="F4524" s="3" t="s">
        <v>87</v>
      </c>
      <c r="G4524" s="3" t="s">
        <v>61</v>
      </c>
      <c r="I4524" s="3" t="s">
        <v>62</v>
      </c>
      <c r="J4524" s="3" t="s">
        <v>62</v>
      </c>
      <c r="K4524" s="3" t="s">
        <v>63</v>
      </c>
      <c r="M4524" s="2" t="s">
        <v>43214</v>
      </c>
      <c r="N4524" s="3" t="s">
        <v>1465</v>
      </c>
      <c r="P4524" s="3" t="s">
        <v>65</v>
      </c>
      <c r="Q4524" s="2" t="s">
        <v>43215</v>
      </c>
      <c r="R4524" s="3" t="s">
        <v>66</v>
      </c>
      <c r="S4524" s="4">
        <v>1</v>
      </c>
      <c r="T4524" s="4">
        <v>3</v>
      </c>
      <c r="U4524" s="5" t="s">
        <v>569</v>
      </c>
      <c r="V4524" s="5" t="s">
        <v>569</v>
      </c>
      <c r="W4524" s="5" t="s">
        <v>67</v>
      </c>
      <c r="X4524" s="5" t="s">
        <v>67</v>
      </c>
      <c r="Y4524" s="4">
        <v>90</v>
      </c>
      <c r="Z4524" s="4">
        <v>11</v>
      </c>
      <c r="AA4524" s="4">
        <v>11</v>
      </c>
      <c r="AB4524" s="4">
        <v>2</v>
      </c>
      <c r="AC4524" s="4">
        <v>2</v>
      </c>
      <c r="AD4524" s="4">
        <v>38</v>
      </c>
      <c r="AE4524" s="4">
        <v>38</v>
      </c>
      <c r="AF4524" s="4">
        <v>0</v>
      </c>
      <c r="AG4524" s="4">
        <v>0</v>
      </c>
      <c r="AH4524" s="4">
        <v>35</v>
      </c>
      <c r="AI4524" s="4">
        <v>35</v>
      </c>
      <c r="AJ4524" s="4">
        <v>8</v>
      </c>
      <c r="AK4524" s="4">
        <v>8</v>
      </c>
      <c r="AL4524" s="4">
        <v>23</v>
      </c>
      <c r="AM4524" s="4">
        <v>23</v>
      </c>
      <c r="AN4524" s="4">
        <v>0</v>
      </c>
      <c r="AO4524" s="4">
        <v>0</v>
      </c>
      <c r="AP4524" s="4">
        <v>8</v>
      </c>
      <c r="AQ4524" s="4">
        <v>8</v>
      </c>
      <c r="AR4524" s="3" t="s">
        <v>62</v>
      </c>
      <c r="AS4524" s="3" t="s">
        <v>62</v>
      </c>
      <c r="AT4524" s="3" t="s">
        <v>62</v>
      </c>
      <c r="AV4524" s="6" t="str">
        <f>HYPERLINK("http://mcgill.on.worldcat.org/oclc/258770310","Catalog Record")</f>
        <v>Catalog Record</v>
      </c>
      <c r="AW4524" s="6" t="str">
        <f>HYPERLINK("http://www.worldcat.org/oclc/258770310","WorldCat Record")</f>
        <v>WorldCat Record</v>
      </c>
      <c r="AX4524" s="3" t="s">
        <v>43216</v>
      </c>
      <c r="AY4524" s="3" t="s">
        <v>43217</v>
      </c>
      <c r="AZ4524" s="3" t="s">
        <v>43218</v>
      </c>
      <c r="BA4524" s="3" t="s">
        <v>43218</v>
      </c>
      <c r="BB4524" s="3" t="s">
        <v>43222</v>
      </c>
      <c r="BC4524" s="3" t="s">
        <v>142</v>
      </c>
      <c r="BD4524" s="3" t="s">
        <v>68</v>
      </c>
      <c r="BE4524" s="3" t="s">
        <v>43220</v>
      </c>
      <c r="BF4524" s="3" t="s">
        <v>43222</v>
      </c>
      <c r="BG4524" s="3" t="s">
        <v>43223</v>
      </c>
    </row>
    <row r="4525" spans="1:59" ht="57" x14ac:dyDescent="0.45">
      <c r="A4525" s="2" t="s">
        <v>59</v>
      </c>
      <c r="B4525" s="2" t="s">
        <v>60</v>
      </c>
      <c r="C4525" s="2" t="s">
        <v>43224</v>
      </c>
      <c r="D4525" s="2" t="s">
        <v>43225</v>
      </c>
      <c r="E4525" s="2" t="s">
        <v>43226</v>
      </c>
      <c r="G4525" s="3" t="s">
        <v>62</v>
      </c>
      <c r="I4525" s="3" t="s">
        <v>62</v>
      </c>
      <c r="J4525" s="3" t="s">
        <v>62</v>
      </c>
      <c r="K4525" s="3" t="s">
        <v>63</v>
      </c>
      <c r="M4525" s="2" t="s">
        <v>43227</v>
      </c>
      <c r="N4525" s="3" t="s">
        <v>149</v>
      </c>
      <c r="P4525" s="3" t="s">
        <v>65</v>
      </c>
      <c r="Q4525" s="2" t="s">
        <v>43228</v>
      </c>
      <c r="R4525" s="3" t="s">
        <v>66</v>
      </c>
      <c r="S4525" s="4">
        <v>0</v>
      </c>
      <c r="T4525" s="4">
        <v>0</v>
      </c>
      <c r="W4525" s="5" t="s">
        <v>67</v>
      </c>
      <c r="X4525" s="5" t="s">
        <v>67</v>
      </c>
      <c r="Y4525" s="4">
        <v>70</v>
      </c>
      <c r="Z4525" s="4">
        <v>5</v>
      </c>
      <c r="AA4525" s="4">
        <v>5</v>
      </c>
      <c r="AB4525" s="4">
        <v>1</v>
      </c>
      <c r="AC4525" s="4">
        <v>1</v>
      </c>
      <c r="AD4525" s="4">
        <v>36</v>
      </c>
      <c r="AE4525" s="4">
        <v>36</v>
      </c>
      <c r="AF4525" s="4">
        <v>0</v>
      </c>
      <c r="AG4525" s="4">
        <v>0</v>
      </c>
      <c r="AH4525" s="4">
        <v>35</v>
      </c>
      <c r="AI4525" s="4">
        <v>35</v>
      </c>
      <c r="AJ4525" s="4">
        <v>3</v>
      </c>
      <c r="AK4525" s="4">
        <v>3</v>
      </c>
      <c r="AL4525" s="4">
        <v>25</v>
      </c>
      <c r="AM4525" s="4">
        <v>25</v>
      </c>
      <c r="AN4525" s="4">
        <v>5</v>
      </c>
      <c r="AO4525" s="4">
        <v>5</v>
      </c>
      <c r="AP4525" s="4">
        <v>3</v>
      </c>
      <c r="AQ4525" s="4">
        <v>3</v>
      </c>
      <c r="AR4525" s="3" t="s">
        <v>62</v>
      </c>
      <c r="AS4525" s="3" t="s">
        <v>62</v>
      </c>
      <c r="AT4525" s="3" t="s">
        <v>61</v>
      </c>
      <c r="AU4525" s="6" t="str">
        <f>HYPERLINK("http://catalog.hathitrust.org/Record/008701779","HathiTrust Record")</f>
        <v>HathiTrust Record</v>
      </c>
      <c r="AV4525" s="6" t="str">
        <f>HYPERLINK("http://mcgill.on.worldcat.org/oclc/526271601","Catalog Record")</f>
        <v>Catalog Record</v>
      </c>
      <c r="AW4525" s="6" t="str">
        <f>HYPERLINK("http://www.worldcat.org/oclc/526271601","WorldCat Record")</f>
        <v>WorldCat Record</v>
      </c>
      <c r="AX4525" s="3" t="s">
        <v>43229</v>
      </c>
      <c r="AY4525" s="3" t="s">
        <v>43230</v>
      </c>
      <c r="AZ4525" s="3" t="s">
        <v>43231</v>
      </c>
      <c r="BA4525" s="3" t="s">
        <v>43231</v>
      </c>
      <c r="BB4525" s="3" t="s">
        <v>43232</v>
      </c>
      <c r="BC4525" s="3" t="s">
        <v>142</v>
      </c>
      <c r="BD4525" s="3" t="s">
        <v>68</v>
      </c>
      <c r="BE4525" s="3" t="s">
        <v>43233</v>
      </c>
      <c r="BF4525" s="3" t="s">
        <v>43232</v>
      </c>
      <c r="BG4525" s="3" t="s">
        <v>43234</v>
      </c>
    </row>
    <row r="4526" spans="1:59" ht="57" x14ac:dyDescent="0.45">
      <c r="A4526" s="2" t="s">
        <v>59</v>
      </c>
      <c r="B4526" s="2" t="s">
        <v>60</v>
      </c>
      <c r="C4526" s="2" t="s">
        <v>43235</v>
      </c>
      <c r="D4526" s="2" t="s">
        <v>43236</v>
      </c>
      <c r="E4526" s="2" t="s">
        <v>43237</v>
      </c>
      <c r="G4526" s="3" t="s">
        <v>62</v>
      </c>
      <c r="I4526" s="3" t="s">
        <v>62</v>
      </c>
      <c r="J4526" s="3" t="s">
        <v>62</v>
      </c>
      <c r="K4526" s="3" t="s">
        <v>63</v>
      </c>
      <c r="L4526" s="2" t="s">
        <v>43238</v>
      </c>
      <c r="M4526" s="2" t="s">
        <v>35673</v>
      </c>
      <c r="N4526" s="3" t="s">
        <v>807</v>
      </c>
      <c r="P4526" s="3" t="s">
        <v>65</v>
      </c>
      <c r="R4526" s="3" t="s">
        <v>66</v>
      </c>
      <c r="S4526" s="4">
        <v>5</v>
      </c>
      <c r="T4526" s="4">
        <v>5</v>
      </c>
      <c r="U4526" s="5" t="s">
        <v>39295</v>
      </c>
      <c r="V4526" s="5" t="s">
        <v>39295</v>
      </c>
      <c r="W4526" s="5" t="s">
        <v>67</v>
      </c>
      <c r="X4526" s="5" t="s">
        <v>67</v>
      </c>
      <c r="Y4526" s="4">
        <v>243</v>
      </c>
      <c r="Z4526" s="4">
        <v>22</v>
      </c>
      <c r="AA4526" s="4">
        <v>24</v>
      </c>
      <c r="AB4526" s="4">
        <v>3</v>
      </c>
      <c r="AC4526" s="4">
        <v>5</v>
      </c>
      <c r="AD4526" s="4">
        <v>93</v>
      </c>
      <c r="AE4526" s="4">
        <v>95</v>
      </c>
      <c r="AF4526" s="4">
        <v>1</v>
      </c>
      <c r="AG4526" s="4">
        <v>3</v>
      </c>
      <c r="AH4526" s="4">
        <v>83</v>
      </c>
      <c r="AI4526" s="4">
        <v>83</v>
      </c>
      <c r="AJ4526" s="4">
        <v>18</v>
      </c>
      <c r="AK4526" s="4">
        <v>20</v>
      </c>
      <c r="AL4526" s="4">
        <v>48</v>
      </c>
      <c r="AM4526" s="4">
        <v>48</v>
      </c>
      <c r="AN4526" s="4">
        <v>0</v>
      </c>
      <c r="AO4526" s="4">
        <v>0</v>
      </c>
      <c r="AP4526" s="4">
        <v>19</v>
      </c>
      <c r="AQ4526" s="4">
        <v>20</v>
      </c>
      <c r="AR4526" s="3" t="s">
        <v>62</v>
      </c>
      <c r="AS4526" s="3" t="s">
        <v>62</v>
      </c>
      <c r="AT4526" s="3" t="s">
        <v>62</v>
      </c>
      <c r="AV4526" s="6" t="str">
        <f>HYPERLINK("http://mcgill.on.worldcat.org/oclc/21333523","Catalog Record")</f>
        <v>Catalog Record</v>
      </c>
      <c r="AW4526" s="6" t="str">
        <f>HYPERLINK("http://www.worldcat.org/oclc/21333523","WorldCat Record")</f>
        <v>WorldCat Record</v>
      </c>
      <c r="AX4526" s="3" t="s">
        <v>43239</v>
      </c>
      <c r="AY4526" s="3" t="s">
        <v>43240</v>
      </c>
      <c r="AZ4526" s="3" t="s">
        <v>43241</v>
      </c>
      <c r="BA4526" s="3" t="s">
        <v>43241</v>
      </c>
      <c r="BB4526" s="3" t="s">
        <v>43242</v>
      </c>
      <c r="BC4526" s="3" t="s">
        <v>142</v>
      </c>
      <c r="BD4526" s="3" t="s">
        <v>68</v>
      </c>
      <c r="BE4526" s="3" t="s">
        <v>43243</v>
      </c>
      <c r="BF4526" s="3" t="s">
        <v>43242</v>
      </c>
      <c r="BG4526" s="3" t="s">
        <v>43244</v>
      </c>
    </row>
    <row r="4527" spans="1:59" ht="57" x14ac:dyDescent="0.45">
      <c r="A4527" s="2" t="s">
        <v>59</v>
      </c>
      <c r="B4527" s="2" t="s">
        <v>60</v>
      </c>
      <c r="C4527" s="2" t="s">
        <v>43245</v>
      </c>
      <c r="D4527" s="2" t="s">
        <v>43246</v>
      </c>
      <c r="E4527" s="2" t="s">
        <v>43247</v>
      </c>
      <c r="G4527" s="3" t="s">
        <v>62</v>
      </c>
      <c r="I4527" s="3" t="s">
        <v>62</v>
      </c>
      <c r="J4527" s="3" t="s">
        <v>62</v>
      </c>
      <c r="K4527" s="3" t="s">
        <v>63</v>
      </c>
      <c r="M4527" s="2" t="s">
        <v>3184</v>
      </c>
      <c r="N4527" s="3" t="s">
        <v>125</v>
      </c>
      <c r="P4527" s="3" t="s">
        <v>65</v>
      </c>
      <c r="Q4527" s="2" t="s">
        <v>43248</v>
      </c>
      <c r="R4527" s="3" t="s">
        <v>66</v>
      </c>
      <c r="S4527" s="4">
        <v>17</v>
      </c>
      <c r="T4527" s="4">
        <v>17</v>
      </c>
      <c r="U4527" s="5" t="s">
        <v>10804</v>
      </c>
      <c r="V4527" s="5" t="s">
        <v>10804</v>
      </c>
      <c r="W4527" s="5" t="s">
        <v>67</v>
      </c>
      <c r="X4527" s="5" t="s">
        <v>67</v>
      </c>
      <c r="Y4527" s="4">
        <v>296</v>
      </c>
      <c r="Z4527" s="4">
        <v>26</v>
      </c>
      <c r="AA4527" s="4">
        <v>33</v>
      </c>
      <c r="AB4527" s="4">
        <v>2</v>
      </c>
      <c r="AC4527" s="4">
        <v>8</v>
      </c>
      <c r="AD4527" s="4">
        <v>97</v>
      </c>
      <c r="AE4527" s="4">
        <v>103</v>
      </c>
      <c r="AF4527" s="4">
        <v>0</v>
      </c>
      <c r="AG4527" s="4">
        <v>4</v>
      </c>
      <c r="AH4527" s="4">
        <v>84</v>
      </c>
      <c r="AI4527" s="4">
        <v>87</v>
      </c>
      <c r="AJ4527" s="4">
        <v>16</v>
      </c>
      <c r="AK4527" s="4">
        <v>21</v>
      </c>
      <c r="AL4527" s="4">
        <v>48</v>
      </c>
      <c r="AM4527" s="4">
        <v>48</v>
      </c>
      <c r="AN4527" s="4">
        <v>0</v>
      </c>
      <c r="AO4527" s="4">
        <v>0</v>
      </c>
      <c r="AP4527" s="4">
        <v>20</v>
      </c>
      <c r="AQ4527" s="4">
        <v>24</v>
      </c>
      <c r="AR4527" s="3" t="s">
        <v>62</v>
      </c>
      <c r="AS4527" s="3" t="s">
        <v>62</v>
      </c>
      <c r="AT4527" s="3" t="s">
        <v>61</v>
      </c>
      <c r="AU4527" s="6" t="str">
        <f>HYPERLINK("http://catalog.hathitrust.org/Record/003054287","HathiTrust Record")</f>
        <v>HathiTrust Record</v>
      </c>
      <c r="AV4527" s="6" t="str">
        <f>HYPERLINK("http://mcgill.on.worldcat.org/oclc/21297329","Catalog Record")</f>
        <v>Catalog Record</v>
      </c>
      <c r="AW4527" s="6" t="str">
        <f>HYPERLINK("http://www.worldcat.org/oclc/21297329","WorldCat Record")</f>
        <v>WorldCat Record</v>
      </c>
      <c r="AX4527" s="3" t="s">
        <v>43249</v>
      </c>
      <c r="AY4527" s="3" t="s">
        <v>43250</v>
      </c>
      <c r="AZ4527" s="3" t="s">
        <v>43251</v>
      </c>
      <c r="BA4527" s="3" t="s">
        <v>43251</v>
      </c>
      <c r="BB4527" s="3" t="s">
        <v>43252</v>
      </c>
      <c r="BC4527" s="3" t="s">
        <v>142</v>
      </c>
      <c r="BD4527" s="3" t="s">
        <v>68</v>
      </c>
      <c r="BE4527" s="3" t="s">
        <v>43253</v>
      </c>
      <c r="BF4527" s="3" t="s">
        <v>43252</v>
      </c>
      <c r="BG4527" s="3" t="s">
        <v>43254</v>
      </c>
    </row>
    <row r="4528" spans="1:59" ht="57" x14ac:dyDescent="0.45">
      <c r="A4528" s="2" t="s">
        <v>59</v>
      </c>
      <c r="B4528" s="2" t="s">
        <v>60</v>
      </c>
      <c r="C4528" s="2" t="s">
        <v>43255</v>
      </c>
      <c r="D4528" s="2" t="s">
        <v>43256</v>
      </c>
      <c r="E4528" s="2" t="s">
        <v>43257</v>
      </c>
      <c r="G4528" s="3" t="s">
        <v>62</v>
      </c>
      <c r="I4528" s="3" t="s">
        <v>62</v>
      </c>
      <c r="J4528" s="3" t="s">
        <v>62</v>
      </c>
      <c r="K4528" s="3" t="s">
        <v>63</v>
      </c>
      <c r="M4528" s="2" t="s">
        <v>4509</v>
      </c>
      <c r="N4528" s="3" t="s">
        <v>1465</v>
      </c>
      <c r="P4528" s="3" t="s">
        <v>65</v>
      </c>
      <c r="Q4528" s="2" t="s">
        <v>21253</v>
      </c>
      <c r="R4528" s="3" t="s">
        <v>66</v>
      </c>
      <c r="S4528" s="4">
        <v>2</v>
      </c>
      <c r="T4528" s="4">
        <v>2</v>
      </c>
      <c r="U4528" s="5" t="s">
        <v>4142</v>
      </c>
      <c r="V4528" s="5" t="s">
        <v>4142</v>
      </c>
      <c r="W4528" s="5" t="s">
        <v>67</v>
      </c>
      <c r="X4528" s="5" t="s">
        <v>67</v>
      </c>
      <c r="Y4528" s="4">
        <v>136</v>
      </c>
      <c r="Z4528" s="4">
        <v>15</v>
      </c>
      <c r="AA4528" s="4">
        <v>104</v>
      </c>
      <c r="AB4528" s="4">
        <v>2</v>
      </c>
      <c r="AC4528" s="4">
        <v>21</v>
      </c>
      <c r="AD4528" s="4">
        <v>66</v>
      </c>
      <c r="AE4528" s="4">
        <v>133</v>
      </c>
      <c r="AF4528" s="4">
        <v>0</v>
      </c>
      <c r="AG4528" s="4">
        <v>8</v>
      </c>
      <c r="AH4528" s="4">
        <v>59</v>
      </c>
      <c r="AI4528" s="4">
        <v>88</v>
      </c>
      <c r="AJ4528" s="4">
        <v>11</v>
      </c>
      <c r="AK4528" s="4">
        <v>26</v>
      </c>
      <c r="AL4528" s="4">
        <v>39</v>
      </c>
      <c r="AM4528" s="4">
        <v>47</v>
      </c>
      <c r="AN4528" s="4">
        <v>1</v>
      </c>
      <c r="AO4528" s="4">
        <v>1</v>
      </c>
      <c r="AP4528" s="4">
        <v>12</v>
      </c>
      <c r="AQ4528" s="4">
        <v>53</v>
      </c>
      <c r="AR4528" s="3" t="s">
        <v>62</v>
      </c>
      <c r="AS4528" s="3" t="s">
        <v>62</v>
      </c>
      <c r="AT4528" s="3" t="s">
        <v>61</v>
      </c>
      <c r="AU4528" s="6" t="str">
        <f>HYPERLINK("http://catalog.hathitrust.org/Record/006766488","HathiTrust Record")</f>
        <v>HathiTrust Record</v>
      </c>
      <c r="AV4528" s="6" t="str">
        <f>HYPERLINK("http://mcgill.on.worldcat.org/oclc/253213362","Catalog Record")</f>
        <v>Catalog Record</v>
      </c>
      <c r="AW4528" s="6" t="str">
        <f>HYPERLINK("http://www.worldcat.org/oclc/253213362","WorldCat Record")</f>
        <v>WorldCat Record</v>
      </c>
      <c r="AX4528" s="3" t="s">
        <v>43258</v>
      </c>
      <c r="AY4528" s="3" t="s">
        <v>43259</v>
      </c>
      <c r="AZ4528" s="3" t="s">
        <v>43260</v>
      </c>
      <c r="BA4528" s="3" t="s">
        <v>43260</v>
      </c>
      <c r="BB4528" s="3" t="s">
        <v>43261</v>
      </c>
      <c r="BC4528" s="3" t="s">
        <v>142</v>
      </c>
      <c r="BD4528" s="3" t="s">
        <v>68</v>
      </c>
      <c r="BE4528" s="3" t="s">
        <v>43262</v>
      </c>
      <c r="BF4528" s="3" t="s">
        <v>43261</v>
      </c>
      <c r="BG4528" s="3" t="s">
        <v>43263</v>
      </c>
    </row>
    <row r="4529" spans="1:59" ht="57" x14ac:dyDescent="0.45">
      <c r="A4529" s="2" t="s">
        <v>59</v>
      </c>
      <c r="B4529" s="2" t="s">
        <v>60</v>
      </c>
      <c r="C4529" s="2" t="s">
        <v>43264</v>
      </c>
      <c r="D4529" s="2" t="s">
        <v>43265</v>
      </c>
      <c r="E4529" s="2" t="s">
        <v>43266</v>
      </c>
      <c r="G4529" s="3" t="s">
        <v>62</v>
      </c>
      <c r="I4529" s="3" t="s">
        <v>62</v>
      </c>
      <c r="J4529" s="3" t="s">
        <v>62</v>
      </c>
      <c r="K4529" s="3" t="s">
        <v>63</v>
      </c>
      <c r="L4529" s="2" t="s">
        <v>43267</v>
      </c>
      <c r="M4529" s="2" t="s">
        <v>8946</v>
      </c>
      <c r="N4529" s="3" t="s">
        <v>1155</v>
      </c>
      <c r="P4529" s="3" t="s">
        <v>65</v>
      </c>
      <c r="R4529" s="3" t="s">
        <v>66</v>
      </c>
      <c r="S4529" s="4">
        <v>0</v>
      </c>
      <c r="T4529" s="4">
        <v>0</v>
      </c>
      <c r="W4529" s="5" t="s">
        <v>67</v>
      </c>
      <c r="X4529" s="5" t="s">
        <v>67</v>
      </c>
      <c r="Y4529" s="4">
        <v>141</v>
      </c>
      <c r="Z4529" s="4">
        <v>18</v>
      </c>
      <c r="AA4529" s="4">
        <v>101</v>
      </c>
      <c r="AB4529" s="4">
        <v>2</v>
      </c>
      <c r="AC4529" s="4">
        <v>14</v>
      </c>
      <c r="AD4529" s="4">
        <v>67</v>
      </c>
      <c r="AE4529" s="4">
        <v>119</v>
      </c>
      <c r="AF4529" s="4">
        <v>1</v>
      </c>
      <c r="AG4529" s="4">
        <v>8</v>
      </c>
      <c r="AH4529" s="4">
        <v>59</v>
      </c>
      <c r="AI4529" s="4">
        <v>82</v>
      </c>
      <c r="AJ4529" s="4">
        <v>14</v>
      </c>
      <c r="AK4529" s="4">
        <v>24</v>
      </c>
      <c r="AL4529" s="4">
        <v>36</v>
      </c>
      <c r="AM4529" s="4">
        <v>47</v>
      </c>
      <c r="AN4529" s="4">
        <v>0</v>
      </c>
      <c r="AO4529" s="4">
        <v>0</v>
      </c>
      <c r="AP4529" s="4">
        <v>16</v>
      </c>
      <c r="AQ4529" s="4">
        <v>45</v>
      </c>
      <c r="AR4529" s="3" t="s">
        <v>62</v>
      </c>
      <c r="AS4529" s="3" t="s">
        <v>62</v>
      </c>
      <c r="AT4529" s="3" t="s">
        <v>62</v>
      </c>
      <c r="AV4529" s="6" t="str">
        <f>HYPERLINK("http://mcgill.on.worldcat.org/oclc/756578569","Catalog Record")</f>
        <v>Catalog Record</v>
      </c>
      <c r="AW4529" s="6" t="str">
        <f>HYPERLINK("http://www.worldcat.org/oclc/756578569","WorldCat Record")</f>
        <v>WorldCat Record</v>
      </c>
      <c r="AX4529" s="3" t="s">
        <v>43268</v>
      </c>
      <c r="AY4529" s="3" t="s">
        <v>43269</v>
      </c>
      <c r="AZ4529" s="3" t="s">
        <v>43270</v>
      </c>
      <c r="BA4529" s="3" t="s">
        <v>43270</v>
      </c>
      <c r="BB4529" s="3" t="s">
        <v>43271</v>
      </c>
      <c r="BC4529" s="3" t="s">
        <v>142</v>
      </c>
      <c r="BD4529" s="3" t="s">
        <v>68</v>
      </c>
      <c r="BE4529" s="3" t="s">
        <v>43272</v>
      </c>
      <c r="BF4529" s="3" t="s">
        <v>43271</v>
      </c>
      <c r="BG4529" s="3" t="s">
        <v>43273</v>
      </c>
    </row>
    <row r="4530" spans="1:59" ht="57" x14ac:dyDescent="0.45">
      <c r="A4530" s="2" t="s">
        <v>59</v>
      </c>
      <c r="B4530" s="2" t="s">
        <v>60</v>
      </c>
      <c r="C4530" s="2" t="s">
        <v>43274</v>
      </c>
      <c r="D4530" s="2" t="s">
        <v>43275</v>
      </c>
      <c r="E4530" s="2" t="s">
        <v>43276</v>
      </c>
      <c r="G4530" s="3" t="s">
        <v>62</v>
      </c>
      <c r="I4530" s="3" t="s">
        <v>62</v>
      </c>
      <c r="J4530" s="3" t="s">
        <v>62</v>
      </c>
      <c r="K4530" s="3" t="s">
        <v>63</v>
      </c>
      <c r="M4530" s="2" t="s">
        <v>33164</v>
      </c>
      <c r="N4530" s="3" t="s">
        <v>894</v>
      </c>
      <c r="P4530" s="3" t="s">
        <v>65</v>
      </c>
      <c r="Q4530" s="2" t="s">
        <v>43277</v>
      </c>
      <c r="R4530" s="3" t="s">
        <v>66</v>
      </c>
      <c r="S4530" s="4">
        <v>1</v>
      </c>
      <c r="T4530" s="4">
        <v>1</v>
      </c>
      <c r="U4530" s="5" t="s">
        <v>43278</v>
      </c>
      <c r="V4530" s="5" t="s">
        <v>43278</v>
      </c>
      <c r="W4530" s="5" t="s">
        <v>67</v>
      </c>
      <c r="X4530" s="5" t="s">
        <v>67</v>
      </c>
      <c r="Y4530" s="4">
        <v>67</v>
      </c>
      <c r="Z4530" s="4">
        <v>10</v>
      </c>
      <c r="AA4530" s="4">
        <v>90</v>
      </c>
      <c r="AB4530" s="4">
        <v>1</v>
      </c>
      <c r="AC4530" s="4">
        <v>17</v>
      </c>
      <c r="AD4530" s="4">
        <v>41</v>
      </c>
      <c r="AE4530" s="4">
        <v>113</v>
      </c>
      <c r="AF4530" s="4">
        <v>0</v>
      </c>
      <c r="AG4530" s="4">
        <v>8</v>
      </c>
      <c r="AH4530" s="4">
        <v>38</v>
      </c>
      <c r="AI4530" s="4">
        <v>77</v>
      </c>
      <c r="AJ4530" s="4">
        <v>8</v>
      </c>
      <c r="AK4530" s="4">
        <v>23</v>
      </c>
      <c r="AL4530" s="4">
        <v>25</v>
      </c>
      <c r="AM4530" s="4">
        <v>41</v>
      </c>
      <c r="AN4530" s="4">
        <v>0</v>
      </c>
      <c r="AO4530" s="4">
        <v>0</v>
      </c>
      <c r="AP4530" s="4">
        <v>8</v>
      </c>
      <c r="AQ4530" s="4">
        <v>44</v>
      </c>
      <c r="AR4530" s="3" t="s">
        <v>62</v>
      </c>
      <c r="AS4530" s="3" t="s">
        <v>62</v>
      </c>
      <c r="AT4530" s="3" t="s">
        <v>62</v>
      </c>
      <c r="AV4530" s="6" t="str">
        <f>HYPERLINK("http://mcgill.on.worldcat.org/oclc/704557398","Catalog Record")</f>
        <v>Catalog Record</v>
      </c>
      <c r="AW4530" s="6" t="str">
        <f>HYPERLINK("http://www.worldcat.org/oclc/704557398","WorldCat Record")</f>
        <v>WorldCat Record</v>
      </c>
      <c r="AX4530" s="3" t="s">
        <v>43279</v>
      </c>
      <c r="AY4530" s="3" t="s">
        <v>43280</v>
      </c>
      <c r="AZ4530" s="3" t="s">
        <v>43281</v>
      </c>
      <c r="BA4530" s="3" t="s">
        <v>43281</v>
      </c>
      <c r="BB4530" s="3" t="s">
        <v>43282</v>
      </c>
      <c r="BC4530" s="3" t="s">
        <v>142</v>
      </c>
      <c r="BD4530" s="3" t="s">
        <v>68</v>
      </c>
      <c r="BE4530" s="3" t="s">
        <v>43283</v>
      </c>
      <c r="BF4530" s="3" t="s">
        <v>43282</v>
      </c>
      <c r="BG4530" s="3" t="s">
        <v>43284</v>
      </c>
    </row>
    <row r="4531" spans="1:59" ht="57" x14ac:dyDescent="0.45">
      <c r="A4531" s="2" t="s">
        <v>59</v>
      </c>
      <c r="B4531" s="2" t="s">
        <v>60</v>
      </c>
      <c r="C4531" s="2" t="s">
        <v>43285</v>
      </c>
      <c r="D4531" s="2" t="s">
        <v>43286</v>
      </c>
      <c r="E4531" s="2" t="s">
        <v>43287</v>
      </c>
      <c r="G4531" s="3" t="s">
        <v>62</v>
      </c>
      <c r="I4531" s="3" t="s">
        <v>61</v>
      </c>
      <c r="J4531" s="3" t="s">
        <v>62</v>
      </c>
      <c r="K4531" s="3" t="s">
        <v>63</v>
      </c>
      <c r="M4531" s="2" t="s">
        <v>34562</v>
      </c>
      <c r="N4531" s="3" t="s">
        <v>1688</v>
      </c>
      <c r="P4531" s="3" t="s">
        <v>65</v>
      </c>
      <c r="Q4531" s="2" t="s">
        <v>3338</v>
      </c>
      <c r="R4531" s="3" t="s">
        <v>66</v>
      </c>
      <c r="S4531" s="4">
        <v>0</v>
      </c>
      <c r="T4531" s="4">
        <v>0</v>
      </c>
      <c r="W4531" s="5" t="s">
        <v>67</v>
      </c>
      <c r="X4531" s="5" t="s">
        <v>67</v>
      </c>
      <c r="Y4531" s="4">
        <v>153</v>
      </c>
      <c r="Z4531" s="4">
        <v>15</v>
      </c>
      <c r="AA4531" s="4">
        <v>104</v>
      </c>
      <c r="AB4531" s="4">
        <v>2</v>
      </c>
      <c r="AC4531" s="4">
        <v>15</v>
      </c>
      <c r="AD4531" s="4">
        <v>59</v>
      </c>
      <c r="AE4531" s="4">
        <v>122</v>
      </c>
      <c r="AF4531" s="4">
        <v>1</v>
      </c>
      <c r="AG4531" s="4">
        <v>8</v>
      </c>
      <c r="AH4531" s="4">
        <v>52</v>
      </c>
      <c r="AI4531" s="4">
        <v>83</v>
      </c>
      <c r="AJ4531" s="4">
        <v>11</v>
      </c>
      <c r="AK4531" s="4">
        <v>24</v>
      </c>
      <c r="AL4531" s="4">
        <v>32</v>
      </c>
      <c r="AM4531" s="4">
        <v>46</v>
      </c>
      <c r="AN4531" s="4">
        <v>0</v>
      </c>
      <c r="AO4531" s="4">
        <v>0</v>
      </c>
      <c r="AP4531" s="4">
        <v>12</v>
      </c>
      <c r="AQ4531" s="4">
        <v>45</v>
      </c>
      <c r="AR4531" s="3" t="s">
        <v>62</v>
      </c>
      <c r="AS4531" s="3" t="s">
        <v>62</v>
      </c>
      <c r="AT4531" s="3" t="s">
        <v>62</v>
      </c>
      <c r="AV4531" s="6" t="str">
        <f>HYPERLINK("http://mcgill.on.worldcat.org/oclc/854760715","Catalog Record")</f>
        <v>Catalog Record</v>
      </c>
      <c r="AW4531" s="6" t="str">
        <f>HYPERLINK("http://www.worldcat.org/oclc/854760715","WorldCat Record")</f>
        <v>WorldCat Record</v>
      </c>
      <c r="AX4531" s="3" t="s">
        <v>43288</v>
      </c>
      <c r="AY4531" s="3" t="s">
        <v>43289</v>
      </c>
      <c r="AZ4531" s="3" t="s">
        <v>43290</v>
      </c>
      <c r="BA4531" s="3" t="s">
        <v>43290</v>
      </c>
      <c r="BB4531" s="3" t="s">
        <v>43291</v>
      </c>
      <c r="BC4531" s="3" t="s">
        <v>142</v>
      </c>
      <c r="BD4531" s="3" t="s">
        <v>68</v>
      </c>
      <c r="BE4531" s="3" t="s">
        <v>43292</v>
      </c>
      <c r="BF4531" s="3" t="s">
        <v>43291</v>
      </c>
      <c r="BG4531" s="3" t="s">
        <v>43293</v>
      </c>
    </row>
    <row r="4532" spans="1:59" ht="57" x14ac:dyDescent="0.45">
      <c r="A4532" s="2" t="s">
        <v>59</v>
      </c>
      <c r="B4532" s="2" t="s">
        <v>60</v>
      </c>
      <c r="C4532" s="2" t="s">
        <v>43285</v>
      </c>
      <c r="D4532" s="2" t="s">
        <v>43286</v>
      </c>
      <c r="E4532" s="2" t="s">
        <v>43287</v>
      </c>
      <c r="G4532" s="3" t="s">
        <v>62</v>
      </c>
      <c r="I4532" s="3" t="s">
        <v>61</v>
      </c>
      <c r="J4532" s="3" t="s">
        <v>62</v>
      </c>
      <c r="K4532" s="3" t="s">
        <v>63</v>
      </c>
      <c r="M4532" s="2" t="s">
        <v>34562</v>
      </c>
      <c r="N4532" s="3" t="s">
        <v>1688</v>
      </c>
      <c r="P4532" s="3" t="s">
        <v>65</v>
      </c>
      <c r="Q4532" s="2" t="s">
        <v>3338</v>
      </c>
      <c r="R4532" s="3" t="s">
        <v>66</v>
      </c>
      <c r="S4532" s="4">
        <v>0</v>
      </c>
      <c r="T4532" s="4">
        <v>0</v>
      </c>
      <c r="W4532" s="5" t="s">
        <v>67</v>
      </c>
      <c r="X4532" s="5" t="s">
        <v>67</v>
      </c>
      <c r="Y4532" s="4">
        <v>153</v>
      </c>
      <c r="Z4532" s="4">
        <v>15</v>
      </c>
      <c r="AA4532" s="4">
        <v>104</v>
      </c>
      <c r="AB4532" s="4">
        <v>2</v>
      </c>
      <c r="AC4532" s="4">
        <v>15</v>
      </c>
      <c r="AD4532" s="4">
        <v>59</v>
      </c>
      <c r="AE4532" s="4">
        <v>122</v>
      </c>
      <c r="AF4532" s="4">
        <v>1</v>
      </c>
      <c r="AG4532" s="4">
        <v>8</v>
      </c>
      <c r="AH4532" s="4">
        <v>52</v>
      </c>
      <c r="AI4532" s="4">
        <v>83</v>
      </c>
      <c r="AJ4532" s="4">
        <v>11</v>
      </c>
      <c r="AK4532" s="4">
        <v>24</v>
      </c>
      <c r="AL4532" s="4">
        <v>32</v>
      </c>
      <c r="AM4532" s="4">
        <v>46</v>
      </c>
      <c r="AN4532" s="4">
        <v>0</v>
      </c>
      <c r="AO4532" s="4">
        <v>0</v>
      </c>
      <c r="AP4532" s="4">
        <v>12</v>
      </c>
      <c r="AQ4532" s="4">
        <v>45</v>
      </c>
      <c r="AR4532" s="3" t="s">
        <v>62</v>
      </c>
      <c r="AS4532" s="3" t="s">
        <v>62</v>
      </c>
      <c r="AT4532" s="3" t="s">
        <v>62</v>
      </c>
      <c r="AV4532" s="6" t="str">
        <f>HYPERLINK("http://mcgill.on.worldcat.org/oclc/854760715","Catalog Record")</f>
        <v>Catalog Record</v>
      </c>
      <c r="AW4532" s="6" t="str">
        <f>HYPERLINK("http://www.worldcat.org/oclc/854760715","WorldCat Record")</f>
        <v>WorldCat Record</v>
      </c>
      <c r="AX4532" s="3" t="s">
        <v>43288</v>
      </c>
      <c r="AY4532" s="3" t="s">
        <v>43289</v>
      </c>
      <c r="AZ4532" s="3" t="s">
        <v>43290</v>
      </c>
      <c r="BA4532" s="3" t="s">
        <v>43290</v>
      </c>
      <c r="BB4532" s="3" t="s">
        <v>43294</v>
      </c>
      <c r="BC4532" s="3" t="s">
        <v>142</v>
      </c>
      <c r="BD4532" s="3" t="s">
        <v>68</v>
      </c>
      <c r="BE4532" s="3" t="s">
        <v>43292</v>
      </c>
      <c r="BF4532" s="3" t="s">
        <v>43294</v>
      </c>
      <c r="BG4532" s="3" t="s">
        <v>43295</v>
      </c>
    </row>
    <row r="4533" spans="1:59" ht="57" x14ac:dyDescent="0.45">
      <c r="A4533" s="2" t="s">
        <v>59</v>
      </c>
      <c r="B4533" s="2" t="s">
        <v>60</v>
      </c>
      <c r="C4533" s="2" t="s">
        <v>43296</v>
      </c>
      <c r="D4533" s="2" t="s">
        <v>43297</v>
      </c>
      <c r="E4533" s="2" t="s">
        <v>43298</v>
      </c>
      <c r="G4533" s="3" t="s">
        <v>62</v>
      </c>
      <c r="I4533" s="3" t="s">
        <v>62</v>
      </c>
      <c r="J4533" s="3" t="s">
        <v>62</v>
      </c>
      <c r="K4533" s="3" t="s">
        <v>63</v>
      </c>
      <c r="M4533" s="2" t="s">
        <v>43202</v>
      </c>
      <c r="N4533" s="3" t="s">
        <v>1155</v>
      </c>
      <c r="P4533" s="3" t="s">
        <v>65</v>
      </c>
      <c r="Q4533" s="2" t="s">
        <v>43299</v>
      </c>
      <c r="R4533" s="3" t="s">
        <v>66</v>
      </c>
      <c r="S4533" s="4">
        <v>0</v>
      </c>
      <c r="T4533" s="4">
        <v>0</v>
      </c>
      <c r="W4533" s="5" t="s">
        <v>67</v>
      </c>
      <c r="X4533" s="5" t="s">
        <v>67</v>
      </c>
      <c r="Y4533" s="4">
        <v>88</v>
      </c>
      <c r="Z4533" s="4">
        <v>12</v>
      </c>
      <c r="AA4533" s="4">
        <v>66</v>
      </c>
      <c r="AB4533" s="4">
        <v>1</v>
      </c>
      <c r="AC4533" s="4">
        <v>12</v>
      </c>
      <c r="AD4533" s="4">
        <v>42</v>
      </c>
      <c r="AE4533" s="4">
        <v>112</v>
      </c>
      <c r="AF4533" s="4">
        <v>0</v>
      </c>
      <c r="AG4533" s="4">
        <v>3</v>
      </c>
      <c r="AH4533" s="4">
        <v>36</v>
      </c>
      <c r="AI4533" s="4">
        <v>85</v>
      </c>
      <c r="AJ4533" s="4">
        <v>9</v>
      </c>
      <c r="AK4533" s="4">
        <v>21</v>
      </c>
      <c r="AL4533" s="4">
        <v>23</v>
      </c>
      <c r="AM4533" s="4">
        <v>48</v>
      </c>
      <c r="AN4533" s="4">
        <v>0</v>
      </c>
      <c r="AO4533" s="4">
        <v>0</v>
      </c>
      <c r="AP4533" s="4">
        <v>10</v>
      </c>
      <c r="AQ4533" s="4">
        <v>34</v>
      </c>
      <c r="AR4533" s="3" t="s">
        <v>62</v>
      </c>
      <c r="AS4533" s="3" t="s">
        <v>62</v>
      </c>
      <c r="AT4533" s="3" t="s">
        <v>62</v>
      </c>
      <c r="AV4533" s="6" t="str">
        <f>HYPERLINK("http://mcgill.on.worldcat.org/oclc/798612785","Catalog Record")</f>
        <v>Catalog Record</v>
      </c>
      <c r="AW4533" s="6" t="str">
        <f>HYPERLINK("http://www.worldcat.org/oclc/798612785","WorldCat Record")</f>
        <v>WorldCat Record</v>
      </c>
      <c r="AX4533" s="3" t="s">
        <v>43300</v>
      </c>
      <c r="AY4533" s="3" t="s">
        <v>43301</v>
      </c>
      <c r="AZ4533" s="3" t="s">
        <v>43302</v>
      </c>
      <c r="BA4533" s="3" t="s">
        <v>43302</v>
      </c>
      <c r="BB4533" s="3" t="s">
        <v>43303</v>
      </c>
      <c r="BC4533" s="3" t="s">
        <v>142</v>
      </c>
      <c r="BD4533" s="3" t="s">
        <v>68</v>
      </c>
      <c r="BE4533" s="3" t="s">
        <v>43304</v>
      </c>
      <c r="BF4533" s="3" t="s">
        <v>43303</v>
      </c>
      <c r="BG4533" s="3" t="s">
        <v>43305</v>
      </c>
    </row>
    <row r="4534" spans="1:59" ht="57" x14ac:dyDescent="0.45">
      <c r="A4534" s="2" t="s">
        <v>59</v>
      </c>
      <c r="B4534" s="2" t="s">
        <v>60</v>
      </c>
      <c r="C4534" s="2" t="s">
        <v>43306</v>
      </c>
      <c r="D4534" s="2" t="s">
        <v>43307</v>
      </c>
      <c r="E4534" s="2" t="s">
        <v>43308</v>
      </c>
      <c r="G4534" s="3" t="s">
        <v>62</v>
      </c>
      <c r="I4534" s="3" t="s">
        <v>62</v>
      </c>
      <c r="J4534" s="3" t="s">
        <v>62</v>
      </c>
      <c r="K4534" s="3" t="s">
        <v>63</v>
      </c>
      <c r="M4534" s="2" t="s">
        <v>10828</v>
      </c>
      <c r="N4534" s="3" t="s">
        <v>894</v>
      </c>
      <c r="P4534" s="3" t="s">
        <v>65</v>
      </c>
      <c r="Q4534" s="2" t="s">
        <v>43309</v>
      </c>
      <c r="R4534" s="3" t="s">
        <v>66</v>
      </c>
      <c r="S4534" s="4">
        <v>1</v>
      </c>
      <c r="T4534" s="4">
        <v>1</v>
      </c>
      <c r="U4534" s="5" t="s">
        <v>43310</v>
      </c>
      <c r="V4534" s="5" t="s">
        <v>43310</v>
      </c>
      <c r="W4534" s="5" t="s">
        <v>67</v>
      </c>
      <c r="X4534" s="5" t="s">
        <v>67</v>
      </c>
      <c r="Y4534" s="4">
        <v>64</v>
      </c>
      <c r="Z4534" s="4">
        <v>9</v>
      </c>
      <c r="AA4534" s="4">
        <v>89</v>
      </c>
      <c r="AB4534" s="4">
        <v>2</v>
      </c>
      <c r="AC4534" s="4">
        <v>17</v>
      </c>
      <c r="AD4534" s="4">
        <v>25</v>
      </c>
      <c r="AE4534" s="4">
        <v>103</v>
      </c>
      <c r="AF4534" s="4">
        <v>1</v>
      </c>
      <c r="AG4534" s="4">
        <v>8</v>
      </c>
      <c r="AH4534" s="4">
        <v>21</v>
      </c>
      <c r="AI4534" s="4">
        <v>68</v>
      </c>
      <c r="AJ4534" s="4">
        <v>7</v>
      </c>
      <c r="AK4534" s="4">
        <v>20</v>
      </c>
      <c r="AL4534" s="4">
        <v>15</v>
      </c>
      <c r="AM4534" s="4">
        <v>35</v>
      </c>
      <c r="AN4534" s="4">
        <v>0</v>
      </c>
      <c r="AO4534" s="4">
        <v>0</v>
      </c>
      <c r="AP4534" s="4">
        <v>7</v>
      </c>
      <c r="AQ4534" s="4">
        <v>41</v>
      </c>
      <c r="AR4534" s="3" t="s">
        <v>62</v>
      </c>
      <c r="AS4534" s="3" t="s">
        <v>62</v>
      </c>
      <c r="AT4534" s="3" t="s">
        <v>62</v>
      </c>
      <c r="AV4534" s="6" t="str">
        <f>HYPERLINK("http://mcgill.on.worldcat.org/oclc/697980013","Catalog Record")</f>
        <v>Catalog Record</v>
      </c>
      <c r="AW4534" s="6" t="str">
        <f>HYPERLINK("http://www.worldcat.org/oclc/697980013","WorldCat Record")</f>
        <v>WorldCat Record</v>
      </c>
      <c r="AX4534" s="3" t="s">
        <v>43311</v>
      </c>
      <c r="AY4534" s="3" t="s">
        <v>43312</v>
      </c>
      <c r="AZ4534" s="3" t="s">
        <v>43313</v>
      </c>
      <c r="BA4534" s="3" t="s">
        <v>43313</v>
      </c>
      <c r="BB4534" s="3" t="s">
        <v>43314</v>
      </c>
      <c r="BC4534" s="3" t="s">
        <v>142</v>
      </c>
      <c r="BD4534" s="3" t="s">
        <v>68</v>
      </c>
      <c r="BE4534" s="3" t="s">
        <v>43315</v>
      </c>
      <c r="BF4534" s="3" t="s">
        <v>43314</v>
      </c>
      <c r="BG4534" s="3" t="s">
        <v>43316</v>
      </c>
    </row>
    <row r="4535" spans="1:59" ht="57" x14ac:dyDescent="0.45">
      <c r="A4535" s="2" t="s">
        <v>59</v>
      </c>
      <c r="B4535" s="2" t="s">
        <v>60</v>
      </c>
      <c r="C4535" s="2" t="s">
        <v>43317</v>
      </c>
      <c r="D4535" s="2" t="s">
        <v>43318</v>
      </c>
      <c r="E4535" s="2" t="s">
        <v>43319</v>
      </c>
      <c r="G4535" s="3" t="s">
        <v>62</v>
      </c>
      <c r="I4535" s="3" t="s">
        <v>62</v>
      </c>
      <c r="J4535" s="3" t="s">
        <v>62</v>
      </c>
      <c r="K4535" s="3" t="s">
        <v>63</v>
      </c>
      <c r="M4535" s="2" t="s">
        <v>2560</v>
      </c>
      <c r="N4535" s="3" t="s">
        <v>149</v>
      </c>
      <c r="P4535" s="3" t="s">
        <v>65</v>
      </c>
      <c r="Q4535" s="2" t="s">
        <v>3949</v>
      </c>
      <c r="R4535" s="3" t="s">
        <v>66</v>
      </c>
      <c r="S4535" s="4">
        <v>9</v>
      </c>
      <c r="T4535" s="4">
        <v>9</v>
      </c>
      <c r="U4535" s="5" t="s">
        <v>13047</v>
      </c>
      <c r="V4535" s="5" t="s">
        <v>13047</v>
      </c>
      <c r="W4535" s="5" t="s">
        <v>67</v>
      </c>
      <c r="X4535" s="5" t="s">
        <v>67</v>
      </c>
      <c r="Y4535" s="4">
        <v>270</v>
      </c>
      <c r="Z4535" s="4">
        <v>23</v>
      </c>
      <c r="AA4535" s="4">
        <v>31</v>
      </c>
      <c r="AB4535" s="4">
        <v>1</v>
      </c>
      <c r="AC4535" s="4">
        <v>4</v>
      </c>
      <c r="AD4535" s="4">
        <v>90</v>
      </c>
      <c r="AE4535" s="4">
        <v>104</v>
      </c>
      <c r="AF4535" s="4">
        <v>0</v>
      </c>
      <c r="AG4535" s="4">
        <v>1</v>
      </c>
      <c r="AH4535" s="4">
        <v>80</v>
      </c>
      <c r="AI4535" s="4">
        <v>91</v>
      </c>
      <c r="AJ4535" s="4">
        <v>16</v>
      </c>
      <c r="AK4535" s="4">
        <v>20</v>
      </c>
      <c r="AL4535" s="4">
        <v>46</v>
      </c>
      <c r="AM4535" s="4">
        <v>52</v>
      </c>
      <c r="AN4535" s="4">
        <v>0</v>
      </c>
      <c r="AO4535" s="4">
        <v>0</v>
      </c>
      <c r="AP4535" s="4">
        <v>20</v>
      </c>
      <c r="AQ4535" s="4">
        <v>25</v>
      </c>
      <c r="AR4535" s="3" t="s">
        <v>62</v>
      </c>
      <c r="AS4535" s="3" t="s">
        <v>62</v>
      </c>
      <c r="AT4535" s="3" t="s">
        <v>62</v>
      </c>
      <c r="AV4535" s="6" t="str">
        <f>HYPERLINK("http://mcgill.on.worldcat.org/oclc/373478787","Catalog Record")</f>
        <v>Catalog Record</v>
      </c>
      <c r="AW4535" s="6" t="str">
        <f>HYPERLINK("http://www.worldcat.org/oclc/373478787","WorldCat Record")</f>
        <v>WorldCat Record</v>
      </c>
      <c r="AX4535" s="3" t="s">
        <v>43320</v>
      </c>
      <c r="AY4535" s="3" t="s">
        <v>43321</v>
      </c>
      <c r="AZ4535" s="3" t="s">
        <v>43322</v>
      </c>
      <c r="BA4535" s="3" t="s">
        <v>43322</v>
      </c>
      <c r="BB4535" s="3" t="s">
        <v>43323</v>
      </c>
      <c r="BC4535" s="3" t="s">
        <v>142</v>
      </c>
      <c r="BD4535" s="3" t="s">
        <v>68</v>
      </c>
      <c r="BE4535" s="3" t="s">
        <v>43324</v>
      </c>
      <c r="BF4535" s="3" t="s">
        <v>43323</v>
      </c>
      <c r="BG4535" s="3" t="s">
        <v>43325</v>
      </c>
    </row>
    <row r="4536" spans="1:59" ht="57" x14ac:dyDescent="0.45">
      <c r="A4536" s="2" t="s">
        <v>59</v>
      </c>
      <c r="B4536" s="2" t="s">
        <v>60</v>
      </c>
      <c r="C4536" s="2" t="s">
        <v>43326</v>
      </c>
      <c r="D4536" s="2" t="s">
        <v>43327</v>
      </c>
      <c r="E4536" s="2" t="s">
        <v>43328</v>
      </c>
      <c r="G4536" s="3" t="s">
        <v>62</v>
      </c>
      <c r="I4536" s="3" t="s">
        <v>62</v>
      </c>
      <c r="J4536" s="3" t="s">
        <v>62</v>
      </c>
      <c r="K4536" s="3" t="s">
        <v>63</v>
      </c>
      <c r="M4536" s="2" t="s">
        <v>5214</v>
      </c>
      <c r="N4536" s="3" t="s">
        <v>945</v>
      </c>
      <c r="P4536" s="3" t="s">
        <v>65</v>
      </c>
      <c r="Q4536" s="2" t="s">
        <v>3949</v>
      </c>
      <c r="R4536" s="3" t="s">
        <v>66</v>
      </c>
      <c r="S4536" s="4">
        <v>8</v>
      </c>
      <c r="T4536" s="4">
        <v>8</v>
      </c>
      <c r="U4536" s="5" t="s">
        <v>31526</v>
      </c>
      <c r="V4536" s="5" t="s">
        <v>31526</v>
      </c>
      <c r="W4536" s="5" t="s">
        <v>67</v>
      </c>
      <c r="X4536" s="5" t="s">
        <v>67</v>
      </c>
      <c r="Y4536" s="4">
        <v>201</v>
      </c>
      <c r="Z4536" s="4">
        <v>23</v>
      </c>
      <c r="AA4536" s="4">
        <v>27</v>
      </c>
      <c r="AB4536" s="4">
        <v>2</v>
      </c>
      <c r="AC4536" s="4">
        <v>4</v>
      </c>
      <c r="AD4536" s="4">
        <v>84</v>
      </c>
      <c r="AE4536" s="4">
        <v>91</v>
      </c>
      <c r="AF4536" s="4">
        <v>1</v>
      </c>
      <c r="AG4536" s="4">
        <v>1</v>
      </c>
      <c r="AH4536" s="4">
        <v>71</v>
      </c>
      <c r="AI4536" s="4">
        <v>77</v>
      </c>
      <c r="AJ4536" s="4">
        <v>19</v>
      </c>
      <c r="AK4536" s="4">
        <v>20</v>
      </c>
      <c r="AL4536" s="4">
        <v>42</v>
      </c>
      <c r="AM4536" s="4">
        <v>44</v>
      </c>
      <c r="AN4536" s="4">
        <v>0</v>
      </c>
      <c r="AO4536" s="4">
        <v>0</v>
      </c>
      <c r="AP4536" s="4">
        <v>20</v>
      </c>
      <c r="AQ4536" s="4">
        <v>21</v>
      </c>
      <c r="AR4536" s="3" t="s">
        <v>62</v>
      </c>
      <c r="AS4536" s="3" t="s">
        <v>62</v>
      </c>
      <c r="AT4536" s="3" t="s">
        <v>62</v>
      </c>
      <c r="AV4536" s="6" t="str">
        <f>HYPERLINK("http://mcgill.on.worldcat.org/oclc/71350503","Catalog Record")</f>
        <v>Catalog Record</v>
      </c>
      <c r="AW4536" s="6" t="str">
        <f>HYPERLINK("http://www.worldcat.org/oclc/71350503","WorldCat Record")</f>
        <v>WorldCat Record</v>
      </c>
      <c r="AX4536" s="3" t="s">
        <v>43329</v>
      </c>
      <c r="AY4536" s="3" t="s">
        <v>43330</v>
      </c>
      <c r="AZ4536" s="3" t="s">
        <v>43331</v>
      </c>
      <c r="BA4536" s="3" t="s">
        <v>43331</v>
      </c>
      <c r="BB4536" s="3" t="s">
        <v>43332</v>
      </c>
      <c r="BC4536" s="3" t="s">
        <v>142</v>
      </c>
      <c r="BD4536" s="3" t="s">
        <v>68</v>
      </c>
      <c r="BE4536" s="3" t="s">
        <v>43333</v>
      </c>
      <c r="BF4536" s="3" t="s">
        <v>43332</v>
      </c>
      <c r="BG4536" s="3" t="s">
        <v>43334</v>
      </c>
    </row>
    <row r="4537" spans="1:59" ht="57" x14ac:dyDescent="0.45">
      <c r="A4537" s="2" t="s">
        <v>59</v>
      </c>
      <c r="B4537" s="2" t="s">
        <v>60</v>
      </c>
      <c r="C4537" s="2" t="s">
        <v>43335</v>
      </c>
      <c r="D4537" s="2" t="s">
        <v>43336</v>
      </c>
      <c r="E4537" s="2" t="s">
        <v>43337</v>
      </c>
      <c r="F4537" s="3" t="s">
        <v>43338</v>
      </c>
      <c r="G4537" s="3" t="s">
        <v>61</v>
      </c>
      <c r="I4537" s="3" t="s">
        <v>62</v>
      </c>
      <c r="J4537" s="3" t="s">
        <v>61</v>
      </c>
      <c r="K4537" s="3" t="s">
        <v>63</v>
      </c>
      <c r="L4537" s="2" t="s">
        <v>32055</v>
      </c>
      <c r="M4537" s="2" t="s">
        <v>43339</v>
      </c>
      <c r="N4537" s="3" t="s">
        <v>157</v>
      </c>
      <c r="O4537" s="2" t="s">
        <v>3255</v>
      </c>
      <c r="P4537" s="3" t="s">
        <v>65</v>
      </c>
      <c r="Q4537" s="2" t="s">
        <v>43340</v>
      </c>
      <c r="R4537" s="3" t="s">
        <v>66</v>
      </c>
      <c r="S4537" s="4">
        <v>5</v>
      </c>
      <c r="T4537" s="4">
        <v>5</v>
      </c>
      <c r="U4537" s="5" t="s">
        <v>795</v>
      </c>
      <c r="V4537" s="5" t="s">
        <v>795</v>
      </c>
      <c r="W4537" s="5" t="s">
        <v>67</v>
      </c>
      <c r="X4537" s="5" t="s">
        <v>67</v>
      </c>
      <c r="Y4537" s="4">
        <v>172</v>
      </c>
      <c r="Z4537" s="4">
        <v>14</v>
      </c>
      <c r="AA4537" s="4">
        <v>24</v>
      </c>
      <c r="AB4537" s="4">
        <v>2</v>
      </c>
      <c r="AC4537" s="4">
        <v>3</v>
      </c>
      <c r="AD4537" s="4">
        <v>79</v>
      </c>
      <c r="AE4537" s="4">
        <v>108</v>
      </c>
      <c r="AF4537" s="4">
        <v>1</v>
      </c>
      <c r="AG4537" s="4">
        <v>2</v>
      </c>
      <c r="AH4537" s="4">
        <v>74</v>
      </c>
      <c r="AI4537" s="4">
        <v>97</v>
      </c>
      <c r="AJ4537" s="4">
        <v>11</v>
      </c>
      <c r="AK4537" s="4">
        <v>18</v>
      </c>
      <c r="AL4537" s="4">
        <v>38</v>
      </c>
      <c r="AM4537" s="4">
        <v>52</v>
      </c>
      <c r="AN4537" s="4">
        <v>0</v>
      </c>
      <c r="AO4537" s="4">
        <v>0</v>
      </c>
      <c r="AP4537" s="4">
        <v>12</v>
      </c>
      <c r="AQ4537" s="4">
        <v>19</v>
      </c>
      <c r="AR4537" s="3" t="s">
        <v>62</v>
      </c>
      <c r="AS4537" s="3" t="s">
        <v>62</v>
      </c>
      <c r="AT4537" s="3" t="s">
        <v>61</v>
      </c>
      <c r="AU4537" s="6" t="str">
        <f>HYPERLINK("http://catalog.hathitrust.org/Record/000159839","HathiTrust Record")</f>
        <v>HathiTrust Record</v>
      </c>
      <c r="AV4537" s="6" t="str">
        <f>HYPERLINK("http://mcgill.on.worldcat.org/oclc/9079488","Catalog Record")</f>
        <v>Catalog Record</v>
      </c>
      <c r="AW4537" s="6" t="str">
        <f>HYPERLINK("http://www.worldcat.org/oclc/9079488","WorldCat Record")</f>
        <v>WorldCat Record</v>
      </c>
      <c r="AX4537" s="3" t="s">
        <v>43341</v>
      </c>
      <c r="AY4537" s="3" t="s">
        <v>43342</v>
      </c>
      <c r="AZ4537" s="3" t="s">
        <v>43343</v>
      </c>
      <c r="BA4537" s="3" t="s">
        <v>43343</v>
      </c>
      <c r="BB4537" s="3" t="s">
        <v>43344</v>
      </c>
      <c r="BC4537" s="3" t="s">
        <v>142</v>
      </c>
      <c r="BD4537" s="3" t="s">
        <v>68</v>
      </c>
      <c r="BE4537" s="3" t="s">
        <v>43345</v>
      </c>
      <c r="BF4537" s="3" t="s">
        <v>43344</v>
      </c>
      <c r="BG4537" s="3" t="s">
        <v>43346</v>
      </c>
    </row>
    <row r="4538" spans="1:59" ht="57" x14ac:dyDescent="0.45">
      <c r="A4538" s="2" t="s">
        <v>59</v>
      </c>
      <c r="B4538" s="2" t="s">
        <v>60</v>
      </c>
      <c r="C4538" s="2" t="s">
        <v>43335</v>
      </c>
      <c r="D4538" s="2" t="s">
        <v>43336</v>
      </c>
      <c r="E4538" s="2" t="s">
        <v>43337</v>
      </c>
      <c r="F4538" s="3" t="s">
        <v>43347</v>
      </c>
      <c r="G4538" s="3" t="s">
        <v>61</v>
      </c>
      <c r="I4538" s="3" t="s">
        <v>62</v>
      </c>
      <c r="J4538" s="3" t="s">
        <v>61</v>
      </c>
      <c r="K4538" s="3" t="s">
        <v>63</v>
      </c>
      <c r="L4538" s="2" t="s">
        <v>32055</v>
      </c>
      <c r="M4538" s="2" t="s">
        <v>43339</v>
      </c>
      <c r="N4538" s="3" t="s">
        <v>157</v>
      </c>
      <c r="O4538" s="2" t="s">
        <v>3255</v>
      </c>
      <c r="P4538" s="3" t="s">
        <v>65</v>
      </c>
      <c r="Q4538" s="2" t="s">
        <v>43340</v>
      </c>
      <c r="R4538" s="3" t="s">
        <v>66</v>
      </c>
      <c r="S4538" s="4">
        <v>0</v>
      </c>
      <c r="T4538" s="4">
        <v>5</v>
      </c>
      <c r="V4538" s="5" t="s">
        <v>795</v>
      </c>
      <c r="W4538" s="5" t="s">
        <v>67</v>
      </c>
      <c r="X4538" s="5" t="s">
        <v>67</v>
      </c>
      <c r="Y4538" s="4">
        <v>172</v>
      </c>
      <c r="Z4538" s="4">
        <v>14</v>
      </c>
      <c r="AA4538" s="4">
        <v>24</v>
      </c>
      <c r="AB4538" s="4">
        <v>2</v>
      </c>
      <c r="AC4538" s="4">
        <v>3</v>
      </c>
      <c r="AD4538" s="4">
        <v>79</v>
      </c>
      <c r="AE4538" s="4">
        <v>108</v>
      </c>
      <c r="AF4538" s="4">
        <v>1</v>
      </c>
      <c r="AG4538" s="4">
        <v>2</v>
      </c>
      <c r="AH4538" s="4">
        <v>74</v>
      </c>
      <c r="AI4538" s="4">
        <v>97</v>
      </c>
      <c r="AJ4538" s="4">
        <v>11</v>
      </c>
      <c r="AK4538" s="4">
        <v>18</v>
      </c>
      <c r="AL4538" s="4">
        <v>38</v>
      </c>
      <c r="AM4538" s="4">
        <v>52</v>
      </c>
      <c r="AN4538" s="4">
        <v>0</v>
      </c>
      <c r="AO4538" s="4">
        <v>0</v>
      </c>
      <c r="AP4538" s="4">
        <v>12</v>
      </c>
      <c r="AQ4538" s="4">
        <v>19</v>
      </c>
      <c r="AR4538" s="3" t="s">
        <v>62</v>
      </c>
      <c r="AS4538" s="3" t="s">
        <v>62</v>
      </c>
      <c r="AT4538" s="3" t="s">
        <v>61</v>
      </c>
      <c r="AU4538" s="6" t="str">
        <f>HYPERLINK("http://catalog.hathitrust.org/Record/000159839","HathiTrust Record")</f>
        <v>HathiTrust Record</v>
      </c>
      <c r="AV4538" s="6" t="str">
        <f>HYPERLINK("http://mcgill.on.worldcat.org/oclc/9079488","Catalog Record")</f>
        <v>Catalog Record</v>
      </c>
      <c r="AW4538" s="6" t="str">
        <f>HYPERLINK("http://www.worldcat.org/oclc/9079488","WorldCat Record")</f>
        <v>WorldCat Record</v>
      </c>
      <c r="AX4538" s="3" t="s">
        <v>43341</v>
      </c>
      <c r="AY4538" s="3" t="s">
        <v>43342</v>
      </c>
      <c r="AZ4538" s="3" t="s">
        <v>43343</v>
      </c>
      <c r="BA4538" s="3" t="s">
        <v>43343</v>
      </c>
      <c r="BB4538" s="3" t="s">
        <v>43348</v>
      </c>
      <c r="BC4538" s="3" t="s">
        <v>142</v>
      </c>
      <c r="BD4538" s="3" t="s">
        <v>68</v>
      </c>
      <c r="BE4538" s="3" t="s">
        <v>43345</v>
      </c>
      <c r="BF4538" s="3" t="s">
        <v>43348</v>
      </c>
      <c r="BG4538" s="3" t="s">
        <v>43349</v>
      </c>
    </row>
    <row r="4539" spans="1:59" ht="57" x14ac:dyDescent="0.45">
      <c r="A4539" s="2" t="s">
        <v>59</v>
      </c>
      <c r="B4539" s="2" t="s">
        <v>60</v>
      </c>
      <c r="C4539" s="2" t="s">
        <v>43350</v>
      </c>
      <c r="D4539" s="2" t="s">
        <v>43351</v>
      </c>
      <c r="E4539" s="2" t="s">
        <v>43352</v>
      </c>
      <c r="G4539" s="3" t="s">
        <v>62</v>
      </c>
      <c r="I4539" s="3" t="s">
        <v>62</v>
      </c>
      <c r="J4539" s="3" t="s">
        <v>62</v>
      </c>
      <c r="K4539" s="3" t="s">
        <v>63</v>
      </c>
      <c r="L4539" s="2" t="s">
        <v>43353</v>
      </c>
      <c r="M4539" s="2" t="s">
        <v>2822</v>
      </c>
      <c r="N4539" s="3" t="s">
        <v>894</v>
      </c>
      <c r="P4539" s="3" t="s">
        <v>65</v>
      </c>
      <c r="Q4539" s="2" t="s">
        <v>43354</v>
      </c>
      <c r="R4539" s="3" t="s">
        <v>66</v>
      </c>
      <c r="S4539" s="4">
        <v>1</v>
      </c>
      <c r="T4539" s="4">
        <v>1</v>
      </c>
      <c r="U4539" s="5" t="s">
        <v>18083</v>
      </c>
      <c r="V4539" s="5" t="s">
        <v>18083</v>
      </c>
      <c r="W4539" s="5" t="s">
        <v>67</v>
      </c>
      <c r="X4539" s="5" t="s">
        <v>67</v>
      </c>
      <c r="Y4539" s="4">
        <v>82</v>
      </c>
      <c r="Z4539" s="4">
        <v>14</v>
      </c>
      <c r="AA4539" s="4">
        <v>92</v>
      </c>
      <c r="AB4539" s="4">
        <v>1</v>
      </c>
      <c r="AC4539" s="4">
        <v>17</v>
      </c>
      <c r="AD4539" s="4">
        <v>40</v>
      </c>
      <c r="AE4539" s="4">
        <v>118</v>
      </c>
      <c r="AF4539" s="4">
        <v>0</v>
      </c>
      <c r="AG4539" s="4">
        <v>8</v>
      </c>
      <c r="AH4539" s="4">
        <v>35</v>
      </c>
      <c r="AI4539" s="4">
        <v>81</v>
      </c>
      <c r="AJ4539" s="4">
        <v>11</v>
      </c>
      <c r="AK4539" s="4">
        <v>25</v>
      </c>
      <c r="AL4539" s="4">
        <v>22</v>
      </c>
      <c r="AM4539" s="4">
        <v>43</v>
      </c>
      <c r="AN4539" s="4">
        <v>0</v>
      </c>
      <c r="AO4539" s="4">
        <v>0</v>
      </c>
      <c r="AP4539" s="4">
        <v>12</v>
      </c>
      <c r="AQ4539" s="4">
        <v>46</v>
      </c>
      <c r="AR4539" s="3" t="s">
        <v>62</v>
      </c>
      <c r="AS4539" s="3" t="s">
        <v>62</v>
      </c>
      <c r="AT4539" s="3" t="s">
        <v>62</v>
      </c>
      <c r="AV4539" s="6" t="str">
        <f>HYPERLINK("http://mcgill.on.worldcat.org/oclc/688559519","Catalog Record")</f>
        <v>Catalog Record</v>
      </c>
      <c r="AW4539" s="6" t="str">
        <f>HYPERLINK("http://www.worldcat.org/oclc/688559519","WorldCat Record")</f>
        <v>WorldCat Record</v>
      </c>
      <c r="AX4539" s="3" t="s">
        <v>43355</v>
      </c>
      <c r="AY4539" s="3" t="s">
        <v>43356</v>
      </c>
      <c r="AZ4539" s="3" t="s">
        <v>43357</v>
      </c>
      <c r="BA4539" s="3" t="s">
        <v>43357</v>
      </c>
      <c r="BB4539" s="3" t="s">
        <v>43358</v>
      </c>
      <c r="BC4539" s="3" t="s">
        <v>142</v>
      </c>
      <c r="BD4539" s="3" t="s">
        <v>68</v>
      </c>
      <c r="BE4539" s="3" t="s">
        <v>43359</v>
      </c>
      <c r="BF4539" s="3" t="s">
        <v>43358</v>
      </c>
      <c r="BG4539" s="3" t="s">
        <v>43360</v>
      </c>
    </row>
    <row r="4540" spans="1:59" ht="57" x14ac:dyDescent="0.45">
      <c r="A4540" s="2" t="s">
        <v>59</v>
      </c>
      <c r="B4540" s="2" t="s">
        <v>60</v>
      </c>
      <c r="C4540" s="2" t="s">
        <v>43361</v>
      </c>
      <c r="D4540" s="2" t="s">
        <v>43362</v>
      </c>
      <c r="E4540" s="2" t="s">
        <v>43363</v>
      </c>
      <c r="G4540" s="3" t="s">
        <v>62</v>
      </c>
      <c r="I4540" s="3" t="s">
        <v>62</v>
      </c>
      <c r="J4540" s="3" t="s">
        <v>62</v>
      </c>
      <c r="K4540" s="3" t="s">
        <v>63</v>
      </c>
      <c r="L4540" s="2" t="s">
        <v>43364</v>
      </c>
      <c r="M4540" s="2" t="s">
        <v>3828</v>
      </c>
      <c r="N4540" s="3" t="s">
        <v>820</v>
      </c>
      <c r="P4540" s="3" t="s">
        <v>65</v>
      </c>
      <c r="Q4540" s="2" t="s">
        <v>43365</v>
      </c>
      <c r="R4540" s="3" t="s">
        <v>66</v>
      </c>
      <c r="S4540" s="4">
        <v>3</v>
      </c>
      <c r="T4540" s="4">
        <v>3</v>
      </c>
      <c r="U4540" s="5" t="s">
        <v>2966</v>
      </c>
      <c r="V4540" s="5" t="s">
        <v>2966</v>
      </c>
      <c r="W4540" s="5" t="s">
        <v>67</v>
      </c>
      <c r="X4540" s="5" t="s">
        <v>67</v>
      </c>
      <c r="Y4540" s="4">
        <v>181</v>
      </c>
      <c r="Z4540" s="4">
        <v>18</v>
      </c>
      <c r="AA4540" s="4">
        <v>30</v>
      </c>
      <c r="AB4540" s="4">
        <v>2</v>
      </c>
      <c r="AC4540" s="4">
        <v>9</v>
      </c>
      <c r="AD4540" s="4">
        <v>51</v>
      </c>
      <c r="AE4540" s="4">
        <v>68</v>
      </c>
      <c r="AF4540" s="4">
        <v>1</v>
      </c>
      <c r="AG4540" s="4">
        <v>5</v>
      </c>
      <c r="AH4540" s="4">
        <v>44</v>
      </c>
      <c r="AI4540" s="4">
        <v>54</v>
      </c>
      <c r="AJ4540" s="4">
        <v>14</v>
      </c>
      <c r="AK4540" s="4">
        <v>19</v>
      </c>
      <c r="AL4540" s="4">
        <v>27</v>
      </c>
      <c r="AM4540" s="4">
        <v>32</v>
      </c>
      <c r="AN4540" s="4">
        <v>0</v>
      </c>
      <c r="AO4540" s="4">
        <v>0</v>
      </c>
      <c r="AP4540" s="4">
        <v>15</v>
      </c>
      <c r="AQ4540" s="4">
        <v>22</v>
      </c>
      <c r="AR4540" s="3" t="s">
        <v>62</v>
      </c>
      <c r="AS4540" s="3" t="s">
        <v>62</v>
      </c>
      <c r="AT4540" s="3" t="s">
        <v>62</v>
      </c>
      <c r="AV4540" s="6" t="str">
        <f>HYPERLINK("http://mcgill.on.worldcat.org/oclc/182732253","Catalog Record")</f>
        <v>Catalog Record</v>
      </c>
      <c r="AW4540" s="6" t="str">
        <f>HYPERLINK("http://www.worldcat.org/oclc/182732253","WorldCat Record")</f>
        <v>WorldCat Record</v>
      </c>
      <c r="AX4540" s="3" t="s">
        <v>43366</v>
      </c>
      <c r="AY4540" s="3" t="s">
        <v>43367</v>
      </c>
      <c r="AZ4540" s="3" t="s">
        <v>43368</v>
      </c>
      <c r="BA4540" s="3" t="s">
        <v>43368</v>
      </c>
      <c r="BB4540" s="3" t="s">
        <v>43369</v>
      </c>
      <c r="BC4540" s="3" t="s">
        <v>142</v>
      </c>
      <c r="BD4540" s="3" t="s">
        <v>68</v>
      </c>
      <c r="BE4540" s="3" t="s">
        <v>43370</v>
      </c>
      <c r="BF4540" s="3" t="s">
        <v>43369</v>
      </c>
      <c r="BG4540" s="3" t="s">
        <v>43371</v>
      </c>
    </row>
    <row r="4541" spans="1:59" ht="57" x14ac:dyDescent="0.45">
      <c r="A4541" s="2" t="s">
        <v>59</v>
      </c>
      <c r="B4541" s="2" t="s">
        <v>60</v>
      </c>
      <c r="C4541" s="2" t="s">
        <v>43372</v>
      </c>
      <c r="D4541" s="2" t="s">
        <v>43373</v>
      </c>
      <c r="E4541" s="2" t="s">
        <v>43374</v>
      </c>
      <c r="G4541" s="3" t="s">
        <v>62</v>
      </c>
      <c r="I4541" s="3" t="s">
        <v>62</v>
      </c>
      <c r="J4541" s="3" t="s">
        <v>61</v>
      </c>
      <c r="K4541" s="3" t="s">
        <v>63</v>
      </c>
      <c r="M4541" s="2" t="s">
        <v>1781</v>
      </c>
      <c r="N4541" s="3" t="s">
        <v>149</v>
      </c>
      <c r="P4541" s="3" t="s">
        <v>65</v>
      </c>
      <c r="Q4541" s="2" t="s">
        <v>43365</v>
      </c>
      <c r="R4541" s="3" t="s">
        <v>66</v>
      </c>
      <c r="S4541" s="4">
        <v>2</v>
      </c>
      <c r="T4541" s="4">
        <v>2</v>
      </c>
      <c r="U4541" s="5" t="s">
        <v>43375</v>
      </c>
      <c r="V4541" s="5" t="s">
        <v>43375</v>
      </c>
      <c r="W4541" s="5" t="s">
        <v>67</v>
      </c>
      <c r="X4541" s="5" t="s">
        <v>67</v>
      </c>
      <c r="Y4541" s="4">
        <v>251</v>
      </c>
      <c r="Z4541" s="4">
        <v>20</v>
      </c>
      <c r="AA4541" s="4">
        <v>24</v>
      </c>
      <c r="AB4541" s="4">
        <v>2</v>
      </c>
      <c r="AC4541" s="4">
        <v>5</v>
      </c>
      <c r="AD4541" s="4">
        <v>78</v>
      </c>
      <c r="AE4541" s="4">
        <v>88</v>
      </c>
      <c r="AF4541" s="4">
        <v>0</v>
      </c>
      <c r="AG4541" s="4">
        <v>2</v>
      </c>
      <c r="AH4541" s="4">
        <v>68</v>
      </c>
      <c r="AI4541" s="4">
        <v>77</v>
      </c>
      <c r="AJ4541" s="4">
        <v>14</v>
      </c>
      <c r="AK4541" s="4">
        <v>17</v>
      </c>
      <c r="AL4541" s="4">
        <v>43</v>
      </c>
      <c r="AM4541" s="4">
        <v>47</v>
      </c>
      <c r="AN4541" s="4">
        <v>0</v>
      </c>
      <c r="AO4541" s="4">
        <v>0</v>
      </c>
      <c r="AP4541" s="4">
        <v>17</v>
      </c>
      <c r="AQ4541" s="4">
        <v>19</v>
      </c>
      <c r="AR4541" s="3" t="s">
        <v>62</v>
      </c>
      <c r="AS4541" s="3" t="s">
        <v>62</v>
      </c>
      <c r="AT4541" s="3" t="s">
        <v>62</v>
      </c>
      <c r="AV4541" s="6" t="str">
        <f>HYPERLINK("http://mcgill.on.worldcat.org/oclc/317928339","Catalog Record")</f>
        <v>Catalog Record</v>
      </c>
      <c r="AW4541" s="6" t="str">
        <f>HYPERLINK("http://www.worldcat.org/oclc/317928339","WorldCat Record")</f>
        <v>WorldCat Record</v>
      </c>
      <c r="AX4541" s="3" t="s">
        <v>43376</v>
      </c>
      <c r="AY4541" s="3" t="s">
        <v>43377</v>
      </c>
      <c r="AZ4541" s="3" t="s">
        <v>43378</v>
      </c>
      <c r="BA4541" s="3" t="s">
        <v>43378</v>
      </c>
      <c r="BB4541" s="3" t="s">
        <v>43379</v>
      </c>
      <c r="BC4541" s="3" t="s">
        <v>142</v>
      </c>
      <c r="BD4541" s="3" t="s">
        <v>68</v>
      </c>
      <c r="BE4541" s="3" t="s">
        <v>43380</v>
      </c>
      <c r="BF4541" s="3" t="s">
        <v>43379</v>
      </c>
      <c r="BG4541" s="3" t="s">
        <v>43381</v>
      </c>
    </row>
    <row r="4542" spans="1:59" ht="57" x14ac:dyDescent="0.45">
      <c r="A4542" s="2" t="s">
        <v>59</v>
      </c>
      <c r="B4542" s="2" t="s">
        <v>60</v>
      </c>
      <c r="C4542" s="2" t="s">
        <v>43382</v>
      </c>
      <c r="D4542" s="2" t="s">
        <v>43383</v>
      </c>
      <c r="E4542" s="2" t="s">
        <v>43384</v>
      </c>
      <c r="G4542" s="3" t="s">
        <v>62</v>
      </c>
      <c r="I4542" s="3" t="s">
        <v>62</v>
      </c>
      <c r="J4542" s="3" t="s">
        <v>61</v>
      </c>
      <c r="K4542" s="3" t="s">
        <v>63</v>
      </c>
      <c r="L4542" s="2" t="s">
        <v>43385</v>
      </c>
      <c r="M4542" s="2" t="s">
        <v>43386</v>
      </c>
      <c r="N4542" s="3" t="s">
        <v>5180</v>
      </c>
      <c r="O4542" s="2" t="s">
        <v>3280</v>
      </c>
      <c r="P4542" s="3" t="s">
        <v>65</v>
      </c>
      <c r="Q4542" s="2" t="s">
        <v>43365</v>
      </c>
      <c r="R4542" s="3" t="s">
        <v>66</v>
      </c>
      <c r="S4542" s="4">
        <v>0</v>
      </c>
      <c r="T4542" s="4">
        <v>0</v>
      </c>
      <c r="W4542" s="5" t="s">
        <v>67</v>
      </c>
      <c r="X4542" s="5" t="s">
        <v>67</v>
      </c>
      <c r="Y4542" s="4">
        <v>71</v>
      </c>
      <c r="Z4542" s="4">
        <v>6</v>
      </c>
      <c r="AA4542" s="4">
        <v>24</v>
      </c>
      <c r="AB4542" s="4">
        <v>1</v>
      </c>
      <c r="AC4542" s="4">
        <v>5</v>
      </c>
      <c r="AD4542" s="4">
        <v>23</v>
      </c>
      <c r="AE4542" s="4">
        <v>88</v>
      </c>
      <c r="AF4542" s="4">
        <v>0</v>
      </c>
      <c r="AG4542" s="4">
        <v>2</v>
      </c>
      <c r="AH4542" s="4">
        <v>22</v>
      </c>
      <c r="AI4542" s="4">
        <v>77</v>
      </c>
      <c r="AJ4542" s="4">
        <v>5</v>
      </c>
      <c r="AK4542" s="4">
        <v>17</v>
      </c>
      <c r="AL4542" s="4">
        <v>14</v>
      </c>
      <c r="AM4542" s="4">
        <v>47</v>
      </c>
      <c r="AN4542" s="4">
        <v>0</v>
      </c>
      <c r="AO4542" s="4">
        <v>0</v>
      </c>
      <c r="AP4542" s="4">
        <v>5</v>
      </c>
      <c r="AQ4542" s="4">
        <v>19</v>
      </c>
      <c r="AR4542" s="3" t="s">
        <v>62</v>
      </c>
      <c r="AS4542" s="3" t="s">
        <v>62</v>
      </c>
      <c r="AT4542" s="3" t="s">
        <v>62</v>
      </c>
      <c r="AV4542" s="6" t="str">
        <f>HYPERLINK("http://mcgill.on.worldcat.org/oclc/1023815950","Catalog Record")</f>
        <v>Catalog Record</v>
      </c>
      <c r="AW4542" s="6" t="str">
        <f>HYPERLINK("http://www.worldcat.org/oclc/1023815950","WorldCat Record")</f>
        <v>WorldCat Record</v>
      </c>
      <c r="AX4542" s="3" t="s">
        <v>43376</v>
      </c>
      <c r="AY4542" s="3" t="s">
        <v>43387</v>
      </c>
      <c r="AZ4542" s="3" t="s">
        <v>43388</v>
      </c>
      <c r="BA4542" s="3" t="s">
        <v>43388</v>
      </c>
      <c r="BB4542" s="3" t="s">
        <v>43389</v>
      </c>
      <c r="BC4542" s="3" t="s">
        <v>142</v>
      </c>
      <c r="BD4542" s="3" t="s">
        <v>68</v>
      </c>
      <c r="BE4542" s="3" t="s">
        <v>43390</v>
      </c>
      <c r="BF4542" s="3" t="s">
        <v>43389</v>
      </c>
      <c r="BG4542" s="3" t="s">
        <v>43391</v>
      </c>
    </row>
    <row r="4543" spans="1:59" ht="57" x14ac:dyDescent="0.45">
      <c r="A4543" s="2" t="s">
        <v>59</v>
      </c>
      <c r="B4543" s="2" t="s">
        <v>60</v>
      </c>
      <c r="C4543" s="2" t="s">
        <v>43392</v>
      </c>
      <c r="D4543" s="2" t="s">
        <v>43393</v>
      </c>
      <c r="E4543" s="2" t="s">
        <v>43394</v>
      </c>
      <c r="G4543" s="3" t="s">
        <v>62</v>
      </c>
      <c r="I4543" s="3" t="s">
        <v>62</v>
      </c>
      <c r="J4543" s="3" t="s">
        <v>62</v>
      </c>
      <c r="K4543" s="3" t="s">
        <v>63</v>
      </c>
      <c r="M4543" s="2" t="s">
        <v>4069</v>
      </c>
      <c r="N4543" s="3" t="s">
        <v>116</v>
      </c>
      <c r="P4543" s="3" t="s">
        <v>65</v>
      </c>
      <c r="R4543" s="3" t="s">
        <v>66</v>
      </c>
      <c r="S4543" s="4">
        <v>0</v>
      </c>
      <c r="T4543" s="4">
        <v>0</v>
      </c>
      <c r="W4543" s="5" t="s">
        <v>67</v>
      </c>
      <c r="X4543" s="5" t="s">
        <v>67</v>
      </c>
      <c r="Y4543" s="4">
        <v>243</v>
      </c>
      <c r="Z4543" s="4">
        <v>18</v>
      </c>
      <c r="AA4543" s="4">
        <v>23</v>
      </c>
      <c r="AB4543" s="4">
        <v>2</v>
      </c>
      <c r="AC4543" s="4">
        <v>6</v>
      </c>
      <c r="AD4543" s="4">
        <v>80</v>
      </c>
      <c r="AE4543" s="4">
        <v>86</v>
      </c>
      <c r="AF4543" s="4">
        <v>1</v>
      </c>
      <c r="AG4543" s="4">
        <v>4</v>
      </c>
      <c r="AH4543" s="4">
        <v>70</v>
      </c>
      <c r="AI4543" s="4">
        <v>73</v>
      </c>
      <c r="AJ4543" s="4">
        <v>13</v>
      </c>
      <c r="AK4543" s="4">
        <v>16</v>
      </c>
      <c r="AL4543" s="4">
        <v>45</v>
      </c>
      <c r="AM4543" s="4">
        <v>45</v>
      </c>
      <c r="AN4543" s="4">
        <v>0</v>
      </c>
      <c r="AO4543" s="4">
        <v>0</v>
      </c>
      <c r="AP4543" s="4">
        <v>15</v>
      </c>
      <c r="AQ4543" s="4">
        <v>18</v>
      </c>
      <c r="AR4543" s="3" t="s">
        <v>62</v>
      </c>
      <c r="AS4543" s="3" t="s">
        <v>62</v>
      </c>
      <c r="AT4543" s="3" t="s">
        <v>62</v>
      </c>
      <c r="AV4543" s="6" t="str">
        <f>HYPERLINK("http://mcgill.on.worldcat.org/oclc/861211769","Catalog Record")</f>
        <v>Catalog Record</v>
      </c>
      <c r="AW4543" s="6" t="str">
        <f>HYPERLINK("http://www.worldcat.org/oclc/861211769","WorldCat Record")</f>
        <v>WorldCat Record</v>
      </c>
      <c r="AX4543" s="3" t="s">
        <v>43395</v>
      </c>
      <c r="AY4543" s="3" t="s">
        <v>43396</v>
      </c>
      <c r="AZ4543" s="3" t="s">
        <v>43397</v>
      </c>
      <c r="BA4543" s="3" t="s">
        <v>43397</v>
      </c>
      <c r="BB4543" s="3" t="s">
        <v>43398</v>
      </c>
      <c r="BC4543" s="3" t="s">
        <v>142</v>
      </c>
      <c r="BD4543" s="3" t="s">
        <v>68</v>
      </c>
      <c r="BE4543" s="3" t="s">
        <v>43399</v>
      </c>
      <c r="BF4543" s="3" t="s">
        <v>43398</v>
      </c>
      <c r="BG4543" s="3" t="s">
        <v>43400</v>
      </c>
    </row>
    <row r="4544" spans="1:59" ht="57" x14ac:dyDescent="0.45">
      <c r="A4544" s="2" t="s">
        <v>59</v>
      </c>
      <c r="B4544" s="2" t="s">
        <v>60</v>
      </c>
      <c r="C4544" s="2" t="s">
        <v>43401</v>
      </c>
      <c r="D4544" s="2" t="s">
        <v>43402</v>
      </c>
      <c r="E4544" s="2" t="s">
        <v>43403</v>
      </c>
      <c r="G4544" s="3" t="s">
        <v>62</v>
      </c>
      <c r="I4544" s="3" t="s">
        <v>62</v>
      </c>
      <c r="J4544" s="3" t="s">
        <v>62</v>
      </c>
      <c r="K4544" s="3" t="s">
        <v>63</v>
      </c>
      <c r="M4544" s="2" t="s">
        <v>14372</v>
      </c>
      <c r="N4544" s="3" t="s">
        <v>84</v>
      </c>
      <c r="P4544" s="3" t="s">
        <v>65</v>
      </c>
      <c r="Q4544" s="2" t="s">
        <v>3610</v>
      </c>
      <c r="R4544" s="3" t="s">
        <v>66</v>
      </c>
      <c r="S4544" s="4">
        <v>16</v>
      </c>
      <c r="T4544" s="4">
        <v>16</v>
      </c>
      <c r="U4544" s="5" t="s">
        <v>7076</v>
      </c>
      <c r="V4544" s="5" t="s">
        <v>7076</v>
      </c>
      <c r="W4544" s="5" t="s">
        <v>67</v>
      </c>
      <c r="X4544" s="5" t="s">
        <v>67</v>
      </c>
      <c r="Y4544" s="4">
        <v>344</v>
      </c>
      <c r="Z4544" s="4">
        <v>23</v>
      </c>
      <c r="AA4544" s="4">
        <v>31</v>
      </c>
      <c r="AB4544" s="4">
        <v>2</v>
      </c>
      <c r="AC4544" s="4">
        <v>8</v>
      </c>
      <c r="AD4544" s="4">
        <v>93</v>
      </c>
      <c r="AE4544" s="4">
        <v>100</v>
      </c>
      <c r="AF4544" s="4">
        <v>1</v>
      </c>
      <c r="AG4544" s="4">
        <v>4</v>
      </c>
      <c r="AH4544" s="4">
        <v>82</v>
      </c>
      <c r="AI4544" s="4">
        <v>86</v>
      </c>
      <c r="AJ4544" s="4">
        <v>16</v>
      </c>
      <c r="AK4544" s="4">
        <v>20</v>
      </c>
      <c r="AL4544" s="4">
        <v>50</v>
      </c>
      <c r="AM4544" s="4">
        <v>50</v>
      </c>
      <c r="AN4544" s="4">
        <v>0</v>
      </c>
      <c r="AO4544" s="4">
        <v>0</v>
      </c>
      <c r="AP4544" s="4">
        <v>19</v>
      </c>
      <c r="AQ4544" s="4">
        <v>23</v>
      </c>
      <c r="AR4544" s="3" t="s">
        <v>62</v>
      </c>
      <c r="AS4544" s="3" t="s">
        <v>62</v>
      </c>
      <c r="AT4544" s="3" t="s">
        <v>62</v>
      </c>
      <c r="AV4544" s="6" t="str">
        <f>HYPERLINK("http://mcgill.on.worldcat.org/oclc/24374591","Catalog Record")</f>
        <v>Catalog Record</v>
      </c>
      <c r="AW4544" s="6" t="str">
        <f>HYPERLINK("http://www.worldcat.org/oclc/24374591","WorldCat Record")</f>
        <v>WorldCat Record</v>
      </c>
      <c r="AX4544" s="3" t="s">
        <v>43404</v>
      </c>
      <c r="AY4544" s="3" t="s">
        <v>43405</v>
      </c>
      <c r="AZ4544" s="3" t="s">
        <v>43406</v>
      </c>
      <c r="BA4544" s="3" t="s">
        <v>43406</v>
      </c>
      <c r="BB4544" s="3" t="s">
        <v>43407</v>
      </c>
      <c r="BC4544" s="3" t="s">
        <v>142</v>
      </c>
      <c r="BD4544" s="3" t="s">
        <v>68</v>
      </c>
      <c r="BE4544" s="3" t="s">
        <v>43408</v>
      </c>
      <c r="BF4544" s="3" t="s">
        <v>43407</v>
      </c>
      <c r="BG4544" s="3" t="s">
        <v>43409</v>
      </c>
    </row>
    <row r="4545" spans="1:59" ht="57" x14ac:dyDescent="0.45">
      <c r="A4545" s="2" t="s">
        <v>59</v>
      </c>
      <c r="B4545" s="2" t="s">
        <v>60</v>
      </c>
      <c r="C4545" s="2" t="s">
        <v>43410</v>
      </c>
      <c r="D4545" s="2" t="s">
        <v>43411</v>
      </c>
      <c r="E4545" s="2" t="s">
        <v>43412</v>
      </c>
      <c r="G4545" s="3" t="s">
        <v>62</v>
      </c>
      <c r="I4545" s="3" t="s">
        <v>62</v>
      </c>
      <c r="J4545" s="3" t="s">
        <v>62</v>
      </c>
      <c r="K4545" s="3" t="s">
        <v>63</v>
      </c>
      <c r="L4545" s="2" t="s">
        <v>43413</v>
      </c>
      <c r="M4545" s="2" t="s">
        <v>31738</v>
      </c>
      <c r="N4545" s="3" t="s">
        <v>1239</v>
      </c>
      <c r="P4545" s="3" t="s">
        <v>65</v>
      </c>
      <c r="R4545" s="3" t="s">
        <v>66</v>
      </c>
      <c r="S4545" s="4">
        <v>5</v>
      </c>
      <c r="T4545" s="4">
        <v>5</v>
      </c>
      <c r="U4545" s="5" t="s">
        <v>13083</v>
      </c>
      <c r="V4545" s="5" t="s">
        <v>13083</v>
      </c>
      <c r="W4545" s="5" t="s">
        <v>67</v>
      </c>
      <c r="X4545" s="5" t="s">
        <v>67</v>
      </c>
      <c r="Y4545" s="4">
        <v>198</v>
      </c>
      <c r="Z4545" s="4">
        <v>18</v>
      </c>
      <c r="AA4545" s="4">
        <v>22</v>
      </c>
      <c r="AB4545" s="4">
        <v>1</v>
      </c>
      <c r="AC4545" s="4">
        <v>4</v>
      </c>
      <c r="AD4545" s="4">
        <v>90</v>
      </c>
      <c r="AE4545" s="4">
        <v>96</v>
      </c>
      <c r="AF4545" s="4">
        <v>0</v>
      </c>
      <c r="AG4545" s="4">
        <v>2</v>
      </c>
      <c r="AH4545" s="4">
        <v>81</v>
      </c>
      <c r="AI4545" s="4">
        <v>85</v>
      </c>
      <c r="AJ4545" s="4">
        <v>14</v>
      </c>
      <c r="AK4545" s="4">
        <v>16</v>
      </c>
      <c r="AL4545" s="4">
        <v>48</v>
      </c>
      <c r="AM4545" s="4">
        <v>49</v>
      </c>
      <c r="AN4545" s="4">
        <v>0</v>
      </c>
      <c r="AO4545" s="4">
        <v>0</v>
      </c>
      <c r="AP4545" s="4">
        <v>16</v>
      </c>
      <c r="AQ4545" s="4">
        <v>18</v>
      </c>
      <c r="AR4545" s="3" t="s">
        <v>62</v>
      </c>
      <c r="AS4545" s="3" t="s">
        <v>62</v>
      </c>
      <c r="AT4545" s="3" t="s">
        <v>62</v>
      </c>
      <c r="AV4545" s="6" t="str">
        <f>HYPERLINK("http://mcgill.on.worldcat.org/oclc/20454201","Catalog Record")</f>
        <v>Catalog Record</v>
      </c>
      <c r="AW4545" s="6" t="str">
        <f>HYPERLINK("http://www.worldcat.org/oclc/20454201","WorldCat Record")</f>
        <v>WorldCat Record</v>
      </c>
      <c r="AX4545" s="3" t="s">
        <v>43414</v>
      </c>
      <c r="AY4545" s="3" t="s">
        <v>43415</v>
      </c>
      <c r="AZ4545" s="3" t="s">
        <v>43416</v>
      </c>
      <c r="BA4545" s="3" t="s">
        <v>43416</v>
      </c>
      <c r="BB4545" s="3" t="s">
        <v>43417</v>
      </c>
      <c r="BC4545" s="3" t="s">
        <v>142</v>
      </c>
      <c r="BD4545" s="3" t="s">
        <v>68</v>
      </c>
      <c r="BE4545" s="3" t="s">
        <v>43418</v>
      </c>
      <c r="BF4545" s="3" t="s">
        <v>43417</v>
      </c>
      <c r="BG4545" s="3" t="s">
        <v>43419</v>
      </c>
    </row>
    <row r="4546" spans="1:59" ht="57" x14ac:dyDescent="0.45">
      <c r="A4546" s="2" t="s">
        <v>59</v>
      </c>
      <c r="B4546" s="2" t="s">
        <v>60</v>
      </c>
      <c r="C4546" s="2" t="s">
        <v>43420</v>
      </c>
      <c r="D4546" s="2" t="s">
        <v>43421</v>
      </c>
      <c r="E4546" s="2" t="s">
        <v>43422</v>
      </c>
      <c r="G4546" s="3" t="s">
        <v>62</v>
      </c>
      <c r="I4546" s="3" t="s">
        <v>62</v>
      </c>
      <c r="J4546" s="3" t="s">
        <v>62</v>
      </c>
      <c r="K4546" s="3" t="s">
        <v>63</v>
      </c>
      <c r="L4546" s="2" t="s">
        <v>43423</v>
      </c>
      <c r="M4546" s="2" t="s">
        <v>43424</v>
      </c>
      <c r="N4546" s="3" t="s">
        <v>583</v>
      </c>
      <c r="P4546" s="3" t="s">
        <v>65</v>
      </c>
      <c r="Q4546" s="2" t="s">
        <v>43425</v>
      </c>
      <c r="R4546" s="3" t="s">
        <v>66</v>
      </c>
      <c r="S4546" s="4">
        <v>17</v>
      </c>
      <c r="T4546" s="4">
        <v>17</v>
      </c>
      <c r="U4546" s="5" t="s">
        <v>822</v>
      </c>
      <c r="V4546" s="5" t="s">
        <v>822</v>
      </c>
      <c r="W4546" s="5" t="s">
        <v>67</v>
      </c>
      <c r="X4546" s="5" t="s">
        <v>67</v>
      </c>
      <c r="Y4546" s="4">
        <v>571</v>
      </c>
      <c r="Z4546" s="4">
        <v>40</v>
      </c>
      <c r="AA4546" s="4">
        <v>43</v>
      </c>
      <c r="AB4546" s="4">
        <v>4</v>
      </c>
      <c r="AC4546" s="4">
        <v>7</v>
      </c>
      <c r="AD4546" s="4">
        <v>129</v>
      </c>
      <c r="AE4546" s="4">
        <v>132</v>
      </c>
      <c r="AF4546" s="4">
        <v>2</v>
      </c>
      <c r="AG4546" s="4">
        <v>5</v>
      </c>
      <c r="AH4546" s="4">
        <v>107</v>
      </c>
      <c r="AI4546" s="4">
        <v>108</v>
      </c>
      <c r="AJ4546" s="4">
        <v>20</v>
      </c>
      <c r="AK4546" s="4">
        <v>23</v>
      </c>
      <c r="AL4546" s="4">
        <v>56</v>
      </c>
      <c r="AM4546" s="4">
        <v>56</v>
      </c>
      <c r="AN4546" s="4">
        <v>0</v>
      </c>
      <c r="AO4546" s="4">
        <v>0</v>
      </c>
      <c r="AP4546" s="4">
        <v>31</v>
      </c>
      <c r="AQ4546" s="4">
        <v>33</v>
      </c>
      <c r="AR4546" s="3" t="s">
        <v>62</v>
      </c>
      <c r="AS4546" s="3" t="s">
        <v>62</v>
      </c>
      <c r="AT4546" s="3" t="s">
        <v>61</v>
      </c>
      <c r="AU4546" s="6" t="str">
        <f>HYPERLINK("http://catalog.hathitrust.org/Record/000733032","HathiTrust Record")</f>
        <v>HathiTrust Record</v>
      </c>
      <c r="AV4546" s="6" t="str">
        <f>HYPERLINK("http://mcgill.on.worldcat.org/oclc/4194554","Catalog Record")</f>
        <v>Catalog Record</v>
      </c>
      <c r="AW4546" s="6" t="str">
        <f>HYPERLINK("http://www.worldcat.org/oclc/4194554","WorldCat Record")</f>
        <v>WorldCat Record</v>
      </c>
      <c r="AX4546" s="3" t="s">
        <v>43426</v>
      </c>
      <c r="AY4546" s="3" t="s">
        <v>43427</v>
      </c>
      <c r="AZ4546" s="3" t="s">
        <v>43428</v>
      </c>
      <c r="BA4546" s="3" t="s">
        <v>43428</v>
      </c>
      <c r="BB4546" s="3" t="s">
        <v>43429</v>
      </c>
      <c r="BC4546" s="3" t="s">
        <v>142</v>
      </c>
      <c r="BD4546" s="3" t="s">
        <v>68</v>
      </c>
      <c r="BE4546" s="3" t="s">
        <v>43430</v>
      </c>
      <c r="BF4546" s="3" t="s">
        <v>43429</v>
      </c>
      <c r="BG4546" s="3" t="s">
        <v>43431</v>
      </c>
    </row>
    <row r="4547" spans="1:59" ht="57" x14ac:dyDescent="0.45">
      <c r="A4547" s="2" t="s">
        <v>59</v>
      </c>
      <c r="B4547" s="2" t="s">
        <v>60</v>
      </c>
      <c r="C4547" s="2" t="s">
        <v>43432</v>
      </c>
      <c r="D4547" s="2" t="s">
        <v>43433</v>
      </c>
      <c r="E4547" s="2" t="s">
        <v>43434</v>
      </c>
      <c r="G4547" s="3" t="s">
        <v>62</v>
      </c>
      <c r="I4547" s="3" t="s">
        <v>62</v>
      </c>
      <c r="J4547" s="3" t="s">
        <v>62</v>
      </c>
      <c r="K4547" s="3" t="s">
        <v>63</v>
      </c>
      <c r="M4547" s="2" t="s">
        <v>2786</v>
      </c>
      <c r="N4547" s="3" t="s">
        <v>945</v>
      </c>
      <c r="P4547" s="3" t="s">
        <v>65</v>
      </c>
      <c r="Q4547" s="2" t="s">
        <v>43435</v>
      </c>
      <c r="R4547" s="3" t="s">
        <v>66</v>
      </c>
      <c r="S4547" s="4">
        <v>1</v>
      </c>
      <c r="T4547" s="4">
        <v>1</v>
      </c>
      <c r="U4547" s="5" t="s">
        <v>39295</v>
      </c>
      <c r="V4547" s="5" t="s">
        <v>39295</v>
      </c>
      <c r="W4547" s="5" t="s">
        <v>67</v>
      </c>
      <c r="X4547" s="5" t="s">
        <v>67</v>
      </c>
      <c r="Y4547" s="4">
        <v>106</v>
      </c>
      <c r="Z4547" s="4">
        <v>10</v>
      </c>
      <c r="AA4547" s="4">
        <v>97</v>
      </c>
      <c r="AB4547" s="4">
        <v>1</v>
      </c>
      <c r="AC4547" s="4">
        <v>17</v>
      </c>
      <c r="AD4547" s="4">
        <v>45</v>
      </c>
      <c r="AE4547" s="4">
        <v>118</v>
      </c>
      <c r="AF4547" s="4">
        <v>0</v>
      </c>
      <c r="AG4547" s="4">
        <v>8</v>
      </c>
      <c r="AH4547" s="4">
        <v>40</v>
      </c>
      <c r="AI4547" s="4">
        <v>80</v>
      </c>
      <c r="AJ4547" s="4">
        <v>8</v>
      </c>
      <c r="AK4547" s="4">
        <v>23</v>
      </c>
      <c r="AL4547" s="4">
        <v>28</v>
      </c>
      <c r="AM4547" s="4">
        <v>43</v>
      </c>
      <c r="AN4547" s="4">
        <v>0</v>
      </c>
      <c r="AO4547" s="4">
        <v>0</v>
      </c>
      <c r="AP4547" s="4">
        <v>8</v>
      </c>
      <c r="AQ4547" s="4">
        <v>45</v>
      </c>
      <c r="AR4547" s="3" t="s">
        <v>62</v>
      </c>
      <c r="AS4547" s="3" t="s">
        <v>62</v>
      </c>
      <c r="AT4547" s="3" t="s">
        <v>62</v>
      </c>
      <c r="AV4547" s="6" t="str">
        <f>HYPERLINK("http://mcgill.on.worldcat.org/oclc/85162219","Catalog Record")</f>
        <v>Catalog Record</v>
      </c>
      <c r="AW4547" s="6" t="str">
        <f>HYPERLINK("http://www.worldcat.org/oclc/85162219","WorldCat Record")</f>
        <v>WorldCat Record</v>
      </c>
      <c r="AX4547" s="3" t="s">
        <v>43436</v>
      </c>
      <c r="AY4547" s="3" t="s">
        <v>43437</v>
      </c>
      <c r="AZ4547" s="3" t="s">
        <v>43438</v>
      </c>
      <c r="BA4547" s="3" t="s">
        <v>43438</v>
      </c>
      <c r="BB4547" s="3" t="s">
        <v>43439</v>
      </c>
      <c r="BC4547" s="3" t="s">
        <v>142</v>
      </c>
      <c r="BD4547" s="3" t="s">
        <v>68</v>
      </c>
      <c r="BE4547" s="3" t="s">
        <v>43440</v>
      </c>
      <c r="BF4547" s="3" t="s">
        <v>43439</v>
      </c>
      <c r="BG4547" s="3" t="s">
        <v>43441</v>
      </c>
    </row>
    <row r="4548" spans="1:59" ht="57" x14ac:dyDescent="0.45">
      <c r="A4548" s="2" t="s">
        <v>59</v>
      </c>
      <c r="B4548" s="2" t="s">
        <v>60</v>
      </c>
      <c r="C4548" s="2" t="s">
        <v>43442</v>
      </c>
      <c r="D4548" s="2" t="s">
        <v>43443</v>
      </c>
      <c r="E4548" s="2" t="s">
        <v>43444</v>
      </c>
      <c r="G4548" s="3" t="s">
        <v>62</v>
      </c>
      <c r="I4548" s="3" t="s">
        <v>62</v>
      </c>
      <c r="J4548" s="3" t="s">
        <v>62</v>
      </c>
      <c r="K4548" s="3" t="s">
        <v>63</v>
      </c>
      <c r="L4548" s="2" t="s">
        <v>2653</v>
      </c>
      <c r="M4548" s="2" t="s">
        <v>43445</v>
      </c>
      <c r="N4548" s="3" t="s">
        <v>1059</v>
      </c>
      <c r="O4548" s="2" t="s">
        <v>933</v>
      </c>
      <c r="P4548" s="3" t="s">
        <v>65</v>
      </c>
      <c r="R4548" s="3" t="s">
        <v>66</v>
      </c>
      <c r="S4548" s="4">
        <v>4</v>
      </c>
      <c r="T4548" s="4">
        <v>4</v>
      </c>
      <c r="U4548" s="5" t="s">
        <v>12304</v>
      </c>
      <c r="V4548" s="5" t="s">
        <v>12304</v>
      </c>
      <c r="W4548" s="5" t="s">
        <v>67</v>
      </c>
      <c r="X4548" s="5" t="s">
        <v>67</v>
      </c>
      <c r="Y4548" s="4">
        <v>187</v>
      </c>
      <c r="Z4548" s="4">
        <v>17</v>
      </c>
      <c r="AA4548" s="4">
        <v>27</v>
      </c>
      <c r="AB4548" s="4">
        <v>2</v>
      </c>
      <c r="AC4548" s="4">
        <v>5</v>
      </c>
      <c r="AD4548" s="4">
        <v>59</v>
      </c>
      <c r="AE4548" s="4">
        <v>94</v>
      </c>
      <c r="AF4548" s="4">
        <v>1</v>
      </c>
      <c r="AG4548" s="4">
        <v>2</v>
      </c>
      <c r="AH4548" s="4">
        <v>51</v>
      </c>
      <c r="AI4548" s="4">
        <v>81</v>
      </c>
      <c r="AJ4548" s="4">
        <v>13</v>
      </c>
      <c r="AK4548" s="4">
        <v>16</v>
      </c>
      <c r="AL4548" s="4">
        <v>28</v>
      </c>
      <c r="AM4548" s="4">
        <v>45</v>
      </c>
      <c r="AN4548" s="4">
        <v>0</v>
      </c>
      <c r="AO4548" s="4">
        <v>0</v>
      </c>
      <c r="AP4548" s="4">
        <v>15</v>
      </c>
      <c r="AQ4548" s="4">
        <v>21</v>
      </c>
      <c r="AR4548" s="3" t="s">
        <v>62</v>
      </c>
      <c r="AS4548" s="3" t="s">
        <v>62</v>
      </c>
      <c r="AT4548" s="3" t="s">
        <v>62</v>
      </c>
      <c r="AV4548" s="6" t="str">
        <f>HYPERLINK("http://mcgill.on.worldcat.org/oclc/70252138","Catalog Record")</f>
        <v>Catalog Record</v>
      </c>
      <c r="AW4548" s="6" t="str">
        <f>HYPERLINK("http://www.worldcat.org/oclc/70252138","WorldCat Record")</f>
        <v>WorldCat Record</v>
      </c>
      <c r="AX4548" s="3" t="s">
        <v>43446</v>
      </c>
      <c r="AY4548" s="3" t="s">
        <v>43447</v>
      </c>
      <c r="AZ4548" s="3" t="s">
        <v>43448</v>
      </c>
      <c r="BA4548" s="3" t="s">
        <v>43448</v>
      </c>
      <c r="BB4548" s="3" t="s">
        <v>43449</v>
      </c>
      <c r="BC4548" s="3" t="s">
        <v>142</v>
      </c>
      <c r="BD4548" s="3" t="s">
        <v>68</v>
      </c>
      <c r="BE4548" s="3" t="s">
        <v>43450</v>
      </c>
      <c r="BF4548" s="3" t="s">
        <v>43449</v>
      </c>
      <c r="BG4548" s="3" t="s">
        <v>43451</v>
      </c>
    </row>
    <row r="4549" spans="1:59" ht="57" x14ac:dyDescent="0.45">
      <c r="A4549" s="2" t="s">
        <v>59</v>
      </c>
      <c r="B4549" s="2" t="s">
        <v>60</v>
      </c>
      <c r="C4549" s="2" t="s">
        <v>43452</v>
      </c>
      <c r="D4549" s="2" t="s">
        <v>43453</v>
      </c>
      <c r="E4549" s="2" t="s">
        <v>43454</v>
      </c>
      <c r="G4549" s="3" t="s">
        <v>62</v>
      </c>
      <c r="I4549" s="3" t="s">
        <v>62</v>
      </c>
      <c r="J4549" s="3" t="s">
        <v>62</v>
      </c>
      <c r="K4549" s="3" t="s">
        <v>63</v>
      </c>
      <c r="L4549" s="2" t="s">
        <v>43455</v>
      </c>
      <c r="M4549" s="2" t="s">
        <v>43456</v>
      </c>
      <c r="N4549" s="3" t="s">
        <v>149</v>
      </c>
      <c r="P4549" s="3" t="s">
        <v>65</v>
      </c>
      <c r="R4549" s="3" t="s">
        <v>66</v>
      </c>
      <c r="S4549" s="4">
        <v>1</v>
      </c>
      <c r="T4549" s="4">
        <v>1</v>
      </c>
      <c r="U4549" s="5" t="s">
        <v>43457</v>
      </c>
      <c r="V4549" s="5" t="s">
        <v>43457</v>
      </c>
      <c r="W4549" s="5" t="s">
        <v>67</v>
      </c>
      <c r="X4549" s="5" t="s">
        <v>67</v>
      </c>
      <c r="Y4549" s="4">
        <v>47</v>
      </c>
      <c r="Z4549" s="4">
        <v>13</v>
      </c>
      <c r="AA4549" s="4">
        <v>13</v>
      </c>
      <c r="AB4549" s="4">
        <v>1</v>
      </c>
      <c r="AC4549" s="4">
        <v>1</v>
      </c>
      <c r="AD4549" s="4">
        <v>26</v>
      </c>
      <c r="AE4549" s="4">
        <v>26</v>
      </c>
      <c r="AF4549" s="4">
        <v>0</v>
      </c>
      <c r="AG4549" s="4">
        <v>0</v>
      </c>
      <c r="AH4549" s="4">
        <v>22</v>
      </c>
      <c r="AI4549" s="4">
        <v>22</v>
      </c>
      <c r="AJ4549" s="4">
        <v>9</v>
      </c>
      <c r="AK4549" s="4">
        <v>9</v>
      </c>
      <c r="AL4549" s="4">
        <v>15</v>
      </c>
      <c r="AM4549" s="4">
        <v>15</v>
      </c>
      <c r="AN4549" s="4">
        <v>0</v>
      </c>
      <c r="AO4549" s="4">
        <v>0</v>
      </c>
      <c r="AP4549" s="4">
        <v>10</v>
      </c>
      <c r="AQ4549" s="4">
        <v>10</v>
      </c>
      <c r="AR4549" s="3" t="s">
        <v>62</v>
      </c>
      <c r="AS4549" s="3" t="s">
        <v>62</v>
      </c>
      <c r="AT4549" s="3" t="s">
        <v>62</v>
      </c>
      <c r="AV4549" s="6" t="str">
        <f>HYPERLINK("http://mcgill.on.worldcat.org/oclc/499059725","Catalog Record")</f>
        <v>Catalog Record</v>
      </c>
      <c r="AW4549" s="6" t="str">
        <f>HYPERLINK("http://www.worldcat.org/oclc/499059725","WorldCat Record")</f>
        <v>WorldCat Record</v>
      </c>
      <c r="AX4549" s="3" t="s">
        <v>43458</v>
      </c>
      <c r="AY4549" s="3" t="s">
        <v>43459</v>
      </c>
      <c r="AZ4549" s="3" t="s">
        <v>43460</v>
      </c>
      <c r="BA4549" s="3" t="s">
        <v>43460</v>
      </c>
      <c r="BB4549" s="3" t="s">
        <v>43461</v>
      </c>
      <c r="BC4549" s="3" t="s">
        <v>142</v>
      </c>
      <c r="BD4549" s="3" t="s">
        <v>68</v>
      </c>
      <c r="BE4549" s="3" t="s">
        <v>43462</v>
      </c>
      <c r="BF4549" s="3" t="s">
        <v>43461</v>
      </c>
      <c r="BG4549" s="3" t="s">
        <v>43463</v>
      </c>
    </row>
    <row r="4550" spans="1:59" ht="57" x14ac:dyDescent="0.45">
      <c r="A4550" s="2" t="s">
        <v>59</v>
      </c>
      <c r="B4550" s="2" t="s">
        <v>60</v>
      </c>
      <c r="C4550" s="2" t="s">
        <v>43464</v>
      </c>
      <c r="D4550" s="2" t="s">
        <v>43465</v>
      </c>
      <c r="E4550" s="2" t="s">
        <v>43466</v>
      </c>
      <c r="G4550" s="3" t="s">
        <v>62</v>
      </c>
      <c r="I4550" s="3" t="s">
        <v>62</v>
      </c>
      <c r="J4550" s="3" t="s">
        <v>62</v>
      </c>
      <c r="K4550" s="3" t="s">
        <v>63</v>
      </c>
      <c r="L4550" s="2" t="s">
        <v>43467</v>
      </c>
      <c r="M4550" s="2" t="s">
        <v>9379</v>
      </c>
      <c r="N4550" s="3" t="s">
        <v>1212</v>
      </c>
      <c r="P4550" s="3" t="s">
        <v>65</v>
      </c>
      <c r="Q4550" s="2" t="s">
        <v>43468</v>
      </c>
      <c r="R4550" s="3" t="s">
        <v>66</v>
      </c>
      <c r="S4550" s="4">
        <v>19</v>
      </c>
      <c r="T4550" s="4">
        <v>19</v>
      </c>
      <c r="U4550" s="5" t="s">
        <v>43469</v>
      </c>
      <c r="V4550" s="5" t="s">
        <v>43469</v>
      </c>
      <c r="W4550" s="5" t="s">
        <v>67</v>
      </c>
      <c r="X4550" s="5" t="s">
        <v>67</v>
      </c>
      <c r="Y4550" s="4">
        <v>174</v>
      </c>
      <c r="Z4550" s="4">
        <v>15</v>
      </c>
      <c r="AA4550" s="4">
        <v>105</v>
      </c>
      <c r="AB4550" s="4">
        <v>1</v>
      </c>
      <c r="AC4550" s="4">
        <v>19</v>
      </c>
      <c r="AD4550" s="4">
        <v>81</v>
      </c>
      <c r="AE4550" s="4">
        <v>144</v>
      </c>
      <c r="AF4550" s="4">
        <v>0</v>
      </c>
      <c r="AG4550" s="4">
        <v>9</v>
      </c>
      <c r="AH4550" s="4">
        <v>72</v>
      </c>
      <c r="AI4550" s="4">
        <v>96</v>
      </c>
      <c r="AJ4550" s="4">
        <v>12</v>
      </c>
      <c r="AK4550" s="4">
        <v>27</v>
      </c>
      <c r="AL4550" s="4">
        <v>48</v>
      </c>
      <c r="AM4550" s="4">
        <v>54</v>
      </c>
      <c r="AN4550" s="4">
        <v>0</v>
      </c>
      <c r="AO4550" s="4">
        <v>0</v>
      </c>
      <c r="AP4550" s="4">
        <v>13</v>
      </c>
      <c r="AQ4550" s="4">
        <v>56</v>
      </c>
      <c r="AR4550" s="3" t="s">
        <v>62</v>
      </c>
      <c r="AS4550" s="3" t="s">
        <v>62</v>
      </c>
      <c r="AT4550" s="3" t="s">
        <v>61</v>
      </c>
      <c r="AU4550" s="6" t="str">
        <f>HYPERLINK("http://catalog.hathitrust.org/Record/004098532","HathiTrust Record")</f>
        <v>HathiTrust Record</v>
      </c>
      <c r="AV4550" s="6" t="str">
        <f>HYPERLINK("http://mcgill.on.worldcat.org/oclc/42911944","Catalog Record")</f>
        <v>Catalog Record</v>
      </c>
      <c r="AW4550" s="6" t="str">
        <f>HYPERLINK("http://www.worldcat.org/oclc/42911944","WorldCat Record")</f>
        <v>WorldCat Record</v>
      </c>
      <c r="AX4550" s="3" t="s">
        <v>43470</v>
      </c>
      <c r="AY4550" s="3" t="s">
        <v>43471</v>
      </c>
      <c r="AZ4550" s="3" t="s">
        <v>43472</v>
      </c>
      <c r="BA4550" s="3" t="s">
        <v>43472</v>
      </c>
      <c r="BB4550" s="3" t="s">
        <v>43473</v>
      </c>
      <c r="BC4550" s="3" t="s">
        <v>142</v>
      </c>
      <c r="BD4550" s="3" t="s">
        <v>68</v>
      </c>
      <c r="BE4550" s="3" t="s">
        <v>43474</v>
      </c>
      <c r="BF4550" s="3" t="s">
        <v>43473</v>
      </c>
      <c r="BG4550" s="3" t="s">
        <v>43475</v>
      </c>
    </row>
    <row r="4551" spans="1:59" ht="57" x14ac:dyDescent="0.45">
      <c r="A4551" s="2" t="s">
        <v>59</v>
      </c>
      <c r="B4551" s="2" t="s">
        <v>60</v>
      </c>
      <c r="C4551" s="2" t="s">
        <v>43476</v>
      </c>
      <c r="D4551" s="2" t="s">
        <v>43477</v>
      </c>
      <c r="E4551" s="2" t="s">
        <v>43478</v>
      </c>
      <c r="G4551" s="3" t="s">
        <v>62</v>
      </c>
      <c r="I4551" s="3" t="s">
        <v>62</v>
      </c>
      <c r="J4551" s="3" t="s">
        <v>62</v>
      </c>
      <c r="K4551" s="3" t="s">
        <v>63</v>
      </c>
      <c r="L4551" s="2" t="s">
        <v>28636</v>
      </c>
      <c r="M4551" s="2" t="s">
        <v>43479</v>
      </c>
      <c r="N4551" s="3" t="s">
        <v>1253</v>
      </c>
      <c r="O4551" s="2" t="s">
        <v>43055</v>
      </c>
      <c r="P4551" s="3" t="s">
        <v>182</v>
      </c>
      <c r="Q4551" s="2" t="s">
        <v>43480</v>
      </c>
      <c r="R4551" s="3" t="s">
        <v>66</v>
      </c>
      <c r="S4551" s="4">
        <v>3</v>
      </c>
      <c r="T4551" s="4">
        <v>3</v>
      </c>
      <c r="U4551" s="5" t="s">
        <v>400</v>
      </c>
      <c r="V4551" s="5" t="s">
        <v>400</v>
      </c>
      <c r="W4551" s="5" t="s">
        <v>67</v>
      </c>
      <c r="X4551" s="5" t="s">
        <v>67</v>
      </c>
      <c r="Y4551" s="4">
        <v>89</v>
      </c>
      <c r="Z4551" s="4">
        <v>6</v>
      </c>
      <c r="AA4551" s="4">
        <v>8</v>
      </c>
      <c r="AB4551" s="4">
        <v>1</v>
      </c>
      <c r="AC4551" s="4">
        <v>1</v>
      </c>
      <c r="AD4551" s="4">
        <v>37</v>
      </c>
      <c r="AE4551" s="4">
        <v>40</v>
      </c>
      <c r="AF4551" s="4">
        <v>0</v>
      </c>
      <c r="AG4551" s="4">
        <v>0</v>
      </c>
      <c r="AH4551" s="4">
        <v>34</v>
      </c>
      <c r="AI4551" s="4">
        <v>37</v>
      </c>
      <c r="AJ4551" s="4">
        <v>4</v>
      </c>
      <c r="AK4551" s="4">
        <v>6</v>
      </c>
      <c r="AL4551" s="4">
        <v>26</v>
      </c>
      <c r="AM4551" s="4">
        <v>26</v>
      </c>
      <c r="AN4551" s="4">
        <v>0</v>
      </c>
      <c r="AO4551" s="4">
        <v>0</v>
      </c>
      <c r="AP4551" s="4">
        <v>4</v>
      </c>
      <c r="AQ4551" s="4">
        <v>6</v>
      </c>
      <c r="AR4551" s="3" t="s">
        <v>62</v>
      </c>
      <c r="AS4551" s="3" t="s">
        <v>62</v>
      </c>
      <c r="AT4551" s="3" t="s">
        <v>62</v>
      </c>
      <c r="AV4551" s="6" t="str">
        <f>HYPERLINK("http://mcgill.on.worldcat.org/oclc/37935858","Catalog Record")</f>
        <v>Catalog Record</v>
      </c>
      <c r="AW4551" s="6" t="str">
        <f>HYPERLINK("http://www.worldcat.org/oclc/37935858","WorldCat Record")</f>
        <v>WorldCat Record</v>
      </c>
      <c r="AX4551" s="3" t="s">
        <v>43481</v>
      </c>
      <c r="AY4551" s="3" t="s">
        <v>43482</v>
      </c>
      <c r="AZ4551" s="3" t="s">
        <v>43483</v>
      </c>
      <c r="BA4551" s="3" t="s">
        <v>43483</v>
      </c>
      <c r="BB4551" s="3" t="s">
        <v>43484</v>
      </c>
      <c r="BC4551" s="3" t="s">
        <v>142</v>
      </c>
      <c r="BD4551" s="3" t="s">
        <v>68</v>
      </c>
      <c r="BE4551" s="3" t="s">
        <v>43485</v>
      </c>
      <c r="BF4551" s="3" t="s">
        <v>43484</v>
      </c>
      <c r="BG4551" s="3" t="s">
        <v>43486</v>
      </c>
    </row>
    <row r="4552" spans="1:59" ht="71.25" x14ac:dyDescent="0.45">
      <c r="A4552" s="2" t="s">
        <v>59</v>
      </c>
      <c r="B4552" s="2" t="s">
        <v>60</v>
      </c>
      <c r="C4552" s="2" t="s">
        <v>43487</v>
      </c>
      <c r="D4552" s="2" t="s">
        <v>43488</v>
      </c>
      <c r="E4552" s="2" t="s">
        <v>43489</v>
      </c>
      <c r="G4552" s="3" t="s">
        <v>62</v>
      </c>
      <c r="I4552" s="3" t="s">
        <v>62</v>
      </c>
      <c r="J4552" s="3" t="s">
        <v>62</v>
      </c>
      <c r="K4552" s="3" t="s">
        <v>63</v>
      </c>
      <c r="M4552" s="2" t="s">
        <v>3184</v>
      </c>
      <c r="N4552" s="3" t="s">
        <v>125</v>
      </c>
      <c r="P4552" s="3" t="s">
        <v>65</v>
      </c>
      <c r="R4552" s="3" t="s">
        <v>66</v>
      </c>
      <c r="S4552" s="4">
        <v>15</v>
      </c>
      <c r="T4552" s="4">
        <v>15</v>
      </c>
      <c r="U4552" s="5" t="s">
        <v>24552</v>
      </c>
      <c r="V4552" s="5" t="s">
        <v>24552</v>
      </c>
      <c r="W4552" s="5" t="s">
        <v>67</v>
      </c>
      <c r="X4552" s="5" t="s">
        <v>67</v>
      </c>
      <c r="Y4552" s="4">
        <v>168</v>
      </c>
      <c r="Z4552" s="4">
        <v>16</v>
      </c>
      <c r="AA4552" s="4">
        <v>20</v>
      </c>
      <c r="AB4552" s="4">
        <v>2</v>
      </c>
      <c r="AC4552" s="4">
        <v>6</v>
      </c>
      <c r="AD4552" s="4">
        <v>67</v>
      </c>
      <c r="AE4552" s="4">
        <v>69</v>
      </c>
      <c r="AF4552" s="4">
        <v>0</v>
      </c>
      <c r="AG4552" s="4">
        <v>2</v>
      </c>
      <c r="AH4552" s="4">
        <v>61</v>
      </c>
      <c r="AI4552" s="4">
        <v>62</v>
      </c>
      <c r="AJ4552" s="4">
        <v>12</v>
      </c>
      <c r="AK4552" s="4">
        <v>14</v>
      </c>
      <c r="AL4552" s="4">
        <v>40</v>
      </c>
      <c r="AM4552" s="4">
        <v>40</v>
      </c>
      <c r="AN4552" s="4">
        <v>0</v>
      </c>
      <c r="AO4552" s="4">
        <v>0</v>
      </c>
      <c r="AP4552" s="4">
        <v>13</v>
      </c>
      <c r="AQ4552" s="4">
        <v>14</v>
      </c>
      <c r="AR4552" s="3" t="s">
        <v>62</v>
      </c>
      <c r="AS4552" s="3" t="s">
        <v>62</v>
      </c>
      <c r="AT4552" s="3" t="s">
        <v>62</v>
      </c>
      <c r="AV4552" s="6" t="str">
        <f>HYPERLINK("http://mcgill.on.worldcat.org/oclc/20296412","Catalog Record")</f>
        <v>Catalog Record</v>
      </c>
      <c r="AW4552" s="6" t="str">
        <f>HYPERLINK("http://www.worldcat.org/oclc/20296412","WorldCat Record")</f>
        <v>WorldCat Record</v>
      </c>
      <c r="AX4552" s="3" t="s">
        <v>43490</v>
      </c>
      <c r="AY4552" s="3" t="s">
        <v>43491</v>
      </c>
      <c r="AZ4552" s="3" t="s">
        <v>43492</v>
      </c>
      <c r="BA4552" s="3" t="s">
        <v>43492</v>
      </c>
      <c r="BB4552" s="3" t="s">
        <v>43493</v>
      </c>
      <c r="BC4552" s="3" t="s">
        <v>142</v>
      </c>
      <c r="BD4552" s="3" t="s">
        <v>68</v>
      </c>
      <c r="BE4552" s="3" t="s">
        <v>43494</v>
      </c>
      <c r="BF4552" s="3" t="s">
        <v>43493</v>
      </c>
      <c r="BG4552" s="3" t="s">
        <v>43495</v>
      </c>
    </row>
    <row r="4553" spans="1:59" ht="57" x14ac:dyDescent="0.45">
      <c r="A4553" s="2" t="s">
        <v>59</v>
      </c>
      <c r="B4553" s="2" t="s">
        <v>60</v>
      </c>
      <c r="C4553" s="2" t="s">
        <v>43496</v>
      </c>
      <c r="D4553" s="2" t="s">
        <v>43497</v>
      </c>
      <c r="E4553" s="2" t="s">
        <v>43498</v>
      </c>
      <c r="G4553" s="3" t="s">
        <v>62</v>
      </c>
      <c r="I4553" s="3" t="s">
        <v>62</v>
      </c>
      <c r="J4553" s="3" t="s">
        <v>62</v>
      </c>
      <c r="K4553" s="3" t="s">
        <v>63</v>
      </c>
      <c r="M4553" s="2" t="s">
        <v>43499</v>
      </c>
      <c r="N4553" s="3" t="s">
        <v>1212</v>
      </c>
      <c r="P4553" s="3" t="s">
        <v>65</v>
      </c>
      <c r="Q4553" s="2" t="s">
        <v>43500</v>
      </c>
      <c r="R4553" s="3" t="s">
        <v>66</v>
      </c>
      <c r="S4553" s="4">
        <v>8</v>
      </c>
      <c r="T4553" s="4">
        <v>8</v>
      </c>
      <c r="U4553" s="5" t="s">
        <v>4546</v>
      </c>
      <c r="V4553" s="5" t="s">
        <v>4546</v>
      </c>
      <c r="W4553" s="5" t="s">
        <v>67</v>
      </c>
      <c r="X4553" s="5" t="s">
        <v>67</v>
      </c>
      <c r="Y4553" s="4">
        <v>230</v>
      </c>
      <c r="Z4553" s="4">
        <v>19</v>
      </c>
      <c r="AA4553" s="4">
        <v>20</v>
      </c>
      <c r="AB4553" s="4">
        <v>1</v>
      </c>
      <c r="AC4553" s="4">
        <v>2</v>
      </c>
      <c r="AD4553" s="4">
        <v>100</v>
      </c>
      <c r="AE4553" s="4">
        <v>102</v>
      </c>
      <c r="AF4553" s="4">
        <v>0</v>
      </c>
      <c r="AG4553" s="4">
        <v>1</v>
      </c>
      <c r="AH4553" s="4">
        <v>91</v>
      </c>
      <c r="AI4553" s="4">
        <v>92</v>
      </c>
      <c r="AJ4553" s="4">
        <v>14</v>
      </c>
      <c r="AK4553" s="4">
        <v>15</v>
      </c>
      <c r="AL4553" s="4">
        <v>52</v>
      </c>
      <c r="AM4553" s="4">
        <v>53</v>
      </c>
      <c r="AN4553" s="4">
        <v>0</v>
      </c>
      <c r="AO4553" s="4">
        <v>0</v>
      </c>
      <c r="AP4553" s="4">
        <v>17</v>
      </c>
      <c r="AQ4553" s="4">
        <v>18</v>
      </c>
      <c r="AR4553" s="3" t="s">
        <v>62</v>
      </c>
      <c r="AS4553" s="3" t="s">
        <v>62</v>
      </c>
      <c r="AT4553" s="3" t="s">
        <v>62</v>
      </c>
      <c r="AV4553" s="6" t="str">
        <f>HYPERLINK("http://mcgill.on.worldcat.org/oclc/42619766","Catalog Record")</f>
        <v>Catalog Record</v>
      </c>
      <c r="AW4553" s="6" t="str">
        <f>HYPERLINK("http://www.worldcat.org/oclc/42619766","WorldCat Record")</f>
        <v>WorldCat Record</v>
      </c>
      <c r="AX4553" s="3" t="s">
        <v>43501</v>
      </c>
      <c r="AY4553" s="3" t="s">
        <v>43502</v>
      </c>
      <c r="AZ4553" s="3" t="s">
        <v>43503</v>
      </c>
      <c r="BA4553" s="3" t="s">
        <v>43503</v>
      </c>
      <c r="BB4553" s="3" t="s">
        <v>43504</v>
      </c>
      <c r="BC4553" s="3" t="s">
        <v>142</v>
      </c>
      <c r="BD4553" s="3" t="s">
        <v>68</v>
      </c>
      <c r="BE4553" s="3" t="s">
        <v>43505</v>
      </c>
      <c r="BF4553" s="3" t="s">
        <v>43504</v>
      </c>
      <c r="BG4553" s="3" t="s">
        <v>43506</v>
      </c>
    </row>
    <row r="4554" spans="1:59" ht="57" x14ac:dyDescent="0.45">
      <c r="A4554" s="2" t="s">
        <v>59</v>
      </c>
      <c r="B4554" s="2" t="s">
        <v>60</v>
      </c>
      <c r="C4554" s="2" t="s">
        <v>43507</v>
      </c>
      <c r="D4554" s="2" t="s">
        <v>43508</v>
      </c>
      <c r="E4554" s="2" t="s">
        <v>43509</v>
      </c>
      <c r="G4554" s="3" t="s">
        <v>62</v>
      </c>
      <c r="I4554" s="3" t="s">
        <v>62</v>
      </c>
      <c r="J4554" s="3" t="s">
        <v>61</v>
      </c>
      <c r="K4554" s="3" t="s">
        <v>63</v>
      </c>
      <c r="L4554" s="2" t="s">
        <v>43510</v>
      </c>
      <c r="M4554" s="2" t="s">
        <v>32778</v>
      </c>
      <c r="N4554" s="3" t="s">
        <v>918</v>
      </c>
      <c r="O4554" s="2" t="s">
        <v>906</v>
      </c>
      <c r="P4554" s="3" t="s">
        <v>65</v>
      </c>
      <c r="Q4554" s="2" t="s">
        <v>29906</v>
      </c>
      <c r="R4554" s="3" t="s">
        <v>66</v>
      </c>
      <c r="S4554" s="4">
        <v>11</v>
      </c>
      <c r="T4554" s="4">
        <v>11</v>
      </c>
      <c r="U4554" s="5" t="s">
        <v>25426</v>
      </c>
      <c r="V4554" s="5" t="s">
        <v>25426</v>
      </c>
      <c r="W4554" s="5" t="s">
        <v>67</v>
      </c>
      <c r="X4554" s="5" t="s">
        <v>67</v>
      </c>
      <c r="Y4554" s="4">
        <v>142</v>
      </c>
      <c r="Z4554" s="4">
        <v>13</v>
      </c>
      <c r="AA4554" s="4">
        <v>96</v>
      </c>
      <c r="AB4554" s="4">
        <v>2</v>
      </c>
      <c r="AC4554" s="4">
        <v>17</v>
      </c>
      <c r="AD4554" s="4">
        <v>46</v>
      </c>
      <c r="AE4554" s="4">
        <v>153</v>
      </c>
      <c r="AF4554" s="4">
        <v>1</v>
      </c>
      <c r="AG4554" s="4">
        <v>8</v>
      </c>
      <c r="AH4554" s="4">
        <v>39</v>
      </c>
      <c r="AI4554" s="4">
        <v>115</v>
      </c>
      <c r="AJ4554" s="4">
        <v>10</v>
      </c>
      <c r="AK4554" s="4">
        <v>27</v>
      </c>
      <c r="AL4554" s="4">
        <v>22</v>
      </c>
      <c r="AM4554" s="4">
        <v>60</v>
      </c>
      <c r="AN4554" s="4">
        <v>0</v>
      </c>
      <c r="AO4554" s="4">
        <v>0</v>
      </c>
      <c r="AP4554" s="4">
        <v>11</v>
      </c>
      <c r="AQ4554" s="4">
        <v>48</v>
      </c>
      <c r="AR4554" s="3" t="s">
        <v>62</v>
      </c>
      <c r="AS4554" s="3" t="s">
        <v>62</v>
      </c>
      <c r="AT4554" s="3" t="s">
        <v>62</v>
      </c>
      <c r="AV4554" s="6" t="str">
        <f>HYPERLINK("http://mcgill.on.worldcat.org/oclc/53231766","Catalog Record")</f>
        <v>Catalog Record</v>
      </c>
      <c r="AW4554" s="6" t="str">
        <f>HYPERLINK("http://www.worldcat.org/oclc/53231766","WorldCat Record")</f>
        <v>WorldCat Record</v>
      </c>
      <c r="AX4554" s="3" t="s">
        <v>43511</v>
      </c>
      <c r="AY4554" s="3" t="s">
        <v>43512</v>
      </c>
      <c r="AZ4554" s="3" t="s">
        <v>43513</v>
      </c>
      <c r="BA4554" s="3" t="s">
        <v>43513</v>
      </c>
      <c r="BB4554" s="3" t="s">
        <v>43514</v>
      </c>
      <c r="BC4554" s="3" t="s">
        <v>142</v>
      </c>
      <c r="BD4554" s="3" t="s">
        <v>308</v>
      </c>
      <c r="BE4554" s="3" t="s">
        <v>43515</v>
      </c>
      <c r="BF4554" s="3" t="s">
        <v>43514</v>
      </c>
      <c r="BG4554" s="3" t="s">
        <v>43516</v>
      </c>
    </row>
    <row r="4555" spans="1:59" ht="57" x14ac:dyDescent="0.45">
      <c r="A4555" s="2" t="s">
        <v>59</v>
      </c>
      <c r="B4555" s="2" t="s">
        <v>60</v>
      </c>
      <c r="C4555" s="2" t="s">
        <v>43517</v>
      </c>
      <c r="D4555" s="2" t="s">
        <v>43518</v>
      </c>
      <c r="E4555" s="2" t="s">
        <v>43519</v>
      </c>
      <c r="G4555" s="3" t="s">
        <v>62</v>
      </c>
      <c r="I4555" s="3" t="s">
        <v>62</v>
      </c>
      <c r="J4555" s="3" t="s">
        <v>62</v>
      </c>
      <c r="K4555" s="3" t="s">
        <v>63</v>
      </c>
      <c r="L4555" s="2" t="s">
        <v>43520</v>
      </c>
      <c r="M4555" s="2" t="s">
        <v>43521</v>
      </c>
      <c r="N4555" s="3" t="s">
        <v>208</v>
      </c>
      <c r="P4555" s="3" t="s">
        <v>65</v>
      </c>
      <c r="Q4555" s="2" t="s">
        <v>43522</v>
      </c>
      <c r="R4555" s="3" t="s">
        <v>66</v>
      </c>
      <c r="S4555" s="4">
        <v>1</v>
      </c>
      <c r="T4555" s="4">
        <v>1</v>
      </c>
      <c r="U4555" s="5" t="s">
        <v>43523</v>
      </c>
      <c r="V4555" s="5" t="s">
        <v>43523</v>
      </c>
      <c r="W4555" s="5" t="s">
        <v>67</v>
      </c>
      <c r="X4555" s="5" t="s">
        <v>67</v>
      </c>
      <c r="Y4555" s="4">
        <v>41</v>
      </c>
      <c r="Z4555" s="4">
        <v>7</v>
      </c>
      <c r="AA4555" s="4">
        <v>7</v>
      </c>
      <c r="AB4555" s="4">
        <v>1</v>
      </c>
      <c r="AC4555" s="4">
        <v>1</v>
      </c>
      <c r="AD4555" s="4">
        <v>16</v>
      </c>
      <c r="AE4555" s="4">
        <v>16</v>
      </c>
      <c r="AF4555" s="4">
        <v>0</v>
      </c>
      <c r="AG4555" s="4">
        <v>0</v>
      </c>
      <c r="AH4555" s="4">
        <v>14</v>
      </c>
      <c r="AI4555" s="4">
        <v>14</v>
      </c>
      <c r="AJ4555" s="4">
        <v>5</v>
      </c>
      <c r="AK4555" s="4">
        <v>5</v>
      </c>
      <c r="AL4555" s="4">
        <v>10</v>
      </c>
      <c r="AM4555" s="4">
        <v>10</v>
      </c>
      <c r="AN4555" s="4">
        <v>0</v>
      </c>
      <c r="AO4555" s="4">
        <v>0</v>
      </c>
      <c r="AP4555" s="4">
        <v>5</v>
      </c>
      <c r="AQ4555" s="4">
        <v>5</v>
      </c>
      <c r="AR4555" s="3" t="s">
        <v>62</v>
      </c>
      <c r="AS4555" s="3" t="s">
        <v>62</v>
      </c>
      <c r="AT4555" s="3" t="s">
        <v>62</v>
      </c>
      <c r="AV4555" s="6" t="str">
        <f>HYPERLINK("http://mcgill.on.worldcat.org/oclc/898533683","Catalog Record")</f>
        <v>Catalog Record</v>
      </c>
      <c r="AW4555" s="6" t="str">
        <f>HYPERLINK("http://www.worldcat.org/oclc/898533683","WorldCat Record")</f>
        <v>WorldCat Record</v>
      </c>
      <c r="AX4555" s="3" t="s">
        <v>43524</v>
      </c>
      <c r="AY4555" s="3" t="s">
        <v>43525</v>
      </c>
      <c r="AZ4555" s="3" t="s">
        <v>43526</v>
      </c>
      <c r="BA4555" s="3" t="s">
        <v>43526</v>
      </c>
      <c r="BB4555" s="3" t="s">
        <v>43527</v>
      </c>
      <c r="BC4555" s="3" t="s">
        <v>142</v>
      </c>
      <c r="BD4555" s="3" t="s">
        <v>68</v>
      </c>
      <c r="BE4555" s="3" t="s">
        <v>43528</v>
      </c>
      <c r="BF4555" s="3" t="s">
        <v>43527</v>
      </c>
      <c r="BG4555" s="3" t="s">
        <v>43529</v>
      </c>
    </row>
    <row r="4556" spans="1:59" ht="57" x14ac:dyDescent="0.45">
      <c r="A4556" s="2" t="s">
        <v>59</v>
      </c>
      <c r="B4556" s="2" t="s">
        <v>60</v>
      </c>
      <c r="C4556" s="2" t="s">
        <v>43530</v>
      </c>
      <c r="D4556" s="2" t="s">
        <v>43531</v>
      </c>
      <c r="E4556" s="2" t="s">
        <v>43532</v>
      </c>
      <c r="G4556" s="3" t="s">
        <v>62</v>
      </c>
      <c r="I4556" s="3" t="s">
        <v>62</v>
      </c>
      <c r="J4556" s="3" t="s">
        <v>62</v>
      </c>
      <c r="K4556" s="3" t="s">
        <v>63</v>
      </c>
      <c r="M4556" s="2" t="s">
        <v>4509</v>
      </c>
      <c r="N4556" s="3" t="s">
        <v>1465</v>
      </c>
      <c r="P4556" s="3" t="s">
        <v>65</v>
      </c>
      <c r="Q4556" s="2" t="s">
        <v>21253</v>
      </c>
      <c r="R4556" s="3" t="s">
        <v>66</v>
      </c>
      <c r="S4556" s="4">
        <v>1</v>
      </c>
      <c r="T4556" s="4">
        <v>1</v>
      </c>
      <c r="U4556" s="5" t="s">
        <v>43533</v>
      </c>
      <c r="V4556" s="5" t="s">
        <v>43533</v>
      </c>
      <c r="W4556" s="5" t="s">
        <v>67</v>
      </c>
      <c r="X4556" s="5" t="s">
        <v>67</v>
      </c>
      <c r="Y4556" s="4">
        <v>179</v>
      </c>
      <c r="Z4556" s="4">
        <v>17</v>
      </c>
      <c r="AA4556" s="4">
        <v>102</v>
      </c>
      <c r="AB4556" s="4">
        <v>3</v>
      </c>
      <c r="AC4556" s="4">
        <v>21</v>
      </c>
      <c r="AD4556" s="4">
        <v>74</v>
      </c>
      <c r="AE4556" s="4">
        <v>131</v>
      </c>
      <c r="AF4556" s="4">
        <v>1</v>
      </c>
      <c r="AG4556" s="4">
        <v>8</v>
      </c>
      <c r="AH4556" s="4">
        <v>68</v>
      </c>
      <c r="AI4556" s="4">
        <v>89</v>
      </c>
      <c r="AJ4556" s="4">
        <v>13</v>
      </c>
      <c r="AK4556" s="4">
        <v>25</v>
      </c>
      <c r="AL4556" s="4">
        <v>42</v>
      </c>
      <c r="AM4556" s="4">
        <v>48</v>
      </c>
      <c r="AN4556" s="4">
        <v>0</v>
      </c>
      <c r="AO4556" s="4">
        <v>0</v>
      </c>
      <c r="AP4556" s="4">
        <v>13</v>
      </c>
      <c r="AQ4556" s="4">
        <v>50</v>
      </c>
      <c r="AR4556" s="3" t="s">
        <v>62</v>
      </c>
      <c r="AS4556" s="3" t="s">
        <v>62</v>
      </c>
      <c r="AT4556" s="3" t="s">
        <v>62</v>
      </c>
      <c r="AV4556" s="6" t="str">
        <f>HYPERLINK("http://mcgill.on.worldcat.org/oclc/227962299","Catalog Record")</f>
        <v>Catalog Record</v>
      </c>
      <c r="AW4556" s="6" t="str">
        <f>HYPERLINK("http://www.worldcat.org/oclc/227962299","WorldCat Record")</f>
        <v>WorldCat Record</v>
      </c>
      <c r="AX4556" s="3" t="s">
        <v>43534</v>
      </c>
      <c r="AY4556" s="3" t="s">
        <v>43535</v>
      </c>
      <c r="AZ4556" s="3" t="s">
        <v>43536</v>
      </c>
      <c r="BA4556" s="3" t="s">
        <v>43536</v>
      </c>
      <c r="BB4556" s="3" t="s">
        <v>43537</v>
      </c>
      <c r="BC4556" s="3" t="s">
        <v>142</v>
      </c>
      <c r="BD4556" s="3" t="s">
        <v>68</v>
      </c>
      <c r="BE4556" s="3" t="s">
        <v>43538</v>
      </c>
      <c r="BF4556" s="3" t="s">
        <v>43537</v>
      </c>
      <c r="BG4556" s="3" t="s">
        <v>43539</v>
      </c>
    </row>
    <row r="4557" spans="1:59" ht="71.25" x14ac:dyDescent="0.45">
      <c r="A4557" s="2" t="s">
        <v>59</v>
      </c>
      <c r="B4557" s="2" t="s">
        <v>60</v>
      </c>
      <c r="C4557" s="2" t="s">
        <v>43540</v>
      </c>
      <c r="D4557" s="2" t="s">
        <v>43541</v>
      </c>
      <c r="E4557" s="2" t="s">
        <v>43542</v>
      </c>
      <c r="G4557" s="3" t="s">
        <v>62</v>
      </c>
      <c r="I4557" s="3" t="s">
        <v>62</v>
      </c>
      <c r="J4557" s="3" t="s">
        <v>62</v>
      </c>
      <c r="K4557" s="3" t="s">
        <v>63</v>
      </c>
      <c r="L4557" s="2" t="s">
        <v>43543</v>
      </c>
      <c r="M4557" s="2" t="s">
        <v>7996</v>
      </c>
      <c r="N4557" s="3" t="s">
        <v>894</v>
      </c>
      <c r="P4557" s="3" t="s">
        <v>65</v>
      </c>
      <c r="Q4557" s="2" t="s">
        <v>43544</v>
      </c>
      <c r="R4557" s="3" t="s">
        <v>66</v>
      </c>
      <c r="S4557" s="4">
        <v>2</v>
      </c>
      <c r="T4557" s="4">
        <v>2</v>
      </c>
      <c r="W4557" s="5" t="s">
        <v>67</v>
      </c>
      <c r="X4557" s="5" t="s">
        <v>67</v>
      </c>
      <c r="Y4557" s="4">
        <v>96</v>
      </c>
      <c r="Z4557" s="4">
        <v>11</v>
      </c>
      <c r="AA4557" s="4">
        <v>87</v>
      </c>
      <c r="AB4557" s="4">
        <v>1</v>
      </c>
      <c r="AC4557" s="4">
        <v>17</v>
      </c>
      <c r="AD4557" s="4">
        <v>44</v>
      </c>
      <c r="AE4557" s="4">
        <v>101</v>
      </c>
      <c r="AF4557" s="4">
        <v>0</v>
      </c>
      <c r="AG4557" s="4">
        <v>8</v>
      </c>
      <c r="AH4557" s="4">
        <v>40</v>
      </c>
      <c r="AI4557" s="4">
        <v>68</v>
      </c>
      <c r="AJ4557" s="4">
        <v>8</v>
      </c>
      <c r="AK4557" s="4">
        <v>21</v>
      </c>
      <c r="AL4557" s="4">
        <v>22</v>
      </c>
      <c r="AM4557" s="4">
        <v>35</v>
      </c>
      <c r="AN4557" s="4">
        <v>0</v>
      </c>
      <c r="AO4557" s="4">
        <v>0</v>
      </c>
      <c r="AP4557" s="4">
        <v>9</v>
      </c>
      <c r="AQ4557" s="4">
        <v>42</v>
      </c>
      <c r="AR4557" s="3" t="s">
        <v>62</v>
      </c>
      <c r="AS4557" s="3" t="s">
        <v>62</v>
      </c>
      <c r="AT4557" s="3" t="s">
        <v>62</v>
      </c>
      <c r="AV4557" s="6" t="str">
        <f>HYPERLINK("http://mcgill.on.worldcat.org/oclc/712127492","Catalog Record")</f>
        <v>Catalog Record</v>
      </c>
      <c r="AW4557" s="6" t="str">
        <f>HYPERLINK("http://www.worldcat.org/oclc/712127492","WorldCat Record")</f>
        <v>WorldCat Record</v>
      </c>
      <c r="AX4557" s="3" t="s">
        <v>43545</v>
      </c>
      <c r="AY4557" s="3" t="s">
        <v>43546</v>
      </c>
      <c r="AZ4557" s="3" t="s">
        <v>43547</v>
      </c>
      <c r="BA4557" s="3" t="s">
        <v>43547</v>
      </c>
      <c r="BB4557" s="3" t="s">
        <v>43548</v>
      </c>
      <c r="BC4557" s="3" t="s">
        <v>142</v>
      </c>
      <c r="BD4557" s="3" t="s">
        <v>308</v>
      </c>
      <c r="BE4557" s="3" t="s">
        <v>43549</v>
      </c>
      <c r="BF4557" s="3" t="s">
        <v>43548</v>
      </c>
      <c r="BG4557" s="3" t="s">
        <v>43550</v>
      </c>
    </row>
    <row r="4558" spans="1:59" ht="57" x14ac:dyDescent="0.45">
      <c r="A4558" s="2" t="s">
        <v>59</v>
      </c>
      <c r="B4558" s="2" t="s">
        <v>60</v>
      </c>
      <c r="C4558" s="2" t="s">
        <v>43551</v>
      </c>
      <c r="D4558" s="2" t="s">
        <v>43552</v>
      </c>
      <c r="E4558" s="2" t="s">
        <v>43553</v>
      </c>
      <c r="G4558" s="3" t="s">
        <v>62</v>
      </c>
      <c r="I4558" s="3" t="s">
        <v>62</v>
      </c>
      <c r="J4558" s="3" t="s">
        <v>62</v>
      </c>
      <c r="K4558" s="3" t="s">
        <v>63</v>
      </c>
      <c r="L4558" s="2" t="s">
        <v>4197</v>
      </c>
      <c r="M4558" s="2" t="s">
        <v>9187</v>
      </c>
      <c r="N4558" s="3" t="s">
        <v>894</v>
      </c>
      <c r="P4558" s="3" t="s">
        <v>65</v>
      </c>
      <c r="Q4558" s="2" t="s">
        <v>21253</v>
      </c>
      <c r="R4558" s="3" t="s">
        <v>66</v>
      </c>
      <c r="S4558" s="4">
        <v>1</v>
      </c>
      <c r="T4558" s="4">
        <v>1</v>
      </c>
      <c r="U4558" s="5" t="s">
        <v>43554</v>
      </c>
      <c r="V4558" s="5" t="s">
        <v>43554</v>
      </c>
      <c r="W4558" s="5" t="s">
        <v>67</v>
      </c>
      <c r="X4558" s="5" t="s">
        <v>67</v>
      </c>
      <c r="Y4558" s="4">
        <v>216</v>
      </c>
      <c r="Z4558" s="4">
        <v>16</v>
      </c>
      <c r="AA4558" s="4">
        <v>16</v>
      </c>
      <c r="AB4558" s="4">
        <v>1</v>
      </c>
      <c r="AC4558" s="4">
        <v>1</v>
      </c>
      <c r="AD4558" s="4">
        <v>90</v>
      </c>
      <c r="AE4558" s="4">
        <v>90</v>
      </c>
      <c r="AF4558" s="4">
        <v>0</v>
      </c>
      <c r="AG4558" s="4">
        <v>0</v>
      </c>
      <c r="AH4558" s="4">
        <v>84</v>
      </c>
      <c r="AI4558" s="4">
        <v>84</v>
      </c>
      <c r="AJ4558" s="4">
        <v>14</v>
      </c>
      <c r="AK4558" s="4">
        <v>14</v>
      </c>
      <c r="AL4558" s="4">
        <v>47</v>
      </c>
      <c r="AM4558" s="4">
        <v>47</v>
      </c>
      <c r="AN4558" s="4">
        <v>0</v>
      </c>
      <c r="AO4558" s="4">
        <v>0</v>
      </c>
      <c r="AP4558" s="4">
        <v>15</v>
      </c>
      <c r="AQ4558" s="4">
        <v>15</v>
      </c>
      <c r="AR4558" s="3" t="s">
        <v>62</v>
      </c>
      <c r="AS4558" s="3" t="s">
        <v>62</v>
      </c>
      <c r="AT4558" s="3" t="s">
        <v>62</v>
      </c>
      <c r="AV4558" s="6" t="str">
        <f>HYPERLINK("http://mcgill.on.worldcat.org/oclc/713186795","Catalog Record")</f>
        <v>Catalog Record</v>
      </c>
      <c r="AW4558" s="6" t="str">
        <f>HYPERLINK("http://www.worldcat.org/oclc/713186795","WorldCat Record")</f>
        <v>WorldCat Record</v>
      </c>
      <c r="AX4558" s="3" t="s">
        <v>43555</v>
      </c>
      <c r="AY4558" s="3" t="s">
        <v>43556</v>
      </c>
      <c r="AZ4558" s="3" t="s">
        <v>43557</v>
      </c>
      <c r="BA4558" s="3" t="s">
        <v>43557</v>
      </c>
      <c r="BB4558" s="3" t="s">
        <v>43558</v>
      </c>
      <c r="BC4558" s="3" t="s">
        <v>142</v>
      </c>
      <c r="BD4558" s="3" t="s">
        <v>68</v>
      </c>
      <c r="BE4558" s="3" t="s">
        <v>43559</v>
      </c>
      <c r="BF4558" s="3" t="s">
        <v>43558</v>
      </c>
      <c r="BG4558" s="3" t="s">
        <v>43560</v>
      </c>
    </row>
    <row r="4559" spans="1:59" ht="57" x14ac:dyDescent="0.45">
      <c r="A4559" s="2" t="s">
        <v>59</v>
      </c>
      <c r="B4559" s="2" t="s">
        <v>60</v>
      </c>
      <c r="C4559" s="2" t="s">
        <v>43561</v>
      </c>
      <c r="D4559" s="2" t="s">
        <v>43562</v>
      </c>
      <c r="E4559" s="2" t="s">
        <v>43563</v>
      </c>
      <c r="G4559" s="3" t="s">
        <v>62</v>
      </c>
      <c r="I4559" s="3" t="s">
        <v>62</v>
      </c>
      <c r="J4559" s="3" t="s">
        <v>62</v>
      </c>
      <c r="K4559" s="3" t="s">
        <v>63</v>
      </c>
      <c r="L4559" s="2" t="s">
        <v>43564</v>
      </c>
      <c r="M4559" s="2" t="s">
        <v>4303</v>
      </c>
      <c r="N4559" s="3" t="s">
        <v>116</v>
      </c>
      <c r="P4559" s="3" t="s">
        <v>65</v>
      </c>
      <c r="Q4559" s="2" t="s">
        <v>43565</v>
      </c>
      <c r="R4559" s="3" t="s">
        <v>66</v>
      </c>
      <c r="S4559" s="4">
        <v>0</v>
      </c>
      <c r="T4559" s="4">
        <v>0</v>
      </c>
      <c r="W4559" s="5" t="s">
        <v>67</v>
      </c>
      <c r="X4559" s="5" t="s">
        <v>67</v>
      </c>
      <c r="Y4559" s="4">
        <v>96</v>
      </c>
      <c r="Z4559" s="4">
        <v>11</v>
      </c>
      <c r="AA4559" s="4">
        <v>17</v>
      </c>
      <c r="AB4559" s="4">
        <v>1</v>
      </c>
      <c r="AC4559" s="4">
        <v>3</v>
      </c>
      <c r="AD4559" s="4">
        <v>49</v>
      </c>
      <c r="AE4559" s="4">
        <v>56</v>
      </c>
      <c r="AF4559" s="4">
        <v>0</v>
      </c>
      <c r="AG4559" s="4">
        <v>1</v>
      </c>
      <c r="AH4559" s="4">
        <v>46</v>
      </c>
      <c r="AI4559" s="4">
        <v>50</v>
      </c>
      <c r="AJ4559" s="4">
        <v>9</v>
      </c>
      <c r="AK4559" s="4">
        <v>11</v>
      </c>
      <c r="AL4559" s="4">
        <v>30</v>
      </c>
      <c r="AM4559" s="4">
        <v>33</v>
      </c>
      <c r="AN4559" s="4">
        <v>0</v>
      </c>
      <c r="AO4559" s="4">
        <v>0</v>
      </c>
      <c r="AP4559" s="4">
        <v>9</v>
      </c>
      <c r="AQ4559" s="4">
        <v>12</v>
      </c>
      <c r="AR4559" s="3" t="s">
        <v>62</v>
      </c>
      <c r="AS4559" s="3" t="s">
        <v>62</v>
      </c>
      <c r="AT4559" s="3" t="s">
        <v>62</v>
      </c>
      <c r="AV4559" s="6" t="str">
        <f>HYPERLINK("http://mcgill.on.worldcat.org/oclc/815757881","Catalog Record")</f>
        <v>Catalog Record</v>
      </c>
      <c r="AW4559" s="6" t="str">
        <f>HYPERLINK("http://www.worldcat.org/oclc/815757881","WorldCat Record")</f>
        <v>WorldCat Record</v>
      </c>
      <c r="AX4559" s="3" t="s">
        <v>43566</v>
      </c>
      <c r="AY4559" s="3" t="s">
        <v>43567</v>
      </c>
      <c r="AZ4559" s="3" t="s">
        <v>43568</v>
      </c>
      <c r="BA4559" s="3" t="s">
        <v>43568</v>
      </c>
      <c r="BB4559" s="3" t="s">
        <v>43569</v>
      </c>
      <c r="BC4559" s="3" t="s">
        <v>142</v>
      </c>
      <c r="BD4559" s="3" t="s">
        <v>68</v>
      </c>
      <c r="BE4559" s="3" t="s">
        <v>43570</v>
      </c>
      <c r="BF4559" s="3" t="s">
        <v>43569</v>
      </c>
      <c r="BG4559" s="3" t="s">
        <v>43571</v>
      </c>
    </row>
    <row r="4560" spans="1:59" ht="57" x14ac:dyDescent="0.45">
      <c r="A4560" s="2" t="s">
        <v>59</v>
      </c>
      <c r="B4560" s="2" t="s">
        <v>60</v>
      </c>
      <c r="C4560" s="2" t="s">
        <v>43572</v>
      </c>
      <c r="D4560" s="2" t="s">
        <v>43573</v>
      </c>
      <c r="E4560" s="2" t="s">
        <v>43574</v>
      </c>
      <c r="G4560" s="3" t="s">
        <v>62</v>
      </c>
      <c r="I4560" s="3" t="s">
        <v>62</v>
      </c>
      <c r="J4560" s="3" t="s">
        <v>62</v>
      </c>
      <c r="K4560" s="3" t="s">
        <v>63</v>
      </c>
      <c r="L4560" s="2" t="s">
        <v>40643</v>
      </c>
      <c r="M4560" s="2" t="s">
        <v>4233</v>
      </c>
      <c r="N4560" s="3" t="s">
        <v>149</v>
      </c>
      <c r="P4560" s="3" t="s">
        <v>65</v>
      </c>
      <c r="Q4560" s="2" t="s">
        <v>41495</v>
      </c>
      <c r="R4560" s="3" t="s">
        <v>66</v>
      </c>
      <c r="S4560" s="4">
        <v>2</v>
      </c>
      <c r="T4560" s="4">
        <v>2</v>
      </c>
      <c r="U4560" s="5" t="s">
        <v>12304</v>
      </c>
      <c r="V4560" s="5" t="s">
        <v>12304</v>
      </c>
      <c r="W4560" s="5" t="s">
        <v>67</v>
      </c>
      <c r="X4560" s="5" t="s">
        <v>67</v>
      </c>
      <c r="Y4560" s="4">
        <v>182</v>
      </c>
      <c r="Z4560" s="4">
        <v>18</v>
      </c>
      <c r="AA4560" s="4">
        <v>94</v>
      </c>
      <c r="AB4560" s="4">
        <v>1</v>
      </c>
      <c r="AC4560" s="4">
        <v>17</v>
      </c>
      <c r="AD4560" s="4">
        <v>66</v>
      </c>
      <c r="AE4560" s="4">
        <v>123</v>
      </c>
      <c r="AF4560" s="4">
        <v>0</v>
      </c>
      <c r="AG4560" s="4">
        <v>8</v>
      </c>
      <c r="AH4560" s="4">
        <v>59</v>
      </c>
      <c r="AI4560" s="4">
        <v>87</v>
      </c>
      <c r="AJ4560" s="4">
        <v>13</v>
      </c>
      <c r="AK4560" s="4">
        <v>25</v>
      </c>
      <c r="AL4560" s="4">
        <v>35</v>
      </c>
      <c r="AM4560" s="4">
        <v>47</v>
      </c>
      <c r="AN4560" s="4">
        <v>0</v>
      </c>
      <c r="AO4560" s="4">
        <v>0</v>
      </c>
      <c r="AP4560" s="4">
        <v>16</v>
      </c>
      <c r="AQ4560" s="4">
        <v>46</v>
      </c>
      <c r="AR4560" s="3" t="s">
        <v>62</v>
      </c>
      <c r="AS4560" s="3" t="s">
        <v>62</v>
      </c>
      <c r="AT4560" s="3" t="s">
        <v>62</v>
      </c>
      <c r="AV4560" s="6" t="str">
        <f>HYPERLINK("http://mcgill.on.worldcat.org/oclc/428852536","Catalog Record")</f>
        <v>Catalog Record</v>
      </c>
      <c r="AW4560" s="6" t="str">
        <f>HYPERLINK("http://www.worldcat.org/oclc/428852536","WorldCat Record")</f>
        <v>WorldCat Record</v>
      </c>
      <c r="AX4560" s="3" t="s">
        <v>43575</v>
      </c>
      <c r="AY4560" s="3" t="s">
        <v>43576</v>
      </c>
      <c r="AZ4560" s="3" t="s">
        <v>43577</v>
      </c>
      <c r="BA4560" s="3" t="s">
        <v>43577</v>
      </c>
      <c r="BB4560" s="3" t="s">
        <v>43578</v>
      </c>
      <c r="BC4560" s="3" t="s">
        <v>142</v>
      </c>
      <c r="BD4560" s="3" t="s">
        <v>68</v>
      </c>
      <c r="BE4560" s="3" t="s">
        <v>43579</v>
      </c>
      <c r="BF4560" s="3" t="s">
        <v>43578</v>
      </c>
      <c r="BG4560" s="3" t="s">
        <v>43580</v>
      </c>
    </row>
    <row r="4561" spans="1:59" ht="57" x14ac:dyDescent="0.45">
      <c r="A4561" s="2" t="s">
        <v>59</v>
      </c>
      <c r="B4561" s="2" t="s">
        <v>60</v>
      </c>
      <c r="C4561" s="2" t="s">
        <v>43581</v>
      </c>
      <c r="D4561" s="2" t="s">
        <v>43582</v>
      </c>
      <c r="E4561" s="2" t="s">
        <v>43583</v>
      </c>
      <c r="G4561" s="3" t="s">
        <v>62</v>
      </c>
      <c r="I4561" s="3" t="s">
        <v>62</v>
      </c>
      <c r="J4561" s="3" t="s">
        <v>62</v>
      </c>
      <c r="K4561" s="3" t="s">
        <v>63</v>
      </c>
      <c r="L4561" s="2" t="s">
        <v>43584</v>
      </c>
      <c r="M4561" s="2" t="s">
        <v>43585</v>
      </c>
      <c r="N4561" s="3" t="s">
        <v>149</v>
      </c>
      <c r="P4561" s="3" t="s">
        <v>65</v>
      </c>
      <c r="R4561" s="3" t="s">
        <v>66</v>
      </c>
      <c r="S4561" s="4">
        <v>6</v>
      </c>
      <c r="T4561" s="4">
        <v>6</v>
      </c>
      <c r="U4561" s="5" t="s">
        <v>31160</v>
      </c>
      <c r="V4561" s="5" t="s">
        <v>31160</v>
      </c>
      <c r="W4561" s="5" t="s">
        <v>67</v>
      </c>
      <c r="X4561" s="5" t="s">
        <v>67</v>
      </c>
      <c r="Y4561" s="4">
        <v>86</v>
      </c>
      <c r="Z4561" s="4">
        <v>10</v>
      </c>
      <c r="AA4561" s="4">
        <v>10</v>
      </c>
      <c r="AB4561" s="4">
        <v>2</v>
      </c>
      <c r="AC4561" s="4">
        <v>2</v>
      </c>
      <c r="AD4561" s="4">
        <v>28</v>
      </c>
      <c r="AE4561" s="4">
        <v>28</v>
      </c>
      <c r="AF4561" s="4">
        <v>1</v>
      </c>
      <c r="AG4561" s="4">
        <v>1</v>
      </c>
      <c r="AH4561" s="4">
        <v>26</v>
      </c>
      <c r="AI4561" s="4">
        <v>26</v>
      </c>
      <c r="AJ4561" s="4">
        <v>7</v>
      </c>
      <c r="AK4561" s="4">
        <v>7</v>
      </c>
      <c r="AL4561" s="4">
        <v>11</v>
      </c>
      <c r="AM4561" s="4">
        <v>11</v>
      </c>
      <c r="AN4561" s="4">
        <v>0</v>
      </c>
      <c r="AO4561" s="4">
        <v>0</v>
      </c>
      <c r="AP4561" s="4">
        <v>7</v>
      </c>
      <c r="AQ4561" s="4">
        <v>7</v>
      </c>
      <c r="AR4561" s="3" t="s">
        <v>62</v>
      </c>
      <c r="AS4561" s="3" t="s">
        <v>62</v>
      </c>
      <c r="AT4561" s="3" t="s">
        <v>62</v>
      </c>
      <c r="AV4561" s="6" t="str">
        <f>HYPERLINK("http://mcgill.on.worldcat.org/oclc/503049706","Catalog Record")</f>
        <v>Catalog Record</v>
      </c>
      <c r="AW4561" s="6" t="str">
        <f>HYPERLINK("http://www.worldcat.org/oclc/503049706","WorldCat Record")</f>
        <v>WorldCat Record</v>
      </c>
      <c r="AX4561" s="3" t="s">
        <v>43586</v>
      </c>
      <c r="AY4561" s="3" t="s">
        <v>43587</v>
      </c>
      <c r="AZ4561" s="3" t="s">
        <v>43588</v>
      </c>
      <c r="BA4561" s="3" t="s">
        <v>43588</v>
      </c>
      <c r="BB4561" s="3" t="s">
        <v>43589</v>
      </c>
      <c r="BC4561" s="3" t="s">
        <v>142</v>
      </c>
      <c r="BD4561" s="3" t="s">
        <v>68</v>
      </c>
      <c r="BE4561" s="3" t="s">
        <v>43590</v>
      </c>
      <c r="BF4561" s="3" t="s">
        <v>43589</v>
      </c>
      <c r="BG4561" s="3" t="s">
        <v>43591</v>
      </c>
    </row>
    <row r="4562" spans="1:59" ht="57" x14ac:dyDescent="0.45">
      <c r="A4562" s="2" t="s">
        <v>59</v>
      </c>
      <c r="B4562" s="2" t="s">
        <v>60</v>
      </c>
      <c r="C4562" s="2" t="s">
        <v>43592</v>
      </c>
      <c r="D4562" s="2" t="s">
        <v>43593</v>
      </c>
      <c r="E4562" s="2" t="s">
        <v>43594</v>
      </c>
      <c r="G4562" s="3" t="s">
        <v>62</v>
      </c>
      <c r="I4562" s="3" t="s">
        <v>62</v>
      </c>
      <c r="J4562" s="3" t="s">
        <v>62</v>
      </c>
      <c r="K4562" s="3" t="s">
        <v>63</v>
      </c>
      <c r="L4562" s="2" t="s">
        <v>43595</v>
      </c>
      <c r="M4562" s="2" t="s">
        <v>8746</v>
      </c>
      <c r="N4562" s="3" t="s">
        <v>1437</v>
      </c>
      <c r="P4562" s="3" t="s">
        <v>65</v>
      </c>
      <c r="Q4562" s="2" t="s">
        <v>43596</v>
      </c>
      <c r="R4562" s="3" t="s">
        <v>66</v>
      </c>
      <c r="S4562" s="4">
        <v>11</v>
      </c>
      <c r="T4562" s="4">
        <v>11</v>
      </c>
      <c r="U4562" s="5" t="s">
        <v>3077</v>
      </c>
      <c r="V4562" s="5" t="s">
        <v>3077</v>
      </c>
      <c r="W4562" s="5" t="s">
        <v>67</v>
      </c>
      <c r="X4562" s="5" t="s">
        <v>67</v>
      </c>
      <c r="Y4562" s="4">
        <v>406</v>
      </c>
      <c r="Z4562" s="4">
        <v>22</v>
      </c>
      <c r="AA4562" s="4">
        <v>25</v>
      </c>
      <c r="AB4562" s="4">
        <v>2</v>
      </c>
      <c r="AC4562" s="4">
        <v>5</v>
      </c>
      <c r="AD4562" s="4">
        <v>106</v>
      </c>
      <c r="AE4562" s="4">
        <v>109</v>
      </c>
      <c r="AF4562" s="4">
        <v>1</v>
      </c>
      <c r="AG4562" s="4">
        <v>4</v>
      </c>
      <c r="AH4562" s="4">
        <v>94</v>
      </c>
      <c r="AI4562" s="4">
        <v>95</v>
      </c>
      <c r="AJ4562" s="4">
        <v>18</v>
      </c>
      <c r="AK4562" s="4">
        <v>21</v>
      </c>
      <c r="AL4562" s="4">
        <v>56</v>
      </c>
      <c r="AM4562" s="4">
        <v>56</v>
      </c>
      <c r="AN4562" s="4">
        <v>0</v>
      </c>
      <c r="AO4562" s="4">
        <v>0</v>
      </c>
      <c r="AP4562" s="4">
        <v>19</v>
      </c>
      <c r="AQ4562" s="4">
        <v>21</v>
      </c>
      <c r="AR4562" s="3" t="s">
        <v>62</v>
      </c>
      <c r="AS4562" s="3" t="s">
        <v>62</v>
      </c>
      <c r="AT4562" s="3" t="s">
        <v>62</v>
      </c>
      <c r="AV4562" s="6" t="str">
        <f>HYPERLINK("http://mcgill.on.worldcat.org/oclc/36806763","Catalog Record")</f>
        <v>Catalog Record</v>
      </c>
      <c r="AW4562" s="6" t="str">
        <f>HYPERLINK("http://www.worldcat.org/oclc/36806763","WorldCat Record")</f>
        <v>WorldCat Record</v>
      </c>
      <c r="AX4562" s="3" t="s">
        <v>43597</v>
      </c>
      <c r="AY4562" s="3" t="s">
        <v>43598</v>
      </c>
      <c r="AZ4562" s="3" t="s">
        <v>43599</v>
      </c>
      <c r="BA4562" s="3" t="s">
        <v>43599</v>
      </c>
      <c r="BB4562" s="3" t="s">
        <v>43600</v>
      </c>
      <c r="BC4562" s="3" t="s">
        <v>142</v>
      </c>
      <c r="BD4562" s="3" t="s">
        <v>68</v>
      </c>
      <c r="BE4562" s="3" t="s">
        <v>43601</v>
      </c>
      <c r="BF4562" s="3" t="s">
        <v>43600</v>
      </c>
      <c r="BG4562" s="3" t="s">
        <v>43602</v>
      </c>
    </row>
    <row r="4563" spans="1:59" ht="57" x14ac:dyDescent="0.45">
      <c r="A4563" s="2" t="s">
        <v>59</v>
      </c>
      <c r="B4563" s="2" t="s">
        <v>60</v>
      </c>
      <c r="C4563" s="2" t="s">
        <v>43603</v>
      </c>
      <c r="D4563" s="2" t="s">
        <v>43604</v>
      </c>
      <c r="E4563" s="2" t="s">
        <v>43605</v>
      </c>
      <c r="G4563" s="3" t="s">
        <v>62</v>
      </c>
      <c r="I4563" s="3" t="s">
        <v>62</v>
      </c>
      <c r="J4563" s="3" t="s">
        <v>62</v>
      </c>
      <c r="K4563" s="3" t="s">
        <v>63</v>
      </c>
      <c r="L4563" s="2" t="s">
        <v>43606</v>
      </c>
      <c r="M4563" s="2" t="s">
        <v>33006</v>
      </c>
      <c r="N4563" s="3" t="s">
        <v>894</v>
      </c>
      <c r="P4563" s="3" t="s">
        <v>65</v>
      </c>
      <c r="Q4563" s="2" t="s">
        <v>43607</v>
      </c>
      <c r="R4563" s="3" t="s">
        <v>66</v>
      </c>
      <c r="S4563" s="4">
        <v>2</v>
      </c>
      <c r="T4563" s="4">
        <v>2</v>
      </c>
      <c r="U4563" s="5" t="s">
        <v>2316</v>
      </c>
      <c r="V4563" s="5" t="s">
        <v>2316</v>
      </c>
      <c r="W4563" s="5" t="s">
        <v>67</v>
      </c>
      <c r="X4563" s="5" t="s">
        <v>67</v>
      </c>
      <c r="Y4563" s="4">
        <v>46</v>
      </c>
      <c r="Z4563" s="4">
        <v>10</v>
      </c>
      <c r="AA4563" s="4">
        <v>12</v>
      </c>
      <c r="AB4563" s="4">
        <v>1</v>
      </c>
      <c r="AC4563" s="4">
        <v>3</v>
      </c>
      <c r="AD4563" s="4">
        <v>18</v>
      </c>
      <c r="AE4563" s="4">
        <v>20</v>
      </c>
      <c r="AF4563" s="4">
        <v>0</v>
      </c>
      <c r="AG4563" s="4">
        <v>2</v>
      </c>
      <c r="AH4563" s="4">
        <v>16</v>
      </c>
      <c r="AI4563" s="4">
        <v>17</v>
      </c>
      <c r="AJ4563" s="4">
        <v>8</v>
      </c>
      <c r="AK4563" s="4">
        <v>10</v>
      </c>
      <c r="AL4563" s="4">
        <v>9</v>
      </c>
      <c r="AM4563" s="4">
        <v>9</v>
      </c>
      <c r="AN4563" s="4">
        <v>0</v>
      </c>
      <c r="AO4563" s="4">
        <v>0</v>
      </c>
      <c r="AP4563" s="4">
        <v>8</v>
      </c>
      <c r="AQ4563" s="4">
        <v>10</v>
      </c>
      <c r="AR4563" s="3" t="s">
        <v>62</v>
      </c>
      <c r="AS4563" s="3" t="s">
        <v>62</v>
      </c>
      <c r="AT4563" s="3" t="s">
        <v>62</v>
      </c>
      <c r="AV4563" s="6" t="str">
        <f>HYPERLINK("http://mcgill.on.worldcat.org/oclc/753625545","Catalog Record")</f>
        <v>Catalog Record</v>
      </c>
      <c r="AW4563" s="6" t="str">
        <f>HYPERLINK("http://www.worldcat.org/oclc/753625545","WorldCat Record")</f>
        <v>WorldCat Record</v>
      </c>
      <c r="AX4563" s="3" t="s">
        <v>43608</v>
      </c>
      <c r="AY4563" s="3" t="s">
        <v>43609</v>
      </c>
      <c r="AZ4563" s="3" t="s">
        <v>43610</v>
      </c>
      <c r="BA4563" s="3" t="s">
        <v>43610</v>
      </c>
      <c r="BB4563" s="3" t="s">
        <v>43611</v>
      </c>
      <c r="BC4563" s="3" t="s">
        <v>142</v>
      </c>
      <c r="BD4563" s="3" t="s">
        <v>68</v>
      </c>
      <c r="BE4563" s="3" t="s">
        <v>43612</v>
      </c>
      <c r="BF4563" s="3" t="s">
        <v>43611</v>
      </c>
      <c r="BG4563" s="3" t="s">
        <v>43613</v>
      </c>
    </row>
    <row r="4564" spans="1:59" ht="57" x14ac:dyDescent="0.45">
      <c r="A4564" s="2" t="s">
        <v>59</v>
      </c>
      <c r="B4564" s="2" t="s">
        <v>60</v>
      </c>
      <c r="C4564" s="2" t="s">
        <v>43614</v>
      </c>
      <c r="D4564" s="2" t="s">
        <v>43615</v>
      </c>
      <c r="E4564" s="2" t="s">
        <v>43616</v>
      </c>
      <c r="G4564" s="3" t="s">
        <v>62</v>
      </c>
      <c r="I4564" s="3" t="s">
        <v>62</v>
      </c>
      <c r="J4564" s="3" t="s">
        <v>62</v>
      </c>
      <c r="K4564" s="3" t="s">
        <v>63</v>
      </c>
      <c r="M4564" s="2" t="s">
        <v>43617</v>
      </c>
      <c r="N4564" s="3" t="s">
        <v>208</v>
      </c>
      <c r="P4564" s="3" t="s">
        <v>65</v>
      </c>
      <c r="Q4564" s="2" t="s">
        <v>3219</v>
      </c>
      <c r="R4564" s="3" t="s">
        <v>66</v>
      </c>
      <c r="S4564" s="4">
        <v>2</v>
      </c>
      <c r="T4564" s="4">
        <v>2</v>
      </c>
      <c r="U4564" s="5" t="s">
        <v>43618</v>
      </c>
      <c r="V4564" s="5" t="s">
        <v>43618</v>
      </c>
      <c r="W4564" s="5" t="s">
        <v>67</v>
      </c>
      <c r="X4564" s="5" t="s">
        <v>67</v>
      </c>
      <c r="Y4564" s="4">
        <v>97</v>
      </c>
      <c r="Z4564" s="4">
        <v>7</v>
      </c>
      <c r="AA4564" s="4">
        <v>12</v>
      </c>
      <c r="AB4564" s="4">
        <v>1</v>
      </c>
      <c r="AC4564" s="4">
        <v>3</v>
      </c>
      <c r="AD4564" s="4">
        <v>40</v>
      </c>
      <c r="AE4564" s="4">
        <v>50</v>
      </c>
      <c r="AF4564" s="4">
        <v>0</v>
      </c>
      <c r="AG4564" s="4">
        <v>1</v>
      </c>
      <c r="AH4564" s="4">
        <v>36</v>
      </c>
      <c r="AI4564" s="4">
        <v>44</v>
      </c>
      <c r="AJ4564" s="4">
        <v>5</v>
      </c>
      <c r="AK4564" s="4">
        <v>9</v>
      </c>
      <c r="AL4564" s="4">
        <v>27</v>
      </c>
      <c r="AM4564" s="4">
        <v>32</v>
      </c>
      <c r="AN4564" s="4">
        <v>0</v>
      </c>
      <c r="AO4564" s="4">
        <v>0</v>
      </c>
      <c r="AP4564" s="4">
        <v>5</v>
      </c>
      <c r="AQ4564" s="4">
        <v>8</v>
      </c>
      <c r="AR4564" s="3" t="s">
        <v>62</v>
      </c>
      <c r="AS4564" s="3" t="s">
        <v>62</v>
      </c>
      <c r="AT4564" s="3" t="s">
        <v>62</v>
      </c>
      <c r="AV4564" s="6" t="str">
        <f>HYPERLINK("http://mcgill.on.worldcat.org/oclc/891135691","Catalog Record")</f>
        <v>Catalog Record</v>
      </c>
      <c r="AW4564" s="6" t="str">
        <f>HYPERLINK("http://www.worldcat.org/oclc/891135691","WorldCat Record")</f>
        <v>WorldCat Record</v>
      </c>
      <c r="AX4564" s="3" t="s">
        <v>43619</v>
      </c>
      <c r="AY4564" s="3" t="s">
        <v>43620</v>
      </c>
      <c r="AZ4564" s="3" t="s">
        <v>43621</v>
      </c>
      <c r="BA4564" s="3" t="s">
        <v>43621</v>
      </c>
      <c r="BB4564" s="3" t="s">
        <v>43622</v>
      </c>
      <c r="BC4564" s="3" t="s">
        <v>142</v>
      </c>
      <c r="BD4564" s="3" t="s">
        <v>68</v>
      </c>
      <c r="BE4564" s="3" t="s">
        <v>43623</v>
      </c>
      <c r="BF4564" s="3" t="s">
        <v>43622</v>
      </c>
      <c r="BG4564" s="3" t="s">
        <v>43624</v>
      </c>
    </row>
    <row r="4565" spans="1:59" ht="57" x14ac:dyDescent="0.45">
      <c r="A4565" s="2" t="s">
        <v>59</v>
      </c>
      <c r="B4565" s="2" t="s">
        <v>60</v>
      </c>
      <c r="C4565" s="2" t="s">
        <v>43625</v>
      </c>
      <c r="D4565" s="2" t="s">
        <v>43626</v>
      </c>
      <c r="E4565" s="2" t="s">
        <v>43627</v>
      </c>
      <c r="G4565" s="3" t="s">
        <v>62</v>
      </c>
      <c r="I4565" s="3" t="s">
        <v>62</v>
      </c>
      <c r="J4565" s="3" t="s">
        <v>62</v>
      </c>
      <c r="K4565" s="3" t="s">
        <v>63</v>
      </c>
      <c r="M4565" s="2" t="s">
        <v>8328</v>
      </c>
      <c r="N4565" s="3" t="s">
        <v>1465</v>
      </c>
      <c r="P4565" s="3" t="s">
        <v>65</v>
      </c>
      <c r="R4565" s="3" t="s">
        <v>66</v>
      </c>
      <c r="S4565" s="4">
        <v>3</v>
      </c>
      <c r="T4565" s="4">
        <v>3</v>
      </c>
      <c r="U4565" s="5" t="s">
        <v>37572</v>
      </c>
      <c r="V4565" s="5" t="s">
        <v>37572</v>
      </c>
      <c r="W4565" s="5" t="s">
        <v>67</v>
      </c>
      <c r="X4565" s="5" t="s">
        <v>67</v>
      </c>
      <c r="Y4565" s="4">
        <v>121</v>
      </c>
      <c r="Z4565" s="4">
        <v>14</v>
      </c>
      <c r="AA4565" s="4">
        <v>98</v>
      </c>
      <c r="AB4565" s="4">
        <v>3</v>
      </c>
      <c r="AC4565" s="4">
        <v>19</v>
      </c>
      <c r="AD4565" s="4">
        <v>45</v>
      </c>
      <c r="AE4565" s="4">
        <v>121</v>
      </c>
      <c r="AF4565" s="4">
        <v>1</v>
      </c>
      <c r="AG4565" s="4">
        <v>8</v>
      </c>
      <c r="AH4565" s="4">
        <v>42</v>
      </c>
      <c r="AI4565" s="4">
        <v>85</v>
      </c>
      <c r="AJ4565" s="4">
        <v>11</v>
      </c>
      <c r="AK4565" s="4">
        <v>25</v>
      </c>
      <c r="AL4565" s="4">
        <v>26</v>
      </c>
      <c r="AM4565" s="4">
        <v>45</v>
      </c>
      <c r="AN4565" s="4">
        <v>0</v>
      </c>
      <c r="AO4565" s="4">
        <v>0</v>
      </c>
      <c r="AP4565" s="4">
        <v>11</v>
      </c>
      <c r="AQ4565" s="4">
        <v>46</v>
      </c>
      <c r="AR4565" s="3" t="s">
        <v>62</v>
      </c>
      <c r="AS4565" s="3" t="s">
        <v>62</v>
      </c>
      <c r="AT4565" s="3" t="s">
        <v>61</v>
      </c>
      <c r="AU4565" s="6" t="str">
        <f>HYPERLINK("http://catalog.hathitrust.org/Record/006795436","HathiTrust Record")</f>
        <v>HathiTrust Record</v>
      </c>
      <c r="AV4565" s="6" t="str">
        <f>HYPERLINK("http://mcgill.on.worldcat.org/oclc/233635049","Catalog Record")</f>
        <v>Catalog Record</v>
      </c>
      <c r="AW4565" s="6" t="str">
        <f>HYPERLINK("http://www.worldcat.org/oclc/233635049","WorldCat Record")</f>
        <v>WorldCat Record</v>
      </c>
      <c r="AX4565" s="3" t="s">
        <v>43628</v>
      </c>
      <c r="AY4565" s="3" t="s">
        <v>43629</v>
      </c>
      <c r="AZ4565" s="3" t="s">
        <v>43630</v>
      </c>
      <c r="BA4565" s="3" t="s">
        <v>43630</v>
      </c>
      <c r="BB4565" s="3" t="s">
        <v>43631</v>
      </c>
      <c r="BC4565" s="3" t="s">
        <v>142</v>
      </c>
      <c r="BD4565" s="3" t="s">
        <v>68</v>
      </c>
      <c r="BE4565" s="3" t="s">
        <v>43632</v>
      </c>
      <c r="BF4565" s="3" t="s">
        <v>43631</v>
      </c>
      <c r="BG4565" s="3" t="s">
        <v>43633</v>
      </c>
    </row>
    <row r="4566" spans="1:59" ht="57" x14ac:dyDescent="0.45">
      <c r="A4566" s="2" t="s">
        <v>59</v>
      </c>
      <c r="B4566" s="2" t="s">
        <v>60</v>
      </c>
      <c r="C4566" s="2" t="s">
        <v>43634</v>
      </c>
      <c r="D4566" s="2" t="s">
        <v>43635</v>
      </c>
      <c r="E4566" s="2" t="s">
        <v>43636</v>
      </c>
      <c r="G4566" s="3" t="s">
        <v>62</v>
      </c>
      <c r="I4566" s="3" t="s">
        <v>62</v>
      </c>
      <c r="J4566" s="3" t="s">
        <v>62</v>
      </c>
      <c r="K4566" s="3" t="s">
        <v>63</v>
      </c>
      <c r="M4566" s="2" t="s">
        <v>43637</v>
      </c>
      <c r="N4566" s="3" t="s">
        <v>149</v>
      </c>
      <c r="P4566" s="3" t="s">
        <v>65</v>
      </c>
      <c r="Q4566" s="2" t="s">
        <v>43638</v>
      </c>
      <c r="R4566" s="3" t="s">
        <v>66</v>
      </c>
      <c r="S4566" s="4">
        <v>7</v>
      </c>
      <c r="T4566" s="4">
        <v>7</v>
      </c>
      <c r="U4566" s="5" t="s">
        <v>3077</v>
      </c>
      <c r="V4566" s="5" t="s">
        <v>3077</v>
      </c>
      <c r="W4566" s="5" t="s">
        <v>67</v>
      </c>
      <c r="X4566" s="5" t="s">
        <v>67</v>
      </c>
      <c r="Y4566" s="4">
        <v>78</v>
      </c>
      <c r="Z4566" s="4">
        <v>10</v>
      </c>
      <c r="AA4566" s="4">
        <v>91</v>
      </c>
      <c r="AB4566" s="4">
        <v>1</v>
      </c>
      <c r="AC4566" s="4">
        <v>17</v>
      </c>
      <c r="AD4566" s="4">
        <v>41</v>
      </c>
      <c r="AE4566" s="4">
        <v>102</v>
      </c>
      <c r="AF4566" s="4">
        <v>0</v>
      </c>
      <c r="AG4566" s="4">
        <v>8</v>
      </c>
      <c r="AH4566" s="4">
        <v>38</v>
      </c>
      <c r="AI4566" s="4">
        <v>69</v>
      </c>
      <c r="AJ4566" s="4">
        <v>8</v>
      </c>
      <c r="AK4566" s="4">
        <v>20</v>
      </c>
      <c r="AL4566" s="4">
        <v>27</v>
      </c>
      <c r="AM4566" s="4">
        <v>38</v>
      </c>
      <c r="AN4566" s="4">
        <v>0</v>
      </c>
      <c r="AO4566" s="4">
        <v>0</v>
      </c>
      <c r="AP4566" s="4">
        <v>8</v>
      </c>
      <c r="AQ4566" s="4">
        <v>41</v>
      </c>
      <c r="AR4566" s="3" t="s">
        <v>62</v>
      </c>
      <c r="AS4566" s="3" t="s">
        <v>62</v>
      </c>
      <c r="AT4566" s="3" t="s">
        <v>62</v>
      </c>
      <c r="AV4566" s="6" t="str">
        <f>HYPERLINK("http://mcgill.on.worldcat.org/oclc/497573705","Catalog Record")</f>
        <v>Catalog Record</v>
      </c>
      <c r="AW4566" s="6" t="str">
        <f>HYPERLINK("http://www.worldcat.org/oclc/497573705","WorldCat Record")</f>
        <v>WorldCat Record</v>
      </c>
      <c r="AX4566" s="3" t="s">
        <v>43639</v>
      </c>
      <c r="AY4566" s="3" t="s">
        <v>43640</v>
      </c>
      <c r="AZ4566" s="3" t="s">
        <v>43641</v>
      </c>
      <c r="BA4566" s="3" t="s">
        <v>43641</v>
      </c>
      <c r="BB4566" s="3" t="s">
        <v>43642</v>
      </c>
      <c r="BC4566" s="3" t="s">
        <v>142</v>
      </c>
      <c r="BD4566" s="3" t="s">
        <v>68</v>
      </c>
      <c r="BE4566" s="3" t="s">
        <v>43643</v>
      </c>
      <c r="BF4566" s="3" t="s">
        <v>43642</v>
      </c>
      <c r="BG4566" s="3" t="s">
        <v>43644</v>
      </c>
    </row>
    <row r="4567" spans="1:59" ht="57" x14ac:dyDescent="0.45">
      <c r="A4567" s="2" t="s">
        <v>59</v>
      </c>
      <c r="B4567" s="2" t="s">
        <v>60</v>
      </c>
      <c r="C4567" s="2" t="s">
        <v>43645</v>
      </c>
      <c r="D4567" s="2" t="s">
        <v>43646</v>
      </c>
      <c r="E4567" s="2" t="s">
        <v>43647</v>
      </c>
      <c r="G4567" s="3" t="s">
        <v>62</v>
      </c>
      <c r="I4567" s="3" t="s">
        <v>62</v>
      </c>
      <c r="J4567" s="3" t="s">
        <v>62</v>
      </c>
      <c r="K4567" s="3" t="s">
        <v>63</v>
      </c>
      <c r="M4567" s="2" t="s">
        <v>30091</v>
      </c>
      <c r="N4567" s="3" t="s">
        <v>1155</v>
      </c>
      <c r="P4567" s="3" t="s">
        <v>65</v>
      </c>
      <c r="Q4567" s="2" t="s">
        <v>43648</v>
      </c>
      <c r="R4567" s="3" t="s">
        <v>66</v>
      </c>
      <c r="S4567" s="4">
        <v>0</v>
      </c>
      <c r="T4567" s="4">
        <v>0</v>
      </c>
      <c r="W4567" s="5" t="s">
        <v>67</v>
      </c>
      <c r="X4567" s="5" t="s">
        <v>67</v>
      </c>
      <c r="Y4567" s="4">
        <v>68</v>
      </c>
      <c r="Z4567" s="4">
        <v>15</v>
      </c>
      <c r="AA4567" s="4">
        <v>82</v>
      </c>
      <c r="AB4567" s="4">
        <v>1</v>
      </c>
      <c r="AC4567" s="4">
        <v>14</v>
      </c>
      <c r="AD4567" s="4">
        <v>29</v>
      </c>
      <c r="AE4567" s="4">
        <v>106</v>
      </c>
      <c r="AF4567" s="4">
        <v>0</v>
      </c>
      <c r="AG4567" s="4">
        <v>8</v>
      </c>
      <c r="AH4567" s="4">
        <v>26</v>
      </c>
      <c r="AI4567" s="4">
        <v>71</v>
      </c>
      <c r="AJ4567" s="4">
        <v>12</v>
      </c>
      <c r="AK4567" s="4">
        <v>23</v>
      </c>
      <c r="AL4567" s="4">
        <v>15</v>
      </c>
      <c r="AM4567" s="4">
        <v>36</v>
      </c>
      <c r="AN4567" s="4">
        <v>0</v>
      </c>
      <c r="AO4567" s="4">
        <v>0</v>
      </c>
      <c r="AP4567" s="4">
        <v>12</v>
      </c>
      <c r="AQ4567" s="4">
        <v>44</v>
      </c>
      <c r="AR4567" s="3" t="s">
        <v>62</v>
      </c>
      <c r="AS4567" s="3" t="s">
        <v>62</v>
      </c>
      <c r="AT4567" s="3" t="s">
        <v>62</v>
      </c>
      <c r="AV4567" s="6" t="str">
        <f>HYPERLINK("http://mcgill.on.worldcat.org/oclc/775420102","Catalog Record")</f>
        <v>Catalog Record</v>
      </c>
      <c r="AW4567" s="6" t="str">
        <f>HYPERLINK("http://www.worldcat.org/oclc/775420102","WorldCat Record")</f>
        <v>WorldCat Record</v>
      </c>
      <c r="AX4567" s="3" t="s">
        <v>43649</v>
      </c>
      <c r="AY4567" s="3" t="s">
        <v>43650</v>
      </c>
      <c r="AZ4567" s="3" t="s">
        <v>43651</v>
      </c>
      <c r="BA4567" s="3" t="s">
        <v>43651</v>
      </c>
      <c r="BB4567" s="3" t="s">
        <v>43652</v>
      </c>
      <c r="BC4567" s="3" t="s">
        <v>142</v>
      </c>
      <c r="BD4567" s="3" t="s">
        <v>68</v>
      </c>
      <c r="BE4567" s="3" t="s">
        <v>43653</v>
      </c>
      <c r="BF4567" s="3" t="s">
        <v>43652</v>
      </c>
      <c r="BG4567" s="3" t="s">
        <v>43654</v>
      </c>
    </row>
    <row r="4568" spans="1:59" ht="57" x14ac:dyDescent="0.45">
      <c r="A4568" s="2" t="s">
        <v>59</v>
      </c>
      <c r="B4568" s="2" t="s">
        <v>60</v>
      </c>
      <c r="C4568" s="2" t="s">
        <v>43655</v>
      </c>
      <c r="D4568" s="2" t="s">
        <v>43656</v>
      </c>
      <c r="E4568" s="2" t="s">
        <v>43657</v>
      </c>
      <c r="G4568" s="3" t="s">
        <v>62</v>
      </c>
      <c r="I4568" s="3" t="s">
        <v>62</v>
      </c>
      <c r="J4568" s="3" t="s">
        <v>62</v>
      </c>
      <c r="K4568" s="3" t="s">
        <v>63</v>
      </c>
      <c r="M4568" s="2" t="s">
        <v>9988</v>
      </c>
      <c r="N4568" s="3" t="s">
        <v>1155</v>
      </c>
      <c r="P4568" s="3" t="s">
        <v>65</v>
      </c>
      <c r="R4568" s="3" t="s">
        <v>66</v>
      </c>
      <c r="S4568" s="4">
        <v>0</v>
      </c>
      <c r="T4568" s="4">
        <v>0</v>
      </c>
      <c r="W4568" s="5" t="s">
        <v>67</v>
      </c>
      <c r="X4568" s="5" t="s">
        <v>67</v>
      </c>
      <c r="Y4568" s="4">
        <v>54</v>
      </c>
      <c r="Z4568" s="4">
        <v>16</v>
      </c>
      <c r="AA4568" s="4">
        <v>78</v>
      </c>
      <c r="AB4568" s="4">
        <v>2</v>
      </c>
      <c r="AC4568" s="4">
        <v>14</v>
      </c>
      <c r="AD4568" s="4">
        <v>31</v>
      </c>
      <c r="AE4568" s="4">
        <v>91</v>
      </c>
      <c r="AF4568" s="4">
        <v>1</v>
      </c>
      <c r="AG4568" s="4">
        <v>8</v>
      </c>
      <c r="AH4568" s="4">
        <v>25</v>
      </c>
      <c r="AI4568" s="4">
        <v>59</v>
      </c>
      <c r="AJ4568" s="4">
        <v>12</v>
      </c>
      <c r="AK4568" s="4">
        <v>21</v>
      </c>
      <c r="AL4568" s="4">
        <v>14</v>
      </c>
      <c r="AM4568" s="4">
        <v>31</v>
      </c>
      <c r="AN4568" s="4">
        <v>0</v>
      </c>
      <c r="AO4568" s="4">
        <v>0</v>
      </c>
      <c r="AP4568" s="4">
        <v>13</v>
      </c>
      <c r="AQ4568" s="4">
        <v>41</v>
      </c>
      <c r="AR4568" s="3" t="s">
        <v>62</v>
      </c>
      <c r="AS4568" s="3" t="s">
        <v>62</v>
      </c>
      <c r="AT4568" s="3" t="s">
        <v>62</v>
      </c>
      <c r="AV4568" s="6" t="str">
        <f>HYPERLINK("http://mcgill.on.worldcat.org/oclc/774499272","Catalog Record")</f>
        <v>Catalog Record</v>
      </c>
      <c r="AW4568" s="6" t="str">
        <f>HYPERLINK("http://www.worldcat.org/oclc/774499272","WorldCat Record")</f>
        <v>WorldCat Record</v>
      </c>
      <c r="AX4568" s="3" t="s">
        <v>43658</v>
      </c>
      <c r="AY4568" s="3" t="s">
        <v>43659</v>
      </c>
      <c r="AZ4568" s="3" t="s">
        <v>43660</v>
      </c>
      <c r="BA4568" s="3" t="s">
        <v>43660</v>
      </c>
      <c r="BB4568" s="3" t="s">
        <v>43661</v>
      </c>
      <c r="BC4568" s="3" t="s">
        <v>142</v>
      </c>
      <c r="BD4568" s="3" t="s">
        <v>68</v>
      </c>
      <c r="BE4568" s="3" t="s">
        <v>43662</v>
      </c>
      <c r="BF4568" s="3" t="s">
        <v>43661</v>
      </c>
      <c r="BG4568" s="3" t="s">
        <v>43663</v>
      </c>
    </row>
    <row r="4569" spans="1:59" ht="57" x14ac:dyDescent="0.45">
      <c r="A4569" s="2" t="s">
        <v>59</v>
      </c>
      <c r="B4569" s="2" t="s">
        <v>60</v>
      </c>
      <c r="C4569" s="2" t="s">
        <v>43664</v>
      </c>
      <c r="D4569" s="2" t="s">
        <v>43665</v>
      </c>
      <c r="E4569" s="2" t="s">
        <v>43666</v>
      </c>
      <c r="G4569" s="3" t="s">
        <v>62</v>
      </c>
      <c r="I4569" s="3" t="s">
        <v>62</v>
      </c>
      <c r="J4569" s="3" t="s">
        <v>62</v>
      </c>
      <c r="K4569" s="3" t="s">
        <v>63</v>
      </c>
      <c r="M4569" s="2" t="s">
        <v>34438</v>
      </c>
      <c r="N4569" s="3" t="s">
        <v>1465</v>
      </c>
      <c r="P4569" s="3" t="s">
        <v>65</v>
      </c>
      <c r="Q4569" s="2" t="s">
        <v>43667</v>
      </c>
      <c r="R4569" s="3" t="s">
        <v>66</v>
      </c>
      <c r="S4569" s="4">
        <v>1</v>
      </c>
      <c r="T4569" s="4">
        <v>1</v>
      </c>
      <c r="U4569" s="5" t="s">
        <v>31526</v>
      </c>
      <c r="V4569" s="5" t="s">
        <v>31526</v>
      </c>
      <c r="W4569" s="5" t="s">
        <v>67</v>
      </c>
      <c r="X4569" s="5" t="s">
        <v>67</v>
      </c>
      <c r="Y4569" s="4">
        <v>80</v>
      </c>
      <c r="Z4569" s="4">
        <v>9</v>
      </c>
      <c r="AA4569" s="4">
        <v>98</v>
      </c>
      <c r="AB4569" s="4">
        <v>2</v>
      </c>
      <c r="AC4569" s="4">
        <v>18</v>
      </c>
      <c r="AD4569" s="4">
        <v>37</v>
      </c>
      <c r="AE4569" s="4">
        <v>116</v>
      </c>
      <c r="AF4569" s="4">
        <v>0</v>
      </c>
      <c r="AG4569" s="4">
        <v>8</v>
      </c>
      <c r="AH4569" s="4">
        <v>36</v>
      </c>
      <c r="AI4569" s="4">
        <v>80</v>
      </c>
      <c r="AJ4569" s="4">
        <v>6</v>
      </c>
      <c r="AK4569" s="4">
        <v>22</v>
      </c>
      <c r="AL4569" s="4">
        <v>25</v>
      </c>
      <c r="AM4569" s="4">
        <v>41</v>
      </c>
      <c r="AN4569" s="4">
        <v>0</v>
      </c>
      <c r="AO4569" s="4">
        <v>0</v>
      </c>
      <c r="AP4569" s="4">
        <v>6</v>
      </c>
      <c r="AQ4569" s="4">
        <v>44</v>
      </c>
      <c r="AR4569" s="3" t="s">
        <v>62</v>
      </c>
      <c r="AS4569" s="3" t="s">
        <v>62</v>
      </c>
      <c r="AT4569" s="3" t="s">
        <v>62</v>
      </c>
      <c r="AV4569" s="6" t="str">
        <f>HYPERLINK("http://mcgill.on.worldcat.org/oclc/276229003","Catalog Record")</f>
        <v>Catalog Record</v>
      </c>
      <c r="AW4569" s="6" t="str">
        <f>HYPERLINK("http://www.worldcat.org/oclc/276229003","WorldCat Record")</f>
        <v>WorldCat Record</v>
      </c>
      <c r="AX4569" s="3" t="s">
        <v>43668</v>
      </c>
      <c r="AY4569" s="3" t="s">
        <v>43669</v>
      </c>
      <c r="AZ4569" s="3" t="s">
        <v>43670</v>
      </c>
      <c r="BA4569" s="3" t="s">
        <v>43670</v>
      </c>
      <c r="BB4569" s="3" t="s">
        <v>43671</v>
      </c>
      <c r="BC4569" s="3" t="s">
        <v>142</v>
      </c>
      <c r="BD4569" s="3" t="s">
        <v>68</v>
      </c>
      <c r="BE4569" s="3" t="s">
        <v>43672</v>
      </c>
      <c r="BF4569" s="3" t="s">
        <v>43671</v>
      </c>
      <c r="BG4569" s="3" t="s">
        <v>43673</v>
      </c>
    </row>
    <row r="4570" spans="1:59" ht="57" x14ac:dyDescent="0.45">
      <c r="A4570" s="2" t="s">
        <v>59</v>
      </c>
      <c r="B4570" s="2" t="s">
        <v>60</v>
      </c>
      <c r="C4570" s="2" t="s">
        <v>43674</v>
      </c>
      <c r="D4570" s="2" t="s">
        <v>43675</v>
      </c>
      <c r="E4570" s="2" t="s">
        <v>43676</v>
      </c>
      <c r="G4570" s="3" t="s">
        <v>62</v>
      </c>
      <c r="I4570" s="3" t="s">
        <v>62</v>
      </c>
      <c r="J4570" s="3" t="s">
        <v>62</v>
      </c>
      <c r="K4570" s="3" t="s">
        <v>63</v>
      </c>
      <c r="M4570" s="2" t="s">
        <v>43677</v>
      </c>
      <c r="N4570" s="3" t="s">
        <v>945</v>
      </c>
      <c r="P4570" s="3" t="s">
        <v>65</v>
      </c>
      <c r="Q4570" s="2" t="s">
        <v>25438</v>
      </c>
      <c r="R4570" s="3" t="s">
        <v>66</v>
      </c>
      <c r="S4570" s="4">
        <v>4</v>
      </c>
      <c r="T4570" s="4">
        <v>4</v>
      </c>
      <c r="U4570" s="5" t="s">
        <v>23151</v>
      </c>
      <c r="V4570" s="5" t="s">
        <v>23151</v>
      </c>
      <c r="W4570" s="5" t="s">
        <v>67</v>
      </c>
      <c r="X4570" s="5" t="s">
        <v>67</v>
      </c>
      <c r="Y4570" s="4">
        <v>118</v>
      </c>
      <c r="Z4570" s="4">
        <v>13</v>
      </c>
      <c r="AA4570" s="4">
        <v>15</v>
      </c>
      <c r="AB4570" s="4">
        <v>2</v>
      </c>
      <c r="AC4570" s="4">
        <v>3</v>
      </c>
      <c r="AD4570" s="4">
        <v>55</v>
      </c>
      <c r="AE4570" s="4">
        <v>58</v>
      </c>
      <c r="AF4570" s="4">
        <v>1</v>
      </c>
      <c r="AG4570" s="4">
        <v>2</v>
      </c>
      <c r="AH4570" s="4">
        <v>49</v>
      </c>
      <c r="AI4570" s="4">
        <v>51</v>
      </c>
      <c r="AJ4570" s="4">
        <v>11</v>
      </c>
      <c r="AK4570" s="4">
        <v>13</v>
      </c>
      <c r="AL4570" s="4">
        <v>30</v>
      </c>
      <c r="AM4570" s="4">
        <v>31</v>
      </c>
      <c r="AN4570" s="4">
        <v>0</v>
      </c>
      <c r="AO4570" s="4">
        <v>0</v>
      </c>
      <c r="AP4570" s="4">
        <v>11</v>
      </c>
      <c r="AQ4570" s="4">
        <v>13</v>
      </c>
      <c r="AR4570" s="3" t="s">
        <v>62</v>
      </c>
      <c r="AS4570" s="3" t="s">
        <v>62</v>
      </c>
      <c r="AT4570" s="3" t="s">
        <v>61</v>
      </c>
      <c r="AU4570" s="6" t="str">
        <f>HYPERLINK("http://catalog.hathitrust.org/Record/005552043","HathiTrust Record")</f>
        <v>HathiTrust Record</v>
      </c>
      <c r="AV4570" s="6" t="str">
        <f>HYPERLINK("http://mcgill.on.worldcat.org/oclc/76936654","Catalog Record")</f>
        <v>Catalog Record</v>
      </c>
      <c r="AW4570" s="6" t="str">
        <f>HYPERLINK("http://www.worldcat.org/oclc/76936654","WorldCat Record")</f>
        <v>WorldCat Record</v>
      </c>
      <c r="AX4570" s="3" t="s">
        <v>43678</v>
      </c>
      <c r="AY4570" s="3" t="s">
        <v>43679</v>
      </c>
      <c r="AZ4570" s="3" t="s">
        <v>43680</v>
      </c>
      <c r="BA4570" s="3" t="s">
        <v>43680</v>
      </c>
      <c r="BB4570" s="3" t="s">
        <v>43681</v>
      </c>
      <c r="BC4570" s="3" t="s">
        <v>142</v>
      </c>
      <c r="BD4570" s="3" t="s">
        <v>68</v>
      </c>
      <c r="BE4570" s="3" t="s">
        <v>43682</v>
      </c>
      <c r="BF4570" s="3" t="s">
        <v>43681</v>
      </c>
      <c r="BG4570" s="3" t="s">
        <v>43683</v>
      </c>
    </row>
    <row r="4571" spans="1:59" ht="57" x14ac:dyDescent="0.45">
      <c r="A4571" s="2" t="s">
        <v>59</v>
      </c>
      <c r="B4571" s="2" t="s">
        <v>60</v>
      </c>
      <c r="C4571" s="2" t="s">
        <v>43684</v>
      </c>
      <c r="D4571" s="2" t="s">
        <v>43685</v>
      </c>
      <c r="E4571" s="2" t="s">
        <v>43686</v>
      </c>
      <c r="G4571" s="3" t="s">
        <v>62</v>
      </c>
      <c r="I4571" s="3" t="s">
        <v>62</v>
      </c>
      <c r="J4571" s="3" t="s">
        <v>62</v>
      </c>
      <c r="K4571" s="3" t="s">
        <v>63</v>
      </c>
      <c r="L4571" s="2" t="s">
        <v>43687</v>
      </c>
      <c r="M4571" s="2" t="s">
        <v>20773</v>
      </c>
      <c r="N4571" s="3" t="s">
        <v>820</v>
      </c>
      <c r="P4571" s="3" t="s">
        <v>65</v>
      </c>
      <c r="Q4571" s="2" t="s">
        <v>43688</v>
      </c>
      <c r="R4571" s="3" t="s">
        <v>66</v>
      </c>
      <c r="S4571" s="4">
        <v>2</v>
      </c>
      <c r="T4571" s="4">
        <v>2</v>
      </c>
      <c r="U4571" s="5" t="s">
        <v>37572</v>
      </c>
      <c r="V4571" s="5" t="s">
        <v>37572</v>
      </c>
      <c r="W4571" s="5" t="s">
        <v>67</v>
      </c>
      <c r="X4571" s="5" t="s">
        <v>67</v>
      </c>
      <c r="Y4571" s="4">
        <v>89</v>
      </c>
      <c r="Z4571" s="4">
        <v>11</v>
      </c>
      <c r="AA4571" s="4">
        <v>98</v>
      </c>
      <c r="AB4571" s="4">
        <v>2</v>
      </c>
      <c r="AC4571" s="4">
        <v>17</v>
      </c>
      <c r="AD4571" s="4">
        <v>39</v>
      </c>
      <c r="AE4571" s="4">
        <v>112</v>
      </c>
      <c r="AF4571" s="4">
        <v>1</v>
      </c>
      <c r="AG4571" s="4">
        <v>8</v>
      </c>
      <c r="AH4571" s="4">
        <v>36</v>
      </c>
      <c r="AI4571" s="4">
        <v>75</v>
      </c>
      <c r="AJ4571" s="4">
        <v>9</v>
      </c>
      <c r="AK4571" s="4">
        <v>23</v>
      </c>
      <c r="AL4571" s="4">
        <v>23</v>
      </c>
      <c r="AM4571" s="4">
        <v>38</v>
      </c>
      <c r="AN4571" s="4">
        <v>0</v>
      </c>
      <c r="AO4571" s="4">
        <v>0</v>
      </c>
      <c r="AP4571" s="4">
        <v>9</v>
      </c>
      <c r="AQ4571" s="4">
        <v>45</v>
      </c>
      <c r="AR4571" s="3" t="s">
        <v>62</v>
      </c>
      <c r="AS4571" s="3" t="s">
        <v>62</v>
      </c>
      <c r="AT4571" s="3" t="s">
        <v>62</v>
      </c>
      <c r="AV4571" s="6" t="str">
        <f>HYPERLINK("http://mcgill.on.worldcat.org/oclc/164802296","Catalog Record")</f>
        <v>Catalog Record</v>
      </c>
      <c r="AW4571" s="6" t="str">
        <f>HYPERLINK("http://www.worldcat.org/oclc/164802296","WorldCat Record")</f>
        <v>WorldCat Record</v>
      </c>
      <c r="AX4571" s="3" t="s">
        <v>43689</v>
      </c>
      <c r="AY4571" s="3" t="s">
        <v>43690</v>
      </c>
      <c r="AZ4571" s="3" t="s">
        <v>43691</v>
      </c>
      <c r="BA4571" s="3" t="s">
        <v>43691</v>
      </c>
      <c r="BB4571" s="3" t="s">
        <v>43692</v>
      </c>
      <c r="BC4571" s="3" t="s">
        <v>142</v>
      </c>
      <c r="BD4571" s="3" t="s">
        <v>68</v>
      </c>
      <c r="BE4571" s="3" t="s">
        <v>43693</v>
      </c>
      <c r="BF4571" s="3" t="s">
        <v>43692</v>
      </c>
      <c r="BG4571" s="3" t="s">
        <v>43694</v>
      </c>
    </row>
    <row r="4572" spans="1:59" ht="57" x14ac:dyDescent="0.45">
      <c r="A4572" s="2" t="s">
        <v>59</v>
      </c>
      <c r="B4572" s="2" t="s">
        <v>60</v>
      </c>
      <c r="C4572" s="2" t="s">
        <v>43695</v>
      </c>
      <c r="D4572" s="2" t="s">
        <v>43696</v>
      </c>
      <c r="E4572" s="2" t="s">
        <v>43697</v>
      </c>
      <c r="G4572" s="3" t="s">
        <v>62</v>
      </c>
      <c r="I4572" s="3" t="s">
        <v>62</v>
      </c>
      <c r="J4572" s="3" t="s">
        <v>62</v>
      </c>
      <c r="K4572" s="3" t="s">
        <v>63</v>
      </c>
      <c r="L4572" s="2" t="s">
        <v>43687</v>
      </c>
      <c r="M4572" s="2" t="s">
        <v>19911</v>
      </c>
      <c r="N4572" s="3" t="s">
        <v>1155</v>
      </c>
      <c r="P4572" s="3" t="s">
        <v>65</v>
      </c>
      <c r="Q4572" s="2" t="s">
        <v>7123</v>
      </c>
      <c r="R4572" s="3" t="s">
        <v>66</v>
      </c>
      <c r="S4572" s="4">
        <v>1</v>
      </c>
      <c r="T4572" s="4">
        <v>1</v>
      </c>
      <c r="U4572" s="5" t="s">
        <v>3077</v>
      </c>
      <c r="V4572" s="5" t="s">
        <v>3077</v>
      </c>
      <c r="W4572" s="5" t="s">
        <v>67</v>
      </c>
      <c r="X4572" s="5" t="s">
        <v>67</v>
      </c>
      <c r="Y4572" s="4">
        <v>130</v>
      </c>
      <c r="Z4572" s="4">
        <v>14</v>
      </c>
      <c r="AA4572" s="4">
        <v>19</v>
      </c>
      <c r="AB4572" s="4">
        <v>1</v>
      </c>
      <c r="AC4572" s="4">
        <v>3</v>
      </c>
      <c r="AD4572" s="4">
        <v>54</v>
      </c>
      <c r="AE4572" s="4">
        <v>62</v>
      </c>
      <c r="AF4572" s="4">
        <v>0</v>
      </c>
      <c r="AG4572" s="4">
        <v>0</v>
      </c>
      <c r="AH4572" s="4">
        <v>49</v>
      </c>
      <c r="AI4572" s="4">
        <v>55</v>
      </c>
      <c r="AJ4572" s="4">
        <v>11</v>
      </c>
      <c r="AK4572" s="4">
        <v>13</v>
      </c>
      <c r="AL4572" s="4">
        <v>28</v>
      </c>
      <c r="AM4572" s="4">
        <v>32</v>
      </c>
      <c r="AN4572" s="4">
        <v>0</v>
      </c>
      <c r="AO4572" s="4">
        <v>0</v>
      </c>
      <c r="AP4572" s="4">
        <v>11</v>
      </c>
      <c r="AQ4572" s="4">
        <v>14</v>
      </c>
      <c r="AR4572" s="3" t="s">
        <v>62</v>
      </c>
      <c r="AS4572" s="3" t="s">
        <v>62</v>
      </c>
      <c r="AT4572" s="3" t="s">
        <v>62</v>
      </c>
      <c r="AV4572" s="6" t="str">
        <f>HYPERLINK("http://mcgill.on.worldcat.org/oclc/154789340","Catalog Record")</f>
        <v>Catalog Record</v>
      </c>
      <c r="AW4572" s="6" t="str">
        <f>HYPERLINK("http://www.worldcat.org/oclc/154789340","WorldCat Record")</f>
        <v>WorldCat Record</v>
      </c>
      <c r="AX4572" s="3" t="s">
        <v>43698</v>
      </c>
      <c r="AY4572" s="3" t="s">
        <v>43699</v>
      </c>
      <c r="AZ4572" s="3" t="s">
        <v>43700</v>
      </c>
      <c r="BA4572" s="3" t="s">
        <v>43700</v>
      </c>
      <c r="BB4572" s="3" t="s">
        <v>43701</v>
      </c>
      <c r="BC4572" s="3" t="s">
        <v>142</v>
      </c>
      <c r="BD4572" s="3" t="s">
        <v>68</v>
      </c>
      <c r="BE4572" s="3" t="s">
        <v>43702</v>
      </c>
      <c r="BF4572" s="3" t="s">
        <v>43701</v>
      </c>
      <c r="BG4572" s="3" t="s">
        <v>43703</v>
      </c>
    </row>
    <row r="4573" spans="1:59" ht="57" x14ac:dyDescent="0.45">
      <c r="A4573" s="2" t="s">
        <v>59</v>
      </c>
      <c r="B4573" s="2" t="s">
        <v>60</v>
      </c>
      <c r="C4573" s="2" t="s">
        <v>43704</v>
      </c>
      <c r="D4573" s="2" t="s">
        <v>43705</v>
      </c>
      <c r="E4573" s="2" t="s">
        <v>43706</v>
      </c>
      <c r="G4573" s="3" t="s">
        <v>62</v>
      </c>
      <c r="I4573" s="3" t="s">
        <v>62</v>
      </c>
      <c r="J4573" s="3" t="s">
        <v>62</v>
      </c>
      <c r="K4573" s="3" t="s">
        <v>63</v>
      </c>
      <c r="L4573" s="2" t="s">
        <v>43707</v>
      </c>
      <c r="M4573" s="2" t="s">
        <v>3925</v>
      </c>
      <c r="N4573" s="3" t="s">
        <v>149</v>
      </c>
      <c r="P4573" s="3" t="s">
        <v>65</v>
      </c>
      <c r="Q4573" s="2" t="s">
        <v>43708</v>
      </c>
      <c r="R4573" s="3" t="s">
        <v>66</v>
      </c>
      <c r="S4573" s="4">
        <v>0</v>
      </c>
      <c r="T4573" s="4">
        <v>0</v>
      </c>
      <c r="W4573" s="5" t="s">
        <v>67</v>
      </c>
      <c r="X4573" s="5" t="s">
        <v>67</v>
      </c>
      <c r="Y4573" s="4">
        <v>81</v>
      </c>
      <c r="Z4573" s="4">
        <v>13</v>
      </c>
      <c r="AA4573" s="4">
        <v>13</v>
      </c>
      <c r="AB4573" s="4">
        <v>1</v>
      </c>
      <c r="AC4573" s="4">
        <v>1</v>
      </c>
      <c r="AD4573" s="4">
        <v>42</v>
      </c>
      <c r="AE4573" s="4">
        <v>42</v>
      </c>
      <c r="AF4573" s="4">
        <v>0</v>
      </c>
      <c r="AG4573" s="4">
        <v>0</v>
      </c>
      <c r="AH4573" s="4">
        <v>38</v>
      </c>
      <c r="AI4573" s="4">
        <v>38</v>
      </c>
      <c r="AJ4573" s="4">
        <v>9</v>
      </c>
      <c r="AK4573" s="4">
        <v>9</v>
      </c>
      <c r="AL4573" s="4">
        <v>26</v>
      </c>
      <c r="AM4573" s="4">
        <v>26</v>
      </c>
      <c r="AN4573" s="4">
        <v>0</v>
      </c>
      <c r="AO4573" s="4">
        <v>0</v>
      </c>
      <c r="AP4573" s="4">
        <v>10</v>
      </c>
      <c r="AQ4573" s="4">
        <v>10</v>
      </c>
      <c r="AR4573" s="3" t="s">
        <v>62</v>
      </c>
      <c r="AS4573" s="3" t="s">
        <v>62</v>
      </c>
      <c r="AT4573" s="3" t="s">
        <v>62</v>
      </c>
      <c r="AV4573" s="6" t="str">
        <f>HYPERLINK("http://mcgill.on.worldcat.org/oclc/463675478","Catalog Record")</f>
        <v>Catalog Record</v>
      </c>
      <c r="AW4573" s="6" t="str">
        <f>HYPERLINK("http://www.worldcat.org/oclc/463675478","WorldCat Record")</f>
        <v>WorldCat Record</v>
      </c>
      <c r="AX4573" s="3" t="s">
        <v>43709</v>
      </c>
      <c r="AY4573" s="3" t="s">
        <v>43710</v>
      </c>
      <c r="AZ4573" s="3" t="s">
        <v>43711</v>
      </c>
      <c r="BA4573" s="3" t="s">
        <v>43711</v>
      </c>
      <c r="BB4573" s="3" t="s">
        <v>43712</v>
      </c>
      <c r="BC4573" s="3" t="s">
        <v>142</v>
      </c>
      <c r="BD4573" s="3" t="s">
        <v>68</v>
      </c>
      <c r="BE4573" s="3" t="s">
        <v>43713</v>
      </c>
      <c r="BF4573" s="3" t="s">
        <v>43712</v>
      </c>
      <c r="BG4573" s="3" t="s">
        <v>43714</v>
      </c>
    </row>
    <row r="4574" spans="1:59" ht="57" x14ac:dyDescent="0.45">
      <c r="A4574" s="2" t="s">
        <v>59</v>
      </c>
      <c r="B4574" s="2" t="s">
        <v>60</v>
      </c>
      <c r="C4574" s="2" t="s">
        <v>43715</v>
      </c>
      <c r="D4574" s="2" t="s">
        <v>43716</v>
      </c>
      <c r="E4574" s="2" t="s">
        <v>43717</v>
      </c>
      <c r="G4574" s="3" t="s">
        <v>62</v>
      </c>
      <c r="I4574" s="3" t="s">
        <v>62</v>
      </c>
      <c r="J4574" s="3" t="s">
        <v>61</v>
      </c>
      <c r="K4574" s="3" t="s">
        <v>63</v>
      </c>
      <c r="L4574" s="2" t="s">
        <v>43718</v>
      </c>
      <c r="M4574" s="2" t="s">
        <v>43719</v>
      </c>
      <c r="N4574" s="3" t="s">
        <v>1465</v>
      </c>
      <c r="P4574" s="3" t="s">
        <v>65</v>
      </c>
      <c r="R4574" s="3" t="s">
        <v>66</v>
      </c>
      <c r="S4574" s="4">
        <v>12</v>
      </c>
      <c r="T4574" s="4">
        <v>12</v>
      </c>
      <c r="U4574" s="5" t="s">
        <v>43720</v>
      </c>
      <c r="V4574" s="5" t="s">
        <v>43720</v>
      </c>
      <c r="W4574" s="5" t="s">
        <v>67</v>
      </c>
      <c r="X4574" s="5" t="s">
        <v>67</v>
      </c>
      <c r="Y4574" s="4">
        <v>153</v>
      </c>
      <c r="Z4574" s="4">
        <v>18</v>
      </c>
      <c r="AA4574" s="4">
        <v>30</v>
      </c>
      <c r="AB4574" s="4">
        <v>3</v>
      </c>
      <c r="AC4574" s="4">
        <v>8</v>
      </c>
      <c r="AD4574" s="4">
        <v>52</v>
      </c>
      <c r="AE4574" s="4">
        <v>80</v>
      </c>
      <c r="AF4574" s="4">
        <v>1</v>
      </c>
      <c r="AG4574" s="4">
        <v>3</v>
      </c>
      <c r="AH4574" s="4">
        <v>46</v>
      </c>
      <c r="AI4574" s="4">
        <v>67</v>
      </c>
      <c r="AJ4574" s="4">
        <v>13</v>
      </c>
      <c r="AK4574" s="4">
        <v>18</v>
      </c>
      <c r="AL4574" s="4">
        <v>28</v>
      </c>
      <c r="AM4574" s="4">
        <v>39</v>
      </c>
      <c r="AN4574" s="4">
        <v>0</v>
      </c>
      <c r="AO4574" s="4">
        <v>0</v>
      </c>
      <c r="AP4574" s="4">
        <v>15</v>
      </c>
      <c r="AQ4574" s="4">
        <v>20</v>
      </c>
      <c r="AR4574" s="3" t="s">
        <v>62</v>
      </c>
      <c r="AS4574" s="3" t="s">
        <v>62</v>
      </c>
      <c r="AT4574" s="3" t="s">
        <v>62</v>
      </c>
      <c r="AV4574" s="6" t="str">
        <f>HYPERLINK("http://mcgill.on.worldcat.org/oclc/236163602","Catalog Record")</f>
        <v>Catalog Record</v>
      </c>
      <c r="AW4574" s="6" t="str">
        <f>HYPERLINK("http://www.worldcat.org/oclc/236163602","WorldCat Record")</f>
        <v>WorldCat Record</v>
      </c>
      <c r="AX4574" s="3" t="s">
        <v>43721</v>
      </c>
      <c r="AY4574" s="3" t="s">
        <v>43722</v>
      </c>
      <c r="AZ4574" s="3" t="s">
        <v>43723</v>
      </c>
      <c r="BA4574" s="3" t="s">
        <v>43723</v>
      </c>
      <c r="BB4574" s="3" t="s">
        <v>43724</v>
      </c>
      <c r="BC4574" s="3" t="s">
        <v>142</v>
      </c>
      <c r="BD4574" s="3" t="s">
        <v>68</v>
      </c>
      <c r="BE4574" s="3" t="s">
        <v>43725</v>
      </c>
      <c r="BF4574" s="3" t="s">
        <v>43724</v>
      </c>
      <c r="BG4574" s="3" t="s">
        <v>43726</v>
      </c>
    </row>
    <row r="4575" spans="1:59" ht="57" x14ac:dyDescent="0.45">
      <c r="A4575" s="2" t="s">
        <v>59</v>
      </c>
      <c r="B4575" s="2" t="s">
        <v>60</v>
      </c>
      <c r="C4575" s="2" t="s">
        <v>43727</v>
      </c>
      <c r="D4575" s="2" t="s">
        <v>43728</v>
      </c>
      <c r="E4575" s="2" t="s">
        <v>43717</v>
      </c>
      <c r="G4575" s="3" t="s">
        <v>62</v>
      </c>
      <c r="I4575" s="3" t="s">
        <v>62</v>
      </c>
      <c r="J4575" s="3" t="s">
        <v>61</v>
      </c>
      <c r="K4575" s="3" t="s">
        <v>63</v>
      </c>
      <c r="L4575" s="2" t="s">
        <v>43729</v>
      </c>
      <c r="M4575" s="2" t="s">
        <v>34027</v>
      </c>
      <c r="N4575" s="3" t="s">
        <v>1918</v>
      </c>
      <c r="O4575" s="2" t="s">
        <v>3280</v>
      </c>
      <c r="P4575" s="3" t="s">
        <v>65</v>
      </c>
      <c r="R4575" s="3" t="s">
        <v>66</v>
      </c>
      <c r="S4575" s="4">
        <v>4</v>
      </c>
      <c r="T4575" s="4">
        <v>4</v>
      </c>
      <c r="U4575" s="5" t="s">
        <v>1640</v>
      </c>
      <c r="V4575" s="5" t="s">
        <v>1640</v>
      </c>
      <c r="W4575" s="5" t="s">
        <v>67</v>
      </c>
      <c r="X4575" s="5" t="s">
        <v>67</v>
      </c>
      <c r="Y4575" s="4">
        <v>42</v>
      </c>
      <c r="Z4575" s="4">
        <v>4</v>
      </c>
      <c r="AA4575" s="4">
        <v>30</v>
      </c>
      <c r="AB4575" s="4">
        <v>1</v>
      </c>
      <c r="AC4575" s="4">
        <v>8</v>
      </c>
      <c r="AD4575" s="4">
        <v>20</v>
      </c>
      <c r="AE4575" s="4">
        <v>80</v>
      </c>
      <c r="AF4575" s="4">
        <v>0</v>
      </c>
      <c r="AG4575" s="4">
        <v>3</v>
      </c>
      <c r="AH4575" s="4">
        <v>18</v>
      </c>
      <c r="AI4575" s="4">
        <v>67</v>
      </c>
      <c r="AJ4575" s="4">
        <v>3</v>
      </c>
      <c r="AK4575" s="4">
        <v>18</v>
      </c>
      <c r="AL4575" s="4">
        <v>10</v>
      </c>
      <c r="AM4575" s="4">
        <v>39</v>
      </c>
      <c r="AN4575" s="4">
        <v>0</v>
      </c>
      <c r="AO4575" s="4">
        <v>0</v>
      </c>
      <c r="AP4575" s="4">
        <v>3</v>
      </c>
      <c r="AQ4575" s="4">
        <v>20</v>
      </c>
      <c r="AR4575" s="3" t="s">
        <v>62</v>
      </c>
      <c r="AS4575" s="3" t="s">
        <v>62</v>
      </c>
      <c r="AT4575" s="3" t="s">
        <v>62</v>
      </c>
      <c r="AV4575" s="6" t="str">
        <f>HYPERLINK("http://mcgill.on.worldcat.org/oclc/962054679","Catalog Record")</f>
        <v>Catalog Record</v>
      </c>
      <c r="AW4575" s="6" t="str">
        <f>HYPERLINK("http://www.worldcat.org/oclc/962054679","WorldCat Record")</f>
        <v>WorldCat Record</v>
      </c>
      <c r="AX4575" s="3" t="s">
        <v>43721</v>
      </c>
      <c r="AY4575" s="3" t="s">
        <v>43730</v>
      </c>
      <c r="AZ4575" s="3" t="s">
        <v>43731</v>
      </c>
      <c r="BA4575" s="3" t="s">
        <v>43731</v>
      </c>
      <c r="BB4575" s="3" t="s">
        <v>43732</v>
      </c>
      <c r="BC4575" s="3" t="s">
        <v>142</v>
      </c>
      <c r="BD4575" s="3" t="s">
        <v>308</v>
      </c>
      <c r="BE4575" s="3" t="s">
        <v>43733</v>
      </c>
      <c r="BF4575" s="3" t="s">
        <v>43732</v>
      </c>
      <c r="BG4575" s="3" t="s">
        <v>43734</v>
      </c>
    </row>
    <row r="4576" spans="1:59" ht="57" x14ac:dyDescent="0.45">
      <c r="A4576" s="2" t="s">
        <v>59</v>
      </c>
      <c r="B4576" s="2" t="s">
        <v>60</v>
      </c>
      <c r="C4576" s="2" t="s">
        <v>43735</v>
      </c>
      <c r="D4576" s="2" t="s">
        <v>43736</v>
      </c>
      <c r="E4576" s="2" t="s">
        <v>43737</v>
      </c>
      <c r="G4576" s="3" t="s">
        <v>62</v>
      </c>
      <c r="I4576" s="3" t="s">
        <v>62</v>
      </c>
      <c r="J4576" s="3" t="s">
        <v>62</v>
      </c>
      <c r="K4576" s="3" t="s">
        <v>63</v>
      </c>
      <c r="L4576" s="2" t="s">
        <v>43738</v>
      </c>
      <c r="M4576" s="2" t="s">
        <v>21345</v>
      </c>
      <c r="N4576" s="3" t="s">
        <v>894</v>
      </c>
      <c r="P4576" s="3" t="s">
        <v>65</v>
      </c>
      <c r="Q4576" s="2" t="s">
        <v>8496</v>
      </c>
      <c r="R4576" s="3" t="s">
        <v>66</v>
      </c>
      <c r="S4576" s="4">
        <v>0</v>
      </c>
      <c r="T4576" s="4">
        <v>0</v>
      </c>
      <c r="W4576" s="5" t="s">
        <v>67</v>
      </c>
      <c r="X4576" s="5" t="s">
        <v>67</v>
      </c>
      <c r="Y4576" s="4">
        <v>72</v>
      </c>
      <c r="Z4576" s="4">
        <v>7</v>
      </c>
      <c r="AA4576" s="4">
        <v>80</v>
      </c>
      <c r="AB4576" s="4">
        <v>1</v>
      </c>
      <c r="AC4576" s="4">
        <v>14</v>
      </c>
      <c r="AD4576" s="4">
        <v>32</v>
      </c>
      <c r="AE4576" s="4">
        <v>106</v>
      </c>
      <c r="AF4576" s="4">
        <v>0</v>
      </c>
      <c r="AG4576" s="4">
        <v>8</v>
      </c>
      <c r="AH4576" s="4">
        <v>32</v>
      </c>
      <c r="AI4576" s="4">
        <v>74</v>
      </c>
      <c r="AJ4576" s="4">
        <v>5</v>
      </c>
      <c r="AK4576" s="4">
        <v>20</v>
      </c>
      <c r="AL4576" s="4">
        <v>18</v>
      </c>
      <c r="AM4576" s="4">
        <v>38</v>
      </c>
      <c r="AN4576" s="4">
        <v>0</v>
      </c>
      <c r="AO4576" s="4">
        <v>0</v>
      </c>
      <c r="AP4576" s="4">
        <v>5</v>
      </c>
      <c r="AQ4576" s="4">
        <v>40</v>
      </c>
      <c r="AR4576" s="3" t="s">
        <v>62</v>
      </c>
      <c r="AS4576" s="3" t="s">
        <v>62</v>
      </c>
      <c r="AT4576" s="3" t="s">
        <v>62</v>
      </c>
      <c r="AV4576" s="6" t="str">
        <f>HYPERLINK("http://mcgill.on.worldcat.org/oclc/657602590","Catalog Record")</f>
        <v>Catalog Record</v>
      </c>
      <c r="AW4576" s="6" t="str">
        <f>HYPERLINK("http://www.worldcat.org/oclc/657602590","WorldCat Record")</f>
        <v>WorldCat Record</v>
      </c>
      <c r="AX4576" s="3" t="s">
        <v>43739</v>
      </c>
      <c r="AY4576" s="3" t="s">
        <v>43740</v>
      </c>
      <c r="AZ4576" s="3" t="s">
        <v>43741</v>
      </c>
      <c r="BA4576" s="3" t="s">
        <v>43741</v>
      </c>
      <c r="BB4576" s="3" t="s">
        <v>43742</v>
      </c>
      <c r="BC4576" s="3" t="s">
        <v>142</v>
      </c>
      <c r="BD4576" s="3" t="s">
        <v>68</v>
      </c>
      <c r="BE4576" s="3" t="s">
        <v>43743</v>
      </c>
      <c r="BF4576" s="3" t="s">
        <v>43742</v>
      </c>
      <c r="BG4576" s="3" t="s">
        <v>43744</v>
      </c>
    </row>
    <row r="4577" spans="1:59" ht="71.25" x14ac:dyDescent="0.45">
      <c r="A4577" s="2" t="s">
        <v>59</v>
      </c>
      <c r="B4577" s="2" t="s">
        <v>60</v>
      </c>
      <c r="C4577" s="2" t="s">
        <v>43745</v>
      </c>
      <c r="D4577" s="2" t="s">
        <v>43746</v>
      </c>
      <c r="E4577" s="2" t="s">
        <v>43747</v>
      </c>
      <c r="G4577" s="3" t="s">
        <v>62</v>
      </c>
      <c r="I4577" s="3" t="s">
        <v>62</v>
      </c>
      <c r="J4577" s="3" t="s">
        <v>62</v>
      </c>
      <c r="K4577" s="3" t="s">
        <v>63</v>
      </c>
      <c r="L4577" s="2" t="s">
        <v>43748</v>
      </c>
      <c r="M4577" s="2" t="s">
        <v>29225</v>
      </c>
      <c r="N4577" s="3" t="s">
        <v>149</v>
      </c>
      <c r="P4577" s="3" t="s">
        <v>65</v>
      </c>
      <c r="Q4577" s="2" t="s">
        <v>43749</v>
      </c>
      <c r="R4577" s="3" t="s">
        <v>66</v>
      </c>
      <c r="S4577" s="4">
        <v>0</v>
      </c>
      <c r="T4577" s="4">
        <v>0</v>
      </c>
      <c r="W4577" s="5" t="s">
        <v>67</v>
      </c>
      <c r="X4577" s="5" t="s">
        <v>67</v>
      </c>
      <c r="Y4577" s="4">
        <v>37</v>
      </c>
      <c r="Z4577" s="4">
        <v>8</v>
      </c>
      <c r="AA4577" s="4">
        <v>32</v>
      </c>
      <c r="AB4577" s="4">
        <v>1</v>
      </c>
      <c r="AC4577" s="4">
        <v>7</v>
      </c>
      <c r="AD4577" s="4">
        <v>17</v>
      </c>
      <c r="AE4577" s="4">
        <v>29</v>
      </c>
      <c r="AF4577" s="4">
        <v>0</v>
      </c>
      <c r="AG4577" s="4">
        <v>1</v>
      </c>
      <c r="AH4577" s="4">
        <v>14</v>
      </c>
      <c r="AI4577" s="4">
        <v>20</v>
      </c>
      <c r="AJ4577" s="4">
        <v>5</v>
      </c>
      <c r="AK4577" s="4">
        <v>6</v>
      </c>
      <c r="AL4577" s="4">
        <v>10</v>
      </c>
      <c r="AM4577" s="4">
        <v>14</v>
      </c>
      <c r="AN4577" s="4">
        <v>0</v>
      </c>
      <c r="AO4577" s="4">
        <v>0</v>
      </c>
      <c r="AP4577" s="4">
        <v>5</v>
      </c>
      <c r="AQ4577" s="4">
        <v>10</v>
      </c>
      <c r="AR4577" s="3" t="s">
        <v>62</v>
      </c>
      <c r="AS4577" s="3" t="s">
        <v>62</v>
      </c>
      <c r="AT4577" s="3" t="s">
        <v>62</v>
      </c>
      <c r="AV4577" s="6" t="str">
        <f>HYPERLINK("http://mcgill.on.worldcat.org/oclc/683596250","Catalog Record")</f>
        <v>Catalog Record</v>
      </c>
      <c r="AW4577" s="6" t="str">
        <f>HYPERLINK("http://www.worldcat.org/oclc/683596250","WorldCat Record")</f>
        <v>WorldCat Record</v>
      </c>
      <c r="AX4577" s="3" t="s">
        <v>43750</v>
      </c>
      <c r="AY4577" s="3" t="s">
        <v>43751</v>
      </c>
      <c r="AZ4577" s="3" t="s">
        <v>43752</v>
      </c>
      <c r="BA4577" s="3" t="s">
        <v>43752</v>
      </c>
      <c r="BB4577" s="3" t="s">
        <v>43753</v>
      </c>
      <c r="BC4577" s="3" t="s">
        <v>142</v>
      </c>
      <c r="BD4577" s="3" t="s">
        <v>68</v>
      </c>
      <c r="BE4577" s="3" t="s">
        <v>43754</v>
      </c>
      <c r="BF4577" s="3" t="s">
        <v>43753</v>
      </c>
      <c r="BG4577" s="3" t="s">
        <v>43755</v>
      </c>
    </row>
    <row r="4578" spans="1:59" ht="57" x14ac:dyDescent="0.45">
      <c r="A4578" s="2" t="s">
        <v>59</v>
      </c>
      <c r="B4578" s="2" t="s">
        <v>60</v>
      </c>
      <c r="C4578" s="2" t="s">
        <v>43756</v>
      </c>
      <c r="D4578" s="2" t="s">
        <v>43757</v>
      </c>
      <c r="E4578" s="2" t="s">
        <v>43758</v>
      </c>
      <c r="G4578" s="3" t="s">
        <v>62</v>
      </c>
      <c r="I4578" s="3" t="s">
        <v>62</v>
      </c>
      <c r="J4578" s="3" t="s">
        <v>62</v>
      </c>
      <c r="K4578" s="3" t="s">
        <v>63</v>
      </c>
      <c r="L4578" s="2" t="s">
        <v>43759</v>
      </c>
      <c r="M4578" s="2" t="s">
        <v>6141</v>
      </c>
      <c r="N4578" s="3" t="s">
        <v>894</v>
      </c>
      <c r="P4578" s="3" t="s">
        <v>65</v>
      </c>
      <c r="Q4578" s="2" t="s">
        <v>43760</v>
      </c>
      <c r="R4578" s="3" t="s">
        <v>66</v>
      </c>
      <c r="S4578" s="4">
        <v>1</v>
      </c>
      <c r="T4578" s="4">
        <v>1</v>
      </c>
      <c r="U4578" s="5" t="s">
        <v>12425</v>
      </c>
      <c r="V4578" s="5" t="s">
        <v>12425</v>
      </c>
      <c r="W4578" s="5" t="s">
        <v>67</v>
      </c>
      <c r="X4578" s="5" t="s">
        <v>67</v>
      </c>
      <c r="Y4578" s="4">
        <v>122</v>
      </c>
      <c r="Z4578" s="4">
        <v>16</v>
      </c>
      <c r="AA4578" s="4">
        <v>23</v>
      </c>
      <c r="AB4578" s="4">
        <v>2</v>
      </c>
      <c r="AC4578" s="4">
        <v>7</v>
      </c>
      <c r="AD4578" s="4">
        <v>62</v>
      </c>
      <c r="AE4578" s="4">
        <v>79</v>
      </c>
      <c r="AF4578" s="4">
        <v>1</v>
      </c>
      <c r="AG4578" s="4">
        <v>3</v>
      </c>
      <c r="AH4578" s="4">
        <v>55</v>
      </c>
      <c r="AI4578" s="4">
        <v>71</v>
      </c>
      <c r="AJ4578" s="4">
        <v>13</v>
      </c>
      <c r="AK4578" s="4">
        <v>16</v>
      </c>
      <c r="AL4578" s="4">
        <v>35</v>
      </c>
      <c r="AM4578" s="4">
        <v>43</v>
      </c>
      <c r="AN4578" s="4">
        <v>0</v>
      </c>
      <c r="AO4578" s="4">
        <v>0</v>
      </c>
      <c r="AP4578" s="4">
        <v>13</v>
      </c>
      <c r="AQ4578" s="4">
        <v>16</v>
      </c>
      <c r="AR4578" s="3" t="s">
        <v>62</v>
      </c>
      <c r="AS4578" s="3" t="s">
        <v>62</v>
      </c>
      <c r="AT4578" s="3" t="s">
        <v>62</v>
      </c>
      <c r="AV4578" s="6" t="str">
        <f>HYPERLINK("http://mcgill.on.worldcat.org/oclc/377865910","Catalog Record")</f>
        <v>Catalog Record</v>
      </c>
      <c r="AW4578" s="6" t="str">
        <f>HYPERLINK("http://www.worldcat.org/oclc/377865910","WorldCat Record")</f>
        <v>WorldCat Record</v>
      </c>
      <c r="AX4578" s="3" t="s">
        <v>43761</v>
      </c>
      <c r="AY4578" s="3" t="s">
        <v>43762</v>
      </c>
      <c r="AZ4578" s="3" t="s">
        <v>43763</v>
      </c>
      <c r="BA4578" s="3" t="s">
        <v>43763</v>
      </c>
      <c r="BB4578" s="3" t="s">
        <v>43764</v>
      </c>
      <c r="BC4578" s="3" t="s">
        <v>142</v>
      </c>
      <c r="BD4578" s="3" t="s">
        <v>68</v>
      </c>
      <c r="BE4578" s="3" t="s">
        <v>43765</v>
      </c>
      <c r="BF4578" s="3" t="s">
        <v>43764</v>
      </c>
      <c r="BG4578" s="3" t="s">
        <v>43766</v>
      </c>
    </row>
    <row r="4579" spans="1:59" ht="57" x14ac:dyDescent="0.45">
      <c r="A4579" s="2" t="s">
        <v>59</v>
      </c>
      <c r="B4579" s="2" t="s">
        <v>60</v>
      </c>
      <c r="C4579" s="2" t="s">
        <v>43767</v>
      </c>
      <c r="D4579" s="2" t="s">
        <v>43768</v>
      </c>
      <c r="E4579" s="2" t="s">
        <v>43769</v>
      </c>
      <c r="G4579" s="3" t="s">
        <v>62</v>
      </c>
      <c r="I4579" s="3" t="s">
        <v>62</v>
      </c>
      <c r="J4579" s="3" t="s">
        <v>62</v>
      </c>
      <c r="K4579" s="3" t="s">
        <v>63</v>
      </c>
      <c r="M4579" s="2" t="s">
        <v>41149</v>
      </c>
      <c r="N4579" s="3" t="s">
        <v>149</v>
      </c>
      <c r="P4579" s="3" t="s">
        <v>65</v>
      </c>
      <c r="R4579" s="3" t="s">
        <v>66</v>
      </c>
      <c r="S4579" s="4">
        <v>1</v>
      </c>
      <c r="T4579" s="4">
        <v>1</v>
      </c>
      <c r="W4579" s="5" t="s">
        <v>67</v>
      </c>
      <c r="X4579" s="5" t="s">
        <v>67</v>
      </c>
      <c r="Y4579" s="4">
        <v>93</v>
      </c>
      <c r="Z4579" s="4">
        <v>11</v>
      </c>
      <c r="AA4579" s="4">
        <v>98</v>
      </c>
      <c r="AB4579" s="4">
        <v>1</v>
      </c>
      <c r="AC4579" s="4">
        <v>17</v>
      </c>
      <c r="AD4579" s="4">
        <v>40</v>
      </c>
      <c r="AE4579" s="4">
        <v>118</v>
      </c>
      <c r="AF4579" s="4">
        <v>0</v>
      </c>
      <c r="AG4579" s="4">
        <v>8</v>
      </c>
      <c r="AH4579" s="4">
        <v>36</v>
      </c>
      <c r="AI4579" s="4">
        <v>82</v>
      </c>
      <c r="AJ4579" s="4">
        <v>9</v>
      </c>
      <c r="AK4579" s="4">
        <v>23</v>
      </c>
      <c r="AL4579" s="4">
        <v>23</v>
      </c>
      <c r="AM4579" s="4">
        <v>42</v>
      </c>
      <c r="AN4579" s="4">
        <v>0</v>
      </c>
      <c r="AO4579" s="4">
        <v>0</v>
      </c>
      <c r="AP4579" s="4">
        <v>9</v>
      </c>
      <c r="AQ4579" s="4">
        <v>44</v>
      </c>
      <c r="AR4579" s="3" t="s">
        <v>62</v>
      </c>
      <c r="AS4579" s="3" t="s">
        <v>62</v>
      </c>
      <c r="AT4579" s="3" t="s">
        <v>62</v>
      </c>
      <c r="AV4579" s="6" t="str">
        <f>HYPERLINK("http://mcgill.on.worldcat.org/oclc/637713016","Catalog Record")</f>
        <v>Catalog Record</v>
      </c>
      <c r="AW4579" s="6" t="str">
        <f>HYPERLINK("http://www.worldcat.org/oclc/637713016","WorldCat Record")</f>
        <v>WorldCat Record</v>
      </c>
      <c r="AX4579" s="3" t="s">
        <v>43770</v>
      </c>
      <c r="AY4579" s="3" t="s">
        <v>43771</v>
      </c>
      <c r="AZ4579" s="3" t="s">
        <v>43772</v>
      </c>
      <c r="BA4579" s="3" t="s">
        <v>43772</v>
      </c>
      <c r="BB4579" s="3" t="s">
        <v>43773</v>
      </c>
      <c r="BC4579" s="3" t="s">
        <v>142</v>
      </c>
      <c r="BD4579" s="3" t="s">
        <v>308</v>
      </c>
      <c r="BE4579" s="3" t="s">
        <v>43774</v>
      </c>
      <c r="BF4579" s="3" t="s">
        <v>43773</v>
      </c>
      <c r="BG4579" s="3" t="s">
        <v>43775</v>
      </c>
    </row>
    <row r="4580" spans="1:59" ht="71.25" x14ac:dyDescent="0.45">
      <c r="A4580" s="2" t="s">
        <v>59</v>
      </c>
      <c r="B4580" s="2" t="s">
        <v>60</v>
      </c>
      <c r="C4580" s="2" t="s">
        <v>43776</v>
      </c>
      <c r="D4580" s="2" t="s">
        <v>43777</v>
      </c>
      <c r="E4580" s="2" t="s">
        <v>43778</v>
      </c>
      <c r="G4580" s="3" t="s">
        <v>62</v>
      </c>
      <c r="I4580" s="3" t="s">
        <v>62</v>
      </c>
      <c r="J4580" s="3" t="s">
        <v>62</v>
      </c>
      <c r="K4580" s="3" t="s">
        <v>63</v>
      </c>
      <c r="L4580" s="2" t="s">
        <v>43779</v>
      </c>
      <c r="M4580" s="2" t="s">
        <v>12999</v>
      </c>
      <c r="N4580" s="3" t="s">
        <v>116</v>
      </c>
      <c r="P4580" s="3" t="s">
        <v>65</v>
      </c>
      <c r="Q4580" s="2" t="s">
        <v>43780</v>
      </c>
      <c r="R4580" s="3" t="s">
        <v>66</v>
      </c>
      <c r="S4580" s="4">
        <v>1</v>
      </c>
      <c r="T4580" s="4">
        <v>1</v>
      </c>
      <c r="U4580" s="5" t="s">
        <v>43720</v>
      </c>
      <c r="V4580" s="5" t="s">
        <v>43720</v>
      </c>
      <c r="W4580" s="5" t="s">
        <v>67</v>
      </c>
      <c r="X4580" s="5" t="s">
        <v>67</v>
      </c>
      <c r="Y4580" s="4">
        <v>119</v>
      </c>
      <c r="Z4580" s="4">
        <v>13</v>
      </c>
      <c r="AA4580" s="4">
        <v>76</v>
      </c>
      <c r="AB4580" s="4">
        <v>1</v>
      </c>
      <c r="AC4580" s="4">
        <v>15</v>
      </c>
      <c r="AD4580" s="4">
        <v>57</v>
      </c>
      <c r="AE4580" s="4">
        <v>113</v>
      </c>
      <c r="AF4580" s="4">
        <v>0</v>
      </c>
      <c r="AG4580" s="4">
        <v>8</v>
      </c>
      <c r="AH4580" s="4">
        <v>53</v>
      </c>
      <c r="AI4580" s="4">
        <v>81</v>
      </c>
      <c r="AJ4580" s="4">
        <v>10</v>
      </c>
      <c r="AK4580" s="4">
        <v>22</v>
      </c>
      <c r="AL4580" s="4">
        <v>32</v>
      </c>
      <c r="AM4580" s="4">
        <v>44</v>
      </c>
      <c r="AN4580" s="4">
        <v>0</v>
      </c>
      <c r="AO4580" s="4">
        <v>0</v>
      </c>
      <c r="AP4580" s="4">
        <v>11</v>
      </c>
      <c r="AQ4580" s="4">
        <v>41</v>
      </c>
      <c r="AR4580" s="3" t="s">
        <v>62</v>
      </c>
      <c r="AS4580" s="3" t="s">
        <v>62</v>
      </c>
      <c r="AT4580" s="3" t="s">
        <v>62</v>
      </c>
      <c r="AV4580" s="6" t="str">
        <f>HYPERLINK("http://mcgill.on.worldcat.org/oclc/800447599","Catalog Record")</f>
        <v>Catalog Record</v>
      </c>
      <c r="AW4580" s="6" t="str">
        <f>HYPERLINK("http://www.worldcat.org/oclc/800447599","WorldCat Record")</f>
        <v>WorldCat Record</v>
      </c>
      <c r="AX4580" s="3" t="s">
        <v>43781</v>
      </c>
      <c r="AY4580" s="3" t="s">
        <v>43782</v>
      </c>
      <c r="AZ4580" s="3" t="s">
        <v>43783</v>
      </c>
      <c r="BA4580" s="3" t="s">
        <v>43783</v>
      </c>
      <c r="BB4580" s="3" t="s">
        <v>43784</v>
      </c>
      <c r="BC4580" s="3" t="s">
        <v>142</v>
      </c>
      <c r="BD4580" s="3" t="s">
        <v>68</v>
      </c>
      <c r="BE4580" s="3" t="s">
        <v>43785</v>
      </c>
      <c r="BF4580" s="3" t="s">
        <v>43784</v>
      </c>
      <c r="BG4580" s="3" t="s">
        <v>43786</v>
      </c>
    </row>
    <row r="4581" spans="1:59" ht="71.25" x14ac:dyDescent="0.45">
      <c r="A4581" s="2" t="s">
        <v>59</v>
      </c>
      <c r="B4581" s="2" t="s">
        <v>60</v>
      </c>
      <c r="C4581" s="2" t="s">
        <v>43787</v>
      </c>
      <c r="D4581" s="2" t="s">
        <v>43788</v>
      </c>
      <c r="E4581" s="2" t="s">
        <v>43789</v>
      </c>
      <c r="G4581" s="3" t="s">
        <v>62</v>
      </c>
      <c r="I4581" s="3" t="s">
        <v>62</v>
      </c>
      <c r="J4581" s="3" t="s">
        <v>62</v>
      </c>
      <c r="K4581" s="3" t="s">
        <v>63</v>
      </c>
      <c r="L4581" s="2" t="s">
        <v>43790</v>
      </c>
      <c r="M4581" s="2" t="s">
        <v>1713</v>
      </c>
      <c r="N4581" s="3" t="s">
        <v>1155</v>
      </c>
      <c r="P4581" s="3" t="s">
        <v>65</v>
      </c>
      <c r="Q4581" s="2" t="s">
        <v>29735</v>
      </c>
      <c r="R4581" s="3" t="s">
        <v>66</v>
      </c>
      <c r="S4581" s="4">
        <v>4</v>
      </c>
      <c r="T4581" s="4">
        <v>4</v>
      </c>
      <c r="U4581" s="5" t="s">
        <v>3077</v>
      </c>
      <c r="V4581" s="5" t="s">
        <v>3077</v>
      </c>
      <c r="W4581" s="5" t="s">
        <v>67</v>
      </c>
      <c r="X4581" s="5" t="s">
        <v>67</v>
      </c>
      <c r="Y4581" s="4">
        <v>141</v>
      </c>
      <c r="Z4581" s="4">
        <v>11</v>
      </c>
      <c r="AA4581" s="4">
        <v>73</v>
      </c>
      <c r="AB4581" s="4">
        <v>1</v>
      </c>
      <c r="AC4581" s="4">
        <v>14</v>
      </c>
      <c r="AD4581" s="4">
        <v>40</v>
      </c>
      <c r="AE4581" s="4">
        <v>95</v>
      </c>
      <c r="AF4581" s="4">
        <v>0</v>
      </c>
      <c r="AG4581" s="4">
        <v>8</v>
      </c>
      <c r="AH4581" s="4">
        <v>37</v>
      </c>
      <c r="AI4581" s="4">
        <v>64</v>
      </c>
      <c r="AJ4581" s="4">
        <v>7</v>
      </c>
      <c r="AK4581" s="4">
        <v>18</v>
      </c>
      <c r="AL4581" s="4">
        <v>17</v>
      </c>
      <c r="AM4581" s="4">
        <v>33</v>
      </c>
      <c r="AN4581" s="4">
        <v>0</v>
      </c>
      <c r="AO4581" s="4">
        <v>0</v>
      </c>
      <c r="AP4581" s="4">
        <v>8</v>
      </c>
      <c r="AQ4581" s="4">
        <v>37</v>
      </c>
      <c r="AR4581" s="3" t="s">
        <v>62</v>
      </c>
      <c r="AS4581" s="3" t="s">
        <v>62</v>
      </c>
      <c r="AT4581" s="3" t="s">
        <v>62</v>
      </c>
      <c r="AV4581" s="6" t="str">
        <f>HYPERLINK("http://mcgill.on.worldcat.org/oclc/732967848","Catalog Record")</f>
        <v>Catalog Record</v>
      </c>
      <c r="AW4581" s="6" t="str">
        <f>HYPERLINK("http://www.worldcat.org/oclc/732967848","WorldCat Record")</f>
        <v>WorldCat Record</v>
      </c>
      <c r="AX4581" s="3" t="s">
        <v>43791</v>
      </c>
      <c r="AY4581" s="3" t="s">
        <v>43792</v>
      </c>
      <c r="AZ4581" s="3" t="s">
        <v>43793</v>
      </c>
      <c r="BA4581" s="3" t="s">
        <v>43793</v>
      </c>
      <c r="BB4581" s="3" t="s">
        <v>43794</v>
      </c>
      <c r="BC4581" s="3" t="s">
        <v>142</v>
      </c>
      <c r="BD4581" s="3" t="s">
        <v>68</v>
      </c>
      <c r="BE4581" s="3" t="s">
        <v>43795</v>
      </c>
      <c r="BF4581" s="3" t="s">
        <v>43794</v>
      </c>
      <c r="BG4581" s="3" t="s">
        <v>43796</v>
      </c>
    </row>
    <row r="4582" spans="1:59" ht="71.25" x14ac:dyDescent="0.45">
      <c r="A4582" s="2" t="s">
        <v>59</v>
      </c>
      <c r="B4582" s="2" t="s">
        <v>60</v>
      </c>
      <c r="C4582" s="2" t="s">
        <v>43797</v>
      </c>
      <c r="D4582" s="2" t="s">
        <v>43798</v>
      </c>
      <c r="E4582" s="2" t="s">
        <v>43799</v>
      </c>
      <c r="G4582" s="3" t="s">
        <v>62</v>
      </c>
      <c r="I4582" s="3" t="s">
        <v>62</v>
      </c>
      <c r="J4582" s="3" t="s">
        <v>62</v>
      </c>
      <c r="K4582" s="3" t="s">
        <v>63</v>
      </c>
      <c r="M4582" s="2" t="s">
        <v>7307</v>
      </c>
      <c r="N4582" s="3" t="s">
        <v>149</v>
      </c>
      <c r="P4582" s="3" t="s">
        <v>65</v>
      </c>
      <c r="Q4582" s="2" t="s">
        <v>43800</v>
      </c>
      <c r="R4582" s="3" t="s">
        <v>66</v>
      </c>
      <c r="S4582" s="4">
        <v>0</v>
      </c>
      <c r="T4582" s="4">
        <v>0</v>
      </c>
      <c r="W4582" s="5" t="s">
        <v>67</v>
      </c>
      <c r="X4582" s="5" t="s">
        <v>67</v>
      </c>
      <c r="Y4582" s="4">
        <v>41</v>
      </c>
      <c r="Z4582" s="4">
        <v>9</v>
      </c>
      <c r="AA4582" s="4">
        <v>9</v>
      </c>
      <c r="AB4582" s="4">
        <v>1</v>
      </c>
      <c r="AC4582" s="4">
        <v>1</v>
      </c>
      <c r="AD4582" s="4">
        <v>21</v>
      </c>
      <c r="AE4582" s="4">
        <v>21</v>
      </c>
      <c r="AF4582" s="4">
        <v>0</v>
      </c>
      <c r="AG4582" s="4">
        <v>0</v>
      </c>
      <c r="AH4582" s="4">
        <v>19</v>
      </c>
      <c r="AI4582" s="4">
        <v>19</v>
      </c>
      <c r="AJ4582" s="4">
        <v>6</v>
      </c>
      <c r="AK4582" s="4">
        <v>6</v>
      </c>
      <c r="AL4582" s="4">
        <v>13</v>
      </c>
      <c r="AM4582" s="4">
        <v>13</v>
      </c>
      <c r="AN4582" s="4">
        <v>0</v>
      </c>
      <c r="AO4582" s="4">
        <v>0</v>
      </c>
      <c r="AP4582" s="4">
        <v>6</v>
      </c>
      <c r="AQ4582" s="4">
        <v>6</v>
      </c>
      <c r="AR4582" s="3" t="s">
        <v>62</v>
      </c>
      <c r="AS4582" s="3" t="s">
        <v>62</v>
      </c>
      <c r="AT4582" s="3" t="s">
        <v>62</v>
      </c>
      <c r="AV4582" s="6" t="str">
        <f>HYPERLINK("http://mcgill.on.worldcat.org/oclc/646404458","Catalog Record")</f>
        <v>Catalog Record</v>
      </c>
      <c r="AW4582" s="6" t="str">
        <f>HYPERLINK("http://www.worldcat.org/oclc/646404458","WorldCat Record")</f>
        <v>WorldCat Record</v>
      </c>
      <c r="AX4582" s="3" t="s">
        <v>43801</v>
      </c>
      <c r="AY4582" s="3" t="s">
        <v>43802</v>
      </c>
      <c r="AZ4582" s="3" t="s">
        <v>43803</v>
      </c>
      <c r="BA4582" s="3" t="s">
        <v>43803</v>
      </c>
      <c r="BB4582" s="3" t="s">
        <v>43804</v>
      </c>
      <c r="BC4582" s="3" t="s">
        <v>142</v>
      </c>
      <c r="BD4582" s="3" t="s">
        <v>68</v>
      </c>
      <c r="BE4582" s="3" t="s">
        <v>43805</v>
      </c>
      <c r="BF4582" s="3" t="s">
        <v>43804</v>
      </c>
      <c r="BG4582" s="3" t="s">
        <v>43806</v>
      </c>
    </row>
    <row r="4583" spans="1:59" ht="57" x14ac:dyDescent="0.45">
      <c r="A4583" s="2" t="s">
        <v>59</v>
      </c>
      <c r="B4583" s="2" t="s">
        <v>60</v>
      </c>
      <c r="C4583" s="2" t="s">
        <v>43807</v>
      </c>
      <c r="D4583" s="2" t="s">
        <v>43808</v>
      </c>
      <c r="E4583" s="2" t="s">
        <v>43809</v>
      </c>
      <c r="G4583" s="3" t="s">
        <v>62</v>
      </c>
      <c r="I4583" s="3" t="s">
        <v>62</v>
      </c>
      <c r="J4583" s="3" t="s">
        <v>62</v>
      </c>
      <c r="K4583" s="3" t="s">
        <v>63</v>
      </c>
      <c r="M4583" s="2" t="s">
        <v>43810</v>
      </c>
      <c r="N4583" s="3" t="s">
        <v>894</v>
      </c>
      <c r="P4583" s="3" t="s">
        <v>65</v>
      </c>
      <c r="Q4583" s="2" t="s">
        <v>29634</v>
      </c>
      <c r="R4583" s="3" t="s">
        <v>66</v>
      </c>
      <c r="S4583" s="4">
        <v>0</v>
      </c>
      <c r="T4583" s="4">
        <v>0</v>
      </c>
      <c r="W4583" s="5" t="s">
        <v>67</v>
      </c>
      <c r="X4583" s="5" t="s">
        <v>67</v>
      </c>
      <c r="Y4583" s="4">
        <v>96</v>
      </c>
      <c r="Z4583" s="4">
        <v>12</v>
      </c>
      <c r="AA4583" s="4">
        <v>93</v>
      </c>
      <c r="AB4583" s="4">
        <v>1</v>
      </c>
      <c r="AC4583" s="4">
        <v>17</v>
      </c>
      <c r="AD4583" s="4">
        <v>43</v>
      </c>
      <c r="AE4583" s="4">
        <v>120</v>
      </c>
      <c r="AF4583" s="4">
        <v>0</v>
      </c>
      <c r="AG4583" s="4">
        <v>8</v>
      </c>
      <c r="AH4583" s="4">
        <v>41</v>
      </c>
      <c r="AI4583" s="4">
        <v>85</v>
      </c>
      <c r="AJ4583" s="4">
        <v>8</v>
      </c>
      <c r="AK4583" s="4">
        <v>23</v>
      </c>
      <c r="AL4583" s="4">
        <v>26</v>
      </c>
      <c r="AM4583" s="4">
        <v>47</v>
      </c>
      <c r="AN4583" s="4">
        <v>0</v>
      </c>
      <c r="AO4583" s="4">
        <v>0</v>
      </c>
      <c r="AP4583" s="4">
        <v>8</v>
      </c>
      <c r="AQ4583" s="4">
        <v>45</v>
      </c>
      <c r="AR4583" s="3" t="s">
        <v>62</v>
      </c>
      <c r="AS4583" s="3" t="s">
        <v>62</v>
      </c>
      <c r="AT4583" s="3" t="s">
        <v>62</v>
      </c>
      <c r="AV4583" s="6" t="str">
        <f>HYPERLINK("http://mcgill.on.worldcat.org/oclc/496293471","Catalog Record")</f>
        <v>Catalog Record</v>
      </c>
      <c r="AW4583" s="6" t="str">
        <f>HYPERLINK("http://www.worldcat.org/oclc/496293471","WorldCat Record")</f>
        <v>WorldCat Record</v>
      </c>
      <c r="AX4583" s="3" t="s">
        <v>43811</v>
      </c>
      <c r="AY4583" s="3" t="s">
        <v>43812</v>
      </c>
      <c r="AZ4583" s="3" t="s">
        <v>43813</v>
      </c>
      <c r="BA4583" s="3" t="s">
        <v>43813</v>
      </c>
      <c r="BB4583" s="3" t="s">
        <v>43814</v>
      </c>
      <c r="BC4583" s="3" t="s">
        <v>142</v>
      </c>
      <c r="BD4583" s="3" t="s">
        <v>68</v>
      </c>
      <c r="BE4583" s="3" t="s">
        <v>43815</v>
      </c>
      <c r="BF4583" s="3" t="s">
        <v>43814</v>
      </c>
      <c r="BG4583" s="3" t="s">
        <v>43816</v>
      </c>
    </row>
    <row r="4584" spans="1:59" ht="57" x14ac:dyDescent="0.45">
      <c r="A4584" s="2" t="s">
        <v>59</v>
      </c>
      <c r="B4584" s="2" t="s">
        <v>60</v>
      </c>
      <c r="C4584" s="2" t="s">
        <v>43817</v>
      </c>
      <c r="D4584" s="2" t="s">
        <v>43818</v>
      </c>
      <c r="E4584" s="2" t="s">
        <v>43819</v>
      </c>
      <c r="G4584" s="3" t="s">
        <v>62</v>
      </c>
      <c r="I4584" s="3" t="s">
        <v>62</v>
      </c>
      <c r="J4584" s="3" t="s">
        <v>62</v>
      </c>
      <c r="K4584" s="3" t="s">
        <v>63</v>
      </c>
      <c r="M4584" s="2" t="s">
        <v>43820</v>
      </c>
      <c r="N4584" s="3" t="s">
        <v>1688</v>
      </c>
      <c r="O4584" s="2" t="s">
        <v>168</v>
      </c>
      <c r="P4584" s="3" t="s">
        <v>65</v>
      </c>
      <c r="Q4584" s="2" t="s">
        <v>3949</v>
      </c>
      <c r="R4584" s="3" t="s">
        <v>66</v>
      </c>
      <c r="S4584" s="4">
        <v>1</v>
      </c>
      <c r="T4584" s="4">
        <v>1</v>
      </c>
      <c r="U4584" s="5" t="s">
        <v>3985</v>
      </c>
      <c r="V4584" s="5" t="s">
        <v>3985</v>
      </c>
      <c r="W4584" s="5" t="s">
        <v>67</v>
      </c>
      <c r="X4584" s="5" t="s">
        <v>67</v>
      </c>
      <c r="Y4584" s="4">
        <v>140</v>
      </c>
      <c r="Z4584" s="4">
        <v>13</v>
      </c>
      <c r="AA4584" s="4">
        <v>18</v>
      </c>
      <c r="AB4584" s="4">
        <v>1</v>
      </c>
      <c r="AC4584" s="4">
        <v>2</v>
      </c>
      <c r="AD4584" s="4">
        <v>57</v>
      </c>
      <c r="AE4584" s="4">
        <v>68</v>
      </c>
      <c r="AF4584" s="4">
        <v>0</v>
      </c>
      <c r="AG4584" s="4">
        <v>1</v>
      </c>
      <c r="AH4584" s="4">
        <v>52</v>
      </c>
      <c r="AI4584" s="4">
        <v>62</v>
      </c>
      <c r="AJ4584" s="4">
        <v>10</v>
      </c>
      <c r="AK4584" s="4">
        <v>14</v>
      </c>
      <c r="AL4584" s="4">
        <v>34</v>
      </c>
      <c r="AM4584" s="4">
        <v>41</v>
      </c>
      <c r="AN4584" s="4">
        <v>0</v>
      </c>
      <c r="AO4584" s="4">
        <v>0</v>
      </c>
      <c r="AP4584" s="4">
        <v>11</v>
      </c>
      <c r="AQ4584" s="4">
        <v>15</v>
      </c>
      <c r="AR4584" s="3" t="s">
        <v>62</v>
      </c>
      <c r="AS4584" s="3" t="s">
        <v>62</v>
      </c>
      <c r="AT4584" s="3" t="s">
        <v>62</v>
      </c>
      <c r="AV4584" s="6" t="str">
        <f>HYPERLINK("http://mcgill.on.worldcat.org/oclc/869791699","Catalog Record")</f>
        <v>Catalog Record</v>
      </c>
      <c r="AW4584" s="6" t="str">
        <f>HYPERLINK("http://www.worldcat.org/oclc/869791699","WorldCat Record")</f>
        <v>WorldCat Record</v>
      </c>
      <c r="AX4584" s="3" t="s">
        <v>43821</v>
      </c>
      <c r="AY4584" s="3" t="s">
        <v>43822</v>
      </c>
      <c r="AZ4584" s="3" t="s">
        <v>43823</v>
      </c>
      <c r="BA4584" s="3" t="s">
        <v>43823</v>
      </c>
      <c r="BB4584" s="3" t="s">
        <v>43824</v>
      </c>
      <c r="BC4584" s="3" t="s">
        <v>142</v>
      </c>
      <c r="BD4584" s="3" t="s">
        <v>68</v>
      </c>
      <c r="BE4584" s="3" t="s">
        <v>43825</v>
      </c>
      <c r="BF4584" s="3" t="s">
        <v>43824</v>
      </c>
      <c r="BG4584" s="3" t="s">
        <v>43826</v>
      </c>
    </row>
    <row r="4585" spans="1:59" ht="57" x14ac:dyDescent="0.45">
      <c r="A4585" s="2" t="s">
        <v>59</v>
      </c>
      <c r="B4585" s="2" t="s">
        <v>60</v>
      </c>
      <c r="C4585" s="2" t="s">
        <v>43827</v>
      </c>
      <c r="D4585" s="2" t="s">
        <v>43828</v>
      </c>
      <c r="E4585" s="2" t="s">
        <v>43829</v>
      </c>
      <c r="G4585" s="3" t="s">
        <v>62</v>
      </c>
      <c r="I4585" s="3" t="s">
        <v>62</v>
      </c>
      <c r="J4585" s="3" t="s">
        <v>62</v>
      </c>
      <c r="K4585" s="3" t="s">
        <v>63</v>
      </c>
      <c r="L4585" s="2" t="s">
        <v>43830</v>
      </c>
      <c r="M4585" s="2" t="s">
        <v>2501</v>
      </c>
      <c r="N4585" s="3" t="s">
        <v>894</v>
      </c>
      <c r="P4585" s="3" t="s">
        <v>65</v>
      </c>
      <c r="Q4585" s="2" t="s">
        <v>43831</v>
      </c>
      <c r="R4585" s="3" t="s">
        <v>66</v>
      </c>
      <c r="S4585" s="4">
        <v>1</v>
      </c>
      <c r="T4585" s="4">
        <v>1</v>
      </c>
      <c r="U4585" s="5" t="s">
        <v>43832</v>
      </c>
      <c r="V4585" s="5" t="s">
        <v>43832</v>
      </c>
      <c r="W4585" s="5" t="s">
        <v>67</v>
      </c>
      <c r="X4585" s="5" t="s">
        <v>67</v>
      </c>
      <c r="Y4585" s="4">
        <v>27</v>
      </c>
      <c r="Z4585" s="4">
        <v>5</v>
      </c>
      <c r="AA4585" s="4">
        <v>29</v>
      </c>
      <c r="AB4585" s="4">
        <v>1</v>
      </c>
      <c r="AC4585" s="4">
        <v>3</v>
      </c>
      <c r="AD4585" s="4">
        <v>11</v>
      </c>
      <c r="AE4585" s="4">
        <v>23</v>
      </c>
      <c r="AF4585" s="4">
        <v>0</v>
      </c>
      <c r="AG4585" s="4">
        <v>0</v>
      </c>
      <c r="AH4585" s="4">
        <v>11</v>
      </c>
      <c r="AI4585" s="4">
        <v>16</v>
      </c>
      <c r="AJ4585" s="4">
        <v>3</v>
      </c>
      <c r="AK4585" s="4">
        <v>4</v>
      </c>
      <c r="AL4585" s="4">
        <v>6</v>
      </c>
      <c r="AM4585" s="4">
        <v>8</v>
      </c>
      <c r="AN4585" s="4">
        <v>0</v>
      </c>
      <c r="AO4585" s="4">
        <v>0</v>
      </c>
      <c r="AP4585" s="4">
        <v>3</v>
      </c>
      <c r="AQ4585" s="4">
        <v>11</v>
      </c>
      <c r="AR4585" s="3" t="s">
        <v>62</v>
      </c>
      <c r="AS4585" s="3" t="s">
        <v>62</v>
      </c>
      <c r="AT4585" s="3" t="s">
        <v>62</v>
      </c>
      <c r="AV4585" s="6" t="str">
        <f>HYPERLINK("http://mcgill.on.worldcat.org/oclc/767753549","Catalog Record")</f>
        <v>Catalog Record</v>
      </c>
      <c r="AW4585" s="6" t="str">
        <f>HYPERLINK("http://www.worldcat.org/oclc/767753549","WorldCat Record")</f>
        <v>WorldCat Record</v>
      </c>
      <c r="AX4585" s="3" t="s">
        <v>43833</v>
      </c>
      <c r="AY4585" s="3" t="s">
        <v>43834</v>
      </c>
      <c r="AZ4585" s="3" t="s">
        <v>43835</v>
      </c>
      <c r="BA4585" s="3" t="s">
        <v>43835</v>
      </c>
      <c r="BB4585" s="3" t="s">
        <v>43836</v>
      </c>
      <c r="BC4585" s="3" t="s">
        <v>142</v>
      </c>
      <c r="BD4585" s="3" t="s">
        <v>68</v>
      </c>
      <c r="BE4585" s="3" t="s">
        <v>43837</v>
      </c>
      <c r="BF4585" s="3" t="s">
        <v>43836</v>
      </c>
      <c r="BG4585" s="3" t="s">
        <v>43838</v>
      </c>
    </row>
    <row r="4586" spans="1:59" ht="57" x14ac:dyDescent="0.45">
      <c r="A4586" s="2" t="s">
        <v>59</v>
      </c>
      <c r="B4586" s="2" t="s">
        <v>60</v>
      </c>
      <c r="C4586" s="2" t="s">
        <v>43839</v>
      </c>
      <c r="D4586" s="2" t="s">
        <v>43840</v>
      </c>
      <c r="E4586" s="2" t="s">
        <v>43841</v>
      </c>
      <c r="G4586" s="3" t="s">
        <v>62</v>
      </c>
      <c r="I4586" s="3" t="s">
        <v>62</v>
      </c>
      <c r="J4586" s="3" t="s">
        <v>62</v>
      </c>
      <c r="K4586" s="3" t="s">
        <v>63</v>
      </c>
      <c r="L4586" s="2" t="s">
        <v>43842</v>
      </c>
      <c r="M4586" s="2" t="s">
        <v>1962</v>
      </c>
      <c r="N4586" s="3" t="s">
        <v>149</v>
      </c>
      <c r="P4586" s="3" t="s">
        <v>65</v>
      </c>
      <c r="Q4586" s="2" t="s">
        <v>7392</v>
      </c>
      <c r="R4586" s="3" t="s">
        <v>66</v>
      </c>
      <c r="S4586" s="4">
        <v>5</v>
      </c>
      <c r="T4586" s="4">
        <v>5</v>
      </c>
      <c r="U4586" s="5" t="s">
        <v>31160</v>
      </c>
      <c r="V4586" s="5" t="s">
        <v>31160</v>
      </c>
      <c r="W4586" s="5" t="s">
        <v>67</v>
      </c>
      <c r="X4586" s="5" t="s">
        <v>67</v>
      </c>
      <c r="Y4586" s="4">
        <v>164</v>
      </c>
      <c r="Z4586" s="4">
        <v>25</v>
      </c>
      <c r="AA4586" s="4">
        <v>25</v>
      </c>
      <c r="AB4586" s="4">
        <v>2</v>
      </c>
      <c r="AC4586" s="4">
        <v>2</v>
      </c>
      <c r="AD4586" s="4">
        <v>49</v>
      </c>
      <c r="AE4586" s="4">
        <v>49</v>
      </c>
      <c r="AF4586" s="4">
        <v>1</v>
      </c>
      <c r="AG4586" s="4">
        <v>1</v>
      </c>
      <c r="AH4586" s="4">
        <v>42</v>
      </c>
      <c r="AI4586" s="4">
        <v>42</v>
      </c>
      <c r="AJ4586" s="4">
        <v>12</v>
      </c>
      <c r="AK4586" s="4">
        <v>12</v>
      </c>
      <c r="AL4586" s="4">
        <v>18</v>
      </c>
      <c r="AM4586" s="4">
        <v>18</v>
      </c>
      <c r="AN4586" s="4">
        <v>0</v>
      </c>
      <c r="AO4586" s="4">
        <v>0</v>
      </c>
      <c r="AP4586" s="4">
        <v>16</v>
      </c>
      <c r="AQ4586" s="4">
        <v>16</v>
      </c>
      <c r="AR4586" s="3" t="s">
        <v>62</v>
      </c>
      <c r="AS4586" s="3" t="s">
        <v>62</v>
      </c>
      <c r="AT4586" s="3" t="s">
        <v>62</v>
      </c>
      <c r="AV4586" s="6" t="str">
        <f>HYPERLINK("http://mcgill.on.worldcat.org/oclc/468978425","Catalog Record")</f>
        <v>Catalog Record</v>
      </c>
      <c r="AW4586" s="6" t="str">
        <f>HYPERLINK("http://www.worldcat.org/oclc/468978425","WorldCat Record")</f>
        <v>WorldCat Record</v>
      </c>
      <c r="AX4586" s="3" t="s">
        <v>43843</v>
      </c>
      <c r="AY4586" s="3" t="s">
        <v>43844</v>
      </c>
      <c r="AZ4586" s="3" t="s">
        <v>43845</v>
      </c>
      <c r="BA4586" s="3" t="s">
        <v>43845</v>
      </c>
      <c r="BB4586" s="3" t="s">
        <v>43846</v>
      </c>
      <c r="BC4586" s="3" t="s">
        <v>142</v>
      </c>
      <c r="BD4586" s="3" t="s">
        <v>68</v>
      </c>
      <c r="BE4586" s="3" t="s">
        <v>43847</v>
      </c>
      <c r="BF4586" s="3" t="s">
        <v>43846</v>
      </c>
      <c r="BG4586" s="3" t="s">
        <v>43848</v>
      </c>
    </row>
    <row r="4587" spans="1:59" ht="57" x14ac:dyDescent="0.45">
      <c r="A4587" s="2" t="s">
        <v>59</v>
      </c>
      <c r="B4587" s="2" t="s">
        <v>60</v>
      </c>
      <c r="C4587" s="2" t="s">
        <v>43849</v>
      </c>
      <c r="D4587" s="2" t="s">
        <v>43850</v>
      </c>
      <c r="E4587" s="2" t="s">
        <v>43851</v>
      </c>
      <c r="G4587" s="3" t="s">
        <v>62</v>
      </c>
      <c r="I4587" s="3" t="s">
        <v>62</v>
      </c>
      <c r="J4587" s="3" t="s">
        <v>62</v>
      </c>
      <c r="K4587" s="3" t="s">
        <v>63</v>
      </c>
      <c r="M4587" s="2" t="s">
        <v>4092</v>
      </c>
      <c r="N4587" s="3" t="s">
        <v>149</v>
      </c>
      <c r="O4587" s="2" t="s">
        <v>168</v>
      </c>
      <c r="P4587" s="3" t="s">
        <v>65</v>
      </c>
      <c r="Q4587" s="2" t="s">
        <v>5837</v>
      </c>
      <c r="R4587" s="3" t="s">
        <v>66</v>
      </c>
      <c r="S4587" s="4">
        <v>8</v>
      </c>
      <c r="T4587" s="4">
        <v>8</v>
      </c>
      <c r="U4587" s="5" t="s">
        <v>23761</v>
      </c>
      <c r="V4587" s="5" t="s">
        <v>23761</v>
      </c>
      <c r="W4587" s="5" t="s">
        <v>67</v>
      </c>
      <c r="X4587" s="5" t="s">
        <v>67</v>
      </c>
      <c r="Y4587" s="4">
        <v>209</v>
      </c>
      <c r="Z4587" s="4">
        <v>17</v>
      </c>
      <c r="AA4587" s="4">
        <v>82</v>
      </c>
      <c r="AB4587" s="4">
        <v>2</v>
      </c>
      <c r="AC4587" s="4">
        <v>15</v>
      </c>
      <c r="AD4587" s="4">
        <v>55</v>
      </c>
      <c r="AE4587" s="4">
        <v>120</v>
      </c>
      <c r="AF4587" s="4">
        <v>1</v>
      </c>
      <c r="AG4587" s="4">
        <v>8</v>
      </c>
      <c r="AH4587" s="4">
        <v>48</v>
      </c>
      <c r="AI4587" s="4">
        <v>85</v>
      </c>
      <c r="AJ4587" s="4">
        <v>14</v>
      </c>
      <c r="AK4587" s="4">
        <v>26</v>
      </c>
      <c r="AL4587" s="4">
        <v>26</v>
      </c>
      <c r="AM4587" s="4">
        <v>44</v>
      </c>
      <c r="AN4587" s="4">
        <v>0</v>
      </c>
      <c r="AO4587" s="4">
        <v>0</v>
      </c>
      <c r="AP4587" s="4">
        <v>15</v>
      </c>
      <c r="AQ4587" s="4">
        <v>45</v>
      </c>
      <c r="AR4587" s="3" t="s">
        <v>62</v>
      </c>
      <c r="AS4587" s="3" t="s">
        <v>62</v>
      </c>
      <c r="AT4587" s="3" t="s">
        <v>62</v>
      </c>
      <c r="AV4587" s="6" t="str">
        <f>HYPERLINK("http://mcgill.on.worldcat.org/oclc/277196089","Catalog Record")</f>
        <v>Catalog Record</v>
      </c>
      <c r="AW4587" s="6" t="str">
        <f>HYPERLINK("http://www.worldcat.org/oclc/277196089","WorldCat Record")</f>
        <v>WorldCat Record</v>
      </c>
      <c r="AX4587" s="3" t="s">
        <v>43852</v>
      </c>
      <c r="AY4587" s="3" t="s">
        <v>43853</v>
      </c>
      <c r="AZ4587" s="3" t="s">
        <v>43854</v>
      </c>
      <c r="BA4587" s="3" t="s">
        <v>43854</v>
      </c>
      <c r="BB4587" s="3" t="s">
        <v>43855</v>
      </c>
      <c r="BC4587" s="3" t="s">
        <v>142</v>
      </c>
      <c r="BD4587" s="3" t="s">
        <v>68</v>
      </c>
      <c r="BE4587" s="3" t="s">
        <v>43856</v>
      </c>
      <c r="BF4587" s="3" t="s">
        <v>43855</v>
      </c>
      <c r="BG4587" s="3" t="s">
        <v>43857</v>
      </c>
    </row>
    <row r="4588" spans="1:59" ht="57" x14ac:dyDescent="0.45">
      <c r="A4588" s="2" t="s">
        <v>59</v>
      </c>
      <c r="B4588" s="2" t="s">
        <v>60</v>
      </c>
      <c r="C4588" s="2" t="s">
        <v>43858</v>
      </c>
      <c r="D4588" s="2" t="s">
        <v>43859</v>
      </c>
      <c r="E4588" s="2" t="s">
        <v>43860</v>
      </c>
      <c r="G4588" s="3" t="s">
        <v>62</v>
      </c>
      <c r="I4588" s="3" t="s">
        <v>62</v>
      </c>
      <c r="J4588" s="3" t="s">
        <v>62</v>
      </c>
      <c r="K4588" s="3" t="s">
        <v>63</v>
      </c>
      <c r="M4588" s="2" t="s">
        <v>3172</v>
      </c>
      <c r="N4588" s="3" t="s">
        <v>149</v>
      </c>
      <c r="P4588" s="3" t="s">
        <v>65</v>
      </c>
      <c r="R4588" s="3" t="s">
        <v>66</v>
      </c>
      <c r="S4588" s="4">
        <v>0</v>
      </c>
      <c r="T4588" s="4">
        <v>0</v>
      </c>
      <c r="W4588" s="5" t="s">
        <v>67</v>
      </c>
      <c r="X4588" s="5" t="s">
        <v>67</v>
      </c>
      <c r="Y4588" s="4">
        <v>62</v>
      </c>
      <c r="Z4588" s="4">
        <v>6</v>
      </c>
      <c r="AA4588" s="4">
        <v>7</v>
      </c>
      <c r="AB4588" s="4">
        <v>1</v>
      </c>
      <c r="AC4588" s="4">
        <v>2</v>
      </c>
      <c r="AD4588" s="4">
        <v>24</v>
      </c>
      <c r="AE4588" s="4">
        <v>25</v>
      </c>
      <c r="AF4588" s="4">
        <v>0</v>
      </c>
      <c r="AG4588" s="4">
        <v>1</v>
      </c>
      <c r="AH4588" s="4">
        <v>23</v>
      </c>
      <c r="AI4588" s="4">
        <v>23</v>
      </c>
      <c r="AJ4588" s="4">
        <v>5</v>
      </c>
      <c r="AK4588" s="4">
        <v>6</v>
      </c>
      <c r="AL4588" s="4">
        <v>16</v>
      </c>
      <c r="AM4588" s="4">
        <v>16</v>
      </c>
      <c r="AN4588" s="4">
        <v>0</v>
      </c>
      <c r="AO4588" s="4">
        <v>0</v>
      </c>
      <c r="AP4588" s="4">
        <v>5</v>
      </c>
      <c r="AQ4588" s="4">
        <v>5</v>
      </c>
      <c r="AR4588" s="3" t="s">
        <v>62</v>
      </c>
      <c r="AS4588" s="3" t="s">
        <v>62</v>
      </c>
      <c r="AT4588" s="3" t="s">
        <v>62</v>
      </c>
      <c r="AV4588" s="6" t="str">
        <f>HYPERLINK("http://mcgill.on.worldcat.org/oclc/498134812","Catalog Record")</f>
        <v>Catalog Record</v>
      </c>
      <c r="AW4588" s="6" t="str">
        <f>HYPERLINK("http://www.worldcat.org/oclc/498134812","WorldCat Record")</f>
        <v>WorldCat Record</v>
      </c>
      <c r="AX4588" s="3" t="s">
        <v>43861</v>
      </c>
      <c r="AY4588" s="3" t="s">
        <v>43862</v>
      </c>
      <c r="AZ4588" s="3" t="s">
        <v>43863</v>
      </c>
      <c r="BA4588" s="3" t="s">
        <v>43863</v>
      </c>
      <c r="BB4588" s="3" t="s">
        <v>43864</v>
      </c>
      <c r="BC4588" s="3" t="s">
        <v>142</v>
      </c>
      <c r="BD4588" s="3" t="s">
        <v>68</v>
      </c>
      <c r="BE4588" s="3" t="s">
        <v>43865</v>
      </c>
      <c r="BF4588" s="3" t="s">
        <v>43864</v>
      </c>
      <c r="BG4588" s="3" t="s">
        <v>43866</v>
      </c>
    </row>
    <row r="4589" spans="1:59" ht="57" x14ac:dyDescent="0.45">
      <c r="A4589" s="2" t="s">
        <v>59</v>
      </c>
      <c r="B4589" s="2" t="s">
        <v>60</v>
      </c>
      <c r="C4589" s="2" t="s">
        <v>43867</v>
      </c>
      <c r="D4589" s="2" t="s">
        <v>43868</v>
      </c>
      <c r="E4589" s="2" t="s">
        <v>43869</v>
      </c>
      <c r="G4589" s="3" t="s">
        <v>62</v>
      </c>
      <c r="I4589" s="3" t="s">
        <v>62</v>
      </c>
      <c r="J4589" s="3" t="s">
        <v>62</v>
      </c>
      <c r="K4589" s="3" t="s">
        <v>63</v>
      </c>
      <c r="M4589" s="2" t="s">
        <v>43870</v>
      </c>
      <c r="N4589" s="3" t="s">
        <v>1465</v>
      </c>
      <c r="P4589" s="3" t="s">
        <v>65</v>
      </c>
      <c r="Q4589" s="2" t="s">
        <v>43871</v>
      </c>
      <c r="R4589" s="3" t="s">
        <v>66</v>
      </c>
      <c r="S4589" s="4">
        <v>2</v>
      </c>
      <c r="T4589" s="4">
        <v>2</v>
      </c>
      <c r="U4589" s="5" t="s">
        <v>37312</v>
      </c>
      <c r="V4589" s="5" t="s">
        <v>37312</v>
      </c>
      <c r="W4589" s="5" t="s">
        <v>67</v>
      </c>
      <c r="X4589" s="5" t="s">
        <v>67</v>
      </c>
      <c r="Y4589" s="4">
        <v>70</v>
      </c>
      <c r="Z4589" s="4">
        <v>11</v>
      </c>
      <c r="AA4589" s="4">
        <v>11</v>
      </c>
      <c r="AB4589" s="4">
        <v>2</v>
      </c>
      <c r="AC4589" s="4">
        <v>2</v>
      </c>
      <c r="AD4589" s="4">
        <v>27</v>
      </c>
      <c r="AE4589" s="4">
        <v>27</v>
      </c>
      <c r="AF4589" s="4">
        <v>0</v>
      </c>
      <c r="AG4589" s="4">
        <v>0</v>
      </c>
      <c r="AH4589" s="4">
        <v>25</v>
      </c>
      <c r="AI4589" s="4">
        <v>25</v>
      </c>
      <c r="AJ4589" s="4">
        <v>6</v>
      </c>
      <c r="AK4589" s="4">
        <v>6</v>
      </c>
      <c r="AL4589" s="4">
        <v>18</v>
      </c>
      <c r="AM4589" s="4">
        <v>18</v>
      </c>
      <c r="AN4589" s="4">
        <v>0</v>
      </c>
      <c r="AO4589" s="4">
        <v>0</v>
      </c>
      <c r="AP4589" s="4">
        <v>7</v>
      </c>
      <c r="AQ4589" s="4">
        <v>7</v>
      </c>
      <c r="AR4589" s="3" t="s">
        <v>62</v>
      </c>
      <c r="AS4589" s="3" t="s">
        <v>62</v>
      </c>
      <c r="AT4589" s="3" t="s">
        <v>62</v>
      </c>
      <c r="AV4589" s="6" t="str">
        <f>HYPERLINK("http://mcgill.on.worldcat.org/oclc/321047937","Catalog Record")</f>
        <v>Catalog Record</v>
      </c>
      <c r="AW4589" s="6" t="str">
        <f>HYPERLINK("http://www.worldcat.org/oclc/321047937","WorldCat Record")</f>
        <v>WorldCat Record</v>
      </c>
      <c r="AX4589" s="3" t="s">
        <v>43872</v>
      </c>
      <c r="AY4589" s="3" t="s">
        <v>43873</v>
      </c>
      <c r="AZ4589" s="3" t="s">
        <v>43874</v>
      </c>
      <c r="BA4589" s="3" t="s">
        <v>43874</v>
      </c>
      <c r="BB4589" s="3" t="s">
        <v>43875</v>
      </c>
      <c r="BC4589" s="3" t="s">
        <v>142</v>
      </c>
      <c r="BD4589" s="3" t="s">
        <v>68</v>
      </c>
      <c r="BE4589" s="3" t="s">
        <v>43876</v>
      </c>
      <c r="BF4589" s="3" t="s">
        <v>43875</v>
      </c>
      <c r="BG4589" s="3" t="s">
        <v>43877</v>
      </c>
    </row>
    <row r="4590" spans="1:59" ht="57" x14ac:dyDescent="0.45">
      <c r="A4590" s="2" t="s">
        <v>59</v>
      </c>
      <c r="B4590" s="2" t="s">
        <v>60</v>
      </c>
      <c r="C4590" s="2" t="s">
        <v>43878</v>
      </c>
      <c r="D4590" s="2" t="s">
        <v>43879</v>
      </c>
      <c r="E4590" s="2" t="s">
        <v>43880</v>
      </c>
      <c r="G4590" s="3" t="s">
        <v>62</v>
      </c>
      <c r="I4590" s="3" t="s">
        <v>62</v>
      </c>
      <c r="J4590" s="3" t="s">
        <v>62</v>
      </c>
      <c r="K4590" s="3" t="s">
        <v>63</v>
      </c>
      <c r="L4590" s="2" t="s">
        <v>43881</v>
      </c>
      <c r="M4590" s="2" t="s">
        <v>43882</v>
      </c>
      <c r="N4590" s="3" t="s">
        <v>1212</v>
      </c>
      <c r="P4590" s="3" t="s">
        <v>65</v>
      </c>
      <c r="Q4590" s="2" t="s">
        <v>43883</v>
      </c>
      <c r="R4590" s="3" t="s">
        <v>66</v>
      </c>
      <c r="S4590" s="4">
        <v>15</v>
      </c>
      <c r="T4590" s="4">
        <v>15</v>
      </c>
      <c r="U4590" s="5" t="s">
        <v>13146</v>
      </c>
      <c r="V4590" s="5" t="s">
        <v>13146</v>
      </c>
      <c r="W4590" s="5" t="s">
        <v>67</v>
      </c>
      <c r="X4590" s="5" t="s">
        <v>67</v>
      </c>
      <c r="Y4590" s="4">
        <v>203</v>
      </c>
      <c r="Z4590" s="4">
        <v>14</v>
      </c>
      <c r="AA4590" s="4">
        <v>92</v>
      </c>
      <c r="AB4590" s="4">
        <v>2</v>
      </c>
      <c r="AC4590" s="4">
        <v>18</v>
      </c>
      <c r="AD4590" s="4">
        <v>92</v>
      </c>
      <c r="AE4590" s="4">
        <v>145</v>
      </c>
      <c r="AF4590" s="4">
        <v>1</v>
      </c>
      <c r="AG4590" s="4">
        <v>9</v>
      </c>
      <c r="AH4590" s="4">
        <v>86</v>
      </c>
      <c r="AI4590" s="4">
        <v>109</v>
      </c>
      <c r="AJ4590" s="4">
        <v>12</v>
      </c>
      <c r="AK4590" s="4">
        <v>24</v>
      </c>
      <c r="AL4590" s="4">
        <v>51</v>
      </c>
      <c r="AM4590" s="4">
        <v>57</v>
      </c>
      <c r="AN4590" s="4">
        <v>0</v>
      </c>
      <c r="AO4590" s="4">
        <v>0</v>
      </c>
      <c r="AP4590" s="4">
        <v>12</v>
      </c>
      <c r="AQ4590" s="4">
        <v>46</v>
      </c>
      <c r="AR4590" s="3" t="s">
        <v>62</v>
      </c>
      <c r="AS4590" s="3" t="s">
        <v>62</v>
      </c>
      <c r="AT4590" s="3" t="s">
        <v>62</v>
      </c>
      <c r="AV4590" s="6" t="str">
        <f>HYPERLINK("http://mcgill.on.worldcat.org/oclc/41468681","Catalog Record")</f>
        <v>Catalog Record</v>
      </c>
      <c r="AW4590" s="6" t="str">
        <f>HYPERLINK("http://www.worldcat.org/oclc/41468681","WorldCat Record")</f>
        <v>WorldCat Record</v>
      </c>
      <c r="AX4590" s="3" t="s">
        <v>43884</v>
      </c>
      <c r="AY4590" s="3" t="s">
        <v>43885</v>
      </c>
      <c r="AZ4590" s="3" t="s">
        <v>43886</v>
      </c>
      <c r="BA4590" s="3" t="s">
        <v>43886</v>
      </c>
      <c r="BB4590" s="3" t="s">
        <v>43887</v>
      </c>
      <c r="BC4590" s="3" t="s">
        <v>142</v>
      </c>
      <c r="BD4590" s="3" t="s">
        <v>68</v>
      </c>
      <c r="BE4590" s="3" t="s">
        <v>43888</v>
      </c>
      <c r="BF4590" s="3" t="s">
        <v>43887</v>
      </c>
      <c r="BG4590" s="3" t="s">
        <v>43889</v>
      </c>
    </row>
    <row r="4591" spans="1:59" ht="57" x14ac:dyDescent="0.45">
      <c r="A4591" s="2" t="s">
        <v>59</v>
      </c>
      <c r="B4591" s="2" t="s">
        <v>60</v>
      </c>
      <c r="C4591" s="2" t="s">
        <v>43890</v>
      </c>
      <c r="D4591" s="2" t="s">
        <v>43891</v>
      </c>
      <c r="E4591" s="2" t="s">
        <v>43892</v>
      </c>
      <c r="G4591" s="3" t="s">
        <v>62</v>
      </c>
      <c r="I4591" s="3" t="s">
        <v>62</v>
      </c>
      <c r="J4591" s="3" t="s">
        <v>62</v>
      </c>
      <c r="K4591" s="3" t="s">
        <v>63</v>
      </c>
      <c r="L4591" s="2" t="s">
        <v>43893</v>
      </c>
      <c r="M4591" s="2" t="s">
        <v>43894</v>
      </c>
      <c r="N4591" s="3" t="s">
        <v>820</v>
      </c>
      <c r="P4591" s="3" t="s">
        <v>65</v>
      </c>
      <c r="R4591" s="3" t="s">
        <v>66</v>
      </c>
      <c r="S4591" s="4">
        <v>10</v>
      </c>
      <c r="T4591" s="4">
        <v>10</v>
      </c>
      <c r="U4591" s="5" t="s">
        <v>42468</v>
      </c>
      <c r="V4591" s="5" t="s">
        <v>42468</v>
      </c>
      <c r="W4591" s="5" t="s">
        <v>67</v>
      </c>
      <c r="X4591" s="5" t="s">
        <v>67</v>
      </c>
      <c r="Y4591" s="4">
        <v>295</v>
      </c>
      <c r="Z4591" s="4">
        <v>25</v>
      </c>
      <c r="AA4591" s="4">
        <v>36</v>
      </c>
      <c r="AB4591" s="4">
        <v>3</v>
      </c>
      <c r="AC4591" s="4">
        <v>8</v>
      </c>
      <c r="AD4591" s="4">
        <v>75</v>
      </c>
      <c r="AE4591" s="4">
        <v>95</v>
      </c>
      <c r="AF4591" s="4">
        <v>1</v>
      </c>
      <c r="AG4591" s="4">
        <v>4</v>
      </c>
      <c r="AH4591" s="4">
        <v>67</v>
      </c>
      <c r="AI4591" s="4">
        <v>81</v>
      </c>
      <c r="AJ4591" s="4">
        <v>15</v>
      </c>
      <c r="AK4591" s="4">
        <v>19</v>
      </c>
      <c r="AL4591" s="4">
        <v>39</v>
      </c>
      <c r="AM4591" s="4">
        <v>46</v>
      </c>
      <c r="AN4591" s="4">
        <v>0</v>
      </c>
      <c r="AO4591" s="4">
        <v>0</v>
      </c>
      <c r="AP4591" s="4">
        <v>18</v>
      </c>
      <c r="AQ4591" s="4">
        <v>24</v>
      </c>
      <c r="AR4591" s="3" t="s">
        <v>62</v>
      </c>
      <c r="AS4591" s="3" t="s">
        <v>62</v>
      </c>
      <c r="AT4591" s="3" t="s">
        <v>61</v>
      </c>
      <c r="AU4591" s="6" t="str">
        <f>HYPERLINK("http://catalog.hathitrust.org/Record/005639322","HathiTrust Record")</f>
        <v>HathiTrust Record</v>
      </c>
      <c r="AV4591" s="6" t="str">
        <f>HYPERLINK("http://mcgill.on.worldcat.org/oclc/184906205","Catalog Record")</f>
        <v>Catalog Record</v>
      </c>
      <c r="AW4591" s="6" t="str">
        <f>HYPERLINK("http://www.worldcat.org/oclc/184906205","WorldCat Record")</f>
        <v>WorldCat Record</v>
      </c>
      <c r="AX4591" s="3" t="s">
        <v>43895</v>
      </c>
      <c r="AY4591" s="3" t="s">
        <v>43896</v>
      </c>
      <c r="AZ4591" s="3" t="s">
        <v>43897</v>
      </c>
      <c r="BA4591" s="3" t="s">
        <v>43897</v>
      </c>
      <c r="BB4591" s="3" t="s">
        <v>43898</v>
      </c>
      <c r="BC4591" s="3" t="s">
        <v>142</v>
      </c>
      <c r="BD4591" s="3" t="s">
        <v>68</v>
      </c>
      <c r="BE4591" s="3" t="s">
        <v>43899</v>
      </c>
      <c r="BF4591" s="3" t="s">
        <v>43898</v>
      </c>
      <c r="BG4591" s="3" t="s">
        <v>43900</v>
      </c>
    </row>
    <row r="4592" spans="1:59" ht="57" x14ac:dyDescent="0.45">
      <c r="A4592" s="2" t="s">
        <v>59</v>
      </c>
      <c r="B4592" s="2" t="s">
        <v>60</v>
      </c>
      <c r="C4592" s="2" t="s">
        <v>43901</v>
      </c>
      <c r="D4592" s="2" t="s">
        <v>43902</v>
      </c>
      <c r="E4592" s="2" t="s">
        <v>43903</v>
      </c>
      <c r="G4592" s="3" t="s">
        <v>62</v>
      </c>
      <c r="I4592" s="3" t="s">
        <v>62</v>
      </c>
      <c r="J4592" s="3" t="s">
        <v>62</v>
      </c>
      <c r="K4592" s="3" t="s">
        <v>63</v>
      </c>
      <c r="L4592" s="2" t="s">
        <v>43904</v>
      </c>
      <c r="M4592" s="2" t="s">
        <v>5214</v>
      </c>
      <c r="N4592" s="3" t="s">
        <v>945</v>
      </c>
      <c r="P4592" s="3" t="s">
        <v>65</v>
      </c>
      <c r="Q4592" s="2" t="s">
        <v>21253</v>
      </c>
      <c r="R4592" s="3" t="s">
        <v>66</v>
      </c>
      <c r="S4592" s="4">
        <v>6</v>
      </c>
      <c r="T4592" s="4">
        <v>6</v>
      </c>
      <c r="U4592" s="5" t="s">
        <v>42468</v>
      </c>
      <c r="V4592" s="5" t="s">
        <v>42468</v>
      </c>
      <c r="W4592" s="5" t="s">
        <v>67</v>
      </c>
      <c r="X4592" s="5" t="s">
        <v>67</v>
      </c>
      <c r="Y4592" s="4">
        <v>238</v>
      </c>
      <c r="Z4592" s="4">
        <v>23</v>
      </c>
      <c r="AA4592" s="4">
        <v>106</v>
      </c>
      <c r="AB4592" s="4">
        <v>2</v>
      </c>
      <c r="AC4592" s="4">
        <v>21</v>
      </c>
      <c r="AD4592" s="4">
        <v>81</v>
      </c>
      <c r="AE4592" s="4">
        <v>145</v>
      </c>
      <c r="AF4592" s="4">
        <v>1</v>
      </c>
      <c r="AG4592" s="4">
        <v>9</v>
      </c>
      <c r="AH4592" s="4">
        <v>68</v>
      </c>
      <c r="AI4592" s="4">
        <v>97</v>
      </c>
      <c r="AJ4592" s="4">
        <v>17</v>
      </c>
      <c r="AK4592" s="4">
        <v>27</v>
      </c>
      <c r="AL4592" s="4">
        <v>35</v>
      </c>
      <c r="AM4592" s="4">
        <v>48</v>
      </c>
      <c r="AN4592" s="4">
        <v>0</v>
      </c>
      <c r="AO4592" s="4">
        <v>0</v>
      </c>
      <c r="AP4592" s="4">
        <v>22</v>
      </c>
      <c r="AQ4592" s="4">
        <v>56</v>
      </c>
      <c r="AR4592" s="3" t="s">
        <v>62</v>
      </c>
      <c r="AS4592" s="3" t="s">
        <v>62</v>
      </c>
      <c r="AT4592" s="3" t="s">
        <v>61</v>
      </c>
      <c r="AU4592" s="6" t="str">
        <f>HYPERLINK("http://catalog.hathitrust.org/Record/005423606","HathiTrust Record")</f>
        <v>HathiTrust Record</v>
      </c>
      <c r="AV4592" s="6" t="str">
        <f>HYPERLINK("http://mcgill.on.worldcat.org/oclc/71352686","Catalog Record")</f>
        <v>Catalog Record</v>
      </c>
      <c r="AW4592" s="6" t="str">
        <f>HYPERLINK("http://www.worldcat.org/oclc/71352686","WorldCat Record")</f>
        <v>WorldCat Record</v>
      </c>
      <c r="AX4592" s="3" t="s">
        <v>43905</v>
      </c>
      <c r="AY4592" s="3" t="s">
        <v>43906</v>
      </c>
      <c r="AZ4592" s="3" t="s">
        <v>43907</v>
      </c>
      <c r="BA4592" s="3" t="s">
        <v>43907</v>
      </c>
      <c r="BB4592" s="3" t="s">
        <v>43908</v>
      </c>
      <c r="BC4592" s="3" t="s">
        <v>142</v>
      </c>
      <c r="BD4592" s="3" t="s">
        <v>68</v>
      </c>
      <c r="BE4592" s="3" t="s">
        <v>43909</v>
      </c>
      <c r="BF4592" s="3" t="s">
        <v>43908</v>
      </c>
      <c r="BG4592" s="3" t="s">
        <v>43910</v>
      </c>
    </row>
    <row r="4593" spans="1:59" ht="57" x14ac:dyDescent="0.45">
      <c r="A4593" s="2" t="s">
        <v>59</v>
      </c>
      <c r="B4593" s="2" t="s">
        <v>60</v>
      </c>
      <c r="C4593" s="2" t="s">
        <v>43911</v>
      </c>
      <c r="D4593" s="2" t="s">
        <v>43912</v>
      </c>
      <c r="E4593" s="2" t="s">
        <v>43913</v>
      </c>
      <c r="G4593" s="3" t="s">
        <v>62</v>
      </c>
      <c r="I4593" s="3" t="s">
        <v>62</v>
      </c>
      <c r="J4593" s="3" t="s">
        <v>62</v>
      </c>
      <c r="K4593" s="3" t="s">
        <v>63</v>
      </c>
      <c r="L4593" s="2" t="s">
        <v>43914</v>
      </c>
      <c r="M4593" s="2" t="s">
        <v>43915</v>
      </c>
      <c r="N4593" s="3" t="s">
        <v>122</v>
      </c>
      <c r="P4593" s="3" t="s">
        <v>65</v>
      </c>
      <c r="Q4593" s="2" t="s">
        <v>43916</v>
      </c>
      <c r="R4593" s="3" t="s">
        <v>66</v>
      </c>
      <c r="S4593" s="4">
        <v>5</v>
      </c>
      <c r="T4593" s="4">
        <v>5</v>
      </c>
      <c r="U4593" s="5" t="s">
        <v>31780</v>
      </c>
      <c r="V4593" s="5" t="s">
        <v>31780</v>
      </c>
      <c r="W4593" s="5" t="s">
        <v>67</v>
      </c>
      <c r="X4593" s="5" t="s">
        <v>67</v>
      </c>
      <c r="Y4593" s="4">
        <v>260</v>
      </c>
      <c r="Z4593" s="4">
        <v>22</v>
      </c>
      <c r="AA4593" s="4">
        <v>85</v>
      </c>
      <c r="AB4593" s="4">
        <v>2</v>
      </c>
      <c r="AC4593" s="4">
        <v>14</v>
      </c>
      <c r="AD4593" s="4">
        <v>104</v>
      </c>
      <c r="AE4593" s="4">
        <v>136</v>
      </c>
      <c r="AF4593" s="4">
        <v>1</v>
      </c>
      <c r="AG4593" s="4">
        <v>8</v>
      </c>
      <c r="AH4593" s="4">
        <v>94</v>
      </c>
      <c r="AI4593" s="4">
        <v>101</v>
      </c>
      <c r="AJ4593" s="4">
        <v>17</v>
      </c>
      <c r="AK4593" s="4">
        <v>25</v>
      </c>
      <c r="AL4593" s="4">
        <v>53</v>
      </c>
      <c r="AM4593" s="4">
        <v>54</v>
      </c>
      <c r="AN4593" s="4">
        <v>0</v>
      </c>
      <c r="AO4593" s="4">
        <v>0</v>
      </c>
      <c r="AP4593" s="4">
        <v>18</v>
      </c>
      <c r="AQ4593" s="4">
        <v>45</v>
      </c>
      <c r="AR4593" s="3" t="s">
        <v>62</v>
      </c>
      <c r="AS4593" s="3" t="s">
        <v>62</v>
      </c>
      <c r="AT4593" s="3" t="s">
        <v>61</v>
      </c>
      <c r="AU4593" s="6" t="str">
        <f>HYPERLINK("http://catalog.hathitrust.org/Record/000940234","HathiTrust Record")</f>
        <v>HathiTrust Record</v>
      </c>
      <c r="AV4593" s="6" t="str">
        <f>HYPERLINK("http://mcgill.on.worldcat.org/oclc/2887391","Catalog Record")</f>
        <v>Catalog Record</v>
      </c>
      <c r="AW4593" s="6" t="str">
        <f>HYPERLINK("http://www.worldcat.org/oclc/2887391","WorldCat Record")</f>
        <v>WorldCat Record</v>
      </c>
      <c r="AX4593" s="3" t="s">
        <v>43917</v>
      </c>
      <c r="AY4593" s="3" t="s">
        <v>43918</v>
      </c>
      <c r="AZ4593" s="3" t="s">
        <v>43919</v>
      </c>
      <c r="BA4593" s="3" t="s">
        <v>43919</v>
      </c>
      <c r="BB4593" s="3" t="s">
        <v>43920</v>
      </c>
      <c r="BC4593" s="3" t="s">
        <v>142</v>
      </c>
      <c r="BD4593" s="3" t="s">
        <v>308</v>
      </c>
      <c r="BE4593" s="3" t="s">
        <v>43921</v>
      </c>
      <c r="BF4593" s="3" t="s">
        <v>43920</v>
      </c>
      <c r="BG4593" s="3" t="s">
        <v>43922</v>
      </c>
    </row>
    <row r="4594" spans="1:59" ht="57" x14ac:dyDescent="0.45">
      <c r="A4594" s="2" t="s">
        <v>59</v>
      </c>
      <c r="B4594" s="2" t="s">
        <v>60</v>
      </c>
      <c r="C4594" s="2" t="s">
        <v>43923</v>
      </c>
      <c r="D4594" s="2" t="s">
        <v>43924</v>
      </c>
      <c r="E4594" s="2" t="s">
        <v>43925</v>
      </c>
      <c r="G4594" s="3" t="s">
        <v>62</v>
      </c>
      <c r="I4594" s="3" t="s">
        <v>62</v>
      </c>
      <c r="J4594" s="3" t="s">
        <v>62</v>
      </c>
      <c r="K4594" s="3" t="s">
        <v>63</v>
      </c>
      <c r="M4594" s="2" t="s">
        <v>43926</v>
      </c>
      <c r="N4594" s="3" t="s">
        <v>542</v>
      </c>
      <c r="P4594" s="3" t="s">
        <v>65</v>
      </c>
      <c r="R4594" s="3" t="s">
        <v>66</v>
      </c>
      <c r="S4594" s="4">
        <v>5</v>
      </c>
      <c r="T4594" s="4">
        <v>5</v>
      </c>
      <c r="U4594" s="5" t="s">
        <v>6989</v>
      </c>
      <c r="V4594" s="5" t="s">
        <v>6989</v>
      </c>
      <c r="W4594" s="5" t="s">
        <v>67</v>
      </c>
      <c r="X4594" s="5" t="s">
        <v>67</v>
      </c>
      <c r="Y4594" s="4">
        <v>341</v>
      </c>
      <c r="Z4594" s="4">
        <v>35</v>
      </c>
      <c r="AA4594" s="4">
        <v>38</v>
      </c>
      <c r="AB4594" s="4">
        <v>3</v>
      </c>
      <c r="AC4594" s="4">
        <v>6</v>
      </c>
      <c r="AD4594" s="4">
        <v>121</v>
      </c>
      <c r="AE4594" s="4">
        <v>125</v>
      </c>
      <c r="AF4594" s="4">
        <v>1</v>
      </c>
      <c r="AG4594" s="4">
        <v>4</v>
      </c>
      <c r="AH4594" s="4">
        <v>103</v>
      </c>
      <c r="AI4594" s="4">
        <v>105</v>
      </c>
      <c r="AJ4594" s="4">
        <v>19</v>
      </c>
      <c r="AK4594" s="4">
        <v>22</v>
      </c>
      <c r="AL4594" s="4">
        <v>57</v>
      </c>
      <c r="AM4594" s="4">
        <v>57</v>
      </c>
      <c r="AN4594" s="4">
        <v>0</v>
      </c>
      <c r="AO4594" s="4">
        <v>0</v>
      </c>
      <c r="AP4594" s="4">
        <v>27</v>
      </c>
      <c r="AQ4594" s="4">
        <v>29</v>
      </c>
      <c r="AR4594" s="3" t="s">
        <v>62</v>
      </c>
      <c r="AS4594" s="3" t="s">
        <v>62</v>
      </c>
      <c r="AT4594" s="3" t="s">
        <v>62</v>
      </c>
      <c r="AV4594" s="6" t="str">
        <f>HYPERLINK("http://mcgill.on.worldcat.org/oclc/44811940","Catalog Record")</f>
        <v>Catalog Record</v>
      </c>
      <c r="AW4594" s="6" t="str">
        <f>HYPERLINK("http://www.worldcat.org/oclc/44811940","WorldCat Record")</f>
        <v>WorldCat Record</v>
      </c>
      <c r="AX4594" s="3" t="s">
        <v>43927</v>
      </c>
      <c r="AY4594" s="3" t="s">
        <v>43928</v>
      </c>
      <c r="AZ4594" s="3" t="s">
        <v>43929</v>
      </c>
      <c r="BA4594" s="3" t="s">
        <v>43929</v>
      </c>
      <c r="BB4594" s="3" t="s">
        <v>43930</v>
      </c>
      <c r="BC4594" s="3" t="s">
        <v>142</v>
      </c>
      <c r="BD4594" s="3" t="s">
        <v>68</v>
      </c>
      <c r="BE4594" s="3" t="s">
        <v>43931</v>
      </c>
      <c r="BF4594" s="3" t="s">
        <v>43930</v>
      </c>
      <c r="BG4594" s="3" t="s">
        <v>43932</v>
      </c>
    </row>
    <row r="4595" spans="1:59" ht="57" x14ac:dyDescent="0.45">
      <c r="A4595" s="2" t="s">
        <v>59</v>
      </c>
      <c r="B4595" s="2" t="s">
        <v>60</v>
      </c>
      <c r="C4595" s="2" t="s">
        <v>43933</v>
      </c>
      <c r="D4595" s="2" t="s">
        <v>43934</v>
      </c>
      <c r="E4595" s="2" t="s">
        <v>43935</v>
      </c>
      <c r="G4595" s="3" t="s">
        <v>62</v>
      </c>
      <c r="I4595" s="3" t="s">
        <v>62</v>
      </c>
      <c r="J4595" s="3" t="s">
        <v>62</v>
      </c>
      <c r="K4595" s="3" t="s">
        <v>63</v>
      </c>
      <c r="M4595" s="2" t="s">
        <v>21252</v>
      </c>
      <c r="N4595" s="3" t="s">
        <v>1155</v>
      </c>
      <c r="P4595" s="3" t="s">
        <v>65</v>
      </c>
      <c r="Q4595" s="2" t="s">
        <v>3949</v>
      </c>
      <c r="R4595" s="3" t="s">
        <v>66</v>
      </c>
      <c r="S4595" s="4">
        <v>3</v>
      </c>
      <c r="T4595" s="4">
        <v>3</v>
      </c>
      <c r="U4595" s="5" t="s">
        <v>37572</v>
      </c>
      <c r="V4595" s="5" t="s">
        <v>37572</v>
      </c>
      <c r="W4595" s="5" t="s">
        <v>67</v>
      </c>
      <c r="X4595" s="5" t="s">
        <v>67</v>
      </c>
      <c r="Y4595" s="4">
        <v>171</v>
      </c>
      <c r="Z4595" s="4">
        <v>21</v>
      </c>
      <c r="AA4595" s="4">
        <v>27</v>
      </c>
      <c r="AB4595" s="4">
        <v>2</v>
      </c>
      <c r="AC4595" s="4">
        <v>5</v>
      </c>
      <c r="AD4595" s="4">
        <v>75</v>
      </c>
      <c r="AE4595" s="4">
        <v>88</v>
      </c>
      <c r="AF4595" s="4">
        <v>1</v>
      </c>
      <c r="AG4595" s="4">
        <v>2</v>
      </c>
      <c r="AH4595" s="4">
        <v>67</v>
      </c>
      <c r="AI4595" s="4">
        <v>76</v>
      </c>
      <c r="AJ4595" s="4">
        <v>15</v>
      </c>
      <c r="AK4595" s="4">
        <v>18</v>
      </c>
      <c r="AL4595" s="4">
        <v>36</v>
      </c>
      <c r="AM4595" s="4">
        <v>43</v>
      </c>
      <c r="AN4595" s="4">
        <v>0</v>
      </c>
      <c r="AO4595" s="4">
        <v>0</v>
      </c>
      <c r="AP4595" s="4">
        <v>18</v>
      </c>
      <c r="AQ4595" s="4">
        <v>21</v>
      </c>
      <c r="AR4595" s="3" t="s">
        <v>62</v>
      </c>
      <c r="AS4595" s="3" t="s">
        <v>62</v>
      </c>
      <c r="AT4595" s="3" t="s">
        <v>62</v>
      </c>
      <c r="AV4595" s="6" t="str">
        <f>HYPERLINK("http://mcgill.on.worldcat.org/oclc/730413856","Catalog Record")</f>
        <v>Catalog Record</v>
      </c>
      <c r="AW4595" s="6" t="str">
        <f>HYPERLINK("http://www.worldcat.org/oclc/730413856","WorldCat Record")</f>
        <v>WorldCat Record</v>
      </c>
      <c r="AX4595" s="3" t="s">
        <v>43936</v>
      </c>
      <c r="AY4595" s="3" t="s">
        <v>43937</v>
      </c>
      <c r="AZ4595" s="3" t="s">
        <v>43938</v>
      </c>
      <c r="BA4595" s="3" t="s">
        <v>43938</v>
      </c>
      <c r="BB4595" s="3" t="s">
        <v>43939</v>
      </c>
      <c r="BC4595" s="3" t="s">
        <v>142</v>
      </c>
      <c r="BD4595" s="3" t="s">
        <v>68</v>
      </c>
      <c r="BE4595" s="3" t="s">
        <v>43940</v>
      </c>
      <c r="BF4595" s="3" t="s">
        <v>43939</v>
      </c>
      <c r="BG4595" s="3" t="s">
        <v>43941</v>
      </c>
    </row>
    <row r="4596" spans="1:59" ht="57" x14ac:dyDescent="0.45">
      <c r="A4596" s="2" t="s">
        <v>59</v>
      </c>
      <c r="B4596" s="2" t="s">
        <v>60</v>
      </c>
      <c r="C4596" s="2" t="s">
        <v>43942</v>
      </c>
      <c r="D4596" s="2" t="s">
        <v>43943</v>
      </c>
      <c r="E4596" s="2" t="s">
        <v>43944</v>
      </c>
      <c r="G4596" s="3" t="s">
        <v>62</v>
      </c>
      <c r="I4596" s="3" t="s">
        <v>62</v>
      </c>
      <c r="J4596" s="3" t="s">
        <v>62</v>
      </c>
      <c r="K4596" s="3" t="s">
        <v>63</v>
      </c>
      <c r="L4596" s="2" t="s">
        <v>43945</v>
      </c>
      <c r="M4596" s="2" t="s">
        <v>1713</v>
      </c>
      <c r="N4596" s="3" t="s">
        <v>1155</v>
      </c>
      <c r="P4596" s="3" t="s">
        <v>65</v>
      </c>
      <c r="Q4596" s="2" t="s">
        <v>29735</v>
      </c>
      <c r="R4596" s="3" t="s">
        <v>66</v>
      </c>
      <c r="S4596" s="4">
        <v>1</v>
      </c>
      <c r="T4596" s="4">
        <v>1</v>
      </c>
      <c r="U4596" s="5" t="s">
        <v>43946</v>
      </c>
      <c r="V4596" s="5" t="s">
        <v>43946</v>
      </c>
      <c r="W4596" s="5" t="s">
        <v>67</v>
      </c>
      <c r="X4596" s="5" t="s">
        <v>67</v>
      </c>
      <c r="Y4596" s="4">
        <v>124</v>
      </c>
      <c r="Z4596" s="4">
        <v>15</v>
      </c>
      <c r="AA4596" s="4">
        <v>20</v>
      </c>
      <c r="AB4596" s="4">
        <v>1</v>
      </c>
      <c r="AC4596" s="4">
        <v>5</v>
      </c>
      <c r="AD4596" s="4">
        <v>39</v>
      </c>
      <c r="AE4596" s="4">
        <v>41</v>
      </c>
      <c r="AF4596" s="4">
        <v>0</v>
      </c>
      <c r="AG4596" s="4">
        <v>1</v>
      </c>
      <c r="AH4596" s="4">
        <v>34</v>
      </c>
      <c r="AI4596" s="4">
        <v>35</v>
      </c>
      <c r="AJ4596" s="4">
        <v>7</v>
      </c>
      <c r="AK4596" s="4">
        <v>9</v>
      </c>
      <c r="AL4596" s="4">
        <v>20</v>
      </c>
      <c r="AM4596" s="4">
        <v>20</v>
      </c>
      <c r="AN4596" s="4">
        <v>0</v>
      </c>
      <c r="AO4596" s="4">
        <v>0</v>
      </c>
      <c r="AP4596" s="4">
        <v>11</v>
      </c>
      <c r="AQ4596" s="4">
        <v>12</v>
      </c>
      <c r="AR4596" s="3" t="s">
        <v>62</v>
      </c>
      <c r="AS4596" s="3" t="s">
        <v>62</v>
      </c>
      <c r="AT4596" s="3" t="s">
        <v>62</v>
      </c>
      <c r="AV4596" s="6" t="str">
        <f>HYPERLINK("http://mcgill.on.worldcat.org/oclc/757718008","Catalog Record")</f>
        <v>Catalog Record</v>
      </c>
      <c r="AW4596" s="6" t="str">
        <f>HYPERLINK("http://www.worldcat.org/oclc/757718008","WorldCat Record")</f>
        <v>WorldCat Record</v>
      </c>
      <c r="AX4596" s="3" t="s">
        <v>43947</v>
      </c>
      <c r="AY4596" s="3" t="s">
        <v>43948</v>
      </c>
      <c r="AZ4596" s="3" t="s">
        <v>43949</v>
      </c>
      <c r="BA4596" s="3" t="s">
        <v>43949</v>
      </c>
      <c r="BB4596" s="3" t="s">
        <v>43950</v>
      </c>
      <c r="BC4596" s="3" t="s">
        <v>142</v>
      </c>
      <c r="BD4596" s="3" t="s">
        <v>68</v>
      </c>
      <c r="BE4596" s="3" t="s">
        <v>43951</v>
      </c>
      <c r="BF4596" s="3" t="s">
        <v>43950</v>
      </c>
      <c r="BG4596" s="3" t="s">
        <v>43952</v>
      </c>
    </row>
    <row r="4597" spans="1:59" ht="57" x14ac:dyDescent="0.45">
      <c r="A4597" s="2" t="s">
        <v>59</v>
      </c>
      <c r="B4597" s="2" t="s">
        <v>60</v>
      </c>
      <c r="C4597" s="2" t="s">
        <v>43953</v>
      </c>
      <c r="D4597" s="2" t="s">
        <v>43954</v>
      </c>
      <c r="E4597" s="2" t="s">
        <v>43955</v>
      </c>
      <c r="G4597" s="3" t="s">
        <v>62</v>
      </c>
      <c r="I4597" s="3" t="s">
        <v>62</v>
      </c>
      <c r="J4597" s="3" t="s">
        <v>62</v>
      </c>
      <c r="K4597" s="3" t="s">
        <v>63</v>
      </c>
      <c r="L4597" s="2" t="s">
        <v>43956</v>
      </c>
      <c r="M4597" s="2" t="s">
        <v>43957</v>
      </c>
      <c r="N4597" s="3" t="s">
        <v>1059</v>
      </c>
      <c r="P4597" s="3" t="s">
        <v>65</v>
      </c>
      <c r="R4597" s="3" t="s">
        <v>66</v>
      </c>
      <c r="S4597" s="4">
        <v>5</v>
      </c>
      <c r="T4597" s="4">
        <v>5</v>
      </c>
      <c r="U4597" s="5" t="s">
        <v>31780</v>
      </c>
      <c r="V4597" s="5" t="s">
        <v>31780</v>
      </c>
      <c r="W4597" s="5" t="s">
        <v>67</v>
      </c>
      <c r="X4597" s="5" t="s">
        <v>67</v>
      </c>
      <c r="Y4597" s="4">
        <v>25</v>
      </c>
      <c r="Z4597" s="4">
        <v>3</v>
      </c>
      <c r="AA4597" s="4">
        <v>4</v>
      </c>
      <c r="AB4597" s="4">
        <v>1</v>
      </c>
      <c r="AC4597" s="4">
        <v>1</v>
      </c>
      <c r="AD4597" s="4">
        <v>4</v>
      </c>
      <c r="AE4597" s="4">
        <v>7</v>
      </c>
      <c r="AF4597" s="4">
        <v>0</v>
      </c>
      <c r="AG4597" s="4">
        <v>0</v>
      </c>
      <c r="AH4597" s="4">
        <v>4</v>
      </c>
      <c r="AI4597" s="4">
        <v>6</v>
      </c>
      <c r="AJ4597" s="4">
        <v>1</v>
      </c>
      <c r="AK4597" s="4">
        <v>1</v>
      </c>
      <c r="AL4597" s="4">
        <v>3</v>
      </c>
      <c r="AM4597" s="4">
        <v>5</v>
      </c>
      <c r="AN4597" s="4">
        <v>0</v>
      </c>
      <c r="AO4597" s="4">
        <v>0</v>
      </c>
      <c r="AP4597" s="4">
        <v>1</v>
      </c>
      <c r="AQ4597" s="4">
        <v>2</v>
      </c>
      <c r="AR4597" s="3" t="s">
        <v>62</v>
      </c>
      <c r="AS4597" s="3" t="s">
        <v>62</v>
      </c>
      <c r="AT4597" s="3" t="s">
        <v>62</v>
      </c>
      <c r="AV4597" s="6" t="str">
        <f>HYPERLINK("http://mcgill.on.worldcat.org/oclc/225411715","Catalog Record")</f>
        <v>Catalog Record</v>
      </c>
      <c r="AW4597" s="6" t="str">
        <f>HYPERLINK("http://www.worldcat.org/oclc/225411715","WorldCat Record")</f>
        <v>WorldCat Record</v>
      </c>
      <c r="AX4597" s="3" t="s">
        <v>43958</v>
      </c>
      <c r="AY4597" s="3" t="s">
        <v>43959</v>
      </c>
      <c r="AZ4597" s="3" t="s">
        <v>43960</v>
      </c>
      <c r="BA4597" s="3" t="s">
        <v>43960</v>
      </c>
      <c r="BB4597" s="3" t="s">
        <v>43961</v>
      </c>
      <c r="BC4597" s="3" t="s">
        <v>142</v>
      </c>
      <c r="BD4597" s="3" t="s">
        <v>308</v>
      </c>
      <c r="BE4597" s="3" t="s">
        <v>43962</v>
      </c>
      <c r="BF4597" s="3" t="s">
        <v>43961</v>
      </c>
      <c r="BG4597" s="3" t="s">
        <v>43963</v>
      </c>
    </row>
    <row r="4598" spans="1:59" ht="57" x14ac:dyDescent="0.45">
      <c r="A4598" s="2" t="s">
        <v>59</v>
      </c>
      <c r="B4598" s="2" t="s">
        <v>60</v>
      </c>
      <c r="C4598" s="2" t="s">
        <v>43964</v>
      </c>
      <c r="D4598" s="2" t="s">
        <v>43965</v>
      </c>
      <c r="E4598" s="2" t="s">
        <v>43966</v>
      </c>
      <c r="G4598" s="3" t="s">
        <v>62</v>
      </c>
      <c r="I4598" s="3" t="s">
        <v>62</v>
      </c>
      <c r="J4598" s="3" t="s">
        <v>62</v>
      </c>
      <c r="K4598" s="3" t="s">
        <v>63</v>
      </c>
      <c r="M4598" s="2" t="s">
        <v>43202</v>
      </c>
      <c r="N4598" s="3" t="s">
        <v>1155</v>
      </c>
      <c r="P4598" s="3" t="s">
        <v>65</v>
      </c>
      <c r="Q4598" s="2" t="s">
        <v>43967</v>
      </c>
      <c r="R4598" s="3" t="s">
        <v>66</v>
      </c>
      <c r="S4598" s="4">
        <v>2</v>
      </c>
      <c r="T4598" s="4">
        <v>2</v>
      </c>
      <c r="U4598" s="5" t="s">
        <v>43968</v>
      </c>
      <c r="V4598" s="5" t="s">
        <v>43968</v>
      </c>
      <c r="W4598" s="5" t="s">
        <v>67</v>
      </c>
      <c r="X4598" s="5" t="s">
        <v>67</v>
      </c>
      <c r="Y4598" s="4">
        <v>73</v>
      </c>
      <c r="Z4598" s="4">
        <v>9</v>
      </c>
      <c r="AA4598" s="4">
        <v>90</v>
      </c>
      <c r="AB4598" s="4">
        <v>1</v>
      </c>
      <c r="AC4598" s="4">
        <v>17</v>
      </c>
      <c r="AD4598" s="4">
        <v>35</v>
      </c>
      <c r="AE4598" s="4">
        <v>114</v>
      </c>
      <c r="AF4598" s="4">
        <v>0</v>
      </c>
      <c r="AG4598" s="4">
        <v>8</v>
      </c>
      <c r="AH4598" s="4">
        <v>31</v>
      </c>
      <c r="AI4598" s="4">
        <v>78</v>
      </c>
      <c r="AJ4598" s="4">
        <v>7</v>
      </c>
      <c r="AK4598" s="4">
        <v>23</v>
      </c>
      <c r="AL4598" s="4">
        <v>21</v>
      </c>
      <c r="AM4598" s="4">
        <v>43</v>
      </c>
      <c r="AN4598" s="4">
        <v>0</v>
      </c>
      <c r="AO4598" s="4">
        <v>0</v>
      </c>
      <c r="AP4598" s="4">
        <v>7</v>
      </c>
      <c r="AQ4598" s="4">
        <v>44</v>
      </c>
      <c r="AR4598" s="3" t="s">
        <v>62</v>
      </c>
      <c r="AS4598" s="3" t="s">
        <v>62</v>
      </c>
      <c r="AT4598" s="3" t="s">
        <v>61</v>
      </c>
      <c r="AU4598" s="6" t="str">
        <f>HYPERLINK("http://catalog.hathitrust.org/Record/100853688","HathiTrust Record")</f>
        <v>HathiTrust Record</v>
      </c>
      <c r="AV4598" s="6" t="str">
        <f>HYPERLINK("http://mcgill.on.worldcat.org/oclc/798612682","Catalog Record")</f>
        <v>Catalog Record</v>
      </c>
      <c r="AW4598" s="6" t="str">
        <f>HYPERLINK("http://www.worldcat.org/oclc/798612682","WorldCat Record")</f>
        <v>WorldCat Record</v>
      </c>
      <c r="AX4598" s="3" t="s">
        <v>43969</v>
      </c>
      <c r="AY4598" s="3" t="s">
        <v>43970</v>
      </c>
      <c r="AZ4598" s="3" t="s">
        <v>43971</v>
      </c>
      <c r="BA4598" s="3" t="s">
        <v>43971</v>
      </c>
      <c r="BB4598" s="3" t="s">
        <v>43972</v>
      </c>
      <c r="BC4598" s="3" t="s">
        <v>142</v>
      </c>
      <c r="BD4598" s="3" t="s">
        <v>68</v>
      </c>
      <c r="BE4598" s="3" t="s">
        <v>43973</v>
      </c>
      <c r="BF4598" s="3" t="s">
        <v>43972</v>
      </c>
      <c r="BG4598" s="3" t="s">
        <v>43974</v>
      </c>
    </row>
    <row r="4599" spans="1:59" ht="57" x14ac:dyDescent="0.45">
      <c r="A4599" s="2" t="s">
        <v>59</v>
      </c>
      <c r="B4599" s="2" t="s">
        <v>60</v>
      </c>
      <c r="C4599" s="2" t="s">
        <v>43975</v>
      </c>
      <c r="D4599" s="2" t="s">
        <v>43976</v>
      </c>
      <c r="E4599" s="2" t="s">
        <v>43977</v>
      </c>
      <c r="G4599" s="3" t="s">
        <v>62</v>
      </c>
      <c r="I4599" s="3" t="s">
        <v>62</v>
      </c>
      <c r="J4599" s="3" t="s">
        <v>62</v>
      </c>
      <c r="K4599" s="3" t="s">
        <v>63</v>
      </c>
      <c r="M4599" s="2" t="s">
        <v>5477</v>
      </c>
      <c r="N4599" s="3" t="s">
        <v>1155</v>
      </c>
      <c r="P4599" s="3" t="s">
        <v>65</v>
      </c>
      <c r="Q4599" s="2" t="s">
        <v>43978</v>
      </c>
      <c r="R4599" s="3" t="s">
        <v>66</v>
      </c>
      <c r="S4599" s="4">
        <v>1</v>
      </c>
      <c r="T4599" s="4">
        <v>1</v>
      </c>
      <c r="U4599" s="5" t="s">
        <v>626</v>
      </c>
      <c r="V4599" s="5" t="s">
        <v>626</v>
      </c>
      <c r="W4599" s="5" t="s">
        <v>67</v>
      </c>
      <c r="X4599" s="5" t="s">
        <v>67</v>
      </c>
      <c r="Y4599" s="4">
        <v>67</v>
      </c>
      <c r="Z4599" s="4">
        <v>8</v>
      </c>
      <c r="AA4599" s="4">
        <v>90</v>
      </c>
      <c r="AB4599" s="4">
        <v>1</v>
      </c>
      <c r="AC4599" s="4">
        <v>17</v>
      </c>
      <c r="AD4599" s="4">
        <v>35</v>
      </c>
      <c r="AE4599" s="4">
        <v>116</v>
      </c>
      <c r="AF4599" s="4">
        <v>0</v>
      </c>
      <c r="AG4599" s="4">
        <v>8</v>
      </c>
      <c r="AH4599" s="4">
        <v>32</v>
      </c>
      <c r="AI4599" s="4">
        <v>80</v>
      </c>
      <c r="AJ4599" s="4">
        <v>6</v>
      </c>
      <c r="AK4599" s="4">
        <v>23</v>
      </c>
      <c r="AL4599" s="4">
        <v>21</v>
      </c>
      <c r="AM4599" s="4">
        <v>44</v>
      </c>
      <c r="AN4599" s="4">
        <v>0</v>
      </c>
      <c r="AO4599" s="4">
        <v>0</v>
      </c>
      <c r="AP4599" s="4">
        <v>6</v>
      </c>
      <c r="AQ4599" s="4">
        <v>44</v>
      </c>
      <c r="AR4599" s="3" t="s">
        <v>62</v>
      </c>
      <c r="AS4599" s="3" t="s">
        <v>62</v>
      </c>
      <c r="AT4599" s="3" t="s">
        <v>61</v>
      </c>
      <c r="AU4599" s="6" t="str">
        <f>HYPERLINK("http://catalog.hathitrust.org/Record/100853686","HathiTrust Record")</f>
        <v>HathiTrust Record</v>
      </c>
      <c r="AV4599" s="6" t="str">
        <f>HYPERLINK("http://mcgill.on.worldcat.org/oclc/798612684","Catalog Record")</f>
        <v>Catalog Record</v>
      </c>
      <c r="AW4599" s="6" t="str">
        <f>HYPERLINK("http://www.worldcat.org/oclc/798612684","WorldCat Record")</f>
        <v>WorldCat Record</v>
      </c>
      <c r="AX4599" s="3" t="s">
        <v>43979</v>
      </c>
      <c r="AY4599" s="3" t="s">
        <v>43980</v>
      </c>
      <c r="AZ4599" s="3" t="s">
        <v>43981</v>
      </c>
      <c r="BA4599" s="3" t="s">
        <v>43981</v>
      </c>
      <c r="BB4599" s="3" t="s">
        <v>43982</v>
      </c>
      <c r="BC4599" s="3" t="s">
        <v>142</v>
      </c>
      <c r="BD4599" s="3" t="s">
        <v>68</v>
      </c>
      <c r="BE4599" s="3" t="s">
        <v>43983</v>
      </c>
      <c r="BF4599" s="3" t="s">
        <v>43982</v>
      </c>
      <c r="BG4599" s="3" t="s">
        <v>43984</v>
      </c>
    </row>
    <row r="4600" spans="1:59" ht="57" x14ac:dyDescent="0.45">
      <c r="A4600" s="2" t="s">
        <v>59</v>
      </c>
      <c r="B4600" s="2" t="s">
        <v>60</v>
      </c>
      <c r="C4600" s="2" t="s">
        <v>43985</v>
      </c>
      <c r="D4600" s="2" t="s">
        <v>43986</v>
      </c>
      <c r="E4600" s="2" t="s">
        <v>43987</v>
      </c>
      <c r="G4600" s="3" t="s">
        <v>62</v>
      </c>
      <c r="I4600" s="3" t="s">
        <v>62</v>
      </c>
      <c r="J4600" s="3" t="s">
        <v>62</v>
      </c>
      <c r="K4600" s="3" t="s">
        <v>63</v>
      </c>
      <c r="M4600" s="2" t="s">
        <v>41729</v>
      </c>
      <c r="N4600" s="3" t="s">
        <v>208</v>
      </c>
      <c r="P4600" s="3" t="s">
        <v>65</v>
      </c>
      <c r="Q4600" s="2" t="s">
        <v>43988</v>
      </c>
      <c r="R4600" s="3" t="s">
        <v>66</v>
      </c>
      <c r="S4600" s="4">
        <v>0</v>
      </c>
      <c r="T4600" s="4">
        <v>0</v>
      </c>
      <c r="W4600" s="5" t="s">
        <v>67</v>
      </c>
      <c r="X4600" s="5" t="s">
        <v>67</v>
      </c>
      <c r="Y4600" s="4">
        <v>64</v>
      </c>
      <c r="Z4600" s="4">
        <v>10</v>
      </c>
      <c r="AA4600" s="4">
        <v>80</v>
      </c>
      <c r="AB4600" s="4">
        <v>1</v>
      </c>
      <c r="AC4600" s="4">
        <v>14</v>
      </c>
      <c r="AD4600" s="4">
        <v>35</v>
      </c>
      <c r="AE4600" s="4">
        <v>111</v>
      </c>
      <c r="AF4600" s="4">
        <v>0</v>
      </c>
      <c r="AG4600" s="4">
        <v>8</v>
      </c>
      <c r="AH4600" s="4">
        <v>31</v>
      </c>
      <c r="AI4600" s="4">
        <v>77</v>
      </c>
      <c r="AJ4600" s="4">
        <v>8</v>
      </c>
      <c r="AK4600" s="4">
        <v>23</v>
      </c>
      <c r="AL4600" s="4">
        <v>20</v>
      </c>
      <c r="AM4600" s="4">
        <v>40</v>
      </c>
      <c r="AN4600" s="4">
        <v>0</v>
      </c>
      <c r="AO4600" s="4">
        <v>0</v>
      </c>
      <c r="AP4600" s="4">
        <v>8</v>
      </c>
      <c r="AQ4600" s="4">
        <v>43</v>
      </c>
      <c r="AR4600" s="3" t="s">
        <v>62</v>
      </c>
      <c r="AS4600" s="3" t="s">
        <v>62</v>
      </c>
      <c r="AT4600" s="3" t="s">
        <v>62</v>
      </c>
      <c r="AV4600" s="6" t="str">
        <f>HYPERLINK("http://mcgill.on.worldcat.org/oclc/894491756","Catalog Record")</f>
        <v>Catalog Record</v>
      </c>
      <c r="AW4600" s="6" t="str">
        <f>HYPERLINK("http://www.worldcat.org/oclc/894491756","WorldCat Record")</f>
        <v>WorldCat Record</v>
      </c>
      <c r="AX4600" s="3" t="s">
        <v>43989</v>
      </c>
      <c r="AY4600" s="3" t="s">
        <v>43990</v>
      </c>
      <c r="AZ4600" s="3" t="s">
        <v>43991</v>
      </c>
      <c r="BA4600" s="3" t="s">
        <v>43991</v>
      </c>
      <c r="BB4600" s="3" t="s">
        <v>43992</v>
      </c>
      <c r="BC4600" s="3" t="s">
        <v>142</v>
      </c>
      <c r="BD4600" s="3" t="s">
        <v>68</v>
      </c>
      <c r="BE4600" s="3" t="s">
        <v>43993</v>
      </c>
      <c r="BF4600" s="3" t="s">
        <v>43992</v>
      </c>
      <c r="BG4600" s="3" t="s">
        <v>43994</v>
      </c>
    </row>
    <row r="4601" spans="1:59" ht="57" x14ac:dyDescent="0.45">
      <c r="A4601" s="2" t="s">
        <v>59</v>
      </c>
      <c r="B4601" s="2" t="s">
        <v>60</v>
      </c>
      <c r="C4601" s="2" t="s">
        <v>43995</v>
      </c>
      <c r="D4601" s="2" t="s">
        <v>43996</v>
      </c>
      <c r="E4601" s="2" t="s">
        <v>43997</v>
      </c>
      <c r="G4601" s="3" t="s">
        <v>62</v>
      </c>
      <c r="I4601" s="3" t="s">
        <v>62</v>
      </c>
      <c r="J4601" s="3" t="s">
        <v>62</v>
      </c>
      <c r="K4601" s="3" t="s">
        <v>63</v>
      </c>
      <c r="L4601" s="2" t="s">
        <v>43998</v>
      </c>
      <c r="M4601" s="2" t="s">
        <v>43999</v>
      </c>
      <c r="N4601" s="3" t="s">
        <v>807</v>
      </c>
      <c r="P4601" s="3" t="s">
        <v>65</v>
      </c>
      <c r="R4601" s="3" t="s">
        <v>66</v>
      </c>
      <c r="S4601" s="4">
        <v>24</v>
      </c>
      <c r="T4601" s="4">
        <v>24</v>
      </c>
      <c r="U4601" s="5" t="s">
        <v>4734</v>
      </c>
      <c r="V4601" s="5" t="s">
        <v>4734</v>
      </c>
      <c r="W4601" s="5" t="s">
        <v>67</v>
      </c>
      <c r="X4601" s="5" t="s">
        <v>67</v>
      </c>
      <c r="Y4601" s="4">
        <v>195</v>
      </c>
      <c r="Z4601" s="4">
        <v>13</v>
      </c>
      <c r="AA4601" s="4">
        <v>14</v>
      </c>
      <c r="AB4601" s="4">
        <v>2</v>
      </c>
      <c r="AC4601" s="4">
        <v>3</v>
      </c>
      <c r="AD4601" s="4">
        <v>78</v>
      </c>
      <c r="AE4601" s="4">
        <v>79</v>
      </c>
      <c r="AF4601" s="4">
        <v>1</v>
      </c>
      <c r="AG4601" s="4">
        <v>2</v>
      </c>
      <c r="AH4601" s="4">
        <v>70</v>
      </c>
      <c r="AI4601" s="4">
        <v>71</v>
      </c>
      <c r="AJ4601" s="4">
        <v>12</v>
      </c>
      <c r="AK4601" s="4">
        <v>13</v>
      </c>
      <c r="AL4601" s="4">
        <v>41</v>
      </c>
      <c r="AM4601" s="4">
        <v>41</v>
      </c>
      <c r="AN4601" s="4">
        <v>1</v>
      </c>
      <c r="AO4601" s="4">
        <v>1</v>
      </c>
      <c r="AP4601" s="4">
        <v>12</v>
      </c>
      <c r="AQ4601" s="4">
        <v>13</v>
      </c>
      <c r="AR4601" s="3" t="s">
        <v>62</v>
      </c>
      <c r="AS4601" s="3" t="s">
        <v>62</v>
      </c>
      <c r="AT4601" s="3" t="s">
        <v>61</v>
      </c>
      <c r="AU4601" s="6" t="str">
        <f>HYPERLINK("http://catalog.hathitrust.org/Record/002553566","HathiTrust Record")</f>
        <v>HathiTrust Record</v>
      </c>
      <c r="AV4601" s="6" t="str">
        <f>HYPERLINK("http://mcgill.on.worldcat.org/oclc/26248866","Catalog Record")</f>
        <v>Catalog Record</v>
      </c>
      <c r="AW4601" s="6" t="str">
        <f>HYPERLINK("http://www.worldcat.org/oclc/26248866","WorldCat Record")</f>
        <v>WorldCat Record</v>
      </c>
      <c r="AX4601" s="3" t="s">
        <v>44000</v>
      </c>
      <c r="AY4601" s="3" t="s">
        <v>44001</v>
      </c>
      <c r="AZ4601" s="3" t="s">
        <v>44002</v>
      </c>
      <c r="BA4601" s="3" t="s">
        <v>44002</v>
      </c>
      <c r="BB4601" s="3" t="s">
        <v>44003</v>
      </c>
      <c r="BC4601" s="3" t="s">
        <v>142</v>
      </c>
      <c r="BD4601" s="3" t="s">
        <v>68</v>
      </c>
      <c r="BE4601" s="3" t="s">
        <v>44004</v>
      </c>
      <c r="BF4601" s="3" t="s">
        <v>44003</v>
      </c>
      <c r="BG4601" s="3" t="s">
        <v>44005</v>
      </c>
    </row>
    <row r="4602" spans="1:59" ht="57" x14ac:dyDescent="0.45">
      <c r="A4602" s="2" t="s">
        <v>59</v>
      </c>
      <c r="B4602" s="2" t="s">
        <v>60</v>
      </c>
      <c r="C4602" s="2" t="s">
        <v>44006</v>
      </c>
      <c r="D4602" s="2" t="s">
        <v>44007</v>
      </c>
      <c r="E4602" s="2" t="s">
        <v>44008</v>
      </c>
      <c r="G4602" s="3" t="s">
        <v>62</v>
      </c>
      <c r="I4602" s="3" t="s">
        <v>62</v>
      </c>
      <c r="J4602" s="3" t="s">
        <v>62</v>
      </c>
      <c r="K4602" s="3" t="s">
        <v>63</v>
      </c>
      <c r="M4602" s="2" t="s">
        <v>44009</v>
      </c>
      <c r="N4602" s="3" t="s">
        <v>116</v>
      </c>
      <c r="P4602" s="3" t="s">
        <v>65</v>
      </c>
      <c r="Q4602" s="2" t="s">
        <v>9613</v>
      </c>
      <c r="R4602" s="3" t="s">
        <v>66</v>
      </c>
      <c r="S4602" s="4">
        <v>2</v>
      </c>
      <c r="T4602" s="4">
        <v>2</v>
      </c>
      <c r="U4602" s="5" t="s">
        <v>16077</v>
      </c>
      <c r="V4602" s="5" t="s">
        <v>16077</v>
      </c>
      <c r="W4602" s="5" t="s">
        <v>67</v>
      </c>
      <c r="X4602" s="5" t="s">
        <v>67</v>
      </c>
      <c r="Y4602" s="4">
        <v>104</v>
      </c>
      <c r="Z4602" s="4">
        <v>16</v>
      </c>
      <c r="AA4602" s="4">
        <v>18</v>
      </c>
      <c r="AB4602" s="4">
        <v>1</v>
      </c>
      <c r="AC4602" s="4">
        <v>3</v>
      </c>
      <c r="AD4602" s="4">
        <v>36</v>
      </c>
      <c r="AE4602" s="4">
        <v>43</v>
      </c>
      <c r="AF4602" s="4">
        <v>0</v>
      </c>
      <c r="AG4602" s="4">
        <v>0</v>
      </c>
      <c r="AH4602" s="4">
        <v>29</v>
      </c>
      <c r="AI4602" s="4">
        <v>36</v>
      </c>
      <c r="AJ4602" s="4">
        <v>11</v>
      </c>
      <c r="AK4602" s="4">
        <v>11</v>
      </c>
      <c r="AL4602" s="4">
        <v>18</v>
      </c>
      <c r="AM4602" s="4">
        <v>23</v>
      </c>
      <c r="AN4602" s="4">
        <v>0</v>
      </c>
      <c r="AO4602" s="4">
        <v>0</v>
      </c>
      <c r="AP4602" s="4">
        <v>12</v>
      </c>
      <c r="AQ4602" s="4">
        <v>12</v>
      </c>
      <c r="AR4602" s="3" t="s">
        <v>62</v>
      </c>
      <c r="AS4602" s="3" t="s">
        <v>62</v>
      </c>
      <c r="AT4602" s="3" t="s">
        <v>62</v>
      </c>
      <c r="AV4602" s="6" t="str">
        <f>HYPERLINK("http://mcgill.on.worldcat.org/oclc/810773162","Catalog Record")</f>
        <v>Catalog Record</v>
      </c>
      <c r="AW4602" s="6" t="str">
        <f>HYPERLINK("http://www.worldcat.org/oclc/810773162","WorldCat Record")</f>
        <v>WorldCat Record</v>
      </c>
      <c r="AX4602" s="3" t="s">
        <v>44010</v>
      </c>
      <c r="AY4602" s="3" t="s">
        <v>44011</v>
      </c>
      <c r="AZ4602" s="3" t="s">
        <v>44012</v>
      </c>
      <c r="BA4602" s="3" t="s">
        <v>44012</v>
      </c>
      <c r="BB4602" s="3" t="s">
        <v>44013</v>
      </c>
      <c r="BC4602" s="3" t="s">
        <v>142</v>
      </c>
      <c r="BD4602" s="3" t="s">
        <v>68</v>
      </c>
      <c r="BE4602" s="3" t="s">
        <v>44014</v>
      </c>
      <c r="BF4602" s="3" t="s">
        <v>44013</v>
      </c>
      <c r="BG4602" s="3" t="s">
        <v>44015</v>
      </c>
    </row>
    <row r="4603" spans="1:59" ht="57" x14ac:dyDescent="0.45">
      <c r="A4603" s="2" t="s">
        <v>59</v>
      </c>
      <c r="B4603" s="2" t="s">
        <v>60</v>
      </c>
      <c r="C4603" s="2" t="s">
        <v>44016</v>
      </c>
      <c r="D4603" s="2" t="s">
        <v>44017</v>
      </c>
      <c r="E4603" s="2" t="s">
        <v>44018</v>
      </c>
      <c r="G4603" s="3" t="s">
        <v>62</v>
      </c>
      <c r="I4603" s="3" t="s">
        <v>62</v>
      </c>
      <c r="J4603" s="3" t="s">
        <v>62</v>
      </c>
      <c r="K4603" s="3" t="s">
        <v>63</v>
      </c>
      <c r="L4603" s="2" t="s">
        <v>36935</v>
      </c>
      <c r="M4603" s="2" t="s">
        <v>44019</v>
      </c>
      <c r="N4603" s="3" t="s">
        <v>542</v>
      </c>
      <c r="P4603" s="3" t="s">
        <v>65</v>
      </c>
      <c r="Q4603" s="2" t="s">
        <v>7244</v>
      </c>
      <c r="R4603" s="3" t="s">
        <v>66</v>
      </c>
      <c r="S4603" s="4">
        <v>20</v>
      </c>
      <c r="T4603" s="4">
        <v>20</v>
      </c>
      <c r="U4603" s="5" t="s">
        <v>2729</v>
      </c>
      <c r="V4603" s="5" t="s">
        <v>2729</v>
      </c>
      <c r="W4603" s="5" t="s">
        <v>67</v>
      </c>
      <c r="X4603" s="5" t="s">
        <v>67</v>
      </c>
      <c r="Y4603" s="4">
        <v>281</v>
      </c>
      <c r="Z4603" s="4">
        <v>21</v>
      </c>
      <c r="AA4603" s="4">
        <v>21</v>
      </c>
      <c r="AB4603" s="4">
        <v>2</v>
      </c>
      <c r="AC4603" s="4">
        <v>2</v>
      </c>
      <c r="AD4603" s="4">
        <v>84</v>
      </c>
      <c r="AE4603" s="4">
        <v>84</v>
      </c>
      <c r="AF4603" s="4">
        <v>1</v>
      </c>
      <c r="AG4603" s="4">
        <v>1</v>
      </c>
      <c r="AH4603" s="4">
        <v>73</v>
      </c>
      <c r="AI4603" s="4">
        <v>73</v>
      </c>
      <c r="AJ4603" s="4">
        <v>11</v>
      </c>
      <c r="AK4603" s="4">
        <v>11</v>
      </c>
      <c r="AL4603" s="4">
        <v>46</v>
      </c>
      <c r="AM4603" s="4">
        <v>46</v>
      </c>
      <c r="AN4603" s="4">
        <v>0</v>
      </c>
      <c r="AO4603" s="4">
        <v>0</v>
      </c>
      <c r="AP4603" s="4">
        <v>17</v>
      </c>
      <c r="AQ4603" s="4">
        <v>17</v>
      </c>
      <c r="AR4603" s="3" t="s">
        <v>62</v>
      </c>
      <c r="AS4603" s="3" t="s">
        <v>62</v>
      </c>
      <c r="AT4603" s="3" t="s">
        <v>62</v>
      </c>
      <c r="AV4603" s="6" t="str">
        <f>HYPERLINK("http://mcgill.on.worldcat.org/oclc/44076100","Catalog Record")</f>
        <v>Catalog Record</v>
      </c>
      <c r="AW4603" s="6" t="str">
        <f>HYPERLINK("http://www.worldcat.org/oclc/44076100","WorldCat Record")</f>
        <v>WorldCat Record</v>
      </c>
      <c r="AX4603" s="3" t="s">
        <v>44020</v>
      </c>
      <c r="AY4603" s="3" t="s">
        <v>44021</v>
      </c>
      <c r="AZ4603" s="3" t="s">
        <v>44022</v>
      </c>
      <c r="BA4603" s="3" t="s">
        <v>44022</v>
      </c>
      <c r="BB4603" s="3" t="s">
        <v>44023</v>
      </c>
      <c r="BC4603" s="3" t="s">
        <v>142</v>
      </c>
      <c r="BD4603" s="3" t="s">
        <v>68</v>
      </c>
      <c r="BE4603" s="3" t="s">
        <v>44024</v>
      </c>
      <c r="BF4603" s="3" t="s">
        <v>44023</v>
      </c>
      <c r="BG4603" s="3" t="s">
        <v>44025</v>
      </c>
    </row>
    <row r="4604" spans="1:59" ht="57" x14ac:dyDescent="0.45">
      <c r="A4604" s="2" t="s">
        <v>59</v>
      </c>
      <c r="B4604" s="2" t="s">
        <v>60</v>
      </c>
      <c r="C4604" s="2" t="s">
        <v>44026</v>
      </c>
      <c r="D4604" s="2" t="s">
        <v>44027</v>
      </c>
      <c r="E4604" s="2" t="s">
        <v>44028</v>
      </c>
      <c r="G4604" s="3" t="s">
        <v>62</v>
      </c>
      <c r="I4604" s="3" t="s">
        <v>62</v>
      </c>
      <c r="J4604" s="3" t="s">
        <v>62</v>
      </c>
      <c r="K4604" s="3" t="s">
        <v>63</v>
      </c>
      <c r="L4604" s="2" t="s">
        <v>44029</v>
      </c>
      <c r="M4604" s="2" t="s">
        <v>1781</v>
      </c>
      <c r="N4604" s="3" t="s">
        <v>149</v>
      </c>
      <c r="P4604" s="3" t="s">
        <v>65</v>
      </c>
      <c r="Q4604" s="2" t="s">
        <v>8496</v>
      </c>
      <c r="R4604" s="3" t="s">
        <v>66</v>
      </c>
      <c r="S4604" s="4">
        <v>0</v>
      </c>
      <c r="T4604" s="4">
        <v>0</v>
      </c>
      <c r="W4604" s="5" t="s">
        <v>67</v>
      </c>
      <c r="X4604" s="5" t="s">
        <v>67</v>
      </c>
      <c r="Y4604" s="4">
        <v>118</v>
      </c>
      <c r="Z4604" s="4">
        <v>13</v>
      </c>
      <c r="AA4604" s="4">
        <v>91</v>
      </c>
      <c r="AB4604" s="4">
        <v>1</v>
      </c>
      <c r="AC4604" s="4">
        <v>17</v>
      </c>
      <c r="AD4604" s="4">
        <v>52</v>
      </c>
      <c r="AE4604" s="4">
        <v>119</v>
      </c>
      <c r="AF4604" s="4">
        <v>0</v>
      </c>
      <c r="AG4604" s="4">
        <v>8</v>
      </c>
      <c r="AH4604" s="4">
        <v>49</v>
      </c>
      <c r="AI4604" s="4">
        <v>84</v>
      </c>
      <c r="AJ4604" s="4">
        <v>11</v>
      </c>
      <c r="AK4604" s="4">
        <v>24</v>
      </c>
      <c r="AL4604" s="4">
        <v>30</v>
      </c>
      <c r="AM4604" s="4">
        <v>44</v>
      </c>
      <c r="AN4604" s="4">
        <v>0</v>
      </c>
      <c r="AO4604" s="4">
        <v>0</v>
      </c>
      <c r="AP4604" s="4">
        <v>11</v>
      </c>
      <c r="AQ4604" s="4">
        <v>45</v>
      </c>
      <c r="AR4604" s="3" t="s">
        <v>62</v>
      </c>
      <c r="AS4604" s="3" t="s">
        <v>62</v>
      </c>
      <c r="AT4604" s="3" t="s">
        <v>62</v>
      </c>
      <c r="AV4604" s="6" t="str">
        <f>HYPERLINK("http://mcgill.on.worldcat.org/oclc/440123108","Catalog Record")</f>
        <v>Catalog Record</v>
      </c>
      <c r="AW4604" s="6" t="str">
        <f>HYPERLINK("http://www.worldcat.org/oclc/440123108","WorldCat Record")</f>
        <v>WorldCat Record</v>
      </c>
      <c r="AX4604" s="3" t="s">
        <v>44030</v>
      </c>
      <c r="AY4604" s="3" t="s">
        <v>44031</v>
      </c>
      <c r="AZ4604" s="3" t="s">
        <v>44032</v>
      </c>
      <c r="BA4604" s="3" t="s">
        <v>44032</v>
      </c>
      <c r="BB4604" s="3" t="s">
        <v>44033</v>
      </c>
      <c r="BC4604" s="3" t="s">
        <v>142</v>
      </c>
      <c r="BD4604" s="3" t="s">
        <v>68</v>
      </c>
      <c r="BE4604" s="3" t="s">
        <v>44034</v>
      </c>
      <c r="BF4604" s="3" t="s">
        <v>44033</v>
      </c>
      <c r="BG4604" s="3" t="s">
        <v>44035</v>
      </c>
    </row>
    <row r="4605" spans="1:59" ht="57" x14ac:dyDescent="0.45">
      <c r="A4605" s="2" t="s">
        <v>59</v>
      </c>
      <c r="B4605" s="2" t="s">
        <v>60</v>
      </c>
      <c r="C4605" s="2" t="s">
        <v>44036</v>
      </c>
      <c r="D4605" s="2" t="s">
        <v>44037</v>
      </c>
      <c r="E4605" s="2" t="s">
        <v>44038</v>
      </c>
      <c r="G4605" s="3" t="s">
        <v>62</v>
      </c>
      <c r="I4605" s="3" t="s">
        <v>62</v>
      </c>
      <c r="J4605" s="3" t="s">
        <v>62</v>
      </c>
      <c r="K4605" s="3" t="s">
        <v>63</v>
      </c>
      <c r="M4605" s="2" t="s">
        <v>44039</v>
      </c>
      <c r="N4605" s="3" t="s">
        <v>918</v>
      </c>
      <c r="P4605" s="3" t="s">
        <v>65</v>
      </c>
      <c r="R4605" s="3" t="s">
        <v>66</v>
      </c>
      <c r="S4605" s="4">
        <v>18</v>
      </c>
      <c r="T4605" s="4">
        <v>18</v>
      </c>
      <c r="U4605" s="5" t="s">
        <v>626</v>
      </c>
      <c r="V4605" s="5" t="s">
        <v>626</v>
      </c>
      <c r="W4605" s="5" t="s">
        <v>67</v>
      </c>
      <c r="X4605" s="5" t="s">
        <v>67</v>
      </c>
      <c r="Y4605" s="4">
        <v>237</v>
      </c>
      <c r="Z4605" s="4">
        <v>18</v>
      </c>
      <c r="AA4605" s="4">
        <v>90</v>
      </c>
      <c r="AB4605" s="4">
        <v>2</v>
      </c>
      <c r="AC4605" s="4">
        <v>17</v>
      </c>
      <c r="AD4605" s="4">
        <v>86</v>
      </c>
      <c r="AE4605" s="4">
        <v>135</v>
      </c>
      <c r="AF4605" s="4">
        <v>1</v>
      </c>
      <c r="AG4605" s="4">
        <v>8</v>
      </c>
      <c r="AH4605" s="4">
        <v>76</v>
      </c>
      <c r="AI4605" s="4">
        <v>99</v>
      </c>
      <c r="AJ4605" s="4">
        <v>15</v>
      </c>
      <c r="AK4605" s="4">
        <v>24</v>
      </c>
      <c r="AL4605" s="4">
        <v>47</v>
      </c>
      <c r="AM4605" s="4">
        <v>54</v>
      </c>
      <c r="AN4605" s="4">
        <v>0</v>
      </c>
      <c r="AO4605" s="4">
        <v>0</v>
      </c>
      <c r="AP4605" s="4">
        <v>16</v>
      </c>
      <c r="AQ4605" s="4">
        <v>45</v>
      </c>
      <c r="AR4605" s="3" t="s">
        <v>62</v>
      </c>
      <c r="AS4605" s="3" t="s">
        <v>62</v>
      </c>
      <c r="AT4605" s="3" t="s">
        <v>62</v>
      </c>
      <c r="AV4605" s="6" t="str">
        <f>HYPERLINK("http://mcgill.on.worldcat.org/oclc/50424204","Catalog Record")</f>
        <v>Catalog Record</v>
      </c>
      <c r="AW4605" s="6" t="str">
        <f>HYPERLINK("http://www.worldcat.org/oclc/50424204","WorldCat Record")</f>
        <v>WorldCat Record</v>
      </c>
      <c r="AX4605" s="3" t="s">
        <v>44040</v>
      </c>
      <c r="AY4605" s="3" t="s">
        <v>44041</v>
      </c>
      <c r="AZ4605" s="3" t="s">
        <v>44042</v>
      </c>
      <c r="BA4605" s="3" t="s">
        <v>44042</v>
      </c>
      <c r="BB4605" s="3" t="s">
        <v>44043</v>
      </c>
      <c r="BC4605" s="3" t="s">
        <v>142</v>
      </c>
      <c r="BD4605" s="3" t="s">
        <v>68</v>
      </c>
      <c r="BE4605" s="3" t="s">
        <v>44044</v>
      </c>
      <c r="BF4605" s="3" t="s">
        <v>44043</v>
      </c>
      <c r="BG4605" s="3" t="s">
        <v>44045</v>
      </c>
    </row>
    <row r="4606" spans="1:59" ht="57" x14ac:dyDescent="0.45">
      <c r="A4606" s="2" t="s">
        <v>59</v>
      </c>
      <c r="B4606" s="2" t="s">
        <v>60</v>
      </c>
      <c r="C4606" s="2" t="s">
        <v>44046</v>
      </c>
      <c r="D4606" s="2" t="s">
        <v>44047</v>
      </c>
      <c r="E4606" s="2" t="s">
        <v>44048</v>
      </c>
      <c r="G4606" s="3" t="s">
        <v>62</v>
      </c>
      <c r="I4606" s="3" t="s">
        <v>62</v>
      </c>
      <c r="J4606" s="3" t="s">
        <v>62</v>
      </c>
      <c r="K4606" s="3" t="s">
        <v>63</v>
      </c>
      <c r="L4606" s="2" t="s">
        <v>44049</v>
      </c>
      <c r="M4606" s="2" t="s">
        <v>44050</v>
      </c>
      <c r="N4606" s="3" t="s">
        <v>19337</v>
      </c>
      <c r="P4606" s="3" t="s">
        <v>110</v>
      </c>
      <c r="Q4606" s="2" t="s">
        <v>44051</v>
      </c>
      <c r="R4606" s="3" t="s">
        <v>66</v>
      </c>
      <c r="S4606" s="4">
        <v>0</v>
      </c>
      <c r="T4606" s="4">
        <v>0</v>
      </c>
      <c r="W4606" s="5" t="s">
        <v>25636</v>
      </c>
      <c r="X4606" s="5" t="s">
        <v>25636</v>
      </c>
      <c r="Y4606" s="4">
        <v>2</v>
      </c>
      <c r="Z4606" s="4">
        <v>2</v>
      </c>
      <c r="AA4606" s="4">
        <v>11</v>
      </c>
      <c r="AB4606" s="4">
        <v>1</v>
      </c>
      <c r="AC4606" s="4">
        <v>4</v>
      </c>
      <c r="AD4606" s="4">
        <v>0</v>
      </c>
      <c r="AE4606" s="4">
        <v>10</v>
      </c>
      <c r="AF4606" s="4">
        <v>0</v>
      </c>
      <c r="AG4606" s="4">
        <v>2</v>
      </c>
      <c r="AH4606" s="4">
        <v>0</v>
      </c>
      <c r="AI4606" s="4">
        <v>5</v>
      </c>
      <c r="AJ4606" s="4">
        <v>0</v>
      </c>
      <c r="AK4606" s="4">
        <v>3</v>
      </c>
      <c r="AL4606" s="4">
        <v>0</v>
      </c>
      <c r="AM4606" s="4">
        <v>3</v>
      </c>
      <c r="AN4606" s="4">
        <v>0</v>
      </c>
      <c r="AO4606" s="4">
        <v>0</v>
      </c>
      <c r="AP4606" s="4">
        <v>0</v>
      </c>
      <c r="AQ4606" s="4">
        <v>7</v>
      </c>
      <c r="AR4606" s="3" t="s">
        <v>62</v>
      </c>
      <c r="AS4606" s="3" t="s">
        <v>62</v>
      </c>
      <c r="AT4606" s="3" t="s">
        <v>62</v>
      </c>
      <c r="AV4606" s="6" t="str">
        <f>HYPERLINK("http://mcgill.on.worldcat.org/oclc/1134610852","Catalog Record")</f>
        <v>Catalog Record</v>
      </c>
      <c r="AW4606" s="6" t="str">
        <f>HYPERLINK("http://www.worldcat.org/oclc/1134610852","WorldCat Record")</f>
        <v>WorldCat Record</v>
      </c>
      <c r="AX4606" s="3" t="s">
        <v>44052</v>
      </c>
      <c r="AY4606" s="3" t="s">
        <v>44053</v>
      </c>
      <c r="AZ4606" s="3" t="s">
        <v>44054</v>
      </c>
      <c r="BA4606" s="3" t="s">
        <v>44054</v>
      </c>
      <c r="BB4606" s="3" t="s">
        <v>44055</v>
      </c>
      <c r="BC4606" s="3" t="s">
        <v>142</v>
      </c>
      <c r="BD4606" s="3" t="s">
        <v>68</v>
      </c>
      <c r="BE4606" s="3" t="s">
        <v>44056</v>
      </c>
      <c r="BF4606" s="3" t="s">
        <v>44055</v>
      </c>
      <c r="BG4606" s="3" t="s">
        <v>44057</v>
      </c>
    </row>
    <row r="4607" spans="1:59" ht="57" x14ac:dyDescent="0.45">
      <c r="A4607" s="2" t="s">
        <v>59</v>
      </c>
      <c r="B4607" s="2" t="s">
        <v>60</v>
      </c>
      <c r="C4607" s="2" t="s">
        <v>44058</v>
      </c>
      <c r="D4607" s="2" t="s">
        <v>44059</v>
      </c>
      <c r="E4607" s="2" t="s">
        <v>44060</v>
      </c>
      <c r="G4607" s="3" t="s">
        <v>62</v>
      </c>
      <c r="I4607" s="3" t="s">
        <v>62</v>
      </c>
      <c r="J4607" s="3" t="s">
        <v>62</v>
      </c>
      <c r="K4607" s="3" t="s">
        <v>63</v>
      </c>
      <c r="M4607" s="2" t="s">
        <v>34879</v>
      </c>
      <c r="N4607" s="3" t="s">
        <v>208</v>
      </c>
      <c r="P4607" s="3" t="s">
        <v>65</v>
      </c>
      <c r="R4607" s="3" t="s">
        <v>66</v>
      </c>
      <c r="S4607" s="4">
        <v>0</v>
      </c>
      <c r="T4607" s="4">
        <v>0</v>
      </c>
      <c r="W4607" s="5" t="s">
        <v>67</v>
      </c>
      <c r="X4607" s="5" t="s">
        <v>67</v>
      </c>
      <c r="Y4607" s="4">
        <v>44</v>
      </c>
      <c r="Z4607" s="4">
        <v>5</v>
      </c>
      <c r="AA4607" s="4">
        <v>70</v>
      </c>
      <c r="AB4607" s="4">
        <v>1</v>
      </c>
      <c r="AC4607" s="4">
        <v>14</v>
      </c>
      <c r="AD4607" s="4">
        <v>23</v>
      </c>
      <c r="AE4607" s="4">
        <v>98</v>
      </c>
      <c r="AF4607" s="4">
        <v>0</v>
      </c>
      <c r="AG4607" s="4">
        <v>8</v>
      </c>
      <c r="AH4607" s="4">
        <v>22</v>
      </c>
      <c r="AI4607" s="4">
        <v>67</v>
      </c>
      <c r="AJ4607" s="4">
        <v>3</v>
      </c>
      <c r="AK4607" s="4">
        <v>18</v>
      </c>
      <c r="AL4607" s="4">
        <v>11</v>
      </c>
      <c r="AM4607" s="4">
        <v>33</v>
      </c>
      <c r="AN4607" s="4">
        <v>0</v>
      </c>
      <c r="AO4607" s="4">
        <v>0</v>
      </c>
      <c r="AP4607" s="4">
        <v>4</v>
      </c>
      <c r="AQ4607" s="4">
        <v>37</v>
      </c>
      <c r="AR4607" s="3" t="s">
        <v>62</v>
      </c>
      <c r="AS4607" s="3" t="s">
        <v>62</v>
      </c>
      <c r="AT4607" s="3" t="s">
        <v>62</v>
      </c>
      <c r="AV4607" s="6" t="str">
        <f>HYPERLINK("http://mcgill.on.worldcat.org/oclc/905381684","Catalog Record")</f>
        <v>Catalog Record</v>
      </c>
      <c r="AW4607" s="6" t="str">
        <f>HYPERLINK("http://www.worldcat.org/oclc/905381684","WorldCat Record")</f>
        <v>WorldCat Record</v>
      </c>
      <c r="AX4607" s="3" t="s">
        <v>44061</v>
      </c>
      <c r="AY4607" s="3" t="s">
        <v>44062</v>
      </c>
      <c r="AZ4607" s="3" t="s">
        <v>44063</v>
      </c>
      <c r="BA4607" s="3" t="s">
        <v>44063</v>
      </c>
      <c r="BB4607" s="3" t="s">
        <v>44064</v>
      </c>
      <c r="BC4607" s="3" t="s">
        <v>142</v>
      </c>
      <c r="BD4607" s="3" t="s">
        <v>68</v>
      </c>
      <c r="BE4607" s="3" t="s">
        <v>44065</v>
      </c>
      <c r="BF4607" s="3" t="s">
        <v>44064</v>
      </c>
      <c r="BG4607" s="3" t="s">
        <v>44066</v>
      </c>
    </row>
    <row r="4608" spans="1:59" ht="71.25" x14ac:dyDescent="0.45">
      <c r="A4608" s="2" t="s">
        <v>59</v>
      </c>
      <c r="B4608" s="2" t="s">
        <v>60</v>
      </c>
      <c r="C4608" s="2" t="s">
        <v>44067</v>
      </c>
      <c r="D4608" s="2" t="s">
        <v>44068</v>
      </c>
      <c r="E4608" s="2" t="s">
        <v>44069</v>
      </c>
      <c r="G4608" s="3" t="s">
        <v>62</v>
      </c>
      <c r="I4608" s="3" t="s">
        <v>62</v>
      </c>
      <c r="J4608" s="3" t="s">
        <v>62</v>
      </c>
      <c r="K4608" s="3" t="s">
        <v>63</v>
      </c>
      <c r="M4608" s="2" t="s">
        <v>8202</v>
      </c>
      <c r="N4608" s="3" t="s">
        <v>1688</v>
      </c>
      <c r="P4608" s="3" t="s">
        <v>65</v>
      </c>
      <c r="Q4608" s="2" t="s">
        <v>44070</v>
      </c>
      <c r="R4608" s="3" t="s">
        <v>66</v>
      </c>
      <c r="S4608" s="4">
        <v>0</v>
      </c>
      <c r="T4608" s="4">
        <v>0</v>
      </c>
      <c r="W4608" s="5" t="s">
        <v>67</v>
      </c>
      <c r="X4608" s="5" t="s">
        <v>67</v>
      </c>
      <c r="Y4608" s="4">
        <v>64</v>
      </c>
      <c r="Z4608" s="4">
        <v>8</v>
      </c>
      <c r="AA4608" s="4">
        <v>77</v>
      </c>
      <c r="AB4608" s="4">
        <v>2</v>
      </c>
      <c r="AC4608" s="4">
        <v>14</v>
      </c>
      <c r="AD4608" s="4">
        <v>37</v>
      </c>
      <c r="AE4608" s="4">
        <v>110</v>
      </c>
      <c r="AF4608" s="4">
        <v>1</v>
      </c>
      <c r="AG4608" s="4">
        <v>8</v>
      </c>
      <c r="AH4608" s="4">
        <v>33</v>
      </c>
      <c r="AI4608" s="4">
        <v>77</v>
      </c>
      <c r="AJ4608" s="4">
        <v>6</v>
      </c>
      <c r="AK4608" s="4">
        <v>21</v>
      </c>
      <c r="AL4608" s="4">
        <v>26</v>
      </c>
      <c r="AM4608" s="4">
        <v>41</v>
      </c>
      <c r="AN4608" s="4">
        <v>0</v>
      </c>
      <c r="AO4608" s="4">
        <v>0</v>
      </c>
      <c r="AP4608" s="4">
        <v>6</v>
      </c>
      <c r="AQ4608" s="4">
        <v>39</v>
      </c>
      <c r="AR4608" s="3" t="s">
        <v>62</v>
      </c>
      <c r="AS4608" s="3" t="s">
        <v>62</v>
      </c>
      <c r="AT4608" s="3" t="s">
        <v>62</v>
      </c>
      <c r="AV4608" s="6" t="str">
        <f>HYPERLINK("http://mcgill.on.worldcat.org/oclc/879583613","Catalog Record")</f>
        <v>Catalog Record</v>
      </c>
      <c r="AW4608" s="6" t="str">
        <f>HYPERLINK("http://www.worldcat.org/oclc/879583613","WorldCat Record")</f>
        <v>WorldCat Record</v>
      </c>
      <c r="AX4608" s="3" t="s">
        <v>44071</v>
      </c>
      <c r="AY4608" s="3" t="s">
        <v>44072</v>
      </c>
      <c r="AZ4608" s="3" t="s">
        <v>44073</v>
      </c>
      <c r="BA4608" s="3" t="s">
        <v>44073</v>
      </c>
      <c r="BB4608" s="3" t="s">
        <v>44074</v>
      </c>
      <c r="BC4608" s="3" t="s">
        <v>142</v>
      </c>
      <c r="BD4608" s="3" t="s">
        <v>68</v>
      </c>
      <c r="BE4608" s="3" t="s">
        <v>44075</v>
      </c>
      <c r="BF4608" s="3" t="s">
        <v>44074</v>
      </c>
      <c r="BG4608" s="3" t="s">
        <v>44076</v>
      </c>
    </row>
    <row r="4609" spans="1:59" ht="57" x14ac:dyDescent="0.45">
      <c r="A4609" s="2" t="s">
        <v>59</v>
      </c>
      <c r="B4609" s="2" t="s">
        <v>60</v>
      </c>
      <c r="C4609" s="2" t="s">
        <v>44077</v>
      </c>
      <c r="D4609" s="2" t="s">
        <v>44078</v>
      </c>
      <c r="E4609" s="2" t="s">
        <v>44079</v>
      </c>
      <c r="G4609" s="3" t="s">
        <v>62</v>
      </c>
      <c r="I4609" s="3" t="s">
        <v>62</v>
      </c>
      <c r="J4609" s="3" t="s">
        <v>62</v>
      </c>
      <c r="K4609" s="3" t="s">
        <v>63</v>
      </c>
      <c r="M4609" s="2" t="s">
        <v>44080</v>
      </c>
      <c r="N4609" s="3" t="s">
        <v>149</v>
      </c>
      <c r="P4609" s="3" t="s">
        <v>65</v>
      </c>
      <c r="R4609" s="3" t="s">
        <v>66</v>
      </c>
      <c r="S4609" s="4">
        <v>1</v>
      </c>
      <c r="T4609" s="4">
        <v>1</v>
      </c>
      <c r="U4609" s="5" t="s">
        <v>44081</v>
      </c>
      <c r="V4609" s="5" t="s">
        <v>44081</v>
      </c>
      <c r="W4609" s="5" t="s">
        <v>67</v>
      </c>
      <c r="X4609" s="5" t="s">
        <v>67</v>
      </c>
      <c r="Y4609" s="4">
        <v>101</v>
      </c>
      <c r="Z4609" s="4">
        <v>7</v>
      </c>
      <c r="AA4609" s="4">
        <v>90</v>
      </c>
      <c r="AB4609" s="4">
        <v>1</v>
      </c>
      <c r="AC4609" s="4">
        <v>17</v>
      </c>
      <c r="AD4609" s="4">
        <v>37</v>
      </c>
      <c r="AE4609" s="4">
        <v>111</v>
      </c>
      <c r="AF4609" s="4">
        <v>0</v>
      </c>
      <c r="AG4609" s="4">
        <v>8</v>
      </c>
      <c r="AH4609" s="4">
        <v>35</v>
      </c>
      <c r="AI4609" s="4">
        <v>76</v>
      </c>
      <c r="AJ4609" s="4">
        <v>6</v>
      </c>
      <c r="AK4609" s="4">
        <v>22</v>
      </c>
      <c r="AL4609" s="4">
        <v>21</v>
      </c>
      <c r="AM4609" s="4">
        <v>39</v>
      </c>
      <c r="AN4609" s="4">
        <v>0</v>
      </c>
      <c r="AO4609" s="4">
        <v>0</v>
      </c>
      <c r="AP4609" s="4">
        <v>6</v>
      </c>
      <c r="AQ4609" s="4">
        <v>43</v>
      </c>
      <c r="AR4609" s="3" t="s">
        <v>62</v>
      </c>
      <c r="AS4609" s="3" t="s">
        <v>62</v>
      </c>
      <c r="AT4609" s="3" t="s">
        <v>62</v>
      </c>
      <c r="AV4609" s="6" t="str">
        <f>HYPERLINK("http://mcgill.on.worldcat.org/oclc/466343670","Catalog Record")</f>
        <v>Catalog Record</v>
      </c>
      <c r="AW4609" s="6" t="str">
        <f>HYPERLINK("http://www.worldcat.org/oclc/466343670","WorldCat Record")</f>
        <v>WorldCat Record</v>
      </c>
      <c r="AX4609" s="3" t="s">
        <v>44082</v>
      </c>
      <c r="AY4609" s="3" t="s">
        <v>44083</v>
      </c>
      <c r="AZ4609" s="3" t="s">
        <v>44084</v>
      </c>
      <c r="BA4609" s="3" t="s">
        <v>44084</v>
      </c>
      <c r="BB4609" s="3" t="s">
        <v>44085</v>
      </c>
      <c r="BC4609" s="3" t="s">
        <v>142</v>
      </c>
      <c r="BD4609" s="3" t="s">
        <v>68</v>
      </c>
      <c r="BE4609" s="3" t="s">
        <v>44086</v>
      </c>
      <c r="BF4609" s="3" t="s">
        <v>44085</v>
      </c>
      <c r="BG4609" s="3" t="s">
        <v>44087</v>
      </c>
    </row>
    <row r="4610" spans="1:59" ht="57" x14ac:dyDescent="0.45">
      <c r="A4610" s="2" t="s">
        <v>59</v>
      </c>
      <c r="B4610" s="2" t="s">
        <v>60</v>
      </c>
      <c r="C4610" s="2" t="s">
        <v>44088</v>
      </c>
      <c r="D4610" s="2" t="s">
        <v>44089</v>
      </c>
      <c r="E4610" s="2" t="s">
        <v>44090</v>
      </c>
      <c r="G4610" s="3" t="s">
        <v>62</v>
      </c>
      <c r="I4610" s="3" t="s">
        <v>62</v>
      </c>
      <c r="J4610" s="3" t="s">
        <v>62</v>
      </c>
      <c r="K4610" s="3" t="s">
        <v>63</v>
      </c>
      <c r="M4610" s="2" t="s">
        <v>44091</v>
      </c>
      <c r="N4610" s="3" t="s">
        <v>116</v>
      </c>
      <c r="P4610" s="3" t="s">
        <v>65</v>
      </c>
      <c r="Q4610" s="2" t="s">
        <v>7466</v>
      </c>
      <c r="R4610" s="3" t="s">
        <v>66</v>
      </c>
      <c r="S4610" s="4">
        <v>4</v>
      </c>
      <c r="T4610" s="4">
        <v>4</v>
      </c>
      <c r="U4610" s="5" t="s">
        <v>4966</v>
      </c>
      <c r="V4610" s="5" t="s">
        <v>4966</v>
      </c>
      <c r="W4610" s="5" t="s">
        <v>67</v>
      </c>
      <c r="X4610" s="5" t="s">
        <v>67</v>
      </c>
      <c r="Y4610" s="4">
        <v>126</v>
      </c>
      <c r="Z4610" s="4">
        <v>16</v>
      </c>
      <c r="AA4610" s="4">
        <v>17</v>
      </c>
      <c r="AB4610" s="4">
        <v>1</v>
      </c>
      <c r="AC4610" s="4">
        <v>1</v>
      </c>
      <c r="AD4610" s="4">
        <v>49</v>
      </c>
      <c r="AE4610" s="4">
        <v>52</v>
      </c>
      <c r="AF4610" s="4">
        <v>0</v>
      </c>
      <c r="AG4610" s="4">
        <v>0</v>
      </c>
      <c r="AH4610" s="4">
        <v>45</v>
      </c>
      <c r="AI4610" s="4">
        <v>47</v>
      </c>
      <c r="AJ4610" s="4">
        <v>12</v>
      </c>
      <c r="AK4610" s="4">
        <v>13</v>
      </c>
      <c r="AL4610" s="4">
        <v>28</v>
      </c>
      <c r="AM4610" s="4">
        <v>29</v>
      </c>
      <c r="AN4610" s="4">
        <v>0</v>
      </c>
      <c r="AO4610" s="4">
        <v>0</v>
      </c>
      <c r="AP4610" s="4">
        <v>12</v>
      </c>
      <c r="AQ4610" s="4">
        <v>13</v>
      </c>
      <c r="AR4610" s="3" t="s">
        <v>62</v>
      </c>
      <c r="AS4610" s="3" t="s">
        <v>62</v>
      </c>
      <c r="AT4610" s="3" t="s">
        <v>62</v>
      </c>
      <c r="AV4610" s="6" t="str">
        <f>HYPERLINK("http://mcgill.on.worldcat.org/oclc/781848516","Catalog Record")</f>
        <v>Catalog Record</v>
      </c>
      <c r="AW4610" s="6" t="str">
        <f>HYPERLINK("http://www.worldcat.org/oclc/781848516","WorldCat Record")</f>
        <v>WorldCat Record</v>
      </c>
      <c r="AX4610" s="3" t="s">
        <v>44092</v>
      </c>
      <c r="AY4610" s="3" t="s">
        <v>44093</v>
      </c>
      <c r="AZ4610" s="3" t="s">
        <v>44094</v>
      </c>
      <c r="BA4610" s="3" t="s">
        <v>44094</v>
      </c>
      <c r="BB4610" s="3" t="s">
        <v>44095</v>
      </c>
      <c r="BC4610" s="3" t="s">
        <v>142</v>
      </c>
      <c r="BD4610" s="3" t="s">
        <v>68</v>
      </c>
      <c r="BE4610" s="3" t="s">
        <v>44096</v>
      </c>
      <c r="BF4610" s="3" t="s">
        <v>44095</v>
      </c>
      <c r="BG4610" s="3" t="s">
        <v>44097</v>
      </c>
    </row>
    <row r="4611" spans="1:59" ht="57" x14ac:dyDescent="0.45">
      <c r="A4611" s="2" t="s">
        <v>59</v>
      </c>
      <c r="B4611" s="2" t="s">
        <v>60</v>
      </c>
      <c r="C4611" s="2" t="s">
        <v>44099</v>
      </c>
      <c r="D4611" s="2" t="s">
        <v>44100</v>
      </c>
      <c r="E4611" s="2" t="s">
        <v>44101</v>
      </c>
      <c r="G4611" s="3" t="s">
        <v>62</v>
      </c>
      <c r="I4611" s="3" t="s">
        <v>62</v>
      </c>
      <c r="J4611" s="3" t="s">
        <v>62</v>
      </c>
      <c r="K4611" s="3" t="s">
        <v>63</v>
      </c>
      <c r="M4611" s="2" t="s">
        <v>5568</v>
      </c>
      <c r="N4611" s="3" t="s">
        <v>1155</v>
      </c>
      <c r="P4611" s="3" t="s">
        <v>65</v>
      </c>
      <c r="R4611" s="3" t="s">
        <v>66</v>
      </c>
      <c r="S4611" s="4">
        <v>3</v>
      </c>
      <c r="T4611" s="4">
        <v>3</v>
      </c>
      <c r="U4611" s="5" t="s">
        <v>4759</v>
      </c>
      <c r="V4611" s="5" t="s">
        <v>4759</v>
      </c>
      <c r="W4611" s="5" t="s">
        <v>67</v>
      </c>
      <c r="X4611" s="5" t="s">
        <v>67</v>
      </c>
      <c r="Y4611" s="4">
        <v>81</v>
      </c>
      <c r="Z4611" s="4">
        <v>9</v>
      </c>
      <c r="AA4611" s="4">
        <v>11</v>
      </c>
      <c r="AB4611" s="4">
        <v>1</v>
      </c>
      <c r="AC4611" s="4">
        <v>1</v>
      </c>
      <c r="AD4611" s="4">
        <v>35</v>
      </c>
      <c r="AE4611" s="4">
        <v>39</v>
      </c>
      <c r="AF4611" s="4">
        <v>0</v>
      </c>
      <c r="AG4611" s="4">
        <v>0</v>
      </c>
      <c r="AH4611" s="4">
        <v>33</v>
      </c>
      <c r="AI4611" s="4">
        <v>37</v>
      </c>
      <c r="AJ4611" s="4">
        <v>8</v>
      </c>
      <c r="AK4611" s="4">
        <v>10</v>
      </c>
      <c r="AL4611" s="4">
        <v>17</v>
      </c>
      <c r="AM4611" s="4">
        <v>19</v>
      </c>
      <c r="AN4611" s="4">
        <v>0</v>
      </c>
      <c r="AO4611" s="4">
        <v>0</v>
      </c>
      <c r="AP4611" s="4">
        <v>8</v>
      </c>
      <c r="AQ4611" s="4">
        <v>10</v>
      </c>
      <c r="AR4611" s="3" t="s">
        <v>62</v>
      </c>
      <c r="AS4611" s="3" t="s">
        <v>62</v>
      </c>
      <c r="AT4611" s="3" t="s">
        <v>62</v>
      </c>
      <c r="AV4611" s="6" t="str">
        <f>HYPERLINK("http://mcgill.on.worldcat.org/oclc/753301057","Catalog Record")</f>
        <v>Catalog Record</v>
      </c>
      <c r="AW4611" s="6" t="str">
        <f>HYPERLINK("http://www.worldcat.org/oclc/753301057","WorldCat Record")</f>
        <v>WorldCat Record</v>
      </c>
      <c r="AX4611" s="3" t="s">
        <v>44102</v>
      </c>
      <c r="AY4611" s="3" t="s">
        <v>44103</v>
      </c>
      <c r="AZ4611" s="3" t="s">
        <v>44104</v>
      </c>
      <c r="BA4611" s="3" t="s">
        <v>44104</v>
      </c>
      <c r="BB4611" s="3" t="s">
        <v>44105</v>
      </c>
      <c r="BC4611" s="3" t="s">
        <v>142</v>
      </c>
      <c r="BD4611" s="3" t="s">
        <v>68</v>
      </c>
      <c r="BE4611" s="3" t="s">
        <v>44106</v>
      </c>
      <c r="BF4611" s="3" t="s">
        <v>44105</v>
      </c>
      <c r="BG4611" s="3" t="s">
        <v>44107</v>
      </c>
    </row>
    <row r="4612" spans="1:59" ht="57" x14ac:dyDescent="0.45">
      <c r="A4612" s="2" t="s">
        <v>59</v>
      </c>
      <c r="B4612" s="2" t="s">
        <v>60</v>
      </c>
      <c r="C4612" s="2" t="s">
        <v>44108</v>
      </c>
      <c r="D4612" s="2" t="s">
        <v>44109</v>
      </c>
      <c r="E4612" s="2" t="s">
        <v>44110</v>
      </c>
      <c r="G4612" s="3" t="s">
        <v>62</v>
      </c>
      <c r="I4612" s="3" t="s">
        <v>62</v>
      </c>
      <c r="J4612" s="3" t="s">
        <v>62</v>
      </c>
      <c r="K4612" s="3" t="s">
        <v>63</v>
      </c>
      <c r="M4612" s="2" t="s">
        <v>44111</v>
      </c>
      <c r="N4612" s="3" t="s">
        <v>116</v>
      </c>
      <c r="P4612" s="3" t="s">
        <v>65</v>
      </c>
      <c r="Q4612" s="2" t="s">
        <v>44112</v>
      </c>
      <c r="R4612" s="3" t="s">
        <v>66</v>
      </c>
      <c r="S4612" s="4">
        <v>1</v>
      </c>
      <c r="T4612" s="4">
        <v>1</v>
      </c>
      <c r="U4612" s="5" t="s">
        <v>44113</v>
      </c>
      <c r="V4612" s="5" t="s">
        <v>44113</v>
      </c>
      <c r="W4612" s="5" t="s">
        <v>67</v>
      </c>
      <c r="X4612" s="5" t="s">
        <v>67</v>
      </c>
      <c r="Y4612" s="4">
        <v>3</v>
      </c>
      <c r="Z4612" s="4">
        <v>1</v>
      </c>
      <c r="AA4612" s="4">
        <v>59</v>
      </c>
      <c r="AB4612" s="4">
        <v>1</v>
      </c>
      <c r="AC4612" s="4">
        <v>7</v>
      </c>
      <c r="AD4612" s="4">
        <v>1</v>
      </c>
      <c r="AE4612" s="4">
        <v>80</v>
      </c>
      <c r="AF4612" s="4">
        <v>0</v>
      </c>
      <c r="AG4612" s="4">
        <v>4</v>
      </c>
      <c r="AH4612" s="4">
        <v>1</v>
      </c>
      <c r="AI4612" s="4">
        <v>51</v>
      </c>
      <c r="AJ4612" s="4">
        <v>0</v>
      </c>
      <c r="AK4612" s="4">
        <v>20</v>
      </c>
      <c r="AL4612" s="4">
        <v>1</v>
      </c>
      <c r="AM4612" s="4">
        <v>24</v>
      </c>
      <c r="AN4612" s="4">
        <v>0</v>
      </c>
      <c r="AO4612" s="4">
        <v>0</v>
      </c>
      <c r="AP4612" s="4">
        <v>0</v>
      </c>
      <c r="AQ4612" s="4">
        <v>33</v>
      </c>
      <c r="AR4612" s="3" t="s">
        <v>62</v>
      </c>
      <c r="AS4612" s="3" t="s">
        <v>62</v>
      </c>
      <c r="AT4612" s="3" t="s">
        <v>62</v>
      </c>
      <c r="AV4612" s="6" t="str">
        <f>HYPERLINK("http://mcgill.on.worldcat.org/oclc/824129598","Catalog Record")</f>
        <v>Catalog Record</v>
      </c>
      <c r="AW4612" s="6" t="str">
        <f>HYPERLINK("http://www.worldcat.org/oclc/824129598","WorldCat Record")</f>
        <v>WorldCat Record</v>
      </c>
      <c r="AX4612" s="3" t="s">
        <v>44114</v>
      </c>
      <c r="AY4612" s="3" t="s">
        <v>44115</v>
      </c>
      <c r="AZ4612" s="3" t="s">
        <v>44116</v>
      </c>
      <c r="BA4612" s="3" t="s">
        <v>44116</v>
      </c>
      <c r="BB4612" s="3" t="s">
        <v>44117</v>
      </c>
      <c r="BC4612" s="3" t="s">
        <v>142</v>
      </c>
      <c r="BD4612" s="3" t="s">
        <v>68</v>
      </c>
      <c r="BF4612" s="3" t="s">
        <v>44117</v>
      </c>
      <c r="BG4612" s="3" t="s">
        <v>44118</v>
      </c>
    </row>
    <row r="4613" spans="1:59" ht="57" x14ac:dyDescent="0.45">
      <c r="A4613" s="2" t="s">
        <v>59</v>
      </c>
      <c r="B4613" s="2" t="s">
        <v>60</v>
      </c>
      <c r="C4613" s="2" t="s">
        <v>44119</v>
      </c>
      <c r="D4613" s="2" t="s">
        <v>44120</v>
      </c>
      <c r="E4613" s="2" t="s">
        <v>44121</v>
      </c>
      <c r="G4613" s="3" t="s">
        <v>62</v>
      </c>
      <c r="I4613" s="3" t="s">
        <v>62</v>
      </c>
      <c r="J4613" s="3" t="s">
        <v>62</v>
      </c>
      <c r="K4613" s="3" t="s">
        <v>63</v>
      </c>
      <c r="L4613" s="2" t="s">
        <v>36894</v>
      </c>
      <c r="M4613" s="2" t="s">
        <v>5568</v>
      </c>
      <c r="N4613" s="3" t="s">
        <v>1155</v>
      </c>
      <c r="P4613" s="3" t="s">
        <v>65</v>
      </c>
      <c r="R4613" s="3" t="s">
        <v>66</v>
      </c>
      <c r="S4613" s="4">
        <v>8</v>
      </c>
      <c r="T4613" s="4">
        <v>8</v>
      </c>
      <c r="U4613" s="5" t="s">
        <v>7135</v>
      </c>
      <c r="V4613" s="5" t="s">
        <v>7135</v>
      </c>
      <c r="W4613" s="5" t="s">
        <v>67</v>
      </c>
      <c r="X4613" s="5" t="s">
        <v>67</v>
      </c>
      <c r="Y4613" s="4">
        <v>156</v>
      </c>
      <c r="Z4613" s="4">
        <v>17</v>
      </c>
      <c r="AA4613" s="4">
        <v>81</v>
      </c>
      <c r="AB4613" s="4">
        <v>1</v>
      </c>
      <c r="AC4613" s="4">
        <v>15</v>
      </c>
      <c r="AD4613" s="4">
        <v>61</v>
      </c>
      <c r="AE4613" s="4">
        <v>119</v>
      </c>
      <c r="AF4613" s="4">
        <v>0</v>
      </c>
      <c r="AG4613" s="4">
        <v>8</v>
      </c>
      <c r="AH4613" s="4">
        <v>53</v>
      </c>
      <c r="AI4613" s="4">
        <v>85</v>
      </c>
      <c r="AJ4613" s="4">
        <v>13</v>
      </c>
      <c r="AK4613" s="4">
        <v>24</v>
      </c>
      <c r="AL4613" s="4">
        <v>31</v>
      </c>
      <c r="AM4613" s="4">
        <v>43</v>
      </c>
      <c r="AN4613" s="4">
        <v>0</v>
      </c>
      <c r="AO4613" s="4">
        <v>0</v>
      </c>
      <c r="AP4613" s="4">
        <v>14</v>
      </c>
      <c r="AQ4613" s="4">
        <v>43</v>
      </c>
      <c r="AR4613" s="3" t="s">
        <v>62</v>
      </c>
      <c r="AS4613" s="3" t="s">
        <v>62</v>
      </c>
      <c r="AT4613" s="3" t="s">
        <v>62</v>
      </c>
      <c r="AV4613" s="6" t="str">
        <f>HYPERLINK("http://mcgill.on.worldcat.org/oclc/707966529","Catalog Record")</f>
        <v>Catalog Record</v>
      </c>
      <c r="AW4613" s="6" t="str">
        <f>HYPERLINK("http://www.worldcat.org/oclc/707966529","WorldCat Record")</f>
        <v>WorldCat Record</v>
      </c>
      <c r="AX4613" s="3" t="s">
        <v>44122</v>
      </c>
      <c r="AY4613" s="3" t="s">
        <v>44123</v>
      </c>
      <c r="AZ4613" s="3" t="s">
        <v>44124</v>
      </c>
      <c r="BA4613" s="3" t="s">
        <v>44124</v>
      </c>
      <c r="BB4613" s="3" t="s">
        <v>44125</v>
      </c>
      <c r="BC4613" s="3" t="s">
        <v>142</v>
      </c>
      <c r="BD4613" s="3" t="s">
        <v>68</v>
      </c>
      <c r="BE4613" s="3" t="s">
        <v>44126</v>
      </c>
      <c r="BF4613" s="3" t="s">
        <v>44125</v>
      </c>
      <c r="BG4613" s="3" t="s">
        <v>44127</v>
      </c>
    </row>
    <row r="4614" spans="1:59" ht="57" x14ac:dyDescent="0.45">
      <c r="A4614" s="2" t="s">
        <v>59</v>
      </c>
      <c r="B4614" s="2" t="s">
        <v>60</v>
      </c>
      <c r="C4614" s="2" t="s">
        <v>44128</v>
      </c>
      <c r="D4614" s="2" t="s">
        <v>44129</v>
      </c>
      <c r="E4614" s="2" t="s">
        <v>44130</v>
      </c>
      <c r="G4614" s="3" t="s">
        <v>62</v>
      </c>
      <c r="I4614" s="3" t="s">
        <v>62</v>
      </c>
      <c r="J4614" s="3" t="s">
        <v>62</v>
      </c>
      <c r="K4614" s="3" t="s">
        <v>63</v>
      </c>
      <c r="M4614" s="2" t="s">
        <v>44091</v>
      </c>
      <c r="N4614" s="3" t="s">
        <v>116</v>
      </c>
      <c r="P4614" s="3" t="s">
        <v>65</v>
      </c>
      <c r="Q4614" s="2" t="s">
        <v>44131</v>
      </c>
      <c r="R4614" s="3" t="s">
        <v>66</v>
      </c>
      <c r="S4614" s="4">
        <v>2</v>
      </c>
      <c r="T4614" s="4">
        <v>2</v>
      </c>
      <c r="U4614" s="5" t="s">
        <v>44132</v>
      </c>
      <c r="V4614" s="5" t="s">
        <v>44132</v>
      </c>
      <c r="W4614" s="5" t="s">
        <v>67</v>
      </c>
      <c r="X4614" s="5" t="s">
        <v>67</v>
      </c>
      <c r="Y4614" s="4">
        <v>101</v>
      </c>
      <c r="Z4614" s="4">
        <v>19</v>
      </c>
      <c r="AA4614" s="4">
        <v>19</v>
      </c>
      <c r="AB4614" s="4">
        <v>1</v>
      </c>
      <c r="AC4614" s="4">
        <v>1</v>
      </c>
      <c r="AD4614" s="4">
        <v>52</v>
      </c>
      <c r="AE4614" s="4">
        <v>52</v>
      </c>
      <c r="AF4614" s="4">
        <v>0</v>
      </c>
      <c r="AG4614" s="4">
        <v>0</v>
      </c>
      <c r="AH4614" s="4">
        <v>43</v>
      </c>
      <c r="AI4614" s="4">
        <v>43</v>
      </c>
      <c r="AJ4614" s="4">
        <v>13</v>
      </c>
      <c r="AK4614" s="4">
        <v>13</v>
      </c>
      <c r="AL4614" s="4">
        <v>27</v>
      </c>
      <c r="AM4614" s="4">
        <v>27</v>
      </c>
      <c r="AN4614" s="4">
        <v>0</v>
      </c>
      <c r="AO4614" s="4">
        <v>0</v>
      </c>
      <c r="AP4614" s="4">
        <v>16</v>
      </c>
      <c r="AQ4614" s="4">
        <v>16</v>
      </c>
      <c r="AR4614" s="3" t="s">
        <v>62</v>
      </c>
      <c r="AS4614" s="3" t="s">
        <v>62</v>
      </c>
      <c r="AT4614" s="3" t="s">
        <v>62</v>
      </c>
      <c r="AV4614" s="6" t="str">
        <f>HYPERLINK("http://mcgill.on.worldcat.org/oclc/828143263","Catalog Record")</f>
        <v>Catalog Record</v>
      </c>
      <c r="AW4614" s="6" t="str">
        <f>HYPERLINK("http://www.worldcat.org/oclc/828143263","WorldCat Record")</f>
        <v>WorldCat Record</v>
      </c>
      <c r="AX4614" s="3" t="s">
        <v>44133</v>
      </c>
      <c r="AY4614" s="3" t="s">
        <v>44134</v>
      </c>
      <c r="AZ4614" s="3" t="s">
        <v>44135</v>
      </c>
      <c r="BA4614" s="3" t="s">
        <v>44135</v>
      </c>
      <c r="BB4614" s="3" t="s">
        <v>44136</v>
      </c>
      <c r="BC4614" s="3" t="s">
        <v>142</v>
      </c>
      <c r="BD4614" s="3" t="s">
        <v>68</v>
      </c>
      <c r="BE4614" s="3" t="s">
        <v>44137</v>
      </c>
      <c r="BF4614" s="3" t="s">
        <v>44136</v>
      </c>
      <c r="BG4614" s="3" t="s">
        <v>44138</v>
      </c>
    </row>
    <row r="4615" spans="1:59" ht="57" x14ac:dyDescent="0.45">
      <c r="A4615" s="2" t="s">
        <v>59</v>
      </c>
      <c r="B4615" s="2" t="s">
        <v>60</v>
      </c>
      <c r="C4615" s="2" t="s">
        <v>44139</v>
      </c>
      <c r="D4615" s="2" t="s">
        <v>44140</v>
      </c>
      <c r="E4615" s="2" t="s">
        <v>44141</v>
      </c>
      <c r="G4615" s="3" t="s">
        <v>62</v>
      </c>
      <c r="I4615" s="3" t="s">
        <v>62</v>
      </c>
      <c r="J4615" s="3" t="s">
        <v>62</v>
      </c>
      <c r="K4615" s="3" t="s">
        <v>63</v>
      </c>
      <c r="M4615" s="2" t="s">
        <v>44142</v>
      </c>
      <c r="N4615" s="3" t="s">
        <v>149</v>
      </c>
      <c r="P4615" s="3" t="s">
        <v>65</v>
      </c>
      <c r="Q4615" s="2" t="s">
        <v>32826</v>
      </c>
      <c r="R4615" s="3" t="s">
        <v>66</v>
      </c>
      <c r="S4615" s="4">
        <v>6</v>
      </c>
      <c r="T4615" s="4">
        <v>6</v>
      </c>
      <c r="U4615" s="5" t="s">
        <v>34992</v>
      </c>
      <c r="V4615" s="5" t="s">
        <v>34992</v>
      </c>
      <c r="W4615" s="5" t="s">
        <v>67</v>
      </c>
      <c r="X4615" s="5" t="s">
        <v>67</v>
      </c>
      <c r="Y4615" s="4">
        <v>239</v>
      </c>
      <c r="Z4615" s="4">
        <v>17</v>
      </c>
      <c r="AA4615" s="4">
        <v>18</v>
      </c>
      <c r="AB4615" s="4">
        <v>1</v>
      </c>
      <c r="AC4615" s="4">
        <v>2</v>
      </c>
      <c r="AD4615" s="4">
        <v>72</v>
      </c>
      <c r="AE4615" s="4">
        <v>73</v>
      </c>
      <c r="AF4615" s="4">
        <v>0</v>
      </c>
      <c r="AG4615" s="4">
        <v>1</v>
      </c>
      <c r="AH4615" s="4">
        <v>66</v>
      </c>
      <c r="AI4615" s="4">
        <v>66</v>
      </c>
      <c r="AJ4615" s="4">
        <v>15</v>
      </c>
      <c r="AK4615" s="4">
        <v>16</v>
      </c>
      <c r="AL4615" s="4">
        <v>37</v>
      </c>
      <c r="AM4615" s="4">
        <v>37</v>
      </c>
      <c r="AN4615" s="4">
        <v>5</v>
      </c>
      <c r="AO4615" s="4">
        <v>5</v>
      </c>
      <c r="AP4615" s="4">
        <v>15</v>
      </c>
      <c r="AQ4615" s="4">
        <v>15</v>
      </c>
      <c r="AR4615" s="3" t="s">
        <v>62</v>
      </c>
      <c r="AS4615" s="3" t="s">
        <v>62</v>
      </c>
      <c r="AT4615" s="3" t="s">
        <v>61</v>
      </c>
      <c r="AU4615" s="6" t="str">
        <f>HYPERLINK("http://catalog.hathitrust.org/Record/009774412","HathiTrust Record")</f>
        <v>HathiTrust Record</v>
      </c>
      <c r="AV4615" s="6" t="str">
        <f>HYPERLINK("http://mcgill.on.worldcat.org/oclc/482628879","Catalog Record")</f>
        <v>Catalog Record</v>
      </c>
      <c r="AW4615" s="6" t="str">
        <f>HYPERLINK("http://www.worldcat.org/oclc/482628879","WorldCat Record")</f>
        <v>WorldCat Record</v>
      </c>
      <c r="AX4615" s="3" t="s">
        <v>44143</v>
      </c>
      <c r="AY4615" s="3" t="s">
        <v>44144</v>
      </c>
      <c r="AZ4615" s="3" t="s">
        <v>44145</v>
      </c>
      <c r="BA4615" s="3" t="s">
        <v>44145</v>
      </c>
      <c r="BB4615" s="3" t="s">
        <v>44146</v>
      </c>
      <c r="BC4615" s="3" t="s">
        <v>142</v>
      </c>
      <c r="BD4615" s="3" t="s">
        <v>68</v>
      </c>
      <c r="BE4615" s="3" t="s">
        <v>44147</v>
      </c>
      <c r="BF4615" s="3" t="s">
        <v>44146</v>
      </c>
      <c r="BG4615" s="3" t="s">
        <v>44148</v>
      </c>
    </row>
    <row r="4616" spans="1:59" ht="57" x14ac:dyDescent="0.45">
      <c r="A4616" s="2" t="s">
        <v>59</v>
      </c>
      <c r="B4616" s="2" t="s">
        <v>60</v>
      </c>
      <c r="C4616" s="2" t="s">
        <v>44149</v>
      </c>
      <c r="D4616" s="2" t="s">
        <v>44150</v>
      </c>
      <c r="E4616" s="2" t="s">
        <v>44151</v>
      </c>
      <c r="G4616" s="3" t="s">
        <v>62</v>
      </c>
      <c r="I4616" s="3" t="s">
        <v>62</v>
      </c>
      <c r="J4616" s="3" t="s">
        <v>62</v>
      </c>
      <c r="K4616" s="3" t="s">
        <v>63</v>
      </c>
      <c r="M4616" s="2" t="s">
        <v>44152</v>
      </c>
      <c r="N4616" s="3" t="s">
        <v>1155</v>
      </c>
      <c r="P4616" s="3" t="s">
        <v>65</v>
      </c>
      <c r="R4616" s="3" t="s">
        <v>66</v>
      </c>
      <c r="S4616" s="4">
        <v>2</v>
      </c>
      <c r="T4616" s="4">
        <v>2</v>
      </c>
      <c r="U4616" s="5" t="s">
        <v>13822</v>
      </c>
      <c r="V4616" s="5" t="s">
        <v>13822</v>
      </c>
      <c r="W4616" s="5" t="s">
        <v>67</v>
      </c>
      <c r="X4616" s="5" t="s">
        <v>67</v>
      </c>
      <c r="Y4616" s="4">
        <v>104</v>
      </c>
      <c r="Z4616" s="4">
        <v>14</v>
      </c>
      <c r="AA4616" s="4">
        <v>19</v>
      </c>
      <c r="AB4616" s="4">
        <v>1</v>
      </c>
      <c r="AC4616" s="4">
        <v>4</v>
      </c>
      <c r="AD4616" s="4">
        <v>49</v>
      </c>
      <c r="AE4616" s="4">
        <v>56</v>
      </c>
      <c r="AF4616" s="4">
        <v>0</v>
      </c>
      <c r="AG4616" s="4">
        <v>1</v>
      </c>
      <c r="AH4616" s="4">
        <v>46</v>
      </c>
      <c r="AI4616" s="4">
        <v>50</v>
      </c>
      <c r="AJ4616" s="4">
        <v>12</v>
      </c>
      <c r="AK4616" s="4">
        <v>14</v>
      </c>
      <c r="AL4616" s="4">
        <v>28</v>
      </c>
      <c r="AM4616" s="4">
        <v>30</v>
      </c>
      <c r="AN4616" s="4">
        <v>0</v>
      </c>
      <c r="AO4616" s="4">
        <v>0</v>
      </c>
      <c r="AP4616" s="4">
        <v>12</v>
      </c>
      <c r="AQ4616" s="4">
        <v>15</v>
      </c>
      <c r="AR4616" s="3" t="s">
        <v>62</v>
      </c>
      <c r="AS4616" s="3" t="s">
        <v>62</v>
      </c>
      <c r="AT4616" s="3" t="s">
        <v>62</v>
      </c>
      <c r="AV4616" s="6" t="str">
        <f>HYPERLINK("http://mcgill.on.worldcat.org/oclc/747713123","Catalog Record")</f>
        <v>Catalog Record</v>
      </c>
      <c r="AW4616" s="6" t="str">
        <f>HYPERLINK("http://www.worldcat.org/oclc/747713123","WorldCat Record")</f>
        <v>WorldCat Record</v>
      </c>
      <c r="AX4616" s="3" t="s">
        <v>44153</v>
      </c>
      <c r="AY4616" s="3" t="s">
        <v>44154</v>
      </c>
      <c r="AZ4616" s="3" t="s">
        <v>44155</v>
      </c>
      <c r="BA4616" s="3" t="s">
        <v>44155</v>
      </c>
      <c r="BB4616" s="3" t="s">
        <v>44156</v>
      </c>
      <c r="BC4616" s="3" t="s">
        <v>142</v>
      </c>
      <c r="BD4616" s="3" t="s">
        <v>68</v>
      </c>
      <c r="BE4616" s="3" t="s">
        <v>44157</v>
      </c>
      <c r="BF4616" s="3" t="s">
        <v>44156</v>
      </c>
      <c r="BG4616" s="3" t="s">
        <v>44158</v>
      </c>
    </row>
    <row r="4617" spans="1:59" ht="57" x14ac:dyDescent="0.45">
      <c r="A4617" s="2" t="s">
        <v>59</v>
      </c>
      <c r="B4617" s="2" t="s">
        <v>60</v>
      </c>
      <c r="C4617" s="2" t="s">
        <v>44159</v>
      </c>
      <c r="D4617" s="2" t="s">
        <v>44160</v>
      </c>
      <c r="E4617" s="2" t="s">
        <v>44161</v>
      </c>
      <c r="G4617" s="3" t="s">
        <v>62</v>
      </c>
      <c r="I4617" s="3" t="s">
        <v>62</v>
      </c>
      <c r="J4617" s="3" t="s">
        <v>62</v>
      </c>
      <c r="K4617" s="3" t="s">
        <v>63</v>
      </c>
      <c r="L4617" s="2" t="s">
        <v>10637</v>
      </c>
      <c r="M4617" s="2" t="s">
        <v>44162</v>
      </c>
      <c r="N4617" s="3" t="s">
        <v>945</v>
      </c>
      <c r="P4617" s="3" t="s">
        <v>65</v>
      </c>
      <c r="Q4617" s="2" t="s">
        <v>2655</v>
      </c>
      <c r="R4617" s="3" t="s">
        <v>66</v>
      </c>
      <c r="S4617" s="4">
        <v>10</v>
      </c>
      <c r="T4617" s="4">
        <v>10</v>
      </c>
      <c r="U4617" s="5" t="s">
        <v>35368</v>
      </c>
      <c r="V4617" s="5" t="s">
        <v>35368</v>
      </c>
      <c r="W4617" s="5" t="s">
        <v>67</v>
      </c>
      <c r="X4617" s="5" t="s">
        <v>67</v>
      </c>
      <c r="Y4617" s="4">
        <v>34</v>
      </c>
      <c r="Z4617" s="4">
        <v>2</v>
      </c>
      <c r="AA4617" s="4">
        <v>26</v>
      </c>
      <c r="AB4617" s="4">
        <v>1</v>
      </c>
      <c r="AC4617" s="4">
        <v>6</v>
      </c>
      <c r="AD4617" s="4">
        <v>5</v>
      </c>
      <c r="AE4617" s="4">
        <v>50</v>
      </c>
      <c r="AF4617" s="4">
        <v>0</v>
      </c>
      <c r="AG4617" s="4">
        <v>4</v>
      </c>
      <c r="AH4617" s="4">
        <v>5</v>
      </c>
      <c r="AI4617" s="4">
        <v>39</v>
      </c>
      <c r="AJ4617" s="4">
        <v>1</v>
      </c>
      <c r="AK4617" s="4">
        <v>18</v>
      </c>
      <c r="AL4617" s="4">
        <v>2</v>
      </c>
      <c r="AM4617" s="4">
        <v>17</v>
      </c>
      <c r="AN4617" s="4">
        <v>0</v>
      </c>
      <c r="AO4617" s="4">
        <v>5</v>
      </c>
      <c r="AP4617" s="4">
        <v>1</v>
      </c>
      <c r="AQ4617" s="4">
        <v>20</v>
      </c>
      <c r="AR4617" s="3" t="s">
        <v>62</v>
      </c>
      <c r="AS4617" s="3" t="s">
        <v>62</v>
      </c>
      <c r="AT4617" s="3" t="s">
        <v>61</v>
      </c>
      <c r="AU4617" s="6" t="str">
        <f>HYPERLINK("http://catalog.hathitrust.org/Record/100852656","HathiTrust Record")</f>
        <v>HathiTrust Record</v>
      </c>
      <c r="AV4617" s="6" t="str">
        <f>HYPERLINK("http://mcgill.on.worldcat.org/oclc/123374254","Catalog Record")</f>
        <v>Catalog Record</v>
      </c>
      <c r="AW4617" s="6" t="str">
        <f>HYPERLINK("http://www.worldcat.org/oclc/123374254","WorldCat Record")</f>
        <v>WorldCat Record</v>
      </c>
      <c r="AX4617" s="3" t="s">
        <v>44163</v>
      </c>
      <c r="AY4617" s="3" t="s">
        <v>44164</v>
      </c>
      <c r="AZ4617" s="3" t="s">
        <v>44165</v>
      </c>
      <c r="BA4617" s="3" t="s">
        <v>44165</v>
      </c>
      <c r="BB4617" s="3" t="s">
        <v>44166</v>
      </c>
      <c r="BC4617" s="3" t="s">
        <v>142</v>
      </c>
      <c r="BD4617" s="3" t="s">
        <v>68</v>
      </c>
      <c r="BE4617" s="3" t="s">
        <v>44167</v>
      </c>
      <c r="BF4617" s="3" t="s">
        <v>44166</v>
      </c>
      <c r="BG4617" s="3" t="s">
        <v>44168</v>
      </c>
    </row>
    <row r="4618" spans="1:59" ht="57" x14ac:dyDescent="0.45">
      <c r="A4618" s="2" t="s">
        <v>59</v>
      </c>
      <c r="B4618" s="2" t="s">
        <v>60</v>
      </c>
      <c r="C4618" s="2" t="s">
        <v>44169</v>
      </c>
      <c r="D4618" s="2" t="s">
        <v>44170</v>
      </c>
      <c r="E4618" s="2" t="s">
        <v>44171</v>
      </c>
      <c r="G4618" s="3" t="s">
        <v>62</v>
      </c>
      <c r="I4618" s="3" t="s">
        <v>62</v>
      </c>
      <c r="J4618" s="3" t="s">
        <v>62</v>
      </c>
      <c r="K4618" s="3" t="s">
        <v>63</v>
      </c>
      <c r="L4618" s="2" t="s">
        <v>44172</v>
      </c>
      <c r="M4618" s="2" t="s">
        <v>44173</v>
      </c>
      <c r="N4618" s="3" t="s">
        <v>820</v>
      </c>
      <c r="P4618" s="3" t="s">
        <v>65</v>
      </c>
      <c r="Q4618" s="2" t="s">
        <v>21357</v>
      </c>
      <c r="R4618" s="3" t="s">
        <v>66</v>
      </c>
      <c r="S4618" s="4">
        <v>10</v>
      </c>
      <c r="T4618" s="4">
        <v>10</v>
      </c>
      <c r="U4618" s="5" t="s">
        <v>5570</v>
      </c>
      <c r="V4618" s="5" t="s">
        <v>5570</v>
      </c>
      <c r="W4618" s="5" t="s">
        <v>67</v>
      </c>
      <c r="X4618" s="5" t="s">
        <v>67</v>
      </c>
      <c r="Y4618" s="4">
        <v>180</v>
      </c>
      <c r="Z4618" s="4">
        <v>22</v>
      </c>
      <c r="AA4618" s="4">
        <v>32</v>
      </c>
      <c r="AB4618" s="4">
        <v>2</v>
      </c>
      <c r="AC4618" s="4">
        <v>7</v>
      </c>
      <c r="AD4618" s="4">
        <v>58</v>
      </c>
      <c r="AE4618" s="4">
        <v>72</v>
      </c>
      <c r="AF4618" s="4">
        <v>1</v>
      </c>
      <c r="AG4618" s="4">
        <v>3</v>
      </c>
      <c r="AH4618" s="4">
        <v>50</v>
      </c>
      <c r="AI4618" s="4">
        <v>60</v>
      </c>
      <c r="AJ4618" s="4">
        <v>14</v>
      </c>
      <c r="AK4618" s="4">
        <v>18</v>
      </c>
      <c r="AL4618" s="4">
        <v>28</v>
      </c>
      <c r="AM4618" s="4">
        <v>32</v>
      </c>
      <c r="AN4618" s="4">
        <v>0</v>
      </c>
      <c r="AO4618" s="4">
        <v>0</v>
      </c>
      <c r="AP4618" s="4">
        <v>18</v>
      </c>
      <c r="AQ4618" s="4">
        <v>24</v>
      </c>
      <c r="AR4618" s="3" t="s">
        <v>62</v>
      </c>
      <c r="AS4618" s="3" t="s">
        <v>62</v>
      </c>
      <c r="AT4618" s="3" t="s">
        <v>61</v>
      </c>
      <c r="AU4618" s="6" t="str">
        <f>HYPERLINK("http://catalog.hathitrust.org/Record/007149047","HathiTrust Record")</f>
        <v>HathiTrust Record</v>
      </c>
      <c r="AV4618" s="6" t="str">
        <f>HYPERLINK("http://mcgill.on.worldcat.org/oclc/85833340","Catalog Record")</f>
        <v>Catalog Record</v>
      </c>
      <c r="AW4618" s="6" t="str">
        <f>HYPERLINK("http://www.worldcat.org/oclc/85833340","WorldCat Record")</f>
        <v>WorldCat Record</v>
      </c>
      <c r="AX4618" s="3" t="s">
        <v>44174</v>
      </c>
      <c r="AY4618" s="3" t="s">
        <v>44175</v>
      </c>
      <c r="AZ4618" s="3" t="s">
        <v>44176</v>
      </c>
      <c r="BA4618" s="3" t="s">
        <v>44176</v>
      </c>
      <c r="BB4618" s="3" t="s">
        <v>44177</v>
      </c>
      <c r="BC4618" s="3" t="s">
        <v>142</v>
      </c>
      <c r="BD4618" s="3" t="s">
        <v>68</v>
      </c>
      <c r="BE4618" s="3" t="s">
        <v>44178</v>
      </c>
      <c r="BF4618" s="3" t="s">
        <v>44177</v>
      </c>
      <c r="BG4618" s="3" t="s">
        <v>44179</v>
      </c>
    </row>
    <row r="4619" spans="1:59" ht="57" x14ac:dyDescent="0.45">
      <c r="A4619" s="2" t="s">
        <v>59</v>
      </c>
      <c r="B4619" s="2" t="s">
        <v>60</v>
      </c>
      <c r="C4619" s="2" t="s">
        <v>44180</v>
      </c>
      <c r="D4619" s="2" t="s">
        <v>44181</v>
      </c>
      <c r="E4619" s="2" t="s">
        <v>44182</v>
      </c>
      <c r="G4619" s="3" t="s">
        <v>62</v>
      </c>
      <c r="I4619" s="3" t="s">
        <v>62</v>
      </c>
      <c r="J4619" s="3" t="s">
        <v>62</v>
      </c>
      <c r="K4619" s="3" t="s">
        <v>63</v>
      </c>
      <c r="L4619" s="2" t="s">
        <v>44183</v>
      </c>
      <c r="M4619" s="2" t="s">
        <v>44184</v>
      </c>
      <c r="N4619" s="3" t="s">
        <v>1155</v>
      </c>
      <c r="P4619" s="3" t="s">
        <v>65</v>
      </c>
      <c r="Q4619" s="2" t="s">
        <v>7466</v>
      </c>
      <c r="R4619" s="3" t="s">
        <v>66</v>
      </c>
      <c r="S4619" s="4">
        <v>0</v>
      </c>
      <c r="T4619" s="4">
        <v>0</v>
      </c>
      <c r="W4619" s="5" t="s">
        <v>67</v>
      </c>
      <c r="X4619" s="5" t="s">
        <v>67</v>
      </c>
      <c r="Y4619" s="4">
        <v>57</v>
      </c>
      <c r="Z4619" s="4">
        <v>8</v>
      </c>
      <c r="AA4619" s="4">
        <v>17</v>
      </c>
      <c r="AB4619" s="4">
        <v>1</v>
      </c>
      <c r="AC4619" s="4">
        <v>1</v>
      </c>
      <c r="AD4619" s="4">
        <v>28</v>
      </c>
      <c r="AE4619" s="4">
        <v>44</v>
      </c>
      <c r="AF4619" s="4">
        <v>0</v>
      </c>
      <c r="AG4619" s="4">
        <v>0</v>
      </c>
      <c r="AH4619" s="4">
        <v>25</v>
      </c>
      <c r="AI4619" s="4">
        <v>37</v>
      </c>
      <c r="AJ4619" s="4">
        <v>5</v>
      </c>
      <c r="AK4619" s="4">
        <v>13</v>
      </c>
      <c r="AL4619" s="4">
        <v>15</v>
      </c>
      <c r="AM4619" s="4">
        <v>24</v>
      </c>
      <c r="AN4619" s="4">
        <v>0</v>
      </c>
      <c r="AO4619" s="4">
        <v>0</v>
      </c>
      <c r="AP4619" s="4">
        <v>7</v>
      </c>
      <c r="AQ4619" s="4">
        <v>15</v>
      </c>
      <c r="AR4619" s="3" t="s">
        <v>62</v>
      </c>
      <c r="AS4619" s="3" t="s">
        <v>62</v>
      </c>
      <c r="AT4619" s="3" t="s">
        <v>62</v>
      </c>
      <c r="AV4619" s="6" t="str">
        <f>HYPERLINK("http://mcgill.on.worldcat.org/oclc/781279056","Catalog Record")</f>
        <v>Catalog Record</v>
      </c>
      <c r="AW4619" s="6" t="str">
        <f>HYPERLINK("http://www.worldcat.org/oclc/781279056","WorldCat Record")</f>
        <v>WorldCat Record</v>
      </c>
      <c r="AX4619" s="3" t="s">
        <v>44185</v>
      </c>
      <c r="AY4619" s="3" t="s">
        <v>44186</v>
      </c>
      <c r="AZ4619" s="3" t="s">
        <v>44187</v>
      </c>
      <c r="BA4619" s="3" t="s">
        <v>44187</v>
      </c>
      <c r="BB4619" s="3" t="s">
        <v>44188</v>
      </c>
      <c r="BC4619" s="3" t="s">
        <v>142</v>
      </c>
      <c r="BD4619" s="3" t="s">
        <v>68</v>
      </c>
      <c r="BE4619" s="3" t="s">
        <v>44189</v>
      </c>
      <c r="BF4619" s="3" t="s">
        <v>44188</v>
      </c>
      <c r="BG4619" s="3" t="s">
        <v>44190</v>
      </c>
    </row>
    <row r="4620" spans="1:59" ht="85.5" x14ac:dyDescent="0.45">
      <c r="A4620" s="2" t="s">
        <v>59</v>
      </c>
      <c r="B4620" s="2" t="s">
        <v>60</v>
      </c>
      <c r="C4620" s="2" t="s">
        <v>44191</v>
      </c>
      <c r="D4620" s="2" t="s">
        <v>44192</v>
      </c>
      <c r="E4620" s="2" t="s">
        <v>44193</v>
      </c>
      <c r="G4620" s="3" t="s">
        <v>62</v>
      </c>
      <c r="I4620" s="3" t="s">
        <v>62</v>
      </c>
      <c r="J4620" s="3" t="s">
        <v>62</v>
      </c>
      <c r="K4620" s="3" t="s">
        <v>63</v>
      </c>
      <c r="M4620" s="2" t="s">
        <v>44194</v>
      </c>
      <c r="N4620" s="3" t="s">
        <v>5180</v>
      </c>
      <c r="P4620" s="3" t="s">
        <v>65</v>
      </c>
      <c r="Q4620" s="2" t="s">
        <v>44195</v>
      </c>
      <c r="R4620" s="3" t="s">
        <v>66</v>
      </c>
      <c r="S4620" s="4">
        <v>0</v>
      </c>
      <c r="T4620" s="4">
        <v>0</v>
      </c>
      <c r="W4620" s="5" t="s">
        <v>67</v>
      </c>
      <c r="X4620" s="5" t="s">
        <v>67</v>
      </c>
      <c r="Y4620" s="4">
        <v>35</v>
      </c>
      <c r="Z4620" s="4">
        <v>6</v>
      </c>
      <c r="AA4620" s="4">
        <v>11</v>
      </c>
      <c r="AB4620" s="4">
        <v>1</v>
      </c>
      <c r="AC4620" s="4">
        <v>5</v>
      </c>
      <c r="AD4620" s="4">
        <v>18</v>
      </c>
      <c r="AE4620" s="4">
        <v>21</v>
      </c>
      <c r="AF4620" s="4">
        <v>0</v>
      </c>
      <c r="AG4620" s="4">
        <v>2</v>
      </c>
      <c r="AH4620" s="4">
        <v>16</v>
      </c>
      <c r="AI4620" s="4">
        <v>16</v>
      </c>
      <c r="AJ4620" s="4">
        <v>5</v>
      </c>
      <c r="AK4620" s="4">
        <v>7</v>
      </c>
      <c r="AL4620" s="4">
        <v>10</v>
      </c>
      <c r="AM4620" s="4">
        <v>10</v>
      </c>
      <c r="AN4620" s="4">
        <v>0</v>
      </c>
      <c r="AO4620" s="4">
        <v>0</v>
      </c>
      <c r="AP4620" s="4">
        <v>5</v>
      </c>
      <c r="AQ4620" s="4">
        <v>7</v>
      </c>
      <c r="AR4620" s="3" t="s">
        <v>62</v>
      </c>
      <c r="AS4620" s="3" t="s">
        <v>62</v>
      </c>
      <c r="AT4620" s="3" t="s">
        <v>62</v>
      </c>
      <c r="AV4620" s="6" t="str">
        <f>HYPERLINK("http://mcgill.on.worldcat.org/oclc/1041957002","Catalog Record")</f>
        <v>Catalog Record</v>
      </c>
      <c r="AW4620" s="6" t="str">
        <f>HYPERLINK("http://www.worldcat.org/oclc/1041957002","WorldCat Record")</f>
        <v>WorldCat Record</v>
      </c>
      <c r="AX4620" s="3" t="s">
        <v>44196</v>
      </c>
      <c r="AY4620" s="3" t="s">
        <v>44197</v>
      </c>
      <c r="AZ4620" s="3" t="s">
        <v>44198</v>
      </c>
      <c r="BA4620" s="3" t="s">
        <v>44198</v>
      </c>
      <c r="BB4620" s="3" t="s">
        <v>44199</v>
      </c>
      <c r="BC4620" s="3" t="s">
        <v>142</v>
      </c>
      <c r="BD4620" s="3" t="s">
        <v>68</v>
      </c>
      <c r="BE4620" s="3" t="s">
        <v>44200</v>
      </c>
      <c r="BF4620" s="3" t="s">
        <v>44199</v>
      </c>
      <c r="BG4620" s="3" t="s">
        <v>44201</v>
      </c>
    </row>
    <row r="4621" spans="1:59" ht="57" x14ac:dyDescent="0.45">
      <c r="A4621" s="2" t="s">
        <v>59</v>
      </c>
      <c r="B4621" s="2" t="s">
        <v>60</v>
      </c>
      <c r="C4621" s="2" t="s">
        <v>44202</v>
      </c>
      <c r="D4621" s="2" t="s">
        <v>44203</v>
      </c>
      <c r="E4621" s="2" t="s">
        <v>44204</v>
      </c>
      <c r="G4621" s="3" t="s">
        <v>62</v>
      </c>
      <c r="I4621" s="3" t="s">
        <v>62</v>
      </c>
      <c r="J4621" s="3" t="s">
        <v>62</v>
      </c>
      <c r="K4621" s="3" t="s">
        <v>63</v>
      </c>
      <c r="M4621" s="2" t="s">
        <v>44205</v>
      </c>
      <c r="N4621" s="3" t="s">
        <v>945</v>
      </c>
      <c r="P4621" s="3" t="s">
        <v>65</v>
      </c>
      <c r="Q4621" s="2" t="s">
        <v>44206</v>
      </c>
      <c r="R4621" s="3" t="s">
        <v>66</v>
      </c>
      <c r="S4621" s="4">
        <v>6</v>
      </c>
      <c r="T4621" s="4">
        <v>6</v>
      </c>
      <c r="U4621" s="5" t="s">
        <v>34256</v>
      </c>
      <c r="V4621" s="5" t="s">
        <v>34256</v>
      </c>
      <c r="W4621" s="5" t="s">
        <v>67</v>
      </c>
      <c r="X4621" s="5" t="s">
        <v>67</v>
      </c>
      <c r="Y4621" s="4">
        <v>110</v>
      </c>
      <c r="Z4621" s="4">
        <v>22</v>
      </c>
      <c r="AA4621" s="4">
        <v>111</v>
      </c>
      <c r="AB4621" s="4">
        <v>1</v>
      </c>
      <c r="AC4621" s="4">
        <v>17</v>
      </c>
      <c r="AD4621" s="4">
        <v>55</v>
      </c>
      <c r="AE4621" s="4">
        <v>125</v>
      </c>
      <c r="AF4621" s="4">
        <v>0</v>
      </c>
      <c r="AG4621" s="4">
        <v>8</v>
      </c>
      <c r="AH4621" s="4">
        <v>47</v>
      </c>
      <c r="AI4621" s="4">
        <v>85</v>
      </c>
      <c r="AJ4621" s="4">
        <v>15</v>
      </c>
      <c r="AK4621" s="4">
        <v>27</v>
      </c>
      <c r="AL4621" s="4">
        <v>27</v>
      </c>
      <c r="AM4621" s="4">
        <v>41</v>
      </c>
      <c r="AN4621" s="4">
        <v>0</v>
      </c>
      <c r="AO4621" s="4">
        <v>0</v>
      </c>
      <c r="AP4621" s="4">
        <v>19</v>
      </c>
      <c r="AQ4621" s="4">
        <v>51</v>
      </c>
      <c r="AR4621" s="3" t="s">
        <v>62</v>
      </c>
      <c r="AS4621" s="3" t="s">
        <v>62</v>
      </c>
      <c r="AT4621" s="3" t="s">
        <v>62</v>
      </c>
      <c r="AV4621" s="6" t="str">
        <f>HYPERLINK("http://mcgill.on.worldcat.org/oclc/71810166","Catalog Record")</f>
        <v>Catalog Record</v>
      </c>
      <c r="AW4621" s="6" t="str">
        <f>HYPERLINK("http://www.worldcat.org/oclc/71810166","WorldCat Record")</f>
        <v>WorldCat Record</v>
      </c>
      <c r="AX4621" s="3" t="s">
        <v>44207</v>
      </c>
      <c r="AY4621" s="3" t="s">
        <v>44208</v>
      </c>
      <c r="AZ4621" s="3" t="s">
        <v>44209</v>
      </c>
      <c r="BA4621" s="3" t="s">
        <v>44209</v>
      </c>
      <c r="BB4621" s="3" t="s">
        <v>44210</v>
      </c>
      <c r="BC4621" s="3" t="s">
        <v>142</v>
      </c>
      <c r="BD4621" s="3" t="s">
        <v>68</v>
      </c>
      <c r="BE4621" s="3" t="s">
        <v>44211</v>
      </c>
      <c r="BF4621" s="3" t="s">
        <v>44210</v>
      </c>
      <c r="BG4621" s="3" t="s">
        <v>44212</v>
      </c>
    </row>
    <row r="4622" spans="1:59" ht="57" x14ac:dyDescent="0.45">
      <c r="A4622" s="2" t="s">
        <v>59</v>
      </c>
      <c r="B4622" s="2" t="s">
        <v>60</v>
      </c>
      <c r="C4622" s="2" t="s">
        <v>44213</v>
      </c>
      <c r="D4622" s="2" t="s">
        <v>44214</v>
      </c>
      <c r="E4622" s="2" t="s">
        <v>44215</v>
      </c>
      <c r="G4622" s="3" t="s">
        <v>62</v>
      </c>
      <c r="I4622" s="3" t="s">
        <v>62</v>
      </c>
      <c r="J4622" s="3" t="s">
        <v>62</v>
      </c>
      <c r="K4622" s="3" t="s">
        <v>63</v>
      </c>
      <c r="M4622" s="2" t="s">
        <v>44216</v>
      </c>
      <c r="N4622" s="3" t="s">
        <v>1155</v>
      </c>
      <c r="P4622" s="3" t="s">
        <v>65</v>
      </c>
      <c r="R4622" s="3" t="s">
        <v>66</v>
      </c>
      <c r="S4622" s="4">
        <v>0</v>
      </c>
      <c r="T4622" s="4">
        <v>0</v>
      </c>
      <c r="W4622" s="5" t="s">
        <v>67</v>
      </c>
      <c r="X4622" s="5" t="s">
        <v>67</v>
      </c>
      <c r="Y4622" s="4">
        <v>62</v>
      </c>
      <c r="Z4622" s="4">
        <v>17</v>
      </c>
      <c r="AA4622" s="4">
        <v>82</v>
      </c>
      <c r="AB4622" s="4">
        <v>2</v>
      </c>
      <c r="AC4622" s="4">
        <v>14</v>
      </c>
      <c r="AD4622" s="4">
        <v>29</v>
      </c>
      <c r="AE4622" s="4">
        <v>97</v>
      </c>
      <c r="AF4622" s="4">
        <v>1</v>
      </c>
      <c r="AG4622" s="4">
        <v>8</v>
      </c>
      <c r="AH4622" s="4">
        <v>22</v>
      </c>
      <c r="AI4622" s="4">
        <v>62</v>
      </c>
      <c r="AJ4622" s="4">
        <v>12</v>
      </c>
      <c r="AK4622" s="4">
        <v>24</v>
      </c>
      <c r="AL4622" s="4">
        <v>12</v>
      </c>
      <c r="AM4622" s="4">
        <v>31</v>
      </c>
      <c r="AN4622" s="4">
        <v>0</v>
      </c>
      <c r="AO4622" s="4">
        <v>0</v>
      </c>
      <c r="AP4622" s="4">
        <v>13</v>
      </c>
      <c r="AQ4622" s="4">
        <v>45</v>
      </c>
      <c r="AR4622" s="3" t="s">
        <v>62</v>
      </c>
      <c r="AS4622" s="3" t="s">
        <v>62</v>
      </c>
      <c r="AT4622" s="3" t="s">
        <v>62</v>
      </c>
      <c r="AV4622" s="6" t="str">
        <f>HYPERLINK("http://mcgill.on.worldcat.org/oclc/774639687","Catalog Record")</f>
        <v>Catalog Record</v>
      </c>
      <c r="AW4622" s="6" t="str">
        <f>HYPERLINK("http://www.worldcat.org/oclc/774639687","WorldCat Record")</f>
        <v>WorldCat Record</v>
      </c>
      <c r="AX4622" s="3" t="s">
        <v>44217</v>
      </c>
      <c r="AY4622" s="3" t="s">
        <v>44218</v>
      </c>
      <c r="AZ4622" s="3" t="s">
        <v>44219</v>
      </c>
      <c r="BA4622" s="3" t="s">
        <v>44219</v>
      </c>
      <c r="BB4622" s="3" t="s">
        <v>44220</v>
      </c>
      <c r="BC4622" s="3" t="s">
        <v>142</v>
      </c>
      <c r="BD4622" s="3" t="s">
        <v>68</v>
      </c>
      <c r="BE4622" s="3" t="s">
        <v>44221</v>
      </c>
      <c r="BF4622" s="3" t="s">
        <v>44220</v>
      </c>
      <c r="BG4622" s="3" t="s">
        <v>44222</v>
      </c>
    </row>
    <row r="4623" spans="1:59" ht="57" x14ac:dyDescent="0.45">
      <c r="A4623" s="2" t="s">
        <v>59</v>
      </c>
      <c r="B4623" s="2" t="s">
        <v>60</v>
      </c>
      <c r="C4623" s="2" t="s">
        <v>44223</v>
      </c>
      <c r="D4623" s="2" t="s">
        <v>44224</v>
      </c>
      <c r="E4623" s="2" t="s">
        <v>44225</v>
      </c>
      <c r="G4623" s="3" t="s">
        <v>62</v>
      </c>
      <c r="I4623" s="3" t="s">
        <v>62</v>
      </c>
      <c r="J4623" s="3" t="s">
        <v>62</v>
      </c>
      <c r="K4623" s="3" t="s">
        <v>63</v>
      </c>
      <c r="L4623" s="2" t="s">
        <v>44226</v>
      </c>
      <c r="M4623" s="2" t="s">
        <v>44227</v>
      </c>
      <c r="N4623" s="3" t="s">
        <v>894</v>
      </c>
      <c r="P4623" s="3" t="s">
        <v>65</v>
      </c>
      <c r="R4623" s="3" t="s">
        <v>66</v>
      </c>
      <c r="S4623" s="4">
        <v>0</v>
      </c>
      <c r="T4623" s="4">
        <v>0</v>
      </c>
      <c r="W4623" s="5" t="s">
        <v>67</v>
      </c>
      <c r="X4623" s="5" t="s">
        <v>67</v>
      </c>
      <c r="Y4623" s="4">
        <v>116</v>
      </c>
      <c r="Z4623" s="4">
        <v>15</v>
      </c>
      <c r="AA4623" s="4">
        <v>80</v>
      </c>
      <c r="AB4623" s="4">
        <v>2</v>
      </c>
      <c r="AC4623" s="4">
        <v>15</v>
      </c>
      <c r="AD4623" s="4">
        <v>26</v>
      </c>
      <c r="AE4623" s="4">
        <v>103</v>
      </c>
      <c r="AF4623" s="4">
        <v>1</v>
      </c>
      <c r="AG4623" s="4">
        <v>8</v>
      </c>
      <c r="AH4623" s="4">
        <v>21</v>
      </c>
      <c r="AI4623" s="4">
        <v>69</v>
      </c>
      <c r="AJ4623" s="4">
        <v>12</v>
      </c>
      <c r="AK4623" s="4">
        <v>24</v>
      </c>
      <c r="AL4623" s="4">
        <v>10</v>
      </c>
      <c r="AM4623" s="4">
        <v>33</v>
      </c>
      <c r="AN4623" s="4">
        <v>0</v>
      </c>
      <c r="AO4623" s="4">
        <v>0</v>
      </c>
      <c r="AP4623" s="4">
        <v>12</v>
      </c>
      <c r="AQ4623" s="4">
        <v>43</v>
      </c>
      <c r="AR4623" s="3" t="s">
        <v>62</v>
      </c>
      <c r="AS4623" s="3" t="s">
        <v>62</v>
      </c>
      <c r="AT4623" s="3" t="s">
        <v>62</v>
      </c>
      <c r="AV4623" s="6" t="str">
        <f>HYPERLINK("http://mcgill.on.worldcat.org/oclc/548660336","Catalog Record")</f>
        <v>Catalog Record</v>
      </c>
      <c r="AW4623" s="6" t="str">
        <f>HYPERLINK("http://www.worldcat.org/oclc/548660336","WorldCat Record")</f>
        <v>WorldCat Record</v>
      </c>
      <c r="AX4623" s="3" t="s">
        <v>44228</v>
      </c>
      <c r="AY4623" s="3" t="s">
        <v>44229</v>
      </c>
      <c r="AZ4623" s="3" t="s">
        <v>44230</v>
      </c>
      <c r="BA4623" s="3" t="s">
        <v>44230</v>
      </c>
      <c r="BB4623" s="3" t="s">
        <v>44231</v>
      </c>
      <c r="BC4623" s="3" t="s">
        <v>142</v>
      </c>
      <c r="BD4623" s="3" t="s">
        <v>68</v>
      </c>
      <c r="BE4623" s="3" t="s">
        <v>44232</v>
      </c>
      <c r="BF4623" s="3" t="s">
        <v>44231</v>
      </c>
      <c r="BG4623" s="3" t="s">
        <v>44233</v>
      </c>
    </row>
    <row r="4624" spans="1:59" ht="57" x14ac:dyDescent="0.45">
      <c r="A4624" s="2" t="s">
        <v>59</v>
      </c>
      <c r="B4624" s="2" t="s">
        <v>60</v>
      </c>
      <c r="C4624" s="2" t="s">
        <v>44234</v>
      </c>
      <c r="D4624" s="2" t="s">
        <v>44235</v>
      </c>
      <c r="E4624" s="2" t="s">
        <v>44236</v>
      </c>
      <c r="G4624" s="3" t="s">
        <v>62</v>
      </c>
      <c r="I4624" s="3" t="s">
        <v>62</v>
      </c>
      <c r="J4624" s="3" t="s">
        <v>62</v>
      </c>
      <c r="K4624" s="3" t="s">
        <v>63</v>
      </c>
      <c r="L4624" s="2" t="s">
        <v>44237</v>
      </c>
      <c r="M4624" s="2" t="s">
        <v>44227</v>
      </c>
      <c r="N4624" s="3" t="s">
        <v>894</v>
      </c>
      <c r="P4624" s="3" t="s">
        <v>65</v>
      </c>
      <c r="R4624" s="3" t="s">
        <v>66</v>
      </c>
      <c r="S4624" s="4">
        <v>2</v>
      </c>
      <c r="T4624" s="4">
        <v>2</v>
      </c>
      <c r="U4624" s="5" t="s">
        <v>44238</v>
      </c>
      <c r="V4624" s="5" t="s">
        <v>44238</v>
      </c>
      <c r="W4624" s="5" t="s">
        <v>67</v>
      </c>
      <c r="X4624" s="5" t="s">
        <v>67</v>
      </c>
      <c r="Y4624" s="4">
        <v>142</v>
      </c>
      <c r="Z4624" s="4">
        <v>13</v>
      </c>
      <c r="AA4624" s="4">
        <v>21</v>
      </c>
      <c r="AB4624" s="4">
        <v>1</v>
      </c>
      <c r="AC4624" s="4">
        <v>5</v>
      </c>
      <c r="AD4624" s="4">
        <v>28</v>
      </c>
      <c r="AE4624" s="4">
        <v>44</v>
      </c>
      <c r="AF4624" s="4">
        <v>0</v>
      </c>
      <c r="AG4624" s="4">
        <v>1</v>
      </c>
      <c r="AH4624" s="4">
        <v>24</v>
      </c>
      <c r="AI4624" s="4">
        <v>36</v>
      </c>
      <c r="AJ4624" s="4">
        <v>9</v>
      </c>
      <c r="AK4624" s="4">
        <v>13</v>
      </c>
      <c r="AL4624" s="4">
        <v>14</v>
      </c>
      <c r="AM4624" s="4">
        <v>21</v>
      </c>
      <c r="AN4624" s="4">
        <v>0</v>
      </c>
      <c r="AO4624" s="4">
        <v>0</v>
      </c>
      <c r="AP4624" s="4">
        <v>9</v>
      </c>
      <c r="AQ4624" s="4">
        <v>13</v>
      </c>
      <c r="AR4624" s="3" t="s">
        <v>62</v>
      </c>
      <c r="AS4624" s="3" t="s">
        <v>62</v>
      </c>
      <c r="AT4624" s="3" t="s">
        <v>62</v>
      </c>
      <c r="AV4624" s="6" t="str">
        <f>HYPERLINK("http://mcgill.on.worldcat.org/oclc/548660335","Catalog Record")</f>
        <v>Catalog Record</v>
      </c>
      <c r="AW4624" s="6" t="str">
        <f>HYPERLINK("http://www.worldcat.org/oclc/548660335","WorldCat Record")</f>
        <v>WorldCat Record</v>
      </c>
      <c r="AX4624" s="3" t="s">
        <v>44239</v>
      </c>
      <c r="AY4624" s="3" t="s">
        <v>44240</v>
      </c>
      <c r="AZ4624" s="3" t="s">
        <v>44241</v>
      </c>
      <c r="BA4624" s="3" t="s">
        <v>44241</v>
      </c>
      <c r="BB4624" s="3" t="s">
        <v>44242</v>
      </c>
      <c r="BC4624" s="3" t="s">
        <v>142</v>
      </c>
      <c r="BD4624" s="3" t="s">
        <v>68</v>
      </c>
      <c r="BE4624" s="3" t="s">
        <v>44243</v>
      </c>
      <c r="BF4624" s="3" t="s">
        <v>44242</v>
      </c>
      <c r="BG4624" s="3" t="s">
        <v>44244</v>
      </c>
    </row>
    <row r="4625" spans="1:59" ht="57" x14ac:dyDescent="0.45">
      <c r="A4625" s="2" t="s">
        <v>59</v>
      </c>
      <c r="B4625" s="2" t="s">
        <v>60</v>
      </c>
      <c r="C4625" s="2" t="s">
        <v>44245</v>
      </c>
      <c r="D4625" s="2" t="s">
        <v>44246</v>
      </c>
      <c r="E4625" s="2" t="s">
        <v>44247</v>
      </c>
      <c r="G4625" s="3" t="s">
        <v>62</v>
      </c>
      <c r="I4625" s="3" t="s">
        <v>62</v>
      </c>
      <c r="J4625" s="3" t="s">
        <v>62</v>
      </c>
      <c r="K4625" s="3" t="s">
        <v>63</v>
      </c>
      <c r="M4625" s="2" t="s">
        <v>1096</v>
      </c>
      <c r="N4625" s="3" t="s">
        <v>1097</v>
      </c>
      <c r="P4625" s="3" t="s">
        <v>65</v>
      </c>
      <c r="Q4625" s="2" t="s">
        <v>44248</v>
      </c>
      <c r="R4625" s="3" t="s">
        <v>66</v>
      </c>
      <c r="S4625" s="4">
        <v>19</v>
      </c>
      <c r="T4625" s="4">
        <v>19</v>
      </c>
      <c r="U4625" s="5" t="s">
        <v>43121</v>
      </c>
      <c r="V4625" s="5" t="s">
        <v>43121</v>
      </c>
      <c r="W4625" s="5" t="s">
        <v>67</v>
      </c>
      <c r="X4625" s="5" t="s">
        <v>67</v>
      </c>
      <c r="Y4625" s="4">
        <v>400</v>
      </c>
      <c r="Z4625" s="4">
        <v>28</v>
      </c>
      <c r="AA4625" s="4">
        <v>69</v>
      </c>
      <c r="AB4625" s="4">
        <v>2</v>
      </c>
      <c r="AC4625" s="4">
        <v>10</v>
      </c>
      <c r="AD4625" s="4">
        <v>95</v>
      </c>
      <c r="AE4625" s="4">
        <v>131</v>
      </c>
      <c r="AF4625" s="4">
        <v>1</v>
      </c>
      <c r="AG4625" s="4">
        <v>6</v>
      </c>
      <c r="AH4625" s="4">
        <v>82</v>
      </c>
      <c r="AI4625" s="4">
        <v>97</v>
      </c>
      <c r="AJ4625" s="4">
        <v>19</v>
      </c>
      <c r="AK4625" s="4">
        <v>27</v>
      </c>
      <c r="AL4625" s="4">
        <v>42</v>
      </c>
      <c r="AM4625" s="4">
        <v>50</v>
      </c>
      <c r="AN4625" s="4">
        <v>0</v>
      </c>
      <c r="AO4625" s="4">
        <v>0</v>
      </c>
      <c r="AP4625" s="4">
        <v>22</v>
      </c>
      <c r="AQ4625" s="4">
        <v>44</v>
      </c>
      <c r="AR4625" s="3" t="s">
        <v>62</v>
      </c>
      <c r="AS4625" s="3" t="s">
        <v>62</v>
      </c>
      <c r="AT4625" s="3" t="s">
        <v>62</v>
      </c>
      <c r="AV4625" s="6" t="str">
        <f>HYPERLINK("http://mcgill.on.worldcat.org/oclc/53138794","Catalog Record")</f>
        <v>Catalog Record</v>
      </c>
      <c r="AW4625" s="6" t="str">
        <f>HYPERLINK("http://www.worldcat.org/oclc/53138794","WorldCat Record")</f>
        <v>WorldCat Record</v>
      </c>
      <c r="AX4625" s="3" t="s">
        <v>44249</v>
      </c>
      <c r="AY4625" s="3" t="s">
        <v>44250</v>
      </c>
      <c r="AZ4625" s="3" t="s">
        <v>44251</v>
      </c>
      <c r="BA4625" s="3" t="s">
        <v>44251</v>
      </c>
      <c r="BB4625" s="3" t="s">
        <v>44252</v>
      </c>
      <c r="BC4625" s="3" t="s">
        <v>142</v>
      </c>
      <c r="BD4625" s="3" t="s">
        <v>68</v>
      </c>
      <c r="BE4625" s="3" t="s">
        <v>44253</v>
      </c>
      <c r="BF4625" s="3" t="s">
        <v>44252</v>
      </c>
      <c r="BG4625" s="3" t="s">
        <v>44254</v>
      </c>
    </row>
    <row r="4626" spans="1:59" ht="57" x14ac:dyDescent="0.45">
      <c r="A4626" s="2" t="s">
        <v>59</v>
      </c>
      <c r="B4626" s="2" t="s">
        <v>60</v>
      </c>
      <c r="C4626" s="2" t="s">
        <v>44255</v>
      </c>
      <c r="D4626" s="2" t="s">
        <v>44256</v>
      </c>
      <c r="E4626" s="2" t="s">
        <v>44257</v>
      </c>
      <c r="G4626" s="3" t="s">
        <v>62</v>
      </c>
      <c r="I4626" s="3" t="s">
        <v>62</v>
      </c>
      <c r="J4626" s="3" t="s">
        <v>62</v>
      </c>
      <c r="K4626" s="3" t="s">
        <v>63</v>
      </c>
      <c r="L4626" s="2" t="s">
        <v>43759</v>
      </c>
      <c r="M4626" s="2" t="s">
        <v>44258</v>
      </c>
      <c r="N4626" s="3" t="s">
        <v>149</v>
      </c>
      <c r="P4626" s="3" t="s">
        <v>65</v>
      </c>
      <c r="R4626" s="3" t="s">
        <v>66</v>
      </c>
      <c r="S4626" s="4">
        <v>2</v>
      </c>
      <c r="T4626" s="4">
        <v>2</v>
      </c>
      <c r="U4626" s="5" t="s">
        <v>44259</v>
      </c>
      <c r="V4626" s="5" t="s">
        <v>44259</v>
      </c>
      <c r="W4626" s="5" t="s">
        <v>67</v>
      </c>
      <c r="X4626" s="5" t="s">
        <v>67</v>
      </c>
      <c r="Y4626" s="4">
        <v>145</v>
      </c>
      <c r="Z4626" s="4">
        <v>15</v>
      </c>
      <c r="AA4626" s="4">
        <v>81</v>
      </c>
      <c r="AB4626" s="4">
        <v>2</v>
      </c>
      <c r="AC4626" s="4">
        <v>15</v>
      </c>
      <c r="AD4626" s="4">
        <v>31</v>
      </c>
      <c r="AE4626" s="4">
        <v>105</v>
      </c>
      <c r="AF4626" s="4">
        <v>1</v>
      </c>
      <c r="AG4626" s="4">
        <v>8</v>
      </c>
      <c r="AH4626" s="4">
        <v>26</v>
      </c>
      <c r="AI4626" s="4">
        <v>71</v>
      </c>
      <c r="AJ4626" s="4">
        <v>9</v>
      </c>
      <c r="AK4626" s="4">
        <v>22</v>
      </c>
      <c r="AL4626" s="4">
        <v>14</v>
      </c>
      <c r="AM4626" s="4">
        <v>33</v>
      </c>
      <c r="AN4626" s="4">
        <v>0</v>
      </c>
      <c r="AO4626" s="4">
        <v>0</v>
      </c>
      <c r="AP4626" s="4">
        <v>10</v>
      </c>
      <c r="AQ4626" s="4">
        <v>42</v>
      </c>
      <c r="AR4626" s="3" t="s">
        <v>62</v>
      </c>
      <c r="AS4626" s="3" t="s">
        <v>62</v>
      </c>
      <c r="AT4626" s="3" t="s">
        <v>61</v>
      </c>
      <c r="AU4626" s="6" t="str">
        <f>HYPERLINK("http://catalog.hathitrust.org/Record/012273365","HathiTrust Record")</f>
        <v>HathiTrust Record</v>
      </c>
      <c r="AV4626" s="6" t="str">
        <f>HYPERLINK("http://mcgill.on.worldcat.org/oclc/166361790","Catalog Record")</f>
        <v>Catalog Record</v>
      </c>
      <c r="AW4626" s="6" t="str">
        <f>HYPERLINK("http://www.worldcat.org/oclc/166361790","WorldCat Record")</f>
        <v>WorldCat Record</v>
      </c>
      <c r="AX4626" s="3" t="s">
        <v>44260</v>
      </c>
      <c r="AY4626" s="3" t="s">
        <v>44261</v>
      </c>
      <c r="AZ4626" s="3" t="s">
        <v>44262</v>
      </c>
      <c r="BA4626" s="3" t="s">
        <v>44262</v>
      </c>
      <c r="BB4626" s="3" t="s">
        <v>44263</v>
      </c>
      <c r="BC4626" s="3" t="s">
        <v>142</v>
      </c>
      <c r="BD4626" s="3" t="s">
        <v>68</v>
      </c>
      <c r="BE4626" s="3" t="s">
        <v>44264</v>
      </c>
      <c r="BF4626" s="3" t="s">
        <v>44263</v>
      </c>
      <c r="BG4626" s="3" t="s">
        <v>44265</v>
      </c>
    </row>
    <row r="4627" spans="1:59" ht="57" x14ac:dyDescent="0.45">
      <c r="A4627" s="2" t="s">
        <v>59</v>
      </c>
      <c r="B4627" s="2" t="s">
        <v>60</v>
      </c>
      <c r="C4627" s="2" t="s">
        <v>44266</v>
      </c>
      <c r="D4627" s="2" t="s">
        <v>44267</v>
      </c>
      <c r="E4627" s="2" t="s">
        <v>44268</v>
      </c>
      <c r="G4627" s="3" t="s">
        <v>62</v>
      </c>
      <c r="I4627" s="3" t="s">
        <v>62</v>
      </c>
      <c r="J4627" s="3" t="s">
        <v>62</v>
      </c>
      <c r="K4627" s="3" t="s">
        <v>63</v>
      </c>
      <c r="M4627" s="2" t="s">
        <v>4057</v>
      </c>
      <c r="N4627" s="3" t="s">
        <v>149</v>
      </c>
      <c r="P4627" s="3" t="s">
        <v>65</v>
      </c>
      <c r="R4627" s="3" t="s">
        <v>66</v>
      </c>
      <c r="S4627" s="4">
        <v>2</v>
      </c>
      <c r="T4627" s="4">
        <v>2</v>
      </c>
      <c r="U4627" s="5" t="s">
        <v>25071</v>
      </c>
      <c r="V4627" s="5" t="s">
        <v>25071</v>
      </c>
      <c r="W4627" s="5" t="s">
        <v>67</v>
      </c>
      <c r="X4627" s="5" t="s">
        <v>67</v>
      </c>
      <c r="Y4627" s="4">
        <v>148</v>
      </c>
      <c r="Z4627" s="4">
        <v>16</v>
      </c>
      <c r="AA4627" s="4">
        <v>23</v>
      </c>
      <c r="AB4627" s="4">
        <v>1</v>
      </c>
      <c r="AC4627" s="4">
        <v>6</v>
      </c>
      <c r="AD4627" s="4">
        <v>30</v>
      </c>
      <c r="AE4627" s="4">
        <v>38</v>
      </c>
      <c r="AF4627" s="4">
        <v>0</v>
      </c>
      <c r="AG4627" s="4">
        <v>2</v>
      </c>
      <c r="AH4627" s="4">
        <v>23</v>
      </c>
      <c r="AI4627" s="4">
        <v>29</v>
      </c>
      <c r="AJ4627" s="4">
        <v>9</v>
      </c>
      <c r="AK4627" s="4">
        <v>11</v>
      </c>
      <c r="AL4627" s="4">
        <v>15</v>
      </c>
      <c r="AM4627" s="4">
        <v>17</v>
      </c>
      <c r="AN4627" s="4">
        <v>0</v>
      </c>
      <c r="AO4627" s="4">
        <v>0</v>
      </c>
      <c r="AP4627" s="4">
        <v>11</v>
      </c>
      <c r="AQ4627" s="4">
        <v>13</v>
      </c>
      <c r="AR4627" s="3" t="s">
        <v>62</v>
      </c>
      <c r="AS4627" s="3" t="s">
        <v>62</v>
      </c>
      <c r="AT4627" s="3" t="s">
        <v>62</v>
      </c>
      <c r="AV4627" s="6" t="str">
        <f>HYPERLINK("http://mcgill.on.worldcat.org/oclc/428926510","Catalog Record")</f>
        <v>Catalog Record</v>
      </c>
      <c r="AW4627" s="6" t="str">
        <f>HYPERLINK("http://www.worldcat.org/oclc/428926510","WorldCat Record")</f>
        <v>WorldCat Record</v>
      </c>
      <c r="AX4627" s="3" t="s">
        <v>44269</v>
      </c>
      <c r="AY4627" s="3" t="s">
        <v>44270</v>
      </c>
      <c r="AZ4627" s="3" t="s">
        <v>44271</v>
      </c>
      <c r="BA4627" s="3" t="s">
        <v>44271</v>
      </c>
      <c r="BB4627" s="3" t="s">
        <v>44272</v>
      </c>
      <c r="BC4627" s="3" t="s">
        <v>142</v>
      </c>
      <c r="BD4627" s="3" t="s">
        <v>68</v>
      </c>
      <c r="BE4627" s="3" t="s">
        <v>44273</v>
      </c>
      <c r="BF4627" s="3" t="s">
        <v>44272</v>
      </c>
      <c r="BG4627" s="3" t="s">
        <v>44274</v>
      </c>
    </row>
    <row r="4628" spans="1:59" ht="57" x14ac:dyDescent="0.45">
      <c r="A4628" s="2" t="s">
        <v>59</v>
      </c>
      <c r="B4628" s="2" t="s">
        <v>60</v>
      </c>
      <c r="C4628" s="2" t="s">
        <v>44275</v>
      </c>
      <c r="D4628" s="2" t="s">
        <v>44276</v>
      </c>
      <c r="E4628" s="2" t="s">
        <v>44277</v>
      </c>
      <c r="G4628" s="3" t="s">
        <v>62</v>
      </c>
      <c r="I4628" s="3" t="s">
        <v>62</v>
      </c>
      <c r="J4628" s="3" t="s">
        <v>62</v>
      </c>
      <c r="K4628" s="3" t="s">
        <v>63</v>
      </c>
      <c r="L4628" s="2" t="s">
        <v>8339</v>
      </c>
      <c r="M4628" s="2" t="s">
        <v>2654</v>
      </c>
      <c r="N4628" s="3" t="s">
        <v>820</v>
      </c>
      <c r="P4628" s="3" t="s">
        <v>65</v>
      </c>
      <c r="Q4628" s="2" t="s">
        <v>2655</v>
      </c>
      <c r="R4628" s="3" t="s">
        <v>66</v>
      </c>
      <c r="S4628" s="4">
        <v>6</v>
      </c>
      <c r="T4628" s="4">
        <v>6</v>
      </c>
      <c r="U4628" s="5" t="s">
        <v>8263</v>
      </c>
      <c r="V4628" s="5" t="s">
        <v>8263</v>
      </c>
      <c r="W4628" s="5" t="s">
        <v>67</v>
      </c>
      <c r="X4628" s="5" t="s">
        <v>67</v>
      </c>
      <c r="Y4628" s="4">
        <v>284</v>
      </c>
      <c r="Z4628" s="4">
        <v>19</v>
      </c>
      <c r="AA4628" s="4">
        <v>19</v>
      </c>
      <c r="AB4628" s="4">
        <v>2</v>
      </c>
      <c r="AC4628" s="4">
        <v>2</v>
      </c>
      <c r="AD4628" s="4">
        <v>90</v>
      </c>
      <c r="AE4628" s="4">
        <v>90</v>
      </c>
      <c r="AF4628" s="4">
        <v>1</v>
      </c>
      <c r="AG4628" s="4">
        <v>1</v>
      </c>
      <c r="AH4628" s="4">
        <v>80</v>
      </c>
      <c r="AI4628" s="4">
        <v>80</v>
      </c>
      <c r="AJ4628" s="4">
        <v>16</v>
      </c>
      <c r="AK4628" s="4">
        <v>16</v>
      </c>
      <c r="AL4628" s="4">
        <v>47</v>
      </c>
      <c r="AM4628" s="4">
        <v>47</v>
      </c>
      <c r="AN4628" s="4">
        <v>0</v>
      </c>
      <c r="AO4628" s="4">
        <v>0</v>
      </c>
      <c r="AP4628" s="4">
        <v>17</v>
      </c>
      <c r="AQ4628" s="4">
        <v>17</v>
      </c>
      <c r="AR4628" s="3" t="s">
        <v>62</v>
      </c>
      <c r="AS4628" s="3" t="s">
        <v>62</v>
      </c>
      <c r="AT4628" s="3" t="s">
        <v>62</v>
      </c>
      <c r="AV4628" s="6" t="str">
        <f>HYPERLINK("http://mcgill.on.worldcat.org/oclc/228720553","Catalog Record")</f>
        <v>Catalog Record</v>
      </c>
      <c r="AW4628" s="6" t="str">
        <f>HYPERLINK("http://www.worldcat.org/oclc/228720553","WorldCat Record")</f>
        <v>WorldCat Record</v>
      </c>
      <c r="AX4628" s="3" t="s">
        <v>44278</v>
      </c>
      <c r="AY4628" s="3" t="s">
        <v>44279</v>
      </c>
      <c r="AZ4628" s="3" t="s">
        <v>44280</v>
      </c>
      <c r="BA4628" s="3" t="s">
        <v>44280</v>
      </c>
      <c r="BB4628" s="3" t="s">
        <v>44281</v>
      </c>
      <c r="BC4628" s="3" t="s">
        <v>142</v>
      </c>
      <c r="BD4628" s="3" t="s">
        <v>68</v>
      </c>
      <c r="BE4628" s="3" t="s">
        <v>44282</v>
      </c>
      <c r="BF4628" s="3" t="s">
        <v>44281</v>
      </c>
      <c r="BG4628" s="3" t="s">
        <v>44283</v>
      </c>
    </row>
    <row r="4629" spans="1:59" ht="57" x14ac:dyDescent="0.45">
      <c r="A4629" s="2" t="s">
        <v>59</v>
      </c>
      <c r="B4629" s="2" t="s">
        <v>60</v>
      </c>
      <c r="C4629" s="2" t="s">
        <v>44284</v>
      </c>
      <c r="D4629" s="2" t="s">
        <v>44285</v>
      </c>
      <c r="E4629" s="2" t="s">
        <v>44286</v>
      </c>
      <c r="G4629" s="3" t="s">
        <v>62</v>
      </c>
      <c r="I4629" s="3" t="s">
        <v>62</v>
      </c>
      <c r="J4629" s="3" t="s">
        <v>62</v>
      </c>
      <c r="K4629" s="3" t="s">
        <v>63</v>
      </c>
      <c r="M4629" s="2" t="s">
        <v>3075</v>
      </c>
      <c r="N4629" s="3" t="s">
        <v>1465</v>
      </c>
      <c r="O4629" s="2" t="s">
        <v>168</v>
      </c>
      <c r="P4629" s="3" t="s">
        <v>65</v>
      </c>
      <c r="R4629" s="3" t="s">
        <v>66</v>
      </c>
      <c r="S4629" s="4">
        <v>6</v>
      </c>
      <c r="T4629" s="4">
        <v>6</v>
      </c>
      <c r="U4629" s="5" t="s">
        <v>14606</v>
      </c>
      <c r="V4629" s="5" t="s">
        <v>14606</v>
      </c>
      <c r="W4629" s="5" t="s">
        <v>67</v>
      </c>
      <c r="X4629" s="5" t="s">
        <v>67</v>
      </c>
      <c r="Y4629" s="4">
        <v>229</v>
      </c>
      <c r="Z4629" s="4">
        <v>15</v>
      </c>
      <c r="AA4629" s="4">
        <v>20</v>
      </c>
      <c r="AB4629" s="4">
        <v>2</v>
      </c>
      <c r="AC4629" s="4">
        <v>7</v>
      </c>
      <c r="AD4629" s="4">
        <v>82</v>
      </c>
      <c r="AE4629" s="4">
        <v>85</v>
      </c>
      <c r="AF4629" s="4">
        <v>1</v>
      </c>
      <c r="AG4629" s="4">
        <v>2</v>
      </c>
      <c r="AH4629" s="4">
        <v>77</v>
      </c>
      <c r="AI4629" s="4">
        <v>79</v>
      </c>
      <c r="AJ4629" s="4">
        <v>10</v>
      </c>
      <c r="AK4629" s="4">
        <v>11</v>
      </c>
      <c r="AL4629" s="4">
        <v>46</v>
      </c>
      <c r="AM4629" s="4">
        <v>47</v>
      </c>
      <c r="AN4629" s="4">
        <v>0</v>
      </c>
      <c r="AO4629" s="4">
        <v>0</v>
      </c>
      <c r="AP4629" s="4">
        <v>12</v>
      </c>
      <c r="AQ4629" s="4">
        <v>12</v>
      </c>
      <c r="AR4629" s="3" t="s">
        <v>62</v>
      </c>
      <c r="AS4629" s="3" t="s">
        <v>62</v>
      </c>
      <c r="AT4629" s="3" t="s">
        <v>62</v>
      </c>
      <c r="AV4629" s="6" t="str">
        <f>HYPERLINK("http://mcgill.on.worldcat.org/oclc/212410156","Catalog Record")</f>
        <v>Catalog Record</v>
      </c>
      <c r="AW4629" s="6" t="str">
        <f>HYPERLINK("http://www.worldcat.org/oclc/212410156","WorldCat Record")</f>
        <v>WorldCat Record</v>
      </c>
      <c r="AX4629" s="3" t="s">
        <v>44287</v>
      </c>
      <c r="AY4629" s="3" t="s">
        <v>44288</v>
      </c>
      <c r="AZ4629" s="3" t="s">
        <v>44289</v>
      </c>
      <c r="BA4629" s="3" t="s">
        <v>44289</v>
      </c>
      <c r="BB4629" s="3" t="s">
        <v>44290</v>
      </c>
      <c r="BC4629" s="3" t="s">
        <v>142</v>
      </c>
      <c r="BD4629" s="3" t="s">
        <v>68</v>
      </c>
      <c r="BE4629" s="3" t="s">
        <v>44291</v>
      </c>
      <c r="BF4629" s="3" t="s">
        <v>44290</v>
      </c>
      <c r="BG4629" s="3" t="s">
        <v>44292</v>
      </c>
    </row>
    <row r="4630" spans="1:59" ht="57" x14ac:dyDescent="0.45">
      <c r="A4630" s="2" t="s">
        <v>59</v>
      </c>
      <c r="B4630" s="2" t="s">
        <v>60</v>
      </c>
      <c r="C4630" s="2" t="s">
        <v>44293</v>
      </c>
      <c r="D4630" s="2" t="s">
        <v>44294</v>
      </c>
      <c r="E4630" s="2" t="s">
        <v>44295</v>
      </c>
      <c r="G4630" s="3" t="s">
        <v>62</v>
      </c>
      <c r="I4630" s="3" t="s">
        <v>62</v>
      </c>
      <c r="J4630" s="3" t="s">
        <v>61</v>
      </c>
      <c r="K4630" s="3" t="s">
        <v>63</v>
      </c>
      <c r="M4630" s="2" t="s">
        <v>2560</v>
      </c>
      <c r="N4630" s="3" t="s">
        <v>149</v>
      </c>
      <c r="O4630" s="2" t="s">
        <v>933</v>
      </c>
      <c r="P4630" s="3" t="s">
        <v>65</v>
      </c>
      <c r="Q4630" s="2" t="s">
        <v>44296</v>
      </c>
      <c r="R4630" s="3" t="s">
        <v>66</v>
      </c>
      <c r="S4630" s="4">
        <v>4</v>
      </c>
      <c r="T4630" s="4">
        <v>4</v>
      </c>
      <c r="U4630" s="5" t="s">
        <v>6747</v>
      </c>
      <c r="V4630" s="5" t="s">
        <v>6747</v>
      </c>
      <c r="W4630" s="5" t="s">
        <v>67</v>
      </c>
      <c r="X4630" s="5" t="s">
        <v>67</v>
      </c>
      <c r="Y4630" s="4">
        <v>235</v>
      </c>
      <c r="Z4630" s="4">
        <v>21</v>
      </c>
      <c r="AA4630" s="4">
        <v>37</v>
      </c>
      <c r="AB4630" s="4">
        <v>3</v>
      </c>
      <c r="AC4630" s="4">
        <v>8</v>
      </c>
      <c r="AD4630" s="4">
        <v>74</v>
      </c>
      <c r="AE4630" s="4">
        <v>125</v>
      </c>
      <c r="AF4630" s="4">
        <v>1</v>
      </c>
      <c r="AG4630" s="4">
        <v>4</v>
      </c>
      <c r="AH4630" s="4">
        <v>64</v>
      </c>
      <c r="AI4630" s="4">
        <v>107</v>
      </c>
      <c r="AJ4630" s="4">
        <v>13</v>
      </c>
      <c r="AK4630" s="4">
        <v>22</v>
      </c>
      <c r="AL4630" s="4">
        <v>38</v>
      </c>
      <c r="AM4630" s="4">
        <v>58</v>
      </c>
      <c r="AN4630" s="4">
        <v>0</v>
      </c>
      <c r="AO4630" s="4">
        <v>0</v>
      </c>
      <c r="AP4630" s="4">
        <v>16</v>
      </c>
      <c r="AQ4630" s="4">
        <v>27</v>
      </c>
      <c r="AR4630" s="3" t="s">
        <v>62</v>
      </c>
      <c r="AS4630" s="3" t="s">
        <v>62</v>
      </c>
      <c r="AT4630" s="3" t="s">
        <v>62</v>
      </c>
      <c r="AV4630" s="6" t="str">
        <f>HYPERLINK("http://mcgill.on.worldcat.org/oclc/429227209","Catalog Record")</f>
        <v>Catalog Record</v>
      </c>
      <c r="AW4630" s="6" t="str">
        <f>HYPERLINK("http://www.worldcat.org/oclc/429227209","WorldCat Record")</f>
        <v>WorldCat Record</v>
      </c>
      <c r="AX4630" s="3" t="s">
        <v>44297</v>
      </c>
      <c r="AY4630" s="3" t="s">
        <v>44298</v>
      </c>
      <c r="AZ4630" s="3" t="s">
        <v>44299</v>
      </c>
      <c r="BA4630" s="3" t="s">
        <v>44299</v>
      </c>
      <c r="BB4630" s="3" t="s">
        <v>44300</v>
      </c>
      <c r="BC4630" s="3" t="s">
        <v>142</v>
      </c>
      <c r="BD4630" s="3" t="s">
        <v>68</v>
      </c>
      <c r="BE4630" s="3" t="s">
        <v>44301</v>
      </c>
      <c r="BF4630" s="3" t="s">
        <v>44300</v>
      </c>
      <c r="BG4630" s="3" t="s">
        <v>44302</v>
      </c>
    </row>
    <row r="4631" spans="1:59" ht="57" x14ac:dyDescent="0.45">
      <c r="A4631" s="2" t="s">
        <v>59</v>
      </c>
      <c r="B4631" s="2" t="s">
        <v>60</v>
      </c>
      <c r="C4631" s="2" t="s">
        <v>44303</v>
      </c>
      <c r="D4631" s="2" t="s">
        <v>44304</v>
      </c>
      <c r="E4631" s="2" t="s">
        <v>44305</v>
      </c>
      <c r="G4631" s="3" t="s">
        <v>62</v>
      </c>
      <c r="I4631" s="3" t="s">
        <v>62</v>
      </c>
      <c r="J4631" s="3" t="s">
        <v>62</v>
      </c>
      <c r="K4631" s="3" t="s">
        <v>63</v>
      </c>
      <c r="L4631" s="2" t="s">
        <v>3961</v>
      </c>
      <c r="M4631" s="2" t="s">
        <v>44306</v>
      </c>
      <c r="N4631" s="3" t="s">
        <v>542</v>
      </c>
      <c r="P4631" s="3" t="s">
        <v>65</v>
      </c>
      <c r="R4631" s="3" t="s">
        <v>66</v>
      </c>
      <c r="S4631" s="4">
        <v>46</v>
      </c>
      <c r="T4631" s="4">
        <v>46</v>
      </c>
      <c r="U4631" s="5" t="s">
        <v>342</v>
      </c>
      <c r="V4631" s="5" t="s">
        <v>342</v>
      </c>
      <c r="W4631" s="5" t="s">
        <v>67</v>
      </c>
      <c r="X4631" s="5" t="s">
        <v>67</v>
      </c>
      <c r="Y4631" s="4">
        <v>386</v>
      </c>
      <c r="Z4631" s="4">
        <v>25</v>
      </c>
      <c r="AA4631" s="4">
        <v>40</v>
      </c>
      <c r="AB4631" s="4">
        <v>2</v>
      </c>
      <c r="AC4631" s="4">
        <v>6</v>
      </c>
      <c r="AD4631" s="4">
        <v>104</v>
      </c>
      <c r="AE4631" s="4">
        <v>121</v>
      </c>
      <c r="AF4631" s="4">
        <v>1</v>
      </c>
      <c r="AG4631" s="4">
        <v>2</v>
      </c>
      <c r="AH4631" s="4">
        <v>90</v>
      </c>
      <c r="AI4631" s="4">
        <v>98</v>
      </c>
      <c r="AJ4631" s="4">
        <v>16</v>
      </c>
      <c r="AK4631" s="4">
        <v>20</v>
      </c>
      <c r="AL4631" s="4">
        <v>50</v>
      </c>
      <c r="AM4631" s="4">
        <v>52</v>
      </c>
      <c r="AN4631" s="4">
        <v>0</v>
      </c>
      <c r="AO4631" s="4">
        <v>0</v>
      </c>
      <c r="AP4631" s="4">
        <v>20</v>
      </c>
      <c r="AQ4631" s="4">
        <v>31</v>
      </c>
      <c r="AR4631" s="3" t="s">
        <v>62</v>
      </c>
      <c r="AS4631" s="3" t="s">
        <v>62</v>
      </c>
      <c r="AT4631" s="3" t="s">
        <v>62</v>
      </c>
      <c r="AV4631" s="6" t="str">
        <f>HYPERLINK("http://mcgill.on.worldcat.org/oclc/44468949","Catalog Record")</f>
        <v>Catalog Record</v>
      </c>
      <c r="AW4631" s="6" t="str">
        <f>HYPERLINK("http://www.worldcat.org/oclc/44468949","WorldCat Record")</f>
        <v>WorldCat Record</v>
      </c>
      <c r="AX4631" s="3" t="s">
        <v>44307</v>
      </c>
      <c r="AY4631" s="3" t="s">
        <v>44308</v>
      </c>
      <c r="AZ4631" s="3" t="s">
        <v>44309</v>
      </c>
      <c r="BA4631" s="3" t="s">
        <v>44309</v>
      </c>
      <c r="BB4631" s="3" t="s">
        <v>44310</v>
      </c>
      <c r="BC4631" s="3" t="s">
        <v>142</v>
      </c>
      <c r="BD4631" s="3" t="s">
        <v>68</v>
      </c>
      <c r="BE4631" s="3" t="s">
        <v>44311</v>
      </c>
      <c r="BF4631" s="3" t="s">
        <v>44310</v>
      </c>
      <c r="BG4631" s="3" t="s">
        <v>44312</v>
      </c>
    </row>
    <row r="4632" spans="1:59" ht="57" x14ac:dyDescent="0.45">
      <c r="A4632" s="2" t="s">
        <v>59</v>
      </c>
      <c r="B4632" s="2" t="s">
        <v>60</v>
      </c>
      <c r="C4632" s="2" t="s">
        <v>44313</v>
      </c>
      <c r="D4632" s="2" t="s">
        <v>44314</v>
      </c>
      <c r="E4632" s="2" t="s">
        <v>44315</v>
      </c>
      <c r="G4632" s="3" t="s">
        <v>62</v>
      </c>
      <c r="I4632" s="3" t="s">
        <v>62</v>
      </c>
      <c r="J4632" s="3" t="s">
        <v>62</v>
      </c>
      <c r="K4632" s="3" t="s">
        <v>63</v>
      </c>
      <c r="L4632" s="2" t="s">
        <v>44316</v>
      </c>
      <c r="M4632" s="2" t="s">
        <v>6141</v>
      </c>
      <c r="N4632" s="3" t="s">
        <v>894</v>
      </c>
      <c r="O4632" s="2" t="s">
        <v>933</v>
      </c>
      <c r="P4632" s="3" t="s">
        <v>65</v>
      </c>
      <c r="R4632" s="3" t="s">
        <v>66</v>
      </c>
      <c r="S4632" s="4">
        <v>0</v>
      </c>
      <c r="T4632" s="4">
        <v>0</v>
      </c>
      <c r="W4632" s="5" t="s">
        <v>67</v>
      </c>
      <c r="X4632" s="5" t="s">
        <v>67</v>
      </c>
      <c r="Y4632" s="4">
        <v>92</v>
      </c>
      <c r="Z4632" s="4">
        <v>14</v>
      </c>
      <c r="AA4632" s="4">
        <v>39</v>
      </c>
      <c r="AB4632" s="4">
        <v>2</v>
      </c>
      <c r="AC4632" s="4">
        <v>6</v>
      </c>
      <c r="AD4632" s="4">
        <v>26</v>
      </c>
      <c r="AE4632" s="4">
        <v>101</v>
      </c>
      <c r="AF4632" s="4">
        <v>1</v>
      </c>
      <c r="AG4632" s="4">
        <v>2</v>
      </c>
      <c r="AH4632" s="4">
        <v>21</v>
      </c>
      <c r="AI4632" s="4">
        <v>85</v>
      </c>
      <c r="AJ4632" s="4">
        <v>11</v>
      </c>
      <c r="AK4632" s="4">
        <v>18</v>
      </c>
      <c r="AL4632" s="4">
        <v>9</v>
      </c>
      <c r="AM4632" s="4">
        <v>42</v>
      </c>
      <c r="AN4632" s="4">
        <v>0</v>
      </c>
      <c r="AO4632" s="4">
        <v>0</v>
      </c>
      <c r="AP4632" s="4">
        <v>11</v>
      </c>
      <c r="AQ4632" s="4">
        <v>26</v>
      </c>
      <c r="AR4632" s="3" t="s">
        <v>62</v>
      </c>
      <c r="AS4632" s="3" t="s">
        <v>62</v>
      </c>
      <c r="AT4632" s="3" t="s">
        <v>62</v>
      </c>
      <c r="AV4632" s="6" t="str">
        <f>HYPERLINK("http://mcgill.on.worldcat.org/oclc/666491750","Catalog Record")</f>
        <v>Catalog Record</v>
      </c>
      <c r="AW4632" s="6" t="str">
        <f>HYPERLINK("http://www.worldcat.org/oclc/666491750","WorldCat Record")</f>
        <v>WorldCat Record</v>
      </c>
      <c r="AX4632" s="3" t="s">
        <v>44317</v>
      </c>
      <c r="AY4632" s="3" t="s">
        <v>44318</v>
      </c>
      <c r="AZ4632" s="3" t="s">
        <v>44319</v>
      </c>
      <c r="BA4632" s="3" t="s">
        <v>44319</v>
      </c>
      <c r="BB4632" s="3" t="s">
        <v>44320</v>
      </c>
      <c r="BC4632" s="3" t="s">
        <v>142</v>
      </c>
      <c r="BD4632" s="3" t="s">
        <v>68</v>
      </c>
      <c r="BE4632" s="3" t="s">
        <v>44321</v>
      </c>
      <c r="BF4632" s="3" t="s">
        <v>44320</v>
      </c>
      <c r="BG4632" s="3" t="s">
        <v>44322</v>
      </c>
    </row>
    <row r="4633" spans="1:59" ht="57" x14ac:dyDescent="0.45">
      <c r="A4633" s="2" t="s">
        <v>59</v>
      </c>
      <c r="B4633" s="2" t="s">
        <v>60</v>
      </c>
      <c r="C4633" s="2" t="s">
        <v>44323</v>
      </c>
      <c r="D4633" s="2" t="s">
        <v>44324</v>
      </c>
      <c r="E4633" s="2" t="s">
        <v>44325</v>
      </c>
      <c r="G4633" s="3" t="s">
        <v>62</v>
      </c>
      <c r="I4633" s="3" t="s">
        <v>62</v>
      </c>
      <c r="J4633" s="3" t="s">
        <v>62</v>
      </c>
      <c r="K4633" s="3" t="s">
        <v>63</v>
      </c>
      <c r="M4633" s="2" t="s">
        <v>44326</v>
      </c>
      <c r="N4633" s="3" t="s">
        <v>958</v>
      </c>
      <c r="P4633" s="3" t="s">
        <v>65</v>
      </c>
      <c r="R4633" s="3" t="s">
        <v>66</v>
      </c>
      <c r="S4633" s="4">
        <v>38</v>
      </c>
      <c r="T4633" s="4">
        <v>38</v>
      </c>
      <c r="U4633" s="5" t="s">
        <v>44327</v>
      </c>
      <c r="V4633" s="5" t="s">
        <v>44327</v>
      </c>
      <c r="W4633" s="5" t="s">
        <v>67</v>
      </c>
      <c r="X4633" s="5" t="s">
        <v>67</v>
      </c>
      <c r="Y4633" s="4">
        <v>295</v>
      </c>
      <c r="Z4633" s="4">
        <v>17</v>
      </c>
      <c r="AA4633" s="4">
        <v>20</v>
      </c>
      <c r="AB4633" s="4">
        <v>3</v>
      </c>
      <c r="AC4633" s="4">
        <v>5</v>
      </c>
      <c r="AD4633" s="4">
        <v>50</v>
      </c>
      <c r="AE4633" s="4">
        <v>52</v>
      </c>
      <c r="AF4633" s="4">
        <v>2</v>
      </c>
      <c r="AG4633" s="4">
        <v>3</v>
      </c>
      <c r="AH4633" s="4">
        <v>42</v>
      </c>
      <c r="AI4633" s="4">
        <v>42</v>
      </c>
      <c r="AJ4633" s="4">
        <v>10</v>
      </c>
      <c r="AK4633" s="4">
        <v>12</v>
      </c>
      <c r="AL4633" s="4">
        <v>27</v>
      </c>
      <c r="AM4633" s="4">
        <v>27</v>
      </c>
      <c r="AN4633" s="4">
        <v>0</v>
      </c>
      <c r="AO4633" s="4">
        <v>0</v>
      </c>
      <c r="AP4633" s="4">
        <v>11</v>
      </c>
      <c r="AQ4633" s="4">
        <v>13</v>
      </c>
      <c r="AR4633" s="3" t="s">
        <v>62</v>
      </c>
      <c r="AS4633" s="3" t="s">
        <v>62</v>
      </c>
      <c r="AT4633" s="3" t="s">
        <v>62</v>
      </c>
      <c r="AV4633" s="6" t="str">
        <f>HYPERLINK("http://mcgill.on.worldcat.org/oclc/33101428","Catalog Record")</f>
        <v>Catalog Record</v>
      </c>
      <c r="AW4633" s="6" t="str">
        <f>HYPERLINK("http://www.worldcat.org/oclc/33101428","WorldCat Record")</f>
        <v>WorldCat Record</v>
      </c>
      <c r="AX4633" s="3" t="s">
        <v>44328</v>
      </c>
      <c r="AY4633" s="3" t="s">
        <v>44329</v>
      </c>
      <c r="AZ4633" s="3" t="s">
        <v>44330</v>
      </c>
      <c r="BA4633" s="3" t="s">
        <v>44330</v>
      </c>
      <c r="BB4633" s="3" t="s">
        <v>44331</v>
      </c>
      <c r="BC4633" s="3" t="s">
        <v>142</v>
      </c>
      <c r="BD4633" s="3" t="s">
        <v>68</v>
      </c>
      <c r="BE4633" s="3" t="s">
        <v>44332</v>
      </c>
      <c r="BF4633" s="3" t="s">
        <v>44331</v>
      </c>
      <c r="BG4633" s="3" t="s">
        <v>44333</v>
      </c>
    </row>
    <row r="4634" spans="1:59" ht="57" x14ac:dyDescent="0.45">
      <c r="A4634" s="2" t="s">
        <v>59</v>
      </c>
      <c r="B4634" s="2" t="s">
        <v>60</v>
      </c>
      <c r="C4634" s="2" t="s">
        <v>44334</v>
      </c>
      <c r="D4634" s="2" t="s">
        <v>44335</v>
      </c>
      <c r="E4634" s="2" t="s">
        <v>44336</v>
      </c>
      <c r="G4634" s="3" t="s">
        <v>62</v>
      </c>
      <c r="I4634" s="3" t="s">
        <v>62</v>
      </c>
      <c r="J4634" s="3" t="s">
        <v>62</v>
      </c>
      <c r="K4634" s="3" t="s">
        <v>63</v>
      </c>
      <c r="M4634" s="2" t="s">
        <v>44337</v>
      </c>
      <c r="N4634" s="3" t="s">
        <v>1465</v>
      </c>
      <c r="P4634" s="3" t="s">
        <v>65</v>
      </c>
      <c r="R4634" s="3" t="s">
        <v>66</v>
      </c>
      <c r="S4634" s="4">
        <v>6</v>
      </c>
      <c r="T4634" s="4">
        <v>6</v>
      </c>
      <c r="U4634" s="5" t="s">
        <v>44338</v>
      </c>
      <c r="V4634" s="5" t="s">
        <v>44338</v>
      </c>
      <c r="W4634" s="5" t="s">
        <v>67</v>
      </c>
      <c r="X4634" s="5" t="s">
        <v>67</v>
      </c>
      <c r="Y4634" s="4">
        <v>169</v>
      </c>
      <c r="Z4634" s="4">
        <v>14</v>
      </c>
      <c r="AA4634" s="4">
        <v>18</v>
      </c>
      <c r="AB4634" s="4">
        <v>3</v>
      </c>
      <c r="AC4634" s="4">
        <v>6</v>
      </c>
      <c r="AD4634" s="4">
        <v>39</v>
      </c>
      <c r="AE4634" s="4">
        <v>44</v>
      </c>
      <c r="AF4634" s="4">
        <v>1</v>
      </c>
      <c r="AG4634" s="4">
        <v>2</v>
      </c>
      <c r="AH4634" s="4">
        <v>33</v>
      </c>
      <c r="AI4634" s="4">
        <v>37</v>
      </c>
      <c r="AJ4634" s="4">
        <v>10</v>
      </c>
      <c r="AK4634" s="4">
        <v>12</v>
      </c>
      <c r="AL4634" s="4">
        <v>20</v>
      </c>
      <c r="AM4634" s="4">
        <v>23</v>
      </c>
      <c r="AN4634" s="4">
        <v>0</v>
      </c>
      <c r="AO4634" s="4">
        <v>0</v>
      </c>
      <c r="AP4634" s="4">
        <v>11</v>
      </c>
      <c r="AQ4634" s="4">
        <v>13</v>
      </c>
      <c r="AR4634" s="3" t="s">
        <v>62</v>
      </c>
      <c r="AS4634" s="3" t="s">
        <v>62</v>
      </c>
      <c r="AT4634" s="3" t="s">
        <v>62</v>
      </c>
      <c r="AV4634" s="6" t="str">
        <f>HYPERLINK("http://mcgill.on.worldcat.org/oclc/317114506","Catalog Record")</f>
        <v>Catalog Record</v>
      </c>
      <c r="AW4634" s="6" t="str">
        <f>HYPERLINK("http://www.worldcat.org/oclc/317114506","WorldCat Record")</f>
        <v>WorldCat Record</v>
      </c>
      <c r="AX4634" s="3" t="s">
        <v>44339</v>
      </c>
      <c r="AY4634" s="3" t="s">
        <v>44340</v>
      </c>
      <c r="AZ4634" s="3" t="s">
        <v>44341</v>
      </c>
      <c r="BA4634" s="3" t="s">
        <v>44341</v>
      </c>
      <c r="BB4634" s="3" t="s">
        <v>44342</v>
      </c>
      <c r="BC4634" s="3" t="s">
        <v>142</v>
      </c>
      <c r="BD4634" s="3" t="s">
        <v>68</v>
      </c>
      <c r="BE4634" s="3" t="s">
        <v>44343</v>
      </c>
      <c r="BF4634" s="3" t="s">
        <v>44342</v>
      </c>
      <c r="BG4634" s="3" t="s">
        <v>44344</v>
      </c>
    </row>
    <row r="4635" spans="1:59" ht="57" x14ac:dyDescent="0.45">
      <c r="A4635" s="2" t="s">
        <v>59</v>
      </c>
      <c r="B4635" s="2" t="s">
        <v>60</v>
      </c>
      <c r="C4635" s="2" t="s">
        <v>44345</v>
      </c>
      <c r="D4635" s="2" t="s">
        <v>44346</v>
      </c>
      <c r="E4635" s="2" t="s">
        <v>44347</v>
      </c>
      <c r="G4635" s="3" t="s">
        <v>62</v>
      </c>
      <c r="I4635" s="3" t="s">
        <v>62</v>
      </c>
      <c r="J4635" s="3" t="s">
        <v>62</v>
      </c>
      <c r="K4635" s="3" t="s">
        <v>63</v>
      </c>
      <c r="M4635" s="2" t="s">
        <v>1713</v>
      </c>
      <c r="N4635" s="3" t="s">
        <v>1155</v>
      </c>
      <c r="P4635" s="3" t="s">
        <v>65</v>
      </c>
      <c r="Q4635" s="2" t="s">
        <v>7036</v>
      </c>
      <c r="R4635" s="3" t="s">
        <v>66</v>
      </c>
      <c r="S4635" s="4">
        <v>6</v>
      </c>
      <c r="T4635" s="4">
        <v>6</v>
      </c>
      <c r="U4635" s="5" t="s">
        <v>37172</v>
      </c>
      <c r="V4635" s="5" t="s">
        <v>37172</v>
      </c>
      <c r="W4635" s="5" t="s">
        <v>67</v>
      </c>
      <c r="X4635" s="5" t="s">
        <v>67</v>
      </c>
      <c r="Y4635" s="4">
        <v>165</v>
      </c>
      <c r="Z4635" s="4">
        <v>18</v>
      </c>
      <c r="AA4635" s="4">
        <v>18</v>
      </c>
      <c r="AB4635" s="4">
        <v>1</v>
      </c>
      <c r="AC4635" s="4">
        <v>1</v>
      </c>
      <c r="AD4635" s="4">
        <v>78</v>
      </c>
      <c r="AE4635" s="4">
        <v>78</v>
      </c>
      <c r="AF4635" s="4">
        <v>0</v>
      </c>
      <c r="AG4635" s="4">
        <v>0</v>
      </c>
      <c r="AH4635" s="4">
        <v>70</v>
      </c>
      <c r="AI4635" s="4">
        <v>70</v>
      </c>
      <c r="AJ4635" s="4">
        <v>15</v>
      </c>
      <c r="AK4635" s="4">
        <v>15</v>
      </c>
      <c r="AL4635" s="4">
        <v>42</v>
      </c>
      <c r="AM4635" s="4">
        <v>42</v>
      </c>
      <c r="AN4635" s="4">
        <v>0</v>
      </c>
      <c r="AO4635" s="4">
        <v>0</v>
      </c>
      <c r="AP4635" s="4">
        <v>16</v>
      </c>
      <c r="AQ4635" s="4">
        <v>16</v>
      </c>
      <c r="AR4635" s="3" t="s">
        <v>62</v>
      </c>
      <c r="AS4635" s="3" t="s">
        <v>62</v>
      </c>
      <c r="AT4635" s="3" t="s">
        <v>62</v>
      </c>
      <c r="AV4635" s="6" t="str">
        <f>HYPERLINK("http://mcgill.on.worldcat.org/oclc/762135194","Catalog Record")</f>
        <v>Catalog Record</v>
      </c>
      <c r="AW4635" s="6" t="str">
        <f>HYPERLINK("http://www.worldcat.org/oclc/762135194","WorldCat Record")</f>
        <v>WorldCat Record</v>
      </c>
      <c r="AX4635" s="3" t="s">
        <v>44348</v>
      </c>
      <c r="AY4635" s="3" t="s">
        <v>44349</v>
      </c>
      <c r="AZ4635" s="3" t="s">
        <v>44350</v>
      </c>
      <c r="BA4635" s="3" t="s">
        <v>44350</v>
      </c>
      <c r="BB4635" s="3" t="s">
        <v>44351</v>
      </c>
      <c r="BC4635" s="3" t="s">
        <v>142</v>
      </c>
      <c r="BD4635" s="3" t="s">
        <v>68</v>
      </c>
      <c r="BE4635" s="3" t="s">
        <v>44352</v>
      </c>
      <c r="BF4635" s="3" t="s">
        <v>44351</v>
      </c>
      <c r="BG4635" s="3" t="s">
        <v>44353</v>
      </c>
    </row>
    <row r="4636" spans="1:59" ht="57" x14ac:dyDescent="0.45">
      <c r="A4636" s="2" t="s">
        <v>59</v>
      </c>
      <c r="B4636" s="2" t="s">
        <v>60</v>
      </c>
      <c r="C4636" s="2" t="s">
        <v>44354</v>
      </c>
      <c r="D4636" s="2" t="s">
        <v>44355</v>
      </c>
      <c r="E4636" s="2" t="s">
        <v>44356</v>
      </c>
      <c r="G4636" s="3" t="s">
        <v>62</v>
      </c>
      <c r="I4636" s="3" t="s">
        <v>62</v>
      </c>
      <c r="J4636" s="3" t="s">
        <v>62</v>
      </c>
      <c r="K4636" s="3" t="s">
        <v>63</v>
      </c>
      <c r="M4636" s="2" t="s">
        <v>32278</v>
      </c>
      <c r="N4636" s="3" t="s">
        <v>208</v>
      </c>
      <c r="P4636" s="3" t="s">
        <v>65</v>
      </c>
      <c r="Q4636" s="2" t="s">
        <v>44357</v>
      </c>
      <c r="R4636" s="3" t="s">
        <v>66</v>
      </c>
      <c r="S4636" s="4">
        <v>6</v>
      </c>
      <c r="T4636" s="4">
        <v>6</v>
      </c>
      <c r="U4636" s="5" t="s">
        <v>33502</v>
      </c>
      <c r="V4636" s="5" t="s">
        <v>33502</v>
      </c>
      <c r="W4636" s="5" t="s">
        <v>67</v>
      </c>
      <c r="X4636" s="5" t="s">
        <v>67</v>
      </c>
      <c r="Y4636" s="4">
        <v>153</v>
      </c>
      <c r="Z4636" s="4">
        <v>13</v>
      </c>
      <c r="AA4636" s="4">
        <v>15</v>
      </c>
      <c r="AB4636" s="4">
        <v>2</v>
      </c>
      <c r="AC4636" s="4">
        <v>4</v>
      </c>
      <c r="AD4636" s="4">
        <v>42</v>
      </c>
      <c r="AE4636" s="4">
        <v>43</v>
      </c>
      <c r="AF4636" s="4">
        <v>1</v>
      </c>
      <c r="AG4636" s="4">
        <v>2</v>
      </c>
      <c r="AH4636" s="4">
        <v>37</v>
      </c>
      <c r="AI4636" s="4">
        <v>38</v>
      </c>
      <c r="AJ4636" s="4">
        <v>11</v>
      </c>
      <c r="AK4636" s="4">
        <v>12</v>
      </c>
      <c r="AL4636" s="4">
        <v>22</v>
      </c>
      <c r="AM4636" s="4">
        <v>22</v>
      </c>
      <c r="AN4636" s="4">
        <v>0</v>
      </c>
      <c r="AO4636" s="4">
        <v>0</v>
      </c>
      <c r="AP4636" s="4">
        <v>11</v>
      </c>
      <c r="AQ4636" s="4">
        <v>12</v>
      </c>
      <c r="AR4636" s="3" t="s">
        <v>62</v>
      </c>
      <c r="AS4636" s="3" t="s">
        <v>62</v>
      </c>
      <c r="AT4636" s="3" t="s">
        <v>62</v>
      </c>
      <c r="AV4636" s="6" t="str">
        <f>HYPERLINK("http://mcgill.on.worldcat.org/oclc/904713474","Catalog Record")</f>
        <v>Catalog Record</v>
      </c>
      <c r="AW4636" s="6" t="str">
        <f>HYPERLINK("http://www.worldcat.org/oclc/904713474","WorldCat Record")</f>
        <v>WorldCat Record</v>
      </c>
      <c r="AX4636" s="3" t="s">
        <v>44358</v>
      </c>
      <c r="AY4636" s="3" t="s">
        <v>44359</v>
      </c>
      <c r="AZ4636" s="3" t="s">
        <v>44360</v>
      </c>
      <c r="BA4636" s="3" t="s">
        <v>44360</v>
      </c>
      <c r="BB4636" s="3" t="s">
        <v>44361</v>
      </c>
      <c r="BC4636" s="3" t="s">
        <v>142</v>
      </c>
      <c r="BD4636" s="3" t="s">
        <v>308</v>
      </c>
      <c r="BE4636" s="3" t="s">
        <v>44362</v>
      </c>
      <c r="BF4636" s="3" t="s">
        <v>44361</v>
      </c>
      <c r="BG4636" s="3" t="s">
        <v>44363</v>
      </c>
    </row>
    <row r="4637" spans="1:59" ht="57" x14ac:dyDescent="0.45">
      <c r="A4637" s="2" t="s">
        <v>59</v>
      </c>
      <c r="B4637" s="2" t="s">
        <v>60</v>
      </c>
      <c r="C4637" s="2" t="s">
        <v>44364</v>
      </c>
      <c r="D4637" s="2" t="s">
        <v>44365</v>
      </c>
      <c r="E4637" s="2" t="s">
        <v>44366</v>
      </c>
      <c r="G4637" s="3" t="s">
        <v>62</v>
      </c>
      <c r="I4637" s="3" t="s">
        <v>62</v>
      </c>
      <c r="J4637" s="3" t="s">
        <v>62</v>
      </c>
      <c r="K4637" s="3" t="s">
        <v>63</v>
      </c>
      <c r="L4637" s="2" t="s">
        <v>44367</v>
      </c>
      <c r="M4637" s="2" t="s">
        <v>20407</v>
      </c>
      <c r="N4637" s="3" t="s">
        <v>1155</v>
      </c>
      <c r="P4637" s="3" t="s">
        <v>65</v>
      </c>
      <c r="Q4637" s="2" t="s">
        <v>4293</v>
      </c>
      <c r="R4637" s="3" t="s">
        <v>66</v>
      </c>
      <c r="S4637" s="4">
        <v>8</v>
      </c>
      <c r="T4637" s="4">
        <v>8</v>
      </c>
      <c r="U4637" s="5" t="s">
        <v>33502</v>
      </c>
      <c r="V4637" s="5" t="s">
        <v>33502</v>
      </c>
      <c r="W4637" s="5" t="s">
        <v>67</v>
      </c>
      <c r="X4637" s="5" t="s">
        <v>67</v>
      </c>
      <c r="Y4637" s="4">
        <v>147</v>
      </c>
      <c r="Z4637" s="4">
        <v>14</v>
      </c>
      <c r="AA4637" s="4">
        <v>19</v>
      </c>
      <c r="AB4637" s="4">
        <v>1</v>
      </c>
      <c r="AC4637" s="4">
        <v>5</v>
      </c>
      <c r="AD4637" s="4">
        <v>34</v>
      </c>
      <c r="AE4637" s="4">
        <v>38</v>
      </c>
      <c r="AF4637" s="4">
        <v>0</v>
      </c>
      <c r="AG4637" s="4">
        <v>3</v>
      </c>
      <c r="AH4637" s="4">
        <v>28</v>
      </c>
      <c r="AI4637" s="4">
        <v>30</v>
      </c>
      <c r="AJ4637" s="4">
        <v>10</v>
      </c>
      <c r="AK4637" s="4">
        <v>14</v>
      </c>
      <c r="AL4637" s="4">
        <v>14</v>
      </c>
      <c r="AM4637" s="4">
        <v>14</v>
      </c>
      <c r="AN4637" s="4">
        <v>0</v>
      </c>
      <c r="AO4637" s="4">
        <v>0</v>
      </c>
      <c r="AP4637" s="4">
        <v>12</v>
      </c>
      <c r="AQ4637" s="4">
        <v>15</v>
      </c>
      <c r="AR4637" s="3" t="s">
        <v>62</v>
      </c>
      <c r="AS4637" s="3" t="s">
        <v>62</v>
      </c>
      <c r="AT4637" s="3" t="s">
        <v>62</v>
      </c>
      <c r="AV4637" s="6" t="str">
        <f>HYPERLINK("http://mcgill.on.worldcat.org/oclc/617637718","Catalog Record")</f>
        <v>Catalog Record</v>
      </c>
      <c r="AW4637" s="6" t="str">
        <f>HYPERLINK("http://www.worldcat.org/oclc/617637718","WorldCat Record")</f>
        <v>WorldCat Record</v>
      </c>
      <c r="AX4637" s="3" t="s">
        <v>44368</v>
      </c>
      <c r="AY4637" s="3" t="s">
        <v>44369</v>
      </c>
      <c r="AZ4637" s="3" t="s">
        <v>44370</v>
      </c>
      <c r="BA4637" s="3" t="s">
        <v>44370</v>
      </c>
      <c r="BB4637" s="3" t="s">
        <v>44371</v>
      </c>
      <c r="BC4637" s="3" t="s">
        <v>142</v>
      </c>
      <c r="BD4637" s="3" t="s">
        <v>308</v>
      </c>
      <c r="BE4637" s="3" t="s">
        <v>44372</v>
      </c>
      <c r="BF4637" s="3" t="s">
        <v>44371</v>
      </c>
      <c r="BG4637" s="3" t="s">
        <v>44373</v>
      </c>
    </row>
    <row r="4638" spans="1:59" ht="57" x14ac:dyDescent="0.45">
      <c r="A4638" s="2" t="s">
        <v>59</v>
      </c>
      <c r="B4638" s="2" t="s">
        <v>60</v>
      </c>
      <c r="C4638" s="2" t="s">
        <v>44374</v>
      </c>
      <c r="D4638" s="2" t="s">
        <v>44375</v>
      </c>
      <c r="E4638" s="2" t="s">
        <v>44376</v>
      </c>
      <c r="G4638" s="3" t="s">
        <v>62</v>
      </c>
      <c r="I4638" s="3" t="s">
        <v>62</v>
      </c>
      <c r="J4638" s="3" t="s">
        <v>62</v>
      </c>
      <c r="K4638" s="3" t="s">
        <v>63</v>
      </c>
      <c r="M4638" s="2" t="s">
        <v>44377</v>
      </c>
      <c r="N4638" s="3" t="s">
        <v>894</v>
      </c>
      <c r="O4638" s="2" t="s">
        <v>168</v>
      </c>
      <c r="P4638" s="3" t="s">
        <v>65</v>
      </c>
      <c r="Q4638" s="2" t="s">
        <v>5837</v>
      </c>
      <c r="R4638" s="3" t="s">
        <v>66</v>
      </c>
      <c r="S4638" s="4">
        <v>5</v>
      </c>
      <c r="T4638" s="4">
        <v>5</v>
      </c>
      <c r="U4638" s="5" t="s">
        <v>19521</v>
      </c>
      <c r="V4638" s="5" t="s">
        <v>19521</v>
      </c>
      <c r="W4638" s="5" t="s">
        <v>67</v>
      </c>
      <c r="X4638" s="5" t="s">
        <v>67</v>
      </c>
      <c r="Y4638" s="4">
        <v>218</v>
      </c>
      <c r="Z4638" s="4">
        <v>21</v>
      </c>
      <c r="AA4638" s="4">
        <v>86</v>
      </c>
      <c r="AB4638" s="4">
        <v>2</v>
      </c>
      <c r="AC4638" s="4">
        <v>15</v>
      </c>
      <c r="AD4638" s="4">
        <v>48</v>
      </c>
      <c r="AE4638" s="4">
        <v>120</v>
      </c>
      <c r="AF4638" s="4">
        <v>1</v>
      </c>
      <c r="AG4638" s="4">
        <v>8</v>
      </c>
      <c r="AH4638" s="4">
        <v>40</v>
      </c>
      <c r="AI4638" s="4">
        <v>83</v>
      </c>
      <c r="AJ4638" s="4">
        <v>13</v>
      </c>
      <c r="AK4638" s="4">
        <v>27</v>
      </c>
      <c r="AL4638" s="4">
        <v>21</v>
      </c>
      <c r="AM4638" s="4">
        <v>41</v>
      </c>
      <c r="AN4638" s="4">
        <v>0</v>
      </c>
      <c r="AO4638" s="4">
        <v>0</v>
      </c>
      <c r="AP4638" s="4">
        <v>15</v>
      </c>
      <c r="AQ4638" s="4">
        <v>47</v>
      </c>
      <c r="AR4638" s="3" t="s">
        <v>62</v>
      </c>
      <c r="AS4638" s="3" t="s">
        <v>62</v>
      </c>
      <c r="AT4638" s="3" t="s">
        <v>62</v>
      </c>
      <c r="AV4638" s="6" t="str">
        <f>HYPERLINK("http://mcgill.on.worldcat.org/oclc/548660329","Catalog Record")</f>
        <v>Catalog Record</v>
      </c>
      <c r="AW4638" s="6" t="str">
        <f>HYPERLINK("http://www.worldcat.org/oclc/548660329","WorldCat Record")</f>
        <v>WorldCat Record</v>
      </c>
      <c r="AX4638" s="3" t="s">
        <v>44378</v>
      </c>
      <c r="AY4638" s="3" t="s">
        <v>44379</v>
      </c>
      <c r="AZ4638" s="3" t="s">
        <v>44380</v>
      </c>
      <c r="BA4638" s="3" t="s">
        <v>44380</v>
      </c>
      <c r="BB4638" s="3" t="s">
        <v>44381</v>
      </c>
      <c r="BC4638" s="3" t="s">
        <v>142</v>
      </c>
      <c r="BD4638" s="3" t="s">
        <v>68</v>
      </c>
      <c r="BE4638" s="3" t="s">
        <v>44382</v>
      </c>
      <c r="BF4638" s="3" t="s">
        <v>44381</v>
      </c>
      <c r="BG4638" s="3" t="s">
        <v>44383</v>
      </c>
    </row>
    <row r="4639" spans="1:59" ht="57" x14ac:dyDescent="0.45">
      <c r="A4639" s="2" t="s">
        <v>59</v>
      </c>
      <c r="B4639" s="2" t="s">
        <v>60</v>
      </c>
      <c r="C4639" s="2" t="s">
        <v>44384</v>
      </c>
      <c r="D4639" s="2" t="s">
        <v>44385</v>
      </c>
      <c r="E4639" s="2" t="s">
        <v>44386</v>
      </c>
      <c r="G4639" s="3" t="s">
        <v>62</v>
      </c>
      <c r="I4639" s="3" t="s">
        <v>62</v>
      </c>
      <c r="J4639" s="3" t="s">
        <v>62</v>
      </c>
      <c r="K4639" s="3" t="s">
        <v>63</v>
      </c>
      <c r="L4639" s="2" t="s">
        <v>44387</v>
      </c>
      <c r="M4639" s="2" t="s">
        <v>44388</v>
      </c>
      <c r="N4639" s="3" t="s">
        <v>1097</v>
      </c>
      <c r="P4639" s="3" t="s">
        <v>65</v>
      </c>
      <c r="Q4639" s="2" t="s">
        <v>44389</v>
      </c>
      <c r="R4639" s="3" t="s">
        <v>66</v>
      </c>
      <c r="S4639" s="4">
        <v>5</v>
      </c>
      <c r="T4639" s="4">
        <v>5</v>
      </c>
      <c r="U4639" s="5" t="s">
        <v>44390</v>
      </c>
      <c r="V4639" s="5" t="s">
        <v>44390</v>
      </c>
      <c r="W4639" s="5" t="s">
        <v>67</v>
      </c>
      <c r="X4639" s="5" t="s">
        <v>67</v>
      </c>
      <c r="Y4639" s="4">
        <v>297</v>
      </c>
      <c r="Z4639" s="4">
        <v>17</v>
      </c>
      <c r="AA4639" s="4">
        <v>101</v>
      </c>
      <c r="AB4639" s="4">
        <v>2</v>
      </c>
      <c r="AC4639" s="4">
        <v>17</v>
      </c>
      <c r="AD4639" s="4">
        <v>71</v>
      </c>
      <c r="AE4639" s="4">
        <v>129</v>
      </c>
      <c r="AF4639" s="4">
        <v>1</v>
      </c>
      <c r="AG4639" s="4">
        <v>8</v>
      </c>
      <c r="AH4639" s="4">
        <v>64</v>
      </c>
      <c r="AI4639" s="4">
        <v>89</v>
      </c>
      <c r="AJ4639" s="4">
        <v>12</v>
      </c>
      <c r="AK4639" s="4">
        <v>24</v>
      </c>
      <c r="AL4639" s="4">
        <v>39</v>
      </c>
      <c r="AM4639" s="4">
        <v>48</v>
      </c>
      <c r="AN4639" s="4">
        <v>1</v>
      </c>
      <c r="AO4639" s="4">
        <v>1</v>
      </c>
      <c r="AP4639" s="4">
        <v>13</v>
      </c>
      <c r="AQ4639" s="4">
        <v>48</v>
      </c>
      <c r="AR4639" s="3" t="s">
        <v>62</v>
      </c>
      <c r="AS4639" s="3" t="s">
        <v>62</v>
      </c>
      <c r="AT4639" s="3" t="s">
        <v>61</v>
      </c>
      <c r="AU4639" s="6" t="str">
        <f>HYPERLINK("http://catalog.hathitrust.org/Record/007144263","HathiTrust Record")</f>
        <v>HathiTrust Record</v>
      </c>
      <c r="AV4639" s="6" t="str">
        <f>HYPERLINK("http://mcgill.on.worldcat.org/oclc/57579490","Catalog Record")</f>
        <v>Catalog Record</v>
      </c>
      <c r="AW4639" s="6" t="str">
        <f>HYPERLINK("http://www.worldcat.org/oclc/57579490","WorldCat Record")</f>
        <v>WorldCat Record</v>
      </c>
      <c r="AX4639" s="3" t="s">
        <v>44391</v>
      </c>
      <c r="AY4639" s="3" t="s">
        <v>44392</v>
      </c>
      <c r="AZ4639" s="3" t="s">
        <v>44393</v>
      </c>
      <c r="BA4639" s="3" t="s">
        <v>44393</v>
      </c>
      <c r="BB4639" s="3" t="s">
        <v>44394</v>
      </c>
      <c r="BC4639" s="3" t="s">
        <v>142</v>
      </c>
      <c r="BD4639" s="3" t="s">
        <v>68</v>
      </c>
      <c r="BE4639" s="3" t="s">
        <v>44395</v>
      </c>
      <c r="BF4639" s="3" t="s">
        <v>44394</v>
      </c>
      <c r="BG4639" s="3" t="s">
        <v>44396</v>
      </c>
    </row>
    <row r="4640" spans="1:59" ht="57" x14ac:dyDescent="0.45">
      <c r="A4640" s="2" t="s">
        <v>59</v>
      </c>
      <c r="B4640" s="2" t="s">
        <v>60</v>
      </c>
      <c r="C4640" s="2" t="s">
        <v>44397</v>
      </c>
      <c r="D4640" s="2" t="s">
        <v>44398</v>
      </c>
      <c r="E4640" s="2" t="s">
        <v>44399</v>
      </c>
      <c r="G4640" s="3" t="s">
        <v>62</v>
      </c>
      <c r="I4640" s="3" t="s">
        <v>62</v>
      </c>
      <c r="J4640" s="3" t="s">
        <v>62</v>
      </c>
      <c r="K4640" s="3" t="s">
        <v>63</v>
      </c>
      <c r="M4640" s="2" t="s">
        <v>32892</v>
      </c>
      <c r="N4640" s="3" t="s">
        <v>820</v>
      </c>
      <c r="P4640" s="3" t="s">
        <v>65</v>
      </c>
      <c r="Q4640" s="2" t="s">
        <v>44400</v>
      </c>
      <c r="R4640" s="3" t="s">
        <v>66</v>
      </c>
      <c r="S4640" s="4">
        <v>3</v>
      </c>
      <c r="T4640" s="4">
        <v>3</v>
      </c>
      <c r="U4640" s="5" t="s">
        <v>34256</v>
      </c>
      <c r="V4640" s="5" t="s">
        <v>34256</v>
      </c>
      <c r="W4640" s="5" t="s">
        <v>67</v>
      </c>
      <c r="X4640" s="5" t="s">
        <v>67</v>
      </c>
      <c r="Y4640" s="4">
        <v>92</v>
      </c>
      <c r="Z4640" s="4">
        <v>15</v>
      </c>
      <c r="AA4640" s="4">
        <v>94</v>
      </c>
      <c r="AB4640" s="4">
        <v>2</v>
      </c>
      <c r="AC4640" s="4">
        <v>18</v>
      </c>
      <c r="AD4640" s="4">
        <v>40</v>
      </c>
      <c r="AE4640" s="4">
        <v>101</v>
      </c>
      <c r="AF4640" s="4">
        <v>0</v>
      </c>
      <c r="AG4640" s="4">
        <v>8</v>
      </c>
      <c r="AH4640" s="4">
        <v>35</v>
      </c>
      <c r="AI4640" s="4">
        <v>66</v>
      </c>
      <c r="AJ4640" s="4">
        <v>11</v>
      </c>
      <c r="AK4640" s="4">
        <v>22</v>
      </c>
      <c r="AL4640" s="4">
        <v>20</v>
      </c>
      <c r="AM4640" s="4">
        <v>33</v>
      </c>
      <c r="AN4640" s="4">
        <v>0</v>
      </c>
      <c r="AO4640" s="4">
        <v>0</v>
      </c>
      <c r="AP4640" s="4">
        <v>12</v>
      </c>
      <c r="AQ4640" s="4">
        <v>43</v>
      </c>
      <c r="AR4640" s="3" t="s">
        <v>62</v>
      </c>
      <c r="AS4640" s="3" t="s">
        <v>62</v>
      </c>
      <c r="AT4640" s="3" t="s">
        <v>62</v>
      </c>
      <c r="AV4640" s="6" t="str">
        <f>HYPERLINK("http://mcgill.on.worldcat.org/oclc/225820541","Catalog Record")</f>
        <v>Catalog Record</v>
      </c>
      <c r="AW4640" s="6" t="str">
        <f>HYPERLINK("http://www.worldcat.org/oclc/225820541","WorldCat Record")</f>
        <v>WorldCat Record</v>
      </c>
      <c r="AX4640" s="3" t="s">
        <v>44401</v>
      </c>
      <c r="AY4640" s="3" t="s">
        <v>44402</v>
      </c>
      <c r="AZ4640" s="3" t="s">
        <v>44403</v>
      </c>
      <c r="BA4640" s="3" t="s">
        <v>44403</v>
      </c>
      <c r="BB4640" s="3" t="s">
        <v>44404</v>
      </c>
      <c r="BC4640" s="3" t="s">
        <v>142</v>
      </c>
      <c r="BD4640" s="3" t="s">
        <v>68</v>
      </c>
      <c r="BE4640" s="3" t="s">
        <v>44405</v>
      </c>
      <c r="BF4640" s="3" t="s">
        <v>44404</v>
      </c>
      <c r="BG4640" s="3" t="s">
        <v>44406</v>
      </c>
    </row>
    <row r="4641" spans="1:59" ht="57" x14ac:dyDescent="0.45">
      <c r="A4641" s="2" t="s">
        <v>59</v>
      </c>
      <c r="B4641" s="2" t="s">
        <v>60</v>
      </c>
      <c r="C4641" s="2" t="s">
        <v>44407</v>
      </c>
      <c r="D4641" s="2" t="s">
        <v>44408</v>
      </c>
      <c r="E4641" s="2" t="s">
        <v>44409</v>
      </c>
      <c r="G4641" s="3" t="s">
        <v>62</v>
      </c>
      <c r="I4641" s="3" t="s">
        <v>62</v>
      </c>
      <c r="J4641" s="3" t="s">
        <v>62</v>
      </c>
      <c r="K4641" s="3" t="s">
        <v>63</v>
      </c>
      <c r="M4641" s="2" t="s">
        <v>9542</v>
      </c>
      <c r="N4641" s="3" t="s">
        <v>1155</v>
      </c>
      <c r="P4641" s="3" t="s">
        <v>65</v>
      </c>
      <c r="Q4641" s="2" t="s">
        <v>44410</v>
      </c>
      <c r="R4641" s="3" t="s">
        <v>66</v>
      </c>
      <c r="S4641" s="4">
        <v>0</v>
      </c>
      <c r="T4641" s="4">
        <v>0</v>
      </c>
      <c r="W4641" s="5" t="s">
        <v>67</v>
      </c>
      <c r="X4641" s="5" t="s">
        <v>67</v>
      </c>
      <c r="Y4641" s="4">
        <v>100</v>
      </c>
      <c r="Z4641" s="4">
        <v>16</v>
      </c>
      <c r="AA4641" s="4">
        <v>81</v>
      </c>
      <c r="AB4641" s="4">
        <v>2</v>
      </c>
      <c r="AC4641" s="4">
        <v>14</v>
      </c>
      <c r="AD4641" s="4">
        <v>47</v>
      </c>
      <c r="AE4641" s="4">
        <v>108</v>
      </c>
      <c r="AF4641" s="4">
        <v>1</v>
      </c>
      <c r="AG4641" s="4">
        <v>8</v>
      </c>
      <c r="AH4641" s="4">
        <v>42</v>
      </c>
      <c r="AI4641" s="4">
        <v>74</v>
      </c>
      <c r="AJ4641" s="4">
        <v>13</v>
      </c>
      <c r="AK4641" s="4">
        <v>23</v>
      </c>
      <c r="AL4641" s="4">
        <v>23</v>
      </c>
      <c r="AM4641" s="4">
        <v>38</v>
      </c>
      <c r="AN4641" s="4">
        <v>0</v>
      </c>
      <c r="AO4641" s="4">
        <v>0</v>
      </c>
      <c r="AP4641" s="4">
        <v>13</v>
      </c>
      <c r="AQ4641" s="4">
        <v>43</v>
      </c>
      <c r="AR4641" s="3" t="s">
        <v>62</v>
      </c>
      <c r="AS4641" s="3" t="s">
        <v>62</v>
      </c>
      <c r="AT4641" s="3" t="s">
        <v>62</v>
      </c>
      <c r="AV4641" s="6" t="str">
        <f>HYPERLINK("http://mcgill.on.worldcat.org/oclc/761843275","Catalog Record")</f>
        <v>Catalog Record</v>
      </c>
      <c r="AW4641" s="6" t="str">
        <f>HYPERLINK("http://www.worldcat.org/oclc/761843275","WorldCat Record")</f>
        <v>WorldCat Record</v>
      </c>
      <c r="AX4641" s="3" t="s">
        <v>44411</v>
      </c>
      <c r="AY4641" s="3" t="s">
        <v>44412</v>
      </c>
      <c r="AZ4641" s="3" t="s">
        <v>44413</v>
      </c>
      <c r="BA4641" s="3" t="s">
        <v>44413</v>
      </c>
      <c r="BB4641" s="3" t="s">
        <v>44414</v>
      </c>
      <c r="BC4641" s="3" t="s">
        <v>142</v>
      </c>
      <c r="BD4641" s="3" t="s">
        <v>68</v>
      </c>
      <c r="BE4641" s="3" t="s">
        <v>44415</v>
      </c>
      <c r="BF4641" s="3" t="s">
        <v>44414</v>
      </c>
      <c r="BG4641" s="3" t="s">
        <v>44416</v>
      </c>
    </row>
    <row r="4642" spans="1:59" ht="57" x14ac:dyDescent="0.45">
      <c r="A4642" s="2" t="s">
        <v>59</v>
      </c>
      <c r="B4642" s="2" t="s">
        <v>60</v>
      </c>
      <c r="C4642" s="2" t="s">
        <v>44417</v>
      </c>
      <c r="D4642" s="2" t="s">
        <v>44418</v>
      </c>
      <c r="E4642" s="2" t="s">
        <v>44419</v>
      </c>
      <c r="F4642" s="3" t="s">
        <v>416</v>
      </c>
      <c r="G4642" s="3" t="s">
        <v>61</v>
      </c>
      <c r="I4642" s="3" t="s">
        <v>62</v>
      </c>
      <c r="J4642" s="3" t="s">
        <v>62</v>
      </c>
      <c r="K4642" s="3" t="s">
        <v>63</v>
      </c>
      <c r="L4642" s="2" t="s">
        <v>44420</v>
      </c>
      <c r="M4642" s="2" t="s">
        <v>44421</v>
      </c>
      <c r="N4642" s="3" t="s">
        <v>1465</v>
      </c>
      <c r="O4642" s="2" t="s">
        <v>43055</v>
      </c>
      <c r="P4642" s="3" t="s">
        <v>65</v>
      </c>
      <c r="Q4642" s="2" t="s">
        <v>44422</v>
      </c>
      <c r="R4642" s="3" t="s">
        <v>66</v>
      </c>
      <c r="S4642" s="4">
        <v>2</v>
      </c>
      <c r="T4642" s="4">
        <v>4</v>
      </c>
      <c r="U4642" s="5" t="s">
        <v>44423</v>
      </c>
      <c r="V4642" s="5" t="s">
        <v>44423</v>
      </c>
      <c r="W4642" s="5" t="s">
        <v>67</v>
      </c>
      <c r="X4642" s="5" t="s">
        <v>67</v>
      </c>
      <c r="Y4642" s="4">
        <v>12</v>
      </c>
      <c r="Z4642" s="4">
        <v>3</v>
      </c>
      <c r="AA4642" s="4">
        <v>3</v>
      </c>
      <c r="AB4642" s="4">
        <v>1</v>
      </c>
      <c r="AC4642" s="4">
        <v>1</v>
      </c>
      <c r="AD4642" s="4">
        <v>8</v>
      </c>
      <c r="AE4642" s="4">
        <v>8</v>
      </c>
      <c r="AF4642" s="4">
        <v>0</v>
      </c>
      <c r="AG4642" s="4">
        <v>0</v>
      </c>
      <c r="AH4642" s="4">
        <v>7</v>
      </c>
      <c r="AI4642" s="4">
        <v>7</v>
      </c>
      <c r="AJ4642" s="4">
        <v>1</v>
      </c>
      <c r="AK4642" s="4">
        <v>1</v>
      </c>
      <c r="AL4642" s="4">
        <v>8</v>
      </c>
      <c r="AM4642" s="4">
        <v>8</v>
      </c>
      <c r="AN4642" s="4">
        <v>0</v>
      </c>
      <c r="AO4642" s="4">
        <v>0</v>
      </c>
      <c r="AP4642" s="4">
        <v>1</v>
      </c>
      <c r="AQ4642" s="4">
        <v>1</v>
      </c>
      <c r="AR4642" s="3" t="s">
        <v>62</v>
      </c>
      <c r="AS4642" s="3" t="s">
        <v>62</v>
      </c>
      <c r="AT4642" s="3" t="s">
        <v>62</v>
      </c>
      <c r="AV4642" s="6" t="str">
        <f>HYPERLINK("http://mcgill.on.worldcat.org/oclc/513718361","Catalog Record")</f>
        <v>Catalog Record</v>
      </c>
      <c r="AW4642" s="6" t="str">
        <f>HYPERLINK("http://www.worldcat.org/oclc/513718361","WorldCat Record")</f>
        <v>WorldCat Record</v>
      </c>
      <c r="AX4642" s="3" t="s">
        <v>44424</v>
      </c>
      <c r="AY4642" s="3" t="s">
        <v>44425</v>
      </c>
      <c r="AZ4642" s="3" t="s">
        <v>44426</v>
      </c>
      <c r="BA4642" s="3" t="s">
        <v>44426</v>
      </c>
      <c r="BB4642" s="3" t="s">
        <v>44427</v>
      </c>
      <c r="BC4642" s="3" t="s">
        <v>142</v>
      </c>
      <c r="BD4642" s="3" t="s">
        <v>68</v>
      </c>
      <c r="BE4642" s="3" t="s">
        <v>44428</v>
      </c>
      <c r="BF4642" s="3" t="s">
        <v>44427</v>
      </c>
      <c r="BG4642" s="3" t="s">
        <v>44429</v>
      </c>
    </row>
    <row r="4643" spans="1:59" ht="57" x14ac:dyDescent="0.45">
      <c r="A4643" s="2" t="s">
        <v>59</v>
      </c>
      <c r="B4643" s="2" t="s">
        <v>60</v>
      </c>
      <c r="C4643" s="2" t="s">
        <v>44417</v>
      </c>
      <c r="D4643" s="2" t="s">
        <v>44418</v>
      </c>
      <c r="E4643" s="2" t="s">
        <v>44419</v>
      </c>
      <c r="F4643" s="3" t="s">
        <v>44430</v>
      </c>
      <c r="G4643" s="3" t="s">
        <v>61</v>
      </c>
      <c r="I4643" s="3" t="s">
        <v>62</v>
      </c>
      <c r="J4643" s="3" t="s">
        <v>62</v>
      </c>
      <c r="K4643" s="3" t="s">
        <v>63</v>
      </c>
      <c r="L4643" s="2" t="s">
        <v>44420</v>
      </c>
      <c r="M4643" s="2" t="s">
        <v>44421</v>
      </c>
      <c r="N4643" s="3" t="s">
        <v>1465</v>
      </c>
      <c r="O4643" s="2" t="s">
        <v>43055</v>
      </c>
      <c r="P4643" s="3" t="s">
        <v>65</v>
      </c>
      <c r="Q4643" s="2" t="s">
        <v>44422</v>
      </c>
      <c r="R4643" s="3" t="s">
        <v>66</v>
      </c>
      <c r="S4643" s="4">
        <v>1</v>
      </c>
      <c r="T4643" s="4">
        <v>4</v>
      </c>
      <c r="U4643" s="5" t="s">
        <v>44431</v>
      </c>
      <c r="V4643" s="5" t="s">
        <v>44423</v>
      </c>
      <c r="W4643" s="5" t="s">
        <v>67</v>
      </c>
      <c r="X4643" s="5" t="s">
        <v>67</v>
      </c>
      <c r="Y4643" s="4">
        <v>12</v>
      </c>
      <c r="Z4643" s="4">
        <v>3</v>
      </c>
      <c r="AA4643" s="4">
        <v>3</v>
      </c>
      <c r="AB4643" s="4">
        <v>1</v>
      </c>
      <c r="AC4643" s="4">
        <v>1</v>
      </c>
      <c r="AD4643" s="4">
        <v>8</v>
      </c>
      <c r="AE4643" s="4">
        <v>8</v>
      </c>
      <c r="AF4643" s="4">
        <v>0</v>
      </c>
      <c r="AG4643" s="4">
        <v>0</v>
      </c>
      <c r="AH4643" s="4">
        <v>7</v>
      </c>
      <c r="AI4643" s="4">
        <v>7</v>
      </c>
      <c r="AJ4643" s="4">
        <v>1</v>
      </c>
      <c r="AK4643" s="4">
        <v>1</v>
      </c>
      <c r="AL4643" s="4">
        <v>8</v>
      </c>
      <c r="AM4643" s="4">
        <v>8</v>
      </c>
      <c r="AN4643" s="4">
        <v>0</v>
      </c>
      <c r="AO4643" s="4">
        <v>0</v>
      </c>
      <c r="AP4643" s="4">
        <v>1</v>
      </c>
      <c r="AQ4643" s="4">
        <v>1</v>
      </c>
      <c r="AR4643" s="3" t="s">
        <v>62</v>
      </c>
      <c r="AS4643" s="3" t="s">
        <v>62</v>
      </c>
      <c r="AT4643" s="3" t="s">
        <v>62</v>
      </c>
      <c r="AV4643" s="6" t="str">
        <f>HYPERLINK("http://mcgill.on.worldcat.org/oclc/513718361","Catalog Record")</f>
        <v>Catalog Record</v>
      </c>
      <c r="AW4643" s="6" t="str">
        <f>HYPERLINK("http://www.worldcat.org/oclc/513718361","WorldCat Record")</f>
        <v>WorldCat Record</v>
      </c>
      <c r="AX4643" s="3" t="s">
        <v>44424</v>
      </c>
      <c r="AY4643" s="3" t="s">
        <v>44425</v>
      </c>
      <c r="AZ4643" s="3" t="s">
        <v>44426</v>
      </c>
      <c r="BA4643" s="3" t="s">
        <v>44426</v>
      </c>
      <c r="BB4643" s="3" t="s">
        <v>44432</v>
      </c>
      <c r="BC4643" s="3" t="s">
        <v>142</v>
      </c>
      <c r="BD4643" s="3" t="s">
        <v>68</v>
      </c>
      <c r="BE4643" s="3" t="s">
        <v>44428</v>
      </c>
      <c r="BF4643" s="3" t="s">
        <v>44432</v>
      </c>
      <c r="BG4643" s="3" t="s">
        <v>44433</v>
      </c>
    </row>
    <row r="4644" spans="1:59" ht="57" x14ac:dyDescent="0.45">
      <c r="A4644" s="2" t="s">
        <v>59</v>
      </c>
      <c r="B4644" s="2" t="s">
        <v>60</v>
      </c>
      <c r="C4644" s="2" t="s">
        <v>44417</v>
      </c>
      <c r="D4644" s="2" t="s">
        <v>44418</v>
      </c>
      <c r="E4644" s="2" t="s">
        <v>44419</v>
      </c>
      <c r="F4644" s="3" t="s">
        <v>35706</v>
      </c>
      <c r="G4644" s="3" t="s">
        <v>61</v>
      </c>
      <c r="I4644" s="3" t="s">
        <v>62</v>
      </c>
      <c r="J4644" s="3" t="s">
        <v>62</v>
      </c>
      <c r="K4644" s="3" t="s">
        <v>63</v>
      </c>
      <c r="L4644" s="2" t="s">
        <v>44420</v>
      </c>
      <c r="M4644" s="2" t="s">
        <v>44421</v>
      </c>
      <c r="N4644" s="3" t="s">
        <v>1465</v>
      </c>
      <c r="O4644" s="2" t="s">
        <v>43055</v>
      </c>
      <c r="P4644" s="3" t="s">
        <v>65</v>
      </c>
      <c r="Q4644" s="2" t="s">
        <v>44422</v>
      </c>
      <c r="R4644" s="3" t="s">
        <v>66</v>
      </c>
      <c r="S4644" s="4">
        <v>1</v>
      </c>
      <c r="T4644" s="4">
        <v>4</v>
      </c>
      <c r="U4644" s="5" t="s">
        <v>44431</v>
      </c>
      <c r="V4644" s="5" t="s">
        <v>44423</v>
      </c>
      <c r="W4644" s="5" t="s">
        <v>67</v>
      </c>
      <c r="X4644" s="5" t="s">
        <v>67</v>
      </c>
      <c r="Y4644" s="4">
        <v>12</v>
      </c>
      <c r="Z4644" s="4">
        <v>3</v>
      </c>
      <c r="AA4644" s="4">
        <v>3</v>
      </c>
      <c r="AB4644" s="4">
        <v>1</v>
      </c>
      <c r="AC4644" s="4">
        <v>1</v>
      </c>
      <c r="AD4644" s="4">
        <v>8</v>
      </c>
      <c r="AE4644" s="4">
        <v>8</v>
      </c>
      <c r="AF4644" s="4">
        <v>0</v>
      </c>
      <c r="AG4644" s="4">
        <v>0</v>
      </c>
      <c r="AH4644" s="4">
        <v>7</v>
      </c>
      <c r="AI4644" s="4">
        <v>7</v>
      </c>
      <c r="AJ4644" s="4">
        <v>1</v>
      </c>
      <c r="AK4644" s="4">
        <v>1</v>
      </c>
      <c r="AL4644" s="4">
        <v>8</v>
      </c>
      <c r="AM4644" s="4">
        <v>8</v>
      </c>
      <c r="AN4644" s="4">
        <v>0</v>
      </c>
      <c r="AO4644" s="4">
        <v>0</v>
      </c>
      <c r="AP4644" s="4">
        <v>1</v>
      </c>
      <c r="AQ4644" s="4">
        <v>1</v>
      </c>
      <c r="AR4644" s="3" t="s">
        <v>62</v>
      </c>
      <c r="AS4644" s="3" t="s">
        <v>62</v>
      </c>
      <c r="AT4644" s="3" t="s">
        <v>62</v>
      </c>
      <c r="AV4644" s="6" t="str">
        <f>HYPERLINK("http://mcgill.on.worldcat.org/oclc/513718361","Catalog Record")</f>
        <v>Catalog Record</v>
      </c>
      <c r="AW4644" s="6" t="str">
        <f>HYPERLINK("http://www.worldcat.org/oclc/513718361","WorldCat Record")</f>
        <v>WorldCat Record</v>
      </c>
      <c r="AX4644" s="3" t="s">
        <v>44424</v>
      </c>
      <c r="AY4644" s="3" t="s">
        <v>44425</v>
      </c>
      <c r="AZ4644" s="3" t="s">
        <v>44426</v>
      </c>
      <c r="BA4644" s="3" t="s">
        <v>44426</v>
      </c>
      <c r="BB4644" s="3" t="s">
        <v>44434</v>
      </c>
      <c r="BC4644" s="3" t="s">
        <v>142</v>
      </c>
      <c r="BD4644" s="3" t="s">
        <v>68</v>
      </c>
      <c r="BE4644" s="3" t="s">
        <v>44428</v>
      </c>
      <c r="BF4644" s="3" t="s">
        <v>44434</v>
      </c>
      <c r="BG4644" s="3" t="s">
        <v>44435</v>
      </c>
    </row>
    <row r="4645" spans="1:59" ht="57" x14ac:dyDescent="0.45">
      <c r="A4645" s="2" t="s">
        <v>59</v>
      </c>
      <c r="B4645" s="2" t="s">
        <v>60</v>
      </c>
      <c r="C4645" s="2" t="s">
        <v>44436</v>
      </c>
      <c r="D4645" s="2" t="s">
        <v>44437</v>
      </c>
      <c r="E4645" s="2" t="s">
        <v>44438</v>
      </c>
      <c r="G4645" s="3" t="s">
        <v>62</v>
      </c>
      <c r="I4645" s="3" t="s">
        <v>62</v>
      </c>
      <c r="J4645" s="3" t="s">
        <v>62</v>
      </c>
      <c r="K4645" s="3" t="s">
        <v>63</v>
      </c>
      <c r="L4645" s="2" t="s">
        <v>1840</v>
      </c>
      <c r="M4645" s="2" t="s">
        <v>1905</v>
      </c>
      <c r="N4645" s="3" t="s">
        <v>149</v>
      </c>
      <c r="P4645" s="3" t="s">
        <v>65</v>
      </c>
      <c r="Q4645" s="2" t="s">
        <v>44439</v>
      </c>
      <c r="R4645" s="3" t="s">
        <v>66</v>
      </c>
      <c r="S4645" s="4">
        <v>10</v>
      </c>
      <c r="T4645" s="4">
        <v>10</v>
      </c>
      <c r="U4645" s="5" t="s">
        <v>38630</v>
      </c>
      <c r="V4645" s="5" t="s">
        <v>38630</v>
      </c>
      <c r="W4645" s="5" t="s">
        <v>67</v>
      </c>
      <c r="X4645" s="5" t="s">
        <v>67</v>
      </c>
      <c r="Y4645" s="4">
        <v>447</v>
      </c>
      <c r="Z4645" s="4">
        <v>29</v>
      </c>
      <c r="AA4645" s="4">
        <v>86</v>
      </c>
      <c r="AB4645" s="4">
        <v>2</v>
      </c>
      <c r="AC4645" s="4">
        <v>14</v>
      </c>
      <c r="AD4645" s="4">
        <v>102</v>
      </c>
      <c r="AE4645" s="4">
        <v>137</v>
      </c>
      <c r="AF4645" s="4">
        <v>1</v>
      </c>
      <c r="AG4645" s="4">
        <v>8</v>
      </c>
      <c r="AH4645" s="4">
        <v>88</v>
      </c>
      <c r="AI4645" s="4">
        <v>101</v>
      </c>
      <c r="AJ4645" s="4">
        <v>14</v>
      </c>
      <c r="AK4645" s="4">
        <v>24</v>
      </c>
      <c r="AL4645" s="4">
        <v>52</v>
      </c>
      <c r="AM4645" s="4">
        <v>57</v>
      </c>
      <c r="AN4645" s="4">
        <v>0</v>
      </c>
      <c r="AO4645" s="4">
        <v>0</v>
      </c>
      <c r="AP4645" s="4">
        <v>20</v>
      </c>
      <c r="AQ4645" s="4">
        <v>44</v>
      </c>
      <c r="AR4645" s="3" t="s">
        <v>62</v>
      </c>
      <c r="AS4645" s="3" t="s">
        <v>62</v>
      </c>
      <c r="AT4645" s="3" t="s">
        <v>62</v>
      </c>
      <c r="AV4645" s="6" t="str">
        <f>HYPERLINK("http://mcgill.on.worldcat.org/oclc/466341316","Catalog Record")</f>
        <v>Catalog Record</v>
      </c>
      <c r="AW4645" s="6" t="str">
        <f>HYPERLINK("http://www.worldcat.org/oclc/466341316","WorldCat Record")</f>
        <v>WorldCat Record</v>
      </c>
      <c r="AX4645" s="3" t="s">
        <v>44440</v>
      </c>
      <c r="AY4645" s="3" t="s">
        <v>44441</v>
      </c>
      <c r="AZ4645" s="3" t="s">
        <v>44442</v>
      </c>
      <c r="BA4645" s="3" t="s">
        <v>44442</v>
      </c>
      <c r="BB4645" s="3" t="s">
        <v>44443</v>
      </c>
      <c r="BC4645" s="3" t="s">
        <v>142</v>
      </c>
      <c r="BD4645" s="3" t="s">
        <v>68</v>
      </c>
      <c r="BE4645" s="3" t="s">
        <v>44444</v>
      </c>
      <c r="BF4645" s="3" t="s">
        <v>44443</v>
      </c>
      <c r="BG4645" s="3" t="s">
        <v>44445</v>
      </c>
    </row>
    <row r="4646" spans="1:59" ht="57" x14ac:dyDescent="0.45">
      <c r="A4646" s="2" t="s">
        <v>59</v>
      </c>
      <c r="B4646" s="2" t="s">
        <v>60</v>
      </c>
      <c r="C4646" s="2" t="s">
        <v>44446</v>
      </c>
      <c r="D4646" s="2" t="s">
        <v>44447</v>
      </c>
      <c r="E4646" s="2" t="s">
        <v>44448</v>
      </c>
      <c r="G4646" s="3" t="s">
        <v>62</v>
      </c>
      <c r="I4646" s="3" t="s">
        <v>62</v>
      </c>
      <c r="J4646" s="3" t="s">
        <v>62</v>
      </c>
      <c r="K4646" s="3" t="s">
        <v>63</v>
      </c>
      <c r="M4646" s="2" t="s">
        <v>7877</v>
      </c>
      <c r="N4646" s="3" t="s">
        <v>1465</v>
      </c>
      <c r="P4646" s="3" t="s">
        <v>65</v>
      </c>
      <c r="Q4646" s="2" t="s">
        <v>44449</v>
      </c>
      <c r="R4646" s="3" t="s">
        <v>66</v>
      </c>
      <c r="S4646" s="4">
        <v>3</v>
      </c>
      <c r="T4646" s="4">
        <v>3</v>
      </c>
      <c r="U4646" s="5" t="s">
        <v>5337</v>
      </c>
      <c r="V4646" s="5" t="s">
        <v>5337</v>
      </c>
      <c r="W4646" s="5" t="s">
        <v>67</v>
      </c>
      <c r="X4646" s="5" t="s">
        <v>67</v>
      </c>
      <c r="Y4646" s="4">
        <v>84</v>
      </c>
      <c r="Z4646" s="4">
        <v>11</v>
      </c>
      <c r="AA4646" s="4">
        <v>98</v>
      </c>
      <c r="AB4646" s="4">
        <v>2</v>
      </c>
      <c r="AC4646" s="4">
        <v>18</v>
      </c>
      <c r="AD4646" s="4">
        <v>43</v>
      </c>
      <c r="AE4646" s="4">
        <v>112</v>
      </c>
      <c r="AF4646" s="4">
        <v>0</v>
      </c>
      <c r="AG4646" s="4">
        <v>8</v>
      </c>
      <c r="AH4646" s="4">
        <v>42</v>
      </c>
      <c r="AI4646" s="4">
        <v>77</v>
      </c>
      <c r="AJ4646" s="4">
        <v>8</v>
      </c>
      <c r="AK4646" s="4">
        <v>23</v>
      </c>
      <c r="AL4646" s="4">
        <v>28</v>
      </c>
      <c r="AM4646" s="4">
        <v>41</v>
      </c>
      <c r="AN4646" s="4">
        <v>0</v>
      </c>
      <c r="AO4646" s="4">
        <v>0</v>
      </c>
      <c r="AP4646" s="4">
        <v>8</v>
      </c>
      <c r="AQ4646" s="4">
        <v>44</v>
      </c>
      <c r="AR4646" s="3" t="s">
        <v>62</v>
      </c>
      <c r="AS4646" s="3" t="s">
        <v>62</v>
      </c>
      <c r="AT4646" s="3" t="s">
        <v>62</v>
      </c>
      <c r="AV4646" s="6" t="str">
        <f>HYPERLINK("http://mcgill.on.worldcat.org/oclc/433550635","Catalog Record")</f>
        <v>Catalog Record</v>
      </c>
      <c r="AW4646" s="6" t="str">
        <f>HYPERLINK("http://www.worldcat.org/oclc/433550635","WorldCat Record")</f>
        <v>WorldCat Record</v>
      </c>
      <c r="AX4646" s="3" t="s">
        <v>44450</v>
      </c>
      <c r="AY4646" s="3" t="s">
        <v>44451</v>
      </c>
      <c r="AZ4646" s="3" t="s">
        <v>44452</v>
      </c>
      <c r="BA4646" s="3" t="s">
        <v>44452</v>
      </c>
      <c r="BB4646" s="3" t="s">
        <v>44453</v>
      </c>
      <c r="BC4646" s="3" t="s">
        <v>142</v>
      </c>
      <c r="BD4646" s="3" t="s">
        <v>68</v>
      </c>
      <c r="BE4646" s="3" t="s">
        <v>44454</v>
      </c>
      <c r="BF4646" s="3" t="s">
        <v>44453</v>
      </c>
      <c r="BG4646" s="3" t="s">
        <v>44455</v>
      </c>
    </row>
    <row r="4647" spans="1:59" ht="71.25" x14ac:dyDescent="0.45">
      <c r="A4647" s="2" t="s">
        <v>59</v>
      </c>
      <c r="B4647" s="2" t="s">
        <v>60</v>
      </c>
      <c r="C4647" s="2" t="s">
        <v>44456</v>
      </c>
      <c r="D4647" s="2" t="s">
        <v>44457</v>
      </c>
      <c r="E4647" s="2" t="s">
        <v>44458</v>
      </c>
      <c r="G4647" s="3" t="s">
        <v>62</v>
      </c>
      <c r="I4647" s="3" t="s">
        <v>62</v>
      </c>
      <c r="J4647" s="3" t="s">
        <v>62</v>
      </c>
      <c r="K4647" s="3" t="s">
        <v>63</v>
      </c>
      <c r="M4647" s="2" t="s">
        <v>3459</v>
      </c>
      <c r="N4647" s="3" t="s">
        <v>1918</v>
      </c>
      <c r="P4647" s="3" t="s">
        <v>110</v>
      </c>
      <c r="Q4647" s="2" t="s">
        <v>5983</v>
      </c>
      <c r="R4647" s="3" t="s">
        <v>66</v>
      </c>
      <c r="S4647" s="4">
        <v>0</v>
      </c>
      <c r="T4647" s="4">
        <v>0</v>
      </c>
      <c r="W4647" s="5" t="s">
        <v>67</v>
      </c>
      <c r="X4647" s="5" t="s">
        <v>67</v>
      </c>
      <c r="Y4647" s="4">
        <v>12</v>
      </c>
      <c r="Z4647" s="4">
        <v>3</v>
      </c>
      <c r="AA4647" s="4">
        <v>7</v>
      </c>
      <c r="AB4647" s="4">
        <v>1</v>
      </c>
      <c r="AC4647" s="4">
        <v>4</v>
      </c>
      <c r="AD4647" s="4">
        <v>8</v>
      </c>
      <c r="AE4647" s="4">
        <v>11</v>
      </c>
      <c r="AF4647" s="4">
        <v>0</v>
      </c>
      <c r="AG4647" s="4">
        <v>2</v>
      </c>
      <c r="AH4647" s="4">
        <v>7</v>
      </c>
      <c r="AI4647" s="4">
        <v>8</v>
      </c>
      <c r="AJ4647" s="4">
        <v>2</v>
      </c>
      <c r="AK4647" s="4">
        <v>4</v>
      </c>
      <c r="AL4647" s="4">
        <v>6</v>
      </c>
      <c r="AM4647" s="4">
        <v>6</v>
      </c>
      <c r="AN4647" s="4">
        <v>0</v>
      </c>
      <c r="AO4647" s="4">
        <v>0</v>
      </c>
      <c r="AP4647" s="4">
        <v>2</v>
      </c>
      <c r="AQ4647" s="4">
        <v>5</v>
      </c>
      <c r="AR4647" s="3" t="s">
        <v>62</v>
      </c>
      <c r="AS4647" s="3" t="s">
        <v>62</v>
      </c>
      <c r="AT4647" s="3" t="s">
        <v>62</v>
      </c>
      <c r="AV4647" s="6" t="str">
        <f>HYPERLINK("http://mcgill.on.worldcat.org/oclc/995779032","Catalog Record")</f>
        <v>Catalog Record</v>
      </c>
      <c r="AW4647" s="6" t="str">
        <f>HYPERLINK("http://www.worldcat.org/oclc/995779032","WorldCat Record")</f>
        <v>WorldCat Record</v>
      </c>
      <c r="AX4647" s="3" t="s">
        <v>44459</v>
      </c>
      <c r="AY4647" s="3" t="s">
        <v>44460</v>
      </c>
      <c r="AZ4647" s="3" t="s">
        <v>44461</v>
      </c>
      <c r="BA4647" s="3" t="s">
        <v>44461</v>
      </c>
      <c r="BB4647" s="3" t="s">
        <v>44462</v>
      </c>
      <c r="BC4647" s="3" t="s">
        <v>142</v>
      </c>
      <c r="BD4647" s="3" t="s">
        <v>68</v>
      </c>
      <c r="BE4647" s="3" t="s">
        <v>44463</v>
      </c>
      <c r="BF4647" s="3" t="s">
        <v>44462</v>
      </c>
      <c r="BG4647" s="3" t="s">
        <v>44464</v>
      </c>
    </row>
    <row r="4648" spans="1:59" ht="57" x14ac:dyDescent="0.45">
      <c r="A4648" s="2" t="s">
        <v>59</v>
      </c>
      <c r="B4648" s="2" t="s">
        <v>60</v>
      </c>
      <c r="C4648" s="2" t="s">
        <v>44465</v>
      </c>
      <c r="D4648" s="2" t="s">
        <v>44466</v>
      </c>
      <c r="E4648" s="2" t="s">
        <v>44467</v>
      </c>
      <c r="G4648" s="3" t="s">
        <v>62</v>
      </c>
      <c r="I4648" s="3" t="s">
        <v>62</v>
      </c>
      <c r="J4648" s="3" t="s">
        <v>62</v>
      </c>
      <c r="K4648" s="3" t="s">
        <v>63</v>
      </c>
      <c r="M4648" s="2" t="s">
        <v>44468</v>
      </c>
      <c r="N4648" s="3" t="s">
        <v>149</v>
      </c>
      <c r="P4648" s="3" t="s">
        <v>65</v>
      </c>
      <c r="Q4648" s="2" t="s">
        <v>3014</v>
      </c>
      <c r="R4648" s="3" t="s">
        <v>66</v>
      </c>
      <c r="S4648" s="4">
        <v>8</v>
      </c>
      <c r="T4648" s="4">
        <v>8</v>
      </c>
      <c r="U4648" s="5" t="s">
        <v>7845</v>
      </c>
      <c r="V4648" s="5" t="s">
        <v>7845</v>
      </c>
      <c r="W4648" s="5" t="s">
        <v>67</v>
      </c>
      <c r="X4648" s="5" t="s">
        <v>67</v>
      </c>
      <c r="Y4648" s="4">
        <v>163</v>
      </c>
      <c r="Z4648" s="4">
        <v>19</v>
      </c>
      <c r="AA4648" s="4">
        <v>56</v>
      </c>
      <c r="AB4648" s="4">
        <v>2</v>
      </c>
      <c r="AC4648" s="4">
        <v>10</v>
      </c>
      <c r="AD4648" s="4">
        <v>55</v>
      </c>
      <c r="AE4648" s="4">
        <v>102</v>
      </c>
      <c r="AF4648" s="4">
        <v>1</v>
      </c>
      <c r="AG4648" s="4">
        <v>6</v>
      </c>
      <c r="AH4648" s="4">
        <v>48</v>
      </c>
      <c r="AI4648" s="4">
        <v>80</v>
      </c>
      <c r="AJ4648" s="4">
        <v>13</v>
      </c>
      <c r="AK4648" s="4">
        <v>21</v>
      </c>
      <c r="AL4648" s="4">
        <v>27</v>
      </c>
      <c r="AM4648" s="4">
        <v>46</v>
      </c>
      <c r="AN4648" s="4">
        <v>0</v>
      </c>
      <c r="AO4648" s="4">
        <v>0</v>
      </c>
      <c r="AP4648" s="4">
        <v>14</v>
      </c>
      <c r="AQ4648" s="4">
        <v>30</v>
      </c>
      <c r="AR4648" s="3" t="s">
        <v>62</v>
      </c>
      <c r="AS4648" s="3" t="s">
        <v>62</v>
      </c>
      <c r="AT4648" s="3" t="s">
        <v>62</v>
      </c>
      <c r="AV4648" s="6" t="str">
        <f>HYPERLINK("http://mcgill.on.worldcat.org/oclc/500823424","Catalog Record")</f>
        <v>Catalog Record</v>
      </c>
      <c r="AW4648" s="6" t="str">
        <f>HYPERLINK("http://www.worldcat.org/oclc/500823424","WorldCat Record")</f>
        <v>WorldCat Record</v>
      </c>
      <c r="AX4648" s="3" t="s">
        <v>44469</v>
      </c>
      <c r="AY4648" s="3" t="s">
        <v>44470</v>
      </c>
      <c r="AZ4648" s="3" t="s">
        <v>44471</v>
      </c>
      <c r="BA4648" s="3" t="s">
        <v>44471</v>
      </c>
      <c r="BB4648" s="3" t="s">
        <v>44472</v>
      </c>
      <c r="BC4648" s="3" t="s">
        <v>142</v>
      </c>
      <c r="BD4648" s="3" t="s">
        <v>308</v>
      </c>
      <c r="BE4648" s="3" t="s">
        <v>44473</v>
      </c>
      <c r="BF4648" s="3" t="s">
        <v>44472</v>
      </c>
      <c r="BG4648" s="3" t="s">
        <v>44474</v>
      </c>
    </row>
    <row r="4649" spans="1:59" ht="57" x14ac:dyDescent="0.45">
      <c r="A4649" s="2" t="s">
        <v>59</v>
      </c>
      <c r="B4649" s="2" t="s">
        <v>60</v>
      </c>
      <c r="C4649" s="2" t="s">
        <v>44475</v>
      </c>
      <c r="D4649" s="2" t="s">
        <v>44476</v>
      </c>
      <c r="E4649" s="2" t="s">
        <v>44477</v>
      </c>
      <c r="G4649" s="3" t="s">
        <v>62</v>
      </c>
      <c r="I4649" s="3" t="s">
        <v>62</v>
      </c>
      <c r="J4649" s="3" t="s">
        <v>62</v>
      </c>
      <c r="K4649" s="3" t="s">
        <v>63</v>
      </c>
      <c r="M4649" s="2" t="s">
        <v>23783</v>
      </c>
      <c r="N4649" s="3" t="s">
        <v>149</v>
      </c>
      <c r="P4649" s="3" t="s">
        <v>65</v>
      </c>
      <c r="Q4649" s="2" t="s">
        <v>3014</v>
      </c>
      <c r="R4649" s="3" t="s">
        <v>66</v>
      </c>
      <c r="S4649" s="4">
        <v>4</v>
      </c>
      <c r="T4649" s="4">
        <v>4</v>
      </c>
      <c r="U4649" s="5" t="s">
        <v>44478</v>
      </c>
      <c r="V4649" s="5" t="s">
        <v>44478</v>
      </c>
      <c r="W4649" s="5" t="s">
        <v>67</v>
      </c>
      <c r="X4649" s="5" t="s">
        <v>67</v>
      </c>
      <c r="Y4649" s="4">
        <v>182</v>
      </c>
      <c r="Z4649" s="4">
        <v>18</v>
      </c>
      <c r="AA4649" s="4">
        <v>44</v>
      </c>
      <c r="AB4649" s="4">
        <v>1</v>
      </c>
      <c r="AC4649" s="4">
        <v>9</v>
      </c>
      <c r="AD4649" s="4">
        <v>64</v>
      </c>
      <c r="AE4649" s="4">
        <v>100</v>
      </c>
      <c r="AF4649" s="4">
        <v>0</v>
      </c>
      <c r="AG4649" s="4">
        <v>4</v>
      </c>
      <c r="AH4649" s="4">
        <v>56</v>
      </c>
      <c r="AI4649" s="4">
        <v>78</v>
      </c>
      <c r="AJ4649" s="4">
        <v>13</v>
      </c>
      <c r="AK4649" s="4">
        <v>20</v>
      </c>
      <c r="AL4649" s="4">
        <v>29</v>
      </c>
      <c r="AM4649" s="4">
        <v>42</v>
      </c>
      <c r="AN4649" s="4">
        <v>0</v>
      </c>
      <c r="AO4649" s="4">
        <v>0</v>
      </c>
      <c r="AP4649" s="4">
        <v>16</v>
      </c>
      <c r="AQ4649" s="4">
        <v>31</v>
      </c>
      <c r="AR4649" s="3" t="s">
        <v>62</v>
      </c>
      <c r="AS4649" s="3" t="s">
        <v>62</v>
      </c>
      <c r="AT4649" s="3" t="s">
        <v>62</v>
      </c>
      <c r="AV4649" s="6" t="str">
        <f>HYPERLINK("http://mcgill.on.worldcat.org/oclc/460062264","Catalog Record")</f>
        <v>Catalog Record</v>
      </c>
      <c r="AW4649" s="6" t="str">
        <f>HYPERLINK("http://www.worldcat.org/oclc/460062264","WorldCat Record")</f>
        <v>WorldCat Record</v>
      </c>
      <c r="AX4649" s="3" t="s">
        <v>44479</v>
      </c>
      <c r="AY4649" s="3" t="s">
        <v>44480</v>
      </c>
      <c r="AZ4649" s="3" t="s">
        <v>44481</v>
      </c>
      <c r="BA4649" s="3" t="s">
        <v>44481</v>
      </c>
      <c r="BB4649" s="3" t="s">
        <v>44482</v>
      </c>
      <c r="BC4649" s="3" t="s">
        <v>142</v>
      </c>
      <c r="BD4649" s="3" t="s">
        <v>68</v>
      </c>
      <c r="BE4649" s="3" t="s">
        <v>44483</v>
      </c>
      <c r="BF4649" s="3" t="s">
        <v>44482</v>
      </c>
      <c r="BG4649" s="3" t="s">
        <v>44484</v>
      </c>
    </row>
    <row r="4650" spans="1:59" ht="57" x14ac:dyDescent="0.45">
      <c r="A4650" s="2" t="s">
        <v>59</v>
      </c>
      <c r="B4650" s="2" t="s">
        <v>60</v>
      </c>
      <c r="C4650" s="2" t="s">
        <v>44485</v>
      </c>
      <c r="D4650" s="2" t="s">
        <v>44486</v>
      </c>
      <c r="E4650" s="2" t="s">
        <v>44487</v>
      </c>
      <c r="G4650" s="3" t="s">
        <v>62</v>
      </c>
      <c r="I4650" s="3" t="s">
        <v>62</v>
      </c>
      <c r="J4650" s="3" t="s">
        <v>62</v>
      </c>
      <c r="K4650" s="3" t="s">
        <v>63</v>
      </c>
      <c r="L4650" s="2" t="s">
        <v>44488</v>
      </c>
      <c r="M4650" s="2" t="s">
        <v>33610</v>
      </c>
      <c r="N4650" s="3" t="s">
        <v>1855</v>
      </c>
      <c r="P4650" s="3" t="s">
        <v>65</v>
      </c>
      <c r="Q4650" s="2" t="s">
        <v>44439</v>
      </c>
      <c r="R4650" s="3" t="s">
        <v>66</v>
      </c>
      <c r="S4650" s="4">
        <v>4</v>
      </c>
      <c r="T4650" s="4">
        <v>4</v>
      </c>
      <c r="U4650" s="5" t="s">
        <v>5337</v>
      </c>
      <c r="V4650" s="5" t="s">
        <v>5337</v>
      </c>
      <c r="W4650" s="5" t="s">
        <v>67</v>
      </c>
      <c r="X4650" s="5" t="s">
        <v>67</v>
      </c>
      <c r="Y4650" s="4">
        <v>307</v>
      </c>
      <c r="Z4650" s="4">
        <v>21</v>
      </c>
      <c r="AA4650" s="4">
        <v>99</v>
      </c>
      <c r="AB4650" s="4">
        <v>3</v>
      </c>
      <c r="AC4650" s="4">
        <v>19</v>
      </c>
      <c r="AD4650" s="4">
        <v>101</v>
      </c>
      <c r="AE4650" s="4">
        <v>148</v>
      </c>
      <c r="AF4650" s="4">
        <v>1</v>
      </c>
      <c r="AG4650" s="4">
        <v>9</v>
      </c>
      <c r="AH4650" s="4">
        <v>90</v>
      </c>
      <c r="AI4650" s="4">
        <v>101</v>
      </c>
      <c r="AJ4650" s="4">
        <v>17</v>
      </c>
      <c r="AK4650" s="4">
        <v>28</v>
      </c>
      <c r="AL4650" s="4">
        <v>49</v>
      </c>
      <c r="AM4650" s="4">
        <v>54</v>
      </c>
      <c r="AN4650" s="4">
        <v>0</v>
      </c>
      <c r="AO4650" s="4">
        <v>0</v>
      </c>
      <c r="AP4650" s="4">
        <v>19</v>
      </c>
      <c r="AQ4650" s="4">
        <v>56</v>
      </c>
      <c r="AR4650" s="3" t="s">
        <v>62</v>
      </c>
      <c r="AS4650" s="3" t="s">
        <v>62</v>
      </c>
      <c r="AT4650" s="3" t="s">
        <v>62</v>
      </c>
      <c r="AV4650" s="6" t="str">
        <f>HYPERLINK("http://mcgill.on.worldcat.org/oclc/56068959","Catalog Record")</f>
        <v>Catalog Record</v>
      </c>
      <c r="AW4650" s="6" t="str">
        <f>HYPERLINK("http://www.worldcat.org/oclc/56068959","WorldCat Record")</f>
        <v>WorldCat Record</v>
      </c>
      <c r="AX4650" s="3" t="s">
        <v>44489</v>
      </c>
      <c r="AY4650" s="3" t="s">
        <v>44490</v>
      </c>
      <c r="AZ4650" s="3" t="s">
        <v>44491</v>
      </c>
      <c r="BA4650" s="3" t="s">
        <v>44491</v>
      </c>
      <c r="BB4650" s="3" t="s">
        <v>44492</v>
      </c>
      <c r="BC4650" s="3" t="s">
        <v>142</v>
      </c>
      <c r="BD4650" s="3" t="s">
        <v>68</v>
      </c>
      <c r="BE4650" s="3" t="s">
        <v>44493</v>
      </c>
      <c r="BF4650" s="3" t="s">
        <v>44492</v>
      </c>
      <c r="BG4650" s="3" t="s">
        <v>44494</v>
      </c>
    </row>
    <row r="4651" spans="1:59" ht="57" x14ac:dyDescent="0.45">
      <c r="A4651" s="2" t="s">
        <v>59</v>
      </c>
      <c r="B4651" s="2" t="s">
        <v>60</v>
      </c>
      <c r="C4651" s="2" t="s">
        <v>44495</v>
      </c>
      <c r="D4651" s="2" t="s">
        <v>44496</v>
      </c>
      <c r="E4651" s="2" t="s">
        <v>44497</v>
      </c>
      <c r="G4651" s="3" t="s">
        <v>62</v>
      </c>
      <c r="I4651" s="3" t="s">
        <v>62</v>
      </c>
      <c r="J4651" s="3" t="s">
        <v>62</v>
      </c>
      <c r="K4651" s="3" t="s">
        <v>63</v>
      </c>
      <c r="L4651" s="2" t="s">
        <v>44498</v>
      </c>
      <c r="M4651" s="2" t="s">
        <v>44499</v>
      </c>
      <c r="N4651" s="3" t="s">
        <v>894</v>
      </c>
      <c r="P4651" s="3" t="s">
        <v>65</v>
      </c>
      <c r="Q4651" s="2" t="s">
        <v>44500</v>
      </c>
      <c r="R4651" s="3" t="s">
        <v>66</v>
      </c>
      <c r="S4651" s="4">
        <v>0</v>
      </c>
      <c r="T4651" s="4">
        <v>0</v>
      </c>
      <c r="W4651" s="5" t="s">
        <v>67</v>
      </c>
      <c r="X4651" s="5" t="s">
        <v>67</v>
      </c>
      <c r="Y4651" s="4">
        <v>61</v>
      </c>
      <c r="Z4651" s="4">
        <v>8</v>
      </c>
      <c r="AA4651" s="4">
        <v>37</v>
      </c>
      <c r="AB4651" s="4">
        <v>1</v>
      </c>
      <c r="AC4651" s="4">
        <v>9</v>
      </c>
      <c r="AD4651" s="4">
        <v>23</v>
      </c>
      <c r="AE4651" s="4">
        <v>39</v>
      </c>
      <c r="AF4651" s="4">
        <v>0</v>
      </c>
      <c r="AG4651" s="4">
        <v>3</v>
      </c>
      <c r="AH4651" s="4">
        <v>20</v>
      </c>
      <c r="AI4651" s="4">
        <v>27</v>
      </c>
      <c r="AJ4651" s="4">
        <v>7</v>
      </c>
      <c r="AK4651" s="4">
        <v>10</v>
      </c>
      <c r="AL4651" s="4">
        <v>11</v>
      </c>
      <c r="AM4651" s="4">
        <v>17</v>
      </c>
      <c r="AN4651" s="4">
        <v>0</v>
      </c>
      <c r="AO4651" s="4">
        <v>0</v>
      </c>
      <c r="AP4651" s="4">
        <v>7</v>
      </c>
      <c r="AQ4651" s="4">
        <v>15</v>
      </c>
      <c r="AR4651" s="3" t="s">
        <v>62</v>
      </c>
      <c r="AS4651" s="3" t="s">
        <v>62</v>
      </c>
      <c r="AT4651" s="3" t="s">
        <v>62</v>
      </c>
      <c r="AV4651" s="6" t="str">
        <f>HYPERLINK("http://mcgill.on.worldcat.org/oclc/747099305","Catalog Record")</f>
        <v>Catalog Record</v>
      </c>
      <c r="AW4651" s="6" t="str">
        <f>HYPERLINK("http://www.worldcat.org/oclc/747099305","WorldCat Record")</f>
        <v>WorldCat Record</v>
      </c>
      <c r="AX4651" s="3" t="s">
        <v>44501</v>
      </c>
      <c r="AY4651" s="3" t="s">
        <v>44502</v>
      </c>
      <c r="AZ4651" s="3" t="s">
        <v>44503</v>
      </c>
      <c r="BA4651" s="3" t="s">
        <v>44503</v>
      </c>
      <c r="BB4651" s="3" t="s">
        <v>44504</v>
      </c>
      <c r="BC4651" s="3" t="s">
        <v>142</v>
      </c>
      <c r="BD4651" s="3" t="s">
        <v>68</v>
      </c>
      <c r="BE4651" s="3" t="s">
        <v>44505</v>
      </c>
      <c r="BF4651" s="3" t="s">
        <v>44504</v>
      </c>
      <c r="BG4651" s="3" t="s">
        <v>44506</v>
      </c>
    </row>
    <row r="4652" spans="1:59" ht="57" x14ac:dyDescent="0.45">
      <c r="A4652" s="2" t="s">
        <v>59</v>
      </c>
      <c r="B4652" s="2" t="s">
        <v>60</v>
      </c>
      <c r="C4652" s="2" t="s">
        <v>44507</v>
      </c>
      <c r="D4652" s="2" t="s">
        <v>44508</v>
      </c>
      <c r="E4652" s="2" t="s">
        <v>44509</v>
      </c>
      <c r="G4652" s="3" t="s">
        <v>62</v>
      </c>
      <c r="I4652" s="3" t="s">
        <v>62</v>
      </c>
      <c r="J4652" s="3" t="s">
        <v>62</v>
      </c>
      <c r="K4652" s="3" t="s">
        <v>63</v>
      </c>
      <c r="M4652" s="2" t="s">
        <v>44510</v>
      </c>
      <c r="N4652" s="3" t="s">
        <v>1688</v>
      </c>
      <c r="P4652" s="3" t="s">
        <v>65</v>
      </c>
      <c r="Q4652" s="2" t="s">
        <v>34649</v>
      </c>
      <c r="R4652" s="3" t="s">
        <v>66</v>
      </c>
      <c r="S4652" s="4">
        <v>1</v>
      </c>
      <c r="T4652" s="4">
        <v>1</v>
      </c>
      <c r="W4652" s="5" t="s">
        <v>67</v>
      </c>
      <c r="X4652" s="5" t="s">
        <v>67</v>
      </c>
      <c r="Y4652" s="4">
        <v>114</v>
      </c>
      <c r="Z4652" s="4">
        <v>12</v>
      </c>
      <c r="AA4652" s="4">
        <v>17</v>
      </c>
      <c r="AB4652" s="4">
        <v>1</v>
      </c>
      <c r="AC4652" s="4">
        <v>6</v>
      </c>
      <c r="AD4652" s="4">
        <v>40</v>
      </c>
      <c r="AE4652" s="4">
        <v>44</v>
      </c>
      <c r="AF4652" s="4">
        <v>0</v>
      </c>
      <c r="AG4652" s="4">
        <v>2</v>
      </c>
      <c r="AH4652" s="4">
        <v>37</v>
      </c>
      <c r="AI4652" s="4">
        <v>40</v>
      </c>
      <c r="AJ4652" s="4">
        <v>8</v>
      </c>
      <c r="AK4652" s="4">
        <v>10</v>
      </c>
      <c r="AL4652" s="4">
        <v>27</v>
      </c>
      <c r="AM4652" s="4">
        <v>29</v>
      </c>
      <c r="AN4652" s="4">
        <v>0</v>
      </c>
      <c r="AO4652" s="4">
        <v>0</v>
      </c>
      <c r="AP4652" s="4">
        <v>9</v>
      </c>
      <c r="AQ4652" s="4">
        <v>10</v>
      </c>
      <c r="AR4652" s="3" t="s">
        <v>62</v>
      </c>
      <c r="AS4652" s="3" t="s">
        <v>62</v>
      </c>
      <c r="AT4652" s="3" t="s">
        <v>62</v>
      </c>
      <c r="AV4652" s="6" t="str">
        <f>HYPERLINK("http://mcgill.on.worldcat.org/oclc/858660145","Catalog Record")</f>
        <v>Catalog Record</v>
      </c>
      <c r="AW4652" s="6" t="str">
        <f>HYPERLINK("http://www.worldcat.org/oclc/858660145","WorldCat Record")</f>
        <v>WorldCat Record</v>
      </c>
      <c r="AX4652" s="3" t="s">
        <v>44511</v>
      </c>
      <c r="AY4652" s="3" t="s">
        <v>44512</v>
      </c>
      <c r="AZ4652" s="3" t="s">
        <v>44513</v>
      </c>
      <c r="BA4652" s="3" t="s">
        <v>44513</v>
      </c>
      <c r="BB4652" s="3" t="s">
        <v>44514</v>
      </c>
      <c r="BC4652" s="3" t="s">
        <v>142</v>
      </c>
      <c r="BD4652" s="3" t="s">
        <v>308</v>
      </c>
      <c r="BE4652" s="3" t="s">
        <v>44515</v>
      </c>
      <c r="BF4652" s="3" t="s">
        <v>44514</v>
      </c>
      <c r="BG4652" s="3" t="s">
        <v>44516</v>
      </c>
    </row>
    <row r="4653" spans="1:59" ht="57" x14ac:dyDescent="0.45">
      <c r="A4653" s="2" t="s">
        <v>59</v>
      </c>
      <c r="B4653" s="2" t="s">
        <v>60</v>
      </c>
      <c r="C4653" s="2" t="s">
        <v>44517</v>
      </c>
      <c r="D4653" s="2" t="s">
        <v>44518</v>
      </c>
      <c r="E4653" s="2" t="s">
        <v>44519</v>
      </c>
      <c r="G4653" s="3" t="s">
        <v>62</v>
      </c>
      <c r="I4653" s="3" t="s">
        <v>62</v>
      </c>
      <c r="J4653" s="3" t="s">
        <v>62</v>
      </c>
      <c r="K4653" s="3" t="s">
        <v>63</v>
      </c>
      <c r="L4653" s="2" t="s">
        <v>44520</v>
      </c>
      <c r="M4653" s="2" t="s">
        <v>7677</v>
      </c>
      <c r="N4653" s="3" t="s">
        <v>820</v>
      </c>
      <c r="P4653" s="3" t="s">
        <v>65</v>
      </c>
      <c r="R4653" s="3" t="s">
        <v>66</v>
      </c>
      <c r="S4653" s="4">
        <v>18</v>
      </c>
      <c r="T4653" s="4">
        <v>18</v>
      </c>
      <c r="U4653" s="5" t="s">
        <v>5337</v>
      </c>
      <c r="V4653" s="5" t="s">
        <v>5337</v>
      </c>
      <c r="W4653" s="5" t="s">
        <v>67</v>
      </c>
      <c r="X4653" s="5" t="s">
        <v>67</v>
      </c>
      <c r="Y4653" s="4">
        <v>223</v>
      </c>
      <c r="Z4653" s="4">
        <v>22</v>
      </c>
      <c r="AA4653" s="4">
        <v>81</v>
      </c>
      <c r="AB4653" s="4">
        <v>2</v>
      </c>
      <c r="AC4653" s="4">
        <v>15</v>
      </c>
      <c r="AD4653" s="4">
        <v>98</v>
      </c>
      <c r="AE4653" s="4">
        <v>134</v>
      </c>
      <c r="AF4653" s="4">
        <v>1</v>
      </c>
      <c r="AG4653" s="4">
        <v>8</v>
      </c>
      <c r="AH4653" s="4">
        <v>88</v>
      </c>
      <c r="AI4653" s="4">
        <v>98</v>
      </c>
      <c r="AJ4653" s="4">
        <v>18</v>
      </c>
      <c r="AK4653" s="4">
        <v>25</v>
      </c>
      <c r="AL4653" s="4">
        <v>47</v>
      </c>
      <c r="AM4653" s="4">
        <v>51</v>
      </c>
      <c r="AN4653" s="4">
        <v>0</v>
      </c>
      <c r="AO4653" s="4">
        <v>0</v>
      </c>
      <c r="AP4653" s="4">
        <v>19</v>
      </c>
      <c r="AQ4653" s="4">
        <v>45</v>
      </c>
      <c r="AR4653" s="3" t="s">
        <v>62</v>
      </c>
      <c r="AS4653" s="3" t="s">
        <v>62</v>
      </c>
      <c r="AT4653" s="3" t="s">
        <v>61</v>
      </c>
      <c r="AU4653" s="6" t="str">
        <f>HYPERLINK("http://catalog.hathitrust.org/Record/005631876","HathiTrust Record")</f>
        <v>HathiTrust Record</v>
      </c>
      <c r="AV4653" s="6" t="str">
        <f>HYPERLINK("http://mcgill.on.worldcat.org/oclc/124165244","Catalog Record")</f>
        <v>Catalog Record</v>
      </c>
      <c r="AW4653" s="6" t="str">
        <f>HYPERLINK("http://www.worldcat.org/oclc/124165244","WorldCat Record")</f>
        <v>WorldCat Record</v>
      </c>
      <c r="AX4653" s="3" t="s">
        <v>44521</v>
      </c>
      <c r="AY4653" s="3" t="s">
        <v>44522</v>
      </c>
      <c r="AZ4653" s="3" t="s">
        <v>44523</v>
      </c>
      <c r="BA4653" s="3" t="s">
        <v>44523</v>
      </c>
      <c r="BB4653" s="3" t="s">
        <v>44524</v>
      </c>
      <c r="BC4653" s="3" t="s">
        <v>142</v>
      </c>
      <c r="BD4653" s="3" t="s">
        <v>308</v>
      </c>
      <c r="BE4653" s="3" t="s">
        <v>44525</v>
      </c>
      <c r="BF4653" s="3" t="s">
        <v>44524</v>
      </c>
      <c r="BG4653" s="3" t="s">
        <v>44526</v>
      </c>
    </row>
    <row r="4654" spans="1:59" ht="57" x14ac:dyDescent="0.45">
      <c r="A4654" s="2" t="s">
        <v>59</v>
      </c>
      <c r="B4654" s="2" t="s">
        <v>60</v>
      </c>
      <c r="C4654" s="2" t="s">
        <v>44527</v>
      </c>
      <c r="D4654" s="2" t="s">
        <v>44528</v>
      </c>
      <c r="E4654" s="2" t="s">
        <v>44529</v>
      </c>
      <c r="G4654" s="3" t="s">
        <v>62</v>
      </c>
      <c r="I4654" s="3" t="s">
        <v>62</v>
      </c>
      <c r="J4654" s="3" t="s">
        <v>62</v>
      </c>
      <c r="K4654" s="3" t="s">
        <v>63</v>
      </c>
      <c r="M4654" s="2" t="s">
        <v>44530</v>
      </c>
      <c r="N4654" s="3" t="s">
        <v>894</v>
      </c>
      <c r="P4654" s="3" t="s">
        <v>65</v>
      </c>
      <c r="Q4654" s="2" t="s">
        <v>44531</v>
      </c>
      <c r="R4654" s="3" t="s">
        <v>66</v>
      </c>
      <c r="S4654" s="4">
        <v>1</v>
      </c>
      <c r="T4654" s="4">
        <v>1</v>
      </c>
      <c r="U4654" s="5" t="s">
        <v>44532</v>
      </c>
      <c r="V4654" s="5" t="s">
        <v>44532</v>
      </c>
      <c r="W4654" s="5" t="s">
        <v>67</v>
      </c>
      <c r="X4654" s="5" t="s">
        <v>67</v>
      </c>
      <c r="Y4654" s="4">
        <v>59</v>
      </c>
      <c r="Z4654" s="4">
        <v>10</v>
      </c>
      <c r="AA4654" s="4">
        <v>91</v>
      </c>
      <c r="AB4654" s="4">
        <v>1</v>
      </c>
      <c r="AC4654" s="4">
        <v>17</v>
      </c>
      <c r="AD4654" s="4">
        <v>36</v>
      </c>
      <c r="AE4654" s="4">
        <v>112</v>
      </c>
      <c r="AF4654" s="4">
        <v>0</v>
      </c>
      <c r="AG4654" s="4">
        <v>8</v>
      </c>
      <c r="AH4654" s="4">
        <v>33</v>
      </c>
      <c r="AI4654" s="4">
        <v>74</v>
      </c>
      <c r="AJ4654" s="4">
        <v>8</v>
      </c>
      <c r="AK4654" s="4">
        <v>22</v>
      </c>
      <c r="AL4654" s="4">
        <v>22</v>
      </c>
      <c r="AM4654" s="4">
        <v>41</v>
      </c>
      <c r="AN4654" s="4">
        <v>0</v>
      </c>
      <c r="AO4654" s="4">
        <v>0</v>
      </c>
      <c r="AP4654" s="4">
        <v>8</v>
      </c>
      <c r="AQ4654" s="4">
        <v>44</v>
      </c>
      <c r="AR4654" s="3" t="s">
        <v>62</v>
      </c>
      <c r="AS4654" s="3" t="s">
        <v>62</v>
      </c>
      <c r="AT4654" s="3" t="s">
        <v>62</v>
      </c>
      <c r="AV4654" s="6" t="str">
        <f>HYPERLINK("http://mcgill.on.worldcat.org/oclc/742513861","Catalog Record")</f>
        <v>Catalog Record</v>
      </c>
      <c r="AW4654" s="6" t="str">
        <f>HYPERLINK("http://www.worldcat.org/oclc/742513861","WorldCat Record")</f>
        <v>WorldCat Record</v>
      </c>
      <c r="AX4654" s="3" t="s">
        <v>44533</v>
      </c>
      <c r="AY4654" s="3" t="s">
        <v>44534</v>
      </c>
      <c r="AZ4654" s="3" t="s">
        <v>44535</v>
      </c>
      <c r="BA4654" s="3" t="s">
        <v>44535</v>
      </c>
      <c r="BB4654" s="3" t="s">
        <v>44536</v>
      </c>
      <c r="BC4654" s="3" t="s">
        <v>142</v>
      </c>
      <c r="BD4654" s="3" t="s">
        <v>68</v>
      </c>
      <c r="BE4654" s="3" t="s">
        <v>44537</v>
      </c>
      <c r="BF4654" s="3" t="s">
        <v>44536</v>
      </c>
      <c r="BG4654" s="3" t="s">
        <v>44538</v>
      </c>
    </row>
    <row r="4655" spans="1:59" ht="57" x14ac:dyDescent="0.45">
      <c r="A4655" s="2" t="s">
        <v>59</v>
      </c>
      <c r="B4655" s="2" t="s">
        <v>60</v>
      </c>
      <c r="C4655" s="2" t="s">
        <v>44539</v>
      </c>
      <c r="D4655" s="2" t="s">
        <v>44540</v>
      </c>
      <c r="E4655" s="2" t="s">
        <v>44541</v>
      </c>
      <c r="G4655" s="3" t="s">
        <v>62</v>
      </c>
      <c r="I4655" s="3" t="s">
        <v>62</v>
      </c>
      <c r="J4655" s="3" t="s">
        <v>62</v>
      </c>
      <c r="K4655" s="3" t="s">
        <v>63</v>
      </c>
      <c r="M4655" s="2" t="s">
        <v>3925</v>
      </c>
      <c r="N4655" s="3" t="s">
        <v>149</v>
      </c>
      <c r="P4655" s="3" t="s">
        <v>65</v>
      </c>
      <c r="Q4655" s="2" t="s">
        <v>44542</v>
      </c>
      <c r="R4655" s="3" t="s">
        <v>66</v>
      </c>
      <c r="S4655" s="4">
        <v>2</v>
      </c>
      <c r="T4655" s="4">
        <v>2</v>
      </c>
      <c r="U4655" s="5" t="s">
        <v>18391</v>
      </c>
      <c r="V4655" s="5" t="s">
        <v>18391</v>
      </c>
      <c r="W4655" s="5" t="s">
        <v>67</v>
      </c>
      <c r="X4655" s="5" t="s">
        <v>67</v>
      </c>
      <c r="Y4655" s="4">
        <v>99</v>
      </c>
      <c r="Z4655" s="4">
        <v>14</v>
      </c>
      <c r="AA4655" s="4">
        <v>97</v>
      </c>
      <c r="AB4655" s="4">
        <v>1</v>
      </c>
      <c r="AC4655" s="4">
        <v>17</v>
      </c>
      <c r="AD4655" s="4">
        <v>45</v>
      </c>
      <c r="AE4655" s="4">
        <v>117</v>
      </c>
      <c r="AF4655" s="4">
        <v>0</v>
      </c>
      <c r="AG4655" s="4">
        <v>8</v>
      </c>
      <c r="AH4655" s="4">
        <v>40</v>
      </c>
      <c r="AI4655" s="4">
        <v>81</v>
      </c>
      <c r="AJ4655" s="4">
        <v>10</v>
      </c>
      <c r="AK4655" s="4">
        <v>23</v>
      </c>
      <c r="AL4655" s="4">
        <v>28</v>
      </c>
      <c r="AM4655" s="4">
        <v>44</v>
      </c>
      <c r="AN4655" s="4">
        <v>0</v>
      </c>
      <c r="AO4655" s="4">
        <v>0</v>
      </c>
      <c r="AP4655" s="4">
        <v>12</v>
      </c>
      <c r="AQ4655" s="4">
        <v>44</v>
      </c>
      <c r="AR4655" s="3" t="s">
        <v>62</v>
      </c>
      <c r="AS4655" s="3" t="s">
        <v>62</v>
      </c>
      <c r="AT4655" s="3" t="s">
        <v>62</v>
      </c>
      <c r="AV4655" s="6" t="str">
        <f>HYPERLINK("http://mcgill.on.worldcat.org/oclc/466773791","Catalog Record")</f>
        <v>Catalog Record</v>
      </c>
      <c r="AW4655" s="6" t="str">
        <f>HYPERLINK("http://www.worldcat.org/oclc/466773791","WorldCat Record")</f>
        <v>WorldCat Record</v>
      </c>
      <c r="AX4655" s="3" t="s">
        <v>44543</v>
      </c>
      <c r="AY4655" s="3" t="s">
        <v>44544</v>
      </c>
      <c r="AZ4655" s="3" t="s">
        <v>44545</v>
      </c>
      <c r="BA4655" s="3" t="s">
        <v>44545</v>
      </c>
      <c r="BB4655" s="3" t="s">
        <v>44546</v>
      </c>
      <c r="BC4655" s="3" t="s">
        <v>142</v>
      </c>
      <c r="BD4655" s="3" t="s">
        <v>68</v>
      </c>
      <c r="BE4655" s="3" t="s">
        <v>44547</v>
      </c>
      <c r="BF4655" s="3" t="s">
        <v>44546</v>
      </c>
      <c r="BG4655" s="3" t="s">
        <v>44548</v>
      </c>
    </row>
    <row r="4656" spans="1:59" ht="57" x14ac:dyDescent="0.45">
      <c r="A4656" s="2" t="s">
        <v>59</v>
      </c>
      <c r="B4656" s="2" t="s">
        <v>60</v>
      </c>
      <c r="C4656" s="2" t="s">
        <v>44549</v>
      </c>
      <c r="D4656" s="2" t="s">
        <v>44550</v>
      </c>
      <c r="E4656" s="2" t="s">
        <v>44551</v>
      </c>
      <c r="G4656" s="3" t="s">
        <v>62</v>
      </c>
      <c r="I4656" s="3" t="s">
        <v>62</v>
      </c>
      <c r="J4656" s="3" t="s">
        <v>62</v>
      </c>
      <c r="K4656" s="3" t="s">
        <v>63</v>
      </c>
      <c r="L4656" s="2" t="s">
        <v>44552</v>
      </c>
      <c r="M4656" s="2" t="s">
        <v>44553</v>
      </c>
      <c r="N4656" s="3" t="s">
        <v>181</v>
      </c>
      <c r="P4656" s="3" t="s">
        <v>65</v>
      </c>
      <c r="Q4656" s="2" t="s">
        <v>44554</v>
      </c>
      <c r="R4656" s="3" t="s">
        <v>66</v>
      </c>
      <c r="S4656" s="4">
        <v>0</v>
      </c>
      <c r="T4656" s="4">
        <v>0</v>
      </c>
      <c r="W4656" s="5" t="s">
        <v>67</v>
      </c>
      <c r="X4656" s="5" t="s">
        <v>67</v>
      </c>
      <c r="Y4656" s="4">
        <v>118</v>
      </c>
      <c r="Z4656" s="4">
        <v>12</v>
      </c>
      <c r="AA4656" s="4">
        <v>16</v>
      </c>
      <c r="AB4656" s="4">
        <v>1</v>
      </c>
      <c r="AC4656" s="4">
        <v>3</v>
      </c>
      <c r="AD4656" s="4">
        <v>58</v>
      </c>
      <c r="AE4656" s="4">
        <v>62</v>
      </c>
      <c r="AF4656" s="4">
        <v>0</v>
      </c>
      <c r="AG4656" s="4">
        <v>1</v>
      </c>
      <c r="AH4656" s="4">
        <v>50</v>
      </c>
      <c r="AI4656" s="4">
        <v>53</v>
      </c>
      <c r="AJ4656" s="4">
        <v>9</v>
      </c>
      <c r="AK4656" s="4">
        <v>12</v>
      </c>
      <c r="AL4656" s="4">
        <v>38</v>
      </c>
      <c r="AM4656" s="4">
        <v>39</v>
      </c>
      <c r="AN4656" s="4">
        <v>0</v>
      </c>
      <c r="AO4656" s="4">
        <v>0</v>
      </c>
      <c r="AP4656" s="4">
        <v>10</v>
      </c>
      <c r="AQ4656" s="4">
        <v>12</v>
      </c>
      <c r="AR4656" s="3" t="s">
        <v>62</v>
      </c>
      <c r="AS4656" s="3" t="s">
        <v>62</v>
      </c>
      <c r="AT4656" s="3" t="s">
        <v>62</v>
      </c>
      <c r="AV4656" s="6" t="str">
        <f>HYPERLINK("http://mcgill.on.worldcat.org/oclc/907810885","Catalog Record")</f>
        <v>Catalog Record</v>
      </c>
      <c r="AW4656" s="6" t="str">
        <f>HYPERLINK("http://www.worldcat.org/oclc/907810885","WorldCat Record")</f>
        <v>WorldCat Record</v>
      </c>
      <c r="AX4656" s="3" t="s">
        <v>44555</v>
      </c>
      <c r="AY4656" s="3" t="s">
        <v>44556</v>
      </c>
      <c r="AZ4656" s="3" t="s">
        <v>44557</v>
      </c>
      <c r="BA4656" s="3" t="s">
        <v>44557</v>
      </c>
      <c r="BB4656" s="3" t="s">
        <v>44558</v>
      </c>
      <c r="BC4656" s="3" t="s">
        <v>142</v>
      </c>
      <c r="BD4656" s="3" t="s">
        <v>68</v>
      </c>
      <c r="BE4656" s="3" t="s">
        <v>44559</v>
      </c>
      <c r="BF4656" s="3" t="s">
        <v>44558</v>
      </c>
      <c r="BG4656" s="3" t="s">
        <v>44560</v>
      </c>
    </row>
    <row r="4657" spans="1:59" ht="57" x14ac:dyDescent="0.45">
      <c r="A4657" s="2" t="s">
        <v>59</v>
      </c>
      <c r="B4657" s="2" t="s">
        <v>60</v>
      </c>
      <c r="C4657" s="2" t="s">
        <v>44561</v>
      </c>
      <c r="D4657" s="2" t="s">
        <v>44562</v>
      </c>
      <c r="E4657" s="2" t="s">
        <v>44563</v>
      </c>
      <c r="G4657" s="3" t="s">
        <v>62</v>
      </c>
      <c r="I4657" s="3" t="s">
        <v>62</v>
      </c>
      <c r="J4657" s="3" t="s">
        <v>62</v>
      </c>
      <c r="K4657" s="3" t="s">
        <v>63</v>
      </c>
      <c r="L4657" s="2" t="s">
        <v>44564</v>
      </c>
      <c r="M4657" s="2" t="s">
        <v>44565</v>
      </c>
      <c r="N4657" s="3" t="s">
        <v>2417</v>
      </c>
      <c r="P4657" s="3" t="s">
        <v>65</v>
      </c>
      <c r="R4657" s="3" t="s">
        <v>66</v>
      </c>
      <c r="S4657" s="4">
        <v>42</v>
      </c>
      <c r="T4657" s="4">
        <v>42</v>
      </c>
      <c r="U4657" s="5" t="s">
        <v>4431</v>
      </c>
      <c r="V4657" s="5" t="s">
        <v>4431</v>
      </c>
      <c r="W4657" s="5" t="s">
        <v>67</v>
      </c>
      <c r="X4657" s="5" t="s">
        <v>67</v>
      </c>
      <c r="Y4657" s="4">
        <v>347</v>
      </c>
      <c r="Z4657" s="4">
        <v>28</v>
      </c>
      <c r="AA4657" s="4">
        <v>105</v>
      </c>
      <c r="AB4657" s="4">
        <v>2</v>
      </c>
      <c r="AC4657" s="4">
        <v>21</v>
      </c>
      <c r="AD4657" s="4">
        <v>121</v>
      </c>
      <c r="AE4657" s="4">
        <v>157</v>
      </c>
      <c r="AF4657" s="4">
        <v>0</v>
      </c>
      <c r="AG4657" s="4">
        <v>8</v>
      </c>
      <c r="AH4657" s="4">
        <v>109</v>
      </c>
      <c r="AI4657" s="4">
        <v>116</v>
      </c>
      <c r="AJ4657" s="4">
        <v>17</v>
      </c>
      <c r="AK4657" s="4">
        <v>27</v>
      </c>
      <c r="AL4657" s="4">
        <v>57</v>
      </c>
      <c r="AM4657" s="4">
        <v>59</v>
      </c>
      <c r="AN4657" s="4">
        <v>0</v>
      </c>
      <c r="AO4657" s="4">
        <v>0</v>
      </c>
      <c r="AP4657" s="4">
        <v>22</v>
      </c>
      <c r="AQ4657" s="4">
        <v>52</v>
      </c>
      <c r="AR4657" s="3" t="s">
        <v>62</v>
      </c>
      <c r="AS4657" s="3" t="s">
        <v>62</v>
      </c>
      <c r="AT4657" s="3" t="s">
        <v>62</v>
      </c>
      <c r="AV4657" s="6" t="str">
        <f>HYPERLINK("http://mcgill.on.worldcat.org/oclc/16525266","Catalog Record")</f>
        <v>Catalog Record</v>
      </c>
      <c r="AW4657" s="6" t="str">
        <f>HYPERLINK("http://www.worldcat.org/oclc/16525266","WorldCat Record")</f>
        <v>WorldCat Record</v>
      </c>
      <c r="AX4657" s="3" t="s">
        <v>44566</v>
      </c>
      <c r="AY4657" s="3" t="s">
        <v>44567</v>
      </c>
      <c r="AZ4657" s="3" t="s">
        <v>44568</v>
      </c>
      <c r="BA4657" s="3" t="s">
        <v>44568</v>
      </c>
      <c r="BB4657" s="3" t="s">
        <v>44569</v>
      </c>
      <c r="BC4657" s="3" t="s">
        <v>142</v>
      </c>
      <c r="BD4657" s="3" t="s">
        <v>68</v>
      </c>
      <c r="BE4657" s="3" t="s">
        <v>44570</v>
      </c>
      <c r="BF4657" s="3" t="s">
        <v>44569</v>
      </c>
      <c r="BG4657" s="3" t="s">
        <v>44571</v>
      </c>
    </row>
    <row r="4658" spans="1:59" ht="57" x14ac:dyDescent="0.45">
      <c r="A4658" s="2" t="s">
        <v>59</v>
      </c>
      <c r="B4658" s="2" t="s">
        <v>60</v>
      </c>
      <c r="C4658" s="2" t="s">
        <v>44572</v>
      </c>
      <c r="D4658" s="2" t="s">
        <v>44573</v>
      </c>
      <c r="E4658" s="2" t="s">
        <v>44574</v>
      </c>
      <c r="G4658" s="3" t="s">
        <v>62</v>
      </c>
      <c r="I4658" s="3" t="s">
        <v>62</v>
      </c>
      <c r="J4658" s="3" t="s">
        <v>62</v>
      </c>
      <c r="K4658" s="3" t="s">
        <v>63</v>
      </c>
      <c r="L4658" s="2" t="s">
        <v>44575</v>
      </c>
      <c r="M4658" s="2" t="s">
        <v>44576</v>
      </c>
      <c r="N4658" s="3" t="s">
        <v>918</v>
      </c>
      <c r="P4658" s="3" t="s">
        <v>65</v>
      </c>
      <c r="Q4658" s="2" t="s">
        <v>44577</v>
      </c>
      <c r="R4658" s="3" t="s">
        <v>66</v>
      </c>
      <c r="S4658" s="4">
        <v>5</v>
      </c>
      <c r="T4658" s="4">
        <v>5</v>
      </c>
      <c r="U4658" s="5" t="s">
        <v>35686</v>
      </c>
      <c r="V4658" s="5" t="s">
        <v>35686</v>
      </c>
      <c r="W4658" s="5" t="s">
        <v>67</v>
      </c>
      <c r="X4658" s="5" t="s">
        <v>67</v>
      </c>
      <c r="Y4658" s="4">
        <v>226</v>
      </c>
      <c r="Z4658" s="4">
        <v>20</v>
      </c>
      <c r="AA4658" s="4">
        <v>22</v>
      </c>
      <c r="AB4658" s="4">
        <v>2</v>
      </c>
      <c r="AC4658" s="4">
        <v>4</v>
      </c>
      <c r="AD4658" s="4">
        <v>79</v>
      </c>
      <c r="AE4658" s="4">
        <v>82</v>
      </c>
      <c r="AF4658" s="4">
        <v>1</v>
      </c>
      <c r="AG4658" s="4">
        <v>3</v>
      </c>
      <c r="AH4658" s="4">
        <v>70</v>
      </c>
      <c r="AI4658" s="4">
        <v>72</v>
      </c>
      <c r="AJ4658" s="4">
        <v>12</v>
      </c>
      <c r="AK4658" s="4">
        <v>14</v>
      </c>
      <c r="AL4658" s="4">
        <v>36</v>
      </c>
      <c r="AM4658" s="4">
        <v>36</v>
      </c>
      <c r="AN4658" s="4">
        <v>0</v>
      </c>
      <c r="AO4658" s="4">
        <v>0</v>
      </c>
      <c r="AP4658" s="4">
        <v>17</v>
      </c>
      <c r="AQ4658" s="4">
        <v>19</v>
      </c>
      <c r="AR4658" s="3" t="s">
        <v>62</v>
      </c>
      <c r="AS4658" s="3" t="s">
        <v>62</v>
      </c>
      <c r="AT4658" s="3" t="s">
        <v>62</v>
      </c>
      <c r="AV4658" s="6" t="str">
        <f>HYPERLINK("http://mcgill.on.worldcat.org/oclc/50143864","Catalog Record")</f>
        <v>Catalog Record</v>
      </c>
      <c r="AW4658" s="6" t="str">
        <f>HYPERLINK("http://www.worldcat.org/oclc/50143864","WorldCat Record")</f>
        <v>WorldCat Record</v>
      </c>
      <c r="AX4658" s="3" t="s">
        <v>44578</v>
      </c>
      <c r="AY4658" s="3" t="s">
        <v>44579</v>
      </c>
      <c r="AZ4658" s="3" t="s">
        <v>44580</v>
      </c>
      <c r="BA4658" s="3" t="s">
        <v>44580</v>
      </c>
      <c r="BB4658" s="3" t="s">
        <v>44581</v>
      </c>
      <c r="BC4658" s="3" t="s">
        <v>142</v>
      </c>
      <c r="BD4658" s="3" t="s">
        <v>68</v>
      </c>
      <c r="BE4658" s="3" t="s">
        <v>44582</v>
      </c>
      <c r="BF4658" s="3" t="s">
        <v>44581</v>
      </c>
      <c r="BG4658" s="3" t="s">
        <v>44583</v>
      </c>
    </row>
    <row r="4659" spans="1:59" ht="71.25" x14ac:dyDescent="0.45">
      <c r="A4659" s="2" t="s">
        <v>59</v>
      </c>
      <c r="B4659" s="2" t="s">
        <v>60</v>
      </c>
      <c r="C4659" s="2" t="s">
        <v>44584</v>
      </c>
      <c r="D4659" s="2" t="s">
        <v>44585</v>
      </c>
      <c r="E4659" s="2" t="s">
        <v>44586</v>
      </c>
      <c r="G4659" s="3" t="s">
        <v>62</v>
      </c>
      <c r="I4659" s="3" t="s">
        <v>62</v>
      </c>
      <c r="J4659" s="3" t="s">
        <v>62</v>
      </c>
      <c r="K4659" s="3" t="s">
        <v>63</v>
      </c>
      <c r="L4659" s="2" t="s">
        <v>44587</v>
      </c>
      <c r="M4659" s="2" t="s">
        <v>44588</v>
      </c>
      <c r="N4659" s="3" t="s">
        <v>1253</v>
      </c>
      <c r="P4659" s="3" t="s">
        <v>65</v>
      </c>
      <c r="Q4659" s="2" t="s">
        <v>44589</v>
      </c>
      <c r="R4659" s="3" t="s">
        <v>66</v>
      </c>
      <c r="S4659" s="4">
        <v>2</v>
      </c>
      <c r="T4659" s="4">
        <v>2</v>
      </c>
      <c r="U4659" s="5" t="s">
        <v>14361</v>
      </c>
      <c r="V4659" s="5" t="s">
        <v>14361</v>
      </c>
      <c r="W4659" s="5" t="s">
        <v>67</v>
      </c>
      <c r="X4659" s="5" t="s">
        <v>67</v>
      </c>
      <c r="Y4659" s="4">
        <v>160</v>
      </c>
      <c r="Z4659" s="4">
        <v>11</v>
      </c>
      <c r="AA4659" s="4">
        <v>11</v>
      </c>
      <c r="AB4659" s="4">
        <v>1</v>
      </c>
      <c r="AC4659" s="4">
        <v>1</v>
      </c>
      <c r="AD4659" s="4">
        <v>65</v>
      </c>
      <c r="AE4659" s="4">
        <v>65</v>
      </c>
      <c r="AF4659" s="4">
        <v>0</v>
      </c>
      <c r="AG4659" s="4">
        <v>0</v>
      </c>
      <c r="AH4659" s="4">
        <v>60</v>
      </c>
      <c r="AI4659" s="4">
        <v>60</v>
      </c>
      <c r="AJ4659" s="4">
        <v>9</v>
      </c>
      <c r="AK4659" s="4">
        <v>9</v>
      </c>
      <c r="AL4659" s="4">
        <v>38</v>
      </c>
      <c r="AM4659" s="4">
        <v>38</v>
      </c>
      <c r="AN4659" s="4">
        <v>0</v>
      </c>
      <c r="AO4659" s="4">
        <v>0</v>
      </c>
      <c r="AP4659" s="4">
        <v>9</v>
      </c>
      <c r="AQ4659" s="4">
        <v>9</v>
      </c>
      <c r="AR4659" s="3" t="s">
        <v>62</v>
      </c>
      <c r="AS4659" s="3" t="s">
        <v>62</v>
      </c>
      <c r="AT4659" s="3" t="s">
        <v>61</v>
      </c>
      <c r="AU4659" s="6" t="str">
        <f>HYPERLINK("http://catalog.hathitrust.org/Record/007146955","HathiTrust Record")</f>
        <v>HathiTrust Record</v>
      </c>
      <c r="AV4659" s="6" t="str">
        <f>HYPERLINK("http://mcgill.on.worldcat.org/oclc/35919336","Catalog Record")</f>
        <v>Catalog Record</v>
      </c>
      <c r="AW4659" s="6" t="str">
        <f>HYPERLINK("http://www.worldcat.org/oclc/35919336","WorldCat Record")</f>
        <v>WorldCat Record</v>
      </c>
      <c r="AX4659" s="3" t="s">
        <v>44590</v>
      </c>
      <c r="AY4659" s="3" t="s">
        <v>44591</v>
      </c>
      <c r="AZ4659" s="3" t="s">
        <v>44592</v>
      </c>
      <c r="BA4659" s="3" t="s">
        <v>44592</v>
      </c>
      <c r="BB4659" s="3" t="s">
        <v>44593</v>
      </c>
      <c r="BC4659" s="3" t="s">
        <v>142</v>
      </c>
      <c r="BD4659" s="3" t="s">
        <v>68</v>
      </c>
      <c r="BE4659" s="3" t="s">
        <v>44594</v>
      </c>
      <c r="BF4659" s="3" t="s">
        <v>44593</v>
      </c>
      <c r="BG4659" s="3" t="s">
        <v>44595</v>
      </c>
    </row>
    <row r="4660" spans="1:59" ht="57" x14ac:dyDescent="0.45">
      <c r="A4660" s="2" t="s">
        <v>59</v>
      </c>
      <c r="B4660" s="2" t="s">
        <v>60</v>
      </c>
      <c r="C4660" s="2" t="s">
        <v>44596</v>
      </c>
      <c r="D4660" s="2" t="s">
        <v>44597</v>
      </c>
      <c r="E4660" s="2" t="s">
        <v>44598</v>
      </c>
      <c r="G4660" s="3" t="s">
        <v>62</v>
      </c>
      <c r="I4660" s="3" t="s">
        <v>62</v>
      </c>
      <c r="J4660" s="3" t="s">
        <v>62</v>
      </c>
      <c r="K4660" s="3" t="s">
        <v>63</v>
      </c>
      <c r="M4660" s="2" t="s">
        <v>41729</v>
      </c>
      <c r="N4660" s="3" t="s">
        <v>208</v>
      </c>
      <c r="P4660" s="3" t="s">
        <v>65</v>
      </c>
      <c r="Q4660" s="2" t="s">
        <v>44599</v>
      </c>
      <c r="R4660" s="3" t="s">
        <v>66</v>
      </c>
      <c r="S4660" s="4">
        <v>0</v>
      </c>
      <c r="T4660" s="4">
        <v>0</v>
      </c>
      <c r="W4660" s="5" t="s">
        <v>67</v>
      </c>
      <c r="X4660" s="5" t="s">
        <v>67</v>
      </c>
      <c r="Y4660" s="4">
        <v>67</v>
      </c>
      <c r="Z4660" s="4">
        <v>8</v>
      </c>
      <c r="AA4660" s="4">
        <v>78</v>
      </c>
      <c r="AB4660" s="4">
        <v>1</v>
      </c>
      <c r="AC4660" s="4">
        <v>15</v>
      </c>
      <c r="AD4660" s="4">
        <v>39</v>
      </c>
      <c r="AE4660" s="4">
        <v>114</v>
      </c>
      <c r="AF4660" s="4">
        <v>0</v>
      </c>
      <c r="AG4660" s="4">
        <v>8</v>
      </c>
      <c r="AH4660" s="4">
        <v>36</v>
      </c>
      <c r="AI4660" s="4">
        <v>80</v>
      </c>
      <c r="AJ4660" s="4">
        <v>6</v>
      </c>
      <c r="AK4660" s="4">
        <v>22</v>
      </c>
      <c r="AL4660" s="4">
        <v>25</v>
      </c>
      <c r="AM4660" s="4">
        <v>43</v>
      </c>
      <c r="AN4660" s="4">
        <v>0</v>
      </c>
      <c r="AO4660" s="4">
        <v>0</v>
      </c>
      <c r="AP4660" s="4">
        <v>6</v>
      </c>
      <c r="AQ4660" s="4">
        <v>42</v>
      </c>
      <c r="AR4660" s="3" t="s">
        <v>62</v>
      </c>
      <c r="AS4660" s="3" t="s">
        <v>62</v>
      </c>
      <c r="AT4660" s="3" t="s">
        <v>62</v>
      </c>
      <c r="AV4660" s="6" t="str">
        <f>HYPERLINK("http://mcgill.on.worldcat.org/oclc/894557599","Catalog Record")</f>
        <v>Catalog Record</v>
      </c>
      <c r="AW4660" s="6" t="str">
        <f>HYPERLINK("http://www.worldcat.org/oclc/894557599","WorldCat Record")</f>
        <v>WorldCat Record</v>
      </c>
      <c r="AX4660" s="3" t="s">
        <v>44600</v>
      </c>
      <c r="AY4660" s="3" t="s">
        <v>44601</v>
      </c>
      <c r="AZ4660" s="3" t="s">
        <v>44602</v>
      </c>
      <c r="BA4660" s="3" t="s">
        <v>44602</v>
      </c>
      <c r="BB4660" s="3" t="s">
        <v>44603</v>
      </c>
      <c r="BC4660" s="3" t="s">
        <v>142</v>
      </c>
      <c r="BD4660" s="3" t="s">
        <v>68</v>
      </c>
      <c r="BE4660" s="3" t="s">
        <v>44604</v>
      </c>
      <c r="BF4660" s="3" t="s">
        <v>44603</v>
      </c>
      <c r="BG4660" s="3" t="s">
        <v>44605</v>
      </c>
    </row>
    <row r="4661" spans="1:59" ht="57" x14ac:dyDescent="0.45">
      <c r="A4661" s="2" t="s">
        <v>59</v>
      </c>
      <c r="B4661" s="2" t="s">
        <v>60</v>
      </c>
      <c r="C4661" s="2" t="s">
        <v>44606</v>
      </c>
      <c r="D4661" s="2" t="s">
        <v>44607</v>
      </c>
      <c r="E4661" s="2" t="s">
        <v>44608</v>
      </c>
      <c r="G4661" s="3" t="s">
        <v>62</v>
      </c>
      <c r="I4661" s="3" t="s">
        <v>62</v>
      </c>
      <c r="J4661" s="3" t="s">
        <v>62</v>
      </c>
      <c r="K4661" s="3" t="s">
        <v>63</v>
      </c>
      <c r="L4661" s="2" t="s">
        <v>44609</v>
      </c>
      <c r="M4661" s="2" t="s">
        <v>44610</v>
      </c>
      <c r="N4661" s="3" t="s">
        <v>116</v>
      </c>
      <c r="P4661" s="3" t="s">
        <v>65</v>
      </c>
      <c r="Q4661" s="2" t="s">
        <v>44611</v>
      </c>
      <c r="R4661" s="3" t="s">
        <v>66</v>
      </c>
      <c r="S4661" s="4">
        <v>5</v>
      </c>
      <c r="T4661" s="4">
        <v>5</v>
      </c>
      <c r="U4661" s="5" t="s">
        <v>44612</v>
      </c>
      <c r="V4661" s="5" t="s">
        <v>44612</v>
      </c>
      <c r="W4661" s="5" t="s">
        <v>67</v>
      </c>
      <c r="X4661" s="5" t="s">
        <v>67</v>
      </c>
      <c r="Y4661" s="4">
        <v>98</v>
      </c>
      <c r="Z4661" s="4">
        <v>16</v>
      </c>
      <c r="AA4661" s="4">
        <v>99</v>
      </c>
      <c r="AB4661" s="4">
        <v>1</v>
      </c>
      <c r="AC4661" s="4">
        <v>14</v>
      </c>
      <c r="AD4661" s="4">
        <v>39</v>
      </c>
      <c r="AE4661" s="4">
        <v>109</v>
      </c>
      <c r="AF4661" s="4">
        <v>0</v>
      </c>
      <c r="AG4661" s="4">
        <v>8</v>
      </c>
      <c r="AH4661" s="4">
        <v>34</v>
      </c>
      <c r="AI4661" s="4">
        <v>74</v>
      </c>
      <c r="AJ4661" s="4">
        <v>12</v>
      </c>
      <c r="AK4661" s="4">
        <v>22</v>
      </c>
      <c r="AL4661" s="4">
        <v>23</v>
      </c>
      <c r="AM4661" s="4">
        <v>39</v>
      </c>
      <c r="AN4661" s="4">
        <v>0</v>
      </c>
      <c r="AO4661" s="4">
        <v>0</v>
      </c>
      <c r="AP4661" s="4">
        <v>12</v>
      </c>
      <c r="AQ4661" s="4">
        <v>42</v>
      </c>
      <c r="AR4661" s="3" t="s">
        <v>62</v>
      </c>
      <c r="AS4661" s="3" t="s">
        <v>62</v>
      </c>
      <c r="AT4661" s="3" t="s">
        <v>62</v>
      </c>
      <c r="AV4661" s="6" t="str">
        <f>HYPERLINK("http://mcgill.on.worldcat.org/oclc/826293754","Catalog Record")</f>
        <v>Catalog Record</v>
      </c>
      <c r="AW4661" s="6" t="str">
        <f>HYPERLINK("http://www.worldcat.org/oclc/826293754","WorldCat Record")</f>
        <v>WorldCat Record</v>
      </c>
      <c r="AX4661" s="3" t="s">
        <v>44613</v>
      </c>
      <c r="AY4661" s="3" t="s">
        <v>44614</v>
      </c>
      <c r="AZ4661" s="3" t="s">
        <v>44615</v>
      </c>
      <c r="BA4661" s="3" t="s">
        <v>44615</v>
      </c>
      <c r="BB4661" s="3" t="s">
        <v>44616</v>
      </c>
      <c r="BC4661" s="3" t="s">
        <v>142</v>
      </c>
      <c r="BD4661" s="3" t="s">
        <v>68</v>
      </c>
      <c r="BE4661" s="3" t="s">
        <v>44617</v>
      </c>
      <c r="BF4661" s="3" t="s">
        <v>44616</v>
      </c>
      <c r="BG4661" s="3" t="s">
        <v>44618</v>
      </c>
    </row>
    <row r="4662" spans="1:59" ht="57" x14ac:dyDescent="0.45">
      <c r="A4662" s="2" t="s">
        <v>59</v>
      </c>
      <c r="B4662" s="2" t="s">
        <v>60</v>
      </c>
      <c r="C4662" s="2" t="s">
        <v>44619</v>
      </c>
      <c r="D4662" s="2" t="s">
        <v>44620</v>
      </c>
      <c r="E4662" s="2" t="s">
        <v>44621</v>
      </c>
      <c r="G4662" s="3" t="s">
        <v>62</v>
      </c>
      <c r="I4662" s="3" t="s">
        <v>62</v>
      </c>
      <c r="J4662" s="3" t="s">
        <v>62</v>
      </c>
      <c r="K4662" s="3" t="s">
        <v>63</v>
      </c>
      <c r="M4662" s="2" t="s">
        <v>44622</v>
      </c>
      <c r="N4662" s="3" t="s">
        <v>1212</v>
      </c>
      <c r="P4662" s="3" t="s">
        <v>65</v>
      </c>
      <c r="Q4662" s="2" t="s">
        <v>44623</v>
      </c>
      <c r="R4662" s="3" t="s">
        <v>66</v>
      </c>
      <c r="S4662" s="4">
        <v>22</v>
      </c>
      <c r="T4662" s="4">
        <v>22</v>
      </c>
      <c r="U4662" s="5" t="s">
        <v>44624</v>
      </c>
      <c r="V4662" s="5" t="s">
        <v>44624</v>
      </c>
      <c r="W4662" s="5" t="s">
        <v>67</v>
      </c>
      <c r="X4662" s="5" t="s">
        <v>67</v>
      </c>
      <c r="Y4662" s="4">
        <v>299</v>
      </c>
      <c r="Z4662" s="4">
        <v>31</v>
      </c>
      <c r="AA4662" s="4">
        <v>32</v>
      </c>
      <c r="AB4662" s="4">
        <v>2</v>
      </c>
      <c r="AC4662" s="4">
        <v>3</v>
      </c>
      <c r="AD4662" s="4">
        <v>110</v>
      </c>
      <c r="AE4662" s="4">
        <v>112</v>
      </c>
      <c r="AF4662" s="4">
        <v>1</v>
      </c>
      <c r="AG4662" s="4">
        <v>2</v>
      </c>
      <c r="AH4662" s="4">
        <v>91</v>
      </c>
      <c r="AI4662" s="4">
        <v>93</v>
      </c>
      <c r="AJ4662" s="4">
        <v>18</v>
      </c>
      <c r="AK4662" s="4">
        <v>19</v>
      </c>
      <c r="AL4662" s="4">
        <v>48</v>
      </c>
      <c r="AM4662" s="4">
        <v>49</v>
      </c>
      <c r="AN4662" s="4">
        <v>0</v>
      </c>
      <c r="AO4662" s="4">
        <v>0</v>
      </c>
      <c r="AP4662" s="4">
        <v>26</v>
      </c>
      <c r="AQ4662" s="4">
        <v>27</v>
      </c>
      <c r="AR4662" s="3" t="s">
        <v>62</v>
      </c>
      <c r="AS4662" s="3" t="s">
        <v>62</v>
      </c>
      <c r="AT4662" s="3" t="s">
        <v>61</v>
      </c>
      <c r="AU4662" s="6" t="str">
        <f>HYPERLINK("http://catalog.hathitrust.org/Record/004120878","HathiTrust Record")</f>
        <v>HathiTrust Record</v>
      </c>
      <c r="AV4662" s="6" t="str">
        <f>HYPERLINK("http://mcgill.on.worldcat.org/oclc/42060936","Catalog Record")</f>
        <v>Catalog Record</v>
      </c>
      <c r="AW4662" s="6" t="str">
        <f>HYPERLINK("http://www.worldcat.org/oclc/42060936","WorldCat Record")</f>
        <v>WorldCat Record</v>
      </c>
      <c r="AX4662" s="3" t="s">
        <v>44625</v>
      </c>
      <c r="AY4662" s="3" t="s">
        <v>44626</v>
      </c>
      <c r="AZ4662" s="3" t="s">
        <v>44627</v>
      </c>
      <c r="BA4662" s="3" t="s">
        <v>44627</v>
      </c>
      <c r="BB4662" s="3" t="s">
        <v>44628</v>
      </c>
      <c r="BC4662" s="3" t="s">
        <v>142</v>
      </c>
      <c r="BD4662" s="3" t="s">
        <v>68</v>
      </c>
      <c r="BE4662" s="3" t="s">
        <v>44629</v>
      </c>
      <c r="BF4662" s="3" t="s">
        <v>44628</v>
      </c>
      <c r="BG4662" s="3" t="s">
        <v>44630</v>
      </c>
    </row>
    <row r="4663" spans="1:59" ht="57" x14ac:dyDescent="0.45">
      <c r="A4663" s="2" t="s">
        <v>59</v>
      </c>
      <c r="B4663" s="2" t="s">
        <v>60</v>
      </c>
      <c r="C4663" s="2" t="s">
        <v>44631</v>
      </c>
      <c r="D4663" s="2" t="s">
        <v>44632</v>
      </c>
      <c r="E4663" s="2" t="s">
        <v>44633</v>
      </c>
      <c r="G4663" s="3" t="s">
        <v>62</v>
      </c>
      <c r="I4663" s="3" t="s">
        <v>62</v>
      </c>
      <c r="J4663" s="3" t="s">
        <v>62</v>
      </c>
      <c r="K4663" s="3" t="s">
        <v>63</v>
      </c>
      <c r="M4663" s="2" t="s">
        <v>44634</v>
      </c>
      <c r="N4663" s="3" t="s">
        <v>208</v>
      </c>
      <c r="P4663" s="3" t="s">
        <v>65</v>
      </c>
      <c r="Q4663" s="2" t="s">
        <v>44635</v>
      </c>
      <c r="R4663" s="3" t="s">
        <v>66</v>
      </c>
      <c r="S4663" s="4">
        <v>0</v>
      </c>
      <c r="T4663" s="4">
        <v>0</v>
      </c>
      <c r="W4663" s="5" t="s">
        <v>67</v>
      </c>
      <c r="X4663" s="5" t="s">
        <v>67</v>
      </c>
      <c r="Y4663" s="4">
        <v>62</v>
      </c>
      <c r="Z4663" s="4">
        <v>3</v>
      </c>
      <c r="AA4663" s="4">
        <v>6</v>
      </c>
      <c r="AB4663" s="4">
        <v>1</v>
      </c>
      <c r="AC4663" s="4">
        <v>4</v>
      </c>
      <c r="AD4663" s="4">
        <v>34</v>
      </c>
      <c r="AE4663" s="4">
        <v>40</v>
      </c>
      <c r="AF4663" s="4">
        <v>0</v>
      </c>
      <c r="AG4663" s="4">
        <v>1</v>
      </c>
      <c r="AH4663" s="4">
        <v>33</v>
      </c>
      <c r="AI4663" s="4">
        <v>38</v>
      </c>
      <c r="AJ4663" s="4">
        <v>2</v>
      </c>
      <c r="AK4663" s="4">
        <v>3</v>
      </c>
      <c r="AL4663" s="4">
        <v>25</v>
      </c>
      <c r="AM4663" s="4">
        <v>27</v>
      </c>
      <c r="AN4663" s="4">
        <v>0</v>
      </c>
      <c r="AO4663" s="4">
        <v>0</v>
      </c>
      <c r="AP4663" s="4">
        <v>2</v>
      </c>
      <c r="AQ4663" s="4">
        <v>2</v>
      </c>
      <c r="AR4663" s="3" t="s">
        <v>62</v>
      </c>
      <c r="AS4663" s="3" t="s">
        <v>62</v>
      </c>
      <c r="AT4663" s="3" t="s">
        <v>62</v>
      </c>
      <c r="AV4663" s="6" t="str">
        <f>HYPERLINK("http://mcgill.on.worldcat.org/oclc/935918928","Catalog Record")</f>
        <v>Catalog Record</v>
      </c>
      <c r="AW4663" s="6" t="str">
        <f>HYPERLINK("http://www.worldcat.org/oclc/935918928","WorldCat Record")</f>
        <v>WorldCat Record</v>
      </c>
      <c r="AX4663" s="3" t="s">
        <v>44636</v>
      </c>
      <c r="AY4663" s="3" t="s">
        <v>44637</v>
      </c>
      <c r="AZ4663" s="3" t="s">
        <v>44638</v>
      </c>
      <c r="BA4663" s="3" t="s">
        <v>44638</v>
      </c>
      <c r="BB4663" s="3" t="s">
        <v>44639</v>
      </c>
      <c r="BC4663" s="3" t="s">
        <v>142</v>
      </c>
      <c r="BD4663" s="3" t="s">
        <v>68</v>
      </c>
      <c r="BE4663" s="3" t="s">
        <v>44640</v>
      </c>
      <c r="BF4663" s="3" t="s">
        <v>44639</v>
      </c>
      <c r="BG4663" s="3" t="s">
        <v>44641</v>
      </c>
    </row>
    <row r="4664" spans="1:59" ht="57" x14ac:dyDescent="0.45">
      <c r="A4664" s="2" t="s">
        <v>59</v>
      </c>
      <c r="B4664" s="2" t="s">
        <v>60</v>
      </c>
      <c r="C4664" s="2" t="s">
        <v>44642</v>
      </c>
      <c r="D4664" s="2" t="s">
        <v>44643</v>
      </c>
      <c r="E4664" s="2" t="s">
        <v>44644</v>
      </c>
      <c r="G4664" s="3" t="s">
        <v>62</v>
      </c>
      <c r="H4664" s="3" t="s">
        <v>3960</v>
      </c>
      <c r="I4664" s="3" t="s">
        <v>62</v>
      </c>
      <c r="J4664" s="3" t="s">
        <v>62</v>
      </c>
      <c r="K4664" s="3" t="s">
        <v>63</v>
      </c>
      <c r="L4664" s="2" t="s">
        <v>44645</v>
      </c>
      <c r="M4664" s="2" t="s">
        <v>44646</v>
      </c>
      <c r="N4664" s="3" t="s">
        <v>44647</v>
      </c>
      <c r="P4664" s="3" t="s">
        <v>65</v>
      </c>
      <c r="Q4664" s="2" t="s">
        <v>44648</v>
      </c>
      <c r="R4664" s="3" t="s">
        <v>66</v>
      </c>
      <c r="S4664" s="4">
        <v>0</v>
      </c>
      <c r="T4664" s="4">
        <v>0</v>
      </c>
      <c r="W4664" s="5" t="s">
        <v>2160</v>
      </c>
      <c r="X4664" s="5" t="s">
        <v>2160</v>
      </c>
      <c r="Y4664" s="4">
        <v>32</v>
      </c>
      <c r="Z4664" s="4">
        <v>3</v>
      </c>
      <c r="AA4664" s="4">
        <v>4</v>
      </c>
      <c r="AB4664" s="4">
        <v>1</v>
      </c>
      <c r="AC4664" s="4">
        <v>2</v>
      </c>
      <c r="AD4664" s="4">
        <v>19</v>
      </c>
      <c r="AE4664" s="4">
        <v>19</v>
      </c>
      <c r="AF4664" s="4">
        <v>0</v>
      </c>
      <c r="AG4664" s="4">
        <v>0</v>
      </c>
      <c r="AH4664" s="4">
        <v>18</v>
      </c>
      <c r="AI4664" s="4">
        <v>18</v>
      </c>
      <c r="AJ4664" s="4">
        <v>2</v>
      </c>
      <c r="AK4664" s="4">
        <v>2</v>
      </c>
      <c r="AL4664" s="4">
        <v>14</v>
      </c>
      <c r="AM4664" s="4">
        <v>14</v>
      </c>
      <c r="AN4664" s="4">
        <v>0</v>
      </c>
      <c r="AO4664" s="4">
        <v>0</v>
      </c>
      <c r="AP4664" s="4">
        <v>2</v>
      </c>
      <c r="AQ4664" s="4">
        <v>2</v>
      </c>
      <c r="AR4664" s="3" t="s">
        <v>62</v>
      </c>
      <c r="AS4664" s="3" t="s">
        <v>62</v>
      </c>
      <c r="AT4664" s="3" t="s">
        <v>62</v>
      </c>
      <c r="AV4664" s="6" t="str">
        <f>HYPERLINK("http://mcgill.on.worldcat.org/oclc/1129482494","Catalog Record")</f>
        <v>Catalog Record</v>
      </c>
      <c r="AW4664" s="6" t="str">
        <f>HYPERLINK("http://www.worldcat.org/oclc/1129482494","WorldCat Record")</f>
        <v>WorldCat Record</v>
      </c>
      <c r="AX4664" s="3" t="s">
        <v>44649</v>
      </c>
      <c r="AY4664" s="3" t="s">
        <v>44650</v>
      </c>
      <c r="AZ4664" s="3" t="s">
        <v>44651</v>
      </c>
      <c r="BA4664" s="3" t="s">
        <v>44651</v>
      </c>
      <c r="BB4664" s="3" t="s">
        <v>44652</v>
      </c>
      <c r="BC4664" s="3" t="s">
        <v>142</v>
      </c>
      <c r="BD4664" s="3" t="s">
        <v>68</v>
      </c>
      <c r="BE4664" s="3" t="s">
        <v>44653</v>
      </c>
      <c r="BF4664" s="3" t="s">
        <v>44652</v>
      </c>
      <c r="BG4664" s="3" t="s">
        <v>44654</v>
      </c>
    </row>
    <row r="4665" spans="1:59" ht="57" x14ac:dyDescent="0.45">
      <c r="A4665" s="2" t="s">
        <v>59</v>
      </c>
      <c r="B4665" s="2" t="s">
        <v>60</v>
      </c>
      <c r="C4665" s="2" t="s">
        <v>44655</v>
      </c>
      <c r="D4665" s="2" t="s">
        <v>44656</v>
      </c>
      <c r="E4665" s="2" t="s">
        <v>44657</v>
      </c>
      <c r="G4665" s="3" t="s">
        <v>62</v>
      </c>
      <c r="I4665" s="3" t="s">
        <v>62</v>
      </c>
      <c r="J4665" s="3" t="s">
        <v>62</v>
      </c>
      <c r="K4665" s="3" t="s">
        <v>63</v>
      </c>
      <c r="L4665" s="2" t="s">
        <v>44658</v>
      </c>
      <c r="M4665" s="2" t="s">
        <v>44659</v>
      </c>
      <c r="N4665" s="3" t="s">
        <v>918</v>
      </c>
      <c r="P4665" s="3" t="s">
        <v>65</v>
      </c>
      <c r="Q4665" s="2" t="s">
        <v>44439</v>
      </c>
      <c r="R4665" s="3" t="s">
        <v>66</v>
      </c>
      <c r="S4665" s="4">
        <v>13</v>
      </c>
      <c r="T4665" s="4">
        <v>13</v>
      </c>
      <c r="U4665" s="5" t="s">
        <v>5337</v>
      </c>
      <c r="V4665" s="5" t="s">
        <v>5337</v>
      </c>
      <c r="W4665" s="5" t="s">
        <v>67</v>
      </c>
      <c r="X4665" s="5" t="s">
        <v>67</v>
      </c>
      <c r="Y4665" s="4">
        <v>302</v>
      </c>
      <c r="Z4665" s="4">
        <v>14</v>
      </c>
      <c r="AA4665" s="4">
        <v>120</v>
      </c>
      <c r="AB4665" s="4">
        <v>2</v>
      </c>
      <c r="AC4665" s="4">
        <v>21</v>
      </c>
      <c r="AD4665" s="4">
        <v>89</v>
      </c>
      <c r="AE4665" s="4">
        <v>151</v>
      </c>
      <c r="AF4665" s="4">
        <v>1</v>
      </c>
      <c r="AG4665" s="4">
        <v>9</v>
      </c>
      <c r="AH4665" s="4">
        <v>82</v>
      </c>
      <c r="AI4665" s="4">
        <v>105</v>
      </c>
      <c r="AJ4665" s="4">
        <v>9</v>
      </c>
      <c r="AK4665" s="4">
        <v>28</v>
      </c>
      <c r="AL4665" s="4">
        <v>49</v>
      </c>
      <c r="AM4665" s="4">
        <v>52</v>
      </c>
      <c r="AN4665" s="4">
        <v>0</v>
      </c>
      <c r="AO4665" s="4">
        <v>0</v>
      </c>
      <c r="AP4665" s="4">
        <v>12</v>
      </c>
      <c r="AQ4665" s="4">
        <v>56</v>
      </c>
      <c r="AR4665" s="3" t="s">
        <v>62</v>
      </c>
      <c r="AS4665" s="3" t="s">
        <v>62</v>
      </c>
      <c r="AT4665" s="3" t="s">
        <v>62</v>
      </c>
      <c r="AV4665" s="6" t="str">
        <f>HYPERLINK("http://mcgill.on.worldcat.org/oclc/51271737","Catalog Record")</f>
        <v>Catalog Record</v>
      </c>
      <c r="AW4665" s="6" t="str">
        <f>HYPERLINK("http://www.worldcat.org/oclc/51271737","WorldCat Record")</f>
        <v>WorldCat Record</v>
      </c>
      <c r="AX4665" s="3" t="s">
        <v>44660</v>
      </c>
      <c r="AY4665" s="3" t="s">
        <v>44661</v>
      </c>
      <c r="AZ4665" s="3" t="s">
        <v>44662</v>
      </c>
      <c r="BA4665" s="3" t="s">
        <v>44662</v>
      </c>
      <c r="BB4665" s="3" t="s">
        <v>44663</v>
      </c>
      <c r="BC4665" s="3" t="s">
        <v>142</v>
      </c>
      <c r="BD4665" s="3" t="s">
        <v>68</v>
      </c>
      <c r="BE4665" s="3" t="s">
        <v>44664</v>
      </c>
      <c r="BF4665" s="3" t="s">
        <v>44663</v>
      </c>
      <c r="BG4665" s="3" t="s">
        <v>44665</v>
      </c>
    </row>
    <row r="4666" spans="1:59" ht="57" x14ac:dyDescent="0.45">
      <c r="A4666" s="2" t="s">
        <v>59</v>
      </c>
      <c r="B4666" s="2" t="s">
        <v>60</v>
      </c>
      <c r="C4666" s="2" t="s">
        <v>44666</v>
      </c>
      <c r="D4666" s="2" t="s">
        <v>44667</v>
      </c>
      <c r="E4666" s="2" t="s">
        <v>44668</v>
      </c>
      <c r="G4666" s="3" t="s">
        <v>62</v>
      </c>
      <c r="I4666" s="3" t="s">
        <v>62</v>
      </c>
      <c r="J4666" s="3" t="s">
        <v>62</v>
      </c>
      <c r="K4666" s="3" t="s">
        <v>63</v>
      </c>
      <c r="L4666" s="2" t="s">
        <v>44669</v>
      </c>
      <c r="M4666" s="2" t="s">
        <v>33430</v>
      </c>
      <c r="N4666" s="3" t="s">
        <v>149</v>
      </c>
      <c r="P4666" s="3" t="s">
        <v>65</v>
      </c>
      <c r="Q4666" s="2" t="s">
        <v>44670</v>
      </c>
      <c r="R4666" s="3" t="s">
        <v>66</v>
      </c>
      <c r="S4666" s="4">
        <v>2</v>
      </c>
      <c r="T4666" s="4">
        <v>2</v>
      </c>
      <c r="U4666" s="5" t="s">
        <v>44671</v>
      </c>
      <c r="V4666" s="5" t="s">
        <v>44671</v>
      </c>
      <c r="W4666" s="5" t="s">
        <v>67</v>
      </c>
      <c r="X4666" s="5" t="s">
        <v>67</v>
      </c>
      <c r="Y4666" s="4">
        <v>120</v>
      </c>
      <c r="Z4666" s="4">
        <v>17</v>
      </c>
      <c r="AA4666" s="4">
        <v>82</v>
      </c>
      <c r="AB4666" s="4">
        <v>3</v>
      </c>
      <c r="AC4666" s="4">
        <v>15</v>
      </c>
      <c r="AD4666" s="4">
        <v>45</v>
      </c>
      <c r="AE4666" s="4">
        <v>109</v>
      </c>
      <c r="AF4666" s="4">
        <v>1</v>
      </c>
      <c r="AG4666" s="4">
        <v>8</v>
      </c>
      <c r="AH4666" s="4">
        <v>37</v>
      </c>
      <c r="AI4666" s="4">
        <v>74</v>
      </c>
      <c r="AJ4666" s="4">
        <v>12</v>
      </c>
      <c r="AK4666" s="4">
        <v>23</v>
      </c>
      <c r="AL4666" s="4">
        <v>24</v>
      </c>
      <c r="AM4666" s="4">
        <v>38</v>
      </c>
      <c r="AN4666" s="4">
        <v>0</v>
      </c>
      <c r="AO4666" s="4">
        <v>0</v>
      </c>
      <c r="AP4666" s="4">
        <v>13</v>
      </c>
      <c r="AQ4666" s="4">
        <v>43</v>
      </c>
      <c r="AR4666" s="3" t="s">
        <v>62</v>
      </c>
      <c r="AS4666" s="3" t="s">
        <v>62</v>
      </c>
      <c r="AT4666" s="3" t="s">
        <v>62</v>
      </c>
      <c r="AV4666" s="6" t="str">
        <f>HYPERLINK("http://mcgill.on.worldcat.org/oclc/643324315","Catalog Record")</f>
        <v>Catalog Record</v>
      </c>
      <c r="AW4666" s="6" t="str">
        <f>HYPERLINK("http://www.worldcat.org/oclc/643324315","WorldCat Record")</f>
        <v>WorldCat Record</v>
      </c>
      <c r="AX4666" s="3" t="s">
        <v>44672</v>
      </c>
      <c r="AY4666" s="3" t="s">
        <v>44673</v>
      </c>
      <c r="AZ4666" s="3" t="s">
        <v>44674</v>
      </c>
      <c r="BA4666" s="3" t="s">
        <v>44674</v>
      </c>
      <c r="BB4666" s="3" t="s">
        <v>44675</v>
      </c>
      <c r="BC4666" s="3" t="s">
        <v>142</v>
      </c>
      <c r="BD4666" s="3" t="s">
        <v>68</v>
      </c>
      <c r="BE4666" s="3" t="s">
        <v>44676</v>
      </c>
      <c r="BF4666" s="3" t="s">
        <v>44675</v>
      </c>
      <c r="BG4666" s="3" t="s">
        <v>44677</v>
      </c>
    </row>
    <row r="4667" spans="1:59" ht="99.75" x14ac:dyDescent="0.45">
      <c r="A4667" s="2" t="s">
        <v>59</v>
      </c>
      <c r="B4667" s="2" t="s">
        <v>60</v>
      </c>
      <c r="C4667" s="2" t="s">
        <v>44678</v>
      </c>
      <c r="D4667" s="2" t="s">
        <v>44679</v>
      </c>
      <c r="E4667" s="2" t="s">
        <v>44680</v>
      </c>
      <c r="G4667" s="3" t="s">
        <v>62</v>
      </c>
      <c r="I4667" s="3" t="s">
        <v>62</v>
      </c>
      <c r="J4667" s="3" t="s">
        <v>62</v>
      </c>
      <c r="K4667" s="3" t="s">
        <v>63</v>
      </c>
      <c r="M4667" s="2" t="s">
        <v>44681</v>
      </c>
      <c r="N4667" s="3" t="s">
        <v>181</v>
      </c>
      <c r="P4667" s="3" t="s">
        <v>110</v>
      </c>
      <c r="Q4667" s="2" t="s">
        <v>44682</v>
      </c>
      <c r="R4667" s="3" t="s">
        <v>66</v>
      </c>
      <c r="S4667" s="4">
        <v>0</v>
      </c>
      <c r="T4667" s="4">
        <v>0</v>
      </c>
      <c r="W4667" s="5" t="s">
        <v>67</v>
      </c>
      <c r="X4667" s="5" t="s">
        <v>67</v>
      </c>
      <c r="Y4667" s="4">
        <v>55</v>
      </c>
      <c r="Z4667" s="4">
        <v>6</v>
      </c>
      <c r="AA4667" s="4">
        <v>7</v>
      </c>
      <c r="AB4667" s="4">
        <v>1</v>
      </c>
      <c r="AC4667" s="4">
        <v>2</v>
      </c>
      <c r="AD4667" s="4">
        <v>38</v>
      </c>
      <c r="AE4667" s="4">
        <v>39</v>
      </c>
      <c r="AF4667" s="4">
        <v>0</v>
      </c>
      <c r="AG4667" s="4">
        <v>1</v>
      </c>
      <c r="AH4667" s="4">
        <v>34</v>
      </c>
      <c r="AI4667" s="4">
        <v>35</v>
      </c>
      <c r="AJ4667" s="4">
        <v>5</v>
      </c>
      <c r="AK4667" s="4">
        <v>6</v>
      </c>
      <c r="AL4667" s="4">
        <v>24</v>
      </c>
      <c r="AM4667" s="4">
        <v>24</v>
      </c>
      <c r="AN4667" s="4">
        <v>0</v>
      </c>
      <c r="AO4667" s="4">
        <v>0</v>
      </c>
      <c r="AP4667" s="4">
        <v>5</v>
      </c>
      <c r="AQ4667" s="4">
        <v>6</v>
      </c>
      <c r="AR4667" s="3" t="s">
        <v>62</v>
      </c>
      <c r="AS4667" s="3" t="s">
        <v>62</v>
      </c>
      <c r="AT4667" s="3" t="s">
        <v>62</v>
      </c>
      <c r="AV4667" s="6" t="str">
        <f>HYPERLINK("http://mcgill.on.worldcat.org/oclc/956519561","Catalog Record")</f>
        <v>Catalog Record</v>
      </c>
      <c r="AW4667" s="6" t="str">
        <f>HYPERLINK("http://www.worldcat.org/oclc/956519561","WorldCat Record")</f>
        <v>WorldCat Record</v>
      </c>
      <c r="AX4667" s="3" t="s">
        <v>44683</v>
      </c>
      <c r="AY4667" s="3" t="s">
        <v>44684</v>
      </c>
      <c r="AZ4667" s="3" t="s">
        <v>44685</v>
      </c>
      <c r="BA4667" s="3" t="s">
        <v>44685</v>
      </c>
      <c r="BB4667" s="3" t="s">
        <v>44686</v>
      </c>
      <c r="BC4667" s="3" t="s">
        <v>142</v>
      </c>
      <c r="BD4667" s="3" t="s">
        <v>68</v>
      </c>
      <c r="BE4667" s="3" t="s">
        <v>44687</v>
      </c>
      <c r="BF4667" s="3" t="s">
        <v>44686</v>
      </c>
      <c r="BG4667" s="3" t="s">
        <v>44688</v>
      </c>
    </row>
    <row r="4668" spans="1:59" ht="57" x14ac:dyDescent="0.45">
      <c r="A4668" s="2" t="s">
        <v>59</v>
      </c>
      <c r="B4668" s="2" t="s">
        <v>60</v>
      </c>
      <c r="C4668" s="2" t="s">
        <v>44689</v>
      </c>
      <c r="D4668" s="2" t="s">
        <v>44690</v>
      </c>
      <c r="E4668" s="2" t="s">
        <v>44691</v>
      </c>
      <c r="G4668" s="3" t="s">
        <v>62</v>
      </c>
      <c r="I4668" s="3" t="s">
        <v>62</v>
      </c>
      <c r="J4668" s="3" t="s">
        <v>62</v>
      </c>
      <c r="K4668" s="3" t="s">
        <v>63</v>
      </c>
      <c r="L4668" s="2" t="s">
        <v>44692</v>
      </c>
      <c r="M4668" s="2" t="s">
        <v>44693</v>
      </c>
      <c r="N4668" s="3" t="s">
        <v>84</v>
      </c>
      <c r="P4668" s="3" t="s">
        <v>65</v>
      </c>
      <c r="R4668" s="3" t="s">
        <v>66</v>
      </c>
      <c r="S4668" s="4">
        <v>3</v>
      </c>
      <c r="T4668" s="4">
        <v>3</v>
      </c>
      <c r="U4668" s="5" t="s">
        <v>44423</v>
      </c>
      <c r="V4668" s="5" t="s">
        <v>44423</v>
      </c>
      <c r="W4668" s="5" t="s">
        <v>67</v>
      </c>
      <c r="X4668" s="5" t="s">
        <v>67</v>
      </c>
      <c r="Y4668" s="4">
        <v>139</v>
      </c>
      <c r="Z4668" s="4">
        <v>14</v>
      </c>
      <c r="AA4668" s="4">
        <v>68</v>
      </c>
      <c r="AB4668" s="4">
        <v>1</v>
      </c>
      <c r="AC4668" s="4">
        <v>17</v>
      </c>
      <c r="AD4668" s="4">
        <v>76</v>
      </c>
      <c r="AE4668" s="4">
        <v>125</v>
      </c>
      <c r="AF4668" s="4">
        <v>0</v>
      </c>
      <c r="AG4668" s="4">
        <v>8</v>
      </c>
      <c r="AH4668" s="4">
        <v>71</v>
      </c>
      <c r="AI4668" s="4">
        <v>83</v>
      </c>
      <c r="AJ4668" s="4">
        <v>11</v>
      </c>
      <c r="AK4668" s="4">
        <v>26</v>
      </c>
      <c r="AL4668" s="4">
        <v>41</v>
      </c>
      <c r="AM4668" s="4">
        <v>43</v>
      </c>
      <c r="AN4668" s="4">
        <v>0</v>
      </c>
      <c r="AO4668" s="4">
        <v>0</v>
      </c>
      <c r="AP4668" s="4">
        <v>12</v>
      </c>
      <c r="AQ4668" s="4">
        <v>53</v>
      </c>
      <c r="AR4668" s="3" t="s">
        <v>62</v>
      </c>
      <c r="AS4668" s="3" t="s">
        <v>62</v>
      </c>
      <c r="AT4668" s="3" t="s">
        <v>62</v>
      </c>
      <c r="AV4668" s="6" t="str">
        <f>HYPERLINK("http://mcgill.on.worldcat.org/oclc/23767565","Catalog Record")</f>
        <v>Catalog Record</v>
      </c>
      <c r="AW4668" s="6" t="str">
        <f>HYPERLINK("http://www.worldcat.org/oclc/23767565","WorldCat Record")</f>
        <v>WorldCat Record</v>
      </c>
      <c r="AX4668" s="3" t="s">
        <v>44694</v>
      </c>
      <c r="AY4668" s="3" t="s">
        <v>44695</v>
      </c>
      <c r="AZ4668" s="3" t="s">
        <v>44696</v>
      </c>
      <c r="BA4668" s="3" t="s">
        <v>44696</v>
      </c>
      <c r="BB4668" s="3" t="s">
        <v>44697</v>
      </c>
      <c r="BC4668" s="3" t="s">
        <v>142</v>
      </c>
      <c r="BD4668" s="3" t="s">
        <v>68</v>
      </c>
      <c r="BE4668" s="3" t="s">
        <v>44698</v>
      </c>
      <c r="BF4668" s="3" t="s">
        <v>44697</v>
      </c>
      <c r="BG4668" s="3" t="s">
        <v>44699</v>
      </c>
    </row>
    <row r="4669" spans="1:59" ht="57" x14ac:dyDescent="0.45">
      <c r="A4669" s="2" t="s">
        <v>59</v>
      </c>
      <c r="B4669" s="2" t="s">
        <v>60</v>
      </c>
      <c r="C4669" s="2" t="s">
        <v>44700</v>
      </c>
      <c r="D4669" s="2" t="s">
        <v>44701</v>
      </c>
      <c r="E4669" s="2" t="s">
        <v>44702</v>
      </c>
      <c r="G4669" s="3" t="s">
        <v>62</v>
      </c>
      <c r="I4669" s="3" t="s">
        <v>62</v>
      </c>
      <c r="J4669" s="3" t="s">
        <v>62</v>
      </c>
      <c r="K4669" s="3" t="s">
        <v>63</v>
      </c>
      <c r="L4669" s="2" t="s">
        <v>44703</v>
      </c>
      <c r="M4669" s="2" t="s">
        <v>8202</v>
      </c>
      <c r="N4669" s="3" t="s">
        <v>1688</v>
      </c>
      <c r="P4669" s="3" t="s">
        <v>65</v>
      </c>
      <c r="Q4669" s="2" t="s">
        <v>44704</v>
      </c>
      <c r="R4669" s="3" t="s">
        <v>66</v>
      </c>
      <c r="S4669" s="4">
        <v>0</v>
      </c>
      <c r="T4669" s="4">
        <v>0</v>
      </c>
      <c r="W4669" s="5" t="s">
        <v>67</v>
      </c>
      <c r="X4669" s="5" t="s">
        <v>67</v>
      </c>
      <c r="Y4669" s="4">
        <v>72</v>
      </c>
      <c r="Z4669" s="4">
        <v>8</v>
      </c>
      <c r="AA4669" s="4">
        <v>77</v>
      </c>
      <c r="AB4669" s="4">
        <v>1</v>
      </c>
      <c r="AC4669" s="4">
        <v>14</v>
      </c>
      <c r="AD4669" s="4">
        <v>43</v>
      </c>
      <c r="AE4669" s="4">
        <v>112</v>
      </c>
      <c r="AF4669" s="4">
        <v>0</v>
      </c>
      <c r="AG4669" s="4">
        <v>8</v>
      </c>
      <c r="AH4669" s="4">
        <v>40</v>
      </c>
      <c r="AI4669" s="4">
        <v>79</v>
      </c>
      <c r="AJ4669" s="4">
        <v>5</v>
      </c>
      <c r="AK4669" s="4">
        <v>20</v>
      </c>
      <c r="AL4669" s="4">
        <v>28</v>
      </c>
      <c r="AM4669" s="4">
        <v>42</v>
      </c>
      <c r="AN4669" s="4">
        <v>0</v>
      </c>
      <c r="AO4669" s="4">
        <v>0</v>
      </c>
      <c r="AP4669" s="4">
        <v>6</v>
      </c>
      <c r="AQ4669" s="4">
        <v>40</v>
      </c>
      <c r="AR4669" s="3" t="s">
        <v>62</v>
      </c>
      <c r="AS4669" s="3" t="s">
        <v>62</v>
      </c>
      <c r="AT4669" s="3" t="s">
        <v>62</v>
      </c>
      <c r="AV4669" s="6" t="str">
        <f>HYPERLINK("http://mcgill.on.worldcat.org/oclc/870287499","Catalog Record")</f>
        <v>Catalog Record</v>
      </c>
      <c r="AW4669" s="6" t="str">
        <f>HYPERLINK("http://www.worldcat.org/oclc/870287499","WorldCat Record")</f>
        <v>WorldCat Record</v>
      </c>
      <c r="AX4669" s="3" t="s">
        <v>44705</v>
      </c>
      <c r="AY4669" s="3" t="s">
        <v>44706</v>
      </c>
      <c r="AZ4669" s="3" t="s">
        <v>44707</v>
      </c>
      <c r="BA4669" s="3" t="s">
        <v>44707</v>
      </c>
      <c r="BB4669" s="3" t="s">
        <v>44708</v>
      </c>
      <c r="BC4669" s="3" t="s">
        <v>142</v>
      </c>
      <c r="BD4669" s="3" t="s">
        <v>68</v>
      </c>
      <c r="BE4669" s="3" t="s">
        <v>44709</v>
      </c>
      <c r="BF4669" s="3" t="s">
        <v>44708</v>
      </c>
      <c r="BG4669" s="3" t="s">
        <v>44710</v>
      </c>
    </row>
    <row r="4670" spans="1:59" ht="57" x14ac:dyDescent="0.45">
      <c r="A4670" s="2" t="s">
        <v>59</v>
      </c>
      <c r="B4670" s="2" t="s">
        <v>60</v>
      </c>
      <c r="C4670" s="2" t="s">
        <v>44711</v>
      </c>
      <c r="D4670" s="2" t="s">
        <v>44712</v>
      </c>
      <c r="E4670" s="2" t="s">
        <v>44713</v>
      </c>
      <c r="G4670" s="3" t="s">
        <v>62</v>
      </c>
      <c r="I4670" s="3" t="s">
        <v>62</v>
      </c>
      <c r="J4670" s="3" t="s">
        <v>62</v>
      </c>
      <c r="K4670" s="3" t="s">
        <v>63</v>
      </c>
      <c r="M4670" s="2" t="s">
        <v>9542</v>
      </c>
      <c r="N4670" s="3" t="s">
        <v>1155</v>
      </c>
      <c r="P4670" s="3" t="s">
        <v>65</v>
      </c>
      <c r="Q4670" s="2" t="s">
        <v>44714</v>
      </c>
      <c r="R4670" s="3" t="s">
        <v>66</v>
      </c>
      <c r="S4670" s="4">
        <v>6</v>
      </c>
      <c r="T4670" s="4">
        <v>6</v>
      </c>
      <c r="U4670" s="5" t="s">
        <v>6272</v>
      </c>
      <c r="V4670" s="5" t="s">
        <v>6272</v>
      </c>
      <c r="W4670" s="5" t="s">
        <v>67</v>
      </c>
      <c r="X4670" s="5" t="s">
        <v>67</v>
      </c>
      <c r="Y4670" s="4">
        <v>129</v>
      </c>
      <c r="Z4670" s="4">
        <v>20</v>
      </c>
      <c r="AA4670" s="4">
        <v>85</v>
      </c>
      <c r="AB4670" s="4">
        <v>1</v>
      </c>
      <c r="AC4670" s="4">
        <v>14</v>
      </c>
      <c r="AD4670" s="4">
        <v>47</v>
      </c>
      <c r="AE4670" s="4">
        <v>103</v>
      </c>
      <c r="AF4670" s="4">
        <v>0</v>
      </c>
      <c r="AG4670" s="4">
        <v>8</v>
      </c>
      <c r="AH4670" s="4">
        <v>38</v>
      </c>
      <c r="AI4670" s="4">
        <v>68</v>
      </c>
      <c r="AJ4670" s="4">
        <v>15</v>
      </c>
      <c r="AK4670" s="4">
        <v>24</v>
      </c>
      <c r="AL4670" s="4">
        <v>24</v>
      </c>
      <c r="AM4670" s="4">
        <v>38</v>
      </c>
      <c r="AN4670" s="4">
        <v>0</v>
      </c>
      <c r="AO4670" s="4">
        <v>0</v>
      </c>
      <c r="AP4670" s="4">
        <v>15</v>
      </c>
      <c r="AQ4670" s="4">
        <v>44</v>
      </c>
      <c r="AR4670" s="3" t="s">
        <v>62</v>
      </c>
      <c r="AS4670" s="3" t="s">
        <v>62</v>
      </c>
      <c r="AT4670" s="3" t="s">
        <v>62</v>
      </c>
      <c r="AV4670" s="6" t="str">
        <f>HYPERLINK("http://mcgill.on.worldcat.org/oclc/779245785","Catalog Record")</f>
        <v>Catalog Record</v>
      </c>
      <c r="AW4670" s="6" t="str">
        <f>HYPERLINK("http://www.worldcat.org/oclc/779245785","WorldCat Record")</f>
        <v>WorldCat Record</v>
      </c>
      <c r="AX4670" s="3" t="s">
        <v>44715</v>
      </c>
      <c r="AY4670" s="3" t="s">
        <v>44716</v>
      </c>
      <c r="AZ4670" s="3" t="s">
        <v>44717</v>
      </c>
      <c r="BA4670" s="3" t="s">
        <v>44717</v>
      </c>
      <c r="BB4670" s="3" t="s">
        <v>44718</v>
      </c>
      <c r="BC4670" s="3" t="s">
        <v>142</v>
      </c>
      <c r="BD4670" s="3" t="s">
        <v>68</v>
      </c>
      <c r="BE4670" s="3" t="s">
        <v>44719</v>
      </c>
      <c r="BF4670" s="3" t="s">
        <v>44718</v>
      </c>
      <c r="BG4670" s="3" t="s">
        <v>44720</v>
      </c>
    </row>
    <row r="4671" spans="1:59" ht="156.75" x14ac:dyDescent="0.45">
      <c r="A4671" s="2" t="s">
        <v>59</v>
      </c>
      <c r="B4671" s="2" t="s">
        <v>60</v>
      </c>
      <c r="C4671" s="2" t="s">
        <v>44721</v>
      </c>
      <c r="D4671" s="2" t="s">
        <v>44722</v>
      </c>
      <c r="E4671" s="2" t="s">
        <v>44723</v>
      </c>
      <c r="G4671" s="3" t="s">
        <v>62</v>
      </c>
      <c r="I4671" s="3" t="s">
        <v>62</v>
      </c>
      <c r="J4671" s="3" t="s">
        <v>62</v>
      </c>
      <c r="K4671" s="3" t="s">
        <v>63</v>
      </c>
      <c r="L4671" s="2" t="s">
        <v>44724</v>
      </c>
      <c r="M4671" s="2" t="s">
        <v>44725</v>
      </c>
      <c r="N4671" s="3" t="s">
        <v>220</v>
      </c>
      <c r="P4671" s="3" t="s">
        <v>110</v>
      </c>
      <c r="Q4671" s="2" t="s">
        <v>44726</v>
      </c>
      <c r="R4671" s="3" t="s">
        <v>66</v>
      </c>
      <c r="S4671" s="4">
        <v>3</v>
      </c>
      <c r="T4671" s="4">
        <v>3</v>
      </c>
      <c r="U4671" s="5" t="s">
        <v>35092</v>
      </c>
      <c r="V4671" s="5" t="s">
        <v>35092</v>
      </c>
      <c r="W4671" s="5" t="s">
        <v>67</v>
      </c>
      <c r="X4671" s="5" t="s">
        <v>67</v>
      </c>
      <c r="Y4671" s="4">
        <v>73</v>
      </c>
      <c r="Z4671" s="4">
        <v>11</v>
      </c>
      <c r="AA4671" s="4">
        <v>14</v>
      </c>
      <c r="AB4671" s="4">
        <v>2</v>
      </c>
      <c r="AC4671" s="4">
        <v>4</v>
      </c>
      <c r="AD4671" s="4">
        <v>32</v>
      </c>
      <c r="AE4671" s="4">
        <v>37</v>
      </c>
      <c r="AF4671" s="4">
        <v>1</v>
      </c>
      <c r="AG4671" s="4">
        <v>2</v>
      </c>
      <c r="AH4671" s="4">
        <v>27</v>
      </c>
      <c r="AI4671" s="4">
        <v>31</v>
      </c>
      <c r="AJ4671" s="4">
        <v>9</v>
      </c>
      <c r="AK4671" s="4">
        <v>11</v>
      </c>
      <c r="AL4671" s="4">
        <v>15</v>
      </c>
      <c r="AM4671" s="4">
        <v>17</v>
      </c>
      <c r="AN4671" s="4">
        <v>0</v>
      </c>
      <c r="AO4671" s="4">
        <v>0</v>
      </c>
      <c r="AP4671" s="4">
        <v>8</v>
      </c>
      <c r="AQ4671" s="4">
        <v>10</v>
      </c>
      <c r="AR4671" s="3" t="s">
        <v>62</v>
      </c>
      <c r="AS4671" s="3" t="s">
        <v>62</v>
      </c>
      <c r="AT4671" s="3" t="s">
        <v>61</v>
      </c>
      <c r="AU4671" s="6" t="str">
        <f>HYPERLINK("http://catalog.hathitrust.org/Record/102109083","HathiTrust Record")</f>
        <v>HathiTrust Record</v>
      </c>
      <c r="AV4671" s="6" t="str">
        <f>HYPERLINK("http://mcgill.on.worldcat.org/oclc/1114690","Catalog Record")</f>
        <v>Catalog Record</v>
      </c>
      <c r="AW4671" s="6" t="str">
        <f>HYPERLINK("http://www.worldcat.org/oclc/1114690","WorldCat Record")</f>
        <v>WorldCat Record</v>
      </c>
      <c r="AX4671" s="3" t="s">
        <v>44727</v>
      </c>
      <c r="AY4671" s="3" t="s">
        <v>44728</v>
      </c>
      <c r="AZ4671" s="3" t="s">
        <v>44729</v>
      </c>
      <c r="BA4671" s="3" t="s">
        <v>44729</v>
      </c>
      <c r="BB4671" s="3" t="s">
        <v>44730</v>
      </c>
      <c r="BC4671" s="3" t="s">
        <v>142</v>
      </c>
      <c r="BD4671" s="3" t="s">
        <v>68</v>
      </c>
      <c r="BF4671" s="3" t="s">
        <v>44730</v>
      </c>
      <c r="BG4671" s="3" t="s">
        <v>44731</v>
      </c>
    </row>
    <row r="4672" spans="1:59" ht="57" x14ac:dyDescent="0.45">
      <c r="A4672" s="2" t="s">
        <v>59</v>
      </c>
      <c r="B4672" s="2" t="s">
        <v>60</v>
      </c>
      <c r="C4672" s="2" t="s">
        <v>44732</v>
      </c>
      <c r="D4672" s="2" t="s">
        <v>44733</v>
      </c>
      <c r="E4672" s="2" t="s">
        <v>44734</v>
      </c>
      <c r="G4672" s="3" t="s">
        <v>62</v>
      </c>
      <c r="I4672" s="3" t="s">
        <v>62</v>
      </c>
      <c r="J4672" s="3" t="s">
        <v>62</v>
      </c>
      <c r="K4672" s="3" t="s">
        <v>63</v>
      </c>
      <c r="M4672" s="2" t="s">
        <v>44735</v>
      </c>
      <c r="N4672" s="3" t="s">
        <v>583</v>
      </c>
      <c r="P4672" s="3" t="s">
        <v>114</v>
      </c>
      <c r="Q4672" s="2" t="s">
        <v>44736</v>
      </c>
      <c r="R4672" s="3" t="s">
        <v>66</v>
      </c>
      <c r="S4672" s="4">
        <v>14</v>
      </c>
      <c r="T4672" s="4">
        <v>14</v>
      </c>
      <c r="U4672" s="5" t="s">
        <v>35092</v>
      </c>
      <c r="V4672" s="5" t="s">
        <v>35092</v>
      </c>
      <c r="W4672" s="5" t="s">
        <v>67</v>
      </c>
      <c r="X4672" s="5" t="s">
        <v>67</v>
      </c>
      <c r="Y4672" s="4">
        <v>147</v>
      </c>
      <c r="Z4672" s="4">
        <v>13</v>
      </c>
      <c r="AA4672" s="4">
        <v>14</v>
      </c>
      <c r="AB4672" s="4">
        <v>1</v>
      </c>
      <c r="AC4672" s="4">
        <v>1</v>
      </c>
      <c r="AD4672" s="4">
        <v>67</v>
      </c>
      <c r="AE4672" s="4">
        <v>68</v>
      </c>
      <c r="AF4672" s="4">
        <v>0</v>
      </c>
      <c r="AG4672" s="4">
        <v>0</v>
      </c>
      <c r="AH4672" s="4">
        <v>63</v>
      </c>
      <c r="AI4672" s="4">
        <v>64</v>
      </c>
      <c r="AJ4672" s="4">
        <v>10</v>
      </c>
      <c r="AK4672" s="4">
        <v>11</v>
      </c>
      <c r="AL4672" s="4">
        <v>38</v>
      </c>
      <c r="AM4672" s="4">
        <v>38</v>
      </c>
      <c r="AN4672" s="4">
        <v>1</v>
      </c>
      <c r="AO4672" s="4">
        <v>1</v>
      </c>
      <c r="AP4672" s="4">
        <v>11</v>
      </c>
      <c r="AQ4672" s="4">
        <v>12</v>
      </c>
      <c r="AR4672" s="3" t="s">
        <v>62</v>
      </c>
      <c r="AS4672" s="3" t="s">
        <v>62</v>
      </c>
      <c r="AT4672" s="3" t="s">
        <v>61</v>
      </c>
      <c r="AU4672" s="6" t="str">
        <f>HYPERLINK("http://catalog.hathitrust.org/Record/000298613","HathiTrust Record")</f>
        <v>HathiTrust Record</v>
      </c>
      <c r="AV4672" s="6" t="str">
        <f>HYPERLINK("http://mcgill.on.worldcat.org/oclc/5335135","Catalog Record")</f>
        <v>Catalog Record</v>
      </c>
      <c r="AW4672" s="6" t="str">
        <f>HYPERLINK("http://www.worldcat.org/oclc/5335135","WorldCat Record")</f>
        <v>WorldCat Record</v>
      </c>
      <c r="AX4672" s="3" t="s">
        <v>44737</v>
      </c>
      <c r="AY4672" s="3" t="s">
        <v>44738</v>
      </c>
      <c r="AZ4672" s="3" t="s">
        <v>44739</v>
      </c>
      <c r="BA4672" s="3" t="s">
        <v>44739</v>
      </c>
      <c r="BB4672" s="3" t="s">
        <v>44740</v>
      </c>
      <c r="BC4672" s="3" t="s">
        <v>142</v>
      </c>
      <c r="BD4672" s="3" t="s">
        <v>68</v>
      </c>
      <c r="BE4672" s="3" t="s">
        <v>44741</v>
      </c>
      <c r="BF4672" s="3" t="s">
        <v>44740</v>
      </c>
      <c r="BG4672" s="3" t="s">
        <v>44742</v>
      </c>
    </row>
    <row r="4673" spans="1:59" ht="57" x14ac:dyDescent="0.45">
      <c r="A4673" s="2" t="s">
        <v>59</v>
      </c>
      <c r="B4673" s="2" t="s">
        <v>60</v>
      </c>
      <c r="C4673" s="2" t="s">
        <v>44743</v>
      </c>
      <c r="D4673" s="2" t="s">
        <v>44744</v>
      </c>
      <c r="E4673" s="2" t="s">
        <v>44745</v>
      </c>
      <c r="G4673" s="3" t="s">
        <v>62</v>
      </c>
      <c r="I4673" s="3" t="s">
        <v>62</v>
      </c>
      <c r="J4673" s="3" t="s">
        <v>62</v>
      </c>
      <c r="K4673" s="3" t="s">
        <v>63</v>
      </c>
      <c r="L4673" s="2" t="s">
        <v>35102</v>
      </c>
      <c r="M4673" s="2" t="s">
        <v>44746</v>
      </c>
      <c r="N4673" s="3" t="s">
        <v>127</v>
      </c>
      <c r="P4673" s="3" t="s">
        <v>110</v>
      </c>
      <c r="R4673" s="3" t="s">
        <v>66</v>
      </c>
      <c r="S4673" s="4">
        <v>27</v>
      </c>
      <c r="T4673" s="4">
        <v>27</v>
      </c>
      <c r="U4673" s="5" t="s">
        <v>44747</v>
      </c>
      <c r="V4673" s="5" t="s">
        <v>44747</v>
      </c>
      <c r="W4673" s="5" t="s">
        <v>67</v>
      </c>
      <c r="X4673" s="5" t="s">
        <v>67</v>
      </c>
      <c r="Y4673" s="4">
        <v>57</v>
      </c>
      <c r="Z4673" s="4">
        <v>3</v>
      </c>
      <c r="AA4673" s="4">
        <v>32</v>
      </c>
      <c r="AB4673" s="4">
        <v>1</v>
      </c>
      <c r="AC4673" s="4">
        <v>11</v>
      </c>
      <c r="AD4673" s="4">
        <v>17</v>
      </c>
      <c r="AE4673" s="4">
        <v>83</v>
      </c>
      <c r="AF4673" s="4">
        <v>0</v>
      </c>
      <c r="AG4673" s="4">
        <v>7</v>
      </c>
      <c r="AH4673" s="4">
        <v>16</v>
      </c>
      <c r="AI4673" s="4">
        <v>68</v>
      </c>
      <c r="AJ4673" s="4">
        <v>2</v>
      </c>
      <c r="AK4673" s="4">
        <v>21</v>
      </c>
      <c r="AL4673" s="4">
        <v>12</v>
      </c>
      <c r="AM4673" s="4">
        <v>41</v>
      </c>
      <c r="AN4673" s="4">
        <v>0</v>
      </c>
      <c r="AO4673" s="4">
        <v>0</v>
      </c>
      <c r="AP4673" s="4">
        <v>2</v>
      </c>
      <c r="AQ4673" s="4">
        <v>24</v>
      </c>
      <c r="AR4673" s="3" t="s">
        <v>62</v>
      </c>
      <c r="AS4673" s="3" t="s">
        <v>62</v>
      </c>
      <c r="AT4673" s="3" t="s">
        <v>61</v>
      </c>
      <c r="AU4673" s="6" t="str">
        <f>HYPERLINK("http://catalog.hathitrust.org/Record/001434941","HathiTrust Record")</f>
        <v>HathiTrust Record</v>
      </c>
      <c r="AV4673" s="6" t="str">
        <f>HYPERLINK("http://mcgill.on.worldcat.org/oclc/6301911","Catalog Record")</f>
        <v>Catalog Record</v>
      </c>
      <c r="AW4673" s="6" t="str">
        <f>HYPERLINK("http://www.worldcat.org/oclc/6301911","WorldCat Record")</f>
        <v>WorldCat Record</v>
      </c>
      <c r="AX4673" s="3" t="s">
        <v>44748</v>
      </c>
      <c r="AY4673" s="3" t="s">
        <v>44749</v>
      </c>
      <c r="AZ4673" s="3" t="s">
        <v>44750</v>
      </c>
      <c r="BA4673" s="3" t="s">
        <v>44750</v>
      </c>
      <c r="BB4673" s="3" t="s">
        <v>44751</v>
      </c>
      <c r="BC4673" s="3" t="s">
        <v>142</v>
      </c>
      <c r="BD4673" s="3" t="s">
        <v>308</v>
      </c>
      <c r="BF4673" s="3" t="s">
        <v>44751</v>
      </c>
      <c r="BG4673" s="3" t="s">
        <v>44752</v>
      </c>
    </row>
    <row r="4674" spans="1:59" ht="57" x14ac:dyDescent="0.45">
      <c r="A4674" s="2" t="s">
        <v>59</v>
      </c>
      <c r="B4674" s="2" t="s">
        <v>60</v>
      </c>
      <c r="C4674" s="2" t="s">
        <v>44753</v>
      </c>
      <c r="D4674" s="2" t="s">
        <v>44754</v>
      </c>
      <c r="E4674" s="2" t="s">
        <v>44755</v>
      </c>
      <c r="G4674" s="3" t="s">
        <v>62</v>
      </c>
      <c r="I4674" s="3" t="s">
        <v>62</v>
      </c>
      <c r="J4674" s="3" t="s">
        <v>62</v>
      </c>
      <c r="K4674" s="3" t="s">
        <v>63</v>
      </c>
      <c r="M4674" s="2" t="s">
        <v>2631</v>
      </c>
      <c r="N4674" s="3" t="s">
        <v>116</v>
      </c>
      <c r="P4674" s="3" t="s">
        <v>65</v>
      </c>
      <c r="Q4674" s="2" t="s">
        <v>3219</v>
      </c>
      <c r="R4674" s="3" t="s">
        <v>66</v>
      </c>
      <c r="S4674" s="4">
        <v>2</v>
      </c>
      <c r="T4674" s="4">
        <v>2</v>
      </c>
      <c r="U4674" s="5" t="s">
        <v>44756</v>
      </c>
      <c r="V4674" s="5" t="s">
        <v>44756</v>
      </c>
      <c r="W4674" s="5" t="s">
        <v>67</v>
      </c>
      <c r="X4674" s="5" t="s">
        <v>67</v>
      </c>
      <c r="Y4674" s="4">
        <v>105</v>
      </c>
      <c r="Z4674" s="4">
        <v>13</v>
      </c>
      <c r="AA4674" s="4">
        <v>38</v>
      </c>
      <c r="AB4674" s="4">
        <v>1</v>
      </c>
      <c r="AC4674" s="4">
        <v>6</v>
      </c>
      <c r="AD4674" s="4">
        <v>36</v>
      </c>
      <c r="AE4674" s="4">
        <v>80</v>
      </c>
      <c r="AF4674" s="4">
        <v>0</v>
      </c>
      <c r="AG4674" s="4">
        <v>2</v>
      </c>
      <c r="AH4674" s="4">
        <v>31</v>
      </c>
      <c r="AI4674" s="4">
        <v>66</v>
      </c>
      <c r="AJ4674" s="4">
        <v>9</v>
      </c>
      <c r="AK4674" s="4">
        <v>16</v>
      </c>
      <c r="AL4674" s="4">
        <v>21</v>
      </c>
      <c r="AM4674" s="4">
        <v>37</v>
      </c>
      <c r="AN4674" s="4">
        <v>0</v>
      </c>
      <c r="AO4674" s="4">
        <v>0</v>
      </c>
      <c r="AP4674" s="4">
        <v>10</v>
      </c>
      <c r="AQ4674" s="4">
        <v>21</v>
      </c>
      <c r="AR4674" s="3" t="s">
        <v>62</v>
      </c>
      <c r="AS4674" s="3" t="s">
        <v>62</v>
      </c>
      <c r="AT4674" s="3" t="s">
        <v>62</v>
      </c>
      <c r="AV4674" s="6" t="str">
        <f>HYPERLINK("http://mcgill.on.worldcat.org/oclc/793726719","Catalog Record")</f>
        <v>Catalog Record</v>
      </c>
      <c r="AW4674" s="6" t="str">
        <f>HYPERLINK("http://www.worldcat.org/oclc/793726719","WorldCat Record")</f>
        <v>WorldCat Record</v>
      </c>
      <c r="AX4674" s="3" t="s">
        <v>44757</v>
      </c>
      <c r="AY4674" s="3" t="s">
        <v>44758</v>
      </c>
      <c r="AZ4674" s="3" t="s">
        <v>44759</v>
      </c>
      <c r="BA4674" s="3" t="s">
        <v>44759</v>
      </c>
      <c r="BB4674" s="3" t="s">
        <v>44760</v>
      </c>
      <c r="BC4674" s="3" t="s">
        <v>142</v>
      </c>
      <c r="BD4674" s="3" t="s">
        <v>68</v>
      </c>
      <c r="BE4674" s="3" t="s">
        <v>44761</v>
      </c>
      <c r="BF4674" s="3" t="s">
        <v>44760</v>
      </c>
      <c r="BG4674" s="3" t="s">
        <v>44762</v>
      </c>
    </row>
    <row r="4675" spans="1:59" ht="57" x14ac:dyDescent="0.45">
      <c r="A4675" s="2" t="s">
        <v>59</v>
      </c>
      <c r="B4675" s="2" t="s">
        <v>60</v>
      </c>
      <c r="C4675" s="2" t="s">
        <v>44763</v>
      </c>
      <c r="D4675" s="2" t="s">
        <v>44764</v>
      </c>
      <c r="E4675" s="2" t="s">
        <v>44765</v>
      </c>
      <c r="G4675" s="3" t="s">
        <v>62</v>
      </c>
      <c r="I4675" s="3" t="s">
        <v>62</v>
      </c>
      <c r="J4675" s="3" t="s">
        <v>62</v>
      </c>
      <c r="K4675" s="3" t="s">
        <v>63</v>
      </c>
      <c r="L4675" s="2" t="s">
        <v>35559</v>
      </c>
      <c r="M4675" s="2" t="s">
        <v>44766</v>
      </c>
      <c r="N4675" s="3" t="s">
        <v>1059</v>
      </c>
      <c r="P4675" s="3" t="s">
        <v>65</v>
      </c>
      <c r="R4675" s="3" t="s">
        <v>66</v>
      </c>
      <c r="S4675" s="4">
        <v>5</v>
      </c>
      <c r="T4675" s="4">
        <v>5</v>
      </c>
      <c r="U4675" s="5" t="s">
        <v>1393</v>
      </c>
      <c r="V4675" s="5" t="s">
        <v>1393</v>
      </c>
      <c r="W4675" s="5" t="s">
        <v>67</v>
      </c>
      <c r="X4675" s="5" t="s">
        <v>67</v>
      </c>
      <c r="Y4675" s="4">
        <v>176</v>
      </c>
      <c r="Z4675" s="4">
        <v>15</v>
      </c>
      <c r="AA4675" s="4">
        <v>17</v>
      </c>
      <c r="AB4675" s="4">
        <v>2</v>
      </c>
      <c r="AC4675" s="4">
        <v>3</v>
      </c>
      <c r="AD4675" s="4">
        <v>55</v>
      </c>
      <c r="AE4675" s="4">
        <v>57</v>
      </c>
      <c r="AF4675" s="4">
        <v>1</v>
      </c>
      <c r="AG4675" s="4">
        <v>2</v>
      </c>
      <c r="AH4675" s="4">
        <v>51</v>
      </c>
      <c r="AI4675" s="4">
        <v>53</v>
      </c>
      <c r="AJ4675" s="4">
        <v>10</v>
      </c>
      <c r="AK4675" s="4">
        <v>11</v>
      </c>
      <c r="AL4675" s="4">
        <v>26</v>
      </c>
      <c r="AM4675" s="4">
        <v>26</v>
      </c>
      <c r="AN4675" s="4">
        <v>0</v>
      </c>
      <c r="AO4675" s="4">
        <v>0</v>
      </c>
      <c r="AP4675" s="4">
        <v>11</v>
      </c>
      <c r="AQ4675" s="4">
        <v>12</v>
      </c>
      <c r="AR4675" s="3" t="s">
        <v>62</v>
      </c>
      <c r="AS4675" s="3" t="s">
        <v>62</v>
      </c>
      <c r="AT4675" s="3" t="s">
        <v>61</v>
      </c>
      <c r="AU4675" s="6" t="str">
        <f>HYPERLINK("http://catalog.hathitrust.org/Record/007146954","HathiTrust Record")</f>
        <v>HathiTrust Record</v>
      </c>
      <c r="AV4675" s="6" t="str">
        <f>HYPERLINK("http://mcgill.on.worldcat.org/oclc/52532466","Catalog Record")</f>
        <v>Catalog Record</v>
      </c>
      <c r="AW4675" s="6" t="str">
        <f>HYPERLINK("http://www.worldcat.org/oclc/52532466","WorldCat Record")</f>
        <v>WorldCat Record</v>
      </c>
      <c r="AX4675" s="3" t="s">
        <v>44767</v>
      </c>
      <c r="AY4675" s="3" t="s">
        <v>44768</v>
      </c>
      <c r="AZ4675" s="3" t="s">
        <v>44769</v>
      </c>
      <c r="BA4675" s="3" t="s">
        <v>44769</v>
      </c>
      <c r="BB4675" s="3" t="s">
        <v>44770</v>
      </c>
      <c r="BC4675" s="3" t="s">
        <v>142</v>
      </c>
      <c r="BD4675" s="3" t="s">
        <v>68</v>
      </c>
      <c r="BE4675" s="3" t="s">
        <v>44771</v>
      </c>
      <c r="BF4675" s="3" t="s">
        <v>44770</v>
      </c>
      <c r="BG4675" s="3" t="s">
        <v>44772</v>
      </c>
    </row>
    <row r="4676" spans="1:59" ht="57" x14ac:dyDescent="0.45">
      <c r="A4676" s="2" t="s">
        <v>59</v>
      </c>
      <c r="B4676" s="2" t="s">
        <v>60</v>
      </c>
      <c r="C4676" s="2" t="s">
        <v>44773</v>
      </c>
      <c r="D4676" s="2" t="s">
        <v>44774</v>
      </c>
      <c r="E4676" s="2" t="s">
        <v>44775</v>
      </c>
      <c r="G4676" s="3" t="s">
        <v>62</v>
      </c>
      <c r="I4676" s="3" t="s">
        <v>62</v>
      </c>
      <c r="J4676" s="3" t="s">
        <v>62</v>
      </c>
      <c r="K4676" s="3" t="s">
        <v>63</v>
      </c>
      <c r="L4676" s="2" t="s">
        <v>651</v>
      </c>
      <c r="M4676" s="2" t="s">
        <v>25814</v>
      </c>
      <c r="N4676" s="3" t="s">
        <v>970</v>
      </c>
      <c r="P4676" s="3" t="s">
        <v>65</v>
      </c>
      <c r="R4676" s="3" t="s">
        <v>66</v>
      </c>
      <c r="S4676" s="4">
        <v>22</v>
      </c>
      <c r="T4676" s="4">
        <v>22</v>
      </c>
      <c r="U4676" s="5" t="s">
        <v>1393</v>
      </c>
      <c r="V4676" s="5" t="s">
        <v>1393</v>
      </c>
      <c r="W4676" s="5" t="s">
        <v>67</v>
      </c>
      <c r="X4676" s="5" t="s">
        <v>67</v>
      </c>
      <c r="Y4676" s="4">
        <v>820</v>
      </c>
      <c r="Z4676" s="4">
        <v>44</v>
      </c>
      <c r="AA4676" s="4">
        <v>137</v>
      </c>
      <c r="AB4676" s="4">
        <v>2</v>
      </c>
      <c r="AC4676" s="4">
        <v>21</v>
      </c>
      <c r="AD4676" s="4">
        <v>122</v>
      </c>
      <c r="AE4676" s="4">
        <v>165</v>
      </c>
      <c r="AF4676" s="4">
        <v>1</v>
      </c>
      <c r="AG4676" s="4">
        <v>9</v>
      </c>
      <c r="AH4676" s="4">
        <v>104</v>
      </c>
      <c r="AI4676" s="4">
        <v>112</v>
      </c>
      <c r="AJ4676" s="4">
        <v>14</v>
      </c>
      <c r="AK4676" s="4">
        <v>29</v>
      </c>
      <c r="AL4676" s="4">
        <v>57</v>
      </c>
      <c r="AM4676" s="4">
        <v>59</v>
      </c>
      <c r="AN4676" s="4">
        <v>0</v>
      </c>
      <c r="AO4676" s="4">
        <v>0</v>
      </c>
      <c r="AP4676" s="4">
        <v>23</v>
      </c>
      <c r="AQ4676" s="4">
        <v>61</v>
      </c>
      <c r="AR4676" s="3" t="s">
        <v>62</v>
      </c>
      <c r="AS4676" s="3" t="s">
        <v>62</v>
      </c>
      <c r="AT4676" s="3" t="s">
        <v>62</v>
      </c>
      <c r="AV4676" s="6" t="str">
        <f>HYPERLINK("http://mcgill.on.worldcat.org/oclc/49859977","Catalog Record")</f>
        <v>Catalog Record</v>
      </c>
      <c r="AW4676" s="6" t="str">
        <f>HYPERLINK("http://www.worldcat.org/oclc/49859977","WorldCat Record")</f>
        <v>WorldCat Record</v>
      </c>
      <c r="AX4676" s="3" t="s">
        <v>44776</v>
      </c>
      <c r="AY4676" s="3" t="s">
        <v>44777</v>
      </c>
      <c r="AZ4676" s="3" t="s">
        <v>44778</v>
      </c>
      <c r="BA4676" s="3" t="s">
        <v>44778</v>
      </c>
      <c r="BB4676" s="3" t="s">
        <v>44779</v>
      </c>
      <c r="BC4676" s="3" t="s">
        <v>142</v>
      </c>
      <c r="BD4676" s="3" t="s">
        <v>68</v>
      </c>
      <c r="BE4676" s="3" t="s">
        <v>44780</v>
      </c>
      <c r="BF4676" s="3" t="s">
        <v>44779</v>
      </c>
      <c r="BG4676" s="3" t="s">
        <v>44781</v>
      </c>
    </row>
    <row r="4677" spans="1:59" ht="57" x14ac:dyDescent="0.45">
      <c r="A4677" s="2" t="s">
        <v>59</v>
      </c>
      <c r="B4677" s="2" t="s">
        <v>60</v>
      </c>
      <c r="C4677" s="2" t="s">
        <v>44782</v>
      </c>
      <c r="D4677" s="2" t="s">
        <v>44783</v>
      </c>
      <c r="E4677" s="2" t="s">
        <v>44784</v>
      </c>
      <c r="G4677" s="3" t="s">
        <v>62</v>
      </c>
      <c r="I4677" s="3" t="s">
        <v>62</v>
      </c>
      <c r="J4677" s="3" t="s">
        <v>62</v>
      </c>
      <c r="K4677" s="3" t="s">
        <v>63</v>
      </c>
      <c r="L4677" s="2" t="s">
        <v>44785</v>
      </c>
      <c r="M4677" s="2" t="s">
        <v>44786</v>
      </c>
      <c r="N4677" s="3" t="s">
        <v>1212</v>
      </c>
      <c r="P4677" s="3" t="s">
        <v>65</v>
      </c>
      <c r="Q4677" s="2" t="s">
        <v>43596</v>
      </c>
      <c r="R4677" s="3" t="s">
        <v>66</v>
      </c>
      <c r="S4677" s="4">
        <v>10</v>
      </c>
      <c r="T4677" s="4">
        <v>10</v>
      </c>
      <c r="U4677" s="5" t="s">
        <v>1393</v>
      </c>
      <c r="V4677" s="5" t="s">
        <v>1393</v>
      </c>
      <c r="W4677" s="5" t="s">
        <v>67</v>
      </c>
      <c r="X4677" s="5" t="s">
        <v>67</v>
      </c>
      <c r="Y4677" s="4">
        <v>399</v>
      </c>
      <c r="Z4677" s="4">
        <v>24</v>
      </c>
      <c r="AA4677" s="4">
        <v>122</v>
      </c>
      <c r="AB4677" s="4">
        <v>2</v>
      </c>
      <c r="AC4677" s="4">
        <v>21</v>
      </c>
      <c r="AD4677" s="4">
        <v>106</v>
      </c>
      <c r="AE4677" s="4">
        <v>158</v>
      </c>
      <c r="AF4677" s="4">
        <v>1</v>
      </c>
      <c r="AG4677" s="4">
        <v>9</v>
      </c>
      <c r="AH4677" s="4">
        <v>93</v>
      </c>
      <c r="AI4677" s="4">
        <v>110</v>
      </c>
      <c r="AJ4677" s="4">
        <v>16</v>
      </c>
      <c r="AK4677" s="4">
        <v>28</v>
      </c>
      <c r="AL4677" s="4">
        <v>56</v>
      </c>
      <c r="AM4677" s="4">
        <v>59</v>
      </c>
      <c r="AN4677" s="4">
        <v>0</v>
      </c>
      <c r="AO4677" s="4">
        <v>0</v>
      </c>
      <c r="AP4677" s="4">
        <v>20</v>
      </c>
      <c r="AQ4677" s="4">
        <v>57</v>
      </c>
      <c r="AR4677" s="3" t="s">
        <v>62</v>
      </c>
      <c r="AS4677" s="3" t="s">
        <v>62</v>
      </c>
      <c r="AT4677" s="3" t="s">
        <v>62</v>
      </c>
      <c r="AV4677" s="6" t="str">
        <f>HYPERLINK("http://mcgill.on.worldcat.org/oclc/39981405","Catalog Record")</f>
        <v>Catalog Record</v>
      </c>
      <c r="AW4677" s="6" t="str">
        <f>HYPERLINK("http://www.worldcat.org/oclc/39981405","WorldCat Record")</f>
        <v>WorldCat Record</v>
      </c>
      <c r="AX4677" s="3" t="s">
        <v>44787</v>
      </c>
      <c r="AY4677" s="3" t="s">
        <v>44788</v>
      </c>
      <c r="AZ4677" s="3" t="s">
        <v>44789</v>
      </c>
      <c r="BA4677" s="3" t="s">
        <v>44789</v>
      </c>
      <c r="BB4677" s="3" t="s">
        <v>44790</v>
      </c>
      <c r="BC4677" s="3" t="s">
        <v>142</v>
      </c>
      <c r="BD4677" s="3" t="s">
        <v>68</v>
      </c>
      <c r="BE4677" s="3" t="s">
        <v>44791</v>
      </c>
      <c r="BF4677" s="3" t="s">
        <v>44790</v>
      </c>
      <c r="BG4677" s="3" t="s">
        <v>44792</v>
      </c>
    </row>
    <row r="4678" spans="1:59" ht="57" x14ac:dyDescent="0.45">
      <c r="A4678" s="2" t="s">
        <v>59</v>
      </c>
      <c r="B4678" s="2" t="s">
        <v>60</v>
      </c>
      <c r="C4678" s="2" t="s">
        <v>44793</v>
      </c>
      <c r="D4678" s="2" t="s">
        <v>44794</v>
      </c>
      <c r="E4678" s="2" t="s">
        <v>44795</v>
      </c>
      <c r="G4678" s="3" t="s">
        <v>62</v>
      </c>
      <c r="I4678" s="3" t="s">
        <v>62</v>
      </c>
      <c r="J4678" s="3" t="s">
        <v>62</v>
      </c>
      <c r="K4678" s="3" t="s">
        <v>63</v>
      </c>
      <c r="L4678" s="2" t="s">
        <v>44796</v>
      </c>
      <c r="M4678" s="2" t="s">
        <v>44797</v>
      </c>
      <c r="N4678" s="3" t="s">
        <v>167</v>
      </c>
      <c r="P4678" s="3" t="s">
        <v>65</v>
      </c>
      <c r="Q4678" s="2" t="s">
        <v>44798</v>
      </c>
      <c r="R4678" s="3" t="s">
        <v>66</v>
      </c>
      <c r="S4678" s="4">
        <v>10</v>
      </c>
      <c r="T4678" s="4">
        <v>10</v>
      </c>
      <c r="U4678" s="5" t="s">
        <v>38220</v>
      </c>
      <c r="V4678" s="5" t="s">
        <v>38220</v>
      </c>
      <c r="W4678" s="5" t="s">
        <v>67</v>
      </c>
      <c r="X4678" s="5" t="s">
        <v>67</v>
      </c>
      <c r="Y4678" s="4">
        <v>267</v>
      </c>
      <c r="Z4678" s="4">
        <v>16</v>
      </c>
      <c r="AA4678" s="4">
        <v>97</v>
      </c>
      <c r="AB4678" s="4">
        <v>1</v>
      </c>
      <c r="AC4678" s="4">
        <v>17</v>
      </c>
      <c r="AD4678" s="4">
        <v>84</v>
      </c>
      <c r="AE4678" s="4">
        <v>137</v>
      </c>
      <c r="AF4678" s="4">
        <v>0</v>
      </c>
      <c r="AG4678" s="4">
        <v>8</v>
      </c>
      <c r="AH4678" s="4">
        <v>77</v>
      </c>
      <c r="AI4678" s="4">
        <v>101</v>
      </c>
      <c r="AJ4678" s="4">
        <v>10</v>
      </c>
      <c r="AK4678" s="4">
        <v>25</v>
      </c>
      <c r="AL4678" s="4">
        <v>48</v>
      </c>
      <c r="AM4678" s="4">
        <v>53</v>
      </c>
      <c r="AN4678" s="4">
        <v>0</v>
      </c>
      <c r="AO4678" s="4">
        <v>0</v>
      </c>
      <c r="AP4678" s="4">
        <v>14</v>
      </c>
      <c r="AQ4678" s="4">
        <v>46</v>
      </c>
      <c r="AR4678" s="3" t="s">
        <v>62</v>
      </c>
      <c r="AS4678" s="3" t="s">
        <v>62</v>
      </c>
      <c r="AT4678" s="3" t="s">
        <v>61</v>
      </c>
      <c r="AU4678" s="6" t="str">
        <f>HYPERLINK("http://catalog.hathitrust.org/Record/003333409","HathiTrust Record")</f>
        <v>HathiTrust Record</v>
      </c>
      <c r="AV4678" s="6" t="str">
        <f>HYPERLINK("http://mcgill.on.worldcat.org/oclc/40163438","Catalog Record")</f>
        <v>Catalog Record</v>
      </c>
      <c r="AW4678" s="6" t="str">
        <f>HYPERLINK("http://www.worldcat.org/oclc/40163438","WorldCat Record")</f>
        <v>WorldCat Record</v>
      </c>
      <c r="AX4678" s="3" t="s">
        <v>44799</v>
      </c>
      <c r="AY4678" s="3" t="s">
        <v>44800</v>
      </c>
      <c r="AZ4678" s="3" t="s">
        <v>44801</v>
      </c>
      <c r="BA4678" s="3" t="s">
        <v>44801</v>
      </c>
      <c r="BB4678" s="3" t="s">
        <v>44802</v>
      </c>
      <c r="BC4678" s="3" t="s">
        <v>142</v>
      </c>
      <c r="BD4678" s="3" t="s">
        <v>68</v>
      </c>
      <c r="BE4678" s="3" t="s">
        <v>44803</v>
      </c>
      <c r="BF4678" s="3" t="s">
        <v>44802</v>
      </c>
      <c r="BG4678" s="3" t="s">
        <v>44804</v>
      </c>
    </row>
    <row r="4679" spans="1:59" ht="57" x14ac:dyDescent="0.45">
      <c r="A4679" s="2" t="s">
        <v>59</v>
      </c>
      <c r="B4679" s="2" t="s">
        <v>60</v>
      </c>
      <c r="C4679" s="2" t="s">
        <v>44805</v>
      </c>
      <c r="D4679" s="2" t="s">
        <v>44806</v>
      </c>
      <c r="E4679" s="2" t="s">
        <v>44807</v>
      </c>
      <c r="G4679" s="3" t="s">
        <v>62</v>
      </c>
      <c r="I4679" s="3" t="s">
        <v>62</v>
      </c>
      <c r="J4679" s="3" t="s">
        <v>62</v>
      </c>
      <c r="K4679" s="3" t="s">
        <v>63</v>
      </c>
      <c r="L4679" s="2" t="s">
        <v>35048</v>
      </c>
      <c r="M4679" s="2" t="s">
        <v>44808</v>
      </c>
      <c r="N4679" s="3" t="s">
        <v>1059</v>
      </c>
      <c r="P4679" s="3" t="s">
        <v>65</v>
      </c>
      <c r="R4679" s="3" t="s">
        <v>66</v>
      </c>
      <c r="S4679" s="4">
        <v>11</v>
      </c>
      <c r="T4679" s="4">
        <v>11</v>
      </c>
      <c r="U4679" s="5" t="s">
        <v>44809</v>
      </c>
      <c r="V4679" s="5" t="s">
        <v>44809</v>
      </c>
      <c r="W4679" s="5" t="s">
        <v>67</v>
      </c>
      <c r="X4679" s="5" t="s">
        <v>67</v>
      </c>
      <c r="Y4679" s="4">
        <v>350</v>
      </c>
      <c r="Z4679" s="4">
        <v>22</v>
      </c>
      <c r="AA4679" s="4">
        <v>22</v>
      </c>
      <c r="AB4679" s="4">
        <v>2</v>
      </c>
      <c r="AC4679" s="4">
        <v>2</v>
      </c>
      <c r="AD4679" s="4">
        <v>107</v>
      </c>
      <c r="AE4679" s="4">
        <v>107</v>
      </c>
      <c r="AF4679" s="4">
        <v>1</v>
      </c>
      <c r="AG4679" s="4">
        <v>1</v>
      </c>
      <c r="AH4679" s="4">
        <v>97</v>
      </c>
      <c r="AI4679" s="4">
        <v>97</v>
      </c>
      <c r="AJ4679" s="4">
        <v>14</v>
      </c>
      <c r="AK4679" s="4">
        <v>14</v>
      </c>
      <c r="AL4679" s="4">
        <v>54</v>
      </c>
      <c r="AM4679" s="4">
        <v>54</v>
      </c>
      <c r="AN4679" s="4">
        <v>0</v>
      </c>
      <c r="AO4679" s="4">
        <v>0</v>
      </c>
      <c r="AP4679" s="4">
        <v>17</v>
      </c>
      <c r="AQ4679" s="4">
        <v>17</v>
      </c>
      <c r="AR4679" s="3" t="s">
        <v>62</v>
      </c>
      <c r="AS4679" s="3" t="s">
        <v>62</v>
      </c>
      <c r="AT4679" s="3" t="s">
        <v>61</v>
      </c>
      <c r="AU4679" s="6" t="str">
        <f>HYPERLINK("http://catalog.hathitrust.org/Record/005229258","HathiTrust Record")</f>
        <v>HathiTrust Record</v>
      </c>
      <c r="AV4679" s="6" t="str">
        <f>HYPERLINK("http://mcgill.on.worldcat.org/oclc/62766735","Catalog Record")</f>
        <v>Catalog Record</v>
      </c>
      <c r="AW4679" s="6" t="str">
        <f>HYPERLINK("http://www.worldcat.org/oclc/62766735","WorldCat Record")</f>
        <v>WorldCat Record</v>
      </c>
      <c r="AX4679" s="3" t="s">
        <v>44810</v>
      </c>
      <c r="AY4679" s="3" t="s">
        <v>44811</v>
      </c>
      <c r="AZ4679" s="3" t="s">
        <v>44812</v>
      </c>
      <c r="BA4679" s="3" t="s">
        <v>44812</v>
      </c>
      <c r="BB4679" s="3" t="s">
        <v>44813</v>
      </c>
      <c r="BC4679" s="3" t="s">
        <v>142</v>
      </c>
      <c r="BD4679" s="3" t="s">
        <v>68</v>
      </c>
      <c r="BE4679" s="3" t="s">
        <v>44814</v>
      </c>
      <c r="BF4679" s="3" t="s">
        <v>44813</v>
      </c>
      <c r="BG4679" s="3" t="s">
        <v>44815</v>
      </c>
    </row>
    <row r="4680" spans="1:59" ht="57" x14ac:dyDescent="0.45">
      <c r="A4680" s="2" t="s">
        <v>59</v>
      </c>
      <c r="B4680" s="2" t="s">
        <v>60</v>
      </c>
      <c r="C4680" s="2" t="s">
        <v>44816</v>
      </c>
      <c r="D4680" s="2" t="s">
        <v>44817</v>
      </c>
      <c r="E4680" s="2" t="s">
        <v>44818</v>
      </c>
      <c r="G4680" s="3" t="s">
        <v>62</v>
      </c>
      <c r="I4680" s="3" t="s">
        <v>62</v>
      </c>
      <c r="J4680" s="3" t="s">
        <v>62</v>
      </c>
      <c r="K4680" s="3" t="s">
        <v>63</v>
      </c>
      <c r="L4680" s="2" t="s">
        <v>44819</v>
      </c>
      <c r="M4680" s="2" t="s">
        <v>44820</v>
      </c>
      <c r="N4680" s="3" t="s">
        <v>1212</v>
      </c>
      <c r="P4680" s="3" t="s">
        <v>65</v>
      </c>
      <c r="R4680" s="3" t="s">
        <v>66</v>
      </c>
      <c r="S4680" s="4">
        <v>10</v>
      </c>
      <c r="T4680" s="4">
        <v>10</v>
      </c>
      <c r="U4680" s="5" t="s">
        <v>8054</v>
      </c>
      <c r="V4680" s="5" t="s">
        <v>8054</v>
      </c>
      <c r="W4680" s="5" t="s">
        <v>67</v>
      </c>
      <c r="X4680" s="5" t="s">
        <v>67</v>
      </c>
      <c r="Y4680" s="4">
        <v>272</v>
      </c>
      <c r="Z4680" s="4">
        <v>21</v>
      </c>
      <c r="AA4680" s="4">
        <v>25</v>
      </c>
      <c r="AB4680" s="4">
        <v>2</v>
      </c>
      <c r="AC4680" s="4">
        <v>4</v>
      </c>
      <c r="AD4680" s="4">
        <v>92</v>
      </c>
      <c r="AE4680" s="4">
        <v>102</v>
      </c>
      <c r="AF4680" s="4">
        <v>1</v>
      </c>
      <c r="AG4680" s="4">
        <v>3</v>
      </c>
      <c r="AH4680" s="4">
        <v>82</v>
      </c>
      <c r="AI4680" s="4">
        <v>89</v>
      </c>
      <c r="AJ4680" s="4">
        <v>13</v>
      </c>
      <c r="AK4680" s="4">
        <v>17</v>
      </c>
      <c r="AL4680" s="4">
        <v>47</v>
      </c>
      <c r="AM4680" s="4">
        <v>47</v>
      </c>
      <c r="AN4680" s="4">
        <v>0</v>
      </c>
      <c r="AO4680" s="4">
        <v>0</v>
      </c>
      <c r="AP4680" s="4">
        <v>17</v>
      </c>
      <c r="AQ4680" s="4">
        <v>21</v>
      </c>
      <c r="AR4680" s="3" t="s">
        <v>62</v>
      </c>
      <c r="AS4680" s="3" t="s">
        <v>62</v>
      </c>
      <c r="AT4680" s="3" t="s">
        <v>62</v>
      </c>
      <c r="AV4680" s="6" t="str">
        <f>HYPERLINK("http://mcgill.on.worldcat.org/oclc/43978146","Catalog Record")</f>
        <v>Catalog Record</v>
      </c>
      <c r="AW4680" s="6" t="str">
        <f>HYPERLINK("http://www.worldcat.org/oclc/43978146","WorldCat Record")</f>
        <v>WorldCat Record</v>
      </c>
      <c r="AX4680" s="3" t="s">
        <v>44821</v>
      </c>
      <c r="AY4680" s="3" t="s">
        <v>44822</v>
      </c>
      <c r="AZ4680" s="3" t="s">
        <v>44823</v>
      </c>
      <c r="BA4680" s="3" t="s">
        <v>44823</v>
      </c>
      <c r="BB4680" s="3" t="s">
        <v>44824</v>
      </c>
      <c r="BC4680" s="3" t="s">
        <v>142</v>
      </c>
      <c r="BD4680" s="3" t="s">
        <v>68</v>
      </c>
      <c r="BE4680" s="3" t="s">
        <v>44825</v>
      </c>
      <c r="BF4680" s="3" t="s">
        <v>44824</v>
      </c>
      <c r="BG4680" s="3" t="s">
        <v>44826</v>
      </c>
    </row>
    <row r="4681" spans="1:59" ht="57" x14ac:dyDescent="0.45">
      <c r="A4681" s="2" t="s">
        <v>59</v>
      </c>
      <c r="B4681" s="2" t="s">
        <v>60</v>
      </c>
      <c r="C4681" s="2" t="s">
        <v>44827</v>
      </c>
      <c r="D4681" s="2" t="s">
        <v>44828</v>
      </c>
      <c r="E4681" s="2" t="s">
        <v>44829</v>
      </c>
      <c r="G4681" s="3" t="s">
        <v>62</v>
      </c>
      <c r="I4681" s="3" t="s">
        <v>61</v>
      </c>
      <c r="J4681" s="3" t="s">
        <v>62</v>
      </c>
      <c r="K4681" s="3" t="s">
        <v>63</v>
      </c>
      <c r="M4681" s="2" t="s">
        <v>44830</v>
      </c>
      <c r="N4681" s="3" t="s">
        <v>918</v>
      </c>
      <c r="P4681" s="3" t="s">
        <v>65</v>
      </c>
      <c r="R4681" s="3" t="s">
        <v>66</v>
      </c>
      <c r="S4681" s="4">
        <v>8</v>
      </c>
      <c r="T4681" s="4">
        <v>24</v>
      </c>
      <c r="U4681" s="5" t="s">
        <v>44831</v>
      </c>
      <c r="V4681" s="5" t="s">
        <v>28865</v>
      </c>
      <c r="W4681" s="5" t="s">
        <v>67</v>
      </c>
      <c r="X4681" s="5" t="s">
        <v>67</v>
      </c>
      <c r="Y4681" s="4">
        <v>325</v>
      </c>
      <c r="Z4681" s="4">
        <v>23</v>
      </c>
      <c r="AA4681" s="4">
        <v>80</v>
      </c>
      <c r="AB4681" s="4">
        <v>1</v>
      </c>
      <c r="AC4681" s="4">
        <v>15</v>
      </c>
      <c r="AD4681" s="4">
        <v>85</v>
      </c>
      <c r="AE4681" s="4">
        <v>128</v>
      </c>
      <c r="AF4681" s="4">
        <v>0</v>
      </c>
      <c r="AG4681" s="4">
        <v>8</v>
      </c>
      <c r="AH4681" s="4">
        <v>78</v>
      </c>
      <c r="AI4681" s="4">
        <v>96</v>
      </c>
      <c r="AJ4681" s="4">
        <v>17</v>
      </c>
      <c r="AK4681" s="4">
        <v>26</v>
      </c>
      <c r="AL4681" s="4">
        <v>40</v>
      </c>
      <c r="AM4681" s="4">
        <v>47</v>
      </c>
      <c r="AN4681" s="4">
        <v>0</v>
      </c>
      <c r="AO4681" s="4">
        <v>0</v>
      </c>
      <c r="AP4681" s="4">
        <v>19</v>
      </c>
      <c r="AQ4681" s="4">
        <v>42</v>
      </c>
      <c r="AR4681" s="3" t="s">
        <v>62</v>
      </c>
      <c r="AS4681" s="3" t="s">
        <v>62</v>
      </c>
      <c r="AT4681" s="3" t="s">
        <v>62</v>
      </c>
      <c r="AV4681" s="6" t="str">
        <f>HYPERLINK("http://mcgill.on.worldcat.org/oclc/49663545","Catalog Record")</f>
        <v>Catalog Record</v>
      </c>
      <c r="AW4681" s="6" t="str">
        <f>HYPERLINK("http://www.worldcat.org/oclc/49663545","WorldCat Record")</f>
        <v>WorldCat Record</v>
      </c>
      <c r="AX4681" s="3" t="s">
        <v>44832</v>
      </c>
      <c r="AY4681" s="3" t="s">
        <v>44833</v>
      </c>
      <c r="AZ4681" s="3" t="s">
        <v>44834</v>
      </c>
      <c r="BA4681" s="3" t="s">
        <v>44834</v>
      </c>
      <c r="BB4681" s="3" t="s">
        <v>44835</v>
      </c>
      <c r="BC4681" s="3" t="s">
        <v>142</v>
      </c>
      <c r="BD4681" s="3" t="s">
        <v>68</v>
      </c>
      <c r="BE4681" s="3" t="s">
        <v>44836</v>
      </c>
      <c r="BF4681" s="3" t="s">
        <v>44835</v>
      </c>
      <c r="BG4681" s="3" t="s">
        <v>44837</v>
      </c>
    </row>
    <row r="4682" spans="1:59" ht="57" x14ac:dyDescent="0.45">
      <c r="A4682" s="2" t="s">
        <v>59</v>
      </c>
      <c r="B4682" s="2" t="s">
        <v>60</v>
      </c>
      <c r="C4682" s="2" t="s">
        <v>44827</v>
      </c>
      <c r="D4682" s="2" t="s">
        <v>44828</v>
      </c>
      <c r="E4682" s="2" t="s">
        <v>44829</v>
      </c>
      <c r="G4682" s="3" t="s">
        <v>62</v>
      </c>
      <c r="I4682" s="3" t="s">
        <v>61</v>
      </c>
      <c r="J4682" s="3" t="s">
        <v>62</v>
      </c>
      <c r="K4682" s="3" t="s">
        <v>63</v>
      </c>
      <c r="M4682" s="2" t="s">
        <v>44830</v>
      </c>
      <c r="N4682" s="3" t="s">
        <v>918</v>
      </c>
      <c r="P4682" s="3" t="s">
        <v>65</v>
      </c>
      <c r="R4682" s="3" t="s">
        <v>66</v>
      </c>
      <c r="S4682" s="4">
        <v>11</v>
      </c>
      <c r="T4682" s="4">
        <v>24</v>
      </c>
      <c r="U4682" s="5" t="s">
        <v>28865</v>
      </c>
      <c r="V4682" s="5" t="s">
        <v>28865</v>
      </c>
      <c r="W4682" s="5" t="s">
        <v>67</v>
      </c>
      <c r="X4682" s="5" t="s">
        <v>67</v>
      </c>
      <c r="Y4682" s="4">
        <v>325</v>
      </c>
      <c r="Z4682" s="4">
        <v>23</v>
      </c>
      <c r="AA4682" s="4">
        <v>80</v>
      </c>
      <c r="AB4682" s="4">
        <v>1</v>
      </c>
      <c r="AC4682" s="4">
        <v>15</v>
      </c>
      <c r="AD4682" s="4">
        <v>85</v>
      </c>
      <c r="AE4682" s="4">
        <v>128</v>
      </c>
      <c r="AF4682" s="4">
        <v>0</v>
      </c>
      <c r="AG4682" s="4">
        <v>8</v>
      </c>
      <c r="AH4682" s="4">
        <v>78</v>
      </c>
      <c r="AI4682" s="4">
        <v>96</v>
      </c>
      <c r="AJ4682" s="4">
        <v>17</v>
      </c>
      <c r="AK4682" s="4">
        <v>26</v>
      </c>
      <c r="AL4682" s="4">
        <v>40</v>
      </c>
      <c r="AM4682" s="4">
        <v>47</v>
      </c>
      <c r="AN4682" s="4">
        <v>0</v>
      </c>
      <c r="AO4682" s="4">
        <v>0</v>
      </c>
      <c r="AP4682" s="4">
        <v>19</v>
      </c>
      <c r="AQ4682" s="4">
        <v>42</v>
      </c>
      <c r="AR4682" s="3" t="s">
        <v>62</v>
      </c>
      <c r="AS4682" s="3" t="s">
        <v>62</v>
      </c>
      <c r="AT4682" s="3" t="s">
        <v>62</v>
      </c>
      <c r="AV4682" s="6" t="str">
        <f>HYPERLINK("http://mcgill.on.worldcat.org/oclc/49663545","Catalog Record")</f>
        <v>Catalog Record</v>
      </c>
      <c r="AW4682" s="6" t="str">
        <f>HYPERLINK("http://www.worldcat.org/oclc/49663545","WorldCat Record")</f>
        <v>WorldCat Record</v>
      </c>
      <c r="AX4682" s="3" t="s">
        <v>44832</v>
      </c>
      <c r="AY4682" s="3" t="s">
        <v>44833</v>
      </c>
      <c r="AZ4682" s="3" t="s">
        <v>44834</v>
      </c>
      <c r="BA4682" s="3" t="s">
        <v>44834</v>
      </c>
      <c r="BB4682" s="3" t="s">
        <v>44838</v>
      </c>
      <c r="BC4682" s="3" t="s">
        <v>142</v>
      </c>
      <c r="BD4682" s="3" t="s">
        <v>308</v>
      </c>
      <c r="BE4682" s="3" t="s">
        <v>44836</v>
      </c>
      <c r="BF4682" s="3" t="s">
        <v>44838</v>
      </c>
      <c r="BG4682" s="3" t="s">
        <v>44839</v>
      </c>
    </row>
    <row r="4683" spans="1:59" ht="57" x14ac:dyDescent="0.45">
      <c r="A4683" s="2" t="s">
        <v>13313</v>
      </c>
      <c r="B4683" s="2" t="s">
        <v>60</v>
      </c>
      <c r="C4683" s="2" t="s">
        <v>44840</v>
      </c>
      <c r="D4683" s="2" t="s">
        <v>44841</v>
      </c>
      <c r="E4683" s="2" t="s">
        <v>44829</v>
      </c>
      <c r="G4683" s="3" t="s">
        <v>62</v>
      </c>
      <c r="I4683" s="3" t="s">
        <v>61</v>
      </c>
      <c r="J4683" s="3" t="s">
        <v>62</v>
      </c>
      <c r="K4683" s="3" t="s">
        <v>63</v>
      </c>
      <c r="M4683" s="2" t="s">
        <v>44830</v>
      </c>
      <c r="N4683" s="3" t="s">
        <v>918</v>
      </c>
      <c r="P4683" s="3" t="s">
        <v>65</v>
      </c>
      <c r="R4683" s="3" t="s">
        <v>66</v>
      </c>
      <c r="S4683" s="4">
        <v>5</v>
      </c>
      <c r="T4683" s="4">
        <v>24</v>
      </c>
      <c r="U4683" s="5" t="s">
        <v>44842</v>
      </c>
      <c r="V4683" s="5" t="s">
        <v>28865</v>
      </c>
      <c r="W4683" s="5" t="s">
        <v>67</v>
      </c>
      <c r="X4683" s="5" t="s">
        <v>67</v>
      </c>
      <c r="Y4683" s="4">
        <v>325</v>
      </c>
      <c r="Z4683" s="4">
        <v>23</v>
      </c>
      <c r="AA4683" s="4">
        <v>80</v>
      </c>
      <c r="AB4683" s="4">
        <v>1</v>
      </c>
      <c r="AC4683" s="4">
        <v>15</v>
      </c>
      <c r="AD4683" s="4">
        <v>85</v>
      </c>
      <c r="AE4683" s="4">
        <v>128</v>
      </c>
      <c r="AF4683" s="4">
        <v>0</v>
      </c>
      <c r="AG4683" s="4">
        <v>8</v>
      </c>
      <c r="AH4683" s="4">
        <v>78</v>
      </c>
      <c r="AI4683" s="4">
        <v>96</v>
      </c>
      <c r="AJ4683" s="4">
        <v>17</v>
      </c>
      <c r="AK4683" s="4">
        <v>26</v>
      </c>
      <c r="AL4683" s="4">
        <v>40</v>
      </c>
      <c r="AM4683" s="4">
        <v>47</v>
      </c>
      <c r="AN4683" s="4">
        <v>0</v>
      </c>
      <c r="AO4683" s="4">
        <v>0</v>
      </c>
      <c r="AP4683" s="4">
        <v>19</v>
      </c>
      <c r="AQ4683" s="4">
        <v>42</v>
      </c>
      <c r="AR4683" s="3" t="s">
        <v>62</v>
      </c>
      <c r="AS4683" s="3" t="s">
        <v>62</v>
      </c>
      <c r="AT4683" s="3" t="s">
        <v>62</v>
      </c>
      <c r="AV4683" s="6" t="str">
        <f>HYPERLINK("http://mcgill.on.worldcat.org/oclc/49663545","Catalog Record")</f>
        <v>Catalog Record</v>
      </c>
      <c r="AW4683" s="6" t="str">
        <f>HYPERLINK("http://www.worldcat.org/oclc/49663545","WorldCat Record")</f>
        <v>WorldCat Record</v>
      </c>
      <c r="AX4683" s="3" t="s">
        <v>44832</v>
      </c>
      <c r="AY4683" s="3" t="s">
        <v>44833</v>
      </c>
      <c r="AZ4683" s="3" t="s">
        <v>44834</v>
      </c>
      <c r="BA4683" s="3" t="s">
        <v>44834</v>
      </c>
      <c r="BB4683" s="3" t="s">
        <v>44843</v>
      </c>
      <c r="BC4683" s="3" t="s">
        <v>142</v>
      </c>
      <c r="BD4683" s="3" t="s">
        <v>68</v>
      </c>
      <c r="BE4683" s="3" t="s">
        <v>44836</v>
      </c>
      <c r="BF4683" s="3" t="s">
        <v>44843</v>
      </c>
      <c r="BG4683" s="3" t="s">
        <v>44844</v>
      </c>
    </row>
    <row r="4684" spans="1:59" ht="57" x14ac:dyDescent="0.45">
      <c r="A4684" s="2" t="s">
        <v>59</v>
      </c>
      <c r="B4684" s="2" t="s">
        <v>60</v>
      </c>
      <c r="C4684" s="2" t="s">
        <v>44845</v>
      </c>
      <c r="D4684" s="2" t="s">
        <v>44846</v>
      </c>
      <c r="E4684" s="2" t="s">
        <v>44847</v>
      </c>
      <c r="G4684" s="3" t="s">
        <v>62</v>
      </c>
      <c r="I4684" s="3" t="s">
        <v>62</v>
      </c>
      <c r="J4684" s="3" t="s">
        <v>62</v>
      </c>
      <c r="K4684" s="3" t="s">
        <v>63</v>
      </c>
      <c r="L4684" s="2" t="s">
        <v>44848</v>
      </c>
      <c r="M4684" s="2" t="s">
        <v>21778</v>
      </c>
      <c r="N4684" s="3" t="s">
        <v>149</v>
      </c>
      <c r="P4684" s="3" t="s">
        <v>65</v>
      </c>
      <c r="Q4684" s="2" t="s">
        <v>2330</v>
      </c>
      <c r="R4684" s="3" t="s">
        <v>66</v>
      </c>
      <c r="S4684" s="4">
        <v>1</v>
      </c>
      <c r="T4684" s="4">
        <v>1</v>
      </c>
      <c r="U4684" s="5" t="s">
        <v>28035</v>
      </c>
      <c r="V4684" s="5" t="s">
        <v>28035</v>
      </c>
      <c r="W4684" s="5" t="s">
        <v>67</v>
      </c>
      <c r="X4684" s="5" t="s">
        <v>67</v>
      </c>
      <c r="Y4684" s="4">
        <v>216</v>
      </c>
      <c r="Z4684" s="4">
        <v>21</v>
      </c>
      <c r="AA4684" s="4">
        <v>97</v>
      </c>
      <c r="AB4684" s="4">
        <v>2</v>
      </c>
      <c r="AC4684" s="4">
        <v>17</v>
      </c>
      <c r="AD4684" s="4">
        <v>89</v>
      </c>
      <c r="AE4684" s="4">
        <v>139</v>
      </c>
      <c r="AF4684" s="4">
        <v>1</v>
      </c>
      <c r="AG4684" s="4">
        <v>8</v>
      </c>
      <c r="AH4684" s="4">
        <v>79</v>
      </c>
      <c r="AI4684" s="4">
        <v>102</v>
      </c>
      <c r="AJ4684" s="4">
        <v>14</v>
      </c>
      <c r="AK4684" s="4">
        <v>25</v>
      </c>
      <c r="AL4684" s="4">
        <v>48</v>
      </c>
      <c r="AM4684" s="4">
        <v>56</v>
      </c>
      <c r="AN4684" s="4">
        <v>0</v>
      </c>
      <c r="AO4684" s="4">
        <v>0</v>
      </c>
      <c r="AP4684" s="4">
        <v>16</v>
      </c>
      <c r="AQ4684" s="4">
        <v>46</v>
      </c>
      <c r="AR4684" s="3" t="s">
        <v>62</v>
      </c>
      <c r="AS4684" s="3" t="s">
        <v>62</v>
      </c>
      <c r="AT4684" s="3" t="s">
        <v>62</v>
      </c>
      <c r="AV4684" s="6" t="str">
        <f>HYPERLINK("http://mcgill.on.worldcat.org/oclc/430678951","Catalog Record")</f>
        <v>Catalog Record</v>
      </c>
      <c r="AW4684" s="6" t="str">
        <f>HYPERLINK("http://www.worldcat.org/oclc/430678951","WorldCat Record")</f>
        <v>WorldCat Record</v>
      </c>
      <c r="AX4684" s="3" t="s">
        <v>44849</v>
      </c>
      <c r="AY4684" s="3" t="s">
        <v>44850</v>
      </c>
      <c r="AZ4684" s="3" t="s">
        <v>44851</v>
      </c>
      <c r="BA4684" s="3" t="s">
        <v>44851</v>
      </c>
      <c r="BB4684" s="3" t="s">
        <v>44852</v>
      </c>
      <c r="BC4684" s="3" t="s">
        <v>142</v>
      </c>
      <c r="BD4684" s="3" t="s">
        <v>68</v>
      </c>
      <c r="BE4684" s="3" t="s">
        <v>44853</v>
      </c>
      <c r="BF4684" s="3" t="s">
        <v>44852</v>
      </c>
      <c r="BG4684" s="3" t="s">
        <v>44854</v>
      </c>
    </row>
    <row r="4685" spans="1:59" ht="57" x14ac:dyDescent="0.45">
      <c r="A4685" s="2" t="s">
        <v>59</v>
      </c>
      <c r="B4685" s="2" t="s">
        <v>60</v>
      </c>
      <c r="C4685" s="2" t="s">
        <v>44855</v>
      </c>
      <c r="D4685" s="2" t="s">
        <v>44856</v>
      </c>
      <c r="E4685" s="2" t="s">
        <v>44857</v>
      </c>
      <c r="G4685" s="3" t="s">
        <v>62</v>
      </c>
      <c r="I4685" s="3" t="s">
        <v>62</v>
      </c>
      <c r="J4685" s="3" t="s">
        <v>62</v>
      </c>
      <c r="K4685" s="3" t="s">
        <v>63</v>
      </c>
      <c r="L4685" s="2" t="s">
        <v>44858</v>
      </c>
      <c r="M4685" s="2" t="s">
        <v>32505</v>
      </c>
      <c r="N4685" s="3" t="s">
        <v>894</v>
      </c>
      <c r="P4685" s="3" t="s">
        <v>65</v>
      </c>
      <c r="Q4685" s="2" t="s">
        <v>44859</v>
      </c>
      <c r="R4685" s="3" t="s">
        <v>66</v>
      </c>
      <c r="S4685" s="4">
        <v>0</v>
      </c>
      <c r="T4685" s="4">
        <v>0</v>
      </c>
      <c r="W4685" s="5" t="s">
        <v>67</v>
      </c>
      <c r="X4685" s="5" t="s">
        <v>67</v>
      </c>
      <c r="Y4685" s="4">
        <v>103</v>
      </c>
      <c r="Z4685" s="4">
        <v>14</v>
      </c>
      <c r="AA4685" s="4">
        <v>20</v>
      </c>
      <c r="AB4685" s="4">
        <v>1</v>
      </c>
      <c r="AC4685" s="4">
        <v>3</v>
      </c>
      <c r="AD4685" s="4">
        <v>59</v>
      </c>
      <c r="AE4685" s="4">
        <v>74</v>
      </c>
      <c r="AF4685" s="4">
        <v>0</v>
      </c>
      <c r="AG4685" s="4">
        <v>1</v>
      </c>
      <c r="AH4685" s="4">
        <v>54</v>
      </c>
      <c r="AI4685" s="4">
        <v>66</v>
      </c>
      <c r="AJ4685" s="4">
        <v>12</v>
      </c>
      <c r="AK4685" s="4">
        <v>15</v>
      </c>
      <c r="AL4685" s="4">
        <v>34</v>
      </c>
      <c r="AM4685" s="4">
        <v>42</v>
      </c>
      <c r="AN4685" s="4">
        <v>0</v>
      </c>
      <c r="AO4685" s="4">
        <v>0</v>
      </c>
      <c r="AP4685" s="4">
        <v>12</v>
      </c>
      <c r="AQ4685" s="4">
        <v>17</v>
      </c>
      <c r="AR4685" s="3" t="s">
        <v>62</v>
      </c>
      <c r="AS4685" s="3" t="s">
        <v>62</v>
      </c>
      <c r="AT4685" s="3" t="s">
        <v>62</v>
      </c>
      <c r="AV4685" s="6" t="str">
        <f>HYPERLINK("http://mcgill.on.worldcat.org/oclc/759570204","Catalog Record")</f>
        <v>Catalog Record</v>
      </c>
      <c r="AW4685" s="6" t="str">
        <f>HYPERLINK("http://www.worldcat.org/oclc/759570204","WorldCat Record")</f>
        <v>WorldCat Record</v>
      </c>
      <c r="AX4685" s="3" t="s">
        <v>44860</v>
      </c>
      <c r="AY4685" s="3" t="s">
        <v>44861</v>
      </c>
      <c r="AZ4685" s="3" t="s">
        <v>44862</v>
      </c>
      <c r="BA4685" s="3" t="s">
        <v>44862</v>
      </c>
      <c r="BB4685" s="3" t="s">
        <v>44863</v>
      </c>
      <c r="BC4685" s="3" t="s">
        <v>142</v>
      </c>
      <c r="BD4685" s="3" t="s">
        <v>68</v>
      </c>
      <c r="BE4685" s="3" t="s">
        <v>44864</v>
      </c>
      <c r="BF4685" s="3" t="s">
        <v>44863</v>
      </c>
      <c r="BG4685" s="3" t="s">
        <v>44865</v>
      </c>
    </row>
    <row r="4686" spans="1:59" ht="114" x14ac:dyDescent="0.45">
      <c r="A4686" s="2" t="s">
        <v>59</v>
      </c>
      <c r="B4686" s="2" t="s">
        <v>60</v>
      </c>
      <c r="C4686" s="2" t="s">
        <v>44866</v>
      </c>
      <c r="D4686" s="2" t="s">
        <v>44867</v>
      </c>
      <c r="E4686" s="2" t="s">
        <v>44868</v>
      </c>
      <c r="F4686" s="3" t="s">
        <v>44869</v>
      </c>
      <c r="G4686" s="3" t="s">
        <v>62</v>
      </c>
      <c r="I4686" s="3" t="s">
        <v>62</v>
      </c>
      <c r="J4686" s="3" t="s">
        <v>62</v>
      </c>
      <c r="K4686" s="3" t="s">
        <v>63</v>
      </c>
      <c r="L4686" s="2" t="s">
        <v>44870</v>
      </c>
      <c r="M4686" s="2" t="s">
        <v>6260</v>
      </c>
      <c r="N4686" s="3" t="s">
        <v>1155</v>
      </c>
      <c r="P4686" s="3" t="s">
        <v>182</v>
      </c>
      <c r="Q4686" s="2" t="s">
        <v>44871</v>
      </c>
      <c r="R4686" s="3" t="s">
        <v>66</v>
      </c>
      <c r="S4686" s="4">
        <v>0</v>
      </c>
      <c r="T4686" s="4">
        <v>0</v>
      </c>
      <c r="W4686" s="5" t="s">
        <v>2406</v>
      </c>
      <c r="X4686" s="5" t="s">
        <v>2406</v>
      </c>
      <c r="Y4686" s="4">
        <v>19</v>
      </c>
      <c r="Z4686" s="4">
        <v>1</v>
      </c>
      <c r="AA4686" s="4">
        <v>1</v>
      </c>
      <c r="AB4686" s="4">
        <v>1</v>
      </c>
      <c r="AC4686" s="4">
        <v>1</v>
      </c>
      <c r="AD4686" s="4">
        <v>9</v>
      </c>
      <c r="AE4686" s="4">
        <v>9</v>
      </c>
      <c r="AF4686" s="4">
        <v>0</v>
      </c>
      <c r="AG4686" s="4">
        <v>0</v>
      </c>
      <c r="AH4686" s="4">
        <v>9</v>
      </c>
      <c r="AI4686" s="4">
        <v>9</v>
      </c>
      <c r="AJ4686" s="4">
        <v>0</v>
      </c>
      <c r="AK4686" s="4">
        <v>0</v>
      </c>
      <c r="AL4686" s="4">
        <v>8</v>
      </c>
      <c r="AM4686" s="4">
        <v>8</v>
      </c>
      <c r="AN4686" s="4">
        <v>0</v>
      </c>
      <c r="AO4686" s="4">
        <v>0</v>
      </c>
      <c r="AP4686" s="4">
        <v>0</v>
      </c>
      <c r="AQ4686" s="4">
        <v>0</v>
      </c>
      <c r="AR4686" s="3" t="s">
        <v>62</v>
      </c>
      <c r="AS4686" s="3" t="s">
        <v>62</v>
      </c>
      <c r="AT4686" s="3" t="s">
        <v>62</v>
      </c>
      <c r="AV4686" s="6" t="str">
        <f>HYPERLINK("http://mcgill.on.worldcat.org/oclc/812506527","Catalog Record")</f>
        <v>Catalog Record</v>
      </c>
      <c r="AW4686" s="6" t="str">
        <f>HYPERLINK("http://www.worldcat.org/oclc/812506527","WorldCat Record")</f>
        <v>WorldCat Record</v>
      </c>
      <c r="AX4686" s="3" t="s">
        <v>44872</v>
      </c>
      <c r="AY4686" s="3" t="s">
        <v>44873</v>
      </c>
      <c r="AZ4686" s="3" t="s">
        <v>44874</v>
      </c>
      <c r="BA4686" s="3" t="s">
        <v>44874</v>
      </c>
      <c r="BB4686" s="3" t="s">
        <v>44875</v>
      </c>
      <c r="BC4686" s="3" t="s">
        <v>142</v>
      </c>
      <c r="BD4686" s="3" t="s">
        <v>68</v>
      </c>
      <c r="BE4686" s="3" t="s">
        <v>44876</v>
      </c>
      <c r="BF4686" s="3" t="s">
        <v>44875</v>
      </c>
      <c r="BG4686" s="3" t="s">
        <v>44877</v>
      </c>
    </row>
    <row r="4687" spans="1:59" ht="57" x14ac:dyDescent="0.45">
      <c r="A4687" s="2" t="s">
        <v>59</v>
      </c>
      <c r="B4687" s="2" t="s">
        <v>60</v>
      </c>
      <c r="C4687" s="2" t="s">
        <v>44878</v>
      </c>
      <c r="D4687" s="2" t="s">
        <v>44879</v>
      </c>
      <c r="E4687" s="2" t="s">
        <v>44880</v>
      </c>
      <c r="G4687" s="3" t="s">
        <v>62</v>
      </c>
      <c r="I4687" s="3" t="s">
        <v>61</v>
      </c>
      <c r="J4687" s="3" t="s">
        <v>62</v>
      </c>
      <c r="K4687" s="3" t="s">
        <v>63</v>
      </c>
      <c r="L4687" s="2" t="s">
        <v>44881</v>
      </c>
      <c r="M4687" s="2" t="s">
        <v>44882</v>
      </c>
      <c r="N4687" s="3" t="s">
        <v>117</v>
      </c>
      <c r="P4687" s="3" t="s">
        <v>65</v>
      </c>
      <c r="Q4687" s="2" t="s">
        <v>7366</v>
      </c>
      <c r="R4687" s="3" t="s">
        <v>66</v>
      </c>
      <c r="S4687" s="4">
        <v>10</v>
      </c>
      <c r="T4687" s="4">
        <v>18</v>
      </c>
      <c r="U4687" s="5" t="s">
        <v>29124</v>
      </c>
      <c r="V4687" s="5" t="s">
        <v>29124</v>
      </c>
      <c r="W4687" s="5" t="s">
        <v>67</v>
      </c>
      <c r="X4687" s="5" t="s">
        <v>67</v>
      </c>
      <c r="Y4687" s="4">
        <v>368</v>
      </c>
      <c r="Z4687" s="4">
        <v>20</v>
      </c>
      <c r="AA4687" s="4">
        <v>27</v>
      </c>
      <c r="AB4687" s="4">
        <v>2</v>
      </c>
      <c r="AC4687" s="4">
        <v>6</v>
      </c>
      <c r="AD4687" s="4">
        <v>81</v>
      </c>
      <c r="AE4687" s="4">
        <v>87</v>
      </c>
      <c r="AF4687" s="4">
        <v>1</v>
      </c>
      <c r="AG4687" s="4">
        <v>4</v>
      </c>
      <c r="AH4687" s="4">
        <v>71</v>
      </c>
      <c r="AI4687" s="4">
        <v>73</v>
      </c>
      <c r="AJ4687" s="4">
        <v>16</v>
      </c>
      <c r="AK4687" s="4">
        <v>20</v>
      </c>
      <c r="AL4687" s="4">
        <v>40</v>
      </c>
      <c r="AM4687" s="4">
        <v>40</v>
      </c>
      <c r="AN4687" s="4">
        <v>0</v>
      </c>
      <c r="AO4687" s="4">
        <v>0</v>
      </c>
      <c r="AP4687" s="4">
        <v>17</v>
      </c>
      <c r="AQ4687" s="4">
        <v>21</v>
      </c>
      <c r="AR4687" s="3" t="s">
        <v>62</v>
      </c>
      <c r="AS4687" s="3" t="s">
        <v>62</v>
      </c>
      <c r="AT4687" s="3" t="s">
        <v>61</v>
      </c>
      <c r="AU4687" s="6" t="str">
        <f>HYPERLINK("http://catalog.hathitrust.org/Record/000365138","HathiTrust Record")</f>
        <v>HathiTrust Record</v>
      </c>
      <c r="AV4687" s="6" t="str">
        <f>HYPERLINK("http://mcgill.on.worldcat.org/oclc/9324645","Catalog Record")</f>
        <v>Catalog Record</v>
      </c>
      <c r="AW4687" s="6" t="str">
        <f>HYPERLINK("http://www.worldcat.org/oclc/9324645","WorldCat Record")</f>
        <v>WorldCat Record</v>
      </c>
      <c r="AX4687" s="3" t="s">
        <v>44883</v>
      </c>
      <c r="AY4687" s="3" t="s">
        <v>44884</v>
      </c>
      <c r="AZ4687" s="3" t="s">
        <v>44885</v>
      </c>
      <c r="BA4687" s="3" t="s">
        <v>44885</v>
      </c>
      <c r="BB4687" s="3" t="s">
        <v>44886</v>
      </c>
      <c r="BC4687" s="3" t="s">
        <v>142</v>
      </c>
      <c r="BD4687" s="3" t="s">
        <v>68</v>
      </c>
      <c r="BE4687" s="3" t="s">
        <v>44887</v>
      </c>
      <c r="BF4687" s="3" t="s">
        <v>44886</v>
      </c>
      <c r="BG4687" s="3" t="s">
        <v>44888</v>
      </c>
    </row>
    <row r="4688" spans="1:59" ht="57" x14ac:dyDescent="0.45">
      <c r="A4688" s="2" t="s">
        <v>59</v>
      </c>
      <c r="B4688" s="2" t="s">
        <v>60</v>
      </c>
      <c r="C4688" s="2" t="s">
        <v>44878</v>
      </c>
      <c r="D4688" s="2" t="s">
        <v>44879</v>
      </c>
      <c r="E4688" s="2" t="s">
        <v>44880</v>
      </c>
      <c r="G4688" s="3" t="s">
        <v>62</v>
      </c>
      <c r="I4688" s="3" t="s">
        <v>61</v>
      </c>
      <c r="J4688" s="3" t="s">
        <v>62</v>
      </c>
      <c r="K4688" s="3" t="s">
        <v>63</v>
      </c>
      <c r="L4688" s="2" t="s">
        <v>44881</v>
      </c>
      <c r="M4688" s="2" t="s">
        <v>44882</v>
      </c>
      <c r="N4688" s="3" t="s">
        <v>117</v>
      </c>
      <c r="P4688" s="3" t="s">
        <v>65</v>
      </c>
      <c r="Q4688" s="2" t="s">
        <v>7366</v>
      </c>
      <c r="R4688" s="3" t="s">
        <v>66</v>
      </c>
      <c r="S4688" s="4">
        <v>8</v>
      </c>
      <c r="T4688" s="4">
        <v>18</v>
      </c>
      <c r="U4688" s="5" t="s">
        <v>44889</v>
      </c>
      <c r="V4688" s="5" t="s">
        <v>29124</v>
      </c>
      <c r="W4688" s="5" t="s">
        <v>67</v>
      </c>
      <c r="X4688" s="5" t="s">
        <v>67</v>
      </c>
      <c r="Y4688" s="4">
        <v>368</v>
      </c>
      <c r="Z4688" s="4">
        <v>20</v>
      </c>
      <c r="AA4688" s="4">
        <v>27</v>
      </c>
      <c r="AB4688" s="4">
        <v>2</v>
      </c>
      <c r="AC4688" s="4">
        <v>6</v>
      </c>
      <c r="AD4688" s="4">
        <v>81</v>
      </c>
      <c r="AE4688" s="4">
        <v>87</v>
      </c>
      <c r="AF4688" s="4">
        <v>1</v>
      </c>
      <c r="AG4688" s="4">
        <v>4</v>
      </c>
      <c r="AH4688" s="4">
        <v>71</v>
      </c>
      <c r="AI4688" s="4">
        <v>73</v>
      </c>
      <c r="AJ4688" s="4">
        <v>16</v>
      </c>
      <c r="AK4688" s="4">
        <v>20</v>
      </c>
      <c r="AL4688" s="4">
        <v>40</v>
      </c>
      <c r="AM4688" s="4">
        <v>40</v>
      </c>
      <c r="AN4688" s="4">
        <v>0</v>
      </c>
      <c r="AO4688" s="4">
        <v>0</v>
      </c>
      <c r="AP4688" s="4">
        <v>17</v>
      </c>
      <c r="AQ4688" s="4">
        <v>21</v>
      </c>
      <c r="AR4688" s="3" t="s">
        <v>62</v>
      </c>
      <c r="AS4688" s="3" t="s">
        <v>62</v>
      </c>
      <c r="AT4688" s="3" t="s">
        <v>61</v>
      </c>
      <c r="AU4688" s="6" t="str">
        <f>HYPERLINK("http://catalog.hathitrust.org/Record/000365138","HathiTrust Record")</f>
        <v>HathiTrust Record</v>
      </c>
      <c r="AV4688" s="6" t="str">
        <f>HYPERLINK("http://mcgill.on.worldcat.org/oclc/9324645","Catalog Record")</f>
        <v>Catalog Record</v>
      </c>
      <c r="AW4688" s="6" t="str">
        <f>HYPERLINK("http://www.worldcat.org/oclc/9324645","WorldCat Record")</f>
        <v>WorldCat Record</v>
      </c>
      <c r="AX4688" s="3" t="s">
        <v>44883</v>
      </c>
      <c r="AY4688" s="3" t="s">
        <v>44884</v>
      </c>
      <c r="AZ4688" s="3" t="s">
        <v>44885</v>
      </c>
      <c r="BA4688" s="3" t="s">
        <v>44885</v>
      </c>
      <c r="BB4688" s="3" t="s">
        <v>44890</v>
      </c>
      <c r="BC4688" s="3" t="s">
        <v>142</v>
      </c>
      <c r="BD4688" s="3" t="s">
        <v>68</v>
      </c>
      <c r="BE4688" s="3" t="s">
        <v>44887</v>
      </c>
      <c r="BF4688" s="3" t="s">
        <v>44890</v>
      </c>
      <c r="BG4688" s="3" t="s">
        <v>44891</v>
      </c>
    </row>
    <row r="4689" spans="1:59" ht="57" x14ac:dyDescent="0.45">
      <c r="A4689" s="2" t="s">
        <v>59</v>
      </c>
      <c r="B4689" s="2" t="s">
        <v>60</v>
      </c>
      <c r="C4689" s="2" t="s">
        <v>44892</v>
      </c>
      <c r="D4689" s="2" t="s">
        <v>44893</v>
      </c>
      <c r="E4689" s="2" t="s">
        <v>44894</v>
      </c>
      <c r="G4689" s="3" t="s">
        <v>62</v>
      </c>
      <c r="I4689" s="3" t="s">
        <v>62</v>
      </c>
      <c r="J4689" s="3" t="s">
        <v>62</v>
      </c>
      <c r="K4689" s="3" t="s">
        <v>63</v>
      </c>
      <c r="L4689" s="2" t="s">
        <v>44895</v>
      </c>
      <c r="M4689" s="2" t="s">
        <v>3567</v>
      </c>
      <c r="N4689" s="3" t="s">
        <v>894</v>
      </c>
      <c r="P4689" s="3" t="s">
        <v>65</v>
      </c>
      <c r="Q4689" s="2" t="s">
        <v>44896</v>
      </c>
      <c r="R4689" s="3" t="s">
        <v>66</v>
      </c>
      <c r="S4689" s="4">
        <v>0</v>
      </c>
      <c r="T4689" s="4">
        <v>0</v>
      </c>
      <c r="W4689" s="5" t="s">
        <v>67</v>
      </c>
      <c r="X4689" s="5" t="s">
        <v>67</v>
      </c>
      <c r="Y4689" s="4">
        <v>20</v>
      </c>
      <c r="Z4689" s="4">
        <v>4</v>
      </c>
      <c r="AA4689" s="4">
        <v>4</v>
      </c>
      <c r="AB4689" s="4">
        <v>1</v>
      </c>
      <c r="AC4689" s="4">
        <v>1</v>
      </c>
      <c r="AD4689" s="4">
        <v>7</v>
      </c>
      <c r="AE4689" s="4">
        <v>12</v>
      </c>
      <c r="AF4689" s="4">
        <v>0</v>
      </c>
      <c r="AG4689" s="4">
        <v>0</v>
      </c>
      <c r="AH4689" s="4">
        <v>6</v>
      </c>
      <c r="AI4689" s="4">
        <v>11</v>
      </c>
      <c r="AJ4689" s="4">
        <v>3</v>
      </c>
      <c r="AK4689" s="4">
        <v>3</v>
      </c>
      <c r="AL4689" s="4">
        <v>3</v>
      </c>
      <c r="AM4689" s="4">
        <v>6</v>
      </c>
      <c r="AN4689" s="4">
        <v>0</v>
      </c>
      <c r="AO4689" s="4">
        <v>0</v>
      </c>
      <c r="AP4689" s="4">
        <v>3</v>
      </c>
      <c r="AQ4689" s="4">
        <v>3</v>
      </c>
      <c r="AR4689" s="3" t="s">
        <v>62</v>
      </c>
      <c r="AS4689" s="3" t="s">
        <v>62</v>
      </c>
      <c r="AT4689" s="3" t="s">
        <v>62</v>
      </c>
      <c r="AV4689" s="6" t="str">
        <f>HYPERLINK("http://mcgill.on.worldcat.org/oclc/759909902","Catalog Record")</f>
        <v>Catalog Record</v>
      </c>
      <c r="AW4689" s="6" t="str">
        <f>HYPERLINK("http://www.worldcat.org/oclc/759909902","WorldCat Record")</f>
        <v>WorldCat Record</v>
      </c>
      <c r="AX4689" s="3" t="s">
        <v>44897</v>
      </c>
      <c r="AY4689" s="3" t="s">
        <v>44898</v>
      </c>
      <c r="AZ4689" s="3" t="s">
        <v>44899</v>
      </c>
      <c r="BA4689" s="3" t="s">
        <v>44899</v>
      </c>
      <c r="BB4689" s="3" t="s">
        <v>44900</v>
      </c>
      <c r="BC4689" s="3" t="s">
        <v>142</v>
      </c>
      <c r="BD4689" s="3" t="s">
        <v>68</v>
      </c>
      <c r="BE4689" s="3" t="s">
        <v>44901</v>
      </c>
      <c r="BF4689" s="3" t="s">
        <v>44900</v>
      </c>
      <c r="BG4689" s="3" t="s">
        <v>44902</v>
      </c>
    </row>
    <row r="4690" spans="1:59" ht="57" x14ac:dyDescent="0.45">
      <c r="A4690" s="2" t="s">
        <v>59</v>
      </c>
      <c r="B4690" s="2" t="s">
        <v>60</v>
      </c>
      <c r="C4690" s="2" t="s">
        <v>44903</v>
      </c>
      <c r="D4690" s="2" t="s">
        <v>44904</v>
      </c>
      <c r="E4690" s="2" t="s">
        <v>44905</v>
      </c>
      <c r="G4690" s="3" t="s">
        <v>62</v>
      </c>
      <c r="I4690" s="3" t="s">
        <v>62</v>
      </c>
      <c r="J4690" s="3" t="s">
        <v>62</v>
      </c>
      <c r="K4690" s="3" t="s">
        <v>63</v>
      </c>
      <c r="L4690" s="2" t="s">
        <v>44906</v>
      </c>
      <c r="M4690" s="2" t="s">
        <v>1189</v>
      </c>
      <c r="N4690" s="3" t="s">
        <v>149</v>
      </c>
      <c r="P4690" s="3" t="s">
        <v>65</v>
      </c>
      <c r="Q4690" s="2" t="s">
        <v>44907</v>
      </c>
      <c r="R4690" s="3" t="s">
        <v>66</v>
      </c>
      <c r="S4690" s="4">
        <v>1</v>
      </c>
      <c r="T4690" s="4">
        <v>1</v>
      </c>
      <c r="U4690" s="5" t="s">
        <v>44908</v>
      </c>
      <c r="V4690" s="5" t="s">
        <v>44908</v>
      </c>
      <c r="W4690" s="5" t="s">
        <v>67</v>
      </c>
      <c r="X4690" s="5" t="s">
        <v>67</v>
      </c>
      <c r="Y4690" s="4">
        <v>96</v>
      </c>
      <c r="Z4690" s="4">
        <v>11</v>
      </c>
      <c r="AA4690" s="4">
        <v>79</v>
      </c>
      <c r="AB4690" s="4">
        <v>1</v>
      </c>
      <c r="AC4690" s="4">
        <v>15</v>
      </c>
      <c r="AD4690" s="4">
        <v>48</v>
      </c>
      <c r="AE4690" s="4">
        <v>108</v>
      </c>
      <c r="AF4690" s="4">
        <v>0</v>
      </c>
      <c r="AG4690" s="4">
        <v>8</v>
      </c>
      <c r="AH4690" s="4">
        <v>44</v>
      </c>
      <c r="AI4690" s="4">
        <v>75</v>
      </c>
      <c r="AJ4690" s="4">
        <v>8</v>
      </c>
      <c r="AK4690" s="4">
        <v>22</v>
      </c>
      <c r="AL4690" s="4">
        <v>30</v>
      </c>
      <c r="AM4690" s="4">
        <v>42</v>
      </c>
      <c r="AN4690" s="4">
        <v>0</v>
      </c>
      <c r="AO4690" s="4">
        <v>0</v>
      </c>
      <c r="AP4690" s="4">
        <v>8</v>
      </c>
      <c r="AQ4690" s="4">
        <v>41</v>
      </c>
      <c r="AR4690" s="3" t="s">
        <v>62</v>
      </c>
      <c r="AS4690" s="3" t="s">
        <v>62</v>
      </c>
      <c r="AT4690" s="3" t="s">
        <v>62</v>
      </c>
      <c r="AV4690" s="6" t="str">
        <f>HYPERLINK("http://mcgill.on.worldcat.org/oclc/237880902","Catalog Record")</f>
        <v>Catalog Record</v>
      </c>
      <c r="AW4690" s="6" t="str">
        <f>HYPERLINK("http://www.worldcat.org/oclc/237880902","WorldCat Record")</f>
        <v>WorldCat Record</v>
      </c>
      <c r="AX4690" s="3" t="s">
        <v>44909</v>
      </c>
      <c r="AY4690" s="3" t="s">
        <v>44910</v>
      </c>
      <c r="AZ4690" s="3" t="s">
        <v>44911</v>
      </c>
      <c r="BA4690" s="3" t="s">
        <v>44911</v>
      </c>
      <c r="BB4690" s="3" t="s">
        <v>44912</v>
      </c>
      <c r="BC4690" s="3" t="s">
        <v>142</v>
      </c>
      <c r="BD4690" s="3" t="s">
        <v>68</v>
      </c>
      <c r="BE4690" s="3" t="s">
        <v>44913</v>
      </c>
      <c r="BF4690" s="3" t="s">
        <v>44912</v>
      </c>
      <c r="BG4690" s="3" t="s">
        <v>44914</v>
      </c>
    </row>
    <row r="4691" spans="1:59" ht="57" x14ac:dyDescent="0.45">
      <c r="A4691" s="2" t="s">
        <v>59</v>
      </c>
      <c r="B4691" s="2" t="s">
        <v>60</v>
      </c>
      <c r="C4691" s="2" t="s">
        <v>44915</v>
      </c>
      <c r="D4691" s="2" t="s">
        <v>44916</v>
      </c>
      <c r="E4691" s="2" t="s">
        <v>44917</v>
      </c>
      <c r="G4691" s="3" t="s">
        <v>62</v>
      </c>
      <c r="I4691" s="3" t="s">
        <v>61</v>
      </c>
      <c r="J4691" s="3" t="s">
        <v>62</v>
      </c>
      <c r="K4691" s="3" t="s">
        <v>63</v>
      </c>
      <c r="L4691" s="2" t="s">
        <v>44918</v>
      </c>
      <c r="M4691" s="2" t="s">
        <v>44919</v>
      </c>
      <c r="N4691" s="3" t="s">
        <v>555</v>
      </c>
      <c r="P4691" s="3" t="s">
        <v>65</v>
      </c>
      <c r="Q4691" s="2" t="s">
        <v>44920</v>
      </c>
      <c r="R4691" s="3" t="s">
        <v>66</v>
      </c>
      <c r="S4691" s="4">
        <v>10</v>
      </c>
      <c r="T4691" s="4">
        <v>54</v>
      </c>
      <c r="U4691" s="5" t="s">
        <v>44921</v>
      </c>
      <c r="V4691" s="5" t="s">
        <v>28233</v>
      </c>
      <c r="W4691" s="5" t="s">
        <v>67</v>
      </c>
      <c r="X4691" s="5" t="s">
        <v>67</v>
      </c>
      <c r="Y4691" s="4">
        <v>1176</v>
      </c>
      <c r="Z4691" s="4">
        <v>55</v>
      </c>
      <c r="AA4691" s="4">
        <v>128</v>
      </c>
      <c r="AB4691" s="4">
        <v>3</v>
      </c>
      <c r="AC4691" s="4">
        <v>21</v>
      </c>
      <c r="AD4691" s="4">
        <v>145</v>
      </c>
      <c r="AE4691" s="4">
        <v>164</v>
      </c>
      <c r="AF4691" s="4">
        <v>2</v>
      </c>
      <c r="AG4691" s="4">
        <v>8</v>
      </c>
      <c r="AH4691" s="4">
        <v>112</v>
      </c>
      <c r="AI4691" s="4">
        <v>117</v>
      </c>
      <c r="AJ4691" s="4">
        <v>21</v>
      </c>
      <c r="AK4691" s="4">
        <v>28</v>
      </c>
      <c r="AL4691" s="4">
        <v>60</v>
      </c>
      <c r="AM4691" s="4">
        <v>60</v>
      </c>
      <c r="AN4691" s="4">
        <v>0</v>
      </c>
      <c r="AO4691" s="4">
        <v>0</v>
      </c>
      <c r="AP4691" s="4">
        <v>39</v>
      </c>
      <c r="AQ4691" s="4">
        <v>55</v>
      </c>
      <c r="AR4691" s="3" t="s">
        <v>62</v>
      </c>
      <c r="AS4691" s="3" t="s">
        <v>62</v>
      </c>
      <c r="AT4691" s="3" t="s">
        <v>61</v>
      </c>
      <c r="AU4691" s="6" t="str">
        <f>HYPERLINK("http://catalog.hathitrust.org/Record/000009261","HathiTrust Record")</f>
        <v>HathiTrust Record</v>
      </c>
      <c r="AV4691" s="6" t="str">
        <f>HYPERLINK("http://mcgill.on.worldcat.org/oclc/661742","Catalog Record")</f>
        <v>Catalog Record</v>
      </c>
      <c r="AW4691" s="6" t="str">
        <f>HYPERLINK("http://www.worldcat.org/oclc/661742","WorldCat Record")</f>
        <v>WorldCat Record</v>
      </c>
      <c r="AX4691" s="3" t="s">
        <v>44922</v>
      </c>
      <c r="AY4691" s="3" t="s">
        <v>44923</v>
      </c>
      <c r="AZ4691" s="3" t="s">
        <v>44924</v>
      </c>
      <c r="BA4691" s="3" t="s">
        <v>44924</v>
      </c>
      <c r="BB4691" s="3" t="s">
        <v>44925</v>
      </c>
      <c r="BC4691" s="3" t="s">
        <v>142</v>
      </c>
      <c r="BD4691" s="3" t="s">
        <v>68</v>
      </c>
      <c r="BE4691" s="3" t="s">
        <v>44926</v>
      </c>
      <c r="BF4691" s="3" t="s">
        <v>44925</v>
      </c>
      <c r="BG4691" s="3" t="s">
        <v>44927</v>
      </c>
    </row>
    <row r="4692" spans="1:59" ht="57" x14ac:dyDescent="0.45">
      <c r="A4692" s="2" t="s">
        <v>59</v>
      </c>
      <c r="B4692" s="2" t="s">
        <v>60</v>
      </c>
      <c r="C4692" s="2" t="s">
        <v>44915</v>
      </c>
      <c r="D4692" s="2" t="s">
        <v>44916</v>
      </c>
      <c r="E4692" s="2" t="s">
        <v>44917</v>
      </c>
      <c r="G4692" s="3" t="s">
        <v>62</v>
      </c>
      <c r="I4692" s="3" t="s">
        <v>61</v>
      </c>
      <c r="J4692" s="3" t="s">
        <v>62</v>
      </c>
      <c r="K4692" s="3" t="s">
        <v>63</v>
      </c>
      <c r="L4692" s="2" t="s">
        <v>44918</v>
      </c>
      <c r="M4692" s="2" t="s">
        <v>44919</v>
      </c>
      <c r="N4692" s="3" t="s">
        <v>555</v>
      </c>
      <c r="P4692" s="3" t="s">
        <v>65</v>
      </c>
      <c r="Q4692" s="2" t="s">
        <v>44920</v>
      </c>
      <c r="R4692" s="3" t="s">
        <v>66</v>
      </c>
      <c r="S4692" s="4">
        <v>25</v>
      </c>
      <c r="T4692" s="4">
        <v>54</v>
      </c>
      <c r="U4692" s="5" t="s">
        <v>44928</v>
      </c>
      <c r="V4692" s="5" t="s">
        <v>28233</v>
      </c>
      <c r="W4692" s="5" t="s">
        <v>67</v>
      </c>
      <c r="X4692" s="5" t="s">
        <v>67</v>
      </c>
      <c r="Y4692" s="4">
        <v>1176</v>
      </c>
      <c r="Z4692" s="4">
        <v>55</v>
      </c>
      <c r="AA4692" s="4">
        <v>128</v>
      </c>
      <c r="AB4692" s="4">
        <v>3</v>
      </c>
      <c r="AC4692" s="4">
        <v>21</v>
      </c>
      <c r="AD4692" s="4">
        <v>145</v>
      </c>
      <c r="AE4692" s="4">
        <v>164</v>
      </c>
      <c r="AF4692" s="4">
        <v>2</v>
      </c>
      <c r="AG4692" s="4">
        <v>8</v>
      </c>
      <c r="AH4692" s="4">
        <v>112</v>
      </c>
      <c r="AI4692" s="4">
        <v>117</v>
      </c>
      <c r="AJ4692" s="4">
        <v>21</v>
      </c>
      <c r="AK4692" s="4">
        <v>28</v>
      </c>
      <c r="AL4692" s="4">
        <v>60</v>
      </c>
      <c r="AM4692" s="4">
        <v>60</v>
      </c>
      <c r="AN4692" s="4">
        <v>0</v>
      </c>
      <c r="AO4692" s="4">
        <v>0</v>
      </c>
      <c r="AP4692" s="4">
        <v>39</v>
      </c>
      <c r="AQ4692" s="4">
        <v>55</v>
      </c>
      <c r="AR4692" s="3" t="s">
        <v>62</v>
      </c>
      <c r="AS4692" s="3" t="s">
        <v>62</v>
      </c>
      <c r="AT4692" s="3" t="s">
        <v>61</v>
      </c>
      <c r="AU4692" s="6" t="str">
        <f>HYPERLINK("http://catalog.hathitrust.org/Record/000009261","HathiTrust Record")</f>
        <v>HathiTrust Record</v>
      </c>
      <c r="AV4692" s="6" t="str">
        <f>HYPERLINK("http://mcgill.on.worldcat.org/oclc/661742","Catalog Record")</f>
        <v>Catalog Record</v>
      </c>
      <c r="AW4692" s="6" t="str">
        <f>HYPERLINK("http://www.worldcat.org/oclc/661742","WorldCat Record")</f>
        <v>WorldCat Record</v>
      </c>
      <c r="AX4692" s="3" t="s">
        <v>44922</v>
      </c>
      <c r="AY4692" s="3" t="s">
        <v>44923</v>
      </c>
      <c r="AZ4692" s="3" t="s">
        <v>44924</v>
      </c>
      <c r="BA4692" s="3" t="s">
        <v>44924</v>
      </c>
      <c r="BB4692" s="3" t="s">
        <v>44929</v>
      </c>
      <c r="BC4692" s="3" t="s">
        <v>142</v>
      </c>
      <c r="BD4692" s="3" t="s">
        <v>68</v>
      </c>
      <c r="BE4692" s="3" t="s">
        <v>44926</v>
      </c>
      <c r="BF4692" s="3" t="s">
        <v>44929</v>
      </c>
      <c r="BG4692" s="3" t="s">
        <v>44930</v>
      </c>
    </row>
    <row r="4693" spans="1:59" ht="57" x14ac:dyDescent="0.45">
      <c r="A4693" s="2" t="s">
        <v>59</v>
      </c>
      <c r="B4693" s="2" t="s">
        <v>60</v>
      </c>
      <c r="C4693" s="2" t="s">
        <v>44915</v>
      </c>
      <c r="D4693" s="2" t="s">
        <v>44916</v>
      </c>
      <c r="E4693" s="2" t="s">
        <v>44917</v>
      </c>
      <c r="G4693" s="3" t="s">
        <v>62</v>
      </c>
      <c r="I4693" s="3" t="s">
        <v>61</v>
      </c>
      <c r="J4693" s="3" t="s">
        <v>62</v>
      </c>
      <c r="K4693" s="3" t="s">
        <v>63</v>
      </c>
      <c r="L4693" s="2" t="s">
        <v>44918</v>
      </c>
      <c r="M4693" s="2" t="s">
        <v>44919</v>
      </c>
      <c r="N4693" s="3" t="s">
        <v>555</v>
      </c>
      <c r="P4693" s="3" t="s">
        <v>65</v>
      </c>
      <c r="Q4693" s="2" t="s">
        <v>44920</v>
      </c>
      <c r="R4693" s="3" t="s">
        <v>66</v>
      </c>
      <c r="S4693" s="4">
        <v>9</v>
      </c>
      <c r="T4693" s="4">
        <v>54</v>
      </c>
      <c r="U4693" s="5" t="s">
        <v>28233</v>
      </c>
      <c r="V4693" s="5" t="s">
        <v>28233</v>
      </c>
      <c r="W4693" s="5" t="s">
        <v>67</v>
      </c>
      <c r="X4693" s="5" t="s">
        <v>67</v>
      </c>
      <c r="Y4693" s="4">
        <v>1176</v>
      </c>
      <c r="Z4693" s="4">
        <v>55</v>
      </c>
      <c r="AA4693" s="4">
        <v>128</v>
      </c>
      <c r="AB4693" s="4">
        <v>3</v>
      </c>
      <c r="AC4693" s="4">
        <v>21</v>
      </c>
      <c r="AD4693" s="4">
        <v>145</v>
      </c>
      <c r="AE4693" s="4">
        <v>164</v>
      </c>
      <c r="AF4693" s="4">
        <v>2</v>
      </c>
      <c r="AG4693" s="4">
        <v>8</v>
      </c>
      <c r="AH4693" s="4">
        <v>112</v>
      </c>
      <c r="AI4693" s="4">
        <v>117</v>
      </c>
      <c r="AJ4693" s="4">
        <v>21</v>
      </c>
      <c r="AK4693" s="4">
        <v>28</v>
      </c>
      <c r="AL4693" s="4">
        <v>60</v>
      </c>
      <c r="AM4693" s="4">
        <v>60</v>
      </c>
      <c r="AN4693" s="4">
        <v>0</v>
      </c>
      <c r="AO4693" s="4">
        <v>0</v>
      </c>
      <c r="AP4693" s="4">
        <v>39</v>
      </c>
      <c r="AQ4693" s="4">
        <v>55</v>
      </c>
      <c r="AR4693" s="3" t="s">
        <v>62</v>
      </c>
      <c r="AS4693" s="3" t="s">
        <v>62</v>
      </c>
      <c r="AT4693" s="3" t="s">
        <v>61</v>
      </c>
      <c r="AU4693" s="6" t="str">
        <f>HYPERLINK("http://catalog.hathitrust.org/Record/000009261","HathiTrust Record")</f>
        <v>HathiTrust Record</v>
      </c>
      <c r="AV4693" s="6" t="str">
        <f>HYPERLINK("http://mcgill.on.worldcat.org/oclc/661742","Catalog Record")</f>
        <v>Catalog Record</v>
      </c>
      <c r="AW4693" s="6" t="str">
        <f>HYPERLINK("http://www.worldcat.org/oclc/661742","WorldCat Record")</f>
        <v>WorldCat Record</v>
      </c>
      <c r="AX4693" s="3" t="s">
        <v>44922</v>
      </c>
      <c r="AY4693" s="3" t="s">
        <v>44923</v>
      </c>
      <c r="AZ4693" s="3" t="s">
        <v>44924</v>
      </c>
      <c r="BA4693" s="3" t="s">
        <v>44924</v>
      </c>
      <c r="BB4693" s="3" t="s">
        <v>44931</v>
      </c>
      <c r="BC4693" s="3" t="s">
        <v>142</v>
      </c>
      <c r="BD4693" s="3" t="s">
        <v>68</v>
      </c>
      <c r="BE4693" s="3" t="s">
        <v>44926</v>
      </c>
      <c r="BF4693" s="3" t="s">
        <v>44931</v>
      </c>
      <c r="BG4693" s="3" t="s">
        <v>44932</v>
      </c>
    </row>
    <row r="4694" spans="1:59" ht="57" x14ac:dyDescent="0.45">
      <c r="A4694" s="2" t="s">
        <v>59</v>
      </c>
      <c r="B4694" s="2" t="s">
        <v>60</v>
      </c>
      <c r="C4694" s="2" t="s">
        <v>44915</v>
      </c>
      <c r="D4694" s="2" t="s">
        <v>44916</v>
      </c>
      <c r="E4694" s="2" t="s">
        <v>44917</v>
      </c>
      <c r="G4694" s="3" t="s">
        <v>62</v>
      </c>
      <c r="I4694" s="3" t="s">
        <v>61</v>
      </c>
      <c r="J4694" s="3" t="s">
        <v>62</v>
      </c>
      <c r="K4694" s="3" t="s">
        <v>63</v>
      </c>
      <c r="L4694" s="2" t="s">
        <v>44918</v>
      </c>
      <c r="M4694" s="2" t="s">
        <v>44919</v>
      </c>
      <c r="N4694" s="3" t="s">
        <v>555</v>
      </c>
      <c r="P4694" s="3" t="s">
        <v>65</v>
      </c>
      <c r="Q4694" s="2" t="s">
        <v>44920</v>
      </c>
      <c r="R4694" s="3" t="s">
        <v>66</v>
      </c>
      <c r="S4694" s="4">
        <v>0</v>
      </c>
      <c r="T4694" s="4">
        <v>54</v>
      </c>
      <c r="V4694" s="5" t="s">
        <v>28233</v>
      </c>
      <c r="W4694" s="5" t="s">
        <v>67</v>
      </c>
      <c r="X4694" s="5" t="s">
        <v>67</v>
      </c>
      <c r="Y4694" s="4">
        <v>1176</v>
      </c>
      <c r="Z4694" s="4">
        <v>55</v>
      </c>
      <c r="AA4694" s="4">
        <v>128</v>
      </c>
      <c r="AB4694" s="4">
        <v>3</v>
      </c>
      <c r="AC4694" s="4">
        <v>21</v>
      </c>
      <c r="AD4694" s="4">
        <v>145</v>
      </c>
      <c r="AE4694" s="4">
        <v>164</v>
      </c>
      <c r="AF4694" s="4">
        <v>2</v>
      </c>
      <c r="AG4694" s="4">
        <v>8</v>
      </c>
      <c r="AH4694" s="4">
        <v>112</v>
      </c>
      <c r="AI4694" s="4">
        <v>117</v>
      </c>
      <c r="AJ4694" s="4">
        <v>21</v>
      </c>
      <c r="AK4694" s="4">
        <v>28</v>
      </c>
      <c r="AL4694" s="4">
        <v>60</v>
      </c>
      <c r="AM4694" s="4">
        <v>60</v>
      </c>
      <c r="AN4694" s="4">
        <v>0</v>
      </c>
      <c r="AO4694" s="4">
        <v>0</v>
      </c>
      <c r="AP4694" s="4">
        <v>39</v>
      </c>
      <c r="AQ4694" s="4">
        <v>55</v>
      </c>
      <c r="AR4694" s="3" t="s">
        <v>62</v>
      </c>
      <c r="AS4694" s="3" t="s">
        <v>62</v>
      </c>
      <c r="AT4694" s="3" t="s">
        <v>61</v>
      </c>
      <c r="AU4694" s="6" t="str">
        <f>HYPERLINK("http://catalog.hathitrust.org/Record/000009261","HathiTrust Record")</f>
        <v>HathiTrust Record</v>
      </c>
      <c r="AV4694" s="6" t="str">
        <f>HYPERLINK("http://mcgill.on.worldcat.org/oclc/661742","Catalog Record")</f>
        <v>Catalog Record</v>
      </c>
      <c r="AW4694" s="6" t="str">
        <f>HYPERLINK("http://www.worldcat.org/oclc/661742","WorldCat Record")</f>
        <v>WorldCat Record</v>
      </c>
      <c r="AX4694" s="3" t="s">
        <v>44922</v>
      </c>
      <c r="AY4694" s="3" t="s">
        <v>44923</v>
      </c>
      <c r="AZ4694" s="3" t="s">
        <v>44924</v>
      </c>
      <c r="BA4694" s="3" t="s">
        <v>44924</v>
      </c>
      <c r="BB4694" s="3" t="s">
        <v>44933</v>
      </c>
      <c r="BC4694" s="3" t="s">
        <v>142</v>
      </c>
      <c r="BD4694" s="3" t="s">
        <v>68</v>
      </c>
      <c r="BE4694" s="3" t="s">
        <v>44926</v>
      </c>
      <c r="BF4694" s="3" t="s">
        <v>44933</v>
      </c>
      <c r="BG4694" s="3" t="s">
        <v>44934</v>
      </c>
    </row>
    <row r="4695" spans="1:59" ht="57" x14ac:dyDescent="0.45">
      <c r="A4695" s="2" t="s">
        <v>59</v>
      </c>
      <c r="B4695" s="2" t="s">
        <v>60</v>
      </c>
      <c r="C4695" s="2" t="s">
        <v>44915</v>
      </c>
      <c r="D4695" s="2" t="s">
        <v>44916</v>
      </c>
      <c r="E4695" s="2" t="s">
        <v>44917</v>
      </c>
      <c r="G4695" s="3" t="s">
        <v>62</v>
      </c>
      <c r="I4695" s="3" t="s">
        <v>61</v>
      </c>
      <c r="J4695" s="3" t="s">
        <v>62</v>
      </c>
      <c r="K4695" s="3" t="s">
        <v>63</v>
      </c>
      <c r="L4695" s="2" t="s">
        <v>44918</v>
      </c>
      <c r="M4695" s="2" t="s">
        <v>44919</v>
      </c>
      <c r="N4695" s="3" t="s">
        <v>555</v>
      </c>
      <c r="P4695" s="3" t="s">
        <v>65</v>
      </c>
      <c r="Q4695" s="2" t="s">
        <v>44920</v>
      </c>
      <c r="R4695" s="3" t="s">
        <v>66</v>
      </c>
      <c r="S4695" s="4">
        <v>10</v>
      </c>
      <c r="T4695" s="4">
        <v>54</v>
      </c>
      <c r="U4695" s="5" t="s">
        <v>44935</v>
      </c>
      <c r="V4695" s="5" t="s">
        <v>28233</v>
      </c>
      <c r="W4695" s="5" t="s">
        <v>67</v>
      </c>
      <c r="X4695" s="5" t="s">
        <v>67</v>
      </c>
      <c r="Y4695" s="4">
        <v>1176</v>
      </c>
      <c r="Z4695" s="4">
        <v>55</v>
      </c>
      <c r="AA4695" s="4">
        <v>128</v>
      </c>
      <c r="AB4695" s="4">
        <v>3</v>
      </c>
      <c r="AC4695" s="4">
        <v>21</v>
      </c>
      <c r="AD4695" s="4">
        <v>145</v>
      </c>
      <c r="AE4695" s="4">
        <v>164</v>
      </c>
      <c r="AF4695" s="4">
        <v>2</v>
      </c>
      <c r="AG4695" s="4">
        <v>8</v>
      </c>
      <c r="AH4695" s="4">
        <v>112</v>
      </c>
      <c r="AI4695" s="4">
        <v>117</v>
      </c>
      <c r="AJ4695" s="4">
        <v>21</v>
      </c>
      <c r="AK4695" s="4">
        <v>28</v>
      </c>
      <c r="AL4695" s="4">
        <v>60</v>
      </c>
      <c r="AM4695" s="4">
        <v>60</v>
      </c>
      <c r="AN4695" s="4">
        <v>0</v>
      </c>
      <c r="AO4695" s="4">
        <v>0</v>
      </c>
      <c r="AP4695" s="4">
        <v>39</v>
      </c>
      <c r="AQ4695" s="4">
        <v>55</v>
      </c>
      <c r="AR4695" s="3" t="s">
        <v>62</v>
      </c>
      <c r="AS4695" s="3" t="s">
        <v>62</v>
      </c>
      <c r="AT4695" s="3" t="s">
        <v>61</v>
      </c>
      <c r="AU4695" s="6" t="str">
        <f>HYPERLINK("http://catalog.hathitrust.org/Record/000009261","HathiTrust Record")</f>
        <v>HathiTrust Record</v>
      </c>
      <c r="AV4695" s="6" t="str">
        <f>HYPERLINK("http://mcgill.on.worldcat.org/oclc/661742","Catalog Record")</f>
        <v>Catalog Record</v>
      </c>
      <c r="AW4695" s="6" t="str">
        <f>HYPERLINK("http://www.worldcat.org/oclc/661742","WorldCat Record")</f>
        <v>WorldCat Record</v>
      </c>
      <c r="AX4695" s="3" t="s">
        <v>44922</v>
      </c>
      <c r="AY4695" s="3" t="s">
        <v>44923</v>
      </c>
      <c r="AZ4695" s="3" t="s">
        <v>44924</v>
      </c>
      <c r="BA4695" s="3" t="s">
        <v>44924</v>
      </c>
      <c r="BB4695" s="3" t="s">
        <v>44936</v>
      </c>
      <c r="BC4695" s="3" t="s">
        <v>142</v>
      </c>
      <c r="BD4695" s="3" t="s">
        <v>68</v>
      </c>
      <c r="BE4695" s="3" t="s">
        <v>44926</v>
      </c>
      <c r="BF4695" s="3" t="s">
        <v>44936</v>
      </c>
      <c r="BG4695" s="3" t="s">
        <v>44937</v>
      </c>
    </row>
    <row r="4696" spans="1:59" ht="57" x14ac:dyDescent="0.45">
      <c r="A4696" s="2" t="s">
        <v>59</v>
      </c>
      <c r="B4696" s="2" t="s">
        <v>60</v>
      </c>
      <c r="C4696" s="2" t="s">
        <v>44938</v>
      </c>
      <c r="D4696" s="2" t="s">
        <v>44939</v>
      </c>
      <c r="E4696" s="2" t="s">
        <v>44940</v>
      </c>
      <c r="G4696" s="3" t="s">
        <v>62</v>
      </c>
      <c r="I4696" s="3" t="s">
        <v>62</v>
      </c>
      <c r="J4696" s="3" t="s">
        <v>62</v>
      </c>
      <c r="K4696" s="3" t="s">
        <v>63</v>
      </c>
      <c r="L4696" s="2" t="s">
        <v>44941</v>
      </c>
      <c r="M4696" s="2" t="s">
        <v>44942</v>
      </c>
      <c r="N4696" s="3" t="s">
        <v>149</v>
      </c>
      <c r="P4696" s="3" t="s">
        <v>65</v>
      </c>
      <c r="Q4696" s="2" t="s">
        <v>44943</v>
      </c>
      <c r="R4696" s="3" t="s">
        <v>66</v>
      </c>
      <c r="S4696" s="4">
        <v>1</v>
      </c>
      <c r="T4696" s="4">
        <v>1</v>
      </c>
      <c r="U4696" s="5" t="s">
        <v>12780</v>
      </c>
      <c r="V4696" s="5" t="s">
        <v>12780</v>
      </c>
      <c r="W4696" s="5" t="s">
        <v>67</v>
      </c>
      <c r="X4696" s="5" t="s">
        <v>67</v>
      </c>
      <c r="Y4696" s="4">
        <v>186</v>
      </c>
      <c r="Z4696" s="4">
        <v>15</v>
      </c>
      <c r="AA4696" s="4">
        <v>78</v>
      </c>
      <c r="AB4696" s="4">
        <v>1</v>
      </c>
      <c r="AC4696" s="4">
        <v>14</v>
      </c>
      <c r="AD4696" s="4">
        <v>81</v>
      </c>
      <c r="AE4696" s="4">
        <v>128</v>
      </c>
      <c r="AF4696" s="4">
        <v>0</v>
      </c>
      <c r="AG4696" s="4">
        <v>8</v>
      </c>
      <c r="AH4696" s="4">
        <v>74</v>
      </c>
      <c r="AI4696" s="4">
        <v>94</v>
      </c>
      <c r="AJ4696" s="4">
        <v>11</v>
      </c>
      <c r="AK4696" s="4">
        <v>22</v>
      </c>
      <c r="AL4696" s="4">
        <v>46</v>
      </c>
      <c r="AM4696" s="4">
        <v>53</v>
      </c>
      <c r="AN4696" s="4">
        <v>0</v>
      </c>
      <c r="AO4696" s="4">
        <v>0</v>
      </c>
      <c r="AP4696" s="4">
        <v>12</v>
      </c>
      <c r="AQ4696" s="4">
        <v>42</v>
      </c>
      <c r="AR4696" s="3" t="s">
        <v>62</v>
      </c>
      <c r="AS4696" s="3" t="s">
        <v>62</v>
      </c>
      <c r="AT4696" s="3" t="s">
        <v>62</v>
      </c>
      <c r="AV4696" s="6" t="str">
        <f>HYPERLINK("http://mcgill.on.worldcat.org/oclc/456838628","Catalog Record")</f>
        <v>Catalog Record</v>
      </c>
      <c r="AW4696" s="6" t="str">
        <f>HYPERLINK("http://www.worldcat.org/oclc/456838628","WorldCat Record")</f>
        <v>WorldCat Record</v>
      </c>
      <c r="AX4696" s="3" t="s">
        <v>44944</v>
      </c>
      <c r="AY4696" s="3" t="s">
        <v>44945</v>
      </c>
      <c r="AZ4696" s="3" t="s">
        <v>44946</v>
      </c>
      <c r="BA4696" s="3" t="s">
        <v>44946</v>
      </c>
      <c r="BB4696" s="3" t="s">
        <v>44947</v>
      </c>
      <c r="BC4696" s="3" t="s">
        <v>142</v>
      </c>
      <c r="BD4696" s="3" t="s">
        <v>68</v>
      </c>
      <c r="BE4696" s="3" t="s">
        <v>44948</v>
      </c>
      <c r="BF4696" s="3" t="s">
        <v>44947</v>
      </c>
      <c r="BG4696" s="3" t="s">
        <v>44949</v>
      </c>
    </row>
    <row r="4697" spans="1:59" ht="57" x14ac:dyDescent="0.45">
      <c r="A4697" s="2" t="s">
        <v>59</v>
      </c>
      <c r="B4697" s="2" t="s">
        <v>60</v>
      </c>
      <c r="C4697" s="2" t="s">
        <v>44950</v>
      </c>
      <c r="D4697" s="2" t="s">
        <v>44951</v>
      </c>
      <c r="E4697" s="2" t="s">
        <v>44952</v>
      </c>
      <c r="G4697" s="3" t="s">
        <v>62</v>
      </c>
      <c r="I4697" s="3" t="s">
        <v>62</v>
      </c>
      <c r="J4697" s="3" t="s">
        <v>62</v>
      </c>
      <c r="K4697" s="3" t="s">
        <v>63</v>
      </c>
      <c r="L4697" s="2" t="s">
        <v>44953</v>
      </c>
      <c r="M4697" s="2" t="s">
        <v>13777</v>
      </c>
      <c r="N4697" s="3" t="s">
        <v>1155</v>
      </c>
      <c r="P4697" s="3" t="s">
        <v>65</v>
      </c>
      <c r="R4697" s="3" t="s">
        <v>66</v>
      </c>
      <c r="S4697" s="4">
        <v>3</v>
      </c>
      <c r="T4697" s="4">
        <v>3</v>
      </c>
      <c r="U4697" s="5" t="s">
        <v>43001</v>
      </c>
      <c r="V4697" s="5" t="s">
        <v>43001</v>
      </c>
      <c r="W4697" s="5" t="s">
        <v>67</v>
      </c>
      <c r="X4697" s="5" t="s">
        <v>67</v>
      </c>
      <c r="Y4697" s="4">
        <v>211</v>
      </c>
      <c r="Z4697" s="4">
        <v>22</v>
      </c>
      <c r="AA4697" s="4">
        <v>36</v>
      </c>
      <c r="AB4697" s="4">
        <v>1</v>
      </c>
      <c r="AC4697" s="4">
        <v>3</v>
      </c>
      <c r="AD4697" s="4">
        <v>80</v>
      </c>
      <c r="AE4697" s="4">
        <v>103</v>
      </c>
      <c r="AF4697" s="4">
        <v>0</v>
      </c>
      <c r="AG4697" s="4">
        <v>0</v>
      </c>
      <c r="AH4697" s="4">
        <v>70</v>
      </c>
      <c r="AI4697" s="4">
        <v>86</v>
      </c>
      <c r="AJ4697" s="4">
        <v>15</v>
      </c>
      <c r="AK4697" s="4">
        <v>17</v>
      </c>
      <c r="AL4697" s="4">
        <v>44</v>
      </c>
      <c r="AM4697" s="4">
        <v>52</v>
      </c>
      <c r="AN4697" s="4">
        <v>0</v>
      </c>
      <c r="AO4697" s="4">
        <v>0</v>
      </c>
      <c r="AP4697" s="4">
        <v>18</v>
      </c>
      <c r="AQ4697" s="4">
        <v>25</v>
      </c>
      <c r="AR4697" s="3" t="s">
        <v>62</v>
      </c>
      <c r="AS4697" s="3" t="s">
        <v>62</v>
      </c>
      <c r="AT4697" s="3" t="s">
        <v>62</v>
      </c>
      <c r="AV4697" s="6" t="str">
        <f>HYPERLINK("http://mcgill.on.worldcat.org/oclc/703621334","Catalog Record")</f>
        <v>Catalog Record</v>
      </c>
      <c r="AW4697" s="6" t="str">
        <f>HYPERLINK("http://www.worldcat.org/oclc/703621334","WorldCat Record")</f>
        <v>WorldCat Record</v>
      </c>
      <c r="AX4697" s="3" t="s">
        <v>44954</v>
      </c>
      <c r="AY4697" s="3" t="s">
        <v>44955</v>
      </c>
      <c r="AZ4697" s="3" t="s">
        <v>44956</v>
      </c>
      <c r="BA4697" s="3" t="s">
        <v>44956</v>
      </c>
      <c r="BB4697" s="3" t="s">
        <v>44957</v>
      </c>
      <c r="BC4697" s="3" t="s">
        <v>142</v>
      </c>
      <c r="BD4697" s="3" t="s">
        <v>68</v>
      </c>
      <c r="BE4697" s="3" t="s">
        <v>44958</v>
      </c>
      <c r="BF4697" s="3" t="s">
        <v>44957</v>
      </c>
      <c r="BG4697" s="3" t="s">
        <v>44959</v>
      </c>
    </row>
    <row r="4698" spans="1:59" ht="57" x14ac:dyDescent="0.45">
      <c r="A4698" s="2" t="s">
        <v>59</v>
      </c>
      <c r="B4698" s="2" t="s">
        <v>60</v>
      </c>
      <c r="C4698" s="2" t="s">
        <v>44960</v>
      </c>
      <c r="D4698" s="2" t="s">
        <v>44961</v>
      </c>
      <c r="E4698" s="2" t="s">
        <v>44962</v>
      </c>
      <c r="G4698" s="3" t="s">
        <v>62</v>
      </c>
      <c r="I4698" s="3" t="s">
        <v>62</v>
      </c>
      <c r="J4698" s="3" t="s">
        <v>62</v>
      </c>
      <c r="K4698" s="3" t="s">
        <v>63</v>
      </c>
      <c r="L4698" s="2" t="s">
        <v>44963</v>
      </c>
      <c r="M4698" s="2" t="s">
        <v>44964</v>
      </c>
      <c r="N4698" s="3" t="s">
        <v>181</v>
      </c>
      <c r="P4698" s="3" t="s">
        <v>65</v>
      </c>
      <c r="Q4698" s="2" t="s">
        <v>44965</v>
      </c>
      <c r="R4698" s="3" t="s">
        <v>66</v>
      </c>
      <c r="S4698" s="4">
        <v>4</v>
      </c>
      <c r="T4698" s="4">
        <v>4</v>
      </c>
      <c r="U4698" s="5" t="s">
        <v>21996</v>
      </c>
      <c r="V4698" s="5" t="s">
        <v>21996</v>
      </c>
      <c r="W4698" s="5" t="s">
        <v>67</v>
      </c>
      <c r="X4698" s="5" t="s">
        <v>67</v>
      </c>
      <c r="Y4698" s="4">
        <v>51</v>
      </c>
      <c r="Z4698" s="4">
        <v>5</v>
      </c>
      <c r="AA4698" s="4">
        <v>5</v>
      </c>
      <c r="AB4698" s="4">
        <v>1</v>
      </c>
      <c r="AC4698" s="4">
        <v>1</v>
      </c>
      <c r="AD4698" s="4">
        <v>28</v>
      </c>
      <c r="AE4698" s="4">
        <v>28</v>
      </c>
      <c r="AF4698" s="4">
        <v>0</v>
      </c>
      <c r="AG4698" s="4">
        <v>0</v>
      </c>
      <c r="AH4698" s="4">
        <v>25</v>
      </c>
      <c r="AI4698" s="4">
        <v>25</v>
      </c>
      <c r="AJ4698" s="4">
        <v>4</v>
      </c>
      <c r="AK4698" s="4">
        <v>4</v>
      </c>
      <c r="AL4698" s="4">
        <v>19</v>
      </c>
      <c r="AM4698" s="4">
        <v>19</v>
      </c>
      <c r="AN4698" s="4">
        <v>0</v>
      </c>
      <c r="AO4698" s="4">
        <v>0</v>
      </c>
      <c r="AP4698" s="4">
        <v>4</v>
      </c>
      <c r="AQ4698" s="4">
        <v>4</v>
      </c>
      <c r="AR4698" s="3" t="s">
        <v>62</v>
      </c>
      <c r="AS4698" s="3" t="s">
        <v>62</v>
      </c>
      <c r="AT4698" s="3" t="s">
        <v>62</v>
      </c>
      <c r="AV4698" s="6" t="str">
        <f>HYPERLINK("http://mcgill.on.worldcat.org/oclc/907186483","Catalog Record")</f>
        <v>Catalog Record</v>
      </c>
      <c r="AW4698" s="6" t="str">
        <f>HYPERLINK("http://www.worldcat.org/oclc/907186483","WorldCat Record")</f>
        <v>WorldCat Record</v>
      </c>
      <c r="AX4698" s="3" t="s">
        <v>44966</v>
      </c>
      <c r="AY4698" s="3" t="s">
        <v>44967</v>
      </c>
      <c r="AZ4698" s="3" t="s">
        <v>44968</v>
      </c>
      <c r="BA4698" s="3" t="s">
        <v>44968</v>
      </c>
      <c r="BB4698" s="3" t="s">
        <v>44969</v>
      </c>
      <c r="BC4698" s="3" t="s">
        <v>142</v>
      </c>
      <c r="BD4698" s="3" t="s">
        <v>68</v>
      </c>
      <c r="BE4698" s="3" t="s">
        <v>44970</v>
      </c>
      <c r="BF4698" s="3" t="s">
        <v>44969</v>
      </c>
      <c r="BG4698" s="3" t="s">
        <v>44971</v>
      </c>
    </row>
    <row r="4699" spans="1:59" ht="57" x14ac:dyDescent="0.45">
      <c r="A4699" s="2" t="s">
        <v>59</v>
      </c>
      <c r="B4699" s="2" t="s">
        <v>60</v>
      </c>
      <c r="C4699" s="2" t="s">
        <v>44972</v>
      </c>
      <c r="D4699" s="2" t="s">
        <v>44973</v>
      </c>
      <c r="E4699" s="2" t="s">
        <v>44974</v>
      </c>
      <c r="G4699" s="3" t="s">
        <v>62</v>
      </c>
      <c r="I4699" s="3" t="s">
        <v>62</v>
      </c>
      <c r="J4699" s="3" t="s">
        <v>62</v>
      </c>
      <c r="K4699" s="3" t="s">
        <v>63</v>
      </c>
      <c r="L4699" s="2" t="s">
        <v>44975</v>
      </c>
      <c r="M4699" s="2" t="s">
        <v>44976</v>
      </c>
      <c r="N4699" s="3" t="s">
        <v>125</v>
      </c>
      <c r="P4699" s="3" t="s">
        <v>65</v>
      </c>
      <c r="Q4699" s="2" t="s">
        <v>44977</v>
      </c>
      <c r="R4699" s="3" t="s">
        <v>66</v>
      </c>
      <c r="S4699" s="4">
        <v>52</v>
      </c>
      <c r="T4699" s="4">
        <v>52</v>
      </c>
      <c r="U4699" s="5" t="s">
        <v>137</v>
      </c>
      <c r="V4699" s="5" t="s">
        <v>137</v>
      </c>
      <c r="W4699" s="5" t="s">
        <v>67</v>
      </c>
      <c r="X4699" s="5" t="s">
        <v>67</v>
      </c>
      <c r="Y4699" s="4">
        <v>292</v>
      </c>
      <c r="Z4699" s="4">
        <v>17</v>
      </c>
      <c r="AA4699" s="4">
        <v>27</v>
      </c>
      <c r="AB4699" s="4">
        <v>2</v>
      </c>
      <c r="AC4699" s="4">
        <v>5</v>
      </c>
      <c r="AD4699" s="4">
        <v>88</v>
      </c>
      <c r="AE4699" s="4">
        <v>104</v>
      </c>
      <c r="AF4699" s="4">
        <v>1</v>
      </c>
      <c r="AG4699" s="4">
        <v>3</v>
      </c>
      <c r="AH4699" s="4">
        <v>78</v>
      </c>
      <c r="AI4699" s="4">
        <v>91</v>
      </c>
      <c r="AJ4699" s="4">
        <v>14</v>
      </c>
      <c r="AK4699" s="4">
        <v>19</v>
      </c>
      <c r="AL4699" s="4">
        <v>47</v>
      </c>
      <c r="AM4699" s="4">
        <v>53</v>
      </c>
      <c r="AN4699" s="4">
        <v>0</v>
      </c>
      <c r="AO4699" s="4">
        <v>0</v>
      </c>
      <c r="AP4699" s="4">
        <v>16</v>
      </c>
      <c r="AQ4699" s="4">
        <v>22</v>
      </c>
      <c r="AR4699" s="3" t="s">
        <v>62</v>
      </c>
      <c r="AS4699" s="3" t="s">
        <v>62</v>
      </c>
      <c r="AT4699" s="3" t="s">
        <v>62</v>
      </c>
      <c r="AV4699" s="6" t="str">
        <f>HYPERLINK("http://mcgill.on.worldcat.org/oclc/15653947","Catalog Record")</f>
        <v>Catalog Record</v>
      </c>
      <c r="AW4699" s="6" t="str">
        <f>HYPERLINK("http://www.worldcat.org/oclc/15653947","WorldCat Record")</f>
        <v>WorldCat Record</v>
      </c>
      <c r="AX4699" s="3" t="s">
        <v>44978</v>
      </c>
      <c r="AY4699" s="3" t="s">
        <v>44979</v>
      </c>
      <c r="AZ4699" s="3" t="s">
        <v>44980</v>
      </c>
      <c r="BA4699" s="3" t="s">
        <v>44980</v>
      </c>
      <c r="BB4699" s="3" t="s">
        <v>44981</v>
      </c>
      <c r="BC4699" s="3" t="s">
        <v>142</v>
      </c>
      <c r="BD4699" s="3" t="s">
        <v>68</v>
      </c>
      <c r="BE4699" s="3" t="s">
        <v>44982</v>
      </c>
      <c r="BF4699" s="3" t="s">
        <v>44981</v>
      </c>
      <c r="BG4699" s="3" t="s">
        <v>44983</v>
      </c>
    </row>
    <row r="4700" spans="1:59" ht="57" x14ac:dyDescent="0.45">
      <c r="A4700" s="2" t="s">
        <v>59</v>
      </c>
      <c r="B4700" s="2" t="s">
        <v>60</v>
      </c>
      <c r="C4700" s="2" t="s">
        <v>44984</v>
      </c>
      <c r="D4700" s="2" t="s">
        <v>44985</v>
      </c>
      <c r="E4700" s="2" t="s">
        <v>44986</v>
      </c>
      <c r="G4700" s="3" t="s">
        <v>62</v>
      </c>
      <c r="I4700" s="3" t="s">
        <v>62</v>
      </c>
      <c r="J4700" s="3" t="s">
        <v>62</v>
      </c>
      <c r="K4700" s="3" t="s">
        <v>63</v>
      </c>
      <c r="L4700" s="2" t="s">
        <v>44987</v>
      </c>
      <c r="M4700" s="2" t="s">
        <v>29734</v>
      </c>
      <c r="N4700" s="3" t="s">
        <v>820</v>
      </c>
      <c r="P4700" s="3" t="s">
        <v>65</v>
      </c>
      <c r="R4700" s="3" t="s">
        <v>66</v>
      </c>
      <c r="S4700" s="4">
        <v>17</v>
      </c>
      <c r="T4700" s="4">
        <v>17</v>
      </c>
      <c r="U4700" s="5" t="s">
        <v>18392</v>
      </c>
      <c r="V4700" s="5" t="s">
        <v>18392</v>
      </c>
      <c r="W4700" s="5" t="s">
        <v>67</v>
      </c>
      <c r="X4700" s="5" t="s">
        <v>67</v>
      </c>
      <c r="Y4700" s="4">
        <v>250</v>
      </c>
      <c r="Z4700" s="4">
        <v>17</v>
      </c>
      <c r="AA4700" s="4">
        <v>23</v>
      </c>
      <c r="AB4700" s="4">
        <v>2</v>
      </c>
      <c r="AC4700" s="4">
        <v>8</v>
      </c>
      <c r="AD4700" s="4">
        <v>75</v>
      </c>
      <c r="AE4700" s="4">
        <v>81</v>
      </c>
      <c r="AF4700" s="4">
        <v>1</v>
      </c>
      <c r="AG4700" s="4">
        <v>4</v>
      </c>
      <c r="AH4700" s="4">
        <v>67</v>
      </c>
      <c r="AI4700" s="4">
        <v>70</v>
      </c>
      <c r="AJ4700" s="4">
        <v>13</v>
      </c>
      <c r="AK4700" s="4">
        <v>16</v>
      </c>
      <c r="AL4700" s="4">
        <v>40</v>
      </c>
      <c r="AM4700" s="4">
        <v>42</v>
      </c>
      <c r="AN4700" s="4">
        <v>0</v>
      </c>
      <c r="AO4700" s="4">
        <v>0</v>
      </c>
      <c r="AP4700" s="4">
        <v>14</v>
      </c>
      <c r="AQ4700" s="4">
        <v>16</v>
      </c>
      <c r="AR4700" s="3" t="s">
        <v>62</v>
      </c>
      <c r="AS4700" s="3" t="s">
        <v>62</v>
      </c>
      <c r="AT4700" s="3" t="s">
        <v>62</v>
      </c>
      <c r="AV4700" s="6" t="str">
        <f>HYPERLINK("http://mcgill.on.worldcat.org/oclc/166626226","Catalog Record")</f>
        <v>Catalog Record</v>
      </c>
      <c r="AW4700" s="6" t="str">
        <f>HYPERLINK("http://www.worldcat.org/oclc/166626226","WorldCat Record")</f>
        <v>WorldCat Record</v>
      </c>
      <c r="AX4700" s="3" t="s">
        <v>44988</v>
      </c>
      <c r="AY4700" s="3" t="s">
        <v>44989</v>
      </c>
      <c r="AZ4700" s="3" t="s">
        <v>44990</v>
      </c>
      <c r="BA4700" s="3" t="s">
        <v>44990</v>
      </c>
      <c r="BB4700" s="3" t="s">
        <v>44991</v>
      </c>
      <c r="BC4700" s="3" t="s">
        <v>142</v>
      </c>
      <c r="BD4700" s="3" t="s">
        <v>68</v>
      </c>
      <c r="BE4700" s="3" t="s">
        <v>44992</v>
      </c>
      <c r="BF4700" s="3" t="s">
        <v>44991</v>
      </c>
      <c r="BG4700" s="3" t="s">
        <v>44993</v>
      </c>
    </row>
    <row r="4701" spans="1:59" ht="57" x14ac:dyDescent="0.45">
      <c r="A4701" s="2" t="s">
        <v>59</v>
      </c>
      <c r="B4701" s="2" t="s">
        <v>60</v>
      </c>
      <c r="C4701" s="2" t="s">
        <v>44994</v>
      </c>
      <c r="D4701" s="2" t="s">
        <v>44995</v>
      </c>
      <c r="E4701" s="2" t="s">
        <v>44996</v>
      </c>
      <c r="G4701" s="3" t="s">
        <v>62</v>
      </c>
      <c r="I4701" s="3" t="s">
        <v>62</v>
      </c>
      <c r="J4701" s="3" t="s">
        <v>62</v>
      </c>
      <c r="K4701" s="3" t="s">
        <v>63</v>
      </c>
      <c r="L4701" s="2" t="s">
        <v>44997</v>
      </c>
      <c r="M4701" s="2" t="s">
        <v>44998</v>
      </c>
      <c r="N4701" s="3" t="s">
        <v>529</v>
      </c>
      <c r="P4701" s="3" t="s">
        <v>65</v>
      </c>
      <c r="R4701" s="3" t="s">
        <v>66</v>
      </c>
      <c r="S4701" s="4">
        <v>18</v>
      </c>
      <c r="T4701" s="4">
        <v>18</v>
      </c>
      <c r="U4701" s="5" t="s">
        <v>16504</v>
      </c>
      <c r="V4701" s="5" t="s">
        <v>16504</v>
      </c>
      <c r="W4701" s="5" t="s">
        <v>67</v>
      </c>
      <c r="X4701" s="5" t="s">
        <v>67</v>
      </c>
      <c r="Y4701" s="4">
        <v>360</v>
      </c>
      <c r="Z4701" s="4">
        <v>22</v>
      </c>
      <c r="AA4701" s="4">
        <v>27</v>
      </c>
      <c r="AB4701" s="4">
        <v>2</v>
      </c>
      <c r="AC4701" s="4">
        <v>6</v>
      </c>
      <c r="AD4701" s="4">
        <v>103</v>
      </c>
      <c r="AE4701" s="4">
        <v>107</v>
      </c>
      <c r="AF4701" s="4">
        <v>1</v>
      </c>
      <c r="AG4701" s="4">
        <v>5</v>
      </c>
      <c r="AH4701" s="4">
        <v>91</v>
      </c>
      <c r="AI4701" s="4">
        <v>92</v>
      </c>
      <c r="AJ4701" s="4">
        <v>17</v>
      </c>
      <c r="AK4701" s="4">
        <v>20</v>
      </c>
      <c r="AL4701" s="4">
        <v>50</v>
      </c>
      <c r="AM4701" s="4">
        <v>50</v>
      </c>
      <c r="AN4701" s="4">
        <v>0</v>
      </c>
      <c r="AO4701" s="4">
        <v>0</v>
      </c>
      <c r="AP4701" s="4">
        <v>19</v>
      </c>
      <c r="AQ4701" s="4">
        <v>22</v>
      </c>
      <c r="AR4701" s="3" t="s">
        <v>62</v>
      </c>
      <c r="AS4701" s="3" t="s">
        <v>62</v>
      </c>
      <c r="AT4701" s="3" t="s">
        <v>62</v>
      </c>
      <c r="AV4701" s="6" t="str">
        <f>HYPERLINK("http://mcgill.on.worldcat.org/oclc/11755777","Catalog Record")</f>
        <v>Catalog Record</v>
      </c>
      <c r="AW4701" s="6" t="str">
        <f>HYPERLINK("http://www.worldcat.org/oclc/11755777","WorldCat Record")</f>
        <v>WorldCat Record</v>
      </c>
      <c r="AX4701" s="3" t="s">
        <v>44999</v>
      </c>
      <c r="AY4701" s="3" t="s">
        <v>45000</v>
      </c>
      <c r="AZ4701" s="3" t="s">
        <v>45001</v>
      </c>
      <c r="BA4701" s="3" t="s">
        <v>45001</v>
      </c>
      <c r="BB4701" s="3" t="s">
        <v>45002</v>
      </c>
      <c r="BC4701" s="3" t="s">
        <v>142</v>
      </c>
      <c r="BD4701" s="3" t="s">
        <v>68</v>
      </c>
      <c r="BE4701" s="3" t="s">
        <v>45003</v>
      </c>
      <c r="BF4701" s="3" t="s">
        <v>45002</v>
      </c>
      <c r="BG4701" s="3" t="s">
        <v>45004</v>
      </c>
    </row>
    <row r="4702" spans="1:59" ht="57" x14ac:dyDescent="0.45">
      <c r="A4702" s="2" t="s">
        <v>59</v>
      </c>
      <c r="B4702" s="2" t="s">
        <v>60</v>
      </c>
      <c r="C4702" s="2" t="s">
        <v>45005</v>
      </c>
      <c r="D4702" s="2" t="s">
        <v>45006</v>
      </c>
      <c r="E4702" s="2" t="s">
        <v>45007</v>
      </c>
      <c r="G4702" s="3" t="s">
        <v>62</v>
      </c>
      <c r="I4702" s="3" t="s">
        <v>62</v>
      </c>
      <c r="J4702" s="3" t="s">
        <v>62</v>
      </c>
      <c r="K4702" s="3" t="s">
        <v>63</v>
      </c>
      <c r="L4702" s="2" t="s">
        <v>43718</v>
      </c>
      <c r="M4702" s="2" t="s">
        <v>37715</v>
      </c>
      <c r="N4702" s="3" t="s">
        <v>1465</v>
      </c>
      <c r="P4702" s="3" t="s">
        <v>65</v>
      </c>
      <c r="Q4702" s="2" t="s">
        <v>45008</v>
      </c>
      <c r="R4702" s="3" t="s">
        <v>66</v>
      </c>
      <c r="S4702" s="4">
        <v>8</v>
      </c>
      <c r="T4702" s="4">
        <v>8</v>
      </c>
      <c r="U4702" s="5" t="s">
        <v>44113</v>
      </c>
      <c r="V4702" s="5" t="s">
        <v>44113</v>
      </c>
      <c r="W4702" s="5" t="s">
        <v>67</v>
      </c>
      <c r="X4702" s="5" t="s">
        <v>67</v>
      </c>
      <c r="Y4702" s="4">
        <v>155</v>
      </c>
      <c r="Z4702" s="4">
        <v>14</v>
      </c>
      <c r="AA4702" s="4">
        <v>108</v>
      </c>
      <c r="AB4702" s="4">
        <v>1</v>
      </c>
      <c r="AC4702" s="4">
        <v>17</v>
      </c>
      <c r="AD4702" s="4">
        <v>54</v>
      </c>
      <c r="AE4702" s="4">
        <v>126</v>
      </c>
      <c r="AF4702" s="4">
        <v>0</v>
      </c>
      <c r="AG4702" s="4">
        <v>8</v>
      </c>
      <c r="AH4702" s="4">
        <v>48</v>
      </c>
      <c r="AI4702" s="4">
        <v>89</v>
      </c>
      <c r="AJ4702" s="4">
        <v>11</v>
      </c>
      <c r="AK4702" s="4">
        <v>25</v>
      </c>
      <c r="AL4702" s="4">
        <v>29</v>
      </c>
      <c r="AM4702" s="4">
        <v>48</v>
      </c>
      <c r="AN4702" s="4">
        <v>0</v>
      </c>
      <c r="AO4702" s="4">
        <v>0</v>
      </c>
      <c r="AP4702" s="4">
        <v>12</v>
      </c>
      <c r="AQ4702" s="4">
        <v>47</v>
      </c>
      <c r="AR4702" s="3" t="s">
        <v>62</v>
      </c>
      <c r="AS4702" s="3" t="s">
        <v>62</v>
      </c>
      <c r="AT4702" s="3" t="s">
        <v>62</v>
      </c>
      <c r="AV4702" s="6" t="str">
        <f>HYPERLINK("http://mcgill.on.worldcat.org/oclc/247274966","Catalog Record")</f>
        <v>Catalog Record</v>
      </c>
      <c r="AW4702" s="6" t="str">
        <f>HYPERLINK("http://www.worldcat.org/oclc/247274966","WorldCat Record")</f>
        <v>WorldCat Record</v>
      </c>
      <c r="AX4702" s="3" t="s">
        <v>45009</v>
      </c>
      <c r="AY4702" s="3" t="s">
        <v>45010</v>
      </c>
      <c r="AZ4702" s="3" t="s">
        <v>45011</v>
      </c>
      <c r="BA4702" s="3" t="s">
        <v>45011</v>
      </c>
      <c r="BB4702" s="3" t="s">
        <v>45012</v>
      </c>
      <c r="BC4702" s="3" t="s">
        <v>142</v>
      </c>
      <c r="BD4702" s="3" t="s">
        <v>68</v>
      </c>
      <c r="BE4702" s="3" t="s">
        <v>45013</v>
      </c>
      <c r="BF4702" s="3" t="s">
        <v>45012</v>
      </c>
      <c r="BG4702" s="3" t="s">
        <v>45014</v>
      </c>
    </row>
    <row r="4703" spans="1:59" ht="57" x14ac:dyDescent="0.45">
      <c r="A4703" s="2" t="s">
        <v>59</v>
      </c>
      <c r="B4703" s="2" t="s">
        <v>60</v>
      </c>
      <c r="C4703" s="2" t="s">
        <v>45015</v>
      </c>
      <c r="D4703" s="2" t="s">
        <v>45016</v>
      </c>
      <c r="E4703" s="2" t="s">
        <v>45017</v>
      </c>
      <c r="G4703" s="3" t="s">
        <v>62</v>
      </c>
      <c r="I4703" s="3" t="s">
        <v>62</v>
      </c>
      <c r="J4703" s="3" t="s">
        <v>62</v>
      </c>
      <c r="K4703" s="3" t="s">
        <v>63</v>
      </c>
      <c r="L4703" s="2" t="s">
        <v>45018</v>
      </c>
      <c r="M4703" s="2" t="s">
        <v>6163</v>
      </c>
      <c r="N4703" s="3" t="s">
        <v>820</v>
      </c>
      <c r="P4703" s="3" t="s">
        <v>65</v>
      </c>
      <c r="R4703" s="3" t="s">
        <v>66</v>
      </c>
      <c r="S4703" s="4">
        <v>13</v>
      </c>
      <c r="T4703" s="4">
        <v>13</v>
      </c>
      <c r="U4703" s="5" t="s">
        <v>4220</v>
      </c>
      <c r="V4703" s="5" t="s">
        <v>4220</v>
      </c>
      <c r="W4703" s="5" t="s">
        <v>67</v>
      </c>
      <c r="X4703" s="5" t="s">
        <v>67</v>
      </c>
      <c r="Y4703" s="4">
        <v>230</v>
      </c>
      <c r="Z4703" s="4">
        <v>16</v>
      </c>
      <c r="AA4703" s="4">
        <v>19</v>
      </c>
      <c r="AB4703" s="4">
        <v>1</v>
      </c>
      <c r="AC4703" s="4">
        <v>4</v>
      </c>
      <c r="AD4703" s="4">
        <v>62</v>
      </c>
      <c r="AE4703" s="4">
        <v>65</v>
      </c>
      <c r="AF4703" s="4">
        <v>0</v>
      </c>
      <c r="AG4703" s="4">
        <v>1</v>
      </c>
      <c r="AH4703" s="4">
        <v>56</v>
      </c>
      <c r="AI4703" s="4">
        <v>58</v>
      </c>
      <c r="AJ4703" s="4">
        <v>11</v>
      </c>
      <c r="AK4703" s="4">
        <v>12</v>
      </c>
      <c r="AL4703" s="4">
        <v>33</v>
      </c>
      <c r="AM4703" s="4">
        <v>35</v>
      </c>
      <c r="AN4703" s="4">
        <v>0</v>
      </c>
      <c r="AO4703" s="4">
        <v>0</v>
      </c>
      <c r="AP4703" s="4">
        <v>13</v>
      </c>
      <c r="AQ4703" s="4">
        <v>14</v>
      </c>
      <c r="AR4703" s="3" t="s">
        <v>62</v>
      </c>
      <c r="AS4703" s="3" t="s">
        <v>62</v>
      </c>
      <c r="AT4703" s="3" t="s">
        <v>61</v>
      </c>
      <c r="AU4703" s="6" t="str">
        <f>HYPERLINK("http://catalog.hathitrust.org/Record/005686197","HathiTrust Record")</f>
        <v>HathiTrust Record</v>
      </c>
      <c r="AV4703" s="6" t="str">
        <f>HYPERLINK("http://mcgill.on.worldcat.org/oclc/181335758","Catalog Record")</f>
        <v>Catalog Record</v>
      </c>
      <c r="AW4703" s="6" t="str">
        <f>HYPERLINK("http://www.worldcat.org/oclc/181335758","WorldCat Record")</f>
        <v>WorldCat Record</v>
      </c>
      <c r="AX4703" s="3" t="s">
        <v>45019</v>
      </c>
      <c r="AY4703" s="3" t="s">
        <v>45020</v>
      </c>
      <c r="AZ4703" s="3" t="s">
        <v>45021</v>
      </c>
      <c r="BA4703" s="3" t="s">
        <v>45021</v>
      </c>
      <c r="BB4703" s="3" t="s">
        <v>45022</v>
      </c>
      <c r="BC4703" s="3" t="s">
        <v>142</v>
      </c>
      <c r="BD4703" s="3" t="s">
        <v>68</v>
      </c>
      <c r="BE4703" s="3" t="s">
        <v>45023</v>
      </c>
      <c r="BF4703" s="3" t="s">
        <v>45022</v>
      </c>
      <c r="BG4703" s="3" t="s">
        <v>45024</v>
      </c>
    </row>
    <row r="4704" spans="1:59" ht="57" x14ac:dyDescent="0.45">
      <c r="A4704" s="2" t="s">
        <v>59</v>
      </c>
      <c r="B4704" s="2" t="s">
        <v>60</v>
      </c>
      <c r="C4704" s="2" t="s">
        <v>45025</v>
      </c>
      <c r="D4704" s="2" t="s">
        <v>45026</v>
      </c>
      <c r="E4704" s="2" t="s">
        <v>45027</v>
      </c>
      <c r="G4704" s="3" t="s">
        <v>62</v>
      </c>
      <c r="I4704" s="3" t="s">
        <v>62</v>
      </c>
      <c r="J4704" s="3" t="s">
        <v>62</v>
      </c>
      <c r="K4704" s="3" t="s">
        <v>63</v>
      </c>
      <c r="L4704" s="2" t="s">
        <v>45028</v>
      </c>
      <c r="M4704" s="2" t="s">
        <v>4951</v>
      </c>
      <c r="N4704" s="3" t="s">
        <v>625</v>
      </c>
      <c r="P4704" s="3" t="s">
        <v>65</v>
      </c>
      <c r="Q4704" s="2" t="s">
        <v>29735</v>
      </c>
      <c r="R4704" s="3" t="s">
        <v>66</v>
      </c>
      <c r="S4704" s="4">
        <v>22</v>
      </c>
      <c r="T4704" s="4">
        <v>22</v>
      </c>
      <c r="U4704" s="5" t="s">
        <v>4220</v>
      </c>
      <c r="V4704" s="5" t="s">
        <v>4220</v>
      </c>
      <c r="W4704" s="5" t="s">
        <v>67</v>
      </c>
      <c r="X4704" s="5" t="s">
        <v>67</v>
      </c>
      <c r="Y4704" s="4">
        <v>439</v>
      </c>
      <c r="Z4704" s="4">
        <v>27</v>
      </c>
      <c r="AA4704" s="4">
        <v>30</v>
      </c>
      <c r="AB4704" s="4">
        <v>2</v>
      </c>
      <c r="AC4704" s="4">
        <v>5</v>
      </c>
      <c r="AD4704" s="4">
        <v>114</v>
      </c>
      <c r="AE4704" s="4">
        <v>117</v>
      </c>
      <c r="AF4704" s="4">
        <v>1</v>
      </c>
      <c r="AG4704" s="4">
        <v>4</v>
      </c>
      <c r="AH4704" s="4">
        <v>102</v>
      </c>
      <c r="AI4704" s="4">
        <v>103</v>
      </c>
      <c r="AJ4704" s="4">
        <v>19</v>
      </c>
      <c r="AK4704" s="4">
        <v>22</v>
      </c>
      <c r="AL4704" s="4">
        <v>55</v>
      </c>
      <c r="AM4704" s="4">
        <v>55</v>
      </c>
      <c r="AN4704" s="4">
        <v>0</v>
      </c>
      <c r="AO4704" s="4">
        <v>0</v>
      </c>
      <c r="AP4704" s="4">
        <v>21</v>
      </c>
      <c r="AQ4704" s="4">
        <v>23</v>
      </c>
      <c r="AR4704" s="3" t="s">
        <v>62</v>
      </c>
      <c r="AS4704" s="3" t="s">
        <v>62</v>
      </c>
      <c r="AT4704" s="3" t="s">
        <v>62</v>
      </c>
      <c r="AV4704" s="6" t="str">
        <f>HYPERLINK("http://mcgill.on.worldcat.org/oclc/12969954","Catalog Record")</f>
        <v>Catalog Record</v>
      </c>
      <c r="AW4704" s="6" t="str">
        <f>HYPERLINK("http://www.worldcat.org/oclc/12969954","WorldCat Record")</f>
        <v>WorldCat Record</v>
      </c>
      <c r="AX4704" s="3" t="s">
        <v>45029</v>
      </c>
      <c r="AY4704" s="3" t="s">
        <v>45030</v>
      </c>
      <c r="AZ4704" s="3" t="s">
        <v>45031</v>
      </c>
      <c r="BA4704" s="3" t="s">
        <v>45031</v>
      </c>
      <c r="BB4704" s="3" t="s">
        <v>45032</v>
      </c>
      <c r="BC4704" s="3" t="s">
        <v>142</v>
      </c>
      <c r="BD4704" s="3" t="s">
        <v>68</v>
      </c>
      <c r="BE4704" s="3" t="s">
        <v>45033</v>
      </c>
      <c r="BF4704" s="3" t="s">
        <v>45032</v>
      </c>
      <c r="BG4704" s="3" t="s">
        <v>45034</v>
      </c>
    </row>
    <row r="4705" spans="1:59" ht="57" x14ac:dyDescent="0.45">
      <c r="A4705" s="2" t="s">
        <v>59</v>
      </c>
      <c r="B4705" s="2" t="s">
        <v>60</v>
      </c>
      <c r="C4705" s="2" t="s">
        <v>45035</v>
      </c>
      <c r="D4705" s="2" t="s">
        <v>45036</v>
      </c>
      <c r="E4705" s="2" t="s">
        <v>45037</v>
      </c>
      <c r="G4705" s="3" t="s">
        <v>62</v>
      </c>
      <c r="I4705" s="3" t="s">
        <v>62</v>
      </c>
      <c r="J4705" s="3" t="s">
        <v>62</v>
      </c>
      <c r="K4705" s="3" t="s">
        <v>63</v>
      </c>
      <c r="L4705" s="2" t="s">
        <v>45038</v>
      </c>
      <c r="M4705" s="2" t="s">
        <v>37715</v>
      </c>
      <c r="N4705" s="3" t="s">
        <v>1465</v>
      </c>
      <c r="P4705" s="3" t="s">
        <v>65</v>
      </c>
      <c r="Q4705" s="2" t="s">
        <v>45039</v>
      </c>
      <c r="R4705" s="3" t="s">
        <v>66</v>
      </c>
      <c r="S4705" s="4">
        <v>1</v>
      </c>
      <c r="T4705" s="4">
        <v>1</v>
      </c>
      <c r="U4705" s="5" t="s">
        <v>12338</v>
      </c>
      <c r="V4705" s="5" t="s">
        <v>12338</v>
      </c>
      <c r="W4705" s="5" t="s">
        <v>67</v>
      </c>
      <c r="X4705" s="5" t="s">
        <v>67</v>
      </c>
      <c r="Y4705" s="4">
        <v>156</v>
      </c>
      <c r="Z4705" s="4">
        <v>18</v>
      </c>
      <c r="AA4705" s="4">
        <v>18</v>
      </c>
      <c r="AB4705" s="4">
        <v>3</v>
      </c>
      <c r="AC4705" s="4">
        <v>3</v>
      </c>
      <c r="AD4705" s="4">
        <v>40</v>
      </c>
      <c r="AE4705" s="4">
        <v>42</v>
      </c>
      <c r="AF4705" s="4">
        <v>1</v>
      </c>
      <c r="AG4705" s="4">
        <v>1</v>
      </c>
      <c r="AH4705" s="4">
        <v>30</v>
      </c>
      <c r="AI4705" s="4">
        <v>32</v>
      </c>
      <c r="AJ4705" s="4">
        <v>6</v>
      </c>
      <c r="AK4705" s="4">
        <v>6</v>
      </c>
      <c r="AL4705" s="4">
        <v>25</v>
      </c>
      <c r="AM4705" s="4">
        <v>26</v>
      </c>
      <c r="AN4705" s="4">
        <v>0</v>
      </c>
      <c r="AO4705" s="4">
        <v>0</v>
      </c>
      <c r="AP4705" s="4">
        <v>11</v>
      </c>
      <c r="AQ4705" s="4">
        <v>11</v>
      </c>
      <c r="AR4705" s="3" t="s">
        <v>62</v>
      </c>
      <c r="AS4705" s="3" t="s">
        <v>62</v>
      </c>
      <c r="AT4705" s="3" t="s">
        <v>62</v>
      </c>
      <c r="AV4705" s="6" t="str">
        <f>HYPERLINK("http://mcgill.on.worldcat.org/oclc/317824676","Catalog Record")</f>
        <v>Catalog Record</v>
      </c>
      <c r="AW4705" s="6" t="str">
        <f>HYPERLINK("http://www.worldcat.org/oclc/317824676","WorldCat Record")</f>
        <v>WorldCat Record</v>
      </c>
      <c r="AX4705" s="3" t="s">
        <v>45040</v>
      </c>
      <c r="AY4705" s="3" t="s">
        <v>45041</v>
      </c>
      <c r="AZ4705" s="3" t="s">
        <v>45042</v>
      </c>
      <c r="BA4705" s="3" t="s">
        <v>45042</v>
      </c>
      <c r="BB4705" s="3" t="s">
        <v>45043</v>
      </c>
      <c r="BC4705" s="3" t="s">
        <v>142</v>
      </c>
      <c r="BD4705" s="3" t="s">
        <v>68</v>
      </c>
      <c r="BE4705" s="3" t="s">
        <v>45044</v>
      </c>
      <c r="BF4705" s="3" t="s">
        <v>45043</v>
      </c>
      <c r="BG4705" s="3" t="s">
        <v>45045</v>
      </c>
    </row>
    <row r="4706" spans="1:59" ht="57" x14ac:dyDescent="0.45">
      <c r="A4706" s="2" t="s">
        <v>59</v>
      </c>
      <c r="B4706" s="2" t="s">
        <v>60</v>
      </c>
      <c r="C4706" s="2" t="s">
        <v>45046</v>
      </c>
      <c r="D4706" s="2" t="s">
        <v>45047</v>
      </c>
      <c r="E4706" s="2" t="s">
        <v>45048</v>
      </c>
      <c r="G4706" s="3" t="s">
        <v>62</v>
      </c>
      <c r="I4706" s="3" t="s">
        <v>62</v>
      </c>
      <c r="J4706" s="3" t="s">
        <v>62</v>
      </c>
      <c r="K4706" s="3" t="s">
        <v>63</v>
      </c>
      <c r="L4706" s="2" t="s">
        <v>45049</v>
      </c>
      <c r="M4706" s="2" t="s">
        <v>45050</v>
      </c>
      <c r="N4706" s="3" t="s">
        <v>945</v>
      </c>
      <c r="P4706" s="3" t="s">
        <v>65</v>
      </c>
      <c r="R4706" s="3" t="s">
        <v>66</v>
      </c>
      <c r="S4706" s="4">
        <v>4</v>
      </c>
      <c r="T4706" s="4">
        <v>4</v>
      </c>
      <c r="U4706" s="5" t="s">
        <v>5274</v>
      </c>
      <c r="V4706" s="5" t="s">
        <v>5274</v>
      </c>
      <c r="W4706" s="5" t="s">
        <v>67</v>
      </c>
      <c r="X4706" s="5" t="s">
        <v>67</v>
      </c>
      <c r="Y4706" s="4">
        <v>117</v>
      </c>
      <c r="Z4706" s="4">
        <v>13</v>
      </c>
      <c r="AA4706" s="4">
        <v>99</v>
      </c>
      <c r="AB4706" s="4">
        <v>1</v>
      </c>
      <c r="AC4706" s="4">
        <v>18</v>
      </c>
      <c r="AD4706" s="4">
        <v>55</v>
      </c>
      <c r="AE4706" s="4">
        <v>135</v>
      </c>
      <c r="AF4706" s="4">
        <v>0</v>
      </c>
      <c r="AG4706" s="4">
        <v>8</v>
      </c>
      <c r="AH4706" s="4">
        <v>51</v>
      </c>
      <c r="AI4706" s="4">
        <v>98</v>
      </c>
      <c r="AJ4706" s="4">
        <v>7</v>
      </c>
      <c r="AK4706" s="4">
        <v>25</v>
      </c>
      <c r="AL4706" s="4">
        <v>27</v>
      </c>
      <c r="AM4706" s="4">
        <v>50</v>
      </c>
      <c r="AN4706" s="4">
        <v>0</v>
      </c>
      <c r="AO4706" s="4">
        <v>0</v>
      </c>
      <c r="AP4706" s="4">
        <v>8</v>
      </c>
      <c r="AQ4706" s="4">
        <v>46</v>
      </c>
      <c r="AR4706" s="3" t="s">
        <v>62</v>
      </c>
      <c r="AS4706" s="3" t="s">
        <v>62</v>
      </c>
      <c r="AT4706" s="3" t="s">
        <v>61</v>
      </c>
      <c r="AU4706" s="6" t="str">
        <f>HYPERLINK("http://catalog.hathitrust.org/Record/005559972","HathiTrust Record")</f>
        <v>HathiTrust Record</v>
      </c>
      <c r="AV4706" s="6" t="str">
        <f>HYPERLINK("http://mcgill.on.worldcat.org/oclc/71810028","Catalog Record")</f>
        <v>Catalog Record</v>
      </c>
      <c r="AW4706" s="6" t="str">
        <f>HYPERLINK("http://www.worldcat.org/oclc/71810028","WorldCat Record")</f>
        <v>WorldCat Record</v>
      </c>
      <c r="AX4706" s="3" t="s">
        <v>45051</v>
      </c>
      <c r="AY4706" s="3" t="s">
        <v>45052</v>
      </c>
      <c r="AZ4706" s="3" t="s">
        <v>45053</v>
      </c>
      <c r="BA4706" s="3" t="s">
        <v>45053</v>
      </c>
      <c r="BB4706" s="3" t="s">
        <v>45054</v>
      </c>
      <c r="BC4706" s="3" t="s">
        <v>142</v>
      </c>
      <c r="BD4706" s="3" t="s">
        <v>68</v>
      </c>
      <c r="BE4706" s="3" t="s">
        <v>45055</v>
      </c>
      <c r="BF4706" s="3" t="s">
        <v>45054</v>
      </c>
      <c r="BG4706" s="3" t="s">
        <v>45056</v>
      </c>
    </row>
    <row r="4707" spans="1:59" ht="57" x14ac:dyDescent="0.45">
      <c r="A4707" s="2" t="s">
        <v>59</v>
      </c>
      <c r="B4707" s="2" t="s">
        <v>60</v>
      </c>
      <c r="C4707" s="2" t="s">
        <v>45057</v>
      </c>
      <c r="D4707" s="2" t="s">
        <v>45058</v>
      </c>
      <c r="E4707" s="2" t="s">
        <v>45059</v>
      </c>
      <c r="G4707" s="3" t="s">
        <v>62</v>
      </c>
      <c r="I4707" s="3" t="s">
        <v>62</v>
      </c>
      <c r="J4707" s="3" t="s">
        <v>61</v>
      </c>
      <c r="K4707" s="3" t="s">
        <v>63</v>
      </c>
      <c r="L4707" s="2" t="s">
        <v>45049</v>
      </c>
      <c r="M4707" s="2" t="s">
        <v>26995</v>
      </c>
      <c r="N4707" s="3" t="s">
        <v>167</v>
      </c>
      <c r="O4707" s="2" t="s">
        <v>45060</v>
      </c>
      <c r="P4707" s="3" t="s">
        <v>65</v>
      </c>
      <c r="R4707" s="3" t="s">
        <v>66</v>
      </c>
      <c r="S4707" s="4">
        <v>48</v>
      </c>
      <c r="T4707" s="4">
        <v>48</v>
      </c>
      <c r="U4707" s="5" t="s">
        <v>16011</v>
      </c>
      <c r="V4707" s="5" t="s">
        <v>16011</v>
      </c>
      <c r="W4707" s="5" t="s">
        <v>67</v>
      </c>
      <c r="X4707" s="5" t="s">
        <v>67</v>
      </c>
      <c r="Y4707" s="4">
        <v>249</v>
      </c>
      <c r="Z4707" s="4">
        <v>21</v>
      </c>
      <c r="AA4707" s="4">
        <v>136</v>
      </c>
      <c r="AB4707" s="4">
        <v>2</v>
      </c>
      <c r="AC4707" s="4">
        <v>19</v>
      </c>
      <c r="AD4707" s="4">
        <v>84</v>
      </c>
      <c r="AE4707" s="4">
        <v>157</v>
      </c>
      <c r="AF4707" s="4">
        <v>1</v>
      </c>
      <c r="AG4707" s="4">
        <v>8</v>
      </c>
      <c r="AH4707" s="4">
        <v>72</v>
      </c>
      <c r="AI4707" s="4">
        <v>112</v>
      </c>
      <c r="AJ4707" s="4">
        <v>10</v>
      </c>
      <c r="AK4707" s="4">
        <v>28</v>
      </c>
      <c r="AL4707" s="4">
        <v>36</v>
      </c>
      <c r="AM4707" s="4">
        <v>57</v>
      </c>
      <c r="AN4707" s="4">
        <v>0</v>
      </c>
      <c r="AO4707" s="4">
        <v>0</v>
      </c>
      <c r="AP4707" s="4">
        <v>17</v>
      </c>
      <c r="AQ4707" s="4">
        <v>54</v>
      </c>
      <c r="AR4707" s="3" t="s">
        <v>62</v>
      </c>
      <c r="AS4707" s="3" t="s">
        <v>62</v>
      </c>
      <c r="AT4707" s="3" t="s">
        <v>62</v>
      </c>
      <c r="AV4707" s="6" t="str">
        <f>HYPERLINK("http://mcgill.on.worldcat.org/oclc/39633954","Catalog Record")</f>
        <v>Catalog Record</v>
      </c>
      <c r="AW4707" s="6" t="str">
        <f>HYPERLINK("http://www.worldcat.org/oclc/39633954","WorldCat Record")</f>
        <v>WorldCat Record</v>
      </c>
      <c r="AX4707" s="3" t="s">
        <v>45061</v>
      </c>
      <c r="AY4707" s="3" t="s">
        <v>45062</v>
      </c>
      <c r="AZ4707" s="3" t="s">
        <v>45063</v>
      </c>
      <c r="BA4707" s="3" t="s">
        <v>45063</v>
      </c>
      <c r="BB4707" s="3" t="s">
        <v>45064</v>
      </c>
      <c r="BC4707" s="3" t="s">
        <v>142</v>
      </c>
      <c r="BD4707" s="3" t="s">
        <v>68</v>
      </c>
      <c r="BE4707" s="3" t="s">
        <v>45065</v>
      </c>
      <c r="BF4707" s="3" t="s">
        <v>45064</v>
      </c>
      <c r="BG4707" s="3" t="s">
        <v>45066</v>
      </c>
    </row>
    <row r="4708" spans="1:59" ht="57" x14ac:dyDescent="0.45">
      <c r="A4708" s="2" t="s">
        <v>59</v>
      </c>
      <c r="B4708" s="2" t="s">
        <v>60</v>
      </c>
      <c r="C4708" s="2" t="s">
        <v>45067</v>
      </c>
      <c r="D4708" s="2" t="s">
        <v>45068</v>
      </c>
      <c r="E4708" s="2" t="s">
        <v>45059</v>
      </c>
      <c r="G4708" s="3" t="s">
        <v>62</v>
      </c>
      <c r="I4708" s="3" t="s">
        <v>62</v>
      </c>
      <c r="J4708" s="3" t="s">
        <v>61</v>
      </c>
      <c r="K4708" s="3" t="s">
        <v>63</v>
      </c>
      <c r="L4708" s="2" t="s">
        <v>45049</v>
      </c>
      <c r="M4708" s="2" t="s">
        <v>45069</v>
      </c>
      <c r="N4708" s="3" t="s">
        <v>1097</v>
      </c>
      <c r="O4708" s="2" t="s">
        <v>933</v>
      </c>
      <c r="P4708" s="3" t="s">
        <v>65</v>
      </c>
      <c r="R4708" s="3" t="s">
        <v>66</v>
      </c>
      <c r="S4708" s="4">
        <v>42</v>
      </c>
      <c r="T4708" s="4">
        <v>42</v>
      </c>
      <c r="U4708" s="5" t="s">
        <v>7333</v>
      </c>
      <c r="V4708" s="5" t="s">
        <v>7333</v>
      </c>
      <c r="W4708" s="5" t="s">
        <v>67</v>
      </c>
      <c r="X4708" s="5" t="s">
        <v>67</v>
      </c>
      <c r="Y4708" s="4">
        <v>166</v>
      </c>
      <c r="Z4708" s="4">
        <v>18</v>
      </c>
      <c r="AA4708" s="4">
        <v>136</v>
      </c>
      <c r="AB4708" s="4">
        <v>1</v>
      </c>
      <c r="AC4708" s="4">
        <v>19</v>
      </c>
      <c r="AD4708" s="4">
        <v>53</v>
      </c>
      <c r="AE4708" s="4">
        <v>157</v>
      </c>
      <c r="AF4708" s="4">
        <v>0</v>
      </c>
      <c r="AG4708" s="4">
        <v>8</v>
      </c>
      <c r="AH4708" s="4">
        <v>45</v>
      </c>
      <c r="AI4708" s="4">
        <v>112</v>
      </c>
      <c r="AJ4708" s="4">
        <v>9</v>
      </c>
      <c r="AK4708" s="4">
        <v>28</v>
      </c>
      <c r="AL4708" s="4">
        <v>26</v>
      </c>
      <c r="AM4708" s="4">
        <v>57</v>
      </c>
      <c r="AN4708" s="4">
        <v>0</v>
      </c>
      <c r="AO4708" s="4">
        <v>0</v>
      </c>
      <c r="AP4708" s="4">
        <v>13</v>
      </c>
      <c r="AQ4708" s="4">
        <v>54</v>
      </c>
      <c r="AR4708" s="3" t="s">
        <v>62</v>
      </c>
      <c r="AS4708" s="3" t="s">
        <v>62</v>
      </c>
      <c r="AT4708" s="3" t="s">
        <v>62</v>
      </c>
      <c r="AV4708" s="6" t="str">
        <f>HYPERLINK("http://mcgill.on.worldcat.org/oclc/54692867","Catalog Record")</f>
        <v>Catalog Record</v>
      </c>
      <c r="AW4708" s="6" t="str">
        <f>HYPERLINK("http://www.worldcat.org/oclc/54692867","WorldCat Record")</f>
        <v>WorldCat Record</v>
      </c>
      <c r="AX4708" s="3" t="s">
        <v>45061</v>
      </c>
      <c r="AY4708" s="3" t="s">
        <v>45070</v>
      </c>
      <c r="AZ4708" s="3" t="s">
        <v>45071</v>
      </c>
      <c r="BA4708" s="3" t="s">
        <v>45071</v>
      </c>
      <c r="BB4708" s="3" t="s">
        <v>45072</v>
      </c>
      <c r="BC4708" s="3" t="s">
        <v>142</v>
      </c>
      <c r="BD4708" s="3" t="s">
        <v>68</v>
      </c>
      <c r="BE4708" s="3" t="s">
        <v>45073</v>
      </c>
      <c r="BF4708" s="3" t="s">
        <v>45072</v>
      </c>
      <c r="BG4708" s="3" t="s">
        <v>45074</v>
      </c>
    </row>
    <row r="4709" spans="1:59" ht="57" x14ac:dyDescent="0.45">
      <c r="A4709" s="2" t="s">
        <v>59</v>
      </c>
      <c r="B4709" s="2" t="s">
        <v>60</v>
      </c>
      <c r="C4709" s="2" t="s">
        <v>45075</v>
      </c>
      <c r="D4709" s="2" t="s">
        <v>45076</v>
      </c>
      <c r="E4709" s="2" t="s">
        <v>45059</v>
      </c>
      <c r="G4709" s="3" t="s">
        <v>62</v>
      </c>
      <c r="I4709" s="3" t="s">
        <v>62</v>
      </c>
      <c r="J4709" s="3" t="s">
        <v>61</v>
      </c>
      <c r="K4709" s="3" t="s">
        <v>63</v>
      </c>
      <c r="L4709" s="2" t="s">
        <v>45049</v>
      </c>
      <c r="M4709" s="2" t="s">
        <v>45077</v>
      </c>
      <c r="N4709" s="3" t="s">
        <v>116</v>
      </c>
      <c r="O4709" s="2" t="s">
        <v>14488</v>
      </c>
      <c r="P4709" s="3" t="s">
        <v>65</v>
      </c>
      <c r="R4709" s="3" t="s">
        <v>66</v>
      </c>
      <c r="S4709" s="4">
        <v>62</v>
      </c>
      <c r="T4709" s="4">
        <v>62</v>
      </c>
      <c r="U4709" s="5" t="s">
        <v>31772</v>
      </c>
      <c r="V4709" s="5" t="s">
        <v>31772</v>
      </c>
      <c r="W4709" s="5" t="s">
        <v>67</v>
      </c>
      <c r="X4709" s="5" t="s">
        <v>67</v>
      </c>
      <c r="Y4709" s="4">
        <v>90</v>
      </c>
      <c r="Z4709" s="4">
        <v>14</v>
      </c>
      <c r="AA4709" s="4">
        <v>136</v>
      </c>
      <c r="AB4709" s="4">
        <v>2</v>
      </c>
      <c r="AC4709" s="4">
        <v>19</v>
      </c>
      <c r="AD4709" s="4">
        <v>34</v>
      </c>
      <c r="AE4709" s="4">
        <v>157</v>
      </c>
      <c r="AF4709" s="4">
        <v>1</v>
      </c>
      <c r="AG4709" s="4">
        <v>8</v>
      </c>
      <c r="AH4709" s="4">
        <v>28</v>
      </c>
      <c r="AI4709" s="4">
        <v>112</v>
      </c>
      <c r="AJ4709" s="4">
        <v>9</v>
      </c>
      <c r="AK4709" s="4">
        <v>28</v>
      </c>
      <c r="AL4709" s="4">
        <v>18</v>
      </c>
      <c r="AM4709" s="4">
        <v>57</v>
      </c>
      <c r="AN4709" s="4">
        <v>0</v>
      </c>
      <c r="AO4709" s="4">
        <v>0</v>
      </c>
      <c r="AP4709" s="4">
        <v>10</v>
      </c>
      <c r="AQ4709" s="4">
        <v>54</v>
      </c>
      <c r="AR4709" s="3" t="s">
        <v>62</v>
      </c>
      <c r="AS4709" s="3" t="s">
        <v>62</v>
      </c>
      <c r="AT4709" s="3" t="s">
        <v>62</v>
      </c>
      <c r="AV4709" s="6" t="str">
        <f>HYPERLINK("http://mcgill.on.worldcat.org/oclc/812018038","Catalog Record")</f>
        <v>Catalog Record</v>
      </c>
      <c r="AW4709" s="6" t="str">
        <f>HYPERLINK("http://www.worldcat.org/oclc/812018038","WorldCat Record")</f>
        <v>WorldCat Record</v>
      </c>
      <c r="AX4709" s="3" t="s">
        <v>45061</v>
      </c>
      <c r="AY4709" s="3" t="s">
        <v>45078</v>
      </c>
      <c r="AZ4709" s="3" t="s">
        <v>45079</v>
      </c>
      <c r="BA4709" s="3" t="s">
        <v>45079</v>
      </c>
      <c r="BB4709" s="3" t="s">
        <v>45080</v>
      </c>
      <c r="BC4709" s="3" t="s">
        <v>142</v>
      </c>
      <c r="BD4709" s="3" t="s">
        <v>68</v>
      </c>
      <c r="BE4709" s="3" t="s">
        <v>45081</v>
      </c>
      <c r="BF4709" s="3" t="s">
        <v>45080</v>
      </c>
      <c r="BG4709" s="3" t="s">
        <v>45082</v>
      </c>
    </row>
    <row r="4710" spans="1:59" ht="57" x14ac:dyDescent="0.45">
      <c r="A4710" s="2" t="s">
        <v>59</v>
      </c>
      <c r="B4710" s="2" t="s">
        <v>60</v>
      </c>
      <c r="C4710" s="2" t="s">
        <v>45075</v>
      </c>
      <c r="D4710" s="2" t="s">
        <v>45076</v>
      </c>
      <c r="E4710" s="2" t="s">
        <v>45059</v>
      </c>
      <c r="G4710" s="3" t="s">
        <v>62</v>
      </c>
      <c r="I4710" s="3" t="s">
        <v>62</v>
      </c>
      <c r="J4710" s="3" t="s">
        <v>61</v>
      </c>
      <c r="K4710" s="3" t="s">
        <v>63</v>
      </c>
      <c r="L4710" s="2" t="s">
        <v>45049</v>
      </c>
      <c r="M4710" s="2" t="s">
        <v>45083</v>
      </c>
      <c r="N4710" s="3" t="s">
        <v>116</v>
      </c>
      <c r="O4710" s="2" t="s">
        <v>14488</v>
      </c>
      <c r="P4710" s="3" t="s">
        <v>65</v>
      </c>
      <c r="R4710" s="3" t="s">
        <v>66</v>
      </c>
      <c r="S4710" s="4">
        <v>62</v>
      </c>
      <c r="T4710" s="4">
        <v>62</v>
      </c>
      <c r="U4710" s="5" t="s">
        <v>2853</v>
      </c>
      <c r="V4710" s="5" t="s">
        <v>2853</v>
      </c>
      <c r="W4710" s="5" t="s">
        <v>67</v>
      </c>
      <c r="X4710" s="5" t="s">
        <v>67</v>
      </c>
      <c r="Y4710" s="4">
        <v>44</v>
      </c>
      <c r="Z4710" s="4">
        <v>6</v>
      </c>
      <c r="AA4710" s="4">
        <v>136</v>
      </c>
      <c r="AB4710" s="4">
        <v>1</v>
      </c>
      <c r="AC4710" s="4">
        <v>19</v>
      </c>
      <c r="AD4710" s="4">
        <v>6</v>
      </c>
      <c r="AE4710" s="4">
        <v>157</v>
      </c>
      <c r="AF4710" s="4">
        <v>0</v>
      </c>
      <c r="AG4710" s="4">
        <v>8</v>
      </c>
      <c r="AH4710" s="4">
        <v>6</v>
      </c>
      <c r="AI4710" s="4">
        <v>112</v>
      </c>
      <c r="AJ4710" s="4">
        <v>2</v>
      </c>
      <c r="AK4710" s="4">
        <v>28</v>
      </c>
      <c r="AL4710" s="4">
        <v>3</v>
      </c>
      <c r="AM4710" s="4">
        <v>57</v>
      </c>
      <c r="AN4710" s="4">
        <v>0</v>
      </c>
      <c r="AO4710" s="4">
        <v>0</v>
      </c>
      <c r="AP4710" s="4">
        <v>3</v>
      </c>
      <c r="AQ4710" s="4">
        <v>54</v>
      </c>
      <c r="AR4710" s="3" t="s">
        <v>62</v>
      </c>
      <c r="AS4710" s="3" t="s">
        <v>62</v>
      </c>
      <c r="AT4710" s="3" t="s">
        <v>62</v>
      </c>
      <c r="AV4710" s="6" t="str">
        <f>HYPERLINK("http://mcgill.on.worldcat.org/oclc/800095453","Catalog Record")</f>
        <v>Catalog Record</v>
      </c>
      <c r="AW4710" s="6" t="str">
        <f>HYPERLINK("http://www.worldcat.org/oclc/800095453","WorldCat Record")</f>
        <v>WorldCat Record</v>
      </c>
      <c r="AX4710" s="3" t="s">
        <v>45061</v>
      </c>
      <c r="AY4710" s="3" t="s">
        <v>45084</v>
      </c>
      <c r="AZ4710" s="3" t="s">
        <v>45085</v>
      </c>
      <c r="BA4710" s="3" t="s">
        <v>45085</v>
      </c>
      <c r="BB4710" s="3" t="s">
        <v>45086</v>
      </c>
      <c r="BC4710" s="3" t="s">
        <v>142</v>
      </c>
      <c r="BD4710" s="3" t="s">
        <v>68</v>
      </c>
      <c r="BE4710" s="3" t="s">
        <v>45087</v>
      </c>
      <c r="BF4710" s="3" t="s">
        <v>45086</v>
      </c>
      <c r="BG4710" s="3" t="s">
        <v>45088</v>
      </c>
    </row>
    <row r="4711" spans="1:59" ht="57" x14ac:dyDescent="0.45">
      <c r="A4711" s="2" t="s">
        <v>59</v>
      </c>
      <c r="B4711" s="2" t="s">
        <v>60</v>
      </c>
      <c r="C4711" s="2" t="s">
        <v>45089</v>
      </c>
      <c r="D4711" s="2" t="s">
        <v>45090</v>
      </c>
      <c r="E4711" s="2" t="s">
        <v>45091</v>
      </c>
      <c r="G4711" s="3" t="s">
        <v>62</v>
      </c>
      <c r="I4711" s="3" t="s">
        <v>62</v>
      </c>
      <c r="J4711" s="3" t="s">
        <v>62</v>
      </c>
      <c r="K4711" s="3" t="s">
        <v>63</v>
      </c>
      <c r="M4711" s="2" t="s">
        <v>1781</v>
      </c>
      <c r="N4711" s="3" t="s">
        <v>149</v>
      </c>
      <c r="P4711" s="3" t="s">
        <v>65</v>
      </c>
      <c r="R4711" s="3" t="s">
        <v>66</v>
      </c>
      <c r="S4711" s="4">
        <v>4</v>
      </c>
      <c r="T4711" s="4">
        <v>4</v>
      </c>
      <c r="U4711" s="5" t="s">
        <v>7233</v>
      </c>
      <c r="V4711" s="5" t="s">
        <v>7233</v>
      </c>
      <c r="W4711" s="5" t="s">
        <v>67</v>
      </c>
      <c r="X4711" s="5" t="s">
        <v>67</v>
      </c>
      <c r="Y4711" s="4">
        <v>121</v>
      </c>
      <c r="Z4711" s="4">
        <v>11</v>
      </c>
      <c r="AA4711" s="4">
        <v>93</v>
      </c>
      <c r="AB4711" s="4">
        <v>2</v>
      </c>
      <c r="AC4711" s="4">
        <v>18</v>
      </c>
      <c r="AD4711" s="4">
        <v>48</v>
      </c>
      <c r="AE4711" s="4">
        <v>116</v>
      </c>
      <c r="AF4711" s="4">
        <v>0</v>
      </c>
      <c r="AG4711" s="4">
        <v>8</v>
      </c>
      <c r="AH4711" s="4">
        <v>44</v>
      </c>
      <c r="AI4711" s="4">
        <v>81</v>
      </c>
      <c r="AJ4711" s="4">
        <v>8</v>
      </c>
      <c r="AK4711" s="4">
        <v>23</v>
      </c>
      <c r="AL4711" s="4">
        <v>25</v>
      </c>
      <c r="AM4711" s="4">
        <v>40</v>
      </c>
      <c r="AN4711" s="4">
        <v>0</v>
      </c>
      <c r="AO4711" s="4">
        <v>0</v>
      </c>
      <c r="AP4711" s="4">
        <v>8</v>
      </c>
      <c r="AQ4711" s="4">
        <v>44</v>
      </c>
      <c r="AR4711" s="3" t="s">
        <v>62</v>
      </c>
      <c r="AS4711" s="3" t="s">
        <v>62</v>
      </c>
      <c r="AT4711" s="3" t="s">
        <v>62</v>
      </c>
      <c r="AV4711" s="6" t="str">
        <f>HYPERLINK("http://mcgill.on.worldcat.org/oclc/496962147","Catalog Record")</f>
        <v>Catalog Record</v>
      </c>
      <c r="AW4711" s="6" t="str">
        <f>HYPERLINK("http://www.worldcat.org/oclc/496962147","WorldCat Record")</f>
        <v>WorldCat Record</v>
      </c>
      <c r="AX4711" s="3" t="s">
        <v>45092</v>
      </c>
      <c r="AY4711" s="3" t="s">
        <v>45093</v>
      </c>
      <c r="AZ4711" s="3" t="s">
        <v>45094</v>
      </c>
      <c r="BA4711" s="3" t="s">
        <v>45094</v>
      </c>
      <c r="BB4711" s="3" t="s">
        <v>45095</v>
      </c>
      <c r="BC4711" s="3" t="s">
        <v>142</v>
      </c>
      <c r="BD4711" s="3" t="s">
        <v>68</v>
      </c>
      <c r="BE4711" s="3" t="s">
        <v>45096</v>
      </c>
      <c r="BF4711" s="3" t="s">
        <v>45095</v>
      </c>
      <c r="BG4711" s="3" t="s">
        <v>45097</v>
      </c>
    </row>
    <row r="4712" spans="1:59" ht="57" x14ac:dyDescent="0.45">
      <c r="A4712" s="2" t="s">
        <v>59</v>
      </c>
      <c r="B4712" s="2" t="s">
        <v>60</v>
      </c>
      <c r="C4712" s="2" t="s">
        <v>45098</v>
      </c>
      <c r="D4712" s="2" t="s">
        <v>45099</v>
      </c>
      <c r="E4712" s="2" t="s">
        <v>45100</v>
      </c>
      <c r="G4712" s="3" t="s">
        <v>62</v>
      </c>
      <c r="I4712" s="3" t="s">
        <v>62</v>
      </c>
      <c r="J4712" s="3" t="s">
        <v>61</v>
      </c>
      <c r="K4712" s="3" t="s">
        <v>63</v>
      </c>
      <c r="L4712" s="2" t="s">
        <v>45101</v>
      </c>
      <c r="M4712" s="2" t="s">
        <v>2560</v>
      </c>
      <c r="N4712" s="3" t="s">
        <v>149</v>
      </c>
      <c r="O4712" s="2" t="s">
        <v>10907</v>
      </c>
      <c r="P4712" s="3" t="s">
        <v>65</v>
      </c>
      <c r="R4712" s="3" t="s">
        <v>66</v>
      </c>
      <c r="S4712" s="4">
        <v>4</v>
      </c>
      <c r="T4712" s="4">
        <v>4</v>
      </c>
      <c r="U4712" s="5" t="s">
        <v>45102</v>
      </c>
      <c r="V4712" s="5" t="s">
        <v>45102</v>
      </c>
      <c r="W4712" s="5" t="s">
        <v>67</v>
      </c>
      <c r="X4712" s="5" t="s">
        <v>67</v>
      </c>
      <c r="Y4712" s="4">
        <v>178</v>
      </c>
      <c r="Z4712" s="4">
        <v>17</v>
      </c>
      <c r="AA4712" s="4">
        <v>36</v>
      </c>
      <c r="AB4712" s="4">
        <v>2</v>
      </c>
      <c r="AC4712" s="4">
        <v>7</v>
      </c>
      <c r="AD4712" s="4">
        <v>50</v>
      </c>
      <c r="AE4712" s="4">
        <v>113</v>
      </c>
      <c r="AF4712" s="4">
        <v>1</v>
      </c>
      <c r="AG4712" s="4">
        <v>4</v>
      </c>
      <c r="AH4712" s="4">
        <v>42</v>
      </c>
      <c r="AI4712" s="4">
        <v>96</v>
      </c>
      <c r="AJ4712" s="4">
        <v>10</v>
      </c>
      <c r="AK4712" s="4">
        <v>21</v>
      </c>
      <c r="AL4712" s="4">
        <v>24</v>
      </c>
      <c r="AM4712" s="4">
        <v>51</v>
      </c>
      <c r="AN4712" s="4">
        <v>0</v>
      </c>
      <c r="AO4712" s="4">
        <v>0</v>
      </c>
      <c r="AP4712" s="4">
        <v>13</v>
      </c>
      <c r="AQ4712" s="4">
        <v>26</v>
      </c>
      <c r="AR4712" s="3" t="s">
        <v>62</v>
      </c>
      <c r="AS4712" s="3" t="s">
        <v>62</v>
      </c>
      <c r="AT4712" s="3" t="s">
        <v>62</v>
      </c>
      <c r="AV4712" s="6" t="str">
        <f>HYPERLINK("http://mcgill.on.worldcat.org/oclc/273822411","Catalog Record")</f>
        <v>Catalog Record</v>
      </c>
      <c r="AW4712" s="6" t="str">
        <f>HYPERLINK("http://www.worldcat.org/oclc/273822411","WorldCat Record")</f>
        <v>WorldCat Record</v>
      </c>
      <c r="AX4712" s="3" t="s">
        <v>45103</v>
      </c>
      <c r="AY4712" s="3" t="s">
        <v>45104</v>
      </c>
      <c r="AZ4712" s="3" t="s">
        <v>45105</v>
      </c>
      <c r="BA4712" s="3" t="s">
        <v>45105</v>
      </c>
      <c r="BB4712" s="3" t="s">
        <v>45106</v>
      </c>
      <c r="BC4712" s="3" t="s">
        <v>142</v>
      </c>
      <c r="BD4712" s="3" t="s">
        <v>68</v>
      </c>
      <c r="BE4712" s="3" t="s">
        <v>45107</v>
      </c>
      <c r="BF4712" s="3" t="s">
        <v>45106</v>
      </c>
      <c r="BG4712" s="3" t="s">
        <v>45108</v>
      </c>
    </row>
    <row r="4713" spans="1:59" ht="57" x14ac:dyDescent="0.45">
      <c r="A4713" s="2" t="s">
        <v>59</v>
      </c>
      <c r="B4713" s="2" t="s">
        <v>60</v>
      </c>
      <c r="C4713" s="2" t="s">
        <v>45109</v>
      </c>
      <c r="D4713" s="2" t="s">
        <v>45110</v>
      </c>
      <c r="E4713" s="2" t="s">
        <v>45111</v>
      </c>
      <c r="G4713" s="3" t="s">
        <v>62</v>
      </c>
      <c r="I4713" s="3" t="s">
        <v>62</v>
      </c>
      <c r="J4713" s="3" t="s">
        <v>62</v>
      </c>
      <c r="K4713" s="3" t="s">
        <v>63</v>
      </c>
      <c r="L4713" s="2" t="s">
        <v>45112</v>
      </c>
      <c r="M4713" s="2" t="s">
        <v>45113</v>
      </c>
      <c r="N4713" s="3" t="s">
        <v>894</v>
      </c>
      <c r="P4713" s="3" t="s">
        <v>65</v>
      </c>
      <c r="R4713" s="3" t="s">
        <v>66</v>
      </c>
      <c r="S4713" s="4">
        <v>1</v>
      </c>
      <c r="T4713" s="4">
        <v>1</v>
      </c>
      <c r="U4713" s="5" t="s">
        <v>45114</v>
      </c>
      <c r="V4713" s="5" t="s">
        <v>45114</v>
      </c>
      <c r="W4713" s="5" t="s">
        <v>67</v>
      </c>
      <c r="X4713" s="5" t="s">
        <v>67</v>
      </c>
      <c r="Y4713" s="4">
        <v>283</v>
      </c>
      <c r="Z4713" s="4">
        <v>22</v>
      </c>
      <c r="AA4713" s="4">
        <v>27</v>
      </c>
      <c r="AB4713" s="4">
        <v>3</v>
      </c>
      <c r="AC4713" s="4">
        <v>3</v>
      </c>
      <c r="AD4713" s="4">
        <v>27</v>
      </c>
      <c r="AE4713" s="4">
        <v>27</v>
      </c>
      <c r="AF4713" s="4">
        <v>0</v>
      </c>
      <c r="AG4713" s="4">
        <v>0</v>
      </c>
      <c r="AH4713" s="4">
        <v>25</v>
      </c>
      <c r="AI4713" s="4">
        <v>25</v>
      </c>
      <c r="AJ4713" s="4">
        <v>6</v>
      </c>
      <c r="AK4713" s="4">
        <v>6</v>
      </c>
      <c r="AL4713" s="4">
        <v>14</v>
      </c>
      <c r="AM4713" s="4">
        <v>14</v>
      </c>
      <c r="AN4713" s="4">
        <v>0</v>
      </c>
      <c r="AO4713" s="4">
        <v>0</v>
      </c>
      <c r="AP4713" s="4">
        <v>6</v>
      </c>
      <c r="AQ4713" s="4">
        <v>6</v>
      </c>
      <c r="AR4713" s="3" t="s">
        <v>62</v>
      </c>
      <c r="AS4713" s="3" t="s">
        <v>62</v>
      </c>
      <c r="AT4713" s="3" t="s">
        <v>62</v>
      </c>
      <c r="AV4713" s="6" t="str">
        <f>HYPERLINK("http://mcgill.on.worldcat.org/oclc/730914322","Catalog Record")</f>
        <v>Catalog Record</v>
      </c>
      <c r="AW4713" s="6" t="str">
        <f>HYPERLINK("http://www.worldcat.org/oclc/730914322","WorldCat Record")</f>
        <v>WorldCat Record</v>
      </c>
      <c r="AX4713" s="3" t="s">
        <v>45115</v>
      </c>
      <c r="AY4713" s="3" t="s">
        <v>45116</v>
      </c>
      <c r="AZ4713" s="3" t="s">
        <v>45117</v>
      </c>
      <c r="BA4713" s="3" t="s">
        <v>45117</v>
      </c>
      <c r="BB4713" s="3" t="s">
        <v>45118</v>
      </c>
      <c r="BC4713" s="3" t="s">
        <v>142</v>
      </c>
      <c r="BD4713" s="3" t="s">
        <v>68</v>
      </c>
      <c r="BE4713" s="3" t="s">
        <v>45119</v>
      </c>
      <c r="BF4713" s="3" t="s">
        <v>45118</v>
      </c>
      <c r="BG4713" s="3" t="s">
        <v>45120</v>
      </c>
    </row>
    <row r="4714" spans="1:59" ht="57" x14ac:dyDescent="0.45">
      <c r="A4714" s="2" t="s">
        <v>59</v>
      </c>
      <c r="B4714" s="2" t="s">
        <v>60</v>
      </c>
      <c r="C4714" s="2" t="s">
        <v>45121</v>
      </c>
      <c r="D4714" s="2" t="s">
        <v>45122</v>
      </c>
      <c r="E4714" s="2" t="s">
        <v>45123</v>
      </c>
      <c r="G4714" s="3" t="s">
        <v>62</v>
      </c>
      <c r="I4714" s="3" t="s">
        <v>62</v>
      </c>
      <c r="J4714" s="3" t="s">
        <v>62</v>
      </c>
      <c r="K4714" s="3" t="s">
        <v>63</v>
      </c>
      <c r="M4714" s="2" t="s">
        <v>45124</v>
      </c>
      <c r="N4714" s="3" t="s">
        <v>1097</v>
      </c>
      <c r="P4714" s="3" t="s">
        <v>65</v>
      </c>
      <c r="Q4714" s="2" t="s">
        <v>8422</v>
      </c>
      <c r="R4714" s="3" t="s">
        <v>66</v>
      </c>
      <c r="S4714" s="4">
        <v>3</v>
      </c>
      <c r="T4714" s="4">
        <v>3</v>
      </c>
      <c r="U4714" s="5" t="s">
        <v>41777</v>
      </c>
      <c r="V4714" s="5" t="s">
        <v>41777</v>
      </c>
      <c r="W4714" s="5" t="s">
        <v>67</v>
      </c>
      <c r="X4714" s="5" t="s">
        <v>67</v>
      </c>
      <c r="Y4714" s="4">
        <v>145</v>
      </c>
      <c r="Z4714" s="4">
        <v>13</v>
      </c>
      <c r="AA4714" s="4">
        <v>53</v>
      </c>
      <c r="AB4714" s="4">
        <v>2</v>
      </c>
      <c r="AC4714" s="4">
        <v>8</v>
      </c>
      <c r="AD4714" s="4">
        <v>56</v>
      </c>
      <c r="AE4714" s="4">
        <v>88</v>
      </c>
      <c r="AF4714" s="4">
        <v>1</v>
      </c>
      <c r="AG4714" s="4">
        <v>2</v>
      </c>
      <c r="AH4714" s="4">
        <v>52</v>
      </c>
      <c r="AI4714" s="4">
        <v>71</v>
      </c>
      <c r="AJ4714" s="4">
        <v>10</v>
      </c>
      <c r="AK4714" s="4">
        <v>15</v>
      </c>
      <c r="AL4714" s="4">
        <v>32</v>
      </c>
      <c r="AM4714" s="4">
        <v>41</v>
      </c>
      <c r="AN4714" s="4">
        <v>0</v>
      </c>
      <c r="AO4714" s="4">
        <v>0</v>
      </c>
      <c r="AP4714" s="4">
        <v>10</v>
      </c>
      <c r="AQ4714" s="4">
        <v>25</v>
      </c>
      <c r="AR4714" s="3" t="s">
        <v>62</v>
      </c>
      <c r="AS4714" s="3" t="s">
        <v>62</v>
      </c>
      <c r="AT4714" s="3" t="s">
        <v>62</v>
      </c>
      <c r="AV4714" s="6" t="str">
        <f>HYPERLINK("http://mcgill.on.worldcat.org/oclc/55910617","Catalog Record")</f>
        <v>Catalog Record</v>
      </c>
      <c r="AW4714" s="6" t="str">
        <f>HYPERLINK("http://www.worldcat.org/oclc/55910617","WorldCat Record")</f>
        <v>WorldCat Record</v>
      </c>
      <c r="AX4714" s="3" t="s">
        <v>45125</v>
      </c>
      <c r="AY4714" s="3" t="s">
        <v>45126</v>
      </c>
      <c r="AZ4714" s="3" t="s">
        <v>45127</v>
      </c>
      <c r="BA4714" s="3" t="s">
        <v>45127</v>
      </c>
      <c r="BB4714" s="3" t="s">
        <v>45128</v>
      </c>
      <c r="BC4714" s="3" t="s">
        <v>142</v>
      </c>
      <c r="BD4714" s="3" t="s">
        <v>68</v>
      </c>
      <c r="BE4714" s="3" t="s">
        <v>45129</v>
      </c>
      <c r="BF4714" s="3" t="s">
        <v>45128</v>
      </c>
      <c r="BG4714" s="3" t="s">
        <v>45130</v>
      </c>
    </row>
    <row r="4715" spans="1:59" ht="57" x14ac:dyDescent="0.45">
      <c r="A4715" s="2" t="s">
        <v>59</v>
      </c>
      <c r="B4715" s="2" t="s">
        <v>60</v>
      </c>
      <c r="C4715" s="2" t="s">
        <v>45131</v>
      </c>
      <c r="D4715" s="2" t="s">
        <v>45132</v>
      </c>
      <c r="E4715" s="2" t="s">
        <v>45133</v>
      </c>
      <c r="G4715" s="3" t="s">
        <v>62</v>
      </c>
      <c r="I4715" s="3" t="s">
        <v>62</v>
      </c>
      <c r="J4715" s="3" t="s">
        <v>62</v>
      </c>
      <c r="K4715" s="3" t="s">
        <v>63</v>
      </c>
      <c r="L4715" s="2" t="s">
        <v>11885</v>
      </c>
      <c r="M4715" s="2" t="s">
        <v>45134</v>
      </c>
      <c r="N4715" s="3" t="s">
        <v>1253</v>
      </c>
      <c r="P4715" s="3" t="s">
        <v>65</v>
      </c>
      <c r="R4715" s="3" t="s">
        <v>66</v>
      </c>
      <c r="S4715" s="4">
        <v>22</v>
      </c>
      <c r="T4715" s="4">
        <v>22</v>
      </c>
      <c r="U4715" s="5" t="s">
        <v>41513</v>
      </c>
      <c r="V4715" s="5" t="s">
        <v>41513</v>
      </c>
      <c r="W4715" s="5" t="s">
        <v>67</v>
      </c>
      <c r="X4715" s="5" t="s">
        <v>67</v>
      </c>
      <c r="Y4715" s="4">
        <v>490</v>
      </c>
      <c r="Z4715" s="4">
        <v>33</v>
      </c>
      <c r="AA4715" s="4">
        <v>107</v>
      </c>
      <c r="AB4715" s="4">
        <v>2</v>
      </c>
      <c r="AC4715" s="4">
        <v>17</v>
      </c>
      <c r="AD4715" s="4">
        <v>119</v>
      </c>
      <c r="AE4715" s="4">
        <v>151</v>
      </c>
      <c r="AF4715" s="4">
        <v>1</v>
      </c>
      <c r="AG4715" s="4">
        <v>8</v>
      </c>
      <c r="AH4715" s="4">
        <v>101</v>
      </c>
      <c r="AI4715" s="4">
        <v>109</v>
      </c>
      <c r="AJ4715" s="4">
        <v>19</v>
      </c>
      <c r="AK4715" s="4">
        <v>27</v>
      </c>
      <c r="AL4715" s="4">
        <v>56</v>
      </c>
      <c r="AM4715" s="4">
        <v>57</v>
      </c>
      <c r="AN4715" s="4">
        <v>0</v>
      </c>
      <c r="AO4715" s="4">
        <v>0</v>
      </c>
      <c r="AP4715" s="4">
        <v>27</v>
      </c>
      <c r="AQ4715" s="4">
        <v>52</v>
      </c>
      <c r="AR4715" s="3" t="s">
        <v>62</v>
      </c>
      <c r="AS4715" s="3" t="s">
        <v>62</v>
      </c>
      <c r="AT4715" s="3" t="s">
        <v>62</v>
      </c>
      <c r="AV4715" s="6" t="str">
        <f>HYPERLINK("http://mcgill.on.worldcat.org/oclc/37011374","Catalog Record")</f>
        <v>Catalog Record</v>
      </c>
      <c r="AW4715" s="6" t="str">
        <f>HYPERLINK("http://www.worldcat.org/oclc/37011374","WorldCat Record")</f>
        <v>WorldCat Record</v>
      </c>
      <c r="AX4715" s="3" t="s">
        <v>45135</v>
      </c>
      <c r="AY4715" s="3" t="s">
        <v>45136</v>
      </c>
      <c r="AZ4715" s="3" t="s">
        <v>45137</v>
      </c>
      <c r="BA4715" s="3" t="s">
        <v>45137</v>
      </c>
      <c r="BB4715" s="3" t="s">
        <v>45138</v>
      </c>
      <c r="BC4715" s="3" t="s">
        <v>142</v>
      </c>
      <c r="BD4715" s="3" t="s">
        <v>68</v>
      </c>
      <c r="BE4715" s="3" t="s">
        <v>45139</v>
      </c>
      <c r="BF4715" s="3" t="s">
        <v>45138</v>
      </c>
      <c r="BG4715" s="3" t="s">
        <v>45140</v>
      </c>
    </row>
    <row r="4716" spans="1:59" ht="57" x14ac:dyDescent="0.45">
      <c r="A4716" s="2" t="s">
        <v>59</v>
      </c>
      <c r="B4716" s="2" t="s">
        <v>60</v>
      </c>
      <c r="C4716" s="2" t="s">
        <v>45141</v>
      </c>
      <c r="D4716" s="2" t="s">
        <v>45142</v>
      </c>
      <c r="E4716" s="2" t="s">
        <v>45143</v>
      </c>
      <c r="G4716" s="3" t="s">
        <v>62</v>
      </c>
      <c r="I4716" s="3" t="s">
        <v>62</v>
      </c>
      <c r="J4716" s="3" t="s">
        <v>62</v>
      </c>
      <c r="K4716" s="3" t="s">
        <v>63</v>
      </c>
      <c r="L4716" s="2" t="s">
        <v>45144</v>
      </c>
      <c r="M4716" s="2" t="s">
        <v>45145</v>
      </c>
      <c r="N4716" s="3" t="s">
        <v>5180</v>
      </c>
      <c r="P4716" s="3" t="s">
        <v>65</v>
      </c>
      <c r="R4716" s="3" t="s">
        <v>66</v>
      </c>
      <c r="S4716" s="4">
        <v>0</v>
      </c>
      <c r="T4716" s="4">
        <v>0</v>
      </c>
      <c r="W4716" s="5" t="s">
        <v>67</v>
      </c>
      <c r="X4716" s="5" t="s">
        <v>67</v>
      </c>
      <c r="Y4716" s="4">
        <v>65</v>
      </c>
      <c r="Z4716" s="4">
        <v>4</v>
      </c>
      <c r="AA4716" s="4">
        <v>15</v>
      </c>
      <c r="AB4716" s="4">
        <v>1</v>
      </c>
      <c r="AC4716" s="4">
        <v>2</v>
      </c>
      <c r="AD4716" s="4">
        <v>9</v>
      </c>
      <c r="AE4716" s="4">
        <v>48</v>
      </c>
      <c r="AF4716" s="4">
        <v>0</v>
      </c>
      <c r="AG4716" s="4">
        <v>1</v>
      </c>
      <c r="AH4716" s="4">
        <v>8</v>
      </c>
      <c r="AI4716" s="4">
        <v>45</v>
      </c>
      <c r="AJ4716" s="4">
        <v>3</v>
      </c>
      <c r="AK4716" s="4">
        <v>6</v>
      </c>
      <c r="AL4716" s="4">
        <v>5</v>
      </c>
      <c r="AM4716" s="4">
        <v>27</v>
      </c>
      <c r="AN4716" s="4">
        <v>0</v>
      </c>
      <c r="AO4716" s="4">
        <v>0</v>
      </c>
      <c r="AP4716" s="4">
        <v>3</v>
      </c>
      <c r="AQ4716" s="4">
        <v>7</v>
      </c>
      <c r="AR4716" s="3" t="s">
        <v>62</v>
      </c>
      <c r="AS4716" s="3" t="s">
        <v>62</v>
      </c>
      <c r="AT4716" s="3" t="s">
        <v>62</v>
      </c>
      <c r="AV4716" s="6" t="str">
        <f>HYPERLINK("http://mcgill.on.worldcat.org/oclc/1077693370","Catalog Record")</f>
        <v>Catalog Record</v>
      </c>
      <c r="AW4716" s="6" t="str">
        <f>HYPERLINK("http://www.worldcat.org/oclc/1077693370","WorldCat Record")</f>
        <v>WorldCat Record</v>
      </c>
      <c r="AX4716" s="3" t="s">
        <v>45146</v>
      </c>
      <c r="AY4716" s="3" t="s">
        <v>45147</v>
      </c>
      <c r="AZ4716" s="3" t="s">
        <v>45148</v>
      </c>
      <c r="BA4716" s="3" t="s">
        <v>45148</v>
      </c>
      <c r="BB4716" s="3" t="s">
        <v>45149</v>
      </c>
      <c r="BC4716" s="3" t="s">
        <v>142</v>
      </c>
      <c r="BD4716" s="3" t="s">
        <v>68</v>
      </c>
      <c r="BE4716" s="3" t="s">
        <v>45150</v>
      </c>
      <c r="BF4716" s="3" t="s">
        <v>45149</v>
      </c>
      <c r="BG4716" s="3" t="s">
        <v>45151</v>
      </c>
    </row>
    <row r="4717" spans="1:59" ht="57" x14ac:dyDescent="0.45">
      <c r="A4717" s="2" t="s">
        <v>59</v>
      </c>
      <c r="B4717" s="2" t="s">
        <v>60</v>
      </c>
      <c r="C4717" s="2" t="s">
        <v>45152</v>
      </c>
      <c r="D4717" s="2" t="s">
        <v>45153</v>
      </c>
      <c r="E4717" s="2" t="s">
        <v>45154</v>
      </c>
      <c r="G4717" s="3" t="s">
        <v>62</v>
      </c>
      <c r="I4717" s="3" t="s">
        <v>62</v>
      </c>
      <c r="J4717" s="3" t="s">
        <v>62</v>
      </c>
      <c r="K4717" s="3" t="s">
        <v>63</v>
      </c>
      <c r="L4717" s="2" t="s">
        <v>2988</v>
      </c>
      <c r="M4717" s="2" t="s">
        <v>45155</v>
      </c>
      <c r="N4717" s="3" t="s">
        <v>1155</v>
      </c>
      <c r="O4717" s="2" t="s">
        <v>45156</v>
      </c>
      <c r="P4717" s="3" t="s">
        <v>65</v>
      </c>
      <c r="R4717" s="3" t="s">
        <v>66</v>
      </c>
      <c r="S4717" s="4">
        <v>10</v>
      </c>
      <c r="T4717" s="4">
        <v>10</v>
      </c>
      <c r="U4717" s="5" t="s">
        <v>13047</v>
      </c>
      <c r="V4717" s="5" t="s">
        <v>13047</v>
      </c>
      <c r="W4717" s="5" t="s">
        <v>67</v>
      </c>
      <c r="X4717" s="5" t="s">
        <v>67</v>
      </c>
      <c r="Y4717" s="4">
        <v>735</v>
      </c>
      <c r="Z4717" s="4">
        <v>36</v>
      </c>
      <c r="AA4717" s="4">
        <v>42</v>
      </c>
      <c r="AB4717" s="4">
        <v>6</v>
      </c>
      <c r="AC4717" s="4">
        <v>10</v>
      </c>
      <c r="AD4717" s="4">
        <v>87</v>
      </c>
      <c r="AE4717" s="4">
        <v>91</v>
      </c>
      <c r="AF4717" s="4">
        <v>2</v>
      </c>
      <c r="AG4717" s="4">
        <v>3</v>
      </c>
      <c r="AH4717" s="4">
        <v>75</v>
      </c>
      <c r="AI4717" s="4">
        <v>77</v>
      </c>
      <c r="AJ4717" s="4">
        <v>10</v>
      </c>
      <c r="AK4717" s="4">
        <v>13</v>
      </c>
      <c r="AL4717" s="4">
        <v>45</v>
      </c>
      <c r="AM4717" s="4">
        <v>46</v>
      </c>
      <c r="AN4717" s="4">
        <v>0</v>
      </c>
      <c r="AO4717" s="4">
        <v>0</v>
      </c>
      <c r="AP4717" s="4">
        <v>14</v>
      </c>
      <c r="AQ4717" s="4">
        <v>16</v>
      </c>
      <c r="AR4717" s="3" t="s">
        <v>62</v>
      </c>
      <c r="AS4717" s="3" t="s">
        <v>62</v>
      </c>
      <c r="AT4717" s="3" t="s">
        <v>62</v>
      </c>
      <c r="AV4717" s="6" t="str">
        <f>HYPERLINK("http://mcgill.on.worldcat.org/oclc/694395290","Catalog Record")</f>
        <v>Catalog Record</v>
      </c>
      <c r="AW4717" s="6" t="str">
        <f>HYPERLINK("http://www.worldcat.org/oclc/694395290","WorldCat Record")</f>
        <v>WorldCat Record</v>
      </c>
      <c r="AX4717" s="3" t="s">
        <v>45157</v>
      </c>
      <c r="AY4717" s="3" t="s">
        <v>45158</v>
      </c>
      <c r="AZ4717" s="3" t="s">
        <v>45159</v>
      </c>
      <c r="BA4717" s="3" t="s">
        <v>45159</v>
      </c>
      <c r="BB4717" s="3" t="s">
        <v>45160</v>
      </c>
      <c r="BC4717" s="3" t="s">
        <v>142</v>
      </c>
      <c r="BD4717" s="3" t="s">
        <v>68</v>
      </c>
      <c r="BE4717" s="3" t="s">
        <v>45161</v>
      </c>
      <c r="BF4717" s="3" t="s">
        <v>45160</v>
      </c>
      <c r="BG4717" s="3" t="s">
        <v>45162</v>
      </c>
    </row>
    <row r="4718" spans="1:59" ht="57" x14ac:dyDescent="0.45">
      <c r="A4718" s="2" t="s">
        <v>59</v>
      </c>
      <c r="B4718" s="2" t="s">
        <v>60</v>
      </c>
      <c r="C4718" s="2" t="s">
        <v>45163</v>
      </c>
      <c r="D4718" s="2" t="s">
        <v>45164</v>
      </c>
      <c r="E4718" s="2" t="s">
        <v>45165</v>
      </c>
      <c r="G4718" s="3" t="s">
        <v>62</v>
      </c>
      <c r="I4718" s="3" t="s">
        <v>62</v>
      </c>
      <c r="J4718" s="3" t="s">
        <v>62</v>
      </c>
      <c r="K4718" s="3" t="s">
        <v>63</v>
      </c>
      <c r="M4718" s="2" t="s">
        <v>45166</v>
      </c>
      <c r="N4718" s="3" t="s">
        <v>970</v>
      </c>
      <c r="P4718" s="3" t="s">
        <v>65</v>
      </c>
      <c r="Q4718" s="2" t="s">
        <v>45167</v>
      </c>
      <c r="R4718" s="3" t="s">
        <v>66</v>
      </c>
      <c r="S4718" s="4">
        <v>7</v>
      </c>
      <c r="T4718" s="4">
        <v>7</v>
      </c>
      <c r="U4718" s="5" t="s">
        <v>12331</v>
      </c>
      <c r="V4718" s="5" t="s">
        <v>12331</v>
      </c>
      <c r="W4718" s="5" t="s">
        <v>67</v>
      </c>
      <c r="X4718" s="5" t="s">
        <v>67</v>
      </c>
      <c r="Y4718" s="4">
        <v>209</v>
      </c>
      <c r="Z4718" s="4">
        <v>19</v>
      </c>
      <c r="AA4718" s="4">
        <v>19</v>
      </c>
      <c r="AB4718" s="4">
        <v>1</v>
      </c>
      <c r="AC4718" s="4">
        <v>1</v>
      </c>
      <c r="AD4718" s="4">
        <v>83</v>
      </c>
      <c r="AE4718" s="4">
        <v>84</v>
      </c>
      <c r="AF4718" s="4">
        <v>0</v>
      </c>
      <c r="AG4718" s="4">
        <v>0</v>
      </c>
      <c r="AH4718" s="4">
        <v>74</v>
      </c>
      <c r="AI4718" s="4">
        <v>75</v>
      </c>
      <c r="AJ4718" s="4">
        <v>12</v>
      </c>
      <c r="AK4718" s="4">
        <v>12</v>
      </c>
      <c r="AL4718" s="4">
        <v>45</v>
      </c>
      <c r="AM4718" s="4">
        <v>45</v>
      </c>
      <c r="AN4718" s="4">
        <v>0</v>
      </c>
      <c r="AO4718" s="4">
        <v>0</v>
      </c>
      <c r="AP4718" s="4">
        <v>15</v>
      </c>
      <c r="AQ4718" s="4">
        <v>15</v>
      </c>
      <c r="AR4718" s="3" t="s">
        <v>62</v>
      </c>
      <c r="AS4718" s="3" t="s">
        <v>62</v>
      </c>
      <c r="AT4718" s="3" t="s">
        <v>61</v>
      </c>
      <c r="AU4718" s="6" t="str">
        <f>HYPERLINK("http://catalog.hathitrust.org/Record/003879608","HathiTrust Record")</f>
        <v>HathiTrust Record</v>
      </c>
      <c r="AV4718" s="6" t="str">
        <f>HYPERLINK("http://mcgill.on.worldcat.org/oclc/53151630","Catalog Record")</f>
        <v>Catalog Record</v>
      </c>
      <c r="AW4718" s="6" t="str">
        <f>HYPERLINK("http://www.worldcat.org/oclc/53151630","WorldCat Record")</f>
        <v>WorldCat Record</v>
      </c>
      <c r="AX4718" s="3" t="s">
        <v>45168</v>
      </c>
      <c r="AY4718" s="3" t="s">
        <v>45169</v>
      </c>
      <c r="AZ4718" s="3" t="s">
        <v>45170</v>
      </c>
      <c r="BA4718" s="3" t="s">
        <v>45170</v>
      </c>
      <c r="BB4718" s="3" t="s">
        <v>45171</v>
      </c>
      <c r="BC4718" s="3" t="s">
        <v>142</v>
      </c>
      <c r="BD4718" s="3" t="s">
        <v>68</v>
      </c>
      <c r="BE4718" s="3" t="s">
        <v>45172</v>
      </c>
      <c r="BF4718" s="3" t="s">
        <v>45171</v>
      </c>
      <c r="BG4718" s="3" t="s">
        <v>45173</v>
      </c>
    </row>
    <row r="4719" spans="1:59" ht="57" x14ac:dyDescent="0.45">
      <c r="A4719" s="2" t="s">
        <v>59</v>
      </c>
      <c r="B4719" s="2" t="s">
        <v>60</v>
      </c>
      <c r="C4719" s="2" t="s">
        <v>45174</v>
      </c>
      <c r="D4719" s="2" t="s">
        <v>45175</v>
      </c>
      <c r="E4719" s="2" t="s">
        <v>45176</v>
      </c>
      <c r="G4719" s="3" t="s">
        <v>62</v>
      </c>
      <c r="I4719" s="3" t="s">
        <v>62</v>
      </c>
      <c r="J4719" s="3" t="s">
        <v>62</v>
      </c>
      <c r="K4719" s="3" t="s">
        <v>63</v>
      </c>
      <c r="L4719" s="2" t="s">
        <v>45177</v>
      </c>
      <c r="M4719" s="2" t="s">
        <v>45178</v>
      </c>
      <c r="N4719" s="3" t="s">
        <v>167</v>
      </c>
      <c r="P4719" s="3" t="s">
        <v>65</v>
      </c>
      <c r="Q4719" s="2" t="s">
        <v>45179</v>
      </c>
      <c r="R4719" s="3" t="s">
        <v>66</v>
      </c>
      <c r="S4719" s="4">
        <v>8</v>
      </c>
      <c r="T4719" s="4">
        <v>8</v>
      </c>
      <c r="U4719" s="5" t="s">
        <v>41777</v>
      </c>
      <c r="V4719" s="5" t="s">
        <v>41777</v>
      </c>
      <c r="W4719" s="5" t="s">
        <v>67</v>
      </c>
      <c r="X4719" s="5" t="s">
        <v>67</v>
      </c>
      <c r="Y4719" s="4">
        <v>372</v>
      </c>
      <c r="Z4719" s="4">
        <v>25</v>
      </c>
      <c r="AA4719" s="4">
        <v>30</v>
      </c>
      <c r="AB4719" s="4">
        <v>3</v>
      </c>
      <c r="AC4719" s="4">
        <v>6</v>
      </c>
      <c r="AD4719" s="4">
        <v>81</v>
      </c>
      <c r="AE4719" s="4">
        <v>86</v>
      </c>
      <c r="AF4719" s="4">
        <v>2</v>
      </c>
      <c r="AG4719" s="4">
        <v>3</v>
      </c>
      <c r="AH4719" s="4">
        <v>72</v>
      </c>
      <c r="AI4719" s="4">
        <v>75</v>
      </c>
      <c r="AJ4719" s="4">
        <v>11</v>
      </c>
      <c r="AK4719" s="4">
        <v>14</v>
      </c>
      <c r="AL4719" s="4">
        <v>39</v>
      </c>
      <c r="AM4719" s="4">
        <v>41</v>
      </c>
      <c r="AN4719" s="4">
        <v>0</v>
      </c>
      <c r="AO4719" s="4">
        <v>0</v>
      </c>
      <c r="AP4719" s="4">
        <v>16</v>
      </c>
      <c r="AQ4719" s="4">
        <v>19</v>
      </c>
      <c r="AR4719" s="3" t="s">
        <v>62</v>
      </c>
      <c r="AS4719" s="3" t="s">
        <v>62</v>
      </c>
      <c r="AT4719" s="3" t="s">
        <v>61</v>
      </c>
      <c r="AU4719" s="6" t="str">
        <f>HYPERLINK("http://catalog.hathitrust.org/Record/004069652","HathiTrust Record")</f>
        <v>HathiTrust Record</v>
      </c>
      <c r="AV4719" s="6" t="str">
        <f>HYPERLINK("http://mcgill.on.worldcat.org/oclc/41580949","Catalog Record")</f>
        <v>Catalog Record</v>
      </c>
      <c r="AW4719" s="6" t="str">
        <f>HYPERLINK("http://www.worldcat.org/oclc/41580949","WorldCat Record")</f>
        <v>WorldCat Record</v>
      </c>
      <c r="AX4719" s="3" t="s">
        <v>45180</v>
      </c>
      <c r="AY4719" s="3" t="s">
        <v>45181</v>
      </c>
      <c r="AZ4719" s="3" t="s">
        <v>45182</v>
      </c>
      <c r="BA4719" s="3" t="s">
        <v>45182</v>
      </c>
      <c r="BB4719" s="3" t="s">
        <v>45183</v>
      </c>
      <c r="BC4719" s="3" t="s">
        <v>142</v>
      </c>
      <c r="BD4719" s="3" t="s">
        <v>68</v>
      </c>
      <c r="BE4719" s="3" t="s">
        <v>45184</v>
      </c>
      <c r="BF4719" s="3" t="s">
        <v>45183</v>
      </c>
      <c r="BG4719" s="3" t="s">
        <v>45185</v>
      </c>
    </row>
    <row r="4720" spans="1:59" ht="57" x14ac:dyDescent="0.45">
      <c r="A4720" s="2" t="s">
        <v>59</v>
      </c>
      <c r="B4720" s="2" t="s">
        <v>60</v>
      </c>
      <c r="C4720" s="2" t="s">
        <v>45186</v>
      </c>
      <c r="D4720" s="2" t="s">
        <v>45187</v>
      </c>
      <c r="E4720" s="2" t="s">
        <v>45188</v>
      </c>
      <c r="G4720" s="3" t="s">
        <v>62</v>
      </c>
      <c r="I4720" s="3" t="s">
        <v>62</v>
      </c>
      <c r="J4720" s="3" t="s">
        <v>62</v>
      </c>
      <c r="K4720" s="3" t="s">
        <v>63</v>
      </c>
      <c r="L4720" s="2" t="s">
        <v>45189</v>
      </c>
      <c r="M4720" s="2" t="s">
        <v>45190</v>
      </c>
      <c r="N4720" s="3" t="s">
        <v>894</v>
      </c>
      <c r="O4720" s="2" t="s">
        <v>168</v>
      </c>
      <c r="P4720" s="3" t="s">
        <v>65</v>
      </c>
      <c r="R4720" s="3" t="s">
        <v>66</v>
      </c>
      <c r="S4720" s="4">
        <v>7</v>
      </c>
      <c r="T4720" s="4">
        <v>7</v>
      </c>
      <c r="U4720" s="5" t="s">
        <v>1099</v>
      </c>
      <c r="V4720" s="5" t="s">
        <v>1099</v>
      </c>
      <c r="W4720" s="5" t="s">
        <v>67</v>
      </c>
      <c r="X4720" s="5" t="s">
        <v>67</v>
      </c>
      <c r="Y4720" s="4">
        <v>792</v>
      </c>
      <c r="Z4720" s="4">
        <v>30</v>
      </c>
      <c r="AA4720" s="4">
        <v>33</v>
      </c>
      <c r="AB4720" s="4">
        <v>3</v>
      </c>
      <c r="AC4720" s="4">
        <v>4</v>
      </c>
      <c r="AD4720" s="4">
        <v>81</v>
      </c>
      <c r="AE4720" s="4">
        <v>81</v>
      </c>
      <c r="AF4720" s="4">
        <v>0</v>
      </c>
      <c r="AG4720" s="4">
        <v>0</v>
      </c>
      <c r="AH4720" s="4">
        <v>73</v>
      </c>
      <c r="AI4720" s="4">
        <v>73</v>
      </c>
      <c r="AJ4720" s="4">
        <v>12</v>
      </c>
      <c r="AK4720" s="4">
        <v>12</v>
      </c>
      <c r="AL4720" s="4">
        <v>41</v>
      </c>
      <c r="AM4720" s="4">
        <v>41</v>
      </c>
      <c r="AN4720" s="4">
        <v>0</v>
      </c>
      <c r="AO4720" s="4">
        <v>0</v>
      </c>
      <c r="AP4720" s="4">
        <v>14</v>
      </c>
      <c r="AQ4720" s="4">
        <v>14</v>
      </c>
      <c r="AR4720" s="3" t="s">
        <v>62</v>
      </c>
      <c r="AS4720" s="3" t="s">
        <v>62</v>
      </c>
      <c r="AT4720" s="3" t="s">
        <v>62</v>
      </c>
      <c r="AV4720" s="6" t="str">
        <f>HYPERLINK("http://mcgill.on.worldcat.org/oclc/489003133","Catalog Record")</f>
        <v>Catalog Record</v>
      </c>
      <c r="AW4720" s="6" t="str">
        <f>HYPERLINK("http://www.worldcat.org/oclc/489003133","WorldCat Record")</f>
        <v>WorldCat Record</v>
      </c>
      <c r="AX4720" s="3" t="s">
        <v>45191</v>
      </c>
      <c r="AY4720" s="3" t="s">
        <v>45192</v>
      </c>
      <c r="AZ4720" s="3" t="s">
        <v>45193</v>
      </c>
      <c r="BA4720" s="3" t="s">
        <v>45193</v>
      </c>
      <c r="BB4720" s="3" t="s">
        <v>45194</v>
      </c>
      <c r="BC4720" s="3" t="s">
        <v>142</v>
      </c>
      <c r="BD4720" s="3" t="s">
        <v>68</v>
      </c>
      <c r="BE4720" s="3" t="s">
        <v>45195</v>
      </c>
      <c r="BF4720" s="3" t="s">
        <v>45194</v>
      </c>
      <c r="BG4720" s="3" t="s">
        <v>45196</v>
      </c>
    </row>
    <row r="4721" spans="1:59" ht="57" x14ac:dyDescent="0.45">
      <c r="A4721" s="2" t="s">
        <v>59</v>
      </c>
      <c r="B4721" s="2" t="s">
        <v>60</v>
      </c>
      <c r="C4721" s="2" t="s">
        <v>45197</v>
      </c>
      <c r="D4721" s="2" t="s">
        <v>45198</v>
      </c>
      <c r="E4721" s="2" t="s">
        <v>45199</v>
      </c>
      <c r="G4721" s="3" t="s">
        <v>62</v>
      </c>
      <c r="I4721" s="3" t="s">
        <v>62</v>
      </c>
      <c r="J4721" s="3" t="s">
        <v>62</v>
      </c>
      <c r="K4721" s="3" t="s">
        <v>63</v>
      </c>
      <c r="L4721" s="2" t="s">
        <v>45200</v>
      </c>
      <c r="M4721" s="2" t="s">
        <v>35492</v>
      </c>
      <c r="N4721" s="3" t="s">
        <v>945</v>
      </c>
      <c r="P4721" s="3" t="s">
        <v>65</v>
      </c>
      <c r="Q4721" s="2" t="s">
        <v>45201</v>
      </c>
      <c r="R4721" s="3" t="s">
        <v>66</v>
      </c>
      <c r="S4721" s="4">
        <v>16</v>
      </c>
      <c r="T4721" s="4">
        <v>16</v>
      </c>
      <c r="U4721" s="5" t="s">
        <v>3985</v>
      </c>
      <c r="V4721" s="5" t="s">
        <v>3985</v>
      </c>
      <c r="W4721" s="5" t="s">
        <v>67</v>
      </c>
      <c r="X4721" s="5" t="s">
        <v>67</v>
      </c>
      <c r="Y4721" s="4">
        <v>158</v>
      </c>
      <c r="Z4721" s="4">
        <v>19</v>
      </c>
      <c r="AA4721" s="4">
        <v>19</v>
      </c>
      <c r="AB4721" s="4">
        <v>3</v>
      </c>
      <c r="AC4721" s="4">
        <v>3</v>
      </c>
      <c r="AD4721" s="4">
        <v>49</v>
      </c>
      <c r="AE4721" s="4">
        <v>49</v>
      </c>
      <c r="AF4721" s="4">
        <v>1</v>
      </c>
      <c r="AG4721" s="4">
        <v>1</v>
      </c>
      <c r="AH4721" s="4">
        <v>41</v>
      </c>
      <c r="AI4721" s="4">
        <v>41</v>
      </c>
      <c r="AJ4721" s="4">
        <v>13</v>
      </c>
      <c r="AK4721" s="4">
        <v>13</v>
      </c>
      <c r="AL4721" s="4">
        <v>24</v>
      </c>
      <c r="AM4721" s="4">
        <v>24</v>
      </c>
      <c r="AN4721" s="4">
        <v>0</v>
      </c>
      <c r="AO4721" s="4">
        <v>0</v>
      </c>
      <c r="AP4721" s="4">
        <v>14</v>
      </c>
      <c r="AQ4721" s="4">
        <v>14</v>
      </c>
      <c r="AR4721" s="3" t="s">
        <v>62</v>
      </c>
      <c r="AS4721" s="3" t="s">
        <v>62</v>
      </c>
      <c r="AT4721" s="3" t="s">
        <v>62</v>
      </c>
      <c r="AV4721" s="6" t="str">
        <f>HYPERLINK("http://mcgill.on.worldcat.org/oclc/71004089","Catalog Record")</f>
        <v>Catalog Record</v>
      </c>
      <c r="AW4721" s="6" t="str">
        <f>HYPERLINK("http://www.worldcat.org/oclc/71004089","WorldCat Record")</f>
        <v>WorldCat Record</v>
      </c>
      <c r="AX4721" s="3" t="s">
        <v>45202</v>
      </c>
      <c r="AY4721" s="3" t="s">
        <v>45203</v>
      </c>
      <c r="AZ4721" s="3" t="s">
        <v>45204</v>
      </c>
      <c r="BA4721" s="3" t="s">
        <v>45204</v>
      </c>
      <c r="BB4721" s="3" t="s">
        <v>45205</v>
      </c>
      <c r="BC4721" s="3" t="s">
        <v>142</v>
      </c>
      <c r="BD4721" s="3" t="s">
        <v>68</v>
      </c>
      <c r="BE4721" s="3" t="s">
        <v>45206</v>
      </c>
      <c r="BF4721" s="3" t="s">
        <v>45205</v>
      </c>
      <c r="BG4721" s="3" t="s">
        <v>45207</v>
      </c>
    </row>
    <row r="4722" spans="1:59" ht="57" x14ac:dyDescent="0.45">
      <c r="A4722" s="2" t="s">
        <v>59</v>
      </c>
      <c r="B4722" s="2" t="s">
        <v>60</v>
      </c>
      <c r="C4722" s="2" t="s">
        <v>45208</v>
      </c>
      <c r="D4722" s="2" t="s">
        <v>45209</v>
      </c>
      <c r="E4722" s="2" t="s">
        <v>45210</v>
      </c>
      <c r="G4722" s="3" t="s">
        <v>62</v>
      </c>
      <c r="I4722" s="3" t="s">
        <v>62</v>
      </c>
      <c r="J4722" s="3" t="s">
        <v>62</v>
      </c>
      <c r="K4722" s="3" t="s">
        <v>63</v>
      </c>
      <c r="M4722" s="2" t="s">
        <v>45211</v>
      </c>
      <c r="N4722" s="3" t="s">
        <v>5180</v>
      </c>
      <c r="P4722" s="3" t="s">
        <v>110</v>
      </c>
      <c r="Q4722" s="2" t="s">
        <v>45212</v>
      </c>
      <c r="R4722" s="3" t="s">
        <v>66</v>
      </c>
      <c r="S4722" s="4">
        <v>1</v>
      </c>
      <c r="T4722" s="4">
        <v>1</v>
      </c>
      <c r="W4722" s="5" t="s">
        <v>67</v>
      </c>
      <c r="X4722" s="5" t="s">
        <v>67</v>
      </c>
      <c r="Y4722" s="4">
        <v>26</v>
      </c>
      <c r="Z4722" s="4">
        <v>6</v>
      </c>
      <c r="AA4722" s="4">
        <v>6</v>
      </c>
      <c r="AB4722" s="4">
        <v>1</v>
      </c>
      <c r="AC4722" s="4">
        <v>1</v>
      </c>
      <c r="AD4722" s="4">
        <v>18</v>
      </c>
      <c r="AE4722" s="4">
        <v>18</v>
      </c>
      <c r="AF4722" s="4">
        <v>0</v>
      </c>
      <c r="AG4722" s="4">
        <v>0</v>
      </c>
      <c r="AH4722" s="4">
        <v>15</v>
      </c>
      <c r="AI4722" s="4">
        <v>15</v>
      </c>
      <c r="AJ4722" s="4">
        <v>4</v>
      </c>
      <c r="AK4722" s="4">
        <v>4</v>
      </c>
      <c r="AL4722" s="4">
        <v>11</v>
      </c>
      <c r="AM4722" s="4">
        <v>11</v>
      </c>
      <c r="AN4722" s="4">
        <v>0</v>
      </c>
      <c r="AO4722" s="4">
        <v>0</v>
      </c>
      <c r="AP4722" s="4">
        <v>5</v>
      </c>
      <c r="AQ4722" s="4">
        <v>5</v>
      </c>
      <c r="AR4722" s="3" t="s">
        <v>62</v>
      </c>
      <c r="AS4722" s="3" t="s">
        <v>62</v>
      </c>
      <c r="AT4722" s="3" t="s">
        <v>62</v>
      </c>
      <c r="AV4722" s="6" t="str">
        <f>HYPERLINK("http://mcgill.on.worldcat.org/oclc/1066123389","Catalog Record")</f>
        <v>Catalog Record</v>
      </c>
      <c r="AW4722" s="6" t="str">
        <f>HYPERLINK("http://www.worldcat.org/oclc/1066123389","WorldCat Record")</f>
        <v>WorldCat Record</v>
      </c>
      <c r="AX4722" s="3" t="s">
        <v>45213</v>
      </c>
      <c r="AY4722" s="3" t="s">
        <v>45214</v>
      </c>
      <c r="AZ4722" s="3" t="s">
        <v>45215</v>
      </c>
      <c r="BA4722" s="3" t="s">
        <v>45215</v>
      </c>
      <c r="BB4722" s="3" t="s">
        <v>45216</v>
      </c>
      <c r="BC4722" s="3" t="s">
        <v>142</v>
      </c>
      <c r="BD4722" s="3" t="s">
        <v>308</v>
      </c>
      <c r="BE4722" s="3" t="s">
        <v>45217</v>
      </c>
      <c r="BF4722" s="3" t="s">
        <v>45216</v>
      </c>
      <c r="BG4722" s="3" t="s">
        <v>45218</v>
      </c>
    </row>
    <row r="4723" spans="1:59" ht="57" x14ac:dyDescent="0.45">
      <c r="A4723" s="2" t="s">
        <v>59</v>
      </c>
      <c r="B4723" s="2" t="s">
        <v>60</v>
      </c>
      <c r="C4723" s="2" t="s">
        <v>45219</v>
      </c>
      <c r="D4723" s="2" t="s">
        <v>45220</v>
      </c>
      <c r="E4723" s="2" t="s">
        <v>45221</v>
      </c>
      <c r="G4723" s="3" t="s">
        <v>62</v>
      </c>
      <c r="I4723" s="3" t="s">
        <v>62</v>
      </c>
      <c r="J4723" s="3" t="s">
        <v>62</v>
      </c>
      <c r="K4723" s="3" t="s">
        <v>63</v>
      </c>
      <c r="L4723" s="2" t="s">
        <v>45222</v>
      </c>
      <c r="M4723" s="2" t="s">
        <v>37715</v>
      </c>
      <c r="N4723" s="3" t="s">
        <v>1465</v>
      </c>
      <c r="O4723" s="2" t="s">
        <v>45223</v>
      </c>
      <c r="P4723" s="3" t="s">
        <v>65</v>
      </c>
      <c r="Q4723" s="2" t="s">
        <v>45224</v>
      </c>
      <c r="R4723" s="3" t="s">
        <v>66</v>
      </c>
      <c r="S4723" s="4">
        <v>8</v>
      </c>
      <c r="T4723" s="4">
        <v>8</v>
      </c>
      <c r="U4723" s="5" t="s">
        <v>41513</v>
      </c>
      <c r="V4723" s="5" t="s">
        <v>41513</v>
      </c>
      <c r="W4723" s="5" t="s">
        <v>67</v>
      </c>
      <c r="X4723" s="5" t="s">
        <v>67</v>
      </c>
      <c r="Y4723" s="4">
        <v>137</v>
      </c>
      <c r="Z4723" s="4">
        <v>13</v>
      </c>
      <c r="AA4723" s="4">
        <v>20</v>
      </c>
      <c r="AB4723" s="4">
        <v>2</v>
      </c>
      <c r="AC4723" s="4">
        <v>7</v>
      </c>
      <c r="AD4723" s="4">
        <v>48</v>
      </c>
      <c r="AE4723" s="4">
        <v>56</v>
      </c>
      <c r="AF4723" s="4">
        <v>0</v>
      </c>
      <c r="AG4723" s="4">
        <v>2</v>
      </c>
      <c r="AH4723" s="4">
        <v>43</v>
      </c>
      <c r="AI4723" s="4">
        <v>49</v>
      </c>
      <c r="AJ4723" s="4">
        <v>9</v>
      </c>
      <c r="AK4723" s="4">
        <v>13</v>
      </c>
      <c r="AL4723" s="4">
        <v>27</v>
      </c>
      <c r="AM4723" s="4">
        <v>30</v>
      </c>
      <c r="AN4723" s="4">
        <v>0</v>
      </c>
      <c r="AO4723" s="4">
        <v>0</v>
      </c>
      <c r="AP4723" s="4">
        <v>10</v>
      </c>
      <c r="AQ4723" s="4">
        <v>14</v>
      </c>
      <c r="AR4723" s="3" t="s">
        <v>62</v>
      </c>
      <c r="AS4723" s="3" t="s">
        <v>62</v>
      </c>
      <c r="AT4723" s="3" t="s">
        <v>62</v>
      </c>
      <c r="AV4723" s="6" t="str">
        <f>HYPERLINK("http://mcgill.on.worldcat.org/oclc/369309327","Catalog Record")</f>
        <v>Catalog Record</v>
      </c>
      <c r="AW4723" s="6" t="str">
        <f>HYPERLINK("http://www.worldcat.org/oclc/369309327","WorldCat Record")</f>
        <v>WorldCat Record</v>
      </c>
      <c r="AX4723" s="3" t="s">
        <v>45225</v>
      </c>
      <c r="AY4723" s="3" t="s">
        <v>45226</v>
      </c>
      <c r="AZ4723" s="3" t="s">
        <v>45227</v>
      </c>
      <c r="BA4723" s="3" t="s">
        <v>45227</v>
      </c>
      <c r="BB4723" s="3" t="s">
        <v>45228</v>
      </c>
      <c r="BC4723" s="3" t="s">
        <v>142</v>
      </c>
      <c r="BD4723" s="3" t="s">
        <v>68</v>
      </c>
      <c r="BE4723" s="3" t="s">
        <v>45229</v>
      </c>
      <c r="BF4723" s="3" t="s">
        <v>45228</v>
      </c>
      <c r="BG4723" s="3" t="s">
        <v>45230</v>
      </c>
    </row>
    <row r="4724" spans="1:59" ht="71.25" x14ac:dyDescent="0.45">
      <c r="A4724" s="2" t="s">
        <v>59</v>
      </c>
      <c r="B4724" s="2" t="s">
        <v>60</v>
      </c>
      <c r="C4724" s="2" t="s">
        <v>45231</v>
      </c>
      <c r="D4724" s="2" t="s">
        <v>45232</v>
      </c>
      <c r="E4724" s="2" t="s">
        <v>45233</v>
      </c>
      <c r="G4724" s="3" t="s">
        <v>62</v>
      </c>
      <c r="I4724" s="3" t="s">
        <v>62</v>
      </c>
      <c r="J4724" s="3" t="s">
        <v>62</v>
      </c>
      <c r="K4724" s="3" t="s">
        <v>63</v>
      </c>
      <c r="L4724" s="2" t="s">
        <v>45234</v>
      </c>
      <c r="M4724" s="2" t="s">
        <v>45235</v>
      </c>
      <c r="N4724" s="3" t="s">
        <v>1239</v>
      </c>
      <c r="P4724" s="3" t="s">
        <v>65</v>
      </c>
      <c r="Q4724" s="2" t="s">
        <v>45236</v>
      </c>
      <c r="R4724" s="3" t="s">
        <v>66</v>
      </c>
      <c r="S4724" s="4">
        <v>1</v>
      </c>
      <c r="T4724" s="4">
        <v>1</v>
      </c>
      <c r="U4724" s="5" t="s">
        <v>128</v>
      </c>
      <c r="V4724" s="5" t="s">
        <v>128</v>
      </c>
      <c r="W4724" s="5" t="s">
        <v>67</v>
      </c>
      <c r="X4724" s="5" t="s">
        <v>67</v>
      </c>
      <c r="Y4724" s="4">
        <v>7</v>
      </c>
      <c r="Z4724" s="4">
        <v>2</v>
      </c>
      <c r="AA4724" s="4">
        <v>93</v>
      </c>
      <c r="AB4724" s="4">
        <v>1</v>
      </c>
      <c r="AC4724" s="4">
        <v>17</v>
      </c>
      <c r="AD4724" s="4">
        <v>2</v>
      </c>
      <c r="AE4724" s="4">
        <v>123</v>
      </c>
      <c r="AF4724" s="4">
        <v>0</v>
      </c>
      <c r="AG4724" s="4">
        <v>8</v>
      </c>
      <c r="AH4724" s="4">
        <v>2</v>
      </c>
      <c r="AI4724" s="4">
        <v>88</v>
      </c>
      <c r="AJ4724" s="4">
        <v>1</v>
      </c>
      <c r="AK4724" s="4">
        <v>22</v>
      </c>
      <c r="AL4724" s="4">
        <v>1</v>
      </c>
      <c r="AM4724" s="4">
        <v>49</v>
      </c>
      <c r="AN4724" s="4">
        <v>0</v>
      </c>
      <c r="AO4724" s="4">
        <v>0</v>
      </c>
      <c r="AP4724" s="4">
        <v>1</v>
      </c>
      <c r="AQ4724" s="4">
        <v>43</v>
      </c>
      <c r="AR4724" s="3" t="s">
        <v>62</v>
      </c>
      <c r="AS4724" s="3" t="s">
        <v>62</v>
      </c>
      <c r="AT4724" s="3" t="s">
        <v>61</v>
      </c>
      <c r="AU4724" s="6" t="str">
        <f>HYPERLINK("http://catalog.hathitrust.org/Record/006233055","HathiTrust Record")</f>
        <v>HathiTrust Record</v>
      </c>
      <c r="AV4724" s="6" t="str">
        <f>HYPERLINK("http://mcgill.on.worldcat.org/oclc/229422339","Catalog Record")</f>
        <v>Catalog Record</v>
      </c>
      <c r="AW4724" s="6" t="str">
        <f>HYPERLINK("http://www.worldcat.org/oclc/229422339","WorldCat Record")</f>
        <v>WorldCat Record</v>
      </c>
      <c r="AX4724" s="3" t="s">
        <v>45237</v>
      </c>
      <c r="AY4724" s="3" t="s">
        <v>45238</v>
      </c>
      <c r="AZ4724" s="3" t="s">
        <v>45239</v>
      </c>
      <c r="BA4724" s="3" t="s">
        <v>45239</v>
      </c>
      <c r="BB4724" s="3" t="s">
        <v>45240</v>
      </c>
      <c r="BC4724" s="3" t="s">
        <v>142</v>
      </c>
      <c r="BD4724" s="3" t="s">
        <v>68</v>
      </c>
      <c r="BE4724" s="3" t="s">
        <v>45241</v>
      </c>
      <c r="BF4724" s="3" t="s">
        <v>45240</v>
      </c>
      <c r="BG4724" s="3" t="s">
        <v>45242</v>
      </c>
    </row>
    <row r="4725" spans="1:59" ht="71.25" x14ac:dyDescent="0.45">
      <c r="A4725" s="2" t="s">
        <v>59</v>
      </c>
      <c r="B4725" s="2" t="s">
        <v>60</v>
      </c>
      <c r="C4725" s="2" t="s">
        <v>45243</v>
      </c>
      <c r="D4725" s="2" t="s">
        <v>45244</v>
      </c>
      <c r="E4725" s="2" t="s">
        <v>45245</v>
      </c>
      <c r="G4725" s="3" t="s">
        <v>62</v>
      </c>
      <c r="I4725" s="3" t="s">
        <v>62</v>
      </c>
      <c r="J4725" s="3" t="s">
        <v>62</v>
      </c>
      <c r="K4725" s="3" t="s">
        <v>63</v>
      </c>
      <c r="L4725" s="2" t="s">
        <v>45246</v>
      </c>
      <c r="M4725" s="2" t="s">
        <v>7623</v>
      </c>
      <c r="N4725" s="3" t="s">
        <v>208</v>
      </c>
      <c r="P4725" s="3" t="s">
        <v>65</v>
      </c>
      <c r="Q4725" s="2" t="s">
        <v>45247</v>
      </c>
      <c r="R4725" s="3" t="s">
        <v>66</v>
      </c>
      <c r="S4725" s="4">
        <v>0</v>
      </c>
      <c r="T4725" s="4">
        <v>0</v>
      </c>
      <c r="W4725" s="5" t="s">
        <v>67</v>
      </c>
      <c r="X4725" s="5" t="s">
        <v>67</v>
      </c>
      <c r="Y4725" s="4">
        <v>53</v>
      </c>
      <c r="Z4725" s="4">
        <v>5</v>
      </c>
      <c r="AA4725" s="4">
        <v>71</v>
      </c>
      <c r="AB4725" s="4">
        <v>1</v>
      </c>
      <c r="AC4725" s="4">
        <v>14</v>
      </c>
      <c r="AD4725" s="4">
        <v>25</v>
      </c>
      <c r="AE4725" s="4">
        <v>89</v>
      </c>
      <c r="AF4725" s="4">
        <v>0</v>
      </c>
      <c r="AG4725" s="4">
        <v>8</v>
      </c>
      <c r="AH4725" s="4">
        <v>23</v>
      </c>
      <c r="AI4725" s="4">
        <v>59</v>
      </c>
      <c r="AJ4725" s="4">
        <v>3</v>
      </c>
      <c r="AK4725" s="4">
        <v>19</v>
      </c>
      <c r="AL4725" s="4">
        <v>16</v>
      </c>
      <c r="AM4725" s="4">
        <v>30</v>
      </c>
      <c r="AN4725" s="4">
        <v>0</v>
      </c>
      <c r="AO4725" s="4">
        <v>0</v>
      </c>
      <c r="AP4725" s="4">
        <v>3</v>
      </c>
      <c r="AQ4725" s="4">
        <v>38</v>
      </c>
      <c r="AR4725" s="3" t="s">
        <v>62</v>
      </c>
      <c r="AS4725" s="3" t="s">
        <v>62</v>
      </c>
      <c r="AT4725" s="3" t="s">
        <v>62</v>
      </c>
      <c r="AV4725" s="6" t="str">
        <f>HYPERLINK("http://mcgill.on.worldcat.org/oclc/911068287","Catalog Record")</f>
        <v>Catalog Record</v>
      </c>
      <c r="AW4725" s="6" t="str">
        <f>HYPERLINK("http://www.worldcat.org/oclc/911068287","WorldCat Record")</f>
        <v>WorldCat Record</v>
      </c>
      <c r="AX4725" s="3" t="s">
        <v>45248</v>
      </c>
      <c r="AY4725" s="3" t="s">
        <v>45249</v>
      </c>
      <c r="AZ4725" s="3" t="s">
        <v>45250</v>
      </c>
      <c r="BA4725" s="3" t="s">
        <v>45250</v>
      </c>
      <c r="BB4725" s="3" t="s">
        <v>45251</v>
      </c>
      <c r="BC4725" s="3" t="s">
        <v>142</v>
      </c>
      <c r="BD4725" s="3" t="s">
        <v>68</v>
      </c>
      <c r="BE4725" s="3" t="s">
        <v>45252</v>
      </c>
      <c r="BF4725" s="3" t="s">
        <v>45251</v>
      </c>
      <c r="BG4725" s="3" t="s">
        <v>45253</v>
      </c>
    </row>
    <row r="4726" spans="1:59" ht="57" x14ac:dyDescent="0.45">
      <c r="A4726" s="2" t="s">
        <v>59</v>
      </c>
      <c r="B4726" s="2" t="s">
        <v>60</v>
      </c>
      <c r="C4726" s="2" t="s">
        <v>45254</v>
      </c>
      <c r="D4726" s="2" t="s">
        <v>45255</v>
      </c>
      <c r="E4726" s="2" t="s">
        <v>45256</v>
      </c>
      <c r="G4726" s="3" t="s">
        <v>62</v>
      </c>
      <c r="H4726" s="3" t="s">
        <v>3960</v>
      </c>
      <c r="I4726" s="3" t="s">
        <v>62</v>
      </c>
      <c r="J4726" s="3" t="s">
        <v>62</v>
      </c>
      <c r="K4726" s="3" t="s">
        <v>63</v>
      </c>
      <c r="L4726" s="2" t="s">
        <v>45257</v>
      </c>
      <c r="M4726" s="2" t="s">
        <v>37141</v>
      </c>
      <c r="N4726" s="3" t="s">
        <v>19337</v>
      </c>
      <c r="P4726" s="3" t="s">
        <v>65</v>
      </c>
      <c r="Q4726" s="2" t="s">
        <v>45258</v>
      </c>
      <c r="R4726" s="3" t="s">
        <v>66</v>
      </c>
      <c r="S4726" s="4">
        <v>0</v>
      </c>
      <c r="T4726" s="4">
        <v>0</v>
      </c>
      <c r="W4726" s="5" t="s">
        <v>4817</v>
      </c>
      <c r="X4726" s="5" t="s">
        <v>4817</v>
      </c>
      <c r="Y4726" s="4">
        <v>28</v>
      </c>
      <c r="Z4726" s="4">
        <v>1</v>
      </c>
      <c r="AA4726" s="4">
        <v>6</v>
      </c>
      <c r="AB4726" s="4">
        <v>1</v>
      </c>
      <c r="AC4726" s="4">
        <v>3</v>
      </c>
      <c r="AD4726" s="4">
        <v>15</v>
      </c>
      <c r="AE4726" s="4">
        <v>21</v>
      </c>
      <c r="AF4726" s="4">
        <v>0</v>
      </c>
      <c r="AG4726" s="4">
        <v>0</v>
      </c>
      <c r="AH4726" s="4">
        <v>14</v>
      </c>
      <c r="AI4726" s="4">
        <v>19</v>
      </c>
      <c r="AJ4726" s="4">
        <v>0</v>
      </c>
      <c r="AK4726" s="4">
        <v>2</v>
      </c>
      <c r="AL4726" s="4">
        <v>11</v>
      </c>
      <c r="AM4726" s="4">
        <v>14</v>
      </c>
      <c r="AN4726" s="4">
        <v>0</v>
      </c>
      <c r="AO4726" s="4">
        <v>0</v>
      </c>
      <c r="AP4726" s="4">
        <v>0</v>
      </c>
      <c r="AQ4726" s="4">
        <v>3</v>
      </c>
      <c r="AR4726" s="3" t="s">
        <v>62</v>
      </c>
      <c r="AS4726" s="3" t="s">
        <v>62</v>
      </c>
      <c r="AT4726" s="3" t="s">
        <v>62</v>
      </c>
      <c r="AV4726" s="6" t="str">
        <f>HYPERLINK("http://mcgill.on.worldcat.org/oclc/1091236980","Catalog Record")</f>
        <v>Catalog Record</v>
      </c>
      <c r="AW4726" s="6" t="str">
        <f>HYPERLINK("http://www.worldcat.org/oclc/1091236980","WorldCat Record")</f>
        <v>WorldCat Record</v>
      </c>
      <c r="AX4726" s="3" t="s">
        <v>45259</v>
      </c>
      <c r="AY4726" s="3" t="s">
        <v>45260</v>
      </c>
      <c r="AZ4726" s="3" t="s">
        <v>45261</v>
      </c>
      <c r="BA4726" s="3" t="s">
        <v>45261</v>
      </c>
      <c r="BB4726" s="3" t="s">
        <v>45262</v>
      </c>
      <c r="BC4726" s="3" t="s">
        <v>142</v>
      </c>
      <c r="BD4726" s="3" t="s">
        <v>68</v>
      </c>
      <c r="BE4726" s="3" t="s">
        <v>45263</v>
      </c>
      <c r="BF4726" s="3" t="s">
        <v>45262</v>
      </c>
      <c r="BG4726" s="3" t="s">
        <v>45264</v>
      </c>
    </row>
    <row r="4727" spans="1:59" ht="142.5" x14ac:dyDescent="0.45">
      <c r="A4727" s="2" t="s">
        <v>59</v>
      </c>
      <c r="B4727" s="2" t="s">
        <v>60</v>
      </c>
      <c r="C4727" s="2" t="s">
        <v>45265</v>
      </c>
      <c r="D4727" s="2" t="s">
        <v>45266</v>
      </c>
      <c r="E4727" s="2" t="s">
        <v>45267</v>
      </c>
      <c r="F4727" s="3" t="s">
        <v>87</v>
      </c>
      <c r="G4727" s="3" t="s">
        <v>61</v>
      </c>
      <c r="I4727" s="3" t="s">
        <v>62</v>
      </c>
      <c r="J4727" s="3" t="s">
        <v>62</v>
      </c>
      <c r="K4727" s="3" t="s">
        <v>63</v>
      </c>
      <c r="M4727" s="2" t="s">
        <v>45268</v>
      </c>
      <c r="N4727" s="3" t="s">
        <v>1478</v>
      </c>
      <c r="P4727" s="3" t="s">
        <v>182</v>
      </c>
      <c r="Q4727" s="2" t="s">
        <v>45269</v>
      </c>
      <c r="R4727" s="3" t="s">
        <v>66</v>
      </c>
      <c r="S4727" s="4">
        <v>2</v>
      </c>
      <c r="T4727" s="4">
        <v>5</v>
      </c>
      <c r="U4727" s="5" t="s">
        <v>45270</v>
      </c>
      <c r="V4727" s="5" t="s">
        <v>45270</v>
      </c>
      <c r="W4727" s="5" t="s">
        <v>67</v>
      </c>
      <c r="X4727" s="5" t="s">
        <v>67</v>
      </c>
      <c r="Y4727" s="4">
        <v>37</v>
      </c>
      <c r="Z4727" s="4">
        <v>3</v>
      </c>
      <c r="AA4727" s="4">
        <v>3</v>
      </c>
      <c r="AB4727" s="4">
        <v>1</v>
      </c>
      <c r="AC4727" s="4">
        <v>1</v>
      </c>
      <c r="AD4727" s="4">
        <v>15</v>
      </c>
      <c r="AE4727" s="4">
        <v>15</v>
      </c>
      <c r="AF4727" s="4">
        <v>0</v>
      </c>
      <c r="AG4727" s="4">
        <v>0</v>
      </c>
      <c r="AH4727" s="4">
        <v>15</v>
      </c>
      <c r="AI4727" s="4">
        <v>15</v>
      </c>
      <c r="AJ4727" s="4">
        <v>1</v>
      </c>
      <c r="AK4727" s="4">
        <v>1</v>
      </c>
      <c r="AL4727" s="4">
        <v>13</v>
      </c>
      <c r="AM4727" s="4">
        <v>13</v>
      </c>
      <c r="AN4727" s="4">
        <v>0</v>
      </c>
      <c r="AO4727" s="4">
        <v>0</v>
      </c>
      <c r="AP4727" s="4">
        <v>1</v>
      </c>
      <c r="AQ4727" s="4">
        <v>1</v>
      </c>
      <c r="AR4727" s="3" t="s">
        <v>62</v>
      </c>
      <c r="AS4727" s="3" t="s">
        <v>62</v>
      </c>
      <c r="AT4727" s="3" t="s">
        <v>61</v>
      </c>
      <c r="AU4727" s="6" t="str">
        <f>HYPERLINK("http://catalog.hathitrust.org/Record/003137984","HathiTrust Record")</f>
        <v>HathiTrust Record</v>
      </c>
      <c r="AV4727" s="6" t="str">
        <f>HYPERLINK("http://mcgill.on.worldcat.org/oclc/35734885","Catalog Record")</f>
        <v>Catalog Record</v>
      </c>
      <c r="AW4727" s="6" t="str">
        <f>HYPERLINK("http://www.worldcat.org/oclc/35734885","WorldCat Record")</f>
        <v>WorldCat Record</v>
      </c>
      <c r="AX4727" s="3" t="s">
        <v>45271</v>
      </c>
      <c r="AY4727" s="3" t="s">
        <v>45272</v>
      </c>
      <c r="AZ4727" s="3" t="s">
        <v>45273</v>
      </c>
      <c r="BA4727" s="3" t="s">
        <v>45273</v>
      </c>
      <c r="BB4727" s="3" t="s">
        <v>45274</v>
      </c>
      <c r="BC4727" s="3" t="s">
        <v>142</v>
      </c>
      <c r="BD4727" s="3" t="s">
        <v>68</v>
      </c>
      <c r="BF4727" s="3" t="s">
        <v>45274</v>
      </c>
      <c r="BG4727" s="3" t="s">
        <v>45275</v>
      </c>
    </row>
    <row r="4728" spans="1:59" ht="142.5" x14ac:dyDescent="0.45">
      <c r="A4728" s="2" t="s">
        <v>59</v>
      </c>
      <c r="B4728" s="2" t="s">
        <v>60</v>
      </c>
      <c r="C4728" s="2" t="s">
        <v>45265</v>
      </c>
      <c r="D4728" s="2" t="s">
        <v>45266</v>
      </c>
      <c r="E4728" s="2" t="s">
        <v>45267</v>
      </c>
      <c r="F4728" s="3" t="s">
        <v>90</v>
      </c>
      <c r="G4728" s="3" t="s">
        <v>61</v>
      </c>
      <c r="I4728" s="3" t="s">
        <v>62</v>
      </c>
      <c r="J4728" s="3" t="s">
        <v>62</v>
      </c>
      <c r="K4728" s="3" t="s">
        <v>63</v>
      </c>
      <c r="M4728" s="2" t="s">
        <v>45268</v>
      </c>
      <c r="N4728" s="3" t="s">
        <v>1478</v>
      </c>
      <c r="P4728" s="3" t="s">
        <v>182</v>
      </c>
      <c r="Q4728" s="2" t="s">
        <v>45269</v>
      </c>
      <c r="R4728" s="3" t="s">
        <v>66</v>
      </c>
      <c r="S4728" s="4">
        <v>3</v>
      </c>
      <c r="T4728" s="4">
        <v>5</v>
      </c>
      <c r="U4728" s="5" t="s">
        <v>45270</v>
      </c>
      <c r="V4728" s="5" t="s">
        <v>45270</v>
      </c>
      <c r="W4728" s="5" t="s">
        <v>67</v>
      </c>
      <c r="X4728" s="5" t="s">
        <v>67</v>
      </c>
      <c r="Y4728" s="4">
        <v>37</v>
      </c>
      <c r="Z4728" s="4">
        <v>3</v>
      </c>
      <c r="AA4728" s="4">
        <v>3</v>
      </c>
      <c r="AB4728" s="4">
        <v>1</v>
      </c>
      <c r="AC4728" s="4">
        <v>1</v>
      </c>
      <c r="AD4728" s="4">
        <v>15</v>
      </c>
      <c r="AE4728" s="4">
        <v>15</v>
      </c>
      <c r="AF4728" s="4">
        <v>0</v>
      </c>
      <c r="AG4728" s="4">
        <v>0</v>
      </c>
      <c r="AH4728" s="4">
        <v>15</v>
      </c>
      <c r="AI4728" s="4">
        <v>15</v>
      </c>
      <c r="AJ4728" s="4">
        <v>1</v>
      </c>
      <c r="AK4728" s="4">
        <v>1</v>
      </c>
      <c r="AL4728" s="4">
        <v>13</v>
      </c>
      <c r="AM4728" s="4">
        <v>13</v>
      </c>
      <c r="AN4728" s="4">
        <v>0</v>
      </c>
      <c r="AO4728" s="4">
        <v>0</v>
      </c>
      <c r="AP4728" s="4">
        <v>1</v>
      </c>
      <c r="AQ4728" s="4">
        <v>1</v>
      </c>
      <c r="AR4728" s="3" t="s">
        <v>62</v>
      </c>
      <c r="AS4728" s="3" t="s">
        <v>62</v>
      </c>
      <c r="AT4728" s="3" t="s">
        <v>61</v>
      </c>
      <c r="AU4728" s="6" t="str">
        <f>HYPERLINK("http://catalog.hathitrust.org/Record/003137984","HathiTrust Record")</f>
        <v>HathiTrust Record</v>
      </c>
      <c r="AV4728" s="6" t="str">
        <f>HYPERLINK("http://mcgill.on.worldcat.org/oclc/35734885","Catalog Record")</f>
        <v>Catalog Record</v>
      </c>
      <c r="AW4728" s="6" t="str">
        <f>HYPERLINK("http://www.worldcat.org/oclc/35734885","WorldCat Record")</f>
        <v>WorldCat Record</v>
      </c>
      <c r="AX4728" s="3" t="s">
        <v>45271</v>
      </c>
      <c r="AY4728" s="3" t="s">
        <v>45272</v>
      </c>
      <c r="AZ4728" s="3" t="s">
        <v>45273</v>
      </c>
      <c r="BA4728" s="3" t="s">
        <v>45273</v>
      </c>
      <c r="BB4728" s="3" t="s">
        <v>45276</v>
      </c>
      <c r="BC4728" s="3" t="s">
        <v>142</v>
      </c>
      <c r="BD4728" s="3" t="s">
        <v>68</v>
      </c>
      <c r="BF4728" s="3" t="s">
        <v>45276</v>
      </c>
      <c r="BG4728" s="3" t="s">
        <v>45277</v>
      </c>
    </row>
    <row r="4729" spans="1:59" ht="57" x14ac:dyDescent="0.45">
      <c r="A4729" s="2" t="s">
        <v>59</v>
      </c>
      <c r="B4729" s="2" t="s">
        <v>60</v>
      </c>
      <c r="C4729" s="2" t="s">
        <v>45278</v>
      </c>
      <c r="D4729" s="2" t="s">
        <v>45279</v>
      </c>
      <c r="E4729" s="2" t="s">
        <v>45280</v>
      </c>
      <c r="G4729" s="3" t="s">
        <v>62</v>
      </c>
      <c r="I4729" s="3" t="s">
        <v>62</v>
      </c>
      <c r="J4729" s="3" t="s">
        <v>62</v>
      </c>
      <c r="K4729" s="3" t="s">
        <v>63</v>
      </c>
      <c r="L4729" s="2" t="s">
        <v>45281</v>
      </c>
      <c r="M4729" s="2" t="s">
        <v>21252</v>
      </c>
      <c r="N4729" s="3" t="s">
        <v>1155</v>
      </c>
      <c r="P4729" s="3" t="s">
        <v>65</v>
      </c>
      <c r="Q4729" s="2" t="s">
        <v>29906</v>
      </c>
      <c r="R4729" s="3" t="s">
        <v>66</v>
      </c>
      <c r="S4729" s="4">
        <v>0</v>
      </c>
      <c r="T4729" s="4">
        <v>0</v>
      </c>
      <c r="W4729" s="5" t="s">
        <v>67</v>
      </c>
      <c r="X4729" s="5" t="s">
        <v>67</v>
      </c>
      <c r="Y4729" s="4">
        <v>140</v>
      </c>
      <c r="Z4729" s="4">
        <v>14</v>
      </c>
      <c r="AA4729" s="4">
        <v>17</v>
      </c>
      <c r="AB4729" s="4">
        <v>2</v>
      </c>
      <c r="AC4729" s="4">
        <v>5</v>
      </c>
      <c r="AD4729" s="4">
        <v>38</v>
      </c>
      <c r="AE4729" s="4">
        <v>40</v>
      </c>
      <c r="AF4729" s="4">
        <v>0</v>
      </c>
      <c r="AG4729" s="4">
        <v>2</v>
      </c>
      <c r="AH4729" s="4">
        <v>32</v>
      </c>
      <c r="AI4729" s="4">
        <v>32</v>
      </c>
      <c r="AJ4729" s="4">
        <v>6</v>
      </c>
      <c r="AK4729" s="4">
        <v>7</v>
      </c>
      <c r="AL4729" s="4">
        <v>18</v>
      </c>
      <c r="AM4729" s="4">
        <v>18</v>
      </c>
      <c r="AN4729" s="4">
        <v>0</v>
      </c>
      <c r="AO4729" s="4">
        <v>0</v>
      </c>
      <c r="AP4729" s="4">
        <v>10</v>
      </c>
      <c r="AQ4729" s="4">
        <v>11</v>
      </c>
      <c r="AR4729" s="3" t="s">
        <v>62</v>
      </c>
      <c r="AS4729" s="3" t="s">
        <v>62</v>
      </c>
      <c r="AT4729" s="3" t="s">
        <v>62</v>
      </c>
      <c r="AV4729" s="6" t="str">
        <f>HYPERLINK("http://mcgill.on.worldcat.org/oclc/761366528","Catalog Record")</f>
        <v>Catalog Record</v>
      </c>
      <c r="AW4729" s="6" t="str">
        <f>HYPERLINK("http://www.worldcat.org/oclc/761366528","WorldCat Record")</f>
        <v>WorldCat Record</v>
      </c>
      <c r="AX4729" s="3" t="s">
        <v>45282</v>
      </c>
      <c r="AY4729" s="3" t="s">
        <v>45283</v>
      </c>
      <c r="AZ4729" s="3" t="s">
        <v>45284</v>
      </c>
      <c r="BA4729" s="3" t="s">
        <v>45284</v>
      </c>
      <c r="BB4729" s="3" t="s">
        <v>45285</v>
      </c>
      <c r="BC4729" s="3" t="s">
        <v>142</v>
      </c>
      <c r="BD4729" s="3" t="s">
        <v>68</v>
      </c>
      <c r="BE4729" s="3" t="s">
        <v>45286</v>
      </c>
      <c r="BF4729" s="3" t="s">
        <v>45285</v>
      </c>
      <c r="BG4729" s="3" t="s">
        <v>45287</v>
      </c>
    </row>
    <row r="4730" spans="1:59" ht="57" x14ac:dyDescent="0.45">
      <c r="A4730" s="2" t="s">
        <v>59</v>
      </c>
      <c r="B4730" s="2" t="s">
        <v>60</v>
      </c>
      <c r="C4730" s="2" t="s">
        <v>45288</v>
      </c>
      <c r="D4730" s="2" t="s">
        <v>45289</v>
      </c>
      <c r="E4730" s="2" t="s">
        <v>45290</v>
      </c>
      <c r="G4730" s="3" t="s">
        <v>62</v>
      </c>
      <c r="I4730" s="3" t="s">
        <v>62</v>
      </c>
      <c r="J4730" s="3" t="s">
        <v>62</v>
      </c>
      <c r="K4730" s="3" t="s">
        <v>63</v>
      </c>
      <c r="M4730" s="2" t="s">
        <v>10440</v>
      </c>
      <c r="N4730" s="3" t="s">
        <v>894</v>
      </c>
      <c r="P4730" s="3" t="s">
        <v>65</v>
      </c>
      <c r="Q4730" s="2" t="s">
        <v>45291</v>
      </c>
      <c r="R4730" s="3" t="s">
        <v>66</v>
      </c>
      <c r="S4730" s="4">
        <v>1</v>
      </c>
      <c r="T4730" s="4">
        <v>1</v>
      </c>
      <c r="U4730" s="5" t="s">
        <v>16654</v>
      </c>
      <c r="V4730" s="5" t="s">
        <v>16654</v>
      </c>
      <c r="W4730" s="5" t="s">
        <v>67</v>
      </c>
      <c r="X4730" s="5" t="s">
        <v>67</v>
      </c>
      <c r="Y4730" s="4">
        <v>43</v>
      </c>
      <c r="Z4730" s="4">
        <v>3</v>
      </c>
      <c r="AA4730" s="4">
        <v>38</v>
      </c>
      <c r="AB4730" s="4">
        <v>1</v>
      </c>
      <c r="AC4730" s="4">
        <v>10</v>
      </c>
      <c r="AD4730" s="4">
        <v>18</v>
      </c>
      <c r="AE4730" s="4">
        <v>38</v>
      </c>
      <c r="AF4730" s="4">
        <v>0</v>
      </c>
      <c r="AG4730" s="4">
        <v>3</v>
      </c>
      <c r="AH4730" s="4">
        <v>18</v>
      </c>
      <c r="AI4730" s="4">
        <v>29</v>
      </c>
      <c r="AJ4730" s="4">
        <v>2</v>
      </c>
      <c r="AK4730" s="4">
        <v>9</v>
      </c>
      <c r="AL4730" s="4">
        <v>12</v>
      </c>
      <c r="AM4730" s="4">
        <v>18</v>
      </c>
      <c r="AN4730" s="4">
        <v>0</v>
      </c>
      <c r="AO4730" s="4">
        <v>0</v>
      </c>
      <c r="AP4730" s="4">
        <v>2</v>
      </c>
      <c r="AQ4730" s="4">
        <v>14</v>
      </c>
      <c r="AR4730" s="3" t="s">
        <v>62</v>
      </c>
      <c r="AS4730" s="3" t="s">
        <v>62</v>
      </c>
      <c r="AT4730" s="3" t="s">
        <v>62</v>
      </c>
      <c r="AV4730" s="6" t="str">
        <f>HYPERLINK("http://mcgill.on.worldcat.org/oclc/752472625","Catalog Record")</f>
        <v>Catalog Record</v>
      </c>
      <c r="AW4730" s="6" t="str">
        <f>HYPERLINK("http://www.worldcat.org/oclc/752472625","WorldCat Record")</f>
        <v>WorldCat Record</v>
      </c>
      <c r="AX4730" s="3" t="s">
        <v>45292</v>
      </c>
      <c r="AY4730" s="3" t="s">
        <v>45293</v>
      </c>
      <c r="AZ4730" s="3" t="s">
        <v>45294</v>
      </c>
      <c r="BA4730" s="3" t="s">
        <v>45294</v>
      </c>
      <c r="BB4730" s="3" t="s">
        <v>45295</v>
      </c>
      <c r="BC4730" s="3" t="s">
        <v>142</v>
      </c>
      <c r="BD4730" s="3" t="s">
        <v>68</v>
      </c>
      <c r="BE4730" s="3" t="s">
        <v>45296</v>
      </c>
      <c r="BF4730" s="3" t="s">
        <v>45295</v>
      </c>
      <c r="BG4730" s="3" t="s">
        <v>45297</v>
      </c>
    </row>
    <row r="4731" spans="1:59" ht="57" x14ac:dyDescent="0.45">
      <c r="A4731" s="2" t="s">
        <v>59</v>
      </c>
      <c r="B4731" s="2" t="s">
        <v>60</v>
      </c>
      <c r="C4731" s="2" t="s">
        <v>45298</v>
      </c>
      <c r="D4731" s="2" t="s">
        <v>45299</v>
      </c>
      <c r="E4731" s="2" t="s">
        <v>45300</v>
      </c>
      <c r="G4731" s="3" t="s">
        <v>62</v>
      </c>
      <c r="I4731" s="3" t="s">
        <v>62</v>
      </c>
      <c r="J4731" s="3" t="s">
        <v>62</v>
      </c>
      <c r="K4731" s="3" t="s">
        <v>63</v>
      </c>
      <c r="M4731" s="2" t="s">
        <v>2952</v>
      </c>
      <c r="N4731" s="3" t="s">
        <v>918</v>
      </c>
      <c r="P4731" s="3" t="s">
        <v>65</v>
      </c>
      <c r="Q4731" s="2" t="s">
        <v>45301</v>
      </c>
      <c r="R4731" s="3" t="s">
        <v>66</v>
      </c>
      <c r="S4731" s="4">
        <v>12</v>
      </c>
      <c r="T4731" s="4">
        <v>12</v>
      </c>
      <c r="U4731" s="5" t="s">
        <v>45302</v>
      </c>
      <c r="V4731" s="5" t="s">
        <v>45302</v>
      </c>
      <c r="W4731" s="5" t="s">
        <v>67</v>
      </c>
      <c r="X4731" s="5" t="s">
        <v>67</v>
      </c>
      <c r="Y4731" s="4">
        <v>403</v>
      </c>
      <c r="Z4731" s="4">
        <v>32</v>
      </c>
      <c r="AA4731" s="4">
        <v>66</v>
      </c>
      <c r="AB4731" s="4">
        <v>2</v>
      </c>
      <c r="AC4731" s="4">
        <v>17</v>
      </c>
      <c r="AD4731" s="4">
        <v>116</v>
      </c>
      <c r="AE4731" s="4">
        <v>144</v>
      </c>
      <c r="AF4731" s="4">
        <v>1</v>
      </c>
      <c r="AG4731" s="4">
        <v>8</v>
      </c>
      <c r="AH4731" s="4">
        <v>100</v>
      </c>
      <c r="AI4731" s="4">
        <v>103</v>
      </c>
      <c r="AJ4731" s="4">
        <v>19</v>
      </c>
      <c r="AK4731" s="4">
        <v>26</v>
      </c>
      <c r="AL4731" s="4">
        <v>54</v>
      </c>
      <c r="AM4731" s="4">
        <v>54</v>
      </c>
      <c r="AN4731" s="4">
        <v>0</v>
      </c>
      <c r="AO4731" s="4">
        <v>0</v>
      </c>
      <c r="AP4731" s="4">
        <v>26</v>
      </c>
      <c r="AQ4731" s="4">
        <v>50</v>
      </c>
      <c r="AR4731" s="3" t="s">
        <v>62</v>
      </c>
      <c r="AS4731" s="3" t="s">
        <v>62</v>
      </c>
      <c r="AT4731" s="3" t="s">
        <v>62</v>
      </c>
      <c r="AV4731" s="6" t="str">
        <f>HYPERLINK("http://mcgill.on.worldcat.org/oclc/51235137","Catalog Record")</f>
        <v>Catalog Record</v>
      </c>
      <c r="AW4731" s="6" t="str">
        <f>HYPERLINK("http://www.worldcat.org/oclc/51235137","WorldCat Record")</f>
        <v>WorldCat Record</v>
      </c>
      <c r="AX4731" s="3" t="s">
        <v>45303</v>
      </c>
      <c r="AY4731" s="3" t="s">
        <v>45304</v>
      </c>
      <c r="AZ4731" s="3" t="s">
        <v>45305</v>
      </c>
      <c r="BA4731" s="3" t="s">
        <v>45305</v>
      </c>
      <c r="BB4731" s="3" t="s">
        <v>45306</v>
      </c>
      <c r="BC4731" s="3" t="s">
        <v>142</v>
      </c>
      <c r="BD4731" s="3" t="s">
        <v>68</v>
      </c>
      <c r="BE4731" s="3" t="s">
        <v>45307</v>
      </c>
      <c r="BF4731" s="3" t="s">
        <v>45306</v>
      </c>
      <c r="BG4731" s="3" t="s">
        <v>45308</v>
      </c>
    </row>
    <row r="4732" spans="1:59" ht="57" x14ac:dyDescent="0.45">
      <c r="A4732" s="2" t="s">
        <v>59</v>
      </c>
      <c r="B4732" s="2" t="s">
        <v>60</v>
      </c>
      <c r="C4732" s="2" t="s">
        <v>45309</v>
      </c>
      <c r="D4732" s="2" t="s">
        <v>45310</v>
      </c>
      <c r="E4732" s="2" t="s">
        <v>45311</v>
      </c>
      <c r="G4732" s="3" t="s">
        <v>62</v>
      </c>
      <c r="I4732" s="3" t="s">
        <v>62</v>
      </c>
      <c r="J4732" s="3" t="s">
        <v>62</v>
      </c>
      <c r="K4732" s="3" t="s">
        <v>63</v>
      </c>
      <c r="L4732" s="2" t="s">
        <v>43543</v>
      </c>
      <c r="M4732" s="2" t="s">
        <v>45312</v>
      </c>
      <c r="N4732" s="3" t="s">
        <v>542</v>
      </c>
      <c r="O4732" s="2" t="s">
        <v>168</v>
      </c>
      <c r="P4732" s="3" t="s">
        <v>65</v>
      </c>
      <c r="R4732" s="3" t="s">
        <v>66</v>
      </c>
      <c r="S4732" s="4">
        <v>25</v>
      </c>
      <c r="T4732" s="4">
        <v>25</v>
      </c>
      <c r="U4732" s="5" t="s">
        <v>13095</v>
      </c>
      <c r="V4732" s="5" t="s">
        <v>13095</v>
      </c>
      <c r="W4732" s="5" t="s">
        <v>67</v>
      </c>
      <c r="X4732" s="5" t="s">
        <v>67</v>
      </c>
      <c r="Y4732" s="4">
        <v>851</v>
      </c>
      <c r="Z4732" s="4">
        <v>21</v>
      </c>
      <c r="AA4732" s="4">
        <v>40</v>
      </c>
      <c r="AB4732" s="4">
        <v>3</v>
      </c>
      <c r="AC4732" s="4">
        <v>7</v>
      </c>
      <c r="AD4732" s="4">
        <v>96</v>
      </c>
      <c r="AE4732" s="4">
        <v>114</v>
      </c>
      <c r="AF4732" s="4">
        <v>1</v>
      </c>
      <c r="AG4732" s="4">
        <v>3</v>
      </c>
      <c r="AH4732" s="4">
        <v>88</v>
      </c>
      <c r="AI4732" s="4">
        <v>99</v>
      </c>
      <c r="AJ4732" s="4">
        <v>10</v>
      </c>
      <c r="AK4732" s="4">
        <v>15</v>
      </c>
      <c r="AL4732" s="4">
        <v>48</v>
      </c>
      <c r="AM4732" s="4">
        <v>56</v>
      </c>
      <c r="AN4732" s="4">
        <v>0</v>
      </c>
      <c r="AO4732" s="4">
        <v>0</v>
      </c>
      <c r="AP4732" s="4">
        <v>14</v>
      </c>
      <c r="AQ4732" s="4">
        <v>21</v>
      </c>
      <c r="AR4732" s="3" t="s">
        <v>62</v>
      </c>
      <c r="AS4732" s="3" t="s">
        <v>62</v>
      </c>
      <c r="AT4732" s="3" t="s">
        <v>62</v>
      </c>
      <c r="AV4732" s="6" t="str">
        <f>HYPERLINK("http://mcgill.on.worldcat.org/oclc/46564796","Catalog Record")</f>
        <v>Catalog Record</v>
      </c>
      <c r="AW4732" s="6" t="str">
        <f>HYPERLINK("http://www.worldcat.org/oclc/46564796","WorldCat Record")</f>
        <v>WorldCat Record</v>
      </c>
      <c r="AX4732" s="3" t="s">
        <v>45313</v>
      </c>
      <c r="AY4732" s="3" t="s">
        <v>45314</v>
      </c>
      <c r="AZ4732" s="3" t="s">
        <v>45315</v>
      </c>
      <c r="BA4732" s="3" t="s">
        <v>45315</v>
      </c>
      <c r="BB4732" s="3" t="s">
        <v>45316</v>
      </c>
      <c r="BC4732" s="3" t="s">
        <v>142</v>
      </c>
      <c r="BD4732" s="3" t="s">
        <v>68</v>
      </c>
      <c r="BE4732" s="3" t="s">
        <v>45317</v>
      </c>
      <c r="BF4732" s="3" t="s">
        <v>45316</v>
      </c>
      <c r="BG4732" s="3" t="s">
        <v>45318</v>
      </c>
    </row>
    <row r="4733" spans="1:59" ht="57" x14ac:dyDescent="0.45">
      <c r="A4733" s="2" t="s">
        <v>59</v>
      </c>
      <c r="B4733" s="2" t="s">
        <v>60</v>
      </c>
      <c r="C4733" s="2" t="s">
        <v>45319</v>
      </c>
      <c r="D4733" s="2" t="s">
        <v>45320</v>
      </c>
      <c r="E4733" s="2" t="s">
        <v>45321</v>
      </c>
      <c r="G4733" s="3" t="s">
        <v>62</v>
      </c>
      <c r="I4733" s="3" t="s">
        <v>62</v>
      </c>
      <c r="J4733" s="3" t="s">
        <v>62</v>
      </c>
      <c r="K4733" s="3" t="s">
        <v>63</v>
      </c>
      <c r="L4733" s="2" t="s">
        <v>45322</v>
      </c>
      <c r="M4733" s="2" t="s">
        <v>29645</v>
      </c>
      <c r="N4733" s="3" t="s">
        <v>1688</v>
      </c>
      <c r="P4733" s="3" t="s">
        <v>65</v>
      </c>
      <c r="R4733" s="3" t="s">
        <v>66</v>
      </c>
      <c r="S4733" s="4">
        <v>0</v>
      </c>
      <c r="T4733" s="4">
        <v>0</v>
      </c>
      <c r="W4733" s="5" t="s">
        <v>67</v>
      </c>
      <c r="X4733" s="5" t="s">
        <v>67</v>
      </c>
      <c r="Y4733" s="4">
        <v>90</v>
      </c>
      <c r="Z4733" s="4">
        <v>14</v>
      </c>
      <c r="AA4733" s="4">
        <v>16</v>
      </c>
      <c r="AB4733" s="4">
        <v>1</v>
      </c>
      <c r="AC4733" s="4">
        <v>3</v>
      </c>
      <c r="AD4733" s="4">
        <v>47</v>
      </c>
      <c r="AE4733" s="4">
        <v>48</v>
      </c>
      <c r="AF4733" s="4">
        <v>0</v>
      </c>
      <c r="AG4733" s="4">
        <v>1</v>
      </c>
      <c r="AH4733" s="4">
        <v>42</v>
      </c>
      <c r="AI4733" s="4">
        <v>42</v>
      </c>
      <c r="AJ4733" s="4">
        <v>12</v>
      </c>
      <c r="AK4733" s="4">
        <v>13</v>
      </c>
      <c r="AL4733" s="4">
        <v>28</v>
      </c>
      <c r="AM4733" s="4">
        <v>28</v>
      </c>
      <c r="AN4733" s="4">
        <v>0</v>
      </c>
      <c r="AO4733" s="4">
        <v>0</v>
      </c>
      <c r="AP4733" s="4">
        <v>12</v>
      </c>
      <c r="AQ4733" s="4">
        <v>12</v>
      </c>
      <c r="AR4733" s="3" t="s">
        <v>62</v>
      </c>
      <c r="AS4733" s="3" t="s">
        <v>62</v>
      </c>
      <c r="AT4733" s="3" t="s">
        <v>62</v>
      </c>
      <c r="AV4733" s="6" t="str">
        <f>HYPERLINK("http://mcgill.on.worldcat.org/oclc/860753497","Catalog Record")</f>
        <v>Catalog Record</v>
      </c>
      <c r="AW4733" s="6" t="str">
        <f>HYPERLINK("http://www.worldcat.org/oclc/860753497","WorldCat Record")</f>
        <v>WorldCat Record</v>
      </c>
      <c r="AX4733" s="3" t="s">
        <v>45323</v>
      </c>
      <c r="AY4733" s="3" t="s">
        <v>45324</v>
      </c>
      <c r="AZ4733" s="3" t="s">
        <v>45325</v>
      </c>
      <c r="BA4733" s="3" t="s">
        <v>45325</v>
      </c>
      <c r="BB4733" s="3" t="s">
        <v>45326</v>
      </c>
      <c r="BC4733" s="3" t="s">
        <v>142</v>
      </c>
      <c r="BD4733" s="3" t="s">
        <v>68</v>
      </c>
      <c r="BE4733" s="3" t="s">
        <v>45327</v>
      </c>
      <c r="BF4733" s="3" t="s">
        <v>45326</v>
      </c>
      <c r="BG4733" s="3" t="s">
        <v>45328</v>
      </c>
    </row>
    <row r="4734" spans="1:59" ht="57" x14ac:dyDescent="0.45">
      <c r="A4734" s="2" t="s">
        <v>59</v>
      </c>
      <c r="B4734" s="2" t="s">
        <v>60</v>
      </c>
      <c r="C4734" s="2" t="s">
        <v>45329</v>
      </c>
      <c r="D4734" s="2" t="s">
        <v>45330</v>
      </c>
      <c r="E4734" s="2" t="s">
        <v>45331</v>
      </c>
      <c r="G4734" s="3" t="s">
        <v>62</v>
      </c>
      <c r="I4734" s="3" t="s">
        <v>62</v>
      </c>
      <c r="J4734" s="3" t="s">
        <v>62</v>
      </c>
      <c r="K4734" s="3" t="s">
        <v>63</v>
      </c>
      <c r="M4734" s="2" t="s">
        <v>45332</v>
      </c>
      <c r="N4734" s="3" t="s">
        <v>208</v>
      </c>
      <c r="P4734" s="3" t="s">
        <v>65</v>
      </c>
      <c r="Q4734" s="2" t="s">
        <v>1689</v>
      </c>
      <c r="R4734" s="3" t="s">
        <v>66</v>
      </c>
      <c r="S4734" s="4">
        <v>1</v>
      </c>
      <c r="T4734" s="4">
        <v>1</v>
      </c>
      <c r="U4734" s="5" t="s">
        <v>45333</v>
      </c>
      <c r="V4734" s="5" t="s">
        <v>45333</v>
      </c>
      <c r="W4734" s="5" t="s">
        <v>67</v>
      </c>
      <c r="X4734" s="5" t="s">
        <v>67</v>
      </c>
      <c r="Y4734" s="4">
        <v>79</v>
      </c>
      <c r="Z4734" s="4">
        <v>6</v>
      </c>
      <c r="AA4734" s="4">
        <v>18</v>
      </c>
      <c r="AB4734" s="4">
        <v>1</v>
      </c>
      <c r="AC4734" s="4">
        <v>7</v>
      </c>
      <c r="AD4734" s="4">
        <v>22</v>
      </c>
      <c r="AE4734" s="4">
        <v>52</v>
      </c>
      <c r="AF4734" s="4">
        <v>0</v>
      </c>
      <c r="AG4734" s="4">
        <v>2</v>
      </c>
      <c r="AH4734" s="4">
        <v>19</v>
      </c>
      <c r="AI4734" s="4">
        <v>46</v>
      </c>
      <c r="AJ4734" s="4">
        <v>4</v>
      </c>
      <c r="AK4734" s="4">
        <v>12</v>
      </c>
      <c r="AL4734" s="4">
        <v>12</v>
      </c>
      <c r="AM4734" s="4">
        <v>27</v>
      </c>
      <c r="AN4734" s="4">
        <v>0</v>
      </c>
      <c r="AO4734" s="4">
        <v>0</v>
      </c>
      <c r="AP4734" s="4">
        <v>5</v>
      </c>
      <c r="AQ4734" s="4">
        <v>13</v>
      </c>
      <c r="AR4734" s="3" t="s">
        <v>62</v>
      </c>
      <c r="AS4734" s="3" t="s">
        <v>62</v>
      </c>
      <c r="AT4734" s="3" t="s">
        <v>62</v>
      </c>
      <c r="AV4734" s="6" t="str">
        <f>HYPERLINK("http://mcgill.on.worldcat.org/oclc/852219080","Catalog Record")</f>
        <v>Catalog Record</v>
      </c>
      <c r="AW4734" s="6" t="str">
        <f>HYPERLINK("http://www.worldcat.org/oclc/852219080","WorldCat Record")</f>
        <v>WorldCat Record</v>
      </c>
      <c r="AX4734" s="3" t="s">
        <v>45334</v>
      </c>
      <c r="AY4734" s="3" t="s">
        <v>45335</v>
      </c>
      <c r="AZ4734" s="3" t="s">
        <v>45336</v>
      </c>
      <c r="BA4734" s="3" t="s">
        <v>45336</v>
      </c>
      <c r="BB4734" s="3" t="s">
        <v>45337</v>
      </c>
      <c r="BC4734" s="3" t="s">
        <v>142</v>
      </c>
      <c r="BD4734" s="3" t="s">
        <v>68</v>
      </c>
      <c r="BE4734" s="3" t="s">
        <v>45338</v>
      </c>
      <c r="BF4734" s="3" t="s">
        <v>45337</v>
      </c>
      <c r="BG4734" s="3" t="s">
        <v>45339</v>
      </c>
    </row>
    <row r="4735" spans="1:59" ht="57" x14ac:dyDescent="0.45">
      <c r="A4735" s="2" t="s">
        <v>59</v>
      </c>
      <c r="B4735" s="2" t="s">
        <v>60</v>
      </c>
      <c r="C4735" s="2" t="s">
        <v>45340</v>
      </c>
      <c r="D4735" s="2" t="s">
        <v>45341</v>
      </c>
      <c r="E4735" s="2" t="s">
        <v>45342</v>
      </c>
      <c r="G4735" s="3" t="s">
        <v>62</v>
      </c>
      <c r="I4735" s="3" t="s">
        <v>62</v>
      </c>
      <c r="J4735" s="3" t="s">
        <v>62</v>
      </c>
      <c r="K4735" s="3" t="s">
        <v>63</v>
      </c>
      <c r="L4735" s="2" t="s">
        <v>995</v>
      </c>
      <c r="M4735" s="2" t="s">
        <v>45343</v>
      </c>
      <c r="N4735" s="3" t="s">
        <v>1478</v>
      </c>
      <c r="P4735" s="3" t="s">
        <v>65</v>
      </c>
      <c r="R4735" s="3" t="s">
        <v>66</v>
      </c>
      <c r="S4735" s="4">
        <v>22</v>
      </c>
      <c r="T4735" s="4">
        <v>22</v>
      </c>
      <c r="U4735" s="5" t="s">
        <v>45102</v>
      </c>
      <c r="V4735" s="5" t="s">
        <v>45102</v>
      </c>
      <c r="W4735" s="5" t="s">
        <v>67</v>
      </c>
      <c r="X4735" s="5" t="s">
        <v>67</v>
      </c>
      <c r="Y4735" s="4">
        <v>287</v>
      </c>
      <c r="Z4735" s="4">
        <v>18</v>
      </c>
      <c r="AA4735" s="4">
        <v>19</v>
      </c>
      <c r="AB4735" s="4">
        <v>3</v>
      </c>
      <c r="AC4735" s="4">
        <v>4</v>
      </c>
      <c r="AD4735" s="4">
        <v>82</v>
      </c>
      <c r="AE4735" s="4">
        <v>83</v>
      </c>
      <c r="AF4735" s="4">
        <v>2</v>
      </c>
      <c r="AG4735" s="4">
        <v>3</v>
      </c>
      <c r="AH4735" s="4">
        <v>70</v>
      </c>
      <c r="AI4735" s="4">
        <v>70</v>
      </c>
      <c r="AJ4735" s="4">
        <v>12</v>
      </c>
      <c r="AK4735" s="4">
        <v>13</v>
      </c>
      <c r="AL4735" s="4">
        <v>41</v>
      </c>
      <c r="AM4735" s="4">
        <v>41</v>
      </c>
      <c r="AN4735" s="4">
        <v>0</v>
      </c>
      <c r="AO4735" s="4">
        <v>0</v>
      </c>
      <c r="AP4735" s="4">
        <v>15</v>
      </c>
      <c r="AQ4735" s="4">
        <v>15</v>
      </c>
      <c r="AR4735" s="3" t="s">
        <v>62</v>
      </c>
      <c r="AS4735" s="3" t="s">
        <v>62</v>
      </c>
      <c r="AT4735" s="3" t="s">
        <v>62</v>
      </c>
      <c r="AV4735" s="6" t="str">
        <f>HYPERLINK("http://mcgill.on.worldcat.org/oclc/34618128","Catalog Record")</f>
        <v>Catalog Record</v>
      </c>
      <c r="AW4735" s="6" t="str">
        <f>HYPERLINK("http://www.worldcat.org/oclc/34618128","WorldCat Record")</f>
        <v>WorldCat Record</v>
      </c>
      <c r="AX4735" s="3" t="s">
        <v>45344</v>
      </c>
      <c r="AY4735" s="3" t="s">
        <v>45345</v>
      </c>
      <c r="AZ4735" s="3" t="s">
        <v>45346</v>
      </c>
      <c r="BA4735" s="3" t="s">
        <v>45346</v>
      </c>
      <c r="BB4735" s="3" t="s">
        <v>45347</v>
      </c>
      <c r="BC4735" s="3" t="s">
        <v>142</v>
      </c>
      <c r="BD4735" s="3" t="s">
        <v>68</v>
      </c>
      <c r="BE4735" s="3" t="s">
        <v>45348</v>
      </c>
      <c r="BF4735" s="3" t="s">
        <v>45347</v>
      </c>
      <c r="BG4735" s="3" t="s">
        <v>45349</v>
      </c>
    </row>
    <row r="4736" spans="1:59" ht="57" x14ac:dyDescent="0.45">
      <c r="A4736" s="2" t="s">
        <v>59</v>
      </c>
      <c r="B4736" s="2" t="s">
        <v>60</v>
      </c>
      <c r="C4736" s="2" t="s">
        <v>45350</v>
      </c>
      <c r="D4736" s="2" t="s">
        <v>45351</v>
      </c>
      <c r="E4736" s="2" t="s">
        <v>45352</v>
      </c>
      <c r="G4736" s="3" t="s">
        <v>62</v>
      </c>
      <c r="I4736" s="3" t="s">
        <v>62</v>
      </c>
      <c r="J4736" s="3" t="s">
        <v>62</v>
      </c>
      <c r="K4736" s="3" t="s">
        <v>63</v>
      </c>
      <c r="L4736" s="2" t="s">
        <v>45353</v>
      </c>
      <c r="M4736" s="2" t="s">
        <v>45354</v>
      </c>
      <c r="N4736" s="3" t="s">
        <v>208</v>
      </c>
      <c r="O4736" s="2" t="s">
        <v>45355</v>
      </c>
      <c r="P4736" s="3" t="s">
        <v>326</v>
      </c>
      <c r="Q4736" s="2" t="s">
        <v>45356</v>
      </c>
      <c r="R4736" s="3" t="s">
        <v>66</v>
      </c>
      <c r="S4736" s="4">
        <v>0</v>
      </c>
      <c r="T4736" s="4">
        <v>0</v>
      </c>
      <c r="W4736" s="5" t="s">
        <v>67</v>
      </c>
      <c r="X4736" s="5" t="s">
        <v>67</v>
      </c>
      <c r="Y4736" s="4">
        <v>1</v>
      </c>
      <c r="Z4736" s="4">
        <v>1</v>
      </c>
      <c r="AA4736" s="4">
        <v>1</v>
      </c>
      <c r="AB4736" s="4">
        <v>1</v>
      </c>
      <c r="AC4736" s="4">
        <v>1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0</v>
      </c>
      <c r="AN4736" s="4">
        <v>0</v>
      </c>
      <c r="AO4736" s="4">
        <v>0</v>
      </c>
      <c r="AP4736" s="4">
        <v>0</v>
      </c>
      <c r="AQ4736" s="4">
        <v>0</v>
      </c>
      <c r="AR4736" s="3" t="s">
        <v>62</v>
      </c>
      <c r="AS4736" s="3" t="s">
        <v>62</v>
      </c>
      <c r="AT4736" s="3" t="s">
        <v>62</v>
      </c>
      <c r="AV4736" s="6" t="str">
        <f>HYPERLINK("http://mcgill.on.worldcat.org/oclc/1047961075","Catalog Record")</f>
        <v>Catalog Record</v>
      </c>
      <c r="AW4736" s="6" t="str">
        <f>HYPERLINK("http://www.worldcat.org/oclc/1047961075","WorldCat Record")</f>
        <v>WorldCat Record</v>
      </c>
      <c r="AX4736" s="3" t="s">
        <v>45357</v>
      </c>
      <c r="AY4736" s="3" t="s">
        <v>45358</v>
      </c>
      <c r="AZ4736" s="3" t="s">
        <v>45359</v>
      </c>
      <c r="BA4736" s="3" t="s">
        <v>45359</v>
      </c>
      <c r="BB4736" s="3" t="s">
        <v>45360</v>
      </c>
      <c r="BC4736" s="3" t="s">
        <v>142</v>
      </c>
      <c r="BD4736" s="3" t="s">
        <v>68</v>
      </c>
      <c r="BE4736" s="3" t="s">
        <v>45361</v>
      </c>
      <c r="BF4736" s="3" t="s">
        <v>45360</v>
      </c>
      <c r="BG4736" s="3" t="s">
        <v>45362</v>
      </c>
    </row>
    <row r="4737" spans="1:59" ht="57" x14ac:dyDescent="0.45">
      <c r="A4737" s="2" t="s">
        <v>59</v>
      </c>
      <c r="B4737" s="2" t="s">
        <v>60</v>
      </c>
      <c r="C4737" s="2" t="s">
        <v>45363</v>
      </c>
      <c r="D4737" s="2" t="s">
        <v>45364</v>
      </c>
      <c r="E4737" s="2" t="s">
        <v>45365</v>
      </c>
      <c r="G4737" s="3" t="s">
        <v>62</v>
      </c>
      <c r="I4737" s="3" t="s">
        <v>62</v>
      </c>
      <c r="J4737" s="3" t="s">
        <v>61</v>
      </c>
      <c r="K4737" s="3" t="s">
        <v>63</v>
      </c>
      <c r="L4737" s="2" t="s">
        <v>41774</v>
      </c>
      <c r="M4737" s="2" t="s">
        <v>4998</v>
      </c>
      <c r="N4737" s="3" t="s">
        <v>807</v>
      </c>
      <c r="O4737" s="2" t="s">
        <v>933</v>
      </c>
      <c r="P4737" s="3" t="s">
        <v>65</v>
      </c>
      <c r="Q4737" s="2" t="s">
        <v>43596</v>
      </c>
      <c r="R4737" s="3" t="s">
        <v>66</v>
      </c>
      <c r="S4737" s="4">
        <v>14</v>
      </c>
      <c r="T4737" s="4">
        <v>14</v>
      </c>
      <c r="U4737" s="5" t="s">
        <v>44423</v>
      </c>
      <c r="V4737" s="5" t="s">
        <v>44423</v>
      </c>
      <c r="W4737" s="5" t="s">
        <v>67</v>
      </c>
      <c r="X4737" s="5" t="s">
        <v>67</v>
      </c>
      <c r="Y4737" s="4">
        <v>490</v>
      </c>
      <c r="Z4737" s="4">
        <v>29</v>
      </c>
      <c r="AA4737" s="4">
        <v>91</v>
      </c>
      <c r="AB4737" s="4">
        <v>3</v>
      </c>
      <c r="AC4737" s="4">
        <v>13</v>
      </c>
      <c r="AD4737" s="4">
        <v>106</v>
      </c>
      <c r="AE4737" s="4">
        <v>156</v>
      </c>
      <c r="AF4737" s="4">
        <v>2</v>
      </c>
      <c r="AG4737" s="4">
        <v>6</v>
      </c>
      <c r="AH4737" s="4">
        <v>89</v>
      </c>
      <c r="AI4737" s="4">
        <v>112</v>
      </c>
      <c r="AJ4737" s="4">
        <v>17</v>
      </c>
      <c r="AK4737" s="4">
        <v>25</v>
      </c>
      <c r="AL4737" s="4">
        <v>50</v>
      </c>
      <c r="AM4737" s="4">
        <v>61</v>
      </c>
      <c r="AN4737" s="4">
        <v>0</v>
      </c>
      <c r="AO4737" s="4">
        <v>0</v>
      </c>
      <c r="AP4737" s="4">
        <v>24</v>
      </c>
      <c r="AQ4737" s="4">
        <v>51</v>
      </c>
      <c r="AR4737" s="3" t="s">
        <v>62</v>
      </c>
      <c r="AS4737" s="3" t="s">
        <v>62</v>
      </c>
      <c r="AT4737" s="3" t="s">
        <v>62</v>
      </c>
      <c r="AV4737" s="6" t="str">
        <f>HYPERLINK("http://mcgill.on.worldcat.org/oclc/22907102","Catalog Record")</f>
        <v>Catalog Record</v>
      </c>
      <c r="AW4737" s="6" t="str">
        <f>HYPERLINK("http://www.worldcat.org/oclc/22907102","WorldCat Record")</f>
        <v>WorldCat Record</v>
      </c>
      <c r="AX4737" s="3" t="s">
        <v>45366</v>
      </c>
      <c r="AY4737" s="3" t="s">
        <v>45367</v>
      </c>
      <c r="AZ4737" s="3" t="s">
        <v>45368</v>
      </c>
      <c r="BA4737" s="3" t="s">
        <v>45368</v>
      </c>
      <c r="BB4737" s="3" t="s">
        <v>45369</v>
      </c>
      <c r="BC4737" s="3" t="s">
        <v>142</v>
      </c>
      <c r="BD4737" s="3" t="s">
        <v>68</v>
      </c>
      <c r="BE4737" s="3" t="s">
        <v>45370</v>
      </c>
      <c r="BF4737" s="3" t="s">
        <v>45369</v>
      </c>
      <c r="BG4737" s="3" t="s">
        <v>45371</v>
      </c>
    </row>
    <row r="4738" spans="1:59" ht="57" x14ac:dyDescent="0.45">
      <c r="A4738" s="2" t="s">
        <v>59</v>
      </c>
      <c r="B4738" s="2" t="s">
        <v>60</v>
      </c>
      <c r="C4738" s="2" t="s">
        <v>45372</v>
      </c>
      <c r="D4738" s="2" t="s">
        <v>45373</v>
      </c>
      <c r="E4738" s="2" t="s">
        <v>45365</v>
      </c>
      <c r="G4738" s="3" t="s">
        <v>62</v>
      </c>
      <c r="I4738" s="3" t="s">
        <v>62</v>
      </c>
      <c r="J4738" s="3" t="s">
        <v>61</v>
      </c>
      <c r="K4738" s="3" t="s">
        <v>63</v>
      </c>
      <c r="L4738" s="2" t="s">
        <v>41774</v>
      </c>
      <c r="M4738" s="2" t="s">
        <v>45374</v>
      </c>
      <c r="N4738" s="3" t="s">
        <v>116</v>
      </c>
      <c r="O4738" s="2" t="s">
        <v>420</v>
      </c>
      <c r="P4738" s="3" t="s">
        <v>65</v>
      </c>
      <c r="Q4738" s="2" t="s">
        <v>43596</v>
      </c>
      <c r="R4738" s="3" t="s">
        <v>66</v>
      </c>
      <c r="S4738" s="4">
        <v>4</v>
      </c>
      <c r="T4738" s="4">
        <v>4</v>
      </c>
      <c r="U4738" s="5" t="s">
        <v>41513</v>
      </c>
      <c r="V4738" s="5" t="s">
        <v>41513</v>
      </c>
      <c r="W4738" s="5" t="s">
        <v>67</v>
      </c>
      <c r="X4738" s="5" t="s">
        <v>67</v>
      </c>
      <c r="Y4738" s="4">
        <v>190</v>
      </c>
      <c r="Z4738" s="4">
        <v>16</v>
      </c>
      <c r="AA4738" s="4">
        <v>91</v>
      </c>
      <c r="AB4738" s="4">
        <v>2</v>
      </c>
      <c r="AC4738" s="4">
        <v>13</v>
      </c>
      <c r="AD4738" s="4">
        <v>63</v>
      </c>
      <c r="AE4738" s="4">
        <v>156</v>
      </c>
      <c r="AF4738" s="4">
        <v>1</v>
      </c>
      <c r="AG4738" s="4">
        <v>6</v>
      </c>
      <c r="AH4738" s="4">
        <v>56</v>
      </c>
      <c r="AI4738" s="4">
        <v>112</v>
      </c>
      <c r="AJ4738" s="4">
        <v>10</v>
      </c>
      <c r="AK4738" s="4">
        <v>25</v>
      </c>
      <c r="AL4738" s="4">
        <v>35</v>
      </c>
      <c r="AM4738" s="4">
        <v>61</v>
      </c>
      <c r="AN4738" s="4">
        <v>0</v>
      </c>
      <c r="AO4738" s="4">
        <v>0</v>
      </c>
      <c r="AP4738" s="4">
        <v>12</v>
      </c>
      <c r="AQ4738" s="4">
        <v>51</v>
      </c>
      <c r="AR4738" s="3" t="s">
        <v>62</v>
      </c>
      <c r="AS4738" s="3" t="s">
        <v>62</v>
      </c>
      <c r="AT4738" s="3" t="s">
        <v>62</v>
      </c>
      <c r="AV4738" s="6" t="str">
        <f>HYPERLINK("http://mcgill.on.worldcat.org/oclc/799025044","Catalog Record")</f>
        <v>Catalog Record</v>
      </c>
      <c r="AW4738" s="6" t="str">
        <f>HYPERLINK("http://www.worldcat.org/oclc/799025044","WorldCat Record")</f>
        <v>WorldCat Record</v>
      </c>
      <c r="AX4738" s="3" t="s">
        <v>45366</v>
      </c>
      <c r="AY4738" s="3" t="s">
        <v>45375</v>
      </c>
      <c r="AZ4738" s="3" t="s">
        <v>45376</v>
      </c>
      <c r="BA4738" s="3" t="s">
        <v>45376</v>
      </c>
      <c r="BB4738" s="3" t="s">
        <v>45377</v>
      </c>
      <c r="BC4738" s="3" t="s">
        <v>142</v>
      </c>
      <c r="BD4738" s="3" t="s">
        <v>68</v>
      </c>
      <c r="BE4738" s="3" t="s">
        <v>45378</v>
      </c>
      <c r="BF4738" s="3" t="s">
        <v>45377</v>
      </c>
      <c r="BG4738" s="3" t="s">
        <v>45379</v>
      </c>
    </row>
    <row r="4739" spans="1:59" ht="57" x14ac:dyDescent="0.45">
      <c r="A4739" s="2" t="s">
        <v>59</v>
      </c>
      <c r="B4739" s="2" t="s">
        <v>60</v>
      </c>
      <c r="C4739" s="2" t="s">
        <v>45380</v>
      </c>
      <c r="D4739" s="2" t="s">
        <v>45381</v>
      </c>
      <c r="E4739" s="2" t="s">
        <v>45382</v>
      </c>
      <c r="G4739" s="3" t="s">
        <v>62</v>
      </c>
      <c r="I4739" s="3" t="s">
        <v>62</v>
      </c>
      <c r="J4739" s="3" t="s">
        <v>62</v>
      </c>
      <c r="K4739" s="3" t="s">
        <v>63</v>
      </c>
      <c r="L4739" s="2" t="s">
        <v>45383</v>
      </c>
      <c r="M4739" s="2" t="s">
        <v>1854</v>
      </c>
      <c r="N4739" s="3" t="s">
        <v>1855</v>
      </c>
      <c r="P4739" s="3" t="s">
        <v>65</v>
      </c>
      <c r="Q4739" s="2" t="s">
        <v>29723</v>
      </c>
      <c r="R4739" s="3" t="s">
        <v>66</v>
      </c>
      <c r="S4739" s="4">
        <v>7</v>
      </c>
      <c r="T4739" s="4">
        <v>7</v>
      </c>
      <c r="U4739" s="5" t="s">
        <v>12338</v>
      </c>
      <c r="V4739" s="5" t="s">
        <v>12338</v>
      </c>
      <c r="W4739" s="5" t="s">
        <v>67</v>
      </c>
      <c r="X4739" s="5" t="s">
        <v>67</v>
      </c>
      <c r="Y4739" s="4">
        <v>252</v>
      </c>
      <c r="Z4739" s="4">
        <v>21</v>
      </c>
      <c r="AA4739" s="4">
        <v>96</v>
      </c>
      <c r="AB4739" s="4">
        <v>2</v>
      </c>
      <c r="AC4739" s="4">
        <v>18</v>
      </c>
      <c r="AD4739" s="4">
        <v>93</v>
      </c>
      <c r="AE4739" s="4">
        <v>142</v>
      </c>
      <c r="AF4739" s="4">
        <v>1</v>
      </c>
      <c r="AG4739" s="4">
        <v>9</v>
      </c>
      <c r="AH4739" s="4">
        <v>83</v>
      </c>
      <c r="AI4739" s="4">
        <v>96</v>
      </c>
      <c r="AJ4739" s="4">
        <v>15</v>
      </c>
      <c r="AK4739" s="4">
        <v>26</v>
      </c>
      <c r="AL4739" s="4">
        <v>50</v>
      </c>
      <c r="AM4739" s="4">
        <v>55</v>
      </c>
      <c r="AN4739" s="4">
        <v>0</v>
      </c>
      <c r="AO4739" s="4">
        <v>0</v>
      </c>
      <c r="AP4739" s="4">
        <v>18</v>
      </c>
      <c r="AQ4739" s="4">
        <v>54</v>
      </c>
      <c r="AR4739" s="3" t="s">
        <v>62</v>
      </c>
      <c r="AS4739" s="3" t="s">
        <v>62</v>
      </c>
      <c r="AT4739" s="3" t="s">
        <v>62</v>
      </c>
      <c r="AV4739" s="6" t="str">
        <f>HYPERLINK("http://mcgill.on.worldcat.org/oclc/58720667","Catalog Record")</f>
        <v>Catalog Record</v>
      </c>
      <c r="AW4739" s="6" t="str">
        <f>HYPERLINK("http://www.worldcat.org/oclc/58720667","WorldCat Record")</f>
        <v>WorldCat Record</v>
      </c>
      <c r="AX4739" s="3" t="s">
        <v>45384</v>
      </c>
      <c r="AY4739" s="3" t="s">
        <v>45385</v>
      </c>
      <c r="AZ4739" s="3" t="s">
        <v>45386</v>
      </c>
      <c r="BA4739" s="3" t="s">
        <v>45386</v>
      </c>
      <c r="BB4739" s="3" t="s">
        <v>45387</v>
      </c>
      <c r="BC4739" s="3" t="s">
        <v>142</v>
      </c>
      <c r="BD4739" s="3" t="s">
        <v>68</v>
      </c>
      <c r="BE4739" s="3" t="s">
        <v>45388</v>
      </c>
      <c r="BF4739" s="3" t="s">
        <v>45387</v>
      </c>
      <c r="BG4739" s="3" t="s">
        <v>45389</v>
      </c>
    </row>
    <row r="4740" spans="1:59" ht="57" x14ac:dyDescent="0.45">
      <c r="A4740" s="2" t="s">
        <v>59</v>
      </c>
      <c r="B4740" s="2" t="s">
        <v>60</v>
      </c>
      <c r="C4740" s="2" t="s">
        <v>45390</v>
      </c>
      <c r="D4740" s="2" t="s">
        <v>45391</v>
      </c>
      <c r="E4740" s="2" t="s">
        <v>45392</v>
      </c>
      <c r="G4740" s="3" t="s">
        <v>62</v>
      </c>
      <c r="I4740" s="3" t="s">
        <v>62</v>
      </c>
      <c r="J4740" s="3" t="s">
        <v>62</v>
      </c>
      <c r="K4740" s="3" t="s">
        <v>63</v>
      </c>
      <c r="L4740" s="2" t="s">
        <v>45393</v>
      </c>
      <c r="M4740" s="2" t="s">
        <v>45394</v>
      </c>
      <c r="N4740" s="3" t="s">
        <v>1212</v>
      </c>
      <c r="P4740" s="3" t="s">
        <v>65</v>
      </c>
      <c r="Q4740" s="2" t="s">
        <v>45395</v>
      </c>
      <c r="R4740" s="3" t="s">
        <v>66</v>
      </c>
      <c r="S4740" s="4">
        <v>6</v>
      </c>
      <c r="T4740" s="4">
        <v>6</v>
      </c>
      <c r="U4740" s="5" t="s">
        <v>1293</v>
      </c>
      <c r="V4740" s="5" t="s">
        <v>1293</v>
      </c>
      <c r="W4740" s="5" t="s">
        <v>67</v>
      </c>
      <c r="X4740" s="5" t="s">
        <v>67</v>
      </c>
      <c r="Y4740" s="4">
        <v>132</v>
      </c>
      <c r="Z4740" s="4">
        <v>11</v>
      </c>
      <c r="AA4740" s="4">
        <v>93</v>
      </c>
      <c r="AB4740" s="4">
        <v>2</v>
      </c>
      <c r="AC4740" s="4">
        <v>18</v>
      </c>
      <c r="AD4740" s="4">
        <v>67</v>
      </c>
      <c r="AE4740" s="4">
        <v>121</v>
      </c>
      <c r="AF4740" s="4">
        <v>0</v>
      </c>
      <c r="AG4740" s="4">
        <v>8</v>
      </c>
      <c r="AH4740" s="4">
        <v>63</v>
      </c>
      <c r="AI4740" s="4">
        <v>87</v>
      </c>
      <c r="AJ4740" s="4">
        <v>8</v>
      </c>
      <c r="AK4740" s="4">
        <v>21</v>
      </c>
      <c r="AL4740" s="4">
        <v>43</v>
      </c>
      <c r="AM4740" s="4">
        <v>48</v>
      </c>
      <c r="AN4740" s="4">
        <v>0</v>
      </c>
      <c r="AO4740" s="4">
        <v>0</v>
      </c>
      <c r="AP4740" s="4">
        <v>8</v>
      </c>
      <c r="AQ4740" s="4">
        <v>42</v>
      </c>
      <c r="AR4740" s="3" t="s">
        <v>62</v>
      </c>
      <c r="AS4740" s="3" t="s">
        <v>62</v>
      </c>
      <c r="AT4740" s="3" t="s">
        <v>62</v>
      </c>
      <c r="AV4740" s="6" t="str">
        <f>HYPERLINK("http://mcgill.on.worldcat.org/oclc/44592635","Catalog Record")</f>
        <v>Catalog Record</v>
      </c>
      <c r="AW4740" s="6" t="str">
        <f>HYPERLINK("http://www.worldcat.org/oclc/44592635","WorldCat Record")</f>
        <v>WorldCat Record</v>
      </c>
      <c r="AX4740" s="3" t="s">
        <v>45396</v>
      </c>
      <c r="AY4740" s="3" t="s">
        <v>45397</v>
      </c>
      <c r="AZ4740" s="3" t="s">
        <v>45398</v>
      </c>
      <c r="BA4740" s="3" t="s">
        <v>45398</v>
      </c>
      <c r="BB4740" s="3" t="s">
        <v>45399</v>
      </c>
      <c r="BC4740" s="3" t="s">
        <v>142</v>
      </c>
      <c r="BD4740" s="3" t="s">
        <v>68</v>
      </c>
      <c r="BE4740" s="3" t="s">
        <v>45400</v>
      </c>
      <c r="BF4740" s="3" t="s">
        <v>45399</v>
      </c>
      <c r="BG4740" s="3" t="s">
        <v>45401</v>
      </c>
    </row>
    <row r="4741" spans="1:59" ht="57" x14ac:dyDescent="0.45">
      <c r="A4741" s="2" t="s">
        <v>59</v>
      </c>
      <c r="B4741" s="2" t="s">
        <v>60</v>
      </c>
      <c r="C4741" s="2" t="s">
        <v>45402</v>
      </c>
      <c r="D4741" s="2" t="s">
        <v>45403</v>
      </c>
      <c r="E4741" s="2" t="s">
        <v>45404</v>
      </c>
      <c r="G4741" s="3" t="s">
        <v>62</v>
      </c>
      <c r="I4741" s="3" t="s">
        <v>62</v>
      </c>
      <c r="J4741" s="3" t="s">
        <v>62</v>
      </c>
      <c r="K4741" s="3" t="s">
        <v>63</v>
      </c>
      <c r="L4741" s="2" t="s">
        <v>45405</v>
      </c>
      <c r="M4741" s="2" t="s">
        <v>1760</v>
      </c>
      <c r="N4741" s="3" t="s">
        <v>894</v>
      </c>
      <c r="P4741" s="3" t="s">
        <v>65</v>
      </c>
      <c r="R4741" s="3" t="s">
        <v>66</v>
      </c>
      <c r="S4741" s="4">
        <v>0</v>
      </c>
      <c r="T4741" s="4">
        <v>0</v>
      </c>
      <c r="W4741" s="5" t="s">
        <v>67</v>
      </c>
      <c r="X4741" s="5" t="s">
        <v>67</v>
      </c>
      <c r="Y4741" s="4">
        <v>183</v>
      </c>
      <c r="Z4741" s="4">
        <v>16</v>
      </c>
      <c r="AA4741" s="4">
        <v>23</v>
      </c>
      <c r="AB4741" s="4">
        <v>1</v>
      </c>
      <c r="AC4741" s="4">
        <v>5</v>
      </c>
      <c r="AD4741" s="4">
        <v>82</v>
      </c>
      <c r="AE4741" s="4">
        <v>91</v>
      </c>
      <c r="AF4741" s="4">
        <v>0</v>
      </c>
      <c r="AG4741" s="4">
        <v>1</v>
      </c>
      <c r="AH4741" s="4">
        <v>77</v>
      </c>
      <c r="AI4741" s="4">
        <v>82</v>
      </c>
      <c r="AJ4741" s="4">
        <v>12</v>
      </c>
      <c r="AK4741" s="4">
        <v>14</v>
      </c>
      <c r="AL4741" s="4">
        <v>45</v>
      </c>
      <c r="AM4741" s="4">
        <v>49</v>
      </c>
      <c r="AN4741" s="4">
        <v>0</v>
      </c>
      <c r="AO4741" s="4">
        <v>0</v>
      </c>
      <c r="AP4741" s="4">
        <v>14</v>
      </c>
      <c r="AQ4741" s="4">
        <v>18</v>
      </c>
      <c r="AR4741" s="3" t="s">
        <v>62</v>
      </c>
      <c r="AS4741" s="3" t="s">
        <v>62</v>
      </c>
      <c r="AT4741" s="3" t="s">
        <v>62</v>
      </c>
      <c r="AV4741" s="6" t="str">
        <f>HYPERLINK("http://mcgill.on.worldcat.org/oclc/553371054","Catalog Record")</f>
        <v>Catalog Record</v>
      </c>
      <c r="AW4741" s="6" t="str">
        <f>HYPERLINK("http://www.worldcat.org/oclc/553371054","WorldCat Record")</f>
        <v>WorldCat Record</v>
      </c>
      <c r="AX4741" s="3" t="s">
        <v>45406</v>
      </c>
      <c r="AY4741" s="3" t="s">
        <v>45407</v>
      </c>
      <c r="AZ4741" s="3" t="s">
        <v>45408</v>
      </c>
      <c r="BA4741" s="3" t="s">
        <v>45408</v>
      </c>
      <c r="BB4741" s="3" t="s">
        <v>45409</v>
      </c>
      <c r="BC4741" s="3" t="s">
        <v>142</v>
      </c>
      <c r="BD4741" s="3" t="s">
        <v>68</v>
      </c>
      <c r="BE4741" s="3" t="s">
        <v>45410</v>
      </c>
      <c r="BF4741" s="3" t="s">
        <v>45409</v>
      </c>
      <c r="BG4741" s="3" t="s">
        <v>45411</v>
      </c>
    </row>
    <row r="4742" spans="1:59" ht="57" x14ac:dyDescent="0.45">
      <c r="A4742" s="2" t="s">
        <v>59</v>
      </c>
      <c r="B4742" s="2" t="s">
        <v>60</v>
      </c>
      <c r="C4742" s="2" t="s">
        <v>45412</v>
      </c>
      <c r="D4742" s="2" t="s">
        <v>45413</v>
      </c>
      <c r="E4742" s="2" t="s">
        <v>45414</v>
      </c>
      <c r="G4742" s="3" t="s">
        <v>62</v>
      </c>
      <c r="I4742" s="3" t="s">
        <v>62</v>
      </c>
      <c r="J4742" s="3" t="s">
        <v>62</v>
      </c>
      <c r="K4742" s="3" t="s">
        <v>63</v>
      </c>
      <c r="M4742" s="2" t="s">
        <v>2739</v>
      </c>
      <c r="N4742" s="3" t="s">
        <v>149</v>
      </c>
      <c r="P4742" s="3" t="s">
        <v>65</v>
      </c>
      <c r="Q4742" s="2" t="s">
        <v>45415</v>
      </c>
      <c r="R4742" s="3" t="s">
        <v>66</v>
      </c>
      <c r="S4742" s="4">
        <v>0</v>
      </c>
      <c r="T4742" s="4">
        <v>0</v>
      </c>
      <c r="W4742" s="5" t="s">
        <v>67</v>
      </c>
      <c r="X4742" s="5" t="s">
        <v>67</v>
      </c>
      <c r="Y4742" s="4">
        <v>88</v>
      </c>
      <c r="Z4742" s="4">
        <v>9</v>
      </c>
      <c r="AA4742" s="4">
        <v>90</v>
      </c>
      <c r="AB4742" s="4">
        <v>1</v>
      </c>
      <c r="AC4742" s="4">
        <v>17</v>
      </c>
      <c r="AD4742" s="4">
        <v>47</v>
      </c>
      <c r="AE4742" s="4">
        <v>114</v>
      </c>
      <c r="AF4742" s="4">
        <v>0</v>
      </c>
      <c r="AG4742" s="4">
        <v>8</v>
      </c>
      <c r="AH4742" s="4">
        <v>45</v>
      </c>
      <c r="AI4742" s="4">
        <v>78</v>
      </c>
      <c r="AJ4742" s="4">
        <v>7</v>
      </c>
      <c r="AK4742" s="4">
        <v>23</v>
      </c>
      <c r="AL4742" s="4">
        <v>28</v>
      </c>
      <c r="AM4742" s="4">
        <v>42</v>
      </c>
      <c r="AN4742" s="4">
        <v>0</v>
      </c>
      <c r="AO4742" s="4">
        <v>0</v>
      </c>
      <c r="AP4742" s="4">
        <v>7</v>
      </c>
      <c r="AQ4742" s="4">
        <v>44</v>
      </c>
      <c r="AR4742" s="3" t="s">
        <v>62</v>
      </c>
      <c r="AS4742" s="3" t="s">
        <v>62</v>
      </c>
      <c r="AT4742" s="3" t="s">
        <v>62</v>
      </c>
      <c r="AV4742" s="6" t="str">
        <f>HYPERLINK("http://mcgill.on.worldcat.org/oclc/661048136","Catalog Record")</f>
        <v>Catalog Record</v>
      </c>
      <c r="AW4742" s="6" t="str">
        <f>HYPERLINK("http://www.worldcat.org/oclc/661048136","WorldCat Record")</f>
        <v>WorldCat Record</v>
      </c>
      <c r="AX4742" s="3" t="s">
        <v>45416</v>
      </c>
      <c r="AY4742" s="3" t="s">
        <v>45417</v>
      </c>
      <c r="AZ4742" s="3" t="s">
        <v>45418</v>
      </c>
      <c r="BA4742" s="3" t="s">
        <v>45418</v>
      </c>
      <c r="BB4742" s="3" t="s">
        <v>45419</v>
      </c>
      <c r="BC4742" s="3" t="s">
        <v>142</v>
      </c>
      <c r="BD4742" s="3" t="s">
        <v>68</v>
      </c>
      <c r="BE4742" s="3" t="s">
        <v>45420</v>
      </c>
      <c r="BF4742" s="3" t="s">
        <v>45419</v>
      </c>
      <c r="BG4742" s="3" t="s">
        <v>45421</v>
      </c>
    </row>
    <row r="4743" spans="1:59" ht="71.25" x14ac:dyDescent="0.45">
      <c r="A4743" s="2" t="s">
        <v>59</v>
      </c>
      <c r="B4743" s="2" t="s">
        <v>60</v>
      </c>
      <c r="C4743" s="2" t="s">
        <v>45422</v>
      </c>
      <c r="D4743" s="2" t="s">
        <v>45423</v>
      </c>
      <c r="E4743" s="2" t="s">
        <v>45424</v>
      </c>
      <c r="G4743" s="3" t="s">
        <v>62</v>
      </c>
      <c r="I4743" s="3" t="s">
        <v>62</v>
      </c>
      <c r="J4743" s="3" t="s">
        <v>62</v>
      </c>
      <c r="K4743" s="3" t="s">
        <v>63</v>
      </c>
      <c r="L4743" s="2" t="s">
        <v>45425</v>
      </c>
      <c r="M4743" s="2" t="s">
        <v>45426</v>
      </c>
      <c r="N4743" s="3" t="s">
        <v>181</v>
      </c>
      <c r="P4743" s="3" t="s">
        <v>110</v>
      </c>
      <c r="Q4743" s="2" t="s">
        <v>45427</v>
      </c>
      <c r="R4743" s="3" t="s">
        <v>66</v>
      </c>
      <c r="S4743" s="4">
        <v>0</v>
      </c>
      <c r="T4743" s="4">
        <v>0</v>
      </c>
      <c r="W4743" s="5" t="s">
        <v>67</v>
      </c>
      <c r="X4743" s="5" t="s">
        <v>67</v>
      </c>
      <c r="Y4743" s="4">
        <v>12</v>
      </c>
      <c r="Z4743" s="4">
        <v>3</v>
      </c>
      <c r="AA4743" s="4">
        <v>3</v>
      </c>
      <c r="AB4743" s="4">
        <v>1</v>
      </c>
      <c r="AC4743" s="4">
        <v>1</v>
      </c>
      <c r="AD4743" s="4">
        <v>4</v>
      </c>
      <c r="AE4743" s="4">
        <v>4</v>
      </c>
      <c r="AF4743" s="4">
        <v>0</v>
      </c>
      <c r="AG4743" s="4">
        <v>0</v>
      </c>
      <c r="AH4743" s="4">
        <v>4</v>
      </c>
      <c r="AI4743" s="4">
        <v>4</v>
      </c>
      <c r="AJ4743" s="4">
        <v>1</v>
      </c>
      <c r="AK4743" s="4">
        <v>1</v>
      </c>
      <c r="AL4743" s="4">
        <v>2</v>
      </c>
      <c r="AM4743" s="4">
        <v>2</v>
      </c>
      <c r="AN4743" s="4">
        <v>0</v>
      </c>
      <c r="AO4743" s="4">
        <v>0</v>
      </c>
      <c r="AP4743" s="4">
        <v>2</v>
      </c>
      <c r="AQ4743" s="4">
        <v>2</v>
      </c>
      <c r="AR4743" s="3" t="s">
        <v>62</v>
      </c>
      <c r="AS4743" s="3" t="s">
        <v>62</v>
      </c>
      <c r="AT4743" s="3" t="s">
        <v>62</v>
      </c>
      <c r="AV4743" s="6" t="str">
        <f>HYPERLINK("http://mcgill.on.worldcat.org/oclc/964650791","Catalog Record")</f>
        <v>Catalog Record</v>
      </c>
      <c r="AW4743" s="6" t="str">
        <f>HYPERLINK("http://www.worldcat.org/oclc/964650791","WorldCat Record")</f>
        <v>WorldCat Record</v>
      </c>
      <c r="AX4743" s="3" t="s">
        <v>45428</v>
      </c>
      <c r="AY4743" s="3" t="s">
        <v>45429</v>
      </c>
      <c r="AZ4743" s="3" t="s">
        <v>45430</v>
      </c>
      <c r="BA4743" s="3" t="s">
        <v>45430</v>
      </c>
      <c r="BB4743" s="3" t="s">
        <v>45431</v>
      </c>
      <c r="BC4743" s="3" t="s">
        <v>142</v>
      </c>
      <c r="BD4743" s="3" t="s">
        <v>68</v>
      </c>
      <c r="BE4743" s="3" t="s">
        <v>45432</v>
      </c>
      <c r="BF4743" s="3" t="s">
        <v>45431</v>
      </c>
      <c r="BG4743" s="3" t="s">
        <v>45433</v>
      </c>
    </row>
    <row r="4744" spans="1:59" ht="57" x14ac:dyDescent="0.45">
      <c r="A4744" s="2" t="s">
        <v>59</v>
      </c>
      <c r="B4744" s="2" t="s">
        <v>60</v>
      </c>
      <c r="C4744" s="2" t="s">
        <v>45434</v>
      </c>
      <c r="D4744" s="2" t="s">
        <v>45435</v>
      </c>
      <c r="E4744" s="2" t="s">
        <v>45436</v>
      </c>
      <c r="F4744" s="3" t="s">
        <v>90</v>
      </c>
      <c r="G4744" s="3" t="s">
        <v>61</v>
      </c>
      <c r="I4744" s="3" t="s">
        <v>61</v>
      </c>
      <c r="J4744" s="3" t="s">
        <v>62</v>
      </c>
      <c r="K4744" s="3" t="s">
        <v>63</v>
      </c>
      <c r="L4744" s="2" t="s">
        <v>45437</v>
      </c>
      <c r="M4744" s="2" t="s">
        <v>45438</v>
      </c>
      <c r="N4744" s="3" t="s">
        <v>84</v>
      </c>
      <c r="P4744" s="3" t="s">
        <v>65</v>
      </c>
      <c r="Q4744" s="2" t="s">
        <v>45439</v>
      </c>
      <c r="R4744" s="3" t="s">
        <v>66</v>
      </c>
      <c r="S4744" s="4">
        <v>23</v>
      </c>
      <c r="T4744" s="4">
        <v>51</v>
      </c>
      <c r="U4744" s="5" t="s">
        <v>45440</v>
      </c>
      <c r="V4744" s="5" t="s">
        <v>3875</v>
      </c>
      <c r="W4744" s="5" t="s">
        <v>67</v>
      </c>
      <c r="X4744" s="5" t="s">
        <v>67</v>
      </c>
      <c r="Y4744" s="4">
        <v>382</v>
      </c>
      <c r="Z4744" s="4">
        <v>23</v>
      </c>
      <c r="AA4744" s="4">
        <v>47</v>
      </c>
      <c r="AB4744" s="4">
        <v>1</v>
      </c>
      <c r="AC4744" s="4">
        <v>9</v>
      </c>
      <c r="AD4744" s="4">
        <v>111</v>
      </c>
      <c r="AE4744" s="4">
        <v>127</v>
      </c>
      <c r="AF4744" s="4">
        <v>0</v>
      </c>
      <c r="AG4744" s="4">
        <v>4</v>
      </c>
      <c r="AH4744" s="4">
        <v>97</v>
      </c>
      <c r="AI4744" s="4">
        <v>104</v>
      </c>
      <c r="AJ4744" s="4">
        <v>14</v>
      </c>
      <c r="AK4744" s="4">
        <v>21</v>
      </c>
      <c r="AL4744" s="4">
        <v>51</v>
      </c>
      <c r="AM4744" s="4">
        <v>55</v>
      </c>
      <c r="AN4744" s="4">
        <v>0</v>
      </c>
      <c r="AO4744" s="4">
        <v>0</v>
      </c>
      <c r="AP4744" s="4">
        <v>21</v>
      </c>
      <c r="AQ4744" s="4">
        <v>32</v>
      </c>
      <c r="AR4744" s="3" t="s">
        <v>62</v>
      </c>
      <c r="AS4744" s="3" t="s">
        <v>62</v>
      </c>
      <c r="AT4744" s="3" t="s">
        <v>62</v>
      </c>
      <c r="AV4744" s="6" t="str">
        <f>HYPERLINK("http://mcgill.on.worldcat.org/oclc/31783866","Catalog Record")</f>
        <v>Catalog Record</v>
      </c>
      <c r="AW4744" s="6" t="str">
        <f>HYPERLINK("http://www.worldcat.org/oclc/31783866","WorldCat Record")</f>
        <v>WorldCat Record</v>
      </c>
      <c r="AX4744" s="3" t="s">
        <v>45441</v>
      </c>
      <c r="AY4744" s="3" t="s">
        <v>45442</v>
      </c>
      <c r="AZ4744" s="3" t="s">
        <v>45443</v>
      </c>
      <c r="BA4744" s="3" t="s">
        <v>45443</v>
      </c>
      <c r="BB4744" s="3" t="s">
        <v>45444</v>
      </c>
      <c r="BC4744" s="3" t="s">
        <v>142</v>
      </c>
      <c r="BD4744" s="3" t="s">
        <v>68</v>
      </c>
      <c r="BE4744" s="3" t="s">
        <v>45445</v>
      </c>
      <c r="BF4744" s="3" t="s">
        <v>45444</v>
      </c>
      <c r="BG4744" s="3" t="s">
        <v>45446</v>
      </c>
    </row>
    <row r="4745" spans="1:59" ht="57" x14ac:dyDescent="0.45">
      <c r="A4745" s="2" t="s">
        <v>59</v>
      </c>
      <c r="B4745" s="2" t="s">
        <v>60</v>
      </c>
      <c r="C4745" s="2" t="s">
        <v>45434</v>
      </c>
      <c r="D4745" s="2" t="s">
        <v>45435</v>
      </c>
      <c r="E4745" s="2" t="s">
        <v>45436</v>
      </c>
      <c r="F4745" s="3" t="s">
        <v>87</v>
      </c>
      <c r="G4745" s="3" t="s">
        <v>61</v>
      </c>
      <c r="I4745" s="3" t="s">
        <v>61</v>
      </c>
      <c r="J4745" s="3" t="s">
        <v>62</v>
      </c>
      <c r="K4745" s="3" t="s">
        <v>63</v>
      </c>
      <c r="L4745" s="2" t="s">
        <v>45437</v>
      </c>
      <c r="M4745" s="2" t="s">
        <v>45438</v>
      </c>
      <c r="N4745" s="3" t="s">
        <v>84</v>
      </c>
      <c r="P4745" s="3" t="s">
        <v>65</v>
      </c>
      <c r="Q4745" s="2" t="s">
        <v>45439</v>
      </c>
      <c r="R4745" s="3" t="s">
        <v>66</v>
      </c>
      <c r="S4745" s="4">
        <v>19</v>
      </c>
      <c r="T4745" s="4">
        <v>51</v>
      </c>
      <c r="U4745" s="5" t="s">
        <v>3875</v>
      </c>
      <c r="V4745" s="5" t="s">
        <v>3875</v>
      </c>
      <c r="W4745" s="5" t="s">
        <v>67</v>
      </c>
      <c r="X4745" s="5" t="s">
        <v>67</v>
      </c>
      <c r="Y4745" s="4">
        <v>382</v>
      </c>
      <c r="Z4745" s="4">
        <v>23</v>
      </c>
      <c r="AA4745" s="4">
        <v>47</v>
      </c>
      <c r="AB4745" s="4">
        <v>1</v>
      </c>
      <c r="AC4745" s="4">
        <v>9</v>
      </c>
      <c r="AD4745" s="4">
        <v>111</v>
      </c>
      <c r="AE4745" s="4">
        <v>127</v>
      </c>
      <c r="AF4745" s="4">
        <v>0</v>
      </c>
      <c r="AG4745" s="4">
        <v>4</v>
      </c>
      <c r="AH4745" s="4">
        <v>97</v>
      </c>
      <c r="AI4745" s="4">
        <v>104</v>
      </c>
      <c r="AJ4745" s="4">
        <v>14</v>
      </c>
      <c r="AK4745" s="4">
        <v>21</v>
      </c>
      <c r="AL4745" s="4">
        <v>51</v>
      </c>
      <c r="AM4745" s="4">
        <v>55</v>
      </c>
      <c r="AN4745" s="4">
        <v>0</v>
      </c>
      <c r="AO4745" s="4">
        <v>0</v>
      </c>
      <c r="AP4745" s="4">
        <v>21</v>
      </c>
      <c r="AQ4745" s="4">
        <v>32</v>
      </c>
      <c r="AR4745" s="3" t="s">
        <v>62</v>
      </c>
      <c r="AS4745" s="3" t="s">
        <v>62</v>
      </c>
      <c r="AT4745" s="3" t="s">
        <v>62</v>
      </c>
      <c r="AV4745" s="6" t="str">
        <f>HYPERLINK("http://mcgill.on.worldcat.org/oclc/31783866","Catalog Record")</f>
        <v>Catalog Record</v>
      </c>
      <c r="AW4745" s="6" t="str">
        <f>HYPERLINK("http://www.worldcat.org/oclc/31783866","WorldCat Record")</f>
        <v>WorldCat Record</v>
      </c>
      <c r="AX4745" s="3" t="s">
        <v>45441</v>
      </c>
      <c r="AY4745" s="3" t="s">
        <v>45442</v>
      </c>
      <c r="AZ4745" s="3" t="s">
        <v>45443</v>
      </c>
      <c r="BA4745" s="3" t="s">
        <v>45443</v>
      </c>
      <c r="BB4745" s="3" t="s">
        <v>45447</v>
      </c>
      <c r="BC4745" s="3" t="s">
        <v>142</v>
      </c>
      <c r="BD4745" s="3" t="s">
        <v>68</v>
      </c>
      <c r="BE4745" s="3" t="s">
        <v>45445</v>
      </c>
      <c r="BF4745" s="3" t="s">
        <v>45447</v>
      </c>
      <c r="BG4745" s="3" t="s">
        <v>45448</v>
      </c>
    </row>
    <row r="4746" spans="1:59" ht="57" x14ac:dyDescent="0.45">
      <c r="A4746" s="2" t="s">
        <v>59</v>
      </c>
      <c r="B4746" s="2" t="s">
        <v>60</v>
      </c>
      <c r="C4746" s="2" t="s">
        <v>45434</v>
      </c>
      <c r="D4746" s="2" t="s">
        <v>45435</v>
      </c>
      <c r="E4746" s="2" t="s">
        <v>45436</v>
      </c>
      <c r="F4746" s="3" t="s">
        <v>90</v>
      </c>
      <c r="G4746" s="3" t="s">
        <v>61</v>
      </c>
      <c r="I4746" s="3" t="s">
        <v>61</v>
      </c>
      <c r="J4746" s="3" t="s">
        <v>62</v>
      </c>
      <c r="K4746" s="3" t="s">
        <v>63</v>
      </c>
      <c r="L4746" s="2" t="s">
        <v>45437</v>
      </c>
      <c r="M4746" s="2" t="s">
        <v>45438</v>
      </c>
      <c r="N4746" s="3" t="s">
        <v>84</v>
      </c>
      <c r="P4746" s="3" t="s">
        <v>65</v>
      </c>
      <c r="Q4746" s="2" t="s">
        <v>45439</v>
      </c>
      <c r="R4746" s="3" t="s">
        <v>66</v>
      </c>
      <c r="S4746" s="4">
        <v>9</v>
      </c>
      <c r="T4746" s="4">
        <v>51</v>
      </c>
      <c r="U4746" s="5" t="s">
        <v>12989</v>
      </c>
      <c r="V4746" s="5" t="s">
        <v>3875</v>
      </c>
      <c r="W4746" s="5" t="s">
        <v>67</v>
      </c>
      <c r="X4746" s="5" t="s">
        <v>67</v>
      </c>
      <c r="Y4746" s="4">
        <v>382</v>
      </c>
      <c r="Z4746" s="4">
        <v>23</v>
      </c>
      <c r="AA4746" s="4">
        <v>47</v>
      </c>
      <c r="AB4746" s="4">
        <v>1</v>
      </c>
      <c r="AC4746" s="4">
        <v>9</v>
      </c>
      <c r="AD4746" s="4">
        <v>111</v>
      </c>
      <c r="AE4746" s="4">
        <v>127</v>
      </c>
      <c r="AF4746" s="4">
        <v>0</v>
      </c>
      <c r="AG4746" s="4">
        <v>4</v>
      </c>
      <c r="AH4746" s="4">
        <v>97</v>
      </c>
      <c r="AI4746" s="4">
        <v>104</v>
      </c>
      <c r="AJ4746" s="4">
        <v>14</v>
      </c>
      <c r="AK4746" s="4">
        <v>21</v>
      </c>
      <c r="AL4746" s="4">
        <v>51</v>
      </c>
      <c r="AM4746" s="4">
        <v>55</v>
      </c>
      <c r="AN4746" s="4">
        <v>0</v>
      </c>
      <c r="AO4746" s="4">
        <v>0</v>
      </c>
      <c r="AP4746" s="4">
        <v>21</v>
      </c>
      <c r="AQ4746" s="4">
        <v>32</v>
      </c>
      <c r="AR4746" s="3" t="s">
        <v>62</v>
      </c>
      <c r="AS4746" s="3" t="s">
        <v>62</v>
      </c>
      <c r="AT4746" s="3" t="s">
        <v>62</v>
      </c>
      <c r="AV4746" s="6" t="str">
        <f>HYPERLINK("http://mcgill.on.worldcat.org/oclc/31783866","Catalog Record")</f>
        <v>Catalog Record</v>
      </c>
      <c r="AW4746" s="6" t="str">
        <f>HYPERLINK("http://www.worldcat.org/oclc/31783866","WorldCat Record")</f>
        <v>WorldCat Record</v>
      </c>
      <c r="AX4746" s="3" t="s">
        <v>45441</v>
      </c>
      <c r="AY4746" s="3" t="s">
        <v>45442</v>
      </c>
      <c r="AZ4746" s="3" t="s">
        <v>45443</v>
      </c>
      <c r="BA4746" s="3" t="s">
        <v>45443</v>
      </c>
      <c r="BB4746" s="3" t="s">
        <v>45449</v>
      </c>
      <c r="BC4746" s="3" t="s">
        <v>142</v>
      </c>
      <c r="BD4746" s="3" t="s">
        <v>68</v>
      </c>
      <c r="BE4746" s="3" t="s">
        <v>45445</v>
      </c>
      <c r="BF4746" s="3" t="s">
        <v>45449</v>
      </c>
      <c r="BG4746" s="3" t="s">
        <v>45450</v>
      </c>
    </row>
    <row r="4747" spans="1:59" ht="57" x14ac:dyDescent="0.45">
      <c r="A4747" s="2" t="s">
        <v>59</v>
      </c>
      <c r="B4747" s="2" t="s">
        <v>60</v>
      </c>
      <c r="C4747" s="2" t="s">
        <v>45451</v>
      </c>
      <c r="D4747" s="2" t="s">
        <v>45452</v>
      </c>
      <c r="E4747" s="2" t="s">
        <v>45453</v>
      </c>
      <c r="G4747" s="3" t="s">
        <v>62</v>
      </c>
      <c r="I4747" s="3" t="s">
        <v>62</v>
      </c>
      <c r="J4747" s="3" t="s">
        <v>62</v>
      </c>
      <c r="K4747" s="3" t="s">
        <v>63</v>
      </c>
      <c r="M4747" s="2" t="s">
        <v>33598</v>
      </c>
      <c r="N4747" s="3" t="s">
        <v>970</v>
      </c>
      <c r="P4747" s="3" t="s">
        <v>65</v>
      </c>
      <c r="Q4747" s="2" t="s">
        <v>45454</v>
      </c>
      <c r="R4747" s="3" t="s">
        <v>66</v>
      </c>
      <c r="S4747" s="4">
        <v>2</v>
      </c>
      <c r="T4747" s="4">
        <v>2</v>
      </c>
      <c r="U4747" s="5" t="s">
        <v>21102</v>
      </c>
      <c r="V4747" s="5" t="s">
        <v>21102</v>
      </c>
      <c r="W4747" s="5" t="s">
        <v>67</v>
      </c>
      <c r="X4747" s="5" t="s">
        <v>67</v>
      </c>
      <c r="Y4747" s="4">
        <v>203</v>
      </c>
      <c r="Z4747" s="4">
        <v>15</v>
      </c>
      <c r="AA4747" s="4">
        <v>84</v>
      </c>
      <c r="AB4747" s="4">
        <v>1</v>
      </c>
      <c r="AC4747" s="4">
        <v>14</v>
      </c>
      <c r="AD4747" s="4">
        <v>79</v>
      </c>
      <c r="AE4747" s="4">
        <v>130</v>
      </c>
      <c r="AF4747" s="4">
        <v>0</v>
      </c>
      <c r="AG4747" s="4">
        <v>8</v>
      </c>
      <c r="AH4747" s="4">
        <v>73</v>
      </c>
      <c r="AI4747" s="4">
        <v>94</v>
      </c>
      <c r="AJ4747" s="4">
        <v>11</v>
      </c>
      <c r="AK4747" s="4">
        <v>25</v>
      </c>
      <c r="AL4747" s="4">
        <v>42</v>
      </c>
      <c r="AM4747" s="4">
        <v>51</v>
      </c>
      <c r="AN4747" s="4">
        <v>0</v>
      </c>
      <c r="AO4747" s="4">
        <v>0</v>
      </c>
      <c r="AP4747" s="4">
        <v>12</v>
      </c>
      <c r="AQ4747" s="4">
        <v>46</v>
      </c>
      <c r="AR4747" s="3" t="s">
        <v>62</v>
      </c>
      <c r="AS4747" s="3" t="s">
        <v>62</v>
      </c>
      <c r="AT4747" s="3" t="s">
        <v>61</v>
      </c>
      <c r="AU4747" s="6" t="str">
        <f>HYPERLINK("http://catalog.hathitrust.org/Record/004303402","HathiTrust Record")</f>
        <v>HathiTrust Record</v>
      </c>
      <c r="AV4747" s="6" t="str">
        <f>HYPERLINK("http://mcgill.on.worldcat.org/oclc/49225440","Catalog Record")</f>
        <v>Catalog Record</v>
      </c>
      <c r="AW4747" s="6" t="str">
        <f>HYPERLINK("http://www.worldcat.org/oclc/49225440","WorldCat Record")</f>
        <v>WorldCat Record</v>
      </c>
      <c r="AX4747" s="3" t="s">
        <v>45455</v>
      </c>
      <c r="AY4747" s="3" t="s">
        <v>45456</v>
      </c>
      <c r="AZ4747" s="3" t="s">
        <v>45457</v>
      </c>
      <c r="BA4747" s="3" t="s">
        <v>45457</v>
      </c>
      <c r="BB4747" s="3" t="s">
        <v>45458</v>
      </c>
      <c r="BC4747" s="3" t="s">
        <v>142</v>
      </c>
      <c r="BD4747" s="3" t="s">
        <v>68</v>
      </c>
      <c r="BE4747" s="3" t="s">
        <v>45459</v>
      </c>
      <c r="BF4747" s="3" t="s">
        <v>45458</v>
      </c>
      <c r="BG4747" s="3" t="s">
        <v>45460</v>
      </c>
    </row>
    <row r="4748" spans="1:59" ht="57" x14ac:dyDescent="0.45">
      <c r="A4748" s="2" t="s">
        <v>59</v>
      </c>
      <c r="B4748" s="2" t="s">
        <v>60</v>
      </c>
      <c r="C4748" s="2" t="s">
        <v>45461</v>
      </c>
      <c r="D4748" s="2" t="s">
        <v>45462</v>
      </c>
      <c r="E4748" s="2" t="s">
        <v>45463</v>
      </c>
      <c r="G4748" s="3" t="s">
        <v>62</v>
      </c>
      <c r="I4748" s="3" t="s">
        <v>62</v>
      </c>
      <c r="J4748" s="3" t="s">
        <v>62</v>
      </c>
      <c r="K4748" s="3" t="s">
        <v>63</v>
      </c>
      <c r="M4748" s="2" t="s">
        <v>41729</v>
      </c>
      <c r="N4748" s="3" t="s">
        <v>208</v>
      </c>
      <c r="P4748" s="3" t="s">
        <v>65</v>
      </c>
      <c r="Q4748" s="2" t="s">
        <v>45464</v>
      </c>
      <c r="R4748" s="3" t="s">
        <v>66</v>
      </c>
      <c r="S4748" s="4">
        <v>0</v>
      </c>
      <c r="T4748" s="4">
        <v>0</v>
      </c>
      <c r="W4748" s="5" t="s">
        <v>67</v>
      </c>
      <c r="X4748" s="5" t="s">
        <v>67</v>
      </c>
      <c r="Y4748" s="4">
        <v>78</v>
      </c>
      <c r="Z4748" s="4">
        <v>10</v>
      </c>
      <c r="AA4748" s="4">
        <v>78</v>
      </c>
      <c r="AB4748" s="4">
        <v>3</v>
      </c>
      <c r="AC4748" s="4">
        <v>15</v>
      </c>
      <c r="AD4748" s="4">
        <v>36</v>
      </c>
      <c r="AE4748" s="4">
        <v>98</v>
      </c>
      <c r="AF4748" s="4">
        <v>1</v>
      </c>
      <c r="AG4748" s="4">
        <v>8</v>
      </c>
      <c r="AH4748" s="4">
        <v>33</v>
      </c>
      <c r="AI4748" s="4">
        <v>66</v>
      </c>
      <c r="AJ4748" s="4">
        <v>7</v>
      </c>
      <c r="AK4748" s="4">
        <v>20</v>
      </c>
      <c r="AL4748" s="4">
        <v>23</v>
      </c>
      <c r="AM4748" s="4">
        <v>37</v>
      </c>
      <c r="AN4748" s="4">
        <v>0</v>
      </c>
      <c r="AO4748" s="4">
        <v>0</v>
      </c>
      <c r="AP4748" s="4">
        <v>7</v>
      </c>
      <c r="AQ4748" s="4">
        <v>40</v>
      </c>
      <c r="AR4748" s="3" t="s">
        <v>62</v>
      </c>
      <c r="AS4748" s="3" t="s">
        <v>62</v>
      </c>
      <c r="AT4748" s="3" t="s">
        <v>62</v>
      </c>
      <c r="AV4748" s="6" t="str">
        <f>HYPERLINK("http://mcgill.on.worldcat.org/oclc/894670645","Catalog Record")</f>
        <v>Catalog Record</v>
      </c>
      <c r="AW4748" s="6" t="str">
        <f>HYPERLINK("http://www.worldcat.org/oclc/894670645","WorldCat Record")</f>
        <v>WorldCat Record</v>
      </c>
      <c r="AX4748" s="3" t="s">
        <v>45465</v>
      </c>
      <c r="AY4748" s="3" t="s">
        <v>45466</v>
      </c>
      <c r="AZ4748" s="3" t="s">
        <v>45467</v>
      </c>
      <c r="BA4748" s="3" t="s">
        <v>45467</v>
      </c>
      <c r="BB4748" s="3" t="s">
        <v>45468</v>
      </c>
      <c r="BC4748" s="3" t="s">
        <v>142</v>
      </c>
      <c r="BD4748" s="3" t="s">
        <v>68</v>
      </c>
      <c r="BE4748" s="3" t="s">
        <v>45469</v>
      </c>
      <c r="BF4748" s="3" t="s">
        <v>45468</v>
      </c>
      <c r="BG4748" s="3" t="s">
        <v>45470</v>
      </c>
    </row>
    <row r="4749" spans="1:59" ht="57" x14ac:dyDescent="0.45">
      <c r="A4749" s="2" t="s">
        <v>59</v>
      </c>
      <c r="B4749" s="2" t="s">
        <v>60</v>
      </c>
      <c r="C4749" s="2" t="s">
        <v>45471</v>
      </c>
      <c r="D4749" s="2" t="s">
        <v>45472</v>
      </c>
      <c r="E4749" s="2" t="s">
        <v>45473</v>
      </c>
      <c r="G4749" s="3" t="s">
        <v>62</v>
      </c>
      <c r="I4749" s="3" t="s">
        <v>62</v>
      </c>
      <c r="J4749" s="3" t="s">
        <v>62</v>
      </c>
      <c r="K4749" s="3" t="s">
        <v>63</v>
      </c>
      <c r="L4749" s="2" t="s">
        <v>45474</v>
      </c>
      <c r="M4749" s="2" t="s">
        <v>45475</v>
      </c>
      <c r="N4749" s="3" t="s">
        <v>1059</v>
      </c>
      <c r="P4749" s="3" t="s">
        <v>65</v>
      </c>
      <c r="R4749" s="3" t="s">
        <v>66</v>
      </c>
      <c r="S4749" s="4">
        <v>5</v>
      </c>
      <c r="T4749" s="4">
        <v>5</v>
      </c>
      <c r="U4749" s="5" t="s">
        <v>10499</v>
      </c>
      <c r="V4749" s="5" t="s">
        <v>10499</v>
      </c>
      <c r="W4749" s="5" t="s">
        <v>67</v>
      </c>
      <c r="X4749" s="5" t="s">
        <v>67</v>
      </c>
      <c r="Y4749" s="4">
        <v>393</v>
      </c>
      <c r="Z4749" s="4">
        <v>26</v>
      </c>
      <c r="AA4749" s="4">
        <v>104</v>
      </c>
      <c r="AB4749" s="4">
        <v>2</v>
      </c>
      <c r="AC4749" s="4">
        <v>19</v>
      </c>
      <c r="AD4749" s="4">
        <v>112</v>
      </c>
      <c r="AE4749" s="4">
        <v>156</v>
      </c>
      <c r="AF4749" s="4">
        <v>1</v>
      </c>
      <c r="AG4749" s="4">
        <v>9</v>
      </c>
      <c r="AH4749" s="4">
        <v>101</v>
      </c>
      <c r="AI4749" s="4">
        <v>108</v>
      </c>
      <c r="AJ4749" s="4">
        <v>16</v>
      </c>
      <c r="AK4749" s="4">
        <v>28</v>
      </c>
      <c r="AL4749" s="4">
        <v>54</v>
      </c>
      <c r="AM4749" s="4">
        <v>58</v>
      </c>
      <c r="AN4749" s="4">
        <v>0</v>
      </c>
      <c r="AO4749" s="4">
        <v>0</v>
      </c>
      <c r="AP4749" s="4">
        <v>19</v>
      </c>
      <c r="AQ4749" s="4">
        <v>57</v>
      </c>
      <c r="AR4749" s="3" t="s">
        <v>62</v>
      </c>
      <c r="AS4749" s="3" t="s">
        <v>62</v>
      </c>
      <c r="AT4749" s="3" t="s">
        <v>62</v>
      </c>
      <c r="AV4749" s="6" t="str">
        <f>HYPERLINK("http://mcgill.on.worldcat.org/oclc/60743103","Catalog Record")</f>
        <v>Catalog Record</v>
      </c>
      <c r="AW4749" s="6" t="str">
        <f>HYPERLINK("http://www.worldcat.org/oclc/60743103","WorldCat Record")</f>
        <v>WorldCat Record</v>
      </c>
      <c r="AX4749" s="3" t="s">
        <v>45476</v>
      </c>
      <c r="AY4749" s="3" t="s">
        <v>45477</v>
      </c>
      <c r="AZ4749" s="3" t="s">
        <v>45478</v>
      </c>
      <c r="BA4749" s="3" t="s">
        <v>45478</v>
      </c>
      <c r="BB4749" s="3" t="s">
        <v>45479</v>
      </c>
      <c r="BC4749" s="3" t="s">
        <v>142</v>
      </c>
      <c r="BD4749" s="3" t="s">
        <v>68</v>
      </c>
      <c r="BE4749" s="3" t="s">
        <v>45480</v>
      </c>
      <c r="BF4749" s="3" t="s">
        <v>45479</v>
      </c>
      <c r="BG4749" s="3" t="s">
        <v>45481</v>
      </c>
    </row>
    <row r="4750" spans="1:59" ht="57" x14ac:dyDescent="0.45">
      <c r="A4750" s="2" t="s">
        <v>59</v>
      </c>
      <c r="B4750" s="2" t="s">
        <v>60</v>
      </c>
      <c r="C4750" s="2" t="s">
        <v>45482</v>
      </c>
      <c r="D4750" s="2" t="s">
        <v>45483</v>
      </c>
      <c r="E4750" s="2" t="s">
        <v>45484</v>
      </c>
      <c r="G4750" s="3" t="s">
        <v>62</v>
      </c>
      <c r="I4750" s="3" t="s">
        <v>62</v>
      </c>
      <c r="J4750" s="3" t="s">
        <v>62</v>
      </c>
      <c r="K4750" s="3" t="s">
        <v>63</v>
      </c>
      <c r="L4750" s="2" t="s">
        <v>35059</v>
      </c>
      <c r="M4750" s="2" t="s">
        <v>45485</v>
      </c>
      <c r="N4750" s="3" t="s">
        <v>1604</v>
      </c>
      <c r="P4750" s="3" t="s">
        <v>65</v>
      </c>
      <c r="R4750" s="3" t="s">
        <v>66</v>
      </c>
      <c r="S4750" s="4">
        <v>25</v>
      </c>
      <c r="T4750" s="4">
        <v>25</v>
      </c>
      <c r="U4750" s="5" t="s">
        <v>10499</v>
      </c>
      <c r="V4750" s="5" t="s">
        <v>10499</v>
      </c>
      <c r="W4750" s="5" t="s">
        <v>67</v>
      </c>
      <c r="X4750" s="5" t="s">
        <v>67</v>
      </c>
      <c r="Y4750" s="4">
        <v>492</v>
      </c>
      <c r="Z4750" s="4">
        <v>33</v>
      </c>
      <c r="AA4750" s="4">
        <v>35</v>
      </c>
      <c r="AB4750" s="4">
        <v>3</v>
      </c>
      <c r="AC4750" s="4">
        <v>5</v>
      </c>
      <c r="AD4750" s="4">
        <v>110</v>
      </c>
      <c r="AE4750" s="4">
        <v>112</v>
      </c>
      <c r="AF4750" s="4">
        <v>2</v>
      </c>
      <c r="AG4750" s="4">
        <v>4</v>
      </c>
      <c r="AH4750" s="4">
        <v>93</v>
      </c>
      <c r="AI4750" s="4">
        <v>94</v>
      </c>
      <c r="AJ4750" s="4">
        <v>18</v>
      </c>
      <c r="AK4750" s="4">
        <v>20</v>
      </c>
      <c r="AL4750" s="4">
        <v>50</v>
      </c>
      <c r="AM4750" s="4">
        <v>50</v>
      </c>
      <c r="AN4750" s="4">
        <v>0</v>
      </c>
      <c r="AO4750" s="4">
        <v>0</v>
      </c>
      <c r="AP4750" s="4">
        <v>25</v>
      </c>
      <c r="AQ4750" s="4">
        <v>26</v>
      </c>
      <c r="AR4750" s="3" t="s">
        <v>62</v>
      </c>
      <c r="AS4750" s="3" t="s">
        <v>62</v>
      </c>
      <c r="AT4750" s="3" t="s">
        <v>62</v>
      </c>
      <c r="AV4750" s="6" t="str">
        <f>HYPERLINK("http://mcgill.on.worldcat.org/oclc/28064885","Catalog Record")</f>
        <v>Catalog Record</v>
      </c>
      <c r="AW4750" s="6" t="str">
        <f>HYPERLINK("http://www.worldcat.org/oclc/28064885","WorldCat Record")</f>
        <v>WorldCat Record</v>
      </c>
      <c r="AX4750" s="3" t="s">
        <v>45486</v>
      </c>
      <c r="AY4750" s="3" t="s">
        <v>45487</v>
      </c>
      <c r="AZ4750" s="3" t="s">
        <v>45488</v>
      </c>
      <c r="BA4750" s="3" t="s">
        <v>45488</v>
      </c>
      <c r="BB4750" s="3" t="s">
        <v>45489</v>
      </c>
      <c r="BC4750" s="3" t="s">
        <v>142</v>
      </c>
      <c r="BD4750" s="3" t="s">
        <v>68</v>
      </c>
      <c r="BE4750" s="3" t="s">
        <v>45490</v>
      </c>
      <c r="BF4750" s="3" t="s">
        <v>45489</v>
      </c>
      <c r="BG4750" s="3" t="s">
        <v>45491</v>
      </c>
    </row>
    <row r="4751" spans="1:59" ht="57" x14ac:dyDescent="0.45">
      <c r="A4751" s="2" t="s">
        <v>59</v>
      </c>
      <c r="B4751" s="2" t="s">
        <v>60</v>
      </c>
      <c r="C4751" s="2" t="s">
        <v>45492</v>
      </c>
      <c r="D4751" s="2" t="s">
        <v>45493</v>
      </c>
      <c r="E4751" s="2" t="s">
        <v>45494</v>
      </c>
      <c r="F4751" s="3" t="s">
        <v>90</v>
      </c>
      <c r="G4751" s="3" t="s">
        <v>61</v>
      </c>
      <c r="I4751" s="3" t="s">
        <v>62</v>
      </c>
      <c r="J4751" s="3" t="s">
        <v>62</v>
      </c>
      <c r="K4751" s="3" t="s">
        <v>63</v>
      </c>
      <c r="L4751" s="2" t="s">
        <v>45495</v>
      </c>
      <c r="M4751" s="2" t="s">
        <v>41763</v>
      </c>
      <c r="N4751" s="3" t="s">
        <v>149</v>
      </c>
      <c r="P4751" s="3" t="s">
        <v>65</v>
      </c>
      <c r="Q4751" s="2" t="s">
        <v>45496</v>
      </c>
      <c r="R4751" s="3" t="s">
        <v>66</v>
      </c>
      <c r="S4751" s="4">
        <v>0</v>
      </c>
      <c r="T4751" s="4">
        <v>0</v>
      </c>
      <c r="W4751" s="5" t="s">
        <v>67</v>
      </c>
      <c r="X4751" s="5" t="s">
        <v>67</v>
      </c>
      <c r="Y4751" s="4">
        <v>115</v>
      </c>
      <c r="Z4751" s="4">
        <v>10</v>
      </c>
      <c r="AA4751" s="4">
        <v>10</v>
      </c>
      <c r="AB4751" s="4">
        <v>1</v>
      </c>
      <c r="AC4751" s="4">
        <v>1</v>
      </c>
      <c r="AD4751" s="4">
        <v>52</v>
      </c>
      <c r="AE4751" s="4">
        <v>52</v>
      </c>
      <c r="AF4751" s="4">
        <v>0</v>
      </c>
      <c r="AG4751" s="4">
        <v>0</v>
      </c>
      <c r="AH4751" s="4">
        <v>50</v>
      </c>
      <c r="AI4751" s="4">
        <v>50</v>
      </c>
      <c r="AJ4751" s="4">
        <v>8</v>
      </c>
      <c r="AK4751" s="4">
        <v>8</v>
      </c>
      <c r="AL4751" s="4">
        <v>30</v>
      </c>
      <c r="AM4751" s="4">
        <v>30</v>
      </c>
      <c r="AN4751" s="4">
        <v>0</v>
      </c>
      <c r="AO4751" s="4">
        <v>0</v>
      </c>
      <c r="AP4751" s="4">
        <v>8</v>
      </c>
      <c r="AQ4751" s="4">
        <v>8</v>
      </c>
      <c r="AR4751" s="3" t="s">
        <v>62</v>
      </c>
      <c r="AS4751" s="3" t="s">
        <v>62</v>
      </c>
      <c r="AT4751" s="3" t="s">
        <v>61</v>
      </c>
      <c r="AU4751" s="6" t="str">
        <f>HYPERLINK("http://catalog.hathitrust.org/Record/008860239","HathiTrust Record")</f>
        <v>HathiTrust Record</v>
      </c>
      <c r="AV4751" s="6" t="str">
        <f>HYPERLINK("http://mcgill.on.worldcat.org/oclc/559788156","Catalog Record")</f>
        <v>Catalog Record</v>
      </c>
      <c r="AW4751" s="6" t="str">
        <f>HYPERLINK("http://www.worldcat.org/oclc/559788156","WorldCat Record")</f>
        <v>WorldCat Record</v>
      </c>
      <c r="AX4751" s="3" t="s">
        <v>45497</v>
      </c>
      <c r="AY4751" s="3" t="s">
        <v>45498</v>
      </c>
      <c r="AZ4751" s="3" t="s">
        <v>45499</v>
      </c>
      <c r="BA4751" s="3" t="s">
        <v>45499</v>
      </c>
      <c r="BB4751" s="3" t="s">
        <v>45500</v>
      </c>
      <c r="BC4751" s="3" t="s">
        <v>142</v>
      </c>
      <c r="BD4751" s="3" t="s">
        <v>68</v>
      </c>
      <c r="BE4751" s="3" t="s">
        <v>45501</v>
      </c>
      <c r="BF4751" s="3" t="s">
        <v>45500</v>
      </c>
      <c r="BG4751" s="3" t="s">
        <v>45502</v>
      </c>
    </row>
    <row r="4752" spans="1:59" ht="57" x14ac:dyDescent="0.45">
      <c r="A4752" s="2" t="s">
        <v>59</v>
      </c>
      <c r="B4752" s="2" t="s">
        <v>60</v>
      </c>
      <c r="C4752" s="2" t="s">
        <v>45492</v>
      </c>
      <c r="D4752" s="2" t="s">
        <v>45493</v>
      </c>
      <c r="E4752" s="2" t="s">
        <v>45494</v>
      </c>
      <c r="F4752" s="3" t="s">
        <v>87</v>
      </c>
      <c r="G4752" s="3" t="s">
        <v>61</v>
      </c>
      <c r="I4752" s="3" t="s">
        <v>62</v>
      </c>
      <c r="J4752" s="3" t="s">
        <v>62</v>
      </c>
      <c r="K4752" s="3" t="s">
        <v>63</v>
      </c>
      <c r="L4752" s="2" t="s">
        <v>45495</v>
      </c>
      <c r="M4752" s="2" t="s">
        <v>41763</v>
      </c>
      <c r="N4752" s="3" t="s">
        <v>149</v>
      </c>
      <c r="P4752" s="3" t="s">
        <v>65</v>
      </c>
      <c r="Q4752" s="2" t="s">
        <v>45496</v>
      </c>
      <c r="R4752" s="3" t="s">
        <v>66</v>
      </c>
      <c r="S4752" s="4">
        <v>0</v>
      </c>
      <c r="T4752" s="4">
        <v>0</v>
      </c>
      <c r="W4752" s="5" t="s">
        <v>67</v>
      </c>
      <c r="X4752" s="5" t="s">
        <v>67</v>
      </c>
      <c r="Y4752" s="4">
        <v>115</v>
      </c>
      <c r="Z4752" s="4">
        <v>10</v>
      </c>
      <c r="AA4752" s="4">
        <v>10</v>
      </c>
      <c r="AB4752" s="4">
        <v>1</v>
      </c>
      <c r="AC4752" s="4">
        <v>1</v>
      </c>
      <c r="AD4752" s="4">
        <v>52</v>
      </c>
      <c r="AE4752" s="4">
        <v>52</v>
      </c>
      <c r="AF4752" s="4">
        <v>0</v>
      </c>
      <c r="AG4752" s="4">
        <v>0</v>
      </c>
      <c r="AH4752" s="4">
        <v>50</v>
      </c>
      <c r="AI4752" s="4">
        <v>50</v>
      </c>
      <c r="AJ4752" s="4">
        <v>8</v>
      </c>
      <c r="AK4752" s="4">
        <v>8</v>
      </c>
      <c r="AL4752" s="4">
        <v>30</v>
      </c>
      <c r="AM4752" s="4">
        <v>30</v>
      </c>
      <c r="AN4752" s="4">
        <v>0</v>
      </c>
      <c r="AO4752" s="4">
        <v>0</v>
      </c>
      <c r="AP4752" s="4">
        <v>8</v>
      </c>
      <c r="AQ4752" s="4">
        <v>8</v>
      </c>
      <c r="AR4752" s="3" t="s">
        <v>62</v>
      </c>
      <c r="AS4752" s="3" t="s">
        <v>62</v>
      </c>
      <c r="AT4752" s="3" t="s">
        <v>61</v>
      </c>
      <c r="AU4752" s="6" t="str">
        <f>HYPERLINK("http://catalog.hathitrust.org/Record/008860239","HathiTrust Record")</f>
        <v>HathiTrust Record</v>
      </c>
      <c r="AV4752" s="6" t="str">
        <f>HYPERLINK("http://mcgill.on.worldcat.org/oclc/559788156","Catalog Record")</f>
        <v>Catalog Record</v>
      </c>
      <c r="AW4752" s="6" t="str">
        <f>HYPERLINK("http://www.worldcat.org/oclc/559788156","WorldCat Record")</f>
        <v>WorldCat Record</v>
      </c>
      <c r="AX4752" s="3" t="s">
        <v>45497</v>
      </c>
      <c r="AY4752" s="3" t="s">
        <v>45498</v>
      </c>
      <c r="AZ4752" s="3" t="s">
        <v>45499</v>
      </c>
      <c r="BA4752" s="3" t="s">
        <v>45499</v>
      </c>
      <c r="BB4752" s="3" t="s">
        <v>45503</v>
      </c>
      <c r="BC4752" s="3" t="s">
        <v>142</v>
      </c>
      <c r="BD4752" s="3" t="s">
        <v>68</v>
      </c>
      <c r="BE4752" s="3" t="s">
        <v>45501</v>
      </c>
      <c r="BF4752" s="3" t="s">
        <v>45503</v>
      </c>
      <c r="BG4752" s="3" t="s">
        <v>45504</v>
      </c>
    </row>
    <row r="4753" spans="1:59" ht="57" x14ac:dyDescent="0.45">
      <c r="A4753" s="2" t="s">
        <v>59</v>
      </c>
      <c r="B4753" s="2" t="s">
        <v>60</v>
      </c>
      <c r="C4753" s="2" t="s">
        <v>45505</v>
      </c>
      <c r="D4753" s="2" t="s">
        <v>45506</v>
      </c>
      <c r="E4753" s="2" t="s">
        <v>45507</v>
      </c>
      <c r="G4753" s="3" t="s">
        <v>62</v>
      </c>
      <c r="I4753" s="3" t="s">
        <v>62</v>
      </c>
      <c r="J4753" s="3" t="s">
        <v>62</v>
      </c>
      <c r="K4753" s="3" t="s">
        <v>63</v>
      </c>
      <c r="L4753" s="2" t="s">
        <v>45508</v>
      </c>
      <c r="M4753" s="2" t="s">
        <v>3828</v>
      </c>
      <c r="N4753" s="3" t="s">
        <v>820</v>
      </c>
      <c r="P4753" s="3" t="s">
        <v>65</v>
      </c>
      <c r="R4753" s="3" t="s">
        <v>66</v>
      </c>
      <c r="S4753" s="4">
        <v>6</v>
      </c>
      <c r="T4753" s="4">
        <v>6</v>
      </c>
      <c r="U4753" s="5" t="s">
        <v>14133</v>
      </c>
      <c r="V4753" s="5" t="s">
        <v>14133</v>
      </c>
      <c r="W4753" s="5" t="s">
        <v>67</v>
      </c>
      <c r="X4753" s="5" t="s">
        <v>67</v>
      </c>
      <c r="Y4753" s="4">
        <v>231</v>
      </c>
      <c r="Z4753" s="4">
        <v>21</v>
      </c>
      <c r="AA4753" s="4">
        <v>27</v>
      </c>
      <c r="AB4753" s="4">
        <v>2</v>
      </c>
      <c r="AC4753" s="4">
        <v>3</v>
      </c>
      <c r="AD4753" s="4">
        <v>84</v>
      </c>
      <c r="AE4753" s="4">
        <v>88</v>
      </c>
      <c r="AF4753" s="4">
        <v>1</v>
      </c>
      <c r="AG4753" s="4">
        <v>1</v>
      </c>
      <c r="AH4753" s="4">
        <v>75</v>
      </c>
      <c r="AI4753" s="4">
        <v>77</v>
      </c>
      <c r="AJ4753" s="4">
        <v>14</v>
      </c>
      <c r="AK4753" s="4">
        <v>15</v>
      </c>
      <c r="AL4753" s="4">
        <v>43</v>
      </c>
      <c r="AM4753" s="4">
        <v>43</v>
      </c>
      <c r="AN4753" s="4">
        <v>0</v>
      </c>
      <c r="AO4753" s="4">
        <v>0</v>
      </c>
      <c r="AP4753" s="4">
        <v>17</v>
      </c>
      <c r="AQ4753" s="4">
        <v>20</v>
      </c>
      <c r="AR4753" s="3" t="s">
        <v>62</v>
      </c>
      <c r="AS4753" s="3" t="s">
        <v>62</v>
      </c>
      <c r="AT4753" s="3" t="s">
        <v>62</v>
      </c>
      <c r="AV4753" s="6" t="str">
        <f>HYPERLINK("http://mcgill.on.worldcat.org/oclc/156830970","Catalog Record")</f>
        <v>Catalog Record</v>
      </c>
      <c r="AW4753" s="6" t="str">
        <f>HYPERLINK("http://www.worldcat.org/oclc/156830970","WorldCat Record")</f>
        <v>WorldCat Record</v>
      </c>
      <c r="AX4753" s="3" t="s">
        <v>45509</v>
      </c>
      <c r="AY4753" s="3" t="s">
        <v>45510</v>
      </c>
      <c r="AZ4753" s="3" t="s">
        <v>45511</v>
      </c>
      <c r="BA4753" s="3" t="s">
        <v>45511</v>
      </c>
      <c r="BB4753" s="3" t="s">
        <v>45512</v>
      </c>
      <c r="BC4753" s="3" t="s">
        <v>142</v>
      </c>
      <c r="BD4753" s="3" t="s">
        <v>68</v>
      </c>
      <c r="BE4753" s="3" t="s">
        <v>45513</v>
      </c>
      <c r="BF4753" s="3" t="s">
        <v>45512</v>
      </c>
      <c r="BG4753" s="3" t="s">
        <v>45514</v>
      </c>
    </row>
    <row r="4754" spans="1:59" ht="57" x14ac:dyDescent="0.45">
      <c r="A4754" s="2" t="s">
        <v>59</v>
      </c>
      <c r="B4754" s="2" t="s">
        <v>60</v>
      </c>
      <c r="C4754" s="2" t="s">
        <v>45515</v>
      </c>
      <c r="D4754" s="2" t="s">
        <v>45516</v>
      </c>
      <c r="E4754" s="2" t="s">
        <v>45517</v>
      </c>
      <c r="G4754" s="3" t="s">
        <v>62</v>
      </c>
      <c r="I4754" s="3" t="s">
        <v>62</v>
      </c>
      <c r="J4754" s="3" t="s">
        <v>62</v>
      </c>
      <c r="K4754" s="3" t="s">
        <v>63</v>
      </c>
      <c r="M4754" s="2" t="s">
        <v>21252</v>
      </c>
      <c r="N4754" s="3" t="s">
        <v>1155</v>
      </c>
      <c r="P4754" s="3" t="s">
        <v>65</v>
      </c>
      <c r="Q4754" s="2" t="s">
        <v>3949</v>
      </c>
      <c r="R4754" s="3" t="s">
        <v>66</v>
      </c>
      <c r="S4754" s="4">
        <v>6</v>
      </c>
      <c r="T4754" s="4">
        <v>6</v>
      </c>
      <c r="U4754" s="5" t="s">
        <v>9777</v>
      </c>
      <c r="V4754" s="5" t="s">
        <v>9777</v>
      </c>
      <c r="W4754" s="5" t="s">
        <v>67</v>
      </c>
      <c r="X4754" s="5" t="s">
        <v>67</v>
      </c>
      <c r="Y4754" s="4">
        <v>179</v>
      </c>
      <c r="Z4754" s="4">
        <v>21</v>
      </c>
      <c r="AA4754" s="4">
        <v>29</v>
      </c>
      <c r="AB4754" s="4">
        <v>3</v>
      </c>
      <c r="AC4754" s="4">
        <v>6</v>
      </c>
      <c r="AD4754" s="4">
        <v>69</v>
      </c>
      <c r="AE4754" s="4">
        <v>79</v>
      </c>
      <c r="AF4754" s="4">
        <v>1</v>
      </c>
      <c r="AG4754" s="4">
        <v>3</v>
      </c>
      <c r="AH4754" s="4">
        <v>59</v>
      </c>
      <c r="AI4754" s="4">
        <v>64</v>
      </c>
      <c r="AJ4754" s="4">
        <v>13</v>
      </c>
      <c r="AK4754" s="4">
        <v>17</v>
      </c>
      <c r="AL4754" s="4">
        <v>35</v>
      </c>
      <c r="AM4754" s="4">
        <v>37</v>
      </c>
      <c r="AN4754" s="4">
        <v>0</v>
      </c>
      <c r="AO4754" s="4">
        <v>0</v>
      </c>
      <c r="AP4754" s="4">
        <v>17</v>
      </c>
      <c r="AQ4754" s="4">
        <v>22</v>
      </c>
      <c r="AR4754" s="3" t="s">
        <v>62</v>
      </c>
      <c r="AS4754" s="3" t="s">
        <v>62</v>
      </c>
      <c r="AT4754" s="3" t="s">
        <v>62</v>
      </c>
      <c r="AV4754" s="6" t="str">
        <f>HYPERLINK("http://mcgill.on.worldcat.org/oclc/724665645","Catalog Record")</f>
        <v>Catalog Record</v>
      </c>
      <c r="AW4754" s="6" t="str">
        <f>HYPERLINK("http://www.worldcat.org/oclc/724665645","WorldCat Record")</f>
        <v>WorldCat Record</v>
      </c>
      <c r="AX4754" s="3" t="s">
        <v>45518</v>
      </c>
      <c r="AY4754" s="3" t="s">
        <v>45519</v>
      </c>
      <c r="AZ4754" s="3" t="s">
        <v>45520</v>
      </c>
      <c r="BA4754" s="3" t="s">
        <v>45520</v>
      </c>
      <c r="BB4754" s="3" t="s">
        <v>45521</v>
      </c>
      <c r="BC4754" s="3" t="s">
        <v>142</v>
      </c>
      <c r="BD4754" s="3" t="s">
        <v>68</v>
      </c>
      <c r="BE4754" s="3" t="s">
        <v>45522</v>
      </c>
      <c r="BF4754" s="3" t="s">
        <v>45521</v>
      </c>
      <c r="BG4754" s="3" t="s">
        <v>45523</v>
      </c>
    </row>
    <row r="4755" spans="1:59" ht="71.25" x14ac:dyDescent="0.45">
      <c r="A4755" s="2" t="s">
        <v>59</v>
      </c>
      <c r="B4755" s="2" t="s">
        <v>60</v>
      </c>
      <c r="C4755" s="2" t="s">
        <v>45524</v>
      </c>
      <c r="D4755" s="2" t="s">
        <v>45525</v>
      </c>
      <c r="E4755" s="2" t="s">
        <v>45526</v>
      </c>
      <c r="G4755" s="3" t="s">
        <v>62</v>
      </c>
      <c r="H4755" s="3" t="s">
        <v>3960</v>
      </c>
      <c r="I4755" s="3" t="s">
        <v>62</v>
      </c>
      <c r="J4755" s="3" t="s">
        <v>62</v>
      </c>
      <c r="K4755" s="3" t="s">
        <v>63</v>
      </c>
      <c r="M4755" s="2" t="s">
        <v>37141</v>
      </c>
      <c r="N4755" s="3" t="s">
        <v>19337</v>
      </c>
      <c r="P4755" s="3" t="s">
        <v>65</v>
      </c>
      <c r="Q4755" s="2" t="s">
        <v>45527</v>
      </c>
      <c r="R4755" s="3" t="s">
        <v>66</v>
      </c>
      <c r="S4755" s="4">
        <v>0</v>
      </c>
      <c r="T4755" s="4">
        <v>0</v>
      </c>
      <c r="W4755" s="5" t="s">
        <v>24250</v>
      </c>
      <c r="X4755" s="5" t="s">
        <v>24250</v>
      </c>
      <c r="Y4755" s="4">
        <v>34</v>
      </c>
      <c r="Z4755" s="4">
        <v>3</v>
      </c>
      <c r="AA4755" s="4">
        <v>5</v>
      </c>
      <c r="AB4755" s="4">
        <v>1</v>
      </c>
      <c r="AC4755" s="4">
        <v>2</v>
      </c>
      <c r="AD4755" s="4">
        <v>21</v>
      </c>
      <c r="AE4755" s="4">
        <v>23</v>
      </c>
      <c r="AF4755" s="4">
        <v>0</v>
      </c>
      <c r="AG4755" s="4">
        <v>0</v>
      </c>
      <c r="AH4755" s="4">
        <v>20</v>
      </c>
      <c r="AI4755" s="4">
        <v>22</v>
      </c>
      <c r="AJ4755" s="4">
        <v>2</v>
      </c>
      <c r="AK4755" s="4">
        <v>3</v>
      </c>
      <c r="AL4755" s="4">
        <v>15</v>
      </c>
      <c r="AM4755" s="4">
        <v>16</v>
      </c>
      <c r="AN4755" s="4">
        <v>0</v>
      </c>
      <c r="AO4755" s="4">
        <v>0</v>
      </c>
      <c r="AP4755" s="4">
        <v>2</v>
      </c>
      <c r="AQ4755" s="4">
        <v>3</v>
      </c>
      <c r="AR4755" s="3" t="s">
        <v>62</v>
      </c>
      <c r="AS4755" s="3" t="s">
        <v>62</v>
      </c>
      <c r="AT4755" s="3" t="s">
        <v>62</v>
      </c>
      <c r="AV4755" s="6" t="str">
        <f>HYPERLINK("http://mcgill.on.worldcat.org/oclc/1089215410","Catalog Record")</f>
        <v>Catalog Record</v>
      </c>
      <c r="AW4755" s="6" t="str">
        <f>HYPERLINK("http://www.worldcat.org/oclc/1089215410","WorldCat Record")</f>
        <v>WorldCat Record</v>
      </c>
      <c r="AX4755" s="3" t="s">
        <v>45528</v>
      </c>
      <c r="AY4755" s="3" t="s">
        <v>45529</v>
      </c>
      <c r="AZ4755" s="3" t="s">
        <v>45530</v>
      </c>
      <c r="BA4755" s="3" t="s">
        <v>45530</v>
      </c>
      <c r="BB4755" s="3" t="s">
        <v>45531</v>
      </c>
      <c r="BC4755" s="3" t="s">
        <v>142</v>
      </c>
      <c r="BD4755" s="3" t="s">
        <v>68</v>
      </c>
      <c r="BE4755" s="3" t="s">
        <v>45532</v>
      </c>
      <c r="BF4755" s="3" t="s">
        <v>45531</v>
      </c>
      <c r="BG4755" s="3" t="s">
        <v>45533</v>
      </c>
    </row>
    <row r="4756" spans="1:59" ht="57" x14ac:dyDescent="0.45">
      <c r="A4756" s="2" t="s">
        <v>59</v>
      </c>
      <c r="B4756" s="2" t="s">
        <v>60</v>
      </c>
      <c r="C4756" s="2" t="s">
        <v>45534</v>
      </c>
      <c r="D4756" s="2" t="s">
        <v>45535</v>
      </c>
      <c r="E4756" s="2" t="s">
        <v>45536</v>
      </c>
      <c r="G4756" s="3" t="s">
        <v>62</v>
      </c>
      <c r="I4756" s="3" t="s">
        <v>62</v>
      </c>
      <c r="J4756" s="3" t="s">
        <v>62</v>
      </c>
      <c r="K4756" s="3" t="s">
        <v>63</v>
      </c>
      <c r="L4756" s="2" t="s">
        <v>45537</v>
      </c>
      <c r="M4756" s="2" t="s">
        <v>45538</v>
      </c>
      <c r="N4756" s="3" t="s">
        <v>116</v>
      </c>
      <c r="P4756" s="3" t="s">
        <v>65</v>
      </c>
      <c r="R4756" s="3" t="s">
        <v>66</v>
      </c>
      <c r="S4756" s="4">
        <v>0</v>
      </c>
      <c r="T4756" s="4">
        <v>0</v>
      </c>
      <c r="W4756" s="5" t="s">
        <v>67</v>
      </c>
      <c r="X4756" s="5" t="s">
        <v>67</v>
      </c>
      <c r="Y4756" s="4">
        <v>140</v>
      </c>
      <c r="Z4756" s="4">
        <v>13</v>
      </c>
      <c r="AA4756" s="4">
        <v>80</v>
      </c>
      <c r="AB4756" s="4">
        <v>1</v>
      </c>
      <c r="AC4756" s="4">
        <v>15</v>
      </c>
      <c r="AD4756" s="4">
        <v>44</v>
      </c>
      <c r="AE4756" s="4">
        <v>112</v>
      </c>
      <c r="AF4756" s="4">
        <v>0</v>
      </c>
      <c r="AG4756" s="4">
        <v>8</v>
      </c>
      <c r="AH4756" s="4">
        <v>38</v>
      </c>
      <c r="AI4756" s="4">
        <v>78</v>
      </c>
      <c r="AJ4756" s="4">
        <v>6</v>
      </c>
      <c r="AK4756" s="4">
        <v>22</v>
      </c>
      <c r="AL4756" s="4">
        <v>25</v>
      </c>
      <c r="AM4756" s="4">
        <v>40</v>
      </c>
      <c r="AN4756" s="4">
        <v>0</v>
      </c>
      <c r="AO4756" s="4">
        <v>0</v>
      </c>
      <c r="AP4756" s="4">
        <v>11</v>
      </c>
      <c r="AQ4756" s="4">
        <v>42</v>
      </c>
      <c r="AR4756" s="3" t="s">
        <v>62</v>
      </c>
      <c r="AS4756" s="3" t="s">
        <v>62</v>
      </c>
      <c r="AT4756" s="3" t="s">
        <v>62</v>
      </c>
      <c r="AV4756" s="6" t="str">
        <f>HYPERLINK("http://mcgill.on.worldcat.org/oclc/795504377","Catalog Record")</f>
        <v>Catalog Record</v>
      </c>
      <c r="AW4756" s="6" t="str">
        <f>HYPERLINK("http://www.worldcat.org/oclc/795504377","WorldCat Record")</f>
        <v>WorldCat Record</v>
      </c>
      <c r="AX4756" s="3" t="s">
        <v>45539</v>
      </c>
      <c r="AY4756" s="3" t="s">
        <v>45540</v>
      </c>
      <c r="AZ4756" s="3" t="s">
        <v>45541</v>
      </c>
      <c r="BA4756" s="3" t="s">
        <v>45541</v>
      </c>
      <c r="BB4756" s="3" t="s">
        <v>45542</v>
      </c>
      <c r="BC4756" s="3" t="s">
        <v>142</v>
      </c>
      <c r="BD4756" s="3" t="s">
        <v>68</v>
      </c>
      <c r="BE4756" s="3" t="s">
        <v>45543</v>
      </c>
      <c r="BF4756" s="3" t="s">
        <v>45542</v>
      </c>
      <c r="BG4756" s="3" t="s">
        <v>45544</v>
      </c>
    </row>
    <row r="4757" spans="1:59" ht="57" x14ac:dyDescent="0.45">
      <c r="A4757" s="2" t="s">
        <v>59</v>
      </c>
      <c r="B4757" s="2" t="s">
        <v>60</v>
      </c>
      <c r="C4757" s="2" t="s">
        <v>45545</v>
      </c>
      <c r="D4757" s="2" t="s">
        <v>45546</v>
      </c>
      <c r="E4757" s="2" t="s">
        <v>45547</v>
      </c>
      <c r="G4757" s="3" t="s">
        <v>62</v>
      </c>
      <c r="I4757" s="3" t="s">
        <v>62</v>
      </c>
      <c r="J4757" s="3" t="s">
        <v>62</v>
      </c>
      <c r="K4757" s="3" t="s">
        <v>63</v>
      </c>
      <c r="L4757" s="2" t="s">
        <v>45548</v>
      </c>
      <c r="M4757" s="2" t="s">
        <v>1760</v>
      </c>
      <c r="N4757" s="3" t="s">
        <v>894</v>
      </c>
      <c r="P4757" s="3" t="s">
        <v>65</v>
      </c>
      <c r="R4757" s="3" t="s">
        <v>66</v>
      </c>
      <c r="S4757" s="4">
        <v>0</v>
      </c>
      <c r="T4757" s="4">
        <v>0</v>
      </c>
      <c r="W4757" s="5" t="s">
        <v>67</v>
      </c>
      <c r="X4757" s="5" t="s">
        <v>67</v>
      </c>
      <c r="Y4757" s="4">
        <v>134</v>
      </c>
      <c r="Z4757" s="4">
        <v>16</v>
      </c>
      <c r="AA4757" s="4">
        <v>23</v>
      </c>
      <c r="AB4757" s="4">
        <v>1</v>
      </c>
      <c r="AC4757" s="4">
        <v>5</v>
      </c>
      <c r="AD4757" s="4">
        <v>74</v>
      </c>
      <c r="AE4757" s="4">
        <v>84</v>
      </c>
      <c r="AF4757" s="4">
        <v>0</v>
      </c>
      <c r="AG4757" s="4">
        <v>1</v>
      </c>
      <c r="AH4757" s="4">
        <v>68</v>
      </c>
      <c r="AI4757" s="4">
        <v>74</v>
      </c>
      <c r="AJ4757" s="4">
        <v>13</v>
      </c>
      <c r="AK4757" s="4">
        <v>15</v>
      </c>
      <c r="AL4757" s="4">
        <v>41</v>
      </c>
      <c r="AM4757" s="4">
        <v>45</v>
      </c>
      <c r="AN4757" s="4">
        <v>0</v>
      </c>
      <c r="AO4757" s="4">
        <v>0</v>
      </c>
      <c r="AP4757" s="4">
        <v>13</v>
      </c>
      <c r="AQ4757" s="4">
        <v>17</v>
      </c>
      <c r="AR4757" s="3" t="s">
        <v>62</v>
      </c>
      <c r="AS4757" s="3" t="s">
        <v>62</v>
      </c>
      <c r="AT4757" s="3" t="s">
        <v>62</v>
      </c>
      <c r="AV4757" s="6" t="str">
        <f>HYPERLINK("http://mcgill.on.worldcat.org/oclc/656158827","Catalog Record")</f>
        <v>Catalog Record</v>
      </c>
      <c r="AW4757" s="6" t="str">
        <f>HYPERLINK("http://www.worldcat.org/oclc/656158827","WorldCat Record")</f>
        <v>WorldCat Record</v>
      </c>
      <c r="AX4757" s="3" t="s">
        <v>45549</v>
      </c>
      <c r="AY4757" s="3" t="s">
        <v>45550</v>
      </c>
      <c r="AZ4757" s="3" t="s">
        <v>45551</v>
      </c>
      <c r="BA4757" s="3" t="s">
        <v>45551</v>
      </c>
      <c r="BB4757" s="3" t="s">
        <v>45552</v>
      </c>
      <c r="BC4757" s="3" t="s">
        <v>142</v>
      </c>
      <c r="BD4757" s="3" t="s">
        <v>68</v>
      </c>
      <c r="BE4757" s="3" t="s">
        <v>45553</v>
      </c>
      <c r="BF4757" s="3" t="s">
        <v>45552</v>
      </c>
      <c r="BG4757" s="3" t="s">
        <v>45554</v>
      </c>
    </row>
    <row r="4758" spans="1:59" ht="57" x14ac:dyDescent="0.45">
      <c r="A4758" s="2" t="s">
        <v>59</v>
      </c>
      <c r="B4758" s="2" t="s">
        <v>60</v>
      </c>
      <c r="C4758" s="2" t="s">
        <v>45555</v>
      </c>
      <c r="D4758" s="2" t="s">
        <v>45556</v>
      </c>
      <c r="E4758" s="2" t="s">
        <v>45557</v>
      </c>
      <c r="G4758" s="3" t="s">
        <v>62</v>
      </c>
      <c r="I4758" s="3" t="s">
        <v>62</v>
      </c>
      <c r="J4758" s="3" t="s">
        <v>62</v>
      </c>
      <c r="K4758" s="3" t="s">
        <v>63</v>
      </c>
      <c r="L4758" s="2" t="s">
        <v>45558</v>
      </c>
      <c r="M4758" s="2" t="s">
        <v>1917</v>
      </c>
      <c r="N4758" s="3" t="s">
        <v>1918</v>
      </c>
      <c r="O4758" s="2" t="s">
        <v>1748</v>
      </c>
      <c r="P4758" s="3" t="s">
        <v>65</v>
      </c>
      <c r="Q4758" s="2" t="s">
        <v>45559</v>
      </c>
      <c r="R4758" s="3" t="s">
        <v>66</v>
      </c>
      <c r="S4758" s="4">
        <v>0</v>
      </c>
      <c r="T4758" s="4">
        <v>0</v>
      </c>
      <c r="W4758" s="5" t="s">
        <v>67</v>
      </c>
      <c r="X4758" s="5" t="s">
        <v>67</v>
      </c>
      <c r="Y4758" s="4">
        <v>47</v>
      </c>
      <c r="Z4758" s="4">
        <v>2</v>
      </c>
      <c r="AA4758" s="4">
        <v>77</v>
      </c>
      <c r="AB4758" s="4">
        <v>1</v>
      </c>
      <c r="AC4758" s="4">
        <v>14</v>
      </c>
      <c r="AD4758" s="4">
        <v>22</v>
      </c>
      <c r="AE4758" s="4">
        <v>102</v>
      </c>
      <c r="AF4758" s="4">
        <v>0</v>
      </c>
      <c r="AG4758" s="4">
        <v>8</v>
      </c>
      <c r="AH4758" s="4">
        <v>21</v>
      </c>
      <c r="AI4758" s="4">
        <v>70</v>
      </c>
      <c r="AJ4758" s="4">
        <v>1</v>
      </c>
      <c r="AK4758" s="4">
        <v>19</v>
      </c>
      <c r="AL4758" s="4">
        <v>15</v>
      </c>
      <c r="AM4758" s="4">
        <v>36</v>
      </c>
      <c r="AN4758" s="4">
        <v>0</v>
      </c>
      <c r="AO4758" s="4">
        <v>0</v>
      </c>
      <c r="AP4758" s="4">
        <v>1</v>
      </c>
      <c r="AQ4758" s="4">
        <v>38</v>
      </c>
      <c r="AR4758" s="3" t="s">
        <v>62</v>
      </c>
      <c r="AS4758" s="3" t="s">
        <v>62</v>
      </c>
      <c r="AT4758" s="3" t="s">
        <v>62</v>
      </c>
      <c r="AV4758" s="6" t="str">
        <f>HYPERLINK("http://mcgill.on.worldcat.org/oclc/1001413902","Catalog Record")</f>
        <v>Catalog Record</v>
      </c>
      <c r="AW4758" s="6" t="str">
        <f>HYPERLINK("http://www.worldcat.org/oclc/1001413902","WorldCat Record")</f>
        <v>WorldCat Record</v>
      </c>
      <c r="AX4758" s="3" t="s">
        <v>45560</v>
      </c>
      <c r="AY4758" s="3" t="s">
        <v>45561</v>
      </c>
      <c r="AZ4758" s="3" t="s">
        <v>45562</v>
      </c>
      <c r="BA4758" s="3" t="s">
        <v>45562</v>
      </c>
      <c r="BB4758" s="3" t="s">
        <v>45563</v>
      </c>
      <c r="BC4758" s="3" t="s">
        <v>142</v>
      </c>
      <c r="BD4758" s="3" t="s">
        <v>68</v>
      </c>
      <c r="BE4758" s="3" t="s">
        <v>45564</v>
      </c>
      <c r="BF4758" s="3" t="s">
        <v>45563</v>
      </c>
      <c r="BG4758" s="3" t="s">
        <v>45565</v>
      </c>
    </row>
    <row r="4759" spans="1:59" ht="57" x14ac:dyDescent="0.45">
      <c r="A4759" s="2" t="s">
        <v>59</v>
      </c>
      <c r="B4759" s="2" t="s">
        <v>60</v>
      </c>
      <c r="C4759" s="2" t="s">
        <v>45566</v>
      </c>
      <c r="D4759" s="2" t="s">
        <v>45567</v>
      </c>
      <c r="E4759" s="2" t="s">
        <v>45568</v>
      </c>
      <c r="G4759" s="3" t="s">
        <v>62</v>
      </c>
      <c r="I4759" s="3" t="s">
        <v>62</v>
      </c>
      <c r="J4759" s="3" t="s">
        <v>62</v>
      </c>
      <c r="K4759" s="3" t="s">
        <v>63</v>
      </c>
      <c r="L4759" s="2" t="s">
        <v>45049</v>
      </c>
      <c r="M4759" s="2" t="s">
        <v>29734</v>
      </c>
      <c r="N4759" s="3" t="s">
        <v>820</v>
      </c>
      <c r="P4759" s="3" t="s">
        <v>65</v>
      </c>
      <c r="R4759" s="3" t="s">
        <v>66</v>
      </c>
      <c r="S4759" s="4">
        <v>1</v>
      </c>
      <c r="T4759" s="4">
        <v>1</v>
      </c>
      <c r="U4759" s="5" t="s">
        <v>38220</v>
      </c>
      <c r="V4759" s="5" t="s">
        <v>38220</v>
      </c>
      <c r="W4759" s="5" t="s">
        <v>67</v>
      </c>
      <c r="X4759" s="5" t="s">
        <v>67</v>
      </c>
      <c r="Y4759" s="4">
        <v>225</v>
      </c>
      <c r="Z4759" s="4">
        <v>19</v>
      </c>
      <c r="AA4759" s="4">
        <v>93</v>
      </c>
      <c r="AB4759" s="4">
        <v>2</v>
      </c>
      <c r="AC4759" s="4">
        <v>18</v>
      </c>
      <c r="AD4759" s="4">
        <v>86</v>
      </c>
      <c r="AE4759" s="4">
        <v>142</v>
      </c>
      <c r="AF4759" s="4">
        <v>1</v>
      </c>
      <c r="AG4759" s="4">
        <v>9</v>
      </c>
      <c r="AH4759" s="4">
        <v>76</v>
      </c>
      <c r="AI4759" s="4">
        <v>99</v>
      </c>
      <c r="AJ4759" s="4">
        <v>14</v>
      </c>
      <c r="AK4759" s="4">
        <v>24</v>
      </c>
      <c r="AL4759" s="4">
        <v>45</v>
      </c>
      <c r="AM4759" s="4">
        <v>52</v>
      </c>
      <c r="AN4759" s="4">
        <v>0</v>
      </c>
      <c r="AO4759" s="4">
        <v>0</v>
      </c>
      <c r="AP4759" s="4">
        <v>16</v>
      </c>
      <c r="AQ4759" s="4">
        <v>52</v>
      </c>
      <c r="AR4759" s="3" t="s">
        <v>62</v>
      </c>
      <c r="AS4759" s="3" t="s">
        <v>62</v>
      </c>
      <c r="AT4759" s="3" t="s">
        <v>62</v>
      </c>
      <c r="AV4759" s="6" t="str">
        <f>HYPERLINK("http://mcgill.on.worldcat.org/oclc/182963187","Catalog Record")</f>
        <v>Catalog Record</v>
      </c>
      <c r="AW4759" s="6" t="str">
        <f>HYPERLINK("http://www.worldcat.org/oclc/182963187","WorldCat Record")</f>
        <v>WorldCat Record</v>
      </c>
      <c r="AX4759" s="3" t="s">
        <v>45569</v>
      </c>
      <c r="AY4759" s="3" t="s">
        <v>45570</v>
      </c>
      <c r="AZ4759" s="3" t="s">
        <v>45571</v>
      </c>
      <c r="BA4759" s="3" t="s">
        <v>45571</v>
      </c>
      <c r="BB4759" s="3" t="s">
        <v>45572</v>
      </c>
      <c r="BC4759" s="3" t="s">
        <v>142</v>
      </c>
      <c r="BD4759" s="3" t="s">
        <v>68</v>
      </c>
      <c r="BE4759" s="3" t="s">
        <v>45573</v>
      </c>
      <c r="BF4759" s="3" t="s">
        <v>45572</v>
      </c>
      <c r="BG4759" s="3" t="s">
        <v>45574</v>
      </c>
    </row>
    <row r="4760" spans="1:59" ht="57" x14ac:dyDescent="0.45">
      <c r="A4760" s="2" t="s">
        <v>59</v>
      </c>
      <c r="B4760" s="2" t="s">
        <v>60</v>
      </c>
      <c r="C4760" s="2" t="s">
        <v>45575</v>
      </c>
      <c r="D4760" s="2" t="s">
        <v>45576</v>
      </c>
      <c r="E4760" s="2" t="s">
        <v>45577</v>
      </c>
      <c r="G4760" s="3" t="s">
        <v>62</v>
      </c>
      <c r="I4760" s="3" t="s">
        <v>62</v>
      </c>
      <c r="J4760" s="3" t="s">
        <v>62</v>
      </c>
      <c r="K4760" s="3" t="s">
        <v>63</v>
      </c>
      <c r="M4760" s="2" t="s">
        <v>45578</v>
      </c>
      <c r="N4760" s="3" t="s">
        <v>116</v>
      </c>
      <c r="P4760" s="3" t="s">
        <v>65</v>
      </c>
      <c r="R4760" s="3" t="s">
        <v>66</v>
      </c>
      <c r="S4760" s="4">
        <v>2</v>
      </c>
      <c r="T4760" s="4">
        <v>2</v>
      </c>
      <c r="U4760" s="5" t="s">
        <v>28556</v>
      </c>
      <c r="V4760" s="5" t="s">
        <v>28556</v>
      </c>
      <c r="W4760" s="5" t="s">
        <v>67</v>
      </c>
      <c r="X4760" s="5" t="s">
        <v>67</v>
      </c>
      <c r="Y4760" s="4">
        <v>55</v>
      </c>
      <c r="Z4760" s="4">
        <v>10</v>
      </c>
      <c r="AA4760" s="4">
        <v>12</v>
      </c>
      <c r="AB4760" s="4">
        <v>1</v>
      </c>
      <c r="AC4760" s="4">
        <v>3</v>
      </c>
      <c r="AD4760" s="4">
        <v>28</v>
      </c>
      <c r="AE4760" s="4">
        <v>30</v>
      </c>
      <c r="AF4760" s="4">
        <v>0</v>
      </c>
      <c r="AG4760" s="4">
        <v>2</v>
      </c>
      <c r="AH4760" s="4">
        <v>25</v>
      </c>
      <c r="AI4760" s="4">
        <v>26</v>
      </c>
      <c r="AJ4760" s="4">
        <v>7</v>
      </c>
      <c r="AK4760" s="4">
        <v>9</v>
      </c>
      <c r="AL4760" s="4">
        <v>17</v>
      </c>
      <c r="AM4760" s="4">
        <v>17</v>
      </c>
      <c r="AN4760" s="4">
        <v>0</v>
      </c>
      <c r="AO4760" s="4">
        <v>0</v>
      </c>
      <c r="AP4760" s="4">
        <v>8</v>
      </c>
      <c r="AQ4760" s="4">
        <v>10</v>
      </c>
      <c r="AR4760" s="3" t="s">
        <v>62</v>
      </c>
      <c r="AS4760" s="3" t="s">
        <v>62</v>
      </c>
      <c r="AT4760" s="3" t="s">
        <v>62</v>
      </c>
      <c r="AV4760" s="6" t="str">
        <f>HYPERLINK("http://mcgill.on.worldcat.org/oclc/874030279","Catalog Record")</f>
        <v>Catalog Record</v>
      </c>
      <c r="AW4760" s="6" t="str">
        <f>HYPERLINK("http://www.worldcat.org/oclc/874030279","WorldCat Record")</f>
        <v>WorldCat Record</v>
      </c>
      <c r="AX4760" s="3" t="s">
        <v>45579</v>
      </c>
      <c r="AY4760" s="3" t="s">
        <v>45580</v>
      </c>
      <c r="AZ4760" s="3" t="s">
        <v>45581</v>
      </c>
      <c r="BA4760" s="3" t="s">
        <v>45581</v>
      </c>
      <c r="BB4760" s="3" t="s">
        <v>45582</v>
      </c>
      <c r="BC4760" s="3" t="s">
        <v>142</v>
      </c>
      <c r="BD4760" s="3" t="s">
        <v>68</v>
      </c>
      <c r="BE4760" s="3" t="s">
        <v>45583</v>
      </c>
      <c r="BF4760" s="3" t="s">
        <v>45582</v>
      </c>
      <c r="BG4760" s="3" t="s">
        <v>45584</v>
      </c>
    </row>
    <row r="4761" spans="1:59" ht="57" x14ac:dyDescent="0.45">
      <c r="A4761" s="2" t="s">
        <v>59</v>
      </c>
      <c r="B4761" s="2" t="s">
        <v>60</v>
      </c>
      <c r="C4761" s="2" t="s">
        <v>45585</v>
      </c>
      <c r="D4761" s="2" t="s">
        <v>45586</v>
      </c>
      <c r="E4761" s="2" t="s">
        <v>45587</v>
      </c>
      <c r="G4761" s="3" t="s">
        <v>62</v>
      </c>
      <c r="I4761" s="3" t="s">
        <v>62</v>
      </c>
      <c r="J4761" s="3" t="s">
        <v>62</v>
      </c>
      <c r="K4761" s="3" t="s">
        <v>63</v>
      </c>
      <c r="L4761" s="2" t="s">
        <v>45588</v>
      </c>
      <c r="M4761" s="2" t="s">
        <v>45589</v>
      </c>
      <c r="N4761" s="3" t="s">
        <v>84</v>
      </c>
      <c r="P4761" s="3" t="s">
        <v>65</v>
      </c>
      <c r="R4761" s="3" t="s">
        <v>66</v>
      </c>
      <c r="S4761" s="4">
        <v>14</v>
      </c>
      <c r="T4761" s="4">
        <v>14</v>
      </c>
      <c r="U4761" s="5" t="s">
        <v>34256</v>
      </c>
      <c r="V4761" s="5" t="s">
        <v>34256</v>
      </c>
      <c r="W4761" s="5" t="s">
        <v>67</v>
      </c>
      <c r="X4761" s="5" t="s">
        <v>67</v>
      </c>
      <c r="Y4761" s="4">
        <v>354</v>
      </c>
      <c r="Z4761" s="4">
        <v>29</v>
      </c>
      <c r="AA4761" s="4">
        <v>46</v>
      </c>
      <c r="AB4761" s="4">
        <v>1</v>
      </c>
      <c r="AC4761" s="4">
        <v>9</v>
      </c>
      <c r="AD4761" s="4">
        <v>120</v>
      </c>
      <c r="AE4761" s="4">
        <v>133</v>
      </c>
      <c r="AF4761" s="4">
        <v>0</v>
      </c>
      <c r="AG4761" s="4">
        <v>4</v>
      </c>
      <c r="AH4761" s="4">
        <v>105</v>
      </c>
      <c r="AI4761" s="4">
        <v>109</v>
      </c>
      <c r="AJ4761" s="4">
        <v>18</v>
      </c>
      <c r="AK4761" s="4">
        <v>25</v>
      </c>
      <c r="AL4761" s="4">
        <v>54</v>
      </c>
      <c r="AM4761" s="4">
        <v>56</v>
      </c>
      <c r="AN4761" s="4">
        <v>0</v>
      </c>
      <c r="AO4761" s="4">
        <v>0</v>
      </c>
      <c r="AP4761" s="4">
        <v>25</v>
      </c>
      <c r="AQ4761" s="4">
        <v>35</v>
      </c>
      <c r="AR4761" s="3" t="s">
        <v>62</v>
      </c>
      <c r="AS4761" s="3" t="s">
        <v>62</v>
      </c>
      <c r="AT4761" s="3" t="s">
        <v>62</v>
      </c>
      <c r="AV4761" s="6" t="str">
        <f>HYPERLINK("http://mcgill.on.worldcat.org/oclc/24907586","Catalog Record")</f>
        <v>Catalog Record</v>
      </c>
      <c r="AW4761" s="6" t="str">
        <f>HYPERLINK("http://www.worldcat.org/oclc/24907586","WorldCat Record")</f>
        <v>WorldCat Record</v>
      </c>
      <c r="AX4761" s="3" t="s">
        <v>45590</v>
      </c>
      <c r="AY4761" s="3" t="s">
        <v>45591</v>
      </c>
      <c r="AZ4761" s="3" t="s">
        <v>45592</v>
      </c>
      <c r="BA4761" s="3" t="s">
        <v>45592</v>
      </c>
      <c r="BB4761" s="3" t="s">
        <v>45593</v>
      </c>
      <c r="BC4761" s="3" t="s">
        <v>142</v>
      </c>
      <c r="BD4761" s="3" t="s">
        <v>68</v>
      </c>
      <c r="BE4761" s="3" t="s">
        <v>45594</v>
      </c>
      <c r="BF4761" s="3" t="s">
        <v>45593</v>
      </c>
      <c r="BG4761" s="3" t="s">
        <v>45595</v>
      </c>
    </row>
    <row r="4762" spans="1:59" ht="57" x14ac:dyDescent="0.45">
      <c r="A4762" s="2" t="s">
        <v>59</v>
      </c>
      <c r="B4762" s="2" t="s">
        <v>60</v>
      </c>
      <c r="C4762" s="2" t="s">
        <v>45596</v>
      </c>
      <c r="D4762" s="2" t="s">
        <v>45597</v>
      </c>
      <c r="E4762" s="2" t="s">
        <v>45598</v>
      </c>
      <c r="G4762" s="3" t="s">
        <v>62</v>
      </c>
      <c r="I4762" s="3" t="s">
        <v>62</v>
      </c>
      <c r="J4762" s="3" t="s">
        <v>62</v>
      </c>
      <c r="K4762" s="3" t="s">
        <v>63</v>
      </c>
      <c r="M4762" s="2" t="s">
        <v>45599</v>
      </c>
      <c r="N4762" s="3" t="s">
        <v>167</v>
      </c>
      <c r="P4762" s="3" t="s">
        <v>65</v>
      </c>
      <c r="Q4762" s="2" t="s">
        <v>45600</v>
      </c>
      <c r="R4762" s="3" t="s">
        <v>66</v>
      </c>
      <c r="S4762" s="4">
        <v>5</v>
      </c>
      <c r="T4762" s="4">
        <v>5</v>
      </c>
      <c r="U4762" s="5" t="s">
        <v>45601</v>
      </c>
      <c r="V4762" s="5" t="s">
        <v>45601</v>
      </c>
      <c r="W4762" s="5" t="s">
        <v>67</v>
      </c>
      <c r="X4762" s="5" t="s">
        <v>67</v>
      </c>
      <c r="Y4762" s="4">
        <v>109</v>
      </c>
      <c r="Z4762" s="4">
        <v>11</v>
      </c>
      <c r="AA4762" s="4">
        <v>11</v>
      </c>
      <c r="AB4762" s="4">
        <v>2</v>
      </c>
      <c r="AC4762" s="4">
        <v>2</v>
      </c>
      <c r="AD4762" s="4">
        <v>50</v>
      </c>
      <c r="AE4762" s="4">
        <v>50</v>
      </c>
      <c r="AF4762" s="4">
        <v>1</v>
      </c>
      <c r="AG4762" s="4">
        <v>1</v>
      </c>
      <c r="AH4762" s="4">
        <v>45</v>
      </c>
      <c r="AI4762" s="4">
        <v>45</v>
      </c>
      <c r="AJ4762" s="4">
        <v>9</v>
      </c>
      <c r="AK4762" s="4">
        <v>9</v>
      </c>
      <c r="AL4762" s="4">
        <v>29</v>
      </c>
      <c r="AM4762" s="4">
        <v>29</v>
      </c>
      <c r="AN4762" s="4">
        <v>0</v>
      </c>
      <c r="AO4762" s="4">
        <v>0</v>
      </c>
      <c r="AP4762" s="4">
        <v>9</v>
      </c>
      <c r="AQ4762" s="4">
        <v>9</v>
      </c>
      <c r="AR4762" s="3" t="s">
        <v>62</v>
      </c>
      <c r="AS4762" s="3" t="s">
        <v>62</v>
      </c>
      <c r="AT4762" s="3" t="s">
        <v>61</v>
      </c>
      <c r="AU4762" s="6" t="str">
        <f>HYPERLINK("http://catalog.hathitrust.org/Record/004060920","HathiTrust Record")</f>
        <v>HathiTrust Record</v>
      </c>
      <c r="AV4762" s="6" t="str">
        <f>HYPERLINK("http://mcgill.on.worldcat.org/oclc/42316235","Catalog Record")</f>
        <v>Catalog Record</v>
      </c>
      <c r="AW4762" s="6" t="str">
        <f>HYPERLINK("http://www.worldcat.org/oclc/42316235","WorldCat Record")</f>
        <v>WorldCat Record</v>
      </c>
      <c r="AX4762" s="3" t="s">
        <v>45602</v>
      </c>
      <c r="AY4762" s="3" t="s">
        <v>45603</v>
      </c>
      <c r="AZ4762" s="3" t="s">
        <v>45604</v>
      </c>
      <c r="BA4762" s="3" t="s">
        <v>45604</v>
      </c>
      <c r="BB4762" s="3" t="s">
        <v>45605</v>
      </c>
      <c r="BC4762" s="3" t="s">
        <v>142</v>
      </c>
      <c r="BD4762" s="3" t="s">
        <v>68</v>
      </c>
      <c r="BE4762" s="3" t="s">
        <v>45606</v>
      </c>
      <c r="BF4762" s="3" t="s">
        <v>45605</v>
      </c>
      <c r="BG4762" s="3" t="s">
        <v>45607</v>
      </c>
    </row>
    <row r="4763" spans="1:59" ht="57" x14ac:dyDescent="0.45">
      <c r="A4763" s="2" t="s">
        <v>59</v>
      </c>
      <c r="B4763" s="2" t="s">
        <v>60</v>
      </c>
      <c r="C4763" s="2" t="s">
        <v>45608</v>
      </c>
      <c r="D4763" s="2" t="s">
        <v>45609</v>
      </c>
      <c r="E4763" s="2" t="s">
        <v>45610</v>
      </c>
      <c r="G4763" s="3" t="s">
        <v>62</v>
      </c>
      <c r="I4763" s="3" t="s">
        <v>62</v>
      </c>
      <c r="J4763" s="3" t="s">
        <v>62</v>
      </c>
      <c r="K4763" s="3" t="s">
        <v>63</v>
      </c>
      <c r="L4763" s="2" t="s">
        <v>45611</v>
      </c>
      <c r="M4763" s="2" t="s">
        <v>14626</v>
      </c>
      <c r="N4763" s="3" t="s">
        <v>1604</v>
      </c>
      <c r="P4763" s="3" t="s">
        <v>65</v>
      </c>
      <c r="R4763" s="3" t="s">
        <v>66</v>
      </c>
      <c r="S4763" s="4">
        <v>7</v>
      </c>
      <c r="T4763" s="4">
        <v>7</v>
      </c>
      <c r="U4763" s="5" t="s">
        <v>36101</v>
      </c>
      <c r="V4763" s="5" t="s">
        <v>36101</v>
      </c>
      <c r="W4763" s="5" t="s">
        <v>67</v>
      </c>
      <c r="X4763" s="5" t="s">
        <v>67</v>
      </c>
      <c r="Y4763" s="4">
        <v>329</v>
      </c>
      <c r="Z4763" s="4">
        <v>28</v>
      </c>
      <c r="AA4763" s="4">
        <v>31</v>
      </c>
      <c r="AB4763" s="4">
        <v>3</v>
      </c>
      <c r="AC4763" s="4">
        <v>6</v>
      </c>
      <c r="AD4763" s="4">
        <v>112</v>
      </c>
      <c r="AE4763" s="4">
        <v>114</v>
      </c>
      <c r="AF4763" s="4">
        <v>2</v>
      </c>
      <c r="AG4763" s="4">
        <v>4</v>
      </c>
      <c r="AH4763" s="4">
        <v>98</v>
      </c>
      <c r="AI4763" s="4">
        <v>98</v>
      </c>
      <c r="AJ4763" s="4">
        <v>16</v>
      </c>
      <c r="AK4763" s="4">
        <v>18</v>
      </c>
      <c r="AL4763" s="4">
        <v>54</v>
      </c>
      <c r="AM4763" s="4">
        <v>54</v>
      </c>
      <c r="AN4763" s="4">
        <v>0</v>
      </c>
      <c r="AO4763" s="4">
        <v>0</v>
      </c>
      <c r="AP4763" s="4">
        <v>22</v>
      </c>
      <c r="AQ4763" s="4">
        <v>23</v>
      </c>
      <c r="AR4763" s="3" t="s">
        <v>62</v>
      </c>
      <c r="AS4763" s="3" t="s">
        <v>62</v>
      </c>
      <c r="AT4763" s="3" t="s">
        <v>62</v>
      </c>
      <c r="AV4763" s="6" t="str">
        <f>HYPERLINK("http://mcgill.on.worldcat.org/oclc/29224870","Catalog Record")</f>
        <v>Catalog Record</v>
      </c>
      <c r="AW4763" s="6" t="str">
        <f>HYPERLINK("http://www.worldcat.org/oclc/29224870","WorldCat Record")</f>
        <v>WorldCat Record</v>
      </c>
      <c r="AX4763" s="3" t="s">
        <v>45612</v>
      </c>
      <c r="AY4763" s="3" t="s">
        <v>45613</v>
      </c>
      <c r="AZ4763" s="3" t="s">
        <v>45614</v>
      </c>
      <c r="BA4763" s="3" t="s">
        <v>45614</v>
      </c>
      <c r="BB4763" s="3" t="s">
        <v>45615</v>
      </c>
      <c r="BC4763" s="3" t="s">
        <v>142</v>
      </c>
      <c r="BD4763" s="3" t="s">
        <v>68</v>
      </c>
      <c r="BE4763" s="3" t="s">
        <v>45616</v>
      </c>
      <c r="BF4763" s="3" t="s">
        <v>45615</v>
      </c>
      <c r="BG4763" s="3" t="s">
        <v>45617</v>
      </c>
    </row>
    <row r="4764" spans="1:59" ht="57" x14ac:dyDescent="0.45">
      <c r="A4764" s="2" t="s">
        <v>59</v>
      </c>
      <c r="B4764" s="2" t="s">
        <v>60</v>
      </c>
      <c r="C4764" s="2" t="s">
        <v>45618</v>
      </c>
      <c r="D4764" s="2" t="s">
        <v>45619</v>
      </c>
      <c r="E4764" s="2" t="s">
        <v>45620</v>
      </c>
      <c r="G4764" s="3" t="s">
        <v>62</v>
      </c>
      <c r="I4764" s="3" t="s">
        <v>62</v>
      </c>
      <c r="J4764" s="3" t="s">
        <v>62</v>
      </c>
      <c r="K4764" s="3" t="s">
        <v>63</v>
      </c>
      <c r="L4764" s="2" t="s">
        <v>45621</v>
      </c>
      <c r="M4764" s="2" t="s">
        <v>45622</v>
      </c>
      <c r="N4764" s="3" t="s">
        <v>568</v>
      </c>
      <c r="O4764" s="2" t="s">
        <v>10948</v>
      </c>
      <c r="P4764" s="3" t="s">
        <v>110</v>
      </c>
      <c r="Q4764" s="2" t="s">
        <v>45623</v>
      </c>
      <c r="R4764" s="3" t="s">
        <v>66</v>
      </c>
      <c r="S4764" s="4">
        <v>5</v>
      </c>
      <c r="T4764" s="4">
        <v>5</v>
      </c>
      <c r="U4764" s="5" t="s">
        <v>45624</v>
      </c>
      <c r="V4764" s="5" t="s">
        <v>45624</v>
      </c>
      <c r="W4764" s="5" t="s">
        <v>67</v>
      </c>
      <c r="X4764" s="5" t="s">
        <v>67</v>
      </c>
      <c r="Y4764" s="4">
        <v>102</v>
      </c>
      <c r="Z4764" s="4">
        <v>9</v>
      </c>
      <c r="AA4764" s="4">
        <v>29</v>
      </c>
      <c r="AB4764" s="4">
        <v>1</v>
      </c>
      <c r="AC4764" s="4">
        <v>12</v>
      </c>
      <c r="AD4764" s="4">
        <v>44</v>
      </c>
      <c r="AE4764" s="4">
        <v>60</v>
      </c>
      <c r="AF4764" s="4">
        <v>0</v>
      </c>
      <c r="AG4764" s="4">
        <v>5</v>
      </c>
      <c r="AH4764" s="4">
        <v>40</v>
      </c>
      <c r="AI4764" s="4">
        <v>47</v>
      </c>
      <c r="AJ4764" s="4">
        <v>7</v>
      </c>
      <c r="AK4764" s="4">
        <v>15</v>
      </c>
      <c r="AL4764" s="4">
        <v>29</v>
      </c>
      <c r="AM4764" s="4">
        <v>32</v>
      </c>
      <c r="AN4764" s="4">
        <v>5</v>
      </c>
      <c r="AO4764" s="4">
        <v>7</v>
      </c>
      <c r="AP4764" s="4">
        <v>7</v>
      </c>
      <c r="AQ4764" s="4">
        <v>19</v>
      </c>
      <c r="AR4764" s="3" t="s">
        <v>62</v>
      </c>
      <c r="AS4764" s="3" t="s">
        <v>62</v>
      </c>
      <c r="AT4764" s="3" t="s">
        <v>61</v>
      </c>
      <c r="AU4764" s="6" t="str">
        <f>HYPERLINK("http://catalog.hathitrust.org/Record/000830584","HathiTrust Record")</f>
        <v>HathiTrust Record</v>
      </c>
      <c r="AV4764" s="6" t="str">
        <f>HYPERLINK("http://mcgill.on.worldcat.org/oclc/22661415","Catalog Record")</f>
        <v>Catalog Record</v>
      </c>
      <c r="AW4764" s="6" t="str">
        <f>HYPERLINK("http://www.worldcat.org/oclc/22661415","WorldCat Record")</f>
        <v>WorldCat Record</v>
      </c>
      <c r="AX4764" s="3" t="s">
        <v>45625</v>
      </c>
      <c r="AY4764" s="3" t="s">
        <v>45626</v>
      </c>
      <c r="AZ4764" s="3" t="s">
        <v>45627</v>
      </c>
      <c r="BA4764" s="3" t="s">
        <v>45627</v>
      </c>
      <c r="BB4764" s="3" t="s">
        <v>45628</v>
      </c>
      <c r="BC4764" s="3" t="s">
        <v>142</v>
      </c>
      <c r="BD4764" s="3" t="s">
        <v>68</v>
      </c>
      <c r="BE4764" s="3" t="s">
        <v>45629</v>
      </c>
      <c r="BF4764" s="3" t="s">
        <v>45628</v>
      </c>
      <c r="BG4764" s="3" t="s">
        <v>45630</v>
      </c>
    </row>
    <row r="4765" spans="1:59" ht="57" x14ac:dyDescent="0.45">
      <c r="A4765" s="2" t="s">
        <v>59</v>
      </c>
      <c r="B4765" s="2" t="s">
        <v>60</v>
      </c>
      <c r="C4765" s="2" t="s">
        <v>45631</v>
      </c>
      <c r="D4765" s="2" t="s">
        <v>45632</v>
      </c>
      <c r="E4765" s="2" t="s">
        <v>45633</v>
      </c>
      <c r="G4765" s="3" t="s">
        <v>62</v>
      </c>
      <c r="I4765" s="3" t="s">
        <v>62</v>
      </c>
      <c r="J4765" s="3" t="s">
        <v>61</v>
      </c>
      <c r="K4765" s="3" t="s">
        <v>63</v>
      </c>
      <c r="L4765" s="2" t="s">
        <v>45634</v>
      </c>
      <c r="M4765" s="2" t="s">
        <v>45635</v>
      </c>
      <c r="N4765" s="3" t="s">
        <v>918</v>
      </c>
      <c r="O4765" s="2" t="s">
        <v>933</v>
      </c>
      <c r="P4765" s="3" t="s">
        <v>65</v>
      </c>
      <c r="Q4765" s="2" t="s">
        <v>45636</v>
      </c>
      <c r="R4765" s="3" t="s">
        <v>66</v>
      </c>
      <c r="S4765" s="4">
        <v>17</v>
      </c>
      <c r="T4765" s="4">
        <v>17</v>
      </c>
      <c r="U4765" s="5" t="s">
        <v>45637</v>
      </c>
      <c r="V4765" s="5" t="s">
        <v>45637</v>
      </c>
      <c r="W4765" s="5" t="s">
        <v>67</v>
      </c>
      <c r="X4765" s="5" t="s">
        <v>67</v>
      </c>
      <c r="Y4765" s="4">
        <v>246</v>
      </c>
      <c r="Z4765" s="4">
        <v>18</v>
      </c>
      <c r="AA4765" s="4">
        <v>99</v>
      </c>
      <c r="AB4765" s="4">
        <v>1</v>
      </c>
      <c r="AC4765" s="4">
        <v>20</v>
      </c>
      <c r="AD4765" s="4">
        <v>77</v>
      </c>
      <c r="AE4765" s="4">
        <v>169</v>
      </c>
      <c r="AF4765" s="4">
        <v>0</v>
      </c>
      <c r="AG4765" s="4">
        <v>9</v>
      </c>
      <c r="AH4765" s="4">
        <v>67</v>
      </c>
      <c r="AI4765" s="4">
        <v>114</v>
      </c>
      <c r="AJ4765" s="4">
        <v>12</v>
      </c>
      <c r="AK4765" s="4">
        <v>29</v>
      </c>
      <c r="AL4765" s="4">
        <v>37</v>
      </c>
      <c r="AM4765" s="4">
        <v>61</v>
      </c>
      <c r="AN4765" s="4">
        <v>0</v>
      </c>
      <c r="AO4765" s="4">
        <v>5</v>
      </c>
      <c r="AP4765" s="4">
        <v>16</v>
      </c>
      <c r="AQ4765" s="4">
        <v>61</v>
      </c>
      <c r="AR4765" s="3" t="s">
        <v>62</v>
      </c>
      <c r="AS4765" s="3" t="s">
        <v>62</v>
      </c>
      <c r="AT4765" s="3" t="s">
        <v>62</v>
      </c>
      <c r="AV4765" s="6" t="str">
        <f>HYPERLINK("http://mcgill.on.worldcat.org/oclc/52196789","Catalog Record")</f>
        <v>Catalog Record</v>
      </c>
      <c r="AW4765" s="6" t="str">
        <f>HYPERLINK("http://www.worldcat.org/oclc/52196789","WorldCat Record")</f>
        <v>WorldCat Record</v>
      </c>
      <c r="AX4765" s="3" t="s">
        <v>45638</v>
      </c>
      <c r="AY4765" s="3" t="s">
        <v>45639</v>
      </c>
      <c r="AZ4765" s="3" t="s">
        <v>45640</v>
      </c>
      <c r="BA4765" s="3" t="s">
        <v>45640</v>
      </c>
      <c r="BB4765" s="3" t="s">
        <v>45641</v>
      </c>
      <c r="BC4765" s="3" t="s">
        <v>142</v>
      </c>
      <c r="BD4765" s="3" t="s">
        <v>68</v>
      </c>
      <c r="BE4765" s="3" t="s">
        <v>45642</v>
      </c>
      <c r="BF4765" s="3" t="s">
        <v>45641</v>
      </c>
      <c r="BG4765" s="3" t="s">
        <v>45643</v>
      </c>
    </row>
    <row r="4766" spans="1:59" ht="57" x14ac:dyDescent="0.45">
      <c r="A4766" s="2" t="s">
        <v>59</v>
      </c>
      <c r="B4766" s="2" t="s">
        <v>60</v>
      </c>
      <c r="C4766" s="2" t="s">
        <v>45644</v>
      </c>
      <c r="D4766" s="2" t="s">
        <v>45645</v>
      </c>
      <c r="E4766" s="2" t="s">
        <v>45646</v>
      </c>
      <c r="G4766" s="3" t="s">
        <v>62</v>
      </c>
      <c r="I4766" s="3" t="s">
        <v>62</v>
      </c>
      <c r="J4766" s="3" t="s">
        <v>62</v>
      </c>
      <c r="K4766" s="3" t="s">
        <v>63</v>
      </c>
      <c r="L4766" s="2" t="s">
        <v>45647</v>
      </c>
      <c r="M4766" s="2" t="s">
        <v>45648</v>
      </c>
      <c r="N4766" s="3" t="s">
        <v>3160</v>
      </c>
      <c r="P4766" s="3" t="s">
        <v>65</v>
      </c>
      <c r="Q4766" s="2" t="s">
        <v>45649</v>
      </c>
      <c r="R4766" s="3" t="s">
        <v>66</v>
      </c>
      <c r="S4766" s="4">
        <v>6</v>
      </c>
      <c r="T4766" s="4">
        <v>6</v>
      </c>
      <c r="U4766" s="5" t="s">
        <v>16219</v>
      </c>
      <c r="V4766" s="5" t="s">
        <v>16219</v>
      </c>
      <c r="W4766" s="5" t="s">
        <v>67</v>
      </c>
      <c r="X4766" s="5" t="s">
        <v>67</v>
      </c>
      <c r="Y4766" s="4">
        <v>338</v>
      </c>
      <c r="Z4766" s="4">
        <v>23</v>
      </c>
      <c r="AA4766" s="4">
        <v>85</v>
      </c>
      <c r="AB4766" s="4">
        <v>2</v>
      </c>
      <c r="AC4766" s="4">
        <v>14</v>
      </c>
      <c r="AD4766" s="4">
        <v>101</v>
      </c>
      <c r="AE4766" s="4">
        <v>136</v>
      </c>
      <c r="AF4766" s="4">
        <v>1</v>
      </c>
      <c r="AG4766" s="4">
        <v>8</v>
      </c>
      <c r="AH4766" s="4">
        <v>90</v>
      </c>
      <c r="AI4766" s="4">
        <v>100</v>
      </c>
      <c r="AJ4766" s="4">
        <v>20</v>
      </c>
      <c r="AK4766" s="4">
        <v>26</v>
      </c>
      <c r="AL4766" s="4">
        <v>51</v>
      </c>
      <c r="AM4766" s="4">
        <v>57</v>
      </c>
      <c r="AN4766" s="4">
        <v>0</v>
      </c>
      <c r="AO4766" s="4">
        <v>0</v>
      </c>
      <c r="AP4766" s="4">
        <v>20</v>
      </c>
      <c r="AQ4766" s="4">
        <v>45</v>
      </c>
      <c r="AR4766" s="3" t="s">
        <v>62</v>
      </c>
      <c r="AS4766" s="3" t="s">
        <v>62</v>
      </c>
      <c r="AT4766" s="3" t="s">
        <v>61</v>
      </c>
      <c r="AU4766" s="6" t="str">
        <f>HYPERLINK("http://catalog.hathitrust.org/Record/000767020","HathiTrust Record")</f>
        <v>HathiTrust Record</v>
      </c>
      <c r="AV4766" s="6" t="str">
        <f>HYPERLINK("http://mcgill.on.worldcat.org/oclc/7655441","Catalog Record")</f>
        <v>Catalog Record</v>
      </c>
      <c r="AW4766" s="6" t="str">
        <f>HYPERLINK("http://www.worldcat.org/oclc/7655441","WorldCat Record")</f>
        <v>WorldCat Record</v>
      </c>
      <c r="AX4766" s="3" t="s">
        <v>45650</v>
      </c>
      <c r="AY4766" s="3" t="s">
        <v>45651</v>
      </c>
      <c r="AZ4766" s="3" t="s">
        <v>45652</v>
      </c>
      <c r="BA4766" s="3" t="s">
        <v>45652</v>
      </c>
      <c r="BB4766" s="3" t="s">
        <v>45653</v>
      </c>
      <c r="BC4766" s="3" t="s">
        <v>142</v>
      </c>
      <c r="BD4766" s="3" t="s">
        <v>68</v>
      </c>
      <c r="BE4766" s="3" t="s">
        <v>45654</v>
      </c>
      <c r="BF4766" s="3" t="s">
        <v>45653</v>
      </c>
      <c r="BG4766" s="3" t="s">
        <v>45655</v>
      </c>
    </row>
    <row r="4767" spans="1:59" ht="57" x14ac:dyDescent="0.45">
      <c r="A4767" s="2" t="s">
        <v>59</v>
      </c>
      <c r="B4767" s="2" t="s">
        <v>60</v>
      </c>
      <c r="C4767" s="2" t="s">
        <v>45656</v>
      </c>
      <c r="D4767" s="2" t="s">
        <v>45657</v>
      </c>
      <c r="E4767" s="2" t="s">
        <v>45658</v>
      </c>
      <c r="G4767" s="3" t="s">
        <v>62</v>
      </c>
      <c r="I4767" s="3" t="s">
        <v>62</v>
      </c>
      <c r="J4767" s="3" t="s">
        <v>62</v>
      </c>
      <c r="K4767" s="3" t="s">
        <v>63</v>
      </c>
      <c r="M4767" s="2" t="s">
        <v>2739</v>
      </c>
      <c r="N4767" s="3" t="s">
        <v>149</v>
      </c>
      <c r="P4767" s="3" t="s">
        <v>65</v>
      </c>
      <c r="Q4767" s="2" t="s">
        <v>45659</v>
      </c>
      <c r="R4767" s="3" t="s">
        <v>66</v>
      </c>
      <c r="S4767" s="4">
        <v>0</v>
      </c>
      <c r="T4767" s="4">
        <v>0</v>
      </c>
      <c r="W4767" s="5" t="s">
        <v>67</v>
      </c>
      <c r="X4767" s="5" t="s">
        <v>67</v>
      </c>
      <c r="Y4767" s="4">
        <v>111</v>
      </c>
      <c r="Z4767" s="4">
        <v>11</v>
      </c>
      <c r="AA4767" s="4">
        <v>93</v>
      </c>
      <c r="AB4767" s="4">
        <v>2</v>
      </c>
      <c r="AC4767" s="4">
        <v>17</v>
      </c>
      <c r="AD4767" s="4">
        <v>50</v>
      </c>
      <c r="AE4767" s="4">
        <v>123</v>
      </c>
      <c r="AF4767" s="4">
        <v>1</v>
      </c>
      <c r="AG4767" s="4">
        <v>8</v>
      </c>
      <c r="AH4767" s="4">
        <v>46</v>
      </c>
      <c r="AI4767" s="4">
        <v>86</v>
      </c>
      <c r="AJ4767" s="4">
        <v>9</v>
      </c>
      <c r="AK4767" s="4">
        <v>24</v>
      </c>
      <c r="AL4767" s="4">
        <v>31</v>
      </c>
      <c r="AM4767" s="4">
        <v>47</v>
      </c>
      <c r="AN4767" s="4">
        <v>0</v>
      </c>
      <c r="AO4767" s="4">
        <v>0</v>
      </c>
      <c r="AP4767" s="4">
        <v>9</v>
      </c>
      <c r="AQ4767" s="4">
        <v>46</v>
      </c>
      <c r="AR4767" s="3" t="s">
        <v>62</v>
      </c>
      <c r="AS4767" s="3" t="s">
        <v>62</v>
      </c>
      <c r="AT4767" s="3" t="s">
        <v>62</v>
      </c>
      <c r="AV4767" s="6" t="str">
        <f>HYPERLINK("http://mcgill.on.worldcat.org/oclc/476841613","Catalog Record")</f>
        <v>Catalog Record</v>
      </c>
      <c r="AW4767" s="6" t="str">
        <f>HYPERLINK("http://www.worldcat.org/oclc/476841613","WorldCat Record")</f>
        <v>WorldCat Record</v>
      </c>
      <c r="AX4767" s="3" t="s">
        <v>45660</v>
      </c>
      <c r="AY4767" s="3" t="s">
        <v>45661</v>
      </c>
      <c r="AZ4767" s="3" t="s">
        <v>45662</v>
      </c>
      <c r="BA4767" s="3" t="s">
        <v>45662</v>
      </c>
      <c r="BB4767" s="3" t="s">
        <v>45663</v>
      </c>
      <c r="BC4767" s="3" t="s">
        <v>142</v>
      </c>
      <c r="BD4767" s="3" t="s">
        <v>68</v>
      </c>
      <c r="BE4767" s="3" t="s">
        <v>45664</v>
      </c>
      <c r="BF4767" s="3" t="s">
        <v>45663</v>
      </c>
      <c r="BG4767" s="3" t="s">
        <v>45665</v>
      </c>
    </row>
    <row r="4768" spans="1:59" ht="57" x14ac:dyDescent="0.45">
      <c r="A4768" s="2" t="s">
        <v>59</v>
      </c>
      <c r="B4768" s="2" t="s">
        <v>60</v>
      </c>
      <c r="C4768" s="2" t="s">
        <v>45666</v>
      </c>
      <c r="D4768" s="2" t="s">
        <v>45667</v>
      </c>
      <c r="E4768" s="2" t="s">
        <v>45668</v>
      </c>
      <c r="G4768" s="3" t="s">
        <v>62</v>
      </c>
      <c r="I4768" s="3" t="s">
        <v>62</v>
      </c>
      <c r="J4768" s="3" t="s">
        <v>62</v>
      </c>
      <c r="K4768" s="3" t="s">
        <v>63</v>
      </c>
      <c r="M4768" s="2" t="s">
        <v>21252</v>
      </c>
      <c r="N4768" s="3" t="s">
        <v>1155</v>
      </c>
      <c r="O4768" s="2" t="s">
        <v>168</v>
      </c>
      <c r="P4768" s="3" t="s">
        <v>65</v>
      </c>
      <c r="Q4768" s="2" t="s">
        <v>45669</v>
      </c>
      <c r="R4768" s="3" t="s">
        <v>66</v>
      </c>
      <c r="S4768" s="4">
        <v>0</v>
      </c>
      <c r="T4768" s="4">
        <v>0</v>
      </c>
      <c r="W4768" s="5" t="s">
        <v>67</v>
      </c>
      <c r="X4768" s="5" t="s">
        <v>67</v>
      </c>
      <c r="Y4768" s="4">
        <v>104</v>
      </c>
      <c r="Z4768" s="4">
        <v>8</v>
      </c>
      <c r="AA4768" s="4">
        <v>21</v>
      </c>
      <c r="AB4768" s="4">
        <v>1</v>
      </c>
      <c r="AC4768" s="4">
        <v>5</v>
      </c>
      <c r="AD4768" s="4">
        <v>47</v>
      </c>
      <c r="AE4768" s="4">
        <v>62</v>
      </c>
      <c r="AF4768" s="4">
        <v>0</v>
      </c>
      <c r="AG4768" s="4">
        <v>1</v>
      </c>
      <c r="AH4768" s="4">
        <v>43</v>
      </c>
      <c r="AI4768" s="4">
        <v>52</v>
      </c>
      <c r="AJ4768" s="4">
        <v>6</v>
      </c>
      <c r="AK4768" s="4">
        <v>11</v>
      </c>
      <c r="AL4768" s="4">
        <v>28</v>
      </c>
      <c r="AM4768" s="4">
        <v>31</v>
      </c>
      <c r="AN4768" s="4">
        <v>0</v>
      </c>
      <c r="AO4768" s="4">
        <v>0</v>
      </c>
      <c r="AP4768" s="4">
        <v>7</v>
      </c>
      <c r="AQ4768" s="4">
        <v>17</v>
      </c>
      <c r="AR4768" s="3" t="s">
        <v>62</v>
      </c>
      <c r="AS4768" s="3" t="s">
        <v>62</v>
      </c>
      <c r="AT4768" s="3" t="s">
        <v>62</v>
      </c>
      <c r="AV4768" s="6" t="str">
        <f>HYPERLINK("http://mcgill.on.worldcat.org/oclc/769989512","Catalog Record")</f>
        <v>Catalog Record</v>
      </c>
      <c r="AW4768" s="6" t="str">
        <f>HYPERLINK("http://www.worldcat.org/oclc/769989512","WorldCat Record")</f>
        <v>WorldCat Record</v>
      </c>
      <c r="AX4768" s="3" t="s">
        <v>45670</v>
      </c>
      <c r="AY4768" s="3" t="s">
        <v>45671</v>
      </c>
      <c r="AZ4768" s="3" t="s">
        <v>45672</v>
      </c>
      <c r="BA4768" s="3" t="s">
        <v>45672</v>
      </c>
      <c r="BB4768" s="3" t="s">
        <v>45673</v>
      </c>
      <c r="BC4768" s="3" t="s">
        <v>142</v>
      </c>
      <c r="BD4768" s="3" t="s">
        <v>68</v>
      </c>
      <c r="BE4768" s="3" t="s">
        <v>45674</v>
      </c>
      <c r="BF4768" s="3" t="s">
        <v>45673</v>
      </c>
      <c r="BG4768" s="3" t="s">
        <v>45675</v>
      </c>
    </row>
    <row r="4769" spans="1:59" ht="57" x14ac:dyDescent="0.45">
      <c r="A4769" s="2" t="s">
        <v>59</v>
      </c>
      <c r="B4769" s="2" t="s">
        <v>60</v>
      </c>
      <c r="C4769" s="2" t="s">
        <v>45676</v>
      </c>
      <c r="D4769" s="2" t="s">
        <v>45677</v>
      </c>
      <c r="E4769" s="2" t="s">
        <v>45678</v>
      </c>
      <c r="G4769" s="3" t="s">
        <v>62</v>
      </c>
      <c r="I4769" s="3" t="s">
        <v>62</v>
      </c>
      <c r="J4769" s="3" t="s">
        <v>62</v>
      </c>
      <c r="K4769" s="3" t="s">
        <v>63</v>
      </c>
      <c r="M4769" s="2" t="s">
        <v>21333</v>
      </c>
      <c r="N4769" s="3" t="s">
        <v>1059</v>
      </c>
      <c r="P4769" s="3" t="s">
        <v>65</v>
      </c>
      <c r="Q4769" s="2" t="s">
        <v>45679</v>
      </c>
      <c r="R4769" s="3" t="s">
        <v>66</v>
      </c>
      <c r="S4769" s="4">
        <v>1</v>
      </c>
      <c r="T4769" s="4">
        <v>1</v>
      </c>
      <c r="U4769" s="5" t="s">
        <v>4220</v>
      </c>
      <c r="V4769" s="5" t="s">
        <v>4220</v>
      </c>
      <c r="W4769" s="5" t="s">
        <v>67</v>
      </c>
      <c r="X4769" s="5" t="s">
        <v>67</v>
      </c>
      <c r="Y4769" s="4">
        <v>94</v>
      </c>
      <c r="Z4769" s="4">
        <v>10</v>
      </c>
      <c r="AA4769" s="4">
        <v>101</v>
      </c>
      <c r="AB4769" s="4">
        <v>1</v>
      </c>
      <c r="AC4769" s="4">
        <v>17</v>
      </c>
      <c r="AD4769" s="4">
        <v>51</v>
      </c>
      <c r="AE4769" s="4">
        <v>116</v>
      </c>
      <c r="AF4769" s="4">
        <v>0</v>
      </c>
      <c r="AG4769" s="4">
        <v>8</v>
      </c>
      <c r="AH4769" s="4">
        <v>49</v>
      </c>
      <c r="AI4769" s="4">
        <v>81</v>
      </c>
      <c r="AJ4769" s="4">
        <v>7</v>
      </c>
      <c r="AK4769" s="4">
        <v>21</v>
      </c>
      <c r="AL4769" s="4">
        <v>31</v>
      </c>
      <c r="AM4769" s="4">
        <v>42</v>
      </c>
      <c r="AN4769" s="4">
        <v>0</v>
      </c>
      <c r="AO4769" s="4">
        <v>0</v>
      </c>
      <c r="AP4769" s="4">
        <v>8</v>
      </c>
      <c r="AQ4769" s="4">
        <v>42</v>
      </c>
      <c r="AR4769" s="3" t="s">
        <v>62</v>
      </c>
      <c r="AS4769" s="3" t="s">
        <v>62</v>
      </c>
      <c r="AT4769" s="3" t="s">
        <v>62</v>
      </c>
      <c r="AV4769" s="6" t="str">
        <f>HYPERLINK("http://mcgill.on.worldcat.org/oclc/71582136","Catalog Record")</f>
        <v>Catalog Record</v>
      </c>
      <c r="AW4769" s="6" t="str">
        <f>HYPERLINK("http://www.worldcat.org/oclc/71582136","WorldCat Record")</f>
        <v>WorldCat Record</v>
      </c>
      <c r="AX4769" s="3" t="s">
        <v>45680</v>
      </c>
      <c r="AY4769" s="3" t="s">
        <v>45681</v>
      </c>
      <c r="AZ4769" s="3" t="s">
        <v>45682</v>
      </c>
      <c r="BA4769" s="3" t="s">
        <v>45682</v>
      </c>
      <c r="BB4769" s="3" t="s">
        <v>45683</v>
      </c>
      <c r="BC4769" s="3" t="s">
        <v>142</v>
      </c>
      <c r="BD4769" s="3" t="s">
        <v>68</v>
      </c>
      <c r="BE4769" s="3" t="s">
        <v>45684</v>
      </c>
      <c r="BF4769" s="3" t="s">
        <v>45683</v>
      </c>
      <c r="BG4769" s="3" t="s">
        <v>45685</v>
      </c>
    </row>
    <row r="4770" spans="1:59" ht="57" x14ac:dyDescent="0.45">
      <c r="A4770" s="2" t="s">
        <v>59</v>
      </c>
      <c r="B4770" s="2" t="s">
        <v>60</v>
      </c>
      <c r="C4770" s="2" t="s">
        <v>45686</v>
      </c>
      <c r="D4770" s="2" t="s">
        <v>45687</v>
      </c>
      <c r="E4770" s="2" t="s">
        <v>45688</v>
      </c>
      <c r="G4770" s="3" t="s">
        <v>62</v>
      </c>
      <c r="I4770" s="3" t="s">
        <v>62</v>
      </c>
      <c r="J4770" s="3" t="s">
        <v>62</v>
      </c>
      <c r="K4770" s="3" t="s">
        <v>63</v>
      </c>
      <c r="M4770" s="2" t="s">
        <v>4347</v>
      </c>
      <c r="N4770" s="3" t="s">
        <v>1465</v>
      </c>
      <c r="P4770" s="3" t="s">
        <v>65</v>
      </c>
      <c r="R4770" s="3" t="s">
        <v>66</v>
      </c>
      <c r="S4770" s="4">
        <v>1</v>
      </c>
      <c r="T4770" s="4">
        <v>1</v>
      </c>
      <c r="U4770" s="5" t="s">
        <v>12331</v>
      </c>
      <c r="V4770" s="5" t="s">
        <v>12331</v>
      </c>
      <c r="W4770" s="5" t="s">
        <v>67</v>
      </c>
      <c r="X4770" s="5" t="s">
        <v>67</v>
      </c>
      <c r="Y4770" s="4">
        <v>166</v>
      </c>
      <c r="Z4770" s="4">
        <v>19</v>
      </c>
      <c r="AA4770" s="4">
        <v>100</v>
      </c>
      <c r="AB4770" s="4">
        <v>3</v>
      </c>
      <c r="AC4770" s="4">
        <v>18</v>
      </c>
      <c r="AD4770" s="4">
        <v>65</v>
      </c>
      <c r="AE4770" s="4">
        <v>125</v>
      </c>
      <c r="AF4770" s="4">
        <v>1</v>
      </c>
      <c r="AG4770" s="4">
        <v>8</v>
      </c>
      <c r="AH4770" s="4">
        <v>59</v>
      </c>
      <c r="AI4770" s="4">
        <v>88</v>
      </c>
      <c r="AJ4770" s="4">
        <v>13</v>
      </c>
      <c r="AK4770" s="4">
        <v>26</v>
      </c>
      <c r="AL4770" s="4">
        <v>37</v>
      </c>
      <c r="AM4770" s="4">
        <v>50</v>
      </c>
      <c r="AN4770" s="4">
        <v>0</v>
      </c>
      <c r="AO4770" s="4">
        <v>0</v>
      </c>
      <c r="AP4770" s="4">
        <v>15</v>
      </c>
      <c r="AQ4770" s="4">
        <v>47</v>
      </c>
      <c r="AR4770" s="3" t="s">
        <v>62</v>
      </c>
      <c r="AS4770" s="3" t="s">
        <v>62</v>
      </c>
      <c r="AT4770" s="3" t="s">
        <v>62</v>
      </c>
      <c r="AV4770" s="6" t="str">
        <f>HYPERLINK("http://mcgill.on.worldcat.org/oclc/276648367","Catalog Record")</f>
        <v>Catalog Record</v>
      </c>
      <c r="AW4770" s="6" t="str">
        <f>HYPERLINK("http://www.worldcat.org/oclc/276648367","WorldCat Record")</f>
        <v>WorldCat Record</v>
      </c>
      <c r="AX4770" s="3" t="s">
        <v>45689</v>
      </c>
      <c r="AY4770" s="3" t="s">
        <v>45690</v>
      </c>
      <c r="AZ4770" s="3" t="s">
        <v>45691</v>
      </c>
      <c r="BA4770" s="3" t="s">
        <v>45691</v>
      </c>
      <c r="BB4770" s="3" t="s">
        <v>45692</v>
      </c>
      <c r="BC4770" s="3" t="s">
        <v>142</v>
      </c>
      <c r="BD4770" s="3" t="s">
        <v>68</v>
      </c>
      <c r="BE4770" s="3" t="s">
        <v>45693</v>
      </c>
      <c r="BF4770" s="3" t="s">
        <v>45692</v>
      </c>
      <c r="BG4770" s="3" t="s">
        <v>45694</v>
      </c>
    </row>
    <row r="4771" spans="1:59" ht="57" x14ac:dyDescent="0.45">
      <c r="A4771" s="2" t="s">
        <v>59</v>
      </c>
      <c r="B4771" s="2" t="s">
        <v>60</v>
      </c>
      <c r="C4771" s="2" t="s">
        <v>45695</v>
      </c>
      <c r="D4771" s="2" t="s">
        <v>45696</v>
      </c>
      <c r="E4771" s="2" t="s">
        <v>45697</v>
      </c>
      <c r="G4771" s="3" t="s">
        <v>62</v>
      </c>
      <c r="I4771" s="3" t="s">
        <v>62</v>
      </c>
      <c r="J4771" s="3" t="s">
        <v>62</v>
      </c>
      <c r="K4771" s="3" t="s">
        <v>63</v>
      </c>
      <c r="M4771" s="2" t="s">
        <v>29645</v>
      </c>
      <c r="N4771" s="3" t="s">
        <v>1688</v>
      </c>
      <c r="P4771" s="3" t="s">
        <v>65</v>
      </c>
      <c r="R4771" s="3" t="s">
        <v>66</v>
      </c>
      <c r="S4771" s="4">
        <v>2</v>
      </c>
      <c r="T4771" s="4">
        <v>2</v>
      </c>
      <c r="U4771" s="5" t="s">
        <v>40633</v>
      </c>
      <c r="V4771" s="5" t="s">
        <v>40633</v>
      </c>
      <c r="W4771" s="5" t="s">
        <v>67</v>
      </c>
      <c r="X4771" s="5" t="s">
        <v>67</v>
      </c>
      <c r="Y4771" s="4">
        <v>60</v>
      </c>
      <c r="Z4771" s="4">
        <v>9</v>
      </c>
      <c r="AA4771" s="4">
        <v>9</v>
      </c>
      <c r="AB4771" s="4">
        <v>1</v>
      </c>
      <c r="AC4771" s="4">
        <v>1</v>
      </c>
      <c r="AD4771" s="4">
        <v>26</v>
      </c>
      <c r="AE4771" s="4">
        <v>26</v>
      </c>
      <c r="AF4771" s="4">
        <v>0</v>
      </c>
      <c r="AG4771" s="4">
        <v>0</v>
      </c>
      <c r="AH4771" s="4">
        <v>23</v>
      </c>
      <c r="AI4771" s="4">
        <v>23</v>
      </c>
      <c r="AJ4771" s="4">
        <v>7</v>
      </c>
      <c r="AK4771" s="4">
        <v>7</v>
      </c>
      <c r="AL4771" s="4">
        <v>17</v>
      </c>
      <c r="AM4771" s="4">
        <v>17</v>
      </c>
      <c r="AN4771" s="4">
        <v>0</v>
      </c>
      <c r="AO4771" s="4">
        <v>0</v>
      </c>
      <c r="AP4771" s="4">
        <v>7</v>
      </c>
      <c r="AQ4771" s="4">
        <v>7</v>
      </c>
      <c r="AR4771" s="3" t="s">
        <v>62</v>
      </c>
      <c r="AS4771" s="3" t="s">
        <v>62</v>
      </c>
      <c r="AT4771" s="3" t="s">
        <v>62</v>
      </c>
      <c r="AV4771" s="6" t="str">
        <f>HYPERLINK("http://mcgill.on.worldcat.org/oclc/823014062","Catalog Record")</f>
        <v>Catalog Record</v>
      </c>
      <c r="AW4771" s="6" t="str">
        <f>HYPERLINK("http://www.worldcat.org/oclc/823014062","WorldCat Record")</f>
        <v>WorldCat Record</v>
      </c>
      <c r="AX4771" s="3" t="s">
        <v>45698</v>
      </c>
      <c r="AY4771" s="3" t="s">
        <v>45699</v>
      </c>
      <c r="AZ4771" s="3" t="s">
        <v>45700</v>
      </c>
      <c r="BA4771" s="3" t="s">
        <v>45700</v>
      </c>
      <c r="BB4771" s="3" t="s">
        <v>45701</v>
      </c>
      <c r="BC4771" s="3" t="s">
        <v>142</v>
      </c>
      <c r="BD4771" s="3" t="s">
        <v>68</v>
      </c>
      <c r="BE4771" s="3" t="s">
        <v>45702</v>
      </c>
      <c r="BF4771" s="3" t="s">
        <v>45701</v>
      </c>
      <c r="BG4771" s="3" t="s">
        <v>45703</v>
      </c>
    </row>
    <row r="4772" spans="1:59" ht="57" x14ac:dyDescent="0.45">
      <c r="A4772" s="2" t="s">
        <v>59</v>
      </c>
      <c r="B4772" s="2" t="s">
        <v>60</v>
      </c>
      <c r="C4772" s="2" t="s">
        <v>45704</v>
      </c>
      <c r="D4772" s="2" t="s">
        <v>45705</v>
      </c>
      <c r="E4772" s="2" t="s">
        <v>45706</v>
      </c>
      <c r="G4772" s="3" t="s">
        <v>62</v>
      </c>
      <c r="I4772" s="3" t="s">
        <v>62</v>
      </c>
      <c r="J4772" s="3" t="s">
        <v>62</v>
      </c>
      <c r="K4772" s="3" t="s">
        <v>63</v>
      </c>
      <c r="M4772" s="2" t="s">
        <v>45707</v>
      </c>
      <c r="N4772" s="3" t="s">
        <v>1239</v>
      </c>
      <c r="P4772" s="3" t="s">
        <v>65</v>
      </c>
      <c r="Q4772" s="2" t="s">
        <v>45708</v>
      </c>
      <c r="R4772" s="3" t="s">
        <v>66</v>
      </c>
      <c r="S4772" s="4">
        <v>13</v>
      </c>
      <c r="T4772" s="4">
        <v>13</v>
      </c>
      <c r="U4772" s="5" t="s">
        <v>37790</v>
      </c>
      <c r="V4772" s="5" t="s">
        <v>37790</v>
      </c>
      <c r="W4772" s="5" t="s">
        <v>67</v>
      </c>
      <c r="X4772" s="5" t="s">
        <v>67</v>
      </c>
      <c r="Y4772" s="4">
        <v>36</v>
      </c>
      <c r="Z4772" s="4">
        <v>2</v>
      </c>
      <c r="AA4772" s="4">
        <v>2</v>
      </c>
      <c r="AB4772" s="4">
        <v>1</v>
      </c>
      <c r="AC4772" s="4">
        <v>1</v>
      </c>
      <c r="AD4772" s="4">
        <v>23</v>
      </c>
      <c r="AE4772" s="4">
        <v>25</v>
      </c>
      <c r="AF4772" s="4">
        <v>0</v>
      </c>
      <c r="AG4772" s="4">
        <v>0</v>
      </c>
      <c r="AH4772" s="4">
        <v>22</v>
      </c>
      <c r="AI4772" s="4">
        <v>23</v>
      </c>
      <c r="AJ4772" s="4">
        <v>1</v>
      </c>
      <c r="AK4772" s="4">
        <v>1</v>
      </c>
      <c r="AL4772" s="4">
        <v>16</v>
      </c>
      <c r="AM4772" s="4">
        <v>18</v>
      </c>
      <c r="AN4772" s="4">
        <v>0</v>
      </c>
      <c r="AO4772" s="4">
        <v>0</v>
      </c>
      <c r="AP4772" s="4">
        <v>1</v>
      </c>
      <c r="AQ4772" s="4">
        <v>1</v>
      </c>
      <c r="AR4772" s="3" t="s">
        <v>62</v>
      </c>
      <c r="AS4772" s="3" t="s">
        <v>62</v>
      </c>
      <c r="AT4772" s="3" t="s">
        <v>62</v>
      </c>
      <c r="AV4772" s="6" t="str">
        <f>HYPERLINK("http://mcgill.on.worldcat.org/oclc/22437354","Catalog Record")</f>
        <v>Catalog Record</v>
      </c>
      <c r="AW4772" s="6" t="str">
        <f>HYPERLINK("http://www.worldcat.org/oclc/22437354","WorldCat Record")</f>
        <v>WorldCat Record</v>
      </c>
      <c r="AX4772" s="3" t="s">
        <v>45709</v>
      </c>
      <c r="AY4772" s="3" t="s">
        <v>45710</v>
      </c>
      <c r="AZ4772" s="3" t="s">
        <v>45711</v>
      </c>
      <c r="BA4772" s="3" t="s">
        <v>45711</v>
      </c>
      <c r="BB4772" s="3" t="s">
        <v>45712</v>
      </c>
      <c r="BC4772" s="3" t="s">
        <v>142</v>
      </c>
      <c r="BD4772" s="3" t="s">
        <v>68</v>
      </c>
      <c r="BF4772" s="3" t="s">
        <v>45712</v>
      </c>
      <c r="BG4772" s="3" t="s">
        <v>45713</v>
      </c>
    </row>
    <row r="4773" spans="1:59" ht="57" x14ac:dyDescent="0.45">
      <c r="A4773" s="2" t="s">
        <v>59</v>
      </c>
      <c r="B4773" s="2" t="s">
        <v>60</v>
      </c>
      <c r="C4773" s="2" t="s">
        <v>45714</v>
      </c>
      <c r="D4773" s="2" t="s">
        <v>45715</v>
      </c>
      <c r="E4773" s="2" t="s">
        <v>45716</v>
      </c>
      <c r="G4773" s="3" t="s">
        <v>62</v>
      </c>
      <c r="I4773" s="3" t="s">
        <v>62</v>
      </c>
      <c r="J4773" s="3" t="s">
        <v>61</v>
      </c>
      <c r="K4773" s="3" t="s">
        <v>63</v>
      </c>
      <c r="L4773" s="2" t="s">
        <v>3483</v>
      </c>
      <c r="M4773" s="2" t="s">
        <v>45717</v>
      </c>
      <c r="N4773" s="3" t="s">
        <v>529</v>
      </c>
      <c r="P4773" s="3" t="s">
        <v>65</v>
      </c>
      <c r="R4773" s="3" t="s">
        <v>66</v>
      </c>
      <c r="S4773" s="4">
        <v>33</v>
      </c>
      <c r="T4773" s="4">
        <v>33</v>
      </c>
      <c r="U4773" s="5" t="s">
        <v>1110</v>
      </c>
      <c r="V4773" s="5" t="s">
        <v>1110</v>
      </c>
      <c r="W4773" s="5" t="s">
        <v>67</v>
      </c>
      <c r="X4773" s="5" t="s">
        <v>67</v>
      </c>
      <c r="Y4773" s="4">
        <v>518</v>
      </c>
      <c r="Z4773" s="4">
        <v>32</v>
      </c>
      <c r="AA4773" s="4">
        <v>59</v>
      </c>
      <c r="AB4773" s="4">
        <v>2</v>
      </c>
      <c r="AC4773" s="4">
        <v>15</v>
      </c>
      <c r="AD4773" s="4">
        <v>106</v>
      </c>
      <c r="AE4773" s="4">
        <v>135</v>
      </c>
      <c r="AF4773" s="4">
        <v>1</v>
      </c>
      <c r="AG4773" s="4">
        <v>6</v>
      </c>
      <c r="AH4773" s="4">
        <v>91</v>
      </c>
      <c r="AI4773" s="4">
        <v>106</v>
      </c>
      <c r="AJ4773" s="4">
        <v>19</v>
      </c>
      <c r="AK4773" s="4">
        <v>27</v>
      </c>
      <c r="AL4773" s="4">
        <v>48</v>
      </c>
      <c r="AM4773" s="4">
        <v>55</v>
      </c>
      <c r="AN4773" s="4">
        <v>0</v>
      </c>
      <c r="AO4773" s="4">
        <v>0</v>
      </c>
      <c r="AP4773" s="4">
        <v>25</v>
      </c>
      <c r="AQ4773" s="4">
        <v>40</v>
      </c>
      <c r="AR4773" s="3" t="s">
        <v>62</v>
      </c>
      <c r="AS4773" s="3" t="s">
        <v>62</v>
      </c>
      <c r="AT4773" s="3" t="s">
        <v>62</v>
      </c>
      <c r="AV4773" s="6" t="str">
        <f>HYPERLINK("http://mcgill.on.worldcat.org/oclc/15488401","Catalog Record")</f>
        <v>Catalog Record</v>
      </c>
      <c r="AW4773" s="6" t="str">
        <f>HYPERLINK("http://www.worldcat.org/oclc/15488401","WorldCat Record")</f>
        <v>WorldCat Record</v>
      </c>
      <c r="AX4773" s="3" t="s">
        <v>45718</v>
      </c>
      <c r="AY4773" s="3" t="s">
        <v>45719</v>
      </c>
      <c r="AZ4773" s="3" t="s">
        <v>45720</v>
      </c>
      <c r="BA4773" s="3" t="s">
        <v>45720</v>
      </c>
      <c r="BB4773" s="3" t="s">
        <v>45721</v>
      </c>
      <c r="BC4773" s="3" t="s">
        <v>142</v>
      </c>
      <c r="BD4773" s="3" t="s">
        <v>68</v>
      </c>
      <c r="BE4773" s="3" t="s">
        <v>45722</v>
      </c>
      <c r="BF4773" s="3" t="s">
        <v>45721</v>
      </c>
      <c r="BG4773" s="3" t="s">
        <v>45723</v>
      </c>
    </row>
    <row r="4774" spans="1:59" ht="114" x14ac:dyDescent="0.45">
      <c r="A4774" s="2" t="s">
        <v>59</v>
      </c>
      <c r="B4774" s="2" t="s">
        <v>60</v>
      </c>
      <c r="C4774" s="2" t="s">
        <v>45724</v>
      </c>
      <c r="D4774" s="2" t="s">
        <v>45725</v>
      </c>
      <c r="E4774" s="2" t="s">
        <v>45726</v>
      </c>
      <c r="G4774" s="3" t="s">
        <v>62</v>
      </c>
      <c r="I4774" s="3" t="s">
        <v>62</v>
      </c>
      <c r="J4774" s="3" t="s">
        <v>61</v>
      </c>
      <c r="K4774" s="3" t="s">
        <v>63</v>
      </c>
      <c r="L4774" s="2" t="s">
        <v>3483</v>
      </c>
      <c r="M4774" s="2" t="s">
        <v>45727</v>
      </c>
      <c r="N4774" s="3" t="s">
        <v>1097</v>
      </c>
      <c r="O4774" s="2" t="s">
        <v>45728</v>
      </c>
      <c r="P4774" s="3" t="s">
        <v>65</v>
      </c>
      <c r="R4774" s="3" t="s">
        <v>66</v>
      </c>
      <c r="S4774" s="4">
        <v>23</v>
      </c>
      <c r="T4774" s="4">
        <v>23</v>
      </c>
      <c r="U4774" s="5" t="s">
        <v>15839</v>
      </c>
      <c r="V4774" s="5" t="s">
        <v>15839</v>
      </c>
      <c r="W4774" s="5" t="s">
        <v>67</v>
      </c>
      <c r="X4774" s="5" t="s">
        <v>67</v>
      </c>
      <c r="Y4774" s="4">
        <v>306</v>
      </c>
      <c r="Z4774" s="4">
        <v>20</v>
      </c>
      <c r="AA4774" s="4">
        <v>59</v>
      </c>
      <c r="AB4774" s="4">
        <v>2</v>
      </c>
      <c r="AC4774" s="4">
        <v>15</v>
      </c>
      <c r="AD4774" s="4">
        <v>54</v>
      </c>
      <c r="AE4774" s="4">
        <v>135</v>
      </c>
      <c r="AF4774" s="4">
        <v>1</v>
      </c>
      <c r="AG4774" s="4">
        <v>6</v>
      </c>
      <c r="AH4774" s="4">
        <v>41</v>
      </c>
      <c r="AI4774" s="4">
        <v>106</v>
      </c>
      <c r="AJ4774" s="4">
        <v>15</v>
      </c>
      <c r="AK4774" s="4">
        <v>27</v>
      </c>
      <c r="AL4774" s="4">
        <v>22</v>
      </c>
      <c r="AM4774" s="4">
        <v>55</v>
      </c>
      <c r="AN4774" s="4">
        <v>0</v>
      </c>
      <c r="AO4774" s="4">
        <v>0</v>
      </c>
      <c r="AP4774" s="4">
        <v>19</v>
      </c>
      <c r="AQ4774" s="4">
        <v>40</v>
      </c>
      <c r="AR4774" s="3" t="s">
        <v>62</v>
      </c>
      <c r="AS4774" s="3" t="s">
        <v>62</v>
      </c>
      <c r="AT4774" s="3" t="s">
        <v>62</v>
      </c>
      <c r="AV4774" s="6" t="str">
        <f>HYPERLINK("http://mcgill.on.worldcat.org/oclc/47150799","Catalog Record")</f>
        <v>Catalog Record</v>
      </c>
      <c r="AW4774" s="6" t="str">
        <f>HYPERLINK("http://www.worldcat.org/oclc/47150799","WorldCat Record")</f>
        <v>WorldCat Record</v>
      </c>
      <c r="AX4774" s="3" t="s">
        <v>45718</v>
      </c>
      <c r="AY4774" s="3" t="s">
        <v>45729</v>
      </c>
      <c r="AZ4774" s="3" t="s">
        <v>45730</v>
      </c>
      <c r="BA4774" s="3" t="s">
        <v>45730</v>
      </c>
      <c r="BB4774" s="3" t="s">
        <v>45731</v>
      </c>
      <c r="BC4774" s="3" t="s">
        <v>142</v>
      </c>
      <c r="BD4774" s="3" t="s">
        <v>308</v>
      </c>
      <c r="BE4774" s="3" t="s">
        <v>45732</v>
      </c>
      <c r="BF4774" s="3" t="s">
        <v>45731</v>
      </c>
      <c r="BG4774" s="3" t="s">
        <v>45733</v>
      </c>
    </row>
    <row r="4775" spans="1:59" ht="57" x14ac:dyDescent="0.45">
      <c r="A4775" s="2" t="s">
        <v>59</v>
      </c>
      <c r="B4775" s="2" t="s">
        <v>60</v>
      </c>
      <c r="C4775" s="2" t="s">
        <v>45734</v>
      </c>
      <c r="D4775" s="2" t="s">
        <v>45735</v>
      </c>
      <c r="E4775" s="2" t="s">
        <v>45736</v>
      </c>
      <c r="G4775" s="3" t="s">
        <v>62</v>
      </c>
      <c r="I4775" s="3" t="s">
        <v>62</v>
      </c>
      <c r="J4775" s="3" t="s">
        <v>62</v>
      </c>
      <c r="K4775" s="3" t="s">
        <v>63</v>
      </c>
      <c r="L4775" s="2" t="s">
        <v>45737</v>
      </c>
      <c r="M4775" s="2" t="s">
        <v>45738</v>
      </c>
      <c r="N4775" s="3" t="s">
        <v>122</v>
      </c>
      <c r="P4775" s="3" t="s">
        <v>65</v>
      </c>
      <c r="Q4775" s="2" t="s">
        <v>45739</v>
      </c>
      <c r="R4775" s="3" t="s">
        <v>66</v>
      </c>
      <c r="S4775" s="4">
        <v>29</v>
      </c>
      <c r="T4775" s="4">
        <v>29</v>
      </c>
      <c r="U4775" s="5" t="s">
        <v>14051</v>
      </c>
      <c r="V4775" s="5" t="s">
        <v>14051</v>
      </c>
      <c r="W4775" s="5" t="s">
        <v>67</v>
      </c>
      <c r="X4775" s="5" t="s">
        <v>67</v>
      </c>
      <c r="Y4775" s="4">
        <v>309</v>
      </c>
      <c r="Z4775" s="4">
        <v>31</v>
      </c>
      <c r="AA4775" s="4">
        <v>33</v>
      </c>
      <c r="AB4775" s="4">
        <v>3</v>
      </c>
      <c r="AC4775" s="4">
        <v>4</v>
      </c>
      <c r="AD4775" s="4">
        <v>111</v>
      </c>
      <c r="AE4775" s="4">
        <v>114</v>
      </c>
      <c r="AF4775" s="4">
        <v>1</v>
      </c>
      <c r="AG4775" s="4">
        <v>2</v>
      </c>
      <c r="AH4775" s="4">
        <v>97</v>
      </c>
      <c r="AI4775" s="4">
        <v>98</v>
      </c>
      <c r="AJ4775" s="4">
        <v>18</v>
      </c>
      <c r="AK4775" s="4">
        <v>20</v>
      </c>
      <c r="AL4775" s="4">
        <v>52</v>
      </c>
      <c r="AM4775" s="4">
        <v>53</v>
      </c>
      <c r="AN4775" s="4">
        <v>0</v>
      </c>
      <c r="AO4775" s="4">
        <v>0</v>
      </c>
      <c r="AP4775" s="4">
        <v>24</v>
      </c>
      <c r="AQ4775" s="4">
        <v>26</v>
      </c>
      <c r="AR4775" s="3" t="s">
        <v>62</v>
      </c>
      <c r="AS4775" s="3" t="s">
        <v>62</v>
      </c>
      <c r="AT4775" s="3" t="s">
        <v>61</v>
      </c>
      <c r="AU4775" s="6" t="str">
        <f>HYPERLINK("http://catalog.hathitrust.org/Record/000251334","HathiTrust Record")</f>
        <v>HathiTrust Record</v>
      </c>
      <c r="AV4775" s="6" t="str">
        <f>HYPERLINK("http://mcgill.on.worldcat.org/oclc/3003079","Catalog Record")</f>
        <v>Catalog Record</v>
      </c>
      <c r="AW4775" s="6" t="str">
        <f>HYPERLINK("http://www.worldcat.org/oclc/3003079","WorldCat Record")</f>
        <v>WorldCat Record</v>
      </c>
      <c r="AX4775" s="3" t="s">
        <v>45740</v>
      </c>
      <c r="AY4775" s="3" t="s">
        <v>45741</v>
      </c>
      <c r="AZ4775" s="3" t="s">
        <v>45742</v>
      </c>
      <c r="BA4775" s="3" t="s">
        <v>45742</v>
      </c>
      <c r="BB4775" s="3" t="s">
        <v>45743</v>
      </c>
      <c r="BC4775" s="3" t="s">
        <v>142</v>
      </c>
      <c r="BD4775" s="3" t="s">
        <v>68</v>
      </c>
      <c r="BE4775" s="3" t="s">
        <v>45744</v>
      </c>
      <c r="BF4775" s="3" t="s">
        <v>45743</v>
      </c>
      <c r="BG4775" s="3" t="s">
        <v>45745</v>
      </c>
    </row>
    <row r="4776" spans="1:59" ht="57" x14ac:dyDescent="0.45">
      <c r="A4776" s="2" t="s">
        <v>59</v>
      </c>
      <c r="B4776" s="2" t="s">
        <v>60</v>
      </c>
      <c r="C4776" s="2" t="s">
        <v>45746</v>
      </c>
      <c r="D4776" s="2" t="s">
        <v>45747</v>
      </c>
      <c r="E4776" s="2" t="s">
        <v>45748</v>
      </c>
      <c r="G4776" s="3" t="s">
        <v>62</v>
      </c>
      <c r="I4776" s="3" t="s">
        <v>62</v>
      </c>
      <c r="J4776" s="3" t="s">
        <v>62</v>
      </c>
      <c r="K4776" s="3" t="s">
        <v>63</v>
      </c>
      <c r="M4776" s="2" t="s">
        <v>45749</v>
      </c>
      <c r="N4776" s="3" t="s">
        <v>181</v>
      </c>
      <c r="O4776" s="2" t="s">
        <v>1748</v>
      </c>
      <c r="P4776" s="3" t="s">
        <v>65</v>
      </c>
      <c r="Q4776" s="2" t="s">
        <v>3949</v>
      </c>
      <c r="R4776" s="3" t="s">
        <v>66</v>
      </c>
      <c r="S4776" s="4">
        <v>4</v>
      </c>
      <c r="T4776" s="4">
        <v>4</v>
      </c>
      <c r="U4776" s="5" t="s">
        <v>13206</v>
      </c>
      <c r="V4776" s="5" t="s">
        <v>13206</v>
      </c>
      <c r="W4776" s="5" t="s">
        <v>67</v>
      </c>
      <c r="X4776" s="5" t="s">
        <v>67</v>
      </c>
      <c r="Y4776" s="4">
        <v>104</v>
      </c>
      <c r="Z4776" s="4">
        <v>11</v>
      </c>
      <c r="AA4776" s="4">
        <v>15</v>
      </c>
      <c r="AB4776" s="4">
        <v>1</v>
      </c>
      <c r="AC4776" s="4">
        <v>2</v>
      </c>
      <c r="AD4776" s="4">
        <v>46</v>
      </c>
      <c r="AE4776" s="4">
        <v>54</v>
      </c>
      <c r="AF4776" s="4">
        <v>0</v>
      </c>
      <c r="AG4776" s="4">
        <v>1</v>
      </c>
      <c r="AH4776" s="4">
        <v>41</v>
      </c>
      <c r="AI4776" s="4">
        <v>48</v>
      </c>
      <c r="AJ4776" s="4">
        <v>7</v>
      </c>
      <c r="AK4776" s="4">
        <v>10</v>
      </c>
      <c r="AL4776" s="4">
        <v>27</v>
      </c>
      <c r="AM4776" s="4">
        <v>32</v>
      </c>
      <c r="AN4776" s="4">
        <v>0</v>
      </c>
      <c r="AO4776" s="4">
        <v>0</v>
      </c>
      <c r="AP4776" s="4">
        <v>9</v>
      </c>
      <c r="AQ4776" s="4">
        <v>12</v>
      </c>
      <c r="AR4776" s="3" t="s">
        <v>62</v>
      </c>
      <c r="AS4776" s="3" t="s">
        <v>62</v>
      </c>
      <c r="AT4776" s="3" t="s">
        <v>62</v>
      </c>
      <c r="AV4776" s="6" t="str">
        <f>HYPERLINK("http://mcgill.on.worldcat.org/oclc/920725131","Catalog Record")</f>
        <v>Catalog Record</v>
      </c>
      <c r="AW4776" s="6" t="str">
        <f>HYPERLINK("http://www.worldcat.org/oclc/920725131","WorldCat Record")</f>
        <v>WorldCat Record</v>
      </c>
      <c r="AX4776" s="3" t="s">
        <v>45750</v>
      </c>
      <c r="AY4776" s="3" t="s">
        <v>45751</v>
      </c>
      <c r="AZ4776" s="3" t="s">
        <v>45752</v>
      </c>
      <c r="BA4776" s="3" t="s">
        <v>45752</v>
      </c>
      <c r="BB4776" s="3" t="s">
        <v>45753</v>
      </c>
      <c r="BC4776" s="3" t="s">
        <v>142</v>
      </c>
      <c r="BD4776" s="3" t="s">
        <v>68</v>
      </c>
      <c r="BE4776" s="3" t="s">
        <v>45754</v>
      </c>
      <c r="BF4776" s="3" t="s">
        <v>45753</v>
      </c>
      <c r="BG4776" s="3" t="s">
        <v>45755</v>
      </c>
    </row>
    <row r="4777" spans="1:59" ht="57" x14ac:dyDescent="0.45">
      <c r="A4777" s="2" t="s">
        <v>59</v>
      </c>
      <c r="B4777" s="2" t="s">
        <v>60</v>
      </c>
      <c r="C4777" s="2" t="s">
        <v>45756</v>
      </c>
      <c r="D4777" s="2" t="s">
        <v>45757</v>
      </c>
      <c r="E4777" s="2" t="s">
        <v>45758</v>
      </c>
      <c r="G4777" s="3" t="s">
        <v>62</v>
      </c>
      <c r="I4777" s="3" t="s">
        <v>62</v>
      </c>
      <c r="J4777" s="3" t="s">
        <v>62</v>
      </c>
      <c r="K4777" s="3" t="s">
        <v>63</v>
      </c>
      <c r="M4777" s="2" t="s">
        <v>45759</v>
      </c>
      <c r="N4777" s="3" t="s">
        <v>181</v>
      </c>
      <c r="P4777" s="3" t="s">
        <v>65</v>
      </c>
      <c r="Q4777" s="2" t="s">
        <v>45760</v>
      </c>
      <c r="R4777" s="3" t="s">
        <v>66</v>
      </c>
      <c r="S4777" s="4">
        <v>0</v>
      </c>
      <c r="T4777" s="4">
        <v>0</v>
      </c>
      <c r="W4777" s="5" t="s">
        <v>67</v>
      </c>
      <c r="X4777" s="5" t="s">
        <v>67</v>
      </c>
      <c r="Y4777" s="4">
        <v>53</v>
      </c>
      <c r="Z4777" s="4">
        <v>6</v>
      </c>
      <c r="AA4777" s="4">
        <v>6</v>
      </c>
      <c r="AB4777" s="4">
        <v>1</v>
      </c>
      <c r="AC4777" s="4">
        <v>1</v>
      </c>
      <c r="AD4777" s="4">
        <v>26</v>
      </c>
      <c r="AE4777" s="4">
        <v>26</v>
      </c>
      <c r="AF4777" s="4">
        <v>0</v>
      </c>
      <c r="AG4777" s="4">
        <v>0</v>
      </c>
      <c r="AH4777" s="4">
        <v>23</v>
      </c>
      <c r="AI4777" s="4">
        <v>23</v>
      </c>
      <c r="AJ4777" s="4">
        <v>5</v>
      </c>
      <c r="AK4777" s="4">
        <v>5</v>
      </c>
      <c r="AL4777" s="4">
        <v>16</v>
      </c>
      <c r="AM4777" s="4">
        <v>16</v>
      </c>
      <c r="AN4777" s="4">
        <v>0</v>
      </c>
      <c r="AO4777" s="4">
        <v>0</v>
      </c>
      <c r="AP4777" s="4">
        <v>5</v>
      </c>
      <c r="AQ4777" s="4">
        <v>5</v>
      </c>
      <c r="AR4777" s="3" t="s">
        <v>62</v>
      </c>
      <c r="AS4777" s="3" t="s">
        <v>62</v>
      </c>
      <c r="AT4777" s="3" t="s">
        <v>62</v>
      </c>
      <c r="AV4777" s="6" t="str">
        <f>HYPERLINK("http://mcgill.on.worldcat.org/oclc/945032343","Catalog Record")</f>
        <v>Catalog Record</v>
      </c>
      <c r="AW4777" s="6" t="str">
        <f>HYPERLINK("http://www.worldcat.org/oclc/945032343","WorldCat Record")</f>
        <v>WorldCat Record</v>
      </c>
      <c r="AX4777" s="3" t="s">
        <v>45761</v>
      </c>
      <c r="AY4777" s="3" t="s">
        <v>45762</v>
      </c>
      <c r="AZ4777" s="3" t="s">
        <v>45763</v>
      </c>
      <c r="BA4777" s="3" t="s">
        <v>45763</v>
      </c>
      <c r="BB4777" s="3" t="s">
        <v>45764</v>
      </c>
      <c r="BC4777" s="3" t="s">
        <v>142</v>
      </c>
      <c r="BD4777" s="3" t="s">
        <v>68</v>
      </c>
      <c r="BE4777" s="3" t="s">
        <v>45765</v>
      </c>
      <c r="BF4777" s="3" t="s">
        <v>45764</v>
      </c>
      <c r="BG4777" s="3" t="s">
        <v>45766</v>
      </c>
    </row>
    <row r="4778" spans="1:59" ht="57" x14ac:dyDescent="0.45">
      <c r="A4778" s="2" t="s">
        <v>59</v>
      </c>
      <c r="B4778" s="2" t="s">
        <v>60</v>
      </c>
      <c r="C4778" s="2" t="s">
        <v>45767</v>
      </c>
      <c r="D4778" s="2" t="s">
        <v>45768</v>
      </c>
      <c r="E4778" s="2" t="s">
        <v>45769</v>
      </c>
      <c r="G4778" s="3" t="s">
        <v>62</v>
      </c>
      <c r="I4778" s="3" t="s">
        <v>62</v>
      </c>
      <c r="J4778" s="3" t="s">
        <v>62</v>
      </c>
      <c r="K4778" s="3" t="s">
        <v>63</v>
      </c>
      <c r="M4778" s="2" t="s">
        <v>45770</v>
      </c>
      <c r="N4778" s="3" t="s">
        <v>542</v>
      </c>
      <c r="O4778" s="2" t="s">
        <v>45771</v>
      </c>
      <c r="P4778" s="3" t="s">
        <v>65</v>
      </c>
      <c r="R4778" s="3" t="s">
        <v>66</v>
      </c>
      <c r="S4778" s="4">
        <v>3</v>
      </c>
      <c r="T4778" s="4">
        <v>3</v>
      </c>
      <c r="U4778" s="5" t="s">
        <v>12331</v>
      </c>
      <c r="V4778" s="5" t="s">
        <v>12331</v>
      </c>
      <c r="W4778" s="5" t="s">
        <v>67</v>
      </c>
      <c r="X4778" s="5" t="s">
        <v>67</v>
      </c>
      <c r="Y4778" s="4">
        <v>7</v>
      </c>
      <c r="Z4778" s="4">
        <v>1</v>
      </c>
      <c r="AA4778" s="4">
        <v>12</v>
      </c>
      <c r="AB4778" s="4">
        <v>1</v>
      </c>
      <c r="AC4778" s="4">
        <v>2</v>
      </c>
      <c r="AD4778" s="4">
        <v>0</v>
      </c>
      <c r="AE4778" s="4">
        <v>22</v>
      </c>
      <c r="AF4778" s="4">
        <v>0</v>
      </c>
      <c r="AG4778" s="4">
        <v>1</v>
      </c>
      <c r="AH4778" s="4">
        <v>0</v>
      </c>
      <c r="AI4778" s="4">
        <v>17</v>
      </c>
      <c r="AJ4778" s="4">
        <v>0</v>
      </c>
      <c r="AK4778" s="4">
        <v>7</v>
      </c>
      <c r="AL4778" s="4">
        <v>0</v>
      </c>
      <c r="AM4778" s="4">
        <v>7</v>
      </c>
      <c r="AN4778" s="4">
        <v>0</v>
      </c>
      <c r="AO4778" s="4">
        <v>0</v>
      </c>
      <c r="AP4778" s="4">
        <v>0</v>
      </c>
      <c r="AQ4778" s="4">
        <v>9</v>
      </c>
      <c r="AR4778" s="3" t="s">
        <v>62</v>
      </c>
      <c r="AS4778" s="3" t="s">
        <v>62</v>
      </c>
      <c r="AT4778" s="3" t="s">
        <v>62</v>
      </c>
      <c r="AV4778" s="6" t="str">
        <f>HYPERLINK("http://mcgill.on.worldcat.org/oclc/155703722","Catalog Record")</f>
        <v>Catalog Record</v>
      </c>
      <c r="AW4778" s="6" t="str">
        <f>HYPERLINK("http://www.worldcat.org/oclc/155703722","WorldCat Record")</f>
        <v>WorldCat Record</v>
      </c>
      <c r="AX4778" s="3" t="s">
        <v>45772</v>
      </c>
      <c r="AY4778" s="3" t="s">
        <v>45773</v>
      </c>
      <c r="AZ4778" s="3" t="s">
        <v>45774</v>
      </c>
      <c r="BA4778" s="3" t="s">
        <v>45774</v>
      </c>
      <c r="BB4778" s="3" t="s">
        <v>45775</v>
      </c>
      <c r="BC4778" s="3" t="s">
        <v>142</v>
      </c>
      <c r="BD4778" s="3" t="s">
        <v>68</v>
      </c>
      <c r="BE4778" s="3" t="s">
        <v>45776</v>
      </c>
      <c r="BF4778" s="3" t="s">
        <v>45775</v>
      </c>
      <c r="BG4778" s="3" t="s">
        <v>45777</v>
      </c>
    </row>
    <row r="4779" spans="1:59" ht="57" x14ac:dyDescent="0.45">
      <c r="A4779" s="2" t="s">
        <v>59</v>
      </c>
      <c r="B4779" s="2" t="s">
        <v>60</v>
      </c>
      <c r="C4779" s="2" t="s">
        <v>45778</v>
      </c>
      <c r="D4779" s="2" t="s">
        <v>45779</v>
      </c>
      <c r="E4779" s="2" t="s">
        <v>45780</v>
      </c>
      <c r="G4779" s="3" t="s">
        <v>62</v>
      </c>
      <c r="I4779" s="3" t="s">
        <v>62</v>
      </c>
      <c r="J4779" s="3" t="s">
        <v>62</v>
      </c>
      <c r="K4779" s="3" t="s">
        <v>63</v>
      </c>
      <c r="L4779" s="2" t="s">
        <v>433</v>
      </c>
      <c r="M4779" s="2" t="s">
        <v>45781</v>
      </c>
      <c r="N4779" s="3" t="s">
        <v>495</v>
      </c>
      <c r="P4779" s="3" t="s">
        <v>65</v>
      </c>
      <c r="Q4779" s="2" t="s">
        <v>45782</v>
      </c>
      <c r="R4779" s="3" t="s">
        <v>66</v>
      </c>
      <c r="S4779" s="4">
        <v>3</v>
      </c>
      <c r="T4779" s="4">
        <v>3</v>
      </c>
      <c r="U4779" s="5" t="s">
        <v>11364</v>
      </c>
      <c r="V4779" s="5" t="s">
        <v>11364</v>
      </c>
      <c r="W4779" s="5" t="s">
        <v>67</v>
      </c>
      <c r="X4779" s="5" t="s">
        <v>67</v>
      </c>
      <c r="Y4779" s="4">
        <v>308</v>
      </c>
      <c r="Z4779" s="4">
        <v>19</v>
      </c>
      <c r="AA4779" s="4">
        <v>21</v>
      </c>
      <c r="AB4779" s="4">
        <v>1</v>
      </c>
      <c r="AC4779" s="4">
        <v>3</v>
      </c>
      <c r="AD4779" s="4">
        <v>99</v>
      </c>
      <c r="AE4779" s="4">
        <v>105</v>
      </c>
      <c r="AF4779" s="4">
        <v>0</v>
      </c>
      <c r="AG4779" s="4">
        <v>2</v>
      </c>
      <c r="AH4779" s="4">
        <v>91</v>
      </c>
      <c r="AI4779" s="4">
        <v>96</v>
      </c>
      <c r="AJ4779" s="4">
        <v>15</v>
      </c>
      <c r="AK4779" s="4">
        <v>17</v>
      </c>
      <c r="AL4779" s="4">
        <v>47</v>
      </c>
      <c r="AM4779" s="4">
        <v>51</v>
      </c>
      <c r="AN4779" s="4">
        <v>0</v>
      </c>
      <c r="AO4779" s="4">
        <v>0</v>
      </c>
      <c r="AP4779" s="4">
        <v>17</v>
      </c>
      <c r="AQ4779" s="4">
        <v>18</v>
      </c>
      <c r="AR4779" s="3" t="s">
        <v>62</v>
      </c>
      <c r="AS4779" s="3" t="s">
        <v>62</v>
      </c>
      <c r="AT4779" s="3" t="s">
        <v>61</v>
      </c>
      <c r="AU4779" s="6" t="str">
        <f>HYPERLINK("http://catalog.hathitrust.org/Record/000709579","HathiTrust Record")</f>
        <v>HathiTrust Record</v>
      </c>
      <c r="AV4779" s="6" t="str">
        <f>HYPERLINK("http://mcgill.on.worldcat.org/oclc/2201934","Catalog Record")</f>
        <v>Catalog Record</v>
      </c>
      <c r="AW4779" s="6" t="str">
        <f>HYPERLINK("http://www.worldcat.org/oclc/2201934","WorldCat Record")</f>
        <v>WorldCat Record</v>
      </c>
      <c r="AX4779" s="3" t="s">
        <v>45783</v>
      </c>
      <c r="AY4779" s="3" t="s">
        <v>45784</v>
      </c>
      <c r="AZ4779" s="3" t="s">
        <v>45785</v>
      </c>
      <c r="BA4779" s="3" t="s">
        <v>45785</v>
      </c>
      <c r="BB4779" s="3" t="s">
        <v>45786</v>
      </c>
      <c r="BC4779" s="3" t="s">
        <v>142</v>
      </c>
      <c r="BD4779" s="3" t="s">
        <v>68</v>
      </c>
      <c r="BE4779" s="3" t="s">
        <v>45787</v>
      </c>
      <c r="BF4779" s="3" t="s">
        <v>45786</v>
      </c>
      <c r="BG4779" s="3" t="s">
        <v>45788</v>
      </c>
    </row>
    <row r="4780" spans="1:59" ht="57" x14ac:dyDescent="0.45">
      <c r="A4780" s="2" t="s">
        <v>59</v>
      </c>
      <c r="B4780" s="2" t="s">
        <v>60</v>
      </c>
      <c r="C4780" s="2" t="s">
        <v>45789</v>
      </c>
      <c r="D4780" s="2" t="s">
        <v>45790</v>
      </c>
      <c r="E4780" s="2" t="s">
        <v>45791</v>
      </c>
      <c r="G4780" s="3" t="s">
        <v>62</v>
      </c>
      <c r="I4780" s="3" t="s">
        <v>62</v>
      </c>
      <c r="J4780" s="3" t="s">
        <v>62</v>
      </c>
      <c r="K4780" s="3" t="s">
        <v>63</v>
      </c>
      <c r="L4780" s="2" t="s">
        <v>45792</v>
      </c>
      <c r="M4780" s="2" t="s">
        <v>45793</v>
      </c>
      <c r="N4780" s="3" t="s">
        <v>1918</v>
      </c>
      <c r="P4780" s="3" t="s">
        <v>65</v>
      </c>
      <c r="Q4780" s="2" t="s">
        <v>45794</v>
      </c>
      <c r="R4780" s="3" t="s">
        <v>66</v>
      </c>
      <c r="S4780" s="4">
        <v>0</v>
      </c>
      <c r="T4780" s="4">
        <v>0</v>
      </c>
      <c r="W4780" s="5" t="s">
        <v>67</v>
      </c>
      <c r="X4780" s="5" t="s">
        <v>67</v>
      </c>
      <c r="Y4780" s="4">
        <v>50</v>
      </c>
      <c r="Z4780" s="4">
        <v>5</v>
      </c>
      <c r="AA4780" s="4">
        <v>5</v>
      </c>
      <c r="AB4780" s="4">
        <v>1</v>
      </c>
      <c r="AC4780" s="4">
        <v>1</v>
      </c>
      <c r="AD4780" s="4">
        <v>32</v>
      </c>
      <c r="AE4780" s="4">
        <v>33</v>
      </c>
      <c r="AF4780" s="4">
        <v>0</v>
      </c>
      <c r="AG4780" s="4">
        <v>0</v>
      </c>
      <c r="AH4780" s="4">
        <v>31</v>
      </c>
      <c r="AI4780" s="4">
        <v>32</v>
      </c>
      <c r="AJ4780" s="4">
        <v>4</v>
      </c>
      <c r="AK4780" s="4">
        <v>4</v>
      </c>
      <c r="AL4780" s="4">
        <v>23</v>
      </c>
      <c r="AM4780" s="4">
        <v>24</v>
      </c>
      <c r="AN4780" s="4">
        <v>0</v>
      </c>
      <c r="AO4780" s="4">
        <v>0</v>
      </c>
      <c r="AP4780" s="4">
        <v>4</v>
      </c>
      <c r="AQ4780" s="4">
        <v>4</v>
      </c>
      <c r="AR4780" s="3" t="s">
        <v>62</v>
      </c>
      <c r="AS4780" s="3" t="s">
        <v>62</v>
      </c>
      <c r="AT4780" s="3" t="s">
        <v>62</v>
      </c>
      <c r="AV4780" s="6" t="str">
        <f>HYPERLINK("http://mcgill.on.worldcat.org/oclc/982005192","Catalog Record")</f>
        <v>Catalog Record</v>
      </c>
      <c r="AW4780" s="6" t="str">
        <f>HYPERLINK("http://www.worldcat.org/oclc/982005192","WorldCat Record")</f>
        <v>WorldCat Record</v>
      </c>
      <c r="AX4780" s="3" t="s">
        <v>45795</v>
      </c>
      <c r="AY4780" s="3" t="s">
        <v>45796</v>
      </c>
      <c r="AZ4780" s="3" t="s">
        <v>45797</v>
      </c>
      <c r="BA4780" s="3" t="s">
        <v>45797</v>
      </c>
      <c r="BB4780" s="3" t="s">
        <v>45798</v>
      </c>
      <c r="BC4780" s="3" t="s">
        <v>142</v>
      </c>
      <c r="BD4780" s="3" t="s">
        <v>68</v>
      </c>
      <c r="BE4780" s="3" t="s">
        <v>45799</v>
      </c>
      <c r="BF4780" s="3" t="s">
        <v>45798</v>
      </c>
      <c r="BG4780" s="3" t="s">
        <v>45800</v>
      </c>
    </row>
    <row r="4781" spans="1:59" ht="57" x14ac:dyDescent="0.45">
      <c r="A4781" s="2" t="s">
        <v>59</v>
      </c>
      <c r="B4781" s="2" t="s">
        <v>60</v>
      </c>
      <c r="C4781" s="2" t="s">
        <v>45801</v>
      </c>
      <c r="D4781" s="2" t="s">
        <v>45802</v>
      </c>
      <c r="E4781" s="2" t="s">
        <v>45803</v>
      </c>
      <c r="G4781" s="3" t="s">
        <v>62</v>
      </c>
      <c r="I4781" s="3" t="s">
        <v>62</v>
      </c>
      <c r="J4781" s="3" t="s">
        <v>61</v>
      </c>
      <c r="K4781" s="3" t="s">
        <v>63</v>
      </c>
      <c r="L4781" s="2" t="s">
        <v>45804</v>
      </c>
      <c r="M4781" s="2" t="s">
        <v>45805</v>
      </c>
      <c r="N4781" s="3" t="s">
        <v>1097</v>
      </c>
      <c r="O4781" s="2" t="s">
        <v>933</v>
      </c>
      <c r="P4781" s="3" t="s">
        <v>65</v>
      </c>
      <c r="R4781" s="3" t="s">
        <v>66</v>
      </c>
      <c r="S4781" s="4">
        <v>10</v>
      </c>
      <c r="T4781" s="4">
        <v>10</v>
      </c>
      <c r="U4781" s="5" t="s">
        <v>4315</v>
      </c>
      <c r="V4781" s="5" t="s">
        <v>4315</v>
      </c>
      <c r="W4781" s="5" t="s">
        <v>67</v>
      </c>
      <c r="X4781" s="5" t="s">
        <v>67</v>
      </c>
      <c r="Y4781" s="4">
        <v>176</v>
      </c>
      <c r="Z4781" s="4">
        <v>12</v>
      </c>
      <c r="AA4781" s="4">
        <v>23</v>
      </c>
      <c r="AB4781" s="4">
        <v>2</v>
      </c>
      <c r="AC4781" s="4">
        <v>4</v>
      </c>
      <c r="AD4781" s="4">
        <v>46</v>
      </c>
      <c r="AE4781" s="4">
        <v>98</v>
      </c>
      <c r="AF4781" s="4">
        <v>1</v>
      </c>
      <c r="AG4781" s="4">
        <v>3</v>
      </c>
      <c r="AH4781" s="4">
        <v>41</v>
      </c>
      <c r="AI4781" s="4">
        <v>85</v>
      </c>
      <c r="AJ4781" s="4">
        <v>10</v>
      </c>
      <c r="AK4781" s="4">
        <v>17</v>
      </c>
      <c r="AL4781" s="4">
        <v>23</v>
      </c>
      <c r="AM4781" s="4">
        <v>46</v>
      </c>
      <c r="AN4781" s="4">
        <v>5</v>
      </c>
      <c r="AO4781" s="4">
        <v>5</v>
      </c>
      <c r="AP4781" s="4">
        <v>11</v>
      </c>
      <c r="AQ4781" s="4">
        <v>19</v>
      </c>
      <c r="AR4781" s="3" t="s">
        <v>62</v>
      </c>
      <c r="AS4781" s="3" t="s">
        <v>62</v>
      </c>
      <c r="AT4781" s="3" t="s">
        <v>61</v>
      </c>
      <c r="AU4781" s="6" t="str">
        <f>HYPERLINK("http://catalog.hathitrust.org/Record/009803067","HathiTrust Record")</f>
        <v>HathiTrust Record</v>
      </c>
      <c r="AV4781" s="6" t="str">
        <f>HYPERLINK("http://mcgill.on.worldcat.org/oclc/59112259","Catalog Record")</f>
        <v>Catalog Record</v>
      </c>
      <c r="AW4781" s="6" t="str">
        <f>HYPERLINK("http://www.worldcat.org/oclc/59112259","WorldCat Record")</f>
        <v>WorldCat Record</v>
      </c>
      <c r="AX4781" s="3" t="s">
        <v>45806</v>
      </c>
      <c r="AY4781" s="3" t="s">
        <v>45807</v>
      </c>
      <c r="AZ4781" s="3" t="s">
        <v>45808</v>
      </c>
      <c r="BA4781" s="3" t="s">
        <v>45808</v>
      </c>
      <c r="BB4781" s="3" t="s">
        <v>45809</v>
      </c>
      <c r="BC4781" s="3" t="s">
        <v>142</v>
      </c>
      <c r="BD4781" s="3" t="s">
        <v>308</v>
      </c>
      <c r="BE4781" s="3" t="s">
        <v>45810</v>
      </c>
      <c r="BF4781" s="3" t="s">
        <v>45809</v>
      </c>
      <c r="BG4781" s="3" t="s">
        <v>45811</v>
      </c>
    </row>
    <row r="4782" spans="1:59" ht="57" x14ac:dyDescent="0.45">
      <c r="A4782" s="2" t="s">
        <v>59</v>
      </c>
      <c r="B4782" s="2" t="s">
        <v>60</v>
      </c>
      <c r="C4782" s="2" t="s">
        <v>45812</v>
      </c>
      <c r="D4782" s="2" t="s">
        <v>45813</v>
      </c>
      <c r="E4782" s="2" t="s">
        <v>45814</v>
      </c>
      <c r="G4782" s="3" t="s">
        <v>62</v>
      </c>
      <c r="I4782" s="3" t="s">
        <v>62</v>
      </c>
      <c r="J4782" s="3" t="s">
        <v>62</v>
      </c>
      <c r="K4782" s="3" t="s">
        <v>63</v>
      </c>
      <c r="L4782" s="2" t="s">
        <v>3483</v>
      </c>
      <c r="M4782" s="2" t="s">
        <v>8328</v>
      </c>
      <c r="N4782" s="3" t="s">
        <v>1465</v>
      </c>
      <c r="P4782" s="3" t="s">
        <v>65</v>
      </c>
      <c r="R4782" s="3" t="s">
        <v>66</v>
      </c>
      <c r="S4782" s="4">
        <v>3</v>
      </c>
      <c r="T4782" s="4">
        <v>3</v>
      </c>
      <c r="U4782" s="5" t="s">
        <v>2059</v>
      </c>
      <c r="V4782" s="5" t="s">
        <v>2059</v>
      </c>
      <c r="W4782" s="5" t="s">
        <v>67</v>
      </c>
      <c r="X4782" s="5" t="s">
        <v>67</v>
      </c>
      <c r="Y4782" s="4">
        <v>136</v>
      </c>
      <c r="Z4782" s="4">
        <v>14</v>
      </c>
      <c r="AA4782" s="4">
        <v>15</v>
      </c>
      <c r="AB4782" s="4">
        <v>2</v>
      </c>
      <c r="AC4782" s="4">
        <v>3</v>
      </c>
      <c r="AD4782" s="4">
        <v>51</v>
      </c>
      <c r="AE4782" s="4">
        <v>52</v>
      </c>
      <c r="AF4782" s="4">
        <v>1</v>
      </c>
      <c r="AG4782" s="4">
        <v>2</v>
      </c>
      <c r="AH4782" s="4">
        <v>46</v>
      </c>
      <c r="AI4782" s="4">
        <v>46</v>
      </c>
      <c r="AJ4782" s="4">
        <v>10</v>
      </c>
      <c r="AK4782" s="4">
        <v>11</v>
      </c>
      <c r="AL4782" s="4">
        <v>27</v>
      </c>
      <c r="AM4782" s="4">
        <v>27</v>
      </c>
      <c r="AN4782" s="4">
        <v>0</v>
      </c>
      <c r="AO4782" s="4">
        <v>0</v>
      </c>
      <c r="AP4782" s="4">
        <v>12</v>
      </c>
      <c r="AQ4782" s="4">
        <v>12</v>
      </c>
      <c r="AR4782" s="3" t="s">
        <v>62</v>
      </c>
      <c r="AS4782" s="3" t="s">
        <v>62</v>
      </c>
      <c r="AT4782" s="3" t="s">
        <v>62</v>
      </c>
      <c r="AV4782" s="6" t="str">
        <f>HYPERLINK("http://mcgill.on.worldcat.org/oclc/231585824","Catalog Record")</f>
        <v>Catalog Record</v>
      </c>
      <c r="AW4782" s="6" t="str">
        <f>HYPERLINK("http://www.worldcat.org/oclc/231585824","WorldCat Record")</f>
        <v>WorldCat Record</v>
      </c>
      <c r="AX4782" s="3" t="s">
        <v>45815</v>
      </c>
      <c r="AY4782" s="3" t="s">
        <v>45816</v>
      </c>
      <c r="AZ4782" s="3" t="s">
        <v>45817</v>
      </c>
      <c r="BA4782" s="3" t="s">
        <v>45817</v>
      </c>
      <c r="BB4782" s="3" t="s">
        <v>45818</v>
      </c>
      <c r="BC4782" s="3" t="s">
        <v>142</v>
      </c>
      <c r="BD4782" s="3" t="s">
        <v>68</v>
      </c>
      <c r="BE4782" s="3" t="s">
        <v>45819</v>
      </c>
      <c r="BF4782" s="3" t="s">
        <v>45818</v>
      </c>
      <c r="BG4782" s="3" t="s">
        <v>45820</v>
      </c>
    </row>
    <row r="4783" spans="1:59" ht="57" x14ac:dyDescent="0.45">
      <c r="A4783" s="2" t="s">
        <v>59</v>
      </c>
      <c r="B4783" s="2" t="s">
        <v>60</v>
      </c>
      <c r="C4783" s="2" t="s">
        <v>45821</v>
      </c>
      <c r="D4783" s="2" t="s">
        <v>45822</v>
      </c>
      <c r="E4783" s="2" t="s">
        <v>45823</v>
      </c>
      <c r="G4783" s="3" t="s">
        <v>62</v>
      </c>
      <c r="I4783" s="3" t="s">
        <v>62</v>
      </c>
      <c r="J4783" s="3" t="s">
        <v>61</v>
      </c>
      <c r="K4783" s="3" t="s">
        <v>63</v>
      </c>
      <c r="L4783" s="2" t="s">
        <v>45824</v>
      </c>
      <c r="M4783" s="2" t="s">
        <v>2560</v>
      </c>
      <c r="N4783" s="3" t="s">
        <v>149</v>
      </c>
      <c r="O4783" s="2" t="s">
        <v>933</v>
      </c>
      <c r="P4783" s="3" t="s">
        <v>65</v>
      </c>
      <c r="Q4783" s="2" t="s">
        <v>45825</v>
      </c>
      <c r="R4783" s="3" t="s">
        <v>66</v>
      </c>
      <c r="S4783" s="4">
        <v>4</v>
      </c>
      <c r="T4783" s="4">
        <v>4</v>
      </c>
      <c r="U4783" s="5" t="s">
        <v>38607</v>
      </c>
      <c r="V4783" s="5" t="s">
        <v>38607</v>
      </c>
      <c r="W4783" s="5" t="s">
        <v>67</v>
      </c>
      <c r="X4783" s="5" t="s">
        <v>67</v>
      </c>
      <c r="Y4783" s="4">
        <v>121</v>
      </c>
      <c r="Z4783" s="4">
        <v>13</v>
      </c>
      <c r="AA4783" s="4">
        <v>107</v>
      </c>
      <c r="AB4783" s="4">
        <v>1</v>
      </c>
      <c r="AC4783" s="4">
        <v>21</v>
      </c>
      <c r="AD4783" s="4">
        <v>51</v>
      </c>
      <c r="AE4783" s="4">
        <v>145</v>
      </c>
      <c r="AF4783" s="4">
        <v>0</v>
      </c>
      <c r="AG4783" s="4">
        <v>9</v>
      </c>
      <c r="AH4783" s="4">
        <v>46</v>
      </c>
      <c r="AI4783" s="4">
        <v>100</v>
      </c>
      <c r="AJ4783" s="4">
        <v>10</v>
      </c>
      <c r="AK4783" s="4">
        <v>26</v>
      </c>
      <c r="AL4783" s="4">
        <v>29</v>
      </c>
      <c r="AM4783" s="4">
        <v>54</v>
      </c>
      <c r="AN4783" s="4">
        <v>0</v>
      </c>
      <c r="AO4783" s="4">
        <v>0</v>
      </c>
      <c r="AP4783" s="4">
        <v>11</v>
      </c>
      <c r="AQ4783" s="4">
        <v>55</v>
      </c>
      <c r="AR4783" s="3" t="s">
        <v>62</v>
      </c>
      <c r="AS4783" s="3" t="s">
        <v>62</v>
      </c>
      <c r="AT4783" s="3" t="s">
        <v>62</v>
      </c>
      <c r="AV4783" s="6" t="str">
        <f>HYPERLINK("http://mcgill.on.worldcat.org/oclc/444384599","Catalog Record")</f>
        <v>Catalog Record</v>
      </c>
      <c r="AW4783" s="6" t="str">
        <f>HYPERLINK("http://www.worldcat.org/oclc/444384599","WorldCat Record")</f>
        <v>WorldCat Record</v>
      </c>
      <c r="AX4783" s="3" t="s">
        <v>45826</v>
      </c>
      <c r="AY4783" s="3" t="s">
        <v>45827</v>
      </c>
      <c r="AZ4783" s="3" t="s">
        <v>45828</v>
      </c>
      <c r="BA4783" s="3" t="s">
        <v>45828</v>
      </c>
      <c r="BB4783" s="3" t="s">
        <v>45829</v>
      </c>
      <c r="BC4783" s="3" t="s">
        <v>142</v>
      </c>
      <c r="BD4783" s="3" t="s">
        <v>68</v>
      </c>
      <c r="BE4783" s="3" t="s">
        <v>45830</v>
      </c>
      <c r="BF4783" s="3" t="s">
        <v>45829</v>
      </c>
      <c r="BG4783" s="3" t="s">
        <v>45831</v>
      </c>
    </row>
    <row r="4784" spans="1:59" ht="57" x14ac:dyDescent="0.45">
      <c r="A4784" s="2" t="s">
        <v>59</v>
      </c>
      <c r="B4784" s="2" t="s">
        <v>60</v>
      </c>
      <c r="C4784" s="2" t="s">
        <v>45832</v>
      </c>
      <c r="D4784" s="2" t="s">
        <v>45833</v>
      </c>
      <c r="E4784" s="2" t="s">
        <v>45834</v>
      </c>
      <c r="G4784" s="3" t="s">
        <v>62</v>
      </c>
      <c r="I4784" s="3" t="s">
        <v>62</v>
      </c>
      <c r="J4784" s="3" t="s">
        <v>62</v>
      </c>
      <c r="K4784" s="3" t="s">
        <v>63</v>
      </c>
      <c r="M4784" s="2" t="s">
        <v>45835</v>
      </c>
      <c r="N4784" s="3" t="s">
        <v>116</v>
      </c>
      <c r="P4784" s="3" t="s">
        <v>65</v>
      </c>
      <c r="Q4784" s="2" t="s">
        <v>45836</v>
      </c>
      <c r="R4784" s="3" t="s">
        <v>66</v>
      </c>
      <c r="S4784" s="4">
        <v>0</v>
      </c>
      <c r="T4784" s="4">
        <v>0</v>
      </c>
      <c r="W4784" s="5" t="s">
        <v>67</v>
      </c>
      <c r="X4784" s="5" t="s">
        <v>67</v>
      </c>
      <c r="Y4784" s="4">
        <v>57</v>
      </c>
      <c r="Z4784" s="4">
        <v>7</v>
      </c>
      <c r="AA4784" s="4">
        <v>96</v>
      </c>
      <c r="AB4784" s="4">
        <v>1</v>
      </c>
      <c r="AC4784" s="4">
        <v>17</v>
      </c>
      <c r="AD4784" s="4">
        <v>30</v>
      </c>
      <c r="AE4784" s="4">
        <v>106</v>
      </c>
      <c r="AF4784" s="4">
        <v>0</v>
      </c>
      <c r="AG4784" s="4">
        <v>8</v>
      </c>
      <c r="AH4784" s="4">
        <v>27</v>
      </c>
      <c r="AI4784" s="4">
        <v>73</v>
      </c>
      <c r="AJ4784" s="4">
        <v>6</v>
      </c>
      <c r="AK4784" s="4">
        <v>21</v>
      </c>
      <c r="AL4784" s="4">
        <v>18</v>
      </c>
      <c r="AM4784" s="4">
        <v>38</v>
      </c>
      <c r="AN4784" s="4">
        <v>0</v>
      </c>
      <c r="AO4784" s="4">
        <v>0</v>
      </c>
      <c r="AP4784" s="4">
        <v>6</v>
      </c>
      <c r="AQ4784" s="4">
        <v>40</v>
      </c>
      <c r="AR4784" s="3" t="s">
        <v>62</v>
      </c>
      <c r="AS4784" s="3" t="s">
        <v>62</v>
      </c>
      <c r="AT4784" s="3" t="s">
        <v>62</v>
      </c>
      <c r="AV4784" s="6" t="str">
        <f>HYPERLINK("http://mcgill.on.worldcat.org/oclc/817721755","Catalog Record")</f>
        <v>Catalog Record</v>
      </c>
      <c r="AW4784" s="6" t="str">
        <f>HYPERLINK("http://www.worldcat.org/oclc/817721755","WorldCat Record")</f>
        <v>WorldCat Record</v>
      </c>
      <c r="AX4784" s="3" t="s">
        <v>45837</v>
      </c>
      <c r="AY4784" s="3" t="s">
        <v>45838</v>
      </c>
      <c r="AZ4784" s="3" t="s">
        <v>45839</v>
      </c>
      <c r="BA4784" s="3" t="s">
        <v>45839</v>
      </c>
      <c r="BB4784" s="3" t="s">
        <v>45840</v>
      </c>
      <c r="BC4784" s="3" t="s">
        <v>142</v>
      </c>
      <c r="BD4784" s="3" t="s">
        <v>68</v>
      </c>
      <c r="BE4784" s="3" t="s">
        <v>45841</v>
      </c>
      <c r="BF4784" s="3" t="s">
        <v>45840</v>
      </c>
      <c r="BG4784" s="3" t="s">
        <v>45842</v>
      </c>
    </row>
    <row r="4785" spans="1:59" ht="57" x14ac:dyDescent="0.45">
      <c r="A4785" s="2" t="s">
        <v>59</v>
      </c>
      <c r="B4785" s="2" t="s">
        <v>60</v>
      </c>
      <c r="C4785" s="2" t="s">
        <v>45843</v>
      </c>
      <c r="D4785" s="2" t="s">
        <v>45844</v>
      </c>
      <c r="E4785" s="2" t="s">
        <v>45845</v>
      </c>
      <c r="G4785" s="3" t="s">
        <v>62</v>
      </c>
      <c r="I4785" s="3" t="s">
        <v>61</v>
      </c>
      <c r="J4785" s="3" t="s">
        <v>61</v>
      </c>
      <c r="K4785" s="3" t="s">
        <v>63</v>
      </c>
      <c r="L4785" s="2" t="s">
        <v>651</v>
      </c>
      <c r="M4785" s="2" t="s">
        <v>45846</v>
      </c>
      <c r="N4785" s="3" t="s">
        <v>793</v>
      </c>
      <c r="P4785" s="3" t="s">
        <v>65</v>
      </c>
      <c r="Q4785" s="2" t="s">
        <v>45847</v>
      </c>
      <c r="R4785" s="3" t="s">
        <v>66</v>
      </c>
      <c r="S4785" s="4">
        <v>10</v>
      </c>
      <c r="T4785" s="4">
        <v>38</v>
      </c>
      <c r="U4785" s="5" t="s">
        <v>45848</v>
      </c>
      <c r="V4785" s="5" t="s">
        <v>2406</v>
      </c>
      <c r="W4785" s="5" t="s">
        <v>67</v>
      </c>
      <c r="X4785" s="5" t="s">
        <v>67</v>
      </c>
      <c r="Y4785" s="4">
        <v>828</v>
      </c>
      <c r="Z4785" s="4">
        <v>47</v>
      </c>
      <c r="AA4785" s="4">
        <v>99</v>
      </c>
      <c r="AB4785" s="4">
        <v>3</v>
      </c>
      <c r="AC4785" s="4">
        <v>14</v>
      </c>
      <c r="AD4785" s="4">
        <v>132</v>
      </c>
      <c r="AE4785" s="4">
        <v>154</v>
      </c>
      <c r="AF4785" s="4">
        <v>2</v>
      </c>
      <c r="AG4785" s="4">
        <v>8</v>
      </c>
      <c r="AH4785" s="4">
        <v>108</v>
      </c>
      <c r="AI4785" s="4">
        <v>111</v>
      </c>
      <c r="AJ4785" s="4">
        <v>22</v>
      </c>
      <c r="AK4785" s="4">
        <v>27</v>
      </c>
      <c r="AL4785" s="4">
        <v>58</v>
      </c>
      <c r="AM4785" s="4">
        <v>58</v>
      </c>
      <c r="AN4785" s="4">
        <v>0</v>
      </c>
      <c r="AO4785" s="4">
        <v>0</v>
      </c>
      <c r="AP4785" s="4">
        <v>32</v>
      </c>
      <c r="AQ4785" s="4">
        <v>51</v>
      </c>
      <c r="AR4785" s="3" t="s">
        <v>62</v>
      </c>
      <c r="AS4785" s="3" t="s">
        <v>62</v>
      </c>
      <c r="AT4785" s="3" t="s">
        <v>61</v>
      </c>
      <c r="AU4785" s="6" t="str">
        <f>HYPERLINK("http://catalog.hathitrust.org/Record/001657850","HathiTrust Record")</f>
        <v>HathiTrust Record</v>
      </c>
      <c r="AV4785" s="6" t="str">
        <f>HYPERLINK("http://mcgill.on.worldcat.org/oclc/416377","Catalog Record")</f>
        <v>Catalog Record</v>
      </c>
      <c r="AW4785" s="6" t="str">
        <f>HYPERLINK("http://www.worldcat.org/oclc/416377","WorldCat Record")</f>
        <v>WorldCat Record</v>
      </c>
      <c r="AX4785" s="3" t="s">
        <v>45849</v>
      </c>
      <c r="AY4785" s="3" t="s">
        <v>45850</v>
      </c>
      <c r="AZ4785" s="3" t="s">
        <v>45851</v>
      </c>
      <c r="BA4785" s="3" t="s">
        <v>45851</v>
      </c>
      <c r="BB4785" s="3" t="s">
        <v>45852</v>
      </c>
      <c r="BC4785" s="3" t="s">
        <v>142</v>
      </c>
      <c r="BD4785" s="3" t="s">
        <v>68</v>
      </c>
      <c r="BE4785" s="3" t="s">
        <v>45853</v>
      </c>
      <c r="BF4785" s="3" t="s">
        <v>45852</v>
      </c>
      <c r="BG4785" s="3" t="s">
        <v>45854</v>
      </c>
    </row>
    <row r="4786" spans="1:59" ht="57" x14ac:dyDescent="0.45">
      <c r="A4786" s="2" t="s">
        <v>59</v>
      </c>
      <c r="B4786" s="2" t="s">
        <v>60</v>
      </c>
      <c r="C4786" s="2" t="s">
        <v>45843</v>
      </c>
      <c r="D4786" s="2" t="s">
        <v>45844</v>
      </c>
      <c r="E4786" s="2" t="s">
        <v>45845</v>
      </c>
      <c r="G4786" s="3" t="s">
        <v>62</v>
      </c>
      <c r="I4786" s="3" t="s">
        <v>61</v>
      </c>
      <c r="J4786" s="3" t="s">
        <v>61</v>
      </c>
      <c r="K4786" s="3" t="s">
        <v>63</v>
      </c>
      <c r="L4786" s="2" t="s">
        <v>651</v>
      </c>
      <c r="M4786" s="2" t="s">
        <v>45846</v>
      </c>
      <c r="N4786" s="3" t="s">
        <v>793</v>
      </c>
      <c r="P4786" s="3" t="s">
        <v>65</v>
      </c>
      <c r="Q4786" s="2" t="s">
        <v>45847</v>
      </c>
      <c r="R4786" s="3" t="s">
        <v>66</v>
      </c>
      <c r="S4786" s="4">
        <v>20</v>
      </c>
      <c r="T4786" s="4">
        <v>38</v>
      </c>
      <c r="U4786" s="5" t="s">
        <v>2406</v>
      </c>
      <c r="V4786" s="5" t="s">
        <v>2406</v>
      </c>
      <c r="W4786" s="5" t="s">
        <v>67</v>
      </c>
      <c r="X4786" s="5" t="s">
        <v>67</v>
      </c>
      <c r="Y4786" s="4">
        <v>828</v>
      </c>
      <c r="Z4786" s="4">
        <v>47</v>
      </c>
      <c r="AA4786" s="4">
        <v>99</v>
      </c>
      <c r="AB4786" s="4">
        <v>3</v>
      </c>
      <c r="AC4786" s="4">
        <v>14</v>
      </c>
      <c r="AD4786" s="4">
        <v>132</v>
      </c>
      <c r="AE4786" s="4">
        <v>154</v>
      </c>
      <c r="AF4786" s="4">
        <v>2</v>
      </c>
      <c r="AG4786" s="4">
        <v>8</v>
      </c>
      <c r="AH4786" s="4">
        <v>108</v>
      </c>
      <c r="AI4786" s="4">
        <v>111</v>
      </c>
      <c r="AJ4786" s="4">
        <v>22</v>
      </c>
      <c r="AK4786" s="4">
        <v>27</v>
      </c>
      <c r="AL4786" s="4">
        <v>58</v>
      </c>
      <c r="AM4786" s="4">
        <v>58</v>
      </c>
      <c r="AN4786" s="4">
        <v>0</v>
      </c>
      <c r="AO4786" s="4">
        <v>0</v>
      </c>
      <c r="AP4786" s="4">
        <v>32</v>
      </c>
      <c r="AQ4786" s="4">
        <v>51</v>
      </c>
      <c r="AR4786" s="3" t="s">
        <v>62</v>
      </c>
      <c r="AS4786" s="3" t="s">
        <v>62</v>
      </c>
      <c r="AT4786" s="3" t="s">
        <v>61</v>
      </c>
      <c r="AU4786" s="6" t="str">
        <f>HYPERLINK("http://catalog.hathitrust.org/Record/001657850","HathiTrust Record")</f>
        <v>HathiTrust Record</v>
      </c>
      <c r="AV4786" s="6" t="str">
        <f>HYPERLINK("http://mcgill.on.worldcat.org/oclc/416377","Catalog Record")</f>
        <v>Catalog Record</v>
      </c>
      <c r="AW4786" s="6" t="str">
        <f>HYPERLINK("http://www.worldcat.org/oclc/416377","WorldCat Record")</f>
        <v>WorldCat Record</v>
      </c>
      <c r="AX4786" s="3" t="s">
        <v>45849</v>
      </c>
      <c r="AY4786" s="3" t="s">
        <v>45850</v>
      </c>
      <c r="AZ4786" s="3" t="s">
        <v>45851</v>
      </c>
      <c r="BA4786" s="3" t="s">
        <v>45851</v>
      </c>
      <c r="BB4786" s="3" t="s">
        <v>45855</v>
      </c>
      <c r="BC4786" s="3" t="s">
        <v>142</v>
      </c>
      <c r="BD4786" s="3" t="s">
        <v>68</v>
      </c>
      <c r="BE4786" s="3" t="s">
        <v>45853</v>
      </c>
      <c r="BF4786" s="3" t="s">
        <v>45855</v>
      </c>
      <c r="BG4786" s="3" t="s">
        <v>45856</v>
      </c>
    </row>
    <row r="4787" spans="1:59" ht="57" x14ac:dyDescent="0.45">
      <c r="A4787" s="2" t="s">
        <v>59</v>
      </c>
      <c r="B4787" s="2" t="s">
        <v>412</v>
      </c>
      <c r="C4787" s="2" t="s">
        <v>45843</v>
      </c>
      <c r="D4787" s="2" t="s">
        <v>45844</v>
      </c>
      <c r="E4787" s="2" t="s">
        <v>45845</v>
      </c>
      <c r="G4787" s="3" t="s">
        <v>62</v>
      </c>
      <c r="I4787" s="3" t="s">
        <v>61</v>
      </c>
      <c r="J4787" s="3" t="s">
        <v>61</v>
      </c>
      <c r="K4787" s="3" t="s">
        <v>63</v>
      </c>
      <c r="L4787" s="2" t="s">
        <v>651</v>
      </c>
      <c r="M4787" s="2" t="s">
        <v>45846</v>
      </c>
      <c r="N4787" s="3" t="s">
        <v>793</v>
      </c>
      <c r="P4787" s="3" t="s">
        <v>65</v>
      </c>
      <c r="Q4787" s="2" t="s">
        <v>45847</v>
      </c>
      <c r="R4787" s="3" t="s">
        <v>66</v>
      </c>
      <c r="S4787" s="4">
        <v>0</v>
      </c>
      <c r="T4787" s="4">
        <v>38</v>
      </c>
      <c r="V4787" s="5" t="s">
        <v>2406</v>
      </c>
      <c r="W4787" s="5" t="s">
        <v>67</v>
      </c>
      <c r="X4787" s="5" t="s">
        <v>67</v>
      </c>
      <c r="Y4787" s="4">
        <v>828</v>
      </c>
      <c r="Z4787" s="4">
        <v>47</v>
      </c>
      <c r="AA4787" s="4">
        <v>99</v>
      </c>
      <c r="AB4787" s="4">
        <v>3</v>
      </c>
      <c r="AC4787" s="4">
        <v>14</v>
      </c>
      <c r="AD4787" s="4">
        <v>132</v>
      </c>
      <c r="AE4787" s="4">
        <v>154</v>
      </c>
      <c r="AF4787" s="4">
        <v>2</v>
      </c>
      <c r="AG4787" s="4">
        <v>8</v>
      </c>
      <c r="AH4787" s="4">
        <v>108</v>
      </c>
      <c r="AI4787" s="4">
        <v>111</v>
      </c>
      <c r="AJ4787" s="4">
        <v>22</v>
      </c>
      <c r="AK4787" s="4">
        <v>27</v>
      </c>
      <c r="AL4787" s="4">
        <v>58</v>
      </c>
      <c r="AM4787" s="4">
        <v>58</v>
      </c>
      <c r="AN4787" s="4">
        <v>0</v>
      </c>
      <c r="AO4787" s="4">
        <v>0</v>
      </c>
      <c r="AP4787" s="4">
        <v>32</v>
      </c>
      <c r="AQ4787" s="4">
        <v>51</v>
      </c>
      <c r="AR4787" s="3" t="s">
        <v>62</v>
      </c>
      <c r="AS4787" s="3" t="s">
        <v>62</v>
      </c>
      <c r="AT4787" s="3" t="s">
        <v>61</v>
      </c>
      <c r="AU4787" s="6" t="str">
        <f>HYPERLINK("http://catalog.hathitrust.org/Record/001657850","HathiTrust Record")</f>
        <v>HathiTrust Record</v>
      </c>
      <c r="AV4787" s="6" t="str">
        <f>HYPERLINK("http://mcgill.on.worldcat.org/oclc/416377","Catalog Record")</f>
        <v>Catalog Record</v>
      </c>
      <c r="AW4787" s="6" t="str">
        <f>HYPERLINK("http://www.worldcat.org/oclc/416377","WorldCat Record")</f>
        <v>WorldCat Record</v>
      </c>
      <c r="AX4787" s="3" t="s">
        <v>45849</v>
      </c>
      <c r="AY4787" s="3" t="s">
        <v>45850</v>
      </c>
      <c r="AZ4787" s="3" t="s">
        <v>45851</v>
      </c>
      <c r="BA4787" s="3" t="s">
        <v>45851</v>
      </c>
      <c r="BB4787" s="3" t="s">
        <v>45857</v>
      </c>
      <c r="BC4787" s="3" t="s">
        <v>142</v>
      </c>
      <c r="BD4787" s="3" t="s">
        <v>68</v>
      </c>
      <c r="BE4787" s="3" t="s">
        <v>45853</v>
      </c>
      <c r="BF4787" s="3" t="s">
        <v>45857</v>
      </c>
      <c r="BG4787" s="3" t="s">
        <v>45858</v>
      </c>
    </row>
    <row r="4788" spans="1:59" ht="57" x14ac:dyDescent="0.45">
      <c r="A4788" s="2" t="s">
        <v>59</v>
      </c>
      <c r="B4788" s="2" t="s">
        <v>60</v>
      </c>
      <c r="C4788" s="2" t="s">
        <v>45843</v>
      </c>
      <c r="D4788" s="2" t="s">
        <v>45844</v>
      </c>
      <c r="E4788" s="2" t="s">
        <v>45845</v>
      </c>
      <c r="G4788" s="3" t="s">
        <v>62</v>
      </c>
      <c r="I4788" s="3" t="s">
        <v>61</v>
      </c>
      <c r="J4788" s="3" t="s">
        <v>61</v>
      </c>
      <c r="K4788" s="3" t="s">
        <v>63</v>
      </c>
      <c r="L4788" s="2" t="s">
        <v>651</v>
      </c>
      <c r="M4788" s="2" t="s">
        <v>45846</v>
      </c>
      <c r="N4788" s="3" t="s">
        <v>793</v>
      </c>
      <c r="P4788" s="3" t="s">
        <v>65</v>
      </c>
      <c r="Q4788" s="2" t="s">
        <v>45847</v>
      </c>
      <c r="R4788" s="3" t="s">
        <v>66</v>
      </c>
      <c r="S4788" s="4">
        <v>8</v>
      </c>
      <c r="T4788" s="4">
        <v>38</v>
      </c>
      <c r="U4788" s="5" t="s">
        <v>45859</v>
      </c>
      <c r="V4788" s="5" t="s">
        <v>2406</v>
      </c>
      <c r="W4788" s="5" t="s">
        <v>67</v>
      </c>
      <c r="X4788" s="5" t="s">
        <v>67</v>
      </c>
      <c r="Y4788" s="4">
        <v>828</v>
      </c>
      <c r="Z4788" s="4">
        <v>47</v>
      </c>
      <c r="AA4788" s="4">
        <v>99</v>
      </c>
      <c r="AB4788" s="4">
        <v>3</v>
      </c>
      <c r="AC4788" s="4">
        <v>14</v>
      </c>
      <c r="AD4788" s="4">
        <v>132</v>
      </c>
      <c r="AE4788" s="4">
        <v>154</v>
      </c>
      <c r="AF4788" s="4">
        <v>2</v>
      </c>
      <c r="AG4788" s="4">
        <v>8</v>
      </c>
      <c r="AH4788" s="4">
        <v>108</v>
      </c>
      <c r="AI4788" s="4">
        <v>111</v>
      </c>
      <c r="AJ4788" s="4">
        <v>22</v>
      </c>
      <c r="AK4788" s="4">
        <v>27</v>
      </c>
      <c r="AL4788" s="4">
        <v>58</v>
      </c>
      <c r="AM4788" s="4">
        <v>58</v>
      </c>
      <c r="AN4788" s="4">
        <v>0</v>
      </c>
      <c r="AO4788" s="4">
        <v>0</v>
      </c>
      <c r="AP4788" s="4">
        <v>32</v>
      </c>
      <c r="AQ4788" s="4">
        <v>51</v>
      </c>
      <c r="AR4788" s="3" t="s">
        <v>62</v>
      </c>
      <c r="AS4788" s="3" t="s">
        <v>62</v>
      </c>
      <c r="AT4788" s="3" t="s">
        <v>61</v>
      </c>
      <c r="AU4788" s="6" t="str">
        <f>HYPERLINK("http://catalog.hathitrust.org/Record/001657850","HathiTrust Record")</f>
        <v>HathiTrust Record</v>
      </c>
      <c r="AV4788" s="6" t="str">
        <f>HYPERLINK("http://mcgill.on.worldcat.org/oclc/416377","Catalog Record")</f>
        <v>Catalog Record</v>
      </c>
      <c r="AW4788" s="6" t="str">
        <f>HYPERLINK("http://www.worldcat.org/oclc/416377","WorldCat Record")</f>
        <v>WorldCat Record</v>
      </c>
      <c r="AX4788" s="3" t="s">
        <v>45849</v>
      </c>
      <c r="AY4788" s="3" t="s">
        <v>45850</v>
      </c>
      <c r="AZ4788" s="3" t="s">
        <v>45851</v>
      </c>
      <c r="BA4788" s="3" t="s">
        <v>45851</v>
      </c>
      <c r="BB4788" s="3" t="s">
        <v>45860</v>
      </c>
      <c r="BC4788" s="3" t="s">
        <v>142</v>
      </c>
      <c r="BD4788" s="3" t="s">
        <v>68</v>
      </c>
      <c r="BE4788" s="3" t="s">
        <v>45853</v>
      </c>
      <c r="BF4788" s="3" t="s">
        <v>45860</v>
      </c>
      <c r="BG4788" s="3" t="s">
        <v>45861</v>
      </c>
    </row>
    <row r="4789" spans="1:59" ht="57" x14ac:dyDescent="0.45">
      <c r="A4789" s="2" t="s">
        <v>59</v>
      </c>
      <c r="B4789" s="2" t="s">
        <v>60</v>
      </c>
      <c r="C4789" s="2" t="s">
        <v>45862</v>
      </c>
      <c r="D4789" s="2" t="s">
        <v>45863</v>
      </c>
      <c r="E4789" s="2" t="s">
        <v>45864</v>
      </c>
      <c r="G4789" s="3" t="s">
        <v>62</v>
      </c>
      <c r="I4789" s="3" t="s">
        <v>62</v>
      </c>
      <c r="J4789" s="3" t="s">
        <v>62</v>
      </c>
      <c r="K4789" s="3" t="s">
        <v>63</v>
      </c>
      <c r="L4789" s="2" t="s">
        <v>45865</v>
      </c>
      <c r="M4789" s="2" t="s">
        <v>3026</v>
      </c>
      <c r="N4789" s="3" t="s">
        <v>1155</v>
      </c>
      <c r="P4789" s="3" t="s">
        <v>65</v>
      </c>
      <c r="Q4789" s="2" t="s">
        <v>29735</v>
      </c>
      <c r="R4789" s="3" t="s">
        <v>66</v>
      </c>
      <c r="S4789" s="4">
        <v>3</v>
      </c>
      <c r="T4789" s="4">
        <v>3</v>
      </c>
      <c r="U4789" s="5" t="s">
        <v>20732</v>
      </c>
      <c r="V4789" s="5" t="s">
        <v>20732</v>
      </c>
      <c r="W4789" s="5" t="s">
        <v>67</v>
      </c>
      <c r="X4789" s="5" t="s">
        <v>67</v>
      </c>
      <c r="Y4789" s="4">
        <v>73</v>
      </c>
      <c r="Z4789" s="4">
        <v>10</v>
      </c>
      <c r="AA4789" s="4">
        <v>76</v>
      </c>
      <c r="AB4789" s="4">
        <v>1</v>
      </c>
      <c r="AC4789" s="4">
        <v>14</v>
      </c>
      <c r="AD4789" s="4">
        <v>25</v>
      </c>
      <c r="AE4789" s="4">
        <v>91</v>
      </c>
      <c r="AF4789" s="4">
        <v>0</v>
      </c>
      <c r="AG4789" s="4">
        <v>8</v>
      </c>
      <c r="AH4789" s="4">
        <v>21</v>
      </c>
      <c r="AI4789" s="4">
        <v>61</v>
      </c>
      <c r="AJ4789" s="4">
        <v>6</v>
      </c>
      <c r="AK4789" s="4">
        <v>20</v>
      </c>
      <c r="AL4789" s="4">
        <v>11</v>
      </c>
      <c r="AM4789" s="4">
        <v>31</v>
      </c>
      <c r="AN4789" s="4">
        <v>0</v>
      </c>
      <c r="AO4789" s="4">
        <v>0</v>
      </c>
      <c r="AP4789" s="4">
        <v>8</v>
      </c>
      <c r="AQ4789" s="4">
        <v>39</v>
      </c>
      <c r="AR4789" s="3" t="s">
        <v>62</v>
      </c>
      <c r="AS4789" s="3" t="s">
        <v>62</v>
      </c>
      <c r="AT4789" s="3" t="s">
        <v>62</v>
      </c>
      <c r="AV4789" s="6" t="str">
        <f>HYPERLINK("http://mcgill.on.worldcat.org/oclc/789148317","Catalog Record")</f>
        <v>Catalog Record</v>
      </c>
      <c r="AW4789" s="6" t="str">
        <f>HYPERLINK("http://www.worldcat.org/oclc/789148317","WorldCat Record")</f>
        <v>WorldCat Record</v>
      </c>
      <c r="AX4789" s="3" t="s">
        <v>45866</v>
      </c>
      <c r="AY4789" s="3" t="s">
        <v>45867</v>
      </c>
      <c r="AZ4789" s="3" t="s">
        <v>45868</v>
      </c>
      <c r="BA4789" s="3" t="s">
        <v>45868</v>
      </c>
      <c r="BB4789" s="3" t="s">
        <v>45869</v>
      </c>
      <c r="BC4789" s="3" t="s">
        <v>142</v>
      </c>
      <c r="BD4789" s="3" t="s">
        <v>68</v>
      </c>
      <c r="BE4789" s="3" t="s">
        <v>45870</v>
      </c>
      <c r="BF4789" s="3" t="s">
        <v>45869</v>
      </c>
      <c r="BG4789" s="3" t="s">
        <v>45871</v>
      </c>
    </row>
    <row r="4790" spans="1:59" ht="57" x14ac:dyDescent="0.45">
      <c r="A4790" s="2" t="s">
        <v>59</v>
      </c>
      <c r="B4790" s="2" t="s">
        <v>60</v>
      </c>
      <c r="C4790" s="2" t="s">
        <v>45872</v>
      </c>
      <c r="D4790" s="2" t="s">
        <v>45873</v>
      </c>
      <c r="E4790" s="2" t="s">
        <v>45874</v>
      </c>
      <c r="G4790" s="3" t="s">
        <v>62</v>
      </c>
      <c r="I4790" s="3" t="s">
        <v>62</v>
      </c>
      <c r="J4790" s="3" t="s">
        <v>62</v>
      </c>
      <c r="K4790" s="3" t="s">
        <v>63</v>
      </c>
      <c r="M4790" s="2" t="s">
        <v>45875</v>
      </c>
      <c r="N4790" s="3" t="s">
        <v>149</v>
      </c>
      <c r="P4790" s="3" t="s">
        <v>65</v>
      </c>
      <c r="R4790" s="3" t="s">
        <v>66</v>
      </c>
      <c r="S4790" s="4">
        <v>0</v>
      </c>
      <c r="T4790" s="4">
        <v>0</v>
      </c>
      <c r="W4790" s="5" t="s">
        <v>67</v>
      </c>
      <c r="X4790" s="5" t="s">
        <v>67</v>
      </c>
      <c r="Y4790" s="4">
        <v>68</v>
      </c>
      <c r="Z4790" s="4">
        <v>11</v>
      </c>
      <c r="AA4790" s="4">
        <v>12</v>
      </c>
      <c r="AB4790" s="4">
        <v>1</v>
      </c>
      <c r="AC4790" s="4">
        <v>2</v>
      </c>
      <c r="AD4790" s="4">
        <v>36</v>
      </c>
      <c r="AE4790" s="4">
        <v>37</v>
      </c>
      <c r="AF4790" s="4">
        <v>0</v>
      </c>
      <c r="AG4790" s="4">
        <v>1</v>
      </c>
      <c r="AH4790" s="4">
        <v>33</v>
      </c>
      <c r="AI4790" s="4">
        <v>34</v>
      </c>
      <c r="AJ4790" s="4">
        <v>9</v>
      </c>
      <c r="AK4790" s="4">
        <v>10</v>
      </c>
      <c r="AL4790" s="4">
        <v>23</v>
      </c>
      <c r="AM4790" s="4">
        <v>23</v>
      </c>
      <c r="AN4790" s="4">
        <v>0</v>
      </c>
      <c r="AO4790" s="4">
        <v>0</v>
      </c>
      <c r="AP4790" s="4">
        <v>9</v>
      </c>
      <c r="AQ4790" s="4">
        <v>10</v>
      </c>
      <c r="AR4790" s="3" t="s">
        <v>62</v>
      </c>
      <c r="AS4790" s="3" t="s">
        <v>62</v>
      </c>
      <c r="AT4790" s="3" t="s">
        <v>62</v>
      </c>
      <c r="AV4790" s="6" t="str">
        <f>HYPERLINK("http://mcgill.on.worldcat.org/oclc/587198749","Catalog Record")</f>
        <v>Catalog Record</v>
      </c>
      <c r="AW4790" s="6" t="str">
        <f>HYPERLINK("http://www.worldcat.org/oclc/587198749","WorldCat Record")</f>
        <v>WorldCat Record</v>
      </c>
      <c r="AX4790" s="3" t="s">
        <v>45876</v>
      </c>
      <c r="AY4790" s="3" t="s">
        <v>45877</v>
      </c>
      <c r="AZ4790" s="3" t="s">
        <v>45878</v>
      </c>
      <c r="BA4790" s="3" t="s">
        <v>45878</v>
      </c>
      <c r="BB4790" s="3" t="s">
        <v>45879</v>
      </c>
      <c r="BC4790" s="3" t="s">
        <v>142</v>
      </c>
      <c r="BD4790" s="3" t="s">
        <v>68</v>
      </c>
      <c r="BE4790" s="3" t="s">
        <v>45880</v>
      </c>
      <c r="BF4790" s="3" t="s">
        <v>45879</v>
      </c>
      <c r="BG4790" s="3" t="s">
        <v>45881</v>
      </c>
    </row>
    <row r="4791" spans="1:59" ht="57" x14ac:dyDescent="0.45">
      <c r="A4791" s="2" t="s">
        <v>59</v>
      </c>
      <c r="B4791" s="2" t="s">
        <v>60</v>
      </c>
      <c r="C4791" s="2" t="s">
        <v>45882</v>
      </c>
      <c r="D4791" s="2" t="s">
        <v>45883</v>
      </c>
      <c r="E4791" s="2" t="s">
        <v>45884</v>
      </c>
      <c r="G4791" s="3" t="s">
        <v>62</v>
      </c>
      <c r="I4791" s="3" t="s">
        <v>62</v>
      </c>
      <c r="J4791" s="3" t="s">
        <v>61</v>
      </c>
      <c r="K4791" s="3" t="s">
        <v>63</v>
      </c>
      <c r="L4791" s="2" t="s">
        <v>45885</v>
      </c>
      <c r="M4791" s="2" t="s">
        <v>45886</v>
      </c>
      <c r="N4791" s="3" t="s">
        <v>529</v>
      </c>
      <c r="P4791" s="3" t="s">
        <v>65</v>
      </c>
      <c r="R4791" s="3" t="s">
        <v>66</v>
      </c>
      <c r="S4791" s="4">
        <v>12</v>
      </c>
      <c r="T4791" s="4">
        <v>12</v>
      </c>
      <c r="U4791" s="5" t="s">
        <v>45887</v>
      </c>
      <c r="V4791" s="5" t="s">
        <v>45887</v>
      </c>
      <c r="W4791" s="5" t="s">
        <v>67</v>
      </c>
      <c r="X4791" s="5" t="s">
        <v>67</v>
      </c>
      <c r="Y4791" s="4">
        <v>381</v>
      </c>
      <c r="Z4791" s="4">
        <v>20</v>
      </c>
      <c r="AA4791" s="4">
        <v>33</v>
      </c>
      <c r="AB4791" s="4">
        <v>1</v>
      </c>
      <c r="AC4791" s="4">
        <v>4</v>
      </c>
      <c r="AD4791" s="4">
        <v>117</v>
      </c>
      <c r="AE4791" s="4">
        <v>132</v>
      </c>
      <c r="AF4791" s="4">
        <v>0</v>
      </c>
      <c r="AG4791" s="4">
        <v>3</v>
      </c>
      <c r="AH4791" s="4">
        <v>106</v>
      </c>
      <c r="AI4791" s="4">
        <v>114</v>
      </c>
      <c r="AJ4791" s="4">
        <v>15</v>
      </c>
      <c r="AK4791" s="4">
        <v>21</v>
      </c>
      <c r="AL4791" s="4">
        <v>59</v>
      </c>
      <c r="AM4791" s="4">
        <v>60</v>
      </c>
      <c r="AN4791" s="4">
        <v>0</v>
      </c>
      <c r="AO4791" s="4">
        <v>0</v>
      </c>
      <c r="AP4791" s="4">
        <v>18</v>
      </c>
      <c r="AQ4791" s="4">
        <v>27</v>
      </c>
      <c r="AR4791" s="3" t="s">
        <v>62</v>
      </c>
      <c r="AS4791" s="3" t="s">
        <v>62</v>
      </c>
      <c r="AT4791" s="3" t="s">
        <v>61</v>
      </c>
      <c r="AU4791" s="6" t="str">
        <f>HYPERLINK("http://catalog.hathitrust.org/Record/000609436","HathiTrust Record")</f>
        <v>HathiTrust Record</v>
      </c>
      <c r="AV4791" s="6" t="str">
        <f>HYPERLINK("http://mcgill.on.worldcat.org/oclc/11676076","Catalog Record")</f>
        <v>Catalog Record</v>
      </c>
      <c r="AW4791" s="6" t="str">
        <f>HYPERLINK("http://www.worldcat.org/oclc/11676076","WorldCat Record")</f>
        <v>WorldCat Record</v>
      </c>
      <c r="AX4791" s="3" t="s">
        <v>45888</v>
      </c>
      <c r="AY4791" s="3" t="s">
        <v>45889</v>
      </c>
      <c r="AZ4791" s="3" t="s">
        <v>45890</v>
      </c>
      <c r="BA4791" s="3" t="s">
        <v>45890</v>
      </c>
      <c r="BB4791" s="3" t="s">
        <v>45891</v>
      </c>
      <c r="BC4791" s="3" t="s">
        <v>142</v>
      </c>
      <c r="BD4791" s="3" t="s">
        <v>68</v>
      </c>
      <c r="BE4791" s="3" t="s">
        <v>45892</v>
      </c>
      <c r="BF4791" s="3" t="s">
        <v>45891</v>
      </c>
      <c r="BG4791" s="3" t="s">
        <v>45893</v>
      </c>
    </row>
    <row r="4792" spans="1:59" ht="57" x14ac:dyDescent="0.45">
      <c r="A4792" s="2" t="s">
        <v>59</v>
      </c>
      <c r="B4792" s="2" t="s">
        <v>60</v>
      </c>
      <c r="C4792" s="2" t="s">
        <v>45894</v>
      </c>
      <c r="D4792" s="2" t="s">
        <v>45895</v>
      </c>
      <c r="E4792" s="2" t="s">
        <v>45896</v>
      </c>
      <c r="G4792" s="3" t="s">
        <v>62</v>
      </c>
      <c r="I4792" s="3" t="s">
        <v>62</v>
      </c>
      <c r="J4792" s="3" t="s">
        <v>62</v>
      </c>
      <c r="K4792" s="3" t="s">
        <v>63</v>
      </c>
      <c r="M4792" s="2" t="s">
        <v>2976</v>
      </c>
      <c r="N4792" s="3" t="s">
        <v>149</v>
      </c>
      <c r="P4792" s="3" t="s">
        <v>65</v>
      </c>
      <c r="Q4792" s="2" t="s">
        <v>45897</v>
      </c>
      <c r="R4792" s="3" t="s">
        <v>66</v>
      </c>
      <c r="S4792" s="4">
        <v>3</v>
      </c>
      <c r="T4792" s="4">
        <v>3</v>
      </c>
      <c r="U4792" s="5" t="s">
        <v>20732</v>
      </c>
      <c r="V4792" s="5" t="s">
        <v>20732</v>
      </c>
      <c r="W4792" s="5" t="s">
        <v>67</v>
      </c>
      <c r="X4792" s="5" t="s">
        <v>67</v>
      </c>
      <c r="Y4792" s="4">
        <v>122</v>
      </c>
      <c r="Z4792" s="4">
        <v>13</v>
      </c>
      <c r="AA4792" s="4">
        <v>21</v>
      </c>
      <c r="AB4792" s="4">
        <v>2</v>
      </c>
      <c r="AC4792" s="4">
        <v>6</v>
      </c>
      <c r="AD4792" s="4">
        <v>60</v>
      </c>
      <c r="AE4792" s="4">
        <v>69</v>
      </c>
      <c r="AF4792" s="4">
        <v>1</v>
      </c>
      <c r="AG4792" s="4">
        <v>2</v>
      </c>
      <c r="AH4792" s="4">
        <v>55</v>
      </c>
      <c r="AI4792" s="4">
        <v>61</v>
      </c>
      <c r="AJ4792" s="4">
        <v>11</v>
      </c>
      <c r="AK4792" s="4">
        <v>14</v>
      </c>
      <c r="AL4792" s="4">
        <v>34</v>
      </c>
      <c r="AM4792" s="4">
        <v>37</v>
      </c>
      <c r="AN4792" s="4">
        <v>0</v>
      </c>
      <c r="AO4792" s="4">
        <v>0</v>
      </c>
      <c r="AP4792" s="4">
        <v>12</v>
      </c>
      <c r="AQ4792" s="4">
        <v>17</v>
      </c>
      <c r="AR4792" s="3" t="s">
        <v>62</v>
      </c>
      <c r="AS4792" s="3" t="s">
        <v>62</v>
      </c>
      <c r="AT4792" s="3" t="s">
        <v>62</v>
      </c>
      <c r="AV4792" s="6" t="str">
        <f>HYPERLINK("http://mcgill.on.worldcat.org/oclc/477256517","Catalog Record")</f>
        <v>Catalog Record</v>
      </c>
      <c r="AW4792" s="6" t="str">
        <f>HYPERLINK("http://www.worldcat.org/oclc/477256517","WorldCat Record")</f>
        <v>WorldCat Record</v>
      </c>
      <c r="AX4792" s="3" t="s">
        <v>45898</v>
      </c>
      <c r="AY4792" s="3" t="s">
        <v>45899</v>
      </c>
      <c r="AZ4792" s="3" t="s">
        <v>45900</v>
      </c>
      <c r="BA4792" s="3" t="s">
        <v>45900</v>
      </c>
      <c r="BB4792" s="3" t="s">
        <v>45901</v>
      </c>
      <c r="BC4792" s="3" t="s">
        <v>142</v>
      </c>
      <c r="BD4792" s="3" t="s">
        <v>68</v>
      </c>
      <c r="BE4792" s="3" t="s">
        <v>45902</v>
      </c>
      <c r="BF4792" s="3" t="s">
        <v>45901</v>
      </c>
      <c r="BG4792" s="3" t="s">
        <v>45903</v>
      </c>
    </row>
    <row r="4793" spans="1:59" ht="57" x14ac:dyDescent="0.45">
      <c r="A4793" s="2" t="s">
        <v>59</v>
      </c>
      <c r="B4793" s="2" t="s">
        <v>60</v>
      </c>
      <c r="C4793" s="2" t="s">
        <v>45904</v>
      </c>
      <c r="D4793" s="2" t="s">
        <v>45905</v>
      </c>
      <c r="E4793" s="2" t="s">
        <v>45906</v>
      </c>
      <c r="G4793" s="3" t="s">
        <v>62</v>
      </c>
      <c r="I4793" s="3" t="s">
        <v>62</v>
      </c>
      <c r="J4793" s="3" t="s">
        <v>62</v>
      </c>
      <c r="K4793" s="3" t="s">
        <v>63</v>
      </c>
      <c r="L4793" s="2" t="s">
        <v>45907</v>
      </c>
      <c r="M4793" s="2" t="s">
        <v>1713</v>
      </c>
      <c r="N4793" s="3" t="s">
        <v>1155</v>
      </c>
      <c r="P4793" s="3" t="s">
        <v>65</v>
      </c>
      <c r="R4793" s="3" t="s">
        <v>66</v>
      </c>
      <c r="S4793" s="4">
        <v>0</v>
      </c>
      <c r="T4793" s="4">
        <v>0</v>
      </c>
      <c r="W4793" s="5" t="s">
        <v>67</v>
      </c>
      <c r="X4793" s="5" t="s">
        <v>67</v>
      </c>
      <c r="Y4793" s="4">
        <v>79</v>
      </c>
      <c r="Z4793" s="4">
        <v>11</v>
      </c>
      <c r="AA4793" s="4">
        <v>101</v>
      </c>
      <c r="AB4793" s="4">
        <v>1</v>
      </c>
      <c r="AC4793" s="4">
        <v>14</v>
      </c>
      <c r="AD4793" s="4">
        <v>35</v>
      </c>
      <c r="AE4793" s="4">
        <v>112</v>
      </c>
      <c r="AF4793" s="4">
        <v>0</v>
      </c>
      <c r="AG4793" s="4">
        <v>8</v>
      </c>
      <c r="AH4793" s="4">
        <v>32</v>
      </c>
      <c r="AI4793" s="4">
        <v>75</v>
      </c>
      <c r="AJ4793" s="4">
        <v>8</v>
      </c>
      <c r="AK4793" s="4">
        <v>22</v>
      </c>
      <c r="AL4793" s="4">
        <v>20</v>
      </c>
      <c r="AM4793" s="4">
        <v>39</v>
      </c>
      <c r="AN4793" s="4">
        <v>0</v>
      </c>
      <c r="AO4793" s="4">
        <v>0</v>
      </c>
      <c r="AP4793" s="4">
        <v>8</v>
      </c>
      <c r="AQ4793" s="4">
        <v>43</v>
      </c>
      <c r="AR4793" s="3" t="s">
        <v>62</v>
      </c>
      <c r="AS4793" s="3" t="s">
        <v>62</v>
      </c>
      <c r="AT4793" s="3" t="s">
        <v>62</v>
      </c>
      <c r="AV4793" s="6" t="str">
        <f>HYPERLINK("http://mcgill.on.worldcat.org/oclc/738337452","Catalog Record")</f>
        <v>Catalog Record</v>
      </c>
      <c r="AW4793" s="6" t="str">
        <f>HYPERLINK("http://www.worldcat.org/oclc/738337452","WorldCat Record")</f>
        <v>WorldCat Record</v>
      </c>
      <c r="AX4793" s="3" t="s">
        <v>45908</v>
      </c>
      <c r="AY4793" s="3" t="s">
        <v>45909</v>
      </c>
      <c r="AZ4793" s="3" t="s">
        <v>45910</v>
      </c>
      <c r="BA4793" s="3" t="s">
        <v>45910</v>
      </c>
      <c r="BB4793" s="3" t="s">
        <v>45911</v>
      </c>
      <c r="BC4793" s="3" t="s">
        <v>142</v>
      </c>
      <c r="BD4793" s="3" t="s">
        <v>68</v>
      </c>
      <c r="BE4793" s="3" t="s">
        <v>45912</v>
      </c>
      <c r="BF4793" s="3" t="s">
        <v>45911</v>
      </c>
      <c r="BG4793" s="3" t="s">
        <v>45913</v>
      </c>
    </row>
    <row r="4794" spans="1:59" ht="57" x14ac:dyDescent="0.45">
      <c r="A4794" s="2" t="s">
        <v>59</v>
      </c>
      <c r="B4794" s="2" t="s">
        <v>60</v>
      </c>
      <c r="C4794" s="2" t="s">
        <v>45914</v>
      </c>
      <c r="D4794" s="2" t="s">
        <v>45915</v>
      </c>
      <c r="E4794" s="2" t="s">
        <v>45916</v>
      </c>
      <c r="G4794" s="3" t="s">
        <v>62</v>
      </c>
      <c r="I4794" s="3" t="s">
        <v>62</v>
      </c>
      <c r="J4794" s="3" t="s">
        <v>62</v>
      </c>
      <c r="K4794" s="3" t="s">
        <v>63</v>
      </c>
      <c r="M4794" s="2" t="s">
        <v>1917</v>
      </c>
      <c r="N4794" s="3" t="s">
        <v>1918</v>
      </c>
      <c r="P4794" s="3" t="s">
        <v>65</v>
      </c>
      <c r="Q4794" s="2" t="s">
        <v>45917</v>
      </c>
      <c r="R4794" s="3" t="s">
        <v>66</v>
      </c>
      <c r="S4794" s="4">
        <v>0</v>
      </c>
      <c r="T4794" s="4">
        <v>0</v>
      </c>
      <c r="W4794" s="5" t="s">
        <v>67</v>
      </c>
      <c r="X4794" s="5" t="s">
        <v>67</v>
      </c>
      <c r="Y4794" s="4">
        <v>51</v>
      </c>
      <c r="Z4794" s="4">
        <v>5</v>
      </c>
      <c r="AA4794" s="4">
        <v>22</v>
      </c>
      <c r="AB4794" s="4">
        <v>1</v>
      </c>
      <c r="AC4794" s="4">
        <v>4</v>
      </c>
      <c r="AD4794" s="4">
        <v>32</v>
      </c>
      <c r="AE4794" s="4">
        <v>66</v>
      </c>
      <c r="AF4794" s="4">
        <v>0</v>
      </c>
      <c r="AG4794" s="4">
        <v>2</v>
      </c>
      <c r="AH4794" s="4">
        <v>30</v>
      </c>
      <c r="AI4794" s="4">
        <v>54</v>
      </c>
      <c r="AJ4794" s="4">
        <v>4</v>
      </c>
      <c r="AK4794" s="4">
        <v>10</v>
      </c>
      <c r="AL4794" s="4">
        <v>22</v>
      </c>
      <c r="AM4794" s="4">
        <v>33</v>
      </c>
      <c r="AN4794" s="4">
        <v>0</v>
      </c>
      <c r="AO4794" s="4">
        <v>0</v>
      </c>
      <c r="AP4794" s="4">
        <v>4</v>
      </c>
      <c r="AQ4794" s="4">
        <v>16</v>
      </c>
      <c r="AR4794" s="3" t="s">
        <v>62</v>
      </c>
      <c r="AS4794" s="3" t="s">
        <v>62</v>
      </c>
      <c r="AT4794" s="3" t="s">
        <v>62</v>
      </c>
      <c r="AV4794" s="6" t="str">
        <f>HYPERLINK("http://mcgill.on.worldcat.org/oclc/1022084498","Catalog Record")</f>
        <v>Catalog Record</v>
      </c>
      <c r="AW4794" s="6" t="str">
        <f>HYPERLINK("http://www.worldcat.org/oclc/1022084498","WorldCat Record")</f>
        <v>WorldCat Record</v>
      </c>
      <c r="AX4794" s="3" t="s">
        <v>45918</v>
      </c>
      <c r="AY4794" s="3" t="s">
        <v>45919</v>
      </c>
      <c r="AZ4794" s="3" t="s">
        <v>45920</v>
      </c>
      <c r="BA4794" s="3" t="s">
        <v>45920</v>
      </c>
      <c r="BB4794" s="3" t="s">
        <v>45921</v>
      </c>
      <c r="BC4794" s="3" t="s">
        <v>142</v>
      </c>
      <c r="BD4794" s="3" t="s">
        <v>68</v>
      </c>
      <c r="BE4794" s="3" t="s">
        <v>45922</v>
      </c>
      <c r="BF4794" s="3" t="s">
        <v>45921</v>
      </c>
      <c r="BG4794" s="3" t="s">
        <v>45923</v>
      </c>
    </row>
    <row r="4795" spans="1:59" ht="57" x14ac:dyDescent="0.45">
      <c r="A4795" s="2" t="s">
        <v>59</v>
      </c>
      <c r="B4795" s="2" t="s">
        <v>60</v>
      </c>
      <c r="C4795" s="2" t="s">
        <v>45924</v>
      </c>
      <c r="D4795" s="2" t="s">
        <v>45925</v>
      </c>
      <c r="E4795" s="2" t="s">
        <v>45926</v>
      </c>
      <c r="G4795" s="3" t="s">
        <v>62</v>
      </c>
      <c r="I4795" s="3" t="s">
        <v>62</v>
      </c>
      <c r="J4795" s="3" t="s">
        <v>62</v>
      </c>
      <c r="K4795" s="3" t="s">
        <v>63</v>
      </c>
      <c r="M4795" s="2" t="s">
        <v>45927</v>
      </c>
      <c r="N4795" s="3" t="s">
        <v>894</v>
      </c>
      <c r="P4795" s="3" t="s">
        <v>65</v>
      </c>
      <c r="Q4795" s="2" t="s">
        <v>45928</v>
      </c>
      <c r="R4795" s="3" t="s">
        <v>66</v>
      </c>
      <c r="S4795" s="4">
        <v>3</v>
      </c>
      <c r="T4795" s="4">
        <v>3</v>
      </c>
      <c r="U4795" s="5" t="s">
        <v>33479</v>
      </c>
      <c r="V4795" s="5" t="s">
        <v>33479</v>
      </c>
      <c r="W4795" s="5" t="s">
        <v>67</v>
      </c>
      <c r="X4795" s="5" t="s">
        <v>67</v>
      </c>
      <c r="Y4795" s="4">
        <v>135</v>
      </c>
      <c r="Z4795" s="4">
        <v>16</v>
      </c>
      <c r="AA4795" s="4">
        <v>17</v>
      </c>
      <c r="AB4795" s="4">
        <v>1</v>
      </c>
      <c r="AC4795" s="4">
        <v>2</v>
      </c>
      <c r="AD4795" s="4">
        <v>68</v>
      </c>
      <c r="AE4795" s="4">
        <v>73</v>
      </c>
      <c r="AF4795" s="4">
        <v>0</v>
      </c>
      <c r="AG4795" s="4">
        <v>1</v>
      </c>
      <c r="AH4795" s="4">
        <v>62</v>
      </c>
      <c r="AI4795" s="4">
        <v>66</v>
      </c>
      <c r="AJ4795" s="4">
        <v>13</v>
      </c>
      <c r="AK4795" s="4">
        <v>14</v>
      </c>
      <c r="AL4795" s="4">
        <v>38</v>
      </c>
      <c r="AM4795" s="4">
        <v>39</v>
      </c>
      <c r="AN4795" s="4">
        <v>0</v>
      </c>
      <c r="AO4795" s="4">
        <v>0</v>
      </c>
      <c r="AP4795" s="4">
        <v>14</v>
      </c>
      <c r="AQ4795" s="4">
        <v>15</v>
      </c>
      <c r="AR4795" s="3" t="s">
        <v>62</v>
      </c>
      <c r="AS4795" s="3" t="s">
        <v>62</v>
      </c>
      <c r="AT4795" s="3" t="s">
        <v>62</v>
      </c>
      <c r="AV4795" s="6" t="str">
        <f>HYPERLINK("http://mcgill.on.worldcat.org/oclc/694600590","Catalog Record")</f>
        <v>Catalog Record</v>
      </c>
      <c r="AW4795" s="6" t="str">
        <f>HYPERLINK("http://www.worldcat.org/oclc/694600590","WorldCat Record")</f>
        <v>WorldCat Record</v>
      </c>
      <c r="AX4795" s="3" t="s">
        <v>45929</v>
      </c>
      <c r="AY4795" s="3" t="s">
        <v>45930</v>
      </c>
      <c r="AZ4795" s="3" t="s">
        <v>45931</v>
      </c>
      <c r="BA4795" s="3" t="s">
        <v>45931</v>
      </c>
      <c r="BB4795" s="3" t="s">
        <v>45932</v>
      </c>
      <c r="BC4795" s="3" t="s">
        <v>142</v>
      </c>
      <c r="BD4795" s="3" t="s">
        <v>68</v>
      </c>
      <c r="BE4795" s="3" t="s">
        <v>45933</v>
      </c>
      <c r="BF4795" s="3" t="s">
        <v>45932</v>
      </c>
      <c r="BG4795" s="3" t="s">
        <v>45934</v>
      </c>
    </row>
    <row r="4796" spans="1:59" ht="57" x14ac:dyDescent="0.45">
      <c r="A4796" s="2" t="s">
        <v>59</v>
      </c>
      <c r="B4796" s="2" t="s">
        <v>60</v>
      </c>
      <c r="C4796" s="2" t="s">
        <v>45935</v>
      </c>
      <c r="D4796" s="2" t="s">
        <v>45936</v>
      </c>
      <c r="E4796" s="2" t="s">
        <v>45937</v>
      </c>
      <c r="G4796" s="3" t="s">
        <v>62</v>
      </c>
      <c r="I4796" s="3" t="s">
        <v>62</v>
      </c>
      <c r="J4796" s="3" t="s">
        <v>62</v>
      </c>
      <c r="K4796" s="3" t="s">
        <v>63</v>
      </c>
      <c r="L4796" s="2" t="s">
        <v>45938</v>
      </c>
      <c r="M4796" s="2" t="s">
        <v>45939</v>
      </c>
      <c r="N4796" s="3" t="s">
        <v>1212</v>
      </c>
      <c r="P4796" s="3" t="s">
        <v>65</v>
      </c>
      <c r="Q4796" s="2" t="s">
        <v>45940</v>
      </c>
      <c r="R4796" s="3" t="s">
        <v>66</v>
      </c>
      <c r="S4796" s="4">
        <v>10</v>
      </c>
      <c r="T4796" s="4">
        <v>10</v>
      </c>
      <c r="U4796" s="5" t="s">
        <v>5547</v>
      </c>
      <c r="V4796" s="5" t="s">
        <v>5547</v>
      </c>
      <c r="W4796" s="5" t="s">
        <v>67</v>
      </c>
      <c r="X4796" s="5" t="s">
        <v>67</v>
      </c>
      <c r="Y4796" s="4">
        <v>127</v>
      </c>
      <c r="Z4796" s="4">
        <v>12</v>
      </c>
      <c r="AA4796" s="4">
        <v>16</v>
      </c>
      <c r="AB4796" s="4">
        <v>1</v>
      </c>
      <c r="AC4796" s="4">
        <v>3</v>
      </c>
      <c r="AD4796" s="4">
        <v>63</v>
      </c>
      <c r="AE4796" s="4">
        <v>69</v>
      </c>
      <c r="AF4796" s="4">
        <v>0</v>
      </c>
      <c r="AG4796" s="4">
        <v>1</v>
      </c>
      <c r="AH4796" s="4">
        <v>59</v>
      </c>
      <c r="AI4796" s="4">
        <v>63</v>
      </c>
      <c r="AJ4796" s="4">
        <v>10</v>
      </c>
      <c r="AK4796" s="4">
        <v>12</v>
      </c>
      <c r="AL4796" s="4">
        <v>38</v>
      </c>
      <c r="AM4796" s="4">
        <v>40</v>
      </c>
      <c r="AN4796" s="4">
        <v>0</v>
      </c>
      <c r="AO4796" s="4">
        <v>0</v>
      </c>
      <c r="AP4796" s="4">
        <v>10</v>
      </c>
      <c r="AQ4796" s="4">
        <v>13</v>
      </c>
      <c r="AR4796" s="3" t="s">
        <v>62</v>
      </c>
      <c r="AS4796" s="3" t="s">
        <v>62</v>
      </c>
      <c r="AT4796" s="3" t="s">
        <v>61</v>
      </c>
      <c r="AU4796" s="6" t="str">
        <f>HYPERLINK("http://catalog.hathitrust.org/Record/004121839","HathiTrust Record")</f>
        <v>HathiTrust Record</v>
      </c>
      <c r="AV4796" s="6" t="str">
        <f>HYPERLINK("http://mcgill.on.worldcat.org/oclc/44681888","Catalog Record")</f>
        <v>Catalog Record</v>
      </c>
      <c r="AW4796" s="6" t="str">
        <f>HYPERLINK("http://www.worldcat.org/oclc/44681888","WorldCat Record")</f>
        <v>WorldCat Record</v>
      </c>
      <c r="AX4796" s="3" t="s">
        <v>45941</v>
      </c>
      <c r="AY4796" s="3" t="s">
        <v>45942</v>
      </c>
      <c r="AZ4796" s="3" t="s">
        <v>45943</v>
      </c>
      <c r="BA4796" s="3" t="s">
        <v>45943</v>
      </c>
      <c r="BB4796" s="3" t="s">
        <v>45944</v>
      </c>
      <c r="BC4796" s="3" t="s">
        <v>142</v>
      </c>
      <c r="BD4796" s="3" t="s">
        <v>68</v>
      </c>
      <c r="BE4796" s="3" t="s">
        <v>45945</v>
      </c>
      <c r="BF4796" s="3" t="s">
        <v>45944</v>
      </c>
      <c r="BG4796" s="3" t="s">
        <v>45946</v>
      </c>
    </row>
    <row r="4797" spans="1:59" ht="57" x14ac:dyDescent="0.45">
      <c r="A4797" s="2" t="s">
        <v>59</v>
      </c>
      <c r="B4797" s="2" t="s">
        <v>60</v>
      </c>
      <c r="C4797" s="2" t="s">
        <v>45947</v>
      </c>
      <c r="D4797" s="2" t="s">
        <v>45948</v>
      </c>
      <c r="E4797" s="2" t="s">
        <v>45949</v>
      </c>
      <c r="G4797" s="3" t="s">
        <v>62</v>
      </c>
      <c r="I4797" s="3" t="s">
        <v>62</v>
      </c>
      <c r="J4797" s="3" t="s">
        <v>62</v>
      </c>
      <c r="K4797" s="3" t="s">
        <v>63</v>
      </c>
      <c r="L4797" s="2" t="s">
        <v>45950</v>
      </c>
      <c r="M4797" s="2" t="s">
        <v>45951</v>
      </c>
      <c r="N4797" s="3" t="s">
        <v>1097</v>
      </c>
      <c r="P4797" s="3" t="s">
        <v>65</v>
      </c>
      <c r="Q4797" s="2" t="s">
        <v>45952</v>
      </c>
      <c r="R4797" s="3" t="s">
        <v>66</v>
      </c>
      <c r="S4797" s="4">
        <v>3</v>
      </c>
      <c r="T4797" s="4">
        <v>3</v>
      </c>
      <c r="U4797" s="5" t="s">
        <v>7393</v>
      </c>
      <c r="V4797" s="5" t="s">
        <v>7393</v>
      </c>
      <c r="W4797" s="5" t="s">
        <v>67</v>
      </c>
      <c r="X4797" s="5" t="s">
        <v>67</v>
      </c>
      <c r="Y4797" s="4">
        <v>156</v>
      </c>
      <c r="Z4797" s="4">
        <v>14</v>
      </c>
      <c r="AA4797" s="4">
        <v>89</v>
      </c>
      <c r="AB4797" s="4">
        <v>2</v>
      </c>
      <c r="AC4797" s="4">
        <v>17</v>
      </c>
      <c r="AD4797" s="4">
        <v>75</v>
      </c>
      <c r="AE4797" s="4">
        <v>125</v>
      </c>
      <c r="AF4797" s="4">
        <v>1</v>
      </c>
      <c r="AG4797" s="4">
        <v>8</v>
      </c>
      <c r="AH4797" s="4">
        <v>70</v>
      </c>
      <c r="AI4797" s="4">
        <v>91</v>
      </c>
      <c r="AJ4797" s="4">
        <v>12</v>
      </c>
      <c r="AK4797" s="4">
        <v>23</v>
      </c>
      <c r="AL4797" s="4">
        <v>41</v>
      </c>
      <c r="AM4797" s="4">
        <v>48</v>
      </c>
      <c r="AN4797" s="4">
        <v>0</v>
      </c>
      <c r="AO4797" s="4">
        <v>0</v>
      </c>
      <c r="AP4797" s="4">
        <v>12</v>
      </c>
      <c r="AQ4797" s="4">
        <v>44</v>
      </c>
      <c r="AR4797" s="3" t="s">
        <v>62</v>
      </c>
      <c r="AS4797" s="3" t="s">
        <v>62</v>
      </c>
      <c r="AT4797" s="3" t="s">
        <v>62</v>
      </c>
      <c r="AV4797" s="6" t="str">
        <f>HYPERLINK("http://mcgill.on.worldcat.org/oclc/53325096","Catalog Record")</f>
        <v>Catalog Record</v>
      </c>
      <c r="AW4797" s="6" t="str">
        <f>HYPERLINK("http://www.worldcat.org/oclc/53325096","WorldCat Record")</f>
        <v>WorldCat Record</v>
      </c>
      <c r="AX4797" s="3" t="s">
        <v>45953</v>
      </c>
      <c r="AY4797" s="3" t="s">
        <v>45954</v>
      </c>
      <c r="AZ4797" s="3" t="s">
        <v>45955</v>
      </c>
      <c r="BA4797" s="3" t="s">
        <v>45955</v>
      </c>
      <c r="BB4797" s="3" t="s">
        <v>45956</v>
      </c>
      <c r="BC4797" s="3" t="s">
        <v>142</v>
      </c>
      <c r="BD4797" s="3" t="s">
        <v>68</v>
      </c>
      <c r="BE4797" s="3" t="s">
        <v>45957</v>
      </c>
      <c r="BF4797" s="3" t="s">
        <v>45956</v>
      </c>
      <c r="BG4797" s="3" t="s">
        <v>45958</v>
      </c>
    </row>
    <row r="4798" spans="1:59" ht="57" x14ac:dyDescent="0.45">
      <c r="A4798" s="2" t="s">
        <v>59</v>
      </c>
      <c r="B4798" s="2" t="s">
        <v>60</v>
      </c>
      <c r="C4798" s="2" t="s">
        <v>45959</v>
      </c>
      <c r="D4798" s="2" t="s">
        <v>45960</v>
      </c>
      <c r="E4798" s="2" t="s">
        <v>45961</v>
      </c>
      <c r="G4798" s="3" t="s">
        <v>62</v>
      </c>
      <c r="I4798" s="3" t="s">
        <v>62</v>
      </c>
      <c r="J4798" s="3" t="s">
        <v>62</v>
      </c>
      <c r="K4798" s="3" t="s">
        <v>63</v>
      </c>
      <c r="L4798" s="2" t="s">
        <v>45962</v>
      </c>
      <c r="M4798" s="2" t="s">
        <v>15013</v>
      </c>
      <c r="N4798" s="3" t="s">
        <v>807</v>
      </c>
      <c r="P4798" s="3" t="s">
        <v>65</v>
      </c>
      <c r="Q4798" s="2" t="s">
        <v>45963</v>
      </c>
      <c r="R4798" s="3" t="s">
        <v>66</v>
      </c>
      <c r="S4798" s="4">
        <v>33</v>
      </c>
      <c r="T4798" s="4">
        <v>33</v>
      </c>
      <c r="U4798" s="5" t="s">
        <v>1034</v>
      </c>
      <c r="V4798" s="5" t="s">
        <v>1034</v>
      </c>
      <c r="W4798" s="5" t="s">
        <v>67</v>
      </c>
      <c r="X4798" s="5" t="s">
        <v>67</v>
      </c>
      <c r="Y4798" s="4">
        <v>172</v>
      </c>
      <c r="Z4798" s="4">
        <v>13</v>
      </c>
      <c r="AA4798" s="4">
        <v>99</v>
      </c>
      <c r="AB4798" s="4">
        <v>1</v>
      </c>
      <c r="AC4798" s="4">
        <v>19</v>
      </c>
      <c r="AD4798" s="4">
        <v>79</v>
      </c>
      <c r="AE4798" s="4">
        <v>142</v>
      </c>
      <c r="AF4798" s="4">
        <v>0</v>
      </c>
      <c r="AG4798" s="4">
        <v>9</v>
      </c>
      <c r="AH4798" s="4">
        <v>75</v>
      </c>
      <c r="AI4798" s="4">
        <v>95</v>
      </c>
      <c r="AJ4798" s="4">
        <v>11</v>
      </c>
      <c r="AK4798" s="4">
        <v>26</v>
      </c>
      <c r="AL4798" s="4">
        <v>47</v>
      </c>
      <c r="AM4798" s="4">
        <v>54</v>
      </c>
      <c r="AN4798" s="4">
        <v>0</v>
      </c>
      <c r="AO4798" s="4">
        <v>0</v>
      </c>
      <c r="AP4798" s="4">
        <v>11</v>
      </c>
      <c r="AQ4798" s="4">
        <v>55</v>
      </c>
      <c r="AR4798" s="3" t="s">
        <v>62</v>
      </c>
      <c r="AS4798" s="3" t="s">
        <v>62</v>
      </c>
      <c r="AT4798" s="3" t="s">
        <v>62</v>
      </c>
      <c r="AV4798" s="6" t="str">
        <f>HYPERLINK("http://mcgill.on.worldcat.org/oclc/22907070","Catalog Record")</f>
        <v>Catalog Record</v>
      </c>
      <c r="AW4798" s="6" t="str">
        <f>HYPERLINK("http://www.worldcat.org/oclc/22907070","WorldCat Record")</f>
        <v>WorldCat Record</v>
      </c>
      <c r="AX4798" s="3" t="s">
        <v>45964</v>
      </c>
      <c r="AY4798" s="3" t="s">
        <v>45965</v>
      </c>
      <c r="AZ4798" s="3" t="s">
        <v>45966</v>
      </c>
      <c r="BA4798" s="3" t="s">
        <v>45966</v>
      </c>
      <c r="BB4798" s="3" t="s">
        <v>45967</v>
      </c>
      <c r="BC4798" s="3" t="s">
        <v>142</v>
      </c>
      <c r="BD4798" s="3" t="s">
        <v>68</v>
      </c>
      <c r="BE4798" s="3" t="s">
        <v>45968</v>
      </c>
      <c r="BF4798" s="3" t="s">
        <v>45967</v>
      </c>
      <c r="BG4798" s="3" t="s">
        <v>45969</v>
      </c>
    </row>
    <row r="4799" spans="1:59" ht="57" x14ac:dyDescent="0.45">
      <c r="A4799" s="2" t="s">
        <v>59</v>
      </c>
      <c r="B4799" s="2" t="s">
        <v>60</v>
      </c>
      <c r="C4799" s="2" t="s">
        <v>45970</v>
      </c>
      <c r="D4799" s="2" t="s">
        <v>45971</v>
      </c>
      <c r="E4799" s="2" t="s">
        <v>45972</v>
      </c>
      <c r="G4799" s="3" t="s">
        <v>62</v>
      </c>
      <c r="I4799" s="3" t="s">
        <v>62</v>
      </c>
      <c r="J4799" s="3" t="s">
        <v>62</v>
      </c>
      <c r="K4799" s="3" t="s">
        <v>63</v>
      </c>
      <c r="L4799" s="2" t="s">
        <v>11020</v>
      </c>
      <c r="M4799" s="2" t="s">
        <v>45973</v>
      </c>
      <c r="N4799" s="3" t="s">
        <v>1073</v>
      </c>
      <c r="P4799" s="3" t="s">
        <v>65</v>
      </c>
      <c r="R4799" s="3" t="s">
        <v>66</v>
      </c>
      <c r="S4799" s="4">
        <v>10</v>
      </c>
      <c r="T4799" s="4">
        <v>10</v>
      </c>
      <c r="U4799" s="5" t="s">
        <v>24972</v>
      </c>
      <c r="V4799" s="5" t="s">
        <v>24972</v>
      </c>
      <c r="W4799" s="5" t="s">
        <v>67</v>
      </c>
      <c r="X4799" s="5" t="s">
        <v>67</v>
      </c>
      <c r="Y4799" s="4">
        <v>410</v>
      </c>
      <c r="Z4799" s="4">
        <v>29</v>
      </c>
      <c r="AA4799" s="4">
        <v>32</v>
      </c>
      <c r="AB4799" s="4">
        <v>2</v>
      </c>
      <c r="AC4799" s="4">
        <v>5</v>
      </c>
      <c r="AD4799" s="4">
        <v>113</v>
      </c>
      <c r="AE4799" s="4">
        <v>116</v>
      </c>
      <c r="AF4799" s="4">
        <v>1</v>
      </c>
      <c r="AG4799" s="4">
        <v>4</v>
      </c>
      <c r="AH4799" s="4">
        <v>98</v>
      </c>
      <c r="AI4799" s="4">
        <v>99</v>
      </c>
      <c r="AJ4799" s="4">
        <v>17</v>
      </c>
      <c r="AK4799" s="4">
        <v>20</v>
      </c>
      <c r="AL4799" s="4">
        <v>54</v>
      </c>
      <c r="AM4799" s="4">
        <v>54</v>
      </c>
      <c r="AN4799" s="4">
        <v>0</v>
      </c>
      <c r="AO4799" s="4">
        <v>0</v>
      </c>
      <c r="AP4799" s="4">
        <v>21</v>
      </c>
      <c r="AQ4799" s="4">
        <v>23</v>
      </c>
      <c r="AR4799" s="3" t="s">
        <v>62</v>
      </c>
      <c r="AS4799" s="3" t="s">
        <v>62</v>
      </c>
      <c r="AT4799" s="3" t="s">
        <v>62</v>
      </c>
      <c r="AV4799" s="6" t="str">
        <f>HYPERLINK("http://mcgill.on.worldcat.org/oclc/2074020","Catalog Record")</f>
        <v>Catalog Record</v>
      </c>
      <c r="AW4799" s="6" t="str">
        <f>HYPERLINK("http://www.worldcat.org/oclc/2074020","WorldCat Record")</f>
        <v>WorldCat Record</v>
      </c>
      <c r="AX4799" s="3" t="s">
        <v>45974</v>
      </c>
      <c r="AY4799" s="3" t="s">
        <v>45975</v>
      </c>
      <c r="AZ4799" s="3" t="s">
        <v>45976</v>
      </c>
      <c r="BA4799" s="3" t="s">
        <v>45976</v>
      </c>
      <c r="BB4799" s="3" t="s">
        <v>45977</v>
      </c>
      <c r="BC4799" s="3" t="s">
        <v>142</v>
      </c>
      <c r="BD4799" s="3" t="s">
        <v>68</v>
      </c>
      <c r="BE4799" s="3" t="s">
        <v>45978</v>
      </c>
      <c r="BF4799" s="3" t="s">
        <v>45977</v>
      </c>
      <c r="BG4799" s="3" t="s">
        <v>45979</v>
      </c>
    </row>
    <row r="4800" spans="1:59" ht="57" x14ac:dyDescent="0.45">
      <c r="A4800" s="2" t="s">
        <v>59</v>
      </c>
      <c r="B4800" s="2" t="s">
        <v>60</v>
      </c>
      <c r="C4800" s="2" t="s">
        <v>45980</v>
      </c>
      <c r="D4800" s="2" t="s">
        <v>45981</v>
      </c>
      <c r="E4800" s="2" t="s">
        <v>45982</v>
      </c>
      <c r="G4800" s="3" t="s">
        <v>62</v>
      </c>
      <c r="I4800" s="3" t="s">
        <v>62</v>
      </c>
      <c r="J4800" s="3" t="s">
        <v>62</v>
      </c>
      <c r="K4800" s="3" t="s">
        <v>63</v>
      </c>
      <c r="L4800" s="2" t="s">
        <v>45983</v>
      </c>
      <c r="M4800" s="2" t="s">
        <v>45984</v>
      </c>
      <c r="N4800" s="3" t="s">
        <v>1918</v>
      </c>
      <c r="P4800" s="3" t="s">
        <v>65</v>
      </c>
      <c r="Q4800" s="2" t="s">
        <v>45985</v>
      </c>
      <c r="R4800" s="3" t="s">
        <v>66</v>
      </c>
      <c r="S4800" s="4">
        <v>0</v>
      </c>
      <c r="T4800" s="4">
        <v>0</v>
      </c>
      <c r="W4800" s="5" t="s">
        <v>67</v>
      </c>
      <c r="X4800" s="5" t="s">
        <v>67</v>
      </c>
      <c r="Y4800" s="4">
        <v>33</v>
      </c>
      <c r="Z4800" s="4">
        <v>2</v>
      </c>
      <c r="AA4800" s="4">
        <v>12</v>
      </c>
      <c r="AB4800" s="4">
        <v>1</v>
      </c>
      <c r="AC4800" s="4">
        <v>5</v>
      </c>
      <c r="AD4800" s="4">
        <v>14</v>
      </c>
      <c r="AE4800" s="4">
        <v>34</v>
      </c>
      <c r="AF4800" s="4">
        <v>0</v>
      </c>
      <c r="AG4800" s="4">
        <v>2</v>
      </c>
      <c r="AH4800" s="4">
        <v>13</v>
      </c>
      <c r="AI4800" s="4">
        <v>26</v>
      </c>
      <c r="AJ4800" s="4">
        <v>1</v>
      </c>
      <c r="AK4800" s="4">
        <v>7</v>
      </c>
      <c r="AL4800" s="4">
        <v>11</v>
      </c>
      <c r="AM4800" s="4">
        <v>18</v>
      </c>
      <c r="AN4800" s="4">
        <v>0</v>
      </c>
      <c r="AO4800" s="4">
        <v>0</v>
      </c>
      <c r="AP4800" s="4">
        <v>1</v>
      </c>
      <c r="AQ4800" s="4">
        <v>9</v>
      </c>
      <c r="AR4800" s="3" t="s">
        <v>62</v>
      </c>
      <c r="AS4800" s="3" t="s">
        <v>62</v>
      </c>
      <c r="AT4800" s="3" t="s">
        <v>62</v>
      </c>
      <c r="AV4800" s="6" t="str">
        <f>HYPERLINK("http://mcgill.on.worldcat.org/oclc/987282635","Catalog Record")</f>
        <v>Catalog Record</v>
      </c>
      <c r="AW4800" s="6" t="str">
        <f>HYPERLINK("http://www.worldcat.org/oclc/987282635","WorldCat Record")</f>
        <v>WorldCat Record</v>
      </c>
      <c r="AX4800" s="3" t="s">
        <v>45986</v>
      </c>
      <c r="AY4800" s="3" t="s">
        <v>45987</v>
      </c>
      <c r="AZ4800" s="3" t="s">
        <v>45988</v>
      </c>
      <c r="BA4800" s="3" t="s">
        <v>45988</v>
      </c>
      <c r="BB4800" s="3" t="s">
        <v>45989</v>
      </c>
      <c r="BC4800" s="3" t="s">
        <v>142</v>
      </c>
      <c r="BD4800" s="3" t="s">
        <v>68</v>
      </c>
      <c r="BE4800" s="3" t="s">
        <v>45990</v>
      </c>
      <c r="BF4800" s="3" t="s">
        <v>45989</v>
      </c>
      <c r="BG4800" s="3" t="s">
        <v>45991</v>
      </c>
    </row>
    <row r="4801" spans="1:59" ht="57" x14ac:dyDescent="0.45">
      <c r="A4801" s="2" t="s">
        <v>59</v>
      </c>
      <c r="B4801" s="2" t="s">
        <v>60</v>
      </c>
      <c r="C4801" s="2" t="s">
        <v>45992</v>
      </c>
      <c r="D4801" s="2" t="s">
        <v>45993</v>
      </c>
      <c r="E4801" s="2" t="s">
        <v>45994</v>
      </c>
      <c r="G4801" s="3" t="s">
        <v>62</v>
      </c>
      <c r="I4801" s="3" t="s">
        <v>62</v>
      </c>
      <c r="J4801" s="3" t="s">
        <v>62</v>
      </c>
      <c r="K4801" s="3" t="s">
        <v>63</v>
      </c>
      <c r="M4801" s="2" t="s">
        <v>2654</v>
      </c>
      <c r="N4801" s="3" t="s">
        <v>820</v>
      </c>
      <c r="P4801" s="3" t="s">
        <v>65</v>
      </c>
      <c r="Q4801" s="2" t="s">
        <v>21253</v>
      </c>
      <c r="R4801" s="3" t="s">
        <v>66</v>
      </c>
      <c r="S4801" s="4">
        <v>7</v>
      </c>
      <c r="T4801" s="4">
        <v>7</v>
      </c>
      <c r="U4801" s="5" t="s">
        <v>28713</v>
      </c>
      <c r="V4801" s="5" t="s">
        <v>28713</v>
      </c>
      <c r="W4801" s="5" t="s">
        <v>67</v>
      </c>
      <c r="X4801" s="5" t="s">
        <v>67</v>
      </c>
      <c r="Y4801" s="4">
        <v>137</v>
      </c>
      <c r="Z4801" s="4">
        <v>13</v>
      </c>
      <c r="AA4801" s="4">
        <v>105</v>
      </c>
      <c r="AB4801" s="4">
        <v>1</v>
      </c>
      <c r="AC4801" s="4">
        <v>21</v>
      </c>
      <c r="AD4801" s="4">
        <v>65</v>
      </c>
      <c r="AE4801" s="4">
        <v>135</v>
      </c>
      <c r="AF4801" s="4">
        <v>0</v>
      </c>
      <c r="AG4801" s="4">
        <v>9</v>
      </c>
      <c r="AH4801" s="4">
        <v>61</v>
      </c>
      <c r="AI4801" s="4">
        <v>89</v>
      </c>
      <c r="AJ4801" s="4">
        <v>10</v>
      </c>
      <c r="AK4801" s="4">
        <v>26</v>
      </c>
      <c r="AL4801" s="4">
        <v>39</v>
      </c>
      <c r="AM4801" s="4">
        <v>49</v>
      </c>
      <c r="AN4801" s="4">
        <v>0</v>
      </c>
      <c r="AO4801" s="4">
        <v>0</v>
      </c>
      <c r="AP4801" s="4">
        <v>10</v>
      </c>
      <c r="AQ4801" s="4">
        <v>54</v>
      </c>
      <c r="AR4801" s="3" t="s">
        <v>62</v>
      </c>
      <c r="AS4801" s="3" t="s">
        <v>62</v>
      </c>
      <c r="AT4801" s="3" t="s">
        <v>62</v>
      </c>
      <c r="AV4801" s="6" t="str">
        <f>HYPERLINK("http://mcgill.on.worldcat.org/oclc/162126786","Catalog Record")</f>
        <v>Catalog Record</v>
      </c>
      <c r="AW4801" s="6" t="str">
        <f>HYPERLINK("http://www.worldcat.org/oclc/162126786","WorldCat Record")</f>
        <v>WorldCat Record</v>
      </c>
      <c r="AX4801" s="3" t="s">
        <v>45995</v>
      </c>
      <c r="AY4801" s="3" t="s">
        <v>45996</v>
      </c>
      <c r="AZ4801" s="3" t="s">
        <v>45997</v>
      </c>
      <c r="BA4801" s="3" t="s">
        <v>45997</v>
      </c>
      <c r="BB4801" s="3" t="s">
        <v>45998</v>
      </c>
      <c r="BC4801" s="3" t="s">
        <v>142</v>
      </c>
      <c r="BD4801" s="3" t="s">
        <v>68</v>
      </c>
      <c r="BE4801" s="3" t="s">
        <v>45999</v>
      </c>
      <c r="BF4801" s="3" t="s">
        <v>45998</v>
      </c>
      <c r="BG4801" s="3" t="s">
        <v>46000</v>
      </c>
    </row>
    <row r="4802" spans="1:59" ht="57" x14ac:dyDescent="0.45">
      <c r="A4802" s="2" t="s">
        <v>59</v>
      </c>
      <c r="B4802" s="2" t="s">
        <v>60</v>
      </c>
      <c r="C4802" s="2" t="s">
        <v>46001</v>
      </c>
      <c r="D4802" s="2" t="s">
        <v>46002</v>
      </c>
      <c r="E4802" s="2" t="s">
        <v>46003</v>
      </c>
      <c r="G4802" s="3" t="s">
        <v>62</v>
      </c>
      <c r="I4802" s="3" t="s">
        <v>62</v>
      </c>
      <c r="J4802" s="3" t="s">
        <v>62</v>
      </c>
      <c r="K4802" s="3" t="s">
        <v>63</v>
      </c>
      <c r="L4802" s="2" t="s">
        <v>46004</v>
      </c>
      <c r="M4802" s="2" t="s">
        <v>46005</v>
      </c>
      <c r="N4802" s="3" t="s">
        <v>894</v>
      </c>
      <c r="P4802" s="3" t="s">
        <v>65</v>
      </c>
      <c r="Q4802" s="2" t="s">
        <v>46006</v>
      </c>
      <c r="R4802" s="3" t="s">
        <v>66</v>
      </c>
      <c r="S4802" s="4">
        <v>0</v>
      </c>
      <c r="T4802" s="4">
        <v>0</v>
      </c>
      <c r="W4802" s="5" t="s">
        <v>67</v>
      </c>
      <c r="X4802" s="5" t="s">
        <v>67</v>
      </c>
      <c r="Y4802" s="4">
        <v>45</v>
      </c>
      <c r="Z4802" s="4">
        <v>6</v>
      </c>
      <c r="AA4802" s="4">
        <v>6</v>
      </c>
      <c r="AB4802" s="4">
        <v>1</v>
      </c>
      <c r="AC4802" s="4">
        <v>1</v>
      </c>
      <c r="AD4802" s="4">
        <v>17</v>
      </c>
      <c r="AE4802" s="4">
        <v>17</v>
      </c>
      <c r="AF4802" s="4">
        <v>0</v>
      </c>
      <c r="AG4802" s="4">
        <v>0</v>
      </c>
      <c r="AH4802" s="4">
        <v>16</v>
      </c>
      <c r="AI4802" s="4">
        <v>16</v>
      </c>
      <c r="AJ4802" s="4">
        <v>5</v>
      </c>
      <c r="AK4802" s="4">
        <v>5</v>
      </c>
      <c r="AL4802" s="4">
        <v>9</v>
      </c>
      <c r="AM4802" s="4">
        <v>9</v>
      </c>
      <c r="AN4802" s="4">
        <v>0</v>
      </c>
      <c r="AO4802" s="4">
        <v>0</v>
      </c>
      <c r="AP4802" s="4">
        <v>5</v>
      </c>
      <c r="AQ4802" s="4">
        <v>5</v>
      </c>
      <c r="AR4802" s="3" t="s">
        <v>62</v>
      </c>
      <c r="AS4802" s="3" t="s">
        <v>62</v>
      </c>
      <c r="AT4802" s="3" t="s">
        <v>62</v>
      </c>
      <c r="AV4802" s="6" t="str">
        <f>HYPERLINK("http://mcgill.on.worldcat.org/oclc/704121302","Catalog Record")</f>
        <v>Catalog Record</v>
      </c>
      <c r="AW4802" s="6" t="str">
        <f>HYPERLINK("http://www.worldcat.org/oclc/704121302","WorldCat Record")</f>
        <v>WorldCat Record</v>
      </c>
      <c r="AX4802" s="3" t="s">
        <v>46007</v>
      </c>
      <c r="AY4802" s="3" t="s">
        <v>46008</v>
      </c>
      <c r="AZ4802" s="3" t="s">
        <v>46009</v>
      </c>
      <c r="BA4802" s="3" t="s">
        <v>46009</v>
      </c>
      <c r="BB4802" s="3" t="s">
        <v>46010</v>
      </c>
      <c r="BC4802" s="3" t="s">
        <v>142</v>
      </c>
      <c r="BD4802" s="3" t="s">
        <v>68</v>
      </c>
      <c r="BE4802" s="3" t="s">
        <v>46011</v>
      </c>
      <c r="BF4802" s="3" t="s">
        <v>46010</v>
      </c>
      <c r="BG4802" s="3" t="s">
        <v>46012</v>
      </c>
    </row>
    <row r="4803" spans="1:59" ht="57" x14ac:dyDescent="0.45">
      <c r="A4803" s="2" t="s">
        <v>59</v>
      </c>
      <c r="B4803" s="2" t="s">
        <v>60</v>
      </c>
      <c r="C4803" s="2" t="s">
        <v>46013</v>
      </c>
      <c r="D4803" s="2" t="s">
        <v>46014</v>
      </c>
      <c r="E4803" s="2" t="s">
        <v>46015</v>
      </c>
      <c r="G4803" s="3" t="s">
        <v>62</v>
      </c>
      <c r="I4803" s="3" t="s">
        <v>62</v>
      </c>
      <c r="J4803" s="3" t="s">
        <v>62</v>
      </c>
      <c r="K4803" s="3" t="s">
        <v>63</v>
      </c>
      <c r="L4803" s="2" t="s">
        <v>46004</v>
      </c>
      <c r="M4803" s="2" t="s">
        <v>46016</v>
      </c>
      <c r="N4803" s="3" t="s">
        <v>1604</v>
      </c>
      <c r="P4803" s="3" t="s">
        <v>65</v>
      </c>
      <c r="Q4803" s="2" t="s">
        <v>46017</v>
      </c>
      <c r="R4803" s="3" t="s">
        <v>66</v>
      </c>
      <c r="S4803" s="4">
        <v>5</v>
      </c>
      <c r="T4803" s="4">
        <v>5</v>
      </c>
      <c r="U4803" s="5" t="s">
        <v>46018</v>
      </c>
      <c r="V4803" s="5" t="s">
        <v>46018</v>
      </c>
      <c r="W4803" s="5" t="s">
        <v>67</v>
      </c>
      <c r="X4803" s="5" t="s">
        <v>67</v>
      </c>
      <c r="Y4803" s="4">
        <v>186</v>
      </c>
      <c r="Z4803" s="4">
        <v>13</v>
      </c>
      <c r="AA4803" s="4">
        <v>55</v>
      </c>
      <c r="AB4803" s="4">
        <v>1</v>
      </c>
      <c r="AC4803" s="4">
        <v>14</v>
      </c>
      <c r="AD4803" s="4">
        <v>87</v>
      </c>
      <c r="AE4803" s="4">
        <v>123</v>
      </c>
      <c r="AF4803" s="4">
        <v>0</v>
      </c>
      <c r="AG4803" s="4">
        <v>7</v>
      </c>
      <c r="AH4803" s="4">
        <v>81</v>
      </c>
      <c r="AI4803" s="4">
        <v>86</v>
      </c>
      <c r="AJ4803" s="4">
        <v>10</v>
      </c>
      <c r="AK4803" s="4">
        <v>22</v>
      </c>
      <c r="AL4803" s="4">
        <v>48</v>
      </c>
      <c r="AM4803" s="4">
        <v>49</v>
      </c>
      <c r="AN4803" s="4">
        <v>0</v>
      </c>
      <c r="AO4803" s="4">
        <v>0</v>
      </c>
      <c r="AP4803" s="4">
        <v>11</v>
      </c>
      <c r="AQ4803" s="4">
        <v>44</v>
      </c>
      <c r="AR4803" s="3" t="s">
        <v>62</v>
      </c>
      <c r="AS4803" s="3" t="s">
        <v>62</v>
      </c>
      <c r="AT4803" s="3" t="s">
        <v>61</v>
      </c>
      <c r="AU4803" s="6" t="str">
        <f>HYPERLINK("http://catalog.hathitrust.org/Record/002968126","HathiTrust Record")</f>
        <v>HathiTrust Record</v>
      </c>
      <c r="AV4803" s="6" t="str">
        <f>HYPERLINK("http://mcgill.on.worldcat.org/oclc/31291468","Catalog Record")</f>
        <v>Catalog Record</v>
      </c>
      <c r="AW4803" s="6" t="str">
        <f>HYPERLINK("http://www.worldcat.org/oclc/31291468","WorldCat Record")</f>
        <v>WorldCat Record</v>
      </c>
      <c r="AX4803" s="3" t="s">
        <v>46019</v>
      </c>
      <c r="AY4803" s="3" t="s">
        <v>46020</v>
      </c>
      <c r="AZ4803" s="3" t="s">
        <v>46021</v>
      </c>
      <c r="BA4803" s="3" t="s">
        <v>46021</v>
      </c>
      <c r="BB4803" s="3" t="s">
        <v>46022</v>
      </c>
      <c r="BC4803" s="3" t="s">
        <v>142</v>
      </c>
      <c r="BD4803" s="3" t="s">
        <v>68</v>
      </c>
      <c r="BE4803" s="3" t="s">
        <v>46023</v>
      </c>
      <c r="BF4803" s="3" t="s">
        <v>46022</v>
      </c>
      <c r="BG4803" s="3" t="s">
        <v>46024</v>
      </c>
    </row>
    <row r="4804" spans="1:59" ht="57" x14ac:dyDescent="0.45">
      <c r="A4804" s="2" t="s">
        <v>59</v>
      </c>
      <c r="B4804" s="2" t="s">
        <v>60</v>
      </c>
      <c r="C4804" s="2" t="s">
        <v>46025</v>
      </c>
      <c r="D4804" s="2" t="s">
        <v>46026</v>
      </c>
      <c r="E4804" s="2" t="s">
        <v>46027</v>
      </c>
      <c r="G4804" s="3" t="s">
        <v>62</v>
      </c>
      <c r="I4804" s="3" t="s">
        <v>62</v>
      </c>
      <c r="J4804" s="3" t="s">
        <v>62</v>
      </c>
      <c r="K4804" s="3" t="s">
        <v>63</v>
      </c>
      <c r="L4804" s="2" t="s">
        <v>46028</v>
      </c>
      <c r="M4804" s="2" t="s">
        <v>12953</v>
      </c>
      <c r="N4804" s="3" t="s">
        <v>1059</v>
      </c>
      <c r="P4804" s="3" t="s">
        <v>65</v>
      </c>
      <c r="Q4804" s="2" t="s">
        <v>46029</v>
      </c>
      <c r="R4804" s="3" t="s">
        <v>66</v>
      </c>
      <c r="S4804" s="4">
        <v>9</v>
      </c>
      <c r="T4804" s="4">
        <v>9</v>
      </c>
      <c r="U4804" s="5" t="s">
        <v>8054</v>
      </c>
      <c r="V4804" s="5" t="s">
        <v>8054</v>
      </c>
      <c r="W4804" s="5" t="s">
        <v>67</v>
      </c>
      <c r="X4804" s="5" t="s">
        <v>67</v>
      </c>
      <c r="Y4804" s="4">
        <v>186</v>
      </c>
      <c r="Z4804" s="4">
        <v>13</v>
      </c>
      <c r="AA4804" s="4">
        <v>102</v>
      </c>
      <c r="AB4804" s="4">
        <v>1</v>
      </c>
      <c r="AC4804" s="4">
        <v>18</v>
      </c>
      <c r="AD4804" s="4">
        <v>82</v>
      </c>
      <c r="AE4804" s="4">
        <v>137</v>
      </c>
      <c r="AF4804" s="4">
        <v>0</v>
      </c>
      <c r="AG4804" s="4">
        <v>8</v>
      </c>
      <c r="AH4804" s="4">
        <v>77</v>
      </c>
      <c r="AI4804" s="4">
        <v>99</v>
      </c>
      <c r="AJ4804" s="4">
        <v>11</v>
      </c>
      <c r="AK4804" s="4">
        <v>24</v>
      </c>
      <c r="AL4804" s="4">
        <v>47</v>
      </c>
      <c r="AM4804" s="4">
        <v>54</v>
      </c>
      <c r="AN4804" s="4">
        <v>0</v>
      </c>
      <c r="AO4804" s="4">
        <v>0</v>
      </c>
      <c r="AP4804" s="4">
        <v>11</v>
      </c>
      <c r="AQ4804" s="4">
        <v>46</v>
      </c>
      <c r="AR4804" s="3" t="s">
        <v>62</v>
      </c>
      <c r="AS4804" s="3" t="s">
        <v>62</v>
      </c>
      <c r="AT4804" s="3" t="s">
        <v>61</v>
      </c>
      <c r="AU4804" s="6" t="str">
        <f>HYPERLINK("http://catalog.hathitrust.org/Record/007146607","HathiTrust Record")</f>
        <v>HathiTrust Record</v>
      </c>
      <c r="AV4804" s="6" t="str">
        <f>HYPERLINK("http://mcgill.on.worldcat.org/oclc/61362258","Catalog Record")</f>
        <v>Catalog Record</v>
      </c>
      <c r="AW4804" s="6" t="str">
        <f>HYPERLINK("http://www.worldcat.org/oclc/61362258","WorldCat Record")</f>
        <v>WorldCat Record</v>
      </c>
      <c r="AX4804" s="3" t="s">
        <v>46030</v>
      </c>
      <c r="AY4804" s="3" t="s">
        <v>46031</v>
      </c>
      <c r="AZ4804" s="3" t="s">
        <v>46032</v>
      </c>
      <c r="BA4804" s="3" t="s">
        <v>46032</v>
      </c>
      <c r="BB4804" s="3" t="s">
        <v>46033</v>
      </c>
      <c r="BC4804" s="3" t="s">
        <v>142</v>
      </c>
      <c r="BD4804" s="3" t="s">
        <v>68</v>
      </c>
      <c r="BE4804" s="3" t="s">
        <v>46034</v>
      </c>
      <c r="BF4804" s="3" t="s">
        <v>46033</v>
      </c>
      <c r="BG4804" s="3" t="s">
        <v>46035</v>
      </c>
    </row>
    <row r="4805" spans="1:59" ht="57" x14ac:dyDescent="0.45">
      <c r="A4805" s="2" t="s">
        <v>59</v>
      </c>
      <c r="B4805" s="2" t="s">
        <v>60</v>
      </c>
      <c r="C4805" s="2" t="s">
        <v>46036</v>
      </c>
      <c r="D4805" s="2" t="s">
        <v>46037</v>
      </c>
      <c r="E4805" s="2" t="s">
        <v>46038</v>
      </c>
      <c r="G4805" s="3" t="s">
        <v>62</v>
      </c>
      <c r="I4805" s="3" t="s">
        <v>62</v>
      </c>
      <c r="J4805" s="3" t="s">
        <v>62</v>
      </c>
      <c r="K4805" s="3" t="s">
        <v>63</v>
      </c>
      <c r="L4805" s="2" t="s">
        <v>46039</v>
      </c>
      <c r="M4805" s="2" t="s">
        <v>1713</v>
      </c>
      <c r="N4805" s="3" t="s">
        <v>1155</v>
      </c>
      <c r="P4805" s="3" t="s">
        <v>65</v>
      </c>
      <c r="Q4805" s="2" t="s">
        <v>46040</v>
      </c>
      <c r="R4805" s="3" t="s">
        <v>66</v>
      </c>
      <c r="S4805" s="4">
        <v>1</v>
      </c>
      <c r="T4805" s="4">
        <v>1</v>
      </c>
      <c r="U4805" s="5" t="s">
        <v>11152</v>
      </c>
      <c r="V4805" s="5" t="s">
        <v>11152</v>
      </c>
      <c r="W4805" s="5" t="s">
        <v>67</v>
      </c>
      <c r="X4805" s="5" t="s">
        <v>67</v>
      </c>
      <c r="Y4805" s="4">
        <v>157</v>
      </c>
      <c r="Z4805" s="4">
        <v>17</v>
      </c>
      <c r="AA4805" s="4">
        <v>102</v>
      </c>
      <c r="AB4805" s="4">
        <v>1</v>
      </c>
      <c r="AC4805" s="4">
        <v>14</v>
      </c>
      <c r="AD4805" s="4">
        <v>73</v>
      </c>
      <c r="AE4805" s="4">
        <v>128</v>
      </c>
      <c r="AF4805" s="4">
        <v>0</v>
      </c>
      <c r="AG4805" s="4">
        <v>8</v>
      </c>
      <c r="AH4805" s="4">
        <v>66</v>
      </c>
      <c r="AI4805" s="4">
        <v>91</v>
      </c>
      <c r="AJ4805" s="4">
        <v>13</v>
      </c>
      <c r="AK4805" s="4">
        <v>24</v>
      </c>
      <c r="AL4805" s="4">
        <v>39</v>
      </c>
      <c r="AM4805" s="4">
        <v>50</v>
      </c>
      <c r="AN4805" s="4">
        <v>0</v>
      </c>
      <c r="AO4805" s="4">
        <v>0</v>
      </c>
      <c r="AP4805" s="4">
        <v>14</v>
      </c>
      <c r="AQ4805" s="4">
        <v>45</v>
      </c>
      <c r="AR4805" s="3" t="s">
        <v>62</v>
      </c>
      <c r="AS4805" s="3" t="s">
        <v>62</v>
      </c>
      <c r="AT4805" s="3" t="s">
        <v>62</v>
      </c>
      <c r="AV4805" s="6" t="str">
        <f>HYPERLINK("http://mcgill.on.worldcat.org/oclc/757133664","Catalog Record")</f>
        <v>Catalog Record</v>
      </c>
      <c r="AW4805" s="6" t="str">
        <f>HYPERLINK("http://www.worldcat.org/oclc/757133664","WorldCat Record")</f>
        <v>WorldCat Record</v>
      </c>
      <c r="AX4805" s="3" t="s">
        <v>46041</v>
      </c>
      <c r="AY4805" s="3" t="s">
        <v>46042</v>
      </c>
      <c r="AZ4805" s="3" t="s">
        <v>46043</v>
      </c>
      <c r="BA4805" s="3" t="s">
        <v>46043</v>
      </c>
      <c r="BB4805" s="3" t="s">
        <v>46044</v>
      </c>
      <c r="BC4805" s="3" t="s">
        <v>142</v>
      </c>
      <c r="BD4805" s="3" t="s">
        <v>68</v>
      </c>
      <c r="BE4805" s="3" t="s">
        <v>46045</v>
      </c>
      <c r="BF4805" s="3" t="s">
        <v>46044</v>
      </c>
      <c r="BG4805" s="3" t="s">
        <v>46046</v>
      </c>
    </row>
    <row r="4806" spans="1:59" ht="57" x14ac:dyDescent="0.45">
      <c r="A4806" s="2" t="s">
        <v>59</v>
      </c>
      <c r="B4806" s="2" t="s">
        <v>60</v>
      </c>
      <c r="C4806" s="2" t="s">
        <v>46047</v>
      </c>
      <c r="D4806" s="2" t="s">
        <v>46048</v>
      </c>
      <c r="E4806" s="2" t="s">
        <v>46049</v>
      </c>
      <c r="G4806" s="3" t="s">
        <v>62</v>
      </c>
      <c r="I4806" s="3" t="s">
        <v>62</v>
      </c>
      <c r="J4806" s="3" t="s">
        <v>62</v>
      </c>
      <c r="K4806" s="3" t="s">
        <v>63</v>
      </c>
      <c r="L4806" s="2" t="s">
        <v>46039</v>
      </c>
      <c r="M4806" s="2" t="s">
        <v>46050</v>
      </c>
      <c r="N4806" s="3" t="s">
        <v>1224</v>
      </c>
      <c r="P4806" s="3" t="s">
        <v>65</v>
      </c>
      <c r="R4806" s="3" t="s">
        <v>66</v>
      </c>
      <c r="S4806" s="4">
        <v>5</v>
      </c>
      <c r="T4806" s="4">
        <v>5</v>
      </c>
      <c r="U4806" s="5" t="s">
        <v>46051</v>
      </c>
      <c r="V4806" s="5" t="s">
        <v>46051</v>
      </c>
      <c r="W4806" s="5" t="s">
        <v>67</v>
      </c>
      <c r="X4806" s="5" t="s">
        <v>67</v>
      </c>
      <c r="Y4806" s="4">
        <v>465</v>
      </c>
      <c r="Z4806" s="4">
        <v>23</v>
      </c>
      <c r="AA4806" s="4">
        <v>27</v>
      </c>
      <c r="AB4806" s="4">
        <v>1</v>
      </c>
      <c r="AC4806" s="4">
        <v>4</v>
      </c>
      <c r="AD4806" s="4">
        <v>112</v>
      </c>
      <c r="AE4806" s="4">
        <v>115</v>
      </c>
      <c r="AF4806" s="4">
        <v>0</v>
      </c>
      <c r="AG4806" s="4">
        <v>2</v>
      </c>
      <c r="AH4806" s="4">
        <v>100</v>
      </c>
      <c r="AI4806" s="4">
        <v>101</v>
      </c>
      <c r="AJ4806" s="4">
        <v>16</v>
      </c>
      <c r="AK4806" s="4">
        <v>18</v>
      </c>
      <c r="AL4806" s="4">
        <v>54</v>
      </c>
      <c r="AM4806" s="4">
        <v>54</v>
      </c>
      <c r="AN4806" s="4">
        <v>0</v>
      </c>
      <c r="AO4806" s="4">
        <v>0</v>
      </c>
      <c r="AP4806" s="4">
        <v>20</v>
      </c>
      <c r="AQ4806" s="4">
        <v>23</v>
      </c>
      <c r="AR4806" s="3" t="s">
        <v>62</v>
      </c>
      <c r="AS4806" s="3" t="s">
        <v>62</v>
      </c>
      <c r="AT4806" s="3" t="s">
        <v>61</v>
      </c>
      <c r="AU4806" s="6" t="str">
        <f>HYPERLINK("http://catalog.hathitrust.org/Record/001435321","HathiTrust Record")</f>
        <v>HathiTrust Record</v>
      </c>
      <c r="AV4806" s="6" t="str">
        <f>HYPERLINK("http://mcgill.on.worldcat.org/oclc/1046121","Catalog Record")</f>
        <v>Catalog Record</v>
      </c>
      <c r="AW4806" s="6" t="str">
        <f>HYPERLINK("http://www.worldcat.org/oclc/1046121","WorldCat Record")</f>
        <v>WorldCat Record</v>
      </c>
      <c r="AX4806" s="3" t="s">
        <v>46052</v>
      </c>
      <c r="AY4806" s="3" t="s">
        <v>46053</v>
      </c>
      <c r="AZ4806" s="3" t="s">
        <v>46054</v>
      </c>
      <c r="BA4806" s="3" t="s">
        <v>46054</v>
      </c>
      <c r="BB4806" s="3" t="s">
        <v>46055</v>
      </c>
      <c r="BC4806" s="3" t="s">
        <v>142</v>
      </c>
      <c r="BD4806" s="3" t="s">
        <v>68</v>
      </c>
      <c r="BE4806" s="3" t="s">
        <v>46056</v>
      </c>
      <c r="BF4806" s="3" t="s">
        <v>46055</v>
      </c>
      <c r="BG4806" s="3" t="s">
        <v>46057</v>
      </c>
    </row>
    <row r="4807" spans="1:59" ht="57" x14ac:dyDescent="0.45">
      <c r="A4807" s="2" t="s">
        <v>59</v>
      </c>
      <c r="B4807" s="2" t="s">
        <v>60</v>
      </c>
      <c r="C4807" s="2" t="s">
        <v>46058</v>
      </c>
      <c r="D4807" s="2" t="s">
        <v>46059</v>
      </c>
      <c r="E4807" s="2" t="s">
        <v>46060</v>
      </c>
      <c r="G4807" s="3" t="s">
        <v>62</v>
      </c>
      <c r="I4807" s="3" t="s">
        <v>62</v>
      </c>
      <c r="J4807" s="3" t="s">
        <v>62</v>
      </c>
      <c r="K4807" s="3" t="s">
        <v>63</v>
      </c>
      <c r="M4807" s="2" t="s">
        <v>46061</v>
      </c>
      <c r="N4807" s="3" t="s">
        <v>1212</v>
      </c>
      <c r="P4807" s="3" t="s">
        <v>65</v>
      </c>
      <c r="Q4807" s="2" t="s">
        <v>46062</v>
      </c>
      <c r="R4807" s="3" t="s">
        <v>66</v>
      </c>
      <c r="S4807" s="4">
        <v>11</v>
      </c>
      <c r="T4807" s="4">
        <v>11</v>
      </c>
      <c r="U4807" s="5" t="s">
        <v>46063</v>
      </c>
      <c r="V4807" s="5" t="s">
        <v>46063</v>
      </c>
      <c r="W4807" s="5" t="s">
        <v>67</v>
      </c>
      <c r="X4807" s="5" t="s">
        <v>67</v>
      </c>
      <c r="Y4807" s="4">
        <v>139</v>
      </c>
      <c r="Z4807" s="4">
        <v>10</v>
      </c>
      <c r="AA4807" s="4">
        <v>11</v>
      </c>
      <c r="AB4807" s="4">
        <v>2</v>
      </c>
      <c r="AC4807" s="4">
        <v>3</v>
      </c>
      <c r="AD4807" s="4">
        <v>67</v>
      </c>
      <c r="AE4807" s="4">
        <v>68</v>
      </c>
      <c r="AF4807" s="4">
        <v>1</v>
      </c>
      <c r="AG4807" s="4">
        <v>2</v>
      </c>
      <c r="AH4807" s="4">
        <v>61</v>
      </c>
      <c r="AI4807" s="4">
        <v>62</v>
      </c>
      <c r="AJ4807" s="4">
        <v>8</v>
      </c>
      <c r="AK4807" s="4">
        <v>9</v>
      </c>
      <c r="AL4807" s="4">
        <v>42</v>
      </c>
      <c r="AM4807" s="4">
        <v>42</v>
      </c>
      <c r="AN4807" s="4">
        <v>0</v>
      </c>
      <c r="AO4807" s="4">
        <v>0</v>
      </c>
      <c r="AP4807" s="4">
        <v>8</v>
      </c>
      <c r="AQ4807" s="4">
        <v>9</v>
      </c>
      <c r="AR4807" s="3" t="s">
        <v>62</v>
      </c>
      <c r="AS4807" s="3" t="s">
        <v>62</v>
      </c>
      <c r="AT4807" s="3" t="s">
        <v>62</v>
      </c>
      <c r="AV4807" s="6" t="str">
        <f>HYPERLINK("http://mcgill.on.worldcat.org/oclc/43953958","Catalog Record")</f>
        <v>Catalog Record</v>
      </c>
      <c r="AW4807" s="6" t="str">
        <f>HYPERLINK("http://www.worldcat.org/oclc/43953958","WorldCat Record")</f>
        <v>WorldCat Record</v>
      </c>
      <c r="AX4807" s="3" t="s">
        <v>46064</v>
      </c>
      <c r="AY4807" s="3" t="s">
        <v>46065</v>
      </c>
      <c r="AZ4807" s="3" t="s">
        <v>46066</v>
      </c>
      <c r="BA4807" s="3" t="s">
        <v>46066</v>
      </c>
      <c r="BB4807" s="3" t="s">
        <v>46067</v>
      </c>
      <c r="BC4807" s="3" t="s">
        <v>142</v>
      </c>
      <c r="BD4807" s="3" t="s">
        <v>68</v>
      </c>
      <c r="BE4807" s="3" t="s">
        <v>46068</v>
      </c>
      <c r="BF4807" s="3" t="s">
        <v>46067</v>
      </c>
      <c r="BG4807" s="3" t="s">
        <v>46069</v>
      </c>
    </row>
    <row r="4808" spans="1:59" ht="57" x14ac:dyDescent="0.45">
      <c r="A4808" s="2" t="s">
        <v>59</v>
      </c>
      <c r="B4808" s="2" t="s">
        <v>60</v>
      </c>
      <c r="C4808" s="2" t="s">
        <v>46070</v>
      </c>
      <c r="D4808" s="2" t="s">
        <v>46071</v>
      </c>
      <c r="E4808" s="2" t="s">
        <v>46072</v>
      </c>
      <c r="G4808" s="3" t="s">
        <v>62</v>
      </c>
      <c r="I4808" s="3" t="s">
        <v>62</v>
      </c>
      <c r="J4808" s="3" t="s">
        <v>62</v>
      </c>
      <c r="K4808" s="3" t="s">
        <v>63</v>
      </c>
      <c r="M4808" s="2" t="s">
        <v>5074</v>
      </c>
      <c r="N4808" s="3" t="s">
        <v>1855</v>
      </c>
      <c r="P4808" s="3" t="s">
        <v>65</v>
      </c>
      <c r="Q4808" s="2" t="s">
        <v>46073</v>
      </c>
      <c r="R4808" s="3" t="s">
        <v>66</v>
      </c>
      <c r="S4808" s="4">
        <v>5</v>
      </c>
      <c r="T4808" s="4">
        <v>5</v>
      </c>
      <c r="U4808" s="5" t="s">
        <v>46074</v>
      </c>
      <c r="V4808" s="5" t="s">
        <v>46074</v>
      </c>
      <c r="W4808" s="5" t="s">
        <v>67</v>
      </c>
      <c r="X4808" s="5" t="s">
        <v>67</v>
      </c>
      <c r="Y4808" s="4">
        <v>131</v>
      </c>
      <c r="Z4808" s="4">
        <v>10</v>
      </c>
      <c r="AA4808" s="4">
        <v>80</v>
      </c>
      <c r="AB4808" s="4">
        <v>1</v>
      </c>
      <c r="AC4808" s="4">
        <v>15</v>
      </c>
      <c r="AD4808" s="4">
        <v>65</v>
      </c>
      <c r="AE4808" s="4">
        <v>121</v>
      </c>
      <c r="AF4808" s="4">
        <v>0</v>
      </c>
      <c r="AG4808" s="4">
        <v>8</v>
      </c>
      <c r="AH4808" s="4">
        <v>60</v>
      </c>
      <c r="AI4808" s="4">
        <v>85</v>
      </c>
      <c r="AJ4808" s="4">
        <v>8</v>
      </c>
      <c r="AK4808" s="4">
        <v>22</v>
      </c>
      <c r="AL4808" s="4">
        <v>42</v>
      </c>
      <c r="AM4808" s="4">
        <v>49</v>
      </c>
      <c r="AN4808" s="4">
        <v>0</v>
      </c>
      <c r="AO4808" s="4">
        <v>0</v>
      </c>
      <c r="AP4808" s="4">
        <v>8</v>
      </c>
      <c r="AQ4808" s="4">
        <v>42</v>
      </c>
      <c r="AR4808" s="3" t="s">
        <v>62</v>
      </c>
      <c r="AS4808" s="3" t="s">
        <v>62</v>
      </c>
      <c r="AT4808" s="3" t="s">
        <v>61</v>
      </c>
      <c r="AU4808" s="6" t="str">
        <f>HYPERLINK("http://catalog.hathitrust.org/Record/005093008","HathiTrust Record")</f>
        <v>HathiTrust Record</v>
      </c>
      <c r="AV4808" s="6" t="str">
        <f>HYPERLINK("http://mcgill.on.worldcat.org/oclc/61478751","Catalog Record")</f>
        <v>Catalog Record</v>
      </c>
      <c r="AW4808" s="6" t="str">
        <f>HYPERLINK("http://www.worldcat.org/oclc/61478751","WorldCat Record")</f>
        <v>WorldCat Record</v>
      </c>
      <c r="AX4808" s="3" t="s">
        <v>46075</v>
      </c>
      <c r="AY4808" s="3" t="s">
        <v>46076</v>
      </c>
      <c r="AZ4808" s="3" t="s">
        <v>46077</v>
      </c>
      <c r="BA4808" s="3" t="s">
        <v>46077</v>
      </c>
      <c r="BB4808" s="3" t="s">
        <v>46078</v>
      </c>
      <c r="BC4808" s="3" t="s">
        <v>142</v>
      </c>
      <c r="BD4808" s="3" t="s">
        <v>68</v>
      </c>
      <c r="BE4808" s="3" t="s">
        <v>46079</v>
      </c>
      <c r="BF4808" s="3" t="s">
        <v>46078</v>
      </c>
      <c r="BG4808" s="3" t="s">
        <v>46080</v>
      </c>
    </row>
    <row r="4809" spans="1:59" ht="57" x14ac:dyDescent="0.45">
      <c r="A4809" s="2" t="s">
        <v>59</v>
      </c>
      <c r="B4809" s="2" t="s">
        <v>60</v>
      </c>
      <c r="C4809" s="2" t="s">
        <v>46081</v>
      </c>
      <c r="D4809" s="2" t="s">
        <v>46082</v>
      </c>
      <c r="E4809" s="2" t="s">
        <v>46083</v>
      </c>
      <c r="G4809" s="3" t="s">
        <v>62</v>
      </c>
      <c r="I4809" s="3" t="s">
        <v>61</v>
      </c>
      <c r="J4809" s="3" t="s">
        <v>62</v>
      </c>
      <c r="K4809" s="3" t="s">
        <v>63</v>
      </c>
      <c r="L4809" s="2" t="s">
        <v>32055</v>
      </c>
      <c r="M4809" s="2" t="s">
        <v>46084</v>
      </c>
      <c r="N4809" s="3" t="s">
        <v>113</v>
      </c>
      <c r="O4809" s="2" t="s">
        <v>46085</v>
      </c>
      <c r="P4809" s="3" t="s">
        <v>65</v>
      </c>
      <c r="Q4809" s="2" t="s">
        <v>46086</v>
      </c>
      <c r="R4809" s="3" t="s">
        <v>66</v>
      </c>
      <c r="S4809" s="4">
        <v>4</v>
      </c>
      <c r="T4809" s="4">
        <v>4</v>
      </c>
      <c r="U4809" s="5" t="s">
        <v>795</v>
      </c>
      <c r="V4809" s="5" t="s">
        <v>795</v>
      </c>
      <c r="W4809" s="5" t="s">
        <v>67</v>
      </c>
      <c r="X4809" s="5" t="s">
        <v>67</v>
      </c>
      <c r="Y4809" s="4">
        <v>595</v>
      </c>
      <c r="Z4809" s="4">
        <v>34</v>
      </c>
      <c r="AA4809" s="4">
        <v>92</v>
      </c>
      <c r="AB4809" s="4">
        <v>2</v>
      </c>
      <c r="AC4809" s="4">
        <v>15</v>
      </c>
      <c r="AD4809" s="4">
        <v>114</v>
      </c>
      <c r="AE4809" s="4">
        <v>144</v>
      </c>
      <c r="AF4809" s="4">
        <v>0</v>
      </c>
      <c r="AG4809" s="4">
        <v>8</v>
      </c>
      <c r="AH4809" s="4">
        <v>93</v>
      </c>
      <c r="AI4809" s="4">
        <v>104</v>
      </c>
      <c r="AJ4809" s="4">
        <v>15</v>
      </c>
      <c r="AK4809" s="4">
        <v>25</v>
      </c>
      <c r="AL4809" s="4">
        <v>50</v>
      </c>
      <c r="AM4809" s="4">
        <v>53</v>
      </c>
      <c r="AN4809" s="4">
        <v>0</v>
      </c>
      <c r="AO4809" s="4">
        <v>0</v>
      </c>
      <c r="AP4809" s="4">
        <v>27</v>
      </c>
      <c r="AQ4809" s="4">
        <v>49</v>
      </c>
      <c r="AR4809" s="3" t="s">
        <v>62</v>
      </c>
      <c r="AS4809" s="3" t="s">
        <v>62</v>
      </c>
      <c r="AT4809" s="3" t="s">
        <v>61</v>
      </c>
      <c r="AU4809" s="6" t="str">
        <f>HYPERLINK("http://catalog.hathitrust.org/Record/001657745","HathiTrust Record")</f>
        <v>HathiTrust Record</v>
      </c>
      <c r="AV4809" s="6" t="str">
        <f>HYPERLINK("http://mcgill.on.worldcat.org/oclc/308042","Catalog Record")</f>
        <v>Catalog Record</v>
      </c>
      <c r="AW4809" s="6" t="str">
        <f>HYPERLINK("http://www.worldcat.org/oclc/308042","WorldCat Record")</f>
        <v>WorldCat Record</v>
      </c>
      <c r="AX4809" s="3" t="s">
        <v>46087</v>
      </c>
      <c r="AY4809" s="3" t="s">
        <v>46088</v>
      </c>
      <c r="AZ4809" s="3" t="s">
        <v>46089</v>
      </c>
      <c r="BA4809" s="3" t="s">
        <v>46089</v>
      </c>
      <c r="BB4809" s="3" t="s">
        <v>46090</v>
      </c>
      <c r="BC4809" s="3" t="s">
        <v>142</v>
      </c>
      <c r="BD4809" s="3" t="s">
        <v>68</v>
      </c>
      <c r="BF4809" s="3" t="s">
        <v>46090</v>
      </c>
      <c r="BG4809" s="3" t="s">
        <v>46091</v>
      </c>
    </row>
    <row r="4810" spans="1:59" ht="57" x14ac:dyDescent="0.45">
      <c r="A4810" s="2" t="s">
        <v>59</v>
      </c>
      <c r="B4810" s="2" t="s">
        <v>60</v>
      </c>
      <c r="C4810" s="2" t="s">
        <v>46092</v>
      </c>
      <c r="D4810" s="2" t="s">
        <v>46093</v>
      </c>
      <c r="E4810" s="2" t="s">
        <v>46094</v>
      </c>
      <c r="G4810" s="3" t="s">
        <v>62</v>
      </c>
      <c r="I4810" s="3" t="s">
        <v>62</v>
      </c>
      <c r="J4810" s="3" t="s">
        <v>62</v>
      </c>
      <c r="K4810" s="3" t="s">
        <v>63</v>
      </c>
      <c r="L4810" s="2" t="s">
        <v>46095</v>
      </c>
      <c r="M4810" s="2" t="s">
        <v>8485</v>
      </c>
      <c r="N4810" s="3" t="s">
        <v>970</v>
      </c>
      <c r="P4810" s="3" t="s">
        <v>65</v>
      </c>
      <c r="Q4810" s="2" t="s">
        <v>46096</v>
      </c>
      <c r="R4810" s="3" t="s">
        <v>66</v>
      </c>
      <c r="S4810" s="4">
        <v>6</v>
      </c>
      <c r="T4810" s="4">
        <v>6</v>
      </c>
      <c r="U4810" s="5" t="s">
        <v>13321</v>
      </c>
      <c r="V4810" s="5" t="s">
        <v>13321</v>
      </c>
      <c r="W4810" s="5" t="s">
        <v>67</v>
      </c>
      <c r="X4810" s="5" t="s">
        <v>67</v>
      </c>
      <c r="Y4810" s="4">
        <v>122</v>
      </c>
      <c r="Z4810" s="4">
        <v>10</v>
      </c>
      <c r="AA4810" s="4">
        <v>101</v>
      </c>
      <c r="AB4810" s="4">
        <v>2</v>
      </c>
      <c r="AC4810" s="4">
        <v>18</v>
      </c>
      <c r="AD4810" s="4">
        <v>61</v>
      </c>
      <c r="AE4810" s="4">
        <v>127</v>
      </c>
      <c r="AF4810" s="4">
        <v>0</v>
      </c>
      <c r="AG4810" s="4">
        <v>8</v>
      </c>
      <c r="AH4810" s="4">
        <v>57</v>
      </c>
      <c r="AI4810" s="4">
        <v>92</v>
      </c>
      <c r="AJ4810" s="4">
        <v>5</v>
      </c>
      <c r="AK4810" s="4">
        <v>20</v>
      </c>
      <c r="AL4810" s="4">
        <v>41</v>
      </c>
      <c r="AM4810" s="4">
        <v>52</v>
      </c>
      <c r="AN4810" s="4">
        <v>0</v>
      </c>
      <c r="AO4810" s="4">
        <v>0</v>
      </c>
      <c r="AP4810" s="4">
        <v>6</v>
      </c>
      <c r="AQ4810" s="4">
        <v>41</v>
      </c>
      <c r="AR4810" s="3" t="s">
        <v>62</v>
      </c>
      <c r="AS4810" s="3" t="s">
        <v>62</v>
      </c>
      <c r="AT4810" s="3" t="s">
        <v>62</v>
      </c>
      <c r="AV4810" s="6" t="str">
        <f>HYPERLINK("http://mcgill.on.worldcat.org/oclc/49942693","Catalog Record")</f>
        <v>Catalog Record</v>
      </c>
      <c r="AW4810" s="6" t="str">
        <f>HYPERLINK("http://www.worldcat.org/oclc/49942693","WorldCat Record")</f>
        <v>WorldCat Record</v>
      </c>
      <c r="AX4810" s="3" t="s">
        <v>46097</v>
      </c>
      <c r="AY4810" s="3" t="s">
        <v>46098</v>
      </c>
      <c r="AZ4810" s="3" t="s">
        <v>46099</v>
      </c>
      <c r="BA4810" s="3" t="s">
        <v>46099</v>
      </c>
      <c r="BB4810" s="3" t="s">
        <v>46100</v>
      </c>
      <c r="BC4810" s="3" t="s">
        <v>142</v>
      </c>
      <c r="BD4810" s="3" t="s">
        <v>68</v>
      </c>
      <c r="BE4810" s="3" t="s">
        <v>46101</v>
      </c>
      <c r="BF4810" s="3" t="s">
        <v>46100</v>
      </c>
      <c r="BG4810" s="3" t="s">
        <v>46102</v>
      </c>
    </row>
    <row r="4811" spans="1:59" ht="57" x14ac:dyDescent="0.45">
      <c r="A4811" s="2" t="s">
        <v>59</v>
      </c>
      <c r="B4811" s="2" t="s">
        <v>60</v>
      </c>
      <c r="C4811" s="2" t="s">
        <v>46103</v>
      </c>
      <c r="D4811" s="2" t="s">
        <v>46104</v>
      </c>
      <c r="E4811" s="2" t="s">
        <v>46105</v>
      </c>
      <c r="G4811" s="3" t="s">
        <v>62</v>
      </c>
      <c r="I4811" s="3" t="s">
        <v>62</v>
      </c>
      <c r="J4811" s="3" t="s">
        <v>62</v>
      </c>
      <c r="K4811" s="3" t="s">
        <v>63</v>
      </c>
      <c r="L4811" s="2" t="s">
        <v>46106</v>
      </c>
      <c r="M4811" s="2" t="s">
        <v>46107</v>
      </c>
      <c r="N4811" s="3" t="s">
        <v>1604</v>
      </c>
      <c r="P4811" s="3" t="s">
        <v>182</v>
      </c>
      <c r="Q4811" s="2" t="s">
        <v>46108</v>
      </c>
      <c r="R4811" s="3" t="s">
        <v>66</v>
      </c>
      <c r="S4811" s="4">
        <v>2</v>
      </c>
      <c r="T4811" s="4">
        <v>2</v>
      </c>
      <c r="U4811" s="5" t="s">
        <v>46109</v>
      </c>
      <c r="V4811" s="5" t="s">
        <v>46109</v>
      </c>
      <c r="W4811" s="5" t="s">
        <v>67</v>
      </c>
      <c r="X4811" s="5" t="s">
        <v>67</v>
      </c>
      <c r="Y4811" s="4">
        <v>61</v>
      </c>
      <c r="Z4811" s="4">
        <v>4</v>
      </c>
      <c r="AA4811" s="4">
        <v>4</v>
      </c>
      <c r="AB4811" s="4">
        <v>1</v>
      </c>
      <c r="AC4811" s="4">
        <v>1</v>
      </c>
      <c r="AD4811" s="4">
        <v>27</v>
      </c>
      <c r="AE4811" s="4">
        <v>27</v>
      </c>
      <c r="AF4811" s="4">
        <v>0</v>
      </c>
      <c r="AG4811" s="4">
        <v>0</v>
      </c>
      <c r="AH4811" s="4">
        <v>27</v>
      </c>
      <c r="AI4811" s="4">
        <v>27</v>
      </c>
      <c r="AJ4811" s="4">
        <v>1</v>
      </c>
      <c r="AK4811" s="4">
        <v>1</v>
      </c>
      <c r="AL4811" s="4">
        <v>24</v>
      </c>
      <c r="AM4811" s="4">
        <v>24</v>
      </c>
      <c r="AN4811" s="4">
        <v>0</v>
      </c>
      <c r="AO4811" s="4">
        <v>0</v>
      </c>
      <c r="AP4811" s="4">
        <v>1</v>
      </c>
      <c r="AQ4811" s="4">
        <v>1</v>
      </c>
      <c r="AR4811" s="3" t="s">
        <v>62</v>
      </c>
      <c r="AS4811" s="3" t="s">
        <v>62</v>
      </c>
      <c r="AT4811" s="3" t="s">
        <v>62</v>
      </c>
      <c r="AV4811" s="6" t="str">
        <f>HYPERLINK("http://mcgill.on.worldcat.org/oclc/31928976","Catalog Record")</f>
        <v>Catalog Record</v>
      </c>
      <c r="AW4811" s="6" t="str">
        <f>HYPERLINK("http://www.worldcat.org/oclc/31928976","WorldCat Record")</f>
        <v>WorldCat Record</v>
      </c>
      <c r="AX4811" s="3" t="s">
        <v>46110</v>
      </c>
      <c r="AY4811" s="3" t="s">
        <v>46111</v>
      </c>
      <c r="AZ4811" s="3" t="s">
        <v>46112</v>
      </c>
      <c r="BA4811" s="3" t="s">
        <v>46112</v>
      </c>
      <c r="BB4811" s="3" t="s">
        <v>46113</v>
      </c>
      <c r="BC4811" s="3" t="s">
        <v>142</v>
      </c>
      <c r="BD4811" s="3" t="s">
        <v>68</v>
      </c>
      <c r="BF4811" s="3" t="s">
        <v>46113</v>
      </c>
      <c r="BG4811" s="3" t="s">
        <v>46114</v>
      </c>
    </row>
    <row r="4812" spans="1:59" ht="57" x14ac:dyDescent="0.45">
      <c r="A4812" s="2" t="s">
        <v>59</v>
      </c>
      <c r="B4812" s="2" t="s">
        <v>60</v>
      </c>
      <c r="C4812" s="2" t="s">
        <v>46115</v>
      </c>
      <c r="D4812" s="2" t="s">
        <v>46116</v>
      </c>
      <c r="E4812" s="2" t="s">
        <v>46117</v>
      </c>
      <c r="G4812" s="3" t="s">
        <v>62</v>
      </c>
      <c r="I4812" s="3" t="s">
        <v>62</v>
      </c>
      <c r="J4812" s="3" t="s">
        <v>62</v>
      </c>
      <c r="K4812" s="3" t="s">
        <v>63</v>
      </c>
      <c r="M4812" s="2" t="s">
        <v>13812</v>
      </c>
      <c r="N4812" s="3" t="s">
        <v>542</v>
      </c>
      <c r="P4812" s="3" t="s">
        <v>65</v>
      </c>
      <c r="Q4812" s="2" t="s">
        <v>46118</v>
      </c>
      <c r="R4812" s="3" t="s">
        <v>66</v>
      </c>
      <c r="S4812" s="4">
        <v>6</v>
      </c>
      <c r="T4812" s="4">
        <v>6</v>
      </c>
      <c r="U4812" s="5" t="s">
        <v>13321</v>
      </c>
      <c r="V4812" s="5" t="s">
        <v>13321</v>
      </c>
      <c r="W4812" s="5" t="s">
        <v>67</v>
      </c>
      <c r="X4812" s="5" t="s">
        <v>67</v>
      </c>
      <c r="Y4812" s="4">
        <v>149</v>
      </c>
      <c r="Z4812" s="4">
        <v>11</v>
      </c>
      <c r="AA4812" s="4">
        <v>61</v>
      </c>
      <c r="AB4812" s="4">
        <v>2</v>
      </c>
      <c r="AC4812" s="4">
        <v>18</v>
      </c>
      <c r="AD4812" s="4">
        <v>66</v>
      </c>
      <c r="AE4812" s="4">
        <v>117</v>
      </c>
      <c r="AF4812" s="4">
        <v>0</v>
      </c>
      <c r="AG4812" s="4">
        <v>8</v>
      </c>
      <c r="AH4812" s="4">
        <v>63</v>
      </c>
      <c r="AI4812" s="4">
        <v>80</v>
      </c>
      <c r="AJ4812" s="4">
        <v>8</v>
      </c>
      <c r="AK4812" s="4">
        <v>24</v>
      </c>
      <c r="AL4812" s="4">
        <v>38</v>
      </c>
      <c r="AM4812" s="4">
        <v>40</v>
      </c>
      <c r="AN4812" s="4">
        <v>0</v>
      </c>
      <c r="AO4812" s="4">
        <v>0</v>
      </c>
      <c r="AP4812" s="4">
        <v>8</v>
      </c>
      <c r="AQ4812" s="4">
        <v>47</v>
      </c>
      <c r="AR4812" s="3" t="s">
        <v>62</v>
      </c>
      <c r="AS4812" s="3" t="s">
        <v>62</v>
      </c>
      <c r="AT4812" s="3" t="s">
        <v>62</v>
      </c>
      <c r="AV4812" s="6" t="str">
        <f>HYPERLINK("http://mcgill.on.worldcat.org/oclc/45209133","Catalog Record")</f>
        <v>Catalog Record</v>
      </c>
      <c r="AW4812" s="6" t="str">
        <f>HYPERLINK("http://www.worldcat.org/oclc/45209133","WorldCat Record")</f>
        <v>WorldCat Record</v>
      </c>
      <c r="AX4812" s="3" t="s">
        <v>46119</v>
      </c>
      <c r="AY4812" s="3" t="s">
        <v>46120</v>
      </c>
      <c r="AZ4812" s="3" t="s">
        <v>46121</v>
      </c>
      <c r="BA4812" s="3" t="s">
        <v>46121</v>
      </c>
      <c r="BB4812" s="3" t="s">
        <v>46122</v>
      </c>
      <c r="BC4812" s="3" t="s">
        <v>142</v>
      </c>
      <c r="BD4812" s="3" t="s">
        <v>68</v>
      </c>
      <c r="BE4812" s="3" t="s">
        <v>46123</v>
      </c>
      <c r="BF4812" s="3" t="s">
        <v>46122</v>
      </c>
      <c r="BG4812" s="3" t="s">
        <v>46124</v>
      </c>
    </row>
    <row r="4813" spans="1:59" ht="57" x14ac:dyDescent="0.45">
      <c r="A4813" s="2" t="s">
        <v>59</v>
      </c>
      <c r="B4813" s="2" t="s">
        <v>60</v>
      </c>
      <c r="C4813" s="2" t="s">
        <v>46125</v>
      </c>
      <c r="D4813" s="2" t="s">
        <v>46126</v>
      </c>
      <c r="E4813" s="2" t="s">
        <v>46127</v>
      </c>
      <c r="F4813" s="3" t="s">
        <v>488</v>
      </c>
      <c r="G4813" s="3" t="s">
        <v>61</v>
      </c>
      <c r="I4813" s="3" t="s">
        <v>61</v>
      </c>
      <c r="J4813" s="3" t="s">
        <v>62</v>
      </c>
      <c r="K4813" s="3" t="s">
        <v>63</v>
      </c>
      <c r="L4813" s="2" t="s">
        <v>2375</v>
      </c>
      <c r="M4813" s="2" t="s">
        <v>46128</v>
      </c>
      <c r="N4813" s="3" t="s">
        <v>1224</v>
      </c>
      <c r="P4813" s="3" t="s">
        <v>65</v>
      </c>
      <c r="Q4813" s="2" t="s">
        <v>46129</v>
      </c>
      <c r="R4813" s="3" t="s">
        <v>66</v>
      </c>
      <c r="S4813" s="4">
        <v>3</v>
      </c>
      <c r="T4813" s="4">
        <v>10</v>
      </c>
      <c r="U4813" s="5" t="s">
        <v>46130</v>
      </c>
      <c r="V4813" s="5" t="s">
        <v>9543</v>
      </c>
      <c r="W4813" s="5" t="s">
        <v>67</v>
      </c>
      <c r="X4813" s="5" t="s">
        <v>67</v>
      </c>
      <c r="Y4813" s="4">
        <v>306</v>
      </c>
      <c r="Z4813" s="4">
        <v>26</v>
      </c>
      <c r="AA4813" s="4">
        <v>27</v>
      </c>
      <c r="AB4813" s="4">
        <v>2</v>
      </c>
      <c r="AC4813" s="4">
        <v>2</v>
      </c>
      <c r="AD4813" s="4">
        <v>116</v>
      </c>
      <c r="AE4813" s="4">
        <v>117</v>
      </c>
      <c r="AF4813" s="4">
        <v>1</v>
      </c>
      <c r="AG4813" s="4">
        <v>1</v>
      </c>
      <c r="AH4813" s="4">
        <v>100</v>
      </c>
      <c r="AI4813" s="4">
        <v>101</v>
      </c>
      <c r="AJ4813" s="4">
        <v>16</v>
      </c>
      <c r="AK4813" s="4">
        <v>17</v>
      </c>
      <c r="AL4813" s="4">
        <v>55</v>
      </c>
      <c r="AM4813" s="4">
        <v>55</v>
      </c>
      <c r="AN4813" s="4">
        <v>0</v>
      </c>
      <c r="AO4813" s="4">
        <v>0</v>
      </c>
      <c r="AP4813" s="4">
        <v>23</v>
      </c>
      <c r="AQ4813" s="4">
        <v>24</v>
      </c>
      <c r="AR4813" s="3" t="s">
        <v>62</v>
      </c>
      <c r="AS4813" s="3" t="s">
        <v>62</v>
      </c>
      <c r="AT4813" s="3" t="s">
        <v>61</v>
      </c>
      <c r="AU4813" s="6" t="str">
        <f>HYPERLINK("http://catalog.hathitrust.org/Record/000160794","HathiTrust Record")</f>
        <v>HathiTrust Record</v>
      </c>
      <c r="AV4813" s="6" t="str">
        <f>HYPERLINK("http://mcgill.on.worldcat.org/oclc/1166296","Catalog Record")</f>
        <v>Catalog Record</v>
      </c>
      <c r="AW4813" s="6" t="str">
        <f>HYPERLINK("http://www.worldcat.org/oclc/1166296","WorldCat Record")</f>
        <v>WorldCat Record</v>
      </c>
      <c r="AX4813" s="3" t="s">
        <v>46131</v>
      </c>
      <c r="AY4813" s="3" t="s">
        <v>46132</v>
      </c>
      <c r="AZ4813" s="3" t="s">
        <v>46133</v>
      </c>
      <c r="BA4813" s="3" t="s">
        <v>46133</v>
      </c>
      <c r="BB4813" s="3" t="s">
        <v>46134</v>
      </c>
      <c r="BC4813" s="3" t="s">
        <v>142</v>
      </c>
      <c r="BD4813" s="3" t="s">
        <v>68</v>
      </c>
      <c r="BF4813" s="3" t="s">
        <v>46134</v>
      </c>
      <c r="BG4813" s="3" t="s">
        <v>46135</v>
      </c>
    </row>
    <row r="4814" spans="1:59" ht="57" x14ac:dyDescent="0.45">
      <c r="A4814" s="2" t="s">
        <v>59</v>
      </c>
      <c r="B4814" s="2" t="s">
        <v>60</v>
      </c>
      <c r="C4814" s="2" t="s">
        <v>46125</v>
      </c>
      <c r="D4814" s="2" t="s">
        <v>46126</v>
      </c>
      <c r="E4814" s="2" t="s">
        <v>46127</v>
      </c>
      <c r="F4814" s="3" t="s">
        <v>595</v>
      </c>
      <c r="G4814" s="3" t="s">
        <v>61</v>
      </c>
      <c r="I4814" s="3" t="s">
        <v>61</v>
      </c>
      <c r="J4814" s="3" t="s">
        <v>62</v>
      </c>
      <c r="K4814" s="3" t="s">
        <v>63</v>
      </c>
      <c r="L4814" s="2" t="s">
        <v>2375</v>
      </c>
      <c r="M4814" s="2" t="s">
        <v>46128</v>
      </c>
      <c r="N4814" s="3" t="s">
        <v>1224</v>
      </c>
      <c r="P4814" s="3" t="s">
        <v>65</v>
      </c>
      <c r="Q4814" s="2" t="s">
        <v>46129</v>
      </c>
      <c r="R4814" s="3" t="s">
        <v>66</v>
      </c>
      <c r="S4814" s="4">
        <v>3</v>
      </c>
      <c r="T4814" s="4">
        <v>10</v>
      </c>
      <c r="U4814" s="5" t="s">
        <v>9543</v>
      </c>
      <c r="V4814" s="5" t="s">
        <v>9543</v>
      </c>
      <c r="W4814" s="5" t="s">
        <v>67</v>
      </c>
      <c r="X4814" s="5" t="s">
        <v>67</v>
      </c>
      <c r="Y4814" s="4">
        <v>306</v>
      </c>
      <c r="Z4814" s="4">
        <v>26</v>
      </c>
      <c r="AA4814" s="4">
        <v>27</v>
      </c>
      <c r="AB4814" s="4">
        <v>2</v>
      </c>
      <c r="AC4814" s="4">
        <v>2</v>
      </c>
      <c r="AD4814" s="4">
        <v>116</v>
      </c>
      <c r="AE4814" s="4">
        <v>117</v>
      </c>
      <c r="AF4814" s="4">
        <v>1</v>
      </c>
      <c r="AG4814" s="4">
        <v>1</v>
      </c>
      <c r="AH4814" s="4">
        <v>100</v>
      </c>
      <c r="AI4814" s="4">
        <v>101</v>
      </c>
      <c r="AJ4814" s="4">
        <v>16</v>
      </c>
      <c r="AK4814" s="4">
        <v>17</v>
      </c>
      <c r="AL4814" s="4">
        <v>55</v>
      </c>
      <c r="AM4814" s="4">
        <v>55</v>
      </c>
      <c r="AN4814" s="4">
        <v>0</v>
      </c>
      <c r="AO4814" s="4">
        <v>0</v>
      </c>
      <c r="AP4814" s="4">
        <v>23</v>
      </c>
      <c r="AQ4814" s="4">
        <v>24</v>
      </c>
      <c r="AR4814" s="3" t="s">
        <v>62</v>
      </c>
      <c r="AS4814" s="3" t="s">
        <v>62</v>
      </c>
      <c r="AT4814" s="3" t="s">
        <v>61</v>
      </c>
      <c r="AU4814" s="6" t="str">
        <f>HYPERLINK("http://catalog.hathitrust.org/Record/000160794","HathiTrust Record")</f>
        <v>HathiTrust Record</v>
      </c>
      <c r="AV4814" s="6" t="str">
        <f>HYPERLINK("http://mcgill.on.worldcat.org/oclc/1166296","Catalog Record")</f>
        <v>Catalog Record</v>
      </c>
      <c r="AW4814" s="6" t="str">
        <f>HYPERLINK("http://www.worldcat.org/oclc/1166296","WorldCat Record")</f>
        <v>WorldCat Record</v>
      </c>
      <c r="AX4814" s="3" t="s">
        <v>46131</v>
      </c>
      <c r="AY4814" s="3" t="s">
        <v>46132</v>
      </c>
      <c r="AZ4814" s="3" t="s">
        <v>46133</v>
      </c>
      <c r="BA4814" s="3" t="s">
        <v>46133</v>
      </c>
      <c r="BB4814" s="3" t="s">
        <v>46136</v>
      </c>
      <c r="BC4814" s="3" t="s">
        <v>142</v>
      </c>
      <c r="BD4814" s="3" t="s">
        <v>68</v>
      </c>
      <c r="BF4814" s="3" t="s">
        <v>46136</v>
      </c>
      <c r="BG4814" s="3" t="s">
        <v>46137</v>
      </c>
    </row>
    <row r="4815" spans="1:59" ht="57" x14ac:dyDescent="0.45">
      <c r="A4815" s="2" t="s">
        <v>59</v>
      </c>
      <c r="B4815" s="2" t="s">
        <v>412</v>
      </c>
      <c r="C4815" s="2" t="s">
        <v>46125</v>
      </c>
      <c r="D4815" s="2" t="s">
        <v>46126</v>
      </c>
      <c r="E4815" s="2" t="s">
        <v>46127</v>
      </c>
      <c r="G4815" s="3" t="s">
        <v>61</v>
      </c>
      <c r="I4815" s="3" t="s">
        <v>61</v>
      </c>
      <c r="J4815" s="3" t="s">
        <v>62</v>
      </c>
      <c r="K4815" s="3" t="s">
        <v>63</v>
      </c>
      <c r="L4815" s="2" t="s">
        <v>2375</v>
      </c>
      <c r="M4815" s="2" t="s">
        <v>46128</v>
      </c>
      <c r="N4815" s="3" t="s">
        <v>1224</v>
      </c>
      <c r="P4815" s="3" t="s">
        <v>65</v>
      </c>
      <c r="Q4815" s="2" t="s">
        <v>46129</v>
      </c>
      <c r="R4815" s="3" t="s">
        <v>66</v>
      </c>
      <c r="S4815" s="4">
        <v>1</v>
      </c>
      <c r="T4815" s="4">
        <v>10</v>
      </c>
      <c r="U4815" s="5" t="s">
        <v>9543</v>
      </c>
      <c r="V4815" s="5" t="s">
        <v>9543</v>
      </c>
      <c r="W4815" s="5" t="s">
        <v>67</v>
      </c>
      <c r="X4815" s="5" t="s">
        <v>67</v>
      </c>
      <c r="Y4815" s="4">
        <v>306</v>
      </c>
      <c r="Z4815" s="4">
        <v>26</v>
      </c>
      <c r="AA4815" s="4">
        <v>27</v>
      </c>
      <c r="AB4815" s="4">
        <v>2</v>
      </c>
      <c r="AC4815" s="4">
        <v>2</v>
      </c>
      <c r="AD4815" s="4">
        <v>116</v>
      </c>
      <c r="AE4815" s="4">
        <v>117</v>
      </c>
      <c r="AF4815" s="4">
        <v>1</v>
      </c>
      <c r="AG4815" s="4">
        <v>1</v>
      </c>
      <c r="AH4815" s="4">
        <v>100</v>
      </c>
      <c r="AI4815" s="4">
        <v>101</v>
      </c>
      <c r="AJ4815" s="4">
        <v>16</v>
      </c>
      <c r="AK4815" s="4">
        <v>17</v>
      </c>
      <c r="AL4815" s="4">
        <v>55</v>
      </c>
      <c r="AM4815" s="4">
        <v>55</v>
      </c>
      <c r="AN4815" s="4">
        <v>0</v>
      </c>
      <c r="AO4815" s="4">
        <v>0</v>
      </c>
      <c r="AP4815" s="4">
        <v>23</v>
      </c>
      <c r="AQ4815" s="4">
        <v>24</v>
      </c>
      <c r="AR4815" s="3" t="s">
        <v>62</v>
      </c>
      <c r="AS4815" s="3" t="s">
        <v>62</v>
      </c>
      <c r="AT4815" s="3" t="s">
        <v>61</v>
      </c>
      <c r="AU4815" s="6" t="str">
        <f>HYPERLINK("http://catalog.hathitrust.org/Record/000160794","HathiTrust Record")</f>
        <v>HathiTrust Record</v>
      </c>
      <c r="AV4815" s="6" t="str">
        <f>HYPERLINK("http://mcgill.on.worldcat.org/oclc/1166296","Catalog Record")</f>
        <v>Catalog Record</v>
      </c>
      <c r="AW4815" s="6" t="str">
        <f>HYPERLINK("http://www.worldcat.org/oclc/1166296","WorldCat Record")</f>
        <v>WorldCat Record</v>
      </c>
      <c r="AX4815" s="3" t="s">
        <v>46131</v>
      </c>
      <c r="AY4815" s="3" t="s">
        <v>46132</v>
      </c>
      <c r="AZ4815" s="3" t="s">
        <v>46133</v>
      </c>
      <c r="BA4815" s="3" t="s">
        <v>46133</v>
      </c>
      <c r="BB4815" s="3" t="s">
        <v>46138</v>
      </c>
      <c r="BC4815" s="3" t="s">
        <v>142</v>
      </c>
      <c r="BD4815" s="3" t="s">
        <v>68</v>
      </c>
      <c r="BF4815" s="3" t="s">
        <v>46138</v>
      </c>
      <c r="BG4815" s="3" t="s">
        <v>46139</v>
      </c>
    </row>
    <row r="4816" spans="1:59" ht="57" x14ac:dyDescent="0.45">
      <c r="A4816" s="2" t="s">
        <v>59</v>
      </c>
      <c r="B4816" s="2" t="s">
        <v>60</v>
      </c>
      <c r="C4816" s="2" t="s">
        <v>46125</v>
      </c>
      <c r="D4816" s="2" t="s">
        <v>46126</v>
      </c>
      <c r="E4816" s="2" t="s">
        <v>46127</v>
      </c>
      <c r="F4816" s="3" t="s">
        <v>478</v>
      </c>
      <c r="G4816" s="3" t="s">
        <v>61</v>
      </c>
      <c r="I4816" s="3" t="s">
        <v>61</v>
      </c>
      <c r="J4816" s="3" t="s">
        <v>62</v>
      </c>
      <c r="K4816" s="3" t="s">
        <v>63</v>
      </c>
      <c r="L4816" s="2" t="s">
        <v>2375</v>
      </c>
      <c r="M4816" s="2" t="s">
        <v>46128</v>
      </c>
      <c r="N4816" s="3" t="s">
        <v>1224</v>
      </c>
      <c r="P4816" s="3" t="s">
        <v>65</v>
      </c>
      <c r="Q4816" s="2" t="s">
        <v>46129</v>
      </c>
      <c r="R4816" s="3" t="s">
        <v>66</v>
      </c>
      <c r="S4816" s="4">
        <v>3</v>
      </c>
      <c r="T4816" s="4">
        <v>10</v>
      </c>
      <c r="U4816" s="5" t="s">
        <v>9543</v>
      </c>
      <c r="V4816" s="5" t="s">
        <v>9543</v>
      </c>
      <c r="W4816" s="5" t="s">
        <v>67</v>
      </c>
      <c r="X4816" s="5" t="s">
        <v>67</v>
      </c>
      <c r="Y4816" s="4">
        <v>306</v>
      </c>
      <c r="Z4816" s="4">
        <v>26</v>
      </c>
      <c r="AA4816" s="4">
        <v>27</v>
      </c>
      <c r="AB4816" s="4">
        <v>2</v>
      </c>
      <c r="AC4816" s="4">
        <v>2</v>
      </c>
      <c r="AD4816" s="4">
        <v>116</v>
      </c>
      <c r="AE4816" s="4">
        <v>117</v>
      </c>
      <c r="AF4816" s="4">
        <v>1</v>
      </c>
      <c r="AG4816" s="4">
        <v>1</v>
      </c>
      <c r="AH4816" s="4">
        <v>100</v>
      </c>
      <c r="AI4816" s="4">
        <v>101</v>
      </c>
      <c r="AJ4816" s="4">
        <v>16</v>
      </c>
      <c r="AK4816" s="4">
        <v>17</v>
      </c>
      <c r="AL4816" s="4">
        <v>55</v>
      </c>
      <c r="AM4816" s="4">
        <v>55</v>
      </c>
      <c r="AN4816" s="4">
        <v>0</v>
      </c>
      <c r="AO4816" s="4">
        <v>0</v>
      </c>
      <c r="AP4816" s="4">
        <v>23</v>
      </c>
      <c r="AQ4816" s="4">
        <v>24</v>
      </c>
      <c r="AR4816" s="3" t="s">
        <v>62</v>
      </c>
      <c r="AS4816" s="3" t="s">
        <v>62</v>
      </c>
      <c r="AT4816" s="3" t="s">
        <v>61</v>
      </c>
      <c r="AU4816" s="6" t="str">
        <f>HYPERLINK("http://catalog.hathitrust.org/Record/000160794","HathiTrust Record")</f>
        <v>HathiTrust Record</v>
      </c>
      <c r="AV4816" s="6" t="str">
        <f>HYPERLINK("http://mcgill.on.worldcat.org/oclc/1166296","Catalog Record")</f>
        <v>Catalog Record</v>
      </c>
      <c r="AW4816" s="6" t="str">
        <f>HYPERLINK("http://www.worldcat.org/oclc/1166296","WorldCat Record")</f>
        <v>WorldCat Record</v>
      </c>
      <c r="AX4816" s="3" t="s">
        <v>46131</v>
      </c>
      <c r="AY4816" s="3" t="s">
        <v>46132</v>
      </c>
      <c r="AZ4816" s="3" t="s">
        <v>46133</v>
      </c>
      <c r="BA4816" s="3" t="s">
        <v>46133</v>
      </c>
      <c r="BB4816" s="3" t="s">
        <v>46140</v>
      </c>
      <c r="BC4816" s="3" t="s">
        <v>142</v>
      </c>
      <c r="BD4816" s="3" t="s">
        <v>68</v>
      </c>
      <c r="BF4816" s="3" t="s">
        <v>46140</v>
      </c>
      <c r="BG4816" s="3" t="s">
        <v>46141</v>
      </c>
    </row>
    <row r="4817" spans="1:59" ht="57" x14ac:dyDescent="0.45">
      <c r="A4817" s="2" t="s">
        <v>59</v>
      </c>
      <c r="B4817" s="2" t="s">
        <v>60</v>
      </c>
      <c r="C4817" s="2" t="s">
        <v>46142</v>
      </c>
      <c r="D4817" s="2" t="s">
        <v>46143</v>
      </c>
      <c r="E4817" s="2" t="s">
        <v>46144</v>
      </c>
      <c r="G4817" s="3" t="s">
        <v>62</v>
      </c>
      <c r="I4817" s="3" t="s">
        <v>61</v>
      </c>
      <c r="J4817" s="3" t="s">
        <v>62</v>
      </c>
      <c r="K4817" s="3" t="s">
        <v>63</v>
      </c>
      <c r="L4817" s="2" t="s">
        <v>651</v>
      </c>
      <c r="M4817" s="2" t="s">
        <v>46145</v>
      </c>
      <c r="N4817" s="3" t="s">
        <v>157</v>
      </c>
      <c r="O4817" s="2" t="s">
        <v>45223</v>
      </c>
      <c r="P4817" s="3" t="s">
        <v>65</v>
      </c>
      <c r="Q4817" s="2" t="s">
        <v>46146</v>
      </c>
      <c r="R4817" s="3" t="s">
        <v>66</v>
      </c>
      <c r="S4817" s="4">
        <v>30</v>
      </c>
      <c r="T4817" s="4">
        <v>119</v>
      </c>
      <c r="U4817" s="5" t="s">
        <v>46018</v>
      </c>
      <c r="V4817" s="5" t="s">
        <v>1963</v>
      </c>
      <c r="W4817" s="5" t="s">
        <v>67</v>
      </c>
      <c r="X4817" s="5" t="s">
        <v>67</v>
      </c>
      <c r="Y4817" s="4">
        <v>75</v>
      </c>
      <c r="Z4817" s="4">
        <v>4</v>
      </c>
      <c r="AA4817" s="4">
        <v>92</v>
      </c>
      <c r="AB4817" s="4">
        <v>1</v>
      </c>
      <c r="AC4817" s="4">
        <v>16</v>
      </c>
      <c r="AD4817" s="4">
        <v>24</v>
      </c>
      <c r="AE4817" s="4">
        <v>150</v>
      </c>
      <c r="AF4817" s="4">
        <v>0</v>
      </c>
      <c r="AG4817" s="4">
        <v>8</v>
      </c>
      <c r="AH4817" s="4">
        <v>24</v>
      </c>
      <c r="AI4817" s="4">
        <v>110</v>
      </c>
      <c r="AJ4817" s="4">
        <v>3</v>
      </c>
      <c r="AK4817" s="4">
        <v>26</v>
      </c>
      <c r="AL4817" s="4">
        <v>12</v>
      </c>
      <c r="AM4817" s="4">
        <v>59</v>
      </c>
      <c r="AN4817" s="4">
        <v>0</v>
      </c>
      <c r="AO4817" s="4">
        <v>0</v>
      </c>
      <c r="AP4817" s="4">
        <v>3</v>
      </c>
      <c r="AQ4817" s="4">
        <v>48</v>
      </c>
      <c r="AR4817" s="3" t="s">
        <v>62</v>
      </c>
      <c r="AS4817" s="3" t="s">
        <v>62</v>
      </c>
      <c r="AT4817" s="3" t="s">
        <v>61</v>
      </c>
      <c r="AU4817" s="6" t="str">
        <f>HYPERLINK("http://catalog.hathitrust.org/Record/007118023","HathiTrust Record")</f>
        <v>HathiTrust Record</v>
      </c>
      <c r="AV4817" s="6" t="str">
        <f>HYPERLINK("http://mcgill.on.worldcat.org/oclc/8247085","Catalog Record")</f>
        <v>Catalog Record</v>
      </c>
      <c r="AW4817" s="6" t="str">
        <f>HYPERLINK("http://www.worldcat.org/oclc/8247085","WorldCat Record")</f>
        <v>WorldCat Record</v>
      </c>
      <c r="AX4817" s="3" t="s">
        <v>46147</v>
      </c>
      <c r="AY4817" s="3" t="s">
        <v>46148</v>
      </c>
      <c r="AZ4817" s="3" t="s">
        <v>46149</v>
      </c>
      <c r="BA4817" s="3" t="s">
        <v>46149</v>
      </c>
      <c r="BB4817" s="3" t="s">
        <v>46150</v>
      </c>
      <c r="BC4817" s="3" t="s">
        <v>142</v>
      </c>
      <c r="BD4817" s="3" t="s">
        <v>68</v>
      </c>
      <c r="BE4817" s="3" t="s">
        <v>46151</v>
      </c>
      <c r="BF4817" s="3" t="s">
        <v>46150</v>
      </c>
      <c r="BG4817" s="3" t="s">
        <v>46152</v>
      </c>
    </row>
    <row r="4818" spans="1:59" ht="57" x14ac:dyDescent="0.45">
      <c r="A4818" s="2" t="s">
        <v>59</v>
      </c>
      <c r="B4818" s="2" t="s">
        <v>60</v>
      </c>
      <c r="C4818" s="2" t="s">
        <v>46142</v>
      </c>
      <c r="D4818" s="2" t="s">
        <v>46143</v>
      </c>
      <c r="E4818" s="2" t="s">
        <v>46144</v>
      </c>
      <c r="G4818" s="3" t="s">
        <v>62</v>
      </c>
      <c r="I4818" s="3" t="s">
        <v>61</v>
      </c>
      <c r="J4818" s="3" t="s">
        <v>62</v>
      </c>
      <c r="K4818" s="3" t="s">
        <v>63</v>
      </c>
      <c r="L4818" s="2" t="s">
        <v>651</v>
      </c>
      <c r="M4818" s="2" t="s">
        <v>46145</v>
      </c>
      <c r="N4818" s="3" t="s">
        <v>157</v>
      </c>
      <c r="O4818" s="2" t="s">
        <v>45223</v>
      </c>
      <c r="P4818" s="3" t="s">
        <v>65</v>
      </c>
      <c r="Q4818" s="2" t="s">
        <v>46146</v>
      </c>
      <c r="R4818" s="3" t="s">
        <v>66</v>
      </c>
      <c r="S4818" s="4">
        <v>49</v>
      </c>
      <c r="T4818" s="4">
        <v>119</v>
      </c>
      <c r="U4818" s="5" t="s">
        <v>1963</v>
      </c>
      <c r="V4818" s="5" t="s">
        <v>1963</v>
      </c>
      <c r="W4818" s="5" t="s">
        <v>67</v>
      </c>
      <c r="X4818" s="5" t="s">
        <v>67</v>
      </c>
      <c r="Y4818" s="4">
        <v>75</v>
      </c>
      <c r="Z4818" s="4">
        <v>4</v>
      </c>
      <c r="AA4818" s="4">
        <v>92</v>
      </c>
      <c r="AB4818" s="4">
        <v>1</v>
      </c>
      <c r="AC4818" s="4">
        <v>16</v>
      </c>
      <c r="AD4818" s="4">
        <v>24</v>
      </c>
      <c r="AE4818" s="4">
        <v>150</v>
      </c>
      <c r="AF4818" s="4">
        <v>0</v>
      </c>
      <c r="AG4818" s="4">
        <v>8</v>
      </c>
      <c r="AH4818" s="4">
        <v>24</v>
      </c>
      <c r="AI4818" s="4">
        <v>110</v>
      </c>
      <c r="AJ4818" s="4">
        <v>3</v>
      </c>
      <c r="AK4818" s="4">
        <v>26</v>
      </c>
      <c r="AL4818" s="4">
        <v>12</v>
      </c>
      <c r="AM4818" s="4">
        <v>59</v>
      </c>
      <c r="AN4818" s="4">
        <v>0</v>
      </c>
      <c r="AO4818" s="4">
        <v>0</v>
      </c>
      <c r="AP4818" s="4">
        <v>3</v>
      </c>
      <c r="AQ4818" s="4">
        <v>48</v>
      </c>
      <c r="AR4818" s="3" t="s">
        <v>62</v>
      </c>
      <c r="AS4818" s="3" t="s">
        <v>62</v>
      </c>
      <c r="AT4818" s="3" t="s">
        <v>61</v>
      </c>
      <c r="AU4818" s="6" t="str">
        <f>HYPERLINK("http://catalog.hathitrust.org/Record/007118023","HathiTrust Record")</f>
        <v>HathiTrust Record</v>
      </c>
      <c r="AV4818" s="6" t="str">
        <f>HYPERLINK("http://mcgill.on.worldcat.org/oclc/8247085","Catalog Record")</f>
        <v>Catalog Record</v>
      </c>
      <c r="AW4818" s="6" t="str">
        <f>HYPERLINK("http://www.worldcat.org/oclc/8247085","WorldCat Record")</f>
        <v>WorldCat Record</v>
      </c>
      <c r="AX4818" s="3" t="s">
        <v>46147</v>
      </c>
      <c r="AY4818" s="3" t="s">
        <v>46148</v>
      </c>
      <c r="AZ4818" s="3" t="s">
        <v>46149</v>
      </c>
      <c r="BA4818" s="3" t="s">
        <v>46149</v>
      </c>
      <c r="BB4818" s="3" t="s">
        <v>46153</v>
      </c>
      <c r="BC4818" s="3" t="s">
        <v>142</v>
      </c>
      <c r="BD4818" s="3" t="s">
        <v>68</v>
      </c>
      <c r="BE4818" s="3" t="s">
        <v>46151</v>
      </c>
      <c r="BF4818" s="3" t="s">
        <v>46153</v>
      </c>
      <c r="BG4818" s="3" t="s">
        <v>46154</v>
      </c>
    </row>
    <row r="4819" spans="1:59" ht="57" x14ac:dyDescent="0.45">
      <c r="A4819" s="2" t="s">
        <v>59</v>
      </c>
      <c r="B4819" s="2" t="s">
        <v>60</v>
      </c>
      <c r="C4819" s="2" t="s">
        <v>46142</v>
      </c>
      <c r="D4819" s="2" t="s">
        <v>46143</v>
      </c>
      <c r="E4819" s="2" t="s">
        <v>46144</v>
      </c>
      <c r="G4819" s="3" t="s">
        <v>62</v>
      </c>
      <c r="I4819" s="3" t="s">
        <v>61</v>
      </c>
      <c r="J4819" s="3" t="s">
        <v>62</v>
      </c>
      <c r="K4819" s="3" t="s">
        <v>63</v>
      </c>
      <c r="L4819" s="2" t="s">
        <v>651</v>
      </c>
      <c r="M4819" s="2" t="s">
        <v>46145</v>
      </c>
      <c r="N4819" s="3" t="s">
        <v>157</v>
      </c>
      <c r="O4819" s="2" t="s">
        <v>45223</v>
      </c>
      <c r="P4819" s="3" t="s">
        <v>65</v>
      </c>
      <c r="Q4819" s="2" t="s">
        <v>46146</v>
      </c>
      <c r="R4819" s="3" t="s">
        <v>66</v>
      </c>
      <c r="S4819" s="4">
        <v>40</v>
      </c>
      <c r="T4819" s="4">
        <v>119</v>
      </c>
      <c r="U4819" s="5" t="s">
        <v>46155</v>
      </c>
      <c r="V4819" s="5" t="s">
        <v>1963</v>
      </c>
      <c r="W4819" s="5" t="s">
        <v>67</v>
      </c>
      <c r="X4819" s="5" t="s">
        <v>67</v>
      </c>
      <c r="Y4819" s="4">
        <v>75</v>
      </c>
      <c r="Z4819" s="4">
        <v>4</v>
      </c>
      <c r="AA4819" s="4">
        <v>92</v>
      </c>
      <c r="AB4819" s="4">
        <v>1</v>
      </c>
      <c r="AC4819" s="4">
        <v>16</v>
      </c>
      <c r="AD4819" s="4">
        <v>24</v>
      </c>
      <c r="AE4819" s="4">
        <v>150</v>
      </c>
      <c r="AF4819" s="4">
        <v>0</v>
      </c>
      <c r="AG4819" s="4">
        <v>8</v>
      </c>
      <c r="AH4819" s="4">
        <v>24</v>
      </c>
      <c r="AI4819" s="4">
        <v>110</v>
      </c>
      <c r="AJ4819" s="4">
        <v>3</v>
      </c>
      <c r="AK4819" s="4">
        <v>26</v>
      </c>
      <c r="AL4819" s="4">
        <v>12</v>
      </c>
      <c r="AM4819" s="4">
        <v>59</v>
      </c>
      <c r="AN4819" s="4">
        <v>0</v>
      </c>
      <c r="AO4819" s="4">
        <v>0</v>
      </c>
      <c r="AP4819" s="4">
        <v>3</v>
      </c>
      <c r="AQ4819" s="4">
        <v>48</v>
      </c>
      <c r="AR4819" s="3" t="s">
        <v>62</v>
      </c>
      <c r="AS4819" s="3" t="s">
        <v>62</v>
      </c>
      <c r="AT4819" s="3" t="s">
        <v>61</v>
      </c>
      <c r="AU4819" s="6" t="str">
        <f>HYPERLINK("http://catalog.hathitrust.org/Record/007118023","HathiTrust Record")</f>
        <v>HathiTrust Record</v>
      </c>
      <c r="AV4819" s="6" t="str">
        <f>HYPERLINK("http://mcgill.on.worldcat.org/oclc/8247085","Catalog Record")</f>
        <v>Catalog Record</v>
      </c>
      <c r="AW4819" s="6" t="str">
        <f>HYPERLINK("http://www.worldcat.org/oclc/8247085","WorldCat Record")</f>
        <v>WorldCat Record</v>
      </c>
      <c r="AX4819" s="3" t="s">
        <v>46147</v>
      </c>
      <c r="AY4819" s="3" t="s">
        <v>46148</v>
      </c>
      <c r="AZ4819" s="3" t="s">
        <v>46149</v>
      </c>
      <c r="BA4819" s="3" t="s">
        <v>46149</v>
      </c>
      <c r="BB4819" s="3" t="s">
        <v>46156</v>
      </c>
      <c r="BC4819" s="3" t="s">
        <v>142</v>
      </c>
      <c r="BD4819" s="3" t="s">
        <v>68</v>
      </c>
      <c r="BE4819" s="3" t="s">
        <v>46151</v>
      </c>
      <c r="BF4819" s="3" t="s">
        <v>46156</v>
      </c>
      <c r="BG4819" s="3" t="s">
        <v>46157</v>
      </c>
    </row>
    <row r="4820" spans="1:59" ht="57" x14ac:dyDescent="0.45">
      <c r="A4820" s="2" t="s">
        <v>59</v>
      </c>
      <c r="B4820" s="2" t="s">
        <v>60</v>
      </c>
      <c r="C4820" s="2" t="s">
        <v>46158</v>
      </c>
      <c r="D4820" s="2" t="s">
        <v>46159</v>
      </c>
      <c r="E4820" s="2" t="s">
        <v>46160</v>
      </c>
      <c r="G4820" s="3" t="s">
        <v>62</v>
      </c>
      <c r="I4820" s="3" t="s">
        <v>61</v>
      </c>
      <c r="J4820" s="3" t="s">
        <v>62</v>
      </c>
      <c r="K4820" s="3" t="s">
        <v>63</v>
      </c>
      <c r="L4820" s="2" t="s">
        <v>651</v>
      </c>
      <c r="M4820" s="2" t="s">
        <v>46161</v>
      </c>
      <c r="N4820" s="3" t="s">
        <v>1212</v>
      </c>
      <c r="P4820" s="3" t="s">
        <v>65</v>
      </c>
      <c r="R4820" s="3" t="s">
        <v>66</v>
      </c>
      <c r="S4820" s="4">
        <v>28</v>
      </c>
      <c r="T4820" s="4">
        <v>37</v>
      </c>
      <c r="U4820" s="5" t="s">
        <v>31196</v>
      </c>
      <c r="V4820" s="5" t="s">
        <v>8879</v>
      </c>
      <c r="W4820" s="5" t="s">
        <v>67</v>
      </c>
      <c r="X4820" s="5" t="s">
        <v>67</v>
      </c>
      <c r="Y4820" s="4">
        <v>314</v>
      </c>
      <c r="Z4820" s="4">
        <v>26</v>
      </c>
      <c r="AA4820" s="4">
        <v>28</v>
      </c>
      <c r="AB4820" s="4">
        <v>3</v>
      </c>
      <c r="AC4820" s="4">
        <v>5</v>
      </c>
      <c r="AD4820" s="4">
        <v>95</v>
      </c>
      <c r="AE4820" s="4">
        <v>98</v>
      </c>
      <c r="AF4820" s="4">
        <v>1</v>
      </c>
      <c r="AG4820" s="4">
        <v>2</v>
      </c>
      <c r="AH4820" s="4">
        <v>83</v>
      </c>
      <c r="AI4820" s="4">
        <v>86</v>
      </c>
      <c r="AJ4820" s="4">
        <v>16</v>
      </c>
      <c r="AK4820" s="4">
        <v>17</v>
      </c>
      <c r="AL4820" s="4">
        <v>49</v>
      </c>
      <c r="AM4820" s="4">
        <v>50</v>
      </c>
      <c r="AN4820" s="4">
        <v>0</v>
      </c>
      <c r="AO4820" s="4">
        <v>0</v>
      </c>
      <c r="AP4820" s="4">
        <v>20</v>
      </c>
      <c r="AQ4820" s="4">
        <v>21</v>
      </c>
      <c r="AR4820" s="3" t="s">
        <v>62</v>
      </c>
      <c r="AS4820" s="3" t="s">
        <v>62</v>
      </c>
      <c r="AT4820" s="3" t="s">
        <v>62</v>
      </c>
      <c r="AV4820" s="6" t="str">
        <f>HYPERLINK("http://mcgill.on.worldcat.org/oclc/43070141","Catalog Record")</f>
        <v>Catalog Record</v>
      </c>
      <c r="AW4820" s="6" t="str">
        <f>HYPERLINK("http://www.worldcat.org/oclc/43070141","WorldCat Record")</f>
        <v>WorldCat Record</v>
      </c>
      <c r="AX4820" s="3" t="s">
        <v>46162</v>
      </c>
      <c r="AY4820" s="3" t="s">
        <v>46163</v>
      </c>
      <c r="AZ4820" s="3" t="s">
        <v>46164</v>
      </c>
      <c r="BA4820" s="3" t="s">
        <v>46164</v>
      </c>
      <c r="BB4820" s="3" t="s">
        <v>46165</v>
      </c>
      <c r="BC4820" s="3" t="s">
        <v>142</v>
      </c>
      <c r="BD4820" s="3" t="s">
        <v>68</v>
      </c>
      <c r="BE4820" s="3" t="s">
        <v>46166</v>
      </c>
      <c r="BF4820" s="3" t="s">
        <v>46165</v>
      </c>
      <c r="BG4820" s="3" t="s">
        <v>46167</v>
      </c>
    </row>
    <row r="4821" spans="1:59" ht="57" x14ac:dyDescent="0.45">
      <c r="A4821" s="2" t="s">
        <v>59</v>
      </c>
      <c r="B4821" s="2" t="s">
        <v>60</v>
      </c>
      <c r="C4821" s="2" t="s">
        <v>46158</v>
      </c>
      <c r="D4821" s="2" t="s">
        <v>46159</v>
      </c>
      <c r="E4821" s="2" t="s">
        <v>46160</v>
      </c>
      <c r="G4821" s="3" t="s">
        <v>62</v>
      </c>
      <c r="I4821" s="3" t="s">
        <v>61</v>
      </c>
      <c r="J4821" s="3" t="s">
        <v>62</v>
      </c>
      <c r="K4821" s="3" t="s">
        <v>63</v>
      </c>
      <c r="L4821" s="2" t="s">
        <v>651</v>
      </c>
      <c r="M4821" s="2" t="s">
        <v>46161</v>
      </c>
      <c r="N4821" s="3" t="s">
        <v>1212</v>
      </c>
      <c r="P4821" s="3" t="s">
        <v>65</v>
      </c>
      <c r="R4821" s="3" t="s">
        <v>66</v>
      </c>
      <c r="S4821" s="4">
        <v>9</v>
      </c>
      <c r="T4821" s="4">
        <v>37</v>
      </c>
      <c r="U4821" s="5" t="s">
        <v>8879</v>
      </c>
      <c r="V4821" s="5" t="s">
        <v>8879</v>
      </c>
      <c r="W4821" s="5" t="s">
        <v>67</v>
      </c>
      <c r="X4821" s="5" t="s">
        <v>67</v>
      </c>
      <c r="Y4821" s="4">
        <v>314</v>
      </c>
      <c r="Z4821" s="4">
        <v>26</v>
      </c>
      <c r="AA4821" s="4">
        <v>28</v>
      </c>
      <c r="AB4821" s="4">
        <v>3</v>
      </c>
      <c r="AC4821" s="4">
        <v>5</v>
      </c>
      <c r="AD4821" s="4">
        <v>95</v>
      </c>
      <c r="AE4821" s="4">
        <v>98</v>
      </c>
      <c r="AF4821" s="4">
        <v>1</v>
      </c>
      <c r="AG4821" s="4">
        <v>2</v>
      </c>
      <c r="AH4821" s="4">
        <v>83</v>
      </c>
      <c r="AI4821" s="4">
        <v>86</v>
      </c>
      <c r="AJ4821" s="4">
        <v>16</v>
      </c>
      <c r="AK4821" s="4">
        <v>17</v>
      </c>
      <c r="AL4821" s="4">
        <v>49</v>
      </c>
      <c r="AM4821" s="4">
        <v>50</v>
      </c>
      <c r="AN4821" s="4">
        <v>0</v>
      </c>
      <c r="AO4821" s="4">
        <v>0</v>
      </c>
      <c r="AP4821" s="4">
        <v>20</v>
      </c>
      <c r="AQ4821" s="4">
        <v>21</v>
      </c>
      <c r="AR4821" s="3" t="s">
        <v>62</v>
      </c>
      <c r="AS4821" s="3" t="s">
        <v>62</v>
      </c>
      <c r="AT4821" s="3" t="s">
        <v>62</v>
      </c>
      <c r="AV4821" s="6" t="str">
        <f>HYPERLINK("http://mcgill.on.worldcat.org/oclc/43070141","Catalog Record")</f>
        <v>Catalog Record</v>
      </c>
      <c r="AW4821" s="6" t="str">
        <f>HYPERLINK("http://www.worldcat.org/oclc/43070141","WorldCat Record")</f>
        <v>WorldCat Record</v>
      </c>
      <c r="AX4821" s="3" t="s">
        <v>46162</v>
      </c>
      <c r="AY4821" s="3" t="s">
        <v>46163</v>
      </c>
      <c r="AZ4821" s="3" t="s">
        <v>46164</v>
      </c>
      <c r="BA4821" s="3" t="s">
        <v>46164</v>
      </c>
      <c r="BB4821" s="3" t="s">
        <v>46168</v>
      </c>
      <c r="BC4821" s="3" t="s">
        <v>142</v>
      </c>
      <c r="BD4821" s="3" t="s">
        <v>68</v>
      </c>
      <c r="BE4821" s="3" t="s">
        <v>46166</v>
      </c>
      <c r="BF4821" s="3" t="s">
        <v>46168</v>
      </c>
      <c r="BG4821" s="3" t="s">
        <v>46169</v>
      </c>
    </row>
    <row r="4822" spans="1:59" ht="57" x14ac:dyDescent="0.45">
      <c r="A4822" s="2" t="s">
        <v>59</v>
      </c>
      <c r="B4822" s="2" t="s">
        <v>60</v>
      </c>
      <c r="C4822" s="2" t="s">
        <v>46170</v>
      </c>
      <c r="D4822" s="2" t="s">
        <v>46171</v>
      </c>
      <c r="E4822" s="2" t="s">
        <v>46172</v>
      </c>
      <c r="G4822" s="3" t="s">
        <v>62</v>
      </c>
      <c r="I4822" s="3" t="s">
        <v>62</v>
      </c>
      <c r="J4822" s="3" t="s">
        <v>62</v>
      </c>
      <c r="K4822" s="3" t="s">
        <v>63</v>
      </c>
      <c r="L4822" s="2" t="s">
        <v>651</v>
      </c>
      <c r="M4822" s="2" t="s">
        <v>2607</v>
      </c>
      <c r="N4822" s="3" t="s">
        <v>625</v>
      </c>
      <c r="P4822" s="3" t="s">
        <v>65</v>
      </c>
      <c r="Q4822" s="2" t="s">
        <v>46173</v>
      </c>
      <c r="R4822" s="3" t="s">
        <v>66</v>
      </c>
      <c r="S4822" s="4">
        <v>58</v>
      </c>
      <c r="T4822" s="4">
        <v>58</v>
      </c>
      <c r="U4822" s="5" t="s">
        <v>42154</v>
      </c>
      <c r="V4822" s="5" t="s">
        <v>42154</v>
      </c>
      <c r="W4822" s="5" t="s">
        <v>67</v>
      </c>
      <c r="X4822" s="5" t="s">
        <v>67</v>
      </c>
      <c r="Y4822" s="4">
        <v>502</v>
      </c>
      <c r="Z4822" s="4">
        <v>31</v>
      </c>
      <c r="AA4822" s="4">
        <v>37</v>
      </c>
      <c r="AB4822" s="4">
        <v>2</v>
      </c>
      <c r="AC4822" s="4">
        <v>7</v>
      </c>
      <c r="AD4822" s="4">
        <v>122</v>
      </c>
      <c r="AE4822" s="4">
        <v>130</v>
      </c>
      <c r="AF4822" s="4">
        <v>1</v>
      </c>
      <c r="AG4822" s="4">
        <v>5</v>
      </c>
      <c r="AH4822" s="4">
        <v>105</v>
      </c>
      <c r="AI4822" s="4">
        <v>109</v>
      </c>
      <c r="AJ4822" s="4">
        <v>18</v>
      </c>
      <c r="AK4822" s="4">
        <v>22</v>
      </c>
      <c r="AL4822" s="4">
        <v>57</v>
      </c>
      <c r="AM4822" s="4">
        <v>58</v>
      </c>
      <c r="AN4822" s="4">
        <v>0</v>
      </c>
      <c r="AO4822" s="4">
        <v>0</v>
      </c>
      <c r="AP4822" s="4">
        <v>26</v>
      </c>
      <c r="AQ4822" s="4">
        <v>30</v>
      </c>
      <c r="AR4822" s="3" t="s">
        <v>62</v>
      </c>
      <c r="AS4822" s="3" t="s">
        <v>62</v>
      </c>
      <c r="AT4822" s="3" t="s">
        <v>62</v>
      </c>
      <c r="AV4822" s="6" t="str">
        <f>HYPERLINK("http://mcgill.on.worldcat.org/oclc/12969567","Catalog Record")</f>
        <v>Catalog Record</v>
      </c>
      <c r="AW4822" s="6" t="str">
        <f>HYPERLINK("http://www.worldcat.org/oclc/12969567","WorldCat Record")</f>
        <v>WorldCat Record</v>
      </c>
      <c r="AX4822" s="3" t="s">
        <v>46174</v>
      </c>
      <c r="AY4822" s="3" t="s">
        <v>46175</v>
      </c>
      <c r="AZ4822" s="3" t="s">
        <v>46176</v>
      </c>
      <c r="BA4822" s="3" t="s">
        <v>46176</v>
      </c>
      <c r="BB4822" s="3" t="s">
        <v>46177</v>
      </c>
      <c r="BC4822" s="3" t="s">
        <v>142</v>
      </c>
      <c r="BD4822" s="3" t="s">
        <v>68</v>
      </c>
      <c r="BE4822" s="3" t="s">
        <v>46178</v>
      </c>
      <c r="BF4822" s="3" t="s">
        <v>46177</v>
      </c>
      <c r="BG4822" s="3" t="s">
        <v>46179</v>
      </c>
    </row>
    <row r="4823" spans="1:59" ht="71.25" x14ac:dyDescent="0.45">
      <c r="A4823" s="2" t="s">
        <v>59</v>
      </c>
      <c r="B4823" s="2" t="s">
        <v>60</v>
      </c>
      <c r="C4823" s="2" t="s">
        <v>46180</v>
      </c>
      <c r="D4823" s="2" t="s">
        <v>46181</v>
      </c>
      <c r="E4823" s="2" t="s">
        <v>46182</v>
      </c>
      <c r="G4823" s="3" t="s">
        <v>62</v>
      </c>
      <c r="I4823" s="3" t="s">
        <v>62</v>
      </c>
      <c r="J4823" s="3" t="s">
        <v>62</v>
      </c>
      <c r="K4823" s="3" t="s">
        <v>63</v>
      </c>
      <c r="L4823" s="2" t="s">
        <v>651</v>
      </c>
      <c r="M4823" s="2" t="s">
        <v>46183</v>
      </c>
      <c r="N4823" s="3" t="s">
        <v>1097</v>
      </c>
      <c r="P4823" s="3" t="s">
        <v>65</v>
      </c>
      <c r="R4823" s="3" t="s">
        <v>66</v>
      </c>
      <c r="S4823" s="4">
        <v>9</v>
      </c>
      <c r="T4823" s="4">
        <v>9</v>
      </c>
      <c r="U4823" s="5" t="s">
        <v>23495</v>
      </c>
      <c r="V4823" s="5" t="s">
        <v>23495</v>
      </c>
      <c r="W4823" s="5" t="s">
        <v>67</v>
      </c>
      <c r="X4823" s="5" t="s">
        <v>67</v>
      </c>
      <c r="Y4823" s="4">
        <v>134</v>
      </c>
      <c r="Z4823" s="4">
        <v>11</v>
      </c>
      <c r="AA4823" s="4">
        <v>79</v>
      </c>
      <c r="AB4823" s="4">
        <v>1</v>
      </c>
      <c r="AC4823" s="4">
        <v>14</v>
      </c>
      <c r="AD4823" s="4">
        <v>54</v>
      </c>
      <c r="AE4823" s="4">
        <v>116</v>
      </c>
      <c r="AF4823" s="4">
        <v>0</v>
      </c>
      <c r="AG4823" s="4">
        <v>8</v>
      </c>
      <c r="AH4823" s="4">
        <v>52</v>
      </c>
      <c r="AI4823" s="4">
        <v>82</v>
      </c>
      <c r="AJ4823" s="4">
        <v>8</v>
      </c>
      <c r="AK4823" s="4">
        <v>21</v>
      </c>
      <c r="AL4823" s="4">
        <v>30</v>
      </c>
      <c r="AM4823" s="4">
        <v>42</v>
      </c>
      <c r="AN4823" s="4">
        <v>0</v>
      </c>
      <c r="AO4823" s="4">
        <v>0</v>
      </c>
      <c r="AP4823" s="4">
        <v>9</v>
      </c>
      <c r="AQ4823" s="4">
        <v>41</v>
      </c>
      <c r="AR4823" s="3" t="s">
        <v>62</v>
      </c>
      <c r="AS4823" s="3" t="s">
        <v>62</v>
      </c>
      <c r="AT4823" s="3" t="s">
        <v>62</v>
      </c>
      <c r="AV4823" s="6" t="str">
        <f>HYPERLINK("http://mcgill.on.worldcat.org/oclc/54686138","Catalog Record")</f>
        <v>Catalog Record</v>
      </c>
      <c r="AW4823" s="6" t="str">
        <f>HYPERLINK("http://www.worldcat.org/oclc/54686138","WorldCat Record")</f>
        <v>WorldCat Record</v>
      </c>
      <c r="AX4823" s="3" t="s">
        <v>46184</v>
      </c>
      <c r="AY4823" s="3" t="s">
        <v>46185</v>
      </c>
      <c r="AZ4823" s="3" t="s">
        <v>46186</v>
      </c>
      <c r="BA4823" s="3" t="s">
        <v>46186</v>
      </c>
      <c r="BB4823" s="3" t="s">
        <v>46187</v>
      </c>
      <c r="BC4823" s="3" t="s">
        <v>142</v>
      </c>
      <c r="BD4823" s="3" t="s">
        <v>68</v>
      </c>
      <c r="BE4823" s="3" t="s">
        <v>46188</v>
      </c>
      <c r="BF4823" s="3" t="s">
        <v>46187</v>
      </c>
      <c r="BG4823" s="3" t="s">
        <v>46189</v>
      </c>
    </row>
    <row r="4824" spans="1:59" ht="57" x14ac:dyDescent="0.45">
      <c r="A4824" s="2" t="s">
        <v>59</v>
      </c>
      <c r="B4824" s="2" t="s">
        <v>412</v>
      </c>
      <c r="C4824" s="2" t="s">
        <v>46190</v>
      </c>
      <c r="D4824" s="2" t="s">
        <v>46191</v>
      </c>
      <c r="E4824" s="2" t="s">
        <v>46192</v>
      </c>
      <c r="G4824" s="3" t="s">
        <v>62</v>
      </c>
      <c r="I4824" s="3" t="s">
        <v>62</v>
      </c>
      <c r="J4824" s="3" t="s">
        <v>61</v>
      </c>
      <c r="K4824" s="3" t="s">
        <v>63</v>
      </c>
      <c r="L4824" s="2" t="s">
        <v>651</v>
      </c>
      <c r="M4824" s="2" t="s">
        <v>46193</v>
      </c>
      <c r="N4824" s="3" t="s">
        <v>495</v>
      </c>
      <c r="P4824" s="3" t="s">
        <v>65</v>
      </c>
      <c r="R4824" s="3" t="s">
        <v>66</v>
      </c>
      <c r="S4824" s="4">
        <v>19</v>
      </c>
      <c r="T4824" s="4">
        <v>19</v>
      </c>
      <c r="U4824" s="5" t="s">
        <v>9213</v>
      </c>
      <c r="V4824" s="5" t="s">
        <v>9213</v>
      </c>
      <c r="W4824" s="5" t="s">
        <v>67</v>
      </c>
      <c r="X4824" s="5" t="s">
        <v>67</v>
      </c>
      <c r="Y4824" s="4">
        <v>602</v>
      </c>
      <c r="Z4824" s="4">
        <v>27</v>
      </c>
      <c r="AA4824" s="4">
        <v>49</v>
      </c>
      <c r="AB4824" s="4">
        <v>2</v>
      </c>
      <c r="AC4824" s="4">
        <v>8</v>
      </c>
      <c r="AD4824" s="4">
        <v>114</v>
      </c>
      <c r="AE4824" s="4">
        <v>141</v>
      </c>
      <c r="AF4824" s="4">
        <v>1</v>
      </c>
      <c r="AG4824" s="4">
        <v>6</v>
      </c>
      <c r="AH4824" s="4">
        <v>96</v>
      </c>
      <c r="AI4824" s="4">
        <v>110</v>
      </c>
      <c r="AJ4824" s="4">
        <v>14</v>
      </c>
      <c r="AK4824" s="4">
        <v>28</v>
      </c>
      <c r="AL4824" s="4">
        <v>56</v>
      </c>
      <c r="AM4824" s="4">
        <v>60</v>
      </c>
      <c r="AN4824" s="4">
        <v>0</v>
      </c>
      <c r="AO4824" s="4">
        <v>0</v>
      </c>
      <c r="AP4824" s="4">
        <v>21</v>
      </c>
      <c r="AQ4824" s="4">
        <v>38</v>
      </c>
      <c r="AR4824" s="3" t="s">
        <v>62</v>
      </c>
      <c r="AS4824" s="3" t="s">
        <v>62</v>
      </c>
      <c r="AT4824" s="3" t="s">
        <v>62</v>
      </c>
      <c r="AV4824" s="6" t="str">
        <f>HYPERLINK("http://mcgill.on.worldcat.org/oclc/1602298","Catalog Record")</f>
        <v>Catalog Record</v>
      </c>
      <c r="AW4824" s="6" t="str">
        <f>HYPERLINK("http://www.worldcat.org/oclc/1602298","WorldCat Record")</f>
        <v>WorldCat Record</v>
      </c>
      <c r="AX4824" s="3" t="s">
        <v>46194</v>
      </c>
      <c r="AY4824" s="3" t="s">
        <v>46195</v>
      </c>
      <c r="AZ4824" s="3" t="s">
        <v>46196</v>
      </c>
      <c r="BA4824" s="3" t="s">
        <v>46196</v>
      </c>
      <c r="BB4824" s="3" t="s">
        <v>46197</v>
      </c>
      <c r="BC4824" s="3" t="s">
        <v>142</v>
      </c>
      <c r="BD4824" s="3" t="s">
        <v>308</v>
      </c>
      <c r="BE4824" s="3" t="s">
        <v>46198</v>
      </c>
      <c r="BF4824" s="3" t="s">
        <v>46197</v>
      </c>
      <c r="BG4824" s="3" t="s">
        <v>46199</v>
      </c>
    </row>
    <row r="4825" spans="1:59" ht="57" x14ac:dyDescent="0.45">
      <c r="A4825" s="2" t="s">
        <v>59</v>
      </c>
      <c r="B4825" s="2" t="s">
        <v>60</v>
      </c>
      <c r="C4825" s="2" t="s">
        <v>46200</v>
      </c>
      <c r="D4825" s="2" t="s">
        <v>46201</v>
      </c>
      <c r="E4825" s="2" t="s">
        <v>46202</v>
      </c>
      <c r="F4825" s="3" t="s">
        <v>87</v>
      </c>
      <c r="G4825" s="3" t="s">
        <v>61</v>
      </c>
      <c r="I4825" s="3" t="s">
        <v>62</v>
      </c>
      <c r="J4825" s="3" t="s">
        <v>62</v>
      </c>
      <c r="K4825" s="3" t="s">
        <v>63</v>
      </c>
      <c r="L4825" s="2" t="s">
        <v>46203</v>
      </c>
      <c r="M4825" s="2" t="s">
        <v>46204</v>
      </c>
      <c r="N4825" s="3" t="s">
        <v>1918</v>
      </c>
      <c r="P4825" s="3" t="s">
        <v>65</v>
      </c>
      <c r="Q4825" s="2" t="s">
        <v>46205</v>
      </c>
      <c r="R4825" s="3" t="s">
        <v>66</v>
      </c>
      <c r="S4825" s="4">
        <v>0</v>
      </c>
      <c r="T4825" s="4">
        <v>0</v>
      </c>
      <c r="W4825" s="5" t="s">
        <v>67</v>
      </c>
      <c r="X4825" s="5" t="s">
        <v>67</v>
      </c>
      <c r="Y4825" s="4">
        <v>15</v>
      </c>
      <c r="Z4825" s="4">
        <v>1</v>
      </c>
      <c r="AA4825" s="4">
        <v>2</v>
      </c>
      <c r="AB4825" s="4">
        <v>1</v>
      </c>
      <c r="AC4825" s="4">
        <v>1</v>
      </c>
      <c r="AD4825" s="4">
        <v>8</v>
      </c>
      <c r="AE4825" s="4">
        <v>9</v>
      </c>
      <c r="AF4825" s="4">
        <v>0</v>
      </c>
      <c r="AG4825" s="4">
        <v>0</v>
      </c>
      <c r="AH4825" s="4">
        <v>8</v>
      </c>
      <c r="AI4825" s="4">
        <v>8</v>
      </c>
      <c r="AJ4825" s="4">
        <v>0</v>
      </c>
      <c r="AK4825" s="4">
        <v>1</v>
      </c>
      <c r="AL4825" s="4">
        <v>8</v>
      </c>
      <c r="AM4825" s="4">
        <v>8</v>
      </c>
      <c r="AN4825" s="4">
        <v>0</v>
      </c>
      <c r="AO4825" s="4">
        <v>0</v>
      </c>
      <c r="AP4825" s="4">
        <v>0</v>
      </c>
      <c r="AQ4825" s="4">
        <v>1</v>
      </c>
      <c r="AR4825" s="3" t="s">
        <v>62</v>
      </c>
      <c r="AS4825" s="3" t="s">
        <v>62</v>
      </c>
      <c r="AT4825" s="3" t="s">
        <v>62</v>
      </c>
      <c r="AV4825" s="6" t="str">
        <f>HYPERLINK("http://mcgill.on.worldcat.org/oclc/1035017023","Catalog Record")</f>
        <v>Catalog Record</v>
      </c>
      <c r="AW4825" s="6" t="str">
        <f>HYPERLINK("http://www.worldcat.org/oclc/1035017023","WorldCat Record")</f>
        <v>WorldCat Record</v>
      </c>
      <c r="AX4825" s="3" t="s">
        <v>46206</v>
      </c>
      <c r="AY4825" s="3" t="s">
        <v>46207</v>
      </c>
      <c r="AZ4825" s="3" t="s">
        <v>46208</v>
      </c>
      <c r="BA4825" s="3" t="s">
        <v>46208</v>
      </c>
      <c r="BB4825" s="3" t="s">
        <v>46209</v>
      </c>
      <c r="BC4825" s="3" t="s">
        <v>142</v>
      </c>
      <c r="BD4825" s="3" t="s">
        <v>68</v>
      </c>
      <c r="BF4825" s="3" t="s">
        <v>46209</v>
      </c>
      <c r="BG4825" s="3" t="s">
        <v>46210</v>
      </c>
    </row>
    <row r="4826" spans="1:59" ht="57" x14ac:dyDescent="0.45">
      <c r="A4826" s="2" t="s">
        <v>59</v>
      </c>
      <c r="B4826" s="2" t="s">
        <v>60</v>
      </c>
      <c r="C4826" s="2" t="s">
        <v>46200</v>
      </c>
      <c r="D4826" s="2" t="s">
        <v>46201</v>
      </c>
      <c r="E4826" s="2" t="s">
        <v>46202</v>
      </c>
      <c r="F4826" s="3" t="s">
        <v>90</v>
      </c>
      <c r="G4826" s="3" t="s">
        <v>61</v>
      </c>
      <c r="I4826" s="3" t="s">
        <v>62</v>
      </c>
      <c r="J4826" s="3" t="s">
        <v>62</v>
      </c>
      <c r="K4826" s="3" t="s">
        <v>63</v>
      </c>
      <c r="L4826" s="2" t="s">
        <v>46203</v>
      </c>
      <c r="M4826" s="2" t="s">
        <v>46204</v>
      </c>
      <c r="N4826" s="3" t="s">
        <v>1918</v>
      </c>
      <c r="P4826" s="3" t="s">
        <v>65</v>
      </c>
      <c r="Q4826" s="2" t="s">
        <v>46205</v>
      </c>
      <c r="R4826" s="3" t="s">
        <v>66</v>
      </c>
      <c r="S4826" s="4">
        <v>0</v>
      </c>
      <c r="T4826" s="4">
        <v>0</v>
      </c>
      <c r="W4826" s="5" t="s">
        <v>67</v>
      </c>
      <c r="X4826" s="5" t="s">
        <v>67</v>
      </c>
      <c r="Y4826" s="4">
        <v>15</v>
      </c>
      <c r="Z4826" s="4">
        <v>1</v>
      </c>
      <c r="AA4826" s="4">
        <v>2</v>
      </c>
      <c r="AB4826" s="4">
        <v>1</v>
      </c>
      <c r="AC4826" s="4">
        <v>1</v>
      </c>
      <c r="AD4826" s="4">
        <v>8</v>
      </c>
      <c r="AE4826" s="4">
        <v>9</v>
      </c>
      <c r="AF4826" s="4">
        <v>0</v>
      </c>
      <c r="AG4826" s="4">
        <v>0</v>
      </c>
      <c r="AH4826" s="4">
        <v>8</v>
      </c>
      <c r="AI4826" s="4">
        <v>8</v>
      </c>
      <c r="AJ4826" s="4">
        <v>0</v>
      </c>
      <c r="AK4826" s="4">
        <v>1</v>
      </c>
      <c r="AL4826" s="4">
        <v>8</v>
      </c>
      <c r="AM4826" s="4">
        <v>8</v>
      </c>
      <c r="AN4826" s="4">
        <v>0</v>
      </c>
      <c r="AO4826" s="4">
        <v>0</v>
      </c>
      <c r="AP4826" s="4">
        <v>0</v>
      </c>
      <c r="AQ4826" s="4">
        <v>1</v>
      </c>
      <c r="AR4826" s="3" t="s">
        <v>62</v>
      </c>
      <c r="AS4826" s="3" t="s">
        <v>62</v>
      </c>
      <c r="AT4826" s="3" t="s">
        <v>62</v>
      </c>
      <c r="AV4826" s="6" t="str">
        <f>HYPERLINK("http://mcgill.on.worldcat.org/oclc/1035017023","Catalog Record")</f>
        <v>Catalog Record</v>
      </c>
      <c r="AW4826" s="6" t="str">
        <f>HYPERLINK("http://www.worldcat.org/oclc/1035017023","WorldCat Record")</f>
        <v>WorldCat Record</v>
      </c>
      <c r="AX4826" s="3" t="s">
        <v>46206</v>
      </c>
      <c r="AY4826" s="3" t="s">
        <v>46207</v>
      </c>
      <c r="AZ4826" s="3" t="s">
        <v>46208</v>
      </c>
      <c r="BA4826" s="3" t="s">
        <v>46208</v>
      </c>
      <c r="BB4826" s="3" t="s">
        <v>46211</v>
      </c>
      <c r="BC4826" s="3" t="s">
        <v>142</v>
      </c>
      <c r="BD4826" s="3" t="s">
        <v>68</v>
      </c>
      <c r="BF4826" s="3" t="s">
        <v>46211</v>
      </c>
      <c r="BG4826" s="3" t="s">
        <v>46212</v>
      </c>
    </row>
    <row r="4827" spans="1:59" ht="57" x14ac:dyDescent="0.45">
      <c r="A4827" s="2" t="s">
        <v>59</v>
      </c>
      <c r="B4827" s="2" t="s">
        <v>60</v>
      </c>
      <c r="C4827" s="2" t="s">
        <v>46213</v>
      </c>
      <c r="D4827" s="2" t="s">
        <v>46214</v>
      </c>
      <c r="E4827" s="2" t="s">
        <v>46215</v>
      </c>
      <c r="G4827" s="3" t="s">
        <v>62</v>
      </c>
      <c r="I4827" s="3" t="s">
        <v>62</v>
      </c>
      <c r="J4827" s="3" t="s">
        <v>62</v>
      </c>
      <c r="K4827" s="3" t="s">
        <v>63</v>
      </c>
      <c r="L4827" s="2" t="s">
        <v>46216</v>
      </c>
      <c r="M4827" s="2" t="s">
        <v>31234</v>
      </c>
      <c r="N4827" s="3" t="s">
        <v>958</v>
      </c>
      <c r="P4827" s="3" t="s">
        <v>65</v>
      </c>
      <c r="Q4827" s="2" t="s">
        <v>46217</v>
      </c>
      <c r="R4827" s="3" t="s">
        <v>66</v>
      </c>
      <c r="S4827" s="4">
        <v>7</v>
      </c>
      <c r="T4827" s="4">
        <v>7</v>
      </c>
      <c r="U4827" s="5" t="s">
        <v>46218</v>
      </c>
      <c r="V4827" s="5" t="s">
        <v>46218</v>
      </c>
      <c r="W4827" s="5" t="s">
        <v>67</v>
      </c>
      <c r="X4827" s="5" t="s">
        <v>67</v>
      </c>
      <c r="Y4827" s="4">
        <v>368</v>
      </c>
      <c r="Z4827" s="4">
        <v>27</v>
      </c>
      <c r="AA4827" s="4">
        <v>36</v>
      </c>
      <c r="AB4827" s="4">
        <v>2</v>
      </c>
      <c r="AC4827" s="4">
        <v>11</v>
      </c>
      <c r="AD4827" s="4">
        <v>113</v>
      </c>
      <c r="AE4827" s="4">
        <v>119</v>
      </c>
      <c r="AF4827" s="4">
        <v>1</v>
      </c>
      <c r="AG4827" s="4">
        <v>5</v>
      </c>
      <c r="AH4827" s="4">
        <v>95</v>
      </c>
      <c r="AI4827" s="4">
        <v>98</v>
      </c>
      <c r="AJ4827" s="4">
        <v>18</v>
      </c>
      <c r="AK4827" s="4">
        <v>21</v>
      </c>
      <c r="AL4827" s="4">
        <v>55</v>
      </c>
      <c r="AM4827" s="4">
        <v>55</v>
      </c>
      <c r="AN4827" s="4">
        <v>0</v>
      </c>
      <c r="AO4827" s="4">
        <v>0</v>
      </c>
      <c r="AP4827" s="4">
        <v>22</v>
      </c>
      <c r="AQ4827" s="4">
        <v>25</v>
      </c>
      <c r="AR4827" s="3" t="s">
        <v>62</v>
      </c>
      <c r="AS4827" s="3" t="s">
        <v>62</v>
      </c>
      <c r="AT4827" s="3" t="s">
        <v>62</v>
      </c>
      <c r="AV4827" s="6" t="str">
        <f>HYPERLINK("http://mcgill.on.worldcat.org/oclc/30734077","Catalog Record")</f>
        <v>Catalog Record</v>
      </c>
      <c r="AW4827" s="6" t="str">
        <f>HYPERLINK("http://www.worldcat.org/oclc/30734077","WorldCat Record")</f>
        <v>WorldCat Record</v>
      </c>
      <c r="AX4827" s="3" t="s">
        <v>46219</v>
      </c>
      <c r="AY4827" s="3" t="s">
        <v>46220</v>
      </c>
      <c r="AZ4827" s="3" t="s">
        <v>46221</v>
      </c>
      <c r="BA4827" s="3" t="s">
        <v>46221</v>
      </c>
      <c r="BB4827" s="3" t="s">
        <v>46222</v>
      </c>
      <c r="BC4827" s="3" t="s">
        <v>142</v>
      </c>
      <c r="BD4827" s="3" t="s">
        <v>68</v>
      </c>
      <c r="BE4827" s="3" t="s">
        <v>46223</v>
      </c>
      <c r="BF4827" s="3" t="s">
        <v>46222</v>
      </c>
      <c r="BG4827" s="3" t="s">
        <v>46224</v>
      </c>
    </row>
    <row r="4828" spans="1:59" ht="57" x14ac:dyDescent="0.45">
      <c r="A4828" s="2" t="s">
        <v>59</v>
      </c>
      <c r="B4828" s="2" t="s">
        <v>60</v>
      </c>
      <c r="C4828" s="2" t="s">
        <v>46225</v>
      </c>
      <c r="D4828" s="2" t="s">
        <v>46226</v>
      </c>
      <c r="E4828" s="2" t="s">
        <v>46227</v>
      </c>
      <c r="G4828" s="3" t="s">
        <v>62</v>
      </c>
      <c r="I4828" s="3" t="s">
        <v>62</v>
      </c>
      <c r="J4828" s="3" t="s">
        <v>62</v>
      </c>
      <c r="K4828" s="3" t="s">
        <v>63</v>
      </c>
      <c r="L4828" s="2" t="s">
        <v>46228</v>
      </c>
      <c r="M4828" s="2" t="s">
        <v>46229</v>
      </c>
      <c r="N4828" s="3" t="s">
        <v>125</v>
      </c>
      <c r="P4828" s="3" t="s">
        <v>65</v>
      </c>
      <c r="Q4828" s="2" t="s">
        <v>46230</v>
      </c>
      <c r="R4828" s="3" t="s">
        <v>66</v>
      </c>
      <c r="S4828" s="4">
        <v>6</v>
      </c>
      <c r="T4828" s="4">
        <v>6</v>
      </c>
      <c r="U4828" s="5" t="s">
        <v>2293</v>
      </c>
      <c r="V4828" s="5" t="s">
        <v>2293</v>
      </c>
      <c r="W4828" s="5" t="s">
        <v>67</v>
      </c>
      <c r="X4828" s="5" t="s">
        <v>67</v>
      </c>
      <c r="Y4828" s="4">
        <v>168</v>
      </c>
      <c r="Z4828" s="4">
        <v>17</v>
      </c>
      <c r="AA4828" s="4">
        <v>22</v>
      </c>
      <c r="AB4828" s="4">
        <v>3</v>
      </c>
      <c r="AC4828" s="4">
        <v>7</v>
      </c>
      <c r="AD4828" s="4">
        <v>75</v>
      </c>
      <c r="AE4828" s="4">
        <v>83</v>
      </c>
      <c r="AF4828" s="4">
        <v>1</v>
      </c>
      <c r="AG4828" s="4">
        <v>4</v>
      </c>
      <c r="AH4828" s="4">
        <v>70</v>
      </c>
      <c r="AI4828" s="4">
        <v>75</v>
      </c>
      <c r="AJ4828" s="4">
        <v>14</v>
      </c>
      <c r="AK4828" s="4">
        <v>17</v>
      </c>
      <c r="AL4828" s="4">
        <v>41</v>
      </c>
      <c r="AM4828" s="4">
        <v>43</v>
      </c>
      <c r="AN4828" s="4">
        <v>0</v>
      </c>
      <c r="AO4828" s="4">
        <v>0</v>
      </c>
      <c r="AP4828" s="4">
        <v>14</v>
      </c>
      <c r="AQ4828" s="4">
        <v>17</v>
      </c>
      <c r="AR4828" s="3" t="s">
        <v>62</v>
      </c>
      <c r="AS4828" s="3" t="s">
        <v>62</v>
      </c>
      <c r="AT4828" s="3" t="s">
        <v>62</v>
      </c>
      <c r="AV4828" s="6" t="str">
        <f>HYPERLINK("http://mcgill.on.worldcat.org/oclc/20754071","Catalog Record")</f>
        <v>Catalog Record</v>
      </c>
      <c r="AW4828" s="6" t="str">
        <f>HYPERLINK("http://www.worldcat.org/oclc/20754071","WorldCat Record")</f>
        <v>WorldCat Record</v>
      </c>
      <c r="AX4828" s="3" t="s">
        <v>46231</v>
      </c>
      <c r="AY4828" s="3" t="s">
        <v>46232</v>
      </c>
      <c r="AZ4828" s="3" t="s">
        <v>46233</v>
      </c>
      <c r="BA4828" s="3" t="s">
        <v>46233</v>
      </c>
      <c r="BB4828" s="3" t="s">
        <v>46234</v>
      </c>
      <c r="BC4828" s="3" t="s">
        <v>142</v>
      </c>
      <c r="BD4828" s="3" t="s">
        <v>68</v>
      </c>
      <c r="BE4828" s="3" t="s">
        <v>46235</v>
      </c>
      <c r="BF4828" s="3" t="s">
        <v>46234</v>
      </c>
      <c r="BG4828" s="3" t="s">
        <v>46236</v>
      </c>
    </row>
    <row r="4829" spans="1:59" ht="57" x14ac:dyDescent="0.45">
      <c r="A4829" s="2" t="s">
        <v>59</v>
      </c>
      <c r="B4829" s="2" t="s">
        <v>60</v>
      </c>
      <c r="C4829" s="2" t="s">
        <v>46237</v>
      </c>
      <c r="D4829" s="2" t="s">
        <v>46238</v>
      </c>
      <c r="E4829" s="2" t="s">
        <v>46239</v>
      </c>
      <c r="G4829" s="3" t="s">
        <v>62</v>
      </c>
      <c r="I4829" s="3" t="s">
        <v>61</v>
      </c>
      <c r="J4829" s="3" t="s">
        <v>62</v>
      </c>
      <c r="K4829" s="3" t="s">
        <v>63</v>
      </c>
      <c r="L4829" s="2" t="s">
        <v>46240</v>
      </c>
      <c r="M4829" s="2" t="s">
        <v>44820</v>
      </c>
      <c r="N4829" s="3" t="s">
        <v>1212</v>
      </c>
      <c r="P4829" s="3" t="s">
        <v>65</v>
      </c>
      <c r="Q4829" s="2" t="s">
        <v>46241</v>
      </c>
      <c r="R4829" s="3" t="s">
        <v>66</v>
      </c>
      <c r="S4829" s="4">
        <v>3</v>
      </c>
      <c r="T4829" s="4">
        <v>5</v>
      </c>
      <c r="U4829" s="5" t="s">
        <v>46218</v>
      </c>
      <c r="V4829" s="5" t="s">
        <v>46218</v>
      </c>
      <c r="W4829" s="5" t="s">
        <v>67</v>
      </c>
      <c r="X4829" s="5" t="s">
        <v>67</v>
      </c>
      <c r="Y4829" s="4">
        <v>234</v>
      </c>
      <c r="Z4829" s="4">
        <v>19</v>
      </c>
      <c r="AA4829" s="4">
        <v>47</v>
      </c>
      <c r="AB4829" s="4">
        <v>2</v>
      </c>
      <c r="AC4829" s="4">
        <v>9</v>
      </c>
      <c r="AD4829" s="4">
        <v>91</v>
      </c>
      <c r="AE4829" s="4">
        <v>111</v>
      </c>
      <c r="AF4829" s="4">
        <v>1</v>
      </c>
      <c r="AG4829" s="4">
        <v>4</v>
      </c>
      <c r="AH4829" s="4">
        <v>82</v>
      </c>
      <c r="AI4829" s="4">
        <v>96</v>
      </c>
      <c r="AJ4829" s="4">
        <v>14</v>
      </c>
      <c r="AK4829" s="4">
        <v>22</v>
      </c>
      <c r="AL4829" s="4">
        <v>46</v>
      </c>
      <c r="AM4829" s="4">
        <v>50</v>
      </c>
      <c r="AN4829" s="4">
        <v>0</v>
      </c>
      <c r="AO4829" s="4">
        <v>0</v>
      </c>
      <c r="AP4829" s="4">
        <v>16</v>
      </c>
      <c r="AQ4829" s="4">
        <v>26</v>
      </c>
      <c r="AR4829" s="3" t="s">
        <v>62</v>
      </c>
      <c r="AS4829" s="3" t="s">
        <v>62</v>
      </c>
      <c r="AT4829" s="3" t="s">
        <v>62</v>
      </c>
      <c r="AV4829" s="6" t="str">
        <f>HYPERLINK("http://mcgill.on.worldcat.org/oclc/42009351","Catalog Record")</f>
        <v>Catalog Record</v>
      </c>
      <c r="AW4829" s="6" t="str">
        <f>HYPERLINK("http://www.worldcat.org/oclc/42009351","WorldCat Record")</f>
        <v>WorldCat Record</v>
      </c>
      <c r="AX4829" s="3" t="s">
        <v>46242</v>
      </c>
      <c r="AY4829" s="3" t="s">
        <v>46243</v>
      </c>
      <c r="AZ4829" s="3" t="s">
        <v>46244</v>
      </c>
      <c r="BA4829" s="3" t="s">
        <v>46244</v>
      </c>
      <c r="BB4829" s="3" t="s">
        <v>46245</v>
      </c>
      <c r="BC4829" s="3" t="s">
        <v>142</v>
      </c>
      <c r="BD4829" s="3" t="s">
        <v>68</v>
      </c>
      <c r="BE4829" s="3" t="s">
        <v>46246</v>
      </c>
      <c r="BF4829" s="3" t="s">
        <v>46245</v>
      </c>
      <c r="BG4829" s="3" t="s">
        <v>46247</v>
      </c>
    </row>
    <row r="4830" spans="1:59" ht="57" x14ac:dyDescent="0.45">
      <c r="A4830" s="2" t="s">
        <v>59</v>
      </c>
      <c r="B4830" s="2" t="s">
        <v>60</v>
      </c>
      <c r="C4830" s="2" t="s">
        <v>46237</v>
      </c>
      <c r="D4830" s="2" t="s">
        <v>46238</v>
      </c>
      <c r="E4830" s="2" t="s">
        <v>46239</v>
      </c>
      <c r="G4830" s="3" t="s">
        <v>62</v>
      </c>
      <c r="I4830" s="3" t="s">
        <v>61</v>
      </c>
      <c r="J4830" s="3" t="s">
        <v>62</v>
      </c>
      <c r="K4830" s="3" t="s">
        <v>63</v>
      </c>
      <c r="L4830" s="2" t="s">
        <v>46240</v>
      </c>
      <c r="M4830" s="2" t="s">
        <v>44820</v>
      </c>
      <c r="N4830" s="3" t="s">
        <v>1212</v>
      </c>
      <c r="P4830" s="3" t="s">
        <v>65</v>
      </c>
      <c r="Q4830" s="2" t="s">
        <v>46241</v>
      </c>
      <c r="R4830" s="3" t="s">
        <v>66</v>
      </c>
      <c r="S4830" s="4">
        <v>2</v>
      </c>
      <c r="T4830" s="4">
        <v>5</v>
      </c>
      <c r="U4830" s="5" t="s">
        <v>46248</v>
      </c>
      <c r="V4830" s="5" t="s">
        <v>46218</v>
      </c>
      <c r="W4830" s="5" t="s">
        <v>67</v>
      </c>
      <c r="X4830" s="5" t="s">
        <v>67</v>
      </c>
      <c r="Y4830" s="4">
        <v>234</v>
      </c>
      <c r="Z4830" s="4">
        <v>19</v>
      </c>
      <c r="AA4830" s="4">
        <v>47</v>
      </c>
      <c r="AB4830" s="4">
        <v>2</v>
      </c>
      <c r="AC4830" s="4">
        <v>9</v>
      </c>
      <c r="AD4830" s="4">
        <v>91</v>
      </c>
      <c r="AE4830" s="4">
        <v>111</v>
      </c>
      <c r="AF4830" s="4">
        <v>1</v>
      </c>
      <c r="AG4830" s="4">
        <v>4</v>
      </c>
      <c r="AH4830" s="4">
        <v>82</v>
      </c>
      <c r="AI4830" s="4">
        <v>96</v>
      </c>
      <c r="AJ4830" s="4">
        <v>14</v>
      </c>
      <c r="AK4830" s="4">
        <v>22</v>
      </c>
      <c r="AL4830" s="4">
        <v>46</v>
      </c>
      <c r="AM4830" s="4">
        <v>50</v>
      </c>
      <c r="AN4830" s="4">
        <v>0</v>
      </c>
      <c r="AO4830" s="4">
        <v>0</v>
      </c>
      <c r="AP4830" s="4">
        <v>16</v>
      </c>
      <c r="AQ4830" s="4">
        <v>26</v>
      </c>
      <c r="AR4830" s="3" t="s">
        <v>62</v>
      </c>
      <c r="AS4830" s="3" t="s">
        <v>62</v>
      </c>
      <c r="AT4830" s="3" t="s">
        <v>62</v>
      </c>
      <c r="AV4830" s="6" t="str">
        <f>HYPERLINK("http://mcgill.on.worldcat.org/oclc/42009351","Catalog Record")</f>
        <v>Catalog Record</v>
      </c>
      <c r="AW4830" s="6" t="str">
        <f>HYPERLINK("http://www.worldcat.org/oclc/42009351","WorldCat Record")</f>
        <v>WorldCat Record</v>
      </c>
      <c r="AX4830" s="3" t="s">
        <v>46242</v>
      </c>
      <c r="AY4830" s="3" t="s">
        <v>46243</v>
      </c>
      <c r="AZ4830" s="3" t="s">
        <v>46244</v>
      </c>
      <c r="BA4830" s="3" t="s">
        <v>46244</v>
      </c>
      <c r="BB4830" s="3" t="s">
        <v>46249</v>
      </c>
      <c r="BC4830" s="3" t="s">
        <v>142</v>
      </c>
      <c r="BD4830" s="3" t="s">
        <v>68</v>
      </c>
      <c r="BE4830" s="3" t="s">
        <v>46246</v>
      </c>
      <c r="BF4830" s="3" t="s">
        <v>46249</v>
      </c>
      <c r="BG4830" s="3" t="s">
        <v>46250</v>
      </c>
    </row>
    <row r="4831" spans="1:59" ht="57" x14ac:dyDescent="0.45">
      <c r="A4831" s="2" t="s">
        <v>59</v>
      </c>
      <c r="B4831" s="2" t="s">
        <v>60</v>
      </c>
      <c r="C4831" s="2" t="s">
        <v>46251</v>
      </c>
      <c r="D4831" s="2" t="s">
        <v>46252</v>
      </c>
      <c r="E4831" s="2" t="s">
        <v>46253</v>
      </c>
      <c r="G4831" s="3" t="s">
        <v>62</v>
      </c>
      <c r="I4831" s="3" t="s">
        <v>62</v>
      </c>
      <c r="J4831" s="3" t="s">
        <v>62</v>
      </c>
      <c r="K4831" s="3" t="s">
        <v>63</v>
      </c>
      <c r="L4831" s="2" t="s">
        <v>46254</v>
      </c>
      <c r="M4831" s="2" t="s">
        <v>9187</v>
      </c>
      <c r="N4831" s="3" t="s">
        <v>894</v>
      </c>
      <c r="P4831" s="3" t="s">
        <v>65</v>
      </c>
      <c r="R4831" s="3" t="s">
        <v>66</v>
      </c>
      <c r="S4831" s="4">
        <v>8</v>
      </c>
      <c r="T4831" s="4">
        <v>8</v>
      </c>
      <c r="U4831" s="5" t="s">
        <v>16573</v>
      </c>
      <c r="V4831" s="5" t="s">
        <v>16573</v>
      </c>
      <c r="W4831" s="5" t="s">
        <v>67</v>
      </c>
      <c r="X4831" s="5" t="s">
        <v>67</v>
      </c>
      <c r="Y4831" s="4">
        <v>177</v>
      </c>
      <c r="Z4831" s="4">
        <v>13</v>
      </c>
      <c r="AA4831" s="4">
        <v>89</v>
      </c>
      <c r="AB4831" s="4">
        <v>1</v>
      </c>
      <c r="AC4831" s="4">
        <v>15</v>
      </c>
      <c r="AD4831" s="4">
        <v>77</v>
      </c>
      <c r="AE4831" s="4">
        <v>137</v>
      </c>
      <c r="AF4831" s="4">
        <v>0</v>
      </c>
      <c r="AG4831" s="4">
        <v>8</v>
      </c>
      <c r="AH4831" s="4">
        <v>71</v>
      </c>
      <c r="AI4831" s="4">
        <v>100</v>
      </c>
      <c r="AJ4831" s="4">
        <v>9</v>
      </c>
      <c r="AK4831" s="4">
        <v>24</v>
      </c>
      <c r="AL4831" s="4">
        <v>42</v>
      </c>
      <c r="AM4831" s="4">
        <v>55</v>
      </c>
      <c r="AN4831" s="4">
        <v>0</v>
      </c>
      <c r="AO4831" s="4">
        <v>0</v>
      </c>
      <c r="AP4831" s="4">
        <v>12</v>
      </c>
      <c r="AQ4831" s="4">
        <v>46</v>
      </c>
      <c r="AR4831" s="3" t="s">
        <v>62</v>
      </c>
      <c r="AS4831" s="3" t="s">
        <v>62</v>
      </c>
      <c r="AT4831" s="3" t="s">
        <v>62</v>
      </c>
      <c r="AV4831" s="6" t="str">
        <f>HYPERLINK("http://mcgill.on.worldcat.org/oclc/794553571","Catalog Record")</f>
        <v>Catalog Record</v>
      </c>
      <c r="AW4831" s="6" t="str">
        <f>HYPERLINK("http://www.worldcat.org/oclc/794553571","WorldCat Record")</f>
        <v>WorldCat Record</v>
      </c>
      <c r="AX4831" s="3" t="s">
        <v>46255</v>
      </c>
      <c r="AY4831" s="3" t="s">
        <v>46256</v>
      </c>
      <c r="AZ4831" s="3" t="s">
        <v>46257</v>
      </c>
      <c r="BA4831" s="3" t="s">
        <v>46257</v>
      </c>
      <c r="BB4831" s="3" t="s">
        <v>46258</v>
      </c>
      <c r="BC4831" s="3" t="s">
        <v>142</v>
      </c>
      <c r="BD4831" s="3" t="s">
        <v>68</v>
      </c>
      <c r="BE4831" s="3" t="s">
        <v>46259</v>
      </c>
      <c r="BF4831" s="3" t="s">
        <v>46258</v>
      </c>
      <c r="BG4831" s="3" t="s">
        <v>46260</v>
      </c>
    </row>
    <row r="4832" spans="1:59" ht="57" x14ac:dyDescent="0.45">
      <c r="A4832" s="2" t="s">
        <v>59</v>
      </c>
      <c r="B4832" s="2" t="s">
        <v>60</v>
      </c>
      <c r="C4832" s="2" t="s">
        <v>46261</v>
      </c>
      <c r="D4832" s="2" t="s">
        <v>46262</v>
      </c>
      <c r="E4832" s="2" t="s">
        <v>46263</v>
      </c>
      <c r="G4832" s="3" t="s">
        <v>62</v>
      </c>
      <c r="I4832" s="3" t="s">
        <v>62</v>
      </c>
      <c r="J4832" s="3" t="s">
        <v>62</v>
      </c>
      <c r="K4832" s="3" t="s">
        <v>63</v>
      </c>
      <c r="L4832" s="2" t="s">
        <v>46264</v>
      </c>
      <c r="M4832" s="2" t="s">
        <v>46265</v>
      </c>
      <c r="N4832" s="3" t="s">
        <v>149</v>
      </c>
      <c r="P4832" s="3" t="s">
        <v>65</v>
      </c>
      <c r="R4832" s="3" t="s">
        <v>66</v>
      </c>
      <c r="S4832" s="4">
        <v>1</v>
      </c>
      <c r="T4832" s="4">
        <v>1</v>
      </c>
      <c r="U4832" s="5" t="s">
        <v>46266</v>
      </c>
      <c r="V4832" s="5" t="s">
        <v>46266</v>
      </c>
      <c r="W4832" s="5" t="s">
        <v>67</v>
      </c>
      <c r="X4832" s="5" t="s">
        <v>67</v>
      </c>
      <c r="Y4832" s="4">
        <v>48</v>
      </c>
      <c r="Z4832" s="4">
        <v>6</v>
      </c>
      <c r="AA4832" s="4">
        <v>8</v>
      </c>
      <c r="AB4832" s="4">
        <v>1</v>
      </c>
      <c r="AC4832" s="4">
        <v>3</v>
      </c>
      <c r="AD4832" s="4">
        <v>20</v>
      </c>
      <c r="AE4832" s="4">
        <v>23</v>
      </c>
      <c r="AF4832" s="4">
        <v>0</v>
      </c>
      <c r="AG4832" s="4">
        <v>0</v>
      </c>
      <c r="AH4832" s="4">
        <v>19</v>
      </c>
      <c r="AI4832" s="4">
        <v>22</v>
      </c>
      <c r="AJ4832" s="4">
        <v>4</v>
      </c>
      <c r="AK4832" s="4">
        <v>4</v>
      </c>
      <c r="AL4832" s="4">
        <v>14</v>
      </c>
      <c r="AM4832" s="4">
        <v>15</v>
      </c>
      <c r="AN4832" s="4">
        <v>0</v>
      </c>
      <c r="AO4832" s="4">
        <v>0</v>
      </c>
      <c r="AP4832" s="4">
        <v>4</v>
      </c>
      <c r="AQ4832" s="4">
        <v>4</v>
      </c>
      <c r="AR4832" s="3" t="s">
        <v>62</v>
      </c>
      <c r="AS4832" s="3" t="s">
        <v>62</v>
      </c>
      <c r="AT4832" s="3" t="s">
        <v>62</v>
      </c>
      <c r="AV4832" s="6" t="str">
        <f>HYPERLINK("http://mcgill.on.worldcat.org/oclc/419804466","Catalog Record")</f>
        <v>Catalog Record</v>
      </c>
      <c r="AW4832" s="6" t="str">
        <f>HYPERLINK("http://www.worldcat.org/oclc/419804466","WorldCat Record")</f>
        <v>WorldCat Record</v>
      </c>
      <c r="AX4832" s="3" t="s">
        <v>46267</v>
      </c>
      <c r="AY4832" s="3" t="s">
        <v>46268</v>
      </c>
      <c r="AZ4832" s="3" t="s">
        <v>46269</v>
      </c>
      <c r="BA4832" s="3" t="s">
        <v>46269</v>
      </c>
      <c r="BB4832" s="3" t="s">
        <v>46270</v>
      </c>
      <c r="BC4832" s="3" t="s">
        <v>142</v>
      </c>
      <c r="BD4832" s="3" t="s">
        <v>68</v>
      </c>
      <c r="BE4832" s="3" t="s">
        <v>46271</v>
      </c>
      <c r="BF4832" s="3" t="s">
        <v>46270</v>
      </c>
      <c r="BG4832" s="3" t="s">
        <v>46272</v>
      </c>
    </row>
    <row r="4833" spans="1:59" ht="57" x14ac:dyDescent="0.45">
      <c r="A4833" s="2" t="s">
        <v>59</v>
      </c>
      <c r="B4833" s="2" t="s">
        <v>60</v>
      </c>
      <c r="C4833" s="2" t="s">
        <v>46273</v>
      </c>
      <c r="D4833" s="2" t="s">
        <v>46274</v>
      </c>
      <c r="E4833" s="2" t="s">
        <v>46275</v>
      </c>
      <c r="G4833" s="3" t="s">
        <v>62</v>
      </c>
      <c r="I4833" s="3" t="s">
        <v>62</v>
      </c>
      <c r="J4833" s="3" t="s">
        <v>62</v>
      </c>
      <c r="K4833" s="3" t="s">
        <v>63</v>
      </c>
      <c r="M4833" s="2" t="s">
        <v>43202</v>
      </c>
      <c r="N4833" s="3" t="s">
        <v>1155</v>
      </c>
      <c r="P4833" s="3" t="s">
        <v>65</v>
      </c>
      <c r="Q4833" s="2" t="s">
        <v>46276</v>
      </c>
      <c r="R4833" s="3" t="s">
        <v>66</v>
      </c>
      <c r="S4833" s="4">
        <v>1</v>
      </c>
      <c r="T4833" s="4">
        <v>1</v>
      </c>
      <c r="U4833" s="5" t="s">
        <v>10639</v>
      </c>
      <c r="V4833" s="5" t="s">
        <v>10639</v>
      </c>
      <c r="W4833" s="5" t="s">
        <v>67</v>
      </c>
      <c r="X4833" s="5" t="s">
        <v>67</v>
      </c>
      <c r="Y4833" s="4">
        <v>62</v>
      </c>
      <c r="Z4833" s="4">
        <v>9</v>
      </c>
      <c r="AA4833" s="4">
        <v>86</v>
      </c>
      <c r="AB4833" s="4">
        <v>1</v>
      </c>
      <c r="AC4833" s="4">
        <v>17</v>
      </c>
      <c r="AD4833" s="4">
        <v>34</v>
      </c>
      <c r="AE4833" s="4">
        <v>110</v>
      </c>
      <c r="AF4833" s="4">
        <v>0</v>
      </c>
      <c r="AG4833" s="4">
        <v>8</v>
      </c>
      <c r="AH4833" s="4">
        <v>30</v>
      </c>
      <c r="AI4833" s="4">
        <v>78</v>
      </c>
      <c r="AJ4833" s="4">
        <v>7</v>
      </c>
      <c r="AK4833" s="4">
        <v>22</v>
      </c>
      <c r="AL4833" s="4">
        <v>22</v>
      </c>
      <c r="AM4833" s="4">
        <v>42</v>
      </c>
      <c r="AN4833" s="4">
        <v>0</v>
      </c>
      <c r="AO4833" s="4">
        <v>0</v>
      </c>
      <c r="AP4833" s="4">
        <v>7</v>
      </c>
      <c r="AQ4833" s="4">
        <v>40</v>
      </c>
      <c r="AR4833" s="3" t="s">
        <v>62</v>
      </c>
      <c r="AS4833" s="3" t="s">
        <v>62</v>
      </c>
      <c r="AT4833" s="3" t="s">
        <v>62</v>
      </c>
      <c r="AV4833" s="6" t="str">
        <f>HYPERLINK("http://mcgill.on.worldcat.org/oclc/781673329","Catalog Record")</f>
        <v>Catalog Record</v>
      </c>
      <c r="AW4833" s="6" t="str">
        <f>HYPERLINK("http://www.worldcat.org/oclc/781673329","WorldCat Record")</f>
        <v>WorldCat Record</v>
      </c>
      <c r="AX4833" s="3" t="s">
        <v>46277</v>
      </c>
      <c r="AY4833" s="3" t="s">
        <v>46278</v>
      </c>
      <c r="AZ4833" s="3" t="s">
        <v>46279</v>
      </c>
      <c r="BA4833" s="3" t="s">
        <v>46279</v>
      </c>
      <c r="BB4833" s="3" t="s">
        <v>46280</v>
      </c>
      <c r="BC4833" s="3" t="s">
        <v>142</v>
      </c>
      <c r="BD4833" s="3" t="s">
        <v>68</v>
      </c>
      <c r="BE4833" s="3" t="s">
        <v>46281</v>
      </c>
      <c r="BF4833" s="3" t="s">
        <v>46280</v>
      </c>
      <c r="BG4833" s="3" t="s">
        <v>46282</v>
      </c>
    </row>
    <row r="4834" spans="1:59" ht="57" x14ac:dyDescent="0.45">
      <c r="A4834" s="2" t="s">
        <v>59</v>
      </c>
      <c r="B4834" s="2" t="s">
        <v>60</v>
      </c>
      <c r="C4834" s="2" t="s">
        <v>46283</v>
      </c>
      <c r="D4834" s="2" t="s">
        <v>46284</v>
      </c>
      <c r="E4834" s="2" t="s">
        <v>46285</v>
      </c>
      <c r="G4834" s="3" t="s">
        <v>62</v>
      </c>
      <c r="I4834" s="3" t="s">
        <v>62</v>
      </c>
      <c r="J4834" s="3" t="s">
        <v>62</v>
      </c>
      <c r="K4834" s="3" t="s">
        <v>63</v>
      </c>
      <c r="L4834" s="2" t="s">
        <v>46286</v>
      </c>
      <c r="M4834" s="2" t="s">
        <v>29734</v>
      </c>
      <c r="N4834" s="3" t="s">
        <v>820</v>
      </c>
      <c r="P4834" s="3" t="s">
        <v>65</v>
      </c>
      <c r="Q4834" s="2" t="s">
        <v>46287</v>
      </c>
      <c r="R4834" s="3" t="s">
        <v>66</v>
      </c>
      <c r="S4834" s="4">
        <v>7</v>
      </c>
      <c r="T4834" s="4">
        <v>7</v>
      </c>
      <c r="U4834" s="5" t="s">
        <v>328</v>
      </c>
      <c r="V4834" s="5" t="s">
        <v>328</v>
      </c>
      <c r="W4834" s="5" t="s">
        <v>67</v>
      </c>
      <c r="X4834" s="5" t="s">
        <v>67</v>
      </c>
      <c r="Y4834" s="4">
        <v>188</v>
      </c>
      <c r="Z4834" s="4">
        <v>15</v>
      </c>
      <c r="AA4834" s="4">
        <v>80</v>
      </c>
      <c r="AB4834" s="4">
        <v>2</v>
      </c>
      <c r="AC4834" s="4">
        <v>14</v>
      </c>
      <c r="AD4834" s="4">
        <v>82</v>
      </c>
      <c r="AE4834" s="4">
        <v>130</v>
      </c>
      <c r="AF4834" s="4">
        <v>1</v>
      </c>
      <c r="AG4834" s="4">
        <v>8</v>
      </c>
      <c r="AH4834" s="4">
        <v>75</v>
      </c>
      <c r="AI4834" s="4">
        <v>96</v>
      </c>
      <c r="AJ4834" s="4">
        <v>12</v>
      </c>
      <c r="AK4834" s="4">
        <v>24</v>
      </c>
      <c r="AL4834" s="4">
        <v>47</v>
      </c>
      <c r="AM4834" s="4">
        <v>53</v>
      </c>
      <c r="AN4834" s="4">
        <v>0</v>
      </c>
      <c r="AO4834" s="4">
        <v>0</v>
      </c>
      <c r="AP4834" s="4">
        <v>13</v>
      </c>
      <c r="AQ4834" s="4">
        <v>44</v>
      </c>
      <c r="AR4834" s="3" t="s">
        <v>62</v>
      </c>
      <c r="AS4834" s="3" t="s">
        <v>62</v>
      </c>
      <c r="AT4834" s="3" t="s">
        <v>62</v>
      </c>
      <c r="AV4834" s="6" t="str">
        <f>HYPERLINK("http://mcgill.on.worldcat.org/oclc/183610385","Catalog Record")</f>
        <v>Catalog Record</v>
      </c>
      <c r="AW4834" s="6" t="str">
        <f>HYPERLINK("http://www.worldcat.org/oclc/183610385","WorldCat Record")</f>
        <v>WorldCat Record</v>
      </c>
      <c r="AX4834" s="3" t="s">
        <v>46288</v>
      </c>
      <c r="AY4834" s="3" t="s">
        <v>46289</v>
      </c>
      <c r="AZ4834" s="3" t="s">
        <v>46290</v>
      </c>
      <c r="BA4834" s="3" t="s">
        <v>46290</v>
      </c>
      <c r="BB4834" s="3" t="s">
        <v>46291</v>
      </c>
      <c r="BC4834" s="3" t="s">
        <v>142</v>
      </c>
      <c r="BD4834" s="3" t="s">
        <v>68</v>
      </c>
      <c r="BE4834" s="3" t="s">
        <v>46292</v>
      </c>
      <c r="BF4834" s="3" t="s">
        <v>46291</v>
      </c>
      <c r="BG4834" s="3" t="s">
        <v>46293</v>
      </c>
    </row>
    <row r="4835" spans="1:59" ht="57" x14ac:dyDescent="0.45">
      <c r="A4835" s="2" t="s">
        <v>59</v>
      </c>
      <c r="B4835" s="2" t="s">
        <v>60</v>
      </c>
      <c r="C4835" s="2" t="s">
        <v>46294</v>
      </c>
      <c r="D4835" s="2" t="s">
        <v>46295</v>
      </c>
      <c r="E4835" s="2" t="s">
        <v>46296</v>
      </c>
      <c r="G4835" s="3" t="s">
        <v>62</v>
      </c>
      <c r="I4835" s="3" t="s">
        <v>62</v>
      </c>
      <c r="J4835" s="3" t="s">
        <v>62</v>
      </c>
      <c r="K4835" s="3" t="s">
        <v>63</v>
      </c>
      <c r="L4835" s="2" t="s">
        <v>46297</v>
      </c>
      <c r="M4835" s="2" t="s">
        <v>46298</v>
      </c>
      <c r="N4835" s="3" t="s">
        <v>1437</v>
      </c>
      <c r="P4835" s="3" t="s">
        <v>65</v>
      </c>
      <c r="Q4835" s="2" t="s">
        <v>46299</v>
      </c>
      <c r="R4835" s="3" t="s">
        <v>66</v>
      </c>
      <c r="S4835" s="4">
        <v>4</v>
      </c>
      <c r="T4835" s="4">
        <v>4</v>
      </c>
      <c r="U4835" s="5" t="s">
        <v>30865</v>
      </c>
      <c r="V4835" s="5" t="s">
        <v>30865</v>
      </c>
      <c r="W4835" s="5" t="s">
        <v>67</v>
      </c>
      <c r="X4835" s="5" t="s">
        <v>67</v>
      </c>
      <c r="Y4835" s="4">
        <v>162</v>
      </c>
      <c r="Z4835" s="4">
        <v>14</v>
      </c>
      <c r="AA4835" s="4">
        <v>16</v>
      </c>
      <c r="AB4835" s="4">
        <v>1</v>
      </c>
      <c r="AC4835" s="4">
        <v>3</v>
      </c>
      <c r="AD4835" s="4">
        <v>74</v>
      </c>
      <c r="AE4835" s="4">
        <v>76</v>
      </c>
      <c r="AF4835" s="4">
        <v>0</v>
      </c>
      <c r="AG4835" s="4">
        <v>2</v>
      </c>
      <c r="AH4835" s="4">
        <v>69</v>
      </c>
      <c r="AI4835" s="4">
        <v>70</v>
      </c>
      <c r="AJ4835" s="4">
        <v>12</v>
      </c>
      <c r="AK4835" s="4">
        <v>14</v>
      </c>
      <c r="AL4835" s="4">
        <v>41</v>
      </c>
      <c r="AM4835" s="4">
        <v>41</v>
      </c>
      <c r="AN4835" s="4">
        <v>0</v>
      </c>
      <c r="AO4835" s="4">
        <v>0</v>
      </c>
      <c r="AP4835" s="4">
        <v>12</v>
      </c>
      <c r="AQ4835" s="4">
        <v>14</v>
      </c>
      <c r="AR4835" s="3" t="s">
        <v>62</v>
      </c>
      <c r="AS4835" s="3" t="s">
        <v>62</v>
      </c>
      <c r="AT4835" s="3" t="s">
        <v>62</v>
      </c>
      <c r="AV4835" s="6" t="str">
        <f>HYPERLINK("http://mcgill.on.worldcat.org/oclc/40199952","Catalog Record")</f>
        <v>Catalog Record</v>
      </c>
      <c r="AW4835" s="6" t="str">
        <f>HYPERLINK("http://www.worldcat.org/oclc/40199952","WorldCat Record")</f>
        <v>WorldCat Record</v>
      </c>
      <c r="AX4835" s="3" t="s">
        <v>46300</v>
      </c>
      <c r="AY4835" s="3" t="s">
        <v>46301</v>
      </c>
      <c r="AZ4835" s="3" t="s">
        <v>46302</v>
      </c>
      <c r="BA4835" s="3" t="s">
        <v>46302</v>
      </c>
      <c r="BB4835" s="3" t="s">
        <v>46303</v>
      </c>
      <c r="BC4835" s="3" t="s">
        <v>142</v>
      </c>
      <c r="BD4835" s="3" t="s">
        <v>68</v>
      </c>
      <c r="BE4835" s="3" t="s">
        <v>46304</v>
      </c>
      <c r="BF4835" s="3" t="s">
        <v>46303</v>
      </c>
      <c r="BG4835" s="3" t="s">
        <v>46305</v>
      </c>
    </row>
    <row r="4836" spans="1:59" ht="57" x14ac:dyDescent="0.45">
      <c r="A4836" s="2" t="s">
        <v>59</v>
      </c>
      <c r="B4836" s="2" t="s">
        <v>60</v>
      </c>
      <c r="C4836" s="2" t="s">
        <v>46306</v>
      </c>
      <c r="D4836" s="2" t="s">
        <v>46307</v>
      </c>
      <c r="E4836" s="2" t="s">
        <v>46308</v>
      </c>
      <c r="G4836" s="3" t="s">
        <v>62</v>
      </c>
      <c r="I4836" s="3" t="s">
        <v>62</v>
      </c>
      <c r="J4836" s="3" t="s">
        <v>62</v>
      </c>
      <c r="K4836" s="3" t="s">
        <v>63</v>
      </c>
      <c r="M4836" s="2" t="s">
        <v>17897</v>
      </c>
      <c r="N4836" s="3" t="s">
        <v>1155</v>
      </c>
      <c r="P4836" s="3" t="s">
        <v>65</v>
      </c>
      <c r="Q4836" s="2" t="s">
        <v>46309</v>
      </c>
      <c r="R4836" s="3" t="s">
        <v>66</v>
      </c>
      <c r="S4836" s="4">
        <v>0</v>
      </c>
      <c r="T4836" s="4">
        <v>0</v>
      </c>
      <c r="W4836" s="5" t="s">
        <v>67</v>
      </c>
      <c r="X4836" s="5" t="s">
        <v>67</v>
      </c>
      <c r="Y4836" s="4">
        <v>107</v>
      </c>
      <c r="Z4836" s="4">
        <v>13</v>
      </c>
      <c r="AA4836" s="4">
        <v>37</v>
      </c>
      <c r="AB4836" s="4">
        <v>1</v>
      </c>
      <c r="AC4836" s="4">
        <v>5</v>
      </c>
      <c r="AD4836" s="4">
        <v>54</v>
      </c>
      <c r="AE4836" s="4">
        <v>84</v>
      </c>
      <c r="AF4836" s="4">
        <v>0</v>
      </c>
      <c r="AG4836" s="4">
        <v>1</v>
      </c>
      <c r="AH4836" s="4">
        <v>49</v>
      </c>
      <c r="AI4836" s="4">
        <v>71</v>
      </c>
      <c r="AJ4836" s="4">
        <v>10</v>
      </c>
      <c r="AK4836" s="4">
        <v>15</v>
      </c>
      <c r="AL4836" s="4">
        <v>31</v>
      </c>
      <c r="AM4836" s="4">
        <v>39</v>
      </c>
      <c r="AN4836" s="4">
        <v>0</v>
      </c>
      <c r="AO4836" s="4">
        <v>0</v>
      </c>
      <c r="AP4836" s="4">
        <v>11</v>
      </c>
      <c r="AQ4836" s="4">
        <v>23</v>
      </c>
      <c r="AR4836" s="3" t="s">
        <v>62</v>
      </c>
      <c r="AS4836" s="3" t="s">
        <v>62</v>
      </c>
      <c r="AT4836" s="3" t="s">
        <v>62</v>
      </c>
      <c r="AV4836" s="6" t="str">
        <f>HYPERLINK("http://mcgill.on.worldcat.org/oclc/759177635","Catalog Record")</f>
        <v>Catalog Record</v>
      </c>
      <c r="AW4836" s="6" t="str">
        <f>HYPERLINK("http://www.worldcat.org/oclc/759177635","WorldCat Record")</f>
        <v>WorldCat Record</v>
      </c>
      <c r="AX4836" s="3" t="s">
        <v>46310</v>
      </c>
      <c r="AY4836" s="3" t="s">
        <v>46311</v>
      </c>
      <c r="AZ4836" s="3" t="s">
        <v>46312</v>
      </c>
      <c r="BA4836" s="3" t="s">
        <v>46312</v>
      </c>
      <c r="BB4836" s="3" t="s">
        <v>46313</v>
      </c>
      <c r="BC4836" s="3" t="s">
        <v>142</v>
      </c>
      <c r="BD4836" s="3" t="s">
        <v>68</v>
      </c>
      <c r="BE4836" s="3" t="s">
        <v>46314</v>
      </c>
      <c r="BF4836" s="3" t="s">
        <v>46313</v>
      </c>
      <c r="BG4836" s="3" t="s">
        <v>46315</v>
      </c>
    </row>
    <row r="4837" spans="1:59" ht="57" x14ac:dyDescent="0.45">
      <c r="A4837" s="2" t="s">
        <v>59</v>
      </c>
      <c r="B4837" s="2" t="s">
        <v>60</v>
      </c>
      <c r="C4837" s="2" t="s">
        <v>46316</v>
      </c>
      <c r="D4837" s="2" t="s">
        <v>46317</v>
      </c>
      <c r="E4837" s="2" t="s">
        <v>46318</v>
      </c>
      <c r="G4837" s="3" t="s">
        <v>62</v>
      </c>
      <c r="I4837" s="3" t="s">
        <v>62</v>
      </c>
      <c r="J4837" s="3" t="s">
        <v>62</v>
      </c>
      <c r="K4837" s="3" t="s">
        <v>63</v>
      </c>
      <c r="L4837" s="2" t="s">
        <v>46319</v>
      </c>
      <c r="M4837" s="2" t="s">
        <v>38709</v>
      </c>
      <c r="N4837" s="3" t="s">
        <v>84</v>
      </c>
      <c r="P4837" s="3" t="s">
        <v>65</v>
      </c>
      <c r="R4837" s="3" t="s">
        <v>66</v>
      </c>
      <c r="S4837" s="4">
        <v>34</v>
      </c>
      <c r="T4837" s="4">
        <v>34</v>
      </c>
      <c r="U4837" s="5" t="s">
        <v>46320</v>
      </c>
      <c r="V4837" s="5" t="s">
        <v>46320</v>
      </c>
      <c r="W4837" s="5" t="s">
        <v>67</v>
      </c>
      <c r="X4837" s="5" t="s">
        <v>67</v>
      </c>
      <c r="Y4837" s="4">
        <v>307</v>
      </c>
      <c r="Z4837" s="4">
        <v>25</v>
      </c>
      <c r="AA4837" s="4">
        <v>30</v>
      </c>
      <c r="AB4837" s="4">
        <v>2</v>
      </c>
      <c r="AC4837" s="4">
        <v>7</v>
      </c>
      <c r="AD4837" s="4">
        <v>103</v>
      </c>
      <c r="AE4837" s="4">
        <v>106</v>
      </c>
      <c r="AF4837" s="4">
        <v>1</v>
      </c>
      <c r="AG4837" s="4">
        <v>4</v>
      </c>
      <c r="AH4837" s="4">
        <v>90</v>
      </c>
      <c r="AI4837" s="4">
        <v>91</v>
      </c>
      <c r="AJ4837" s="4">
        <v>15</v>
      </c>
      <c r="AK4837" s="4">
        <v>18</v>
      </c>
      <c r="AL4837" s="4">
        <v>53</v>
      </c>
      <c r="AM4837" s="4">
        <v>53</v>
      </c>
      <c r="AN4837" s="4">
        <v>0</v>
      </c>
      <c r="AO4837" s="4">
        <v>0</v>
      </c>
      <c r="AP4837" s="4">
        <v>20</v>
      </c>
      <c r="AQ4837" s="4">
        <v>22</v>
      </c>
      <c r="AR4837" s="3" t="s">
        <v>62</v>
      </c>
      <c r="AS4837" s="3" t="s">
        <v>62</v>
      </c>
      <c r="AT4837" s="3" t="s">
        <v>62</v>
      </c>
      <c r="AV4837" s="6" t="str">
        <f>HYPERLINK("http://mcgill.on.worldcat.org/oclc/23941952","Catalog Record")</f>
        <v>Catalog Record</v>
      </c>
      <c r="AW4837" s="6" t="str">
        <f>HYPERLINK("http://www.worldcat.org/oclc/23941952","WorldCat Record")</f>
        <v>WorldCat Record</v>
      </c>
      <c r="AX4837" s="3" t="s">
        <v>46321</v>
      </c>
      <c r="AY4837" s="3" t="s">
        <v>46322</v>
      </c>
      <c r="AZ4837" s="3" t="s">
        <v>46323</v>
      </c>
      <c r="BA4837" s="3" t="s">
        <v>46323</v>
      </c>
      <c r="BB4837" s="3" t="s">
        <v>46324</v>
      </c>
      <c r="BC4837" s="3" t="s">
        <v>142</v>
      </c>
      <c r="BD4837" s="3" t="s">
        <v>68</v>
      </c>
      <c r="BE4837" s="3" t="s">
        <v>46325</v>
      </c>
      <c r="BF4837" s="3" t="s">
        <v>46324</v>
      </c>
      <c r="BG4837" s="3" t="s">
        <v>46326</v>
      </c>
    </row>
    <row r="4838" spans="1:59" ht="57" x14ac:dyDescent="0.45">
      <c r="A4838" s="2" t="s">
        <v>59</v>
      </c>
      <c r="B4838" s="2" t="s">
        <v>60</v>
      </c>
      <c r="C4838" s="2" t="s">
        <v>46327</v>
      </c>
      <c r="D4838" s="2" t="s">
        <v>46328</v>
      </c>
      <c r="E4838" s="2" t="s">
        <v>46329</v>
      </c>
      <c r="G4838" s="3" t="s">
        <v>62</v>
      </c>
      <c r="I4838" s="3" t="s">
        <v>62</v>
      </c>
      <c r="J4838" s="3" t="s">
        <v>62</v>
      </c>
      <c r="K4838" s="3" t="s">
        <v>63</v>
      </c>
      <c r="L4838" s="2" t="s">
        <v>46330</v>
      </c>
      <c r="M4838" s="2" t="s">
        <v>21778</v>
      </c>
      <c r="N4838" s="3" t="s">
        <v>149</v>
      </c>
      <c r="P4838" s="3" t="s">
        <v>65</v>
      </c>
      <c r="Q4838" s="2" t="s">
        <v>46331</v>
      </c>
      <c r="R4838" s="3" t="s">
        <v>66</v>
      </c>
      <c r="S4838" s="4">
        <v>6</v>
      </c>
      <c r="T4838" s="4">
        <v>6</v>
      </c>
      <c r="U4838" s="5" t="s">
        <v>46332</v>
      </c>
      <c r="V4838" s="5" t="s">
        <v>46332</v>
      </c>
      <c r="W4838" s="5" t="s">
        <v>67</v>
      </c>
      <c r="X4838" s="5" t="s">
        <v>67</v>
      </c>
      <c r="Y4838" s="4">
        <v>163</v>
      </c>
      <c r="Z4838" s="4">
        <v>20</v>
      </c>
      <c r="AA4838" s="4">
        <v>100</v>
      </c>
      <c r="AB4838" s="4">
        <v>2</v>
      </c>
      <c r="AC4838" s="4">
        <v>19</v>
      </c>
      <c r="AD4838" s="4">
        <v>80</v>
      </c>
      <c r="AE4838" s="4">
        <v>136</v>
      </c>
      <c r="AF4838" s="4">
        <v>0</v>
      </c>
      <c r="AG4838" s="4">
        <v>8</v>
      </c>
      <c r="AH4838" s="4">
        <v>73</v>
      </c>
      <c r="AI4838" s="4">
        <v>98</v>
      </c>
      <c r="AJ4838" s="4">
        <v>15</v>
      </c>
      <c r="AK4838" s="4">
        <v>26</v>
      </c>
      <c r="AL4838" s="4">
        <v>44</v>
      </c>
      <c r="AM4838" s="4">
        <v>51</v>
      </c>
      <c r="AN4838" s="4">
        <v>0</v>
      </c>
      <c r="AO4838" s="4">
        <v>0</v>
      </c>
      <c r="AP4838" s="4">
        <v>16</v>
      </c>
      <c r="AQ4838" s="4">
        <v>48</v>
      </c>
      <c r="AR4838" s="3" t="s">
        <v>62</v>
      </c>
      <c r="AS4838" s="3" t="s">
        <v>62</v>
      </c>
      <c r="AT4838" s="3" t="s">
        <v>62</v>
      </c>
      <c r="AV4838" s="6" t="str">
        <f>HYPERLINK("http://mcgill.on.worldcat.org/oclc/318645825","Catalog Record")</f>
        <v>Catalog Record</v>
      </c>
      <c r="AW4838" s="6" t="str">
        <f>HYPERLINK("http://www.worldcat.org/oclc/318645825","WorldCat Record")</f>
        <v>WorldCat Record</v>
      </c>
      <c r="AX4838" s="3" t="s">
        <v>46333</v>
      </c>
      <c r="AY4838" s="3" t="s">
        <v>46334</v>
      </c>
      <c r="AZ4838" s="3" t="s">
        <v>46335</v>
      </c>
      <c r="BA4838" s="3" t="s">
        <v>46335</v>
      </c>
      <c r="BB4838" s="3" t="s">
        <v>46336</v>
      </c>
      <c r="BC4838" s="3" t="s">
        <v>142</v>
      </c>
      <c r="BD4838" s="3" t="s">
        <v>68</v>
      </c>
      <c r="BE4838" s="3" t="s">
        <v>46337</v>
      </c>
      <c r="BF4838" s="3" t="s">
        <v>46336</v>
      </c>
      <c r="BG4838" s="3" t="s">
        <v>46338</v>
      </c>
    </row>
    <row r="4839" spans="1:59" ht="57" x14ac:dyDescent="0.45">
      <c r="A4839" s="2" t="s">
        <v>59</v>
      </c>
      <c r="B4839" s="2" t="s">
        <v>60</v>
      </c>
      <c r="C4839" s="2" t="s">
        <v>46339</v>
      </c>
      <c r="D4839" s="2" t="s">
        <v>46340</v>
      </c>
      <c r="E4839" s="2" t="s">
        <v>46341</v>
      </c>
      <c r="G4839" s="3" t="s">
        <v>62</v>
      </c>
      <c r="I4839" s="3" t="s">
        <v>62</v>
      </c>
      <c r="J4839" s="3" t="s">
        <v>62</v>
      </c>
      <c r="K4839" s="3" t="s">
        <v>63</v>
      </c>
      <c r="L4839" s="2" t="s">
        <v>651</v>
      </c>
      <c r="M4839" s="2" t="s">
        <v>46342</v>
      </c>
      <c r="N4839" s="3" t="s">
        <v>1437</v>
      </c>
      <c r="P4839" s="3" t="s">
        <v>65</v>
      </c>
      <c r="Q4839" s="2" t="s">
        <v>46343</v>
      </c>
      <c r="R4839" s="3" t="s">
        <v>66</v>
      </c>
      <c r="S4839" s="4">
        <v>4</v>
      </c>
      <c r="T4839" s="4">
        <v>4</v>
      </c>
      <c r="U4839" s="5" t="s">
        <v>31527</v>
      </c>
      <c r="V4839" s="5" t="s">
        <v>31527</v>
      </c>
      <c r="W4839" s="5" t="s">
        <v>67</v>
      </c>
      <c r="X4839" s="5" t="s">
        <v>67</v>
      </c>
      <c r="Y4839" s="4">
        <v>24</v>
      </c>
      <c r="Z4839" s="4">
        <v>2</v>
      </c>
      <c r="AA4839" s="4">
        <v>2</v>
      </c>
      <c r="AB4839" s="4">
        <v>1</v>
      </c>
      <c r="AC4839" s="4">
        <v>1</v>
      </c>
      <c r="AD4839" s="4">
        <v>11</v>
      </c>
      <c r="AE4839" s="4">
        <v>11</v>
      </c>
      <c r="AF4839" s="4">
        <v>0</v>
      </c>
      <c r="AG4839" s="4">
        <v>0</v>
      </c>
      <c r="AH4839" s="4">
        <v>10</v>
      </c>
      <c r="AI4839" s="4">
        <v>10</v>
      </c>
      <c r="AJ4839" s="4">
        <v>1</v>
      </c>
      <c r="AK4839" s="4">
        <v>1</v>
      </c>
      <c r="AL4839" s="4">
        <v>8</v>
      </c>
      <c r="AM4839" s="4">
        <v>8</v>
      </c>
      <c r="AN4839" s="4">
        <v>0</v>
      </c>
      <c r="AO4839" s="4">
        <v>0</v>
      </c>
      <c r="AP4839" s="4">
        <v>1</v>
      </c>
      <c r="AQ4839" s="4">
        <v>1</v>
      </c>
      <c r="AR4839" s="3" t="s">
        <v>62</v>
      </c>
      <c r="AS4839" s="3" t="s">
        <v>62</v>
      </c>
      <c r="AT4839" s="3" t="s">
        <v>62</v>
      </c>
      <c r="AV4839" s="6" t="str">
        <f>HYPERLINK("http://mcgill.on.worldcat.org/oclc/42833654","Catalog Record")</f>
        <v>Catalog Record</v>
      </c>
      <c r="AW4839" s="6" t="str">
        <f>HYPERLINK("http://www.worldcat.org/oclc/42833654","WorldCat Record")</f>
        <v>WorldCat Record</v>
      </c>
      <c r="AX4839" s="3" t="s">
        <v>46344</v>
      </c>
      <c r="AY4839" s="3" t="s">
        <v>46345</v>
      </c>
      <c r="AZ4839" s="3" t="s">
        <v>46346</v>
      </c>
      <c r="BA4839" s="3" t="s">
        <v>46346</v>
      </c>
      <c r="BB4839" s="3" t="s">
        <v>46347</v>
      </c>
      <c r="BC4839" s="3" t="s">
        <v>142</v>
      </c>
      <c r="BD4839" s="3" t="s">
        <v>68</v>
      </c>
      <c r="BF4839" s="3" t="s">
        <v>46347</v>
      </c>
      <c r="BG4839" s="3" t="s">
        <v>46348</v>
      </c>
    </row>
    <row r="4840" spans="1:59" ht="57" x14ac:dyDescent="0.45">
      <c r="A4840" s="2" t="s">
        <v>59</v>
      </c>
      <c r="B4840" s="2" t="s">
        <v>60</v>
      </c>
      <c r="C4840" s="2" t="s">
        <v>46349</v>
      </c>
      <c r="D4840" s="2" t="s">
        <v>46350</v>
      </c>
      <c r="E4840" s="2" t="s">
        <v>46351</v>
      </c>
      <c r="G4840" s="3" t="s">
        <v>62</v>
      </c>
      <c r="I4840" s="3" t="s">
        <v>61</v>
      </c>
      <c r="J4840" s="3" t="s">
        <v>62</v>
      </c>
      <c r="K4840" s="3" t="s">
        <v>63</v>
      </c>
      <c r="L4840" s="2" t="s">
        <v>651</v>
      </c>
      <c r="M4840" s="2" t="s">
        <v>46352</v>
      </c>
      <c r="N4840" s="3" t="s">
        <v>958</v>
      </c>
      <c r="P4840" s="3" t="s">
        <v>65</v>
      </c>
      <c r="Q4840" s="2" t="s">
        <v>46353</v>
      </c>
      <c r="R4840" s="3" t="s">
        <v>66</v>
      </c>
      <c r="S4840" s="4">
        <v>71</v>
      </c>
      <c r="T4840" s="4">
        <v>113</v>
      </c>
      <c r="U4840" s="5" t="s">
        <v>39886</v>
      </c>
      <c r="V4840" s="5" t="s">
        <v>39886</v>
      </c>
      <c r="W4840" s="5" t="s">
        <v>67</v>
      </c>
      <c r="X4840" s="5" t="s">
        <v>67</v>
      </c>
      <c r="Y4840" s="4">
        <v>542</v>
      </c>
      <c r="Z4840" s="4">
        <v>32</v>
      </c>
      <c r="AA4840" s="4">
        <v>55</v>
      </c>
      <c r="AB4840" s="4">
        <v>2</v>
      </c>
      <c r="AC4840" s="4">
        <v>7</v>
      </c>
      <c r="AD4840" s="4">
        <v>121</v>
      </c>
      <c r="AE4840" s="4">
        <v>135</v>
      </c>
      <c r="AF4840" s="4">
        <v>1</v>
      </c>
      <c r="AG4840" s="4">
        <v>5</v>
      </c>
      <c r="AH4840" s="4">
        <v>103</v>
      </c>
      <c r="AI4840" s="4">
        <v>110</v>
      </c>
      <c r="AJ4840" s="4">
        <v>17</v>
      </c>
      <c r="AK4840" s="4">
        <v>24</v>
      </c>
      <c r="AL4840" s="4">
        <v>55</v>
      </c>
      <c r="AM4840" s="4">
        <v>57</v>
      </c>
      <c r="AN4840" s="4">
        <v>0</v>
      </c>
      <c r="AO4840" s="4">
        <v>0</v>
      </c>
      <c r="AP4840" s="4">
        <v>26</v>
      </c>
      <c r="AQ4840" s="4">
        <v>35</v>
      </c>
      <c r="AR4840" s="3" t="s">
        <v>62</v>
      </c>
      <c r="AS4840" s="3" t="s">
        <v>62</v>
      </c>
      <c r="AT4840" s="3" t="s">
        <v>62</v>
      </c>
      <c r="AV4840" s="6" t="str">
        <f>HYPERLINK("http://mcgill.on.worldcat.org/oclc/32627360","Catalog Record")</f>
        <v>Catalog Record</v>
      </c>
      <c r="AW4840" s="6" t="str">
        <f>HYPERLINK("http://www.worldcat.org/oclc/32627360","WorldCat Record")</f>
        <v>WorldCat Record</v>
      </c>
      <c r="AX4840" s="3" t="s">
        <v>46354</v>
      </c>
      <c r="AY4840" s="3" t="s">
        <v>46355</v>
      </c>
      <c r="AZ4840" s="3" t="s">
        <v>46356</v>
      </c>
      <c r="BA4840" s="3" t="s">
        <v>46356</v>
      </c>
      <c r="BB4840" s="3" t="s">
        <v>46357</v>
      </c>
      <c r="BC4840" s="3" t="s">
        <v>142</v>
      </c>
      <c r="BD4840" s="3" t="s">
        <v>68</v>
      </c>
      <c r="BE4840" s="3" t="s">
        <v>46358</v>
      </c>
      <c r="BF4840" s="3" t="s">
        <v>46357</v>
      </c>
      <c r="BG4840" s="3" t="s">
        <v>46359</v>
      </c>
    </row>
    <row r="4841" spans="1:59" ht="57" x14ac:dyDescent="0.45">
      <c r="A4841" s="2" t="s">
        <v>59</v>
      </c>
      <c r="B4841" s="2" t="s">
        <v>60</v>
      </c>
      <c r="C4841" s="2" t="s">
        <v>46349</v>
      </c>
      <c r="D4841" s="2" t="s">
        <v>46350</v>
      </c>
      <c r="E4841" s="2" t="s">
        <v>46351</v>
      </c>
      <c r="G4841" s="3" t="s">
        <v>62</v>
      </c>
      <c r="I4841" s="3" t="s">
        <v>61</v>
      </c>
      <c r="J4841" s="3" t="s">
        <v>62</v>
      </c>
      <c r="K4841" s="3" t="s">
        <v>63</v>
      </c>
      <c r="L4841" s="2" t="s">
        <v>651</v>
      </c>
      <c r="M4841" s="2" t="s">
        <v>46352</v>
      </c>
      <c r="N4841" s="3" t="s">
        <v>958</v>
      </c>
      <c r="P4841" s="3" t="s">
        <v>65</v>
      </c>
      <c r="Q4841" s="2" t="s">
        <v>46353</v>
      </c>
      <c r="R4841" s="3" t="s">
        <v>66</v>
      </c>
      <c r="S4841" s="4">
        <v>42</v>
      </c>
      <c r="T4841" s="4">
        <v>113</v>
      </c>
      <c r="U4841" s="5" t="s">
        <v>9900</v>
      </c>
      <c r="V4841" s="5" t="s">
        <v>39886</v>
      </c>
      <c r="W4841" s="5" t="s">
        <v>67</v>
      </c>
      <c r="X4841" s="5" t="s">
        <v>67</v>
      </c>
      <c r="Y4841" s="4">
        <v>542</v>
      </c>
      <c r="Z4841" s="4">
        <v>32</v>
      </c>
      <c r="AA4841" s="4">
        <v>55</v>
      </c>
      <c r="AB4841" s="4">
        <v>2</v>
      </c>
      <c r="AC4841" s="4">
        <v>7</v>
      </c>
      <c r="AD4841" s="4">
        <v>121</v>
      </c>
      <c r="AE4841" s="4">
        <v>135</v>
      </c>
      <c r="AF4841" s="4">
        <v>1</v>
      </c>
      <c r="AG4841" s="4">
        <v>5</v>
      </c>
      <c r="AH4841" s="4">
        <v>103</v>
      </c>
      <c r="AI4841" s="4">
        <v>110</v>
      </c>
      <c r="AJ4841" s="4">
        <v>17</v>
      </c>
      <c r="AK4841" s="4">
        <v>24</v>
      </c>
      <c r="AL4841" s="4">
        <v>55</v>
      </c>
      <c r="AM4841" s="4">
        <v>57</v>
      </c>
      <c r="AN4841" s="4">
        <v>0</v>
      </c>
      <c r="AO4841" s="4">
        <v>0</v>
      </c>
      <c r="AP4841" s="4">
        <v>26</v>
      </c>
      <c r="AQ4841" s="4">
        <v>35</v>
      </c>
      <c r="AR4841" s="3" t="s">
        <v>62</v>
      </c>
      <c r="AS4841" s="3" t="s">
        <v>62</v>
      </c>
      <c r="AT4841" s="3" t="s">
        <v>62</v>
      </c>
      <c r="AV4841" s="6" t="str">
        <f>HYPERLINK("http://mcgill.on.worldcat.org/oclc/32627360","Catalog Record")</f>
        <v>Catalog Record</v>
      </c>
      <c r="AW4841" s="6" t="str">
        <f>HYPERLINK("http://www.worldcat.org/oclc/32627360","WorldCat Record")</f>
        <v>WorldCat Record</v>
      </c>
      <c r="AX4841" s="3" t="s">
        <v>46354</v>
      </c>
      <c r="AY4841" s="3" t="s">
        <v>46355</v>
      </c>
      <c r="AZ4841" s="3" t="s">
        <v>46356</v>
      </c>
      <c r="BA4841" s="3" t="s">
        <v>46356</v>
      </c>
      <c r="BB4841" s="3" t="s">
        <v>46360</v>
      </c>
      <c r="BC4841" s="3" t="s">
        <v>142</v>
      </c>
      <c r="BD4841" s="3" t="s">
        <v>68</v>
      </c>
      <c r="BE4841" s="3" t="s">
        <v>46358</v>
      </c>
      <c r="BF4841" s="3" t="s">
        <v>46360</v>
      </c>
      <c r="BG4841" s="3" t="s">
        <v>46361</v>
      </c>
    </row>
    <row r="4842" spans="1:59" ht="57" x14ac:dyDescent="0.45">
      <c r="A4842" s="2" t="s">
        <v>59</v>
      </c>
      <c r="B4842" s="2" t="s">
        <v>60</v>
      </c>
      <c r="C4842" s="2" t="s">
        <v>46362</v>
      </c>
      <c r="D4842" s="2" t="s">
        <v>46363</v>
      </c>
      <c r="E4842" s="2" t="s">
        <v>46364</v>
      </c>
      <c r="G4842" s="3" t="s">
        <v>62</v>
      </c>
      <c r="I4842" s="3" t="s">
        <v>62</v>
      </c>
      <c r="J4842" s="3" t="s">
        <v>62</v>
      </c>
      <c r="K4842" s="3" t="s">
        <v>63</v>
      </c>
      <c r="M4842" s="2" t="s">
        <v>4257</v>
      </c>
      <c r="N4842" s="3" t="s">
        <v>970</v>
      </c>
      <c r="P4842" s="3" t="s">
        <v>65</v>
      </c>
      <c r="Q4842" s="2" t="s">
        <v>46365</v>
      </c>
      <c r="R4842" s="3" t="s">
        <v>66</v>
      </c>
      <c r="S4842" s="4">
        <v>12</v>
      </c>
      <c r="T4842" s="4">
        <v>12</v>
      </c>
      <c r="U4842" s="5" t="s">
        <v>1894</v>
      </c>
      <c r="V4842" s="5" t="s">
        <v>1894</v>
      </c>
      <c r="W4842" s="5" t="s">
        <v>67</v>
      </c>
      <c r="X4842" s="5" t="s">
        <v>67</v>
      </c>
      <c r="Y4842" s="4">
        <v>175</v>
      </c>
      <c r="Z4842" s="4">
        <v>14</v>
      </c>
      <c r="AA4842" s="4">
        <v>23</v>
      </c>
      <c r="AB4842" s="4">
        <v>1</v>
      </c>
      <c r="AC4842" s="4">
        <v>8</v>
      </c>
      <c r="AD4842" s="4">
        <v>80</v>
      </c>
      <c r="AE4842" s="4">
        <v>89</v>
      </c>
      <c r="AF4842" s="4">
        <v>0</v>
      </c>
      <c r="AG4842" s="4">
        <v>5</v>
      </c>
      <c r="AH4842" s="4">
        <v>75</v>
      </c>
      <c r="AI4842" s="4">
        <v>77</v>
      </c>
      <c r="AJ4842" s="4">
        <v>10</v>
      </c>
      <c r="AK4842" s="4">
        <v>15</v>
      </c>
      <c r="AL4842" s="4">
        <v>45</v>
      </c>
      <c r="AM4842" s="4">
        <v>46</v>
      </c>
      <c r="AN4842" s="4">
        <v>0</v>
      </c>
      <c r="AO4842" s="4">
        <v>0</v>
      </c>
      <c r="AP4842" s="4">
        <v>12</v>
      </c>
      <c r="AQ4842" s="4">
        <v>18</v>
      </c>
      <c r="AR4842" s="3" t="s">
        <v>62</v>
      </c>
      <c r="AS4842" s="3" t="s">
        <v>62</v>
      </c>
      <c r="AT4842" s="3" t="s">
        <v>62</v>
      </c>
      <c r="AV4842" s="6" t="str">
        <f>HYPERLINK("http://mcgill.on.worldcat.org/oclc/49495011","Catalog Record")</f>
        <v>Catalog Record</v>
      </c>
      <c r="AW4842" s="6" t="str">
        <f>HYPERLINK("http://www.worldcat.org/oclc/49495011","WorldCat Record")</f>
        <v>WorldCat Record</v>
      </c>
      <c r="AX4842" s="3" t="s">
        <v>46366</v>
      </c>
      <c r="AY4842" s="3" t="s">
        <v>46367</v>
      </c>
      <c r="AZ4842" s="3" t="s">
        <v>46368</v>
      </c>
      <c r="BA4842" s="3" t="s">
        <v>46368</v>
      </c>
      <c r="BB4842" s="3" t="s">
        <v>46369</v>
      </c>
      <c r="BC4842" s="3" t="s">
        <v>142</v>
      </c>
      <c r="BD4842" s="3" t="s">
        <v>68</v>
      </c>
      <c r="BE4842" s="3" t="s">
        <v>46370</v>
      </c>
      <c r="BF4842" s="3" t="s">
        <v>46369</v>
      </c>
      <c r="BG4842" s="3" t="s">
        <v>46371</v>
      </c>
    </row>
    <row r="4843" spans="1:59" ht="57" x14ac:dyDescent="0.45">
      <c r="A4843" s="2" t="s">
        <v>59</v>
      </c>
      <c r="B4843" s="2" t="s">
        <v>60</v>
      </c>
      <c r="C4843" s="2" t="s">
        <v>46372</v>
      </c>
      <c r="D4843" s="2" t="s">
        <v>46373</v>
      </c>
      <c r="E4843" s="2" t="s">
        <v>46374</v>
      </c>
      <c r="G4843" s="3" t="s">
        <v>62</v>
      </c>
      <c r="I4843" s="3" t="s">
        <v>62</v>
      </c>
      <c r="J4843" s="3" t="s">
        <v>62</v>
      </c>
      <c r="K4843" s="3" t="s">
        <v>63</v>
      </c>
      <c r="L4843" s="2" t="s">
        <v>46375</v>
      </c>
      <c r="M4843" s="2" t="s">
        <v>3925</v>
      </c>
      <c r="N4843" s="3" t="s">
        <v>149</v>
      </c>
      <c r="P4843" s="3" t="s">
        <v>65</v>
      </c>
      <c r="Q4843" s="2" t="s">
        <v>46376</v>
      </c>
      <c r="R4843" s="3" t="s">
        <v>66</v>
      </c>
      <c r="S4843" s="4">
        <v>0</v>
      </c>
      <c r="T4843" s="4">
        <v>0</v>
      </c>
      <c r="W4843" s="5" t="s">
        <v>67</v>
      </c>
      <c r="X4843" s="5" t="s">
        <v>67</v>
      </c>
      <c r="Y4843" s="4">
        <v>78</v>
      </c>
      <c r="Z4843" s="4">
        <v>12</v>
      </c>
      <c r="AA4843" s="4">
        <v>98</v>
      </c>
      <c r="AB4843" s="4">
        <v>1</v>
      </c>
      <c r="AC4843" s="4">
        <v>17</v>
      </c>
      <c r="AD4843" s="4">
        <v>38</v>
      </c>
      <c r="AE4843" s="4">
        <v>111</v>
      </c>
      <c r="AF4843" s="4">
        <v>0</v>
      </c>
      <c r="AG4843" s="4">
        <v>8</v>
      </c>
      <c r="AH4843" s="4">
        <v>32</v>
      </c>
      <c r="AI4843" s="4">
        <v>74</v>
      </c>
      <c r="AJ4843" s="4">
        <v>8</v>
      </c>
      <c r="AK4843" s="4">
        <v>23</v>
      </c>
      <c r="AL4843" s="4">
        <v>22</v>
      </c>
      <c r="AM4843" s="4">
        <v>38</v>
      </c>
      <c r="AN4843" s="4">
        <v>0</v>
      </c>
      <c r="AO4843" s="4">
        <v>0</v>
      </c>
      <c r="AP4843" s="4">
        <v>10</v>
      </c>
      <c r="AQ4843" s="4">
        <v>45</v>
      </c>
      <c r="AR4843" s="3" t="s">
        <v>62</v>
      </c>
      <c r="AS4843" s="3" t="s">
        <v>62</v>
      </c>
      <c r="AT4843" s="3" t="s">
        <v>62</v>
      </c>
      <c r="AV4843" s="6" t="str">
        <f>HYPERLINK("http://mcgill.on.worldcat.org/oclc/482630802","Catalog Record")</f>
        <v>Catalog Record</v>
      </c>
      <c r="AW4843" s="6" t="str">
        <f>HYPERLINK("http://www.worldcat.org/oclc/482630802","WorldCat Record")</f>
        <v>WorldCat Record</v>
      </c>
      <c r="AX4843" s="3" t="s">
        <v>46377</v>
      </c>
      <c r="AY4843" s="3" t="s">
        <v>46378</v>
      </c>
      <c r="AZ4843" s="3" t="s">
        <v>46379</v>
      </c>
      <c r="BA4843" s="3" t="s">
        <v>46379</v>
      </c>
      <c r="BB4843" s="3" t="s">
        <v>46380</v>
      </c>
      <c r="BC4843" s="3" t="s">
        <v>142</v>
      </c>
      <c r="BD4843" s="3" t="s">
        <v>68</v>
      </c>
      <c r="BE4843" s="3" t="s">
        <v>46381</v>
      </c>
      <c r="BF4843" s="3" t="s">
        <v>46380</v>
      </c>
      <c r="BG4843" s="3" t="s">
        <v>46382</v>
      </c>
    </row>
    <row r="4844" spans="1:59" ht="57" x14ac:dyDescent="0.45">
      <c r="A4844" s="2" t="s">
        <v>59</v>
      </c>
      <c r="B4844" s="2" t="s">
        <v>60</v>
      </c>
      <c r="C4844" s="2" t="s">
        <v>46383</v>
      </c>
      <c r="D4844" s="2" t="s">
        <v>46384</v>
      </c>
      <c r="E4844" s="2" t="s">
        <v>46385</v>
      </c>
      <c r="G4844" s="3" t="s">
        <v>62</v>
      </c>
      <c r="I4844" s="3" t="s">
        <v>62</v>
      </c>
      <c r="J4844" s="3" t="s">
        <v>62</v>
      </c>
      <c r="K4844" s="3" t="s">
        <v>63</v>
      </c>
      <c r="L4844" s="2" t="s">
        <v>46240</v>
      </c>
      <c r="M4844" s="2" t="s">
        <v>11266</v>
      </c>
      <c r="N4844" s="3" t="s">
        <v>918</v>
      </c>
      <c r="P4844" s="3" t="s">
        <v>65</v>
      </c>
      <c r="Q4844" s="2" t="s">
        <v>46386</v>
      </c>
      <c r="R4844" s="3" t="s">
        <v>66</v>
      </c>
      <c r="S4844" s="4">
        <v>9</v>
      </c>
      <c r="T4844" s="4">
        <v>9</v>
      </c>
      <c r="U4844" s="5" t="s">
        <v>32045</v>
      </c>
      <c r="V4844" s="5" t="s">
        <v>32045</v>
      </c>
      <c r="W4844" s="5" t="s">
        <v>67</v>
      </c>
      <c r="X4844" s="5" t="s">
        <v>67</v>
      </c>
      <c r="Y4844" s="4">
        <v>165</v>
      </c>
      <c r="Z4844" s="4">
        <v>14</v>
      </c>
      <c r="AA4844" s="4">
        <v>93</v>
      </c>
      <c r="AB4844" s="4">
        <v>1</v>
      </c>
      <c r="AC4844" s="4">
        <v>19</v>
      </c>
      <c r="AD4844" s="4">
        <v>75</v>
      </c>
      <c r="AE4844" s="4">
        <v>131</v>
      </c>
      <c r="AF4844" s="4">
        <v>0</v>
      </c>
      <c r="AG4844" s="4">
        <v>9</v>
      </c>
      <c r="AH4844" s="4">
        <v>69</v>
      </c>
      <c r="AI4844" s="4">
        <v>86</v>
      </c>
      <c r="AJ4844" s="4">
        <v>12</v>
      </c>
      <c r="AK4844" s="4">
        <v>25</v>
      </c>
      <c r="AL4844" s="4">
        <v>43</v>
      </c>
      <c r="AM4844" s="4">
        <v>48</v>
      </c>
      <c r="AN4844" s="4">
        <v>0</v>
      </c>
      <c r="AO4844" s="4">
        <v>0</v>
      </c>
      <c r="AP4844" s="4">
        <v>12</v>
      </c>
      <c r="AQ4844" s="4">
        <v>52</v>
      </c>
      <c r="AR4844" s="3" t="s">
        <v>62</v>
      </c>
      <c r="AS4844" s="3" t="s">
        <v>62</v>
      </c>
      <c r="AT4844" s="3" t="s">
        <v>62</v>
      </c>
      <c r="AV4844" s="6" t="str">
        <f>HYPERLINK("http://mcgill.on.worldcat.org/oclc/50410446","Catalog Record")</f>
        <v>Catalog Record</v>
      </c>
      <c r="AW4844" s="6" t="str">
        <f>HYPERLINK("http://www.worldcat.org/oclc/50410446","WorldCat Record")</f>
        <v>WorldCat Record</v>
      </c>
      <c r="AX4844" s="3" t="s">
        <v>46387</v>
      </c>
      <c r="AY4844" s="3" t="s">
        <v>46388</v>
      </c>
      <c r="AZ4844" s="3" t="s">
        <v>46389</v>
      </c>
      <c r="BA4844" s="3" t="s">
        <v>46389</v>
      </c>
      <c r="BB4844" s="3" t="s">
        <v>46390</v>
      </c>
      <c r="BC4844" s="3" t="s">
        <v>142</v>
      </c>
      <c r="BD4844" s="3" t="s">
        <v>68</v>
      </c>
      <c r="BE4844" s="3" t="s">
        <v>46391</v>
      </c>
      <c r="BF4844" s="3" t="s">
        <v>46390</v>
      </c>
      <c r="BG4844" s="3" t="s">
        <v>46392</v>
      </c>
    </row>
    <row r="4845" spans="1:59" ht="57" x14ac:dyDescent="0.45">
      <c r="A4845" s="2" t="s">
        <v>59</v>
      </c>
      <c r="B4845" s="2" t="s">
        <v>60</v>
      </c>
      <c r="C4845" s="2" t="s">
        <v>46393</v>
      </c>
      <c r="D4845" s="2" t="s">
        <v>46394</v>
      </c>
      <c r="E4845" s="2" t="s">
        <v>46395</v>
      </c>
      <c r="G4845" s="3" t="s">
        <v>62</v>
      </c>
      <c r="I4845" s="3" t="s">
        <v>62</v>
      </c>
      <c r="J4845" s="3" t="s">
        <v>62</v>
      </c>
      <c r="K4845" s="3" t="s">
        <v>63</v>
      </c>
      <c r="M4845" s="2" t="s">
        <v>30953</v>
      </c>
      <c r="N4845" s="3" t="s">
        <v>894</v>
      </c>
      <c r="P4845" s="3" t="s">
        <v>65</v>
      </c>
      <c r="Q4845" s="2" t="s">
        <v>3949</v>
      </c>
      <c r="R4845" s="3" t="s">
        <v>66</v>
      </c>
      <c r="S4845" s="4">
        <v>3</v>
      </c>
      <c r="T4845" s="4">
        <v>3</v>
      </c>
      <c r="U4845" s="5" t="s">
        <v>46396</v>
      </c>
      <c r="V4845" s="5" t="s">
        <v>46396</v>
      </c>
      <c r="W4845" s="5" t="s">
        <v>67</v>
      </c>
      <c r="X4845" s="5" t="s">
        <v>67</v>
      </c>
      <c r="Y4845" s="4">
        <v>169</v>
      </c>
      <c r="Z4845" s="4">
        <v>15</v>
      </c>
      <c r="AA4845" s="4">
        <v>23</v>
      </c>
      <c r="AB4845" s="4">
        <v>1</v>
      </c>
      <c r="AC4845" s="4">
        <v>5</v>
      </c>
      <c r="AD4845" s="4">
        <v>70</v>
      </c>
      <c r="AE4845" s="4">
        <v>81</v>
      </c>
      <c r="AF4845" s="4">
        <v>0</v>
      </c>
      <c r="AG4845" s="4">
        <v>3</v>
      </c>
      <c r="AH4845" s="4">
        <v>64</v>
      </c>
      <c r="AI4845" s="4">
        <v>70</v>
      </c>
      <c r="AJ4845" s="4">
        <v>12</v>
      </c>
      <c r="AK4845" s="4">
        <v>16</v>
      </c>
      <c r="AL4845" s="4">
        <v>37</v>
      </c>
      <c r="AM4845" s="4">
        <v>42</v>
      </c>
      <c r="AN4845" s="4">
        <v>0</v>
      </c>
      <c r="AO4845" s="4">
        <v>0</v>
      </c>
      <c r="AP4845" s="4">
        <v>13</v>
      </c>
      <c r="AQ4845" s="4">
        <v>18</v>
      </c>
      <c r="AR4845" s="3" t="s">
        <v>62</v>
      </c>
      <c r="AS4845" s="3" t="s">
        <v>62</v>
      </c>
      <c r="AT4845" s="3" t="s">
        <v>62</v>
      </c>
      <c r="AV4845" s="6" t="str">
        <f>HYPERLINK("http://mcgill.on.worldcat.org/oclc/663438391","Catalog Record")</f>
        <v>Catalog Record</v>
      </c>
      <c r="AW4845" s="6" t="str">
        <f>HYPERLINK("http://www.worldcat.org/oclc/663438391","WorldCat Record")</f>
        <v>WorldCat Record</v>
      </c>
      <c r="AX4845" s="3" t="s">
        <v>46397</v>
      </c>
      <c r="AY4845" s="3" t="s">
        <v>46398</v>
      </c>
      <c r="AZ4845" s="3" t="s">
        <v>46399</v>
      </c>
      <c r="BA4845" s="3" t="s">
        <v>46399</v>
      </c>
      <c r="BB4845" s="3" t="s">
        <v>46400</v>
      </c>
      <c r="BC4845" s="3" t="s">
        <v>142</v>
      </c>
      <c r="BD4845" s="3" t="s">
        <v>68</v>
      </c>
      <c r="BE4845" s="3" t="s">
        <v>46401</v>
      </c>
      <c r="BF4845" s="3" t="s">
        <v>46400</v>
      </c>
      <c r="BG4845" s="3" t="s">
        <v>46402</v>
      </c>
    </row>
    <row r="4846" spans="1:59" ht="57" x14ac:dyDescent="0.45">
      <c r="A4846" s="2" t="s">
        <v>59</v>
      </c>
      <c r="B4846" s="2" t="s">
        <v>60</v>
      </c>
      <c r="C4846" s="2" t="s">
        <v>46403</v>
      </c>
      <c r="D4846" s="2" t="s">
        <v>46404</v>
      </c>
      <c r="E4846" s="2" t="s">
        <v>46405</v>
      </c>
      <c r="G4846" s="3" t="s">
        <v>62</v>
      </c>
      <c r="I4846" s="3" t="s">
        <v>62</v>
      </c>
      <c r="J4846" s="3" t="s">
        <v>62</v>
      </c>
      <c r="K4846" s="3" t="s">
        <v>63</v>
      </c>
      <c r="L4846" s="2" t="s">
        <v>46406</v>
      </c>
      <c r="M4846" s="2" t="s">
        <v>3925</v>
      </c>
      <c r="N4846" s="3" t="s">
        <v>149</v>
      </c>
      <c r="P4846" s="3" t="s">
        <v>65</v>
      </c>
      <c r="Q4846" s="2" t="s">
        <v>46407</v>
      </c>
      <c r="R4846" s="3" t="s">
        <v>66</v>
      </c>
      <c r="S4846" s="4">
        <v>2</v>
      </c>
      <c r="T4846" s="4">
        <v>2</v>
      </c>
      <c r="U4846" s="5" t="s">
        <v>43968</v>
      </c>
      <c r="V4846" s="5" t="s">
        <v>43968</v>
      </c>
      <c r="W4846" s="5" t="s">
        <v>67</v>
      </c>
      <c r="X4846" s="5" t="s">
        <v>67</v>
      </c>
      <c r="Y4846" s="4">
        <v>62</v>
      </c>
      <c r="Z4846" s="4">
        <v>10</v>
      </c>
      <c r="AA4846" s="4">
        <v>96</v>
      </c>
      <c r="AB4846" s="4">
        <v>1</v>
      </c>
      <c r="AC4846" s="4">
        <v>17</v>
      </c>
      <c r="AD4846" s="4">
        <v>31</v>
      </c>
      <c r="AE4846" s="4">
        <v>107</v>
      </c>
      <c r="AF4846" s="4">
        <v>0</v>
      </c>
      <c r="AG4846" s="4">
        <v>8</v>
      </c>
      <c r="AH4846" s="4">
        <v>26</v>
      </c>
      <c r="AI4846" s="4">
        <v>72</v>
      </c>
      <c r="AJ4846" s="4">
        <v>7</v>
      </c>
      <c r="AK4846" s="4">
        <v>22</v>
      </c>
      <c r="AL4846" s="4">
        <v>20</v>
      </c>
      <c r="AM4846" s="4">
        <v>36</v>
      </c>
      <c r="AN4846" s="4">
        <v>0</v>
      </c>
      <c r="AO4846" s="4">
        <v>0</v>
      </c>
      <c r="AP4846" s="4">
        <v>8</v>
      </c>
      <c r="AQ4846" s="4">
        <v>43</v>
      </c>
      <c r="AR4846" s="3" t="s">
        <v>62</v>
      </c>
      <c r="AS4846" s="3" t="s">
        <v>62</v>
      </c>
      <c r="AT4846" s="3" t="s">
        <v>62</v>
      </c>
      <c r="AV4846" s="6" t="str">
        <f>HYPERLINK("http://mcgill.on.worldcat.org/oclc/502676492","Catalog Record")</f>
        <v>Catalog Record</v>
      </c>
      <c r="AW4846" s="6" t="str">
        <f>HYPERLINK("http://www.worldcat.org/oclc/502676492","WorldCat Record")</f>
        <v>WorldCat Record</v>
      </c>
      <c r="AX4846" s="3" t="s">
        <v>46408</v>
      </c>
      <c r="AY4846" s="3" t="s">
        <v>46409</v>
      </c>
      <c r="AZ4846" s="3" t="s">
        <v>46410</v>
      </c>
      <c r="BA4846" s="3" t="s">
        <v>46410</v>
      </c>
      <c r="BB4846" s="3" t="s">
        <v>46411</v>
      </c>
      <c r="BC4846" s="3" t="s">
        <v>142</v>
      </c>
      <c r="BD4846" s="3" t="s">
        <v>68</v>
      </c>
      <c r="BE4846" s="3" t="s">
        <v>46412</v>
      </c>
      <c r="BF4846" s="3" t="s">
        <v>46411</v>
      </c>
      <c r="BG4846" s="3" t="s">
        <v>46413</v>
      </c>
    </row>
    <row r="4847" spans="1:59" ht="57" x14ac:dyDescent="0.45">
      <c r="A4847" s="2" t="s">
        <v>59</v>
      </c>
      <c r="B4847" s="2" t="s">
        <v>60</v>
      </c>
      <c r="C4847" s="2" t="s">
        <v>46414</v>
      </c>
      <c r="D4847" s="2" t="s">
        <v>46415</v>
      </c>
      <c r="E4847" s="2" t="s">
        <v>46416</v>
      </c>
      <c r="G4847" s="3" t="s">
        <v>62</v>
      </c>
      <c r="I4847" s="3" t="s">
        <v>62</v>
      </c>
      <c r="J4847" s="3" t="s">
        <v>62</v>
      </c>
      <c r="K4847" s="3" t="s">
        <v>63</v>
      </c>
      <c r="M4847" s="2" t="s">
        <v>44820</v>
      </c>
      <c r="N4847" s="3" t="s">
        <v>1212</v>
      </c>
      <c r="P4847" s="3" t="s">
        <v>65</v>
      </c>
      <c r="R4847" s="3" t="s">
        <v>66</v>
      </c>
      <c r="S4847" s="4">
        <v>20</v>
      </c>
      <c r="T4847" s="4">
        <v>20</v>
      </c>
      <c r="U4847" s="5" t="s">
        <v>30759</v>
      </c>
      <c r="V4847" s="5" t="s">
        <v>30759</v>
      </c>
      <c r="W4847" s="5" t="s">
        <v>67</v>
      </c>
      <c r="X4847" s="5" t="s">
        <v>67</v>
      </c>
      <c r="Y4847" s="4">
        <v>231</v>
      </c>
      <c r="Z4847" s="4">
        <v>17</v>
      </c>
      <c r="AA4847" s="4">
        <v>89</v>
      </c>
      <c r="AB4847" s="4">
        <v>2</v>
      </c>
      <c r="AC4847" s="4">
        <v>17</v>
      </c>
      <c r="AD4847" s="4">
        <v>94</v>
      </c>
      <c r="AE4847" s="4">
        <v>141</v>
      </c>
      <c r="AF4847" s="4">
        <v>1</v>
      </c>
      <c r="AG4847" s="4">
        <v>8</v>
      </c>
      <c r="AH4847" s="4">
        <v>86</v>
      </c>
      <c r="AI4847" s="4">
        <v>106</v>
      </c>
      <c r="AJ4847" s="4">
        <v>15</v>
      </c>
      <c r="AK4847" s="4">
        <v>23</v>
      </c>
      <c r="AL4847" s="4">
        <v>49</v>
      </c>
      <c r="AM4847" s="4">
        <v>56</v>
      </c>
      <c r="AN4847" s="4">
        <v>0</v>
      </c>
      <c r="AO4847" s="4">
        <v>0</v>
      </c>
      <c r="AP4847" s="4">
        <v>15</v>
      </c>
      <c r="AQ4847" s="4">
        <v>44</v>
      </c>
      <c r="AR4847" s="3" t="s">
        <v>62</v>
      </c>
      <c r="AS4847" s="3" t="s">
        <v>62</v>
      </c>
      <c r="AT4847" s="3" t="s">
        <v>62</v>
      </c>
      <c r="AV4847" s="6" t="str">
        <f>HYPERLINK("http://mcgill.on.worldcat.org/oclc/42780781","Catalog Record")</f>
        <v>Catalog Record</v>
      </c>
      <c r="AW4847" s="6" t="str">
        <f>HYPERLINK("http://www.worldcat.org/oclc/42780781","WorldCat Record")</f>
        <v>WorldCat Record</v>
      </c>
      <c r="AX4847" s="3" t="s">
        <v>46417</v>
      </c>
      <c r="AY4847" s="3" t="s">
        <v>46418</v>
      </c>
      <c r="AZ4847" s="3" t="s">
        <v>46419</v>
      </c>
      <c r="BA4847" s="3" t="s">
        <v>46419</v>
      </c>
      <c r="BB4847" s="3" t="s">
        <v>46420</v>
      </c>
      <c r="BC4847" s="3" t="s">
        <v>142</v>
      </c>
      <c r="BD4847" s="3" t="s">
        <v>68</v>
      </c>
      <c r="BE4847" s="3" t="s">
        <v>46421</v>
      </c>
      <c r="BF4847" s="3" t="s">
        <v>46420</v>
      </c>
      <c r="BG4847" s="3" t="s">
        <v>46422</v>
      </c>
    </row>
    <row r="4848" spans="1:59" ht="57" x14ac:dyDescent="0.45">
      <c r="A4848" s="2" t="s">
        <v>59</v>
      </c>
      <c r="B4848" s="2" t="s">
        <v>60</v>
      </c>
      <c r="C4848" s="2" t="s">
        <v>46423</v>
      </c>
      <c r="D4848" s="2" t="s">
        <v>46424</v>
      </c>
      <c r="E4848" s="2" t="s">
        <v>46425</v>
      </c>
      <c r="G4848" s="3" t="s">
        <v>62</v>
      </c>
      <c r="I4848" s="3" t="s">
        <v>62</v>
      </c>
      <c r="J4848" s="3" t="s">
        <v>62</v>
      </c>
      <c r="K4848" s="3" t="s">
        <v>63</v>
      </c>
      <c r="L4848" s="2" t="s">
        <v>46426</v>
      </c>
      <c r="M4848" s="2" t="s">
        <v>17897</v>
      </c>
      <c r="N4848" s="3" t="s">
        <v>1155</v>
      </c>
      <c r="P4848" s="3" t="s">
        <v>65</v>
      </c>
      <c r="Q4848" s="2" t="s">
        <v>21253</v>
      </c>
      <c r="R4848" s="3" t="s">
        <v>66</v>
      </c>
      <c r="S4848" s="4">
        <v>1</v>
      </c>
      <c r="T4848" s="4">
        <v>1</v>
      </c>
      <c r="U4848" s="5" t="s">
        <v>43968</v>
      </c>
      <c r="V4848" s="5" t="s">
        <v>43968</v>
      </c>
      <c r="W4848" s="5" t="s">
        <v>67</v>
      </c>
      <c r="X4848" s="5" t="s">
        <v>67</v>
      </c>
      <c r="Y4848" s="4">
        <v>142</v>
      </c>
      <c r="Z4848" s="4">
        <v>15</v>
      </c>
      <c r="AA4848" s="4">
        <v>23</v>
      </c>
      <c r="AB4848" s="4">
        <v>1</v>
      </c>
      <c r="AC4848" s="4">
        <v>5</v>
      </c>
      <c r="AD4848" s="4">
        <v>68</v>
      </c>
      <c r="AE4848" s="4">
        <v>76</v>
      </c>
      <c r="AF4848" s="4">
        <v>0</v>
      </c>
      <c r="AG4848" s="4">
        <v>1</v>
      </c>
      <c r="AH4848" s="4">
        <v>63</v>
      </c>
      <c r="AI4848" s="4">
        <v>67</v>
      </c>
      <c r="AJ4848" s="4">
        <v>12</v>
      </c>
      <c r="AK4848" s="4">
        <v>14</v>
      </c>
      <c r="AL4848" s="4">
        <v>37</v>
      </c>
      <c r="AM4848" s="4">
        <v>39</v>
      </c>
      <c r="AN4848" s="4">
        <v>0</v>
      </c>
      <c r="AO4848" s="4">
        <v>0</v>
      </c>
      <c r="AP4848" s="4">
        <v>13</v>
      </c>
      <c r="AQ4848" s="4">
        <v>18</v>
      </c>
      <c r="AR4848" s="3" t="s">
        <v>62</v>
      </c>
      <c r="AS4848" s="3" t="s">
        <v>62</v>
      </c>
      <c r="AT4848" s="3" t="s">
        <v>62</v>
      </c>
      <c r="AV4848" s="6" t="str">
        <f>HYPERLINK("http://mcgill.on.worldcat.org/oclc/751726103","Catalog Record")</f>
        <v>Catalog Record</v>
      </c>
      <c r="AW4848" s="6" t="str">
        <f>HYPERLINK("http://www.worldcat.org/oclc/751726103","WorldCat Record")</f>
        <v>WorldCat Record</v>
      </c>
      <c r="AX4848" s="3" t="s">
        <v>46427</v>
      </c>
      <c r="AY4848" s="3" t="s">
        <v>46428</v>
      </c>
      <c r="AZ4848" s="3" t="s">
        <v>46429</v>
      </c>
      <c r="BA4848" s="3" t="s">
        <v>46429</v>
      </c>
      <c r="BB4848" s="3" t="s">
        <v>46430</v>
      </c>
      <c r="BC4848" s="3" t="s">
        <v>142</v>
      </c>
      <c r="BD4848" s="3" t="s">
        <v>68</v>
      </c>
      <c r="BE4848" s="3" t="s">
        <v>46431</v>
      </c>
      <c r="BF4848" s="3" t="s">
        <v>46430</v>
      </c>
      <c r="BG4848" s="3" t="s">
        <v>46432</v>
      </c>
    </row>
    <row r="4849" spans="1:59" ht="57" x14ac:dyDescent="0.45">
      <c r="A4849" s="2" t="s">
        <v>59</v>
      </c>
      <c r="B4849" s="2" t="s">
        <v>60</v>
      </c>
      <c r="C4849" s="2" t="s">
        <v>46433</v>
      </c>
      <c r="D4849" s="2" t="s">
        <v>46434</v>
      </c>
      <c r="E4849" s="2" t="s">
        <v>46435</v>
      </c>
      <c r="G4849" s="3" t="s">
        <v>62</v>
      </c>
      <c r="I4849" s="3" t="s">
        <v>62</v>
      </c>
      <c r="J4849" s="3" t="s">
        <v>62</v>
      </c>
      <c r="K4849" s="3" t="s">
        <v>63</v>
      </c>
      <c r="L4849" s="2" t="s">
        <v>46436</v>
      </c>
      <c r="M4849" s="2" t="s">
        <v>46437</v>
      </c>
      <c r="N4849" s="3" t="s">
        <v>116</v>
      </c>
      <c r="P4849" s="3" t="s">
        <v>65</v>
      </c>
      <c r="Q4849" s="2" t="s">
        <v>46438</v>
      </c>
      <c r="R4849" s="3" t="s">
        <v>66</v>
      </c>
      <c r="S4849" s="4">
        <v>1</v>
      </c>
      <c r="T4849" s="4">
        <v>1</v>
      </c>
      <c r="U4849" s="5" t="s">
        <v>32674</v>
      </c>
      <c r="V4849" s="5" t="s">
        <v>32674</v>
      </c>
      <c r="W4849" s="5" t="s">
        <v>67</v>
      </c>
      <c r="X4849" s="5" t="s">
        <v>67</v>
      </c>
      <c r="Y4849" s="4">
        <v>152</v>
      </c>
      <c r="Z4849" s="4">
        <v>16</v>
      </c>
      <c r="AA4849" s="4">
        <v>16</v>
      </c>
      <c r="AB4849" s="4">
        <v>1</v>
      </c>
      <c r="AC4849" s="4">
        <v>1</v>
      </c>
      <c r="AD4849" s="4">
        <v>74</v>
      </c>
      <c r="AE4849" s="4">
        <v>74</v>
      </c>
      <c r="AF4849" s="4">
        <v>0</v>
      </c>
      <c r="AG4849" s="4">
        <v>0</v>
      </c>
      <c r="AH4849" s="4">
        <v>68</v>
      </c>
      <c r="AI4849" s="4">
        <v>68</v>
      </c>
      <c r="AJ4849" s="4">
        <v>12</v>
      </c>
      <c r="AK4849" s="4">
        <v>12</v>
      </c>
      <c r="AL4849" s="4">
        <v>42</v>
      </c>
      <c r="AM4849" s="4">
        <v>42</v>
      </c>
      <c r="AN4849" s="4">
        <v>0</v>
      </c>
      <c r="AO4849" s="4">
        <v>0</v>
      </c>
      <c r="AP4849" s="4">
        <v>12</v>
      </c>
      <c r="AQ4849" s="4">
        <v>12</v>
      </c>
      <c r="AR4849" s="3" t="s">
        <v>62</v>
      </c>
      <c r="AS4849" s="3" t="s">
        <v>62</v>
      </c>
      <c r="AT4849" s="3" t="s">
        <v>62</v>
      </c>
      <c r="AV4849" s="6" t="str">
        <f>HYPERLINK("http://mcgill.on.worldcat.org/oclc/794603954","Catalog Record")</f>
        <v>Catalog Record</v>
      </c>
      <c r="AW4849" s="6" t="str">
        <f>HYPERLINK("http://www.worldcat.org/oclc/794603954","WorldCat Record")</f>
        <v>WorldCat Record</v>
      </c>
      <c r="AX4849" s="3" t="s">
        <v>46439</v>
      </c>
      <c r="AY4849" s="3" t="s">
        <v>46440</v>
      </c>
      <c r="AZ4849" s="3" t="s">
        <v>46441</v>
      </c>
      <c r="BA4849" s="3" t="s">
        <v>46441</v>
      </c>
      <c r="BB4849" s="3" t="s">
        <v>46442</v>
      </c>
      <c r="BC4849" s="3" t="s">
        <v>142</v>
      </c>
      <c r="BD4849" s="3" t="s">
        <v>68</v>
      </c>
      <c r="BE4849" s="3" t="s">
        <v>46443</v>
      </c>
      <c r="BF4849" s="3" t="s">
        <v>46442</v>
      </c>
      <c r="BG4849" s="3" t="s">
        <v>46444</v>
      </c>
    </row>
    <row r="4850" spans="1:59" ht="57" x14ac:dyDescent="0.45">
      <c r="A4850" s="2" t="s">
        <v>59</v>
      </c>
      <c r="B4850" s="2" t="s">
        <v>60</v>
      </c>
      <c r="C4850" s="2" t="s">
        <v>46445</v>
      </c>
      <c r="D4850" s="2" t="s">
        <v>46446</v>
      </c>
      <c r="E4850" s="2" t="s">
        <v>46447</v>
      </c>
      <c r="G4850" s="3" t="s">
        <v>62</v>
      </c>
      <c r="I4850" s="3" t="s">
        <v>62</v>
      </c>
      <c r="J4850" s="3" t="s">
        <v>62</v>
      </c>
      <c r="K4850" s="3" t="s">
        <v>63</v>
      </c>
      <c r="L4850" s="2" t="s">
        <v>651</v>
      </c>
      <c r="M4850" s="2" t="s">
        <v>46448</v>
      </c>
      <c r="N4850" s="3" t="s">
        <v>1604</v>
      </c>
      <c r="P4850" s="3" t="s">
        <v>65</v>
      </c>
      <c r="Q4850" s="2" t="s">
        <v>46449</v>
      </c>
      <c r="R4850" s="3" t="s">
        <v>66</v>
      </c>
      <c r="S4850" s="4">
        <v>4</v>
      </c>
      <c r="T4850" s="4">
        <v>4</v>
      </c>
      <c r="U4850" s="5" t="s">
        <v>6940</v>
      </c>
      <c r="V4850" s="5" t="s">
        <v>6940</v>
      </c>
      <c r="W4850" s="5" t="s">
        <v>67</v>
      </c>
      <c r="X4850" s="5" t="s">
        <v>67</v>
      </c>
      <c r="Y4850" s="4">
        <v>30</v>
      </c>
      <c r="Z4850" s="4">
        <v>3</v>
      </c>
      <c r="AA4850" s="4">
        <v>3</v>
      </c>
      <c r="AB4850" s="4">
        <v>1</v>
      </c>
      <c r="AC4850" s="4">
        <v>1</v>
      </c>
      <c r="AD4850" s="4">
        <v>13</v>
      </c>
      <c r="AE4850" s="4">
        <v>13</v>
      </c>
      <c r="AF4850" s="4">
        <v>0</v>
      </c>
      <c r="AG4850" s="4">
        <v>0</v>
      </c>
      <c r="AH4850" s="4">
        <v>12</v>
      </c>
      <c r="AI4850" s="4">
        <v>12</v>
      </c>
      <c r="AJ4850" s="4">
        <v>1</v>
      </c>
      <c r="AK4850" s="4">
        <v>1</v>
      </c>
      <c r="AL4850" s="4">
        <v>7</v>
      </c>
      <c r="AM4850" s="4">
        <v>7</v>
      </c>
      <c r="AN4850" s="4">
        <v>0</v>
      </c>
      <c r="AO4850" s="4">
        <v>0</v>
      </c>
      <c r="AP4850" s="4">
        <v>2</v>
      </c>
      <c r="AQ4850" s="4">
        <v>2</v>
      </c>
      <c r="AR4850" s="3" t="s">
        <v>62</v>
      </c>
      <c r="AS4850" s="3" t="s">
        <v>62</v>
      </c>
      <c r="AT4850" s="3" t="s">
        <v>62</v>
      </c>
      <c r="AV4850" s="6" t="str">
        <f>HYPERLINK("http://mcgill.on.worldcat.org/oclc/31712986","Catalog Record")</f>
        <v>Catalog Record</v>
      </c>
      <c r="AW4850" s="6" t="str">
        <f>HYPERLINK("http://www.worldcat.org/oclc/31712986","WorldCat Record")</f>
        <v>WorldCat Record</v>
      </c>
      <c r="AX4850" s="3" t="s">
        <v>46450</v>
      </c>
      <c r="AY4850" s="3" t="s">
        <v>46451</v>
      </c>
      <c r="AZ4850" s="3" t="s">
        <v>46452</v>
      </c>
      <c r="BA4850" s="3" t="s">
        <v>46452</v>
      </c>
      <c r="BB4850" s="3" t="s">
        <v>46453</v>
      </c>
      <c r="BC4850" s="3" t="s">
        <v>142</v>
      </c>
      <c r="BD4850" s="3" t="s">
        <v>68</v>
      </c>
      <c r="BF4850" s="3" t="s">
        <v>46453</v>
      </c>
      <c r="BG4850" s="3" t="s">
        <v>46454</v>
      </c>
    </row>
    <row r="4851" spans="1:59" ht="57" x14ac:dyDescent="0.45">
      <c r="A4851" s="2" t="s">
        <v>59</v>
      </c>
      <c r="B4851" s="2" t="s">
        <v>60</v>
      </c>
      <c r="C4851" s="2" t="s">
        <v>46455</v>
      </c>
      <c r="D4851" s="2" t="s">
        <v>46456</v>
      </c>
      <c r="E4851" s="2" t="s">
        <v>46457</v>
      </c>
      <c r="G4851" s="3" t="s">
        <v>62</v>
      </c>
      <c r="I4851" s="3" t="s">
        <v>62</v>
      </c>
      <c r="J4851" s="3" t="s">
        <v>62</v>
      </c>
      <c r="K4851" s="3" t="s">
        <v>63</v>
      </c>
      <c r="L4851" s="2" t="s">
        <v>651</v>
      </c>
      <c r="M4851" s="2" t="s">
        <v>46458</v>
      </c>
      <c r="N4851" s="3" t="s">
        <v>167</v>
      </c>
      <c r="P4851" s="3" t="s">
        <v>65</v>
      </c>
      <c r="Q4851" s="2" t="s">
        <v>46459</v>
      </c>
      <c r="R4851" s="3" t="s">
        <v>66</v>
      </c>
      <c r="S4851" s="4">
        <v>1</v>
      </c>
      <c r="T4851" s="4">
        <v>1</v>
      </c>
      <c r="U4851" s="5" t="s">
        <v>21996</v>
      </c>
      <c r="V4851" s="5" t="s">
        <v>21996</v>
      </c>
      <c r="W4851" s="5" t="s">
        <v>67</v>
      </c>
      <c r="X4851" s="5" t="s">
        <v>67</v>
      </c>
      <c r="Y4851" s="4">
        <v>17</v>
      </c>
      <c r="Z4851" s="4">
        <v>2</v>
      </c>
      <c r="AA4851" s="4">
        <v>2</v>
      </c>
      <c r="AB4851" s="4">
        <v>1</v>
      </c>
      <c r="AC4851" s="4">
        <v>1</v>
      </c>
      <c r="AD4851" s="4">
        <v>6</v>
      </c>
      <c r="AE4851" s="4">
        <v>12</v>
      </c>
      <c r="AF4851" s="4">
        <v>0</v>
      </c>
      <c r="AG4851" s="4">
        <v>0</v>
      </c>
      <c r="AH4851" s="4">
        <v>6</v>
      </c>
      <c r="AI4851" s="4">
        <v>11</v>
      </c>
      <c r="AJ4851" s="4">
        <v>1</v>
      </c>
      <c r="AK4851" s="4">
        <v>1</v>
      </c>
      <c r="AL4851" s="4">
        <v>5</v>
      </c>
      <c r="AM4851" s="4">
        <v>9</v>
      </c>
      <c r="AN4851" s="4">
        <v>0</v>
      </c>
      <c r="AO4851" s="4">
        <v>0</v>
      </c>
      <c r="AP4851" s="4">
        <v>1</v>
      </c>
      <c r="AQ4851" s="4">
        <v>1</v>
      </c>
      <c r="AR4851" s="3" t="s">
        <v>62</v>
      </c>
      <c r="AS4851" s="3" t="s">
        <v>62</v>
      </c>
      <c r="AT4851" s="3" t="s">
        <v>62</v>
      </c>
      <c r="AV4851" s="6" t="str">
        <f>HYPERLINK("http://mcgill.on.worldcat.org/oclc/45884722","Catalog Record")</f>
        <v>Catalog Record</v>
      </c>
      <c r="AW4851" s="6" t="str">
        <f>HYPERLINK("http://www.worldcat.org/oclc/45884722","WorldCat Record")</f>
        <v>WorldCat Record</v>
      </c>
      <c r="AX4851" s="3" t="s">
        <v>46460</v>
      </c>
      <c r="AY4851" s="3" t="s">
        <v>46461</v>
      </c>
      <c r="AZ4851" s="3" t="s">
        <v>46462</v>
      </c>
      <c r="BA4851" s="3" t="s">
        <v>46462</v>
      </c>
      <c r="BB4851" s="3" t="s">
        <v>46463</v>
      </c>
      <c r="BC4851" s="3" t="s">
        <v>142</v>
      </c>
      <c r="BD4851" s="3" t="s">
        <v>68</v>
      </c>
      <c r="BF4851" s="3" t="s">
        <v>46463</v>
      </c>
      <c r="BG4851" s="3" t="s">
        <v>46464</v>
      </c>
    </row>
    <row r="4852" spans="1:59" ht="57" x14ac:dyDescent="0.45">
      <c r="A4852" s="2" t="s">
        <v>59</v>
      </c>
      <c r="B4852" s="2" t="s">
        <v>60</v>
      </c>
      <c r="C4852" s="2" t="s">
        <v>46465</v>
      </c>
      <c r="D4852" s="2" t="s">
        <v>46466</v>
      </c>
      <c r="E4852" s="2" t="s">
        <v>46467</v>
      </c>
      <c r="G4852" s="3" t="s">
        <v>62</v>
      </c>
      <c r="I4852" s="3" t="s">
        <v>62</v>
      </c>
      <c r="J4852" s="3" t="s">
        <v>62</v>
      </c>
      <c r="K4852" s="3" t="s">
        <v>63</v>
      </c>
      <c r="L4852" s="2" t="s">
        <v>46468</v>
      </c>
      <c r="M4852" s="2" t="s">
        <v>46448</v>
      </c>
      <c r="N4852" s="3" t="s">
        <v>1604</v>
      </c>
      <c r="P4852" s="3" t="s">
        <v>65</v>
      </c>
      <c r="Q4852" s="2" t="s">
        <v>46469</v>
      </c>
      <c r="R4852" s="3" t="s">
        <v>66</v>
      </c>
      <c r="S4852" s="4">
        <v>1</v>
      </c>
      <c r="T4852" s="4">
        <v>1</v>
      </c>
      <c r="U4852" s="5" t="s">
        <v>6466</v>
      </c>
      <c r="V4852" s="5" t="s">
        <v>6466</v>
      </c>
      <c r="W4852" s="5" t="s">
        <v>67</v>
      </c>
      <c r="X4852" s="5" t="s">
        <v>67</v>
      </c>
      <c r="Y4852" s="4">
        <v>19</v>
      </c>
      <c r="Z4852" s="4">
        <v>2</v>
      </c>
      <c r="AA4852" s="4">
        <v>2</v>
      </c>
      <c r="AB4852" s="4">
        <v>1</v>
      </c>
      <c r="AC4852" s="4">
        <v>1</v>
      </c>
      <c r="AD4852" s="4">
        <v>12</v>
      </c>
      <c r="AE4852" s="4">
        <v>12</v>
      </c>
      <c r="AF4852" s="4">
        <v>0</v>
      </c>
      <c r="AG4852" s="4">
        <v>0</v>
      </c>
      <c r="AH4852" s="4">
        <v>11</v>
      </c>
      <c r="AI4852" s="4">
        <v>11</v>
      </c>
      <c r="AJ4852" s="4">
        <v>1</v>
      </c>
      <c r="AK4852" s="4">
        <v>1</v>
      </c>
      <c r="AL4852" s="4">
        <v>8</v>
      </c>
      <c r="AM4852" s="4">
        <v>8</v>
      </c>
      <c r="AN4852" s="4">
        <v>0</v>
      </c>
      <c r="AO4852" s="4">
        <v>0</v>
      </c>
      <c r="AP4852" s="4">
        <v>1</v>
      </c>
      <c r="AQ4852" s="4">
        <v>1</v>
      </c>
      <c r="AR4852" s="3" t="s">
        <v>62</v>
      </c>
      <c r="AS4852" s="3" t="s">
        <v>62</v>
      </c>
      <c r="AT4852" s="3" t="s">
        <v>62</v>
      </c>
      <c r="AV4852" s="6" t="str">
        <f>HYPERLINK("http://mcgill.on.worldcat.org/oclc/33880115","Catalog Record")</f>
        <v>Catalog Record</v>
      </c>
      <c r="AW4852" s="6" t="str">
        <f>HYPERLINK("http://www.worldcat.org/oclc/33880115","WorldCat Record")</f>
        <v>WorldCat Record</v>
      </c>
      <c r="AX4852" s="3" t="s">
        <v>46470</v>
      </c>
      <c r="AY4852" s="3" t="s">
        <v>46471</v>
      </c>
      <c r="AZ4852" s="3" t="s">
        <v>46472</v>
      </c>
      <c r="BA4852" s="3" t="s">
        <v>46472</v>
      </c>
      <c r="BB4852" s="3" t="s">
        <v>46473</v>
      </c>
      <c r="BC4852" s="3" t="s">
        <v>142</v>
      </c>
      <c r="BD4852" s="3" t="s">
        <v>68</v>
      </c>
      <c r="BF4852" s="3" t="s">
        <v>46473</v>
      </c>
      <c r="BG4852" s="3" t="s">
        <v>46474</v>
      </c>
    </row>
    <row r="4853" spans="1:59" ht="57" x14ac:dyDescent="0.45">
      <c r="A4853" s="2" t="s">
        <v>59</v>
      </c>
      <c r="B4853" s="2" t="s">
        <v>60</v>
      </c>
      <c r="C4853" s="2" t="s">
        <v>46475</v>
      </c>
      <c r="D4853" s="2" t="s">
        <v>46476</v>
      </c>
      <c r="E4853" s="2" t="s">
        <v>46477</v>
      </c>
      <c r="G4853" s="3" t="s">
        <v>62</v>
      </c>
      <c r="I4853" s="3" t="s">
        <v>62</v>
      </c>
      <c r="J4853" s="3" t="s">
        <v>62</v>
      </c>
      <c r="K4853" s="3" t="s">
        <v>63</v>
      </c>
      <c r="M4853" s="2" t="s">
        <v>46061</v>
      </c>
      <c r="N4853" s="3" t="s">
        <v>1212</v>
      </c>
      <c r="P4853" s="3" t="s">
        <v>65</v>
      </c>
      <c r="Q4853" s="2" t="s">
        <v>46478</v>
      </c>
      <c r="R4853" s="3" t="s">
        <v>66</v>
      </c>
      <c r="S4853" s="4">
        <v>5</v>
      </c>
      <c r="T4853" s="4">
        <v>5</v>
      </c>
      <c r="U4853" s="5" t="s">
        <v>11853</v>
      </c>
      <c r="V4853" s="5" t="s">
        <v>11853</v>
      </c>
      <c r="W4853" s="5" t="s">
        <v>67</v>
      </c>
      <c r="X4853" s="5" t="s">
        <v>67</v>
      </c>
      <c r="Y4853" s="4">
        <v>99</v>
      </c>
      <c r="Z4853" s="4">
        <v>11</v>
      </c>
      <c r="AA4853" s="4">
        <v>11</v>
      </c>
      <c r="AB4853" s="4">
        <v>2</v>
      </c>
      <c r="AC4853" s="4">
        <v>2</v>
      </c>
      <c r="AD4853" s="4">
        <v>51</v>
      </c>
      <c r="AE4853" s="4">
        <v>53</v>
      </c>
      <c r="AF4853" s="4">
        <v>0</v>
      </c>
      <c r="AG4853" s="4">
        <v>0</v>
      </c>
      <c r="AH4853" s="4">
        <v>48</v>
      </c>
      <c r="AI4853" s="4">
        <v>49</v>
      </c>
      <c r="AJ4853" s="4">
        <v>8</v>
      </c>
      <c r="AK4853" s="4">
        <v>8</v>
      </c>
      <c r="AL4853" s="4">
        <v>30</v>
      </c>
      <c r="AM4853" s="4">
        <v>32</v>
      </c>
      <c r="AN4853" s="4">
        <v>0</v>
      </c>
      <c r="AO4853" s="4">
        <v>0</v>
      </c>
      <c r="AP4853" s="4">
        <v>8</v>
      </c>
      <c r="AQ4853" s="4">
        <v>8</v>
      </c>
      <c r="AR4853" s="3" t="s">
        <v>62</v>
      </c>
      <c r="AS4853" s="3" t="s">
        <v>62</v>
      </c>
      <c r="AT4853" s="3" t="s">
        <v>61</v>
      </c>
      <c r="AU4853" s="6" t="str">
        <f>HYPERLINK("http://catalog.hathitrust.org/Record/004167966","HathiTrust Record")</f>
        <v>HathiTrust Record</v>
      </c>
      <c r="AV4853" s="6" t="str">
        <f>HYPERLINK("http://mcgill.on.worldcat.org/oclc/45505883","Catalog Record")</f>
        <v>Catalog Record</v>
      </c>
      <c r="AW4853" s="6" t="str">
        <f>HYPERLINK("http://www.worldcat.org/oclc/45505883","WorldCat Record")</f>
        <v>WorldCat Record</v>
      </c>
      <c r="AX4853" s="3" t="s">
        <v>46479</v>
      </c>
      <c r="AY4853" s="3" t="s">
        <v>46480</v>
      </c>
      <c r="AZ4853" s="3" t="s">
        <v>46481</v>
      </c>
      <c r="BA4853" s="3" t="s">
        <v>46481</v>
      </c>
      <c r="BB4853" s="3" t="s">
        <v>46482</v>
      </c>
      <c r="BC4853" s="3" t="s">
        <v>142</v>
      </c>
      <c r="BD4853" s="3" t="s">
        <v>68</v>
      </c>
      <c r="BE4853" s="3" t="s">
        <v>46483</v>
      </c>
      <c r="BF4853" s="3" t="s">
        <v>46482</v>
      </c>
      <c r="BG4853" s="3" t="s">
        <v>46484</v>
      </c>
    </row>
    <row r="4854" spans="1:59" ht="57" x14ac:dyDescent="0.45">
      <c r="A4854" s="2" t="s">
        <v>59</v>
      </c>
      <c r="B4854" s="2" t="s">
        <v>60</v>
      </c>
      <c r="C4854" s="2" t="s">
        <v>46485</v>
      </c>
      <c r="D4854" s="2" t="s">
        <v>46486</v>
      </c>
      <c r="E4854" s="2" t="s">
        <v>46487</v>
      </c>
      <c r="G4854" s="3" t="s">
        <v>62</v>
      </c>
      <c r="I4854" s="3" t="s">
        <v>62</v>
      </c>
      <c r="J4854" s="3" t="s">
        <v>62</v>
      </c>
      <c r="K4854" s="3" t="s">
        <v>63</v>
      </c>
      <c r="L4854" s="2" t="s">
        <v>46488</v>
      </c>
      <c r="M4854" s="2" t="s">
        <v>46489</v>
      </c>
      <c r="N4854" s="3" t="s">
        <v>1604</v>
      </c>
      <c r="P4854" s="3" t="s">
        <v>65</v>
      </c>
      <c r="Q4854" s="2" t="s">
        <v>46490</v>
      </c>
      <c r="R4854" s="3" t="s">
        <v>66</v>
      </c>
      <c r="S4854" s="4">
        <v>25</v>
      </c>
      <c r="T4854" s="4">
        <v>25</v>
      </c>
      <c r="U4854" s="5" t="s">
        <v>11853</v>
      </c>
      <c r="V4854" s="5" t="s">
        <v>11853</v>
      </c>
      <c r="W4854" s="5" t="s">
        <v>67</v>
      </c>
      <c r="X4854" s="5" t="s">
        <v>67</v>
      </c>
      <c r="Y4854" s="4">
        <v>245</v>
      </c>
      <c r="Z4854" s="4">
        <v>19</v>
      </c>
      <c r="AA4854" s="4">
        <v>24</v>
      </c>
      <c r="AB4854" s="4">
        <v>1</v>
      </c>
      <c r="AC4854" s="4">
        <v>6</v>
      </c>
      <c r="AD4854" s="4">
        <v>100</v>
      </c>
      <c r="AE4854" s="4">
        <v>104</v>
      </c>
      <c r="AF4854" s="4">
        <v>0</v>
      </c>
      <c r="AG4854" s="4">
        <v>4</v>
      </c>
      <c r="AH4854" s="4">
        <v>91</v>
      </c>
      <c r="AI4854" s="4">
        <v>92</v>
      </c>
      <c r="AJ4854" s="4">
        <v>14</v>
      </c>
      <c r="AK4854" s="4">
        <v>18</v>
      </c>
      <c r="AL4854" s="4">
        <v>53</v>
      </c>
      <c r="AM4854" s="4">
        <v>53</v>
      </c>
      <c r="AN4854" s="4">
        <v>0</v>
      </c>
      <c r="AO4854" s="4">
        <v>0</v>
      </c>
      <c r="AP4854" s="4">
        <v>16</v>
      </c>
      <c r="AQ4854" s="4">
        <v>19</v>
      </c>
      <c r="AR4854" s="3" t="s">
        <v>62</v>
      </c>
      <c r="AS4854" s="3" t="s">
        <v>62</v>
      </c>
      <c r="AT4854" s="3" t="s">
        <v>62</v>
      </c>
      <c r="AV4854" s="6" t="str">
        <f>HYPERLINK("http://mcgill.on.worldcat.org/oclc/27974152","Catalog Record")</f>
        <v>Catalog Record</v>
      </c>
      <c r="AW4854" s="6" t="str">
        <f>HYPERLINK("http://www.worldcat.org/oclc/27974152","WorldCat Record")</f>
        <v>WorldCat Record</v>
      </c>
      <c r="AX4854" s="3" t="s">
        <v>46491</v>
      </c>
      <c r="AY4854" s="3" t="s">
        <v>46492</v>
      </c>
      <c r="AZ4854" s="3" t="s">
        <v>46493</v>
      </c>
      <c r="BA4854" s="3" t="s">
        <v>46493</v>
      </c>
      <c r="BB4854" s="3" t="s">
        <v>46494</v>
      </c>
      <c r="BC4854" s="3" t="s">
        <v>142</v>
      </c>
      <c r="BD4854" s="3" t="s">
        <v>68</v>
      </c>
      <c r="BE4854" s="3" t="s">
        <v>46495</v>
      </c>
      <c r="BF4854" s="3" t="s">
        <v>46494</v>
      </c>
      <c r="BG4854" s="3" t="s">
        <v>46496</v>
      </c>
    </row>
    <row r="4855" spans="1:59" ht="57" x14ac:dyDescent="0.45">
      <c r="A4855" s="2" t="s">
        <v>59</v>
      </c>
      <c r="B4855" s="2" t="s">
        <v>60</v>
      </c>
      <c r="C4855" s="2" t="s">
        <v>46497</v>
      </c>
      <c r="D4855" s="2" t="s">
        <v>46498</v>
      </c>
      <c r="E4855" s="2" t="s">
        <v>46499</v>
      </c>
      <c r="G4855" s="3" t="s">
        <v>62</v>
      </c>
      <c r="I4855" s="3" t="s">
        <v>62</v>
      </c>
      <c r="J4855" s="3" t="s">
        <v>62</v>
      </c>
      <c r="K4855" s="3" t="s">
        <v>63</v>
      </c>
      <c r="L4855" s="2" t="s">
        <v>46500</v>
      </c>
      <c r="M4855" s="2" t="s">
        <v>21778</v>
      </c>
      <c r="N4855" s="3" t="s">
        <v>149</v>
      </c>
      <c r="P4855" s="3" t="s">
        <v>65</v>
      </c>
      <c r="Q4855" s="2" t="s">
        <v>46501</v>
      </c>
      <c r="R4855" s="3" t="s">
        <v>66</v>
      </c>
      <c r="S4855" s="4">
        <v>3</v>
      </c>
      <c r="T4855" s="4">
        <v>3</v>
      </c>
      <c r="U4855" s="5" t="s">
        <v>46502</v>
      </c>
      <c r="V4855" s="5" t="s">
        <v>46502</v>
      </c>
      <c r="W4855" s="5" t="s">
        <v>67</v>
      </c>
      <c r="X4855" s="5" t="s">
        <v>67</v>
      </c>
      <c r="Y4855" s="4">
        <v>169</v>
      </c>
      <c r="Z4855" s="4">
        <v>21</v>
      </c>
      <c r="AA4855" s="4">
        <v>36</v>
      </c>
      <c r="AB4855" s="4">
        <v>2</v>
      </c>
      <c r="AC4855" s="4">
        <v>4</v>
      </c>
      <c r="AD4855" s="4">
        <v>82</v>
      </c>
      <c r="AE4855" s="4">
        <v>105</v>
      </c>
      <c r="AF4855" s="4">
        <v>1</v>
      </c>
      <c r="AG4855" s="4">
        <v>2</v>
      </c>
      <c r="AH4855" s="4">
        <v>71</v>
      </c>
      <c r="AI4855" s="4">
        <v>87</v>
      </c>
      <c r="AJ4855" s="4">
        <v>15</v>
      </c>
      <c r="AK4855" s="4">
        <v>18</v>
      </c>
      <c r="AL4855" s="4">
        <v>42</v>
      </c>
      <c r="AM4855" s="4">
        <v>49</v>
      </c>
      <c r="AN4855" s="4">
        <v>0</v>
      </c>
      <c r="AO4855" s="4">
        <v>0</v>
      </c>
      <c r="AP4855" s="4">
        <v>16</v>
      </c>
      <c r="AQ4855" s="4">
        <v>25</v>
      </c>
      <c r="AR4855" s="3" t="s">
        <v>62</v>
      </c>
      <c r="AS4855" s="3" t="s">
        <v>62</v>
      </c>
      <c r="AT4855" s="3" t="s">
        <v>62</v>
      </c>
      <c r="AV4855" s="6" t="str">
        <f>HYPERLINK("http://mcgill.on.worldcat.org/oclc/477272494","Catalog Record")</f>
        <v>Catalog Record</v>
      </c>
      <c r="AW4855" s="6" t="str">
        <f>HYPERLINK("http://www.worldcat.org/oclc/477272494","WorldCat Record")</f>
        <v>WorldCat Record</v>
      </c>
      <c r="AX4855" s="3" t="s">
        <v>46503</v>
      </c>
      <c r="AY4855" s="3" t="s">
        <v>46504</v>
      </c>
      <c r="AZ4855" s="3" t="s">
        <v>46505</v>
      </c>
      <c r="BA4855" s="3" t="s">
        <v>46505</v>
      </c>
      <c r="BB4855" s="3" t="s">
        <v>46506</v>
      </c>
      <c r="BC4855" s="3" t="s">
        <v>142</v>
      </c>
      <c r="BD4855" s="3" t="s">
        <v>68</v>
      </c>
      <c r="BE4855" s="3" t="s">
        <v>46507</v>
      </c>
      <c r="BF4855" s="3" t="s">
        <v>46506</v>
      </c>
      <c r="BG4855" s="3" t="s">
        <v>46508</v>
      </c>
    </row>
    <row r="4856" spans="1:59" ht="57" x14ac:dyDescent="0.45">
      <c r="A4856" s="2" t="s">
        <v>59</v>
      </c>
      <c r="B4856" s="2" t="s">
        <v>60</v>
      </c>
      <c r="C4856" s="2" t="s">
        <v>46509</v>
      </c>
      <c r="D4856" s="2" t="s">
        <v>46510</v>
      </c>
      <c r="E4856" s="2" t="s">
        <v>46511</v>
      </c>
      <c r="F4856" s="3" t="s">
        <v>46512</v>
      </c>
      <c r="G4856" s="3" t="s">
        <v>62</v>
      </c>
      <c r="I4856" s="3" t="s">
        <v>61</v>
      </c>
      <c r="J4856" s="3" t="s">
        <v>62</v>
      </c>
      <c r="K4856" s="3" t="s">
        <v>63</v>
      </c>
      <c r="L4856" s="2" t="s">
        <v>46513</v>
      </c>
      <c r="M4856" s="2" t="s">
        <v>7844</v>
      </c>
      <c r="N4856" s="3" t="s">
        <v>167</v>
      </c>
      <c r="P4856" s="3" t="s">
        <v>65</v>
      </c>
      <c r="Q4856" s="2" t="s">
        <v>29735</v>
      </c>
      <c r="R4856" s="3" t="s">
        <v>66</v>
      </c>
      <c r="S4856" s="4">
        <v>46</v>
      </c>
      <c r="T4856" s="4">
        <v>46</v>
      </c>
      <c r="U4856" s="5" t="s">
        <v>19116</v>
      </c>
      <c r="V4856" s="5" t="s">
        <v>19116</v>
      </c>
      <c r="W4856" s="5" t="s">
        <v>67</v>
      </c>
      <c r="X4856" s="5" t="s">
        <v>67</v>
      </c>
      <c r="Y4856" s="4">
        <v>275</v>
      </c>
      <c r="Z4856" s="4">
        <v>18</v>
      </c>
      <c r="AA4856" s="4">
        <v>97</v>
      </c>
      <c r="AB4856" s="4">
        <v>2</v>
      </c>
      <c r="AC4856" s="4">
        <v>18</v>
      </c>
      <c r="AD4856" s="4">
        <v>85</v>
      </c>
      <c r="AE4856" s="4">
        <v>130</v>
      </c>
      <c r="AF4856" s="4">
        <v>1</v>
      </c>
      <c r="AG4856" s="4">
        <v>8</v>
      </c>
      <c r="AH4856" s="4">
        <v>77</v>
      </c>
      <c r="AI4856" s="4">
        <v>95</v>
      </c>
      <c r="AJ4856" s="4">
        <v>13</v>
      </c>
      <c r="AK4856" s="4">
        <v>22</v>
      </c>
      <c r="AL4856" s="4">
        <v>48</v>
      </c>
      <c r="AM4856" s="4">
        <v>53</v>
      </c>
      <c r="AN4856" s="4">
        <v>0</v>
      </c>
      <c r="AO4856" s="4">
        <v>0</v>
      </c>
      <c r="AP4856" s="4">
        <v>14</v>
      </c>
      <c r="AQ4856" s="4">
        <v>43</v>
      </c>
      <c r="AR4856" s="3" t="s">
        <v>62</v>
      </c>
      <c r="AS4856" s="3" t="s">
        <v>62</v>
      </c>
      <c r="AT4856" s="3" t="s">
        <v>62</v>
      </c>
      <c r="AV4856" s="6" t="str">
        <f>HYPERLINK("http://mcgill.on.worldcat.org/oclc/39700537","Catalog Record")</f>
        <v>Catalog Record</v>
      </c>
      <c r="AW4856" s="6" t="str">
        <f>HYPERLINK("http://www.worldcat.org/oclc/39700537","WorldCat Record")</f>
        <v>WorldCat Record</v>
      </c>
      <c r="AX4856" s="3" t="s">
        <v>46514</v>
      </c>
      <c r="AY4856" s="3" t="s">
        <v>46515</v>
      </c>
      <c r="AZ4856" s="3" t="s">
        <v>46516</v>
      </c>
      <c r="BA4856" s="3" t="s">
        <v>46516</v>
      </c>
      <c r="BB4856" s="3" t="s">
        <v>46517</v>
      </c>
      <c r="BC4856" s="3" t="s">
        <v>142</v>
      </c>
      <c r="BD4856" s="3" t="s">
        <v>68</v>
      </c>
      <c r="BE4856" s="3" t="s">
        <v>46518</v>
      </c>
      <c r="BF4856" s="3" t="s">
        <v>46517</v>
      </c>
      <c r="BG4856" s="3" t="s">
        <v>46519</v>
      </c>
    </row>
    <row r="4857" spans="1:59" ht="57" x14ac:dyDescent="0.45">
      <c r="A4857" s="2" t="s">
        <v>59</v>
      </c>
      <c r="B4857" s="2" t="s">
        <v>60</v>
      </c>
      <c r="C4857" s="2" t="s">
        <v>46509</v>
      </c>
      <c r="D4857" s="2" t="s">
        <v>46510</v>
      </c>
      <c r="E4857" s="2" t="s">
        <v>46511</v>
      </c>
      <c r="G4857" s="3" t="s">
        <v>62</v>
      </c>
      <c r="I4857" s="3" t="s">
        <v>61</v>
      </c>
      <c r="J4857" s="3" t="s">
        <v>62</v>
      </c>
      <c r="K4857" s="3" t="s">
        <v>63</v>
      </c>
      <c r="L4857" s="2" t="s">
        <v>46513</v>
      </c>
      <c r="M4857" s="2" t="s">
        <v>7844</v>
      </c>
      <c r="N4857" s="3" t="s">
        <v>167</v>
      </c>
      <c r="P4857" s="3" t="s">
        <v>65</v>
      </c>
      <c r="Q4857" s="2" t="s">
        <v>29735</v>
      </c>
      <c r="R4857" s="3" t="s">
        <v>66</v>
      </c>
      <c r="S4857" s="4">
        <v>0</v>
      </c>
      <c r="T4857" s="4">
        <v>46</v>
      </c>
      <c r="V4857" s="5" t="s">
        <v>19116</v>
      </c>
      <c r="W4857" s="5" t="s">
        <v>67</v>
      </c>
      <c r="X4857" s="5" t="s">
        <v>67</v>
      </c>
      <c r="Y4857" s="4">
        <v>275</v>
      </c>
      <c r="Z4857" s="4">
        <v>18</v>
      </c>
      <c r="AA4857" s="4">
        <v>97</v>
      </c>
      <c r="AB4857" s="4">
        <v>2</v>
      </c>
      <c r="AC4857" s="4">
        <v>18</v>
      </c>
      <c r="AD4857" s="4">
        <v>85</v>
      </c>
      <c r="AE4857" s="4">
        <v>130</v>
      </c>
      <c r="AF4857" s="4">
        <v>1</v>
      </c>
      <c r="AG4857" s="4">
        <v>8</v>
      </c>
      <c r="AH4857" s="4">
        <v>77</v>
      </c>
      <c r="AI4857" s="4">
        <v>95</v>
      </c>
      <c r="AJ4857" s="4">
        <v>13</v>
      </c>
      <c r="AK4857" s="4">
        <v>22</v>
      </c>
      <c r="AL4857" s="4">
        <v>48</v>
      </c>
      <c r="AM4857" s="4">
        <v>53</v>
      </c>
      <c r="AN4857" s="4">
        <v>0</v>
      </c>
      <c r="AO4857" s="4">
        <v>0</v>
      </c>
      <c r="AP4857" s="4">
        <v>14</v>
      </c>
      <c r="AQ4857" s="4">
        <v>43</v>
      </c>
      <c r="AR4857" s="3" t="s">
        <v>62</v>
      </c>
      <c r="AS4857" s="3" t="s">
        <v>62</v>
      </c>
      <c r="AT4857" s="3" t="s">
        <v>62</v>
      </c>
      <c r="AV4857" s="6" t="str">
        <f>HYPERLINK("http://mcgill.on.worldcat.org/oclc/39700537","Catalog Record")</f>
        <v>Catalog Record</v>
      </c>
      <c r="AW4857" s="6" t="str">
        <f>HYPERLINK("http://www.worldcat.org/oclc/39700537","WorldCat Record")</f>
        <v>WorldCat Record</v>
      </c>
      <c r="AX4857" s="3" t="s">
        <v>46514</v>
      </c>
      <c r="AY4857" s="3" t="s">
        <v>46515</v>
      </c>
      <c r="AZ4857" s="3" t="s">
        <v>46516</v>
      </c>
      <c r="BA4857" s="3" t="s">
        <v>46516</v>
      </c>
      <c r="BB4857" s="3" t="s">
        <v>46520</v>
      </c>
      <c r="BC4857" s="3" t="s">
        <v>142</v>
      </c>
      <c r="BD4857" s="3" t="s">
        <v>68</v>
      </c>
      <c r="BE4857" s="3" t="s">
        <v>46518</v>
      </c>
      <c r="BF4857" s="3" t="s">
        <v>46520</v>
      </c>
      <c r="BG4857" s="3" t="s">
        <v>46521</v>
      </c>
    </row>
    <row r="4858" spans="1:59" ht="57" x14ac:dyDescent="0.45">
      <c r="A4858" s="2" t="s">
        <v>59</v>
      </c>
      <c r="B4858" s="2" t="s">
        <v>60</v>
      </c>
      <c r="C4858" s="2" t="s">
        <v>46522</v>
      </c>
      <c r="D4858" s="2" t="s">
        <v>46523</v>
      </c>
      <c r="E4858" s="2" t="s">
        <v>46524</v>
      </c>
      <c r="G4858" s="3" t="s">
        <v>62</v>
      </c>
      <c r="I4858" s="3" t="s">
        <v>62</v>
      </c>
      <c r="J4858" s="3" t="s">
        <v>62</v>
      </c>
      <c r="K4858" s="3" t="s">
        <v>63</v>
      </c>
      <c r="M4858" s="2" t="s">
        <v>46525</v>
      </c>
      <c r="N4858" s="3" t="s">
        <v>116</v>
      </c>
      <c r="P4858" s="3" t="s">
        <v>65</v>
      </c>
      <c r="Q4858" s="2" t="s">
        <v>46526</v>
      </c>
      <c r="R4858" s="3" t="s">
        <v>66</v>
      </c>
      <c r="S4858" s="4">
        <v>0</v>
      </c>
      <c r="T4858" s="4">
        <v>0</v>
      </c>
      <c r="W4858" s="5" t="s">
        <v>67</v>
      </c>
      <c r="X4858" s="5" t="s">
        <v>67</v>
      </c>
      <c r="Y4858" s="4">
        <v>74</v>
      </c>
      <c r="Z4858" s="4">
        <v>13</v>
      </c>
      <c r="AA4858" s="4">
        <v>13</v>
      </c>
      <c r="AB4858" s="4">
        <v>1</v>
      </c>
      <c r="AC4858" s="4">
        <v>1</v>
      </c>
      <c r="AD4858" s="4">
        <v>42</v>
      </c>
      <c r="AE4858" s="4">
        <v>42</v>
      </c>
      <c r="AF4858" s="4">
        <v>0</v>
      </c>
      <c r="AG4858" s="4">
        <v>0</v>
      </c>
      <c r="AH4858" s="4">
        <v>38</v>
      </c>
      <c r="AI4858" s="4">
        <v>38</v>
      </c>
      <c r="AJ4858" s="4">
        <v>11</v>
      </c>
      <c r="AK4858" s="4">
        <v>11</v>
      </c>
      <c r="AL4858" s="4">
        <v>26</v>
      </c>
      <c r="AM4858" s="4">
        <v>26</v>
      </c>
      <c r="AN4858" s="4">
        <v>0</v>
      </c>
      <c r="AO4858" s="4">
        <v>0</v>
      </c>
      <c r="AP4858" s="4">
        <v>11</v>
      </c>
      <c r="AQ4858" s="4">
        <v>11</v>
      </c>
      <c r="AR4858" s="3" t="s">
        <v>62</v>
      </c>
      <c r="AS4858" s="3" t="s">
        <v>62</v>
      </c>
      <c r="AT4858" s="3" t="s">
        <v>62</v>
      </c>
      <c r="AV4858" s="6" t="str">
        <f>HYPERLINK("http://mcgill.on.worldcat.org/oclc/730054568","Catalog Record")</f>
        <v>Catalog Record</v>
      </c>
      <c r="AW4858" s="6" t="str">
        <f>HYPERLINK("http://www.worldcat.org/oclc/730054568","WorldCat Record")</f>
        <v>WorldCat Record</v>
      </c>
      <c r="AX4858" s="3" t="s">
        <v>46527</v>
      </c>
      <c r="AY4858" s="3" t="s">
        <v>46528</v>
      </c>
      <c r="AZ4858" s="3" t="s">
        <v>46529</v>
      </c>
      <c r="BA4858" s="3" t="s">
        <v>46529</v>
      </c>
      <c r="BB4858" s="3" t="s">
        <v>46530</v>
      </c>
      <c r="BC4858" s="3" t="s">
        <v>142</v>
      </c>
      <c r="BD4858" s="3" t="s">
        <v>68</v>
      </c>
      <c r="BE4858" s="3" t="s">
        <v>46531</v>
      </c>
      <c r="BF4858" s="3" t="s">
        <v>46530</v>
      </c>
      <c r="BG4858" s="3" t="s">
        <v>46532</v>
      </c>
    </row>
    <row r="4859" spans="1:59" ht="57" x14ac:dyDescent="0.45">
      <c r="A4859" s="2" t="s">
        <v>59</v>
      </c>
      <c r="B4859" s="2" t="s">
        <v>60</v>
      </c>
      <c r="C4859" s="2" t="s">
        <v>46533</v>
      </c>
      <c r="D4859" s="2" t="s">
        <v>46534</v>
      </c>
      <c r="E4859" s="2" t="s">
        <v>46535</v>
      </c>
      <c r="G4859" s="3" t="s">
        <v>62</v>
      </c>
      <c r="I4859" s="3" t="s">
        <v>62</v>
      </c>
      <c r="J4859" s="3" t="s">
        <v>62</v>
      </c>
      <c r="K4859" s="3" t="s">
        <v>63</v>
      </c>
      <c r="L4859" s="2" t="s">
        <v>46536</v>
      </c>
      <c r="M4859" s="2" t="s">
        <v>46537</v>
      </c>
      <c r="N4859" s="3" t="s">
        <v>820</v>
      </c>
      <c r="P4859" s="3" t="s">
        <v>65</v>
      </c>
      <c r="R4859" s="3" t="s">
        <v>66</v>
      </c>
      <c r="S4859" s="4">
        <v>10</v>
      </c>
      <c r="T4859" s="4">
        <v>10</v>
      </c>
      <c r="U4859" s="5" t="s">
        <v>6930</v>
      </c>
      <c r="V4859" s="5" t="s">
        <v>6930</v>
      </c>
      <c r="W4859" s="5" t="s">
        <v>67</v>
      </c>
      <c r="X4859" s="5" t="s">
        <v>67</v>
      </c>
      <c r="Y4859" s="4">
        <v>157</v>
      </c>
      <c r="Z4859" s="4">
        <v>21</v>
      </c>
      <c r="AA4859" s="4">
        <v>30</v>
      </c>
      <c r="AB4859" s="4">
        <v>2</v>
      </c>
      <c r="AC4859" s="4">
        <v>10</v>
      </c>
      <c r="AD4859" s="4">
        <v>58</v>
      </c>
      <c r="AE4859" s="4">
        <v>75</v>
      </c>
      <c r="AF4859" s="4">
        <v>1</v>
      </c>
      <c r="AG4859" s="4">
        <v>5</v>
      </c>
      <c r="AH4859" s="4">
        <v>50</v>
      </c>
      <c r="AI4859" s="4">
        <v>62</v>
      </c>
      <c r="AJ4859" s="4">
        <v>15</v>
      </c>
      <c r="AK4859" s="4">
        <v>18</v>
      </c>
      <c r="AL4859" s="4">
        <v>28</v>
      </c>
      <c r="AM4859" s="4">
        <v>37</v>
      </c>
      <c r="AN4859" s="4">
        <v>0</v>
      </c>
      <c r="AO4859" s="4">
        <v>0</v>
      </c>
      <c r="AP4859" s="4">
        <v>17</v>
      </c>
      <c r="AQ4859" s="4">
        <v>21</v>
      </c>
      <c r="AR4859" s="3" t="s">
        <v>62</v>
      </c>
      <c r="AS4859" s="3" t="s">
        <v>62</v>
      </c>
      <c r="AT4859" s="3" t="s">
        <v>62</v>
      </c>
      <c r="AV4859" s="6" t="str">
        <f>HYPERLINK("http://mcgill.on.worldcat.org/oclc/184925158","Catalog Record")</f>
        <v>Catalog Record</v>
      </c>
      <c r="AW4859" s="6" t="str">
        <f>HYPERLINK("http://www.worldcat.org/oclc/184925158","WorldCat Record")</f>
        <v>WorldCat Record</v>
      </c>
      <c r="AX4859" s="3" t="s">
        <v>46538</v>
      </c>
      <c r="AY4859" s="3" t="s">
        <v>46539</v>
      </c>
      <c r="AZ4859" s="3" t="s">
        <v>46540</v>
      </c>
      <c r="BA4859" s="3" t="s">
        <v>46540</v>
      </c>
      <c r="BB4859" s="3" t="s">
        <v>46541</v>
      </c>
      <c r="BC4859" s="3" t="s">
        <v>142</v>
      </c>
      <c r="BD4859" s="3" t="s">
        <v>68</v>
      </c>
      <c r="BE4859" s="3" t="s">
        <v>46542</v>
      </c>
      <c r="BF4859" s="3" t="s">
        <v>46541</v>
      </c>
      <c r="BG4859" s="3" t="s">
        <v>46543</v>
      </c>
    </row>
    <row r="4860" spans="1:59" ht="57" x14ac:dyDescent="0.45">
      <c r="A4860" s="2" t="s">
        <v>59</v>
      </c>
      <c r="B4860" s="2" t="s">
        <v>60</v>
      </c>
      <c r="C4860" s="2" t="s">
        <v>46544</v>
      </c>
      <c r="D4860" s="2" t="s">
        <v>46545</v>
      </c>
      <c r="E4860" s="2" t="s">
        <v>46546</v>
      </c>
      <c r="G4860" s="3" t="s">
        <v>62</v>
      </c>
      <c r="I4860" s="3" t="s">
        <v>62</v>
      </c>
      <c r="J4860" s="3" t="s">
        <v>62</v>
      </c>
      <c r="K4860" s="3" t="s">
        <v>63</v>
      </c>
      <c r="L4860" s="2" t="s">
        <v>46547</v>
      </c>
      <c r="M4860" s="2" t="s">
        <v>44820</v>
      </c>
      <c r="N4860" s="3" t="s">
        <v>1212</v>
      </c>
      <c r="P4860" s="3" t="s">
        <v>65</v>
      </c>
      <c r="R4860" s="3" t="s">
        <v>66</v>
      </c>
      <c r="S4860" s="4">
        <v>14</v>
      </c>
      <c r="T4860" s="4">
        <v>14</v>
      </c>
      <c r="U4860" s="5" t="s">
        <v>3850</v>
      </c>
      <c r="V4860" s="5" t="s">
        <v>3850</v>
      </c>
      <c r="W4860" s="5" t="s">
        <v>67</v>
      </c>
      <c r="X4860" s="5" t="s">
        <v>67</v>
      </c>
      <c r="Y4860" s="4">
        <v>275</v>
      </c>
      <c r="Z4860" s="4">
        <v>20</v>
      </c>
      <c r="AA4860" s="4">
        <v>93</v>
      </c>
      <c r="AB4860" s="4">
        <v>2</v>
      </c>
      <c r="AC4860" s="4">
        <v>17</v>
      </c>
      <c r="AD4860" s="4">
        <v>98</v>
      </c>
      <c r="AE4860" s="4">
        <v>145</v>
      </c>
      <c r="AF4860" s="4">
        <v>1</v>
      </c>
      <c r="AG4860" s="4">
        <v>8</v>
      </c>
      <c r="AH4860" s="4">
        <v>89</v>
      </c>
      <c r="AI4860" s="4">
        <v>108</v>
      </c>
      <c r="AJ4860" s="4">
        <v>17</v>
      </c>
      <c r="AK4860" s="4">
        <v>26</v>
      </c>
      <c r="AL4860" s="4">
        <v>52</v>
      </c>
      <c r="AM4860" s="4">
        <v>58</v>
      </c>
      <c r="AN4860" s="4">
        <v>0</v>
      </c>
      <c r="AO4860" s="4">
        <v>0</v>
      </c>
      <c r="AP4860" s="4">
        <v>17</v>
      </c>
      <c r="AQ4860" s="4">
        <v>47</v>
      </c>
      <c r="AR4860" s="3" t="s">
        <v>62</v>
      </c>
      <c r="AS4860" s="3" t="s">
        <v>62</v>
      </c>
      <c r="AT4860" s="3" t="s">
        <v>62</v>
      </c>
      <c r="AV4860" s="6" t="str">
        <f>HYPERLINK("http://mcgill.on.worldcat.org/oclc/42812965","Catalog Record")</f>
        <v>Catalog Record</v>
      </c>
      <c r="AW4860" s="6" t="str">
        <f>HYPERLINK("http://www.worldcat.org/oclc/42812965","WorldCat Record")</f>
        <v>WorldCat Record</v>
      </c>
      <c r="AX4860" s="3" t="s">
        <v>46548</v>
      </c>
      <c r="AY4860" s="3" t="s">
        <v>46549</v>
      </c>
      <c r="AZ4860" s="3" t="s">
        <v>46550</v>
      </c>
      <c r="BA4860" s="3" t="s">
        <v>46550</v>
      </c>
      <c r="BB4860" s="3" t="s">
        <v>46551</v>
      </c>
      <c r="BC4860" s="3" t="s">
        <v>142</v>
      </c>
      <c r="BD4860" s="3" t="s">
        <v>68</v>
      </c>
      <c r="BE4860" s="3" t="s">
        <v>46552</v>
      </c>
      <c r="BF4860" s="3" t="s">
        <v>46551</v>
      </c>
      <c r="BG4860" s="3" t="s">
        <v>46553</v>
      </c>
    </row>
    <row r="4861" spans="1:59" ht="57" x14ac:dyDescent="0.45">
      <c r="A4861" s="2" t="s">
        <v>59</v>
      </c>
      <c r="B4861" s="2" t="s">
        <v>60</v>
      </c>
      <c r="C4861" s="2" t="s">
        <v>46554</v>
      </c>
      <c r="D4861" s="2" t="s">
        <v>46555</v>
      </c>
      <c r="E4861" s="2" t="s">
        <v>46556</v>
      </c>
      <c r="G4861" s="3" t="s">
        <v>62</v>
      </c>
      <c r="I4861" s="3" t="s">
        <v>62</v>
      </c>
      <c r="J4861" s="3" t="s">
        <v>62</v>
      </c>
      <c r="K4861" s="3" t="s">
        <v>63</v>
      </c>
      <c r="L4861" s="2" t="s">
        <v>46557</v>
      </c>
      <c r="M4861" s="2" t="s">
        <v>46558</v>
      </c>
      <c r="N4861" s="3" t="s">
        <v>208</v>
      </c>
      <c r="P4861" s="3" t="s">
        <v>65</v>
      </c>
      <c r="Q4861" s="2" t="s">
        <v>46559</v>
      </c>
      <c r="R4861" s="3" t="s">
        <v>66</v>
      </c>
      <c r="S4861" s="4">
        <v>1</v>
      </c>
      <c r="T4861" s="4">
        <v>1</v>
      </c>
      <c r="U4861" s="5" t="s">
        <v>1034</v>
      </c>
      <c r="V4861" s="5" t="s">
        <v>1034</v>
      </c>
      <c r="W4861" s="5" t="s">
        <v>67</v>
      </c>
      <c r="X4861" s="5" t="s">
        <v>67</v>
      </c>
      <c r="Y4861" s="4">
        <v>68</v>
      </c>
      <c r="Z4861" s="4">
        <v>9</v>
      </c>
      <c r="AA4861" s="4">
        <v>9</v>
      </c>
      <c r="AB4861" s="4">
        <v>1</v>
      </c>
      <c r="AC4861" s="4">
        <v>1</v>
      </c>
      <c r="AD4861" s="4">
        <v>43</v>
      </c>
      <c r="AE4861" s="4">
        <v>43</v>
      </c>
      <c r="AF4861" s="4">
        <v>0</v>
      </c>
      <c r="AG4861" s="4">
        <v>0</v>
      </c>
      <c r="AH4861" s="4">
        <v>39</v>
      </c>
      <c r="AI4861" s="4">
        <v>39</v>
      </c>
      <c r="AJ4861" s="4">
        <v>7</v>
      </c>
      <c r="AK4861" s="4">
        <v>7</v>
      </c>
      <c r="AL4861" s="4">
        <v>29</v>
      </c>
      <c r="AM4861" s="4">
        <v>29</v>
      </c>
      <c r="AN4861" s="4">
        <v>0</v>
      </c>
      <c r="AO4861" s="4">
        <v>0</v>
      </c>
      <c r="AP4861" s="4">
        <v>7</v>
      </c>
      <c r="AQ4861" s="4">
        <v>7</v>
      </c>
      <c r="AR4861" s="3" t="s">
        <v>62</v>
      </c>
      <c r="AS4861" s="3" t="s">
        <v>62</v>
      </c>
      <c r="AT4861" s="3" t="s">
        <v>62</v>
      </c>
      <c r="AV4861" s="6" t="str">
        <f>HYPERLINK("http://mcgill.on.worldcat.org/oclc/891615759","Catalog Record")</f>
        <v>Catalog Record</v>
      </c>
      <c r="AW4861" s="6" t="str">
        <f>HYPERLINK("http://www.worldcat.org/oclc/891615759","WorldCat Record")</f>
        <v>WorldCat Record</v>
      </c>
      <c r="AX4861" s="3" t="s">
        <v>46560</v>
      </c>
      <c r="AY4861" s="3" t="s">
        <v>46561</v>
      </c>
      <c r="AZ4861" s="3" t="s">
        <v>46562</v>
      </c>
      <c r="BA4861" s="3" t="s">
        <v>46562</v>
      </c>
      <c r="BB4861" s="3" t="s">
        <v>46563</v>
      </c>
      <c r="BC4861" s="3" t="s">
        <v>142</v>
      </c>
      <c r="BD4861" s="3" t="s">
        <v>68</v>
      </c>
      <c r="BE4861" s="3" t="s">
        <v>46564</v>
      </c>
      <c r="BF4861" s="3" t="s">
        <v>46563</v>
      </c>
      <c r="BG4861" s="3" t="s">
        <v>46565</v>
      </c>
    </row>
    <row r="4862" spans="1:59" ht="57" x14ac:dyDescent="0.45">
      <c r="A4862" s="2" t="s">
        <v>59</v>
      </c>
      <c r="B4862" s="2" t="s">
        <v>60</v>
      </c>
      <c r="C4862" s="2" t="s">
        <v>46566</v>
      </c>
      <c r="D4862" s="2" t="s">
        <v>46567</v>
      </c>
      <c r="E4862" s="2" t="s">
        <v>46568</v>
      </c>
      <c r="G4862" s="3" t="s">
        <v>62</v>
      </c>
      <c r="I4862" s="3" t="s">
        <v>62</v>
      </c>
      <c r="J4862" s="3" t="s">
        <v>62</v>
      </c>
      <c r="K4862" s="3" t="s">
        <v>63</v>
      </c>
      <c r="L4862" s="2" t="s">
        <v>46569</v>
      </c>
      <c r="M4862" s="2" t="s">
        <v>34451</v>
      </c>
      <c r="N4862" s="3" t="s">
        <v>1918</v>
      </c>
      <c r="P4862" s="3" t="s">
        <v>65</v>
      </c>
      <c r="Q4862" s="2" t="s">
        <v>10572</v>
      </c>
      <c r="R4862" s="3" t="s">
        <v>66</v>
      </c>
      <c r="S4862" s="4">
        <v>0</v>
      </c>
      <c r="T4862" s="4">
        <v>0</v>
      </c>
      <c r="W4862" s="5" t="s">
        <v>67</v>
      </c>
      <c r="X4862" s="5" t="s">
        <v>67</v>
      </c>
      <c r="Y4862" s="4">
        <v>38</v>
      </c>
      <c r="Z4862" s="4">
        <v>3</v>
      </c>
      <c r="AA4862" s="4">
        <v>3</v>
      </c>
      <c r="AB4862" s="4">
        <v>2</v>
      </c>
      <c r="AC4862" s="4">
        <v>2</v>
      </c>
      <c r="AD4862" s="4">
        <v>20</v>
      </c>
      <c r="AE4862" s="4">
        <v>20</v>
      </c>
      <c r="AF4862" s="4">
        <v>1</v>
      </c>
      <c r="AG4862" s="4">
        <v>1</v>
      </c>
      <c r="AH4862" s="4">
        <v>18</v>
      </c>
      <c r="AI4862" s="4">
        <v>18</v>
      </c>
      <c r="AJ4862" s="4">
        <v>2</v>
      </c>
      <c r="AK4862" s="4">
        <v>2</v>
      </c>
      <c r="AL4862" s="4">
        <v>15</v>
      </c>
      <c r="AM4862" s="4">
        <v>15</v>
      </c>
      <c r="AN4862" s="4">
        <v>0</v>
      </c>
      <c r="AO4862" s="4">
        <v>0</v>
      </c>
      <c r="AP4862" s="4">
        <v>2</v>
      </c>
      <c r="AQ4862" s="4">
        <v>2</v>
      </c>
      <c r="AR4862" s="3" t="s">
        <v>62</v>
      </c>
      <c r="AS4862" s="3" t="s">
        <v>62</v>
      </c>
      <c r="AT4862" s="3" t="s">
        <v>62</v>
      </c>
      <c r="AV4862" s="6" t="str">
        <f>HYPERLINK("http://mcgill.on.worldcat.org/oclc/974910855","Catalog Record")</f>
        <v>Catalog Record</v>
      </c>
      <c r="AW4862" s="6" t="str">
        <f>HYPERLINK("http://www.worldcat.org/oclc/974910855","WorldCat Record")</f>
        <v>WorldCat Record</v>
      </c>
      <c r="AX4862" s="3" t="s">
        <v>46570</v>
      </c>
      <c r="AY4862" s="3" t="s">
        <v>46571</v>
      </c>
      <c r="AZ4862" s="3" t="s">
        <v>46572</v>
      </c>
      <c r="BA4862" s="3" t="s">
        <v>46572</v>
      </c>
      <c r="BB4862" s="3" t="s">
        <v>46573</v>
      </c>
      <c r="BC4862" s="3" t="s">
        <v>142</v>
      </c>
      <c r="BD4862" s="3" t="s">
        <v>68</v>
      </c>
      <c r="BE4862" s="3" t="s">
        <v>46574</v>
      </c>
      <c r="BF4862" s="3" t="s">
        <v>46573</v>
      </c>
      <c r="BG4862" s="3" t="s">
        <v>46575</v>
      </c>
    </row>
    <row r="4863" spans="1:59" ht="57" x14ac:dyDescent="0.45">
      <c r="A4863" s="2" t="s">
        <v>59</v>
      </c>
      <c r="B4863" s="2" t="s">
        <v>60</v>
      </c>
      <c r="C4863" s="2" t="s">
        <v>46576</v>
      </c>
      <c r="D4863" s="2" t="s">
        <v>46577</v>
      </c>
      <c r="E4863" s="2" t="s">
        <v>46578</v>
      </c>
      <c r="G4863" s="3" t="s">
        <v>62</v>
      </c>
      <c r="I4863" s="3" t="s">
        <v>62</v>
      </c>
      <c r="J4863" s="3" t="s">
        <v>62</v>
      </c>
      <c r="K4863" s="3" t="s">
        <v>63</v>
      </c>
      <c r="L4863" s="2" t="s">
        <v>32055</v>
      </c>
      <c r="M4863" s="2" t="s">
        <v>46579</v>
      </c>
      <c r="N4863" s="3" t="s">
        <v>157</v>
      </c>
      <c r="P4863" s="3" t="s">
        <v>65</v>
      </c>
      <c r="R4863" s="3" t="s">
        <v>66</v>
      </c>
      <c r="S4863" s="4">
        <v>4</v>
      </c>
      <c r="T4863" s="4">
        <v>4</v>
      </c>
      <c r="U4863" s="5" t="s">
        <v>46580</v>
      </c>
      <c r="V4863" s="5" t="s">
        <v>46580</v>
      </c>
      <c r="W4863" s="5" t="s">
        <v>67</v>
      </c>
      <c r="X4863" s="5" t="s">
        <v>67</v>
      </c>
      <c r="Y4863" s="4">
        <v>390</v>
      </c>
      <c r="Z4863" s="4">
        <v>26</v>
      </c>
      <c r="AA4863" s="4">
        <v>30</v>
      </c>
      <c r="AB4863" s="4">
        <v>1</v>
      </c>
      <c r="AC4863" s="4">
        <v>5</v>
      </c>
      <c r="AD4863" s="4">
        <v>117</v>
      </c>
      <c r="AE4863" s="4">
        <v>120</v>
      </c>
      <c r="AF4863" s="4">
        <v>0</v>
      </c>
      <c r="AG4863" s="4">
        <v>3</v>
      </c>
      <c r="AH4863" s="4">
        <v>105</v>
      </c>
      <c r="AI4863" s="4">
        <v>106</v>
      </c>
      <c r="AJ4863" s="4">
        <v>15</v>
      </c>
      <c r="AK4863" s="4">
        <v>18</v>
      </c>
      <c r="AL4863" s="4">
        <v>57</v>
      </c>
      <c r="AM4863" s="4">
        <v>57</v>
      </c>
      <c r="AN4863" s="4">
        <v>0</v>
      </c>
      <c r="AO4863" s="4">
        <v>0</v>
      </c>
      <c r="AP4863" s="4">
        <v>18</v>
      </c>
      <c r="AQ4863" s="4">
        <v>20</v>
      </c>
      <c r="AR4863" s="3" t="s">
        <v>62</v>
      </c>
      <c r="AS4863" s="3" t="s">
        <v>62</v>
      </c>
      <c r="AT4863" s="3" t="s">
        <v>61</v>
      </c>
      <c r="AU4863" s="6" t="str">
        <f>HYPERLINK("http://catalog.hathitrust.org/Record/000272890","HathiTrust Record")</f>
        <v>HathiTrust Record</v>
      </c>
      <c r="AV4863" s="6" t="str">
        <f>HYPERLINK("http://mcgill.on.worldcat.org/oclc/7998341","Catalog Record")</f>
        <v>Catalog Record</v>
      </c>
      <c r="AW4863" s="6" t="str">
        <f>HYPERLINK("http://www.worldcat.org/oclc/7998341","WorldCat Record")</f>
        <v>WorldCat Record</v>
      </c>
      <c r="AX4863" s="3" t="s">
        <v>46581</v>
      </c>
      <c r="AY4863" s="3" t="s">
        <v>46582</v>
      </c>
      <c r="AZ4863" s="3" t="s">
        <v>46583</v>
      </c>
      <c r="BA4863" s="3" t="s">
        <v>46583</v>
      </c>
      <c r="BB4863" s="3" t="s">
        <v>46584</v>
      </c>
      <c r="BC4863" s="3" t="s">
        <v>142</v>
      </c>
      <c r="BD4863" s="3" t="s">
        <v>68</v>
      </c>
      <c r="BE4863" s="3" t="s">
        <v>46585</v>
      </c>
      <c r="BF4863" s="3" t="s">
        <v>46584</v>
      </c>
      <c r="BG4863" s="3" t="s">
        <v>46586</v>
      </c>
    </row>
    <row r="4864" spans="1:59" ht="57" x14ac:dyDescent="0.45">
      <c r="A4864" s="2" t="s">
        <v>59</v>
      </c>
      <c r="B4864" s="2" t="s">
        <v>60</v>
      </c>
      <c r="C4864" s="2" t="s">
        <v>46587</v>
      </c>
      <c r="D4864" s="2" t="s">
        <v>46588</v>
      </c>
      <c r="E4864" s="2" t="s">
        <v>46589</v>
      </c>
      <c r="G4864" s="3" t="s">
        <v>62</v>
      </c>
      <c r="I4864" s="3" t="s">
        <v>62</v>
      </c>
      <c r="J4864" s="3" t="s">
        <v>62</v>
      </c>
      <c r="K4864" s="3" t="s">
        <v>63</v>
      </c>
      <c r="L4864" s="2" t="s">
        <v>32055</v>
      </c>
      <c r="M4864" s="2" t="s">
        <v>46590</v>
      </c>
      <c r="N4864" s="3" t="s">
        <v>106</v>
      </c>
      <c r="P4864" s="3" t="s">
        <v>65</v>
      </c>
      <c r="Q4864" s="2" t="s">
        <v>8422</v>
      </c>
      <c r="R4864" s="3" t="s">
        <v>66</v>
      </c>
      <c r="S4864" s="4">
        <v>2</v>
      </c>
      <c r="T4864" s="4">
        <v>2</v>
      </c>
      <c r="U4864" s="5" t="s">
        <v>795</v>
      </c>
      <c r="V4864" s="5" t="s">
        <v>795</v>
      </c>
      <c r="W4864" s="5" t="s">
        <v>67</v>
      </c>
      <c r="X4864" s="5" t="s">
        <v>67</v>
      </c>
      <c r="Y4864" s="4">
        <v>179</v>
      </c>
      <c r="Z4864" s="4">
        <v>13</v>
      </c>
      <c r="AA4864" s="4">
        <v>19</v>
      </c>
      <c r="AB4864" s="4">
        <v>2</v>
      </c>
      <c r="AC4864" s="4">
        <v>5</v>
      </c>
      <c r="AD4864" s="4">
        <v>81</v>
      </c>
      <c r="AE4864" s="4">
        <v>97</v>
      </c>
      <c r="AF4864" s="4">
        <v>1</v>
      </c>
      <c r="AG4864" s="4">
        <v>4</v>
      </c>
      <c r="AH4864" s="4">
        <v>74</v>
      </c>
      <c r="AI4864" s="4">
        <v>87</v>
      </c>
      <c r="AJ4864" s="4">
        <v>10</v>
      </c>
      <c r="AK4864" s="4">
        <v>14</v>
      </c>
      <c r="AL4864" s="4">
        <v>40</v>
      </c>
      <c r="AM4864" s="4">
        <v>50</v>
      </c>
      <c r="AN4864" s="4">
        <v>0</v>
      </c>
      <c r="AO4864" s="4">
        <v>0</v>
      </c>
      <c r="AP4864" s="4">
        <v>10</v>
      </c>
      <c r="AQ4864" s="4">
        <v>13</v>
      </c>
      <c r="AR4864" s="3" t="s">
        <v>62</v>
      </c>
      <c r="AS4864" s="3" t="s">
        <v>62</v>
      </c>
      <c r="AT4864" s="3" t="s">
        <v>61</v>
      </c>
      <c r="AU4864" s="6" t="str">
        <f>HYPERLINK("http://catalog.hathitrust.org/Record/000202028","HathiTrust Record")</f>
        <v>HathiTrust Record</v>
      </c>
      <c r="AV4864" s="6" t="str">
        <f>HYPERLINK("http://mcgill.on.worldcat.org/oclc/9783959","Catalog Record")</f>
        <v>Catalog Record</v>
      </c>
      <c r="AW4864" s="6" t="str">
        <f>HYPERLINK("http://www.worldcat.org/oclc/9783959","WorldCat Record")</f>
        <v>WorldCat Record</v>
      </c>
      <c r="AX4864" s="3" t="s">
        <v>46591</v>
      </c>
      <c r="AY4864" s="3" t="s">
        <v>46592</v>
      </c>
      <c r="AZ4864" s="3" t="s">
        <v>46593</v>
      </c>
      <c r="BA4864" s="3" t="s">
        <v>46593</v>
      </c>
      <c r="BB4864" s="3" t="s">
        <v>46594</v>
      </c>
      <c r="BC4864" s="3" t="s">
        <v>142</v>
      </c>
      <c r="BD4864" s="3" t="s">
        <v>68</v>
      </c>
      <c r="BE4864" s="3" t="s">
        <v>46595</v>
      </c>
      <c r="BF4864" s="3" t="s">
        <v>46594</v>
      </c>
      <c r="BG4864" s="3" t="s">
        <v>46596</v>
      </c>
    </row>
    <row r="4865" spans="1:59" ht="57" x14ac:dyDescent="0.45">
      <c r="A4865" s="2" t="s">
        <v>59</v>
      </c>
      <c r="B4865" s="2" t="s">
        <v>60</v>
      </c>
      <c r="C4865" s="2" t="s">
        <v>46597</v>
      </c>
      <c r="D4865" s="2" t="s">
        <v>46598</v>
      </c>
      <c r="E4865" s="2" t="s">
        <v>46599</v>
      </c>
      <c r="G4865" s="3" t="s">
        <v>62</v>
      </c>
      <c r="I4865" s="3" t="s">
        <v>62</v>
      </c>
      <c r="J4865" s="3" t="s">
        <v>62</v>
      </c>
      <c r="K4865" s="3" t="s">
        <v>63</v>
      </c>
      <c r="M4865" s="2" t="s">
        <v>46600</v>
      </c>
      <c r="N4865" s="3" t="s">
        <v>2417</v>
      </c>
      <c r="P4865" s="3" t="s">
        <v>65</v>
      </c>
      <c r="Q4865" s="2" t="s">
        <v>46601</v>
      </c>
      <c r="R4865" s="3" t="s">
        <v>66</v>
      </c>
      <c r="S4865" s="4">
        <v>18</v>
      </c>
      <c r="T4865" s="4">
        <v>18</v>
      </c>
      <c r="U4865" s="5" t="s">
        <v>1894</v>
      </c>
      <c r="V4865" s="5" t="s">
        <v>1894</v>
      </c>
      <c r="W4865" s="5" t="s">
        <v>67</v>
      </c>
      <c r="X4865" s="5" t="s">
        <v>67</v>
      </c>
      <c r="Y4865" s="4">
        <v>158</v>
      </c>
      <c r="Z4865" s="4">
        <v>12</v>
      </c>
      <c r="AA4865" s="4">
        <v>94</v>
      </c>
      <c r="AB4865" s="4">
        <v>1</v>
      </c>
      <c r="AC4865" s="4">
        <v>17</v>
      </c>
      <c r="AD4865" s="4">
        <v>65</v>
      </c>
      <c r="AE4865" s="4">
        <v>118</v>
      </c>
      <c r="AF4865" s="4">
        <v>0</v>
      </c>
      <c r="AG4865" s="4">
        <v>8</v>
      </c>
      <c r="AH4865" s="4">
        <v>61</v>
      </c>
      <c r="AI4865" s="4">
        <v>85</v>
      </c>
      <c r="AJ4865" s="4">
        <v>8</v>
      </c>
      <c r="AK4865" s="4">
        <v>22</v>
      </c>
      <c r="AL4865" s="4">
        <v>42</v>
      </c>
      <c r="AM4865" s="4">
        <v>47</v>
      </c>
      <c r="AN4865" s="4">
        <v>0</v>
      </c>
      <c r="AO4865" s="4">
        <v>0</v>
      </c>
      <c r="AP4865" s="4">
        <v>9</v>
      </c>
      <c r="AQ4865" s="4">
        <v>43</v>
      </c>
      <c r="AR4865" s="3" t="s">
        <v>62</v>
      </c>
      <c r="AS4865" s="3" t="s">
        <v>62</v>
      </c>
      <c r="AT4865" s="3" t="s">
        <v>61</v>
      </c>
      <c r="AU4865" s="6" t="str">
        <f>HYPERLINK("http://catalog.hathitrust.org/Record/001089524","HathiTrust Record")</f>
        <v>HathiTrust Record</v>
      </c>
      <c r="AV4865" s="6" t="str">
        <f>HYPERLINK("http://mcgill.on.worldcat.org/oclc/17441586","Catalog Record")</f>
        <v>Catalog Record</v>
      </c>
      <c r="AW4865" s="6" t="str">
        <f>HYPERLINK("http://www.worldcat.org/oclc/17441586","WorldCat Record")</f>
        <v>WorldCat Record</v>
      </c>
      <c r="AX4865" s="3" t="s">
        <v>46602</v>
      </c>
      <c r="AY4865" s="3" t="s">
        <v>46603</v>
      </c>
      <c r="AZ4865" s="3" t="s">
        <v>46604</v>
      </c>
      <c r="BA4865" s="3" t="s">
        <v>46604</v>
      </c>
      <c r="BB4865" s="3" t="s">
        <v>46605</v>
      </c>
      <c r="BC4865" s="3" t="s">
        <v>142</v>
      </c>
      <c r="BD4865" s="3" t="s">
        <v>68</v>
      </c>
      <c r="BE4865" s="3" t="s">
        <v>46606</v>
      </c>
      <c r="BF4865" s="3" t="s">
        <v>46605</v>
      </c>
      <c r="BG4865" s="3" t="s">
        <v>46607</v>
      </c>
    </row>
    <row r="4866" spans="1:59" ht="57" x14ac:dyDescent="0.45">
      <c r="A4866" s="2" t="s">
        <v>59</v>
      </c>
      <c r="B4866" s="2" t="s">
        <v>60</v>
      </c>
      <c r="C4866" s="2" t="s">
        <v>46608</v>
      </c>
      <c r="D4866" s="2" t="s">
        <v>46609</v>
      </c>
      <c r="E4866" s="2" t="s">
        <v>46610</v>
      </c>
      <c r="G4866" s="3" t="s">
        <v>62</v>
      </c>
      <c r="I4866" s="3" t="s">
        <v>62</v>
      </c>
      <c r="J4866" s="3" t="s">
        <v>62</v>
      </c>
      <c r="K4866" s="3" t="s">
        <v>63</v>
      </c>
      <c r="L4866" s="2" t="s">
        <v>46611</v>
      </c>
      <c r="M4866" s="2" t="s">
        <v>46612</v>
      </c>
      <c r="N4866" s="3" t="s">
        <v>2417</v>
      </c>
      <c r="P4866" s="3" t="s">
        <v>65</v>
      </c>
      <c r="Q4866" s="2" t="s">
        <v>46613</v>
      </c>
      <c r="R4866" s="3" t="s">
        <v>66</v>
      </c>
      <c r="S4866" s="4">
        <v>14</v>
      </c>
      <c r="T4866" s="4">
        <v>14</v>
      </c>
      <c r="U4866" s="5" t="s">
        <v>6668</v>
      </c>
      <c r="V4866" s="5" t="s">
        <v>6668</v>
      </c>
      <c r="W4866" s="5" t="s">
        <v>67</v>
      </c>
      <c r="X4866" s="5" t="s">
        <v>67</v>
      </c>
      <c r="Y4866" s="4">
        <v>78</v>
      </c>
      <c r="Z4866" s="4">
        <v>9</v>
      </c>
      <c r="AA4866" s="4">
        <v>12</v>
      </c>
      <c r="AB4866" s="4">
        <v>1</v>
      </c>
      <c r="AC4866" s="4">
        <v>4</v>
      </c>
      <c r="AD4866" s="4">
        <v>37</v>
      </c>
      <c r="AE4866" s="4">
        <v>40</v>
      </c>
      <c r="AF4866" s="4">
        <v>0</v>
      </c>
      <c r="AG4866" s="4">
        <v>3</v>
      </c>
      <c r="AH4866" s="4">
        <v>33</v>
      </c>
      <c r="AI4866" s="4">
        <v>34</v>
      </c>
      <c r="AJ4866" s="4">
        <v>7</v>
      </c>
      <c r="AK4866" s="4">
        <v>10</v>
      </c>
      <c r="AL4866" s="4">
        <v>24</v>
      </c>
      <c r="AM4866" s="4">
        <v>24</v>
      </c>
      <c r="AN4866" s="4">
        <v>0</v>
      </c>
      <c r="AO4866" s="4">
        <v>0</v>
      </c>
      <c r="AP4866" s="4">
        <v>7</v>
      </c>
      <c r="AQ4866" s="4">
        <v>9</v>
      </c>
      <c r="AR4866" s="3" t="s">
        <v>62</v>
      </c>
      <c r="AS4866" s="3" t="s">
        <v>62</v>
      </c>
      <c r="AT4866" s="3" t="s">
        <v>61</v>
      </c>
      <c r="AU4866" s="6" t="str">
        <f>HYPERLINK("http://catalog.hathitrust.org/Record/001834121","HathiTrust Record")</f>
        <v>HathiTrust Record</v>
      </c>
      <c r="AV4866" s="6" t="str">
        <f>HYPERLINK("http://mcgill.on.worldcat.org/oclc/20608436","Catalog Record")</f>
        <v>Catalog Record</v>
      </c>
      <c r="AW4866" s="6" t="str">
        <f>HYPERLINK("http://www.worldcat.org/oclc/20608436","WorldCat Record")</f>
        <v>WorldCat Record</v>
      </c>
      <c r="AX4866" s="3" t="s">
        <v>46614</v>
      </c>
      <c r="AY4866" s="3" t="s">
        <v>46615</v>
      </c>
      <c r="AZ4866" s="3" t="s">
        <v>46616</v>
      </c>
      <c r="BA4866" s="3" t="s">
        <v>46616</v>
      </c>
      <c r="BB4866" s="3" t="s">
        <v>46617</v>
      </c>
      <c r="BC4866" s="3" t="s">
        <v>142</v>
      </c>
      <c r="BD4866" s="3" t="s">
        <v>68</v>
      </c>
      <c r="BE4866" s="3" t="s">
        <v>46618</v>
      </c>
      <c r="BF4866" s="3" t="s">
        <v>46617</v>
      </c>
      <c r="BG4866" s="3" t="s">
        <v>46619</v>
      </c>
    </row>
    <row r="4867" spans="1:59" ht="57" x14ac:dyDescent="0.45">
      <c r="A4867" s="2" t="s">
        <v>59</v>
      </c>
      <c r="B4867" s="2" t="s">
        <v>60</v>
      </c>
      <c r="C4867" s="2" t="s">
        <v>46620</v>
      </c>
      <c r="D4867" s="2" t="s">
        <v>46621</v>
      </c>
      <c r="E4867" s="2" t="s">
        <v>46622</v>
      </c>
      <c r="G4867" s="3" t="s">
        <v>62</v>
      </c>
      <c r="I4867" s="3" t="s">
        <v>62</v>
      </c>
      <c r="J4867" s="3" t="s">
        <v>62</v>
      </c>
      <c r="K4867" s="3" t="s">
        <v>63</v>
      </c>
      <c r="L4867" s="2" t="s">
        <v>46623</v>
      </c>
      <c r="M4867" s="2" t="s">
        <v>1760</v>
      </c>
      <c r="N4867" s="3" t="s">
        <v>894</v>
      </c>
      <c r="P4867" s="3" t="s">
        <v>65</v>
      </c>
      <c r="Q4867" s="2" t="s">
        <v>21253</v>
      </c>
      <c r="R4867" s="3" t="s">
        <v>66</v>
      </c>
      <c r="S4867" s="4">
        <v>4</v>
      </c>
      <c r="T4867" s="4">
        <v>4</v>
      </c>
      <c r="U4867" s="5" t="s">
        <v>8869</v>
      </c>
      <c r="V4867" s="5" t="s">
        <v>8869</v>
      </c>
      <c r="W4867" s="5" t="s">
        <v>67</v>
      </c>
      <c r="X4867" s="5" t="s">
        <v>67</v>
      </c>
      <c r="Y4867" s="4">
        <v>57</v>
      </c>
      <c r="Z4867" s="4">
        <v>8</v>
      </c>
      <c r="AA4867" s="4">
        <v>100</v>
      </c>
      <c r="AB4867" s="4">
        <v>1</v>
      </c>
      <c r="AC4867" s="4">
        <v>17</v>
      </c>
      <c r="AD4867" s="4">
        <v>30</v>
      </c>
      <c r="AE4867" s="4">
        <v>105</v>
      </c>
      <c r="AF4867" s="4">
        <v>0</v>
      </c>
      <c r="AG4867" s="4">
        <v>8</v>
      </c>
      <c r="AH4867" s="4">
        <v>28</v>
      </c>
      <c r="AI4867" s="4">
        <v>71</v>
      </c>
      <c r="AJ4867" s="4">
        <v>6</v>
      </c>
      <c r="AK4867" s="4">
        <v>20</v>
      </c>
      <c r="AL4867" s="4">
        <v>17</v>
      </c>
      <c r="AM4867" s="4">
        <v>38</v>
      </c>
      <c r="AN4867" s="4">
        <v>0</v>
      </c>
      <c r="AO4867" s="4">
        <v>0</v>
      </c>
      <c r="AP4867" s="4">
        <v>6</v>
      </c>
      <c r="AQ4867" s="4">
        <v>42</v>
      </c>
      <c r="AR4867" s="3" t="s">
        <v>62</v>
      </c>
      <c r="AS4867" s="3" t="s">
        <v>62</v>
      </c>
      <c r="AT4867" s="3" t="s">
        <v>62</v>
      </c>
      <c r="AV4867" s="6" t="str">
        <f>HYPERLINK("http://mcgill.on.worldcat.org/oclc/693751134","Catalog Record")</f>
        <v>Catalog Record</v>
      </c>
      <c r="AW4867" s="6" t="str">
        <f>HYPERLINK("http://www.worldcat.org/oclc/693751134","WorldCat Record")</f>
        <v>WorldCat Record</v>
      </c>
      <c r="AX4867" s="3" t="s">
        <v>46624</v>
      </c>
      <c r="AY4867" s="3" t="s">
        <v>46625</v>
      </c>
      <c r="AZ4867" s="3" t="s">
        <v>46626</v>
      </c>
      <c r="BA4867" s="3" t="s">
        <v>46626</v>
      </c>
      <c r="BB4867" s="3" t="s">
        <v>46627</v>
      </c>
      <c r="BC4867" s="3" t="s">
        <v>142</v>
      </c>
      <c r="BD4867" s="3" t="s">
        <v>68</v>
      </c>
      <c r="BE4867" s="3" t="s">
        <v>46628</v>
      </c>
      <c r="BF4867" s="3" t="s">
        <v>46627</v>
      </c>
      <c r="BG4867" s="3" t="s">
        <v>46629</v>
      </c>
    </row>
    <row r="4868" spans="1:59" ht="57" x14ac:dyDescent="0.45">
      <c r="A4868" s="2" t="s">
        <v>59</v>
      </c>
      <c r="B4868" s="2" t="s">
        <v>60</v>
      </c>
      <c r="C4868" s="2" t="s">
        <v>46630</v>
      </c>
      <c r="D4868" s="2" t="s">
        <v>46631</v>
      </c>
      <c r="E4868" s="2" t="s">
        <v>46632</v>
      </c>
      <c r="G4868" s="3" t="s">
        <v>62</v>
      </c>
      <c r="I4868" s="3" t="s">
        <v>62</v>
      </c>
      <c r="J4868" s="3" t="s">
        <v>62</v>
      </c>
      <c r="K4868" s="3" t="s">
        <v>63</v>
      </c>
      <c r="L4868" s="2" t="s">
        <v>46633</v>
      </c>
      <c r="M4868" s="2" t="s">
        <v>3001</v>
      </c>
      <c r="N4868" s="3" t="s">
        <v>1478</v>
      </c>
      <c r="P4868" s="3" t="s">
        <v>65</v>
      </c>
      <c r="Q4868" s="2" t="s">
        <v>46634</v>
      </c>
      <c r="R4868" s="3" t="s">
        <v>66</v>
      </c>
      <c r="S4868" s="4">
        <v>7</v>
      </c>
      <c r="T4868" s="4">
        <v>7</v>
      </c>
      <c r="U4868" s="5" t="s">
        <v>35394</v>
      </c>
      <c r="V4868" s="5" t="s">
        <v>35394</v>
      </c>
      <c r="W4868" s="5" t="s">
        <v>67</v>
      </c>
      <c r="X4868" s="5" t="s">
        <v>67</v>
      </c>
      <c r="Y4868" s="4">
        <v>218</v>
      </c>
      <c r="Z4868" s="4">
        <v>17</v>
      </c>
      <c r="AA4868" s="4">
        <v>20</v>
      </c>
      <c r="AB4868" s="4">
        <v>2</v>
      </c>
      <c r="AC4868" s="4">
        <v>5</v>
      </c>
      <c r="AD4868" s="4">
        <v>89</v>
      </c>
      <c r="AE4868" s="4">
        <v>91</v>
      </c>
      <c r="AF4868" s="4">
        <v>1</v>
      </c>
      <c r="AG4868" s="4">
        <v>3</v>
      </c>
      <c r="AH4868" s="4">
        <v>80</v>
      </c>
      <c r="AI4868" s="4">
        <v>81</v>
      </c>
      <c r="AJ4868" s="4">
        <v>13</v>
      </c>
      <c r="AK4868" s="4">
        <v>15</v>
      </c>
      <c r="AL4868" s="4">
        <v>50</v>
      </c>
      <c r="AM4868" s="4">
        <v>50</v>
      </c>
      <c r="AN4868" s="4">
        <v>0</v>
      </c>
      <c r="AO4868" s="4">
        <v>0</v>
      </c>
      <c r="AP4868" s="4">
        <v>15</v>
      </c>
      <c r="AQ4868" s="4">
        <v>17</v>
      </c>
      <c r="AR4868" s="3" t="s">
        <v>62</v>
      </c>
      <c r="AS4868" s="3" t="s">
        <v>62</v>
      </c>
      <c r="AT4868" s="3" t="s">
        <v>62</v>
      </c>
      <c r="AV4868" s="6" t="str">
        <f>HYPERLINK("http://mcgill.on.worldcat.org/oclc/35029761","Catalog Record")</f>
        <v>Catalog Record</v>
      </c>
      <c r="AW4868" s="6" t="str">
        <f>HYPERLINK("http://www.worldcat.org/oclc/35029761","WorldCat Record")</f>
        <v>WorldCat Record</v>
      </c>
      <c r="AX4868" s="3" t="s">
        <v>46635</v>
      </c>
      <c r="AY4868" s="3" t="s">
        <v>46636</v>
      </c>
      <c r="AZ4868" s="3" t="s">
        <v>46637</v>
      </c>
      <c r="BA4868" s="3" t="s">
        <v>46637</v>
      </c>
      <c r="BB4868" s="3" t="s">
        <v>46638</v>
      </c>
      <c r="BC4868" s="3" t="s">
        <v>142</v>
      </c>
      <c r="BD4868" s="3" t="s">
        <v>68</v>
      </c>
      <c r="BE4868" s="3" t="s">
        <v>46639</v>
      </c>
      <c r="BF4868" s="3" t="s">
        <v>46638</v>
      </c>
      <c r="BG4868" s="3" t="s">
        <v>46640</v>
      </c>
    </row>
    <row r="4869" spans="1:59" ht="57" x14ac:dyDescent="0.45">
      <c r="A4869" s="2" t="s">
        <v>59</v>
      </c>
      <c r="B4869" s="2" t="s">
        <v>60</v>
      </c>
      <c r="C4869" s="2" t="s">
        <v>46641</v>
      </c>
      <c r="D4869" s="2" t="s">
        <v>46642</v>
      </c>
      <c r="E4869" s="2" t="s">
        <v>46643</v>
      </c>
      <c r="G4869" s="3" t="s">
        <v>62</v>
      </c>
      <c r="I4869" s="3" t="s">
        <v>62</v>
      </c>
      <c r="J4869" s="3" t="s">
        <v>62</v>
      </c>
      <c r="K4869" s="3" t="s">
        <v>63</v>
      </c>
      <c r="L4869" s="2" t="s">
        <v>46644</v>
      </c>
      <c r="M4869" s="2" t="s">
        <v>46645</v>
      </c>
      <c r="N4869" s="3" t="s">
        <v>149</v>
      </c>
      <c r="P4869" s="3" t="s">
        <v>65</v>
      </c>
      <c r="Q4869" s="2" t="s">
        <v>46646</v>
      </c>
      <c r="R4869" s="3" t="s">
        <v>66</v>
      </c>
      <c r="S4869" s="4">
        <v>0</v>
      </c>
      <c r="T4869" s="4">
        <v>0</v>
      </c>
      <c r="W4869" s="5" t="s">
        <v>67</v>
      </c>
      <c r="X4869" s="5" t="s">
        <v>67</v>
      </c>
      <c r="Y4869" s="4">
        <v>23</v>
      </c>
      <c r="Z4869" s="4">
        <v>4</v>
      </c>
      <c r="AA4869" s="4">
        <v>6</v>
      </c>
      <c r="AB4869" s="4">
        <v>1</v>
      </c>
      <c r="AC4869" s="4">
        <v>3</v>
      </c>
      <c r="AD4869" s="4">
        <v>5</v>
      </c>
      <c r="AE4869" s="4">
        <v>7</v>
      </c>
      <c r="AF4869" s="4">
        <v>0</v>
      </c>
      <c r="AG4869" s="4">
        <v>2</v>
      </c>
      <c r="AH4869" s="4">
        <v>4</v>
      </c>
      <c r="AI4869" s="4">
        <v>5</v>
      </c>
      <c r="AJ4869" s="4">
        <v>2</v>
      </c>
      <c r="AK4869" s="4">
        <v>4</v>
      </c>
      <c r="AL4869" s="4">
        <v>3</v>
      </c>
      <c r="AM4869" s="4">
        <v>3</v>
      </c>
      <c r="AN4869" s="4">
        <v>0</v>
      </c>
      <c r="AO4869" s="4">
        <v>0</v>
      </c>
      <c r="AP4869" s="4">
        <v>2</v>
      </c>
      <c r="AQ4869" s="4">
        <v>3</v>
      </c>
      <c r="AR4869" s="3" t="s">
        <v>62</v>
      </c>
      <c r="AS4869" s="3" t="s">
        <v>62</v>
      </c>
      <c r="AT4869" s="3" t="s">
        <v>62</v>
      </c>
      <c r="AV4869" s="6" t="str">
        <f>HYPERLINK("http://mcgill.on.worldcat.org/oclc/671701863","Catalog Record")</f>
        <v>Catalog Record</v>
      </c>
      <c r="AW4869" s="6" t="str">
        <f>HYPERLINK("http://www.worldcat.org/oclc/671701863","WorldCat Record")</f>
        <v>WorldCat Record</v>
      </c>
      <c r="AX4869" s="3" t="s">
        <v>46647</v>
      </c>
      <c r="AY4869" s="3" t="s">
        <v>46648</v>
      </c>
      <c r="AZ4869" s="3" t="s">
        <v>46649</v>
      </c>
      <c r="BA4869" s="3" t="s">
        <v>46649</v>
      </c>
      <c r="BB4869" s="3" t="s">
        <v>46650</v>
      </c>
      <c r="BC4869" s="3" t="s">
        <v>142</v>
      </c>
      <c r="BD4869" s="3" t="s">
        <v>68</v>
      </c>
      <c r="BE4869" s="3" t="s">
        <v>46651</v>
      </c>
      <c r="BF4869" s="3" t="s">
        <v>46650</v>
      </c>
      <c r="BG4869" s="3" t="s">
        <v>46652</v>
      </c>
    </row>
    <row r="4870" spans="1:59" ht="57" x14ac:dyDescent="0.45">
      <c r="A4870" s="2" t="s">
        <v>59</v>
      </c>
      <c r="B4870" s="2" t="s">
        <v>60</v>
      </c>
      <c r="C4870" s="2" t="s">
        <v>46653</v>
      </c>
      <c r="D4870" s="2" t="s">
        <v>46654</v>
      </c>
      <c r="E4870" s="2" t="s">
        <v>46655</v>
      </c>
      <c r="G4870" s="3" t="s">
        <v>62</v>
      </c>
      <c r="I4870" s="3" t="s">
        <v>62</v>
      </c>
      <c r="J4870" s="3" t="s">
        <v>62</v>
      </c>
      <c r="K4870" s="3" t="s">
        <v>63</v>
      </c>
      <c r="M4870" s="2" t="s">
        <v>41149</v>
      </c>
      <c r="N4870" s="3" t="s">
        <v>149</v>
      </c>
      <c r="P4870" s="3" t="s">
        <v>65</v>
      </c>
      <c r="Q4870" s="2" t="s">
        <v>46656</v>
      </c>
      <c r="R4870" s="3" t="s">
        <v>66</v>
      </c>
      <c r="S4870" s="4">
        <v>2</v>
      </c>
      <c r="T4870" s="4">
        <v>2</v>
      </c>
      <c r="U4870" s="5" t="s">
        <v>17208</v>
      </c>
      <c r="V4870" s="5" t="s">
        <v>17208</v>
      </c>
      <c r="W4870" s="5" t="s">
        <v>67</v>
      </c>
      <c r="X4870" s="5" t="s">
        <v>67</v>
      </c>
      <c r="Y4870" s="4">
        <v>79</v>
      </c>
      <c r="Z4870" s="4">
        <v>8</v>
      </c>
      <c r="AA4870" s="4">
        <v>96</v>
      </c>
      <c r="AB4870" s="4">
        <v>1</v>
      </c>
      <c r="AC4870" s="4">
        <v>17</v>
      </c>
      <c r="AD4870" s="4">
        <v>39</v>
      </c>
      <c r="AE4870" s="4">
        <v>117</v>
      </c>
      <c r="AF4870" s="4">
        <v>0</v>
      </c>
      <c r="AG4870" s="4">
        <v>8</v>
      </c>
      <c r="AH4870" s="4">
        <v>38</v>
      </c>
      <c r="AI4870" s="4">
        <v>82</v>
      </c>
      <c r="AJ4870" s="4">
        <v>6</v>
      </c>
      <c r="AK4870" s="4">
        <v>22</v>
      </c>
      <c r="AL4870" s="4">
        <v>27</v>
      </c>
      <c r="AM4870" s="4">
        <v>45</v>
      </c>
      <c r="AN4870" s="4">
        <v>0</v>
      </c>
      <c r="AO4870" s="4">
        <v>0</v>
      </c>
      <c r="AP4870" s="4">
        <v>6</v>
      </c>
      <c r="AQ4870" s="4">
        <v>43</v>
      </c>
      <c r="AR4870" s="3" t="s">
        <v>62</v>
      </c>
      <c r="AS4870" s="3" t="s">
        <v>62</v>
      </c>
      <c r="AT4870" s="3" t="s">
        <v>62</v>
      </c>
      <c r="AV4870" s="6" t="str">
        <f>HYPERLINK("http://mcgill.on.worldcat.org/oclc/656850270","Catalog Record")</f>
        <v>Catalog Record</v>
      </c>
      <c r="AW4870" s="6" t="str">
        <f>HYPERLINK("http://www.worldcat.org/oclc/656850270","WorldCat Record")</f>
        <v>WorldCat Record</v>
      </c>
      <c r="AX4870" s="3" t="s">
        <v>46657</v>
      </c>
      <c r="AY4870" s="3" t="s">
        <v>46658</v>
      </c>
      <c r="AZ4870" s="3" t="s">
        <v>46659</v>
      </c>
      <c r="BA4870" s="3" t="s">
        <v>46659</v>
      </c>
      <c r="BB4870" s="3" t="s">
        <v>46660</v>
      </c>
      <c r="BC4870" s="3" t="s">
        <v>142</v>
      </c>
      <c r="BD4870" s="3" t="s">
        <v>68</v>
      </c>
      <c r="BE4870" s="3" t="s">
        <v>46661</v>
      </c>
      <c r="BF4870" s="3" t="s">
        <v>46660</v>
      </c>
      <c r="BG4870" s="3" t="s">
        <v>46662</v>
      </c>
    </row>
    <row r="4871" spans="1:59" ht="57" x14ac:dyDescent="0.45">
      <c r="A4871" s="2" t="s">
        <v>59</v>
      </c>
      <c r="B4871" s="2" t="s">
        <v>60</v>
      </c>
      <c r="C4871" s="2" t="s">
        <v>46663</v>
      </c>
      <c r="D4871" s="2" t="s">
        <v>46664</v>
      </c>
      <c r="E4871" s="2" t="s">
        <v>46665</v>
      </c>
      <c r="G4871" s="3" t="s">
        <v>62</v>
      </c>
      <c r="I4871" s="3" t="s">
        <v>62</v>
      </c>
      <c r="J4871" s="3" t="s">
        <v>62</v>
      </c>
      <c r="K4871" s="3" t="s">
        <v>63</v>
      </c>
      <c r="M4871" s="2" t="s">
        <v>1178</v>
      </c>
      <c r="N4871" s="3" t="s">
        <v>894</v>
      </c>
      <c r="P4871" s="3" t="s">
        <v>65</v>
      </c>
      <c r="Q4871" s="2" t="s">
        <v>46666</v>
      </c>
      <c r="R4871" s="3" t="s">
        <v>66</v>
      </c>
      <c r="S4871" s="4">
        <v>0</v>
      </c>
      <c r="T4871" s="4">
        <v>0</v>
      </c>
      <c r="W4871" s="5" t="s">
        <v>67</v>
      </c>
      <c r="X4871" s="5" t="s">
        <v>67</v>
      </c>
      <c r="Y4871" s="4">
        <v>66</v>
      </c>
      <c r="Z4871" s="4">
        <v>9</v>
      </c>
      <c r="AA4871" s="4">
        <v>88</v>
      </c>
      <c r="AB4871" s="4">
        <v>1</v>
      </c>
      <c r="AC4871" s="4">
        <v>17</v>
      </c>
      <c r="AD4871" s="4">
        <v>26</v>
      </c>
      <c r="AE4871" s="4">
        <v>108</v>
      </c>
      <c r="AF4871" s="4">
        <v>0</v>
      </c>
      <c r="AG4871" s="4">
        <v>8</v>
      </c>
      <c r="AH4871" s="4">
        <v>23</v>
      </c>
      <c r="AI4871" s="4">
        <v>73</v>
      </c>
      <c r="AJ4871" s="4">
        <v>7</v>
      </c>
      <c r="AK4871" s="4">
        <v>22</v>
      </c>
      <c r="AL4871" s="4">
        <v>17</v>
      </c>
      <c r="AM4871" s="4">
        <v>38</v>
      </c>
      <c r="AN4871" s="4">
        <v>0</v>
      </c>
      <c r="AO4871" s="4">
        <v>0</v>
      </c>
      <c r="AP4871" s="4">
        <v>7</v>
      </c>
      <c r="AQ4871" s="4">
        <v>43</v>
      </c>
      <c r="AR4871" s="3" t="s">
        <v>62</v>
      </c>
      <c r="AS4871" s="3" t="s">
        <v>62</v>
      </c>
      <c r="AT4871" s="3" t="s">
        <v>62</v>
      </c>
      <c r="AV4871" s="6" t="str">
        <f>HYPERLINK("http://mcgill.on.worldcat.org/oclc/756837072","Catalog Record")</f>
        <v>Catalog Record</v>
      </c>
      <c r="AW4871" s="6" t="str">
        <f>HYPERLINK("http://www.worldcat.org/oclc/756837072","WorldCat Record")</f>
        <v>WorldCat Record</v>
      </c>
      <c r="AX4871" s="3" t="s">
        <v>46667</v>
      </c>
      <c r="AY4871" s="3" t="s">
        <v>46668</v>
      </c>
      <c r="AZ4871" s="3" t="s">
        <v>46669</v>
      </c>
      <c r="BA4871" s="3" t="s">
        <v>46669</v>
      </c>
      <c r="BB4871" s="3" t="s">
        <v>46670</v>
      </c>
      <c r="BC4871" s="3" t="s">
        <v>142</v>
      </c>
      <c r="BD4871" s="3" t="s">
        <v>68</v>
      </c>
      <c r="BE4871" s="3" t="s">
        <v>46671</v>
      </c>
      <c r="BF4871" s="3" t="s">
        <v>46670</v>
      </c>
      <c r="BG4871" s="3" t="s">
        <v>46672</v>
      </c>
    </row>
    <row r="4872" spans="1:59" ht="57" x14ac:dyDescent="0.45">
      <c r="A4872" s="2" t="s">
        <v>59</v>
      </c>
      <c r="B4872" s="2" t="s">
        <v>60</v>
      </c>
      <c r="C4872" s="2" t="s">
        <v>46673</v>
      </c>
      <c r="D4872" s="2" t="s">
        <v>46674</v>
      </c>
      <c r="E4872" s="2" t="s">
        <v>46675</v>
      </c>
      <c r="G4872" s="3" t="s">
        <v>62</v>
      </c>
      <c r="I4872" s="3" t="s">
        <v>62</v>
      </c>
      <c r="J4872" s="3" t="s">
        <v>62</v>
      </c>
      <c r="K4872" s="3" t="s">
        <v>63</v>
      </c>
      <c r="M4872" s="2" t="s">
        <v>46676</v>
      </c>
      <c r="N4872" s="3" t="s">
        <v>1155</v>
      </c>
      <c r="P4872" s="3" t="s">
        <v>65</v>
      </c>
      <c r="Q4872" s="2" t="s">
        <v>46677</v>
      </c>
      <c r="R4872" s="3" t="s">
        <v>66</v>
      </c>
      <c r="S4872" s="4">
        <v>0</v>
      </c>
      <c r="T4872" s="4">
        <v>0</v>
      </c>
      <c r="W4872" s="5" t="s">
        <v>67</v>
      </c>
      <c r="X4872" s="5" t="s">
        <v>67</v>
      </c>
      <c r="Y4872" s="4">
        <v>80</v>
      </c>
      <c r="Z4872" s="4">
        <v>13</v>
      </c>
      <c r="AA4872" s="4">
        <v>13</v>
      </c>
      <c r="AB4872" s="4">
        <v>1</v>
      </c>
      <c r="AC4872" s="4">
        <v>1</v>
      </c>
      <c r="AD4872" s="4">
        <v>45</v>
      </c>
      <c r="AE4872" s="4">
        <v>45</v>
      </c>
      <c r="AF4872" s="4">
        <v>0</v>
      </c>
      <c r="AG4872" s="4">
        <v>0</v>
      </c>
      <c r="AH4872" s="4">
        <v>40</v>
      </c>
      <c r="AI4872" s="4">
        <v>40</v>
      </c>
      <c r="AJ4872" s="4">
        <v>11</v>
      </c>
      <c r="AK4872" s="4">
        <v>11</v>
      </c>
      <c r="AL4872" s="4">
        <v>28</v>
      </c>
      <c r="AM4872" s="4">
        <v>28</v>
      </c>
      <c r="AN4872" s="4">
        <v>0</v>
      </c>
      <c r="AO4872" s="4">
        <v>0</v>
      </c>
      <c r="AP4872" s="4">
        <v>11</v>
      </c>
      <c r="AQ4872" s="4">
        <v>11</v>
      </c>
      <c r="AR4872" s="3" t="s">
        <v>62</v>
      </c>
      <c r="AS4872" s="3" t="s">
        <v>62</v>
      </c>
      <c r="AT4872" s="3" t="s">
        <v>62</v>
      </c>
      <c r="AV4872" s="6" t="str">
        <f>HYPERLINK("http://mcgill.on.worldcat.org/oclc/719427874","Catalog Record")</f>
        <v>Catalog Record</v>
      </c>
      <c r="AW4872" s="6" t="str">
        <f>HYPERLINK("http://www.worldcat.org/oclc/719427874","WorldCat Record")</f>
        <v>WorldCat Record</v>
      </c>
      <c r="AX4872" s="3" t="s">
        <v>46678</v>
      </c>
      <c r="AY4872" s="3" t="s">
        <v>46679</v>
      </c>
      <c r="AZ4872" s="3" t="s">
        <v>46680</v>
      </c>
      <c r="BA4872" s="3" t="s">
        <v>46680</v>
      </c>
      <c r="BB4872" s="3" t="s">
        <v>46681</v>
      </c>
      <c r="BC4872" s="3" t="s">
        <v>142</v>
      </c>
      <c r="BD4872" s="3" t="s">
        <v>68</v>
      </c>
      <c r="BE4872" s="3" t="s">
        <v>46682</v>
      </c>
      <c r="BF4872" s="3" t="s">
        <v>46681</v>
      </c>
      <c r="BG4872" s="3" t="s">
        <v>46683</v>
      </c>
    </row>
    <row r="4873" spans="1:59" ht="57" x14ac:dyDescent="0.45">
      <c r="A4873" s="2" t="s">
        <v>59</v>
      </c>
      <c r="B4873" s="2" t="s">
        <v>60</v>
      </c>
      <c r="C4873" s="2" t="s">
        <v>46684</v>
      </c>
      <c r="D4873" s="2" t="s">
        <v>46685</v>
      </c>
      <c r="E4873" s="2" t="s">
        <v>46686</v>
      </c>
      <c r="G4873" s="3" t="s">
        <v>62</v>
      </c>
      <c r="I4873" s="3" t="s">
        <v>62</v>
      </c>
      <c r="J4873" s="3" t="s">
        <v>62</v>
      </c>
      <c r="K4873" s="3" t="s">
        <v>63</v>
      </c>
      <c r="M4873" s="2" t="s">
        <v>46687</v>
      </c>
      <c r="N4873" s="3" t="s">
        <v>149</v>
      </c>
      <c r="P4873" s="3" t="s">
        <v>65</v>
      </c>
      <c r="Q4873" s="2" t="s">
        <v>46688</v>
      </c>
      <c r="R4873" s="3" t="s">
        <v>66</v>
      </c>
      <c r="S4873" s="4">
        <v>0</v>
      </c>
      <c r="T4873" s="4">
        <v>0</v>
      </c>
      <c r="W4873" s="5" t="s">
        <v>67</v>
      </c>
      <c r="X4873" s="5" t="s">
        <v>67</v>
      </c>
      <c r="Y4873" s="4">
        <v>83</v>
      </c>
      <c r="Z4873" s="4">
        <v>14</v>
      </c>
      <c r="AA4873" s="4">
        <v>94</v>
      </c>
      <c r="AB4873" s="4">
        <v>1</v>
      </c>
      <c r="AC4873" s="4">
        <v>17</v>
      </c>
      <c r="AD4873" s="4">
        <v>48</v>
      </c>
      <c r="AE4873" s="4">
        <v>118</v>
      </c>
      <c r="AF4873" s="4">
        <v>0</v>
      </c>
      <c r="AG4873" s="4">
        <v>8</v>
      </c>
      <c r="AH4873" s="4">
        <v>44</v>
      </c>
      <c r="AI4873" s="4">
        <v>82</v>
      </c>
      <c r="AJ4873" s="4">
        <v>12</v>
      </c>
      <c r="AK4873" s="4">
        <v>25</v>
      </c>
      <c r="AL4873" s="4">
        <v>24</v>
      </c>
      <c r="AM4873" s="4">
        <v>41</v>
      </c>
      <c r="AN4873" s="4">
        <v>0</v>
      </c>
      <c r="AO4873" s="4">
        <v>0</v>
      </c>
      <c r="AP4873" s="4">
        <v>12</v>
      </c>
      <c r="AQ4873" s="4">
        <v>46</v>
      </c>
      <c r="AR4873" s="3" t="s">
        <v>62</v>
      </c>
      <c r="AS4873" s="3" t="s">
        <v>62</v>
      </c>
      <c r="AT4873" s="3" t="s">
        <v>62</v>
      </c>
      <c r="AV4873" s="6" t="str">
        <f>HYPERLINK("http://mcgill.on.worldcat.org/oclc/502304727","Catalog Record")</f>
        <v>Catalog Record</v>
      </c>
      <c r="AW4873" s="6" t="str">
        <f>HYPERLINK("http://www.worldcat.org/oclc/502304727","WorldCat Record")</f>
        <v>WorldCat Record</v>
      </c>
      <c r="AX4873" s="3" t="s">
        <v>46689</v>
      </c>
      <c r="AY4873" s="3" t="s">
        <v>46690</v>
      </c>
      <c r="AZ4873" s="3" t="s">
        <v>46691</v>
      </c>
      <c r="BA4873" s="3" t="s">
        <v>46691</v>
      </c>
      <c r="BB4873" s="3" t="s">
        <v>46692</v>
      </c>
      <c r="BC4873" s="3" t="s">
        <v>142</v>
      </c>
      <c r="BD4873" s="3" t="s">
        <v>68</v>
      </c>
      <c r="BE4873" s="3" t="s">
        <v>46693</v>
      </c>
      <c r="BF4873" s="3" t="s">
        <v>46692</v>
      </c>
      <c r="BG4873" s="3" t="s">
        <v>46694</v>
      </c>
    </row>
    <row r="4874" spans="1:59" ht="57" x14ac:dyDescent="0.45">
      <c r="A4874" s="2" t="s">
        <v>59</v>
      </c>
      <c r="B4874" s="2" t="s">
        <v>60</v>
      </c>
      <c r="C4874" s="2" t="s">
        <v>46695</v>
      </c>
      <c r="D4874" s="2" t="s">
        <v>46696</v>
      </c>
      <c r="E4874" s="2" t="s">
        <v>46697</v>
      </c>
      <c r="G4874" s="3" t="s">
        <v>62</v>
      </c>
      <c r="I4874" s="3" t="s">
        <v>62</v>
      </c>
      <c r="J4874" s="3" t="s">
        <v>62</v>
      </c>
      <c r="K4874" s="3" t="s">
        <v>63</v>
      </c>
      <c r="L4874" s="2" t="s">
        <v>46698</v>
      </c>
      <c r="M4874" s="2" t="s">
        <v>46699</v>
      </c>
      <c r="N4874" s="3" t="s">
        <v>5180</v>
      </c>
      <c r="P4874" s="3" t="s">
        <v>65</v>
      </c>
      <c r="R4874" s="3" t="s">
        <v>66</v>
      </c>
      <c r="S4874" s="4">
        <v>0</v>
      </c>
      <c r="T4874" s="4">
        <v>0</v>
      </c>
      <c r="W4874" s="5" t="s">
        <v>67</v>
      </c>
      <c r="X4874" s="5" t="s">
        <v>67</v>
      </c>
      <c r="Y4874" s="4">
        <v>36</v>
      </c>
      <c r="Z4874" s="4">
        <v>4</v>
      </c>
      <c r="AA4874" s="4">
        <v>5</v>
      </c>
      <c r="AB4874" s="4">
        <v>1</v>
      </c>
      <c r="AC4874" s="4">
        <v>2</v>
      </c>
      <c r="AD4874" s="4">
        <v>16</v>
      </c>
      <c r="AE4874" s="4">
        <v>17</v>
      </c>
      <c r="AF4874" s="4">
        <v>0</v>
      </c>
      <c r="AG4874" s="4">
        <v>1</v>
      </c>
      <c r="AH4874" s="4">
        <v>14</v>
      </c>
      <c r="AI4874" s="4">
        <v>14</v>
      </c>
      <c r="AJ4874" s="4">
        <v>2</v>
      </c>
      <c r="AK4874" s="4">
        <v>3</v>
      </c>
      <c r="AL4874" s="4">
        <v>11</v>
      </c>
      <c r="AM4874" s="4">
        <v>11</v>
      </c>
      <c r="AN4874" s="4">
        <v>0</v>
      </c>
      <c r="AO4874" s="4">
        <v>0</v>
      </c>
      <c r="AP4874" s="4">
        <v>3</v>
      </c>
      <c r="AQ4874" s="4">
        <v>3</v>
      </c>
      <c r="AR4874" s="3" t="s">
        <v>62</v>
      </c>
      <c r="AS4874" s="3" t="s">
        <v>62</v>
      </c>
      <c r="AT4874" s="3" t="s">
        <v>62</v>
      </c>
      <c r="AV4874" s="6" t="str">
        <f>HYPERLINK("http://mcgill.on.worldcat.org/oclc/1006301926","Catalog Record")</f>
        <v>Catalog Record</v>
      </c>
      <c r="AW4874" s="6" t="str">
        <f>HYPERLINK("http://www.worldcat.org/oclc/1006301926","WorldCat Record")</f>
        <v>WorldCat Record</v>
      </c>
      <c r="AX4874" s="3" t="s">
        <v>46700</v>
      </c>
      <c r="AY4874" s="3" t="s">
        <v>46701</v>
      </c>
      <c r="AZ4874" s="3" t="s">
        <v>46702</v>
      </c>
      <c r="BA4874" s="3" t="s">
        <v>46702</v>
      </c>
      <c r="BB4874" s="3" t="s">
        <v>46703</v>
      </c>
      <c r="BC4874" s="3" t="s">
        <v>142</v>
      </c>
      <c r="BD4874" s="3" t="s">
        <v>68</v>
      </c>
      <c r="BE4874" s="3" t="s">
        <v>46704</v>
      </c>
      <c r="BF4874" s="3" t="s">
        <v>46703</v>
      </c>
      <c r="BG4874" s="3" t="s">
        <v>46705</v>
      </c>
    </row>
    <row r="4875" spans="1:59" ht="57" x14ac:dyDescent="0.45">
      <c r="A4875" s="2" t="s">
        <v>59</v>
      </c>
      <c r="B4875" s="2" t="s">
        <v>60</v>
      </c>
      <c r="C4875" s="2" t="s">
        <v>46706</v>
      </c>
      <c r="D4875" s="2" t="s">
        <v>46707</v>
      </c>
      <c r="E4875" s="2" t="s">
        <v>46708</v>
      </c>
      <c r="G4875" s="3" t="s">
        <v>62</v>
      </c>
      <c r="I4875" s="3" t="s">
        <v>62</v>
      </c>
      <c r="J4875" s="3" t="s">
        <v>62</v>
      </c>
      <c r="K4875" s="3" t="s">
        <v>63</v>
      </c>
      <c r="M4875" s="2" t="s">
        <v>29822</v>
      </c>
      <c r="N4875" s="3" t="s">
        <v>1059</v>
      </c>
      <c r="P4875" s="3" t="s">
        <v>65</v>
      </c>
      <c r="Q4875" s="2" t="s">
        <v>46709</v>
      </c>
      <c r="R4875" s="3" t="s">
        <v>66</v>
      </c>
      <c r="S4875" s="4">
        <v>11</v>
      </c>
      <c r="T4875" s="4">
        <v>11</v>
      </c>
      <c r="U4875" s="5" t="s">
        <v>303</v>
      </c>
      <c r="V4875" s="5" t="s">
        <v>303</v>
      </c>
      <c r="W4875" s="5" t="s">
        <v>67</v>
      </c>
      <c r="X4875" s="5" t="s">
        <v>67</v>
      </c>
      <c r="Y4875" s="4">
        <v>198</v>
      </c>
      <c r="Z4875" s="4">
        <v>17</v>
      </c>
      <c r="AA4875" s="4">
        <v>38</v>
      </c>
      <c r="AB4875" s="4">
        <v>2</v>
      </c>
      <c r="AC4875" s="4">
        <v>8</v>
      </c>
      <c r="AD4875" s="4">
        <v>62</v>
      </c>
      <c r="AE4875" s="4">
        <v>69</v>
      </c>
      <c r="AF4875" s="4">
        <v>1</v>
      </c>
      <c r="AG4875" s="4">
        <v>2</v>
      </c>
      <c r="AH4875" s="4">
        <v>56</v>
      </c>
      <c r="AI4875" s="4">
        <v>60</v>
      </c>
      <c r="AJ4875" s="4">
        <v>14</v>
      </c>
      <c r="AK4875" s="4">
        <v>15</v>
      </c>
      <c r="AL4875" s="4">
        <v>31</v>
      </c>
      <c r="AM4875" s="4">
        <v>34</v>
      </c>
      <c r="AN4875" s="4">
        <v>0</v>
      </c>
      <c r="AO4875" s="4">
        <v>0</v>
      </c>
      <c r="AP4875" s="4">
        <v>15</v>
      </c>
      <c r="AQ4875" s="4">
        <v>19</v>
      </c>
      <c r="AR4875" s="3" t="s">
        <v>62</v>
      </c>
      <c r="AS4875" s="3" t="s">
        <v>62</v>
      </c>
      <c r="AT4875" s="3" t="s">
        <v>62</v>
      </c>
      <c r="AV4875" s="6" t="str">
        <f>HYPERLINK("http://mcgill.on.worldcat.org/oclc/70687429","Catalog Record")</f>
        <v>Catalog Record</v>
      </c>
      <c r="AW4875" s="6" t="str">
        <f>HYPERLINK("http://www.worldcat.org/oclc/70687429","WorldCat Record")</f>
        <v>WorldCat Record</v>
      </c>
      <c r="AX4875" s="3" t="s">
        <v>46710</v>
      </c>
      <c r="AY4875" s="3" t="s">
        <v>46711</v>
      </c>
      <c r="AZ4875" s="3" t="s">
        <v>46712</v>
      </c>
      <c r="BA4875" s="3" t="s">
        <v>46712</v>
      </c>
      <c r="BB4875" s="3" t="s">
        <v>46713</v>
      </c>
      <c r="BC4875" s="3" t="s">
        <v>142</v>
      </c>
      <c r="BD4875" s="3" t="s">
        <v>68</v>
      </c>
      <c r="BE4875" s="3" t="s">
        <v>46714</v>
      </c>
      <c r="BF4875" s="3" t="s">
        <v>46713</v>
      </c>
      <c r="BG4875" s="3" t="s">
        <v>46715</v>
      </c>
    </row>
    <row r="4876" spans="1:59" ht="57" x14ac:dyDescent="0.45">
      <c r="A4876" s="2" t="s">
        <v>59</v>
      </c>
      <c r="B4876" s="2" t="s">
        <v>60</v>
      </c>
      <c r="C4876" s="2" t="s">
        <v>46716</v>
      </c>
      <c r="D4876" s="2" t="s">
        <v>46717</v>
      </c>
      <c r="E4876" s="2" t="s">
        <v>46718</v>
      </c>
      <c r="G4876" s="3" t="s">
        <v>62</v>
      </c>
      <c r="I4876" s="3" t="s">
        <v>62</v>
      </c>
      <c r="J4876" s="3" t="s">
        <v>62</v>
      </c>
      <c r="K4876" s="3" t="s">
        <v>63</v>
      </c>
      <c r="M4876" s="2" t="s">
        <v>46719</v>
      </c>
      <c r="N4876" s="3" t="s">
        <v>149</v>
      </c>
      <c r="P4876" s="3" t="s">
        <v>65</v>
      </c>
      <c r="Q4876" s="2" t="s">
        <v>46720</v>
      </c>
      <c r="R4876" s="3" t="s">
        <v>66</v>
      </c>
      <c r="S4876" s="4">
        <v>0</v>
      </c>
      <c r="T4876" s="4">
        <v>0</v>
      </c>
      <c r="W4876" s="5" t="s">
        <v>67</v>
      </c>
      <c r="X4876" s="5" t="s">
        <v>67</v>
      </c>
      <c r="Y4876" s="4">
        <v>67</v>
      </c>
      <c r="Z4876" s="4">
        <v>6</v>
      </c>
      <c r="AA4876" s="4">
        <v>111</v>
      </c>
      <c r="AB4876" s="4">
        <v>1</v>
      </c>
      <c r="AC4876" s="4">
        <v>17</v>
      </c>
      <c r="AD4876" s="4">
        <v>30</v>
      </c>
      <c r="AE4876" s="4">
        <v>114</v>
      </c>
      <c r="AF4876" s="4">
        <v>0</v>
      </c>
      <c r="AG4876" s="4">
        <v>8</v>
      </c>
      <c r="AH4876" s="4">
        <v>29</v>
      </c>
      <c r="AI4876" s="4">
        <v>75</v>
      </c>
      <c r="AJ4876" s="4">
        <v>4</v>
      </c>
      <c r="AK4876" s="4">
        <v>22</v>
      </c>
      <c r="AL4876" s="4">
        <v>19</v>
      </c>
      <c r="AM4876" s="4">
        <v>40</v>
      </c>
      <c r="AN4876" s="4">
        <v>0</v>
      </c>
      <c r="AO4876" s="4">
        <v>0</v>
      </c>
      <c r="AP4876" s="4">
        <v>4</v>
      </c>
      <c r="AQ4876" s="4">
        <v>44</v>
      </c>
      <c r="AR4876" s="3" t="s">
        <v>62</v>
      </c>
      <c r="AS4876" s="3" t="s">
        <v>62</v>
      </c>
      <c r="AT4876" s="3" t="s">
        <v>62</v>
      </c>
      <c r="AV4876" s="6" t="str">
        <f>HYPERLINK("http://mcgill.on.worldcat.org/oclc/653483728","Catalog Record")</f>
        <v>Catalog Record</v>
      </c>
      <c r="AW4876" s="6" t="str">
        <f>HYPERLINK("http://www.worldcat.org/oclc/653483728","WorldCat Record")</f>
        <v>WorldCat Record</v>
      </c>
      <c r="AX4876" s="3" t="s">
        <v>46721</v>
      </c>
      <c r="AY4876" s="3" t="s">
        <v>46722</v>
      </c>
      <c r="AZ4876" s="3" t="s">
        <v>46723</v>
      </c>
      <c r="BA4876" s="3" t="s">
        <v>46723</v>
      </c>
      <c r="BB4876" s="3" t="s">
        <v>46724</v>
      </c>
      <c r="BC4876" s="3" t="s">
        <v>142</v>
      </c>
      <c r="BD4876" s="3" t="s">
        <v>68</v>
      </c>
      <c r="BE4876" s="3" t="s">
        <v>46725</v>
      </c>
      <c r="BF4876" s="3" t="s">
        <v>46724</v>
      </c>
      <c r="BG4876" s="3" t="s">
        <v>46726</v>
      </c>
    </row>
    <row r="4877" spans="1:59" ht="57" x14ac:dyDescent="0.45">
      <c r="A4877" s="2" t="s">
        <v>59</v>
      </c>
      <c r="B4877" s="2" t="s">
        <v>60</v>
      </c>
      <c r="C4877" s="2" t="s">
        <v>46727</v>
      </c>
      <c r="D4877" s="2" t="s">
        <v>46728</v>
      </c>
      <c r="E4877" s="2" t="s">
        <v>46729</v>
      </c>
      <c r="G4877" s="3" t="s">
        <v>62</v>
      </c>
      <c r="I4877" s="3" t="s">
        <v>62</v>
      </c>
      <c r="J4877" s="3" t="s">
        <v>62</v>
      </c>
      <c r="K4877" s="3" t="s">
        <v>63</v>
      </c>
      <c r="L4877" s="2" t="s">
        <v>46730</v>
      </c>
      <c r="M4877" s="2" t="s">
        <v>2739</v>
      </c>
      <c r="N4877" s="3" t="s">
        <v>149</v>
      </c>
      <c r="P4877" s="3" t="s">
        <v>65</v>
      </c>
      <c r="Q4877" s="2" t="s">
        <v>46731</v>
      </c>
      <c r="R4877" s="3" t="s">
        <v>66</v>
      </c>
      <c r="S4877" s="4">
        <v>0</v>
      </c>
      <c r="T4877" s="4">
        <v>0</v>
      </c>
      <c r="W4877" s="5" t="s">
        <v>67</v>
      </c>
      <c r="X4877" s="5" t="s">
        <v>67</v>
      </c>
      <c r="Y4877" s="4">
        <v>70</v>
      </c>
      <c r="Z4877" s="4">
        <v>10</v>
      </c>
      <c r="AA4877" s="4">
        <v>91</v>
      </c>
      <c r="AB4877" s="4">
        <v>1</v>
      </c>
      <c r="AC4877" s="4">
        <v>17</v>
      </c>
      <c r="AD4877" s="4">
        <v>32</v>
      </c>
      <c r="AE4877" s="4">
        <v>111</v>
      </c>
      <c r="AF4877" s="4">
        <v>0</v>
      </c>
      <c r="AG4877" s="4">
        <v>8</v>
      </c>
      <c r="AH4877" s="4">
        <v>29</v>
      </c>
      <c r="AI4877" s="4">
        <v>74</v>
      </c>
      <c r="AJ4877" s="4">
        <v>8</v>
      </c>
      <c r="AK4877" s="4">
        <v>24</v>
      </c>
      <c r="AL4877" s="4">
        <v>19</v>
      </c>
      <c r="AM4877" s="4">
        <v>40</v>
      </c>
      <c r="AN4877" s="4">
        <v>0</v>
      </c>
      <c r="AO4877" s="4">
        <v>0</v>
      </c>
      <c r="AP4877" s="4">
        <v>8</v>
      </c>
      <c r="AQ4877" s="4">
        <v>45</v>
      </c>
      <c r="AR4877" s="3" t="s">
        <v>62</v>
      </c>
      <c r="AS4877" s="3" t="s">
        <v>62</v>
      </c>
      <c r="AT4877" s="3" t="s">
        <v>62</v>
      </c>
      <c r="AV4877" s="6" t="str">
        <f>HYPERLINK("http://mcgill.on.worldcat.org/oclc/613994849","Catalog Record")</f>
        <v>Catalog Record</v>
      </c>
      <c r="AW4877" s="6" t="str">
        <f>HYPERLINK("http://www.worldcat.org/oclc/613994849","WorldCat Record")</f>
        <v>WorldCat Record</v>
      </c>
      <c r="AX4877" s="3" t="s">
        <v>46732</v>
      </c>
      <c r="AY4877" s="3" t="s">
        <v>46733</v>
      </c>
      <c r="AZ4877" s="3" t="s">
        <v>46734</v>
      </c>
      <c r="BA4877" s="3" t="s">
        <v>46734</v>
      </c>
      <c r="BB4877" s="3" t="s">
        <v>46735</v>
      </c>
      <c r="BC4877" s="3" t="s">
        <v>142</v>
      </c>
      <c r="BD4877" s="3" t="s">
        <v>68</v>
      </c>
      <c r="BE4877" s="3" t="s">
        <v>46736</v>
      </c>
      <c r="BF4877" s="3" t="s">
        <v>46735</v>
      </c>
      <c r="BG4877" s="3" t="s">
        <v>46737</v>
      </c>
    </row>
    <row r="4878" spans="1:59" ht="57" x14ac:dyDescent="0.45">
      <c r="A4878" s="2" t="s">
        <v>59</v>
      </c>
      <c r="B4878" s="2" t="s">
        <v>60</v>
      </c>
      <c r="C4878" s="2" t="s">
        <v>46738</v>
      </c>
      <c r="D4878" s="2" t="s">
        <v>46739</v>
      </c>
      <c r="E4878" s="2" t="s">
        <v>46740</v>
      </c>
      <c r="G4878" s="3" t="s">
        <v>62</v>
      </c>
      <c r="I4878" s="3" t="s">
        <v>62</v>
      </c>
      <c r="J4878" s="3" t="s">
        <v>62</v>
      </c>
      <c r="K4878" s="3" t="s">
        <v>63</v>
      </c>
      <c r="L4878" s="2" t="s">
        <v>2918</v>
      </c>
      <c r="M4878" s="2" t="s">
        <v>46741</v>
      </c>
      <c r="N4878" s="3" t="s">
        <v>1059</v>
      </c>
      <c r="P4878" s="3" t="s">
        <v>65</v>
      </c>
      <c r="R4878" s="3" t="s">
        <v>66</v>
      </c>
      <c r="S4878" s="4">
        <v>10</v>
      </c>
      <c r="T4878" s="4">
        <v>10</v>
      </c>
      <c r="U4878" s="5" t="s">
        <v>31527</v>
      </c>
      <c r="V4878" s="5" t="s">
        <v>31527</v>
      </c>
      <c r="W4878" s="5" t="s">
        <v>67</v>
      </c>
      <c r="X4878" s="5" t="s">
        <v>67</v>
      </c>
      <c r="Y4878" s="4">
        <v>97</v>
      </c>
      <c r="Z4878" s="4">
        <v>7</v>
      </c>
      <c r="AA4878" s="4">
        <v>97</v>
      </c>
      <c r="AB4878" s="4">
        <v>1</v>
      </c>
      <c r="AC4878" s="4">
        <v>19</v>
      </c>
      <c r="AD4878" s="4">
        <v>27</v>
      </c>
      <c r="AE4878" s="4">
        <v>116</v>
      </c>
      <c r="AF4878" s="4">
        <v>0</v>
      </c>
      <c r="AG4878" s="4">
        <v>8</v>
      </c>
      <c r="AH4878" s="4">
        <v>23</v>
      </c>
      <c r="AI4878" s="4">
        <v>78</v>
      </c>
      <c r="AJ4878" s="4">
        <v>4</v>
      </c>
      <c r="AK4878" s="4">
        <v>22</v>
      </c>
      <c r="AL4878" s="4">
        <v>12</v>
      </c>
      <c r="AM4878" s="4">
        <v>40</v>
      </c>
      <c r="AN4878" s="4">
        <v>0</v>
      </c>
      <c r="AO4878" s="4">
        <v>0</v>
      </c>
      <c r="AP4878" s="4">
        <v>5</v>
      </c>
      <c r="AQ4878" s="4">
        <v>44</v>
      </c>
      <c r="AR4878" s="3" t="s">
        <v>62</v>
      </c>
      <c r="AS4878" s="3" t="s">
        <v>62</v>
      </c>
      <c r="AT4878" s="3" t="s">
        <v>62</v>
      </c>
      <c r="AV4878" s="6" t="str">
        <f>HYPERLINK("http://mcgill.on.worldcat.org/oclc/69171708","Catalog Record")</f>
        <v>Catalog Record</v>
      </c>
      <c r="AW4878" s="6" t="str">
        <f>HYPERLINK("http://www.worldcat.org/oclc/69171708","WorldCat Record")</f>
        <v>WorldCat Record</v>
      </c>
      <c r="AX4878" s="3" t="s">
        <v>46742</v>
      </c>
      <c r="AY4878" s="3" t="s">
        <v>46743</v>
      </c>
      <c r="AZ4878" s="3" t="s">
        <v>46744</v>
      </c>
      <c r="BA4878" s="3" t="s">
        <v>46744</v>
      </c>
      <c r="BB4878" s="3" t="s">
        <v>46745</v>
      </c>
      <c r="BC4878" s="3" t="s">
        <v>142</v>
      </c>
      <c r="BD4878" s="3" t="s">
        <v>308</v>
      </c>
      <c r="BE4878" s="3" t="s">
        <v>46746</v>
      </c>
      <c r="BF4878" s="3" t="s">
        <v>46745</v>
      </c>
      <c r="BG4878" s="3" t="s">
        <v>46747</v>
      </c>
    </row>
    <row r="4879" spans="1:59" ht="57" x14ac:dyDescent="0.45">
      <c r="A4879" s="2" t="s">
        <v>59</v>
      </c>
      <c r="B4879" s="2" t="s">
        <v>60</v>
      </c>
      <c r="C4879" s="2" t="s">
        <v>46748</v>
      </c>
      <c r="D4879" s="2" t="s">
        <v>46749</v>
      </c>
      <c r="E4879" s="2" t="s">
        <v>46750</v>
      </c>
      <c r="G4879" s="3" t="s">
        <v>62</v>
      </c>
      <c r="I4879" s="3" t="s">
        <v>62</v>
      </c>
      <c r="J4879" s="3" t="s">
        <v>62</v>
      </c>
      <c r="K4879" s="3" t="s">
        <v>63</v>
      </c>
      <c r="L4879" s="2" t="s">
        <v>46751</v>
      </c>
      <c r="M4879" s="2" t="s">
        <v>46752</v>
      </c>
      <c r="N4879" s="3" t="s">
        <v>1478</v>
      </c>
      <c r="P4879" s="3" t="s">
        <v>65</v>
      </c>
      <c r="Q4879" s="2" t="s">
        <v>2330</v>
      </c>
      <c r="R4879" s="3" t="s">
        <v>66</v>
      </c>
      <c r="S4879" s="4">
        <v>10</v>
      </c>
      <c r="T4879" s="4">
        <v>10</v>
      </c>
      <c r="U4879" s="5" t="s">
        <v>2378</v>
      </c>
      <c r="V4879" s="5" t="s">
        <v>2378</v>
      </c>
      <c r="W4879" s="5" t="s">
        <v>67</v>
      </c>
      <c r="X4879" s="5" t="s">
        <v>67</v>
      </c>
      <c r="Y4879" s="4">
        <v>265</v>
      </c>
      <c r="Z4879" s="4">
        <v>18</v>
      </c>
      <c r="AA4879" s="4">
        <v>92</v>
      </c>
      <c r="AB4879" s="4">
        <v>1</v>
      </c>
      <c r="AC4879" s="4">
        <v>17</v>
      </c>
      <c r="AD4879" s="4">
        <v>104</v>
      </c>
      <c r="AE4879" s="4">
        <v>142</v>
      </c>
      <c r="AF4879" s="4">
        <v>0</v>
      </c>
      <c r="AG4879" s="4">
        <v>8</v>
      </c>
      <c r="AH4879" s="4">
        <v>96</v>
      </c>
      <c r="AI4879" s="4">
        <v>104</v>
      </c>
      <c r="AJ4879" s="4">
        <v>15</v>
      </c>
      <c r="AK4879" s="4">
        <v>26</v>
      </c>
      <c r="AL4879" s="4">
        <v>53</v>
      </c>
      <c r="AM4879" s="4">
        <v>55</v>
      </c>
      <c r="AN4879" s="4">
        <v>0</v>
      </c>
      <c r="AO4879" s="4">
        <v>0</v>
      </c>
      <c r="AP4879" s="4">
        <v>15</v>
      </c>
      <c r="AQ4879" s="4">
        <v>47</v>
      </c>
      <c r="AR4879" s="3" t="s">
        <v>62</v>
      </c>
      <c r="AS4879" s="3" t="s">
        <v>62</v>
      </c>
      <c r="AT4879" s="3" t="s">
        <v>62</v>
      </c>
      <c r="AV4879" s="6" t="str">
        <f>HYPERLINK("http://mcgill.on.worldcat.org/oclc/32625134","Catalog Record")</f>
        <v>Catalog Record</v>
      </c>
      <c r="AW4879" s="6" t="str">
        <f>HYPERLINK("http://www.worldcat.org/oclc/32625134","WorldCat Record")</f>
        <v>WorldCat Record</v>
      </c>
      <c r="AX4879" s="3" t="s">
        <v>46753</v>
      </c>
      <c r="AY4879" s="3" t="s">
        <v>46754</v>
      </c>
      <c r="AZ4879" s="3" t="s">
        <v>46755</v>
      </c>
      <c r="BA4879" s="3" t="s">
        <v>46755</v>
      </c>
      <c r="BB4879" s="3" t="s">
        <v>46756</v>
      </c>
      <c r="BC4879" s="3" t="s">
        <v>142</v>
      </c>
      <c r="BD4879" s="3" t="s">
        <v>68</v>
      </c>
      <c r="BE4879" s="3" t="s">
        <v>46757</v>
      </c>
      <c r="BF4879" s="3" t="s">
        <v>46756</v>
      </c>
      <c r="BG4879" s="3" t="s">
        <v>46758</v>
      </c>
    </row>
    <row r="4880" spans="1:59" ht="57" x14ac:dyDescent="0.45">
      <c r="A4880" s="2" t="s">
        <v>59</v>
      </c>
      <c r="B4880" s="2" t="s">
        <v>60</v>
      </c>
      <c r="C4880" s="2" t="s">
        <v>46759</v>
      </c>
      <c r="D4880" s="2" t="s">
        <v>46760</v>
      </c>
      <c r="E4880" s="2" t="s">
        <v>46761</v>
      </c>
      <c r="G4880" s="3" t="s">
        <v>62</v>
      </c>
      <c r="I4880" s="3" t="s">
        <v>62</v>
      </c>
      <c r="J4880" s="3" t="s">
        <v>62</v>
      </c>
      <c r="K4880" s="3" t="s">
        <v>63</v>
      </c>
      <c r="M4880" s="2" t="s">
        <v>5074</v>
      </c>
      <c r="N4880" s="3" t="s">
        <v>1855</v>
      </c>
      <c r="P4880" s="3" t="s">
        <v>65</v>
      </c>
      <c r="Q4880" s="2" t="s">
        <v>46762</v>
      </c>
      <c r="R4880" s="3" t="s">
        <v>66</v>
      </c>
      <c r="S4880" s="4">
        <v>3</v>
      </c>
      <c r="T4880" s="4">
        <v>3</v>
      </c>
      <c r="U4880" s="5" t="s">
        <v>31772</v>
      </c>
      <c r="V4880" s="5" t="s">
        <v>31772</v>
      </c>
      <c r="W4880" s="5" t="s">
        <v>67</v>
      </c>
      <c r="X4880" s="5" t="s">
        <v>67</v>
      </c>
      <c r="Y4880" s="4">
        <v>133</v>
      </c>
      <c r="Z4880" s="4">
        <v>9</v>
      </c>
      <c r="AA4880" s="4">
        <v>91</v>
      </c>
      <c r="AB4880" s="4">
        <v>1</v>
      </c>
      <c r="AC4880" s="4">
        <v>17</v>
      </c>
      <c r="AD4880" s="4">
        <v>60</v>
      </c>
      <c r="AE4880" s="4">
        <v>121</v>
      </c>
      <c r="AF4880" s="4">
        <v>0</v>
      </c>
      <c r="AG4880" s="4">
        <v>8</v>
      </c>
      <c r="AH4880" s="4">
        <v>58</v>
      </c>
      <c r="AI4880" s="4">
        <v>85</v>
      </c>
      <c r="AJ4880" s="4">
        <v>7</v>
      </c>
      <c r="AK4880" s="4">
        <v>22</v>
      </c>
      <c r="AL4880" s="4">
        <v>39</v>
      </c>
      <c r="AM4880" s="4">
        <v>48</v>
      </c>
      <c r="AN4880" s="4">
        <v>0</v>
      </c>
      <c r="AO4880" s="4">
        <v>0</v>
      </c>
      <c r="AP4880" s="4">
        <v>7</v>
      </c>
      <c r="AQ4880" s="4">
        <v>43</v>
      </c>
      <c r="AR4880" s="3" t="s">
        <v>62</v>
      </c>
      <c r="AS4880" s="3" t="s">
        <v>62</v>
      </c>
      <c r="AT4880" s="3" t="s">
        <v>62</v>
      </c>
      <c r="AV4880" s="6" t="str">
        <f>HYPERLINK("http://mcgill.on.worldcat.org/oclc/62281391","Catalog Record")</f>
        <v>Catalog Record</v>
      </c>
      <c r="AW4880" s="6" t="str">
        <f>HYPERLINK("http://www.worldcat.org/oclc/62281391","WorldCat Record")</f>
        <v>WorldCat Record</v>
      </c>
      <c r="AX4880" s="3" t="s">
        <v>46763</v>
      </c>
      <c r="AY4880" s="3" t="s">
        <v>46764</v>
      </c>
      <c r="AZ4880" s="3" t="s">
        <v>46765</v>
      </c>
      <c r="BA4880" s="3" t="s">
        <v>46765</v>
      </c>
      <c r="BB4880" s="3" t="s">
        <v>46766</v>
      </c>
      <c r="BC4880" s="3" t="s">
        <v>142</v>
      </c>
      <c r="BD4880" s="3" t="s">
        <v>68</v>
      </c>
      <c r="BE4880" s="3" t="s">
        <v>46767</v>
      </c>
      <c r="BF4880" s="3" t="s">
        <v>46766</v>
      </c>
      <c r="BG4880" s="3" t="s">
        <v>46768</v>
      </c>
    </row>
    <row r="4881" spans="1:59" ht="57" x14ac:dyDescent="0.45">
      <c r="A4881" s="2" t="s">
        <v>59</v>
      </c>
      <c r="B4881" s="2" t="s">
        <v>60</v>
      </c>
      <c r="C4881" s="2" t="s">
        <v>46769</v>
      </c>
      <c r="D4881" s="2" t="s">
        <v>46770</v>
      </c>
      <c r="E4881" s="2" t="s">
        <v>46771</v>
      </c>
      <c r="G4881" s="3" t="s">
        <v>62</v>
      </c>
      <c r="I4881" s="3" t="s">
        <v>62</v>
      </c>
      <c r="J4881" s="3" t="s">
        <v>62</v>
      </c>
      <c r="K4881" s="3" t="s">
        <v>63</v>
      </c>
      <c r="M4881" s="2" t="s">
        <v>46772</v>
      </c>
      <c r="N4881" s="3" t="s">
        <v>149</v>
      </c>
      <c r="P4881" s="3" t="s">
        <v>110</v>
      </c>
      <c r="Q4881" s="2" t="s">
        <v>46773</v>
      </c>
      <c r="R4881" s="3" t="s">
        <v>66</v>
      </c>
      <c r="S4881" s="4">
        <v>0</v>
      </c>
      <c r="T4881" s="4">
        <v>0</v>
      </c>
      <c r="W4881" s="5" t="s">
        <v>67</v>
      </c>
      <c r="X4881" s="5" t="s">
        <v>67</v>
      </c>
      <c r="Y4881" s="4">
        <v>18</v>
      </c>
      <c r="Z4881" s="4">
        <v>3</v>
      </c>
      <c r="AA4881" s="4">
        <v>4</v>
      </c>
      <c r="AB4881" s="4">
        <v>1</v>
      </c>
      <c r="AC4881" s="4">
        <v>1</v>
      </c>
      <c r="AD4881" s="4">
        <v>7</v>
      </c>
      <c r="AE4881" s="4">
        <v>8</v>
      </c>
      <c r="AF4881" s="4">
        <v>0</v>
      </c>
      <c r="AG4881" s="4">
        <v>0</v>
      </c>
      <c r="AH4881" s="4">
        <v>7</v>
      </c>
      <c r="AI4881" s="4">
        <v>8</v>
      </c>
      <c r="AJ4881" s="4">
        <v>1</v>
      </c>
      <c r="AK4881" s="4">
        <v>2</v>
      </c>
      <c r="AL4881" s="4">
        <v>5</v>
      </c>
      <c r="AM4881" s="4">
        <v>5</v>
      </c>
      <c r="AN4881" s="4">
        <v>0</v>
      </c>
      <c r="AO4881" s="4">
        <v>0</v>
      </c>
      <c r="AP4881" s="4">
        <v>1</v>
      </c>
      <c r="AQ4881" s="4">
        <v>2</v>
      </c>
      <c r="AR4881" s="3" t="s">
        <v>62</v>
      </c>
      <c r="AS4881" s="3" t="s">
        <v>62</v>
      </c>
      <c r="AT4881" s="3" t="s">
        <v>62</v>
      </c>
      <c r="AV4881" s="6" t="str">
        <f>HYPERLINK("http://mcgill.on.worldcat.org/oclc/642844673","Catalog Record")</f>
        <v>Catalog Record</v>
      </c>
      <c r="AW4881" s="6" t="str">
        <f>HYPERLINK("http://www.worldcat.org/oclc/642844673","WorldCat Record")</f>
        <v>WorldCat Record</v>
      </c>
      <c r="AX4881" s="3" t="s">
        <v>46774</v>
      </c>
      <c r="AY4881" s="3" t="s">
        <v>46775</v>
      </c>
      <c r="AZ4881" s="3" t="s">
        <v>46776</v>
      </c>
      <c r="BA4881" s="3" t="s">
        <v>46776</v>
      </c>
      <c r="BB4881" s="3" t="s">
        <v>46777</v>
      </c>
      <c r="BC4881" s="3" t="s">
        <v>142</v>
      </c>
      <c r="BD4881" s="3" t="s">
        <v>68</v>
      </c>
      <c r="BE4881" s="3" t="s">
        <v>46778</v>
      </c>
      <c r="BF4881" s="3" t="s">
        <v>46777</v>
      </c>
      <c r="BG4881" s="3" t="s">
        <v>46779</v>
      </c>
    </row>
    <row r="4882" spans="1:59" ht="57" x14ac:dyDescent="0.45">
      <c r="A4882" s="2" t="s">
        <v>59</v>
      </c>
      <c r="B4882" s="2" t="s">
        <v>60</v>
      </c>
      <c r="C4882" s="2" t="s">
        <v>46780</v>
      </c>
      <c r="D4882" s="2" t="s">
        <v>46781</v>
      </c>
      <c r="E4882" s="2" t="s">
        <v>46782</v>
      </c>
      <c r="G4882" s="3" t="s">
        <v>62</v>
      </c>
      <c r="I4882" s="3" t="s">
        <v>62</v>
      </c>
      <c r="J4882" s="3" t="s">
        <v>62</v>
      </c>
      <c r="K4882" s="3" t="s">
        <v>63</v>
      </c>
      <c r="M4882" s="2" t="s">
        <v>7677</v>
      </c>
      <c r="N4882" s="3" t="s">
        <v>820</v>
      </c>
      <c r="P4882" s="3" t="s">
        <v>65</v>
      </c>
      <c r="R4882" s="3" t="s">
        <v>66</v>
      </c>
      <c r="S4882" s="4">
        <v>17</v>
      </c>
      <c r="T4882" s="4">
        <v>17</v>
      </c>
      <c r="U4882" s="5" t="s">
        <v>10693</v>
      </c>
      <c r="V4882" s="5" t="s">
        <v>10693</v>
      </c>
      <c r="W4882" s="5" t="s">
        <v>67</v>
      </c>
      <c r="X4882" s="5" t="s">
        <v>67</v>
      </c>
      <c r="Y4882" s="4">
        <v>358</v>
      </c>
      <c r="Z4882" s="4">
        <v>30</v>
      </c>
      <c r="AA4882" s="4">
        <v>39</v>
      </c>
      <c r="AB4882" s="4">
        <v>2</v>
      </c>
      <c r="AC4882" s="4">
        <v>9</v>
      </c>
      <c r="AD4882" s="4">
        <v>100</v>
      </c>
      <c r="AE4882" s="4">
        <v>108</v>
      </c>
      <c r="AF4882" s="4">
        <v>1</v>
      </c>
      <c r="AG4882" s="4">
        <v>4</v>
      </c>
      <c r="AH4882" s="4">
        <v>87</v>
      </c>
      <c r="AI4882" s="4">
        <v>92</v>
      </c>
      <c r="AJ4882" s="4">
        <v>18</v>
      </c>
      <c r="AK4882" s="4">
        <v>22</v>
      </c>
      <c r="AL4882" s="4">
        <v>48</v>
      </c>
      <c r="AM4882" s="4">
        <v>49</v>
      </c>
      <c r="AN4882" s="4">
        <v>0</v>
      </c>
      <c r="AO4882" s="4">
        <v>0</v>
      </c>
      <c r="AP4882" s="4">
        <v>22</v>
      </c>
      <c r="AQ4882" s="4">
        <v>26</v>
      </c>
      <c r="AR4882" s="3" t="s">
        <v>62</v>
      </c>
      <c r="AS4882" s="3" t="s">
        <v>62</v>
      </c>
      <c r="AT4882" s="3" t="s">
        <v>61</v>
      </c>
      <c r="AU4882" s="6" t="str">
        <f>HYPERLINK("http://catalog.hathitrust.org/Record/005674638","HathiTrust Record")</f>
        <v>HathiTrust Record</v>
      </c>
      <c r="AV4882" s="6" t="str">
        <f>HYPERLINK("http://mcgill.on.worldcat.org/oclc/154308889","Catalog Record")</f>
        <v>Catalog Record</v>
      </c>
      <c r="AW4882" s="6" t="str">
        <f>HYPERLINK("http://www.worldcat.org/oclc/154308889","WorldCat Record")</f>
        <v>WorldCat Record</v>
      </c>
      <c r="AX4882" s="3" t="s">
        <v>46783</v>
      </c>
      <c r="AY4882" s="3" t="s">
        <v>46784</v>
      </c>
      <c r="AZ4882" s="3" t="s">
        <v>46785</v>
      </c>
      <c r="BA4882" s="3" t="s">
        <v>46785</v>
      </c>
      <c r="BB4882" s="3" t="s">
        <v>46786</v>
      </c>
      <c r="BC4882" s="3" t="s">
        <v>142</v>
      </c>
      <c r="BD4882" s="3" t="s">
        <v>68</v>
      </c>
      <c r="BE4882" s="3" t="s">
        <v>46787</v>
      </c>
      <c r="BF4882" s="3" t="s">
        <v>46786</v>
      </c>
      <c r="BG4882" s="3" t="s">
        <v>46788</v>
      </c>
    </row>
    <row r="4883" spans="1:59" ht="57" x14ac:dyDescent="0.45">
      <c r="A4883" s="2" t="s">
        <v>59</v>
      </c>
      <c r="B4883" s="2" t="s">
        <v>60</v>
      </c>
      <c r="C4883" s="2" t="s">
        <v>46789</v>
      </c>
      <c r="D4883" s="2" t="s">
        <v>46790</v>
      </c>
      <c r="E4883" s="2" t="s">
        <v>46791</v>
      </c>
      <c r="G4883" s="3" t="s">
        <v>62</v>
      </c>
      <c r="I4883" s="3" t="s">
        <v>62</v>
      </c>
      <c r="J4883" s="3" t="s">
        <v>62</v>
      </c>
      <c r="K4883" s="3" t="s">
        <v>63</v>
      </c>
      <c r="L4883" s="2" t="s">
        <v>46792</v>
      </c>
      <c r="M4883" s="2" t="s">
        <v>2739</v>
      </c>
      <c r="N4883" s="3" t="s">
        <v>149</v>
      </c>
      <c r="P4883" s="3" t="s">
        <v>65</v>
      </c>
      <c r="Q4883" s="2" t="s">
        <v>46793</v>
      </c>
      <c r="R4883" s="3" t="s">
        <v>66</v>
      </c>
      <c r="S4883" s="4">
        <v>0</v>
      </c>
      <c r="T4883" s="4">
        <v>0</v>
      </c>
      <c r="W4883" s="5" t="s">
        <v>67</v>
      </c>
      <c r="X4883" s="5" t="s">
        <v>67</v>
      </c>
      <c r="Y4883" s="4">
        <v>94</v>
      </c>
      <c r="Z4883" s="4">
        <v>6</v>
      </c>
      <c r="AA4883" s="4">
        <v>92</v>
      </c>
      <c r="AB4883" s="4">
        <v>1</v>
      </c>
      <c r="AC4883" s="4">
        <v>17</v>
      </c>
      <c r="AD4883" s="4">
        <v>40</v>
      </c>
      <c r="AE4883" s="4">
        <v>118</v>
      </c>
      <c r="AF4883" s="4">
        <v>0</v>
      </c>
      <c r="AG4883" s="4">
        <v>8</v>
      </c>
      <c r="AH4883" s="4">
        <v>36</v>
      </c>
      <c r="AI4883" s="4">
        <v>79</v>
      </c>
      <c r="AJ4883" s="4">
        <v>5</v>
      </c>
      <c r="AK4883" s="4">
        <v>22</v>
      </c>
      <c r="AL4883" s="4">
        <v>23</v>
      </c>
      <c r="AM4883" s="4">
        <v>43</v>
      </c>
      <c r="AN4883" s="4">
        <v>0</v>
      </c>
      <c r="AO4883" s="4">
        <v>0</v>
      </c>
      <c r="AP4883" s="4">
        <v>5</v>
      </c>
      <c r="AQ4883" s="4">
        <v>44</v>
      </c>
      <c r="AR4883" s="3" t="s">
        <v>62</v>
      </c>
      <c r="AS4883" s="3" t="s">
        <v>62</v>
      </c>
      <c r="AT4883" s="3" t="s">
        <v>62</v>
      </c>
      <c r="AV4883" s="6" t="str">
        <f>HYPERLINK("http://mcgill.on.worldcat.org/oclc/614990433","Catalog Record")</f>
        <v>Catalog Record</v>
      </c>
      <c r="AW4883" s="6" t="str">
        <f>HYPERLINK("http://www.worldcat.org/oclc/614990433","WorldCat Record")</f>
        <v>WorldCat Record</v>
      </c>
      <c r="AX4883" s="3" t="s">
        <v>46794</v>
      </c>
      <c r="AY4883" s="3" t="s">
        <v>46795</v>
      </c>
      <c r="AZ4883" s="3" t="s">
        <v>46796</v>
      </c>
      <c r="BA4883" s="3" t="s">
        <v>46796</v>
      </c>
      <c r="BB4883" s="3" t="s">
        <v>46797</v>
      </c>
      <c r="BC4883" s="3" t="s">
        <v>142</v>
      </c>
      <c r="BD4883" s="3" t="s">
        <v>68</v>
      </c>
      <c r="BE4883" s="3" t="s">
        <v>46798</v>
      </c>
      <c r="BF4883" s="3" t="s">
        <v>46797</v>
      </c>
      <c r="BG4883" s="3" t="s">
        <v>46799</v>
      </c>
    </row>
    <row r="4884" spans="1:59" ht="57" x14ac:dyDescent="0.45">
      <c r="A4884" s="2" t="s">
        <v>59</v>
      </c>
      <c r="B4884" s="2" t="s">
        <v>60</v>
      </c>
      <c r="C4884" s="2" t="s">
        <v>46800</v>
      </c>
      <c r="D4884" s="2" t="s">
        <v>46801</v>
      </c>
      <c r="E4884" s="2" t="s">
        <v>46802</v>
      </c>
      <c r="G4884" s="3" t="s">
        <v>62</v>
      </c>
      <c r="I4884" s="3" t="s">
        <v>62</v>
      </c>
      <c r="J4884" s="3" t="s">
        <v>62</v>
      </c>
      <c r="K4884" s="3" t="s">
        <v>63</v>
      </c>
      <c r="M4884" s="2" t="s">
        <v>46803</v>
      </c>
      <c r="N4884" s="3" t="s">
        <v>1059</v>
      </c>
      <c r="O4884" s="2" t="s">
        <v>933</v>
      </c>
      <c r="P4884" s="3" t="s">
        <v>65</v>
      </c>
      <c r="Q4884" s="2" t="s">
        <v>2584</v>
      </c>
      <c r="R4884" s="3" t="s">
        <v>66</v>
      </c>
      <c r="S4884" s="4">
        <v>5</v>
      </c>
      <c r="T4884" s="4">
        <v>5</v>
      </c>
      <c r="U4884" s="5" t="s">
        <v>46804</v>
      </c>
      <c r="V4884" s="5" t="s">
        <v>46804</v>
      </c>
      <c r="W4884" s="5" t="s">
        <v>67</v>
      </c>
      <c r="X4884" s="5" t="s">
        <v>67</v>
      </c>
      <c r="Y4884" s="4">
        <v>120</v>
      </c>
      <c r="Z4884" s="4">
        <v>12</v>
      </c>
      <c r="AA4884" s="4">
        <v>26</v>
      </c>
      <c r="AB4884" s="4">
        <v>2</v>
      </c>
      <c r="AC4884" s="4">
        <v>7</v>
      </c>
      <c r="AD4884" s="4">
        <v>29</v>
      </c>
      <c r="AE4884" s="4">
        <v>81</v>
      </c>
      <c r="AF4884" s="4">
        <v>0</v>
      </c>
      <c r="AG4884" s="4">
        <v>2</v>
      </c>
      <c r="AH4884" s="4">
        <v>25</v>
      </c>
      <c r="AI4884" s="4">
        <v>73</v>
      </c>
      <c r="AJ4884" s="4">
        <v>9</v>
      </c>
      <c r="AK4884" s="4">
        <v>15</v>
      </c>
      <c r="AL4884" s="4">
        <v>13</v>
      </c>
      <c r="AM4884" s="4">
        <v>40</v>
      </c>
      <c r="AN4884" s="4">
        <v>0</v>
      </c>
      <c r="AO4884" s="4">
        <v>0</v>
      </c>
      <c r="AP4884" s="4">
        <v>9</v>
      </c>
      <c r="AQ4884" s="4">
        <v>15</v>
      </c>
      <c r="AR4884" s="3" t="s">
        <v>62</v>
      </c>
      <c r="AS4884" s="3" t="s">
        <v>62</v>
      </c>
      <c r="AT4884" s="3" t="s">
        <v>62</v>
      </c>
      <c r="AV4884" s="6" t="str">
        <f>HYPERLINK("http://mcgill.on.worldcat.org/oclc/64771033","Catalog Record")</f>
        <v>Catalog Record</v>
      </c>
      <c r="AW4884" s="6" t="str">
        <f>HYPERLINK("http://www.worldcat.org/oclc/64771033","WorldCat Record")</f>
        <v>WorldCat Record</v>
      </c>
      <c r="AX4884" s="3" t="s">
        <v>46805</v>
      </c>
      <c r="AY4884" s="3" t="s">
        <v>46806</v>
      </c>
      <c r="AZ4884" s="3" t="s">
        <v>46807</v>
      </c>
      <c r="BA4884" s="3" t="s">
        <v>46807</v>
      </c>
      <c r="BB4884" s="3" t="s">
        <v>46808</v>
      </c>
      <c r="BC4884" s="3" t="s">
        <v>142</v>
      </c>
      <c r="BD4884" s="3" t="s">
        <v>68</v>
      </c>
      <c r="BE4884" s="3" t="s">
        <v>46809</v>
      </c>
      <c r="BF4884" s="3" t="s">
        <v>46808</v>
      </c>
      <c r="BG4884" s="3" t="s">
        <v>46810</v>
      </c>
    </row>
    <row r="4885" spans="1:59" ht="57" x14ac:dyDescent="0.45">
      <c r="A4885" s="2" t="s">
        <v>59</v>
      </c>
      <c r="B4885" s="2" t="s">
        <v>60</v>
      </c>
      <c r="C4885" s="2" t="s">
        <v>46811</v>
      </c>
      <c r="D4885" s="2" t="s">
        <v>46812</v>
      </c>
      <c r="E4885" s="2" t="s">
        <v>46813</v>
      </c>
      <c r="G4885" s="3" t="s">
        <v>62</v>
      </c>
      <c r="I4885" s="3" t="s">
        <v>62</v>
      </c>
      <c r="J4885" s="3" t="s">
        <v>62</v>
      </c>
      <c r="K4885" s="3" t="s">
        <v>63</v>
      </c>
      <c r="L4885" s="2" t="s">
        <v>46814</v>
      </c>
      <c r="M4885" s="2" t="s">
        <v>2654</v>
      </c>
      <c r="N4885" s="3" t="s">
        <v>820</v>
      </c>
      <c r="P4885" s="3" t="s">
        <v>65</v>
      </c>
      <c r="R4885" s="3" t="s">
        <v>66</v>
      </c>
      <c r="S4885" s="4">
        <v>9</v>
      </c>
      <c r="T4885" s="4">
        <v>9</v>
      </c>
      <c r="U4885" s="5" t="s">
        <v>9601</v>
      </c>
      <c r="V4885" s="5" t="s">
        <v>9601</v>
      </c>
      <c r="W4885" s="5" t="s">
        <v>67</v>
      </c>
      <c r="X4885" s="5" t="s">
        <v>67</v>
      </c>
      <c r="Y4885" s="4">
        <v>270</v>
      </c>
      <c r="Z4885" s="4">
        <v>21</v>
      </c>
      <c r="AA4885" s="4">
        <v>67</v>
      </c>
      <c r="AB4885" s="4">
        <v>2</v>
      </c>
      <c r="AC4885" s="4">
        <v>9</v>
      </c>
      <c r="AD4885" s="4">
        <v>89</v>
      </c>
      <c r="AE4885" s="4">
        <v>117</v>
      </c>
      <c r="AF4885" s="4">
        <v>1</v>
      </c>
      <c r="AG4885" s="4">
        <v>2</v>
      </c>
      <c r="AH4885" s="4">
        <v>80</v>
      </c>
      <c r="AI4885" s="4">
        <v>95</v>
      </c>
      <c r="AJ4885" s="4">
        <v>14</v>
      </c>
      <c r="AK4885" s="4">
        <v>17</v>
      </c>
      <c r="AL4885" s="4">
        <v>48</v>
      </c>
      <c r="AM4885" s="4">
        <v>52</v>
      </c>
      <c r="AN4885" s="4">
        <v>0</v>
      </c>
      <c r="AO4885" s="4">
        <v>0</v>
      </c>
      <c r="AP4885" s="4">
        <v>17</v>
      </c>
      <c r="AQ4885" s="4">
        <v>32</v>
      </c>
      <c r="AR4885" s="3" t="s">
        <v>62</v>
      </c>
      <c r="AS4885" s="3" t="s">
        <v>62</v>
      </c>
      <c r="AT4885" s="3" t="s">
        <v>62</v>
      </c>
      <c r="AV4885" s="6" t="str">
        <f>HYPERLINK("http://mcgill.on.worldcat.org/oclc/85830762","Catalog Record")</f>
        <v>Catalog Record</v>
      </c>
      <c r="AW4885" s="6" t="str">
        <f>HYPERLINK("http://www.worldcat.org/oclc/85830762","WorldCat Record")</f>
        <v>WorldCat Record</v>
      </c>
      <c r="AX4885" s="3" t="s">
        <v>46815</v>
      </c>
      <c r="AY4885" s="3" t="s">
        <v>46816</v>
      </c>
      <c r="AZ4885" s="3" t="s">
        <v>46817</v>
      </c>
      <c r="BA4885" s="3" t="s">
        <v>46817</v>
      </c>
      <c r="BB4885" s="3" t="s">
        <v>46818</v>
      </c>
      <c r="BC4885" s="3" t="s">
        <v>142</v>
      </c>
      <c r="BD4885" s="3" t="s">
        <v>68</v>
      </c>
      <c r="BE4885" s="3" t="s">
        <v>46819</v>
      </c>
      <c r="BF4885" s="3" t="s">
        <v>46818</v>
      </c>
      <c r="BG4885" s="3" t="s">
        <v>46820</v>
      </c>
    </row>
    <row r="4886" spans="1:59" ht="57" x14ac:dyDescent="0.45">
      <c r="A4886" s="2" t="s">
        <v>59</v>
      </c>
      <c r="B4886" s="2" t="s">
        <v>60</v>
      </c>
      <c r="C4886" s="2" t="s">
        <v>46821</v>
      </c>
      <c r="D4886" s="2" t="s">
        <v>46822</v>
      </c>
      <c r="E4886" s="2" t="s">
        <v>46823</v>
      </c>
      <c r="G4886" s="3" t="s">
        <v>61</v>
      </c>
      <c r="I4886" s="3" t="s">
        <v>61</v>
      </c>
      <c r="J4886" s="3" t="s">
        <v>62</v>
      </c>
      <c r="K4886" s="3" t="s">
        <v>63</v>
      </c>
      <c r="L4886" s="2" t="s">
        <v>46824</v>
      </c>
      <c r="M4886" s="2" t="s">
        <v>46825</v>
      </c>
      <c r="N4886" s="3" t="s">
        <v>568</v>
      </c>
      <c r="P4886" s="3" t="s">
        <v>65</v>
      </c>
      <c r="R4886" s="3" t="s">
        <v>66</v>
      </c>
      <c r="S4886" s="4">
        <v>37</v>
      </c>
      <c r="T4886" s="4">
        <v>61</v>
      </c>
      <c r="U4886" s="5" t="s">
        <v>38342</v>
      </c>
      <c r="V4886" s="5" t="s">
        <v>11202</v>
      </c>
      <c r="W4886" s="5" t="s">
        <v>67</v>
      </c>
      <c r="X4886" s="5" t="s">
        <v>67</v>
      </c>
      <c r="Y4886" s="4">
        <v>383</v>
      </c>
      <c r="Z4886" s="4">
        <v>22</v>
      </c>
      <c r="AA4886" s="4">
        <v>28</v>
      </c>
      <c r="AB4886" s="4">
        <v>1</v>
      </c>
      <c r="AC4886" s="4">
        <v>7</v>
      </c>
      <c r="AD4886" s="4">
        <v>114</v>
      </c>
      <c r="AE4886" s="4">
        <v>118</v>
      </c>
      <c r="AF4886" s="4">
        <v>0</v>
      </c>
      <c r="AG4886" s="4">
        <v>4</v>
      </c>
      <c r="AH4886" s="4">
        <v>105</v>
      </c>
      <c r="AI4886" s="4">
        <v>106</v>
      </c>
      <c r="AJ4886" s="4">
        <v>14</v>
      </c>
      <c r="AK4886" s="4">
        <v>18</v>
      </c>
      <c r="AL4886" s="4">
        <v>57</v>
      </c>
      <c r="AM4886" s="4">
        <v>57</v>
      </c>
      <c r="AN4886" s="4">
        <v>0</v>
      </c>
      <c r="AO4886" s="4">
        <v>0</v>
      </c>
      <c r="AP4886" s="4">
        <v>16</v>
      </c>
      <c r="AQ4886" s="4">
        <v>19</v>
      </c>
      <c r="AR4886" s="3" t="s">
        <v>62</v>
      </c>
      <c r="AS4886" s="3" t="s">
        <v>62</v>
      </c>
      <c r="AT4886" s="3" t="s">
        <v>61</v>
      </c>
      <c r="AU4886" s="6" t="str">
        <f>HYPERLINK("http://catalog.hathitrust.org/Record/000822191","HathiTrust Record")</f>
        <v>HathiTrust Record</v>
      </c>
      <c r="AV4886" s="6" t="str">
        <f>HYPERLINK("http://mcgill.on.worldcat.org/oclc/13859017","Catalog Record")</f>
        <v>Catalog Record</v>
      </c>
      <c r="AW4886" s="6" t="str">
        <f>HYPERLINK("http://www.worldcat.org/oclc/13859017","WorldCat Record")</f>
        <v>WorldCat Record</v>
      </c>
      <c r="AX4886" s="3" t="s">
        <v>46826</v>
      </c>
      <c r="AY4886" s="3" t="s">
        <v>46827</v>
      </c>
      <c r="AZ4886" s="3" t="s">
        <v>46828</v>
      </c>
      <c r="BA4886" s="3" t="s">
        <v>46828</v>
      </c>
      <c r="BB4886" s="3" t="s">
        <v>46829</v>
      </c>
      <c r="BC4886" s="3" t="s">
        <v>142</v>
      </c>
      <c r="BD4886" s="3" t="s">
        <v>68</v>
      </c>
      <c r="BE4886" s="3" t="s">
        <v>46830</v>
      </c>
      <c r="BF4886" s="3" t="s">
        <v>46829</v>
      </c>
      <c r="BG4886" s="3" t="s">
        <v>46831</v>
      </c>
    </row>
    <row r="4887" spans="1:59" ht="57" x14ac:dyDescent="0.45">
      <c r="A4887" s="2" t="s">
        <v>59</v>
      </c>
      <c r="B4887" s="2" t="s">
        <v>60</v>
      </c>
      <c r="C4887" s="2" t="s">
        <v>46821</v>
      </c>
      <c r="D4887" s="2" t="s">
        <v>46822</v>
      </c>
      <c r="E4887" s="2" t="s">
        <v>46823</v>
      </c>
      <c r="F4887" s="3" t="s">
        <v>90</v>
      </c>
      <c r="G4887" s="3" t="s">
        <v>61</v>
      </c>
      <c r="I4887" s="3" t="s">
        <v>61</v>
      </c>
      <c r="J4887" s="3" t="s">
        <v>62</v>
      </c>
      <c r="K4887" s="3" t="s">
        <v>63</v>
      </c>
      <c r="L4887" s="2" t="s">
        <v>46824</v>
      </c>
      <c r="M4887" s="2" t="s">
        <v>46825</v>
      </c>
      <c r="N4887" s="3" t="s">
        <v>568</v>
      </c>
      <c r="P4887" s="3" t="s">
        <v>65</v>
      </c>
      <c r="R4887" s="3" t="s">
        <v>66</v>
      </c>
      <c r="S4887" s="4">
        <v>24</v>
      </c>
      <c r="T4887" s="4">
        <v>61</v>
      </c>
      <c r="U4887" s="5" t="s">
        <v>11202</v>
      </c>
      <c r="V4887" s="5" t="s">
        <v>11202</v>
      </c>
      <c r="W4887" s="5" t="s">
        <v>67</v>
      </c>
      <c r="X4887" s="5" t="s">
        <v>67</v>
      </c>
      <c r="Y4887" s="4">
        <v>383</v>
      </c>
      <c r="Z4887" s="4">
        <v>22</v>
      </c>
      <c r="AA4887" s="4">
        <v>28</v>
      </c>
      <c r="AB4887" s="4">
        <v>1</v>
      </c>
      <c r="AC4887" s="4">
        <v>7</v>
      </c>
      <c r="AD4887" s="4">
        <v>114</v>
      </c>
      <c r="AE4887" s="4">
        <v>118</v>
      </c>
      <c r="AF4887" s="4">
        <v>0</v>
      </c>
      <c r="AG4887" s="4">
        <v>4</v>
      </c>
      <c r="AH4887" s="4">
        <v>105</v>
      </c>
      <c r="AI4887" s="4">
        <v>106</v>
      </c>
      <c r="AJ4887" s="4">
        <v>14</v>
      </c>
      <c r="AK4887" s="4">
        <v>18</v>
      </c>
      <c r="AL4887" s="4">
        <v>57</v>
      </c>
      <c r="AM4887" s="4">
        <v>57</v>
      </c>
      <c r="AN4887" s="4">
        <v>0</v>
      </c>
      <c r="AO4887" s="4">
        <v>0</v>
      </c>
      <c r="AP4887" s="4">
        <v>16</v>
      </c>
      <c r="AQ4887" s="4">
        <v>19</v>
      </c>
      <c r="AR4887" s="3" t="s">
        <v>62</v>
      </c>
      <c r="AS4887" s="3" t="s">
        <v>62</v>
      </c>
      <c r="AT4887" s="3" t="s">
        <v>61</v>
      </c>
      <c r="AU4887" s="6" t="str">
        <f>HYPERLINK("http://catalog.hathitrust.org/Record/000822191","HathiTrust Record")</f>
        <v>HathiTrust Record</v>
      </c>
      <c r="AV4887" s="6" t="str">
        <f>HYPERLINK("http://mcgill.on.worldcat.org/oclc/13859017","Catalog Record")</f>
        <v>Catalog Record</v>
      </c>
      <c r="AW4887" s="6" t="str">
        <f>HYPERLINK("http://www.worldcat.org/oclc/13859017","WorldCat Record")</f>
        <v>WorldCat Record</v>
      </c>
      <c r="AX4887" s="3" t="s">
        <v>46826</v>
      </c>
      <c r="AY4887" s="3" t="s">
        <v>46827</v>
      </c>
      <c r="AZ4887" s="3" t="s">
        <v>46828</v>
      </c>
      <c r="BA4887" s="3" t="s">
        <v>46828</v>
      </c>
      <c r="BB4887" s="3" t="s">
        <v>46832</v>
      </c>
      <c r="BC4887" s="3" t="s">
        <v>142</v>
      </c>
      <c r="BD4887" s="3" t="s">
        <v>308</v>
      </c>
      <c r="BE4887" s="3" t="s">
        <v>46830</v>
      </c>
      <c r="BF4887" s="3" t="s">
        <v>46832</v>
      </c>
      <c r="BG4887" s="3" t="s">
        <v>46833</v>
      </c>
    </row>
    <row r="4888" spans="1:59" ht="57" x14ac:dyDescent="0.45">
      <c r="A4888" s="2" t="s">
        <v>59</v>
      </c>
      <c r="B4888" s="2" t="s">
        <v>60</v>
      </c>
      <c r="C4888" s="2" t="s">
        <v>46834</v>
      </c>
      <c r="D4888" s="2" t="s">
        <v>46835</v>
      </c>
      <c r="E4888" s="2" t="s">
        <v>46836</v>
      </c>
      <c r="G4888" s="3" t="s">
        <v>62</v>
      </c>
      <c r="I4888" s="3" t="s">
        <v>62</v>
      </c>
      <c r="J4888" s="3" t="s">
        <v>62</v>
      </c>
      <c r="K4888" s="3" t="s">
        <v>63</v>
      </c>
      <c r="L4888" s="2" t="s">
        <v>46824</v>
      </c>
      <c r="M4888" s="2" t="s">
        <v>37715</v>
      </c>
      <c r="N4888" s="3" t="s">
        <v>1465</v>
      </c>
      <c r="P4888" s="3" t="s">
        <v>65</v>
      </c>
      <c r="Q4888" s="2" t="s">
        <v>46837</v>
      </c>
      <c r="R4888" s="3" t="s">
        <v>66</v>
      </c>
      <c r="S4888" s="4">
        <v>1</v>
      </c>
      <c r="T4888" s="4">
        <v>1</v>
      </c>
      <c r="U4888" s="5" t="s">
        <v>43618</v>
      </c>
      <c r="V4888" s="5" t="s">
        <v>43618</v>
      </c>
      <c r="W4888" s="5" t="s">
        <v>67</v>
      </c>
      <c r="X4888" s="5" t="s">
        <v>67</v>
      </c>
      <c r="Y4888" s="4">
        <v>124</v>
      </c>
      <c r="Z4888" s="4">
        <v>16</v>
      </c>
      <c r="AA4888" s="4">
        <v>93</v>
      </c>
      <c r="AB4888" s="4">
        <v>2</v>
      </c>
      <c r="AC4888" s="4">
        <v>18</v>
      </c>
      <c r="AD4888" s="4">
        <v>54</v>
      </c>
      <c r="AE4888" s="4">
        <v>121</v>
      </c>
      <c r="AF4888" s="4">
        <v>0</v>
      </c>
      <c r="AG4888" s="4">
        <v>8</v>
      </c>
      <c r="AH4888" s="4">
        <v>47</v>
      </c>
      <c r="AI4888" s="4">
        <v>84</v>
      </c>
      <c r="AJ4888" s="4">
        <v>12</v>
      </c>
      <c r="AK4888" s="4">
        <v>25</v>
      </c>
      <c r="AL4888" s="4">
        <v>32</v>
      </c>
      <c r="AM4888" s="4">
        <v>45</v>
      </c>
      <c r="AN4888" s="4">
        <v>0</v>
      </c>
      <c r="AO4888" s="4">
        <v>0</v>
      </c>
      <c r="AP4888" s="4">
        <v>13</v>
      </c>
      <c r="AQ4888" s="4">
        <v>46</v>
      </c>
      <c r="AR4888" s="3" t="s">
        <v>62</v>
      </c>
      <c r="AS4888" s="3" t="s">
        <v>62</v>
      </c>
      <c r="AT4888" s="3" t="s">
        <v>62</v>
      </c>
      <c r="AV4888" s="6" t="str">
        <f>HYPERLINK("http://mcgill.on.worldcat.org/oclc/300463315","Catalog Record")</f>
        <v>Catalog Record</v>
      </c>
      <c r="AW4888" s="6" t="str">
        <f>HYPERLINK("http://www.worldcat.org/oclc/300463315","WorldCat Record")</f>
        <v>WorldCat Record</v>
      </c>
      <c r="AX4888" s="3" t="s">
        <v>46838</v>
      </c>
      <c r="AY4888" s="3" t="s">
        <v>46839</v>
      </c>
      <c r="AZ4888" s="3" t="s">
        <v>46840</v>
      </c>
      <c r="BA4888" s="3" t="s">
        <v>46840</v>
      </c>
      <c r="BB4888" s="3" t="s">
        <v>46841</v>
      </c>
      <c r="BC4888" s="3" t="s">
        <v>142</v>
      </c>
      <c r="BD4888" s="3" t="s">
        <v>68</v>
      </c>
      <c r="BE4888" s="3" t="s">
        <v>46842</v>
      </c>
      <c r="BF4888" s="3" t="s">
        <v>46841</v>
      </c>
      <c r="BG4888" s="3" t="s">
        <v>46843</v>
      </c>
    </row>
    <row r="4889" spans="1:59" ht="57" x14ac:dyDescent="0.45">
      <c r="A4889" s="2" t="s">
        <v>59</v>
      </c>
      <c r="B4889" s="2" t="s">
        <v>60</v>
      </c>
      <c r="C4889" s="2" t="s">
        <v>46844</v>
      </c>
      <c r="D4889" s="2" t="s">
        <v>46845</v>
      </c>
      <c r="E4889" s="2" t="s">
        <v>46846</v>
      </c>
      <c r="G4889" s="3" t="s">
        <v>62</v>
      </c>
      <c r="I4889" s="3" t="s">
        <v>62</v>
      </c>
      <c r="J4889" s="3" t="s">
        <v>62</v>
      </c>
      <c r="K4889" s="3" t="s">
        <v>63</v>
      </c>
      <c r="M4889" s="2" t="s">
        <v>46847</v>
      </c>
      <c r="N4889" s="3" t="s">
        <v>149</v>
      </c>
      <c r="P4889" s="3" t="s">
        <v>65</v>
      </c>
      <c r="Q4889" s="2" t="s">
        <v>46848</v>
      </c>
      <c r="R4889" s="3" t="s">
        <v>66</v>
      </c>
      <c r="S4889" s="4">
        <v>2</v>
      </c>
      <c r="T4889" s="4">
        <v>2</v>
      </c>
      <c r="U4889" s="5" t="s">
        <v>159</v>
      </c>
      <c r="V4889" s="5" t="s">
        <v>159</v>
      </c>
      <c r="W4889" s="5" t="s">
        <v>67</v>
      </c>
      <c r="X4889" s="5" t="s">
        <v>67</v>
      </c>
      <c r="Y4889" s="4">
        <v>122</v>
      </c>
      <c r="Z4889" s="4">
        <v>14</v>
      </c>
      <c r="AA4889" s="4">
        <v>82</v>
      </c>
      <c r="AB4889" s="4">
        <v>1</v>
      </c>
      <c r="AC4889" s="4">
        <v>14</v>
      </c>
      <c r="AD4889" s="4">
        <v>51</v>
      </c>
      <c r="AE4889" s="4">
        <v>104</v>
      </c>
      <c r="AF4889" s="4">
        <v>0</v>
      </c>
      <c r="AG4889" s="4">
        <v>8</v>
      </c>
      <c r="AH4889" s="4">
        <v>48</v>
      </c>
      <c r="AI4889" s="4">
        <v>71</v>
      </c>
      <c r="AJ4889" s="4">
        <v>11</v>
      </c>
      <c r="AK4889" s="4">
        <v>23</v>
      </c>
      <c r="AL4889" s="4">
        <v>31</v>
      </c>
      <c r="AM4889" s="4">
        <v>40</v>
      </c>
      <c r="AN4889" s="4">
        <v>0</v>
      </c>
      <c r="AO4889" s="4">
        <v>0</v>
      </c>
      <c r="AP4889" s="4">
        <v>11</v>
      </c>
      <c r="AQ4889" s="4">
        <v>43</v>
      </c>
      <c r="AR4889" s="3" t="s">
        <v>62</v>
      </c>
      <c r="AS4889" s="3" t="s">
        <v>62</v>
      </c>
      <c r="AT4889" s="3" t="s">
        <v>62</v>
      </c>
      <c r="AV4889" s="6" t="str">
        <f>HYPERLINK("http://mcgill.on.worldcat.org/oclc/144226941","Catalog Record")</f>
        <v>Catalog Record</v>
      </c>
      <c r="AW4889" s="6" t="str">
        <f>HYPERLINK("http://www.worldcat.org/oclc/144226941","WorldCat Record")</f>
        <v>WorldCat Record</v>
      </c>
      <c r="AX4889" s="3" t="s">
        <v>46849</v>
      </c>
      <c r="AY4889" s="3" t="s">
        <v>46850</v>
      </c>
      <c r="AZ4889" s="3" t="s">
        <v>46851</v>
      </c>
      <c r="BA4889" s="3" t="s">
        <v>46851</v>
      </c>
      <c r="BB4889" s="3" t="s">
        <v>46852</v>
      </c>
      <c r="BC4889" s="3" t="s">
        <v>142</v>
      </c>
      <c r="BD4889" s="3" t="s">
        <v>68</v>
      </c>
      <c r="BE4889" s="3" t="s">
        <v>46853</v>
      </c>
      <c r="BF4889" s="3" t="s">
        <v>46852</v>
      </c>
      <c r="BG4889" s="3" t="s">
        <v>46854</v>
      </c>
    </row>
    <row r="4890" spans="1:59" ht="57" x14ac:dyDescent="0.45">
      <c r="A4890" s="2" t="s">
        <v>59</v>
      </c>
      <c r="B4890" s="2" t="s">
        <v>60</v>
      </c>
      <c r="C4890" s="2" t="s">
        <v>46855</v>
      </c>
      <c r="D4890" s="2" t="s">
        <v>46856</v>
      </c>
      <c r="E4890" s="2" t="s">
        <v>46857</v>
      </c>
      <c r="G4890" s="3" t="s">
        <v>62</v>
      </c>
      <c r="I4890" s="3" t="s">
        <v>62</v>
      </c>
      <c r="J4890" s="3" t="s">
        <v>62</v>
      </c>
      <c r="K4890" s="3" t="s">
        <v>63</v>
      </c>
      <c r="M4890" s="2" t="s">
        <v>46858</v>
      </c>
      <c r="N4890" s="3" t="s">
        <v>894</v>
      </c>
      <c r="P4890" s="3" t="s">
        <v>65</v>
      </c>
      <c r="Q4890" s="2" t="s">
        <v>46859</v>
      </c>
      <c r="R4890" s="3" t="s">
        <v>66</v>
      </c>
      <c r="S4890" s="4">
        <v>2</v>
      </c>
      <c r="T4890" s="4">
        <v>2</v>
      </c>
      <c r="U4890" s="5" t="s">
        <v>159</v>
      </c>
      <c r="V4890" s="5" t="s">
        <v>159</v>
      </c>
      <c r="W4890" s="5" t="s">
        <v>67</v>
      </c>
      <c r="X4890" s="5" t="s">
        <v>67</v>
      </c>
      <c r="Y4890" s="4">
        <v>81</v>
      </c>
      <c r="Z4890" s="4">
        <v>11</v>
      </c>
      <c r="AA4890" s="4">
        <v>11</v>
      </c>
      <c r="AB4890" s="4">
        <v>1</v>
      </c>
      <c r="AC4890" s="4">
        <v>1</v>
      </c>
      <c r="AD4890" s="4">
        <v>48</v>
      </c>
      <c r="AE4890" s="4">
        <v>48</v>
      </c>
      <c r="AF4890" s="4">
        <v>0</v>
      </c>
      <c r="AG4890" s="4">
        <v>0</v>
      </c>
      <c r="AH4890" s="4">
        <v>45</v>
      </c>
      <c r="AI4890" s="4">
        <v>45</v>
      </c>
      <c r="AJ4890" s="4">
        <v>8</v>
      </c>
      <c r="AK4890" s="4">
        <v>8</v>
      </c>
      <c r="AL4890" s="4">
        <v>32</v>
      </c>
      <c r="AM4890" s="4">
        <v>32</v>
      </c>
      <c r="AN4890" s="4">
        <v>0</v>
      </c>
      <c r="AO4890" s="4">
        <v>0</v>
      </c>
      <c r="AP4890" s="4">
        <v>8</v>
      </c>
      <c r="AQ4890" s="4">
        <v>8</v>
      </c>
      <c r="AR4890" s="3" t="s">
        <v>62</v>
      </c>
      <c r="AS4890" s="3" t="s">
        <v>62</v>
      </c>
      <c r="AT4890" s="3" t="s">
        <v>62</v>
      </c>
      <c r="AV4890" s="6" t="str">
        <f>HYPERLINK("http://mcgill.on.worldcat.org/oclc/697980078","Catalog Record")</f>
        <v>Catalog Record</v>
      </c>
      <c r="AW4890" s="6" t="str">
        <f>HYPERLINK("http://www.worldcat.org/oclc/697980078","WorldCat Record")</f>
        <v>WorldCat Record</v>
      </c>
      <c r="AX4890" s="3" t="s">
        <v>46860</v>
      </c>
      <c r="AY4890" s="3" t="s">
        <v>46861</v>
      </c>
      <c r="AZ4890" s="3" t="s">
        <v>46862</v>
      </c>
      <c r="BA4890" s="3" t="s">
        <v>46862</v>
      </c>
      <c r="BB4890" s="3" t="s">
        <v>46863</v>
      </c>
      <c r="BC4890" s="3" t="s">
        <v>142</v>
      </c>
      <c r="BD4890" s="3" t="s">
        <v>68</v>
      </c>
      <c r="BE4890" s="3" t="s">
        <v>46864</v>
      </c>
      <c r="BF4890" s="3" t="s">
        <v>46863</v>
      </c>
      <c r="BG4890" s="3" t="s">
        <v>46865</v>
      </c>
    </row>
    <row r="4891" spans="1:59" ht="57" x14ac:dyDescent="0.45">
      <c r="A4891" s="2" t="s">
        <v>59</v>
      </c>
      <c r="B4891" s="2" t="s">
        <v>60</v>
      </c>
      <c r="C4891" s="2" t="s">
        <v>46866</v>
      </c>
      <c r="D4891" s="2" t="s">
        <v>46867</v>
      </c>
      <c r="E4891" s="2" t="s">
        <v>46868</v>
      </c>
      <c r="G4891" s="3" t="s">
        <v>62</v>
      </c>
      <c r="I4891" s="3" t="s">
        <v>62</v>
      </c>
      <c r="J4891" s="3" t="s">
        <v>62</v>
      </c>
      <c r="K4891" s="3" t="s">
        <v>63</v>
      </c>
      <c r="M4891" s="2" t="s">
        <v>30230</v>
      </c>
      <c r="N4891" s="3" t="s">
        <v>149</v>
      </c>
      <c r="P4891" s="3" t="s">
        <v>65</v>
      </c>
      <c r="Q4891" s="2" t="s">
        <v>46869</v>
      </c>
      <c r="R4891" s="3" t="s">
        <v>66</v>
      </c>
      <c r="S4891" s="4">
        <v>2</v>
      </c>
      <c r="T4891" s="4">
        <v>2</v>
      </c>
      <c r="U4891" s="5" t="s">
        <v>159</v>
      </c>
      <c r="V4891" s="5" t="s">
        <v>159</v>
      </c>
      <c r="W4891" s="5" t="s">
        <v>67</v>
      </c>
      <c r="X4891" s="5" t="s">
        <v>67</v>
      </c>
      <c r="Y4891" s="4">
        <v>92</v>
      </c>
      <c r="Z4891" s="4">
        <v>13</v>
      </c>
      <c r="AA4891" s="4">
        <v>99</v>
      </c>
      <c r="AB4891" s="4">
        <v>1</v>
      </c>
      <c r="AC4891" s="4">
        <v>17</v>
      </c>
      <c r="AD4891" s="4">
        <v>48</v>
      </c>
      <c r="AE4891" s="4">
        <v>118</v>
      </c>
      <c r="AF4891" s="4">
        <v>0</v>
      </c>
      <c r="AG4891" s="4">
        <v>8</v>
      </c>
      <c r="AH4891" s="4">
        <v>44</v>
      </c>
      <c r="AI4891" s="4">
        <v>82</v>
      </c>
      <c r="AJ4891" s="4">
        <v>9</v>
      </c>
      <c r="AK4891" s="4">
        <v>24</v>
      </c>
      <c r="AL4891" s="4">
        <v>28</v>
      </c>
      <c r="AM4891" s="4">
        <v>41</v>
      </c>
      <c r="AN4891" s="4">
        <v>0</v>
      </c>
      <c r="AO4891" s="4">
        <v>0</v>
      </c>
      <c r="AP4891" s="4">
        <v>10</v>
      </c>
      <c r="AQ4891" s="4">
        <v>45</v>
      </c>
      <c r="AR4891" s="3" t="s">
        <v>62</v>
      </c>
      <c r="AS4891" s="3" t="s">
        <v>62</v>
      </c>
      <c r="AT4891" s="3" t="s">
        <v>62</v>
      </c>
      <c r="AV4891" s="6" t="str">
        <f>HYPERLINK("http://mcgill.on.worldcat.org/oclc/464586159","Catalog Record")</f>
        <v>Catalog Record</v>
      </c>
      <c r="AW4891" s="6" t="str">
        <f>HYPERLINK("http://www.worldcat.org/oclc/464586159","WorldCat Record")</f>
        <v>WorldCat Record</v>
      </c>
      <c r="AX4891" s="3" t="s">
        <v>46870</v>
      </c>
      <c r="AY4891" s="3" t="s">
        <v>46871</v>
      </c>
      <c r="AZ4891" s="3" t="s">
        <v>46872</v>
      </c>
      <c r="BA4891" s="3" t="s">
        <v>46872</v>
      </c>
      <c r="BB4891" s="3" t="s">
        <v>46873</v>
      </c>
      <c r="BC4891" s="3" t="s">
        <v>142</v>
      </c>
      <c r="BD4891" s="3" t="s">
        <v>68</v>
      </c>
      <c r="BE4891" s="3" t="s">
        <v>46874</v>
      </c>
      <c r="BF4891" s="3" t="s">
        <v>46873</v>
      </c>
      <c r="BG4891" s="3" t="s">
        <v>46875</v>
      </c>
    </row>
    <row r="4892" spans="1:59" ht="57" x14ac:dyDescent="0.45">
      <c r="A4892" s="2" t="s">
        <v>59</v>
      </c>
      <c r="B4892" s="2" t="s">
        <v>60</v>
      </c>
      <c r="C4892" s="2" t="s">
        <v>46876</v>
      </c>
      <c r="D4892" s="2" t="s">
        <v>46877</v>
      </c>
      <c r="E4892" s="2" t="s">
        <v>46878</v>
      </c>
      <c r="G4892" s="3" t="s">
        <v>62</v>
      </c>
      <c r="I4892" s="3" t="s">
        <v>62</v>
      </c>
      <c r="J4892" s="3" t="s">
        <v>62</v>
      </c>
      <c r="K4892" s="3" t="s">
        <v>63</v>
      </c>
      <c r="M4892" s="2" t="s">
        <v>5214</v>
      </c>
      <c r="N4892" s="3" t="s">
        <v>945</v>
      </c>
      <c r="P4892" s="3" t="s">
        <v>65</v>
      </c>
      <c r="Q4892" s="2" t="s">
        <v>44296</v>
      </c>
      <c r="R4892" s="3" t="s">
        <v>66</v>
      </c>
      <c r="S4892" s="4">
        <v>6</v>
      </c>
      <c r="T4892" s="4">
        <v>6</v>
      </c>
      <c r="U4892" s="5" t="s">
        <v>46879</v>
      </c>
      <c r="V4892" s="5" t="s">
        <v>46879</v>
      </c>
      <c r="W4892" s="5" t="s">
        <v>67</v>
      </c>
      <c r="X4892" s="5" t="s">
        <v>67</v>
      </c>
      <c r="Y4892" s="4">
        <v>293</v>
      </c>
      <c r="Z4892" s="4">
        <v>20</v>
      </c>
      <c r="AA4892" s="4">
        <v>31</v>
      </c>
      <c r="AB4892" s="4">
        <v>2</v>
      </c>
      <c r="AC4892" s="4">
        <v>7</v>
      </c>
      <c r="AD4892" s="4">
        <v>90</v>
      </c>
      <c r="AE4892" s="4">
        <v>103</v>
      </c>
      <c r="AF4892" s="4">
        <v>1</v>
      </c>
      <c r="AG4892" s="4">
        <v>3</v>
      </c>
      <c r="AH4892" s="4">
        <v>81</v>
      </c>
      <c r="AI4892" s="4">
        <v>89</v>
      </c>
      <c r="AJ4892" s="4">
        <v>13</v>
      </c>
      <c r="AK4892" s="4">
        <v>20</v>
      </c>
      <c r="AL4892" s="4">
        <v>48</v>
      </c>
      <c r="AM4892" s="4">
        <v>52</v>
      </c>
      <c r="AN4892" s="4">
        <v>0</v>
      </c>
      <c r="AO4892" s="4">
        <v>0</v>
      </c>
      <c r="AP4892" s="4">
        <v>16</v>
      </c>
      <c r="AQ4892" s="4">
        <v>23</v>
      </c>
      <c r="AR4892" s="3" t="s">
        <v>62</v>
      </c>
      <c r="AS4892" s="3" t="s">
        <v>62</v>
      </c>
      <c r="AT4892" s="3" t="s">
        <v>62</v>
      </c>
      <c r="AV4892" s="6" t="str">
        <f>HYPERLINK("http://mcgill.on.worldcat.org/oclc/73744094","Catalog Record")</f>
        <v>Catalog Record</v>
      </c>
      <c r="AW4892" s="6" t="str">
        <f>HYPERLINK("http://www.worldcat.org/oclc/73744094","WorldCat Record")</f>
        <v>WorldCat Record</v>
      </c>
      <c r="AX4892" s="3" t="s">
        <v>46880</v>
      </c>
      <c r="AY4892" s="3" t="s">
        <v>46881</v>
      </c>
      <c r="AZ4892" s="3" t="s">
        <v>46882</v>
      </c>
      <c r="BA4892" s="3" t="s">
        <v>46882</v>
      </c>
      <c r="BB4892" s="3" t="s">
        <v>46883</v>
      </c>
      <c r="BC4892" s="3" t="s">
        <v>142</v>
      </c>
      <c r="BD4892" s="3" t="s">
        <v>68</v>
      </c>
      <c r="BE4892" s="3" t="s">
        <v>46884</v>
      </c>
      <c r="BF4892" s="3" t="s">
        <v>46883</v>
      </c>
      <c r="BG4892" s="3" t="s">
        <v>46885</v>
      </c>
    </row>
    <row r="4893" spans="1:59" ht="57" x14ac:dyDescent="0.45">
      <c r="A4893" s="2" t="s">
        <v>59</v>
      </c>
      <c r="B4893" s="2" t="s">
        <v>60</v>
      </c>
      <c r="C4893" s="2" t="s">
        <v>46886</v>
      </c>
      <c r="D4893" s="2" t="s">
        <v>46887</v>
      </c>
      <c r="E4893" s="2" t="s">
        <v>46888</v>
      </c>
      <c r="F4893" s="3" t="s">
        <v>46889</v>
      </c>
      <c r="G4893" s="3" t="s">
        <v>61</v>
      </c>
      <c r="I4893" s="3" t="s">
        <v>62</v>
      </c>
      <c r="J4893" s="3" t="s">
        <v>62</v>
      </c>
      <c r="K4893" s="3" t="s">
        <v>63</v>
      </c>
      <c r="L4893" s="2" t="s">
        <v>46890</v>
      </c>
      <c r="M4893" s="2" t="s">
        <v>46891</v>
      </c>
      <c r="N4893" s="3" t="s">
        <v>1224</v>
      </c>
      <c r="P4893" s="3" t="s">
        <v>110</v>
      </c>
      <c r="Q4893" s="2" t="s">
        <v>46892</v>
      </c>
      <c r="R4893" s="3" t="s">
        <v>66</v>
      </c>
      <c r="S4893" s="4">
        <v>2</v>
      </c>
      <c r="T4893" s="4">
        <v>4</v>
      </c>
      <c r="U4893" s="5" t="s">
        <v>13420</v>
      </c>
      <c r="V4893" s="5" t="s">
        <v>13420</v>
      </c>
      <c r="W4893" s="5" t="s">
        <v>67</v>
      </c>
      <c r="X4893" s="5" t="s">
        <v>67</v>
      </c>
      <c r="Y4893" s="4">
        <v>59</v>
      </c>
      <c r="Z4893" s="4">
        <v>6</v>
      </c>
      <c r="AA4893" s="4">
        <v>11</v>
      </c>
      <c r="AB4893" s="4">
        <v>1</v>
      </c>
      <c r="AC4893" s="4">
        <v>3</v>
      </c>
      <c r="AD4893" s="4">
        <v>29</v>
      </c>
      <c r="AE4893" s="4">
        <v>36</v>
      </c>
      <c r="AF4893" s="4">
        <v>0</v>
      </c>
      <c r="AG4893" s="4">
        <v>2</v>
      </c>
      <c r="AH4893" s="4">
        <v>27</v>
      </c>
      <c r="AI4893" s="4">
        <v>30</v>
      </c>
      <c r="AJ4893" s="4">
        <v>5</v>
      </c>
      <c r="AK4893" s="4">
        <v>8</v>
      </c>
      <c r="AL4893" s="4">
        <v>17</v>
      </c>
      <c r="AM4893" s="4">
        <v>19</v>
      </c>
      <c r="AN4893" s="4">
        <v>0</v>
      </c>
      <c r="AO4893" s="4">
        <v>0</v>
      </c>
      <c r="AP4893" s="4">
        <v>5</v>
      </c>
      <c r="AQ4893" s="4">
        <v>9</v>
      </c>
      <c r="AR4893" s="3" t="s">
        <v>62</v>
      </c>
      <c r="AS4893" s="3" t="s">
        <v>62</v>
      </c>
      <c r="AT4893" s="3" t="s">
        <v>61</v>
      </c>
      <c r="AU4893" s="6" t="str">
        <f>HYPERLINK("http://catalog.hathitrust.org/Record/010014961","HathiTrust Record")</f>
        <v>HathiTrust Record</v>
      </c>
      <c r="AV4893" s="6" t="str">
        <f>HYPERLINK("http://mcgill.on.worldcat.org/oclc/3241539","Catalog Record")</f>
        <v>Catalog Record</v>
      </c>
      <c r="AW4893" s="6" t="str">
        <f>HYPERLINK("http://www.worldcat.org/oclc/3241539","WorldCat Record")</f>
        <v>WorldCat Record</v>
      </c>
      <c r="AX4893" s="3" t="s">
        <v>46893</v>
      </c>
      <c r="AY4893" s="3" t="s">
        <v>46894</v>
      </c>
      <c r="AZ4893" s="3" t="s">
        <v>46895</v>
      </c>
      <c r="BA4893" s="3" t="s">
        <v>46895</v>
      </c>
      <c r="BB4893" s="3" t="s">
        <v>46896</v>
      </c>
      <c r="BC4893" s="3" t="s">
        <v>142</v>
      </c>
      <c r="BD4893" s="3" t="s">
        <v>68</v>
      </c>
      <c r="BE4893" s="3" t="s">
        <v>46897</v>
      </c>
      <c r="BF4893" s="3" t="s">
        <v>46896</v>
      </c>
      <c r="BG4893" s="3" t="s">
        <v>46898</v>
      </c>
    </row>
    <row r="4894" spans="1:59" ht="57" x14ac:dyDescent="0.45">
      <c r="A4894" s="2" t="s">
        <v>59</v>
      </c>
      <c r="B4894" s="2" t="s">
        <v>60</v>
      </c>
      <c r="C4894" s="2" t="s">
        <v>46886</v>
      </c>
      <c r="D4894" s="2" t="s">
        <v>46887</v>
      </c>
      <c r="E4894" s="2" t="s">
        <v>46888</v>
      </c>
      <c r="F4894" s="3" t="s">
        <v>46899</v>
      </c>
      <c r="G4894" s="3" t="s">
        <v>61</v>
      </c>
      <c r="I4894" s="3" t="s">
        <v>62</v>
      </c>
      <c r="J4894" s="3" t="s">
        <v>62</v>
      </c>
      <c r="K4894" s="3" t="s">
        <v>63</v>
      </c>
      <c r="L4894" s="2" t="s">
        <v>46890</v>
      </c>
      <c r="M4894" s="2" t="s">
        <v>46891</v>
      </c>
      <c r="N4894" s="3" t="s">
        <v>1224</v>
      </c>
      <c r="P4894" s="3" t="s">
        <v>110</v>
      </c>
      <c r="Q4894" s="2" t="s">
        <v>46892</v>
      </c>
      <c r="R4894" s="3" t="s">
        <v>66</v>
      </c>
      <c r="S4894" s="4">
        <v>2</v>
      </c>
      <c r="T4894" s="4">
        <v>4</v>
      </c>
      <c r="U4894" s="5" t="s">
        <v>13420</v>
      </c>
      <c r="V4894" s="5" t="s">
        <v>13420</v>
      </c>
      <c r="W4894" s="5" t="s">
        <v>67</v>
      </c>
      <c r="X4894" s="5" t="s">
        <v>67</v>
      </c>
      <c r="Y4894" s="4">
        <v>59</v>
      </c>
      <c r="Z4894" s="4">
        <v>6</v>
      </c>
      <c r="AA4894" s="4">
        <v>11</v>
      </c>
      <c r="AB4894" s="4">
        <v>1</v>
      </c>
      <c r="AC4894" s="4">
        <v>3</v>
      </c>
      <c r="AD4894" s="4">
        <v>29</v>
      </c>
      <c r="AE4894" s="4">
        <v>36</v>
      </c>
      <c r="AF4894" s="4">
        <v>0</v>
      </c>
      <c r="AG4894" s="4">
        <v>2</v>
      </c>
      <c r="AH4894" s="4">
        <v>27</v>
      </c>
      <c r="AI4894" s="4">
        <v>30</v>
      </c>
      <c r="AJ4894" s="4">
        <v>5</v>
      </c>
      <c r="AK4894" s="4">
        <v>8</v>
      </c>
      <c r="AL4894" s="4">
        <v>17</v>
      </c>
      <c r="AM4894" s="4">
        <v>19</v>
      </c>
      <c r="AN4894" s="4">
        <v>0</v>
      </c>
      <c r="AO4894" s="4">
        <v>0</v>
      </c>
      <c r="AP4894" s="4">
        <v>5</v>
      </c>
      <c r="AQ4894" s="4">
        <v>9</v>
      </c>
      <c r="AR4894" s="3" t="s">
        <v>62</v>
      </c>
      <c r="AS4894" s="3" t="s">
        <v>62</v>
      </c>
      <c r="AT4894" s="3" t="s">
        <v>61</v>
      </c>
      <c r="AU4894" s="6" t="str">
        <f>HYPERLINK("http://catalog.hathitrust.org/Record/010014961","HathiTrust Record")</f>
        <v>HathiTrust Record</v>
      </c>
      <c r="AV4894" s="6" t="str">
        <f>HYPERLINK("http://mcgill.on.worldcat.org/oclc/3241539","Catalog Record")</f>
        <v>Catalog Record</v>
      </c>
      <c r="AW4894" s="6" t="str">
        <f>HYPERLINK("http://www.worldcat.org/oclc/3241539","WorldCat Record")</f>
        <v>WorldCat Record</v>
      </c>
      <c r="AX4894" s="3" t="s">
        <v>46893</v>
      </c>
      <c r="AY4894" s="3" t="s">
        <v>46894</v>
      </c>
      <c r="AZ4894" s="3" t="s">
        <v>46895</v>
      </c>
      <c r="BA4894" s="3" t="s">
        <v>46895</v>
      </c>
      <c r="BB4894" s="3" t="s">
        <v>46900</v>
      </c>
      <c r="BC4894" s="3" t="s">
        <v>142</v>
      </c>
      <c r="BD4894" s="3" t="s">
        <v>68</v>
      </c>
      <c r="BE4894" s="3" t="s">
        <v>46897</v>
      </c>
      <c r="BF4894" s="3" t="s">
        <v>46900</v>
      </c>
      <c r="BG4894" s="3" t="s">
        <v>46901</v>
      </c>
    </row>
    <row r="4895" spans="1:59" ht="57" x14ac:dyDescent="0.45">
      <c r="A4895" s="2" t="s">
        <v>59</v>
      </c>
      <c r="B4895" s="2" t="s">
        <v>60</v>
      </c>
      <c r="C4895" s="2" t="s">
        <v>46902</v>
      </c>
      <c r="D4895" s="2" t="s">
        <v>46903</v>
      </c>
      <c r="E4895" s="2" t="s">
        <v>46904</v>
      </c>
      <c r="G4895" s="3" t="s">
        <v>62</v>
      </c>
      <c r="I4895" s="3" t="s">
        <v>61</v>
      </c>
      <c r="J4895" s="3" t="s">
        <v>61</v>
      </c>
      <c r="K4895" s="3" t="s">
        <v>63</v>
      </c>
      <c r="L4895" s="2" t="s">
        <v>30987</v>
      </c>
      <c r="M4895" s="2" t="s">
        <v>46905</v>
      </c>
      <c r="N4895" s="3" t="s">
        <v>127</v>
      </c>
      <c r="P4895" s="3" t="s">
        <v>65</v>
      </c>
      <c r="R4895" s="3" t="s">
        <v>66</v>
      </c>
      <c r="S4895" s="4">
        <v>1</v>
      </c>
      <c r="T4895" s="4">
        <v>2</v>
      </c>
      <c r="U4895" s="5" t="s">
        <v>46906</v>
      </c>
      <c r="V4895" s="5" t="s">
        <v>41223</v>
      </c>
      <c r="W4895" s="5" t="s">
        <v>67</v>
      </c>
      <c r="X4895" s="5" t="s">
        <v>67</v>
      </c>
      <c r="Y4895" s="4">
        <v>1047</v>
      </c>
      <c r="Z4895" s="4">
        <v>50</v>
      </c>
      <c r="AA4895" s="4">
        <v>70</v>
      </c>
      <c r="AB4895" s="4">
        <v>3</v>
      </c>
      <c r="AC4895" s="4">
        <v>7</v>
      </c>
      <c r="AD4895" s="4">
        <v>134</v>
      </c>
      <c r="AE4895" s="4">
        <v>152</v>
      </c>
      <c r="AF4895" s="4">
        <v>2</v>
      </c>
      <c r="AG4895" s="4">
        <v>5</v>
      </c>
      <c r="AH4895" s="4">
        <v>104</v>
      </c>
      <c r="AI4895" s="4">
        <v>112</v>
      </c>
      <c r="AJ4895" s="4">
        <v>22</v>
      </c>
      <c r="AK4895" s="4">
        <v>26</v>
      </c>
      <c r="AL4895" s="4">
        <v>58</v>
      </c>
      <c r="AM4895" s="4">
        <v>61</v>
      </c>
      <c r="AN4895" s="4">
        <v>0</v>
      </c>
      <c r="AO4895" s="4">
        <v>0</v>
      </c>
      <c r="AP4895" s="4">
        <v>37</v>
      </c>
      <c r="AQ4895" s="4">
        <v>48</v>
      </c>
      <c r="AR4895" s="3" t="s">
        <v>62</v>
      </c>
      <c r="AS4895" s="3" t="s">
        <v>62</v>
      </c>
      <c r="AT4895" s="3" t="s">
        <v>61</v>
      </c>
      <c r="AU4895" s="6" t="str">
        <f>HYPERLINK("http://catalog.hathitrust.org/Record/001181047","HathiTrust Record")</f>
        <v>HathiTrust Record</v>
      </c>
      <c r="AV4895" s="6" t="str">
        <f>HYPERLINK("http://mcgill.on.worldcat.org/oclc/234219","Catalog Record")</f>
        <v>Catalog Record</v>
      </c>
      <c r="AW4895" s="6" t="str">
        <f>HYPERLINK("http://www.worldcat.org/oclc/234219","WorldCat Record")</f>
        <v>WorldCat Record</v>
      </c>
      <c r="AX4895" s="3" t="s">
        <v>30990</v>
      </c>
      <c r="AY4895" s="3" t="s">
        <v>46907</v>
      </c>
      <c r="AZ4895" s="3" t="s">
        <v>46908</v>
      </c>
      <c r="BA4895" s="3" t="s">
        <v>46908</v>
      </c>
      <c r="BB4895" s="3" t="s">
        <v>46909</v>
      </c>
      <c r="BC4895" s="3" t="s">
        <v>142</v>
      </c>
      <c r="BD4895" s="3" t="s">
        <v>68</v>
      </c>
      <c r="BE4895" s="3" t="s">
        <v>46910</v>
      </c>
      <c r="BF4895" s="3" t="s">
        <v>46909</v>
      </c>
      <c r="BG4895" s="3" t="s">
        <v>46911</v>
      </c>
    </row>
    <row r="4896" spans="1:59" ht="57" x14ac:dyDescent="0.45">
      <c r="A4896" s="2" t="s">
        <v>59</v>
      </c>
      <c r="B4896" s="2" t="s">
        <v>60</v>
      </c>
      <c r="C4896" s="2" t="s">
        <v>46902</v>
      </c>
      <c r="D4896" s="2" t="s">
        <v>46903</v>
      </c>
      <c r="E4896" s="2" t="s">
        <v>46904</v>
      </c>
      <c r="G4896" s="3" t="s">
        <v>62</v>
      </c>
      <c r="I4896" s="3" t="s">
        <v>61</v>
      </c>
      <c r="J4896" s="3" t="s">
        <v>61</v>
      </c>
      <c r="K4896" s="3" t="s">
        <v>63</v>
      </c>
      <c r="L4896" s="2" t="s">
        <v>30987</v>
      </c>
      <c r="M4896" s="2" t="s">
        <v>46905</v>
      </c>
      <c r="N4896" s="3" t="s">
        <v>127</v>
      </c>
      <c r="P4896" s="3" t="s">
        <v>65</v>
      </c>
      <c r="R4896" s="3" t="s">
        <v>66</v>
      </c>
      <c r="S4896" s="4">
        <v>0</v>
      </c>
      <c r="T4896" s="4">
        <v>2</v>
      </c>
      <c r="V4896" s="5" t="s">
        <v>41223</v>
      </c>
      <c r="W4896" s="5" t="s">
        <v>67</v>
      </c>
      <c r="X4896" s="5" t="s">
        <v>67</v>
      </c>
      <c r="Y4896" s="4">
        <v>1047</v>
      </c>
      <c r="Z4896" s="4">
        <v>50</v>
      </c>
      <c r="AA4896" s="4">
        <v>70</v>
      </c>
      <c r="AB4896" s="4">
        <v>3</v>
      </c>
      <c r="AC4896" s="4">
        <v>7</v>
      </c>
      <c r="AD4896" s="4">
        <v>134</v>
      </c>
      <c r="AE4896" s="4">
        <v>152</v>
      </c>
      <c r="AF4896" s="4">
        <v>2</v>
      </c>
      <c r="AG4896" s="4">
        <v>5</v>
      </c>
      <c r="AH4896" s="4">
        <v>104</v>
      </c>
      <c r="AI4896" s="4">
        <v>112</v>
      </c>
      <c r="AJ4896" s="4">
        <v>22</v>
      </c>
      <c r="AK4896" s="4">
        <v>26</v>
      </c>
      <c r="AL4896" s="4">
        <v>58</v>
      </c>
      <c r="AM4896" s="4">
        <v>61</v>
      </c>
      <c r="AN4896" s="4">
        <v>0</v>
      </c>
      <c r="AO4896" s="4">
        <v>0</v>
      </c>
      <c r="AP4896" s="4">
        <v>37</v>
      </c>
      <c r="AQ4896" s="4">
        <v>48</v>
      </c>
      <c r="AR4896" s="3" t="s">
        <v>62</v>
      </c>
      <c r="AS4896" s="3" t="s">
        <v>62</v>
      </c>
      <c r="AT4896" s="3" t="s">
        <v>61</v>
      </c>
      <c r="AU4896" s="6" t="str">
        <f>HYPERLINK("http://catalog.hathitrust.org/Record/001181047","HathiTrust Record")</f>
        <v>HathiTrust Record</v>
      </c>
      <c r="AV4896" s="6" t="str">
        <f>HYPERLINK("http://mcgill.on.worldcat.org/oclc/234219","Catalog Record")</f>
        <v>Catalog Record</v>
      </c>
      <c r="AW4896" s="6" t="str">
        <f>HYPERLINK("http://www.worldcat.org/oclc/234219","WorldCat Record")</f>
        <v>WorldCat Record</v>
      </c>
      <c r="AX4896" s="3" t="s">
        <v>30990</v>
      </c>
      <c r="AY4896" s="3" t="s">
        <v>46907</v>
      </c>
      <c r="AZ4896" s="3" t="s">
        <v>46908</v>
      </c>
      <c r="BA4896" s="3" t="s">
        <v>46908</v>
      </c>
      <c r="BB4896" s="3" t="s">
        <v>46912</v>
      </c>
      <c r="BC4896" s="3" t="s">
        <v>142</v>
      </c>
      <c r="BD4896" s="3" t="s">
        <v>68</v>
      </c>
      <c r="BE4896" s="3" t="s">
        <v>46910</v>
      </c>
      <c r="BF4896" s="3" t="s">
        <v>46912</v>
      </c>
      <c r="BG4896" s="3" t="s">
        <v>46913</v>
      </c>
    </row>
    <row r="4897" spans="1:59" ht="57" x14ac:dyDescent="0.45">
      <c r="A4897" s="2" t="s">
        <v>59</v>
      </c>
      <c r="B4897" s="2" t="s">
        <v>60</v>
      </c>
      <c r="C4897" s="2" t="s">
        <v>46914</v>
      </c>
      <c r="D4897" s="2" t="s">
        <v>46915</v>
      </c>
      <c r="E4897" s="2" t="s">
        <v>46916</v>
      </c>
      <c r="G4897" s="3" t="s">
        <v>62</v>
      </c>
      <c r="I4897" s="3" t="s">
        <v>62</v>
      </c>
      <c r="J4897" s="3" t="s">
        <v>62</v>
      </c>
      <c r="K4897" s="3" t="s">
        <v>63</v>
      </c>
      <c r="M4897" s="2" t="s">
        <v>46917</v>
      </c>
      <c r="N4897" s="3" t="s">
        <v>1604</v>
      </c>
      <c r="P4897" s="3" t="s">
        <v>65</v>
      </c>
      <c r="Q4897" s="2" t="s">
        <v>46918</v>
      </c>
      <c r="R4897" s="3" t="s">
        <v>66</v>
      </c>
      <c r="S4897" s="4">
        <v>32</v>
      </c>
      <c r="T4897" s="4">
        <v>32</v>
      </c>
      <c r="U4897" s="5" t="s">
        <v>9722</v>
      </c>
      <c r="V4897" s="5" t="s">
        <v>9722</v>
      </c>
      <c r="W4897" s="5" t="s">
        <v>67</v>
      </c>
      <c r="X4897" s="5" t="s">
        <v>67</v>
      </c>
      <c r="Y4897" s="4">
        <v>180</v>
      </c>
      <c r="Z4897" s="4">
        <v>13</v>
      </c>
      <c r="AA4897" s="4">
        <v>15</v>
      </c>
      <c r="AB4897" s="4">
        <v>1</v>
      </c>
      <c r="AC4897" s="4">
        <v>3</v>
      </c>
      <c r="AD4897" s="4">
        <v>93</v>
      </c>
      <c r="AE4897" s="4">
        <v>95</v>
      </c>
      <c r="AF4897" s="4">
        <v>0</v>
      </c>
      <c r="AG4897" s="4">
        <v>2</v>
      </c>
      <c r="AH4897" s="4">
        <v>87</v>
      </c>
      <c r="AI4897" s="4">
        <v>88</v>
      </c>
      <c r="AJ4897" s="4">
        <v>10</v>
      </c>
      <c r="AK4897" s="4">
        <v>12</v>
      </c>
      <c r="AL4897" s="4">
        <v>51</v>
      </c>
      <c r="AM4897" s="4">
        <v>51</v>
      </c>
      <c r="AN4897" s="4">
        <v>0</v>
      </c>
      <c r="AO4897" s="4">
        <v>0</v>
      </c>
      <c r="AP4897" s="4">
        <v>11</v>
      </c>
      <c r="AQ4897" s="4">
        <v>13</v>
      </c>
      <c r="AR4897" s="3" t="s">
        <v>62</v>
      </c>
      <c r="AS4897" s="3" t="s">
        <v>62</v>
      </c>
      <c r="AT4897" s="3" t="s">
        <v>61</v>
      </c>
      <c r="AU4897" s="6" t="str">
        <f>HYPERLINK("http://catalog.hathitrust.org/Record/002969763","HathiTrust Record")</f>
        <v>HathiTrust Record</v>
      </c>
      <c r="AV4897" s="6" t="str">
        <f>HYPERLINK("http://mcgill.on.worldcat.org/oclc/31045095","Catalog Record")</f>
        <v>Catalog Record</v>
      </c>
      <c r="AW4897" s="6" t="str">
        <f>HYPERLINK("http://www.worldcat.org/oclc/31045095","WorldCat Record")</f>
        <v>WorldCat Record</v>
      </c>
      <c r="AX4897" s="3" t="s">
        <v>46919</v>
      </c>
      <c r="AY4897" s="3" t="s">
        <v>46920</v>
      </c>
      <c r="AZ4897" s="3" t="s">
        <v>46921</v>
      </c>
      <c r="BA4897" s="3" t="s">
        <v>46921</v>
      </c>
      <c r="BB4897" s="3" t="s">
        <v>46922</v>
      </c>
      <c r="BC4897" s="3" t="s">
        <v>142</v>
      </c>
      <c r="BD4897" s="3" t="s">
        <v>68</v>
      </c>
      <c r="BE4897" s="3" t="s">
        <v>46923</v>
      </c>
      <c r="BF4897" s="3" t="s">
        <v>46922</v>
      </c>
      <c r="BG4897" s="3" t="s">
        <v>46924</v>
      </c>
    </row>
    <row r="4898" spans="1:59" ht="57" x14ac:dyDescent="0.45">
      <c r="A4898" s="2" t="s">
        <v>59</v>
      </c>
      <c r="B4898" s="2" t="s">
        <v>60</v>
      </c>
      <c r="C4898" s="2" t="s">
        <v>46925</v>
      </c>
      <c r="D4898" s="2" t="s">
        <v>46926</v>
      </c>
      <c r="E4898" s="2" t="s">
        <v>46927</v>
      </c>
      <c r="G4898" s="3" t="s">
        <v>62</v>
      </c>
      <c r="I4898" s="3" t="s">
        <v>62</v>
      </c>
      <c r="J4898" s="3" t="s">
        <v>62</v>
      </c>
      <c r="K4898" s="3" t="s">
        <v>63</v>
      </c>
      <c r="L4898" s="2" t="s">
        <v>46928</v>
      </c>
      <c r="M4898" s="2" t="s">
        <v>1962</v>
      </c>
      <c r="N4898" s="3" t="s">
        <v>149</v>
      </c>
      <c r="P4898" s="3" t="s">
        <v>65</v>
      </c>
      <c r="R4898" s="3" t="s">
        <v>66</v>
      </c>
      <c r="S4898" s="4">
        <v>0</v>
      </c>
      <c r="T4898" s="4">
        <v>0</v>
      </c>
      <c r="W4898" s="5" t="s">
        <v>67</v>
      </c>
      <c r="X4898" s="5" t="s">
        <v>67</v>
      </c>
      <c r="Y4898" s="4">
        <v>125</v>
      </c>
      <c r="Z4898" s="4">
        <v>11</v>
      </c>
      <c r="AA4898" s="4">
        <v>77</v>
      </c>
      <c r="AB4898" s="4">
        <v>1</v>
      </c>
      <c r="AC4898" s="4">
        <v>15</v>
      </c>
      <c r="AD4898" s="4">
        <v>33</v>
      </c>
      <c r="AE4898" s="4">
        <v>95</v>
      </c>
      <c r="AF4898" s="4">
        <v>0</v>
      </c>
      <c r="AG4898" s="4">
        <v>8</v>
      </c>
      <c r="AH4898" s="4">
        <v>28</v>
      </c>
      <c r="AI4898" s="4">
        <v>63</v>
      </c>
      <c r="AJ4898" s="4">
        <v>8</v>
      </c>
      <c r="AK4898" s="4">
        <v>21</v>
      </c>
      <c r="AL4898" s="4">
        <v>17</v>
      </c>
      <c r="AM4898" s="4">
        <v>31</v>
      </c>
      <c r="AN4898" s="4">
        <v>0</v>
      </c>
      <c r="AO4898" s="4">
        <v>0</v>
      </c>
      <c r="AP4898" s="4">
        <v>9</v>
      </c>
      <c r="AQ4898" s="4">
        <v>40</v>
      </c>
      <c r="AR4898" s="3" t="s">
        <v>62</v>
      </c>
      <c r="AS4898" s="3" t="s">
        <v>62</v>
      </c>
      <c r="AT4898" s="3" t="s">
        <v>62</v>
      </c>
      <c r="AV4898" s="6" t="str">
        <f>HYPERLINK("http://mcgill.on.worldcat.org/oclc/567162695","Catalog Record")</f>
        <v>Catalog Record</v>
      </c>
      <c r="AW4898" s="6" t="str">
        <f>HYPERLINK("http://www.worldcat.org/oclc/567162695","WorldCat Record")</f>
        <v>WorldCat Record</v>
      </c>
      <c r="AX4898" s="3" t="s">
        <v>46929</v>
      </c>
      <c r="AY4898" s="3" t="s">
        <v>46930</v>
      </c>
      <c r="AZ4898" s="3" t="s">
        <v>46931</v>
      </c>
      <c r="BA4898" s="3" t="s">
        <v>46931</v>
      </c>
      <c r="BB4898" s="3" t="s">
        <v>46932</v>
      </c>
      <c r="BC4898" s="3" t="s">
        <v>142</v>
      </c>
      <c r="BD4898" s="3" t="s">
        <v>68</v>
      </c>
      <c r="BE4898" s="3" t="s">
        <v>46933</v>
      </c>
      <c r="BF4898" s="3" t="s">
        <v>46932</v>
      </c>
      <c r="BG4898" s="3" t="s">
        <v>46934</v>
      </c>
    </row>
    <row r="4899" spans="1:59" ht="57" x14ac:dyDescent="0.45">
      <c r="A4899" s="2" t="s">
        <v>59</v>
      </c>
      <c r="B4899" s="2" t="s">
        <v>60</v>
      </c>
      <c r="C4899" s="2" t="s">
        <v>46935</v>
      </c>
      <c r="D4899" s="2" t="s">
        <v>46936</v>
      </c>
      <c r="E4899" s="2" t="s">
        <v>46937</v>
      </c>
      <c r="G4899" s="3" t="s">
        <v>62</v>
      </c>
      <c r="I4899" s="3" t="s">
        <v>62</v>
      </c>
      <c r="J4899" s="3" t="s">
        <v>62</v>
      </c>
      <c r="K4899" s="3" t="s">
        <v>63</v>
      </c>
      <c r="L4899" s="2" t="s">
        <v>46938</v>
      </c>
      <c r="M4899" s="2" t="s">
        <v>2171</v>
      </c>
      <c r="N4899" s="3" t="s">
        <v>555</v>
      </c>
      <c r="P4899" s="3" t="s">
        <v>65</v>
      </c>
      <c r="Q4899" s="2" t="s">
        <v>46939</v>
      </c>
      <c r="R4899" s="3" t="s">
        <v>66</v>
      </c>
      <c r="S4899" s="4">
        <v>3</v>
      </c>
      <c r="T4899" s="4">
        <v>3</v>
      </c>
      <c r="U4899" s="5" t="s">
        <v>19869</v>
      </c>
      <c r="V4899" s="5" t="s">
        <v>19869</v>
      </c>
      <c r="W4899" s="5" t="s">
        <v>67</v>
      </c>
      <c r="X4899" s="5" t="s">
        <v>67</v>
      </c>
      <c r="Y4899" s="4">
        <v>235</v>
      </c>
      <c r="Z4899" s="4">
        <v>20</v>
      </c>
      <c r="AA4899" s="4">
        <v>84</v>
      </c>
      <c r="AB4899" s="4">
        <v>2</v>
      </c>
      <c r="AC4899" s="4">
        <v>15</v>
      </c>
      <c r="AD4899" s="4">
        <v>100</v>
      </c>
      <c r="AE4899" s="4">
        <v>135</v>
      </c>
      <c r="AF4899" s="4">
        <v>0</v>
      </c>
      <c r="AG4899" s="4">
        <v>8</v>
      </c>
      <c r="AH4899" s="4">
        <v>93</v>
      </c>
      <c r="AI4899" s="4">
        <v>101</v>
      </c>
      <c r="AJ4899" s="4">
        <v>15</v>
      </c>
      <c r="AK4899" s="4">
        <v>26</v>
      </c>
      <c r="AL4899" s="4">
        <v>52</v>
      </c>
      <c r="AM4899" s="4">
        <v>53</v>
      </c>
      <c r="AN4899" s="4">
        <v>0</v>
      </c>
      <c r="AO4899" s="4">
        <v>0</v>
      </c>
      <c r="AP4899" s="4">
        <v>17</v>
      </c>
      <c r="AQ4899" s="4">
        <v>45</v>
      </c>
      <c r="AR4899" s="3" t="s">
        <v>62</v>
      </c>
      <c r="AS4899" s="3" t="s">
        <v>62</v>
      </c>
      <c r="AT4899" s="3" t="s">
        <v>61</v>
      </c>
      <c r="AU4899" s="6" t="str">
        <f>HYPERLINK("http://catalog.hathitrust.org/Record/001657770","HathiTrust Record")</f>
        <v>HathiTrust Record</v>
      </c>
      <c r="AV4899" s="6" t="str">
        <f>HYPERLINK("http://mcgill.on.worldcat.org/oclc/810143","Catalog Record")</f>
        <v>Catalog Record</v>
      </c>
      <c r="AW4899" s="6" t="str">
        <f>HYPERLINK("http://www.worldcat.org/oclc/810143","WorldCat Record")</f>
        <v>WorldCat Record</v>
      </c>
      <c r="AX4899" s="3" t="s">
        <v>46940</v>
      </c>
      <c r="AY4899" s="3" t="s">
        <v>46941</v>
      </c>
      <c r="AZ4899" s="3" t="s">
        <v>46942</v>
      </c>
      <c r="BA4899" s="3" t="s">
        <v>46942</v>
      </c>
      <c r="BB4899" s="3" t="s">
        <v>46943</v>
      </c>
      <c r="BC4899" s="3" t="s">
        <v>142</v>
      </c>
      <c r="BD4899" s="3" t="s">
        <v>68</v>
      </c>
      <c r="BF4899" s="3" t="s">
        <v>46943</v>
      </c>
      <c r="BG4899" s="3" t="s">
        <v>46944</v>
      </c>
    </row>
    <row r="4900" spans="1:59" ht="57" x14ac:dyDescent="0.45">
      <c r="A4900" s="2" t="s">
        <v>59</v>
      </c>
      <c r="B4900" s="2" t="s">
        <v>60</v>
      </c>
      <c r="C4900" s="2" t="s">
        <v>46945</v>
      </c>
      <c r="D4900" s="2" t="s">
        <v>46946</v>
      </c>
      <c r="E4900" s="2" t="s">
        <v>46947</v>
      </c>
      <c r="G4900" s="3" t="s">
        <v>62</v>
      </c>
      <c r="I4900" s="3" t="s">
        <v>62</v>
      </c>
      <c r="J4900" s="3" t="s">
        <v>62</v>
      </c>
      <c r="K4900" s="3" t="s">
        <v>63</v>
      </c>
      <c r="M4900" s="2" t="s">
        <v>46948</v>
      </c>
      <c r="N4900" s="3" t="s">
        <v>5180</v>
      </c>
      <c r="P4900" s="3" t="s">
        <v>65</v>
      </c>
      <c r="Q4900" s="2" t="s">
        <v>46949</v>
      </c>
      <c r="R4900" s="3" t="s">
        <v>66</v>
      </c>
      <c r="S4900" s="4">
        <v>0</v>
      </c>
      <c r="T4900" s="4">
        <v>0</v>
      </c>
      <c r="W4900" s="5" t="s">
        <v>67</v>
      </c>
      <c r="X4900" s="5" t="s">
        <v>67</v>
      </c>
      <c r="Y4900" s="4">
        <v>48</v>
      </c>
      <c r="Z4900" s="4">
        <v>3</v>
      </c>
      <c r="AA4900" s="4">
        <v>70</v>
      </c>
      <c r="AB4900" s="4">
        <v>1</v>
      </c>
      <c r="AC4900" s="4">
        <v>14</v>
      </c>
      <c r="AD4900" s="4">
        <v>28</v>
      </c>
      <c r="AE4900" s="4">
        <v>92</v>
      </c>
      <c r="AF4900" s="4">
        <v>0</v>
      </c>
      <c r="AG4900" s="4">
        <v>8</v>
      </c>
      <c r="AH4900" s="4">
        <v>26</v>
      </c>
      <c r="AI4900" s="4">
        <v>61</v>
      </c>
      <c r="AJ4900" s="4">
        <v>2</v>
      </c>
      <c r="AK4900" s="4">
        <v>17</v>
      </c>
      <c r="AL4900" s="4">
        <v>22</v>
      </c>
      <c r="AM4900" s="4">
        <v>33</v>
      </c>
      <c r="AN4900" s="4">
        <v>0</v>
      </c>
      <c r="AO4900" s="4">
        <v>0</v>
      </c>
      <c r="AP4900" s="4">
        <v>2</v>
      </c>
      <c r="AQ4900" s="4">
        <v>37</v>
      </c>
      <c r="AR4900" s="3" t="s">
        <v>62</v>
      </c>
      <c r="AS4900" s="3" t="s">
        <v>62</v>
      </c>
      <c r="AT4900" s="3" t="s">
        <v>62</v>
      </c>
      <c r="AV4900" s="6" t="str">
        <f>HYPERLINK("http://mcgill.on.worldcat.org/oclc/1019883628","Catalog Record")</f>
        <v>Catalog Record</v>
      </c>
      <c r="AW4900" s="6" t="str">
        <f>HYPERLINK("http://www.worldcat.org/oclc/1019883628","WorldCat Record")</f>
        <v>WorldCat Record</v>
      </c>
      <c r="AX4900" s="3" t="s">
        <v>46950</v>
      </c>
      <c r="AY4900" s="3" t="s">
        <v>46951</v>
      </c>
      <c r="AZ4900" s="3" t="s">
        <v>46952</v>
      </c>
      <c r="BA4900" s="3" t="s">
        <v>46952</v>
      </c>
      <c r="BB4900" s="3" t="s">
        <v>46953</v>
      </c>
      <c r="BC4900" s="3" t="s">
        <v>142</v>
      </c>
      <c r="BD4900" s="3" t="s">
        <v>68</v>
      </c>
      <c r="BE4900" s="3" t="s">
        <v>46954</v>
      </c>
      <c r="BF4900" s="3" t="s">
        <v>46953</v>
      </c>
      <c r="BG4900" s="3" t="s">
        <v>46955</v>
      </c>
    </row>
    <row r="4901" spans="1:59" ht="57" x14ac:dyDescent="0.45">
      <c r="A4901" s="2" t="s">
        <v>59</v>
      </c>
      <c r="B4901" s="2" t="s">
        <v>60</v>
      </c>
      <c r="C4901" s="2" t="s">
        <v>46956</v>
      </c>
      <c r="D4901" s="2" t="s">
        <v>46957</v>
      </c>
      <c r="E4901" s="2" t="s">
        <v>46958</v>
      </c>
      <c r="G4901" s="3" t="s">
        <v>62</v>
      </c>
      <c r="I4901" s="3" t="s">
        <v>62</v>
      </c>
      <c r="J4901" s="3" t="s">
        <v>62</v>
      </c>
      <c r="K4901" s="3" t="s">
        <v>63</v>
      </c>
      <c r="L4901" s="2" t="s">
        <v>42097</v>
      </c>
      <c r="M4901" s="2" t="s">
        <v>2940</v>
      </c>
      <c r="N4901" s="3" t="s">
        <v>1855</v>
      </c>
      <c r="P4901" s="3" t="s">
        <v>65</v>
      </c>
      <c r="Q4901" s="2" t="s">
        <v>21253</v>
      </c>
      <c r="R4901" s="3" t="s">
        <v>66</v>
      </c>
      <c r="S4901" s="4">
        <v>4</v>
      </c>
      <c r="T4901" s="4">
        <v>4</v>
      </c>
      <c r="U4901" s="5" t="s">
        <v>19869</v>
      </c>
      <c r="V4901" s="5" t="s">
        <v>19869</v>
      </c>
      <c r="W4901" s="5" t="s">
        <v>67</v>
      </c>
      <c r="X4901" s="5" t="s">
        <v>67</v>
      </c>
      <c r="Y4901" s="4">
        <v>222</v>
      </c>
      <c r="Z4901" s="4">
        <v>18</v>
      </c>
      <c r="AA4901" s="4">
        <v>110</v>
      </c>
      <c r="AB4901" s="4">
        <v>1</v>
      </c>
      <c r="AC4901" s="4">
        <v>22</v>
      </c>
      <c r="AD4901" s="4">
        <v>81</v>
      </c>
      <c r="AE4901" s="4">
        <v>143</v>
      </c>
      <c r="AF4901" s="4">
        <v>0</v>
      </c>
      <c r="AG4901" s="4">
        <v>9</v>
      </c>
      <c r="AH4901" s="4">
        <v>72</v>
      </c>
      <c r="AI4901" s="4">
        <v>95</v>
      </c>
      <c r="AJ4901" s="4">
        <v>14</v>
      </c>
      <c r="AK4901" s="4">
        <v>28</v>
      </c>
      <c r="AL4901" s="4">
        <v>44</v>
      </c>
      <c r="AM4901" s="4">
        <v>49</v>
      </c>
      <c r="AN4901" s="4">
        <v>0</v>
      </c>
      <c r="AO4901" s="4">
        <v>0</v>
      </c>
      <c r="AP4901" s="4">
        <v>15</v>
      </c>
      <c r="AQ4901" s="4">
        <v>57</v>
      </c>
      <c r="AR4901" s="3" t="s">
        <v>62</v>
      </c>
      <c r="AS4901" s="3" t="s">
        <v>62</v>
      </c>
      <c r="AT4901" s="3" t="s">
        <v>62</v>
      </c>
      <c r="AV4901" s="6" t="str">
        <f>HYPERLINK("http://mcgill.on.worldcat.org/oclc/59811210","Catalog Record")</f>
        <v>Catalog Record</v>
      </c>
      <c r="AW4901" s="6" t="str">
        <f>HYPERLINK("http://www.worldcat.org/oclc/59811210","WorldCat Record")</f>
        <v>WorldCat Record</v>
      </c>
      <c r="AX4901" s="3" t="s">
        <v>46959</v>
      </c>
      <c r="AY4901" s="3" t="s">
        <v>46960</v>
      </c>
      <c r="AZ4901" s="3" t="s">
        <v>46961</v>
      </c>
      <c r="BA4901" s="3" t="s">
        <v>46961</v>
      </c>
      <c r="BB4901" s="3" t="s">
        <v>46962</v>
      </c>
      <c r="BC4901" s="3" t="s">
        <v>142</v>
      </c>
      <c r="BD4901" s="3" t="s">
        <v>68</v>
      </c>
      <c r="BE4901" s="3" t="s">
        <v>46963</v>
      </c>
      <c r="BF4901" s="3" t="s">
        <v>46962</v>
      </c>
      <c r="BG4901" s="3" t="s">
        <v>46964</v>
      </c>
    </row>
    <row r="4902" spans="1:59" ht="57" x14ac:dyDescent="0.45">
      <c r="A4902" s="2" t="s">
        <v>59</v>
      </c>
      <c r="B4902" s="2" t="s">
        <v>60</v>
      </c>
      <c r="C4902" s="2" t="s">
        <v>46965</v>
      </c>
      <c r="D4902" s="2" t="s">
        <v>46966</v>
      </c>
      <c r="E4902" s="2" t="s">
        <v>46967</v>
      </c>
      <c r="G4902" s="3" t="s">
        <v>62</v>
      </c>
      <c r="I4902" s="3" t="s">
        <v>62</v>
      </c>
      <c r="J4902" s="3" t="s">
        <v>62</v>
      </c>
      <c r="K4902" s="3" t="s">
        <v>63</v>
      </c>
      <c r="L4902" s="2" t="s">
        <v>46968</v>
      </c>
      <c r="M4902" s="2" t="s">
        <v>46969</v>
      </c>
      <c r="N4902" s="3" t="s">
        <v>116</v>
      </c>
      <c r="P4902" s="3" t="s">
        <v>65</v>
      </c>
      <c r="Q4902" s="2" t="s">
        <v>46970</v>
      </c>
      <c r="R4902" s="3" t="s">
        <v>66</v>
      </c>
      <c r="S4902" s="4">
        <v>1</v>
      </c>
      <c r="T4902" s="4">
        <v>1</v>
      </c>
      <c r="U4902" s="5" t="s">
        <v>4852</v>
      </c>
      <c r="V4902" s="5" t="s">
        <v>4852</v>
      </c>
      <c r="W4902" s="5" t="s">
        <v>67</v>
      </c>
      <c r="X4902" s="5" t="s">
        <v>67</v>
      </c>
      <c r="Y4902" s="4">
        <v>55</v>
      </c>
      <c r="Z4902" s="4">
        <v>6</v>
      </c>
      <c r="AA4902" s="4">
        <v>73</v>
      </c>
      <c r="AB4902" s="4">
        <v>1</v>
      </c>
      <c r="AC4902" s="4">
        <v>14</v>
      </c>
      <c r="AD4902" s="4">
        <v>26</v>
      </c>
      <c r="AE4902" s="4">
        <v>97</v>
      </c>
      <c r="AF4902" s="4">
        <v>0</v>
      </c>
      <c r="AG4902" s="4">
        <v>8</v>
      </c>
      <c r="AH4902" s="4">
        <v>25</v>
      </c>
      <c r="AI4902" s="4">
        <v>67</v>
      </c>
      <c r="AJ4902" s="4">
        <v>4</v>
      </c>
      <c r="AK4902" s="4">
        <v>19</v>
      </c>
      <c r="AL4902" s="4">
        <v>17</v>
      </c>
      <c r="AM4902" s="4">
        <v>34</v>
      </c>
      <c r="AN4902" s="4">
        <v>0</v>
      </c>
      <c r="AO4902" s="4">
        <v>0</v>
      </c>
      <c r="AP4902" s="4">
        <v>4</v>
      </c>
      <c r="AQ4902" s="4">
        <v>36</v>
      </c>
      <c r="AR4902" s="3" t="s">
        <v>62</v>
      </c>
      <c r="AS4902" s="3" t="s">
        <v>62</v>
      </c>
      <c r="AT4902" s="3" t="s">
        <v>62</v>
      </c>
      <c r="AV4902" s="6" t="str">
        <f>HYPERLINK("http://mcgill.on.worldcat.org/oclc/858672673","Catalog Record")</f>
        <v>Catalog Record</v>
      </c>
      <c r="AW4902" s="6" t="str">
        <f>HYPERLINK("http://www.worldcat.org/oclc/858672673","WorldCat Record")</f>
        <v>WorldCat Record</v>
      </c>
      <c r="AX4902" s="3" t="s">
        <v>46971</v>
      </c>
      <c r="AY4902" s="3" t="s">
        <v>46972</v>
      </c>
      <c r="AZ4902" s="3" t="s">
        <v>46973</v>
      </c>
      <c r="BA4902" s="3" t="s">
        <v>46973</v>
      </c>
      <c r="BB4902" s="3" t="s">
        <v>46974</v>
      </c>
      <c r="BC4902" s="3" t="s">
        <v>142</v>
      </c>
      <c r="BD4902" s="3" t="s">
        <v>68</v>
      </c>
      <c r="BE4902" s="3" t="s">
        <v>46975</v>
      </c>
      <c r="BF4902" s="3" t="s">
        <v>46974</v>
      </c>
      <c r="BG4902" s="3" t="s">
        <v>46976</v>
      </c>
    </row>
    <row r="4903" spans="1:59" ht="57" x14ac:dyDescent="0.45">
      <c r="A4903" s="2" t="s">
        <v>59</v>
      </c>
      <c r="B4903" s="2" t="s">
        <v>60</v>
      </c>
      <c r="C4903" s="2" t="s">
        <v>46977</v>
      </c>
      <c r="D4903" s="2" t="s">
        <v>46978</v>
      </c>
      <c r="E4903" s="2" t="s">
        <v>46979</v>
      </c>
      <c r="G4903" s="3" t="s">
        <v>62</v>
      </c>
      <c r="I4903" s="3" t="s">
        <v>62</v>
      </c>
      <c r="J4903" s="3" t="s">
        <v>62</v>
      </c>
      <c r="K4903" s="3" t="s">
        <v>63</v>
      </c>
      <c r="L4903" s="2" t="s">
        <v>35059</v>
      </c>
      <c r="M4903" s="2" t="s">
        <v>2940</v>
      </c>
      <c r="N4903" s="3" t="s">
        <v>1855</v>
      </c>
      <c r="P4903" s="3" t="s">
        <v>65</v>
      </c>
      <c r="Q4903" s="2" t="s">
        <v>21253</v>
      </c>
      <c r="R4903" s="3" t="s">
        <v>66</v>
      </c>
      <c r="S4903" s="4">
        <v>3</v>
      </c>
      <c r="T4903" s="4">
        <v>3</v>
      </c>
      <c r="U4903" s="5" t="s">
        <v>46980</v>
      </c>
      <c r="V4903" s="5" t="s">
        <v>46980</v>
      </c>
      <c r="W4903" s="5" t="s">
        <v>67</v>
      </c>
      <c r="X4903" s="5" t="s">
        <v>67</v>
      </c>
      <c r="Y4903" s="4">
        <v>220</v>
      </c>
      <c r="Z4903" s="4">
        <v>16</v>
      </c>
      <c r="AA4903" s="4">
        <v>106</v>
      </c>
      <c r="AB4903" s="4">
        <v>1</v>
      </c>
      <c r="AC4903" s="4">
        <v>21</v>
      </c>
      <c r="AD4903" s="4">
        <v>92</v>
      </c>
      <c r="AE4903" s="4">
        <v>146</v>
      </c>
      <c r="AF4903" s="4">
        <v>0</v>
      </c>
      <c r="AG4903" s="4">
        <v>9</v>
      </c>
      <c r="AH4903" s="4">
        <v>82</v>
      </c>
      <c r="AI4903" s="4">
        <v>97</v>
      </c>
      <c r="AJ4903" s="4">
        <v>13</v>
      </c>
      <c r="AK4903" s="4">
        <v>26</v>
      </c>
      <c r="AL4903" s="4">
        <v>51</v>
      </c>
      <c r="AM4903" s="4">
        <v>55</v>
      </c>
      <c r="AN4903" s="4">
        <v>0</v>
      </c>
      <c r="AO4903" s="4">
        <v>0</v>
      </c>
      <c r="AP4903" s="4">
        <v>14</v>
      </c>
      <c r="AQ4903" s="4">
        <v>55</v>
      </c>
      <c r="AR4903" s="3" t="s">
        <v>62</v>
      </c>
      <c r="AS4903" s="3" t="s">
        <v>62</v>
      </c>
      <c r="AT4903" s="3" t="s">
        <v>62</v>
      </c>
      <c r="AV4903" s="6" t="str">
        <f>HYPERLINK("http://mcgill.on.worldcat.org/oclc/60791663","Catalog Record")</f>
        <v>Catalog Record</v>
      </c>
      <c r="AW4903" s="6" t="str">
        <f>HYPERLINK("http://www.worldcat.org/oclc/60791663","WorldCat Record")</f>
        <v>WorldCat Record</v>
      </c>
      <c r="AX4903" s="3" t="s">
        <v>46981</v>
      </c>
      <c r="AY4903" s="3" t="s">
        <v>46982</v>
      </c>
      <c r="AZ4903" s="3" t="s">
        <v>46983</v>
      </c>
      <c r="BA4903" s="3" t="s">
        <v>46983</v>
      </c>
      <c r="BB4903" s="3" t="s">
        <v>46984</v>
      </c>
      <c r="BC4903" s="3" t="s">
        <v>142</v>
      </c>
      <c r="BD4903" s="3" t="s">
        <v>68</v>
      </c>
      <c r="BE4903" s="3" t="s">
        <v>46985</v>
      </c>
      <c r="BF4903" s="3" t="s">
        <v>46984</v>
      </c>
      <c r="BG4903" s="3" t="s">
        <v>46986</v>
      </c>
    </row>
    <row r="4904" spans="1:59" ht="57" x14ac:dyDescent="0.45">
      <c r="A4904" s="2" t="s">
        <v>927</v>
      </c>
      <c r="B4904" s="2" t="s">
        <v>928</v>
      </c>
      <c r="C4904" s="2" t="s">
        <v>46987</v>
      </c>
      <c r="D4904" s="2" t="s">
        <v>46988</v>
      </c>
      <c r="E4904" s="2" t="s">
        <v>46989</v>
      </c>
      <c r="G4904" s="3" t="s">
        <v>61</v>
      </c>
      <c r="I4904" s="3" t="s">
        <v>62</v>
      </c>
      <c r="J4904" s="3" t="s">
        <v>62</v>
      </c>
      <c r="K4904" s="3" t="s">
        <v>63</v>
      </c>
      <c r="L4904" s="2" t="s">
        <v>45611</v>
      </c>
      <c r="M4904" s="2" t="s">
        <v>46990</v>
      </c>
      <c r="N4904" s="3" t="s">
        <v>568</v>
      </c>
      <c r="P4904" s="3" t="s">
        <v>65</v>
      </c>
      <c r="R4904" s="3" t="s">
        <v>66</v>
      </c>
      <c r="S4904" s="4">
        <v>1</v>
      </c>
      <c r="T4904" s="4">
        <v>1</v>
      </c>
      <c r="U4904" s="5" t="s">
        <v>2294</v>
      </c>
      <c r="V4904" s="5" t="s">
        <v>2294</v>
      </c>
      <c r="W4904" s="5" t="s">
        <v>67</v>
      </c>
      <c r="X4904" s="5" t="s">
        <v>67</v>
      </c>
      <c r="Y4904" s="4">
        <v>419</v>
      </c>
      <c r="Z4904" s="4">
        <v>22</v>
      </c>
      <c r="AA4904" s="4">
        <v>31</v>
      </c>
      <c r="AB4904" s="4">
        <v>2</v>
      </c>
      <c r="AC4904" s="4">
        <v>3</v>
      </c>
      <c r="AD4904" s="4">
        <v>108</v>
      </c>
      <c r="AE4904" s="4">
        <v>118</v>
      </c>
      <c r="AF4904" s="4">
        <v>0</v>
      </c>
      <c r="AG4904" s="4">
        <v>1</v>
      </c>
      <c r="AH4904" s="4">
        <v>100</v>
      </c>
      <c r="AI4904" s="4">
        <v>106</v>
      </c>
      <c r="AJ4904" s="4">
        <v>11</v>
      </c>
      <c r="AK4904" s="4">
        <v>16</v>
      </c>
      <c r="AL4904" s="4">
        <v>52</v>
      </c>
      <c r="AM4904" s="4">
        <v>55</v>
      </c>
      <c r="AN4904" s="4">
        <v>0</v>
      </c>
      <c r="AO4904" s="4">
        <v>0</v>
      </c>
      <c r="AP4904" s="4">
        <v>14</v>
      </c>
      <c r="AQ4904" s="4">
        <v>20</v>
      </c>
      <c r="AR4904" s="3" t="s">
        <v>62</v>
      </c>
      <c r="AS4904" s="3" t="s">
        <v>62</v>
      </c>
      <c r="AT4904" s="3" t="s">
        <v>62</v>
      </c>
      <c r="AV4904" s="6" t="str">
        <f>HYPERLINK("http://mcgill.on.worldcat.org/oclc/13525000","Catalog Record")</f>
        <v>Catalog Record</v>
      </c>
      <c r="AW4904" s="6" t="str">
        <f>HYPERLINK("http://www.worldcat.org/oclc/13525000","WorldCat Record")</f>
        <v>WorldCat Record</v>
      </c>
      <c r="AX4904" s="3" t="s">
        <v>46991</v>
      </c>
      <c r="AY4904" s="3" t="s">
        <v>46992</v>
      </c>
      <c r="AZ4904" s="3" t="s">
        <v>46993</v>
      </c>
      <c r="BA4904" s="3" t="s">
        <v>46993</v>
      </c>
      <c r="BB4904" s="3" t="s">
        <v>46994</v>
      </c>
      <c r="BC4904" s="3" t="s">
        <v>142</v>
      </c>
      <c r="BD4904" s="3" t="s">
        <v>68</v>
      </c>
      <c r="BE4904" s="3" t="s">
        <v>46995</v>
      </c>
      <c r="BF4904" s="3" t="s">
        <v>46994</v>
      </c>
      <c r="BG4904" s="3" t="s">
        <v>46996</v>
      </c>
    </row>
    <row r="4905" spans="1:59" ht="57" x14ac:dyDescent="0.45">
      <c r="A4905" s="2" t="s">
        <v>59</v>
      </c>
      <c r="B4905" s="2" t="s">
        <v>60</v>
      </c>
      <c r="C4905" s="2" t="s">
        <v>46997</v>
      </c>
      <c r="D4905" s="2" t="s">
        <v>46998</v>
      </c>
      <c r="E4905" s="2" t="s">
        <v>46999</v>
      </c>
      <c r="G4905" s="3" t="s">
        <v>62</v>
      </c>
      <c r="I4905" s="3" t="s">
        <v>61</v>
      </c>
      <c r="J4905" s="3" t="s">
        <v>62</v>
      </c>
      <c r="K4905" s="3" t="s">
        <v>63</v>
      </c>
      <c r="L4905" s="2" t="s">
        <v>47000</v>
      </c>
      <c r="M4905" s="2" t="s">
        <v>47001</v>
      </c>
      <c r="N4905" s="3" t="s">
        <v>3160</v>
      </c>
      <c r="P4905" s="3" t="s">
        <v>65</v>
      </c>
      <c r="R4905" s="3" t="s">
        <v>66</v>
      </c>
      <c r="S4905" s="4">
        <v>3</v>
      </c>
      <c r="T4905" s="4">
        <v>36</v>
      </c>
      <c r="U4905" s="5" t="s">
        <v>25146</v>
      </c>
      <c r="V4905" s="5" t="s">
        <v>25146</v>
      </c>
      <c r="W4905" s="5" t="s">
        <v>67</v>
      </c>
      <c r="X4905" s="5" t="s">
        <v>67</v>
      </c>
      <c r="Y4905" s="4">
        <v>384</v>
      </c>
      <c r="Z4905" s="4">
        <v>20</v>
      </c>
      <c r="AA4905" s="4">
        <v>46</v>
      </c>
      <c r="AB4905" s="4">
        <v>1</v>
      </c>
      <c r="AC4905" s="4">
        <v>7</v>
      </c>
      <c r="AD4905" s="4">
        <v>90</v>
      </c>
      <c r="AE4905" s="4">
        <v>142</v>
      </c>
      <c r="AF4905" s="4">
        <v>0</v>
      </c>
      <c r="AG4905" s="4">
        <v>5</v>
      </c>
      <c r="AH4905" s="4">
        <v>75</v>
      </c>
      <c r="AI4905" s="4">
        <v>113</v>
      </c>
      <c r="AJ4905" s="4">
        <v>9</v>
      </c>
      <c r="AK4905" s="4">
        <v>24</v>
      </c>
      <c r="AL4905" s="4">
        <v>40</v>
      </c>
      <c r="AM4905" s="4">
        <v>60</v>
      </c>
      <c r="AN4905" s="4">
        <v>0</v>
      </c>
      <c r="AO4905" s="4">
        <v>0</v>
      </c>
      <c r="AP4905" s="4">
        <v>17</v>
      </c>
      <c r="AQ4905" s="4">
        <v>37</v>
      </c>
      <c r="AR4905" s="3" t="s">
        <v>62</v>
      </c>
      <c r="AS4905" s="3" t="s">
        <v>62</v>
      </c>
      <c r="AT4905" s="3" t="s">
        <v>62</v>
      </c>
      <c r="AV4905" s="6" t="str">
        <f>HYPERLINK("http://mcgill.on.worldcat.org/oclc/8042404","Catalog Record")</f>
        <v>Catalog Record</v>
      </c>
      <c r="AW4905" s="6" t="str">
        <f>HYPERLINK("http://www.worldcat.org/oclc/8042404","WorldCat Record")</f>
        <v>WorldCat Record</v>
      </c>
      <c r="AX4905" s="3" t="s">
        <v>47002</v>
      </c>
      <c r="AY4905" s="3" t="s">
        <v>47003</v>
      </c>
      <c r="AZ4905" s="3" t="s">
        <v>47004</v>
      </c>
      <c r="BA4905" s="3" t="s">
        <v>47004</v>
      </c>
      <c r="BB4905" s="3" t="s">
        <v>47005</v>
      </c>
      <c r="BC4905" s="3" t="s">
        <v>142</v>
      </c>
      <c r="BD4905" s="3" t="s">
        <v>308</v>
      </c>
      <c r="BE4905" s="3" t="s">
        <v>47006</v>
      </c>
      <c r="BF4905" s="3" t="s">
        <v>47005</v>
      </c>
      <c r="BG4905" s="3" t="s">
        <v>47007</v>
      </c>
    </row>
    <row r="4906" spans="1:59" ht="57" x14ac:dyDescent="0.45">
      <c r="A4906" s="2" t="s">
        <v>59</v>
      </c>
      <c r="B4906" s="2" t="s">
        <v>60</v>
      </c>
      <c r="C4906" s="2" t="s">
        <v>46997</v>
      </c>
      <c r="D4906" s="2" t="s">
        <v>46998</v>
      </c>
      <c r="E4906" s="2" t="s">
        <v>46999</v>
      </c>
      <c r="G4906" s="3" t="s">
        <v>62</v>
      </c>
      <c r="I4906" s="3" t="s">
        <v>61</v>
      </c>
      <c r="J4906" s="3" t="s">
        <v>62</v>
      </c>
      <c r="K4906" s="3" t="s">
        <v>63</v>
      </c>
      <c r="L4906" s="2" t="s">
        <v>47000</v>
      </c>
      <c r="M4906" s="2" t="s">
        <v>47001</v>
      </c>
      <c r="N4906" s="3" t="s">
        <v>3160</v>
      </c>
      <c r="P4906" s="3" t="s">
        <v>65</v>
      </c>
      <c r="R4906" s="3" t="s">
        <v>66</v>
      </c>
      <c r="S4906" s="4">
        <v>33</v>
      </c>
      <c r="T4906" s="4">
        <v>36</v>
      </c>
      <c r="U4906" s="5" t="s">
        <v>47008</v>
      </c>
      <c r="V4906" s="5" t="s">
        <v>25146</v>
      </c>
      <c r="W4906" s="5" t="s">
        <v>67</v>
      </c>
      <c r="X4906" s="5" t="s">
        <v>67</v>
      </c>
      <c r="Y4906" s="4">
        <v>384</v>
      </c>
      <c r="Z4906" s="4">
        <v>20</v>
      </c>
      <c r="AA4906" s="4">
        <v>46</v>
      </c>
      <c r="AB4906" s="4">
        <v>1</v>
      </c>
      <c r="AC4906" s="4">
        <v>7</v>
      </c>
      <c r="AD4906" s="4">
        <v>90</v>
      </c>
      <c r="AE4906" s="4">
        <v>142</v>
      </c>
      <c r="AF4906" s="4">
        <v>0</v>
      </c>
      <c r="AG4906" s="4">
        <v>5</v>
      </c>
      <c r="AH4906" s="4">
        <v>75</v>
      </c>
      <c r="AI4906" s="4">
        <v>113</v>
      </c>
      <c r="AJ4906" s="4">
        <v>9</v>
      </c>
      <c r="AK4906" s="4">
        <v>24</v>
      </c>
      <c r="AL4906" s="4">
        <v>40</v>
      </c>
      <c r="AM4906" s="4">
        <v>60</v>
      </c>
      <c r="AN4906" s="4">
        <v>0</v>
      </c>
      <c r="AO4906" s="4">
        <v>0</v>
      </c>
      <c r="AP4906" s="4">
        <v>17</v>
      </c>
      <c r="AQ4906" s="4">
        <v>37</v>
      </c>
      <c r="AR4906" s="3" t="s">
        <v>62</v>
      </c>
      <c r="AS4906" s="3" t="s">
        <v>62</v>
      </c>
      <c r="AT4906" s="3" t="s">
        <v>62</v>
      </c>
      <c r="AV4906" s="6" t="str">
        <f>HYPERLINK("http://mcgill.on.worldcat.org/oclc/8042404","Catalog Record")</f>
        <v>Catalog Record</v>
      </c>
      <c r="AW4906" s="6" t="str">
        <f>HYPERLINK("http://www.worldcat.org/oclc/8042404","WorldCat Record")</f>
        <v>WorldCat Record</v>
      </c>
      <c r="AX4906" s="3" t="s">
        <v>47002</v>
      </c>
      <c r="AY4906" s="3" t="s">
        <v>47003</v>
      </c>
      <c r="AZ4906" s="3" t="s">
        <v>47004</v>
      </c>
      <c r="BA4906" s="3" t="s">
        <v>47004</v>
      </c>
      <c r="BB4906" s="3" t="s">
        <v>47009</v>
      </c>
      <c r="BC4906" s="3" t="s">
        <v>142</v>
      </c>
      <c r="BD4906" s="3" t="s">
        <v>68</v>
      </c>
      <c r="BE4906" s="3" t="s">
        <v>47006</v>
      </c>
      <c r="BF4906" s="3" t="s">
        <v>47009</v>
      </c>
      <c r="BG4906" s="3" t="s">
        <v>47010</v>
      </c>
    </row>
    <row r="4907" spans="1:59" ht="57" x14ac:dyDescent="0.45">
      <c r="A4907" s="2" t="s">
        <v>59</v>
      </c>
      <c r="B4907" s="2" t="s">
        <v>60</v>
      </c>
      <c r="C4907" s="2" t="s">
        <v>47011</v>
      </c>
      <c r="D4907" s="2" t="s">
        <v>47012</v>
      </c>
      <c r="E4907" s="2" t="s">
        <v>47013</v>
      </c>
      <c r="G4907" s="3" t="s">
        <v>62</v>
      </c>
      <c r="I4907" s="3" t="s">
        <v>62</v>
      </c>
      <c r="J4907" s="3" t="s">
        <v>61</v>
      </c>
      <c r="K4907" s="3" t="s">
        <v>63</v>
      </c>
      <c r="L4907" s="2" t="s">
        <v>47014</v>
      </c>
      <c r="M4907" s="2" t="s">
        <v>7538</v>
      </c>
      <c r="N4907" s="3" t="s">
        <v>918</v>
      </c>
      <c r="O4907" s="2" t="s">
        <v>933</v>
      </c>
      <c r="P4907" s="3" t="s">
        <v>65</v>
      </c>
      <c r="Q4907" s="2" t="s">
        <v>29735</v>
      </c>
      <c r="R4907" s="3" t="s">
        <v>66</v>
      </c>
      <c r="S4907" s="4">
        <v>4</v>
      </c>
      <c r="T4907" s="4">
        <v>4</v>
      </c>
      <c r="U4907" s="5" t="s">
        <v>33227</v>
      </c>
      <c r="V4907" s="5" t="s">
        <v>33227</v>
      </c>
      <c r="W4907" s="5" t="s">
        <v>67</v>
      </c>
      <c r="X4907" s="5" t="s">
        <v>67</v>
      </c>
      <c r="Y4907" s="4">
        <v>193</v>
      </c>
      <c r="Z4907" s="4">
        <v>19</v>
      </c>
      <c r="AA4907" s="4">
        <v>33</v>
      </c>
      <c r="AB4907" s="4">
        <v>2</v>
      </c>
      <c r="AC4907" s="4">
        <v>6</v>
      </c>
      <c r="AD4907" s="4">
        <v>59</v>
      </c>
      <c r="AE4907" s="4">
        <v>122</v>
      </c>
      <c r="AF4907" s="4">
        <v>1</v>
      </c>
      <c r="AG4907" s="4">
        <v>5</v>
      </c>
      <c r="AH4907" s="4">
        <v>51</v>
      </c>
      <c r="AI4907" s="4">
        <v>105</v>
      </c>
      <c r="AJ4907" s="4">
        <v>13</v>
      </c>
      <c r="AK4907" s="4">
        <v>21</v>
      </c>
      <c r="AL4907" s="4">
        <v>28</v>
      </c>
      <c r="AM4907" s="4">
        <v>57</v>
      </c>
      <c r="AN4907" s="4">
        <v>0</v>
      </c>
      <c r="AO4907" s="4">
        <v>0</v>
      </c>
      <c r="AP4907" s="4">
        <v>16</v>
      </c>
      <c r="AQ4907" s="4">
        <v>26</v>
      </c>
      <c r="AR4907" s="3" t="s">
        <v>62</v>
      </c>
      <c r="AS4907" s="3" t="s">
        <v>62</v>
      </c>
      <c r="AT4907" s="3" t="s">
        <v>62</v>
      </c>
      <c r="AV4907" s="6" t="str">
        <f>HYPERLINK("http://mcgill.on.worldcat.org/oclc/50285366","Catalog Record")</f>
        <v>Catalog Record</v>
      </c>
      <c r="AW4907" s="6" t="str">
        <f>HYPERLINK("http://www.worldcat.org/oclc/50285366","WorldCat Record")</f>
        <v>WorldCat Record</v>
      </c>
      <c r="AX4907" s="3" t="s">
        <v>47015</v>
      </c>
      <c r="AY4907" s="3" t="s">
        <v>47016</v>
      </c>
      <c r="AZ4907" s="3" t="s">
        <v>47017</v>
      </c>
      <c r="BA4907" s="3" t="s">
        <v>47017</v>
      </c>
      <c r="BB4907" s="3" t="s">
        <v>47018</v>
      </c>
      <c r="BC4907" s="3" t="s">
        <v>142</v>
      </c>
      <c r="BD4907" s="3" t="s">
        <v>68</v>
      </c>
      <c r="BE4907" s="3" t="s">
        <v>47019</v>
      </c>
      <c r="BF4907" s="3" t="s">
        <v>47018</v>
      </c>
      <c r="BG4907" s="3" t="s">
        <v>47020</v>
      </c>
    </row>
    <row r="4908" spans="1:59" ht="57" x14ac:dyDescent="0.45">
      <c r="A4908" s="2" t="s">
        <v>59</v>
      </c>
      <c r="B4908" s="2" t="s">
        <v>60</v>
      </c>
      <c r="C4908" s="2" t="s">
        <v>47021</v>
      </c>
      <c r="D4908" s="2" t="s">
        <v>47022</v>
      </c>
      <c r="E4908" s="2" t="s">
        <v>47023</v>
      </c>
      <c r="G4908" s="3" t="s">
        <v>62</v>
      </c>
      <c r="I4908" s="3" t="s">
        <v>62</v>
      </c>
      <c r="J4908" s="3" t="s">
        <v>62</v>
      </c>
      <c r="K4908" s="3" t="s">
        <v>63</v>
      </c>
      <c r="M4908" s="2" t="s">
        <v>47024</v>
      </c>
      <c r="N4908" s="3" t="s">
        <v>149</v>
      </c>
      <c r="P4908" s="3" t="s">
        <v>65</v>
      </c>
      <c r="Q4908" s="2" t="s">
        <v>47025</v>
      </c>
      <c r="R4908" s="3" t="s">
        <v>66</v>
      </c>
      <c r="S4908" s="4">
        <v>0</v>
      </c>
      <c r="T4908" s="4">
        <v>0</v>
      </c>
      <c r="W4908" s="5" t="s">
        <v>67</v>
      </c>
      <c r="X4908" s="5" t="s">
        <v>67</v>
      </c>
      <c r="Y4908" s="4">
        <v>169</v>
      </c>
      <c r="Z4908" s="4">
        <v>14</v>
      </c>
      <c r="AA4908" s="4">
        <v>14</v>
      </c>
      <c r="AB4908" s="4">
        <v>1</v>
      </c>
      <c r="AC4908" s="4">
        <v>1</v>
      </c>
      <c r="AD4908" s="4">
        <v>60</v>
      </c>
      <c r="AE4908" s="4">
        <v>61</v>
      </c>
      <c r="AF4908" s="4">
        <v>0</v>
      </c>
      <c r="AG4908" s="4">
        <v>0</v>
      </c>
      <c r="AH4908" s="4">
        <v>54</v>
      </c>
      <c r="AI4908" s="4">
        <v>55</v>
      </c>
      <c r="AJ4908" s="4">
        <v>11</v>
      </c>
      <c r="AK4908" s="4">
        <v>11</v>
      </c>
      <c r="AL4908" s="4">
        <v>33</v>
      </c>
      <c r="AM4908" s="4">
        <v>33</v>
      </c>
      <c r="AN4908" s="4">
        <v>5</v>
      </c>
      <c r="AO4908" s="4">
        <v>5</v>
      </c>
      <c r="AP4908" s="4">
        <v>12</v>
      </c>
      <c r="AQ4908" s="4">
        <v>12</v>
      </c>
      <c r="AR4908" s="3" t="s">
        <v>62</v>
      </c>
      <c r="AS4908" s="3" t="s">
        <v>62</v>
      </c>
      <c r="AT4908" s="3" t="s">
        <v>61</v>
      </c>
      <c r="AU4908" s="6" t="str">
        <f>HYPERLINK("http://catalog.hathitrust.org/Record/010391476","HathiTrust Record")</f>
        <v>HathiTrust Record</v>
      </c>
      <c r="AV4908" s="6" t="str">
        <f>HYPERLINK("http://mcgill.on.worldcat.org/oclc/444381504","Catalog Record")</f>
        <v>Catalog Record</v>
      </c>
      <c r="AW4908" s="6" t="str">
        <f>HYPERLINK("http://www.worldcat.org/oclc/444381504","WorldCat Record")</f>
        <v>WorldCat Record</v>
      </c>
      <c r="AX4908" s="3" t="s">
        <v>47026</v>
      </c>
      <c r="AY4908" s="3" t="s">
        <v>47027</v>
      </c>
      <c r="AZ4908" s="3" t="s">
        <v>47028</v>
      </c>
      <c r="BA4908" s="3" t="s">
        <v>47028</v>
      </c>
      <c r="BB4908" s="3" t="s">
        <v>47029</v>
      </c>
      <c r="BC4908" s="3" t="s">
        <v>142</v>
      </c>
      <c r="BD4908" s="3" t="s">
        <v>68</v>
      </c>
      <c r="BE4908" s="3" t="s">
        <v>47030</v>
      </c>
      <c r="BF4908" s="3" t="s">
        <v>47029</v>
      </c>
      <c r="BG4908" s="3" t="s">
        <v>47031</v>
      </c>
    </row>
    <row r="4909" spans="1:59" ht="57" x14ac:dyDescent="0.45">
      <c r="A4909" s="2" t="s">
        <v>59</v>
      </c>
      <c r="B4909" s="2" t="s">
        <v>60</v>
      </c>
      <c r="C4909" s="2" t="s">
        <v>47032</v>
      </c>
      <c r="D4909" s="2" t="s">
        <v>47033</v>
      </c>
      <c r="E4909" s="2" t="s">
        <v>47034</v>
      </c>
      <c r="G4909" s="3" t="s">
        <v>62</v>
      </c>
      <c r="I4909" s="3" t="s">
        <v>62</v>
      </c>
      <c r="J4909" s="3" t="s">
        <v>62</v>
      </c>
      <c r="K4909" s="3" t="s">
        <v>63</v>
      </c>
      <c r="M4909" s="2" t="s">
        <v>47035</v>
      </c>
      <c r="N4909" s="3" t="s">
        <v>583</v>
      </c>
      <c r="P4909" s="3" t="s">
        <v>65</v>
      </c>
      <c r="Q4909" s="2" t="s">
        <v>47036</v>
      </c>
      <c r="R4909" s="3" t="s">
        <v>66</v>
      </c>
      <c r="S4909" s="4">
        <v>3</v>
      </c>
      <c r="T4909" s="4">
        <v>3</v>
      </c>
      <c r="U4909" s="5" t="s">
        <v>12541</v>
      </c>
      <c r="V4909" s="5" t="s">
        <v>12541</v>
      </c>
      <c r="W4909" s="5" t="s">
        <v>67</v>
      </c>
      <c r="X4909" s="5" t="s">
        <v>67</v>
      </c>
      <c r="Y4909" s="4">
        <v>196</v>
      </c>
      <c r="Z4909" s="4">
        <v>20</v>
      </c>
      <c r="AA4909" s="4">
        <v>20</v>
      </c>
      <c r="AB4909" s="4">
        <v>2</v>
      </c>
      <c r="AC4909" s="4">
        <v>2</v>
      </c>
      <c r="AD4909" s="4">
        <v>81</v>
      </c>
      <c r="AE4909" s="4">
        <v>81</v>
      </c>
      <c r="AF4909" s="4">
        <v>1</v>
      </c>
      <c r="AG4909" s="4">
        <v>1</v>
      </c>
      <c r="AH4909" s="4">
        <v>71</v>
      </c>
      <c r="AI4909" s="4">
        <v>71</v>
      </c>
      <c r="AJ4909" s="4">
        <v>16</v>
      </c>
      <c r="AK4909" s="4">
        <v>16</v>
      </c>
      <c r="AL4909" s="4">
        <v>43</v>
      </c>
      <c r="AM4909" s="4">
        <v>43</v>
      </c>
      <c r="AN4909" s="4">
        <v>0</v>
      </c>
      <c r="AO4909" s="4">
        <v>0</v>
      </c>
      <c r="AP4909" s="4">
        <v>18</v>
      </c>
      <c r="AQ4909" s="4">
        <v>18</v>
      </c>
      <c r="AR4909" s="3" t="s">
        <v>62</v>
      </c>
      <c r="AS4909" s="3" t="s">
        <v>62</v>
      </c>
      <c r="AT4909" s="3" t="s">
        <v>61</v>
      </c>
      <c r="AU4909" s="6" t="str">
        <f>HYPERLINK("http://catalog.hathitrust.org/Record/000297107","HathiTrust Record")</f>
        <v>HathiTrust Record</v>
      </c>
      <c r="AV4909" s="6" t="str">
        <f>HYPERLINK("http://mcgill.on.worldcat.org/oclc/7205959","Catalog Record")</f>
        <v>Catalog Record</v>
      </c>
      <c r="AW4909" s="6" t="str">
        <f>HYPERLINK("http://www.worldcat.org/oclc/7205959","WorldCat Record")</f>
        <v>WorldCat Record</v>
      </c>
      <c r="AX4909" s="3" t="s">
        <v>47037</v>
      </c>
      <c r="AY4909" s="3" t="s">
        <v>47038</v>
      </c>
      <c r="AZ4909" s="3" t="s">
        <v>47039</v>
      </c>
      <c r="BA4909" s="3" t="s">
        <v>47039</v>
      </c>
      <c r="BB4909" s="3" t="s">
        <v>47040</v>
      </c>
      <c r="BC4909" s="3" t="s">
        <v>142</v>
      </c>
      <c r="BD4909" s="3" t="s">
        <v>68</v>
      </c>
      <c r="BE4909" s="3" t="s">
        <v>47041</v>
      </c>
      <c r="BF4909" s="3" t="s">
        <v>47040</v>
      </c>
      <c r="BG4909" s="3" t="s">
        <v>47042</v>
      </c>
    </row>
    <row r="4910" spans="1:59" ht="57" x14ac:dyDescent="0.45">
      <c r="A4910" s="2" t="s">
        <v>59</v>
      </c>
      <c r="B4910" s="2" t="s">
        <v>60</v>
      </c>
      <c r="C4910" s="2" t="s">
        <v>47043</v>
      </c>
      <c r="D4910" s="2" t="s">
        <v>47044</v>
      </c>
      <c r="E4910" s="2" t="s">
        <v>47045</v>
      </c>
      <c r="F4910" s="3" t="s">
        <v>87</v>
      </c>
      <c r="G4910" s="3" t="s">
        <v>61</v>
      </c>
      <c r="I4910" s="3" t="s">
        <v>61</v>
      </c>
      <c r="J4910" s="3" t="s">
        <v>61</v>
      </c>
      <c r="K4910" s="3" t="s">
        <v>63</v>
      </c>
      <c r="M4910" s="2" t="s">
        <v>9700</v>
      </c>
      <c r="N4910" s="3" t="s">
        <v>945</v>
      </c>
      <c r="O4910" s="2" t="s">
        <v>933</v>
      </c>
      <c r="P4910" s="3" t="s">
        <v>65</v>
      </c>
      <c r="R4910" s="3" t="s">
        <v>66</v>
      </c>
      <c r="S4910" s="4">
        <v>2</v>
      </c>
      <c r="T4910" s="4">
        <v>13</v>
      </c>
      <c r="U4910" s="5" t="s">
        <v>6989</v>
      </c>
      <c r="V4910" s="5" t="s">
        <v>47046</v>
      </c>
      <c r="W4910" s="5" t="s">
        <v>67</v>
      </c>
      <c r="X4910" s="5" t="s">
        <v>67</v>
      </c>
      <c r="Y4910" s="4">
        <v>194</v>
      </c>
      <c r="Z4910" s="4">
        <v>19</v>
      </c>
      <c r="AA4910" s="4">
        <v>89</v>
      </c>
      <c r="AB4910" s="4">
        <v>1</v>
      </c>
      <c r="AC4910" s="4">
        <v>14</v>
      </c>
      <c r="AD4910" s="4">
        <v>71</v>
      </c>
      <c r="AE4910" s="4">
        <v>152</v>
      </c>
      <c r="AF4910" s="4">
        <v>0</v>
      </c>
      <c r="AG4910" s="4">
        <v>8</v>
      </c>
      <c r="AH4910" s="4">
        <v>63</v>
      </c>
      <c r="AI4910" s="4">
        <v>113</v>
      </c>
      <c r="AJ4910" s="4">
        <v>10</v>
      </c>
      <c r="AK4910" s="4">
        <v>27</v>
      </c>
      <c r="AL4910" s="4">
        <v>36</v>
      </c>
      <c r="AM4910" s="4">
        <v>60</v>
      </c>
      <c r="AN4910" s="4">
        <v>0</v>
      </c>
      <c r="AO4910" s="4">
        <v>0</v>
      </c>
      <c r="AP4910" s="4">
        <v>16</v>
      </c>
      <c r="AQ4910" s="4">
        <v>48</v>
      </c>
      <c r="AR4910" s="3" t="s">
        <v>62</v>
      </c>
      <c r="AS4910" s="3" t="s">
        <v>62</v>
      </c>
      <c r="AT4910" s="3" t="s">
        <v>62</v>
      </c>
      <c r="AV4910" s="6" t="str">
        <f t="shared" ref="AV4910:AV4915" si="48">HYPERLINK("http://mcgill.on.worldcat.org/oclc/174141314","Catalog Record")</f>
        <v>Catalog Record</v>
      </c>
      <c r="AW4910" s="6" t="str">
        <f t="shared" ref="AW4910:AW4915" si="49">HYPERLINK("http://www.worldcat.org/oclc/174141314","WorldCat Record")</f>
        <v>WorldCat Record</v>
      </c>
      <c r="AX4910" s="3" t="s">
        <v>47047</v>
      </c>
      <c r="AY4910" s="3" t="s">
        <v>47048</v>
      </c>
      <c r="AZ4910" s="3" t="s">
        <v>47049</v>
      </c>
      <c r="BA4910" s="3" t="s">
        <v>47049</v>
      </c>
      <c r="BB4910" s="3" t="s">
        <v>47050</v>
      </c>
      <c r="BC4910" s="3" t="s">
        <v>142</v>
      </c>
      <c r="BD4910" s="3" t="s">
        <v>68</v>
      </c>
      <c r="BE4910" s="3" t="s">
        <v>47051</v>
      </c>
      <c r="BF4910" s="3" t="s">
        <v>47050</v>
      </c>
      <c r="BG4910" s="3" t="s">
        <v>47052</v>
      </c>
    </row>
    <row r="4911" spans="1:59" ht="57" x14ac:dyDescent="0.45">
      <c r="A4911" s="2" t="s">
        <v>59</v>
      </c>
      <c r="B4911" s="2" t="s">
        <v>60</v>
      </c>
      <c r="C4911" s="2" t="s">
        <v>47043</v>
      </c>
      <c r="D4911" s="2" t="s">
        <v>47044</v>
      </c>
      <c r="E4911" s="2" t="s">
        <v>47045</v>
      </c>
      <c r="F4911" s="3" t="s">
        <v>86</v>
      </c>
      <c r="G4911" s="3" t="s">
        <v>61</v>
      </c>
      <c r="I4911" s="3" t="s">
        <v>61</v>
      </c>
      <c r="J4911" s="3" t="s">
        <v>61</v>
      </c>
      <c r="K4911" s="3" t="s">
        <v>63</v>
      </c>
      <c r="M4911" s="2" t="s">
        <v>9700</v>
      </c>
      <c r="N4911" s="3" t="s">
        <v>945</v>
      </c>
      <c r="O4911" s="2" t="s">
        <v>933</v>
      </c>
      <c r="P4911" s="3" t="s">
        <v>65</v>
      </c>
      <c r="R4911" s="3" t="s">
        <v>66</v>
      </c>
      <c r="S4911" s="4">
        <v>2</v>
      </c>
      <c r="T4911" s="4">
        <v>13</v>
      </c>
      <c r="U4911" s="5" t="s">
        <v>47053</v>
      </c>
      <c r="V4911" s="5" t="s">
        <v>47046</v>
      </c>
      <c r="W4911" s="5" t="s">
        <v>67</v>
      </c>
      <c r="X4911" s="5" t="s">
        <v>67</v>
      </c>
      <c r="Y4911" s="4">
        <v>194</v>
      </c>
      <c r="Z4911" s="4">
        <v>19</v>
      </c>
      <c r="AA4911" s="4">
        <v>89</v>
      </c>
      <c r="AB4911" s="4">
        <v>1</v>
      </c>
      <c r="AC4911" s="4">
        <v>14</v>
      </c>
      <c r="AD4911" s="4">
        <v>71</v>
      </c>
      <c r="AE4911" s="4">
        <v>152</v>
      </c>
      <c r="AF4911" s="4">
        <v>0</v>
      </c>
      <c r="AG4911" s="4">
        <v>8</v>
      </c>
      <c r="AH4911" s="4">
        <v>63</v>
      </c>
      <c r="AI4911" s="4">
        <v>113</v>
      </c>
      <c r="AJ4911" s="4">
        <v>10</v>
      </c>
      <c r="AK4911" s="4">
        <v>27</v>
      </c>
      <c r="AL4911" s="4">
        <v>36</v>
      </c>
      <c r="AM4911" s="4">
        <v>60</v>
      </c>
      <c r="AN4911" s="4">
        <v>0</v>
      </c>
      <c r="AO4911" s="4">
        <v>0</v>
      </c>
      <c r="AP4911" s="4">
        <v>16</v>
      </c>
      <c r="AQ4911" s="4">
        <v>48</v>
      </c>
      <c r="AR4911" s="3" t="s">
        <v>62</v>
      </c>
      <c r="AS4911" s="3" t="s">
        <v>62</v>
      </c>
      <c r="AT4911" s="3" t="s">
        <v>62</v>
      </c>
      <c r="AV4911" s="6" t="str">
        <f t="shared" si="48"/>
        <v>Catalog Record</v>
      </c>
      <c r="AW4911" s="6" t="str">
        <f t="shared" si="49"/>
        <v>WorldCat Record</v>
      </c>
      <c r="AX4911" s="3" t="s">
        <v>47047</v>
      </c>
      <c r="AY4911" s="3" t="s">
        <v>47048</v>
      </c>
      <c r="AZ4911" s="3" t="s">
        <v>47049</v>
      </c>
      <c r="BA4911" s="3" t="s">
        <v>47049</v>
      </c>
      <c r="BB4911" s="3" t="s">
        <v>47054</v>
      </c>
      <c r="BC4911" s="3" t="s">
        <v>142</v>
      </c>
      <c r="BD4911" s="3" t="s">
        <v>68</v>
      </c>
      <c r="BE4911" s="3" t="s">
        <v>47051</v>
      </c>
      <c r="BF4911" s="3" t="s">
        <v>47054</v>
      </c>
      <c r="BG4911" s="3" t="s">
        <v>47055</v>
      </c>
    </row>
    <row r="4912" spans="1:59" ht="57" x14ac:dyDescent="0.45">
      <c r="A4912" s="2" t="s">
        <v>59</v>
      </c>
      <c r="B4912" s="2" t="s">
        <v>60</v>
      </c>
      <c r="C4912" s="2" t="s">
        <v>47043</v>
      </c>
      <c r="D4912" s="2" t="s">
        <v>47044</v>
      </c>
      <c r="E4912" s="2" t="s">
        <v>47045</v>
      </c>
      <c r="F4912" s="3" t="s">
        <v>90</v>
      </c>
      <c r="G4912" s="3" t="s">
        <v>61</v>
      </c>
      <c r="I4912" s="3" t="s">
        <v>61</v>
      </c>
      <c r="J4912" s="3" t="s">
        <v>61</v>
      </c>
      <c r="K4912" s="3" t="s">
        <v>63</v>
      </c>
      <c r="M4912" s="2" t="s">
        <v>9700</v>
      </c>
      <c r="N4912" s="3" t="s">
        <v>945</v>
      </c>
      <c r="O4912" s="2" t="s">
        <v>933</v>
      </c>
      <c r="P4912" s="3" t="s">
        <v>65</v>
      </c>
      <c r="R4912" s="3" t="s">
        <v>66</v>
      </c>
      <c r="S4912" s="4">
        <v>2</v>
      </c>
      <c r="T4912" s="4">
        <v>13</v>
      </c>
      <c r="U4912" s="5" t="s">
        <v>47056</v>
      </c>
      <c r="V4912" s="5" t="s">
        <v>47046</v>
      </c>
      <c r="W4912" s="5" t="s">
        <v>67</v>
      </c>
      <c r="X4912" s="5" t="s">
        <v>67</v>
      </c>
      <c r="Y4912" s="4">
        <v>194</v>
      </c>
      <c r="Z4912" s="4">
        <v>19</v>
      </c>
      <c r="AA4912" s="4">
        <v>89</v>
      </c>
      <c r="AB4912" s="4">
        <v>1</v>
      </c>
      <c r="AC4912" s="4">
        <v>14</v>
      </c>
      <c r="AD4912" s="4">
        <v>71</v>
      </c>
      <c r="AE4912" s="4">
        <v>152</v>
      </c>
      <c r="AF4912" s="4">
        <v>0</v>
      </c>
      <c r="AG4912" s="4">
        <v>8</v>
      </c>
      <c r="AH4912" s="4">
        <v>63</v>
      </c>
      <c r="AI4912" s="4">
        <v>113</v>
      </c>
      <c r="AJ4912" s="4">
        <v>10</v>
      </c>
      <c r="AK4912" s="4">
        <v>27</v>
      </c>
      <c r="AL4912" s="4">
        <v>36</v>
      </c>
      <c r="AM4912" s="4">
        <v>60</v>
      </c>
      <c r="AN4912" s="4">
        <v>0</v>
      </c>
      <c r="AO4912" s="4">
        <v>0</v>
      </c>
      <c r="AP4912" s="4">
        <v>16</v>
      </c>
      <c r="AQ4912" s="4">
        <v>48</v>
      </c>
      <c r="AR4912" s="3" t="s">
        <v>62</v>
      </c>
      <c r="AS4912" s="3" t="s">
        <v>62</v>
      </c>
      <c r="AT4912" s="3" t="s">
        <v>62</v>
      </c>
      <c r="AV4912" s="6" t="str">
        <f t="shared" si="48"/>
        <v>Catalog Record</v>
      </c>
      <c r="AW4912" s="6" t="str">
        <f t="shared" si="49"/>
        <v>WorldCat Record</v>
      </c>
      <c r="AX4912" s="3" t="s">
        <v>47047</v>
      </c>
      <c r="AY4912" s="3" t="s">
        <v>47048</v>
      </c>
      <c r="AZ4912" s="3" t="s">
        <v>47049</v>
      </c>
      <c r="BA4912" s="3" t="s">
        <v>47049</v>
      </c>
      <c r="BB4912" s="3" t="s">
        <v>47057</v>
      </c>
      <c r="BC4912" s="3" t="s">
        <v>142</v>
      </c>
      <c r="BD4912" s="3" t="s">
        <v>308</v>
      </c>
      <c r="BE4912" s="3" t="s">
        <v>47051</v>
      </c>
      <c r="BF4912" s="3" t="s">
        <v>47057</v>
      </c>
      <c r="BG4912" s="3" t="s">
        <v>47058</v>
      </c>
    </row>
    <row r="4913" spans="1:59" ht="57" x14ac:dyDescent="0.45">
      <c r="A4913" s="2" t="s">
        <v>59</v>
      </c>
      <c r="B4913" s="2" t="s">
        <v>60</v>
      </c>
      <c r="C4913" s="2" t="s">
        <v>47043</v>
      </c>
      <c r="D4913" s="2" t="s">
        <v>47044</v>
      </c>
      <c r="E4913" s="2" t="s">
        <v>47045</v>
      </c>
      <c r="F4913" s="3" t="s">
        <v>86</v>
      </c>
      <c r="G4913" s="3" t="s">
        <v>61</v>
      </c>
      <c r="I4913" s="3" t="s">
        <v>61</v>
      </c>
      <c r="J4913" s="3" t="s">
        <v>61</v>
      </c>
      <c r="K4913" s="3" t="s">
        <v>63</v>
      </c>
      <c r="M4913" s="2" t="s">
        <v>9700</v>
      </c>
      <c r="N4913" s="3" t="s">
        <v>945</v>
      </c>
      <c r="O4913" s="2" t="s">
        <v>933</v>
      </c>
      <c r="P4913" s="3" t="s">
        <v>65</v>
      </c>
      <c r="R4913" s="3" t="s">
        <v>66</v>
      </c>
      <c r="S4913" s="4">
        <v>4</v>
      </c>
      <c r="T4913" s="4">
        <v>13</v>
      </c>
      <c r="U4913" s="5" t="s">
        <v>6989</v>
      </c>
      <c r="V4913" s="5" t="s">
        <v>47046</v>
      </c>
      <c r="W4913" s="5" t="s">
        <v>67</v>
      </c>
      <c r="X4913" s="5" t="s">
        <v>67</v>
      </c>
      <c r="Y4913" s="4">
        <v>194</v>
      </c>
      <c r="Z4913" s="4">
        <v>19</v>
      </c>
      <c r="AA4913" s="4">
        <v>89</v>
      </c>
      <c r="AB4913" s="4">
        <v>1</v>
      </c>
      <c r="AC4913" s="4">
        <v>14</v>
      </c>
      <c r="AD4913" s="4">
        <v>71</v>
      </c>
      <c r="AE4913" s="4">
        <v>152</v>
      </c>
      <c r="AF4913" s="4">
        <v>0</v>
      </c>
      <c r="AG4913" s="4">
        <v>8</v>
      </c>
      <c r="AH4913" s="4">
        <v>63</v>
      </c>
      <c r="AI4913" s="4">
        <v>113</v>
      </c>
      <c r="AJ4913" s="4">
        <v>10</v>
      </c>
      <c r="AK4913" s="4">
        <v>27</v>
      </c>
      <c r="AL4913" s="4">
        <v>36</v>
      </c>
      <c r="AM4913" s="4">
        <v>60</v>
      </c>
      <c r="AN4913" s="4">
        <v>0</v>
      </c>
      <c r="AO4913" s="4">
        <v>0</v>
      </c>
      <c r="AP4913" s="4">
        <v>16</v>
      </c>
      <c r="AQ4913" s="4">
        <v>48</v>
      </c>
      <c r="AR4913" s="3" t="s">
        <v>62</v>
      </c>
      <c r="AS4913" s="3" t="s">
        <v>62</v>
      </c>
      <c r="AT4913" s="3" t="s">
        <v>62</v>
      </c>
      <c r="AV4913" s="6" t="str">
        <f t="shared" si="48"/>
        <v>Catalog Record</v>
      </c>
      <c r="AW4913" s="6" t="str">
        <f t="shared" si="49"/>
        <v>WorldCat Record</v>
      </c>
      <c r="AX4913" s="3" t="s">
        <v>47047</v>
      </c>
      <c r="AY4913" s="3" t="s">
        <v>47048</v>
      </c>
      <c r="AZ4913" s="3" t="s">
        <v>47049</v>
      </c>
      <c r="BA4913" s="3" t="s">
        <v>47049</v>
      </c>
      <c r="BB4913" s="3" t="s">
        <v>47059</v>
      </c>
      <c r="BC4913" s="3" t="s">
        <v>142</v>
      </c>
      <c r="BD4913" s="3" t="s">
        <v>68</v>
      </c>
      <c r="BE4913" s="3" t="s">
        <v>47051</v>
      </c>
      <c r="BF4913" s="3" t="s">
        <v>47059</v>
      </c>
      <c r="BG4913" s="3" t="s">
        <v>47060</v>
      </c>
    </row>
    <row r="4914" spans="1:59" ht="57" x14ac:dyDescent="0.45">
      <c r="A4914" s="2" t="s">
        <v>59</v>
      </c>
      <c r="B4914" s="2" t="s">
        <v>60</v>
      </c>
      <c r="C4914" s="2" t="s">
        <v>47043</v>
      </c>
      <c r="D4914" s="2" t="s">
        <v>47044</v>
      </c>
      <c r="E4914" s="2" t="s">
        <v>47045</v>
      </c>
      <c r="F4914" s="3" t="s">
        <v>90</v>
      </c>
      <c r="G4914" s="3" t="s">
        <v>61</v>
      </c>
      <c r="I4914" s="3" t="s">
        <v>61</v>
      </c>
      <c r="J4914" s="3" t="s">
        <v>61</v>
      </c>
      <c r="K4914" s="3" t="s">
        <v>63</v>
      </c>
      <c r="M4914" s="2" t="s">
        <v>9700</v>
      </c>
      <c r="N4914" s="3" t="s">
        <v>945</v>
      </c>
      <c r="O4914" s="2" t="s">
        <v>933</v>
      </c>
      <c r="P4914" s="3" t="s">
        <v>65</v>
      </c>
      <c r="R4914" s="3" t="s">
        <v>66</v>
      </c>
      <c r="S4914" s="4">
        <v>1</v>
      </c>
      <c r="T4914" s="4">
        <v>13</v>
      </c>
      <c r="U4914" s="5" t="s">
        <v>47046</v>
      </c>
      <c r="V4914" s="5" t="s">
        <v>47046</v>
      </c>
      <c r="W4914" s="5" t="s">
        <v>67</v>
      </c>
      <c r="X4914" s="5" t="s">
        <v>67</v>
      </c>
      <c r="Y4914" s="4">
        <v>194</v>
      </c>
      <c r="Z4914" s="4">
        <v>19</v>
      </c>
      <c r="AA4914" s="4">
        <v>89</v>
      </c>
      <c r="AB4914" s="4">
        <v>1</v>
      </c>
      <c r="AC4914" s="4">
        <v>14</v>
      </c>
      <c r="AD4914" s="4">
        <v>71</v>
      </c>
      <c r="AE4914" s="4">
        <v>152</v>
      </c>
      <c r="AF4914" s="4">
        <v>0</v>
      </c>
      <c r="AG4914" s="4">
        <v>8</v>
      </c>
      <c r="AH4914" s="4">
        <v>63</v>
      </c>
      <c r="AI4914" s="4">
        <v>113</v>
      </c>
      <c r="AJ4914" s="4">
        <v>10</v>
      </c>
      <c r="AK4914" s="4">
        <v>27</v>
      </c>
      <c r="AL4914" s="4">
        <v>36</v>
      </c>
      <c r="AM4914" s="4">
        <v>60</v>
      </c>
      <c r="AN4914" s="4">
        <v>0</v>
      </c>
      <c r="AO4914" s="4">
        <v>0</v>
      </c>
      <c r="AP4914" s="4">
        <v>16</v>
      </c>
      <c r="AQ4914" s="4">
        <v>48</v>
      </c>
      <c r="AR4914" s="3" t="s">
        <v>62</v>
      </c>
      <c r="AS4914" s="3" t="s">
        <v>62</v>
      </c>
      <c r="AT4914" s="3" t="s">
        <v>62</v>
      </c>
      <c r="AV4914" s="6" t="str">
        <f t="shared" si="48"/>
        <v>Catalog Record</v>
      </c>
      <c r="AW4914" s="6" t="str">
        <f t="shared" si="49"/>
        <v>WorldCat Record</v>
      </c>
      <c r="AX4914" s="3" t="s">
        <v>47047</v>
      </c>
      <c r="AY4914" s="3" t="s">
        <v>47048</v>
      </c>
      <c r="AZ4914" s="3" t="s">
        <v>47049</v>
      </c>
      <c r="BA4914" s="3" t="s">
        <v>47049</v>
      </c>
      <c r="BB4914" s="3" t="s">
        <v>47061</v>
      </c>
      <c r="BC4914" s="3" t="s">
        <v>142</v>
      </c>
      <c r="BD4914" s="3" t="s">
        <v>68</v>
      </c>
      <c r="BE4914" s="3" t="s">
        <v>47051</v>
      </c>
      <c r="BF4914" s="3" t="s">
        <v>47061</v>
      </c>
      <c r="BG4914" s="3" t="s">
        <v>47062</v>
      </c>
    </row>
    <row r="4915" spans="1:59" ht="57" x14ac:dyDescent="0.45">
      <c r="A4915" s="2" t="s">
        <v>59</v>
      </c>
      <c r="B4915" s="2" t="s">
        <v>60</v>
      </c>
      <c r="C4915" s="2" t="s">
        <v>47043</v>
      </c>
      <c r="D4915" s="2" t="s">
        <v>47044</v>
      </c>
      <c r="E4915" s="2" t="s">
        <v>47045</v>
      </c>
      <c r="F4915" s="3" t="s">
        <v>87</v>
      </c>
      <c r="G4915" s="3" t="s">
        <v>61</v>
      </c>
      <c r="I4915" s="3" t="s">
        <v>61</v>
      </c>
      <c r="J4915" s="3" t="s">
        <v>61</v>
      </c>
      <c r="K4915" s="3" t="s">
        <v>63</v>
      </c>
      <c r="M4915" s="2" t="s">
        <v>9700</v>
      </c>
      <c r="N4915" s="3" t="s">
        <v>945</v>
      </c>
      <c r="O4915" s="2" t="s">
        <v>933</v>
      </c>
      <c r="P4915" s="3" t="s">
        <v>65</v>
      </c>
      <c r="R4915" s="3" t="s">
        <v>66</v>
      </c>
      <c r="S4915" s="4">
        <v>2</v>
      </c>
      <c r="T4915" s="4">
        <v>13</v>
      </c>
      <c r="U4915" s="5" t="s">
        <v>47056</v>
      </c>
      <c r="V4915" s="5" t="s">
        <v>47046</v>
      </c>
      <c r="W4915" s="5" t="s">
        <v>67</v>
      </c>
      <c r="X4915" s="5" t="s">
        <v>67</v>
      </c>
      <c r="Y4915" s="4">
        <v>194</v>
      </c>
      <c r="Z4915" s="4">
        <v>19</v>
      </c>
      <c r="AA4915" s="4">
        <v>89</v>
      </c>
      <c r="AB4915" s="4">
        <v>1</v>
      </c>
      <c r="AC4915" s="4">
        <v>14</v>
      </c>
      <c r="AD4915" s="4">
        <v>71</v>
      </c>
      <c r="AE4915" s="4">
        <v>152</v>
      </c>
      <c r="AF4915" s="4">
        <v>0</v>
      </c>
      <c r="AG4915" s="4">
        <v>8</v>
      </c>
      <c r="AH4915" s="4">
        <v>63</v>
      </c>
      <c r="AI4915" s="4">
        <v>113</v>
      </c>
      <c r="AJ4915" s="4">
        <v>10</v>
      </c>
      <c r="AK4915" s="4">
        <v>27</v>
      </c>
      <c r="AL4915" s="4">
        <v>36</v>
      </c>
      <c r="AM4915" s="4">
        <v>60</v>
      </c>
      <c r="AN4915" s="4">
        <v>0</v>
      </c>
      <c r="AO4915" s="4">
        <v>0</v>
      </c>
      <c r="AP4915" s="4">
        <v>16</v>
      </c>
      <c r="AQ4915" s="4">
        <v>48</v>
      </c>
      <c r="AR4915" s="3" t="s">
        <v>62</v>
      </c>
      <c r="AS4915" s="3" t="s">
        <v>62</v>
      </c>
      <c r="AT4915" s="3" t="s">
        <v>62</v>
      </c>
      <c r="AV4915" s="6" t="str">
        <f t="shared" si="48"/>
        <v>Catalog Record</v>
      </c>
      <c r="AW4915" s="6" t="str">
        <f t="shared" si="49"/>
        <v>WorldCat Record</v>
      </c>
      <c r="AX4915" s="3" t="s">
        <v>47047</v>
      </c>
      <c r="AY4915" s="3" t="s">
        <v>47048</v>
      </c>
      <c r="AZ4915" s="3" t="s">
        <v>47049</v>
      </c>
      <c r="BA4915" s="3" t="s">
        <v>47049</v>
      </c>
      <c r="BB4915" s="3" t="s">
        <v>47063</v>
      </c>
      <c r="BC4915" s="3" t="s">
        <v>142</v>
      </c>
      <c r="BD4915" s="3" t="s">
        <v>68</v>
      </c>
      <c r="BE4915" s="3" t="s">
        <v>47051</v>
      </c>
      <c r="BF4915" s="3" t="s">
        <v>47063</v>
      </c>
      <c r="BG4915" s="3" t="s">
        <v>47064</v>
      </c>
    </row>
    <row r="4916" spans="1:59" ht="57" x14ac:dyDescent="0.45">
      <c r="A4916" s="2" t="s">
        <v>59</v>
      </c>
      <c r="B4916" s="2" t="s">
        <v>60</v>
      </c>
      <c r="C4916" s="2" t="s">
        <v>47065</v>
      </c>
      <c r="D4916" s="2" t="s">
        <v>47066</v>
      </c>
      <c r="E4916" s="2" t="s">
        <v>47067</v>
      </c>
      <c r="G4916" s="3" t="s">
        <v>62</v>
      </c>
      <c r="I4916" s="3" t="s">
        <v>62</v>
      </c>
      <c r="J4916" s="3" t="s">
        <v>62</v>
      </c>
      <c r="K4916" s="3" t="s">
        <v>63</v>
      </c>
      <c r="M4916" s="2" t="s">
        <v>4509</v>
      </c>
      <c r="N4916" s="3" t="s">
        <v>1465</v>
      </c>
      <c r="P4916" s="3" t="s">
        <v>65</v>
      </c>
      <c r="R4916" s="3" t="s">
        <v>66</v>
      </c>
      <c r="S4916" s="4">
        <v>4</v>
      </c>
      <c r="T4916" s="4">
        <v>4</v>
      </c>
      <c r="U4916" s="5" t="s">
        <v>31271</v>
      </c>
      <c r="V4916" s="5" t="s">
        <v>31271</v>
      </c>
      <c r="W4916" s="5" t="s">
        <v>67</v>
      </c>
      <c r="X4916" s="5" t="s">
        <v>67</v>
      </c>
      <c r="Y4916" s="4">
        <v>157</v>
      </c>
      <c r="Z4916" s="4">
        <v>18</v>
      </c>
      <c r="AA4916" s="4">
        <v>26</v>
      </c>
      <c r="AB4916" s="4">
        <v>2</v>
      </c>
      <c r="AC4916" s="4">
        <v>6</v>
      </c>
      <c r="AD4916" s="4">
        <v>76</v>
      </c>
      <c r="AE4916" s="4">
        <v>89</v>
      </c>
      <c r="AF4916" s="4">
        <v>0</v>
      </c>
      <c r="AG4916" s="4">
        <v>2</v>
      </c>
      <c r="AH4916" s="4">
        <v>68</v>
      </c>
      <c r="AI4916" s="4">
        <v>76</v>
      </c>
      <c r="AJ4916" s="4">
        <v>10</v>
      </c>
      <c r="AK4916" s="4">
        <v>14</v>
      </c>
      <c r="AL4916" s="4">
        <v>41</v>
      </c>
      <c r="AM4916" s="4">
        <v>44</v>
      </c>
      <c r="AN4916" s="4">
        <v>0</v>
      </c>
      <c r="AO4916" s="4">
        <v>0</v>
      </c>
      <c r="AP4916" s="4">
        <v>14</v>
      </c>
      <c r="AQ4916" s="4">
        <v>19</v>
      </c>
      <c r="AR4916" s="3" t="s">
        <v>62</v>
      </c>
      <c r="AS4916" s="3" t="s">
        <v>62</v>
      </c>
      <c r="AT4916" s="3" t="s">
        <v>62</v>
      </c>
      <c r="AV4916" s="6" t="str">
        <f>HYPERLINK("http://mcgill.on.worldcat.org/oclc/232327396","Catalog Record")</f>
        <v>Catalog Record</v>
      </c>
      <c r="AW4916" s="6" t="str">
        <f>HYPERLINK("http://www.worldcat.org/oclc/232327396","WorldCat Record")</f>
        <v>WorldCat Record</v>
      </c>
      <c r="AX4916" s="3" t="s">
        <v>47068</v>
      </c>
      <c r="AY4916" s="3" t="s">
        <v>47069</v>
      </c>
      <c r="AZ4916" s="3" t="s">
        <v>47070</v>
      </c>
      <c r="BA4916" s="3" t="s">
        <v>47070</v>
      </c>
      <c r="BB4916" s="3" t="s">
        <v>47071</v>
      </c>
      <c r="BC4916" s="3" t="s">
        <v>142</v>
      </c>
      <c r="BD4916" s="3" t="s">
        <v>68</v>
      </c>
      <c r="BE4916" s="3" t="s">
        <v>47072</v>
      </c>
      <c r="BF4916" s="3" t="s">
        <v>47071</v>
      </c>
      <c r="BG4916" s="3" t="s">
        <v>47073</v>
      </c>
    </row>
    <row r="4917" spans="1:59" ht="57" x14ac:dyDescent="0.45">
      <c r="A4917" s="2" t="s">
        <v>59</v>
      </c>
      <c r="B4917" s="2" t="s">
        <v>60</v>
      </c>
      <c r="C4917" s="2" t="s">
        <v>47074</v>
      </c>
      <c r="D4917" s="2" t="s">
        <v>47075</v>
      </c>
      <c r="E4917" s="2" t="s">
        <v>47076</v>
      </c>
      <c r="G4917" s="3" t="s">
        <v>62</v>
      </c>
      <c r="I4917" s="3" t="s">
        <v>62</v>
      </c>
      <c r="J4917" s="3" t="s">
        <v>62</v>
      </c>
      <c r="K4917" s="3" t="s">
        <v>63</v>
      </c>
      <c r="M4917" s="2" t="s">
        <v>47077</v>
      </c>
      <c r="N4917" s="3" t="s">
        <v>1059</v>
      </c>
      <c r="P4917" s="3" t="s">
        <v>65</v>
      </c>
      <c r="R4917" s="3" t="s">
        <v>66</v>
      </c>
      <c r="S4917" s="4">
        <v>2</v>
      </c>
      <c r="T4917" s="4">
        <v>2</v>
      </c>
      <c r="U4917" s="5" t="s">
        <v>33227</v>
      </c>
      <c r="V4917" s="5" t="s">
        <v>33227</v>
      </c>
      <c r="W4917" s="5" t="s">
        <v>67</v>
      </c>
      <c r="X4917" s="5" t="s">
        <v>67</v>
      </c>
      <c r="Y4917" s="4">
        <v>243</v>
      </c>
      <c r="Z4917" s="4">
        <v>17</v>
      </c>
      <c r="AA4917" s="4">
        <v>97</v>
      </c>
      <c r="AB4917" s="4">
        <v>2</v>
      </c>
      <c r="AC4917" s="4">
        <v>18</v>
      </c>
      <c r="AD4917" s="4">
        <v>91</v>
      </c>
      <c r="AE4917" s="4">
        <v>147</v>
      </c>
      <c r="AF4917" s="4">
        <v>1</v>
      </c>
      <c r="AG4917" s="4">
        <v>9</v>
      </c>
      <c r="AH4917" s="4">
        <v>84</v>
      </c>
      <c r="AI4917" s="4">
        <v>98</v>
      </c>
      <c r="AJ4917" s="4">
        <v>13</v>
      </c>
      <c r="AK4917" s="4">
        <v>27</v>
      </c>
      <c r="AL4917" s="4">
        <v>52</v>
      </c>
      <c r="AM4917" s="4">
        <v>56</v>
      </c>
      <c r="AN4917" s="4">
        <v>0</v>
      </c>
      <c r="AO4917" s="4">
        <v>0</v>
      </c>
      <c r="AP4917" s="4">
        <v>14</v>
      </c>
      <c r="AQ4917" s="4">
        <v>56</v>
      </c>
      <c r="AR4917" s="3" t="s">
        <v>62</v>
      </c>
      <c r="AS4917" s="3" t="s">
        <v>62</v>
      </c>
      <c r="AT4917" s="3" t="s">
        <v>62</v>
      </c>
      <c r="AV4917" s="6" t="str">
        <f>HYPERLINK("http://mcgill.on.worldcat.org/oclc/70059792","Catalog Record")</f>
        <v>Catalog Record</v>
      </c>
      <c r="AW4917" s="6" t="str">
        <f>HYPERLINK("http://www.worldcat.org/oclc/70059792","WorldCat Record")</f>
        <v>WorldCat Record</v>
      </c>
      <c r="AX4917" s="3" t="s">
        <v>47078</v>
      </c>
      <c r="AY4917" s="3" t="s">
        <v>47079</v>
      </c>
      <c r="AZ4917" s="3" t="s">
        <v>47080</v>
      </c>
      <c r="BA4917" s="3" t="s">
        <v>47080</v>
      </c>
      <c r="BB4917" s="3" t="s">
        <v>47081</v>
      </c>
      <c r="BC4917" s="3" t="s">
        <v>142</v>
      </c>
      <c r="BD4917" s="3" t="s">
        <v>68</v>
      </c>
      <c r="BE4917" s="3" t="s">
        <v>47082</v>
      </c>
      <c r="BF4917" s="3" t="s">
        <v>47081</v>
      </c>
      <c r="BG4917" s="3" t="s">
        <v>47083</v>
      </c>
    </row>
    <row r="4918" spans="1:59" ht="57" x14ac:dyDescent="0.45">
      <c r="A4918" s="2" t="s">
        <v>59</v>
      </c>
      <c r="B4918" s="2" t="s">
        <v>60</v>
      </c>
      <c r="C4918" s="2" t="s">
        <v>47084</v>
      </c>
      <c r="D4918" s="2" t="s">
        <v>47085</v>
      </c>
      <c r="E4918" s="2" t="s">
        <v>47086</v>
      </c>
      <c r="G4918" s="3" t="s">
        <v>62</v>
      </c>
      <c r="I4918" s="3" t="s">
        <v>62</v>
      </c>
      <c r="J4918" s="3" t="s">
        <v>62</v>
      </c>
      <c r="K4918" s="3" t="s">
        <v>63</v>
      </c>
      <c r="L4918" s="2" t="s">
        <v>17329</v>
      </c>
      <c r="M4918" s="2" t="s">
        <v>47087</v>
      </c>
      <c r="N4918" s="3" t="s">
        <v>1855</v>
      </c>
      <c r="P4918" s="3" t="s">
        <v>65</v>
      </c>
      <c r="R4918" s="3" t="s">
        <v>66</v>
      </c>
      <c r="S4918" s="4">
        <v>7</v>
      </c>
      <c r="T4918" s="4">
        <v>7</v>
      </c>
      <c r="U4918" s="5" t="s">
        <v>47088</v>
      </c>
      <c r="V4918" s="5" t="s">
        <v>47088</v>
      </c>
      <c r="W4918" s="5" t="s">
        <v>67</v>
      </c>
      <c r="X4918" s="5" t="s">
        <v>67</v>
      </c>
      <c r="Y4918" s="4">
        <v>209</v>
      </c>
      <c r="Z4918" s="4">
        <v>20</v>
      </c>
      <c r="AA4918" s="4">
        <v>28</v>
      </c>
      <c r="AB4918" s="4">
        <v>2</v>
      </c>
      <c r="AC4918" s="4">
        <v>6</v>
      </c>
      <c r="AD4918" s="4">
        <v>87</v>
      </c>
      <c r="AE4918" s="4">
        <v>104</v>
      </c>
      <c r="AF4918" s="4">
        <v>1</v>
      </c>
      <c r="AG4918" s="4">
        <v>2</v>
      </c>
      <c r="AH4918" s="4">
        <v>77</v>
      </c>
      <c r="AI4918" s="4">
        <v>91</v>
      </c>
      <c r="AJ4918" s="4">
        <v>16</v>
      </c>
      <c r="AK4918" s="4">
        <v>18</v>
      </c>
      <c r="AL4918" s="4">
        <v>46</v>
      </c>
      <c r="AM4918" s="4">
        <v>51</v>
      </c>
      <c r="AN4918" s="4">
        <v>0</v>
      </c>
      <c r="AO4918" s="4">
        <v>0</v>
      </c>
      <c r="AP4918" s="4">
        <v>17</v>
      </c>
      <c r="AQ4918" s="4">
        <v>22</v>
      </c>
      <c r="AR4918" s="3" t="s">
        <v>62</v>
      </c>
      <c r="AS4918" s="3" t="s">
        <v>62</v>
      </c>
      <c r="AT4918" s="3" t="s">
        <v>62</v>
      </c>
      <c r="AV4918" s="6" t="str">
        <f>HYPERLINK("http://mcgill.on.worldcat.org/oclc/60776787","Catalog Record")</f>
        <v>Catalog Record</v>
      </c>
      <c r="AW4918" s="6" t="str">
        <f>HYPERLINK("http://www.worldcat.org/oclc/60776787","WorldCat Record")</f>
        <v>WorldCat Record</v>
      </c>
      <c r="AX4918" s="3" t="s">
        <v>47089</v>
      </c>
      <c r="AY4918" s="3" t="s">
        <v>47090</v>
      </c>
      <c r="AZ4918" s="3" t="s">
        <v>47091</v>
      </c>
      <c r="BA4918" s="3" t="s">
        <v>47091</v>
      </c>
      <c r="BB4918" s="3" t="s">
        <v>47092</v>
      </c>
      <c r="BC4918" s="3" t="s">
        <v>142</v>
      </c>
      <c r="BD4918" s="3" t="s">
        <v>308</v>
      </c>
      <c r="BE4918" s="3" t="s">
        <v>47093</v>
      </c>
      <c r="BF4918" s="3" t="s">
        <v>47092</v>
      </c>
      <c r="BG4918" s="3" t="s">
        <v>47094</v>
      </c>
    </row>
    <row r="4919" spans="1:59" ht="57" x14ac:dyDescent="0.45">
      <c r="A4919" s="2" t="s">
        <v>59</v>
      </c>
      <c r="B4919" s="2" t="s">
        <v>60</v>
      </c>
      <c r="C4919" s="2" t="s">
        <v>47095</v>
      </c>
      <c r="D4919" s="2" t="s">
        <v>47096</v>
      </c>
      <c r="E4919" s="2" t="s">
        <v>47097</v>
      </c>
      <c r="G4919" s="3" t="s">
        <v>62</v>
      </c>
      <c r="I4919" s="3" t="s">
        <v>62</v>
      </c>
      <c r="J4919" s="3" t="s">
        <v>62</v>
      </c>
      <c r="K4919" s="3" t="s">
        <v>63</v>
      </c>
      <c r="M4919" s="2" t="s">
        <v>9187</v>
      </c>
      <c r="N4919" s="3" t="s">
        <v>894</v>
      </c>
      <c r="P4919" s="3" t="s">
        <v>65</v>
      </c>
      <c r="Q4919" s="2" t="s">
        <v>3949</v>
      </c>
      <c r="R4919" s="3" t="s">
        <v>66</v>
      </c>
      <c r="S4919" s="4">
        <v>2</v>
      </c>
      <c r="T4919" s="4">
        <v>2</v>
      </c>
      <c r="U4919" s="5" t="s">
        <v>36884</v>
      </c>
      <c r="V4919" s="5" t="s">
        <v>36884</v>
      </c>
      <c r="W4919" s="5" t="s">
        <v>67</v>
      </c>
      <c r="X4919" s="5" t="s">
        <v>67</v>
      </c>
      <c r="Y4919" s="4">
        <v>147</v>
      </c>
      <c r="Z4919" s="4">
        <v>13</v>
      </c>
      <c r="AA4919" s="4">
        <v>26</v>
      </c>
      <c r="AB4919" s="4">
        <v>1</v>
      </c>
      <c r="AC4919" s="4">
        <v>4</v>
      </c>
      <c r="AD4919" s="4">
        <v>60</v>
      </c>
      <c r="AE4919" s="4">
        <v>85</v>
      </c>
      <c r="AF4919" s="4">
        <v>0</v>
      </c>
      <c r="AG4919" s="4">
        <v>2</v>
      </c>
      <c r="AH4919" s="4">
        <v>55</v>
      </c>
      <c r="AI4919" s="4">
        <v>74</v>
      </c>
      <c r="AJ4919" s="4">
        <v>10</v>
      </c>
      <c r="AK4919" s="4">
        <v>17</v>
      </c>
      <c r="AL4919" s="4">
        <v>35</v>
      </c>
      <c r="AM4919" s="4">
        <v>44</v>
      </c>
      <c r="AN4919" s="4">
        <v>0</v>
      </c>
      <c r="AO4919" s="4">
        <v>0</v>
      </c>
      <c r="AP4919" s="4">
        <v>12</v>
      </c>
      <c r="AQ4919" s="4">
        <v>21</v>
      </c>
      <c r="AR4919" s="3" t="s">
        <v>62</v>
      </c>
      <c r="AS4919" s="3" t="s">
        <v>62</v>
      </c>
      <c r="AT4919" s="3" t="s">
        <v>62</v>
      </c>
      <c r="AV4919" s="6" t="str">
        <f>HYPERLINK("http://mcgill.on.worldcat.org/oclc/646393860","Catalog Record")</f>
        <v>Catalog Record</v>
      </c>
      <c r="AW4919" s="6" t="str">
        <f>HYPERLINK("http://www.worldcat.org/oclc/646393860","WorldCat Record")</f>
        <v>WorldCat Record</v>
      </c>
      <c r="AX4919" s="3" t="s">
        <v>47098</v>
      </c>
      <c r="AY4919" s="3" t="s">
        <v>47099</v>
      </c>
      <c r="AZ4919" s="3" t="s">
        <v>47100</v>
      </c>
      <c r="BA4919" s="3" t="s">
        <v>47100</v>
      </c>
      <c r="BB4919" s="3" t="s">
        <v>47101</v>
      </c>
      <c r="BC4919" s="3" t="s">
        <v>142</v>
      </c>
      <c r="BD4919" s="3" t="s">
        <v>68</v>
      </c>
      <c r="BE4919" s="3" t="s">
        <v>47102</v>
      </c>
      <c r="BF4919" s="3" t="s">
        <v>47101</v>
      </c>
      <c r="BG4919" s="3" t="s">
        <v>47103</v>
      </c>
    </row>
    <row r="4920" spans="1:59" ht="57" x14ac:dyDescent="0.45">
      <c r="A4920" s="2" t="s">
        <v>59</v>
      </c>
      <c r="B4920" s="2" t="s">
        <v>60</v>
      </c>
      <c r="C4920" s="2" t="s">
        <v>47104</v>
      </c>
      <c r="D4920" s="2" t="s">
        <v>47105</v>
      </c>
      <c r="E4920" s="2" t="s">
        <v>47106</v>
      </c>
      <c r="G4920" s="3" t="s">
        <v>62</v>
      </c>
      <c r="I4920" s="3" t="s">
        <v>62</v>
      </c>
      <c r="J4920" s="3" t="s">
        <v>62</v>
      </c>
      <c r="K4920" s="3" t="s">
        <v>63</v>
      </c>
      <c r="M4920" s="2" t="s">
        <v>47107</v>
      </c>
      <c r="N4920" s="3" t="s">
        <v>149</v>
      </c>
      <c r="P4920" s="3" t="s">
        <v>65</v>
      </c>
      <c r="Q4920" s="2" t="s">
        <v>47108</v>
      </c>
      <c r="R4920" s="3" t="s">
        <v>66</v>
      </c>
      <c r="S4920" s="4">
        <v>1</v>
      </c>
      <c r="T4920" s="4">
        <v>1</v>
      </c>
      <c r="U4920" s="5" t="s">
        <v>6786</v>
      </c>
      <c r="V4920" s="5" t="s">
        <v>6786</v>
      </c>
      <c r="W4920" s="5" t="s">
        <v>67</v>
      </c>
      <c r="X4920" s="5" t="s">
        <v>67</v>
      </c>
      <c r="Y4920" s="4">
        <v>68</v>
      </c>
      <c r="Z4920" s="4">
        <v>6</v>
      </c>
      <c r="AA4920" s="4">
        <v>89</v>
      </c>
      <c r="AB4920" s="4">
        <v>1</v>
      </c>
      <c r="AC4920" s="4">
        <v>17</v>
      </c>
      <c r="AD4920" s="4">
        <v>32</v>
      </c>
      <c r="AE4920" s="4">
        <v>110</v>
      </c>
      <c r="AF4920" s="4">
        <v>0</v>
      </c>
      <c r="AG4920" s="4">
        <v>8</v>
      </c>
      <c r="AH4920" s="4">
        <v>31</v>
      </c>
      <c r="AI4920" s="4">
        <v>74</v>
      </c>
      <c r="AJ4920" s="4">
        <v>4</v>
      </c>
      <c r="AK4920" s="4">
        <v>22</v>
      </c>
      <c r="AL4920" s="4">
        <v>21</v>
      </c>
      <c r="AM4920" s="4">
        <v>39</v>
      </c>
      <c r="AN4920" s="4">
        <v>0</v>
      </c>
      <c r="AO4920" s="4">
        <v>0</v>
      </c>
      <c r="AP4920" s="4">
        <v>4</v>
      </c>
      <c r="AQ4920" s="4">
        <v>43</v>
      </c>
      <c r="AR4920" s="3" t="s">
        <v>62</v>
      </c>
      <c r="AS4920" s="3" t="s">
        <v>62</v>
      </c>
      <c r="AT4920" s="3" t="s">
        <v>62</v>
      </c>
      <c r="AV4920" s="6" t="str">
        <f>HYPERLINK("http://mcgill.on.worldcat.org/oclc/618326309","Catalog Record")</f>
        <v>Catalog Record</v>
      </c>
      <c r="AW4920" s="6" t="str">
        <f>HYPERLINK("http://www.worldcat.org/oclc/618326309","WorldCat Record")</f>
        <v>WorldCat Record</v>
      </c>
      <c r="AX4920" s="3" t="s">
        <v>47109</v>
      </c>
      <c r="AY4920" s="3" t="s">
        <v>47110</v>
      </c>
      <c r="AZ4920" s="3" t="s">
        <v>47111</v>
      </c>
      <c r="BA4920" s="3" t="s">
        <v>47111</v>
      </c>
      <c r="BB4920" s="3" t="s">
        <v>47112</v>
      </c>
      <c r="BC4920" s="3" t="s">
        <v>142</v>
      </c>
      <c r="BD4920" s="3" t="s">
        <v>68</v>
      </c>
      <c r="BE4920" s="3" t="s">
        <v>47113</v>
      </c>
      <c r="BF4920" s="3" t="s">
        <v>47112</v>
      </c>
      <c r="BG4920" s="3" t="s">
        <v>47114</v>
      </c>
    </row>
    <row r="4921" spans="1:59" ht="57" x14ac:dyDescent="0.45">
      <c r="A4921" s="2" t="s">
        <v>59</v>
      </c>
      <c r="B4921" s="2" t="s">
        <v>60</v>
      </c>
      <c r="C4921" s="2" t="s">
        <v>47115</v>
      </c>
      <c r="D4921" s="2" t="s">
        <v>47116</v>
      </c>
      <c r="E4921" s="2" t="s">
        <v>47117</v>
      </c>
      <c r="G4921" s="3" t="s">
        <v>62</v>
      </c>
      <c r="I4921" s="3" t="s">
        <v>62</v>
      </c>
      <c r="J4921" s="3" t="s">
        <v>62</v>
      </c>
      <c r="K4921" s="3" t="s">
        <v>63</v>
      </c>
      <c r="M4921" s="2" t="s">
        <v>2739</v>
      </c>
      <c r="N4921" s="3" t="s">
        <v>149</v>
      </c>
      <c r="P4921" s="3" t="s">
        <v>65</v>
      </c>
      <c r="Q4921" s="2" t="s">
        <v>47118</v>
      </c>
      <c r="R4921" s="3" t="s">
        <v>66</v>
      </c>
      <c r="S4921" s="4">
        <v>2</v>
      </c>
      <c r="T4921" s="4">
        <v>2</v>
      </c>
      <c r="U4921" s="5" t="s">
        <v>47119</v>
      </c>
      <c r="V4921" s="5" t="s">
        <v>47119</v>
      </c>
      <c r="W4921" s="5" t="s">
        <v>67</v>
      </c>
      <c r="X4921" s="5" t="s">
        <v>67</v>
      </c>
      <c r="Y4921" s="4">
        <v>82</v>
      </c>
      <c r="Z4921" s="4">
        <v>10</v>
      </c>
      <c r="AA4921" s="4">
        <v>91</v>
      </c>
      <c r="AB4921" s="4">
        <v>1</v>
      </c>
      <c r="AC4921" s="4">
        <v>18</v>
      </c>
      <c r="AD4921" s="4">
        <v>41</v>
      </c>
      <c r="AE4921" s="4">
        <v>113</v>
      </c>
      <c r="AF4921" s="4">
        <v>0</v>
      </c>
      <c r="AG4921" s="4">
        <v>8</v>
      </c>
      <c r="AH4921" s="4">
        <v>37</v>
      </c>
      <c r="AI4921" s="4">
        <v>77</v>
      </c>
      <c r="AJ4921" s="4">
        <v>8</v>
      </c>
      <c r="AK4921" s="4">
        <v>23</v>
      </c>
      <c r="AL4921" s="4">
        <v>25</v>
      </c>
      <c r="AM4921" s="4">
        <v>40</v>
      </c>
      <c r="AN4921" s="4">
        <v>0</v>
      </c>
      <c r="AO4921" s="4">
        <v>0</v>
      </c>
      <c r="AP4921" s="4">
        <v>8</v>
      </c>
      <c r="AQ4921" s="4">
        <v>44</v>
      </c>
      <c r="AR4921" s="3" t="s">
        <v>62</v>
      </c>
      <c r="AS4921" s="3" t="s">
        <v>62</v>
      </c>
      <c r="AT4921" s="3" t="s">
        <v>62</v>
      </c>
      <c r="AV4921" s="6" t="str">
        <f>HYPERLINK("http://mcgill.on.worldcat.org/oclc/519836332","Catalog Record")</f>
        <v>Catalog Record</v>
      </c>
      <c r="AW4921" s="6" t="str">
        <f>HYPERLINK("http://www.worldcat.org/oclc/519836332","WorldCat Record")</f>
        <v>WorldCat Record</v>
      </c>
      <c r="AX4921" s="3" t="s">
        <v>47120</v>
      </c>
      <c r="AY4921" s="3" t="s">
        <v>47121</v>
      </c>
      <c r="AZ4921" s="3" t="s">
        <v>47122</v>
      </c>
      <c r="BA4921" s="3" t="s">
        <v>47122</v>
      </c>
      <c r="BB4921" s="3" t="s">
        <v>47123</v>
      </c>
      <c r="BC4921" s="3" t="s">
        <v>142</v>
      </c>
      <c r="BD4921" s="3" t="s">
        <v>68</v>
      </c>
      <c r="BE4921" s="3" t="s">
        <v>47124</v>
      </c>
      <c r="BF4921" s="3" t="s">
        <v>47123</v>
      </c>
      <c r="BG4921" s="3" t="s">
        <v>47125</v>
      </c>
    </row>
    <row r="4922" spans="1:59" ht="85.5" x14ac:dyDescent="0.45">
      <c r="A4922" s="2" t="s">
        <v>59</v>
      </c>
      <c r="B4922" s="2" t="s">
        <v>60</v>
      </c>
      <c r="C4922" s="2" t="s">
        <v>47126</v>
      </c>
      <c r="D4922" s="2" t="s">
        <v>47127</v>
      </c>
      <c r="E4922" s="2" t="s">
        <v>47128</v>
      </c>
      <c r="G4922" s="3" t="s">
        <v>62</v>
      </c>
      <c r="I4922" s="3" t="s">
        <v>62</v>
      </c>
      <c r="J4922" s="3" t="s">
        <v>62</v>
      </c>
      <c r="K4922" s="3" t="s">
        <v>63</v>
      </c>
      <c r="L4922" s="2" t="s">
        <v>47129</v>
      </c>
      <c r="M4922" s="2" t="s">
        <v>11054</v>
      </c>
      <c r="N4922" s="3" t="s">
        <v>5180</v>
      </c>
      <c r="P4922" s="3" t="s">
        <v>182</v>
      </c>
      <c r="Q4922" s="2" t="s">
        <v>47130</v>
      </c>
      <c r="R4922" s="3" t="s">
        <v>66</v>
      </c>
      <c r="S4922" s="4">
        <v>0</v>
      </c>
      <c r="T4922" s="4">
        <v>0</v>
      </c>
      <c r="W4922" s="5" t="s">
        <v>67</v>
      </c>
      <c r="X4922" s="5" t="s">
        <v>67</v>
      </c>
      <c r="Y4922" s="4">
        <v>14</v>
      </c>
      <c r="Z4922" s="4">
        <v>1</v>
      </c>
      <c r="AA4922" s="4">
        <v>1</v>
      </c>
      <c r="AB4922" s="4">
        <v>1</v>
      </c>
      <c r="AC4922" s="4">
        <v>1</v>
      </c>
      <c r="AD4922" s="4">
        <v>7</v>
      </c>
      <c r="AE4922" s="4">
        <v>7</v>
      </c>
      <c r="AF4922" s="4">
        <v>0</v>
      </c>
      <c r="AG4922" s="4">
        <v>0</v>
      </c>
      <c r="AH4922" s="4">
        <v>7</v>
      </c>
      <c r="AI4922" s="4">
        <v>7</v>
      </c>
      <c r="AJ4922" s="4">
        <v>0</v>
      </c>
      <c r="AK4922" s="4">
        <v>0</v>
      </c>
      <c r="AL4922" s="4">
        <v>6</v>
      </c>
      <c r="AM4922" s="4">
        <v>6</v>
      </c>
      <c r="AN4922" s="4">
        <v>0</v>
      </c>
      <c r="AO4922" s="4">
        <v>0</v>
      </c>
      <c r="AP4922" s="4">
        <v>0</v>
      </c>
      <c r="AQ4922" s="4">
        <v>0</v>
      </c>
      <c r="AR4922" s="3" t="s">
        <v>62</v>
      </c>
      <c r="AS4922" s="3" t="s">
        <v>62</v>
      </c>
      <c r="AT4922" s="3" t="s">
        <v>62</v>
      </c>
      <c r="AV4922" s="6" t="str">
        <f>HYPERLINK("http://mcgill.on.worldcat.org/oclc/1033578182","Catalog Record")</f>
        <v>Catalog Record</v>
      </c>
      <c r="AW4922" s="6" t="str">
        <f>HYPERLINK("http://www.worldcat.org/oclc/1033578182","WorldCat Record")</f>
        <v>WorldCat Record</v>
      </c>
      <c r="AX4922" s="3" t="s">
        <v>47131</v>
      </c>
      <c r="AY4922" s="3" t="s">
        <v>47132</v>
      </c>
      <c r="AZ4922" s="3" t="s">
        <v>47133</v>
      </c>
      <c r="BA4922" s="3" t="s">
        <v>47133</v>
      </c>
      <c r="BB4922" s="3" t="s">
        <v>47134</v>
      </c>
      <c r="BC4922" s="3" t="s">
        <v>142</v>
      </c>
      <c r="BD4922" s="3" t="s">
        <v>68</v>
      </c>
      <c r="BE4922" s="3" t="s">
        <v>47135</v>
      </c>
      <c r="BF4922" s="3" t="s">
        <v>47134</v>
      </c>
      <c r="BG4922" s="3" t="s">
        <v>47136</v>
      </c>
    </row>
    <row r="4923" spans="1:59" ht="57" x14ac:dyDescent="0.45">
      <c r="A4923" s="2" t="s">
        <v>59</v>
      </c>
      <c r="B4923" s="2" t="s">
        <v>60</v>
      </c>
      <c r="C4923" s="2" t="s">
        <v>47137</v>
      </c>
      <c r="D4923" s="2" t="s">
        <v>47138</v>
      </c>
      <c r="E4923" s="2" t="s">
        <v>47139</v>
      </c>
      <c r="G4923" s="3" t="s">
        <v>62</v>
      </c>
      <c r="I4923" s="3" t="s">
        <v>62</v>
      </c>
      <c r="J4923" s="3" t="s">
        <v>62</v>
      </c>
      <c r="K4923" s="3" t="s">
        <v>63</v>
      </c>
      <c r="M4923" s="2" t="s">
        <v>47140</v>
      </c>
      <c r="N4923" s="3" t="s">
        <v>583</v>
      </c>
      <c r="P4923" s="3" t="s">
        <v>65</v>
      </c>
      <c r="R4923" s="3" t="s">
        <v>66</v>
      </c>
      <c r="S4923" s="4">
        <v>10</v>
      </c>
      <c r="T4923" s="4">
        <v>10</v>
      </c>
      <c r="U4923" s="5" t="s">
        <v>6177</v>
      </c>
      <c r="V4923" s="5" t="s">
        <v>6177</v>
      </c>
      <c r="W4923" s="5" t="s">
        <v>67</v>
      </c>
      <c r="X4923" s="5" t="s">
        <v>67</v>
      </c>
      <c r="Y4923" s="4">
        <v>267</v>
      </c>
      <c r="Z4923" s="4">
        <v>11</v>
      </c>
      <c r="AA4923" s="4">
        <v>22</v>
      </c>
      <c r="AB4923" s="4">
        <v>1</v>
      </c>
      <c r="AC4923" s="4">
        <v>4</v>
      </c>
      <c r="AD4923" s="4">
        <v>98</v>
      </c>
      <c r="AE4923" s="4">
        <v>110</v>
      </c>
      <c r="AF4923" s="4">
        <v>0</v>
      </c>
      <c r="AG4923" s="4">
        <v>3</v>
      </c>
      <c r="AH4923" s="4">
        <v>88</v>
      </c>
      <c r="AI4923" s="4">
        <v>97</v>
      </c>
      <c r="AJ4923" s="4">
        <v>8</v>
      </c>
      <c r="AK4923" s="4">
        <v>16</v>
      </c>
      <c r="AL4923" s="4">
        <v>49</v>
      </c>
      <c r="AM4923" s="4">
        <v>52</v>
      </c>
      <c r="AN4923" s="4">
        <v>0</v>
      </c>
      <c r="AO4923" s="4">
        <v>0</v>
      </c>
      <c r="AP4923" s="4">
        <v>10</v>
      </c>
      <c r="AQ4923" s="4">
        <v>18</v>
      </c>
      <c r="AR4923" s="3" t="s">
        <v>62</v>
      </c>
      <c r="AS4923" s="3" t="s">
        <v>62</v>
      </c>
      <c r="AT4923" s="3" t="s">
        <v>61</v>
      </c>
      <c r="AU4923" s="6" t="str">
        <f>HYPERLINK("http://catalog.hathitrust.org/Record/000216334","HathiTrust Record")</f>
        <v>HathiTrust Record</v>
      </c>
      <c r="AV4923" s="6" t="str">
        <f>HYPERLINK("http://mcgill.on.worldcat.org/oclc/4204075","Catalog Record")</f>
        <v>Catalog Record</v>
      </c>
      <c r="AW4923" s="6" t="str">
        <f>HYPERLINK("http://www.worldcat.org/oclc/4204075","WorldCat Record")</f>
        <v>WorldCat Record</v>
      </c>
      <c r="AX4923" s="3" t="s">
        <v>47141</v>
      </c>
      <c r="AY4923" s="3" t="s">
        <v>47142</v>
      </c>
      <c r="AZ4923" s="3" t="s">
        <v>47143</v>
      </c>
      <c r="BA4923" s="3" t="s">
        <v>47143</v>
      </c>
      <c r="BB4923" s="3" t="s">
        <v>47144</v>
      </c>
      <c r="BC4923" s="3" t="s">
        <v>142</v>
      </c>
      <c r="BD4923" s="3" t="s">
        <v>68</v>
      </c>
      <c r="BE4923" s="3" t="s">
        <v>47145</v>
      </c>
      <c r="BF4923" s="3" t="s">
        <v>47144</v>
      </c>
      <c r="BG4923" s="3" t="s">
        <v>47146</v>
      </c>
    </row>
    <row r="4924" spans="1:59" ht="57" x14ac:dyDescent="0.45">
      <c r="A4924" s="2" t="s">
        <v>59</v>
      </c>
      <c r="B4924" s="2" t="s">
        <v>60</v>
      </c>
      <c r="C4924" s="2" t="s">
        <v>47147</v>
      </c>
      <c r="D4924" s="2" t="s">
        <v>47148</v>
      </c>
      <c r="E4924" s="2" t="s">
        <v>47149</v>
      </c>
      <c r="F4924" s="3" t="s">
        <v>488</v>
      </c>
      <c r="G4924" s="3" t="s">
        <v>61</v>
      </c>
      <c r="I4924" s="3" t="s">
        <v>62</v>
      </c>
      <c r="J4924" s="3" t="s">
        <v>62</v>
      </c>
      <c r="K4924" s="3" t="s">
        <v>63</v>
      </c>
      <c r="M4924" s="2" t="s">
        <v>47150</v>
      </c>
      <c r="N4924" s="3" t="s">
        <v>583</v>
      </c>
      <c r="P4924" s="3" t="s">
        <v>65</v>
      </c>
      <c r="R4924" s="3" t="s">
        <v>66</v>
      </c>
      <c r="S4924" s="4">
        <v>8</v>
      </c>
      <c r="T4924" s="4">
        <v>51</v>
      </c>
      <c r="U4924" s="5" t="s">
        <v>47151</v>
      </c>
      <c r="V4924" s="5" t="s">
        <v>9157</v>
      </c>
      <c r="W4924" s="5" t="s">
        <v>67</v>
      </c>
      <c r="X4924" s="5" t="s">
        <v>67</v>
      </c>
      <c r="Y4924" s="4">
        <v>556</v>
      </c>
      <c r="Z4924" s="4">
        <v>31</v>
      </c>
      <c r="AA4924" s="4">
        <v>36</v>
      </c>
      <c r="AB4924" s="4">
        <v>2</v>
      </c>
      <c r="AC4924" s="4">
        <v>6</v>
      </c>
      <c r="AD4924" s="4">
        <v>131</v>
      </c>
      <c r="AE4924" s="4">
        <v>136</v>
      </c>
      <c r="AF4924" s="4">
        <v>1</v>
      </c>
      <c r="AG4924" s="4">
        <v>5</v>
      </c>
      <c r="AH4924" s="4">
        <v>112</v>
      </c>
      <c r="AI4924" s="4">
        <v>113</v>
      </c>
      <c r="AJ4924" s="4">
        <v>20</v>
      </c>
      <c r="AK4924" s="4">
        <v>24</v>
      </c>
      <c r="AL4924" s="4">
        <v>58</v>
      </c>
      <c r="AM4924" s="4">
        <v>58</v>
      </c>
      <c r="AN4924" s="4">
        <v>0</v>
      </c>
      <c r="AO4924" s="4">
        <v>0</v>
      </c>
      <c r="AP4924" s="4">
        <v>28</v>
      </c>
      <c r="AQ4924" s="4">
        <v>32</v>
      </c>
      <c r="AR4924" s="3" t="s">
        <v>62</v>
      </c>
      <c r="AS4924" s="3" t="s">
        <v>62</v>
      </c>
      <c r="AT4924" s="3" t="s">
        <v>62</v>
      </c>
      <c r="AV4924" s="6" t="str">
        <f>HYPERLINK("http://mcgill.on.worldcat.org/oclc/4180065","Catalog Record")</f>
        <v>Catalog Record</v>
      </c>
      <c r="AW4924" s="6" t="str">
        <f>HYPERLINK("http://www.worldcat.org/oclc/4180065","WorldCat Record")</f>
        <v>WorldCat Record</v>
      </c>
      <c r="AX4924" s="3" t="s">
        <v>47152</v>
      </c>
      <c r="AY4924" s="3" t="s">
        <v>47153</v>
      </c>
      <c r="AZ4924" s="3" t="s">
        <v>47154</v>
      </c>
      <c r="BA4924" s="3" t="s">
        <v>47154</v>
      </c>
      <c r="BB4924" s="3" t="s">
        <v>47155</v>
      </c>
      <c r="BC4924" s="3" t="s">
        <v>142</v>
      </c>
      <c r="BD4924" s="3" t="s">
        <v>68</v>
      </c>
      <c r="BE4924" s="3" t="s">
        <v>47156</v>
      </c>
      <c r="BF4924" s="3" t="s">
        <v>47155</v>
      </c>
      <c r="BG4924" s="3" t="s">
        <v>47157</v>
      </c>
    </row>
    <row r="4925" spans="1:59" ht="57" x14ac:dyDescent="0.45">
      <c r="A4925" s="2" t="s">
        <v>59</v>
      </c>
      <c r="B4925" s="2" t="s">
        <v>60</v>
      </c>
      <c r="C4925" s="2" t="s">
        <v>47147</v>
      </c>
      <c r="D4925" s="2" t="s">
        <v>47148</v>
      </c>
      <c r="E4925" s="2" t="s">
        <v>47149</v>
      </c>
      <c r="F4925" s="3" t="s">
        <v>478</v>
      </c>
      <c r="G4925" s="3" t="s">
        <v>61</v>
      </c>
      <c r="I4925" s="3" t="s">
        <v>62</v>
      </c>
      <c r="J4925" s="3" t="s">
        <v>62</v>
      </c>
      <c r="K4925" s="3" t="s">
        <v>63</v>
      </c>
      <c r="M4925" s="2" t="s">
        <v>47150</v>
      </c>
      <c r="N4925" s="3" t="s">
        <v>583</v>
      </c>
      <c r="P4925" s="3" t="s">
        <v>65</v>
      </c>
      <c r="R4925" s="3" t="s">
        <v>66</v>
      </c>
      <c r="S4925" s="4">
        <v>17</v>
      </c>
      <c r="T4925" s="4">
        <v>51</v>
      </c>
      <c r="U4925" s="5" t="s">
        <v>9157</v>
      </c>
      <c r="V4925" s="5" t="s">
        <v>9157</v>
      </c>
      <c r="W4925" s="5" t="s">
        <v>67</v>
      </c>
      <c r="X4925" s="5" t="s">
        <v>67</v>
      </c>
      <c r="Y4925" s="4">
        <v>556</v>
      </c>
      <c r="Z4925" s="4">
        <v>31</v>
      </c>
      <c r="AA4925" s="4">
        <v>36</v>
      </c>
      <c r="AB4925" s="4">
        <v>2</v>
      </c>
      <c r="AC4925" s="4">
        <v>6</v>
      </c>
      <c r="AD4925" s="4">
        <v>131</v>
      </c>
      <c r="AE4925" s="4">
        <v>136</v>
      </c>
      <c r="AF4925" s="4">
        <v>1</v>
      </c>
      <c r="AG4925" s="4">
        <v>5</v>
      </c>
      <c r="AH4925" s="4">
        <v>112</v>
      </c>
      <c r="AI4925" s="4">
        <v>113</v>
      </c>
      <c r="AJ4925" s="4">
        <v>20</v>
      </c>
      <c r="AK4925" s="4">
        <v>24</v>
      </c>
      <c r="AL4925" s="4">
        <v>58</v>
      </c>
      <c r="AM4925" s="4">
        <v>58</v>
      </c>
      <c r="AN4925" s="4">
        <v>0</v>
      </c>
      <c r="AO4925" s="4">
        <v>0</v>
      </c>
      <c r="AP4925" s="4">
        <v>28</v>
      </c>
      <c r="AQ4925" s="4">
        <v>32</v>
      </c>
      <c r="AR4925" s="3" t="s">
        <v>62</v>
      </c>
      <c r="AS4925" s="3" t="s">
        <v>62</v>
      </c>
      <c r="AT4925" s="3" t="s">
        <v>62</v>
      </c>
      <c r="AV4925" s="6" t="str">
        <f>HYPERLINK("http://mcgill.on.worldcat.org/oclc/4180065","Catalog Record")</f>
        <v>Catalog Record</v>
      </c>
      <c r="AW4925" s="6" t="str">
        <f>HYPERLINK("http://www.worldcat.org/oclc/4180065","WorldCat Record")</f>
        <v>WorldCat Record</v>
      </c>
      <c r="AX4925" s="3" t="s">
        <v>47152</v>
      </c>
      <c r="AY4925" s="3" t="s">
        <v>47153</v>
      </c>
      <c r="AZ4925" s="3" t="s">
        <v>47154</v>
      </c>
      <c r="BA4925" s="3" t="s">
        <v>47154</v>
      </c>
      <c r="BB4925" s="3" t="s">
        <v>47158</v>
      </c>
      <c r="BC4925" s="3" t="s">
        <v>142</v>
      </c>
      <c r="BD4925" s="3" t="s">
        <v>8544</v>
      </c>
      <c r="BE4925" s="3" t="s">
        <v>47156</v>
      </c>
      <c r="BF4925" s="3" t="s">
        <v>47158</v>
      </c>
      <c r="BG4925" s="3" t="s">
        <v>47159</v>
      </c>
    </row>
    <row r="4926" spans="1:59" ht="57" x14ac:dyDescent="0.45">
      <c r="A4926" s="2" t="s">
        <v>59</v>
      </c>
      <c r="B4926" s="2" t="s">
        <v>60</v>
      </c>
      <c r="C4926" s="2" t="s">
        <v>47147</v>
      </c>
      <c r="D4926" s="2" t="s">
        <v>47148</v>
      </c>
      <c r="E4926" s="2" t="s">
        <v>47149</v>
      </c>
      <c r="F4926" s="3" t="s">
        <v>595</v>
      </c>
      <c r="G4926" s="3" t="s">
        <v>61</v>
      </c>
      <c r="I4926" s="3" t="s">
        <v>62</v>
      </c>
      <c r="J4926" s="3" t="s">
        <v>62</v>
      </c>
      <c r="K4926" s="3" t="s">
        <v>63</v>
      </c>
      <c r="M4926" s="2" t="s">
        <v>47150</v>
      </c>
      <c r="N4926" s="3" t="s">
        <v>583</v>
      </c>
      <c r="P4926" s="3" t="s">
        <v>65</v>
      </c>
      <c r="R4926" s="3" t="s">
        <v>66</v>
      </c>
      <c r="S4926" s="4">
        <v>10</v>
      </c>
      <c r="T4926" s="4">
        <v>51</v>
      </c>
      <c r="U4926" s="5" t="s">
        <v>47160</v>
      </c>
      <c r="V4926" s="5" t="s">
        <v>9157</v>
      </c>
      <c r="W4926" s="5" t="s">
        <v>67</v>
      </c>
      <c r="X4926" s="5" t="s">
        <v>67</v>
      </c>
      <c r="Y4926" s="4">
        <v>556</v>
      </c>
      <c r="Z4926" s="4">
        <v>31</v>
      </c>
      <c r="AA4926" s="4">
        <v>36</v>
      </c>
      <c r="AB4926" s="4">
        <v>2</v>
      </c>
      <c r="AC4926" s="4">
        <v>6</v>
      </c>
      <c r="AD4926" s="4">
        <v>131</v>
      </c>
      <c r="AE4926" s="4">
        <v>136</v>
      </c>
      <c r="AF4926" s="4">
        <v>1</v>
      </c>
      <c r="AG4926" s="4">
        <v>5</v>
      </c>
      <c r="AH4926" s="4">
        <v>112</v>
      </c>
      <c r="AI4926" s="4">
        <v>113</v>
      </c>
      <c r="AJ4926" s="4">
        <v>20</v>
      </c>
      <c r="AK4926" s="4">
        <v>24</v>
      </c>
      <c r="AL4926" s="4">
        <v>58</v>
      </c>
      <c r="AM4926" s="4">
        <v>58</v>
      </c>
      <c r="AN4926" s="4">
        <v>0</v>
      </c>
      <c r="AO4926" s="4">
        <v>0</v>
      </c>
      <c r="AP4926" s="4">
        <v>28</v>
      </c>
      <c r="AQ4926" s="4">
        <v>32</v>
      </c>
      <c r="AR4926" s="3" t="s">
        <v>62</v>
      </c>
      <c r="AS4926" s="3" t="s">
        <v>62</v>
      </c>
      <c r="AT4926" s="3" t="s">
        <v>62</v>
      </c>
      <c r="AV4926" s="6" t="str">
        <f>HYPERLINK("http://mcgill.on.worldcat.org/oclc/4180065","Catalog Record")</f>
        <v>Catalog Record</v>
      </c>
      <c r="AW4926" s="6" t="str">
        <f>HYPERLINK("http://www.worldcat.org/oclc/4180065","WorldCat Record")</f>
        <v>WorldCat Record</v>
      </c>
      <c r="AX4926" s="3" t="s">
        <v>47152</v>
      </c>
      <c r="AY4926" s="3" t="s">
        <v>47153</v>
      </c>
      <c r="AZ4926" s="3" t="s">
        <v>47154</v>
      </c>
      <c r="BA4926" s="3" t="s">
        <v>47154</v>
      </c>
      <c r="BB4926" s="3" t="s">
        <v>47161</v>
      </c>
      <c r="BC4926" s="3" t="s">
        <v>142</v>
      </c>
      <c r="BD4926" s="3" t="s">
        <v>68</v>
      </c>
      <c r="BE4926" s="3" t="s">
        <v>47156</v>
      </c>
      <c r="BF4926" s="3" t="s">
        <v>47161</v>
      </c>
      <c r="BG4926" s="3" t="s">
        <v>47162</v>
      </c>
    </row>
    <row r="4927" spans="1:59" ht="57" x14ac:dyDescent="0.45">
      <c r="A4927" s="2" t="s">
        <v>59</v>
      </c>
      <c r="B4927" s="2" t="s">
        <v>60</v>
      </c>
      <c r="C4927" s="2" t="s">
        <v>47147</v>
      </c>
      <c r="D4927" s="2" t="s">
        <v>47148</v>
      </c>
      <c r="E4927" s="2" t="s">
        <v>47149</v>
      </c>
      <c r="F4927" s="3" t="s">
        <v>772</v>
      </c>
      <c r="G4927" s="3" t="s">
        <v>61</v>
      </c>
      <c r="I4927" s="3" t="s">
        <v>62</v>
      </c>
      <c r="J4927" s="3" t="s">
        <v>62</v>
      </c>
      <c r="K4927" s="3" t="s">
        <v>63</v>
      </c>
      <c r="M4927" s="2" t="s">
        <v>47150</v>
      </c>
      <c r="N4927" s="3" t="s">
        <v>583</v>
      </c>
      <c r="P4927" s="3" t="s">
        <v>65</v>
      </c>
      <c r="R4927" s="3" t="s">
        <v>66</v>
      </c>
      <c r="S4927" s="4">
        <v>16</v>
      </c>
      <c r="T4927" s="4">
        <v>51</v>
      </c>
      <c r="U4927" s="5" t="s">
        <v>47163</v>
      </c>
      <c r="V4927" s="5" t="s">
        <v>9157</v>
      </c>
      <c r="W4927" s="5" t="s">
        <v>67</v>
      </c>
      <c r="X4927" s="5" t="s">
        <v>67</v>
      </c>
      <c r="Y4927" s="4">
        <v>556</v>
      </c>
      <c r="Z4927" s="4">
        <v>31</v>
      </c>
      <c r="AA4927" s="4">
        <v>36</v>
      </c>
      <c r="AB4927" s="4">
        <v>2</v>
      </c>
      <c r="AC4927" s="4">
        <v>6</v>
      </c>
      <c r="AD4927" s="4">
        <v>131</v>
      </c>
      <c r="AE4927" s="4">
        <v>136</v>
      </c>
      <c r="AF4927" s="4">
        <v>1</v>
      </c>
      <c r="AG4927" s="4">
        <v>5</v>
      </c>
      <c r="AH4927" s="4">
        <v>112</v>
      </c>
      <c r="AI4927" s="4">
        <v>113</v>
      </c>
      <c r="AJ4927" s="4">
        <v>20</v>
      </c>
      <c r="AK4927" s="4">
        <v>24</v>
      </c>
      <c r="AL4927" s="4">
        <v>58</v>
      </c>
      <c r="AM4927" s="4">
        <v>58</v>
      </c>
      <c r="AN4927" s="4">
        <v>0</v>
      </c>
      <c r="AO4927" s="4">
        <v>0</v>
      </c>
      <c r="AP4927" s="4">
        <v>28</v>
      </c>
      <c r="AQ4927" s="4">
        <v>32</v>
      </c>
      <c r="AR4927" s="3" t="s">
        <v>62</v>
      </c>
      <c r="AS4927" s="3" t="s">
        <v>62</v>
      </c>
      <c r="AT4927" s="3" t="s">
        <v>62</v>
      </c>
      <c r="AV4927" s="6" t="str">
        <f>HYPERLINK("http://mcgill.on.worldcat.org/oclc/4180065","Catalog Record")</f>
        <v>Catalog Record</v>
      </c>
      <c r="AW4927" s="6" t="str">
        <f>HYPERLINK("http://www.worldcat.org/oclc/4180065","WorldCat Record")</f>
        <v>WorldCat Record</v>
      </c>
      <c r="AX4927" s="3" t="s">
        <v>47152</v>
      </c>
      <c r="AY4927" s="3" t="s">
        <v>47153</v>
      </c>
      <c r="AZ4927" s="3" t="s">
        <v>47154</v>
      </c>
      <c r="BA4927" s="3" t="s">
        <v>47154</v>
      </c>
      <c r="BB4927" s="3" t="s">
        <v>47164</v>
      </c>
      <c r="BC4927" s="3" t="s">
        <v>142</v>
      </c>
      <c r="BD4927" s="3" t="s">
        <v>68</v>
      </c>
      <c r="BE4927" s="3" t="s">
        <v>47156</v>
      </c>
      <c r="BF4927" s="3" t="s">
        <v>47164</v>
      </c>
      <c r="BG4927" s="3" t="s">
        <v>47165</v>
      </c>
    </row>
    <row r="4928" spans="1:59" ht="57" x14ac:dyDescent="0.45">
      <c r="A4928" s="2" t="s">
        <v>59</v>
      </c>
      <c r="B4928" s="2" t="s">
        <v>60</v>
      </c>
      <c r="C4928" s="2" t="s">
        <v>47166</v>
      </c>
      <c r="D4928" s="2" t="s">
        <v>47167</v>
      </c>
      <c r="E4928" s="2" t="s">
        <v>47168</v>
      </c>
      <c r="G4928" s="3" t="s">
        <v>62</v>
      </c>
      <c r="I4928" s="3" t="s">
        <v>62</v>
      </c>
      <c r="J4928" s="3" t="s">
        <v>62</v>
      </c>
      <c r="K4928" s="3" t="s">
        <v>63</v>
      </c>
      <c r="L4928" s="2" t="s">
        <v>47169</v>
      </c>
      <c r="M4928" s="2" t="s">
        <v>47170</v>
      </c>
      <c r="N4928" s="3" t="s">
        <v>208</v>
      </c>
      <c r="O4928" s="2" t="s">
        <v>1748</v>
      </c>
      <c r="P4928" s="3" t="s">
        <v>65</v>
      </c>
      <c r="R4928" s="3" t="s">
        <v>66</v>
      </c>
      <c r="S4928" s="4">
        <v>0</v>
      </c>
      <c r="T4928" s="4">
        <v>0</v>
      </c>
      <c r="W4928" s="5" t="s">
        <v>67</v>
      </c>
      <c r="X4928" s="5" t="s">
        <v>67</v>
      </c>
      <c r="Y4928" s="4">
        <v>768</v>
      </c>
      <c r="Z4928" s="4">
        <v>34</v>
      </c>
      <c r="AA4928" s="4">
        <v>38</v>
      </c>
      <c r="AB4928" s="4">
        <v>1</v>
      </c>
      <c r="AC4928" s="4">
        <v>3</v>
      </c>
      <c r="AD4928" s="4">
        <v>82</v>
      </c>
      <c r="AE4928" s="4">
        <v>86</v>
      </c>
      <c r="AF4928" s="4">
        <v>0</v>
      </c>
      <c r="AG4928" s="4">
        <v>2</v>
      </c>
      <c r="AH4928" s="4">
        <v>74</v>
      </c>
      <c r="AI4928" s="4">
        <v>75</v>
      </c>
      <c r="AJ4928" s="4">
        <v>11</v>
      </c>
      <c r="AK4928" s="4">
        <v>13</v>
      </c>
      <c r="AL4928" s="4">
        <v>45</v>
      </c>
      <c r="AM4928" s="4">
        <v>45</v>
      </c>
      <c r="AN4928" s="4">
        <v>0</v>
      </c>
      <c r="AO4928" s="4">
        <v>0</v>
      </c>
      <c r="AP4928" s="4">
        <v>13</v>
      </c>
      <c r="AQ4928" s="4">
        <v>15</v>
      </c>
      <c r="AR4928" s="3" t="s">
        <v>62</v>
      </c>
      <c r="AS4928" s="3" t="s">
        <v>62</v>
      </c>
      <c r="AT4928" s="3" t="s">
        <v>62</v>
      </c>
      <c r="AV4928" s="6" t="str">
        <f>HYPERLINK("http://mcgill.on.worldcat.org/oclc/783163653","Catalog Record")</f>
        <v>Catalog Record</v>
      </c>
      <c r="AW4928" s="6" t="str">
        <f>HYPERLINK("http://www.worldcat.org/oclc/783163653","WorldCat Record")</f>
        <v>WorldCat Record</v>
      </c>
      <c r="AX4928" s="3" t="s">
        <v>47171</v>
      </c>
      <c r="AY4928" s="3" t="s">
        <v>47172</v>
      </c>
      <c r="AZ4928" s="3" t="s">
        <v>47173</v>
      </c>
      <c r="BA4928" s="3" t="s">
        <v>47173</v>
      </c>
      <c r="BB4928" s="3" t="s">
        <v>47174</v>
      </c>
      <c r="BC4928" s="3" t="s">
        <v>142</v>
      </c>
      <c r="BD4928" s="3" t="s">
        <v>68</v>
      </c>
      <c r="BE4928" s="3" t="s">
        <v>47175</v>
      </c>
      <c r="BF4928" s="3" t="s">
        <v>47174</v>
      </c>
      <c r="BG4928" s="3" t="s">
        <v>47176</v>
      </c>
    </row>
    <row r="4929" spans="1:59" ht="57" x14ac:dyDescent="0.45">
      <c r="A4929" s="2" t="s">
        <v>59</v>
      </c>
      <c r="B4929" s="2" t="s">
        <v>60</v>
      </c>
      <c r="C4929" s="2" t="s">
        <v>47177</v>
      </c>
      <c r="D4929" s="2" t="s">
        <v>47178</v>
      </c>
      <c r="E4929" s="2" t="s">
        <v>47179</v>
      </c>
      <c r="G4929" s="3" t="s">
        <v>62</v>
      </c>
      <c r="I4929" s="3" t="s">
        <v>62</v>
      </c>
      <c r="J4929" s="3" t="s">
        <v>62</v>
      </c>
      <c r="K4929" s="3" t="s">
        <v>63</v>
      </c>
      <c r="L4929" s="2" t="s">
        <v>47180</v>
      </c>
      <c r="M4929" s="2" t="s">
        <v>47181</v>
      </c>
      <c r="N4929" s="3" t="s">
        <v>1155</v>
      </c>
      <c r="O4929" s="2" t="s">
        <v>933</v>
      </c>
      <c r="P4929" s="3" t="s">
        <v>65</v>
      </c>
      <c r="R4929" s="3" t="s">
        <v>66</v>
      </c>
      <c r="S4929" s="4">
        <v>4</v>
      </c>
      <c r="T4929" s="4">
        <v>4</v>
      </c>
      <c r="U4929" s="5" t="s">
        <v>47182</v>
      </c>
      <c r="V4929" s="5" t="s">
        <v>47182</v>
      </c>
      <c r="W4929" s="5" t="s">
        <v>67</v>
      </c>
      <c r="X4929" s="5" t="s">
        <v>67</v>
      </c>
      <c r="Y4929" s="4">
        <v>150</v>
      </c>
      <c r="Z4929" s="4">
        <v>19</v>
      </c>
      <c r="AA4929" s="4">
        <v>80</v>
      </c>
      <c r="AB4929" s="4">
        <v>2</v>
      </c>
      <c r="AC4929" s="4">
        <v>15</v>
      </c>
      <c r="AD4929" s="4">
        <v>53</v>
      </c>
      <c r="AE4929" s="4">
        <v>114</v>
      </c>
      <c r="AF4929" s="4">
        <v>1</v>
      </c>
      <c r="AG4929" s="4">
        <v>8</v>
      </c>
      <c r="AH4929" s="4">
        <v>45</v>
      </c>
      <c r="AI4929" s="4">
        <v>80</v>
      </c>
      <c r="AJ4929" s="4">
        <v>12</v>
      </c>
      <c r="AK4929" s="4">
        <v>22</v>
      </c>
      <c r="AL4929" s="4">
        <v>28</v>
      </c>
      <c r="AM4929" s="4">
        <v>44</v>
      </c>
      <c r="AN4929" s="4">
        <v>0</v>
      </c>
      <c r="AO4929" s="4">
        <v>0</v>
      </c>
      <c r="AP4929" s="4">
        <v>14</v>
      </c>
      <c r="AQ4929" s="4">
        <v>42</v>
      </c>
      <c r="AR4929" s="3" t="s">
        <v>62</v>
      </c>
      <c r="AS4929" s="3" t="s">
        <v>62</v>
      </c>
      <c r="AT4929" s="3" t="s">
        <v>62</v>
      </c>
      <c r="AV4929" s="6" t="str">
        <f>HYPERLINK("http://mcgill.on.worldcat.org/oclc/475449943","Catalog Record")</f>
        <v>Catalog Record</v>
      </c>
      <c r="AW4929" s="6" t="str">
        <f>HYPERLINK("http://www.worldcat.org/oclc/475449943","WorldCat Record")</f>
        <v>WorldCat Record</v>
      </c>
      <c r="AX4929" s="3" t="s">
        <v>47183</v>
      </c>
      <c r="AY4929" s="3" t="s">
        <v>47184</v>
      </c>
      <c r="AZ4929" s="3" t="s">
        <v>47185</v>
      </c>
      <c r="BA4929" s="3" t="s">
        <v>47185</v>
      </c>
      <c r="BB4929" s="3" t="s">
        <v>47186</v>
      </c>
      <c r="BC4929" s="3" t="s">
        <v>142</v>
      </c>
      <c r="BD4929" s="3" t="s">
        <v>68</v>
      </c>
      <c r="BE4929" s="3" t="s">
        <v>47187</v>
      </c>
      <c r="BF4929" s="3" t="s">
        <v>47186</v>
      </c>
      <c r="BG4929" s="3" t="s">
        <v>47188</v>
      </c>
    </row>
    <row r="4930" spans="1:59" ht="57" x14ac:dyDescent="0.45">
      <c r="A4930" s="2" t="s">
        <v>59</v>
      </c>
      <c r="B4930" s="2" t="s">
        <v>60</v>
      </c>
      <c r="C4930" s="2" t="s">
        <v>47189</v>
      </c>
      <c r="D4930" s="2" t="s">
        <v>47190</v>
      </c>
      <c r="E4930" s="2" t="s">
        <v>47191</v>
      </c>
      <c r="G4930" s="3" t="s">
        <v>62</v>
      </c>
      <c r="I4930" s="3" t="s">
        <v>62</v>
      </c>
      <c r="J4930" s="3" t="s">
        <v>62</v>
      </c>
      <c r="K4930" s="3" t="s">
        <v>63</v>
      </c>
      <c r="L4930" s="2" t="s">
        <v>47192</v>
      </c>
      <c r="M4930" s="2" t="s">
        <v>18779</v>
      </c>
      <c r="N4930" s="3" t="s">
        <v>958</v>
      </c>
      <c r="P4930" s="3" t="s">
        <v>65</v>
      </c>
      <c r="Q4930" s="2" t="s">
        <v>47193</v>
      </c>
      <c r="R4930" s="3" t="s">
        <v>66</v>
      </c>
      <c r="S4930" s="4">
        <v>39</v>
      </c>
      <c r="T4930" s="4">
        <v>39</v>
      </c>
      <c r="U4930" s="5" t="s">
        <v>46074</v>
      </c>
      <c r="V4930" s="5" t="s">
        <v>46074</v>
      </c>
      <c r="W4930" s="5" t="s">
        <v>67</v>
      </c>
      <c r="X4930" s="5" t="s">
        <v>67</v>
      </c>
      <c r="Y4930" s="4">
        <v>412</v>
      </c>
      <c r="Z4930" s="4">
        <v>32</v>
      </c>
      <c r="AA4930" s="4">
        <v>54</v>
      </c>
      <c r="AB4930" s="4">
        <v>2</v>
      </c>
      <c r="AC4930" s="4">
        <v>9</v>
      </c>
      <c r="AD4930" s="4">
        <v>120</v>
      </c>
      <c r="AE4930" s="4">
        <v>140</v>
      </c>
      <c r="AF4930" s="4">
        <v>1</v>
      </c>
      <c r="AG4930" s="4">
        <v>4</v>
      </c>
      <c r="AH4930" s="4">
        <v>100</v>
      </c>
      <c r="AI4930" s="4">
        <v>111</v>
      </c>
      <c r="AJ4930" s="4">
        <v>17</v>
      </c>
      <c r="AK4930" s="4">
        <v>24</v>
      </c>
      <c r="AL4930" s="4">
        <v>56</v>
      </c>
      <c r="AM4930" s="4">
        <v>60</v>
      </c>
      <c r="AN4930" s="4">
        <v>0</v>
      </c>
      <c r="AO4930" s="4">
        <v>0</v>
      </c>
      <c r="AP4930" s="4">
        <v>25</v>
      </c>
      <c r="AQ4930" s="4">
        <v>36</v>
      </c>
      <c r="AR4930" s="3" t="s">
        <v>62</v>
      </c>
      <c r="AS4930" s="3" t="s">
        <v>62</v>
      </c>
      <c r="AT4930" s="3" t="s">
        <v>62</v>
      </c>
      <c r="AV4930" s="6" t="str">
        <f>HYPERLINK("http://mcgill.on.worldcat.org/oclc/32468216","Catalog Record")</f>
        <v>Catalog Record</v>
      </c>
      <c r="AW4930" s="6" t="str">
        <f>HYPERLINK("http://www.worldcat.org/oclc/32468216","WorldCat Record")</f>
        <v>WorldCat Record</v>
      </c>
      <c r="AX4930" s="3" t="s">
        <v>47194</v>
      </c>
      <c r="AY4930" s="3" t="s">
        <v>47195</v>
      </c>
      <c r="AZ4930" s="3" t="s">
        <v>47196</v>
      </c>
      <c r="BA4930" s="3" t="s">
        <v>47196</v>
      </c>
      <c r="BB4930" s="3" t="s">
        <v>47197</v>
      </c>
      <c r="BC4930" s="3" t="s">
        <v>142</v>
      </c>
      <c r="BD4930" s="3" t="s">
        <v>68</v>
      </c>
      <c r="BE4930" s="3" t="s">
        <v>47198</v>
      </c>
      <c r="BF4930" s="3" t="s">
        <v>47197</v>
      </c>
      <c r="BG4930" s="3" t="s">
        <v>47199</v>
      </c>
    </row>
    <row r="4931" spans="1:59" ht="57" x14ac:dyDescent="0.45">
      <c r="A4931" s="2" t="s">
        <v>59</v>
      </c>
      <c r="B4931" s="2" t="s">
        <v>60</v>
      </c>
      <c r="C4931" s="2" t="s">
        <v>47200</v>
      </c>
      <c r="D4931" s="2" t="s">
        <v>47201</v>
      </c>
      <c r="E4931" s="2" t="s">
        <v>47202</v>
      </c>
      <c r="G4931" s="3" t="s">
        <v>62</v>
      </c>
      <c r="I4931" s="3" t="s">
        <v>62</v>
      </c>
      <c r="J4931" s="3" t="s">
        <v>62</v>
      </c>
      <c r="K4931" s="3" t="s">
        <v>63</v>
      </c>
      <c r="L4931" s="2" t="s">
        <v>47192</v>
      </c>
      <c r="M4931" s="2" t="s">
        <v>47203</v>
      </c>
      <c r="N4931" s="3" t="s">
        <v>945</v>
      </c>
      <c r="P4931" s="3" t="s">
        <v>65</v>
      </c>
      <c r="Q4931" s="2" t="s">
        <v>47204</v>
      </c>
      <c r="R4931" s="3" t="s">
        <v>66</v>
      </c>
      <c r="S4931" s="4">
        <v>17</v>
      </c>
      <c r="T4931" s="4">
        <v>17</v>
      </c>
      <c r="U4931" s="5" t="s">
        <v>10962</v>
      </c>
      <c r="V4931" s="5" t="s">
        <v>10962</v>
      </c>
      <c r="W4931" s="5" t="s">
        <v>67</v>
      </c>
      <c r="X4931" s="5" t="s">
        <v>67</v>
      </c>
      <c r="Y4931" s="4">
        <v>316</v>
      </c>
      <c r="Z4931" s="4">
        <v>25</v>
      </c>
      <c r="AA4931" s="4">
        <v>29</v>
      </c>
      <c r="AB4931" s="4">
        <v>1</v>
      </c>
      <c r="AC4931" s="4">
        <v>1</v>
      </c>
      <c r="AD4931" s="4">
        <v>100</v>
      </c>
      <c r="AE4931" s="4">
        <v>106</v>
      </c>
      <c r="AF4931" s="4">
        <v>0</v>
      </c>
      <c r="AG4931" s="4">
        <v>0</v>
      </c>
      <c r="AH4931" s="4">
        <v>89</v>
      </c>
      <c r="AI4931" s="4">
        <v>93</v>
      </c>
      <c r="AJ4931" s="4">
        <v>15</v>
      </c>
      <c r="AK4931" s="4">
        <v>15</v>
      </c>
      <c r="AL4931" s="4">
        <v>53</v>
      </c>
      <c r="AM4931" s="4">
        <v>54</v>
      </c>
      <c r="AN4931" s="4">
        <v>0</v>
      </c>
      <c r="AO4931" s="4">
        <v>0</v>
      </c>
      <c r="AP4931" s="4">
        <v>17</v>
      </c>
      <c r="AQ4931" s="4">
        <v>20</v>
      </c>
      <c r="AR4931" s="3" t="s">
        <v>62</v>
      </c>
      <c r="AS4931" s="3" t="s">
        <v>62</v>
      </c>
      <c r="AT4931" s="3" t="s">
        <v>61</v>
      </c>
      <c r="AU4931" s="6" t="str">
        <f>HYPERLINK("http://catalog.hathitrust.org/Record/005553219","HathiTrust Record")</f>
        <v>HathiTrust Record</v>
      </c>
      <c r="AV4931" s="6" t="str">
        <f>HYPERLINK("http://mcgill.on.worldcat.org/oclc/71582301","Catalog Record")</f>
        <v>Catalog Record</v>
      </c>
      <c r="AW4931" s="6" t="str">
        <f>HYPERLINK("http://www.worldcat.org/oclc/71582301","WorldCat Record")</f>
        <v>WorldCat Record</v>
      </c>
      <c r="AX4931" s="3" t="s">
        <v>47205</v>
      </c>
      <c r="AY4931" s="3" t="s">
        <v>47206</v>
      </c>
      <c r="AZ4931" s="3" t="s">
        <v>47207</v>
      </c>
      <c r="BA4931" s="3" t="s">
        <v>47207</v>
      </c>
      <c r="BB4931" s="3" t="s">
        <v>47208</v>
      </c>
      <c r="BC4931" s="3" t="s">
        <v>142</v>
      </c>
      <c r="BD4931" s="3" t="s">
        <v>308</v>
      </c>
      <c r="BE4931" s="3" t="s">
        <v>47209</v>
      </c>
      <c r="BF4931" s="3" t="s">
        <v>47208</v>
      </c>
      <c r="BG4931" s="3" t="s">
        <v>47210</v>
      </c>
    </row>
    <row r="4932" spans="1:59" ht="57" x14ac:dyDescent="0.45">
      <c r="A4932" s="2" t="s">
        <v>59</v>
      </c>
      <c r="B4932" s="2" t="s">
        <v>60</v>
      </c>
      <c r="C4932" s="2" t="s">
        <v>47211</v>
      </c>
      <c r="D4932" s="2" t="s">
        <v>47212</v>
      </c>
      <c r="E4932" s="2" t="s">
        <v>47213</v>
      </c>
      <c r="G4932" s="3" t="s">
        <v>62</v>
      </c>
      <c r="I4932" s="3" t="s">
        <v>62</v>
      </c>
      <c r="J4932" s="3" t="s">
        <v>62</v>
      </c>
      <c r="K4932" s="3" t="s">
        <v>63</v>
      </c>
      <c r="L4932" s="2" t="s">
        <v>47214</v>
      </c>
      <c r="M4932" s="2" t="s">
        <v>47215</v>
      </c>
      <c r="N4932" s="3" t="s">
        <v>116</v>
      </c>
      <c r="P4932" s="3" t="s">
        <v>65</v>
      </c>
      <c r="R4932" s="3" t="s">
        <v>66</v>
      </c>
      <c r="S4932" s="4">
        <v>2</v>
      </c>
      <c r="T4932" s="4">
        <v>2</v>
      </c>
      <c r="U4932" s="5" t="s">
        <v>3485</v>
      </c>
      <c r="V4932" s="5" t="s">
        <v>3485</v>
      </c>
      <c r="W4932" s="5" t="s">
        <v>67</v>
      </c>
      <c r="X4932" s="5" t="s">
        <v>67</v>
      </c>
      <c r="Y4932" s="4">
        <v>137</v>
      </c>
      <c r="Z4932" s="4">
        <v>12</v>
      </c>
      <c r="AA4932" s="4">
        <v>98</v>
      </c>
      <c r="AB4932" s="4">
        <v>1</v>
      </c>
      <c r="AC4932" s="4">
        <v>16</v>
      </c>
      <c r="AD4932" s="4">
        <v>28</v>
      </c>
      <c r="AE4932" s="4">
        <v>116</v>
      </c>
      <c r="AF4932" s="4">
        <v>0</v>
      </c>
      <c r="AG4932" s="4">
        <v>8</v>
      </c>
      <c r="AH4932" s="4">
        <v>23</v>
      </c>
      <c r="AI4932" s="4">
        <v>80</v>
      </c>
      <c r="AJ4932" s="4">
        <v>8</v>
      </c>
      <c r="AK4932" s="4">
        <v>24</v>
      </c>
      <c r="AL4932" s="4">
        <v>16</v>
      </c>
      <c r="AM4932" s="4">
        <v>42</v>
      </c>
      <c r="AN4932" s="4">
        <v>0</v>
      </c>
      <c r="AO4932" s="4">
        <v>0</v>
      </c>
      <c r="AP4932" s="4">
        <v>9</v>
      </c>
      <c r="AQ4932" s="4">
        <v>45</v>
      </c>
      <c r="AR4932" s="3" t="s">
        <v>62</v>
      </c>
      <c r="AS4932" s="3" t="s">
        <v>62</v>
      </c>
      <c r="AT4932" s="3" t="s">
        <v>62</v>
      </c>
      <c r="AV4932" s="6" t="str">
        <f>HYPERLINK("http://mcgill.on.worldcat.org/oclc/851827390","Catalog Record")</f>
        <v>Catalog Record</v>
      </c>
      <c r="AW4932" s="6" t="str">
        <f>HYPERLINK("http://www.worldcat.org/oclc/851827390","WorldCat Record")</f>
        <v>WorldCat Record</v>
      </c>
      <c r="AX4932" s="3" t="s">
        <v>47216</v>
      </c>
      <c r="AY4932" s="3" t="s">
        <v>47217</v>
      </c>
      <c r="AZ4932" s="3" t="s">
        <v>47218</v>
      </c>
      <c r="BA4932" s="3" t="s">
        <v>47218</v>
      </c>
      <c r="BB4932" s="3" t="s">
        <v>47219</v>
      </c>
      <c r="BC4932" s="3" t="s">
        <v>142</v>
      </c>
      <c r="BD4932" s="3" t="s">
        <v>68</v>
      </c>
      <c r="BE4932" s="3" t="s">
        <v>47220</v>
      </c>
      <c r="BF4932" s="3" t="s">
        <v>47219</v>
      </c>
      <c r="BG4932" s="3" t="s">
        <v>47221</v>
      </c>
    </row>
    <row r="4933" spans="1:59" ht="71.25" x14ac:dyDescent="0.45">
      <c r="A4933" s="2" t="s">
        <v>59</v>
      </c>
      <c r="B4933" s="2" t="s">
        <v>13360</v>
      </c>
      <c r="C4933" s="2" t="s">
        <v>47222</v>
      </c>
      <c r="D4933" s="2" t="s">
        <v>47223</v>
      </c>
      <c r="E4933" s="2" t="s">
        <v>47224</v>
      </c>
      <c r="G4933" s="3" t="s">
        <v>62</v>
      </c>
      <c r="I4933" s="3" t="s">
        <v>61</v>
      </c>
      <c r="J4933" s="3" t="s">
        <v>62</v>
      </c>
      <c r="K4933" s="3" t="s">
        <v>63</v>
      </c>
      <c r="L4933" s="2" t="s">
        <v>47225</v>
      </c>
      <c r="M4933" s="2" t="s">
        <v>47226</v>
      </c>
      <c r="N4933" s="3" t="s">
        <v>1224</v>
      </c>
      <c r="P4933" s="3" t="s">
        <v>65</v>
      </c>
      <c r="Q4933" s="2" t="s">
        <v>47227</v>
      </c>
      <c r="R4933" s="3" t="s">
        <v>66</v>
      </c>
      <c r="S4933" s="4">
        <v>0</v>
      </c>
      <c r="T4933" s="4">
        <v>2</v>
      </c>
      <c r="V4933" s="5" t="s">
        <v>6780</v>
      </c>
      <c r="W4933" s="5" t="s">
        <v>67</v>
      </c>
      <c r="X4933" s="5" t="s">
        <v>67</v>
      </c>
      <c r="Y4933" s="4">
        <v>1141</v>
      </c>
      <c r="Z4933" s="4">
        <v>34</v>
      </c>
      <c r="AA4933" s="4">
        <v>35</v>
      </c>
      <c r="AB4933" s="4">
        <v>3</v>
      </c>
      <c r="AC4933" s="4">
        <v>3</v>
      </c>
      <c r="AD4933" s="4">
        <v>71</v>
      </c>
      <c r="AE4933" s="4">
        <v>75</v>
      </c>
      <c r="AF4933" s="4">
        <v>1</v>
      </c>
      <c r="AG4933" s="4">
        <v>1</v>
      </c>
      <c r="AH4933" s="4">
        <v>61</v>
      </c>
      <c r="AI4933" s="4">
        <v>65</v>
      </c>
      <c r="AJ4933" s="4">
        <v>7</v>
      </c>
      <c r="AK4933" s="4">
        <v>8</v>
      </c>
      <c r="AL4933" s="4">
        <v>30</v>
      </c>
      <c r="AM4933" s="4">
        <v>32</v>
      </c>
      <c r="AN4933" s="4">
        <v>0</v>
      </c>
      <c r="AO4933" s="4">
        <v>0</v>
      </c>
      <c r="AP4933" s="4">
        <v>14</v>
      </c>
      <c r="AQ4933" s="4">
        <v>15</v>
      </c>
      <c r="AR4933" s="3" t="s">
        <v>62</v>
      </c>
      <c r="AS4933" s="3" t="s">
        <v>62</v>
      </c>
      <c r="AT4933" s="3" t="s">
        <v>62</v>
      </c>
      <c r="AV4933" s="6" t="str">
        <f>HYPERLINK("http://mcgill.on.worldcat.org/oclc/1138035","Catalog Record")</f>
        <v>Catalog Record</v>
      </c>
      <c r="AW4933" s="6" t="str">
        <f>HYPERLINK("http://www.worldcat.org/oclc/1138035","WorldCat Record")</f>
        <v>WorldCat Record</v>
      </c>
      <c r="AX4933" s="3" t="s">
        <v>47228</v>
      </c>
      <c r="AY4933" s="3" t="s">
        <v>47229</v>
      </c>
      <c r="AZ4933" s="3" t="s">
        <v>47230</v>
      </c>
      <c r="BA4933" s="3" t="s">
        <v>47230</v>
      </c>
      <c r="BB4933" s="3" t="s">
        <v>47231</v>
      </c>
      <c r="BC4933" s="3" t="s">
        <v>142</v>
      </c>
      <c r="BD4933" s="3" t="s">
        <v>68</v>
      </c>
      <c r="BF4933" s="3" t="s">
        <v>47231</v>
      </c>
      <c r="BG4933" s="3" t="s">
        <v>47232</v>
      </c>
    </row>
    <row r="4934" spans="1:59" ht="57" x14ac:dyDescent="0.45">
      <c r="A4934" s="2" t="s">
        <v>59</v>
      </c>
      <c r="B4934" s="2" t="s">
        <v>412</v>
      </c>
      <c r="C4934" s="2" t="s">
        <v>47222</v>
      </c>
      <c r="D4934" s="2" t="s">
        <v>47223</v>
      </c>
      <c r="E4934" s="2" t="s">
        <v>47224</v>
      </c>
      <c r="G4934" s="3" t="s">
        <v>62</v>
      </c>
      <c r="I4934" s="3" t="s">
        <v>61</v>
      </c>
      <c r="J4934" s="3" t="s">
        <v>62</v>
      </c>
      <c r="K4934" s="3" t="s">
        <v>63</v>
      </c>
      <c r="L4934" s="2" t="s">
        <v>47225</v>
      </c>
      <c r="M4934" s="2" t="s">
        <v>47226</v>
      </c>
      <c r="N4934" s="3" t="s">
        <v>1224</v>
      </c>
      <c r="P4934" s="3" t="s">
        <v>65</v>
      </c>
      <c r="Q4934" s="2" t="s">
        <v>47227</v>
      </c>
      <c r="R4934" s="3" t="s">
        <v>66</v>
      </c>
      <c r="S4934" s="4">
        <v>2</v>
      </c>
      <c r="T4934" s="4">
        <v>2</v>
      </c>
      <c r="U4934" s="5" t="s">
        <v>6780</v>
      </c>
      <c r="V4934" s="5" t="s">
        <v>6780</v>
      </c>
      <c r="W4934" s="5" t="s">
        <v>67</v>
      </c>
      <c r="X4934" s="5" t="s">
        <v>67</v>
      </c>
      <c r="Y4934" s="4">
        <v>1141</v>
      </c>
      <c r="Z4934" s="4">
        <v>34</v>
      </c>
      <c r="AA4934" s="4">
        <v>35</v>
      </c>
      <c r="AB4934" s="4">
        <v>3</v>
      </c>
      <c r="AC4934" s="4">
        <v>3</v>
      </c>
      <c r="AD4934" s="4">
        <v>71</v>
      </c>
      <c r="AE4934" s="4">
        <v>75</v>
      </c>
      <c r="AF4934" s="4">
        <v>1</v>
      </c>
      <c r="AG4934" s="4">
        <v>1</v>
      </c>
      <c r="AH4934" s="4">
        <v>61</v>
      </c>
      <c r="AI4934" s="4">
        <v>65</v>
      </c>
      <c r="AJ4934" s="4">
        <v>7</v>
      </c>
      <c r="AK4934" s="4">
        <v>8</v>
      </c>
      <c r="AL4934" s="4">
        <v>30</v>
      </c>
      <c r="AM4934" s="4">
        <v>32</v>
      </c>
      <c r="AN4934" s="4">
        <v>0</v>
      </c>
      <c r="AO4934" s="4">
        <v>0</v>
      </c>
      <c r="AP4934" s="4">
        <v>14</v>
      </c>
      <c r="AQ4934" s="4">
        <v>15</v>
      </c>
      <c r="AR4934" s="3" t="s">
        <v>62</v>
      </c>
      <c r="AS4934" s="3" t="s">
        <v>62</v>
      </c>
      <c r="AT4934" s="3" t="s">
        <v>62</v>
      </c>
      <c r="AV4934" s="6" t="str">
        <f>HYPERLINK("http://mcgill.on.worldcat.org/oclc/1138035","Catalog Record")</f>
        <v>Catalog Record</v>
      </c>
      <c r="AW4934" s="6" t="str">
        <f>HYPERLINK("http://www.worldcat.org/oclc/1138035","WorldCat Record")</f>
        <v>WorldCat Record</v>
      </c>
      <c r="AX4934" s="3" t="s">
        <v>47228</v>
      </c>
      <c r="AY4934" s="3" t="s">
        <v>47229</v>
      </c>
      <c r="AZ4934" s="3" t="s">
        <v>47230</v>
      </c>
      <c r="BA4934" s="3" t="s">
        <v>47230</v>
      </c>
      <c r="BB4934" s="3" t="s">
        <v>47233</v>
      </c>
      <c r="BC4934" s="3" t="s">
        <v>142</v>
      </c>
      <c r="BD4934" s="3" t="s">
        <v>68</v>
      </c>
      <c r="BF4934" s="3" t="s">
        <v>47233</v>
      </c>
      <c r="BG4934" s="3" t="s">
        <v>47234</v>
      </c>
    </row>
    <row r="4935" spans="1:59" ht="57" x14ac:dyDescent="0.45">
      <c r="A4935" s="2" t="s">
        <v>59</v>
      </c>
      <c r="B4935" s="2" t="s">
        <v>60</v>
      </c>
      <c r="C4935" s="2" t="s">
        <v>47235</v>
      </c>
      <c r="D4935" s="2" t="s">
        <v>47236</v>
      </c>
      <c r="E4935" s="2" t="s">
        <v>47237</v>
      </c>
      <c r="G4935" s="3" t="s">
        <v>62</v>
      </c>
      <c r="I4935" s="3" t="s">
        <v>62</v>
      </c>
      <c r="J4935" s="3" t="s">
        <v>62</v>
      </c>
      <c r="K4935" s="3" t="s">
        <v>63</v>
      </c>
      <c r="L4935" s="2" t="s">
        <v>47238</v>
      </c>
      <c r="M4935" s="2" t="s">
        <v>25332</v>
      </c>
      <c r="N4935" s="3" t="s">
        <v>1253</v>
      </c>
      <c r="P4935" s="3" t="s">
        <v>65</v>
      </c>
      <c r="R4935" s="3" t="s">
        <v>66</v>
      </c>
      <c r="S4935" s="4">
        <v>4</v>
      </c>
      <c r="T4935" s="4">
        <v>4</v>
      </c>
      <c r="U4935" s="5" t="s">
        <v>17655</v>
      </c>
      <c r="V4935" s="5" t="s">
        <v>17655</v>
      </c>
      <c r="W4935" s="5" t="s">
        <v>67</v>
      </c>
      <c r="X4935" s="5" t="s">
        <v>67</v>
      </c>
      <c r="Y4935" s="4">
        <v>276</v>
      </c>
      <c r="Z4935" s="4">
        <v>19</v>
      </c>
      <c r="AA4935" s="4">
        <v>24</v>
      </c>
      <c r="AB4935" s="4">
        <v>2</v>
      </c>
      <c r="AC4935" s="4">
        <v>7</v>
      </c>
      <c r="AD4935" s="4">
        <v>78</v>
      </c>
      <c r="AE4935" s="4">
        <v>80</v>
      </c>
      <c r="AF4935" s="4">
        <v>0</v>
      </c>
      <c r="AG4935" s="4">
        <v>1</v>
      </c>
      <c r="AH4935" s="4">
        <v>69</v>
      </c>
      <c r="AI4935" s="4">
        <v>71</v>
      </c>
      <c r="AJ4935" s="4">
        <v>11</v>
      </c>
      <c r="AK4935" s="4">
        <v>12</v>
      </c>
      <c r="AL4935" s="4">
        <v>40</v>
      </c>
      <c r="AM4935" s="4">
        <v>40</v>
      </c>
      <c r="AN4935" s="4">
        <v>0</v>
      </c>
      <c r="AO4935" s="4">
        <v>0</v>
      </c>
      <c r="AP4935" s="4">
        <v>16</v>
      </c>
      <c r="AQ4935" s="4">
        <v>17</v>
      </c>
      <c r="AR4935" s="3" t="s">
        <v>62</v>
      </c>
      <c r="AS4935" s="3" t="s">
        <v>62</v>
      </c>
      <c r="AT4935" s="3" t="s">
        <v>62</v>
      </c>
      <c r="AV4935" s="6" t="str">
        <f>HYPERLINK("http://mcgill.on.worldcat.org/oclc/37398654","Catalog Record")</f>
        <v>Catalog Record</v>
      </c>
      <c r="AW4935" s="6" t="str">
        <f>HYPERLINK("http://www.worldcat.org/oclc/37398654","WorldCat Record")</f>
        <v>WorldCat Record</v>
      </c>
      <c r="AX4935" s="3" t="s">
        <v>47239</v>
      </c>
      <c r="AY4935" s="3" t="s">
        <v>47240</v>
      </c>
      <c r="AZ4935" s="3" t="s">
        <v>47241</v>
      </c>
      <c r="BA4935" s="3" t="s">
        <v>47241</v>
      </c>
      <c r="BB4935" s="3" t="s">
        <v>47242</v>
      </c>
      <c r="BC4935" s="3" t="s">
        <v>142</v>
      </c>
      <c r="BD4935" s="3" t="s">
        <v>68</v>
      </c>
      <c r="BE4935" s="3" t="s">
        <v>47243</v>
      </c>
      <c r="BF4935" s="3" t="s">
        <v>47242</v>
      </c>
      <c r="BG4935" s="3" t="s">
        <v>47244</v>
      </c>
    </row>
    <row r="4936" spans="1:59" ht="57" x14ac:dyDescent="0.45">
      <c r="A4936" s="2" t="s">
        <v>59</v>
      </c>
      <c r="B4936" s="2" t="s">
        <v>60</v>
      </c>
      <c r="C4936" s="2" t="s">
        <v>47245</v>
      </c>
      <c r="D4936" s="2" t="s">
        <v>47246</v>
      </c>
      <c r="E4936" s="2" t="s">
        <v>47247</v>
      </c>
      <c r="G4936" s="3" t="s">
        <v>62</v>
      </c>
      <c r="I4936" s="3" t="s">
        <v>62</v>
      </c>
      <c r="J4936" s="3" t="s">
        <v>61</v>
      </c>
      <c r="K4936" s="3" t="s">
        <v>28859</v>
      </c>
      <c r="L4936" s="2" t="s">
        <v>47248</v>
      </c>
      <c r="M4936" s="2" t="s">
        <v>47249</v>
      </c>
      <c r="N4936" s="3" t="s">
        <v>47250</v>
      </c>
      <c r="P4936" s="3" t="s">
        <v>65</v>
      </c>
      <c r="R4936" s="3" t="s">
        <v>66</v>
      </c>
      <c r="S4936" s="4">
        <v>8</v>
      </c>
      <c r="T4936" s="4">
        <v>8</v>
      </c>
      <c r="U4936" s="5" t="s">
        <v>15182</v>
      </c>
      <c r="V4936" s="5" t="s">
        <v>15182</v>
      </c>
      <c r="W4936" s="5" t="s">
        <v>67</v>
      </c>
      <c r="X4936" s="5" t="s">
        <v>67</v>
      </c>
      <c r="Y4936" s="4">
        <v>3</v>
      </c>
      <c r="Z4936" s="4">
        <v>1</v>
      </c>
      <c r="AA4936" s="4">
        <v>63</v>
      </c>
      <c r="AB4936" s="4">
        <v>1</v>
      </c>
      <c r="AC4936" s="4">
        <v>14</v>
      </c>
      <c r="AD4936" s="4">
        <v>0</v>
      </c>
      <c r="AE4936" s="4">
        <v>122</v>
      </c>
      <c r="AF4936" s="4">
        <v>0</v>
      </c>
      <c r="AG4936" s="4">
        <v>6</v>
      </c>
      <c r="AH4936" s="4">
        <v>0</v>
      </c>
      <c r="AI4936" s="4">
        <v>96</v>
      </c>
      <c r="AJ4936" s="4">
        <v>0</v>
      </c>
      <c r="AK4936" s="4">
        <v>19</v>
      </c>
      <c r="AL4936" s="4">
        <v>0</v>
      </c>
      <c r="AM4936" s="4">
        <v>54</v>
      </c>
      <c r="AN4936" s="4">
        <v>0</v>
      </c>
      <c r="AO4936" s="4">
        <v>8</v>
      </c>
      <c r="AP4936" s="4">
        <v>0</v>
      </c>
      <c r="AQ4936" s="4">
        <v>31</v>
      </c>
      <c r="AR4936" s="3" t="s">
        <v>62</v>
      </c>
      <c r="AS4936" s="3" t="s">
        <v>62</v>
      </c>
      <c r="AT4936" s="3" t="s">
        <v>62</v>
      </c>
      <c r="AV4936" s="6" t="str">
        <f>HYPERLINK("http://mcgill.on.worldcat.org/oclc/427197261","Catalog Record")</f>
        <v>Catalog Record</v>
      </c>
      <c r="AW4936" s="6" t="str">
        <f>HYPERLINK("http://www.worldcat.org/oclc/427197261","WorldCat Record")</f>
        <v>WorldCat Record</v>
      </c>
      <c r="AX4936" s="3" t="s">
        <v>47251</v>
      </c>
      <c r="AY4936" s="3" t="s">
        <v>47252</v>
      </c>
      <c r="AZ4936" s="3" t="s">
        <v>47253</v>
      </c>
      <c r="BA4936" s="3" t="s">
        <v>47253</v>
      </c>
      <c r="BB4936" s="3" t="s">
        <v>47254</v>
      </c>
      <c r="BC4936" s="3" t="s">
        <v>142</v>
      </c>
      <c r="BD4936" s="3" t="s">
        <v>68</v>
      </c>
      <c r="BF4936" s="3" t="s">
        <v>47254</v>
      </c>
      <c r="BG4936" s="3" t="s">
        <v>47255</v>
      </c>
    </row>
    <row r="4937" spans="1:59" ht="57" x14ac:dyDescent="0.45">
      <c r="A4937" s="2" t="s">
        <v>59</v>
      </c>
      <c r="B4937" s="2" t="s">
        <v>60</v>
      </c>
      <c r="C4937" s="2" t="s">
        <v>47256</v>
      </c>
      <c r="D4937" s="2" t="s">
        <v>47257</v>
      </c>
      <c r="E4937" s="2" t="s">
        <v>47258</v>
      </c>
      <c r="G4937" s="3" t="s">
        <v>62</v>
      </c>
      <c r="I4937" s="3" t="s">
        <v>62</v>
      </c>
      <c r="J4937" s="3" t="s">
        <v>62</v>
      </c>
      <c r="K4937" s="3" t="s">
        <v>63</v>
      </c>
      <c r="L4937" s="2" t="s">
        <v>3278</v>
      </c>
      <c r="M4937" s="2" t="s">
        <v>47259</v>
      </c>
      <c r="N4937" s="3" t="s">
        <v>1239</v>
      </c>
      <c r="P4937" s="3" t="s">
        <v>65</v>
      </c>
      <c r="Q4937" s="2" t="s">
        <v>920</v>
      </c>
      <c r="R4937" s="3" t="s">
        <v>66</v>
      </c>
      <c r="S4937" s="4">
        <v>18</v>
      </c>
      <c r="T4937" s="4">
        <v>18</v>
      </c>
      <c r="U4937" s="5" t="s">
        <v>36697</v>
      </c>
      <c r="V4937" s="5" t="s">
        <v>36697</v>
      </c>
      <c r="W4937" s="5" t="s">
        <v>67</v>
      </c>
      <c r="X4937" s="5" t="s">
        <v>67</v>
      </c>
      <c r="Y4937" s="4">
        <v>655</v>
      </c>
      <c r="Z4937" s="4">
        <v>34</v>
      </c>
      <c r="AA4937" s="4">
        <v>44</v>
      </c>
      <c r="AB4937" s="4">
        <v>2</v>
      </c>
      <c r="AC4937" s="4">
        <v>8</v>
      </c>
      <c r="AD4937" s="4">
        <v>102</v>
      </c>
      <c r="AE4937" s="4">
        <v>118</v>
      </c>
      <c r="AF4937" s="4">
        <v>1</v>
      </c>
      <c r="AG4937" s="4">
        <v>6</v>
      </c>
      <c r="AH4937" s="4">
        <v>87</v>
      </c>
      <c r="AI4937" s="4">
        <v>99</v>
      </c>
      <c r="AJ4937" s="4">
        <v>15</v>
      </c>
      <c r="AK4937" s="4">
        <v>20</v>
      </c>
      <c r="AL4937" s="4">
        <v>51</v>
      </c>
      <c r="AM4937" s="4">
        <v>56</v>
      </c>
      <c r="AN4937" s="4">
        <v>0</v>
      </c>
      <c r="AO4937" s="4">
        <v>0</v>
      </c>
      <c r="AP4937" s="4">
        <v>21</v>
      </c>
      <c r="AQ4937" s="4">
        <v>26</v>
      </c>
      <c r="AR4937" s="3" t="s">
        <v>62</v>
      </c>
      <c r="AS4937" s="3" t="s">
        <v>62</v>
      </c>
      <c r="AT4937" s="3" t="s">
        <v>62</v>
      </c>
      <c r="AV4937" s="6" t="str">
        <f>HYPERLINK("http://mcgill.on.worldcat.org/oclc/18381739","Catalog Record")</f>
        <v>Catalog Record</v>
      </c>
      <c r="AW4937" s="6" t="str">
        <f>HYPERLINK("http://www.worldcat.org/oclc/18381739","WorldCat Record")</f>
        <v>WorldCat Record</v>
      </c>
      <c r="AX4937" s="3" t="s">
        <v>47260</v>
      </c>
      <c r="AY4937" s="3" t="s">
        <v>47261</v>
      </c>
      <c r="AZ4937" s="3" t="s">
        <v>47262</v>
      </c>
      <c r="BA4937" s="3" t="s">
        <v>47262</v>
      </c>
      <c r="BB4937" s="3" t="s">
        <v>47263</v>
      </c>
      <c r="BC4937" s="3" t="s">
        <v>142</v>
      </c>
      <c r="BD4937" s="3" t="s">
        <v>68</v>
      </c>
      <c r="BE4937" s="3" t="s">
        <v>47264</v>
      </c>
      <c r="BF4937" s="3" t="s">
        <v>47263</v>
      </c>
      <c r="BG4937" s="3" t="s">
        <v>47265</v>
      </c>
    </row>
    <row r="4938" spans="1:59" ht="57" x14ac:dyDescent="0.45">
      <c r="A4938" s="2" t="s">
        <v>59</v>
      </c>
      <c r="B4938" s="2" t="s">
        <v>60</v>
      </c>
      <c r="C4938" s="2" t="s">
        <v>47266</v>
      </c>
      <c r="D4938" s="2" t="s">
        <v>47267</v>
      </c>
      <c r="E4938" s="2" t="s">
        <v>47268</v>
      </c>
      <c r="G4938" s="3" t="s">
        <v>62</v>
      </c>
      <c r="I4938" s="3" t="s">
        <v>62</v>
      </c>
      <c r="J4938" s="3" t="s">
        <v>61</v>
      </c>
      <c r="K4938" s="3" t="s">
        <v>63</v>
      </c>
      <c r="L4938" s="2" t="s">
        <v>47269</v>
      </c>
      <c r="M4938" s="2" t="s">
        <v>47270</v>
      </c>
      <c r="N4938" s="3" t="s">
        <v>13133</v>
      </c>
      <c r="P4938" s="3" t="s">
        <v>65</v>
      </c>
      <c r="Q4938" s="2" t="s">
        <v>47271</v>
      </c>
      <c r="R4938" s="3" t="s">
        <v>66</v>
      </c>
      <c r="S4938" s="4">
        <v>12</v>
      </c>
      <c r="T4938" s="4">
        <v>12</v>
      </c>
      <c r="U4938" s="5" t="s">
        <v>6831</v>
      </c>
      <c r="V4938" s="5" t="s">
        <v>6831</v>
      </c>
      <c r="W4938" s="5" t="s">
        <v>67</v>
      </c>
      <c r="X4938" s="5" t="s">
        <v>67</v>
      </c>
      <c r="Y4938" s="4">
        <v>67</v>
      </c>
      <c r="Z4938" s="4">
        <v>7</v>
      </c>
      <c r="AA4938" s="4">
        <v>68</v>
      </c>
      <c r="AB4938" s="4">
        <v>1</v>
      </c>
      <c r="AC4938" s="4">
        <v>10</v>
      </c>
      <c r="AD4938" s="4">
        <v>14</v>
      </c>
      <c r="AE4938" s="4">
        <v>144</v>
      </c>
      <c r="AF4938" s="4">
        <v>0</v>
      </c>
      <c r="AG4938" s="4">
        <v>5</v>
      </c>
      <c r="AH4938" s="4">
        <v>13</v>
      </c>
      <c r="AI4938" s="4">
        <v>114</v>
      </c>
      <c r="AJ4938" s="4">
        <v>3</v>
      </c>
      <c r="AK4938" s="4">
        <v>26</v>
      </c>
      <c r="AL4938" s="4">
        <v>10</v>
      </c>
      <c r="AM4938" s="4">
        <v>61</v>
      </c>
      <c r="AN4938" s="4">
        <v>0</v>
      </c>
      <c r="AO4938" s="4">
        <v>0</v>
      </c>
      <c r="AP4938" s="4">
        <v>2</v>
      </c>
      <c r="AQ4938" s="4">
        <v>38</v>
      </c>
      <c r="AR4938" s="3" t="s">
        <v>62</v>
      </c>
      <c r="AS4938" s="3" t="s">
        <v>62</v>
      </c>
      <c r="AT4938" s="3" t="s">
        <v>62</v>
      </c>
      <c r="AV4938" s="6" t="str">
        <f>HYPERLINK("http://mcgill.on.worldcat.org/oclc/4968901","Catalog Record")</f>
        <v>Catalog Record</v>
      </c>
      <c r="AW4938" s="6" t="str">
        <f>HYPERLINK("http://www.worldcat.org/oclc/4968901","WorldCat Record")</f>
        <v>WorldCat Record</v>
      </c>
      <c r="AX4938" s="3" t="s">
        <v>47272</v>
      </c>
      <c r="AY4938" s="3" t="s">
        <v>47273</v>
      </c>
      <c r="AZ4938" s="3" t="s">
        <v>47274</v>
      </c>
      <c r="BA4938" s="3" t="s">
        <v>47274</v>
      </c>
      <c r="BB4938" s="3" t="s">
        <v>47275</v>
      </c>
      <c r="BC4938" s="3" t="s">
        <v>142</v>
      </c>
      <c r="BD4938" s="3" t="s">
        <v>68</v>
      </c>
      <c r="BF4938" s="3" t="s">
        <v>47275</v>
      </c>
      <c r="BG4938" s="3" t="s">
        <v>47276</v>
      </c>
    </row>
    <row r="4939" spans="1:59" ht="57" x14ac:dyDescent="0.45">
      <c r="A4939" s="2" t="s">
        <v>59</v>
      </c>
      <c r="B4939" s="2" t="s">
        <v>60</v>
      </c>
      <c r="C4939" s="2" t="s">
        <v>47277</v>
      </c>
      <c r="D4939" s="2" t="s">
        <v>47278</v>
      </c>
      <c r="E4939" s="2" t="s">
        <v>47279</v>
      </c>
      <c r="G4939" s="3" t="s">
        <v>62</v>
      </c>
      <c r="I4939" s="3" t="s">
        <v>62</v>
      </c>
      <c r="J4939" s="3" t="s">
        <v>62</v>
      </c>
      <c r="K4939" s="3" t="s">
        <v>63</v>
      </c>
      <c r="L4939" s="2" t="s">
        <v>47280</v>
      </c>
      <c r="M4939" s="2" t="s">
        <v>47281</v>
      </c>
      <c r="N4939" s="3" t="s">
        <v>181</v>
      </c>
      <c r="P4939" s="3" t="s">
        <v>65</v>
      </c>
      <c r="R4939" s="3" t="s">
        <v>66</v>
      </c>
      <c r="S4939" s="4">
        <v>2</v>
      </c>
      <c r="T4939" s="4">
        <v>2</v>
      </c>
      <c r="U4939" s="5" t="s">
        <v>3485</v>
      </c>
      <c r="V4939" s="5" t="s">
        <v>3485</v>
      </c>
      <c r="W4939" s="5" t="s">
        <v>67</v>
      </c>
      <c r="X4939" s="5" t="s">
        <v>67</v>
      </c>
      <c r="Y4939" s="4">
        <v>199</v>
      </c>
      <c r="Z4939" s="4">
        <v>9</v>
      </c>
      <c r="AA4939" s="4">
        <v>87</v>
      </c>
      <c r="AB4939" s="4">
        <v>2</v>
      </c>
      <c r="AC4939" s="4">
        <v>16</v>
      </c>
      <c r="AD4939" s="4">
        <v>59</v>
      </c>
      <c r="AE4939" s="4">
        <v>125</v>
      </c>
      <c r="AF4939" s="4">
        <v>1</v>
      </c>
      <c r="AG4939" s="4">
        <v>8</v>
      </c>
      <c r="AH4939" s="4">
        <v>53</v>
      </c>
      <c r="AI4939" s="4">
        <v>84</v>
      </c>
      <c r="AJ4939" s="4">
        <v>6</v>
      </c>
      <c r="AK4939" s="4">
        <v>24</v>
      </c>
      <c r="AL4939" s="4">
        <v>38</v>
      </c>
      <c r="AM4939" s="4">
        <v>48</v>
      </c>
      <c r="AN4939" s="4">
        <v>0</v>
      </c>
      <c r="AO4939" s="4">
        <v>0</v>
      </c>
      <c r="AP4939" s="4">
        <v>5</v>
      </c>
      <c r="AQ4939" s="4">
        <v>47</v>
      </c>
      <c r="AR4939" s="3" t="s">
        <v>61</v>
      </c>
      <c r="AS4939" s="3" t="s">
        <v>62</v>
      </c>
      <c r="AT4939" s="3" t="s">
        <v>62</v>
      </c>
      <c r="AV4939" s="6" t="str">
        <f>HYPERLINK("http://mcgill.on.worldcat.org/oclc/921863905","Catalog Record")</f>
        <v>Catalog Record</v>
      </c>
      <c r="AW4939" s="6" t="str">
        <f>HYPERLINK("http://www.worldcat.org/oclc/921863905","WorldCat Record")</f>
        <v>WorldCat Record</v>
      </c>
      <c r="AX4939" s="3" t="s">
        <v>47282</v>
      </c>
      <c r="AY4939" s="3" t="s">
        <v>47283</v>
      </c>
      <c r="AZ4939" s="3" t="s">
        <v>47284</v>
      </c>
      <c r="BA4939" s="3" t="s">
        <v>47284</v>
      </c>
      <c r="BB4939" s="3" t="s">
        <v>47285</v>
      </c>
      <c r="BC4939" s="3" t="s">
        <v>142</v>
      </c>
      <c r="BD4939" s="3" t="s">
        <v>68</v>
      </c>
      <c r="BE4939" s="3" t="s">
        <v>47286</v>
      </c>
      <c r="BF4939" s="3" t="s">
        <v>47285</v>
      </c>
      <c r="BG4939" s="3" t="s">
        <v>47287</v>
      </c>
    </row>
    <row r="4940" spans="1:59" ht="57" x14ac:dyDescent="0.45">
      <c r="A4940" s="2" t="s">
        <v>59</v>
      </c>
      <c r="B4940" s="2" t="s">
        <v>60</v>
      </c>
      <c r="C4940" s="2" t="s">
        <v>47288</v>
      </c>
      <c r="D4940" s="2" t="s">
        <v>47289</v>
      </c>
      <c r="E4940" s="2" t="s">
        <v>47290</v>
      </c>
      <c r="G4940" s="3" t="s">
        <v>62</v>
      </c>
      <c r="I4940" s="3" t="s">
        <v>62</v>
      </c>
      <c r="J4940" s="3" t="s">
        <v>62</v>
      </c>
      <c r="K4940" s="3" t="s">
        <v>63</v>
      </c>
      <c r="L4940" s="2" t="s">
        <v>47291</v>
      </c>
      <c r="M4940" s="2" t="s">
        <v>47292</v>
      </c>
      <c r="N4940" s="3" t="s">
        <v>47293</v>
      </c>
      <c r="P4940" s="3" t="s">
        <v>110</v>
      </c>
      <c r="Q4940" s="2" t="s">
        <v>47294</v>
      </c>
      <c r="R4940" s="3" t="s">
        <v>66</v>
      </c>
      <c r="S4940" s="4">
        <v>2</v>
      </c>
      <c r="T4940" s="4">
        <v>2</v>
      </c>
      <c r="U4940" s="5" t="s">
        <v>6831</v>
      </c>
      <c r="V4940" s="5" t="s">
        <v>6831</v>
      </c>
      <c r="W4940" s="5" t="s">
        <v>67</v>
      </c>
      <c r="X4940" s="5" t="s">
        <v>67</v>
      </c>
      <c r="Y4940" s="4">
        <v>3</v>
      </c>
      <c r="Z4940" s="4">
        <v>2</v>
      </c>
      <c r="AA4940" s="4">
        <v>7</v>
      </c>
      <c r="AB4940" s="4">
        <v>1</v>
      </c>
      <c r="AC4940" s="4">
        <v>4</v>
      </c>
      <c r="AD4940" s="4">
        <v>2</v>
      </c>
      <c r="AE4940" s="4">
        <v>28</v>
      </c>
      <c r="AF4940" s="4">
        <v>0</v>
      </c>
      <c r="AG4940" s="4">
        <v>3</v>
      </c>
      <c r="AH4940" s="4">
        <v>1</v>
      </c>
      <c r="AI4940" s="4">
        <v>23</v>
      </c>
      <c r="AJ4940" s="4">
        <v>0</v>
      </c>
      <c r="AK4940" s="4">
        <v>2</v>
      </c>
      <c r="AL4940" s="4">
        <v>1</v>
      </c>
      <c r="AM4940" s="4">
        <v>16</v>
      </c>
      <c r="AN4940" s="4">
        <v>0</v>
      </c>
      <c r="AO4940" s="4">
        <v>0</v>
      </c>
      <c r="AP4940" s="4">
        <v>1</v>
      </c>
      <c r="AQ4940" s="4">
        <v>3</v>
      </c>
      <c r="AR4940" s="3" t="s">
        <v>62</v>
      </c>
      <c r="AS4940" s="3" t="s">
        <v>62</v>
      </c>
      <c r="AT4940" s="3" t="s">
        <v>62</v>
      </c>
      <c r="AV4940" s="6" t="str">
        <f>HYPERLINK("http://mcgill.on.worldcat.org/oclc/84065200","Catalog Record")</f>
        <v>Catalog Record</v>
      </c>
      <c r="AW4940" s="6" t="str">
        <f>HYPERLINK("http://www.worldcat.org/oclc/84065200","WorldCat Record")</f>
        <v>WorldCat Record</v>
      </c>
      <c r="AX4940" s="3" t="s">
        <v>47295</v>
      </c>
      <c r="AY4940" s="3" t="s">
        <v>47296</v>
      </c>
      <c r="AZ4940" s="3" t="s">
        <v>47297</v>
      </c>
      <c r="BA4940" s="3" t="s">
        <v>47297</v>
      </c>
      <c r="BB4940" s="3" t="s">
        <v>47298</v>
      </c>
      <c r="BC4940" s="3" t="s">
        <v>142</v>
      </c>
      <c r="BD4940" s="3" t="s">
        <v>68</v>
      </c>
      <c r="BF4940" s="3" t="s">
        <v>47298</v>
      </c>
      <c r="BG4940" s="3" t="s">
        <v>47299</v>
      </c>
    </row>
    <row r="4941" spans="1:59" ht="57" x14ac:dyDescent="0.45">
      <c r="A4941" s="2" t="s">
        <v>59</v>
      </c>
      <c r="B4941" s="2" t="s">
        <v>60</v>
      </c>
      <c r="C4941" s="2" t="s">
        <v>47300</v>
      </c>
      <c r="D4941" s="2" t="s">
        <v>47301</v>
      </c>
      <c r="E4941" s="2" t="s">
        <v>47302</v>
      </c>
      <c r="G4941" s="3" t="s">
        <v>62</v>
      </c>
      <c r="I4941" s="3" t="s">
        <v>62</v>
      </c>
      <c r="J4941" s="3" t="s">
        <v>62</v>
      </c>
      <c r="K4941" s="3" t="s">
        <v>63</v>
      </c>
      <c r="L4941" s="2" t="s">
        <v>47303</v>
      </c>
      <c r="M4941" s="2" t="s">
        <v>47304</v>
      </c>
      <c r="N4941" s="3" t="s">
        <v>13133</v>
      </c>
      <c r="P4941" s="3" t="s">
        <v>110</v>
      </c>
      <c r="Q4941" s="2" t="s">
        <v>47305</v>
      </c>
      <c r="R4941" s="3" t="s">
        <v>66</v>
      </c>
      <c r="S4941" s="4">
        <v>4</v>
      </c>
      <c r="T4941" s="4">
        <v>4</v>
      </c>
      <c r="U4941" s="5" t="s">
        <v>15182</v>
      </c>
      <c r="V4941" s="5" t="s">
        <v>15182</v>
      </c>
      <c r="W4941" s="5" t="s">
        <v>67</v>
      </c>
      <c r="X4941" s="5" t="s">
        <v>67</v>
      </c>
      <c r="Y4941" s="4">
        <v>5</v>
      </c>
      <c r="Z4941" s="4">
        <v>1</v>
      </c>
      <c r="AA4941" s="4">
        <v>32</v>
      </c>
      <c r="AB4941" s="4">
        <v>1</v>
      </c>
      <c r="AC4941" s="4">
        <v>14</v>
      </c>
      <c r="AD4941" s="4">
        <v>0</v>
      </c>
      <c r="AE4941" s="4">
        <v>74</v>
      </c>
      <c r="AF4941" s="4">
        <v>0</v>
      </c>
      <c r="AG4941" s="4">
        <v>6</v>
      </c>
      <c r="AH4941" s="4">
        <v>0</v>
      </c>
      <c r="AI4941" s="4">
        <v>62</v>
      </c>
      <c r="AJ4941" s="4">
        <v>0</v>
      </c>
      <c r="AK4941" s="4">
        <v>16</v>
      </c>
      <c r="AL4941" s="4">
        <v>0</v>
      </c>
      <c r="AM4941" s="4">
        <v>43</v>
      </c>
      <c r="AN4941" s="4">
        <v>0</v>
      </c>
      <c r="AO4941" s="4">
        <v>0</v>
      </c>
      <c r="AP4941" s="4">
        <v>0</v>
      </c>
      <c r="AQ4941" s="4">
        <v>16</v>
      </c>
      <c r="AR4941" s="3" t="s">
        <v>62</v>
      </c>
      <c r="AS4941" s="3" t="s">
        <v>62</v>
      </c>
      <c r="AT4941" s="3" t="s">
        <v>62</v>
      </c>
      <c r="AV4941" s="6" t="str">
        <f>HYPERLINK("http://mcgill.on.worldcat.org/oclc/61612743","Catalog Record")</f>
        <v>Catalog Record</v>
      </c>
      <c r="AW4941" s="6" t="str">
        <f>HYPERLINK("http://www.worldcat.org/oclc/61612743","WorldCat Record")</f>
        <v>WorldCat Record</v>
      </c>
      <c r="AX4941" s="3" t="s">
        <v>47306</v>
      </c>
      <c r="AY4941" s="3" t="s">
        <v>47307</v>
      </c>
      <c r="AZ4941" s="3" t="s">
        <v>47308</v>
      </c>
      <c r="BA4941" s="3" t="s">
        <v>47308</v>
      </c>
      <c r="BB4941" s="3" t="s">
        <v>47309</v>
      </c>
      <c r="BC4941" s="3" t="s">
        <v>142</v>
      </c>
      <c r="BD4941" s="3" t="s">
        <v>68</v>
      </c>
      <c r="BF4941" s="3" t="s">
        <v>47309</v>
      </c>
      <c r="BG4941" s="3" t="s">
        <v>47310</v>
      </c>
    </row>
    <row r="4942" spans="1:59" ht="57" x14ac:dyDescent="0.45">
      <c r="A4942" s="2" t="s">
        <v>59</v>
      </c>
      <c r="B4942" s="2" t="s">
        <v>60</v>
      </c>
      <c r="C4942" s="2" t="s">
        <v>47311</v>
      </c>
      <c r="D4942" s="2" t="s">
        <v>47312</v>
      </c>
      <c r="E4942" s="2" t="s">
        <v>47313</v>
      </c>
      <c r="G4942" s="3" t="s">
        <v>62</v>
      </c>
      <c r="I4942" s="3" t="s">
        <v>62</v>
      </c>
      <c r="J4942" s="3" t="s">
        <v>62</v>
      </c>
      <c r="K4942" s="3" t="s">
        <v>63</v>
      </c>
      <c r="M4942" s="2" t="s">
        <v>47314</v>
      </c>
      <c r="N4942" s="3" t="s">
        <v>1097</v>
      </c>
      <c r="P4942" s="3" t="s">
        <v>65</v>
      </c>
      <c r="R4942" s="3" t="s">
        <v>66</v>
      </c>
      <c r="S4942" s="4">
        <v>10</v>
      </c>
      <c r="T4942" s="4">
        <v>10</v>
      </c>
      <c r="U4942" s="5" t="s">
        <v>13420</v>
      </c>
      <c r="V4942" s="5" t="s">
        <v>13420</v>
      </c>
      <c r="W4942" s="5" t="s">
        <v>67</v>
      </c>
      <c r="X4942" s="5" t="s">
        <v>67</v>
      </c>
      <c r="Y4942" s="4">
        <v>263</v>
      </c>
      <c r="Z4942" s="4">
        <v>23</v>
      </c>
      <c r="AA4942" s="4">
        <v>25</v>
      </c>
      <c r="AB4942" s="4">
        <v>1</v>
      </c>
      <c r="AC4942" s="4">
        <v>1</v>
      </c>
      <c r="AD4942" s="4">
        <v>92</v>
      </c>
      <c r="AE4942" s="4">
        <v>96</v>
      </c>
      <c r="AF4942" s="4">
        <v>0</v>
      </c>
      <c r="AG4942" s="4">
        <v>0</v>
      </c>
      <c r="AH4942" s="4">
        <v>80</v>
      </c>
      <c r="AI4942" s="4">
        <v>82</v>
      </c>
      <c r="AJ4942" s="4">
        <v>12</v>
      </c>
      <c r="AK4942" s="4">
        <v>13</v>
      </c>
      <c r="AL4942" s="4">
        <v>46</v>
      </c>
      <c r="AM4942" s="4">
        <v>46</v>
      </c>
      <c r="AN4942" s="4">
        <v>0</v>
      </c>
      <c r="AO4942" s="4">
        <v>0</v>
      </c>
      <c r="AP4942" s="4">
        <v>19</v>
      </c>
      <c r="AQ4942" s="4">
        <v>21</v>
      </c>
      <c r="AR4942" s="3" t="s">
        <v>62</v>
      </c>
      <c r="AS4942" s="3" t="s">
        <v>62</v>
      </c>
      <c r="AT4942" s="3" t="s">
        <v>62</v>
      </c>
      <c r="AV4942" s="6" t="str">
        <f>HYPERLINK("http://mcgill.on.worldcat.org/oclc/56442696","Catalog Record")</f>
        <v>Catalog Record</v>
      </c>
      <c r="AW4942" s="6" t="str">
        <f>HYPERLINK("http://www.worldcat.org/oclc/56442696","WorldCat Record")</f>
        <v>WorldCat Record</v>
      </c>
      <c r="AX4942" s="3" t="s">
        <v>47315</v>
      </c>
      <c r="AY4942" s="3" t="s">
        <v>47316</v>
      </c>
      <c r="AZ4942" s="3" t="s">
        <v>47317</v>
      </c>
      <c r="BA4942" s="3" t="s">
        <v>47317</v>
      </c>
      <c r="BB4942" s="3" t="s">
        <v>47318</v>
      </c>
      <c r="BC4942" s="3" t="s">
        <v>142</v>
      </c>
      <c r="BD4942" s="3" t="s">
        <v>308</v>
      </c>
      <c r="BE4942" s="3" t="s">
        <v>47319</v>
      </c>
      <c r="BF4942" s="3" t="s">
        <v>47318</v>
      </c>
      <c r="BG4942" s="3" t="s">
        <v>47320</v>
      </c>
    </row>
    <row r="4943" spans="1:59" ht="57" x14ac:dyDescent="0.45">
      <c r="A4943" s="2" t="s">
        <v>59</v>
      </c>
      <c r="B4943" s="2" t="s">
        <v>60</v>
      </c>
      <c r="C4943" s="2" t="s">
        <v>47321</v>
      </c>
      <c r="D4943" s="2" t="s">
        <v>47322</v>
      </c>
      <c r="E4943" s="2" t="s">
        <v>47323</v>
      </c>
      <c r="G4943" s="3" t="s">
        <v>62</v>
      </c>
      <c r="I4943" s="3" t="s">
        <v>62</v>
      </c>
      <c r="J4943" s="3" t="s">
        <v>62</v>
      </c>
      <c r="K4943" s="3" t="s">
        <v>63</v>
      </c>
      <c r="L4943" s="2" t="s">
        <v>12928</v>
      </c>
      <c r="M4943" s="2" t="s">
        <v>47324</v>
      </c>
      <c r="N4943" s="3" t="s">
        <v>894</v>
      </c>
      <c r="P4943" s="3" t="s">
        <v>65</v>
      </c>
      <c r="Q4943" s="2" t="s">
        <v>47325</v>
      </c>
      <c r="R4943" s="3" t="s">
        <v>66</v>
      </c>
      <c r="S4943" s="4">
        <v>7</v>
      </c>
      <c r="T4943" s="4">
        <v>7</v>
      </c>
      <c r="U4943" s="5" t="s">
        <v>15536</v>
      </c>
      <c r="V4943" s="5" t="s">
        <v>15536</v>
      </c>
      <c r="W4943" s="5" t="s">
        <v>67</v>
      </c>
      <c r="X4943" s="5" t="s">
        <v>67</v>
      </c>
      <c r="Y4943" s="4">
        <v>346</v>
      </c>
      <c r="Z4943" s="4">
        <v>25</v>
      </c>
      <c r="AA4943" s="4">
        <v>42</v>
      </c>
      <c r="AB4943" s="4">
        <v>2</v>
      </c>
      <c r="AC4943" s="4">
        <v>5</v>
      </c>
      <c r="AD4943" s="4">
        <v>87</v>
      </c>
      <c r="AE4943" s="4">
        <v>113</v>
      </c>
      <c r="AF4943" s="4">
        <v>1</v>
      </c>
      <c r="AG4943" s="4">
        <v>1</v>
      </c>
      <c r="AH4943" s="4">
        <v>75</v>
      </c>
      <c r="AI4943" s="4">
        <v>95</v>
      </c>
      <c r="AJ4943" s="4">
        <v>13</v>
      </c>
      <c r="AK4943" s="4">
        <v>15</v>
      </c>
      <c r="AL4943" s="4">
        <v>46</v>
      </c>
      <c r="AM4943" s="4">
        <v>55</v>
      </c>
      <c r="AN4943" s="4">
        <v>0</v>
      </c>
      <c r="AO4943" s="4">
        <v>0</v>
      </c>
      <c r="AP4943" s="4">
        <v>17</v>
      </c>
      <c r="AQ4943" s="4">
        <v>25</v>
      </c>
      <c r="AR4943" s="3" t="s">
        <v>62</v>
      </c>
      <c r="AS4943" s="3" t="s">
        <v>62</v>
      </c>
      <c r="AT4943" s="3" t="s">
        <v>62</v>
      </c>
      <c r="AV4943" s="6" t="str">
        <f>HYPERLINK("http://mcgill.on.worldcat.org/oclc/653122627","Catalog Record")</f>
        <v>Catalog Record</v>
      </c>
      <c r="AW4943" s="6" t="str">
        <f>HYPERLINK("http://www.worldcat.org/oclc/653122627","WorldCat Record")</f>
        <v>WorldCat Record</v>
      </c>
      <c r="AX4943" s="3" t="s">
        <v>47326</v>
      </c>
      <c r="AY4943" s="3" t="s">
        <v>47327</v>
      </c>
      <c r="AZ4943" s="3" t="s">
        <v>47328</v>
      </c>
      <c r="BA4943" s="3" t="s">
        <v>47328</v>
      </c>
      <c r="BB4943" s="3" t="s">
        <v>47329</v>
      </c>
      <c r="BC4943" s="3" t="s">
        <v>142</v>
      </c>
      <c r="BD4943" s="3" t="s">
        <v>68</v>
      </c>
      <c r="BE4943" s="3" t="s">
        <v>47330</v>
      </c>
      <c r="BF4943" s="3" t="s">
        <v>47329</v>
      </c>
      <c r="BG4943" s="3" t="s">
        <v>47331</v>
      </c>
    </row>
    <row r="4944" spans="1:59" ht="57" x14ac:dyDescent="0.45">
      <c r="A4944" s="2" t="s">
        <v>59</v>
      </c>
      <c r="B4944" s="2" t="s">
        <v>60</v>
      </c>
      <c r="C4944" s="2" t="s">
        <v>47332</v>
      </c>
      <c r="D4944" s="2" t="s">
        <v>47333</v>
      </c>
      <c r="E4944" s="2" t="s">
        <v>47334</v>
      </c>
      <c r="G4944" s="3" t="s">
        <v>62</v>
      </c>
      <c r="I4944" s="3" t="s">
        <v>61</v>
      </c>
      <c r="J4944" s="3" t="s">
        <v>61</v>
      </c>
      <c r="K4944" s="3" t="s">
        <v>3960</v>
      </c>
      <c r="L4944" s="2" t="s">
        <v>47335</v>
      </c>
      <c r="M4944" s="2" t="s">
        <v>47336</v>
      </c>
      <c r="N4944" s="3" t="s">
        <v>72</v>
      </c>
      <c r="O4944" s="2" t="s">
        <v>47337</v>
      </c>
      <c r="P4944" s="3" t="s">
        <v>65</v>
      </c>
      <c r="R4944" s="3" t="s">
        <v>66</v>
      </c>
      <c r="S4944" s="4">
        <v>16</v>
      </c>
      <c r="T4944" s="4">
        <v>44</v>
      </c>
      <c r="U4944" s="5" t="s">
        <v>47338</v>
      </c>
      <c r="V4944" s="5" t="s">
        <v>15182</v>
      </c>
      <c r="W4944" s="5" t="s">
        <v>67</v>
      </c>
      <c r="X4944" s="5" t="s">
        <v>67</v>
      </c>
      <c r="Y4944" s="4">
        <v>881</v>
      </c>
      <c r="Z4944" s="4">
        <v>36</v>
      </c>
      <c r="AA4944" s="4">
        <v>60</v>
      </c>
      <c r="AB4944" s="4">
        <v>5</v>
      </c>
      <c r="AC4944" s="4">
        <v>7</v>
      </c>
      <c r="AD4944" s="4">
        <v>117</v>
      </c>
      <c r="AE4944" s="4">
        <v>145</v>
      </c>
      <c r="AF4944" s="4">
        <v>2</v>
      </c>
      <c r="AG4944" s="4">
        <v>3</v>
      </c>
      <c r="AH4944" s="4">
        <v>94</v>
      </c>
      <c r="AI4944" s="4">
        <v>113</v>
      </c>
      <c r="AJ4944" s="4">
        <v>14</v>
      </c>
      <c r="AK4944" s="4">
        <v>21</v>
      </c>
      <c r="AL4944" s="4">
        <v>48</v>
      </c>
      <c r="AM4944" s="4">
        <v>62</v>
      </c>
      <c r="AN4944" s="4">
        <v>0</v>
      </c>
      <c r="AO4944" s="4">
        <v>0</v>
      </c>
      <c r="AP4944" s="4">
        <v>28</v>
      </c>
      <c r="AQ4944" s="4">
        <v>38</v>
      </c>
      <c r="AR4944" s="3" t="s">
        <v>62</v>
      </c>
      <c r="AS4944" s="3" t="s">
        <v>61</v>
      </c>
      <c r="AT4944" s="3" t="s">
        <v>62</v>
      </c>
      <c r="AU4944" s="6" t="str">
        <f>HYPERLINK("http://catalog.hathitrust.org/Record/001193132","HathiTrust Record")</f>
        <v>HathiTrust Record</v>
      </c>
      <c r="AV4944" s="6" t="str">
        <f>HYPERLINK("http://mcgill.on.worldcat.org/oclc/308098","Catalog Record")</f>
        <v>Catalog Record</v>
      </c>
      <c r="AW4944" s="6" t="str">
        <f>HYPERLINK("http://www.worldcat.org/oclc/308098","WorldCat Record")</f>
        <v>WorldCat Record</v>
      </c>
      <c r="AX4944" s="3" t="s">
        <v>47339</v>
      </c>
      <c r="AY4944" s="3" t="s">
        <v>47340</v>
      </c>
      <c r="AZ4944" s="3" t="s">
        <v>47341</v>
      </c>
      <c r="BA4944" s="3" t="s">
        <v>47341</v>
      </c>
      <c r="BB4944" s="3" t="s">
        <v>47342</v>
      </c>
      <c r="BC4944" s="3" t="s">
        <v>142</v>
      </c>
      <c r="BD4944" s="3" t="s">
        <v>68</v>
      </c>
      <c r="BE4944" s="3" t="s">
        <v>47343</v>
      </c>
      <c r="BF4944" s="3" t="s">
        <v>47342</v>
      </c>
      <c r="BG4944" s="3" t="s">
        <v>47344</v>
      </c>
    </row>
    <row r="4945" spans="1:59" ht="57" x14ac:dyDescent="0.45">
      <c r="A4945" s="2" t="s">
        <v>59</v>
      </c>
      <c r="B4945" s="2" t="s">
        <v>60</v>
      </c>
      <c r="C4945" s="2" t="s">
        <v>47332</v>
      </c>
      <c r="D4945" s="2" t="s">
        <v>47333</v>
      </c>
      <c r="E4945" s="2" t="s">
        <v>47334</v>
      </c>
      <c r="G4945" s="3" t="s">
        <v>62</v>
      </c>
      <c r="I4945" s="3" t="s">
        <v>61</v>
      </c>
      <c r="J4945" s="3" t="s">
        <v>61</v>
      </c>
      <c r="K4945" s="3" t="s">
        <v>3960</v>
      </c>
      <c r="L4945" s="2" t="s">
        <v>47335</v>
      </c>
      <c r="M4945" s="2" t="s">
        <v>47336</v>
      </c>
      <c r="N4945" s="3" t="s">
        <v>72</v>
      </c>
      <c r="O4945" s="2" t="s">
        <v>47337</v>
      </c>
      <c r="P4945" s="3" t="s">
        <v>65</v>
      </c>
      <c r="R4945" s="3" t="s">
        <v>66</v>
      </c>
      <c r="S4945" s="4">
        <v>25</v>
      </c>
      <c r="T4945" s="4">
        <v>44</v>
      </c>
      <c r="U4945" s="5" t="s">
        <v>15182</v>
      </c>
      <c r="V4945" s="5" t="s">
        <v>15182</v>
      </c>
      <c r="W4945" s="5" t="s">
        <v>67</v>
      </c>
      <c r="X4945" s="5" t="s">
        <v>67</v>
      </c>
      <c r="Y4945" s="4">
        <v>881</v>
      </c>
      <c r="Z4945" s="4">
        <v>36</v>
      </c>
      <c r="AA4945" s="4">
        <v>60</v>
      </c>
      <c r="AB4945" s="4">
        <v>5</v>
      </c>
      <c r="AC4945" s="4">
        <v>7</v>
      </c>
      <c r="AD4945" s="4">
        <v>117</v>
      </c>
      <c r="AE4945" s="4">
        <v>145</v>
      </c>
      <c r="AF4945" s="4">
        <v>2</v>
      </c>
      <c r="AG4945" s="4">
        <v>3</v>
      </c>
      <c r="AH4945" s="4">
        <v>94</v>
      </c>
      <c r="AI4945" s="4">
        <v>113</v>
      </c>
      <c r="AJ4945" s="4">
        <v>14</v>
      </c>
      <c r="AK4945" s="4">
        <v>21</v>
      </c>
      <c r="AL4945" s="4">
        <v>48</v>
      </c>
      <c r="AM4945" s="4">
        <v>62</v>
      </c>
      <c r="AN4945" s="4">
        <v>0</v>
      </c>
      <c r="AO4945" s="4">
        <v>0</v>
      </c>
      <c r="AP4945" s="4">
        <v>28</v>
      </c>
      <c r="AQ4945" s="4">
        <v>38</v>
      </c>
      <c r="AR4945" s="3" t="s">
        <v>62</v>
      </c>
      <c r="AS4945" s="3" t="s">
        <v>61</v>
      </c>
      <c r="AT4945" s="3" t="s">
        <v>62</v>
      </c>
      <c r="AU4945" s="6" t="str">
        <f>HYPERLINK("http://catalog.hathitrust.org/Record/001193132","HathiTrust Record")</f>
        <v>HathiTrust Record</v>
      </c>
      <c r="AV4945" s="6" t="str">
        <f>HYPERLINK("http://mcgill.on.worldcat.org/oclc/308098","Catalog Record")</f>
        <v>Catalog Record</v>
      </c>
      <c r="AW4945" s="6" t="str">
        <f>HYPERLINK("http://www.worldcat.org/oclc/308098","WorldCat Record")</f>
        <v>WorldCat Record</v>
      </c>
      <c r="AX4945" s="3" t="s">
        <v>47339</v>
      </c>
      <c r="AY4945" s="3" t="s">
        <v>47340</v>
      </c>
      <c r="AZ4945" s="3" t="s">
        <v>47341</v>
      </c>
      <c r="BA4945" s="3" t="s">
        <v>47341</v>
      </c>
      <c r="BB4945" s="3" t="s">
        <v>47345</v>
      </c>
      <c r="BC4945" s="3" t="s">
        <v>142</v>
      </c>
      <c r="BD4945" s="3" t="s">
        <v>68</v>
      </c>
      <c r="BE4945" s="3" t="s">
        <v>47343</v>
      </c>
      <c r="BF4945" s="3" t="s">
        <v>47345</v>
      </c>
      <c r="BG4945" s="3" t="s">
        <v>47346</v>
      </c>
    </row>
    <row r="4946" spans="1:59" ht="57" x14ac:dyDescent="0.45">
      <c r="A4946" s="2" t="s">
        <v>59</v>
      </c>
      <c r="B4946" s="2" t="s">
        <v>60</v>
      </c>
      <c r="C4946" s="2" t="s">
        <v>47332</v>
      </c>
      <c r="D4946" s="2" t="s">
        <v>47333</v>
      </c>
      <c r="E4946" s="2" t="s">
        <v>47334</v>
      </c>
      <c r="G4946" s="3" t="s">
        <v>62</v>
      </c>
      <c r="I4946" s="3" t="s">
        <v>61</v>
      </c>
      <c r="J4946" s="3" t="s">
        <v>61</v>
      </c>
      <c r="K4946" s="3" t="s">
        <v>3960</v>
      </c>
      <c r="L4946" s="2" t="s">
        <v>47335</v>
      </c>
      <c r="M4946" s="2" t="s">
        <v>47336</v>
      </c>
      <c r="N4946" s="3" t="s">
        <v>72</v>
      </c>
      <c r="O4946" s="2" t="s">
        <v>47337</v>
      </c>
      <c r="P4946" s="3" t="s">
        <v>65</v>
      </c>
      <c r="R4946" s="3" t="s">
        <v>66</v>
      </c>
      <c r="S4946" s="4">
        <v>3</v>
      </c>
      <c r="T4946" s="4">
        <v>44</v>
      </c>
      <c r="U4946" s="5" t="s">
        <v>6101</v>
      </c>
      <c r="V4946" s="5" t="s">
        <v>15182</v>
      </c>
      <c r="W4946" s="5" t="s">
        <v>67</v>
      </c>
      <c r="X4946" s="5" t="s">
        <v>67</v>
      </c>
      <c r="Y4946" s="4">
        <v>881</v>
      </c>
      <c r="Z4946" s="4">
        <v>36</v>
      </c>
      <c r="AA4946" s="4">
        <v>60</v>
      </c>
      <c r="AB4946" s="4">
        <v>5</v>
      </c>
      <c r="AC4946" s="4">
        <v>7</v>
      </c>
      <c r="AD4946" s="4">
        <v>117</v>
      </c>
      <c r="AE4946" s="4">
        <v>145</v>
      </c>
      <c r="AF4946" s="4">
        <v>2</v>
      </c>
      <c r="AG4946" s="4">
        <v>3</v>
      </c>
      <c r="AH4946" s="4">
        <v>94</v>
      </c>
      <c r="AI4946" s="4">
        <v>113</v>
      </c>
      <c r="AJ4946" s="4">
        <v>14</v>
      </c>
      <c r="AK4946" s="4">
        <v>21</v>
      </c>
      <c r="AL4946" s="4">
        <v>48</v>
      </c>
      <c r="AM4946" s="4">
        <v>62</v>
      </c>
      <c r="AN4946" s="4">
        <v>0</v>
      </c>
      <c r="AO4946" s="4">
        <v>0</v>
      </c>
      <c r="AP4946" s="4">
        <v>28</v>
      </c>
      <c r="AQ4946" s="4">
        <v>38</v>
      </c>
      <c r="AR4946" s="3" t="s">
        <v>62</v>
      </c>
      <c r="AS4946" s="3" t="s">
        <v>61</v>
      </c>
      <c r="AT4946" s="3" t="s">
        <v>62</v>
      </c>
      <c r="AU4946" s="6" t="str">
        <f>HYPERLINK("http://catalog.hathitrust.org/Record/001193132","HathiTrust Record")</f>
        <v>HathiTrust Record</v>
      </c>
      <c r="AV4946" s="6" t="str">
        <f>HYPERLINK("http://mcgill.on.worldcat.org/oclc/308098","Catalog Record")</f>
        <v>Catalog Record</v>
      </c>
      <c r="AW4946" s="6" t="str">
        <f>HYPERLINK("http://www.worldcat.org/oclc/308098","WorldCat Record")</f>
        <v>WorldCat Record</v>
      </c>
      <c r="AX4946" s="3" t="s">
        <v>47339</v>
      </c>
      <c r="AY4946" s="3" t="s">
        <v>47340</v>
      </c>
      <c r="AZ4946" s="3" t="s">
        <v>47341</v>
      </c>
      <c r="BA4946" s="3" t="s">
        <v>47341</v>
      </c>
      <c r="BB4946" s="3" t="s">
        <v>47347</v>
      </c>
      <c r="BC4946" s="3" t="s">
        <v>142</v>
      </c>
      <c r="BD4946" s="3" t="s">
        <v>68</v>
      </c>
      <c r="BE4946" s="3" t="s">
        <v>47343</v>
      </c>
      <c r="BF4946" s="3" t="s">
        <v>47347</v>
      </c>
      <c r="BG4946" s="3" t="s">
        <v>47348</v>
      </c>
    </row>
    <row r="4947" spans="1:59" ht="57" x14ac:dyDescent="0.45">
      <c r="A4947" s="2" t="s">
        <v>59</v>
      </c>
      <c r="B4947" s="2" t="s">
        <v>60</v>
      </c>
      <c r="C4947" s="2" t="s">
        <v>47349</v>
      </c>
      <c r="D4947" s="2" t="s">
        <v>47350</v>
      </c>
      <c r="E4947" s="2" t="s">
        <v>47351</v>
      </c>
      <c r="G4947" s="3" t="s">
        <v>62</v>
      </c>
      <c r="I4947" s="3" t="s">
        <v>62</v>
      </c>
      <c r="J4947" s="3" t="s">
        <v>62</v>
      </c>
      <c r="K4947" s="3" t="s">
        <v>63</v>
      </c>
      <c r="L4947" s="2" t="s">
        <v>47352</v>
      </c>
      <c r="M4947" s="2" t="s">
        <v>47353</v>
      </c>
      <c r="N4947" s="3" t="s">
        <v>1224</v>
      </c>
      <c r="P4947" s="3" t="s">
        <v>65</v>
      </c>
      <c r="R4947" s="3" t="s">
        <v>66</v>
      </c>
      <c r="S4947" s="4">
        <v>4</v>
      </c>
      <c r="T4947" s="4">
        <v>4</v>
      </c>
      <c r="U4947" s="5" t="s">
        <v>43001</v>
      </c>
      <c r="V4947" s="5" t="s">
        <v>43001</v>
      </c>
      <c r="W4947" s="5" t="s">
        <v>67</v>
      </c>
      <c r="X4947" s="5" t="s">
        <v>67</v>
      </c>
      <c r="Y4947" s="4">
        <v>251</v>
      </c>
      <c r="Z4947" s="4">
        <v>22</v>
      </c>
      <c r="AA4947" s="4">
        <v>22</v>
      </c>
      <c r="AB4947" s="4">
        <v>3</v>
      </c>
      <c r="AC4947" s="4">
        <v>3</v>
      </c>
      <c r="AD4947" s="4">
        <v>82</v>
      </c>
      <c r="AE4947" s="4">
        <v>83</v>
      </c>
      <c r="AF4947" s="4">
        <v>1</v>
      </c>
      <c r="AG4947" s="4">
        <v>1</v>
      </c>
      <c r="AH4947" s="4">
        <v>70</v>
      </c>
      <c r="AI4947" s="4">
        <v>71</v>
      </c>
      <c r="AJ4947" s="4">
        <v>12</v>
      </c>
      <c r="AK4947" s="4">
        <v>12</v>
      </c>
      <c r="AL4947" s="4">
        <v>36</v>
      </c>
      <c r="AM4947" s="4">
        <v>36</v>
      </c>
      <c r="AN4947" s="4">
        <v>4</v>
      </c>
      <c r="AO4947" s="4">
        <v>4</v>
      </c>
      <c r="AP4947" s="4">
        <v>16</v>
      </c>
      <c r="AQ4947" s="4">
        <v>16</v>
      </c>
      <c r="AR4947" s="3" t="s">
        <v>62</v>
      </c>
      <c r="AS4947" s="3" t="s">
        <v>62</v>
      </c>
      <c r="AT4947" s="3" t="s">
        <v>61</v>
      </c>
      <c r="AU4947" s="6" t="str">
        <f>HYPERLINK("http://catalog.hathitrust.org/Record/001181073","HathiTrust Record")</f>
        <v>HathiTrust Record</v>
      </c>
      <c r="AV4947" s="6" t="str">
        <f>HYPERLINK("http://mcgill.on.worldcat.org/oclc/1747110","Catalog Record")</f>
        <v>Catalog Record</v>
      </c>
      <c r="AW4947" s="6" t="str">
        <f>HYPERLINK("http://www.worldcat.org/oclc/1747110","WorldCat Record")</f>
        <v>WorldCat Record</v>
      </c>
      <c r="AX4947" s="3" t="s">
        <v>47354</v>
      </c>
      <c r="AY4947" s="3" t="s">
        <v>47355</v>
      </c>
      <c r="AZ4947" s="3" t="s">
        <v>47356</v>
      </c>
      <c r="BA4947" s="3" t="s">
        <v>47356</v>
      </c>
      <c r="BB4947" s="3" t="s">
        <v>47357</v>
      </c>
      <c r="BC4947" s="3" t="s">
        <v>142</v>
      </c>
      <c r="BD4947" s="3" t="s">
        <v>68</v>
      </c>
      <c r="BE4947" s="3" t="s">
        <v>47358</v>
      </c>
      <c r="BF4947" s="3" t="s">
        <v>47357</v>
      </c>
      <c r="BG4947" s="3" t="s">
        <v>47359</v>
      </c>
    </row>
    <row r="4948" spans="1:59" ht="57" x14ac:dyDescent="0.45">
      <c r="A4948" s="2" t="s">
        <v>59</v>
      </c>
      <c r="B4948" s="2" t="s">
        <v>60</v>
      </c>
      <c r="C4948" s="2" t="s">
        <v>47360</v>
      </c>
      <c r="D4948" s="2" t="s">
        <v>47361</v>
      </c>
      <c r="E4948" s="2" t="s">
        <v>47362</v>
      </c>
      <c r="G4948" s="3" t="s">
        <v>62</v>
      </c>
      <c r="I4948" s="3" t="s">
        <v>62</v>
      </c>
      <c r="J4948" s="3" t="s">
        <v>62</v>
      </c>
      <c r="K4948" s="3" t="s">
        <v>63</v>
      </c>
      <c r="L4948" s="2" t="s">
        <v>47363</v>
      </c>
      <c r="M4948" s="2" t="s">
        <v>47364</v>
      </c>
      <c r="N4948" s="3" t="s">
        <v>820</v>
      </c>
      <c r="P4948" s="3" t="s">
        <v>65</v>
      </c>
      <c r="Q4948" s="2" t="s">
        <v>4781</v>
      </c>
      <c r="R4948" s="3" t="s">
        <v>66</v>
      </c>
      <c r="S4948" s="4">
        <v>6</v>
      </c>
      <c r="T4948" s="4">
        <v>6</v>
      </c>
      <c r="U4948" s="5" t="s">
        <v>12565</v>
      </c>
      <c r="V4948" s="5" t="s">
        <v>12565</v>
      </c>
      <c r="W4948" s="5" t="s">
        <v>67</v>
      </c>
      <c r="X4948" s="5" t="s">
        <v>67</v>
      </c>
      <c r="Y4948" s="4">
        <v>8</v>
      </c>
      <c r="Z4948" s="4">
        <v>3</v>
      </c>
      <c r="AA4948" s="4">
        <v>72</v>
      </c>
      <c r="AB4948" s="4">
        <v>1</v>
      </c>
      <c r="AC4948" s="4">
        <v>12</v>
      </c>
      <c r="AD4948" s="4">
        <v>2</v>
      </c>
      <c r="AE4948" s="4">
        <v>125</v>
      </c>
      <c r="AF4948" s="4">
        <v>0</v>
      </c>
      <c r="AG4948" s="4">
        <v>6</v>
      </c>
      <c r="AH4948" s="4">
        <v>2</v>
      </c>
      <c r="AI4948" s="4">
        <v>96</v>
      </c>
      <c r="AJ4948" s="4">
        <v>1</v>
      </c>
      <c r="AK4948" s="4">
        <v>21</v>
      </c>
      <c r="AL4948" s="4">
        <v>1</v>
      </c>
      <c r="AM4948" s="4">
        <v>53</v>
      </c>
      <c r="AN4948" s="4">
        <v>0</v>
      </c>
      <c r="AO4948" s="4">
        <v>0</v>
      </c>
      <c r="AP4948" s="4">
        <v>1</v>
      </c>
      <c r="AQ4948" s="4">
        <v>36</v>
      </c>
      <c r="AR4948" s="3" t="s">
        <v>62</v>
      </c>
      <c r="AS4948" s="3" t="s">
        <v>62</v>
      </c>
      <c r="AT4948" s="3" t="s">
        <v>62</v>
      </c>
      <c r="AV4948" s="6" t="str">
        <f>HYPERLINK("http://mcgill.on.worldcat.org/oclc/241037775","Catalog Record")</f>
        <v>Catalog Record</v>
      </c>
      <c r="AW4948" s="6" t="str">
        <f>HYPERLINK("http://www.worldcat.org/oclc/241037775","WorldCat Record")</f>
        <v>WorldCat Record</v>
      </c>
      <c r="AX4948" s="3" t="s">
        <v>47365</v>
      </c>
      <c r="AY4948" s="3" t="s">
        <v>47366</v>
      </c>
      <c r="AZ4948" s="3" t="s">
        <v>47367</v>
      </c>
      <c r="BA4948" s="3" t="s">
        <v>47367</v>
      </c>
      <c r="BB4948" s="3" t="s">
        <v>47368</v>
      </c>
      <c r="BC4948" s="3" t="s">
        <v>142</v>
      </c>
      <c r="BD4948" s="3" t="s">
        <v>308</v>
      </c>
      <c r="BE4948" s="3" t="s">
        <v>47369</v>
      </c>
      <c r="BF4948" s="3" t="s">
        <v>47368</v>
      </c>
      <c r="BG4948" s="3" t="s">
        <v>47370</v>
      </c>
    </row>
    <row r="4949" spans="1:59" ht="57" x14ac:dyDescent="0.45">
      <c r="A4949" s="2" t="s">
        <v>59</v>
      </c>
      <c r="B4949" s="2" t="s">
        <v>60</v>
      </c>
      <c r="C4949" s="2" t="s">
        <v>47371</v>
      </c>
      <c r="D4949" s="2" t="s">
        <v>47372</v>
      </c>
      <c r="E4949" s="2" t="s">
        <v>47373</v>
      </c>
      <c r="G4949" s="3" t="s">
        <v>62</v>
      </c>
      <c r="I4949" s="3" t="s">
        <v>62</v>
      </c>
      <c r="J4949" s="3" t="s">
        <v>62</v>
      </c>
      <c r="K4949" s="3" t="s">
        <v>63</v>
      </c>
      <c r="L4949" s="2" t="s">
        <v>47374</v>
      </c>
      <c r="M4949" s="2" t="s">
        <v>1109</v>
      </c>
      <c r="N4949" s="3" t="s">
        <v>568</v>
      </c>
      <c r="P4949" s="3" t="s">
        <v>65</v>
      </c>
      <c r="Q4949" s="2" t="s">
        <v>47375</v>
      </c>
      <c r="R4949" s="3" t="s">
        <v>66</v>
      </c>
      <c r="S4949" s="4">
        <v>88</v>
      </c>
      <c r="T4949" s="4">
        <v>88</v>
      </c>
      <c r="U4949" s="5" t="s">
        <v>13035</v>
      </c>
      <c r="V4949" s="5" t="s">
        <v>13035</v>
      </c>
      <c r="W4949" s="5" t="s">
        <v>67</v>
      </c>
      <c r="X4949" s="5" t="s">
        <v>67</v>
      </c>
      <c r="Y4949" s="4">
        <v>655</v>
      </c>
      <c r="Z4949" s="4">
        <v>35</v>
      </c>
      <c r="AA4949" s="4">
        <v>41</v>
      </c>
      <c r="AB4949" s="4">
        <v>3</v>
      </c>
      <c r="AC4949" s="4">
        <v>8</v>
      </c>
      <c r="AD4949" s="4">
        <v>123</v>
      </c>
      <c r="AE4949" s="4">
        <v>126</v>
      </c>
      <c r="AF4949" s="4">
        <v>2</v>
      </c>
      <c r="AG4949" s="4">
        <v>5</v>
      </c>
      <c r="AH4949" s="4">
        <v>103</v>
      </c>
      <c r="AI4949" s="4">
        <v>104</v>
      </c>
      <c r="AJ4949" s="4">
        <v>17</v>
      </c>
      <c r="AK4949" s="4">
        <v>20</v>
      </c>
      <c r="AL4949" s="4">
        <v>57</v>
      </c>
      <c r="AM4949" s="4">
        <v>57</v>
      </c>
      <c r="AN4949" s="4">
        <v>0</v>
      </c>
      <c r="AO4949" s="4">
        <v>0</v>
      </c>
      <c r="AP4949" s="4">
        <v>27</v>
      </c>
      <c r="AQ4949" s="4">
        <v>29</v>
      </c>
      <c r="AR4949" s="3" t="s">
        <v>62</v>
      </c>
      <c r="AS4949" s="3" t="s">
        <v>62</v>
      </c>
      <c r="AT4949" s="3" t="s">
        <v>62</v>
      </c>
      <c r="AV4949" s="6" t="str">
        <f>HYPERLINK("http://mcgill.on.worldcat.org/oclc/14242868","Catalog Record")</f>
        <v>Catalog Record</v>
      </c>
      <c r="AW4949" s="6" t="str">
        <f>HYPERLINK("http://www.worldcat.org/oclc/14242868","WorldCat Record")</f>
        <v>WorldCat Record</v>
      </c>
      <c r="AX4949" s="3" t="s">
        <v>47376</v>
      </c>
      <c r="AY4949" s="3" t="s">
        <v>47377</v>
      </c>
      <c r="AZ4949" s="3" t="s">
        <v>47378</v>
      </c>
      <c r="BA4949" s="3" t="s">
        <v>47378</v>
      </c>
      <c r="BB4949" s="3" t="s">
        <v>47379</v>
      </c>
      <c r="BC4949" s="3" t="s">
        <v>142</v>
      </c>
      <c r="BD4949" s="3" t="s">
        <v>68</v>
      </c>
      <c r="BE4949" s="3" t="s">
        <v>47380</v>
      </c>
      <c r="BF4949" s="3" t="s">
        <v>47379</v>
      </c>
      <c r="BG4949" s="3" t="s">
        <v>47381</v>
      </c>
    </row>
    <row r="4950" spans="1:59" ht="57" x14ac:dyDescent="0.45">
      <c r="A4950" s="2" t="s">
        <v>59</v>
      </c>
      <c r="B4950" s="2" t="s">
        <v>60</v>
      </c>
      <c r="C4950" s="2" t="s">
        <v>47382</v>
      </c>
      <c r="D4950" s="2" t="s">
        <v>47383</v>
      </c>
      <c r="E4950" s="2" t="s">
        <v>47384</v>
      </c>
      <c r="G4950" s="3" t="s">
        <v>62</v>
      </c>
      <c r="I4950" s="3" t="s">
        <v>61</v>
      </c>
      <c r="J4950" s="3" t="s">
        <v>62</v>
      </c>
      <c r="K4950" s="3" t="s">
        <v>63</v>
      </c>
      <c r="L4950" s="2" t="s">
        <v>47374</v>
      </c>
      <c r="M4950" s="2" t="s">
        <v>47385</v>
      </c>
      <c r="N4950" s="3" t="s">
        <v>1212</v>
      </c>
      <c r="P4950" s="3" t="s">
        <v>65</v>
      </c>
      <c r="Q4950" s="2" t="s">
        <v>47386</v>
      </c>
      <c r="R4950" s="3" t="s">
        <v>66</v>
      </c>
      <c r="S4950" s="4">
        <v>11</v>
      </c>
      <c r="T4950" s="4">
        <v>12</v>
      </c>
      <c r="U4950" s="5" t="s">
        <v>13035</v>
      </c>
      <c r="V4950" s="5" t="s">
        <v>13035</v>
      </c>
      <c r="W4950" s="5" t="s">
        <v>67</v>
      </c>
      <c r="X4950" s="5" t="s">
        <v>67</v>
      </c>
      <c r="Y4950" s="4">
        <v>545</v>
      </c>
      <c r="Z4950" s="4">
        <v>30</v>
      </c>
      <c r="AA4950" s="4">
        <v>33</v>
      </c>
      <c r="AB4950" s="4">
        <v>3</v>
      </c>
      <c r="AC4950" s="4">
        <v>4</v>
      </c>
      <c r="AD4950" s="4">
        <v>115</v>
      </c>
      <c r="AE4950" s="4">
        <v>121</v>
      </c>
      <c r="AF4950" s="4">
        <v>1</v>
      </c>
      <c r="AG4950" s="4">
        <v>1</v>
      </c>
      <c r="AH4950" s="4">
        <v>101</v>
      </c>
      <c r="AI4950" s="4">
        <v>107</v>
      </c>
      <c r="AJ4950" s="4">
        <v>17</v>
      </c>
      <c r="AK4950" s="4">
        <v>17</v>
      </c>
      <c r="AL4950" s="4">
        <v>54</v>
      </c>
      <c r="AM4950" s="4">
        <v>56</v>
      </c>
      <c r="AN4950" s="4">
        <v>0</v>
      </c>
      <c r="AO4950" s="4">
        <v>0</v>
      </c>
      <c r="AP4950" s="4">
        <v>22</v>
      </c>
      <c r="AQ4950" s="4">
        <v>22</v>
      </c>
      <c r="AR4950" s="3" t="s">
        <v>62</v>
      </c>
      <c r="AS4950" s="3" t="s">
        <v>62</v>
      </c>
      <c r="AT4950" s="3" t="s">
        <v>62</v>
      </c>
      <c r="AV4950" s="6" t="str">
        <f>HYPERLINK("http://mcgill.on.worldcat.org/oclc/41960159","Catalog Record")</f>
        <v>Catalog Record</v>
      </c>
      <c r="AW4950" s="6" t="str">
        <f>HYPERLINK("http://www.worldcat.org/oclc/41960159","WorldCat Record")</f>
        <v>WorldCat Record</v>
      </c>
      <c r="AX4950" s="3" t="s">
        <v>47387</v>
      </c>
      <c r="AY4950" s="3" t="s">
        <v>47388</v>
      </c>
      <c r="AZ4950" s="3" t="s">
        <v>47389</v>
      </c>
      <c r="BA4950" s="3" t="s">
        <v>47389</v>
      </c>
      <c r="BB4950" s="3" t="s">
        <v>47390</v>
      </c>
      <c r="BC4950" s="3" t="s">
        <v>142</v>
      </c>
      <c r="BD4950" s="3" t="s">
        <v>68</v>
      </c>
      <c r="BE4950" s="3" t="s">
        <v>47391</v>
      </c>
      <c r="BF4950" s="3" t="s">
        <v>47390</v>
      </c>
      <c r="BG4950" s="3" t="s">
        <v>47392</v>
      </c>
    </row>
    <row r="4951" spans="1:59" ht="57" x14ac:dyDescent="0.45">
      <c r="A4951" s="2" t="s">
        <v>59</v>
      </c>
      <c r="B4951" s="2" t="s">
        <v>60</v>
      </c>
      <c r="C4951" s="2" t="s">
        <v>47382</v>
      </c>
      <c r="D4951" s="2" t="s">
        <v>47383</v>
      </c>
      <c r="E4951" s="2" t="s">
        <v>47384</v>
      </c>
      <c r="G4951" s="3" t="s">
        <v>62</v>
      </c>
      <c r="I4951" s="3" t="s">
        <v>61</v>
      </c>
      <c r="J4951" s="3" t="s">
        <v>62</v>
      </c>
      <c r="K4951" s="3" t="s">
        <v>63</v>
      </c>
      <c r="L4951" s="2" t="s">
        <v>47374</v>
      </c>
      <c r="M4951" s="2" t="s">
        <v>47385</v>
      </c>
      <c r="N4951" s="3" t="s">
        <v>1212</v>
      </c>
      <c r="P4951" s="3" t="s">
        <v>65</v>
      </c>
      <c r="Q4951" s="2" t="s">
        <v>47386</v>
      </c>
      <c r="R4951" s="3" t="s">
        <v>66</v>
      </c>
      <c r="S4951" s="4">
        <v>1</v>
      </c>
      <c r="T4951" s="4">
        <v>12</v>
      </c>
      <c r="U4951" s="5" t="s">
        <v>7937</v>
      </c>
      <c r="V4951" s="5" t="s">
        <v>13035</v>
      </c>
      <c r="W4951" s="5" t="s">
        <v>67</v>
      </c>
      <c r="X4951" s="5" t="s">
        <v>67</v>
      </c>
      <c r="Y4951" s="4">
        <v>545</v>
      </c>
      <c r="Z4951" s="4">
        <v>30</v>
      </c>
      <c r="AA4951" s="4">
        <v>33</v>
      </c>
      <c r="AB4951" s="4">
        <v>3</v>
      </c>
      <c r="AC4951" s="4">
        <v>4</v>
      </c>
      <c r="AD4951" s="4">
        <v>115</v>
      </c>
      <c r="AE4951" s="4">
        <v>121</v>
      </c>
      <c r="AF4951" s="4">
        <v>1</v>
      </c>
      <c r="AG4951" s="4">
        <v>1</v>
      </c>
      <c r="AH4951" s="4">
        <v>101</v>
      </c>
      <c r="AI4951" s="4">
        <v>107</v>
      </c>
      <c r="AJ4951" s="4">
        <v>17</v>
      </c>
      <c r="AK4951" s="4">
        <v>17</v>
      </c>
      <c r="AL4951" s="4">
        <v>54</v>
      </c>
      <c r="AM4951" s="4">
        <v>56</v>
      </c>
      <c r="AN4951" s="4">
        <v>0</v>
      </c>
      <c r="AO4951" s="4">
        <v>0</v>
      </c>
      <c r="AP4951" s="4">
        <v>22</v>
      </c>
      <c r="AQ4951" s="4">
        <v>22</v>
      </c>
      <c r="AR4951" s="3" t="s">
        <v>62</v>
      </c>
      <c r="AS4951" s="3" t="s">
        <v>62</v>
      </c>
      <c r="AT4951" s="3" t="s">
        <v>62</v>
      </c>
      <c r="AV4951" s="6" t="str">
        <f>HYPERLINK("http://mcgill.on.worldcat.org/oclc/41960159","Catalog Record")</f>
        <v>Catalog Record</v>
      </c>
      <c r="AW4951" s="6" t="str">
        <f>HYPERLINK("http://www.worldcat.org/oclc/41960159","WorldCat Record")</f>
        <v>WorldCat Record</v>
      </c>
      <c r="AX4951" s="3" t="s">
        <v>47387</v>
      </c>
      <c r="AY4951" s="3" t="s">
        <v>47388</v>
      </c>
      <c r="AZ4951" s="3" t="s">
        <v>47389</v>
      </c>
      <c r="BA4951" s="3" t="s">
        <v>47389</v>
      </c>
      <c r="BB4951" s="3" t="s">
        <v>47393</v>
      </c>
      <c r="BC4951" s="3" t="s">
        <v>142</v>
      </c>
      <c r="BD4951" s="3" t="s">
        <v>68</v>
      </c>
      <c r="BE4951" s="3" t="s">
        <v>47391</v>
      </c>
      <c r="BF4951" s="3" t="s">
        <v>47393</v>
      </c>
      <c r="BG4951" s="3" t="s">
        <v>47394</v>
      </c>
    </row>
    <row r="4952" spans="1:59" ht="57" x14ac:dyDescent="0.45">
      <c r="A4952" s="2" t="s">
        <v>59</v>
      </c>
      <c r="B4952" s="2" t="s">
        <v>60</v>
      </c>
      <c r="C4952" s="2" t="s">
        <v>47395</v>
      </c>
      <c r="D4952" s="2" t="s">
        <v>47396</v>
      </c>
      <c r="E4952" s="2" t="s">
        <v>47397</v>
      </c>
      <c r="G4952" s="3" t="s">
        <v>62</v>
      </c>
      <c r="I4952" s="3" t="s">
        <v>62</v>
      </c>
      <c r="J4952" s="3" t="s">
        <v>62</v>
      </c>
      <c r="K4952" s="3" t="s">
        <v>63</v>
      </c>
      <c r="M4952" s="2" t="s">
        <v>47398</v>
      </c>
      <c r="N4952" s="3" t="s">
        <v>820</v>
      </c>
      <c r="P4952" s="3" t="s">
        <v>65</v>
      </c>
      <c r="R4952" s="3" t="s">
        <v>66</v>
      </c>
      <c r="S4952" s="4">
        <v>13</v>
      </c>
      <c r="T4952" s="4">
        <v>13</v>
      </c>
      <c r="U4952" s="5" t="s">
        <v>36659</v>
      </c>
      <c r="V4952" s="5" t="s">
        <v>36659</v>
      </c>
      <c r="W4952" s="5" t="s">
        <v>67</v>
      </c>
      <c r="X4952" s="5" t="s">
        <v>67</v>
      </c>
      <c r="Y4952" s="4">
        <v>412</v>
      </c>
      <c r="Z4952" s="4">
        <v>26</v>
      </c>
      <c r="AA4952" s="4">
        <v>34</v>
      </c>
      <c r="AB4952" s="4">
        <v>2</v>
      </c>
      <c r="AC4952" s="4">
        <v>9</v>
      </c>
      <c r="AD4952" s="4">
        <v>90</v>
      </c>
      <c r="AE4952" s="4">
        <v>98</v>
      </c>
      <c r="AF4952" s="4">
        <v>1</v>
      </c>
      <c r="AG4952" s="4">
        <v>4</v>
      </c>
      <c r="AH4952" s="4">
        <v>77</v>
      </c>
      <c r="AI4952" s="4">
        <v>81</v>
      </c>
      <c r="AJ4952" s="4">
        <v>16</v>
      </c>
      <c r="AK4952" s="4">
        <v>19</v>
      </c>
      <c r="AL4952" s="4">
        <v>42</v>
      </c>
      <c r="AM4952" s="4">
        <v>45</v>
      </c>
      <c r="AN4952" s="4">
        <v>0</v>
      </c>
      <c r="AO4952" s="4">
        <v>0</v>
      </c>
      <c r="AP4952" s="4">
        <v>21</v>
      </c>
      <c r="AQ4952" s="4">
        <v>24</v>
      </c>
      <c r="AR4952" s="3" t="s">
        <v>62</v>
      </c>
      <c r="AS4952" s="3" t="s">
        <v>62</v>
      </c>
      <c r="AT4952" s="3" t="s">
        <v>61</v>
      </c>
      <c r="AU4952" s="6" t="str">
        <f>HYPERLINK("http://catalog.hathitrust.org/Record/005587382","HathiTrust Record")</f>
        <v>HathiTrust Record</v>
      </c>
      <c r="AV4952" s="6" t="str">
        <f>HYPERLINK("http://mcgill.on.worldcat.org/oclc/124074929","Catalog Record")</f>
        <v>Catalog Record</v>
      </c>
      <c r="AW4952" s="6" t="str">
        <f>HYPERLINK("http://www.worldcat.org/oclc/124074929","WorldCat Record")</f>
        <v>WorldCat Record</v>
      </c>
      <c r="AX4952" s="3" t="s">
        <v>47399</v>
      </c>
      <c r="AY4952" s="3" t="s">
        <v>47400</v>
      </c>
      <c r="AZ4952" s="3" t="s">
        <v>47401</v>
      </c>
      <c r="BA4952" s="3" t="s">
        <v>47401</v>
      </c>
      <c r="BB4952" s="3" t="s">
        <v>47402</v>
      </c>
      <c r="BC4952" s="3" t="s">
        <v>142</v>
      </c>
      <c r="BD4952" s="3" t="s">
        <v>68</v>
      </c>
      <c r="BE4952" s="3" t="s">
        <v>47403</v>
      </c>
      <c r="BF4952" s="3" t="s">
        <v>47402</v>
      </c>
      <c r="BG4952" s="3" t="s">
        <v>47404</v>
      </c>
    </row>
    <row r="4953" spans="1:59" ht="57" x14ac:dyDescent="0.45">
      <c r="A4953" s="2" t="s">
        <v>59</v>
      </c>
      <c r="B4953" s="2" t="s">
        <v>60</v>
      </c>
      <c r="C4953" s="2" t="s">
        <v>47405</v>
      </c>
      <c r="D4953" s="2" t="s">
        <v>47406</v>
      </c>
      <c r="E4953" s="2" t="s">
        <v>47407</v>
      </c>
      <c r="G4953" s="3" t="s">
        <v>62</v>
      </c>
      <c r="I4953" s="3" t="s">
        <v>62</v>
      </c>
      <c r="J4953" s="3" t="s">
        <v>62</v>
      </c>
      <c r="K4953" s="3" t="s">
        <v>63</v>
      </c>
      <c r="L4953" s="2" t="s">
        <v>47408</v>
      </c>
      <c r="M4953" s="2" t="s">
        <v>47409</v>
      </c>
      <c r="N4953" s="3" t="s">
        <v>16907</v>
      </c>
      <c r="O4953" s="2" t="s">
        <v>47410</v>
      </c>
      <c r="P4953" s="3" t="s">
        <v>110</v>
      </c>
      <c r="Q4953" s="2" t="s">
        <v>47411</v>
      </c>
      <c r="R4953" s="3" t="s">
        <v>66</v>
      </c>
      <c r="S4953" s="4">
        <v>1</v>
      </c>
      <c r="T4953" s="4">
        <v>1</v>
      </c>
      <c r="U4953" s="5" t="s">
        <v>15182</v>
      </c>
      <c r="V4953" s="5" t="s">
        <v>15182</v>
      </c>
      <c r="W4953" s="5" t="s">
        <v>67</v>
      </c>
      <c r="X4953" s="5" t="s">
        <v>67</v>
      </c>
      <c r="Y4953" s="4">
        <v>31</v>
      </c>
      <c r="Z4953" s="4">
        <v>4</v>
      </c>
      <c r="AA4953" s="4">
        <v>31</v>
      </c>
      <c r="AB4953" s="4">
        <v>2</v>
      </c>
      <c r="AC4953" s="4">
        <v>15</v>
      </c>
      <c r="AD4953" s="4">
        <v>11</v>
      </c>
      <c r="AE4953" s="4">
        <v>47</v>
      </c>
      <c r="AF4953" s="4">
        <v>1</v>
      </c>
      <c r="AG4953" s="4">
        <v>5</v>
      </c>
      <c r="AH4953" s="4">
        <v>7</v>
      </c>
      <c r="AI4953" s="4">
        <v>35</v>
      </c>
      <c r="AJ4953" s="4">
        <v>2</v>
      </c>
      <c r="AK4953" s="4">
        <v>11</v>
      </c>
      <c r="AL4953" s="4">
        <v>5</v>
      </c>
      <c r="AM4953" s="4">
        <v>21</v>
      </c>
      <c r="AN4953" s="4">
        <v>0</v>
      </c>
      <c r="AO4953" s="4">
        <v>1</v>
      </c>
      <c r="AP4953" s="4">
        <v>3</v>
      </c>
      <c r="AQ4953" s="4">
        <v>16</v>
      </c>
      <c r="AR4953" s="3" t="s">
        <v>62</v>
      </c>
      <c r="AS4953" s="3" t="s">
        <v>62</v>
      </c>
      <c r="AT4953" s="3" t="s">
        <v>62</v>
      </c>
      <c r="AV4953" s="6" t="str">
        <f>HYPERLINK("http://mcgill.on.worldcat.org/oclc/11361151","Catalog Record")</f>
        <v>Catalog Record</v>
      </c>
      <c r="AW4953" s="6" t="str">
        <f>HYPERLINK("http://www.worldcat.org/oclc/11361151","WorldCat Record")</f>
        <v>WorldCat Record</v>
      </c>
      <c r="AX4953" s="3" t="s">
        <v>47412</v>
      </c>
      <c r="AY4953" s="3" t="s">
        <v>47413</v>
      </c>
      <c r="AZ4953" s="3" t="s">
        <v>47414</v>
      </c>
      <c r="BA4953" s="3" t="s">
        <v>47414</v>
      </c>
      <c r="BB4953" s="3" t="s">
        <v>47415</v>
      </c>
      <c r="BC4953" s="3" t="s">
        <v>142</v>
      </c>
      <c r="BD4953" s="3" t="s">
        <v>68</v>
      </c>
      <c r="BF4953" s="3" t="s">
        <v>47415</v>
      </c>
      <c r="BG4953" s="3" t="s">
        <v>47416</v>
      </c>
    </row>
    <row r="4954" spans="1:59" ht="57" x14ac:dyDescent="0.45">
      <c r="A4954" s="2" t="s">
        <v>59</v>
      </c>
      <c r="B4954" s="2" t="s">
        <v>60</v>
      </c>
      <c r="C4954" s="2" t="s">
        <v>47417</v>
      </c>
      <c r="D4954" s="2" t="s">
        <v>47418</v>
      </c>
      <c r="E4954" s="2" t="s">
        <v>47419</v>
      </c>
      <c r="G4954" s="3" t="s">
        <v>62</v>
      </c>
      <c r="I4954" s="3" t="s">
        <v>62</v>
      </c>
      <c r="J4954" s="3" t="s">
        <v>62</v>
      </c>
      <c r="K4954" s="3" t="s">
        <v>63</v>
      </c>
      <c r="L4954" s="2" t="s">
        <v>47420</v>
      </c>
      <c r="M4954" s="2" t="s">
        <v>47421</v>
      </c>
      <c r="N4954" s="3" t="s">
        <v>970</v>
      </c>
      <c r="P4954" s="3" t="s">
        <v>65</v>
      </c>
      <c r="R4954" s="3" t="s">
        <v>66</v>
      </c>
      <c r="S4954" s="4">
        <v>15</v>
      </c>
      <c r="T4954" s="4">
        <v>15</v>
      </c>
      <c r="U4954" s="5" t="s">
        <v>36697</v>
      </c>
      <c r="V4954" s="5" t="s">
        <v>36697</v>
      </c>
      <c r="W4954" s="5" t="s">
        <v>67</v>
      </c>
      <c r="X4954" s="5" t="s">
        <v>67</v>
      </c>
      <c r="Y4954" s="4">
        <v>263</v>
      </c>
      <c r="Z4954" s="4">
        <v>20</v>
      </c>
      <c r="AA4954" s="4">
        <v>26</v>
      </c>
      <c r="AB4954" s="4">
        <v>2</v>
      </c>
      <c r="AC4954" s="4">
        <v>5</v>
      </c>
      <c r="AD4954" s="4">
        <v>78</v>
      </c>
      <c r="AE4954" s="4">
        <v>80</v>
      </c>
      <c r="AF4954" s="4">
        <v>0</v>
      </c>
      <c r="AG4954" s="4">
        <v>1</v>
      </c>
      <c r="AH4954" s="4">
        <v>70</v>
      </c>
      <c r="AI4954" s="4">
        <v>72</v>
      </c>
      <c r="AJ4954" s="4">
        <v>7</v>
      </c>
      <c r="AK4954" s="4">
        <v>9</v>
      </c>
      <c r="AL4954" s="4">
        <v>46</v>
      </c>
      <c r="AM4954" s="4">
        <v>46</v>
      </c>
      <c r="AN4954" s="4">
        <v>0</v>
      </c>
      <c r="AO4954" s="4">
        <v>0</v>
      </c>
      <c r="AP4954" s="4">
        <v>10</v>
      </c>
      <c r="AQ4954" s="4">
        <v>12</v>
      </c>
      <c r="AR4954" s="3" t="s">
        <v>62</v>
      </c>
      <c r="AS4954" s="3" t="s">
        <v>62</v>
      </c>
      <c r="AT4954" s="3" t="s">
        <v>62</v>
      </c>
      <c r="AV4954" s="6" t="str">
        <f>HYPERLINK("http://mcgill.on.worldcat.org/oclc/50525399","Catalog Record")</f>
        <v>Catalog Record</v>
      </c>
      <c r="AW4954" s="6" t="str">
        <f>HYPERLINK("http://www.worldcat.org/oclc/50525399","WorldCat Record")</f>
        <v>WorldCat Record</v>
      </c>
      <c r="AX4954" s="3" t="s">
        <v>47422</v>
      </c>
      <c r="AY4954" s="3" t="s">
        <v>47423</v>
      </c>
      <c r="AZ4954" s="3" t="s">
        <v>47424</v>
      </c>
      <c r="BA4954" s="3" t="s">
        <v>47424</v>
      </c>
      <c r="BB4954" s="3" t="s">
        <v>47425</v>
      </c>
      <c r="BC4954" s="3" t="s">
        <v>142</v>
      </c>
      <c r="BD4954" s="3" t="s">
        <v>68</v>
      </c>
      <c r="BE4954" s="3" t="s">
        <v>47426</v>
      </c>
      <c r="BF4954" s="3" t="s">
        <v>47425</v>
      </c>
      <c r="BG4954" s="3" t="s">
        <v>47427</v>
      </c>
    </row>
    <row r="4955" spans="1:59" ht="57" x14ac:dyDescent="0.45">
      <c r="A4955" s="2" t="s">
        <v>59</v>
      </c>
      <c r="B4955" s="2" t="s">
        <v>60</v>
      </c>
      <c r="C4955" s="2" t="s">
        <v>47428</v>
      </c>
      <c r="D4955" s="2" t="s">
        <v>47429</v>
      </c>
      <c r="E4955" s="2" t="s">
        <v>47430</v>
      </c>
      <c r="G4955" s="3" t="s">
        <v>62</v>
      </c>
      <c r="I4955" s="3" t="s">
        <v>62</v>
      </c>
      <c r="J4955" s="3" t="s">
        <v>62</v>
      </c>
      <c r="K4955" s="3" t="s">
        <v>63</v>
      </c>
      <c r="M4955" s="2" t="s">
        <v>16141</v>
      </c>
      <c r="N4955" s="3" t="s">
        <v>1155</v>
      </c>
      <c r="P4955" s="3" t="s">
        <v>65</v>
      </c>
      <c r="R4955" s="3" t="s">
        <v>66</v>
      </c>
      <c r="S4955" s="4">
        <v>1</v>
      </c>
      <c r="T4955" s="4">
        <v>1</v>
      </c>
      <c r="U4955" s="5" t="s">
        <v>42154</v>
      </c>
      <c r="V4955" s="5" t="s">
        <v>42154</v>
      </c>
      <c r="W4955" s="5" t="s">
        <v>67</v>
      </c>
      <c r="X4955" s="5" t="s">
        <v>67</v>
      </c>
      <c r="Y4955" s="4">
        <v>74</v>
      </c>
      <c r="Z4955" s="4">
        <v>7</v>
      </c>
      <c r="AA4955" s="4">
        <v>77</v>
      </c>
      <c r="AB4955" s="4">
        <v>1</v>
      </c>
      <c r="AC4955" s="4">
        <v>14</v>
      </c>
      <c r="AD4955" s="4">
        <v>30</v>
      </c>
      <c r="AE4955" s="4">
        <v>105</v>
      </c>
      <c r="AF4955" s="4">
        <v>0</v>
      </c>
      <c r="AG4955" s="4">
        <v>8</v>
      </c>
      <c r="AH4955" s="4">
        <v>28</v>
      </c>
      <c r="AI4955" s="4">
        <v>73</v>
      </c>
      <c r="AJ4955" s="4">
        <v>5</v>
      </c>
      <c r="AK4955" s="4">
        <v>21</v>
      </c>
      <c r="AL4955" s="4">
        <v>19</v>
      </c>
      <c r="AM4955" s="4">
        <v>39</v>
      </c>
      <c r="AN4955" s="4">
        <v>0</v>
      </c>
      <c r="AO4955" s="4">
        <v>0</v>
      </c>
      <c r="AP4955" s="4">
        <v>5</v>
      </c>
      <c r="AQ4955" s="4">
        <v>39</v>
      </c>
      <c r="AR4955" s="3" t="s">
        <v>62</v>
      </c>
      <c r="AS4955" s="3" t="s">
        <v>62</v>
      </c>
      <c r="AT4955" s="3" t="s">
        <v>62</v>
      </c>
      <c r="AV4955" s="6" t="str">
        <f>HYPERLINK("http://mcgill.on.worldcat.org/oclc/752911894","Catalog Record")</f>
        <v>Catalog Record</v>
      </c>
      <c r="AW4955" s="6" t="str">
        <f>HYPERLINK("http://www.worldcat.org/oclc/752911894","WorldCat Record")</f>
        <v>WorldCat Record</v>
      </c>
      <c r="AX4955" s="3" t="s">
        <v>47431</v>
      </c>
      <c r="AY4955" s="3" t="s">
        <v>47432</v>
      </c>
      <c r="AZ4955" s="3" t="s">
        <v>47433</v>
      </c>
      <c r="BA4955" s="3" t="s">
        <v>47433</v>
      </c>
      <c r="BB4955" s="3" t="s">
        <v>47434</v>
      </c>
      <c r="BC4955" s="3" t="s">
        <v>142</v>
      </c>
      <c r="BD4955" s="3" t="s">
        <v>68</v>
      </c>
      <c r="BE4955" s="3" t="s">
        <v>47435</v>
      </c>
      <c r="BF4955" s="3" t="s">
        <v>47434</v>
      </c>
      <c r="BG4955" s="3" t="s">
        <v>47436</v>
      </c>
    </row>
    <row r="4956" spans="1:59" ht="185.25" x14ac:dyDescent="0.45">
      <c r="A4956" s="2" t="s">
        <v>13313</v>
      </c>
      <c r="B4956" s="2" t="s">
        <v>13314</v>
      </c>
      <c r="C4956" s="2" t="s">
        <v>47437</v>
      </c>
      <c r="D4956" s="2" t="s">
        <v>47438</v>
      </c>
      <c r="E4956" s="2" t="s">
        <v>47439</v>
      </c>
      <c r="G4956" s="3" t="s">
        <v>62</v>
      </c>
      <c r="I4956" s="3" t="s">
        <v>61</v>
      </c>
      <c r="J4956" s="3" t="s">
        <v>62</v>
      </c>
      <c r="K4956" s="3" t="s">
        <v>63</v>
      </c>
      <c r="L4956" s="2" t="s">
        <v>47440</v>
      </c>
      <c r="M4956" s="2" t="s">
        <v>47441</v>
      </c>
      <c r="N4956" s="3" t="s">
        <v>16907</v>
      </c>
      <c r="O4956" s="2" t="s">
        <v>47442</v>
      </c>
      <c r="P4956" s="3" t="s">
        <v>65</v>
      </c>
      <c r="R4956" s="3" t="s">
        <v>66</v>
      </c>
      <c r="S4956" s="4">
        <v>0</v>
      </c>
      <c r="T4956" s="4">
        <v>1</v>
      </c>
      <c r="V4956" s="5" t="s">
        <v>13582</v>
      </c>
      <c r="W4956" s="5" t="s">
        <v>67</v>
      </c>
      <c r="X4956" s="5" t="s">
        <v>67</v>
      </c>
      <c r="Y4956" s="4">
        <v>440</v>
      </c>
      <c r="Z4956" s="4">
        <v>17</v>
      </c>
      <c r="AA4956" s="4">
        <v>37</v>
      </c>
      <c r="AB4956" s="4">
        <v>2</v>
      </c>
      <c r="AC4956" s="4">
        <v>4</v>
      </c>
      <c r="AD4956" s="4">
        <v>84</v>
      </c>
      <c r="AE4956" s="4">
        <v>108</v>
      </c>
      <c r="AF4956" s="4">
        <v>0</v>
      </c>
      <c r="AG4956" s="4">
        <v>2</v>
      </c>
      <c r="AH4956" s="4">
        <v>75</v>
      </c>
      <c r="AI4956" s="4">
        <v>91</v>
      </c>
      <c r="AJ4956" s="4">
        <v>7</v>
      </c>
      <c r="AK4956" s="4">
        <v>21</v>
      </c>
      <c r="AL4956" s="4">
        <v>42</v>
      </c>
      <c r="AM4956" s="4">
        <v>47</v>
      </c>
      <c r="AN4956" s="4">
        <v>0</v>
      </c>
      <c r="AO4956" s="4">
        <v>0</v>
      </c>
      <c r="AP4956" s="4">
        <v>11</v>
      </c>
      <c r="AQ4956" s="4">
        <v>25</v>
      </c>
      <c r="AR4956" s="3" t="s">
        <v>62</v>
      </c>
      <c r="AS4956" s="3" t="s">
        <v>62</v>
      </c>
      <c r="AT4956" s="3" t="s">
        <v>61</v>
      </c>
      <c r="AU4956" s="6" t="str">
        <f>HYPERLINK("http://catalog.hathitrust.org/Record/001181078","HathiTrust Record")</f>
        <v>HathiTrust Record</v>
      </c>
      <c r="AV4956" s="6" t="str">
        <f>HYPERLINK("http://mcgill.on.worldcat.org/oclc/59317","Catalog Record")</f>
        <v>Catalog Record</v>
      </c>
      <c r="AW4956" s="6" t="str">
        <f>HYPERLINK("http://www.worldcat.org/oclc/59317","WorldCat Record")</f>
        <v>WorldCat Record</v>
      </c>
      <c r="AX4956" s="3" t="s">
        <v>47443</v>
      </c>
      <c r="AY4956" s="3" t="s">
        <v>47444</v>
      </c>
      <c r="AZ4956" s="3" t="s">
        <v>47445</v>
      </c>
      <c r="BA4956" s="3" t="s">
        <v>47445</v>
      </c>
      <c r="BB4956" s="3" t="s">
        <v>47446</v>
      </c>
      <c r="BC4956" s="3" t="s">
        <v>142</v>
      </c>
      <c r="BD4956" s="3" t="s">
        <v>68</v>
      </c>
      <c r="BF4956" s="3" t="s">
        <v>47446</v>
      </c>
      <c r="BG4956" s="3" t="s">
        <v>47447</v>
      </c>
    </row>
    <row r="4957" spans="1:59" ht="57" x14ac:dyDescent="0.45">
      <c r="A4957" s="2" t="s">
        <v>59</v>
      </c>
      <c r="B4957" s="2" t="s">
        <v>60</v>
      </c>
      <c r="C4957" s="2" t="s">
        <v>47448</v>
      </c>
      <c r="D4957" s="2" t="s">
        <v>47449</v>
      </c>
      <c r="E4957" s="2" t="s">
        <v>47450</v>
      </c>
      <c r="G4957" s="3" t="s">
        <v>62</v>
      </c>
      <c r="I4957" s="3" t="s">
        <v>62</v>
      </c>
      <c r="J4957" s="3" t="s">
        <v>62</v>
      </c>
      <c r="K4957" s="3" t="s">
        <v>63</v>
      </c>
      <c r="M4957" s="2" t="s">
        <v>35504</v>
      </c>
      <c r="N4957" s="3" t="s">
        <v>807</v>
      </c>
      <c r="P4957" s="3" t="s">
        <v>65</v>
      </c>
      <c r="R4957" s="3" t="s">
        <v>66</v>
      </c>
      <c r="S4957" s="4">
        <v>54</v>
      </c>
      <c r="T4957" s="4">
        <v>54</v>
      </c>
      <c r="U4957" s="5" t="s">
        <v>7025</v>
      </c>
      <c r="V4957" s="5" t="s">
        <v>7025</v>
      </c>
      <c r="W4957" s="5" t="s">
        <v>67</v>
      </c>
      <c r="X4957" s="5" t="s">
        <v>67</v>
      </c>
      <c r="Y4957" s="4">
        <v>479</v>
      </c>
      <c r="Z4957" s="4">
        <v>32</v>
      </c>
      <c r="AA4957" s="4">
        <v>35</v>
      </c>
      <c r="AB4957" s="4">
        <v>2</v>
      </c>
      <c r="AC4957" s="4">
        <v>5</v>
      </c>
      <c r="AD4957" s="4">
        <v>111</v>
      </c>
      <c r="AE4957" s="4">
        <v>114</v>
      </c>
      <c r="AF4957" s="4">
        <v>1</v>
      </c>
      <c r="AG4957" s="4">
        <v>4</v>
      </c>
      <c r="AH4957" s="4">
        <v>95</v>
      </c>
      <c r="AI4957" s="4">
        <v>96</v>
      </c>
      <c r="AJ4957" s="4">
        <v>20</v>
      </c>
      <c r="AK4957" s="4">
        <v>23</v>
      </c>
      <c r="AL4957" s="4">
        <v>52</v>
      </c>
      <c r="AM4957" s="4">
        <v>52</v>
      </c>
      <c r="AN4957" s="4">
        <v>0</v>
      </c>
      <c r="AO4957" s="4">
        <v>0</v>
      </c>
      <c r="AP4957" s="4">
        <v>25</v>
      </c>
      <c r="AQ4957" s="4">
        <v>27</v>
      </c>
      <c r="AR4957" s="3" t="s">
        <v>62</v>
      </c>
      <c r="AS4957" s="3" t="s">
        <v>62</v>
      </c>
      <c r="AT4957" s="3" t="s">
        <v>62</v>
      </c>
      <c r="AV4957" s="6" t="str">
        <f>HYPERLINK("http://mcgill.on.worldcat.org/oclc/21333660","Catalog Record")</f>
        <v>Catalog Record</v>
      </c>
      <c r="AW4957" s="6" t="str">
        <f>HYPERLINK("http://www.worldcat.org/oclc/21333660","WorldCat Record")</f>
        <v>WorldCat Record</v>
      </c>
      <c r="AX4957" s="3" t="s">
        <v>47451</v>
      </c>
      <c r="AY4957" s="3" t="s">
        <v>47452</v>
      </c>
      <c r="AZ4957" s="3" t="s">
        <v>47453</v>
      </c>
      <c r="BA4957" s="3" t="s">
        <v>47453</v>
      </c>
      <c r="BB4957" s="3" t="s">
        <v>47454</v>
      </c>
      <c r="BC4957" s="3" t="s">
        <v>142</v>
      </c>
      <c r="BD4957" s="3" t="s">
        <v>68</v>
      </c>
      <c r="BE4957" s="3" t="s">
        <v>47455</v>
      </c>
      <c r="BF4957" s="3" t="s">
        <v>47454</v>
      </c>
      <c r="BG4957" s="3" t="s">
        <v>47456</v>
      </c>
    </row>
    <row r="4958" spans="1:59" ht="57" x14ac:dyDescent="0.45">
      <c r="A4958" s="2" t="s">
        <v>59</v>
      </c>
      <c r="B4958" s="2" t="s">
        <v>60</v>
      </c>
      <c r="C4958" s="2" t="s">
        <v>47457</v>
      </c>
      <c r="D4958" s="2" t="s">
        <v>47458</v>
      </c>
      <c r="E4958" s="2" t="s">
        <v>47459</v>
      </c>
      <c r="G4958" s="3" t="s">
        <v>62</v>
      </c>
      <c r="I4958" s="3" t="s">
        <v>62</v>
      </c>
      <c r="J4958" s="3" t="s">
        <v>62</v>
      </c>
      <c r="K4958" s="3" t="s">
        <v>63</v>
      </c>
      <c r="L4958" s="2" t="s">
        <v>13250</v>
      </c>
      <c r="M4958" s="2" t="s">
        <v>47460</v>
      </c>
      <c r="N4958" s="3" t="s">
        <v>1097</v>
      </c>
      <c r="P4958" s="3" t="s">
        <v>65</v>
      </c>
      <c r="Q4958" s="2" t="s">
        <v>13669</v>
      </c>
      <c r="R4958" s="3" t="s">
        <v>66</v>
      </c>
      <c r="S4958" s="4">
        <v>10</v>
      </c>
      <c r="T4958" s="4">
        <v>10</v>
      </c>
      <c r="U4958" s="5" t="s">
        <v>36659</v>
      </c>
      <c r="V4958" s="5" t="s">
        <v>36659</v>
      </c>
      <c r="W4958" s="5" t="s">
        <v>67</v>
      </c>
      <c r="X4958" s="5" t="s">
        <v>67</v>
      </c>
      <c r="Y4958" s="4">
        <v>143</v>
      </c>
      <c r="Z4958" s="4">
        <v>22</v>
      </c>
      <c r="AA4958" s="4">
        <v>22</v>
      </c>
      <c r="AB4958" s="4">
        <v>1</v>
      </c>
      <c r="AC4958" s="4">
        <v>1</v>
      </c>
      <c r="AD4958" s="4">
        <v>61</v>
      </c>
      <c r="AE4958" s="4">
        <v>61</v>
      </c>
      <c r="AF4958" s="4">
        <v>0</v>
      </c>
      <c r="AG4958" s="4">
        <v>0</v>
      </c>
      <c r="AH4958" s="4">
        <v>57</v>
      </c>
      <c r="AI4958" s="4">
        <v>57</v>
      </c>
      <c r="AJ4958" s="4">
        <v>11</v>
      </c>
      <c r="AK4958" s="4">
        <v>11</v>
      </c>
      <c r="AL4958" s="4">
        <v>29</v>
      </c>
      <c r="AM4958" s="4">
        <v>29</v>
      </c>
      <c r="AN4958" s="4">
        <v>0</v>
      </c>
      <c r="AO4958" s="4">
        <v>0</v>
      </c>
      <c r="AP4958" s="4">
        <v>11</v>
      </c>
      <c r="AQ4958" s="4">
        <v>11</v>
      </c>
      <c r="AR4958" s="3" t="s">
        <v>62</v>
      </c>
      <c r="AS4958" s="3" t="s">
        <v>62</v>
      </c>
      <c r="AT4958" s="3" t="s">
        <v>62</v>
      </c>
      <c r="AV4958" s="6" t="str">
        <f>HYPERLINK("http://mcgill.on.worldcat.org/oclc/55645069","Catalog Record")</f>
        <v>Catalog Record</v>
      </c>
      <c r="AW4958" s="6" t="str">
        <f>HYPERLINK("http://www.worldcat.org/oclc/55645069","WorldCat Record")</f>
        <v>WorldCat Record</v>
      </c>
      <c r="AX4958" s="3" t="s">
        <v>47461</v>
      </c>
      <c r="AY4958" s="3" t="s">
        <v>47462</v>
      </c>
      <c r="AZ4958" s="3" t="s">
        <v>47463</v>
      </c>
      <c r="BA4958" s="3" t="s">
        <v>47463</v>
      </c>
      <c r="BB4958" s="3" t="s">
        <v>47464</v>
      </c>
      <c r="BC4958" s="3" t="s">
        <v>142</v>
      </c>
      <c r="BD4958" s="3" t="s">
        <v>68</v>
      </c>
      <c r="BE4958" s="3" t="s">
        <v>47465</v>
      </c>
      <c r="BF4958" s="3" t="s">
        <v>47464</v>
      </c>
      <c r="BG4958" s="3" t="s">
        <v>47466</v>
      </c>
    </row>
    <row r="4959" spans="1:59" ht="57" x14ac:dyDescent="0.45">
      <c r="A4959" s="2" t="s">
        <v>59</v>
      </c>
      <c r="B4959" s="2" t="s">
        <v>60</v>
      </c>
      <c r="C4959" s="2" t="s">
        <v>47467</v>
      </c>
      <c r="D4959" s="2" t="s">
        <v>47468</v>
      </c>
      <c r="E4959" s="2" t="s">
        <v>47469</v>
      </c>
      <c r="G4959" s="3" t="s">
        <v>62</v>
      </c>
      <c r="I4959" s="3" t="s">
        <v>62</v>
      </c>
      <c r="J4959" s="3" t="s">
        <v>62</v>
      </c>
      <c r="K4959" s="3" t="s">
        <v>63</v>
      </c>
      <c r="L4959" s="2" t="s">
        <v>47470</v>
      </c>
      <c r="M4959" s="2" t="s">
        <v>47471</v>
      </c>
      <c r="N4959" s="3" t="s">
        <v>1212</v>
      </c>
      <c r="P4959" s="3" t="s">
        <v>65</v>
      </c>
      <c r="R4959" s="3" t="s">
        <v>66</v>
      </c>
      <c r="S4959" s="4">
        <v>2</v>
      </c>
      <c r="T4959" s="4">
        <v>2</v>
      </c>
      <c r="U4959" s="5" t="s">
        <v>24127</v>
      </c>
      <c r="V4959" s="5" t="s">
        <v>24127</v>
      </c>
      <c r="W4959" s="5" t="s">
        <v>67</v>
      </c>
      <c r="X4959" s="5" t="s">
        <v>67</v>
      </c>
      <c r="Y4959" s="4">
        <v>492</v>
      </c>
      <c r="Z4959" s="4">
        <v>12</v>
      </c>
      <c r="AA4959" s="4">
        <v>18</v>
      </c>
      <c r="AB4959" s="4">
        <v>3</v>
      </c>
      <c r="AC4959" s="4">
        <v>5</v>
      </c>
      <c r="AD4959" s="4">
        <v>73</v>
      </c>
      <c r="AE4959" s="4">
        <v>85</v>
      </c>
      <c r="AF4959" s="4">
        <v>1</v>
      </c>
      <c r="AG4959" s="4">
        <v>1</v>
      </c>
      <c r="AH4959" s="4">
        <v>67</v>
      </c>
      <c r="AI4959" s="4">
        <v>78</v>
      </c>
      <c r="AJ4959" s="4">
        <v>3</v>
      </c>
      <c r="AK4959" s="4">
        <v>4</v>
      </c>
      <c r="AL4959" s="4">
        <v>34</v>
      </c>
      <c r="AM4959" s="4">
        <v>42</v>
      </c>
      <c r="AN4959" s="4">
        <v>0</v>
      </c>
      <c r="AO4959" s="4">
        <v>0</v>
      </c>
      <c r="AP4959" s="4">
        <v>6</v>
      </c>
      <c r="AQ4959" s="4">
        <v>8</v>
      </c>
      <c r="AR4959" s="3" t="s">
        <v>62</v>
      </c>
      <c r="AS4959" s="3" t="s">
        <v>62</v>
      </c>
      <c r="AT4959" s="3" t="s">
        <v>61</v>
      </c>
      <c r="AU4959" s="6" t="str">
        <f>HYPERLINK("http://catalog.hathitrust.org/Record/007140448","HathiTrust Record")</f>
        <v>HathiTrust Record</v>
      </c>
      <c r="AV4959" s="6" t="str">
        <f>HYPERLINK("http://mcgill.on.worldcat.org/oclc/46422092","Catalog Record")</f>
        <v>Catalog Record</v>
      </c>
      <c r="AW4959" s="6" t="str">
        <f>HYPERLINK("http://www.worldcat.org/oclc/46422092","WorldCat Record")</f>
        <v>WorldCat Record</v>
      </c>
      <c r="AX4959" s="3" t="s">
        <v>47472</v>
      </c>
      <c r="AY4959" s="3" t="s">
        <v>47473</v>
      </c>
      <c r="AZ4959" s="3" t="s">
        <v>47474</v>
      </c>
      <c r="BA4959" s="3" t="s">
        <v>47474</v>
      </c>
      <c r="BB4959" s="3" t="s">
        <v>47475</v>
      </c>
      <c r="BC4959" s="3" t="s">
        <v>142</v>
      </c>
      <c r="BD4959" s="3" t="s">
        <v>68</v>
      </c>
      <c r="BE4959" s="3" t="s">
        <v>47476</v>
      </c>
      <c r="BF4959" s="3" t="s">
        <v>47475</v>
      </c>
      <c r="BG4959" s="3" t="s">
        <v>47477</v>
      </c>
    </row>
    <row r="4960" spans="1:59" ht="57" x14ac:dyDescent="0.45">
      <c r="A4960" s="2" t="s">
        <v>59</v>
      </c>
      <c r="B4960" s="2" t="s">
        <v>60</v>
      </c>
      <c r="C4960" s="2" t="s">
        <v>47478</v>
      </c>
      <c r="D4960" s="2" t="s">
        <v>47479</v>
      </c>
      <c r="E4960" s="2" t="s">
        <v>47480</v>
      </c>
      <c r="G4960" s="3" t="s">
        <v>62</v>
      </c>
      <c r="I4960" s="3" t="s">
        <v>62</v>
      </c>
      <c r="J4960" s="3" t="s">
        <v>62</v>
      </c>
      <c r="K4960" s="3" t="s">
        <v>63</v>
      </c>
      <c r="L4960" s="2" t="s">
        <v>47481</v>
      </c>
      <c r="M4960" s="2" t="s">
        <v>47482</v>
      </c>
      <c r="N4960" s="3" t="s">
        <v>181</v>
      </c>
      <c r="P4960" s="3" t="s">
        <v>65</v>
      </c>
      <c r="R4960" s="3" t="s">
        <v>66</v>
      </c>
      <c r="S4960" s="4">
        <v>1</v>
      </c>
      <c r="T4960" s="4">
        <v>1</v>
      </c>
      <c r="U4960" s="5" t="s">
        <v>15621</v>
      </c>
      <c r="V4960" s="5" t="s">
        <v>15621</v>
      </c>
      <c r="W4960" s="5" t="s">
        <v>67</v>
      </c>
      <c r="X4960" s="5" t="s">
        <v>67</v>
      </c>
      <c r="Y4960" s="4">
        <v>156</v>
      </c>
      <c r="Z4960" s="4">
        <v>14</v>
      </c>
      <c r="AA4960" s="4">
        <v>22</v>
      </c>
      <c r="AB4960" s="4">
        <v>1</v>
      </c>
      <c r="AC4960" s="4">
        <v>5</v>
      </c>
      <c r="AD4960" s="4">
        <v>56</v>
      </c>
      <c r="AE4960" s="4">
        <v>60</v>
      </c>
      <c r="AF4960" s="4">
        <v>0</v>
      </c>
      <c r="AG4960" s="4">
        <v>2</v>
      </c>
      <c r="AH4960" s="4">
        <v>48</v>
      </c>
      <c r="AI4960" s="4">
        <v>49</v>
      </c>
      <c r="AJ4960" s="4">
        <v>9</v>
      </c>
      <c r="AK4960" s="4">
        <v>11</v>
      </c>
      <c r="AL4960" s="4">
        <v>31</v>
      </c>
      <c r="AM4960" s="4">
        <v>32</v>
      </c>
      <c r="AN4960" s="4">
        <v>0</v>
      </c>
      <c r="AO4960" s="4">
        <v>0</v>
      </c>
      <c r="AP4960" s="4">
        <v>10</v>
      </c>
      <c r="AQ4960" s="4">
        <v>12</v>
      </c>
      <c r="AR4960" s="3" t="s">
        <v>62</v>
      </c>
      <c r="AS4960" s="3" t="s">
        <v>62</v>
      </c>
      <c r="AT4960" s="3" t="s">
        <v>62</v>
      </c>
      <c r="AV4960" s="6" t="str">
        <f>HYPERLINK("http://mcgill.on.worldcat.org/oclc/946010730","Catalog Record")</f>
        <v>Catalog Record</v>
      </c>
      <c r="AW4960" s="6" t="str">
        <f>HYPERLINK("http://www.worldcat.org/oclc/946010730","WorldCat Record")</f>
        <v>WorldCat Record</v>
      </c>
      <c r="AX4960" s="3" t="s">
        <v>47483</v>
      </c>
      <c r="AY4960" s="3" t="s">
        <v>47484</v>
      </c>
      <c r="AZ4960" s="3" t="s">
        <v>47485</v>
      </c>
      <c r="BA4960" s="3" t="s">
        <v>47485</v>
      </c>
      <c r="BB4960" s="3" t="s">
        <v>47486</v>
      </c>
      <c r="BC4960" s="3" t="s">
        <v>142</v>
      </c>
      <c r="BD4960" s="3" t="s">
        <v>68</v>
      </c>
      <c r="BE4960" s="3" t="s">
        <v>47487</v>
      </c>
      <c r="BF4960" s="3" t="s">
        <v>47486</v>
      </c>
      <c r="BG4960" s="3" t="s">
        <v>47488</v>
      </c>
    </row>
    <row r="4961" spans="1:59" ht="57" x14ac:dyDescent="0.45">
      <c r="A4961" s="2" t="s">
        <v>59</v>
      </c>
      <c r="B4961" s="2" t="s">
        <v>60</v>
      </c>
      <c r="C4961" s="2" t="s">
        <v>47489</v>
      </c>
      <c r="D4961" s="2" t="s">
        <v>47490</v>
      </c>
      <c r="E4961" s="2" t="s">
        <v>47491</v>
      </c>
      <c r="G4961" s="3" t="s">
        <v>62</v>
      </c>
      <c r="I4961" s="3" t="s">
        <v>62</v>
      </c>
      <c r="J4961" s="3" t="s">
        <v>62</v>
      </c>
      <c r="K4961" s="3" t="s">
        <v>63</v>
      </c>
      <c r="L4961" s="2" t="s">
        <v>47492</v>
      </c>
      <c r="M4961" s="2" t="s">
        <v>47493</v>
      </c>
      <c r="N4961" s="3" t="s">
        <v>625</v>
      </c>
      <c r="P4961" s="3" t="s">
        <v>65</v>
      </c>
      <c r="R4961" s="3" t="s">
        <v>66</v>
      </c>
      <c r="S4961" s="4">
        <v>21</v>
      </c>
      <c r="T4961" s="4">
        <v>21</v>
      </c>
      <c r="U4961" s="5" t="s">
        <v>5537</v>
      </c>
      <c r="V4961" s="5" t="s">
        <v>5537</v>
      </c>
      <c r="W4961" s="5" t="s">
        <v>67</v>
      </c>
      <c r="X4961" s="5" t="s">
        <v>67</v>
      </c>
      <c r="Y4961" s="4">
        <v>403</v>
      </c>
      <c r="Z4961" s="4">
        <v>25</v>
      </c>
      <c r="AA4961" s="4">
        <v>30</v>
      </c>
      <c r="AB4961" s="4">
        <v>1</v>
      </c>
      <c r="AC4961" s="4">
        <v>6</v>
      </c>
      <c r="AD4961" s="4">
        <v>115</v>
      </c>
      <c r="AE4961" s="4">
        <v>120</v>
      </c>
      <c r="AF4961" s="4">
        <v>0</v>
      </c>
      <c r="AG4961" s="4">
        <v>5</v>
      </c>
      <c r="AH4961" s="4">
        <v>99</v>
      </c>
      <c r="AI4961" s="4">
        <v>100</v>
      </c>
      <c r="AJ4961" s="4">
        <v>16</v>
      </c>
      <c r="AK4961" s="4">
        <v>20</v>
      </c>
      <c r="AL4961" s="4">
        <v>55</v>
      </c>
      <c r="AM4961" s="4">
        <v>55</v>
      </c>
      <c r="AN4961" s="4">
        <v>0</v>
      </c>
      <c r="AO4961" s="4">
        <v>0</v>
      </c>
      <c r="AP4961" s="4">
        <v>22</v>
      </c>
      <c r="AQ4961" s="4">
        <v>26</v>
      </c>
      <c r="AR4961" s="3" t="s">
        <v>62</v>
      </c>
      <c r="AS4961" s="3" t="s">
        <v>62</v>
      </c>
      <c r="AT4961" s="3" t="s">
        <v>62</v>
      </c>
      <c r="AV4961" s="6" t="str">
        <f>HYPERLINK("http://mcgill.on.worldcat.org/oclc/13700109","Catalog Record")</f>
        <v>Catalog Record</v>
      </c>
      <c r="AW4961" s="6" t="str">
        <f>HYPERLINK("http://www.worldcat.org/oclc/13700109","WorldCat Record")</f>
        <v>WorldCat Record</v>
      </c>
      <c r="AX4961" s="3" t="s">
        <v>47494</v>
      </c>
      <c r="AY4961" s="3" t="s">
        <v>47495</v>
      </c>
      <c r="AZ4961" s="3" t="s">
        <v>47496</v>
      </c>
      <c r="BA4961" s="3" t="s">
        <v>47496</v>
      </c>
      <c r="BB4961" s="3" t="s">
        <v>47497</v>
      </c>
      <c r="BC4961" s="3" t="s">
        <v>142</v>
      </c>
      <c r="BD4961" s="3" t="s">
        <v>68</v>
      </c>
      <c r="BE4961" s="3" t="s">
        <v>47498</v>
      </c>
      <c r="BF4961" s="3" t="s">
        <v>47497</v>
      </c>
      <c r="BG4961" s="3" t="s">
        <v>47499</v>
      </c>
    </row>
    <row r="4962" spans="1:59" ht="57" x14ac:dyDescent="0.45">
      <c r="A4962" s="2" t="s">
        <v>59</v>
      </c>
      <c r="B4962" s="2" t="s">
        <v>60</v>
      </c>
      <c r="C4962" s="2" t="s">
        <v>47500</v>
      </c>
      <c r="D4962" s="2" t="s">
        <v>47501</v>
      </c>
      <c r="E4962" s="2" t="s">
        <v>47502</v>
      </c>
      <c r="G4962" s="3" t="s">
        <v>62</v>
      </c>
      <c r="I4962" s="3" t="s">
        <v>62</v>
      </c>
      <c r="J4962" s="3" t="s">
        <v>62</v>
      </c>
      <c r="K4962" s="3" t="s">
        <v>63</v>
      </c>
      <c r="L4962" s="2" t="s">
        <v>47503</v>
      </c>
      <c r="M4962" s="2" t="s">
        <v>47504</v>
      </c>
      <c r="N4962" s="3" t="s">
        <v>1604</v>
      </c>
      <c r="P4962" s="3" t="s">
        <v>65</v>
      </c>
      <c r="R4962" s="3" t="s">
        <v>66</v>
      </c>
      <c r="S4962" s="4">
        <v>26</v>
      </c>
      <c r="T4962" s="4">
        <v>26</v>
      </c>
      <c r="U4962" s="5" t="s">
        <v>4283</v>
      </c>
      <c r="V4962" s="5" t="s">
        <v>4283</v>
      </c>
      <c r="W4962" s="5" t="s">
        <v>67</v>
      </c>
      <c r="X4962" s="5" t="s">
        <v>67</v>
      </c>
      <c r="Y4962" s="4">
        <v>736</v>
      </c>
      <c r="Z4962" s="4">
        <v>42</v>
      </c>
      <c r="AA4962" s="4">
        <v>49</v>
      </c>
      <c r="AB4962" s="4">
        <v>4</v>
      </c>
      <c r="AC4962" s="4">
        <v>6</v>
      </c>
      <c r="AD4962" s="4">
        <v>129</v>
      </c>
      <c r="AE4962" s="4">
        <v>137</v>
      </c>
      <c r="AF4962" s="4">
        <v>2</v>
      </c>
      <c r="AG4962" s="4">
        <v>4</v>
      </c>
      <c r="AH4962" s="4">
        <v>105</v>
      </c>
      <c r="AI4962" s="4">
        <v>109</v>
      </c>
      <c r="AJ4962" s="4">
        <v>19</v>
      </c>
      <c r="AK4962" s="4">
        <v>24</v>
      </c>
      <c r="AL4962" s="4">
        <v>56</v>
      </c>
      <c r="AM4962" s="4">
        <v>57</v>
      </c>
      <c r="AN4962" s="4">
        <v>0</v>
      </c>
      <c r="AO4962" s="4">
        <v>0</v>
      </c>
      <c r="AP4962" s="4">
        <v>30</v>
      </c>
      <c r="AQ4962" s="4">
        <v>37</v>
      </c>
      <c r="AR4962" s="3" t="s">
        <v>62</v>
      </c>
      <c r="AS4962" s="3" t="s">
        <v>62</v>
      </c>
      <c r="AT4962" s="3" t="s">
        <v>62</v>
      </c>
      <c r="AV4962" s="6" t="str">
        <f>HYPERLINK("http://mcgill.on.worldcat.org/oclc/28634087","Catalog Record")</f>
        <v>Catalog Record</v>
      </c>
      <c r="AW4962" s="6" t="str">
        <f>HYPERLINK("http://www.worldcat.org/oclc/28634087","WorldCat Record")</f>
        <v>WorldCat Record</v>
      </c>
      <c r="AX4962" s="3" t="s">
        <v>47505</v>
      </c>
      <c r="AY4962" s="3" t="s">
        <v>47506</v>
      </c>
      <c r="AZ4962" s="3" t="s">
        <v>47507</v>
      </c>
      <c r="BA4962" s="3" t="s">
        <v>47507</v>
      </c>
      <c r="BB4962" s="3" t="s">
        <v>47508</v>
      </c>
      <c r="BC4962" s="3" t="s">
        <v>142</v>
      </c>
      <c r="BD4962" s="3" t="s">
        <v>68</v>
      </c>
      <c r="BE4962" s="3" t="s">
        <v>47509</v>
      </c>
      <c r="BF4962" s="3" t="s">
        <v>47508</v>
      </c>
      <c r="BG4962" s="3" t="s">
        <v>47510</v>
      </c>
    </row>
    <row r="4963" spans="1:59" ht="57" x14ac:dyDescent="0.45">
      <c r="A4963" s="2" t="s">
        <v>59</v>
      </c>
      <c r="B4963" s="2" t="s">
        <v>60</v>
      </c>
      <c r="C4963" s="2" t="s">
        <v>47511</v>
      </c>
      <c r="D4963" s="2" t="s">
        <v>47512</v>
      </c>
      <c r="E4963" s="2" t="s">
        <v>47513</v>
      </c>
      <c r="G4963" s="3" t="s">
        <v>62</v>
      </c>
      <c r="I4963" s="3" t="s">
        <v>62</v>
      </c>
      <c r="J4963" s="3" t="s">
        <v>62</v>
      </c>
      <c r="K4963" s="3" t="s">
        <v>63</v>
      </c>
      <c r="M4963" s="2" t="s">
        <v>47514</v>
      </c>
      <c r="N4963" s="3" t="s">
        <v>807</v>
      </c>
      <c r="O4963" s="2" t="s">
        <v>47515</v>
      </c>
      <c r="P4963" s="3" t="s">
        <v>65</v>
      </c>
      <c r="R4963" s="3" t="s">
        <v>66</v>
      </c>
      <c r="S4963" s="4">
        <v>8</v>
      </c>
      <c r="T4963" s="4">
        <v>8</v>
      </c>
      <c r="U4963" s="5" t="s">
        <v>13420</v>
      </c>
      <c r="V4963" s="5" t="s">
        <v>13420</v>
      </c>
      <c r="W4963" s="5" t="s">
        <v>67</v>
      </c>
      <c r="X4963" s="5" t="s">
        <v>67</v>
      </c>
      <c r="Y4963" s="4">
        <v>434</v>
      </c>
      <c r="Z4963" s="4">
        <v>7</v>
      </c>
      <c r="AA4963" s="4">
        <v>35</v>
      </c>
      <c r="AB4963" s="4">
        <v>1</v>
      </c>
      <c r="AC4963" s="4">
        <v>3</v>
      </c>
      <c r="AD4963" s="4">
        <v>75</v>
      </c>
      <c r="AE4963" s="4">
        <v>117</v>
      </c>
      <c r="AF4963" s="4">
        <v>0</v>
      </c>
      <c r="AG4963" s="4">
        <v>1</v>
      </c>
      <c r="AH4963" s="4">
        <v>71</v>
      </c>
      <c r="AI4963" s="4">
        <v>103</v>
      </c>
      <c r="AJ4963" s="4">
        <v>3</v>
      </c>
      <c r="AK4963" s="4">
        <v>14</v>
      </c>
      <c r="AL4963" s="4">
        <v>38</v>
      </c>
      <c r="AM4963" s="4">
        <v>55</v>
      </c>
      <c r="AN4963" s="4">
        <v>0</v>
      </c>
      <c r="AO4963" s="4">
        <v>0</v>
      </c>
      <c r="AP4963" s="4">
        <v>5</v>
      </c>
      <c r="AQ4963" s="4">
        <v>21</v>
      </c>
      <c r="AR4963" s="3" t="s">
        <v>62</v>
      </c>
      <c r="AS4963" s="3" t="s">
        <v>62</v>
      </c>
      <c r="AT4963" s="3" t="s">
        <v>61</v>
      </c>
      <c r="AU4963" s="6" t="str">
        <f>HYPERLINK("http://catalog.hathitrust.org/Record/007108068","HathiTrust Record")</f>
        <v>HathiTrust Record</v>
      </c>
      <c r="AV4963" s="6" t="str">
        <f>HYPERLINK("http://mcgill.on.worldcat.org/oclc/19222287","Catalog Record")</f>
        <v>Catalog Record</v>
      </c>
      <c r="AW4963" s="6" t="str">
        <f>HYPERLINK("http://www.worldcat.org/oclc/19222287","WorldCat Record")</f>
        <v>WorldCat Record</v>
      </c>
      <c r="AX4963" s="3" t="s">
        <v>47516</v>
      </c>
      <c r="AY4963" s="3" t="s">
        <v>47517</v>
      </c>
      <c r="AZ4963" s="3" t="s">
        <v>47518</v>
      </c>
      <c r="BA4963" s="3" t="s">
        <v>47518</v>
      </c>
      <c r="BB4963" s="3" t="s">
        <v>47519</v>
      </c>
      <c r="BC4963" s="3" t="s">
        <v>142</v>
      </c>
      <c r="BD4963" s="3" t="s">
        <v>68</v>
      </c>
      <c r="BE4963" s="3" t="s">
        <v>47520</v>
      </c>
      <c r="BF4963" s="3" t="s">
        <v>47519</v>
      </c>
      <c r="BG4963" s="3" t="s">
        <v>47521</v>
      </c>
    </row>
    <row r="4964" spans="1:59" ht="57" x14ac:dyDescent="0.45">
      <c r="A4964" s="2" t="s">
        <v>59</v>
      </c>
      <c r="B4964" s="2" t="s">
        <v>60</v>
      </c>
      <c r="C4964" s="2" t="s">
        <v>47522</v>
      </c>
      <c r="D4964" s="2" t="s">
        <v>47523</v>
      </c>
      <c r="E4964" s="2" t="s">
        <v>47524</v>
      </c>
      <c r="G4964" s="3" t="s">
        <v>62</v>
      </c>
      <c r="I4964" s="3" t="s">
        <v>62</v>
      </c>
      <c r="J4964" s="3" t="s">
        <v>62</v>
      </c>
      <c r="K4964" s="3" t="s">
        <v>63</v>
      </c>
      <c r="L4964" s="2" t="s">
        <v>47525</v>
      </c>
      <c r="M4964" s="2" t="s">
        <v>47526</v>
      </c>
      <c r="N4964" s="3" t="s">
        <v>945</v>
      </c>
      <c r="O4964" s="2" t="s">
        <v>47527</v>
      </c>
      <c r="P4964" s="3" t="s">
        <v>65</v>
      </c>
      <c r="R4964" s="3" t="s">
        <v>66</v>
      </c>
      <c r="S4964" s="4">
        <v>5</v>
      </c>
      <c r="T4964" s="4">
        <v>5</v>
      </c>
      <c r="U4964" s="5" t="s">
        <v>12553</v>
      </c>
      <c r="V4964" s="5" t="s">
        <v>12553</v>
      </c>
      <c r="W4964" s="5" t="s">
        <v>67</v>
      </c>
      <c r="X4964" s="5" t="s">
        <v>67</v>
      </c>
      <c r="Y4964" s="4">
        <v>255</v>
      </c>
      <c r="Z4964" s="4">
        <v>12</v>
      </c>
      <c r="AA4964" s="4">
        <v>15</v>
      </c>
      <c r="AB4964" s="4">
        <v>2</v>
      </c>
      <c r="AC4964" s="4">
        <v>2</v>
      </c>
      <c r="AD4964" s="4">
        <v>68</v>
      </c>
      <c r="AE4964" s="4">
        <v>70</v>
      </c>
      <c r="AF4964" s="4">
        <v>0</v>
      </c>
      <c r="AG4964" s="4">
        <v>0</v>
      </c>
      <c r="AH4964" s="4">
        <v>65</v>
      </c>
      <c r="AI4964" s="4">
        <v>67</v>
      </c>
      <c r="AJ4964" s="4">
        <v>5</v>
      </c>
      <c r="AK4964" s="4">
        <v>6</v>
      </c>
      <c r="AL4964" s="4">
        <v>35</v>
      </c>
      <c r="AM4964" s="4">
        <v>36</v>
      </c>
      <c r="AN4964" s="4">
        <v>0</v>
      </c>
      <c r="AO4964" s="4">
        <v>0</v>
      </c>
      <c r="AP4964" s="4">
        <v>6</v>
      </c>
      <c r="AQ4964" s="4">
        <v>7</v>
      </c>
      <c r="AR4964" s="3" t="s">
        <v>62</v>
      </c>
      <c r="AS4964" s="3" t="s">
        <v>62</v>
      </c>
      <c r="AT4964" s="3" t="s">
        <v>62</v>
      </c>
      <c r="AV4964" s="6" t="str">
        <f>HYPERLINK("http://mcgill.on.worldcat.org/oclc/171151909","Catalog Record")</f>
        <v>Catalog Record</v>
      </c>
      <c r="AW4964" s="6" t="str">
        <f>HYPERLINK("http://www.worldcat.org/oclc/171151909","WorldCat Record")</f>
        <v>WorldCat Record</v>
      </c>
      <c r="AX4964" s="3" t="s">
        <v>47528</v>
      </c>
      <c r="AY4964" s="3" t="s">
        <v>47529</v>
      </c>
      <c r="AZ4964" s="3" t="s">
        <v>47530</v>
      </c>
      <c r="BA4964" s="3" t="s">
        <v>47530</v>
      </c>
      <c r="BB4964" s="3" t="s">
        <v>47531</v>
      </c>
      <c r="BC4964" s="3" t="s">
        <v>142</v>
      </c>
      <c r="BD4964" s="3" t="s">
        <v>68</v>
      </c>
      <c r="BE4964" s="3" t="s">
        <v>47532</v>
      </c>
      <c r="BF4964" s="3" t="s">
        <v>47531</v>
      </c>
      <c r="BG4964" s="3" t="s">
        <v>47533</v>
      </c>
    </row>
    <row r="4965" spans="1:59" ht="71.25" x14ac:dyDescent="0.45">
      <c r="A4965" s="2" t="s">
        <v>59</v>
      </c>
      <c r="B4965" s="2" t="s">
        <v>60</v>
      </c>
      <c r="C4965" s="2" t="s">
        <v>47534</v>
      </c>
      <c r="D4965" s="2" t="s">
        <v>47535</v>
      </c>
      <c r="E4965" s="2" t="s">
        <v>47536</v>
      </c>
      <c r="G4965" s="3" t="s">
        <v>62</v>
      </c>
      <c r="I4965" s="3" t="s">
        <v>62</v>
      </c>
      <c r="J4965" s="3" t="s">
        <v>62</v>
      </c>
      <c r="K4965" s="3" t="s">
        <v>63</v>
      </c>
      <c r="M4965" s="2" t="s">
        <v>47537</v>
      </c>
      <c r="N4965" s="3" t="s">
        <v>149</v>
      </c>
      <c r="P4965" s="3" t="s">
        <v>114</v>
      </c>
      <c r="Q4965" s="2" t="s">
        <v>47538</v>
      </c>
      <c r="R4965" s="3" t="s">
        <v>66</v>
      </c>
      <c r="S4965" s="4">
        <v>1</v>
      </c>
      <c r="T4965" s="4">
        <v>1</v>
      </c>
      <c r="U4965" s="5" t="s">
        <v>47539</v>
      </c>
      <c r="V4965" s="5" t="s">
        <v>47539</v>
      </c>
      <c r="W4965" s="5" t="s">
        <v>67</v>
      </c>
      <c r="X4965" s="5" t="s">
        <v>67</v>
      </c>
      <c r="Y4965" s="4">
        <v>13</v>
      </c>
      <c r="Z4965" s="4">
        <v>1</v>
      </c>
      <c r="AA4965" s="4">
        <v>1</v>
      </c>
      <c r="AB4965" s="4">
        <v>1</v>
      </c>
      <c r="AC4965" s="4">
        <v>1</v>
      </c>
      <c r="AD4965" s="4">
        <v>7</v>
      </c>
      <c r="AE4965" s="4">
        <v>7</v>
      </c>
      <c r="AF4965" s="4">
        <v>0</v>
      </c>
      <c r="AG4965" s="4">
        <v>0</v>
      </c>
      <c r="AH4965" s="4">
        <v>7</v>
      </c>
      <c r="AI4965" s="4">
        <v>7</v>
      </c>
      <c r="AJ4965" s="4">
        <v>0</v>
      </c>
      <c r="AK4965" s="4">
        <v>0</v>
      </c>
      <c r="AL4965" s="4">
        <v>6</v>
      </c>
      <c r="AM4965" s="4">
        <v>6</v>
      </c>
      <c r="AN4965" s="4">
        <v>0</v>
      </c>
      <c r="AO4965" s="4">
        <v>0</v>
      </c>
      <c r="AP4965" s="4">
        <v>0</v>
      </c>
      <c r="AQ4965" s="4">
        <v>0</v>
      </c>
      <c r="AR4965" s="3" t="s">
        <v>62</v>
      </c>
      <c r="AS4965" s="3" t="s">
        <v>62</v>
      </c>
      <c r="AT4965" s="3" t="s">
        <v>62</v>
      </c>
      <c r="AV4965" s="6" t="str">
        <f>HYPERLINK("http://mcgill.on.worldcat.org/oclc/496959362","Catalog Record")</f>
        <v>Catalog Record</v>
      </c>
      <c r="AW4965" s="6" t="str">
        <f>HYPERLINK("http://www.worldcat.org/oclc/496959362","WorldCat Record")</f>
        <v>WorldCat Record</v>
      </c>
      <c r="AX4965" s="3" t="s">
        <v>47540</v>
      </c>
      <c r="AY4965" s="3" t="s">
        <v>47541</v>
      </c>
      <c r="AZ4965" s="3" t="s">
        <v>47542</v>
      </c>
      <c r="BA4965" s="3" t="s">
        <v>47542</v>
      </c>
      <c r="BB4965" s="3" t="s">
        <v>47543</v>
      </c>
      <c r="BC4965" s="3" t="s">
        <v>142</v>
      </c>
      <c r="BD4965" s="3" t="s">
        <v>68</v>
      </c>
      <c r="BE4965" s="3" t="s">
        <v>47544</v>
      </c>
      <c r="BF4965" s="3" t="s">
        <v>47543</v>
      </c>
      <c r="BG4965" s="3" t="s">
        <v>47545</v>
      </c>
    </row>
    <row r="4966" spans="1:59" ht="57" x14ac:dyDescent="0.45">
      <c r="A4966" s="2" t="s">
        <v>59</v>
      </c>
      <c r="B4966" s="2" t="s">
        <v>60</v>
      </c>
      <c r="C4966" s="2" t="s">
        <v>47546</v>
      </c>
      <c r="D4966" s="2" t="s">
        <v>47547</v>
      </c>
      <c r="E4966" s="2" t="s">
        <v>47548</v>
      </c>
      <c r="G4966" s="3" t="s">
        <v>62</v>
      </c>
      <c r="I4966" s="3" t="s">
        <v>62</v>
      </c>
      <c r="J4966" s="3" t="s">
        <v>62</v>
      </c>
      <c r="K4966" s="3" t="s">
        <v>63</v>
      </c>
      <c r="L4966" s="2" t="s">
        <v>47549</v>
      </c>
      <c r="M4966" s="2" t="s">
        <v>47550</v>
      </c>
      <c r="N4966" s="3" t="s">
        <v>1855</v>
      </c>
      <c r="P4966" s="3" t="s">
        <v>65</v>
      </c>
      <c r="R4966" s="3" t="s">
        <v>66</v>
      </c>
      <c r="S4966" s="4">
        <v>8</v>
      </c>
      <c r="T4966" s="4">
        <v>8</v>
      </c>
      <c r="U4966" s="5" t="s">
        <v>47551</v>
      </c>
      <c r="V4966" s="5" t="s">
        <v>47551</v>
      </c>
      <c r="W4966" s="5" t="s">
        <v>67</v>
      </c>
      <c r="X4966" s="5" t="s">
        <v>67</v>
      </c>
      <c r="Y4966" s="4">
        <v>246</v>
      </c>
      <c r="Z4966" s="4">
        <v>26</v>
      </c>
      <c r="AA4966" s="4">
        <v>28</v>
      </c>
      <c r="AB4966" s="4">
        <v>2</v>
      </c>
      <c r="AC4966" s="4">
        <v>4</v>
      </c>
      <c r="AD4966" s="4">
        <v>89</v>
      </c>
      <c r="AE4966" s="4">
        <v>91</v>
      </c>
      <c r="AF4966" s="4">
        <v>1</v>
      </c>
      <c r="AG4966" s="4">
        <v>3</v>
      </c>
      <c r="AH4966" s="4">
        <v>74</v>
      </c>
      <c r="AI4966" s="4">
        <v>75</v>
      </c>
      <c r="AJ4966" s="4">
        <v>11</v>
      </c>
      <c r="AK4966" s="4">
        <v>13</v>
      </c>
      <c r="AL4966" s="4">
        <v>47</v>
      </c>
      <c r="AM4966" s="4">
        <v>47</v>
      </c>
      <c r="AN4966" s="4">
        <v>0</v>
      </c>
      <c r="AO4966" s="4">
        <v>0</v>
      </c>
      <c r="AP4966" s="4">
        <v>19</v>
      </c>
      <c r="AQ4966" s="4">
        <v>20</v>
      </c>
      <c r="AR4966" s="3" t="s">
        <v>62</v>
      </c>
      <c r="AS4966" s="3" t="s">
        <v>62</v>
      </c>
      <c r="AT4966" s="3" t="s">
        <v>61</v>
      </c>
      <c r="AU4966" s="6" t="str">
        <f>HYPERLINK("http://catalog.hathitrust.org/Record/007146886","HathiTrust Record")</f>
        <v>HathiTrust Record</v>
      </c>
      <c r="AV4966" s="6" t="str">
        <f>HYPERLINK("http://mcgill.on.worldcat.org/oclc/63765659","Catalog Record")</f>
        <v>Catalog Record</v>
      </c>
      <c r="AW4966" s="6" t="str">
        <f>HYPERLINK("http://www.worldcat.org/oclc/63765659","WorldCat Record")</f>
        <v>WorldCat Record</v>
      </c>
      <c r="AX4966" s="3" t="s">
        <v>47552</v>
      </c>
      <c r="AY4966" s="3" t="s">
        <v>47553</v>
      </c>
      <c r="AZ4966" s="3" t="s">
        <v>47554</v>
      </c>
      <c r="BA4966" s="3" t="s">
        <v>47554</v>
      </c>
      <c r="BB4966" s="3" t="s">
        <v>47555</v>
      </c>
      <c r="BC4966" s="3" t="s">
        <v>142</v>
      </c>
      <c r="BD4966" s="3" t="s">
        <v>68</v>
      </c>
      <c r="BE4966" s="3" t="s">
        <v>47556</v>
      </c>
      <c r="BF4966" s="3" t="s">
        <v>47555</v>
      </c>
      <c r="BG4966" s="3" t="s">
        <v>47557</v>
      </c>
    </row>
    <row r="4967" spans="1:59" ht="57" x14ac:dyDescent="0.45">
      <c r="A4967" s="2" t="s">
        <v>59</v>
      </c>
      <c r="B4967" s="2" t="s">
        <v>60</v>
      </c>
      <c r="C4967" s="2" t="s">
        <v>47558</v>
      </c>
      <c r="D4967" s="2" t="s">
        <v>47559</v>
      </c>
      <c r="E4967" s="2" t="s">
        <v>47560</v>
      </c>
      <c r="G4967" s="3" t="s">
        <v>62</v>
      </c>
      <c r="I4967" s="3" t="s">
        <v>62</v>
      </c>
      <c r="J4967" s="3" t="s">
        <v>62</v>
      </c>
      <c r="K4967" s="3" t="s">
        <v>63</v>
      </c>
      <c r="L4967" s="2" t="s">
        <v>47561</v>
      </c>
      <c r="M4967" s="2" t="s">
        <v>47562</v>
      </c>
      <c r="N4967" s="3" t="s">
        <v>945</v>
      </c>
      <c r="O4967" s="2" t="s">
        <v>933</v>
      </c>
      <c r="P4967" s="3" t="s">
        <v>65</v>
      </c>
      <c r="R4967" s="3" t="s">
        <v>66</v>
      </c>
      <c r="S4967" s="4">
        <v>7</v>
      </c>
      <c r="T4967" s="4">
        <v>7</v>
      </c>
      <c r="U4967" s="5" t="s">
        <v>15921</v>
      </c>
      <c r="V4967" s="5" t="s">
        <v>15921</v>
      </c>
      <c r="W4967" s="5" t="s">
        <v>67</v>
      </c>
      <c r="X4967" s="5" t="s">
        <v>67</v>
      </c>
      <c r="Y4967" s="4">
        <v>416</v>
      </c>
      <c r="Z4967" s="4">
        <v>17</v>
      </c>
      <c r="AA4967" s="4">
        <v>55</v>
      </c>
      <c r="AB4967" s="4">
        <v>1</v>
      </c>
      <c r="AC4967" s="4">
        <v>2</v>
      </c>
      <c r="AD4967" s="4">
        <v>52</v>
      </c>
      <c r="AE4967" s="4">
        <v>116</v>
      </c>
      <c r="AF4967" s="4">
        <v>0</v>
      </c>
      <c r="AG4967" s="4">
        <v>1</v>
      </c>
      <c r="AH4967" s="4">
        <v>47</v>
      </c>
      <c r="AI4967" s="4">
        <v>92</v>
      </c>
      <c r="AJ4967" s="4">
        <v>4</v>
      </c>
      <c r="AK4967" s="4">
        <v>13</v>
      </c>
      <c r="AL4967" s="4">
        <v>29</v>
      </c>
      <c r="AM4967" s="4">
        <v>52</v>
      </c>
      <c r="AN4967" s="4">
        <v>0</v>
      </c>
      <c r="AO4967" s="4">
        <v>0</v>
      </c>
      <c r="AP4967" s="4">
        <v>6</v>
      </c>
      <c r="AQ4967" s="4">
        <v>28</v>
      </c>
      <c r="AR4967" s="3" t="s">
        <v>62</v>
      </c>
      <c r="AS4967" s="3" t="s">
        <v>62</v>
      </c>
      <c r="AT4967" s="3" t="s">
        <v>62</v>
      </c>
      <c r="AV4967" s="6" t="str">
        <f>HYPERLINK("http://mcgill.on.worldcat.org/oclc/74523117","Catalog Record")</f>
        <v>Catalog Record</v>
      </c>
      <c r="AW4967" s="6" t="str">
        <f>HYPERLINK("http://www.worldcat.org/oclc/74523117","WorldCat Record")</f>
        <v>WorldCat Record</v>
      </c>
      <c r="AX4967" s="3" t="s">
        <v>47563</v>
      </c>
      <c r="AY4967" s="3" t="s">
        <v>47564</v>
      </c>
      <c r="AZ4967" s="3" t="s">
        <v>47565</v>
      </c>
      <c r="BA4967" s="3" t="s">
        <v>47565</v>
      </c>
      <c r="BB4967" s="3" t="s">
        <v>47566</v>
      </c>
      <c r="BC4967" s="3" t="s">
        <v>142</v>
      </c>
      <c r="BD4967" s="3" t="s">
        <v>68</v>
      </c>
      <c r="BE4967" s="3" t="s">
        <v>47567</v>
      </c>
      <c r="BF4967" s="3" t="s">
        <v>47566</v>
      </c>
      <c r="BG4967" s="3" t="s">
        <v>47568</v>
      </c>
    </row>
    <row r="4968" spans="1:59" ht="57" x14ac:dyDescent="0.45">
      <c r="A4968" s="2" t="s">
        <v>59</v>
      </c>
      <c r="B4968" s="2" t="s">
        <v>60</v>
      </c>
      <c r="C4968" s="2" t="s">
        <v>47569</v>
      </c>
      <c r="D4968" s="2" t="s">
        <v>47570</v>
      </c>
      <c r="E4968" s="2" t="s">
        <v>47571</v>
      </c>
      <c r="G4968" s="3" t="s">
        <v>62</v>
      </c>
      <c r="I4968" s="3" t="s">
        <v>62</v>
      </c>
      <c r="J4968" s="3" t="s">
        <v>62</v>
      </c>
      <c r="K4968" s="3" t="s">
        <v>63</v>
      </c>
      <c r="L4968" s="2" t="s">
        <v>47572</v>
      </c>
      <c r="M4968" s="2" t="s">
        <v>3013</v>
      </c>
      <c r="N4968" s="3" t="s">
        <v>1855</v>
      </c>
      <c r="P4968" s="3" t="s">
        <v>65</v>
      </c>
      <c r="Q4968" s="2" t="s">
        <v>47573</v>
      </c>
      <c r="R4968" s="3" t="s">
        <v>66</v>
      </c>
      <c r="S4968" s="4">
        <v>24</v>
      </c>
      <c r="T4968" s="4">
        <v>24</v>
      </c>
      <c r="U4968" s="5" t="s">
        <v>36659</v>
      </c>
      <c r="V4968" s="5" t="s">
        <v>36659</v>
      </c>
      <c r="W4968" s="5" t="s">
        <v>67</v>
      </c>
      <c r="X4968" s="5" t="s">
        <v>67</v>
      </c>
      <c r="Y4968" s="4">
        <v>206</v>
      </c>
      <c r="Z4968" s="4">
        <v>26</v>
      </c>
      <c r="AA4968" s="4">
        <v>27</v>
      </c>
      <c r="AB4968" s="4">
        <v>1</v>
      </c>
      <c r="AC4968" s="4">
        <v>2</v>
      </c>
      <c r="AD4968" s="4">
        <v>64</v>
      </c>
      <c r="AE4968" s="4">
        <v>65</v>
      </c>
      <c r="AF4968" s="4">
        <v>0</v>
      </c>
      <c r="AG4968" s="4">
        <v>1</v>
      </c>
      <c r="AH4968" s="4">
        <v>51</v>
      </c>
      <c r="AI4968" s="4">
        <v>52</v>
      </c>
      <c r="AJ4968" s="4">
        <v>10</v>
      </c>
      <c r="AK4968" s="4">
        <v>11</v>
      </c>
      <c r="AL4968" s="4">
        <v>32</v>
      </c>
      <c r="AM4968" s="4">
        <v>32</v>
      </c>
      <c r="AN4968" s="4">
        <v>0</v>
      </c>
      <c r="AO4968" s="4">
        <v>0</v>
      </c>
      <c r="AP4968" s="4">
        <v>17</v>
      </c>
      <c r="AQ4968" s="4">
        <v>18</v>
      </c>
      <c r="AR4968" s="3" t="s">
        <v>62</v>
      </c>
      <c r="AS4968" s="3" t="s">
        <v>62</v>
      </c>
      <c r="AT4968" s="3" t="s">
        <v>62</v>
      </c>
      <c r="AV4968" s="6" t="str">
        <f>HYPERLINK("http://mcgill.on.worldcat.org/oclc/53831495","Catalog Record")</f>
        <v>Catalog Record</v>
      </c>
      <c r="AW4968" s="6" t="str">
        <f>HYPERLINK("http://www.worldcat.org/oclc/53831495","WorldCat Record")</f>
        <v>WorldCat Record</v>
      </c>
      <c r="AX4968" s="3" t="s">
        <v>47574</v>
      </c>
      <c r="AY4968" s="3" t="s">
        <v>47575</v>
      </c>
      <c r="AZ4968" s="3" t="s">
        <v>47576</v>
      </c>
      <c r="BA4968" s="3" t="s">
        <v>47576</v>
      </c>
      <c r="BB4968" s="3" t="s">
        <v>47577</v>
      </c>
      <c r="BC4968" s="3" t="s">
        <v>142</v>
      </c>
      <c r="BD4968" s="3" t="s">
        <v>68</v>
      </c>
      <c r="BE4968" s="3" t="s">
        <v>47578</v>
      </c>
      <c r="BF4968" s="3" t="s">
        <v>47577</v>
      </c>
      <c r="BG4968" s="3" t="s">
        <v>47579</v>
      </c>
    </row>
    <row r="4969" spans="1:59" ht="57" x14ac:dyDescent="0.45">
      <c r="A4969" s="2" t="s">
        <v>59</v>
      </c>
      <c r="B4969" s="2" t="s">
        <v>60</v>
      </c>
      <c r="C4969" s="2" t="s">
        <v>47580</v>
      </c>
      <c r="D4969" s="2" t="s">
        <v>47581</v>
      </c>
      <c r="E4969" s="2" t="s">
        <v>47582</v>
      </c>
      <c r="G4969" s="3" t="s">
        <v>62</v>
      </c>
      <c r="I4969" s="3" t="s">
        <v>62</v>
      </c>
      <c r="J4969" s="3" t="s">
        <v>62</v>
      </c>
      <c r="K4969" s="3" t="s">
        <v>63</v>
      </c>
      <c r="M4969" s="2" t="s">
        <v>47583</v>
      </c>
      <c r="N4969" s="3" t="s">
        <v>1688</v>
      </c>
      <c r="P4969" s="3" t="s">
        <v>65</v>
      </c>
      <c r="Q4969" s="2" t="s">
        <v>47584</v>
      </c>
      <c r="R4969" s="3" t="s">
        <v>66</v>
      </c>
      <c r="S4969" s="4">
        <v>4</v>
      </c>
      <c r="T4969" s="4">
        <v>4</v>
      </c>
      <c r="U4969" s="5" t="s">
        <v>47585</v>
      </c>
      <c r="V4969" s="5" t="s">
        <v>47585</v>
      </c>
      <c r="W4969" s="5" t="s">
        <v>67</v>
      </c>
      <c r="X4969" s="5" t="s">
        <v>67</v>
      </c>
      <c r="Y4969" s="4">
        <v>62</v>
      </c>
      <c r="Z4969" s="4">
        <v>1</v>
      </c>
      <c r="AA4969" s="4">
        <v>1</v>
      </c>
      <c r="AB4969" s="4">
        <v>1</v>
      </c>
      <c r="AC4969" s="4">
        <v>1</v>
      </c>
      <c r="AD4969" s="4">
        <v>26</v>
      </c>
      <c r="AE4969" s="4">
        <v>26</v>
      </c>
      <c r="AF4969" s="4">
        <v>0</v>
      </c>
      <c r="AG4969" s="4">
        <v>0</v>
      </c>
      <c r="AH4969" s="4">
        <v>26</v>
      </c>
      <c r="AI4969" s="4">
        <v>26</v>
      </c>
      <c r="AJ4969" s="4">
        <v>0</v>
      </c>
      <c r="AK4969" s="4">
        <v>0</v>
      </c>
      <c r="AL4969" s="4">
        <v>20</v>
      </c>
      <c r="AM4969" s="4">
        <v>20</v>
      </c>
      <c r="AN4969" s="4">
        <v>0</v>
      </c>
      <c r="AO4969" s="4">
        <v>0</v>
      </c>
      <c r="AP4969" s="4">
        <v>0</v>
      </c>
      <c r="AQ4969" s="4">
        <v>0</v>
      </c>
      <c r="AR4969" s="3" t="s">
        <v>62</v>
      </c>
      <c r="AS4969" s="3" t="s">
        <v>62</v>
      </c>
      <c r="AT4969" s="3" t="s">
        <v>62</v>
      </c>
      <c r="AV4969" s="6" t="str">
        <f>HYPERLINK("http://mcgill.on.worldcat.org/oclc/881180366","Catalog Record")</f>
        <v>Catalog Record</v>
      </c>
      <c r="AW4969" s="6" t="str">
        <f>HYPERLINK("http://www.worldcat.org/oclc/881180366","WorldCat Record")</f>
        <v>WorldCat Record</v>
      </c>
      <c r="AX4969" s="3" t="s">
        <v>47586</v>
      </c>
      <c r="AY4969" s="3" t="s">
        <v>47587</v>
      </c>
      <c r="AZ4969" s="3" t="s">
        <v>47588</v>
      </c>
      <c r="BA4969" s="3" t="s">
        <v>47588</v>
      </c>
      <c r="BB4969" s="3" t="s">
        <v>47589</v>
      </c>
      <c r="BC4969" s="3" t="s">
        <v>142</v>
      </c>
      <c r="BD4969" s="3" t="s">
        <v>68</v>
      </c>
      <c r="BE4969" s="3" t="s">
        <v>47590</v>
      </c>
      <c r="BF4969" s="3" t="s">
        <v>47589</v>
      </c>
      <c r="BG4969" s="3" t="s">
        <v>47591</v>
      </c>
    </row>
    <row r="4970" spans="1:59" ht="57" x14ac:dyDescent="0.45">
      <c r="A4970" s="2" t="s">
        <v>59</v>
      </c>
      <c r="B4970" s="2" t="s">
        <v>60</v>
      </c>
      <c r="C4970" s="2" t="s">
        <v>47592</v>
      </c>
      <c r="D4970" s="2" t="s">
        <v>47593</v>
      </c>
      <c r="E4970" s="2" t="s">
        <v>47594</v>
      </c>
      <c r="G4970" s="3" t="s">
        <v>62</v>
      </c>
      <c r="I4970" s="3" t="s">
        <v>62</v>
      </c>
      <c r="J4970" s="3" t="s">
        <v>62</v>
      </c>
      <c r="K4970" s="3" t="s">
        <v>63</v>
      </c>
      <c r="M4970" s="2" t="s">
        <v>47595</v>
      </c>
      <c r="N4970" s="3" t="s">
        <v>958</v>
      </c>
      <c r="P4970" s="3" t="s">
        <v>65</v>
      </c>
      <c r="Q4970" s="2" t="s">
        <v>47596</v>
      </c>
      <c r="R4970" s="3" t="s">
        <v>66</v>
      </c>
      <c r="S4970" s="4">
        <v>37</v>
      </c>
      <c r="T4970" s="4">
        <v>37</v>
      </c>
      <c r="U4970" s="5" t="s">
        <v>7222</v>
      </c>
      <c r="V4970" s="5" t="s">
        <v>7222</v>
      </c>
      <c r="W4970" s="5" t="s">
        <v>67</v>
      </c>
      <c r="X4970" s="5" t="s">
        <v>67</v>
      </c>
      <c r="Y4970" s="4">
        <v>154</v>
      </c>
      <c r="Z4970" s="4">
        <v>12</v>
      </c>
      <c r="AA4970" s="4">
        <v>13</v>
      </c>
      <c r="AB4970" s="4">
        <v>1</v>
      </c>
      <c r="AC4970" s="4">
        <v>2</v>
      </c>
      <c r="AD4970" s="4">
        <v>64</v>
      </c>
      <c r="AE4970" s="4">
        <v>65</v>
      </c>
      <c r="AF4970" s="4">
        <v>0</v>
      </c>
      <c r="AG4970" s="4">
        <v>0</v>
      </c>
      <c r="AH4970" s="4">
        <v>58</v>
      </c>
      <c r="AI4970" s="4">
        <v>59</v>
      </c>
      <c r="AJ4970" s="4">
        <v>9</v>
      </c>
      <c r="AK4970" s="4">
        <v>9</v>
      </c>
      <c r="AL4970" s="4">
        <v>39</v>
      </c>
      <c r="AM4970" s="4">
        <v>39</v>
      </c>
      <c r="AN4970" s="4">
        <v>0</v>
      </c>
      <c r="AO4970" s="4">
        <v>0</v>
      </c>
      <c r="AP4970" s="4">
        <v>8</v>
      </c>
      <c r="AQ4970" s="4">
        <v>8</v>
      </c>
      <c r="AR4970" s="3" t="s">
        <v>62</v>
      </c>
      <c r="AS4970" s="3" t="s">
        <v>62</v>
      </c>
      <c r="AT4970" s="3" t="s">
        <v>62</v>
      </c>
      <c r="AV4970" s="6" t="str">
        <f>HYPERLINK("http://mcgill.on.worldcat.org/oclc/30511327","Catalog Record")</f>
        <v>Catalog Record</v>
      </c>
      <c r="AW4970" s="6" t="str">
        <f>HYPERLINK("http://www.worldcat.org/oclc/30511327","WorldCat Record")</f>
        <v>WorldCat Record</v>
      </c>
      <c r="AX4970" s="3" t="s">
        <v>47597</v>
      </c>
      <c r="AY4970" s="3" t="s">
        <v>47598</v>
      </c>
      <c r="AZ4970" s="3" t="s">
        <v>47599</v>
      </c>
      <c r="BA4970" s="3" t="s">
        <v>47599</v>
      </c>
      <c r="BB4970" s="3" t="s">
        <v>47600</v>
      </c>
      <c r="BC4970" s="3" t="s">
        <v>142</v>
      </c>
      <c r="BD4970" s="3" t="s">
        <v>68</v>
      </c>
      <c r="BE4970" s="3" t="s">
        <v>47601</v>
      </c>
      <c r="BF4970" s="3" t="s">
        <v>47600</v>
      </c>
      <c r="BG4970" s="3" t="s">
        <v>47602</v>
      </c>
    </row>
    <row r="4971" spans="1:59" ht="57" x14ac:dyDescent="0.45">
      <c r="A4971" s="2" t="s">
        <v>59</v>
      </c>
      <c r="B4971" s="2" t="s">
        <v>60</v>
      </c>
      <c r="C4971" s="2" t="s">
        <v>47603</v>
      </c>
      <c r="D4971" s="2" t="s">
        <v>47604</v>
      </c>
      <c r="E4971" s="2" t="s">
        <v>47605</v>
      </c>
      <c r="F4971" s="3" t="s">
        <v>47606</v>
      </c>
      <c r="G4971" s="3" t="s">
        <v>61</v>
      </c>
      <c r="I4971" s="3" t="s">
        <v>62</v>
      </c>
      <c r="J4971" s="3" t="s">
        <v>62</v>
      </c>
      <c r="K4971" s="3" t="s">
        <v>63</v>
      </c>
      <c r="L4971" s="2" t="s">
        <v>47607</v>
      </c>
      <c r="M4971" s="2" t="s">
        <v>47608</v>
      </c>
      <c r="N4971" s="3" t="s">
        <v>1155</v>
      </c>
      <c r="P4971" s="3" t="s">
        <v>182</v>
      </c>
      <c r="Q4971" s="2" t="s">
        <v>47609</v>
      </c>
      <c r="R4971" s="3" t="s">
        <v>66</v>
      </c>
      <c r="S4971" s="4">
        <v>0</v>
      </c>
      <c r="T4971" s="4">
        <v>0</v>
      </c>
      <c r="W4971" s="5" t="s">
        <v>67</v>
      </c>
      <c r="X4971" s="5" t="s">
        <v>67</v>
      </c>
      <c r="Y4971" s="4">
        <v>54</v>
      </c>
      <c r="Z4971" s="4">
        <v>2</v>
      </c>
      <c r="AA4971" s="4">
        <v>2</v>
      </c>
      <c r="AB4971" s="4">
        <v>1</v>
      </c>
      <c r="AC4971" s="4">
        <v>1</v>
      </c>
      <c r="AD4971" s="4">
        <v>30</v>
      </c>
      <c r="AE4971" s="4">
        <v>30</v>
      </c>
      <c r="AF4971" s="4">
        <v>0</v>
      </c>
      <c r="AG4971" s="4">
        <v>0</v>
      </c>
      <c r="AH4971" s="4">
        <v>29</v>
      </c>
      <c r="AI4971" s="4">
        <v>29</v>
      </c>
      <c r="AJ4971" s="4">
        <v>1</v>
      </c>
      <c r="AK4971" s="4">
        <v>1</v>
      </c>
      <c r="AL4971" s="4">
        <v>24</v>
      </c>
      <c r="AM4971" s="4">
        <v>24</v>
      </c>
      <c r="AN4971" s="4">
        <v>0</v>
      </c>
      <c r="AO4971" s="4">
        <v>0</v>
      </c>
      <c r="AP4971" s="4">
        <v>1</v>
      </c>
      <c r="AQ4971" s="4">
        <v>1</v>
      </c>
      <c r="AR4971" s="3" t="s">
        <v>62</v>
      </c>
      <c r="AS4971" s="3" t="s">
        <v>62</v>
      </c>
      <c r="AT4971" s="3" t="s">
        <v>62</v>
      </c>
      <c r="AV4971" s="6" t="str">
        <f>HYPERLINK("http://mcgill.on.worldcat.org/oclc/794685163","Catalog Record")</f>
        <v>Catalog Record</v>
      </c>
      <c r="AW4971" s="6" t="str">
        <f>HYPERLINK("http://www.worldcat.org/oclc/794685163","WorldCat Record")</f>
        <v>WorldCat Record</v>
      </c>
      <c r="AX4971" s="3" t="s">
        <v>47610</v>
      </c>
      <c r="AY4971" s="3" t="s">
        <v>47611</v>
      </c>
      <c r="AZ4971" s="3" t="s">
        <v>47612</v>
      </c>
      <c r="BA4971" s="3" t="s">
        <v>47612</v>
      </c>
      <c r="BB4971" s="3" t="s">
        <v>47613</v>
      </c>
      <c r="BC4971" s="3" t="s">
        <v>142</v>
      </c>
      <c r="BD4971" s="3" t="s">
        <v>68</v>
      </c>
      <c r="BE4971" s="3" t="s">
        <v>47614</v>
      </c>
      <c r="BF4971" s="3" t="s">
        <v>47613</v>
      </c>
      <c r="BG4971" s="3" t="s">
        <v>47615</v>
      </c>
    </row>
    <row r="4972" spans="1:59" ht="57" x14ac:dyDescent="0.45">
      <c r="A4972" s="2" t="s">
        <v>59</v>
      </c>
      <c r="B4972" s="2" t="s">
        <v>60</v>
      </c>
      <c r="C4972" s="2" t="s">
        <v>47603</v>
      </c>
      <c r="D4972" s="2" t="s">
        <v>47604</v>
      </c>
      <c r="E4972" s="2" t="s">
        <v>47605</v>
      </c>
      <c r="F4972" s="3" t="s">
        <v>47616</v>
      </c>
      <c r="G4972" s="3" t="s">
        <v>61</v>
      </c>
      <c r="I4972" s="3" t="s">
        <v>62</v>
      </c>
      <c r="J4972" s="3" t="s">
        <v>62</v>
      </c>
      <c r="K4972" s="3" t="s">
        <v>63</v>
      </c>
      <c r="L4972" s="2" t="s">
        <v>47607</v>
      </c>
      <c r="M4972" s="2" t="s">
        <v>47608</v>
      </c>
      <c r="N4972" s="3" t="s">
        <v>1155</v>
      </c>
      <c r="P4972" s="3" t="s">
        <v>182</v>
      </c>
      <c r="Q4972" s="2" t="s">
        <v>47609</v>
      </c>
      <c r="R4972" s="3" t="s">
        <v>66</v>
      </c>
      <c r="S4972" s="4">
        <v>0</v>
      </c>
      <c r="T4972" s="4">
        <v>0</v>
      </c>
      <c r="W4972" s="5" t="s">
        <v>67</v>
      </c>
      <c r="X4972" s="5" t="s">
        <v>67</v>
      </c>
      <c r="Y4972" s="4">
        <v>54</v>
      </c>
      <c r="Z4972" s="4">
        <v>2</v>
      </c>
      <c r="AA4972" s="4">
        <v>2</v>
      </c>
      <c r="AB4972" s="4">
        <v>1</v>
      </c>
      <c r="AC4972" s="4">
        <v>1</v>
      </c>
      <c r="AD4972" s="4">
        <v>30</v>
      </c>
      <c r="AE4972" s="4">
        <v>30</v>
      </c>
      <c r="AF4972" s="4">
        <v>0</v>
      </c>
      <c r="AG4972" s="4">
        <v>0</v>
      </c>
      <c r="AH4972" s="4">
        <v>29</v>
      </c>
      <c r="AI4972" s="4">
        <v>29</v>
      </c>
      <c r="AJ4972" s="4">
        <v>1</v>
      </c>
      <c r="AK4972" s="4">
        <v>1</v>
      </c>
      <c r="AL4972" s="4">
        <v>24</v>
      </c>
      <c r="AM4972" s="4">
        <v>24</v>
      </c>
      <c r="AN4972" s="4">
        <v>0</v>
      </c>
      <c r="AO4972" s="4">
        <v>0</v>
      </c>
      <c r="AP4972" s="4">
        <v>1</v>
      </c>
      <c r="AQ4972" s="4">
        <v>1</v>
      </c>
      <c r="AR4972" s="3" t="s">
        <v>62</v>
      </c>
      <c r="AS4972" s="3" t="s">
        <v>62</v>
      </c>
      <c r="AT4972" s="3" t="s">
        <v>62</v>
      </c>
      <c r="AV4972" s="6" t="str">
        <f>HYPERLINK("http://mcgill.on.worldcat.org/oclc/794685163","Catalog Record")</f>
        <v>Catalog Record</v>
      </c>
      <c r="AW4972" s="6" t="str">
        <f>HYPERLINK("http://www.worldcat.org/oclc/794685163","WorldCat Record")</f>
        <v>WorldCat Record</v>
      </c>
      <c r="AX4972" s="3" t="s">
        <v>47610</v>
      </c>
      <c r="AY4972" s="3" t="s">
        <v>47611</v>
      </c>
      <c r="AZ4972" s="3" t="s">
        <v>47612</v>
      </c>
      <c r="BA4972" s="3" t="s">
        <v>47612</v>
      </c>
      <c r="BB4972" s="3" t="s">
        <v>47617</v>
      </c>
      <c r="BC4972" s="3" t="s">
        <v>142</v>
      </c>
      <c r="BD4972" s="3" t="s">
        <v>68</v>
      </c>
      <c r="BE4972" s="3" t="s">
        <v>47614</v>
      </c>
      <c r="BF4972" s="3" t="s">
        <v>47617</v>
      </c>
      <c r="BG4972" s="3" t="s">
        <v>47618</v>
      </c>
    </row>
    <row r="4973" spans="1:59" ht="57" x14ac:dyDescent="0.45">
      <c r="A4973" s="2" t="s">
        <v>59</v>
      </c>
      <c r="B4973" s="2" t="s">
        <v>60</v>
      </c>
      <c r="C4973" s="2" t="s">
        <v>47619</v>
      </c>
      <c r="D4973" s="2" t="s">
        <v>47620</v>
      </c>
      <c r="E4973" s="2" t="s">
        <v>47621</v>
      </c>
      <c r="G4973" s="3" t="s">
        <v>62</v>
      </c>
      <c r="I4973" s="3" t="s">
        <v>62</v>
      </c>
      <c r="J4973" s="3" t="s">
        <v>62</v>
      </c>
      <c r="K4973" s="3" t="s">
        <v>63</v>
      </c>
      <c r="L4973" s="2" t="s">
        <v>47622</v>
      </c>
      <c r="M4973" s="2" t="s">
        <v>2560</v>
      </c>
      <c r="N4973" s="3" t="s">
        <v>149</v>
      </c>
      <c r="P4973" s="3" t="s">
        <v>65</v>
      </c>
      <c r="R4973" s="3" t="s">
        <v>66</v>
      </c>
      <c r="S4973" s="4">
        <v>1</v>
      </c>
      <c r="T4973" s="4">
        <v>1</v>
      </c>
      <c r="U4973" s="5" t="s">
        <v>47623</v>
      </c>
      <c r="V4973" s="5" t="s">
        <v>47623</v>
      </c>
      <c r="W4973" s="5" t="s">
        <v>67</v>
      </c>
      <c r="X4973" s="5" t="s">
        <v>67</v>
      </c>
      <c r="Y4973" s="4">
        <v>228</v>
      </c>
      <c r="Z4973" s="4">
        <v>24</v>
      </c>
      <c r="AA4973" s="4">
        <v>109</v>
      </c>
      <c r="AB4973" s="4">
        <v>3</v>
      </c>
      <c r="AC4973" s="4">
        <v>18</v>
      </c>
      <c r="AD4973" s="4">
        <v>81</v>
      </c>
      <c r="AE4973" s="4">
        <v>132</v>
      </c>
      <c r="AF4973" s="4">
        <v>1</v>
      </c>
      <c r="AG4973" s="4">
        <v>8</v>
      </c>
      <c r="AH4973" s="4">
        <v>71</v>
      </c>
      <c r="AI4973" s="4">
        <v>93</v>
      </c>
      <c r="AJ4973" s="4">
        <v>16</v>
      </c>
      <c r="AK4973" s="4">
        <v>25</v>
      </c>
      <c r="AL4973" s="4">
        <v>44</v>
      </c>
      <c r="AM4973" s="4">
        <v>50</v>
      </c>
      <c r="AN4973" s="4">
        <v>0</v>
      </c>
      <c r="AO4973" s="4">
        <v>0</v>
      </c>
      <c r="AP4973" s="4">
        <v>18</v>
      </c>
      <c r="AQ4973" s="4">
        <v>49</v>
      </c>
      <c r="AR4973" s="3" t="s">
        <v>62</v>
      </c>
      <c r="AS4973" s="3" t="s">
        <v>62</v>
      </c>
      <c r="AT4973" s="3" t="s">
        <v>62</v>
      </c>
      <c r="AV4973" s="6" t="str">
        <f>HYPERLINK("http://mcgill.on.worldcat.org/oclc/477256340","Catalog Record")</f>
        <v>Catalog Record</v>
      </c>
      <c r="AW4973" s="6" t="str">
        <f>HYPERLINK("http://www.worldcat.org/oclc/477256340","WorldCat Record")</f>
        <v>WorldCat Record</v>
      </c>
      <c r="AX4973" s="3" t="s">
        <v>47624</v>
      </c>
      <c r="AY4973" s="3" t="s">
        <v>47625</v>
      </c>
      <c r="AZ4973" s="3" t="s">
        <v>47626</v>
      </c>
      <c r="BA4973" s="3" t="s">
        <v>47626</v>
      </c>
      <c r="BB4973" s="3" t="s">
        <v>47627</v>
      </c>
      <c r="BC4973" s="3" t="s">
        <v>142</v>
      </c>
      <c r="BD4973" s="3" t="s">
        <v>68</v>
      </c>
      <c r="BE4973" s="3" t="s">
        <v>47628</v>
      </c>
      <c r="BF4973" s="3" t="s">
        <v>47627</v>
      </c>
      <c r="BG4973" s="3" t="s">
        <v>47629</v>
      </c>
    </row>
    <row r="4974" spans="1:59" ht="57" x14ac:dyDescent="0.45">
      <c r="A4974" s="2" t="s">
        <v>59</v>
      </c>
      <c r="B4974" s="2" t="s">
        <v>60</v>
      </c>
      <c r="C4974" s="2" t="s">
        <v>47630</v>
      </c>
      <c r="D4974" s="2" t="s">
        <v>47631</v>
      </c>
      <c r="E4974" s="2" t="s">
        <v>47632</v>
      </c>
      <c r="G4974" s="3" t="s">
        <v>62</v>
      </c>
      <c r="I4974" s="3" t="s">
        <v>62</v>
      </c>
      <c r="J4974" s="3" t="s">
        <v>62</v>
      </c>
      <c r="K4974" s="3" t="s">
        <v>63</v>
      </c>
      <c r="L4974" s="2" t="s">
        <v>47633</v>
      </c>
      <c r="M4974" s="2" t="s">
        <v>47634</v>
      </c>
      <c r="N4974" s="3" t="s">
        <v>106</v>
      </c>
      <c r="P4974" s="3" t="s">
        <v>65</v>
      </c>
      <c r="R4974" s="3" t="s">
        <v>66</v>
      </c>
      <c r="S4974" s="4">
        <v>65</v>
      </c>
      <c r="T4974" s="4">
        <v>65</v>
      </c>
      <c r="U4974" s="5" t="s">
        <v>47635</v>
      </c>
      <c r="V4974" s="5" t="s">
        <v>47635</v>
      </c>
      <c r="W4974" s="5" t="s">
        <v>67</v>
      </c>
      <c r="X4974" s="5" t="s">
        <v>67</v>
      </c>
      <c r="Y4974" s="4">
        <v>668</v>
      </c>
      <c r="Z4974" s="4">
        <v>51</v>
      </c>
      <c r="AA4974" s="4">
        <v>62</v>
      </c>
      <c r="AB4974" s="4">
        <v>4</v>
      </c>
      <c r="AC4974" s="4">
        <v>10</v>
      </c>
      <c r="AD4974" s="4">
        <v>131</v>
      </c>
      <c r="AE4974" s="4">
        <v>140</v>
      </c>
      <c r="AF4974" s="4">
        <v>2</v>
      </c>
      <c r="AG4974" s="4">
        <v>5</v>
      </c>
      <c r="AH4974" s="4">
        <v>105</v>
      </c>
      <c r="AI4974" s="4">
        <v>109</v>
      </c>
      <c r="AJ4974" s="4">
        <v>21</v>
      </c>
      <c r="AK4974" s="4">
        <v>26</v>
      </c>
      <c r="AL4974" s="4">
        <v>56</v>
      </c>
      <c r="AM4974" s="4">
        <v>57</v>
      </c>
      <c r="AN4974" s="4">
        <v>0</v>
      </c>
      <c r="AO4974" s="4">
        <v>0</v>
      </c>
      <c r="AP4974" s="4">
        <v>35</v>
      </c>
      <c r="AQ4974" s="4">
        <v>40</v>
      </c>
      <c r="AR4974" s="3" t="s">
        <v>62</v>
      </c>
      <c r="AS4974" s="3" t="s">
        <v>62</v>
      </c>
      <c r="AT4974" s="3" t="s">
        <v>62</v>
      </c>
      <c r="AV4974" s="6" t="str">
        <f>HYPERLINK("http://mcgill.on.worldcat.org/oclc/8554299","Catalog Record")</f>
        <v>Catalog Record</v>
      </c>
      <c r="AW4974" s="6" t="str">
        <f>HYPERLINK("http://www.worldcat.org/oclc/8554299","WorldCat Record")</f>
        <v>WorldCat Record</v>
      </c>
      <c r="AX4974" s="3" t="s">
        <v>47636</v>
      </c>
      <c r="AY4974" s="3" t="s">
        <v>47637</v>
      </c>
      <c r="AZ4974" s="3" t="s">
        <v>47638</v>
      </c>
      <c r="BA4974" s="3" t="s">
        <v>47638</v>
      </c>
      <c r="BB4974" s="3" t="s">
        <v>47639</v>
      </c>
      <c r="BC4974" s="3" t="s">
        <v>142</v>
      </c>
      <c r="BD4974" s="3" t="s">
        <v>68</v>
      </c>
      <c r="BE4974" s="3" t="s">
        <v>47640</v>
      </c>
      <c r="BF4974" s="3" t="s">
        <v>47639</v>
      </c>
      <c r="BG4974" s="3" t="s">
        <v>47641</v>
      </c>
    </row>
    <row r="4975" spans="1:59" ht="57" x14ac:dyDescent="0.45">
      <c r="A4975" s="2" t="s">
        <v>59</v>
      </c>
      <c r="B4975" s="2" t="s">
        <v>60</v>
      </c>
      <c r="C4975" s="2" t="s">
        <v>47642</v>
      </c>
      <c r="D4975" s="2" t="s">
        <v>47643</v>
      </c>
      <c r="E4975" s="2" t="s">
        <v>47644</v>
      </c>
      <c r="G4975" s="3" t="s">
        <v>62</v>
      </c>
      <c r="I4975" s="3" t="s">
        <v>62</v>
      </c>
      <c r="J4975" s="3" t="s">
        <v>62</v>
      </c>
      <c r="K4975" s="3" t="s">
        <v>63</v>
      </c>
      <c r="M4975" s="2" t="s">
        <v>47645</v>
      </c>
      <c r="N4975" s="3" t="s">
        <v>157</v>
      </c>
      <c r="P4975" s="3" t="s">
        <v>65</v>
      </c>
      <c r="R4975" s="3" t="s">
        <v>66</v>
      </c>
      <c r="S4975" s="4">
        <v>21</v>
      </c>
      <c r="T4975" s="4">
        <v>21</v>
      </c>
      <c r="U4975" s="5" t="s">
        <v>42752</v>
      </c>
      <c r="V4975" s="5" t="s">
        <v>42752</v>
      </c>
      <c r="W4975" s="5" t="s">
        <v>67</v>
      </c>
      <c r="X4975" s="5" t="s">
        <v>67</v>
      </c>
      <c r="Y4975" s="4">
        <v>546</v>
      </c>
      <c r="Z4975" s="4">
        <v>31</v>
      </c>
      <c r="AA4975" s="4">
        <v>41</v>
      </c>
      <c r="AB4975" s="4">
        <v>2</v>
      </c>
      <c r="AC4975" s="4">
        <v>7</v>
      </c>
      <c r="AD4975" s="4">
        <v>119</v>
      </c>
      <c r="AE4975" s="4">
        <v>127</v>
      </c>
      <c r="AF4975" s="4">
        <v>1</v>
      </c>
      <c r="AG4975" s="4">
        <v>6</v>
      </c>
      <c r="AH4975" s="4">
        <v>100</v>
      </c>
      <c r="AI4975" s="4">
        <v>103</v>
      </c>
      <c r="AJ4975" s="4">
        <v>18</v>
      </c>
      <c r="AK4975" s="4">
        <v>24</v>
      </c>
      <c r="AL4975" s="4">
        <v>54</v>
      </c>
      <c r="AM4975" s="4">
        <v>54</v>
      </c>
      <c r="AN4975" s="4">
        <v>0</v>
      </c>
      <c r="AO4975" s="4">
        <v>0</v>
      </c>
      <c r="AP4975" s="4">
        <v>26</v>
      </c>
      <c r="AQ4975" s="4">
        <v>33</v>
      </c>
      <c r="AR4975" s="3" t="s">
        <v>62</v>
      </c>
      <c r="AS4975" s="3" t="s">
        <v>62</v>
      </c>
      <c r="AT4975" s="3" t="s">
        <v>62</v>
      </c>
      <c r="AV4975" s="6" t="str">
        <f>HYPERLINK("http://mcgill.on.worldcat.org/oclc/7977124","Catalog Record")</f>
        <v>Catalog Record</v>
      </c>
      <c r="AW4975" s="6" t="str">
        <f>HYPERLINK("http://www.worldcat.org/oclc/7977124","WorldCat Record")</f>
        <v>WorldCat Record</v>
      </c>
      <c r="AX4975" s="3" t="s">
        <v>47646</v>
      </c>
      <c r="AY4975" s="3" t="s">
        <v>47647</v>
      </c>
      <c r="AZ4975" s="3" t="s">
        <v>47648</v>
      </c>
      <c r="BA4975" s="3" t="s">
        <v>47648</v>
      </c>
      <c r="BB4975" s="3" t="s">
        <v>47649</v>
      </c>
      <c r="BC4975" s="3" t="s">
        <v>142</v>
      </c>
      <c r="BD4975" s="3" t="s">
        <v>68</v>
      </c>
      <c r="BE4975" s="3" t="s">
        <v>47650</v>
      </c>
      <c r="BF4975" s="3" t="s">
        <v>47649</v>
      </c>
      <c r="BG4975" s="3" t="s">
        <v>47651</v>
      </c>
    </row>
    <row r="4976" spans="1:59" ht="57" x14ac:dyDescent="0.45">
      <c r="A4976" s="2" t="s">
        <v>927</v>
      </c>
      <c r="B4976" s="2" t="s">
        <v>928</v>
      </c>
      <c r="C4976" s="2" t="s">
        <v>47652</v>
      </c>
      <c r="D4976" s="2" t="s">
        <v>47653</v>
      </c>
      <c r="E4976" s="2" t="s">
        <v>47654</v>
      </c>
      <c r="G4976" s="3" t="s">
        <v>62</v>
      </c>
      <c r="I4976" s="3" t="s">
        <v>62</v>
      </c>
      <c r="J4976" s="3" t="s">
        <v>62</v>
      </c>
      <c r="K4976" s="3" t="s">
        <v>63</v>
      </c>
      <c r="M4976" s="2" t="s">
        <v>3423</v>
      </c>
      <c r="N4976" s="3" t="s">
        <v>1478</v>
      </c>
      <c r="P4976" s="3" t="s">
        <v>65</v>
      </c>
      <c r="R4976" s="3" t="s">
        <v>66</v>
      </c>
      <c r="S4976" s="4">
        <v>15</v>
      </c>
      <c r="T4976" s="4">
        <v>15</v>
      </c>
      <c r="U4976" s="5" t="s">
        <v>36697</v>
      </c>
      <c r="V4976" s="5" t="s">
        <v>36697</v>
      </c>
      <c r="W4976" s="5" t="s">
        <v>67</v>
      </c>
      <c r="X4976" s="5" t="s">
        <v>67</v>
      </c>
      <c r="Y4976" s="4">
        <v>1442</v>
      </c>
      <c r="Z4976" s="4">
        <v>46</v>
      </c>
      <c r="AA4976" s="4">
        <v>52</v>
      </c>
      <c r="AB4976" s="4">
        <v>3</v>
      </c>
      <c r="AC4976" s="4">
        <v>6</v>
      </c>
      <c r="AD4976" s="4">
        <v>131</v>
      </c>
      <c r="AE4976" s="4">
        <v>137</v>
      </c>
      <c r="AF4976" s="4">
        <v>1</v>
      </c>
      <c r="AG4976" s="4">
        <v>4</v>
      </c>
      <c r="AH4976" s="4">
        <v>109</v>
      </c>
      <c r="AI4976" s="4">
        <v>112</v>
      </c>
      <c r="AJ4976" s="4">
        <v>16</v>
      </c>
      <c r="AK4976" s="4">
        <v>21</v>
      </c>
      <c r="AL4976" s="4">
        <v>59</v>
      </c>
      <c r="AM4976" s="4">
        <v>59</v>
      </c>
      <c r="AN4976" s="4">
        <v>0</v>
      </c>
      <c r="AO4976" s="4">
        <v>0</v>
      </c>
      <c r="AP4976" s="4">
        <v>26</v>
      </c>
      <c r="AQ4976" s="4">
        <v>30</v>
      </c>
      <c r="AR4976" s="3" t="s">
        <v>62</v>
      </c>
      <c r="AS4976" s="3" t="s">
        <v>62</v>
      </c>
      <c r="AT4976" s="3" t="s">
        <v>61</v>
      </c>
      <c r="AU4976" s="6" t="str">
        <f>HYPERLINK("http://catalog.hathitrust.org/Record/003025787","HathiTrust Record")</f>
        <v>HathiTrust Record</v>
      </c>
      <c r="AV4976" s="6" t="str">
        <f>HYPERLINK("http://mcgill.on.worldcat.org/oclc/31969720","Catalog Record")</f>
        <v>Catalog Record</v>
      </c>
      <c r="AW4976" s="6" t="str">
        <f>HYPERLINK("http://www.worldcat.org/oclc/31969720","WorldCat Record")</f>
        <v>WorldCat Record</v>
      </c>
      <c r="AX4976" s="3" t="s">
        <v>47655</v>
      </c>
      <c r="AY4976" s="3" t="s">
        <v>47656</v>
      </c>
      <c r="AZ4976" s="3" t="s">
        <v>47657</v>
      </c>
      <c r="BA4976" s="3" t="s">
        <v>47657</v>
      </c>
      <c r="BB4976" s="3" t="s">
        <v>47658</v>
      </c>
      <c r="BC4976" s="3" t="s">
        <v>142</v>
      </c>
      <c r="BD4976" s="3" t="s">
        <v>68</v>
      </c>
      <c r="BE4976" s="3" t="s">
        <v>47659</v>
      </c>
      <c r="BF4976" s="3" t="s">
        <v>47658</v>
      </c>
      <c r="BG4976" s="3" t="s">
        <v>47660</v>
      </c>
    </row>
    <row r="4977" spans="1:59" ht="57" x14ac:dyDescent="0.45">
      <c r="A4977" s="2" t="s">
        <v>59</v>
      </c>
      <c r="B4977" s="2" t="s">
        <v>60</v>
      </c>
      <c r="C4977" s="2" t="s">
        <v>47661</v>
      </c>
      <c r="D4977" s="2" t="s">
        <v>47662</v>
      </c>
      <c r="E4977" s="2" t="s">
        <v>47663</v>
      </c>
      <c r="G4977" s="3" t="s">
        <v>62</v>
      </c>
      <c r="I4977" s="3" t="s">
        <v>62</v>
      </c>
      <c r="J4977" s="3" t="s">
        <v>62</v>
      </c>
      <c r="K4977" s="3" t="s">
        <v>3960</v>
      </c>
      <c r="M4977" s="2" t="s">
        <v>47664</v>
      </c>
      <c r="N4977" s="3" t="s">
        <v>1918</v>
      </c>
      <c r="P4977" s="3" t="s">
        <v>65</v>
      </c>
      <c r="Q4977" s="2" t="s">
        <v>47665</v>
      </c>
      <c r="R4977" s="3" t="s">
        <v>66</v>
      </c>
      <c r="S4977" s="4">
        <v>0</v>
      </c>
      <c r="T4977" s="4">
        <v>0</v>
      </c>
      <c r="W4977" s="5" t="s">
        <v>67</v>
      </c>
      <c r="X4977" s="5" t="s">
        <v>67</v>
      </c>
      <c r="Y4977" s="4">
        <v>67</v>
      </c>
      <c r="Z4977" s="4">
        <v>5</v>
      </c>
      <c r="AA4977" s="4">
        <v>32</v>
      </c>
      <c r="AB4977" s="4">
        <v>1</v>
      </c>
      <c r="AC4977" s="4">
        <v>6</v>
      </c>
      <c r="AD4977" s="4">
        <v>39</v>
      </c>
      <c r="AE4977" s="4">
        <v>89</v>
      </c>
      <c r="AF4977" s="4">
        <v>0</v>
      </c>
      <c r="AG4977" s="4">
        <v>2</v>
      </c>
      <c r="AH4977" s="4">
        <v>37</v>
      </c>
      <c r="AI4977" s="4">
        <v>72</v>
      </c>
      <c r="AJ4977" s="4">
        <v>4</v>
      </c>
      <c r="AK4977" s="4">
        <v>13</v>
      </c>
      <c r="AL4977" s="4">
        <v>30</v>
      </c>
      <c r="AM4977" s="4">
        <v>42</v>
      </c>
      <c r="AN4977" s="4">
        <v>0</v>
      </c>
      <c r="AO4977" s="4">
        <v>0</v>
      </c>
      <c r="AP4977" s="4">
        <v>4</v>
      </c>
      <c r="AQ4977" s="4">
        <v>23</v>
      </c>
      <c r="AR4977" s="3" t="s">
        <v>62</v>
      </c>
      <c r="AS4977" s="3" t="s">
        <v>62</v>
      </c>
      <c r="AT4977" s="3" t="s">
        <v>62</v>
      </c>
      <c r="AV4977" s="6" t="str">
        <f>HYPERLINK("http://mcgill.on.worldcat.org/oclc/978286810","Catalog Record")</f>
        <v>Catalog Record</v>
      </c>
      <c r="AW4977" s="6" t="str">
        <f>HYPERLINK("http://www.worldcat.org/oclc/978286810","WorldCat Record")</f>
        <v>WorldCat Record</v>
      </c>
      <c r="AX4977" s="3" t="s">
        <v>47666</v>
      </c>
      <c r="AY4977" s="3" t="s">
        <v>47667</v>
      </c>
      <c r="AZ4977" s="3" t="s">
        <v>47668</v>
      </c>
      <c r="BA4977" s="3" t="s">
        <v>47668</v>
      </c>
      <c r="BB4977" s="3" t="s">
        <v>47669</v>
      </c>
      <c r="BC4977" s="3" t="s">
        <v>142</v>
      </c>
      <c r="BD4977" s="3" t="s">
        <v>68</v>
      </c>
      <c r="BE4977" s="3" t="s">
        <v>47670</v>
      </c>
      <c r="BF4977" s="3" t="s">
        <v>47669</v>
      </c>
      <c r="BG4977" s="3" t="s">
        <v>47671</v>
      </c>
    </row>
    <row r="4978" spans="1:59" ht="57" x14ac:dyDescent="0.45">
      <c r="A4978" s="2" t="s">
        <v>59</v>
      </c>
      <c r="B4978" s="2" t="s">
        <v>60</v>
      </c>
      <c r="C4978" s="2" t="s">
        <v>47672</v>
      </c>
      <c r="D4978" s="2" t="s">
        <v>47673</v>
      </c>
      <c r="E4978" s="2" t="s">
        <v>47674</v>
      </c>
      <c r="G4978" s="3" t="s">
        <v>62</v>
      </c>
      <c r="I4978" s="3" t="s">
        <v>61</v>
      </c>
      <c r="J4978" s="3" t="s">
        <v>62</v>
      </c>
      <c r="K4978" s="3" t="s">
        <v>63</v>
      </c>
      <c r="L4978" s="2" t="s">
        <v>47675</v>
      </c>
      <c r="M4978" s="2" t="s">
        <v>47676</v>
      </c>
      <c r="N4978" s="3" t="s">
        <v>208</v>
      </c>
      <c r="P4978" s="3" t="s">
        <v>65</v>
      </c>
      <c r="Q4978" s="2" t="s">
        <v>47677</v>
      </c>
      <c r="R4978" s="3" t="s">
        <v>66</v>
      </c>
      <c r="S4978" s="4">
        <v>0</v>
      </c>
      <c r="T4978" s="4">
        <v>0</v>
      </c>
      <c r="W4978" s="5" t="s">
        <v>67</v>
      </c>
      <c r="X4978" s="5" t="s">
        <v>67</v>
      </c>
      <c r="Y4978" s="4">
        <v>83</v>
      </c>
      <c r="Z4978" s="4">
        <v>9</v>
      </c>
      <c r="AA4978" s="4">
        <v>10</v>
      </c>
      <c r="AB4978" s="4">
        <v>1</v>
      </c>
      <c r="AC4978" s="4">
        <v>2</v>
      </c>
      <c r="AD4978" s="4">
        <v>35</v>
      </c>
      <c r="AE4978" s="4">
        <v>36</v>
      </c>
      <c r="AF4978" s="4">
        <v>0</v>
      </c>
      <c r="AG4978" s="4">
        <v>0</v>
      </c>
      <c r="AH4978" s="4">
        <v>33</v>
      </c>
      <c r="AI4978" s="4">
        <v>34</v>
      </c>
      <c r="AJ4978" s="4">
        <v>6</v>
      </c>
      <c r="AK4978" s="4">
        <v>6</v>
      </c>
      <c r="AL4978" s="4">
        <v>21</v>
      </c>
      <c r="AM4978" s="4">
        <v>21</v>
      </c>
      <c r="AN4978" s="4">
        <v>0</v>
      </c>
      <c r="AO4978" s="4">
        <v>0</v>
      </c>
      <c r="AP4978" s="4">
        <v>6</v>
      </c>
      <c r="AQ4978" s="4">
        <v>6</v>
      </c>
      <c r="AR4978" s="3" t="s">
        <v>62</v>
      </c>
      <c r="AS4978" s="3" t="s">
        <v>62</v>
      </c>
      <c r="AT4978" s="3" t="s">
        <v>62</v>
      </c>
      <c r="AV4978" s="6" t="str">
        <f>HYPERLINK("http://mcgill.on.worldcat.org/oclc/895714166","Catalog Record")</f>
        <v>Catalog Record</v>
      </c>
      <c r="AW4978" s="6" t="str">
        <f>HYPERLINK("http://www.worldcat.org/oclc/895714166","WorldCat Record")</f>
        <v>WorldCat Record</v>
      </c>
      <c r="AX4978" s="3" t="s">
        <v>47678</v>
      </c>
      <c r="AY4978" s="3" t="s">
        <v>47679</v>
      </c>
      <c r="AZ4978" s="3" t="s">
        <v>47680</v>
      </c>
      <c r="BA4978" s="3" t="s">
        <v>47680</v>
      </c>
      <c r="BB4978" s="3" t="s">
        <v>47681</v>
      </c>
      <c r="BC4978" s="3" t="s">
        <v>142</v>
      </c>
      <c r="BD4978" s="3" t="s">
        <v>68</v>
      </c>
      <c r="BE4978" s="3" t="s">
        <v>47682</v>
      </c>
      <c r="BF4978" s="3" t="s">
        <v>47681</v>
      </c>
      <c r="BG4978" s="3" t="s">
        <v>47683</v>
      </c>
    </row>
    <row r="4979" spans="1:59" ht="57" x14ac:dyDescent="0.45">
      <c r="A4979" s="2" t="s">
        <v>59</v>
      </c>
      <c r="B4979" s="2" t="s">
        <v>60</v>
      </c>
      <c r="C4979" s="2" t="s">
        <v>47672</v>
      </c>
      <c r="D4979" s="2" t="s">
        <v>47673</v>
      </c>
      <c r="E4979" s="2" t="s">
        <v>47674</v>
      </c>
      <c r="G4979" s="3" t="s">
        <v>62</v>
      </c>
      <c r="I4979" s="3" t="s">
        <v>61</v>
      </c>
      <c r="J4979" s="3" t="s">
        <v>62</v>
      </c>
      <c r="K4979" s="3" t="s">
        <v>63</v>
      </c>
      <c r="L4979" s="2" t="s">
        <v>47675</v>
      </c>
      <c r="M4979" s="2" t="s">
        <v>47676</v>
      </c>
      <c r="N4979" s="3" t="s">
        <v>208</v>
      </c>
      <c r="P4979" s="3" t="s">
        <v>65</v>
      </c>
      <c r="Q4979" s="2" t="s">
        <v>47677</v>
      </c>
      <c r="R4979" s="3" t="s">
        <v>66</v>
      </c>
      <c r="S4979" s="4">
        <v>0</v>
      </c>
      <c r="T4979" s="4">
        <v>0</v>
      </c>
      <c r="W4979" s="5" t="s">
        <v>67</v>
      </c>
      <c r="X4979" s="5" t="s">
        <v>67</v>
      </c>
      <c r="Y4979" s="4">
        <v>83</v>
      </c>
      <c r="Z4979" s="4">
        <v>9</v>
      </c>
      <c r="AA4979" s="4">
        <v>10</v>
      </c>
      <c r="AB4979" s="4">
        <v>1</v>
      </c>
      <c r="AC4979" s="4">
        <v>2</v>
      </c>
      <c r="AD4979" s="4">
        <v>35</v>
      </c>
      <c r="AE4979" s="4">
        <v>36</v>
      </c>
      <c r="AF4979" s="4">
        <v>0</v>
      </c>
      <c r="AG4979" s="4">
        <v>0</v>
      </c>
      <c r="AH4979" s="4">
        <v>33</v>
      </c>
      <c r="AI4979" s="4">
        <v>34</v>
      </c>
      <c r="AJ4979" s="4">
        <v>6</v>
      </c>
      <c r="AK4979" s="4">
        <v>6</v>
      </c>
      <c r="AL4979" s="4">
        <v>21</v>
      </c>
      <c r="AM4979" s="4">
        <v>21</v>
      </c>
      <c r="AN4979" s="4">
        <v>0</v>
      </c>
      <c r="AO4979" s="4">
        <v>0</v>
      </c>
      <c r="AP4979" s="4">
        <v>6</v>
      </c>
      <c r="AQ4979" s="4">
        <v>6</v>
      </c>
      <c r="AR4979" s="3" t="s">
        <v>62</v>
      </c>
      <c r="AS4979" s="3" t="s">
        <v>62</v>
      </c>
      <c r="AT4979" s="3" t="s">
        <v>62</v>
      </c>
      <c r="AV4979" s="6" t="str">
        <f>HYPERLINK("http://mcgill.on.worldcat.org/oclc/895714166","Catalog Record")</f>
        <v>Catalog Record</v>
      </c>
      <c r="AW4979" s="6" t="str">
        <f>HYPERLINK("http://www.worldcat.org/oclc/895714166","WorldCat Record")</f>
        <v>WorldCat Record</v>
      </c>
      <c r="AX4979" s="3" t="s">
        <v>47678</v>
      </c>
      <c r="AY4979" s="3" t="s">
        <v>47679</v>
      </c>
      <c r="AZ4979" s="3" t="s">
        <v>47680</v>
      </c>
      <c r="BA4979" s="3" t="s">
        <v>47680</v>
      </c>
      <c r="BB4979" s="3" t="s">
        <v>47684</v>
      </c>
      <c r="BC4979" s="3" t="s">
        <v>142</v>
      </c>
      <c r="BD4979" s="3" t="s">
        <v>68</v>
      </c>
      <c r="BE4979" s="3" t="s">
        <v>47682</v>
      </c>
      <c r="BF4979" s="3" t="s">
        <v>47684</v>
      </c>
      <c r="BG4979" s="3" t="s">
        <v>47685</v>
      </c>
    </row>
    <row r="4980" spans="1:59" ht="57" x14ac:dyDescent="0.45">
      <c r="A4980" s="2" t="s">
        <v>59</v>
      </c>
      <c r="B4980" s="2" t="s">
        <v>60</v>
      </c>
      <c r="C4980" s="2" t="s">
        <v>47686</v>
      </c>
      <c r="D4980" s="2" t="s">
        <v>47687</v>
      </c>
      <c r="E4980" s="2" t="s">
        <v>47688</v>
      </c>
      <c r="G4980" s="3" t="s">
        <v>62</v>
      </c>
      <c r="I4980" s="3" t="s">
        <v>62</v>
      </c>
      <c r="J4980" s="3" t="s">
        <v>62</v>
      </c>
      <c r="K4980" s="3" t="s">
        <v>63</v>
      </c>
      <c r="M4980" s="2" t="s">
        <v>47689</v>
      </c>
      <c r="N4980" s="3" t="s">
        <v>970</v>
      </c>
      <c r="P4980" s="3" t="s">
        <v>65</v>
      </c>
      <c r="Q4980" s="2" t="s">
        <v>47690</v>
      </c>
      <c r="R4980" s="3" t="s">
        <v>66</v>
      </c>
      <c r="S4980" s="4">
        <v>5</v>
      </c>
      <c r="T4980" s="4">
        <v>5</v>
      </c>
      <c r="U4980" s="5" t="s">
        <v>328</v>
      </c>
      <c r="V4980" s="5" t="s">
        <v>328</v>
      </c>
      <c r="W4980" s="5" t="s">
        <v>67</v>
      </c>
      <c r="X4980" s="5" t="s">
        <v>67</v>
      </c>
      <c r="Y4980" s="4">
        <v>156</v>
      </c>
      <c r="Z4980" s="4">
        <v>7</v>
      </c>
      <c r="AA4980" s="4">
        <v>8</v>
      </c>
      <c r="AB4980" s="4">
        <v>1</v>
      </c>
      <c r="AC4980" s="4">
        <v>2</v>
      </c>
      <c r="AD4980" s="4">
        <v>63</v>
      </c>
      <c r="AE4980" s="4">
        <v>65</v>
      </c>
      <c r="AF4980" s="4">
        <v>0</v>
      </c>
      <c r="AG4980" s="4">
        <v>1</v>
      </c>
      <c r="AH4980" s="4">
        <v>59</v>
      </c>
      <c r="AI4980" s="4">
        <v>60</v>
      </c>
      <c r="AJ4980" s="4">
        <v>4</v>
      </c>
      <c r="AK4980" s="4">
        <v>5</v>
      </c>
      <c r="AL4980" s="4">
        <v>37</v>
      </c>
      <c r="AM4980" s="4">
        <v>38</v>
      </c>
      <c r="AN4980" s="4">
        <v>0</v>
      </c>
      <c r="AO4980" s="4">
        <v>0</v>
      </c>
      <c r="AP4980" s="4">
        <v>5</v>
      </c>
      <c r="AQ4980" s="4">
        <v>5</v>
      </c>
      <c r="AR4980" s="3" t="s">
        <v>62</v>
      </c>
      <c r="AS4980" s="3" t="s">
        <v>62</v>
      </c>
      <c r="AT4980" s="3" t="s">
        <v>61</v>
      </c>
      <c r="AU4980" s="6" t="str">
        <f>HYPERLINK("http://catalog.hathitrust.org/Record/003821726","HathiTrust Record")</f>
        <v>HathiTrust Record</v>
      </c>
      <c r="AV4980" s="6" t="str">
        <f>HYPERLINK("http://mcgill.on.worldcat.org/oclc/49871605","Catalog Record")</f>
        <v>Catalog Record</v>
      </c>
      <c r="AW4980" s="6" t="str">
        <f>HYPERLINK("http://www.worldcat.org/oclc/49871605","WorldCat Record")</f>
        <v>WorldCat Record</v>
      </c>
      <c r="AX4980" s="3" t="s">
        <v>47691</v>
      </c>
      <c r="AY4980" s="3" t="s">
        <v>47692</v>
      </c>
      <c r="AZ4980" s="3" t="s">
        <v>47693</v>
      </c>
      <c r="BA4980" s="3" t="s">
        <v>47693</v>
      </c>
      <c r="BB4980" s="3" t="s">
        <v>47694</v>
      </c>
      <c r="BC4980" s="3" t="s">
        <v>142</v>
      </c>
      <c r="BD4980" s="3" t="s">
        <v>68</v>
      </c>
      <c r="BE4980" s="3" t="s">
        <v>47695</v>
      </c>
      <c r="BF4980" s="3" t="s">
        <v>47694</v>
      </c>
      <c r="BG4980" s="3" t="s">
        <v>47696</v>
      </c>
    </row>
    <row r="4981" spans="1:59" ht="57" x14ac:dyDescent="0.45">
      <c r="A4981" s="2" t="s">
        <v>59</v>
      </c>
      <c r="B4981" s="2" t="s">
        <v>60</v>
      </c>
      <c r="C4981" s="2" t="s">
        <v>47698</v>
      </c>
      <c r="D4981" s="2" t="s">
        <v>47699</v>
      </c>
      <c r="E4981" s="2" t="s">
        <v>47700</v>
      </c>
      <c r="G4981" s="3" t="s">
        <v>62</v>
      </c>
      <c r="I4981" s="3" t="s">
        <v>62</v>
      </c>
      <c r="J4981" s="3" t="s">
        <v>62</v>
      </c>
      <c r="K4981" s="3" t="s">
        <v>63</v>
      </c>
      <c r="M4981" s="2" t="s">
        <v>4069</v>
      </c>
      <c r="N4981" s="3" t="s">
        <v>116</v>
      </c>
      <c r="P4981" s="3" t="s">
        <v>65</v>
      </c>
      <c r="Q4981" s="2" t="s">
        <v>34782</v>
      </c>
      <c r="R4981" s="3" t="s">
        <v>66</v>
      </c>
      <c r="S4981" s="4">
        <v>0</v>
      </c>
      <c r="T4981" s="4">
        <v>0</v>
      </c>
      <c r="W4981" s="5" t="s">
        <v>67</v>
      </c>
      <c r="X4981" s="5" t="s">
        <v>67</v>
      </c>
      <c r="Y4981" s="4">
        <v>97</v>
      </c>
      <c r="Z4981" s="4">
        <v>9</v>
      </c>
      <c r="AA4981" s="4">
        <v>78</v>
      </c>
      <c r="AB4981" s="4">
        <v>1</v>
      </c>
      <c r="AC4981" s="4">
        <v>14</v>
      </c>
      <c r="AD4981" s="4">
        <v>51</v>
      </c>
      <c r="AE4981" s="4">
        <v>118</v>
      </c>
      <c r="AF4981" s="4">
        <v>0</v>
      </c>
      <c r="AG4981" s="4">
        <v>8</v>
      </c>
      <c r="AH4981" s="4">
        <v>47</v>
      </c>
      <c r="AI4981" s="4">
        <v>84</v>
      </c>
      <c r="AJ4981" s="4">
        <v>7</v>
      </c>
      <c r="AK4981" s="4">
        <v>21</v>
      </c>
      <c r="AL4981" s="4">
        <v>37</v>
      </c>
      <c r="AM4981" s="4">
        <v>47</v>
      </c>
      <c r="AN4981" s="4">
        <v>0</v>
      </c>
      <c r="AO4981" s="4">
        <v>0</v>
      </c>
      <c r="AP4981" s="4">
        <v>7</v>
      </c>
      <c r="AQ4981" s="4">
        <v>41</v>
      </c>
      <c r="AR4981" s="3" t="s">
        <v>62</v>
      </c>
      <c r="AS4981" s="3" t="s">
        <v>62</v>
      </c>
      <c r="AT4981" s="3" t="s">
        <v>62</v>
      </c>
      <c r="AV4981" s="6" t="str">
        <f>HYPERLINK("http://mcgill.on.worldcat.org/oclc/794624713","Catalog Record")</f>
        <v>Catalog Record</v>
      </c>
      <c r="AW4981" s="6" t="str">
        <f>HYPERLINK("http://www.worldcat.org/oclc/794624713","WorldCat Record")</f>
        <v>WorldCat Record</v>
      </c>
      <c r="AX4981" s="3" t="s">
        <v>47701</v>
      </c>
      <c r="AY4981" s="3" t="s">
        <v>47702</v>
      </c>
      <c r="AZ4981" s="3" t="s">
        <v>47703</v>
      </c>
      <c r="BA4981" s="3" t="s">
        <v>47703</v>
      </c>
      <c r="BB4981" s="3" t="s">
        <v>47704</v>
      </c>
      <c r="BC4981" s="3" t="s">
        <v>142</v>
      </c>
      <c r="BD4981" s="3" t="s">
        <v>68</v>
      </c>
      <c r="BE4981" s="3" t="s">
        <v>47705</v>
      </c>
      <c r="BF4981" s="3" t="s">
        <v>47704</v>
      </c>
      <c r="BG4981" s="3" t="s">
        <v>47706</v>
      </c>
    </row>
    <row r="4982" spans="1:59" ht="57" x14ac:dyDescent="0.45">
      <c r="A4982" s="2" t="s">
        <v>59</v>
      </c>
      <c r="B4982" s="2" t="s">
        <v>60</v>
      </c>
      <c r="C4982" s="2" t="s">
        <v>47707</v>
      </c>
      <c r="D4982" s="2" t="s">
        <v>47708</v>
      </c>
      <c r="E4982" s="2" t="s">
        <v>47709</v>
      </c>
      <c r="G4982" s="3" t="s">
        <v>62</v>
      </c>
      <c r="I4982" s="3" t="s">
        <v>62</v>
      </c>
      <c r="J4982" s="3" t="s">
        <v>62</v>
      </c>
      <c r="K4982" s="3" t="s">
        <v>63</v>
      </c>
      <c r="L4982" s="2" t="s">
        <v>47710</v>
      </c>
      <c r="M4982" s="2" t="s">
        <v>47711</v>
      </c>
      <c r="N4982" s="3" t="s">
        <v>894</v>
      </c>
      <c r="P4982" s="3" t="s">
        <v>65</v>
      </c>
      <c r="Q4982" s="2" t="s">
        <v>47712</v>
      </c>
      <c r="R4982" s="3" t="s">
        <v>66</v>
      </c>
      <c r="S4982" s="4">
        <v>3</v>
      </c>
      <c r="T4982" s="4">
        <v>3</v>
      </c>
      <c r="U4982" s="5" t="s">
        <v>47713</v>
      </c>
      <c r="V4982" s="5" t="s">
        <v>47713</v>
      </c>
      <c r="W4982" s="5" t="s">
        <v>67</v>
      </c>
      <c r="X4982" s="5" t="s">
        <v>67</v>
      </c>
      <c r="Y4982" s="4">
        <v>284</v>
      </c>
      <c r="Z4982" s="4">
        <v>21</v>
      </c>
      <c r="AA4982" s="4">
        <v>101</v>
      </c>
      <c r="AB4982" s="4">
        <v>1</v>
      </c>
      <c r="AC4982" s="4">
        <v>20</v>
      </c>
      <c r="AD4982" s="4">
        <v>96</v>
      </c>
      <c r="AE4982" s="4">
        <v>144</v>
      </c>
      <c r="AF4982" s="4">
        <v>0</v>
      </c>
      <c r="AG4982" s="4">
        <v>8</v>
      </c>
      <c r="AH4982" s="4">
        <v>89</v>
      </c>
      <c r="AI4982" s="4">
        <v>106</v>
      </c>
      <c r="AJ4982" s="4">
        <v>13</v>
      </c>
      <c r="AK4982" s="4">
        <v>25</v>
      </c>
      <c r="AL4982" s="4">
        <v>48</v>
      </c>
      <c r="AM4982" s="4">
        <v>54</v>
      </c>
      <c r="AN4982" s="4">
        <v>0</v>
      </c>
      <c r="AO4982" s="4">
        <v>0</v>
      </c>
      <c r="AP4982" s="4">
        <v>15</v>
      </c>
      <c r="AQ4982" s="4">
        <v>47</v>
      </c>
      <c r="AR4982" s="3" t="s">
        <v>62</v>
      </c>
      <c r="AS4982" s="3" t="s">
        <v>62</v>
      </c>
      <c r="AT4982" s="3" t="s">
        <v>62</v>
      </c>
      <c r="AV4982" s="6" t="str">
        <f>HYPERLINK("http://mcgill.on.worldcat.org/oclc/642351602","Catalog Record")</f>
        <v>Catalog Record</v>
      </c>
      <c r="AW4982" s="6" t="str">
        <f>HYPERLINK("http://www.worldcat.org/oclc/642351602","WorldCat Record")</f>
        <v>WorldCat Record</v>
      </c>
      <c r="AX4982" s="3" t="s">
        <v>47714</v>
      </c>
      <c r="AY4982" s="3" t="s">
        <v>47715</v>
      </c>
      <c r="AZ4982" s="3" t="s">
        <v>47716</v>
      </c>
      <c r="BA4982" s="3" t="s">
        <v>47716</v>
      </c>
      <c r="BB4982" s="3" t="s">
        <v>47717</v>
      </c>
      <c r="BC4982" s="3" t="s">
        <v>142</v>
      </c>
      <c r="BD4982" s="3" t="s">
        <v>68</v>
      </c>
      <c r="BE4982" s="3" t="s">
        <v>47718</v>
      </c>
      <c r="BF4982" s="3" t="s">
        <v>47717</v>
      </c>
      <c r="BG4982" s="3" t="s">
        <v>47719</v>
      </c>
    </row>
    <row r="4983" spans="1:59" ht="57" x14ac:dyDescent="0.45">
      <c r="A4983" s="2" t="s">
        <v>59</v>
      </c>
      <c r="B4983" s="2" t="s">
        <v>60</v>
      </c>
      <c r="C4983" s="2" t="s">
        <v>47720</v>
      </c>
      <c r="D4983" s="2" t="s">
        <v>47721</v>
      </c>
      <c r="E4983" s="2" t="s">
        <v>47722</v>
      </c>
      <c r="G4983" s="3" t="s">
        <v>62</v>
      </c>
      <c r="I4983" s="3" t="s">
        <v>62</v>
      </c>
      <c r="J4983" s="3" t="s">
        <v>62</v>
      </c>
      <c r="K4983" s="3" t="s">
        <v>63</v>
      </c>
      <c r="L4983" s="2" t="s">
        <v>47723</v>
      </c>
      <c r="M4983" s="2" t="s">
        <v>47724</v>
      </c>
      <c r="N4983" s="3" t="s">
        <v>1478</v>
      </c>
      <c r="P4983" s="3" t="s">
        <v>65</v>
      </c>
      <c r="Q4983" s="2" t="s">
        <v>47725</v>
      </c>
      <c r="R4983" s="3" t="s">
        <v>66</v>
      </c>
      <c r="S4983" s="4">
        <v>3</v>
      </c>
      <c r="T4983" s="4">
        <v>3</v>
      </c>
      <c r="U4983" s="5" t="s">
        <v>16504</v>
      </c>
      <c r="V4983" s="5" t="s">
        <v>16504</v>
      </c>
      <c r="W4983" s="5" t="s">
        <v>67</v>
      </c>
      <c r="X4983" s="5" t="s">
        <v>67</v>
      </c>
      <c r="Y4983" s="4">
        <v>205</v>
      </c>
      <c r="Z4983" s="4">
        <v>15</v>
      </c>
      <c r="AA4983" s="4">
        <v>33</v>
      </c>
      <c r="AB4983" s="4">
        <v>1</v>
      </c>
      <c r="AC4983" s="4">
        <v>5</v>
      </c>
      <c r="AD4983" s="4">
        <v>77</v>
      </c>
      <c r="AE4983" s="4">
        <v>100</v>
      </c>
      <c r="AF4983" s="4">
        <v>0</v>
      </c>
      <c r="AG4983" s="4">
        <v>2</v>
      </c>
      <c r="AH4983" s="4">
        <v>71</v>
      </c>
      <c r="AI4983" s="4">
        <v>84</v>
      </c>
      <c r="AJ4983" s="4">
        <v>11</v>
      </c>
      <c r="AK4983" s="4">
        <v>17</v>
      </c>
      <c r="AL4983" s="4">
        <v>42</v>
      </c>
      <c r="AM4983" s="4">
        <v>47</v>
      </c>
      <c r="AN4983" s="4">
        <v>0</v>
      </c>
      <c r="AO4983" s="4">
        <v>0</v>
      </c>
      <c r="AP4983" s="4">
        <v>13</v>
      </c>
      <c r="AQ4983" s="4">
        <v>24</v>
      </c>
      <c r="AR4983" s="3" t="s">
        <v>62</v>
      </c>
      <c r="AS4983" s="3" t="s">
        <v>62</v>
      </c>
      <c r="AT4983" s="3" t="s">
        <v>62</v>
      </c>
      <c r="AV4983" s="6" t="str">
        <f>HYPERLINK("http://mcgill.on.worldcat.org/oclc/34547252","Catalog Record")</f>
        <v>Catalog Record</v>
      </c>
      <c r="AW4983" s="6" t="str">
        <f>HYPERLINK("http://www.worldcat.org/oclc/34547252","WorldCat Record")</f>
        <v>WorldCat Record</v>
      </c>
      <c r="AX4983" s="3" t="s">
        <v>47726</v>
      </c>
      <c r="AY4983" s="3" t="s">
        <v>47727</v>
      </c>
      <c r="AZ4983" s="3" t="s">
        <v>47728</v>
      </c>
      <c r="BA4983" s="3" t="s">
        <v>47728</v>
      </c>
      <c r="BB4983" s="3" t="s">
        <v>47729</v>
      </c>
      <c r="BC4983" s="3" t="s">
        <v>142</v>
      </c>
      <c r="BD4983" s="3" t="s">
        <v>68</v>
      </c>
      <c r="BE4983" s="3" t="s">
        <v>47730</v>
      </c>
      <c r="BF4983" s="3" t="s">
        <v>47729</v>
      </c>
      <c r="BG4983" s="3" t="s">
        <v>47731</v>
      </c>
    </row>
    <row r="4984" spans="1:59" ht="57" x14ac:dyDescent="0.45">
      <c r="A4984" s="2" t="s">
        <v>59</v>
      </c>
      <c r="B4984" s="2" t="s">
        <v>60</v>
      </c>
      <c r="C4984" s="2" t="s">
        <v>47732</v>
      </c>
      <c r="D4984" s="2" t="s">
        <v>47733</v>
      </c>
      <c r="E4984" s="2" t="s">
        <v>47734</v>
      </c>
      <c r="G4984" s="3" t="s">
        <v>62</v>
      </c>
      <c r="I4984" s="3" t="s">
        <v>62</v>
      </c>
      <c r="J4984" s="3" t="s">
        <v>62</v>
      </c>
      <c r="K4984" s="3" t="s">
        <v>63</v>
      </c>
      <c r="M4984" s="2" t="s">
        <v>47735</v>
      </c>
      <c r="N4984" s="3" t="s">
        <v>149</v>
      </c>
      <c r="P4984" s="3" t="s">
        <v>65</v>
      </c>
      <c r="Q4984" s="2" t="s">
        <v>47736</v>
      </c>
      <c r="R4984" s="3" t="s">
        <v>66</v>
      </c>
      <c r="S4984" s="4">
        <v>4</v>
      </c>
      <c r="T4984" s="4">
        <v>4</v>
      </c>
      <c r="U4984" s="5" t="s">
        <v>30571</v>
      </c>
      <c r="V4984" s="5" t="s">
        <v>30571</v>
      </c>
      <c r="W4984" s="5" t="s">
        <v>67</v>
      </c>
      <c r="X4984" s="5" t="s">
        <v>67</v>
      </c>
      <c r="Y4984" s="4">
        <v>96</v>
      </c>
      <c r="Z4984" s="4">
        <v>14</v>
      </c>
      <c r="AA4984" s="4">
        <v>14</v>
      </c>
      <c r="AB4984" s="4">
        <v>1</v>
      </c>
      <c r="AC4984" s="4">
        <v>1</v>
      </c>
      <c r="AD4984" s="4">
        <v>57</v>
      </c>
      <c r="AE4984" s="4">
        <v>57</v>
      </c>
      <c r="AF4984" s="4">
        <v>0</v>
      </c>
      <c r="AG4984" s="4">
        <v>0</v>
      </c>
      <c r="AH4984" s="4">
        <v>51</v>
      </c>
      <c r="AI4984" s="4">
        <v>51</v>
      </c>
      <c r="AJ4984" s="4">
        <v>12</v>
      </c>
      <c r="AK4984" s="4">
        <v>12</v>
      </c>
      <c r="AL4984" s="4">
        <v>35</v>
      </c>
      <c r="AM4984" s="4">
        <v>35</v>
      </c>
      <c r="AN4984" s="4">
        <v>0</v>
      </c>
      <c r="AO4984" s="4">
        <v>0</v>
      </c>
      <c r="AP4984" s="4">
        <v>12</v>
      </c>
      <c r="AQ4984" s="4">
        <v>12</v>
      </c>
      <c r="AR4984" s="3" t="s">
        <v>62</v>
      </c>
      <c r="AS4984" s="3" t="s">
        <v>62</v>
      </c>
      <c r="AT4984" s="3" t="s">
        <v>62</v>
      </c>
      <c r="AV4984" s="6" t="str">
        <f>HYPERLINK("http://mcgill.on.worldcat.org/oclc/526077019","Catalog Record")</f>
        <v>Catalog Record</v>
      </c>
      <c r="AW4984" s="6" t="str">
        <f>HYPERLINK("http://www.worldcat.org/oclc/526077019","WorldCat Record")</f>
        <v>WorldCat Record</v>
      </c>
      <c r="AX4984" s="3" t="s">
        <v>47737</v>
      </c>
      <c r="AY4984" s="3" t="s">
        <v>47738</v>
      </c>
      <c r="AZ4984" s="3" t="s">
        <v>47739</v>
      </c>
      <c r="BA4984" s="3" t="s">
        <v>47739</v>
      </c>
      <c r="BB4984" s="3" t="s">
        <v>47740</v>
      </c>
      <c r="BC4984" s="3" t="s">
        <v>142</v>
      </c>
      <c r="BD4984" s="3" t="s">
        <v>68</v>
      </c>
      <c r="BE4984" s="3" t="s">
        <v>47741</v>
      </c>
      <c r="BF4984" s="3" t="s">
        <v>47740</v>
      </c>
      <c r="BG4984" s="3" t="s">
        <v>47742</v>
      </c>
    </row>
    <row r="4985" spans="1:59" ht="57" x14ac:dyDescent="0.45">
      <c r="A4985" s="2" t="s">
        <v>59</v>
      </c>
      <c r="B4985" s="2" t="s">
        <v>60</v>
      </c>
      <c r="C4985" s="2" t="s">
        <v>47743</v>
      </c>
      <c r="D4985" s="2" t="s">
        <v>47744</v>
      </c>
      <c r="E4985" s="2" t="s">
        <v>47745</v>
      </c>
      <c r="G4985" s="3" t="s">
        <v>62</v>
      </c>
      <c r="I4985" s="3" t="s">
        <v>62</v>
      </c>
      <c r="J4985" s="3" t="s">
        <v>62</v>
      </c>
      <c r="K4985" s="3" t="s">
        <v>63</v>
      </c>
      <c r="L4985" s="2" t="s">
        <v>47746</v>
      </c>
      <c r="M4985" s="2" t="s">
        <v>4069</v>
      </c>
      <c r="N4985" s="3" t="s">
        <v>116</v>
      </c>
      <c r="P4985" s="3" t="s">
        <v>65</v>
      </c>
      <c r="R4985" s="3" t="s">
        <v>66</v>
      </c>
      <c r="S4985" s="4">
        <v>2</v>
      </c>
      <c r="T4985" s="4">
        <v>2</v>
      </c>
      <c r="U4985" s="5" t="s">
        <v>13206</v>
      </c>
      <c r="V4985" s="5" t="s">
        <v>13206</v>
      </c>
      <c r="W4985" s="5" t="s">
        <v>67</v>
      </c>
      <c r="X4985" s="5" t="s">
        <v>67</v>
      </c>
      <c r="Y4985" s="4">
        <v>154</v>
      </c>
      <c r="Z4985" s="4">
        <v>19</v>
      </c>
      <c r="AA4985" s="4">
        <v>82</v>
      </c>
      <c r="AB4985" s="4">
        <v>2</v>
      </c>
      <c r="AC4985" s="4">
        <v>15</v>
      </c>
      <c r="AD4985" s="4">
        <v>69</v>
      </c>
      <c r="AE4985" s="4">
        <v>122</v>
      </c>
      <c r="AF4985" s="4">
        <v>1</v>
      </c>
      <c r="AG4985" s="4">
        <v>8</v>
      </c>
      <c r="AH4985" s="4">
        <v>59</v>
      </c>
      <c r="AI4985" s="4">
        <v>87</v>
      </c>
      <c r="AJ4985" s="4">
        <v>14</v>
      </c>
      <c r="AK4985" s="4">
        <v>24</v>
      </c>
      <c r="AL4985" s="4">
        <v>36</v>
      </c>
      <c r="AM4985" s="4">
        <v>49</v>
      </c>
      <c r="AN4985" s="4">
        <v>0</v>
      </c>
      <c r="AO4985" s="4">
        <v>0</v>
      </c>
      <c r="AP4985" s="4">
        <v>16</v>
      </c>
      <c r="AQ4985" s="4">
        <v>44</v>
      </c>
      <c r="AR4985" s="3" t="s">
        <v>62</v>
      </c>
      <c r="AS4985" s="3" t="s">
        <v>62</v>
      </c>
      <c r="AT4985" s="3" t="s">
        <v>62</v>
      </c>
      <c r="AV4985" s="6" t="str">
        <f>HYPERLINK("http://mcgill.on.worldcat.org/oclc/794556007","Catalog Record")</f>
        <v>Catalog Record</v>
      </c>
      <c r="AW4985" s="6" t="str">
        <f>HYPERLINK("http://www.worldcat.org/oclc/794556007","WorldCat Record")</f>
        <v>WorldCat Record</v>
      </c>
      <c r="AX4985" s="3" t="s">
        <v>47747</v>
      </c>
      <c r="AY4985" s="3" t="s">
        <v>47748</v>
      </c>
      <c r="AZ4985" s="3" t="s">
        <v>47749</v>
      </c>
      <c r="BA4985" s="3" t="s">
        <v>47749</v>
      </c>
      <c r="BB4985" s="3" t="s">
        <v>47750</v>
      </c>
      <c r="BC4985" s="3" t="s">
        <v>142</v>
      </c>
      <c r="BD4985" s="3" t="s">
        <v>68</v>
      </c>
      <c r="BE4985" s="3" t="s">
        <v>47751</v>
      </c>
      <c r="BF4985" s="3" t="s">
        <v>47750</v>
      </c>
      <c r="BG4985" s="3" t="s">
        <v>47752</v>
      </c>
    </row>
    <row r="4986" spans="1:59" ht="71.25" x14ac:dyDescent="0.45">
      <c r="A4986" s="2" t="s">
        <v>59</v>
      </c>
      <c r="B4986" s="2" t="s">
        <v>60</v>
      </c>
      <c r="C4986" s="2" t="s">
        <v>47753</v>
      </c>
      <c r="D4986" s="2" t="s">
        <v>47754</v>
      </c>
      <c r="E4986" s="2" t="s">
        <v>47755</v>
      </c>
      <c r="G4986" s="3" t="s">
        <v>62</v>
      </c>
      <c r="I4986" s="3" t="s">
        <v>62</v>
      </c>
      <c r="J4986" s="3" t="s">
        <v>62</v>
      </c>
      <c r="K4986" s="3" t="s">
        <v>63</v>
      </c>
      <c r="L4986" s="2" t="s">
        <v>47756</v>
      </c>
      <c r="M4986" s="2" t="s">
        <v>5349</v>
      </c>
      <c r="N4986" s="3" t="s">
        <v>1239</v>
      </c>
      <c r="P4986" s="3" t="s">
        <v>65</v>
      </c>
      <c r="R4986" s="3" t="s">
        <v>66</v>
      </c>
      <c r="S4986" s="4">
        <v>35</v>
      </c>
      <c r="T4986" s="4">
        <v>35</v>
      </c>
      <c r="U4986" s="5" t="s">
        <v>47757</v>
      </c>
      <c r="V4986" s="5" t="s">
        <v>47757</v>
      </c>
      <c r="W4986" s="5" t="s">
        <v>67</v>
      </c>
      <c r="X4986" s="5" t="s">
        <v>67</v>
      </c>
      <c r="Y4986" s="4">
        <v>574</v>
      </c>
      <c r="Z4986" s="4">
        <v>51</v>
      </c>
      <c r="AA4986" s="4">
        <v>62</v>
      </c>
      <c r="AB4986" s="4">
        <v>2</v>
      </c>
      <c r="AC4986" s="4">
        <v>8</v>
      </c>
      <c r="AD4986" s="4">
        <v>135</v>
      </c>
      <c r="AE4986" s="4">
        <v>142</v>
      </c>
      <c r="AF4986" s="4">
        <v>1</v>
      </c>
      <c r="AG4986" s="4">
        <v>4</v>
      </c>
      <c r="AH4986" s="4">
        <v>109</v>
      </c>
      <c r="AI4986" s="4">
        <v>111</v>
      </c>
      <c r="AJ4986" s="4">
        <v>22</v>
      </c>
      <c r="AK4986" s="4">
        <v>25</v>
      </c>
      <c r="AL4986" s="4">
        <v>60</v>
      </c>
      <c r="AM4986" s="4">
        <v>60</v>
      </c>
      <c r="AN4986" s="4">
        <v>0</v>
      </c>
      <c r="AO4986" s="4">
        <v>0</v>
      </c>
      <c r="AP4986" s="4">
        <v>34</v>
      </c>
      <c r="AQ4986" s="4">
        <v>39</v>
      </c>
      <c r="AR4986" s="3" t="s">
        <v>62</v>
      </c>
      <c r="AS4986" s="3" t="s">
        <v>62</v>
      </c>
      <c r="AT4986" s="3" t="s">
        <v>62</v>
      </c>
      <c r="AV4986" s="6" t="str">
        <f>HYPERLINK("http://mcgill.on.worldcat.org/oclc/18520955","Catalog Record")</f>
        <v>Catalog Record</v>
      </c>
      <c r="AW4986" s="6" t="str">
        <f>HYPERLINK("http://www.worldcat.org/oclc/18520955","WorldCat Record")</f>
        <v>WorldCat Record</v>
      </c>
      <c r="AX4986" s="3" t="s">
        <v>47758</v>
      </c>
      <c r="AY4986" s="3" t="s">
        <v>47759</v>
      </c>
      <c r="AZ4986" s="3" t="s">
        <v>47760</v>
      </c>
      <c r="BA4986" s="3" t="s">
        <v>47760</v>
      </c>
      <c r="BB4986" s="3" t="s">
        <v>47761</v>
      </c>
      <c r="BC4986" s="3" t="s">
        <v>142</v>
      </c>
      <c r="BD4986" s="3" t="s">
        <v>68</v>
      </c>
      <c r="BE4986" s="3" t="s">
        <v>47762</v>
      </c>
      <c r="BF4986" s="3" t="s">
        <v>47761</v>
      </c>
      <c r="BG4986" s="3" t="s">
        <v>47763</v>
      </c>
    </row>
    <row r="4987" spans="1:59" ht="71.25" x14ac:dyDescent="0.45">
      <c r="A4987" s="2" t="s">
        <v>59</v>
      </c>
      <c r="B4987" s="2" t="s">
        <v>60</v>
      </c>
      <c r="C4987" s="2" t="s">
        <v>47764</v>
      </c>
      <c r="D4987" s="2" t="s">
        <v>47765</v>
      </c>
      <c r="E4987" s="2" t="s">
        <v>47766</v>
      </c>
      <c r="G4987" s="3" t="s">
        <v>62</v>
      </c>
      <c r="I4987" s="3" t="s">
        <v>62</v>
      </c>
      <c r="J4987" s="3" t="s">
        <v>62</v>
      </c>
      <c r="K4987" s="3" t="s">
        <v>63</v>
      </c>
      <c r="M4987" s="2" t="s">
        <v>47767</v>
      </c>
      <c r="N4987" s="3" t="s">
        <v>181</v>
      </c>
      <c r="P4987" s="3" t="s">
        <v>65</v>
      </c>
      <c r="Q4987" s="2" t="s">
        <v>47768</v>
      </c>
      <c r="R4987" s="3" t="s">
        <v>66</v>
      </c>
      <c r="S4987" s="4">
        <v>0</v>
      </c>
      <c r="T4987" s="4">
        <v>0</v>
      </c>
      <c r="W4987" s="5" t="s">
        <v>67</v>
      </c>
      <c r="X4987" s="5" t="s">
        <v>67</v>
      </c>
      <c r="Y4987" s="4">
        <v>100</v>
      </c>
      <c r="Z4987" s="4">
        <v>7</v>
      </c>
      <c r="AA4987" s="4">
        <v>10</v>
      </c>
      <c r="AB4987" s="4">
        <v>1</v>
      </c>
      <c r="AC4987" s="4">
        <v>4</v>
      </c>
      <c r="AD4987" s="4">
        <v>37</v>
      </c>
      <c r="AE4987" s="4">
        <v>40</v>
      </c>
      <c r="AF4987" s="4">
        <v>0</v>
      </c>
      <c r="AG4987" s="4">
        <v>2</v>
      </c>
      <c r="AH4987" s="4">
        <v>34</v>
      </c>
      <c r="AI4987" s="4">
        <v>36</v>
      </c>
      <c r="AJ4987" s="4">
        <v>6</v>
      </c>
      <c r="AK4987" s="4">
        <v>8</v>
      </c>
      <c r="AL4987" s="4">
        <v>19</v>
      </c>
      <c r="AM4987" s="4">
        <v>19</v>
      </c>
      <c r="AN4987" s="4">
        <v>0</v>
      </c>
      <c r="AO4987" s="4">
        <v>0</v>
      </c>
      <c r="AP4987" s="4">
        <v>6</v>
      </c>
      <c r="AQ4987" s="4">
        <v>7</v>
      </c>
      <c r="AR4987" s="3" t="s">
        <v>62</v>
      </c>
      <c r="AS4987" s="3" t="s">
        <v>62</v>
      </c>
      <c r="AT4987" s="3" t="s">
        <v>62</v>
      </c>
      <c r="AV4987" s="6" t="str">
        <f>HYPERLINK("http://mcgill.on.worldcat.org/oclc/981460533","Catalog Record")</f>
        <v>Catalog Record</v>
      </c>
      <c r="AW4987" s="6" t="str">
        <f>HYPERLINK("http://www.worldcat.org/oclc/981460533","WorldCat Record")</f>
        <v>WorldCat Record</v>
      </c>
      <c r="AX4987" s="3" t="s">
        <v>47769</v>
      </c>
      <c r="AY4987" s="3" t="s">
        <v>47770</v>
      </c>
      <c r="AZ4987" s="3" t="s">
        <v>47771</v>
      </c>
      <c r="BA4987" s="3" t="s">
        <v>47771</v>
      </c>
      <c r="BB4987" s="3" t="s">
        <v>47772</v>
      </c>
      <c r="BC4987" s="3" t="s">
        <v>142</v>
      </c>
      <c r="BD4987" s="3" t="s">
        <v>68</v>
      </c>
      <c r="BE4987" s="3" t="s">
        <v>47773</v>
      </c>
      <c r="BF4987" s="3" t="s">
        <v>47772</v>
      </c>
      <c r="BG4987" s="3" t="s">
        <v>47774</v>
      </c>
    </row>
    <row r="4988" spans="1:59" ht="57" x14ac:dyDescent="0.45">
      <c r="A4988" s="2" t="s">
        <v>59</v>
      </c>
      <c r="B4988" s="2" t="s">
        <v>60</v>
      </c>
      <c r="C4988" s="2" t="s">
        <v>47775</v>
      </c>
      <c r="D4988" s="2" t="s">
        <v>47776</v>
      </c>
      <c r="E4988" s="2" t="s">
        <v>47777</v>
      </c>
      <c r="F4988" s="3" t="s">
        <v>2402</v>
      </c>
      <c r="G4988" s="3" t="s">
        <v>62</v>
      </c>
      <c r="I4988" s="3" t="s">
        <v>62</v>
      </c>
      <c r="J4988" s="3" t="s">
        <v>62</v>
      </c>
      <c r="K4988" s="3" t="s">
        <v>63</v>
      </c>
      <c r="M4988" s="2" t="s">
        <v>47778</v>
      </c>
      <c r="N4988" s="3" t="s">
        <v>1059</v>
      </c>
      <c r="P4988" s="3" t="s">
        <v>65</v>
      </c>
      <c r="Q4988" s="2" t="s">
        <v>47779</v>
      </c>
      <c r="R4988" s="3" t="s">
        <v>66</v>
      </c>
      <c r="S4988" s="4">
        <v>3</v>
      </c>
      <c r="T4988" s="4">
        <v>3</v>
      </c>
      <c r="U4988" s="5" t="s">
        <v>453</v>
      </c>
      <c r="V4988" s="5" t="s">
        <v>453</v>
      </c>
      <c r="W4988" s="5" t="s">
        <v>67</v>
      </c>
      <c r="X4988" s="5" t="s">
        <v>67</v>
      </c>
      <c r="Y4988" s="4">
        <v>17</v>
      </c>
      <c r="Z4988" s="4">
        <v>1</v>
      </c>
      <c r="AA4988" s="4">
        <v>14</v>
      </c>
      <c r="AB4988" s="4">
        <v>1</v>
      </c>
      <c r="AC4988" s="4">
        <v>3</v>
      </c>
      <c r="AD4988" s="4">
        <v>4</v>
      </c>
      <c r="AE4988" s="4">
        <v>55</v>
      </c>
      <c r="AF4988" s="4">
        <v>0</v>
      </c>
      <c r="AG4988" s="4">
        <v>1</v>
      </c>
      <c r="AH4988" s="4">
        <v>4</v>
      </c>
      <c r="AI4988" s="4">
        <v>48</v>
      </c>
      <c r="AJ4988" s="4">
        <v>0</v>
      </c>
      <c r="AK4988" s="4">
        <v>9</v>
      </c>
      <c r="AL4988" s="4">
        <v>3</v>
      </c>
      <c r="AM4988" s="4">
        <v>35</v>
      </c>
      <c r="AN4988" s="4">
        <v>0</v>
      </c>
      <c r="AO4988" s="4">
        <v>0</v>
      </c>
      <c r="AP4988" s="4">
        <v>0</v>
      </c>
      <c r="AQ4988" s="4">
        <v>10</v>
      </c>
      <c r="AR4988" s="3" t="s">
        <v>62</v>
      </c>
      <c r="AS4988" s="3" t="s">
        <v>62</v>
      </c>
      <c r="AT4988" s="3" t="s">
        <v>62</v>
      </c>
      <c r="AV4988" s="6" t="str">
        <f>HYPERLINK("http://mcgill.on.worldcat.org/oclc/77540307","Catalog Record")</f>
        <v>Catalog Record</v>
      </c>
      <c r="AW4988" s="6" t="str">
        <f>HYPERLINK("http://www.worldcat.org/oclc/77540307","WorldCat Record")</f>
        <v>WorldCat Record</v>
      </c>
      <c r="AX4988" s="3" t="s">
        <v>47780</v>
      </c>
      <c r="AY4988" s="3" t="s">
        <v>47781</v>
      </c>
      <c r="AZ4988" s="3" t="s">
        <v>47782</v>
      </c>
      <c r="BA4988" s="3" t="s">
        <v>47782</v>
      </c>
      <c r="BB4988" s="3" t="s">
        <v>47783</v>
      </c>
      <c r="BC4988" s="3" t="s">
        <v>142</v>
      </c>
      <c r="BD4988" s="3" t="s">
        <v>68</v>
      </c>
      <c r="BE4988" s="3" t="s">
        <v>47784</v>
      </c>
      <c r="BF4988" s="3" t="s">
        <v>47783</v>
      </c>
      <c r="BG4988" s="3" t="s">
        <v>47785</v>
      </c>
    </row>
    <row r="4989" spans="1:59" ht="57" x14ac:dyDescent="0.45">
      <c r="A4989" s="2" t="s">
        <v>59</v>
      </c>
      <c r="B4989" s="2" t="s">
        <v>60</v>
      </c>
      <c r="C4989" s="2" t="s">
        <v>47786</v>
      </c>
      <c r="D4989" s="2" t="s">
        <v>47787</v>
      </c>
      <c r="E4989" s="2" t="s">
        <v>47788</v>
      </c>
      <c r="G4989" s="3" t="s">
        <v>62</v>
      </c>
      <c r="I4989" s="3" t="s">
        <v>62</v>
      </c>
      <c r="J4989" s="3" t="s">
        <v>62</v>
      </c>
      <c r="K4989" s="3" t="s">
        <v>63</v>
      </c>
      <c r="L4989" s="2" t="s">
        <v>47789</v>
      </c>
      <c r="M4989" s="2" t="s">
        <v>47790</v>
      </c>
      <c r="N4989" s="3" t="s">
        <v>5180</v>
      </c>
      <c r="P4989" s="3" t="s">
        <v>65</v>
      </c>
      <c r="Q4989" s="2" t="s">
        <v>47791</v>
      </c>
      <c r="R4989" s="3" t="s">
        <v>66</v>
      </c>
      <c r="S4989" s="4">
        <v>0</v>
      </c>
      <c r="T4989" s="4">
        <v>0</v>
      </c>
      <c r="W4989" s="5" t="s">
        <v>28713</v>
      </c>
      <c r="X4989" s="5" t="s">
        <v>28713</v>
      </c>
      <c r="Y4989" s="4">
        <v>75</v>
      </c>
      <c r="Z4989" s="4">
        <v>5</v>
      </c>
      <c r="AA4989" s="4">
        <v>5</v>
      </c>
      <c r="AB4989" s="4">
        <v>1</v>
      </c>
      <c r="AC4989" s="4">
        <v>1</v>
      </c>
      <c r="AD4989" s="4">
        <v>37</v>
      </c>
      <c r="AE4989" s="4">
        <v>37</v>
      </c>
      <c r="AF4989" s="4">
        <v>0</v>
      </c>
      <c r="AG4989" s="4">
        <v>0</v>
      </c>
      <c r="AH4989" s="4">
        <v>36</v>
      </c>
      <c r="AI4989" s="4">
        <v>36</v>
      </c>
      <c r="AJ4989" s="4">
        <v>4</v>
      </c>
      <c r="AK4989" s="4">
        <v>4</v>
      </c>
      <c r="AL4989" s="4">
        <v>23</v>
      </c>
      <c r="AM4989" s="4">
        <v>23</v>
      </c>
      <c r="AN4989" s="4">
        <v>0</v>
      </c>
      <c r="AO4989" s="4">
        <v>0</v>
      </c>
      <c r="AP4989" s="4">
        <v>4</v>
      </c>
      <c r="AQ4989" s="4">
        <v>4</v>
      </c>
      <c r="AR4989" s="3" t="s">
        <v>62</v>
      </c>
      <c r="AS4989" s="3" t="s">
        <v>62</v>
      </c>
      <c r="AT4989" s="3" t="s">
        <v>62</v>
      </c>
      <c r="AV4989" s="6" t="str">
        <f>HYPERLINK("http://mcgill.on.worldcat.org/oclc/1049910312","Catalog Record")</f>
        <v>Catalog Record</v>
      </c>
      <c r="AW4989" s="6" t="str">
        <f>HYPERLINK("http://www.worldcat.org/oclc/1049910312","WorldCat Record")</f>
        <v>WorldCat Record</v>
      </c>
      <c r="AX4989" s="3" t="s">
        <v>47792</v>
      </c>
      <c r="AY4989" s="3" t="s">
        <v>47793</v>
      </c>
      <c r="AZ4989" s="3" t="s">
        <v>47794</v>
      </c>
      <c r="BA4989" s="3" t="s">
        <v>47794</v>
      </c>
      <c r="BB4989" s="3" t="s">
        <v>47795</v>
      </c>
      <c r="BC4989" s="3" t="s">
        <v>142</v>
      </c>
      <c r="BD4989" s="3" t="s">
        <v>68</v>
      </c>
      <c r="BE4989" s="3" t="s">
        <v>47796</v>
      </c>
      <c r="BF4989" s="3" t="s">
        <v>47795</v>
      </c>
      <c r="BG4989" s="3" t="s">
        <v>47797</v>
      </c>
    </row>
    <row r="4990" spans="1:59" ht="57" x14ac:dyDescent="0.45">
      <c r="A4990" s="2" t="s">
        <v>59</v>
      </c>
      <c r="B4990" s="2" t="s">
        <v>60</v>
      </c>
      <c r="C4990" s="2" t="s">
        <v>47798</v>
      </c>
      <c r="D4990" s="2" t="s">
        <v>47799</v>
      </c>
      <c r="E4990" s="2" t="s">
        <v>47800</v>
      </c>
      <c r="G4990" s="3" t="s">
        <v>62</v>
      </c>
      <c r="I4990" s="3" t="s">
        <v>62</v>
      </c>
      <c r="J4990" s="3" t="s">
        <v>62</v>
      </c>
      <c r="K4990" s="3" t="s">
        <v>63</v>
      </c>
      <c r="L4990" s="2" t="s">
        <v>47801</v>
      </c>
      <c r="M4990" s="2" t="s">
        <v>7538</v>
      </c>
      <c r="N4990" s="3" t="s">
        <v>918</v>
      </c>
      <c r="P4990" s="3" t="s">
        <v>65</v>
      </c>
      <c r="Q4990" s="2" t="s">
        <v>47802</v>
      </c>
      <c r="R4990" s="3" t="s">
        <v>66</v>
      </c>
      <c r="S4990" s="4">
        <v>1</v>
      </c>
      <c r="T4990" s="4">
        <v>1</v>
      </c>
      <c r="U4990" s="5" t="s">
        <v>2059</v>
      </c>
      <c r="V4990" s="5" t="s">
        <v>2059</v>
      </c>
      <c r="W4990" s="5" t="s">
        <v>67</v>
      </c>
      <c r="X4990" s="5" t="s">
        <v>67</v>
      </c>
      <c r="Y4990" s="4">
        <v>250</v>
      </c>
      <c r="Z4990" s="4">
        <v>13</v>
      </c>
      <c r="AA4990" s="4">
        <v>14</v>
      </c>
      <c r="AB4990" s="4">
        <v>1</v>
      </c>
      <c r="AC4990" s="4">
        <v>1</v>
      </c>
      <c r="AD4990" s="4">
        <v>84</v>
      </c>
      <c r="AE4990" s="4">
        <v>85</v>
      </c>
      <c r="AF4990" s="4">
        <v>0</v>
      </c>
      <c r="AG4990" s="4">
        <v>0</v>
      </c>
      <c r="AH4990" s="4">
        <v>77</v>
      </c>
      <c r="AI4990" s="4">
        <v>78</v>
      </c>
      <c r="AJ4990" s="4">
        <v>8</v>
      </c>
      <c r="AK4990" s="4">
        <v>9</v>
      </c>
      <c r="AL4990" s="4">
        <v>47</v>
      </c>
      <c r="AM4990" s="4">
        <v>47</v>
      </c>
      <c r="AN4990" s="4">
        <v>0</v>
      </c>
      <c r="AO4990" s="4">
        <v>0</v>
      </c>
      <c r="AP4990" s="4">
        <v>9</v>
      </c>
      <c r="AQ4990" s="4">
        <v>10</v>
      </c>
      <c r="AR4990" s="3" t="s">
        <v>62</v>
      </c>
      <c r="AS4990" s="3" t="s">
        <v>62</v>
      </c>
      <c r="AT4990" s="3" t="s">
        <v>62</v>
      </c>
      <c r="AV4990" s="6" t="str">
        <f>HYPERLINK("http://mcgill.on.worldcat.org/oclc/50291193","Catalog Record")</f>
        <v>Catalog Record</v>
      </c>
      <c r="AW4990" s="6" t="str">
        <f>HYPERLINK("http://www.worldcat.org/oclc/50291193","WorldCat Record")</f>
        <v>WorldCat Record</v>
      </c>
      <c r="AX4990" s="3" t="s">
        <v>47803</v>
      </c>
      <c r="AY4990" s="3" t="s">
        <v>47804</v>
      </c>
      <c r="AZ4990" s="3" t="s">
        <v>47805</v>
      </c>
      <c r="BA4990" s="3" t="s">
        <v>47805</v>
      </c>
      <c r="BB4990" s="3" t="s">
        <v>47806</v>
      </c>
      <c r="BC4990" s="3" t="s">
        <v>142</v>
      </c>
      <c r="BD4990" s="3" t="s">
        <v>68</v>
      </c>
      <c r="BE4990" s="3" t="s">
        <v>47807</v>
      </c>
      <c r="BF4990" s="3" t="s">
        <v>47806</v>
      </c>
      <c r="BG4990" s="3" t="s">
        <v>47808</v>
      </c>
    </row>
    <row r="4991" spans="1:59" ht="71.25" x14ac:dyDescent="0.45">
      <c r="A4991" s="2" t="s">
        <v>59</v>
      </c>
      <c r="B4991" s="2" t="s">
        <v>13360</v>
      </c>
      <c r="C4991" s="2" t="s">
        <v>47809</v>
      </c>
      <c r="D4991" s="2" t="s">
        <v>47810</v>
      </c>
      <c r="E4991" s="2" t="s">
        <v>47811</v>
      </c>
      <c r="G4991" s="3" t="s">
        <v>62</v>
      </c>
      <c r="I4991" s="3" t="s">
        <v>62</v>
      </c>
      <c r="J4991" s="3" t="s">
        <v>62</v>
      </c>
      <c r="K4991" s="3" t="s">
        <v>63</v>
      </c>
      <c r="L4991" s="2" t="s">
        <v>47812</v>
      </c>
      <c r="M4991" s="2" t="s">
        <v>47813</v>
      </c>
      <c r="N4991" s="3" t="s">
        <v>195</v>
      </c>
      <c r="P4991" s="3" t="s">
        <v>65</v>
      </c>
      <c r="R4991" s="3" t="s">
        <v>66</v>
      </c>
      <c r="S4991" s="4">
        <v>4</v>
      </c>
      <c r="T4991" s="4">
        <v>4</v>
      </c>
      <c r="U4991" s="5" t="s">
        <v>47814</v>
      </c>
      <c r="V4991" s="5" t="s">
        <v>47814</v>
      </c>
      <c r="W4991" s="5" t="s">
        <v>67</v>
      </c>
      <c r="X4991" s="5" t="s">
        <v>67</v>
      </c>
      <c r="Y4991" s="4">
        <v>334</v>
      </c>
      <c r="Z4991" s="4">
        <v>17</v>
      </c>
      <c r="AA4991" s="4">
        <v>25</v>
      </c>
      <c r="AB4991" s="4">
        <v>4</v>
      </c>
      <c r="AC4991" s="4">
        <v>7</v>
      </c>
      <c r="AD4991" s="4">
        <v>102</v>
      </c>
      <c r="AE4991" s="4">
        <v>109</v>
      </c>
      <c r="AF4991" s="4">
        <v>1</v>
      </c>
      <c r="AG4991" s="4">
        <v>4</v>
      </c>
      <c r="AH4991" s="4">
        <v>93</v>
      </c>
      <c r="AI4991" s="4">
        <v>97</v>
      </c>
      <c r="AJ4991" s="4">
        <v>10</v>
      </c>
      <c r="AK4991" s="4">
        <v>15</v>
      </c>
      <c r="AL4991" s="4">
        <v>54</v>
      </c>
      <c r="AM4991" s="4">
        <v>55</v>
      </c>
      <c r="AN4991" s="4">
        <v>0</v>
      </c>
      <c r="AO4991" s="4">
        <v>0</v>
      </c>
      <c r="AP4991" s="4">
        <v>13</v>
      </c>
      <c r="AQ4991" s="4">
        <v>17</v>
      </c>
      <c r="AR4991" s="3" t="s">
        <v>62</v>
      </c>
      <c r="AS4991" s="3" t="s">
        <v>62</v>
      </c>
      <c r="AT4991" s="3" t="s">
        <v>62</v>
      </c>
      <c r="AV4991" s="6" t="str">
        <f>HYPERLINK("http://mcgill.on.worldcat.org/oclc/27642898","Catalog Record")</f>
        <v>Catalog Record</v>
      </c>
      <c r="AW4991" s="6" t="str">
        <f>HYPERLINK("http://www.worldcat.org/oclc/27642898","WorldCat Record")</f>
        <v>WorldCat Record</v>
      </c>
      <c r="AX4991" s="3" t="s">
        <v>47815</v>
      </c>
      <c r="AY4991" s="3" t="s">
        <v>47816</v>
      </c>
      <c r="AZ4991" s="3" t="s">
        <v>47817</v>
      </c>
      <c r="BA4991" s="3" t="s">
        <v>47817</v>
      </c>
      <c r="BB4991" s="3" t="s">
        <v>47818</v>
      </c>
      <c r="BC4991" s="3" t="s">
        <v>142</v>
      </c>
      <c r="BD4991" s="3" t="s">
        <v>68</v>
      </c>
      <c r="BE4991" s="3" t="s">
        <v>47819</v>
      </c>
      <c r="BF4991" s="3" t="s">
        <v>47818</v>
      </c>
      <c r="BG4991" s="3" t="s">
        <v>47820</v>
      </c>
    </row>
    <row r="4992" spans="1:59" ht="57" x14ac:dyDescent="0.45">
      <c r="A4992" s="2" t="s">
        <v>59</v>
      </c>
      <c r="B4992" s="2" t="s">
        <v>60</v>
      </c>
      <c r="C4992" s="2" t="s">
        <v>47821</v>
      </c>
      <c r="D4992" s="2" t="s">
        <v>47822</v>
      </c>
      <c r="E4992" s="2" t="s">
        <v>47823</v>
      </c>
      <c r="G4992" s="3" t="s">
        <v>62</v>
      </c>
      <c r="I4992" s="3" t="s">
        <v>62</v>
      </c>
      <c r="J4992" s="3" t="s">
        <v>62</v>
      </c>
      <c r="K4992" s="3" t="s">
        <v>63</v>
      </c>
      <c r="M4992" s="2" t="s">
        <v>47824</v>
      </c>
      <c r="N4992" s="3" t="s">
        <v>149</v>
      </c>
      <c r="P4992" s="3" t="s">
        <v>65</v>
      </c>
      <c r="Q4992" s="2" t="s">
        <v>47825</v>
      </c>
      <c r="R4992" s="3" t="s">
        <v>66</v>
      </c>
      <c r="S4992" s="4">
        <v>1</v>
      </c>
      <c r="T4992" s="4">
        <v>1</v>
      </c>
      <c r="U4992" s="5" t="s">
        <v>47826</v>
      </c>
      <c r="V4992" s="5" t="s">
        <v>47826</v>
      </c>
      <c r="W4992" s="5" t="s">
        <v>67</v>
      </c>
      <c r="X4992" s="5" t="s">
        <v>67</v>
      </c>
      <c r="Y4992" s="4">
        <v>163</v>
      </c>
      <c r="Z4992" s="4">
        <v>12</v>
      </c>
      <c r="AA4992" s="4">
        <v>13</v>
      </c>
      <c r="AB4992" s="4">
        <v>1</v>
      </c>
      <c r="AC4992" s="4">
        <v>1</v>
      </c>
      <c r="AD4992" s="4">
        <v>50</v>
      </c>
      <c r="AE4992" s="4">
        <v>52</v>
      </c>
      <c r="AF4992" s="4">
        <v>0</v>
      </c>
      <c r="AG4992" s="4">
        <v>0</v>
      </c>
      <c r="AH4992" s="4">
        <v>45</v>
      </c>
      <c r="AI4992" s="4">
        <v>46</v>
      </c>
      <c r="AJ4992" s="4">
        <v>8</v>
      </c>
      <c r="AK4992" s="4">
        <v>8</v>
      </c>
      <c r="AL4992" s="4">
        <v>33</v>
      </c>
      <c r="AM4992" s="4">
        <v>34</v>
      </c>
      <c r="AN4992" s="4">
        <v>0</v>
      </c>
      <c r="AO4992" s="4">
        <v>0</v>
      </c>
      <c r="AP4992" s="4">
        <v>8</v>
      </c>
      <c r="AQ4992" s="4">
        <v>9</v>
      </c>
      <c r="AR4992" s="3" t="s">
        <v>62</v>
      </c>
      <c r="AS4992" s="3" t="s">
        <v>62</v>
      </c>
      <c r="AT4992" s="3" t="s">
        <v>62</v>
      </c>
      <c r="AV4992" s="6" t="str">
        <f>HYPERLINK("http://mcgill.on.worldcat.org/oclc/664327312","Catalog Record")</f>
        <v>Catalog Record</v>
      </c>
      <c r="AW4992" s="6" t="str">
        <f>HYPERLINK("http://www.worldcat.org/oclc/664327312","WorldCat Record")</f>
        <v>WorldCat Record</v>
      </c>
      <c r="AX4992" s="3" t="s">
        <v>47827</v>
      </c>
      <c r="AY4992" s="3" t="s">
        <v>47828</v>
      </c>
      <c r="AZ4992" s="3" t="s">
        <v>47829</v>
      </c>
      <c r="BA4992" s="3" t="s">
        <v>47829</v>
      </c>
      <c r="BB4992" s="3" t="s">
        <v>47830</v>
      </c>
      <c r="BC4992" s="3" t="s">
        <v>142</v>
      </c>
      <c r="BD4992" s="3" t="s">
        <v>68</v>
      </c>
      <c r="BE4992" s="3" t="s">
        <v>47831</v>
      </c>
      <c r="BF4992" s="3" t="s">
        <v>47830</v>
      </c>
      <c r="BG4992" s="3" t="s">
        <v>47832</v>
      </c>
    </row>
    <row r="4993" spans="1:59" ht="57" x14ac:dyDescent="0.45">
      <c r="A4993" s="2" t="s">
        <v>59</v>
      </c>
      <c r="B4993" s="2" t="s">
        <v>60</v>
      </c>
      <c r="C4993" s="2" t="s">
        <v>47833</v>
      </c>
      <c r="D4993" s="2" t="s">
        <v>47834</v>
      </c>
      <c r="E4993" s="2" t="s">
        <v>47835</v>
      </c>
      <c r="G4993" s="3" t="s">
        <v>62</v>
      </c>
      <c r="I4993" s="3" t="s">
        <v>62</v>
      </c>
      <c r="J4993" s="3" t="s">
        <v>62</v>
      </c>
      <c r="K4993" s="3" t="s">
        <v>63</v>
      </c>
      <c r="L4993" s="2" t="s">
        <v>47836</v>
      </c>
      <c r="M4993" s="2" t="s">
        <v>47837</v>
      </c>
      <c r="N4993" s="3" t="s">
        <v>894</v>
      </c>
      <c r="P4993" s="3" t="s">
        <v>65</v>
      </c>
      <c r="R4993" s="3" t="s">
        <v>66</v>
      </c>
      <c r="S4993" s="4">
        <v>1</v>
      </c>
      <c r="T4993" s="4">
        <v>1</v>
      </c>
      <c r="U4993" s="5" t="s">
        <v>47838</v>
      </c>
      <c r="V4993" s="5" t="s">
        <v>47838</v>
      </c>
      <c r="W4993" s="5" t="s">
        <v>67</v>
      </c>
      <c r="X4993" s="5" t="s">
        <v>67</v>
      </c>
      <c r="Y4993" s="4">
        <v>176</v>
      </c>
      <c r="Z4993" s="4">
        <v>16</v>
      </c>
      <c r="AA4993" s="4">
        <v>33</v>
      </c>
      <c r="AB4993" s="4">
        <v>1</v>
      </c>
      <c r="AC4993" s="4">
        <v>6</v>
      </c>
      <c r="AD4993" s="4">
        <v>79</v>
      </c>
      <c r="AE4993" s="4">
        <v>100</v>
      </c>
      <c r="AF4993" s="4">
        <v>0</v>
      </c>
      <c r="AG4993" s="4">
        <v>3</v>
      </c>
      <c r="AH4993" s="4">
        <v>70</v>
      </c>
      <c r="AI4993" s="4">
        <v>80</v>
      </c>
      <c r="AJ4993" s="4">
        <v>11</v>
      </c>
      <c r="AK4993" s="4">
        <v>21</v>
      </c>
      <c r="AL4993" s="4">
        <v>45</v>
      </c>
      <c r="AM4993" s="4">
        <v>46</v>
      </c>
      <c r="AN4993" s="4">
        <v>0</v>
      </c>
      <c r="AO4993" s="4">
        <v>0</v>
      </c>
      <c r="AP4993" s="4">
        <v>13</v>
      </c>
      <c r="AQ4993" s="4">
        <v>26</v>
      </c>
      <c r="AR4993" s="3" t="s">
        <v>62</v>
      </c>
      <c r="AS4993" s="3" t="s">
        <v>62</v>
      </c>
      <c r="AT4993" s="3" t="s">
        <v>62</v>
      </c>
      <c r="AV4993" s="6" t="str">
        <f>HYPERLINK("http://mcgill.on.worldcat.org/oclc/700406674","Catalog Record")</f>
        <v>Catalog Record</v>
      </c>
      <c r="AW4993" s="6" t="str">
        <f>HYPERLINK("http://www.worldcat.org/oclc/700406674","WorldCat Record")</f>
        <v>WorldCat Record</v>
      </c>
      <c r="AX4993" s="3" t="s">
        <v>47839</v>
      </c>
      <c r="AY4993" s="3" t="s">
        <v>47840</v>
      </c>
      <c r="AZ4993" s="3" t="s">
        <v>47841</v>
      </c>
      <c r="BA4993" s="3" t="s">
        <v>47841</v>
      </c>
      <c r="BB4993" s="3" t="s">
        <v>47842</v>
      </c>
      <c r="BC4993" s="3" t="s">
        <v>142</v>
      </c>
      <c r="BD4993" s="3" t="s">
        <v>68</v>
      </c>
      <c r="BE4993" s="3" t="s">
        <v>47843</v>
      </c>
      <c r="BF4993" s="3" t="s">
        <v>47842</v>
      </c>
      <c r="BG4993" s="3" t="s">
        <v>47844</v>
      </c>
    </row>
    <row r="4994" spans="1:59" ht="57" x14ac:dyDescent="0.45">
      <c r="A4994" s="2" t="s">
        <v>59</v>
      </c>
      <c r="B4994" s="2" t="s">
        <v>60</v>
      </c>
      <c r="C4994" s="2" t="s">
        <v>47845</v>
      </c>
      <c r="D4994" s="2" t="s">
        <v>47846</v>
      </c>
      <c r="E4994" s="2" t="s">
        <v>47847</v>
      </c>
      <c r="G4994" s="3" t="s">
        <v>62</v>
      </c>
      <c r="I4994" s="3" t="s">
        <v>62</v>
      </c>
      <c r="J4994" s="3" t="s">
        <v>62</v>
      </c>
      <c r="K4994" s="3" t="s">
        <v>63</v>
      </c>
      <c r="L4994" s="2" t="s">
        <v>47848</v>
      </c>
      <c r="M4994" s="2" t="s">
        <v>47849</v>
      </c>
      <c r="N4994" s="3" t="s">
        <v>1097</v>
      </c>
      <c r="P4994" s="3" t="s">
        <v>65</v>
      </c>
      <c r="Q4994" s="2" t="s">
        <v>47204</v>
      </c>
      <c r="R4994" s="3" t="s">
        <v>66</v>
      </c>
      <c r="S4994" s="4">
        <v>11</v>
      </c>
      <c r="T4994" s="4">
        <v>11</v>
      </c>
      <c r="U4994" s="5" t="s">
        <v>39295</v>
      </c>
      <c r="V4994" s="5" t="s">
        <v>39295</v>
      </c>
      <c r="W4994" s="5" t="s">
        <v>67</v>
      </c>
      <c r="X4994" s="5" t="s">
        <v>67</v>
      </c>
      <c r="Y4994" s="4">
        <v>239</v>
      </c>
      <c r="Z4994" s="4">
        <v>17</v>
      </c>
      <c r="AA4994" s="4">
        <v>17</v>
      </c>
      <c r="AB4994" s="4">
        <v>1</v>
      </c>
      <c r="AC4994" s="4">
        <v>1</v>
      </c>
      <c r="AD4994" s="4">
        <v>100</v>
      </c>
      <c r="AE4994" s="4">
        <v>100</v>
      </c>
      <c r="AF4994" s="4">
        <v>0</v>
      </c>
      <c r="AG4994" s="4">
        <v>0</v>
      </c>
      <c r="AH4994" s="4">
        <v>94</v>
      </c>
      <c r="AI4994" s="4">
        <v>94</v>
      </c>
      <c r="AJ4994" s="4">
        <v>14</v>
      </c>
      <c r="AK4994" s="4">
        <v>14</v>
      </c>
      <c r="AL4994" s="4">
        <v>53</v>
      </c>
      <c r="AM4994" s="4">
        <v>53</v>
      </c>
      <c r="AN4994" s="4">
        <v>0</v>
      </c>
      <c r="AO4994" s="4">
        <v>0</v>
      </c>
      <c r="AP4994" s="4">
        <v>14</v>
      </c>
      <c r="AQ4994" s="4">
        <v>14</v>
      </c>
      <c r="AR4994" s="3" t="s">
        <v>62</v>
      </c>
      <c r="AS4994" s="3" t="s">
        <v>62</v>
      </c>
      <c r="AT4994" s="3" t="s">
        <v>62</v>
      </c>
      <c r="AV4994" s="6" t="str">
        <f>HYPERLINK("http://mcgill.on.worldcat.org/oclc/54400158","Catalog Record")</f>
        <v>Catalog Record</v>
      </c>
      <c r="AW4994" s="6" t="str">
        <f>HYPERLINK("http://www.worldcat.org/oclc/54400158","WorldCat Record")</f>
        <v>WorldCat Record</v>
      </c>
      <c r="AX4994" s="3" t="s">
        <v>47850</v>
      </c>
      <c r="AY4994" s="3" t="s">
        <v>47851</v>
      </c>
      <c r="AZ4994" s="3" t="s">
        <v>47852</v>
      </c>
      <c r="BA4994" s="3" t="s">
        <v>47852</v>
      </c>
      <c r="BB4994" s="3" t="s">
        <v>47853</v>
      </c>
      <c r="BC4994" s="3" t="s">
        <v>142</v>
      </c>
      <c r="BD4994" s="3" t="s">
        <v>68</v>
      </c>
      <c r="BE4994" s="3" t="s">
        <v>47854</v>
      </c>
      <c r="BF4994" s="3" t="s">
        <v>47853</v>
      </c>
      <c r="BG4994" s="3" t="s">
        <v>47855</v>
      </c>
    </row>
    <row r="4995" spans="1:59" ht="57" x14ac:dyDescent="0.45">
      <c r="A4995" s="2" t="s">
        <v>59</v>
      </c>
      <c r="B4995" s="2" t="s">
        <v>60</v>
      </c>
      <c r="C4995" s="2" t="s">
        <v>47856</v>
      </c>
      <c r="D4995" s="2" t="s">
        <v>47857</v>
      </c>
      <c r="E4995" s="2" t="s">
        <v>47858</v>
      </c>
      <c r="G4995" s="3" t="s">
        <v>62</v>
      </c>
      <c r="I4995" s="3" t="s">
        <v>62</v>
      </c>
      <c r="J4995" s="3" t="s">
        <v>62</v>
      </c>
      <c r="K4995" s="3" t="s">
        <v>63</v>
      </c>
      <c r="L4995" s="2" t="s">
        <v>47859</v>
      </c>
      <c r="M4995" s="2" t="s">
        <v>20904</v>
      </c>
      <c r="N4995" s="3" t="s">
        <v>958</v>
      </c>
      <c r="P4995" s="3" t="s">
        <v>65</v>
      </c>
      <c r="Q4995" s="2" t="s">
        <v>47860</v>
      </c>
      <c r="R4995" s="3" t="s">
        <v>66</v>
      </c>
      <c r="S4995" s="4">
        <v>11</v>
      </c>
      <c r="T4995" s="4">
        <v>11</v>
      </c>
      <c r="U4995" s="5" t="s">
        <v>47861</v>
      </c>
      <c r="V4995" s="5" t="s">
        <v>47861</v>
      </c>
      <c r="W4995" s="5" t="s">
        <v>67</v>
      </c>
      <c r="X4995" s="5" t="s">
        <v>67</v>
      </c>
      <c r="Y4995" s="4">
        <v>278</v>
      </c>
      <c r="Z4995" s="4">
        <v>14</v>
      </c>
      <c r="AA4995" s="4">
        <v>16</v>
      </c>
      <c r="AB4995" s="4">
        <v>2</v>
      </c>
      <c r="AC4995" s="4">
        <v>3</v>
      </c>
      <c r="AD4995" s="4">
        <v>94</v>
      </c>
      <c r="AE4995" s="4">
        <v>96</v>
      </c>
      <c r="AF4995" s="4">
        <v>1</v>
      </c>
      <c r="AG4995" s="4">
        <v>2</v>
      </c>
      <c r="AH4995" s="4">
        <v>85</v>
      </c>
      <c r="AI4995" s="4">
        <v>86</v>
      </c>
      <c r="AJ4995" s="4">
        <v>8</v>
      </c>
      <c r="AK4995" s="4">
        <v>10</v>
      </c>
      <c r="AL4995" s="4">
        <v>52</v>
      </c>
      <c r="AM4995" s="4">
        <v>52</v>
      </c>
      <c r="AN4995" s="4">
        <v>0</v>
      </c>
      <c r="AO4995" s="4">
        <v>0</v>
      </c>
      <c r="AP4995" s="4">
        <v>12</v>
      </c>
      <c r="AQ4995" s="4">
        <v>13</v>
      </c>
      <c r="AR4995" s="3" t="s">
        <v>62</v>
      </c>
      <c r="AS4995" s="3" t="s">
        <v>62</v>
      </c>
      <c r="AT4995" s="3" t="s">
        <v>62</v>
      </c>
      <c r="AV4995" s="6" t="str">
        <f>HYPERLINK("http://mcgill.on.worldcat.org/oclc/31133729","Catalog Record")</f>
        <v>Catalog Record</v>
      </c>
      <c r="AW4995" s="6" t="str">
        <f>HYPERLINK("http://www.worldcat.org/oclc/31133729","WorldCat Record")</f>
        <v>WorldCat Record</v>
      </c>
      <c r="AX4995" s="3" t="s">
        <v>47862</v>
      </c>
      <c r="AY4995" s="3" t="s">
        <v>47863</v>
      </c>
      <c r="AZ4995" s="3" t="s">
        <v>47864</v>
      </c>
      <c r="BA4995" s="3" t="s">
        <v>47864</v>
      </c>
      <c r="BB4995" s="3" t="s">
        <v>47865</v>
      </c>
      <c r="BC4995" s="3" t="s">
        <v>142</v>
      </c>
      <c r="BD4995" s="3" t="s">
        <v>68</v>
      </c>
      <c r="BE4995" s="3" t="s">
        <v>47866</v>
      </c>
      <c r="BF4995" s="3" t="s">
        <v>47865</v>
      </c>
      <c r="BG4995" s="3" t="s">
        <v>47867</v>
      </c>
    </row>
    <row r="4996" spans="1:59" ht="57" x14ac:dyDescent="0.45">
      <c r="A4996" s="2" t="s">
        <v>59</v>
      </c>
      <c r="B4996" s="2" t="s">
        <v>60</v>
      </c>
      <c r="C4996" s="2" t="s">
        <v>47868</v>
      </c>
      <c r="D4996" s="2" t="s">
        <v>47869</v>
      </c>
      <c r="E4996" s="2" t="s">
        <v>47870</v>
      </c>
      <c r="G4996" s="3" t="s">
        <v>62</v>
      </c>
      <c r="I4996" s="3" t="s">
        <v>62</v>
      </c>
      <c r="J4996" s="3" t="s">
        <v>62</v>
      </c>
      <c r="K4996" s="3" t="s">
        <v>63</v>
      </c>
      <c r="L4996" s="2" t="s">
        <v>47871</v>
      </c>
      <c r="M4996" s="2" t="s">
        <v>4326</v>
      </c>
      <c r="N4996" s="3" t="s">
        <v>181</v>
      </c>
      <c r="P4996" s="3" t="s">
        <v>65</v>
      </c>
      <c r="R4996" s="3" t="s">
        <v>66</v>
      </c>
      <c r="S4996" s="4">
        <v>0</v>
      </c>
      <c r="T4996" s="4">
        <v>0</v>
      </c>
      <c r="W4996" s="5" t="s">
        <v>67</v>
      </c>
      <c r="X4996" s="5" t="s">
        <v>67</v>
      </c>
      <c r="Y4996" s="4">
        <v>58</v>
      </c>
      <c r="Z4996" s="4">
        <v>5</v>
      </c>
      <c r="AA4996" s="4">
        <v>5</v>
      </c>
      <c r="AB4996" s="4">
        <v>1</v>
      </c>
      <c r="AC4996" s="4">
        <v>1</v>
      </c>
      <c r="AD4996" s="4">
        <v>29</v>
      </c>
      <c r="AE4996" s="4">
        <v>29</v>
      </c>
      <c r="AF4996" s="4">
        <v>0</v>
      </c>
      <c r="AG4996" s="4">
        <v>0</v>
      </c>
      <c r="AH4996" s="4">
        <v>29</v>
      </c>
      <c r="AI4996" s="4">
        <v>29</v>
      </c>
      <c r="AJ4996" s="4">
        <v>3</v>
      </c>
      <c r="AK4996" s="4">
        <v>3</v>
      </c>
      <c r="AL4996" s="4">
        <v>18</v>
      </c>
      <c r="AM4996" s="4">
        <v>18</v>
      </c>
      <c r="AN4996" s="4">
        <v>0</v>
      </c>
      <c r="AO4996" s="4">
        <v>0</v>
      </c>
      <c r="AP4996" s="4">
        <v>3</v>
      </c>
      <c r="AQ4996" s="4">
        <v>3</v>
      </c>
      <c r="AR4996" s="3" t="s">
        <v>62</v>
      </c>
      <c r="AS4996" s="3" t="s">
        <v>62</v>
      </c>
      <c r="AT4996" s="3" t="s">
        <v>62</v>
      </c>
      <c r="AV4996" s="6" t="str">
        <f>HYPERLINK("http://mcgill.on.worldcat.org/oclc/910802200","Catalog Record")</f>
        <v>Catalog Record</v>
      </c>
      <c r="AW4996" s="6" t="str">
        <f>HYPERLINK("http://www.worldcat.org/oclc/910802200","WorldCat Record")</f>
        <v>WorldCat Record</v>
      </c>
      <c r="AX4996" s="3" t="s">
        <v>47872</v>
      </c>
      <c r="AY4996" s="3" t="s">
        <v>47873</v>
      </c>
      <c r="AZ4996" s="3" t="s">
        <v>47874</v>
      </c>
      <c r="BA4996" s="3" t="s">
        <v>47874</v>
      </c>
      <c r="BB4996" s="3" t="s">
        <v>47875</v>
      </c>
      <c r="BC4996" s="3" t="s">
        <v>142</v>
      </c>
      <c r="BD4996" s="3" t="s">
        <v>68</v>
      </c>
      <c r="BE4996" s="3" t="s">
        <v>47876</v>
      </c>
      <c r="BF4996" s="3" t="s">
        <v>47875</v>
      </c>
      <c r="BG4996" s="3" t="s">
        <v>47877</v>
      </c>
    </row>
    <row r="4997" spans="1:59" ht="57" x14ac:dyDescent="0.45">
      <c r="A4997" s="2" t="s">
        <v>59</v>
      </c>
      <c r="B4997" s="2" t="s">
        <v>60</v>
      </c>
      <c r="C4997" s="2" t="s">
        <v>47878</v>
      </c>
      <c r="D4997" s="2" t="s">
        <v>47879</v>
      </c>
      <c r="E4997" s="2" t="s">
        <v>47880</v>
      </c>
      <c r="G4997" s="3" t="s">
        <v>62</v>
      </c>
      <c r="I4997" s="3" t="s">
        <v>62</v>
      </c>
      <c r="J4997" s="3" t="s">
        <v>62</v>
      </c>
      <c r="K4997" s="3" t="s">
        <v>63</v>
      </c>
      <c r="L4997" s="2" t="s">
        <v>47622</v>
      </c>
      <c r="M4997" s="2" t="s">
        <v>5132</v>
      </c>
      <c r="N4997" s="3" t="s">
        <v>1212</v>
      </c>
      <c r="P4997" s="3" t="s">
        <v>65</v>
      </c>
      <c r="Q4997" s="2" t="s">
        <v>28144</v>
      </c>
      <c r="R4997" s="3" t="s">
        <v>66</v>
      </c>
      <c r="S4997" s="4">
        <v>15</v>
      </c>
      <c r="T4997" s="4">
        <v>15</v>
      </c>
      <c r="U4997" s="5" t="s">
        <v>15716</v>
      </c>
      <c r="V4997" s="5" t="s">
        <v>15716</v>
      </c>
      <c r="W4997" s="5" t="s">
        <v>67</v>
      </c>
      <c r="X4997" s="5" t="s">
        <v>67</v>
      </c>
      <c r="Y4997" s="4">
        <v>233</v>
      </c>
      <c r="Z4997" s="4">
        <v>21</v>
      </c>
      <c r="AA4997" s="4">
        <v>23</v>
      </c>
      <c r="AB4997" s="4">
        <v>1</v>
      </c>
      <c r="AC4997" s="4">
        <v>2</v>
      </c>
      <c r="AD4997" s="4">
        <v>96</v>
      </c>
      <c r="AE4997" s="4">
        <v>97</v>
      </c>
      <c r="AF4997" s="4">
        <v>0</v>
      </c>
      <c r="AG4997" s="4">
        <v>1</v>
      </c>
      <c r="AH4997" s="4">
        <v>84</v>
      </c>
      <c r="AI4997" s="4">
        <v>84</v>
      </c>
      <c r="AJ4997" s="4">
        <v>14</v>
      </c>
      <c r="AK4997" s="4">
        <v>15</v>
      </c>
      <c r="AL4997" s="4">
        <v>50</v>
      </c>
      <c r="AM4997" s="4">
        <v>50</v>
      </c>
      <c r="AN4997" s="4">
        <v>0</v>
      </c>
      <c r="AO4997" s="4">
        <v>0</v>
      </c>
      <c r="AP4997" s="4">
        <v>17</v>
      </c>
      <c r="AQ4997" s="4">
        <v>17</v>
      </c>
      <c r="AR4997" s="3" t="s">
        <v>62</v>
      </c>
      <c r="AS4997" s="3" t="s">
        <v>62</v>
      </c>
      <c r="AT4997" s="3" t="s">
        <v>62</v>
      </c>
      <c r="AV4997" s="6" t="str">
        <f>HYPERLINK("http://mcgill.on.worldcat.org/oclc/42882857","Catalog Record")</f>
        <v>Catalog Record</v>
      </c>
      <c r="AW4997" s="6" t="str">
        <f>HYPERLINK("http://www.worldcat.org/oclc/42882857","WorldCat Record")</f>
        <v>WorldCat Record</v>
      </c>
      <c r="AX4997" s="3" t="s">
        <v>47881</v>
      </c>
      <c r="AY4997" s="3" t="s">
        <v>47882</v>
      </c>
      <c r="AZ4997" s="3" t="s">
        <v>47883</v>
      </c>
      <c r="BA4997" s="3" t="s">
        <v>47883</v>
      </c>
      <c r="BB4997" s="3" t="s">
        <v>47884</v>
      </c>
      <c r="BC4997" s="3" t="s">
        <v>142</v>
      </c>
      <c r="BD4997" s="3" t="s">
        <v>68</v>
      </c>
      <c r="BE4997" s="3" t="s">
        <v>47885</v>
      </c>
      <c r="BF4997" s="3" t="s">
        <v>47884</v>
      </c>
      <c r="BG4997" s="3" t="s">
        <v>47886</v>
      </c>
    </row>
    <row r="4998" spans="1:59" ht="71.25" x14ac:dyDescent="0.45">
      <c r="A4998" s="2" t="s">
        <v>59</v>
      </c>
      <c r="B4998" s="2" t="s">
        <v>60</v>
      </c>
      <c r="C4998" s="2" t="s">
        <v>47887</v>
      </c>
      <c r="D4998" s="2" t="s">
        <v>47888</v>
      </c>
      <c r="E4998" s="2" t="s">
        <v>47889</v>
      </c>
      <c r="G4998" s="3" t="s">
        <v>62</v>
      </c>
      <c r="I4998" s="3" t="s">
        <v>62</v>
      </c>
      <c r="J4998" s="3" t="s">
        <v>62</v>
      </c>
      <c r="K4998" s="3" t="s">
        <v>63</v>
      </c>
      <c r="M4998" s="2" t="s">
        <v>47890</v>
      </c>
      <c r="N4998" s="3" t="s">
        <v>1155</v>
      </c>
      <c r="P4998" s="3" t="s">
        <v>65</v>
      </c>
      <c r="R4998" s="3" t="s">
        <v>66</v>
      </c>
      <c r="S4998" s="4">
        <v>2</v>
      </c>
      <c r="T4998" s="4">
        <v>2</v>
      </c>
      <c r="U4998" s="5" t="s">
        <v>47891</v>
      </c>
      <c r="V4998" s="5" t="s">
        <v>47891</v>
      </c>
      <c r="W4998" s="5" t="s">
        <v>67</v>
      </c>
      <c r="X4998" s="5" t="s">
        <v>67</v>
      </c>
      <c r="Y4998" s="4">
        <v>101</v>
      </c>
      <c r="Z4998" s="4">
        <v>15</v>
      </c>
      <c r="AA4998" s="4">
        <v>66</v>
      </c>
      <c r="AB4998" s="4">
        <v>1</v>
      </c>
      <c r="AC4998" s="4">
        <v>9</v>
      </c>
      <c r="AD4998" s="4">
        <v>47</v>
      </c>
      <c r="AE4998" s="4">
        <v>89</v>
      </c>
      <c r="AF4998" s="4">
        <v>0</v>
      </c>
      <c r="AG4998" s="4">
        <v>4</v>
      </c>
      <c r="AH4998" s="4">
        <v>44</v>
      </c>
      <c r="AI4998" s="4">
        <v>67</v>
      </c>
      <c r="AJ4998" s="4">
        <v>11</v>
      </c>
      <c r="AK4998" s="4">
        <v>17</v>
      </c>
      <c r="AL4998" s="4">
        <v>25</v>
      </c>
      <c r="AM4998" s="4">
        <v>36</v>
      </c>
      <c r="AN4998" s="4">
        <v>0</v>
      </c>
      <c r="AO4998" s="4">
        <v>0</v>
      </c>
      <c r="AP4998" s="4">
        <v>11</v>
      </c>
      <c r="AQ4998" s="4">
        <v>30</v>
      </c>
      <c r="AR4998" s="3" t="s">
        <v>62</v>
      </c>
      <c r="AS4998" s="3" t="s">
        <v>62</v>
      </c>
      <c r="AT4998" s="3" t="s">
        <v>62</v>
      </c>
      <c r="AV4998" s="6" t="str">
        <f>HYPERLINK("http://mcgill.on.worldcat.org/oclc/741542137","Catalog Record")</f>
        <v>Catalog Record</v>
      </c>
      <c r="AW4998" s="6" t="str">
        <f>HYPERLINK("http://www.worldcat.org/oclc/741542137","WorldCat Record")</f>
        <v>WorldCat Record</v>
      </c>
      <c r="AX4998" s="3" t="s">
        <v>47892</v>
      </c>
      <c r="AY4998" s="3" t="s">
        <v>47893</v>
      </c>
      <c r="AZ4998" s="3" t="s">
        <v>47894</v>
      </c>
      <c r="BA4998" s="3" t="s">
        <v>47894</v>
      </c>
      <c r="BB4998" s="3" t="s">
        <v>47895</v>
      </c>
      <c r="BC4998" s="3" t="s">
        <v>142</v>
      </c>
      <c r="BD4998" s="3" t="s">
        <v>68</v>
      </c>
      <c r="BE4998" s="3" t="s">
        <v>47896</v>
      </c>
      <c r="BF4998" s="3" t="s">
        <v>47895</v>
      </c>
      <c r="BG4998" s="3" t="s">
        <v>47897</v>
      </c>
    </row>
    <row r="4999" spans="1:59" ht="57" x14ac:dyDescent="0.45">
      <c r="A4999" s="2" t="s">
        <v>59</v>
      </c>
      <c r="B4999" s="2" t="s">
        <v>60</v>
      </c>
      <c r="C4999" s="2" t="s">
        <v>47898</v>
      </c>
      <c r="D4999" s="2" t="s">
        <v>47899</v>
      </c>
      <c r="E4999" s="2" t="s">
        <v>47900</v>
      </c>
      <c r="G4999" s="3" t="s">
        <v>62</v>
      </c>
      <c r="I4999" s="3" t="s">
        <v>62</v>
      </c>
      <c r="J4999" s="3" t="s">
        <v>62</v>
      </c>
      <c r="K4999" s="3" t="s">
        <v>63</v>
      </c>
      <c r="M4999" s="2" t="s">
        <v>1781</v>
      </c>
      <c r="N4999" s="3" t="s">
        <v>149</v>
      </c>
      <c r="P4999" s="3" t="s">
        <v>65</v>
      </c>
      <c r="R4999" s="3" t="s">
        <v>66</v>
      </c>
      <c r="S4999" s="4">
        <v>2</v>
      </c>
      <c r="T4999" s="4">
        <v>2</v>
      </c>
      <c r="U4999" s="5" t="s">
        <v>47901</v>
      </c>
      <c r="V4999" s="5" t="s">
        <v>47901</v>
      </c>
      <c r="W4999" s="5" t="s">
        <v>67</v>
      </c>
      <c r="X4999" s="5" t="s">
        <v>67</v>
      </c>
      <c r="Y4999" s="4">
        <v>112</v>
      </c>
      <c r="Z4999" s="4">
        <v>10</v>
      </c>
      <c r="AA4999" s="4">
        <v>94</v>
      </c>
      <c r="AB4999" s="4">
        <v>1</v>
      </c>
      <c r="AC4999" s="4">
        <v>17</v>
      </c>
      <c r="AD4999" s="4">
        <v>45</v>
      </c>
      <c r="AE4999" s="4">
        <v>121</v>
      </c>
      <c r="AF4999" s="4">
        <v>0</v>
      </c>
      <c r="AG4999" s="4">
        <v>8</v>
      </c>
      <c r="AH4999" s="4">
        <v>42</v>
      </c>
      <c r="AI4999" s="4">
        <v>84</v>
      </c>
      <c r="AJ4999" s="4">
        <v>8</v>
      </c>
      <c r="AK4999" s="4">
        <v>24</v>
      </c>
      <c r="AL4999" s="4">
        <v>27</v>
      </c>
      <c r="AM4999" s="4">
        <v>47</v>
      </c>
      <c r="AN4999" s="4">
        <v>0</v>
      </c>
      <c r="AO4999" s="4">
        <v>0</v>
      </c>
      <c r="AP4999" s="4">
        <v>8</v>
      </c>
      <c r="AQ4999" s="4">
        <v>45</v>
      </c>
      <c r="AR4999" s="3" t="s">
        <v>62</v>
      </c>
      <c r="AS4999" s="3" t="s">
        <v>62</v>
      </c>
      <c r="AT4999" s="3" t="s">
        <v>62</v>
      </c>
      <c r="AV4999" s="6" t="str">
        <f>HYPERLINK("http://mcgill.on.worldcat.org/oclc/466343958","Catalog Record")</f>
        <v>Catalog Record</v>
      </c>
      <c r="AW4999" s="6" t="str">
        <f>HYPERLINK("http://www.worldcat.org/oclc/466343958","WorldCat Record")</f>
        <v>WorldCat Record</v>
      </c>
      <c r="AX4999" s="3" t="s">
        <v>47902</v>
      </c>
      <c r="AY4999" s="3" t="s">
        <v>47903</v>
      </c>
      <c r="AZ4999" s="3" t="s">
        <v>47904</v>
      </c>
      <c r="BA4999" s="3" t="s">
        <v>47904</v>
      </c>
      <c r="BB4999" s="3" t="s">
        <v>47905</v>
      </c>
      <c r="BC4999" s="3" t="s">
        <v>142</v>
      </c>
      <c r="BD4999" s="3" t="s">
        <v>68</v>
      </c>
      <c r="BE4999" s="3" t="s">
        <v>47906</v>
      </c>
      <c r="BF4999" s="3" t="s">
        <v>47905</v>
      </c>
      <c r="BG4999" s="3" t="s">
        <v>47907</v>
      </c>
    </row>
    <row r="5000" spans="1:59" ht="57" x14ac:dyDescent="0.45">
      <c r="A5000" s="2" t="s">
        <v>59</v>
      </c>
      <c r="B5000" s="2" t="s">
        <v>60</v>
      </c>
      <c r="C5000" s="2" t="s">
        <v>47908</v>
      </c>
      <c r="D5000" s="2" t="s">
        <v>47909</v>
      </c>
      <c r="E5000" s="2" t="s">
        <v>47910</v>
      </c>
      <c r="G5000" s="3" t="s">
        <v>62</v>
      </c>
      <c r="I5000" s="3" t="s">
        <v>62</v>
      </c>
      <c r="J5000" s="3" t="s">
        <v>62</v>
      </c>
      <c r="K5000" s="3" t="s">
        <v>63</v>
      </c>
      <c r="L5000" s="2" t="s">
        <v>47911</v>
      </c>
      <c r="M5000" s="2" t="s">
        <v>2631</v>
      </c>
      <c r="N5000" s="3" t="s">
        <v>116</v>
      </c>
      <c r="P5000" s="3" t="s">
        <v>65</v>
      </c>
      <c r="Q5000" s="2" t="s">
        <v>1267</v>
      </c>
      <c r="R5000" s="3" t="s">
        <v>66</v>
      </c>
      <c r="S5000" s="4">
        <v>1</v>
      </c>
      <c r="T5000" s="4">
        <v>1</v>
      </c>
      <c r="U5000" s="5" t="s">
        <v>4265</v>
      </c>
      <c r="V5000" s="5" t="s">
        <v>4265</v>
      </c>
      <c r="W5000" s="5" t="s">
        <v>67</v>
      </c>
      <c r="X5000" s="5" t="s">
        <v>67</v>
      </c>
      <c r="Y5000" s="4">
        <v>91</v>
      </c>
      <c r="Z5000" s="4">
        <v>16</v>
      </c>
      <c r="AA5000" s="4">
        <v>82</v>
      </c>
      <c r="AB5000" s="4">
        <v>2</v>
      </c>
      <c r="AC5000" s="4">
        <v>15</v>
      </c>
      <c r="AD5000" s="4">
        <v>30</v>
      </c>
      <c r="AE5000" s="4">
        <v>107</v>
      </c>
      <c r="AF5000" s="4">
        <v>1</v>
      </c>
      <c r="AG5000" s="4">
        <v>8</v>
      </c>
      <c r="AH5000" s="4">
        <v>22</v>
      </c>
      <c r="AI5000" s="4">
        <v>73</v>
      </c>
      <c r="AJ5000" s="4">
        <v>12</v>
      </c>
      <c r="AK5000" s="4">
        <v>23</v>
      </c>
      <c r="AL5000" s="4">
        <v>15</v>
      </c>
      <c r="AM5000" s="4">
        <v>37</v>
      </c>
      <c r="AN5000" s="4">
        <v>0</v>
      </c>
      <c r="AO5000" s="4">
        <v>0</v>
      </c>
      <c r="AP5000" s="4">
        <v>12</v>
      </c>
      <c r="AQ5000" s="4">
        <v>42</v>
      </c>
      <c r="AR5000" s="3" t="s">
        <v>62</v>
      </c>
      <c r="AS5000" s="3" t="s">
        <v>62</v>
      </c>
      <c r="AT5000" s="3" t="s">
        <v>62</v>
      </c>
      <c r="AV5000" s="6" t="str">
        <f>HYPERLINK("http://mcgill.on.worldcat.org/oclc/795020540","Catalog Record")</f>
        <v>Catalog Record</v>
      </c>
      <c r="AW5000" s="6" t="str">
        <f>HYPERLINK("http://www.worldcat.org/oclc/795020540","WorldCat Record")</f>
        <v>WorldCat Record</v>
      </c>
      <c r="AX5000" s="3" t="s">
        <v>47912</v>
      </c>
      <c r="AY5000" s="3" t="s">
        <v>47913</v>
      </c>
      <c r="AZ5000" s="3" t="s">
        <v>47914</v>
      </c>
      <c r="BA5000" s="3" t="s">
        <v>47914</v>
      </c>
      <c r="BB5000" s="3" t="s">
        <v>47915</v>
      </c>
      <c r="BC5000" s="3" t="s">
        <v>142</v>
      </c>
      <c r="BD5000" s="3" t="s">
        <v>68</v>
      </c>
      <c r="BE5000" s="3" t="s">
        <v>47916</v>
      </c>
      <c r="BF5000" s="3" t="s">
        <v>47915</v>
      </c>
      <c r="BG5000" s="3" t="s">
        <v>47917</v>
      </c>
    </row>
    <row r="5001" spans="1:59" ht="57" x14ac:dyDescent="0.45">
      <c r="A5001" s="2" t="s">
        <v>59</v>
      </c>
      <c r="B5001" s="2" t="s">
        <v>60</v>
      </c>
      <c r="C5001" s="2" t="s">
        <v>47918</v>
      </c>
      <c r="D5001" s="2" t="s">
        <v>47919</v>
      </c>
      <c r="E5001" s="2" t="s">
        <v>47920</v>
      </c>
      <c r="G5001" s="3" t="s">
        <v>62</v>
      </c>
      <c r="I5001" s="3" t="s">
        <v>62</v>
      </c>
      <c r="J5001" s="3" t="s">
        <v>62</v>
      </c>
      <c r="K5001" s="3" t="s">
        <v>63</v>
      </c>
      <c r="L5001" s="2" t="s">
        <v>47921</v>
      </c>
      <c r="M5001" s="2" t="s">
        <v>47922</v>
      </c>
      <c r="N5001" s="3" t="s">
        <v>1437</v>
      </c>
      <c r="P5001" s="3" t="s">
        <v>65</v>
      </c>
      <c r="R5001" s="3" t="s">
        <v>66</v>
      </c>
      <c r="S5001" s="4">
        <v>37</v>
      </c>
      <c r="T5001" s="4">
        <v>37</v>
      </c>
      <c r="U5001" s="5" t="s">
        <v>47923</v>
      </c>
      <c r="V5001" s="5" t="s">
        <v>47923</v>
      </c>
      <c r="W5001" s="5" t="s">
        <v>67</v>
      </c>
      <c r="X5001" s="5" t="s">
        <v>67</v>
      </c>
      <c r="Y5001" s="4">
        <v>994</v>
      </c>
      <c r="Z5001" s="4">
        <v>35</v>
      </c>
      <c r="AA5001" s="4">
        <v>54</v>
      </c>
      <c r="AB5001" s="4">
        <v>2</v>
      </c>
      <c r="AC5001" s="4">
        <v>6</v>
      </c>
      <c r="AD5001" s="4">
        <v>110</v>
      </c>
      <c r="AE5001" s="4">
        <v>122</v>
      </c>
      <c r="AF5001" s="4">
        <v>1</v>
      </c>
      <c r="AG5001" s="4">
        <v>3</v>
      </c>
      <c r="AH5001" s="4">
        <v>94</v>
      </c>
      <c r="AI5001" s="4">
        <v>99</v>
      </c>
      <c r="AJ5001" s="4">
        <v>17</v>
      </c>
      <c r="AK5001" s="4">
        <v>21</v>
      </c>
      <c r="AL5001" s="4">
        <v>52</v>
      </c>
      <c r="AM5001" s="4">
        <v>52</v>
      </c>
      <c r="AN5001" s="4">
        <v>0</v>
      </c>
      <c r="AO5001" s="4">
        <v>0</v>
      </c>
      <c r="AP5001" s="4">
        <v>21</v>
      </c>
      <c r="AQ5001" s="4">
        <v>29</v>
      </c>
      <c r="AR5001" s="3" t="s">
        <v>62</v>
      </c>
      <c r="AS5001" s="3" t="s">
        <v>62</v>
      </c>
      <c r="AT5001" s="3" t="s">
        <v>61</v>
      </c>
      <c r="AU5001" s="6" t="str">
        <f>HYPERLINK("http://catalog.hathitrust.org/Record/004006247","HathiTrust Record")</f>
        <v>HathiTrust Record</v>
      </c>
      <c r="AV5001" s="6" t="str">
        <f>HYPERLINK("http://mcgill.on.worldcat.org/oclc/39093593","Catalog Record")</f>
        <v>Catalog Record</v>
      </c>
      <c r="AW5001" s="6" t="str">
        <f>HYPERLINK("http://www.worldcat.org/oclc/39093593","WorldCat Record")</f>
        <v>WorldCat Record</v>
      </c>
      <c r="AX5001" s="3" t="s">
        <v>47924</v>
      </c>
      <c r="AY5001" s="3" t="s">
        <v>47925</v>
      </c>
      <c r="AZ5001" s="3" t="s">
        <v>47926</v>
      </c>
      <c r="BA5001" s="3" t="s">
        <v>47926</v>
      </c>
      <c r="BB5001" s="3" t="s">
        <v>47927</v>
      </c>
      <c r="BC5001" s="3" t="s">
        <v>142</v>
      </c>
      <c r="BD5001" s="3" t="s">
        <v>68</v>
      </c>
      <c r="BE5001" s="3" t="s">
        <v>47928</v>
      </c>
      <c r="BF5001" s="3" t="s">
        <v>47927</v>
      </c>
      <c r="BG5001" s="3" t="s">
        <v>47929</v>
      </c>
    </row>
    <row r="5002" spans="1:59" ht="57" x14ac:dyDescent="0.45">
      <c r="A5002" s="2" t="s">
        <v>59</v>
      </c>
      <c r="B5002" s="2" t="s">
        <v>60</v>
      </c>
      <c r="C5002" s="2" t="s">
        <v>47930</v>
      </c>
      <c r="D5002" s="2" t="s">
        <v>47931</v>
      </c>
      <c r="E5002" s="2" t="s">
        <v>47932</v>
      </c>
      <c r="G5002" s="3" t="s">
        <v>62</v>
      </c>
      <c r="I5002" s="3" t="s">
        <v>62</v>
      </c>
      <c r="J5002" s="3" t="s">
        <v>61</v>
      </c>
      <c r="K5002" s="3" t="s">
        <v>63</v>
      </c>
      <c r="L5002" s="2" t="s">
        <v>47933</v>
      </c>
      <c r="M5002" s="2" t="s">
        <v>47934</v>
      </c>
      <c r="N5002" s="3" t="s">
        <v>181</v>
      </c>
      <c r="O5002" s="2" t="s">
        <v>3280</v>
      </c>
      <c r="P5002" s="3" t="s">
        <v>65</v>
      </c>
      <c r="R5002" s="3" t="s">
        <v>66</v>
      </c>
      <c r="S5002" s="4">
        <v>3</v>
      </c>
      <c r="T5002" s="4">
        <v>3</v>
      </c>
      <c r="U5002" s="5" t="s">
        <v>25549</v>
      </c>
      <c r="V5002" s="5" t="s">
        <v>25549</v>
      </c>
      <c r="W5002" s="5" t="s">
        <v>67</v>
      </c>
      <c r="X5002" s="5" t="s">
        <v>67</v>
      </c>
      <c r="Y5002" s="4">
        <v>36</v>
      </c>
      <c r="Z5002" s="4">
        <v>3</v>
      </c>
      <c r="AA5002" s="4">
        <v>51</v>
      </c>
      <c r="AB5002" s="4">
        <v>2</v>
      </c>
      <c r="AC5002" s="4">
        <v>8</v>
      </c>
      <c r="AD5002" s="4">
        <v>12</v>
      </c>
      <c r="AE5002" s="4">
        <v>123</v>
      </c>
      <c r="AF5002" s="4">
        <v>1</v>
      </c>
      <c r="AG5002" s="4">
        <v>4</v>
      </c>
      <c r="AH5002" s="4">
        <v>9</v>
      </c>
      <c r="AI5002" s="4">
        <v>101</v>
      </c>
      <c r="AJ5002" s="4">
        <v>2</v>
      </c>
      <c r="AK5002" s="4">
        <v>21</v>
      </c>
      <c r="AL5002" s="4">
        <v>8</v>
      </c>
      <c r="AM5002" s="4">
        <v>55</v>
      </c>
      <c r="AN5002" s="4">
        <v>0</v>
      </c>
      <c r="AO5002" s="4">
        <v>0</v>
      </c>
      <c r="AP5002" s="4">
        <v>2</v>
      </c>
      <c r="AQ5002" s="4">
        <v>27</v>
      </c>
      <c r="AR5002" s="3" t="s">
        <v>62</v>
      </c>
      <c r="AS5002" s="3" t="s">
        <v>62</v>
      </c>
      <c r="AT5002" s="3" t="s">
        <v>62</v>
      </c>
      <c r="AV5002" s="6" t="str">
        <f>HYPERLINK("http://mcgill.on.worldcat.org/oclc/858358958","Catalog Record")</f>
        <v>Catalog Record</v>
      </c>
      <c r="AW5002" s="6" t="str">
        <f>HYPERLINK("http://www.worldcat.org/oclc/858358958","WorldCat Record")</f>
        <v>WorldCat Record</v>
      </c>
      <c r="AX5002" s="3" t="s">
        <v>47935</v>
      </c>
      <c r="AY5002" s="3" t="s">
        <v>47936</v>
      </c>
      <c r="AZ5002" s="3" t="s">
        <v>47937</v>
      </c>
      <c r="BA5002" s="3" t="s">
        <v>47937</v>
      </c>
      <c r="BB5002" s="3" t="s">
        <v>47938</v>
      </c>
      <c r="BC5002" s="3" t="s">
        <v>142</v>
      </c>
      <c r="BD5002" s="3" t="s">
        <v>68</v>
      </c>
      <c r="BE5002" s="3" t="s">
        <v>47939</v>
      </c>
      <c r="BF5002" s="3" t="s">
        <v>47938</v>
      </c>
      <c r="BG5002" s="3" t="s">
        <v>47940</v>
      </c>
    </row>
    <row r="5003" spans="1:59" ht="57" x14ac:dyDescent="0.45">
      <c r="A5003" s="2" t="s">
        <v>59</v>
      </c>
      <c r="B5003" s="2" t="s">
        <v>60</v>
      </c>
      <c r="C5003" s="2" t="s">
        <v>47941</v>
      </c>
      <c r="D5003" s="2" t="s">
        <v>47942</v>
      </c>
      <c r="E5003" s="2" t="s">
        <v>47943</v>
      </c>
      <c r="G5003" s="3" t="s">
        <v>62</v>
      </c>
      <c r="I5003" s="3" t="s">
        <v>62</v>
      </c>
      <c r="J5003" s="3" t="s">
        <v>62</v>
      </c>
      <c r="K5003" s="3" t="s">
        <v>63</v>
      </c>
      <c r="L5003" s="2" t="s">
        <v>47944</v>
      </c>
      <c r="M5003" s="2" t="s">
        <v>47945</v>
      </c>
      <c r="N5003" s="3" t="s">
        <v>555</v>
      </c>
      <c r="P5003" s="3" t="s">
        <v>65</v>
      </c>
      <c r="Q5003" s="2" t="s">
        <v>47946</v>
      </c>
      <c r="R5003" s="3" t="s">
        <v>66</v>
      </c>
      <c r="S5003" s="4">
        <v>13</v>
      </c>
      <c r="T5003" s="4">
        <v>13</v>
      </c>
      <c r="U5003" s="5" t="s">
        <v>438</v>
      </c>
      <c r="V5003" s="5" t="s">
        <v>438</v>
      </c>
      <c r="W5003" s="5" t="s">
        <v>67</v>
      </c>
      <c r="X5003" s="5" t="s">
        <v>67</v>
      </c>
      <c r="Y5003" s="4">
        <v>487</v>
      </c>
      <c r="Z5003" s="4">
        <v>28</v>
      </c>
      <c r="AA5003" s="4">
        <v>33</v>
      </c>
      <c r="AB5003" s="4">
        <v>1</v>
      </c>
      <c r="AC5003" s="4">
        <v>6</v>
      </c>
      <c r="AD5003" s="4">
        <v>116</v>
      </c>
      <c r="AE5003" s="4">
        <v>120</v>
      </c>
      <c r="AF5003" s="4">
        <v>0</v>
      </c>
      <c r="AG5003" s="4">
        <v>4</v>
      </c>
      <c r="AH5003" s="4">
        <v>99</v>
      </c>
      <c r="AI5003" s="4">
        <v>100</v>
      </c>
      <c r="AJ5003" s="4">
        <v>17</v>
      </c>
      <c r="AK5003" s="4">
        <v>21</v>
      </c>
      <c r="AL5003" s="4">
        <v>54</v>
      </c>
      <c r="AM5003" s="4">
        <v>54</v>
      </c>
      <c r="AN5003" s="4">
        <v>0</v>
      </c>
      <c r="AO5003" s="4">
        <v>0</v>
      </c>
      <c r="AP5003" s="4">
        <v>24</v>
      </c>
      <c r="AQ5003" s="4">
        <v>27</v>
      </c>
      <c r="AR5003" s="3" t="s">
        <v>62</v>
      </c>
      <c r="AS5003" s="3" t="s">
        <v>62</v>
      </c>
      <c r="AT5003" s="3" t="s">
        <v>62</v>
      </c>
      <c r="AV5003" s="6" t="str">
        <f>HYPERLINK("http://mcgill.on.worldcat.org/oclc/591610","Catalog Record")</f>
        <v>Catalog Record</v>
      </c>
      <c r="AW5003" s="6" t="str">
        <f>HYPERLINK("http://www.worldcat.org/oclc/591610","WorldCat Record")</f>
        <v>WorldCat Record</v>
      </c>
      <c r="AX5003" s="3" t="s">
        <v>47947</v>
      </c>
      <c r="AY5003" s="3" t="s">
        <v>47948</v>
      </c>
      <c r="AZ5003" s="3" t="s">
        <v>47949</v>
      </c>
      <c r="BA5003" s="3" t="s">
        <v>47949</v>
      </c>
      <c r="BB5003" s="3" t="s">
        <v>47950</v>
      </c>
      <c r="BC5003" s="3" t="s">
        <v>142</v>
      </c>
      <c r="BD5003" s="3" t="s">
        <v>68</v>
      </c>
      <c r="BE5003" s="3" t="s">
        <v>47951</v>
      </c>
      <c r="BF5003" s="3" t="s">
        <v>47950</v>
      </c>
      <c r="BG5003" s="3" t="s">
        <v>47952</v>
      </c>
    </row>
    <row r="5004" spans="1:59" ht="71.25" x14ac:dyDescent="0.45">
      <c r="A5004" s="2" t="s">
        <v>59</v>
      </c>
      <c r="B5004" s="2" t="s">
        <v>60</v>
      </c>
      <c r="C5004" s="2" t="s">
        <v>47953</v>
      </c>
      <c r="D5004" s="2" t="s">
        <v>47954</v>
      </c>
      <c r="E5004" s="2" t="s">
        <v>47955</v>
      </c>
      <c r="F5004" s="3" t="s">
        <v>47956</v>
      </c>
      <c r="G5004" s="3" t="s">
        <v>61</v>
      </c>
      <c r="I5004" s="3" t="s">
        <v>62</v>
      </c>
      <c r="J5004" s="3" t="s">
        <v>62</v>
      </c>
      <c r="K5004" s="3" t="s">
        <v>63</v>
      </c>
      <c r="M5004" s="2" t="s">
        <v>47957</v>
      </c>
      <c r="N5004" s="3" t="s">
        <v>480</v>
      </c>
      <c r="P5004" s="3" t="s">
        <v>110</v>
      </c>
      <c r="Q5004" s="2" t="s">
        <v>47958</v>
      </c>
      <c r="R5004" s="3" t="s">
        <v>66</v>
      </c>
      <c r="S5004" s="4">
        <v>3</v>
      </c>
      <c r="T5004" s="4">
        <v>3</v>
      </c>
      <c r="U5004" s="5" t="s">
        <v>1268</v>
      </c>
      <c r="V5004" s="5" t="s">
        <v>1268</v>
      </c>
      <c r="W5004" s="5" t="s">
        <v>67</v>
      </c>
      <c r="X5004" s="5" t="s">
        <v>67</v>
      </c>
      <c r="Y5004" s="4">
        <v>18</v>
      </c>
      <c r="Z5004" s="4">
        <v>15</v>
      </c>
      <c r="AA5004" s="4">
        <v>15</v>
      </c>
      <c r="AB5004" s="4">
        <v>1</v>
      </c>
      <c r="AC5004" s="4">
        <v>1</v>
      </c>
      <c r="AD5004" s="4">
        <v>13</v>
      </c>
      <c r="AE5004" s="4">
        <v>13</v>
      </c>
      <c r="AF5004" s="4">
        <v>0</v>
      </c>
      <c r="AG5004" s="4">
        <v>0</v>
      </c>
      <c r="AH5004" s="4">
        <v>9</v>
      </c>
      <c r="AI5004" s="4">
        <v>9</v>
      </c>
      <c r="AJ5004" s="4">
        <v>12</v>
      </c>
      <c r="AK5004" s="4">
        <v>12</v>
      </c>
      <c r="AL5004" s="4">
        <v>1</v>
      </c>
      <c r="AM5004" s="4">
        <v>1</v>
      </c>
      <c r="AN5004" s="4">
        <v>0</v>
      </c>
      <c r="AO5004" s="4">
        <v>0</v>
      </c>
      <c r="AP5004" s="4">
        <v>12</v>
      </c>
      <c r="AQ5004" s="4">
        <v>12</v>
      </c>
      <c r="AR5004" s="3" t="s">
        <v>61</v>
      </c>
      <c r="AS5004" s="3" t="s">
        <v>62</v>
      </c>
      <c r="AT5004" s="3" t="s">
        <v>61</v>
      </c>
      <c r="AU5004" s="6" t="str">
        <f>HYPERLINK("http://catalog.hathitrust.org/Record/000804655","HathiTrust Record")</f>
        <v>HathiTrust Record</v>
      </c>
      <c r="AV5004" s="6" t="str">
        <f>HYPERLINK("http://mcgill.on.worldcat.org/oclc/426957090","Catalog Record")</f>
        <v>Catalog Record</v>
      </c>
      <c r="AW5004" s="6" t="str">
        <f>HYPERLINK("http://www.worldcat.org/oclc/426957090","WorldCat Record")</f>
        <v>WorldCat Record</v>
      </c>
      <c r="AX5004" s="3" t="s">
        <v>47959</v>
      </c>
      <c r="AY5004" s="3" t="s">
        <v>47960</v>
      </c>
      <c r="AZ5004" s="3" t="s">
        <v>47961</v>
      </c>
      <c r="BA5004" s="3" t="s">
        <v>47961</v>
      </c>
      <c r="BB5004" s="3" t="s">
        <v>47962</v>
      </c>
      <c r="BC5004" s="3" t="s">
        <v>142</v>
      </c>
      <c r="BD5004" s="3" t="s">
        <v>68</v>
      </c>
      <c r="BE5004" s="3" t="s">
        <v>47963</v>
      </c>
      <c r="BF5004" s="3" t="s">
        <v>47962</v>
      </c>
      <c r="BG5004" s="3" t="s">
        <v>47964</v>
      </c>
    </row>
    <row r="5005" spans="1:59" ht="71.25" x14ac:dyDescent="0.45">
      <c r="A5005" s="2" t="s">
        <v>59</v>
      </c>
      <c r="B5005" s="2" t="s">
        <v>60</v>
      </c>
      <c r="C5005" s="2" t="s">
        <v>47953</v>
      </c>
      <c r="D5005" s="2" t="s">
        <v>47954</v>
      </c>
      <c r="E5005" s="2" t="s">
        <v>47955</v>
      </c>
      <c r="F5005" s="3" t="s">
        <v>47965</v>
      </c>
      <c r="G5005" s="3" t="s">
        <v>61</v>
      </c>
      <c r="I5005" s="3" t="s">
        <v>62</v>
      </c>
      <c r="J5005" s="3" t="s">
        <v>62</v>
      </c>
      <c r="K5005" s="3" t="s">
        <v>63</v>
      </c>
      <c r="M5005" s="2" t="s">
        <v>47957</v>
      </c>
      <c r="N5005" s="3" t="s">
        <v>480</v>
      </c>
      <c r="P5005" s="3" t="s">
        <v>110</v>
      </c>
      <c r="Q5005" s="2" t="s">
        <v>47958</v>
      </c>
      <c r="R5005" s="3" t="s">
        <v>66</v>
      </c>
      <c r="S5005" s="4">
        <v>0</v>
      </c>
      <c r="T5005" s="4">
        <v>3</v>
      </c>
      <c r="V5005" s="5" t="s">
        <v>1268</v>
      </c>
      <c r="W5005" s="5" t="s">
        <v>67</v>
      </c>
      <c r="X5005" s="5" t="s">
        <v>67</v>
      </c>
      <c r="Y5005" s="4">
        <v>18</v>
      </c>
      <c r="Z5005" s="4">
        <v>15</v>
      </c>
      <c r="AA5005" s="4">
        <v>15</v>
      </c>
      <c r="AB5005" s="4">
        <v>1</v>
      </c>
      <c r="AC5005" s="4">
        <v>1</v>
      </c>
      <c r="AD5005" s="4">
        <v>13</v>
      </c>
      <c r="AE5005" s="4">
        <v>13</v>
      </c>
      <c r="AF5005" s="4">
        <v>0</v>
      </c>
      <c r="AG5005" s="4">
        <v>0</v>
      </c>
      <c r="AH5005" s="4">
        <v>9</v>
      </c>
      <c r="AI5005" s="4">
        <v>9</v>
      </c>
      <c r="AJ5005" s="4">
        <v>12</v>
      </c>
      <c r="AK5005" s="4">
        <v>12</v>
      </c>
      <c r="AL5005" s="4">
        <v>1</v>
      </c>
      <c r="AM5005" s="4">
        <v>1</v>
      </c>
      <c r="AN5005" s="4">
        <v>0</v>
      </c>
      <c r="AO5005" s="4">
        <v>0</v>
      </c>
      <c r="AP5005" s="4">
        <v>12</v>
      </c>
      <c r="AQ5005" s="4">
        <v>12</v>
      </c>
      <c r="AR5005" s="3" t="s">
        <v>61</v>
      </c>
      <c r="AS5005" s="3" t="s">
        <v>62</v>
      </c>
      <c r="AT5005" s="3" t="s">
        <v>61</v>
      </c>
      <c r="AU5005" s="6" t="str">
        <f>HYPERLINK("http://catalog.hathitrust.org/Record/000804655","HathiTrust Record")</f>
        <v>HathiTrust Record</v>
      </c>
      <c r="AV5005" s="6" t="str">
        <f>HYPERLINK("http://mcgill.on.worldcat.org/oclc/426957090","Catalog Record")</f>
        <v>Catalog Record</v>
      </c>
      <c r="AW5005" s="6" t="str">
        <f>HYPERLINK("http://www.worldcat.org/oclc/426957090","WorldCat Record")</f>
        <v>WorldCat Record</v>
      </c>
      <c r="AX5005" s="3" t="s">
        <v>47959</v>
      </c>
      <c r="AY5005" s="3" t="s">
        <v>47960</v>
      </c>
      <c r="AZ5005" s="3" t="s">
        <v>47961</v>
      </c>
      <c r="BA5005" s="3" t="s">
        <v>47961</v>
      </c>
      <c r="BB5005" s="3" t="s">
        <v>47966</v>
      </c>
      <c r="BC5005" s="3" t="s">
        <v>142</v>
      </c>
      <c r="BD5005" s="3" t="s">
        <v>68</v>
      </c>
      <c r="BE5005" s="3" t="s">
        <v>47963</v>
      </c>
      <c r="BF5005" s="3" t="s">
        <v>47966</v>
      </c>
      <c r="BG5005" s="3" t="s">
        <v>47967</v>
      </c>
    </row>
    <row r="5006" spans="1:59" ht="57" x14ac:dyDescent="0.45">
      <c r="A5006" s="2" t="s">
        <v>927</v>
      </c>
      <c r="B5006" s="2" t="s">
        <v>928</v>
      </c>
      <c r="C5006" s="2" t="s">
        <v>47968</v>
      </c>
      <c r="D5006" s="2" t="s">
        <v>47969</v>
      </c>
      <c r="E5006" s="2" t="s">
        <v>47970</v>
      </c>
      <c r="G5006" s="3" t="s">
        <v>62</v>
      </c>
      <c r="I5006" s="3" t="s">
        <v>62</v>
      </c>
      <c r="J5006" s="3" t="s">
        <v>62</v>
      </c>
      <c r="K5006" s="3" t="s">
        <v>63</v>
      </c>
      <c r="L5006" s="2" t="s">
        <v>995</v>
      </c>
      <c r="M5006" s="2" t="s">
        <v>12768</v>
      </c>
      <c r="N5006" s="3" t="s">
        <v>1478</v>
      </c>
      <c r="P5006" s="3" t="s">
        <v>65</v>
      </c>
      <c r="R5006" s="3" t="s">
        <v>66</v>
      </c>
      <c r="S5006" s="4">
        <v>5</v>
      </c>
      <c r="T5006" s="4">
        <v>5</v>
      </c>
      <c r="U5006" s="5" t="s">
        <v>1381</v>
      </c>
      <c r="V5006" s="5" t="s">
        <v>1381</v>
      </c>
      <c r="W5006" s="5" t="s">
        <v>67</v>
      </c>
      <c r="X5006" s="5" t="s">
        <v>67</v>
      </c>
      <c r="Y5006" s="4">
        <v>473</v>
      </c>
      <c r="Z5006" s="4">
        <v>20</v>
      </c>
      <c r="AA5006" s="4">
        <v>64</v>
      </c>
      <c r="AB5006" s="4">
        <v>2</v>
      </c>
      <c r="AC5006" s="4">
        <v>18</v>
      </c>
      <c r="AD5006" s="4">
        <v>97</v>
      </c>
      <c r="AE5006" s="4">
        <v>133</v>
      </c>
      <c r="AF5006" s="4">
        <v>1</v>
      </c>
      <c r="AG5006" s="4">
        <v>8</v>
      </c>
      <c r="AH5006" s="4">
        <v>87</v>
      </c>
      <c r="AI5006" s="4">
        <v>92</v>
      </c>
      <c r="AJ5006" s="4">
        <v>14</v>
      </c>
      <c r="AK5006" s="4">
        <v>23</v>
      </c>
      <c r="AL5006" s="4">
        <v>47</v>
      </c>
      <c r="AM5006" s="4">
        <v>48</v>
      </c>
      <c r="AN5006" s="4">
        <v>0</v>
      </c>
      <c r="AO5006" s="4">
        <v>0</v>
      </c>
      <c r="AP5006" s="4">
        <v>16</v>
      </c>
      <c r="AQ5006" s="4">
        <v>48</v>
      </c>
      <c r="AR5006" s="3" t="s">
        <v>62</v>
      </c>
      <c r="AS5006" s="3" t="s">
        <v>62</v>
      </c>
      <c r="AT5006" s="3" t="s">
        <v>61</v>
      </c>
      <c r="AU5006" s="6" t="str">
        <f>HYPERLINK("http://catalog.hathitrust.org/Record/003045194","HathiTrust Record")</f>
        <v>HathiTrust Record</v>
      </c>
      <c r="AV5006" s="6" t="str">
        <f>HYPERLINK("http://mcgill.on.worldcat.org/oclc/32508753","Catalog Record")</f>
        <v>Catalog Record</v>
      </c>
      <c r="AW5006" s="6" t="str">
        <f>HYPERLINK("http://www.worldcat.org/oclc/32508753","WorldCat Record")</f>
        <v>WorldCat Record</v>
      </c>
      <c r="AX5006" s="3" t="s">
        <v>47971</v>
      </c>
      <c r="AY5006" s="3" t="s">
        <v>47972</v>
      </c>
      <c r="AZ5006" s="3" t="s">
        <v>47973</v>
      </c>
      <c r="BA5006" s="3" t="s">
        <v>47973</v>
      </c>
      <c r="BB5006" s="3" t="s">
        <v>47974</v>
      </c>
      <c r="BC5006" s="3" t="s">
        <v>142</v>
      </c>
      <c r="BD5006" s="3" t="s">
        <v>68</v>
      </c>
      <c r="BE5006" s="3" t="s">
        <v>47975</v>
      </c>
      <c r="BF5006" s="3" t="s">
        <v>47974</v>
      </c>
      <c r="BG5006" s="3" t="s">
        <v>47976</v>
      </c>
    </row>
    <row r="5007" spans="1:59" ht="57" x14ac:dyDescent="0.45">
      <c r="A5007" s="2" t="s">
        <v>59</v>
      </c>
      <c r="B5007" s="2" t="s">
        <v>60</v>
      </c>
      <c r="C5007" s="2" t="s">
        <v>47977</v>
      </c>
      <c r="D5007" s="2" t="s">
        <v>47978</v>
      </c>
      <c r="E5007" s="2" t="s">
        <v>47979</v>
      </c>
      <c r="G5007" s="3" t="s">
        <v>62</v>
      </c>
      <c r="I5007" s="3" t="s">
        <v>62</v>
      </c>
      <c r="J5007" s="3" t="s">
        <v>62</v>
      </c>
      <c r="K5007" s="3" t="s">
        <v>63</v>
      </c>
      <c r="L5007" s="2" t="s">
        <v>32289</v>
      </c>
      <c r="M5007" s="2" t="s">
        <v>46050</v>
      </c>
      <c r="N5007" s="3" t="s">
        <v>1224</v>
      </c>
      <c r="P5007" s="3" t="s">
        <v>65</v>
      </c>
      <c r="R5007" s="3" t="s">
        <v>66</v>
      </c>
      <c r="S5007" s="4">
        <v>11</v>
      </c>
      <c r="T5007" s="4">
        <v>11</v>
      </c>
      <c r="U5007" s="5" t="s">
        <v>26916</v>
      </c>
      <c r="V5007" s="5" t="s">
        <v>26916</v>
      </c>
      <c r="W5007" s="5" t="s">
        <v>67</v>
      </c>
      <c r="X5007" s="5" t="s">
        <v>67</v>
      </c>
      <c r="Y5007" s="4">
        <v>473</v>
      </c>
      <c r="Z5007" s="4">
        <v>27</v>
      </c>
      <c r="AA5007" s="4">
        <v>33</v>
      </c>
      <c r="AB5007" s="4">
        <v>3</v>
      </c>
      <c r="AC5007" s="4">
        <v>6</v>
      </c>
      <c r="AD5007" s="4">
        <v>115</v>
      </c>
      <c r="AE5007" s="4">
        <v>121</v>
      </c>
      <c r="AF5007" s="4">
        <v>2</v>
      </c>
      <c r="AG5007" s="4">
        <v>5</v>
      </c>
      <c r="AH5007" s="4">
        <v>101</v>
      </c>
      <c r="AI5007" s="4">
        <v>102</v>
      </c>
      <c r="AJ5007" s="4">
        <v>18</v>
      </c>
      <c r="AK5007" s="4">
        <v>23</v>
      </c>
      <c r="AL5007" s="4">
        <v>57</v>
      </c>
      <c r="AM5007" s="4">
        <v>57</v>
      </c>
      <c r="AN5007" s="4">
        <v>0</v>
      </c>
      <c r="AO5007" s="4">
        <v>0</v>
      </c>
      <c r="AP5007" s="4">
        <v>23</v>
      </c>
      <c r="AQ5007" s="4">
        <v>28</v>
      </c>
      <c r="AR5007" s="3" t="s">
        <v>62</v>
      </c>
      <c r="AS5007" s="3" t="s">
        <v>62</v>
      </c>
      <c r="AT5007" s="3" t="s">
        <v>61</v>
      </c>
      <c r="AU5007" s="6" t="str">
        <f>HYPERLINK("http://catalog.hathitrust.org/Record/004428883","HathiTrust Record")</f>
        <v>HathiTrust Record</v>
      </c>
      <c r="AV5007" s="6" t="str">
        <f>HYPERLINK("http://mcgill.on.worldcat.org/oclc/886165","Catalog Record")</f>
        <v>Catalog Record</v>
      </c>
      <c r="AW5007" s="6" t="str">
        <f>HYPERLINK("http://www.worldcat.org/oclc/886165","WorldCat Record")</f>
        <v>WorldCat Record</v>
      </c>
      <c r="AX5007" s="3" t="s">
        <v>47980</v>
      </c>
      <c r="AY5007" s="3" t="s">
        <v>47981</v>
      </c>
      <c r="AZ5007" s="3" t="s">
        <v>47982</v>
      </c>
      <c r="BA5007" s="3" t="s">
        <v>47982</v>
      </c>
      <c r="BB5007" s="3" t="s">
        <v>47983</v>
      </c>
      <c r="BC5007" s="3" t="s">
        <v>142</v>
      </c>
      <c r="BD5007" s="3" t="s">
        <v>68</v>
      </c>
      <c r="BE5007" s="3" t="s">
        <v>47984</v>
      </c>
      <c r="BF5007" s="3" t="s">
        <v>47983</v>
      </c>
      <c r="BG5007" s="3" t="s">
        <v>47985</v>
      </c>
    </row>
    <row r="5008" spans="1:59" ht="57" x14ac:dyDescent="0.45">
      <c r="A5008" s="2" t="s">
        <v>59</v>
      </c>
      <c r="B5008" s="2" t="s">
        <v>60</v>
      </c>
      <c r="C5008" s="2" t="s">
        <v>47986</v>
      </c>
      <c r="D5008" s="2" t="s">
        <v>47987</v>
      </c>
      <c r="E5008" s="2" t="s">
        <v>47988</v>
      </c>
      <c r="G5008" s="3" t="s">
        <v>62</v>
      </c>
      <c r="I5008" s="3" t="s">
        <v>62</v>
      </c>
      <c r="J5008" s="3" t="s">
        <v>62</v>
      </c>
      <c r="K5008" s="3" t="s">
        <v>63</v>
      </c>
      <c r="L5008" s="2" t="s">
        <v>47989</v>
      </c>
      <c r="M5008" s="2" t="s">
        <v>47990</v>
      </c>
      <c r="N5008" s="3" t="s">
        <v>1604</v>
      </c>
      <c r="P5008" s="3" t="s">
        <v>65</v>
      </c>
      <c r="Q5008" s="2" t="s">
        <v>47991</v>
      </c>
      <c r="R5008" s="3" t="s">
        <v>66</v>
      </c>
      <c r="S5008" s="4">
        <v>11</v>
      </c>
      <c r="T5008" s="4">
        <v>11</v>
      </c>
      <c r="U5008" s="5" t="s">
        <v>13846</v>
      </c>
      <c r="V5008" s="5" t="s">
        <v>13846</v>
      </c>
      <c r="W5008" s="5" t="s">
        <v>67</v>
      </c>
      <c r="X5008" s="5" t="s">
        <v>67</v>
      </c>
      <c r="Y5008" s="4">
        <v>278</v>
      </c>
      <c r="Z5008" s="4">
        <v>22</v>
      </c>
      <c r="AA5008" s="4">
        <v>24</v>
      </c>
      <c r="AB5008" s="4">
        <v>1</v>
      </c>
      <c r="AC5008" s="4">
        <v>3</v>
      </c>
      <c r="AD5008" s="4">
        <v>108</v>
      </c>
      <c r="AE5008" s="4">
        <v>110</v>
      </c>
      <c r="AF5008" s="4">
        <v>0</v>
      </c>
      <c r="AG5008" s="4">
        <v>2</v>
      </c>
      <c r="AH5008" s="4">
        <v>96</v>
      </c>
      <c r="AI5008" s="4">
        <v>97</v>
      </c>
      <c r="AJ5008" s="4">
        <v>16</v>
      </c>
      <c r="AK5008" s="4">
        <v>18</v>
      </c>
      <c r="AL5008" s="4">
        <v>55</v>
      </c>
      <c r="AM5008" s="4">
        <v>55</v>
      </c>
      <c r="AN5008" s="4">
        <v>0</v>
      </c>
      <c r="AO5008" s="4">
        <v>0</v>
      </c>
      <c r="AP5008" s="4">
        <v>16</v>
      </c>
      <c r="AQ5008" s="4">
        <v>18</v>
      </c>
      <c r="AR5008" s="3" t="s">
        <v>62</v>
      </c>
      <c r="AS5008" s="3" t="s">
        <v>62</v>
      </c>
      <c r="AT5008" s="3" t="s">
        <v>62</v>
      </c>
      <c r="AV5008" s="6" t="str">
        <f>HYPERLINK("http://mcgill.on.worldcat.org/oclc/28291204","Catalog Record")</f>
        <v>Catalog Record</v>
      </c>
      <c r="AW5008" s="6" t="str">
        <f>HYPERLINK("http://www.worldcat.org/oclc/28291204","WorldCat Record")</f>
        <v>WorldCat Record</v>
      </c>
      <c r="AX5008" s="3" t="s">
        <v>47992</v>
      </c>
      <c r="AY5008" s="3" t="s">
        <v>47993</v>
      </c>
      <c r="AZ5008" s="3" t="s">
        <v>47994</v>
      </c>
      <c r="BA5008" s="3" t="s">
        <v>47994</v>
      </c>
      <c r="BB5008" s="3" t="s">
        <v>47995</v>
      </c>
      <c r="BC5008" s="3" t="s">
        <v>142</v>
      </c>
      <c r="BD5008" s="3" t="s">
        <v>68</v>
      </c>
      <c r="BE5008" s="3" t="s">
        <v>47996</v>
      </c>
      <c r="BF5008" s="3" t="s">
        <v>47995</v>
      </c>
      <c r="BG5008" s="3" t="s">
        <v>47997</v>
      </c>
    </row>
    <row r="5009" spans="1:59" ht="57" x14ac:dyDescent="0.45">
      <c r="A5009" s="2" t="s">
        <v>59</v>
      </c>
      <c r="B5009" s="2" t="s">
        <v>60</v>
      </c>
      <c r="C5009" s="2" t="s">
        <v>47998</v>
      </c>
      <c r="D5009" s="2" t="s">
        <v>47999</v>
      </c>
      <c r="E5009" s="2" t="s">
        <v>48000</v>
      </c>
      <c r="G5009" s="3" t="s">
        <v>62</v>
      </c>
      <c r="I5009" s="3" t="s">
        <v>62</v>
      </c>
      <c r="J5009" s="3" t="s">
        <v>62</v>
      </c>
      <c r="K5009" s="3" t="s">
        <v>63</v>
      </c>
      <c r="L5009" s="2" t="s">
        <v>48001</v>
      </c>
      <c r="M5009" s="2" t="s">
        <v>35165</v>
      </c>
      <c r="N5009" s="3" t="s">
        <v>5180</v>
      </c>
      <c r="P5009" s="3" t="s">
        <v>65</v>
      </c>
      <c r="R5009" s="3" t="s">
        <v>66</v>
      </c>
      <c r="S5009" s="4">
        <v>2</v>
      </c>
      <c r="T5009" s="4">
        <v>2</v>
      </c>
      <c r="U5009" s="5" t="s">
        <v>11720</v>
      </c>
      <c r="V5009" s="5" t="s">
        <v>11720</v>
      </c>
      <c r="W5009" s="5" t="s">
        <v>67</v>
      </c>
      <c r="X5009" s="5" t="s">
        <v>67</v>
      </c>
      <c r="Y5009" s="4">
        <v>45</v>
      </c>
      <c r="Z5009" s="4">
        <v>6</v>
      </c>
      <c r="AA5009" s="4">
        <v>6</v>
      </c>
      <c r="AB5009" s="4">
        <v>2</v>
      </c>
      <c r="AC5009" s="4">
        <v>2</v>
      </c>
      <c r="AD5009" s="4">
        <v>20</v>
      </c>
      <c r="AE5009" s="4">
        <v>20</v>
      </c>
      <c r="AF5009" s="4">
        <v>1</v>
      </c>
      <c r="AG5009" s="4">
        <v>1</v>
      </c>
      <c r="AH5009" s="4">
        <v>18</v>
      </c>
      <c r="AI5009" s="4">
        <v>18</v>
      </c>
      <c r="AJ5009" s="4">
        <v>4</v>
      </c>
      <c r="AK5009" s="4">
        <v>4</v>
      </c>
      <c r="AL5009" s="4">
        <v>14</v>
      </c>
      <c r="AM5009" s="4">
        <v>14</v>
      </c>
      <c r="AN5009" s="4">
        <v>0</v>
      </c>
      <c r="AO5009" s="4">
        <v>0</v>
      </c>
      <c r="AP5009" s="4">
        <v>4</v>
      </c>
      <c r="AQ5009" s="4">
        <v>4</v>
      </c>
      <c r="AR5009" s="3" t="s">
        <v>62</v>
      </c>
      <c r="AS5009" s="3" t="s">
        <v>62</v>
      </c>
      <c r="AT5009" s="3" t="s">
        <v>62</v>
      </c>
      <c r="AV5009" s="6" t="str">
        <f>HYPERLINK("http://mcgill.on.worldcat.org/oclc/1015275226","Catalog Record")</f>
        <v>Catalog Record</v>
      </c>
      <c r="AW5009" s="6" t="str">
        <f>HYPERLINK("http://www.worldcat.org/oclc/1015275226","WorldCat Record")</f>
        <v>WorldCat Record</v>
      </c>
      <c r="AX5009" s="3" t="s">
        <v>48002</v>
      </c>
      <c r="AY5009" s="3" t="s">
        <v>48003</v>
      </c>
      <c r="AZ5009" s="3" t="s">
        <v>48004</v>
      </c>
      <c r="BA5009" s="3" t="s">
        <v>48004</v>
      </c>
      <c r="BB5009" s="3" t="s">
        <v>48005</v>
      </c>
      <c r="BC5009" s="3" t="s">
        <v>142</v>
      </c>
      <c r="BD5009" s="3" t="s">
        <v>68</v>
      </c>
      <c r="BE5009" s="3" t="s">
        <v>48006</v>
      </c>
      <c r="BF5009" s="3" t="s">
        <v>48005</v>
      </c>
      <c r="BG5009" s="3" t="s">
        <v>48007</v>
      </c>
    </row>
    <row r="5010" spans="1:59" ht="57" x14ac:dyDescent="0.45">
      <c r="A5010" s="2" t="s">
        <v>59</v>
      </c>
      <c r="B5010" s="2" t="s">
        <v>60</v>
      </c>
      <c r="C5010" s="2" t="s">
        <v>48008</v>
      </c>
      <c r="D5010" s="2" t="s">
        <v>48009</v>
      </c>
      <c r="E5010" s="2" t="s">
        <v>48010</v>
      </c>
      <c r="G5010" s="3" t="s">
        <v>62</v>
      </c>
      <c r="I5010" s="3" t="s">
        <v>62</v>
      </c>
      <c r="J5010" s="3" t="s">
        <v>62</v>
      </c>
      <c r="K5010" s="3" t="s">
        <v>63</v>
      </c>
      <c r="M5010" s="2" t="s">
        <v>10318</v>
      </c>
      <c r="N5010" s="3" t="s">
        <v>125</v>
      </c>
      <c r="P5010" s="3" t="s">
        <v>65</v>
      </c>
      <c r="Q5010" s="2" t="s">
        <v>48011</v>
      </c>
      <c r="R5010" s="3" t="s">
        <v>66</v>
      </c>
      <c r="S5010" s="4">
        <v>9</v>
      </c>
      <c r="T5010" s="4">
        <v>9</v>
      </c>
      <c r="U5010" s="5" t="s">
        <v>14087</v>
      </c>
      <c r="V5010" s="5" t="s">
        <v>14087</v>
      </c>
      <c r="W5010" s="5" t="s">
        <v>67</v>
      </c>
      <c r="X5010" s="5" t="s">
        <v>67</v>
      </c>
      <c r="Y5010" s="4">
        <v>259</v>
      </c>
      <c r="Z5010" s="4">
        <v>17</v>
      </c>
      <c r="AA5010" s="4">
        <v>22</v>
      </c>
      <c r="AB5010" s="4">
        <v>2</v>
      </c>
      <c r="AC5010" s="4">
        <v>5</v>
      </c>
      <c r="AD5010" s="4">
        <v>93</v>
      </c>
      <c r="AE5010" s="4">
        <v>101</v>
      </c>
      <c r="AF5010" s="4">
        <v>0</v>
      </c>
      <c r="AG5010" s="4">
        <v>3</v>
      </c>
      <c r="AH5010" s="4">
        <v>88</v>
      </c>
      <c r="AI5010" s="4">
        <v>92</v>
      </c>
      <c r="AJ5010" s="4">
        <v>13</v>
      </c>
      <c r="AK5010" s="4">
        <v>18</v>
      </c>
      <c r="AL5010" s="4">
        <v>52</v>
      </c>
      <c r="AM5010" s="4">
        <v>55</v>
      </c>
      <c r="AN5010" s="4">
        <v>0</v>
      </c>
      <c r="AO5010" s="4">
        <v>0</v>
      </c>
      <c r="AP5010" s="4">
        <v>14</v>
      </c>
      <c r="AQ5010" s="4">
        <v>18</v>
      </c>
      <c r="AR5010" s="3" t="s">
        <v>62</v>
      </c>
      <c r="AS5010" s="3" t="s">
        <v>62</v>
      </c>
      <c r="AT5010" s="3" t="s">
        <v>62</v>
      </c>
      <c r="AV5010" s="6" t="str">
        <f>HYPERLINK("http://mcgill.on.worldcat.org/oclc/20012410","Catalog Record")</f>
        <v>Catalog Record</v>
      </c>
      <c r="AW5010" s="6" t="str">
        <f>HYPERLINK("http://www.worldcat.org/oclc/20012410","WorldCat Record")</f>
        <v>WorldCat Record</v>
      </c>
      <c r="AX5010" s="3" t="s">
        <v>48012</v>
      </c>
      <c r="AY5010" s="3" t="s">
        <v>48013</v>
      </c>
      <c r="AZ5010" s="3" t="s">
        <v>48014</v>
      </c>
      <c r="BA5010" s="3" t="s">
        <v>48014</v>
      </c>
      <c r="BB5010" s="3" t="s">
        <v>48015</v>
      </c>
      <c r="BC5010" s="3" t="s">
        <v>142</v>
      </c>
      <c r="BD5010" s="3" t="s">
        <v>68</v>
      </c>
      <c r="BE5010" s="3" t="s">
        <v>48016</v>
      </c>
      <c r="BF5010" s="3" t="s">
        <v>48015</v>
      </c>
      <c r="BG5010" s="3" t="s">
        <v>48017</v>
      </c>
    </row>
    <row r="5011" spans="1:59" ht="57" x14ac:dyDescent="0.45">
      <c r="A5011" s="2" t="s">
        <v>59</v>
      </c>
      <c r="B5011" s="2" t="s">
        <v>60</v>
      </c>
      <c r="C5011" s="2" t="s">
        <v>48018</v>
      </c>
      <c r="D5011" s="2" t="s">
        <v>48019</v>
      </c>
      <c r="E5011" s="2" t="s">
        <v>48020</v>
      </c>
      <c r="F5011" s="3" t="s">
        <v>90</v>
      </c>
      <c r="G5011" s="3" t="s">
        <v>61</v>
      </c>
      <c r="I5011" s="3" t="s">
        <v>62</v>
      </c>
      <c r="J5011" s="3" t="s">
        <v>62</v>
      </c>
      <c r="K5011" s="3" t="s">
        <v>63</v>
      </c>
      <c r="M5011" s="2" t="s">
        <v>48021</v>
      </c>
      <c r="N5011" s="3" t="s">
        <v>894</v>
      </c>
      <c r="P5011" s="3" t="s">
        <v>65</v>
      </c>
      <c r="Q5011" s="2" t="s">
        <v>48022</v>
      </c>
      <c r="R5011" s="3" t="s">
        <v>66</v>
      </c>
      <c r="S5011" s="4">
        <v>3</v>
      </c>
      <c r="T5011" s="4">
        <v>6</v>
      </c>
      <c r="U5011" s="5" t="s">
        <v>18697</v>
      </c>
      <c r="V5011" s="5" t="s">
        <v>19134</v>
      </c>
      <c r="W5011" s="5" t="s">
        <v>67</v>
      </c>
      <c r="X5011" s="5" t="s">
        <v>67</v>
      </c>
      <c r="Y5011" s="4">
        <v>130</v>
      </c>
      <c r="Z5011" s="4">
        <v>10</v>
      </c>
      <c r="AA5011" s="4">
        <v>14</v>
      </c>
      <c r="AB5011" s="4">
        <v>1</v>
      </c>
      <c r="AC5011" s="4">
        <v>3</v>
      </c>
      <c r="AD5011" s="4">
        <v>40</v>
      </c>
      <c r="AE5011" s="4">
        <v>55</v>
      </c>
      <c r="AF5011" s="4">
        <v>0</v>
      </c>
      <c r="AG5011" s="4">
        <v>2</v>
      </c>
      <c r="AH5011" s="4">
        <v>36</v>
      </c>
      <c r="AI5011" s="4">
        <v>48</v>
      </c>
      <c r="AJ5011" s="4">
        <v>7</v>
      </c>
      <c r="AK5011" s="4">
        <v>11</v>
      </c>
      <c r="AL5011" s="4">
        <v>21</v>
      </c>
      <c r="AM5011" s="4">
        <v>29</v>
      </c>
      <c r="AN5011" s="4">
        <v>0</v>
      </c>
      <c r="AO5011" s="4">
        <v>0</v>
      </c>
      <c r="AP5011" s="4">
        <v>7</v>
      </c>
      <c r="AQ5011" s="4">
        <v>11</v>
      </c>
      <c r="AR5011" s="3" t="s">
        <v>62</v>
      </c>
      <c r="AS5011" s="3" t="s">
        <v>62</v>
      </c>
      <c r="AT5011" s="3" t="s">
        <v>62</v>
      </c>
      <c r="AV5011" s="6" t="str">
        <f>HYPERLINK("http://mcgill.on.worldcat.org/oclc/669269889","Catalog Record")</f>
        <v>Catalog Record</v>
      </c>
      <c r="AW5011" s="6" t="str">
        <f>HYPERLINK("http://www.worldcat.org/oclc/669269889","WorldCat Record")</f>
        <v>WorldCat Record</v>
      </c>
      <c r="AX5011" s="3" t="s">
        <v>48023</v>
      </c>
      <c r="AY5011" s="3" t="s">
        <v>48024</v>
      </c>
      <c r="AZ5011" s="3" t="s">
        <v>48025</v>
      </c>
      <c r="BA5011" s="3" t="s">
        <v>48025</v>
      </c>
      <c r="BB5011" s="3" t="s">
        <v>48026</v>
      </c>
      <c r="BC5011" s="3" t="s">
        <v>142</v>
      </c>
      <c r="BD5011" s="3" t="s">
        <v>68</v>
      </c>
      <c r="BE5011" s="3" t="s">
        <v>48027</v>
      </c>
      <c r="BF5011" s="3" t="s">
        <v>48026</v>
      </c>
      <c r="BG5011" s="3" t="s">
        <v>48028</v>
      </c>
    </row>
    <row r="5012" spans="1:59" ht="57" x14ac:dyDescent="0.45">
      <c r="A5012" s="2" t="s">
        <v>59</v>
      </c>
      <c r="B5012" s="2" t="s">
        <v>60</v>
      </c>
      <c r="C5012" s="2" t="s">
        <v>48018</v>
      </c>
      <c r="D5012" s="2" t="s">
        <v>48019</v>
      </c>
      <c r="E5012" s="2" t="s">
        <v>48020</v>
      </c>
      <c r="F5012" s="3" t="s">
        <v>87</v>
      </c>
      <c r="G5012" s="3" t="s">
        <v>61</v>
      </c>
      <c r="I5012" s="3" t="s">
        <v>62</v>
      </c>
      <c r="J5012" s="3" t="s">
        <v>62</v>
      </c>
      <c r="K5012" s="3" t="s">
        <v>63</v>
      </c>
      <c r="M5012" s="2" t="s">
        <v>48021</v>
      </c>
      <c r="N5012" s="3" t="s">
        <v>894</v>
      </c>
      <c r="P5012" s="3" t="s">
        <v>65</v>
      </c>
      <c r="Q5012" s="2" t="s">
        <v>48022</v>
      </c>
      <c r="R5012" s="3" t="s">
        <v>66</v>
      </c>
      <c r="S5012" s="4">
        <v>2</v>
      </c>
      <c r="T5012" s="4">
        <v>6</v>
      </c>
      <c r="U5012" s="5" t="s">
        <v>684</v>
      </c>
      <c r="V5012" s="5" t="s">
        <v>19134</v>
      </c>
      <c r="W5012" s="5" t="s">
        <v>67</v>
      </c>
      <c r="X5012" s="5" t="s">
        <v>67</v>
      </c>
      <c r="Y5012" s="4">
        <v>130</v>
      </c>
      <c r="Z5012" s="4">
        <v>10</v>
      </c>
      <c r="AA5012" s="4">
        <v>14</v>
      </c>
      <c r="AB5012" s="4">
        <v>1</v>
      </c>
      <c r="AC5012" s="4">
        <v>3</v>
      </c>
      <c r="AD5012" s="4">
        <v>40</v>
      </c>
      <c r="AE5012" s="4">
        <v>55</v>
      </c>
      <c r="AF5012" s="4">
        <v>0</v>
      </c>
      <c r="AG5012" s="4">
        <v>2</v>
      </c>
      <c r="AH5012" s="4">
        <v>36</v>
      </c>
      <c r="AI5012" s="4">
        <v>48</v>
      </c>
      <c r="AJ5012" s="4">
        <v>7</v>
      </c>
      <c r="AK5012" s="4">
        <v>11</v>
      </c>
      <c r="AL5012" s="4">
        <v>21</v>
      </c>
      <c r="AM5012" s="4">
        <v>29</v>
      </c>
      <c r="AN5012" s="4">
        <v>0</v>
      </c>
      <c r="AO5012" s="4">
        <v>0</v>
      </c>
      <c r="AP5012" s="4">
        <v>7</v>
      </c>
      <c r="AQ5012" s="4">
        <v>11</v>
      </c>
      <c r="AR5012" s="3" t="s">
        <v>62</v>
      </c>
      <c r="AS5012" s="3" t="s">
        <v>62</v>
      </c>
      <c r="AT5012" s="3" t="s">
        <v>62</v>
      </c>
      <c r="AV5012" s="6" t="str">
        <f>HYPERLINK("http://mcgill.on.worldcat.org/oclc/669269889","Catalog Record")</f>
        <v>Catalog Record</v>
      </c>
      <c r="AW5012" s="6" t="str">
        <f>HYPERLINK("http://www.worldcat.org/oclc/669269889","WorldCat Record")</f>
        <v>WorldCat Record</v>
      </c>
      <c r="AX5012" s="3" t="s">
        <v>48023</v>
      </c>
      <c r="AY5012" s="3" t="s">
        <v>48024</v>
      </c>
      <c r="AZ5012" s="3" t="s">
        <v>48025</v>
      </c>
      <c r="BA5012" s="3" t="s">
        <v>48025</v>
      </c>
      <c r="BB5012" s="3" t="s">
        <v>48029</v>
      </c>
      <c r="BC5012" s="3" t="s">
        <v>142</v>
      </c>
      <c r="BD5012" s="3" t="s">
        <v>68</v>
      </c>
      <c r="BE5012" s="3" t="s">
        <v>48027</v>
      </c>
      <c r="BF5012" s="3" t="s">
        <v>48029</v>
      </c>
      <c r="BG5012" s="3" t="s">
        <v>48030</v>
      </c>
    </row>
    <row r="5013" spans="1:59" ht="57" x14ac:dyDescent="0.45">
      <c r="A5013" s="2" t="s">
        <v>59</v>
      </c>
      <c r="B5013" s="2" t="s">
        <v>60</v>
      </c>
      <c r="C5013" s="2" t="s">
        <v>48018</v>
      </c>
      <c r="D5013" s="2" t="s">
        <v>48019</v>
      </c>
      <c r="E5013" s="2" t="s">
        <v>48020</v>
      </c>
      <c r="F5013" s="3" t="s">
        <v>83</v>
      </c>
      <c r="G5013" s="3" t="s">
        <v>61</v>
      </c>
      <c r="I5013" s="3" t="s">
        <v>62</v>
      </c>
      <c r="J5013" s="3" t="s">
        <v>62</v>
      </c>
      <c r="K5013" s="3" t="s">
        <v>63</v>
      </c>
      <c r="M5013" s="2" t="s">
        <v>48021</v>
      </c>
      <c r="N5013" s="3" t="s">
        <v>894</v>
      </c>
      <c r="P5013" s="3" t="s">
        <v>65</v>
      </c>
      <c r="Q5013" s="2" t="s">
        <v>48022</v>
      </c>
      <c r="R5013" s="3" t="s">
        <v>66</v>
      </c>
      <c r="S5013" s="4">
        <v>0</v>
      </c>
      <c r="T5013" s="4">
        <v>6</v>
      </c>
      <c r="V5013" s="5" t="s">
        <v>19134</v>
      </c>
      <c r="W5013" s="5" t="s">
        <v>67</v>
      </c>
      <c r="X5013" s="5" t="s">
        <v>67</v>
      </c>
      <c r="Y5013" s="4">
        <v>130</v>
      </c>
      <c r="Z5013" s="4">
        <v>10</v>
      </c>
      <c r="AA5013" s="4">
        <v>14</v>
      </c>
      <c r="AB5013" s="4">
        <v>1</v>
      </c>
      <c r="AC5013" s="4">
        <v>3</v>
      </c>
      <c r="AD5013" s="4">
        <v>40</v>
      </c>
      <c r="AE5013" s="4">
        <v>55</v>
      </c>
      <c r="AF5013" s="4">
        <v>0</v>
      </c>
      <c r="AG5013" s="4">
        <v>2</v>
      </c>
      <c r="AH5013" s="4">
        <v>36</v>
      </c>
      <c r="AI5013" s="4">
        <v>48</v>
      </c>
      <c r="AJ5013" s="4">
        <v>7</v>
      </c>
      <c r="AK5013" s="4">
        <v>11</v>
      </c>
      <c r="AL5013" s="4">
        <v>21</v>
      </c>
      <c r="AM5013" s="4">
        <v>29</v>
      </c>
      <c r="AN5013" s="4">
        <v>0</v>
      </c>
      <c r="AO5013" s="4">
        <v>0</v>
      </c>
      <c r="AP5013" s="4">
        <v>7</v>
      </c>
      <c r="AQ5013" s="4">
        <v>11</v>
      </c>
      <c r="AR5013" s="3" t="s">
        <v>62</v>
      </c>
      <c r="AS5013" s="3" t="s">
        <v>62</v>
      </c>
      <c r="AT5013" s="3" t="s">
        <v>62</v>
      </c>
      <c r="AV5013" s="6" t="str">
        <f>HYPERLINK("http://mcgill.on.worldcat.org/oclc/669269889","Catalog Record")</f>
        <v>Catalog Record</v>
      </c>
      <c r="AW5013" s="6" t="str">
        <f>HYPERLINK("http://www.worldcat.org/oclc/669269889","WorldCat Record")</f>
        <v>WorldCat Record</v>
      </c>
      <c r="AX5013" s="3" t="s">
        <v>48023</v>
      </c>
      <c r="AY5013" s="3" t="s">
        <v>48024</v>
      </c>
      <c r="AZ5013" s="3" t="s">
        <v>48025</v>
      </c>
      <c r="BA5013" s="3" t="s">
        <v>48025</v>
      </c>
      <c r="BB5013" s="3" t="s">
        <v>48031</v>
      </c>
      <c r="BC5013" s="3" t="s">
        <v>142</v>
      </c>
      <c r="BD5013" s="3" t="s">
        <v>68</v>
      </c>
      <c r="BE5013" s="3" t="s">
        <v>48027</v>
      </c>
      <c r="BF5013" s="3" t="s">
        <v>48031</v>
      </c>
      <c r="BG5013" s="3" t="s">
        <v>48032</v>
      </c>
    </row>
    <row r="5014" spans="1:59" ht="57" x14ac:dyDescent="0.45">
      <c r="A5014" s="2" t="s">
        <v>59</v>
      </c>
      <c r="B5014" s="2" t="s">
        <v>60</v>
      </c>
      <c r="C5014" s="2" t="s">
        <v>48018</v>
      </c>
      <c r="D5014" s="2" t="s">
        <v>48019</v>
      </c>
      <c r="E5014" s="2" t="s">
        <v>48020</v>
      </c>
      <c r="F5014" s="3" t="s">
        <v>88</v>
      </c>
      <c r="G5014" s="3" t="s">
        <v>61</v>
      </c>
      <c r="I5014" s="3" t="s">
        <v>62</v>
      </c>
      <c r="J5014" s="3" t="s">
        <v>62</v>
      </c>
      <c r="K5014" s="3" t="s">
        <v>63</v>
      </c>
      <c r="M5014" s="2" t="s">
        <v>48021</v>
      </c>
      <c r="N5014" s="3" t="s">
        <v>894</v>
      </c>
      <c r="P5014" s="3" t="s">
        <v>65</v>
      </c>
      <c r="Q5014" s="2" t="s">
        <v>48022</v>
      </c>
      <c r="R5014" s="3" t="s">
        <v>66</v>
      </c>
      <c r="S5014" s="4">
        <v>1</v>
      </c>
      <c r="T5014" s="4">
        <v>6</v>
      </c>
      <c r="U5014" s="5" t="s">
        <v>19134</v>
      </c>
      <c r="V5014" s="5" t="s">
        <v>19134</v>
      </c>
      <c r="W5014" s="5" t="s">
        <v>67</v>
      </c>
      <c r="X5014" s="5" t="s">
        <v>67</v>
      </c>
      <c r="Y5014" s="4">
        <v>130</v>
      </c>
      <c r="Z5014" s="4">
        <v>10</v>
      </c>
      <c r="AA5014" s="4">
        <v>14</v>
      </c>
      <c r="AB5014" s="4">
        <v>1</v>
      </c>
      <c r="AC5014" s="4">
        <v>3</v>
      </c>
      <c r="AD5014" s="4">
        <v>40</v>
      </c>
      <c r="AE5014" s="4">
        <v>55</v>
      </c>
      <c r="AF5014" s="4">
        <v>0</v>
      </c>
      <c r="AG5014" s="4">
        <v>2</v>
      </c>
      <c r="AH5014" s="4">
        <v>36</v>
      </c>
      <c r="AI5014" s="4">
        <v>48</v>
      </c>
      <c r="AJ5014" s="4">
        <v>7</v>
      </c>
      <c r="AK5014" s="4">
        <v>11</v>
      </c>
      <c r="AL5014" s="4">
        <v>21</v>
      </c>
      <c r="AM5014" s="4">
        <v>29</v>
      </c>
      <c r="AN5014" s="4">
        <v>0</v>
      </c>
      <c r="AO5014" s="4">
        <v>0</v>
      </c>
      <c r="AP5014" s="4">
        <v>7</v>
      </c>
      <c r="AQ5014" s="4">
        <v>11</v>
      </c>
      <c r="AR5014" s="3" t="s">
        <v>62</v>
      </c>
      <c r="AS5014" s="3" t="s">
        <v>62</v>
      </c>
      <c r="AT5014" s="3" t="s">
        <v>62</v>
      </c>
      <c r="AV5014" s="6" t="str">
        <f>HYPERLINK("http://mcgill.on.worldcat.org/oclc/669269889","Catalog Record")</f>
        <v>Catalog Record</v>
      </c>
      <c r="AW5014" s="6" t="str">
        <f>HYPERLINK("http://www.worldcat.org/oclc/669269889","WorldCat Record")</f>
        <v>WorldCat Record</v>
      </c>
      <c r="AX5014" s="3" t="s">
        <v>48023</v>
      </c>
      <c r="AY5014" s="3" t="s">
        <v>48024</v>
      </c>
      <c r="AZ5014" s="3" t="s">
        <v>48025</v>
      </c>
      <c r="BA5014" s="3" t="s">
        <v>48025</v>
      </c>
      <c r="BB5014" s="3" t="s">
        <v>48033</v>
      </c>
      <c r="BC5014" s="3" t="s">
        <v>142</v>
      </c>
      <c r="BD5014" s="3" t="s">
        <v>68</v>
      </c>
      <c r="BE5014" s="3" t="s">
        <v>48027</v>
      </c>
      <c r="BF5014" s="3" t="s">
        <v>48033</v>
      </c>
      <c r="BG5014" s="3" t="s">
        <v>48034</v>
      </c>
    </row>
    <row r="5015" spans="1:59" ht="57" x14ac:dyDescent="0.45">
      <c r="A5015" s="2" t="s">
        <v>59</v>
      </c>
      <c r="B5015" s="2" t="s">
        <v>60</v>
      </c>
      <c r="C5015" s="2" t="s">
        <v>48018</v>
      </c>
      <c r="D5015" s="2" t="s">
        <v>48019</v>
      </c>
      <c r="E5015" s="2" t="s">
        <v>48020</v>
      </c>
      <c r="F5015" s="3" t="s">
        <v>86</v>
      </c>
      <c r="G5015" s="3" t="s">
        <v>61</v>
      </c>
      <c r="I5015" s="3" t="s">
        <v>62</v>
      </c>
      <c r="J5015" s="3" t="s">
        <v>62</v>
      </c>
      <c r="K5015" s="3" t="s">
        <v>63</v>
      </c>
      <c r="M5015" s="2" t="s">
        <v>48021</v>
      </c>
      <c r="N5015" s="3" t="s">
        <v>894</v>
      </c>
      <c r="P5015" s="3" t="s">
        <v>65</v>
      </c>
      <c r="Q5015" s="2" t="s">
        <v>48022</v>
      </c>
      <c r="R5015" s="3" t="s">
        <v>66</v>
      </c>
      <c r="S5015" s="4">
        <v>0</v>
      </c>
      <c r="T5015" s="4">
        <v>6</v>
      </c>
      <c r="V5015" s="5" t="s">
        <v>19134</v>
      </c>
      <c r="W5015" s="5" t="s">
        <v>67</v>
      </c>
      <c r="X5015" s="5" t="s">
        <v>67</v>
      </c>
      <c r="Y5015" s="4">
        <v>130</v>
      </c>
      <c r="Z5015" s="4">
        <v>10</v>
      </c>
      <c r="AA5015" s="4">
        <v>14</v>
      </c>
      <c r="AB5015" s="4">
        <v>1</v>
      </c>
      <c r="AC5015" s="4">
        <v>3</v>
      </c>
      <c r="AD5015" s="4">
        <v>40</v>
      </c>
      <c r="AE5015" s="4">
        <v>55</v>
      </c>
      <c r="AF5015" s="4">
        <v>0</v>
      </c>
      <c r="AG5015" s="4">
        <v>2</v>
      </c>
      <c r="AH5015" s="4">
        <v>36</v>
      </c>
      <c r="AI5015" s="4">
        <v>48</v>
      </c>
      <c r="AJ5015" s="4">
        <v>7</v>
      </c>
      <c r="AK5015" s="4">
        <v>11</v>
      </c>
      <c r="AL5015" s="4">
        <v>21</v>
      </c>
      <c r="AM5015" s="4">
        <v>29</v>
      </c>
      <c r="AN5015" s="4">
        <v>0</v>
      </c>
      <c r="AO5015" s="4">
        <v>0</v>
      </c>
      <c r="AP5015" s="4">
        <v>7</v>
      </c>
      <c r="AQ5015" s="4">
        <v>11</v>
      </c>
      <c r="AR5015" s="3" t="s">
        <v>62</v>
      </c>
      <c r="AS5015" s="3" t="s">
        <v>62</v>
      </c>
      <c r="AT5015" s="3" t="s">
        <v>62</v>
      </c>
      <c r="AV5015" s="6" t="str">
        <f>HYPERLINK("http://mcgill.on.worldcat.org/oclc/669269889","Catalog Record")</f>
        <v>Catalog Record</v>
      </c>
      <c r="AW5015" s="6" t="str">
        <f>HYPERLINK("http://www.worldcat.org/oclc/669269889","WorldCat Record")</f>
        <v>WorldCat Record</v>
      </c>
      <c r="AX5015" s="3" t="s">
        <v>48023</v>
      </c>
      <c r="AY5015" s="3" t="s">
        <v>48024</v>
      </c>
      <c r="AZ5015" s="3" t="s">
        <v>48025</v>
      </c>
      <c r="BA5015" s="3" t="s">
        <v>48025</v>
      </c>
      <c r="BB5015" s="3" t="s">
        <v>48035</v>
      </c>
      <c r="BC5015" s="3" t="s">
        <v>142</v>
      </c>
      <c r="BD5015" s="3" t="s">
        <v>68</v>
      </c>
      <c r="BE5015" s="3" t="s">
        <v>48027</v>
      </c>
      <c r="BF5015" s="3" t="s">
        <v>48035</v>
      </c>
      <c r="BG5015" s="3" t="s">
        <v>48036</v>
      </c>
    </row>
    <row r="5016" spans="1:59" ht="57" x14ac:dyDescent="0.45">
      <c r="A5016" s="2" t="s">
        <v>59</v>
      </c>
      <c r="B5016" s="2" t="s">
        <v>60</v>
      </c>
      <c r="C5016" s="2" t="s">
        <v>48037</v>
      </c>
      <c r="D5016" s="2" t="s">
        <v>48038</v>
      </c>
      <c r="E5016" s="2" t="s">
        <v>48039</v>
      </c>
      <c r="G5016" s="3" t="s">
        <v>62</v>
      </c>
      <c r="I5016" s="3" t="s">
        <v>62</v>
      </c>
      <c r="J5016" s="3" t="s">
        <v>62</v>
      </c>
      <c r="K5016" s="3" t="s">
        <v>63</v>
      </c>
      <c r="L5016" s="2" t="s">
        <v>48040</v>
      </c>
      <c r="M5016" s="2" t="s">
        <v>37090</v>
      </c>
      <c r="N5016" s="3" t="s">
        <v>195</v>
      </c>
      <c r="P5016" s="3" t="s">
        <v>65</v>
      </c>
      <c r="Q5016" s="2" t="s">
        <v>29789</v>
      </c>
      <c r="R5016" s="3" t="s">
        <v>66</v>
      </c>
      <c r="S5016" s="4">
        <v>20</v>
      </c>
      <c r="T5016" s="4">
        <v>20</v>
      </c>
      <c r="U5016" s="5" t="s">
        <v>48041</v>
      </c>
      <c r="V5016" s="5" t="s">
        <v>48041</v>
      </c>
      <c r="W5016" s="5" t="s">
        <v>67</v>
      </c>
      <c r="X5016" s="5" t="s">
        <v>67</v>
      </c>
      <c r="Y5016" s="4">
        <v>137</v>
      </c>
      <c r="Z5016" s="4">
        <v>9</v>
      </c>
      <c r="AA5016" s="4">
        <v>25</v>
      </c>
      <c r="AB5016" s="4">
        <v>1</v>
      </c>
      <c r="AC5016" s="4">
        <v>4</v>
      </c>
      <c r="AD5016" s="4">
        <v>57</v>
      </c>
      <c r="AE5016" s="4">
        <v>89</v>
      </c>
      <c r="AF5016" s="4">
        <v>0</v>
      </c>
      <c r="AG5016" s="4">
        <v>3</v>
      </c>
      <c r="AH5016" s="4">
        <v>54</v>
      </c>
      <c r="AI5016" s="4">
        <v>78</v>
      </c>
      <c r="AJ5016" s="4">
        <v>7</v>
      </c>
      <c r="AK5016" s="4">
        <v>19</v>
      </c>
      <c r="AL5016" s="4">
        <v>32</v>
      </c>
      <c r="AM5016" s="4">
        <v>42</v>
      </c>
      <c r="AN5016" s="4">
        <v>0</v>
      </c>
      <c r="AO5016" s="4">
        <v>5</v>
      </c>
      <c r="AP5016" s="4">
        <v>7</v>
      </c>
      <c r="AQ5016" s="4">
        <v>20</v>
      </c>
      <c r="AR5016" s="3" t="s">
        <v>62</v>
      </c>
      <c r="AS5016" s="3" t="s">
        <v>62</v>
      </c>
      <c r="AT5016" s="3" t="s">
        <v>62</v>
      </c>
      <c r="AV5016" s="6" t="str">
        <f>HYPERLINK("http://mcgill.on.worldcat.org/oclc/28016115","Catalog Record")</f>
        <v>Catalog Record</v>
      </c>
      <c r="AW5016" s="6" t="str">
        <f>HYPERLINK("http://www.worldcat.org/oclc/28016115","WorldCat Record")</f>
        <v>WorldCat Record</v>
      </c>
      <c r="AX5016" s="3" t="s">
        <v>48042</v>
      </c>
      <c r="AY5016" s="3" t="s">
        <v>48043</v>
      </c>
      <c r="AZ5016" s="3" t="s">
        <v>48044</v>
      </c>
      <c r="BA5016" s="3" t="s">
        <v>48044</v>
      </c>
      <c r="BB5016" s="3" t="s">
        <v>48045</v>
      </c>
      <c r="BC5016" s="3" t="s">
        <v>142</v>
      </c>
      <c r="BD5016" s="3" t="s">
        <v>68</v>
      </c>
      <c r="BE5016" s="3" t="s">
        <v>48046</v>
      </c>
      <c r="BF5016" s="3" t="s">
        <v>48045</v>
      </c>
      <c r="BG5016" s="3" t="s">
        <v>48047</v>
      </c>
    </row>
    <row r="5017" spans="1:59" ht="57" x14ac:dyDescent="0.45">
      <c r="A5017" s="2" t="s">
        <v>59</v>
      </c>
      <c r="B5017" s="2" t="s">
        <v>60</v>
      </c>
      <c r="C5017" s="2" t="s">
        <v>48048</v>
      </c>
      <c r="D5017" s="2" t="s">
        <v>48049</v>
      </c>
      <c r="E5017" s="2" t="s">
        <v>48050</v>
      </c>
      <c r="G5017" s="3" t="s">
        <v>62</v>
      </c>
      <c r="I5017" s="3" t="s">
        <v>62</v>
      </c>
      <c r="J5017" s="3" t="s">
        <v>62</v>
      </c>
      <c r="K5017" s="3" t="s">
        <v>63</v>
      </c>
      <c r="M5017" s="2" t="s">
        <v>48051</v>
      </c>
      <c r="N5017" s="3" t="s">
        <v>1155</v>
      </c>
      <c r="P5017" s="3" t="s">
        <v>65</v>
      </c>
      <c r="Q5017" s="2" t="s">
        <v>48052</v>
      </c>
      <c r="R5017" s="3" t="s">
        <v>66</v>
      </c>
      <c r="S5017" s="4">
        <v>2</v>
      </c>
      <c r="T5017" s="4">
        <v>2</v>
      </c>
      <c r="U5017" s="5" t="s">
        <v>5122</v>
      </c>
      <c r="V5017" s="5" t="s">
        <v>5122</v>
      </c>
      <c r="W5017" s="5" t="s">
        <v>67</v>
      </c>
      <c r="X5017" s="5" t="s">
        <v>67</v>
      </c>
      <c r="Y5017" s="4">
        <v>86</v>
      </c>
      <c r="Z5017" s="4">
        <v>10</v>
      </c>
      <c r="AA5017" s="4">
        <v>78</v>
      </c>
      <c r="AB5017" s="4">
        <v>1</v>
      </c>
      <c r="AC5017" s="4">
        <v>14</v>
      </c>
      <c r="AD5017" s="4">
        <v>42</v>
      </c>
      <c r="AE5017" s="4">
        <v>108</v>
      </c>
      <c r="AF5017" s="4">
        <v>0</v>
      </c>
      <c r="AG5017" s="4">
        <v>8</v>
      </c>
      <c r="AH5017" s="4">
        <v>38</v>
      </c>
      <c r="AI5017" s="4">
        <v>76</v>
      </c>
      <c r="AJ5017" s="4">
        <v>7</v>
      </c>
      <c r="AK5017" s="4">
        <v>22</v>
      </c>
      <c r="AL5017" s="4">
        <v>27</v>
      </c>
      <c r="AM5017" s="4">
        <v>40</v>
      </c>
      <c r="AN5017" s="4">
        <v>0</v>
      </c>
      <c r="AO5017" s="4">
        <v>0</v>
      </c>
      <c r="AP5017" s="4">
        <v>8</v>
      </c>
      <c r="AQ5017" s="4">
        <v>40</v>
      </c>
      <c r="AR5017" s="3" t="s">
        <v>62</v>
      </c>
      <c r="AS5017" s="3" t="s">
        <v>62</v>
      </c>
      <c r="AT5017" s="3" t="s">
        <v>62</v>
      </c>
      <c r="AV5017" s="6" t="str">
        <f>HYPERLINK("http://mcgill.on.worldcat.org/oclc/788294897","Catalog Record")</f>
        <v>Catalog Record</v>
      </c>
      <c r="AW5017" s="6" t="str">
        <f>HYPERLINK("http://www.worldcat.org/oclc/788294897","WorldCat Record")</f>
        <v>WorldCat Record</v>
      </c>
      <c r="AX5017" s="3" t="s">
        <v>48053</v>
      </c>
      <c r="AY5017" s="3" t="s">
        <v>48054</v>
      </c>
      <c r="AZ5017" s="3" t="s">
        <v>48055</v>
      </c>
      <c r="BA5017" s="3" t="s">
        <v>48055</v>
      </c>
      <c r="BB5017" s="3" t="s">
        <v>48056</v>
      </c>
      <c r="BC5017" s="3" t="s">
        <v>142</v>
      </c>
      <c r="BD5017" s="3" t="s">
        <v>68</v>
      </c>
      <c r="BE5017" s="3" t="s">
        <v>48057</v>
      </c>
      <c r="BF5017" s="3" t="s">
        <v>48056</v>
      </c>
      <c r="BG5017" s="3" t="s">
        <v>48058</v>
      </c>
    </row>
    <row r="5018" spans="1:59" ht="57" x14ac:dyDescent="0.45">
      <c r="A5018" s="2" t="s">
        <v>59</v>
      </c>
      <c r="B5018" s="2" t="s">
        <v>60</v>
      </c>
      <c r="C5018" s="2" t="s">
        <v>48059</v>
      </c>
      <c r="D5018" s="2" t="s">
        <v>48060</v>
      </c>
      <c r="E5018" s="2" t="s">
        <v>48061</v>
      </c>
      <c r="G5018" s="3" t="s">
        <v>62</v>
      </c>
      <c r="I5018" s="3" t="s">
        <v>62</v>
      </c>
      <c r="J5018" s="3" t="s">
        <v>62</v>
      </c>
      <c r="K5018" s="3" t="s">
        <v>63</v>
      </c>
      <c r="L5018" s="2" t="s">
        <v>48062</v>
      </c>
      <c r="M5018" s="2" t="s">
        <v>48063</v>
      </c>
      <c r="N5018" s="3" t="s">
        <v>945</v>
      </c>
      <c r="O5018" s="2" t="s">
        <v>906</v>
      </c>
      <c r="P5018" s="3" t="s">
        <v>65</v>
      </c>
      <c r="Q5018" s="2" t="s">
        <v>48064</v>
      </c>
      <c r="R5018" s="3" t="s">
        <v>66</v>
      </c>
      <c r="S5018" s="4">
        <v>10</v>
      </c>
      <c r="T5018" s="4">
        <v>10</v>
      </c>
      <c r="U5018" s="5" t="s">
        <v>48065</v>
      </c>
      <c r="V5018" s="5" t="s">
        <v>48065</v>
      </c>
      <c r="W5018" s="5" t="s">
        <v>67</v>
      </c>
      <c r="X5018" s="5" t="s">
        <v>67</v>
      </c>
      <c r="Y5018" s="4">
        <v>198</v>
      </c>
      <c r="Z5018" s="4">
        <v>19</v>
      </c>
      <c r="AA5018" s="4">
        <v>36</v>
      </c>
      <c r="AB5018" s="4">
        <v>2</v>
      </c>
      <c r="AC5018" s="4">
        <v>6</v>
      </c>
      <c r="AD5018" s="4">
        <v>41</v>
      </c>
      <c r="AE5018" s="4">
        <v>93</v>
      </c>
      <c r="AF5018" s="4">
        <v>1</v>
      </c>
      <c r="AG5018" s="4">
        <v>4</v>
      </c>
      <c r="AH5018" s="4">
        <v>33</v>
      </c>
      <c r="AI5018" s="4">
        <v>74</v>
      </c>
      <c r="AJ5018" s="4">
        <v>12</v>
      </c>
      <c r="AK5018" s="4">
        <v>21</v>
      </c>
      <c r="AL5018" s="4">
        <v>15</v>
      </c>
      <c r="AM5018" s="4">
        <v>43</v>
      </c>
      <c r="AN5018" s="4">
        <v>0</v>
      </c>
      <c r="AO5018" s="4">
        <v>0</v>
      </c>
      <c r="AP5018" s="4">
        <v>14</v>
      </c>
      <c r="AQ5018" s="4">
        <v>27</v>
      </c>
      <c r="AR5018" s="3" t="s">
        <v>62</v>
      </c>
      <c r="AS5018" s="3" t="s">
        <v>62</v>
      </c>
      <c r="AT5018" s="3" t="s">
        <v>62</v>
      </c>
      <c r="AV5018" s="6" t="str">
        <f>HYPERLINK("http://mcgill.on.worldcat.org/oclc/65301748","Catalog Record")</f>
        <v>Catalog Record</v>
      </c>
      <c r="AW5018" s="6" t="str">
        <f>HYPERLINK("http://www.worldcat.org/oclc/65301748","WorldCat Record")</f>
        <v>WorldCat Record</v>
      </c>
      <c r="AX5018" s="3" t="s">
        <v>48066</v>
      </c>
      <c r="AY5018" s="3" t="s">
        <v>48067</v>
      </c>
      <c r="AZ5018" s="3" t="s">
        <v>48068</v>
      </c>
      <c r="BA5018" s="3" t="s">
        <v>48068</v>
      </c>
      <c r="BB5018" s="3" t="s">
        <v>48069</v>
      </c>
      <c r="BC5018" s="3" t="s">
        <v>142</v>
      </c>
      <c r="BD5018" s="3" t="s">
        <v>68</v>
      </c>
      <c r="BE5018" s="3" t="s">
        <v>48070</v>
      </c>
      <c r="BF5018" s="3" t="s">
        <v>48069</v>
      </c>
      <c r="BG5018" s="3" t="s">
        <v>48071</v>
      </c>
    </row>
    <row r="5019" spans="1:59" ht="57" x14ac:dyDescent="0.45">
      <c r="A5019" s="2" t="s">
        <v>59</v>
      </c>
      <c r="B5019" s="2" t="s">
        <v>60</v>
      </c>
      <c r="C5019" s="2" t="s">
        <v>48072</v>
      </c>
      <c r="D5019" s="2" t="s">
        <v>48073</v>
      </c>
      <c r="E5019" s="2" t="s">
        <v>48074</v>
      </c>
      <c r="G5019" s="3" t="s">
        <v>62</v>
      </c>
      <c r="I5019" s="3" t="s">
        <v>62</v>
      </c>
      <c r="J5019" s="3" t="s">
        <v>62</v>
      </c>
      <c r="K5019" s="3" t="s">
        <v>63</v>
      </c>
      <c r="M5019" s="2" t="s">
        <v>3317</v>
      </c>
      <c r="N5019" s="3" t="s">
        <v>894</v>
      </c>
      <c r="P5019" s="3" t="s">
        <v>65</v>
      </c>
      <c r="Q5019" s="2" t="s">
        <v>32826</v>
      </c>
      <c r="R5019" s="3" t="s">
        <v>66</v>
      </c>
      <c r="S5019" s="4">
        <v>3</v>
      </c>
      <c r="T5019" s="4">
        <v>3</v>
      </c>
      <c r="U5019" s="5" t="s">
        <v>48075</v>
      </c>
      <c r="V5019" s="5" t="s">
        <v>48075</v>
      </c>
      <c r="W5019" s="5" t="s">
        <v>67</v>
      </c>
      <c r="X5019" s="5" t="s">
        <v>67</v>
      </c>
      <c r="Y5019" s="4">
        <v>72</v>
      </c>
      <c r="Z5019" s="4">
        <v>7</v>
      </c>
      <c r="AA5019" s="4">
        <v>82</v>
      </c>
      <c r="AB5019" s="4">
        <v>1</v>
      </c>
      <c r="AC5019" s="4">
        <v>14</v>
      </c>
      <c r="AD5019" s="4">
        <v>33</v>
      </c>
      <c r="AE5019" s="4">
        <v>111</v>
      </c>
      <c r="AF5019" s="4">
        <v>0</v>
      </c>
      <c r="AG5019" s="4">
        <v>8</v>
      </c>
      <c r="AH5019" s="4">
        <v>31</v>
      </c>
      <c r="AI5019" s="4">
        <v>75</v>
      </c>
      <c r="AJ5019" s="4">
        <v>5</v>
      </c>
      <c r="AK5019" s="4">
        <v>23</v>
      </c>
      <c r="AL5019" s="4">
        <v>20</v>
      </c>
      <c r="AM5019" s="4">
        <v>41</v>
      </c>
      <c r="AN5019" s="4">
        <v>0</v>
      </c>
      <c r="AO5019" s="4">
        <v>0</v>
      </c>
      <c r="AP5019" s="4">
        <v>5</v>
      </c>
      <c r="AQ5019" s="4">
        <v>43</v>
      </c>
      <c r="AR5019" s="3" t="s">
        <v>62</v>
      </c>
      <c r="AS5019" s="3" t="s">
        <v>62</v>
      </c>
      <c r="AT5019" s="3" t="s">
        <v>62</v>
      </c>
      <c r="AV5019" s="6" t="str">
        <f>HYPERLINK("http://mcgill.on.worldcat.org/oclc/606405843","Catalog Record")</f>
        <v>Catalog Record</v>
      </c>
      <c r="AW5019" s="6" t="str">
        <f>HYPERLINK("http://www.worldcat.org/oclc/606405843","WorldCat Record")</f>
        <v>WorldCat Record</v>
      </c>
      <c r="AX5019" s="3" t="s">
        <v>48076</v>
      </c>
      <c r="AY5019" s="3" t="s">
        <v>48077</v>
      </c>
      <c r="AZ5019" s="3" t="s">
        <v>48078</v>
      </c>
      <c r="BA5019" s="3" t="s">
        <v>48078</v>
      </c>
      <c r="BB5019" s="3" t="s">
        <v>48079</v>
      </c>
      <c r="BC5019" s="3" t="s">
        <v>142</v>
      </c>
      <c r="BD5019" s="3" t="s">
        <v>68</v>
      </c>
      <c r="BE5019" s="3" t="s">
        <v>48080</v>
      </c>
      <c r="BF5019" s="3" t="s">
        <v>48079</v>
      </c>
      <c r="BG5019" s="3" t="s">
        <v>48081</v>
      </c>
    </row>
    <row r="5020" spans="1:59" ht="57" x14ac:dyDescent="0.45">
      <c r="A5020" s="2" t="s">
        <v>59</v>
      </c>
      <c r="B5020" s="2" t="s">
        <v>60</v>
      </c>
      <c r="C5020" s="2" t="s">
        <v>48082</v>
      </c>
      <c r="D5020" s="2" t="s">
        <v>48083</v>
      </c>
      <c r="E5020" s="2" t="s">
        <v>48084</v>
      </c>
      <c r="G5020" s="3" t="s">
        <v>62</v>
      </c>
      <c r="I5020" s="3" t="s">
        <v>62</v>
      </c>
      <c r="J5020" s="3" t="s">
        <v>62</v>
      </c>
      <c r="K5020" s="3" t="s">
        <v>63</v>
      </c>
      <c r="L5020" s="2" t="s">
        <v>48085</v>
      </c>
      <c r="M5020" s="2" t="s">
        <v>48086</v>
      </c>
      <c r="N5020" s="3" t="s">
        <v>1855</v>
      </c>
      <c r="P5020" s="3" t="s">
        <v>65</v>
      </c>
      <c r="R5020" s="3" t="s">
        <v>66</v>
      </c>
      <c r="S5020" s="4">
        <v>11</v>
      </c>
      <c r="T5020" s="4">
        <v>11</v>
      </c>
      <c r="U5020" s="5" t="s">
        <v>48087</v>
      </c>
      <c r="V5020" s="5" t="s">
        <v>48087</v>
      </c>
      <c r="W5020" s="5" t="s">
        <v>67</v>
      </c>
      <c r="X5020" s="5" t="s">
        <v>67</v>
      </c>
      <c r="Y5020" s="4">
        <v>133</v>
      </c>
      <c r="Z5020" s="4">
        <v>13</v>
      </c>
      <c r="AA5020" s="4">
        <v>13</v>
      </c>
      <c r="AB5020" s="4">
        <v>2</v>
      </c>
      <c r="AC5020" s="4">
        <v>2</v>
      </c>
      <c r="AD5020" s="4">
        <v>35</v>
      </c>
      <c r="AE5020" s="4">
        <v>35</v>
      </c>
      <c r="AF5020" s="4">
        <v>0</v>
      </c>
      <c r="AG5020" s="4">
        <v>0</v>
      </c>
      <c r="AH5020" s="4">
        <v>30</v>
      </c>
      <c r="AI5020" s="4">
        <v>30</v>
      </c>
      <c r="AJ5020" s="4">
        <v>5</v>
      </c>
      <c r="AK5020" s="4">
        <v>5</v>
      </c>
      <c r="AL5020" s="4">
        <v>18</v>
      </c>
      <c r="AM5020" s="4">
        <v>18</v>
      </c>
      <c r="AN5020" s="4">
        <v>0</v>
      </c>
      <c r="AO5020" s="4">
        <v>0</v>
      </c>
      <c r="AP5020" s="4">
        <v>9</v>
      </c>
      <c r="AQ5020" s="4">
        <v>9</v>
      </c>
      <c r="AR5020" s="3" t="s">
        <v>62</v>
      </c>
      <c r="AS5020" s="3" t="s">
        <v>62</v>
      </c>
      <c r="AT5020" s="3" t="s">
        <v>62</v>
      </c>
      <c r="AV5020" s="6" t="str">
        <f>HYPERLINK("http://mcgill.on.worldcat.org/oclc/57166055","Catalog Record")</f>
        <v>Catalog Record</v>
      </c>
      <c r="AW5020" s="6" t="str">
        <f>HYPERLINK("http://www.worldcat.org/oclc/57166055","WorldCat Record")</f>
        <v>WorldCat Record</v>
      </c>
      <c r="AX5020" s="3" t="s">
        <v>48088</v>
      </c>
      <c r="AY5020" s="3" t="s">
        <v>48089</v>
      </c>
      <c r="AZ5020" s="3" t="s">
        <v>48090</v>
      </c>
      <c r="BA5020" s="3" t="s">
        <v>48090</v>
      </c>
      <c r="BB5020" s="3" t="s">
        <v>48091</v>
      </c>
      <c r="BC5020" s="3" t="s">
        <v>142</v>
      </c>
      <c r="BD5020" s="3" t="s">
        <v>68</v>
      </c>
      <c r="BE5020" s="3" t="s">
        <v>48092</v>
      </c>
      <c r="BF5020" s="3" t="s">
        <v>48091</v>
      </c>
      <c r="BG5020" s="3" t="s">
        <v>48093</v>
      </c>
    </row>
    <row r="5021" spans="1:59" ht="57" x14ac:dyDescent="0.45">
      <c r="A5021" s="2" t="s">
        <v>59</v>
      </c>
      <c r="B5021" s="2" t="s">
        <v>60</v>
      </c>
      <c r="C5021" s="2" t="s">
        <v>48094</v>
      </c>
      <c r="D5021" s="2" t="s">
        <v>48095</v>
      </c>
      <c r="E5021" s="2" t="s">
        <v>48096</v>
      </c>
      <c r="G5021" s="3" t="s">
        <v>62</v>
      </c>
      <c r="I5021" s="3" t="s">
        <v>62</v>
      </c>
      <c r="J5021" s="3" t="s">
        <v>62</v>
      </c>
      <c r="K5021" s="3" t="s">
        <v>63</v>
      </c>
      <c r="M5021" s="2" t="s">
        <v>48097</v>
      </c>
      <c r="N5021" s="3" t="s">
        <v>1253</v>
      </c>
      <c r="P5021" s="3" t="s">
        <v>65</v>
      </c>
      <c r="R5021" s="3" t="s">
        <v>66</v>
      </c>
      <c r="S5021" s="4">
        <v>21</v>
      </c>
      <c r="T5021" s="4">
        <v>21</v>
      </c>
      <c r="U5021" s="5" t="s">
        <v>20652</v>
      </c>
      <c r="V5021" s="5" t="s">
        <v>20652</v>
      </c>
      <c r="W5021" s="5" t="s">
        <v>67</v>
      </c>
      <c r="X5021" s="5" t="s">
        <v>67</v>
      </c>
      <c r="Y5021" s="4">
        <v>181</v>
      </c>
      <c r="Z5021" s="4">
        <v>16</v>
      </c>
      <c r="AA5021" s="4">
        <v>17</v>
      </c>
      <c r="AB5021" s="4">
        <v>2</v>
      </c>
      <c r="AC5021" s="4">
        <v>3</v>
      </c>
      <c r="AD5021" s="4">
        <v>75</v>
      </c>
      <c r="AE5021" s="4">
        <v>76</v>
      </c>
      <c r="AF5021" s="4">
        <v>1</v>
      </c>
      <c r="AG5021" s="4">
        <v>2</v>
      </c>
      <c r="AH5021" s="4">
        <v>68</v>
      </c>
      <c r="AI5021" s="4">
        <v>69</v>
      </c>
      <c r="AJ5021" s="4">
        <v>13</v>
      </c>
      <c r="AK5021" s="4">
        <v>14</v>
      </c>
      <c r="AL5021" s="4">
        <v>44</v>
      </c>
      <c r="AM5021" s="4">
        <v>44</v>
      </c>
      <c r="AN5021" s="4">
        <v>0</v>
      </c>
      <c r="AO5021" s="4">
        <v>0</v>
      </c>
      <c r="AP5021" s="4">
        <v>13</v>
      </c>
      <c r="AQ5021" s="4">
        <v>14</v>
      </c>
      <c r="AR5021" s="3" t="s">
        <v>62</v>
      </c>
      <c r="AS5021" s="3" t="s">
        <v>62</v>
      </c>
      <c r="AT5021" s="3" t="s">
        <v>62</v>
      </c>
      <c r="AV5021" s="6" t="str">
        <f>HYPERLINK("http://mcgill.on.worldcat.org/oclc/36112228","Catalog Record")</f>
        <v>Catalog Record</v>
      </c>
      <c r="AW5021" s="6" t="str">
        <f>HYPERLINK("http://www.worldcat.org/oclc/36112228","WorldCat Record")</f>
        <v>WorldCat Record</v>
      </c>
      <c r="AX5021" s="3" t="s">
        <v>48098</v>
      </c>
      <c r="AY5021" s="3" t="s">
        <v>48099</v>
      </c>
      <c r="AZ5021" s="3" t="s">
        <v>48100</v>
      </c>
      <c r="BA5021" s="3" t="s">
        <v>48100</v>
      </c>
      <c r="BB5021" s="3" t="s">
        <v>48101</v>
      </c>
      <c r="BC5021" s="3" t="s">
        <v>142</v>
      </c>
      <c r="BD5021" s="3" t="s">
        <v>68</v>
      </c>
      <c r="BE5021" s="3" t="s">
        <v>48102</v>
      </c>
      <c r="BF5021" s="3" t="s">
        <v>48101</v>
      </c>
      <c r="BG5021" s="3" t="s">
        <v>48103</v>
      </c>
    </row>
    <row r="5022" spans="1:59" ht="57" x14ac:dyDescent="0.45">
      <c r="A5022" s="2" t="s">
        <v>59</v>
      </c>
      <c r="B5022" s="2" t="s">
        <v>60</v>
      </c>
      <c r="C5022" s="2" t="s">
        <v>48104</v>
      </c>
      <c r="D5022" s="2" t="s">
        <v>48105</v>
      </c>
      <c r="E5022" s="2" t="s">
        <v>48106</v>
      </c>
      <c r="G5022" s="3" t="s">
        <v>62</v>
      </c>
      <c r="I5022" s="3" t="s">
        <v>62</v>
      </c>
      <c r="J5022" s="3" t="s">
        <v>61</v>
      </c>
      <c r="K5022" s="3" t="s">
        <v>63</v>
      </c>
      <c r="L5022" s="2" t="s">
        <v>48107</v>
      </c>
      <c r="M5022" s="2" t="s">
        <v>48108</v>
      </c>
      <c r="N5022" s="3" t="s">
        <v>1855</v>
      </c>
      <c r="O5022" s="2" t="s">
        <v>933</v>
      </c>
      <c r="P5022" s="3" t="s">
        <v>65</v>
      </c>
      <c r="Q5022" s="2" t="s">
        <v>38028</v>
      </c>
      <c r="R5022" s="3" t="s">
        <v>66</v>
      </c>
      <c r="S5022" s="4">
        <v>39</v>
      </c>
      <c r="T5022" s="4">
        <v>39</v>
      </c>
      <c r="U5022" s="5" t="s">
        <v>21859</v>
      </c>
      <c r="V5022" s="5" t="s">
        <v>21859</v>
      </c>
      <c r="W5022" s="5" t="s">
        <v>67</v>
      </c>
      <c r="X5022" s="5" t="s">
        <v>67</v>
      </c>
      <c r="Y5022" s="4">
        <v>168</v>
      </c>
      <c r="Z5022" s="4">
        <v>19</v>
      </c>
      <c r="AA5022" s="4">
        <v>40</v>
      </c>
      <c r="AB5022" s="4">
        <v>2</v>
      </c>
      <c r="AC5022" s="4">
        <v>8</v>
      </c>
      <c r="AD5022" s="4">
        <v>41</v>
      </c>
      <c r="AE5022" s="4">
        <v>97</v>
      </c>
      <c r="AF5022" s="4">
        <v>1</v>
      </c>
      <c r="AG5022" s="4">
        <v>4</v>
      </c>
      <c r="AH5022" s="4">
        <v>36</v>
      </c>
      <c r="AI5022" s="4">
        <v>78</v>
      </c>
      <c r="AJ5022" s="4">
        <v>10</v>
      </c>
      <c r="AK5022" s="4">
        <v>20</v>
      </c>
      <c r="AL5022" s="4">
        <v>17</v>
      </c>
      <c r="AM5022" s="4">
        <v>47</v>
      </c>
      <c r="AN5022" s="4">
        <v>0</v>
      </c>
      <c r="AO5022" s="4">
        <v>0</v>
      </c>
      <c r="AP5022" s="4">
        <v>12</v>
      </c>
      <c r="AQ5022" s="4">
        <v>27</v>
      </c>
      <c r="AR5022" s="3" t="s">
        <v>62</v>
      </c>
      <c r="AS5022" s="3" t="s">
        <v>62</v>
      </c>
      <c r="AT5022" s="3" t="s">
        <v>62</v>
      </c>
      <c r="AV5022" s="6" t="str">
        <f>HYPERLINK("http://mcgill.on.worldcat.org/oclc/62790096","Catalog Record")</f>
        <v>Catalog Record</v>
      </c>
      <c r="AW5022" s="6" t="str">
        <f>HYPERLINK("http://www.worldcat.org/oclc/62790096","WorldCat Record")</f>
        <v>WorldCat Record</v>
      </c>
      <c r="AX5022" s="3" t="s">
        <v>48109</v>
      </c>
      <c r="AY5022" s="3" t="s">
        <v>48110</v>
      </c>
      <c r="AZ5022" s="3" t="s">
        <v>48111</v>
      </c>
      <c r="BA5022" s="3" t="s">
        <v>48111</v>
      </c>
      <c r="BB5022" s="3" t="s">
        <v>48112</v>
      </c>
      <c r="BC5022" s="3" t="s">
        <v>142</v>
      </c>
      <c r="BD5022" s="3" t="s">
        <v>68</v>
      </c>
      <c r="BE5022" s="3" t="s">
        <v>48113</v>
      </c>
      <c r="BF5022" s="3" t="s">
        <v>48112</v>
      </c>
      <c r="BG5022" s="3" t="s">
        <v>48114</v>
      </c>
    </row>
    <row r="5023" spans="1:59" ht="57" x14ac:dyDescent="0.45">
      <c r="A5023" s="2" t="s">
        <v>59</v>
      </c>
      <c r="B5023" s="2" t="s">
        <v>60</v>
      </c>
      <c r="C5023" s="2" t="s">
        <v>48115</v>
      </c>
      <c r="D5023" s="2" t="s">
        <v>48116</v>
      </c>
      <c r="E5023" s="2" t="s">
        <v>48106</v>
      </c>
      <c r="G5023" s="3" t="s">
        <v>62</v>
      </c>
      <c r="I5023" s="3" t="s">
        <v>61</v>
      </c>
      <c r="J5023" s="3" t="s">
        <v>61</v>
      </c>
      <c r="K5023" s="3" t="s">
        <v>63</v>
      </c>
      <c r="L5023" s="2" t="s">
        <v>48117</v>
      </c>
      <c r="M5023" s="2" t="s">
        <v>48118</v>
      </c>
      <c r="N5023" s="3" t="s">
        <v>894</v>
      </c>
      <c r="O5023" s="2" t="s">
        <v>906</v>
      </c>
      <c r="P5023" s="3" t="s">
        <v>65</v>
      </c>
      <c r="Q5023" s="2" t="s">
        <v>38028</v>
      </c>
      <c r="R5023" s="3" t="s">
        <v>66</v>
      </c>
      <c r="S5023" s="4">
        <v>11</v>
      </c>
      <c r="T5023" s="4">
        <v>20</v>
      </c>
      <c r="U5023" s="5" t="s">
        <v>6831</v>
      </c>
      <c r="V5023" s="5" t="s">
        <v>48119</v>
      </c>
      <c r="W5023" s="5" t="s">
        <v>67</v>
      </c>
      <c r="X5023" s="5" t="s">
        <v>67</v>
      </c>
      <c r="Y5023" s="4">
        <v>11</v>
      </c>
      <c r="Z5023" s="4">
        <v>1</v>
      </c>
      <c r="AA5023" s="4">
        <v>40</v>
      </c>
      <c r="AB5023" s="4">
        <v>1</v>
      </c>
      <c r="AC5023" s="4">
        <v>8</v>
      </c>
      <c r="AD5023" s="4">
        <v>1</v>
      </c>
      <c r="AE5023" s="4">
        <v>97</v>
      </c>
      <c r="AF5023" s="4">
        <v>0</v>
      </c>
      <c r="AG5023" s="4">
        <v>4</v>
      </c>
      <c r="AH5023" s="4">
        <v>1</v>
      </c>
      <c r="AI5023" s="4">
        <v>78</v>
      </c>
      <c r="AJ5023" s="4">
        <v>0</v>
      </c>
      <c r="AK5023" s="4">
        <v>20</v>
      </c>
      <c r="AL5023" s="4">
        <v>1</v>
      </c>
      <c r="AM5023" s="4">
        <v>47</v>
      </c>
      <c r="AN5023" s="4">
        <v>0</v>
      </c>
      <c r="AO5023" s="4">
        <v>0</v>
      </c>
      <c r="AP5023" s="4">
        <v>0</v>
      </c>
      <c r="AQ5023" s="4">
        <v>27</v>
      </c>
      <c r="AR5023" s="3" t="s">
        <v>62</v>
      </c>
      <c r="AS5023" s="3" t="s">
        <v>62</v>
      </c>
      <c r="AT5023" s="3" t="s">
        <v>62</v>
      </c>
      <c r="AV5023" s="6" t="str">
        <f>HYPERLINK("http://mcgill.on.worldcat.org/oclc/703811700","Catalog Record")</f>
        <v>Catalog Record</v>
      </c>
      <c r="AW5023" s="6" t="str">
        <f>HYPERLINK("http://www.worldcat.org/oclc/703811700","WorldCat Record")</f>
        <v>WorldCat Record</v>
      </c>
      <c r="AX5023" s="3" t="s">
        <v>48109</v>
      </c>
      <c r="AY5023" s="3" t="s">
        <v>48120</v>
      </c>
      <c r="AZ5023" s="3" t="s">
        <v>48121</v>
      </c>
      <c r="BA5023" s="3" t="s">
        <v>48121</v>
      </c>
      <c r="BB5023" s="3" t="s">
        <v>48122</v>
      </c>
      <c r="BC5023" s="3" t="s">
        <v>142</v>
      </c>
      <c r="BD5023" s="3" t="s">
        <v>68</v>
      </c>
      <c r="BE5023" s="3" t="s">
        <v>48123</v>
      </c>
      <c r="BF5023" s="3" t="s">
        <v>48122</v>
      </c>
      <c r="BG5023" s="3" t="s">
        <v>48124</v>
      </c>
    </row>
    <row r="5024" spans="1:59" ht="57" x14ac:dyDescent="0.45">
      <c r="A5024" s="2" t="s">
        <v>59</v>
      </c>
      <c r="B5024" s="2" t="s">
        <v>60</v>
      </c>
      <c r="C5024" s="2" t="s">
        <v>48115</v>
      </c>
      <c r="D5024" s="2" t="s">
        <v>48116</v>
      </c>
      <c r="E5024" s="2" t="s">
        <v>48106</v>
      </c>
      <c r="G5024" s="3" t="s">
        <v>62</v>
      </c>
      <c r="I5024" s="3" t="s">
        <v>61</v>
      </c>
      <c r="J5024" s="3" t="s">
        <v>61</v>
      </c>
      <c r="K5024" s="3" t="s">
        <v>63</v>
      </c>
      <c r="L5024" s="2" t="s">
        <v>48117</v>
      </c>
      <c r="M5024" s="2" t="s">
        <v>48118</v>
      </c>
      <c r="N5024" s="3" t="s">
        <v>894</v>
      </c>
      <c r="O5024" s="2" t="s">
        <v>906</v>
      </c>
      <c r="P5024" s="3" t="s">
        <v>65</v>
      </c>
      <c r="Q5024" s="2" t="s">
        <v>38028</v>
      </c>
      <c r="R5024" s="3" t="s">
        <v>66</v>
      </c>
      <c r="S5024" s="4">
        <v>7</v>
      </c>
      <c r="T5024" s="4">
        <v>20</v>
      </c>
      <c r="U5024" s="5" t="s">
        <v>48119</v>
      </c>
      <c r="V5024" s="5" t="s">
        <v>48119</v>
      </c>
      <c r="W5024" s="5" t="s">
        <v>67</v>
      </c>
      <c r="X5024" s="5" t="s">
        <v>67</v>
      </c>
      <c r="Y5024" s="4">
        <v>11</v>
      </c>
      <c r="Z5024" s="4">
        <v>1</v>
      </c>
      <c r="AA5024" s="4">
        <v>40</v>
      </c>
      <c r="AB5024" s="4">
        <v>1</v>
      </c>
      <c r="AC5024" s="4">
        <v>8</v>
      </c>
      <c r="AD5024" s="4">
        <v>1</v>
      </c>
      <c r="AE5024" s="4">
        <v>97</v>
      </c>
      <c r="AF5024" s="4">
        <v>0</v>
      </c>
      <c r="AG5024" s="4">
        <v>4</v>
      </c>
      <c r="AH5024" s="4">
        <v>1</v>
      </c>
      <c r="AI5024" s="4">
        <v>78</v>
      </c>
      <c r="AJ5024" s="4">
        <v>0</v>
      </c>
      <c r="AK5024" s="4">
        <v>20</v>
      </c>
      <c r="AL5024" s="4">
        <v>1</v>
      </c>
      <c r="AM5024" s="4">
        <v>47</v>
      </c>
      <c r="AN5024" s="4">
        <v>0</v>
      </c>
      <c r="AO5024" s="4">
        <v>0</v>
      </c>
      <c r="AP5024" s="4">
        <v>0</v>
      </c>
      <c r="AQ5024" s="4">
        <v>27</v>
      </c>
      <c r="AR5024" s="3" t="s">
        <v>62</v>
      </c>
      <c r="AS5024" s="3" t="s">
        <v>62</v>
      </c>
      <c r="AT5024" s="3" t="s">
        <v>62</v>
      </c>
      <c r="AV5024" s="6" t="str">
        <f>HYPERLINK("http://mcgill.on.worldcat.org/oclc/703811700","Catalog Record")</f>
        <v>Catalog Record</v>
      </c>
      <c r="AW5024" s="6" t="str">
        <f>HYPERLINK("http://www.worldcat.org/oclc/703811700","WorldCat Record")</f>
        <v>WorldCat Record</v>
      </c>
      <c r="AX5024" s="3" t="s">
        <v>48109</v>
      </c>
      <c r="AY5024" s="3" t="s">
        <v>48120</v>
      </c>
      <c r="AZ5024" s="3" t="s">
        <v>48121</v>
      </c>
      <c r="BA5024" s="3" t="s">
        <v>48121</v>
      </c>
      <c r="BB5024" s="3" t="s">
        <v>48125</v>
      </c>
      <c r="BC5024" s="3" t="s">
        <v>142</v>
      </c>
      <c r="BD5024" s="3" t="s">
        <v>68</v>
      </c>
      <c r="BE5024" s="3" t="s">
        <v>48123</v>
      </c>
      <c r="BF5024" s="3" t="s">
        <v>48125</v>
      </c>
      <c r="BG5024" s="3" t="s">
        <v>48126</v>
      </c>
    </row>
    <row r="5025" spans="1:59" ht="57" x14ac:dyDescent="0.45">
      <c r="A5025" s="2" t="s">
        <v>59</v>
      </c>
      <c r="B5025" s="2" t="s">
        <v>60</v>
      </c>
      <c r="C5025" s="2" t="s">
        <v>48115</v>
      </c>
      <c r="D5025" s="2" t="s">
        <v>48116</v>
      </c>
      <c r="E5025" s="2" t="s">
        <v>48106</v>
      </c>
      <c r="G5025" s="3" t="s">
        <v>62</v>
      </c>
      <c r="I5025" s="3" t="s">
        <v>61</v>
      </c>
      <c r="J5025" s="3" t="s">
        <v>61</v>
      </c>
      <c r="K5025" s="3" t="s">
        <v>63</v>
      </c>
      <c r="L5025" s="2" t="s">
        <v>48117</v>
      </c>
      <c r="M5025" s="2" t="s">
        <v>48118</v>
      </c>
      <c r="N5025" s="3" t="s">
        <v>894</v>
      </c>
      <c r="O5025" s="2" t="s">
        <v>906</v>
      </c>
      <c r="P5025" s="3" t="s">
        <v>65</v>
      </c>
      <c r="Q5025" s="2" t="s">
        <v>38028</v>
      </c>
      <c r="R5025" s="3" t="s">
        <v>66</v>
      </c>
      <c r="S5025" s="4">
        <v>2</v>
      </c>
      <c r="T5025" s="4">
        <v>20</v>
      </c>
      <c r="U5025" s="5" t="s">
        <v>33877</v>
      </c>
      <c r="V5025" s="5" t="s">
        <v>48119</v>
      </c>
      <c r="W5025" s="5" t="s">
        <v>67</v>
      </c>
      <c r="X5025" s="5" t="s">
        <v>67</v>
      </c>
      <c r="Y5025" s="4">
        <v>11</v>
      </c>
      <c r="Z5025" s="4">
        <v>1</v>
      </c>
      <c r="AA5025" s="4">
        <v>40</v>
      </c>
      <c r="AB5025" s="4">
        <v>1</v>
      </c>
      <c r="AC5025" s="4">
        <v>8</v>
      </c>
      <c r="AD5025" s="4">
        <v>1</v>
      </c>
      <c r="AE5025" s="4">
        <v>97</v>
      </c>
      <c r="AF5025" s="4">
        <v>0</v>
      </c>
      <c r="AG5025" s="4">
        <v>4</v>
      </c>
      <c r="AH5025" s="4">
        <v>1</v>
      </c>
      <c r="AI5025" s="4">
        <v>78</v>
      </c>
      <c r="AJ5025" s="4">
        <v>0</v>
      </c>
      <c r="AK5025" s="4">
        <v>20</v>
      </c>
      <c r="AL5025" s="4">
        <v>1</v>
      </c>
      <c r="AM5025" s="4">
        <v>47</v>
      </c>
      <c r="AN5025" s="4">
        <v>0</v>
      </c>
      <c r="AO5025" s="4">
        <v>0</v>
      </c>
      <c r="AP5025" s="4">
        <v>0</v>
      </c>
      <c r="AQ5025" s="4">
        <v>27</v>
      </c>
      <c r="AR5025" s="3" t="s">
        <v>62</v>
      </c>
      <c r="AS5025" s="3" t="s">
        <v>62</v>
      </c>
      <c r="AT5025" s="3" t="s">
        <v>62</v>
      </c>
      <c r="AV5025" s="6" t="str">
        <f>HYPERLINK("http://mcgill.on.worldcat.org/oclc/703811700","Catalog Record")</f>
        <v>Catalog Record</v>
      </c>
      <c r="AW5025" s="6" t="str">
        <f>HYPERLINK("http://www.worldcat.org/oclc/703811700","WorldCat Record")</f>
        <v>WorldCat Record</v>
      </c>
      <c r="AX5025" s="3" t="s">
        <v>48109</v>
      </c>
      <c r="AY5025" s="3" t="s">
        <v>48120</v>
      </c>
      <c r="AZ5025" s="3" t="s">
        <v>48121</v>
      </c>
      <c r="BA5025" s="3" t="s">
        <v>48121</v>
      </c>
      <c r="BB5025" s="3" t="s">
        <v>48127</v>
      </c>
      <c r="BC5025" s="3" t="s">
        <v>142</v>
      </c>
      <c r="BD5025" s="3" t="s">
        <v>68</v>
      </c>
      <c r="BE5025" s="3" t="s">
        <v>48123</v>
      </c>
      <c r="BF5025" s="3" t="s">
        <v>48127</v>
      </c>
      <c r="BG5025" s="3" t="s">
        <v>48128</v>
      </c>
    </row>
    <row r="5026" spans="1:59" ht="57" x14ac:dyDescent="0.45">
      <c r="A5026" s="2" t="s">
        <v>59</v>
      </c>
      <c r="B5026" s="2" t="s">
        <v>60</v>
      </c>
      <c r="C5026" s="2" t="s">
        <v>48129</v>
      </c>
      <c r="D5026" s="2" t="s">
        <v>48130</v>
      </c>
      <c r="E5026" s="2" t="s">
        <v>48106</v>
      </c>
      <c r="G5026" s="3" t="s">
        <v>62</v>
      </c>
      <c r="I5026" s="3" t="s">
        <v>62</v>
      </c>
      <c r="J5026" s="3" t="s">
        <v>61</v>
      </c>
      <c r="K5026" s="3" t="s">
        <v>63</v>
      </c>
      <c r="L5026" s="2" t="s">
        <v>48131</v>
      </c>
      <c r="M5026" s="2" t="s">
        <v>48132</v>
      </c>
      <c r="N5026" s="3" t="s">
        <v>1918</v>
      </c>
      <c r="O5026" s="2" t="s">
        <v>10907</v>
      </c>
      <c r="P5026" s="3" t="s">
        <v>65</v>
      </c>
      <c r="Q5026" s="2" t="s">
        <v>38028</v>
      </c>
      <c r="R5026" s="3" t="s">
        <v>66</v>
      </c>
      <c r="S5026" s="4">
        <v>16</v>
      </c>
      <c r="T5026" s="4">
        <v>16</v>
      </c>
      <c r="U5026" s="5" t="s">
        <v>29969</v>
      </c>
      <c r="V5026" s="5" t="s">
        <v>29969</v>
      </c>
      <c r="W5026" s="5" t="s">
        <v>67</v>
      </c>
      <c r="X5026" s="5" t="s">
        <v>67</v>
      </c>
      <c r="Y5026" s="4">
        <v>40</v>
      </c>
      <c r="Z5026" s="4">
        <v>3</v>
      </c>
      <c r="AA5026" s="4">
        <v>40</v>
      </c>
      <c r="AB5026" s="4">
        <v>1</v>
      </c>
      <c r="AC5026" s="4">
        <v>8</v>
      </c>
      <c r="AD5026" s="4">
        <v>15</v>
      </c>
      <c r="AE5026" s="4">
        <v>97</v>
      </c>
      <c r="AF5026" s="4">
        <v>0</v>
      </c>
      <c r="AG5026" s="4">
        <v>4</v>
      </c>
      <c r="AH5026" s="4">
        <v>14</v>
      </c>
      <c r="AI5026" s="4">
        <v>78</v>
      </c>
      <c r="AJ5026" s="4">
        <v>2</v>
      </c>
      <c r="AK5026" s="4">
        <v>20</v>
      </c>
      <c r="AL5026" s="4">
        <v>10</v>
      </c>
      <c r="AM5026" s="4">
        <v>47</v>
      </c>
      <c r="AN5026" s="4">
        <v>0</v>
      </c>
      <c r="AO5026" s="4">
        <v>0</v>
      </c>
      <c r="AP5026" s="4">
        <v>2</v>
      </c>
      <c r="AQ5026" s="4">
        <v>27</v>
      </c>
      <c r="AR5026" s="3" t="s">
        <v>62</v>
      </c>
      <c r="AS5026" s="3" t="s">
        <v>62</v>
      </c>
      <c r="AT5026" s="3" t="s">
        <v>62</v>
      </c>
      <c r="AV5026" s="6" t="str">
        <f>HYPERLINK("http://mcgill.on.worldcat.org/oclc/958066102","Catalog Record")</f>
        <v>Catalog Record</v>
      </c>
      <c r="AW5026" s="6" t="str">
        <f>HYPERLINK("http://www.worldcat.org/oclc/958066102","WorldCat Record")</f>
        <v>WorldCat Record</v>
      </c>
      <c r="AX5026" s="3" t="s">
        <v>48109</v>
      </c>
      <c r="AY5026" s="3" t="s">
        <v>48133</v>
      </c>
      <c r="AZ5026" s="3" t="s">
        <v>48134</v>
      </c>
      <c r="BA5026" s="3" t="s">
        <v>48134</v>
      </c>
      <c r="BB5026" s="3" t="s">
        <v>48135</v>
      </c>
      <c r="BC5026" s="3" t="s">
        <v>142</v>
      </c>
      <c r="BD5026" s="3" t="s">
        <v>68</v>
      </c>
      <c r="BE5026" s="3" t="s">
        <v>48136</v>
      </c>
      <c r="BF5026" s="3" t="s">
        <v>48135</v>
      </c>
      <c r="BG5026" s="3" t="s">
        <v>48137</v>
      </c>
    </row>
    <row r="5027" spans="1:59" ht="57" x14ac:dyDescent="0.45">
      <c r="A5027" s="2" t="s">
        <v>59</v>
      </c>
      <c r="B5027" s="2" t="s">
        <v>60</v>
      </c>
      <c r="C5027" s="2" t="s">
        <v>48138</v>
      </c>
      <c r="D5027" s="2" t="s">
        <v>48139</v>
      </c>
      <c r="E5027" s="2" t="s">
        <v>48140</v>
      </c>
      <c r="G5027" s="3" t="s">
        <v>62</v>
      </c>
      <c r="I5027" s="3" t="s">
        <v>62</v>
      </c>
      <c r="J5027" s="3" t="s">
        <v>62</v>
      </c>
      <c r="K5027" s="3" t="s">
        <v>63</v>
      </c>
      <c r="L5027" s="2" t="s">
        <v>45200</v>
      </c>
      <c r="M5027" s="2" t="s">
        <v>2654</v>
      </c>
      <c r="N5027" s="3" t="s">
        <v>820</v>
      </c>
      <c r="P5027" s="3" t="s">
        <v>65</v>
      </c>
      <c r="Q5027" s="2" t="s">
        <v>21253</v>
      </c>
      <c r="R5027" s="3" t="s">
        <v>66</v>
      </c>
      <c r="S5027" s="4">
        <v>10</v>
      </c>
      <c r="T5027" s="4">
        <v>10</v>
      </c>
      <c r="U5027" s="5" t="s">
        <v>2702</v>
      </c>
      <c r="V5027" s="5" t="s">
        <v>2702</v>
      </c>
      <c r="W5027" s="5" t="s">
        <v>67</v>
      </c>
      <c r="X5027" s="5" t="s">
        <v>67</v>
      </c>
      <c r="Y5027" s="4">
        <v>188</v>
      </c>
      <c r="Z5027" s="4">
        <v>16</v>
      </c>
      <c r="AA5027" s="4">
        <v>104</v>
      </c>
      <c r="AB5027" s="4">
        <v>2</v>
      </c>
      <c r="AC5027" s="4">
        <v>21</v>
      </c>
      <c r="AD5027" s="4">
        <v>83</v>
      </c>
      <c r="AE5027" s="4">
        <v>142</v>
      </c>
      <c r="AF5027" s="4">
        <v>1</v>
      </c>
      <c r="AG5027" s="4">
        <v>9</v>
      </c>
      <c r="AH5027" s="4">
        <v>78</v>
      </c>
      <c r="AI5027" s="4">
        <v>98</v>
      </c>
      <c r="AJ5027" s="4">
        <v>13</v>
      </c>
      <c r="AK5027" s="4">
        <v>25</v>
      </c>
      <c r="AL5027" s="4">
        <v>47</v>
      </c>
      <c r="AM5027" s="4">
        <v>55</v>
      </c>
      <c r="AN5027" s="4">
        <v>0</v>
      </c>
      <c r="AO5027" s="4">
        <v>0</v>
      </c>
      <c r="AP5027" s="4">
        <v>14</v>
      </c>
      <c r="AQ5027" s="4">
        <v>54</v>
      </c>
      <c r="AR5027" s="3" t="s">
        <v>62</v>
      </c>
      <c r="AS5027" s="3" t="s">
        <v>62</v>
      </c>
      <c r="AT5027" s="3" t="s">
        <v>61</v>
      </c>
      <c r="AU5027" s="6" t="str">
        <f>HYPERLINK("http://catalog.hathitrust.org/Record/005655529","HathiTrust Record")</f>
        <v>HathiTrust Record</v>
      </c>
      <c r="AV5027" s="6" t="str">
        <f>HYPERLINK("http://mcgill.on.worldcat.org/oclc/180204925","Catalog Record")</f>
        <v>Catalog Record</v>
      </c>
      <c r="AW5027" s="6" t="str">
        <f>HYPERLINK("http://www.worldcat.org/oclc/180204925","WorldCat Record")</f>
        <v>WorldCat Record</v>
      </c>
      <c r="AX5027" s="3" t="s">
        <v>48141</v>
      </c>
      <c r="AY5027" s="3" t="s">
        <v>48142</v>
      </c>
      <c r="AZ5027" s="3" t="s">
        <v>48143</v>
      </c>
      <c r="BA5027" s="3" t="s">
        <v>48143</v>
      </c>
      <c r="BB5027" s="3" t="s">
        <v>48144</v>
      </c>
      <c r="BC5027" s="3" t="s">
        <v>142</v>
      </c>
      <c r="BD5027" s="3" t="s">
        <v>68</v>
      </c>
      <c r="BE5027" s="3" t="s">
        <v>48145</v>
      </c>
      <c r="BF5027" s="3" t="s">
        <v>48144</v>
      </c>
      <c r="BG5027" s="3" t="s">
        <v>48146</v>
      </c>
    </row>
    <row r="5028" spans="1:59" ht="57" x14ac:dyDescent="0.45">
      <c r="A5028" s="2" t="s">
        <v>59</v>
      </c>
      <c r="B5028" s="2" t="s">
        <v>60</v>
      </c>
      <c r="C5028" s="2" t="s">
        <v>48147</v>
      </c>
      <c r="D5028" s="2" t="s">
        <v>48148</v>
      </c>
      <c r="E5028" s="2" t="s">
        <v>48149</v>
      </c>
      <c r="G5028" s="3" t="s">
        <v>62</v>
      </c>
      <c r="I5028" s="3" t="s">
        <v>62</v>
      </c>
      <c r="J5028" s="3" t="s">
        <v>61</v>
      </c>
      <c r="K5028" s="3" t="s">
        <v>63</v>
      </c>
      <c r="M5028" s="2" t="s">
        <v>18274</v>
      </c>
      <c r="N5028" s="3" t="s">
        <v>894</v>
      </c>
      <c r="O5028" s="2" t="s">
        <v>933</v>
      </c>
      <c r="P5028" s="3" t="s">
        <v>65</v>
      </c>
      <c r="Q5028" s="2" t="s">
        <v>3014</v>
      </c>
      <c r="R5028" s="3" t="s">
        <v>66</v>
      </c>
      <c r="S5028" s="4">
        <v>5</v>
      </c>
      <c r="T5028" s="4">
        <v>5</v>
      </c>
      <c r="U5028" s="5" t="s">
        <v>20652</v>
      </c>
      <c r="V5028" s="5" t="s">
        <v>20652</v>
      </c>
      <c r="W5028" s="5" t="s">
        <v>67</v>
      </c>
      <c r="X5028" s="5" t="s">
        <v>67</v>
      </c>
      <c r="Y5028" s="4">
        <v>106</v>
      </c>
      <c r="Z5028" s="4">
        <v>9</v>
      </c>
      <c r="AA5028" s="4">
        <v>51</v>
      </c>
      <c r="AB5028" s="4">
        <v>1</v>
      </c>
      <c r="AC5028" s="4">
        <v>12</v>
      </c>
      <c r="AD5028" s="4">
        <v>35</v>
      </c>
      <c r="AE5028" s="4">
        <v>126</v>
      </c>
      <c r="AF5028" s="4">
        <v>0</v>
      </c>
      <c r="AG5028" s="4">
        <v>5</v>
      </c>
      <c r="AH5028" s="4">
        <v>31</v>
      </c>
      <c r="AI5028" s="4">
        <v>100</v>
      </c>
      <c r="AJ5028" s="4">
        <v>6</v>
      </c>
      <c r="AK5028" s="4">
        <v>21</v>
      </c>
      <c r="AL5028" s="4">
        <v>21</v>
      </c>
      <c r="AM5028" s="4">
        <v>55</v>
      </c>
      <c r="AN5028" s="4">
        <v>0</v>
      </c>
      <c r="AO5028" s="4">
        <v>0</v>
      </c>
      <c r="AP5028" s="4">
        <v>7</v>
      </c>
      <c r="AQ5028" s="4">
        <v>34</v>
      </c>
      <c r="AR5028" s="3" t="s">
        <v>62</v>
      </c>
      <c r="AS5028" s="3" t="s">
        <v>62</v>
      </c>
      <c r="AT5028" s="3" t="s">
        <v>62</v>
      </c>
      <c r="AV5028" s="6" t="str">
        <f>HYPERLINK("http://mcgill.on.worldcat.org/oclc/704557546","Catalog Record")</f>
        <v>Catalog Record</v>
      </c>
      <c r="AW5028" s="6" t="str">
        <f>HYPERLINK("http://www.worldcat.org/oclc/704557546","WorldCat Record")</f>
        <v>WorldCat Record</v>
      </c>
      <c r="AX5028" s="3" t="s">
        <v>48150</v>
      </c>
      <c r="AY5028" s="3" t="s">
        <v>48151</v>
      </c>
      <c r="AZ5028" s="3" t="s">
        <v>48152</v>
      </c>
      <c r="BA5028" s="3" t="s">
        <v>48152</v>
      </c>
      <c r="BB5028" s="3" t="s">
        <v>48153</v>
      </c>
      <c r="BC5028" s="3" t="s">
        <v>142</v>
      </c>
      <c r="BD5028" s="3" t="s">
        <v>68</v>
      </c>
      <c r="BE5028" s="3" t="s">
        <v>48154</v>
      </c>
      <c r="BF5028" s="3" t="s">
        <v>48153</v>
      </c>
      <c r="BG5028" s="3" t="s">
        <v>48155</v>
      </c>
    </row>
    <row r="5029" spans="1:59" ht="57" x14ac:dyDescent="0.45">
      <c r="A5029" s="2" t="s">
        <v>59</v>
      </c>
      <c r="B5029" s="2" t="s">
        <v>60</v>
      </c>
      <c r="C5029" s="2" t="s">
        <v>48156</v>
      </c>
      <c r="D5029" s="2" t="s">
        <v>48157</v>
      </c>
      <c r="E5029" s="2" t="s">
        <v>48158</v>
      </c>
      <c r="G5029" s="3" t="s">
        <v>62</v>
      </c>
      <c r="I5029" s="3" t="s">
        <v>62</v>
      </c>
      <c r="J5029" s="3" t="s">
        <v>62</v>
      </c>
      <c r="K5029" s="3" t="s">
        <v>63</v>
      </c>
      <c r="L5029" s="2" t="s">
        <v>48159</v>
      </c>
      <c r="M5029" s="2" t="s">
        <v>48160</v>
      </c>
      <c r="N5029" s="3" t="s">
        <v>1465</v>
      </c>
      <c r="P5029" s="3" t="s">
        <v>65</v>
      </c>
      <c r="Q5029" s="2" t="s">
        <v>48161</v>
      </c>
      <c r="R5029" s="3" t="s">
        <v>66</v>
      </c>
      <c r="S5029" s="4">
        <v>9</v>
      </c>
      <c r="T5029" s="4">
        <v>9</v>
      </c>
      <c r="U5029" s="5" t="s">
        <v>37572</v>
      </c>
      <c r="V5029" s="5" t="s">
        <v>37572</v>
      </c>
      <c r="W5029" s="5" t="s">
        <v>67</v>
      </c>
      <c r="X5029" s="5" t="s">
        <v>67</v>
      </c>
      <c r="Y5029" s="4">
        <v>225</v>
      </c>
      <c r="Z5029" s="4">
        <v>22</v>
      </c>
      <c r="AA5029" s="4">
        <v>30</v>
      </c>
      <c r="AB5029" s="4">
        <v>1</v>
      </c>
      <c r="AC5029" s="4">
        <v>5</v>
      </c>
      <c r="AD5029" s="4">
        <v>58</v>
      </c>
      <c r="AE5029" s="4">
        <v>69</v>
      </c>
      <c r="AF5029" s="4">
        <v>0</v>
      </c>
      <c r="AG5029" s="4">
        <v>2</v>
      </c>
      <c r="AH5029" s="4">
        <v>50</v>
      </c>
      <c r="AI5029" s="4">
        <v>57</v>
      </c>
      <c r="AJ5029" s="4">
        <v>14</v>
      </c>
      <c r="AK5029" s="4">
        <v>17</v>
      </c>
      <c r="AL5029" s="4">
        <v>33</v>
      </c>
      <c r="AM5029" s="4">
        <v>38</v>
      </c>
      <c r="AN5029" s="4">
        <v>0</v>
      </c>
      <c r="AO5029" s="4">
        <v>0</v>
      </c>
      <c r="AP5029" s="4">
        <v>17</v>
      </c>
      <c r="AQ5029" s="4">
        <v>21</v>
      </c>
      <c r="AR5029" s="3" t="s">
        <v>62</v>
      </c>
      <c r="AS5029" s="3" t="s">
        <v>62</v>
      </c>
      <c r="AT5029" s="3" t="s">
        <v>62</v>
      </c>
      <c r="AV5029" s="6" t="str">
        <f>HYPERLINK("http://mcgill.on.worldcat.org/oclc/212893710","Catalog Record")</f>
        <v>Catalog Record</v>
      </c>
      <c r="AW5029" s="6" t="str">
        <f>HYPERLINK("http://www.worldcat.org/oclc/212893710","WorldCat Record")</f>
        <v>WorldCat Record</v>
      </c>
      <c r="AX5029" s="3" t="s">
        <v>48162</v>
      </c>
      <c r="AY5029" s="3" t="s">
        <v>48163</v>
      </c>
      <c r="AZ5029" s="3" t="s">
        <v>48164</v>
      </c>
      <c r="BA5029" s="3" t="s">
        <v>48164</v>
      </c>
      <c r="BB5029" s="3" t="s">
        <v>48165</v>
      </c>
      <c r="BC5029" s="3" t="s">
        <v>142</v>
      </c>
      <c r="BD5029" s="3" t="s">
        <v>68</v>
      </c>
      <c r="BE5029" s="3" t="s">
        <v>48166</v>
      </c>
      <c r="BF5029" s="3" t="s">
        <v>48165</v>
      </c>
      <c r="BG5029" s="3" t="s">
        <v>48167</v>
      </c>
    </row>
    <row r="5030" spans="1:59" ht="57" x14ac:dyDescent="0.45">
      <c r="A5030" s="2" t="s">
        <v>59</v>
      </c>
      <c r="B5030" s="2" t="s">
        <v>60</v>
      </c>
      <c r="C5030" s="2" t="s">
        <v>48168</v>
      </c>
      <c r="D5030" s="2" t="s">
        <v>48169</v>
      </c>
      <c r="E5030" s="2" t="s">
        <v>48170</v>
      </c>
      <c r="G5030" s="3" t="s">
        <v>62</v>
      </c>
      <c r="I5030" s="3" t="s">
        <v>62</v>
      </c>
      <c r="J5030" s="3" t="s">
        <v>62</v>
      </c>
      <c r="K5030" s="3" t="s">
        <v>63</v>
      </c>
      <c r="L5030" s="2" t="s">
        <v>48171</v>
      </c>
      <c r="M5030" s="2" t="s">
        <v>19789</v>
      </c>
      <c r="N5030" s="3" t="s">
        <v>149</v>
      </c>
      <c r="P5030" s="3" t="s">
        <v>65</v>
      </c>
      <c r="Q5030" s="2" t="s">
        <v>48172</v>
      </c>
      <c r="R5030" s="3" t="s">
        <v>66</v>
      </c>
      <c r="S5030" s="4">
        <v>0</v>
      </c>
      <c r="T5030" s="4">
        <v>0</v>
      </c>
      <c r="W5030" s="5" t="s">
        <v>67</v>
      </c>
      <c r="X5030" s="5" t="s">
        <v>67</v>
      </c>
      <c r="Y5030" s="4">
        <v>99</v>
      </c>
      <c r="Z5030" s="4">
        <v>9</v>
      </c>
      <c r="AA5030" s="4">
        <v>9</v>
      </c>
      <c r="AB5030" s="4">
        <v>1</v>
      </c>
      <c r="AC5030" s="4">
        <v>1</v>
      </c>
      <c r="AD5030" s="4">
        <v>54</v>
      </c>
      <c r="AE5030" s="4">
        <v>56</v>
      </c>
      <c r="AF5030" s="4">
        <v>0</v>
      </c>
      <c r="AG5030" s="4">
        <v>0</v>
      </c>
      <c r="AH5030" s="4">
        <v>52</v>
      </c>
      <c r="AI5030" s="4">
        <v>54</v>
      </c>
      <c r="AJ5030" s="4">
        <v>8</v>
      </c>
      <c r="AK5030" s="4">
        <v>8</v>
      </c>
      <c r="AL5030" s="4">
        <v>26</v>
      </c>
      <c r="AM5030" s="4">
        <v>27</v>
      </c>
      <c r="AN5030" s="4">
        <v>0</v>
      </c>
      <c r="AO5030" s="4">
        <v>0</v>
      </c>
      <c r="AP5030" s="4">
        <v>8</v>
      </c>
      <c r="AQ5030" s="4">
        <v>8</v>
      </c>
      <c r="AR5030" s="3" t="s">
        <v>62</v>
      </c>
      <c r="AS5030" s="3" t="s">
        <v>62</v>
      </c>
      <c r="AT5030" s="3" t="s">
        <v>62</v>
      </c>
      <c r="AV5030" s="6" t="str">
        <f>HYPERLINK("http://mcgill.on.worldcat.org/oclc/468975882","Catalog Record")</f>
        <v>Catalog Record</v>
      </c>
      <c r="AW5030" s="6" t="str">
        <f>HYPERLINK("http://www.worldcat.org/oclc/468975882","WorldCat Record")</f>
        <v>WorldCat Record</v>
      </c>
      <c r="AX5030" s="3" t="s">
        <v>48173</v>
      </c>
      <c r="AY5030" s="3" t="s">
        <v>48174</v>
      </c>
      <c r="AZ5030" s="3" t="s">
        <v>48175</v>
      </c>
      <c r="BA5030" s="3" t="s">
        <v>48175</v>
      </c>
      <c r="BB5030" s="3" t="s">
        <v>48176</v>
      </c>
      <c r="BC5030" s="3" t="s">
        <v>142</v>
      </c>
      <c r="BD5030" s="3" t="s">
        <v>68</v>
      </c>
      <c r="BE5030" s="3" t="s">
        <v>48177</v>
      </c>
      <c r="BF5030" s="3" t="s">
        <v>48176</v>
      </c>
      <c r="BG5030" s="3" t="s">
        <v>48178</v>
      </c>
    </row>
    <row r="5031" spans="1:59" ht="57" x14ac:dyDescent="0.45">
      <c r="A5031" s="2" t="s">
        <v>59</v>
      </c>
      <c r="B5031" s="2" t="s">
        <v>60</v>
      </c>
      <c r="C5031" s="2" t="s">
        <v>48179</v>
      </c>
      <c r="D5031" s="2" t="s">
        <v>48180</v>
      </c>
      <c r="E5031" s="2" t="s">
        <v>48181</v>
      </c>
      <c r="G5031" s="3" t="s">
        <v>62</v>
      </c>
      <c r="I5031" s="3" t="s">
        <v>62</v>
      </c>
      <c r="J5031" s="3" t="s">
        <v>62</v>
      </c>
      <c r="K5031" s="3" t="s">
        <v>63</v>
      </c>
      <c r="L5031" s="2" t="s">
        <v>720</v>
      </c>
      <c r="M5031" s="2" t="s">
        <v>48182</v>
      </c>
      <c r="N5031" s="3" t="s">
        <v>1073</v>
      </c>
      <c r="P5031" s="3" t="s">
        <v>110</v>
      </c>
      <c r="Q5031" s="2" t="s">
        <v>48183</v>
      </c>
      <c r="R5031" s="3" t="s">
        <v>66</v>
      </c>
      <c r="S5031" s="4">
        <v>14</v>
      </c>
      <c r="T5031" s="4">
        <v>14</v>
      </c>
      <c r="U5031" s="5" t="s">
        <v>236</v>
      </c>
      <c r="V5031" s="5" t="s">
        <v>236</v>
      </c>
      <c r="W5031" s="5" t="s">
        <v>67</v>
      </c>
      <c r="X5031" s="5" t="s">
        <v>67</v>
      </c>
      <c r="Y5031" s="4">
        <v>153</v>
      </c>
      <c r="Z5031" s="4">
        <v>18</v>
      </c>
      <c r="AA5031" s="4">
        <v>35</v>
      </c>
      <c r="AB5031" s="4">
        <v>2</v>
      </c>
      <c r="AC5031" s="4">
        <v>16</v>
      </c>
      <c r="AD5031" s="4">
        <v>60</v>
      </c>
      <c r="AE5031" s="4">
        <v>69</v>
      </c>
      <c r="AF5031" s="4">
        <v>0</v>
      </c>
      <c r="AG5031" s="4">
        <v>6</v>
      </c>
      <c r="AH5031" s="4">
        <v>54</v>
      </c>
      <c r="AI5031" s="4">
        <v>57</v>
      </c>
      <c r="AJ5031" s="4">
        <v>13</v>
      </c>
      <c r="AK5031" s="4">
        <v>20</v>
      </c>
      <c r="AL5031" s="4">
        <v>37</v>
      </c>
      <c r="AM5031" s="4">
        <v>37</v>
      </c>
      <c r="AN5031" s="4">
        <v>0</v>
      </c>
      <c r="AO5031" s="4">
        <v>0</v>
      </c>
      <c r="AP5031" s="4">
        <v>14</v>
      </c>
      <c r="AQ5031" s="4">
        <v>22</v>
      </c>
      <c r="AR5031" s="3" t="s">
        <v>62</v>
      </c>
      <c r="AS5031" s="3" t="s">
        <v>62</v>
      </c>
      <c r="AT5031" s="3" t="s">
        <v>62</v>
      </c>
      <c r="AV5031" s="6" t="str">
        <f>HYPERLINK("http://mcgill.on.worldcat.org/oclc/2697981","Catalog Record")</f>
        <v>Catalog Record</v>
      </c>
      <c r="AW5031" s="6" t="str">
        <f>HYPERLINK("http://www.worldcat.org/oclc/2697981","WorldCat Record")</f>
        <v>WorldCat Record</v>
      </c>
      <c r="AX5031" s="3" t="s">
        <v>48184</v>
      </c>
      <c r="AY5031" s="3" t="s">
        <v>48185</v>
      </c>
      <c r="AZ5031" s="3" t="s">
        <v>48186</v>
      </c>
      <c r="BA5031" s="3" t="s">
        <v>48186</v>
      </c>
      <c r="BB5031" s="3" t="s">
        <v>48187</v>
      </c>
      <c r="BC5031" s="3" t="s">
        <v>142</v>
      </c>
      <c r="BD5031" s="3" t="s">
        <v>308</v>
      </c>
      <c r="BE5031" s="3" t="s">
        <v>48188</v>
      </c>
      <c r="BF5031" s="3" t="s">
        <v>48187</v>
      </c>
      <c r="BG5031" s="3" t="s">
        <v>48189</v>
      </c>
    </row>
    <row r="5032" spans="1:59" ht="57" x14ac:dyDescent="0.45">
      <c r="A5032" s="2" t="s">
        <v>59</v>
      </c>
      <c r="B5032" s="2" t="s">
        <v>412</v>
      </c>
      <c r="C5032" s="2" t="s">
        <v>48190</v>
      </c>
      <c r="D5032" s="2" t="s">
        <v>48191</v>
      </c>
      <c r="E5032" s="2" t="s">
        <v>48192</v>
      </c>
      <c r="G5032" s="3" t="s">
        <v>62</v>
      </c>
      <c r="I5032" s="3" t="s">
        <v>62</v>
      </c>
      <c r="J5032" s="3" t="s">
        <v>62</v>
      </c>
      <c r="K5032" s="3" t="s">
        <v>63</v>
      </c>
      <c r="L5032" s="2" t="s">
        <v>720</v>
      </c>
      <c r="M5032" s="2" t="s">
        <v>48193</v>
      </c>
      <c r="N5032" s="3" t="s">
        <v>583</v>
      </c>
      <c r="O5032" s="2" t="s">
        <v>17030</v>
      </c>
      <c r="P5032" s="3" t="s">
        <v>65</v>
      </c>
      <c r="R5032" s="3" t="s">
        <v>66</v>
      </c>
      <c r="S5032" s="4">
        <v>8</v>
      </c>
      <c r="T5032" s="4">
        <v>8</v>
      </c>
      <c r="U5032" s="5" t="s">
        <v>48194</v>
      </c>
      <c r="V5032" s="5" t="s">
        <v>48194</v>
      </c>
      <c r="W5032" s="5" t="s">
        <v>67</v>
      </c>
      <c r="X5032" s="5" t="s">
        <v>67</v>
      </c>
      <c r="Y5032" s="4">
        <v>440</v>
      </c>
      <c r="Z5032" s="4">
        <v>30</v>
      </c>
      <c r="AA5032" s="4">
        <v>43</v>
      </c>
      <c r="AB5032" s="4">
        <v>2</v>
      </c>
      <c r="AC5032" s="4">
        <v>8</v>
      </c>
      <c r="AD5032" s="4">
        <v>107</v>
      </c>
      <c r="AE5032" s="4">
        <v>128</v>
      </c>
      <c r="AF5032" s="4">
        <v>1</v>
      </c>
      <c r="AG5032" s="4">
        <v>5</v>
      </c>
      <c r="AH5032" s="4">
        <v>92</v>
      </c>
      <c r="AI5032" s="4">
        <v>104</v>
      </c>
      <c r="AJ5032" s="4">
        <v>14</v>
      </c>
      <c r="AK5032" s="4">
        <v>22</v>
      </c>
      <c r="AL5032" s="4">
        <v>51</v>
      </c>
      <c r="AM5032" s="4">
        <v>55</v>
      </c>
      <c r="AN5032" s="4">
        <v>0</v>
      </c>
      <c r="AO5032" s="4">
        <v>0</v>
      </c>
      <c r="AP5032" s="4">
        <v>21</v>
      </c>
      <c r="AQ5032" s="4">
        <v>30</v>
      </c>
      <c r="AR5032" s="3" t="s">
        <v>62</v>
      </c>
      <c r="AS5032" s="3" t="s">
        <v>62</v>
      </c>
      <c r="AT5032" s="3" t="s">
        <v>62</v>
      </c>
      <c r="AV5032" s="6" t="str">
        <f>HYPERLINK("http://mcgill.on.worldcat.org/oclc/3913421","Catalog Record")</f>
        <v>Catalog Record</v>
      </c>
      <c r="AW5032" s="6" t="str">
        <f>HYPERLINK("http://www.worldcat.org/oclc/3913421","WorldCat Record")</f>
        <v>WorldCat Record</v>
      </c>
      <c r="AX5032" s="3" t="s">
        <v>48195</v>
      </c>
      <c r="AY5032" s="3" t="s">
        <v>48196</v>
      </c>
      <c r="AZ5032" s="3" t="s">
        <v>48197</v>
      </c>
      <c r="BA5032" s="3" t="s">
        <v>48197</v>
      </c>
      <c r="BB5032" s="3" t="s">
        <v>48198</v>
      </c>
      <c r="BC5032" s="3" t="s">
        <v>142</v>
      </c>
      <c r="BD5032" s="3" t="s">
        <v>308</v>
      </c>
      <c r="BE5032" s="3" t="s">
        <v>48199</v>
      </c>
      <c r="BF5032" s="3" t="s">
        <v>48198</v>
      </c>
      <c r="BG5032" s="3" t="s">
        <v>48200</v>
      </c>
    </row>
    <row r="5033" spans="1:59" ht="85.5" x14ac:dyDescent="0.45">
      <c r="A5033" s="2" t="s">
        <v>59</v>
      </c>
      <c r="B5033" s="2" t="s">
        <v>60</v>
      </c>
      <c r="C5033" s="2" t="s">
        <v>48201</v>
      </c>
      <c r="D5033" s="2" t="s">
        <v>48202</v>
      </c>
      <c r="E5033" s="2" t="s">
        <v>48203</v>
      </c>
      <c r="G5033" s="3" t="s">
        <v>62</v>
      </c>
      <c r="I5033" s="3" t="s">
        <v>62</v>
      </c>
      <c r="J5033" s="3" t="s">
        <v>61</v>
      </c>
      <c r="K5033" s="3" t="s">
        <v>63</v>
      </c>
      <c r="L5033" s="2" t="s">
        <v>720</v>
      </c>
      <c r="M5033" s="2" t="s">
        <v>33598</v>
      </c>
      <c r="N5033" s="3" t="s">
        <v>970</v>
      </c>
      <c r="O5033" s="2" t="s">
        <v>48204</v>
      </c>
      <c r="P5033" s="3" t="s">
        <v>65</v>
      </c>
      <c r="R5033" s="3" t="s">
        <v>66</v>
      </c>
      <c r="S5033" s="4">
        <v>9</v>
      </c>
      <c r="T5033" s="4">
        <v>9</v>
      </c>
      <c r="U5033" s="5" t="s">
        <v>9777</v>
      </c>
      <c r="V5033" s="5" t="s">
        <v>9777</v>
      </c>
      <c r="W5033" s="5" t="s">
        <v>67</v>
      </c>
      <c r="X5033" s="5" t="s">
        <v>67</v>
      </c>
      <c r="Y5033" s="4">
        <v>118</v>
      </c>
      <c r="Z5033" s="4">
        <v>8</v>
      </c>
      <c r="AA5033" s="4">
        <v>101</v>
      </c>
      <c r="AB5033" s="4">
        <v>1</v>
      </c>
      <c r="AC5033" s="4">
        <v>14</v>
      </c>
      <c r="AD5033" s="4">
        <v>43</v>
      </c>
      <c r="AE5033" s="4">
        <v>158</v>
      </c>
      <c r="AF5033" s="4">
        <v>0</v>
      </c>
      <c r="AG5033" s="4">
        <v>8</v>
      </c>
      <c r="AH5033" s="4">
        <v>39</v>
      </c>
      <c r="AI5033" s="4">
        <v>115</v>
      </c>
      <c r="AJ5033" s="4">
        <v>6</v>
      </c>
      <c r="AK5033" s="4">
        <v>28</v>
      </c>
      <c r="AL5033" s="4">
        <v>27</v>
      </c>
      <c r="AM5033" s="4">
        <v>58</v>
      </c>
      <c r="AN5033" s="4">
        <v>0</v>
      </c>
      <c r="AO5033" s="4">
        <v>0</v>
      </c>
      <c r="AP5033" s="4">
        <v>6</v>
      </c>
      <c r="AQ5033" s="4">
        <v>53</v>
      </c>
      <c r="AR5033" s="3" t="s">
        <v>62</v>
      </c>
      <c r="AS5033" s="3" t="s">
        <v>62</v>
      </c>
      <c r="AT5033" s="3" t="s">
        <v>62</v>
      </c>
      <c r="AV5033" s="6" t="str">
        <f>HYPERLINK("http://mcgill.on.worldcat.org/oclc/49363107","Catalog Record")</f>
        <v>Catalog Record</v>
      </c>
      <c r="AW5033" s="6" t="str">
        <f>HYPERLINK("http://www.worldcat.org/oclc/49363107","WorldCat Record")</f>
        <v>WorldCat Record</v>
      </c>
      <c r="AX5033" s="3" t="s">
        <v>48205</v>
      </c>
      <c r="AY5033" s="3" t="s">
        <v>48206</v>
      </c>
      <c r="AZ5033" s="3" t="s">
        <v>48207</v>
      </c>
      <c r="BA5033" s="3" t="s">
        <v>48207</v>
      </c>
      <c r="BB5033" s="3" t="s">
        <v>48208</v>
      </c>
      <c r="BC5033" s="3" t="s">
        <v>142</v>
      </c>
      <c r="BD5033" s="3" t="s">
        <v>308</v>
      </c>
      <c r="BE5033" s="3" t="s">
        <v>48209</v>
      </c>
      <c r="BF5033" s="3" t="s">
        <v>48208</v>
      </c>
      <c r="BG5033" s="3" t="s">
        <v>48210</v>
      </c>
    </row>
    <row r="5034" spans="1:59" ht="57" x14ac:dyDescent="0.45">
      <c r="A5034" s="2" t="s">
        <v>59</v>
      </c>
      <c r="B5034" s="2" t="s">
        <v>60</v>
      </c>
      <c r="C5034" s="2" t="s">
        <v>48211</v>
      </c>
      <c r="D5034" s="2" t="s">
        <v>48212</v>
      </c>
      <c r="E5034" s="2" t="s">
        <v>48213</v>
      </c>
      <c r="G5034" s="3" t="s">
        <v>62</v>
      </c>
      <c r="I5034" s="3" t="s">
        <v>62</v>
      </c>
      <c r="J5034" s="3" t="s">
        <v>62</v>
      </c>
      <c r="K5034" s="3" t="s">
        <v>63</v>
      </c>
      <c r="L5034" s="2" t="s">
        <v>48214</v>
      </c>
      <c r="M5034" s="2" t="s">
        <v>48215</v>
      </c>
      <c r="N5034" s="3" t="s">
        <v>529</v>
      </c>
      <c r="P5034" s="3" t="s">
        <v>65</v>
      </c>
      <c r="R5034" s="3" t="s">
        <v>66</v>
      </c>
      <c r="S5034" s="4">
        <v>13</v>
      </c>
      <c r="T5034" s="4">
        <v>13</v>
      </c>
      <c r="U5034" s="5" t="s">
        <v>12858</v>
      </c>
      <c r="V5034" s="5" t="s">
        <v>12858</v>
      </c>
      <c r="W5034" s="5" t="s">
        <v>67</v>
      </c>
      <c r="X5034" s="5" t="s">
        <v>67</v>
      </c>
      <c r="Y5034" s="4">
        <v>285</v>
      </c>
      <c r="Z5034" s="4">
        <v>22</v>
      </c>
      <c r="AA5034" s="4">
        <v>25</v>
      </c>
      <c r="AB5034" s="4">
        <v>2</v>
      </c>
      <c r="AC5034" s="4">
        <v>5</v>
      </c>
      <c r="AD5034" s="4">
        <v>109</v>
      </c>
      <c r="AE5034" s="4">
        <v>111</v>
      </c>
      <c r="AF5034" s="4">
        <v>1</v>
      </c>
      <c r="AG5034" s="4">
        <v>3</v>
      </c>
      <c r="AH5034" s="4">
        <v>99</v>
      </c>
      <c r="AI5034" s="4">
        <v>99</v>
      </c>
      <c r="AJ5034" s="4">
        <v>18</v>
      </c>
      <c r="AK5034" s="4">
        <v>20</v>
      </c>
      <c r="AL5034" s="4">
        <v>57</v>
      </c>
      <c r="AM5034" s="4">
        <v>57</v>
      </c>
      <c r="AN5034" s="4">
        <v>0</v>
      </c>
      <c r="AO5034" s="4">
        <v>0</v>
      </c>
      <c r="AP5034" s="4">
        <v>20</v>
      </c>
      <c r="AQ5034" s="4">
        <v>21</v>
      </c>
      <c r="AR5034" s="3" t="s">
        <v>62</v>
      </c>
      <c r="AS5034" s="3" t="s">
        <v>62</v>
      </c>
      <c r="AT5034" s="3" t="s">
        <v>61</v>
      </c>
      <c r="AU5034" s="6" t="str">
        <f>HYPERLINK("http://catalog.hathitrust.org/Record/000568541","HathiTrust Record")</f>
        <v>HathiTrust Record</v>
      </c>
      <c r="AV5034" s="6" t="str">
        <f>HYPERLINK("http://mcgill.on.worldcat.org/oclc/10948842","Catalog Record")</f>
        <v>Catalog Record</v>
      </c>
      <c r="AW5034" s="6" t="str">
        <f>HYPERLINK("http://www.worldcat.org/oclc/10948842","WorldCat Record")</f>
        <v>WorldCat Record</v>
      </c>
      <c r="AX5034" s="3" t="s">
        <v>48216</v>
      </c>
      <c r="AY5034" s="3" t="s">
        <v>48217</v>
      </c>
      <c r="AZ5034" s="3" t="s">
        <v>48218</v>
      </c>
      <c r="BA5034" s="3" t="s">
        <v>48218</v>
      </c>
      <c r="BB5034" s="3" t="s">
        <v>48219</v>
      </c>
      <c r="BC5034" s="3" t="s">
        <v>142</v>
      </c>
      <c r="BD5034" s="3" t="s">
        <v>68</v>
      </c>
      <c r="BE5034" s="3" t="s">
        <v>48220</v>
      </c>
      <c r="BF5034" s="3" t="s">
        <v>48219</v>
      </c>
      <c r="BG5034" s="3" t="s">
        <v>48221</v>
      </c>
    </row>
    <row r="5035" spans="1:59" ht="57" x14ac:dyDescent="0.45">
      <c r="A5035" s="2" t="s">
        <v>59</v>
      </c>
      <c r="B5035" s="2" t="s">
        <v>60</v>
      </c>
      <c r="C5035" s="2" t="s">
        <v>48222</v>
      </c>
      <c r="D5035" s="2" t="s">
        <v>48223</v>
      </c>
      <c r="E5035" s="2" t="s">
        <v>48224</v>
      </c>
      <c r="G5035" s="3" t="s">
        <v>62</v>
      </c>
      <c r="I5035" s="3" t="s">
        <v>62</v>
      </c>
      <c r="J5035" s="3" t="s">
        <v>62</v>
      </c>
      <c r="K5035" s="3" t="s">
        <v>63</v>
      </c>
      <c r="L5035" s="2" t="s">
        <v>48225</v>
      </c>
      <c r="M5035" s="2" t="s">
        <v>48226</v>
      </c>
      <c r="N5035" s="3" t="s">
        <v>157</v>
      </c>
      <c r="P5035" s="3" t="s">
        <v>65</v>
      </c>
      <c r="Q5035" s="2" t="s">
        <v>48227</v>
      </c>
      <c r="R5035" s="3" t="s">
        <v>66</v>
      </c>
      <c r="S5035" s="4">
        <v>16</v>
      </c>
      <c r="T5035" s="4">
        <v>16</v>
      </c>
      <c r="U5035" s="5" t="s">
        <v>48228</v>
      </c>
      <c r="V5035" s="5" t="s">
        <v>48228</v>
      </c>
      <c r="W5035" s="5" t="s">
        <v>67</v>
      </c>
      <c r="X5035" s="5" t="s">
        <v>67</v>
      </c>
      <c r="Y5035" s="4">
        <v>232</v>
      </c>
      <c r="Z5035" s="4">
        <v>16</v>
      </c>
      <c r="AA5035" s="4">
        <v>77</v>
      </c>
      <c r="AB5035" s="4">
        <v>1</v>
      </c>
      <c r="AC5035" s="4">
        <v>14</v>
      </c>
      <c r="AD5035" s="4">
        <v>78</v>
      </c>
      <c r="AE5035" s="4">
        <v>124</v>
      </c>
      <c r="AF5035" s="4">
        <v>0</v>
      </c>
      <c r="AG5035" s="4">
        <v>8</v>
      </c>
      <c r="AH5035" s="4">
        <v>72</v>
      </c>
      <c r="AI5035" s="4">
        <v>90</v>
      </c>
      <c r="AJ5035" s="4">
        <v>14</v>
      </c>
      <c r="AK5035" s="4">
        <v>24</v>
      </c>
      <c r="AL5035" s="4">
        <v>42</v>
      </c>
      <c r="AM5035" s="4">
        <v>47</v>
      </c>
      <c r="AN5035" s="4">
        <v>0</v>
      </c>
      <c r="AO5035" s="4">
        <v>0</v>
      </c>
      <c r="AP5035" s="4">
        <v>14</v>
      </c>
      <c r="AQ5035" s="4">
        <v>44</v>
      </c>
      <c r="AR5035" s="3" t="s">
        <v>62</v>
      </c>
      <c r="AS5035" s="3" t="s">
        <v>62</v>
      </c>
      <c r="AT5035" s="3" t="s">
        <v>61</v>
      </c>
      <c r="AU5035" s="6" t="str">
        <f>HYPERLINK("http://catalog.hathitrust.org/Record/000435779","HathiTrust Record")</f>
        <v>HathiTrust Record</v>
      </c>
      <c r="AV5035" s="6" t="str">
        <f>HYPERLINK("http://mcgill.on.worldcat.org/oclc/8717305","Catalog Record")</f>
        <v>Catalog Record</v>
      </c>
      <c r="AW5035" s="6" t="str">
        <f>HYPERLINK("http://www.worldcat.org/oclc/8717305","WorldCat Record")</f>
        <v>WorldCat Record</v>
      </c>
      <c r="AX5035" s="3" t="s">
        <v>48229</v>
      </c>
      <c r="AY5035" s="3" t="s">
        <v>48230</v>
      </c>
      <c r="AZ5035" s="3" t="s">
        <v>48231</v>
      </c>
      <c r="BA5035" s="3" t="s">
        <v>48231</v>
      </c>
      <c r="BB5035" s="3" t="s">
        <v>48232</v>
      </c>
      <c r="BC5035" s="3" t="s">
        <v>142</v>
      </c>
      <c r="BD5035" s="3" t="s">
        <v>68</v>
      </c>
      <c r="BE5035" s="3" t="s">
        <v>48233</v>
      </c>
      <c r="BF5035" s="3" t="s">
        <v>48232</v>
      </c>
      <c r="BG5035" s="3" t="s">
        <v>48234</v>
      </c>
    </row>
    <row r="5036" spans="1:59" ht="57" x14ac:dyDescent="0.45">
      <c r="A5036" s="2" t="s">
        <v>59</v>
      </c>
      <c r="B5036" s="2" t="s">
        <v>60</v>
      </c>
      <c r="C5036" s="2" t="s">
        <v>48235</v>
      </c>
      <c r="D5036" s="2" t="s">
        <v>48236</v>
      </c>
      <c r="E5036" s="2" t="s">
        <v>48237</v>
      </c>
      <c r="G5036" s="3" t="s">
        <v>62</v>
      </c>
      <c r="I5036" s="3" t="s">
        <v>62</v>
      </c>
      <c r="J5036" s="3" t="s">
        <v>62</v>
      </c>
      <c r="K5036" s="3" t="s">
        <v>63</v>
      </c>
      <c r="L5036" s="2" t="s">
        <v>48238</v>
      </c>
      <c r="M5036" s="2" t="s">
        <v>48239</v>
      </c>
      <c r="N5036" s="3" t="s">
        <v>435</v>
      </c>
      <c r="P5036" s="3" t="s">
        <v>65</v>
      </c>
      <c r="R5036" s="3" t="s">
        <v>66</v>
      </c>
      <c r="S5036" s="4">
        <v>4</v>
      </c>
      <c r="T5036" s="4">
        <v>4</v>
      </c>
      <c r="U5036" s="5" t="s">
        <v>18812</v>
      </c>
      <c r="V5036" s="5" t="s">
        <v>18812</v>
      </c>
      <c r="W5036" s="5" t="s">
        <v>67</v>
      </c>
      <c r="X5036" s="5" t="s">
        <v>67</v>
      </c>
      <c r="Y5036" s="4">
        <v>504</v>
      </c>
      <c r="Z5036" s="4">
        <v>33</v>
      </c>
      <c r="AA5036" s="4">
        <v>39</v>
      </c>
      <c r="AB5036" s="4">
        <v>2</v>
      </c>
      <c r="AC5036" s="4">
        <v>8</v>
      </c>
      <c r="AD5036" s="4">
        <v>123</v>
      </c>
      <c r="AE5036" s="4">
        <v>126</v>
      </c>
      <c r="AF5036" s="4">
        <v>1</v>
      </c>
      <c r="AG5036" s="4">
        <v>4</v>
      </c>
      <c r="AH5036" s="4">
        <v>104</v>
      </c>
      <c r="AI5036" s="4">
        <v>105</v>
      </c>
      <c r="AJ5036" s="4">
        <v>21</v>
      </c>
      <c r="AK5036" s="4">
        <v>24</v>
      </c>
      <c r="AL5036" s="4">
        <v>55</v>
      </c>
      <c r="AM5036" s="4">
        <v>55</v>
      </c>
      <c r="AN5036" s="4">
        <v>0</v>
      </c>
      <c r="AO5036" s="4">
        <v>0</v>
      </c>
      <c r="AP5036" s="4">
        <v>27</v>
      </c>
      <c r="AQ5036" s="4">
        <v>29</v>
      </c>
      <c r="AR5036" s="3" t="s">
        <v>62</v>
      </c>
      <c r="AS5036" s="3" t="s">
        <v>62</v>
      </c>
      <c r="AT5036" s="3" t="s">
        <v>62</v>
      </c>
      <c r="AV5036" s="6" t="str">
        <f>HYPERLINK("http://mcgill.on.worldcat.org/oclc/69956","Catalog Record")</f>
        <v>Catalog Record</v>
      </c>
      <c r="AW5036" s="6" t="str">
        <f>HYPERLINK("http://www.worldcat.org/oclc/69956","WorldCat Record")</f>
        <v>WorldCat Record</v>
      </c>
      <c r="AX5036" s="3" t="s">
        <v>48240</v>
      </c>
      <c r="AY5036" s="3" t="s">
        <v>48241</v>
      </c>
      <c r="AZ5036" s="3" t="s">
        <v>48242</v>
      </c>
      <c r="BA5036" s="3" t="s">
        <v>48242</v>
      </c>
      <c r="BB5036" s="3" t="s">
        <v>48243</v>
      </c>
      <c r="BC5036" s="3" t="s">
        <v>142</v>
      </c>
      <c r="BD5036" s="3" t="s">
        <v>68</v>
      </c>
      <c r="BE5036" s="3" t="s">
        <v>48244</v>
      </c>
      <c r="BF5036" s="3" t="s">
        <v>48243</v>
      </c>
      <c r="BG5036" s="3" t="s">
        <v>48245</v>
      </c>
    </row>
    <row r="5037" spans="1:59" ht="57" x14ac:dyDescent="0.45">
      <c r="A5037" s="2" t="s">
        <v>59</v>
      </c>
      <c r="B5037" s="2" t="s">
        <v>60</v>
      </c>
      <c r="C5037" s="2" t="s">
        <v>48246</v>
      </c>
      <c r="D5037" s="2" t="s">
        <v>48247</v>
      </c>
      <c r="E5037" s="2" t="s">
        <v>48248</v>
      </c>
      <c r="G5037" s="3" t="s">
        <v>62</v>
      </c>
      <c r="I5037" s="3" t="s">
        <v>62</v>
      </c>
      <c r="J5037" s="3" t="s">
        <v>62</v>
      </c>
      <c r="K5037" s="3" t="s">
        <v>63</v>
      </c>
      <c r="L5037" s="2" t="s">
        <v>48249</v>
      </c>
      <c r="M5037" s="2" t="s">
        <v>48250</v>
      </c>
      <c r="N5037" s="3" t="s">
        <v>2107</v>
      </c>
      <c r="P5037" s="3" t="s">
        <v>65</v>
      </c>
      <c r="Q5037" s="2" t="s">
        <v>48251</v>
      </c>
      <c r="R5037" s="3" t="s">
        <v>66</v>
      </c>
      <c r="S5037" s="4">
        <v>45</v>
      </c>
      <c r="T5037" s="4">
        <v>45</v>
      </c>
      <c r="U5037" s="5" t="s">
        <v>18380</v>
      </c>
      <c r="V5037" s="5" t="s">
        <v>18380</v>
      </c>
      <c r="W5037" s="5" t="s">
        <v>67</v>
      </c>
      <c r="X5037" s="5" t="s">
        <v>67</v>
      </c>
      <c r="Y5037" s="4">
        <v>353</v>
      </c>
      <c r="Z5037" s="4">
        <v>29</v>
      </c>
      <c r="AA5037" s="4">
        <v>34</v>
      </c>
      <c r="AB5037" s="4">
        <v>4</v>
      </c>
      <c r="AC5037" s="4">
        <v>9</v>
      </c>
      <c r="AD5037" s="4">
        <v>120</v>
      </c>
      <c r="AE5037" s="4">
        <v>123</v>
      </c>
      <c r="AF5037" s="4">
        <v>2</v>
      </c>
      <c r="AG5037" s="4">
        <v>5</v>
      </c>
      <c r="AH5037" s="4">
        <v>105</v>
      </c>
      <c r="AI5037" s="4">
        <v>106</v>
      </c>
      <c r="AJ5037" s="4">
        <v>18</v>
      </c>
      <c r="AK5037" s="4">
        <v>21</v>
      </c>
      <c r="AL5037" s="4">
        <v>58</v>
      </c>
      <c r="AM5037" s="4">
        <v>58</v>
      </c>
      <c r="AN5037" s="4">
        <v>0</v>
      </c>
      <c r="AO5037" s="4">
        <v>0</v>
      </c>
      <c r="AP5037" s="4">
        <v>22</v>
      </c>
      <c r="AQ5037" s="4">
        <v>24</v>
      </c>
      <c r="AR5037" s="3" t="s">
        <v>62</v>
      </c>
      <c r="AS5037" s="3" t="s">
        <v>62</v>
      </c>
      <c r="AT5037" s="3" t="s">
        <v>62</v>
      </c>
      <c r="AV5037" s="6" t="str">
        <f>HYPERLINK("http://mcgill.on.worldcat.org/oclc/10724704","Catalog Record")</f>
        <v>Catalog Record</v>
      </c>
      <c r="AW5037" s="6" t="str">
        <f>HYPERLINK("http://www.worldcat.org/oclc/10724704","WorldCat Record")</f>
        <v>WorldCat Record</v>
      </c>
      <c r="AX5037" s="3" t="s">
        <v>48252</v>
      </c>
      <c r="AY5037" s="3" t="s">
        <v>48253</v>
      </c>
      <c r="AZ5037" s="3" t="s">
        <v>48254</v>
      </c>
      <c r="BA5037" s="3" t="s">
        <v>48254</v>
      </c>
      <c r="BB5037" s="3" t="s">
        <v>48255</v>
      </c>
      <c r="BC5037" s="3" t="s">
        <v>142</v>
      </c>
      <c r="BD5037" s="3" t="s">
        <v>68</v>
      </c>
      <c r="BE5037" s="3" t="s">
        <v>48256</v>
      </c>
      <c r="BF5037" s="3" t="s">
        <v>48255</v>
      </c>
      <c r="BG5037" s="3" t="s">
        <v>48257</v>
      </c>
    </row>
    <row r="5038" spans="1:59" ht="57" x14ac:dyDescent="0.45">
      <c r="A5038" s="2" t="s">
        <v>59</v>
      </c>
      <c r="B5038" s="2" t="s">
        <v>60</v>
      </c>
      <c r="C5038" s="2" t="s">
        <v>48258</v>
      </c>
      <c r="D5038" s="2" t="s">
        <v>48259</v>
      </c>
      <c r="E5038" s="2" t="s">
        <v>48260</v>
      </c>
      <c r="G5038" s="3" t="s">
        <v>62</v>
      </c>
      <c r="I5038" s="3" t="s">
        <v>62</v>
      </c>
      <c r="J5038" s="3" t="s">
        <v>61</v>
      </c>
      <c r="K5038" s="3" t="s">
        <v>63</v>
      </c>
      <c r="L5038" s="2" t="s">
        <v>48261</v>
      </c>
      <c r="M5038" s="2" t="s">
        <v>48262</v>
      </c>
      <c r="N5038" s="3" t="s">
        <v>16907</v>
      </c>
      <c r="P5038" s="3" t="s">
        <v>182</v>
      </c>
      <c r="Q5038" s="2" t="s">
        <v>48263</v>
      </c>
      <c r="R5038" s="3" t="s">
        <v>66</v>
      </c>
      <c r="S5038" s="4">
        <v>2</v>
      </c>
      <c r="T5038" s="4">
        <v>2</v>
      </c>
      <c r="U5038" s="5" t="s">
        <v>23463</v>
      </c>
      <c r="V5038" s="5" t="s">
        <v>23463</v>
      </c>
      <c r="W5038" s="5" t="s">
        <v>67</v>
      </c>
      <c r="X5038" s="5" t="s">
        <v>67</v>
      </c>
      <c r="Y5038" s="4">
        <v>126</v>
      </c>
      <c r="Z5038" s="4">
        <v>15</v>
      </c>
      <c r="AA5038" s="4">
        <v>23</v>
      </c>
      <c r="AB5038" s="4">
        <v>2</v>
      </c>
      <c r="AC5038" s="4">
        <v>5</v>
      </c>
      <c r="AD5038" s="4">
        <v>65</v>
      </c>
      <c r="AE5038" s="4">
        <v>81</v>
      </c>
      <c r="AF5038" s="4">
        <v>1</v>
      </c>
      <c r="AG5038" s="4">
        <v>4</v>
      </c>
      <c r="AH5038" s="4">
        <v>56</v>
      </c>
      <c r="AI5038" s="4">
        <v>69</v>
      </c>
      <c r="AJ5038" s="4">
        <v>12</v>
      </c>
      <c r="AK5038" s="4">
        <v>18</v>
      </c>
      <c r="AL5038" s="4">
        <v>36</v>
      </c>
      <c r="AM5038" s="4">
        <v>43</v>
      </c>
      <c r="AN5038" s="4">
        <v>0</v>
      </c>
      <c r="AO5038" s="4">
        <v>0</v>
      </c>
      <c r="AP5038" s="4">
        <v>13</v>
      </c>
      <c r="AQ5038" s="4">
        <v>19</v>
      </c>
      <c r="AR5038" s="3" t="s">
        <v>62</v>
      </c>
      <c r="AS5038" s="3" t="s">
        <v>62</v>
      </c>
      <c r="AT5038" s="3" t="s">
        <v>61</v>
      </c>
      <c r="AU5038" s="6" t="str">
        <f>HYPERLINK("http://catalog.hathitrust.org/Record/001435284","HathiTrust Record")</f>
        <v>HathiTrust Record</v>
      </c>
      <c r="AV5038" s="6" t="str">
        <f>HYPERLINK("http://mcgill.on.worldcat.org/oclc/1137198","Catalog Record")</f>
        <v>Catalog Record</v>
      </c>
      <c r="AW5038" s="6" t="str">
        <f>HYPERLINK("http://www.worldcat.org/oclc/1137198","WorldCat Record")</f>
        <v>WorldCat Record</v>
      </c>
      <c r="AX5038" s="3" t="s">
        <v>48264</v>
      </c>
      <c r="AY5038" s="3" t="s">
        <v>48265</v>
      </c>
      <c r="AZ5038" s="3" t="s">
        <v>48266</v>
      </c>
      <c r="BA5038" s="3" t="s">
        <v>48266</v>
      </c>
      <c r="BB5038" s="3" t="s">
        <v>48267</v>
      </c>
      <c r="BC5038" s="3" t="s">
        <v>142</v>
      </c>
      <c r="BD5038" s="3" t="s">
        <v>68</v>
      </c>
      <c r="BF5038" s="3" t="s">
        <v>48267</v>
      </c>
      <c r="BG5038" s="3" t="s">
        <v>48268</v>
      </c>
    </row>
    <row r="5039" spans="1:59" ht="57" x14ac:dyDescent="0.45">
      <c r="A5039" s="2" t="s">
        <v>59</v>
      </c>
      <c r="B5039" s="2" t="s">
        <v>60</v>
      </c>
      <c r="C5039" s="2" t="s">
        <v>48269</v>
      </c>
      <c r="D5039" s="2" t="s">
        <v>48270</v>
      </c>
      <c r="E5039" s="2" t="s">
        <v>48271</v>
      </c>
      <c r="G5039" s="3" t="s">
        <v>62</v>
      </c>
      <c r="I5039" s="3" t="s">
        <v>62</v>
      </c>
      <c r="J5039" s="3" t="s">
        <v>62</v>
      </c>
      <c r="K5039" s="3" t="s">
        <v>63</v>
      </c>
      <c r="L5039" s="2" t="s">
        <v>48272</v>
      </c>
      <c r="M5039" s="2" t="s">
        <v>48273</v>
      </c>
      <c r="N5039" s="3" t="s">
        <v>116</v>
      </c>
      <c r="P5039" s="3" t="s">
        <v>65</v>
      </c>
      <c r="Q5039" s="2" t="s">
        <v>48274</v>
      </c>
      <c r="R5039" s="3" t="s">
        <v>66</v>
      </c>
      <c r="S5039" s="4">
        <v>3</v>
      </c>
      <c r="T5039" s="4">
        <v>3</v>
      </c>
      <c r="U5039" s="5" t="s">
        <v>3294</v>
      </c>
      <c r="V5039" s="5" t="s">
        <v>3294</v>
      </c>
      <c r="W5039" s="5" t="s">
        <v>67</v>
      </c>
      <c r="X5039" s="5" t="s">
        <v>67</v>
      </c>
      <c r="Y5039" s="4">
        <v>73</v>
      </c>
      <c r="Z5039" s="4">
        <v>12</v>
      </c>
      <c r="AA5039" s="4">
        <v>13</v>
      </c>
      <c r="AB5039" s="4">
        <v>1</v>
      </c>
      <c r="AC5039" s="4">
        <v>2</v>
      </c>
      <c r="AD5039" s="4">
        <v>26</v>
      </c>
      <c r="AE5039" s="4">
        <v>34</v>
      </c>
      <c r="AF5039" s="4">
        <v>0</v>
      </c>
      <c r="AG5039" s="4">
        <v>1</v>
      </c>
      <c r="AH5039" s="4">
        <v>21</v>
      </c>
      <c r="AI5039" s="4">
        <v>28</v>
      </c>
      <c r="AJ5039" s="4">
        <v>9</v>
      </c>
      <c r="AK5039" s="4">
        <v>10</v>
      </c>
      <c r="AL5039" s="4">
        <v>13</v>
      </c>
      <c r="AM5039" s="4">
        <v>17</v>
      </c>
      <c r="AN5039" s="4">
        <v>0</v>
      </c>
      <c r="AO5039" s="4">
        <v>0</v>
      </c>
      <c r="AP5039" s="4">
        <v>10</v>
      </c>
      <c r="AQ5039" s="4">
        <v>10</v>
      </c>
      <c r="AR5039" s="3" t="s">
        <v>62</v>
      </c>
      <c r="AS5039" s="3" t="s">
        <v>62</v>
      </c>
      <c r="AT5039" s="3" t="s">
        <v>62</v>
      </c>
      <c r="AV5039" s="6" t="str">
        <f>HYPERLINK("http://mcgill.on.worldcat.org/oclc/829087696","Catalog Record")</f>
        <v>Catalog Record</v>
      </c>
      <c r="AW5039" s="6" t="str">
        <f>HYPERLINK("http://www.worldcat.org/oclc/829087696","WorldCat Record")</f>
        <v>WorldCat Record</v>
      </c>
      <c r="AX5039" s="3" t="s">
        <v>48275</v>
      </c>
      <c r="AY5039" s="3" t="s">
        <v>48276</v>
      </c>
      <c r="AZ5039" s="3" t="s">
        <v>48277</v>
      </c>
      <c r="BA5039" s="3" t="s">
        <v>48277</v>
      </c>
      <c r="BB5039" s="3" t="s">
        <v>48278</v>
      </c>
      <c r="BC5039" s="3" t="s">
        <v>142</v>
      </c>
      <c r="BD5039" s="3" t="s">
        <v>68</v>
      </c>
      <c r="BE5039" s="3" t="s">
        <v>48279</v>
      </c>
      <c r="BF5039" s="3" t="s">
        <v>48278</v>
      </c>
      <c r="BG5039" s="3" t="s">
        <v>48280</v>
      </c>
    </row>
    <row r="5040" spans="1:59" ht="57" x14ac:dyDescent="0.45">
      <c r="A5040" s="2" t="s">
        <v>59</v>
      </c>
      <c r="B5040" s="2" t="s">
        <v>60</v>
      </c>
      <c r="C5040" s="2" t="s">
        <v>48281</v>
      </c>
      <c r="D5040" s="2" t="s">
        <v>48282</v>
      </c>
      <c r="E5040" s="2" t="s">
        <v>48283</v>
      </c>
      <c r="G5040" s="3" t="s">
        <v>62</v>
      </c>
      <c r="I5040" s="3" t="s">
        <v>62</v>
      </c>
      <c r="J5040" s="3" t="s">
        <v>62</v>
      </c>
      <c r="K5040" s="3" t="s">
        <v>63</v>
      </c>
      <c r="M5040" s="2" t="s">
        <v>48284</v>
      </c>
      <c r="N5040" s="3" t="s">
        <v>1604</v>
      </c>
      <c r="P5040" s="3" t="s">
        <v>65</v>
      </c>
      <c r="Q5040" s="2" t="s">
        <v>48285</v>
      </c>
      <c r="R5040" s="3" t="s">
        <v>66</v>
      </c>
      <c r="S5040" s="4">
        <v>11</v>
      </c>
      <c r="T5040" s="4">
        <v>11</v>
      </c>
      <c r="U5040" s="5" t="s">
        <v>48286</v>
      </c>
      <c r="V5040" s="5" t="s">
        <v>48286</v>
      </c>
      <c r="W5040" s="5" t="s">
        <v>67</v>
      </c>
      <c r="X5040" s="5" t="s">
        <v>67</v>
      </c>
      <c r="Y5040" s="4">
        <v>187</v>
      </c>
      <c r="Z5040" s="4">
        <v>15</v>
      </c>
      <c r="AA5040" s="4">
        <v>18</v>
      </c>
      <c r="AB5040" s="4">
        <v>2</v>
      </c>
      <c r="AC5040" s="4">
        <v>5</v>
      </c>
      <c r="AD5040" s="4">
        <v>75</v>
      </c>
      <c r="AE5040" s="4">
        <v>78</v>
      </c>
      <c r="AF5040" s="4">
        <v>1</v>
      </c>
      <c r="AG5040" s="4">
        <v>4</v>
      </c>
      <c r="AH5040" s="4">
        <v>67</v>
      </c>
      <c r="AI5040" s="4">
        <v>68</v>
      </c>
      <c r="AJ5040" s="4">
        <v>13</v>
      </c>
      <c r="AK5040" s="4">
        <v>16</v>
      </c>
      <c r="AL5040" s="4">
        <v>42</v>
      </c>
      <c r="AM5040" s="4">
        <v>42</v>
      </c>
      <c r="AN5040" s="4">
        <v>0</v>
      </c>
      <c r="AO5040" s="4">
        <v>0</v>
      </c>
      <c r="AP5040" s="4">
        <v>13</v>
      </c>
      <c r="AQ5040" s="4">
        <v>15</v>
      </c>
      <c r="AR5040" s="3" t="s">
        <v>62</v>
      </c>
      <c r="AS5040" s="3" t="s">
        <v>62</v>
      </c>
      <c r="AT5040" s="3" t="s">
        <v>62</v>
      </c>
      <c r="AV5040" s="6" t="str">
        <f>HYPERLINK("http://mcgill.on.worldcat.org/oclc/30894548","Catalog Record")</f>
        <v>Catalog Record</v>
      </c>
      <c r="AW5040" s="6" t="str">
        <f>HYPERLINK("http://www.worldcat.org/oclc/30894548","WorldCat Record")</f>
        <v>WorldCat Record</v>
      </c>
      <c r="AX5040" s="3" t="s">
        <v>48287</v>
      </c>
      <c r="AY5040" s="3" t="s">
        <v>48288</v>
      </c>
      <c r="AZ5040" s="3" t="s">
        <v>48289</v>
      </c>
      <c r="BA5040" s="3" t="s">
        <v>48289</v>
      </c>
      <c r="BB5040" s="3" t="s">
        <v>48290</v>
      </c>
      <c r="BC5040" s="3" t="s">
        <v>142</v>
      </c>
      <c r="BD5040" s="3" t="s">
        <v>68</v>
      </c>
      <c r="BE5040" s="3" t="s">
        <v>48291</v>
      </c>
      <c r="BF5040" s="3" t="s">
        <v>48290</v>
      </c>
      <c r="BG5040" s="3" t="s">
        <v>48292</v>
      </c>
    </row>
    <row r="5041" spans="1:59" ht="57" x14ac:dyDescent="0.45">
      <c r="A5041" s="2" t="s">
        <v>59</v>
      </c>
      <c r="B5041" s="2" t="s">
        <v>60</v>
      </c>
      <c r="C5041" s="2" t="s">
        <v>48293</v>
      </c>
      <c r="D5041" s="2" t="s">
        <v>48294</v>
      </c>
      <c r="E5041" s="2" t="s">
        <v>48295</v>
      </c>
      <c r="G5041" s="3" t="s">
        <v>62</v>
      </c>
      <c r="I5041" s="3" t="s">
        <v>62</v>
      </c>
      <c r="J5041" s="3" t="s">
        <v>62</v>
      </c>
      <c r="K5041" s="3" t="s">
        <v>63</v>
      </c>
      <c r="M5041" s="2" t="s">
        <v>48296</v>
      </c>
      <c r="N5041" s="3" t="s">
        <v>1253</v>
      </c>
      <c r="P5041" s="3" t="s">
        <v>65</v>
      </c>
      <c r="Q5041" s="2" t="s">
        <v>48297</v>
      </c>
      <c r="R5041" s="3" t="s">
        <v>66</v>
      </c>
      <c r="S5041" s="4">
        <v>1</v>
      </c>
      <c r="T5041" s="4">
        <v>1</v>
      </c>
      <c r="U5041" s="5" t="s">
        <v>44113</v>
      </c>
      <c r="V5041" s="5" t="s">
        <v>44113</v>
      </c>
      <c r="W5041" s="5" t="s">
        <v>67</v>
      </c>
      <c r="X5041" s="5" t="s">
        <v>67</v>
      </c>
      <c r="Y5041" s="4">
        <v>44</v>
      </c>
      <c r="Z5041" s="4">
        <v>2</v>
      </c>
      <c r="AA5041" s="4">
        <v>2</v>
      </c>
      <c r="AB5041" s="4">
        <v>1</v>
      </c>
      <c r="AC5041" s="4">
        <v>1</v>
      </c>
      <c r="AD5041" s="4">
        <v>25</v>
      </c>
      <c r="AE5041" s="4">
        <v>27</v>
      </c>
      <c r="AF5041" s="4">
        <v>0</v>
      </c>
      <c r="AG5041" s="4">
        <v>0</v>
      </c>
      <c r="AH5041" s="4">
        <v>25</v>
      </c>
      <c r="AI5041" s="4">
        <v>27</v>
      </c>
      <c r="AJ5041" s="4">
        <v>1</v>
      </c>
      <c r="AK5041" s="4">
        <v>1</v>
      </c>
      <c r="AL5041" s="4">
        <v>20</v>
      </c>
      <c r="AM5041" s="4">
        <v>22</v>
      </c>
      <c r="AN5041" s="4">
        <v>0</v>
      </c>
      <c r="AO5041" s="4">
        <v>0</v>
      </c>
      <c r="AP5041" s="4">
        <v>1</v>
      </c>
      <c r="AQ5041" s="4">
        <v>1</v>
      </c>
      <c r="AR5041" s="3" t="s">
        <v>62</v>
      </c>
      <c r="AS5041" s="3" t="s">
        <v>62</v>
      </c>
      <c r="AT5041" s="3" t="s">
        <v>62</v>
      </c>
      <c r="AV5041" s="6" t="str">
        <f>HYPERLINK("http://mcgill.on.worldcat.org/oclc/37692671","Catalog Record")</f>
        <v>Catalog Record</v>
      </c>
      <c r="AW5041" s="6" t="str">
        <f>HYPERLINK("http://www.worldcat.org/oclc/37692671","WorldCat Record")</f>
        <v>WorldCat Record</v>
      </c>
      <c r="AX5041" s="3" t="s">
        <v>48298</v>
      </c>
      <c r="AY5041" s="3" t="s">
        <v>48299</v>
      </c>
      <c r="AZ5041" s="3" t="s">
        <v>48300</v>
      </c>
      <c r="BA5041" s="3" t="s">
        <v>48300</v>
      </c>
      <c r="BB5041" s="3" t="s">
        <v>48301</v>
      </c>
      <c r="BC5041" s="3" t="s">
        <v>142</v>
      </c>
      <c r="BD5041" s="3" t="s">
        <v>68</v>
      </c>
      <c r="BF5041" s="3" t="s">
        <v>48301</v>
      </c>
      <c r="BG5041" s="3" t="s">
        <v>48302</v>
      </c>
    </row>
    <row r="5042" spans="1:59" ht="57" x14ac:dyDescent="0.45">
      <c r="A5042" s="2" t="s">
        <v>59</v>
      </c>
      <c r="B5042" s="2" t="s">
        <v>60</v>
      </c>
      <c r="C5042" s="2" t="s">
        <v>48303</v>
      </c>
      <c r="D5042" s="2" t="s">
        <v>48304</v>
      </c>
      <c r="E5042" s="2" t="s">
        <v>48305</v>
      </c>
      <c r="G5042" s="3" t="s">
        <v>62</v>
      </c>
      <c r="I5042" s="3" t="s">
        <v>62</v>
      </c>
      <c r="J5042" s="3" t="s">
        <v>62</v>
      </c>
      <c r="K5042" s="3" t="s">
        <v>63</v>
      </c>
      <c r="M5042" s="2" t="s">
        <v>48306</v>
      </c>
      <c r="N5042" s="3" t="s">
        <v>1465</v>
      </c>
      <c r="P5042" s="3" t="s">
        <v>65</v>
      </c>
      <c r="Q5042" s="2" t="s">
        <v>48307</v>
      </c>
      <c r="R5042" s="3" t="s">
        <v>66</v>
      </c>
      <c r="S5042" s="4">
        <v>3</v>
      </c>
      <c r="T5042" s="4">
        <v>3</v>
      </c>
      <c r="U5042" s="5" t="s">
        <v>43278</v>
      </c>
      <c r="V5042" s="5" t="s">
        <v>43278</v>
      </c>
      <c r="W5042" s="5" t="s">
        <v>67</v>
      </c>
      <c r="X5042" s="5" t="s">
        <v>67</v>
      </c>
      <c r="Y5042" s="4">
        <v>99</v>
      </c>
      <c r="Z5042" s="4">
        <v>18</v>
      </c>
      <c r="AA5042" s="4">
        <v>81</v>
      </c>
      <c r="AB5042" s="4">
        <v>2</v>
      </c>
      <c r="AC5042" s="4">
        <v>14</v>
      </c>
      <c r="AD5042" s="4">
        <v>48</v>
      </c>
      <c r="AE5042" s="4">
        <v>105</v>
      </c>
      <c r="AF5042" s="4">
        <v>1</v>
      </c>
      <c r="AG5042" s="4">
        <v>8</v>
      </c>
      <c r="AH5042" s="4">
        <v>42</v>
      </c>
      <c r="AI5042" s="4">
        <v>71</v>
      </c>
      <c r="AJ5042" s="4">
        <v>12</v>
      </c>
      <c r="AK5042" s="4">
        <v>23</v>
      </c>
      <c r="AL5042" s="4">
        <v>26</v>
      </c>
      <c r="AM5042" s="4">
        <v>39</v>
      </c>
      <c r="AN5042" s="4">
        <v>0</v>
      </c>
      <c r="AO5042" s="4">
        <v>0</v>
      </c>
      <c r="AP5042" s="4">
        <v>13</v>
      </c>
      <c r="AQ5042" s="4">
        <v>43</v>
      </c>
      <c r="AR5042" s="3" t="s">
        <v>62</v>
      </c>
      <c r="AS5042" s="3" t="s">
        <v>62</v>
      </c>
      <c r="AT5042" s="3" t="s">
        <v>62</v>
      </c>
      <c r="AV5042" s="6" t="str">
        <f>HYPERLINK("http://mcgill.on.worldcat.org/oclc/131064765","Catalog Record")</f>
        <v>Catalog Record</v>
      </c>
      <c r="AW5042" s="6" t="str">
        <f>HYPERLINK("http://www.worldcat.org/oclc/131064765","WorldCat Record")</f>
        <v>WorldCat Record</v>
      </c>
      <c r="AX5042" s="3" t="s">
        <v>48308</v>
      </c>
      <c r="AY5042" s="3" t="s">
        <v>48309</v>
      </c>
      <c r="AZ5042" s="3" t="s">
        <v>48310</v>
      </c>
      <c r="BA5042" s="3" t="s">
        <v>48310</v>
      </c>
      <c r="BB5042" s="3" t="s">
        <v>48311</v>
      </c>
      <c r="BC5042" s="3" t="s">
        <v>142</v>
      </c>
      <c r="BD5042" s="3" t="s">
        <v>68</v>
      </c>
      <c r="BE5042" s="3" t="s">
        <v>48312</v>
      </c>
      <c r="BF5042" s="3" t="s">
        <v>48311</v>
      </c>
      <c r="BG5042" s="3" t="s">
        <v>48313</v>
      </c>
    </row>
    <row r="5043" spans="1:59" ht="57" x14ac:dyDescent="0.45">
      <c r="A5043" s="2" t="s">
        <v>59</v>
      </c>
      <c r="B5043" s="2" t="s">
        <v>60</v>
      </c>
      <c r="C5043" s="2" t="s">
        <v>48314</v>
      </c>
      <c r="D5043" s="2" t="s">
        <v>48315</v>
      </c>
      <c r="E5043" s="2" t="s">
        <v>48316</v>
      </c>
      <c r="G5043" s="3" t="s">
        <v>62</v>
      </c>
      <c r="I5043" s="3" t="s">
        <v>62</v>
      </c>
      <c r="J5043" s="3" t="s">
        <v>62</v>
      </c>
      <c r="K5043" s="3" t="s">
        <v>63</v>
      </c>
      <c r="M5043" s="2" t="s">
        <v>48317</v>
      </c>
      <c r="N5043" s="3" t="s">
        <v>970</v>
      </c>
      <c r="P5043" s="3" t="s">
        <v>65</v>
      </c>
      <c r="Q5043" s="2" t="s">
        <v>48318</v>
      </c>
      <c r="R5043" s="3" t="s">
        <v>66</v>
      </c>
      <c r="S5043" s="4">
        <v>4</v>
      </c>
      <c r="T5043" s="4">
        <v>4</v>
      </c>
      <c r="U5043" s="5" t="s">
        <v>24477</v>
      </c>
      <c r="V5043" s="5" t="s">
        <v>24477</v>
      </c>
      <c r="W5043" s="5" t="s">
        <v>67</v>
      </c>
      <c r="X5043" s="5" t="s">
        <v>67</v>
      </c>
      <c r="Y5043" s="4">
        <v>42</v>
      </c>
      <c r="Z5043" s="4">
        <v>2</v>
      </c>
      <c r="AA5043" s="4">
        <v>2</v>
      </c>
      <c r="AB5043" s="4">
        <v>1</v>
      </c>
      <c r="AC5043" s="4">
        <v>1</v>
      </c>
      <c r="AD5043" s="4">
        <v>26</v>
      </c>
      <c r="AE5043" s="4">
        <v>26</v>
      </c>
      <c r="AF5043" s="4">
        <v>0</v>
      </c>
      <c r="AG5043" s="4">
        <v>0</v>
      </c>
      <c r="AH5043" s="4">
        <v>26</v>
      </c>
      <c r="AI5043" s="4">
        <v>26</v>
      </c>
      <c r="AJ5043" s="4">
        <v>1</v>
      </c>
      <c r="AK5043" s="4">
        <v>1</v>
      </c>
      <c r="AL5043" s="4">
        <v>21</v>
      </c>
      <c r="AM5043" s="4">
        <v>21</v>
      </c>
      <c r="AN5043" s="4">
        <v>0</v>
      </c>
      <c r="AO5043" s="4">
        <v>0</v>
      </c>
      <c r="AP5043" s="4">
        <v>1</v>
      </c>
      <c r="AQ5043" s="4">
        <v>1</v>
      </c>
      <c r="AR5043" s="3" t="s">
        <v>62</v>
      </c>
      <c r="AS5043" s="3" t="s">
        <v>62</v>
      </c>
      <c r="AT5043" s="3" t="s">
        <v>62</v>
      </c>
      <c r="AV5043" s="6" t="str">
        <f>HYPERLINK("http://mcgill.on.worldcat.org/oclc/50179457","Catalog Record")</f>
        <v>Catalog Record</v>
      </c>
      <c r="AW5043" s="6" t="str">
        <f>HYPERLINK("http://www.worldcat.org/oclc/50179457","WorldCat Record")</f>
        <v>WorldCat Record</v>
      </c>
      <c r="AX5043" s="3" t="s">
        <v>48319</v>
      </c>
      <c r="AY5043" s="3" t="s">
        <v>48320</v>
      </c>
      <c r="AZ5043" s="3" t="s">
        <v>48321</v>
      </c>
      <c r="BA5043" s="3" t="s">
        <v>48321</v>
      </c>
      <c r="BB5043" s="3" t="s">
        <v>48322</v>
      </c>
      <c r="BC5043" s="3" t="s">
        <v>142</v>
      </c>
      <c r="BD5043" s="3" t="s">
        <v>68</v>
      </c>
      <c r="BF5043" s="3" t="s">
        <v>48322</v>
      </c>
      <c r="BG5043" s="3" t="s">
        <v>48323</v>
      </c>
    </row>
    <row r="5044" spans="1:59" ht="57" x14ac:dyDescent="0.45">
      <c r="A5044" s="2" t="s">
        <v>59</v>
      </c>
      <c r="B5044" s="2" t="s">
        <v>60</v>
      </c>
      <c r="C5044" s="2" t="s">
        <v>48324</v>
      </c>
      <c r="D5044" s="2" t="s">
        <v>48325</v>
      </c>
      <c r="E5044" s="2" t="s">
        <v>48326</v>
      </c>
      <c r="G5044" s="3" t="s">
        <v>62</v>
      </c>
      <c r="I5044" s="3" t="s">
        <v>62</v>
      </c>
      <c r="J5044" s="3" t="s">
        <v>62</v>
      </c>
      <c r="K5044" s="3" t="s">
        <v>63</v>
      </c>
      <c r="M5044" s="2" t="s">
        <v>9379</v>
      </c>
      <c r="N5044" s="3" t="s">
        <v>1212</v>
      </c>
      <c r="P5044" s="3" t="s">
        <v>65</v>
      </c>
      <c r="Q5044" s="2" t="s">
        <v>21253</v>
      </c>
      <c r="R5044" s="3" t="s">
        <v>66</v>
      </c>
      <c r="S5044" s="4">
        <v>8</v>
      </c>
      <c r="T5044" s="4">
        <v>8</v>
      </c>
      <c r="U5044" s="5" t="s">
        <v>12338</v>
      </c>
      <c r="V5044" s="5" t="s">
        <v>12338</v>
      </c>
      <c r="W5044" s="5" t="s">
        <v>67</v>
      </c>
      <c r="X5044" s="5" t="s">
        <v>67</v>
      </c>
      <c r="Y5044" s="4">
        <v>224</v>
      </c>
      <c r="Z5044" s="4">
        <v>17</v>
      </c>
      <c r="AA5044" s="4">
        <v>52</v>
      </c>
      <c r="AB5044" s="4">
        <v>2</v>
      </c>
      <c r="AC5044" s="4">
        <v>15</v>
      </c>
      <c r="AD5044" s="4">
        <v>94</v>
      </c>
      <c r="AE5044" s="4">
        <v>123</v>
      </c>
      <c r="AF5044" s="4">
        <v>1</v>
      </c>
      <c r="AG5044" s="4">
        <v>8</v>
      </c>
      <c r="AH5044" s="4">
        <v>86</v>
      </c>
      <c r="AI5044" s="4">
        <v>88</v>
      </c>
      <c r="AJ5044" s="4">
        <v>13</v>
      </c>
      <c r="AK5044" s="4">
        <v>20</v>
      </c>
      <c r="AL5044" s="4">
        <v>47</v>
      </c>
      <c r="AM5044" s="4">
        <v>48</v>
      </c>
      <c r="AN5044" s="4">
        <v>0</v>
      </c>
      <c r="AO5044" s="4">
        <v>0</v>
      </c>
      <c r="AP5044" s="4">
        <v>15</v>
      </c>
      <c r="AQ5044" s="4">
        <v>41</v>
      </c>
      <c r="AR5044" s="3" t="s">
        <v>62</v>
      </c>
      <c r="AS5044" s="3" t="s">
        <v>62</v>
      </c>
      <c r="AT5044" s="3" t="s">
        <v>61</v>
      </c>
      <c r="AU5044" s="6" t="str">
        <f>HYPERLINK("http://catalog.hathitrust.org/Record/004165876","HathiTrust Record")</f>
        <v>HathiTrust Record</v>
      </c>
      <c r="AV5044" s="6" t="str">
        <f>HYPERLINK("http://mcgill.on.worldcat.org/oclc/45093917","Catalog Record")</f>
        <v>Catalog Record</v>
      </c>
      <c r="AW5044" s="6" t="str">
        <f>HYPERLINK("http://www.worldcat.org/oclc/45093917","WorldCat Record")</f>
        <v>WorldCat Record</v>
      </c>
      <c r="AX5044" s="3" t="s">
        <v>48327</v>
      </c>
      <c r="AY5044" s="3" t="s">
        <v>48328</v>
      </c>
      <c r="AZ5044" s="3" t="s">
        <v>48329</v>
      </c>
      <c r="BA5044" s="3" t="s">
        <v>48329</v>
      </c>
      <c r="BB5044" s="3" t="s">
        <v>48330</v>
      </c>
      <c r="BC5044" s="3" t="s">
        <v>142</v>
      </c>
      <c r="BD5044" s="3" t="s">
        <v>68</v>
      </c>
      <c r="BE5044" s="3" t="s">
        <v>48331</v>
      </c>
      <c r="BF5044" s="3" t="s">
        <v>48330</v>
      </c>
      <c r="BG5044" s="3" t="s">
        <v>48332</v>
      </c>
    </row>
    <row r="5045" spans="1:59" ht="57" x14ac:dyDescent="0.45">
      <c r="A5045" s="2" t="s">
        <v>59</v>
      </c>
      <c r="B5045" s="2" t="s">
        <v>60</v>
      </c>
      <c r="C5045" s="2" t="s">
        <v>48333</v>
      </c>
      <c r="D5045" s="2" t="s">
        <v>48334</v>
      </c>
      <c r="E5045" s="2" t="s">
        <v>48335</v>
      </c>
      <c r="G5045" s="3" t="s">
        <v>62</v>
      </c>
      <c r="I5045" s="3" t="s">
        <v>62</v>
      </c>
      <c r="J5045" s="3" t="s">
        <v>62</v>
      </c>
      <c r="K5045" s="3" t="s">
        <v>63</v>
      </c>
      <c r="M5045" s="2" t="s">
        <v>35130</v>
      </c>
      <c r="N5045" s="3" t="s">
        <v>958</v>
      </c>
      <c r="P5045" s="3" t="s">
        <v>65</v>
      </c>
      <c r="Q5045" s="2" t="s">
        <v>48336</v>
      </c>
      <c r="R5045" s="3" t="s">
        <v>66</v>
      </c>
      <c r="S5045" s="4">
        <v>19</v>
      </c>
      <c r="T5045" s="4">
        <v>19</v>
      </c>
      <c r="U5045" s="5" t="s">
        <v>48337</v>
      </c>
      <c r="V5045" s="5" t="s">
        <v>48337</v>
      </c>
      <c r="W5045" s="5" t="s">
        <v>67</v>
      </c>
      <c r="X5045" s="5" t="s">
        <v>67</v>
      </c>
      <c r="Y5045" s="4">
        <v>219</v>
      </c>
      <c r="Z5045" s="4">
        <v>15</v>
      </c>
      <c r="AA5045" s="4">
        <v>19</v>
      </c>
      <c r="AB5045" s="4">
        <v>1</v>
      </c>
      <c r="AC5045" s="4">
        <v>5</v>
      </c>
      <c r="AD5045" s="4">
        <v>93</v>
      </c>
      <c r="AE5045" s="4">
        <v>96</v>
      </c>
      <c r="AF5045" s="4">
        <v>0</v>
      </c>
      <c r="AG5045" s="4">
        <v>3</v>
      </c>
      <c r="AH5045" s="4">
        <v>84</v>
      </c>
      <c r="AI5045" s="4">
        <v>85</v>
      </c>
      <c r="AJ5045" s="4">
        <v>12</v>
      </c>
      <c r="AK5045" s="4">
        <v>15</v>
      </c>
      <c r="AL5045" s="4">
        <v>52</v>
      </c>
      <c r="AM5045" s="4">
        <v>52</v>
      </c>
      <c r="AN5045" s="4">
        <v>0</v>
      </c>
      <c r="AO5045" s="4">
        <v>0</v>
      </c>
      <c r="AP5045" s="4">
        <v>13</v>
      </c>
      <c r="AQ5045" s="4">
        <v>15</v>
      </c>
      <c r="AR5045" s="3" t="s">
        <v>62</v>
      </c>
      <c r="AS5045" s="3" t="s">
        <v>62</v>
      </c>
      <c r="AT5045" s="3" t="s">
        <v>62</v>
      </c>
      <c r="AV5045" s="6" t="str">
        <f>HYPERLINK("http://mcgill.on.worldcat.org/oclc/31737489","Catalog Record")</f>
        <v>Catalog Record</v>
      </c>
      <c r="AW5045" s="6" t="str">
        <f>HYPERLINK("http://www.worldcat.org/oclc/31737489","WorldCat Record")</f>
        <v>WorldCat Record</v>
      </c>
      <c r="AX5045" s="3" t="s">
        <v>48338</v>
      </c>
      <c r="AY5045" s="3" t="s">
        <v>48339</v>
      </c>
      <c r="AZ5045" s="3" t="s">
        <v>48340</v>
      </c>
      <c r="BA5045" s="3" t="s">
        <v>48340</v>
      </c>
      <c r="BB5045" s="3" t="s">
        <v>48341</v>
      </c>
      <c r="BC5045" s="3" t="s">
        <v>142</v>
      </c>
      <c r="BD5045" s="3" t="s">
        <v>68</v>
      </c>
      <c r="BE5045" s="3" t="s">
        <v>48342</v>
      </c>
      <c r="BF5045" s="3" t="s">
        <v>48341</v>
      </c>
      <c r="BG5045" s="3" t="s">
        <v>48343</v>
      </c>
    </row>
    <row r="5046" spans="1:59" ht="57" x14ac:dyDescent="0.45">
      <c r="A5046" s="2" t="s">
        <v>59</v>
      </c>
      <c r="B5046" s="2" t="s">
        <v>60</v>
      </c>
      <c r="C5046" s="2" t="s">
        <v>48344</v>
      </c>
      <c r="D5046" s="2" t="s">
        <v>48345</v>
      </c>
      <c r="E5046" s="2" t="s">
        <v>48346</v>
      </c>
      <c r="G5046" s="3" t="s">
        <v>62</v>
      </c>
      <c r="I5046" s="3" t="s">
        <v>62</v>
      </c>
      <c r="J5046" s="3" t="s">
        <v>62</v>
      </c>
      <c r="K5046" s="3" t="s">
        <v>63</v>
      </c>
      <c r="M5046" s="2" t="s">
        <v>48347</v>
      </c>
      <c r="N5046" s="3" t="s">
        <v>945</v>
      </c>
      <c r="P5046" s="3" t="s">
        <v>65</v>
      </c>
      <c r="Q5046" s="2" t="s">
        <v>8317</v>
      </c>
      <c r="R5046" s="3" t="s">
        <v>66</v>
      </c>
      <c r="S5046" s="4">
        <v>8</v>
      </c>
      <c r="T5046" s="4">
        <v>8</v>
      </c>
      <c r="U5046" s="5" t="s">
        <v>5139</v>
      </c>
      <c r="V5046" s="5" t="s">
        <v>5139</v>
      </c>
      <c r="W5046" s="5" t="s">
        <v>67</v>
      </c>
      <c r="X5046" s="5" t="s">
        <v>67</v>
      </c>
      <c r="Y5046" s="4">
        <v>171</v>
      </c>
      <c r="Z5046" s="4">
        <v>15</v>
      </c>
      <c r="AA5046" s="4">
        <v>21</v>
      </c>
      <c r="AB5046" s="4">
        <v>2</v>
      </c>
      <c r="AC5046" s="4">
        <v>5</v>
      </c>
      <c r="AD5046" s="4">
        <v>71</v>
      </c>
      <c r="AE5046" s="4">
        <v>76</v>
      </c>
      <c r="AF5046" s="4">
        <v>1</v>
      </c>
      <c r="AG5046" s="4">
        <v>2</v>
      </c>
      <c r="AH5046" s="4">
        <v>66</v>
      </c>
      <c r="AI5046" s="4">
        <v>68</v>
      </c>
      <c r="AJ5046" s="4">
        <v>13</v>
      </c>
      <c r="AK5046" s="4">
        <v>15</v>
      </c>
      <c r="AL5046" s="4">
        <v>41</v>
      </c>
      <c r="AM5046" s="4">
        <v>42</v>
      </c>
      <c r="AN5046" s="4">
        <v>0</v>
      </c>
      <c r="AO5046" s="4">
        <v>0</v>
      </c>
      <c r="AP5046" s="4">
        <v>13</v>
      </c>
      <c r="AQ5046" s="4">
        <v>17</v>
      </c>
      <c r="AR5046" s="3" t="s">
        <v>62</v>
      </c>
      <c r="AS5046" s="3" t="s">
        <v>62</v>
      </c>
      <c r="AT5046" s="3" t="s">
        <v>62</v>
      </c>
      <c r="AV5046" s="6" t="str">
        <f>HYPERLINK("http://mcgill.on.worldcat.org/oclc/76937357","Catalog Record")</f>
        <v>Catalog Record</v>
      </c>
      <c r="AW5046" s="6" t="str">
        <f>HYPERLINK("http://www.worldcat.org/oclc/76937357","WorldCat Record")</f>
        <v>WorldCat Record</v>
      </c>
      <c r="AX5046" s="3" t="s">
        <v>48348</v>
      </c>
      <c r="AY5046" s="3" t="s">
        <v>48349</v>
      </c>
      <c r="AZ5046" s="3" t="s">
        <v>48350</v>
      </c>
      <c r="BA5046" s="3" t="s">
        <v>48350</v>
      </c>
      <c r="BB5046" s="3" t="s">
        <v>48351</v>
      </c>
      <c r="BC5046" s="3" t="s">
        <v>142</v>
      </c>
      <c r="BD5046" s="3" t="s">
        <v>68</v>
      </c>
      <c r="BE5046" s="3" t="s">
        <v>48352</v>
      </c>
      <c r="BF5046" s="3" t="s">
        <v>48351</v>
      </c>
      <c r="BG5046" s="3" t="s">
        <v>48353</v>
      </c>
    </row>
    <row r="5047" spans="1:59" ht="57" x14ac:dyDescent="0.45">
      <c r="A5047" s="2" t="s">
        <v>59</v>
      </c>
      <c r="B5047" s="2" t="s">
        <v>60</v>
      </c>
      <c r="C5047" s="2" t="s">
        <v>48354</v>
      </c>
      <c r="D5047" s="2" t="s">
        <v>48355</v>
      </c>
      <c r="E5047" s="2" t="s">
        <v>48356</v>
      </c>
      <c r="G5047" s="3" t="s">
        <v>62</v>
      </c>
      <c r="I5047" s="3" t="s">
        <v>62</v>
      </c>
      <c r="J5047" s="3" t="s">
        <v>62</v>
      </c>
      <c r="K5047" s="3" t="s">
        <v>63</v>
      </c>
      <c r="M5047" s="2" t="s">
        <v>48357</v>
      </c>
      <c r="N5047" s="3" t="s">
        <v>208</v>
      </c>
      <c r="P5047" s="3" t="s">
        <v>65</v>
      </c>
      <c r="Q5047" s="2" t="s">
        <v>48358</v>
      </c>
      <c r="R5047" s="3" t="s">
        <v>66</v>
      </c>
      <c r="S5047" s="4">
        <v>0</v>
      </c>
      <c r="T5047" s="4">
        <v>0</v>
      </c>
      <c r="W5047" s="5" t="s">
        <v>67</v>
      </c>
      <c r="X5047" s="5" t="s">
        <v>67</v>
      </c>
      <c r="Y5047" s="4">
        <v>46</v>
      </c>
      <c r="Z5047" s="4">
        <v>4</v>
      </c>
      <c r="AA5047" s="4">
        <v>79</v>
      </c>
      <c r="AB5047" s="4">
        <v>1</v>
      </c>
      <c r="AC5047" s="4">
        <v>14</v>
      </c>
      <c r="AD5047" s="4">
        <v>24</v>
      </c>
      <c r="AE5047" s="4">
        <v>106</v>
      </c>
      <c r="AF5047" s="4">
        <v>0</v>
      </c>
      <c r="AG5047" s="4">
        <v>8</v>
      </c>
      <c r="AH5047" s="4">
        <v>23</v>
      </c>
      <c r="AI5047" s="4">
        <v>72</v>
      </c>
      <c r="AJ5047" s="4">
        <v>2</v>
      </c>
      <c r="AK5047" s="4">
        <v>22</v>
      </c>
      <c r="AL5047" s="4">
        <v>16</v>
      </c>
      <c r="AM5047" s="4">
        <v>37</v>
      </c>
      <c r="AN5047" s="4">
        <v>0</v>
      </c>
      <c r="AO5047" s="4">
        <v>0</v>
      </c>
      <c r="AP5047" s="4">
        <v>2</v>
      </c>
      <c r="AQ5047" s="4">
        <v>42</v>
      </c>
      <c r="AR5047" s="3" t="s">
        <v>62</v>
      </c>
      <c r="AS5047" s="3" t="s">
        <v>62</v>
      </c>
      <c r="AT5047" s="3" t="s">
        <v>62</v>
      </c>
      <c r="AV5047" s="6" t="str">
        <f>HYPERLINK("http://mcgill.on.worldcat.org/oclc/907621805","Catalog Record")</f>
        <v>Catalog Record</v>
      </c>
      <c r="AW5047" s="6" t="str">
        <f>HYPERLINK("http://www.worldcat.org/oclc/907621805","WorldCat Record")</f>
        <v>WorldCat Record</v>
      </c>
      <c r="AX5047" s="3" t="s">
        <v>48359</v>
      </c>
      <c r="AY5047" s="3" t="s">
        <v>48360</v>
      </c>
      <c r="AZ5047" s="3" t="s">
        <v>48361</v>
      </c>
      <c r="BA5047" s="3" t="s">
        <v>48361</v>
      </c>
      <c r="BB5047" s="3" t="s">
        <v>48362</v>
      </c>
      <c r="BC5047" s="3" t="s">
        <v>142</v>
      </c>
      <c r="BD5047" s="3" t="s">
        <v>68</v>
      </c>
      <c r="BE5047" s="3" t="s">
        <v>48363</v>
      </c>
      <c r="BF5047" s="3" t="s">
        <v>48362</v>
      </c>
      <c r="BG5047" s="3" t="s">
        <v>48364</v>
      </c>
    </row>
    <row r="5048" spans="1:59" ht="57" x14ac:dyDescent="0.45">
      <c r="A5048" s="2" t="s">
        <v>59</v>
      </c>
      <c r="B5048" s="2" t="s">
        <v>60</v>
      </c>
      <c r="C5048" s="2" t="s">
        <v>48365</v>
      </c>
      <c r="D5048" s="2" t="s">
        <v>48366</v>
      </c>
      <c r="E5048" s="2" t="s">
        <v>48367</v>
      </c>
      <c r="G5048" s="3" t="s">
        <v>62</v>
      </c>
      <c r="I5048" s="3" t="s">
        <v>61</v>
      </c>
      <c r="J5048" s="3" t="s">
        <v>62</v>
      </c>
      <c r="K5048" s="3" t="s">
        <v>63</v>
      </c>
      <c r="L5048" s="2" t="s">
        <v>48368</v>
      </c>
      <c r="M5048" s="2" t="s">
        <v>48369</v>
      </c>
      <c r="N5048" s="3" t="s">
        <v>167</v>
      </c>
      <c r="P5048" s="3" t="s">
        <v>65</v>
      </c>
      <c r="R5048" s="3" t="s">
        <v>66</v>
      </c>
      <c r="S5048" s="4">
        <v>19</v>
      </c>
      <c r="T5048" s="4">
        <v>33</v>
      </c>
      <c r="U5048" s="5" t="s">
        <v>18172</v>
      </c>
      <c r="V5048" s="5" t="s">
        <v>18172</v>
      </c>
      <c r="W5048" s="5" t="s">
        <v>67</v>
      </c>
      <c r="X5048" s="5" t="s">
        <v>67</v>
      </c>
      <c r="Y5048" s="4">
        <v>244</v>
      </c>
      <c r="Z5048" s="4">
        <v>13</v>
      </c>
      <c r="AA5048" s="4">
        <v>21</v>
      </c>
      <c r="AB5048" s="4">
        <v>2</v>
      </c>
      <c r="AC5048" s="4">
        <v>5</v>
      </c>
      <c r="AD5048" s="4">
        <v>51</v>
      </c>
      <c r="AE5048" s="4">
        <v>59</v>
      </c>
      <c r="AF5048" s="4">
        <v>1</v>
      </c>
      <c r="AG5048" s="4">
        <v>4</v>
      </c>
      <c r="AH5048" s="4">
        <v>44</v>
      </c>
      <c r="AI5048" s="4">
        <v>49</v>
      </c>
      <c r="AJ5048" s="4">
        <v>9</v>
      </c>
      <c r="AK5048" s="4">
        <v>15</v>
      </c>
      <c r="AL5048" s="4">
        <v>27</v>
      </c>
      <c r="AM5048" s="4">
        <v>30</v>
      </c>
      <c r="AN5048" s="4">
        <v>0</v>
      </c>
      <c r="AO5048" s="4">
        <v>0</v>
      </c>
      <c r="AP5048" s="4">
        <v>11</v>
      </c>
      <c r="AQ5048" s="4">
        <v>16</v>
      </c>
      <c r="AR5048" s="3" t="s">
        <v>62</v>
      </c>
      <c r="AS5048" s="3" t="s">
        <v>62</v>
      </c>
      <c r="AT5048" s="3" t="s">
        <v>62</v>
      </c>
      <c r="AV5048" s="6" t="str">
        <f>HYPERLINK("http://mcgill.on.worldcat.org/oclc/40395551","Catalog Record")</f>
        <v>Catalog Record</v>
      </c>
      <c r="AW5048" s="6" t="str">
        <f>HYPERLINK("http://www.worldcat.org/oclc/40395551","WorldCat Record")</f>
        <v>WorldCat Record</v>
      </c>
      <c r="AX5048" s="3" t="s">
        <v>48370</v>
      </c>
      <c r="AY5048" s="3" t="s">
        <v>48371</v>
      </c>
      <c r="AZ5048" s="3" t="s">
        <v>48372</v>
      </c>
      <c r="BA5048" s="3" t="s">
        <v>48372</v>
      </c>
      <c r="BB5048" s="3" t="s">
        <v>48373</v>
      </c>
      <c r="BC5048" s="3" t="s">
        <v>142</v>
      </c>
      <c r="BD5048" s="3" t="s">
        <v>308</v>
      </c>
      <c r="BE5048" s="3" t="s">
        <v>48374</v>
      </c>
      <c r="BF5048" s="3" t="s">
        <v>48373</v>
      </c>
      <c r="BG5048" s="3" t="s">
        <v>48375</v>
      </c>
    </row>
    <row r="5049" spans="1:59" ht="57" x14ac:dyDescent="0.45">
      <c r="A5049" s="2" t="s">
        <v>59</v>
      </c>
      <c r="B5049" s="2" t="s">
        <v>60</v>
      </c>
      <c r="C5049" s="2" t="s">
        <v>48365</v>
      </c>
      <c r="D5049" s="2" t="s">
        <v>48366</v>
      </c>
      <c r="E5049" s="2" t="s">
        <v>48367</v>
      </c>
      <c r="G5049" s="3" t="s">
        <v>62</v>
      </c>
      <c r="I5049" s="3" t="s">
        <v>61</v>
      </c>
      <c r="J5049" s="3" t="s">
        <v>62</v>
      </c>
      <c r="K5049" s="3" t="s">
        <v>63</v>
      </c>
      <c r="L5049" s="2" t="s">
        <v>48368</v>
      </c>
      <c r="M5049" s="2" t="s">
        <v>48369</v>
      </c>
      <c r="N5049" s="3" t="s">
        <v>167</v>
      </c>
      <c r="P5049" s="3" t="s">
        <v>65</v>
      </c>
      <c r="R5049" s="3" t="s">
        <v>66</v>
      </c>
      <c r="S5049" s="4">
        <v>14</v>
      </c>
      <c r="T5049" s="4">
        <v>33</v>
      </c>
      <c r="U5049" s="5" t="s">
        <v>3294</v>
      </c>
      <c r="V5049" s="5" t="s">
        <v>18172</v>
      </c>
      <c r="W5049" s="5" t="s">
        <v>67</v>
      </c>
      <c r="X5049" s="5" t="s">
        <v>67</v>
      </c>
      <c r="Y5049" s="4">
        <v>244</v>
      </c>
      <c r="Z5049" s="4">
        <v>13</v>
      </c>
      <c r="AA5049" s="4">
        <v>21</v>
      </c>
      <c r="AB5049" s="4">
        <v>2</v>
      </c>
      <c r="AC5049" s="4">
        <v>5</v>
      </c>
      <c r="AD5049" s="4">
        <v>51</v>
      </c>
      <c r="AE5049" s="4">
        <v>59</v>
      </c>
      <c r="AF5049" s="4">
        <v>1</v>
      </c>
      <c r="AG5049" s="4">
        <v>4</v>
      </c>
      <c r="AH5049" s="4">
        <v>44</v>
      </c>
      <c r="AI5049" s="4">
        <v>49</v>
      </c>
      <c r="AJ5049" s="4">
        <v>9</v>
      </c>
      <c r="AK5049" s="4">
        <v>15</v>
      </c>
      <c r="AL5049" s="4">
        <v>27</v>
      </c>
      <c r="AM5049" s="4">
        <v>30</v>
      </c>
      <c r="AN5049" s="4">
        <v>0</v>
      </c>
      <c r="AO5049" s="4">
        <v>0</v>
      </c>
      <c r="AP5049" s="4">
        <v>11</v>
      </c>
      <c r="AQ5049" s="4">
        <v>16</v>
      </c>
      <c r="AR5049" s="3" t="s">
        <v>62</v>
      </c>
      <c r="AS5049" s="3" t="s">
        <v>62</v>
      </c>
      <c r="AT5049" s="3" t="s">
        <v>62</v>
      </c>
      <c r="AV5049" s="6" t="str">
        <f>HYPERLINK("http://mcgill.on.worldcat.org/oclc/40395551","Catalog Record")</f>
        <v>Catalog Record</v>
      </c>
      <c r="AW5049" s="6" t="str">
        <f>HYPERLINK("http://www.worldcat.org/oclc/40395551","WorldCat Record")</f>
        <v>WorldCat Record</v>
      </c>
      <c r="AX5049" s="3" t="s">
        <v>48370</v>
      </c>
      <c r="AY5049" s="3" t="s">
        <v>48371</v>
      </c>
      <c r="AZ5049" s="3" t="s">
        <v>48372</v>
      </c>
      <c r="BA5049" s="3" t="s">
        <v>48372</v>
      </c>
      <c r="BB5049" s="3" t="s">
        <v>48376</v>
      </c>
      <c r="BC5049" s="3" t="s">
        <v>142</v>
      </c>
      <c r="BD5049" s="3" t="s">
        <v>68</v>
      </c>
      <c r="BE5049" s="3" t="s">
        <v>48374</v>
      </c>
      <c r="BF5049" s="3" t="s">
        <v>48376</v>
      </c>
      <c r="BG5049" s="3" t="s">
        <v>48377</v>
      </c>
    </row>
    <row r="5050" spans="1:59" ht="57" x14ac:dyDescent="0.45">
      <c r="A5050" s="2" t="s">
        <v>59</v>
      </c>
      <c r="B5050" s="2" t="s">
        <v>60</v>
      </c>
      <c r="C5050" s="2" t="s">
        <v>48378</v>
      </c>
      <c r="D5050" s="2" t="s">
        <v>48379</v>
      </c>
      <c r="E5050" s="2" t="s">
        <v>48380</v>
      </c>
      <c r="F5050" s="3" t="s">
        <v>90</v>
      </c>
      <c r="G5050" s="3" t="s">
        <v>61</v>
      </c>
      <c r="I5050" s="3" t="s">
        <v>62</v>
      </c>
      <c r="J5050" s="3" t="s">
        <v>62</v>
      </c>
      <c r="K5050" s="3" t="s">
        <v>63</v>
      </c>
      <c r="L5050" s="2" t="s">
        <v>48381</v>
      </c>
      <c r="M5050" s="2" t="s">
        <v>48382</v>
      </c>
      <c r="N5050" s="3" t="s">
        <v>1097</v>
      </c>
      <c r="P5050" s="3" t="s">
        <v>65</v>
      </c>
      <c r="Q5050" s="2" t="s">
        <v>48383</v>
      </c>
      <c r="R5050" s="3" t="s">
        <v>66</v>
      </c>
      <c r="S5050" s="4">
        <v>1</v>
      </c>
      <c r="T5050" s="4">
        <v>10</v>
      </c>
      <c r="U5050" s="5" t="s">
        <v>2668</v>
      </c>
      <c r="V5050" s="5" t="s">
        <v>22046</v>
      </c>
      <c r="W5050" s="5" t="s">
        <v>67</v>
      </c>
      <c r="X5050" s="5" t="s">
        <v>67</v>
      </c>
      <c r="Y5050" s="4">
        <v>97</v>
      </c>
      <c r="Z5050" s="4">
        <v>9</v>
      </c>
      <c r="AA5050" s="4">
        <v>91</v>
      </c>
      <c r="AB5050" s="4">
        <v>1</v>
      </c>
      <c r="AC5050" s="4">
        <v>17</v>
      </c>
      <c r="AD5050" s="4">
        <v>55</v>
      </c>
      <c r="AE5050" s="4">
        <v>112</v>
      </c>
      <c r="AF5050" s="4">
        <v>0</v>
      </c>
      <c r="AG5050" s="4">
        <v>8</v>
      </c>
      <c r="AH5050" s="4">
        <v>50</v>
      </c>
      <c r="AI5050" s="4">
        <v>77</v>
      </c>
      <c r="AJ5050" s="4">
        <v>6</v>
      </c>
      <c r="AK5050" s="4">
        <v>21</v>
      </c>
      <c r="AL5050" s="4">
        <v>35</v>
      </c>
      <c r="AM5050" s="4">
        <v>45</v>
      </c>
      <c r="AN5050" s="4">
        <v>0</v>
      </c>
      <c r="AO5050" s="4">
        <v>0</v>
      </c>
      <c r="AP5050" s="4">
        <v>7</v>
      </c>
      <c r="AQ5050" s="4">
        <v>42</v>
      </c>
      <c r="AR5050" s="3" t="s">
        <v>62</v>
      </c>
      <c r="AS5050" s="3" t="s">
        <v>62</v>
      </c>
      <c r="AT5050" s="3" t="s">
        <v>61</v>
      </c>
      <c r="AU5050" s="6" t="str">
        <f>HYPERLINK("http://catalog.hathitrust.org/Record/004918663","HathiTrust Record")</f>
        <v>HathiTrust Record</v>
      </c>
      <c r="AV5050" s="6" t="str">
        <f>HYPERLINK("http://mcgill.on.worldcat.org/oclc/56793590","Catalog Record")</f>
        <v>Catalog Record</v>
      </c>
      <c r="AW5050" s="6" t="str">
        <f>HYPERLINK("http://www.worldcat.org/oclc/56793590","WorldCat Record")</f>
        <v>WorldCat Record</v>
      </c>
      <c r="AX5050" s="3" t="s">
        <v>48384</v>
      </c>
      <c r="AY5050" s="3" t="s">
        <v>48385</v>
      </c>
      <c r="AZ5050" s="3" t="s">
        <v>48386</v>
      </c>
      <c r="BA5050" s="3" t="s">
        <v>48386</v>
      </c>
      <c r="BB5050" s="3" t="s">
        <v>48387</v>
      </c>
      <c r="BC5050" s="3" t="s">
        <v>142</v>
      </c>
      <c r="BD5050" s="3" t="s">
        <v>68</v>
      </c>
      <c r="BE5050" s="3" t="s">
        <v>48388</v>
      </c>
      <c r="BF5050" s="3" t="s">
        <v>48387</v>
      </c>
      <c r="BG5050" s="3" t="s">
        <v>48389</v>
      </c>
    </row>
    <row r="5051" spans="1:59" ht="57" x14ac:dyDescent="0.45">
      <c r="A5051" s="2" t="s">
        <v>59</v>
      </c>
      <c r="B5051" s="2" t="s">
        <v>60</v>
      </c>
      <c r="C5051" s="2" t="s">
        <v>48378</v>
      </c>
      <c r="D5051" s="2" t="s">
        <v>48379</v>
      </c>
      <c r="E5051" s="2" t="s">
        <v>48380</v>
      </c>
      <c r="F5051" s="3" t="s">
        <v>87</v>
      </c>
      <c r="G5051" s="3" t="s">
        <v>61</v>
      </c>
      <c r="I5051" s="3" t="s">
        <v>62</v>
      </c>
      <c r="J5051" s="3" t="s">
        <v>62</v>
      </c>
      <c r="K5051" s="3" t="s">
        <v>63</v>
      </c>
      <c r="L5051" s="2" t="s">
        <v>48381</v>
      </c>
      <c r="M5051" s="2" t="s">
        <v>48382</v>
      </c>
      <c r="N5051" s="3" t="s">
        <v>1097</v>
      </c>
      <c r="P5051" s="3" t="s">
        <v>65</v>
      </c>
      <c r="Q5051" s="2" t="s">
        <v>48383</v>
      </c>
      <c r="R5051" s="3" t="s">
        <v>66</v>
      </c>
      <c r="S5051" s="4">
        <v>9</v>
      </c>
      <c r="T5051" s="4">
        <v>10</v>
      </c>
      <c r="U5051" s="5" t="s">
        <v>22046</v>
      </c>
      <c r="V5051" s="5" t="s">
        <v>22046</v>
      </c>
      <c r="W5051" s="5" t="s">
        <v>67</v>
      </c>
      <c r="X5051" s="5" t="s">
        <v>67</v>
      </c>
      <c r="Y5051" s="4">
        <v>97</v>
      </c>
      <c r="Z5051" s="4">
        <v>9</v>
      </c>
      <c r="AA5051" s="4">
        <v>91</v>
      </c>
      <c r="AB5051" s="4">
        <v>1</v>
      </c>
      <c r="AC5051" s="4">
        <v>17</v>
      </c>
      <c r="AD5051" s="4">
        <v>55</v>
      </c>
      <c r="AE5051" s="4">
        <v>112</v>
      </c>
      <c r="AF5051" s="4">
        <v>0</v>
      </c>
      <c r="AG5051" s="4">
        <v>8</v>
      </c>
      <c r="AH5051" s="4">
        <v>50</v>
      </c>
      <c r="AI5051" s="4">
        <v>77</v>
      </c>
      <c r="AJ5051" s="4">
        <v>6</v>
      </c>
      <c r="AK5051" s="4">
        <v>21</v>
      </c>
      <c r="AL5051" s="4">
        <v>35</v>
      </c>
      <c r="AM5051" s="4">
        <v>45</v>
      </c>
      <c r="AN5051" s="4">
        <v>0</v>
      </c>
      <c r="AO5051" s="4">
        <v>0</v>
      </c>
      <c r="AP5051" s="4">
        <v>7</v>
      </c>
      <c r="AQ5051" s="4">
        <v>42</v>
      </c>
      <c r="AR5051" s="3" t="s">
        <v>62</v>
      </c>
      <c r="AS5051" s="3" t="s">
        <v>62</v>
      </c>
      <c r="AT5051" s="3" t="s">
        <v>61</v>
      </c>
      <c r="AU5051" s="6" t="str">
        <f>HYPERLINK("http://catalog.hathitrust.org/Record/004918663","HathiTrust Record")</f>
        <v>HathiTrust Record</v>
      </c>
      <c r="AV5051" s="6" t="str">
        <f>HYPERLINK("http://mcgill.on.worldcat.org/oclc/56793590","Catalog Record")</f>
        <v>Catalog Record</v>
      </c>
      <c r="AW5051" s="6" t="str">
        <f>HYPERLINK("http://www.worldcat.org/oclc/56793590","WorldCat Record")</f>
        <v>WorldCat Record</v>
      </c>
      <c r="AX5051" s="3" t="s">
        <v>48384</v>
      </c>
      <c r="AY5051" s="3" t="s">
        <v>48385</v>
      </c>
      <c r="AZ5051" s="3" t="s">
        <v>48386</v>
      </c>
      <c r="BA5051" s="3" t="s">
        <v>48386</v>
      </c>
      <c r="BB5051" s="3" t="s">
        <v>48390</v>
      </c>
      <c r="BC5051" s="3" t="s">
        <v>142</v>
      </c>
      <c r="BD5051" s="3" t="s">
        <v>68</v>
      </c>
      <c r="BE5051" s="3" t="s">
        <v>48388</v>
      </c>
      <c r="BF5051" s="3" t="s">
        <v>48390</v>
      </c>
      <c r="BG5051" s="3" t="s">
        <v>48391</v>
      </c>
    </row>
    <row r="5052" spans="1:59" ht="57" x14ac:dyDescent="0.45">
      <c r="A5052" s="2" t="s">
        <v>59</v>
      </c>
      <c r="B5052" s="2" t="s">
        <v>60</v>
      </c>
      <c r="C5052" s="2" t="s">
        <v>48392</v>
      </c>
      <c r="D5052" s="2" t="s">
        <v>48393</v>
      </c>
      <c r="E5052" s="2" t="s">
        <v>48394</v>
      </c>
      <c r="G5052" s="3" t="s">
        <v>62</v>
      </c>
      <c r="I5052" s="3" t="s">
        <v>62</v>
      </c>
      <c r="J5052" s="3" t="s">
        <v>62</v>
      </c>
      <c r="K5052" s="3" t="s">
        <v>63</v>
      </c>
      <c r="L5052" s="2" t="s">
        <v>48395</v>
      </c>
      <c r="M5052" s="2" t="s">
        <v>48396</v>
      </c>
      <c r="N5052" s="3" t="s">
        <v>1918</v>
      </c>
      <c r="O5052" s="2" t="s">
        <v>3280</v>
      </c>
      <c r="P5052" s="3" t="s">
        <v>65</v>
      </c>
      <c r="Q5052" s="2" t="s">
        <v>48397</v>
      </c>
      <c r="R5052" s="3" t="s">
        <v>66</v>
      </c>
      <c r="S5052" s="4">
        <v>0</v>
      </c>
      <c r="T5052" s="4">
        <v>0</v>
      </c>
      <c r="W5052" s="5" t="s">
        <v>67</v>
      </c>
      <c r="X5052" s="5" t="s">
        <v>67</v>
      </c>
      <c r="Y5052" s="4">
        <v>68</v>
      </c>
      <c r="Z5052" s="4">
        <v>8</v>
      </c>
      <c r="AA5052" s="4">
        <v>10</v>
      </c>
      <c r="AB5052" s="4">
        <v>1</v>
      </c>
      <c r="AC5052" s="4">
        <v>2</v>
      </c>
      <c r="AD5052" s="4">
        <v>37</v>
      </c>
      <c r="AE5052" s="4">
        <v>38</v>
      </c>
      <c r="AF5052" s="4">
        <v>0</v>
      </c>
      <c r="AG5052" s="4">
        <v>1</v>
      </c>
      <c r="AH5052" s="4">
        <v>34</v>
      </c>
      <c r="AI5052" s="4">
        <v>35</v>
      </c>
      <c r="AJ5052" s="4">
        <v>7</v>
      </c>
      <c r="AK5052" s="4">
        <v>8</v>
      </c>
      <c r="AL5052" s="4">
        <v>25</v>
      </c>
      <c r="AM5052" s="4">
        <v>25</v>
      </c>
      <c r="AN5052" s="4">
        <v>0</v>
      </c>
      <c r="AO5052" s="4">
        <v>0</v>
      </c>
      <c r="AP5052" s="4">
        <v>7</v>
      </c>
      <c r="AQ5052" s="4">
        <v>8</v>
      </c>
      <c r="AR5052" s="3" t="s">
        <v>62</v>
      </c>
      <c r="AS5052" s="3" t="s">
        <v>62</v>
      </c>
      <c r="AT5052" s="3" t="s">
        <v>62</v>
      </c>
      <c r="AV5052" s="6" t="str">
        <f>HYPERLINK("http://mcgill.on.worldcat.org/oclc/974213301","Catalog Record")</f>
        <v>Catalog Record</v>
      </c>
      <c r="AW5052" s="6" t="str">
        <f>HYPERLINK("http://www.worldcat.org/oclc/974213301","WorldCat Record")</f>
        <v>WorldCat Record</v>
      </c>
      <c r="AX5052" s="3" t="s">
        <v>48398</v>
      </c>
      <c r="AY5052" s="3" t="s">
        <v>48399</v>
      </c>
      <c r="AZ5052" s="3" t="s">
        <v>48400</v>
      </c>
      <c r="BA5052" s="3" t="s">
        <v>48400</v>
      </c>
      <c r="BB5052" s="3" t="s">
        <v>48401</v>
      </c>
      <c r="BC5052" s="3" t="s">
        <v>142</v>
      </c>
      <c r="BD5052" s="3" t="s">
        <v>68</v>
      </c>
      <c r="BE5052" s="3" t="s">
        <v>48402</v>
      </c>
      <c r="BF5052" s="3" t="s">
        <v>48401</v>
      </c>
      <c r="BG5052" s="3" t="s">
        <v>48403</v>
      </c>
    </row>
    <row r="5053" spans="1:59" ht="57" x14ac:dyDescent="0.45">
      <c r="A5053" s="2" t="s">
        <v>59</v>
      </c>
      <c r="B5053" s="2" t="s">
        <v>60</v>
      </c>
      <c r="C5053" s="2" t="s">
        <v>48404</v>
      </c>
      <c r="D5053" s="2" t="s">
        <v>48405</v>
      </c>
      <c r="E5053" s="2" t="s">
        <v>48406</v>
      </c>
      <c r="G5053" s="3" t="s">
        <v>62</v>
      </c>
      <c r="I5053" s="3" t="s">
        <v>62</v>
      </c>
      <c r="J5053" s="3" t="s">
        <v>62</v>
      </c>
      <c r="K5053" s="3" t="s">
        <v>63</v>
      </c>
      <c r="L5053" s="2" t="s">
        <v>48407</v>
      </c>
      <c r="M5053" s="2" t="s">
        <v>48408</v>
      </c>
      <c r="N5053" s="3" t="s">
        <v>1478</v>
      </c>
      <c r="P5053" s="3" t="s">
        <v>65</v>
      </c>
      <c r="Q5053" s="2" t="s">
        <v>48409</v>
      </c>
      <c r="R5053" s="3" t="s">
        <v>66</v>
      </c>
      <c r="S5053" s="4">
        <v>23</v>
      </c>
      <c r="T5053" s="4">
        <v>23</v>
      </c>
      <c r="U5053" s="5" t="s">
        <v>3294</v>
      </c>
      <c r="V5053" s="5" t="s">
        <v>3294</v>
      </c>
      <c r="W5053" s="5" t="s">
        <v>67</v>
      </c>
      <c r="X5053" s="5" t="s">
        <v>67</v>
      </c>
      <c r="Y5053" s="4">
        <v>257</v>
      </c>
      <c r="Z5053" s="4">
        <v>20</v>
      </c>
      <c r="AA5053" s="4">
        <v>24</v>
      </c>
      <c r="AB5053" s="4">
        <v>2</v>
      </c>
      <c r="AC5053" s="4">
        <v>6</v>
      </c>
      <c r="AD5053" s="4">
        <v>67</v>
      </c>
      <c r="AE5053" s="4">
        <v>70</v>
      </c>
      <c r="AF5053" s="4">
        <v>1</v>
      </c>
      <c r="AG5053" s="4">
        <v>4</v>
      </c>
      <c r="AH5053" s="4">
        <v>58</v>
      </c>
      <c r="AI5053" s="4">
        <v>59</v>
      </c>
      <c r="AJ5053" s="4">
        <v>13</v>
      </c>
      <c r="AK5053" s="4">
        <v>16</v>
      </c>
      <c r="AL5053" s="4">
        <v>37</v>
      </c>
      <c r="AM5053" s="4">
        <v>37</v>
      </c>
      <c r="AN5053" s="4">
        <v>0</v>
      </c>
      <c r="AO5053" s="4">
        <v>0</v>
      </c>
      <c r="AP5053" s="4">
        <v>14</v>
      </c>
      <c r="AQ5053" s="4">
        <v>16</v>
      </c>
      <c r="AR5053" s="3" t="s">
        <v>62</v>
      </c>
      <c r="AS5053" s="3" t="s">
        <v>62</v>
      </c>
      <c r="AT5053" s="3" t="s">
        <v>62</v>
      </c>
      <c r="AV5053" s="6" t="str">
        <f>HYPERLINK("http://mcgill.on.worldcat.org/oclc/32430902","Catalog Record")</f>
        <v>Catalog Record</v>
      </c>
      <c r="AW5053" s="6" t="str">
        <f>HYPERLINK("http://www.worldcat.org/oclc/32430902","WorldCat Record")</f>
        <v>WorldCat Record</v>
      </c>
      <c r="AX5053" s="3" t="s">
        <v>48410</v>
      </c>
      <c r="AY5053" s="3" t="s">
        <v>48411</v>
      </c>
      <c r="AZ5053" s="3" t="s">
        <v>48412</v>
      </c>
      <c r="BA5053" s="3" t="s">
        <v>48412</v>
      </c>
      <c r="BB5053" s="3" t="s">
        <v>48413</v>
      </c>
      <c r="BC5053" s="3" t="s">
        <v>142</v>
      </c>
      <c r="BD5053" s="3" t="s">
        <v>68</v>
      </c>
      <c r="BE5053" s="3" t="s">
        <v>48414</v>
      </c>
      <c r="BF5053" s="3" t="s">
        <v>48413</v>
      </c>
      <c r="BG5053" s="3" t="s">
        <v>48415</v>
      </c>
    </row>
    <row r="5054" spans="1:59" ht="57" x14ac:dyDescent="0.45">
      <c r="A5054" s="2" t="s">
        <v>59</v>
      </c>
      <c r="B5054" s="2" t="s">
        <v>60</v>
      </c>
      <c r="C5054" s="2" t="s">
        <v>48416</v>
      </c>
      <c r="D5054" s="2" t="s">
        <v>48417</v>
      </c>
      <c r="E5054" s="2" t="s">
        <v>48418</v>
      </c>
      <c r="G5054" s="3" t="s">
        <v>62</v>
      </c>
      <c r="I5054" s="3" t="s">
        <v>62</v>
      </c>
      <c r="J5054" s="3" t="s">
        <v>62</v>
      </c>
      <c r="K5054" s="3" t="s">
        <v>63</v>
      </c>
      <c r="L5054" s="2" t="s">
        <v>48419</v>
      </c>
      <c r="M5054" s="2" t="s">
        <v>48420</v>
      </c>
      <c r="N5054" s="3" t="s">
        <v>16907</v>
      </c>
      <c r="P5054" s="3" t="s">
        <v>65</v>
      </c>
      <c r="R5054" s="3" t="s">
        <v>66</v>
      </c>
      <c r="S5054" s="4">
        <v>15</v>
      </c>
      <c r="T5054" s="4">
        <v>15</v>
      </c>
      <c r="U5054" s="5" t="s">
        <v>24009</v>
      </c>
      <c r="V5054" s="5" t="s">
        <v>24009</v>
      </c>
      <c r="W5054" s="5" t="s">
        <v>67</v>
      </c>
      <c r="X5054" s="5" t="s">
        <v>67</v>
      </c>
      <c r="Y5054" s="4">
        <v>649</v>
      </c>
      <c r="Z5054" s="4">
        <v>38</v>
      </c>
      <c r="AA5054" s="4">
        <v>38</v>
      </c>
      <c r="AB5054" s="4">
        <v>4</v>
      </c>
      <c r="AC5054" s="4">
        <v>4</v>
      </c>
      <c r="AD5054" s="4">
        <v>126</v>
      </c>
      <c r="AE5054" s="4">
        <v>126</v>
      </c>
      <c r="AF5054" s="4">
        <v>2</v>
      </c>
      <c r="AG5054" s="4">
        <v>2</v>
      </c>
      <c r="AH5054" s="4">
        <v>104</v>
      </c>
      <c r="AI5054" s="4">
        <v>104</v>
      </c>
      <c r="AJ5054" s="4">
        <v>21</v>
      </c>
      <c r="AK5054" s="4">
        <v>21</v>
      </c>
      <c r="AL5054" s="4">
        <v>59</v>
      </c>
      <c r="AM5054" s="4">
        <v>59</v>
      </c>
      <c r="AN5054" s="4">
        <v>0</v>
      </c>
      <c r="AO5054" s="4">
        <v>0</v>
      </c>
      <c r="AP5054" s="4">
        <v>28</v>
      </c>
      <c r="AQ5054" s="4">
        <v>28</v>
      </c>
      <c r="AR5054" s="3" t="s">
        <v>62</v>
      </c>
      <c r="AS5054" s="3" t="s">
        <v>62</v>
      </c>
      <c r="AT5054" s="3" t="s">
        <v>62</v>
      </c>
      <c r="AV5054" s="6" t="str">
        <f>HYPERLINK("http://mcgill.on.worldcat.org/oclc/21360","Catalog Record")</f>
        <v>Catalog Record</v>
      </c>
      <c r="AW5054" s="6" t="str">
        <f>HYPERLINK("http://www.worldcat.org/oclc/21360","WorldCat Record")</f>
        <v>WorldCat Record</v>
      </c>
      <c r="AX5054" s="3" t="s">
        <v>48421</v>
      </c>
      <c r="AY5054" s="3" t="s">
        <v>48422</v>
      </c>
      <c r="AZ5054" s="3" t="s">
        <v>48423</v>
      </c>
      <c r="BA5054" s="3" t="s">
        <v>48423</v>
      </c>
      <c r="BB5054" s="3" t="s">
        <v>48424</v>
      </c>
      <c r="BC5054" s="3" t="s">
        <v>142</v>
      </c>
      <c r="BD5054" s="3" t="s">
        <v>68</v>
      </c>
      <c r="BE5054" s="3" t="s">
        <v>48425</v>
      </c>
      <c r="BF5054" s="3" t="s">
        <v>48424</v>
      </c>
      <c r="BG5054" s="3" t="s">
        <v>48426</v>
      </c>
    </row>
    <row r="5055" spans="1:59" ht="57" x14ac:dyDescent="0.45">
      <c r="A5055" s="2" t="s">
        <v>59</v>
      </c>
      <c r="B5055" s="2" t="s">
        <v>60</v>
      </c>
      <c r="C5055" s="2" t="s">
        <v>48427</v>
      </c>
      <c r="D5055" s="2" t="s">
        <v>48428</v>
      </c>
      <c r="E5055" s="2" t="s">
        <v>48429</v>
      </c>
      <c r="G5055" s="3" t="s">
        <v>62</v>
      </c>
      <c r="I5055" s="3" t="s">
        <v>62</v>
      </c>
      <c r="J5055" s="3" t="s">
        <v>62</v>
      </c>
      <c r="K5055" s="3" t="s">
        <v>63</v>
      </c>
      <c r="L5055" s="2" t="s">
        <v>48430</v>
      </c>
      <c r="M5055" s="2" t="s">
        <v>4069</v>
      </c>
      <c r="N5055" s="3" t="s">
        <v>116</v>
      </c>
      <c r="P5055" s="3" t="s">
        <v>65</v>
      </c>
      <c r="R5055" s="3" t="s">
        <v>66</v>
      </c>
      <c r="S5055" s="4">
        <v>3</v>
      </c>
      <c r="T5055" s="4">
        <v>3</v>
      </c>
      <c r="U5055" s="5" t="s">
        <v>5122</v>
      </c>
      <c r="V5055" s="5" t="s">
        <v>5122</v>
      </c>
      <c r="W5055" s="5" t="s">
        <v>67</v>
      </c>
      <c r="X5055" s="5" t="s">
        <v>67</v>
      </c>
      <c r="Y5055" s="4">
        <v>155</v>
      </c>
      <c r="Z5055" s="4">
        <v>15</v>
      </c>
      <c r="AA5055" s="4">
        <v>83</v>
      </c>
      <c r="AB5055" s="4">
        <v>1</v>
      </c>
      <c r="AC5055" s="4">
        <v>14</v>
      </c>
      <c r="AD5055" s="4">
        <v>60</v>
      </c>
      <c r="AE5055" s="4">
        <v>122</v>
      </c>
      <c r="AF5055" s="4">
        <v>0</v>
      </c>
      <c r="AG5055" s="4">
        <v>8</v>
      </c>
      <c r="AH5055" s="4">
        <v>55</v>
      </c>
      <c r="AI5055" s="4">
        <v>88</v>
      </c>
      <c r="AJ5055" s="4">
        <v>11</v>
      </c>
      <c r="AK5055" s="4">
        <v>25</v>
      </c>
      <c r="AL5055" s="4">
        <v>34</v>
      </c>
      <c r="AM5055" s="4">
        <v>45</v>
      </c>
      <c r="AN5055" s="4">
        <v>0</v>
      </c>
      <c r="AO5055" s="4">
        <v>0</v>
      </c>
      <c r="AP5055" s="4">
        <v>11</v>
      </c>
      <c r="AQ5055" s="4">
        <v>44</v>
      </c>
      <c r="AR5055" s="3" t="s">
        <v>62</v>
      </c>
      <c r="AS5055" s="3" t="s">
        <v>62</v>
      </c>
      <c r="AT5055" s="3" t="s">
        <v>62</v>
      </c>
      <c r="AV5055" s="6" t="str">
        <f>HYPERLINK("http://mcgill.on.worldcat.org/oclc/793497190","Catalog Record")</f>
        <v>Catalog Record</v>
      </c>
      <c r="AW5055" s="6" t="str">
        <f>HYPERLINK("http://www.worldcat.org/oclc/793497190","WorldCat Record")</f>
        <v>WorldCat Record</v>
      </c>
      <c r="AX5055" s="3" t="s">
        <v>48431</v>
      </c>
      <c r="AY5055" s="3" t="s">
        <v>48432</v>
      </c>
      <c r="AZ5055" s="3" t="s">
        <v>48433</v>
      </c>
      <c r="BA5055" s="3" t="s">
        <v>48433</v>
      </c>
      <c r="BB5055" s="3" t="s">
        <v>48434</v>
      </c>
      <c r="BC5055" s="3" t="s">
        <v>142</v>
      </c>
      <c r="BD5055" s="3" t="s">
        <v>68</v>
      </c>
      <c r="BE5055" s="3" t="s">
        <v>48435</v>
      </c>
      <c r="BF5055" s="3" t="s">
        <v>48434</v>
      </c>
      <c r="BG5055" s="3" t="s">
        <v>48436</v>
      </c>
    </row>
    <row r="5056" spans="1:59" ht="57" x14ac:dyDescent="0.45">
      <c r="A5056" s="2" t="s">
        <v>59</v>
      </c>
      <c r="B5056" s="2" t="s">
        <v>60</v>
      </c>
      <c r="C5056" s="2" t="s">
        <v>48437</v>
      </c>
      <c r="D5056" s="2" t="s">
        <v>48438</v>
      </c>
      <c r="E5056" s="2" t="s">
        <v>48439</v>
      </c>
      <c r="G5056" s="3" t="s">
        <v>62</v>
      </c>
      <c r="I5056" s="3" t="s">
        <v>62</v>
      </c>
      <c r="J5056" s="3" t="s">
        <v>62</v>
      </c>
      <c r="K5056" s="3" t="s">
        <v>63</v>
      </c>
      <c r="L5056" s="2" t="s">
        <v>48440</v>
      </c>
      <c r="M5056" s="2" t="s">
        <v>48441</v>
      </c>
      <c r="N5056" s="3" t="s">
        <v>542</v>
      </c>
      <c r="P5056" s="3" t="s">
        <v>65</v>
      </c>
      <c r="Q5056" s="2" t="s">
        <v>48442</v>
      </c>
      <c r="R5056" s="3" t="s">
        <v>66</v>
      </c>
      <c r="S5056" s="4">
        <v>18</v>
      </c>
      <c r="T5056" s="4">
        <v>18</v>
      </c>
      <c r="U5056" s="5" t="s">
        <v>12338</v>
      </c>
      <c r="V5056" s="5" t="s">
        <v>12338</v>
      </c>
      <c r="W5056" s="5" t="s">
        <v>67</v>
      </c>
      <c r="X5056" s="5" t="s">
        <v>67</v>
      </c>
      <c r="Y5056" s="4">
        <v>298</v>
      </c>
      <c r="Z5056" s="4">
        <v>22</v>
      </c>
      <c r="AA5056" s="4">
        <v>125</v>
      </c>
      <c r="AB5056" s="4">
        <v>3</v>
      </c>
      <c r="AC5056" s="4">
        <v>22</v>
      </c>
      <c r="AD5056" s="4">
        <v>102</v>
      </c>
      <c r="AE5056" s="4">
        <v>154</v>
      </c>
      <c r="AF5056" s="4">
        <v>1</v>
      </c>
      <c r="AG5056" s="4">
        <v>9</v>
      </c>
      <c r="AH5056" s="4">
        <v>90</v>
      </c>
      <c r="AI5056" s="4">
        <v>107</v>
      </c>
      <c r="AJ5056" s="4">
        <v>15</v>
      </c>
      <c r="AK5056" s="4">
        <v>28</v>
      </c>
      <c r="AL5056" s="4">
        <v>50</v>
      </c>
      <c r="AM5056" s="4">
        <v>57</v>
      </c>
      <c r="AN5056" s="4">
        <v>0</v>
      </c>
      <c r="AO5056" s="4">
        <v>0</v>
      </c>
      <c r="AP5056" s="4">
        <v>19</v>
      </c>
      <c r="AQ5056" s="4">
        <v>57</v>
      </c>
      <c r="AR5056" s="3" t="s">
        <v>62</v>
      </c>
      <c r="AS5056" s="3" t="s">
        <v>62</v>
      </c>
      <c r="AT5056" s="3" t="s">
        <v>62</v>
      </c>
      <c r="AV5056" s="6" t="str">
        <f>HYPERLINK("http://mcgill.on.worldcat.org/oclc/44969653","Catalog Record")</f>
        <v>Catalog Record</v>
      </c>
      <c r="AW5056" s="6" t="str">
        <f>HYPERLINK("http://www.worldcat.org/oclc/44969653","WorldCat Record")</f>
        <v>WorldCat Record</v>
      </c>
      <c r="AX5056" s="3" t="s">
        <v>48443</v>
      </c>
      <c r="AY5056" s="3" t="s">
        <v>48444</v>
      </c>
      <c r="AZ5056" s="3" t="s">
        <v>48445</v>
      </c>
      <c r="BA5056" s="3" t="s">
        <v>48445</v>
      </c>
      <c r="BB5056" s="3" t="s">
        <v>48446</v>
      </c>
      <c r="BC5056" s="3" t="s">
        <v>142</v>
      </c>
      <c r="BD5056" s="3" t="s">
        <v>68</v>
      </c>
      <c r="BE5056" s="3" t="s">
        <v>48447</v>
      </c>
      <c r="BF5056" s="3" t="s">
        <v>48446</v>
      </c>
      <c r="BG5056" s="3" t="s">
        <v>48448</v>
      </c>
    </row>
    <row r="5057" spans="1:59" ht="57" x14ac:dyDescent="0.45">
      <c r="A5057" s="2" t="s">
        <v>59</v>
      </c>
      <c r="B5057" s="2" t="s">
        <v>60</v>
      </c>
      <c r="C5057" s="2" t="s">
        <v>48449</v>
      </c>
      <c r="D5057" s="2" t="s">
        <v>48450</v>
      </c>
      <c r="E5057" s="2" t="s">
        <v>48451</v>
      </c>
      <c r="G5057" s="3" t="s">
        <v>62</v>
      </c>
      <c r="I5057" s="3" t="s">
        <v>62</v>
      </c>
      <c r="J5057" s="3" t="s">
        <v>62</v>
      </c>
      <c r="K5057" s="3" t="s">
        <v>63</v>
      </c>
      <c r="L5057" s="2" t="s">
        <v>48452</v>
      </c>
      <c r="M5057" s="2" t="s">
        <v>48453</v>
      </c>
      <c r="N5057" s="3" t="s">
        <v>149</v>
      </c>
      <c r="P5057" s="3" t="s">
        <v>65</v>
      </c>
      <c r="Q5057" s="2" t="s">
        <v>48454</v>
      </c>
      <c r="R5057" s="3" t="s">
        <v>66</v>
      </c>
      <c r="S5057" s="4">
        <v>1</v>
      </c>
      <c r="T5057" s="4">
        <v>1</v>
      </c>
      <c r="U5057" s="5" t="s">
        <v>74</v>
      </c>
      <c r="V5057" s="5" t="s">
        <v>74</v>
      </c>
      <c r="W5057" s="5" t="s">
        <v>67</v>
      </c>
      <c r="X5057" s="5" t="s">
        <v>67</v>
      </c>
      <c r="Y5057" s="4">
        <v>73</v>
      </c>
      <c r="Z5057" s="4">
        <v>9</v>
      </c>
      <c r="AA5057" s="4">
        <v>90</v>
      </c>
      <c r="AB5057" s="4">
        <v>1</v>
      </c>
      <c r="AC5057" s="4">
        <v>17</v>
      </c>
      <c r="AD5057" s="4">
        <v>37</v>
      </c>
      <c r="AE5057" s="4">
        <v>109</v>
      </c>
      <c r="AF5057" s="4">
        <v>0</v>
      </c>
      <c r="AG5057" s="4">
        <v>8</v>
      </c>
      <c r="AH5057" s="4">
        <v>33</v>
      </c>
      <c r="AI5057" s="4">
        <v>73</v>
      </c>
      <c r="AJ5057" s="4">
        <v>7</v>
      </c>
      <c r="AK5057" s="4">
        <v>22</v>
      </c>
      <c r="AL5057" s="4">
        <v>23</v>
      </c>
      <c r="AM5057" s="4">
        <v>39</v>
      </c>
      <c r="AN5057" s="4">
        <v>0</v>
      </c>
      <c r="AO5057" s="4">
        <v>0</v>
      </c>
      <c r="AP5057" s="4">
        <v>7</v>
      </c>
      <c r="AQ5057" s="4">
        <v>43</v>
      </c>
      <c r="AR5057" s="3" t="s">
        <v>62</v>
      </c>
      <c r="AS5057" s="3" t="s">
        <v>62</v>
      </c>
      <c r="AT5057" s="3" t="s">
        <v>62</v>
      </c>
      <c r="AV5057" s="6" t="str">
        <f>HYPERLINK("http://mcgill.on.worldcat.org/oclc/502304845","Catalog Record")</f>
        <v>Catalog Record</v>
      </c>
      <c r="AW5057" s="6" t="str">
        <f>HYPERLINK("http://www.worldcat.org/oclc/502304845","WorldCat Record")</f>
        <v>WorldCat Record</v>
      </c>
      <c r="AX5057" s="3" t="s">
        <v>48455</v>
      </c>
      <c r="AY5057" s="3" t="s">
        <v>48456</v>
      </c>
      <c r="AZ5057" s="3" t="s">
        <v>48457</v>
      </c>
      <c r="BA5057" s="3" t="s">
        <v>48457</v>
      </c>
      <c r="BB5057" s="3" t="s">
        <v>48458</v>
      </c>
      <c r="BC5057" s="3" t="s">
        <v>142</v>
      </c>
      <c r="BD5057" s="3" t="s">
        <v>68</v>
      </c>
      <c r="BE5057" s="3" t="s">
        <v>48459</v>
      </c>
      <c r="BF5057" s="3" t="s">
        <v>48458</v>
      </c>
      <c r="BG5057" s="3" t="s">
        <v>48460</v>
      </c>
    </row>
    <row r="5058" spans="1:59" ht="57" x14ac:dyDescent="0.45">
      <c r="A5058" s="2" t="s">
        <v>59</v>
      </c>
      <c r="B5058" s="2" t="s">
        <v>60</v>
      </c>
      <c r="C5058" s="2" t="s">
        <v>48461</v>
      </c>
      <c r="D5058" s="2" t="s">
        <v>48462</v>
      </c>
      <c r="E5058" s="2" t="s">
        <v>48463</v>
      </c>
      <c r="G5058" s="3" t="s">
        <v>62</v>
      </c>
      <c r="I5058" s="3" t="s">
        <v>62</v>
      </c>
      <c r="J5058" s="3" t="s">
        <v>62</v>
      </c>
      <c r="K5058" s="3" t="s">
        <v>63</v>
      </c>
      <c r="L5058" s="2" t="s">
        <v>48464</v>
      </c>
      <c r="M5058" s="2" t="s">
        <v>18274</v>
      </c>
      <c r="N5058" s="3" t="s">
        <v>894</v>
      </c>
      <c r="P5058" s="3" t="s">
        <v>65</v>
      </c>
      <c r="R5058" s="3" t="s">
        <v>66</v>
      </c>
      <c r="S5058" s="4">
        <v>5</v>
      </c>
      <c r="T5058" s="4">
        <v>5</v>
      </c>
      <c r="U5058" s="5" t="s">
        <v>48465</v>
      </c>
      <c r="V5058" s="5" t="s">
        <v>48465</v>
      </c>
      <c r="W5058" s="5" t="s">
        <v>67</v>
      </c>
      <c r="X5058" s="5" t="s">
        <v>67</v>
      </c>
      <c r="Y5058" s="4">
        <v>142</v>
      </c>
      <c r="Z5058" s="4">
        <v>16</v>
      </c>
      <c r="AA5058" s="4">
        <v>29</v>
      </c>
      <c r="AB5058" s="4">
        <v>1</v>
      </c>
      <c r="AC5058" s="4">
        <v>9</v>
      </c>
      <c r="AD5058" s="4">
        <v>50</v>
      </c>
      <c r="AE5058" s="4">
        <v>75</v>
      </c>
      <c r="AF5058" s="4">
        <v>0</v>
      </c>
      <c r="AG5058" s="4">
        <v>4</v>
      </c>
      <c r="AH5058" s="4">
        <v>44</v>
      </c>
      <c r="AI5058" s="4">
        <v>62</v>
      </c>
      <c r="AJ5058" s="4">
        <v>10</v>
      </c>
      <c r="AK5058" s="4">
        <v>16</v>
      </c>
      <c r="AL5058" s="4">
        <v>22</v>
      </c>
      <c r="AM5058" s="4">
        <v>36</v>
      </c>
      <c r="AN5058" s="4">
        <v>0</v>
      </c>
      <c r="AO5058" s="4">
        <v>0</v>
      </c>
      <c r="AP5058" s="4">
        <v>13</v>
      </c>
      <c r="AQ5058" s="4">
        <v>20</v>
      </c>
      <c r="AR5058" s="3" t="s">
        <v>62</v>
      </c>
      <c r="AS5058" s="3" t="s">
        <v>62</v>
      </c>
      <c r="AT5058" s="3" t="s">
        <v>62</v>
      </c>
      <c r="AV5058" s="6" t="str">
        <f>HYPERLINK("http://mcgill.on.worldcat.org/oclc/676726353","Catalog Record")</f>
        <v>Catalog Record</v>
      </c>
      <c r="AW5058" s="6" t="str">
        <f>HYPERLINK("http://www.worldcat.org/oclc/676726353","WorldCat Record")</f>
        <v>WorldCat Record</v>
      </c>
      <c r="AX5058" s="3" t="s">
        <v>48466</v>
      </c>
      <c r="AY5058" s="3" t="s">
        <v>48467</v>
      </c>
      <c r="AZ5058" s="3" t="s">
        <v>48468</v>
      </c>
      <c r="BA5058" s="3" t="s">
        <v>48468</v>
      </c>
      <c r="BB5058" s="3" t="s">
        <v>48469</v>
      </c>
      <c r="BC5058" s="3" t="s">
        <v>142</v>
      </c>
      <c r="BD5058" s="3" t="s">
        <v>68</v>
      </c>
      <c r="BE5058" s="3" t="s">
        <v>48470</v>
      </c>
      <c r="BF5058" s="3" t="s">
        <v>48469</v>
      </c>
      <c r="BG5058" s="3" t="s">
        <v>48471</v>
      </c>
    </row>
    <row r="5059" spans="1:59" ht="57" x14ac:dyDescent="0.45">
      <c r="A5059" s="2" t="s">
        <v>59</v>
      </c>
      <c r="B5059" s="2" t="s">
        <v>60</v>
      </c>
      <c r="C5059" s="2" t="s">
        <v>48472</v>
      </c>
      <c r="D5059" s="2" t="s">
        <v>48473</v>
      </c>
      <c r="E5059" s="2" t="s">
        <v>48474</v>
      </c>
      <c r="G5059" s="3" t="s">
        <v>62</v>
      </c>
      <c r="I5059" s="3" t="s">
        <v>62</v>
      </c>
      <c r="J5059" s="3" t="s">
        <v>62</v>
      </c>
      <c r="K5059" s="3" t="s">
        <v>63</v>
      </c>
      <c r="L5059" s="2" t="s">
        <v>45495</v>
      </c>
      <c r="M5059" s="2" t="s">
        <v>37690</v>
      </c>
      <c r="N5059" s="3" t="s">
        <v>1604</v>
      </c>
      <c r="P5059" s="3" t="s">
        <v>65</v>
      </c>
      <c r="Q5059" s="2" t="s">
        <v>48475</v>
      </c>
      <c r="R5059" s="3" t="s">
        <v>66</v>
      </c>
      <c r="S5059" s="4">
        <v>7</v>
      </c>
      <c r="T5059" s="4">
        <v>7</v>
      </c>
      <c r="U5059" s="5" t="s">
        <v>13385</v>
      </c>
      <c r="V5059" s="5" t="s">
        <v>13385</v>
      </c>
      <c r="W5059" s="5" t="s">
        <v>67</v>
      </c>
      <c r="X5059" s="5" t="s">
        <v>67</v>
      </c>
      <c r="Y5059" s="4">
        <v>205</v>
      </c>
      <c r="Z5059" s="4">
        <v>13</v>
      </c>
      <c r="AA5059" s="4">
        <v>96</v>
      </c>
      <c r="AB5059" s="4">
        <v>1</v>
      </c>
      <c r="AC5059" s="4">
        <v>17</v>
      </c>
      <c r="AD5059" s="4">
        <v>85</v>
      </c>
      <c r="AE5059" s="4">
        <v>133</v>
      </c>
      <c r="AF5059" s="4">
        <v>0</v>
      </c>
      <c r="AG5059" s="4">
        <v>8</v>
      </c>
      <c r="AH5059" s="4">
        <v>76</v>
      </c>
      <c r="AI5059" s="4">
        <v>96</v>
      </c>
      <c r="AJ5059" s="4">
        <v>9</v>
      </c>
      <c r="AK5059" s="4">
        <v>21</v>
      </c>
      <c r="AL5059" s="4">
        <v>46</v>
      </c>
      <c r="AM5059" s="4">
        <v>50</v>
      </c>
      <c r="AN5059" s="4">
        <v>0</v>
      </c>
      <c r="AO5059" s="4">
        <v>0</v>
      </c>
      <c r="AP5059" s="4">
        <v>10</v>
      </c>
      <c r="AQ5059" s="4">
        <v>43</v>
      </c>
      <c r="AR5059" s="3" t="s">
        <v>62</v>
      </c>
      <c r="AS5059" s="3" t="s">
        <v>62</v>
      </c>
      <c r="AT5059" s="3" t="s">
        <v>61</v>
      </c>
      <c r="AU5059" s="6" t="str">
        <f>HYPERLINK("http://catalog.hathitrust.org/Record/002954482","HathiTrust Record")</f>
        <v>HathiTrust Record</v>
      </c>
      <c r="AV5059" s="6" t="str">
        <f>HYPERLINK("http://mcgill.on.worldcat.org/oclc/30736406","Catalog Record")</f>
        <v>Catalog Record</v>
      </c>
      <c r="AW5059" s="6" t="str">
        <f>HYPERLINK("http://www.worldcat.org/oclc/30736406","WorldCat Record")</f>
        <v>WorldCat Record</v>
      </c>
      <c r="AX5059" s="3" t="s">
        <v>48476</v>
      </c>
      <c r="AY5059" s="3" t="s">
        <v>48477</v>
      </c>
      <c r="AZ5059" s="3" t="s">
        <v>48478</v>
      </c>
      <c r="BA5059" s="3" t="s">
        <v>48478</v>
      </c>
      <c r="BB5059" s="3" t="s">
        <v>48479</v>
      </c>
      <c r="BC5059" s="3" t="s">
        <v>142</v>
      </c>
      <c r="BD5059" s="3" t="s">
        <v>68</v>
      </c>
      <c r="BE5059" s="3" t="s">
        <v>48480</v>
      </c>
      <c r="BF5059" s="3" t="s">
        <v>48479</v>
      </c>
      <c r="BG5059" s="3" t="s">
        <v>48481</v>
      </c>
    </row>
    <row r="5060" spans="1:59" ht="57" x14ac:dyDescent="0.45">
      <c r="A5060" s="2" t="s">
        <v>59</v>
      </c>
      <c r="B5060" s="2" t="s">
        <v>60</v>
      </c>
      <c r="C5060" s="2" t="s">
        <v>48482</v>
      </c>
      <c r="D5060" s="2" t="s">
        <v>48483</v>
      </c>
      <c r="E5060" s="2" t="s">
        <v>48484</v>
      </c>
      <c r="G5060" s="3" t="s">
        <v>62</v>
      </c>
      <c r="I5060" s="3" t="s">
        <v>62</v>
      </c>
      <c r="J5060" s="3" t="s">
        <v>62</v>
      </c>
      <c r="K5060" s="3" t="s">
        <v>63</v>
      </c>
      <c r="L5060" s="2" t="s">
        <v>48485</v>
      </c>
      <c r="M5060" s="2" t="s">
        <v>48486</v>
      </c>
      <c r="N5060" s="3" t="s">
        <v>1604</v>
      </c>
      <c r="P5060" s="3" t="s">
        <v>65</v>
      </c>
      <c r="R5060" s="3" t="s">
        <v>66</v>
      </c>
      <c r="S5060" s="4">
        <v>2</v>
      </c>
      <c r="T5060" s="4">
        <v>2</v>
      </c>
      <c r="U5060" s="5" t="s">
        <v>48337</v>
      </c>
      <c r="V5060" s="5" t="s">
        <v>48337</v>
      </c>
      <c r="W5060" s="5" t="s">
        <v>67</v>
      </c>
      <c r="X5060" s="5" t="s">
        <v>67</v>
      </c>
      <c r="Y5060" s="4">
        <v>21</v>
      </c>
      <c r="Z5060" s="4">
        <v>5</v>
      </c>
      <c r="AA5060" s="4">
        <v>5</v>
      </c>
      <c r="AB5060" s="4">
        <v>1</v>
      </c>
      <c r="AC5060" s="4">
        <v>1</v>
      </c>
      <c r="AD5060" s="4">
        <v>13</v>
      </c>
      <c r="AE5060" s="4">
        <v>13</v>
      </c>
      <c r="AF5060" s="4">
        <v>0</v>
      </c>
      <c r="AG5060" s="4">
        <v>0</v>
      </c>
      <c r="AH5060" s="4">
        <v>13</v>
      </c>
      <c r="AI5060" s="4">
        <v>13</v>
      </c>
      <c r="AJ5060" s="4">
        <v>3</v>
      </c>
      <c r="AK5060" s="4">
        <v>3</v>
      </c>
      <c r="AL5060" s="4">
        <v>9</v>
      </c>
      <c r="AM5060" s="4">
        <v>9</v>
      </c>
      <c r="AN5060" s="4">
        <v>5</v>
      </c>
      <c r="AO5060" s="4">
        <v>5</v>
      </c>
      <c r="AP5060" s="4">
        <v>3</v>
      </c>
      <c r="AQ5060" s="4">
        <v>3</v>
      </c>
      <c r="AR5060" s="3" t="s">
        <v>62</v>
      </c>
      <c r="AS5060" s="3" t="s">
        <v>62</v>
      </c>
      <c r="AT5060" s="3" t="s">
        <v>61</v>
      </c>
      <c r="AU5060" s="6" t="str">
        <f>HYPERLINK("http://catalog.hathitrust.org/Record/101963935","HathiTrust Record")</f>
        <v>HathiTrust Record</v>
      </c>
      <c r="AV5060" s="6" t="str">
        <f>HYPERLINK("http://mcgill.on.worldcat.org/oclc/31011849","Catalog Record")</f>
        <v>Catalog Record</v>
      </c>
      <c r="AW5060" s="6" t="str">
        <f>HYPERLINK("http://www.worldcat.org/oclc/31011849","WorldCat Record")</f>
        <v>WorldCat Record</v>
      </c>
      <c r="AX5060" s="3" t="s">
        <v>48487</v>
      </c>
      <c r="AY5060" s="3" t="s">
        <v>48488</v>
      </c>
      <c r="AZ5060" s="3" t="s">
        <v>48489</v>
      </c>
      <c r="BA5060" s="3" t="s">
        <v>48489</v>
      </c>
      <c r="BB5060" s="3" t="s">
        <v>48490</v>
      </c>
      <c r="BC5060" s="3" t="s">
        <v>142</v>
      </c>
      <c r="BD5060" s="3" t="s">
        <v>68</v>
      </c>
      <c r="BE5060" s="3" t="s">
        <v>48491</v>
      </c>
      <c r="BF5060" s="3" t="s">
        <v>48490</v>
      </c>
      <c r="BG5060" s="3" t="s">
        <v>48492</v>
      </c>
    </row>
    <row r="5061" spans="1:59" ht="57" x14ac:dyDescent="0.45">
      <c r="A5061" s="2" t="s">
        <v>59</v>
      </c>
      <c r="B5061" s="2" t="s">
        <v>60</v>
      </c>
      <c r="C5061" s="2" t="s">
        <v>48493</v>
      </c>
      <c r="D5061" s="2" t="s">
        <v>48494</v>
      </c>
      <c r="E5061" s="2" t="s">
        <v>48495</v>
      </c>
      <c r="G5061" s="3" t="s">
        <v>62</v>
      </c>
      <c r="I5061" s="3" t="s">
        <v>62</v>
      </c>
      <c r="J5061" s="3" t="s">
        <v>62</v>
      </c>
      <c r="K5061" s="3" t="s">
        <v>63</v>
      </c>
      <c r="L5061" s="2" t="s">
        <v>48496</v>
      </c>
      <c r="M5061" s="2" t="s">
        <v>2799</v>
      </c>
      <c r="N5061" s="3" t="s">
        <v>945</v>
      </c>
      <c r="P5061" s="3" t="s">
        <v>65</v>
      </c>
      <c r="Q5061" s="2" t="s">
        <v>48497</v>
      </c>
      <c r="R5061" s="3" t="s">
        <v>66</v>
      </c>
      <c r="S5061" s="4">
        <v>4</v>
      </c>
      <c r="T5061" s="4">
        <v>4</v>
      </c>
      <c r="U5061" s="5" t="s">
        <v>43278</v>
      </c>
      <c r="V5061" s="5" t="s">
        <v>43278</v>
      </c>
      <c r="W5061" s="5" t="s">
        <v>67</v>
      </c>
      <c r="X5061" s="5" t="s">
        <v>67</v>
      </c>
      <c r="Y5061" s="4">
        <v>59</v>
      </c>
      <c r="Z5061" s="4">
        <v>8</v>
      </c>
      <c r="AA5061" s="4">
        <v>33</v>
      </c>
      <c r="AB5061" s="4">
        <v>1</v>
      </c>
      <c r="AC5061" s="4">
        <v>8</v>
      </c>
      <c r="AD5061" s="4">
        <v>20</v>
      </c>
      <c r="AE5061" s="4">
        <v>97</v>
      </c>
      <c r="AF5061" s="4">
        <v>0</v>
      </c>
      <c r="AG5061" s="4">
        <v>4</v>
      </c>
      <c r="AH5061" s="4">
        <v>19</v>
      </c>
      <c r="AI5061" s="4">
        <v>82</v>
      </c>
      <c r="AJ5061" s="4">
        <v>6</v>
      </c>
      <c r="AK5061" s="4">
        <v>18</v>
      </c>
      <c r="AL5061" s="4">
        <v>11</v>
      </c>
      <c r="AM5061" s="4">
        <v>47</v>
      </c>
      <c r="AN5061" s="4">
        <v>0</v>
      </c>
      <c r="AO5061" s="4">
        <v>0</v>
      </c>
      <c r="AP5061" s="4">
        <v>6</v>
      </c>
      <c r="AQ5061" s="4">
        <v>23</v>
      </c>
      <c r="AR5061" s="3" t="s">
        <v>62</v>
      </c>
      <c r="AS5061" s="3" t="s">
        <v>62</v>
      </c>
      <c r="AT5061" s="3" t="s">
        <v>62</v>
      </c>
      <c r="AV5061" s="6" t="str">
        <f>HYPERLINK("http://mcgill.on.worldcat.org/oclc/173659530","Catalog Record")</f>
        <v>Catalog Record</v>
      </c>
      <c r="AW5061" s="6" t="str">
        <f>HYPERLINK("http://www.worldcat.org/oclc/173659530","WorldCat Record")</f>
        <v>WorldCat Record</v>
      </c>
      <c r="AX5061" s="3" t="s">
        <v>48498</v>
      </c>
      <c r="AY5061" s="3" t="s">
        <v>48499</v>
      </c>
      <c r="AZ5061" s="3" t="s">
        <v>48500</v>
      </c>
      <c r="BA5061" s="3" t="s">
        <v>48500</v>
      </c>
      <c r="BB5061" s="3" t="s">
        <v>48501</v>
      </c>
      <c r="BC5061" s="3" t="s">
        <v>142</v>
      </c>
      <c r="BD5061" s="3" t="s">
        <v>68</v>
      </c>
      <c r="BE5061" s="3" t="s">
        <v>48502</v>
      </c>
      <c r="BF5061" s="3" t="s">
        <v>48501</v>
      </c>
      <c r="BG5061" s="3" t="s">
        <v>48503</v>
      </c>
    </row>
    <row r="5062" spans="1:59" ht="57" x14ac:dyDescent="0.45">
      <c r="A5062" s="2" t="s">
        <v>59</v>
      </c>
      <c r="B5062" s="2" t="s">
        <v>60</v>
      </c>
      <c r="C5062" s="2" t="s">
        <v>48504</v>
      </c>
      <c r="D5062" s="2" t="s">
        <v>48505</v>
      </c>
      <c r="E5062" s="2" t="s">
        <v>48506</v>
      </c>
      <c r="G5062" s="3" t="s">
        <v>62</v>
      </c>
      <c r="I5062" s="3" t="s">
        <v>62</v>
      </c>
      <c r="J5062" s="3" t="s">
        <v>62</v>
      </c>
      <c r="K5062" s="3" t="s">
        <v>63</v>
      </c>
      <c r="M5062" s="2" t="s">
        <v>48507</v>
      </c>
      <c r="N5062" s="3" t="s">
        <v>807</v>
      </c>
      <c r="P5062" s="3" t="s">
        <v>65</v>
      </c>
      <c r="Q5062" s="2" t="s">
        <v>48508</v>
      </c>
      <c r="R5062" s="3" t="s">
        <v>66</v>
      </c>
      <c r="S5062" s="4">
        <v>17</v>
      </c>
      <c r="T5062" s="4">
        <v>17</v>
      </c>
      <c r="U5062" s="5" t="s">
        <v>19427</v>
      </c>
      <c r="V5062" s="5" t="s">
        <v>19427</v>
      </c>
      <c r="W5062" s="5" t="s">
        <v>67</v>
      </c>
      <c r="X5062" s="5" t="s">
        <v>67</v>
      </c>
      <c r="Y5062" s="4">
        <v>188</v>
      </c>
      <c r="Z5062" s="4">
        <v>18</v>
      </c>
      <c r="AA5062" s="4">
        <v>18</v>
      </c>
      <c r="AB5062" s="4">
        <v>1</v>
      </c>
      <c r="AC5062" s="4">
        <v>1</v>
      </c>
      <c r="AD5062" s="4">
        <v>87</v>
      </c>
      <c r="AE5062" s="4">
        <v>87</v>
      </c>
      <c r="AF5062" s="4">
        <v>0</v>
      </c>
      <c r="AG5062" s="4">
        <v>0</v>
      </c>
      <c r="AH5062" s="4">
        <v>79</v>
      </c>
      <c r="AI5062" s="4">
        <v>79</v>
      </c>
      <c r="AJ5062" s="4">
        <v>14</v>
      </c>
      <c r="AK5062" s="4">
        <v>14</v>
      </c>
      <c r="AL5062" s="4">
        <v>47</v>
      </c>
      <c r="AM5062" s="4">
        <v>47</v>
      </c>
      <c r="AN5062" s="4">
        <v>0</v>
      </c>
      <c r="AO5062" s="4">
        <v>0</v>
      </c>
      <c r="AP5062" s="4">
        <v>16</v>
      </c>
      <c r="AQ5062" s="4">
        <v>16</v>
      </c>
      <c r="AR5062" s="3" t="s">
        <v>62</v>
      </c>
      <c r="AS5062" s="3" t="s">
        <v>62</v>
      </c>
      <c r="AT5062" s="3" t="s">
        <v>61</v>
      </c>
      <c r="AU5062" s="6" t="str">
        <f>HYPERLINK("http://catalog.hathitrust.org/Record/002555857","HathiTrust Record")</f>
        <v>HathiTrust Record</v>
      </c>
      <c r="AV5062" s="6" t="str">
        <f>HYPERLINK("http://mcgill.on.worldcat.org/oclc/23286425","Catalog Record")</f>
        <v>Catalog Record</v>
      </c>
      <c r="AW5062" s="6" t="str">
        <f>HYPERLINK("http://www.worldcat.org/oclc/23286425","WorldCat Record")</f>
        <v>WorldCat Record</v>
      </c>
      <c r="AX5062" s="3" t="s">
        <v>48509</v>
      </c>
      <c r="AY5062" s="3" t="s">
        <v>48510</v>
      </c>
      <c r="AZ5062" s="3" t="s">
        <v>48511</v>
      </c>
      <c r="BA5062" s="3" t="s">
        <v>48511</v>
      </c>
      <c r="BB5062" s="3" t="s">
        <v>48512</v>
      </c>
      <c r="BC5062" s="3" t="s">
        <v>142</v>
      </c>
      <c r="BD5062" s="3" t="s">
        <v>68</v>
      </c>
      <c r="BE5062" s="3" t="s">
        <v>48513</v>
      </c>
      <c r="BF5062" s="3" t="s">
        <v>48512</v>
      </c>
      <c r="BG5062" s="3" t="s">
        <v>48514</v>
      </c>
    </row>
    <row r="5063" spans="1:59" ht="57" x14ac:dyDescent="0.45">
      <c r="A5063" s="2" t="s">
        <v>59</v>
      </c>
      <c r="B5063" s="2" t="s">
        <v>60</v>
      </c>
      <c r="C5063" s="2" t="s">
        <v>48515</v>
      </c>
      <c r="D5063" s="2" t="s">
        <v>48516</v>
      </c>
      <c r="E5063" s="2" t="s">
        <v>48517</v>
      </c>
      <c r="G5063" s="3" t="s">
        <v>62</v>
      </c>
      <c r="I5063" s="3" t="s">
        <v>62</v>
      </c>
      <c r="J5063" s="3" t="s">
        <v>62</v>
      </c>
      <c r="K5063" s="3" t="s">
        <v>63</v>
      </c>
      <c r="M5063" s="2" t="s">
        <v>48518</v>
      </c>
      <c r="N5063" s="3" t="s">
        <v>1097</v>
      </c>
      <c r="P5063" s="3" t="s">
        <v>65</v>
      </c>
      <c r="R5063" s="3" t="s">
        <v>66</v>
      </c>
      <c r="S5063" s="4">
        <v>11</v>
      </c>
      <c r="T5063" s="4">
        <v>11</v>
      </c>
      <c r="U5063" s="5" t="s">
        <v>48065</v>
      </c>
      <c r="V5063" s="5" t="s">
        <v>48065</v>
      </c>
      <c r="W5063" s="5" t="s">
        <v>67</v>
      </c>
      <c r="X5063" s="5" t="s">
        <v>67</v>
      </c>
      <c r="Y5063" s="4">
        <v>146</v>
      </c>
      <c r="Z5063" s="4">
        <v>15</v>
      </c>
      <c r="AA5063" s="4">
        <v>25</v>
      </c>
      <c r="AB5063" s="4">
        <v>1</v>
      </c>
      <c r="AC5063" s="4">
        <v>8</v>
      </c>
      <c r="AD5063" s="4">
        <v>50</v>
      </c>
      <c r="AE5063" s="4">
        <v>66</v>
      </c>
      <c r="AF5063" s="4">
        <v>0</v>
      </c>
      <c r="AG5063" s="4">
        <v>4</v>
      </c>
      <c r="AH5063" s="4">
        <v>44</v>
      </c>
      <c r="AI5063" s="4">
        <v>55</v>
      </c>
      <c r="AJ5063" s="4">
        <v>10</v>
      </c>
      <c r="AK5063" s="4">
        <v>14</v>
      </c>
      <c r="AL5063" s="4">
        <v>24</v>
      </c>
      <c r="AM5063" s="4">
        <v>33</v>
      </c>
      <c r="AN5063" s="4">
        <v>0</v>
      </c>
      <c r="AO5063" s="4">
        <v>0</v>
      </c>
      <c r="AP5063" s="4">
        <v>13</v>
      </c>
      <c r="AQ5063" s="4">
        <v>18</v>
      </c>
      <c r="AR5063" s="3" t="s">
        <v>62</v>
      </c>
      <c r="AS5063" s="3" t="s">
        <v>62</v>
      </c>
      <c r="AT5063" s="3" t="s">
        <v>62</v>
      </c>
      <c r="AV5063" s="6" t="str">
        <f>HYPERLINK("http://mcgill.on.worldcat.org/oclc/51810658","Catalog Record")</f>
        <v>Catalog Record</v>
      </c>
      <c r="AW5063" s="6" t="str">
        <f>HYPERLINK("http://www.worldcat.org/oclc/51810658","WorldCat Record")</f>
        <v>WorldCat Record</v>
      </c>
      <c r="AX5063" s="3" t="s">
        <v>48519</v>
      </c>
      <c r="AY5063" s="3" t="s">
        <v>48520</v>
      </c>
      <c r="AZ5063" s="3" t="s">
        <v>48521</v>
      </c>
      <c r="BA5063" s="3" t="s">
        <v>48521</v>
      </c>
      <c r="BB5063" s="3" t="s">
        <v>48522</v>
      </c>
      <c r="BC5063" s="3" t="s">
        <v>142</v>
      </c>
      <c r="BD5063" s="3" t="s">
        <v>68</v>
      </c>
      <c r="BE5063" s="3" t="s">
        <v>48523</v>
      </c>
      <c r="BF5063" s="3" t="s">
        <v>48522</v>
      </c>
      <c r="BG5063" s="3" t="s">
        <v>48524</v>
      </c>
    </row>
    <row r="5064" spans="1:59" ht="57" x14ac:dyDescent="0.45">
      <c r="A5064" s="2" t="s">
        <v>59</v>
      </c>
      <c r="B5064" s="2" t="s">
        <v>60</v>
      </c>
      <c r="C5064" s="2" t="s">
        <v>48525</v>
      </c>
      <c r="D5064" s="2" t="s">
        <v>48526</v>
      </c>
      <c r="E5064" s="2" t="s">
        <v>48527</v>
      </c>
      <c r="G5064" s="3" t="s">
        <v>62</v>
      </c>
      <c r="I5064" s="3" t="s">
        <v>62</v>
      </c>
      <c r="J5064" s="3" t="s">
        <v>62</v>
      </c>
      <c r="K5064" s="3" t="s">
        <v>63</v>
      </c>
      <c r="L5064" s="2" t="s">
        <v>48528</v>
      </c>
      <c r="M5064" s="2" t="s">
        <v>10008</v>
      </c>
      <c r="N5064" s="3" t="s">
        <v>1059</v>
      </c>
      <c r="P5064" s="3" t="s">
        <v>65</v>
      </c>
      <c r="Q5064" s="2" t="s">
        <v>48529</v>
      </c>
      <c r="R5064" s="3" t="s">
        <v>66</v>
      </c>
      <c r="S5064" s="4">
        <v>1</v>
      </c>
      <c r="T5064" s="4">
        <v>1</v>
      </c>
      <c r="U5064" s="5" t="s">
        <v>12338</v>
      </c>
      <c r="V5064" s="5" t="s">
        <v>12338</v>
      </c>
      <c r="W5064" s="5" t="s">
        <v>67</v>
      </c>
      <c r="X5064" s="5" t="s">
        <v>67</v>
      </c>
      <c r="Y5064" s="4">
        <v>175</v>
      </c>
      <c r="Z5064" s="4">
        <v>16</v>
      </c>
      <c r="AA5064" s="4">
        <v>19</v>
      </c>
      <c r="AB5064" s="4">
        <v>2</v>
      </c>
      <c r="AC5064" s="4">
        <v>5</v>
      </c>
      <c r="AD5064" s="4">
        <v>78</v>
      </c>
      <c r="AE5064" s="4">
        <v>80</v>
      </c>
      <c r="AF5064" s="4">
        <v>1</v>
      </c>
      <c r="AG5064" s="4">
        <v>2</v>
      </c>
      <c r="AH5064" s="4">
        <v>72</v>
      </c>
      <c r="AI5064" s="4">
        <v>74</v>
      </c>
      <c r="AJ5064" s="4">
        <v>14</v>
      </c>
      <c r="AK5064" s="4">
        <v>15</v>
      </c>
      <c r="AL5064" s="4">
        <v>44</v>
      </c>
      <c r="AM5064" s="4">
        <v>44</v>
      </c>
      <c r="AN5064" s="4">
        <v>0</v>
      </c>
      <c r="AO5064" s="4">
        <v>0</v>
      </c>
      <c r="AP5064" s="4">
        <v>14</v>
      </c>
      <c r="AQ5064" s="4">
        <v>15</v>
      </c>
      <c r="AR5064" s="3" t="s">
        <v>62</v>
      </c>
      <c r="AS5064" s="3" t="s">
        <v>62</v>
      </c>
      <c r="AT5064" s="3" t="s">
        <v>62</v>
      </c>
      <c r="AV5064" s="6" t="str">
        <f>HYPERLINK("http://mcgill.on.worldcat.org/oclc/62896536","Catalog Record")</f>
        <v>Catalog Record</v>
      </c>
      <c r="AW5064" s="6" t="str">
        <f>HYPERLINK("http://www.worldcat.org/oclc/62896536","WorldCat Record")</f>
        <v>WorldCat Record</v>
      </c>
      <c r="AX5064" s="3" t="s">
        <v>48530</v>
      </c>
      <c r="AY5064" s="3" t="s">
        <v>48531</v>
      </c>
      <c r="AZ5064" s="3" t="s">
        <v>48532</v>
      </c>
      <c r="BA5064" s="3" t="s">
        <v>48532</v>
      </c>
      <c r="BB5064" s="3" t="s">
        <v>48533</v>
      </c>
      <c r="BC5064" s="3" t="s">
        <v>142</v>
      </c>
      <c r="BD5064" s="3" t="s">
        <v>68</v>
      </c>
      <c r="BE5064" s="3" t="s">
        <v>48534</v>
      </c>
      <c r="BF5064" s="3" t="s">
        <v>48533</v>
      </c>
      <c r="BG5064" s="3" t="s">
        <v>48535</v>
      </c>
    </row>
    <row r="5065" spans="1:59" ht="57" x14ac:dyDescent="0.45">
      <c r="A5065" s="2" t="s">
        <v>59</v>
      </c>
      <c r="B5065" s="2" t="s">
        <v>60</v>
      </c>
      <c r="C5065" s="2" t="s">
        <v>48536</v>
      </c>
      <c r="D5065" s="2" t="s">
        <v>48537</v>
      </c>
      <c r="E5065" s="2" t="s">
        <v>48538</v>
      </c>
      <c r="G5065" s="3" t="s">
        <v>62</v>
      </c>
      <c r="I5065" s="3" t="s">
        <v>62</v>
      </c>
      <c r="J5065" s="3" t="s">
        <v>62</v>
      </c>
      <c r="K5065" s="3" t="s">
        <v>63</v>
      </c>
      <c r="M5065" s="2" t="s">
        <v>7623</v>
      </c>
      <c r="N5065" s="3" t="s">
        <v>208</v>
      </c>
      <c r="P5065" s="3" t="s">
        <v>65</v>
      </c>
      <c r="Q5065" s="2" t="s">
        <v>48539</v>
      </c>
      <c r="R5065" s="3" t="s">
        <v>66</v>
      </c>
      <c r="S5065" s="4">
        <v>1</v>
      </c>
      <c r="T5065" s="4">
        <v>1</v>
      </c>
      <c r="U5065" s="5" t="s">
        <v>19735</v>
      </c>
      <c r="V5065" s="5" t="s">
        <v>19735</v>
      </c>
      <c r="W5065" s="5" t="s">
        <v>67</v>
      </c>
      <c r="X5065" s="5" t="s">
        <v>67</v>
      </c>
      <c r="Y5065" s="4">
        <v>63</v>
      </c>
      <c r="Z5065" s="4">
        <v>6</v>
      </c>
      <c r="AA5065" s="4">
        <v>6</v>
      </c>
      <c r="AB5065" s="4">
        <v>1</v>
      </c>
      <c r="AC5065" s="4">
        <v>1</v>
      </c>
      <c r="AD5065" s="4">
        <v>35</v>
      </c>
      <c r="AE5065" s="4">
        <v>35</v>
      </c>
      <c r="AF5065" s="4">
        <v>0</v>
      </c>
      <c r="AG5065" s="4">
        <v>0</v>
      </c>
      <c r="AH5065" s="4">
        <v>33</v>
      </c>
      <c r="AI5065" s="4">
        <v>33</v>
      </c>
      <c r="AJ5065" s="4">
        <v>4</v>
      </c>
      <c r="AK5065" s="4">
        <v>4</v>
      </c>
      <c r="AL5065" s="4">
        <v>25</v>
      </c>
      <c r="AM5065" s="4">
        <v>25</v>
      </c>
      <c r="AN5065" s="4">
        <v>0</v>
      </c>
      <c r="AO5065" s="4">
        <v>0</v>
      </c>
      <c r="AP5065" s="4">
        <v>4</v>
      </c>
      <c r="AQ5065" s="4">
        <v>4</v>
      </c>
      <c r="AR5065" s="3" t="s">
        <v>62</v>
      </c>
      <c r="AS5065" s="3" t="s">
        <v>62</v>
      </c>
      <c r="AT5065" s="3" t="s">
        <v>62</v>
      </c>
      <c r="AV5065" s="6" t="str">
        <f>HYPERLINK("http://mcgill.on.worldcat.org/oclc/914221944","Catalog Record")</f>
        <v>Catalog Record</v>
      </c>
      <c r="AW5065" s="6" t="str">
        <f>HYPERLINK("http://www.worldcat.org/oclc/914221944","WorldCat Record")</f>
        <v>WorldCat Record</v>
      </c>
      <c r="AX5065" s="3" t="s">
        <v>48540</v>
      </c>
      <c r="AY5065" s="3" t="s">
        <v>48541</v>
      </c>
      <c r="AZ5065" s="3" t="s">
        <v>48542</v>
      </c>
      <c r="BA5065" s="3" t="s">
        <v>48542</v>
      </c>
      <c r="BB5065" s="3" t="s">
        <v>48543</v>
      </c>
      <c r="BC5065" s="3" t="s">
        <v>142</v>
      </c>
      <c r="BD5065" s="3" t="s">
        <v>68</v>
      </c>
      <c r="BE5065" s="3" t="s">
        <v>48544</v>
      </c>
      <c r="BF5065" s="3" t="s">
        <v>48543</v>
      </c>
      <c r="BG5065" s="3" t="s">
        <v>48545</v>
      </c>
    </row>
    <row r="5066" spans="1:59" ht="57" x14ac:dyDescent="0.45">
      <c r="A5066" s="2" t="s">
        <v>59</v>
      </c>
      <c r="B5066" s="2" t="s">
        <v>60</v>
      </c>
      <c r="C5066" s="2" t="s">
        <v>48546</v>
      </c>
      <c r="D5066" s="2" t="s">
        <v>48547</v>
      </c>
      <c r="E5066" s="2" t="s">
        <v>48548</v>
      </c>
      <c r="G5066" s="3" t="s">
        <v>62</v>
      </c>
      <c r="I5066" s="3" t="s">
        <v>62</v>
      </c>
      <c r="J5066" s="3" t="s">
        <v>62</v>
      </c>
      <c r="K5066" s="3" t="s">
        <v>63</v>
      </c>
      <c r="M5066" s="2" t="s">
        <v>48549</v>
      </c>
      <c r="N5066" s="3" t="s">
        <v>125</v>
      </c>
      <c r="P5066" s="3" t="s">
        <v>65</v>
      </c>
      <c r="R5066" s="3" t="s">
        <v>66</v>
      </c>
      <c r="S5066" s="4">
        <v>18</v>
      </c>
      <c r="T5066" s="4">
        <v>18</v>
      </c>
      <c r="U5066" s="5" t="s">
        <v>48337</v>
      </c>
      <c r="V5066" s="5" t="s">
        <v>48337</v>
      </c>
      <c r="W5066" s="5" t="s">
        <v>67</v>
      </c>
      <c r="X5066" s="5" t="s">
        <v>67</v>
      </c>
      <c r="Y5066" s="4">
        <v>280</v>
      </c>
      <c r="Z5066" s="4">
        <v>21</v>
      </c>
      <c r="AA5066" s="4">
        <v>24</v>
      </c>
      <c r="AB5066" s="4">
        <v>2</v>
      </c>
      <c r="AC5066" s="4">
        <v>5</v>
      </c>
      <c r="AD5066" s="4">
        <v>110</v>
      </c>
      <c r="AE5066" s="4">
        <v>113</v>
      </c>
      <c r="AF5066" s="4">
        <v>1</v>
      </c>
      <c r="AG5066" s="4">
        <v>4</v>
      </c>
      <c r="AH5066" s="4">
        <v>101</v>
      </c>
      <c r="AI5066" s="4">
        <v>102</v>
      </c>
      <c r="AJ5066" s="4">
        <v>17</v>
      </c>
      <c r="AK5066" s="4">
        <v>20</v>
      </c>
      <c r="AL5066" s="4">
        <v>57</v>
      </c>
      <c r="AM5066" s="4">
        <v>57</v>
      </c>
      <c r="AN5066" s="4">
        <v>0</v>
      </c>
      <c r="AO5066" s="4">
        <v>0</v>
      </c>
      <c r="AP5066" s="4">
        <v>19</v>
      </c>
      <c r="AQ5066" s="4">
        <v>21</v>
      </c>
      <c r="AR5066" s="3" t="s">
        <v>62</v>
      </c>
      <c r="AS5066" s="3" t="s">
        <v>62</v>
      </c>
      <c r="AT5066" s="3" t="s">
        <v>62</v>
      </c>
      <c r="AV5066" s="6" t="str">
        <f>HYPERLINK("http://mcgill.on.worldcat.org/oclc/20753938","Catalog Record")</f>
        <v>Catalog Record</v>
      </c>
      <c r="AW5066" s="6" t="str">
        <f>HYPERLINK("http://www.worldcat.org/oclc/20753938","WorldCat Record")</f>
        <v>WorldCat Record</v>
      </c>
      <c r="AX5066" s="3" t="s">
        <v>48550</v>
      </c>
      <c r="AY5066" s="3" t="s">
        <v>48551</v>
      </c>
      <c r="AZ5066" s="3" t="s">
        <v>48552</v>
      </c>
      <c r="BA5066" s="3" t="s">
        <v>48552</v>
      </c>
      <c r="BB5066" s="3" t="s">
        <v>48553</v>
      </c>
      <c r="BC5066" s="3" t="s">
        <v>142</v>
      </c>
      <c r="BD5066" s="3" t="s">
        <v>68</v>
      </c>
      <c r="BE5066" s="3" t="s">
        <v>48554</v>
      </c>
      <c r="BF5066" s="3" t="s">
        <v>48553</v>
      </c>
      <c r="BG5066" s="3" t="s">
        <v>48555</v>
      </c>
    </row>
    <row r="5067" spans="1:59" ht="57" x14ac:dyDescent="0.45">
      <c r="A5067" s="2" t="s">
        <v>59</v>
      </c>
      <c r="B5067" s="2" t="s">
        <v>60</v>
      </c>
      <c r="C5067" s="2" t="s">
        <v>48556</v>
      </c>
      <c r="D5067" s="2" t="s">
        <v>48557</v>
      </c>
      <c r="E5067" s="2" t="s">
        <v>48558</v>
      </c>
      <c r="G5067" s="3" t="s">
        <v>62</v>
      </c>
      <c r="I5067" s="3" t="s">
        <v>62</v>
      </c>
      <c r="J5067" s="3" t="s">
        <v>62</v>
      </c>
      <c r="K5067" s="3" t="s">
        <v>63</v>
      </c>
      <c r="M5067" s="2" t="s">
        <v>40599</v>
      </c>
      <c r="N5067" s="3" t="s">
        <v>149</v>
      </c>
      <c r="P5067" s="3" t="s">
        <v>65</v>
      </c>
      <c r="Q5067" s="2" t="s">
        <v>48559</v>
      </c>
      <c r="R5067" s="3" t="s">
        <v>66</v>
      </c>
      <c r="S5067" s="4">
        <v>1</v>
      </c>
      <c r="T5067" s="4">
        <v>1</v>
      </c>
      <c r="U5067" s="5" t="s">
        <v>48560</v>
      </c>
      <c r="V5067" s="5" t="s">
        <v>48560</v>
      </c>
      <c r="W5067" s="5" t="s">
        <v>67</v>
      </c>
      <c r="X5067" s="5" t="s">
        <v>67</v>
      </c>
      <c r="Y5067" s="4">
        <v>124</v>
      </c>
      <c r="Z5067" s="4">
        <v>14</v>
      </c>
      <c r="AA5067" s="4">
        <v>85</v>
      </c>
      <c r="AB5067" s="4">
        <v>1</v>
      </c>
      <c r="AC5067" s="4">
        <v>14</v>
      </c>
      <c r="AD5067" s="4">
        <v>55</v>
      </c>
      <c r="AE5067" s="4">
        <v>123</v>
      </c>
      <c r="AF5067" s="4">
        <v>0</v>
      </c>
      <c r="AG5067" s="4">
        <v>8</v>
      </c>
      <c r="AH5067" s="4">
        <v>48</v>
      </c>
      <c r="AI5067" s="4">
        <v>86</v>
      </c>
      <c r="AJ5067" s="4">
        <v>10</v>
      </c>
      <c r="AK5067" s="4">
        <v>26</v>
      </c>
      <c r="AL5067" s="4">
        <v>30</v>
      </c>
      <c r="AM5067" s="4">
        <v>47</v>
      </c>
      <c r="AN5067" s="4">
        <v>0</v>
      </c>
      <c r="AO5067" s="4">
        <v>0</v>
      </c>
      <c r="AP5067" s="4">
        <v>11</v>
      </c>
      <c r="AQ5067" s="4">
        <v>46</v>
      </c>
      <c r="AR5067" s="3" t="s">
        <v>62</v>
      </c>
      <c r="AS5067" s="3" t="s">
        <v>62</v>
      </c>
      <c r="AT5067" s="3" t="s">
        <v>62</v>
      </c>
      <c r="AV5067" s="6" t="str">
        <f>HYPERLINK("http://mcgill.on.worldcat.org/oclc/589017879","Catalog Record")</f>
        <v>Catalog Record</v>
      </c>
      <c r="AW5067" s="6" t="str">
        <f>HYPERLINK("http://www.worldcat.org/oclc/589017879","WorldCat Record")</f>
        <v>WorldCat Record</v>
      </c>
      <c r="AX5067" s="3" t="s">
        <v>48561</v>
      </c>
      <c r="AY5067" s="3" t="s">
        <v>48562</v>
      </c>
      <c r="AZ5067" s="3" t="s">
        <v>48563</v>
      </c>
      <c r="BA5067" s="3" t="s">
        <v>48563</v>
      </c>
      <c r="BB5067" s="3" t="s">
        <v>48564</v>
      </c>
      <c r="BC5067" s="3" t="s">
        <v>142</v>
      </c>
      <c r="BD5067" s="3" t="s">
        <v>68</v>
      </c>
      <c r="BE5067" s="3" t="s">
        <v>48565</v>
      </c>
      <c r="BF5067" s="3" t="s">
        <v>48564</v>
      </c>
      <c r="BG5067" s="3" t="s">
        <v>48566</v>
      </c>
    </row>
    <row r="5068" spans="1:59" ht="57" x14ac:dyDescent="0.45">
      <c r="A5068" s="2" t="s">
        <v>59</v>
      </c>
      <c r="B5068" s="2" t="s">
        <v>60</v>
      </c>
      <c r="C5068" s="2" t="s">
        <v>48567</v>
      </c>
      <c r="D5068" s="2" t="s">
        <v>48568</v>
      </c>
      <c r="E5068" s="2" t="s">
        <v>48569</v>
      </c>
      <c r="G5068" s="3" t="s">
        <v>62</v>
      </c>
      <c r="I5068" s="3" t="s">
        <v>62</v>
      </c>
      <c r="J5068" s="3" t="s">
        <v>62</v>
      </c>
      <c r="K5068" s="3" t="s">
        <v>63</v>
      </c>
      <c r="L5068" s="2" t="s">
        <v>48570</v>
      </c>
      <c r="M5068" s="2" t="s">
        <v>31888</v>
      </c>
      <c r="N5068" s="3" t="s">
        <v>2107</v>
      </c>
      <c r="P5068" s="3" t="s">
        <v>65</v>
      </c>
      <c r="Q5068" s="2" t="s">
        <v>48571</v>
      </c>
      <c r="R5068" s="3" t="s">
        <v>66</v>
      </c>
      <c r="S5068" s="4">
        <v>33</v>
      </c>
      <c r="T5068" s="4">
        <v>33</v>
      </c>
      <c r="U5068" s="5" t="s">
        <v>43278</v>
      </c>
      <c r="V5068" s="5" t="s">
        <v>43278</v>
      </c>
      <c r="W5068" s="5" t="s">
        <v>67</v>
      </c>
      <c r="X5068" s="5" t="s">
        <v>67</v>
      </c>
      <c r="Y5068" s="4">
        <v>370</v>
      </c>
      <c r="Z5068" s="4">
        <v>20</v>
      </c>
      <c r="AA5068" s="4">
        <v>25</v>
      </c>
      <c r="AB5068" s="4">
        <v>2</v>
      </c>
      <c r="AC5068" s="4">
        <v>7</v>
      </c>
      <c r="AD5068" s="4">
        <v>111</v>
      </c>
      <c r="AE5068" s="4">
        <v>115</v>
      </c>
      <c r="AF5068" s="4">
        <v>1</v>
      </c>
      <c r="AG5068" s="4">
        <v>4</v>
      </c>
      <c r="AH5068" s="4">
        <v>100</v>
      </c>
      <c r="AI5068" s="4">
        <v>102</v>
      </c>
      <c r="AJ5068" s="4">
        <v>16</v>
      </c>
      <c r="AK5068" s="4">
        <v>19</v>
      </c>
      <c r="AL5068" s="4">
        <v>54</v>
      </c>
      <c r="AM5068" s="4">
        <v>55</v>
      </c>
      <c r="AN5068" s="4">
        <v>0</v>
      </c>
      <c r="AO5068" s="4">
        <v>0</v>
      </c>
      <c r="AP5068" s="4">
        <v>18</v>
      </c>
      <c r="AQ5068" s="4">
        <v>20</v>
      </c>
      <c r="AR5068" s="3" t="s">
        <v>62</v>
      </c>
      <c r="AS5068" s="3" t="s">
        <v>62</v>
      </c>
      <c r="AT5068" s="3" t="s">
        <v>62</v>
      </c>
      <c r="AV5068" s="6" t="str">
        <f>HYPERLINK("http://mcgill.on.worldcat.org/oclc/10779996","Catalog Record")</f>
        <v>Catalog Record</v>
      </c>
      <c r="AW5068" s="6" t="str">
        <f>HYPERLINK("http://www.worldcat.org/oclc/10779996","WorldCat Record")</f>
        <v>WorldCat Record</v>
      </c>
      <c r="AX5068" s="3" t="s">
        <v>48572</v>
      </c>
      <c r="AY5068" s="3" t="s">
        <v>48573</v>
      </c>
      <c r="AZ5068" s="3" t="s">
        <v>48574</v>
      </c>
      <c r="BA5068" s="3" t="s">
        <v>48574</v>
      </c>
      <c r="BB5068" s="3" t="s">
        <v>48575</v>
      </c>
      <c r="BC5068" s="3" t="s">
        <v>142</v>
      </c>
      <c r="BD5068" s="3" t="s">
        <v>68</v>
      </c>
      <c r="BE5068" s="3" t="s">
        <v>48576</v>
      </c>
      <c r="BF5068" s="3" t="s">
        <v>48575</v>
      </c>
      <c r="BG5068" s="3" t="s">
        <v>48577</v>
      </c>
    </row>
    <row r="5069" spans="1:59" ht="57" x14ac:dyDescent="0.45">
      <c r="A5069" s="2" t="s">
        <v>59</v>
      </c>
      <c r="B5069" s="2" t="s">
        <v>60</v>
      </c>
      <c r="C5069" s="2" t="s">
        <v>48578</v>
      </c>
      <c r="D5069" s="2" t="s">
        <v>48579</v>
      </c>
      <c r="E5069" s="2" t="s">
        <v>48580</v>
      </c>
      <c r="G5069" s="3" t="s">
        <v>62</v>
      </c>
      <c r="I5069" s="3" t="s">
        <v>62</v>
      </c>
      <c r="J5069" s="3" t="s">
        <v>62</v>
      </c>
      <c r="K5069" s="3" t="s">
        <v>63</v>
      </c>
      <c r="M5069" s="2" t="s">
        <v>1009</v>
      </c>
      <c r="N5069" s="3" t="s">
        <v>894</v>
      </c>
      <c r="P5069" s="3" t="s">
        <v>65</v>
      </c>
      <c r="R5069" s="3" t="s">
        <v>66</v>
      </c>
      <c r="S5069" s="4">
        <v>7</v>
      </c>
      <c r="T5069" s="4">
        <v>7</v>
      </c>
      <c r="U5069" s="5" t="s">
        <v>48581</v>
      </c>
      <c r="V5069" s="5" t="s">
        <v>48581</v>
      </c>
      <c r="W5069" s="5" t="s">
        <v>67</v>
      </c>
      <c r="X5069" s="5" t="s">
        <v>67</v>
      </c>
      <c r="Y5069" s="4">
        <v>130</v>
      </c>
      <c r="Z5069" s="4">
        <v>18</v>
      </c>
      <c r="AA5069" s="4">
        <v>21</v>
      </c>
      <c r="AB5069" s="4">
        <v>1</v>
      </c>
      <c r="AC5069" s="4">
        <v>3</v>
      </c>
      <c r="AD5069" s="4">
        <v>44</v>
      </c>
      <c r="AE5069" s="4">
        <v>47</v>
      </c>
      <c r="AF5069" s="4">
        <v>0</v>
      </c>
      <c r="AG5069" s="4">
        <v>2</v>
      </c>
      <c r="AH5069" s="4">
        <v>37</v>
      </c>
      <c r="AI5069" s="4">
        <v>38</v>
      </c>
      <c r="AJ5069" s="4">
        <v>13</v>
      </c>
      <c r="AK5069" s="4">
        <v>15</v>
      </c>
      <c r="AL5069" s="4">
        <v>18</v>
      </c>
      <c r="AM5069" s="4">
        <v>18</v>
      </c>
      <c r="AN5069" s="4">
        <v>0</v>
      </c>
      <c r="AO5069" s="4">
        <v>0</v>
      </c>
      <c r="AP5069" s="4">
        <v>15</v>
      </c>
      <c r="AQ5069" s="4">
        <v>18</v>
      </c>
      <c r="AR5069" s="3" t="s">
        <v>62</v>
      </c>
      <c r="AS5069" s="3" t="s">
        <v>62</v>
      </c>
      <c r="AT5069" s="3" t="s">
        <v>62</v>
      </c>
      <c r="AV5069" s="6" t="str">
        <f>HYPERLINK("http://mcgill.on.worldcat.org/oclc/608492020","Catalog Record")</f>
        <v>Catalog Record</v>
      </c>
      <c r="AW5069" s="6" t="str">
        <f>HYPERLINK("http://www.worldcat.org/oclc/608492020","WorldCat Record")</f>
        <v>WorldCat Record</v>
      </c>
      <c r="AX5069" s="3" t="s">
        <v>48582</v>
      </c>
      <c r="AY5069" s="3" t="s">
        <v>48583</v>
      </c>
      <c r="AZ5069" s="3" t="s">
        <v>48584</v>
      </c>
      <c r="BA5069" s="3" t="s">
        <v>48584</v>
      </c>
      <c r="BB5069" s="3" t="s">
        <v>48585</v>
      </c>
      <c r="BC5069" s="3" t="s">
        <v>142</v>
      </c>
      <c r="BD5069" s="3" t="s">
        <v>68</v>
      </c>
      <c r="BE5069" s="3" t="s">
        <v>48586</v>
      </c>
      <c r="BF5069" s="3" t="s">
        <v>48585</v>
      </c>
      <c r="BG5069" s="3" t="s">
        <v>48587</v>
      </c>
    </row>
    <row r="5070" spans="1:59" ht="57" x14ac:dyDescent="0.45">
      <c r="A5070" s="2" t="s">
        <v>59</v>
      </c>
      <c r="B5070" s="2" t="s">
        <v>60</v>
      </c>
      <c r="C5070" s="2" t="s">
        <v>48588</v>
      </c>
      <c r="D5070" s="2" t="s">
        <v>48589</v>
      </c>
      <c r="E5070" s="2" t="s">
        <v>48590</v>
      </c>
      <c r="G5070" s="3" t="s">
        <v>62</v>
      </c>
      <c r="I5070" s="3" t="s">
        <v>62</v>
      </c>
      <c r="J5070" s="3" t="s">
        <v>62</v>
      </c>
      <c r="K5070" s="3" t="s">
        <v>63</v>
      </c>
      <c r="L5070" s="2" t="s">
        <v>48591</v>
      </c>
      <c r="M5070" s="2" t="s">
        <v>48592</v>
      </c>
      <c r="N5070" s="3" t="s">
        <v>480</v>
      </c>
      <c r="P5070" s="3" t="s">
        <v>65</v>
      </c>
      <c r="Q5070" s="2" t="s">
        <v>48593</v>
      </c>
      <c r="R5070" s="3" t="s">
        <v>66</v>
      </c>
      <c r="S5070" s="4">
        <v>16</v>
      </c>
      <c r="T5070" s="4">
        <v>16</v>
      </c>
      <c r="U5070" s="5" t="s">
        <v>9392</v>
      </c>
      <c r="V5070" s="5" t="s">
        <v>9392</v>
      </c>
      <c r="W5070" s="5" t="s">
        <v>67</v>
      </c>
      <c r="X5070" s="5" t="s">
        <v>67</v>
      </c>
      <c r="Y5070" s="4">
        <v>165</v>
      </c>
      <c r="Z5070" s="4">
        <v>14</v>
      </c>
      <c r="AA5070" s="4">
        <v>20</v>
      </c>
      <c r="AB5070" s="4">
        <v>1</v>
      </c>
      <c r="AC5070" s="4">
        <v>4</v>
      </c>
      <c r="AD5070" s="4">
        <v>67</v>
      </c>
      <c r="AE5070" s="4">
        <v>85</v>
      </c>
      <c r="AF5070" s="4">
        <v>0</v>
      </c>
      <c r="AG5070" s="4">
        <v>3</v>
      </c>
      <c r="AH5070" s="4">
        <v>61</v>
      </c>
      <c r="AI5070" s="4">
        <v>75</v>
      </c>
      <c r="AJ5070" s="4">
        <v>10</v>
      </c>
      <c r="AK5070" s="4">
        <v>15</v>
      </c>
      <c r="AL5070" s="4">
        <v>36</v>
      </c>
      <c r="AM5070" s="4">
        <v>43</v>
      </c>
      <c r="AN5070" s="4">
        <v>0</v>
      </c>
      <c r="AO5070" s="4">
        <v>0</v>
      </c>
      <c r="AP5070" s="4">
        <v>11</v>
      </c>
      <c r="AQ5070" s="4">
        <v>16</v>
      </c>
      <c r="AR5070" s="3" t="s">
        <v>62</v>
      </c>
      <c r="AS5070" s="3" t="s">
        <v>62</v>
      </c>
      <c r="AT5070" s="3" t="s">
        <v>62</v>
      </c>
      <c r="AV5070" s="6" t="str">
        <f>HYPERLINK("http://mcgill.on.worldcat.org/oclc/5451534","Catalog Record")</f>
        <v>Catalog Record</v>
      </c>
      <c r="AW5070" s="6" t="str">
        <f>HYPERLINK("http://www.worldcat.org/oclc/5451534","WorldCat Record")</f>
        <v>WorldCat Record</v>
      </c>
      <c r="AX5070" s="3" t="s">
        <v>48594</v>
      </c>
      <c r="AY5070" s="3" t="s">
        <v>48595</v>
      </c>
      <c r="AZ5070" s="3" t="s">
        <v>48596</v>
      </c>
      <c r="BA5070" s="3" t="s">
        <v>48596</v>
      </c>
      <c r="BB5070" s="3" t="s">
        <v>48597</v>
      </c>
      <c r="BC5070" s="3" t="s">
        <v>142</v>
      </c>
      <c r="BD5070" s="3" t="s">
        <v>68</v>
      </c>
      <c r="BE5070" s="3" t="s">
        <v>48598</v>
      </c>
      <c r="BF5070" s="3" t="s">
        <v>48597</v>
      </c>
      <c r="BG5070" s="3" t="s">
        <v>48599</v>
      </c>
    </row>
    <row r="5071" spans="1:59" ht="57" x14ac:dyDescent="0.45">
      <c r="A5071" s="2" t="s">
        <v>59</v>
      </c>
      <c r="B5071" s="2" t="s">
        <v>60</v>
      </c>
      <c r="C5071" s="2" t="s">
        <v>48600</v>
      </c>
      <c r="D5071" s="2" t="s">
        <v>48601</v>
      </c>
      <c r="E5071" s="2" t="s">
        <v>48602</v>
      </c>
      <c r="G5071" s="3" t="s">
        <v>62</v>
      </c>
      <c r="I5071" s="3" t="s">
        <v>62</v>
      </c>
      <c r="J5071" s="3" t="s">
        <v>62</v>
      </c>
      <c r="K5071" s="3" t="s">
        <v>63</v>
      </c>
      <c r="L5071" s="2" t="s">
        <v>48603</v>
      </c>
      <c r="M5071" s="2" t="s">
        <v>48604</v>
      </c>
      <c r="N5071" s="3" t="s">
        <v>181</v>
      </c>
      <c r="P5071" s="3" t="s">
        <v>65</v>
      </c>
      <c r="R5071" s="3" t="s">
        <v>66</v>
      </c>
      <c r="S5071" s="4">
        <v>2</v>
      </c>
      <c r="T5071" s="4">
        <v>2</v>
      </c>
      <c r="U5071" s="5" t="s">
        <v>30617</v>
      </c>
      <c r="V5071" s="5" t="s">
        <v>30617</v>
      </c>
      <c r="W5071" s="5" t="s">
        <v>67</v>
      </c>
      <c r="X5071" s="5" t="s">
        <v>67</v>
      </c>
      <c r="Y5071" s="4">
        <v>49</v>
      </c>
      <c r="Z5071" s="4">
        <v>6</v>
      </c>
      <c r="AA5071" s="4">
        <v>10</v>
      </c>
      <c r="AB5071" s="4">
        <v>1</v>
      </c>
      <c r="AC5071" s="4">
        <v>3</v>
      </c>
      <c r="AD5071" s="4">
        <v>21</v>
      </c>
      <c r="AE5071" s="4">
        <v>24</v>
      </c>
      <c r="AF5071" s="4">
        <v>0</v>
      </c>
      <c r="AG5071" s="4">
        <v>1</v>
      </c>
      <c r="AH5071" s="4">
        <v>20</v>
      </c>
      <c r="AI5071" s="4">
        <v>22</v>
      </c>
      <c r="AJ5071" s="4">
        <v>4</v>
      </c>
      <c r="AK5071" s="4">
        <v>7</v>
      </c>
      <c r="AL5071" s="4">
        <v>16</v>
      </c>
      <c r="AM5071" s="4">
        <v>16</v>
      </c>
      <c r="AN5071" s="4">
        <v>0</v>
      </c>
      <c r="AO5071" s="4">
        <v>0</v>
      </c>
      <c r="AP5071" s="4">
        <v>4</v>
      </c>
      <c r="AQ5071" s="4">
        <v>6</v>
      </c>
      <c r="AR5071" s="3" t="s">
        <v>62</v>
      </c>
      <c r="AS5071" s="3" t="s">
        <v>62</v>
      </c>
      <c r="AT5071" s="3" t="s">
        <v>62</v>
      </c>
      <c r="AV5071" s="6" t="str">
        <f>HYPERLINK("http://mcgill.on.worldcat.org/oclc/928837898","Catalog Record")</f>
        <v>Catalog Record</v>
      </c>
      <c r="AW5071" s="6" t="str">
        <f>HYPERLINK("http://www.worldcat.org/oclc/928837898","WorldCat Record")</f>
        <v>WorldCat Record</v>
      </c>
      <c r="AX5071" s="3" t="s">
        <v>48605</v>
      </c>
      <c r="AY5071" s="3" t="s">
        <v>48606</v>
      </c>
      <c r="AZ5071" s="3" t="s">
        <v>48607</v>
      </c>
      <c r="BA5071" s="3" t="s">
        <v>48607</v>
      </c>
      <c r="BB5071" s="3" t="s">
        <v>48608</v>
      </c>
      <c r="BC5071" s="3" t="s">
        <v>142</v>
      </c>
      <c r="BD5071" s="3" t="s">
        <v>68</v>
      </c>
      <c r="BE5071" s="3" t="s">
        <v>48609</v>
      </c>
      <c r="BF5071" s="3" t="s">
        <v>48608</v>
      </c>
      <c r="BG5071" s="3" t="s">
        <v>48610</v>
      </c>
    </row>
    <row r="5072" spans="1:59" ht="57" x14ac:dyDescent="0.45">
      <c r="A5072" s="2" t="s">
        <v>59</v>
      </c>
      <c r="B5072" s="2" t="s">
        <v>60</v>
      </c>
      <c r="C5072" s="2" t="s">
        <v>48611</v>
      </c>
      <c r="D5072" s="2" t="s">
        <v>48612</v>
      </c>
      <c r="E5072" s="2" t="s">
        <v>48613</v>
      </c>
      <c r="G5072" s="3" t="s">
        <v>62</v>
      </c>
      <c r="I5072" s="3" t="s">
        <v>62</v>
      </c>
      <c r="J5072" s="3" t="s">
        <v>62</v>
      </c>
      <c r="K5072" s="3" t="s">
        <v>63</v>
      </c>
      <c r="L5072" s="2" t="s">
        <v>48614</v>
      </c>
      <c r="M5072" s="2" t="s">
        <v>25773</v>
      </c>
      <c r="N5072" s="3" t="s">
        <v>894</v>
      </c>
      <c r="P5072" s="3" t="s">
        <v>65</v>
      </c>
      <c r="R5072" s="3" t="s">
        <v>66</v>
      </c>
      <c r="S5072" s="4">
        <v>5</v>
      </c>
      <c r="T5072" s="4">
        <v>5</v>
      </c>
      <c r="U5072" s="5" t="s">
        <v>3875</v>
      </c>
      <c r="V5072" s="5" t="s">
        <v>3875</v>
      </c>
      <c r="W5072" s="5" t="s">
        <v>67</v>
      </c>
      <c r="X5072" s="5" t="s">
        <v>67</v>
      </c>
      <c r="Y5072" s="4">
        <v>124</v>
      </c>
      <c r="Z5072" s="4">
        <v>14</v>
      </c>
      <c r="AA5072" s="4">
        <v>21</v>
      </c>
      <c r="AB5072" s="4">
        <v>1</v>
      </c>
      <c r="AC5072" s="4">
        <v>7</v>
      </c>
      <c r="AD5072" s="4">
        <v>44</v>
      </c>
      <c r="AE5072" s="4">
        <v>48</v>
      </c>
      <c r="AF5072" s="4">
        <v>0</v>
      </c>
      <c r="AG5072" s="4">
        <v>3</v>
      </c>
      <c r="AH5072" s="4">
        <v>40</v>
      </c>
      <c r="AI5072" s="4">
        <v>41</v>
      </c>
      <c r="AJ5072" s="4">
        <v>10</v>
      </c>
      <c r="AK5072" s="4">
        <v>13</v>
      </c>
      <c r="AL5072" s="4">
        <v>22</v>
      </c>
      <c r="AM5072" s="4">
        <v>22</v>
      </c>
      <c r="AN5072" s="4">
        <v>0</v>
      </c>
      <c r="AO5072" s="4">
        <v>0</v>
      </c>
      <c r="AP5072" s="4">
        <v>11</v>
      </c>
      <c r="AQ5072" s="4">
        <v>15</v>
      </c>
      <c r="AR5072" s="3" t="s">
        <v>62</v>
      </c>
      <c r="AS5072" s="3" t="s">
        <v>62</v>
      </c>
      <c r="AT5072" s="3" t="s">
        <v>62</v>
      </c>
      <c r="AV5072" s="6" t="str">
        <f>HYPERLINK("http://mcgill.on.worldcat.org/oclc/701622810","Catalog Record")</f>
        <v>Catalog Record</v>
      </c>
      <c r="AW5072" s="6" t="str">
        <f>HYPERLINK("http://www.worldcat.org/oclc/701622810","WorldCat Record")</f>
        <v>WorldCat Record</v>
      </c>
      <c r="AX5072" s="3" t="s">
        <v>48615</v>
      </c>
      <c r="AY5072" s="3" t="s">
        <v>48616</v>
      </c>
      <c r="AZ5072" s="3" t="s">
        <v>48617</v>
      </c>
      <c r="BA5072" s="3" t="s">
        <v>48617</v>
      </c>
      <c r="BB5072" s="3" t="s">
        <v>48618</v>
      </c>
      <c r="BC5072" s="3" t="s">
        <v>142</v>
      </c>
      <c r="BD5072" s="3" t="s">
        <v>68</v>
      </c>
      <c r="BE5072" s="3" t="s">
        <v>48619</v>
      </c>
      <c r="BF5072" s="3" t="s">
        <v>48618</v>
      </c>
      <c r="BG5072" s="3" t="s">
        <v>48620</v>
      </c>
    </row>
    <row r="5073" spans="1:59" ht="57" x14ac:dyDescent="0.45">
      <c r="A5073" s="2" t="s">
        <v>59</v>
      </c>
      <c r="B5073" s="2" t="s">
        <v>60</v>
      </c>
      <c r="C5073" s="2" t="s">
        <v>48621</v>
      </c>
      <c r="D5073" s="2" t="s">
        <v>48622</v>
      </c>
      <c r="E5073" s="2" t="s">
        <v>48623</v>
      </c>
      <c r="G5073" s="3" t="s">
        <v>62</v>
      </c>
      <c r="I5073" s="3" t="s">
        <v>62</v>
      </c>
      <c r="J5073" s="3" t="s">
        <v>62</v>
      </c>
      <c r="K5073" s="3" t="s">
        <v>63</v>
      </c>
      <c r="M5073" s="2" t="s">
        <v>48624</v>
      </c>
      <c r="N5073" s="3" t="s">
        <v>5180</v>
      </c>
      <c r="P5073" s="3" t="s">
        <v>65</v>
      </c>
      <c r="Q5073" s="2" t="s">
        <v>48625</v>
      </c>
      <c r="R5073" s="3" t="s">
        <v>66</v>
      </c>
      <c r="S5073" s="4">
        <v>0</v>
      </c>
      <c r="T5073" s="4">
        <v>0</v>
      </c>
      <c r="W5073" s="5" t="s">
        <v>67</v>
      </c>
      <c r="X5073" s="5" t="s">
        <v>67</v>
      </c>
      <c r="Y5073" s="4">
        <v>36</v>
      </c>
      <c r="Z5073" s="4">
        <v>2</v>
      </c>
      <c r="AA5073" s="4">
        <v>24</v>
      </c>
      <c r="AB5073" s="4">
        <v>1</v>
      </c>
      <c r="AC5073" s="4">
        <v>6</v>
      </c>
      <c r="AD5073" s="4">
        <v>21</v>
      </c>
      <c r="AE5073" s="4">
        <v>57</v>
      </c>
      <c r="AF5073" s="4">
        <v>0</v>
      </c>
      <c r="AG5073" s="4">
        <v>2</v>
      </c>
      <c r="AH5073" s="4">
        <v>20</v>
      </c>
      <c r="AI5073" s="4">
        <v>45</v>
      </c>
      <c r="AJ5073" s="4">
        <v>1</v>
      </c>
      <c r="AK5073" s="4">
        <v>9</v>
      </c>
      <c r="AL5073" s="4">
        <v>15</v>
      </c>
      <c r="AM5073" s="4">
        <v>27</v>
      </c>
      <c r="AN5073" s="4">
        <v>0</v>
      </c>
      <c r="AO5073" s="4">
        <v>0</v>
      </c>
      <c r="AP5073" s="4">
        <v>1</v>
      </c>
      <c r="AQ5073" s="4">
        <v>14</v>
      </c>
      <c r="AR5073" s="3" t="s">
        <v>62</v>
      </c>
      <c r="AS5073" s="3" t="s">
        <v>62</v>
      </c>
      <c r="AT5073" s="3" t="s">
        <v>62</v>
      </c>
      <c r="AV5073" s="6" t="str">
        <f>HYPERLINK("http://mcgill.on.worldcat.org/oclc/1050142505","Catalog Record")</f>
        <v>Catalog Record</v>
      </c>
      <c r="AW5073" s="6" t="str">
        <f>HYPERLINK("http://www.worldcat.org/oclc/1050142505","WorldCat Record")</f>
        <v>WorldCat Record</v>
      </c>
      <c r="AX5073" s="3" t="s">
        <v>48626</v>
      </c>
      <c r="AY5073" s="3" t="s">
        <v>48627</v>
      </c>
      <c r="AZ5073" s="3" t="s">
        <v>48628</v>
      </c>
      <c r="BA5073" s="3" t="s">
        <v>48628</v>
      </c>
      <c r="BB5073" s="3" t="s">
        <v>48629</v>
      </c>
      <c r="BC5073" s="3" t="s">
        <v>142</v>
      </c>
      <c r="BD5073" s="3" t="s">
        <v>68</v>
      </c>
      <c r="BE5073" s="3" t="s">
        <v>48630</v>
      </c>
      <c r="BF5073" s="3" t="s">
        <v>48629</v>
      </c>
      <c r="BG5073" s="3" t="s">
        <v>48631</v>
      </c>
    </row>
    <row r="5074" spans="1:59" ht="57" x14ac:dyDescent="0.45">
      <c r="A5074" s="2" t="s">
        <v>59</v>
      </c>
      <c r="B5074" s="2" t="s">
        <v>60</v>
      </c>
      <c r="C5074" s="2" t="s">
        <v>48632</v>
      </c>
      <c r="D5074" s="2" t="s">
        <v>48633</v>
      </c>
      <c r="E5074" s="2" t="s">
        <v>48634</v>
      </c>
      <c r="G5074" s="3" t="s">
        <v>61</v>
      </c>
      <c r="I5074" s="3" t="s">
        <v>62</v>
      </c>
      <c r="J5074" s="3" t="s">
        <v>62</v>
      </c>
      <c r="K5074" s="3" t="s">
        <v>63</v>
      </c>
      <c r="L5074" s="2" t="s">
        <v>48635</v>
      </c>
      <c r="M5074" s="2" t="s">
        <v>48636</v>
      </c>
      <c r="N5074" s="3" t="s">
        <v>1478</v>
      </c>
      <c r="P5074" s="3" t="s">
        <v>110</v>
      </c>
      <c r="R5074" s="3" t="s">
        <v>66</v>
      </c>
      <c r="S5074" s="4">
        <v>19</v>
      </c>
      <c r="T5074" s="4">
        <v>19</v>
      </c>
      <c r="U5074" s="5" t="s">
        <v>8982</v>
      </c>
      <c r="V5074" s="5" t="s">
        <v>8982</v>
      </c>
      <c r="W5074" s="5" t="s">
        <v>67</v>
      </c>
      <c r="X5074" s="5" t="s">
        <v>67</v>
      </c>
      <c r="Y5074" s="4">
        <v>17</v>
      </c>
      <c r="Z5074" s="4">
        <v>11</v>
      </c>
      <c r="AA5074" s="4">
        <v>12</v>
      </c>
      <c r="AB5074" s="4">
        <v>3</v>
      </c>
      <c r="AC5074" s="4">
        <v>3</v>
      </c>
      <c r="AD5074" s="4">
        <v>12</v>
      </c>
      <c r="AE5074" s="4">
        <v>13</v>
      </c>
      <c r="AF5074" s="4">
        <v>2</v>
      </c>
      <c r="AG5074" s="4">
        <v>2</v>
      </c>
      <c r="AH5074" s="4">
        <v>7</v>
      </c>
      <c r="AI5074" s="4">
        <v>8</v>
      </c>
      <c r="AJ5074" s="4">
        <v>8</v>
      </c>
      <c r="AK5074" s="4">
        <v>9</v>
      </c>
      <c r="AL5074" s="4">
        <v>3</v>
      </c>
      <c r="AM5074" s="4">
        <v>3</v>
      </c>
      <c r="AN5074" s="4">
        <v>0</v>
      </c>
      <c r="AO5074" s="4">
        <v>0</v>
      </c>
      <c r="AP5074" s="4">
        <v>7</v>
      </c>
      <c r="AQ5074" s="4">
        <v>8</v>
      </c>
      <c r="AR5074" s="3" t="s">
        <v>61</v>
      </c>
      <c r="AS5074" s="3" t="s">
        <v>62</v>
      </c>
      <c r="AT5074" s="3" t="s">
        <v>62</v>
      </c>
      <c r="AV5074" s="6" t="str">
        <f>HYPERLINK("http://mcgill.on.worldcat.org/oclc/35932052","Catalog Record")</f>
        <v>Catalog Record</v>
      </c>
      <c r="AW5074" s="6" t="str">
        <f>HYPERLINK("http://www.worldcat.org/oclc/35932052","WorldCat Record")</f>
        <v>WorldCat Record</v>
      </c>
      <c r="AX5074" s="3" t="s">
        <v>48637</v>
      </c>
      <c r="AY5074" s="3" t="s">
        <v>48638</v>
      </c>
      <c r="AZ5074" s="3" t="s">
        <v>48639</v>
      </c>
      <c r="BA5074" s="3" t="s">
        <v>48639</v>
      </c>
      <c r="BB5074" s="3" t="s">
        <v>48640</v>
      </c>
      <c r="BC5074" s="3" t="s">
        <v>142</v>
      </c>
      <c r="BD5074" s="3" t="s">
        <v>68</v>
      </c>
      <c r="BE5074" s="3" t="s">
        <v>48641</v>
      </c>
      <c r="BF5074" s="3" t="s">
        <v>48640</v>
      </c>
      <c r="BG5074" s="3" t="s">
        <v>48642</v>
      </c>
    </row>
    <row r="5075" spans="1:59" ht="57" x14ac:dyDescent="0.45">
      <c r="A5075" s="2" t="s">
        <v>59</v>
      </c>
      <c r="B5075" s="2" t="s">
        <v>60</v>
      </c>
      <c r="C5075" s="2" t="s">
        <v>48643</v>
      </c>
      <c r="D5075" s="2" t="s">
        <v>48644</v>
      </c>
      <c r="E5075" s="2" t="s">
        <v>48645</v>
      </c>
      <c r="G5075" s="3" t="s">
        <v>62</v>
      </c>
      <c r="I5075" s="3" t="s">
        <v>62</v>
      </c>
      <c r="J5075" s="3" t="s">
        <v>62</v>
      </c>
      <c r="K5075" s="3" t="s">
        <v>63</v>
      </c>
      <c r="M5075" s="2" t="s">
        <v>37715</v>
      </c>
      <c r="N5075" s="3" t="s">
        <v>1465</v>
      </c>
      <c r="P5075" s="3" t="s">
        <v>65</v>
      </c>
      <c r="Q5075" s="2" t="s">
        <v>48646</v>
      </c>
      <c r="R5075" s="3" t="s">
        <v>66</v>
      </c>
      <c r="S5075" s="4">
        <v>4</v>
      </c>
      <c r="T5075" s="4">
        <v>4</v>
      </c>
      <c r="U5075" s="5" t="s">
        <v>5537</v>
      </c>
      <c r="V5075" s="5" t="s">
        <v>5537</v>
      </c>
      <c r="W5075" s="5" t="s">
        <v>67</v>
      </c>
      <c r="X5075" s="5" t="s">
        <v>67</v>
      </c>
      <c r="Y5075" s="4">
        <v>90</v>
      </c>
      <c r="Z5075" s="4">
        <v>13</v>
      </c>
      <c r="AA5075" s="4">
        <v>93</v>
      </c>
      <c r="AB5075" s="4">
        <v>2</v>
      </c>
      <c r="AC5075" s="4">
        <v>18</v>
      </c>
      <c r="AD5075" s="4">
        <v>41</v>
      </c>
      <c r="AE5075" s="4">
        <v>110</v>
      </c>
      <c r="AF5075" s="4">
        <v>0</v>
      </c>
      <c r="AG5075" s="4">
        <v>8</v>
      </c>
      <c r="AH5075" s="4">
        <v>38</v>
      </c>
      <c r="AI5075" s="4">
        <v>75</v>
      </c>
      <c r="AJ5075" s="4">
        <v>10</v>
      </c>
      <c r="AK5075" s="4">
        <v>23</v>
      </c>
      <c r="AL5075" s="4">
        <v>25</v>
      </c>
      <c r="AM5075" s="4">
        <v>38</v>
      </c>
      <c r="AN5075" s="4">
        <v>0</v>
      </c>
      <c r="AO5075" s="4">
        <v>0</v>
      </c>
      <c r="AP5075" s="4">
        <v>10</v>
      </c>
      <c r="AQ5075" s="4">
        <v>44</v>
      </c>
      <c r="AR5075" s="3" t="s">
        <v>62</v>
      </c>
      <c r="AS5075" s="3" t="s">
        <v>62</v>
      </c>
      <c r="AT5075" s="3" t="s">
        <v>62</v>
      </c>
      <c r="AV5075" s="6" t="str">
        <f>HYPERLINK("http://mcgill.on.worldcat.org/oclc/426391149","Catalog Record")</f>
        <v>Catalog Record</v>
      </c>
      <c r="AW5075" s="6" t="str">
        <f>HYPERLINK("http://www.worldcat.org/oclc/426391149","WorldCat Record")</f>
        <v>WorldCat Record</v>
      </c>
      <c r="AX5075" s="3" t="s">
        <v>48647</v>
      </c>
      <c r="AY5075" s="3" t="s">
        <v>48648</v>
      </c>
      <c r="AZ5075" s="3" t="s">
        <v>48649</v>
      </c>
      <c r="BA5075" s="3" t="s">
        <v>48649</v>
      </c>
      <c r="BB5075" s="3" t="s">
        <v>48650</v>
      </c>
      <c r="BC5075" s="3" t="s">
        <v>142</v>
      </c>
      <c r="BD5075" s="3" t="s">
        <v>68</v>
      </c>
      <c r="BE5075" s="3" t="s">
        <v>48651</v>
      </c>
      <c r="BF5075" s="3" t="s">
        <v>48650</v>
      </c>
      <c r="BG5075" s="3" t="s">
        <v>48652</v>
      </c>
    </row>
    <row r="5076" spans="1:59" ht="57" x14ac:dyDescent="0.45">
      <c r="A5076" s="2" t="s">
        <v>59</v>
      </c>
      <c r="B5076" s="2" t="s">
        <v>60</v>
      </c>
      <c r="C5076" s="2" t="s">
        <v>48653</v>
      </c>
      <c r="D5076" s="2" t="s">
        <v>48654</v>
      </c>
      <c r="E5076" s="2" t="s">
        <v>48655</v>
      </c>
      <c r="G5076" s="3" t="s">
        <v>62</v>
      </c>
      <c r="I5076" s="3" t="s">
        <v>61</v>
      </c>
      <c r="J5076" s="3" t="s">
        <v>62</v>
      </c>
      <c r="K5076" s="3" t="s">
        <v>63</v>
      </c>
      <c r="L5076" s="2" t="s">
        <v>48656</v>
      </c>
      <c r="M5076" s="2" t="s">
        <v>48657</v>
      </c>
      <c r="N5076" s="3" t="s">
        <v>1604</v>
      </c>
      <c r="P5076" s="3" t="s">
        <v>65</v>
      </c>
      <c r="Q5076" s="2" t="s">
        <v>48658</v>
      </c>
      <c r="R5076" s="3" t="s">
        <v>66</v>
      </c>
      <c r="S5076" s="4">
        <v>44</v>
      </c>
      <c r="T5076" s="4">
        <v>61</v>
      </c>
      <c r="U5076" s="5" t="s">
        <v>35817</v>
      </c>
      <c r="V5076" s="5" t="s">
        <v>33176</v>
      </c>
      <c r="W5076" s="5" t="s">
        <v>67</v>
      </c>
      <c r="X5076" s="5" t="s">
        <v>67</v>
      </c>
      <c r="Y5076" s="4">
        <v>311</v>
      </c>
      <c r="Z5076" s="4">
        <v>26</v>
      </c>
      <c r="AA5076" s="4">
        <v>31</v>
      </c>
      <c r="AB5076" s="4">
        <v>1</v>
      </c>
      <c r="AC5076" s="4">
        <v>5</v>
      </c>
      <c r="AD5076" s="4">
        <v>94</v>
      </c>
      <c r="AE5076" s="4">
        <v>99</v>
      </c>
      <c r="AF5076" s="4">
        <v>0</v>
      </c>
      <c r="AG5076" s="4">
        <v>3</v>
      </c>
      <c r="AH5076" s="4">
        <v>80</v>
      </c>
      <c r="AI5076" s="4">
        <v>83</v>
      </c>
      <c r="AJ5076" s="4">
        <v>15</v>
      </c>
      <c r="AK5076" s="4">
        <v>19</v>
      </c>
      <c r="AL5076" s="4">
        <v>50</v>
      </c>
      <c r="AM5076" s="4">
        <v>51</v>
      </c>
      <c r="AN5076" s="4">
        <v>0</v>
      </c>
      <c r="AO5076" s="4">
        <v>0</v>
      </c>
      <c r="AP5076" s="4">
        <v>20</v>
      </c>
      <c r="AQ5076" s="4">
        <v>23</v>
      </c>
      <c r="AR5076" s="3" t="s">
        <v>62</v>
      </c>
      <c r="AS5076" s="3" t="s">
        <v>62</v>
      </c>
      <c r="AT5076" s="3" t="s">
        <v>62</v>
      </c>
      <c r="AV5076" s="6" t="str">
        <f>HYPERLINK("http://mcgill.on.worldcat.org/oclc/27034691","Catalog Record")</f>
        <v>Catalog Record</v>
      </c>
      <c r="AW5076" s="6" t="str">
        <f>HYPERLINK("http://www.worldcat.org/oclc/27034691","WorldCat Record")</f>
        <v>WorldCat Record</v>
      </c>
      <c r="AX5076" s="3" t="s">
        <v>48659</v>
      </c>
      <c r="AY5076" s="3" t="s">
        <v>48660</v>
      </c>
      <c r="AZ5076" s="3" t="s">
        <v>48661</v>
      </c>
      <c r="BA5076" s="3" t="s">
        <v>48661</v>
      </c>
      <c r="BB5076" s="3" t="s">
        <v>48662</v>
      </c>
      <c r="BC5076" s="3" t="s">
        <v>142</v>
      </c>
      <c r="BD5076" s="3" t="s">
        <v>68</v>
      </c>
      <c r="BE5076" s="3" t="s">
        <v>48663</v>
      </c>
      <c r="BF5076" s="3" t="s">
        <v>48662</v>
      </c>
      <c r="BG5076" s="3" t="s">
        <v>48664</v>
      </c>
    </row>
    <row r="5077" spans="1:59" ht="57" x14ac:dyDescent="0.45">
      <c r="A5077" s="2" t="s">
        <v>59</v>
      </c>
      <c r="B5077" s="2" t="s">
        <v>60</v>
      </c>
      <c r="C5077" s="2" t="s">
        <v>48653</v>
      </c>
      <c r="D5077" s="2" t="s">
        <v>48654</v>
      </c>
      <c r="E5077" s="2" t="s">
        <v>48655</v>
      </c>
      <c r="G5077" s="3" t="s">
        <v>62</v>
      </c>
      <c r="I5077" s="3" t="s">
        <v>61</v>
      </c>
      <c r="J5077" s="3" t="s">
        <v>62</v>
      </c>
      <c r="K5077" s="3" t="s">
        <v>63</v>
      </c>
      <c r="L5077" s="2" t="s">
        <v>48656</v>
      </c>
      <c r="M5077" s="2" t="s">
        <v>48657</v>
      </c>
      <c r="N5077" s="3" t="s">
        <v>1604</v>
      </c>
      <c r="P5077" s="3" t="s">
        <v>65</v>
      </c>
      <c r="Q5077" s="2" t="s">
        <v>48658</v>
      </c>
      <c r="R5077" s="3" t="s">
        <v>66</v>
      </c>
      <c r="S5077" s="4">
        <v>17</v>
      </c>
      <c r="T5077" s="4">
        <v>61</v>
      </c>
      <c r="U5077" s="5" t="s">
        <v>33176</v>
      </c>
      <c r="V5077" s="5" t="s">
        <v>33176</v>
      </c>
      <c r="W5077" s="5" t="s">
        <v>67</v>
      </c>
      <c r="X5077" s="5" t="s">
        <v>67</v>
      </c>
      <c r="Y5077" s="4">
        <v>311</v>
      </c>
      <c r="Z5077" s="4">
        <v>26</v>
      </c>
      <c r="AA5077" s="4">
        <v>31</v>
      </c>
      <c r="AB5077" s="4">
        <v>1</v>
      </c>
      <c r="AC5077" s="4">
        <v>5</v>
      </c>
      <c r="AD5077" s="4">
        <v>94</v>
      </c>
      <c r="AE5077" s="4">
        <v>99</v>
      </c>
      <c r="AF5077" s="4">
        <v>0</v>
      </c>
      <c r="AG5077" s="4">
        <v>3</v>
      </c>
      <c r="AH5077" s="4">
        <v>80</v>
      </c>
      <c r="AI5077" s="4">
        <v>83</v>
      </c>
      <c r="AJ5077" s="4">
        <v>15</v>
      </c>
      <c r="AK5077" s="4">
        <v>19</v>
      </c>
      <c r="AL5077" s="4">
        <v>50</v>
      </c>
      <c r="AM5077" s="4">
        <v>51</v>
      </c>
      <c r="AN5077" s="4">
        <v>0</v>
      </c>
      <c r="AO5077" s="4">
        <v>0</v>
      </c>
      <c r="AP5077" s="4">
        <v>20</v>
      </c>
      <c r="AQ5077" s="4">
        <v>23</v>
      </c>
      <c r="AR5077" s="3" t="s">
        <v>62</v>
      </c>
      <c r="AS5077" s="3" t="s">
        <v>62</v>
      </c>
      <c r="AT5077" s="3" t="s">
        <v>62</v>
      </c>
      <c r="AV5077" s="6" t="str">
        <f>HYPERLINK("http://mcgill.on.worldcat.org/oclc/27034691","Catalog Record")</f>
        <v>Catalog Record</v>
      </c>
      <c r="AW5077" s="6" t="str">
        <f>HYPERLINK("http://www.worldcat.org/oclc/27034691","WorldCat Record")</f>
        <v>WorldCat Record</v>
      </c>
      <c r="AX5077" s="3" t="s">
        <v>48659</v>
      </c>
      <c r="AY5077" s="3" t="s">
        <v>48660</v>
      </c>
      <c r="AZ5077" s="3" t="s">
        <v>48661</v>
      </c>
      <c r="BA5077" s="3" t="s">
        <v>48661</v>
      </c>
      <c r="BB5077" s="3" t="s">
        <v>48665</v>
      </c>
      <c r="BC5077" s="3" t="s">
        <v>142</v>
      </c>
      <c r="BD5077" s="3" t="s">
        <v>68</v>
      </c>
      <c r="BE5077" s="3" t="s">
        <v>48663</v>
      </c>
      <c r="BF5077" s="3" t="s">
        <v>48665</v>
      </c>
      <c r="BG5077" s="3" t="s">
        <v>48666</v>
      </c>
    </row>
    <row r="5078" spans="1:59" ht="57" x14ac:dyDescent="0.45">
      <c r="A5078" s="2" t="s">
        <v>59</v>
      </c>
      <c r="B5078" s="2" t="s">
        <v>60</v>
      </c>
      <c r="C5078" s="2" t="s">
        <v>48667</v>
      </c>
      <c r="D5078" s="2" t="s">
        <v>48668</v>
      </c>
      <c r="E5078" s="2" t="s">
        <v>48669</v>
      </c>
      <c r="G5078" s="3" t="s">
        <v>62</v>
      </c>
      <c r="I5078" s="3" t="s">
        <v>62</v>
      </c>
      <c r="J5078" s="3" t="s">
        <v>62</v>
      </c>
      <c r="K5078" s="3" t="s">
        <v>63</v>
      </c>
      <c r="L5078" s="2" t="s">
        <v>48670</v>
      </c>
      <c r="M5078" s="2" t="s">
        <v>1713</v>
      </c>
      <c r="N5078" s="3" t="s">
        <v>1155</v>
      </c>
      <c r="P5078" s="3" t="s">
        <v>65</v>
      </c>
      <c r="Q5078" s="2" t="s">
        <v>48671</v>
      </c>
      <c r="R5078" s="3" t="s">
        <v>66</v>
      </c>
      <c r="S5078" s="4">
        <v>0</v>
      </c>
      <c r="T5078" s="4">
        <v>0</v>
      </c>
      <c r="W5078" s="5" t="s">
        <v>67</v>
      </c>
      <c r="X5078" s="5" t="s">
        <v>67</v>
      </c>
      <c r="Y5078" s="4">
        <v>82</v>
      </c>
      <c r="Z5078" s="4">
        <v>11</v>
      </c>
      <c r="AA5078" s="4">
        <v>76</v>
      </c>
      <c r="AB5078" s="4">
        <v>1</v>
      </c>
      <c r="AC5078" s="4">
        <v>15</v>
      </c>
      <c r="AD5078" s="4">
        <v>33</v>
      </c>
      <c r="AE5078" s="4">
        <v>92</v>
      </c>
      <c r="AF5078" s="4">
        <v>0</v>
      </c>
      <c r="AG5078" s="4">
        <v>8</v>
      </c>
      <c r="AH5078" s="4">
        <v>28</v>
      </c>
      <c r="AI5078" s="4">
        <v>60</v>
      </c>
      <c r="AJ5078" s="4">
        <v>8</v>
      </c>
      <c r="AK5078" s="4">
        <v>21</v>
      </c>
      <c r="AL5078" s="4">
        <v>15</v>
      </c>
      <c r="AM5078" s="4">
        <v>29</v>
      </c>
      <c r="AN5078" s="4">
        <v>0</v>
      </c>
      <c r="AO5078" s="4">
        <v>0</v>
      </c>
      <c r="AP5078" s="4">
        <v>10</v>
      </c>
      <c r="AQ5078" s="4">
        <v>40</v>
      </c>
      <c r="AR5078" s="3" t="s">
        <v>62</v>
      </c>
      <c r="AS5078" s="3" t="s">
        <v>62</v>
      </c>
      <c r="AT5078" s="3" t="s">
        <v>62</v>
      </c>
      <c r="AV5078" s="6" t="str">
        <f>HYPERLINK("http://mcgill.on.worldcat.org/oclc/780288840","Catalog Record")</f>
        <v>Catalog Record</v>
      </c>
      <c r="AW5078" s="6" t="str">
        <f>HYPERLINK("http://www.worldcat.org/oclc/780288840","WorldCat Record")</f>
        <v>WorldCat Record</v>
      </c>
      <c r="AX5078" s="3" t="s">
        <v>48672</v>
      </c>
      <c r="AY5078" s="3" t="s">
        <v>48673</v>
      </c>
      <c r="AZ5078" s="3" t="s">
        <v>48674</v>
      </c>
      <c r="BA5078" s="3" t="s">
        <v>48674</v>
      </c>
      <c r="BB5078" s="3" t="s">
        <v>48675</v>
      </c>
      <c r="BC5078" s="3" t="s">
        <v>142</v>
      </c>
      <c r="BD5078" s="3" t="s">
        <v>68</v>
      </c>
      <c r="BE5078" s="3" t="s">
        <v>48676</v>
      </c>
      <c r="BF5078" s="3" t="s">
        <v>48675</v>
      </c>
      <c r="BG5078" s="3" t="s">
        <v>48677</v>
      </c>
    </row>
    <row r="5079" spans="1:59" ht="57" x14ac:dyDescent="0.45">
      <c r="A5079" s="2" t="s">
        <v>59</v>
      </c>
      <c r="B5079" s="2" t="s">
        <v>60</v>
      </c>
      <c r="C5079" s="2" t="s">
        <v>48678</v>
      </c>
      <c r="D5079" s="2" t="s">
        <v>48679</v>
      </c>
      <c r="E5079" s="2" t="s">
        <v>48680</v>
      </c>
      <c r="G5079" s="3" t="s">
        <v>62</v>
      </c>
      <c r="I5079" s="3" t="s">
        <v>62</v>
      </c>
      <c r="J5079" s="3" t="s">
        <v>62</v>
      </c>
      <c r="K5079" s="3" t="s">
        <v>63</v>
      </c>
      <c r="L5079" s="2" t="s">
        <v>48681</v>
      </c>
      <c r="M5079" s="2" t="s">
        <v>4233</v>
      </c>
      <c r="N5079" s="3" t="s">
        <v>149</v>
      </c>
      <c r="P5079" s="3" t="s">
        <v>65</v>
      </c>
      <c r="R5079" s="3" t="s">
        <v>66</v>
      </c>
      <c r="S5079" s="4">
        <v>4</v>
      </c>
      <c r="T5079" s="4">
        <v>4</v>
      </c>
      <c r="U5079" s="5" t="s">
        <v>48682</v>
      </c>
      <c r="V5079" s="5" t="s">
        <v>48682</v>
      </c>
      <c r="W5079" s="5" t="s">
        <v>67</v>
      </c>
      <c r="X5079" s="5" t="s">
        <v>67</v>
      </c>
      <c r="Y5079" s="4">
        <v>149</v>
      </c>
      <c r="Z5079" s="4">
        <v>18</v>
      </c>
      <c r="AA5079" s="4">
        <v>96</v>
      </c>
      <c r="AB5079" s="4">
        <v>1</v>
      </c>
      <c r="AC5079" s="4">
        <v>17</v>
      </c>
      <c r="AD5079" s="4">
        <v>58</v>
      </c>
      <c r="AE5079" s="4">
        <v>120</v>
      </c>
      <c r="AF5079" s="4">
        <v>0</v>
      </c>
      <c r="AG5079" s="4">
        <v>8</v>
      </c>
      <c r="AH5079" s="4">
        <v>50</v>
      </c>
      <c r="AI5079" s="4">
        <v>82</v>
      </c>
      <c r="AJ5079" s="4">
        <v>14</v>
      </c>
      <c r="AK5079" s="4">
        <v>25</v>
      </c>
      <c r="AL5079" s="4">
        <v>27</v>
      </c>
      <c r="AM5079" s="4">
        <v>42</v>
      </c>
      <c r="AN5079" s="4">
        <v>0</v>
      </c>
      <c r="AO5079" s="4">
        <v>0</v>
      </c>
      <c r="AP5079" s="4">
        <v>16</v>
      </c>
      <c r="AQ5079" s="4">
        <v>47</v>
      </c>
      <c r="AR5079" s="3" t="s">
        <v>62</v>
      </c>
      <c r="AS5079" s="3" t="s">
        <v>62</v>
      </c>
      <c r="AT5079" s="3" t="s">
        <v>62</v>
      </c>
      <c r="AV5079" s="6" t="str">
        <f>HYPERLINK("http://mcgill.on.worldcat.org/oclc/500818366","Catalog Record")</f>
        <v>Catalog Record</v>
      </c>
      <c r="AW5079" s="6" t="str">
        <f>HYPERLINK("http://www.worldcat.org/oclc/500818366","WorldCat Record")</f>
        <v>WorldCat Record</v>
      </c>
      <c r="AX5079" s="3" t="s">
        <v>48683</v>
      </c>
      <c r="AY5079" s="3" t="s">
        <v>48684</v>
      </c>
      <c r="AZ5079" s="3" t="s">
        <v>48685</v>
      </c>
      <c r="BA5079" s="3" t="s">
        <v>48685</v>
      </c>
      <c r="BB5079" s="3" t="s">
        <v>48686</v>
      </c>
      <c r="BC5079" s="3" t="s">
        <v>142</v>
      </c>
      <c r="BD5079" s="3" t="s">
        <v>68</v>
      </c>
      <c r="BE5079" s="3" t="s">
        <v>48687</v>
      </c>
      <c r="BF5079" s="3" t="s">
        <v>48686</v>
      </c>
      <c r="BG5079" s="3" t="s">
        <v>48688</v>
      </c>
    </row>
    <row r="5080" spans="1:59" ht="57" x14ac:dyDescent="0.45">
      <c r="A5080" s="2" t="s">
        <v>59</v>
      </c>
      <c r="B5080" s="2" t="s">
        <v>60</v>
      </c>
      <c r="C5080" s="2" t="s">
        <v>48689</v>
      </c>
      <c r="D5080" s="2" t="s">
        <v>48690</v>
      </c>
      <c r="E5080" s="2" t="s">
        <v>48691</v>
      </c>
      <c r="G5080" s="3" t="s">
        <v>62</v>
      </c>
      <c r="I5080" s="3" t="s">
        <v>62</v>
      </c>
      <c r="J5080" s="3" t="s">
        <v>62</v>
      </c>
      <c r="K5080" s="3" t="s">
        <v>63</v>
      </c>
      <c r="L5080" s="2" t="s">
        <v>48692</v>
      </c>
      <c r="M5080" s="2" t="s">
        <v>13058</v>
      </c>
      <c r="N5080" s="3" t="s">
        <v>125</v>
      </c>
      <c r="P5080" s="3" t="s">
        <v>65</v>
      </c>
      <c r="R5080" s="3" t="s">
        <v>66</v>
      </c>
      <c r="S5080" s="4">
        <v>57</v>
      </c>
      <c r="T5080" s="4">
        <v>57</v>
      </c>
      <c r="U5080" s="5" t="s">
        <v>21938</v>
      </c>
      <c r="V5080" s="5" t="s">
        <v>21938</v>
      </c>
      <c r="W5080" s="5" t="s">
        <v>67</v>
      </c>
      <c r="X5080" s="5" t="s">
        <v>67</v>
      </c>
      <c r="Y5080" s="4">
        <v>325</v>
      </c>
      <c r="Z5080" s="4">
        <v>19</v>
      </c>
      <c r="AA5080" s="4">
        <v>26</v>
      </c>
      <c r="AB5080" s="4">
        <v>1</v>
      </c>
      <c r="AC5080" s="4">
        <v>4</v>
      </c>
      <c r="AD5080" s="4">
        <v>99</v>
      </c>
      <c r="AE5080" s="4">
        <v>112</v>
      </c>
      <c r="AF5080" s="4">
        <v>0</v>
      </c>
      <c r="AG5080" s="4">
        <v>3</v>
      </c>
      <c r="AH5080" s="4">
        <v>90</v>
      </c>
      <c r="AI5080" s="4">
        <v>99</v>
      </c>
      <c r="AJ5080" s="4">
        <v>13</v>
      </c>
      <c r="AK5080" s="4">
        <v>20</v>
      </c>
      <c r="AL5080" s="4">
        <v>53</v>
      </c>
      <c r="AM5080" s="4">
        <v>55</v>
      </c>
      <c r="AN5080" s="4">
        <v>0</v>
      </c>
      <c r="AO5080" s="4">
        <v>0</v>
      </c>
      <c r="AP5080" s="4">
        <v>16</v>
      </c>
      <c r="AQ5080" s="4">
        <v>22</v>
      </c>
      <c r="AR5080" s="3" t="s">
        <v>62</v>
      </c>
      <c r="AS5080" s="3" t="s">
        <v>62</v>
      </c>
      <c r="AT5080" s="3" t="s">
        <v>62</v>
      </c>
      <c r="AV5080" s="6" t="str">
        <f>HYPERLINK("http://mcgill.on.worldcat.org/oclc/19514054","Catalog Record")</f>
        <v>Catalog Record</v>
      </c>
      <c r="AW5080" s="6" t="str">
        <f>HYPERLINK("http://www.worldcat.org/oclc/19514054","WorldCat Record")</f>
        <v>WorldCat Record</v>
      </c>
      <c r="AX5080" s="3" t="s">
        <v>48693</v>
      </c>
      <c r="AY5080" s="3" t="s">
        <v>48694</v>
      </c>
      <c r="AZ5080" s="3" t="s">
        <v>48695</v>
      </c>
      <c r="BA5080" s="3" t="s">
        <v>48695</v>
      </c>
      <c r="BB5080" s="3" t="s">
        <v>48696</v>
      </c>
      <c r="BC5080" s="3" t="s">
        <v>142</v>
      </c>
      <c r="BD5080" s="3" t="s">
        <v>308</v>
      </c>
      <c r="BE5080" s="3" t="s">
        <v>48697</v>
      </c>
      <c r="BF5080" s="3" t="s">
        <v>48696</v>
      </c>
      <c r="BG5080" s="3" t="s">
        <v>48698</v>
      </c>
    </row>
    <row r="5081" spans="1:59" ht="57" x14ac:dyDescent="0.45">
      <c r="A5081" s="2" t="s">
        <v>59</v>
      </c>
      <c r="B5081" s="2" t="s">
        <v>60</v>
      </c>
      <c r="C5081" s="2" t="s">
        <v>48699</v>
      </c>
      <c r="D5081" s="2" t="s">
        <v>48700</v>
      </c>
      <c r="E5081" s="2" t="s">
        <v>48701</v>
      </c>
      <c r="G5081" s="3" t="s">
        <v>62</v>
      </c>
      <c r="I5081" s="3" t="s">
        <v>62</v>
      </c>
      <c r="J5081" s="3" t="s">
        <v>62</v>
      </c>
      <c r="K5081" s="3" t="s">
        <v>63</v>
      </c>
      <c r="L5081" s="2" t="s">
        <v>48702</v>
      </c>
      <c r="M5081" s="2" t="s">
        <v>48703</v>
      </c>
      <c r="N5081" s="3" t="s">
        <v>122</v>
      </c>
      <c r="P5081" s="3" t="s">
        <v>65</v>
      </c>
      <c r="R5081" s="3" t="s">
        <v>66</v>
      </c>
      <c r="S5081" s="4">
        <v>5</v>
      </c>
      <c r="T5081" s="4">
        <v>5</v>
      </c>
      <c r="U5081" s="5" t="s">
        <v>11095</v>
      </c>
      <c r="V5081" s="5" t="s">
        <v>11095</v>
      </c>
      <c r="W5081" s="5" t="s">
        <v>67</v>
      </c>
      <c r="X5081" s="5" t="s">
        <v>67</v>
      </c>
      <c r="Y5081" s="4">
        <v>4</v>
      </c>
      <c r="Z5081" s="4">
        <v>2</v>
      </c>
      <c r="AA5081" s="4">
        <v>22</v>
      </c>
      <c r="AB5081" s="4">
        <v>1</v>
      </c>
      <c r="AC5081" s="4">
        <v>3</v>
      </c>
      <c r="AD5081" s="4">
        <v>2</v>
      </c>
      <c r="AE5081" s="4">
        <v>85</v>
      </c>
      <c r="AF5081" s="4">
        <v>0</v>
      </c>
      <c r="AG5081" s="4">
        <v>2</v>
      </c>
      <c r="AH5081" s="4">
        <v>1</v>
      </c>
      <c r="AI5081" s="4">
        <v>72</v>
      </c>
      <c r="AJ5081" s="4">
        <v>0</v>
      </c>
      <c r="AK5081" s="4">
        <v>18</v>
      </c>
      <c r="AL5081" s="4">
        <v>0</v>
      </c>
      <c r="AM5081" s="4">
        <v>39</v>
      </c>
      <c r="AN5081" s="4">
        <v>0</v>
      </c>
      <c r="AO5081" s="4">
        <v>2</v>
      </c>
      <c r="AP5081" s="4">
        <v>1</v>
      </c>
      <c r="AQ5081" s="4">
        <v>20</v>
      </c>
      <c r="AR5081" s="3" t="s">
        <v>62</v>
      </c>
      <c r="AS5081" s="3" t="s">
        <v>62</v>
      </c>
      <c r="AT5081" s="3" t="s">
        <v>62</v>
      </c>
      <c r="AV5081" s="6" t="str">
        <f>HYPERLINK("http://mcgill.on.worldcat.org/oclc/3088729","Catalog Record")</f>
        <v>Catalog Record</v>
      </c>
      <c r="AW5081" s="6" t="str">
        <f>HYPERLINK("http://www.worldcat.org/oclc/3088729","WorldCat Record")</f>
        <v>WorldCat Record</v>
      </c>
      <c r="AX5081" s="3" t="s">
        <v>48704</v>
      </c>
      <c r="AY5081" s="3" t="s">
        <v>48705</v>
      </c>
      <c r="AZ5081" s="3" t="s">
        <v>48706</v>
      </c>
      <c r="BA5081" s="3" t="s">
        <v>48706</v>
      </c>
      <c r="BB5081" s="3" t="s">
        <v>48707</v>
      </c>
      <c r="BC5081" s="3" t="s">
        <v>142</v>
      </c>
      <c r="BD5081" s="3" t="s">
        <v>68</v>
      </c>
      <c r="BE5081" s="3" t="s">
        <v>48708</v>
      </c>
      <c r="BF5081" s="3" t="s">
        <v>48707</v>
      </c>
      <c r="BG5081" s="3" t="s">
        <v>48709</v>
      </c>
    </row>
    <row r="5082" spans="1:59" ht="57" x14ac:dyDescent="0.45">
      <c r="A5082" s="2" t="s">
        <v>59</v>
      </c>
      <c r="B5082" s="2" t="s">
        <v>60</v>
      </c>
      <c r="C5082" s="2" t="s">
        <v>48710</v>
      </c>
      <c r="D5082" s="2" t="s">
        <v>48711</v>
      </c>
      <c r="E5082" s="2" t="s">
        <v>48712</v>
      </c>
      <c r="G5082" s="3" t="s">
        <v>62</v>
      </c>
      <c r="I5082" s="3" t="s">
        <v>61</v>
      </c>
      <c r="J5082" s="3" t="s">
        <v>62</v>
      </c>
      <c r="K5082" s="3" t="s">
        <v>63</v>
      </c>
      <c r="L5082" s="2" t="s">
        <v>48713</v>
      </c>
      <c r="M5082" s="2" t="s">
        <v>48714</v>
      </c>
      <c r="N5082" s="3" t="s">
        <v>113</v>
      </c>
      <c r="P5082" s="3" t="s">
        <v>65</v>
      </c>
      <c r="R5082" s="3" t="s">
        <v>66</v>
      </c>
      <c r="S5082" s="4">
        <v>7</v>
      </c>
      <c r="T5082" s="4">
        <v>12</v>
      </c>
      <c r="U5082" s="5" t="s">
        <v>48715</v>
      </c>
      <c r="V5082" s="5" t="s">
        <v>48715</v>
      </c>
      <c r="W5082" s="5" t="s">
        <v>67</v>
      </c>
      <c r="X5082" s="5" t="s">
        <v>67</v>
      </c>
      <c r="Y5082" s="4">
        <v>314</v>
      </c>
      <c r="Z5082" s="4">
        <v>24</v>
      </c>
      <c r="AA5082" s="4">
        <v>56</v>
      </c>
      <c r="AB5082" s="4">
        <v>2</v>
      </c>
      <c r="AC5082" s="4">
        <v>11</v>
      </c>
      <c r="AD5082" s="4">
        <v>55</v>
      </c>
      <c r="AE5082" s="4">
        <v>135</v>
      </c>
      <c r="AF5082" s="4">
        <v>1</v>
      </c>
      <c r="AG5082" s="4">
        <v>5</v>
      </c>
      <c r="AH5082" s="4">
        <v>44</v>
      </c>
      <c r="AI5082" s="4">
        <v>108</v>
      </c>
      <c r="AJ5082" s="4">
        <v>12</v>
      </c>
      <c r="AK5082" s="4">
        <v>25</v>
      </c>
      <c r="AL5082" s="4">
        <v>25</v>
      </c>
      <c r="AM5082" s="4">
        <v>60</v>
      </c>
      <c r="AN5082" s="4">
        <v>0</v>
      </c>
      <c r="AO5082" s="4">
        <v>0</v>
      </c>
      <c r="AP5082" s="4">
        <v>17</v>
      </c>
      <c r="AQ5082" s="4">
        <v>35</v>
      </c>
      <c r="AR5082" s="3" t="s">
        <v>62</v>
      </c>
      <c r="AS5082" s="3" t="s">
        <v>62</v>
      </c>
      <c r="AT5082" s="3" t="s">
        <v>62</v>
      </c>
      <c r="AV5082" s="6" t="str">
        <f>HYPERLINK("http://mcgill.on.worldcat.org/oclc/3038195","Catalog Record")</f>
        <v>Catalog Record</v>
      </c>
      <c r="AW5082" s="6" t="str">
        <f>HYPERLINK("http://www.worldcat.org/oclc/3038195","WorldCat Record")</f>
        <v>WorldCat Record</v>
      </c>
      <c r="AX5082" s="3" t="s">
        <v>48716</v>
      </c>
      <c r="AY5082" s="3" t="s">
        <v>48717</v>
      </c>
      <c r="AZ5082" s="3" t="s">
        <v>48718</v>
      </c>
      <c r="BA5082" s="3" t="s">
        <v>48718</v>
      </c>
      <c r="BB5082" s="3" t="s">
        <v>48719</v>
      </c>
      <c r="BC5082" s="3" t="s">
        <v>142</v>
      </c>
      <c r="BD5082" s="3" t="s">
        <v>68</v>
      </c>
      <c r="BE5082" s="3" t="s">
        <v>48720</v>
      </c>
      <c r="BF5082" s="3" t="s">
        <v>48719</v>
      </c>
      <c r="BG5082" s="3" t="s">
        <v>48721</v>
      </c>
    </row>
    <row r="5083" spans="1:59" ht="57" x14ac:dyDescent="0.45">
      <c r="A5083" s="2" t="s">
        <v>59</v>
      </c>
      <c r="B5083" s="2" t="s">
        <v>60</v>
      </c>
      <c r="C5083" s="2" t="s">
        <v>48710</v>
      </c>
      <c r="D5083" s="2" t="s">
        <v>48711</v>
      </c>
      <c r="E5083" s="2" t="s">
        <v>48712</v>
      </c>
      <c r="G5083" s="3" t="s">
        <v>62</v>
      </c>
      <c r="I5083" s="3" t="s">
        <v>61</v>
      </c>
      <c r="J5083" s="3" t="s">
        <v>62</v>
      </c>
      <c r="K5083" s="3" t="s">
        <v>63</v>
      </c>
      <c r="L5083" s="2" t="s">
        <v>48713</v>
      </c>
      <c r="M5083" s="2" t="s">
        <v>48714</v>
      </c>
      <c r="N5083" s="3" t="s">
        <v>113</v>
      </c>
      <c r="P5083" s="3" t="s">
        <v>65</v>
      </c>
      <c r="R5083" s="3" t="s">
        <v>66</v>
      </c>
      <c r="S5083" s="4">
        <v>5</v>
      </c>
      <c r="T5083" s="4">
        <v>12</v>
      </c>
      <c r="U5083" s="5" t="s">
        <v>48722</v>
      </c>
      <c r="V5083" s="5" t="s">
        <v>48715</v>
      </c>
      <c r="W5083" s="5" t="s">
        <v>67</v>
      </c>
      <c r="X5083" s="5" t="s">
        <v>67</v>
      </c>
      <c r="Y5083" s="4">
        <v>314</v>
      </c>
      <c r="Z5083" s="4">
        <v>24</v>
      </c>
      <c r="AA5083" s="4">
        <v>56</v>
      </c>
      <c r="AB5083" s="4">
        <v>2</v>
      </c>
      <c r="AC5083" s="4">
        <v>11</v>
      </c>
      <c r="AD5083" s="4">
        <v>55</v>
      </c>
      <c r="AE5083" s="4">
        <v>135</v>
      </c>
      <c r="AF5083" s="4">
        <v>1</v>
      </c>
      <c r="AG5083" s="4">
        <v>5</v>
      </c>
      <c r="AH5083" s="4">
        <v>44</v>
      </c>
      <c r="AI5083" s="4">
        <v>108</v>
      </c>
      <c r="AJ5083" s="4">
        <v>12</v>
      </c>
      <c r="AK5083" s="4">
        <v>25</v>
      </c>
      <c r="AL5083" s="4">
        <v>25</v>
      </c>
      <c r="AM5083" s="4">
        <v>60</v>
      </c>
      <c r="AN5083" s="4">
        <v>0</v>
      </c>
      <c r="AO5083" s="4">
        <v>0</v>
      </c>
      <c r="AP5083" s="4">
        <v>17</v>
      </c>
      <c r="AQ5083" s="4">
        <v>35</v>
      </c>
      <c r="AR5083" s="3" t="s">
        <v>62</v>
      </c>
      <c r="AS5083" s="3" t="s">
        <v>62</v>
      </c>
      <c r="AT5083" s="3" t="s">
        <v>62</v>
      </c>
      <c r="AV5083" s="6" t="str">
        <f>HYPERLINK("http://mcgill.on.worldcat.org/oclc/3038195","Catalog Record")</f>
        <v>Catalog Record</v>
      </c>
      <c r="AW5083" s="6" t="str">
        <f>HYPERLINK("http://www.worldcat.org/oclc/3038195","WorldCat Record")</f>
        <v>WorldCat Record</v>
      </c>
      <c r="AX5083" s="3" t="s">
        <v>48716</v>
      </c>
      <c r="AY5083" s="3" t="s">
        <v>48717</v>
      </c>
      <c r="AZ5083" s="3" t="s">
        <v>48718</v>
      </c>
      <c r="BA5083" s="3" t="s">
        <v>48718</v>
      </c>
      <c r="BB5083" s="3" t="s">
        <v>48723</v>
      </c>
      <c r="BC5083" s="3" t="s">
        <v>142</v>
      </c>
      <c r="BD5083" s="3" t="s">
        <v>68</v>
      </c>
      <c r="BE5083" s="3" t="s">
        <v>48720</v>
      </c>
      <c r="BF5083" s="3" t="s">
        <v>48723</v>
      </c>
      <c r="BG5083" s="3" t="s">
        <v>48724</v>
      </c>
    </row>
    <row r="5084" spans="1:59" ht="57" x14ac:dyDescent="0.45">
      <c r="A5084" s="2" t="s">
        <v>59</v>
      </c>
      <c r="B5084" s="2" t="s">
        <v>60</v>
      </c>
      <c r="C5084" s="2" t="s">
        <v>48725</v>
      </c>
      <c r="D5084" s="2" t="s">
        <v>48726</v>
      </c>
      <c r="E5084" s="2" t="s">
        <v>48727</v>
      </c>
      <c r="G5084" s="3" t="s">
        <v>62</v>
      </c>
      <c r="I5084" s="3" t="s">
        <v>62</v>
      </c>
      <c r="J5084" s="3" t="s">
        <v>62</v>
      </c>
      <c r="K5084" s="3" t="s">
        <v>63</v>
      </c>
      <c r="L5084" s="2" t="s">
        <v>48728</v>
      </c>
      <c r="M5084" s="2" t="s">
        <v>7600</v>
      </c>
      <c r="N5084" s="3" t="s">
        <v>894</v>
      </c>
      <c r="P5084" s="3" t="s">
        <v>65</v>
      </c>
      <c r="R5084" s="3" t="s">
        <v>66</v>
      </c>
      <c r="S5084" s="4">
        <v>4</v>
      </c>
      <c r="T5084" s="4">
        <v>4</v>
      </c>
      <c r="U5084" s="5" t="s">
        <v>3064</v>
      </c>
      <c r="V5084" s="5" t="s">
        <v>3064</v>
      </c>
      <c r="W5084" s="5" t="s">
        <v>67</v>
      </c>
      <c r="X5084" s="5" t="s">
        <v>67</v>
      </c>
      <c r="Y5084" s="4">
        <v>106</v>
      </c>
      <c r="Z5084" s="4">
        <v>17</v>
      </c>
      <c r="AA5084" s="4">
        <v>85</v>
      </c>
      <c r="AB5084" s="4">
        <v>2</v>
      </c>
      <c r="AC5084" s="4">
        <v>15</v>
      </c>
      <c r="AD5084" s="4">
        <v>59</v>
      </c>
      <c r="AE5084" s="4">
        <v>123</v>
      </c>
      <c r="AF5084" s="4">
        <v>1</v>
      </c>
      <c r="AG5084" s="4">
        <v>8</v>
      </c>
      <c r="AH5084" s="4">
        <v>54</v>
      </c>
      <c r="AI5084" s="4">
        <v>89</v>
      </c>
      <c r="AJ5084" s="4">
        <v>13</v>
      </c>
      <c r="AK5084" s="4">
        <v>24</v>
      </c>
      <c r="AL5084" s="4">
        <v>34</v>
      </c>
      <c r="AM5084" s="4">
        <v>48</v>
      </c>
      <c r="AN5084" s="4">
        <v>0</v>
      </c>
      <c r="AO5084" s="4">
        <v>0</v>
      </c>
      <c r="AP5084" s="4">
        <v>13</v>
      </c>
      <c r="AQ5084" s="4">
        <v>44</v>
      </c>
      <c r="AR5084" s="3" t="s">
        <v>62</v>
      </c>
      <c r="AS5084" s="3" t="s">
        <v>62</v>
      </c>
      <c r="AT5084" s="3" t="s">
        <v>62</v>
      </c>
      <c r="AV5084" s="6" t="str">
        <f>HYPERLINK("http://mcgill.on.worldcat.org/oclc/730413611","Catalog Record")</f>
        <v>Catalog Record</v>
      </c>
      <c r="AW5084" s="6" t="str">
        <f>HYPERLINK("http://www.worldcat.org/oclc/730413611","WorldCat Record")</f>
        <v>WorldCat Record</v>
      </c>
      <c r="AX5084" s="3" t="s">
        <v>48729</v>
      </c>
      <c r="AY5084" s="3" t="s">
        <v>48730</v>
      </c>
      <c r="AZ5084" s="3" t="s">
        <v>48731</v>
      </c>
      <c r="BA5084" s="3" t="s">
        <v>48731</v>
      </c>
      <c r="BB5084" s="3" t="s">
        <v>48732</v>
      </c>
      <c r="BC5084" s="3" t="s">
        <v>142</v>
      </c>
      <c r="BD5084" s="3" t="s">
        <v>68</v>
      </c>
      <c r="BE5084" s="3" t="s">
        <v>48733</v>
      </c>
      <c r="BF5084" s="3" t="s">
        <v>48732</v>
      </c>
      <c r="BG5084" s="3" t="s">
        <v>48734</v>
      </c>
    </row>
    <row r="5085" spans="1:59" ht="57" x14ac:dyDescent="0.45">
      <c r="A5085" s="2" t="s">
        <v>59</v>
      </c>
      <c r="B5085" s="2" t="s">
        <v>60</v>
      </c>
      <c r="C5085" s="2" t="s">
        <v>48735</v>
      </c>
      <c r="D5085" s="2" t="s">
        <v>48736</v>
      </c>
      <c r="E5085" s="2" t="s">
        <v>48737</v>
      </c>
      <c r="G5085" s="3" t="s">
        <v>62</v>
      </c>
      <c r="I5085" s="3" t="s">
        <v>62</v>
      </c>
      <c r="J5085" s="3" t="s">
        <v>62</v>
      </c>
      <c r="K5085" s="3" t="s">
        <v>63</v>
      </c>
      <c r="L5085" s="2" t="s">
        <v>48738</v>
      </c>
      <c r="M5085" s="2" t="s">
        <v>48739</v>
      </c>
      <c r="N5085" s="3" t="s">
        <v>195</v>
      </c>
      <c r="P5085" s="3" t="s">
        <v>110</v>
      </c>
      <c r="Q5085" s="2" t="s">
        <v>48740</v>
      </c>
      <c r="R5085" s="3" t="s">
        <v>66</v>
      </c>
      <c r="S5085" s="4">
        <v>3</v>
      </c>
      <c r="T5085" s="4">
        <v>3</v>
      </c>
      <c r="U5085" s="5" t="s">
        <v>8982</v>
      </c>
      <c r="V5085" s="5" t="s">
        <v>8982</v>
      </c>
      <c r="W5085" s="5" t="s">
        <v>67</v>
      </c>
      <c r="X5085" s="5" t="s">
        <v>67</v>
      </c>
      <c r="Y5085" s="4">
        <v>12</v>
      </c>
      <c r="Z5085" s="4">
        <v>9</v>
      </c>
      <c r="AA5085" s="4">
        <v>30</v>
      </c>
      <c r="AB5085" s="4">
        <v>1</v>
      </c>
      <c r="AC5085" s="4">
        <v>7</v>
      </c>
      <c r="AD5085" s="4">
        <v>7</v>
      </c>
      <c r="AE5085" s="4">
        <v>17</v>
      </c>
      <c r="AF5085" s="4">
        <v>0</v>
      </c>
      <c r="AG5085" s="4">
        <v>3</v>
      </c>
      <c r="AH5085" s="4">
        <v>4</v>
      </c>
      <c r="AI5085" s="4">
        <v>6</v>
      </c>
      <c r="AJ5085" s="4">
        <v>5</v>
      </c>
      <c r="AK5085" s="4">
        <v>12</v>
      </c>
      <c r="AL5085" s="4">
        <v>1</v>
      </c>
      <c r="AM5085" s="4">
        <v>1</v>
      </c>
      <c r="AN5085" s="4">
        <v>0</v>
      </c>
      <c r="AO5085" s="4">
        <v>0</v>
      </c>
      <c r="AP5085" s="4">
        <v>7</v>
      </c>
      <c r="AQ5085" s="4">
        <v>15</v>
      </c>
      <c r="AR5085" s="3" t="s">
        <v>61</v>
      </c>
      <c r="AS5085" s="3" t="s">
        <v>62</v>
      </c>
      <c r="AT5085" s="3" t="s">
        <v>62</v>
      </c>
      <c r="AV5085" s="6" t="str">
        <f>HYPERLINK("http://mcgill.on.worldcat.org/oclc/28622697","Catalog Record")</f>
        <v>Catalog Record</v>
      </c>
      <c r="AW5085" s="6" t="str">
        <f>HYPERLINK("http://www.worldcat.org/oclc/28622697","WorldCat Record")</f>
        <v>WorldCat Record</v>
      </c>
      <c r="AX5085" s="3" t="s">
        <v>48741</v>
      </c>
      <c r="AY5085" s="3" t="s">
        <v>48742</v>
      </c>
      <c r="AZ5085" s="3" t="s">
        <v>48743</v>
      </c>
      <c r="BA5085" s="3" t="s">
        <v>48743</v>
      </c>
      <c r="BB5085" s="3" t="s">
        <v>48744</v>
      </c>
      <c r="BC5085" s="3" t="s">
        <v>142</v>
      </c>
      <c r="BD5085" s="3" t="s">
        <v>68</v>
      </c>
      <c r="BE5085" s="3" t="s">
        <v>48745</v>
      </c>
      <c r="BF5085" s="3" t="s">
        <v>48744</v>
      </c>
      <c r="BG5085" s="3" t="s">
        <v>48746</v>
      </c>
    </row>
    <row r="5086" spans="1:59" ht="57" x14ac:dyDescent="0.45">
      <c r="A5086" s="2" t="s">
        <v>59</v>
      </c>
      <c r="B5086" s="2" t="s">
        <v>60</v>
      </c>
      <c r="C5086" s="2" t="s">
        <v>48747</v>
      </c>
      <c r="D5086" s="2" t="s">
        <v>48748</v>
      </c>
      <c r="E5086" s="2" t="s">
        <v>48749</v>
      </c>
      <c r="G5086" s="3" t="s">
        <v>62</v>
      </c>
      <c r="I5086" s="3" t="s">
        <v>62</v>
      </c>
      <c r="J5086" s="3" t="s">
        <v>62</v>
      </c>
      <c r="K5086" s="3" t="s">
        <v>63</v>
      </c>
      <c r="L5086" s="2" t="s">
        <v>45393</v>
      </c>
      <c r="M5086" s="2" t="s">
        <v>48750</v>
      </c>
      <c r="N5086" s="3" t="s">
        <v>106</v>
      </c>
      <c r="P5086" s="3" t="s">
        <v>110</v>
      </c>
      <c r="Q5086" s="2" t="s">
        <v>48751</v>
      </c>
      <c r="R5086" s="3" t="s">
        <v>66</v>
      </c>
      <c r="S5086" s="4">
        <v>5</v>
      </c>
      <c r="T5086" s="4">
        <v>5</v>
      </c>
      <c r="U5086" s="5" t="s">
        <v>46320</v>
      </c>
      <c r="V5086" s="5" t="s">
        <v>46320</v>
      </c>
      <c r="W5086" s="5" t="s">
        <v>67</v>
      </c>
      <c r="X5086" s="5" t="s">
        <v>67</v>
      </c>
      <c r="Y5086" s="4">
        <v>83</v>
      </c>
      <c r="Z5086" s="4">
        <v>8</v>
      </c>
      <c r="AA5086" s="4">
        <v>20</v>
      </c>
      <c r="AB5086" s="4">
        <v>1</v>
      </c>
      <c r="AC5086" s="4">
        <v>9</v>
      </c>
      <c r="AD5086" s="4">
        <v>38</v>
      </c>
      <c r="AE5086" s="4">
        <v>46</v>
      </c>
      <c r="AF5086" s="4">
        <v>0</v>
      </c>
      <c r="AG5086" s="4">
        <v>5</v>
      </c>
      <c r="AH5086" s="4">
        <v>34</v>
      </c>
      <c r="AI5086" s="4">
        <v>37</v>
      </c>
      <c r="AJ5086" s="4">
        <v>7</v>
      </c>
      <c r="AK5086" s="4">
        <v>13</v>
      </c>
      <c r="AL5086" s="4">
        <v>25</v>
      </c>
      <c r="AM5086" s="4">
        <v>26</v>
      </c>
      <c r="AN5086" s="4">
        <v>0</v>
      </c>
      <c r="AO5086" s="4">
        <v>0</v>
      </c>
      <c r="AP5086" s="4">
        <v>7</v>
      </c>
      <c r="AQ5086" s="4">
        <v>14</v>
      </c>
      <c r="AR5086" s="3" t="s">
        <v>62</v>
      </c>
      <c r="AS5086" s="3" t="s">
        <v>62</v>
      </c>
      <c r="AT5086" s="3" t="s">
        <v>61</v>
      </c>
      <c r="AU5086" s="6" t="str">
        <f>HYPERLINK("http://catalog.hathitrust.org/Record/000200498","HathiTrust Record")</f>
        <v>HathiTrust Record</v>
      </c>
      <c r="AV5086" s="6" t="str">
        <f>HYPERLINK("http://mcgill.on.worldcat.org/oclc/10561208","Catalog Record")</f>
        <v>Catalog Record</v>
      </c>
      <c r="AW5086" s="6" t="str">
        <f>HYPERLINK("http://www.worldcat.org/oclc/10561208","WorldCat Record")</f>
        <v>WorldCat Record</v>
      </c>
      <c r="AX5086" s="3" t="s">
        <v>48752</v>
      </c>
      <c r="AY5086" s="3" t="s">
        <v>48753</v>
      </c>
      <c r="AZ5086" s="3" t="s">
        <v>48754</v>
      </c>
      <c r="BA5086" s="3" t="s">
        <v>48754</v>
      </c>
      <c r="BB5086" s="3" t="s">
        <v>48755</v>
      </c>
      <c r="BC5086" s="3" t="s">
        <v>142</v>
      </c>
      <c r="BD5086" s="3" t="s">
        <v>68</v>
      </c>
      <c r="BE5086" s="3" t="s">
        <v>48756</v>
      </c>
      <c r="BF5086" s="3" t="s">
        <v>48755</v>
      </c>
      <c r="BG5086" s="3" t="s">
        <v>48757</v>
      </c>
    </row>
    <row r="5087" spans="1:59" ht="57" x14ac:dyDescent="0.45">
      <c r="A5087" s="2" t="s">
        <v>59</v>
      </c>
      <c r="B5087" s="2" t="s">
        <v>60</v>
      </c>
      <c r="C5087" s="2" t="s">
        <v>48758</v>
      </c>
      <c r="D5087" s="2" t="s">
        <v>48759</v>
      </c>
      <c r="E5087" s="2" t="s">
        <v>48760</v>
      </c>
      <c r="G5087" s="3" t="s">
        <v>62</v>
      </c>
      <c r="I5087" s="3" t="s">
        <v>62</v>
      </c>
      <c r="J5087" s="3" t="s">
        <v>61</v>
      </c>
      <c r="K5087" s="3" t="s">
        <v>63</v>
      </c>
      <c r="M5087" s="2" t="s">
        <v>2022</v>
      </c>
      <c r="N5087" s="3" t="s">
        <v>149</v>
      </c>
      <c r="O5087" s="2" t="s">
        <v>933</v>
      </c>
      <c r="P5087" s="3" t="s">
        <v>65</v>
      </c>
      <c r="Q5087" s="2" t="s">
        <v>3014</v>
      </c>
      <c r="R5087" s="3" t="s">
        <v>66</v>
      </c>
      <c r="S5087" s="4">
        <v>11</v>
      </c>
      <c r="T5087" s="4">
        <v>11</v>
      </c>
      <c r="U5087" s="5" t="s">
        <v>48761</v>
      </c>
      <c r="V5087" s="5" t="s">
        <v>48761</v>
      </c>
      <c r="W5087" s="5" t="s">
        <v>67</v>
      </c>
      <c r="X5087" s="5" t="s">
        <v>67</v>
      </c>
      <c r="Y5087" s="4">
        <v>129</v>
      </c>
      <c r="Z5087" s="4">
        <v>14</v>
      </c>
      <c r="AA5087" s="4">
        <v>48</v>
      </c>
      <c r="AB5087" s="4">
        <v>1</v>
      </c>
      <c r="AC5087" s="4">
        <v>11</v>
      </c>
      <c r="AD5087" s="4">
        <v>37</v>
      </c>
      <c r="AE5087" s="4">
        <v>129</v>
      </c>
      <c r="AF5087" s="4">
        <v>0</v>
      </c>
      <c r="AG5087" s="4">
        <v>5</v>
      </c>
      <c r="AH5087" s="4">
        <v>33</v>
      </c>
      <c r="AI5087" s="4">
        <v>105</v>
      </c>
      <c r="AJ5087" s="4">
        <v>8</v>
      </c>
      <c r="AK5087" s="4">
        <v>22</v>
      </c>
      <c r="AL5087" s="4">
        <v>16</v>
      </c>
      <c r="AM5087" s="4">
        <v>57</v>
      </c>
      <c r="AN5087" s="4">
        <v>0</v>
      </c>
      <c r="AO5087" s="4">
        <v>0</v>
      </c>
      <c r="AP5087" s="4">
        <v>11</v>
      </c>
      <c r="AQ5087" s="4">
        <v>32</v>
      </c>
      <c r="AR5087" s="3" t="s">
        <v>62</v>
      </c>
      <c r="AS5087" s="3" t="s">
        <v>62</v>
      </c>
      <c r="AT5087" s="3" t="s">
        <v>62</v>
      </c>
      <c r="AV5087" s="6" t="str">
        <f>HYPERLINK("http://mcgill.on.worldcat.org/oclc/430736646","Catalog Record")</f>
        <v>Catalog Record</v>
      </c>
      <c r="AW5087" s="6" t="str">
        <f>HYPERLINK("http://www.worldcat.org/oclc/430736646","WorldCat Record")</f>
        <v>WorldCat Record</v>
      </c>
      <c r="AX5087" s="3" t="s">
        <v>48762</v>
      </c>
      <c r="AY5087" s="3" t="s">
        <v>48763</v>
      </c>
      <c r="AZ5087" s="3" t="s">
        <v>48764</v>
      </c>
      <c r="BA5087" s="3" t="s">
        <v>48764</v>
      </c>
      <c r="BB5087" s="3" t="s">
        <v>48765</v>
      </c>
      <c r="BC5087" s="3" t="s">
        <v>142</v>
      </c>
      <c r="BD5087" s="3" t="s">
        <v>68</v>
      </c>
      <c r="BE5087" s="3" t="s">
        <v>48766</v>
      </c>
      <c r="BF5087" s="3" t="s">
        <v>48765</v>
      </c>
      <c r="BG5087" s="3" t="s">
        <v>48767</v>
      </c>
    </row>
    <row r="5088" spans="1:59" ht="57" x14ac:dyDescent="0.45">
      <c r="A5088" s="2" t="s">
        <v>59</v>
      </c>
      <c r="B5088" s="2" t="s">
        <v>60</v>
      </c>
      <c r="C5088" s="2" t="s">
        <v>48768</v>
      </c>
      <c r="D5088" s="2" t="s">
        <v>48769</v>
      </c>
      <c r="E5088" s="2" t="s">
        <v>48770</v>
      </c>
      <c r="G5088" s="3" t="s">
        <v>62</v>
      </c>
      <c r="I5088" s="3" t="s">
        <v>62</v>
      </c>
      <c r="J5088" s="3" t="s">
        <v>62</v>
      </c>
      <c r="K5088" s="3" t="s">
        <v>63</v>
      </c>
      <c r="L5088" s="2" t="s">
        <v>48771</v>
      </c>
      <c r="M5088" s="2" t="s">
        <v>48772</v>
      </c>
      <c r="N5088" s="3" t="s">
        <v>1059</v>
      </c>
      <c r="P5088" s="3" t="s">
        <v>65</v>
      </c>
      <c r="R5088" s="3" t="s">
        <v>66</v>
      </c>
      <c r="S5088" s="4">
        <v>13</v>
      </c>
      <c r="T5088" s="4">
        <v>13</v>
      </c>
      <c r="U5088" s="5" t="s">
        <v>28177</v>
      </c>
      <c r="V5088" s="5" t="s">
        <v>28177</v>
      </c>
      <c r="W5088" s="5" t="s">
        <v>67</v>
      </c>
      <c r="X5088" s="5" t="s">
        <v>67</v>
      </c>
      <c r="Y5088" s="4">
        <v>18</v>
      </c>
      <c r="Z5088" s="4">
        <v>2</v>
      </c>
      <c r="AA5088" s="4">
        <v>18</v>
      </c>
      <c r="AB5088" s="4">
        <v>1</v>
      </c>
      <c r="AC5088" s="4">
        <v>8</v>
      </c>
      <c r="AD5088" s="4">
        <v>2</v>
      </c>
      <c r="AE5088" s="4">
        <v>41</v>
      </c>
      <c r="AF5088" s="4">
        <v>0</v>
      </c>
      <c r="AG5088" s="4">
        <v>3</v>
      </c>
      <c r="AH5088" s="4">
        <v>1</v>
      </c>
      <c r="AI5088" s="4">
        <v>33</v>
      </c>
      <c r="AJ5088" s="4">
        <v>1</v>
      </c>
      <c r="AK5088" s="4">
        <v>10</v>
      </c>
      <c r="AL5088" s="4">
        <v>0</v>
      </c>
      <c r="AM5088" s="4">
        <v>16</v>
      </c>
      <c r="AN5088" s="4">
        <v>0</v>
      </c>
      <c r="AO5088" s="4">
        <v>0</v>
      </c>
      <c r="AP5088" s="4">
        <v>1</v>
      </c>
      <c r="AQ5088" s="4">
        <v>11</v>
      </c>
      <c r="AR5088" s="3" t="s">
        <v>62</v>
      </c>
      <c r="AS5088" s="3" t="s">
        <v>62</v>
      </c>
      <c r="AT5088" s="3" t="s">
        <v>62</v>
      </c>
      <c r="AV5088" s="6" t="str">
        <f>HYPERLINK("http://mcgill.on.worldcat.org/oclc/813514368","Catalog Record")</f>
        <v>Catalog Record</v>
      </c>
      <c r="AW5088" s="6" t="str">
        <f>HYPERLINK("http://www.worldcat.org/oclc/813514368","WorldCat Record")</f>
        <v>WorldCat Record</v>
      </c>
      <c r="AX5088" s="3" t="s">
        <v>48773</v>
      </c>
      <c r="AY5088" s="3" t="s">
        <v>48774</v>
      </c>
      <c r="AZ5088" s="3" t="s">
        <v>48775</v>
      </c>
      <c r="BA5088" s="3" t="s">
        <v>48775</v>
      </c>
      <c r="BB5088" s="3" t="s">
        <v>48776</v>
      </c>
      <c r="BC5088" s="3" t="s">
        <v>142</v>
      </c>
      <c r="BD5088" s="3" t="s">
        <v>68</v>
      </c>
      <c r="BE5088" s="3" t="s">
        <v>48777</v>
      </c>
      <c r="BF5088" s="3" t="s">
        <v>48776</v>
      </c>
      <c r="BG5088" s="3" t="s">
        <v>48778</v>
      </c>
    </row>
    <row r="5089" spans="1:59" ht="57" x14ac:dyDescent="0.45">
      <c r="A5089" s="2" t="s">
        <v>59</v>
      </c>
      <c r="B5089" s="2" t="s">
        <v>60</v>
      </c>
      <c r="C5089" s="2" t="s">
        <v>48779</v>
      </c>
      <c r="D5089" s="2" t="s">
        <v>48780</v>
      </c>
      <c r="E5089" s="2" t="s">
        <v>48781</v>
      </c>
      <c r="G5089" s="3" t="s">
        <v>62</v>
      </c>
      <c r="I5089" s="3" t="s">
        <v>61</v>
      </c>
      <c r="J5089" s="3" t="s">
        <v>61</v>
      </c>
      <c r="K5089" s="3" t="s">
        <v>63</v>
      </c>
      <c r="L5089" s="2" t="s">
        <v>720</v>
      </c>
      <c r="M5089" s="2" t="s">
        <v>48782</v>
      </c>
      <c r="N5089" s="3" t="s">
        <v>220</v>
      </c>
      <c r="O5089" s="2" t="s">
        <v>48783</v>
      </c>
      <c r="P5089" s="3" t="s">
        <v>65</v>
      </c>
      <c r="Q5089" s="2" t="s">
        <v>48784</v>
      </c>
      <c r="R5089" s="3" t="s">
        <v>66</v>
      </c>
      <c r="S5089" s="4">
        <v>28</v>
      </c>
      <c r="T5089" s="4">
        <v>54</v>
      </c>
      <c r="U5089" s="5" t="s">
        <v>8562</v>
      </c>
      <c r="V5089" s="5" t="s">
        <v>30780</v>
      </c>
      <c r="W5089" s="5" t="s">
        <v>67</v>
      </c>
      <c r="X5089" s="5" t="s">
        <v>67</v>
      </c>
      <c r="Y5089" s="4">
        <v>521</v>
      </c>
      <c r="Z5089" s="4">
        <v>31</v>
      </c>
      <c r="AA5089" s="4">
        <v>109</v>
      </c>
      <c r="AB5089" s="4">
        <v>4</v>
      </c>
      <c r="AC5089" s="4">
        <v>18</v>
      </c>
      <c r="AD5089" s="4">
        <v>90</v>
      </c>
      <c r="AE5089" s="4">
        <v>160</v>
      </c>
      <c r="AF5089" s="4">
        <v>2</v>
      </c>
      <c r="AG5089" s="4">
        <v>8</v>
      </c>
      <c r="AH5089" s="4">
        <v>73</v>
      </c>
      <c r="AI5089" s="4">
        <v>112</v>
      </c>
      <c r="AJ5089" s="4">
        <v>15</v>
      </c>
      <c r="AK5089" s="4">
        <v>27</v>
      </c>
      <c r="AL5089" s="4">
        <v>40</v>
      </c>
      <c r="AM5089" s="4">
        <v>60</v>
      </c>
      <c r="AN5089" s="4">
        <v>5</v>
      </c>
      <c r="AO5089" s="4">
        <v>5</v>
      </c>
      <c r="AP5089" s="4">
        <v>24</v>
      </c>
      <c r="AQ5089" s="4">
        <v>57</v>
      </c>
      <c r="AR5089" s="3" t="s">
        <v>62</v>
      </c>
      <c r="AS5089" s="3" t="s">
        <v>62</v>
      </c>
      <c r="AT5089" s="3" t="s">
        <v>61</v>
      </c>
      <c r="AU5089" s="6" t="str">
        <f>HYPERLINK("http://catalog.hathitrust.org/Record/000009786","HathiTrust Record")</f>
        <v>HathiTrust Record</v>
      </c>
      <c r="AV5089" s="6" t="str">
        <f>HYPERLINK("http://mcgill.on.worldcat.org/oclc/694381","Catalog Record")</f>
        <v>Catalog Record</v>
      </c>
      <c r="AW5089" s="6" t="str">
        <f>HYPERLINK("http://www.worldcat.org/oclc/694381","WorldCat Record")</f>
        <v>WorldCat Record</v>
      </c>
      <c r="AX5089" s="3" t="s">
        <v>48785</v>
      </c>
      <c r="AY5089" s="3" t="s">
        <v>48786</v>
      </c>
      <c r="AZ5089" s="3" t="s">
        <v>48787</v>
      </c>
      <c r="BA5089" s="3" t="s">
        <v>48787</v>
      </c>
      <c r="BB5089" s="3" t="s">
        <v>48788</v>
      </c>
      <c r="BC5089" s="3" t="s">
        <v>142</v>
      </c>
      <c r="BD5089" s="3" t="s">
        <v>68</v>
      </c>
      <c r="BE5089" s="3" t="s">
        <v>48789</v>
      </c>
      <c r="BF5089" s="3" t="s">
        <v>48788</v>
      </c>
      <c r="BG5089" s="3" t="s">
        <v>48790</v>
      </c>
    </row>
    <row r="5090" spans="1:59" ht="57" x14ac:dyDescent="0.45">
      <c r="A5090" s="2" t="s">
        <v>59</v>
      </c>
      <c r="B5090" s="2" t="s">
        <v>60</v>
      </c>
      <c r="C5090" s="2" t="s">
        <v>48779</v>
      </c>
      <c r="D5090" s="2" t="s">
        <v>48780</v>
      </c>
      <c r="E5090" s="2" t="s">
        <v>48781</v>
      </c>
      <c r="G5090" s="3" t="s">
        <v>62</v>
      </c>
      <c r="I5090" s="3" t="s">
        <v>61</v>
      </c>
      <c r="J5090" s="3" t="s">
        <v>61</v>
      </c>
      <c r="K5090" s="3" t="s">
        <v>63</v>
      </c>
      <c r="L5090" s="2" t="s">
        <v>720</v>
      </c>
      <c r="M5090" s="2" t="s">
        <v>48782</v>
      </c>
      <c r="N5090" s="3" t="s">
        <v>220</v>
      </c>
      <c r="O5090" s="2" t="s">
        <v>48783</v>
      </c>
      <c r="P5090" s="3" t="s">
        <v>65</v>
      </c>
      <c r="Q5090" s="2" t="s">
        <v>48784</v>
      </c>
      <c r="R5090" s="3" t="s">
        <v>66</v>
      </c>
      <c r="S5090" s="4">
        <v>26</v>
      </c>
      <c r="T5090" s="4">
        <v>54</v>
      </c>
      <c r="U5090" s="5" t="s">
        <v>30780</v>
      </c>
      <c r="V5090" s="5" t="s">
        <v>30780</v>
      </c>
      <c r="W5090" s="5" t="s">
        <v>67</v>
      </c>
      <c r="X5090" s="5" t="s">
        <v>67</v>
      </c>
      <c r="Y5090" s="4">
        <v>521</v>
      </c>
      <c r="Z5090" s="4">
        <v>31</v>
      </c>
      <c r="AA5090" s="4">
        <v>109</v>
      </c>
      <c r="AB5090" s="4">
        <v>4</v>
      </c>
      <c r="AC5090" s="4">
        <v>18</v>
      </c>
      <c r="AD5090" s="4">
        <v>90</v>
      </c>
      <c r="AE5090" s="4">
        <v>160</v>
      </c>
      <c r="AF5090" s="4">
        <v>2</v>
      </c>
      <c r="AG5090" s="4">
        <v>8</v>
      </c>
      <c r="AH5090" s="4">
        <v>73</v>
      </c>
      <c r="AI5090" s="4">
        <v>112</v>
      </c>
      <c r="AJ5090" s="4">
        <v>15</v>
      </c>
      <c r="AK5090" s="4">
        <v>27</v>
      </c>
      <c r="AL5090" s="4">
        <v>40</v>
      </c>
      <c r="AM5090" s="4">
        <v>60</v>
      </c>
      <c r="AN5090" s="4">
        <v>5</v>
      </c>
      <c r="AO5090" s="4">
        <v>5</v>
      </c>
      <c r="AP5090" s="4">
        <v>24</v>
      </c>
      <c r="AQ5090" s="4">
        <v>57</v>
      </c>
      <c r="AR5090" s="3" t="s">
        <v>62</v>
      </c>
      <c r="AS5090" s="3" t="s">
        <v>62</v>
      </c>
      <c r="AT5090" s="3" t="s">
        <v>61</v>
      </c>
      <c r="AU5090" s="6" t="str">
        <f>HYPERLINK("http://catalog.hathitrust.org/Record/000009786","HathiTrust Record")</f>
        <v>HathiTrust Record</v>
      </c>
      <c r="AV5090" s="6" t="str">
        <f>HYPERLINK("http://mcgill.on.worldcat.org/oclc/694381","Catalog Record")</f>
        <v>Catalog Record</v>
      </c>
      <c r="AW5090" s="6" t="str">
        <f>HYPERLINK("http://www.worldcat.org/oclc/694381","WorldCat Record")</f>
        <v>WorldCat Record</v>
      </c>
      <c r="AX5090" s="3" t="s">
        <v>48785</v>
      </c>
      <c r="AY5090" s="3" t="s">
        <v>48786</v>
      </c>
      <c r="AZ5090" s="3" t="s">
        <v>48787</v>
      </c>
      <c r="BA5090" s="3" t="s">
        <v>48787</v>
      </c>
      <c r="BB5090" s="3" t="s">
        <v>48791</v>
      </c>
      <c r="BC5090" s="3" t="s">
        <v>142</v>
      </c>
      <c r="BD5090" s="3" t="s">
        <v>308</v>
      </c>
      <c r="BE5090" s="3" t="s">
        <v>48789</v>
      </c>
      <c r="BF5090" s="3" t="s">
        <v>48791</v>
      </c>
      <c r="BG5090" s="3" t="s">
        <v>48792</v>
      </c>
    </row>
    <row r="5091" spans="1:59" ht="57" x14ac:dyDescent="0.45">
      <c r="A5091" s="2" t="s">
        <v>59</v>
      </c>
      <c r="B5091" s="2" t="s">
        <v>412</v>
      </c>
      <c r="C5091" s="2" t="s">
        <v>48793</v>
      </c>
      <c r="D5091" s="2" t="s">
        <v>48794</v>
      </c>
      <c r="E5091" s="2" t="s">
        <v>48795</v>
      </c>
      <c r="G5091" s="3" t="s">
        <v>62</v>
      </c>
      <c r="I5091" s="3" t="s">
        <v>61</v>
      </c>
      <c r="J5091" s="3" t="s">
        <v>61</v>
      </c>
      <c r="K5091" s="3" t="s">
        <v>63</v>
      </c>
      <c r="L5091" s="2" t="s">
        <v>48796</v>
      </c>
      <c r="M5091" s="2" t="s">
        <v>48797</v>
      </c>
      <c r="N5091" s="3" t="s">
        <v>495</v>
      </c>
      <c r="P5091" s="3" t="s">
        <v>65</v>
      </c>
      <c r="R5091" s="3" t="s">
        <v>66</v>
      </c>
      <c r="S5091" s="4">
        <v>6</v>
      </c>
      <c r="T5091" s="4">
        <v>18</v>
      </c>
      <c r="U5091" s="5" t="s">
        <v>1268</v>
      </c>
      <c r="V5091" s="5" t="s">
        <v>1268</v>
      </c>
      <c r="W5091" s="5" t="s">
        <v>67</v>
      </c>
      <c r="X5091" s="5" t="s">
        <v>67</v>
      </c>
      <c r="Y5091" s="4">
        <v>438</v>
      </c>
      <c r="Z5091" s="4">
        <v>29</v>
      </c>
      <c r="AA5091" s="4">
        <v>69</v>
      </c>
      <c r="AB5091" s="4">
        <v>2</v>
      </c>
      <c r="AC5091" s="4">
        <v>11</v>
      </c>
      <c r="AD5091" s="4">
        <v>93</v>
      </c>
      <c r="AE5091" s="4">
        <v>136</v>
      </c>
      <c r="AF5091" s="4">
        <v>1</v>
      </c>
      <c r="AG5091" s="4">
        <v>5</v>
      </c>
      <c r="AH5091" s="4">
        <v>75</v>
      </c>
      <c r="AI5091" s="4">
        <v>104</v>
      </c>
      <c r="AJ5091" s="4">
        <v>15</v>
      </c>
      <c r="AK5091" s="4">
        <v>24</v>
      </c>
      <c r="AL5091" s="4">
        <v>43</v>
      </c>
      <c r="AM5091" s="4">
        <v>58</v>
      </c>
      <c r="AN5091" s="4">
        <v>0</v>
      </c>
      <c r="AO5091" s="4">
        <v>2</v>
      </c>
      <c r="AP5091" s="4">
        <v>23</v>
      </c>
      <c r="AQ5091" s="4">
        <v>39</v>
      </c>
      <c r="AR5091" s="3" t="s">
        <v>62</v>
      </c>
      <c r="AS5091" s="3" t="s">
        <v>62</v>
      </c>
      <c r="AT5091" s="3" t="s">
        <v>61</v>
      </c>
      <c r="AU5091" s="6" t="str">
        <f>HYPERLINK("http://catalog.hathitrust.org/Record/002302382","HathiTrust Record")</f>
        <v>HathiTrust Record</v>
      </c>
      <c r="AV5091" s="6" t="str">
        <f>HYPERLINK("http://mcgill.on.worldcat.org/oclc/1583693","Catalog Record")</f>
        <v>Catalog Record</v>
      </c>
      <c r="AW5091" s="6" t="str">
        <f>HYPERLINK("http://www.worldcat.org/oclc/1583693","WorldCat Record")</f>
        <v>WorldCat Record</v>
      </c>
      <c r="AX5091" s="3" t="s">
        <v>48798</v>
      </c>
      <c r="AY5091" s="3" t="s">
        <v>48799</v>
      </c>
      <c r="AZ5091" s="3" t="s">
        <v>48800</v>
      </c>
      <c r="BA5091" s="3" t="s">
        <v>48800</v>
      </c>
      <c r="BB5091" s="3" t="s">
        <v>48801</v>
      </c>
      <c r="BC5091" s="3" t="s">
        <v>142</v>
      </c>
      <c r="BD5091" s="3" t="s">
        <v>68</v>
      </c>
      <c r="BE5091" s="3" t="s">
        <v>48802</v>
      </c>
      <c r="BF5091" s="3" t="s">
        <v>48801</v>
      </c>
      <c r="BG5091" s="3" t="s">
        <v>48803</v>
      </c>
    </row>
    <row r="5092" spans="1:59" ht="57" x14ac:dyDescent="0.45">
      <c r="A5092" s="2" t="s">
        <v>59</v>
      </c>
      <c r="B5092" s="2" t="s">
        <v>60</v>
      </c>
      <c r="C5092" s="2" t="s">
        <v>48793</v>
      </c>
      <c r="D5092" s="2" t="s">
        <v>48794</v>
      </c>
      <c r="E5092" s="2" t="s">
        <v>48795</v>
      </c>
      <c r="G5092" s="3" t="s">
        <v>62</v>
      </c>
      <c r="I5092" s="3" t="s">
        <v>61</v>
      </c>
      <c r="J5092" s="3" t="s">
        <v>61</v>
      </c>
      <c r="K5092" s="3" t="s">
        <v>63</v>
      </c>
      <c r="L5092" s="2" t="s">
        <v>48796</v>
      </c>
      <c r="M5092" s="2" t="s">
        <v>48797</v>
      </c>
      <c r="N5092" s="3" t="s">
        <v>495</v>
      </c>
      <c r="P5092" s="3" t="s">
        <v>65</v>
      </c>
      <c r="R5092" s="3" t="s">
        <v>66</v>
      </c>
      <c r="S5092" s="4">
        <v>12</v>
      </c>
      <c r="T5092" s="4">
        <v>18</v>
      </c>
      <c r="U5092" s="5" t="s">
        <v>48804</v>
      </c>
      <c r="V5092" s="5" t="s">
        <v>1268</v>
      </c>
      <c r="W5092" s="5" t="s">
        <v>67</v>
      </c>
      <c r="X5092" s="5" t="s">
        <v>67</v>
      </c>
      <c r="Y5092" s="4">
        <v>438</v>
      </c>
      <c r="Z5092" s="4">
        <v>29</v>
      </c>
      <c r="AA5092" s="4">
        <v>69</v>
      </c>
      <c r="AB5092" s="4">
        <v>2</v>
      </c>
      <c r="AC5092" s="4">
        <v>11</v>
      </c>
      <c r="AD5092" s="4">
        <v>93</v>
      </c>
      <c r="AE5092" s="4">
        <v>136</v>
      </c>
      <c r="AF5092" s="4">
        <v>1</v>
      </c>
      <c r="AG5092" s="4">
        <v>5</v>
      </c>
      <c r="AH5092" s="4">
        <v>75</v>
      </c>
      <c r="AI5092" s="4">
        <v>104</v>
      </c>
      <c r="AJ5092" s="4">
        <v>15</v>
      </c>
      <c r="AK5092" s="4">
        <v>24</v>
      </c>
      <c r="AL5092" s="4">
        <v>43</v>
      </c>
      <c r="AM5092" s="4">
        <v>58</v>
      </c>
      <c r="AN5092" s="4">
        <v>0</v>
      </c>
      <c r="AO5092" s="4">
        <v>2</v>
      </c>
      <c r="AP5092" s="4">
        <v>23</v>
      </c>
      <c r="AQ5092" s="4">
        <v>39</v>
      </c>
      <c r="AR5092" s="3" t="s">
        <v>62</v>
      </c>
      <c r="AS5092" s="3" t="s">
        <v>62</v>
      </c>
      <c r="AT5092" s="3" t="s">
        <v>61</v>
      </c>
      <c r="AU5092" s="6" t="str">
        <f>HYPERLINK("http://catalog.hathitrust.org/Record/002302382","HathiTrust Record")</f>
        <v>HathiTrust Record</v>
      </c>
      <c r="AV5092" s="6" t="str">
        <f>HYPERLINK("http://mcgill.on.worldcat.org/oclc/1583693","Catalog Record")</f>
        <v>Catalog Record</v>
      </c>
      <c r="AW5092" s="6" t="str">
        <f>HYPERLINK("http://www.worldcat.org/oclc/1583693","WorldCat Record")</f>
        <v>WorldCat Record</v>
      </c>
      <c r="AX5092" s="3" t="s">
        <v>48798</v>
      </c>
      <c r="AY5092" s="3" t="s">
        <v>48799</v>
      </c>
      <c r="AZ5092" s="3" t="s">
        <v>48800</v>
      </c>
      <c r="BA5092" s="3" t="s">
        <v>48800</v>
      </c>
      <c r="BB5092" s="3" t="s">
        <v>48805</v>
      </c>
      <c r="BC5092" s="3" t="s">
        <v>142</v>
      </c>
      <c r="BD5092" s="3" t="s">
        <v>68</v>
      </c>
      <c r="BE5092" s="3" t="s">
        <v>48802</v>
      </c>
      <c r="BF5092" s="3" t="s">
        <v>48805</v>
      </c>
      <c r="BG5092" s="3" t="s">
        <v>48806</v>
      </c>
    </row>
    <row r="5093" spans="1:59" ht="57" x14ac:dyDescent="0.45">
      <c r="A5093" s="2" t="s">
        <v>59</v>
      </c>
      <c r="B5093" s="2" t="s">
        <v>60</v>
      </c>
      <c r="C5093" s="2" t="s">
        <v>48807</v>
      </c>
      <c r="D5093" s="2" t="s">
        <v>48808</v>
      </c>
      <c r="E5093" s="2" t="s">
        <v>48795</v>
      </c>
      <c r="G5093" s="3" t="s">
        <v>62</v>
      </c>
      <c r="I5093" s="3" t="s">
        <v>61</v>
      </c>
      <c r="J5093" s="3" t="s">
        <v>61</v>
      </c>
      <c r="K5093" s="3" t="s">
        <v>63</v>
      </c>
      <c r="L5093" s="2" t="s">
        <v>48796</v>
      </c>
      <c r="M5093" s="2" t="s">
        <v>48809</v>
      </c>
      <c r="N5093" s="3" t="s">
        <v>157</v>
      </c>
      <c r="O5093" s="2" t="s">
        <v>933</v>
      </c>
      <c r="P5093" s="3" t="s">
        <v>65</v>
      </c>
      <c r="R5093" s="3" t="s">
        <v>66</v>
      </c>
      <c r="S5093" s="4">
        <v>24</v>
      </c>
      <c r="T5093" s="4">
        <v>69</v>
      </c>
      <c r="U5093" s="5" t="s">
        <v>48075</v>
      </c>
      <c r="V5093" s="5" t="s">
        <v>48075</v>
      </c>
      <c r="W5093" s="5" t="s">
        <v>67</v>
      </c>
      <c r="X5093" s="5" t="s">
        <v>67</v>
      </c>
      <c r="Y5093" s="4">
        <v>378</v>
      </c>
      <c r="Z5093" s="4">
        <v>24</v>
      </c>
      <c r="AA5093" s="4">
        <v>69</v>
      </c>
      <c r="AB5093" s="4">
        <v>3</v>
      </c>
      <c r="AC5093" s="4">
        <v>11</v>
      </c>
      <c r="AD5093" s="4">
        <v>69</v>
      </c>
      <c r="AE5093" s="4">
        <v>136</v>
      </c>
      <c r="AF5093" s="4">
        <v>1</v>
      </c>
      <c r="AG5093" s="4">
        <v>5</v>
      </c>
      <c r="AH5093" s="4">
        <v>60</v>
      </c>
      <c r="AI5093" s="4">
        <v>104</v>
      </c>
      <c r="AJ5093" s="4">
        <v>12</v>
      </c>
      <c r="AK5093" s="4">
        <v>24</v>
      </c>
      <c r="AL5093" s="4">
        <v>38</v>
      </c>
      <c r="AM5093" s="4">
        <v>58</v>
      </c>
      <c r="AN5093" s="4">
        <v>0</v>
      </c>
      <c r="AO5093" s="4">
        <v>2</v>
      </c>
      <c r="AP5093" s="4">
        <v>12</v>
      </c>
      <c r="AQ5093" s="4">
        <v>39</v>
      </c>
      <c r="AR5093" s="3" t="s">
        <v>62</v>
      </c>
      <c r="AS5093" s="3" t="s">
        <v>62</v>
      </c>
      <c r="AT5093" s="3" t="s">
        <v>61</v>
      </c>
      <c r="AU5093" s="6" t="str">
        <f>HYPERLINK("http://catalog.hathitrust.org/Record/000423174","HathiTrust Record")</f>
        <v>HathiTrust Record</v>
      </c>
      <c r="AV5093" s="6" t="str">
        <f>HYPERLINK("http://mcgill.on.worldcat.org/oclc/8247885","Catalog Record")</f>
        <v>Catalog Record</v>
      </c>
      <c r="AW5093" s="6" t="str">
        <f>HYPERLINK("http://www.worldcat.org/oclc/8247885","WorldCat Record")</f>
        <v>WorldCat Record</v>
      </c>
      <c r="AX5093" s="3" t="s">
        <v>48798</v>
      </c>
      <c r="AY5093" s="3" t="s">
        <v>48810</v>
      </c>
      <c r="AZ5093" s="3" t="s">
        <v>48811</v>
      </c>
      <c r="BA5093" s="3" t="s">
        <v>48811</v>
      </c>
      <c r="BB5093" s="3" t="s">
        <v>48812</v>
      </c>
      <c r="BC5093" s="3" t="s">
        <v>142</v>
      </c>
      <c r="BD5093" s="3" t="s">
        <v>68</v>
      </c>
      <c r="BE5093" s="3" t="s">
        <v>48813</v>
      </c>
      <c r="BF5093" s="3" t="s">
        <v>48812</v>
      </c>
      <c r="BG5093" s="3" t="s">
        <v>48814</v>
      </c>
    </row>
    <row r="5094" spans="1:59" ht="57" x14ac:dyDescent="0.45">
      <c r="A5094" s="2" t="s">
        <v>59</v>
      </c>
      <c r="B5094" s="2" t="s">
        <v>60</v>
      </c>
      <c r="C5094" s="2" t="s">
        <v>48807</v>
      </c>
      <c r="D5094" s="2" t="s">
        <v>48808</v>
      </c>
      <c r="E5094" s="2" t="s">
        <v>48795</v>
      </c>
      <c r="G5094" s="3" t="s">
        <v>62</v>
      </c>
      <c r="I5094" s="3" t="s">
        <v>61</v>
      </c>
      <c r="J5094" s="3" t="s">
        <v>61</v>
      </c>
      <c r="K5094" s="3" t="s">
        <v>63</v>
      </c>
      <c r="L5094" s="2" t="s">
        <v>48796</v>
      </c>
      <c r="M5094" s="2" t="s">
        <v>48809</v>
      </c>
      <c r="N5094" s="3" t="s">
        <v>157</v>
      </c>
      <c r="O5094" s="2" t="s">
        <v>933</v>
      </c>
      <c r="P5094" s="3" t="s">
        <v>65</v>
      </c>
      <c r="R5094" s="3" t="s">
        <v>66</v>
      </c>
      <c r="S5094" s="4">
        <v>45</v>
      </c>
      <c r="T5094" s="4">
        <v>69</v>
      </c>
      <c r="U5094" s="5" t="s">
        <v>14414</v>
      </c>
      <c r="V5094" s="5" t="s">
        <v>48075</v>
      </c>
      <c r="W5094" s="5" t="s">
        <v>67</v>
      </c>
      <c r="X5094" s="5" t="s">
        <v>67</v>
      </c>
      <c r="Y5094" s="4">
        <v>378</v>
      </c>
      <c r="Z5094" s="4">
        <v>24</v>
      </c>
      <c r="AA5094" s="4">
        <v>69</v>
      </c>
      <c r="AB5094" s="4">
        <v>3</v>
      </c>
      <c r="AC5094" s="4">
        <v>11</v>
      </c>
      <c r="AD5094" s="4">
        <v>69</v>
      </c>
      <c r="AE5094" s="4">
        <v>136</v>
      </c>
      <c r="AF5094" s="4">
        <v>1</v>
      </c>
      <c r="AG5094" s="4">
        <v>5</v>
      </c>
      <c r="AH5094" s="4">
        <v>60</v>
      </c>
      <c r="AI5094" s="4">
        <v>104</v>
      </c>
      <c r="AJ5094" s="4">
        <v>12</v>
      </c>
      <c r="AK5094" s="4">
        <v>24</v>
      </c>
      <c r="AL5094" s="4">
        <v>38</v>
      </c>
      <c r="AM5094" s="4">
        <v>58</v>
      </c>
      <c r="AN5094" s="4">
        <v>0</v>
      </c>
      <c r="AO5094" s="4">
        <v>2</v>
      </c>
      <c r="AP5094" s="4">
        <v>12</v>
      </c>
      <c r="AQ5094" s="4">
        <v>39</v>
      </c>
      <c r="AR5094" s="3" t="s">
        <v>62</v>
      </c>
      <c r="AS5094" s="3" t="s">
        <v>62</v>
      </c>
      <c r="AT5094" s="3" t="s">
        <v>61</v>
      </c>
      <c r="AU5094" s="6" t="str">
        <f>HYPERLINK("http://catalog.hathitrust.org/Record/000423174","HathiTrust Record")</f>
        <v>HathiTrust Record</v>
      </c>
      <c r="AV5094" s="6" t="str">
        <f>HYPERLINK("http://mcgill.on.worldcat.org/oclc/8247885","Catalog Record")</f>
        <v>Catalog Record</v>
      </c>
      <c r="AW5094" s="6" t="str">
        <f>HYPERLINK("http://www.worldcat.org/oclc/8247885","WorldCat Record")</f>
        <v>WorldCat Record</v>
      </c>
      <c r="AX5094" s="3" t="s">
        <v>48798</v>
      </c>
      <c r="AY5094" s="3" t="s">
        <v>48810</v>
      </c>
      <c r="AZ5094" s="3" t="s">
        <v>48811</v>
      </c>
      <c r="BA5094" s="3" t="s">
        <v>48811</v>
      </c>
      <c r="BB5094" s="3" t="s">
        <v>48815</v>
      </c>
      <c r="BC5094" s="3" t="s">
        <v>142</v>
      </c>
      <c r="BD5094" s="3" t="s">
        <v>68</v>
      </c>
      <c r="BE5094" s="3" t="s">
        <v>48813</v>
      </c>
      <c r="BF5094" s="3" t="s">
        <v>48815</v>
      </c>
      <c r="BG5094" s="3" t="s">
        <v>48816</v>
      </c>
    </row>
    <row r="5095" spans="1:59" ht="57" x14ac:dyDescent="0.45">
      <c r="A5095" s="2" t="s">
        <v>59</v>
      </c>
      <c r="B5095" s="2" t="s">
        <v>60</v>
      </c>
      <c r="C5095" s="2" t="s">
        <v>48817</v>
      </c>
      <c r="D5095" s="2" t="s">
        <v>48818</v>
      </c>
      <c r="E5095" s="2" t="s">
        <v>48795</v>
      </c>
      <c r="G5095" s="3" t="s">
        <v>62</v>
      </c>
      <c r="I5095" s="3" t="s">
        <v>61</v>
      </c>
      <c r="J5095" s="3" t="s">
        <v>61</v>
      </c>
      <c r="K5095" s="3" t="s">
        <v>63</v>
      </c>
      <c r="L5095" s="2" t="s">
        <v>48796</v>
      </c>
      <c r="M5095" s="2" t="s">
        <v>31552</v>
      </c>
      <c r="N5095" s="3" t="s">
        <v>195</v>
      </c>
      <c r="O5095" s="2" t="s">
        <v>906</v>
      </c>
      <c r="P5095" s="3" t="s">
        <v>65</v>
      </c>
      <c r="R5095" s="3" t="s">
        <v>66</v>
      </c>
      <c r="S5095" s="4">
        <v>16</v>
      </c>
      <c r="T5095" s="4">
        <v>67</v>
      </c>
      <c r="U5095" s="5" t="s">
        <v>6177</v>
      </c>
      <c r="V5095" s="5" t="s">
        <v>6177</v>
      </c>
      <c r="W5095" s="5" t="s">
        <v>67</v>
      </c>
      <c r="X5095" s="5" t="s">
        <v>67</v>
      </c>
      <c r="Y5095" s="4">
        <v>267</v>
      </c>
      <c r="Z5095" s="4">
        <v>14</v>
      </c>
      <c r="AA5095" s="4">
        <v>69</v>
      </c>
      <c r="AB5095" s="4">
        <v>1</v>
      </c>
      <c r="AC5095" s="4">
        <v>11</v>
      </c>
      <c r="AD5095" s="4">
        <v>52</v>
      </c>
      <c r="AE5095" s="4">
        <v>136</v>
      </c>
      <c r="AF5095" s="4">
        <v>0</v>
      </c>
      <c r="AG5095" s="4">
        <v>5</v>
      </c>
      <c r="AH5095" s="4">
        <v>46</v>
      </c>
      <c r="AI5095" s="4">
        <v>104</v>
      </c>
      <c r="AJ5095" s="4">
        <v>7</v>
      </c>
      <c r="AK5095" s="4">
        <v>24</v>
      </c>
      <c r="AL5095" s="4">
        <v>28</v>
      </c>
      <c r="AM5095" s="4">
        <v>58</v>
      </c>
      <c r="AN5095" s="4">
        <v>2</v>
      </c>
      <c r="AO5095" s="4">
        <v>2</v>
      </c>
      <c r="AP5095" s="4">
        <v>11</v>
      </c>
      <c r="AQ5095" s="4">
        <v>39</v>
      </c>
      <c r="AR5095" s="3" t="s">
        <v>62</v>
      </c>
      <c r="AS5095" s="3" t="s">
        <v>62</v>
      </c>
      <c r="AT5095" s="3" t="s">
        <v>61</v>
      </c>
      <c r="AU5095" s="6" t="str">
        <f>HYPERLINK("http://catalog.hathitrust.org/Record/002959603","HathiTrust Record")</f>
        <v>HathiTrust Record</v>
      </c>
      <c r="AV5095" s="6" t="str">
        <f>HYPERLINK("http://mcgill.on.worldcat.org/oclc/26828883","Catalog Record")</f>
        <v>Catalog Record</v>
      </c>
      <c r="AW5095" s="6" t="str">
        <f>HYPERLINK("http://www.worldcat.org/oclc/26828883","WorldCat Record")</f>
        <v>WorldCat Record</v>
      </c>
      <c r="AX5095" s="3" t="s">
        <v>48798</v>
      </c>
      <c r="AY5095" s="3" t="s">
        <v>48819</v>
      </c>
      <c r="AZ5095" s="3" t="s">
        <v>48820</v>
      </c>
      <c r="BA5095" s="3" t="s">
        <v>48820</v>
      </c>
      <c r="BB5095" s="3" t="s">
        <v>48821</v>
      </c>
      <c r="BC5095" s="3" t="s">
        <v>142</v>
      </c>
      <c r="BD5095" s="3" t="s">
        <v>68</v>
      </c>
      <c r="BE5095" s="3" t="s">
        <v>48822</v>
      </c>
      <c r="BF5095" s="3" t="s">
        <v>48821</v>
      </c>
      <c r="BG5095" s="3" t="s">
        <v>48823</v>
      </c>
    </row>
    <row r="5096" spans="1:59" ht="57" x14ac:dyDescent="0.45">
      <c r="A5096" s="2" t="s">
        <v>59</v>
      </c>
      <c r="B5096" s="2" t="s">
        <v>60</v>
      </c>
      <c r="C5096" s="2" t="s">
        <v>48817</v>
      </c>
      <c r="D5096" s="2" t="s">
        <v>48818</v>
      </c>
      <c r="E5096" s="2" t="s">
        <v>48795</v>
      </c>
      <c r="G5096" s="3" t="s">
        <v>62</v>
      </c>
      <c r="I5096" s="3" t="s">
        <v>61</v>
      </c>
      <c r="J5096" s="3" t="s">
        <v>61</v>
      </c>
      <c r="K5096" s="3" t="s">
        <v>63</v>
      </c>
      <c r="L5096" s="2" t="s">
        <v>48796</v>
      </c>
      <c r="M5096" s="2" t="s">
        <v>31552</v>
      </c>
      <c r="N5096" s="3" t="s">
        <v>195</v>
      </c>
      <c r="O5096" s="2" t="s">
        <v>906</v>
      </c>
      <c r="P5096" s="3" t="s">
        <v>65</v>
      </c>
      <c r="R5096" s="3" t="s">
        <v>66</v>
      </c>
      <c r="S5096" s="4">
        <v>51</v>
      </c>
      <c r="T5096" s="4">
        <v>67</v>
      </c>
      <c r="U5096" s="5" t="s">
        <v>18136</v>
      </c>
      <c r="V5096" s="5" t="s">
        <v>6177</v>
      </c>
      <c r="W5096" s="5" t="s">
        <v>67</v>
      </c>
      <c r="X5096" s="5" t="s">
        <v>67</v>
      </c>
      <c r="Y5096" s="4">
        <v>267</v>
      </c>
      <c r="Z5096" s="4">
        <v>14</v>
      </c>
      <c r="AA5096" s="4">
        <v>69</v>
      </c>
      <c r="AB5096" s="4">
        <v>1</v>
      </c>
      <c r="AC5096" s="4">
        <v>11</v>
      </c>
      <c r="AD5096" s="4">
        <v>52</v>
      </c>
      <c r="AE5096" s="4">
        <v>136</v>
      </c>
      <c r="AF5096" s="4">
        <v>0</v>
      </c>
      <c r="AG5096" s="4">
        <v>5</v>
      </c>
      <c r="AH5096" s="4">
        <v>46</v>
      </c>
      <c r="AI5096" s="4">
        <v>104</v>
      </c>
      <c r="AJ5096" s="4">
        <v>7</v>
      </c>
      <c r="AK5096" s="4">
        <v>24</v>
      </c>
      <c r="AL5096" s="4">
        <v>28</v>
      </c>
      <c r="AM5096" s="4">
        <v>58</v>
      </c>
      <c r="AN5096" s="4">
        <v>2</v>
      </c>
      <c r="AO5096" s="4">
        <v>2</v>
      </c>
      <c r="AP5096" s="4">
        <v>11</v>
      </c>
      <c r="AQ5096" s="4">
        <v>39</v>
      </c>
      <c r="AR5096" s="3" t="s">
        <v>62</v>
      </c>
      <c r="AS5096" s="3" t="s">
        <v>62</v>
      </c>
      <c r="AT5096" s="3" t="s">
        <v>61</v>
      </c>
      <c r="AU5096" s="6" t="str">
        <f>HYPERLINK("http://catalog.hathitrust.org/Record/002959603","HathiTrust Record")</f>
        <v>HathiTrust Record</v>
      </c>
      <c r="AV5096" s="6" t="str">
        <f>HYPERLINK("http://mcgill.on.worldcat.org/oclc/26828883","Catalog Record")</f>
        <v>Catalog Record</v>
      </c>
      <c r="AW5096" s="6" t="str">
        <f>HYPERLINK("http://www.worldcat.org/oclc/26828883","WorldCat Record")</f>
        <v>WorldCat Record</v>
      </c>
      <c r="AX5096" s="3" t="s">
        <v>48798</v>
      </c>
      <c r="AY5096" s="3" t="s">
        <v>48819</v>
      </c>
      <c r="AZ5096" s="3" t="s">
        <v>48820</v>
      </c>
      <c r="BA5096" s="3" t="s">
        <v>48820</v>
      </c>
      <c r="BB5096" s="3" t="s">
        <v>48824</v>
      </c>
      <c r="BC5096" s="3" t="s">
        <v>142</v>
      </c>
      <c r="BD5096" s="3" t="s">
        <v>308</v>
      </c>
      <c r="BE5096" s="3" t="s">
        <v>48822</v>
      </c>
      <c r="BF5096" s="3" t="s">
        <v>48824</v>
      </c>
      <c r="BG5096" s="3" t="s">
        <v>48825</v>
      </c>
    </row>
    <row r="5097" spans="1:59" ht="57" x14ac:dyDescent="0.45">
      <c r="A5097" s="2" t="s">
        <v>59</v>
      </c>
      <c r="B5097" s="2" t="s">
        <v>60</v>
      </c>
      <c r="C5097" s="2" t="s">
        <v>48826</v>
      </c>
      <c r="D5097" s="2" t="s">
        <v>48827</v>
      </c>
      <c r="E5097" s="2" t="s">
        <v>48795</v>
      </c>
      <c r="G5097" s="3" t="s">
        <v>62</v>
      </c>
      <c r="I5097" s="3" t="s">
        <v>61</v>
      </c>
      <c r="J5097" s="3" t="s">
        <v>61</v>
      </c>
      <c r="K5097" s="3" t="s">
        <v>63</v>
      </c>
      <c r="L5097" s="2" t="s">
        <v>48828</v>
      </c>
      <c r="M5097" s="2" t="s">
        <v>48829</v>
      </c>
      <c r="N5097" s="3" t="s">
        <v>542</v>
      </c>
      <c r="O5097" s="2" t="s">
        <v>10907</v>
      </c>
      <c r="P5097" s="3" t="s">
        <v>65</v>
      </c>
      <c r="R5097" s="3" t="s">
        <v>66</v>
      </c>
      <c r="S5097" s="4">
        <v>33</v>
      </c>
      <c r="T5097" s="4">
        <v>74</v>
      </c>
      <c r="U5097" s="5" t="s">
        <v>3533</v>
      </c>
      <c r="V5097" s="5" t="s">
        <v>3533</v>
      </c>
      <c r="W5097" s="5" t="s">
        <v>67</v>
      </c>
      <c r="X5097" s="5" t="s">
        <v>67</v>
      </c>
      <c r="Y5097" s="4">
        <v>137</v>
      </c>
      <c r="Z5097" s="4">
        <v>12</v>
      </c>
      <c r="AA5097" s="4">
        <v>69</v>
      </c>
      <c r="AB5097" s="4">
        <v>2</v>
      </c>
      <c r="AC5097" s="4">
        <v>11</v>
      </c>
      <c r="AD5097" s="4">
        <v>35</v>
      </c>
      <c r="AE5097" s="4">
        <v>136</v>
      </c>
      <c r="AF5097" s="4">
        <v>1</v>
      </c>
      <c r="AG5097" s="4">
        <v>5</v>
      </c>
      <c r="AH5097" s="4">
        <v>29</v>
      </c>
      <c r="AI5097" s="4">
        <v>104</v>
      </c>
      <c r="AJ5097" s="4">
        <v>8</v>
      </c>
      <c r="AK5097" s="4">
        <v>24</v>
      </c>
      <c r="AL5097" s="4">
        <v>18</v>
      </c>
      <c r="AM5097" s="4">
        <v>58</v>
      </c>
      <c r="AN5097" s="4">
        <v>0</v>
      </c>
      <c r="AO5097" s="4">
        <v>2</v>
      </c>
      <c r="AP5097" s="4">
        <v>9</v>
      </c>
      <c r="AQ5097" s="4">
        <v>39</v>
      </c>
      <c r="AR5097" s="3" t="s">
        <v>62</v>
      </c>
      <c r="AS5097" s="3" t="s">
        <v>62</v>
      </c>
      <c r="AT5097" s="3" t="s">
        <v>61</v>
      </c>
      <c r="AU5097" s="6" t="str">
        <f>HYPERLINK("http://catalog.hathitrust.org/Record/007139874","HathiTrust Record")</f>
        <v>HathiTrust Record</v>
      </c>
      <c r="AV5097" s="6" t="str">
        <f>HYPERLINK("http://mcgill.on.worldcat.org/oclc/44914377","Catalog Record")</f>
        <v>Catalog Record</v>
      </c>
      <c r="AW5097" s="6" t="str">
        <f>HYPERLINK("http://www.worldcat.org/oclc/44914377","WorldCat Record")</f>
        <v>WorldCat Record</v>
      </c>
      <c r="AX5097" s="3" t="s">
        <v>48798</v>
      </c>
      <c r="AY5097" s="3" t="s">
        <v>48830</v>
      </c>
      <c r="AZ5097" s="3" t="s">
        <v>48831</v>
      </c>
      <c r="BA5097" s="3" t="s">
        <v>48831</v>
      </c>
      <c r="BB5097" s="3" t="s">
        <v>48832</v>
      </c>
      <c r="BC5097" s="3" t="s">
        <v>142</v>
      </c>
      <c r="BD5097" s="3" t="s">
        <v>68</v>
      </c>
      <c r="BE5097" s="3" t="s">
        <v>48833</v>
      </c>
      <c r="BF5097" s="3" t="s">
        <v>48832</v>
      </c>
      <c r="BG5097" s="3" t="s">
        <v>48834</v>
      </c>
    </row>
    <row r="5098" spans="1:59" ht="57" x14ac:dyDescent="0.45">
      <c r="A5098" s="2" t="s">
        <v>59</v>
      </c>
      <c r="B5098" s="2" t="s">
        <v>60</v>
      </c>
      <c r="C5098" s="2" t="s">
        <v>48826</v>
      </c>
      <c r="D5098" s="2" t="s">
        <v>48827</v>
      </c>
      <c r="E5098" s="2" t="s">
        <v>48795</v>
      </c>
      <c r="G5098" s="3" t="s">
        <v>62</v>
      </c>
      <c r="I5098" s="3" t="s">
        <v>61</v>
      </c>
      <c r="J5098" s="3" t="s">
        <v>61</v>
      </c>
      <c r="K5098" s="3" t="s">
        <v>63</v>
      </c>
      <c r="L5098" s="2" t="s">
        <v>48828</v>
      </c>
      <c r="M5098" s="2" t="s">
        <v>48829</v>
      </c>
      <c r="N5098" s="3" t="s">
        <v>542</v>
      </c>
      <c r="O5098" s="2" t="s">
        <v>10907</v>
      </c>
      <c r="P5098" s="3" t="s">
        <v>65</v>
      </c>
      <c r="R5098" s="3" t="s">
        <v>66</v>
      </c>
      <c r="S5098" s="4">
        <v>41</v>
      </c>
      <c r="T5098" s="4">
        <v>74</v>
      </c>
      <c r="U5098" s="5" t="s">
        <v>3533</v>
      </c>
      <c r="V5098" s="5" t="s">
        <v>3533</v>
      </c>
      <c r="W5098" s="5" t="s">
        <v>67</v>
      </c>
      <c r="X5098" s="5" t="s">
        <v>67</v>
      </c>
      <c r="Y5098" s="4">
        <v>137</v>
      </c>
      <c r="Z5098" s="4">
        <v>12</v>
      </c>
      <c r="AA5098" s="4">
        <v>69</v>
      </c>
      <c r="AB5098" s="4">
        <v>2</v>
      </c>
      <c r="AC5098" s="4">
        <v>11</v>
      </c>
      <c r="AD5098" s="4">
        <v>35</v>
      </c>
      <c r="AE5098" s="4">
        <v>136</v>
      </c>
      <c r="AF5098" s="4">
        <v>1</v>
      </c>
      <c r="AG5098" s="4">
        <v>5</v>
      </c>
      <c r="AH5098" s="4">
        <v>29</v>
      </c>
      <c r="AI5098" s="4">
        <v>104</v>
      </c>
      <c r="AJ5098" s="4">
        <v>8</v>
      </c>
      <c r="AK5098" s="4">
        <v>24</v>
      </c>
      <c r="AL5098" s="4">
        <v>18</v>
      </c>
      <c r="AM5098" s="4">
        <v>58</v>
      </c>
      <c r="AN5098" s="4">
        <v>0</v>
      </c>
      <c r="AO5098" s="4">
        <v>2</v>
      </c>
      <c r="AP5098" s="4">
        <v>9</v>
      </c>
      <c r="AQ5098" s="4">
        <v>39</v>
      </c>
      <c r="AR5098" s="3" t="s">
        <v>62</v>
      </c>
      <c r="AS5098" s="3" t="s">
        <v>62</v>
      </c>
      <c r="AT5098" s="3" t="s">
        <v>61</v>
      </c>
      <c r="AU5098" s="6" t="str">
        <f>HYPERLINK("http://catalog.hathitrust.org/Record/007139874","HathiTrust Record")</f>
        <v>HathiTrust Record</v>
      </c>
      <c r="AV5098" s="6" t="str">
        <f>HYPERLINK("http://mcgill.on.worldcat.org/oclc/44914377","Catalog Record")</f>
        <v>Catalog Record</v>
      </c>
      <c r="AW5098" s="6" t="str">
        <f>HYPERLINK("http://www.worldcat.org/oclc/44914377","WorldCat Record")</f>
        <v>WorldCat Record</v>
      </c>
      <c r="AX5098" s="3" t="s">
        <v>48798</v>
      </c>
      <c r="AY5098" s="3" t="s">
        <v>48830</v>
      </c>
      <c r="AZ5098" s="3" t="s">
        <v>48831</v>
      </c>
      <c r="BA5098" s="3" t="s">
        <v>48831</v>
      </c>
      <c r="BB5098" s="3" t="s">
        <v>48835</v>
      </c>
      <c r="BC5098" s="3" t="s">
        <v>142</v>
      </c>
      <c r="BD5098" s="3" t="s">
        <v>68</v>
      </c>
      <c r="BE5098" s="3" t="s">
        <v>48833</v>
      </c>
      <c r="BF5098" s="3" t="s">
        <v>48835</v>
      </c>
      <c r="BG5098" s="3" t="s">
        <v>48836</v>
      </c>
    </row>
    <row r="5099" spans="1:59" ht="57" x14ac:dyDescent="0.45">
      <c r="A5099" s="2" t="s">
        <v>59</v>
      </c>
      <c r="B5099" s="2" t="s">
        <v>60</v>
      </c>
      <c r="C5099" s="2" t="s">
        <v>48837</v>
      </c>
      <c r="D5099" s="2" t="s">
        <v>48838</v>
      </c>
      <c r="E5099" s="2" t="s">
        <v>48795</v>
      </c>
      <c r="F5099" s="3" t="s">
        <v>48839</v>
      </c>
      <c r="G5099" s="3" t="s">
        <v>62</v>
      </c>
      <c r="I5099" s="3" t="s">
        <v>61</v>
      </c>
      <c r="J5099" s="3" t="s">
        <v>61</v>
      </c>
      <c r="K5099" s="3" t="s">
        <v>63</v>
      </c>
      <c r="L5099" s="2" t="s">
        <v>48796</v>
      </c>
      <c r="M5099" s="2" t="s">
        <v>48840</v>
      </c>
      <c r="N5099" s="3" t="s">
        <v>1059</v>
      </c>
      <c r="O5099" s="2" t="s">
        <v>919</v>
      </c>
      <c r="P5099" s="3" t="s">
        <v>65</v>
      </c>
      <c r="R5099" s="3" t="s">
        <v>66</v>
      </c>
      <c r="S5099" s="4">
        <v>53</v>
      </c>
      <c r="T5099" s="4">
        <v>77</v>
      </c>
      <c r="U5099" s="5" t="s">
        <v>303</v>
      </c>
      <c r="V5099" s="5" t="s">
        <v>28177</v>
      </c>
      <c r="W5099" s="5" t="s">
        <v>67</v>
      </c>
      <c r="X5099" s="5" t="s">
        <v>67</v>
      </c>
      <c r="Y5099" s="4">
        <v>35</v>
      </c>
      <c r="Z5099" s="4">
        <v>4</v>
      </c>
      <c r="AA5099" s="4">
        <v>69</v>
      </c>
      <c r="AB5099" s="4">
        <v>1</v>
      </c>
      <c r="AC5099" s="4">
        <v>11</v>
      </c>
      <c r="AD5099" s="4">
        <v>7</v>
      </c>
      <c r="AE5099" s="4">
        <v>136</v>
      </c>
      <c r="AF5099" s="4">
        <v>0</v>
      </c>
      <c r="AG5099" s="4">
        <v>5</v>
      </c>
      <c r="AH5099" s="4">
        <v>6</v>
      </c>
      <c r="AI5099" s="4">
        <v>104</v>
      </c>
      <c r="AJ5099" s="4">
        <v>2</v>
      </c>
      <c r="AK5099" s="4">
        <v>24</v>
      </c>
      <c r="AL5099" s="4">
        <v>2</v>
      </c>
      <c r="AM5099" s="4">
        <v>58</v>
      </c>
      <c r="AN5099" s="4">
        <v>0</v>
      </c>
      <c r="AO5099" s="4">
        <v>2</v>
      </c>
      <c r="AP5099" s="4">
        <v>2</v>
      </c>
      <c r="AQ5099" s="4">
        <v>39</v>
      </c>
      <c r="AR5099" s="3" t="s">
        <v>62</v>
      </c>
      <c r="AS5099" s="3" t="s">
        <v>62</v>
      </c>
      <c r="AT5099" s="3" t="s">
        <v>62</v>
      </c>
      <c r="AV5099" s="6" t="str">
        <f>HYPERLINK("http://mcgill.on.worldcat.org/oclc/61323035","Catalog Record")</f>
        <v>Catalog Record</v>
      </c>
      <c r="AW5099" s="6" t="str">
        <f>HYPERLINK("http://www.worldcat.org/oclc/61323035","WorldCat Record")</f>
        <v>WorldCat Record</v>
      </c>
      <c r="AX5099" s="3" t="s">
        <v>48798</v>
      </c>
      <c r="AY5099" s="3" t="s">
        <v>48841</v>
      </c>
      <c r="AZ5099" s="3" t="s">
        <v>48842</v>
      </c>
      <c r="BA5099" s="3" t="s">
        <v>48842</v>
      </c>
      <c r="BB5099" s="3" t="s">
        <v>48843</v>
      </c>
      <c r="BC5099" s="3" t="s">
        <v>142</v>
      </c>
      <c r="BD5099" s="3" t="s">
        <v>68</v>
      </c>
      <c r="BE5099" s="3" t="s">
        <v>48844</v>
      </c>
      <c r="BF5099" s="3" t="s">
        <v>48843</v>
      </c>
      <c r="BG5099" s="3" t="s">
        <v>48845</v>
      </c>
    </row>
    <row r="5100" spans="1:59" ht="57" x14ac:dyDescent="0.45">
      <c r="A5100" s="2" t="s">
        <v>59</v>
      </c>
      <c r="B5100" s="2" t="s">
        <v>60</v>
      </c>
      <c r="C5100" s="2" t="s">
        <v>48837</v>
      </c>
      <c r="D5100" s="2" t="s">
        <v>48838</v>
      </c>
      <c r="E5100" s="2" t="s">
        <v>48795</v>
      </c>
      <c r="G5100" s="3" t="s">
        <v>62</v>
      </c>
      <c r="I5100" s="3" t="s">
        <v>61</v>
      </c>
      <c r="J5100" s="3" t="s">
        <v>61</v>
      </c>
      <c r="K5100" s="3" t="s">
        <v>63</v>
      </c>
      <c r="L5100" s="2" t="s">
        <v>48796</v>
      </c>
      <c r="M5100" s="2" t="s">
        <v>48840</v>
      </c>
      <c r="N5100" s="3" t="s">
        <v>1059</v>
      </c>
      <c r="O5100" s="2" t="s">
        <v>919</v>
      </c>
      <c r="P5100" s="3" t="s">
        <v>65</v>
      </c>
      <c r="R5100" s="3" t="s">
        <v>66</v>
      </c>
      <c r="S5100" s="4">
        <v>24</v>
      </c>
      <c r="T5100" s="4">
        <v>77</v>
      </c>
      <c r="U5100" s="5" t="s">
        <v>28177</v>
      </c>
      <c r="V5100" s="5" t="s">
        <v>28177</v>
      </c>
      <c r="W5100" s="5" t="s">
        <v>67</v>
      </c>
      <c r="X5100" s="5" t="s">
        <v>67</v>
      </c>
      <c r="Y5100" s="4">
        <v>35</v>
      </c>
      <c r="Z5100" s="4">
        <v>4</v>
      </c>
      <c r="AA5100" s="4">
        <v>69</v>
      </c>
      <c r="AB5100" s="4">
        <v>1</v>
      </c>
      <c r="AC5100" s="4">
        <v>11</v>
      </c>
      <c r="AD5100" s="4">
        <v>7</v>
      </c>
      <c r="AE5100" s="4">
        <v>136</v>
      </c>
      <c r="AF5100" s="4">
        <v>0</v>
      </c>
      <c r="AG5100" s="4">
        <v>5</v>
      </c>
      <c r="AH5100" s="4">
        <v>6</v>
      </c>
      <c r="AI5100" s="4">
        <v>104</v>
      </c>
      <c r="AJ5100" s="4">
        <v>2</v>
      </c>
      <c r="AK5100" s="4">
        <v>24</v>
      </c>
      <c r="AL5100" s="4">
        <v>2</v>
      </c>
      <c r="AM5100" s="4">
        <v>58</v>
      </c>
      <c r="AN5100" s="4">
        <v>0</v>
      </c>
      <c r="AO5100" s="4">
        <v>2</v>
      </c>
      <c r="AP5100" s="4">
        <v>2</v>
      </c>
      <c r="AQ5100" s="4">
        <v>39</v>
      </c>
      <c r="AR5100" s="3" t="s">
        <v>62</v>
      </c>
      <c r="AS5100" s="3" t="s">
        <v>62</v>
      </c>
      <c r="AT5100" s="3" t="s">
        <v>62</v>
      </c>
      <c r="AV5100" s="6" t="str">
        <f>HYPERLINK("http://mcgill.on.worldcat.org/oclc/61323035","Catalog Record")</f>
        <v>Catalog Record</v>
      </c>
      <c r="AW5100" s="6" t="str">
        <f>HYPERLINK("http://www.worldcat.org/oclc/61323035","WorldCat Record")</f>
        <v>WorldCat Record</v>
      </c>
      <c r="AX5100" s="3" t="s">
        <v>48798</v>
      </c>
      <c r="AY5100" s="3" t="s">
        <v>48841</v>
      </c>
      <c r="AZ5100" s="3" t="s">
        <v>48842</v>
      </c>
      <c r="BA5100" s="3" t="s">
        <v>48842</v>
      </c>
      <c r="BB5100" s="3" t="s">
        <v>48846</v>
      </c>
      <c r="BC5100" s="3" t="s">
        <v>142</v>
      </c>
      <c r="BD5100" s="3" t="s">
        <v>68</v>
      </c>
      <c r="BE5100" s="3" t="s">
        <v>48844</v>
      </c>
      <c r="BF5100" s="3" t="s">
        <v>48846</v>
      </c>
      <c r="BG5100" s="3" t="s">
        <v>48847</v>
      </c>
    </row>
    <row r="5101" spans="1:59" ht="57" x14ac:dyDescent="0.45">
      <c r="A5101" s="2" t="s">
        <v>59</v>
      </c>
      <c r="B5101" s="2" t="s">
        <v>60</v>
      </c>
      <c r="C5101" s="2" t="s">
        <v>48848</v>
      </c>
      <c r="D5101" s="2" t="s">
        <v>48849</v>
      </c>
      <c r="E5101" s="2" t="s">
        <v>48850</v>
      </c>
      <c r="F5101" s="3" t="s">
        <v>48851</v>
      </c>
      <c r="G5101" s="3" t="s">
        <v>62</v>
      </c>
      <c r="I5101" s="3" t="s">
        <v>62</v>
      </c>
      <c r="J5101" s="3" t="s">
        <v>61</v>
      </c>
      <c r="K5101" s="3" t="s">
        <v>63</v>
      </c>
      <c r="L5101" s="2" t="s">
        <v>48828</v>
      </c>
      <c r="M5101" s="2" t="s">
        <v>48852</v>
      </c>
      <c r="N5101" s="3" t="s">
        <v>894</v>
      </c>
      <c r="O5101" s="2" t="s">
        <v>48853</v>
      </c>
      <c r="P5101" s="3" t="s">
        <v>65</v>
      </c>
      <c r="R5101" s="3" t="s">
        <v>66</v>
      </c>
      <c r="S5101" s="4">
        <v>89</v>
      </c>
      <c r="T5101" s="4">
        <v>89</v>
      </c>
      <c r="U5101" s="5" t="s">
        <v>14051</v>
      </c>
      <c r="V5101" s="5" t="s">
        <v>14051</v>
      </c>
      <c r="W5101" s="5" t="s">
        <v>67</v>
      </c>
      <c r="X5101" s="5" t="s">
        <v>67</v>
      </c>
      <c r="Y5101" s="4">
        <v>167</v>
      </c>
      <c r="Z5101" s="4">
        <v>12</v>
      </c>
      <c r="AA5101" s="4">
        <v>69</v>
      </c>
      <c r="AB5101" s="4">
        <v>1</v>
      </c>
      <c r="AC5101" s="4">
        <v>11</v>
      </c>
      <c r="AD5101" s="4">
        <v>37</v>
      </c>
      <c r="AE5101" s="4">
        <v>136</v>
      </c>
      <c r="AF5101" s="4">
        <v>0</v>
      </c>
      <c r="AG5101" s="4">
        <v>5</v>
      </c>
      <c r="AH5101" s="4">
        <v>33</v>
      </c>
      <c r="AI5101" s="4">
        <v>104</v>
      </c>
      <c r="AJ5101" s="4">
        <v>8</v>
      </c>
      <c r="AK5101" s="4">
        <v>24</v>
      </c>
      <c r="AL5101" s="4">
        <v>23</v>
      </c>
      <c r="AM5101" s="4">
        <v>58</v>
      </c>
      <c r="AN5101" s="4">
        <v>0</v>
      </c>
      <c r="AO5101" s="4">
        <v>2</v>
      </c>
      <c r="AP5101" s="4">
        <v>9</v>
      </c>
      <c r="AQ5101" s="4">
        <v>39</v>
      </c>
      <c r="AR5101" s="3" t="s">
        <v>62</v>
      </c>
      <c r="AS5101" s="3" t="s">
        <v>62</v>
      </c>
      <c r="AT5101" s="3" t="s">
        <v>62</v>
      </c>
      <c r="AV5101" s="6" t="str">
        <f>HYPERLINK("http://mcgill.on.worldcat.org/oclc/613523782","Catalog Record")</f>
        <v>Catalog Record</v>
      </c>
      <c r="AW5101" s="6" t="str">
        <f>HYPERLINK("http://www.worldcat.org/oclc/613523782","WorldCat Record")</f>
        <v>WorldCat Record</v>
      </c>
      <c r="AX5101" s="3" t="s">
        <v>48798</v>
      </c>
      <c r="AY5101" s="3" t="s">
        <v>48854</v>
      </c>
      <c r="AZ5101" s="3" t="s">
        <v>48855</v>
      </c>
      <c r="BA5101" s="3" t="s">
        <v>48855</v>
      </c>
      <c r="BB5101" s="3" t="s">
        <v>48856</v>
      </c>
      <c r="BC5101" s="3" t="s">
        <v>142</v>
      </c>
      <c r="BD5101" s="3" t="s">
        <v>68</v>
      </c>
      <c r="BE5101" s="3" t="s">
        <v>48857</v>
      </c>
      <c r="BF5101" s="3" t="s">
        <v>48856</v>
      </c>
      <c r="BG5101" s="3" t="s">
        <v>48858</v>
      </c>
    </row>
    <row r="5102" spans="1:59" ht="57" x14ac:dyDescent="0.45">
      <c r="A5102" s="2" t="s">
        <v>59</v>
      </c>
      <c r="B5102" s="2" t="s">
        <v>60</v>
      </c>
      <c r="C5102" s="2" t="s">
        <v>48859</v>
      </c>
      <c r="D5102" s="2" t="s">
        <v>48860</v>
      </c>
      <c r="E5102" s="2" t="s">
        <v>48850</v>
      </c>
      <c r="G5102" s="3" t="s">
        <v>62</v>
      </c>
      <c r="I5102" s="3" t="s">
        <v>61</v>
      </c>
      <c r="J5102" s="3" t="s">
        <v>61</v>
      </c>
      <c r="K5102" s="3" t="s">
        <v>63</v>
      </c>
      <c r="L5102" s="2" t="s">
        <v>48828</v>
      </c>
      <c r="M5102" s="2" t="s">
        <v>48861</v>
      </c>
      <c r="N5102" s="3" t="s">
        <v>208</v>
      </c>
      <c r="O5102" s="2" t="s">
        <v>41813</v>
      </c>
      <c r="P5102" s="3" t="s">
        <v>65</v>
      </c>
      <c r="R5102" s="3" t="s">
        <v>66</v>
      </c>
      <c r="S5102" s="4">
        <v>18</v>
      </c>
      <c r="T5102" s="4">
        <v>27</v>
      </c>
      <c r="U5102" s="5" t="s">
        <v>13916</v>
      </c>
      <c r="V5102" s="5" t="s">
        <v>1628</v>
      </c>
      <c r="W5102" s="5" t="s">
        <v>67</v>
      </c>
      <c r="X5102" s="5" t="s">
        <v>67</v>
      </c>
      <c r="Y5102" s="4">
        <v>94</v>
      </c>
      <c r="Z5102" s="4">
        <v>5</v>
      </c>
      <c r="AA5102" s="4">
        <v>69</v>
      </c>
      <c r="AB5102" s="4">
        <v>1</v>
      </c>
      <c r="AC5102" s="4">
        <v>11</v>
      </c>
      <c r="AD5102" s="4">
        <v>25</v>
      </c>
      <c r="AE5102" s="4">
        <v>136</v>
      </c>
      <c r="AF5102" s="4">
        <v>0</v>
      </c>
      <c r="AG5102" s="4">
        <v>5</v>
      </c>
      <c r="AH5102" s="4">
        <v>24</v>
      </c>
      <c r="AI5102" s="4">
        <v>104</v>
      </c>
      <c r="AJ5102" s="4">
        <v>3</v>
      </c>
      <c r="AK5102" s="4">
        <v>24</v>
      </c>
      <c r="AL5102" s="4">
        <v>14</v>
      </c>
      <c r="AM5102" s="4">
        <v>58</v>
      </c>
      <c r="AN5102" s="4">
        <v>0</v>
      </c>
      <c r="AO5102" s="4">
        <v>2</v>
      </c>
      <c r="AP5102" s="4">
        <v>4</v>
      </c>
      <c r="AQ5102" s="4">
        <v>39</v>
      </c>
      <c r="AR5102" s="3" t="s">
        <v>62</v>
      </c>
      <c r="AS5102" s="3" t="s">
        <v>62</v>
      </c>
      <c r="AT5102" s="3" t="s">
        <v>62</v>
      </c>
      <c r="AV5102" s="6" t="str">
        <f>HYPERLINK("http://mcgill.on.worldcat.org/oclc/881219548","Catalog Record")</f>
        <v>Catalog Record</v>
      </c>
      <c r="AW5102" s="6" t="str">
        <f>HYPERLINK("http://www.worldcat.org/oclc/881219548","WorldCat Record")</f>
        <v>WorldCat Record</v>
      </c>
      <c r="AX5102" s="3" t="s">
        <v>48798</v>
      </c>
      <c r="AY5102" s="3" t="s">
        <v>48862</v>
      </c>
      <c r="AZ5102" s="3" t="s">
        <v>48863</v>
      </c>
      <c r="BA5102" s="3" t="s">
        <v>48863</v>
      </c>
      <c r="BB5102" s="3" t="s">
        <v>48864</v>
      </c>
      <c r="BC5102" s="3" t="s">
        <v>142</v>
      </c>
      <c r="BD5102" s="3" t="s">
        <v>68</v>
      </c>
      <c r="BE5102" s="3" t="s">
        <v>48865</v>
      </c>
      <c r="BF5102" s="3" t="s">
        <v>48864</v>
      </c>
      <c r="BG5102" s="3" t="s">
        <v>48866</v>
      </c>
    </row>
    <row r="5103" spans="1:59" ht="57" x14ac:dyDescent="0.45">
      <c r="A5103" s="2" t="s">
        <v>59</v>
      </c>
      <c r="B5103" s="2" t="s">
        <v>60</v>
      </c>
      <c r="C5103" s="2" t="s">
        <v>48859</v>
      </c>
      <c r="D5103" s="2" t="s">
        <v>48860</v>
      </c>
      <c r="E5103" s="2" t="s">
        <v>48850</v>
      </c>
      <c r="G5103" s="3" t="s">
        <v>62</v>
      </c>
      <c r="I5103" s="3" t="s">
        <v>61</v>
      </c>
      <c r="J5103" s="3" t="s">
        <v>61</v>
      </c>
      <c r="K5103" s="3" t="s">
        <v>63</v>
      </c>
      <c r="L5103" s="2" t="s">
        <v>48828</v>
      </c>
      <c r="M5103" s="2" t="s">
        <v>48861</v>
      </c>
      <c r="N5103" s="3" t="s">
        <v>208</v>
      </c>
      <c r="O5103" s="2" t="s">
        <v>41813</v>
      </c>
      <c r="P5103" s="3" t="s">
        <v>65</v>
      </c>
      <c r="R5103" s="3" t="s">
        <v>66</v>
      </c>
      <c r="S5103" s="4">
        <v>9</v>
      </c>
      <c r="T5103" s="4">
        <v>27</v>
      </c>
      <c r="U5103" s="5" t="s">
        <v>1628</v>
      </c>
      <c r="V5103" s="5" t="s">
        <v>1628</v>
      </c>
      <c r="W5103" s="5" t="s">
        <v>67</v>
      </c>
      <c r="X5103" s="5" t="s">
        <v>67</v>
      </c>
      <c r="Y5103" s="4">
        <v>94</v>
      </c>
      <c r="Z5103" s="4">
        <v>5</v>
      </c>
      <c r="AA5103" s="4">
        <v>69</v>
      </c>
      <c r="AB5103" s="4">
        <v>1</v>
      </c>
      <c r="AC5103" s="4">
        <v>11</v>
      </c>
      <c r="AD5103" s="4">
        <v>25</v>
      </c>
      <c r="AE5103" s="4">
        <v>136</v>
      </c>
      <c r="AF5103" s="4">
        <v>0</v>
      </c>
      <c r="AG5103" s="4">
        <v>5</v>
      </c>
      <c r="AH5103" s="4">
        <v>24</v>
      </c>
      <c r="AI5103" s="4">
        <v>104</v>
      </c>
      <c r="AJ5103" s="4">
        <v>3</v>
      </c>
      <c r="AK5103" s="4">
        <v>24</v>
      </c>
      <c r="AL5103" s="4">
        <v>14</v>
      </c>
      <c r="AM5103" s="4">
        <v>58</v>
      </c>
      <c r="AN5103" s="4">
        <v>0</v>
      </c>
      <c r="AO5103" s="4">
        <v>2</v>
      </c>
      <c r="AP5103" s="4">
        <v>4</v>
      </c>
      <c r="AQ5103" s="4">
        <v>39</v>
      </c>
      <c r="AR5103" s="3" t="s">
        <v>62</v>
      </c>
      <c r="AS5103" s="3" t="s">
        <v>62</v>
      </c>
      <c r="AT5103" s="3" t="s">
        <v>62</v>
      </c>
      <c r="AV5103" s="6" t="str">
        <f>HYPERLINK("http://mcgill.on.worldcat.org/oclc/881219548","Catalog Record")</f>
        <v>Catalog Record</v>
      </c>
      <c r="AW5103" s="6" t="str">
        <f>HYPERLINK("http://www.worldcat.org/oclc/881219548","WorldCat Record")</f>
        <v>WorldCat Record</v>
      </c>
      <c r="AX5103" s="3" t="s">
        <v>48798</v>
      </c>
      <c r="AY5103" s="3" t="s">
        <v>48862</v>
      </c>
      <c r="AZ5103" s="3" t="s">
        <v>48863</v>
      </c>
      <c r="BA5103" s="3" t="s">
        <v>48863</v>
      </c>
      <c r="BB5103" s="3" t="s">
        <v>48867</v>
      </c>
      <c r="BC5103" s="3" t="s">
        <v>142</v>
      </c>
      <c r="BD5103" s="3" t="s">
        <v>68</v>
      </c>
      <c r="BE5103" s="3" t="s">
        <v>48865</v>
      </c>
      <c r="BF5103" s="3" t="s">
        <v>48867</v>
      </c>
      <c r="BG5103" s="3" t="s">
        <v>48868</v>
      </c>
    </row>
    <row r="5104" spans="1:59" ht="57" x14ac:dyDescent="0.45">
      <c r="A5104" s="2" t="s">
        <v>59</v>
      </c>
      <c r="B5104" s="2" t="s">
        <v>60</v>
      </c>
      <c r="C5104" s="2" t="s">
        <v>48869</v>
      </c>
      <c r="D5104" s="2" t="s">
        <v>48870</v>
      </c>
      <c r="E5104" s="2" t="s">
        <v>48871</v>
      </c>
      <c r="G5104" s="3" t="s">
        <v>62</v>
      </c>
      <c r="I5104" s="3" t="s">
        <v>62</v>
      </c>
      <c r="J5104" s="3" t="s">
        <v>62</v>
      </c>
      <c r="K5104" s="3" t="s">
        <v>63</v>
      </c>
      <c r="L5104" s="2" t="s">
        <v>48796</v>
      </c>
      <c r="M5104" s="2" t="s">
        <v>917</v>
      </c>
      <c r="N5104" s="3" t="s">
        <v>918</v>
      </c>
      <c r="P5104" s="3" t="s">
        <v>65</v>
      </c>
      <c r="R5104" s="3" t="s">
        <v>66</v>
      </c>
      <c r="S5104" s="4">
        <v>31</v>
      </c>
      <c r="T5104" s="4">
        <v>31</v>
      </c>
      <c r="U5104" s="5" t="s">
        <v>13916</v>
      </c>
      <c r="V5104" s="5" t="s">
        <v>13916</v>
      </c>
      <c r="W5104" s="5" t="s">
        <v>67</v>
      </c>
      <c r="X5104" s="5" t="s">
        <v>67</v>
      </c>
      <c r="Y5104" s="4">
        <v>255</v>
      </c>
      <c r="Z5104" s="4">
        <v>24</v>
      </c>
      <c r="AA5104" s="4">
        <v>28</v>
      </c>
      <c r="AB5104" s="4">
        <v>2</v>
      </c>
      <c r="AC5104" s="4">
        <v>5</v>
      </c>
      <c r="AD5104" s="4">
        <v>79</v>
      </c>
      <c r="AE5104" s="4">
        <v>83</v>
      </c>
      <c r="AF5104" s="4">
        <v>1</v>
      </c>
      <c r="AG5104" s="4">
        <v>4</v>
      </c>
      <c r="AH5104" s="4">
        <v>69</v>
      </c>
      <c r="AI5104" s="4">
        <v>70</v>
      </c>
      <c r="AJ5104" s="4">
        <v>14</v>
      </c>
      <c r="AK5104" s="4">
        <v>17</v>
      </c>
      <c r="AL5104" s="4">
        <v>40</v>
      </c>
      <c r="AM5104" s="4">
        <v>40</v>
      </c>
      <c r="AN5104" s="4">
        <v>0</v>
      </c>
      <c r="AO5104" s="4">
        <v>0</v>
      </c>
      <c r="AP5104" s="4">
        <v>18</v>
      </c>
      <c r="AQ5104" s="4">
        <v>21</v>
      </c>
      <c r="AR5104" s="3" t="s">
        <v>62</v>
      </c>
      <c r="AS5104" s="3" t="s">
        <v>62</v>
      </c>
      <c r="AT5104" s="3" t="s">
        <v>62</v>
      </c>
      <c r="AV5104" s="6" t="str">
        <f>HYPERLINK("http://mcgill.on.worldcat.org/oclc/51818554","Catalog Record")</f>
        <v>Catalog Record</v>
      </c>
      <c r="AW5104" s="6" t="str">
        <f>HYPERLINK("http://www.worldcat.org/oclc/51818554","WorldCat Record")</f>
        <v>WorldCat Record</v>
      </c>
      <c r="AX5104" s="3" t="s">
        <v>48872</v>
      </c>
      <c r="AY5104" s="3" t="s">
        <v>48873</v>
      </c>
      <c r="AZ5104" s="3" t="s">
        <v>48874</v>
      </c>
      <c r="BA5104" s="3" t="s">
        <v>48874</v>
      </c>
      <c r="BB5104" s="3" t="s">
        <v>48875</v>
      </c>
      <c r="BC5104" s="3" t="s">
        <v>142</v>
      </c>
      <c r="BD5104" s="3" t="s">
        <v>68</v>
      </c>
      <c r="BE5104" s="3" t="s">
        <v>48876</v>
      </c>
      <c r="BF5104" s="3" t="s">
        <v>48875</v>
      </c>
      <c r="BG5104" s="3" t="s">
        <v>48877</v>
      </c>
    </row>
    <row r="5105" spans="1:59" ht="57" x14ac:dyDescent="0.45">
      <c r="A5105" s="2" t="s">
        <v>59</v>
      </c>
      <c r="B5105" s="2" t="s">
        <v>60</v>
      </c>
      <c r="C5105" s="2" t="s">
        <v>48878</v>
      </c>
      <c r="D5105" s="2" t="s">
        <v>48879</v>
      </c>
      <c r="E5105" s="2" t="s">
        <v>48880</v>
      </c>
      <c r="G5105" s="3" t="s">
        <v>62</v>
      </c>
      <c r="I5105" s="3" t="s">
        <v>62</v>
      </c>
      <c r="J5105" s="3" t="s">
        <v>62</v>
      </c>
      <c r="K5105" s="3" t="s">
        <v>63</v>
      </c>
      <c r="L5105" s="2" t="s">
        <v>48796</v>
      </c>
      <c r="M5105" s="2" t="s">
        <v>11695</v>
      </c>
      <c r="N5105" s="3" t="s">
        <v>1478</v>
      </c>
      <c r="P5105" s="3" t="s">
        <v>65</v>
      </c>
      <c r="Q5105" s="2" t="s">
        <v>48881</v>
      </c>
      <c r="R5105" s="3" t="s">
        <v>66</v>
      </c>
      <c r="S5105" s="4">
        <v>55</v>
      </c>
      <c r="T5105" s="4">
        <v>55</v>
      </c>
      <c r="U5105" s="5" t="s">
        <v>9280</v>
      </c>
      <c r="V5105" s="5" t="s">
        <v>9280</v>
      </c>
      <c r="W5105" s="5" t="s">
        <v>67</v>
      </c>
      <c r="X5105" s="5" t="s">
        <v>67</v>
      </c>
      <c r="Y5105" s="4">
        <v>468</v>
      </c>
      <c r="Z5105" s="4">
        <v>30</v>
      </c>
      <c r="AA5105" s="4">
        <v>39</v>
      </c>
      <c r="AB5105" s="4">
        <v>2</v>
      </c>
      <c r="AC5105" s="4">
        <v>6</v>
      </c>
      <c r="AD5105" s="4">
        <v>112</v>
      </c>
      <c r="AE5105" s="4">
        <v>120</v>
      </c>
      <c r="AF5105" s="4">
        <v>1</v>
      </c>
      <c r="AG5105" s="4">
        <v>4</v>
      </c>
      <c r="AH5105" s="4">
        <v>96</v>
      </c>
      <c r="AI5105" s="4">
        <v>98</v>
      </c>
      <c r="AJ5105" s="4">
        <v>14</v>
      </c>
      <c r="AK5105" s="4">
        <v>21</v>
      </c>
      <c r="AL5105" s="4">
        <v>54</v>
      </c>
      <c r="AM5105" s="4">
        <v>54</v>
      </c>
      <c r="AN5105" s="4">
        <v>0</v>
      </c>
      <c r="AO5105" s="4">
        <v>0</v>
      </c>
      <c r="AP5105" s="4">
        <v>23</v>
      </c>
      <c r="AQ5105" s="4">
        <v>30</v>
      </c>
      <c r="AR5105" s="3" t="s">
        <v>62</v>
      </c>
      <c r="AS5105" s="3" t="s">
        <v>62</v>
      </c>
      <c r="AT5105" s="3" t="s">
        <v>62</v>
      </c>
      <c r="AV5105" s="6" t="str">
        <f>HYPERLINK("http://mcgill.on.worldcat.org/oclc/31867443","Catalog Record")</f>
        <v>Catalog Record</v>
      </c>
      <c r="AW5105" s="6" t="str">
        <f>HYPERLINK("http://www.worldcat.org/oclc/31867443","WorldCat Record")</f>
        <v>WorldCat Record</v>
      </c>
      <c r="AX5105" s="3" t="s">
        <v>48882</v>
      </c>
      <c r="AY5105" s="3" t="s">
        <v>48883</v>
      </c>
      <c r="AZ5105" s="3" t="s">
        <v>48884</v>
      </c>
      <c r="BA5105" s="3" t="s">
        <v>48884</v>
      </c>
      <c r="BB5105" s="3" t="s">
        <v>48885</v>
      </c>
      <c r="BC5105" s="3" t="s">
        <v>142</v>
      </c>
      <c r="BD5105" s="3" t="s">
        <v>68</v>
      </c>
      <c r="BE5105" s="3" t="s">
        <v>48886</v>
      </c>
      <c r="BF5105" s="3" t="s">
        <v>48885</v>
      </c>
      <c r="BG5105" s="3" t="s">
        <v>48887</v>
      </c>
    </row>
    <row r="5106" spans="1:59" ht="57" x14ac:dyDescent="0.45">
      <c r="A5106" s="2" t="s">
        <v>59</v>
      </c>
      <c r="B5106" s="2" t="s">
        <v>60</v>
      </c>
      <c r="C5106" s="2" t="s">
        <v>48888</v>
      </c>
      <c r="D5106" s="2" t="s">
        <v>48889</v>
      </c>
      <c r="E5106" s="2" t="s">
        <v>48890</v>
      </c>
      <c r="F5106" s="3" t="s">
        <v>2402</v>
      </c>
      <c r="G5106" s="3" t="s">
        <v>62</v>
      </c>
      <c r="I5106" s="3" t="s">
        <v>62</v>
      </c>
      <c r="J5106" s="3" t="s">
        <v>61</v>
      </c>
      <c r="K5106" s="3" t="s">
        <v>63</v>
      </c>
      <c r="L5106" s="2" t="s">
        <v>48796</v>
      </c>
      <c r="M5106" s="2" t="s">
        <v>1380</v>
      </c>
      <c r="N5106" s="3" t="s">
        <v>542</v>
      </c>
      <c r="P5106" s="3" t="s">
        <v>65</v>
      </c>
      <c r="R5106" s="3" t="s">
        <v>66</v>
      </c>
      <c r="S5106" s="4">
        <v>30</v>
      </c>
      <c r="T5106" s="4">
        <v>30</v>
      </c>
      <c r="U5106" s="5" t="s">
        <v>33176</v>
      </c>
      <c r="V5106" s="5" t="s">
        <v>33176</v>
      </c>
      <c r="W5106" s="5" t="s">
        <v>67</v>
      </c>
      <c r="X5106" s="5" t="s">
        <v>67</v>
      </c>
      <c r="Y5106" s="4">
        <v>289</v>
      </c>
      <c r="Z5106" s="4">
        <v>13</v>
      </c>
      <c r="AA5106" s="4">
        <v>38</v>
      </c>
      <c r="AB5106" s="4">
        <v>1</v>
      </c>
      <c r="AC5106" s="4">
        <v>7</v>
      </c>
      <c r="AD5106" s="4">
        <v>80</v>
      </c>
      <c r="AE5106" s="4">
        <v>109</v>
      </c>
      <c r="AF5106" s="4">
        <v>0</v>
      </c>
      <c r="AG5106" s="4">
        <v>4</v>
      </c>
      <c r="AH5106" s="4">
        <v>75</v>
      </c>
      <c r="AI5106" s="4">
        <v>93</v>
      </c>
      <c r="AJ5106" s="4">
        <v>8</v>
      </c>
      <c r="AK5106" s="4">
        <v>21</v>
      </c>
      <c r="AL5106" s="4">
        <v>48</v>
      </c>
      <c r="AM5106" s="4">
        <v>52</v>
      </c>
      <c r="AN5106" s="4">
        <v>0</v>
      </c>
      <c r="AO5106" s="4">
        <v>0</v>
      </c>
      <c r="AP5106" s="4">
        <v>10</v>
      </c>
      <c r="AQ5106" s="4">
        <v>26</v>
      </c>
      <c r="AR5106" s="3" t="s">
        <v>62</v>
      </c>
      <c r="AS5106" s="3" t="s">
        <v>62</v>
      </c>
      <c r="AT5106" s="3" t="s">
        <v>62</v>
      </c>
      <c r="AV5106" s="6" t="str">
        <f>HYPERLINK("http://mcgill.on.worldcat.org/oclc/43434745","Catalog Record")</f>
        <v>Catalog Record</v>
      </c>
      <c r="AW5106" s="6" t="str">
        <f>HYPERLINK("http://www.worldcat.org/oclc/43434745","WorldCat Record")</f>
        <v>WorldCat Record</v>
      </c>
      <c r="AX5106" s="3" t="s">
        <v>48891</v>
      </c>
      <c r="AY5106" s="3" t="s">
        <v>48892</v>
      </c>
      <c r="AZ5106" s="3" t="s">
        <v>48893</v>
      </c>
      <c r="BA5106" s="3" t="s">
        <v>48893</v>
      </c>
      <c r="BB5106" s="3" t="s">
        <v>48894</v>
      </c>
      <c r="BC5106" s="3" t="s">
        <v>142</v>
      </c>
      <c r="BD5106" s="3" t="s">
        <v>68</v>
      </c>
      <c r="BE5106" s="3" t="s">
        <v>48895</v>
      </c>
      <c r="BF5106" s="3" t="s">
        <v>48894</v>
      </c>
      <c r="BG5106" s="3" t="s">
        <v>48896</v>
      </c>
    </row>
    <row r="5107" spans="1:59" ht="57" x14ac:dyDescent="0.45">
      <c r="A5107" s="2" t="s">
        <v>59</v>
      </c>
      <c r="B5107" s="2" t="s">
        <v>60</v>
      </c>
      <c r="C5107" s="2" t="s">
        <v>48897</v>
      </c>
      <c r="D5107" s="2" t="s">
        <v>48898</v>
      </c>
      <c r="E5107" s="2" t="s">
        <v>48890</v>
      </c>
      <c r="F5107" s="3" t="s">
        <v>2402</v>
      </c>
      <c r="G5107" s="3" t="s">
        <v>62</v>
      </c>
      <c r="I5107" s="3" t="s">
        <v>62</v>
      </c>
      <c r="J5107" s="3" t="s">
        <v>61</v>
      </c>
      <c r="K5107" s="3" t="s">
        <v>63</v>
      </c>
      <c r="L5107" s="2" t="s">
        <v>48796</v>
      </c>
      <c r="M5107" s="2" t="s">
        <v>48899</v>
      </c>
      <c r="N5107" s="3" t="s">
        <v>1855</v>
      </c>
      <c r="O5107" s="2" t="s">
        <v>933</v>
      </c>
      <c r="P5107" s="3" t="s">
        <v>65</v>
      </c>
      <c r="R5107" s="3" t="s">
        <v>66</v>
      </c>
      <c r="S5107" s="4">
        <v>19</v>
      </c>
      <c r="T5107" s="4">
        <v>19</v>
      </c>
      <c r="U5107" s="5" t="s">
        <v>15630</v>
      </c>
      <c r="V5107" s="5" t="s">
        <v>15630</v>
      </c>
      <c r="W5107" s="5" t="s">
        <v>67</v>
      </c>
      <c r="X5107" s="5" t="s">
        <v>67</v>
      </c>
      <c r="Y5107" s="4">
        <v>263</v>
      </c>
      <c r="Z5107" s="4">
        <v>16</v>
      </c>
      <c r="AA5107" s="4">
        <v>38</v>
      </c>
      <c r="AB5107" s="4">
        <v>2</v>
      </c>
      <c r="AC5107" s="4">
        <v>7</v>
      </c>
      <c r="AD5107" s="4">
        <v>66</v>
      </c>
      <c r="AE5107" s="4">
        <v>109</v>
      </c>
      <c r="AF5107" s="4">
        <v>1</v>
      </c>
      <c r="AG5107" s="4">
        <v>4</v>
      </c>
      <c r="AH5107" s="4">
        <v>58</v>
      </c>
      <c r="AI5107" s="4">
        <v>93</v>
      </c>
      <c r="AJ5107" s="4">
        <v>10</v>
      </c>
      <c r="AK5107" s="4">
        <v>21</v>
      </c>
      <c r="AL5107" s="4">
        <v>33</v>
      </c>
      <c r="AM5107" s="4">
        <v>52</v>
      </c>
      <c r="AN5107" s="4">
        <v>0</v>
      </c>
      <c r="AO5107" s="4">
        <v>0</v>
      </c>
      <c r="AP5107" s="4">
        <v>13</v>
      </c>
      <c r="AQ5107" s="4">
        <v>26</v>
      </c>
      <c r="AR5107" s="3" t="s">
        <v>62</v>
      </c>
      <c r="AS5107" s="3" t="s">
        <v>62</v>
      </c>
      <c r="AT5107" s="3" t="s">
        <v>61</v>
      </c>
      <c r="AU5107" s="6" t="str">
        <f>HYPERLINK("http://catalog.hathitrust.org/Record/005044026","HathiTrust Record")</f>
        <v>HathiTrust Record</v>
      </c>
      <c r="AV5107" s="6" t="str">
        <f>HYPERLINK("http://mcgill.on.worldcat.org/oclc/55887423","Catalog Record")</f>
        <v>Catalog Record</v>
      </c>
      <c r="AW5107" s="6" t="str">
        <f>HYPERLINK("http://www.worldcat.org/oclc/55887423","WorldCat Record")</f>
        <v>WorldCat Record</v>
      </c>
      <c r="AX5107" s="3" t="s">
        <v>48891</v>
      </c>
      <c r="AY5107" s="3" t="s">
        <v>48900</v>
      </c>
      <c r="AZ5107" s="3" t="s">
        <v>48901</v>
      </c>
      <c r="BA5107" s="3" t="s">
        <v>48901</v>
      </c>
      <c r="BB5107" s="3" t="s">
        <v>48902</v>
      </c>
      <c r="BC5107" s="3" t="s">
        <v>142</v>
      </c>
      <c r="BD5107" s="3" t="s">
        <v>68</v>
      </c>
      <c r="BE5107" s="3" t="s">
        <v>48903</v>
      </c>
      <c r="BF5107" s="3" t="s">
        <v>48902</v>
      </c>
      <c r="BG5107" s="3" t="s">
        <v>48904</v>
      </c>
    </row>
    <row r="5108" spans="1:59" ht="85.5" x14ac:dyDescent="0.45">
      <c r="A5108" s="2" t="s">
        <v>59</v>
      </c>
      <c r="B5108" s="2" t="s">
        <v>60</v>
      </c>
      <c r="C5108" s="2" t="s">
        <v>48905</v>
      </c>
      <c r="D5108" s="2" t="s">
        <v>48906</v>
      </c>
      <c r="E5108" s="2" t="s">
        <v>48907</v>
      </c>
      <c r="G5108" s="3" t="s">
        <v>62</v>
      </c>
      <c r="I5108" s="3" t="s">
        <v>62</v>
      </c>
      <c r="J5108" s="3" t="s">
        <v>62</v>
      </c>
      <c r="K5108" s="3" t="s">
        <v>63</v>
      </c>
      <c r="L5108" s="2" t="s">
        <v>48828</v>
      </c>
      <c r="M5108" s="2" t="s">
        <v>48908</v>
      </c>
      <c r="N5108" s="3" t="s">
        <v>1155</v>
      </c>
      <c r="O5108" s="2" t="s">
        <v>48909</v>
      </c>
      <c r="P5108" s="3" t="s">
        <v>65</v>
      </c>
      <c r="R5108" s="3" t="s">
        <v>66</v>
      </c>
      <c r="S5108" s="4">
        <v>3</v>
      </c>
      <c r="T5108" s="4">
        <v>3</v>
      </c>
      <c r="U5108" s="5" t="s">
        <v>7233</v>
      </c>
      <c r="V5108" s="5" t="s">
        <v>7233</v>
      </c>
      <c r="W5108" s="5" t="s">
        <v>67</v>
      </c>
      <c r="X5108" s="5" t="s">
        <v>67</v>
      </c>
      <c r="Y5108" s="4">
        <v>98</v>
      </c>
      <c r="Z5108" s="4">
        <v>9</v>
      </c>
      <c r="AA5108" s="4">
        <v>42</v>
      </c>
      <c r="AB5108" s="4">
        <v>2</v>
      </c>
      <c r="AC5108" s="4">
        <v>5</v>
      </c>
      <c r="AD5108" s="4">
        <v>19</v>
      </c>
      <c r="AE5108" s="4">
        <v>36</v>
      </c>
      <c r="AF5108" s="4">
        <v>0</v>
      </c>
      <c r="AG5108" s="4">
        <v>1</v>
      </c>
      <c r="AH5108" s="4">
        <v>17</v>
      </c>
      <c r="AI5108" s="4">
        <v>25</v>
      </c>
      <c r="AJ5108" s="4">
        <v>3</v>
      </c>
      <c r="AK5108" s="4">
        <v>8</v>
      </c>
      <c r="AL5108" s="4">
        <v>10</v>
      </c>
      <c r="AM5108" s="4">
        <v>13</v>
      </c>
      <c r="AN5108" s="4">
        <v>0</v>
      </c>
      <c r="AO5108" s="4">
        <v>0</v>
      </c>
      <c r="AP5108" s="4">
        <v>4</v>
      </c>
      <c r="AQ5108" s="4">
        <v>14</v>
      </c>
      <c r="AR5108" s="3" t="s">
        <v>62</v>
      </c>
      <c r="AS5108" s="3" t="s">
        <v>62</v>
      </c>
      <c r="AT5108" s="3" t="s">
        <v>62</v>
      </c>
      <c r="AV5108" s="6" t="str">
        <f>HYPERLINK("http://mcgill.on.worldcat.org/oclc/740281727","Catalog Record")</f>
        <v>Catalog Record</v>
      </c>
      <c r="AW5108" s="6" t="str">
        <f>HYPERLINK("http://www.worldcat.org/oclc/740281727","WorldCat Record")</f>
        <v>WorldCat Record</v>
      </c>
      <c r="AX5108" s="3" t="s">
        <v>48910</v>
      </c>
      <c r="AY5108" s="3" t="s">
        <v>48911</v>
      </c>
      <c r="AZ5108" s="3" t="s">
        <v>48912</v>
      </c>
      <c r="BA5108" s="3" t="s">
        <v>48912</v>
      </c>
      <c r="BB5108" s="3" t="s">
        <v>48913</v>
      </c>
      <c r="BC5108" s="3" t="s">
        <v>142</v>
      </c>
      <c r="BD5108" s="3" t="s">
        <v>68</v>
      </c>
      <c r="BE5108" s="3" t="s">
        <v>48914</v>
      </c>
      <c r="BF5108" s="3" t="s">
        <v>48913</v>
      </c>
      <c r="BG5108" s="3" t="s">
        <v>48915</v>
      </c>
    </row>
    <row r="5109" spans="1:59" ht="57" x14ac:dyDescent="0.45">
      <c r="A5109" s="2" t="s">
        <v>59</v>
      </c>
      <c r="B5109" s="2" t="s">
        <v>60</v>
      </c>
      <c r="C5109" s="2" t="s">
        <v>48916</v>
      </c>
      <c r="D5109" s="2" t="s">
        <v>48917</v>
      </c>
      <c r="E5109" s="2" t="s">
        <v>48918</v>
      </c>
      <c r="G5109" s="3" t="s">
        <v>62</v>
      </c>
      <c r="I5109" s="3" t="s">
        <v>62</v>
      </c>
      <c r="J5109" s="3" t="s">
        <v>61</v>
      </c>
      <c r="K5109" s="3" t="s">
        <v>63</v>
      </c>
      <c r="L5109" s="2" t="s">
        <v>48919</v>
      </c>
      <c r="M5109" s="2" t="s">
        <v>48920</v>
      </c>
      <c r="N5109" s="3" t="s">
        <v>1465</v>
      </c>
      <c r="P5109" s="3" t="s">
        <v>65</v>
      </c>
      <c r="Q5109" s="2" t="s">
        <v>48921</v>
      </c>
      <c r="R5109" s="3" t="s">
        <v>66</v>
      </c>
      <c r="S5109" s="4">
        <v>3</v>
      </c>
      <c r="T5109" s="4">
        <v>3</v>
      </c>
      <c r="U5109" s="5" t="s">
        <v>9157</v>
      </c>
      <c r="V5109" s="5" t="s">
        <v>9157</v>
      </c>
      <c r="W5109" s="5" t="s">
        <v>67</v>
      </c>
      <c r="X5109" s="5" t="s">
        <v>67</v>
      </c>
      <c r="Y5109" s="4">
        <v>13</v>
      </c>
      <c r="Z5109" s="4">
        <v>2</v>
      </c>
      <c r="AA5109" s="4">
        <v>22</v>
      </c>
      <c r="AB5109" s="4">
        <v>2</v>
      </c>
      <c r="AC5109" s="4">
        <v>5</v>
      </c>
      <c r="AD5109" s="4">
        <v>3</v>
      </c>
      <c r="AE5109" s="4">
        <v>106</v>
      </c>
      <c r="AF5109" s="4">
        <v>0</v>
      </c>
      <c r="AG5109" s="4">
        <v>3</v>
      </c>
      <c r="AH5109" s="4">
        <v>3</v>
      </c>
      <c r="AI5109" s="4">
        <v>96</v>
      </c>
      <c r="AJ5109" s="4">
        <v>0</v>
      </c>
      <c r="AK5109" s="4">
        <v>16</v>
      </c>
      <c r="AL5109" s="4">
        <v>3</v>
      </c>
      <c r="AM5109" s="4">
        <v>50</v>
      </c>
      <c r="AN5109" s="4">
        <v>0</v>
      </c>
      <c r="AO5109" s="4">
        <v>0</v>
      </c>
      <c r="AP5109" s="4">
        <v>0</v>
      </c>
      <c r="AQ5109" s="4">
        <v>18</v>
      </c>
      <c r="AR5109" s="3" t="s">
        <v>62</v>
      </c>
      <c r="AS5109" s="3" t="s">
        <v>62</v>
      </c>
      <c r="AT5109" s="3" t="s">
        <v>62</v>
      </c>
      <c r="AV5109" s="6" t="str">
        <f>HYPERLINK("http://mcgill.on.worldcat.org/oclc/321032619","Catalog Record")</f>
        <v>Catalog Record</v>
      </c>
      <c r="AW5109" s="6" t="str">
        <f>HYPERLINK("http://www.worldcat.org/oclc/321032619","WorldCat Record")</f>
        <v>WorldCat Record</v>
      </c>
      <c r="AX5109" s="3" t="s">
        <v>48922</v>
      </c>
      <c r="AY5109" s="3" t="s">
        <v>48923</v>
      </c>
      <c r="AZ5109" s="3" t="s">
        <v>48924</v>
      </c>
      <c r="BA5109" s="3" t="s">
        <v>48924</v>
      </c>
      <c r="BB5109" s="3" t="s">
        <v>48925</v>
      </c>
      <c r="BC5109" s="3" t="s">
        <v>142</v>
      </c>
      <c r="BD5109" s="3" t="s">
        <v>68</v>
      </c>
      <c r="BE5109" s="3" t="s">
        <v>48926</v>
      </c>
      <c r="BF5109" s="3" t="s">
        <v>48925</v>
      </c>
      <c r="BG5109" s="3" t="s">
        <v>48927</v>
      </c>
    </row>
    <row r="5110" spans="1:59" ht="71.25" x14ac:dyDescent="0.45">
      <c r="A5110" s="2" t="s">
        <v>59</v>
      </c>
      <c r="B5110" s="2" t="s">
        <v>48928</v>
      </c>
      <c r="C5110" s="2" t="s">
        <v>48929</v>
      </c>
      <c r="D5110" s="2" t="s">
        <v>48930</v>
      </c>
      <c r="E5110" s="2" t="s">
        <v>48918</v>
      </c>
      <c r="F5110" s="3" t="s">
        <v>48931</v>
      </c>
      <c r="G5110" s="3" t="s">
        <v>61</v>
      </c>
      <c r="I5110" s="3" t="s">
        <v>62</v>
      </c>
      <c r="J5110" s="3" t="s">
        <v>61</v>
      </c>
      <c r="K5110" s="3" t="s">
        <v>63</v>
      </c>
      <c r="L5110" s="2" t="s">
        <v>48919</v>
      </c>
      <c r="M5110" s="2" t="s">
        <v>48932</v>
      </c>
      <c r="N5110" s="3" t="s">
        <v>117</v>
      </c>
      <c r="P5110" s="3" t="s">
        <v>65</v>
      </c>
      <c r="Q5110" s="2" t="s">
        <v>48933</v>
      </c>
      <c r="R5110" s="3" t="s">
        <v>66</v>
      </c>
      <c r="S5110" s="4">
        <v>1</v>
      </c>
      <c r="T5110" s="4">
        <v>11</v>
      </c>
      <c r="U5110" s="5" t="s">
        <v>48934</v>
      </c>
      <c r="V5110" s="5" t="s">
        <v>13916</v>
      </c>
      <c r="W5110" s="5" t="s">
        <v>67</v>
      </c>
      <c r="X5110" s="5" t="s">
        <v>67</v>
      </c>
      <c r="Y5110" s="4">
        <v>329</v>
      </c>
      <c r="Z5110" s="4">
        <v>17</v>
      </c>
      <c r="AA5110" s="4">
        <v>22</v>
      </c>
      <c r="AB5110" s="4">
        <v>2</v>
      </c>
      <c r="AC5110" s="4">
        <v>5</v>
      </c>
      <c r="AD5110" s="4">
        <v>101</v>
      </c>
      <c r="AE5110" s="4">
        <v>106</v>
      </c>
      <c r="AF5110" s="4">
        <v>1</v>
      </c>
      <c r="AG5110" s="4">
        <v>3</v>
      </c>
      <c r="AH5110" s="4">
        <v>93</v>
      </c>
      <c r="AI5110" s="4">
        <v>96</v>
      </c>
      <c r="AJ5110" s="4">
        <v>12</v>
      </c>
      <c r="AK5110" s="4">
        <v>16</v>
      </c>
      <c r="AL5110" s="4">
        <v>49</v>
      </c>
      <c r="AM5110" s="4">
        <v>50</v>
      </c>
      <c r="AN5110" s="4">
        <v>0</v>
      </c>
      <c r="AO5110" s="4">
        <v>0</v>
      </c>
      <c r="AP5110" s="4">
        <v>14</v>
      </c>
      <c r="AQ5110" s="4">
        <v>18</v>
      </c>
      <c r="AR5110" s="3" t="s">
        <v>62</v>
      </c>
      <c r="AS5110" s="3" t="s">
        <v>62</v>
      </c>
      <c r="AT5110" s="3" t="s">
        <v>62</v>
      </c>
      <c r="AV5110" s="6" t="str">
        <f>HYPERLINK("http://mcgill.on.worldcat.org/oclc/6015859","Catalog Record")</f>
        <v>Catalog Record</v>
      </c>
      <c r="AW5110" s="6" t="str">
        <f>HYPERLINK("http://www.worldcat.org/oclc/6015859","WorldCat Record")</f>
        <v>WorldCat Record</v>
      </c>
      <c r="AX5110" s="3" t="s">
        <v>48922</v>
      </c>
      <c r="AY5110" s="3" t="s">
        <v>48935</v>
      </c>
      <c r="AZ5110" s="3" t="s">
        <v>48936</v>
      </c>
      <c r="BA5110" s="3" t="s">
        <v>48936</v>
      </c>
      <c r="BB5110" s="3" t="s">
        <v>48937</v>
      </c>
      <c r="BC5110" s="3" t="s">
        <v>142</v>
      </c>
      <c r="BD5110" s="3" t="s">
        <v>68</v>
      </c>
      <c r="BE5110" s="3" t="s">
        <v>48938</v>
      </c>
      <c r="BF5110" s="3" t="s">
        <v>48937</v>
      </c>
      <c r="BG5110" s="3" t="s">
        <v>48939</v>
      </c>
    </row>
    <row r="5111" spans="1:59" ht="57" x14ac:dyDescent="0.45">
      <c r="A5111" s="2" t="s">
        <v>59</v>
      </c>
      <c r="B5111" s="2" t="s">
        <v>60</v>
      </c>
      <c r="C5111" s="2" t="s">
        <v>48929</v>
      </c>
      <c r="D5111" s="2" t="s">
        <v>48930</v>
      </c>
      <c r="E5111" s="2" t="s">
        <v>48918</v>
      </c>
      <c r="F5111" s="3" t="s">
        <v>43338</v>
      </c>
      <c r="G5111" s="3" t="s">
        <v>61</v>
      </c>
      <c r="I5111" s="3" t="s">
        <v>62</v>
      </c>
      <c r="J5111" s="3" t="s">
        <v>61</v>
      </c>
      <c r="K5111" s="3" t="s">
        <v>63</v>
      </c>
      <c r="L5111" s="2" t="s">
        <v>48919</v>
      </c>
      <c r="M5111" s="2" t="s">
        <v>48932</v>
      </c>
      <c r="N5111" s="3" t="s">
        <v>117</v>
      </c>
      <c r="P5111" s="3" t="s">
        <v>65</v>
      </c>
      <c r="Q5111" s="2" t="s">
        <v>48933</v>
      </c>
      <c r="R5111" s="3" t="s">
        <v>66</v>
      </c>
      <c r="S5111" s="4">
        <v>10</v>
      </c>
      <c r="T5111" s="4">
        <v>11</v>
      </c>
      <c r="U5111" s="5" t="s">
        <v>13916</v>
      </c>
      <c r="V5111" s="5" t="s">
        <v>13916</v>
      </c>
      <c r="W5111" s="5" t="s">
        <v>67</v>
      </c>
      <c r="X5111" s="5" t="s">
        <v>67</v>
      </c>
      <c r="Y5111" s="4">
        <v>329</v>
      </c>
      <c r="Z5111" s="4">
        <v>17</v>
      </c>
      <c r="AA5111" s="4">
        <v>22</v>
      </c>
      <c r="AB5111" s="4">
        <v>2</v>
      </c>
      <c r="AC5111" s="4">
        <v>5</v>
      </c>
      <c r="AD5111" s="4">
        <v>101</v>
      </c>
      <c r="AE5111" s="4">
        <v>106</v>
      </c>
      <c r="AF5111" s="4">
        <v>1</v>
      </c>
      <c r="AG5111" s="4">
        <v>3</v>
      </c>
      <c r="AH5111" s="4">
        <v>93</v>
      </c>
      <c r="AI5111" s="4">
        <v>96</v>
      </c>
      <c r="AJ5111" s="4">
        <v>12</v>
      </c>
      <c r="AK5111" s="4">
        <v>16</v>
      </c>
      <c r="AL5111" s="4">
        <v>49</v>
      </c>
      <c r="AM5111" s="4">
        <v>50</v>
      </c>
      <c r="AN5111" s="4">
        <v>0</v>
      </c>
      <c r="AO5111" s="4">
        <v>0</v>
      </c>
      <c r="AP5111" s="4">
        <v>14</v>
      </c>
      <c r="AQ5111" s="4">
        <v>18</v>
      </c>
      <c r="AR5111" s="3" t="s">
        <v>62</v>
      </c>
      <c r="AS5111" s="3" t="s">
        <v>62</v>
      </c>
      <c r="AT5111" s="3" t="s">
        <v>62</v>
      </c>
      <c r="AV5111" s="6" t="str">
        <f>HYPERLINK("http://mcgill.on.worldcat.org/oclc/6015859","Catalog Record")</f>
        <v>Catalog Record</v>
      </c>
      <c r="AW5111" s="6" t="str">
        <f>HYPERLINK("http://www.worldcat.org/oclc/6015859","WorldCat Record")</f>
        <v>WorldCat Record</v>
      </c>
      <c r="AX5111" s="3" t="s">
        <v>48922</v>
      </c>
      <c r="AY5111" s="3" t="s">
        <v>48935</v>
      </c>
      <c r="AZ5111" s="3" t="s">
        <v>48936</v>
      </c>
      <c r="BA5111" s="3" t="s">
        <v>48936</v>
      </c>
      <c r="BB5111" s="3" t="s">
        <v>48940</v>
      </c>
      <c r="BC5111" s="3" t="s">
        <v>142</v>
      </c>
      <c r="BD5111" s="3" t="s">
        <v>68</v>
      </c>
      <c r="BE5111" s="3" t="s">
        <v>48938</v>
      </c>
      <c r="BF5111" s="3" t="s">
        <v>48940</v>
      </c>
      <c r="BG5111" s="3" t="s">
        <v>48941</v>
      </c>
    </row>
    <row r="5112" spans="1:59" ht="57" x14ac:dyDescent="0.45">
      <c r="A5112" s="2" t="s">
        <v>59</v>
      </c>
      <c r="B5112" s="2" t="s">
        <v>60</v>
      </c>
      <c r="C5112" s="2" t="s">
        <v>48942</v>
      </c>
      <c r="D5112" s="2" t="s">
        <v>48943</v>
      </c>
      <c r="E5112" s="2" t="s">
        <v>48944</v>
      </c>
      <c r="G5112" s="3" t="s">
        <v>62</v>
      </c>
      <c r="I5112" s="3" t="s">
        <v>62</v>
      </c>
      <c r="J5112" s="3" t="s">
        <v>62</v>
      </c>
      <c r="K5112" s="3" t="s">
        <v>63</v>
      </c>
      <c r="L5112" s="2" t="s">
        <v>48945</v>
      </c>
      <c r="M5112" s="2" t="s">
        <v>8328</v>
      </c>
      <c r="N5112" s="3" t="s">
        <v>1465</v>
      </c>
      <c r="P5112" s="3" t="s">
        <v>65</v>
      </c>
      <c r="Q5112" s="2" t="s">
        <v>48946</v>
      </c>
      <c r="R5112" s="3" t="s">
        <v>66</v>
      </c>
      <c r="S5112" s="4">
        <v>16</v>
      </c>
      <c r="T5112" s="4">
        <v>16</v>
      </c>
      <c r="U5112" s="5" t="s">
        <v>48761</v>
      </c>
      <c r="V5112" s="5" t="s">
        <v>48761</v>
      </c>
      <c r="W5112" s="5" t="s">
        <v>67</v>
      </c>
      <c r="X5112" s="5" t="s">
        <v>67</v>
      </c>
      <c r="Y5112" s="4">
        <v>151</v>
      </c>
      <c r="Z5112" s="4">
        <v>16</v>
      </c>
      <c r="AA5112" s="4">
        <v>22</v>
      </c>
      <c r="AB5112" s="4">
        <v>3</v>
      </c>
      <c r="AC5112" s="4">
        <v>7</v>
      </c>
      <c r="AD5112" s="4">
        <v>35</v>
      </c>
      <c r="AE5112" s="4">
        <v>40</v>
      </c>
      <c r="AF5112" s="4">
        <v>1</v>
      </c>
      <c r="AG5112" s="4">
        <v>3</v>
      </c>
      <c r="AH5112" s="4">
        <v>31</v>
      </c>
      <c r="AI5112" s="4">
        <v>33</v>
      </c>
      <c r="AJ5112" s="4">
        <v>12</v>
      </c>
      <c r="AK5112" s="4">
        <v>15</v>
      </c>
      <c r="AL5112" s="4">
        <v>17</v>
      </c>
      <c r="AM5112" s="4">
        <v>18</v>
      </c>
      <c r="AN5112" s="4">
        <v>0</v>
      </c>
      <c r="AO5112" s="4">
        <v>0</v>
      </c>
      <c r="AP5112" s="4">
        <v>12</v>
      </c>
      <c r="AQ5112" s="4">
        <v>16</v>
      </c>
      <c r="AR5112" s="3" t="s">
        <v>62</v>
      </c>
      <c r="AS5112" s="3" t="s">
        <v>62</v>
      </c>
      <c r="AT5112" s="3" t="s">
        <v>62</v>
      </c>
      <c r="AV5112" s="6" t="str">
        <f>HYPERLINK("http://mcgill.on.worldcat.org/oclc/260207746","Catalog Record")</f>
        <v>Catalog Record</v>
      </c>
      <c r="AW5112" s="6" t="str">
        <f>HYPERLINK("http://www.worldcat.org/oclc/260207746","WorldCat Record")</f>
        <v>WorldCat Record</v>
      </c>
      <c r="AX5112" s="3" t="s">
        <v>48947</v>
      </c>
      <c r="AY5112" s="3" t="s">
        <v>48948</v>
      </c>
      <c r="AZ5112" s="3" t="s">
        <v>48949</v>
      </c>
      <c r="BA5112" s="3" t="s">
        <v>48949</v>
      </c>
      <c r="BB5112" s="3" t="s">
        <v>48950</v>
      </c>
      <c r="BC5112" s="3" t="s">
        <v>142</v>
      </c>
      <c r="BD5112" s="3" t="s">
        <v>68</v>
      </c>
      <c r="BE5112" s="3" t="s">
        <v>48951</v>
      </c>
      <c r="BF5112" s="3" t="s">
        <v>48950</v>
      </c>
      <c r="BG5112" s="3" t="s">
        <v>48952</v>
      </c>
    </row>
    <row r="5113" spans="1:59" ht="57" x14ac:dyDescent="0.45">
      <c r="A5113" s="2" t="s">
        <v>59</v>
      </c>
      <c r="B5113" s="2" t="s">
        <v>60</v>
      </c>
      <c r="C5113" s="2" t="s">
        <v>48953</v>
      </c>
      <c r="D5113" s="2" t="s">
        <v>48954</v>
      </c>
      <c r="E5113" s="2" t="s">
        <v>48955</v>
      </c>
      <c r="G5113" s="3" t="s">
        <v>62</v>
      </c>
      <c r="I5113" s="3" t="s">
        <v>61</v>
      </c>
      <c r="J5113" s="3" t="s">
        <v>62</v>
      </c>
      <c r="K5113" s="3" t="s">
        <v>63</v>
      </c>
      <c r="L5113" s="2" t="s">
        <v>32055</v>
      </c>
      <c r="M5113" s="2" t="s">
        <v>48956</v>
      </c>
      <c r="N5113" s="3" t="s">
        <v>48957</v>
      </c>
      <c r="P5113" s="3" t="s">
        <v>65</v>
      </c>
      <c r="Q5113" s="2" t="s">
        <v>48958</v>
      </c>
      <c r="R5113" s="3" t="s">
        <v>66</v>
      </c>
      <c r="S5113" s="4">
        <v>0</v>
      </c>
      <c r="T5113" s="4">
        <v>4</v>
      </c>
      <c r="V5113" s="5" t="s">
        <v>33176</v>
      </c>
      <c r="W5113" s="5" t="s">
        <v>67</v>
      </c>
      <c r="X5113" s="5" t="s">
        <v>67</v>
      </c>
      <c r="Y5113" s="4">
        <v>683</v>
      </c>
      <c r="Z5113" s="4">
        <v>27</v>
      </c>
      <c r="AA5113" s="4">
        <v>45</v>
      </c>
      <c r="AB5113" s="4">
        <v>3</v>
      </c>
      <c r="AC5113" s="4">
        <v>6</v>
      </c>
      <c r="AD5113" s="4">
        <v>115</v>
      </c>
      <c r="AE5113" s="4">
        <v>128</v>
      </c>
      <c r="AF5113" s="4">
        <v>1</v>
      </c>
      <c r="AG5113" s="4">
        <v>4</v>
      </c>
      <c r="AH5113" s="4">
        <v>96</v>
      </c>
      <c r="AI5113" s="4">
        <v>101</v>
      </c>
      <c r="AJ5113" s="4">
        <v>14</v>
      </c>
      <c r="AK5113" s="4">
        <v>22</v>
      </c>
      <c r="AL5113" s="4">
        <v>55</v>
      </c>
      <c r="AM5113" s="4">
        <v>55</v>
      </c>
      <c r="AN5113" s="4">
        <v>0</v>
      </c>
      <c r="AO5113" s="4">
        <v>0</v>
      </c>
      <c r="AP5113" s="4">
        <v>22</v>
      </c>
      <c r="AQ5113" s="4">
        <v>33</v>
      </c>
      <c r="AR5113" s="3" t="s">
        <v>62</v>
      </c>
      <c r="AS5113" s="3" t="s">
        <v>61</v>
      </c>
      <c r="AT5113" s="3" t="s">
        <v>62</v>
      </c>
      <c r="AU5113" s="6" t="str">
        <f>HYPERLINK("http://catalog.hathitrust.org/Record/001181105","HathiTrust Record")</f>
        <v>HathiTrust Record</v>
      </c>
      <c r="AV5113" s="6" t="str">
        <f>HYPERLINK("http://mcgill.on.worldcat.org/oclc/316210","Catalog Record")</f>
        <v>Catalog Record</v>
      </c>
      <c r="AW5113" s="6" t="str">
        <f>HYPERLINK("http://www.worldcat.org/oclc/316210","WorldCat Record")</f>
        <v>WorldCat Record</v>
      </c>
      <c r="AX5113" s="3" t="s">
        <v>48959</v>
      </c>
      <c r="AY5113" s="3" t="s">
        <v>48960</v>
      </c>
      <c r="AZ5113" s="3" t="s">
        <v>48961</v>
      </c>
      <c r="BA5113" s="3" t="s">
        <v>48961</v>
      </c>
      <c r="BB5113" s="3" t="s">
        <v>48962</v>
      </c>
      <c r="BC5113" s="3" t="s">
        <v>142</v>
      </c>
      <c r="BD5113" s="3" t="s">
        <v>68</v>
      </c>
      <c r="BE5113" s="3" t="s">
        <v>48963</v>
      </c>
      <c r="BF5113" s="3" t="s">
        <v>48962</v>
      </c>
      <c r="BG5113" s="3" t="s">
        <v>48964</v>
      </c>
    </row>
    <row r="5114" spans="1:59" ht="57" x14ac:dyDescent="0.45">
      <c r="A5114" s="2" t="s">
        <v>59</v>
      </c>
      <c r="B5114" s="2" t="s">
        <v>60</v>
      </c>
      <c r="C5114" s="2" t="s">
        <v>48953</v>
      </c>
      <c r="D5114" s="2" t="s">
        <v>48954</v>
      </c>
      <c r="E5114" s="2" t="s">
        <v>48955</v>
      </c>
      <c r="G5114" s="3" t="s">
        <v>62</v>
      </c>
      <c r="I5114" s="3" t="s">
        <v>61</v>
      </c>
      <c r="J5114" s="3" t="s">
        <v>62</v>
      </c>
      <c r="K5114" s="3" t="s">
        <v>63</v>
      </c>
      <c r="L5114" s="2" t="s">
        <v>32055</v>
      </c>
      <c r="M5114" s="2" t="s">
        <v>48956</v>
      </c>
      <c r="N5114" s="3" t="s">
        <v>48957</v>
      </c>
      <c r="P5114" s="3" t="s">
        <v>65</v>
      </c>
      <c r="Q5114" s="2" t="s">
        <v>48958</v>
      </c>
      <c r="R5114" s="3" t="s">
        <v>66</v>
      </c>
      <c r="S5114" s="4">
        <v>2</v>
      </c>
      <c r="T5114" s="4">
        <v>4</v>
      </c>
      <c r="U5114" s="5" t="s">
        <v>33176</v>
      </c>
      <c r="V5114" s="5" t="s">
        <v>33176</v>
      </c>
      <c r="W5114" s="5" t="s">
        <v>67</v>
      </c>
      <c r="X5114" s="5" t="s">
        <v>67</v>
      </c>
      <c r="Y5114" s="4">
        <v>683</v>
      </c>
      <c r="Z5114" s="4">
        <v>27</v>
      </c>
      <c r="AA5114" s="4">
        <v>45</v>
      </c>
      <c r="AB5114" s="4">
        <v>3</v>
      </c>
      <c r="AC5114" s="4">
        <v>6</v>
      </c>
      <c r="AD5114" s="4">
        <v>115</v>
      </c>
      <c r="AE5114" s="4">
        <v>128</v>
      </c>
      <c r="AF5114" s="4">
        <v>1</v>
      </c>
      <c r="AG5114" s="4">
        <v>4</v>
      </c>
      <c r="AH5114" s="4">
        <v>96</v>
      </c>
      <c r="AI5114" s="4">
        <v>101</v>
      </c>
      <c r="AJ5114" s="4">
        <v>14</v>
      </c>
      <c r="AK5114" s="4">
        <v>22</v>
      </c>
      <c r="AL5114" s="4">
        <v>55</v>
      </c>
      <c r="AM5114" s="4">
        <v>55</v>
      </c>
      <c r="AN5114" s="4">
        <v>0</v>
      </c>
      <c r="AO5114" s="4">
        <v>0</v>
      </c>
      <c r="AP5114" s="4">
        <v>22</v>
      </c>
      <c r="AQ5114" s="4">
        <v>33</v>
      </c>
      <c r="AR5114" s="3" t="s">
        <v>62</v>
      </c>
      <c r="AS5114" s="3" t="s">
        <v>61</v>
      </c>
      <c r="AT5114" s="3" t="s">
        <v>62</v>
      </c>
      <c r="AU5114" s="6" t="str">
        <f>HYPERLINK("http://catalog.hathitrust.org/Record/001181105","HathiTrust Record")</f>
        <v>HathiTrust Record</v>
      </c>
      <c r="AV5114" s="6" t="str">
        <f>HYPERLINK("http://mcgill.on.worldcat.org/oclc/316210","Catalog Record")</f>
        <v>Catalog Record</v>
      </c>
      <c r="AW5114" s="6" t="str">
        <f>HYPERLINK("http://www.worldcat.org/oclc/316210","WorldCat Record")</f>
        <v>WorldCat Record</v>
      </c>
      <c r="AX5114" s="3" t="s">
        <v>48959</v>
      </c>
      <c r="AY5114" s="3" t="s">
        <v>48960</v>
      </c>
      <c r="AZ5114" s="3" t="s">
        <v>48961</v>
      </c>
      <c r="BA5114" s="3" t="s">
        <v>48961</v>
      </c>
      <c r="BB5114" s="3" t="s">
        <v>48965</v>
      </c>
      <c r="BC5114" s="3" t="s">
        <v>142</v>
      </c>
      <c r="BD5114" s="3" t="s">
        <v>68</v>
      </c>
      <c r="BE5114" s="3" t="s">
        <v>48963</v>
      </c>
      <c r="BF5114" s="3" t="s">
        <v>48965</v>
      </c>
      <c r="BG5114" s="3" t="s">
        <v>48966</v>
      </c>
    </row>
    <row r="5115" spans="1:59" ht="57" x14ac:dyDescent="0.45">
      <c r="A5115" s="2" t="s">
        <v>59</v>
      </c>
      <c r="B5115" s="2" t="s">
        <v>60</v>
      </c>
      <c r="C5115" s="2" t="s">
        <v>48967</v>
      </c>
      <c r="D5115" s="2" t="s">
        <v>48968</v>
      </c>
      <c r="E5115" s="2" t="s">
        <v>48969</v>
      </c>
      <c r="G5115" s="3" t="s">
        <v>62</v>
      </c>
      <c r="I5115" s="3" t="s">
        <v>62</v>
      </c>
      <c r="J5115" s="3" t="s">
        <v>61</v>
      </c>
      <c r="K5115" s="3" t="s">
        <v>63</v>
      </c>
      <c r="L5115" s="2" t="s">
        <v>791</v>
      </c>
      <c r="M5115" s="2" t="s">
        <v>48970</v>
      </c>
      <c r="N5115" s="3" t="s">
        <v>471</v>
      </c>
      <c r="P5115" s="3" t="s">
        <v>65</v>
      </c>
      <c r="Q5115" s="2" t="s">
        <v>48971</v>
      </c>
      <c r="R5115" s="3" t="s">
        <v>66</v>
      </c>
      <c r="S5115" s="4">
        <v>2</v>
      </c>
      <c r="T5115" s="4">
        <v>2</v>
      </c>
      <c r="U5115" s="5" t="s">
        <v>795</v>
      </c>
      <c r="V5115" s="5" t="s">
        <v>795</v>
      </c>
      <c r="W5115" s="5" t="s">
        <v>67</v>
      </c>
      <c r="X5115" s="5" t="s">
        <v>67</v>
      </c>
      <c r="Y5115" s="4">
        <v>634</v>
      </c>
      <c r="Z5115" s="4">
        <v>26</v>
      </c>
      <c r="AA5115" s="4">
        <v>43</v>
      </c>
      <c r="AB5115" s="4">
        <v>2</v>
      </c>
      <c r="AC5115" s="4">
        <v>5</v>
      </c>
      <c r="AD5115" s="4">
        <v>106</v>
      </c>
      <c r="AE5115" s="4">
        <v>126</v>
      </c>
      <c r="AF5115" s="4">
        <v>1</v>
      </c>
      <c r="AG5115" s="4">
        <v>3</v>
      </c>
      <c r="AH5115" s="4">
        <v>89</v>
      </c>
      <c r="AI5115" s="4">
        <v>103</v>
      </c>
      <c r="AJ5115" s="4">
        <v>14</v>
      </c>
      <c r="AK5115" s="4">
        <v>21</v>
      </c>
      <c r="AL5115" s="4">
        <v>51</v>
      </c>
      <c r="AM5115" s="4">
        <v>55</v>
      </c>
      <c r="AN5115" s="4">
        <v>0</v>
      </c>
      <c r="AO5115" s="4">
        <v>0</v>
      </c>
      <c r="AP5115" s="4">
        <v>21</v>
      </c>
      <c r="AQ5115" s="4">
        <v>30</v>
      </c>
      <c r="AR5115" s="3" t="s">
        <v>62</v>
      </c>
      <c r="AS5115" s="3" t="s">
        <v>62</v>
      </c>
      <c r="AT5115" s="3" t="s">
        <v>61</v>
      </c>
      <c r="AU5115" s="6" t="str">
        <f>HYPERLINK("http://catalog.hathitrust.org/Record/001435301","HathiTrust Record")</f>
        <v>HathiTrust Record</v>
      </c>
      <c r="AV5115" s="6" t="str">
        <f>HYPERLINK("http://mcgill.on.worldcat.org/oclc/312691","Catalog Record")</f>
        <v>Catalog Record</v>
      </c>
      <c r="AW5115" s="6" t="str">
        <f>HYPERLINK("http://www.worldcat.org/oclc/312691","WorldCat Record")</f>
        <v>WorldCat Record</v>
      </c>
      <c r="AX5115" s="3" t="s">
        <v>48972</v>
      </c>
      <c r="AY5115" s="3" t="s">
        <v>48973</v>
      </c>
      <c r="AZ5115" s="3" t="s">
        <v>48974</v>
      </c>
      <c r="BA5115" s="3" t="s">
        <v>48974</v>
      </c>
      <c r="BB5115" s="3" t="s">
        <v>48975</v>
      </c>
      <c r="BC5115" s="3" t="s">
        <v>142</v>
      </c>
      <c r="BD5115" s="3" t="s">
        <v>68</v>
      </c>
      <c r="BF5115" s="3" t="s">
        <v>48975</v>
      </c>
      <c r="BG5115" s="3" t="s">
        <v>48976</v>
      </c>
    </row>
    <row r="5116" spans="1:59" ht="57" x14ac:dyDescent="0.45">
      <c r="A5116" s="2" t="s">
        <v>59</v>
      </c>
      <c r="B5116" s="2" t="s">
        <v>60</v>
      </c>
      <c r="C5116" s="2" t="s">
        <v>48977</v>
      </c>
      <c r="D5116" s="2" t="s">
        <v>48978</v>
      </c>
      <c r="E5116" s="2" t="s">
        <v>48979</v>
      </c>
      <c r="G5116" s="3" t="s">
        <v>62</v>
      </c>
      <c r="I5116" s="3" t="s">
        <v>62</v>
      </c>
      <c r="J5116" s="3" t="s">
        <v>62</v>
      </c>
      <c r="K5116" s="3" t="s">
        <v>63</v>
      </c>
      <c r="M5116" s="2" t="s">
        <v>48980</v>
      </c>
      <c r="N5116" s="3" t="s">
        <v>1073</v>
      </c>
      <c r="P5116" s="3" t="s">
        <v>182</v>
      </c>
      <c r="R5116" s="3" t="s">
        <v>66</v>
      </c>
      <c r="S5116" s="4">
        <v>1</v>
      </c>
      <c r="T5116" s="4">
        <v>1</v>
      </c>
      <c r="U5116" s="5" t="s">
        <v>23463</v>
      </c>
      <c r="V5116" s="5" t="s">
        <v>23463</v>
      </c>
      <c r="W5116" s="5" t="s">
        <v>67</v>
      </c>
      <c r="X5116" s="5" t="s">
        <v>67</v>
      </c>
      <c r="Y5116" s="4">
        <v>27</v>
      </c>
      <c r="Z5116" s="4">
        <v>3</v>
      </c>
      <c r="AA5116" s="4">
        <v>3</v>
      </c>
      <c r="AB5116" s="4">
        <v>1</v>
      </c>
      <c r="AC5116" s="4">
        <v>1</v>
      </c>
      <c r="AD5116" s="4">
        <v>13</v>
      </c>
      <c r="AE5116" s="4">
        <v>13</v>
      </c>
      <c r="AF5116" s="4">
        <v>0</v>
      </c>
      <c r="AG5116" s="4">
        <v>0</v>
      </c>
      <c r="AH5116" s="4">
        <v>12</v>
      </c>
      <c r="AI5116" s="4">
        <v>12</v>
      </c>
      <c r="AJ5116" s="4">
        <v>2</v>
      </c>
      <c r="AK5116" s="4">
        <v>2</v>
      </c>
      <c r="AL5116" s="4">
        <v>8</v>
      </c>
      <c r="AM5116" s="4">
        <v>8</v>
      </c>
      <c r="AN5116" s="4">
        <v>5</v>
      </c>
      <c r="AO5116" s="4">
        <v>5</v>
      </c>
      <c r="AP5116" s="4">
        <v>2</v>
      </c>
      <c r="AQ5116" s="4">
        <v>2</v>
      </c>
      <c r="AR5116" s="3" t="s">
        <v>62</v>
      </c>
      <c r="AS5116" s="3" t="s">
        <v>62</v>
      </c>
      <c r="AT5116" s="3" t="s">
        <v>61</v>
      </c>
      <c r="AU5116" s="6" t="str">
        <f>HYPERLINK("http://catalog.hathitrust.org/Record/102008348","HathiTrust Record")</f>
        <v>HathiTrust Record</v>
      </c>
      <c r="AV5116" s="6" t="str">
        <f>HYPERLINK("http://mcgill.on.worldcat.org/oclc/3748840","Catalog Record")</f>
        <v>Catalog Record</v>
      </c>
      <c r="AW5116" s="6" t="str">
        <f>HYPERLINK("http://www.worldcat.org/oclc/3748840","WorldCat Record")</f>
        <v>WorldCat Record</v>
      </c>
      <c r="AX5116" s="3" t="s">
        <v>48981</v>
      </c>
      <c r="AY5116" s="3" t="s">
        <v>48982</v>
      </c>
      <c r="AZ5116" s="3" t="s">
        <v>48983</v>
      </c>
      <c r="BA5116" s="3" t="s">
        <v>48983</v>
      </c>
      <c r="BB5116" s="3" t="s">
        <v>48984</v>
      </c>
      <c r="BC5116" s="3" t="s">
        <v>142</v>
      </c>
      <c r="BD5116" s="3" t="s">
        <v>68</v>
      </c>
      <c r="BF5116" s="3" t="s">
        <v>48984</v>
      </c>
      <c r="BG5116" s="3" t="s">
        <v>48985</v>
      </c>
    </row>
    <row r="5117" spans="1:59" ht="57" x14ac:dyDescent="0.45">
      <c r="A5117" s="2" t="s">
        <v>59</v>
      </c>
      <c r="B5117" s="2" t="s">
        <v>60</v>
      </c>
      <c r="C5117" s="2" t="s">
        <v>48986</v>
      </c>
      <c r="D5117" s="2" t="s">
        <v>48987</v>
      </c>
      <c r="E5117" s="2" t="s">
        <v>48988</v>
      </c>
      <c r="G5117" s="3" t="s">
        <v>62</v>
      </c>
      <c r="I5117" s="3" t="s">
        <v>62</v>
      </c>
      <c r="J5117" s="3" t="s">
        <v>62</v>
      </c>
      <c r="K5117" s="3" t="s">
        <v>63</v>
      </c>
      <c r="L5117" s="2" t="s">
        <v>48989</v>
      </c>
      <c r="M5117" s="2" t="s">
        <v>48990</v>
      </c>
      <c r="N5117" s="3" t="s">
        <v>894</v>
      </c>
      <c r="P5117" s="3" t="s">
        <v>110</v>
      </c>
      <c r="Q5117" s="2" t="s">
        <v>48991</v>
      </c>
      <c r="R5117" s="3" t="s">
        <v>66</v>
      </c>
      <c r="S5117" s="4">
        <v>0</v>
      </c>
      <c r="T5117" s="4">
        <v>0</v>
      </c>
      <c r="W5117" s="5" t="s">
        <v>67</v>
      </c>
      <c r="X5117" s="5" t="s">
        <v>67</v>
      </c>
      <c r="Y5117" s="4">
        <v>25</v>
      </c>
      <c r="Z5117" s="4">
        <v>3</v>
      </c>
      <c r="AA5117" s="4">
        <v>7</v>
      </c>
      <c r="AB5117" s="4">
        <v>1</v>
      </c>
      <c r="AC5117" s="4">
        <v>4</v>
      </c>
      <c r="AD5117" s="4">
        <v>12</v>
      </c>
      <c r="AE5117" s="4">
        <v>16</v>
      </c>
      <c r="AF5117" s="4">
        <v>0</v>
      </c>
      <c r="AG5117" s="4">
        <v>3</v>
      </c>
      <c r="AH5117" s="4">
        <v>11</v>
      </c>
      <c r="AI5117" s="4">
        <v>13</v>
      </c>
      <c r="AJ5117" s="4">
        <v>1</v>
      </c>
      <c r="AK5117" s="4">
        <v>5</v>
      </c>
      <c r="AL5117" s="4">
        <v>12</v>
      </c>
      <c r="AM5117" s="4">
        <v>12</v>
      </c>
      <c r="AN5117" s="4">
        <v>0</v>
      </c>
      <c r="AO5117" s="4">
        <v>0</v>
      </c>
      <c r="AP5117" s="4">
        <v>1</v>
      </c>
      <c r="AQ5117" s="4">
        <v>4</v>
      </c>
      <c r="AR5117" s="3" t="s">
        <v>62</v>
      </c>
      <c r="AS5117" s="3" t="s">
        <v>62</v>
      </c>
      <c r="AT5117" s="3" t="s">
        <v>62</v>
      </c>
      <c r="AV5117" s="6" t="str">
        <f>HYPERLINK("http://mcgill.on.worldcat.org/oclc/728831154","Catalog Record")</f>
        <v>Catalog Record</v>
      </c>
      <c r="AW5117" s="6" t="str">
        <f>HYPERLINK("http://www.worldcat.org/oclc/728831154","WorldCat Record")</f>
        <v>WorldCat Record</v>
      </c>
      <c r="AX5117" s="3" t="s">
        <v>48992</v>
      </c>
      <c r="AY5117" s="3" t="s">
        <v>48993</v>
      </c>
      <c r="AZ5117" s="3" t="s">
        <v>48994</v>
      </c>
      <c r="BA5117" s="3" t="s">
        <v>48994</v>
      </c>
      <c r="BB5117" s="3" t="s">
        <v>48995</v>
      </c>
      <c r="BC5117" s="3" t="s">
        <v>142</v>
      </c>
      <c r="BD5117" s="3" t="s">
        <v>68</v>
      </c>
      <c r="BE5117" s="3" t="s">
        <v>48996</v>
      </c>
      <c r="BF5117" s="3" t="s">
        <v>48995</v>
      </c>
      <c r="BG5117" s="3" t="s">
        <v>48997</v>
      </c>
    </row>
    <row r="5118" spans="1:59" ht="57" x14ac:dyDescent="0.45">
      <c r="A5118" s="2" t="s">
        <v>59</v>
      </c>
      <c r="B5118" s="2" t="s">
        <v>60</v>
      </c>
      <c r="C5118" s="2" t="s">
        <v>48998</v>
      </c>
      <c r="D5118" s="2" t="s">
        <v>48999</v>
      </c>
      <c r="E5118" s="2" t="s">
        <v>49000</v>
      </c>
      <c r="G5118" s="3" t="s">
        <v>62</v>
      </c>
      <c r="I5118" s="3" t="s">
        <v>62</v>
      </c>
      <c r="J5118" s="3" t="s">
        <v>62</v>
      </c>
      <c r="K5118" s="3" t="s">
        <v>63</v>
      </c>
      <c r="M5118" s="2" t="s">
        <v>49001</v>
      </c>
      <c r="N5118" s="3" t="s">
        <v>958</v>
      </c>
      <c r="P5118" s="3" t="s">
        <v>65</v>
      </c>
      <c r="R5118" s="3" t="s">
        <v>66</v>
      </c>
      <c r="S5118" s="4">
        <v>25</v>
      </c>
      <c r="T5118" s="4">
        <v>25</v>
      </c>
      <c r="U5118" s="5" t="s">
        <v>5139</v>
      </c>
      <c r="V5118" s="5" t="s">
        <v>5139</v>
      </c>
      <c r="W5118" s="5" t="s">
        <v>67</v>
      </c>
      <c r="X5118" s="5" t="s">
        <v>67</v>
      </c>
      <c r="Y5118" s="4">
        <v>191</v>
      </c>
      <c r="Z5118" s="4">
        <v>13</v>
      </c>
      <c r="AA5118" s="4">
        <v>16</v>
      </c>
      <c r="AB5118" s="4">
        <v>1</v>
      </c>
      <c r="AC5118" s="4">
        <v>4</v>
      </c>
      <c r="AD5118" s="4">
        <v>71</v>
      </c>
      <c r="AE5118" s="4">
        <v>79</v>
      </c>
      <c r="AF5118" s="4">
        <v>0</v>
      </c>
      <c r="AG5118" s="4">
        <v>0</v>
      </c>
      <c r="AH5118" s="4">
        <v>65</v>
      </c>
      <c r="AI5118" s="4">
        <v>73</v>
      </c>
      <c r="AJ5118" s="4">
        <v>11</v>
      </c>
      <c r="AK5118" s="4">
        <v>11</v>
      </c>
      <c r="AL5118" s="4">
        <v>37</v>
      </c>
      <c r="AM5118" s="4">
        <v>39</v>
      </c>
      <c r="AN5118" s="4">
        <v>0</v>
      </c>
      <c r="AO5118" s="4">
        <v>0</v>
      </c>
      <c r="AP5118" s="4">
        <v>12</v>
      </c>
      <c r="AQ5118" s="4">
        <v>12</v>
      </c>
      <c r="AR5118" s="3" t="s">
        <v>62</v>
      </c>
      <c r="AS5118" s="3" t="s">
        <v>62</v>
      </c>
      <c r="AT5118" s="3" t="s">
        <v>62</v>
      </c>
      <c r="AV5118" s="6" t="str">
        <f>HYPERLINK("http://mcgill.on.worldcat.org/oclc/34016365","Catalog Record")</f>
        <v>Catalog Record</v>
      </c>
      <c r="AW5118" s="6" t="str">
        <f>HYPERLINK("http://www.worldcat.org/oclc/34016365","WorldCat Record")</f>
        <v>WorldCat Record</v>
      </c>
      <c r="AX5118" s="3" t="s">
        <v>49002</v>
      </c>
      <c r="AY5118" s="3" t="s">
        <v>49003</v>
      </c>
      <c r="AZ5118" s="3" t="s">
        <v>49004</v>
      </c>
      <c r="BA5118" s="3" t="s">
        <v>49004</v>
      </c>
      <c r="BB5118" s="3" t="s">
        <v>49005</v>
      </c>
      <c r="BC5118" s="3" t="s">
        <v>142</v>
      </c>
      <c r="BD5118" s="3" t="s">
        <v>68</v>
      </c>
      <c r="BE5118" s="3" t="s">
        <v>49006</v>
      </c>
      <c r="BF5118" s="3" t="s">
        <v>49005</v>
      </c>
      <c r="BG5118" s="3" t="s">
        <v>49007</v>
      </c>
    </row>
    <row r="5119" spans="1:59" ht="57" x14ac:dyDescent="0.45">
      <c r="A5119" s="2" t="s">
        <v>59</v>
      </c>
      <c r="B5119" s="2" t="s">
        <v>60</v>
      </c>
      <c r="C5119" s="2" t="s">
        <v>49008</v>
      </c>
      <c r="D5119" s="2" t="s">
        <v>49009</v>
      </c>
      <c r="E5119" s="2" t="s">
        <v>49010</v>
      </c>
      <c r="G5119" s="3" t="s">
        <v>62</v>
      </c>
      <c r="I5119" s="3" t="s">
        <v>62</v>
      </c>
      <c r="J5119" s="3" t="s">
        <v>62</v>
      </c>
      <c r="K5119" s="3" t="s">
        <v>63</v>
      </c>
      <c r="L5119" s="2" t="s">
        <v>49011</v>
      </c>
      <c r="M5119" s="2" t="s">
        <v>49012</v>
      </c>
      <c r="N5119" s="3" t="s">
        <v>135</v>
      </c>
      <c r="O5119" s="2" t="s">
        <v>49013</v>
      </c>
      <c r="P5119" s="3" t="s">
        <v>182</v>
      </c>
      <c r="R5119" s="3" t="s">
        <v>66</v>
      </c>
      <c r="S5119" s="4">
        <v>2</v>
      </c>
      <c r="T5119" s="4">
        <v>2</v>
      </c>
      <c r="U5119" s="5" t="s">
        <v>23463</v>
      </c>
      <c r="V5119" s="5" t="s">
        <v>23463</v>
      </c>
      <c r="W5119" s="5" t="s">
        <v>67</v>
      </c>
      <c r="X5119" s="5" t="s">
        <v>67</v>
      </c>
      <c r="Y5119" s="4">
        <v>15</v>
      </c>
      <c r="Z5119" s="4">
        <v>7</v>
      </c>
      <c r="AA5119" s="4">
        <v>8</v>
      </c>
      <c r="AB5119" s="4">
        <v>1</v>
      </c>
      <c r="AC5119" s="4">
        <v>1</v>
      </c>
      <c r="AD5119" s="4">
        <v>5</v>
      </c>
      <c r="AE5119" s="4">
        <v>25</v>
      </c>
      <c r="AF5119" s="4">
        <v>0</v>
      </c>
      <c r="AG5119" s="4">
        <v>0</v>
      </c>
      <c r="AH5119" s="4">
        <v>5</v>
      </c>
      <c r="AI5119" s="4">
        <v>22</v>
      </c>
      <c r="AJ5119" s="4">
        <v>3</v>
      </c>
      <c r="AK5119" s="4">
        <v>4</v>
      </c>
      <c r="AL5119" s="4">
        <v>2</v>
      </c>
      <c r="AM5119" s="4">
        <v>19</v>
      </c>
      <c r="AN5119" s="4">
        <v>0</v>
      </c>
      <c r="AO5119" s="4">
        <v>0</v>
      </c>
      <c r="AP5119" s="4">
        <v>3</v>
      </c>
      <c r="AQ5119" s="4">
        <v>4</v>
      </c>
      <c r="AR5119" s="3" t="s">
        <v>62</v>
      </c>
      <c r="AS5119" s="3" t="s">
        <v>62</v>
      </c>
      <c r="AT5119" s="3" t="s">
        <v>62</v>
      </c>
      <c r="AV5119" s="6" t="str">
        <f>HYPERLINK("http://mcgill.on.worldcat.org/oclc/213821697","Catalog Record")</f>
        <v>Catalog Record</v>
      </c>
      <c r="AW5119" s="6" t="str">
        <f>HYPERLINK("http://www.worldcat.org/oclc/213821697","WorldCat Record")</f>
        <v>WorldCat Record</v>
      </c>
      <c r="AX5119" s="3" t="s">
        <v>49014</v>
      </c>
      <c r="AY5119" s="3" t="s">
        <v>49015</v>
      </c>
      <c r="AZ5119" s="3" t="s">
        <v>49016</v>
      </c>
      <c r="BA5119" s="3" t="s">
        <v>49016</v>
      </c>
      <c r="BB5119" s="3" t="s">
        <v>49017</v>
      </c>
      <c r="BC5119" s="3" t="s">
        <v>142</v>
      </c>
      <c r="BD5119" s="3" t="s">
        <v>68</v>
      </c>
      <c r="BF5119" s="3" t="s">
        <v>49017</v>
      </c>
      <c r="BG5119" s="3" t="s">
        <v>49018</v>
      </c>
    </row>
    <row r="5120" spans="1:59" ht="57" x14ac:dyDescent="0.45">
      <c r="A5120" s="2" t="s">
        <v>59</v>
      </c>
      <c r="B5120" s="2" t="s">
        <v>60</v>
      </c>
      <c r="C5120" s="2" t="s">
        <v>49019</v>
      </c>
      <c r="D5120" s="2" t="s">
        <v>49020</v>
      </c>
      <c r="E5120" s="2" t="s">
        <v>49021</v>
      </c>
      <c r="G5120" s="3" t="s">
        <v>62</v>
      </c>
      <c r="I5120" s="3" t="s">
        <v>62</v>
      </c>
      <c r="J5120" s="3" t="s">
        <v>61</v>
      </c>
      <c r="K5120" s="3" t="s">
        <v>63</v>
      </c>
      <c r="L5120" s="2" t="s">
        <v>49022</v>
      </c>
      <c r="M5120" s="2" t="s">
        <v>49023</v>
      </c>
      <c r="N5120" s="3" t="s">
        <v>894</v>
      </c>
      <c r="O5120" s="2" t="s">
        <v>36124</v>
      </c>
      <c r="P5120" s="3" t="s">
        <v>110</v>
      </c>
      <c r="Q5120" s="2" t="s">
        <v>49024</v>
      </c>
      <c r="R5120" s="3" t="s">
        <v>66</v>
      </c>
      <c r="S5120" s="4">
        <v>5</v>
      </c>
      <c r="T5120" s="4">
        <v>5</v>
      </c>
      <c r="U5120" s="5" t="s">
        <v>20894</v>
      </c>
      <c r="V5120" s="5" t="s">
        <v>20894</v>
      </c>
      <c r="W5120" s="5" t="s">
        <v>67</v>
      </c>
      <c r="X5120" s="5" t="s">
        <v>67</v>
      </c>
      <c r="Y5120" s="4">
        <v>1</v>
      </c>
      <c r="Z5120" s="4">
        <v>1</v>
      </c>
      <c r="AA5120" s="4">
        <v>19</v>
      </c>
      <c r="AB5120" s="4">
        <v>1</v>
      </c>
      <c r="AC5120" s="4">
        <v>12</v>
      </c>
      <c r="AD5120" s="4">
        <v>0</v>
      </c>
      <c r="AE5120" s="4">
        <v>16</v>
      </c>
      <c r="AF5120" s="4">
        <v>0</v>
      </c>
      <c r="AG5120" s="4">
        <v>5</v>
      </c>
      <c r="AH5120" s="4">
        <v>0</v>
      </c>
      <c r="AI5120" s="4">
        <v>9</v>
      </c>
      <c r="AJ5120" s="4">
        <v>0</v>
      </c>
      <c r="AK5120" s="4">
        <v>9</v>
      </c>
      <c r="AL5120" s="4">
        <v>0</v>
      </c>
      <c r="AM5120" s="4">
        <v>3</v>
      </c>
      <c r="AN5120" s="4">
        <v>0</v>
      </c>
      <c r="AO5120" s="4">
        <v>0</v>
      </c>
      <c r="AP5120" s="4">
        <v>0</v>
      </c>
      <c r="AQ5120" s="4">
        <v>11</v>
      </c>
      <c r="AR5120" s="3" t="s">
        <v>62</v>
      </c>
      <c r="AS5120" s="3" t="s">
        <v>62</v>
      </c>
      <c r="AT5120" s="3" t="s">
        <v>62</v>
      </c>
      <c r="AV5120" s="6" t="str">
        <f>HYPERLINK("http://mcgill.on.worldcat.org/oclc/905372289","Catalog Record")</f>
        <v>Catalog Record</v>
      </c>
      <c r="AW5120" s="6" t="str">
        <f>HYPERLINK("http://www.worldcat.org/oclc/905372289","WorldCat Record")</f>
        <v>WorldCat Record</v>
      </c>
      <c r="AX5120" s="3" t="s">
        <v>49025</v>
      </c>
      <c r="AY5120" s="3" t="s">
        <v>49026</v>
      </c>
      <c r="AZ5120" s="3" t="s">
        <v>49027</v>
      </c>
      <c r="BA5120" s="3" t="s">
        <v>49027</v>
      </c>
      <c r="BB5120" s="3" t="s">
        <v>49028</v>
      </c>
      <c r="BC5120" s="3" t="s">
        <v>142</v>
      </c>
      <c r="BD5120" s="3" t="s">
        <v>68</v>
      </c>
      <c r="BE5120" s="3" t="s">
        <v>49029</v>
      </c>
      <c r="BF5120" s="3" t="s">
        <v>49028</v>
      </c>
      <c r="BG5120" s="3" t="s">
        <v>49030</v>
      </c>
    </row>
    <row r="5121" spans="1:59" ht="57" x14ac:dyDescent="0.45">
      <c r="A5121" s="2" t="s">
        <v>59</v>
      </c>
      <c r="B5121" s="2" t="s">
        <v>60</v>
      </c>
      <c r="C5121" s="2" t="s">
        <v>49031</v>
      </c>
      <c r="D5121" s="2" t="s">
        <v>49032</v>
      </c>
      <c r="E5121" s="2" t="s">
        <v>49021</v>
      </c>
      <c r="G5121" s="3" t="s">
        <v>62</v>
      </c>
      <c r="I5121" s="3" t="s">
        <v>62</v>
      </c>
      <c r="J5121" s="3" t="s">
        <v>61</v>
      </c>
      <c r="K5121" s="3" t="s">
        <v>63</v>
      </c>
      <c r="L5121" s="2" t="s">
        <v>49022</v>
      </c>
      <c r="M5121" s="2" t="s">
        <v>36123</v>
      </c>
      <c r="N5121" s="3" t="s">
        <v>208</v>
      </c>
      <c r="O5121" s="2" t="s">
        <v>49033</v>
      </c>
      <c r="P5121" s="3" t="s">
        <v>110</v>
      </c>
      <c r="Q5121" s="2" t="s">
        <v>49034</v>
      </c>
      <c r="R5121" s="3" t="s">
        <v>66</v>
      </c>
      <c r="S5121" s="4">
        <v>0</v>
      </c>
      <c r="T5121" s="4">
        <v>0</v>
      </c>
      <c r="W5121" s="5" t="s">
        <v>2406</v>
      </c>
      <c r="X5121" s="5" t="s">
        <v>2406</v>
      </c>
      <c r="Y5121" s="4">
        <v>2</v>
      </c>
      <c r="Z5121" s="4">
        <v>1</v>
      </c>
      <c r="AA5121" s="4">
        <v>19</v>
      </c>
      <c r="AB5121" s="4">
        <v>1</v>
      </c>
      <c r="AC5121" s="4">
        <v>12</v>
      </c>
      <c r="AD5121" s="4">
        <v>0</v>
      </c>
      <c r="AE5121" s="4">
        <v>16</v>
      </c>
      <c r="AF5121" s="4">
        <v>0</v>
      </c>
      <c r="AG5121" s="4">
        <v>5</v>
      </c>
      <c r="AH5121" s="4">
        <v>0</v>
      </c>
      <c r="AI5121" s="4">
        <v>9</v>
      </c>
      <c r="AJ5121" s="4">
        <v>0</v>
      </c>
      <c r="AK5121" s="4">
        <v>9</v>
      </c>
      <c r="AL5121" s="4">
        <v>0</v>
      </c>
      <c r="AM5121" s="4">
        <v>3</v>
      </c>
      <c r="AN5121" s="4">
        <v>0</v>
      </c>
      <c r="AO5121" s="4">
        <v>0</v>
      </c>
      <c r="AP5121" s="4">
        <v>0</v>
      </c>
      <c r="AQ5121" s="4">
        <v>11</v>
      </c>
      <c r="AR5121" s="3" t="s">
        <v>62</v>
      </c>
      <c r="AS5121" s="3" t="s">
        <v>62</v>
      </c>
      <c r="AT5121" s="3" t="s">
        <v>62</v>
      </c>
      <c r="AV5121" s="6" t="str">
        <f>HYPERLINK("http://mcgill.on.worldcat.org/oclc/974375312","Catalog Record")</f>
        <v>Catalog Record</v>
      </c>
      <c r="AW5121" s="6" t="str">
        <f>HYPERLINK("http://www.worldcat.org/oclc/974375312","WorldCat Record")</f>
        <v>WorldCat Record</v>
      </c>
      <c r="AX5121" s="3" t="s">
        <v>49025</v>
      </c>
      <c r="AY5121" s="3" t="s">
        <v>49035</v>
      </c>
      <c r="AZ5121" s="3" t="s">
        <v>49036</v>
      </c>
      <c r="BA5121" s="3" t="s">
        <v>49036</v>
      </c>
      <c r="BB5121" s="3" t="s">
        <v>49037</v>
      </c>
      <c r="BC5121" s="3" t="s">
        <v>142</v>
      </c>
      <c r="BD5121" s="3" t="s">
        <v>68</v>
      </c>
      <c r="BE5121" s="3" t="s">
        <v>49038</v>
      </c>
      <c r="BF5121" s="3" t="s">
        <v>49037</v>
      </c>
      <c r="BG5121" s="3" t="s">
        <v>49039</v>
      </c>
    </row>
    <row r="5122" spans="1:59" ht="71.25" x14ac:dyDescent="0.45">
      <c r="A5122" s="2" t="s">
        <v>59</v>
      </c>
      <c r="B5122" s="2" t="s">
        <v>60</v>
      </c>
      <c r="C5122" s="2" t="s">
        <v>49040</v>
      </c>
      <c r="D5122" s="2" t="s">
        <v>49041</v>
      </c>
      <c r="E5122" s="2" t="s">
        <v>49042</v>
      </c>
      <c r="G5122" s="3" t="s">
        <v>62</v>
      </c>
      <c r="I5122" s="3" t="s">
        <v>62</v>
      </c>
      <c r="J5122" s="3" t="s">
        <v>62</v>
      </c>
      <c r="K5122" s="3" t="s">
        <v>63</v>
      </c>
      <c r="L5122" s="2" t="s">
        <v>49043</v>
      </c>
      <c r="M5122" s="2" t="s">
        <v>49044</v>
      </c>
      <c r="N5122" s="3" t="s">
        <v>1073</v>
      </c>
      <c r="P5122" s="3" t="s">
        <v>110</v>
      </c>
      <c r="R5122" s="3" t="s">
        <v>66</v>
      </c>
      <c r="S5122" s="4">
        <v>4</v>
      </c>
      <c r="T5122" s="4">
        <v>4</v>
      </c>
      <c r="U5122" s="5" t="s">
        <v>49045</v>
      </c>
      <c r="V5122" s="5" t="s">
        <v>49045</v>
      </c>
      <c r="W5122" s="5" t="s">
        <v>67</v>
      </c>
      <c r="X5122" s="5" t="s">
        <v>67</v>
      </c>
      <c r="Y5122" s="4">
        <v>52</v>
      </c>
      <c r="Z5122" s="4">
        <v>11</v>
      </c>
      <c r="AA5122" s="4">
        <v>14</v>
      </c>
      <c r="AB5122" s="4">
        <v>5</v>
      </c>
      <c r="AC5122" s="4">
        <v>5</v>
      </c>
      <c r="AD5122" s="4">
        <v>14</v>
      </c>
      <c r="AE5122" s="4">
        <v>18</v>
      </c>
      <c r="AF5122" s="4">
        <v>3</v>
      </c>
      <c r="AG5122" s="4">
        <v>3</v>
      </c>
      <c r="AH5122" s="4">
        <v>7</v>
      </c>
      <c r="AI5122" s="4">
        <v>10</v>
      </c>
      <c r="AJ5122" s="4">
        <v>5</v>
      </c>
      <c r="AK5122" s="4">
        <v>7</v>
      </c>
      <c r="AL5122" s="4">
        <v>4</v>
      </c>
      <c r="AM5122" s="4">
        <v>5</v>
      </c>
      <c r="AN5122" s="4">
        <v>0</v>
      </c>
      <c r="AO5122" s="4">
        <v>0</v>
      </c>
      <c r="AP5122" s="4">
        <v>7</v>
      </c>
      <c r="AQ5122" s="4">
        <v>10</v>
      </c>
      <c r="AR5122" s="3" t="s">
        <v>62</v>
      </c>
      <c r="AS5122" s="3" t="s">
        <v>62</v>
      </c>
      <c r="AT5122" s="3" t="s">
        <v>62</v>
      </c>
      <c r="AV5122" s="6" t="str">
        <f>HYPERLINK("http://mcgill.on.worldcat.org/oclc/25437727","Catalog Record")</f>
        <v>Catalog Record</v>
      </c>
      <c r="AW5122" s="6" t="str">
        <f>HYPERLINK("http://www.worldcat.org/oclc/25437727","WorldCat Record")</f>
        <v>WorldCat Record</v>
      </c>
      <c r="AX5122" s="3" t="s">
        <v>49046</v>
      </c>
      <c r="AY5122" s="3" t="s">
        <v>49047</v>
      </c>
      <c r="AZ5122" s="3" t="s">
        <v>49048</v>
      </c>
      <c r="BA5122" s="3" t="s">
        <v>49048</v>
      </c>
      <c r="BB5122" s="3" t="s">
        <v>49049</v>
      </c>
      <c r="BC5122" s="3" t="s">
        <v>142</v>
      </c>
      <c r="BD5122" s="3" t="s">
        <v>68</v>
      </c>
      <c r="BF5122" s="3" t="s">
        <v>49049</v>
      </c>
      <c r="BG5122" s="3" t="s">
        <v>49050</v>
      </c>
    </row>
    <row r="5123" spans="1:59" ht="57" x14ac:dyDescent="0.45">
      <c r="A5123" s="2" t="s">
        <v>13313</v>
      </c>
      <c r="B5123" s="2" t="s">
        <v>60</v>
      </c>
      <c r="C5123" s="2" t="s">
        <v>49051</v>
      </c>
      <c r="D5123" s="2" t="s">
        <v>49052</v>
      </c>
      <c r="E5123" s="2" t="s">
        <v>49053</v>
      </c>
      <c r="G5123" s="3" t="s">
        <v>62</v>
      </c>
      <c r="I5123" s="3" t="s">
        <v>62</v>
      </c>
      <c r="J5123" s="3" t="s">
        <v>61</v>
      </c>
      <c r="K5123" s="3" t="s">
        <v>63</v>
      </c>
      <c r="L5123" s="2" t="s">
        <v>45018</v>
      </c>
      <c r="M5123" s="2" t="s">
        <v>44576</v>
      </c>
      <c r="N5123" s="3" t="s">
        <v>918</v>
      </c>
      <c r="O5123" s="2" t="s">
        <v>933</v>
      </c>
      <c r="P5123" s="3" t="s">
        <v>65</v>
      </c>
      <c r="R5123" s="3" t="s">
        <v>66</v>
      </c>
      <c r="S5123" s="4">
        <v>31</v>
      </c>
      <c r="T5123" s="4">
        <v>31</v>
      </c>
      <c r="U5123" s="5" t="s">
        <v>49054</v>
      </c>
      <c r="V5123" s="5" t="s">
        <v>49054</v>
      </c>
      <c r="W5123" s="5" t="s">
        <v>67</v>
      </c>
      <c r="X5123" s="5" t="s">
        <v>67</v>
      </c>
      <c r="Y5123" s="4">
        <v>207</v>
      </c>
      <c r="Z5123" s="4">
        <v>18</v>
      </c>
      <c r="AA5123" s="4">
        <v>70</v>
      </c>
      <c r="AB5123" s="4">
        <v>2</v>
      </c>
      <c r="AC5123" s="4">
        <v>10</v>
      </c>
      <c r="AD5123" s="4">
        <v>59</v>
      </c>
      <c r="AE5123" s="4">
        <v>120</v>
      </c>
      <c r="AF5123" s="4">
        <v>1</v>
      </c>
      <c r="AG5123" s="4">
        <v>4</v>
      </c>
      <c r="AH5123" s="4">
        <v>54</v>
      </c>
      <c r="AI5123" s="4">
        <v>93</v>
      </c>
      <c r="AJ5123" s="4">
        <v>12</v>
      </c>
      <c r="AK5123" s="4">
        <v>22</v>
      </c>
      <c r="AL5123" s="4">
        <v>31</v>
      </c>
      <c r="AM5123" s="4">
        <v>49</v>
      </c>
      <c r="AN5123" s="4">
        <v>0</v>
      </c>
      <c r="AO5123" s="4">
        <v>0</v>
      </c>
      <c r="AP5123" s="4">
        <v>13</v>
      </c>
      <c r="AQ5123" s="4">
        <v>33</v>
      </c>
      <c r="AR5123" s="3" t="s">
        <v>62</v>
      </c>
      <c r="AS5123" s="3" t="s">
        <v>62</v>
      </c>
      <c r="AT5123" s="3" t="s">
        <v>62</v>
      </c>
      <c r="AV5123" s="6" t="str">
        <f>HYPERLINK("http://mcgill.on.worldcat.org/oclc/50198698","Catalog Record")</f>
        <v>Catalog Record</v>
      </c>
      <c r="AW5123" s="6" t="str">
        <f>HYPERLINK("http://www.worldcat.org/oclc/50198698","WorldCat Record")</f>
        <v>WorldCat Record</v>
      </c>
      <c r="AX5123" s="3" t="s">
        <v>49055</v>
      </c>
      <c r="AY5123" s="3" t="s">
        <v>49056</v>
      </c>
      <c r="AZ5123" s="3" t="s">
        <v>49057</v>
      </c>
      <c r="BA5123" s="3" t="s">
        <v>49057</v>
      </c>
      <c r="BB5123" s="3" t="s">
        <v>49058</v>
      </c>
      <c r="BC5123" s="3" t="s">
        <v>142</v>
      </c>
      <c r="BD5123" s="3" t="s">
        <v>68</v>
      </c>
      <c r="BE5123" s="3" t="s">
        <v>49059</v>
      </c>
      <c r="BF5123" s="3" t="s">
        <v>49058</v>
      </c>
      <c r="BG5123" s="3" t="s">
        <v>49060</v>
      </c>
    </row>
    <row r="5124" spans="1:59" ht="57" x14ac:dyDescent="0.45">
      <c r="A5124" s="2" t="s">
        <v>59</v>
      </c>
      <c r="B5124" s="2" t="s">
        <v>60</v>
      </c>
      <c r="C5124" s="2" t="s">
        <v>49061</v>
      </c>
      <c r="D5124" s="2" t="s">
        <v>49062</v>
      </c>
      <c r="E5124" s="2" t="s">
        <v>49053</v>
      </c>
      <c r="G5124" s="3" t="s">
        <v>62</v>
      </c>
      <c r="I5124" s="3" t="s">
        <v>61</v>
      </c>
      <c r="J5124" s="3" t="s">
        <v>61</v>
      </c>
      <c r="K5124" s="3" t="s">
        <v>63</v>
      </c>
      <c r="L5124" s="2" t="s">
        <v>45018</v>
      </c>
      <c r="M5124" s="2" t="s">
        <v>49063</v>
      </c>
      <c r="N5124" s="3" t="s">
        <v>1155</v>
      </c>
      <c r="O5124" s="2" t="s">
        <v>906</v>
      </c>
      <c r="P5124" s="3" t="s">
        <v>65</v>
      </c>
      <c r="R5124" s="3" t="s">
        <v>66</v>
      </c>
      <c r="S5124" s="4">
        <v>22</v>
      </c>
      <c r="T5124" s="4">
        <v>67</v>
      </c>
      <c r="U5124" s="5" t="s">
        <v>8318</v>
      </c>
      <c r="V5124" s="5" t="s">
        <v>28177</v>
      </c>
      <c r="W5124" s="5" t="s">
        <v>67</v>
      </c>
      <c r="X5124" s="5" t="s">
        <v>67</v>
      </c>
      <c r="Y5124" s="4">
        <v>94</v>
      </c>
      <c r="Z5124" s="4">
        <v>6</v>
      </c>
      <c r="AA5124" s="4">
        <v>70</v>
      </c>
      <c r="AB5124" s="4">
        <v>1</v>
      </c>
      <c r="AC5124" s="4">
        <v>10</v>
      </c>
      <c r="AD5124" s="4">
        <v>24</v>
      </c>
      <c r="AE5124" s="4">
        <v>120</v>
      </c>
      <c r="AF5124" s="4">
        <v>0</v>
      </c>
      <c r="AG5124" s="4">
        <v>4</v>
      </c>
      <c r="AH5124" s="4">
        <v>24</v>
      </c>
      <c r="AI5124" s="4">
        <v>93</v>
      </c>
      <c r="AJ5124" s="4">
        <v>4</v>
      </c>
      <c r="AK5124" s="4">
        <v>22</v>
      </c>
      <c r="AL5124" s="4">
        <v>16</v>
      </c>
      <c r="AM5124" s="4">
        <v>49</v>
      </c>
      <c r="AN5124" s="4">
        <v>0</v>
      </c>
      <c r="AO5124" s="4">
        <v>0</v>
      </c>
      <c r="AP5124" s="4">
        <v>4</v>
      </c>
      <c r="AQ5124" s="4">
        <v>33</v>
      </c>
      <c r="AR5124" s="3" t="s">
        <v>62</v>
      </c>
      <c r="AS5124" s="3" t="s">
        <v>62</v>
      </c>
      <c r="AT5124" s="3" t="s">
        <v>62</v>
      </c>
      <c r="AV5124" s="6" t="str">
        <f>HYPERLINK("http://mcgill.on.worldcat.org/oclc/706804040","Catalog Record")</f>
        <v>Catalog Record</v>
      </c>
      <c r="AW5124" s="6" t="str">
        <f>HYPERLINK("http://www.worldcat.org/oclc/706804040","WorldCat Record")</f>
        <v>WorldCat Record</v>
      </c>
      <c r="AX5124" s="3" t="s">
        <v>49055</v>
      </c>
      <c r="AY5124" s="3" t="s">
        <v>49064</v>
      </c>
      <c r="AZ5124" s="3" t="s">
        <v>49065</v>
      </c>
      <c r="BA5124" s="3" t="s">
        <v>49065</v>
      </c>
      <c r="BB5124" s="3" t="s">
        <v>49066</v>
      </c>
      <c r="BC5124" s="3" t="s">
        <v>142</v>
      </c>
      <c r="BD5124" s="3" t="s">
        <v>68</v>
      </c>
      <c r="BE5124" s="3" t="s">
        <v>49067</v>
      </c>
      <c r="BF5124" s="3" t="s">
        <v>49066</v>
      </c>
      <c r="BG5124" s="3" t="s">
        <v>49068</v>
      </c>
    </row>
    <row r="5125" spans="1:59" ht="57" x14ac:dyDescent="0.45">
      <c r="A5125" s="2" t="s">
        <v>59</v>
      </c>
      <c r="B5125" s="2" t="s">
        <v>60</v>
      </c>
      <c r="C5125" s="2" t="s">
        <v>49061</v>
      </c>
      <c r="D5125" s="2" t="s">
        <v>49062</v>
      </c>
      <c r="E5125" s="2" t="s">
        <v>49053</v>
      </c>
      <c r="G5125" s="3" t="s">
        <v>62</v>
      </c>
      <c r="I5125" s="3" t="s">
        <v>61</v>
      </c>
      <c r="J5125" s="3" t="s">
        <v>61</v>
      </c>
      <c r="K5125" s="3" t="s">
        <v>63</v>
      </c>
      <c r="L5125" s="2" t="s">
        <v>45018</v>
      </c>
      <c r="M5125" s="2" t="s">
        <v>49063</v>
      </c>
      <c r="N5125" s="3" t="s">
        <v>1155</v>
      </c>
      <c r="O5125" s="2" t="s">
        <v>906</v>
      </c>
      <c r="P5125" s="3" t="s">
        <v>65</v>
      </c>
      <c r="R5125" s="3" t="s">
        <v>66</v>
      </c>
      <c r="S5125" s="4">
        <v>15</v>
      </c>
      <c r="T5125" s="4">
        <v>67</v>
      </c>
      <c r="U5125" s="5" t="s">
        <v>28865</v>
      </c>
      <c r="V5125" s="5" t="s">
        <v>28177</v>
      </c>
      <c r="W5125" s="5" t="s">
        <v>67</v>
      </c>
      <c r="X5125" s="5" t="s">
        <v>67</v>
      </c>
      <c r="Y5125" s="4">
        <v>94</v>
      </c>
      <c r="Z5125" s="4">
        <v>6</v>
      </c>
      <c r="AA5125" s="4">
        <v>70</v>
      </c>
      <c r="AB5125" s="4">
        <v>1</v>
      </c>
      <c r="AC5125" s="4">
        <v>10</v>
      </c>
      <c r="AD5125" s="4">
        <v>24</v>
      </c>
      <c r="AE5125" s="4">
        <v>120</v>
      </c>
      <c r="AF5125" s="4">
        <v>0</v>
      </c>
      <c r="AG5125" s="4">
        <v>4</v>
      </c>
      <c r="AH5125" s="4">
        <v>24</v>
      </c>
      <c r="AI5125" s="4">
        <v>93</v>
      </c>
      <c r="AJ5125" s="4">
        <v>4</v>
      </c>
      <c r="AK5125" s="4">
        <v>22</v>
      </c>
      <c r="AL5125" s="4">
        <v>16</v>
      </c>
      <c r="AM5125" s="4">
        <v>49</v>
      </c>
      <c r="AN5125" s="4">
        <v>0</v>
      </c>
      <c r="AO5125" s="4">
        <v>0</v>
      </c>
      <c r="AP5125" s="4">
        <v>4</v>
      </c>
      <c r="AQ5125" s="4">
        <v>33</v>
      </c>
      <c r="AR5125" s="3" t="s">
        <v>62</v>
      </c>
      <c r="AS5125" s="3" t="s">
        <v>62</v>
      </c>
      <c r="AT5125" s="3" t="s">
        <v>62</v>
      </c>
      <c r="AV5125" s="6" t="str">
        <f>HYPERLINK("http://mcgill.on.worldcat.org/oclc/706804040","Catalog Record")</f>
        <v>Catalog Record</v>
      </c>
      <c r="AW5125" s="6" t="str">
        <f>HYPERLINK("http://www.worldcat.org/oclc/706804040","WorldCat Record")</f>
        <v>WorldCat Record</v>
      </c>
      <c r="AX5125" s="3" t="s">
        <v>49055</v>
      </c>
      <c r="AY5125" s="3" t="s">
        <v>49064</v>
      </c>
      <c r="AZ5125" s="3" t="s">
        <v>49065</v>
      </c>
      <c r="BA5125" s="3" t="s">
        <v>49065</v>
      </c>
      <c r="BB5125" s="3" t="s">
        <v>49069</v>
      </c>
      <c r="BC5125" s="3" t="s">
        <v>142</v>
      </c>
      <c r="BD5125" s="3" t="s">
        <v>68</v>
      </c>
      <c r="BE5125" s="3" t="s">
        <v>49067</v>
      </c>
      <c r="BF5125" s="3" t="s">
        <v>49069</v>
      </c>
      <c r="BG5125" s="3" t="s">
        <v>49070</v>
      </c>
    </row>
    <row r="5126" spans="1:59" ht="57" x14ac:dyDescent="0.45">
      <c r="A5126" s="2" t="s">
        <v>59</v>
      </c>
      <c r="B5126" s="2" t="s">
        <v>60</v>
      </c>
      <c r="C5126" s="2" t="s">
        <v>49061</v>
      </c>
      <c r="D5126" s="2" t="s">
        <v>49062</v>
      </c>
      <c r="E5126" s="2" t="s">
        <v>49053</v>
      </c>
      <c r="G5126" s="3" t="s">
        <v>62</v>
      </c>
      <c r="I5126" s="3" t="s">
        <v>61</v>
      </c>
      <c r="J5126" s="3" t="s">
        <v>61</v>
      </c>
      <c r="K5126" s="3" t="s">
        <v>63</v>
      </c>
      <c r="L5126" s="2" t="s">
        <v>45018</v>
      </c>
      <c r="M5126" s="2" t="s">
        <v>49063</v>
      </c>
      <c r="N5126" s="3" t="s">
        <v>1155</v>
      </c>
      <c r="O5126" s="2" t="s">
        <v>906</v>
      </c>
      <c r="P5126" s="3" t="s">
        <v>65</v>
      </c>
      <c r="R5126" s="3" t="s">
        <v>66</v>
      </c>
      <c r="S5126" s="4">
        <v>30</v>
      </c>
      <c r="T5126" s="4">
        <v>67</v>
      </c>
      <c r="U5126" s="5" t="s">
        <v>28177</v>
      </c>
      <c r="V5126" s="5" t="s">
        <v>28177</v>
      </c>
      <c r="W5126" s="5" t="s">
        <v>67</v>
      </c>
      <c r="X5126" s="5" t="s">
        <v>67</v>
      </c>
      <c r="Y5126" s="4">
        <v>94</v>
      </c>
      <c r="Z5126" s="4">
        <v>6</v>
      </c>
      <c r="AA5126" s="4">
        <v>70</v>
      </c>
      <c r="AB5126" s="4">
        <v>1</v>
      </c>
      <c r="AC5126" s="4">
        <v>10</v>
      </c>
      <c r="AD5126" s="4">
        <v>24</v>
      </c>
      <c r="AE5126" s="4">
        <v>120</v>
      </c>
      <c r="AF5126" s="4">
        <v>0</v>
      </c>
      <c r="AG5126" s="4">
        <v>4</v>
      </c>
      <c r="AH5126" s="4">
        <v>24</v>
      </c>
      <c r="AI5126" s="4">
        <v>93</v>
      </c>
      <c r="AJ5126" s="4">
        <v>4</v>
      </c>
      <c r="AK5126" s="4">
        <v>22</v>
      </c>
      <c r="AL5126" s="4">
        <v>16</v>
      </c>
      <c r="AM5126" s="4">
        <v>49</v>
      </c>
      <c r="AN5126" s="4">
        <v>0</v>
      </c>
      <c r="AO5126" s="4">
        <v>0</v>
      </c>
      <c r="AP5126" s="4">
        <v>4</v>
      </c>
      <c r="AQ5126" s="4">
        <v>33</v>
      </c>
      <c r="AR5126" s="3" t="s">
        <v>62</v>
      </c>
      <c r="AS5126" s="3" t="s">
        <v>62</v>
      </c>
      <c r="AT5126" s="3" t="s">
        <v>62</v>
      </c>
      <c r="AV5126" s="6" t="str">
        <f>HYPERLINK("http://mcgill.on.worldcat.org/oclc/706804040","Catalog Record")</f>
        <v>Catalog Record</v>
      </c>
      <c r="AW5126" s="6" t="str">
        <f>HYPERLINK("http://www.worldcat.org/oclc/706804040","WorldCat Record")</f>
        <v>WorldCat Record</v>
      </c>
      <c r="AX5126" s="3" t="s">
        <v>49055</v>
      </c>
      <c r="AY5126" s="3" t="s">
        <v>49064</v>
      </c>
      <c r="AZ5126" s="3" t="s">
        <v>49065</v>
      </c>
      <c r="BA5126" s="3" t="s">
        <v>49065</v>
      </c>
      <c r="BB5126" s="3" t="s">
        <v>49071</v>
      </c>
      <c r="BC5126" s="3" t="s">
        <v>142</v>
      </c>
      <c r="BD5126" s="3" t="s">
        <v>68</v>
      </c>
      <c r="BE5126" s="3" t="s">
        <v>49067</v>
      </c>
      <c r="BF5126" s="3" t="s">
        <v>49071</v>
      </c>
      <c r="BG5126" s="3" t="s">
        <v>49072</v>
      </c>
    </row>
    <row r="5127" spans="1:59" ht="57" x14ac:dyDescent="0.45">
      <c r="A5127" s="2" t="s">
        <v>59</v>
      </c>
      <c r="B5127" s="2" t="s">
        <v>60</v>
      </c>
      <c r="C5127" s="2" t="s">
        <v>49073</v>
      </c>
      <c r="D5127" s="2" t="s">
        <v>49074</v>
      </c>
      <c r="E5127" s="2" t="s">
        <v>49075</v>
      </c>
      <c r="G5127" s="3" t="s">
        <v>62</v>
      </c>
      <c r="I5127" s="3" t="s">
        <v>62</v>
      </c>
      <c r="J5127" s="3" t="s">
        <v>61</v>
      </c>
      <c r="K5127" s="3" t="s">
        <v>63</v>
      </c>
      <c r="L5127" s="2" t="s">
        <v>49076</v>
      </c>
      <c r="M5127" s="2" t="s">
        <v>49077</v>
      </c>
      <c r="N5127" s="3" t="s">
        <v>970</v>
      </c>
      <c r="O5127" s="2" t="s">
        <v>933</v>
      </c>
      <c r="P5127" s="3" t="s">
        <v>65</v>
      </c>
      <c r="R5127" s="3" t="s">
        <v>66</v>
      </c>
      <c r="S5127" s="4">
        <v>20</v>
      </c>
      <c r="T5127" s="4">
        <v>20</v>
      </c>
      <c r="U5127" s="5" t="s">
        <v>14606</v>
      </c>
      <c r="V5127" s="5" t="s">
        <v>14606</v>
      </c>
      <c r="W5127" s="5" t="s">
        <v>67</v>
      </c>
      <c r="X5127" s="5" t="s">
        <v>67</v>
      </c>
      <c r="Y5127" s="4">
        <v>167</v>
      </c>
      <c r="Z5127" s="4">
        <v>11</v>
      </c>
      <c r="AA5127" s="4">
        <v>28</v>
      </c>
      <c r="AB5127" s="4">
        <v>1</v>
      </c>
      <c r="AC5127" s="4">
        <v>4</v>
      </c>
      <c r="AD5127" s="4">
        <v>47</v>
      </c>
      <c r="AE5127" s="4">
        <v>100</v>
      </c>
      <c r="AF5127" s="4">
        <v>0</v>
      </c>
      <c r="AG5127" s="4">
        <v>3</v>
      </c>
      <c r="AH5127" s="4">
        <v>44</v>
      </c>
      <c r="AI5127" s="4">
        <v>86</v>
      </c>
      <c r="AJ5127" s="4">
        <v>9</v>
      </c>
      <c r="AK5127" s="4">
        <v>21</v>
      </c>
      <c r="AL5127" s="4">
        <v>24</v>
      </c>
      <c r="AM5127" s="4">
        <v>47</v>
      </c>
      <c r="AN5127" s="4">
        <v>0</v>
      </c>
      <c r="AO5127" s="4">
        <v>0</v>
      </c>
      <c r="AP5127" s="4">
        <v>9</v>
      </c>
      <c r="AQ5127" s="4">
        <v>22</v>
      </c>
      <c r="AR5127" s="3" t="s">
        <v>62</v>
      </c>
      <c r="AS5127" s="3" t="s">
        <v>62</v>
      </c>
      <c r="AT5127" s="3" t="s">
        <v>61</v>
      </c>
      <c r="AU5127" s="6" t="str">
        <f>HYPERLINK("http://catalog.hathitrust.org/Record/007142610","HathiTrust Record")</f>
        <v>HathiTrust Record</v>
      </c>
      <c r="AV5127" s="6" t="str">
        <f>HYPERLINK("http://mcgill.on.worldcat.org/oclc/48024997","Catalog Record")</f>
        <v>Catalog Record</v>
      </c>
      <c r="AW5127" s="6" t="str">
        <f>HYPERLINK("http://www.worldcat.org/oclc/48024997","WorldCat Record")</f>
        <v>WorldCat Record</v>
      </c>
      <c r="AX5127" s="3" t="s">
        <v>49078</v>
      </c>
      <c r="AY5127" s="3" t="s">
        <v>49079</v>
      </c>
      <c r="AZ5127" s="3" t="s">
        <v>49080</v>
      </c>
      <c r="BA5127" s="3" t="s">
        <v>49080</v>
      </c>
      <c r="BB5127" s="3" t="s">
        <v>49081</v>
      </c>
      <c r="BC5127" s="3" t="s">
        <v>142</v>
      </c>
      <c r="BD5127" s="3" t="s">
        <v>68</v>
      </c>
      <c r="BE5127" s="3" t="s">
        <v>49082</v>
      </c>
      <c r="BF5127" s="3" t="s">
        <v>49081</v>
      </c>
      <c r="BG5127" s="3" t="s">
        <v>49083</v>
      </c>
    </row>
    <row r="5128" spans="1:59" ht="57" x14ac:dyDescent="0.45">
      <c r="A5128" s="2" t="s">
        <v>59</v>
      </c>
      <c r="B5128" s="2" t="s">
        <v>60</v>
      </c>
      <c r="C5128" s="2" t="s">
        <v>49084</v>
      </c>
      <c r="D5128" s="2" t="s">
        <v>49085</v>
      </c>
      <c r="E5128" s="2" t="s">
        <v>49086</v>
      </c>
      <c r="G5128" s="3" t="s">
        <v>62</v>
      </c>
      <c r="I5128" s="3" t="s">
        <v>62</v>
      </c>
      <c r="J5128" s="3" t="s">
        <v>61</v>
      </c>
      <c r="K5128" s="3" t="s">
        <v>63</v>
      </c>
      <c r="L5128" s="2" t="s">
        <v>48796</v>
      </c>
      <c r="M5128" s="2" t="s">
        <v>1536</v>
      </c>
      <c r="N5128" s="3" t="s">
        <v>1478</v>
      </c>
      <c r="O5128" s="2" t="s">
        <v>933</v>
      </c>
      <c r="P5128" s="3" t="s">
        <v>65</v>
      </c>
      <c r="R5128" s="3" t="s">
        <v>66</v>
      </c>
      <c r="S5128" s="4">
        <v>40</v>
      </c>
      <c r="T5128" s="4">
        <v>40</v>
      </c>
      <c r="U5128" s="5" t="s">
        <v>49087</v>
      </c>
      <c r="V5128" s="5" t="s">
        <v>49087</v>
      </c>
      <c r="W5128" s="5" t="s">
        <v>67</v>
      </c>
      <c r="X5128" s="5" t="s">
        <v>67</v>
      </c>
      <c r="Y5128" s="4">
        <v>259</v>
      </c>
      <c r="Z5128" s="4">
        <v>20</v>
      </c>
      <c r="AA5128" s="4">
        <v>44</v>
      </c>
      <c r="AB5128" s="4">
        <v>1</v>
      </c>
      <c r="AC5128" s="4">
        <v>9</v>
      </c>
      <c r="AD5128" s="4">
        <v>90</v>
      </c>
      <c r="AE5128" s="4">
        <v>136</v>
      </c>
      <c r="AF5128" s="4">
        <v>0</v>
      </c>
      <c r="AG5128" s="4">
        <v>4</v>
      </c>
      <c r="AH5128" s="4">
        <v>81</v>
      </c>
      <c r="AI5128" s="4">
        <v>109</v>
      </c>
      <c r="AJ5128" s="4">
        <v>13</v>
      </c>
      <c r="AK5128" s="4">
        <v>24</v>
      </c>
      <c r="AL5128" s="4">
        <v>50</v>
      </c>
      <c r="AM5128" s="4">
        <v>62</v>
      </c>
      <c r="AN5128" s="4">
        <v>0</v>
      </c>
      <c r="AO5128" s="4">
        <v>0</v>
      </c>
      <c r="AP5128" s="4">
        <v>14</v>
      </c>
      <c r="AQ5128" s="4">
        <v>32</v>
      </c>
      <c r="AR5128" s="3" t="s">
        <v>62</v>
      </c>
      <c r="AS5128" s="3" t="s">
        <v>62</v>
      </c>
      <c r="AT5128" s="3" t="s">
        <v>62</v>
      </c>
      <c r="AV5128" s="6" t="str">
        <f>HYPERLINK("http://mcgill.on.worldcat.org/oclc/32468547","Catalog Record")</f>
        <v>Catalog Record</v>
      </c>
      <c r="AW5128" s="6" t="str">
        <f>HYPERLINK("http://www.worldcat.org/oclc/32468547","WorldCat Record")</f>
        <v>WorldCat Record</v>
      </c>
      <c r="AX5128" s="3" t="s">
        <v>49088</v>
      </c>
      <c r="AY5128" s="3" t="s">
        <v>49089</v>
      </c>
      <c r="AZ5128" s="3" t="s">
        <v>49090</v>
      </c>
      <c r="BA5128" s="3" t="s">
        <v>49090</v>
      </c>
      <c r="BB5128" s="3" t="s">
        <v>49091</v>
      </c>
      <c r="BC5128" s="3" t="s">
        <v>142</v>
      </c>
      <c r="BD5128" s="3" t="s">
        <v>68</v>
      </c>
      <c r="BE5128" s="3" t="s">
        <v>49092</v>
      </c>
      <c r="BF5128" s="3" t="s">
        <v>49091</v>
      </c>
      <c r="BG5128" s="3" t="s">
        <v>49093</v>
      </c>
    </row>
    <row r="5129" spans="1:59" ht="57" x14ac:dyDescent="0.45">
      <c r="A5129" s="2" t="s">
        <v>59</v>
      </c>
      <c r="B5129" s="2" t="s">
        <v>60</v>
      </c>
      <c r="C5129" s="2" t="s">
        <v>49094</v>
      </c>
      <c r="D5129" s="2" t="s">
        <v>49095</v>
      </c>
      <c r="E5129" s="2" t="s">
        <v>49096</v>
      </c>
      <c r="G5129" s="3" t="s">
        <v>62</v>
      </c>
      <c r="I5129" s="3" t="s">
        <v>62</v>
      </c>
      <c r="J5129" s="3" t="s">
        <v>62</v>
      </c>
      <c r="K5129" s="3" t="s">
        <v>63</v>
      </c>
      <c r="L5129" s="2" t="s">
        <v>49097</v>
      </c>
      <c r="M5129" s="2" t="s">
        <v>49098</v>
      </c>
      <c r="N5129" s="3" t="s">
        <v>1437</v>
      </c>
      <c r="P5129" s="3" t="s">
        <v>65</v>
      </c>
      <c r="Q5129" s="2" t="s">
        <v>49099</v>
      </c>
      <c r="R5129" s="3" t="s">
        <v>66</v>
      </c>
      <c r="S5129" s="4">
        <v>31</v>
      </c>
      <c r="T5129" s="4">
        <v>31</v>
      </c>
      <c r="U5129" s="5" t="s">
        <v>13497</v>
      </c>
      <c r="V5129" s="5" t="s">
        <v>13497</v>
      </c>
      <c r="W5129" s="5" t="s">
        <v>67</v>
      </c>
      <c r="X5129" s="5" t="s">
        <v>67</v>
      </c>
      <c r="Y5129" s="4">
        <v>311</v>
      </c>
      <c r="Z5129" s="4">
        <v>21</v>
      </c>
      <c r="AA5129" s="4">
        <v>96</v>
      </c>
      <c r="AB5129" s="4">
        <v>1</v>
      </c>
      <c r="AC5129" s="4">
        <v>17</v>
      </c>
      <c r="AD5129" s="4">
        <v>102</v>
      </c>
      <c r="AE5129" s="4">
        <v>149</v>
      </c>
      <c r="AF5129" s="4">
        <v>0</v>
      </c>
      <c r="AG5129" s="4">
        <v>8</v>
      </c>
      <c r="AH5129" s="4">
        <v>91</v>
      </c>
      <c r="AI5129" s="4">
        <v>112</v>
      </c>
      <c r="AJ5129" s="4">
        <v>14</v>
      </c>
      <c r="AK5129" s="4">
        <v>26</v>
      </c>
      <c r="AL5129" s="4">
        <v>53</v>
      </c>
      <c r="AM5129" s="4">
        <v>59</v>
      </c>
      <c r="AN5129" s="4">
        <v>0</v>
      </c>
      <c r="AO5129" s="4">
        <v>0</v>
      </c>
      <c r="AP5129" s="4">
        <v>18</v>
      </c>
      <c r="AQ5129" s="4">
        <v>47</v>
      </c>
      <c r="AR5129" s="3" t="s">
        <v>62</v>
      </c>
      <c r="AS5129" s="3" t="s">
        <v>62</v>
      </c>
      <c r="AT5129" s="3" t="s">
        <v>62</v>
      </c>
      <c r="AV5129" s="6" t="str">
        <f>HYPERLINK("http://mcgill.on.worldcat.org/oclc/37935283","Catalog Record")</f>
        <v>Catalog Record</v>
      </c>
      <c r="AW5129" s="6" t="str">
        <f>HYPERLINK("http://www.worldcat.org/oclc/37935283","WorldCat Record")</f>
        <v>WorldCat Record</v>
      </c>
      <c r="AX5129" s="3" t="s">
        <v>49100</v>
      </c>
      <c r="AY5129" s="3" t="s">
        <v>49101</v>
      </c>
      <c r="AZ5129" s="3" t="s">
        <v>49102</v>
      </c>
      <c r="BA5129" s="3" t="s">
        <v>49102</v>
      </c>
      <c r="BB5129" s="3" t="s">
        <v>49103</v>
      </c>
      <c r="BC5129" s="3" t="s">
        <v>142</v>
      </c>
      <c r="BD5129" s="3" t="s">
        <v>68</v>
      </c>
      <c r="BE5129" s="3" t="s">
        <v>49104</v>
      </c>
      <c r="BF5129" s="3" t="s">
        <v>49103</v>
      </c>
      <c r="BG5129" s="3" t="s">
        <v>49105</v>
      </c>
    </row>
    <row r="5130" spans="1:59" ht="57" x14ac:dyDescent="0.45">
      <c r="A5130" s="2" t="s">
        <v>59</v>
      </c>
      <c r="B5130" s="2" t="s">
        <v>60</v>
      </c>
      <c r="C5130" s="2" t="s">
        <v>49106</v>
      </c>
      <c r="D5130" s="2" t="s">
        <v>49107</v>
      </c>
      <c r="E5130" s="2" t="s">
        <v>49108</v>
      </c>
      <c r="G5130" s="3" t="s">
        <v>62</v>
      </c>
      <c r="I5130" s="3" t="s">
        <v>62</v>
      </c>
      <c r="J5130" s="3" t="s">
        <v>62</v>
      </c>
      <c r="K5130" s="3" t="s">
        <v>63</v>
      </c>
      <c r="M5130" s="2" t="s">
        <v>49109</v>
      </c>
      <c r="N5130" s="3" t="s">
        <v>181</v>
      </c>
      <c r="P5130" s="3" t="s">
        <v>65</v>
      </c>
      <c r="Q5130" s="2" t="s">
        <v>49110</v>
      </c>
      <c r="R5130" s="3" t="s">
        <v>66</v>
      </c>
      <c r="S5130" s="4">
        <v>0</v>
      </c>
      <c r="T5130" s="4">
        <v>0</v>
      </c>
      <c r="W5130" s="5" t="s">
        <v>67</v>
      </c>
      <c r="X5130" s="5" t="s">
        <v>67</v>
      </c>
      <c r="Y5130" s="4">
        <v>79</v>
      </c>
      <c r="Z5130" s="4">
        <v>7</v>
      </c>
      <c r="AA5130" s="4">
        <v>7</v>
      </c>
      <c r="AB5130" s="4">
        <v>1</v>
      </c>
      <c r="AC5130" s="4">
        <v>1</v>
      </c>
      <c r="AD5130" s="4">
        <v>40</v>
      </c>
      <c r="AE5130" s="4">
        <v>40</v>
      </c>
      <c r="AF5130" s="4">
        <v>0</v>
      </c>
      <c r="AG5130" s="4">
        <v>0</v>
      </c>
      <c r="AH5130" s="4">
        <v>36</v>
      </c>
      <c r="AI5130" s="4">
        <v>36</v>
      </c>
      <c r="AJ5130" s="4">
        <v>6</v>
      </c>
      <c r="AK5130" s="4">
        <v>6</v>
      </c>
      <c r="AL5130" s="4">
        <v>27</v>
      </c>
      <c r="AM5130" s="4">
        <v>27</v>
      </c>
      <c r="AN5130" s="4">
        <v>0</v>
      </c>
      <c r="AO5130" s="4">
        <v>0</v>
      </c>
      <c r="AP5130" s="4">
        <v>6</v>
      </c>
      <c r="AQ5130" s="4">
        <v>6</v>
      </c>
      <c r="AR5130" s="3" t="s">
        <v>62</v>
      </c>
      <c r="AS5130" s="3" t="s">
        <v>62</v>
      </c>
      <c r="AT5130" s="3" t="s">
        <v>62</v>
      </c>
      <c r="AV5130" s="6" t="str">
        <f>HYPERLINK("http://mcgill.on.worldcat.org/oclc/945359099","Catalog Record")</f>
        <v>Catalog Record</v>
      </c>
      <c r="AW5130" s="6" t="str">
        <f>HYPERLINK("http://www.worldcat.org/oclc/945359099","WorldCat Record")</f>
        <v>WorldCat Record</v>
      </c>
      <c r="AX5130" s="3" t="s">
        <v>49111</v>
      </c>
      <c r="AY5130" s="3" t="s">
        <v>49112</v>
      </c>
      <c r="AZ5130" s="3" t="s">
        <v>49113</v>
      </c>
      <c r="BA5130" s="3" t="s">
        <v>49113</v>
      </c>
      <c r="BB5130" s="3" t="s">
        <v>49114</v>
      </c>
      <c r="BC5130" s="3" t="s">
        <v>142</v>
      </c>
      <c r="BD5130" s="3" t="s">
        <v>68</v>
      </c>
      <c r="BE5130" s="3" t="s">
        <v>49115</v>
      </c>
      <c r="BF5130" s="3" t="s">
        <v>49114</v>
      </c>
      <c r="BG5130" s="3" t="s">
        <v>49116</v>
      </c>
    </row>
    <row r="5131" spans="1:59" ht="57" x14ac:dyDescent="0.45">
      <c r="A5131" s="2" t="s">
        <v>59</v>
      </c>
      <c r="B5131" s="2" t="s">
        <v>60</v>
      </c>
      <c r="C5131" s="2" t="s">
        <v>49117</v>
      </c>
      <c r="D5131" s="2" t="s">
        <v>49118</v>
      </c>
      <c r="E5131" s="2" t="s">
        <v>49119</v>
      </c>
      <c r="G5131" s="3" t="s">
        <v>62</v>
      </c>
      <c r="I5131" s="3" t="s">
        <v>62</v>
      </c>
      <c r="J5131" s="3" t="s">
        <v>62</v>
      </c>
      <c r="K5131" s="3" t="s">
        <v>63</v>
      </c>
      <c r="L5131" s="2" t="s">
        <v>20903</v>
      </c>
      <c r="M5131" s="2" t="s">
        <v>49120</v>
      </c>
      <c r="N5131" s="3" t="s">
        <v>117</v>
      </c>
      <c r="P5131" s="3" t="s">
        <v>65</v>
      </c>
      <c r="R5131" s="3" t="s">
        <v>66</v>
      </c>
      <c r="S5131" s="4">
        <v>5</v>
      </c>
      <c r="T5131" s="4">
        <v>5</v>
      </c>
      <c r="U5131" s="5" t="s">
        <v>31435</v>
      </c>
      <c r="V5131" s="5" t="s">
        <v>31435</v>
      </c>
      <c r="W5131" s="5" t="s">
        <v>67</v>
      </c>
      <c r="X5131" s="5" t="s">
        <v>67</v>
      </c>
      <c r="Y5131" s="4">
        <v>146</v>
      </c>
      <c r="Z5131" s="4">
        <v>7</v>
      </c>
      <c r="AA5131" s="4">
        <v>23</v>
      </c>
      <c r="AB5131" s="4">
        <v>1</v>
      </c>
      <c r="AC5131" s="4">
        <v>7</v>
      </c>
      <c r="AD5131" s="4">
        <v>50</v>
      </c>
      <c r="AE5131" s="4">
        <v>84</v>
      </c>
      <c r="AF5131" s="4">
        <v>0</v>
      </c>
      <c r="AG5131" s="4">
        <v>3</v>
      </c>
      <c r="AH5131" s="4">
        <v>48</v>
      </c>
      <c r="AI5131" s="4">
        <v>76</v>
      </c>
      <c r="AJ5131" s="4">
        <v>5</v>
      </c>
      <c r="AK5131" s="4">
        <v>15</v>
      </c>
      <c r="AL5131" s="4">
        <v>22</v>
      </c>
      <c r="AM5131" s="4">
        <v>42</v>
      </c>
      <c r="AN5131" s="4">
        <v>0</v>
      </c>
      <c r="AO5131" s="4">
        <v>0</v>
      </c>
      <c r="AP5131" s="4">
        <v>5</v>
      </c>
      <c r="AQ5131" s="4">
        <v>16</v>
      </c>
      <c r="AR5131" s="3" t="s">
        <v>62</v>
      </c>
      <c r="AS5131" s="3" t="s">
        <v>62</v>
      </c>
      <c r="AT5131" s="3" t="s">
        <v>62</v>
      </c>
      <c r="AV5131" s="6" t="str">
        <f>HYPERLINK("http://mcgill.on.worldcat.org/oclc/5171947","Catalog Record")</f>
        <v>Catalog Record</v>
      </c>
      <c r="AW5131" s="6" t="str">
        <f>HYPERLINK("http://www.worldcat.org/oclc/5171947","WorldCat Record")</f>
        <v>WorldCat Record</v>
      </c>
      <c r="AX5131" s="3" t="s">
        <v>49121</v>
      </c>
      <c r="AY5131" s="3" t="s">
        <v>49122</v>
      </c>
      <c r="AZ5131" s="3" t="s">
        <v>49123</v>
      </c>
      <c r="BA5131" s="3" t="s">
        <v>49123</v>
      </c>
      <c r="BB5131" s="3" t="s">
        <v>49124</v>
      </c>
      <c r="BC5131" s="3" t="s">
        <v>142</v>
      </c>
      <c r="BD5131" s="3" t="s">
        <v>68</v>
      </c>
      <c r="BE5131" s="3" t="s">
        <v>49125</v>
      </c>
      <c r="BF5131" s="3" t="s">
        <v>49124</v>
      </c>
      <c r="BG5131" s="3" t="s">
        <v>49126</v>
      </c>
    </row>
    <row r="5132" spans="1:59" ht="57" x14ac:dyDescent="0.45">
      <c r="A5132" s="2" t="s">
        <v>59</v>
      </c>
      <c r="B5132" s="2" t="s">
        <v>60</v>
      </c>
      <c r="C5132" s="2" t="s">
        <v>49127</v>
      </c>
      <c r="D5132" s="2" t="s">
        <v>49128</v>
      </c>
      <c r="E5132" s="2" t="s">
        <v>49129</v>
      </c>
      <c r="G5132" s="3" t="s">
        <v>62</v>
      </c>
      <c r="I5132" s="3" t="s">
        <v>62</v>
      </c>
      <c r="J5132" s="3" t="s">
        <v>62</v>
      </c>
      <c r="K5132" s="3" t="s">
        <v>63</v>
      </c>
      <c r="L5132" s="2" t="s">
        <v>49130</v>
      </c>
      <c r="M5132" s="2" t="s">
        <v>49131</v>
      </c>
      <c r="N5132" s="3" t="s">
        <v>181</v>
      </c>
      <c r="P5132" s="3" t="s">
        <v>65</v>
      </c>
      <c r="Q5132" s="2" t="s">
        <v>49132</v>
      </c>
      <c r="R5132" s="3" t="s">
        <v>66</v>
      </c>
      <c r="S5132" s="4">
        <v>2</v>
      </c>
      <c r="T5132" s="4">
        <v>2</v>
      </c>
      <c r="U5132" s="5" t="s">
        <v>19976</v>
      </c>
      <c r="V5132" s="5" t="s">
        <v>19976</v>
      </c>
      <c r="W5132" s="5" t="s">
        <v>67</v>
      </c>
      <c r="X5132" s="5" t="s">
        <v>67</v>
      </c>
      <c r="Y5132" s="4">
        <v>63</v>
      </c>
      <c r="Z5132" s="4">
        <v>7</v>
      </c>
      <c r="AA5132" s="4">
        <v>7</v>
      </c>
      <c r="AB5132" s="4">
        <v>1</v>
      </c>
      <c r="AC5132" s="4">
        <v>1</v>
      </c>
      <c r="AD5132" s="4">
        <v>26</v>
      </c>
      <c r="AE5132" s="4">
        <v>26</v>
      </c>
      <c r="AF5132" s="4">
        <v>0</v>
      </c>
      <c r="AG5132" s="4">
        <v>0</v>
      </c>
      <c r="AH5132" s="4">
        <v>21</v>
      </c>
      <c r="AI5132" s="4">
        <v>21</v>
      </c>
      <c r="AJ5132" s="4">
        <v>4</v>
      </c>
      <c r="AK5132" s="4">
        <v>4</v>
      </c>
      <c r="AL5132" s="4">
        <v>16</v>
      </c>
      <c r="AM5132" s="4">
        <v>16</v>
      </c>
      <c r="AN5132" s="4">
        <v>0</v>
      </c>
      <c r="AO5132" s="4">
        <v>0</v>
      </c>
      <c r="AP5132" s="4">
        <v>6</v>
      </c>
      <c r="AQ5132" s="4">
        <v>6</v>
      </c>
      <c r="AR5132" s="3" t="s">
        <v>62</v>
      </c>
      <c r="AS5132" s="3" t="s">
        <v>62</v>
      </c>
      <c r="AT5132" s="3" t="s">
        <v>62</v>
      </c>
      <c r="AV5132" s="6" t="str">
        <f>HYPERLINK("http://mcgill.on.worldcat.org/oclc/957144631","Catalog Record")</f>
        <v>Catalog Record</v>
      </c>
      <c r="AW5132" s="6" t="str">
        <f>HYPERLINK("http://www.worldcat.org/oclc/957144631","WorldCat Record")</f>
        <v>WorldCat Record</v>
      </c>
      <c r="AX5132" s="3" t="s">
        <v>49133</v>
      </c>
      <c r="AY5132" s="3" t="s">
        <v>49134</v>
      </c>
      <c r="AZ5132" s="3" t="s">
        <v>49135</v>
      </c>
      <c r="BA5132" s="3" t="s">
        <v>49135</v>
      </c>
      <c r="BB5132" s="3" t="s">
        <v>49136</v>
      </c>
      <c r="BC5132" s="3" t="s">
        <v>142</v>
      </c>
      <c r="BD5132" s="3" t="s">
        <v>68</v>
      </c>
      <c r="BE5132" s="3" t="s">
        <v>49137</v>
      </c>
      <c r="BF5132" s="3" t="s">
        <v>49136</v>
      </c>
      <c r="BG5132" s="3" t="s">
        <v>49138</v>
      </c>
    </row>
    <row r="5133" spans="1:59" ht="57" x14ac:dyDescent="0.45">
      <c r="A5133" s="2" t="s">
        <v>59</v>
      </c>
      <c r="B5133" s="2" t="s">
        <v>60</v>
      </c>
      <c r="C5133" s="2" t="s">
        <v>49139</v>
      </c>
      <c r="D5133" s="2" t="s">
        <v>49140</v>
      </c>
      <c r="E5133" s="2" t="s">
        <v>49141</v>
      </c>
      <c r="G5133" s="3" t="s">
        <v>62</v>
      </c>
      <c r="I5133" s="3" t="s">
        <v>62</v>
      </c>
      <c r="J5133" s="3" t="s">
        <v>62</v>
      </c>
      <c r="K5133" s="3" t="s">
        <v>63</v>
      </c>
      <c r="L5133" s="2" t="s">
        <v>49142</v>
      </c>
      <c r="M5133" s="2" t="s">
        <v>49143</v>
      </c>
      <c r="N5133" s="3" t="s">
        <v>1253</v>
      </c>
      <c r="O5133" s="2" t="s">
        <v>933</v>
      </c>
      <c r="P5133" s="3" t="s">
        <v>65</v>
      </c>
      <c r="Q5133" s="2" t="s">
        <v>29735</v>
      </c>
      <c r="R5133" s="3" t="s">
        <v>66</v>
      </c>
      <c r="S5133" s="4">
        <v>18</v>
      </c>
      <c r="T5133" s="4">
        <v>18</v>
      </c>
      <c r="U5133" s="5" t="s">
        <v>28090</v>
      </c>
      <c r="V5133" s="5" t="s">
        <v>28090</v>
      </c>
      <c r="W5133" s="5" t="s">
        <v>67</v>
      </c>
      <c r="X5133" s="5" t="s">
        <v>67</v>
      </c>
      <c r="Y5133" s="4">
        <v>225</v>
      </c>
      <c r="Z5133" s="4">
        <v>11</v>
      </c>
      <c r="AA5133" s="4">
        <v>28</v>
      </c>
      <c r="AB5133" s="4">
        <v>1</v>
      </c>
      <c r="AC5133" s="4">
        <v>7</v>
      </c>
      <c r="AD5133" s="4">
        <v>66</v>
      </c>
      <c r="AE5133" s="4">
        <v>83</v>
      </c>
      <c r="AF5133" s="4">
        <v>0</v>
      </c>
      <c r="AG5133" s="4">
        <v>4</v>
      </c>
      <c r="AH5133" s="4">
        <v>61</v>
      </c>
      <c r="AI5133" s="4">
        <v>69</v>
      </c>
      <c r="AJ5133" s="4">
        <v>6</v>
      </c>
      <c r="AK5133" s="4">
        <v>18</v>
      </c>
      <c r="AL5133" s="4">
        <v>42</v>
      </c>
      <c r="AM5133" s="4">
        <v>44</v>
      </c>
      <c r="AN5133" s="4">
        <v>0</v>
      </c>
      <c r="AO5133" s="4">
        <v>0</v>
      </c>
      <c r="AP5133" s="4">
        <v>8</v>
      </c>
      <c r="AQ5133" s="4">
        <v>20</v>
      </c>
      <c r="AR5133" s="3" t="s">
        <v>62</v>
      </c>
      <c r="AS5133" s="3" t="s">
        <v>62</v>
      </c>
      <c r="AT5133" s="3" t="s">
        <v>62</v>
      </c>
      <c r="AV5133" s="6" t="str">
        <f>HYPERLINK("http://mcgill.on.worldcat.org/oclc/35990249","Catalog Record")</f>
        <v>Catalog Record</v>
      </c>
      <c r="AW5133" s="6" t="str">
        <f>HYPERLINK("http://www.worldcat.org/oclc/35990249","WorldCat Record")</f>
        <v>WorldCat Record</v>
      </c>
      <c r="AX5133" s="3" t="s">
        <v>49144</v>
      </c>
      <c r="AY5133" s="3" t="s">
        <v>49145</v>
      </c>
      <c r="AZ5133" s="3" t="s">
        <v>49146</v>
      </c>
      <c r="BA5133" s="3" t="s">
        <v>49146</v>
      </c>
      <c r="BB5133" s="3" t="s">
        <v>49147</v>
      </c>
      <c r="BC5133" s="3" t="s">
        <v>142</v>
      </c>
      <c r="BD5133" s="3" t="s">
        <v>68</v>
      </c>
      <c r="BE5133" s="3" t="s">
        <v>49148</v>
      </c>
      <c r="BF5133" s="3" t="s">
        <v>49147</v>
      </c>
      <c r="BG5133" s="3" t="s">
        <v>49149</v>
      </c>
    </row>
    <row r="5134" spans="1:59" ht="57" x14ac:dyDescent="0.45">
      <c r="A5134" s="2" t="s">
        <v>59</v>
      </c>
      <c r="B5134" s="2" t="s">
        <v>60</v>
      </c>
      <c r="C5134" s="2" t="s">
        <v>49150</v>
      </c>
      <c r="D5134" s="2" t="s">
        <v>49151</v>
      </c>
      <c r="E5134" s="2" t="s">
        <v>49152</v>
      </c>
      <c r="G5134" s="3" t="s">
        <v>62</v>
      </c>
      <c r="I5134" s="3" t="s">
        <v>62</v>
      </c>
      <c r="J5134" s="3" t="s">
        <v>62</v>
      </c>
      <c r="K5134" s="3" t="s">
        <v>63</v>
      </c>
      <c r="L5134" s="2" t="s">
        <v>49153</v>
      </c>
      <c r="M5134" s="2" t="s">
        <v>10318</v>
      </c>
      <c r="N5134" s="3" t="s">
        <v>125</v>
      </c>
      <c r="P5134" s="3" t="s">
        <v>65</v>
      </c>
      <c r="Q5134" s="2" t="s">
        <v>48251</v>
      </c>
      <c r="R5134" s="3" t="s">
        <v>66</v>
      </c>
      <c r="S5134" s="4">
        <v>11</v>
      </c>
      <c r="T5134" s="4">
        <v>11</v>
      </c>
      <c r="U5134" s="5" t="s">
        <v>24983</v>
      </c>
      <c r="V5134" s="5" t="s">
        <v>24983</v>
      </c>
      <c r="W5134" s="5" t="s">
        <v>67</v>
      </c>
      <c r="X5134" s="5" t="s">
        <v>67</v>
      </c>
      <c r="Y5134" s="4">
        <v>273</v>
      </c>
      <c r="Z5134" s="4">
        <v>21</v>
      </c>
      <c r="AA5134" s="4">
        <v>26</v>
      </c>
      <c r="AB5134" s="4">
        <v>2</v>
      </c>
      <c r="AC5134" s="4">
        <v>7</v>
      </c>
      <c r="AD5134" s="4">
        <v>94</v>
      </c>
      <c r="AE5134" s="4">
        <v>98</v>
      </c>
      <c r="AF5134" s="4">
        <v>1</v>
      </c>
      <c r="AG5134" s="4">
        <v>4</v>
      </c>
      <c r="AH5134" s="4">
        <v>85</v>
      </c>
      <c r="AI5134" s="4">
        <v>87</v>
      </c>
      <c r="AJ5134" s="4">
        <v>16</v>
      </c>
      <c r="AK5134" s="4">
        <v>19</v>
      </c>
      <c r="AL5134" s="4">
        <v>49</v>
      </c>
      <c r="AM5134" s="4">
        <v>50</v>
      </c>
      <c r="AN5134" s="4">
        <v>0</v>
      </c>
      <c r="AO5134" s="4">
        <v>0</v>
      </c>
      <c r="AP5134" s="4">
        <v>18</v>
      </c>
      <c r="AQ5134" s="4">
        <v>20</v>
      </c>
      <c r="AR5134" s="3" t="s">
        <v>62</v>
      </c>
      <c r="AS5134" s="3" t="s">
        <v>62</v>
      </c>
      <c r="AT5134" s="3" t="s">
        <v>62</v>
      </c>
      <c r="AV5134" s="6" t="str">
        <f>HYPERLINK("http://mcgill.on.worldcat.org/oclc/19669955","Catalog Record")</f>
        <v>Catalog Record</v>
      </c>
      <c r="AW5134" s="6" t="str">
        <f>HYPERLINK("http://www.worldcat.org/oclc/19669955","WorldCat Record")</f>
        <v>WorldCat Record</v>
      </c>
      <c r="AX5134" s="3" t="s">
        <v>49154</v>
      </c>
      <c r="AY5134" s="3" t="s">
        <v>49155</v>
      </c>
      <c r="AZ5134" s="3" t="s">
        <v>49156</v>
      </c>
      <c r="BA5134" s="3" t="s">
        <v>49156</v>
      </c>
      <c r="BB5134" s="3" t="s">
        <v>49157</v>
      </c>
      <c r="BC5134" s="3" t="s">
        <v>142</v>
      </c>
      <c r="BD5134" s="3" t="s">
        <v>68</v>
      </c>
      <c r="BE5134" s="3" t="s">
        <v>49158</v>
      </c>
      <c r="BF5134" s="3" t="s">
        <v>49157</v>
      </c>
      <c r="BG5134" s="3" t="s">
        <v>49159</v>
      </c>
    </row>
    <row r="5135" spans="1:59" ht="57" x14ac:dyDescent="0.45">
      <c r="A5135" s="2" t="s">
        <v>59</v>
      </c>
      <c r="B5135" s="2" t="s">
        <v>60</v>
      </c>
      <c r="C5135" s="2" t="s">
        <v>49160</v>
      </c>
      <c r="D5135" s="2" t="s">
        <v>49161</v>
      </c>
      <c r="E5135" s="2" t="s">
        <v>49162</v>
      </c>
      <c r="G5135" s="3" t="s">
        <v>62</v>
      </c>
      <c r="I5135" s="3" t="s">
        <v>62</v>
      </c>
      <c r="J5135" s="3" t="s">
        <v>62</v>
      </c>
      <c r="K5135" s="3" t="s">
        <v>63</v>
      </c>
      <c r="M5135" s="2" t="s">
        <v>49163</v>
      </c>
      <c r="N5135" s="3" t="s">
        <v>1437</v>
      </c>
      <c r="P5135" s="3" t="s">
        <v>65</v>
      </c>
      <c r="R5135" s="3" t="s">
        <v>66</v>
      </c>
      <c r="S5135" s="4">
        <v>8</v>
      </c>
      <c r="T5135" s="4">
        <v>8</v>
      </c>
      <c r="U5135" s="5" t="s">
        <v>31780</v>
      </c>
      <c r="V5135" s="5" t="s">
        <v>31780</v>
      </c>
      <c r="W5135" s="5" t="s">
        <v>67</v>
      </c>
      <c r="X5135" s="5" t="s">
        <v>67</v>
      </c>
      <c r="Y5135" s="4">
        <v>283</v>
      </c>
      <c r="Z5135" s="4">
        <v>24</v>
      </c>
      <c r="AA5135" s="4">
        <v>27</v>
      </c>
      <c r="AB5135" s="4">
        <v>2</v>
      </c>
      <c r="AC5135" s="4">
        <v>5</v>
      </c>
      <c r="AD5135" s="4">
        <v>101</v>
      </c>
      <c r="AE5135" s="4">
        <v>104</v>
      </c>
      <c r="AF5135" s="4">
        <v>1</v>
      </c>
      <c r="AG5135" s="4">
        <v>4</v>
      </c>
      <c r="AH5135" s="4">
        <v>90</v>
      </c>
      <c r="AI5135" s="4">
        <v>91</v>
      </c>
      <c r="AJ5135" s="4">
        <v>16</v>
      </c>
      <c r="AK5135" s="4">
        <v>19</v>
      </c>
      <c r="AL5135" s="4">
        <v>52</v>
      </c>
      <c r="AM5135" s="4">
        <v>52</v>
      </c>
      <c r="AN5135" s="4">
        <v>0</v>
      </c>
      <c r="AO5135" s="4">
        <v>0</v>
      </c>
      <c r="AP5135" s="4">
        <v>19</v>
      </c>
      <c r="AQ5135" s="4">
        <v>21</v>
      </c>
      <c r="AR5135" s="3" t="s">
        <v>62</v>
      </c>
      <c r="AS5135" s="3" t="s">
        <v>62</v>
      </c>
      <c r="AT5135" s="3" t="s">
        <v>62</v>
      </c>
      <c r="AV5135" s="6" t="str">
        <f>HYPERLINK("http://mcgill.on.worldcat.org/oclc/39116631","Catalog Record")</f>
        <v>Catalog Record</v>
      </c>
      <c r="AW5135" s="6" t="str">
        <f>HYPERLINK("http://www.worldcat.org/oclc/39116631","WorldCat Record")</f>
        <v>WorldCat Record</v>
      </c>
      <c r="AX5135" s="3" t="s">
        <v>49164</v>
      </c>
      <c r="AY5135" s="3" t="s">
        <v>49165</v>
      </c>
      <c r="AZ5135" s="3" t="s">
        <v>49166</v>
      </c>
      <c r="BA5135" s="3" t="s">
        <v>49166</v>
      </c>
      <c r="BB5135" s="3" t="s">
        <v>49167</v>
      </c>
      <c r="BC5135" s="3" t="s">
        <v>142</v>
      </c>
      <c r="BD5135" s="3" t="s">
        <v>68</v>
      </c>
      <c r="BE5135" s="3" t="s">
        <v>49168</v>
      </c>
      <c r="BF5135" s="3" t="s">
        <v>49167</v>
      </c>
      <c r="BG5135" s="3" t="s">
        <v>49169</v>
      </c>
    </row>
    <row r="5136" spans="1:59" ht="57" x14ac:dyDescent="0.45">
      <c r="A5136" s="2" t="s">
        <v>59</v>
      </c>
      <c r="B5136" s="2" t="s">
        <v>60</v>
      </c>
      <c r="C5136" s="2" t="s">
        <v>49170</v>
      </c>
      <c r="D5136" s="2" t="s">
        <v>49171</v>
      </c>
      <c r="E5136" s="2" t="s">
        <v>49172</v>
      </c>
      <c r="G5136" s="3" t="s">
        <v>62</v>
      </c>
      <c r="I5136" s="3" t="s">
        <v>62</v>
      </c>
      <c r="J5136" s="3" t="s">
        <v>62</v>
      </c>
      <c r="K5136" s="3" t="s">
        <v>63</v>
      </c>
      <c r="L5136" s="2" t="s">
        <v>49173</v>
      </c>
      <c r="M5136" s="2" t="s">
        <v>8776</v>
      </c>
      <c r="N5136" s="3" t="s">
        <v>820</v>
      </c>
      <c r="O5136" s="2" t="s">
        <v>933</v>
      </c>
      <c r="P5136" s="3" t="s">
        <v>65</v>
      </c>
      <c r="Q5136" s="2" t="s">
        <v>49174</v>
      </c>
      <c r="R5136" s="3" t="s">
        <v>66</v>
      </c>
      <c r="S5136" s="4">
        <v>15</v>
      </c>
      <c r="T5136" s="4">
        <v>15</v>
      </c>
      <c r="U5136" s="5" t="s">
        <v>28090</v>
      </c>
      <c r="V5136" s="5" t="s">
        <v>28090</v>
      </c>
      <c r="W5136" s="5" t="s">
        <v>67</v>
      </c>
      <c r="X5136" s="5" t="s">
        <v>67</v>
      </c>
      <c r="Y5136" s="4">
        <v>216</v>
      </c>
      <c r="Z5136" s="4">
        <v>21</v>
      </c>
      <c r="AA5136" s="4">
        <v>82</v>
      </c>
      <c r="AB5136" s="4">
        <v>2</v>
      </c>
      <c r="AC5136" s="4">
        <v>14</v>
      </c>
      <c r="AD5136" s="4">
        <v>89</v>
      </c>
      <c r="AE5136" s="4">
        <v>130</v>
      </c>
      <c r="AF5136" s="4">
        <v>1</v>
      </c>
      <c r="AG5136" s="4">
        <v>8</v>
      </c>
      <c r="AH5136" s="4">
        <v>78</v>
      </c>
      <c r="AI5136" s="4">
        <v>94</v>
      </c>
      <c r="AJ5136" s="4">
        <v>15</v>
      </c>
      <c r="AK5136" s="4">
        <v>25</v>
      </c>
      <c r="AL5136" s="4">
        <v>52</v>
      </c>
      <c r="AM5136" s="4">
        <v>55</v>
      </c>
      <c r="AN5136" s="4">
        <v>0</v>
      </c>
      <c r="AO5136" s="4">
        <v>0</v>
      </c>
      <c r="AP5136" s="4">
        <v>17</v>
      </c>
      <c r="AQ5136" s="4">
        <v>45</v>
      </c>
      <c r="AR5136" s="3" t="s">
        <v>62</v>
      </c>
      <c r="AS5136" s="3" t="s">
        <v>62</v>
      </c>
      <c r="AT5136" s="3" t="s">
        <v>62</v>
      </c>
      <c r="AV5136" s="6" t="str">
        <f>HYPERLINK("http://mcgill.on.worldcat.org/oclc/227031749","Catalog Record")</f>
        <v>Catalog Record</v>
      </c>
      <c r="AW5136" s="6" t="str">
        <f>HYPERLINK("http://www.worldcat.org/oclc/227031749","WorldCat Record")</f>
        <v>WorldCat Record</v>
      </c>
      <c r="AX5136" s="3" t="s">
        <v>49175</v>
      </c>
      <c r="AY5136" s="3" t="s">
        <v>49176</v>
      </c>
      <c r="AZ5136" s="3" t="s">
        <v>49177</v>
      </c>
      <c r="BA5136" s="3" t="s">
        <v>49177</v>
      </c>
      <c r="BB5136" s="3" t="s">
        <v>49178</v>
      </c>
      <c r="BC5136" s="3" t="s">
        <v>142</v>
      </c>
      <c r="BD5136" s="3" t="s">
        <v>68</v>
      </c>
      <c r="BE5136" s="3" t="s">
        <v>49179</v>
      </c>
      <c r="BF5136" s="3" t="s">
        <v>49178</v>
      </c>
      <c r="BG5136" s="3" t="s">
        <v>49180</v>
      </c>
    </row>
    <row r="5137" spans="1:59" ht="57" x14ac:dyDescent="0.45">
      <c r="A5137" s="2" t="s">
        <v>59</v>
      </c>
      <c r="B5137" s="2" t="s">
        <v>60</v>
      </c>
      <c r="C5137" s="2" t="s">
        <v>49181</v>
      </c>
      <c r="D5137" s="2" t="s">
        <v>49182</v>
      </c>
      <c r="E5137" s="2" t="s">
        <v>49183</v>
      </c>
      <c r="G5137" s="3" t="s">
        <v>62</v>
      </c>
      <c r="I5137" s="3" t="s">
        <v>61</v>
      </c>
      <c r="J5137" s="3" t="s">
        <v>62</v>
      </c>
      <c r="K5137" s="3" t="s">
        <v>63</v>
      </c>
      <c r="L5137" s="2" t="s">
        <v>35048</v>
      </c>
      <c r="M5137" s="2" t="s">
        <v>49184</v>
      </c>
      <c r="N5137" s="3" t="s">
        <v>113</v>
      </c>
      <c r="P5137" s="3" t="s">
        <v>65</v>
      </c>
      <c r="Q5137" s="2" t="s">
        <v>49185</v>
      </c>
      <c r="R5137" s="3" t="s">
        <v>66</v>
      </c>
      <c r="S5137" s="4">
        <v>0</v>
      </c>
      <c r="T5137" s="4">
        <v>7</v>
      </c>
      <c r="V5137" s="5" t="s">
        <v>9157</v>
      </c>
      <c r="W5137" s="5" t="s">
        <v>67</v>
      </c>
      <c r="X5137" s="5" t="s">
        <v>67</v>
      </c>
      <c r="Y5137" s="4">
        <v>685</v>
      </c>
      <c r="Z5137" s="4">
        <v>33</v>
      </c>
      <c r="AA5137" s="4">
        <v>34</v>
      </c>
      <c r="AB5137" s="4">
        <v>2</v>
      </c>
      <c r="AC5137" s="4">
        <v>2</v>
      </c>
      <c r="AD5137" s="4">
        <v>122</v>
      </c>
      <c r="AE5137" s="4">
        <v>124</v>
      </c>
      <c r="AF5137" s="4">
        <v>1</v>
      </c>
      <c r="AG5137" s="4">
        <v>1</v>
      </c>
      <c r="AH5137" s="4">
        <v>101</v>
      </c>
      <c r="AI5137" s="4">
        <v>103</v>
      </c>
      <c r="AJ5137" s="4">
        <v>19</v>
      </c>
      <c r="AK5137" s="4">
        <v>20</v>
      </c>
      <c r="AL5137" s="4">
        <v>55</v>
      </c>
      <c r="AM5137" s="4">
        <v>56</v>
      </c>
      <c r="AN5137" s="4">
        <v>0</v>
      </c>
      <c r="AO5137" s="4">
        <v>0</v>
      </c>
      <c r="AP5137" s="4">
        <v>27</v>
      </c>
      <c r="AQ5137" s="4">
        <v>28</v>
      </c>
      <c r="AR5137" s="3" t="s">
        <v>62</v>
      </c>
      <c r="AS5137" s="3" t="s">
        <v>62</v>
      </c>
      <c r="AT5137" s="3" t="s">
        <v>61</v>
      </c>
      <c r="AU5137" s="6" t="str">
        <f>HYPERLINK("http://catalog.hathitrust.org/Record/001181107","HathiTrust Record")</f>
        <v>HathiTrust Record</v>
      </c>
      <c r="AV5137" s="6" t="str">
        <f>HYPERLINK("http://mcgill.on.worldcat.org/oclc/308128","Catalog Record")</f>
        <v>Catalog Record</v>
      </c>
      <c r="AW5137" s="6" t="str">
        <f>HYPERLINK("http://www.worldcat.org/oclc/308128","WorldCat Record")</f>
        <v>WorldCat Record</v>
      </c>
      <c r="AX5137" s="3" t="s">
        <v>49186</v>
      </c>
      <c r="AY5137" s="3" t="s">
        <v>49187</v>
      </c>
      <c r="AZ5137" s="3" t="s">
        <v>49188</v>
      </c>
      <c r="BA5137" s="3" t="s">
        <v>49188</v>
      </c>
      <c r="BB5137" s="3" t="s">
        <v>49189</v>
      </c>
      <c r="BC5137" s="3" t="s">
        <v>142</v>
      </c>
      <c r="BD5137" s="3" t="s">
        <v>68</v>
      </c>
      <c r="BF5137" s="3" t="s">
        <v>49189</v>
      </c>
      <c r="BG5137" s="3" t="s">
        <v>49190</v>
      </c>
    </row>
    <row r="5138" spans="1:59" ht="57" x14ac:dyDescent="0.45">
      <c r="A5138" s="2" t="s">
        <v>59</v>
      </c>
      <c r="B5138" s="2" t="s">
        <v>60</v>
      </c>
      <c r="C5138" s="2" t="s">
        <v>49181</v>
      </c>
      <c r="D5138" s="2" t="s">
        <v>49182</v>
      </c>
      <c r="E5138" s="2" t="s">
        <v>49183</v>
      </c>
      <c r="G5138" s="3" t="s">
        <v>62</v>
      </c>
      <c r="I5138" s="3" t="s">
        <v>61</v>
      </c>
      <c r="J5138" s="3" t="s">
        <v>62</v>
      </c>
      <c r="K5138" s="3" t="s">
        <v>63</v>
      </c>
      <c r="L5138" s="2" t="s">
        <v>35048</v>
      </c>
      <c r="M5138" s="2" t="s">
        <v>49184</v>
      </c>
      <c r="N5138" s="3" t="s">
        <v>113</v>
      </c>
      <c r="P5138" s="3" t="s">
        <v>65</v>
      </c>
      <c r="Q5138" s="2" t="s">
        <v>49185</v>
      </c>
      <c r="R5138" s="3" t="s">
        <v>66</v>
      </c>
      <c r="S5138" s="4">
        <v>3</v>
      </c>
      <c r="T5138" s="4">
        <v>7</v>
      </c>
      <c r="U5138" s="5" t="s">
        <v>9157</v>
      </c>
      <c r="V5138" s="5" t="s">
        <v>9157</v>
      </c>
      <c r="W5138" s="5" t="s">
        <v>67</v>
      </c>
      <c r="X5138" s="5" t="s">
        <v>67</v>
      </c>
      <c r="Y5138" s="4">
        <v>685</v>
      </c>
      <c r="Z5138" s="4">
        <v>33</v>
      </c>
      <c r="AA5138" s="4">
        <v>34</v>
      </c>
      <c r="AB5138" s="4">
        <v>2</v>
      </c>
      <c r="AC5138" s="4">
        <v>2</v>
      </c>
      <c r="AD5138" s="4">
        <v>122</v>
      </c>
      <c r="AE5138" s="4">
        <v>124</v>
      </c>
      <c r="AF5138" s="4">
        <v>1</v>
      </c>
      <c r="AG5138" s="4">
        <v>1</v>
      </c>
      <c r="AH5138" s="4">
        <v>101</v>
      </c>
      <c r="AI5138" s="4">
        <v>103</v>
      </c>
      <c r="AJ5138" s="4">
        <v>19</v>
      </c>
      <c r="AK5138" s="4">
        <v>20</v>
      </c>
      <c r="AL5138" s="4">
        <v>55</v>
      </c>
      <c r="AM5138" s="4">
        <v>56</v>
      </c>
      <c r="AN5138" s="4">
        <v>0</v>
      </c>
      <c r="AO5138" s="4">
        <v>0</v>
      </c>
      <c r="AP5138" s="4">
        <v>27</v>
      </c>
      <c r="AQ5138" s="4">
        <v>28</v>
      </c>
      <c r="AR5138" s="3" t="s">
        <v>62</v>
      </c>
      <c r="AS5138" s="3" t="s">
        <v>62</v>
      </c>
      <c r="AT5138" s="3" t="s">
        <v>61</v>
      </c>
      <c r="AU5138" s="6" t="str">
        <f>HYPERLINK("http://catalog.hathitrust.org/Record/001181107","HathiTrust Record")</f>
        <v>HathiTrust Record</v>
      </c>
      <c r="AV5138" s="6" t="str">
        <f>HYPERLINK("http://mcgill.on.worldcat.org/oclc/308128","Catalog Record")</f>
        <v>Catalog Record</v>
      </c>
      <c r="AW5138" s="6" t="str">
        <f>HYPERLINK("http://www.worldcat.org/oclc/308128","WorldCat Record")</f>
        <v>WorldCat Record</v>
      </c>
      <c r="AX5138" s="3" t="s">
        <v>49186</v>
      </c>
      <c r="AY5138" s="3" t="s">
        <v>49187</v>
      </c>
      <c r="AZ5138" s="3" t="s">
        <v>49188</v>
      </c>
      <c r="BA5138" s="3" t="s">
        <v>49188</v>
      </c>
      <c r="BB5138" s="3" t="s">
        <v>49191</v>
      </c>
      <c r="BC5138" s="3" t="s">
        <v>142</v>
      </c>
      <c r="BD5138" s="3" t="s">
        <v>68</v>
      </c>
      <c r="BF5138" s="3" t="s">
        <v>49191</v>
      </c>
      <c r="BG5138" s="3" t="s">
        <v>49192</v>
      </c>
    </row>
    <row r="5139" spans="1:59" ht="57" x14ac:dyDescent="0.45">
      <c r="A5139" s="2" t="s">
        <v>59</v>
      </c>
      <c r="B5139" s="2" t="s">
        <v>60</v>
      </c>
      <c r="C5139" s="2" t="s">
        <v>49181</v>
      </c>
      <c r="D5139" s="2" t="s">
        <v>49182</v>
      </c>
      <c r="E5139" s="2" t="s">
        <v>49183</v>
      </c>
      <c r="G5139" s="3" t="s">
        <v>62</v>
      </c>
      <c r="I5139" s="3" t="s">
        <v>61</v>
      </c>
      <c r="J5139" s="3" t="s">
        <v>62</v>
      </c>
      <c r="K5139" s="3" t="s">
        <v>63</v>
      </c>
      <c r="L5139" s="2" t="s">
        <v>35048</v>
      </c>
      <c r="M5139" s="2" t="s">
        <v>49184</v>
      </c>
      <c r="N5139" s="3" t="s">
        <v>113</v>
      </c>
      <c r="P5139" s="3" t="s">
        <v>65</v>
      </c>
      <c r="Q5139" s="2" t="s">
        <v>49185</v>
      </c>
      <c r="R5139" s="3" t="s">
        <v>66</v>
      </c>
      <c r="S5139" s="4">
        <v>4</v>
      </c>
      <c r="T5139" s="4">
        <v>7</v>
      </c>
      <c r="U5139" s="5" t="s">
        <v>16620</v>
      </c>
      <c r="V5139" s="5" t="s">
        <v>9157</v>
      </c>
      <c r="W5139" s="5" t="s">
        <v>67</v>
      </c>
      <c r="X5139" s="5" t="s">
        <v>67</v>
      </c>
      <c r="Y5139" s="4">
        <v>685</v>
      </c>
      <c r="Z5139" s="4">
        <v>33</v>
      </c>
      <c r="AA5139" s="4">
        <v>34</v>
      </c>
      <c r="AB5139" s="4">
        <v>2</v>
      </c>
      <c r="AC5139" s="4">
        <v>2</v>
      </c>
      <c r="AD5139" s="4">
        <v>122</v>
      </c>
      <c r="AE5139" s="4">
        <v>124</v>
      </c>
      <c r="AF5139" s="4">
        <v>1</v>
      </c>
      <c r="AG5139" s="4">
        <v>1</v>
      </c>
      <c r="AH5139" s="4">
        <v>101</v>
      </c>
      <c r="AI5139" s="4">
        <v>103</v>
      </c>
      <c r="AJ5139" s="4">
        <v>19</v>
      </c>
      <c r="AK5139" s="4">
        <v>20</v>
      </c>
      <c r="AL5139" s="4">
        <v>55</v>
      </c>
      <c r="AM5139" s="4">
        <v>56</v>
      </c>
      <c r="AN5139" s="4">
        <v>0</v>
      </c>
      <c r="AO5139" s="4">
        <v>0</v>
      </c>
      <c r="AP5139" s="4">
        <v>27</v>
      </c>
      <c r="AQ5139" s="4">
        <v>28</v>
      </c>
      <c r="AR5139" s="3" t="s">
        <v>62</v>
      </c>
      <c r="AS5139" s="3" t="s">
        <v>62</v>
      </c>
      <c r="AT5139" s="3" t="s">
        <v>61</v>
      </c>
      <c r="AU5139" s="6" t="str">
        <f>HYPERLINK("http://catalog.hathitrust.org/Record/001181107","HathiTrust Record")</f>
        <v>HathiTrust Record</v>
      </c>
      <c r="AV5139" s="6" t="str">
        <f>HYPERLINK("http://mcgill.on.worldcat.org/oclc/308128","Catalog Record")</f>
        <v>Catalog Record</v>
      </c>
      <c r="AW5139" s="6" t="str">
        <f>HYPERLINK("http://www.worldcat.org/oclc/308128","WorldCat Record")</f>
        <v>WorldCat Record</v>
      </c>
      <c r="AX5139" s="3" t="s">
        <v>49186</v>
      </c>
      <c r="AY5139" s="3" t="s">
        <v>49187</v>
      </c>
      <c r="AZ5139" s="3" t="s">
        <v>49188</v>
      </c>
      <c r="BA5139" s="3" t="s">
        <v>49188</v>
      </c>
      <c r="BB5139" s="3" t="s">
        <v>49193</v>
      </c>
      <c r="BC5139" s="3" t="s">
        <v>142</v>
      </c>
      <c r="BD5139" s="3" t="s">
        <v>68</v>
      </c>
      <c r="BF5139" s="3" t="s">
        <v>49193</v>
      </c>
      <c r="BG5139" s="3" t="s">
        <v>49194</v>
      </c>
    </row>
    <row r="5140" spans="1:59" ht="57" x14ac:dyDescent="0.45">
      <c r="A5140" s="2" t="s">
        <v>59</v>
      </c>
      <c r="B5140" s="2" t="s">
        <v>60</v>
      </c>
      <c r="C5140" s="2" t="s">
        <v>49195</v>
      </c>
      <c r="D5140" s="2" t="s">
        <v>49196</v>
      </c>
      <c r="E5140" s="2" t="s">
        <v>49197</v>
      </c>
      <c r="G5140" s="3" t="s">
        <v>62</v>
      </c>
      <c r="I5140" s="3" t="s">
        <v>62</v>
      </c>
      <c r="J5140" s="3" t="s">
        <v>62</v>
      </c>
      <c r="K5140" s="3" t="s">
        <v>63</v>
      </c>
      <c r="L5140" s="2" t="s">
        <v>49198</v>
      </c>
      <c r="M5140" s="2" t="s">
        <v>49199</v>
      </c>
      <c r="N5140" s="3" t="s">
        <v>220</v>
      </c>
      <c r="P5140" s="3" t="s">
        <v>110</v>
      </c>
      <c r="Q5140" s="2" t="s">
        <v>49200</v>
      </c>
      <c r="R5140" s="3" t="s">
        <v>66</v>
      </c>
      <c r="S5140" s="4">
        <v>1</v>
      </c>
      <c r="T5140" s="4">
        <v>1</v>
      </c>
      <c r="U5140" s="5" t="s">
        <v>1268</v>
      </c>
      <c r="V5140" s="5" t="s">
        <v>1268</v>
      </c>
      <c r="W5140" s="5" t="s">
        <v>67</v>
      </c>
      <c r="X5140" s="5" t="s">
        <v>67</v>
      </c>
      <c r="Y5140" s="4">
        <v>86</v>
      </c>
      <c r="Z5140" s="4">
        <v>11</v>
      </c>
      <c r="AA5140" s="4">
        <v>21</v>
      </c>
      <c r="AB5140" s="4">
        <v>2</v>
      </c>
      <c r="AC5140" s="4">
        <v>6</v>
      </c>
      <c r="AD5140" s="4">
        <v>42</v>
      </c>
      <c r="AE5140" s="4">
        <v>51</v>
      </c>
      <c r="AF5140" s="4">
        <v>1</v>
      </c>
      <c r="AG5140" s="4">
        <v>5</v>
      </c>
      <c r="AH5140" s="4">
        <v>35</v>
      </c>
      <c r="AI5140" s="4">
        <v>39</v>
      </c>
      <c r="AJ5140" s="4">
        <v>8</v>
      </c>
      <c r="AK5140" s="4">
        <v>15</v>
      </c>
      <c r="AL5140" s="4">
        <v>20</v>
      </c>
      <c r="AM5140" s="4">
        <v>21</v>
      </c>
      <c r="AN5140" s="4">
        <v>0</v>
      </c>
      <c r="AO5140" s="4">
        <v>0</v>
      </c>
      <c r="AP5140" s="4">
        <v>10</v>
      </c>
      <c r="AQ5140" s="4">
        <v>18</v>
      </c>
      <c r="AR5140" s="3" t="s">
        <v>62</v>
      </c>
      <c r="AS5140" s="3" t="s">
        <v>62</v>
      </c>
      <c r="AT5140" s="3" t="s">
        <v>62</v>
      </c>
      <c r="AV5140" s="6" t="str">
        <f>HYPERLINK("http://mcgill.on.worldcat.org/oclc/1312448","Catalog Record")</f>
        <v>Catalog Record</v>
      </c>
      <c r="AW5140" s="6" t="str">
        <f>HYPERLINK("http://www.worldcat.org/oclc/1312448","WorldCat Record")</f>
        <v>WorldCat Record</v>
      </c>
      <c r="AX5140" s="3" t="s">
        <v>49201</v>
      </c>
      <c r="AY5140" s="3" t="s">
        <v>49202</v>
      </c>
      <c r="AZ5140" s="3" t="s">
        <v>49203</v>
      </c>
      <c r="BA5140" s="3" t="s">
        <v>49203</v>
      </c>
      <c r="BB5140" s="3" t="s">
        <v>49204</v>
      </c>
      <c r="BC5140" s="3" t="s">
        <v>142</v>
      </c>
      <c r="BD5140" s="3" t="s">
        <v>68</v>
      </c>
      <c r="BF5140" s="3" t="s">
        <v>49204</v>
      </c>
      <c r="BG5140" s="3" t="s">
        <v>49205</v>
      </c>
    </row>
    <row r="5141" spans="1:59" ht="57" x14ac:dyDescent="0.45">
      <c r="A5141" s="2" t="s">
        <v>59</v>
      </c>
      <c r="B5141" s="2" t="s">
        <v>60</v>
      </c>
      <c r="C5141" s="2" t="s">
        <v>49206</v>
      </c>
      <c r="D5141" s="2" t="s">
        <v>49207</v>
      </c>
      <c r="E5141" s="2" t="s">
        <v>49208</v>
      </c>
      <c r="G5141" s="3" t="s">
        <v>62</v>
      </c>
      <c r="I5141" s="3" t="s">
        <v>62</v>
      </c>
      <c r="J5141" s="3" t="s">
        <v>62</v>
      </c>
      <c r="K5141" s="3" t="s">
        <v>63</v>
      </c>
      <c r="L5141" s="2" t="s">
        <v>32055</v>
      </c>
      <c r="M5141" s="2" t="s">
        <v>49209</v>
      </c>
      <c r="N5141" s="3" t="s">
        <v>13133</v>
      </c>
      <c r="P5141" s="3" t="s">
        <v>65</v>
      </c>
      <c r="Q5141" s="2" t="s">
        <v>49210</v>
      </c>
      <c r="R5141" s="3" t="s">
        <v>66</v>
      </c>
      <c r="S5141" s="4">
        <v>9</v>
      </c>
      <c r="T5141" s="4">
        <v>9</v>
      </c>
      <c r="U5141" s="5" t="s">
        <v>4940</v>
      </c>
      <c r="V5141" s="5" t="s">
        <v>4940</v>
      </c>
      <c r="W5141" s="5" t="s">
        <v>67</v>
      </c>
      <c r="X5141" s="5" t="s">
        <v>67</v>
      </c>
      <c r="Y5141" s="4">
        <v>444</v>
      </c>
      <c r="Z5141" s="4">
        <v>21</v>
      </c>
      <c r="AA5141" s="4">
        <v>37</v>
      </c>
      <c r="AB5141" s="4">
        <v>2</v>
      </c>
      <c r="AC5141" s="4">
        <v>7</v>
      </c>
      <c r="AD5141" s="4">
        <v>108</v>
      </c>
      <c r="AE5141" s="4">
        <v>126</v>
      </c>
      <c r="AF5141" s="4">
        <v>1</v>
      </c>
      <c r="AG5141" s="4">
        <v>5</v>
      </c>
      <c r="AH5141" s="4">
        <v>90</v>
      </c>
      <c r="AI5141" s="4">
        <v>103</v>
      </c>
      <c r="AJ5141" s="4">
        <v>12</v>
      </c>
      <c r="AK5141" s="4">
        <v>23</v>
      </c>
      <c r="AL5141" s="4">
        <v>51</v>
      </c>
      <c r="AM5141" s="4">
        <v>55</v>
      </c>
      <c r="AN5141" s="4">
        <v>0</v>
      </c>
      <c r="AO5141" s="4">
        <v>0</v>
      </c>
      <c r="AP5141" s="4">
        <v>19</v>
      </c>
      <c r="AQ5141" s="4">
        <v>30</v>
      </c>
      <c r="AR5141" s="3" t="s">
        <v>62</v>
      </c>
      <c r="AS5141" s="3" t="s">
        <v>62</v>
      </c>
      <c r="AT5141" s="3" t="s">
        <v>61</v>
      </c>
      <c r="AU5141" s="6" t="str">
        <f>HYPERLINK("http://catalog.hathitrust.org/Record/000825911","HathiTrust Record")</f>
        <v>HathiTrust Record</v>
      </c>
      <c r="AV5141" s="6" t="str">
        <f>HYPERLINK("http://mcgill.on.worldcat.org/oclc/312371","Catalog Record")</f>
        <v>Catalog Record</v>
      </c>
      <c r="AW5141" s="6" t="str">
        <f>HYPERLINK("http://www.worldcat.org/oclc/312371","WorldCat Record")</f>
        <v>WorldCat Record</v>
      </c>
      <c r="AX5141" s="3" t="s">
        <v>49211</v>
      </c>
      <c r="AY5141" s="3" t="s">
        <v>49212</v>
      </c>
      <c r="AZ5141" s="3" t="s">
        <v>49213</v>
      </c>
      <c r="BA5141" s="3" t="s">
        <v>49213</v>
      </c>
      <c r="BB5141" s="3" t="s">
        <v>49214</v>
      </c>
      <c r="BC5141" s="3" t="s">
        <v>142</v>
      </c>
      <c r="BD5141" s="3" t="s">
        <v>68</v>
      </c>
      <c r="BF5141" s="3" t="s">
        <v>49214</v>
      </c>
      <c r="BG5141" s="3" t="s">
        <v>49215</v>
      </c>
    </row>
    <row r="5142" spans="1:59" ht="57" x14ac:dyDescent="0.45">
      <c r="A5142" s="2" t="s">
        <v>59</v>
      </c>
      <c r="B5142" s="2" t="s">
        <v>60</v>
      </c>
      <c r="C5142" s="2" t="s">
        <v>49216</v>
      </c>
      <c r="D5142" s="2" t="s">
        <v>49217</v>
      </c>
      <c r="E5142" s="2" t="s">
        <v>49218</v>
      </c>
      <c r="G5142" s="3" t="s">
        <v>62</v>
      </c>
      <c r="I5142" s="3" t="s">
        <v>62</v>
      </c>
      <c r="J5142" s="3" t="s">
        <v>62</v>
      </c>
      <c r="K5142" s="3" t="s">
        <v>63</v>
      </c>
      <c r="L5142" s="2" t="s">
        <v>49219</v>
      </c>
      <c r="N5142" s="3" t="s">
        <v>125</v>
      </c>
      <c r="P5142" s="3" t="s">
        <v>65</v>
      </c>
      <c r="R5142" s="3" t="s">
        <v>66</v>
      </c>
      <c r="S5142" s="4">
        <v>1</v>
      </c>
      <c r="T5142" s="4">
        <v>1</v>
      </c>
      <c r="U5142" s="5" t="s">
        <v>44338</v>
      </c>
      <c r="V5142" s="5" t="s">
        <v>44338</v>
      </c>
      <c r="W5142" s="5" t="s">
        <v>67</v>
      </c>
      <c r="X5142" s="5" t="s">
        <v>67</v>
      </c>
      <c r="Y5142" s="4">
        <v>12</v>
      </c>
      <c r="Z5142" s="4">
        <v>3</v>
      </c>
      <c r="AA5142" s="4">
        <v>3</v>
      </c>
      <c r="AB5142" s="4">
        <v>1</v>
      </c>
      <c r="AC5142" s="4">
        <v>1</v>
      </c>
      <c r="AD5142" s="4">
        <v>6</v>
      </c>
      <c r="AE5142" s="4">
        <v>8</v>
      </c>
      <c r="AF5142" s="4">
        <v>0</v>
      </c>
      <c r="AG5142" s="4">
        <v>0</v>
      </c>
      <c r="AH5142" s="4">
        <v>5</v>
      </c>
      <c r="AI5142" s="4">
        <v>7</v>
      </c>
      <c r="AJ5142" s="4">
        <v>2</v>
      </c>
      <c r="AK5142" s="4">
        <v>2</v>
      </c>
      <c r="AL5142" s="4">
        <v>4</v>
      </c>
      <c r="AM5142" s="4">
        <v>5</v>
      </c>
      <c r="AN5142" s="4">
        <v>0</v>
      </c>
      <c r="AO5142" s="4">
        <v>0</v>
      </c>
      <c r="AP5142" s="4">
        <v>2</v>
      </c>
      <c r="AQ5142" s="4">
        <v>2</v>
      </c>
      <c r="AR5142" s="3" t="s">
        <v>62</v>
      </c>
      <c r="AS5142" s="3" t="s">
        <v>62</v>
      </c>
      <c r="AT5142" s="3" t="s">
        <v>62</v>
      </c>
      <c r="AV5142" s="6" t="str">
        <f>HYPERLINK("http://mcgill.on.worldcat.org/oclc/26736220","Catalog Record")</f>
        <v>Catalog Record</v>
      </c>
      <c r="AW5142" s="6" t="str">
        <f>HYPERLINK("http://www.worldcat.org/oclc/26736220","WorldCat Record")</f>
        <v>WorldCat Record</v>
      </c>
      <c r="AX5142" s="3" t="s">
        <v>49220</v>
      </c>
      <c r="AY5142" s="3" t="s">
        <v>49221</v>
      </c>
      <c r="AZ5142" s="3" t="s">
        <v>49222</v>
      </c>
      <c r="BA5142" s="3" t="s">
        <v>49222</v>
      </c>
      <c r="BB5142" s="3" t="s">
        <v>49223</v>
      </c>
      <c r="BC5142" s="3" t="s">
        <v>104</v>
      </c>
      <c r="BD5142" s="3" t="s">
        <v>68</v>
      </c>
      <c r="BF5142" s="3" t="s">
        <v>49223</v>
      </c>
      <c r="BG5142" s="3" t="s">
        <v>49224</v>
      </c>
    </row>
    <row r="5143" spans="1:59" ht="57" x14ac:dyDescent="0.45">
      <c r="A5143" s="2" t="s">
        <v>59</v>
      </c>
      <c r="B5143" s="2" t="s">
        <v>60</v>
      </c>
      <c r="C5143" s="2" t="s">
        <v>49225</v>
      </c>
      <c r="D5143" s="2" t="s">
        <v>49226</v>
      </c>
      <c r="E5143" s="2" t="s">
        <v>49227</v>
      </c>
      <c r="G5143" s="3" t="s">
        <v>62</v>
      </c>
      <c r="I5143" s="3" t="s">
        <v>62</v>
      </c>
      <c r="J5143" s="3" t="s">
        <v>62</v>
      </c>
      <c r="K5143" s="3" t="s">
        <v>63</v>
      </c>
      <c r="L5143" s="2" t="s">
        <v>48107</v>
      </c>
      <c r="M5143" s="2" t="s">
        <v>4429</v>
      </c>
      <c r="N5143" s="3" t="s">
        <v>1097</v>
      </c>
      <c r="P5143" s="3" t="s">
        <v>65</v>
      </c>
      <c r="Q5143" s="2" t="s">
        <v>29723</v>
      </c>
      <c r="R5143" s="3" t="s">
        <v>66</v>
      </c>
      <c r="S5143" s="4">
        <v>11</v>
      </c>
      <c r="T5143" s="4">
        <v>11</v>
      </c>
      <c r="U5143" s="5" t="s">
        <v>126</v>
      </c>
      <c r="V5143" s="5" t="s">
        <v>126</v>
      </c>
      <c r="W5143" s="5" t="s">
        <v>67</v>
      </c>
      <c r="X5143" s="5" t="s">
        <v>67</v>
      </c>
      <c r="Y5143" s="4">
        <v>245</v>
      </c>
      <c r="Z5143" s="4">
        <v>19</v>
      </c>
      <c r="AA5143" s="4">
        <v>99</v>
      </c>
      <c r="AB5143" s="4">
        <v>2</v>
      </c>
      <c r="AC5143" s="4">
        <v>18</v>
      </c>
      <c r="AD5143" s="4">
        <v>95</v>
      </c>
      <c r="AE5143" s="4">
        <v>149</v>
      </c>
      <c r="AF5143" s="4">
        <v>1</v>
      </c>
      <c r="AG5143" s="4">
        <v>9</v>
      </c>
      <c r="AH5143" s="4">
        <v>86</v>
      </c>
      <c r="AI5143" s="4">
        <v>101</v>
      </c>
      <c r="AJ5143" s="4">
        <v>15</v>
      </c>
      <c r="AK5143" s="4">
        <v>27</v>
      </c>
      <c r="AL5143" s="4">
        <v>50</v>
      </c>
      <c r="AM5143" s="4">
        <v>54</v>
      </c>
      <c r="AN5143" s="4">
        <v>0</v>
      </c>
      <c r="AO5143" s="4">
        <v>0</v>
      </c>
      <c r="AP5143" s="4">
        <v>16</v>
      </c>
      <c r="AQ5143" s="4">
        <v>56</v>
      </c>
      <c r="AR5143" s="3" t="s">
        <v>62</v>
      </c>
      <c r="AS5143" s="3" t="s">
        <v>62</v>
      </c>
      <c r="AT5143" s="3" t="s">
        <v>62</v>
      </c>
      <c r="AV5143" s="6" t="str">
        <f>HYPERLINK("http://mcgill.on.worldcat.org/oclc/53038543","Catalog Record")</f>
        <v>Catalog Record</v>
      </c>
      <c r="AW5143" s="6" t="str">
        <f>HYPERLINK("http://www.worldcat.org/oclc/53038543","WorldCat Record")</f>
        <v>WorldCat Record</v>
      </c>
      <c r="AX5143" s="3" t="s">
        <v>49228</v>
      </c>
      <c r="AY5143" s="3" t="s">
        <v>49229</v>
      </c>
      <c r="AZ5143" s="3" t="s">
        <v>49230</v>
      </c>
      <c r="BA5143" s="3" t="s">
        <v>49230</v>
      </c>
      <c r="BB5143" s="3" t="s">
        <v>49231</v>
      </c>
      <c r="BC5143" s="3" t="s">
        <v>142</v>
      </c>
      <c r="BD5143" s="3" t="s">
        <v>68</v>
      </c>
      <c r="BE5143" s="3" t="s">
        <v>49232</v>
      </c>
      <c r="BF5143" s="3" t="s">
        <v>49231</v>
      </c>
      <c r="BG5143" s="3" t="s">
        <v>49233</v>
      </c>
    </row>
    <row r="5144" spans="1:59" ht="57" x14ac:dyDescent="0.45">
      <c r="A5144" s="2" t="s">
        <v>59</v>
      </c>
      <c r="B5144" s="2" t="s">
        <v>60</v>
      </c>
      <c r="C5144" s="2" t="s">
        <v>49234</v>
      </c>
      <c r="D5144" s="2" t="s">
        <v>49235</v>
      </c>
      <c r="E5144" s="2" t="s">
        <v>49236</v>
      </c>
      <c r="G5144" s="3" t="s">
        <v>62</v>
      </c>
      <c r="I5144" s="3" t="s">
        <v>62</v>
      </c>
      <c r="J5144" s="3" t="s">
        <v>62</v>
      </c>
      <c r="K5144" s="3" t="s">
        <v>63</v>
      </c>
      <c r="L5144" s="2" t="s">
        <v>49237</v>
      </c>
      <c r="M5144" s="2" t="s">
        <v>49238</v>
      </c>
      <c r="N5144" s="3" t="s">
        <v>125</v>
      </c>
      <c r="P5144" s="3" t="s">
        <v>65</v>
      </c>
      <c r="Q5144" s="2" t="s">
        <v>49239</v>
      </c>
      <c r="R5144" s="3" t="s">
        <v>66</v>
      </c>
      <c r="S5144" s="4">
        <v>11</v>
      </c>
      <c r="T5144" s="4">
        <v>11</v>
      </c>
      <c r="U5144" s="5" t="s">
        <v>4940</v>
      </c>
      <c r="V5144" s="5" t="s">
        <v>4940</v>
      </c>
      <c r="W5144" s="5" t="s">
        <v>67</v>
      </c>
      <c r="X5144" s="5" t="s">
        <v>67</v>
      </c>
      <c r="Y5144" s="4">
        <v>56</v>
      </c>
      <c r="Z5144" s="4">
        <v>8</v>
      </c>
      <c r="AA5144" s="4">
        <v>12</v>
      </c>
      <c r="AB5144" s="4">
        <v>1</v>
      </c>
      <c r="AC5144" s="4">
        <v>1</v>
      </c>
      <c r="AD5144" s="4">
        <v>37</v>
      </c>
      <c r="AE5144" s="4">
        <v>46</v>
      </c>
      <c r="AF5144" s="4">
        <v>0</v>
      </c>
      <c r="AG5144" s="4">
        <v>0</v>
      </c>
      <c r="AH5144" s="4">
        <v>35</v>
      </c>
      <c r="AI5144" s="4">
        <v>42</v>
      </c>
      <c r="AJ5144" s="4">
        <v>6</v>
      </c>
      <c r="AK5144" s="4">
        <v>9</v>
      </c>
      <c r="AL5144" s="4">
        <v>23</v>
      </c>
      <c r="AM5144" s="4">
        <v>24</v>
      </c>
      <c r="AN5144" s="4">
        <v>0</v>
      </c>
      <c r="AO5144" s="4">
        <v>0</v>
      </c>
      <c r="AP5144" s="4">
        <v>6</v>
      </c>
      <c r="AQ5144" s="4">
        <v>10</v>
      </c>
      <c r="AR5144" s="3" t="s">
        <v>62</v>
      </c>
      <c r="AS5144" s="3" t="s">
        <v>62</v>
      </c>
      <c r="AT5144" s="3" t="s">
        <v>61</v>
      </c>
      <c r="AU5144" s="6" t="str">
        <f>HYPERLINK("http://catalog.hathitrust.org/Record/002549636","HathiTrust Record")</f>
        <v>HathiTrust Record</v>
      </c>
      <c r="AV5144" s="6" t="str">
        <f>HYPERLINK("http://mcgill.on.worldcat.org/oclc/23239852","Catalog Record")</f>
        <v>Catalog Record</v>
      </c>
      <c r="AW5144" s="6" t="str">
        <f>HYPERLINK("http://www.worldcat.org/oclc/23239852","WorldCat Record")</f>
        <v>WorldCat Record</v>
      </c>
      <c r="AX5144" s="3" t="s">
        <v>49240</v>
      </c>
      <c r="AY5144" s="3" t="s">
        <v>49241</v>
      </c>
      <c r="AZ5144" s="3" t="s">
        <v>49242</v>
      </c>
      <c r="BA5144" s="3" t="s">
        <v>49242</v>
      </c>
      <c r="BB5144" s="3" t="s">
        <v>49243</v>
      </c>
      <c r="BC5144" s="3" t="s">
        <v>142</v>
      </c>
      <c r="BD5144" s="3" t="s">
        <v>68</v>
      </c>
      <c r="BE5144" s="3" t="s">
        <v>49244</v>
      </c>
      <c r="BF5144" s="3" t="s">
        <v>49243</v>
      </c>
      <c r="BG5144" s="3" t="s">
        <v>49245</v>
      </c>
    </row>
    <row r="5145" spans="1:59" ht="57" x14ac:dyDescent="0.45">
      <c r="A5145" s="2" t="s">
        <v>59</v>
      </c>
      <c r="B5145" s="2" t="s">
        <v>60</v>
      </c>
      <c r="C5145" s="2" t="s">
        <v>49246</v>
      </c>
      <c r="D5145" s="2" t="s">
        <v>49247</v>
      </c>
      <c r="E5145" s="2" t="s">
        <v>49248</v>
      </c>
      <c r="G5145" s="3" t="s">
        <v>62</v>
      </c>
      <c r="I5145" s="3" t="s">
        <v>62</v>
      </c>
      <c r="J5145" s="3" t="s">
        <v>62</v>
      </c>
      <c r="K5145" s="3" t="s">
        <v>63</v>
      </c>
      <c r="M5145" s="2" t="s">
        <v>5669</v>
      </c>
      <c r="N5145" s="3" t="s">
        <v>84</v>
      </c>
      <c r="P5145" s="3" t="s">
        <v>65</v>
      </c>
      <c r="Q5145" s="2" t="s">
        <v>49249</v>
      </c>
      <c r="R5145" s="3" t="s">
        <v>66</v>
      </c>
      <c r="S5145" s="4">
        <v>6</v>
      </c>
      <c r="T5145" s="4">
        <v>6</v>
      </c>
      <c r="U5145" s="5" t="s">
        <v>44338</v>
      </c>
      <c r="V5145" s="5" t="s">
        <v>44338</v>
      </c>
      <c r="W5145" s="5" t="s">
        <v>67</v>
      </c>
      <c r="X5145" s="5" t="s">
        <v>67</v>
      </c>
      <c r="Y5145" s="4">
        <v>12</v>
      </c>
      <c r="Z5145" s="4">
        <v>2</v>
      </c>
      <c r="AA5145" s="4">
        <v>27</v>
      </c>
      <c r="AB5145" s="4">
        <v>1</v>
      </c>
      <c r="AC5145" s="4">
        <v>6</v>
      </c>
      <c r="AD5145" s="4">
        <v>1</v>
      </c>
      <c r="AE5145" s="4">
        <v>89</v>
      </c>
      <c r="AF5145" s="4">
        <v>0</v>
      </c>
      <c r="AG5145" s="4">
        <v>3</v>
      </c>
      <c r="AH5145" s="4">
        <v>1</v>
      </c>
      <c r="AI5145" s="4">
        <v>75</v>
      </c>
      <c r="AJ5145" s="4">
        <v>1</v>
      </c>
      <c r="AK5145" s="4">
        <v>13</v>
      </c>
      <c r="AL5145" s="4">
        <v>0</v>
      </c>
      <c r="AM5145" s="4">
        <v>46</v>
      </c>
      <c r="AN5145" s="4">
        <v>0</v>
      </c>
      <c r="AO5145" s="4">
        <v>0</v>
      </c>
      <c r="AP5145" s="4">
        <v>1</v>
      </c>
      <c r="AQ5145" s="4">
        <v>19</v>
      </c>
      <c r="AR5145" s="3" t="s">
        <v>62</v>
      </c>
      <c r="AS5145" s="3" t="s">
        <v>62</v>
      </c>
      <c r="AT5145" s="3" t="s">
        <v>61</v>
      </c>
      <c r="AU5145" s="6" t="str">
        <f>HYPERLINK("http://catalog.hathitrust.org/Record/002913577","HathiTrust Record")</f>
        <v>HathiTrust Record</v>
      </c>
      <c r="AV5145" s="6" t="str">
        <f>HYPERLINK("http://mcgill.on.worldcat.org/oclc/60096776","Catalog Record")</f>
        <v>Catalog Record</v>
      </c>
      <c r="AW5145" s="6" t="str">
        <f>HYPERLINK("http://www.worldcat.org/oclc/60096776","WorldCat Record")</f>
        <v>WorldCat Record</v>
      </c>
      <c r="AX5145" s="3" t="s">
        <v>49250</v>
      </c>
      <c r="AY5145" s="3" t="s">
        <v>49251</v>
      </c>
      <c r="AZ5145" s="3" t="s">
        <v>49252</v>
      </c>
      <c r="BA5145" s="3" t="s">
        <v>49252</v>
      </c>
      <c r="BB5145" s="3" t="s">
        <v>49253</v>
      </c>
      <c r="BC5145" s="3" t="s">
        <v>142</v>
      </c>
      <c r="BD5145" s="3" t="s">
        <v>68</v>
      </c>
      <c r="BE5145" s="3" t="s">
        <v>49254</v>
      </c>
      <c r="BF5145" s="3" t="s">
        <v>49253</v>
      </c>
      <c r="BG5145" s="3" t="s">
        <v>49255</v>
      </c>
    </row>
    <row r="5146" spans="1:59" ht="57" x14ac:dyDescent="0.45">
      <c r="A5146" s="2" t="s">
        <v>59</v>
      </c>
      <c r="B5146" s="2" t="s">
        <v>60</v>
      </c>
      <c r="C5146" s="2" t="s">
        <v>49256</v>
      </c>
      <c r="D5146" s="2" t="s">
        <v>49257</v>
      </c>
      <c r="E5146" s="2" t="s">
        <v>49258</v>
      </c>
      <c r="G5146" s="3" t="s">
        <v>62</v>
      </c>
      <c r="I5146" s="3" t="s">
        <v>62</v>
      </c>
      <c r="J5146" s="3" t="s">
        <v>62</v>
      </c>
      <c r="K5146" s="3" t="s">
        <v>63</v>
      </c>
      <c r="M5146" s="2" t="s">
        <v>43424</v>
      </c>
      <c r="N5146" s="3" t="s">
        <v>583</v>
      </c>
      <c r="P5146" s="3" t="s">
        <v>65</v>
      </c>
      <c r="R5146" s="3" t="s">
        <v>66</v>
      </c>
      <c r="S5146" s="4">
        <v>15</v>
      </c>
      <c r="T5146" s="4">
        <v>15</v>
      </c>
      <c r="U5146" s="5" t="s">
        <v>2202</v>
      </c>
      <c r="V5146" s="5" t="s">
        <v>2202</v>
      </c>
      <c r="W5146" s="5" t="s">
        <v>67</v>
      </c>
      <c r="X5146" s="5" t="s">
        <v>67</v>
      </c>
      <c r="Y5146" s="4">
        <v>410</v>
      </c>
      <c r="Z5146" s="4">
        <v>25</v>
      </c>
      <c r="AA5146" s="4">
        <v>27</v>
      </c>
      <c r="AB5146" s="4">
        <v>3</v>
      </c>
      <c r="AC5146" s="4">
        <v>5</v>
      </c>
      <c r="AD5146" s="4">
        <v>115</v>
      </c>
      <c r="AE5146" s="4">
        <v>115</v>
      </c>
      <c r="AF5146" s="4">
        <v>1</v>
      </c>
      <c r="AG5146" s="4">
        <v>1</v>
      </c>
      <c r="AH5146" s="4">
        <v>103</v>
      </c>
      <c r="AI5146" s="4">
        <v>103</v>
      </c>
      <c r="AJ5146" s="4">
        <v>18</v>
      </c>
      <c r="AK5146" s="4">
        <v>18</v>
      </c>
      <c r="AL5146" s="4">
        <v>56</v>
      </c>
      <c r="AM5146" s="4">
        <v>56</v>
      </c>
      <c r="AN5146" s="4">
        <v>0</v>
      </c>
      <c r="AO5146" s="4">
        <v>0</v>
      </c>
      <c r="AP5146" s="4">
        <v>20</v>
      </c>
      <c r="AQ5146" s="4">
        <v>20</v>
      </c>
      <c r="AR5146" s="3" t="s">
        <v>62</v>
      </c>
      <c r="AS5146" s="3" t="s">
        <v>62</v>
      </c>
      <c r="AT5146" s="3" t="s">
        <v>61</v>
      </c>
      <c r="AU5146" s="6" t="str">
        <f>HYPERLINK("http://catalog.hathitrust.org/Record/000174133","HathiTrust Record")</f>
        <v>HathiTrust Record</v>
      </c>
      <c r="AV5146" s="6" t="str">
        <f>HYPERLINK("http://mcgill.on.worldcat.org/oclc/3914019","Catalog Record")</f>
        <v>Catalog Record</v>
      </c>
      <c r="AW5146" s="6" t="str">
        <f>HYPERLINK("http://www.worldcat.org/oclc/3914019","WorldCat Record")</f>
        <v>WorldCat Record</v>
      </c>
      <c r="AX5146" s="3" t="s">
        <v>49259</v>
      </c>
      <c r="AY5146" s="3" t="s">
        <v>49260</v>
      </c>
      <c r="AZ5146" s="3" t="s">
        <v>49261</v>
      </c>
      <c r="BA5146" s="3" t="s">
        <v>49261</v>
      </c>
      <c r="BB5146" s="3" t="s">
        <v>49262</v>
      </c>
      <c r="BC5146" s="3" t="s">
        <v>142</v>
      </c>
      <c r="BD5146" s="3" t="s">
        <v>68</v>
      </c>
      <c r="BE5146" s="3" t="s">
        <v>49263</v>
      </c>
      <c r="BF5146" s="3" t="s">
        <v>49262</v>
      </c>
      <c r="BG5146" s="3" t="s">
        <v>49264</v>
      </c>
    </row>
    <row r="5147" spans="1:59" ht="57" x14ac:dyDescent="0.45">
      <c r="A5147" s="2" t="s">
        <v>59</v>
      </c>
      <c r="B5147" s="2" t="s">
        <v>60</v>
      </c>
      <c r="C5147" s="2" t="s">
        <v>49265</v>
      </c>
      <c r="D5147" s="2" t="s">
        <v>49266</v>
      </c>
      <c r="E5147" s="2" t="s">
        <v>49267</v>
      </c>
      <c r="F5147" s="3" t="s">
        <v>87</v>
      </c>
      <c r="G5147" s="3" t="s">
        <v>61</v>
      </c>
      <c r="I5147" s="3" t="s">
        <v>62</v>
      </c>
      <c r="J5147" s="3" t="s">
        <v>62</v>
      </c>
      <c r="K5147" s="3" t="s">
        <v>63</v>
      </c>
      <c r="M5147" s="2" t="s">
        <v>49268</v>
      </c>
      <c r="N5147" s="3" t="s">
        <v>945</v>
      </c>
      <c r="P5147" s="3" t="s">
        <v>65</v>
      </c>
      <c r="Q5147" s="2" t="s">
        <v>49269</v>
      </c>
      <c r="R5147" s="3" t="s">
        <v>66</v>
      </c>
      <c r="S5147" s="4">
        <v>1</v>
      </c>
      <c r="T5147" s="4">
        <v>2</v>
      </c>
      <c r="U5147" s="5" t="s">
        <v>4940</v>
      </c>
      <c r="V5147" s="5" t="s">
        <v>4940</v>
      </c>
      <c r="W5147" s="5" t="s">
        <v>67</v>
      </c>
      <c r="X5147" s="5" t="s">
        <v>67</v>
      </c>
      <c r="Y5147" s="4">
        <v>89</v>
      </c>
      <c r="Z5147" s="4">
        <v>12</v>
      </c>
      <c r="AA5147" s="4">
        <v>12</v>
      </c>
      <c r="AB5147" s="4">
        <v>1</v>
      </c>
      <c r="AC5147" s="4">
        <v>1</v>
      </c>
      <c r="AD5147" s="4">
        <v>49</v>
      </c>
      <c r="AE5147" s="4">
        <v>49</v>
      </c>
      <c r="AF5147" s="4">
        <v>0</v>
      </c>
      <c r="AG5147" s="4">
        <v>0</v>
      </c>
      <c r="AH5147" s="4">
        <v>46</v>
      </c>
      <c r="AI5147" s="4">
        <v>46</v>
      </c>
      <c r="AJ5147" s="4">
        <v>10</v>
      </c>
      <c r="AK5147" s="4">
        <v>10</v>
      </c>
      <c r="AL5147" s="4">
        <v>30</v>
      </c>
      <c r="AM5147" s="4">
        <v>30</v>
      </c>
      <c r="AN5147" s="4">
        <v>0</v>
      </c>
      <c r="AO5147" s="4">
        <v>0</v>
      </c>
      <c r="AP5147" s="4">
        <v>10</v>
      </c>
      <c r="AQ5147" s="4">
        <v>10</v>
      </c>
      <c r="AR5147" s="3" t="s">
        <v>62</v>
      </c>
      <c r="AS5147" s="3" t="s">
        <v>62</v>
      </c>
      <c r="AT5147" s="3" t="s">
        <v>62</v>
      </c>
      <c r="AV5147" s="6" t="str">
        <f>HYPERLINK("http://mcgill.on.worldcat.org/oclc/166255066","Catalog Record")</f>
        <v>Catalog Record</v>
      </c>
      <c r="AW5147" s="6" t="str">
        <f>HYPERLINK("http://www.worldcat.org/oclc/166255066","WorldCat Record")</f>
        <v>WorldCat Record</v>
      </c>
      <c r="AX5147" s="3" t="s">
        <v>49270</v>
      </c>
      <c r="AY5147" s="3" t="s">
        <v>49271</v>
      </c>
      <c r="AZ5147" s="3" t="s">
        <v>49272</v>
      </c>
      <c r="BA5147" s="3" t="s">
        <v>49272</v>
      </c>
      <c r="BB5147" s="3" t="s">
        <v>49273</v>
      </c>
      <c r="BC5147" s="3" t="s">
        <v>142</v>
      </c>
      <c r="BD5147" s="3" t="s">
        <v>68</v>
      </c>
      <c r="BE5147" s="3" t="s">
        <v>49274</v>
      </c>
      <c r="BF5147" s="3" t="s">
        <v>49273</v>
      </c>
      <c r="BG5147" s="3" t="s">
        <v>49275</v>
      </c>
    </row>
    <row r="5148" spans="1:59" ht="57" x14ac:dyDescent="0.45">
      <c r="A5148" s="2" t="s">
        <v>59</v>
      </c>
      <c r="B5148" s="2" t="s">
        <v>60</v>
      </c>
      <c r="C5148" s="2" t="s">
        <v>49265</v>
      </c>
      <c r="D5148" s="2" t="s">
        <v>49266</v>
      </c>
      <c r="E5148" s="2" t="s">
        <v>49267</v>
      </c>
      <c r="F5148" s="3" t="s">
        <v>90</v>
      </c>
      <c r="G5148" s="3" t="s">
        <v>61</v>
      </c>
      <c r="I5148" s="3" t="s">
        <v>62</v>
      </c>
      <c r="J5148" s="3" t="s">
        <v>62</v>
      </c>
      <c r="K5148" s="3" t="s">
        <v>63</v>
      </c>
      <c r="M5148" s="2" t="s">
        <v>49268</v>
      </c>
      <c r="N5148" s="3" t="s">
        <v>945</v>
      </c>
      <c r="P5148" s="3" t="s">
        <v>65</v>
      </c>
      <c r="Q5148" s="2" t="s">
        <v>49269</v>
      </c>
      <c r="R5148" s="3" t="s">
        <v>66</v>
      </c>
      <c r="S5148" s="4">
        <v>1</v>
      </c>
      <c r="T5148" s="4">
        <v>2</v>
      </c>
      <c r="U5148" s="5" t="s">
        <v>4940</v>
      </c>
      <c r="V5148" s="5" t="s">
        <v>4940</v>
      </c>
      <c r="W5148" s="5" t="s">
        <v>67</v>
      </c>
      <c r="X5148" s="5" t="s">
        <v>67</v>
      </c>
      <c r="Y5148" s="4">
        <v>89</v>
      </c>
      <c r="Z5148" s="4">
        <v>12</v>
      </c>
      <c r="AA5148" s="4">
        <v>12</v>
      </c>
      <c r="AB5148" s="4">
        <v>1</v>
      </c>
      <c r="AC5148" s="4">
        <v>1</v>
      </c>
      <c r="AD5148" s="4">
        <v>49</v>
      </c>
      <c r="AE5148" s="4">
        <v>49</v>
      </c>
      <c r="AF5148" s="4">
        <v>0</v>
      </c>
      <c r="AG5148" s="4">
        <v>0</v>
      </c>
      <c r="AH5148" s="4">
        <v>46</v>
      </c>
      <c r="AI5148" s="4">
        <v>46</v>
      </c>
      <c r="AJ5148" s="4">
        <v>10</v>
      </c>
      <c r="AK5148" s="4">
        <v>10</v>
      </c>
      <c r="AL5148" s="4">
        <v>30</v>
      </c>
      <c r="AM5148" s="4">
        <v>30</v>
      </c>
      <c r="AN5148" s="4">
        <v>0</v>
      </c>
      <c r="AO5148" s="4">
        <v>0</v>
      </c>
      <c r="AP5148" s="4">
        <v>10</v>
      </c>
      <c r="AQ5148" s="4">
        <v>10</v>
      </c>
      <c r="AR5148" s="3" t="s">
        <v>62</v>
      </c>
      <c r="AS5148" s="3" t="s">
        <v>62</v>
      </c>
      <c r="AT5148" s="3" t="s">
        <v>62</v>
      </c>
      <c r="AV5148" s="6" t="str">
        <f>HYPERLINK("http://mcgill.on.worldcat.org/oclc/166255066","Catalog Record")</f>
        <v>Catalog Record</v>
      </c>
      <c r="AW5148" s="6" t="str">
        <f>HYPERLINK("http://www.worldcat.org/oclc/166255066","WorldCat Record")</f>
        <v>WorldCat Record</v>
      </c>
      <c r="AX5148" s="3" t="s">
        <v>49270</v>
      </c>
      <c r="AY5148" s="3" t="s">
        <v>49271</v>
      </c>
      <c r="AZ5148" s="3" t="s">
        <v>49272</v>
      </c>
      <c r="BA5148" s="3" t="s">
        <v>49272</v>
      </c>
      <c r="BB5148" s="3" t="s">
        <v>49276</v>
      </c>
      <c r="BC5148" s="3" t="s">
        <v>142</v>
      </c>
      <c r="BD5148" s="3" t="s">
        <v>68</v>
      </c>
      <c r="BE5148" s="3" t="s">
        <v>49274</v>
      </c>
      <c r="BF5148" s="3" t="s">
        <v>49276</v>
      </c>
      <c r="BG5148" s="3" t="s">
        <v>49277</v>
      </c>
    </row>
    <row r="5149" spans="1:59" ht="57" x14ac:dyDescent="0.45">
      <c r="A5149" s="2" t="s">
        <v>59</v>
      </c>
      <c r="B5149" s="2" t="s">
        <v>60</v>
      </c>
      <c r="C5149" s="2" t="s">
        <v>49278</v>
      </c>
      <c r="D5149" s="2" t="s">
        <v>49279</v>
      </c>
      <c r="E5149" s="2" t="s">
        <v>49280</v>
      </c>
      <c r="G5149" s="3" t="s">
        <v>62</v>
      </c>
      <c r="I5149" s="3" t="s">
        <v>62</v>
      </c>
      <c r="J5149" s="3" t="s">
        <v>62</v>
      </c>
      <c r="K5149" s="3" t="s">
        <v>63</v>
      </c>
      <c r="L5149" s="2" t="s">
        <v>49281</v>
      </c>
      <c r="M5149" s="2" t="s">
        <v>25814</v>
      </c>
      <c r="N5149" s="3" t="s">
        <v>970</v>
      </c>
      <c r="P5149" s="3" t="s">
        <v>65</v>
      </c>
      <c r="Q5149" s="2" t="s">
        <v>29735</v>
      </c>
      <c r="R5149" s="3" t="s">
        <v>66</v>
      </c>
      <c r="S5149" s="4">
        <v>18</v>
      </c>
      <c r="T5149" s="4">
        <v>18</v>
      </c>
      <c r="U5149" s="5" t="s">
        <v>31633</v>
      </c>
      <c r="V5149" s="5" t="s">
        <v>31633</v>
      </c>
      <c r="W5149" s="5" t="s">
        <v>67</v>
      </c>
      <c r="X5149" s="5" t="s">
        <v>67</v>
      </c>
      <c r="Y5149" s="4">
        <v>227</v>
      </c>
      <c r="Z5149" s="4">
        <v>18</v>
      </c>
      <c r="AA5149" s="4">
        <v>96</v>
      </c>
      <c r="AB5149" s="4">
        <v>2</v>
      </c>
      <c r="AC5149" s="4">
        <v>17</v>
      </c>
      <c r="AD5149" s="4">
        <v>71</v>
      </c>
      <c r="AE5149" s="4">
        <v>123</v>
      </c>
      <c r="AF5149" s="4">
        <v>1</v>
      </c>
      <c r="AG5149" s="4">
        <v>8</v>
      </c>
      <c r="AH5149" s="4">
        <v>62</v>
      </c>
      <c r="AI5149" s="4">
        <v>86</v>
      </c>
      <c r="AJ5149" s="4">
        <v>12</v>
      </c>
      <c r="AK5149" s="4">
        <v>23</v>
      </c>
      <c r="AL5149" s="4">
        <v>42</v>
      </c>
      <c r="AM5149" s="4">
        <v>51</v>
      </c>
      <c r="AN5149" s="4">
        <v>0</v>
      </c>
      <c r="AO5149" s="4">
        <v>0</v>
      </c>
      <c r="AP5149" s="4">
        <v>14</v>
      </c>
      <c r="AQ5149" s="4">
        <v>44</v>
      </c>
      <c r="AR5149" s="3" t="s">
        <v>62</v>
      </c>
      <c r="AS5149" s="3" t="s">
        <v>62</v>
      </c>
      <c r="AT5149" s="3" t="s">
        <v>62</v>
      </c>
      <c r="AV5149" s="6" t="str">
        <f>HYPERLINK("http://mcgill.on.worldcat.org/oclc/50090057","Catalog Record")</f>
        <v>Catalog Record</v>
      </c>
      <c r="AW5149" s="6" t="str">
        <f>HYPERLINK("http://www.worldcat.org/oclc/50090057","WorldCat Record")</f>
        <v>WorldCat Record</v>
      </c>
      <c r="AX5149" s="3" t="s">
        <v>49282</v>
      </c>
      <c r="AY5149" s="3" t="s">
        <v>49283</v>
      </c>
      <c r="AZ5149" s="3" t="s">
        <v>49284</v>
      </c>
      <c r="BA5149" s="3" t="s">
        <v>49284</v>
      </c>
      <c r="BB5149" s="3" t="s">
        <v>49285</v>
      </c>
      <c r="BC5149" s="3" t="s">
        <v>142</v>
      </c>
      <c r="BD5149" s="3" t="s">
        <v>68</v>
      </c>
      <c r="BE5149" s="3" t="s">
        <v>49286</v>
      </c>
      <c r="BF5149" s="3" t="s">
        <v>49285</v>
      </c>
      <c r="BG5149" s="3" t="s">
        <v>49287</v>
      </c>
    </row>
    <row r="5150" spans="1:59" ht="57" x14ac:dyDescent="0.45">
      <c r="A5150" s="2" t="s">
        <v>59</v>
      </c>
      <c r="B5150" s="2" t="s">
        <v>60</v>
      </c>
      <c r="C5150" s="2" t="s">
        <v>49288</v>
      </c>
      <c r="D5150" s="2" t="s">
        <v>49289</v>
      </c>
      <c r="E5150" s="2" t="s">
        <v>49290</v>
      </c>
      <c r="G5150" s="3" t="s">
        <v>62</v>
      </c>
      <c r="I5150" s="3" t="s">
        <v>62</v>
      </c>
      <c r="J5150" s="3" t="s">
        <v>62</v>
      </c>
      <c r="K5150" s="3" t="s">
        <v>63</v>
      </c>
      <c r="L5150" s="2" t="s">
        <v>49291</v>
      </c>
      <c r="M5150" s="2" t="s">
        <v>49292</v>
      </c>
      <c r="N5150" s="3" t="s">
        <v>3160</v>
      </c>
      <c r="P5150" s="3" t="s">
        <v>110</v>
      </c>
      <c r="Q5150" s="2" t="s">
        <v>49293</v>
      </c>
      <c r="R5150" s="3" t="s">
        <v>66</v>
      </c>
      <c r="S5150" s="4">
        <v>3</v>
      </c>
      <c r="T5150" s="4">
        <v>3</v>
      </c>
      <c r="U5150" s="5" t="s">
        <v>11578</v>
      </c>
      <c r="V5150" s="5" t="s">
        <v>11578</v>
      </c>
      <c r="W5150" s="5" t="s">
        <v>67</v>
      </c>
      <c r="X5150" s="5" t="s">
        <v>67</v>
      </c>
      <c r="Y5150" s="4">
        <v>54</v>
      </c>
      <c r="Z5150" s="4">
        <v>8</v>
      </c>
      <c r="AA5150" s="4">
        <v>10</v>
      </c>
      <c r="AB5150" s="4">
        <v>1</v>
      </c>
      <c r="AC5150" s="4">
        <v>3</v>
      </c>
      <c r="AD5150" s="4">
        <v>25</v>
      </c>
      <c r="AE5150" s="4">
        <v>27</v>
      </c>
      <c r="AF5150" s="4">
        <v>0</v>
      </c>
      <c r="AG5150" s="4">
        <v>2</v>
      </c>
      <c r="AH5150" s="4">
        <v>24</v>
      </c>
      <c r="AI5150" s="4">
        <v>25</v>
      </c>
      <c r="AJ5150" s="4">
        <v>5</v>
      </c>
      <c r="AK5150" s="4">
        <v>7</v>
      </c>
      <c r="AL5150" s="4">
        <v>14</v>
      </c>
      <c r="AM5150" s="4">
        <v>14</v>
      </c>
      <c r="AN5150" s="4">
        <v>0</v>
      </c>
      <c r="AO5150" s="4">
        <v>0</v>
      </c>
      <c r="AP5150" s="4">
        <v>6</v>
      </c>
      <c r="AQ5150" s="4">
        <v>8</v>
      </c>
      <c r="AR5150" s="3" t="s">
        <v>62</v>
      </c>
      <c r="AS5150" s="3" t="s">
        <v>62</v>
      </c>
      <c r="AT5150" s="3" t="s">
        <v>62</v>
      </c>
      <c r="AV5150" s="6" t="str">
        <f>HYPERLINK("http://mcgill.on.worldcat.org/oclc/8139236","Catalog Record")</f>
        <v>Catalog Record</v>
      </c>
      <c r="AW5150" s="6" t="str">
        <f>HYPERLINK("http://www.worldcat.org/oclc/8139236","WorldCat Record")</f>
        <v>WorldCat Record</v>
      </c>
      <c r="AX5150" s="3" t="s">
        <v>49294</v>
      </c>
      <c r="AY5150" s="3" t="s">
        <v>49295</v>
      </c>
      <c r="AZ5150" s="3" t="s">
        <v>49296</v>
      </c>
      <c r="BA5150" s="3" t="s">
        <v>49296</v>
      </c>
      <c r="BB5150" s="3" t="s">
        <v>49297</v>
      </c>
      <c r="BC5150" s="3" t="s">
        <v>142</v>
      </c>
      <c r="BD5150" s="3" t="s">
        <v>68</v>
      </c>
      <c r="BE5150" s="3" t="s">
        <v>49298</v>
      </c>
      <c r="BF5150" s="3" t="s">
        <v>49297</v>
      </c>
      <c r="BG5150" s="3" t="s">
        <v>49299</v>
      </c>
    </row>
    <row r="5151" spans="1:59" ht="57" x14ac:dyDescent="0.45">
      <c r="A5151" s="2" t="s">
        <v>59</v>
      </c>
      <c r="B5151" s="2" t="s">
        <v>60</v>
      </c>
      <c r="C5151" s="2" t="s">
        <v>49300</v>
      </c>
      <c r="D5151" s="2" t="s">
        <v>49301</v>
      </c>
      <c r="E5151" s="2" t="s">
        <v>49302</v>
      </c>
      <c r="G5151" s="3" t="s">
        <v>62</v>
      </c>
      <c r="I5151" s="3" t="s">
        <v>62</v>
      </c>
      <c r="J5151" s="3" t="s">
        <v>62</v>
      </c>
      <c r="K5151" s="3" t="s">
        <v>63</v>
      </c>
      <c r="M5151" s="2" t="s">
        <v>3567</v>
      </c>
      <c r="N5151" s="3" t="s">
        <v>894</v>
      </c>
      <c r="P5151" s="3" t="s">
        <v>65</v>
      </c>
      <c r="Q5151" s="2" t="s">
        <v>49303</v>
      </c>
      <c r="R5151" s="3" t="s">
        <v>66</v>
      </c>
      <c r="S5151" s="4">
        <v>1</v>
      </c>
      <c r="T5151" s="4">
        <v>1</v>
      </c>
      <c r="U5151" s="5" t="s">
        <v>49304</v>
      </c>
      <c r="V5151" s="5" t="s">
        <v>49304</v>
      </c>
      <c r="W5151" s="5" t="s">
        <v>67</v>
      </c>
      <c r="X5151" s="5" t="s">
        <v>67</v>
      </c>
      <c r="Y5151" s="4">
        <v>31</v>
      </c>
      <c r="Z5151" s="4">
        <v>5</v>
      </c>
      <c r="AA5151" s="4">
        <v>37</v>
      </c>
      <c r="AB5151" s="4">
        <v>1</v>
      </c>
      <c r="AC5151" s="4">
        <v>8</v>
      </c>
      <c r="AD5151" s="4">
        <v>15</v>
      </c>
      <c r="AE5151" s="4">
        <v>31</v>
      </c>
      <c r="AF5151" s="4">
        <v>0</v>
      </c>
      <c r="AG5151" s="4">
        <v>2</v>
      </c>
      <c r="AH5151" s="4">
        <v>14</v>
      </c>
      <c r="AI5151" s="4">
        <v>21</v>
      </c>
      <c r="AJ5151" s="4">
        <v>4</v>
      </c>
      <c r="AK5151" s="4">
        <v>7</v>
      </c>
      <c r="AL5151" s="4">
        <v>8</v>
      </c>
      <c r="AM5151" s="4">
        <v>13</v>
      </c>
      <c r="AN5151" s="4">
        <v>0</v>
      </c>
      <c r="AO5151" s="4">
        <v>0</v>
      </c>
      <c r="AP5151" s="4">
        <v>4</v>
      </c>
      <c r="AQ5151" s="4">
        <v>13</v>
      </c>
      <c r="AR5151" s="3" t="s">
        <v>62</v>
      </c>
      <c r="AS5151" s="3" t="s">
        <v>62</v>
      </c>
      <c r="AT5151" s="3" t="s">
        <v>62</v>
      </c>
      <c r="AV5151" s="6" t="str">
        <f>HYPERLINK("http://mcgill.on.worldcat.org/oclc/729544717","Catalog Record")</f>
        <v>Catalog Record</v>
      </c>
      <c r="AW5151" s="6" t="str">
        <f>HYPERLINK("http://www.worldcat.org/oclc/729544717","WorldCat Record")</f>
        <v>WorldCat Record</v>
      </c>
      <c r="AX5151" s="3" t="s">
        <v>49305</v>
      </c>
      <c r="AY5151" s="3" t="s">
        <v>49306</v>
      </c>
      <c r="AZ5151" s="3" t="s">
        <v>49307</v>
      </c>
      <c r="BA5151" s="3" t="s">
        <v>49307</v>
      </c>
      <c r="BB5151" s="3" t="s">
        <v>49308</v>
      </c>
      <c r="BC5151" s="3" t="s">
        <v>142</v>
      </c>
      <c r="BD5151" s="3" t="s">
        <v>68</v>
      </c>
      <c r="BE5151" s="3" t="s">
        <v>49309</v>
      </c>
      <c r="BF5151" s="3" t="s">
        <v>49308</v>
      </c>
      <c r="BG5151" s="3" t="s">
        <v>49310</v>
      </c>
    </row>
    <row r="5152" spans="1:59" ht="57" x14ac:dyDescent="0.45">
      <c r="A5152" s="2" t="s">
        <v>59</v>
      </c>
      <c r="B5152" s="2" t="s">
        <v>60</v>
      </c>
      <c r="C5152" s="2" t="s">
        <v>49311</v>
      </c>
      <c r="D5152" s="2" t="s">
        <v>49312</v>
      </c>
      <c r="E5152" s="2" t="s">
        <v>49313</v>
      </c>
      <c r="G5152" s="3" t="s">
        <v>62</v>
      </c>
      <c r="I5152" s="3" t="s">
        <v>62</v>
      </c>
      <c r="J5152" s="3" t="s">
        <v>62</v>
      </c>
      <c r="K5152" s="3" t="s">
        <v>63</v>
      </c>
      <c r="M5152" s="2" t="s">
        <v>49314</v>
      </c>
      <c r="N5152" s="3" t="s">
        <v>894</v>
      </c>
      <c r="P5152" s="3" t="s">
        <v>65</v>
      </c>
      <c r="Q5152" s="2" t="s">
        <v>49315</v>
      </c>
      <c r="R5152" s="3" t="s">
        <v>66</v>
      </c>
      <c r="S5152" s="4">
        <v>1</v>
      </c>
      <c r="T5152" s="4">
        <v>1</v>
      </c>
      <c r="U5152" s="5" t="s">
        <v>49316</v>
      </c>
      <c r="V5152" s="5" t="s">
        <v>49316</v>
      </c>
      <c r="W5152" s="5" t="s">
        <v>67</v>
      </c>
      <c r="X5152" s="5" t="s">
        <v>67</v>
      </c>
      <c r="Y5152" s="4">
        <v>41</v>
      </c>
      <c r="Z5152" s="4">
        <v>6</v>
      </c>
      <c r="AA5152" s="4">
        <v>6</v>
      </c>
      <c r="AB5152" s="4">
        <v>1</v>
      </c>
      <c r="AC5152" s="4">
        <v>1</v>
      </c>
      <c r="AD5152" s="4">
        <v>21</v>
      </c>
      <c r="AE5152" s="4">
        <v>21</v>
      </c>
      <c r="AF5152" s="4">
        <v>0</v>
      </c>
      <c r="AG5152" s="4">
        <v>0</v>
      </c>
      <c r="AH5152" s="4">
        <v>20</v>
      </c>
      <c r="AI5152" s="4">
        <v>20</v>
      </c>
      <c r="AJ5152" s="4">
        <v>4</v>
      </c>
      <c r="AK5152" s="4">
        <v>4</v>
      </c>
      <c r="AL5152" s="4">
        <v>14</v>
      </c>
      <c r="AM5152" s="4">
        <v>14</v>
      </c>
      <c r="AN5152" s="4">
        <v>0</v>
      </c>
      <c r="AO5152" s="4">
        <v>0</v>
      </c>
      <c r="AP5152" s="4">
        <v>4</v>
      </c>
      <c r="AQ5152" s="4">
        <v>4</v>
      </c>
      <c r="AR5152" s="3" t="s">
        <v>62</v>
      </c>
      <c r="AS5152" s="3" t="s">
        <v>62</v>
      </c>
      <c r="AT5152" s="3" t="s">
        <v>62</v>
      </c>
      <c r="AV5152" s="6" t="str">
        <f>HYPERLINK("http://mcgill.on.worldcat.org/oclc/720900048","Catalog Record")</f>
        <v>Catalog Record</v>
      </c>
      <c r="AW5152" s="6" t="str">
        <f>HYPERLINK("http://www.worldcat.org/oclc/720900048","WorldCat Record")</f>
        <v>WorldCat Record</v>
      </c>
      <c r="AX5152" s="3" t="s">
        <v>49317</v>
      </c>
      <c r="AY5152" s="3" t="s">
        <v>49318</v>
      </c>
      <c r="AZ5152" s="3" t="s">
        <v>49319</v>
      </c>
      <c r="BA5152" s="3" t="s">
        <v>49319</v>
      </c>
      <c r="BB5152" s="3" t="s">
        <v>49320</v>
      </c>
      <c r="BC5152" s="3" t="s">
        <v>142</v>
      </c>
      <c r="BD5152" s="3" t="s">
        <v>68</v>
      </c>
      <c r="BE5152" s="3" t="s">
        <v>49321</v>
      </c>
      <c r="BF5152" s="3" t="s">
        <v>49320</v>
      </c>
      <c r="BG5152" s="3" t="s">
        <v>49322</v>
      </c>
    </row>
    <row r="5153" spans="1:59" ht="57" x14ac:dyDescent="0.45">
      <c r="A5153" s="2" t="s">
        <v>59</v>
      </c>
      <c r="B5153" s="2" t="s">
        <v>60</v>
      </c>
      <c r="C5153" s="2" t="s">
        <v>49323</v>
      </c>
      <c r="D5153" s="2" t="s">
        <v>49324</v>
      </c>
      <c r="E5153" s="2" t="s">
        <v>49325</v>
      </c>
      <c r="G5153" s="3" t="s">
        <v>62</v>
      </c>
      <c r="I5153" s="3" t="s">
        <v>62</v>
      </c>
      <c r="J5153" s="3" t="s">
        <v>62</v>
      </c>
      <c r="K5153" s="3" t="s">
        <v>63</v>
      </c>
      <c r="L5153" s="2" t="s">
        <v>49326</v>
      </c>
      <c r="M5153" s="2" t="s">
        <v>49327</v>
      </c>
      <c r="N5153" s="3" t="s">
        <v>1253</v>
      </c>
      <c r="P5153" s="3" t="s">
        <v>110</v>
      </c>
      <c r="Q5153" s="2" t="s">
        <v>49328</v>
      </c>
      <c r="R5153" s="3" t="s">
        <v>66</v>
      </c>
      <c r="S5153" s="4">
        <v>3</v>
      </c>
      <c r="T5153" s="4">
        <v>3</v>
      </c>
      <c r="U5153" s="5" t="s">
        <v>1268</v>
      </c>
      <c r="V5153" s="5" t="s">
        <v>1268</v>
      </c>
      <c r="W5153" s="5" t="s">
        <v>67</v>
      </c>
      <c r="X5153" s="5" t="s">
        <v>67</v>
      </c>
      <c r="Y5153" s="4">
        <v>35</v>
      </c>
      <c r="Z5153" s="4">
        <v>10</v>
      </c>
      <c r="AA5153" s="4">
        <v>14</v>
      </c>
      <c r="AB5153" s="4">
        <v>2</v>
      </c>
      <c r="AC5153" s="4">
        <v>6</v>
      </c>
      <c r="AD5153" s="4">
        <v>27</v>
      </c>
      <c r="AE5153" s="4">
        <v>31</v>
      </c>
      <c r="AF5153" s="4">
        <v>1</v>
      </c>
      <c r="AG5153" s="4">
        <v>5</v>
      </c>
      <c r="AH5153" s="4">
        <v>22</v>
      </c>
      <c r="AI5153" s="4">
        <v>23</v>
      </c>
      <c r="AJ5153" s="4">
        <v>7</v>
      </c>
      <c r="AK5153" s="4">
        <v>10</v>
      </c>
      <c r="AL5153" s="4">
        <v>18</v>
      </c>
      <c r="AM5153" s="4">
        <v>18</v>
      </c>
      <c r="AN5153" s="4">
        <v>0</v>
      </c>
      <c r="AO5153" s="4">
        <v>0</v>
      </c>
      <c r="AP5153" s="4">
        <v>8</v>
      </c>
      <c r="AQ5153" s="4">
        <v>11</v>
      </c>
      <c r="AR5153" s="3" t="s">
        <v>62</v>
      </c>
      <c r="AS5153" s="3" t="s">
        <v>62</v>
      </c>
      <c r="AT5153" s="3" t="s">
        <v>61</v>
      </c>
      <c r="AU5153" s="6" t="str">
        <f>HYPERLINK("http://catalog.hathitrust.org/Record/003965089","HathiTrust Record")</f>
        <v>HathiTrust Record</v>
      </c>
      <c r="AV5153" s="6" t="str">
        <f>HYPERLINK("http://mcgill.on.worldcat.org/oclc/38837191","Catalog Record")</f>
        <v>Catalog Record</v>
      </c>
      <c r="AW5153" s="6" t="str">
        <f>HYPERLINK("http://www.worldcat.org/oclc/38837191","WorldCat Record")</f>
        <v>WorldCat Record</v>
      </c>
      <c r="AX5153" s="3" t="s">
        <v>49329</v>
      </c>
      <c r="AY5153" s="3" t="s">
        <v>49330</v>
      </c>
      <c r="AZ5153" s="3" t="s">
        <v>49331</v>
      </c>
      <c r="BA5153" s="3" t="s">
        <v>49331</v>
      </c>
      <c r="BB5153" s="3" t="s">
        <v>49332</v>
      </c>
      <c r="BC5153" s="3" t="s">
        <v>142</v>
      </c>
      <c r="BD5153" s="3" t="s">
        <v>68</v>
      </c>
      <c r="BE5153" s="3" t="s">
        <v>49333</v>
      </c>
      <c r="BF5153" s="3" t="s">
        <v>49332</v>
      </c>
      <c r="BG5153" s="3" t="s">
        <v>49334</v>
      </c>
    </row>
    <row r="5154" spans="1:59" ht="57" x14ac:dyDescent="0.45">
      <c r="A5154" s="2" t="s">
        <v>59</v>
      </c>
      <c r="B5154" s="2" t="s">
        <v>60</v>
      </c>
      <c r="C5154" s="2" t="s">
        <v>49335</v>
      </c>
      <c r="D5154" s="2" t="s">
        <v>49336</v>
      </c>
      <c r="E5154" s="2" t="s">
        <v>49337</v>
      </c>
      <c r="G5154" s="3" t="s">
        <v>62</v>
      </c>
      <c r="I5154" s="3" t="s">
        <v>62</v>
      </c>
      <c r="J5154" s="3" t="s">
        <v>62</v>
      </c>
      <c r="K5154" s="3" t="s">
        <v>63</v>
      </c>
      <c r="M5154" s="2" t="s">
        <v>7564</v>
      </c>
      <c r="N5154" s="3" t="s">
        <v>1478</v>
      </c>
      <c r="P5154" s="3" t="s">
        <v>65</v>
      </c>
      <c r="Q5154" s="2" t="s">
        <v>49338</v>
      </c>
      <c r="R5154" s="3" t="s">
        <v>66</v>
      </c>
      <c r="S5154" s="4">
        <v>9</v>
      </c>
      <c r="T5154" s="4">
        <v>9</v>
      </c>
      <c r="U5154" s="5" t="s">
        <v>48041</v>
      </c>
      <c r="V5154" s="5" t="s">
        <v>48041</v>
      </c>
      <c r="W5154" s="5" t="s">
        <v>67</v>
      </c>
      <c r="X5154" s="5" t="s">
        <v>67</v>
      </c>
      <c r="Y5154" s="4">
        <v>255</v>
      </c>
      <c r="Z5154" s="4">
        <v>14</v>
      </c>
      <c r="AA5154" s="4">
        <v>17</v>
      </c>
      <c r="AB5154" s="4">
        <v>1</v>
      </c>
      <c r="AC5154" s="4">
        <v>4</v>
      </c>
      <c r="AD5154" s="4">
        <v>93</v>
      </c>
      <c r="AE5154" s="4">
        <v>95</v>
      </c>
      <c r="AF5154" s="4">
        <v>0</v>
      </c>
      <c r="AG5154" s="4">
        <v>2</v>
      </c>
      <c r="AH5154" s="4">
        <v>82</v>
      </c>
      <c r="AI5154" s="4">
        <v>83</v>
      </c>
      <c r="AJ5154" s="4">
        <v>9</v>
      </c>
      <c r="AK5154" s="4">
        <v>11</v>
      </c>
      <c r="AL5154" s="4">
        <v>52</v>
      </c>
      <c r="AM5154" s="4">
        <v>52</v>
      </c>
      <c r="AN5154" s="4">
        <v>0</v>
      </c>
      <c r="AO5154" s="4">
        <v>0</v>
      </c>
      <c r="AP5154" s="4">
        <v>12</v>
      </c>
      <c r="AQ5154" s="4">
        <v>13</v>
      </c>
      <c r="AR5154" s="3" t="s">
        <v>62</v>
      </c>
      <c r="AS5154" s="3" t="s">
        <v>62</v>
      </c>
      <c r="AT5154" s="3" t="s">
        <v>62</v>
      </c>
      <c r="AV5154" s="6" t="str">
        <f>HYPERLINK("http://mcgill.on.worldcat.org/oclc/31815098","Catalog Record")</f>
        <v>Catalog Record</v>
      </c>
      <c r="AW5154" s="6" t="str">
        <f>HYPERLINK("http://www.worldcat.org/oclc/31815098","WorldCat Record")</f>
        <v>WorldCat Record</v>
      </c>
      <c r="AX5154" s="3" t="s">
        <v>49339</v>
      </c>
      <c r="AY5154" s="3" t="s">
        <v>49340</v>
      </c>
      <c r="AZ5154" s="3" t="s">
        <v>49341</v>
      </c>
      <c r="BA5154" s="3" t="s">
        <v>49341</v>
      </c>
      <c r="BB5154" s="3" t="s">
        <v>49342</v>
      </c>
      <c r="BC5154" s="3" t="s">
        <v>142</v>
      </c>
      <c r="BD5154" s="3" t="s">
        <v>68</v>
      </c>
      <c r="BE5154" s="3" t="s">
        <v>49343</v>
      </c>
      <c r="BF5154" s="3" t="s">
        <v>49342</v>
      </c>
      <c r="BG5154" s="3" t="s">
        <v>49344</v>
      </c>
    </row>
    <row r="5155" spans="1:59" ht="57" x14ac:dyDescent="0.45">
      <c r="A5155" s="2" t="s">
        <v>59</v>
      </c>
      <c r="B5155" s="2" t="s">
        <v>60</v>
      </c>
      <c r="C5155" s="2" t="s">
        <v>49345</v>
      </c>
      <c r="D5155" s="2" t="s">
        <v>49346</v>
      </c>
      <c r="E5155" s="2" t="s">
        <v>49347</v>
      </c>
      <c r="G5155" s="3" t="s">
        <v>62</v>
      </c>
      <c r="I5155" s="3" t="s">
        <v>62</v>
      </c>
      <c r="J5155" s="3" t="s">
        <v>62</v>
      </c>
      <c r="K5155" s="3" t="s">
        <v>63</v>
      </c>
      <c r="M5155" s="2" t="s">
        <v>49348</v>
      </c>
      <c r="N5155" s="3" t="s">
        <v>1239</v>
      </c>
      <c r="P5155" s="3" t="s">
        <v>65</v>
      </c>
      <c r="Q5155" s="2" t="s">
        <v>49349</v>
      </c>
      <c r="R5155" s="3" t="s">
        <v>66</v>
      </c>
      <c r="S5155" s="4">
        <v>3</v>
      </c>
      <c r="T5155" s="4">
        <v>3</v>
      </c>
      <c r="U5155" s="5" t="s">
        <v>4940</v>
      </c>
      <c r="V5155" s="5" t="s">
        <v>4940</v>
      </c>
      <c r="W5155" s="5" t="s">
        <v>67</v>
      </c>
      <c r="X5155" s="5" t="s">
        <v>67</v>
      </c>
      <c r="Y5155" s="4">
        <v>2</v>
      </c>
      <c r="Z5155" s="4">
        <v>2</v>
      </c>
      <c r="AA5155" s="4">
        <v>2</v>
      </c>
      <c r="AB5155" s="4">
        <v>2</v>
      </c>
      <c r="AC5155" s="4">
        <v>2</v>
      </c>
      <c r="AD5155" s="4">
        <v>0</v>
      </c>
      <c r="AE5155" s="4">
        <v>0</v>
      </c>
      <c r="AF5155" s="4">
        <v>0</v>
      </c>
      <c r="AG5155" s="4">
        <v>0</v>
      </c>
      <c r="AH5155" s="4">
        <v>0</v>
      </c>
      <c r="AI5155" s="4">
        <v>0</v>
      </c>
      <c r="AJ5155" s="4">
        <v>0</v>
      </c>
      <c r="AK5155" s="4">
        <v>0</v>
      </c>
      <c r="AL5155" s="4">
        <v>0</v>
      </c>
      <c r="AM5155" s="4">
        <v>0</v>
      </c>
      <c r="AN5155" s="4">
        <v>0</v>
      </c>
      <c r="AO5155" s="4">
        <v>0</v>
      </c>
      <c r="AP5155" s="4">
        <v>0</v>
      </c>
      <c r="AQ5155" s="4">
        <v>0</v>
      </c>
      <c r="AR5155" s="3" t="s">
        <v>62</v>
      </c>
      <c r="AS5155" s="3" t="s">
        <v>62</v>
      </c>
      <c r="AT5155" s="3" t="s">
        <v>62</v>
      </c>
      <c r="AV5155" s="6" t="str">
        <f>HYPERLINK("http://mcgill.on.worldcat.org/oclc/427502001","Catalog Record")</f>
        <v>Catalog Record</v>
      </c>
      <c r="AW5155" s="6" t="str">
        <f>HYPERLINK("http://www.worldcat.org/oclc/427502001","WorldCat Record")</f>
        <v>WorldCat Record</v>
      </c>
      <c r="AX5155" s="3" t="s">
        <v>49350</v>
      </c>
      <c r="AY5155" s="3" t="s">
        <v>49351</v>
      </c>
      <c r="AZ5155" s="3" t="s">
        <v>49352</v>
      </c>
      <c r="BA5155" s="3" t="s">
        <v>49352</v>
      </c>
      <c r="BB5155" s="3" t="s">
        <v>49353</v>
      </c>
      <c r="BC5155" s="3" t="s">
        <v>142</v>
      </c>
      <c r="BD5155" s="3" t="s">
        <v>68</v>
      </c>
      <c r="BF5155" s="3" t="s">
        <v>49353</v>
      </c>
      <c r="BG5155" s="3" t="s">
        <v>49354</v>
      </c>
    </row>
    <row r="5156" spans="1:59" ht="57" x14ac:dyDescent="0.45">
      <c r="A5156" s="2" t="s">
        <v>59</v>
      </c>
      <c r="B5156" s="2" t="s">
        <v>60</v>
      </c>
      <c r="C5156" s="2" t="s">
        <v>49355</v>
      </c>
      <c r="D5156" s="2" t="s">
        <v>49356</v>
      </c>
      <c r="E5156" s="2" t="s">
        <v>49357</v>
      </c>
      <c r="G5156" s="3" t="s">
        <v>62</v>
      </c>
      <c r="I5156" s="3" t="s">
        <v>62</v>
      </c>
      <c r="J5156" s="3" t="s">
        <v>62</v>
      </c>
      <c r="K5156" s="3" t="s">
        <v>63</v>
      </c>
      <c r="L5156" s="2" t="s">
        <v>49358</v>
      </c>
      <c r="M5156" s="2" t="s">
        <v>49359</v>
      </c>
      <c r="N5156" s="3" t="s">
        <v>149</v>
      </c>
      <c r="P5156" s="3" t="s">
        <v>4829</v>
      </c>
      <c r="R5156" s="3" t="s">
        <v>66</v>
      </c>
      <c r="S5156" s="4">
        <v>1</v>
      </c>
      <c r="T5156" s="4">
        <v>1</v>
      </c>
      <c r="U5156" s="5" t="s">
        <v>1268</v>
      </c>
      <c r="V5156" s="5" t="s">
        <v>1268</v>
      </c>
      <c r="W5156" s="5" t="s">
        <v>67</v>
      </c>
      <c r="X5156" s="5" t="s">
        <v>67</v>
      </c>
      <c r="Y5156" s="4">
        <v>12</v>
      </c>
      <c r="Z5156" s="4">
        <v>4</v>
      </c>
      <c r="AA5156" s="4">
        <v>9</v>
      </c>
      <c r="AB5156" s="4">
        <v>1</v>
      </c>
      <c r="AC5156" s="4">
        <v>2</v>
      </c>
      <c r="AD5156" s="4">
        <v>6</v>
      </c>
      <c r="AE5156" s="4">
        <v>8</v>
      </c>
      <c r="AF5156" s="4">
        <v>0</v>
      </c>
      <c r="AG5156" s="4">
        <v>0</v>
      </c>
      <c r="AH5156" s="4">
        <v>6</v>
      </c>
      <c r="AI5156" s="4">
        <v>7</v>
      </c>
      <c r="AJ5156" s="4">
        <v>2</v>
      </c>
      <c r="AK5156" s="4">
        <v>4</v>
      </c>
      <c r="AL5156" s="4">
        <v>4</v>
      </c>
      <c r="AM5156" s="4">
        <v>4</v>
      </c>
      <c r="AN5156" s="4">
        <v>0</v>
      </c>
      <c r="AO5156" s="4">
        <v>0</v>
      </c>
      <c r="AP5156" s="4">
        <v>2</v>
      </c>
      <c r="AQ5156" s="4">
        <v>4</v>
      </c>
      <c r="AR5156" s="3" t="s">
        <v>62</v>
      </c>
      <c r="AS5156" s="3" t="s">
        <v>62</v>
      </c>
      <c r="AT5156" s="3" t="s">
        <v>62</v>
      </c>
      <c r="AV5156" s="6" t="str">
        <f>HYPERLINK("http://mcgill.on.worldcat.org/oclc/713182269","Catalog Record")</f>
        <v>Catalog Record</v>
      </c>
      <c r="AW5156" s="6" t="str">
        <f>HYPERLINK("http://www.worldcat.org/oclc/713182269","WorldCat Record")</f>
        <v>WorldCat Record</v>
      </c>
      <c r="AX5156" s="3" t="s">
        <v>49360</v>
      </c>
      <c r="AY5156" s="3" t="s">
        <v>49361</v>
      </c>
      <c r="AZ5156" s="3" t="s">
        <v>49362</v>
      </c>
      <c r="BA5156" s="3" t="s">
        <v>49362</v>
      </c>
      <c r="BB5156" s="3" t="s">
        <v>49363</v>
      </c>
      <c r="BC5156" s="3" t="s">
        <v>142</v>
      </c>
      <c r="BD5156" s="3" t="s">
        <v>68</v>
      </c>
      <c r="BE5156" s="3" t="s">
        <v>49364</v>
      </c>
      <c r="BF5156" s="3" t="s">
        <v>49363</v>
      </c>
      <c r="BG5156" s="3" t="s">
        <v>49365</v>
      </c>
    </row>
    <row r="5157" spans="1:59" ht="57" x14ac:dyDescent="0.45">
      <c r="A5157" s="2" t="s">
        <v>59</v>
      </c>
      <c r="B5157" s="2" t="s">
        <v>60</v>
      </c>
      <c r="C5157" s="2" t="s">
        <v>49366</v>
      </c>
      <c r="D5157" s="2" t="s">
        <v>49367</v>
      </c>
      <c r="E5157" s="2" t="s">
        <v>49368</v>
      </c>
      <c r="G5157" s="3" t="s">
        <v>62</v>
      </c>
      <c r="I5157" s="3" t="s">
        <v>62</v>
      </c>
      <c r="J5157" s="3" t="s">
        <v>62</v>
      </c>
      <c r="K5157" s="3" t="s">
        <v>63</v>
      </c>
      <c r="M5157" s="2" t="s">
        <v>49369</v>
      </c>
      <c r="N5157" s="3" t="s">
        <v>167</v>
      </c>
      <c r="P5157" s="3" t="s">
        <v>65</v>
      </c>
      <c r="R5157" s="3" t="s">
        <v>66</v>
      </c>
      <c r="S5157" s="4">
        <v>16</v>
      </c>
      <c r="T5157" s="4">
        <v>16</v>
      </c>
      <c r="U5157" s="5" t="s">
        <v>12520</v>
      </c>
      <c r="V5157" s="5" t="s">
        <v>12520</v>
      </c>
      <c r="W5157" s="5" t="s">
        <v>67</v>
      </c>
      <c r="X5157" s="5" t="s">
        <v>67</v>
      </c>
      <c r="Y5157" s="4">
        <v>209</v>
      </c>
      <c r="Z5157" s="4">
        <v>18</v>
      </c>
      <c r="AA5157" s="4">
        <v>23</v>
      </c>
      <c r="AB5157" s="4">
        <v>2</v>
      </c>
      <c r="AC5157" s="4">
        <v>6</v>
      </c>
      <c r="AD5157" s="4">
        <v>94</v>
      </c>
      <c r="AE5157" s="4">
        <v>98</v>
      </c>
      <c r="AF5157" s="4">
        <v>1</v>
      </c>
      <c r="AG5157" s="4">
        <v>4</v>
      </c>
      <c r="AH5157" s="4">
        <v>87</v>
      </c>
      <c r="AI5157" s="4">
        <v>88</v>
      </c>
      <c r="AJ5157" s="4">
        <v>16</v>
      </c>
      <c r="AK5157" s="4">
        <v>19</v>
      </c>
      <c r="AL5157" s="4">
        <v>49</v>
      </c>
      <c r="AM5157" s="4">
        <v>49</v>
      </c>
      <c r="AN5157" s="4">
        <v>0</v>
      </c>
      <c r="AO5157" s="4">
        <v>0</v>
      </c>
      <c r="AP5157" s="4">
        <v>16</v>
      </c>
      <c r="AQ5157" s="4">
        <v>19</v>
      </c>
      <c r="AR5157" s="3" t="s">
        <v>62</v>
      </c>
      <c r="AS5157" s="3" t="s">
        <v>62</v>
      </c>
      <c r="AT5157" s="3" t="s">
        <v>62</v>
      </c>
      <c r="AV5157" s="6" t="str">
        <f>HYPERLINK("http://mcgill.on.worldcat.org/oclc/39464750","Catalog Record")</f>
        <v>Catalog Record</v>
      </c>
      <c r="AW5157" s="6" t="str">
        <f>HYPERLINK("http://www.worldcat.org/oclc/39464750","WorldCat Record")</f>
        <v>WorldCat Record</v>
      </c>
      <c r="AX5157" s="3" t="s">
        <v>49370</v>
      </c>
      <c r="AY5157" s="3" t="s">
        <v>49371</v>
      </c>
      <c r="AZ5157" s="3" t="s">
        <v>49372</v>
      </c>
      <c r="BA5157" s="3" t="s">
        <v>49372</v>
      </c>
      <c r="BB5157" s="3" t="s">
        <v>49373</v>
      </c>
      <c r="BC5157" s="3" t="s">
        <v>142</v>
      </c>
      <c r="BD5157" s="3" t="s">
        <v>68</v>
      </c>
      <c r="BE5157" s="3" t="s">
        <v>49374</v>
      </c>
      <c r="BF5157" s="3" t="s">
        <v>49373</v>
      </c>
      <c r="BG5157" s="3" t="s">
        <v>49375</v>
      </c>
    </row>
    <row r="5158" spans="1:59" ht="57" x14ac:dyDescent="0.45">
      <c r="A5158" s="2" t="s">
        <v>59</v>
      </c>
      <c r="B5158" s="2" t="s">
        <v>60</v>
      </c>
      <c r="C5158" s="2" t="s">
        <v>49376</v>
      </c>
      <c r="D5158" s="2" t="s">
        <v>49377</v>
      </c>
      <c r="E5158" s="2" t="s">
        <v>49378</v>
      </c>
      <c r="G5158" s="3" t="s">
        <v>62</v>
      </c>
      <c r="I5158" s="3" t="s">
        <v>62</v>
      </c>
      <c r="J5158" s="3" t="s">
        <v>62</v>
      </c>
      <c r="K5158" s="3" t="s">
        <v>63</v>
      </c>
      <c r="L5158" s="2" t="s">
        <v>49379</v>
      </c>
      <c r="M5158" s="2" t="s">
        <v>49380</v>
      </c>
      <c r="N5158" s="3" t="s">
        <v>181</v>
      </c>
      <c r="P5158" s="3" t="s">
        <v>65</v>
      </c>
      <c r="Q5158" s="2" t="s">
        <v>49381</v>
      </c>
      <c r="R5158" s="3" t="s">
        <v>66</v>
      </c>
      <c r="S5158" s="4">
        <v>2</v>
      </c>
      <c r="T5158" s="4">
        <v>2</v>
      </c>
      <c r="U5158" s="5" t="s">
        <v>5247</v>
      </c>
      <c r="V5158" s="5" t="s">
        <v>5247</v>
      </c>
      <c r="W5158" s="5" t="s">
        <v>67</v>
      </c>
      <c r="X5158" s="5" t="s">
        <v>67</v>
      </c>
      <c r="Y5158" s="4">
        <v>97</v>
      </c>
      <c r="Z5158" s="4">
        <v>8</v>
      </c>
      <c r="AA5158" s="4">
        <v>75</v>
      </c>
      <c r="AB5158" s="4">
        <v>1</v>
      </c>
      <c r="AC5158" s="4">
        <v>15</v>
      </c>
      <c r="AD5158" s="4">
        <v>48</v>
      </c>
      <c r="AE5158" s="4">
        <v>109</v>
      </c>
      <c r="AF5158" s="4">
        <v>0</v>
      </c>
      <c r="AG5158" s="4">
        <v>8</v>
      </c>
      <c r="AH5158" s="4">
        <v>45</v>
      </c>
      <c r="AI5158" s="4">
        <v>77</v>
      </c>
      <c r="AJ5158" s="4">
        <v>7</v>
      </c>
      <c r="AK5158" s="4">
        <v>22</v>
      </c>
      <c r="AL5158" s="4">
        <v>29</v>
      </c>
      <c r="AM5158" s="4">
        <v>43</v>
      </c>
      <c r="AN5158" s="4">
        <v>0</v>
      </c>
      <c r="AO5158" s="4">
        <v>0</v>
      </c>
      <c r="AP5158" s="4">
        <v>7</v>
      </c>
      <c r="AQ5158" s="4">
        <v>41</v>
      </c>
      <c r="AR5158" s="3" t="s">
        <v>62</v>
      </c>
      <c r="AS5158" s="3" t="s">
        <v>62</v>
      </c>
      <c r="AT5158" s="3" t="s">
        <v>62</v>
      </c>
      <c r="AV5158" s="6" t="str">
        <f>HYPERLINK("http://mcgill.on.worldcat.org/oclc/926821129","Catalog Record")</f>
        <v>Catalog Record</v>
      </c>
      <c r="AW5158" s="6" t="str">
        <f>HYPERLINK("http://www.worldcat.org/oclc/926821129","WorldCat Record")</f>
        <v>WorldCat Record</v>
      </c>
      <c r="AX5158" s="3" t="s">
        <v>49382</v>
      </c>
      <c r="AY5158" s="3" t="s">
        <v>49383</v>
      </c>
      <c r="AZ5158" s="3" t="s">
        <v>49384</v>
      </c>
      <c r="BA5158" s="3" t="s">
        <v>49384</v>
      </c>
      <c r="BB5158" s="3" t="s">
        <v>49385</v>
      </c>
      <c r="BC5158" s="3" t="s">
        <v>142</v>
      </c>
      <c r="BD5158" s="3" t="s">
        <v>68</v>
      </c>
      <c r="BE5158" s="3" t="s">
        <v>49386</v>
      </c>
      <c r="BF5158" s="3" t="s">
        <v>49385</v>
      </c>
      <c r="BG5158" s="3" t="s">
        <v>49387</v>
      </c>
    </row>
    <row r="5159" spans="1:59" ht="57" x14ac:dyDescent="0.45">
      <c r="A5159" s="2" t="s">
        <v>59</v>
      </c>
      <c r="B5159" s="2" t="s">
        <v>60</v>
      </c>
      <c r="C5159" s="2" t="s">
        <v>49388</v>
      </c>
      <c r="D5159" s="2" t="s">
        <v>49389</v>
      </c>
      <c r="E5159" s="2" t="s">
        <v>49390</v>
      </c>
      <c r="G5159" s="3" t="s">
        <v>62</v>
      </c>
      <c r="I5159" s="3" t="s">
        <v>62</v>
      </c>
      <c r="J5159" s="3" t="s">
        <v>62</v>
      </c>
      <c r="K5159" s="3" t="s">
        <v>63</v>
      </c>
      <c r="L5159" s="2" t="s">
        <v>49391</v>
      </c>
      <c r="M5159" s="2" t="s">
        <v>21778</v>
      </c>
      <c r="N5159" s="3" t="s">
        <v>149</v>
      </c>
      <c r="P5159" s="3" t="s">
        <v>65</v>
      </c>
      <c r="Q5159" s="2" t="s">
        <v>49392</v>
      </c>
      <c r="R5159" s="3" t="s">
        <v>66</v>
      </c>
      <c r="S5159" s="4">
        <v>10</v>
      </c>
      <c r="T5159" s="4">
        <v>10</v>
      </c>
      <c r="U5159" s="5" t="s">
        <v>5455</v>
      </c>
      <c r="V5159" s="5" t="s">
        <v>5455</v>
      </c>
      <c r="W5159" s="5" t="s">
        <v>67</v>
      </c>
      <c r="X5159" s="5" t="s">
        <v>67</v>
      </c>
      <c r="Y5159" s="4">
        <v>175</v>
      </c>
      <c r="Z5159" s="4">
        <v>22</v>
      </c>
      <c r="AA5159" s="4">
        <v>98</v>
      </c>
      <c r="AB5159" s="4">
        <v>2</v>
      </c>
      <c r="AC5159" s="4">
        <v>17</v>
      </c>
      <c r="AD5159" s="4">
        <v>81</v>
      </c>
      <c r="AE5159" s="4">
        <v>134</v>
      </c>
      <c r="AF5159" s="4">
        <v>1</v>
      </c>
      <c r="AG5159" s="4">
        <v>8</v>
      </c>
      <c r="AH5159" s="4">
        <v>74</v>
      </c>
      <c r="AI5159" s="4">
        <v>97</v>
      </c>
      <c r="AJ5159" s="4">
        <v>15</v>
      </c>
      <c r="AK5159" s="4">
        <v>25</v>
      </c>
      <c r="AL5159" s="4">
        <v>44</v>
      </c>
      <c r="AM5159" s="4">
        <v>52</v>
      </c>
      <c r="AN5159" s="4">
        <v>0</v>
      </c>
      <c r="AO5159" s="4">
        <v>0</v>
      </c>
      <c r="AP5159" s="4">
        <v>17</v>
      </c>
      <c r="AQ5159" s="4">
        <v>47</v>
      </c>
      <c r="AR5159" s="3" t="s">
        <v>62</v>
      </c>
      <c r="AS5159" s="3" t="s">
        <v>62</v>
      </c>
      <c r="AT5159" s="3" t="s">
        <v>62</v>
      </c>
      <c r="AV5159" s="6" t="str">
        <f>HYPERLINK("http://mcgill.on.worldcat.org/oclc/401715764","Catalog Record")</f>
        <v>Catalog Record</v>
      </c>
      <c r="AW5159" s="6" t="str">
        <f>HYPERLINK("http://www.worldcat.org/oclc/401715764","WorldCat Record")</f>
        <v>WorldCat Record</v>
      </c>
      <c r="AX5159" s="3" t="s">
        <v>49393</v>
      </c>
      <c r="AY5159" s="3" t="s">
        <v>49394</v>
      </c>
      <c r="AZ5159" s="3" t="s">
        <v>49395</v>
      </c>
      <c r="BA5159" s="3" t="s">
        <v>49395</v>
      </c>
      <c r="BB5159" s="3" t="s">
        <v>49396</v>
      </c>
      <c r="BC5159" s="3" t="s">
        <v>142</v>
      </c>
      <c r="BD5159" s="3" t="s">
        <v>68</v>
      </c>
      <c r="BE5159" s="3" t="s">
        <v>49397</v>
      </c>
      <c r="BF5159" s="3" t="s">
        <v>49396</v>
      </c>
      <c r="BG5159" s="3" t="s">
        <v>49398</v>
      </c>
    </row>
    <row r="5160" spans="1:59" ht="57" x14ac:dyDescent="0.45">
      <c r="A5160" s="2" t="s">
        <v>59</v>
      </c>
      <c r="B5160" s="2" t="s">
        <v>60</v>
      </c>
      <c r="C5160" s="2" t="s">
        <v>49399</v>
      </c>
      <c r="D5160" s="2" t="s">
        <v>49400</v>
      </c>
      <c r="E5160" s="2" t="s">
        <v>49401</v>
      </c>
      <c r="G5160" s="3" t="s">
        <v>62</v>
      </c>
      <c r="I5160" s="3" t="s">
        <v>62</v>
      </c>
      <c r="J5160" s="3" t="s">
        <v>62</v>
      </c>
      <c r="K5160" s="3" t="s">
        <v>63</v>
      </c>
      <c r="L5160" s="2" t="s">
        <v>49402</v>
      </c>
      <c r="M5160" s="2" t="s">
        <v>1905</v>
      </c>
      <c r="N5160" s="3" t="s">
        <v>149</v>
      </c>
      <c r="P5160" s="3" t="s">
        <v>65</v>
      </c>
      <c r="Q5160" s="2" t="s">
        <v>49403</v>
      </c>
      <c r="R5160" s="3" t="s">
        <v>66</v>
      </c>
      <c r="S5160" s="4">
        <v>1</v>
      </c>
      <c r="T5160" s="4">
        <v>1</v>
      </c>
      <c r="U5160" s="5" t="s">
        <v>42154</v>
      </c>
      <c r="V5160" s="5" t="s">
        <v>42154</v>
      </c>
      <c r="W5160" s="5" t="s">
        <v>67</v>
      </c>
      <c r="X5160" s="5" t="s">
        <v>67</v>
      </c>
      <c r="Y5160" s="4">
        <v>143</v>
      </c>
      <c r="Z5160" s="4">
        <v>17</v>
      </c>
      <c r="AA5160" s="4">
        <v>81</v>
      </c>
      <c r="AB5160" s="4">
        <v>1</v>
      </c>
      <c r="AC5160" s="4">
        <v>14</v>
      </c>
      <c r="AD5160" s="4">
        <v>70</v>
      </c>
      <c r="AE5160" s="4">
        <v>122</v>
      </c>
      <c r="AF5160" s="4">
        <v>0</v>
      </c>
      <c r="AG5160" s="4">
        <v>8</v>
      </c>
      <c r="AH5160" s="4">
        <v>63</v>
      </c>
      <c r="AI5160" s="4">
        <v>88</v>
      </c>
      <c r="AJ5160" s="4">
        <v>12</v>
      </c>
      <c r="AK5160" s="4">
        <v>24</v>
      </c>
      <c r="AL5160" s="4">
        <v>40</v>
      </c>
      <c r="AM5160" s="4">
        <v>50</v>
      </c>
      <c r="AN5160" s="4">
        <v>0</v>
      </c>
      <c r="AO5160" s="4">
        <v>0</v>
      </c>
      <c r="AP5160" s="4">
        <v>13</v>
      </c>
      <c r="AQ5160" s="4">
        <v>43</v>
      </c>
      <c r="AR5160" s="3" t="s">
        <v>62</v>
      </c>
      <c r="AS5160" s="3" t="s">
        <v>62</v>
      </c>
      <c r="AT5160" s="3" t="s">
        <v>62</v>
      </c>
      <c r="AV5160" s="6" t="str">
        <f>HYPERLINK("http://mcgill.on.worldcat.org/oclc/500243211","Catalog Record")</f>
        <v>Catalog Record</v>
      </c>
      <c r="AW5160" s="6" t="str">
        <f>HYPERLINK("http://www.worldcat.org/oclc/500243211","WorldCat Record")</f>
        <v>WorldCat Record</v>
      </c>
      <c r="AX5160" s="3" t="s">
        <v>49404</v>
      </c>
      <c r="AY5160" s="3" t="s">
        <v>49405</v>
      </c>
      <c r="AZ5160" s="3" t="s">
        <v>49406</v>
      </c>
      <c r="BA5160" s="3" t="s">
        <v>49406</v>
      </c>
      <c r="BB5160" s="3" t="s">
        <v>49407</v>
      </c>
      <c r="BC5160" s="3" t="s">
        <v>142</v>
      </c>
      <c r="BD5160" s="3" t="s">
        <v>68</v>
      </c>
      <c r="BE5160" s="3" t="s">
        <v>49408</v>
      </c>
      <c r="BF5160" s="3" t="s">
        <v>49407</v>
      </c>
      <c r="BG5160" s="3" t="s">
        <v>49409</v>
      </c>
    </row>
    <row r="5161" spans="1:59" ht="57" x14ac:dyDescent="0.45">
      <c r="A5161" s="2" t="s">
        <v>59</v>
      </c>
      <c r="B5161" s="2" t="s">
        <v>60</v>
      </c>
      <c r="C5161" s="2" t="s">
        <v>49410</v>
      </c>
      <c r="D5161" s="2" t="s">
        <v>49411</v>
      </c>
      <c r="E5161" s="2" t="s">
        <v>49412</v>
      </c>
      <c r="G5161" s="3" t="s">
        <v>62</v>
      </c>
      <c r="I5161" s="3" t="s">
        <v>62</v>
      </c>
      <c r="J5161" s="3" t="s">
        <v>62</v>
      </c>
      <c r="K5161" s="3" t="s">
        <v>63</v>
      </c>
      <c r="L5161" s="2" t="s">
        <v>49413</v>
      </c>
      <c r="M5161" s="2" t="s">
        <v>36751</v>
      </c>
      <c r="N5161" s="3" t="s">
        <v>1437</v>
      </c>
      <c r="P5161" s="3" t="s">
        <v>65</v>
      </c>
      <c r="Q5161" s="2" t="s">
        <v>49414</v>
      </c>
      <c r="R5161" s="3" t="s">
        <v>66</v>
      </c>
      <c r="S5161" s="4">
        <v>26</v>
      </c>
      <c r="T5161" s="4">
        <v>26</v>
      </c>
      <c r="U5161" s="5" t="s">
        <v>49415</v>
      </c>
      <c r="V5161" s="5" t="s">
        <v>49415</v>
      </c>
      <c r="W5161" s="5" t="s">
        <v>67</v>
      </c>
      <c r="X5161" s="5" t="s">
        <v>67</v>
      </c>
      <c r="Y5161" s="4">
        <v>229</v>
      </c>
      <c r="Z5161" s="4">
        <v>19</v>
      </c>
      <c r="AA5161" s="4">
        <v>91</v>
      </c>
      <c r="AB5161" s="4">
        <v>1</v>
      </c>
      <c r="AC5161" s="4">
        <v>17</v>
      </c>
      <c r="AD5161" s="4">
        <v>99</v>
      </c>
      <c r="AE5161" s="4">
        <v>143</v>
      </c>
      <c r="AF5161" s="4">
        <v>0</v>
      </c>
      <c r="AG5161" s="4">
        <v>8</v>
      </c>
      <c r="AH5161" s="4">
        <v>90</v>
      </c>
      <c r="AI5161" s="4">
        <v>106</v>
      </c>
      <c r="AJ5161" s="4">
        <v>16</v>
      </c>
      <c r="AK5161" s="4">
        <v>26</v>
      </c>
      <c r="AL5161" s="4">
        <v>52</v>
      </c>
      <c r="AM5161" s="4">
        <v>56</v>
      </c>
      <c r="AN5161" s="4">
        <v>0</v>
      </c>
      <c r="AO5161" s="4">
        <v>0</v>
      </c>
      <c r="AP5161" s="4">
        <v>17</v>
      </c>
      <c r="AQ5161" s="4">
        <v>47</v>
      </c>
      <c r="AR5161" s="3" t="s">
        <v>62</v>
      </c>
      <c r="AS5161" s="3" t="s">
        <v>62</v>
      </c>
      <c r="AT5161" s="3" t="s">
        <v>62</v>
      </c>
      <c r="AV5161" s="6" t="str">
        <f>HYPERLINK("http://mcgill.on.worldcat.org/oclc/38566186","Catalog Record")</f>
        <v>Catalog Record</v>
      </c>
      <c r="AW5161" s="6" t="str">
        <f>HYPERLINK("http://www.worldcat.org/oclc/38566186","WorldCat Record")</f>
        <v>WorldCat Record</v>
      </c>
      <c r="AX5161" s="3" t="s">
        <v>49416</v>
      </c>
      <c r="AY5161" s="3" t="s">
        <v>49417</v>
      </c>
      <c r="AZ5161" s="3" t="s">
        <v>49418</v>
      </c>
      <c r="BA5161" s="3" t="s">
        <v>49418</v>
      </c>
      <c r="BB5161" s="3" t="s">
        <v>49419</v>
      </c>
      <c r="BC5161" s="3" t="s">
        <v>142</v>
      </c>
      <c r="BD5161" s="3" t="s">
        <v>68</v>
      </c>
      <c r="BE5161" s="3" t="s">
        <v>49420</v>
      </c>
      <c r="BF5161" s="3" t="s">
        <v>49419</v>
      </c>
      <c r="BG5161" s="3" t="s">
        <v>49421</v>
      </c>
    </row>
    <row r="5162" spans="1:59" ht="57" x14ac:dyDescent="0.45">
      <c r="A5162" s="2" t="s">
        <v>59</v>
      </c>
      <c r="B5162" s="2" t="s">
        <v>60</v>
      </c>
      <c r="C5162" s="2" t="s">
        <v>49422</v>
      </c>
      <c r="D5162" s="2" t="s">
        <v>49423</v>
      </c>
      <c r="E5162" s="2" t="s">
        <v>49424</v>
      </c>
      <c r="G5162" s="3" t="s">
        <v>62</v>
      </c>
      <c r="I5162" s="3" t="s">
        <v>62</v>
      </c>
      <c r="J5162" s="3" t="s">
        <v>62</v>
      </c>
      <c r="K5162" s="3" t="s">
        <v>63</v>
      </c>
      <c r="L5162" s="2" t="s">
        <v>49425</v>
      </c>
      <c r="M5162" s="2" t="s">
        <v>49426</v>
      </c>
      <c r="N5162" s="3" t="s">
        <v>1688</v>
      </c>
      <c r="P5162" s="3" t="s">
        <v>65</v>
      </c>
      <c r="R5162" s="3" t="s">
        <v>66</v>
      </c>
      <c r="S5162" s="4">
        <v>0</v>
      </c>
      <c r="T5162" s="4">
        <v>0</v>
      </c>
      <c r="W5162" s="5" t="s">
        <v>67</v>
      </c>
      <c r="X5162" s="5" t="s">
        <v>67</v>
      </c>
      <c r="Y5162" s="4">
        <v>9</v>
      </c>
      <c r="Z5162" s="4">
        <v>2</v>
      </c>
      <c r="AA5162" s="4">
        <v>15</v>
      </c>
      <c r="AB5162" s="4">
        <v>1</v>
      </c>
      <c r="AC5162" s="4">
        <v>1</v>
      </c>
      <c r="AD5162" s="4">
        <v>1</v>
      </c>
      <c r="AE5162" s="4">
        <v>41</v>
      </c>
      <c r="AF5162" s="4">
        <v>0</v>
      </c>
      <c r="AG5162" s="4">
        <v>0</v>
      </c>
      <c r="AH5162" s="4">
        <v>1</v>
      </c>
      <c r="AI5162" s="4">
        <v>33</v>
      </c>
      <c r="AJ5162" s="4">
        <v>1</v>
      </c>
      <c r="AK5162" s="4">
        <v>8</v>
      </c>
      <c r="AL5162" s="4">
        <v>0</v>
      </c>
      <c r="AM5162" s="4">
        <v>18</v>
      </c>
      <c r="AN5162" s="4">
        <v>0</v>
      </c>
      <c r="AO5162" s="4">
        <v>0</v>
      </c>
      <c r="AP5162" s="4">
        <v>1</v>
      </c>
      <c r="AQ5162" s="4">
        <v>12</v>
      </c>
      <c r="AR5162" s="3" t="s">
        <v>62</v>
      </c>
      <c r="AS5162" s="3" t="s">
        <v>62</v>
      </c>
      <c r="AT5162" s="3" t="s">
        <v>62</v>
      </c>
      <c r="AV5162" s="6" t="str">
        <f>HYPERLINK("http://mcgill.on.worldcat.org/oclc/840476771","Catalog Record")</f>
        <v>Catalog Record</v>
      </c>
      <c r="AW5162" s="6" t="str">
        <f>HYPERLINK("http://www.worldcat.org/oclc/840476771","WorldCat Record")</f>
        <v>WorldCat Record</v>
      </c>
      <c r="AX5162" s="3" t="s">
        <v>49427</v>
      </c>
      <c r="AY5162" s="3" t="s">
        <v>49428</v>
      </c>
      <c r="AZ5162" s="3" t="s">
        <v>49429</v>
      </c>
      <c r="BA5162" s="3" t="s">
        <v>49429</v>
      </c>
      <c r="BB5162" s="3" t="s">
        <v>49430</v>
      </c>
      <c r="BC5162" s="3" t="s">
        <v>142</v>
      </c>
      <c r="BD5162" s="3" t="s">
        <v>68</v>
      </c>
      <c r="BE5162" s="3" t="s">
        <v>49431</v>
      </c>
      <c r="BF5162" s="3" t="s">
        <v>49430</v>
      </c>
      <c r="BG5162" s="3" t="s">
        <v>49432</v>
      </c>
    </row>
    <row r="5163" spans="1:59" ht="57" x14ac:dyDescent="0.45">
      <c r="A5163" s="2" t="s">
        <v>59</v>
      </c>
      <c r="B5163" s="2" t="s">
        <v>60</v>
      </c>
      <c r="C5163" s="2" t="s">
        <v>49433</v>
      </c>
      <c r="D5163" s="2" t="s">
        <v>49434</v>
      </c>
      <c r="E5163" s="2" t="s">
        <v>49435</v>
      </c>
      <c r="G5163" s="3" t="s">
        <v>62</v>
      </c>
      <c r="I5163" s="3" t="s">
        <v>62</v>
      </c>
      <c r="J5163" s="3" t="s">
        <v>61</v>
      </c>
      <c r="K5163" s="3" t="s">
        <v>63</v>
      </c>
      <c r="L5163" s="2" t="s">
        <v>805</v>
      </c>
      <c r="M5163" s="2" t="s">
        <v>1536</v>
      </c>
      <c r="N5163" s="3" t="s">
        <v>1478</v>
      </c>
      <c r="O5163" s="2" t="s">
        <v>11696</v>
      </c>
      <c r="P5163" s="3" t="s">
        <v>65</v>
      </c>
      <c r="R5163" s="3" t="s">
        <v>66</v>
      </c>
      <c r="S5163" s="4">
        <v>10</v>
      </c>
      <c r="T5163" s="4">
        <v>10</v>
      </c>
      <c r="U5163" s="5" t="s">
        <v>19922</v>
      </c>
      <c r="V5163" s="5" t="s">
        <v>19922</v>
      </c>
      <c r="W5163" s="5" t="s">
        <v>67</v>
      </c>
      <c r="X5163" s="5" t="s">
        <v>67</v>
      </c>
      <c r="Y5163" s="4">
        <v>382</v>
      </c>
      <c r="Z5163" s="4">
        <v>24</v>
      </c>
      <c r="AA5163" s="4">
        <v>47</v>
      </c>
      <c r="AB5163" s="4">
        <v>2</v>
      </c>
      <c r="AC5163" s="4">
        <v>6</v>
      </c>
      <c r="AD5163" s="4">
        <v>99</v>
      </c>
      <c r="AE5163" s="4">
        <v>137</v>
      </c>
      <c r="AF5163" s="4">
        <v>1</v>
      </c>
      <c r="AG5163" s="4">
        <v>3</v>
      </c>
      <c r="AH5163" s="4">
        <v>88</v>
      </c>
      <c r="AI5163" s="4">
        <v>112</v>
      </c>
      <c r="AJ5163" s="4">
        <v>12</v>
      </c>
      <c r="AK5163" s="4">
        <v>23</v>
      </c>
      <c r="AL5163" s="4">
        <v>51</v>
      </c>
      <c r="AM5163" s="4">
        <v>58</v>
      </c>
      <c r="AN5163" s="4">
        <v>0</v>
      </c>
      <c r="AO5163" s="4">
        <v>0</v>
      </c>
      <c r="AP5163" s="4">
        <v>16</v>
      </c>
      <c r="AQ5163" s="4">
        <v>34</v>
      </c>
      <c r="AR5163" s="3" t="s">
        <v>62</v>
      </c>
      <c r="AS5163" s="3" t="s">
        <v>62</v>
      </c>
      <c r="AT5163" s="3" t="s">
        <v>62</v>
      </c>
      <c r="AV5163" s="6" t="str">
        <f>HYPERLINK("http://mcgill.on.worldcat.org/oclc/33243357","Catalog Record")</f>
        <v>Catalog Record</v>
      </c>
      <c r="AW5163" s="6" t="str">
        <f>HYPERLINK("http://www.worldcat.org/oclc/33243357","WorldCat Record")</f>
        <v>WorldCat Record</v>
      </c>
      <c r="AX5163" s="3" t="s">
        <v>49436</v>
      </c>
      <c r="AY5163" s="3" t="s">
        <v>49437</v>
      </c>
      <c r="AZ5163" s="3" t="s">
        <v>49438</v>
      </c>
      <c r="BA5163" s="3" t="s">
        <v>49438</v>
      </c>
      <c r="BB5163" s="3" t="s">
        <v>49439</v>
      </c>
      <c r="BC5163" s="3" t="s">
        <v>142</v>
      </c>
      <c r="BD5163" s="3" t="s">
        <v>68</v>
      </c>
      <c r="BE5163" s="3" t="s">
        <v>49440</v>
      </c>
      <c r="BF5163" s="3" t="s">
        <v>49439</v>
      </c>
      <c r="BG5163" s="3" t="s">
        <v>49441</v>
      </c>
    </row>
    <row r="5164" spans="1:59" ht="71.25" x14ac:dyDescent="0.45">
      <c r="A5164" s="2" t="s">
        <v>59</v>
      </c>
      <c r="B5164" s="2" t="s">
        <v>60</v>
      </c>
      <c r="C5164" s="2" t="s">
        <v>49442</v>
      </c>
      <c r="D5164" s="2" t="s">
        <v>49443</v>
      </c>
      <c r="E5164" s="2" t="s">
        <v>49444</v>
      </c>
      <c r="G5164" s="3" t="s">
        <v>62</v>
      </c>
      <c r="I5164" s="3" t="s">
        <v>62</v>
      </c>
      <c r="J5164" s="3" t="s">
        <v>62</v>
      </c>
      <c r="K5164" s="3" t="s">
        <v>63</v>
      </c>
      <c r="L5164" s="2" t="s">
        <v>49445</v>
      </c>
      <c r="M5164" s="2" t="s">
        <v>49446</v>
      </c>
      <c r="N5164" s="3" t="s">
        <v>72</v>
      </c>
      <c r="P5164" s="3" t="s">
        <v>65</v>
      </c>
      <c r="R5164" s="3" t="s">
        <v>66</v>
      </c>
      <c r="S5164" s="4">
        <v>12</v>
      </c>
      <c r="T5164" s="4">
        <v>12</v>
      </c>
      <c r="U5164" s="5" t="s">
        <v>30617</v>
      </c>
      <c r="V5164" s="5" t="s">
        <v>30617</v>
      </c>
      <c r="W5164" s="5" t="s">
        <v>67</v>
      </c>
      <c r="X5164" s="5" t="s">
        <v>67</v>
      </c>
      <c r="Y5164" s="4">
        <v>5</v>
      </c>
      <c r="Z5164" s="4">
        <v>3</v>
      </c>
      <c r="AA5164" s="4">
        <v>13</v>
      </c>
      <c r="AB5164" s="4">
        <v>2</v>
      </c>
      <c r="AC5164" s="4">
        <v>6</v>
      </c>
      <c r="AD5164" s="4">
        <v>3</v>
      </c>
      <c r="AE5164" s="4">
        <v>21</v>
      </c>
      <c r="AF5164" s="4">
        <v>0</v>
      </c>
      <c r="AG5164" s="4">
        <v>3</v>
      </c>
      <c r="AH5164" s="4">
        <v>2</v>
      </c>
      <c r="AI5164" s="4">
        <v>17</v>
      </c>
      <c r="AJ5164" s="4">
        <v>1</v>
      </c>
      <c r="AK5164" s="4">
        <v>6</v>
      </c>
      <c r="AL5164" s="4">
        <v>2</v>
      </c>
      <c r="AM5164" s="4">
        <v>9</v>
      </c>
      <c r="AN5164" s="4">
        <v>0</v>
      </c>
      <c r="AO5164" s="4">
        <v>0</v>
      </c>
      <c r="AP5164" s="4">
        <v>1</v>
      </c>
      <c r="AQ5164" s="4">
        <v>6</v>
      </c>
      <c r="AR5164" s="3" t="s">
        <v>62</v>
      </c>
      <c r="AS5164" s="3" t="s">
        <v>62</v>
      </c>
      <c r="AT5164" s="3" t="s">
        <v>61</v>
      </c>
      <c r="AU5164" s="6" t="str">
        <f>HYPERLINK("http://catalog.hathitrust.org/Record/001181111","HathiTrust Record")</f>
        <v>HathiTrust Record</v>
      </c>
      <c r="AV5164" s="6" t="str">
        <f>HYPERLINK("http://mcgill.on.worldcat.org/oclc/427502944","Catalog Record")</f>
        <v>Catalog Record</v>
      </c>
      <c r="AW5164" s="6" t="str">
        <f>HYPERLINK("http://www.worldcat.org/oclc/427502944","WorldCat Record")</f>
        <v>WorldCat Record</v>
      </c>
      <c r="AX5164" s="3" t="s">
        <v>49447</v>
      </c>
      <c r="AY5164" s="3" t="s">
        <v>49448</v>
      </c>
      <c r="AZ5164" s="3" t="s">
        <v>49449</v>
      </c>
      <c r="BA5164" s="3" t="s">
        <v>49449</v>
      </c>
      <c r="BB5164" s="3" t="s">
        <v>49450</v>
      </c>
      <c r="BC5164" s="3" t="s">
        <v>142</v>
      </c>
      <c r="BD5164" s="3" t="s">
        <v>68</v>
      </c>
      <c r="BF5164" s="3" t="s">
        <v>49450</v>
      </c>
      <c r="BG5164" s="3" t="s">
        <v>49451</v>
      </c>
    </row>
    <row r="5165" spans="1:59" ht="57" x14ac:dyDescent="0.45">
      <c r="A5165" s="2" t="s">
        <v>59</v>
      </c>
      <c r="B5165" s="2" t="s">
        <v>60</v>
      </c>
      <c r="C5165" s="2" t="s">
        <v>49452</v>
      </c>
      <c r="D5165" s="2" t="s">
        <v>49453</v>
      </c>
      <c r="E5165" s="2" t="s">
        <v>49454</v>
      </c>
      <c r="G5165" s="3" t="s">
        <v>62</v>
      </c>
      <c r="I5165" s="3" t="s">
        <v>62</v>
      </c>
      <c r="J5165" s="3" t="s">
        <v>62</v>
      </c>
      <c r="K5165" s="3" t="s">
        <v>63</v>
      </c>
      <c r="L5165" s="2" t="s">
        <v>49445</v>
      </c>
      <c r="M5165" s="2" t="s">
        <v>49455</v>
      </c>
      <c r="N5165" s="3" t="s">
        <v>167</v>
      </c>
      <c r="P5165" s="3" t="s">
        <v>65</v>
      </c>
      <c r="R5165" s="3" t="s">
        <v>66</v>
      </c>
      <c r="S5165" s="4">
        <v>32</v>
      </c>
      <c r="T5165" s="4">
        <v>32</v>
      </c>
      <c r="U5165" s="5" t="s">
        <v>49456</v>
      </c>
      <c r="V5165" s="5" t="s">
        <v>49456</v>
      </c>
      <c r="W5165" s="5" t="s">
        <v>67</v>
      </c>
      <c r="X5165" s="5" t="s">
        <v>67</v>
      </c>
      <c r="Y5165" s="4">
        <v>583</v>
      </c>
      <c r="Z5165" s="4">
        <v>37</v>
      </c>
      <c r="AA5165" s="4">
        <v>42</v>
      </c>
      <c r="AB5165" s="4">
        <v>4</v>
      </c>
      <c r="AC5165" s="4">
        <v>7</v>
      </c>
      <c r="AD5165" s="4">
        <v>105</v>
      </c>
      <c r="AE5165" s="4">
        <v>109</v>
      </c>
      <c r="AF5165" s="4">
        <v>1</v>
      </c>
      <c r="AG5165" s="4">
        <v>3</v>
      </c>
      <c r="AH5165" s="4">
        <v>88</v>
      </c>
      <c r="AI5165" s="4">
        <v>90</v>
      </c>
      <c r="AJ5165" s="4">
        <v>16</v>
      </c>
      <c r="AK5165" s="4">
        <v>18</v>
      </c>
      <c r="AL5165" s="4">
        <v>49</v>
      </c>
      <c r="AM5165" s="4">
        <v>49</v>
      </c>
      <c r="AN5165" s="4">
        <v>0</v>
      </c>
      <c r="AO5165" s="4">
        <v>0</v>
      </c>
      <c r="AP5165" s="4">
        <v>23</v>
      </c>
      <c r="AQ5165" s="4">
        <v>26</v>
      </c>
      <c r="AR5165" s="3" t="s">
        <v>62</v>
      </c>
      <c r="AS5165" s="3" t="s">
        <v>62</v>
      </c>
      <c r="AT5165" s="3" t="s">
        <v>62</v>
      </c>
      <c r="AV5165" s="6" t="str">
        <f>HYPERLINK("http://mcgill.on.worldcat.org/oclc/40305532","Catalog Record")</f>
        <v>Catalog Record</v>
      </c>
      <c r="AW5165" s="6" t="str">
        <f>HYPERLINK("http://www.worldcat.org/oclc/40305532","WorldCat Record")</f>
        <v>WorldCat Record</v>
      </c>
      <c r="AX5165" s="3" t="s">
        <v>49457</v>
      </c>
      <c r="AY5165" s="3" t="s">
        <v>49458</v>
      </c>
      <c r="AZ5165" s="3" t="s">
        <v>49459</v>
      </c>
      <c r="BA5165" s="3" t="s">
        <v>49459</v>
      </c>
      <c r="BB5165" s="3" t="s">
        <v>49460</v>
      </c>
      <c r="BC5165" s="3" t="s">
        <v>142</v>
      </c>
      <c r="BD5165" s="3" t="s">
        <v>68</v>
      </c>
      <c r="BE5165" s="3" t="s">
        <v>49461</v>
      </c>
      <c r="BF5165" s="3" t="s">
        <v>49460</v>
      </c>
      <c r="BG5165" s="3" t="s">
        <v>49462</v>
      </c>
    </row>
    <row r="5166" spans="1:59" ht="57" x14ac:dyDescent="0.45">
      <c r="A5166" s="2" t="s">
        <v>59</v>
      </c>
      <c r="B5166" s="2" t="s">
        <v>60</v>
      </c>
      <c r="C5166" s="2" t="s">
        <v>49463</v>
      </c>
      <c r="D5166" s="2" t="s">
        <v>49464</v>
      </c>
      <c r="E5166" s="2" t="s">
        <v>49465</v>
      </c>
      <c r="G5166" s="3" t="s">
        <v>62</v>
      </c>
      <c r="I5166" s="3" t="s">
        <v>62</v>
      </c>
      <c r="J5166" s="3" t="s">
        <v>62</v>
      </c>
      <c r="K5166" s="3" t="s">
        <v>63</v>
      </c>
      <c r="L5166" s="2" t="s">
        <v>49466</v>
      </c>
      <c r="M5166" s="2" t="s">
        <v>49467</v>
      </c>
      <c r="N5166" s="3" t="s">
        <v>568</v>
      </c>
      <c r="P5166" s="3" t="s">
        <v>65</v>
      </c>
      <c r="Q5166" s="2" t="s">
        <v>49468</v>
      </c>
      <c r="R5166" s="3" t="s">
        <v>66</v>
      </c>
      <c r="S5166" s="4">
        <v>26</v>
      </c>
      <c r="T5166" s="4">
        <v>26</v>
      </c>
      <c r="U5166" s="5" t="s">
        <v>15630</v>
      </c>
      <c r="V5166" s="5" t="s">
        <v>15630</v>
      </c>
      <c r="W5166" s="5" t="s">
        <v>67</v>
      </c>
      <c r="X5166" s="5" t="s">
        <v>67</v>
      </c>
      <c r="Y5166" s="4">
        <v>316</v>
      </c>
      <c r="Z5166" s="4">
        <v>21</v>
      </c>
      <c r="AA5166" s="4">
        <v>91</v>
      </c>
      <c r="AB5166" s="4">
        <v>1</v>
      </c>
      <c r="AC5166" s="4">
        <v>17</v>
      </c>
      <c r="AD5166" s="4">
        <v>107</v>
      </c>
      <c r="AE5166" s="4">
        <v>145</v>
      </c>
      <c r="AF5166" s="4">
        <v>0</v>
      </c>
      <c r="AG5166" s="4">
        <v>8</v>
      </c>
      <c r="AH5166" s="4">
        <v>97</v>
      </c>
      <c r="AI5166" s="4">
        <v>108</v>
      </c>
      <c r="AJ5166" s="4">
        <v>16</v>
      </c>
      <c r="AK5166" s="4">
        <v>25</v>
      </c>
      <c r="AL5166" s="4">
        <v>52</v>
      </c>
      <c r="AM5166" s="4">
        <v>57</v>
      </c>
      <c r="AN5166" s="4">
        <v>0</v>
      </c>
      <c r="AO5166" s="4">
        <v>0</v>
      </c>
      <c r="AP5166" s="4">
        <v>17</v>
      </c>
      <c r="AQ5166" s="4">
        <v>46</v>
      </c>
      <c r="AR5166" s="3" t="s">
        <v>62</v>
      </c>
      <c r="AS5166" s="3" t="s">
        <v>62</v>
      </c>
      <c r="AT5166" s="3" t="s">
        <v>62</v>
      </c>
      <c r="AV5166" s="6" t="str">
        <f>HYPERLINK("http://mcgill.on.worldcat.org/oclc/15790869","Catalog Record")</f>
        <v>Catalog Record</v>
      </c>
      <c r="AW5166" s="6" t="str">
        <f>HYPERLINK("http://www.worldcat.org/oclc/15790869","WorldCat Record")</f>
        <v>WorldCat Record</v>
      </c>
      <c r="AX5166" s="3" t="s">
        <v>49469</v>
      </c>
      <c r="AY5166" s="3" t="s">
        <v>49470</v>
      </c>
      <c r="AZ5166" s="3" t="s">
        <v>49471</v>
      </c>
      <c r="BA5166" s="3" t="s">
        <v>49471</v>
      </c>
      <c r="BB5166" s="3" t="s">
        <v>49472</v>
      </c>
      <c r="BC5166" s="3" t="s">
        <v>142</v>
      </c>
      <c r="BD5166" s="3" t="s">
        <v>68</v>
      </c>
      <c r="BE5166" s="3" t="s">
        <v>49473</v>
      </c>
      <c r="BF5166" s="3" t="s">
        <v>49472</v>
      </c>
      <c r="BG5166" s="3" t="s">
        <v>49474</v>
      </c>
    </row>
    <row r="5167" spans="1:59" ht="57" x14ac:dyDescent="0.45">
      <c r="A5167" s="2" t="s">
        <v>59</v>
      </c>
      <c r="B5167" s="2" t="s">
        <v>60</v>
      </c>
      <c r="C5167" s="2" t="s">
        <v>49475</v>
      </c>
      <c r="D5167" s="2" t="s">
        <v>49476</v>
      </c>
      <c r="E5167" s="2" t="s">
        <v>49477</v>
      </c>
      <c r="G5167" s="3" t="s">
        <v>62</v>
      </c>
      <c r="I5167" s="3" t="s">
        <v>62</v>
      </c>
      <c r="J5167" s="3" t="s">
        <v>62</v>
      </c>
      <c r="K5167" s="3" t="s">
        <v>63</v>
      </c>
      <c r="L5167" s="2" t="s">
        <v>48159</v>
      </c>
      <c r="M5167" s="2" t="s">
        <v>49478</v>
      </c>
      <c r="N5167" s="3" t="s">
        <v>958</v>
      </c>
      <c r="P5167" s="3" t="s">
        <v>65</v>
      </c>
      <c r="R5167" s="3" t="s">
        <v>66</v>
      </c>
      <c r="S5167" s="4">
        <v>48</v>
      </c>
      <c r="T5167" s="4">
        <v>48</v>
      </c>
      <c r="U5167" s="5" t="s">
        <v>3850</v>
      </c>
      <c r="V5167" s="5" t="s">
        <v>3850</v>
      </c>
      <c r="W5167" s="5" t="s">
        <v>67</v>
      </c>
      <c r="X5167" s="5" t="s">
        <v>67</v>
      </c>
      <c r="Y5167" s="4">
        <v>230</v>
      </c>
      <c r="Z5167" s="4">
        <v>19</v>
      </c>
      <c r="AA5167" s="4">
        <v>21</v>
      </c>
      <c r="AB5167" s="4">
        <v>1</v>
      </c>
      <c r="AC5167" s="4">
        <v>3</v>
      </c>
      <c r="AD5167" s="4">
        <v>99</v>
      </c>
      <c r="AE5167" s="4">
        <v>101</v>
      </c>
      <c r="AF5167" s="4">
        <v>0</v>
      </c>
      <c r="AG5167" s="4">
        <v>2</v>
      </c>
      <c r="AH5167" s="4">
        <v>90</v>
      </c>
      <c r="AI5167" s="4">
        <v>90</v>
      </c>
      <c r="AJ5167" s="4">
        <v>14</v>
      </c>
      <c r="AK5167" s="4">
        <v>16</v>
      </c>
      <c r="AL5167" s="4">
        <v>54</v>
      </c>
      <c r="AM5167" s="4">
        <v>54</v>
      </c>
      <c r="AN5167" s="4">
        <v>0</v>
      </c>
      <c r="AO5167" s="4">
        <v>0</v>
      </c>
      <c r="AP5167" s="4">
        <v>15</v>
      </c>
      <c r="AQ5167" s="4">
        <v>16</v>
      </c>
      <c r="AR5167" s="3" t="s">
        <v>62</v>
      </c>
      <c r="AS5167" s="3" t="s">
        <v>62</v>
      </c>
      <c r="AT5167" s="3" t="s">
        <v>62</v>
      </c>
      <c r="AV5167" s="6" t="str">
        <f>HYPERLINK("http://mcgill.on.worldcat.org/oclc/28799248","Catalog Record")</f>
        <v>Catalog Record</v>
      </c>
      <c r="AW5167" s="6" t="str">
        <f>HYPERLINK("http://www.worldcat.org/oclc/28799248","WorldCat Record")</f>
        <v>WorldCat Record</v>
      </c>
      <c r="AX5167" s="3" t="s">
        <v>49479</v>
      </c>
      <c r="AY5167" s="3" t="s">
        <v>49480</v>
      </c>
      <c r="AZ5167" s="3" t="s">
        <v>49481</v>
      </c>
      <c r="BA5167" s="3" t="s">
        <v>49481</v>
      </c>
      <c r="BB5167" s="3" t="s">
        <v>49482</v>
      </c>
      <c r="BC5167" s="3" t="s">
        <v>142</v>
      </c>
      <c r="BD5167" s="3" t="s">
        <v>68</v>
      </c>
      <c r="BE5167" s="3" t="s">
        <v>49483</v>
      </c>
      <c r="BF5167" s="3" t="s">
        <v>49482</v>
      </c>
      <c r="BG5167" s="3" t="s">
        <v>49484</v>
      </c>
    </row>
    <row r="5168" spans="1:59" ht="57" x14ac:dyDescent="0.45">
      <c r="A5168" s="2" t="s">
        <v>59</v>
      </c>
      <c r="B5168" s="2" t="s">
        <v>60</v>
      </c>
      <c r="C5168" s="2" t="s">
        <v>49485</v>
      </c>
      <c r="D5168" s="2" t="s">
        <v>49486</v>
      </c>
      <c r="E5168" s="2" t="s">
        <v>49487</v>
      </c>
      <c r="G5168" s="3" t="s">
        <v>62</v>
      </c>
      <c r="I5168" s="3" t="s">
        <v>62</v>
      </c>
      <c r="J5168" s="3" t="s">
        <v>61</v>
      </c>
      <c r="K5168" s="3" t="s">
        <v>63</v>
      </c>
      <c r="L5168" s="2" t="s">
        <v>48159</v>
      </c>
      <c r="M5168" s="2" t="s">
        <v>49488</v>
      </c>
      <c r="N5168" s="3" t="s">
        <v>529</v>
      </c>
      <c r="P5168" s="3" t="s">
        <v>65</v>
      </c>
      <c r="Q5168" s="2" t="s">
        <v>49489</v>
      </c>
      <c r="R5168" s="3" t="s">
        <v>66</v>
      </c>
      <c r="S5168" s="4">
        <v>4</v>
      </c>
      <c r="T5168" s="4">
        <v>4</v>
      </c>
      <c r="U5168" s="5" t="s">
        <v>723</v>
      </c>
      <c r="V5168" s="5" t="s">
        <v>723</v>
      </c>
      <c r="W5168" s="5" t="s">
        <v>67</v>
      </c>
      <c r="X5168" s="5" t="s">
        <v>67</v>
      </c>
      <c r="Y5168" s="4">
        <v>103</v>
      </c>
      <c r="Z5168" s="4">
        <v>3</v>
      </c>
      <c r="AA5168" s="4">
        <v>16</v>
      </c>
      <c r="AB5168" s="4">
        <v>1</v>
      </c>
      <c r="AC5168" s="4">
        <v>4</v>
      </c>
      <c r="AD5168" s="4">
        <v>45</v>
      </c>
      <c r="AE5168" s="4">
        <v>77</v>
      </c>
      <c r="AF5168" s="4">
        <v>0</v>
      </c>
      <c r="AG5168" s="4">
        <v>3</v>
      </c>
      <c r="AH5168" s="4">
        <v>44</v>
      </c>
      <c r="AI5168" s="4">
        <v>70</v>
      </c>
      <c r="AJ5168" s="4">
        <v>1</v>
      </c>
      <c r="AK5168" s="4">
        <v>13</v>
      </c>
      <c r="AL5168" s="4">
        <v>29</v>
      </c>
      <c r="AM5168" s="4">
        <v>43</v>
      </c>
      <c r="AN5168" s="4">
        <v>0</v>
      </c>
      <c r="AO5168" s="4">
        <v>0</v>
      </c>
      <c r="AP5168" s="4">
        <v>2</v>
      </c>
      <c r="AQ5168" s="4">
        <v>13</v>
      </c>
      <c r="AR5168" s="3" t="s">
        <v>62</v>
      </c>
      <c r="AS5168" s="3" t="s">
        <v>62</v>
      </c>
      <c r="AT5168" s="3" t="s">
        <v>61</v>
      </c>
      <c r="AU5168" s="6" t="str">
        <f>HYPERLINK("http://catalog.hathitrust.org/Record/000352356","HathiTrust Record")</f>
        <v>HathiTrust Record</v>
      </c>
      <c r="AV5168" s="6" t="str">
        <f>HYPERLINK("http://mcgill.on.worldcat.org/oclc/12263185","Catalog Record")</f>
        <v>Catalog Record</v>
      </c>
      <c r="AW5168" s="6" t="str">
        <f>HYPERLINK("http://www.worldcat.org/oclc/12263185","WorldCat Record")</f>
        <v>WorldCat Record</v>
      </c>
      <c r="AX5168" s="3" t="s">
        <v>49490</v>
      </c>
      <c r="AY5168" s="3" t="s">
        <v>49491</v>
      </c>
      <c r="AZ5168" s="3" t="s">
        <v>49492</v>
      </c>
      <c r="BA5168" s="3" t="s">
        <v>49492</v>
      </c>
      <c r="BB5168" s="3" t="s">
        <v>49493</v>
      </c>
      <c r="BC5168" s="3" t="s">
        <v>142</v>
      </c>
      <c r="BD5168" s="3" t="s">
        <v>68</v>
      </c>
      <c r="BE5168" s="3" t="s">
        <v>49494</v>
      </c>
      <c r="BF5168" s="3" t="s">
        <v>49493</v>
      </c>
      <c r="BG5168" s="3" t="s">
        <v>49495</v>
      </c>
    </row>
    <row r="5169" spans="1:59" ht="57" x14ac:dyDescent="0.45">
      <c r="A5169" s="2" t="s">
        <v>59</v>
      </c>
      <c r="B5169" s="2" t="s">
        <v>60</v>
      </c>
      <c r="C5169" s="2" t="s">
        <v>49496</v>
      </c>
      <c r="D5169" s="2" t="s">
        <v>49497</v>
      </c>
      <c r="E5169" s="2" t="s">
        <v>49498</v>
      </c>
      <c r="G5169" s="3" t="s">
        <v>62</v>
      </c>
      <c r="I5169" s="3" t="s">
        <v>62</v>
      </c>
      <c r="J5169" s="3" t="s">
        <v>62</v>
      </c>
      <c r="K5169" s="3" t="s">
        <v>63</v>
      </c>
      <c r="L5169" s="2" t="s">
        <v>49499</v>
      </c>
      <c r="M5169" s="2" t="s">
        <v>49500</v>
      </c>
      <c r="N5169" s="3" t="s">
        <v>122</v>
      </c>
      <c r="P5169" s="3" t="s">
        <v>65</v>
      </c>
      <c r="Q5169" s="2" t="s">
        <v>49501</v>
      </c>
      <c r="R5169" s="3" t="s">
        <v>66</v>
      </c>
      <c r="S5169" s="4">
        <v>11</v>
      </c>
      <c r="T5169" s="4">
        <v>11</v>
      </c>
      <c r="U5169" s="5" t="s">
        <v>22961</v>
      </c>
      <c r="V5169" s="5" t="s">
        <v>22961</v>
      </c>
      <c r="W5169" s="5" t="s">
        <v>67</v>
      </c>
      <c r="X5169" s="5" t="s">
        <v>67</v>
      </c>
      <c r="Y5169" s="4">
        <v>61</v>
      </c>
      <c r="Z5169" s="4">
        <v>6</v>
      </c>
      <c r="AA5169" s="4">
        <v>6</v>
      </c>
      <c r="AB5169" s="4">
        <v>1</v>
      </c>
      <c r="AC5169" s="4">
        <v>1</v>
      </c>
      <c r="AD5169" s="4">
        <v>35</v>
      </c>
      <c r="AE5169" s="4">
        <v>36</v>
      </c>
      <c r="AF5169" s="4">
        <v>0</v>
      </c>
      <c r="AG5169" s="4">
        <v>0</v>
      </c>
      <c r="AH5169" s="4">
        <v>34</v>
      </c>
      <c r="AI5169" s="4">
        <v>35</v>
      </c>
      <c r="AJ5169" s="4">
        <v>3</v>
      </c>
      <c r="AK5169" s="4">
        <v>3</v>
      </c>
      <c r="AL5169" s="4">
        <v>20</v>
      </c>
      <c r="AM5169" s="4">
        <v>21</v>
      </c>
      <c r="AN5169" s="4">
        <v>0</v>
      </c>
      <c r="AO5169" s="4">
        <v>0</v>
      </c>
      <c r="AP5169" s="4">
        <v>4</v>
      </c>
      <c r="AQ5169" s="4">
        <v>4</v>
      </c>
      <c r="AR5169" s="3" t="s">
        <v>62</v>
      </c>
      <c r="AS5169" s="3" t="s">
        <v>62</v>
      </c>
      <c r="AT5169" s="3" t="s">
        <v>61</v>
      </c>
      <c r="AU5169" s="6" t="str">
        <f>HYPERLINK("http://catalog.hathitrust.org/Record/007480182","HathiTrust Record")</f>
        <v>HathiTrust Record</v>
      </c>
      <c r="AV5169" s="6" t="str">
        <f>HYPERLINK("http://mcgill.on.worldcat.org/oclc/3795144","Catalog Record")</f>
        <v>Catalog Record</v>
      </c>
      <c r="AW5169" s="6" t="str">
        <f>HYPERLINK("http://www.worldcat.org/oclc/3795144","WorldCat Record")</f>
        <v>WorldCat Record</v>
      </c>
      <c r="AX5169" s="3" t="s">
        <v>49502</v>
      </c>
      <c r="AY5169" s="3" t="s">
        <v>49503</v>
      </c>
      <c r="AZ5169" s="3" t="s">
        <v>49504</v>
      </c>
      <c r="BA5169" s="3" t="s">
        <v>49504</v>
      </c>
      <c r="BB5169" s="3" t="s">
        <v>49505</v>
      </c>
      <c r="BC5169" s="3" t="s">
        <v>142</v>
      </c>
      <c r="BD5169" s="3" t="s">
        <v>68</v>
      </c>
      <c r="BF5169" s="3" t="s">
        <v>49505</v>
      </c>
      <c r="BG5169" s="3" t="s">
        <v>49506</v>
      </c>
    </row>
    <row r="5170" spans="1:59" ht="57" x14ac:dyDescent="0.45">
      <c r="A5170" s="2" t="s">
        <v>59</v>
      </c>
      <c r="B5170" s="2" t="s">
        <v>60</v>
      </c>
      <c r="C5170" s="2" t="s">
        <v>49507</v>
      </c>
      <c r="D5170" s="2" t="s">
        <v>49508</v>
      </c>
      <c r="E5170" s="2" t="s">
        <v>49509</v>
      </c>
      <c r="G5170" s="3" t="s">
        <v>62</v>
      </c>
      <c r="I5170" s="3" t="s">
        <v>62</v>
      </c>
      <c r="J5170" s="3" t="s">
        <v>62</v>
      </c>
      <c r="K5170" s="3" t="s">
        <v>63</v>
      </c>
      <c r="L5170" s="2" t="s">
        <v>49510</v>
      </c>
      <c r="M5170" s="2" t="s">
        <v>3398</v>
      </c>
      <c r="N5170" s="3" t="s">
        <v>894</v>
      </c>
      <c r="P5170" s="3" t="s">
        <v>65</v>
      </c>
      <c r="Q5170" s="2" t="s">
        <v>49511</v>
      </c>
      <c r="R5170" s="3" t="s">
        <v>66</v>
      </c>
      <c r="S5170" s="4">
        <v>2</v>
      </c>
      <c r="T5170" s="4">
        <v>2</v>
      </c>
      <c r="U5170" s="5" t="s">
        <v>49512</v>
      </c>
      <c r="V5170" s="5" t="s">
        <v>49512</v>
      </c>
      <c r="W5170" s="5" t="s">
        <v>67</v>
      </c>
      <c r="X5170" s="5" t="s">
        <v>67</v>
      </c>
      <c r="Y5170" s="4">
        <v>125</v>
      </c>
      <c r="Z5170" s="4">
        <v>17</v>
      </c>
      <c r="AA5170" s="4">
        <v>80</v>
      </c>
      <c r="AB5170" s="4">
        <v>1</v>
      </c>
      <c r="AC5170" s="4">
        <v>14</v>
      </c>
      <c r="AD5170" s="4">
        <v>65</v>
      </c>
      <c r="AE5170" s="4">
        <v>123</v>
      </c>
      <c r="AF5170" s="4">
        <v>0</v>
      </c>
      <c r="AG5170" s="4">
        <v>8</v>
      </c>
      <c r="AH5170" s="4">
        <v>60</v>
      </c>
      <c r="AI5170" s="4">
        <v>91</v>
      </c>
      <c r="AJ5170" s="4">
        <v>13</v>
      </c>
      <c r="AK5170" s="4">
        <v>23</v>
      </c>
      <c r="AL5170" s="4">
        <v>36</v>
      </c>
      <c r="AM5170" s="4">
        <v>49</v>
      </c>
      <c r="AN5170" s="4">
        <v>0</v>
      </c>
      <c r="AO5170" s="4">
        <v>0</v>
      </c>
      <c r="AP5170" s="4">
        <v>13</v>
      </c>
      <c r="AQ5170" s="4">
        <v>42</v>
      </c>
      <c r="AR5170" s="3" t="s">
        <v>62</v>
      </c>
      <c r="AS5170" s="3" t="s">
        <v>62</v>
      </c>
      <c r="AT5170" s="3" t="s">
        <v>62</v>
      </c>
      <c r="AV5170" s="6" t="str">
        <f>HYPERLINK("http://mcgill.on.worldcat.org/oclc/699759451","Catalog Record")</f>
        <v>Catalog Record</v>
      </c>
      <c r="AW5170" s="6" t="str">
        <f>HYPERLINK("http://www.worldcat.org/oclc/699759451","WorldCat Record")</f>
        <v>WorldCat Record</v>
      </c>
      <c r="AX5170" s="3" t="s">
        <v>49513</v>
      </c>
      <c r="AY5170" s="3" t="s">
        <v>49514</v>
      </c>
      <c r="AZ5170" s="3" t="s">
        <v>49515</v>
      </c>
      <c r="BA5170" s="3" t="s">
        <v>49515</v>
      </c>
      <c r="BB5170" s="3" t="s">
        <v>49516</v>
      </c>
      <c r="BC5170" s="3" t="s">
        <v>142</v>
      </c>
      <c r="BD5170" s="3" t="s">
        <v>68</v>
      </c>
      <c r="BE5170" s="3" t="s">
        <v>49517</v>
      </c>
      <c r="BF5170" s="3" t="s">
        <v>49516</v>
      </c>
      <c r="BG5170" s="3" t="s">
        <v>49518</v>
      </c>
    </row>
    <row r="5171" spans="1:59" ht="57" x14ac:dyDescent="0.45">
      <c r="A5171" s="2" t="s">
        <v>59</v>
      </c>
      <c r="B5171" s="2" t="s">
        <v>60</v>
      </c>
      <c r="C5171" s="2" t="s">
        <v>49519</v>
      </c>
      <c r="D5171" s="2" t="s">
        <v>49520</v>
      </c>
      <c r="E5171" s="2" t="s">
        <v>49521</v>
      </c>
      <c r="G5171" s="3" t="s">
        <v>62</v>
      </c>
      <c r="I5171" s="3" t="s">
        <v>62</v>
      </c>
      <c r="J5171" s="3" t="s">
        <v>62</v>
      </c>
      <c r="K5171" s="3" t="s">
        <v>63</v>
      </c>
      <c r="L5171" s="2" t="s">
        <v>49522</v>
      </c>
      <c r="M5171" s="2" t="s">
        <v>21778</v>
      </c>
      <c r="N5171" s="3" t="s">
        <v>149</v>
      </c>
      <c r="P5171" s="3" t="s">
        <v>65</v>
      </c>
      <c r="Q5171" s="2" t="s">
        <v>49523</v>
      </c>
      <c r="R5171" s="3" t="s">
        <v>66</v>
      </c>
      <c r="S5171" s="4">
        <v>3</v>
      </c>
      <c r="T5171" s="4">
        <v>3</v>
      </c>
      <c r="U5171" s="5" t="s">
        <v>49512</v>
      </c>
      <c r="V5171" s="5" t="s">
        <v>49512</v>
      </c>
      <c r="W5171" s="5" t="s">
        <v>67</v>
      </c>
      <c r="X5171" s="5" t="s">
        <v>67</v>
      </c>
      <c r="Y5171" s="4">
        <v>158</v>
      </c>
      <c r="Z5171" s="4">
        <v>22</v>
      </c>
      <c r="AA5171" s="4">
        <v>97</v>
      </c>
      <c r="AB5171" s="4">
        <v>2</v>
      </c>
      <c r="AC5171" s="4">
        <v>17</v>
      </c>
      <c r="AD5171" s="4">
        <v>81</v>
      </c>
      <c r="AE5171" s="4">
        <v>135</v>
      </c>
      <c r="AF5171" s="4">
        <v>1</v>
      </c>
      <c r="AG5171" s="4">
        <v>8</v>
      </c>
      <c r="AH5171" s="4">
        <v>72</v>
      </c>
      <c r="AI5171" s="4">
        <v>97</v>
      </c>
      <c r="AJ5171" s="4">
        <v>16</v>
      </c>
      <c r="AK5171" s="4">
        <v>26</v>
      </c>
      <c r="AL5171" s="4">
        <v>43</v>
      </c>
      <c r="AM5171" s="4">
        <v>51</v>
      </c>
      <c r="AN5171" s="4">
        <v>0</v>
      </c>
      <c r="AO5171" s="4">
        <v>0</v>
      </c>
      <c r="AP5171" s="4">
        <v>18</v>
      </c>
      <c r="AQ5171" s="4">
        <v>48</v>
      </c>
      <c r="AR5171" s="3" t="s">
        <v>62</v>
      </c>
      <c r="AS5171" s="3" t="s">
        <v>62</v>
      </c>
      <c r="AT5171" s="3" t="s">
        <v>62</v>
      </c>
      <c r="AV5171" s="6" t="str">
        <f>HYPERLINK("http://mcgill.on.worldcat.org/oclc/441948083","Catalog Record")</f>
        <v>Catalog Record</v>
      </c>
      <c r="AW5171" s="6" t="str">
        <f>HYPERLINK("http://www.worldcat.org/oclc/441948083","WorldCat Record")</f>
        <v>WorldCat Record</v>
      </c>
      <c r="AX5171" s="3" t="s">
        <v>49524</v>
      </c>
      <c r="AY5171" s="3" t="s">
        <v>49525</v>
      </c>
      <c r="AZ5171" s="3" t="s">
        <v>49526</v>
      </c>
      <c r="BA5171" s="3" t="s">
        <v>49526</v>
      </c>
      <c r="BB5171" s="3" t="s">
        <v>49527</v>
      </c>
      <c r="BC5171" s="3" t="s">
        <v>142</v>
      </c>
      <c r="BD5171" s="3" t="s">
        <v>68</v>
      </c>
      <c r="BE5171" s="3" t="s">
        <v>49528</v>
      </c>
      <c r="BF5171" s="3" t="s">
        <v>49527</v>
      </c>
      <c r="BG5171" s="3" t="s">
        <v>49529</v>
      </c>
    </row>
    <row r="5172" spans="1:59" ht="57" x14ac:dyDescent="0.45">
      <c r="A5172" s="2" t="s">
        <v>59</v>
      </c>
      <c r="B5172" s="2" t="s">
        <v>60</v>
      </c>
      <c r="C5172" s="2" t="s">
        <v>49530</v>
      </c>
      <c r="D5172" s="2" t="s">
        <v>49531</v>
      </c>
      <c r="E5172" s="2" t="s">
        <v>49532</v>
      </c>
      <c r="G5172" s="3" t="s">
        <v>62</v>
      </c>
      <c r="I5172" s="3" t="s">
        <v>62</v>
      </c>
      <c r="J5172" s="3" t="s">
        <v>62</v>
      </c>
      <c r="K5172" s="3" t="s">
        <v>63</v>
      </c>
      <c r="M5172" s="2" t="s">
        <v>49533</v>
      </c>
      <c r="N5172" s="3" t="s">
        <v>542</v>
      </c>
      <c r="P5172" s="3" t="s">
        <v>65</v>
      </c>
      <c r="Q5172" s="2" t="s">
        <v>49489</v>
      </c>
      <c r="R5172" s="3" t="s">
        <v>66</v>
      </c>
      <c r="S5172" s="4">
        <v>4</v>
      </c>
      <c r="T5172" s="4">
        <v>4</v>
      </c>
      <c r="U5172" s="5" t="s">
        <v>18380</v>
      </c>
      <c r="V5172" s="5" t="s">
        <v>18380</v>
      </c>
      <c r="W5172" s="5" t="s">
        <v>67</v>
      </c>
      <c r="X5172" s="5" t="s">
        <v>67</v>
      </c>
      <c r="Y5172" s="4">
        <v>42</v>
      </c>
      <c r="Z5172" s="4">
        <v>2</v>
      </c>
      <c r="AA5172" s="4">
        <v>9</v>
      </c>
      <c r="AB5172" s="4">
        <v>2</v>
      </c>
      <c r="AC5172" s="4">
        <v>5</v>
      </c>
      <c r="AD5172" s="4">
        <v>12</v>
      </c>
      <c r="AE5172" s="4">
        <v>46</v>
      </c>
      <c r="AF5172" s="4">
        <v>0</v>
      </c>
      <c r="AG5172" s="4">
        <v>0</v>
      </c>
      <c r="AH5172" s="4">
        <v>11</v>
      </c>
      <c r="AI5172" s="4">
        <v>43</v>
      </c>
      <c r="AJ5172" s="4">
        <v>0</v>
      </c>
      <c r="AK5172" s="4">
        <v>3</v>
      </c>
      <c r="AL5172" s="4">
        <v>9</v>
      </c>
      <c r="AM5172" s="4">
        <v>33</v>
      </c>
      <c r="AN5172" s="4">
        <v>0</v>
      </c>
      <c r="AO5172" s="4">
        <v>0</v>
      </c>
      <c r="AP5172" s="4">
        <v>0</v>
      </c>
      <c r="AQ5172" s="4">
        <v>3</v>
      </c>
      <c r="AR5172" s="3" t="s">
        <v>62</v>
      </c>
      <c r="AS5172" s="3" t="s">
        <v>62</v>
      </c>
      <c r="AT5172" s="3" t="s">
        <v>62</v>
      </c>
      <c r="AV5172" s="6" t="str">
        <f>HYPERLINK("http://mcgill.on.worldcat.org/oclc/44952033","Catalog Record")</f>
        <v>Catalog Record</v>
      </c>
      <c r="AW5172" s="6" t="str">
        <f>HYPERLINK("http://www.worldcat.org/oclc/44952033","WorldCat Record")</f>
        <v>WorldCat Record</v>
      </c>
      <c r="AX5172" s="3" t="s">
        <v>49534</v>
      </c>
      <c r="AY5172" s="3" t="s">
        <v>49535</v>
      </c>
      <c r="AZ5172" s="3" t="s">
        <v>49536</v>
      </c>
      <c r="BA5172" s="3" t="s">
        <v>49536</v>
      </c>
      <c r="BB5172" s="3" t="s">
        <v>49537</v>
      </c>
      <c r="BC5172" s="3" t="s">
        <v>142</v>
      </c>
      <c r="BD5172" s="3" t="s">
        <v>308</v>
      </c>
      <c r="BE5172" s="3" t="s">
        <v>49538</v>
      </c>
      <c r="BF5172" s="3" t="s">
        <v>49537</v>
      </c>
      <c r="BG5172" s="3" t="s">
        <v>49539</v>
      </c>
    </row>
    <row r="5173" spans="1:59" ht="57" x14ac:dyDescent="0.45">
      <c r="A5173" s="2" t="s">
        <v>59</v>
      </c>
      <c r="B5173" s="2" t="s">
        <v>60</v>
      </c>
      <c r="C5173" s="2" t="s">
        <v>49540</v>
      </c>
      <c r="D5173" s="2" t="s">
        <v>49541</v>
      </c>
      <c r="E5173" s="2" t="s">
        <v>49542</v>
      </c>
      <c r="G5173" s="3" t="s">
        <v>62</v>
      </c>
      <c r="I5173" s="3" t="s">
        <v>62</v>
      </c>
      <c r="J5173" s="3" t="s">
        <v>62</v>
      </c>
      <c r="K5173" s="3" t="s">
        <v>63</v>
      </c>
      <c r="M5173" s="2" t="s">
        <v>49543</v>
      </c>
      <c r="N5173" s="3" t="s">
        <v>820</v>
      </c>
      <c r="P5173" s="3" t="s">
        <v>65</v>
      </c>
      <c r="Q5173" s="2" t="s">
        <v>49544</v>
      </c>
      <c r="R5173" s="3" t="s">
        <v>66</v>
      </c>
      <c r="S5173" s="4">
        <v>3</v>
      </c>
      <c r="T5173" s="4">
        <v>3</v>
      </c>
      <c r="U5173" s="5" t="s">
        <v>49545</v>
      </c>
      <c r="V5173" s="5" t="s">
        <v>49545</v>
      </c>
      <c r="W5173" s="5" t="s">
        <v>67</v>
      </c>
      <c r="X5173" s="5" t="s">
        <v>67</v>
      </c>
      <c r="Y5173" s="4">
        <v>92</v>
      </c>
      <c r="Z5173" s="4">
        <v>10</v>
      </c>
      <c r="AA5173" s="4">
        <v>86</v>
      </c>
      <c r="AB5173" s="4">
        <v>2</v>
      </c>
      <c r="AC5173" s="4">
        <v>18</v>
      </c>
      <c r="AD5173" s="4">
        <v>47</v>
      </c>
      <c r="AE5173" s="4">
        <v>104</v>
      </c>
      <c r="AF5173" s="4">
        <v>0</v>
      </c>
      <c r="AG5173" s="4">
        <v>8</v>
      </c>
      <c r="AH5173" s="4">
        <v>45</v>
      </c>
      <c r="AI5173" s="4">
        <v>72</v>
      </c>
      <c r="AJ5173" s="4">
        <v>7</v>
      </c>
      <c r="AK5173" s="4">
        <v>20</v>
      </c>
      <c r="AL5173" s="4">
        <v>30</v>
      </c>
      <c r="AM5173" s="4">
        <v>41</v>
      </c>
      <c r="AN5173" s="4">
        <v>0</v>
      </c>
      <c r="AO5173" s="4">
        <v>0</v>
      </c>
      <c r="AP5173" s="4">
        <v>7</v>
      </c>
      <c r="AQ5173" s="4">
        <v>41</v>
      </c>
      <c r="AR5173" s="3" t="s">
        <v>62</v>
      </c>
      <c r="AS5173" s="3" t="s">
        <v>62</v>
      </c>
      <c r="AT5173" s="3" t="s">
        <v>62</v>
      </c>
      <c r="AV5173" s="6" t="str">
        <f>HYPERLINK("http://mcgill.on.worldcat.org/oclc/244659840","Catalog Record")</f>
        <v>Catalog Record</v>
      </c>
      <c r="AW5173" s="6" t="str">
        <f>HYPERLINK("http://www.worldcat.org/oclc/244659840","WorldCat Record")</f>
        <v>WorldCat Record</v>
      </c>
      <c r="AX5173" s="3" t="s">
        <v>49546</v>
      </c>
      <c r="AY5173" s="3" t="s">
        <v>49547</v>
      </c>
      <c r="AZ5173" s="3" t="s">
        <v>49548</v>
      </c>
      <c r="BA5173" s="3" t="s">
        <v>49548</v>
      </c>
      <c r="BB5173" s="3" t="s">
        <v>49549</v>
      </c>
      <c r="BC5173" s="3" t="s">
        <v>142</v>
      </c>
      <c r="BD5173" s="3" t="s">
        <v>68</v>
      </c>
      <c r="BE5173" s="3" t="s">
        <v>49550</v>
      </c>
      <c r="BF5173" s="3" t="s">
        <v>49549</v>
      </c>
      <c r="BG5173" s="3" t="s">
        <v>49551</v>
      </c>
    </row>
    <row r="5174" spans="1:59" ht="57" x14ac:dyDescent="0.45">
      <c r="A5174" s="2" t="s">
        <v>59</v>
      </c>
      <c r="B5174" s="2" t="s">
        <v>60</v>
      </c>
      <c r="C5174" s="2" t="s">
        <v>49552</v>
      </c>
      <c r="D5174" s="2" t="s">
        <v>49553</v>
      </c>
      <c r="E5174" s="2" t="s">
        <v>49554</v>
      </c>
      <c r="G5174" s="3" t="s">
        <v>62</v>
      </c>
      <c r="I5174" s="3" t="s">
        <v>62</v>
      </c>
      <c r="J5174" s="3" t="s">
        <v>62</v>
      </c>
      <c r="K5174" s="3" t="s">
        <v>63</v>
      </c>
      <c r="L5174" s="2" t="s">
        <v>49555</v>
      </c>
      <c r="M5174" s="2" t="s">
        <v>11672</v>
      </c>
      <c r="N5174" s="3" t="s">
        <v>149</v>
      </c>
      <c r="P5174" s="3" t="s">
        <v>65</v>
      </c>
      <c r="Q5174" s="2" t="s">
        <v>49556</v>
      </c>
      <c r="R5174" s="3" t="s">
        <v>66</v>
      </c>
      <c r="S5174" s="4">
        <v>0</v>
      </c>
      <c r="T5174" s="4">
        <v>0</v>
      </c>
      <c r="W5174" s="5" t="s">
        <v>67</v>
      </c>
      <c r="X5174" s="5" t="s">
        <v>67</v>
      </c>
      <c r="Y5174" s="4">
        <v>80</v>
      </c>
      <c r="Z5174" s="4">
        <v>13</v>
      </c>
      <c r="AA5174" s="4">
        <v>98</v>
      </c>
      <c r="AB5174" s="4">
        <v>1</v>
      </c>
      <c r="AC5174" s="4">
        <v>17</v>
      </c>
      <c r="AD5174" s="4">
        <v>41</v>
      </c>
      <c r="AE5174" s="4">
        <v>111</v>
      </c>
      <c r="AF5174" s="4">
        <v>0</v>
      </c>
      <c r="AG5174" s="4">
        <v>8</v>
      </c>
      <c r="AH5174" s="4">
        <v>36</v>
      </c>
      <c r="AI5174" s="4">
        <v>75</v>
      </c>
      <c r="AJ5174" s="4">
        <v>9</v>
      </c>
      <c r="AK5174" s="4">
        <v>24</v>
      </c>
      <c r="AL5174" s="4">
        <v>24</v>
      </c>
      <c r="AM5174" s="4">
        <v>39</v>
      </c>
      <c r="AN5174" s="4">
        <v>0</v>
      </c>
      <c r="AO5174" s="4">
        <v>0</v>
      </c>
      <c r="AP5174" s="4">
        <v>10</v>
      </c>
      <c r="AQ5174" s="4">
        <v>45</v>
      </c>
      <c r="AR5174" s="3" t="s">
        <v>62</v>
      </c>
      <c r="AS5174" s="3" t="s">
        <v>62</v>
      </c>
      <c r="AT5174" s="3" t="s">
        <v>62</v>
      </c>
      <c r="AV5174" s="6" t="str">
        <f>HYPERLINK("http://mcgill.on.worldcat.org/oclc/496610101","Catalog Record")</f>
        <v>Catalog Record</v>
      </c>
      <c r="AW5174" s="6" t="str">
        <f>HYPERLINK("http://www.worldcat.org/oclc/496610101","WorldCat Record")</f>
        <v>WorldCat Record</v>
      </c>
      <c r="AX5174" s="3" t="s">
        <v>49557</v>
      </c>
      <c r="AY5174" s="3" t="s">
        <v>49558</v>
      </c>
      <c r="AZ5174" s="3" t="s">
        <v>49559</v>
      </c>
      <c r="BA5174" s="3" t="s">
        <v>49559</v>
      </c>
      <c r="BB5174" s="3" t="s">
        <v>49560</v>
      </c>
      <c r="BC5174" s="3" t="s">
        <v>142</v>
      </c>
      <c r="BD5174" s="3" t="s">
        <v>68</v>
      </c>
      <c r="BE5174" s="3" t="s">
        <v>49561</v>
      </c>
      <c r="BF5174" s="3" t="s">
        <v>49560</v>
      </c>
      <c r="BG5174" s="3" t="s">
        <v>49562</v>
      </c>
    </row>
    <row r="5175" spans="1:59" ht="57" x14ac:dyDescent="0.45">
      <c r="A5175" s="2" t="s">
        <v>59</v>
      </c>
      <c r="B5175" s="2" t="s">
        <v>60</v>
      </c>
      <c r="C5175" s="2" t="s">
        <v>49563</v>
      </c>
      <c r="D5175" s="2" t="s">
        <v>49564</v>
      </c>
      <c r="E5175" s="2" t="s">
        <v>49565</v>
      </c>
      <c r="G5175" s="3" t="s">
        <v>62</v>
      </c>
      <c r="I5175" s="3" t="s">
        <v>62</v>
      </c>
      <c r="J5175" s="3" t="s">
        <v>62</v>
      </c>
      <c r="K5175" s="3" t="s">
        <v>63</v>
      </c>
      <c r="M5175" s="2" t="s">
        <v>48453</v>
      </c>
      <c r="N5175" s="3" t="s">
        <v>149</v>
      </c>
      <c r="P5175" s="3" t="s">
        <v>65</v>
      </c>
      <c r="Q5175" s="2" t="s">
        <v>49566</v>
      </c>
      <c r="R5175" s="3" t="s">
        <v>66</v>
      </c>
      <c r="S5175" s="4">
        <v>0</v>
      </c>
      <c r="T5175" s="4">
        <v>0</v>
      </c>
      <c r="W5175" s="5" t="s">
        <v>67</v>
      </c>
      <c r="X5175" s="5" t="s">
        <v>67</v>
      </c>
      <c r="Y5175" s="4">
        <v>55</v>
      </c>
      <c r="Z5175" s="4">
        <v>8</v>
      </c>
      <c r="AA5175" s="4">
        <v>88</v>
      </c>
      <c r="AB5175" s="4">
        <v>1</v>
      </c>
      <c r="AC5175" s="4">
        <v>17</v>
      </c>
      <c r="AD5175" s="4">
        <v>24</v>
      </c>
      <c r="AE5175" s="4">
        <v>104</v>
      </c>
      <c r="AF5175" s="4">
        <v>0</v>
      </c>
      <c r="AG5175" s="4">
        <v>8</v>
      </c>
      <c r="AH5175" s="4">
        <v>23</v>
      </c>
      <c r="AI5175" s="4">
        <v>69</v>
      </c>
      <c r="AJ5175" s="4">
        <v>6</v>
      </c>
      <c r="AK5175" s="4">
        <v>21</v>
      </c>
      <c r="AL5175" s="4">
        <v>15</v>
      </c>
      <c r="AM5175" s="4">
        <v>35</v>
      </c>
      <c r="AN5175" s="4">
        <v>0</v>
      </c>
      <c r="AO5175" s="4">
        <v>0</v>
      </c>
      <c r="AP5175" s="4">
        <v>6</v>
      </c>
      <c r="AQ5175" s="4">
        <v>42</v>
      </c>
      <c r="AR5175" s="3" t="s">
        <v>62</v>
      </c>
      <c r="AS5175" s="3" t="s">
        <v>62</v>
      </c>
      <c r="AT5175" s="3" t="s">
        <v>62</v>
      </c>
      <c r="AV5175" s="6" t="str">
        <f>HYPERLINK("http://mcgill.on.worldcat.org/oclc/551961492","Catalog Record")</f>
        <v>Catalog Record</v>
      </c>
      <c r="AW5175" s="6" t="str">
        <f>HYPERLINK("http://www.worldcat.org/oclc/551961492","WorldCat Record")</f>
        <v>WorldCat Record</v>
      </c>
      <c r="AX5175" s="3" t="s">
        <v>49567</v>
      </c>
      <c r="AY5175" s="3" t="s">
        <v>49568</v>
      </c>
      <c r="AZ5175" s="3" t="s">
        <v>49569</v>
      </c>
      <c r="BA5175" s="3" t="s">
        <v>49569</v>
      </c>
      <c r="BB5175" s="3" t="s">
        <v>49570</v>
      </c>
      <c r="BC5175" s="3" t="s">
        <v>142</v>
      </c>
      <c r="BD5175" s="3" t="s">
        <v>68</v>
      </c>
      <c r="BE5175" s="3" t="s">
        <v>49571</v>
      </c>
      <c r="BF5175" s="3" t="s">
        <v>49570</v>
      </c>
      <c r="BG5175" s="3" t="s">
        <v>49572</v>
      </c>
    </row>
    <row r="5176" spans="1:59" ht="57" x14ac:dyDescent="0.45">
      <c r="A5176" s="2" t="s">
        <v>59</v>
      </c>
      <c r="B5176" s="2" t="s">
        <v>60</v>
      </c>
      <c r="C5176" s="2" t="s">
        <v>49573</v>
      </c>
      <c r="D5176" s="2" t="s">
        <v>49574</v>
      </c>
      <c r="E5176" s="2" t="s">
        <v>49575</v>
      </c>
      <c r="G5176" s="3" t="s">
        <v>62</v>
      </c>
      <c r="I5176" s="3" t="s">
        <v>62</v>
      </c>
      <c r="J5176" s="3" t="s">
        <v>62</v>
      </c>
      <c r="K5176" s="3" t="s">
        <v>63</v>
      </c>
      <c r="L5176" s="2" t="s">
        <v>49576</v>
      </c>
      <c r="M5176" s="2" t="s">
        <v>35091</v>
      </c>
      <c r="N5176" s="3" t="s">
        <v>820</v>
      </c>
      <c r="P5176" s="3" t="s">
        <v>65</v>
      </c>
      <c r="R5176" s="3" t="s">
        <v>66</v>
      </c>
      <c r="S5176" s="4">
        <v>2</v>
      </c>
      <c r="T5176" s="4">
        <v>2</v>
      </c>
      <c r="U5176" s="5" t="s">
        <v>7678</v>
      </c>
      <c r="V5176" s="5" t="s">
        <v>7678</v>
      </c>
      <c r="W5176" s="5" t="s">
        <v>67</v>
      </c>
      <c r="X5176" s="5" t="s">
        <v>67</v>
      </c>
      <c r="Y5176" s="4">
        <v>115</v>
      </c>
      <c r="Z5176" s="4">
        <v>10</v>
      </c>
      <c r="AA5176" s="4">
        <v>80</v>
      </c>
      <c r="AB5176" s="4">
        <v>2</v>
      </c>
      <c r="AC5176" s="4">
        <v>15</v>
      </c>
      <c r="AD5176" s="4">
        <v>51</v>
      </c>
      <c r="AE5176" s="4">
        <v>109</v>
      </c>
      <c r="AF5176" s="4">
        <v>0</v>
      </c>
      <c r="AG5176" s="4">
        <v>8</v>
      </c>
      <c r="AH5176" s="4">
        <v>49</v>
      </c>
      <c r="AI5176" s="4">
        <v>75</v>
      </c>
      <c r="AJ5176" s="4">
        <v>8</v>
      </c>
      <c r="AK5176" s="4">
        <v>21</v>
      </c>
      <c r="AL5176" s="4">
        <v>31</v>
      </c>
      <c r="AM5176" s="4">
        <v>42</v>
      </c>
      <c r="AN5176" s="4">
        <v>0</v>
      </c>
      <c r="AO5176" s="4">
        <v>0</v>
      </c>
      <c r="AP5176" s="4">
        <v>8</v>
      </c>
      <c r="AQ5176" s="4">
        <v>42</v>
      </c>
      <c r="AR5176" s="3" t="s">
        <v>62</v>
      </c>
      <c r="AS5176" s="3" t="s">
        <v>62</v>
      </c>
      <c r="AT5176" s="3" t="s">
        <v>61</v>
      </c>
      <c r="AU5176" s="6" t="str">
        <f>HYPERLINK("http://catalog.hathitrust.org/Record/005990312","HathiTrust Record")</f>
        <v>HathiTrust Record</v>
      </c>
      <c r="AV5176" s="6" t="str">
        <f>HYPERLINK("http://mcgill.on.worldcat.org/oclc/181335777","Catalog Record")</f>
        <v>Catalog Record</v>
      </c>
      <c r="AW5176" s="6" t="str">
        <f>HYPERLINK("http://www.worldcat.org/oclc/181335777","WorldCat Record")</f>
        <v>WorldCat Record</v>
      </c>
      <c r="AX5176" s="3" t="s">
        <v>49577</v>
      </c>
      <c r="AY5176" s="3" t="s">
        <v>49578</v>
      </c>
      <c r="AZ5176" s="3" t="s">
        <v>49579</v>
      </c>
      <c r="BA5176" s="3" t="s">
        <v>49579</v>
      </c>
      <c r="BB5176" s="3" t="s">
        <v>49580</v>
      </c>
      <c r="BC5176" s="3" t="s">
        <v>142</v>
      </c>
      <c r="BD5176" s="3" t="s">
        <v>68</v>
      </c>
      <c r="BE5176" s="3" t="s">
        <v>49581</v>
      </c>
      <c r="BF5176" s="3" t="s">
        <v>49580</v>
      </c>
      <c r="BG5176" s="3" t="s">
        <v>49582</v>
      </c>
    </row>
    <row r="5177" spans="1:59" ht="57" x14ac:dyDescent="0.45">
      <c r="A5177" s="2" t="s">
        <v>59</v>
      </c>
      <c r="B5177" s="2" t="s">
        <v>60</v>
      </c>
      <c r="C5177" s="2" t="s">
        <v>49583</v>
      </c>
      <c r="D5177" s="2" t="s">
        <v>49584</v>
      </c>
      <c r="E5177" s="2" t="s">
        <v>49585</v>
      </c>
      <c r="G5177" s="3" t="s">
        <v>62</v>
      </c>
      <c r="I5177" s="3" t="s">
        <v>62</v>
      </c>
      <c r="J5177" s="3" t="s">
        <v>62</v>
      </c>
      <c r="K5177" s="3" t="s">
        <v>63</v>
      </c>
      <c r="M5177" s="2" t="s">
        <v>11886</v>
      </c>
      <c r="N5177" s="3" t="s">
        <v>894</v>
      </c>
      <c r="P5177" s="3" t="s">
        <v>65</v>
      </c>
      <c r="Q5177" s="2" t="s">
        <v>49586</v>
      </c>
      <c r="R5177" s="3" t="s">
        <v>66</v>
      </c>
      <c r="S5177" s="4">
        <v>1</v>
      </c>
      <c r="T5177" s="4">
        <v>1</v>
      </c>
      <c r="U5177" s="5" t="s">
        <v>30943</v>
      </c>
      <c r="V5177" s="5" t="s">
        <v>30943</v>
      </c>
      <c r="W5177" s="5" t="s">
        <v>67</v>
      </c>
      <c r="X5177" s="5" t="s">
        <v>67</v>
      </c>
      <c r="Y5177" s="4">
        <v>70</v>
      </c>
      <c r="Z5177" s="4">
        <v>12</v>
      </c>
      <c r="AA5177" s="4">
        <v>88</v>
      </c>
      <c r="AB5177" s="4">
        <v>1</v>
      </c>
      <c r="AC5177" s="4">
        <v>17</v>
      </c>
      <c r="AD5177" s="4">
        <v>32</v>
      </c>
      <c r="AE5177" s="4">
        <v>98</v>
      </c>
      <c r="AF5177" s="4">
        <v>0</v>
      </c>
      <c r="AG5177" s="4">
        <v>8</v>
      </c>
      <c r="AH5177" s="4">
        <v>27</v>
      </c>
      <c r="AI5177" s="4">
        <v>63</v>
      </c>
      <c r="AJ5177" s="4">
        <v>9</v>
      </c>
      <c r="AK5177" s="4">
        <v>22</v>
      </c>
      <c r="AL5177" s="4">
        <v>17</v>
      </c>
      <c r="AM5177" s="4">
        <v>37</v>
      </c>
      <c r="AN5177" s="4">
        <v>0</v>
      </c>
      <c r="AO5177" s="4">
        <v>0</v>
      </c>
      <c r="AP5177" s="4">
        <v>10</v>
      </c>
      <c r="AQ5177" s="4">
        <v>43</v>
      </c>
      <c r="AR5177" s="3" t="s">
        <v>62</v>
      </c>
      <c r="AS5177" s="3" t="s">
        <v>62</v>
      </c>
      <c r="AT5177" s="3" t="s">
        <v>62</v>
      </c>
      <c r="AV5177" s="6" t="str">
        <f>HYPERLINK("http://mcgill.on.worldcat.org/oclc/666573588","Catalog Record")</f>
        <v>Catalog Record</v>
      </c>
      <c r="AW5177" s="6" t="str">
        <f>HYPERLINK("http://www.worldcat.org/oclc/666573588","WorldCat Record")</f>
        <v>WorldCat Record</v>
      </c>
      <c r="AX5177" s="3" t="s">
        <v>49587</v>
      </c>
      <c r="AY5177" s="3" t="s">
        <v>49588</v>
      </c>
      <c r="AZ5177" s="3" t="s">
        <v>49589</v>
      </c>
      <c r="BA5177" s="3" t="s">
        <v>49589</v>
      </c>
      <c r="BB5177" s="3" t="s">
        <v>49590</v>
      </c>
      <c r="BC5177" s="3" t="s">
        <v>142</v>
      </c>
      <c r="BD5177" s="3" t="s">
        <v>68</v>
      </c>
      <c r="BE5177" s="3" t="s">
        <v>49591</v>
      </c>
      <c r="BF5177" s="3" t="s">
        <v>49590</v>
      </c>
      <c r="BG5177" s="3" t="s">
        <v>49592</v>
      </c>
    </row>
    <row r="5178" spans="1:59" ht="57" x14ac:dyDescent="0.45">
      <c r="A5178" s="2" t="s">
        <v>59</v>
      </c>
      <c r="B5178" s="2" t="s">
        <v>60</v>
      </c>
      <c r="C5178" s="2" t="s">
        <v>49593</v>
      </c>
      <c r="D5178" s="2" t="s">
        <v>49594</v>
      </c>
      <c r="E5178" s="2" t="s">
        <v>49595</v>
      </c>
      <c r="G5178" s="3" t="s">
        <v>62</v>
      </c>
      <c r="I5178" s="3" t="s">
        <v>62</v>
      </c>
      <c r="J5178" s="3" t="s">
        <v>62</v>
      </c>
      <c r="K5178" s="3" t="s">
        <v>63</v>
      </c>
      <c r="M5178" s="2" t="s">
        <v>49596</v>
      </c>
      <c r="N5178" s="3" t="s">
        <v>167</v>
      </c>
      <c r="P5178" s="3" t="s">
        <v>65</v>
      </c>
      <c r="Q5178" s="2" t="s">
        <v>49597</v>
      </c>
      <c r="R5178" s="3" t="s">
        <v>66</v>
      </c>
      <c r="S5178" s="4">
        <v>25</v>
      </c>
      <c r="T5178" s="4">
        <v>25</v>
      </c>
      <c r="U5178" s="5" t="s">
        <v>49598</v>
      </c>
      <c r="V5178" s="5" t="s">
        <v>49598</v>
      </c>
      <c r="W5178" s="5" t="s">
        <v>67</v>
      </c>
      <c r="X5178" s="5" t="s">
        <v>67</v>
      </c>
      <c r="Y5178" s="4">
        <v>133</v>
      </c>
      <c r="Z5178" s="4">
        <v>9</v>
      </c>
      <c r="AA5178" s="4">
        <v>74</v>
      </c>
      <c r="AB5178" s="4">
        <v>1</v>
      </c>
      <c r="AC5178" s="4">
        <v>14</v>
      </c>
      <c r="AD5178" s="4">
        <v>58</v>
      </c>
      <c r="AE5178" s="4">
        <v>116</v>
      </c>
      <c r="AF5178" s="4">
        <v>0</v>
      </c>
      <c r="AG5178" s="4">
        <v>8</v>
      </c>
      <c r="AH5178" s="4">
        <v>52</v>
      </c>
      <c r="AI5178" s="4">
        <v>82</v>
      </c>
      <c r="AJ5178" s="4">
        <v>7</v>
      </c>
      <c r="AK5178" s="4">
        <v>21</v>
      </c>
      <c r="AL5178" s="4">
        <v>38</v>
      </c>
      <c r="AM5178" s="4">
        <v>47</v>
      </c>
      <c r="AN5178" s="4">
        <v>0</v>
      </c>
      <c r="AO5178" s="4">
        <v>0</v>
      </c>
      <c r="AP5178" s="4">
        <v>7</v>
      </c>
      <c r="AQ5178" s="4">
        <v>40</v>
      </c>
      <c r="AR5178" s="3" t="s">
        <v>62</v>
      </c>
      <c r="AS5178" s="3" t="s">
        <v>62</v>
      </c>
      <c r="AT5178" s="3" t="s">
        <v>61</v>
      </c>
      <c r="AU5178" s="6" t="str">
        <f>HYPERLINK("http://catalog.hathitrust.org/Record/004088679","HathiTrust Record")</f>
        <v>HathiTrust Record</v>
      </c>
      <c r="AV5178" s="6" t="str">
        <f>HYPERLINK("http://mcgill.on.worldcat.org/oclc/41108540","Catalog Record")</f>
        <v>Catalog Record</v>
      </c>
      <c r="AW5178" s="6" t="str">
        <f>HYPERLINK("http://www.worldcat.org/oclc/41108540","WorldCat Record")</f>
        <v>WorldCat Record</v>
      </c>
      <c r="AX5178" s="3" t="s">
        <v>49599</v>
      </c>
      <c r="AY5178" s="3" t="s">
        <v>49600</v>
      </c>
      <c r="AZ5178" s="3" t="s">
        <v>49601</v>
      </c>
      <c r="BA5178" s="3" t="s">
        <v>49601</v>
      </c>
      <c r="BB5178" s="3" t="s">
        <v>49602</v>
      </c>
      <c r="BC5178" s="3" t="s">
        <v>142</v>
      </c>
      <c r="BD5178" s="3" t="s">
        <v>68</v>
      </c>
      <c r="BE5178" s="3" t="s">
        <v>49603</v>
      </c>
      <c r="BF5178" s="3" t="s">
        <v>49602</v>
      </c>
      <c r="BG5178" s="3" t="s">
        <v>49604</v>
      </c>
    </row>
    <row r="5179" spans="1:59" ht="57" x14ac:dyDescent="0.45">
      <c r="A5179" s="2" t="s">
        <v>59</v>
      </c>
      <c r="B5179" s="2" t="s">
        <v>60</v>
      </c>
      <c r="C5179" s="2" t="s">
        <v>49605</v>
      </c>
      <c r="D5179" s="2" t="s">
        <v>49606</v>
      </c>
      <c r="E5179" s="2" t="s">
        <v>49607</v>
      </c>
      <c r="G5179" s="3" t="s">
        <v>62</v>
      </c>
      <c r="I5179" s="3" t="s">
        <v>62</v>
      </c>
      <c r="J5179" s="3" t="s">
        <v>62</v>
      </c>
      <c r="K5179" s="3" t="s">
        <v>63</v>
      </c>
      <c r="M5179" s="2" t="s">
        <v>49608</v>
      </c>
      <c r="N5179" s="3" t="s">
        <v>583</v>
      </c>
      <c r="P5179" s="3" t="s">
        <v>65</v>
      </c>
      <c r="Q5179" s="2" t="s">
        <v>49609</v>
      </c>
      <c r="R5179" s="3" t="s">
        <v>66</v>
      </c>
      <c r="S5179" s="4">
        <v>23</v>
      </c>
      <c r="T5179" s="4">
        <v>23</v>
      </c>
      <c r="U5179" s="5" t="s">
        <v>12812</v>
      </c>
      <c r="V5179" s="5" t="s">
        <v>12812</v>
      </c>
      <c r="W5179" s="5" t="s">
        <v>67</v>
      </c>
      <c r="X5179" s="5" t="s">
        <v>67</v>
      </c>
      <c r="Y5179" s="4">
        <v>229</v>
      </c>
      <c r="Z5179" s="4">
        <v>17</v>
      </c>
      <c r="AA5179" s="4">
        <v>19</v>
      </c>
      <c r="AB5179" s="4">
        <v>2</v>
      </c>
      <c r="AC5179" s="4">
        <v>4</v>
      </c>
      <c r="AD5179" s="4">
        <v>89</v>
      </c>
      <c r="AE5179" s="4">
        <v>91</v>
      </c>
      <c r="AF5179" s="4">
        <v>0</v>
      </c>
      <c r="AG5179" s="4">
        <v>2</v>
      </c>
      <c r="AH5179" s="4">
        <v>84</v>
      </c>
      <c r="AI5179" s="4">
        <v>85</v>
      </c>
      <c r="AJ5179" s="4">
        <v>13</v>
      </c>
      <c r="AK5179" s="4">
        <v>15</v>
      </c>
      <c r="AL5179" s="4">
        <v>50</v>
      </c>
      <c r="AM5179" s="4">
        <v>50</v>
      </c>
      <c r="AN5179" s="4">
        <v>0</v>
      </c>
      <c r="AO5179" s="4">
        <v>0</v>
      </c>
      <c r="AP5179" s="4">
        <v>14</v>
      </c>
      <c r="AQ5179" s="4">
        <v>16</v>
      </c>
      <c r="AR5179" s="3" t="s">
        <v>62</v>
      </c>
      <c r="AS5179" s="3" t="s">
        <v>62</v>
      </c>
      <c r="AT5179" s="3" t="s">
        <v>61</v>
      </c>
      <c r="AU5179" s="6" t="str">
        <f>HYPERLINK("http://catalog.hathitrust.org/Record/000257192","HathiTrust Record")</f>
        <v>HathiTrust Record</v>
      </c>
      <c r="AV5179" s="6" t="str">
        <f>HYPERLINK("http://mcgill.on.worldcat.org/oclc/4504529","Catalog Record")</f>
        <v>Catalog Record</v>
      </c>
      <c r="AW5179" s="6" t="str">
        <f>HYPERLINK("http://www.worldcat.org/oclc/4504529","WorldCat Record")</f>
        <v>WorldCat Record</v>
      </c>
      <c r="AX5179" s="3" t="s">
        <v>49610</v>
      </c>
      <c r="AY5179" s="3" t="s">
        <v>49611</v>
      </c>
      <c r="AZ5179" s="3" t="s">
        <v>49612</v>
      </c>
      <c r="BA5179" s="3" t="s">
        <v>49612</v>
      </c>
      <c r="BB5179" s="3" t="s">
        <v>49613</v>
      </c>
      <c r="BC5179" s="3" t="s">
        <v>142</v>
      </c>
      <c r="BD5179" s="3" t="s">
        <v>68</v>
      </c>
      <c r="BE5179" s="3" t="s">
        <v>49614</v>
      </c>
      <c r="BF5179" s="3" t="s">
        <v>49613</v>
      </c>
      <c r="BG5179" s="3" t="s">
        <v>49615</v>
      </c>
    </row>
    <row r="5180" spans="1:59" ht="57" x14ac:dyDescent="0.45">
      <c r="A5180" s="2" t="s">
        <v>59</v>
      </c>
      <c r="B5180" s="2" t="s">
        <v>60</v>
      </c>
      <c r="C5180" s="2" t="s">
        <v>49616</v>
      </c>
      <c r="D5180" s="2" t="s">
        <v>49617</v>
      </c>
      <c r="E5180" s="2" t="s">
        <v>49618</v>
      </c>
      <c r="G5180" s="3" t="s">
        <v>62</v>
      </c>
      <c r="I5180" s="3" t="s">
        <v>62</v>
      </c>
      <c r="J5180" s="3" t="s">
        <v>62</v>
      </c>
      <c r="K5180" s="3" t="s">
        <v>63</v>
      </c>
      <c r="L5180" s="2" t="s">
        <v>49619</v>
      </c>
      <c r="M5180" s="2" t="s">
        <v>5779</v>
      </c>
      <c r="N5180" s="3" t="s">
        <v>181</v>
      </c>
      <c r="P5180" s="3" t="s">
        <v>65</v>
      </c>
      <c r="Q5180" s="2" t="s">
        <v>49620</v>
      </c>
      <c r="R5180" s="3" t="s">
        <v>66</v>
      </c>
      <c r="S5180" s="4">
        <v>1</v>
      </c>
      <c r="T5180" s="4">
        <v>1</v>
      </c>
      <c r="U5180" s="5" t="s">
        <v>5139</v>
      </c>
      <c r="V5180" s="5" t="s">
        <v>5139</v>
      </c>
      <c r="W5180" s="5" t="s">
        <v>67</v>
      </c>
      <c r="X5180" s="5" t="s">
        <v>67</v>
      </c>
      <c r="Y5180" s="4">
        <v>37</v>
      </c>
      <c r="Z5180" s="4">
        <v>3</v>
      </c>
      <c r="AA5180" s="4">
        <v>20</v>
      </c>
      <c r="AB5180" s="4">
        <v>1</v>
      </c>
      <c r="AC5180" s="4">
        <v>4</v>
      </c>
      <c r="AD5180" s="4">
        <v>22</v>
      </c>
      <c r="AE5180" s="4">
        <v>57</v>
      </c>
      <c r="AF5180" s="4">
        <v>0</v>
      </c>
      <c r="AG5180" s="4">
        <v>1</v>
      </c>
      <c r="AH5180" s="4">
        <v>20</v>
      </c>
      <c r="AI5180" s="4">
        <v>46</v>
      </c>
      <c r="AJ5180" s="4">
        <v>2</v>
      </c>
      <c r="AK5180" s="4">
        <v>8</v>
      </c>
      <c r="AL5180" s="4">
        <v>15</v>
      </c>
      <c r="AM5180" s="4">
        <v>29</v>
      </c>
      <c r="AN5180" s="4">
        <v>0</v>
      </c>
      <c r="AO5180" s="4">
        <v>0</v>
      </c>
      <c r="AP5180" s="4">
        <v>2</v>
      </c>
      <c r="AQ5180" s="4">
        <v>13</v>
      </c>
      <c r="AR5180" s="3" t="s">
        <v>62</v>
      </c>
      <c r="AS5180" s="3" t="s">
        <v>62</v>
      </c>
      <c r="AT5180" s="3" t="s">
        <v>62</v>
      </c>
      <c r="AV5180" s="6" t="str">
        <f>HYPERLINK("http://mcgill.on.worldcat.org/oclc/931648622","Catalog Record")</f>
        <v>Catalog Record</v>
      </c>
      <c r="AW5180" s="6" t="str">
        <f>HYPERLINK("http://www.worldcat.org/oclc/931648622","WorldCat Record")</f>
        <v>WorldCat Record</v>
      </c>
      <c r="AX5180" s="3" t="s">
        <v>49621</v>
      </c>
      <c r="AY5180" s="3" t="s">
        <v>49622</v>
      </c>
      <c r="AZ5180" s="3" t="s">
        <v>49623</v>
      </c>
      <c r="BA5180" s="3" t="s">
        <v>49623</v>
      </c>
      <c r="BB5180" s="3" t="s">
        <v>49624</v>
      </c>
      <c r="BC5180" s="3" t="s">
        <v>142</v>
      </c>
      <c r="BD5180" s="3" t="s">
        <v>68</v>
      </c>
      <c r="BE5180" s="3" t="s">
        <v>49625</v>
      </c>
      <c r="BF5180" s="3" t="s">
        <v>49624</v>
      </c>
      <c r="BG5180" s="3" t="s">
        <v>49626</v>
      </c>
    </row>
    <row r="5181" spans="1:59" ht="57" x14ac:dyDescent="0.45">
      <c r="A5181" s="2" t="s">
        <v>59</v>
      </c>
      <c r="B5181" s="2" t="s">
        <v>60</v>
      </c>
      <c r="C5181" s="2" t="s">
        <v>49627</v>
      </c>
      <c r="D5181" s="2" t="s">
        <v>49628</v>
      </c>
      <c r="E5181" s="2" t="s">
        <v>49629</v>
      </c>
      <c r="G5181" s="3" t="s">
        <v>62</v>
      </c>
      <c r="I5181" s="3" t="s">
        <v>62</v>
      </c>
      <c r="J5181" s="3" t="s">
        <v>62</v>
      </c>
      <c r="K5181" s="3" t="s">
        <v>63</v>
      </c>
      <c r="M5181" s="2" t="s">
        <v>49630</v>
      </c>
      <c r="N5181" s="3" t="s">
        <v>820</v>
      </c>
      <c r="P5181" s="3" t="s">
        <v>65</v>
      </c>
      <c r="R5181" s="3" t="s">
        <v>66</v>
      </c>
      <c r="S5181" s="4">
        <v>3</v>
      </c>
      <c r="T5181" s="4">
        <v>3</v>
      </c>
      <c r="U5181" s="5" t="s">
        <v>19976</v>
      </c>
      <c r="V5181" s="5" t="s">
        <v>19976</v>
      </c>
      <c r="W5181" s="5" t="s">
        <v>67</v>
      </c>
      <c r="X5181" s="5" t="s">
        <v>67</v>
      </c>
      <c r="Y5181" s="4">
        <v>103</v>
      </c>
      <c r="Z5181" s="4">
        <v>11</v>
      </c>
      <c r="AA5181" s="4">
        <v>15</v>
      </c>
      <c r="AB5181" s="4">
        <v>1</v>
      </c>
      <c r="AC5181" s="4">
        <v>4</v>
      </c>
      <c r="AD5181" s="4">
        <v>47</v>
      </c>
      <c r="AE5181" s="4">
        <v>51</v>
      </c>
      <c r="AF5181" s="4">
        <v>0</v>
      </c>
      <c r="AG5181" s="4">
        <v>0</v>
      </c>
      <c r="AH5181" s="4">
        <v>45</v>
      </c>
      <c r="AI5181" s="4">
        <v>48</v>
      </c>
      <c r="AJ5181" s="4">
        <v>9</v>
      </c>
      <c r="AK5181" s="4">
        <v>9</v>
      </c>
      <c r="AL5181" s="4">
        <v>28</v>
      </c>
      <c r="AM5181" s="4">
        <v>29</v>
      </c>
      <c r="AN5181" s="4">
        <v>0</v>
      </c>
      <c r="AO5181" s="4">
        <v>0</v>
      </c>
      <c r="AP5181" s="4">
        <v>9</v>
      </c>
      <c r="AQ5181" s="4">
        <v>10</v>
      </c>
      <c r="AR5181" s="3" t="s">
        <v>62</v>
      </c>
      <c r="AS5181" s="3" t="s">
        <v>62</v>
      </c>
      <c r="AT5181" s="3" t="s">
        <v>61</v>
      </c>
      <c r="AU5181" s="6" t="str">
        <f>HYPERLINK("http://catalog.hathitrust.org/Record/006780074","HathiTrust Record")</f>
        <v>HathiTrust Record</v>
      </c>
      <c r="AV5181" s="6" t="str">
        <f>HYPERLINK("http://mcgill.on.worldcat.org/oclc/156811717","Catalog Record")</f>
        <v>Catalog Record</v>
      </c>
      <c r="AW5181" s="6" t="str">
        <f>HYPERLINK("http://www.worldcat.org/oclc/156811717","WorldCat Record")</f>
        <v>WorldCat Record</v>
      </c>
      <c r="AX5181" s="3" t="s">
        <v>49631</v>
      </c>
      <c r="AY5181" s="3" t="s">
        <v>49632</v>
      </c>
      <c r="AZ5181" s="3" t="s">
        <v>49633</v>
      </c>
      <c r="BA5181" s="3" t="s">
        <v>49633</v>
      </c>
      <c r="BB5181" s="3" t="s">
        <v>49634</v>
      </c>
      <c r="BC5181" s="3" t="s">
        <v>142</v>
      </c>
      <c r="BD5181" s="3" t="s">
        <v>68</v>
      </c>
      <c r="BE5181" s="3" t="s">
        <v>49635</v>
      </c>
      <c r="BF5181" s="3" t="s">
        <v>49634</v>
      </c>
      <c r="BG5181" s="3" t="s">
        <v>49636</v>
      </c>
    </row>
    <row r="5182" spans="1:59" ht="57" x14ac:dyDescent="0.45">
      <c r="A5182" s="2" t="s">
        <v>59</v>
      </c>
      <c r="B5182" s="2" t="s">
        <v>60</v>
      </c>
      <c r="C5182" s="2" t="s">
        <v>49637</v>
      </c>
      <c r="D5182" s="2" t="s">
        <v>49638</v>
      </c>
      <c r="E5182" s="2" t="s">
        <v>49639</v>
      </c>
      <c r="G5182" s="3" t="s">
        <v>62</v>
      </c>
      <c r="I5182" s="3" t="s">
        <v>62</v>
      </c>
      <c r="J5182" s="3" t="s">
        <v>62</v>
      </c>
      <c r="K5182" s="3" t="s">
        <v>63</v>
      </c>
      <c r="L5182" s="2" t="s">
        <v>49640</v>
      </c>
      <c r="M5182" s="2" t="s">
        <v>5074</v>
      </c>
      <c r="N5182" s="3" t="s">
        <v>1855</v>
      </c>
      <c r="P5182" s="3" t="s">
        <v>65</v>
      </c>
      <c r="Q5182" s="2" t="s">
        <v>49641</v>
      </c>
      <c r="R5182" s="3" t="s">
        <v>66</v>
      </c>
      <c r="S5182" s="4">
        <v>2</v>
      </c>
      <c r="T5182" s="4">
        <v>2</v>
      </c>
      <c r="U5182" s="5" t="s">
        <v>3064</v>
      </c>
      <c r="V5182" s="5" t="s">
        <v>3064</v>
      </c>
      <c r="W5182" s="5" t="s">
        <v>67</v>
      </c>
      <c r="X5182" s="5" t="s">
        <v>67</v>
      </c>
      <c r="Y5182" s="4">
        <v>90</v>
      </c>
      <c r="Z5182" s="4">
        <v>7</v>
      </c>
      <c r="AA5182" s="4">
        <v>24</v>
      </c>
      <c r="AB5182" s="4">
        <v>1</v>
      </c>
      <c r="AC5182" s="4">
        <v>4</v>
      </c>
      <c r="AD5182" s="4">
        <v>48</v>
      </c>
      <c r="AE5182" s="4">
        <v>70</v>
      </c>
      <c r="AF5182" s="4">
        <v>0</v>
      </c>
      <c r="AG5182" s="4">
        <v>1</v>
      </c>
      <c r="AH5182" s="4">
        <v>45</v>
      </c>
      <c r="AI5182" s="4">
        <v>59</v>
      </c>
      <c r="AJ5182" s="4">
        <v>5</v>
      </c>
      <c r="AK5182" s="4">
        <v>11</v>
      </c>
      <c r="AL5182" s="4">
        <v>30</v>
      </c>
      <c r="AM5182" s="4">
        <v>36</v>
      </c>
      <c r="AN5182" s="4">
        <v>0</v>
      </c>
      <c r="AO5182" s="4">
        <v>0</v>
      </c>
      <c r="AP5182" s="4">
        <v>5</v>
      </c>
      <c r="AQ5182" s="4">
        <v>16</v>
      </c>
      <c r="AR5182" s="3" t="s">
        <v>62</v>
      </c>
      <c r="AS5182" s="3" t="s">
        <v>62</v>
      </c>
      <c r="AT5182" s="3" t="s">
        <v>61</v>
      </c>
      <c r="AU5182" s="6" t="str">
        <f>HYPERLINK("http://catalog.hathitrust.org/Record/007145812","HathiTrust Record")</f>
        <v>HathiTrust Record</v>
      </c>
      <c r="AV5182" s="6" t="str">
        <f>HYPERLINK("http://mcgill.on.worldcat.org/oclc/58789264","Catalog Record")</f>
        <v>Catalog Record</v>
      </c>
      <c r="AW5182" s="6" t="str">
        <f>HYPERLINK("http://www.worldcat.org/oclc/58789264","WorldCat Record")</f>
        <v>WorldCat Record</v>
      </c>
      <c r="AX5182" s="3" t="s">
        <v>49642</v>
      </c>
      <c r="AY5182" s="3" t="s">
        <v>49643</v>
      </c>
      <c r="AZ5182" s="3" t="s">
        <v>49644</v>
      </c>
      <c r="BA5182" s="3" t="s">
        <v>49644</v>
      </c>
      <c r="BB5182" s="3" t="s">
        <v>49645</v>
      </c>
      <c r="BC5182" s="3" t="s">
        <v>142</v>
      </c>
      <c r="BD5182" s="3" t="s">
        <v>68</v>
      </c>
      <c r="BE5182" s="3" t="s">
        <v>49646</v>
      </c>
      <c r="BF5182" s="3" t="s">
        <v>49645</v>
      </c>
      <c r="BG5182" s="3" t="s">
        <v>49647</v>
      </c>
    </row>
    <row r="5183" spans="1:59" ht="57" x14ac:dyDescent="0.45">
      <c r="A5183" s="2" t="s">
        <v>59</v>
      </c>
      <c r="B5183" s="2" t="s">
        <v>60</v>
      </c>
      <c r="C5183" s="2" t="s">
        <v>49648</v>
      </c>
      <c r="D5183" s="2" t="s">
        <v>49649</v>
      </c>
      <c r="E5183" s="2" t="s">
        <v>49650</v>
      </c>
      <c r="G5183" s="3" t="s">
        <v>62</v>
      </c>
      <c r="I5183" s="3" t="s">
        <v>62</v>
      </c>
      <c r="J5183" s="3" t="s">
        <v>62</v>
      </c>
      <c r="K5183" s="3" t="s">
        <v>63</v>
      </c>
      <c r="L5183" s="2" t="s">
        <v>49510</v>
      </c>
      <c r="M5183" s="2" t="s">
        <v>49651</v>
      </c>
      <c r="N5183" s="3" t="s">
        <v>1212</v>
      </c>
      <c r="P5183" s="3" t="s">
        <v>65</v>
      </c>
      <c r="Q5183" s="2" t="s">
        <v>49489</v>
      </c>
      <c r="R5183" s="3" t="s">
        <v>66</v>
      </c>
      <c r="S5183" s="4">
        <v>4</v>
      </c>
      <c r="T5183" s="4">
        <v>4</v>
      </c>
      <c r="U5183" s="5" t="s">
        <v>11315</v>
      </c>
      <c r="V5183" s="5" t="s">
        <v>11315</v>
      </c>
      <c r="W5183" s="5" t="s">
        <v>67</v>
      </c>
      <c r="X5183" s="5" t="s">
        <v>67</v>
      </c>
      <c r="Y5183" s="4">
        <v>90</v>
      </c>
      <c r="Z5183" s="4">
        <v>6</v>
      </c>
      <c r="AA5183" s="4">
        <v>9</v>
      </c>
      <c r="AB5183" s="4">
        <v>1</v>
      </c>
      <c r="AC5183" s="4">
        <v>4</v>
      </c>
      <c r="AD5183" s="4">
        <v>42</v>
      </c>
      <c r="AE5183" s="4">
        <v>44</v>
      </c>
      <c r="AF5183" s="4">
        <v>0</v>
      </c>
      <c r="AG5183" s="4">
        <v>0</v>
      </c>
      <c r="AH5183" s="4">
        <v>36</v>
      </c>
      <c r="AI5183" s="4">
        <v>38</v>
      </c>
      <c r="AJ5183" s="4">
        <v>3</v>
      </c>
      <c r="AK5183" s="4">
        <v>3</v>
      </c>
      <c r="AL5183" s="4">
        <v>30</v>
      </c>
      <c r="AM5183" s="4">
        <v>31</v>
      </c>
      <c r="AN5183" s="4">
        <v>0</v>
      </c>
      <c r="AO5183" s="4">
        <v>0</v>
      </c>
      <c r="AP5183" s="4">
        <v>4</v>
      </c>
      <c r="AQ5183" s="4">
        <v>4</v>
      </c>
      <c r="AR5183" s="3" t="s">
        <v>62</v>
      </c>
      <c r="AS5183" s="3" t="s">
        <v>62</v>
      </c>
      <c r="AT5183" s="3" t="s">
        <v>62</v>
      </c>
      <c r="AV5183" s="6" t="str">
        <f>HYPERLINK("http://mcgill.on.worldcat.org/oclc/43569394","Catalog Record")</f>
        <v>Catalog Record</v>
      </c>
      <c r="AW5183" s="6" t="str">
        <f>HYPERLINK("http://www.worldcat.org/oclc/43569394","WorldCat Record")</f>
        <v>WorldCat Record</v>
      </c>
      <c r="AX5183" s="3" t="s">
        <v>49652</v>
      </c>
      <c r="AY5183" s="3" t="s">
        <v>49653</v>
      </c>
      <c r="AZ5183" s="3" t="s">
        <v>49654</v>
      </c>
      <c r="BA5183" s="3" t="s">
        <v>49654</v>
      </c>
      <c r="BB5183" s="3" t="s">
        <v>49655</v>
      </c>
      <c r="BC5183" s="3" t="s">
        <v>142</v>
      </c>
      <c r="BD5183" s="3" t="s">
        <v>68</v>
      </c>
      <c r="BE5183" s="3" t="s">
        <v>49656</v>
      </c>
      <c r="BF5183" s="3" t="s">
        <v>49655</v>
      </c>
      <c r="BG5183" s="3" t="s">
        <v>49657</v>
      </c>
    </row>
    <row r="5184" spans="1:59" ht="57" x14ac:dyDescent="0.45">
      <c r="A5184" s="2" t="s">
        <v>59</v>
      </c>
      <c r="B5184" s="2" t="s">
        <v>60</v>
      </c>
      <c r="C5184" s="2" t="s">
        <v>49658</v>
      </c>
      <c r="D5184" s="2" t="s">
        <v>49659</v>
      </c>
      <c r="E5184" s="2" t="s">
        <v>49660</v>
      </c>
      <c r="G5184" s="3" t="s">
        <v>62</v>
      </c>
      <c r="I5184" s="3" t="s">
        <v>62</v>
      </c>
      <c r="J5184" s="3" t="s">
        <v>62</v>
      </c>
      <c r="K5184" s="3" t="s">
        <v>63</v>
      </c>
      <c r="M5184" s="2" t="s">
        <v>49661</v>
      </c>
      <c r="N5184" s="3" t="s">
        <v>1212</v>
      </c>
      <c r="P5184" s="3" t="s">
        <v>65</v>
      </c>
      <c r="Q5184" s="2" t="s">
        <v>49662</v>
      </c>
      <c r="R5184" s="3" t="s">
        <v>66</v>
      </c>
      <c r="S5184" s="4">
        <v>3</v>
      </c>
      <c r="T5184" s="4">
        <v>3</v>
      </c>
      <c r="U5184" s="5" t="s">
        <v>49663</v>
      </c>
      <c r="V5184" s="5" t="s">
        <v>49663</v>
      </c>
      <c r="W5184" s="5" t="s">
        <v>67</v>
      </c>
      <c r="X5184" s="5" t="s">
        <v>67</v>
      </c>
      <c r="Y5184" s="4">
        <v>145</v>
      </c>
      <c r="Z5184" s="4">
        <v>11</v>
      </c>
      <c r="AA5184" s="4">
        <v>99</v>
      </c>
      <c r="AB5184" s="4">
        <v>1</v>
      </c>
      <c r="AC5184" s="4">
        <v>17</v>
      </c>
      <c r="AD5184" s="4">
        <v>65</v>
      </c>
      <c r="AE5184" s="4">
        <v>129</v>
      </c>
      <c r="AF5184" s="4">
        <v>0</v>
      </c>
      <c r="AG5184" s="4">
        <v>8</v>
      </c>
      <c r="AH5184" s="4">
        <v>62</v>
      </c>
      <c r="AI5184" s="4">
        <v>93</v>
      </c>
      <c r="AJ5184" s="4">
        <v>9</v>
      </c>
      <c r="AK5184" s="4">
        <v>24</v>
      </c>
      <c r="AL5184" s="4">
        <v>40</v>
      </c>
      <c r="AM5184" s="4">
        <v>49</v>
      </c>
      <c r="AN5184" s="4">
        <v>0</v>
      </c>
      <c r="AO5184" s="4">
        <v>0</v>
      </c>
      <c r="AP5184" s="4">
        <v>9</v>
      </c>
      <c r="AQ5184" s="4">
        <v>45</v>
      </c>
      <c r="AR5184" s="3" t="s">
        <v>62</v>
      </c>
      <c r="AS5184" s="3" t="s">
        <v>62</v>
      </c>
      <c r="AT5184" s="3" t="s">
        <v>62</v>
      </c>
      <c r="AV5184" s="6" t="str">
        <f>HYPERLINK("http://mcgill.on.worldcat.org/oclc/42080279","Catalog Record")</f>
        <v>Catalog Record</v>
      </c>
      <c r="AW5184" s="6" t="str">
        <f>HYPERLINK("http://www.worldcat.org/oclc/42080279","WorldCat Record")</f>
        <v>WorldCat Record</v>
      </c>
      <c r="AX5184" s="3" t="s">
        <v>49664</v>
      </c>
      <c r="AY5184" s="3" t="s">
        <v>49665</v>
      </c>
      <c r="AZ5184" s="3" t="s">
        <v>49666</v>
      </c>
      <c r="BA5184" s="3" t="s">
        <v>49666</v>
      </c>
      <c r="BB5184" s="3" t="s">
        <v>49667</v>
      </c>
      <c r="BC5184" s="3" t="s">
        <v>142</v>
      </c>
      <c r="BD5184" s="3" t="s">
        <v>68</v>
      </c>
      <c r="BE5184" s="3" t="s">
        <v>49668</v>
      </c>
      <c r="BF5184" s="3" t="s">
        <v>49667</v>
      </c>
      <c r="BG5184" s="3" t="s">
        <v>49669</v>
      </c>
    </row>
    <row r="5185" spans="1:59" ht="57" x14ac:dyDescent="0.45">
      <c r="A5185" s="2" t="s">
        <v>59</v>
      </c>
      <c r="B5185" s="2" t="s">
        <v>60</v>
      </c>
      <c r="C5185" s="2" t="s">
        <v>49670</v>
      </c>
      <c r="D5185" s="2" t="s">
        <v>49671</v>
      </c>
      <c r="E5185" s="2" t="s">
        <v>49672</v>
      </c>
      <c r="G5185" s="3" t="s">
        <v>62</v>
      </c>
      <c r="I5185" s="3" t="s">
        <v>62</v>
      </c>
      <c r="J5185" s="3" t="s">
        <v>62</v>
      </c>
      <c r="K5185" s="3" t="s">
        <v>63</v>
      </c>
      <c r="L5185" s="2" t="s">
        <v>49673</v>
      </c>
      <c r="M5185" s="2" t="s">
        <v>2940</v>
      </c>
      <c r="N5185" s="3" t="s">
        <v>1855</v>
      </c>
      <c r="P5185" s="3" t="s">
        <v>65</v>
      </c>
      <c r="Q5185" s="2" t="s">
        <v>49674</v>
      </c>
      <c r="R5185" s="3" t="s">
        <v>66</v>
      </c>
      <c r="S5185" s="4">
        <v>2</v>
      </c>
      <c r="T5185" s="4">
        <v>2</v>
      </c>
      <c r="U5185" s="5" t="s">
        <v>5769</v>
      </c>
      <c r="V5185" s="5" t="s">
        <v>5769</v>
      </c>
      <c r="W5185" s="5" t="s">
        <v>67</v>
      </c>
      <c r="X5185" s="5" t="s">
        <v>67</v>
      </c>
      <c r="Y5185" s="4">
        <v>173</v>
      </c>
      <c r="Z5185" s="4">
        <v>15</v>
      </c>
      <c r="AA5185" s="4">
        <v>109</v>
      </c>
      <c r="AB5185" s="4">
        <v>1</v>
      </c>
      <c r="AC5185" s="4">
        <v>21</v>
      </c>
      <c r="AD5185" s="4">
        <v>76</v>
      </c>
      <c r="AE5185" s="4">
        <v>145</v>
      </c>
      <c r="AF5185" s="4">
        <v>0</v>
      </c>
      <c r="AG5185" s="4">
        <v>9</v>
      </c>
      <c r="AH5185" s="4">
        <v>70</v>
      </c>
      <c r="AI5185" s="4">
        <v>96</v>
      </c>
      <c r="AJ5185" s="4">
        <v>13</v>
      </c>
      <c r="AK5185" s="4">
        <v>28</v>
      </c>
      <c r="AL5185" s="4">
        <v>42</v>
      </c>
      <c r="AM5185" s="4">
        <v>54</v>
      </c>
      <c r="AN5185" s="4">
        <v>0</v>
      </c>
      <c r="AO5185" s="4">
        <v>0</v>
      </c>
      <c r="AP5185" s="4">
        <v>13</v>
      </c>
      <c r="AQ5185" s="4">
        <v>57</v>
      </c>
      <c r="AR5185" s="3" t="s">
        <v>62</v>
      </c>
      <c r="AS5185" s="3" t="s">
        <v>62</v>
      </c>
      <c r="AT5185" s="3" t="s">
        <v>62</v>
      </c>
      <c r="AV5185" s="6" t="str">
        <f>HYPERLINK("http://mcgill.on.worldcat.org/oclc/56964659","Catalog Record")</f>
        <v>Catalog Record</v>
      </c>
      <c r="AW5185" s="6" t="str">
        <f>HYPERLINK("http://www.worldcat.org/oclc/56964659","WorldCat Record")</f>
        <v>WorldCat Record</v>
      </c>
      <c r="AX5185" s="3" t="s">
        <v>49675</v>
      </c>
      <c r="AY5185" s="3" t="s">
        <v>49676</v>
      </c>
      <c r="AZ5185" s="3" t="s">
        <v>49677</v>
      </c>
      <c r="BA5185" s="3" t="s">
        <v>49677</v>
      </c>
      <c r="BB5185" s="3" t="s">
        <v>49678</v>
      </c>
      <c r="BC5185" s="3" t="s">
        <v>142</v>
      </c>
      <c r="BD5185" s="3" t="s">
        <v>68</v>
      </c>
      <c r="BE5185" s="3" t="s">
        <v>49679</v>
      </c>
      <c r="BF5185" s="3" t="s">
        <v>49678</v>
      </c>
      <c r="BG5185" s="3" t="s">
        <v>49680</v>
      </c>
    </row>
    <row r="5186" spans="1:59" ht="57" x14ac:dyDescent="0.45">
      <c r="A5186" s="2" t="s">
        <v>59</v>
      </c>
      <c r="B5186" s="2" t="s">
        <v>60</v>
      </c>
      <c r="C5186" s="2" t="s">
        <v>49681</v>
      </c>
      <c r="D5186" s="2" t="s">
        <v>49682</v>
      </c>
      <c r="E5186" s="2" t="s">
        <v>49683</v>
      </c>
      <c r="G5186" s="3" t="s">
        <v>62</v>
      </c>
      <c r="I5186" s="3" t="s">
        <v>62</v>
      </c>
      <c r="J5186" s="3" t="s">
        <v>62</v>
      </c>
      <c r="K5186" s="3" t="s">
        <v>63</v>
      </c>
      <c r="M5186" s="2" t="s">
        <v>49684</v>
      </c>
      <c r="N5186" s="3" t="s">
        <v>1688</v>
      </c>
      <c r="P5186" s="3" t="s">
        <v>65</v>
      </c>
      <c r="Q5186" s="2" t="s">
        <v>49685</v>
      </c>
      <c r="R5186" s="3" t="s">
        <v>66</v>
      </c>
      <c r="S5186" s="4">
        <v>0</v>
      </c>
      <c r="T5186" s="4">
        <v>0</v>
      </c>
      <c r="W5186" s="5" t="s">
        <v>67</v>
      </c>
      <c r="X5186" s="5" t="s">
        <v>67</v>
      </c>
      <c r="Y5186" s="4">
        <v>51</v>
      </c>
      <c r="Z5186" s="4">
        <v>4</v>
      </c>
      <c r="AA5186" s="4">
        <v>75</v>
      </c>
      <c r="AB5186" s="4">
        <v>1</v>
      </c>
      <c r="AC5186" s="4">
        <v>14</v>
      </c>
      <c r="AD5186" s="4">
        <v>29</v>
      </c>
      <c r="AE5186" s="4">
        <v>104</v>
      </c>
      <c r="AF5186" s="4">
        <v>0</v>
      </c>
      <c r="AG5186" s="4">
        <v>8</v>
      </c>
      <c r="AH5186" s="4">
        <v>27</v>
      </c>
      <c r="AI5186" s="4">
        <v>70</v>
      </c>
      <c r="AJ5186" s="4">
        <v>3</v>
      </c>
      <c r="AK5186" s="4">
        <v>19</v>
      </c>
      <c r="AL5186" s="4">
        <v>20</v>
      </c>
      <c r="AM5186" s="4">
        <v>38</v>
      </c>
      <c r="AN5186" s="4">
        <v>0</v>
      </c>
      <c r="AO5186" s="4">
        <v>0</v>
      </c>
      <c r="AP5186" s="4">
        <v>3</v>
      </c>
      <c r="AQ5186" s="4">
        <v>39</v>
      </c>
      <c r="AR5186" s="3" t="s">
        <v>62</v>
      </c>
      <c r="AS5186" s="3" t="s">
        <v>62</v>
      </c>
      <c r="AT5186" s="3" t="s">
        <v>62</v>
      </c>
      <c r="AV5186" s="6" t="str">
        <f>HYPERLINK("http://mcgill.on.worldcat.org/oclc/880929744","Catalog Record")</f>
        <v>Catalog Record</v>
      </c>
      <c r="AW5186" s="6" t="str">
        <f>HYPERLINK("http://www.worldcat.org/oclc/880929744","WorldCat Record")</f>
        <v>WorldCat Record</v>
      </c>
      <c r="AX5186" s="3" t="s">
        <v>49686</v>
      </c>
      <c r="AY5186" s="3" t="s">
        <v>49687</v>
      </c>
      <c r="AZ5186" s="3" t="s">
        <v>49688</v>
      </c>
      <c r="BA5186" s="3" t="s">
        <v>49688</v>
      </c>
      <c r="BB5186" s="3" t="s">
        <v>49689</v>
      </c>
      <c r="BC5186" s="3" t="s">
        <v>142</v>
      </c>
      <c r="BD5186" s="3" t="s">
        <v>68</v>
      </c>
      <c r="BE5186" s="3" t="s">
        <v>49690</v>
      </c>
      <c r="BF5186" s="3" t="s">
        <v>49689</v>
      </c>
      <c r="BG5186" s="3" t="s">
        <v>49691</v>
      </c>
    </row>
    <row r="5187" spans="1:59" ht="57" x14ac:dyDescent="0.45">
      <c r="A5187" s="2" t="s">
        <v>59</v>
      </c>
      <c r="B5187" s="2" t="s">
        <v>60</v>
      </c>
      <c r="C5187" s="2" t="s">
        <v>49692</v>
      </c>
      <c r="D5187" s="2" t="s">
        <v>49693</v>
      </c>
      <c r="E5187" s="2" t="s">
        <v>49694</v>
      </c>
      <c r="G5187" s="3" t="s">
        <v>62</v>
      </c>
      <c r="I5187" s="3" t="s">
        <v>62</v>
      </c>
      <c r="J5187" s="3" t="s">
        <v>62</v>
      </c>
      <c r="K5187" s="3" t="s">
        <v>63</v>
      </c>
      <c r="L5187" s="2" t="s">
        <v>49695</v>
      </c>
      <c r="M5187" s="2" t="s">
        <v>5120</v>
      </c>
      <c r="N5187" s="3" t="s">
        <v>894</v>
      </c>
      <c r="P5187" s="3" t="s">
        <v>65</v>
      </c>
      <c r="Q5187" s="2" t="s">
        <v>49696</v>
      </c>
      <c r="R5187" s="3" t="s">
        <v>66</v>
      </c>
      <c r="S5187" s="4">
        <v>2</v>
      </c>
      <c r="T5187" s="4">
        <v>2</v>
      </c>
      <c r="U5187" s="5" t="s">
        <v>49697</v>
      </c>
      <c r="V5187" s="5" t="s">
        <v>49697</v>
      </c>
      <c r="W5187" s="5" t="s">
        <v>67</v>
      </c>
      <c r="X5187" s="5" t="s">
        <v>67</v>
      </c>
      <c r="Y5187" s="4">
        <v>152</v>
      </c>
      <c r="Z5187" s="4">
        <v>17</v>
      </c>
      <c r="AA5187" s="4">
        <v>82</v>
      </c>
      <c r="AB5187" s="4">
        <v>1</v>
      </c>
      <c r="AC5187" s="4">
        <v>14</v>
      </c>
      <c r="AD5187" s="4">
        <v>73</v>
      </c>
      <c r="AE5187" s="4">
        <v>130</v>
      </c>
      <c r="AF5187" s="4">
        <v>0</v>
      </c>
      <c r="AG5187" s="4">
        <v>8</v>
      </c>
      <c r="AH5187" s="4">
        <v>66</v>
      </c>
      <c r="AI5187" s="4">
        <v>95</v>
      </c>
      <c r="AJ5187" s="4">
        <v>13</v>
      </c>
      <c r="AK5187" s="4">
        <v>25</v>
      </c>
      <c r="AL5187" s="4">
        <v>40</v>
      </c>
      <c r="AM5187" s="4">
        <v>51</v>
      </c>
      <c r="AN5187" s="4">
        <v>0</v>
      </c>
      <c r="AO5187" s="4">
        <v>0</v>
      </c>
      <c r="AP5187" s="4">
        <v>14</v>
      </c>
      <c r="AQ5187" s="4">
        <v>44</v>
      </c>
      <c r="AR5187" s="3" t="s">
        <v>62</v>
      </c>
      <c r="AS5187" s="3" t="s">
        <v>62</v>
      </c>
      <c r="AT5187" s="3" t="s">
        <v>62</v>
      </c>
      <c r="AV5187" s="6" t="str">
        <f>HYPERLINK("http://mcgill.on.worldcat.org/oclc/671710106","Catalog Record")</f>
        <v>Catalog Record</v>
      </c>
      <c r="AW5187" s="6" t="str">
        <f>HYPERLINK("http://www.worldcat.org/oclc/671710106","WorldCat Record")</f>
        <v>WorldCat Record</v>
      </c>
      <c r="AX5187" s="3" t="s">
        <v>49698</v>
      </c>
      <c r="AY5187" s="3" t="s">
        <v>49699</v>
      </c>
      <c r="AZ5187" s="3" t="s">
        <v>49700</v>
      </c>
      <c r="BA5187" s="3" t="s">
        <v>49700</v>
      </c>
      <c r="BB5187" s="3" t="s">
        <v>49701</v>
      </c>
      <c r="BC5187" s="3" t="s">
        <v>142</v>
      </c>
      <c r="BD5187" s="3" t="s">
        <v>308</v>
      </c>
      <c r="BE5187" s="3" t="s">
        <v>49702</v>
      </c>
      <c r="BF5187" s="3" t="s">
        <v>49701</v>
      </c>
      <c r="BG5187" s="3" t="s">
        <v>49703</v>
      </c>
    </row>
    <row r="5188" spans="1:59" ht="57" x14ac:dyDescent="0.45">
      <c r="A5188" s="2" t="s">
        <v>59</v>
      </c>
      <c r="B5188" s="2" t="s">
        <v>60</v>
      </c>
      <c r="C5188" s="2" t="s">
        <v>49704</v>
      </c>
      <c r="D5188" s="2" t="s">
        <v>49705</v>
      </c>
      <c r="E5188" s="2" t="s">
        <v>49706</v>
      </c>
      <c r="G5188" s="3" t="s">
        <v>62</v>
      </c>
      <c r="I5188" s="3" t="s">
        <v>62</v>
      </c>
      <c r="J5188" s="3" t="s">
        <v>62</v>
      </c>
      <c r="K5188" s="3" t="s">
        <v>63</v>
      </c>
      <c r="L5188" s="2" t="s">
        <v>49707</v>
      </c>
      <c r="M5188" s="2" t="s">
        <v>7378</v>
      </c>
      <c r="N5188" s="3" t="s">
        <v>542</v>
      </c>
      <c r="O5188" s="2" t="s">
        <v>933</v>
      </c>
      <c r="P5188" s="3" t="s">
        <v>65</v>
      </c>
      <c r="Q5188" s="2" t="s">
        <v>29735</v>
      </c>
      <c r="R5188" s="3" t="s">
        <v>66</v>
      </c>
      <c r="S5188" s="4">
        <v>5</v>
      </c>
      <c r="T5188" s="4">
        <v>5</v>
      </c>
      <c r="U5188" s="5" t="s">
        <v>17272</v>
      </c>
      <c r="V5188" s="5" t="s">
        <v>17272</v>
      </c>
      <c r="W5188" s="5" t="s">
        <v>67</v>
      </c>
      <c r="X5188" s="5" t="s">
        <v>67</v>
      </c>
      <c r="Y5188" s="4">
        <v>182</v>
      </c>
      <c r="Z5188" s="4">
        <v>13</v>
      </c>
      <c r="AA5188" s="4">
        <v>102</v>
      </c>
      <c r="AB5188" s="4">
        <v>3</v>
      </c>
      <c r="AC5188" s="4">
        <v>18</v>
      </c>
      <c r="AD5188" s="4">
        <v>61</v>
      </c>
      <c r="AE5188" s="4">
        <v>123</v>
      </c>
      <c r="AF5188" s="4">
        <v>1</v>
      </c>
      <c r="AG5188" s="4">
        <v>8</v>
      </c>
      <c r="AH5188" s="4">
        <v>57</v>
      </c>
      <c r="AI5188" s="4">
        <v>88</v>
      </c>
      <c r="AJ5188" s="4">
        <v>9</v>
      </c>
      <c r="AK5188" s="4">
        <v>21</v>
      </c>
      <c r="AL5188" s="4">
        <v>33</v>
      </c>
      <c r="AM5188" s="4">
        <v>46</v>
      </c>
      <c r="AN5188" s="4">
        <v>0</v>
      </c>
      <c r="AO5188" s="4">
        <v>0</v>
      </c>
      <c r="AP5188" s="4">
        <v>10</v>
      </c>
      <c r="AQ5188" s="4">
        <v>42</v>
      </c>
      <c r="AR5188" s="3" t="s">
        <v>62</v>
      </c>
      <c r="AS5188" s="3" t="s">
        <v>62</v>
      </c>
      <c r="AT5188" s="3" t="s">
        <v>62</v>
      </c>
      <c r="AV5188" s="6" t="str">
        <f>HYPERLINK("http://mcgill.on.worldcat.org/oclc/46472211","Catalog Record")</f>
        <v>Catalog Record</v>
      </c>
      <c r="AW5188" s="6" t="str">
        <f>HYPERLINK("http://www.worldcat.org/oclc/46472211","WorldCat Record")</f>
        <v>WorldCat Record</v>
      </c>
      <c r="AX5188" s="3" t="s">
        <v>49708</v>
      </c>
      <c r="AY5188" s="3" t="s">
        <v>49709</v>
      </c>
      <c r="AZ5188" s="3" t="s">
        <v>49710</v>
      </c>
      <c r="BA5188" s="3" t="s">
        <v>49710</v>
      </c>
      <c r="BB5188" s="3" t="s">
        <v>49711</v>
      </c>
      <c r="BC5188" s="3" t="s">
        <v>142</v>
      </c>
      <c r="BD5188" s="3" t="s">
        <v>68</v>
      </c>
      <c r="BE5188" s="3" t="s">
        <v>49712</v>
      </c>
      <c r="BF5188" s="3" t="s">
        <v>49711</v>
      </c>
      <c r="BG5188" s="3" t="s">
        <v>49713</v>
      </c>
    </row>
    <row r="5189" spans="1:59" ht="57" x14ac:dyDescent="0.45">
      <c r="A5189" s="2" t="s">
        <v>59</v>
      </c>
      <c r="B5189" s="2" t="s">
        <v>60</v>
      </c>
      <c r="C5189" s="2" t="s">
        <v>49714</v>
      </c>
      <c r="D5189" s="2" t="s">
        <v>49715</v>
      </c>
      <c r="E5189" s="2" t="s">
        <v>49716</v>
      </c>
      <c r="G5189" s="3" t="s">
        <v>62</v>
      </c>
      <c r="I5189" s="3" t="s">
        <v>62</v>
      </c>
      <c r="J5189" s="3" t="s">
        <v>62</v>
      </c>
      <c r="K5189" s="3" t="s">
        <v>63</v>
      </c>
      <c r="M5189" s="2" t="s">
        <v>32892</v>
      </c>
      <c r="N5189" s="3" t="s">
        <v>820</v>
      </c>
      <c r="P5189" s="3" t="s">
        <v>65</v>
      </c>
      <c r="Q5189" s="2" t="s">
        <v>49717</v>
      </c>
      <c r="R5189" s="3" t="s">
        <v>66</v>
      </c>
      <c r="S5189" s="4">
        <v>2</v>
      </c>
      <c r="T5189" s="4">
        <v>2</v>
      </c>
      <c r="U5189" s="5" t="s">
        <v>41777</v>
      </c>
      <c r="V5189" s="5" t="s">
        <v>41777</v>
      </c>
      <c r="W5189" s="5" t="s">
        <v>67</v>
      </c>
      <c r="X5189" s="5" t="s">
        <v>67</v>
      </c>
      <c r="Y5189" s="4">
        <v>102</v>
      </c>
      <c r="Z5189" s="4">
        <v>12</v>
      </c>
      <c r="AA5189" s="4">
        <v>95</v>
      </c>
      <c r="AB5189" s="4">
        <v>1</v>
      </c>
      <c r="AC5189" s="4">
        <v>17</v>
      </c>
      <c r="AD5189" s="4">
        <v>48</v>
      </c>
      <c r="AE5189" s="4">
        <v>116</v>
      </c>
      <c r="AF5189" s="4">
        <v>0</v>
      </c>
      <c r="AG5189" s="4">
        <v>8</v>
      </c>
      <c r="AH5189" s="4">
        <v>42</v>
      </c>
      <c r="AI5189" s="4">
        <v>80</v>
      </c>
      <c r="AJ5189" s="4">
        <v>9</v>
      </c>
      <c r="AK5189" s="4">
        <v>22</v>
      </c>
      <c r="AL5189" s="4">
        <v>29</v>
      </c>
      <c r="AM5189" s="4">
        <v>42</v>
      </c>
      <c r="AN5189" s="4">
        <v>0</v>
      </c>
      <c r="AO5189" s="4">
        <v>0</v>
      </c>
      <c r="AP5189" s="4">
        <v>10</v>
      </c>
      <c r="AQ5189" s="4">
        <v>43</v>
      </c>
      <c r="AR5189" s="3" t="s">
        <v>62</v>
      </c>
      <c r="AS5189" s="3" t="s">
        <v>62</v>
      </c>
      <c r="AT5189" s="3" t="s">
        <v>62</v>
      </c>
      <c r="AV5189" s="6" t="str">
        <f>HYPERLINK("http://mcgill.on.worldcat.org/oclc/243548041","Catalog Record")</f>
        <v>Catalog Record</v>
      </c>
      <c r="AW5189" s="6" t="str">
        <f>HYPERLINK("http://www.worldcat.org/oclc/243548041","WorldCat Record")</f>
        <v>WorldCat Record</v>
      </c>
      <c r="AX5189" s="3" t="s">
        <v>49718</v>
      </c>
      <c r="AY5189" s="3" t="s">
        <v>49719</v>
      </c>
      <c r="AZ5189" s="3" t="s">
        <v>49720</v>
      </c>
      <c r="BA5189" s="3" t="s">
        <v>49720</v>
      </c>
      <c r="BB5189" s="3" t="s">
        <v>49721</v>
      </c>
      <c r="BC5189" s="3" t="s">
        <v>142</v>
      </c>
      <c r="BD5189" s="3" t="s">
        <v>68</v>
      </c>
      <c r="BE5189" s="3" t="s">
        <v>49722</v>
      </c>
      <c r="BF5189" s="3" t="s">
        <v>49721</v>
      </c>
      <c r="BG5189" s="3" t="s">
        <v>49723</v>
      </c>
    </row>
    <row r="5190" spans="1:59" ht="57" x14ac:dyDescent="0.45">
      <c r="A5190" s="2" t="s">
        <v>59</v>
      </c>
      <c r="B5190" s="2" t="s">
        <v>60</v>
      </c>
      <c r="C5190" s="2" t="s">
        <v>49724</v>
      </c>
      <c r="D5190" s="2" t="s">
        <v>49725</v>
      </c>
      <c r="E5190" s="2" t="s">
        <v>49726</v>
      </c>
      <c r="G5190" s="3" t="s">
        <v>62</v>
      </c>
      <c r="I5190" s="3" t="s">
        <v>62</v>
      </c>
      <c r="J5190" s="3" t="s">
        <v>62</v>
      </c>
      <c r="K5190" s="3" t="s">
        <v>63</v>
      </c>
      <c r="M5190" s="2" t="s">
        <v>10828</v>
      </c>
      <c r="N5190" s="3" t="s">
        <v>894</v>
      </c>
      <c r="P5190" s="3" t="s">
        <v>65</v>
      </c>
      <c r="Q5190" s="2" t="s">
        <v>49727</v>
      </c>
      <c r="R5190" s="3" t="s">
        <v>66</v>
      </c>
      <c r="S5190" s="4">
        <v>1</v>
      </c>
      <c r="T5190" s="4">
        <v>1</v>
      </c>
      <c r="U5190" s="5" t="s">
        <v>19801</v>
      </c>
      <c r="V5190" s="5" t="s">
        <v>19801</v>
      </c>
      <c r="W5190" s="5" t="s">
        <v>67</v>
      </c>
      <c r="X5190" s="5" t="s">
        <v>67</v>
      </c>
      <c r="Y5190" s="4">
        <v>79</v>
      </c>
      <c r="Z5190" s="4">
        <v>7</v>
      </c>
      <c r="AA5190" s="4">
        <v>87</v>
      </c>
      <c r="AB5190" s="4">
        <v>1</v>
      </c>
      <c r="AC5190" s="4">
        <v>17</v>
      </c>
      <c r="AD5190" s="4">
        <v>30</v>
      </c>
      <c r="AE5190" s="4">
        <v>109</v>
      </c>
      <c r="AF5190" s="4">
        <v>0</v>
      </c>
      <c r="AG5190" s="4">
        <v>8</v>
      </c>
      <c r="AH5190" s="4">
        <v>28</v>
      </c>
      <c r="AI5190" s="4">
        <v>74</v>
      </c>
      <c r="AJ5190" s="4">
        <v>5</v>
      </c>
      <c r="AK5190" s="4">
        <v>21</v>
      </c>
      <c r="AL5190" s="4">
        <v>18</v>
      </c>
      <c r="AM5190" s="4">
        <v>39</v>
      </c>
      <c r="AN5190" s="4">
        <v>0</v>
      </c>
      <c r="AO5190" s="4">
        <v>0</v>
      </c>
      <c r="AP5190" s="4">
        <v>5</v>
      </c>
      <c r="AQ5190" s="4">
        <v>42</v>
      </c>
      <c r="AR5190" s="3" t="s">
        <v>62</v>
      </c>
      <c r="AS5190" s="3" t="s">
        <v>62</v>
      </c>
      <c r="AT5190" s="3" t="s">
        <v>62</v>
      </c>
      <c r="AV5190" s="6" t="str">
        <f>HYPERLINK("http://mcgill.on.worldcat.org/oclc/731192661","Catalog Record")</f>
        <v>Catalog Record</v>
      </c>
      <c r="AW5190" s="6" t="str">
        <f>HYPERLINK("http://www.worldcat.org/oclc/731192661","WorldCat Record")</f>
        <v>WorldCat Record</v>
      </c>
      <c r="AX5190" s="3" t="s">
        <v>49728</v>
      </c>
      <c r="AY5190" s="3" t="s">
        <v>49729</v>
      </c>
      <c r="AZ5190" s="3" t="s">
        <v>49730</v>
      </c>
      <c r="BA5190" s="3" t="s">
        <v>49730</v>
      </c>
      <c r="BB5190" s="3" t="s">
        <v>49731</v>
      </c>
      <c r="BC5190" s="3" t="s">
        <v>142</v>
      </c>
      <c r="BD5190" s="3" t="s">
        <v>68</v>
      </c>
      <c r="BE5190" s="3" t="s">
        <v>49732</v>
      </c>
      <c r="BF5190" s="3" t="s">
        <v>49731</v>
      </c>
      <c r="BG5190" s="3" t="s">
        <v>49733</v>
      </c>
    </row>
    <row r="5191" spans="1:59" ht="57" x14ac:dyDescent="0.45">
      <c r="A5191" s="2" t="s">
        <v>59</v>
      </c>
      <c r="B5191" s="2" t="s">
        <v>60</v>
      </c>
      <c r="C5191" s="2" t="s">
        <v>49734</v>
      </c>
      <c r="D5191" s="2" t="s">
        <v>49735</v>
      </c>
      <c r="E5191" s="2" t="s">
        <v>49736</v>
      </c>
      <c r="G5191" s="3" t="s">
        <v>62</v>
      </c>
      <c r="I5191" s="3" t="s">
        <v>62</v>
      </c>
      <c r="J5191" s="3" t="s">
        <v>62</v>
      </c>
      <c r="K5191" s="3" t="s">
        <v>63</v>
      </c>
      <c r="M5191" s="2" t="s">
        <v>2964</v>
      </c>
      <c r="N5191" s="3" t="s">
        <v>1059</v>
      </c>
      <c r="P5191" s="3" t="s">
        <v>65</v>
      </c>
      <c r="Q5191" s="2" t="s">
        <v>49737</v>
      </c>
      <c r="R5191" s="3" t="s">
        <v>66</v>
      </c>
      <c r="S5191" s="4">
        <v>2</v>
      </c>
      <c r="T5191" s="4">
        <v>2</v>
      </c>
      <c r="U5191" s="5" t="s">
        <v>49697</v>
      </c>
      <c r="V5191" s="5" t="s">
        <v>49697</v>
      </c>
      <c r="W5191" s="5" t="s">
        <v>67</v>
      </c>
      <c r="X5191" s="5" t="s">
        <v>67</v>
      </c>
      <c r="Y5191" s="4">
        <v>91</v>
      </c>
      <c r="Z5191" s="4">
        <v>10</v>
      </c>
      <c r="AA5191" s="4">
        <v>91</v>
      </c>
      <c r="AB5191" s="4">
        <v>1</v>
      </c>
      <c r="AC5191" s="4">
        <v>17</v>
      </c>
      <c r="AD5191" s="4">
        <v>50</v>
      </c>
      <c r="AE5191" s="4">
        <v>109</v>
      </c>
      <c r="AF5191" s="4">
        <v>0</v>
      </c>
      <c r="AG5191" s="4">
        <v>8</v>
      </c>
      <c r="AH5191" s="4">
        <v>45</v>
      </c>
      <c r="AI5191" s="4">
        <v>76</v>
      </c>
      <c r="AJ5191" s="4">
        <v>8</v>
      </c>
      <c r="AK5191" s="4">
        <v>20</v>
      </c>
      <c r="AL5191" s="4">
        <v>32</v>
      </c>
      <c r="AM5191" s="4">
        <v>44</v>
      </c>
      <c r="AN5191" s="4">
        <v>0</v>
      </c>
      <c r="AO5191" s="4">
        <v>0</v>
      </c>
      <c r="AP5191" s="4">
        <v>9</v>
      </c>
      <c r="AQ5191" s="4">
        <v>41</v>
      </c>
      <c r="AR5191" s="3" t="s">
        <v>62</v>
      </c>
      <c r="AS5191" s="3" t="s">
        <v>62</v>
      </c>
      <c r="AT5191" s="3" t="s">
        <v>61</v>
      </c>
      <c r="AU5191" s="6" t="str">
        <f>HYPERLINK("http://catalog.hathitrust.org/Record/005411865","HathiTrust Record")</f>
        <v>HathiTrust Record</v>
      </c>
      <c r="AV5191" s="6" t="str">
        <f>HYPERLINK("http://mcgill.on.worldcat.org/oclc/67728337","Catalog Record")</f>
        <v>Catalog Record</v>
      </c>
      <c r="AW5191" s="6" t="str">
        <f>HYPERLINK("http://www.worldcat.org/oclc/67728337","WorldCat Record")</f>
        <v>WorldCat Record</v>
      </c>
      <c r="AX5191" s="3" t="s">
        <v>49738</v>
      </c>
      <c r="AY5191" s="3" t="s">
        <v>49739</v>
      </c>
      <c r="AZ5191" s="3" t="s">
        <v>49740</v>
      </c>
      <c r="BA5191" s="3" t="s">
        <v>49740</v>
      </c>
      <c r="BB5191" s="3" t="s">
        <v>49741</v>
      </c>
      <c r="BC5191" s="3" t="s">
        <v>142</v>
      </c>
      <c r="BD5191" s="3" t="s">
        <v>308</v>
      </c>
      <c r="BE5191" s="3" t="s">
        <v>49742</v>
      </c>
      <c r="BF5191" s="3" t="s">
        <v>49741</v>
      </c>
      <c r="BG5191" s="3" t="s">
        <v>49743</v>
      </c>
    </row>
    <row r="5192" spans="1:59" ht="57" x14ac:dyDescent="0.45">
      <c r="A5192" s="2" t="s">
        <v>59</v>
      </c>
      <c r="B5192" s="2" t="s">
        <v>60</v>
      </c>
      <c r="C5192" s="2" t="s">
        <v>49744</v>
      </c>
      <c r="D5192" s="2" t="s">
        <v>49745</v>
      </c>
      <c r="E5192" s="2" t="s">
        <v>49746</v>
      </c>
      <c r="G5192" s="3" t="s">
        <v>62</v>
      </c>
      <c r="I5192" s="3" t="s">
        <v>62</v>
      </c>
      <c r="J5192" s="3" t="s">
        <v>62</v>
      </c>
      <c r="K5192" s="3" t="s">
        <v>63</v>
      </c>
      <c r="L5192" s="2" t="s">
        <v>46330</v>
      </c>
      <c r="M5192" s="2" t="s">
        <v>9755</v>
      </c>
      <c r="N5192" s="3" t="s">
        <v>1155</v>
      </c>
      <c r="P5192" s="3" t="s">
        <v>65</v>
      </c>
      <c r="Q5192" s="2" t="s">
        <v>49747</v>
      </c>
      <c r="R5192" s="3" t="s">
        <v>66</v>
      </c>
      <c r="S5192" s="4">
        <v>4</v>
      </c>
      <c r="T5192" s="4">
        <v>4</v>
      </c>
      <c r="U5192" s="5" t="s">
        <v>5769</v>
      </c>
      <c r="V5192" s="5" t="s">
        <v>5769</v>
      </c>
      <c r="W5192" s="5" t="s">
        <v>67</v>
      </c>
      <c r="X5192" s="5" t="s">
        <v>67</v>
      </c>
      <c r="Y5192" s="4">
        <v>92</v>
      </c>
      <c r="Z5192" s="4">
        <v>12</v>
      </c>
      <c r="AA5192" s="4">
        <v>15</v>
      </c>
      <c r="AB5192" s="4">
        <v>1</v>
      </c>
      <c r="AC5192" s="4">
        <v>4</v>
      </c>
      <c r="AD5192" s="4">
        <v>47</v>
      </c>
      <c r="AE5192" s="4">
        <v>55</v>
      </c>
      <c r="AF5192" s="4">
        <v>0</v>
      </c>
      <c r="AG5192" s="4">
        <v>0</v>
      </c>
      <c r="AH5192" s="4">
        <v>43</v>
      </c>
      <c r="AI5192" s="4">
        <v>51</v>
      </c>
      <c r="AJ5192" s="4">
        <v>9</v>
      </c>
      <c r="AK5192" s="4">
        <v>9</v>
      </c>
      <c r="AL5192" s="4">
        <v>29</v>
      </c>
      <c r="AM5192" s="4">
        <v>35</v>
      </c>
      <c r="AN5192" s="4">
        <v>0</v>
      </c>
      <c r="AO5192" s="4">
        <v>0</v>
      </c>
      <c r="AP5192" s="4">
        <v>10</v>
      </c>
      <c r="AQ5192" s="4">
        <v>10</v>
      </c>
      <c r="AR5192" s="3" t="s">
        <v>62</v>
      </c>
      <c r="AS5192" s="3" t="s">
        <v>62</v>
      </c>
      <c r="AT5192" s="3" t="s">
        <v>62</v>
      </c>
      <c r="AV5192" s="6" t="str">
        <f>HYPERLINK("http://mcgill.on.worldcat.org/oclc/694393718","Catalog Record")</f>
        <v>Catalog Record</v>
      </c>
      <c r="AW5192" s="6" t="str">
        <f>HYPERLINK("http://www.worldcat.org/oclc/694393718","WorldCat Record")</f>
        <v>WorldCat Record</v>
      </c>
      <c r="AX5192" s="3" t="s">
        <v>49748</v>
      </c>
      <c r="AY5192" s="3" t="s">
        <v>49749</v>
      </c>
      <c r="AZ5192" s="3" t="s">
        <v>49750</v>
      </c>
      <c r="BA5192" s="3" t="s">
        <v>49750</v>
      </c>
      <c r="BB5192" s="3" t="s">
        <v>49751</v>
      </c>
      <c r="BC5192" s="3" t="s">
        <v>142</v>
      </c>
      <c r="BD5192" s="3" t="s">
        <v>308</v>
      </c>
      <c r="BE5192" s="3" t="s">
        <v>49752</v>
      </c>
      <c r="BF5192" s="3" t="s">
        <v>49751</v>
      </c>
      <c r="BG5192" s="3" t="s">
        <v>49753</v>
      </c>
    </row>
    <row r="5193" spans="1:59" ht="57" x14ac:dyDescent="0.45">
      <c r="A5193" s="2" t="s">
        <v>59</v>
      </c>
      <c r="B5193" s="2" t="s">
        <v>60</v>
      </c>
      <c r="C5193" s="2" t="s">
        <v>49754</v>
      </c>
      <c r="D5193" s="2" t="s">
        <v>49755</v>
      </c>
      <c r="E5193" s="2" t="s">
        <v>49756</v>
      </c>
      <c r="G5193" s="3" t="s">
        <v>62</v>
      </c>
      <c r="I5193" s="3" t="s">
        <v>62</v>
      </c>
      <c r="J5193" s="3" t="s">
        <v>62</v>
      </c>
      <c r="K5193" s="3" t="s">
        <v>63</v>
      </c>
      <c r="M5193" s="2" t="s">
        <v>49757</v>
      </c>
      <c r="N5193" s="3" t="s">
        <v>918</v>
      </c>
      <c r="P5193" s="3" t="s">
        <v>65</v>
      </c>
      <c r="Q5193" s="2" t="s">
        <v>49758</v>
      </c>
      <c r="R5193" s="3" t="s">
        <v>66</v>
      </c>
      <c r="S5193" s="4">
        <v>6</v>
      </c>
      <c r="T5193" s="4">
        <v>6</v>
      </c>
      <c r="U5193" s="5" t="s">
        <v>5769</v>
      </c>
      <c r="V5193" s="5" t="s">
        <v>5769</v>
      </c>
      <c r="W5193" s="5" t="s">
        <v>67</v>
      </c>
      <c r="X5193" s="5" t="s">
        <v>67</v>
      </c>
      <c r="Y5193" s="4">
        <v>114</v>
      </c>
      <c r="Z5193" s="4">
        <v>14</v>
      </c>
      <c r="AA5193" s="4">
        <v>16</v>
      </c>
      <c r="AB5193" s="4">
        <v>1</v>
      </c>
      <c r="AC5193" s="4">
        <v>3</v>
      </c>
      <c r="AD5193" s="4">
        <v>60</v>
      </c>
      <c r="AE5193" s="4">
        <v>62</v>
      </c>
      <c r="AF5193" s="4">
        <v>0</v>
      </c>
      <c r="AG5193" s="4">
        <v>2</v>
      </c>
      <c r="AH5193" s="4">
        <v>54</v>
      </c>
      <c r="AI5193" s="4">
        <v>55</v>
      </c>
      <c r="AJ5193" s="4">
        <v>11</v>
      </c>
      <c r="AK5193" s="4">
        <v>13</v>
      </c>
      <c r="AL5193" s="4">
        <v>32</v>
      </c>
      <c r="AM5193" s="4">
        <v>32</v>
      </c>
      <c r="AN5193" s="4">
        <v>0</v>
      </c>
      <c r="AO5193" s="4">
        <v>0</v>
      </c>
      <c r="AP5193" s="4">
        <v>12</v>
      </c>
      <c r="AQ5193" s="4">
        <v>14</v>
      </c>
      <c r="AR5193" s="3" t="s">
        <v>62</v>
      </c>
      <c r="AS5193" s="3" t="s">
        <v>62</v>
      </c>
      <c r="AT5193" s="3" t="s">
        <v>62</v>
      </c>
      <c r="AV5193" s="6" t="str">
        <f>HYPERLINK("http://mcgill.on.worldcat.org/oclc/52806102","Catalog Record")</f>
        <v>Catalog Record</v>
      </c>
      <c r="AW5193" s="6" t="str">
        <f>HYPERLINK("http://www.worldcat.org/oclc/52806102","WorldCat Record")</f>
        <v>WorldCat Record</v>
      </c>
      <c r="AX5193" s="3" t="s">
        <v>49759</v>
      </c>
      <c r="AY5193" s="3" t="s">
        <v>49760</v>
      </c>
      <c r="AZ5193" s="3" t="s">
        <v>49761</v>
      </c>
      <c r="BA5193" s="3" t="s">
        <v>49761</v>
      </c>
      <c r="BB5193" s="3" t="s">
        <v>49762</v>
      </c>
      <c r="BC5193" s="3" t="s">
        <v>142</v>
      </c>
      <c r="BD5193" s="3" t="s">
        <v>68</v>
      </c>
      <c r="BE5193" s="3" t="s">
        <v>49763</v>
      </c>
      <c r="BF5193" s="3" t="s">
        <v>49762</v>
      </c>
      <c r="BG5193" s="3" t="s">
        <v>49764</v>
      </c>
    </row>
    <row r="5194" spans="1:59" ht="57" x14ac:dyDescent="0.45">
      <c r="A5194" s="2" t="s">
        <v>59</v>
      </c>
      <c r="B5194" s="2" t="s">
        <v>60</v>
      </c>
      <c r="C5194" s="2" t="s">
        <v>49765</v>
      </c>
      <c r="D5194" s="2" t="s">
        <v>49766</v>
      </c>
      <c r="E5194" s="2" t="s">
        <v>49767</v>
      </c>
      <c r="G5194" s="3" t="s">
        <v>62</v>
      </c>
      <c r="I5194" s="3" t="s">
        <v>62</v>
      </c>
      <c r="J5194" s="3" t="s">
        <v>62</v>
      </c>
      <c r="K5194" s="3" t="s">
        <v>63</v>
      </c>
      <c r="M5194" s="2" t="s">
        <v>4509</v>
      </c>
      <c r="N5194" s="3" t="s">
        <v>1465</v>
      </c>
      <c r="P5194" s="3" t="s">
        <v>65</v>
      </c>
      <c r="Q5194" s="2" t="s">
        <v>3949</v>
      </c>
      <c r="R5194" s="3" t="s">
        <v>66</v>
      </c>
      <c r="S5194" s="4">
        <v>2</v>
      </c>
      <c r="T5194" s="4">
        <v>2</v>
      </c>
      <c r="U5194" s="5" t="s">
        <v>47861</v>
      </c>
      <c r="V5194" s="5" t="s">
        <v>47861</v>
      </c>
      <c r="W5194" s="5" t="s">
        <v>67</v>
      </c>
      <c r="X5194" s="5" t="s">
        <v>67</v>
      </c>
      <c r="Y5194" s="4">
        <v>173</v>
      </c>
      <c r="Z5194" s="4">
        <v>17</v>
      </c>
      <c r="AA5194" s="4">
        <v>23</v>
      </c>
      <c r="AB5194" s="4">
        <v>2</v>
      </c>
      <c r="AC5194" s="4">
        <v>4</v>
      </c>
      <c r="AD5194" s="4">
        <v>71</v>
      </c>
      <c r="AE5194" s="4">
        <v>81</v>
      </c>
      <c r="AF5194" s="4">
        <v>1</v>
      </c>
      <c r="AG5194" s="4">
        <v>2</v>
      </c>
      <c r="AH5194" s="4">
        <v>65</v>
      </c>
      <c r="AI5194" s="4">
        <v>70</v>
      </c>
      <c r="AJ5194" s="4">
        <v>14</v>
      </c>
      <c r="AK5194" s="4">
        <v>17</v>
      </c>
      <c r="AL5194" s="4">
        <v>41</v>
      </c>
      <c r="AM5194" s="4">
        <v>46</v>
      </c>
      <c r="AN5194" s="4">
        <v>0</v>
      </c>
      <c r="AO5194" s="4">
        <v>0</v>
      </c>
      <c r="AP5194" s="4">
        <v>15</v>
      </c>
      <c r="AQ5194" s="4">
        <v>18</v>
      </c>
      <c r="AR5194" s="3" t="s">
        <v>62</v>
      </c>
      <c r="AS5194" s="3" t="s">
        <v>62</v>
      </c>
      <c r="AT5194" s="3" t="s">
        <v>62</v>
      </c>
      <c r="AV5194" s="6" t="str">
        <f>HYPERLINK("http://mcgill.on.worldcat.org/oclc/216938535","Catalog Record")</f>
        <v>Catalog Record</v>
      </c>
      <c r="AW5194" s="6" t="str">
        <f>HYPERLINK("http://www.worldcat.org/oclc/216938535","WorldCat Record")</f>
        <v>WorldCat Record</v>
      </c>
      <c r="AX5194" s="3" t="s">
        <v>49768</v>
      </c>
      <c r="AY5194" s="3" t="s">
        <v>49769</v>
      </c>
      <c r="AZ5194" s="3" t="s">
        <v>49770</v>
      </c>
      <c r="BA5194" s="3" t="s">
        <v>49770</v>
      </c>
      <c r="BB5194" s="3" t="s">
        <v>49771</v>
      </c>
      <c r="BC5194" s="3" t="s">
        <v>142</v>
      </c>
      <c r="BD5194" s="3" t="s">
        <v>68</v>
      </c>
      <c r="BE5194" s="3" t="s">
        <v>49772</v>
      </c>
      <c r="BF5194" s="3" t="s">
        <v>49771</v>
      </c>
      <c r="BG5194" s="3" t="s">
        <v>49773</v>
      </c>
    </row>
    <row r="5195" spans="1:59" ht="57" x14ac:dyDescent="0.45">
      <c r="A5195" s="2" t="s">
        <v>59</v>
      </c>
      <c r="B5195" s="2" t="s">
        <v>60</v>
      </c>
      <c r="C5195" s="2" t="s">
        <v>49774</v>
      </c>
      <c r="D5195" s="2" t="s">
        <v>49775</v>
      </c>
      <c r="E5195" s="2" t="s">
        <v>49776</v>
      </c>
      <c r="G5195" s="3" t="s">
        <v>62</v>
      </c>
      <c r="I5195" s="3" t="s">
        <v>62</v>
      </c>
      <c r="J5195" s="3" t="s">
        <v>62</v>
      </c>
      <c r="K5195" s="3" t="s">
        <v>63</v>
      </c>
      <c r="L5195" s="2" t="s">
        <v>49777</v>
      </c>
      <c r="M5195" s="2" t="s">
        <v>49778</v>
      </c>
      <c r="N5195" s="3" t="s">
        <v>1478</v>
      </c>
      <c r="P5195" s="3" t="s">
        <v>65</v>
      </c>
      <c r="Q5195" s="2" t="s">
        <v>49779</v>
      </c>
      <c r="R5195" s="3" t="s">
        <v>66</v>
      </c>
      <c r="S5195" s="4">
        <v>23</v>
      </c>
      <c r="T5195" s="4">
        <v>23</v>
      </c>
      <c r="U5195" s="5" t="s">
        <v>49697</v>
      </c>
      <c r="V5195" s="5" t="s">
        <v>49697</v>
      </c>
      <c r="W5195" s="5" t="s">
        <v>67</v>
      </c>
      <c r="X5195" s="5" t="s">
        <v>67</v>
      </c>
      <c r="Y5195" s="4">
        <v>108</v>
      </c>
      <c r="Z5195" s="4">
        <v>10</v>
      </c>
      <c r="AA5195" s="4">
        <v>13</v>
      </c>
      <c r="AB5195" s="4">
        <v>1</v>
      </c>
      <c r="AC5195" s="4">
        <v>2</v>
      </c>
      <c r="AD5195" s="4">
        <v>58</v>
      </c>
      <c r="AE5195" s="4">
        <v>64</v>
      </c>
      <c r="AF5195" s="4">
        <v>0</v>
      </c>
      <c r="AG5195" s="4">
        <v>1</v>
      </c>
      <c r="AH5195" s="4">
        <v>51</v>
      </c>
      <c r="AI5195" s="4">
        <v>55</v>
      </c>
      <c r="AJ5195" s="4">
        <v>8</v>
      </c>
      <c r="AK5195" s="4">
        <v>10</v>
      </c>
      <c r="AL5195" s="4">
        <v>36</v>
      </c>
      <c r="AM5195" s="4">
        <v>37</v>
      </c>
      <c r="AN5195" s="4">
        <v>0</v>
      </c>
      <c r="AO5195" s="4">
        <v>0</v>
      </c>
      <c r="AP5195" s="4">
        <v>8</v>
      </c>
      <c r="AQ5195" s="4">
        <v>11</v>
      </c>
      <c r="AR5195" s="3" t="s">
        <v>62</v>
      </c>
      <c r="AS5195" s="3" t="s">
        <v>62</v>
      </c>
      <c r="AT5195" s="3" t="s">
        <v>62</v>
      </c>
      <c r="AV5195" s="6" t="str">
        <f>HYPERLINK("http://mcgill.on.worldcat.org/oclc/35159176","Catalog Record")</f>
        <v>Catalog Record</v>
      </c>
      <c r="AW5195" s="6" t="str">
        <f>HYPERLINK("http://www.worldcat.org/oclc/35159176","WorldCat Record")</f>
        <v>WorldCat Record</v>
      </c>
      <c r="AX5195" s="3" t="s">
        <v>49780</v>
      </c>
      <c r="AY5195" s="3" t="s">
        <v>49781</v>
      </c>
      <c r="AZ5195" s="3" t="s">
        <v>49782</v>
      </c>
      <c r="BA5195" s="3" t="s">
        <v>49782</v>
      </c>
      <c r="BB5195" s="3" t="s">
        <v>49783</v>
      </c>
      <c r="BC5195" s="3" t="s">
        <v>142</v>
      </c>
      <c r="BD5195" s="3" t="s">
        <v>308</v>
      </c>
      <c r="BE5195" s="3" t="s">
        <v>49784</v>
      </c>
      <c r="BF5195" s="3" t="s">
        <v>49783</v>
      </c>
      <c r="BG5195" s="3" t="s">
        <v>49785</v>
      </c>
    </row>
    <row r="5196" spans="1:59" ht="57" x14ac:dyDescent="0.45">
      <c r="A5196" s="2" t="s">
        <v>59</v>
      </c>
      <c r="B5196" s="2" t="s">
        <v>60</v>
      </c>
      <c r="C5196" s="2" t="s">
        <v>49786</v>
      </c>
      <c r="D5196" s="2" t="s">
        <v>49787</v>
      </c>
      <c r="E5196" s="2" t="s">
        <v>49788</v>
      </c>
      <c r="G5196" s="3" t="s">
        <v>62</v>
      </c>
      <c r="I5196" s="3" t="s">
        <v>62</v>
      </c>
      <c r="J5196" s="3" t="s">
        <v>62</v>
      </c>
      <c r="K5196" s="3" t="s">
        <v>63</v>
      </c>
      <c r="L5196" s="2" t="s">
        <v>49789</v>
      </c>
      <c r="M5196" s="2" t="s">
        <v>49790</v>
      </c>
      <c r="N5196" s="3" t="s">
        <v>167</v>
      </c>
      <c r="P5196" s="3" t="s">
        <v>65</v>
      </c>
      <c r="Q5196" s="2" t="s">
        <v>49791</v>
      </c>
      <c r="R5196" s="3" t="s">
        <v>66</v>
      </c>
      <c r="S5196" s="4">
        <v>6</v>
      </c>
      <c r="T5196" s="4">
        <v>6</v>
      </c>
      <c r="U5196" s="5" t="s">
        <v>29526</v>
      </c>
      <c r="V5196" s="5" t="s">
        <v>29526</v>
      </c>
      <c r="W5196" s="5" t="s">
        <v>67</v>
      </c>
      <c r="X5196" s="5" t="s">
        <v>67</v>
      </c>
      <c r="Y5196" s="4">
        <v>148</v>
      </c>
      <c r="Z5196" s="4">
        <v>11</v>
      </c>
      <c r="AA5196" s="4">
        <v>99</v>
      </c>
      <c r="AB5196" s="4">
        <v>1</v>
      </c>
      <c r="AC5196" s="4">
        <v>17</v>
      </c>
      <c r="AD5196" s="4">
        <v>67</v>
      </c>
      <c r="AE5196" s="4">
        <v>130</v>
      </c>
      <c r="AF5196" s="4">
        <v>0</v>
      </c>
      <c r="AG5196" s="4">
        <v>8</v>
      </c>
      <c r="AH5196" s="4">
        <v>61</v>
      </c>
      <c r="AI5196" s="4">
        <v>92</v>
      </c>
      <c r="AJ5196" s="4">
        <v>9</v>
      </c>
      <c r="AK5196" s="4">
        <v>24</v>
      </c>
      <c r="AL5196" s="4">
        <v>40</v>
      </c>
      <c r="AM5196" s="4">
        <v>51</v>
      </c>
      <c r="AN5196" s="4">
        <v>0</v>
      </c>
      <c r="AO5196" s="4">
        <v>0</v>
      </c>
      <c r="AP5196" s="4">
        <v>9</v>
      </c>
      <c r="AQ5196" s="4">
        <v>45</v>
      </c>
      <c r="AR5196" s="3" t="s">
        <v>62</v>
      </c>
      <c r="AS5196" s="3" t="s">
        <v>62</v>
      </c>
      <c r="AT5196" s="3" t="s">
        <v>61</v>
      </c>
      <c r="AU5196" s="6" t="str">
        <f>HYPERLINK("http://catalog.hathitrust.org/Record/003442750","HathiTrust Record")</f>
        <v>HathiTrust Record</v>
      </c>
      <c r="AV5196" s="6" t="str">
        <f>HYPERLINK("http://mcgill.on.worldcat.org/oclc/40682149","Catalog Record")</f>
        <v>Catalog Record</v>
      </c>
      <c r="AW5196" s="6" t="str">
        <f>HYPERLINK("http://www.worldcat.org/oclc/40682149","WorldCat Record")</f>
        <v>WorldCat Record</v>
      </c>
      <c r="AX5196" s="3" t="s">
        <v>49792</v>
      </c>
      <c r="AY5196" s="3" t="s">
        <v>49793</v>
      </c>
      <c r="AZ5196" s="3" t="s">
        <v>49794</v>
      </c>
      <c r="BA5196" s="3" t="s">
        <v>49794</v>
      </c>
      <c r="BB5196" s="3" t="s">
        <v>49795</v>
      </c>
      <c r="BC5196" s="3" t="s">
        <v>142</v>
      </c>
      <c r="BD5196" s="3" t="s">
        <v>68</v>
      </c>
      <c r="BE5196" s="3" t="s">
        <v>49796</v>
      </c>
      <c r="BF5196" s="3" t="s">
        <v>49795</v>
      </c>
      <c r="BG5196" s="3" t="s">
        <v>49797</v>
      </c>
    </row>
    <row r="5197" spans="1:59" ht="57" x14ac:dyDescent="0.45">
      <c r="A5197" s="2" t="s">
        <v>59</v>
      </c>
      <c r="B5197" s="2" t="s">
        <v>60</v>
      </c>
      <c r="C5197" s="2" t="s">
        <v>49798</v>
      </c>
      <c r="D5197" s="2" t="s">
        <v>49799</v>
      </c>
      <c r="E5197" s="2" t="s">
        <v>49800</v>
      </c>
      <c r="G5197" s="3" t="s">
        <v>62</v>
      </c>
      <c r="I5197" s="3" t="s">
        <v>62</v>
      </c>
      <c r="J5197" s="3" t="s">
        <v>62</v>
      </c>
      <c r="K5197" s="3" t="s">
        <v>63</v>
      </c>
      <c r="L5197" s="2" t="s">
        <v>45865</v>
      </c>
      <c r="M5197" s="2" t="s">
        <v>4998</v>
      </c>
      <c r="N5197" s="3" t="s">
        <v>807</v>
      </c>
      <c r="P5197" s="3" t="s">
        <v>65</v>
      </c>
      <c r="Q5197" s="2" t="s">
        <v>29735</v>
      </c>
      <c r="R5197" s="3" t="s">
        <v>66</v>
      </c>
      <c r="S5197" s="4">
        <v>26</v>
      </c>
      <c r="T5197" s="4">
        <v>26</v>
      </c>
      <c r="U5197" s="5" t="s">
        <v>16703</v>
      </c>
      <c r="V5197" s="5" t="s">
        <v>16703</v>
      </c>
      <c r="W5197" s="5" t="s">
        <v>67</v>
      </c>
      <c r="X5197" s="5" t="s">
        <v>67</v>
      </c>
      <c r="Y5197" s="4">
        <v>459</v>
      </c>
      <c r="Z5197" s="4">
        <v>37</v>
      </c>
      <c r="AA5197" s="4">
        <v>41</v>
      </c>
      <c r="AB5197" s="4">
        <v>2</v>
      </c>
      <c r="AC5197" s="4">
        <v>6</v>
      </c>
      <c r="AD5197" s="4">
        <v>118</v>
      </c>
      <c r="AE5197" s="4">
        <v>122</v>
      </c>
      <c r="AF5197" s="4">
        <v>1</v>
      </c>
      <c r="AG5197" s="4">
        <v>5</v>
      </c>
      <c r="AH5197" s="4">
        <v>98</v>
      </c>
      <c r="AI5197" s="4">
        <v>99</v>
      </c>
      <c r="AJ5197" s="4">
        <v>18</v>
      </c>
      <c r="AK5197" s="4">
        <v>22</v>
      </c>
      <c r="AL5197" s="4">
        <v>54</v>
      </c>
      <c r="AM5197" s="4">
        <v>54</v>
      </c>
      <c r="AN5197" s="4">
        <v>0</v>
      </c>
      <c r="AO5197" s="4">
        <v>0</v>
      </c>
      <c r="AP5197" s="4">
        <v>30</v>
      </c>
      <c r="AQ5197" s="4">
        <v>33</v>
      </c>
      <c r="AR5197" s="3" t="s">
        <v>62</v>
      </c>
      <c r="AS5197" s="3" t="s">
        <v>62</v>
      </c>
      <c r="AT5197" s="3" t="s">
        <v>62</v>
      </c>
      <c r="AV5197" s="6" t="str">
        <f>HYPERLINK("http://mcgill.on.worldcat.org/oclc/21227561","Catalog Record")</f>
        <v>Catalog Record</v>
      </c>
      <c r="AW5197" s="6" t="str">
        <f>HYPERLINK("http://www.worldcat.org/oclc/21227561","WorldCat Record")</f>
        <v>WorldCat Record</v>
      </c>
      <c r="AX5197" s="3" t="s">
        <v>49801</v>
      </c>
      <c r="AY5197" s="3" t="s">
        <v>49802</v>
      </c>
      <c r="AZ5197" s="3" t="s">
        <v>49803</v>
      </c>
      <c r="BA5197" s="3" t="s">
        <v>49803</v>
      </c>
      <c r="BB5197" s="3" t="s">
        <v>49804</v>
      </c>
      <c r="BC5197" s="3" t="s">
        <v>142</v>
      </c>
      <c r="BD5197" s="3" t="s">
        <v>68</v>
      </c>
      <c r="BE5197" s="3" t="s">
        <v>49805</v>
      </c>
      <c r="BF5197" s="3" t="s">
        <v>49804</v>
      </c>
      <c r="BG5197" s="3" t="s">
        <v>49806</v>
      </c>
    </row>
    <row r="5198" spans="1:59" ht="57" x14ac:dyDescent="0.45">
      <c r="A5198" s="2" t="s">
        <v>59</v>
      </c>
      <c r="B5198" s="2" t="s">
        <v>60</v>
      </c>
      <c r="C5198" s="2" t="s">
        <v>49807</v>
      </c>
      <c r="D5198" s="2" t="s">
        <v>49808</v>
      </c>
      <c r="E5198" s="2" t="s">
        <v>49809</v>
      </c>
      <c r="F5198" s="3" t="s">
        <v>35706</v>
      </c>
      <c r="G5198" s="3" t="s">
        <v>61</v>
      </c>
      <c r="I5198" s="3" t="s">
        <v>62</v>
      </c>
      <c r="J5198" s="3" t="s">
        <v>62</v>
      </c>
      <c r="K5198" s="3" t="s">
        <v>63</v>
      </c>
      <c r="M5198" s="2" t="s">
        <v>49810</v>
      </c>
      <c r="N5198" s="3" t="s">
        <v>542</v>
      </c>
      <c r="P5198" s="3" t="s">
        <v>65</v>
      </c>
      <c r="Q5198" s="2" t="s">
        <v>49811</v>
      </c>
      <c r="R5198" s="3" t="s">
        <v>66</v>
      </c>
      <c r="S5198" s="4">
        <v>5</v>
      </c>
      <c r="T5198" s="4">
        <v>24</v>
      </c>
      <c r="U5198" s="5" t="s">
        <v>49812</v>
      </c>
      <c r="V5198" s="5" t="s">
        <v>49813</v>
      </c>
      <c r="W5198" s="5" t="s">
        <v>67</v>
      </c>
      <c r="X5198" s="5" t="s">
        <v>67</v>
      </c>
      <c r="Y5198" s="4">
        <v>298</v>
      </c>
      <c r="Z5198" s="4">
        <v>26</v>
      </c>
      <c r="AA5198" s="4">
        <v>111</v>
      </c>
      <c r="AB5198" s="4">
        <v>3</v>
      </c>
      <c r="AC5198" s="4">
        <v>18</v>
      </c>
      <c r="AD5198" s="4">
        <v>105</v>
      </c>
      <c r="AE5198" s="4">
        <v>147</v>
      </c>
      <c r="AF5198" s="4">
        <v>1</v>
      </c>
      <c r="AG5198" s="4">
        <v>8</v>
      </c>
      <c r="AH5198" s="4">
        <v>91</v>
      </c>
      <c r="AI5198" s="4">
        <v>107</v>
      </c>
      <c r="AJ5198" s="4">
        <v>17</v>
      </c>
      <c r="AK5198" s="4">
        <v>26</v>
      </c>
      <c r="AL5198" s="4">
        <v>51</v>
      </c>
      <c r="AM5198" s="4">
        <v>55</v>
      </c>
      <c r="AN5198" s="4">
        <v>0</v>
      </c>
      <c r="AO5198" s="4">
        <v>0</v>
      </c>
      <c r="AP5198" s="4">
        <v>23</v>
      </c>
      <c r="AQ5198" s="4">
        <v>50</v>
      </c>
      <c r="AR5198" s="3" t="s">
        <v>62</v>
      </c>
      <c r="AS5198" s="3" t="s">
        <v>62</v>
      </c>
      <c r="AT5198" s="3" t="s">
        <v>61</v>
      </c>
      <c r="AU5198" s="6" t="str">
        <f>HYPERLINK("http://catalog.hathitrust.org/Record/004220543","HathiTrust Record")</f>
        <v>HathiTrust Record</v>
      </c>
      <c r="AV5198" s="6" t="str">
        <f>HYPERLINK("http://mcgill.on.worldcat.org/oclc/47270450","Catalog Record")</f>
        <v>Catalog Record</v>
      </c>
      <c r="AW5198" s="6" t="str">
        <f>HYPERLINK("http://www.worldcat.org/oclc/47270450","WorldCat Record")</f>
        <v>WorldCat Record</v>
      </c>
      <c r="AX5198" s="3" t="s">
        <v>49814</v>
      </c>
      <c r="AY5198" s="3" t="s">
        <v>49815</v>
      </c>
      <c r="AZ5198" s="3" t="s">
        <v>49816</v>
      </c>
      <c r="BA5198" s="3" t="s">
        <v>49816</v>
      </c>
      <c r="BB5198" s="3" t="s">
        <v>49817</v>
      </c>
      <c r="BC5198" s="3" t="s">
        <v>142</v>
      </c>
      <c r="BD5198" s="3" t="s">
        <v>68</v>
      </c>
      <c r="BE5198" s="3" t="s">
        <v>49818</v>
      </c>
      <c r="BF5198" s="3" t="s">
        <v>49817</v>
      </c>
      <c r="BG5198" s="3" t="s">
        <v>49819</v>
      </c>
    </row>
    <row r="5199" spans="1:59" ht="57" x14ac:dyDescent="0.45">
      <c r="A5199" s="2" t="s">
        <v>59</v>
      </c>
      <c r="B5199" s="2" t="s">
        <v>60</v>
      </c>
      <c r="C5199" s="2" t="s">
        <v>49807</v>
      </c>
      <c r="D5199" s="2" t="s">
        <v>49808</v>
      </c>
      <c r="E5199" s="2" t="s">
        <v>49809</v>
      </c>
      <c r="F5199" s="3" t="s">
        <v>416</v>
      </c>
      <c r="G5199" s="3" t="s">
        <v>61</v>
      </c>
      <c r="I5199" s="3" t="s">
        <v>62</v>
      </c>
      <c r="J5199" s="3" t="s">
        <v>62</v>
      </c>
      <c r="K5199" s="3" t="s">
        <v>63</v>
      </c>
      <c r="M5199" s="2" t="s">
        <v>49810</v>
      </c>
      <c r="N5199" s="3" t="s">
        <v>542</v>
      </c>
      <c r="P5199" s="3" t="s">
        <v>65</v>
      </c>
      <c r="Q5199" s="2" t="s">
        <v>49811</v>
      </c>
      <c r="R5199" s="3" t="s">
        <v>66</v>
      </c>
      <c r="S5199" s="4">
        <v>11</v>
      </c>
      <c r="T5199" s="4">
        <v>24</v>
      </c>
      <c r="U5199" s="5" t="s">
        <v>49813</v>
      </c>
      <c r="V5199" s="5" t="s">
        <v>49813</v>
      </c>
      <c r="W5199" s="5" t="s">
        <v>67</v>
      </c>
      <c r="X5199" s="5" t="s">
        <v>67</v>
      </c>
      <c r="Y5199" s="4">
        <v>298</v>
      </c>
      <c r="Z5199" s="4">
        <v>26</v>
      </c>
      <c r="AA5199" s="4">
        <v>111</v>
      </c>
      <c r="AB5199" s="4">
        <v>3</v>
      </c>
      <c r="AC5199" s="4">
        <v>18</v>
      </c>
      <c r="AD5199" s="4">
        <v>105</v>
      </c>
      <c r="AE5199" s="4">
        <v>147</v>
      </c>
      <c r="AF5199" s="4">
        <v>1</v>
      </c>
      <c r="AG5199" s="4">
        <v>8</v>
      </c>
      <c r="AH5199" s="4">
        <v>91</v>
      </c>
      <c r="AI5199" s="4">
        <v>107</v>
      </c>
      <c r="AJ5199" s="4">
        <v>17</v>
      </c>
      <c r="AK5199" s="4">
        <v>26</v>
      </c>
      <c r="AL5199" s="4">
        <v>51</v>
      </c>
      <c r="AM5199" s="4">
        <v>55</v>
      </c>
      <c r="AN5199" s="4">
        <v>0</v>
      </c>
      <c r="AO5199" s="4">
        <v>0</v>
      </c>
      <c r="AP5199" s="4">
        <v>23</v>
      </c>
      <c r="AQ5199" s="4">
        <v>50</v>
      </c>
      <c r="AR5199" s="3" t="s">
        <v>62</v>
      </c>
      <c r="AS5199" s="3" t="s">
        <v>62</v>
      </c>
      <c r="AT5199" s="3" t="s">
        <v>61</v>
      </c>
      <c r="AU5199" s="6" t="str">
        <f>HYPERLINK("http://catalog.hathitrust.org/Record/004220543","HathiTrust Record")</f>
        <v>HathiTrust Record</v>
      </c>
      <c r="AV5199" s="6" t="str">
        <f>HYPERLINK("http://mcgill.on.worldcat.org/oclc/47270450","Catalog Record")</f>
        <v>Catalog Record</v>
      </c>
      <c r="AW5199" s="6" t="str">
        <f>HYPERLINK("http://www.worldcat.org/oclc/47270450","WorldCat Record")</f>
        <v>WorldCat Record</v>
      </c>
      <c r="AX5199" s="3" t="s">
        <v>49814</v>
      </c>
      <c r="AY5199" s="3" t="s">
        <v>49815</v>
      </c>
      <c r="AZ5199" s="3" t="s">
        <v>49816</v>
      </c>
      <c r="BA5199" s="3" t="s">
        <v>49816</v>
      </c>
      <c r="BB5199" s="3" t="s">
        <v>49820</v>
      </c>
      <c r="BC5199" s="3" t="s">
        <v>142</v>
      </c>
      <c r="BD5199" s="3" t="s">
        <v>68</v>
      </c>
      <c r="BE5199" s="3" t="s">
        <v>49818</v>
      </c>
      <c r="BF5199" s="3" t="s">
        <v>49820</v>
      </c>
      <c r="BG5199" s="3" t="s">
        <v>49821</v>
      </c>
    </row>
    <row r="5200" spans="1:59" ht="57" x14ac:dyDescent="0.45">
      <c r="A5200" s="2" t="s">
        <v>59</v>
      </c>
      <c r="B5200" s="2" t="s">
        <v>60</v>
      </c>
      <c r="C5200" s="2" t="s">
        <v>49807</v>
      </c>
      <c r="D5200" s="2" t="s">
        <v>49808</v>
      </c>
      <c r="E5200" s="2" t="s">
        <v>49809</v>
      </c>
      <c r="F5200" s="3" t="s">
        <v>86</v>
      </c>
      <c r="G5200" s="3" t="s">
        <v>61</v>
      </c>
      <c r="I5200" s="3" t="s">
        <v>62</v>
      </c>
      <c r="J5200" s="3" t="s">
        <v>62</v>
      </c>
      <c r="K5200" s="3" t="s">
        <v>63</v>
      </c>
      <c r="M5200" s="2" t="s">
        <v>49810</v>
      </c>
      <c r="N5200" s="3" t="s">
        <v>542</v>
      </c>
      <c r="P5200" s="3" t="s">
        <v>65</v>
      </c>
      <c r="Q5200" s="2" t="s">
        <v>49811</v>
      </c>
      <c r="R5200" s="3" t="s">
        <v>66</v>
      </c>
      <c r="S5200" s="4">
        <v>8</v>
      </c>
      <c r="T5200" s="4">
        <v>24</v>
      </c>
      <c r="U5200" s="5" t="s">
        <v>4570</v>
      </c>
      <c r="V5200" s="5" t="s">
        <v>49813</v>
      </c>
      <c r="W5200" s="5" t="s">
        <v>67</v>
      </c>
      <c r="X5200" s="5" t="s">
        <v>67</v>
      </c>
      <c r="Y5200" s="4">
        <v>298</v>
      </c>
      <c r="Z5200" s="4">
        <v>26</v>
      </c>
      <c r="AA5200" s="4">
        <v>111</v>
      </c>
      <c r="AB5200" s="4">
        <v>3</v>
      </c>
      <c r="AC5200" s="4">
        <v>18</v>
      </c>
      <c r="AD5200" s="4">
        <v>105</v>
      </c>
      <c r="AE5200" s="4">
        <v>147</v>
      </c>
      <c r="AF5200" s="4">
        <v>1</v>
      </c>
      <c r="AG5200" s="4">
        <v>8</v>
      </c>
      <c r="AH5200" s="4">
        <v>91</v>
      </c>
      <c r="AI5200" s="4">
        <v>107</v>
      </c>
      <c r="AJ5200" s="4">
        <v>17</v>
      </c>
      <c r="AK5200" s="4">
        <v>26</v>
      </c>
      <c r="AL5200" s="4">
        <v>51</v>
      </c>
      <c r="AM5200" s="4">
        <v>55</v>
      </c>
      <c r="AN5200" s="4">
        <v>0</v>
      </c>
      <c r="AO5200" s="4">
        <v>0</v>
      </c>
      <c r="AP5200" s="4">
        <v>23</v>
      </c>
      <c r="AQ5200" s="4">
        <v>50</v>
      </c>
      <c r="AR5200" s="3" t="s">
        <v>62</v>
      </c>
      <c r="AS5200" s="3" t="s">
        <v>62</v>
      </c>
      <c r="AT5200" s="3" t="s">
        <v>61</v>
      </c>
      <c r="AU5200" s="6" t="str">
        <f>HYPERLINK("http://catalog.hathitrust.org/Record/004220543","HathiTrust Record")</f>
        <v>HathiTrust Record</v>
      </c>
      <c r="AV5200" s="6" t="str">
        <f>HYPERLINK("http://mcgill.on.worldcat.org/oclc/47270450","Catalog Record")</f>
        <v>Catalog Record</v>
      </c>
      <c r="AW5200" s="6" t="str">
        <f>HYPERLINK("http://www.worldcat.org/oclc/47270450","WorldCat Record")</f>
        <v>WorldCat Record</v>
      </c>
      <c r="AX5200" s="3" t="s">
        <v>49814</v>
      </c>
      <c r="AY5200" s="3" t="s">
        <v>49815</v>
      </c>
      <c r="AZ5200" s="3" t="s">
        <v>49816</v>
      </c>
      <c r="BA5200" s="3" t="s">
        <v>49816</v>
      </c>
      <c r="BB5200" s="3" t="s">
        <v>49822</v>
      </c>
      <c r="BC5200" s="3" t="s">
        <v>142</v>
      </c>
      <c r="BD5200" s="3" t="s">
        <v>68</v>
      </c>
      <c r="BE5200" s="3" t="s">
        <v>49818</v>
      </c>
      <c r="BF5200" s="3" t="s">
        <v>49822</v>
      </c>
      <c r="BG5200" s="3" t="s">
        <v>49823</v>
      </c>
    </row>
    <row r="5201" spans="1:59" ht="57" x14ac:dyDescent="0.45">
      <c r="A5201" s="2" t="s">
        <v>59</v>
      </c>
      <c r="B5201" s="2" t="s">
        <v>60</v>
      </c>
      <c r="C5201" s="2" t="s">
        <v>49824</v>
      </c>
      <c r="D5201" s="2" t="s">
        <v>49825</v>
      </c>
      <c r="E5201" s="2" t="s">
        <v>49826</v>
      </c>
      <c r="G5201" s="3" t="s">
        <v>62</v>
      </c>
      <c r="I5201" s="3" t="s">
        <v>62</v>
      </c>
      <c r="J5201" s="3" t="s">
        <v>62</v>
      </c>
      <c r="K5201" s="3" t="s">
        <v>63</v>
      </c>
      <c r="M5201" s="2" t="s">
        <v>49596</v>
      </c>
      <c r="N5201" s="3" t="s">
        <v>1212</v>
      </c>
      <c r="P5201" s="3" t="s">
        <v>65</v>
      </c>
      <c r="Q5201" s="2" t="s">
        <v>49827</v>
      </c>
      <c r="R5201" s="3" t="s">
        <v>66</v>
      </c>
      <c r="S5201" s="4">
        <v>6</v>
      </c>
      <c r="T5201" s="4">
        <v>6</v>
      </c>
      <c r="U5201" s="5" t="s">
        <v>43469</v>
      </c>
      <c r="V5201" s="5" t="s">
        <v>43469</v>
      </c>
      <c r="W5201" s="5" t="s">
        <v>67</v>
      </c>
      <c r="X5201" s="5" t="s">
        <v>67</v>
      </c>
      <c r="Y5201" s="4">
        <v>141</v>
      </c>
      <c r="Z5201" s="4">
        <v>11</v>
      </c>
      <c r="AA5201" s="4">
        <v>14</v>
      </c>
      <c r="AB5201" s="4">
        <v>1</v>
      </c>
      <c r="AC5201" s="4">
        <v>4</v>
      </c>
      <c r="AD5201" s="4">
        <v>66</v>
      </c>
      <c r="AE5201" s="4">
        <v>67</v>
      </c>
      <c r="AF5201" s="4">
        <v>0</v>
      </c>
      <c r="AG5201" s="4">
        <v>1</v>
      </c>
      <c r="AH5201" s="4">
        <v>61</v>
      </c>
      <c r="AI5201" s="4">
        <v>61</v>
      </c>
      <c r="AJ5201" s="4">
        <v>9</v>
      </c>
      <c r="AK5201" s="4">
        <v>10</v>
      </c>
      <c r="AL5201" s="4">
        <v>40</v>
      </c>
      <c r="AM5201" s="4">
        <v>40</v>
      </c>
      <c r="AN5201" s="4">
        <v>0</v>
      </c>
      <c r="AO5201" s="4">
        <v>0</v>
      </c>
      <c r="AP5201" s="4">
        <v>9</v>
      </c>
      <c r="AQ5201" s="4">
        <v>9</v>
      </c>
      <c r="AR5201" s="3" t="s">
        <v>62</v>
      </c>
      <c r="AS5201" s="3" t="s">
        <v>62</v>
      </c>
      <c r="AT5201" s="3" t="s">
        <v>62</v>
      </c>
      <c r="AV5201" s="6" t="str">
        <f>HYPERLINK("http://mcgill.on.worldcat.org/oclc/42716572","Catalog Record")</f>
        <v>Catalog Record</v>
      </c>
      <c r="AW5201" s="6" t="str">
        <f>HYPERLINK("http://www.worldcat.org/oclc/42716572","WorldCat Record")</f>
        <v>WorldCat Record</v>
      </c>
      <c r="AX5201" s="3" t="s">
        <v>49828</v>
      </c>
      <c r="AY5201" s="3" t="s">
        <v>49829</v>
      </c>
      <c r="AZ5201" s="3" t="s">
        <v>49830</v>
      </c>
      <c r="BA5201" s="3" t="s">
        <v>49830</v>
      </c>
      <c r="BB5201" s="3" t="s">
        <v>49831</v>
      </c>
      <c r="BC5201" s="3" t="s">
        <v>142</v>
      </c>
      <c r="BD5201" s="3" t="s">
        <v>68</v>
      </c>
      <c r="BE5201" s="3" t="s">
        <v>49832</v>
      </c>
      <c r="BF5201" s="3" t="s">
        <v>49831</v>
      </c>
      <c r="BG5201" s="3" t="s">
        <v>49833</v>
      </c>
    </row>
    <row r="5202" spans="1:59" ht="57" x14ac:dyDescent="0.45">
      <c r="A5202" s="2" t="s">
        <v>59</v>
      </c>
      <c r="B5202" s="2" t="s">
        <v>60</v>
      </c>
      <c r="C5202" s="2" t="s">
        <v>49834</v>
      </c>
      <c r="D5202" s="2" t="s">
        <v>49835</v>
      </c>
      <c r="E5202" s="2" t="s">
        <v>49836</v>
      </c>
      <c r="G5202" s="3" t="s">
        <v>62</v>
      </c>
      <c r="I5202" s="3" t="s">
        <v>62</v>
      </c>
      <c r="J5202" s="3" t="s">
        <v>62</v>
      </c>
      <c r="K5202" s="3" t="s">
        <v>63</v>
      </c>
      <c r="L5202" s="2" t="s">
        <v>45865</v>
      </c>
      <c r="M5202" s="2" t="s">
        <v>11956</v>
      </c>
      <c r="N5202" s="3" t="s">
        <v>1212</v>
      </c>
      <c r="P5202" s="3" t="s">
        <v>65</v>
      </c>
      <c r="Q5202" s="2" t="s">
        <v>29735</v>
      </c>
      <c r="R5202" s="3" t="s">
        <v>66</v>
      </c>
      <c r="S5202" s="4">
        <v>20</v>
      </c>
      <c r="T5202" s="4">
        <v>20</v>
      </c>
      <c r="U5202" s="5" t="s">
        <v>22785</v>
      </c>
      <c r="V5202" s="5" t="s">
        <v>22785</v>
      </c>
      <c r="W5202" s="5" t="s">
        <v>67</v>
      </c>
      <c r="X5202" s="5" t="s">
        <v>67</v>
      </c>
      <c r="Y5202" s="4">
        <v>259</v>
      </c>
      <c r="Z5202" s="4">
        <v>26</v>
      </c>
      <c r="AA5202" s="4">
        <v>121</v>
      </c>
      <c r="AB5202" s="4">
        <v>2</v>
      </c>
      <c r="AC5202" s="4">
        <v>21</v>
      </c>
      <c r="AD5202" s="4">
        <v>88</v>
      </c>
      <c r="AE5202" s="4">
        <v>146</v>
      </c>
      <c r="AF5202" s="4">
        <v>1</v>
      </c>
      <c r="AG5202" s="4">
        <v>9</v>
      </c>
      <c r="AH5202" s="4">
        <v>75</v>
      </c>
      <c r="AI5202" s="4">
        <v>99</v>
      </c>
      <c r="AJ5202" s="4">
        <v>19</v>
      </c>
      <c r="AK5202" s="4">
        <v>27</v>
      </c>
      <c r="AL5202" s="4">
        <v>42</v>
      </c>
      <c r="AM5202" s="4">
        <v>53</v>
      </c>
      <c r="AN5202" s="4">
        <v>0</v>
      </c>
      <c r="AO5202" s="4">
        <v>0</v>
      </c>
      <c r="AP5202" s="4">
        <v>22</v>
      </c>
      <c r="AQ5202" s="4">
        <v>55</v>
      </c>
      <c r="AR5202" s="3" t="s">
        <v>62</v>
      </c>
      <c r="AS5202" s="3" t="s">
        <v>62</v>
      </c>
      <c r="AT5202" s="3" t="s">
        <v>62</v>
      </c>
      <c r="AV5202" s="6" t="str">
        <f>HYPERLINK("http://mcgill.on.worldcat.org/oclc/44915408","Catalog Record")</f>
        <v>Catalog Record</v>
      </c>
      <c r="AW5202" s="6" t="str">
        <f>HYPERLINK("http://www.worldcat.org/oclc/44915408","WorldCat Record")</f>
        <v>WorldCat Record</v>
      </c>
      <c r="AX5202" s="3" t="s">
        <v>49837</v>
      </c>
      <c r="AY5202" s="3" t="s">
        <v>49838</v>
      </c>
      <c r="AZ5202" s="3" t="s">
        <v>49839</v>
      </c>
      <c r="BA5202" s="3" t="s">
        <v>49839</v>
      </c>
      <c r="BB5202" s="3" t="s">
        <v>49840</v>
      </c>
      <c r="BC5202" s="3" t="s">
        <v>142</v>
      </c>
      <c r="BD5202" s="3" t="s">
        <v>68</v>
      </c>
      <c r="BE5202" s="3" t="s">
        <v>49841</v>
      </c>
      <c r="BF5202" s="3" t="s">
        <v>49840</v>
      </c>
      <c r="BG5202" s="3" t="s">
        <v>49842</v>
      </c>
    </row>
    <row r="5203" spans="1:59" ht="57" x14ac:dyDescent="0.45">
      <c r="A5203" s="2" t="s">
        <v>59</v>
      </c>
      <c r="B5203" s="2" t="s">
        <v>60</v>
      </c>
      <c r="C5203" s="2" t="s">
        <v>49843</v>
      </c>
      <c r="D5203" s="2" t="s">
        <v>49844</v>
      </c>
      <c r="E5203" s="2" t="s">
        <v>49845</v>
      </c>
      <c r="G5203" s="3" t="s">
        <v>62</v>
      </c>
      <c r="I5203" s="3" t="s">
        <v>62</v>
      </c>
      <c r="J5203" s="3" t="s">
        <v>62</v>
      </c>
      <c r="K5203" s="3" t="s">
        <v>63</v>
      </c>
      <c r="L5203" s="2" t="s">
        <v>49846</v>
      </c>
      <c r="M5203" s="2" t="s">
        <v>47595</v>
      </c>
      <c r="N5203" s="3" t="s">
        <v>958</v>
      </c>
      <c r="P5203" s="3" t="s">
        <v>65</v>
      </c>
      <c r="Q5203" s="2" t="s">
        <v>49847</v>
      </c>
      <c r="R5203" s="3" t="s">
        <v>66</v>
      </c>
      <c r="S5203" s="4">
        <v>7</v>
      </c>
      <c r="T5203" s="4">
        <v>7</v>
      </c>
      <c r="U5203" s="5" t="s">
        <v>49848</v>
      </c>
      <c r="V5203" s="5" t="s">
        <v>49848</v>
      </c>
      <c r="W5203" s="5" t="s">
        <v>67</v>
      </c>
      <c r="X5203" s="5" t="s">
        <v>67</v>
      </c>
      <c r="Y5203" s="4">
        <v>153</v>
      </c>
      <c r="Z5203" s="4">
        <v>13</v>
      </c>
      <c r="AA5203" s="4">
        <v>15</v>
      </c>
      <c r="AB5203" s="4">
        <v>1</v>
      </c>
      <c r="AC5203" s="4">
        <v>1</v>
      </c>
      <c r="AD5203" s="4">
        <v>70</v>
      </c>
      <c r="AE5203" s="4">
        <v>76</v>
      </c>
      <c r="AF5203" s="4">
        <v>0</v>
      </c>
      <c r="AG5203" s="4">
        <v>0</v>
      </c>
      <c r="AH5203" s="4">
        <v>66</v>
      </c>
      <c r="AI5203" s="4">
        <v>71</v>
      </c>
      <c r="AJ5203" s="4">
        <v>11</v>
      </c>
      <c r="AK5203" s="4">
        <v>12</v>
      </c>
      <c r="AL5203" s="4">
        <v>38</v>
      </c>
      <c r="AM5203" s="4">
        <v>40</v>
      </c>
      <c r="AN5203" s="4">
        <v>0</v>
      </c>
      <c r="AO5203" s="4">
        <v>0</v>
      </c>
      <c r="AP5203" s="4">
        <v>11</v>
      </c>
      <c r="AQ5203" s="4">
        <v>13</v>
      </c>
      <c r="AR5203" s="3" t="s">
        <v>62</v>
      </c>
      <c r="AS5203" s="3" t="s">
        <v>62</v>
      </c>
      <c r="AT5203" s="3" t="s">
        <v>61</v>
      </c>
      <c r="AU5203" s="6" t="str">
        <f>HYPERLINK("http://catalog.hathitrust.org/Record/002994147","HathiTrust Record")</f>
        <v>HathiTrust Record</v>
      </c>
      <c r="AV5203" s="6" t="str">
        <f>HYPERLINK("http://mcgill.on.worldcat.org/oclc/31408492","Catalog Record")</f>
        <v>Catalog Record</v>
      </c>
      <c r="AW5203" s="6" t="str">
        <f>HYPERLINK("http://www.worldcat.org/oclc/31408492","WorldCat Record")</f>
        <v>WorldCat Record</v>
      </c>
      <c r="AX5203" s="3" t="s">
        <v>49849</v>
      </c>
      <c r="AY5203" s="3" t="s">
        <v>49850</v>
      </c>
      <c r="AZ5203" s="3" t="s">
        <v>49851</v>
      </c>
      <c r="BA5203" s="3" t="s">
        <v>49851</v>
      </c>
      <c r="BB5203" s="3" t="s">
        <v>49852</v>
      </c>
      <c r="BC5203" s="3" t="s">
        <v>142</v>
      </c>
      <c r="BD5203" s="3" t="s">
        <v>68</v>
      </c>
      <c r="BE5203" s="3" t="s">
        <v>49853</v>
      </c>
      <c r="BF5203" s="3" t="s">
        <v>49852</v>
      </c>
      <c r="BG5203" s="3" t="s">
        <v>49854</v>
      </c>
    </row>
    <row r="5204" spans="1:59" ht="57" x14ac:dyDescent="0.45">
      <c r="A5204" s="2" t="s">
        <v>59</v>
      </c>
      <c r="B5204" s="2" t="s">
        <v>60</v>
      </c>
      <c r="C5204" s="2" t="s">
        <v>49855</v>
      </c>
      <c r="D5204" s="2" t="s">
        <v>49856</v>
      </c>
      <c r="E5204" s="2" t="s">
        <v>49857</v>
      </c>
      <c r="G5204" s="3" t="s">
        <v>62</v>
      </c>
      <c r="I5204" s="3" t="s">
        <v>62</v>
      </c>
      <c r="J5204" s="3" t="s">
        <v>62</v>
      </c>
      <c r="K5204" s="3" t="s">
        <v>63</v>
      </c>
      <c r="L5204" s="2" t="s">
        <v>49858</v>
      </c>
      <c r="M5204" s="2" t="s">
        <v>2952</v>
      </c>
      <c r="N5204" s="3" t="s">
        <v>918</v>
      </c>
      <c r="P5204" s="3" t="s">
        <v>65</v>
      </c>
      <c r="Q5204" s="2" t="s">
        <v>43468</v>
      </c>
      <c r="R5204" s="3" t="s">
        <v>66</v>
      </c>
      <c r="S5204" s="4">
        <v>3</v>
      </c>
      <c r="T5204" s="4">
        <v>3</v>
      </c>
      <c r="U5204" s="5" t="s">
        <v>5386</v>
      </c>
      <c r="V5204" s="5" t="s">
        <v>5386</v>
      </c>
      <c r="W5204" s="5" t="s">
        <v>67</v>
      </c>
      <c r="X5204" s="5" t="s">
        <v>67</v>
      </c>
      <c r="Y5204" s="4">
        <v>163</v>
      </c>
      <c r="Z5204" s="4">
        <v>11</v>
      </c>
      <c r="AA5204" s="4">
        <v>101</v>
      </c>
      <c r="AB5204" s="4">
        <v>2</v>
      </c>
      <c r="AC5204" s="4">
        <v>20</v>
      </c>
      <c r="AD5204" s="4">
        <v>65</v>
      </c>
      <c r="AE5204" s="4">
        <v>135</v>
      </c>
      <c r="AF5204" s="4">
        <v>1</v>
      </c>
      <c r="AG5204" s="4">
        <v>8</v>
      </c>
      <c r="AH5204" s="4">
        <v>57</v>
      </c>
      <c r="AI5204" s="4">
        <v>88</v>
      </c>
      <c r="AJ5204" s="4">
        <v>8</v>
      </c>
      <c r="AK5204" s="4">
        <v>25</v>
      </c>
      <c r="AL5204" s="4">
        <v>41</v>
      </c>
      <c r="AM5204" s="4">
        <v>50</v>
      </c>
      <c r="AN5204" s="4">
        <v>0</v>
      </c>
      <c r="AO5204" s="4">
        <v>0</v>
      </c>
      <c r="AP5204" s="4">
        <v>9</v>
      </c>
      <c r="AQ5204" s="4">
        <v>52</v>
      </c>
      <c r="AR5204" s="3" t="s">
        <v>62</v>
      </c>
      <c r="AS5204" s="3" t="s">
        <v>62</v>
      </c>
      <c r="AT5204" s="3" t="s">
        <v>62</v>
      </c>
      <c r="AV5204" s="6" t="str">
        <f>HYPERLINK("http://mcgill.on.worldcat.org/oclc/50782977","Catalog Record")</f>
        <v>Catalog Record</v>
      </c>
      <c r="AW5204" s="6" t="str">
        <f>HYPERLINK("http://www.worldcat.org/oclc/50782977","WorldCat Record")</f>
        <v>WorldCat Record</v>
      </c>
      <c r="AX5204" s="3" t="s">
        <v>49859</v>
      </c>
      <c r="AY5204" s="3" t="s">
        <v>49860</v>
      </c>
      <c r="AZ5204" s="3" t="s">
        <v>49861</v>
      </c>
      <c r="BA5204" s="3" t="s">
        <v>49861</v>
      </c>
      <c r="BB5204" s="3" t="s">
        <v>49862</v>
      </c>
      <c r="BC5204" s="3" t="s">
        <v>142</v>
      </c>
      <c r="BD5204" s="3" t="s">
        <v>68</v>
      </c>
      <c r="BE5204" s="3" t="s">
        <v>49863</v>
      </c>
      <c r="BF5204" s="3" t="s">
        <v>49862</v>
      </c>
      <c r="BG5204" s="3" t="s">
        <v>49864</v>
      </c>
    </row>
    <row r="5205" spans="1:59" ht="57" x14ac:dyDescent="0.45">
      <c r="A5205" s="2" t="s">
        <v>59</v>
      </c>
      <c r="B5205" s="2" t="s">
        <v>60</v>
      </c>
      <c r="C5205" s="2" t="s">
        <v>49865</v>
      </c>
      <c r="D5205" s="2" t="s">
        <v>49866</v>
      </c>
      <c r="E5205" s="2" t="s">
        <v>49867</v>
      </c>
      <c r="G5205" s="3" t="s">
        <v>62</v>
      </c>
      <c r="I5205" s="3" t="s">
        <v>62</v>
      </c>
      <c r="J5205" s="3" t="s">
        <v>62</v>
      </c>
      <c r="K5205" s="3" t="s">
        <v>63</v>
      </c>
      <c r="L5205" s="2" t="s">
        <v>49868</v>
      </c>
      <c r="M5205" s="2" t="s">
        <v>32694</v>
      </c>
      <c r="N5205" s="3" t="s">
        <v>1097</v>
      </c>
      <c r="P5205" s="3" t="s">
        <v>65</v>
      </c>
      <c r="Q5205" s="2" t="s">
        <v>49869</v>
      </c>
      <c r="R5205" s="3" t="s">
        <v>66</v>
      </c>
      <c r="S5205" s="4">
        <v>9</v>
      </c>
      <c r="T5205" s="4">
        <v>9</v>
      </c>
      <c r="U5205" s="5" t="s">
        <v>2226</v>
      </c>
      <c r="V5205" s="5" t="s">
        <v>2226</v>
      </c>
      <c r="W5205" s="5" t="s">
        <v>67</v>
      </c>
      <c r="X5205" s="5" t="s">
        <v>67</v>
      </c>
      <c r="Y5205" s="4">
        <v>189</v>
      </c>
      <c r="Z5205" s="4">
        <v>18</v>
      </c>
      <c r="AA5205" s="4">
        <v>24</v>
      </c>
      <c r="AB5205" s="4">
        <v>2</v>
      </c>
      <c r="AC5205" s="4">
        <v>6</v>
      </c>
      <c r="AD5205" s="4">
        <v>85</v>
      </c>
      <c r="AE5205" s="4">
        <v>91</v>
      </c>
      <c r="AF5205" s="4">
        <v>1</v>
      </c>
      <c r="AG5205" s="4">
        <v>2</v>
      </c>
      <c r="AH5205" s="4">
        <v>79</v>
      </c>
      <c r="AI5205" s="4">
        <v>83</v>
      </c>
      <c r="AJ5205" s="4">
        <v>15</v>
      </c>
      <c r="AK5205" s="4">
        <v>16</v>
      </c>
      <c r="AL5205" s="4">
        <v>44</v>
      </c>
      <c r="AM5205" s="4">
        <v>45</v>
      </c>
      <c r="AN5205" s="4">
        <v>0</v>
      </c>
      <c r="AO5205" s="4">
        <v>0</v>
      </c>
      <c r="AP5205" s="4">
        <v>15</v>
      </c>
      <c r="AQ5205" s="4">
        <v>18</v>
      </c>
      <c r="AR5205" s="3" t="s">
        <v>62</v>
      </c>
      <c r="AS5205" s="3" t="s">
        <v>62</v>
      </c>
      <c r="AT5205" s="3" t="s">
        <v>62</v>
      </c>
      <c r="AV5205" s="6" t="str">
        <f>HYPERLINK("http://mcgill.on.worldcat.org/oclc/56655564","Catalog Record")</f>
        <v>Catalog Record</v>
      </c>
      <c r="AW5205" s="6" t="str">
        <f>HYPERLINK("http://www.worldcat.org/oclc/56655564","WorldCat Record")</f>
        <v>WorldCat Record</v>
      </c>
      <c r="AX5205" s="3" t="s">
        <v>49870</v>
      </c>
      <c r="AY5205" s="3" t="s">
        <v>49871</v>
      </c>
      <c r="AZ5205" s="3" t="s">
        <v>49872</v>
      </c>
      <c r="BA5205" s="3" t="s">
        <v>49872</v>
      </c>
      <c r="BB5205" s="3" t="s">
        <v>49873</v>
      </c>
      <c r="BC5205" s="3" t="s">
        <v>142</v>
      </c>
      <c r="BD5205" s="3" t="s">
        <v>68</v>
      </c>
      <c r="BE5205" s="3" t="s">
        <v>49874</v>
      </c>
      <c r="BF5205" s="3" t="s">
        <v>49873</v>
      </c>
      <c r="BG5205" s="3" t="s">
        <v>49875</v>
      </c>
    </row>
    <row r="5206" spans="1:59" ht="57" x14ac:dyDescent="0.45">
      <c r="A5206" s="2" t="s">
        <v>59</v>
      </c>
      <c r="B5206" s="2" t="s">
        <v>60</v>
      </c>
      <c r="C5206" s="2" t="s">
        <v>49876</v>
      </c>
      <c r="D5206" s="2" t="s">
        <v>49877</v>
      </c>
      <c r="E5206" s="2" t="s">
        <v>49878</v>
      </c>
      <c r="G5206" s="3" t="s">
        <v>62</v>
      </c>
      <c r="I5206" s="3" t="s">
        <v>62</v>
      </c>
      <c r="J5206" s="3" t="s">
        <v>62</v>
      </c>
      <c r="K5206" s="3" t="s">
        <v>63</v>
      </c>
      <c r="L5206" s="2" t="s">
        <v>49879</v>
      </c>
      <c r="M5206" s="2" t="s">
        <v>3013</v>
      </c>
      <c r="N5206" s="3" t="s">
        <v>1855</v>
      </c>
      <c r="P5206" s="3" t="s">
        <v>65</v>
      </c>
      <c r="Q5206" s="2" t="s">
        <v>49880</v>
      </c>
      <c r="R5206" s="3" t="s">
        <v>66</v>
      </c>
      <c r="S5206" s="4">
        <v>14</v>
      </c>
      <c r="T5206" s="4">
        <v>14</v>
      </c>
      <c r="U5206" s="5" t="s">
        <v>49881</v>
      </c>
      <c r="V5206" s="5" t="s">
        <v>49881</v>
      </c>
      <c r="W5206" s="5" t="s">
        <v>67</v>
      </c>
      <c r="X5206" s="5" t="s">
        <v>67</v>
      </c>
      <c r="Y5206" s="4">
        <v>215</v>
      </c>
      <c r="Z5206" s="4">
        <v>23</v>
      </c>
      <c r="AA5206" s="4">
        <v>36</v>
      </c>
      <c r="AB5206" s="4">
        <v>1</v>
      </c>
      <c r="AC5206" s="4">
        <v>9</v>
      </c>
      <c r="AD5206" s="4">
        <v>62</v>
      </c>
      <c r="AE5206" s="4">
        <v>78</v>
      </c>
      <c r="AF5206" s="4">
        <v>0</v>
      </c>
      <c r="AG5206" s="4">
        <v>4</v>
      </c>
      <c r="AH5206" s="4">
        <v>54</v>
      </c>
      <c r="AI5206" s="4">
        <v>63</v>
      </c>
      <c r="AJ5206" s="4">
        <v>13</v>
      </c>
      <c r="AK5206" s="4">
        <v>19</v>
      </c>
      <c r="AL5206" s="4">
        <v>30</v>
      </c>
      <c r="AM5206" s="4">
        <v>35</v>
      </c>
      <c r="AN5206" s="4">
        <v>0</v>
      </c>
      <c r="AO5206" s="4">
        <v>0</v>
      </c>
      <c r="AP5206" s="4">
        <v>17</v>
      </c>
      <c r="AQ5206" s="4">
        <v>23</v>
      </c>
      <c r="AR5206" s="3" t="s">
        <v>62</v>
      </c>
      <c r="AS5206" s="3" t="s">
        <v>62</v>
      </c>
      <c r="AT5206" s="3" t="s">
        <v>62</v>
      </c>
      <c r="AV5206" s="6" t="str">
        <f>HYPERLINK("http://mcgill.on.worldcat.org/oclc/55124326","Catalog Record")</f>
        <v>Catalog Record</v>
      </c>
      <c r="AW5206" s="6" t="str">
        <f>HYPERLINK("http://www.worldcat.org/oclc/55124326","WorldCat Record")</f>
        <v>WorldCat Record</v>
      </c>
      <c r="AX5206" s="3" t="s">
        <v>49882</v>
      </c>
      <c r="AY5206" s="3" t="s">
        <v>49883</v>
      </c>
      <c r="AZ5206" s="3" t="s">
        <v>49884</v>
      </c>
      <c r="BA5206" s="3" t="s">
        <v>49884</v>
      </c>
      <c r="BB5206" s="3" t="s">
        <v>49885</v>
      </c>
      <c r="BC5206" s="3" t="s">
        <v>142</v>
      </c>
      <c r="BD5206" s="3" t="s">
        <v>308</v>
      </c>
      <c r="BE5206" s="3" t="s">
        <v>49886</v>
      </c>
      <c r="BF5206" s="3" t="s">
        <v>49885</v>
      </c>
      <c r="BG5206" s="3" t="s">
        <v>49887</v>
      </c>
    </row>
    <row r="5207" spans="1:59" ht="57" x14ac:dyDescent="0.45">
      <c r="A5207" s="2" t="s">
        <v>59</v>
      </c>
      <c r="B5207" s="2" t="s">
        <v>60</v>
      </c>
      <c r="C5207" s="2" t="s">
        <v>49888</v>
      </c>
      <c r="D5207" s="2" t="s">
        <v>49889</v>
      </c>
      <c r="E5207" s="2" t="s">
        <v>49890</v>
      </c>
      <c r="G5207" s="3" t="s">
        <v>62</v>
      </c>
      <c r="I5207" s="3" t="s">
        <v>62</v>
      </c>
      <c r="J5207" s="3" t="s">
        <v>62</v>
      </c>
      <c r="K5207" s="3" t="s">
        <v>63</v>
      </c>
      <c r="L5207" s="2" t="s">
        <v>49891</v>
      </c>
      <c r="M5207" s="2" t="s">
        <v>49892</v>
      </c>
      <c r="N5207" s="3" t="s">
        <v>1155</v>
      </c>
      <c r="P5207" s="3" t="s">
        <v>65</v>
      </c>
      <c r="Q5207" s="2" t="s">
        <v>49893</v>
      </c>
      <c r="R5207" s="3" t="s">
        <v>66</v>
      </c>
      <c r="S5207" s="4">
        <v>0</v>
      </c>
      <c r="T5207" s="4">
        <v>0</v>
      </c>
      <c r="W5207" s="5" t="s">
        <v>67</v>
      </c>
      <c r="X5207" s="5" t="s">
        <v>67</v>
      </c>
      <c r="Y5207" s="4">
        <v>145</v>
      </c>
      <c r="Z5207" s="4">
        <v>18</v>
      </c>
      <c r="AA5207" s="4">
        <v>90</v>
      </c>
      <c r="AB5207" s="4">
        <v>1</v>
      </c>
      <c r="AC5207" s="4">
        <v>16</v>
      </c>
      <c r="AD5207" s="4">
        <v>67</v>
      </c>
      <c r="AE5207" s="4">
        <v>130</v>
      </c>
      <c r="AF5207" s="4">
        <v>0</v>
      </c>
      <c r="AG5207" s="4">
        <v>8</v>
      </c>
      <c r="AH5207" s="4">
        <v>59</v>
      </c>
      <c r="AI5207" s="4">
        <v>93</v>
      </c>
      <c r="AJ5207" s="4">
        <v>13</v>
      </c>
      <c r="AK5207" s="4">
        <v>25</v>
      </c>
      <c r="AL5207" s="4">
        <v>34</v>
      </c>
      <c r="AM5207" s="4">
        <v>48</v>
      </c>
      <c r="AN5207" s="4">
        <v>0</v>
      </c>
      <c r="AO5207" s="4">
        <v>0</v>
      </c>
      <c r="AP5207" s="4">
        <v>14</v>
      </c>
      <c r="AQ5207" s="4">
        <v>47</v>
      </c>
      <c r="AR5207" s="3" t="s">
        <v>62</v>
      </c>
      <c r="AS5207" s="3" t="s">
        <v>62</v>
      </c>
      <c r="AT5207" s="3" t="s">
        <v>62</v>
      </c>
      <c r="AV5207" s="6" t="str">
        <f>HYPERLINK("http://mcgill.on.worldcat.org/oclc/765881860","Catalog Record")</f>
        <v>Catalog Record</v>
      </c>
      <c r="AW5207" s="6" t="str">
        <f>HYPERLINK("http://www.worldcat.org/oclc/765881860","WorldCat Record")</f>
        <v>WorldCat Record</v>
      </c>
      <c r="AX5207" s="3" t="s">
        <v>49894</v>
      </c>
      <c r="AY5207" s="3" t="s">
        <v>49895</v>
      </c>
      <c r="AZ5207" s="3" t="s">
        <v>49896</v>
      </c>
      <c r="BA5207" s="3" t="s">
        <v>49896</v>
      </c>
      <c r="BB5207" s="3" t="s">
        <v>49897</v>
      </c>
      <c r="BC5207" s="3" t="s">
        <v>142</v>
      </c>
      <c r="BD5207" s="3" t="s">
        <v>68</v>
      </c>
      <c r="BE5207" s="3" t="s">
        <v>49898</v>
      </c>
      <c r="BF5207" s="3" t="s">
        <v>49897</v>
      </c>
      <c r="BG5207" s="3" t="s">
        <v>49899</v>
      </c>
    </row>
    <row r="5208" spans="1:59" ht="57" x14ac:dyDescent="0.45">
      <c r="A5208" s="2" t="s">
        <v>59</v>
      </c>
      <c r="B5208" s="2" t="s">
        <v>60</v>
      </c>
      <c r="C5208" s="2" t="s">
        <v>49900</v>
      </c>
      <c r="D5208" s="2" t="s">
        <v>49901</v>
      </c>
      <c r="E5208" s="2" t="s">
        <v>49902</v>
      </c>
      <c r="G5208" s="3" t="s">
        <v>62</v>
      </c>
      <c r="I5208" s="3" t="s">
        <v>62</v>
      </c>
      <c r="J5208" s="3" t="s">
        <v>62</v>
      </c>
      <c r="K5208" s="3" t="s">
        <v>63</v>
      </c>
      <c r="L5208" s="2" t="s">
        <v>49903</v>
      </c>
      <c r="M5208" s="2" t="s">
        <v>2976</v>
      </c>
      <c r="N5208" s="3" t="s">
        <v>149</v>
      </c>
      <c r="P5208" s="3" t="s">
        <v>65</v>
      </c>
      <c r="Q5208" s="2" t="s">
        <v>21253</v>
      </c>
      <c r="R5208" s="3" t="s">
        <v>66</v>
      </c>
      <c r="S5208" s="4">
        <v>5</v>
      </c>
      <c r="T5208" s="4">
        <v>5</v>
      </c>
      <c r="U5208" s="5" t="s">
        <v>14133</v>
      </c>
      <c r="V5208" s="5" t="s">
        <v>14133</v>
      </c>
      <c r="W5208" s="5" t="s">
        <v>67</v>
      </c>
      <c r="X5208" s="5" t="s">
        <v>67</v>
      </c>
      <c r="Y5208" s="4">
        <v>163</v>
      </c>
      <c r="Z5208" s="4">
        <v>20</v>
      </c>
      <c r="AA5208" s="4">
        <v>21</v>
      </c>
      <c r="AB5208" s="4">
        <v>2</v>
      </c>
      <c r="AC5208" s="4">
        <v>3</v>
      </c>
      <c r="AD5208" s="4">
        <v>82</v>
      </c>
      <c r="AE5208" s="4">
        <v>83</v>
      </c>
      <c r="AF5208" s="4">
        <v>1</v>
      </c>
      <c r="AG5208" s="4">
        <v>2</v>
      </c>
      <c r="AH5208" s="4">
        <v>74</v>
      </c>
      <c r="AI5208" s="4">
        <v>75</v>
      </c>
      <c r="AJ5208" s="4">
        <v>16</v>
      </c>
      <c r="AK5208" s="4">
        <v>17</v>
      </c>
      <c r="AL5208" s="4">
        <v>45</v>
      </c>
      <c r="AM5208" s="4">
        <v>45</v>
      </c>
      <c r="AN5208" s="4">
        <v>0</v>
      </c>
      <c r="AO5208" s="4">
        <v>0</v>
      </c>
      <c r="AP5208" s="4">
        <v>18</v>
      </c>
      <c r="AQ5208" s="4">
        <v>19</v>
      </c>
      <c r="AR5208" s="3" t="s">
        <v>62</v>
      </c>
      <c r="AS5208" s="3" t="s">
        <v>62</v>
      </c>
      <c r="AT5208" s="3" t="s">
        <v>62</v>
      </c>
      <c r="AV5208" s="6" t="str">
        <f>HYPERLINK("http://mcgill.on.worldcat.org/oclc/624411953","Catalog Record")</f>
        <v>Catalog Record</v>
      </c>
      <c r="AW5208" s="6" t="str">
        <f>HYPERLINK("http://www.worldcat.org/oclc/624411953","WorldCat Record")</f>
        <v>WorldCat Record</v>
      </c>
      <c r="AX5208" s="3" t="s">
        <v>49904</v>
      </c>
      <c r="AY5208" s="3" t="s">
        <v>49905</v>
      </c>
      <c r="AZ5208" s="3" t="s">
        <v>49906</v>
      </c>
      <c r="BA5208" s="3" t="s">
        <v>49906</v>
      </c>
      <c r="BB5208" s="3" t="s">
        <v>49907</v>
      </c>
      <c r="BC5208" s="3" t="s">
        <v>142</v>
      </c>
      <c r="BD5208" s="3" t="s">
        <v>68</v>
      </c>
      <c r="BE5208" s="3" t="s">
        <v>49908</v>
      </c>
      <c r="BF5208" s="3" t="s">
        <v>49907</v>
      </c>
      <c r="BG5208" s="3" t="s">
        <v>49909</v>
      </c>
    </row>
    <row r="5209" spans="1:59" ht="57" x14ac:dyDescent="0.45">
      <c r="A5209" s="2" t="s">
        <v>59</v>
      </c>
      <c r="B5209" s="2" t="s">
        <v>60</v>
      </c>
      <c r="C5209" s="2" t="s">
        <v>49910</v>
      </c>
      <c r="D5209" s="2" t="s">
        <v>49911</v>
      </c>
      <c r="E5209" s="2" t="s">
        <v>49912</v>
      </c>
      <c r="G5209" s="3" t="s">
        <v>62</v>
      </c>
      <c r="I5209" s="3" t="s">
        <v>62</v>
      </c>
      <c r="J5209" s="3" t="s">
        <v>61</v>
      </c>
      <c r="K5209" s="3" t="s">
        <v>63</v>
      </c>
      <c r="L5209" s="2" t="s">
        <v>49903</v>
      </c>
      <c r="M5209" s="2" t="s">
        <v>28286</v>
      </c>
      <c r="N5209" s="3" t="s">
        <v>1155</v>
      </c>
      <c r="O5209" s="2" t="s">
        <v>906</v>
      </c>
      <c r="P5209" s="3" t="s">
        <v>65</v>
      </c>
      <c r="Q5209" s="2" t="s">
        <v>29906</v>
      </c>
      <c r="R5209" s="3" t="s">
        <v>66</v>
      </c>
      <c r="S5209" s="4">
        <v>7</v>
      </c>
      <c r="T5209" s="4">
        <v>7</v>
      </c>
      <c r="U5209" s="5" t="s">
        <v>1584</v>
      </c>
      <c r="V5209" s="5" t="s">
        <v>1584</v>
      </c>
      <c r="W5209" s="5" t="s">
        <v>67</v>
      </c>
      <c r="X5209" s="5" t="s">
        <v>67</v>
      </c>
      <c r="Y5209" s="4">
        <v>96</v>
      </c>
      <c r="Z5209" s="4">
        <v>9</v>
      </c>
      <c r="AA5209" s="4">
        <v>108</v>
      </c>
      <c r="AB5209" s="4">
        <v>1</v>
      </c>
      <c r="AC5209" s="4">
        <v>22</v>
      </c>
      <c r="AD5209" s="4">
        <v>23</v>
      </c>
      <c r="AE5209" s="4">
        <v>136</v>
      </c>
      <c r="AF5209" s="4">
        <v>0</v>
      </c>
      <c r="AG5209" s="4">
        <v>9</v>
      </c>
      <c r="AH5209" s="4">
        <v>20</v>
      </c>
      <c r="AI5209" s="4">
        <v>89</v>
      </c>
      <c r="AJ5209" s="4">
        <v>7</v>
      </c>
      <c r="AK5209" s="4">
        <v>27</v>
      </c>
      <c r="AL5209" s="4">
        <v>10</v>
      </c>
      <c r="AM5209" s="4">
        <v>47</v>
      </c>
      <c r="AN5209" s="4">
        <v>0</v>
      </c>
      <c r="AO5209" s="4">
        <v>0</v>
      </c>
      <c r="AP5209" s="4">
        <v>7</v>
      </c>
      <c r="AQ5209" s="4">
        <v>56</v>
      </c>
      <c r="AR5209" s="3" t="s">
        <v>62</v>
      </c>
      <c r="AS5209" s="3" t="s">
        <v>62</v>
      </c>
      <c r="AT5209" s="3" t="s">
        <v>62</v>
      </c>
      <c r="AV5209" s="6" t="str">
        <f>HYPERLINK("http://mcgill.on.worldcat.org/oclc/794136215","Catalog Record")</f>
        <v>Catalog Record</v>
      </c>
      <c r="AW5209" s="6" t="str">
        <f>HYPERLINK("http://www.worldcat.org/oclc/794136215","WorldCat Record")</f>
        <v>WorldCat Record</v>
      </c>
      <c r="AX5209" s="3" t="s">
        <v>49913</v>
      </c>
      <c r="AY5209" s="3" t="s">
        <v>49914</v>
      </c>
      <c r="AZ5209" s="3" t="s">
        <v>49915</v>
      </c>
      <c r="BA5209" s="3" t="s">
        <v>49915</v>
      </c>
      <c r="BB5209" s="3" t="s">
        <v>49916</v>
      </c>
      <c r="BC5209" s="3" t="s">
        <v>142</v>
      </c>
      <c r="BD5209" s="3" t="s">
        <v>308</v>
      </c>
      <c r="BE5209" s="3" t="s">
        <v>49917</v>
      </c>
      <c r="BF5209" s="3" t="s">
        <v>49916</v>
      </c>
      <c r="BG5209" s="3" t="s">
        <v>49918</v>
      </c>
    </row>
    <row r="5210" spans="1:59" ht="57" x14ac:dyDescent="0.45">
      <c r="A5210" s="2" t="s">
        <v>59</v>
      </c>
      <c r="B5210" s="2" t="s">
        <v>60</v>
      </c>
      <c r="C5210" s="2" t="s">
        <v>49919</v>
      </c>
      <c r="D5210" s="2" t="s">
        <v>49920</v>
      </c>
      <c r="E5210" s="2" t="s">
        <v>49921</v>
      </c>
      <c r="G5210" s="3" t="s">
        <v>62</v>
      </c>
      <c r="I5210" s="3" t="s">
        <v>62</v>
      </c>
      <c r="J5210" s="3" t="s">
        <v>62</v>
      </c>
      <c r="K5210" s="3" t="s">
        <v>63</v>
      </c>
      <c r="L5210" s="2" t="s">
        <v>49922</v>
      </c>
      <c r="M5210" s="2" t="s">
        <v>1713</v>
      </c>
      <c r="N5210" s="3" t="s">
        <v>1155</v>
      </c>
      <c r="P5210" s="3" t="s">
        <v>65</v>
      </c>
      <c r="Q5210" s="2" t="s">
        <v>49923</v>
      </c>
      <c r="R5210" s="3" t="s">
        <v>66</v>
      </c>
      <c r="S5210" s="4">
        <v>2</v>
      </c>
      <c r="T5210" s="4">
        <v>2</v>
      </c>
      <c r="U5210" s="5" t="s">
        <v>16715</v>
      </c>
      <c r="V5210" s="5" t="s">
        <v>16715</v>
      </c>
      <c r="W5210" s="5" t="s">
        <v>67</v>
      </c>
      <c r="X5210" s="5" t="s">
        <v>67</v>
      </c>
      <c r="Y5210" s="4">
        <v>113</v>
      </c>
      <c r="Z5210" s="4">
        <v>15</v>
      </c>
      <c r="AA5210" s="4">
        <v>102</v>
      </c>
      <c r="AB5210" s="4">
        <v>1</v>
      </c>
      <c r="AC5210" s="4">
        <v>15</v>
      </c>
      <c r="AD5210" s="4">
        <v>57</v>
      </c>
      <c r="AE5210" s="4">
        <v>118</v>
      </c>
      <c r="AF5210" s="4">
        <v>0</v>
      </c>
      <c r="AG5210" s="4">
        <v>8</v>
      </c>
      <c r="AH5210" s="4">
        <v>51</v>
      </c>
      <c r="AI5210" s="4">
        <v>82</v>
      </c>
      <c r="AJ5210" s="4">
        <v>11</v>
      </c>
      <c r="AK5210" s="4">
        <v>23</v>
      </c>
      <c r="AL5210" s="4">
        <v>30</v>
      </c>
      <c r="AM5210" s="4">
        <v>43</v>
      </c>
      <c r="AN5210" s="4">
        <v>0</v>
      </c>
      <c r="AO5210" s="4">
        <v>0</v>
      </c>
      <c r="AP5210" s="4">
        <v>12</v>
      </c>
      <c r="AQ5210" s="4">
        <v>44</v>
      </c>
      <c r="AR5210" s="3" t="s">
        <v>62</v>
      </c>
      <c r="AS5210" s="3" t="s">
        <v>62</v>
      </c>
      <c r="AT5210" s="3" t="s">
        <v>62</v>
      </c>
      <c r="AV5210" s="6" t="str">
        <f>HYPERLINK("http://mcgill.on.worldcat.org/oclc/741549074","Catalog Record")</f>
        <v>Catalog Record</v>
      </c>
      <c r="AW5210" s="6" t="str">
        <f>HYPERLINK("http://www.worldcat.org/oclc/741549074","WorldCat Record")</f>
        <v>WorldCat Record</v>
      </c>
      <c r="AX5210" s="3" t="s">
        <v>49924</v>
      </c>
      <c r="AY5210" s="3" t="s">
        <v>49925</v>
      </c>
      <c r="AZ5210" s="3" t="s">
        <v>49926</v>
      </c>
      <c r="BA5210" s="3" t="s">
        <v>49926</v>
      </c>
      <c r="BB5210" s="3" t="s">
        <v>49927</v>
      </c>
      <c r="BC5210" s="3" t="s">
        <v>142</v>
      </c>
      <c r="BD5210" s="3" t="s">
        <v>68</v>
      </c>
      <c r="BE5210" s="3" t="s">
        <v>49928</v>
      </c>
      <c r="BF5210" s="3" t="s">
        <v>49927</v>
      </c>
      <c r="BG5210" s="3" t="s">
        <v>49929</v>
      </c>
    </row>
    <row r="5211" spans="1:59" ht="57" x14ac:dyDescent="0.45">
      <c r="A5211" s="2" t="s">
        <v>59</v>
      </c>
      <c r="B5211" s="2" t="s">
        <v>60</v>
      </c>
      <c r="C5211" s="2" t="s">
        <v>49930</v>
      </c>
      <c r="D5211" s="2" t="s">
        <v>49931</v>
      </c>
      <c r="E5211" s="2" t="s">
        <v>49932</v>
      </c>
      <c r="G5211" s="3" t="s">
        <v>62</v>
      </c>
      <c r="I5211" s="3" t="s">
        <v>62</v>
      </c>
      <c r="J5211" s="3" t="s">
        <v>62</v>
      </c>
      <c r="K5211" s="3" t="s">
        <v>63</v>
      </c>
      <c r="L5211" s="2" t="s">
        <v>48440</v>
      </c>
      <c r="M5211" s="2" t="s">
        <v>12165</v>
      </c>
      <c r="N5211" s="3" t="s">
        <v>529</v>
      </c>
      <c r="P5211" s="3" t="s">
        <v>65</v>
      </c>
      <c r="Q5211" s="2" t="s">
        <v>49933</v>
      </c>
      <c r="R5211" s="3" t="s">
        <v>66</v>
      </c>
      <c r="S5211" s="4">
        <v>30</v>
      </c>
      <c r="T5211" s="4">
        <v>30</v>
      </c>
      <c r="U5211" s="5" t="s">
        <v>7393</v>
      </c>
      <c r="V5211" s="5" t="s">
        <v>7393</v>
      </c>
      <c r="W5211" s="5" t="s">
        <v>67</v>
      </c>
      <c r="X5211" s="5" t="s">
        <v>67</v>
      </c>
      <c r="Y5211" s="4">
        <v>377</v>
      </c>
      <c r="Z5211" s="4">
        <v>30</v>
      </c>
      <c r="AA5211" s="4">
        <v>104</v>
      </c>
      <c r="AB5211" s="4">
        <v>2</v>
      </c>
      <c r="AC5211" s="4">
        <v>17</v>
      </c>
      <c r="AD5211" s="4">
        <v>115</v>
      </c>
      <c r="AE5211" s="4">
        <v>148</v>
      </c>
      <c r="AF5211" s="4">
        <v>1</v>
      </c>
      <c r="AG5211" s="4">
        <v>8</v>
      </c>
      <c r="AH5211" s="4">
        <v>100</v>
      </c>
      <c r="AI5211" s="4">
        <v>109</v>
      </c>
      <c r="AJ5211" s="4">
        <v>21</v>
      </c>
      <c r="AK5211" s="4">
        <v>27</v>
      </c>
      <c r="AL5211" s="4">
        <v>54</v>
      </c>
      <c r="AM5211" s="4">
        <v>57</v>
      </c>
      <c r="AN5211" s="4">
        <v>0</v>
      </c>
      <c r="AO5211" s="4">
        <v>0</v>
      </c>
      <c r="AP5211" s="4">
        <v>25</v>
      </c>
      <c r="AQ5211" s="4">
        <v>49</v>
      </c>
      <c r="AR5211" s="3" t="s">
        <v>62</v>
      </c>
      <c r="AS5211" s="3" t="s">
        <v>62</v>
      </c>
      <c r="AT5211" s="3" t="s">
        <v>61</v>
      </c>
      <c r="AU5211" s="6" t="str">
        <f>HYPERLINK("http://catalog.hathitrust.org/Record/000350185","HathiTrust Record")</f>
        <v>HathiTrust Record</v>
      </c>
      <c r="AV5211" s="6" t="str">
        <f>HYPERLINK("http://mcgill.on.worldcat.org/oclc/12051705","Catalog Record")</f>
        <v>Catalog Record</v>
      </c>
      <c r="AW5211" s="6" t="str">
        <f>HYPERLINK("http://www.worldcat.org/oclc/12051705","WorldCat Record")</f>
        <v>WorldCat Record</v>
      </c>
      <c r="AX5211" s="3" t="s">
        <v>49934</v>
      </c>
      <c r="AY5211" s="3" t="s">
        <v>49935</v>
      </c>
      <c r="AZ5211" s="3" t="s">
        <v>49936</v>
      </c>
      <c r="BA5211" s="3" t="s">
        <v>49936</v>
      </c>
      <c r="BB5211" s="3" t="s">
        <v>49937</v>
      </c>
      <c r="BC5211" s="3" t="s">
        <v>142</v>
      </c>
      <c r="BD5211" s="3" t="s">
        <v>68</v>
      </c>
      <c r="BE5211" s="3" t="s">
        <v>49938</v>
      </c>
      <c r="BF5211" s="3" t="s">
        <v>49937</v>
      </c>
      <c r="BG5211" s="3" t="s">
        <v>49939</v>
      </c>
    </row>
    <row r="5212" spans="1:59" ht="57" x14ac:dyDescent="0.45">
      <c r="A5212" s="2" t="s">
        <v>59</v>
      </c>
      <c r="B5212" s="2" t="s">
        <v>60</v>
      </c>
      <c r="C5212" s="2" t="s">
        <v>49940</v>
      </c>
      <c r="D5212" s="2" t="s">
        <v>49941</v>
      </c>
      <c r="E5212" s="2" t="s">
        <v>49942</v>
      </c>
      <c r="G5212" s="3" t="s">
        <v>62</v>
      </c>
      <c r="I5212" s="3" t="s">
        <v>62</v>
      </c>
      <c r="J5212" s="3" t="s">
        <v>62</v>
      </c>
      <c r="K5212" s="3" t="s">
        <v>63</v>
      </c>
      <c r="L5212" s="2" t="s">
        <v>49943</v>
      </c>
      <c r="M5212" s="2" t="s">
        <v>49944</v>
      </c>
      <c r="N5212" s="3" t="s">
        <v>84</v>
      </c>
      <c r="P5212" s="3" t="s">
        <v>65</v>
      </c>
      <c r="Q5212" s="2" t="s">
        <v>49945</v>
      </c>
      <c r="R5212" s="3" t="s">
        <v>66</v>
      </c>
      <c r="S5212" s="4">
        <v>5</v>
      </c>
      <c r="T5212" s="4">
        <v>5</v>
      </c>
      <c r="U5212" s="5" t="s">
        <v>47046</v>
      </c>
      <c r="V5212" s="5" t="s">
        <v>47046</v>
      </c>
      <c r="W5212" s="5" t="s">
        <v>67</v>
      </c>
      <c r="X5212" s="5" t="s">
        <v>67</v>
      </c>
      <c r="Y5212" s="4">
        <v>279</v>
      </c>
      <c r="Z5212" s="4">
        <v>20</v>
      </c>
      <c r="AA5212" s="4">
        <v>101</v>
      </c>
      <c r="AB5212" s="4">
        <v>2</v>
      </c>
      <c r="AC5212" s="4">
        <v>19</v>
      </c>
      <c r="AD5212" s="4">
        <v>93</v>
      </c>
      <c r="AE5212" s="4">
        <v>151</v>
      </c>
      <c r="AF5212" s="4">
        <v>1</v>
      </c>
      <c r="AG5212" s="4">
        <v>9</v>
      </c>
      <c r="AH5212" s="4">
        <v>85</v>
      </c>
      <c r="AI5212" s="4">
        <v>103</v>
      </c>
      <c r="AJ5212" s="4">
        <v>14</v>
      </c>
      <c r="AK5212" s="4">
        <v>27</v>
      </c>
      <c r="AL5212" s="4">
        <v>50</v>
      </c>
      <c r="AM5212" s="4">
        <v>56</v>
      </c>
      <c r="AN5212" s="4">
        <v>0</v>
      </c>
      <c r="AO5212" s="4">
        <v>0</v>
      </c>
      <c r="AP5212" s="4">
        <v>16</v>
      </c>
      <c r="AQ5212" s="4">
        <v>56</v>
      </c>
      <c r="AR5212" s="3" t="s">
        <v>62</v>
      </c>
      <c r="AS5212" s="3" t="s">
        <v>62</v>
      </c>
      <c r="AT5212" s="3" t="s">
        <v>62</v>
      </c>
      <c r="AV5212" s="6" t="str">
        <f>HYPERLINK("http://mcgill.on.worldcat.org/oclc/23650061","Catalog Record")</f>
        <v>Catalog Record</v>
      </c>
      <c r="AW5212" s="6" t="str">
        <f>HYPERLINK("http://www.worldcat.org/oclc/23650061","WorldCat Record")</f>
        <v>WorldCat Record</v>
      </c>
      <c r="AX5212" s="3" t="s">
        <v>49946</v>
      </c>
      <c r="AY5212" s="3" t="s">
        <v>49947</v>
      </c>
      <c r="AZ5212" s="3" t="s">
        <v>49948</v>
      </c>
      <c r="BA5212" s="3" t="s">
        <v>49948</v>
      </c>
      <c r="BB5212" s="3" t="s">
        <v>49949</v>
      </c>
      <c r="BC5212" s="3" t="s">
        <v>142</v>
      </c>
      <c r="BD5212" s="3" t="s">
        <v>68</v>
      </c>
      <c r="BE5212" s="3" t="s">
        <v>49950</v>
      </c>
      <c r="BF5212" s="3" t="s">
        <v>49949</v>
      </c>
      <c r="BG5212" s="3" t="s">
        <v>49951</v>
      </c>
    </row>
    <row r="5213" spans="1:59" ht="57" x14ac:dyDescent="0.45">
      <c r="A5213" s="2" t="s">
        <v>59</v>
      </c>
      <c r="B5213" s="2" t="s">
        <v>60</v>
      </c>
      <c r="C5213" s="2" t="s">
        <v>49952</v>
      </c>
      <c r="D5213" s="2" t="s">
        <v>49953</v>
      </c>
      <c r="E5213" s="2" t="s">
        <v>49954</v>
      </c>
      <c r="G5213" s="3" t="s">
        <v>62</v>
      </c>
      <c r="I5213" s="3" t="s">
        <v>62</v>
      </c>
      <c r="J5213" s="3" t="s">
        <v>62</v>
      </c>
      <c r="K5213" s="3" t="s">
        <v>63</v>
      </c>
      <c r="L5213" s="2" t="s">
        <v>49943</v>
      </c>
      <c r="M5213" s="2" t="s">
        <v>41763</v>
      </c>
      <c r="N5213" s="3" t="s">
        <v>149</v>
      </c>
      <c r="P5213" s="3" t="s">
        <v>65</v>
      </c>
      <c r="Q5213" s="2" t="s">
        <v>21253</v>
      </c>
      <c r="R5213" s="3" t="s">
        <v>66</v>
      </c>
      <c r="S5213" s="4">
        <v>3</v>
      </c>
      <c r="T5213" s="4">
        <v>3</v>
      </c>
      <c r="U5213" s="5" t="s">
        <v>2690</v>
      </c>
      <c r="V5213" s="5" t="s">
        <v>2690</v>
      </c>
      <c r="W5213" s="5" t="s">
        <v>67</v>
      </c>
      <c r="X5213" s="5" t="s">
        <v>67</v>
      </c>
      <c r="Y5213" s="4">
        <v>181</v>
      </c>
      <c r="Z5213" s="4">
        <v>17</v>
      </c>
      <c r="AA5213" s="4">
        <v>120</v>
      </c>
      <c r="AB5213" s="4">
        <v>2</v>
      </c>
      <c r="AC5213" s="4">
        <v>21</v>
      </c>
      <c r="AD5213" s="4">
        <v>79</v>
      </c>
      <c r="AE5213" s="4">
        <v>145</v>
      </c>
      <c r="AF5213" s="4">
        <v>0</v>
      </c>
      <c r="AG5213" s="4">
        <v>8</v>
      </c>
      <c r="AH5213" s="4">
        <v>73</v>
      </c>
      <c r="AI5213" s="4">
        <v>99</v>
      </c>
      <c r="AJ5213" s="4">
        <v>13</v>
      </c>
      <c r="AK5213" s="4">
        <v>27</v>
      </c>
      <c r="AL5213" s="4">
        <v>46</v>
      </c>
      <c r="AM5213" s="4">
        <v>54</v>
      </c>
      <c r="AN5213" s="4">
        <v>0</v>
      </c>
      <c r="AO5213" s="4">
        <v>0</v>
      </c>
      <c r="AP5213" s="4">
        <v>14</v>
      </c>
      <c r="AQ5213" s="4">
        <v>55</v>
      </c>
      <c r="AR5213" s="3" t="s">
        <v>62</v>
      </c>
      <c r="AS5213" s="3" t="s">
        <v>62</v>
      </c>
      <c r="AT5213" s="3" t="s">
        <v>62</v>
      </c>
      <c r="AV5213" s="6" t="str">
        <f>HYPERLINK("http://mcgill.on.worldcat.org/oclc/437305846","Catalog Record")</f>
        <v>Catalog Record</v>
      </c>
      <c r="AW5213" s="6" t="str">
        <f>HYPERLINK("http://www.worldcat.org/oclc/437305846","WorldCat Record")</f>
        <v>WorldCat Record</v>
      </c>
      <c r="AX5213" s="3" t="s">
        <v>49955</v>
      </c>
      <c r="AY5213" s="3" t="s">
        <v>49956</v>
      </c>
      <c r="AZ5213" s="3" t="s">
        <v>49957</v>
      </c>
      <c r="BA5213" s="3" t="s">
        <v>49957</v>
      </c>
      <c r="BB5213" s="3" t="s">
        <v>49958</v>
      </c>
      <c r="BC5213" s="3" t="s">
        <v>142</v>
      </c>
      <c r="BD5213" s="3" t="s">
        <v>68</v>
      </c>
      <c r="BE5213" s="3" t="s">
        <v>49959</v>
      </c>
      <c r="BF5213" s="3" t="s">
        <v>49958</v>
      </c>
      <c r="BG5213" s="3" t="s">
        <v>49960</v>
      </c>
    </row>
    <row r="5214" spans="1:59" ht="57" x14ac:dyDescent="0.45">
      <c r="A5214" s="2" t="s">
        <v>59</v>
      </c>
      <c r="B5214" s="2" t="s">
        <v>60</v>
      </c>
      <c r="C5214" s="2" t="s">
        <v>49961</v>
      </c>
      <c r="D5214" s="2" t="s">
        <v>49962</v>
      </c>
      <c r="E5214" s="2" t="s">
        <v>49963</v>
      </c>
      <c r="G5214" s="3" t="s">
        <v>62</v>
      </c>
      <c r="I5214" s="3" t="s">
        <v>62</v>
      </c>
      <c r="J5214" s="3" t="s">
        <v>62</v>
      </c>
      <c r="K5214" s="3" t="s">
        <v>63</v>
      </c>
      <c r="L5214" s="2" t="s">
        <v>49964</v>
      </c>
      <c r="M5214" s="2" t="s">
        <v>25854</v>
      </c>
      <c r="N5214" s="3" t="s">
        <v>149</v>
      </c>
      <c r="P5214" s="3" t="s">
        <v>65</v>
      </c>
      <c r="Q5214" s="2" t="s">
        <v>49965</v>
      </c>
      <c r="R5214" s="3" t="s">
        <v>66</v>
      </c>
      <c r="S5214" s="4">
        <v>3</v>
      </c>
      <c r="T5214" s="4">
        <v>3</v>
      </c>
      <c r="U5214" s="5" t="s">
        <v>49966</v>
      </c>
      <c r="V5214" s="5" t="s">
        <v>49966</v>
      </c>
      <c r="W5214" s="5" t="s">
        <v>67</v>
      </c>
      <c r="X5214" s="5" t="s">
        <v>67</v>
      </c>
      <c r="Y5214" s="4">
        <v>170</v>
      </c>
      <c r="Z5214" s="4">
        <v>23</v>
      </c>
      <c r="AA5214" s="4">
        <v>35</v>
      </c>
      <c r="AB5214" s="4">
        <v>2</v>
      </c>
      <c r="AC5214" s="4">
        <v>4</v>
      </c>
      <c r="AD5214" s="4">
        <v>86</v>
      </c>
      <c r="AE5214" s="4">
        <v>108</v>
      </c>
      <c r="AF5214" s="4">
        <v>1</v>
      </c>
      <c r="AG5214" s="4">
        <v>2</v>
      </c>
      <c r="AH5214" s="4">
        <v>76</v>
      </c>
      <c r="AI5214" s="4">
        <v>92</v>
      </c>
      <c r="AJ5214" s="4">
        <v>17</v>
      </c>
      <c r="AK5214" s="4">
        <v>19</v>
      </c>
      <c r="AL5214" s="4">
        <v>46</v>
      </c>
      <c r="AM5214" s="4">
        <v>54</v>
      </c>
      <c r="AN5214" s="4">
        <v>0</v>
      </c>
      <c r="AO5214" s="4">
        <v>0</v>
      </c>
      <c r="AP5214" s="4">
        <v>18</v>
      </c>
      <c r="AQ5214" s="4">
        <v>25</v>
      </c>
      <c r="AR5214" s="3" t="s">
        <v>62</v>
      </c>
      <c r="AS5214" s="3" t="s">
        <v>62</v>
      </c>
      <c r="AT5214" s="3" t="s">
        <v>62</v>
      </c>
      <c r="AV5214" s="6" t="str">
        <f>HYPERLINK("http://mcgill.on.worldcat.org/oclc/495996852","Catalog Record")</f>
        <v>Catalog Record</v>
      </c>
      <c r="AW5214" s="6" t="str">
        <f>HYPERLINK("http://www.worldcat.org/oclc/495996852","WorldCat Record")</f>
        <v>WorldCat Record</v>
      </c>
      <c r="AX5214" s="3" t="s">
        <v>49967</v>
      </c>
      <c r="AY5214" s="3" t="s">
        <v>49968</v>
      </c>
      <c r="AZ5214" s="3" t="s">
        <v>49969</v>
      </c>
      <c r="BA5214" s="3" t="s">
        <v>49969</v>
      </c>
      <c r="BB5214" s="3" t="s">
        <v>49970</v>
      </c>
      <c r="BC5214" s="3" t="s">
        <v>142</v>
      </c>
      <c r="BD5214" s="3" t="s">
        <v>68</v>
      </c>
      <c r="BE5214" s="3" t="s">
        <v>49971</v>
      </c>
      <c r="BF5214" s="3" t="s">
        <v>49970</v>
      </c>
      <c r="BG5214" s="3" t="s">
        <v>49972</v>
      </c>
    </row>
    <row r="5215" spans="1:59" ht="57" x14ac:dyDescent="0.45">
      <c r="A5215" s="2" t="s">
        <v>59</v>
      </c>
      <c r="B5215" s="2" t="s">
        <v>60</v>
      </c>
      <c r="C5215" s="2" t="s">
        <v>49973</v>
      </c>
      <c r="D5215" s="2" t="s">
        <v>49974</v>
      </c>
      <c r="E5215" s="2" t="s">
        <v>49975</v>
      </c>
      <c r="G5215" s="3" t="s">
        <v>62</v>
      </c>
      <c r="I5215" s="3" t="s">
        <v>62</v>
      </c>
      <c r="J5215" s="3" t="s">
        <v>62</v>
      </c>
      <c r="K5215" s="3" t="s">
        <v>63</v>
      </c>
      <c r="L5215" s="2" t="s">
        <v>49976</v>
      </c>
      <c r="M5215" s="2" t="s">
        <v>49977</v>
      </c>
      <c r="N5215" s="3" t="s">
        <v>1155</v>
      </c>
      <c r="P5215" s="3" t="s">
        <v>65</v>
      </c>
      <c r="Q5215" s="2" t="s">
        <v>49978</v>
      </c>
      <c r="R5215" s="3" t="s">
        <v>66</v>
      </c>
      <c r="S5215" s="4">
        <v>1</v>
      </c>
      <c r="T5215" s="4">
        <v>1</v>
      </c>
      <c r="U5215" s="5" t="s">
        <v>13932</v>
      </c>
      <c r="V5215" s="5" t="s">
        <v>13932</v>
      </c>
      <c r="W5215" s="5" t="s">
        <v>67</v>
      </c>
      <c r="X5215" s="5" t="s">
        <v>67</v>
      </c>
      <c r="Y5215" s="4">
        <v>82</v>
      </c>
      <c r="Z5215" s="4">
        <v>8</v>
      </c>
      <c r="AA5215" s="4">
        <v>76</v>
      </c>
      <c r="AB5215" s="4">
        <v>1</v>
      </c>
      <c r="AC5215" s="4">
        <v>16</v>
      </c>
      <c r="AD5215" s="4">
        <v>28</v>
      </c>
      <c r="AE5215" s="4">
        <v>96</v>
      </c>
      <c r="AF5215" s="4">
        <v>0</v>
      </c>
      <c r="AG5215" s="4">
        <v>8</v>
      </c>
      <c r="AH5215" s="4">
        <v>26</v>
      </c>
      <c r="AI5215" s="4">
        <v>65</v>
      </c>
      <c r="AJ5215" s="4">
        <v>5</v>
      </c>
      <c r="AK5215" s="4">
        <v>18</v>
      </c>
      <c r="AL5215" s="4">
        <v>15</v>
      </c>
      <c r="AM5215" s="4">
        <v>34</v>
      </c>
      <c r="AN5215" s="4">
        <v>0</v>
      </c>
      <c r="AO5215" s="4">
        <v>0</v>
      </c>
      <c r="AP5215" s="4">
        <v>7</v>
      </c>
      <c r="AQ5215" s="4">
        <v>38</v>
      </c>
      <c r="AR5215" s="3" t="s">
        <v>62</v>
      </c>
      <c r="AS5215" s="3" t="s">
        <v>62</v>
      </c>
      <c r="AT5215" s="3" t="s">
        <v>62</v>
      </c>
      <c r="AV5215" s="6" t="str">
        <f>HYPERLINK("http://mcgill.on.worldcat.org/oclc/774638422","Catalog Record")</f>
        <v>Catalog Record</v>
      </c>
      <c r="AW5215" s="6" t="str">
        <f>HYPERLINK("http://www.worldcat.org/oclc/774638422","WorldCat Record")</f>
        <v>WorldCat Record</v>
      </c>
      <c r="AX5215" s="3" t="s">
        <v>49979</v>
      </c>
      <c r="AY5215" s="3" t="s">
        <v>49980</v>
      </c>
      <c r="AZ5215" s="3" t="s">
        <v>49981</v>
      </c>
      <c r="BA5215" s="3" t="s">
        <v>49981</v>
      </c>
      <c r="BB5215" s="3" t="s">
        <v>49982</v>
      </c>
      <c r="BC5215" s="3" t="s">
        <v>142</v>
      </c>
      <c r="BD5215" s="3" t="s">
        <v>68</v>
      </c>
      <c r="BE5215" s="3" t="s">
        <v>49983</v>
      </c>
      <c r="BF5215" s="3" t="s">
        <v>49982</v>
      </c>
      <c r="BG5215" s="3" t="s">
        <v>49984</v>
      </c>
    </row>
    <row r="5216" spans="1:59" ht="57" x14ac:dyDescent="0.45">
      <c r="A5216" s="2" t="s">
        <v>59</v>
      </c>
      <c r="B5216" s="2" t="s">
        <v>60</v>
      </c>
      <c r="C5216" s="2" t="s">
        <v>49985</v>
      </c>
      <c r="D5216" s="2" t="s">
        <v>49986</v>
      </c>
      <c r="E5216" s="2" t="s">
        <v>49987</v>
      </c>
      <c r="G5216" s="3" t="s">
        <v>62</v>
      </c>
      <c r="I5216" s="3" t="s">
        <v>62</v>
      </c>
      <c r="J5216" s="3" t="s">
        <v>62</v>
      </c>
      <c r="K5216" s="3" t="s">
        <v>63</v>
      </c>
      <c r="M5216" s="2" t="s">
        <v>21252</v>
      </c>
      <c r="N5216" s="3" t="s">
        <v>1155</v>
      </c>
      <c r="P5216" s="3" t="s">
        <v>65</v>
      </c>
      <c r="Q5216" s="2" t="s">
        <v>2941</v>
      </c>
      <c r="R5216" s="3" t="s">
        <v>66</v>
      </c>
      <c r="S5216" s="4">
        <v>0</v>
      </c>
      <c r="T5216" s="4">
        <v>0</v>
      </c>
      <c r="W5216" s="5" t="s">
        <v>67</v>
      </c>
      <c r="X5216" s="5" t="s">
        <v>67</v>
      </c>
      <c r="Y5216" s="4">
        <v>132</v>
      </c>
      <c r="Z5216" s="4">
        <v>14</v>
      </c>
      <c r="AA5216" s="4">
        <v>23</v>
      </c>
      <c r="AB5216" s="4">
        <v>1</v>
      </c>
      <c r="AC5216" s="4">
        <v>5</v>
      </c>
      <c r="AD5216" s="4">
        <v>60</v>
      </c>
      <c r="AE5216" s="4">
        <v>71</v>
      </c>
      <c r="AF5216" s="4">
        <v>0</v>
      </c>
      <c r="AG5216" s="4">
        <v>1</v>
      </c>
      <c r="AH5216" s="4">
        <v>56</v>
      </c>
      <c r="AI5216" s="4">
        <v>62</v>
      </c>
      <c r="AJ5216" s="4">
        <v>12</v>
      </c>
      <c r="AK5216" s="4">
        <v>15</v>
      </c>
      <c r="AL5216" s="4">
        <v>35</v>
      </c>
      <c r="AM5216" s="4">
        <v>38</v>
      </c>
      <c r="AN5216" s="4">
        <v>0</v>
      </c>
      <c r="AO5216" s="4">
        <v>0</v>
      </c>
      <c r="AP5216" s="4">
        <v>12</v>
      </c>
      <c r="AQ5216" s="4">
        <v>18</v>
      </c>
      <c r="AR5216" s="3" t="s">
        <v>62</v>
      </c>
      <c r="AS5216" s="3" t="s">
        <v>62</v>
      </c>
      <c r="AT5216" s="3" t="s">
        <v>62</v>
      </c>
      <c r="AV5216" s="6" t="str">
        <f>HYPERLINK("http://mcgill.on.worldcat.org/oclc/701811414","Catalog Record")</f>
        <v>Catalog Record</v>
      </c>
      <c r="AW5216" s="6" t="str">
        <f>HYPERLINK("http://www.worldcat.org/oclc/701811414","WorldCat Record")</f>
        <v>WorldCat Record</v>
      </c>
      <c r="AX5216" s="3" t="s">
        <v>49988</v>
      </c>
      <c r="AY5216" s="3" t="s">
        <v>49989</v>
      </c>
      <c r="AZ5216" s="3" t="s">
        <v>49990</v>
      </c>
      <c r="BA5216" s="3" t="s">
        <v>49990</v>
      </c>
      <c r="BB5216" s="3" t="s">
        <v>49991</v>
      </c>
      <c r="BC5216" s="3" t="s">
        <v>142</v>
      </c>
      <c r="BD5216" s="3" t="s">
        <v>68</v>
      </c>
      <c r="BE5216" s="3" t="s">
        <v>49992</v>
      </c>
      <c r="BF5216" s="3" t="s">
        <v>49991</v>
      </c>
      <c r="BG5216" s="3" t="s">
        <v>49993</v>
      </c>
    </row>
    <row r="5217" spans="1:59" ht="57" x14ac:dyDescent="0.45">
      <c r="A5217" s="2" t="s">
        <v>59</v>
      </c>
      <c r="B5217" s="2" t="s">
        <v>60</v>
      </c>
      <c r="C5217" s="2" t="s">
        <v>49994</v>
      </c>
      <c r="D5217" s="2" t="s">
        <v>49995</v>
      </c>
      <c r="E5217" s="2" t="s">
        <v>49996</v>
      </c>
      <c r="G5217" s="3" t="s">
        <v>62</v>
      </c>
      <c r="I5217" s="3" t="s">
        <v>62</v>
      </c>
      <c r="J5217" s="3" t="s">
        <v>62</v>
      </c>
      <c r="K5217" s="3" t="s">
        <v>63</v>
      </c>
      <c r="L5217" s="2" t="s">
        <v>49997</v>
      </c>
      <c r="M5217" s="2" t="s">
        <v>49998</v>
      </c>
      <c r="N5217" s="3" t="s">
        <v>149</v>
      </c>
      <c r="O5217" s="2" t="s">
        <v>933</v>
      </c>
      <c r="P5217" s="3" t="s">
        <v>65</v>
      </c>
      <c r="Q5217" s="2" t="s">
        <v>38028</v>
      </c>
      <c r="R5217" s="3" t="s">
        <v>66</v>
      </c>
      <c r="S5217" s="4">
        <v>6</v>
      </c>
      <c r="T5217" s="4">
        <v>6</v>
      </c>
      <c r="U5217" s="5" t="s">
        <v>9701</v>
      </c>
      <c r="V5217" s="5" t="s">
        <v>9701</v>
      </c>
      <c r="W5217" s="5" t="s">
        <v>67</v>
      </c>
      <c r="X5217" s="5" t="s">
        <v>67</v>
      </c>
      <c r="Y5217" s="4">
        <v>128</v>
      </c>
      <c r="Z5217" s="4">
        <v>18</v>
      </c>
      <c r="AA5217" s="4">
        <v>43</v>
      </c>
      <c r="AB5217" s="4">
        <v>2</v>
      </c>
      <c r="AC5217" s="4">
        <v>7</v>
      </c>
      <c r="AD5217" s="4">
        <v>32</v>
      </c>
      <c r="AE5217" s="4">
        <v>96</v>
      </c>
      <c r="AF5217" s="4">
        <v>1</v>
      </c>
      <c r="AG5217" s="4">
        <v>3</v>
      </c>
      <c r="AH5217" s="4">
        <v>27</v>
      </c>
      <c r="AI5217" s="4">
        <v>80</v>
      </c>
      <c r="AJ5217" s="4">
        <v>12</v>
      </c>
      <c r="AK5217" s="4">
        <v>21</v>
      </c>
      <c r="AL5217" s="4">
        <v>14</v>
      </c>
      <c r="AM5217" s="4">
        <v>44</v>
      </c>
      <c r="AN5217" s="4">
        <v>0</v>
      </c>
      <c r="AO5217" s="4">
        <v>0</v>
      </c>
      <c r="AP5217" s="4">
        <v>13</v>
      </c>
      <c r="AQ5217" s="4">
        <v>28</v>
      </c>
      <c r="AR5217" s="3" t="s">
        <v>62</v>
      </c>
      <c r="AS5217" s="3" t="s">
        <v>62</v>
      </c>
      <c r="AT5217" s="3" t="s">
        <v>62</v>
      </c>
      <c r="AV5217" s="6" t="str">
        <f>HYPERLINK("http://mcgill.on.worldcat.org/oclc/671004133","Catalog Record")</f>
        <v>Catalog Record</v>
      </c>
      <c r="AW5217" s="6" t="str">
        <f>HYPERLINK("http://www.worldcat.org/oclc/671004133","WorldCat Record")</f>
        <v>WorldCat Record</v>
      </c>
      <c r="AX5217" s="3" t="s">
        <v>49999</v>
      </c>
      <c r="AY5217" s="3" t="s">
        <v>50000</v>
      </c>
      <c r="AZ5217" s="3" t="s">
        <v>50001</v>
      </c>
      <c r="BA5217" s="3" t="s">
        <v>50001</v>
      </c>
      <c r="BB5217" s="3" t="s">
        <v>50002</v>
      </c>
      <c r="BC5217" s="3" t="s">
        <v>142</v>
      </c>
      <c r="BD5217" s="3" t="s">
        <v>68</v>
      </c>
      <c r="BE5217" s="3" t="s">
        <v>50003</v>
      </c>
      <c r="BF5217" s="3" t="s">
        <v>50002</v>
      </c>
      <c r="BG5217" s="3" t="s">
        <v>50004</v>
      </c>
    </row>
    <row r="5218" spans="1:59" ht="57" x14ac:dyDescent="0.45">
      <c r="A5218" s="2" t="s">
        <v>59</v>
      </c>
      <c r="B5218" s="2" t="s">
        <v>60</v>
      </c>
      <c r="C5218" s="2" t="s">
        <v>50005</v>
      </c>
      <c r="D5218" s="2" t="s">
        <v>50006</v>
      </c>
      <c r="E5218" s="2" t="s">
        <v>50007</v>
      </c>
      <c r="G5218" s="3" t="s">
        <v>62</v>
      </c>
      <c r="I5218" s="3" t="s">
        <v>62</v>
      </c>
      <c r="J5218" s="3" t="s">
        <v>62</v>
      </c>
      <c r="K5218" s="3" t="s">
        <v>63</v>
      </c>
      <c r="M5218" s="2" t="s">
        <v>4020</v>
      </c>
      <c r="N5218" s="3" t="s">
        <v>117</v>
      </c>
      <c r="P5218" s="3" t="s">
        <v>65</v>
      </c>
      <c r="Q5218" s="2" t="s">
        <v>50008</v>
      </c>
      <c r="R5218" s="3" t="s">
        <v>66</v>
      </c>
      <c r="S5218" s="4">
        <v>9</v>
      </c>
      <c r="T5218" s="4">
        <v>9</v>
      </c>
      <c r="U5218" s="5" t="s">
        <v>128</v>
      </c>
      <c r="V5218" s="5" t="s">
        <v>128</v>
      </c>
      <c r="W5218" s="5" t="s">
        <v>67</v>
      </c>
      <c r="X5218" s="5" t="s">
        <v>67</v>
      </c>
      <c r="Y5218" s="4">
        <v>234</v>
      </c>
      <c r="Z5218" s="4">
        <v>20</v>
      </c>
      <c r="AA5218" s="4">
        <v>83</v>
      </c>
      <c r="AB5218" s="4">
        <v>1</v>
      </c>
      <c r="AC5218" s="4">
        <v>14</v>
      </c>
      <c r="AD5218" s="4">
        <v>96</v>
      </c>
      <c r="AE5218" s="4">
        <v>131</v>
      </c>
      <c r="AF5218" s="4">
        <v>0</v>
      </c>
      <c r="AG5218" s="4">
        <v>8</v>
      </c>
      <c r="AH5218" s="4">
        <v>88</v>
      </c>
      <c r="AI5218" s="4">
        <v>96</v>
      </c>
      <c r="AJ5218" s="4">
        <v>16</v>
      </c>
      <c r="AK5218" s="4">
        <v>25</v>
      </c>
      <c r="AL5218" s="4">
        <v>49</v>
      </c>
      <c r="AM5218" s="4">
        <v>51</v>
      </c>
      <c r="AN5218" s="4">
        <v>0</v>
      </c>
      <c r="AO5218" s="4">
        <v>0</v>
      </c>
      <c r="AP5218" s="4">
        <v>17</v>
      </c>
      <c r="AQ5218" s="4">
        <v>45</v>
      </c>
      <c r="AR5218" s="3" t="s">
        <v>62</v>
      </c>
      <c r="AS5218" s="3" t="s">
        <v>62</v>
      </c>
      <c r="AT5218" s="3" t="s">
        <v>61</v>
      </c>
      <c r="AU5218" s="6" t="str">
        <f>HYPERLINK("http://catalog.hathitrust.org/Record/000264224","HathiTrust Record")</f>
        <v>HathiTrust Record</v>
      </c>
      <c r="AV5218" s="6" t="str">
        <f>HYPERLINK("http://mcgill.on.worldcat.org/oclc/7134574","Catalog Record")</f>
        <v>Catalog Record</v>
      </c>
      <c r="AW5218" s="6" t="str">
        <f>HYPERLINK("http://www.worldcat.org/oclc/7134574","WorldCat Record")</f>
        <v>WorldCat Record</v>
      </c>
      <c r="AX5218" s="3" t="s">
        <v>50009</v>
      </c>
      <c r="AY5218" s="3" t="s">
        <v>50010</v>
      </c>
      <c r="AZ5218" s="3" t="s">
        <v>50011</v>
      </c>
      <c r="BA5218" s="3" t="s">
        <v>50011</v>
      </c>
      <c r="BB5218" s="3" t="s">
        <v>50012</v>
      </c>
      <c r="BC5218" s="3" t="s">
        <v>142</v>
      </c>
      <c r="BD5218" s="3" t="s">
        <v>68</v>
      </c>
      <c r="BE5218" s="3" t="s">
        <v>50013</v>
      </c>
      <c r="BF5218" s="3" t="s">
        <v>50012</v>
      </c>
      <c r="BG5218" s="3" t="s">
        <v>50014</v>
      </c>
    </row>
    <row r="5219" spans="1:59" ht="57" x14ac:dyDescent="0.45">
      <c r="A5219" s="2" t="s">
        <v>59</v>
      </c>
      <c r="B5219" s="2" t="s">
        <v>60</v>
      </c>
      <c r="C5219" s="2" t="s">
        <v>50015</v>
      </c>
      <c r="D5219" s="2" t="s">
        <v>50016</v>
      </c>
      <c r="E5219" s="2" t="s">
        <v>50017</v>
      </c>
      <c r="G5219" s="3" t="s">
        <v>62</v>
      </c>
      <c r="I5219" s="3" t="s">
        <v>62</v>
      </c>
      <c r="J5219" s="3" t="s">
        <v>62</v>
      </c>
      <c r="K5219" s="3" t="s">
        <v>63</v>
      </c>
      <c r="M5219" s="2" t="s">
        <v>2976</v>
      </c>
      <c r="N5219" s="3" t="s">
        <v>149</v>
      </c>
      <c r="P5219" s="3" t="s">
        <v>65</v>
      </c>
      <c r="Q5219" s="2" t="s">
        <v>21253</v>
      </c>
      <c r="R5219" s="3" t="s">
        <v>66</v>
      </c>
      <c r="S5219" s="4">
        <v>2</v>
      </c>
      <c r="T5219" s="4">
        <v>2</v>
      </c>
      <c r="U5219" s="5" t="s">
        <v>50018</v>
      </c>
      <c r="V5219" s="5" t="s">
        <v>50018</v>
      </c>
      <c r="W5219" s="5" t="s">
        <v>67</v>
      </c>
      <c r="X5219" s="5" t="s">
        <v>67</v>
      </c>
      <c r="Y5219" s="4">
        <v>146</v>
      </c>
      <c r="Z5219" s="4">
        <v>18</v>
      </c>
      <c r="AA5219" s="4">
        <v>39</v>
      </c>
      <c r="AB5219" s="4">
        <v>3</v>
      </c>
      <c r="AC5219" s="4">
        <v>6</v>
      </c>
      <c r="AD5219" s="4">
        <v>65</v>
      </c>
      <c r="AE5219" s="4">
        <v>99</v>
      </c>
      <c r="AF5219" s="4">
        <v>1</v>
      </c>
      <c r="AG5219" s="4">
        <v>2</v>
      </c>
      <c r="AH5219" s="4">
        <v>58</v>
      </c>
      <c r="AI5219" s="4">
        <v>81</v>
      </c>
      <c r="AJ5219" s="4">
        <v>12</v>
      </c>
      <c r="AK5219" s="4">
        <v>18</v>
      </c>
      <c r="AL5219" s="4">
        <v>38</v>
      </c>
      <c r="AM5219" s="4">
        <v>46</v>
      </c>
      <c r="AN5219" s="4">
        <v>0</v>
      </c>
      <c r="AO5219" s="4">
        <v>0</v>
      </c>
      <c r="AP5219" s="4">
        <v>13</v>
      </c>
      <c r="AQ5219" s="4">
        <v>27</v>
      </c>
      <c r="AR5219" s="3" t="s">
        <v>62</v>
      </c>
      <c r="AS5219" s="3" t="s">
        <v>62</v>
      </c>
      <c r="AT5219" s="3" t="s">
        <v>62</v>
      </c>
      <c r="AV5219" s="6" t="str">
        <f>HYPERLINK("http://mcgill.on.worldcat.org/oclc/313664599","Catalog Record")</f>
        <v>Catalog Record</v>
      </c>
      <c r="AW5219" s="6" t="str">
        <f>HYPERLINK("http://www.worldcat.org/oclc/313664599","WorldCat Record")</f>
        <v>WorldCat Record</v>
      </c>
      <c r="AX5219" s="3" t="s">
        <v>50019</v>
      </c>
      <c r="AY5219" s="3" t="s">
        <v>50020</v>
      </c>
      <c r="AZ5219" s="3" t="s">
        <v>50021</v>
      </c>
      <c r="BA5219" s="3" t="s">
        <v>50021</v>
      </c>
      <c r="BB5219" s="3" t="s">
        <v>50022</v>
      </c>
      <c r="BC5219" s="3" t="s">
        <v>142</v>
      </c>
      <c r="BD5219" s="3" t="s">
        <v>68</v>
      </c>
      <c r="BE5219" s="3" t="s">
        <v>50023</v>
      </c>
      <c r="BF5219" s="3" t="s">
        <v>50022</v>
      </c>
      <c r="BG5219" s="3" t="s">
        <v>50024</v>
      </c>
    </row>
    <row r="5220" spans="1:59" ht="71.25" x14ac:dyDescent="0.45">
      <c r="A5220" s="2" t="s">
        <v>59</v>
      </c>
      <c r="B5220" s="2" t="s">
        <v>60</v>
      </c>
      <c r="C5220" s="2" t="s">
        <v>50025</v>
      </c>
      <c r="D5220" s="2" t="s">
        <v>50026</v>
      </c>
      <c r="E5220" s="2" t="s">
        <v>50027</v>
      </c>
      <c r="G5220" s="3" t="s">
        <v>62</v>
      </c>
      <c r="I5220" s="3" t="s">
        <v>62</v>
      </c>
      <c r="J5220" s="3" t="s">
        <v>62</v>
      </c>
      <c r="K5220" s="3" t="s">
        <v>63</v>
      </c>
      <c r="L5220" s="2" t="s">
        <v>50028</v>
      </c>
      <c r="M5220" s="2" t="s">
        <v>50029</v>
      </c>
      <c r="N5220" s="3" t="s">
        <v>1855</v>
      </c>
      <c r="P5220" s="3" t="s">
        <v>65</v>
      </c>
      <c r="Q5220" s="2" t="s">
        <v>50030</v>
      </c>
      <c r="R5220" s="3" t="s">
        <v>66</v>
      </c>
      <c r="S5220" s="4">
        <v>11</v>
      </c>
      <c r="T5220" s="4">
        <v>11</v>
      </c>
      <c r="U5220" s="5" t="s">
        <v>1570</v>
      </c>
      <c r="V5220" s="5" t="s">
        <v>1570</v>
      </c>
      <c r="W5220" s="5" t="s">
        <v>67</v>
      </c>
      <c r="X5220" s="5" t="s">
        <v>67</v>
      </c>
      <c r="Y5220" s="4">
        <v>101</v>
      </c>
      <c r="Z5220" s="4">
        <v>13</v>
      </c>
      <c r="AA5220" s="4">
        <v>102</v>
      </c>
      <c r="AB5220" s="4">
        <v>1</v>
      </c>
      <c r="AC5220" s="4">
        <v>17</v>
      </c>
      <c r="AD5220" s="4">
        <v>58</v>
      </c>
      <c r="AE5220" s="4">
        <v>124</v>
      </c>
      <c r="AF5220" s="4">
        <v>0</v>
      </c>
      <c r="AG5220" s="4">
        <v>8</v>
      </c>
      <c r="AH5220" s="4">
        <v>53</v>
      </c>
      <c r="AI5220" s="4">
        <v>87</v>
      </c>
      <c r="AJ5220" s="4">
        <v>11</v>
      </c>
      <c r="AK5220" s="4">
        <v>24</v>
      </c>
      <c r="AL5220" s="4">
        <v>36</v>
      </c>
      <c r="AM5220" s="4">
        <v>47</v>
      </c>
      <c r="AN5220" s="4">
        <v>0</v>
      </c>
      <c r="AO5220" s="4">
        <v>0</v>
      </c>
      <c r="AP5220" s="4">
        <v>11</v>
      </c>
      <c r="AQ5220" s="4">
        <v>45</v>
      </c>
      <c r="AR5220" s="3" t="s">
        <v>62</v>
      </c>
      <c r="AS5220" s="3" t="s">
        <v>62</v>
      </c>
      <c r="AT5220" s="3" t="s">
        <v>62</v>
      </c>
      <c r="AV5220" s="6" t="str">
        <f>HYPERLINK("http://mcgill.on.worldcat.org/oclc/58720992","Catalog Record")</f>
        <v>Catalog Record</v>
      </c>
      <c r="AW5220" s="6" t="str">
        <f>HYPERLINK("http://www.worldcat.org/oclc/58720992","WorldCat Record")</f>
        <v>WorldCat Record</v>
      </c>
      <c r="AX5220" s="3" t="s">
        <v>50031</v>
      </c>
      <c r="AY5220" s="3" t="s">
        <v>50032</v>
      </c>
      <c r="AZ5220" s="3" t="s">
        <v>50033</v>
      </c>
      <c r="BA5220" s="3" t="s">
        <v>50033</v>
      </c>
      <c r="BB5220" s="3" t="s">
        <v>50034</v>
      </c>
      <c r="BC5220" s="3" t="s">
        <v>142</v>
      </c>
      <c r="BD5220" s="3" t="s">
        <v>68</v>
      </c>
      <c r="BE5220" s="3" t="s">
        <v>50035</v>
      </c>
      <c r="BF5220" s="3" t="s">
        <v>50034</v>
      </c>
      <c r="BG5220" s="3" t="s">
        <v>50036</v>
      </c>
    </row>
    <row r="5221" spans="1:59" ht="71.25" x14ac:dyDescent="0.45">
      <c r="A5221" s="2" t="s">
        <v>59</v>
      </c>
      <c r="B5221" s="2" t="s">
        <v>60</v>
      </c>
      <c r="C5221" s="2" t="s">
        <v>50037</v>
      </c>
      <c r="D5221" s="2" t="s">
        <v>50038</v>
      </c>
      <c r="E5221" s="2" t="s">
        <v>50039</v>
      </c>
      <c r="G5221" s="3" t="s">
        <v>62</v>
      </c>
      <c r="I5221" s="3" t="s">
        <v>62</v>
      </c>
      <c r="J5221" s="3" t="s">
        <v>62</v>
      </c>
      <c r="K5221" s="3" t="s">
        <v>63</v>
      </c>
      <c r="L5221" s="2" t="s">
        <v>50040</v>
      </c>
      <c r="M5221" s="2" t="s">
        <v>50041</v>
      </c>
      <c r="N5221" s="3" t="s">
        <v>149</v>
      </c>
      <c r="P5221" s="3" t="s">
        <v>65</v>
      </c>
      <c r="Q5221" s="2" t="s">
        <v>50042</v>
      </c>
      <c r="R5221" s="3" t="s">
        <v>66</v>
      </c>
      <c r="S5221" s="4">
        <v>0</v>
      </c>
      <c r="T5221" s="4">
        <v>0</v>
      </c>
      <c r="W5221" s="5" t="s">
        <v>67</v>
      </c>
      <c r="X5221" s="5" t="s">
        <v>67</v>
      </c>
      <c r="Y5221" s="4">
        <v>85</v>
      </c>
      <c r="Z5221" s="4">
        <v>11</v>
      </c>
      <c r="AA5221" s="4">
        <v>94</v>
      </c>
      <c r="AB5221" s="4">
        <v>1</v>
      </c>
      <c r="AC5221" s="4">
        <v>17</v>
      </c>
      <c r="AD5221" s="4">
        <v>43</v>
      </c>
      <c r="AE5221" s="4">
        <v>113</v>
      </c>
      <c r="AF5221" s="4">
        <v>0</v>
      </c>
      <c r="AG5221" s="4">
        <v>8</v>
      </c>
      <c r="AH5221" s="4">
        <v>39</v>
      </c>
      <c r="AI5221" s="4">
        <v>77</v>
      </c>
      <c r="AJ5221" s="4">
        <v>9</v>
      </c>
      <c r="AK5221" s="4">
        <v>24</v>
      </c>
      <c r="AL5221" s="4">
        <v>27</v>
      </c>
      <c r="AM5221" s="4">
        <v>40</v>
      </c>
      <c r="AN5221" s="4">
        <v>0</v>
      </c>
      <c r="AO5221" s="4">
        <v>0</v>
      </c>
      <c r="AP5221" s="4">
        <v>9</v>
      </c>
      <c r="AQ5221" s="4">
        <v>45</v>
      </c>
      <c r="AR5221" s="3" t="s">
        <v>62</v>
      </c>
      <c r="AS5221" s="3" t="s">
        <v>62</v>
      </c>
      <c r="AT5221" s="3" t="s">
        <v>62</v>
      </c>
      <c r="AV5221" s="6" t="str">
        <f>HYPERLINK("http://mcgill.on.worldcat.org/oclc/466773826","Catalog Record")</f>
        <v>Catalog Record</v>
      </c>
      <c r="AW5221" s="6" t="str">
        <f>HYPERLINK("http://www.worldcat.org/oclc/466773826","WorldCat Record")</f>
        <v>WorldCat Record</v>
      </c>
      <c r="AX5221" s="3" t="s">
        <v>50043</v>
      </c>
      <c r="AY5221" s="3" t="s">
        <v>50044</v>
      </c>
      <c r="AZ5221" s="3" t="s">
        <v>50045</v>
      </c>
      <c r="BA5221" s="3" t="s">
        <v>50045</v>
      </c>
      <c r="BB5221" s="3" t="s">
        <v>50046</v>
      </c>
      <c r="BC5221" s="3" t="s">
        <v>142</v>
      </c>
      <c r="BD5221" s="3" t="s">
        <v>68</v>
      </c>
      <c r="BE5221" s="3" t="s">
        <v>50047</v>
      </c>
      <c r="BF5221" s="3" t="s">
        <v>50046</v>
      </c>
      <c r="BG5221" s="3" t="s">
        <v>50048</v>
      </c>
    </row>
    <row r="5222" spans="1:59" ht="99.75" x14ac:dyDescent="0.45">
      <c r="A5222" s="2" t="s">
        <v>59</v>
      </c>
      <c r="B5222" s="2" t="s">
        <v>60</v>
      </c>
      <c r="C5222" s="2" t="s">
        <v>50049</v>
      </c>
      <c r="D5222" s="2" t="s">
        <v>50050</v>
      </c>
      <c r="E5222" s="2" t="s">
        <v>50051</v>
      </c>
      <c r="G5222" s="3" t="s">
        <v>62</v>
      </c>
      <c r="I5222" s="3" t="s">
        <v>62</v>
      </c>
      <c r="J5222" s="3" t="s">
        <v>62</v>
      </c>
      <c r="K5222" s="3" t="s">
        <v>63</v>
      </c>
      <c r="L5222" s="2" t="s">
        <v>50052</v>
      </c>
      <c r="M5222" s="2" t="s">
        <v>8202</v>
      </c>
      <c r="N5222" s="3" t="s">
        <v>1688</v>
      </c>
      <c r="P5222" s="3" t="s">
        <v>65</v>
      </c>
      <c r="Q5222" s="2" t="s">
        <v>50053</v>
      </c>
      <c r="R5222" s="3" t="s">
        <v>66</v>
      </c>
      <c r="S5222" s="4">
        <v>0</v>
      </c>
      <c r="T5222" s="4">
        <v>0</v>
      </c>
      <c r="W5222" s="5" t="s">
        <v>67</v>
      </c>
      <c r="X5222" s="5" t="s">
        <v>67</v>
      </c>
      <c r="Y5222" s="4">
        <v>68</v>
      </c>
      <c r="Z5222" s="4">
        <v>6</v>
      </c>
      <c r="AA5222" s="4">
        <v>78</v>
      </c>
      <c r="AB5222" s="4">
        <v>1</v>
      </c>
      <c r="AC5222" s="4">
        <v>14</v>
      </c>
      <c r="AD5222" s="4">
        <v>37</v>
      </c>
      <c r="AE5222" s="4">
        <v>109</v>
      </c>
      <c r="AF5222" s="4">
        <v>0</v>
      </c>
      <c r="AG5222" s="4">
        <v>8</v>
      </c>
      <c r="AH5222" s="4">
        <v>35</v>
      </c>
      <c r="AI5222" s="4">
        <v>76</v>
      </c>
      <c r="AJ5222" s="4">
        <v>4</v>
      </c>
      <c r="AK5222" s="4">
        <v>20</v>
      </c>
      <c r="AL5222" s="4">
        <v>26</v>
      </c>
      <c r="AM5222" s="4">
        <v>42</v>
      </c>
      <c r="AN5222" s="4">
        <v>0</v>
      </c>
      <c r="AO5222" s="4">
        <v>0</v>
      </c>
      <c r="AP5222" s="4">
        <v>4</v>
      </c>
      <c r="AQ5222" s="4">
        <v>40</v>
      </c>
      <c r="AR5222" s="3" t="s">
        <v>62</v>
      </c>
      <c r="AS5222" s="3" t="s">
        <v>62</v>
      </c>
      <c r="AT5222" s="3" t="s">
        <v>62</v>
      </c>
      <c r="AV5222" s="6" t="str">
        <f>HYPERLINK("http://mcgill.on.worldcat.org/oclc/861119942","Catalog Record")</f>
        <v>Catalog Record</v>
      </c>
      <c r="AW5222" s="6" t="str">
        <f>HYPERLINK("http://www.worldcat.org/oclc/861119942","WorldCat Record")</f>
        <v>WorldCat Record</v>
      </c>
      <c r="AX5222" s="3" t="s">
        <v>50054</v>
      </c>
      <c r="AY5222" s="3" t="s">
        <v>50055</v>
      </c>
      <c r="AZ5222" s="3" t="s">
        <v>50056</v>
      </c>
      <c r="BA5222" s="3" t="s">
        <v>50056</v>
      </c>
      <c r="BB5222" s="3" t="s">
        <v>50057</v>
      </c>
      <c r="BC5222" s="3" t="s">
        <v>142</v>
      </c>
      <c r="BD5222" s="3" t="s">
        <v>68</v>
      </c>
      <c r="BE5222" s="3" t="s">
        <v>50058</v>
      </c>
      <c r="BF5222" s="3" t="s">
        <v>50057</v>
      </c>
      <c r="BG5222" s="3" t="s">
        <v>50059</v>
      </c>
    </row>
    <row r="5223" spans="1:59" ht="57" x14ac:dyDescent="0.45">
      <c r="A5223" s="2" t="s">
        <v>59</v>
      </c>
      <c r="B5223" s="2" t="s">
        <v>60</v>
      </c>
      <c r="C5223" s="2" t="s">
        <v>50060</v>
      </c>
      <c r="D5223" s="2" t="s">
        <v>50061</v>
      </c>
      <c r="E5223" s="2" t="s">
        <v>50062</v>
      </c>
      <c r="G5223" s="3" t="s">
        <v>62</v>
      </c>
      <c r="I5223" s="3" t="s">
        <v>62</v>
      </c>
      <c r="J5223" s="3" t="s">
        <v>62</v>
      </c>
      <c r="K5223" s="3" t="s">
        <v>63</v>
      </c>
      <c r="L5223" s="2" t="s">
        <v>50063</v>
      </c>
      <c r="M5223" s="2" t="s">
        <v>35289</v>
      </c>
      <c r="N5223" s="3" t="s">
        <v>84</v>
      </c>
      <c r="P5223" s="3" t="s">
        <v>65</v>
      </c>
      <c r="R5223" s="3" t="s">
        <v>66</v>
      </c>
      <c r="S5223" s="4">
        <v>39</v>
      </c>
      <c r="T5223" s="4">
        <v>39</v>
      </c>
      <c r="U5223" s="5" t="s">
        <v>5274</v>
      </c>
      <c r="V5223" s="5" t="s">
        <v>5274</v>
      </c>
      <c r="W5223" s="5" t="s">
        <v>67</v>
      </c>
      <c r="X5223" s="5" t="s">
        <v>67</v>
      </c>
      <c r="Y5223" s="4">
        <v>288</v>
      </c>
      <c r="Z5223" s="4">
        <v>21</v>
      </c>
      <c r="AA5223" s="4">
        <v>24</v>
      </c>
      <c r="AB5223" s="4">
        <v>1</v>
      </c>
      <c r="AC5223" s="4">
        <v>4</v>
      </c>
      <c r="AD5223" s="4">
        <v>106</v>
      </c>
      <c r="AE5223" s="4">
        <v>109</v>
      </c>
      <c r="AF5223" s="4">
        <v>0</v>
      </c>
      <c r="AG5223" s="4">
        <v>3</v>
      </c>
      <c r="AH5223" s="4">
        <v>95</v>
      </c>
      <c r="AI5223" s="4">
        <v>96</v>
      </c>
      <c r="AJ5223" s="4">
        <v>14</v>
      </c>
      <c r="AK5223" s="4">
        <v>17</v>
      </c>
      <c r="AL5223" s="4">
        <v>58</v>
      </c>
      <c r="AM5223" s="4">
        <v>58</v>
      </c>
      <c r="AN5223" s="4">
        <v>0</v>
      </c>
      <c r="AO5223" s="4">
        <v>0</v>
      </c>
      <c r="AP5223" s="4">
        <v>18</v>
      </c>
      <c r="AQ5223" s="4">
        <v>20</v>
      </c>
      <c r="AR5223" s="3" t="s">
        <v>62</v>
      </c>
      <c r="AS5223" s="3" t="s">
        <v>62</v>
      </c>
      <c r="AT5223" s="3" t="s">
        <v>62</v>
      </c>
      <c r="AV5223" s="6" t="str">
        <f>HYPERLINK("http://mcgill.on.worldcat.org/oclc/24009909","Catalog Record")</f>
        <v>Catalog Record</v>
      </c>
      <c r="AW5223" s="6" t="str">
        <f>HYPERLINK("http://www.worldcat.org/oclc/24009909","WorldCat Record")</f>
        <v>WorldCat Record</v>
      </c>
      <c r="AX5223" s="3" t="s">
        <v>50064</v>
      </c>
      <c r="AY5223" s="3" t="s">
        <v>50065</v>
      </c>
      <c r="AZ5223" s="3" t="s">
        <v>50066</v>
      </c>
      <c r="BA5223" s="3" t="s">
        <v>50066</v>
      </c>
      <c r="BB5223" s="3" t="s">
        <v>50067</v>
      </c>
      <c r="BC5223" s="3" t="s">
        <v>142</v>
      </c>
      <c r="BD5223" s="3" t="s">
        <v>68</v>
      </c>
      <c r="BE5223" s="3" t="s">
        <v>50068</v>
      </c>
      <c r="BF5223" s="3" t="s">
        <v>50067</v>
      </c>
      <c r="BG5223" s="3" t="s">
        <v>50069</v>
      </c>
    </row>
    <row r="5224" spans="1:59" ht="57" x14ac:dyDescent="0.45">
      <c r="A5224" s="2" t="s">
        <v>59</v>
      </c>
      <c r="B5224" s="2" t="s">
        <v>60</v>
      </c>
      <c r="C5224" s="2" t="s">
        <v>50070</v>
      </c>
      <c r="D5224" s="2" t="s">
        <v>50071</v>
      </c>
      <c r="E5224" s="2" t="s">
        <v>50072</v>
      </c>
      <c r="G5224" s="3" t="s">
        <v>62</v>
      </c>
      <c r="I5224" s="3" t="s">
        <v>62</v>
      </c>
      <c r="J5224" s="3" t="s">
        <v>62</v>
      </c>
      <c r="K5224" s="3" t="s">
        <v>63</v>
      </c>
      <c r="L5224" s="2" t="s">
        <v>50073</v>
      </c>
      <c r="M5224" s="2" t="s">
        <v>34980</v>
      </c>
      <c r="N5224" s="3" t="s">
        <v>149</v>
      </c>
      <c r="P5224" s="3" t="s">
        <v>65</v>
      </c>
      <c r="Q5224" s="2" t="s">
        <v>2632</v>
      </c>
      <c r="R5224" s="3" t="s">
        <v>66</v>
      </c>
      <c r="S5224" s="4">
        <v>6</v>
      </c>
      <c r="T5224" s="4">
        <v>6</v>
      </c>
      <c r="U5224" s="5" t="s">
        <v>6949</v>
      </c>
      <c r="V5224" s="5" t="s">
        <v>6949</v>
      </c>
      <c r="W5224" s="5" t="s">
        <v>67</v>
      </c>
      <c r="X5224" s="5" t="s">
        <v>67</v>
      </c>
      <c r="Y5224" s="4">
        <v>134</v>
      </c>
      <c r="Z5224" s="4">
        <v>9</v>
      </c>
      <c r="AA5224" s="4">
        <v>22</v>
      </c>
      <c r="AB5224" s="4">
        <v>1</v>
      </c>
      <c r="AC5224" s="4">
        <v>6</v>
      </c>
      <c r="AD5224" s="4">
        <v>22</v>
      </c>
      <c r="AE5224" s="4">
        <v>43</v>
      </c>
      <c r="AF5224" s="4">
        <v>0</v>
      </c>
      <c r="AG5224" s="4">
        <v>3</v>
      </c>
      <c r="AH5224" s="4">
        <v>17</v>
      </c>
      <c r="AI5224" s="4">
        <v>35</v>
      </c>
      <c r="AJ5224" s="4">
        <v>5</v>
      </c>
      <c r="AK5224" s="4">
        <v>12</v>
      </c>
      <c r="AL5224" s="4">
        <v>10</v>
      </c>
      <c r="AM5224" s="4">
        <v>17</v>
      </c>
      <c r="AN5224" s="4">
        <v>0</v>
      </c>
      <c r="AO5224" s="4">
        <v>0</v>
      </c>
      <c r="AP5224" s="4">
        <v>7</v>
      </c>
      <c r="AQ5224" s="4">
        <v>14</v>
      </c>
      <c r="AR5224" s="3" t="s">
        <v>62</v>
      </c>
      <c r="AS5224" s="3" t="s">
        <v>62</v>
      </c>
      <c r="AT5224" s="3" t="s">
        <v>62</v>
      </c>
      <c r="AV5224" s="6" t="str">
        <f>HYPERLINK("http://mcgill.on.worldcat.org/oclc/420940305","Catalog Record")</f>
        <v>Catalog Record</v>
      </c>
      <c r="AW5224" s="6" t="str">
        <f>HYPERLINK("http://www.worldcat.org/oclc/420940305","WorldCat Record")</f>
        <v>WorldCat Record</v>
      </c>
      <c r="AX5224" s="3" t="s">
        <v>50074</v>
      </c>
      <c r="AY5224" s="3" t="s">
        <v>50075</v>
      </c>
      <c r="AZ5224" s="3" t="s">
        <v>50076</v>
      </c>
      <c r="BA5224" s="3" t="s">
        <v>50076</v>
      </c>
      <c r="BB5224" s="3" t="s">
        <v>50077</v>
      </c>
      <c r="BC5224" s="3" t="s">
        <v>142</v>
      </c>
      <c r="BD5224" s="3" t="s">
        <v>68</v>
      </c>
      <c r="BE5224" s="3" t="s">
        <v>50078</v>
      </c>
      <c r="BF5224" s="3" t="s">
        <v>50077</v>
      </c>
      <c r="BG5224" s="3" t="s">
        <v>50079</v>
      </c>
    </row>
    <row r="5225" spans="1:59" ht="57" x14ac:dyDescent="0.45">
      <c r="A5225" s="2" t="s">
        <v>59</v>
      </c>
      <c r="B5225" s="2" t="s">
        <v>60</v>
      </c>
      <c r="C5225" s="2" t="s">
        <v>50080</v>
      </c>
      <c r="D5225" s="2" t="s">
        <v>50081</v>
      </c>
      <c r="E5225" s="2" t="s">
        <v>50082</v>
      </c>
      <c r="G5225" s="3" t="s">
        <v>62</v>
      </c>
      <c r="I5225" s="3" t="s">
        <v>62</v>
      </c>
      <c r="J5225" s="3" t="s">
        <v>61</v>
      </c>
      <c r="K5225" s="3" t="s">
        <v>63</v>
      </c>
      <c r="L5225" s="2" t="s">
        <v>982</v>
      </c>
      <c r="M5225" s="2" t="s">
        <v>4998</v>
      </c>
      <c r="N5225" s="3" t="s">
        <v>807</v>
      </c>
      <c r="O5225" s="2" t="s">
        <v>3874</v>
      </c>
      <c r="P5225" s="3" t="s">
        <v>65</v>
      </c>
      <c r="Q5225" s="2" t="s">
        <v>29735</v>
      </c>
      <c r="R5225" s="3" t="s">
        <v>66</v>
      </c>
      <c r="S5225" s="4">
        <v>24</v>
      </c>
      <c r="T5225" s="4">
        <v>24</v>
      </c>
      <c r="U5225" s="5" t="s">
        <v>50083</v>
      </c>
      <c r="V5225" s="5" t="s">
        <v>50083</v>
      </c>
      <c r="W5225" s="5" t="s">
        <v>67</v>
      </c>
      <c r="X5225" s="5" t="s">
        <v>67</v>
      </c>
      <c r="Y5225" s="4">
        <v>387</v>
      </c>
      <c r="Z5225" s="4">
        <v>26</v>
      </c>
      <c r="AA5225" s="4">
        <v>53</v>
      </c>
      <c r="AB5225" s="4">
        <v>2</v>
      </c>
      <c r="AC5225" s="4">
        <v>10</v>
      </c>
      <c r="AD5225" s="4">
        <v>105</v>
      </c>
      <c r="AE5225" s="4">
        <v>143</v>
      </c>
      <c r="AF5225" s="4">
        <v>1</v>
      </c>
      <c r="AG5225" s="4">
        <v>5</v>
      </c>
      <c r="AH5225" s="4">
        <v>92</v>
      </c>
      <c r="AI5225" s="4">
        <v>112</v>
      </c>
      <c r="AJ5225" s="4">
        <v>17</v>
      </c>
      <c r="AK5225" s="4">
        <v>25</v>
      </c>
      <c r="AL5225" s="4">
        <v>57</v>
      </c>
      <c r="AM5225" s="4">
        <v>60</v>
      </c>
      <c r="AN5225" s="4">
        <v>0</v>
      </c>
      <c r="AO5225" s="4">
        <v>0</v>
      </c>
      <c r="AP5225" s="4">
        <v>20</v>
      </c>
      <c r="AQ5225" s="4">
        <v>39</v>
      </c>
      <c r="AR5225" s="3" t="s">
        <v>62</v>
      </c>
      <c r="AS5225" s="3" t="s">
        <v>62</v>
      </c>
      <c r="AT5225" s="3" t="s">
        <v>62</v>
      </c>
      <c r="AV5225" s="6" t="str">
        <f>HYPERLINK("http://mcgill.on.worldcat.org/oclc/22811709","Catalog Record")</f>
        <v>Catalog Record</v>
      </c>
      <c r="AW5225" s="6" t="str">
        <f>HYPERLINK("http://www.worldcat.org/oclc/22811709","WorldCat Record")</f>
        <v>WorldCat Record</v>
      </c>
      <c r="AX5225" s="3" t="s">
        <v>50084</v>
      </c>
      <c r="AY5225" s="3" t="s">
        <v>50085</v>
      </c>
      <c r="AZ5225" s="3" t="s">
        <v>50086</v>
      </c>
      <c r="BA5225" s="3" t="s">
        <v>50086</v>
      </c>
      <c r="BB5225" s="3" t="s">
        <v>50087</v>
      </c>
      <c r="BC5225" s="3" t="s">
        <v>142</v>
      </c>
      <c r="BD5225" s="3" t="s">
        <v>308</v>
      </c>
      <c r="BE5225" s="3" t="s">
        <v>50088</v>
      </c>
      <c r="BF5225" s="3" t="s">
        <v>50087</v>
      </c>
      <c r="BG5225" s="3" t="s">
        <v>50089</v>
      </c>
    </row>
    <row r="5226" spans="1:59" ht="57" x14ac:dyDescent="0.45">
      <c r="A5226" s="2" t="s">
        <v>59</v>
      </c>
      <c r="B5226" s="2" t="s">
        <v>60</v>
      </c>
      <c r="C5226" s="2" t="s">
        <v>50090</v>
      </c>
      <c r="D5226" s="2" t="s">
        <v>50091</v>
      </c>
      <c r="E5226" s="2" t="s">
        <v>50092</v>
      </c>
      <c r="F5226" s="3" t="s">
        <v>88</v>
      </c>
      <c r="G5226" s="3" t="s">
        <v>61</v>
      </c>
      <c r="I5226" s="3" t="s">
        <v>62</v>
      </c>
      <c r="J5226" s="3" t="s">
        <v>62</v>
      </c>
      <c r="K5226" s="3" t="s">
        <v>63</v>
      </c>
      <c r="L5226" s="2" t="s">
        <v>50093</v>
      </c>
      <c r="M5226" s="2" t="s">
        <v>50094</v>
      </c>
      <c r="N5226" s="3" t="s">
        <v>195</v>
      </c>
      <c r="P5226" s="3" t="s">
        <v>110</v>
      </c>
      <c r="R5226" s="3" t="s">
        <v>66</v>
      </c>
      <c r="S5226" s="4">
        <v>4</v>
      </c>
      <c r="T5226" s="4">
        <v>52</v>
      </c>
      <c r="U5226" s="5" t="s">
        <v>50095</v>
      </c>
      <c r="V5226" s="5" t="s">
        <v>1570</v>
      </c>
      <c r="W5226" s="5" t="s">
        <v>67</v>
      </c>
      <c r="X5226" s="5" t="s">
        <v>67</v>
      </c>
      <c r="Y5226" s="4">
        <v>90</v>
      </c>
      <c r="Z5226" s="4">
        <v>24</v>
      </c>
      <c r="AA5226" s="4">
        <v>79</v>
      </c>
      <c r="AB5226" s="4">
        <v>11</v>
      </c>
      <c r="AC5226" s="4">
        <v>20</v>
      </c>
      <c r="AD5226" s="4">
        <v>40</v>
      </c>
      <c r="AE5226" s="4">
        <v>87</v>
      </c>
      <c r="AF5226" s="4">
        <v>5</v>
      </c>
      <c r="AG5226" s="4">
        <v>9</v>
      </c>
      <c r="AH5226" s="4">
        <v>30</v>
      </c>
      <c r="AI5226" s="4">
        <v>43</v>
      </c>
      <c r="AJ5226" s="4">
        <v>14</v>
      </c>
      <c r="AK5226" s="4">
        <v>23</v>
      </c>
      <c r="AL5226" s="4">
        <v>19</v>
      </c>
      <c r="AM5226" s="4">
        <v>25</v>
      </c>
      <c r="AN5226" s="4">
        <v>0</v>
      </c>
      <c r="AO5226" s="4">
        <v>0</v>
      </c>
      <c r="AP5226" s="4">
        <v>15</v>
      </c>
      <c r="AQ5226" s="4">
        <v>51</v>
      </c>
      <c r="AR5226" s="3" t="s">
        <v>61</v>
      </c>
      <c r="AS5226" s="3" t="s">
        <v>62</v>
      </c>
      <c r="AT5226" s="3" t="s">
        <v>61</v>
      </c>
      <c r="AU5226" s="6" t="str">
        <f>HYPERLINK("http://catalog.hathitrust.org/Record/002861786","HathiTrust Record")</f>
        <v>HathiTrust Record</v>
      </c>
      <c r="AV5226" s="6" t="str">
        <f>HYPERLINK("http://mcgill.on.worldcat.org/oclc/27225504","Catalog Record")</f>
        <v>Catalog Record</v>
      </c>
      <c r="AW5226" s="6" t="str">
        <f>HYPERLINK("http://www.worldcat.org/oclc/27225504","WorldCat Record")</f>
        <v>WorldCat Record</v>
      </c>
      <c r="AX5226" s="3" t="s">
        <v>50096</v>
      </c>
      <c r="AY5226" s="3" t="s">
        <v>50097</v>
      </c>
      <c r="AZ5226" s="3" t="s">
        <v>50098</v>
      </c>
      <c r="BA5226" s="3" t="s">
        <v>50098</v>
      </c>
      <c r="BB5226" s="3" t="s">
        <v>50099</v>
      </c>
      <c r="BC5226" s="3" t="s">
        <v>142</v>
      </c>
      <c r="BD5226" s="3" t="s">
        <v>68</v>
      </c>
      <c r="BE5226" s="3" t="s">
        <v>50100</v>
      </c>
      <c r="BF5226" s="3" t="s">
        <v>50099</v>
      </c>
      <c r="BG5226" s="3" t="s">
        <v>50101</v>
      </c>
    </row>
    <row r="5227" spans="1:59" ht="57" x14ac:dyDescent="0.45">
      <c r="A5227" s="2" t="s">
        <v>59</v>
      </c>
      <c r="B5227" s="2" t="s">
        <v>60</v>
      </c>
      <c r="C5227" s="2" t="s">
        <v>50090</v>
      </c>
      <c r="D5227" s="2" t="s">
        <v>50091</v>
      </c>
      <c r="E5227" s="2" t="s">
        <v>50092</v>
      </c>
      <c r="F5227" s="3" t="s">
        <v>90</v>
      </c>
      <c r="G5227" s="3" t="s">
        <v>61</v>
      </c>
      <c r="I5227" s="3" t="s">
        <v>62</v>
      </c>
      <c r="J5227" s="3" t="s">
        <v>62</v>
      </c>
      <c r="K5227" s="3" t="s">
        <v>63</v>
      </c>
      <c r="L5227" s="2" t="s">
        <v>50093</v>
      </c>
      <c r="M5227" s="2" t="s">
        <v>50094</v>
      </c>
      <c r="N5227" s="3" t="s">
        <v>195</v>
      </c>
      <c r="P5227" s="3" t="s">
        <v>110</v>
      </c>
      <c r="R5227" s="3" t="s">
        <v>66</v>
      </c>
      <c r="S5227" s="4">
        <v>13</v>
      </c>
      <c r="T5227" s="4">
        <v>52</v>
      </c>
      <c r="U5227" s="5" t="s">
        <v>44098</v>
      </c>
      <c r="V5227" s="5" t="s">
        <v>1570</v>
      </c>
      <c r="W5227" s="5" t="s">
        <v>67</v>
      </c>
      <c r="X5227" s="5" t="s">
        <v>67</v>
      </c>
      <c r="Y5227" s="4">
        <v>90</v>
      </c>
      <c r="Z5227" s="4">
        <v>24</v>
      </c>
      <c r="AA5227" s="4">
        <v>79</v>
      </c>
      <c r="AB5227" s="4">
        <v>11</v>
      </c>
      <c r="AC5227" s="4">
        <v>20</v>
      </c>
      <c r="AD5227" s="4">
        <v>40</v>
      </c>
      <c r="AE5227" s="4">
        <v>87</v>
      </c>
      <c r="AF5227" s="4">
        <v>5</v>
      </c>
      <c r="AG5227" s="4">
        <v>9</v>
      </c>
      <c r="AH5227" s="4">
        <v>30</v>
      </c>
      <c r="AI5227" s="4">
        <v>43</v>
      </c>
      <c r="AJ5227" s="4">
        <v>14</v>
      </c>
      <c r="AK5227" s="4">
        <v>23</v>
      </c>
      <c r="AL5227" s="4">
        <v>19</v>
      </c>
      <c r="AM5227" s="4">
        <v>25</v>
      </c>
      <c r="AN5227" s="4">
        <v>0</v>
      </c>
      <c r="AO5227" s="4">
        <v>0</v>
      </c>
      <c r="AP5227" s="4">
        <v>15</v>
      </c>
      <c r="AQ5227" s="4">
        <v>51</v>
      </c>
      <c r="AR5227" s="3" t="s">
        <v>61</v>
      </c>
      <c r="AS5227" s="3" t="s">
        <v>62</v>
      </c>
      <c r="AT5227" s="3" t="s">
        <v>61</v>
      </c>
      <c r="AU5227" s="6" t="str">
        <f>HYPERLINK("http://catalog.hathitrust.org/Record/002861786","HathiTrust Record")</f>
        <v>HathiTrust Record</v>
      </c>
      <c r="AV5227" s="6" t="str">
        <f>HYPERLINK("http://mcgill.on.worldcat.org/oclc/27225504","Catalog Record")</f>
        <v>Catalog Record</v>
      </c>
      <c r="AW5227" s="6" t="str">
        <f>HYPERLINK("http://www.worldcat.org/oclc/27225504","WorldCat Record")</f>
        <v>WorldCat Record</v>
      </c>
      <c r="AX5227" s="3" t="s">
        <v>50096</v>
      </c>
      <c r="AY5227" s="3" t="s">
        <v>50097</v>
      </c>
      <c r="AZ5227" s="3" t="s">
        <v>50098</v>
      </c>
      <c r="BA5227" s="3" t="s">
        <v>50098</v>
      </c>
      <c r="BB5227" s="3" t="s">
        <v>50102</v>
      </c>
      <c r="BC5227" s="3" t="s">
        <v>142</v>
      </c>
      <c r="BD5227" s="3" t="s">
        <v>68</v>
      </c>
      <c r="BE5227" s="3" t="s">
        <v>50100</v>
      </c>
      <c r="BF5227" s="3" t="s">
        <v>50102</v>
      </c>
      <c r="BG5227" s="3" t="s">
        <v>50103</v>
      </c>
    </row>
    <row r="5228" spans="1:59" ht="57" x14ac:dyDescent="0.45">
      <c r="A5228" s="2" t="s">
        <v>59</v>
      </c>
      <c r="B5228" s="2" t="s">
        <v>60</v>
      </c>
      <c r="C5228" s="2" t="s">
        <v>50090</v>
      </c>
      <c r="D5228" s="2" t="s">
        <v>50091</v>
      </c>
      <c r="E5228" s="2" t="s">
        <v>50092</v>
      </c>
      <c r="F5228" s="3" t="s">
        <v>86</v>
      </c>
      <c r="G5228" s="3" t="s">
        <v>61</v>
      </c>
      <c r="I5228" s="3" t="s">
        <v>62</v>
      </c>
      <c r="J5228" s="3" t="s">
        <v>62</v>
      </c>
      <c r="K5228" s="3" t="s">
        <v>63</v>
      </c>
      <c r="L5228" s="2" t="s">
        <v>50093</v>
      </c>
      <c r="M5228" s="2" t="s">
        <v>50094</v>
      </c>
      <c r="N5228" s="3" t="s">
        <v>195</v>
      </c>
      <c r="P5228" s="3" t="s">
        <v>110</v>
      </c>
      <c r="R5228" s="3" t="s">
        <v>66</v>
      </c>
      <c r="S5228" s="4">
        <v>8</v>
      </c>
      <c r="T5228" s="4">
        <v>52</v>
      </c>
      <c r="U5228" s="5" t="s">
        <v>44098</v>
      </c>
      <c r="V5228" s="5" t="s">
        <v>1570</v>
      </c>
      <c r="W5228" s="5" t="s">
        <v>67</v>
      </c>
      <c r="X5228" s="5" t="s">
        <v>67</v>
      </c>
      <c r="Y5228" s="4">
        <v>90</v>
      </c>
      <c r="Z5228" s="4">
        <v>24</v>
      </c>
      <c r="AA5228" s="4">
        <v>79</v>
      </c>
      <c r="AB5228" s="4">
        <v>11</v>
      </c>
      <c r="AC5228" s="4">
        <v>20</v>
      </c>
      <c r="AD5228" s="4">
        <v>40</v>
      </c>
      <c r="AE5228" s="4">
        <v>87</v>
      </c>
      <c r="AF5228" s="4">
        <v>5</v>
      </c>
      <c r="AG5228" s="4">
        <v>9</v>
      </c>
      <c r="AH5228" s="4">
        <v>30</v>
      </c>
      <c r="AI5228" s="4">
        <v>43</v>
      </c>
      <c r="AJ5228" s="4">
        <v>14</v>
      </c>
      <c r="AK5228" s="4">
        <v>23</v>
      </c>
      <c r="AL5228" s="4">
        <v>19</v>
      </c>
      <c r="AM5228" s="4">
        <v>25</v>
      </c>
      <c r="AN5228" s="4">
        <v>0</v>
      </c>
      <c r="AO5228" s="4">
        <v>0</v>
      </c>
      <c r="AP5228" s="4">
        <v>15</v>
      </c>
      <c r="AQ5228" s="4">
        <v>51</v>
      </c>
      <c r="AR5228" s="3" t="s">
        <v>61</v>
      </c>
      <c r="AS5228" s="3" t="s">
        <v>62</v>
      </c>
      <c r="AT5228" s="3" t="s">
        <v>61</v>
      </c>
      <c r="AU5228" s="6" t="str">
        <f>HYPERLINK("http://catalog.hathitrust.org/Record/002861786","HathiTrust Record")</f>
        <v>HathiTrust Record</v>
      </c>
      <c r="AV5228" s="6" t="str">
        <f>HYPERLINK("http://mcgill.on.worldcat.org/oclc/27225504","Catalog Record")</f>
        <v>Catalog Record</v>
      </c>
      <c r="AW5228" s="6" t="str">
        <f>HYPERLINK("http://www.worldcat.org/oclc/27225504","WorldCat Record")</f>
        <v>WorldCat Record</v>
      </c>
      <c r="AX5228" s="3" t="s">
        <v>50096</v>
      </c>
      <c r="AY5228" s="3" t="s">
        <v>50097</v>
      </c>
      <c r="AZ5228" s="3" t="s">
        <v>50098</v>
      </c>
      <c r="BA5228" s="3" t="s">
        <v>50098</v>
      </c>
      <c r="BB5228" s="3" t="s">
        <v>50104</v>
      </c>
      <c r="BC5228" s="3" t="s">
        <v>142</v>
      </c>
      <c r="BD5228" s="3" t="s">
        <v>68</v>
      </c>
      <c r="BE5228" s="3" t="s">
        <v>50100</v>
      </c>
      <c r="BF5228" s="3" t="s">
        <v>50104</v>
      </c>
      <c r="BG5228" s="3" t="s">
        <v>50105</v>
      </c>
    </row>
    <row r="5229" spans="1:59" ht="57" x14ac:dyDescent="0.45">
      <c r="A5229" s="2" t="s">
        <v>59</v>
      </c>
      <c r="B5229" s="2" t="s">
        <v>60</v>
      </c>
      <c r="C5229" s="2" t="s">
        <v>50090</v>
      </c>
      <c r="D5229" s="2" t="s">
        <v>50091</v>
      </c>
      <c r="E5229" s="2" t="s">
        <v>50092</v>
      </c>
      <c r="F5229" s="3" t="s">
        <v>87</v>
      </c>
      <c r="G5229" s="3" t="s">
        <v>61</v>
      </c>
      <c r="I5229" s="3" t="s">
        <v>62</v>
      </c>
      <c r="J5229" s="3" t="s">
        <v>62</v>
      </c>
      <c r="K5229" s="3" t="s">
        <v>63</v>
      </c>
      <c r="L5229" s="2" t="s">
        <v>50093</v>
      </c>
      <c r="M5229" s="2" t="s">
        <v>50094</v>
      </c>
      <c r="N5229" s="3" t="s">
        <v>195</v>
      </c>
      <c r="P5229" s="3" t="s">
        <v>110</v>
      </c>
      <c r="R5229" s="3" t="s">
        <v>66</v>
      </c>
      <c r="S5229" s="4">
        <v>22</v>
      </c>
      <c r="T5229" s="4">
        <v>52</v>
      </c>
      <c r="U5229" s="5" t="s">
        <v>1570</v>
      </c>
      <c r="V5229" s="5" t="s">
        <v>1570</v>
      </c>
      <c r="W5229" s="5" t="s">
        <v>67</v>
      </c>
      <c r="X5229" s="5" t="s">
        <v>67</v>
      </c>
      <c r="Y5229" s="4">
        <v>90</v>
      </c>
      <c r="Z5229" s="4">
        <v>24</v>
      </c>
      <c r="AA5229" s="4">
        <v>79</v>
      </c>
      <c r="AB5229" s="4">
        <v>11</v>
      </c>
      <c r="AC5229" s="4">
        <v>20</v>
      </c>
      <c r="AD5229" s="4">
        <v>40</v>
      </c>
      <c r="AE5229" s="4">
        <v>87</v>
      </c>
      <c r="AF5229" s="4">
        <v>5</v>
      </c>
      <c r="AG5229" s="4">
        <v>9</v>
      </c>
      <c r="AH5229" s="4">
        <v>30</v>
      </c>
      <c r="AI5229" s="4">
        <v>43</v>
      </c>
      <c r="AJ5229" s="4">
        <v>14</v>
      </c>
      <c r="AK5229" s="4">
        <v>23</v>
      </c>
      <c r="AL5229" s="4">
        <v>19</v>
      </c>
      <c r="AM5229" s="4">
        <v>25</v>
      </c>
      <c r="AN5229" s="4">
        <v>0</v>
      </c>
      <c r="AO5229" s="4">
        <v>0</v>
      </c>
      <c r="AP5229" s="4">
        <v>15</v>
      </c>
      <c r="AQ5229" s="4">
        <v>51</v>
      </c>
      <c r="AR5229" s="3" t="s">
        <v>61</v>
      </c>
      <c r="AS5229" s="3" t="s">
        <v>62</v>
      </c>
      <c r="AT5229" s="3" t="s">
        <v>61</v>
      </c>
      <c r="AU5229" s="6" t="str">
        <f>HYPERLINK("http://catalog.hathitrust.org/Record/002861786","HathiTrust Record")</f>
        <v>HathiTrust Record</v>
      </c>
      <c r="AV5229" s="6" t="str">
        <f>HYPERLINK("http://mcgill.on.worldcat.org/oclc/27225504","Catalog Record")</f>
        <v>Catalog Record</v>
      </c>
      <c r="AW5229" s="6" t="str">
        <f>HYPERLINK("http://www.worldcat.org/oclc/27225504","WorldCat Record")</f>
        <v>WorldCat Record</v>
      </c>
      <c r="AX5229" s="3" t="s">
        <v>50096</v>
      </c>
      <c r="AY5229" s="3" t="s">
        <v>50097</v>
      </c>
      <c r="AZ5229" s="3" t="s">
        <v>50098</v>
      </c>
      <c r="BA5229" s="3" t="s">
        <v>50098</v>
      </c>
      <c r="BB5229" s="3" t="s">
        <v>50106</v>
      </c>
      <c r="BC5229" s="3" t="s">
        <v>142</v>
      </c>
      <c r="BD5229" s="3" t="s">
        <v>68</v>
      </c>
      <c r="BE5229" s="3" t="s">
        <v>50100</v>
      </c>
      <c r="BF5229" s="3" t="s">
        <v>50106</v>
      </c>
      <c r="BG5229" s="3" t="s">
        <v>50107</v>
      </c>
    </row>
    <row r="5230" spans="1:59" ht="57" x14ac:dyDescent="0.45">
      <c r="A5230" s="2" t="s">
        <v>59</v>
      </c>
      <c r="B5230" s="2" t="s">
        <v>60</v>
      </c>
      <c r="C5230" s="2" t="s">
        <v>50090</v>
      </c>
      <c r="D5230" s="2" t="s">
        <v>50091</v>
      </c>
      <c r="E5230" s="2" t="s">
        <v>50092</v>
      </c>
      <c r="F5230" s="3" t="s">
        <v>83</v>
      </c>
      <c r="G5230" s="3" t="s">
        <v>61</v>
      </c>
      <c r="I5230" s="3" t="s">
        <v>62</v>
      </c>
      <c r="J5230" s="3" t="s">
        <v>62</v>
      </c>
      <c r="K5230" s="3" t="s">
        <v>63</v>
      </c>
      <c r="L5230" s="2" t="s">
        <v>50093</v>
      </c>
      <c r="M5230" s="2" t="s">
        <v>50094</v>
      </c>
      <c r="N5230" s="3" t="s">
        <v>195</v>
      </c>
      <c r="P5230" s="3" t="s">
        <v>110</v>
      </c>
      <c r="R5230" s="3" t="s">
        <v>66</v>
      </c>
      <c r="S5230" s="4">
        <v>5</v>
      </c>
      <c r="T5230" s="4">
        <v>52</v>
      </c>
      <c r="U5230" s="5" t="s">
        <v>43090</v>
      </c>
      <c r="V5230" s="5" t="s">
        <v>1570</v>
      </c>
      <c r="W5230" s="5" t="s">
        <v>67</v>
      </c>
      <c r="X5230" s="5" t="s">
        <v>67</v>
      </c>
      <c r="Y5230" s="4">
        <v>90</v>
      </c>
      <c r="Z5230" s="4">
        <v>24</v>
      </c>
      <c r="AA5230" s="4">
        <v>79</v>
      </c>
      <c r="AB5230" s="4">
        <v>11</v>
      </c>
      <c r="AC5230" s="4">
        <v>20</v>
      </c>
      <c r="AD5230" s="4">
        <v>40</v>
      </c>
      <c r="AE5230" s="4">
        <v>87</v>
      </c>
      <c r="AF5230" s="4">
        <v>5</v>
      </c>
      <c r="AG5230" s="4">
        <v>9</v>
      </c>
      <c r="AH5230" s="4">
        <v>30</v>
      </c>
      <c r="AI5230" s="4">
        <v>43</v>
      </c>
      <c r="AJ5230" s="4">
        <v>14</v>
      </c>
      <c r="AK5230" s="4">
        <v>23</v>
      </c>
      <c r="AL5230" s="4">
        <v>19</v>
      </c>
      <c r="AM5230" s="4">
        <v>25</v>
      </c>
      <c r="AN5230" s="4">
        <v>0</v>
      </c>
      <c r="AO5230" s="4">
        <v>0</v>
      </c>
      <c r="AP5230" s="4">
        <v>15</v>
      </c>
      <c r="AQ5230" s="4">
        <v>51</v>
      </c>
      <c r="AR5230" s="3" t="s">
        <v>61</v>
      </c>
      <c r="AS5230" s="3" t="s">
        <v>62</v>
      </c>
      <c r="AT5230" s="3" t="s">
        <v>61</v>
      </c>
      <c r="AU5230" s="6" t="str">
        <f>HYPERLINK("http://catalog.hathitrust.org/Record/002861786","HathiTrust Record")</f>
        <v>HathiTrust Record</v>
      </c>
      <c r="AV5230" s="6" t="str">
        <f>HYPERLINK("http://mcgill.on.worldcat.org/oclc/27225504","Catalog Record")</f>
        <v>Catalog Record</v>
      </c>
      <c r="AW5230" s="6" t="str">
        <f>HYPERLINK("http://www.worldcat.org/oclc/27225504","WorldCat Record")</f>
        <v>WorldCat Record</v>
      </c>
      <c r="AX5230" s="3" t="s">
        <v>50096</v>
      </c>
      <c r="AY5230" s="3" t="s">
        <v>50097</v>
      </c>
      <c r="AZ5230" s="3" t="s">
        <v>50098</v>
      </c>
      <c r="BA5230" s="3" t="s">
        <v>50098</v>
      </c>
      <c r="BB5230" s="3" t="s">
        <v>50108</v>
      </c>
      <c r="BC5230" s="3" t="s">
        <v>142</v>
      </c>
      <c r="BD5230" s="3" t="s">
        <v>68</v>
      </c>
      <c r="BE5230" s="3" t="s">
        <v>50100</v>
      </c>
      <c r="BF5230" s="3" t="s">
        <v>50108</v>
      </c>
      <c r="BG5230" s="3" t="s">
        <v>50109</v>
      </c>
    </row>
    <row r="5231" spans="1:59" ht="57" x14ac:dyDescent="0.45">
      <c r="A5231" s="2" t="s">
        <v>59</v>
      </c>
      <c r="B5231" s="2" t="s">
        <v>60</v>
      </c>
      <c r="C5231" s="2" t="s">
        <v>50110</v>
      </c>
      <c r="D5231" s="2" t="s">
        <v>50111</v>
      </c>
      <c r="E5231" s="2" t="s">
        <v>50112</v>
      </c>
      <c r="G5231" s="3" t="s">
        <v>62</v>
      </c>
      <c r="I5231" s="3" t="s">
        <v>62</v>
      </c>
      <c r="J5231" s="3" t="s">
        <v>62</v>
      </c>
      <c r="K5231" s="3" t="s">
        <v>63</v>
      </c>
      <c r="M5231" s="2" t="s">
        <v>50113</v>
      </c>
      <c r="N5231" s="3" t="s">
        <v>958</v>
      </c>
      <c r="P5231" s="3" t="s">
        <v>65</v>
      </c>
      <c r="R5231" s="3" t="s">
        <v>66</v>
      </c>
      <c r="S5231" s="4">
        <v>27</v>
      </c>
      <c r="T5231" s="4">
        <v>27</v>
      </c>
      <c r="U5231" s="5" t="s">
        <v>16784</v>
      </c>
      <c r="V5231" s="5" t="s">
        <v>16784</v>
      </c>
      <c r="W5231" s="5" t="s">
        <v>67</v>
      </c>
      <c r="X5231" s="5" t="s">
        <v>67</v>
      </c>
      <c r="Y5231" s="4">
        <v>227</v>
      </c>
      <c r="Z5231" s="4">
        <v>16</v>
      </c>
      <c r="AA5231" s="4">
        <v>26</v>
      </c>
      <c r="AB5231" s="4">
        <v>1</v>
      </c>
      <c r="AC5231" s="4">
        <v>8</v>
      </c>
      <c r="AD5231" s="4">
        <v>95</v>
      </c>
      <c r="AE5231" s="4">
        <v>103</v>
      </c>
      <c r="AF5231" s="4">
        <v>0</v>
      </c>
      <c r="AG5231" s="4">
        <v>3</v>
      </c>
      <c r="AH5231" s="4">
        <v>86</v>
      </c>
      <c r="AI5231" s="4">
        <v>90</v>
      </c>
      <c r="AJ5231" s="4">
        <v>13</v>
      </c>
      <c r="AK5231" s="4">
        <v>18</v>
      </c>
      <c r="AL5231" s="4">
        <v>49</v>
      </c>
      <c r="AM5231" s="4">
        <v>51</v>
      </c>
      <c r="AN5231" s="4">
        <v>0</v>
      </c>
      <c r="AO5231" s="4">
        <v>0</v>
      </c>
      <c r="AP5231" s="4">
        <v>14</v>
      </c>
      <c r="AQ5231" s="4">
        <v>19</v>
      </c>
      <c r="AR5231" s="3" t="s">
        <v>62</v>
      </c>
      <c r="AS5231" s="3" t="s">
        <v>62</v>
      </c>
      <c r="AT5231" s="3" t="s">
        <v>62</v>
      </c>
      <c r="AV5231" s="6" t="str">
        <f>HYPERLINK("http://mcgill.on.worldcat.org/oclc/30896052","Catalog Record")</f>
        <v>Catalog Record</v>
      </c>
      <c r="AW5231" s="6" t="str">
        <f>HYPERLINK("http://www.worldcat.org/oclc/30896052","WorldCat Record")</f>
        <v>WorldCat Record</v>
      </c>
      <c r="AX5231" s="3" t="s">
        <v>50114</v>
      </c>
      <c r="AY5231" s="3" t="s">
        <v>50115</v>
      </c>
      <c r="AZ5231" s="3" t="s">
        <v>50116</v>
      </c>
      <c r="BA5231" s="3" t="s">
        <v>50116</v>
      </c>
      <c r="BB5231" s="3" t="s">
        <v>50117</v>
      </c>
      <c r="BC5231" s="3" t="s">
        <v>142</v>
      </c>
      <c r="BD5231" s="3" t="s">
        <v>308</v>
      </c>
      <c r="BE5231" s="3" t="s">
        <v>50118</v>
      </c>
      <c r="BF5231" s="3" t="s">
        <v>50117</v>
      </c>
      <c r="BG5231" s="3" t="s">
        <v>50119</v>
      </c>
    </row>
    <row r="5232" spans="1:59" ht="57" x14ac:dyDescent="0.45">
      <c r="A5232" s="2" t="s">
        <v>59</v>
      </c>
      <c r="B5232" s="2" t="s">
        <v>60</v>
      </c>
      <c r="C5232" s="2" t="s">
        <v>50120</v>
      </c>
      <c r="D5232" s="2" t="s">
        <v>50121</v>
      </c>
      <c r="E5232" s="2" t="s">
        <v>50122</v>
      </c>
      <c r="G5232" s="3" t="s">
        <v>62</v>
      </c>
      <c r="I5232" s="3" t="s">
        <v>62</v>
      </c>
      <c r="J5232" s="3" t="s">
        <v>62</v>
      </c>
      <c r="K5232" s="3" t="s">
        <v>63</v>
      </c>
      <c r="M5232" s="2" t="s">
        <v>50123</v>
      </c>
      <c r="N5232" s="3" t="s">
        <v>1437</v>
      </c>
      <c r="P5232" s="3" t="s">
        <v>65</v>
      </c>
      <c r="R5232" s="3" t="s">
        <v>66</v>
      </c>
      <c r="S5232" s="4">
        <v>22</v>
      </c>
      <c r="T5232" s="4">
        <v>22</v>
      </c>
      <c r="U5232" s="5" t="s">
        <v>4594</v>
      </c>
      <c r="V5232" s="5" t="s">
        <v>4594</v>
      </c>
      <c r="W5232" s="5" t="s">
        <v>67</v>
      </c>
      <c r="X5232" s="5" t="s">
        <v>67</v>
      </c>
      <c r="Y5232" s="4">
        <v>216</v>
      </c>
      <c r="Z5232" s="4">
        <v>21</v>
      </c>
      <c r="AA5232" s="4">
        <v>23</v>
      </c>
      <c r="AB5232" s="4">
        <v>2</v>
      </c>
      <c r="AC5232" s="4">
        <v>4</v>
      </c>
      <c r="AD5232" s="4">
        <v>88</v>
      </c>
      <c r="AE5232" s="4">
        <v>90</v>
      </c>
      <c r="AF5232" s="4">
        <v>1</v>
      </c>
      <c r="AG5232" s="4">
        <v>3</v>
      </c>
      <c r="AH5232" s="4">
        <v>77</v>
      </c>
      <c r="AI5232" s="4">
        <v>78</v>
      </c>
      <c r="AJ5232" s="4">
        <v>17</v>
      </c>
      <c r="AK5232" s="4">
        <v>19</v>
      </c>
      <c r="AL5232" s="4">
        <v>43</v>
      </c>
      <c r="AM5232" s="4">
        <v>43</v>
      </c>
      <c r="AN5232" s="4">
        <v>0</v>
      </c>
      <c r="AO5232" s="4">
        <v>0</v>
      </c>
      <c r="AP5232" s="4">
        <v>18</v>
      </c>
      <c r="AQ5232" s="4">
        <v>20</v>
      </c>
      <c r="AR5232" s="3" t="s">
        <v>62</v>
      </c>
      <c r="AS5232" s="3" t="s">
        <v>62</v>
      </c>
      <c r="AT5232" s="3" t="s">
        <v>62</v>
      </c>
      <c r="AV5232" s="6" t="str">
        <f>HYPERLINK("http://mcgill.on.worldcat.org/oclc/37917302","Catalog Record")</f>
        <v>Catalog Record</v>
      </c>
      <c r="AW5232" s="6" t="str">
        <f>HYPERLINK("http://www.worldcat.org/oclc/37917302","WorldCat Record")</f>
        <v>WorldCat Record</v>
      </c>
      <c r="AX5232" s="3" t="s">
        <v>50124</v>
      </c>
      <c r="AY5232" s="3" t="s">
        <v>50125</v>
      </c>
      <c r="AZ5232" s="3" t="s">
        <v>50126</v>
      </c>
      <c r="BA5232" s="3" t="s">
        <v>50126</v>
      </c>
      <c r="BB5232" s="3" t="s">
        <v>50127</v>
      </c>
      <c r="BC5232" s="3" t="s">
        <v>142</v>
      </c>
      <c r="BD5232" s="3" t="s">
        <v>68</v>
      </c>
      <c r="BE5232" s="3" t="s">
        <v>50128</v>
      </c>
      <c r="BF5232" s="3" t="s">
        <v>50127</v>
      </c>
      <c r="BG5232" s="3" t="s">
        <v>50129</v>
      </c>
    </row>
    <row r="5233" spans="1:59" ht="57" x14ac:dyDescent="0.45">
      <c r="A5233" s="2" t="s">
        <v>59</v>
      </c>
      <c r="B5233" s="2" t="s">
        <v>60</v>
      </c>
      <c r="C5233" s="2" t="s">
        <v>50130</v>
      </c>
      <c r="D5233" s="2" t="s">
        <v>50131</v>
      </c>
      <c r="E5233" s="2" t="s">
        <v>50132</v>
      </c>
      <c r="F5233" s="3" t="s">
        <v>90</v>
      </c>
      <c r="G5233" s="3" t="s">
        <v>61</v>
      </c>
      <c r="I5233" s="3" t="s">
        <v>62</v>
      </c>
      <c r="J5233" s="3" t="s">
        <v>62</v>
      </c>
      <c r="K5233" s="3" t="s">
        <v>63</v>
      </c>
      <c r="M5233" s="2" t="s">
        <v>2764</v>
      </c>
      <c r="N5233" s="3" t="s">
        <v>1097</v>
      </c>
      <c r="P5233" s="3" t="s">
        <v>65</v>
      </c>
      <c r="R5233" s="3" t="s">
        <v>66</v>
      </c>
      <c r="S5233" s="4">
        <v>2</v>
      </c>
      <c r="T5233" s="4">
        <v>18</v>
      </c>
      <c r="U5233" s="5" t="s">
        <v>22304</v>
      </c>
      <c r="V5233" s="5" t="s">
        <v>40329</v>
      </c>
      <c r="W5233" s="5" t="s">
        <v>67</v>
      </c>
      <c r="X5233" s="5" t="s">
        <v>67</v>
      </c>
      <c r="Y5233" s="4">
        <v>50</v>
      </c>
      <c r="Z5233" s="4">
        <v>4</v>
      </c>
      <c r="AA5233" s="4">
        <v>6</v>
      </c>
      <c r="AB5233" s="4">
        <v>1</v>
      </c>
      <c r="AC5233" s="4">
        <v>3</v>
      </c>
      <c r="AD5233" s="4">
        <v>14</v>
      </c>
      <c r="AE5233" s="4">
        <v>16</v>
      </c>
      <c r="AF5233" s="4">
        <v>0</v>
      </c>
      <c r="AG5233" s="4">
        <v>2</v>
      </c>
      <c r="AH5233" s="4">
        <v>12</v>
      </c>
      <c r="AI5233" s="4">
        <v>13</v>
      </c>
      <c r="AJ5233" s="4">
        <v>3</v>
      </c>
      <c r="AK5233" s="4">
        <v>5</v>
      </c>
      <c r="AL5233" s="4">
        <v>9</v>
      </c>
      <c r="AM5233" s="4">
        <v>9</v>
      </c>
      <c r="AN5233" s="4">
        <v>0</v>
      </c>
      <c r="AO5233" s="4">
        <v>0</v>
      </c>
      <c r="AP5233" s="4">
        <v>3</v>
      </c>
      <c r="AQ5233" s="4">
        <v>4</v>
      </c>
      <c r="AR5233" s="3" t="s">
        <v>62</v>
      </c>
      <c r="AS5233" s="3" t="s">
        <v>62</v>
      </c>
      <c r="AT5233" s="3" t="s">
        <v>61</v>
      </c>
      <c r="AU5233" s="6" t="str">
        <f t="shared" ref="AU5233:AU5238" si="50">HYPERLINK("http://catalog.hathitrust.org/Record/007014556","HathiTrust Record")</f>
        <v>HathiTrust Record</v>
      </c>
      <c r="AV5233" s="6" t="str">
        <f t="shared" ref="AV5233:AV5238" si="51">HYPERLINK("http://mcgill.on.worldcat.org/oclc/52540872","Catalog Record")</f>
        <v>Catalog Record</v>
      </c>
      <c r="AW5233" s="6" t="str">
        <f t="shared" ref="AW5233:AW5238" si="52">HYPERLINK("http://www.worldcat.org/oclc/52540872","WorldCat Record")</f>
        <v>WorldCat Record</v>
      </c>
      <c r="AX5233" s="3" t="s">
        <v>50133</v>
      </c>
      <c r="AY5233" s="3" t="s">
        <v>50134</v>
      </c>
      <c r="AZ5233" s="3" t="s">
        <v>50135</v>
      </c>
      <c r="BA5233" s="3" t="s">
        <v>50135</v>
      </c>
      <c r="BB5233" s="3" t="s">
        <v>50136</v>
      </c>
      <c r="BC5233" s="3" t="s">
        <v>142</v>
      </c>
      <c r="BD5233" s="3" t="s">
        <v>68</v>
      </c>
      <c r="BE5233" s="3" t="s">
        <v>50137</v>
      </c>
      <c r="BF5233" s="3" t="s">
        <v>50136</v>
      </c>
      <c r="BG5233" s="3" t="s">
        <v>50138</v>
      </c>
    </row>
    <row r="5234" spans="1:59" ht="57" x14ac:dyDescent="0.45">
      <c r="A5234" s="2" t="s">
        <v>59</v>
      </c>
      <c r="B5234" s="2" t="s">
        <v>60</v>
      </c>
      <c r="C5234" s="2" t="s">
        <v>50130</v>
      </c>
      <c r="D5234" s="2" t="s">
        <v>50131</v>
      </c>
      <c r="E5234" s="2" t="s">
        <v>50132</v>
      </c>
      <c r="F5234" s="3" t="s">
        <v>83</v>
      </c>
      <c r="G5234" s="3" t="s">
        <v>61</v>
      </c>
      <c r="I5234" s="3" t="s">
        <v>62</v>
      </c>
      <c r="J5234" s="3" t="s">
        <v>62</v>
      </c>
      <c r="K5234" s="3" t="s">
        <v>63</v>
      </c>
      <c r="M5234" s="2" t="s">
        <v>2764</v>
      </c>
      <c r="N5234" s="3" t="s">
        <v>1097</v>
      </c>
      <c r="P5234" s="3" t="s">
        <v>65</v>
      </c>
      <c r="R5234" s="3" t="s">
        <v>66</v>
      </c>
      <c r="S5234" s="4">
        <v>1</v>
      </c>
      <c r="T5234" s="4">
        <v>18</v>
      </c>
      <c r="U5234" s="5" t="s">
        <v>50139</v>
      </c>
      <c r="V5234" s="5" t="s">
        <v>40329</v>
      </c>
      <c r="W5234" s="5" t="s">
        <v>67</v>
      </c>
      <c r="X5234" s="5" t="s">
        <v>67</v>
      </c>
      <c r="Y5234" s="4">
        <v>50</v>
      </c>
      <c r="Z5234" s="4">
        <v>4</v>
      </c>
      <c r="AA5234" s="4">
        <v>6</v>
      </c>
      <c r="AB5234" s="4">
        <v>1</v>
      </c>
      <c r="AC5234" s="4">
        <v>3</v>
      </c>
      <c r="AD5234" s="4">
        <v>14</v>
      </c>
      <c r="AE5234" s="4">
        <v>16</v>
      </c>
      <c r="AF5234" s="4">
        <v>0</v>
      </c>
      <c r="AG5234" s="4">
        <v>2</v>
      </c>
      <c r="AH5234" s="4">
        <v>12</v>
      </c>
      <c r="AI5234" s="4">
        <v>13</v>
      </c>
      <c r="AJ5234" s="4">
        <v>3</v>
      </c>
      <c r="AK5234" s="4">
        <v>5</v>
      </c>
      <c r="AL5234" s="4">
        <v>9</v>
      </c>
      <c r="AM5234" s="4">
        <v>9</v>
      </c>
      <c r="AN5234" s="4">
        <v>0</v>
      </c>
      <c r="AO5234" s="4">
        <v>0</v>
      </c>
      <c r="AP5234" s="4">
        <v>3</v>
      </c>
      <c r="AQ5234" s="4">
        <v>4</v>
      </c>
      <c r="AR5234" s="3" t="s">
        <v>62</v>
      </c>
      <c r="AS5234" s="3" t="s">
        <v>62</v>
      </c>
      <c r="AT5234" s="3" t="s">
        <v>61</v>
      </c>
      <c r="AU5234" s="6" t="str">
        <f t="shared" si="50"/>
        <v>HathiTrust Record</v>
      </c>
      <c r="AV5234" s="6" t="str">
        <f t="shared" si="51"/>
        <v>Catalog Record</v>
      </c>
      <c r="AW5234" s="6" t="str">
        <f t="shared" si="52"/>
        <v>WorldCat Record</v>
      </c>
      <c r="AX5234" s="3" t="s">
        <v>50133</v>
      </c>
      <c r="AY5234" s="3" t="s">
        <v>50134</v>
      </c>
      <c r="AZ5234" s="3" t="s">
        <v>50135</v>
      </c>
      <c r="BA5234" s="3" t="s">
        <v>50135</v>
      </c>
      <c r="BB5234" s="3" t="s">
        <v>50140</v>
      </c>
      <c r="BC5234" s="3" t="s">
        <v>142</v>
      </c>
      <c r="BD5234" s="3" t="s">
        <v>68</v>
      </c>
      <c r="BE5234" s="3" t="s">
        <v>50137</v>
      </c>
      <c r="BF5234" s="3" t="s">
        <v>50140</v>
      </c>
      <c r="BG5234" s="3" t="s">
        <v>50141</v>
      </c>
    </row>
    <row r="5235" spans="1:59" ht="57" x14ac:dyDescent="0.45">
      <c r="A5235" s="2" t="s">
        <v>59</v>
      </c>
      <c r="B5235" s="2" t="s">
        <v>60</v>
      </c>
      <c r="C5235" s="2" t="s">
        <v>50130</v>
      </c>
      <c r="D5235" s="2" t="s">
        <v>50131</v>
      </c>
      <c r="E5235" s="2" t="s">
        <v>50132</v>
      </c>
      <c r="F5235" s="3" t="s">
        <v>416</v>
      </c>
      <c r="G5235" s="3" t="s">
        <v>61</v>
      </c>
      <c r="I5235" s="3" t="s">
        <v>62</v>
      </c>
      <c r="J5235" s="3" t="s">
        <v>62</v>
      </c>
      <c r="K5235" s="3" t="s">
        <v>63</v>
      </c>
      <c r="M5235" s="2" t="s">
        <v>2764</v>
      </c>
      <c r="N5235" s="3" t="s">
        <v>1097</v>
      </c>
      <c r="P5235" s="3" t="s">
        <v>65</v>
      </c>
      <c r="R5235" s="3" t="s">
        <v>66</v>
      </c>
      <c r="S5235" s="4">
        <v>2</v>
      </c>
      <c r="T5235" s="4">
        <v>18</v>
      </c>
      <c r="U5235" s="5" t="s">
        <v>50142</v>
      </c>
      <c r="V5235" s="5" t="s">
        <v>40329</v>
      </c>
      <c r="W5235" s="5" t="s">
        <v>67</v>
      </c>
      <c r="X5235" s="5" t="s">
        <v>67</v>
      </c>
      <c r="Y5235" s="4">
        <v>50</v>
      </c>
      <c r="Z5235" s="4">
        <v>4</v>
      </c>
      <c r="AA5235" s="4">
        <v>6</v>
      </c>
      <c r="AB5235" s="4">
        <v>1</v>
      </c>
      <c r="AC5235" s="4">
        <v>3</v>
      </c>
      <c r="AD5235" s="4">
        <v>14</v>
      </c>
      <c r="AE5235" s="4">
        <v>16</v>
      </c>
      <c r="AF5235" s="4">
        <v>0</v>
      </c>
      <c r="AG5235" s="4">
        <v>2</v>
      </c>
      <c r="AH5235" s="4">
        <v>12</v>
      </c>
      <c r="AI5235" s="4">
        <v>13</v>
      </c>
      <c r="AJ5235" s="4">
        <v>3</v>
      </c>
      <c r="AK5235" s="4">
        <v>5</v>
      </c>
      <c r="AL5235" s="4">
        <v>9</v>
      </c>
      <c r="AM5235" s="4">
        <v>9</v>
      </c>
      <c r="AN5235" s="4">
        <v>0</v>
      </c>
      <c r="AO5235" s="4">
        <v>0</v>
      </c>
      <c r="AP5235" s="4">
        <v>3</v>
      </c>
      <c r="AQ5235" s="4">
        <v>4</v>
      </c>
      <c r="AR5235" s="3" t="s">
        <v>62</v>
      </c>
      <c r="AS5235" s="3" t="s">
        <v>62</v>
      </c>
      <c r="AT5235" s="3" t="s">
        <v>61</v>
      </c>
      <c r="AU5235" s="6" t="str">
        <f t="shared" si="50"/>
        <v>HathiTrust Record</v>
      </c>
      <c r="AV5235" s="6" t="str">
        <f t="shared" si="51"/>
        <v>Catalog Record</v>
      </c>
      <c r="AW5235" s="6" t="str">
        <f t="shared" si="52"/>
        <v>WorldCat Record</v>
      </c>
      <c r="AX5235" s="3" t="s">
        <v>50133</v>
      </c>
      <c r="AY5235" s="3" t="s">
        <v>50134</v>
      </c>
      <c r="AZ5235" s="3" t="s">
        <v>50135</v>
      </c>
      <c r="BA5235" s="3" t="s">
        <v>50135</v>
      </c>
      <c r="BB5235" s="3" t="s">
        <v>50143</v>
      </c>
      <c r="BC5235" s="3" t="s">
        <v>142</v>
      </c>
      <c r="BD5235" s="3" t="s">
        <v>68</v>
      </c>
      <c r="BE5235" s="3" t="s">
        <v>50137</v>
      </c>
      <c r="BF5235" s="3" t="s">
        <v>50143</v>
      </c>
      <c r="BG5235" s="3" t="s">
        <v>50144</v>
      </c>
    </row>
    <row r="5236" spans="1:59" ht="57" x14ac:dyDescent="0.45">
      <c r="A5236" s="2" t="s">
        <v>59</v>
      </c>
      <c r="B5236" s="2" t="s">
        <v>60</v>
      </c>
      <c r="C5236" s="2" t="s">
        <v>50130</v>
      </c>
      <c r="D5236" s="2" t="s">
        <v>50131</v>
      </c>
      <c r="E5236" s="2" t="s">
        <v>50132</v>
      </c>
      <c r="F5236" s="3" t="s">
        <v>88</v>
      </c>
      <c r="G5236" s="3" t="s">
        <v>61</v>
      </c>
      <c r="I5236" s="3" t="s">
        <v>62</v>
      </c>
      <c r="J5236" s="3" t="s">
        <v>62</v>
      </c>
      <c r="K5236" s="3" t="s">
        <v>63</v>
      </c>
      <c r="M5236" s="2" t="s">
        <v>2764</v>
      </c>
      <c r="N5236" s="3" t="s">
        <v>1097</v>
      </c>
      <c r="P5236" s="3" t="s">
        <v>65</v>
      </c>
      <c r="R5236" s="3" t="s">
        <v>66</v>
      </c>
      <c r="S5236" s="4">
        <v>2</v>
      </c>
      <c r="T5236" s="4">
        <v>18</v>
      </c>
      <c r="U5236" s="5" t="s">
        <v>40329</v>
      </c>
      <c r="V5236" s="5" t="s">
        <v>40329</v>
      </c>
      <c r="W5236" s="5" t="s">
        <v>67</v>
      </c>
      <c r="X5236" s="5" t="s">
        <v>67</v>
      </c>
      <c r="Y5236" s="4">
        <v>50</v>
      </c>
      <c r="Z5236" s="4">
        <v>4</v>
      </c>
      <c r="AA5236" s="4">
        <v>6</v>
      </c>
      <c r="AB5236" s="4">
        <v>1</v>
      </c>
      <c r="AC5236" s="4">
        <v>3</v>
      </c>
      <c r="AD5236" s="4">
        <v>14</v>
      </c>
      <c r="AE5236" s="4">
        <v>16</v>
      </c>
      <c r="AF5236" s="4">
        <v>0</v>
      </c>
      <c r="AG5236" s="4">
        <v>2</v>
      </c>
      <c r="AH5236" s="4">
        <v>12</v>
      </c>
      <c r="AI5236" s="4">
        <v>13</v>
      </c>
      <c r="AJ5236" s="4">
        <v>3</v>
      </c>
      <c r="AK5236" s="4">
        <v>5</v>
      </c>
      <c r="AL5236" s="4">
        <v>9</v>
      </c>
      <c r="AM5236" s="4">
        <v>9</v>
      </c>
      <c r="AN5236" s="4">
        <v>0</v>
      </c>
      <c r="AO5236" s="4">
        <v>0</v>
      </c>
      <c r="AP5236" s="4">
        <v>3</v>
      </c>
      <c r="AQ5236" s="4">
        <v>4</v>
      </c>
      <c r="AR5236" s="3" t="s">
        <v>62</v>
      </c>
      <c r="AS5236" s="3" t="s">
        <v>62</v>
      </c>
      <c r="AT5236" s="3" t="s">
        <v>61</v>
      </c>
      <c r="AU5236" s="6" t="str">
        <f t="shared" si="50"/>
        <v>HathiTrust Record</v>
      </c>
      <c r="AV5236" s="6" t="str">
        <f t="shared" si="51"/>
        <v>Catalog Record</v>
      </c>
      <c r="AW5236" s="6" t="str">
        <f t="shared" si="52"/>
        <v>WorldCat Record</v>
      </c>
      <c r="AX5236" s="3" t="s">
        <v>50133</v>
      </c>
      <c r="AY5236" s="3" t="s">
        <v>50134</v>
      </c>
      <c r="AZ5236" s="3" t="s">
        <v>50135</v>
      </c>
      <c r="BA5236" s="3" t="s">
        <v>50135</v>
      </c>
      <c r="BB5236" s="3" t="s">
        <v>50145</v>
      </c>
      <c r="BC5236" s="3" t="s">
        <v>142</v>
      </c>
      <c r="BD5236" s="3" t="s">
        <v>68</v>
      </c>
      <c r="BE5236" s="3" t="s">
        <v>50137</v>
      </c>
      <c r="BF5236" s="3" t="s">
        <v>50145</v>
      </c>
      <c r="BG5236" s="3" t="s">
        <v>50146</v>
      </c>
    </row>
    <row r="5237" spans="1:59" ht="57" x14ac:dyDescent="0.45">
      <c r="A5237" s="2" t="s">
        <v>59</v>
      </c>
      <c r="B5237" s="2" t="s">
        <v>60</v>
      </c>
      <c r="C5237" s="2" t="s">
        <v>50130</v>
      </c>
      <c r="D5237" s="2" t="s">
        <v>50131</v>
      </c>
      <c r="E5237" s="2" t="s">
        <v>50132</v>
      </c>
      <c r="F5237" s="3" t="s">
        <v>89</v>
      </c>
      <c r="G5237" s="3" t="s">
        <v>61</v>
      </c>
      <c r="I5237" s="3" t="s">
        <v>62</v>
      </c>
      <c r="J5237" s="3" t="s">
        <v>62</v>
      </c>
      <c r="K5237" s="3" t="s">
        <v>63</v>
      </c>
      <c r="M5237" s="2" t="s">
        <v>2764</v>
      </c>
      <c r="N5237" s="3" t="s">
        <v>1097</v>
      </c>
      <c r="P5237" s="3" t="s">
        <v>65</v>
      </c>
      <c r="R5237" s="3" t="s">
        <v>66</v>
      </c>
      <c r="S5237" s="4">
        <v>11</v>
      </c>
      <c r="T5237" s="4">
        <v>18</v>
      </c>
      <c r="U5237" s="5" t="s">
        <v>33092</v>
      </c>
      <c r="V5237" s="5" t="s">
        <v>40329</v>
      </c>
      <c r="W5237" s="5" t="s">
        <v>67</v>
      </c>
      <c r="X5237" s="5" t="s">
        <v>67</v>
      </c>
      <c r="Y5237" s="4">
        <v>50</v>
      </c>
      <c r="Z5237" s="4">
        <v>4</v>
      </c>
      <c r="AA5237" s="4">
        <v>6</v>
      </c>
      <c r="AB5237" s="4">
        <v>1</v>
      </c>
      <c r="AC5237" s="4">
        <v>3</v>
      </c>
      <c r="AD5237" s="4">
        <v>14</v>
      </c>
      <c r="AE5237" s="4">
        <v>16</v>
      </c>
      <c r="AF5237" s="4">
        <v>0</v>
      </c>
      <c r="AG5237" s="4">
        <v>2</v>
      </c>
      <c r="AH5237" s="4">
        <v>12</v>
      </c>
      <c r="AI5237" s="4">
        <v>13</v>
      </c>
      <c r="AJ5237" s="4">
        <v>3</v>
      </c>
      <c r="AK5237" s="4">
        <v>5</v>
      </c>
      <c r="AL5237" s="4">
        <v>9</v>
      </c>
      <c r="AM5237" s="4">
        <v>9</v>
      </c>
      <c r="AN5237" s="4">
        <v>0</v>
      </c>
      <c r="AO5237" s="4">
        <v>0</v>
      </c>
      <c r="AP5237" s="4">
        <v>3</v>
      </c>
      <c r="AQ5237" s="4">
        <v>4</v>
      </c>
      <c r="AR5237" s="3" t="s">
        <v>62</v>
      </c>
      <c r="AS5237" s="3" t="s">
        <v>62</v>
      </c>
      <c r="AT5237" s="3" t="s">
        <v>61</v>
      </c>
      <c r="AU5237" s="6" t="str">
        <f t="shared" si="50"/>
        <v>HathiTrust Record</v>
      </c>
      <c r="AV5237" s="6" t="str">
        <f t="shared" si="51"/>
        <v>Catalog Record</v>
      </c>
      <c r="AW5237" s="6" t="str">
        <f t="shared" si="52"/>
        <v>WorldCat Record</v>
      </c>
      <c r="AX5237" s="3" t="s">
        <v>50133</v>
      </c>
      <c r="AY5237" s="3" t="s">
        <v>50134</v>
      </c>
      <c r="AZ5237" s="3" t="s">
        <v>50135</v>
      </c>
      <c r="BA5237" s="3" t="s">
        <v>50135</v>
      </c>
      <c r="BB5237" s="3" t="s">
        <v>50147</v>
      </c>
      <c r="BC5237" s="3" t="s">
        <v>142</v>
      </c>
      <c r="BD5237" s="3" t="s">
        <v>68</v>
      </c>
      <c r="BE5237" s="3" t="s">
        <v>50137</v>
      </c>
      <c r="BF5237" s="3" t="s">
        <v>50147</v>
      </c>
      <c r="BG5237" s="3" t="s">
        <v>50148</v>
      </c>
    </row>
    <row r="5238" spans="1:59" ht="57" x14ac:dyDescent="0.45">
      <c r="A5238" s="2" t="s">
        <v>59</v>
      </c>
      <c r="B5238" s="2" t="s">
        <v>60</v>
      </c>
      <c r="C5238" s="2" t="s">
        <v>50130</v>
      </c>
      <c r="D5238" s="2" t="s">
        <v>50131</v>
      </c>
      <c r="E5238" s="2" t="s">
        <v>50132</v>
      </c>
      <c r="F5238" s="3" t="s">
        <v>86</v>
      </c>
      <c r="G5238" s="3" t="s">
        <v>61</v>
      </c>
      <c r="I5238" s="3" t="s">
        <v>62</v>
      </c>
      <c r="J5238" s="3" t="s">
        <v>62</v>
      </c>
      <c r="K5238" s="3" t="s">
        <v>63</v>
      </c>
      <c r="M5238" s="2" t="s">
        <v>2764</v>
      </c>
      <c r="N5238" s="3" t="s">
        <v>1097</v>
      </c>
      <c r="P5238" s="3" t="s">
        <v>65</v>
      </c>
      <c r="R5238" s="3" t="s">
        <v>66</v>
      </c>
      <c r="S5238" s="4">
        <v>0</v>
      </c>
      <c r="T5238" s="4">
        <v>18</v>
      </c>
      <c r="V5238" s="5" t="s">
        <v>40329</v>
      </c>
      <c r="W5238" s="5" t="s">
        <v>67</v>
      </c>
      <c r="X5238" s="5" t="s">
        <v>67</v>
      </c>
      <c r="Y5238" s="4">
        <v>50</v>
      </c>
      <c r="Z5238" s="4">
        <v>4</v>
      </c>
      <c r="AA5238" s="4">
        <v>6</v>
      </c>
      <c r="AB5238" s="4">
        <v>1</v>
      </c>
      <c r="AC5238" s="4">
        <v>3</v>
      </c>
      <c r="AD5238" s="4">
        <v>14</v>
      </c>
      <c r="AE5238" s="4">
        <v>16</v>
      </c>
      <c r="AF5238" s="4">
        <v>0</v>
      </c>
      <c r="AG5238" s="4">
        <v>2</v>
      </c>
      <c r="AH5238" s="4">
        <v>12</v>
      </c>
      <c r="AI5238" s="4">
        <v>13</v>
      </c>
      <c r="AJ5238" s="4">
        <v>3</v>
      </c>
      <c r="AK5238" s="4">
        <v>5</v>
      </c>
      <c r="AL5238" s="4">
        <v>9</v>
      </c>
      <c r="AM5238" s="4">
        <v>9</v>
      </c>
      <c r="AN5238" s="4">
        <v>0</v>
      </c>
      <c r="AO5238" s="4">
        <v>0</v>
      </c>
      <c r="AP5238" s="4">
        <v>3</v>
      </c>
      <c r="AQ5238" s="4">
        <v>4</v>
      </c>
      <c r="AR5238" s="3" t="s">
        <v>62</v>
      </c>
      <c r="AS5238" s="3" t="s">
        <v>62</v>
      </c>
      <c r="AT5238" s="3" t="s">
        <v>61</v>
      </c>
      <c r="AU5238" s="6" t="str">
        <f t="shared" si="50"/>
        <v>HathiTrust Record</v>
      </c>
      <c r="AV5238" s="6" t="str">
        <f t="shared" si="51"/>
        <v>Catalog Record</v>
      </c>
      <c r="AW5238" s="6" t="str">
        <f t="shared" si="52"/>
        <v>WorldCat Record</v>
      </c>
      <c r="AX5238" s="3" t="s">
        <v>50133</v>
      </c>
      <c r="AY5238" s="3" t="s">
        <v>50134</v>
      </c>
      <c r="AZ5238" s="3" t="s">
        <v>50135</v>
      </c>
      <c r="BA5238" s="3" t="s">
        <v>50135</v>
      </c>
      <c r="BB5238" s="3" t="s">
        <v>50149</v>
      </c>
      <c r="BC5238" s="3" t="s">
        <v>142</v>
      </c>
      <c r="BD5238" s="3" t="s">
        <v>68</v>
      </c>
      <c r="BE5238" s="3" t="s">
        <v>50137</v>
      </c>
      <c r="BF5238" s="3" t="s">
        <v>50149</v>
      </c>
      <c r="BG5238" s="3" t="s">
        <v>50150</v>
      </c>
    </row>
    <row r="5239" spans="1:59" ht="57" x14ac:dyDescent="0.45">
      <c r="A5239" s="2" t="s">
        <v>59</v>
      </c>
      <c r="B5239" s="2" t="s">
        <v>60</v>
      </c>
      <c r="C5239" s="2" t="s">
        <v>50151</v>
      </c>
      <c r="D5239" s="2" t="s">
        <v>50152</v>
      </c>
      <c r="E5239" s="2" t="s">
        <v>50153</v>
      </c>
      <c r="G5239" s="3" t="s">
        <v>62</v>
      </c>
      <c r="I5239" s="3" t="s">
        <v>62</v>
      </c>
      <c r="J5239" s="3" t="s">
        <v>62</v>
      </c>
      <c r="K5239" s="3" t="s">
        <v>63</v>
      </c>
      <c r="L5239" s="2" t="s">
        <v>50154</v>
      </c>
      <c r="M5239" s="2" t="s">
        <v>50155</v>
      </c>
      <c r="N5239" s="3" t="s">
        <v>106</v>
      </c>
      <c r="O5239" s="2" t="s">
        <v>168</v>
      </c>
      <c r="P5239" s="3" t="s">
        <v>65</v>
      </c>
      <c r="R5239" s="3" t="s">
        <v>66</v>
      </c>
      <c r="S5239" s="4">
        <v>6</v>
      </c>
      <c r="T5239" s="4">
        <v>6</v>
      </c>
      <c r="U5239" s="5" t="s">
        <v>50156</v>
      </c>
      <c r="V5239" s="5" t="s">
        <v>50156</v>
      </c>
      <c r="W5239" s="5" t="s">
        <v>67</v>
      </c>
      <c r="X5239" s="5" t="s">
        <v>67</v>
      </c>
      <c r="Y5239" s="4">
        <v>112</v>
      </c>
      <c r="Z5239" s="4">
        <v>8</v>
      </c>
      <c r="AA5239" s="4">
        <v>10</v>
      </c>
      <c r="AB5239" s="4">
        <v>1</v>
      </c>
      <c r="AC5239" s="4">
        <v>3</v>
      </c>
      <c r="AD5239" s="4">
        <v>54</v>
      </c>
      <c r="AE5239" s="4">
        <v>56</v>
      </c>
      <c r="AF5239" s="4">
        <v>0</v>
      </c>
      <c r="AG5239" s="4">
        <v>2</v>
      </c>
      <c r="AH5239" s="4">
        <v>51</v>
      </c>
      <c r="AI5239" s="4">
        <v>51</v>
      </c>
      <c r="AJ5239" s="4">
        <v>6</v>
      </c>
      <c r="AK5239" s="4">
        <v>8</v>
      </c>
      <c r="AL5239" s="4">
        <v>32</v>
      </c>
      <c r="AM5239" s="4">
        <v>32</v>
      </c>
      <c r="AN5239" s="4">
        <v>0</v>
      </c>
      <c r="AO5239" s="4">
        <v>0</v>
      </c>
      <c r="AP5239" s="4">
        <v>6</v>
      </c>
      <c r="AQ5239" s="4">
        <v>7</v>
      </c>
      <c r="AR5239" s="3" t="s">
        <v>62</v>
      </c>
      <c r="AS5239" s="3" t="s">
        <v>62</v>
      </c>
      <c r="AT5239" s="3" t="s">
        <v>61</v>
      </c>
      <c r="AU5239" s="6" t="str">
        <f>HYPERLINK("http://catalog.hathitrust.org/Record/000447171","HathiTrust Record")</f>
        <v>HathiTrust Record</v>
      </c>
      <c r="AV5239" s="6" t="str">
        <f>HYPERLINK("http://mcgill.on.worldcat.org/oclc/10219575","Catalog Record")</f>
        <v>Catalog Record</v>
      </c>
      <c r="AW5239" s="6" t="str">
        <f>HYPERLINK("http://www.worldcat.org/oclc/10219575","WorldCat Record")</f>
        <v>WorldCat Record</v>
      </c>
      <c r="AX5239" s="3" t="s">
        <v>50157</v>
      </c>
      <c r="AY5239" s="3" t="s">
        <v>50158</v>
      </c>
      <c r="AZ5239" s="3" t="s">
        <v>50159</v>
      </c>
      <c r="BA5239" s="3" t="s">
        <v>50159</v>
      </c>
      <c r="BB5239" s="3" t="s">
        <v>50160</v>
      </c>
      <c r="BC5239" s="3" t="s">
        <v>142</v>
      </c>
      <c r="BD5239" s="3" t="s">
        <v>68</v>
      </c>
      <c r="BF5239" s="3" t="s">
        <v>50160</v>
      </c>
      <c r="BG5239" s="3" t="s">
        <v>50161</v>
      </c>
    </row>
    <row r="5240" spans="1:59" ht="57" x14ac:dyDescent="0.45">
      <c r="A5240" s="2" t="s">
        <v>59</v>
      </c>
      <c r="B5240" s="2" t="s">
        <v>60</v>
      </c>
      <c r="C5240" s="2" t="s">
        <v>50162</v>
      </c>
      <c r="D5240" s="2" t="s">
        <v>50163</v>
      </c>
      <c r="E5240" s="2" t="s">
        <v>50164</v>
      </c>
      <c r="G5240" s="3" t="s">
        <v>62</v>
      </c>
      <c r="I5240" s="3" t="s">
        <v>62</v>
      </c>
      <c r="J5240" s="3" t="s">
        <v>62</v>
      </c>
      <c r="K5240" s="3" t="s">
        <v>63</v>
      </c>
      <c r="M5240" s="2" t="s">
        <v>50165</v>
      </c>
      <c r="N5240" s="3" t="s">
        <v>1918</v>
      </c>
      <c r="P5240" s="3" t="s">
        <v>65</v>
      </c>
      <c r="Q5240" s="2" t="s">
        <v>50166</v>
      </c>
      <c r="R5240" s="3" t="s">
        <v>66</v>
      </c>
      <c r="S5240" s="4">
        <v>0</v>
      </c>
      <c r="T5240" s="4">
        <v>0</v>
      </c>
      <c r="W5240" s="5" t="s">
        <v>67</v>
      </c>
      <c r="X5240" s="5" t="s">
        <v>67</v>
      </c>
      <c r="Y5240" s="4">
        <v>17</v>
      </c>
      <c r="Z5240" s="4">
        <v>2</v>
      </c>
      <c r="AA5240" s="4">
        <v>3</v>
      </c>
      <c r="AB5240" s="4">
        <v>1</v>
      </c>
      <c r="AC5240" s="4">
        <v>1</v>
      </c>
      <c r="AD5240" s="4">
        <v>12</v>
      </c>
      <c r="AE5240" s="4">
        <v>15</v>
      </c>
      <c r="AF5240" s="4">
        <v>0</v>
      </c>
      <c r="AG5240" s="4">
        <v>0</v>
      </c>
      <c r="AH5240" s="4">
        <v>12</v>
      </c>
      <c r="AI5240" s="4">
        <v>14</v>
      </c>
      <c r="AJ5240" s="4">
        <v>1</v>
      </c>
      <c r="AK5240" s="4">
        <v>2</v>
      </c>
      <c r="AL5240" s="4">
        <v>11</v>
      </c>
      <c r="AM5240" s="4">
        <v>13</v>
      </c>
      <c r="AN5240" s="4">
        <v>0</v>
      </c>
      <c r="AO5240" s="4">
        <v>0</v>
      </c>
      <c r="AP5240" s="4">
        <v>1</v>
      </c>
      <c r="AQ5240" s="4">
        <v>2</v>
      </c>
      <c r="AR5240" s="3" t="s">
        <v>62</v>
      </c>
      <c r="AS5240" s="3" t="s">
        <v>62</v>
      </c>
      <c r="AT5240" s="3" t="s">
        <v>62</v>
      </c>
      <c r="AV5240" s="6" t="str">
        <f>HYPERLINK("http://mcgill.on.worldcat.org/oclc/995451618","Catalog Record")</f>
        <v>Catalog Record</v>
      </c>
      <c r="AW5240" s="6" t="str">
        <f>HYPERLINK("http://www.worldcat.org/oclc/995451618","WorldCat Record")</f>
        <v>WorldCat Record</v>
      </c>
      <c r="AX5240" s="3" t="s">
        <v>50167</v>
      </c>
      <c r="AY5240" s="3" t="s">
        <v>50168</v>
      </c>
      <c r="AZ5240" s="3" t="s">
        <v>50169</v>
      </c>
      <c r="BA5240" s="3" t="s">
        <v>50169</v>
      </c>
      <c r="BB5240" s="3" t="s">
        <v>50170</v>
      </c>
      <c r="BC5240" s="3" t="s">
        <v>142</v>
      </c>
      <c r="BD5240" s="3" t="s">
        <v>68</v>
      </c>
      <c r="BF5240" s="3" t="s">
        <v>50170</v>
      </c>
      <c r="BG5240" s="3" t="s">
        <v>50171</v>
      </c>
    </row>
    <row r="5241" spans="1:59" ht="57" x14ac:dyDescent="0.45">
      <c r="A5241" s="2" t="s">
        <v>59</v>
      </c>
      <c r="B5241" s="2" t="s">
        <v>60</v>
      </c>
      <c r="C5241" s="2" t="s">
        <v>50172</v>
      </c>
      <c r="D5241" s="2" t="s">
        <v>50173</v>
      </c>
      <c r="E5241" s="2" t="s">
        <v>50174</v>
      </c>
      <c r="F5241" s="3" t="s">
        <v>90</v>
      </c>
      <c r="G5241" s="3" t="s">
        <v>61</v>
      </c>
      <c r="I5241" s="3" t="s">
        <v>62</v>
      </c>
      <c r="J5241" s="3" t="s">
        <v>62</v>
      </c>
      <c r="K5241" s="3" t="s">
        <v>63</v>
      </c>
      <c r="M5241" s="2" t="s">
        <v>50175</v>
      </c>
      <c r="N5241" s="3" t="s">
        <v>167</v>
      </c>
      <c r="P5241" s="3" t="s">
        <v>65</v>
      </c>
      <c r="Q5241" s="2" t="s">
        <v>50176</v>
      </c>
      <c r="R5241" s="3" t="s">
        <v>66</v>
      </c>
      <c r="S5241" s="4">
        <v>1</v>
      </c>
      <c r="T5241" s="4">
        <v>1</v>
      </c>
      <c r="U5241" s="5" t="s">
        <v>11636</v>
      </c>
      <c r="V5241" s="5" t="s">
        <v>11636</v>
      </c>
      <c r="W5241" s="5" t="s">
        <v>67</v>
      </c>
      <c r="X5241" s="5" t="s">
        <v>67</v>
      </c>
      <c r="Y5241" s="4">
        <v>27</v>
      </c>
      <c r="Z5241" s="4">
        <v>2</v>
      </c>
      <c r="AA5241" s="4">
        <v>2</v>
      </c>
      <c r="AB5241" s="4">
        <v>1</v>
      </c>
      <c r="AC5241" s="4">
        <v>1</v>
      </c>
      <c r="AD5241" s="4">
        <v>17</v>
      </c>
      <c r="AE5241" s="4">
        <v>17</v>
      </c>
      <c r="AF5241" s="4">
        <v>0</v>
      </c>
      <c r="AG5241" s="4">
        <v>0</v>
      </c>
      <c r="AH5241" s="4">
        <v>17</v>
      </c>
      <c r="AI5241" s="4">
        <v>17</v>
      </c>
      <c r="AJ5241" s="4">
        <v>1</v>
      </c>
      <c r="AK5241" s="4">
        <v>1</v>
      </c>
      <c r="AL5241" s="4">
        <v>12</v>
      </c>
      <c r="AM5241" s="4">
        <v>12</v>
      </c>
      <c r="AN5241" s="4">
        <v>0</v>
      </c>
      <c r="AO5241" s="4">
        <v>0</v>
      </c>
      <c r="AP5241" s="4">
        <v>1</v>
      </c>
      <c r="AQ5241" s="4">
        <v>1</v>
      </c>
      <c r="AR5241" s="3" t="s">
        <v>62</v>
      </c>
      <c r="AS5241" s="3" t="s">
        <v>62</v>
      </c>
      <c r="AT5241" s="3" t="s">
        <v>62</v>
      </c>
      <c r="AV5241" s="6" t="str">
        <f>HYPERLINK("http://mcgill.on.worldcat.org/oclc/43744895","Catalog Record")</f>
        <v>Catalog Record</v>
      </c>
      <c r="AW5241" s="6" t="str">
        <f>HYPERLINK("http://www.worldcat.org/oclc/43744895","WorldCat Record")</f>
        <v>WorldCat Record</v>
      </c>
      <c r="AX5241" s="3" t="s">
        <v>50177</v>
      </c>
      <c r="AY5241" s="3" t="s">
        <v>50178</v>
      </c>
      <c r="AZ5241" s="3" t="s">
        <v>50179</v>
      </c>
      <c r="BA5241" s="3" t="s">
        <v>50179</v>
      </c>
      <c r="BB5241" s="3" t="s">
        <v>50180</v>
      </c>
      <c r="BC5241" s="3" t="s">
        <v>142</v>
      </c>
      <c r="BD5241" s="3" t="s">
        <v>68</v>
      </c>
      <c r="BF5241" s="3" t="s">
        <v>50180</v>
      </c>
      <c r="BG5241" s="3" t="s">
        <v>50181</v>
      </c>
    </row>
    <row r="5242" spans="1:59" ht="57" x14ac:dyDescent="0.45">
      <c r="A5242" s="2" t="s">
        <v>59</v>
      </c>
      <c r="B5242" s="2" t="s">
        <v>60</v>
      </c>
      <c r="C5242" s="2" t="s">
        <v>50172</v>
      </c>
      <c r="D5242" s="2" t="s">
        <v>50173</v>
      </c>
      <c r="E5242" s="2" t="s">
        <v>50174</v>
      </c>
      <c r="F5242" s="3" t="s">
        <v>87</v>
      </c>
      <c r="G5242" s="3" t="s">
        <v>61</v>
      </c>
      <c r="I5242" s="3" t="s">
        <v>62</v>
      </c>
      <c r="J5242" s="3" t="s">
        <v>62</v>
      </c>
      <c r="K5242" s="3" t="s">
        <v>63</v>
      </c>
      <c r="M5242" s="2" t="s">
        <v>50175</v>
      </c>
      <c r="N5242" s="3" t="s">
        <v>167</v>
      </c>
      <c r="P5242" s="3" t="s">
        <v>65</v>
      </c>
      <c r="Q5242" s="2" t="s">
        <v>50176</v>
      </c>
      <c r="R5242" s="3" t="s">
        <v>66</v>
      </c>
      <c r="S5242" s="4">
        <v>0</v>
      </c>
      <c r="T5242" s="4">
        <v>1</v>
      </c>
      <c r="V5242" s="5" t="s">
        <v>11636</v>
      </c>
      <c r="W5242" s="5" t="s">
        <v>67</v>
      </c>
      <c r="X5242" s="5" t="s">
        <v>67</v>
      </c>
      <c r="Y5242" s="4">
        <v>27</v>
      </c>
      <c r="Z5242" s="4">
        <v>2</v>
      </c>
      <c r="AA5242" s="4">
        <v>2</v>
      </c>
      <c r="AB5242" s="4">
        <v>1</v>
      </c>
      <c r="AC5242" s="4">
        <v>1</v>
      </c>
      <c r="AD5242" s="4">
        <v>17</v>
      </c>
      <c r="AE5242" s="4">
        <v>17</v>
      </c>
      <c r="AF5242" s="4">
        <v>0</v>
      </c>
      <c r="AG5242" s="4">
        <v>0</v>
      </c>
      <c r="AH5242" s="4">
        <v>17</v>
      </c>
      <c r="AI5242" s="4">
        <v>17</v>
      </c>
      <c r="AJ5242" s="4">
        <v>1</v>
      </c>
      <c r="AK5242" s="4">
        <v>1</v>
      </c>
      <c r="AL5242" s="4">
        <v>12</v>
      </c>
      <c r="AM5242" s="4">
        <v>12</v>
      </c>
      <c r="AN5242" s="4">
        <v>0</v>
      </c>
      <c r="AO5242" s="4">
        <v>0</v>
      </c>
      <c r="AP5242" s="4">
        <v>1</v>
      </c>
      <c r="AQ5242" s="4">
        <v>1</v>
      </c>
      <c r="AR5242" s="3" t="s">
        <v>62</v>
      </c>
      <c r="AS5242" s="3" t="s">
        <v>62</v>
      </c>
      <c r="AT5242" s="3" t="s">
        <v>62</v>
      </c>
      <c r="AV5242" s="6" t="str">
        <f>HYPERLINK("http://mcgill.on.worldcat.org/oclc/43744895","Catalog Record")</f>
        <v>Catalog Record</v>
      </c>
      <c r="AW5242" s="6" t="str">
        <f>HYPERLINK("http://www.worldcat.org/oclc/43744895","WorldCat Record")</f>
        <v>WorldCat Record</v>
      </c>
      <c r="AX5242" s="3" t="s">
        <v>50177</v>
      </c>
      <c r="AY5242" s="3" t="s">
        <v>50178</v>
      </c>
      <c r="AZ5242" s="3" t="s">
        <v>50179</v>
      </c>
      <c r="BA5242" s="3" t="s">
        <v>50179</v>
      </c>
      <c r="BB5242" s="3" t="s">
        <v>50182</v>
      </c>
      <c r="BC5242" s="3" t="s">
        <v>142</v>
      </c>
      <c r="BD5242" s="3" t="s">
        <v>68</v>
      </c>
      <c r="BF5242" s="3" t="s">
        <v>50182</v>
      </c>
      <c r="BG5242" s="3" t="s">
        <v>50183</v>
      </c>
    </row>
    <row r="5243" spans="1:59" ht="57" x14ac:dyDescent="0.45">
      <c r="A5243" s="2" t="s">
        <v>59</v>
      </c>
      <c r="B5243" s="2" t="s">
        <v>60</v>
      </c>
      <c r="C5243" s="2" t="s">
        <v>50184</v>
      </c>
      <c r="D5243" s="2" t="s">
        <v>50185</v>
      </c>
      <c r="E5243" s="2" t="s">
        <v>50186</v>
      </c>
      <c r="G5243" s="3" t="s">
        <v>62</v>
      </c>
      <c r="I5243" s="3" t="s">
        <v>61</v>
      </c>
      <c r="J5243" s="3" t="s">
        <v>62</v>
      </c>
      <c r="K5243" s="3" t="s">
        <v>63</v>
      </c>
      <c r="L5243" s="2" t="s">
        <v>50187</v>
      </c>
      <c r="M5243" s="2" t="s">
        <v>50188</v>
      </c>
      <c r="N5243" s="3" t="s">
        <v>1253</v>
      </c>
      <c r="P5243" s="3" t="s">
        <v>65</v>
      </c>
      <c r="R5243" s="3" t="s">
        <v>66</v>
      </c>
      <c r="S5243" s="4">
        <v>11</v>
      </c>
      <c r="T5243" s="4">
        <v>24</v>
      </c>
      <c r="U5243" s="5" t="s">
        <v>35996</v>
      </c>
      <c r="V5243" s="5" t="s">
        <v>10962</v>
      </c>
      <c r="W5243" s="5" t="s">
        <v>67</v>
      </c>
      <c r="X5243" s="5" t="s">
        <v>67</v>
      </c>
      <c r="Y5243" s="4">
        <v>305</v>
      </c>
      <c r="Z5243" s="4">
        <v>24</v>
      </c>
      <c r="AA5243" s="4">
        <v>27</v>
      </c>
      <c r="AB5243" s="4">
        <v>1</v>
      </c>
      <c r="AC5243" s="4">
        <v>4</v>
      </c>
      <c r="AD5243" s="4">
        <v>97</v>
      </c>
      <c r="AE5243" s="4">
        <v>100</v>
      </c>
      <c r="AF5243" s="4">
        <v>0</v>
      </c>
      <c r="AG5243" s="4">
        <v>3</v>
      </c>
      <c r="AH5243" s="4">
        <v>84</v>
      </c>
      <c r="AI5243" s="4">
        <v>85</v>
      </c>
      <c r="AJ5243" s="4">
        <v>15</v>
      </c>
      <c r="AK5243" s="4">
        <v>18</v>
      </c>
      <c r="AL5243" s="4">
        <v>50</v>
      </c>
      <c r="AM5243" s="4">
        <v>50</v>
      </c>
      <c r="AN5243" s="4">
        <v>0</v>
      </c>
      <c r="AO5243" s="4">
        <v>0</v>
      </c>
      <c r="AP5243" s="4">
        <v>19</v>
      </c>
      <c r="AQ5243" s="4">
        <v>21</v>
      </c>
      <c r="AR5243" s="3" t="s">
        <v>62</v>
      </c>
      <c r="AS5243" s="3" t="s">
        <v>62</v>
      </c>
      <c r="AT5243" s="3" t="s">
        <v>62</v>
      </c>
      <c r="AV5243" s="6" t="str">
        <f>HYPERLINK("http://mcgill.on.worldcat.org/oclc/38044501","Catalog Record")</f>
        <v>Catalog Record</v>
      </c>
      <c r="AW5243" s="6" t="str">
        <f>HYPERLINK("http://www.worldcat.org/oclc/38044501","WorldCat Record")</f>
        <v>WorldCat Record</v>
      </c>
      <c r="AX5243" s="3" t="s">
        <v>50189</v>
      </c>
      <c r="AY5243" s="3" t="s">
        <v>50190</v>
      </c>
      <c r="AZ5243" s="3" t="s">
        <v>50191</v>
      </c>
      <c r="BA5243" s="3" t="s">
        <v>50191</v>
      </c>
      <c r="BB5243" s="3" t="s">
        <v>50192</v>
      </c>
      <c r="BC5243" s="3" t="s">
        <v>142</v>
      </c>
      <c r="BD5243" s="3" t="s">
        <v>68</v>
      </c>
      <c r="BE5243" s="3" t="s">
        <v>50193</v>
      </c>
      <c r="BF5243" s="3" t="s">
        <v>50192</v>
      </c>
      <c r="BG5243" s="3" t="s">
        <v>50194</v>
      </c>
    </row>
    <row r="5244" spans="1:59" ht="57" x14ac:dyDescent="0.45">
      <c r="A5244" s="2" t="s">
        <v>59</v>
      </c>
      <c r="B5244" s="2" t="s">
        <v>60</v>
      </c>
      <c r="C5244" s="2" t="s">
        <v>50184</v>
      </c>
      <c r="D5244" s="2" t="s">
        <v>50185</v>
      </c>
      <c r="E5244" s="2" t="s">
        <v>50186</v>
      </c>
      <c r="G5244" s="3" t="s">
        <v>62</v>
      </c>
      <c r="I5244" s="3" t="s">
        <v>61</v>
      </c>
      <c r="J5244" s="3" t="s">
        <v>62</v>
      </c>
      <c r="K5244" s="3" t="s">
        <v>63</v>
      </c>
      <c r="L5244" s="2" t="s">
        <v>50187</v>
      </c>
      <c r="M5244" s="2" t="s">
        <v>50188</v>
      </c>
      <c r="N5244" s="3" t="s">
        <v>1253</v>
      </c>
      <c r="P5244" s="3" t="s">
        <v>65</v>
      </c>
      <c r="R5244" s="3" t="s">
        <v>66</v>
      </c>
      <c r="S5244" s="4">
        <v>13</v>
      </c>
      <c r="T5244" s="4">
        <v>24</v>
      </c>
      <c r="U5244" s="5" t="s">
        <v>10962</v>
      </c>
      <c r="V5244" s="5" t="s">
        <v>10962</v>
      </c>
      <c r="W5244" s="5" t="s">
        <v>67</v>
      </c>
      <c r="X5244" s="5" t="s">
        <v>67</v>
      </c>
      <c r="Y5244" s="4">
        <v>305</v>
      </c>
      <c r="Z5244" s="4">
        <v>24</v>
      </c>
      <c r="AA5244" s="4">
        <v>27</v>
      </c>
      <c r="AB5244" s="4">
        <v>1</v>
      </c>
      <c r="AC5244" s="4">
        <v>4</v>
      </c>
      <c r="AD5244" s="4">
        <v>97</v>
      </c>
      <c r="AE5244" s="4">
        <v>100</v>
      </c>
      <c r="AF5244" s="4">
        <v>0</v>
      </c>
      <c r="AG5244" s="4">
        <v>3</v>
      </c>
      <c r="AH5244" s="4">
        <v>84</v>
      </c>
      <c r="AI5244" s="4">
        <v>85</v>
      </c>
      <c r="AJ5244" s="4">
        <v>15</v>
      </c>
      <c r="AK5244" s="4">
        <v>18</v>
      </c>
      <c r="AL5244" s="4">
        <v>50</v>
      </c>
      <c r="AM5244" s="4">
        <v>50</v>
      </c>
      <c r="AN5244" s="4">
        <v>0</v>
      </c>
      <c r="AO5244" s="4">
        <v>0</v>
      </c>
      <c r="AP5244" s="4">
        <v>19</v>
      </c>
      <c r="AQ5244" s="4">
        <v>21</v>
      </c>
      <c r="AR5244" s="3" t="s">
        <v>62</v>
      </c>
      <c r="AS5244" s="3" t="s">
        <v>62</v>
      </c>
      <c r="AT5244" s="3" t="s">
        <v>62</v>
      </c>
      <c r="AV5244" s="6" t="str">
        <f>HYPERLINK("http://mcgill.on.worldcat.org/oclc/38044501","Catalog Record")</f>
        <v>Catalog Record</v>
      </c>
      <c r="AW5244" s="6" t="str">
        <f>HYPERLINK("http://www.worldcat.org/oclc/38044501","WorldCat Record")</f>
        <v>WorldCat Record</v>
      </c>
      <c r="AX5244" s="3" t="s">
        <v>50189</v>
      </c>
      <c r="AY5244" s="3" t="s">
        <v>50190</v>
      </c>
      <c r="AZ5244" s="3" t="s">
        <v>50191</v>
      </c>
      <c r="BA5244" s="3" t="s">
        <v>50191</v>
      </c>
      <c r="BB5244" s="3" t="s">
        <v>50195</v>
      </c>
      <c r="BC5244" s="3" t="s">
        <v>142</v>
      </c>
      <c r="BD5244" s="3" t="s">
        <v>68</v>
      </c>
      <c r="BE5244" s="3" t="s">
        <v>50193</v>
      </c>
      <c r="BF5244" s="3" t="s">
        <v>50195</v>
      </c>
      <c r="BG5244" s="3" t="s">
        <v>50196</v>
      </c>
    </row>
    <row r="5245" spans="1:59" ht="57" x14ac:dyDescent="0.45">
      <c r="A5245" s="2" t="s">
        <v>59</v>
      </c>
      <c r="B5245" s="2" t="s">
        <v>60</v>
      </c>
      <c r="C5245" s="2" t="s">
        <v>50197</v>
      </c>
      <c r="D5245" s="2" t="s">
        <v>50198</v>
      </c>
      <c r="E5245" s="2" t="s">
        <v>50199</v>
      </c>
      <c r="G5245" s="3" t="s">
        <v>62</v>
      </c>
      <c r="I5245" s="3" t="s">
        <v>62</v>
      </c>
      <c r="J5245" s="3" t="s">
        <v>62</v>
      </c>
      <c r="K5245" s="3" t="s">
        <v>63</v>
      </c>
      <c r="M5245" s="2" t="s">
        <v>50200</v>
      </c>
      <c r="N5245" s="3" t="s">
        <v>116</v>
      </c>
      <c r="P5245" s="3" t="s">
        <v>65</v>
      </c>
      <c r="Q5245" s="2" t="s">
        <v>50201</v>
      </c>
      <c r="R5245" s="3" t="s">
        <v>66</v>
      </c>
      <c r="S5245" s="4">
        <v>2</v>
      </c>
      <c r="T5245" s="4">
        <v>2</v>
      </c>
      <c r="U5245" s="5" t="s">
        <v>50156</v>
      </c>
      <c r="V5245" s="5" t="s">
        <v>50156</v>
      </c>
      <c r="W5245" s="5" t="s">
        <v>67</v>
      </c>
      <c r="X5245" s="5" t="s">
        <v>67</v>
      </c>
      <c r="Y5245" s="4">
        <v>180</v>
      </c>
      <c r="Z5245" s="4">
        <v>16</v>
      </c>
      <c r="AA5245" s="4">
        <v>16</v>
      </c>
      <c r="AB5245" s="4">
        <v>1</v>
      </c>
      <c r="AC5245" s="4">
        <v>1</v>
      </c>
      <c r="AD5245" s="4">
        <v>65</v>
      </c>
      <c r="AE5245" s="4">
        <v>66</v>
      </c>
      <c r="AF5245" s="4">
        <v>0</v>
      </c>
      <c r="AG5245" s="4">
        <v>0</v>
      </c>
      <c r="AH5245" s="4">
        <v>59</v>
      </c>
      <c r="AI5245" s="4">
        <v>60</v>
      </c>
      <c r="AJ5245" s="4">
        <v>14</v>
      </c>
      <c r="AK5245" s="4">
        <v>14</v>
      </c>
      <c r="AL5245" s="4">
        <v>34</v>
      </c>
      <c r="AM5245" s="4">
        <v>34</v>
      </c>
      <c r="AN5245" s="4">
        <v>0</v>
      </c>
      <c r="AO5245" s="4">
        <v>0</v>
      </c>
      <c r="AP5245" s="4">
        <v>14</v>
      </c>
      <c r="AQ5245" s="4">
        <v>14</v>
      </c>
      <c r="AR5245" s="3" t="s">
        <v>62</v>
      </c>
      <c r="AS5245" s="3" t="s">
        <v>62</v>
      </c>
      <c r="AT5245" s="3" t="s">
        <v>62</v>
      </c>
      <c r="AV5245" s="6" t="str">
        <f>HYPERLINK("http://mcgill.on.worldcat.org/oclc/825099519","Catalog Record")</f>
        <v>Catalog Record</v>
      </c>
      <c r="AW5245" s="6" t="str">
        <f>HYPERLINK("http://www.worldcat.org/oclc/825099519","WorldCat Record")</f>
        <v>WorldCat Record</v>
      </c>
      <c r="AX5245" s="3" t="s">
        <v>50202</v>
      </c>
      <c r="AY5245" s="3" t="s">
        <v>50203</v>
      </c>
      <c r="AZ5245" s="3" t="s">
        <v>50204</v>
      </c>
      <c r="BA5245" s="3" t="s">
        <v>50204</v>
      </c>
      <c r="BB5245" s="3" t="s">
        <v>50205</v>
      </c>
      <c r="BC5245" s="3" t="s">
        <v>142</v>
      </c>
      <c r="BD5245" s="3" t="s">
        <v>68</v>
      </c>
      <c r="BE5245" s="3" t="s">
        <v>50206</v>
      </c>
      <c r="BF5245" s="3" t="s">
        <v>50205</v>
      </c>
      <c r="BG5245" s="3" t="s">
        <v>50207</v>
      </c>
    </row>
    <row r="5246" spans="1:59" ht="57" x14ac:dyDescent="0.45">
      <c r="A5246" s="2" t="s">
        <v>59</v>
      </c>
      <c r="B5246" s="2" t="s">
        <v>60</v>
      </c>
      <c r="C5246" s="2" t="s">
        <v>50208</v>
      </c>
      <c r="D5246" s="2" t="s">
        <v>50209</v>
      </c>
      <c r="E5246" s="2" t="s">
        <v>50210</v>
      </c>
      <c r="G5246" s="3" t="s">
        <v>62</v>
      </c>
      <c r="I5246" s="3" t="s">
        <v>62</v>
      </c>
      <c r="J5246" s="3" t="s">
        <v>62</v>
      </c>
      <c r="K5246" s="3" t="s">
        <v>63</v>
      </c>
      <c r="L5246" s="2" t="s">
        <v>50211</v>
      </c>
      <c r="M5246" s="2" t="s">
        <v>50212</v>
      </c>
      <c r="N5246" s="3" t="s">
        <v>2107</v>
      </c>
      <c r="P5246" s="3" t="s">
        <v>65</v>
      </c>
      <c r="Q5246" s="2" t="s">
        <v>50213</v>
      </c>
      <c r="R5246" s="3" t="s">
        <v>66</v>
      </c>
      <c r="S5246" s="4">
        <v>25</v>
      </c>
      <c r="T5246" s="4">
        <v>25</v>
      </c>
      <c r="U5246" s="5" t="s">
        <v>50214</v>
      </c>
      <c r="V5246" s="5" t="s">
        <v>50214</v>
      </c>
      <c r="W5246" s="5" t="s">
        <v>67</v>
      </c>
      <c r="X5246" s="5" t="s">
        <v>67</v>
      </c>
      <c r="Y5246" s="4">
        <v>170</v>
      </c>
      <c r="Z5246" s="4">
        <v>11</v>
      </c>
      <c r="AA5246" s="4">
        <v>86</v>
      </c>
      <c r="AB5246" s="4">
        <v>2</v>
      </c>
      <c r="AC5246" s="4">
        <v>14</v>
      </c>
      <c r="AD5246" s="4">
        <v>73</v>
      </c>
      <c r="AE5246" s="4">
        <v>136</v>
      </c>
      <c r="AF5246" s="4">
        <v>1</v>
      </c>
      <c r="AG5246" s="4">
        <v>8</v>
      </c>
      <c r="AH5246" s="4">
        <v>68</v>
      </c>
      <c r="AI5246" s="4">
        <v>99</v>
      </c>
      <c r="AJ5246" s="4">
        <v>10</v>
      </c>
      <c r="AK5246" s="4">
        <v>26</v>
      </c>
      <c r="AL5246" s="4">
        <v>42</v>
      </c>
      <c r="AM5246" s="4">
        <v>54</v>
      </c>
      <c r="AN5246" s="4">
        <v>4</v>
      </c>
      <c r="AO5246" s="4">
        <v>4</v>
      </c>
      <c r="AP5246" s="4">
        <v>10</v>
      </c>
      <c r="AQ5246" s="4">
        <v>46</v>
      </c>
      <c r="AR5246" s="3" t="s">
        <v>62</v>
      </c>
      <c r="AS5246" s="3" t="s">
        <v>62</v>
      </c>
      <c r="AT5246" s="3" t="s">
        <v>61</v>
      </c>
      <c r="AU5246" s="6" t="str">
        <f>HYPERLINK("http://catalog.hathitrust.org/Record/000591167","HathiTrust Record")</f>
        <v>HathiTrust Record</v>
      </c>
      <c r="AV5246" s="6" t="str">
        <f>HYPERLINK("http://mcgill.on.worldcat.org/oclc/13903740","Catalog Record")</f>
        <v>Catalog Record</v>
      </c>
      <c r="AW5246" s="6" t="str">
        <f>HYPERLINK("http://www.worldcat.org/oclc/13903740","WorldCat Record")</f>
        <v>WorldCat Record</v>
      </c>
      <c r="AX5246" s="3" t="s">
        <v>50215</v>
      </c>
      <c r="AY5246" s="3" t="s">
        <v>50216</v>
      </c>
      <c r="AZ5246" s="3" t="s">
        <v>50217</v>
      </c>
      <c r="BA5246" s="3" t="s">
        <v>50217</v>
      </c>
      <c r="BB5246" s="3" t="s">
        <v>50218</v>
      </c>
      <c r="BC5246" s="3" t="s">
        <v>142</v>
      </c>
      <c r="BD5246" s="3" t="s">
        <v>68</v>
      </c>
      <c r="BE5246" s="3" t="s">
        <v>50219</v>
      </c>
      <c r="BF5246" s="3" t="s">
        <v>50218</v>
      </c>
      <c r="BG5246" s="3" t="s">
        <v>50220</v>
      </c>
    </row>
    <row r="5247" spans="1:59" ht="57" x14ac:dyDescent="0.45">
      <c r="A5247" s="2" t="s">
        <v>59</v>
      </c>
      <c r="B5247" s="2" t="s">
        <v>60</v>
      </c>
      <c r="C5247" s="2" t="s">
        <v>50221</v>
      </c>
      <c r="D5247" s="2" t="s">
        <v>50222</v>
      </c>
      <c r="E5247" s="2" t="s">
        <v>50223</v>
      </c>
      <c r="G5247" s="3" t="s">
        <v>62</v>
      </c>
      <c r="I5247" s="3" t="s">
        <v>62</v>
      </c>
      <c r="J5247" s="3" t="s">
        <v>62</v>
      </c>
      <c r="K5247" s="3" t="s">
        <v>63</v>
      </c>
      <c r="L5247" s="2" t="s">
        <v>50224</v>
      </c>
      <c r="M5247" s="2" t="s">
        <v>39408</v>
      </c>
      <c r="N5247" s="3" t="s">
        <v>1059</v>
      </c>
      <c r="P5247" s="3" t="s">
        <v>65</v>
      </c>
      <c r="Q5247" s="2" t="s">
        <v>48946</v>
      </c>
      <c r="R5247" s="3" t="s">
        <v>66</v>
      </c>
      <c r="S5247" s="4">
        <v>14</v>
      </c>
      <c r="T5247" s="4">
        <v>14</v>
      </c>
      <c r="U5247" s="5" t="s">
        <v>50225</v>
      </c>
      <c r="V5247" s="5" t="s">
        <v>50225</v>
      </c>
      <c r="W5247" s="5" t="s">
        <v>67</v>
      </c>
      <c r="X5247" s="5" t="s">
        <v>67</v>
      </c>
      <c r="Y5247" s="4">
        <v>191</v>
      </c>
      <c r="Z5247" s="4">
        <v>19</v>
      </c>
      <c r="AA5247" s="4">
        <v>20</v>
      </c>
      <c r="AB5247" s="4">
        <v>2</v>
      </c>
      <c r="AC5247" s="4">
        <v>3</v>
      </c>
      <c r="AD5247" s="4">
        <v>65</v>
      </c>
      <c r="AE5247" s="4">
        <v>66</v>
      </c>
      <c r="AF5247" s="4">
        <v>1</v>
      </c>
      <c r="AG5247" s="4">
        <v>2</v>
      </c>
      <c r="AH5247" s="4">
        <v>57</v>
      </c>
      <c r="AI5247" s="4">
        <v>57</v>
      </c>
      <c r="AJ5247" s="4">
        <v>13</v>
      </c>
      <c r="AK5247" s="4">
        <v>14</v>
      </c>
      <c r="AL5247" s="4">
        <v>38</v>
      </c>
      <c r="AM5247" s="4">
        <v>38</v>
      </c>
      <c r="AN5247" s="4">
        <v>0</v>
      </c>
      <c r="AO5247" s="4">
        <v>0</v>
      </c>
      <c r="AP5247" s="4">
        <v>14</v>
      </c>
      <c r="AQ5247" s="4">
        <v>14</v>
      </c>
      <c r="AR5247" s="3" t="s">
        <v>62</v>
      </c>
      <c r="AS5247" s="3" t="s">
        <v>62</v>
      </c>
      <c r="AT5247" s="3" t="s">
        <v>62</v>
      </c>
      <c r="AV5247" s="6" t="str">
        <f>HYPERLINK("http://mcgill.on.worldcat.org/oclc/60590193","Catalog Record")</f>
        <v>Catalog Record</v>
      </c>
      <c r="AW5247" s="6" t="str">
        <f>HYPERLINK("http://www.worldcat.org/oclc/60590193","WorldCat Record")</f>
        <v>WorldCat Record</v>
      </c>
      <c r="AX5247" s="3" t="s">
        <v>50226</v>
      </c>
      <c r="AY5247" s="3" t="s">
        <v>50227</v>
      </c>
      <c r="AZ5247" s="3" t="s">
        <v>50228</v>
      </c>
      <c r="BA5247" s="3" t="s">
        <v>50228</v>
      </c>
      <c r="BB5247" s="3" t="s">
        <v>50229</v>
      </c>
      <c r="BC5247" s="3" t="s">
        <v>142</v>
      </c>
      <c r="BD5247" s="3" t="s">
        <v>68</v>
      </c>
      <c r="BE5247" s="3" t="s">
        <v>50230</v>
      </c>
      <c r="BF5247" s="3" t="s">
        <v>50229</v>
      </c>
      <c r="BG5247" s="3" t="s">
        <v>50231</v>
      </c>
    </row>
    <row r="5248" spans="1:59" ht="57" x14ac:dyDescent="0.45">
      <c r="A5248" s="2" t="s">
        <v>59</v>
      </c>
      <c r="B5248" s="2" t="s">
        <v>60</v>
      </c>
      <c r="C5248" s="2" t="s">
        <v>50232</v>
      </c>
      <c r="D5248" s="2" t="s">
        <v>50233</v>
      </c>
      <c r="E5248" s="2" t="s">
        <v>50234</v>
      </c>
      <c r="G5248" s="3" t="s">
        <v>62</v>
      </c>
      <c r="I5248" s="3" t="s">
        <v>62</v>
      </c>
      <c r="J5248" s="3" t="s">
        <v>62</v>
      </c>
      <c r="K5248" s="3" t="s">
        <v>63</v>
      </c>
      <c r="L5248" s="2" t="s">
        <v>47622</v>
      </c>
      <c r="M5248" s="2" t="s">
        <v>28222</v>
      </c>
      <c r="N5248" s="3" t="s">
        <v>84</v>
      </c>
      <c r="P5248" s="3" t="s">
        <v>65</v>
      </c>
      <c r="Q5248" s="2" t="s">
        <v>50235</v>
      </c>
      <c r="R5248" s="3" t="s">
        <v>66</v>
      </c>
      <c r="S5248" s="4">
        <v>10</v>
      </c>
      <c r="T5248" s="4">
        <v>10</v>
      </c>
      <c r="U5248" s="5" t="s">
        <v>31068</v>
      </c>
      <c r="V5248" s="5" t="s">
        <v>31068</v>
      </c>
      <c r="W5248" s="5" t="s">
        <v>67</v>
      </c>
      <c r="X5248" s="5" t="s">
        <v>67</v>
      </c>
      <c r="Y5248" s="4">
        <v>263</v>
      </c>
      <c r="Z5248" s="4">
        <v>21</v>
      </c>
      <c r="AA5248" s="4">
        <v>95</v>
      </c>
      <c r="AB5248" s="4">
        <v>1</v>
      </c>
      <c r="AC5248" s="4">
        <v>17</v>
      </c>
      <c r="AD5248" s="4">
        <v>102</v>
      </c>
      <c r="AE5248" s="4">
        <v>144</v>
      </c>
      <c r="AF5248" s="4">
        <v>0</v>
      </c>
      <c r="AG5248" s="4">
        <v>8</v>
      </c>
      <c r="AH5248" s="4">
        <v>90</v>
      </c>
      <c r="AI5248" s="4">
        <v>104</v>
      </c>
      <c r="AJ5248" s="4">
        <v>16</v>
      </c>
      <c r="AK5248" s="4">
        <v>25</v>
      </c>
      <c r="AL5248" s="4">
        <v>57</v>
      </c>
      <c r="AM5248" s="4">
        <v>59</v>
      </c>
      <c r="AN5248" s="4">
        <v>0</v>
      </c>
      <c r="AO5248" s="4">
        <v>0</v>
      </c>
      <c r="AP5248" s="4">
        <v>18</v>
      </c>
      <c r="AQ5248" s="4">
        <v>47</v>
      </c>
      <c r="AR5248" s="3" t="s">
        <v>62</v>
      </c>
      <c r="AS5248" s="3" t="s">
        <v>62</v>
      </c>
      <c r="AT5248" s="3" t="s">
        <v>62</v>
      </c>
      <c r="AV5248" s="6" t="str">
        <f>HYPERLINK("http://mcgill.on.worldcat.org/oclc/24550262","Catalog Record")</f>
        <v>Catalog Record</v>
      </c>
      <c r="AW5248" s="6" t="str">
        <f>HYPERLINK("http://www.worldcat.org/oclc/24550262","WorldCat Record")</f>
        <v>WorldCat Record</v>
      </c>
      <c r="AX5248" s="3" t="s">
        <v>50236</v>
      </c>
      <c r="AY5248" s="3" t="s">
        <v>50237</v>
      </c>
      <c r="AZ5248" s="3" t="s">
        <v>50238</v>
      </c>
      <c r="BA5248" s="3" t="s">
        <v>50238</v>
      </c>
      <c r="BB5248" s="3" t="s">
        <v>50239</v>
      </c>
      <c r="BC5248" s="3" t="s">
        <v>142</v>
      </c>
      <c r="BD5248" s="3" t="s">
        <v>68</v>
      </c>
      <c r="BE5248" s="3" t="s">
        <v>50240</v>
      </c>
      <c r="BF5248" s="3" t="s">
        <v>50239</v>
      </c>
      <c r="BG5248" s="3" t="s">
        <v>50241</v>
      </c>
    </row>
    <row r="5249" spans="1:59" ht="57" x14ac:dyDescent="0.45">
      <c r="A5249" s="2" t="s">
        <v>59</v>
      </c>
      <c r="B5249" s="2" t="s">
        <v>60</v>
      </c>
      <c r="C5249" s="2" t="s">
        <v>50242</v>
      </c>
      <c r="D5249" s="2" t="s">
        <v>50243</v>
      </c>
      <c r="E5249" s="2" t="s">
        <v>50244</v>
      </c>
      <c r="G5249" s="3" t="s">
        <v>62</v>
      </c>
      <c r="I5249" s="3" t="s">
        <v>62</v>
      </c>
      <c r="J5249" s="3" t="s">
        <v>62</v>
      </c>
      <c r="K5249" s="3" t="s">
        <v>63</v>
      </c>
      <c r="L5249" s="2" t="s">
        <v>50245</v>
      </c>
      <c r="M5249" s="2" t="s">
        <v>4069</v>
      </c>
      <c r="N5249" s="3" t="s">
        <v>116</v>
      </c>
      <c r="P5249" s="3" t="s">
        <v>65</v>
      </c>
      <c r="Q5249" s="2" t="s">
        <v>50246</v>
      </c>
      <c r="R5249" s="3" t="s">
        <v>66</v>
      </c>
      <c r="S5249" s="4">
        <v>1</v>
      </c>
      <c r="T5249" s="4">
        <v>1</v>
      </c>
      <c r="U5249" s="5" t="s">
        <v>50247</v>
      </c>
      <c r="V5249" s="5" t="s">
        <v>50247</v>
      </c>
      <c r="W5249" s="5" t="s">
        <v>67</v>
      </c>
      <c r="X5249" s="5" t="s">
        <v>67</v>
      </c>
      <c r="Y5249" s="4">
        <v>129</v>
      </c>
      <c r="Z5249" s="4">
        <v>16</v>
      </c>
      <c r="AA5249" s="4">
        <v>82</v>
      </c>
      <c r="AB5249" s="4">
        <v>1</v>
      </c>
      <c r="AC5249" s="4">
        <v>14</v>
      </c>
      <c r="AD5249" s="4">
        <v>65</v>
      </c>
      <c r="AE5249" s="4">
        <v>128</v>
      </c>
      <c r="AF5249" s="4">
        <v>0</v>
      </c>
      <c r="AG5249" s="4">
        <v>8</v>
      </c>
      <c r="AH5249" s="4">
        <v>57</v>
      </c>
      <c r="AI5249" s="4">
        <v>93</v>
      </c>
      <c r="AJ5249" s="4">
        <v>12</v>
      </c>
      <c r="AK5249" s="4">
        <v>25</v>
      </c>
      <c r="AL5249" s="4">
        <v>35</v>
      </c>
      <c r="AM5249" s="4">
        <v>50</v>
      </c>
      <c r="AN5249" s="4">
        <v>0</v>
      </c>
      <c r="AO5249" s="4">
        <v>0</v>
      </c>
      <c r="AP5249" s="4">
        <v>13</v>
      </c>
      <c r="AQ5249" s="4">
        <v>44</v>
      </c>
      <c r="AR5249" s="3" t="s">
        <v>62</v>
      </c>
      <c r="AS5249" s="3" t="s">
        <v>62</v>
      </c>
      <c r="AT5249" s="3" t="s">
        <v>62</v>
      </c>
      <c r="AV5249" s="6" t="str">
        <f>HYPERLINK("http://mcgill.on.worldcat.org/oclc/823387340","Catalog Record")</f>
        <v>Catalog Record</v>
      </c>
      <c r="AW5249" s="6" t="str">
        <f>HYPERLINK("http://www.worldcat.org/oclc/823387340","WorldCat Record")</f>
        <v>WorldCat Record</v>
      </c>
      <c r="AX5249" s="3" t="s">
        <v>50248</v>
      </c>
      <c r="AY5249" s="3" t="s">
        <v>50249</v>
      </c>
      <c r="AZ5249" s="3" t="s">
        <v>50250</v>
      </c>
      <c r="BA5249" s="3" t="s">
        <v>50250</v>
      </c>
      <c r="BB5249" s="3" t="s">
        <v>50251</v>
      </c>
      <c r="BC5249" s="3" t="s">
        <v>142</v>
      </c>
      <c r="BD5249" s="3" t="s">
        <v>68</v>
      </c>
      <c r="BE5249" s="3" t="s">
        <v>50252</v>
      </c>
      <c r="BF5249" s="3" t="s">
        <v>50251</v>
      </c>
      <c r="BG5249" s="3" t="s">
        <v>50253</v>
      </c>
    </row>
    <row r="5250" spans="1:59" ht="57" x14ac:dyDescent="0.45">
      <c r="A5250" s="2" t="s">
        <v>59</v>
      </c>
      <c r="B5250" s="2" t="s">
        <v>60</v>
      </c>
      <c r="C5250" s="2" t="s">
        <v>50254</v>
      </c>
      <c r="D5250" s="2" t="s">
        <v>50255</v>
      </c>
      <c r="E5250" s="2" t="s">
        <v>50256</v>
      </c>
      <c r="G5250" s="3" t="s">
        <v>62</v>
      </c>
      <c r="I5250" s="3" t="s">
        <v>62</v>
      </c>
      <c r="J5250" s="3" t="s">
        <v>62</v>
      </c>
      <c r="K5250" s="3" t="s">
        <v>63</v>
      </c>
      <c r="L5250" s="2" t="s">
        <v>50257</v>
      </c>
      <c r="M5250" s="2" t="s">
        <v>5669</v>
      </c>
      <c r="N5250" s="3" t="s">
        <v>195</v>
      </c>
      <c r="P5250" s="3" t="s">
        <v>65</v>
      </c>
      <c r="Q5250" s="2" t="s">
        <v>50258</v>
      </c>
      <c r="R5250" s="3" t="s">
        <v>66</v>
      </c>
      <c r="S5250" s="4">
        <v>13</v>
      </c>
      <c r="T5250" s="4">
        <v>13</v>
      </c>
      <c r="U5250" s="5" t="s">
        <v>23332</v>
      </c>
      <c r="V5250" s="5" t="s">
        <v>23332</v>
      </c>
      <c r="W5250" s="5" t="s">
        <v>67</v>
      </c>
      <c r="X5250" s="5" t="s">
        <v>67</v>
      </c>
      <c r="Y5250" s="4">
        <v>124</v>
      </c>
      <c r="Z5250" s="4">
        <v>8</v>
      </c>
      <c r="AA5250" s="4">
        <v>80</v>
      </c>
      <c r="AB5250" s="4">
        <v>1</v>
      </c>
      <c r="AC5250" s="4">
        <v>14</v>
      </c>
      <c r="AD5250" s="4">
        <v>58</v>
      </c>
      <c r="AE5250" s="4">
        <v>118</v>
      </c>
      <c r="AF5250" s="4">
        <v>0</v>
      </c>
      <c r="AG5250" s="4">
        <v>8</v>
      </c>
      <c r="AH5250" s="4">
        <v>55</v>
      </c>
      <c r="AI5250" s="4">
        <v>84</v>
      </c>
      <c r="AJ5250" s="4">
        <v>6</v>
      </c>
      <c r="AK5250" s="4">
        <v>22</v>
      </c>
      <c r="AL5250" s="4">
        <v>37</v>
      </c>
      <c r="AM5250" s="4">
        <v>46</v>
      </c>
      <c r="AN5250" s="4">
        <v>0</v>
      </c>
      <c r="AO5250" s="4">
        <v>0</v>
      </c>
      <c r="AP5250" s="4">
        <v>6</v>
      </c>
      <c r="AQ5250" s="4">
        <v>42</v>
      </c>
      <c r="AR5250" s="3" t="s">
        <v>62</v>
      </c>
      <c r="AS5250" s="3" t="s">
        <v>62</v>
      </c>
      <c r="AT5250" s="3" t="s">
        <v>61</v>
      </c>
      <c r="AU5250" s="6" t="str">
        <f>HYPERLINK("http://catalog.hathitrust.org/Record/007110555","HathiTrust Record")</f>
        <v>HathiTrust Record</v>
      </c>
      <c r="AV5250" s="6" t="str">
        <f>HYPERLINK("http://mcgill.on.worldcat.org/oclc/26310668","Catalog Record")</f>
        <v>Catalog Record</v>
      </c>
      <c r="AW5250" s="6" t="str">
        <f>HYPERLINK("http://www.worldcat.org/oclc/26310668","WorldCat Record")</f>
        <v>WorldCat Record</v>
      </c>
      <c r="AX5250" s="3" t="s">
        <v>50259</v>
      </c>
      <c r="AY5250" s="3" t="s">
        <v>50260</v>
      </c>
      <c r="AZ5250" s="3" t="s">
        <v>50261</v>
      </c>
      <c r="BA5250" s="3" t="s">
        <v>50261</v>
      </c>
      <c r="BB5250" s="3" t="s">
        <v>50262</v>
      </c>
      <c r="BC5250" s="3" t="s">
        <v>142</v>
      </c>
      <c r="BD5250" s="3" t="s">
        <v>68</v>
      </c>
      <c r="BE5250" s="3" t="s">
        <v>50263</v>
      </c>
      <c r="BF5250" s="3" t="s">
        <v>50262</v>
      </c>
      <c r="BG5250" s="3" t="s">
        <v>50264</v>
      </c>
    </row>
    <row r="5251" spans="1:59" ht="57" x14ac:dyDescent="0.45">
      <c r="A5251" s="2" t="s">
        <v>59</v>
      </c>
      <c r="B5251" s="2" t="s">
        <v>60</v>
      </c>
      <c r="C5251" s="2" t="s">
        <v>50265</v>
      </c>
      <c r="D5251" s="2" t="s">
        <v>50266</v>
      </c>
      <c r="E5251" s="2" t="s">
        <v>50267</v>
      </c>
      <c r="G5251" s="3" t="s">
        <v>62</v>
      </c>
      <c r="I5251" s="3" t="s">
        <v>62</v>
      </c>
      <c r="J5251" s="3" t="s">
        <v>62</v>
      </c>
      <c r="K5251" s="3" t="s">
        <v>63</v>
      </c>
      <c r="L5251" s="2" t="s">
        <v>50268</v>
      </c>
      <c r="M5251" s="2" t="s">
        <v>48441</v>
      </c>
      <c r="N5251" s="3" t="s">
        <v>542</v>
      </c>
      <c r="P5251" s="3" t="s">
        <v>65</v>
      </c>
      <c r="Q5251" s="2" t="s">
        <v>50269</v>
      </c>
      <c r="R5251" s="3" t="s">
        <v>66</v>
      </c>
      <c r="S5251" s="4">
        <v>5</v>
      </c>
      <c r="T5251" s="4">
        <v>5</v>
      </c>
      <c r="U5251" s="5" t="s">
        <v>21881</v>
      </c>
      <c r="V5251" s="5" t="s">
        <v>21881</v>
      </c>
      <c r="W5251" s="5" t="s">
        <v>67</v>
      </c>
      <c r="X5251" s="5" t="s">
        <v>67</v>
      </c>
      <c r="Y5251" s="4">
        <v>263</v>
      </c>
      <c r="Z5251" s="4">
        <v>20</v>
      </c>
      <c r="AA5251" s="4">
        <v>120</v>
      </c>
      <c r="AB5251" s="4">
        <v>3</v>
      </c>
      <c r="AC5251" s="4">
        <v>22</v>
      </c>
      <c r="AD5251" s="4">
        <v>101</v>
      </c>
      <c r="AE5251" s="4">
        <v>154</v>
      </c>
      <c r="AF5251" s="4">
        <v>1</v>
      </c>
      <c r="AG5251" s="4">
        <v>9</v>
      </c>
      <c r="AH5251" s="4">
        <v>91</v>
      </c>
      <c r="AI5251" s="4">
        <v>107</v>
      </c>
      <c r="AJ5251" s="4">
        <v>15</v>
      </c>
      <c r="AK5251" s="4">
        <v>27</v>
      </c>
      <c r="AL5251" s="4">
        <v>54</v>
      </c>
      <c r="AM5251" s="4">
        <v>58</v>
      </c>
      <c r="AN5251" s="4">
        <v>0</v>
      </c>
      <c r="AO5251" s="4">
        <v>0</v>
      </c>
      <c r="AP5251" s="4">
        <v>17</v>
      </c>
      <c r="AQ5251" s="4">
        <v>55</v>
      </c>
      <c r="AR5251" s="3" t="s">
        <v>62</v>
      </c>
      <c r="AS5251" s="3" t="s">
        <v>62</v>
      </c>
      <c r="AT5251" s="3" t="s">
        <v>62</v>
      </c>
      <c r="AV5251" s="6" t="str">
        <f>HYPERLINK("http://mcgill.on.worldcat.org/oclc/45394057","Catalog Record")</f>
        <v>Catalog Record</v>
      </c>
      <c r="AW5251" s="6" t="str">
        <f>HYPERLINK("http://www.worldcat.org/oclc/45394057","WorldCat Record")</f>
        <v>WorldCat Record</v>
      </c>
      <c r="AX5251" s="3" t="s">
        <v>50270</v>
      </c>
      <c r="AY5251" s="3" t="s">
        <v>50271</v>
      </c>
      <c r="AZ5251" s="3" t="s">
        <v>50272</v>
      </c>
      <c r="BA5251" s="3" t="s">
        <v>50272</v>
      </c>
      <c r="BB5251" s="3" t="s">
        <v>50273</v>
      </c>
      <c r="BC5251" s="3" t="s">
        <v>142</v>
      </c>
      <c r="BD5251" s="3" t="s">
        <v>68</v>
      </c>
      <c r="BE5251" s="3" t="s">
        <v>50274</v>
      </c>
      <c r="BF5251" s="3" t="s">
        <v>50273</v>
      </c>
      <c r="BG5251" s="3" t="s">
        <v>50275</v>
      </c>
    </row>
    <row r="5252" spans="1:59" ht="57" x14ac:dyDescent="0.45">
      <c r="A5252" s="2" t="s">
        <v>59</v>
      </c>
      <c r="B5252" s="2" t="s">
        <v>60</v>
      </c>
      <c r="C5252" s="2" t="s">
        <v>50276</v>
      </c>
      <c r="D5252" s="2" t="s">
        <v>50277</v>
      </c>
      <c r="E5252" s="2" t="s">
        <v>50278</v>
      </c>
      <c r="G5252" s="3" t="s">
        <v>62</v>
      </c>
      <c r="I5252" s="3" t="s">
        <v>62</v>
      </c>
      <c r="J5252" s="3" t="s">
        <v>62</v>
      </c>
      <c r="K5252" s="3" t="s">
        <v>63</v>
      </c>
      <c r="M5252" s="2" t="s">
        <v>48453</v>
      </c>
      <c r="N5252" s="3" t="s">
        <v>149</v>
      </c>
      <c r="P5252" s="3" t="s">
        <v>65</v>
      </c>
      <c r="Q5252" s="2" t="s">
        <v>50279</v>
      </c>
      <c r="R5252" s="3" t="s">
        <v>66</v>
      </c>
      <c r="S5252" s="4">
        <v>1</v>
      </c>
      <c r="T5252" s="4">
        <v>1</v>
      </c>
      <c r="U5252" s="5" t="s">
        <v>50280</v>
      </c>
      <c r="V5252" s="5" t="s">
        <v>50280</v>
      </c>
      <c r="W5252" s="5" t="s">
        <v>67</v>
      </c>
      <c r="X5252" s="5" t="s">
        <v>67</v>
      </c>
      <c r="Y5252" s="4">
        <v>90</v>
      </c>
      <c r="Z5252" s="4">
        <v>9</v>
      </c>
      <c r="AA5252" s="4">
        <v>93</v>
      </c>
      <c r="AB5252" s="4">
        <v>1</v>
      </c>
      <c r="AC5252" s="4">
        <v>17</v>
      </c>
      <c r="AD5252" s="4">
        <v>39</v>
      </c>
      <c r="AE5252" s="4">
        <v>108</v>
      </c>
      <c r="AF5252" s="4">
        <v>0</v>
      </c>
      <c r="AG5252" s="4">
        <v>8</v>
      </c>
      <c r="AH5252" s="4">
        <v>36</v>
      </c>
      <c r="AI5252" s="4">
        <v>72</v>
      </c>
      <c r="AJ5252" s="4">
        <v>7</v>
      </c>
      <c r="AK5252" s="4">
        <v>24</v>
      </c>
      <c r="AL5252" s="4">
        <v>23</v>
      </c>
      <c r="AM5252" s="4">
        <v>38</v>
      </c>
      <c r="AN5252" s="4">
        <v>0</v>
      </c>
      <c r="AO5252" s="4">
        <v>0</v>
      </c>
      <c r="AP5252" s="4">
        <v>7</v>
      </c>
      <c r="AQ5252" s="4">
        <v>46</v>
      </c>
      <c r="AR5252" s="3" t="s">
        <v>62</v>
      </c>
      <c r="AS5252" s="3" t="s">
        <v>62</v>
      </c>
      <c r="AT5252" s="3" t="s">
        <v>62</v>
      </c>
      <c r="AV5252" s="6" t="str">
        <f>HYPERLINK("http://mcgill.on.worldcat.org/oclc/501321073","Catalog Record")</f>
        <v>Catalog Record</v>
      </c>
      <c r="AW5252" s="6" t="str">
        <f>HYPERLINK("http://www.worldcat.org/oclc/501321073","WorldCat Record")</f>
        <v>WorldCat Record</v>
      </c>
      <c r="AX5252" s="3" t="s">
        <v>50281</v>
      </c>
      <c r="AY5252" s="3" t="s">
        <v>50282</v>
      </c>
      <c r="AZ5252" s="3" t="s">
        <v>50283</v>
      </c>
      <c r="BA5252" s="3" t="s">
        <v>50283</v>
      </c>
      <c r="BB5252" s="3" t="s">
        <v>50284</v>
      </c>
      <c r="BC5252" s="3" t="s">
        <v>142</v>
      </c>
      <c r="BD5252" s="3" t="s">
        <v>68</v>
      </c>
      <c r="BE5252" s="3" t="s">
        <v>50285</v>
      </c>
      <c r="BF5252" s="3" t="s">
        <v>50284</v>
      </c>
      <c r="BG5252" s="3" t="s">
        <v>50286</v>
      </c>
    </row>
    <row r="5253" spans="1:59" ht="57" x14ac:dyDescent="0.45">
      <c r="A5253" s="2" t="s">
        <v>59</v>
      </c>
      <c r="B5253" s="2" t="s">
        <v>60</v>
      </c>
      <c r="C5253" s="2" t="s">
        <v>50287</v>
      </c>
      <c r="D5253" s="2" t="s">
        <v>50288</v>
      </c>
      <c r="E5253" s="2" t="s">
        <v>50289</v>
      </c>
      <c r="G5253" s="3" t="s">
        <v>62</v>
      </c>
      <c r="I5253" s="3" t="s">
        <v>62</v>
      </c>
      <c r="J5253" s="3" t="s">
        <v>62</v>
      </c>
      <c r="K5253" s="3" t="s">
        <v>63</v>
      </c>
      <c r="M5253" s="2" t="s">
        <v>3925</v>
      </c>
      <c r="N5253" s="3" t="s">
        <v>149</v>
      </c>
      <c r="P5253" s="3" t="s">
        <v>65</v>
      </c>
      <c r="Q5253" s="2" t="s">
        <v>50290</v>
      </c>
      <c r="R5253" s="3" t="s">
        <v>66</v>
      </c>
      <c r="S5253" s="4">
        <v>0</v>
      </c>
      <c r="T5253" s="4">
        <v>0</v>
      </c>
      <c r="W5253" s="5" t="s">
        <v>67</v>
      </c>
      <c r="X5253" s="5" t="s">
        <v>67</v>
      </c>
      <c r="Y5253" s="4">
        <v>80</v>
      </c>
      <c r="Z5253" s="4">
        <v>12</v>
      </c>
      <c r="AA5253" s="4">
        <v>98</v>
      </c>
      <c r="AB5253" s="4">
        <v>1</v>
      </c>
      <c r="AC5253" s="4">
        <v>17</v>
      </c>
      <c r="AD5253" s="4">
        <v>41</v>
      </c>
      <c r="AE5253" s="4">
        <v>112</v>
      </c>
      <c r="AF5253" s="4">
        <v>0</v>
      </c>
      <c r="AG5253" s="4">
        <v>8</v>
      </c>
      <c r="AH5253" s="4">
        <v>36</v>
      </c>
      <c r="AI5253" s="4">
        <v>75</v>
      </c>
      <c r="AJ5253" s="4">
        <v>9</v>
      </c>
      <c r="AK5253" s="4">
        <v>23</v>
      </c>
      <c r="AL5253" s="4">
        <v>24</v>
      </c>
      <c r="AM5253" s="4">
        <v>39</v>
      </c>
      <c r="AN5253" s="4">
        <v>0</v>
      </c>
      <c r="AO5253" s="4">
        <v>0</v>
      </c>
      <c r="AP5253" s="4">
        <v>10</v>
      </c>
      <c r="AQ5253" s="4">
        <v>45</v>
      </c>
      <c r="AR5253" s="3" t="s">
        <v>62</v>
      </c>
      <c r="AS5253" s="3" t="s">
        <v>62</v>
      </c>
      <c r="AT5253" s="3" t="s">
        <v>62</v>
      </c>
      <c r="AV5253" s="6" t="str">
        <f>HYPERLINK("http://mcgill.on.worldcat.org/oclc/482630574","Catalog Record")</f>
        <v>Catalog Record</v>
      </c>
      <c r="AW5253" s="6" t="str">
        <f>HYPERLINK("http://www.worldcat.org/oclc/482630574","WorldCat Record")</f>
        <v>WorldCat Record</v>
      </c>
      <c r="AX5253" s="3" t="s">
        <v>50291</v>
      </c>
      <c r="AY5253" s="3" t="s">
        <v>50292</v>
      </c>
      <c r="AZ5253" s="3" t="s">
        <v>50293</v>
      </c>
      <c r="BA5253" s="3" t="s">
        <v>50293</v>
      </c>
      <c r="BB5253" s="3" t="s">
        <v>50294</v>
      </c>
      <c r="BC5253" s="3" t="s">
        <v>142</v>
      </c>
      <c r="BD5253" s="3" t="s">
        <v>68</v>
      </c>
      <c r="BE5253" s="3" t="s">
        <v>50295</v>
      </c>
      <c r="BF5253" s="3" t="s">
        <v>50294</v>
      </c>
      <c r="BG5253" s="3" t="s">
        <v>50296</v>
      </c>
    </row>
    <row r="5254" spans="1:59" ht="57" x14ac:dyDescent="0.45">
      <c r="A5254" s="2" t="s">
        <v>59</v>
      </c>
      <c r="B5254" s="2" t="s">
        <v>60</v>
      </c>
      <c r="C5254" s="2" t="s">
        <v>50297</v>
      </c>
      <c r="D5254" s="2" t="s">
        <v>50298</v>
      </c>
      <c r="E5254" s="2" t="s">
        <v>50299</v>
      </c>
      <c r="G5254" s="3" t="s">
        <v>62</v>
      </c>
      <c r="I5254" s="3" t="s">
        <v>62</v>
      </c>
      <c r="J5254" s="3" t="s">
        <v>62</v>
      </c>
      <c r="K5254" s="3" t="s">
        <v>63</v>
      </c>
      <c r="M5254" s="2" t="s">
        <v>50300</v>
      </c>
      <c r="N5254" s="3" t="s">
        <v>5180</v>
      </c>
      <c r="P5254" s="3" t="s">
        <v>65</v>
      </c>
      <c r="Q5254" s="2" t="s">
        <v>50301</v>
      </c>
      <c r="R5254" s="3" t="s">
        <v>66</v>
      </c>
      <c r="S5254" s="4">
        <v>0</v>
      </c>
      <c r="T5254" s="4">
        <v>0</v>
      </c>
      <c r="W5254" s="5" t="s">
        <v>67</v>
      </c>
      <c r="X5254" s="5" t="s">
        <v>67</v>
      </c>
      <c r="Y5254" s="4">
        <v>38</v>
      </c>
      <c r="Z5254" s="4">
        <v>4</v>
      </c>
      <c r="AA5254" s="4">
        <v>11</v>
      </c>
      <c r="AB5254" s="4">
        <v>1</v>
      </c>
      <c r="AC5254" s="4">
        <v>4</v>
      </c>
      <c r="AD5254" s="4">
        <v>25</v>
      </c>
      <c r="AE5254" s="4">
        <v>36</v>
      </c>
      <c r="AF5254" s="4">
        <v>0</v>
      </c>
      <c r="AG5254" s="4">
        <v>1</v>
      </c>
      <c r="AH5254" s="4">
        <v>25</v>
      </c>
      <c r="AI5254" s="4">
        <v>33</v>
      </c>
      <c r="AJ5254" s="4">
        <v>3</v>
      </c>
      <c r="AK5254" s="4">
        <v>8</v>
      </c>
      <c r="AL5254" s="4">
        <v>17</v>
      </c>
      <c r="AM5254" s="4">
        <v>21</v>
      </c>
      <c r="AN5254" s="4">
        <v>0</v>
      </c>
      <c r="AO5254" s="4">
        <v>0</v>
      </c>
      <c r="AP5254" s="4">
        <v>3</v>
      </c>
      <c r="AQ5254" s="4">
        <v>7</v>
      </c>
      <c r="AR5254" s="3" t="s">
        <v>62</v>
      </c>
      <c r="AS5254" s="3" t="s">
        <v>62</v>
      </c>
      <c r="AT5254" s="3" t="s">
        <v>62</v>
      </c>
      <c r="AV5254" s="6" t="str">
        <f>HYPERLINK("http://mcgill.on.worldcat.org/oclc/1056137189","Catalog Record")</f>
        <v>Catalog Record</v>
      </c>
      <c r="AW5254" s="6" t="str">
        <f>HYPERLINK("http://www.worldcat.org/oclc/1056137189","WorldCat Record")</f>
        <v>WorldCat Record</v>
      </c>
      <c r="AX5254" s="3" t="s">
        <v>50302</v>
      </c>
      <c r="AY5254" s="3" t="s">
        <v>50303</v>
      </c>
      <c r="AZ5254" s="3" t="s">
        <v>50304</v>
      </c>
      <c r="BA5254" s="3" t="s">
        <v>50304</v>
      </c>
      <c r="BB5254" s="3" t="s">
        <v>50305</v>
      </c>
      <c r="BC5254" s="3" t="s">
        <v>142</v>
      </c>
      <c r="BD5254" s="3" t="s">
        <v>68</v>
      </c>
      <c r="BE5254" s="3" t="s">
        <v>50306</v>
      </c>
      <c r="BF5254" s="3" t="s">
        <v>50305</v>
      </c>
      <c r="BG5254" s="3" t="s">
        <v>50307</v>
      </c>
    </row>
    <row r="5255" spans="1:59" ht="57" x14ac:dyDescent="0.45">
      <c r="A5255" s="2" t="s">
        <v>59</v>
      </c>
      <c r="B5255" s="2" t="s">
        <v>60</v>
      </c>
      <c r="C5255" s="2" t="s">
        <v>50308</v>
      </c>
      <c r="D5255" s="2" t="s">
        <v>50309</v>
      </c>
      <c r="E5255" s="2" t="s">
        <v>50310</v>
      </c>
      <c r="G5255" s="3" t="s">
        <v>62</v>
      </c>
      <c r="I5255" s="3" t="s">
        <v>62</v>
      </c>
      <c r="J5255" s="3" t="s">
        <v>62</v>
      </c>
      <c r="K5255" s="3" t="s">
        <v>63</v>
      </c>
      <c r="M5255" s="2" t="s">
        <v>3925</v>
      </c>
      <c r="N5255" s="3" t="s">
        <v>149</v>
      </c>
      <c r="P5255" s="3" t="s">
        <v>65</v>
      </c>
      <c r="Q5255" s="2" t="s">
        <v>50311</v>
      </c>
      <c r="R5255" s="3" t="s">
        <v>66</v>
      </c>
      <c r="S5255" s="4">
        <v>0</v>
      </c>
      <c r="T5255" s="4">
        <v>0</v>
      </c>
      <c r="W5255" s="5" t="s">
        <v>67</v>
      </c>
      <c r="X5255" s="5" t="s">
        <v>67</v>
      </c>
      <c r="Y5255" s="4">
        <v>83</v>
      </c>
      <c r="Z5255" s="4">
        <v>8</v>
      </c>
      <c r="AA5255" s="4">
        <v>96</v>
      </c>
      <c r="AB5255" s="4">
        <v>1</v>
      </c>
      <c r="AC5255" s="4">
        <v>17</v>
      </c>
      <c r="AD5255" s="4">
        <v>39</v>
      </c>
      <c r="AE5255" s="4">
        <v>112</v>
      </c>
      <c r="AF5255" s="4">
        <v>0</v>
      </c>
      <c r="AG5255" s="4">
        <v>8</v>
      </c>
      <c r="AH5255" s="4">
        <v>35</v>
      </c>
      <c r="AI5255" s="4">
        <v>77</v>
      </c>
      <c r="AJ5255" s="4">
        <v>7</v>
      </c>
      <c r="AK5255" s="4">
        <v>23</v>
      </c>
      <c r="AL5255" s="4">
        <v>24</v>
      </c>
      <c r="AM5255" s="4">
        <v>40</v>
      </c>
      <c r="AN5255" s="4">
        <v>0</v>
      </c>
      <c r="AO5255" s="4">
        <v>0</v>
      </c>
      <c r="AP5255" s="4">
        <v>7</v>
      </c>
      <c r="AQ5255" s="4">
        <v>44</v>
      </c>
      <c r="AR5255" s="3" t="s">
        <v>62</v>
      </c>
      <c r="AS5255" s="3" t="s">
        <v>62</v>
      </c>
      <c r="AT5255" s="3" t="s">
        <v>62</v>
      </c>
      <c r="AV5255" s="6" t="str">
        <f>HYPERLINK("http://mcgill.on.worldcat.org/oclc/645790939","Catalog Record")</f>
        <v>Catalog Record</v>
      </c>
      <c r="AW5255" s="6" t="str">
        <f>HYPERLINK("http://www.worldcat.org/oclc/645790939","WorldCat Record")</f>
        <v>WorldCat Record</v>
      </c>
      <c r="AX5255" s="3" t="s">
        <v>50312</v>
      </c>
      <c r="AY5255" s="3" t="s">
        <v>50313</v>
      </c>
      <c r="AZ5255" s="3" t="s">
        <v>50314</v>
      </c>
      <c r="BA5255" s="3" t="s">
        <v>50314</v>
      </c>
      <c r="BB5255" s="3" t="s">
        <v>50315</v>
      </c>
      <c r="BC5255" s="3" t="s">
        <v>142</v>
      </c>
      <c r="BD5255" s="3" t="s">
        <v>68</v>
      </c>
      <c r="BE5255" s="3" t="s">
        <v>50316</v>
      </c>
      <c r="BF5255" s="3" t="s">
        <v>50315</v>
      </c>
      <c r="BG5255" s="3" t="s">
        <v>50317</v>
      </c>
    </row>
    <row r="5256" spans="1:59" ht="57" x14ac:dyDescent="0.45">
      <c r="A5256" s="2" t="s">
        <v>59</v>
      </c>
      <c r="B5256" s="2" t="s">
        <v>60</v>
      </c>
      <c r="C5256" s="2" t="s">
        <v>50318</v>
      </c>
      <c r="D5256" s="2" t="s">
        <v>50319</v>
      </c>
      <c r="E5256" s="2" t="s">
        <v>50320</v>
      </c>
      <c r="G5256" s="3" t="s">
        <v>62</v>
      </c>
      <c r="I5256" s="3" t="s">
        <v>62</v>
      </c>
      <c r="J5256" s="3" t="s">
        <v>62</v>
      </c>
      <c r="K5256" s="3" t="s">
        <v>63</v>
      </c>
      <c r="L5256" s="2" t="s">
        <v>50321</v>
      </c>
      <c r="M5256" s="2" t="s">
        <v>33610</v>
      </c>
      <c r="N5256" s="3" t="s">
        <v>1855</v>
      </c>
      <c r="P5256" s="3" t="s">
        <v>65</v>
      </c>
      <c r="Q5256" s="2" t="s">
        <v>50322</v>
      </c>
      <c r="R5256" s="3" t="s">
        <v>66</v>
      </c>
      <c r="S5256" s="4">
        <v>7</v>
      </c>
      <c r="T5256" s="4">
        <v>7</v>
      </c>
      <c r="U5256" s="5" t="s">
        <v>11636</v>
      </c>
      <c r="V5256" s="5" t="s">
        <v>11636</v>
      </c>
      <c r="W5256" s="5" t="s">
        <v>67</v>
      </c>
      <c r="X5256" s="5" t="s">
        <v>67</v>
      </c>
      <c r="Y5256" s="4">
        <v>209</v>
      </c>
      <c r="Z5256" s="4">
        <v>19</v>
      </c>
      <c r="AA5256" s="4">
        <v>81</v>
      </c>
      <c r="AB5256" s="4">
        <v>2</v>
      </c>
      <c r="AC5256" s="4">
        <v>15</v>
      </c>
      <c r="AD5256" s="4">
        <v>89</v>
      </c>
      <c r="AE5256" s="4">
        <v>128</v>
      </c>
      <c r="AF5256" s="4">
        <v>1</v>
      </c>
      <c r="AG5256" s="4">
        <v>8</v>
      </c>
      <c r="AH5256" s="4">
        <v>81</v>
      </c>
      <c r="AI5256" s="4">
        <v>95</v>
      </c>
      <c r="AJ5256" s="4">
        <v>16</v>
      </c>
      <c r="AK5256" s="4">
        <v>25</v>
      </c>
      <c r="AL5256" s="4">
        <v>45</v>
      </c>
      <c r="AM5256" s="4">
        <v>50</v>
      </c>
      <c r="AN5256" s="4">
        <v>0</v>
      </c>
      <c r="AO5256" s="4">
        <v>0</v>
      </c>
      <c r="AP5256" s="4">
        <v>17</v>
      </c>
      <c r="AQ5256" s="4">
        <v>44</v>
      </c>
      <c r="AR5256" s="3" t="s">
        <v>62</v>
      </c>
      <c r="AS5256" s="3" t="s">
        <v>62</v>
      </c>
      <c r="AT5256" s="3" t="s">
        <v>62</v>
      </c>
      <c r="AV5256" s="6" t="str">
        <f>HYPERLINK("http://mcgill.on.worldcat.org/oclc/56010970","Catalog Record")</f>
        <v>Catalog Record</v>
      </c>
      <c r="AW5256" s="6" t="str">
        <f>HYPERLINK("http://www.worldcat.org/oclc/56010970","WorldCat Record")</f>
        <v>WorldCat Record</v>
      </c>
      <c r="AX5256" s="3" t="s">
        <v>50323</v>
      </c>
      <c r="AY5256" s="3" t="s">
        <v>50324</v>
      </c>
      <c r="AZ5256" s="3" t="s">
        <v>50325</v>
      </c>
      <c r="BA5256" s="3" t="s">
        <v>50325</v>
      </c>
      <c r="BB5256" s="3" t="s">
        <v>50326</v>
      </c>
      <c r="BC5256" s="3" t="s">
        <v>142</v>
      </c>
      <c r="BD5256" s="3" t="s">
        <v>68</v>
      </c>
      <c r="BE5256" s="3" t="s">
        <v>50327</v>
      </c>
      <c r="BF5256" s="3" t="s">
        <v>50326</v>
      </c>
      <c r="BG5256" s="3" t="s">
        <v>50328</v>
      </c>
    </row>
    <row r="5257" spans="1:59" ht="57" x14ac:dyDescent="0.45">
      <c r="A5257" s="2" t="s">
        <v>59</v>
      </c>
      <c r="B5257" s="2" t="s">
        <v>60</v>
      </c>
      <c r="C5257" s="2" t="s">
        <v>50329</v>
      </c>
      <c r="D5257" s="2" t="s">
        <v>50330</v>
      </c>
      <c r="E5257" s="2" t="s">
        <v>50331</v>
      </c>
      <c r="G5257" s="3" t="s">
        <v>62</v>
      </c>
      <c r="I5257" s="3" t="s">
        <v>61</v>
      </c>
      <c r="J5257" s="3" t="s">
        <v>62</v>
      </c>
      <c r="K5257" s="3" t="s">
        <v>63</v>
      </c>
      <c r="L5257" s="2" t="s">
        <v>50073</v>
      </c>
      <c r="M5257" s="2" t="s">
        <v>4429</v>
      </c>
      <c r="N5257" s="3" t="s">
        <v>1097</v>
      </c>
      <c r="P5257" s="3" t="s">
        <v>65</v>
      </c>
      <c r="Q5257" s="2" t="s">
        <v>50332</v>
      </c>
      <c r="R5257" s="3" t="s">
        <v>66</v>
      </c>
      <c r="S5257" s="4">
        <v>5</v>
      </c>
      <c r="T5257" s="4">
        <v>7</v>
      </c>
      <c r="U5257" s="5" t="s">
        <v>20231</v>
      </c>
      <c r="V5257" s="5" t="s">
        <v>50333</v>
      </c>
      <c r="W5257" s="5" t="s">
        <v>67</v>
      </c>
      <c r="X5257" s="5" t="s">
        <v>67</v>
      </c>
      <c r="Y5257" s="4">
        <v>227</v>
      </c>
      <c r="Z5257" s="4">
        <v>17</v>
      </c>
      <c r="AA5257" s="4">
        <v>103</v>
      </c>
      <c r="AB5257" s="4">
        <v>2</v>
      </c>
      <c r="AC5257" s="4">
        <v>18</v>
      </c>
      <c r="AD5257" s="4">
        <v>96</v>
      </c>
      <c r="AE5257" s="4">
        <v>151</v>
      </c>
      <c r="AF5257" s="4">
        <v>1</v>
      </c>
      <c r="AG5257" s="4">
        <v>9</v>
      </c>
      <c r="AH5257" s="4">
        <v>86</v>
      </c>
      <c r="AI5257" s="4">
        <v>103</v>
      </c>
      <c r="AJ5257" s="4">
        <v>14</v>
      </c>
      <c r="AK5257" s="4">
        <v>26</v>
      </c>
      <c r="AL5257" s="4">
        <v>52</v>
      </c>
      <c r="AM5257" s="4">
        <v>55</v>
      </c>
      <c r="AN5257" s="4">
        <v>0</v>
      </c>
      <c r="AO5257" s="4">
        <v>0</v>
      </c>
      <c r="AP5257" s="4">
        <v>15</v>
      </c>
      <c r="AQ5257" s="4">
        <v>54</v>
      </c>
      <c r="AR5257" s="3" t="s">
        <v>62</v>
      </c>
      <c r="AS5257" s="3" t="s">
        <v>62</v>
      </c>
      <c r="AT5257" s="3" t="s">
        <v>62</v>
      </c>
      <c r="AV5257" s="6" t="str">
        <f>HYPERLINK("http://mcgill.on.worldcat.org/oclc/53144571","Catalog Record")</f>
        <v>Catalog Record</v>
      </c>
      <c r="AW5257" s="6" t="str">
        <f>HYPERLINK("http://www.worldcat.org/oclc/53144571","WorldCat Record")</f>
        <v>WorldCat Record</v>
      </c>
      <c r="AX5257" s="3" t="s">
        <v>50334</v>
      </c>
      <c r="AY5257" s="3" t="s">
        <v>50335</v>
      </c>
      <c r="AZ5257" s="3" t="s">
        <v>50336</v>
      </c>
      <c r="BA5257" s="3" t="s">
        <v>50336</v>
      </c>
      <c r="BB5257" s="3" t="s">
        <v>50337</v>
      </c>
      <c r="BC5257" s="3" t="s">
        <v>142</v>
      </c>
      <c r="BD5257" s="3" t="s">
        <v>308</v>
      </c>
      <c r="BE5257" s="3" t="s">
        <v>50338</v>
      </c>
      <c r="BF5257" s="3" t="s">
        <v>50337</v>
      </c>
      <c r="BG5257" s="3" t="s">
        <v>50339</v>
      </c>
    </row>
    <row r="5258" spans="1:59" ht="57" x14ac:dyDescent="0.45">
      <c r="A5258" s="2" t="s">
        <v>59</v>
      </c>
      <c r="B5258" s="2" t="s">
        <v>60</v>
      </c>
      <c r="C5258" s="2" t="s">
        <v>50340</v>
      </c>
      <c r="D5258" s="2" t="s">
        <v>50330</v>
      </c>
      <c r="E5258" s="2" t="s">
        <v>50331</v>
      </c>
      <c r="G5258" s="3" t="s">
        <v>62</v>
      </c>
      <c r="I5258" s="3" t="s">
        <v>61</v>
      </c>
      <c r="J5258" s="3" t="s">
        <v>62</v>
      </c>
      <c r="K5258" s="3" t="s">
        <v>63</v>
      </c>
      <c r="L5258" s="2" t="s">
        <v>50073</v>
      </c>
      <c r="M5258" s="2" t="s">
        <v>4429</v>
      </c>
      <c r="N5258" s="3" t="s">
        <v>1097</v>
      </c>
      <c r="P5258" s="3" t="s">
        <v>65</v>
      </c>
      <c r="Q5258" s="2" t="s">
        <v>50332</v>
      </c>
      <c r="R5258" s="3" t="s">
        <v>66</v>
      </c>
      <c r="S5258" s="4">
        <v>2</v>
      </c>
      <c r="T5258" s="4">
        <v>7</v>
      </c>
      <c r="U5258" s="5" t="s">
        <v>50333</v>
      </c>
      <c r="V5258" s="5" t="s">
        <v>50333</v>
      </c>
      <c r="W5258" s="5" t="s">
        <v>67</v>
      </c>
      <c r="X5258" s="5" t="s">
        <v>67</v>
      </c>
      <c r="Y5258" s="4">
        <v>227</v>
      </c>
      <c r="Z5258" s="4">
        <v>17</v>
      </c>
      <c r="AA5258" s="4">
        <v>103</v>
      </c>
      <c r="AB5258" s="4">
        <v>2</v>
      </c>
      <c r="AC5258" s="4">
        <v>18</v>
      </c>
      <c r="AD5258" s="4">
        <v>96</v>
      </c>
      <c r="AE5258" s="4">
        <v>151</v>
      </c>
      <c r="AF5258" s="4">
        <v>1</v>
      </c>
      <c r="AG5258" s="4">
        <v>9</v>
      </c>
      <c r="AH5258" s="4">
        <v>86</v>
      </c>
      <c r="AI5258" s="4">
        <v>103</v>
      </c>
      <c r="AJ5258" s="4">
        <v>14</v>
      </c>
      <c r="AK5258" s="4">
        <v>26</v>
      </c>
      <c r="AL5258" s="4">
        <v>52</v>
      </c>
      <c r="AM5258" s="4">
        <v>55</v>
      </c>
      <c r="AN5258" s="4">
        <v>0</v>
      </c>
      <c r="AO5258" s="4">
        <v>0</v>
      </c>
      <c r="AP5258" s="4">
        <v>15</v>
      </c>
      <c r="AQ5258" s="4">
        <v>54</v>
      </c>
      <c r="AR5258" s="3" t="s">
        <v>62</v>
      </c>
      <c r="AS5258" s="3" t="s">
        <v>62</v>
      </c>
      <c r="AT5258" s="3" t="s">
        <v>62</v>
      </c>
      <c r="AV5258" s="6" t="str">
        <f>HYPERLINK("http://mcgill.on.worldcat.org/oclc/53144571","Catalog Record")</f>
        <v>Catalog Record</v>
      </c>
      <c r="AW5258" s="6" t="str">
        <f>HYPERLINK("http://www.worldcat.org/oclc/53144571","WorldCat Record")</f>
        <v>WorldCat Record</v>
      </c>
      <c r="AX5258" s="3" t="s">
        <v>50334</v>
      </c>
      <c r="AY5258" s="3" t="s">
        <v>50335</v>
      </c>
      <c r="AZ5258" s="3" t="s">
        <v>50336</v>
      </c>
      <c r="BA5258" s="3" t="s">
        <v>50336</v>
      </c>
      <c r="BB5258" s="3" t="s">
        <v>50341</v>
      </c>
      <c r="BC5258" s="3" t="s">
        <v>142</v>
      </c>
      <c r="BD5258" s="3" t="s">
        <v>68</v>
      </c>
      <c r="BE5258" s="3" t="s">
        <v>50338</v>
      </c>
      <c r="BF5258" s="3" t="s">
        <v>50341</v>
      </c>
      <c r="BG5258" s="3" t="s">
        <v>50342</v>
      </c>
    </row>
    <row r="5259" spans="1:59" ht="99.75" x14ac:dyDescent="0.45">
      <c r="A5259" s="2" t="s">
        <v>59</v>
      </c>
      <c r="B5259" s="2" t="s">
        <v>60</v>
      </c>
      <c r="C5259" s="2" t="s">
        <v>50343</v>
      </c>
      <c r="D5259" s="2" t="s">
        <v>50344</v>
      </c>
      <c r="E5259" s="2" t="s">
        <v>50345</v>
      </c>
      <c r="G5259" s="3" t="s">
        <v>62</v>
      </c>
      <c r="I5259" s="3" t="s">
        <v>61</v>
      </c>
      <c r="J5259" s="3" t="s">
        <v>62</v>
      </c>
      <c r="K5259" s="3" t="s">
        <v>63</v>
      </c>
      <c r="L5259" s="2" t="s">
        <v>50346</v>
      </c>
      <c r="M5259" s="2" t="s">
        <v>50347</v>
      </c>
      <c r="N5259" s="3" t="s">
        <v>833</v>
      </c>
      <c r="O5259" s="2" t="s">
        <v>50348</v>
      </c>
      <c r="P5259" s="3" t="s">
        <v>65</v>
      </c>
      <c r="Q5259" s="2" t="s">
        <v>50349</v>
      </c>
      <c r="R5259" s="3" t="s">
        <v>66</v>
      </c>
      <c r="S5259" s="4">
        <v>5</v>
      </c>
      <c r="T5259" s="4">
        <v>20</v>
      </c>
      <c r="U5259" s="5" t="s">
        <v>1381</v>
      </c>
      <c r="V5259" s="5" t="s">
        <v>1381</v>
      </c>
      <c r="W5259" s="5" t="s">
        <v>67</v>
      </c>
      <c r="X5259" s="5" t="s">
        <v>67</v>
      </c>
      <c r="Y5259" s="4">
        <v>593</v>
      </c>
      <c r="Z5259" s="4">
        <v>22</v>
      </c>
      <c r="AA5259" s="4">
        <v>44</v>
      </c>
      <c r="AB5259" s="4">
        <v>1</v>
      </c>
      <c r="AC5259" s="4">
        <v>6</v>
      </c>
      <c r="AD5259" s="4">
        <v>98</v>
      </c>
      <c r="AE5259" s="4">
        <v>133</v>
      </c>
      <c r="AF5259" s="4">
        <v>0</v>
      </c>
      <c r="AG5259" s="4">
        <v>5</v>
      </c>
      <c r="AH5259" s="4">
        <v>83</v>
      </c>
      <c r="AI5259" s="4">
        <v>108</v>
      </c>
      <c r="AJ5259" s="4">
        <v>8</v>
      </c>
      <c r="AK5259" s="4">
        <v>21</v>
      </c>
      <c r="AL5259" s="4">
        <v>47</v>
      </c>
      <c r="AM5259" s="4">
        <v>58</v>
      </c>
      <c r="AN5259" s="4">
        <v>0</v>
      </c>
      <c r="AO5259" s="4">
        <v>2</v>
      </c>
      <c r="AP5259" s="4">
        <v>17</v>
      </c>
      <c r="AQ5259" s="4">
        <v>32</v>
      </c>
      <c r="AR5259" s="3" t="s">
        <v>62</v>
      </c>
      <c r="AS5259" s="3" t="s">
        <v>62</v>
      </c>
      <c r="AT5259" s="3" t="s">
        <v>61</v>
      </c>
      <c r="AU5259" s="6" t="str">
        <f>HYPERLINK("http://catalog.hathitrust.org/Record/001181113","HathiTrust Record")</f>
        <v>HathiTrust Record</v>
      </c>
      <c r="AV5259" s="6" t="str">
        <f>HYPERLINK("http://mcgill.on.worldcat.org/oclc/312689","Catalog Record")</f>
        <v>Catalog Record</v>
      </c>
      <c r="AW5259" s="6" t="str">
        <f>HYPERLINK("http://www.worldcat.org/oclc/312689","WorldCat Record")</f>
        <v>WorldCat Record</v>
      </c>
      <c r="AX5259" s="3" t="s">
        <v>50350</v>
      </c>
      <c r="AY5259" s="3" t="s">
        <v>50351</v>
      </c>
      <c r="AZ5259" s="3" t="s">
        <v>50352</v>
      </c>
      <c r="BA5259" s="3" t="s">
        <v>50352</v>
      </c>
      <c r="BB5259" s="3" t="s">
        <v>50353</v>
      </c>
      <c r="BC5259" s="3" t="s">
        <v>142</v>
      </c>
      <c r="BD5259" s="3" t="s">
        <v>68</v>
      </c>
      <c r="BE5259" s="3" t="s">
        <v>50354</v>
      </c>
      <c r="BF5259" s="3" t="s">
        <v>50353</v>
      </c>
      <c r="BG5259" s="3" t="s">
        <v>50355</v>
      </c>
    </row>
    <row r="5260" spans="1:59" ht="99.75" x14ac:dyDescent="0.45">
      <c r="A5260" s="2" t="s">
        <v>59</v>
      </c>
      <c r="B5260" s="2" t="s">
        <v>60</v>
      </c>
      <c r="C5260" s="2" t="s">
        <v>50343</v>
      </c>
      <c r="D5260" s="2" t="s">
        <v>50344</v>
      </c>
      <c r="E5260" s="2" t="s">
        <v>50345</v>
      </c>
      <c r="G5260" s="3" t="s">
        <v>62</v>
      </c>
      <c r="I5260" s="3" t="s">
        <v>61</v>
      </c>
      <c r="J5260" s="3" t="s">
        <v>62</v>
      </c>
      <c r="K5260" s="3" t="s">
        <v>63</v>
      </c>
      <c r="L5260" s="2" t="s">
        <v>50346</v>
      </c>
      <c r="M5260" s="2" t="s">
        <v>50347</v>
      </c>
      <c r="N5260" s="3" t="s">
        <v>833</v>
      </c>
      <c r="O5260" s="2" t="s">
        <v>50348</v>
      </c>
      <c r="P5260" s="3" t="s">
        <v>65</v>
      </c>
      <c r="Q5260" s="2" t="s">
        <v>50349</v>
      </c>
      <c r="R5260" s="3" t="s">
        <v>66</v>
      </c>
      <c r="S5260" s="4">
        <v>6</v>
      </c>
      <c r="T5260" s="4">
        <v>20</v>
      </c>
      <c r="U5260" s="5" t="s">
        <v>50356</v>
      </c>
      <c r="V5260" s="5" t="s">
        <v>1381</v>
      </c>
      <c r="W5260" s="5" t="s">
        <v>67</v>
      </c>
      <c r="X5260" s="5" t="s">
        <v>67</v>
      </c>
      <c r="Y5260" s="4">
        <v>593</v>
      </c>
      <c r="Z5260" s="4">
        <v>22</v>
      </c>
      <c r="AA5260" s="4">
        <v>44</v>
      </c>
      <c r="AB5260" s="4">
        <v>1</v>
      </c>
      <c r="AC5260" s="4">
        <v>6</v>
      </c>
      <c r="AD5260" s="4">
        <v>98</v>
      </c>
      <c r="AE5260" s="4">
        <v>133</v>
      </c>
      <c r="AF5260" s="4">
        <v>0</v>
      </c>
      <c r="AG5260" s="4">
        <v>5</v>
      </c>
      <c r="AH5260" s="4">
        <v>83</v>
      </c>
      <c r="AI5260" s="4">
        <v>108</v>
      </c>
      <c r="AJ5260" s="4">
        <v>8</v>
      </c>
      <c r="AK5260" s="4">
        <v>21</v>
      </c>
      <c r="AL5260" s="4">
        <v>47</v>
      </c>
      <c r="AM5260" s="4">
        <v>58</v>
      </c>
      <c r="AN5260" s="4">
        <v>0</v>
      </c>
      <c r="AO5260" s="4">
        <v>2</v>
      </c>
      <c r="AP5260" s="4">
        <v>17</v>
      </c>
      <c r="AQ5260" s="4">
        <v>32</v>
      </c>
      <c r="AR5260" s="3" t="s">
        <v>62</v>
      </c>
      <c r="AS5260" s="3" t="s">
        <v>62</v>
      </c>
      <c r="AT5260" s="3" t="s">
        <v>61</v>
      </c>
      <c r="AU5260" s="6" t="str">
        <f>HYPERLINK("http://catalog.hathitrust.org/Record/001181113","HathiTrust Record")</f>
        <v>HathiTrust Record</v>
      </c>
      <c r="AV5260" s="6" t="str">
        <f>HYPERLINK("http://mcgill.on.worldcat.org/oclc/312689","Catalog Record")</f>
        <v>Catalog Record</v>
      </c>
      <c r="AW5260" s="6" t="str">
        <f>HYPERLINK("http://www.worldcat.org/oclc/312689","WorldCat Record")</f>
        <v>WorldCat Record</v>
      </c>
      <c r="AX5260" s="3" t="s">
        <v>50350</v>
      </c>
      <c r="AY5260" s="3" t="s">
        <v>50351</v>
      </c>
      <c r="AZ5260" s="3" t="s">
        <v>50352</v>
      </c>
      <c r="BA5260" s="3" t="s">
        <v>50352</v>
      </c>
      <c r="BB5260" s="3" t="s">
        <v>50357</v>
      </c>
      <c r="BC5260" s="3" t="s">
        <v>142</v>
      </c>
      <c r="BD5260" s="3" t="s">
        <v>68</v>
      </c>
      <c r="BE5260" s="3" t="s">
        <v>50354</v>
      </c>
      <c r="BF5260" s="3" t="s">
        <v>50357</v>
      </c>
      <c r="BG5260" s="3" t="s">
        <v>50358</v>
      </c>
    </row>
    <row r="5261" spans="1:59" ht="99.75" x14ac:dyDescent="0.45">
      <c r="A5261" s="2" t="s">
        <v>59</v>
      </c>
      <c r="B5261" s="2" t="s">
        <v>60</v>
      </c>
      <c r="C5261" s="2" t="s">
        <v>50343</v>
      </c>
      <c r="D5261" s="2" t="s">
        <v>50344</v>
      </c>
      <c r="E5261" s="2" t="s">
        <v>50345</v>
      </c>
      <c r="G5261" s="3" t="s">
        <v>62</v>
      </c>
      <c r="I5261" s="3" t="s">
        <v>61</v>
      </c>
      <c r="J5261" s="3" t="s">
        <v>62</v>
      </c>
      <c r="K5261" s="3" t="s">
        <v>63</v>
      </c>
      <c r="L5261" s="2" t="s">
        <v>50346</v>
      </c>
      <c r="M5261" s="2" t="s">
        <v>50347</v>
      </c>
      <c r="N5261" s="3" t="s">
        <v>833</v>
      </c>
      <c r="O5261" s="2" t="s">
        <v>50348</v>
      </c>
      <c r="P5261" s="3" t="s">
        <v>65</v>
      </c>
      <c r="Q5261" s="2" t="s">
        <v>50349</v>
      </c>
      <c r="R5261" s="3" t="s">
        <v>66</v>
      </c>
      <c r="S5261" s="4">
        <v>9</v>
      </c>
      <c r="T5261" s="4">
        <v>20</v>
      </c>
      <c r="U5261" s="5" t="s">
        <v>17507</v>
      </c>
      <c r="V5261" s="5" t="s">
        <v>1381</v>
      </c>
      <c r="W5261" s="5" t="s">
        <v>67</v>
      </c>
      <c r="X5261" s="5" t="s">
        <v>67</v>
      </c>
      <c r="Y5261" s="4">
        <v>593</v>
      </c>
      <c r="Z5261" s="4">
        <v>22</v>
      </c>
      <c r="AA5261" s="4">
        <v>44</v>
      </c>
      <c r="AB5261" s="4">
        <v>1</v>
      </c>
      <c r="AC5261" s="4">
        <v>6</v>
      </c>
      <c r="AD5261" s="4">
        <v>98</v>
      </c>
      <c r="AE5261" s="4">
        <v>133</v>
      </c>
      <c r="AF5261" s="4">
        <v>0</v>
      </c>
      <c r="AG5261" s="4">
        <v>5</v>
      </c>
      <c r="AH5261" s="4">
        <v>83</v>
      </c>
      <c r="AI5261" s="4">
        <v>108</v>
      </c>
      <c r="AJ5261" s="4">
        <v>8</v>
      </c>
      <c r="AK5261" s="4">
        <v>21</v>
      </c>
      <c r="AL5261" s="4">
        <v>47</v>
      </c>
      <c r="AM5261" s="4">
        <v>58</v>
      </c>
      <c r="AN5261" s="4">
        <v>0</v>
      </c>
      <c r="AO5261" s="4">
        <v>2</v>
      </c>
      <c r="AP5261" s="4">
        <v>17</v>
      </c>
      <c r="AQ5261" s="4">
        <v>32</v>
      </c>
      <c r="AR5261" s="3" t="s">
        <v>62</v>
      </c>
      <c r="AS5261" s="3" t="s">
        <v>62</v>
      </c>
      <c r="AT5261" s="3" t="s">
        <v>61</v>
      </c>
      <c r="AU5261" s="6" t="str">
        <f>HYPERLINK("http://catalog.hathitrust.org/Record/001181113","HathiTrust Record")</f>
        <v>HathiTrust Record</v>
      </c>
      <c r="AV5261" s="6" t="str">
        <f>HYPERLINK("http://mcgill.on.worldcat.org/oclc/312689","Catalog Record")</f>
        <v>Catalog Record</v>
      </c>
      <c r="AW5261" s="6" t="str">
        <f>HYPERLINK("http://www.worldcat.org/oclc/312689","WorldCat Record")</f>
        <v>WorldCat Record</v>
      </c>
      <c r="AX5261" s="3" t="s">
        <v>50350</v>
      </c>
      <c r="AY5261" s="3" t="s">
        <v>50351</v>
      </c>
      <c r="AZ5261" s="3" t="s">
        <v>50352</v>
      </c>
      <c r="BA5261" s="3" t="s">
        <v>50352</v>
      </c>
      <c r="BB5261" s="3" t="s">
        <v>50359</v>
      </c>
      <c r="BC5261" s="3" t="s">
        <v>142</v>
      </c>
      <c r="BD5261" s="3" t="s">
        <v>68</v>
      </c>
      <c r="BE5261" s="3" t="s">
        <v>50354</v>
      </c>
      <c r="BF5261" s="3" t="s">
        <v>50359</v>
      </c>
      <c r="BG5261" s="3" t="s">
        <v>50360</v>
      </c>
    </row>
    <row r="5262" spans="1:59" ht="57" x14ac:dyDescent="0.45">
      <c r="A5262" s="2" t="s">
        <v>59</v>
      </c>
      <c r="B5262" s="2" t="s">
        <v>60</v>
      </c>
      <c r="C5262" s="2" t="s">
        <v>50361</v>
      </c>
      <c r="D5262" s="2" t="s">
        <v>50362</v>
      </c>
      <c r="E5262" s="2" t="s">
        <v>50363</v>
      </c>
      <c r="G5262" s="3" t="s">
        <v>62</v>
      </c>
      <c r="I5262" s="3" t="s">
        <v>62</v>
      </c>
      <c r="J5262" s="3" t="s">
        <v>62</v>
      </c>
      <c r="K5262" s="3" t="s">
        <v>63</v>
      </c>
      <c r="M5262" s="2" t="s">
        <v>4509</v>
      </c>
      <c r="N5262" s="3" t="s">
        <v>1465</v>
      </c>
      <c r="P5262" s="3" t="s">
        <v>65</v>
      </c>
      <c r="Q5262" s="2" t="s">
        <v>3949</v>
      </c>
      <c r="R5262" s="3" t="s">
        <v>66</v>
      </c>
      <c r="S5262" s="4">
        <v>7</v>
      </c>
      <c r="T5262" s="4">
        <v>7</v>
      </c>
      <c r="U5262" s="5" t="s">
        <v>19395</v>
      </c>
      <c r="V5262" s="5" t="s">
        <v>19395</v>
      </c>
      <c r="W5262" s="5" t="s">
        <v>67</v>
      </c>
      <c r="X5262" s="5" t="s">
        <v>67</v>
      </c>
      <c r="Y5262" s="4">
        <v>177</v>
      </c>
      <c r="Z5262" s="4">
        <v>17</v>
      </c>
      <c r="AA5262" s="4">
        <v>21</v>
      </c>
      <c r="AB5262" s="4">
        <v>1</v>
      </c>
      <c r="AC5262" s="4">
        <v>3</v>
      </c>
      <c r="AD5262" s="4">
        <v>65</v>
      </c>
      <c r="AE5262" s="4">
        <v>72</v>
      </c>
      <c r="AF5262" s="4">
        <v>0</v>
      </c>
      <c r="AG5262" s="4">
        <v>2</v>
      </c>
      <c r="AH5262" s="4">
        <v>58</v>
      </c>
      <c r="AI5262" s="4">
        <v>63</v>
      </c>
      <c r="AJ5262" s="4">
        <v>14</v>
      </c>
      <c r="AK5262" s="4">
        <v>17</v>
      </c>
      <c r="AL5262" s="4">
        <v>36</v>
      </c>
      <c r="AM5262" s="4">
        <v>40</v>
      </c>
      <c r="AN5262" s="4">
        <v>0</v>
      </c>
      <c r="AO5262" s="4">
        <v>0</v>
      </c>
      <c r="AP5262" s="4">
        <v>15</v>
      </c>
      <c r="AQ5262" s="4">
        <v>17</v>
      </c>
      <c r="AR5262" s="3" t="s">
        <v>62</v>
      </c>
      <c r="AS5262" s="3" t="s">
        <v>62</v>
      </c>
      <c r="AT5262" s="3" t="s">
        <v>62</v>
      </c>
      <c r="AV5262" s="6" t="str">
        <f>HYPERLINK("http://mcgill.on.worldcat.org/oclc/236333960","Catalog Record")</f>
        <v>Catalog Record</v>
      </c>
      <c r="AW5262" s="6" t="str">
        <f>HYPERLINK("http://www.worldcat.org/oclc/236333960","WorldCat Record")</f>
        <v>WorldCat Record</v>
      </c>
      <c r="AX5262" s="3" t="s">
        <v>50364</v>
      </c>
      <c r="AY5262" s="3" t="s">
        <v>50365</v>
      </c>
      <c r="AZ5262" s="3" t="s">
        <v>50366</v>
      </c>
      <c r="BA5262" s="3" t="s">
        <v>50366</v>
      </c>
      <c r="BB5262" s="3" t="s">
        <v>50367</v>
      </c>
      <c r="BC5262" s="3" t="s">
        <v>142</v>
      </c>
      <c r="BD5262" s="3" t="s">
        <v>68</v>
      </c>
      <c r="BE5262" s="3" t="s">
        <v>50368</v>
      </c>
      <c r="BF5262" s="3" t="s">
        <v>50367</v>
      </c>
      <c r="BG5262" s="3" t="s">
        <v>50369</v>
      </c>
    </row>
    <row r="5263" spans="1:59" ht="57" x14ac:dyDescent="0.45">
      <c r="A5263" s="2" t="s">
        <v>59</v>
      </c>
      <c r="B5263" s="2" t="s">
        <v>60</v>
      </c>
      <c r="C5263" s="2" t="s">
        <v>50370</v>
      </c>
      <c r="D5263" s="2" t="s">
        <v>50371</v>
      </c>
      <c r="E5263" s="2" t="s">
        <v>50372</v>
      </c>
      <c r="G5263" s="3" t="s">
        <v>62</v>
      </c>
      <c r="I5263" s="3" t="s">
        <v>62</v>
      </c>
      <c r="J5263" s="3" t="s">
        <v>62</v>
      </c>
      <c r="K5263" s="3" t="s">
        <v>63</v>
      </c>
      <c r="M5263" s="2" t="s">
        <v>43820</v>
      </c>
      <c r="N5263" s="3" t="s">
        <v>1688</v>
      </c>
      <c r="O5263" s="2" t="s">
        <v>1748</v>
      </c>
      <c r="P5263" s="3" t="s">
        <v>65</v>
      </c>
      <c r="Q5263" s="2" t="s">
        <v>50373</v>
      </c>
      <c r="R5263" s="3" t="s">
        <v>66</v>
      </c>
      <c r="S5263" s="4">
        <v>2</v>
      </c>
      <c r="T5263" s="4">
        <v>2</v>
      </c>
      <c r="U5263" s="5" t="s">
        <v>48075</v>
      </c>
      <c r="V5263" s="5" t="s">
        <v>48075</v>
      </c>
      <c r="W5263" s="5" t="s">
        <v>67</v>
      </c>
      <c r="X5263" s="5" t="s">
        <v>67</v>
      </c>
      <c r="Y5263" s="4">
        <v>113</v>
      </c>
      <c r="Z5263" s="4">
        <v>13</v>
      </c>
      <c r="AA5263" s="4">
        <v>20</v>
      </c>
      <c r="AB5263" s="4">
        <v>2</v>
      </c>
      <c r="AC5263" s="4">
        <v>3</v>
      </c>
      <c r="AD5263" s="4">
        <v>50</v>
      </c>
      <c r="AE5263" s="4">
        <v>65</v>
      </c>
      <c r="AF5263" s="4">
        <v>1</v>
      </c>
      <c r="AG5263" s="4">
        <v>2</v>
      </c>
      <c r="AH5263" s="4">
        <v>44</v>
      </c>
      <c r="AI5263" s="4">
        <v>57</v>
      </c>
      <c r="AJ5263" s="4">
        <v>10</v>
      </c>
      <c r="AK5263" s="4">
        <v>15</v>
      </c>
      <c r="AL5263" s="4">
        <v>29</v>
      </c>
      <c r="AM5263" s="4">
        <v>37</v>
      </c>
      <c r="AN5263" s="4">
        <v>0</v>
      </c>
      <c r="AO5263" s="4">
        <v>0</v>
      </c>
      <c r="AP5263" s="4">
        <v>10</v>
      </c>
      <c r="AQ5263" s="4">
        <v>16</v>
      </c>
      <c r="AR5263" s="3" t="s">
        <v>62</v>
      </c>
      <c r="AS5263" s="3" t="s">
        <v>62</v>
      </c>
      <c r="AT5263" s="3" t="s">
        <v>62</v>
      </c>
      <c r="AV5263" s="6" t="str">
        <f>HYPERLINK("http://mcgill.on.worldcat.org/oclc/867752995","Catalog Record")</f>
        <v>Catalog Record</v>
      </c>
      <c r="AW5263" s="6" t="str">
        <f>HYPERLINK("http://www.worldcat.org/oclc/867752995","WorldCat Record")</f>
        <v>WorldCat Record</v>
      </c>
      <c r="AX5263" s="3" t="s">
        <v>50374</v>
      </c>
      <c r="AY5263" s="3" t="s">
        <v>50375</v>
      </c>
      <c r="AZ5263" s="3" t="s">
        <v>50376</v>
      </c>
      <c r="BA5263" s="3" t="s">
        <v>50376</v>
      </c>
      <c r="BB5263" s="3" t="s">
        <v>50377</v>
      </c>
      <c r="BC5263" s="3" t="s">
        <v>142</v>
      </c>
      <c r="BD5263" s="3" t="s">
        <v>68</v>
      </c>
      <c r="BE5263" s="3" t="s">
        <v>50378</v>
      </c>
      <c r="BF5263" s="3" t="s">
        <v>50377</v>
      </c>
      <c r="BG5263" s="3" t="s">
        <v>50379</v>
      </c>
    </row>
    <row r="5264" spans="1:59" ht="57" x14ac:dyDescent="0.45">
      <c r="A5264" s="2" t="s">
        <v>59</v>
      </c>
      <c r="B5264" s="2" t="s">
        <v>60</v>
      </c>
      <c r="C5264" s="2" t="s">
        <v>50380</v>
      </c>
      <c r="D5264" s="2" t="s">
        <v>50381</v>
      </c>
      <c r="E5264" s="2" t="s">
        <v>50382</v>
      </c>
      <c r="G5264" s="3" t="s">
        <v>62</v>
      </c>
      <c r="I5264" s="3" t="s">
        <v>62</v>
      </c>
      <c r="J5264" s="3" t="s">
        <v>62</v>
      </c>
      <c r="K5264" s="3" t="s">
        <v>63</v>
      </c>
      <c r="M5264" s="2" t="s">
        <v>42593</v>
      </c>
      <c r="N5264" s="3" t="s">
        <v>1059</v>
      </c>
      <c r="P5264" s="3" t="s">
        <v>65</v>
      </c>
      <c r="Q5264" s="2" t="s">
        <v>21253</v>
      </c>
      <c r="R5264" s="3" t="s">
        <v>66</v>
      </c>
      <c r="S5264" s="4">
        <v>7</v>
      </c>
      <c r="T5264" s="4">
        <v>7</v>
      </c>
      <c r="U5264" s="5" t="s">
        <v>2084</v>
      </c>
      <c r="V5264" s="5" t="s">
        <v>2084</v>
      </c>
      <c r="W5264" s="5" t="s">
        <v>67</v>
      </c>
      <c r="X5264" s="5" t="s">
        <v>67</v>
      </c>
      <c r="Y5264" s="4">
        <v>186</v>
      </c>
      <c r="Z5264" s="4">
        <v>14</v>
      </c>
      <c r="AA5264" s="4">
        <v>108</v>
      </c>
      <c r="AB5264" s="4">
        <v>2</v>
      </c>
      <c r="AC5264" s="4">
        <v>23</v>
      </c>
      <c r="AD5264" s="4">
        <v>83</v>
      </c>
      <c r="AE5264" s="4">
        <v>142</v>
      </c>
      <c r="AF5264" s="4">
        <v>1</v>
      </c>
      <c r="AG5264" s="4">
        <v>9</v>
      </c>
      <c r="AH5264" s="4">
        <v>74</v>
      </c>
      <c r="AI5264" s="4">
        <v>93</v>
      </c>
      <c r="AJ5264" s="4">
        <v>11</v>
      </c>
      <c r="AK5264" s="4">
        <v>27</v>
      </c>
      <c r="AL5264" s="4">
        <v>51</v>
      </c>
      <c r="AM5264" s="4">
        <v>55</v>
      </c>
      <c r="AN5264" s="4">
        <v>0</v>
      </c>
      <c r="AO5264" s="4">
        <v>0</v>
      </c>
      <c r="AP5264" s="4">
        <v>11</v>
      </c>
      <c r="AQ5264" s="4">
        <v>54</v>
      </c>
      <c r="AR5264" s="3" t="s">
        <v>62</v>
      </c>
      <c r="AS5264" s="3" t="s">
        <v>62</v>
      </c>
      <c r="AT5264" s="3" t="s">
        <v>62</v>
      </c>
      <c r="AV5264" s="6" t="str">
        <f>HYPERLINK("http://mcgill.on.worldcat.org/oclc/60796201","Catalog Record")</f>
        <v>Catalog Record</v>
      </c>
      <c r="AW5264" s="6" t="str">
        <f>HYPERLINK("http://www.worldcat.org/oclc/60796201","WorldCat Record")</f>
        <v>WorldCat Record</v>
      </c>
      <c r="AX5264" s="3" t="s">
        <v>50383</v>
      </c>
      <c r="AY5264" s="3" t="s">
        <v>50384</v>
      </c>
      <c r="AZ5264" s="3" t="s">
        <v>50385</v>
      </c>
      <c r="BA5264" s="3" t="s">
        <v>50385</v>
      </c>
      <c r="BB5264" s="3" t="s">
        <v>50386</v>
      </c>
      <c r="BC5264" s="3" t="s">
        <v>142</v>
      </c>
      <c r="BD5264" s="3" t="s">
        <v>68</v>
      </c>
      <c r="BE5264" s="3" t="s">
        <v>50387</v>
      </c>
      <c r="BF5264" s="3" t="s">
        <v>50386</v>
      </c>
      <c r="BG5264" s="3" t="s">
        <v>50388</v>
      </c>
    </row>
    <row r="5265" spans="1:59" ht="57" x14ac:dyDescent="0.45">
      <c r="A5265" s="2" t="s">
        <v>59</v>
      </c>
      <c r="B5265" s="2" t="s">
        <v>60</v>
      </c>
      <c r="C5265" s="2" t="s">
        <v>50389</v>
      </c>
      <c r="D5265" s="2" t="s">
        <v>50390</v>
      </c>
      <c r="E5265" s="2" t="s">
        <v>50391</v>
      </c>
      <c r="G5265" s="3" t="s">
        <v>62</v>
      </c>
      <c r="I5265" s="3" t="s">
        <v>62</v>
      </c>
      <c r="J5265" s="3" t="s">
        <v>62</v>
      </c>
      <c r="K5265" s="3" t="s">
        <v>63</v>
      </c>
      <c r="L5265" s="2" t="s">
        <v>50392</v>
      </c>
      <c r="M5265" s="2" t="s">
        <v>1713</v>
      </c>
      <c r="N5265" s="3" t="s">
        <v>1155</v>
      </c>
      <c r="P5265" s="3" t="s">
        <v>65</v>
      </c>
      <c r="R5265" s="3" t="s">
        <v>66</v>
      </c>
      <c r="S5265" s="4">
        <v>2</v>
      </c>
      <c r="T5265" s="4">
        <v>2</v>
      </c>
      <c r="U5265" s="5" t="s">
        <v>50393</v>
      </c>
      <c r="V5265" s="5" t="s">
        <v>50393</v>
      </c>
      <c r="W5265" s="5" t="s">
        <v>67</v>
      </c>
      <c r="X5265" s="5" t="s">
        <v>67</v>
      </c>
      <c r="Y5265" s="4">
        <v>122</v>
      </c>
      <c r="Z5265" s="4">
        <v>16</v>
      </c>
      <c r="AA5265" s="4">
        <v>101</v>
      </c>
      <c r="AB5265" s="4">
        <v>1</v>
      </c>
      <c r="AC5265" s="4">
        <v>14</v>
      </c>
      <c r="AD5265" s="4">
        <v>57</v>
      </c>
      <c r="AE5265" s="4">
        <v>116</v>
      </c>
      <c r="AF5265" s="4">
        <v>0</v>
      </c>
      <c r="AG5265" s="4">
        <v>8</v>
      </c>
      <c r="AH5265" s="4">
        <v>51</v>
      </c>
      <c r="AI5265" s="4">
        <v>81</v>
      </c>
      <c r="AJ5265" s="4">
        <v>11</v>
      </c>
      <c r="AK5265" s="4">
        <v>23</v>
      </c>
      <c r="AL5265" s="4">
        <v>32</v>
      </c>
      <c r="AM5265" s="4">
        <v>43</v>
      </c>
      <c r="AN5265" s="4">
        <v>0</v>
      </c>
      <c r="AO5265" s="4">
        <v>0</v>
      </c>
      <c r="AP5265" s="4">
        <v>12</v>
      </c>
      <c r="AQ5265" s="4">
        <v>44</v>
      </c>
      <c r="AR5265" s="3" t="s">
        <v>62</v>
      </c>
      <c r="AS5265" s="3" t="s">
        <v>62</v>
      </c>
      <c r="AT5265" s="3" t="s">
        <v>62</v>
      </c>
      <c r="AV5265" s="6" t="str">
        <f>HYPERLINK("http://mcgill.on.worldcat.org/oclc/793896068","Catalog Record")</f>
        <v>Catalog Record</v>
      </c>
      <c r="AW5265" s="6" t="str">
        <f>HYPERLINK("http://www.worldcat.org/oclc/793896068","WorldCat Record")</f>
        <v>WorldCat Record</v>
      </c>
      <c r="AX5265" s="3" t="s">
        <v>50394</v>
      </c>
      <c r="AY5265" s="3" t="s">
        <v>50395</v>
      </c>
      <c r="AZ5265" s="3" t="s">
        <v>50396</v>
      </c>
      <c r="BA5265" s="3" t="s">
        <v>50396</v>
      </c>
      <c r="BB5265" s="3" t="s">
        <v>50397</v>
      </c>
      <c r="BC5265" s="3" t="s">
        <v>142</v>
      </c>
      <c r="BD5265" s="3" t="s">
        <v>68</v>
      </c>
      <c r="BE5265" s="3" t="s">
        <v>50398</v>
      </c>
      <c r="BF5265" s="3" t="s">
        <v>50397</v>
      </c>
      <c r="BG5265" s="3" t="s">
        <v>50399</v>
      </c>
    </row>
    <row r="5266" spans="1:59" ht="57" x14ac:dyDescent="0.45">
      <c r="A5266" s="2" t="s">
        <v>59</v>
      </c>
      <c r="B5266" s="2" t="s">
        <v>60</v>
      </c>
      <c r="C5266" s="2" t="s">
        <v>50400</v>
      </c>
      <c r="D5266" s="2" t="s">
        <v>50401</v>
      </c>
      <c r="E5266" s="2" t="s">
        <v>50402</v>
      </c>
      <c r="G5266" s="3" t="s">
        <v>62</v>
      </c>
      <c r="I5266" s="3" t="s">
        <v>62</v>
      </c>
      <c r="J5266" s="3" t="s">
        <v>62</v>
      </c>
      <c r="K5266" s="3" t="s">
        <v>63</v>
      </c>
      <c r="M5266" s="2" t="s">
        <v>50403</v>
      </c>
      <c r="N5266" s="3" t="s">
        <v>1855</v>
      </c>
      <c r="P5266" s="3" t="s">
        <v>65</v>
      </c>
      <c r="Q5266" s="2" t="s">
        <v>50404</v>
      </c>
      <c r="R5266" s="3" t="s">
        <v>66</v>
      </c>
      <c r="S5266" s="4">
        <v>6</v>
      </c>
      <c r="T5266" s="4">
        <v>6</v>
      </c>
      <c r="U5266" s="5" t="s">
        <v>30640</v>
      </c>
      <c r="V5266" s="5" t="s">
        <v>30640</v>
      </c>
      <c r="W5266" s="5" t="s">
        <v>67</v>
      </c>
      <c r="X5266" s="5" t="s">
        <v>67</v>
      </c>
      <c r="Y5266" s="4">
        <v>112</v>
      </c>
      <c r="Z5266" s="4">
        <v>11</v>
      </c>
      <c r="AA5266" s="4">
        <v>14</v>
      </c>
      <c r="AB5266" s="4">
        <v>1</v>
      </c>
      <c r="AC5266" s="4">
        <v>4</v>
      </c>
      <c r="AD5266" s="4">
        <v>51</v>
      </c>
      <c r="AE5266" s="4">
        <v>53</v>
      </c>
      <c r="AF5266" s="4">
        <v>0</v>
      </c>
      <c r="AG5266" s="4">
        <v>2</v>
      </c>
      <c r="AH5266" s="4">
        <v>48</v>
      </c>
      <c r="AI5266" s="4">
        <v>49</v>
      </c>
      <c r="AJ5266" s="4">
        <v>9</v>
      </c>
      <c r="AK5266" s="4">
        <v>11</v>
      </c>
      <c r="AL5266" s="4">
        <v>33</v>
      </c>
      <c r="AM5266" s="4">
        <v>33</v>
      </c>
      <c r="AN5266" s="4">
        <v>0</v>
      </c>
      <c r="AO5266" s="4">
        <v>0</v>
      </c>
      <c r="AP5266" s="4">
        <v>9</v>
      </c>
      <c r="AQ5266" s="4">
        <v>10</v>
      </c>
      <c r="AR5266" s="3" t="s">
        <v>62</v>
      </c>
      <c r="AS5266" s="3" t="s">
        <v>62</v>
      </c>
      <c r="AT5266" s="3" t="s">
        <v>61</v>
      </c>
      <c r="AU5266" s="6" t="str">
        <f>HYPERLINK("http://catalog.hathitrust.org/Record/004960215","HathiTrust Record")</f>
        <v>HathiTrust Record</v>
      </c>
      <c r="AV5266" s="6" t="str">
        <f>HYPERLINK("http://mcgill.on.worldcat.org/oclc/57557535","Catalog Record")</f>
        <v>Catalog Record</v>
      </c>
      <c r="AW5266" s="6" t="str">
        <f>HYPERLINK("http://www.worldcat.org/oclc/57557535","WorldCat Record")</f>
        <v>WorldCat Record</v>
      </c>
      <c r="AX5266" s="3" t="s">
        <v>50405</v>
      </c>
      <c r="AY5266" s="3" t="s">
        <v>50406</v>
      </c>
      <c r="AZ5266" s="3" t="s">
        <v>50407</v>
      </c>
      <c r="BA5266" s="3" t="s">
        <v>50407</v>
      </c>
      <c r="BB5266" s="3" t="s">
        <v>50408</v>
      </c>
      <c r="BC5266" s="3" t="s">
        <v>142</v>
      </c>
      <c r="BD5266" s="3" t="s">
        <v>68</v>
      </c>
      <c r="BE5266" s="3" t="s">
        <v>50409</v>
      </c>
      <c r="BF5266" s="3" t="s">
        <v>50408</v>
      </c>
      <c r="BG5266" s="3" t="s">
        <v>50410</v>
      </c>
    </row>
    <row r="5267" spans="1:59" ht="57" x14ac:dyDescent="0.45">
      <c r="A5267" s="2" t="s">
        <v>59</v>
      </c>
      <c r="B5267" s="2" t="s">
        <v>60</v>
      </c>
      <c r="C5267" s="2" t="s">
        <v>50411</v>
      </c>
      <c r="D5267" s="2" t="s">
        <v>50412</v>
      </c>
      <c r="E5267" s="2" t="s">
        <v>50413</v>
      </c>
      <c r="G5267" s="3" t="s">
        <v>62</v>
      </c>
      <c r="I5267" s="3" t="s">
        <v>62</v>
      </c>
      <c r="J5267" s="3" t="s">
        <v>62</v>
      </c>
      <c r="K5267" s="3" t="s">
        <v>63</v>
      </c>
      <c r="L5267" s="2" t="s">
        <v>50414</v>
      </c>
      <c r="M5267" s="2" t="s">
        <v>50415</v>
      </c>
      <c r="N5267" s="3" t="s">
        <v>1155</v>
      </c>
      <c r="P5267" s="3" t="s">
        <v>65</v>
      </c>
      <c r="Q5267" s="2" t="s">
        <v>50416</v>
      </c>
      <c r="R5267" s="3" t="s">
        <v>66</v>
      </c>
      <c r="S5267" s="4">
        <v>2</v>
      </c>
      <c r="T5267" s="4">
        <v>2</v>
      </c>
      <c r="U5267" s="5" t="s">
        <v>50156</v>
      </c>
      <c r="V5267" s="5" t="s">
        <v>50156</v>
      </c>
      <c r="W5267" s="5" t="s">
        <v>67</v>
      </c>
      <c r="X5267" s="5" t="s">
        <v>67</v>
      </c>
      <c r="Y5267" s="4">
        <v>60</v>
      </c>
      <c r="Z5267" s="4">
        <v>6</v>
      </c>
      <c r="AA5267" s="4">
        <v>80</v>
      </c>
      <c r="AB5267" s="4">
        <v>1</v>
      </c>
      <c r="AC5267" s="4">
        <v>14</v>
      </c>
      <c r="AD5267" s="4">
        <v>32</v>
      </c>
      <c r="AE5267" s="4">
        <v>115</v>
      </c>
      <c r="AF5267" s="4">
        <v>0</v>
      </c>
      <c r="AG5267" s="4">
        <v>8</v>
      </c>
      <c r="AH5267" s="4">
        <v>30</v>
      </c>
      <c r="AI5267" s="4">
        <v>80</v>
      </c>
      <c r="AJ5267" s="4">
        <v>4</v>
      </c>
      <c r="AK5267" s="4">
        <v>22</v>
      </c>
      <c r="AL5267" s="4">
        <v>22</v>
      </c>
      <c r="AM5267" s="4">
        <v>43</v>
      </c>
      <c r="AN5267" s="4">
        <v>0</v>
      </c>
      <c r="AO5267" s="4">
        <v>0</v>
      </c>
      <c r="AP5267" s="4">
        <v>4</v>
      </c>
      <c r="AQ5267" s="4">
        <v>43</v>
      </c>
      <c r="AR5267" s="3" t="s">
        <v>62</v>
      </c>
      <c r="AS5267" s="3" t="s">
        <v>62</v>
      </c>
      <c r="AT5267" s="3" t="s">
        <v>62</v>
      </c>
      <c r="AV5267" s="6" t="str">
        <f>HYPERLINK("http://mcgill.on.worldcat.org/oclc/820786221","Catalog Record")</f>
        <v>Catalog Record</v>
      </c>
      <c r="AW5267" s="6" t="str">
        <f>HYPERLINK("http://www.worldcat.org/oclc/820786221","WorldCat Record")</f>
        <v>WorldCat Record</v>
      </c>
      <c r="AX5267" s="3" t="s">
        <v>50417</v>
      </c>
      <c r="AY5267" s="3" t="s">
        <v>50418</v>
      </c>
      <c r="AZ5267" s="3" t="s">
        <v>50419</v>
      </c>
      <c r="BA5267" s="3" t="s">
        <v>50419</v>
      </c>
      <c r="BB5267" s="3" t="s">
        <v>50420</v>
      </c>
      <c r="BC5267" s="3" t="s">
        <v>142</v>
      </c>
      <c r="BD5267" s="3" t="s">
        <v>68</v>
      </c>
      <c r="BE5267" s="3" t="s">
        <v>50421</v>
      </c>
      <c r="BF5267" s="3" t="s">
        <v>50420</v>
      </c>
      <c r="BG5267" s="3" t="s">
        <v>50422</v>
      </c>
    </row>
    <row r="5268" spans="1:59" ht="57" x14ac:dyDescent="0.45">
      <c r="A5268" s="2" t="s">
        <v>59</v>
      </c>
      <c r="B5268" s="2" t="s">
        <v>60</v>
      </c>
      <c r="C5268" s="2" t="s">
        <v>50423</v>
      </c>
      <c r="D5268" s="2" t="s">
        <v>50424</v>
      </c>
      <c r="E5268" s="2" t="s">
        <v>50425</v>
      </c>
      <c r="G5268" s="3" t="s">
        <v>62</v>
      </c>
      <c r="I5268" s="3" t="s">
        <v>62</v>
      </c>
      <c r="J5268" s="3" t="s">
        <v>62</v>
      </c>
      <c r="K5268" s="3" t="s">
        <v>63</v>
      </c>
      <c r="M5268" s="2" t="s">
        <v>50426</v>
      </c>
      <c r="N5268" s="3" t="s">
        <v>181</v>
      </c>
      <c r="P5268" s="3" t="s">
        <v>65</v>
      </c>
      <c r="Q5268" s="2" t="s">
        <v>50427</v>
      </c>
      <c r="R5268" s="3" t="s">
        <v>66</v>
      </c>
      <c r="S5268" s="4">
        <v>0</v>
      </c>
      <c r="T5268" s="4">
        <v>0</v>
      </c>
      <c r="W5268" s="5" t="s">
        <v>67</v>
      </c>
      <c r="X5268" s="5" t="s">
        <v>67</v>
      </c>
      <c r="Y5268" s="4">
        <v>64</v>
      </c>
      <c r="Z5268" s="4">
        <v>7</v>
      </c>
      <c r="AA5268" s="4">
        <v>100</v>
      </c>
      <c r="AB5268" s="4">
        <v>1</v>
      </c>
      <c r="AC5268" s="4">
        <v>14</v>
      </c>
      <c r="AD5268" s="4">
        <v>31</v>
      </c>
      <c r="AE5268" s="4">
        <v>113</v>
      </c>
      <c r="AF5268" s="4">
        <v>0</v>
      </c>
      <c r="AG5268" s="4">
        <v>8</v>
      </c>
      <c r="AH5268" s="4">
        <v>30</v>
      </c>
      <c r="AI5268" s="4">
        <v>77</v>
      </c>
      <c r="AJ5268" s="4">
        <v>4</v>
      </c>
      <c r="AK5268" s="4">
        <v>21</v>
      </c>
      <c r="AL5268" s="4">
        <v>19</v>
      </c>
      <c r="AM5268" s="4">
        <v>41</v>
      </c>
      <c r="AN5268" s="4">
        <v>0</v>
      </c>
      <c r="AO5268" s="4">
        <v>0</v>
      </c>
      <c r="AP5268" s="4">
        <v>4</v>
      </c>
      <c r="AQ5268" s="4">
        <v>42</v>
      </c>
      <c r="AR5268" s="3" t="s">
        <v>62</v>
      </c>
      <c r="AS5268" s="3" t="s">
        <v>62</v>
      </c>
      <c r="AT5268" s="3" t="s">
        <v>62</v>
      </c>
      <c r="AV5268" s="6" t="str">
        <f>HYPERLINK("http://mcgill.on.worldcat.org/oclc/931648692","Catalog Record")</f>
        <v>Catalog Record</v>
      </c>
      <c r="AW5268" s="6" t="str">
        <f>HYPERLINK("http://www.worldcat.org/oclc/931648692","WorldCat Record")</f>
        <v>WorldCat Record</v>
      </c>
      <c r="AX5268" s="3" t="s">
        <v>50428</v>
      </c>
      <c r="AY5268" s="3" t="s">
        <v>50429</v>
      </c>
      <c r="AZ5268" s="3" t="s">
        <v>50430</v>
      </c>
      <c r="BA5268" s="3" t="s">
        <v>50430</v>
      </c>
      <c r="BB5268" s="3" t="s">
        <v>50431</v>
      </c>
      <c r="BC5268" s="3" t="s">
        <v>142</v>
      </c>
      <c r="BD5268" s="3" t="s">
        <v>68</v>
      </c>
      <c r="BE5268" s="3" t="s">
        <v>50432</v>
      </c>
      <c r="BF5268" s="3" t="s">
        <v>50431</v>
      </c>
      <c r="BG5268" s="3" t="s">
        <v>50433</v>
      </c>
    </row>
    <row r="5269" spans="1:59" ht="57" x14ac:dyDescent="0.45">
      <c r="A5269" s="2" t="s">
        <v>59</v>
      </c>
      <c r="B5269" s="2" t="s">
        <v>60</v>
      </c>
      <c r="C5269" s="2" t="s">
        <v>50434</v>
      </c>
      <c r="D5269" s="2" t="s">
        <v>50435</v>
      </c>
      <c r="E5269" s="2" t="s">
        <v>50436</v>
      </c>
      <c r="G5269" s="3" t="s">
        <v>62</v>
      </c>
      <c r="I5269" s="3" t="s">
        <v>62</v>
      </c>
      <c r="J5269" s="3" t="s">
        <v>62</v>
      </c>
      <c r="K5269" s="3" t="s">
        <v>63</v>
      </c>
      <c r="L5269" s="2" t="s">
        <v>50437</v>
      </c>
      <c r="M5269" s="2" t="s">
        <v>50438</v>
      </c>
      <c r="N5269" s="3" t="s">
        <v>149</v>
      </c>
      <c r="P5269" s="3" t="s">
        <v>65</v>
      </c>
      <c r="Q5269" s="2" t="s">
        <v>50439</v>
      </c>
      <c r="R5269" s="3" t="s">
        <v>66</v>
      </c>
      <c r="S5269" s="4">
        <v>0</v>
      </c>
      <c r="T5269" s="4">
        <v>0</v>
      </c>
      <c r="W5269" s="5" t="s">
        <v>67</v>
      </c>
      <c r="X5269" s="5" t="s">
        <v>67</v>
      </c>
      <c r="Y5269" s="4">
        <v>60</v>
      </c>
      <c r="Z5269" s="4">
        <v>9</v>
      </c>
      <c r="AA5269" s="4">
        <v>94</v>
      </c>
      <c r="AB5269" s="4">
        <v>1</v>
      </c>
      <c r="AC5269" s="4">
        <v>17</v>
      </c>
      <c r="AD5269" s="4">
        <v>32</v>
      </c>
      <c r="AE5269" s="4">
        <v>105</v>
      </c>
      <c r="AF5269" s="4">
        <v>0</v>
      </c>
      <c r="AG5269" s="4">
        <v>8</v>
      </c>
      <c r="AH5269" s="4">
        <v>30</v>
      </c>
      <c r="AI5269" s="4">
        <v>69</v>
      </c>
      <c r="AJ5269" s="4">
        <v>7</v>
      </c>
      <c r="AK5269" s="4">
        <v>24</v>
      </c>
      <c r="AL5269" s="4">
        <v>18</v>
      </c>
      <c r="AM5269" s="4">
        <v>35</v>
      </c>
      <c r="AN5269" s="4">
        <v>0</v>
      </c>
      <c r="AO5269" s="4">
        <v>0</v>
      </c>
      <c r="AP5269" s="4">
        <v>7</v>
      </c>
      <c r="AQ5269" s="4">
        <v>45</v>
      </c>
      <c r="AR5269" s="3" t="s">
        <v>62</v>
      </c>
      <c r="AS5269" s="3" t="s">
        <v>62</v>
      </c>
      <c r="AT5269" s="3" t="s">
        <v>62</v>
      </c>
      <c r="AV5269" s="6" t="str">
        <f>HYPERLINK("http://mcgill.on.worldcat.org/oclc/659711742","Catalog Record")</f>
        <v>Catalog Record</v>
      </c>
      <c r="AW5269" s="6" t="str">
        <f>HYPERLINK("http://www.worldcat.org/oclc/659711742","WorldCat Record")</f>
        <v>WorldCat Record</v>
      </c>
      <c r="AX5269" s="3" t="s">
        <v>50440</v>
      </c>
      <c r="AY5269" s="3" t="s">
        <v>50441</v>
      </c>
      <c r="AZ5269" s="3" t="s">
        <v>50442</v>
      </c>
      <c r="BA5269" s="3" t="s">
        <v>50442</v>
      </c>
      <c r="BB5269" s="3" t="s">
        <v>50443</v>
      </c>
      <c r="BC5269" s="3" t="s">
        <v>142</v>
      </c>
      <c r="BD5269" s="3" t="s">
        <v>68</v>
      </c>
      <c r="BE5269" s="3" t="s">
        <v>50444</v>
      </c>
      <c r="BF5269" s="3" t="s">
        <v>50443</v>
      </c>
      <c r="BG5269" s="3" t="s">
        <v>50445</v>
      </c>
    </row>
    <row r="5270" spans="1:59" ht="57" x14ac:dyDescent="0.45">
      <c r="A5270" s="2" t="s">
        <v>59</v>
      </c>
      <c r="B5270" s="2" t="s">
        <v>60</v>
      </c>
      <c r="C5270" s="2" t="s">
        <v>50446</v>
      </c>
      <c r="D5270" s="2" t="s">
        <v>50447</v>
      </c>
      <c r="E5270" s="2" t="s">
        <v>50448</v>
      </c>
      <c r="G5270" s="3" t="s">
        <v>62</v>
      </c>
      <c r="I5270" s="3" t="s">
        <v>62</v>
      </c>
      <c r="J5270" s="3" t="s">
        <v>62</v>
      </c>
      <c r="K5270" s="3" t="s">
        <v>63</v>
      </c>
      <c r="L5270" s="2" t="s">
        <v>50449</v>
      </c>
      <c r="M5270" s="2" t="s">
        <v>50450</v>
      </c>
      <c r="N5270" s="3" t="s">
        <v>1688</v>
      </c>
      <c r="P5270" s="3" t="s">
        <v>65</v>
      </c>
      <c r="Q5270" s="2" t="s">
        <v>50451</v>
      </c>
      <c r="R5270" s="3" t="s">
        <v>66</v>
      </c>
      <c r="S5270" s="4">
        <v>0</v>
      </c>
      <c r="T5270" s="4">
        <v>0</v>
      </c>
      <c r="W5270" s="5" t="s">
        <v>67</v>
      </c>
      <c r="X5270" s="5" t="s">
        <v>67</v>
      </c>
      <c r="Y5270" s="4">
        <v>22</v>
      </c>
      <c r="Z5270" s="4">
        <v>2</v>
      </c>
      <c r="AA5270" s="4">
        <v>4</v>
      </c>
      <c r="AB5270" s="4">
        <v>1</v>
      </c>
      <c r="AC5270" s="4">
        <v>1</v>
      </c>
      <c r="AD5270" s="4">
        <v>15</v>
      </c>
      <c r="AE5270" s="4">
        <v>17</v>
      </c>
      <c r="AF5270" s="4">
        <v>0</v>
      </c>
      <c r="AG5270" s="4">
        <v>0</v>
      </c>
      <c r="AH5270" s="4">
        <v>14</v>
      </c>
      <c r="AI5270" s="4">
        <v>15</v>
      </c>
      <c r="AJ5270" s="4">
        <v>1</v>
      </c>
      <c r="AK5270" s="4">
        <v>3</v>
      </c>
      <c r="AL5270" s="4">
        <v>13</v>
      </c>
      <c r="AM5270" s="4">
        <v>13</v>
      </c>
      <c r="AN5270" s="4">
        <v>0</v>
      </c>
      <c r="AO5270" s="4">
        <v>0</v>
      </c>
      <c r="AP5270" s="4">
        <v>1</v>
      </c>
      <c r="AQ5270" s="4">
        <v>3</v>
      </c>
      <c r="AR5270" s="3" t="s">
        <v>62</v>
      </c>
      <c r="AS5270" s="3" t="s">
        <v>62</v>
      </c>
      <c r="AT5270" s="3" t="s">
        <v>62</v>
      </c>
      <c r="AV5270" s="6" t="str">
        <f>HYPERLINK("http://mcgill.on.worldcat.org/oclc/915839445","Catalog Record")</f>
        <v>Catalog Record</v>
      </c>
      <c r="AW5270" s="6" t="str">
        <f>HYPERLINK("http://www.worldcat.org/oclc/915839445","WorldCat Record")</f>
        <v>WorldCat Record</v>
      </c>
      <c r="AX5270" s="3" t="s">
        <v>50452</v>
      </c>
      <c r="AY5270" s="3" t="s">
        <v>50453</v>
      </c>
      <c r="AZ5270" s="3" t="s">
        <v>50454</v>
      </c>
      <c r="BA5270" s="3" t="s">
        <v>50454</v>
      </c>
      <c r="BB5270" s="3" t="s">
        <v>50455</v>
      </c>
      <c r="BC5270" s="3" t="s">
        <v>142</v>
      </c>
      <c r="BD5270" s="3" t="s">
        <v>68</v>
      </c>
      <c r="BF5270" s="3" t="s">
        <v>50455</v>
      </c>
      <c r="BG5270" s="3" t="s">
        <v>50456</v>
      </c>
    </row>
    <row r="5271" spans="1:59" ht="57" x14ac:dyDescent="0.45">
      <c r="A5271" s="2" t="s">
        <v>59</v>
      </c>
      <c r="B5271" s="2" t="s">
        <v>60</v>
      </c>
      <c r="C5271" s="2" t="s">
        <v>50457</v>
      </c>
      <c r="D5271" s="2" t="s">
        <v>50458</v>
      </c>
      <c r="E5271" s="2" t="s">
        <v>50459</v>
      </c>
      <c r="G5271" s="3" t="s">
        <v>62</v>
      </c>
      <c r="I5271" s="3" t="s">
        <v>62</v>
      </c>
      <c r="J5271" s="3" t="s">
        <v>62</v>
      </c>
      <c r="K5271" s="3" t="s">
        <v>63</v>
      </c>
      <c r="M5271" s="2" t="s">
        <v>30230</v>
      </c>
      <c r="N5271" s="3" t="s">
        <v>149</v>
      </c>
      <c r="P5271" s="3" t="s">
        <v>65</v>
      </c>
      <c r="Q5271" s="2" t="s">
        <v>50460</v>
      </c>
      <c r="R5271" s="3" t="s">
        <v>66</v>
      </c>
      <c r="S5271" s="4">
        <v>1</v>
      </c>
      <c r="T5271" s="4">
        <v>1</v>
      </c>
      <c r="U5271" s="5" t="s">
        <v>50461</v>
      </c>
      <c r="V5271" s="5" t="s">
        <v>50461</v>
      </c>
      <c r="W5271" s="5" t="s">
        <v>67</v>
      </c>
      <c r="X5271" s="5" t="s">
        <v>67</v>
      </c>
      <c r="Y5271" s="4">
        <v>60</v>
      </c>
      <c r="Z5271" s="4">
        <v>6</v>
      </c>
      <c r="AA5271" s="4">
        <v>95</v>
      </c>
      <c r="AB5271" s="4">
        <v>1</v>
      </c>
      <c r="AC5271" s="4">
        <v>17</v>
      </c>
      <c r="AD5271" s="4">
        <v>28</v>
      </c>
      <c r="AE5271" s="4">
        <v>108</v>
      </c>
      <c r="AF5271" s="4">
        <v>0</v>
      </c>
      <c r="AG5271" s="4">
        <v>8</v>
      </c>
      <c r="AH5271" s="4">
        <v>27</v>
      </c>
      <c r="AI5271" s="4">
        <v>72</v>
      </c>
      <c r="AJ5271" s="4">
        <v>5</v>
      </c>
      <c r="AK5271" s="4">
        <v>22</v>
      </c>
      <c r="AL5271" s="4">
        <v>18</v>
      </c>
      <c r="AM5271" s="4">
        <v>37</v>
      </c>
      <c r="AN5271" s="4">
        <v>0</v>
      </c>
      <c r="AO5271" s="4">
        <v>0</v>
      </c>
      <c r="AP5271" s="4">
        <v>5</v>
      </c>
      <c r="AQ5271" s="4">
        <v>43</v>
      </c>
      <c r="AR5271" s="3" t="s">
        <v>62</v>
      </c>
      <c r="AS5271" s="3" t="s">
        <v>62</v>
      </c>
      <c r="AT5271" s="3" t="s">
        <v>62</v>
      </c>
      <c r="AV5271" s="6" t="str">
        <f>HYPERLINK("http://mcgill.on.worldcat.org/oclc/648480950","Catalog Record")</f>
        <v>Catalog Record</v>
      </c>
      <c r="AW5271" s="6" t="str">
        <f>HYPERLINK("http://www.worldcat.org/oclc/648480950","WorldCat Record")</f>
        <v>WorldCat Record</v>
      </c>
      <c r="AX5271" s="3" t="s">
        <v>50462</v>
      </c>
      <c r="AY5271" s="3" t="s">
        <v>50463</v>
      </c>
      <c r="AZ5271" s="3" t="s">
        <v>50464</v>
      </c>
      <c r="BA5271" s="3" t="s">
        <v>50464</v>
      </c>
      <c r="BB5271" s="3" t="s">
        <v>50465</v>
      </c>
      <c r="BC5271" s="3" t="s">
        <v>142</v>
      </c>
      <c r="BD5271" s="3" t="s">
        <v>68</v>
      </c>
      <c r="BE5271" s="3" t="s">
        <v>50466</v>
      </c>
      <c r="BF5271" s="3" t="s">
        <v>50465</v>
      </c>
      <c r="BG5271" s="3" t="s">
        <v>50467</v>
      </c>
    </row>
    <row r="5272" spans="1:59" ht="57" x14ac:dyDescent="0.45">
      <c r="A5272" s="2" t="s">
        <v>59</v>
      </c>
      <c r="B5272" s="2" t="s">
        <v>60</v>
      </c>
      <c r="C5272" s="2" t="s">
        <v>50468</v>
      </c>
      <c r="D5272" s="2" t="s">
        <v>50469</v>
      </c>
      <c r="E5272" s="2" t="s">
        <v>50470</v>
      </c>
      <c r="G5272" s="3" t="s">
        <v>62</v>
      </c>
      <c r="I5272" s="3" t="s">
        <v>62</v>
      </c>
      <c r="J5272" s="3" t="s">
        <v>62</v>
      </c>
      <c r="K5272" s="3" t="s">
        <v>63</v>
      </c>
      <c r="M5272" s="2" t="s">
        <v>1917</v>
      </c>
      <c r="N5272" s="3" t="s">
        <v>1918</v>
      </c>
      <c r="P5272" s="3" t="s">
        <v>65</v>
      </c>
      <c r="Q5272" s="2" t="s">
        <v>50471</v>
      </c>
      <c r="R5272" s="3" t="s">
        <v>66</v>
      </c>
      <c r="S5272" s="4">
        <v>0</v>
      </c>
      <c r="T5272" s="4">
        <v>0</v>
      </c>
      <c r="W5272" s="5" t="s">
        <v>67</v>
      </c>
      <c r="X5272" s="5" t="s">
        <v>67</v>
      </c>
      <c r="Y5272" s="4">
        <v>40</v>
      </c>
      <c r="Z5272" s="4">
        <v>1</v>
      </c>
      <c r="AA5272" s="4">
        <v>77</v>
      </c>
      <c r="AB5272" s="4">
        <v>1</v>
      </c>
      <c r="AC5272" s="4">
        <v>14</v>
      </c>
      <c r="AD5272" s="4">
        <v>23</v>
      </c>
      <c r="AE5272" s="4">
        <v>103</v>
      </c>
      <c r="AF5272" s="4">
        <v>0</v>
      </c>
      <c r="AG5272" s="4">
        <v>8</v>
      </c>
      <c r="AH5272" s="4">
        <v>22</v>
      </c>
      <c r="AI5272" s="4">
        <v>70</v>
      </c>
      <c r="AJ5272" s="4">
        <v>0</v>
      </c>
      <c r="AK5272" s="4">
        <v>19</v>
      </c>
      <c r="AL5272" s="4">
        <v>19</v>
      </c>
      <c r="AM5272" s="4">
        <v>38</v>
      </c>
      <c r="AN5272" s="4">
        <v>0</v>
      </c>
      <c r="AO5272" s="4">
        <v>0</v>
      </c>
      <c r="AP5272" s="4">
        <v>0</v>
      </c>
      <c r="AQ5272" s="4">
        <v>38</v>
      </c>
      <c r="AR5272" s="3" t="s">
        <v>62</v>
      </c>
      <c r="AS5272" s="3" t="s">
        <v>62</v>
      </c>
      <c r="AT5272" s="3" t="s">
        <v>62</v>
      </c>
      <c r="AV5272" s="6" t="str">
        <f>HYPERLINK("http://mcgill.on.worldcat.org/oclc/1001807213","Catalog Record")</f>
        <v>Catalog Record</v>
      </c>
      <c r="AW5272" s="6" t="str">
        <f>HYPERLINK("http://www.worldcat.org/oclc/1001807213","WorldCat Record")</f>
        <v>WorldCat Record</v>
      </c>
      <c r="AX5272" s="3" t="s">
        <v>50472</v>
      </c>
      <c r="AY5272" s="3" t="s">
        <v>50473</v>
      </c>
      <c r="AZ5272" s="3" t="s">
        <v>50474</v>
      </c>
      <c r="BA5272" s="3" t="s">
        <v>50474</v>
      </c>
      <c r="BB5272" s="3" t="s">
        <v>50475</v>
      </c>
      <c r="BC5272" s="3" t="s">
        <v>142</v>
      </c>
      <c r="BD5272" s="3" t="s">
        <v>68</v>
      </c>
      <c r="BE5272" s="3" t="s">
        <v>50476</v>
      </c>
      <c r="BF5272" s="3" t="s">
        <v>50475</v>
      </c>
      <c r="BG5272" s="3" t="s">
        <v>50477</v>
      </c>
    </row>
    <row r="5273" spans="1:59" ht="57" x14ac:dyDescent="0.45">
      <c r="A5273" s="2" t="s">
        <v>59</v>
      </c>
      <c r="B5273" s="2" t="s">
        <v>60</v>
      </c>
      <c r="C5273" s="2" t="s">
        <v>50478</v>
      </c>
      <c r="D5273" s="2" t="s">
        <v>50479</v>
      </c>
      <c r="E5273" s="2" t="s">
        <v>50480</v>
      </c>
      <c r="G5273" s="3" t="s">
        <v>62</v>
      </c>
      <c r="I5273" s="3" t="s">
        <v>62</v>
      </c>
      <c r="J5273" s="3" t="s">
        <v>62</v>
      </c>
      <c r="K5273" s="3" t="s">
        <v>63</v>
      </c>
      <c r="M5273" s="2" t="s">
        <v>28286</v>
      </c>
      <c r="N5273" s="3" t="s">
        <v>1155</v>
      </c>
      <c r="P5273" s="3" t="s">
        <v>65</v>
      </c>
      <c r="Q5273" s="2" t="s">
        <v>50481</v>
      </c>
      <c r="R5273" s="3" t="s">
        <v>66</v>
      </c>
      <c r="S5273" s="4">
        <v>2</v>
      </c>
      <c r="T5273" s="4">
        <v>2</v>
      </c>
      <c r="U5273" s="5" t="s">
        <v>2135</v>
      </c>
      <c r="V5273" s="5" t="s">
        <v>2135</v>
      </c>
      <c r="W5273" s="5" t="s">
        <v>67</v>
      </c>
      <c r="X5273" s="5" t="s">
        <v>67</v>
      </c>
      <c r="Y5273" s="4">
        <v>106</v>
      </c>
      <c r="Z5273" s="4">
        <v>13</v>
      </c>
      <c r="AA5273" s="4">
        <v>35</v>
      </c>
      <c r="AB5273" s="4">
        <v>1</v>
      </c>
      <c r="AC5273" s="4">
        <v>4</v>
      </c>
      <c r="AD5273" s="4">
        <v>52</v>
      </c>
      <c r="AE5273" s="4">
        <v>74</v>
      </c>
      <c r="AF5273" s="4">
        <v>0</v>
      </c>
      <c r="AG5273" s="4">
        <v>0</v>
      </c>
      <c r="AH5273" s="4">
        <v>48</v>
      </c>
      <c r="AI5273" s="4">
        <v>62</v>
      </c>
      <c r="AJ5273" s="4">
        <v>10</v>
      </c>
      <c r="AK5273" s="4">
        <v>14</v>
      </c>
      <c r="AL5273" s="4">
        <v>29</v>
      </c>
      <c r="AM5273" s="4">
        <v>34</v>
      </c>
      <c r="AN5273" s="4">
        <v>0</v>
      </c>
      <c r="AO5273" s="4">
        <v>0</v>
      </c>
      <c r="AP5273" s="4">
        <v>10</v>
      </c>
      <c r="AQ5273" s="4">
        <v>21</v>
      </c>
      <c r="AR5273" s="3" t="s">
        <v>62</v>
      </c>
      <c r="AS5273" s="3" t="s">
        <v>62</v>
      </c>
      <c r="AT5273" s="3" t="s">
        <v>62</v>
      </c>
      <c r="AV5273" s="6" t="str">
        <f>HYPERLINK("http://mcgill.on.worldcat.org/oclc/815928956","Catalog Record")</f>
        <v>Catalog Record</v>
      </c>
      <c r="AW5273" s="6" t="str">
        <f>HYPERLINK("http://www.worldcat.org/oclc/815928956","WorldCat Record")</f>
        <v>WorldCat Record</v>
      </c>
      <c r="AX5273" s="3" t="s">
        <v>50482</v>
      </c>
      <c r="AY5273" s="3" t="s">
        <v>50483</v>
      </c>
      <c r="AZ5273" s="3" t="s">
        <v>50484</v>
      </c>
      <c r="BA5273" s="3" t="s">
        <v>50484</v>
      </c>
      <c r="BB5273" s="3" t="s">
        <v>50485</v>
      </c>
      <c r="BC5273" s="3" t="s">
        <v>142</v>
      </c>
      <c r="BD5273" s="3" t="s">
        <v>68</v>
      </c>
      <c r="BE5273" s="3" t="s">
        <v>50486</v>
      </c>
      <c r="BF5273" s="3" t="s">
        <v>50485</v>
      </c>
      <c r="BG5273" s="3" t="s">
        <v>50487</v>
      </c>
    </row>
    <row r="5274" spans="1:59" ht="57" x14ac:dyDescent="0.45">
      <c r="A5274" s="2" t="s">
        <v>59</v>
      </c>
      <c r="B5274" s="2" t="s">
        <v>60</v>
      </c>
      <c r="C5274" s="2" t="s">
        <v>50488</v>
      </c>
      <c r="D5274" s="2" t="s">
        <v>50489</v>
      </c>
      <c r="E5274" s="2" t="s">
        <v>50490</v>
      </c>
      <c r="G5274" s="3" t="s">
        <v>62</v>
      </c>
      <c r="H5274" s="3" t="s">
        <v>3960</v>
      </c>
      <c r="I5274" s="3" t="s">
        <v>62</v>
      </c>
      <c r="J5274" s="3" t="s">
        <v>62</v>
      </c>
      <c r="K5274" s="3" t="s">
        <v>63</v>
      </c>
      <c r="L5274" s="2" t="s">
        <v>50491</v>
      </c>
      <c r="M5274" s="2" t="s">
        <v>50492</v>
      </c>
      <c r="N5274" s="3" t="s">
        <v>19337</v>
      </c>
      <c r="P5274" s="3" t="s">
        <v>65</v>
      </c>
      <c r="Q5274" s="2" t="s">
        <v>50493</v>
      </c>
      <c r="R5274" s="3" t="s">
        <v>66</v>
      </c>
      <c r="S5274" s="4">
        <v>0</v>
      </c>
      <c r="T5274" s="4">
        <v>0</v>
      </c>
      <c r="W5274" s="5" t="s">
        <v>50494</v>
      </c>
      <c r="X5274" s="5" t="s">
        <v>50494</v>
      </c>
      <c r="Y5274" s="4">
        <v>32</v>
      </c>
      <c r="Z5274" s="4">
        <v>1</v>
      </c>
      <c r="AA5274" s="4">
        <v>6</v>
      </c>
      <c r="AB5274" s="4">
        <v>1</v>
      </c>
      <c r="AC5274" s="4">
        <v>3</v>
      </c>
      <c r="AD5274" s="4">
        <v>14</v>
      </c>
      <c r="AE5274" s="4">
        <v>25</v>
      </c>
      <c r="AF5274" s="4">
        <v>0</v>
      </c>
      <c r="AG5274" s="4">
        <v>0</v>
      </c>
      <c r="AH5274" s="4">
        <v>14</v>
      </c>
      <c r="AI5274" s="4">
        <v>24</v>
      </c>
      <c r="AJ5274" s="4">
        <v>0</v>
      </c>
      <c r="AK5274" s="4">
        <v>2</v>
      </c>
      <c r="AL5274" s="4">
        <v>12</v>
      </c>
      <c r="AM5274" s="4">
        <v>15</v>
      </c>
      <c r="AN5274" s="4">
        <v>0</v>
      </c>
      <c r="AO5274" s="4">
        <v>0</v>
      </c>
      <c r="AP5274" s="4">
        <v>0</v>
      </c>
      <c r="AQ5274" s="4">
        <v>3</v>
      </c>
      <c r="AR5274" s="3" t="s">
        <v>62</v>
      </c>
      <c r="AS5274" s="3" t="s">
        <v>62</v>
      </c>
      <c r="AT5274" s="3" t="s">
        <v>62</v>
      </c>
      <c r="AV5274" s="6" t="str">
        <f>HYPERLINK("http://mcgill.on.worldcat.org/oclc/1112887762","Catalog Record")</f>
        <v>Catalog Record</v>
      </c>
      <c r="AW5274" s="6" t="str">
        <f>HYPERLINK("http://www.worldcat.org/oclc/1112887762","WorldCat Record")</f>
        <v>WorldCat Record</v>
      </c>
      <c r="AX5274" s="3" t="s">
        <v>50495</v>
      </c>
      <c r="AY5274" s="3" t="s">
        <v>50496</v>
      </c>
      <c r="AZ5274" s="3" t="s">
        <v>50497</v>
      </c>
      <c r="BA5274" s="3" t="s">
        <v>50497</v>
      </c>
      <c r="BB5274" s="3" t="s">
        <v>50498</v>
      </c>
      <c r="BC5274" s="3" t="s">
        <v>142</v>
      </c>
      <c r="BD5274" s="3" t="s">
        <v>68</v>
      </c>
      <c r="BE5274" s="3" t="s">
        <v>50499</v>
      </c>
      <c r="BF5274" s="3" t="s">
        <v>50498</v>
      </c>
      <c r="BG5274" s="3" t="s">
        <v>50500</v>
      </c>
    </row>
    <row r="5275" spans="1:59" ht="57" x14ac:dyDescent="0.45">
      <c r="A5275" s="2" t="s">
        <v>59</v>
      </c>
      <c r="B5275" s="2" t="s">
        <v>60</v>
      </c>
      <c r="C5275" s="2" t="s">
        <v>50501</v>
      </c>
      <c r="D5275" s="2" t="s">
        <v>50502</v>
      </c>
      <c r="E5275" s="2" t="s">
        <v>50503</v>
      </c>
      <c r="G5275" s="3" t="s">
        <v>62</v>
      </c>
      <c r="I5275" s="3" t="s">
        <v>62</v>
      </c>
      <c r="J5275" s="3" t="s">
        <v>62</v>
      </c>
      <c r="K5275" s="3" t="s">
        <v>63</v>
      </c>
      <c r="M5275" s="2" t="s">
        <v>1638</v>
      </c>
      <c r="N5275" s="3" t="s">
        <v>195</v>
      </c>
      <c r="P5275" s="3" t="s">
        <v>65</v>
      </c>
      <c r="R5275" s="3" t="s">
        <v>66</v>
      </c>
      <c r="S5275" s="4">
        <v>23</v>
      </c>
      <c r="T5275" s="4">
        <v>23</v>
      </c>
      <c r="U5275" s="5" t="s">
        <v>50504</v>
      </c>
      <c r="V5275" s="5" t="s">
        <v>50504</v>
      </c>
      <c r="W5275" s="5" t="s">
        <v>67</v>
      </c>
      <c r="X5275" s="5" t="s">
        <v>67</v>
      </c>
      <c r="Y5275" s="4">
        <v>246</v>
      </c>
      <c r="Z5275" s="4">
        <v>14</v>
      </c>
      <c r="AA5275" s="4">
        <v>21</v>
      </c>
      <c r="AB5275" s="4">
        <v>1</v>
      </c>
      <c r="AC5275" s="4">
        <v>8</v>
      </c>
      <c r="AD5275" s="4">
        <v>101</v>
      </c>
      <c r="AE5275" s="4">
        <v>104</v>
      </c>
      <c r="AF5275" s="4">
        <v>0</v>
      </c>
      <c r="AG5275" s="4">
        <v>3</v>
      </c>
      <c r="AH5275" s="4">
        <v>95</v>
      </c>
      <c r="AI5275" s="4">
        <v>96</v>
      </c>
      <c r="AJ5275" s="4">
        <v>12</v>
      </c>
      <c r="AK5275" s="4">
        <v>15</v>
      </c>
      <c r="AL5275" s="4">
        <v>54</v>
      </c>
      <c r="AM5275" s="4">
        <v>54</v>
      </c>
      <c r="AN5275" s="4">
        <v>0</v>
      </c>
      <c r="AO5275" s="4">
        <v>0</v>
      </c>
      <c r="AP5275" s="4">
        <v>12</v>
      </c>
      <c r="AQ5275" s="4">
        <v>14</v>
      </c>
      <c r="AR5275" s="3" t="s">
        <v>62</v>
      </c>
      <c r="AS5275" s="3" t="s">
        <v>62</v>
      </c>
      <c r="AT5275" s="3" t="s">
        <v>62</v>
      </c>
      <c r="AV5275" s="6" t="str">
        <f>HYPERLINK("http://mcgill.on.worldcat.org/oclc/26052036","Catalog Record")</f>
        <v>Catalog Record</v>
      </c>
      <c r="AW5275" s="6" t="str">
        <f>HYPERLINK("http://www.worldcat.org/oclc/26052036","WorldCat Record")</f>
        <v>WorldCat Record</v>
      </c>
      <c r="AX5275" s="3" t="s">
        <v>50505</v>
      </c>
      <c r="AY5275" s="3" t="s">
        <v>50506</v>
      </c>
      <c r="AZ5275" s="3" t="s">
        <v>50507</v>
      </c>
      <c r="BA5275" s="3" t="s">
        <v>50507</v>
      </c>
      <c r="BB5275" s="3" t="s">
        <v>50508</v>
      </c>
      <c r="BC5275" s="3" t="s">
        <v>142</v>
      </c>
      <c r="BD5275" s="3" t="s">
        <v>68</v>
      </c>
      <c r="BE5275" s="3" t="s">
        <v>50509</v>
      </c>
      <c r="BF5275" s="3" t="s">
        <v>50508</v>
      </c>
      <c r="BG5275" s="3" t="s">
        <v>50510</v>
      </c>
    </row>
    <row r="5276" spans="1:59" ht="57" x14ac:dyDescent="0.45">
      <c r="A5276" s="2" t="s">
        <v>59</v>
      </c>
      <c r="B5276" s="2" t="s">
        <v>60</v>
      </c>
      <c r="C5276" s="2" t="s">
        <v>50511</v>
      </c>
      <c r="D5276" s="2" t="s">
        <v>50512</v>
      </c>
      <c r="E5276" s="2" t="s">
        <v>50513</v>
      </c>
      <c r="G5276" s="3" t="s">
        <v>62</v>
      </c>
      <c r="I5276" s="3" t="s">
        <v>61</v>
      </c>
      <c r="J5276" s="3" t="s">
        <v>62</v>
      </c>
      <c r="K5276" s="3" t="s">
        <v>63</v>
      </c>
      <c r="L5276" s="2" t="s">
        <v>50514</v>
      </c>
      <c r="M5276" s="2" t="s">
        <v>2171</v>
      </c>
      <c r="N5276" s="3" t="s">
        <v>555</v>
      </c>
      <c r="P5276" s="3" t="s">
        <v>65</v>
      </c>
      <c r="Q5276" s="2" t="s">
        <v>50515</v>
      </c>
      <c r="R5276" s="3" t="s">
        <v>66</v>
      </c>
      <c r="S5276" s="4">
        <v>0</v>
      </c>
      <c r="T5276" s="4">
        <v>7</v>
      </c>
      <c r="V5276" s="5" t="s">
        <v>4070</v>
      </c>
      <c r="W5276" s="5" t="s">
        <v>67</v>
      </c>
      <c r="X5276" s="5" t="s">
        <v>67</v>
      </c>
      <c r="Y5276" s="4">
        <v>255</v>
      </c>
      <c r="Z5276" s="4">
        <v>27</v>
      </c>
      <c r="AA5276" s="4">
        <v>30</v>
      </c>
      <c r="AB5276" s="4">
        <v>1</v>
      </c>
      <c r="AC5276" s="4">
        <v>4</v>
      </c>
      <c r="AD5276" s="4">
        <v>107</v>
      </c>
      <c r="AE5276" s="4">
        <v>111</v>
      </c>
      <c r="AF5276" s="4">
        <v>0</v>
      </c>
      <c r="AG5276" s="4">
        <v>3</v>
      </c>
      <c r="AH5276" s="4">
        <v>95</v>
      </c>
      <c r="AI5276" s="4">
        <v>96</v>
      </c>
      <c r="AJ5276" s="4">
        <v>18</v>
      </c>
      <c r="AK5276" s="4">
        <v>21</v>
      </c>
      <c r="AL5276" s="4">
        <v>53</v>
      </c>
      <c r="AM5276" s="4">
        <v>53</v>
      </c>
      <c r="AN5276" s="4">
        <v>0</v>
      </c>
      <c r="AO5276" s="4">
        <v>0</v>
      </c>
      <c r="AP5276" s="4">
        <v>24</v>
      </c>
      <c r="AQ5276" s="4">
        <v>26</v>
      </c>
      <c r="AR5276" s="3" t="s">
        <v>62</v>
      </c>
      <c r="AS5276" s="3" t="s">
        <v>62</v>
      </c>
      <c r="AT5276" s="3" t="s">
        <v>61</v>
      </c>
      <c r="AU5276" s="6" t="str">
        <f>HYPERLINK("http://catalog.hathitrust.org/Record/001657886","HathiTrust Record")</f>
        <v>HathiTrust Record</v>
      </c>
      <c r="AV5276" s="6" t="str">
        <f>HYPERLINK("http://mcgill.on.worldcat.org/oclc/746712","Catalog Record")</f>
        <v>Catalog Record</v>
      </c>
      <c r="AW5276" s="6" t="str">
        <f>HYPERLINK("http://www.worldcat.org/oclc/746712","WorldCat Record")</f>
        <v>WorldCat Record</v>
      </c>
      <c r="AX5276" s="3" t="s">
        <v>50516</v>
      </c>
      <c r="AY5276" s="3" t="s">
        <v>50517</v>
      </c>
      <c r="AZ5276" s="3" t="s">
        <v>50518</v>
      </c>
      <c r="BA5276" s="3" t="s">
        <v>50518</v>
      </c>
      <c r="BB5276" s="3" t="s">
        <v>50519</v>
      </c>
      <c r="BC5276" s="3" t="s">
        <v>142</v>
      </c>
      <c r="BD5276" s="3" t="s">
        <v>68</v>
      </c>
      <c r="BE5276" s="3" t="s">
        <v>50520</v>
      </c>
      <c r="BF5276" s="3" t="s">
        <v>50519</v>
      </c>
      <c r="BG5276" s="3" t="s">
        <v>50521</v>
      </c>
    </row>
    <row r="5277" spans="1:59" ht="57" x14ac:dyDescent="0.45">
      <c r="A5277" s="2" t="s">
        <v>59</v>
      </c>
      <c r="B5277" s="2" t="s">
        <v>60</v>
      </c>
      <c r="C5277" s="2" t="s">
        <v>50511</v>
      </c>
      <c r="D5277" s="2" t="s">
        <v>50512</v>
      </c>
      <c r="E5277" s="2" t="s">
        <v>50513</v>
      </c>
      <c r="G5277" s="3" t="s">
        <v>62</v>
      </c>
      <c r="I5277" s="3" t="s">
        <v>61</v>
      </c>
      <c r="J5277" s="3" t="s">
        <v>62</v>
      </c>
      <c r="K5277" s="3" t="s">
        <v>63</v>
      </c>
      <c r="L5277" s="2" t="s">
        <v>50514</v>
      </c>
      <c r="M5277" s="2" t="s">
        <v>2171</v>
      </c>
      <c r="N5277" s="3" t="s">
        <v>555</v>
      </c>
      <c r="P5277" s="3" t="s">
        <v>65</v>
      </c>
      <c r="Q5277" s="2" t="s">
        <v>50515</v>
      </c>
      <c r="R5277" s="3" t="s">
        <v>66</v>
      </c>
      <c r="S5277" s="4">
        <v>7</v>
      </c>
      <c r="T5277" s="4">
        <v>7</v>
      </c>
      <c r="U5277" s="5" t="s">
        <v>4070</v>
      </c>
      <c r="V5277" s="5" t="s">
        <v>4070</v>
      </c>
      <c r="W5277" s="5" t="s">
        <v>67</v>
      </c>
      <c r="X5277" s="5" t="s">
        <v>67</v>
      </c>
      <c r="Y5277" s="4">
        <v>255</v>
      </c>
      <c r="Z5277" s="4">
        <v>27</v>
      </c>
      <c r="AA5277" s="4">
        <v>30</v>
      </c>
      <c r="AB5277" s="4">
        <v>1</v>
      </c>
      <c r="AC5277" s="4">
        <v>4</v>
      </c>
      <c r="AD5277" s="4">
        <v>107</v>
      </c>
      <c r="AE5277" s="4">
        <v>111</v>
      </c>
      <c r="AF5277" s="4">
        <v>0</v>
      </c>
      <c r="AG5277" s="4">
        <v>3</v>
      </c>
      <c r="AH5277" s="4">
        <v>95</v>
      </c>
      <c r="AI5277" s="4">
        <v>96</v>
      </c>
      <c r="AJ5277" s="4">
        <v>18</v>
      </c>
      <c r="AK5277" s="4">
        <v>21</v>
      </c>
      <c r="AL5277" s="4">
        <v>53</v>
      </c>
      <c r="AM5277" s="4">
        <v>53</v>
      </c>
      <c r="AN5277" s="4">
        <v>0</v>
      </c>
      <c r="AO5277" s="4">
        <v>0</v>
      </c>
      <c r="AP5277" s="4">
        <v>24</v>
      </c>
      <c r="AQ5277" s="4">
        <v>26</v>
      </c>
      <c r="AR5277" s="3" t="s">
        <v>62</v>
      </c>
      <c r="AS5277" s="3" t="s">
        <v>62</v>
      </c>
      <c r="AT5277" s="3" t="s">
        <v>61</v>
      </c>
      <c r="AU5277" s="6" t="str">
        <f>HYPERLINK("http://catalog.hathitrust.org/Record/001657886","HathiTrust Record")</f>
        <v>HathiTrust Record</v>
      </c>
      <c r="AV5277" s="6" t="str">
        <f>HYPERLINK("http://mcgill.on.worldcat.org/oclc/746712","Catalog Record")</f>
        <v>Catalog Record</v>
      </c>
      <c r="AW5277" s="6" t="str">
        <f>HYPERLINK("http://www.worldcat.org/oclc/746712","WorldCat Record")</f>
        <v>WorldCat Record</v>
      </c>
      <c r="AX5277" s="3" t="s">
        <v>50516</v>
      </c>
      <c r="AY5277" s="3" t="s">
        <v>50517</v>
      </c>
      <c r="AZ5277" s="3" t="s">
        <v>50518</v>
      </c>
      <c r="BA5277" s="3" t="s">
        <v>50518</v>
      </c>
      <c r="BB5277" s="3" t="s">
        <v>50522</v>
      </c>
      <c r="BC5277" s="3" t="s">
        <v>142</v>
      </c>
      <c r="BD5277" s="3" t="s">
        <v>68</v>
      </c>
      <c r="BE5277" s="3" t="s">
        <v>50520</v>
      </c>
      <c r="BF5277" s="3" t="s">
        <v>50522</v>
      </c>
      <c r="BG5277" s="3" t="s">
        <v>50523</v>
      </c>
    </row>
    <row r="5278" spans="1:59" ht="57" x14ac:dyDescent="0.45">
      <c r="A5278" s="2" t="s">
        <v>59</v>
      </c>
      <c r="B5278" s="2" t="s">
        <v>60</v>
      </c>
      <c r="C5278" s="2" t="s">
        <v>50524</v>
      </c>
      <c r="D5278" s="2" t="s">
        <v>50525</v>
      </c>
      <c r="E5278" s="2" t="s">
        <v>50526</v>
      </c>
      <c r="G5278" s="3" t="s">
        <v>62</v>
      </c>
      <c r="I5278" s="3" t="s">
        <v>62</v>
      </c>
      <c r="J5278" s="3" t="s">
        <v>62</v>
      </c>
      <c r="K5278" s="3" t="s">
        <v>63</v>
      </c>
      <c r="M5278" s="2" t="s">
        <v>50527</v>
      </c>
      <c r="N5278" s="3" t="s">
        <v>1688</v>
      </c>
      <c r="P5278" s="3" t="s">
        <v>65</v>
      </c>
      <c r="Q5278" s="2" t="s">
        <v>50528</v>
      </c>
      <c r="R5278" s="3" t="s">
        <v>66</v>
      </c>
      <c r="S5278" s="4">
        <v>1</v>
      </c>
      <c r="T5278" s="4">
        <v>1</v>
      </c>
      <c r="U5278" s="5" t="s">
        <v>49881</v>
      </c>
      <c r="V5278" s="5" t="s">
        <v>49881</v>
      </c>
      <c r="W5278" s="5" t="s">
        <v>67</v>
      </c>
      <c r="X5278" s="5" t="s">
        <v>67</v>
      </c>
      <c r="Y5278" s="4">
        <v>35</v>
      </c>
      <c r="Z5278" s="4">
        <v>2</v>
      </c>
      <c r="AA5278" s="4">
        <v>99</v>
      </c>
      <c r="AB5278" s="4">
        <v>1</v>
      </c>
      <c r="AC5278" s="4">
        <v>17</v>
      </c>
      <c r="AD5278" s="4">
        <v>16</v>
      </c>
      <c r="AE5278" s="4">
        <v>106</v>
      </c>
      <c r="AF5278" s="4">
        <v>0</v>
      </c>
      <c r="AG5278" s="4">
        <v>8</v>
      </c>
      <c r="AH5278" s="4">
        <v>15</v>
      </c>
      <c r="AI5278" s="4">
        <v>71</v>
      </c>
      <c r="AJ5278" s="4">
        <v>1</v>
      </c>
      <c r="AK5278" s="4">
        <v>20</v>
      </c>
      <c r="AL5278" s="4">
        <v>11</v>
      </c>
      <c r="AM5278" s="4">
        <v>36</v>
      </c>
      <c r="AN5278" s="4">
        <v>0</v>
      </c>
      <c r="AO5278" s="4">
        <v>0</v>
      </c>
      <c r="AP5278" s="4">
        <v>1</v>
      </c>
      <c r="AQ5278" s="4">
        <v>42</v>
      </c>
      <c r="AR5278" s="3" t="s">
        <v>62</v>
      </c>
      <c r="AS5278" s="3" t="s">
        <v>62</v>
      </c>
      <c r="AT5278" s="3" t="s">
        <v>62</v>
      </c>
      <c r="AV5278" s="6" t="str">
        <f>HYPERLINK("http://mcgill.on.worldcat.org/oclc/855209431","Catalog Record")</f>
        <v>Catalog Record</v>
      </c>
      <c r="AW5278" s="6" t="str">
        <f>HYPERLINK("http://www.worldcat.org/oclc/855209431","WorldCat Record")</f>
        <v>WorldCat Record</v>
      </c>
      <c r="AX5278" s="3" t="s">
        <v>50529</v>
      </c>
      <c r="AY5278" s="3" t="s">
        <v>50530</v>
      </c>
      <c r="AZ5278" s="3" t="s">
        <v>50531</v>
      </c>
      <c r="BA5278" s="3" t="s">
        <v>50531</v>
      </c>
      <c r="BB5278" s="3" t="s">
        <v>50532</v>
      </c>
      <c r="BC5278" s="3" t="s">
        <v>142</v>
      </c>
      <c r="BD5278" s="3" t="s">
        <v>68</v>
      </c>
      <c r="BE5278" s="3" t="s">
        <v>50533</v>
      </c>
      <c r="BF5278" s="3" t="s">
        <v>50532</v>
      </c>
      <c r="BG5278" s="3" t="s">
        <v>50534</v>
      </c>
    </row>
    <row r="5279" spans="1:59" ht="57" x14ac:dyDescent="0.45">
      <c r="A5279" s="2" t="s">
        <v>59</v>
      </c>
      <c r="B5279" s="2" t="s">
        <v>60</v>
      </c>
      <c r="C5279" s="2" t="s">
        <v>50535</v>
      </c>
      <c r="D5279" s="2" t="s">
        <v>50536</v>
      </c>
      <c r="E5279" s="2" t="s">
        <v>50537</v>
      </c>
      <c r="G5279" s="3" t="s">
        <v>62</v>
      </c>
      <c r="I5279" s="3" t="s">
        <v>62</v>
      </c>
      <c r="J5279" s="3" t="s">
        <v>62</v>
      </c>
      <c r="K5279" s="3" t="s">
        <v>63</v>
      </c>
      <c r="M5279" s="2" t="s">
        <v>1178</v>
      </c>
      <c r="N5279" s="3" t="s">
        <v>894</v>
      </c>
      <c r="P5279" s="3" t="s">
        <v>65</v>
      </c>
      <c r="Q5279" s="2" t="s">
        <v>50538</v>
      </c>
      <c r="R5279" s="3" t="s">
        <v>66</v>
      </c>
      <c r="S5279" s="4">
        <v>0</v>
      </c>
      <c r="T5279" s="4">
        <v>0</v>
      </c>
      <c r="W5279" s="5" t="s">
        <v>67</v>
      </c>
      <c r="X5279" s="5" t="s">
        <v>67</v>
      </c>
      <c r="Y5279" s="4">
        <v>80</v>
      </c>
      <c r="Z5279" s="4">
        <v>8</v>
      </c>
      <c r="AA5279" s="4">
        <v>90</v>
      </c>
      <c r="AB5279" s="4">
        <v>1</v>
      </c>
      <c r="AC5279" s="4">
        <v>17</v>
      </c>
      <c r="AD5279" s="4">
        <v>34</v>
      </c>
      <c r="AE5279" s="4">
        <v>109</v>
      </c>
      <c r="AF5279" s="4">
        <v>0</v>
      </c>
      <c r="AG5279" s="4">
        <v>8</v>
      </c>
      <c r="AH5279" s="4">
        <v>31</v>
      </c>
      <c r="AI5279" s="4">
        <v>73</v>
      </c>
      <c r="AJ5279" s="4">
        <v>5</v>
      </c>
      <c r="AK5279" s="4">
        <v>22</v>
      </c>
      <c r="AL5279" s="4">
        <v>23</v>
      </c>
      <c r="AM5279" s="4">
        <v>39</v>
      </c>
      <c r="AN5279" s="4">
        <v>0</v>
      </c>
      <c r="AO5279" s="4">
        <v>0</v>
      </c>
      <c r="AP5279" s="4">
        <v>6</v>
      </c>
      <c r="AQ5279" s="4">
        <v>43</v>
      </c>
      <c r="AR5279" s="3" t="s">
        <v>62</v>
      </c>
      <c r="AS5279" s="3" t="s">
        <v>62</v>
      </c>
      <c r="AT5279" s="3" t="s">
        <v>62</v>
      </c>
      <c r="AV5279" s="6" t="str">
        <f>HYPERLINK("http://mcgill.on.worldcat.org/oclc/672300124","Catalog Record")</f>
        <v>Catalog Record</v>
      </c>
      <c r="AW5279" s="6" t="str">
        <f>HYPERLINK("http://www.worldcat.org/oclc/672300124","WorldCat Record")</f>
        <v>WorldCat Record</v>
      </c>
      <c r="AX5279" s="3" t="s">
        <v>50539</v>
      </c>
      <c r="AY5279" s="3" t="s">
        <v>50540</v>
      </c>
      <c r="AZ5279" s="3" t="s">
        <v>50541</v>
      </c>
      <c r="BA5279" s="3" t="s">
        <v>50541</v>
      </c>
      <c r="BB5279" s="3" t="s">
        <v>50542</v>
      </c>
      <c r="BC5279" s="3" t="s">
        <v>142</v>
      </c>
      <c r="BD5279" s="3" t="s">
        <v>68</v>
      </c>
      <c r="BE5279" s="3" t="s">
        <v>50543</v>
      </c>
      <c r="BF5279" s="3" t="s">
        <v>50542</v>
      </c>
      <c r="BG5279" s="3" t="s">
        <v>50544</v>
      </c>
    </row>
    <row r="5280" spans="1:59" ht="57" x14ac:dyDescent="0.45">
      <c r="A5280" s="2" t="s">
        <v>59</v>
      </c>
      <c r="B5280" s="2" t="s">
        <v>60</v>
      </c>
      <c r="C5280" s="2" t="s">
        <v>50545</v>
      </c>
      <c r="D5280" s="2" t="s">
        <v>50546</v>
      </c>
      <c r="E5280" s="2" t="s">
        <v>50547</v>
      </c>
      <c r="G5280" s="3" t="s">
        <v>62</v>
      </c>
      <c r="I5280" s="3" t="s">
        <v>62</v>
      </c>
      <c r="J5280" s="3" t="s">
        <v>62</v>
      </c>
      <c r="K5280" s="3" t="s">
        <v>63</v>
      </c>
      <c r="L5280" s="2" t="s">
        <v>50548</v>
      </c>
      <c r="M5280" s="2" t="s">
        <v>49314</v>
      </c>
      <c r="N5280" s="3" t="s">
        <v>894</v>
      </c>
      <c r="P5280" s="3" t="s">
        <v>65</v>
      </c>
      <c r="Q5280" s="2" t="s">
        <v>50549</v>
      </c>
      <c r="R5280" s="3" t="s">
        <v>66</v>
      </c>
      <c r="S5280" s="4">
        <v>0</v>
      </c>
      <c r="T5280" s="4">
        <v>0</v>
      </c>
      <c r="W5280" s="5" t="s">
        <v>67</v>
      </c>
      <c r="X5280" s="5" t="s">
        <v>67</v>
      </c>
      <c r="Y5280" s="4">
        <v>42</v>
      </c>
      <c r="Z5280" s="4">
        <v>10</v>
      </c>
      <c r="AA5280" s="4">
        <v>39</v>
      </c>
      <c r="AB5280" s="4">
        <v>2</v>
      </c>
      <c r="AC5280" s="4">
        <v>9</v>
      </c>
      <c r="AD5280" s="4">
        <v>18</v>
      </c>
      <c r="AE5280" s="4">
        <v>33</v>
      </c>
      <c r="AF5280" s="4">
        <v>1</v>
      </c>
      <c r="AG5280" s="4">
        <v>3</v>
      </c>
      <c r="AH5280" s="4">
        <v>15</v>
      </c>
      <c r="AI5280" s="4">
        <v>22</v>
      </c>
      <c r="AJ5280" s="4">
        <v>7</v>
      </c>
      <c r="AK5280" s="4">
        <v>10</v>
      </c>
      <c r="AL5280" s="4">
        <v>10</v>
      </c>
      <c r="AM5280" s="4">
        <v>15</v>
      </c>
      <c r="AN5280" s="4">
        <v>0</v>
      </c>
      <c r="AO5280" s="4">
        <v>0</v>
      </c>
      <c r="AP5280" s="4">
        <v>7</v>
      </c>
      <c r="AQ5280" s="4">
        <v>15</v>
      </c>
      <c r="AR5280" s="3" t="s">
        <v>62</v>
      </c>
      <c r="AS5280" s="3" t="s">
        <v>62</v>
      </c>
      <c r="AT5280" s="3" t="s">
        <v>62</v>
      </c>
      <c r="AV5280" s="6" t="str">
        <f>HYPERLINK("http://mcgill.on.worldcat.org/oclc/706804049","Catalog Record")</f>
        <v>Catalog Record</v>
      </c>
      <c r="AW5280" s="6" t="str">
        <f>HYPERLINK("http://www.worldcat.org/oclc/706804049","WorldCat Record")</f>
        <v>WorldCat Record</v>
      </c>
      <c r="AX5280" s="3" t="s">
        <v>50550</v>
      </c>
      <c r="AY5280" s="3" t="s">
        <v>50551</v>
      </c>
      <c r="AZ5280" s="3" t="s">
        <v>50552</v>
      </c>
      <c r="BA5280" s="3" t="s">
        <v>50552</v>
      </c>
      <c r="BB5280" s="3" t="s">
        <v>50553</v>
      </c>
      <c r="BC5280" s="3" t="s">
        <v>142</v>
      </c>
      <c r="BD5280" s="3" t="s">
        <v>68</v>
      </c>
      <c r="BE5280" s="3" t="s">
        <v>50554</v>
      </c>
      <c r="BF5280" s="3" t="s">
        <v>50553</v>
      </c>
      <c r="BG5280" s="3" t="s">
        <v>50555</v>
      </c>
    </row>
    <row r="5281" spans="1:59" ht="57" x14ac:dyDescent="0.45">
      <c r="A5281" s="2" t="s">
        <v>59</v>
      </c>
      <c r="B5281" s="2" t="s">
        <v>60</v>
      </c>
      <c r="C5281" s="2" t="s">
        <v>50556</v>
      </c>
      <c r="D5281" s="2" t="s">
        <v>50557</v>
      </c>
      <c r="E5281" s="2" t="s">
        <v>50558</v>
      </c>
      <c r="G5281" s="3" t="s">
        <v>62</v>
      </c>
      <c r="I5281" s="3" t="s">
        <v>62</v>
      </c>
      <c r="J5281" s="3" t="s">
        <v>62</v>
      </c>
      <c r="K5281" s="3" t="s">
        <v>63</v>
      </c>
      <c r="M5281" s="2" t="s">
        <v>2739</v>
      </c>
      <c r="N5281" s="3" t="s">
        <v>149</v>
      </c>
      <c r="P5281" s="3" t="s">
        <v>65</v>
      </c>
      <c r="Q5281" s="2" t="s">
        <v>50559</v>
      </c>
      <c r="R5281" s="3" t="s">
        <v>66</v>
      </c>
      <c r="S5281" s="4">
        <v>1</v>
      </c>
      <c r="T5281" s="4">
        <v>1</v>
      </c>
      <c r="U5281" s="5" t="s">
        <v>50560</v>
      </c>
      <c r="V5281" s="5" t="s">
        <v>50560</v>
      </c>
      <c r="W5281" s="5" t="s">
        <v>67</v>
      </c>
      <c r="X5281" s="5" t="s">
        <v>67</v>
      </c>
      <c r="Y5281" s="4">
        <v>61</v>
      </c>
      <c r="Z5281" s="4">
        <v>6</v>
      </c>
      <c r="AA5281" s="4">
        <v>92</v>
      </c>
      <c r="AB5281" s="4">
        <v>1</v>
      </c>
      <c r="AC5281" s="4">
        <v>17</v>
      </c>
      <c r="AD5281" s="4">
        <v>31</v>
      </c>
      <c r="AE5281" s="4">
        <v>107</v>
      </c>
      <c r="AF5281" s="4">
        <v>0</v>
      </c>
      <c r="AG5281" s="4">
        <v>8</v>
      </c>
      <c r="AH5281" s="4">
        <v>30</v>
      </c>
      <c r="AI5281" s="4">
        <v>71</v>
      </c>
      <c r="AJ5281" s="4">
        <v>4</v>
      </c>
      <c r="AK5281" s="4">
        <v>21</v>
      </c>
      <c r="AL5281" s="4">
        <v>20</v>
      </c>
      <c r="AM5281" s="4">
        <v>37</v>
      </c>
      <c r="AN5281" s="4">
        <v>0</v>
      </c>
      <c r="AO5281" s="4">
        <v>0</v>
      </c>
      <c r="AP5281" s="4">
        <v>4</v>
      </c>
      <c r="AQ5281" s="4">
        <v>42</v>
      </c>
      <c r="AR5281" s="3" t="s">
        <v>62</v>
      </c>
      <c r="AS5281" s="3" t="s">
        <v>62</v>
      </c>
      <c r="AT5281" s="3" t="s">
        <v>62</v>
      </c>
      <c r="AV5281" s="6" t="str">
        <f>HYPERLINK("http://mcgill.on.worldcat.org/oclc/646309433","Catalog Record")</f>
        <v>Catalog Record</v>
      </c>
      <c r="AW5281" s="6" t="str">
        <f>HYPERLINK("http://www.worldcat.org/oclc/646309433","WorldCat Record")</f>
        <v>WorldCat Record</v>
      </c>
      <c r="AX5281" s="3" t="s">
        <v>50561</v>
      </c>
      <c r="AY5281" s="3" t="s">
        <v>50562</v>
      </c>
      <c r="AZ5281" s="3" t="s">
        <v>50563</v>
      </c>
      <c r="BA5281" s="3" t="s">
        <v>50563</v>
      </c>
      <c r="BB5281" s="3" t="s">
        <v>50564</v>
      </c>
      <c r="BC5281" s="3" t="s">
        <v>142</v>
      </c>
      <c r="BD5281" s="3" t="s">
        <v>68</v>
      </c>
      <c r="BE5281" s="3" t="s">
        <v>50565</v>
      </c>
      <c r="BF5281" s="3" t="s">
        <v>50564</v>
      </c>
      <c r="BG5281" s="3" t="s">
        <v>50566</v>
      </c>
    </row>
    <row r="5282" spans="1:59" ht="57" x14ac:dyDescent="0.45">
      <c r="A5282" s="2" t="s">
        <v>59</v>
      </c>
      <c r="B5282" s="2" t="s">
        <v>60</v>
      </c>
      <c r="C5282" s="2" t="s">
        <v>50567</v>
      </c>
      <c r="D5282" s="2" t="s">
        <v>50568</v>
      </c>
      <c r="E5282" s="2" t="s">
        <v>50569</v>
      </c>
      <c r="G5282" s="3" t="s">
        <v>62</v>
      </c>
      <c r="I5282" s="3" t="s">
        <v>62</v>
      </c>
      <c r="J5282" s="3" t="s">
        <v>62</v>
      </c>
      <c r="K5282" s="3" t="s">
        <v>63</v>
      </c>
      <c r="L5282" s="2" t="s">
        <v>42978</v>
      </c>
      <c r="M5282" s="2" t="s">
        <v>50570</v>
      </c>
      <c r="N5282" s="3" t="s">
        <v>480</v>
      </c>
      <c r="O5282" s="2" t="s">
        <v>168</v>
      </c>
      <c r="P5282" s="3" t="s">
        <v>65</v>
      </c>
      <c r="R5282" s="3" t="s">
        <v>66</v>
      </c>
      <c r="S5282" s="4">
        <v>3</v>
      </c>
      <c r="T5282" s="4">
        <v>3</v>
      </c>
      <c r="U5282" s="5" t="s">
        <v>16348</v>
      </c>
      <c r="V5282" s="5" t="s">
        <v>16348</v>
      </c>
      <c r="W5282" s="5" t="s">
        <v>67</v>
      </c>
      <c r="X5282" s="5" t="s">
        <v>67</v>
      </c>
      <c r="Y5282" s="4">
        <v>45</v>
      </c>
      <c r="Z5282" s="4">
        <v>6</v>
      </c>
      <c r="AA5282" s="4">
        <v>6</v>
      </c>
      <c r="AB5282" s="4">
        <v>1</v>
      </c>
      <c r="AC5282" s="4">
        <v>1</v>
      </c>
      <c r="AD5282" s="4">
        <v>29</v>
      </c>
      <c r="AE5282" s="4">
        <v>29</v>
      </c>
      <c r="AF5282" s="4">
        <v>0</v>
      </c>
      <c r="AG5282" s="4">
        <v>0</v>
      </c>
      <c r="AH5282" s="4">
        <v>29</v>
      </c>
      <c r="AI5282" s="4">
        <v>29</v>
      </c>
      <c r="AJ5282" s="4">
        <v>4</v>
      </c>
      <c r="AK5282" s="4">
        <v>4</v>
      </c>
      <c r="AL5282" s="4">
        <v>21</v>
      </c>
      <c r="AM5282" s="4">
        <v>21</v>
      </c>
      <c r="AN5282" s="4">
        <v>0</v>
      </c>
      <c r="AO5282" s="4">
        <v>0</v>
      </c>
      <c r="AP5282" s="4">
        <v>4</v>
      </c>
      <c r="AQ5282" s="4">
        <v>4</v>
      </c>
      <c r="AR5282" s="3" t="s">
        <v>62</v>
      </c>
      <c r="AS5282" s="3" t="s">
        <v>62</v>
      </c>
      <c r="AT5282" s="3" t="s">
        <v>61</v>
      </c>
      <c r="AU5282" s="6" t="str">
        <f>HYPERLINK("http://catalog.hathitrust.org/Record/000745016","HathiTrust Record")</f>
        <v>HathiTrust Record</v>
      </c>
      <c r="AV5282" s="6" t="str">
        <f>HYPERLINK("http://mcgill.on.worldcat.org/oclc/7250021","Catalog Record")</f>
        <v>Catalog Record</v>
      </c>
      <c r="AW5282" s="6" t="str">
        <f>HYPERLINK("http://www.worldcat.org/oclc/7250021","WorldCat Record")</f>
        <v>WorldCat Record</v>
      </c>
      <c r="AX5282" s="3" t="s">
        <v>50571</v>
      </c>
      <c r="AY5282" s="3" t="s">
        <v>50572</v>
      </c>
      <c r="AZ5282" s="3" t="s">
        <v>50573</v>
      </c>
      <c r="BA5282" s="3" t="s">
        <v>50573</v>
      </c>
      <c r="BB5282" s="3" t="s">
        <v>50574</v>
      </c>
      <c r="BC5282" s="3" t="s">
        <v>142</v>
      </c>
      <c r="BD5282" s="3" t="s">
        <v>68</v>
      </c>
      <c r="BF5282" s="3" t="s">
        <v>50574</v>
      </c>
      <c r="BG5282" s="3" t="s">
        <v>50575</v>
      </c>
    </row>
    <row r="5283" spans="1:59" ht="57" x14ac:dyDescent="0.45">
      <c r="A5283" s="2" t="s">
        <v>59</v>
      </c>
      <c r="B5283" s="2" t="s">
        <v>60</v>
      </c>
      <c r="C5283" s="2" t="s">
        <v>50576</v>
      </c>
      <c r="D5283" s="2" t="s">
        <v>50577</v>
      </c>
      <c r="E5283" s="2" t="s">
        <v>50578</v>
      </c>
      <c r="G5283" s="3" t="s">
        <v>62</v>
      </c>
      <c r="I5283" s="3" t="s">
        <v>62</v>
      </c>
      <c r="J5283" s="3" t="s">
        <v>62</v>
      </c>
      <c r="K5283" s="3" t="s">
        <v>63</v>
      </c>
      <c r="L5283" s="2" t="s">
        <v>49789</v>
      </c>
      <c r="M5283" s="2" t="s">
        <v>2964</v>
      </c>
      <c r="N5283" s="3" t="s">
        <v>1059</v>
      </c>
      <c r="P5283" s="3" t="s">
        <v>65</v>
      </c>
      <c r="Q5283" s="2" t="s">
        <v>50579</v>
      </c>
      <c r="R5283" s="3" t="s">
        <v>66</v>
      </c>
      <c r="S5283" s="4">
        <v>3</v>
      </c>
      <c r="T5283" s="4">
        <v>3</v>
      </c>
      <c r="U5283" s="5" t="s">
        <v>29526</v>
      </c>
      <c r="V5283" s="5" t="s">
        <v>29526</v>
      </c>
      <c r="W5283" s="5" t="s">
        <v>67</v>
      </c>
      <c r="X5283" s="5" t="s">
        <v>67</v>
      </c>
      <c r="Y5283" s="4">
        <v>86</v>
      </c>
      <c r="Z5283" s="4">
        <v>6</v>
      </c>
      <c r="AA5283" s="4">
        <v>95</v>
      </c>
      <c r="AB5283" s="4">
        <v>1</v>
      </c>
      <c r="AC5283" s="4">
        <v>17</v>
      </c>
      <c r="AD5283" s="4">
        <v>44</v>
      </c>
      <c r="AE5283" s="4">
        <v>116</v>
      </c>
      <c r="AF5283" s="4">
        <v>0</v>
      </c>
      <c r="AG5283" s="4">
        <v>8</v>
      </c>
      <c r="AH5283" s="4">
        <v>43</v>
      </c>
      <c r="AI5283" s="4">
        <v>81</v>
      </c>
      <c r="AJ5283" s="4">
        <v>4</v>
      </c>
      <c r="AK5283" s="4">
        <v>22</v>
      </c>
      <c r="AL5283" s="4">
        <v>30</v>
      </c>
      <c r="AM5283" s="4">
        <v>42</v>
      </c>
      <c r="AN5283" s="4">
        <v>0</v>
      </c>
      <c r="AO5283" s="4">
        <v>0</v>
      </c>
      <c r="AP5283" s="4">
        <v>4</v>
      </c>
      <c r="AQ5283" s="4">
        <v>43</v>
      </c>
      <c r="AR5283" s="3" t="s">
        <v>62</v>
      </c>
      <c r="AS5283" s="3" t="s">
        <v>62</v>
      </c>
      <c r="AT5283" s="3" t="s">
        <v>61</v>
      </c>
      <c r="AU5283" s="6" t="str">
        <f>HYPERLINK("http://catalog.hathitrust.org/Record/005412045","HathiTrust Record")</f>
        <v>HathiTrust Record</v>
      </c>
      <c r="AV5283" s="6" t="str">
        <f>HYPERLINK("http://mcgill.on.worldcat.org/oclc/69680199","Catalog Record")</f>
        <v>Catalog Record</v>
      </c>
      <c r="AW5283" s="6" t="str">
        <f>HYPERLINK("http://www.worldcat.org/oclc/69680199","WorldCat Record")</f>
        <v>WorldCat Record</v>
      </c>
      <c r="AX5283" s="3" t="s">
        <v>50580</v>
      </c>
      <c r="AY5283" s="3" t="s">
        <v>50581</v>
      </c>
      <c r="AZ5283" s="3" t="s">
        <v>50582</v>
      </c>
      <c r="BA5283" s="3" t="s">
        <v>50582</v>
      </c>
      <c r="BB5283" s="3" t="s">
        <v>50583</v>
      </c>
      <c r="BC5283" s="3" t="s">
        <v>142</v>
      </c>
      <c r="BD5283" s="3" t="s">
        <v>68</v>
      </c>
      <c r="BE5283" s="3" t="s">
        <v>50584</v>
      </c>
      <c r="BF5283" s="3" t="s">
        <v>50583</v>
      </c>
      <c r="BG5283" s="3" t="s">
        <v>50585</v>
      </c>
    </row>
    <row r="5284" spans="1:59" ht="57" x14ac:dyDescent="0.45">
      <c r="A5284" s="2" t="s">
        <v>59</v>
      </c>
      <c r="B5284" s="2" t="s">
        <v>60</v>
      </c>
      <c r="C5284" s="2" t="s">
        <v>50586</v>
      </c>
      <c r="D5284" s="2" t="s">
        <v>50587</v>
      </c>
      <c r="E5284" s="2" t="s">
        <v>50588</v>
      </c>
      <c r="G5284" s="3" t="s">
        <v>62</v>
      </c>
      <c r="I5284" s="3" t="s">
        <v>61</v>
      </c>
      <c r="J5284" s="3" t="s">
        <v>62</v>
      </c>
      <c r="K5284" s="3" t="s">
        <v>63</v>
      </c>
      <c r="L5284" s="2" t="s">
        <v>50589</v>
      </c>
      <c r="M5284" s="2" t="s">
        <v>50590</v>
      </c>
      <c r="N5284" s="3" t="s">
        <v>970</v>
      </c>
      <c r="O5284" s="2" t="s">
        <v>168</v>
      </c>
      <c r="P5284" s="3" t="s">
        <v>65</v>
      </c>
      <c r="Q5284" s="2" t="s">
        <v>50591</v>
      </c>
      <c r="R5284" s="3" t="s">
        <v>66</v>
      </c>
      <c r="S5284" s="4">
        <v>14</v>
      </c>
      <c r="T5284" s="4">
        <v>37</v>
      </c>
      <c r="U5284" s="5" t="s">
        <v>50592</v>
      </c>
      <c r="V5284" s="5" t="s">
        <v>158</v>
      </c>
      <c r="W5284" s="5" t="s">
        <v>67</v>
      </c>
      <c r="X5284" s="5" t="s">
        <v>67</v>
      </c>
      <c r="Y5284" s="4">
        <v>10</v>
      </c>
      <c r="Z5284" s="4">
        <v>2</v>
      </c>
      <c r="AA5284" s="4">
        <v>92</v>
      </c>
      <c r="AB5284" s="4">
        <v>1</v>
      </c>
      <c r="AC5284" s="4">
        <v>17</v>
      </c>
      <c r="AD5284" s="4">
        <v>1</v>
      </c>
      <c r="AE5284" s="4">
        <v>128</v>
      </c>
      <c r="AF5284" s="4">
        <v>0</v>
      </c>
      <c r="AG5284" s="4">
        <v>8</v>
      </c>
      <c r="AH5284" s="4">
        <v>1</v>
      </c>
      <c r="AI5284" s="4">
        <v>91</v>
      </c>
      <c r="AJ5284" s="4">
        <v>1</v>
      </c>
      <c r="AK5284" s="4">
        <v>24</v>
      </c>
      <c r="AL5284" s="4">
        <v>0</v>
      </c>
      <c r="AM5284" s="4">
        <v>48</v>
      </c>
      <c r="AN5284" s="4">
        <v>0</v>
      </c>
      <c r="AO5284" s="4">
        <v>0</v>
      </c>
      <c r="AP5284" s="4">
        <v>1</v>
      </c>
      <c r="AQ5284" s="4">
        <v>44</v>
      </c>
      <c r="AR5284" s="3" t="s">
        <v>62</v>
      </c>
      <c r="AS5284" s="3" t="s">
        <v>62</v>
      </c>
      <c r="AT5284" s="3" t="s">
        <v>61</v>
      </c>
      <c r="AU5284" s="6" t="str">
        <f>HYPERLINK("http://catalog.hathitrust.org/Record/004281069","HathiTrust Record")</f>
        <v>HathiTrust Record</v>
      </c>
      <c r="AV5284" s="6" t="str">
        <f>HYPERLINK("http://mcgill.on.worldcat.org/oclc/155837837","Catalog Record")</f>
        <v>Catalog Record</v>
      </c>
      <c r="AW5284" s="6" t="str">
        <f>HYPERLINK("http://www.worldcat.org/oclc/155837837","WorldCat Record")</f>
        <v>WorldCat Record</v>
      </c>
      <c r="AX5284" s="3" t="s">
        <v>50593</v>
      </c>
      <c r="AY5284" s="3" t="s">
        <v>50594</v>
      </c>
      <c r="AZ5284" s="3" t="s">
        <v>50595</v>
      </c>
      <c r="BA5284" s="3" t="s">
        <v>50595</v>
      </c>
      <c r="BB5284" s="3" t="s">
        <v>50596</v>
      </c>
      <c r="BC5284" s="3" t="s">
        <v>142</v>
      </c>
      <c r="BD5284" s="3" t="s">
        <v>68</v>
      </c>
      <c r="BE5284" s="3" t="s">
        <v>50597</v>
      </c>
      <c r="BF5284" s="3" t="s">
        <v>50596</v>
      </c>
      <c r="BG5284" s="3" t="s">
        <v>50598</v>
      </c>
    </row>
    <row r="5285" spans="1:59" ht="57" x14ac:dyDescent="0.45">
      <c r="A5285" s="2" t="s">
        <v>59</v>
      </c>
      <c r="B5285" s="2" t="s">
        <v>60</v>
      </c>
      <c r="C5285" s="2" t="s">
        <v>50586</v>
      </c>
      <c r="D5285" s="2" t="s">
        <v>50587</v>
      </c>
      <c r="E5285" s="2" t="s">
        <v>50588</v>
      </c>
      <c r="G5285" s="3" t="s">
        <v>62</v>
      </c>
      <c r="I5285" s="3" t="s">
        <v>61</v>
      </c>
      <c r="J5285" s="3" t="s">
        <v>62</v>
      </c>
      <c r="K5285" s="3" t="s">
        <v>63</v>
      </c>
      <c r="L5285" s="2" t="s">
        <v>50589</v>
      </c>
      <c r="M5285" s="2" t="s">
        <v>50590</v>
      </c>
      <c r="N5285" s="3" t="s">
        <v>970</v>
      </c>
      <c r="O5285" s="2" t="s">
        <v>168</v>
      </c>
      <c r="P5285" s="3" t="s">
        <v>65</v>
      </c>
      <c r="Q5285" s="2" t="s">
        <v>50591</v>
      </c>
      <c r="R5285" s="3" t="s">
        <v>66</v>
      </c>
      <c r="S5285" s="4">
        <v>23</v>
      </c>
      <c r="T5285" s="4">
        <v>37</v>
      </c>
      <c r="U5285" s="5" t="s">
        <v>158</v>
      </c>
      <c r="V5285" s="5" t="s">
        <v>158</v>
      </c>
      <c r="W5285" s="5" t="s">
        <v>67</v>
      </c>
      <c r="X5285" s="5" t="s">
        <v>67</v>
      </c>
      <c r="Y5285" s="4">
        <v>10</v>
      </c>
      <c r="Z5285" s="4">
        <v>2</v>
      </c>
      <c r="AA5285" s="4">
        <v>92</v>
      </c>
      <c r="AB5285" s="4">
        <v>1</v>
      </c>
      <c r="AC5285" s="4">
        <v>17</v>
      </c>
      <c r="AD5285" s="4">
        <v>1</v>
      </c>
      <c r="AE5285" s="4">
        <v>128</v>
      </c>
      <c r="AF5285" s="4">
        <v>0</v>
      </c>
      <c r="AG5285" s="4">
        <v>8</v>
      </c>
      <c r="AH5285" s="4">
        <v>1</v>
      </c>
      <c r="AI5285" s="4">
        <v>91</v>
      </c>
      <c r="AJ5285" s="4">
        <v>1</v>
      </c>
      <c r="AK5285" s="4">
        <v>24</v>
      </c>
      <c r="AL5285" s="4">
        <v>0</v>
      </c>
      <c r="AM5285" s="4">
        <v>48</v>
      </c>
      <c r="AN5285" s="4">
        <v>0</v>
      </c>
      <c r="AO5285" s="4">
        <v>0</v>
      </c>
      <c r="AP5285" s="4">
        <v>1</v>
      </c>
      <c r="AQ5285" s="4">
        <v>44</v>
      </c>
      <c r="AR5285" s="3" t="s">
        <v>62</v>
      </c>
      <c r="AS5285" s="3" t="s">
        <v>62</v>
      </c>
      <c r="AT5285" s="3" t="s">
        <v>61</v>
      </c>
      <c r="AU5285" s="6" t="str">
        <f>HYPERLINK("http://catalog.hathitrust.org/Record/004281069","HathiTrust Record")</f>
        <v>HathiTrust Record</v>
      </c>
      <c r="AV5285" s="6" t="str">
        <f>HYPERLINK("http://mcgill.on.worldcat.org/oclc/155837837","Catalog Record")</f>
        <v>Catalog Record</v>
      </c>
      <c r="AW5285" s="6" t="str">
        <f>HYPERLINK("http://www.worldcat.org/oclc/155837837","WorldCat Record")</f>
        <v>WorldCat Record</v>
      </c>
      <c r="AX5285" s="3" t="s">
        <v>50593</v>
      </c>
      <c r="AY5285" s="3" t="s">
        <v>50594</v>
      </c>
      <c r="AZ5285" s="3" t="s">
        <v>50595</v>
      </c>
      <c r="BA5285" s="3" t="s">
        <v>50595</v>
      </c>
      <c r="BB5285" s="3" t="s">
        <v>50599</v>
      </c>
      <c r="BC5285" s="3" t="s">
        <v>142</v>
      </c>
      <c r="BD5285" s="3" t="s">
        <v>308</v>
      </c>
      <c r="BE5285" s="3" t="s">
        <v>50597</v>
      </c>
      <c r="BF5285" s="3" t="s">
        <v>50599</v>
      </c>
      <c r="BG5285" s="3" t="s">
        <v>50600</v>
      </c>
    </row>
    <row r="5286" spans="1:59" ht="57" x14ac:dyDescent="0.45">
      <c r="A5286" s="2" t="s">
        <v>59</v>
      </c>
      <c r="B5286" s="2" t="s">
        <v>60</v>
      </c>
      <c r="C5286" s="2" t="s">
        <v>50601</v>
      </c>
      <c r="D5286" s="2" t="s">
        <v>50602</v>
      </c>
      <c r="E5286" s="2" t="s">
        <v>50603</v>
      </c>
      <c r="G5286" s="3" t="s">
        <v>62</v>
      </c>
      <c r="I5286" s="3" t="s">
        <v>62</v>
      </c>
      <c r="J5286" s="3" t="s">
        <v>62</v>
      </c>
      <c r="K5286" s="3" t="s">
        <v>63</v>
      </c>
      <c r="L5286" s="2" t="s">
        <v>50604</v>
      </c>
      <c r="M5286" s="2" t="s">
        <v>21778</v>
      </c>
      <c r="N5286" s="3" t="s">
        <v>149</v>
      </c>
      <c r="P5286" s="3" t="s">
        <v>65</v>
      </c>
      <c r="Q5286" s="2" t="s">
        <v>50605</v>
      </c>
      <c r="R5286" s="3" t="s">
        <v>66</v>
      </c>
      <c r="S5286" s="4">
        <v>7</v>
      </c>
      <c r="T5286" s="4">
        <v>7</v>
      </c>
      <c r="U5286" s="5" t="s">
        <v>50606</v>
      </c>
      <c r="V5286" s="5" t="s">
        <v>50606</v>
      </c>
      <c r="W5286" s="5" t="s">
        <v>67</v>
      </c>
      <c r="X5286" s="5" t="s">
        <v>67</v>
      </c>
      <c r="Y5286" s="4">
        <v>162</v>
      </c>
      <c r="Z5286" s="4">
        <v>21</v>
      </c>
      <c r="AA5286" s="4">
        <v>95</v>
      </c>
      <c r="AB5286" s="4">
        <v>2</v>
      </c>
      <c r="AC5286" s="4">
        <v>17</v>
      </c>
      <c r="AD5286" s="4">
        <v>82</v>
      </c>
      <c r="AE5286" s="4">
        <v>132</v>
      </c>
      <c r="AF5286" s="4">
        <v>1</v>
      </c>
      <c r="AG5286" s="4">
        <v>8</v>
      </c>
      <c r="AH5286" s="4">
        <v>73</v>
      </c>
      <c r="AI5286" s="4">
        <v>94</v>
      </c>
      <c r="AJ5286" s="4">
        <v>15</v>
      </c>
      <c r="AK5286" s="4">
        <v>26</v>
      </c>
      <c r="AL5286" s="4">
        <v>42</v>
      </c>
      <c r="AM5286" s="4">
        <v>50</v>
      </c>
      <c r="AN5286" s="4">
        <v>0</v>
      </c>
      <c r="AO5286" s="4">
        <v>0</v>
      </c>
      <c r="AP5286" s="4">
        <v>16</v>
      </c>
      <c r="AQ5286" s="4">
        <v>47</v>
      </c>
      <c r="AR5286" s="3" t="s">
        <v>62</v>
      </c>
      <c r="AS5286" s="3" t="s">
        <v>62</v>
      </c>
      <c r="AT5286" s="3" t="s">
        <v>62</v>
      </c>
      <c r="AV5286" s="6" t="str">
        <f>HYPERLINK("http://mcgill.on.worldcat.org/oclc/457772850","Catalog Record")</f>
        <v>Catalog Record</v>
      </c>
      <c r="AW5286" s="6" t="str">
        <f>HYPERLINK("http://www.worldcat.org/oclc/457772850","WorldCat Record")</f>
        <v>WorldCat Record</v>
      </c>
      <c r="AX5286" s="3" t="s">
        <v>50607</v>
      </c>
      <c r="AY5286" s="3" t="s">
        <v>50608</v>
      </c>
      <c r="AZ5286" s="3" t="s">
        <v>50609</v>
      </c>
      <c r="BA5286" s="3" t="s">
        <v>50609</v>
      </c>
      <c r="BB5286" s="3" t="s">
        <v>50610</v>
      </c>
      <c r="BC5286" s="3" t="s">
        <v>142</v>
      </c>
      <c r="BD5286" s="3" t="s">
        <v>68</v>
      </c>
      <c r="BE5286" s="3" t="s">
        <v>50611</v>
      </c>
      <c r="BF5286" s="3" t="s">
        <v>50610</v>
      </c>
      <c r="BG5286" s="3" t="s">
        <v>50612</v>
      </c>
    </row>
    <row r="5287" spans="1:59" ht="57" x14ac:dyDescent="0.45">
      <c r="A5287" s="2" t="s">
        <v>59</v>
      </c>
      <c r="B5287" s="2" t="s">
        <v>60</v>
      </c>
      <c r="C5287" s="2" t="s">
        <v>50613</v>
      </c>
      <c r="D5287" s="2" t="s">
        <v>50614</v>
      </c>
      <c r="E5287" s="2" t="s">
        <v>50615</v>
      </c>
      <c r="G5287" s="3" t="s">
        <v>62</v>
      </c>
      <c r="I5287" s="3" t="s">
        <v>62</v>
      </c>
      <c r="J5287" s="3" t="s">
        <v>62</v>
      </c>
      <c r="K5287" s="3" t="s">
        <v>63</v>
      </c>
      <c r="L5287" s="2" t="s">
        <v>50616</v>
      </c>
      <c r="M5287" s="2" t="s">
        <v>50617</v>
      </c>
      <c r="N5287" s="3" t="s">
        <v>167</v>
      </c>
      <c r="P5287" s="3" t="s">
        <v>65</v>
      </c>
      <c r="Q5287" s="2" t="s">
        <v>49489</v>
      </c>
      <c r="R5287" s="3" t="s">
        <v>66</v>
      </c>
      <c r="S5287" s="4">
        <v>12</v>
      </c>
      <c r="T5287" s="4">
        <v>12</v>
      </c>
      <c r="U5287" s="5" t="s">
        <v>158</v>
      </c>
      <c r="V5287" s="5" t="s">
        <v>158</v>
      </c>
      <c r="W5287" s="5" t="s">
        <v>67</v>
      </c>
      <c r="X5287" s="5" t="s">
        <v>67</v>
      </c>
      <c r="Y5287" s="4">
        <v>95</v>
      </c>
      <c r="Z5287" s="4">
        <v>3</v>
      </c>
      <c r="AA5287" s="4">
        <v>73</v>
      </c>
      <c r="AB5287" s="4">
        <v>1</v>
      </c>
      <c r="AC5287" s="4">
        <v>15</v>
      </c>
      <c r="AD5287" s="4">
        <v>37</v>
      </c>
      <c r="AE5287" s="4">
        <v>103</v>
      </c>
      <c r="AF5287" s="4">
        <v>0</v>
      </c>
      <c r="AG5287" s="4">
        <v>8</v>
      </c>
      <c r="AH5287" s="4">
        <v>36</v>
      </c>
      <c r="AI5287" s="4">
        <v>72</v>
      </c>
      <c r="AJ5287" s="4">
        <v>1</v>
      </c>
      <c r="AK5287" s="4">
        <v>17</v>
      </c>
      <c r="AL5287" s="4">
        <v>23</v>
      </c>
      <c r="AM5287" s="4">
        <v>36</v>
      </c>
      <c r="AN5287" s="4">
        <v>0</v>
      </c>
      <c r="AO5287" s="4">
        <v>0</v>
      </c>
      <c r="AP5287" s="4">
        <v>1</v>
      </c>
      <c r="AQ5287" s="4">
        <v>37</v>
      </c>
      <c r="AR5287" s="3" t="s">
        <v>62</v>
      </c>
      <c r="AS5287" s="3" t="s">
        <v>62</v>
      </c>
      <c r="AT5287" s="3" t="s">
        <v>62</v>
      </c>
      <c r="AV5287" s="6" t="str">
        <f>HYPERLINK("http://mcgill.on.worldcat.org/oclc/40542913","Catalog Record")</f>
        <v>Catalog Record</v>
      </c>
      <c r="AW5287" s="6" t="str">
        <f>HYPERLINK("http://www.worldcat.org/oclc/40542913","WorldCat Record")</f>
        <v>WorldCat Record</v>
      </c>
      <c r="AX5287" s="3" t="s">
        <v>50618</v>
      </c>
      <c r="AY5287" s="3" t="s">
        <v>50619</v>
      </c>
      <c r="AZ5287" s="3" t="s">
        <v>50620</v>
      </c>
      <c r="BA5287" s="3" t="s">
        <v>50620</v>
      </c>
      <c r="BB5287" s="3" t="s">
        <v>50621</v>
      </c>
      <c r="BC5287" s="3" t="s">
        <v>142</v>
      </c>
      <c r="BD5287" s="3" t="s">
        <v>68</v>
      </c>
      <c r="BE5287" s="3" t="s">
        <v>50622</v>
      </c>
      <c r="BF5287" s="3" t="s">
        <v>50621</v>
      </c>
      <c r="BG5287" s="3" t="s">
        <v>50623</v>
      </c>
    </row>
    <row r="5288" spans="1:59" ht="57" x14ac:dyDescent="0.45">
      <c r="A5288" s="2" t="s">
        <v>59</v>
      </c>
      <c r="B5288" s="2" t="s">
        <v>60</v>
      </c>
      <c r="C5288" s="2" t="s">
        <v>50624</v>
      </c>
      <c r="D5288" s="2" t="s">
        <v>50625</v>
      </c>
      <c r="E5288" s="2" t="s">
        <v>50626</v>
      </c>
      <c r="G5288" s="3" t="s">
        <v>62</v>
      </c>
      <c r="I5288" s="3" t="s">
        <v>62</v>
      </c>
      <c r="J5288" s="3" t="s">
        <v>62</v>
      </c>
      <c r="K5288" s="3" t="s">
        <v>63</v>
      </c>
      <c r="L5288" s="2" t="s">
        <v>50627</v>
      </c>
      <c r="M5288" s="2" t="s">
        <v>49314</v>
      </c>
      <c r="N5288" s="3" t="s">
        <v>894</v>
      </c>
      <c r="P5288" s="3" t="s">
        <v>65</v>
      </c>
      <c r="Q5288" s="2" t="s">
        <v>50628</v>
      </c>
      <c r="R5288" s="3" t="s">
        <v>66</v>
      </c>
      <c r="S5288" s="4">
        <v>0</v>
      </c>
      <c r="T5288" s="4">
        <v>0</v>
      </c>
      <c r="W5288" s="5" t="s">
        <v>67</v>
      </c>
      <c r="X5288" s="5" t="s">
        <v>67</v>
      </c>
      <c r="Y5288" s="4">
        <v>31</v>
      </c>
      <c r="Z5288" s="4">
        <v>5</v>
      </c>
      <c r="AA5288" s="4">
        <v>33</v>
      </c>
      <c r="AB5288" s="4">
        <v>1</v>
      </c>
      <c r="AC5288" s="4">
        <v>8</v>
      </c>
      <c r="AD5288" s="4">
        <v>11</v>
      </c>
      <c r="AE5288" s="4">
        <v>24</v>
      </c>
      <c r="AF5288" s="4">
        <v>0</v>
      </c>
      <c r="AG5288" s="4">
        <v>2</v>
      </c>
      <c r="AH5288" s="4">
        <v>11</v>
      </c>
      <c r="AI5288" s="4">
        <v>16</v>
      </c>
      <c r="AJ5288" s="4">
        <v>3</v>
      </c>
      <c r="AK5288" s="4">
        <v>5</v>
      </c>
      <c r="AL5288" s="4">
        <v>8</v>
      </c>
      <c r="AM5288" s="4">
        <v>12</v>
      </c>
      <c r="AN5288" s="4">
        <v>0</v>
      </c>
      <c r="AO5288" s="4">
        <v>0</v>
      </c>
      <c r="AP5288" s="4">
        <v>3</v>
      </c>
      <c r="AQ5288" s="4">
        <v>10</v>
      </c>
      <c r="AR5288" s="3" t="s">
        <v>62</v>
      </c>
      <c r="AS5288" s="3" t="s">
        <v>62</v>
      </c>
      <c r="AT5288" s="3" t="s">
        <v>62</v>
      </c>
      <c r="AV5288" s="6" t="str">
        <f>HYPERLINK("http://mcgill.on.worldcat.org/oclc/697036798","Catalog Record")</f>
        <v>Catalog Record</v>
      </c>
      <c r="AW5288" s="6" t="str">
        <f>HYPERLINK("http://www.worldcat.org/oclc/697036798","WorldCat Record")</f>
        <v>WorldCat Record</v>
      </c>
      <c r="AX5288" s="3" t="s">
        <v>50629</v>
      </c>
      <c r="AY5288" s="3" t="s">
        <v>50630</v>
      </c>
      <c r="AZ5288" s="3" t="s">
        <v>50631</v>
      </c>
      <c r="BA5288" s="3" t="s">
        <v>50631</v>
      </c>
      <c r="BB5288" s="3" t="s">
        <v>50632</v>
      </c>
      <c r="BC5288" s="3" t="s">
        <v>142</v>
      </c>
      <c r="BD5288" s="3" t="s">
        <v>68</v>
      </c>
      <c r="BE5288" s="3" t="s">
        <v>50633</v>
      </c>
      <c r="BF5288" s="3" t="s">
        <v>50632</v>
      </c>
      <c r="BG5288" s="3" t="s">
        <v>50634</v>
      </c>
    </row>
    <row r="5289" spans="1:59" ht="57" x14ac:dyDescent="0.45">
      <c r="A5289" s="2" t="s">
        <v>59</v>
      </c>
      <c r="B5289" s="2" t="s">
        <v>60</v>
      </c>
      <c r="C5289" s="2" t="s">
        <v>50635</v>
      </c>
      <c r="D5289" s="2" t="s">
        <v>50636</v>
      </c>
      <c r="E5289" s="2" t="s">
        <v>50637</v>
      </c>
      <c r="G5289" s="3" t="s">
        <v>62</v>
      </c>
      <c r="I5289" s="3" t="s">
        <v>62</v>
      </c>
      <c r="J5289" s="3" t="s">
        <v>62</v>
      </c>
      <c r="K5289" s="3" t="s">
        <v>63</v>
      </c>
      <c r="L5289" s="2" t="s">
        <v>50638</v>
      </c>
      <c r="M5289" s="2" t="s">
        <v>1178</v>
      </c>
      <c r="N5289" s="3" t="s">
        <v>894</v>
      </c>
      <c r="P5289" s="3" t="s">
        <v>65</v>
      </c>
      <c r="Q5289" s="2" t="s">
        <v>50639</v>
      </c>
      <c r="R5289" s="3" t="s">
        <v>66</v>
      </c>
      <c r="S5289" s="4">
        <v>0</v>
      </c>
      <c r="T5289" s="4">
        <v>0</v>
      </c>
      <c r="W5289" s="5" t="s">
        <v>67</v>
      </c>
      <c r="X5289" s="5" t="s">
        <v>67</v>
      </c>
      <c r="Y5289" s="4">
        <v>60</v>
      </c>
      <c r="Z5289" s="4">
        <v>7</v>
      </c>
      <c r="AA5289" s="4">
        <v>86</v>
      </c>
      <c r="AB5289" s="4">
        <v>1</v>
      </c>
      <c r="AC5289" s="4">
        <v>17</v>
      </c>
      <c r="AD5289" s="4">
        <v>27</v>
      </c>
      <c r="AE5289" s="4">
        <v>109</v>
      </c>
      <c r="AF5289" s="4">
        <v>0</v>
      </c>
      <c r="AG5289" s="4">
        <v>8</v>
      </c>
      <c r="AH5289" s="4">
        <v>23</v>
      </c>
      <c r="AI5289" s="4">
        <v>73</v>
      </c>
      <c r="AJ5289" s="4">
        <v>6</v>
      </c>
      <c r="AK5289" s="4">
        <v>21</v>
      </c>
      <c r="AL5289" s="4">
        <v>18</v>
      </c>
      <c r="AM5289" s="4">
        <v>40</v>
      </c>
      <c r="AN5289" s="4">
        <v>0</v>
      </c>
      <c r="AO5289" s="4">
        <v>0</v>
      </c>
      <c r="AP5289" s="4">
        <v>6</v>
      </c>
      <c r="AQ5289" s="4">
        <v>42</v>
      </c>
      <c r="AR5289" s="3" t="s">
        <v>62</v>
      </c>
      <c r="AS5289" s="3" t="s">
        <v>62</v>
      </c>
      <c r="AT5289" s="3" t="s">
        <v>62</v>
      </c>
      <c r="AV5289" s="6" t="str">
        <f>HYPERLINK("http://mcgill.on.worldcat.org/oclc/685120609","Catalog Record")</f>
        <v>Catalog Record</v>
      </c>
      <c r="AW5289" s="6" t="str">
        <f>HYPERLINK("http://www.worldcat.org/oclc/685120609","WorldCat Record")</f>
        <v>WorldCat Record</v>
      </c>
      <c r="AX5289" s="3" t="s">
        <v>50640</v>
      </c>
      <c r="AY5289" s="3" t="s">
        <v>50641</v>
      </c>
      <c r="AZ5289" s="3" t="s">
        <v>50642</v>
      </c>
      <c r="BA5289" s="3" t="s">
        <v>50642</v>
      </c>
      <c r="BB5289" s="3" t="s">
        <v>50643</v>
      </c>
      <c r="BC5289" s="3" t="s">
        <v>142</v>
      </c>
      <c r="BD5289" s="3" t="s">
        <v>68</v>
      </c>
      <c r="BE5289" s="3" t="s">
        <v>50644</v>
      </c>
      <c r="BF5289" s="3" t="s">
        <v>50643</v>
      </c>
      <c r="BG5289" s="3" t="s">
        <v>50645</v>
      </c>
    </row>
    <row r="5290" spans="1:59" ht="57" x14ac:dyDescent="0.45">
      <c r="A5290" s="2" t="s">
        <v>59</v>
      </c>
      <c r="B5290" s="2" t="s">
        <v>60</v>
      </c>
      <c r="C5290" s="2" t="s">
        <v>50646</v>
      </c>
      <c r="D5290" s="2" t="s">
        <v>50647</v>
      </c>
      <c r="E5290" s="2" t="s">
        <v>50648</v>
      </c>
      <c r="G5290" s="3" t="s">
        <v>62</v>
      </c>
      <c r="I5290" s="3" t="s">
        <v>62</v>
      </c>
      <c r="J5290" s="3" t="s">
        <v>62</v>
      </c>
      <c r="K5290" s="3" t="s">
        <v>63</v>
      </c>
      <c r="L5290" s="2" t="s">
        <v>35002</v>
      </c>
      <c r="M5290" s="2" t="s">
        <v>50649</v>
      </c>
      <c r="N5290" s="3" t="s">
        <v>495</v>
      </c>
      <c r="P5290" s="3" t="s">
        <v>65</v>
      </c>
      <c r="Q5290" s="2" t="s">
        <v>50650</v>
      </c>
      <c r="R5290" s="3" t="s">
        <v>66</v>
      </c>
      <c r="S5290" s="4">
        <v>7</v>
      </c>
      <c r="T5290" s="4">
        <v>7</v>
      </c>
      <c r="U5290" s="5" t="s">
        <v>24342</v>
      </c>
      <c r="V5290" s="5" t="s">
        <v>24342</v>
      </c>
      <c r="W5290" s="5" t="s">
        <v>67</v>
      </c>
      <c r="X5290" s="5" t="s">
        <v>67</v>
      </c>
      <c r="Y5290" s="4">
        <v>391</v>
      </c>
      <c r="Z5290" s="4">
        <v>27</v>
      </c>
      <c r="AA5290" s="4">
        <v>29</v>
      </c>
      <c r="AB5290" s="4">
        <v>2</v>
      </c>
      <c r="AC5290" s="4">
        <v>4</v>
      </c>
      <c r="AD5290" s="4">
        <v>118</v>
      </c>
      <c r="AE5290" s="4">
        <v>120</v>
      </c>
      <c r="AF5290" s="4">
        <v>1</v>
      </c>
      <c r="AG5290" s="4">
        <v>3</v>
      </c>
      <c r="AH5290" s="4">
        <v>104</v>
      </c>
      <c r="AI5290" s="4">
        <v>105</v>
      </c>
      <c r="AJ5290" s="4">
        <v>21</v>
      </c>
      <c r="AK5290" s="4">
        <v>23</v>
      </c>
      <c r="AL5290" s="4">
        <v>54</v>
      </c>
      <c r="AM5290" s="4">
        <v>54</v>
      </c>
      <c r="AN5290" s="4">
        <v>0</v>
      </c>
      <c r="AO5290" s="4">
        <v>0</v>
      </c>
      <c r="AP5290" s="4">
        <v>24</v>
      </c>
      <c r="AQ5290" s="4">
        <v>25</v>
      </c>
      <c r="AR5290" s="3" t="s">
        <v>62</v>
      </c>
      <c r="AS5290" s="3" t="s">
        <v>62</v>
      </c>
      <c r="AT5290" s="3" t="s">
        <v>62</v>
      </c>
      <c r="AV5290" s="6" t="str">
        <f>HYPERLINK("http://mcgill.on.worldcat.org/oclc/1847339","Catalog Record")</f>
        <v>Catalog Record</v>
      </c>
      <c r="AW5290" s="6" t="str">
        <f>HYPERLINK("http://www.worldcat.org/oclc/1847339","WorldCat Record")</f>
        <v>WorldCat Record</v>
      </c>
      <c r="AX5290" s="3" t="s">
        <v>50651</v>
      </c>
      <c r="AY5290" s="3" t="s">
        <v>50652</v>
      </c>
      <c r="AZ5290" s="3" t="s">
        <v>50653</v>
      </c>
      <c r="BA5290" s="3" t="s">
        <v>50653</v>
      </c>
      <c r="BB5290" s="3" t="s">
        <v>50654</v>
      </c>
      <c r="BC5290" s="3" t="s">
        <v>142</v>
      </c>
      <c r="BD5290" s="3" t="s">
        <v>68</v>
      </c>
      <c r="BE5290" s="3" t="s">
        <v>50655</v>
      </c>
      <c r="BF5290" s="3" t="s">
        <v>50654</v>
      </c>
      <c r="BG5290" s="3" t="s">
        <v>50656</v>
      </c>
    </row>
    <row r="5291" spans="1:59" ht="57" x14ac:dyDescent="0.45">
      <c r="A5291" s="2" t="s">
        <v>59</v>
      </c>
      <c r="B5291" s="2" t="s">
        <v>60</v>
      </c>
      <c r="C5291" s="2" t="s">
        <v>50657</v>
      </c>
      <c r="D5291" s="2" t="s">
        <v>50658</v>
      </c>
      <c r="E5291" s="2" t="s">
        <v>50659</v>
      </c>
      <c r="G5291" s="3" t="s">
        <v>62</v>
      </c>
      <c r="I5291" s="3" t="s">
        <v>62</v>
      </c>
      <c r="J5291" s="3" t="s">
        <v>62</v>
      </c>
      <c r="K5291" s="3" t="s">
        <v>63</v>
      </c>
      <c r="L5291" s="2" t="s">
        <v>50660</v>
      </c>
      <c r="M5291" s="2" t="s">
        <v>7538</v>
      </c>
      <c r="N5291" s="3" t="s">
        <v>918</v>
      </c>
      <c r="P5291" s="3" t="s">
        <v>65</v>
      </c>
      <c r="R5291" s="3" t="s">
        <v>66</v>
      </c>
      <c r="S5291" s="4">
        <v>3</v>
      </c>
      <c r="T5291" s="4">
        <v>3</v>
      </c>
      <c r="U5291" s="5" t="s">
        <v>49881</v>
      </c>
      <c r="V5291" s="5" t="s">
        <v>49881</v>
      </c>
      <c r="W5291" s="5" t="s">
        <v>67</v>
      </c>
      <c r="X5291" s="5" t="s">
        <v>67</v>
      </c>
      <c r="Y5291" s="4">
        <v>279</v>
      </c>
      <c r="Z5291" s="4">
        <v>19</v>
      </c>
      <c r="AA5291" s="4">
        <v>112</v>
      </c>
      <c r="AB5291" s="4">
        <v>2</v>
      </c>
      <c r="AC5291" s="4">
        <v>21</v>
      </c>
      <c r="AD5291" s="4">
        <v>100</v>
      </c>
      <c r="AE5291" s="4">
        <v>150</v>
      </c>
      <c r="AF5291" s="4">
        <v>1</v>
      </c>
      <c r="AG5291" s="4">
        <v>9</v>
      </c>
      <c r="AH5291" s="4">
        <v>88</v>
      </c>
      <c r="AI5291" s="4">
        <v>103</v>
      </c>
      <c r="AJ5291" s="4">
        <v>14</v>
      </c>
      <c r="AK5291" s="4">
        <v>27</v>
      </c>
      <c r="AL5291" s="4">
        <v>51</v>
      </c>
      <c r="AM5291" s="4">
        <v>54</v>
      </c>
      <c r="AN5291" s="4">
        <v>0</v>
      </c>
      <c r="AO5291" s="4">
        <v>0</v>
      </c>
      <c r="AP5291" s="4">
        <v>17</v>
      </c>
      <c r="AQ5291" s="4">
        <v>55</v>
      </c>
      <c r="AR5291" s="3" t="s">
        <v>62</v>
      </c>
      <c r="AS5291" s="3" t="s">
        <v>62</v>
      </c>
      <c r="AT5291" s="3" t="s">
        <v>62</v>
      </c>
      <c r="AV5291" s="6" t="str">
        <f>HYPERLINK("http://mcgill.on.worldcat.org/oclc/51942390","Catalog Record")</f>
        <v>Catalog Record</v>
      </c>
      <c r="AW5291" s="6" t="str">
        <f>HYPERLINK("http://www.worldcat.org/oclc/51942390","WorldCat Record")</f>
        <v>WorldCat Record</v>
      </c>
      <c r="AX5291" s="3" t="s">
        <v>50661</v>
      </c>
      <c r="AY5291" s="3" t="s">
        <v>50662</v>
      </c>
      <c r="AZ5291" s="3" t="s">
        <v>50663</v>
      </c>
      <c r="BA5291" s="3" t="s">
        <v>50663</v>
      </c>
      <c r="BB5291" s="3" t="s">
        <v>50664</v>
      </c>
      <c r="BC5291" s="3" t="s">
        <v>142</v>
      </c>
      <c r="BD5291" s="3" t="s">
        <v>68</v>
      </c>
      <c r="BE5291" s="3" t="s">
        <v>50665</v>
      </c>
      <c r="BF5291" s="3" t="s">
        <v>50664</v>
      </c>
      <c r="BG5291" s="3" t="s">
        <v>50666</v>
      </c>
    </row>
    <row r="5292" spans="1:59" ht="57" x14ac:dyDescent="0.45">
      <c r="A5292" s="2" t="s">
        <v>59</v>
      </c>
      <c r="B5292" s="2" t="s">
        <v>60</v>
      </c>
      <c r="C5292" s="2" t="s">
        <v>50667</v>
      </c>
      <c r="D5292" s="2" t="s">
        <v>50668</v>
      </c>
      <c r="E5292" s="2" t="s">
        <v>50669</v>
      </c>
      <c r="G5292" s="3" t="s">
        <v>62</v>
      </c>
      <c r="I5292" s="3" t="s">
        <v>62</v>
      </c>
      <c r="J5292" s="3" t="s">
        <v>62</v>
      </c>
      <c r="K5292" s="3" t="s">
        <v>63</v>
      </c>
      <c r="L5292" s="2" t="s">
        <v>50670</v>
      </c>
      <c r="M5292" s="2" t="s">
        <v>50671</v>
      </c>
      <c r="N5292" s="3" t="s">
        <v>1155</v>
      </c>
      <c r="P5292" s="3" t="s">
        <v>65</v>
      </c>
      <c r="Q5292" s="2" t="s">
        <v>50672</v>
      </c>
      <c r="R5292" s="3" t="s">
        <v>66</v>
      </c>
      <c r="S5292" s="4">
        <v>0</v>
      </c>
      <c r="T5292" s="4">
        <v>0</v>
      </c>
      <c r="W5292" s="5" t="s">
        <v>67</v>
      </c>
      <c r="X5292" s="5" t="s">
        <v>67</v>
      </c>
      <c r="Y5292" s="4">
        <v>110</v>
      </c>
      <c r="Z5292" s="4">
        <v>12</v>
      </c>
      <c r="AA5292" s="4">
        <v>25</v>
      </c>
      <c r="AB5292" s="4">
        <v>1</v>
      </c>
      <c r="AC5292" s="4">
        <v>5</v>
      </c>
      <c r="AD5292" s="4">
        <v>55</v>
      </c>
      <c r="AE5292" s="4">
        <v>70</v>
      </c>
      <c r="AF5292" s="4">
        <v>0</v>
      </c>
      <c r="AG5292" s="4">
        <v>1</v>
      </c>
      <c r="AH5292" s="4">
        <v>50</v>
      </c>
      <c r="AI5292" s="4">
        <v>59</v>
      </c>
      <c r="AJ5292" s="4">
        <v>11</v>
      </c>
      <c r="AK5292" s="4">
        <v>16</v>
      </c>
      <c r="AL5292" s="4">
        <v>31</v>
      </c>
      <c r="AM5292" s="4">
        <v>34</v>
      </c>
      <c r="AN5292" s="4">
        <v>0</v>
      </c>
      <c r="AO5292" s="4">
        <v>0</v>
      </c>
      <c r="AP5292" s="4">
        <v>11</v>
      </c>
      <c r="AQ5292" s="4">
        <v>21</v>
      </c>
      <c r="AR5292" s="3" t="s">
        <v>62</v>
      </c>
      <c r="AS5292" s="3" t="s">
        <v>62</v>
      </c>
      <c r="AT5292" s="3" t="s">
        <v>62</v>
      </c>
      <c r="AV5292" s="6" t="str">
        <f>HYPERLINK("http://mcgill.on.worldcat.org/oclc/751748683","Catalog Record")</f>
        <v>Catalog Record</v>
      </c>
      <c r="AW5292" s="6" t="str">
        <f>HYPERLINK("http://www.worldcat.org/oclc/751748683","WorldCat Record")</f>
        <v>WorldCat Record</v>
      </c>
      <c r="AX5292" s="3" t="s">
        <v>50673</v>
      </c>
      <c r="AY5292" s="3" t="s">
        <v>50674</v>
      </c>
      <c r="AZ5292" s="3" t="s">
        <v>50675</v>
      </c>
      <c r="BA5292" s="3" t="s">
        <v>50675</v>
      </c>
      <c r="BB5292" s="3" t="s">
        <v>50676</v>
      </c>
      <c r="BC5292" s="3" t="s">
        <v>142</v>
      </c>
      <c r="BD5292" s="3" t="s">
        <v>68</v>
      </c>
      <c r="BE5292" s="3" t="s">
        <v>50677</v>
      </c>
      <c r="BF5292" s="3" t="s">
        <v>50676</v>
      </c>
      <c r="BG5292" s="3" t="s">
        <v>50678</v>
      </c>
    </row>
    <row r="5293" spans="1:59" ht="57" x14ac:dyDescent="0.45">
      <c r="A5293" s="2" t="s">
        <v>59</v>
      </c>
      <c r="B5293" s="2" t="s">
        <v>60</v>
      </c>
      <c r="C5293" s="2" t="s">
        <v>50679</v>
      </c>
      <c r="D5293" s="2" t="s">
        <v>50680</v>
      </c>
      <c r="E5293" s="2" t="s">
        <v>50681</v>
      </c>
      <c r="G5293" s="3" t="s">
        <v>62</v>
      </c>
      <c r="I5293" s="3" t="s">
        <v>62</v>
      </c>
      <c r="J5293" s="3" t="s">
        <v>62</v>
      </c>
      <c r="K5293" s="3" t="s">
        <v>63</v>
      </c>
      <c r="L5293" s="2" t="s">
        <v>45885</v>
      </c>
      <c r="M5293" s="2" t="s">
        <v>50682</v>
      </c>
      <c r="N5293" s="3" t="s">
        <v>1224</v>
      </c>
      <c r="P5293" s="3" t="s">
        <v>110</v>
      </c>
      <c r="Q5293" s="2" t="s">
        <v>50683</v>
      </c>
      <c r="R5293" s="3" t="s">
        <v>66</v>
      </c>
      <c r="S5293" s="4">
        <v>4</v>
      </c>
      <c r="T5293" s="4">
        <v>4</v>
      </c>
      <c r="U5293" s="5" t="s">
        <v>13230</v>
      </c>
      <c r="V5293" s="5" t="s">
        <v>13230</v>
      </c>
      <c r="W5293" s="5" t="s">
        <v>67</v>
      </c>
      <c r="X5293" s="5" t="s">
        <v>67</v>
      </c>
      <c r="Y5293" s="4">
        <v>158</v>
      </c>
      <c r="Z5293" s="4">
        <v>23</v>
      </c>
      <c r="AA5293" s="4">
        <v>35</v>
      </c>
      <c r="AB5293" s="4">
        <v>2</v>
      </c>
      <c r="AC5293" s="4">
        <v>11</v>
      </c>
      <c r="AD5293" s="4">
        <v>70</v>
      </c>
      <c r="AE5293" s="4">
        <v>78</v>
      </c>
      <c r="AF5293" s="4">
        <v>1</v>
      </c>
      <c r="AG5293" s="4">
        <v>6</v>
      </c>
      <c r="AH5293" s="4">
        <v>56</v>
      </c>
      <c r="AI5293" s="4">
        <v>59</v>
      </c>
      <c r="AJ5293" s="4">
        <v>17</v>
      </c>
      <c r="AK5293" s="4">
        <v>23</v>
      </c>
      <c r="AL5293" s="4">
        <v>36</v>
      </c>
      <c r="AM5293" s="4">
        <v>36</v>
      </c>
      <c r="AN5293" s="4">
        <v>0</v>
      </c>
      <c r="AO5293" s="4">
        <v>0</v>
      </c>
      <c r="AP5293" s="4">
        <v>20</v>
      </c>
      <c r="AQ5293" s="4">
        <v>27</v>
      </c>
      <c r="AR5293" s="3" t="s">
        <v>62</v>
      </c>
      <c r="AS5293" s="3" t="s">
        <v>62</v>
      </c>
      <c r="AT5293" s="3" t="s">
        <v>61</v>
      </c>
      <c r="AU5293" s="6" t="str">
        <f>HYPERLINK("http://catalog.hathitrust.org/Record/001435193","HathiTrust Record")</f>
        <v>HathiTrust Record</v>
      </c>
      <c r="AV5293" s="6" t="str">
        <f>HYPERLINK("http://mcgill.on.worldcat.org/oclc/3206739","Catalog Record")</f>
        <v>Catalog Record</v>
      </c>
      <c r="AW5293" s="6" t="str">
        <f>HYPERLINK("http://www.worldcat.org/oclc/3206739","WorldCat Record")</f>
        <v>WorldCat Record</v>
      </c>
      <c r="AX5293" s="3" t="s">
        <v>50684</v>
      </c>
      <c r="AY5293" s="3" t="s">
        <v>50685</v>
      </c>
      <c r="AZ5293" s="3" t="s">
        <v>50686</v>
      </c>
      <c r="BA5293" s="3" t="s">
        <v>50686</v>
      </c>
      <c r="BB5293" s="3" t="s">
        <v>50687</v>
      </c>
      <c r="BC5293" s="3" t="s">
        <v>142</v>
      </c>
      <c r="BD5293" s="3" t="s">
        <v>68</v>
      </c>
      <c r="BF5293" s="3" t="s">
        <v>50687</v>
      </c>
      <c r="BG5293" s="3" t="s">
        <v>50688</v>
      </c>
    </row>
    <row r="5294" spans="1:59" ht="57" x14ac:dyDescent="0.45">
      <c r="A5294" s="2" t="s">
        <v>59</v>
      </c>
      <c r="B5294" s="2" t="s">
        <v>60</v>
      </c>
      <c r="C5294" s="2" t="s">
        <v>50689</v>
      </c>
      <c r="D5294" s="2" t="s">
        <v>50690</v>
      </c>
      <c r="E5294" s="2" t="s">
        <v>50691</v>
      </c>
      <c r="G5294" s="3" t="s">
        <v>62</v>
      </c>
      <c r="I5294" s="3" t="s">
        <v>62</v>
      </c>
      <c r="J5294" s="3" t="s">
        <v>62</v>
      </c>
      <c r="K5294" s="3" t="s">
        <v>63</v>
      </c>
      <c r="M5294" s="2" t="s">
        <v>5779</v>
      </c>
      <c r="N5294" s="3" t="s">
        <v>181</v>
      </c>
      <c r="P5294" s="3" t="s">
        <v>65</v>
      </c>
      <c r="Q5294" s="2" t="s">
        <v>50692</v>
      </c>
      <c r="R5294" s="3" t="s">
        <v>66</v>
      </c>
      <c r="S5294" s="4">
        <v>0</v>
      </c>
      <c r="T5294" s="4">
        <v>0</v>
      </c>
      <c r="W5294" s="5" t="s">
        <v>67</v>
      </c>
      <c r="X5294" s="5" t="s">
        <v>67</v>
      </c>
      <c r="Y5294" s="4">
        <v>38</v>
      </c>
      <c r="Z5294" s="4">
        <v>3</v>
      </c>
      <c r="AA5294" s="4">
        <v>76</v>
      </c>
      <c r="AB5294" s="4">
        <v>1</v>
      </c>
      <c r="AC5294" s="4">
        <v>14</v>
      </c>
      <c r="AD5294" s="4">
        <v>20</v>
      </c>
      <c r="AE5294" s="4">
        <v>101</v>
      </c>
      <c r="AF5294" s="4">
        <v>0</v>
      </c>
      <c r="AG5294" s="4">
        <v>8</v>
      </c>
      <c r="AH5294" s="4">
        <v>18</v>
      </c>
      <c r="AI5294" s="4">
        <v>68</v>
      </c>
      <c r="AJ5294" s="4">
        <v>2</v>
      </c>
      <c r="AK5294" s="4">
        <v>20</v>
      </c>
      <c r="AL5294" s="4">
        <v>13</v>
      </c>
      <c r="AM5294" s="4">
        <v>34</v>
      </c>
      <c r="AN5294" s="4">
        <v>0</v>
      </c>
      <c r="AO5294" s="4">
        <v>0</v>
      </c>
      <c r="AP5294" s="4">
        <v>2</v>
      </c>
      <c r="AQ5294" s="4">
        <v>39</v>
      </c>
      <c r="AR5294" s="3" t="s">
        <v>62</v>
      </c>
      <c r="AS5294" s="3" t="s">
        <v>62</v>
      </c>
      <c r="AT5294" s="3" t="s">
        <v>62</v>
      </c>
      <c r="AV5294" s="6" t="str">
        <f>HYPERLINK("http://mcgill.on.worldcat.org/oclc/936548692","Catalog Record")</f>
        <v>Catalog Record</v>
      </c>
      <c r="AW5294" s="6" t="str">
        <f>HYPERLINK("http://www.worldcat.org/oclc/936548692","WorldCat Record")</f>
        <v>WorldCat Record</v>
      </c>
      <c r="AX5294" s="3" t="s">
        <v>50693</v>
      </c>
      <c r="AY5294" s="3" t="s">
        <v>50694</v>
      </c>
      <c r="AZ5294" s="3" t="s">
        <v>50695</v>
      </c>
      <c r="BA5294" s="3" t="s">
        <v>50695</v>
      </c>
      <c r="BB5294" s="3" t="s">
        <v>50696</v>
      </c>
      <c r="BC5294" s="3" t="s">
        <v>142</v>
      </c>
      <c r="BD5294" s="3" t="s">
        <v>68</v>
      </c>
      <c r="BE5294" s="3" t="s">
        <v>50697</v>
      </c>
      <c r="BF5294" s="3" t="s">
        <v>50696</v>
      </c>
      <c r="BG5294" s="3" t="s">
        <v>50698</v>
      </c>
    </row>
    <row r="5295" spans="1:59" ht="57" x14ac:dyDescent="0.45">
      <c r="A5295" s="2" t="s">
        <v>59</v>
      </c>
      <c r="B5295" s="2" t="s">
        <v>60</v>
      </c>
      <c r="C5295" s="2" t="s">
        <v>50699</v>
      </c>
      <c r="D5295" s="2" t="s">
        <v>50700</v>
      </c>
      <c r="E5295" s="2" t="s">
        <v>50701</v>
      </c>
      <c r="G5295" s="3" t="s">
        <v>62</v>
      </c>
      <c r="I5295" s="3" t="s">
        <v>62</v>
      </c>
      <c r="J5295" s="3" t="s">
        <v>62</v>
      </c>
      <c r="K5295" s="3" t="s">
        <v>63</v>
      </c>
      <c r="M5295" s="2" t="s">
        <v>4162</v>
      </c>
      <c r="N5295" s="3" t="s">
        <v>894</v>
      </c>
      <c r="P5295" s="3" t="s">
        <v>65</v>
      </c>
      <c r="Q5295" s="2" t="s">
        <v>50702</v>
      </c>
      <c r="R5295" s="3" t="s">
        <v>66</v>
      </c>
      <c r="S5295" s="4">
        <v>1</v>
      </c>
      <c r="T5295" s="4">
        <v>1</v>
      </c>
      <c r="U5295" s="5" t="s">
        <v>28003</v>
      </c>
      <c r="V5295" s="5" t="s">
        <v>28003</v>
      </c>
      <c r="W5295" s="5" t="s">
        <v>67</v>
      </c>
      <c r="X5295" s="5" t="s">
        <v>67</v>
      </c>
      <c r="Y5295" s="4">
        <v>63</v>
      </c>
      <c r="Z5295" s="4">
        <v>9</v>
      </c>
      <c r="AA5295" s="4">
        <v>110</v>
      </c>
      <c r="AB5295" s="4">
        <v>2</v>
      </c>
      <c r="AC5295" s="4">
        <v>17</v>
      </c>
      <c r="AD5295" s="4">
        <v>35</v>
      </c>
      <c r="AE5295" s="4">
        <v>116</v>
      </c>
      <c r="AF5295" s="4">
        <v>1</v>
      </c>
      <c r="AG5295" s="4">
        <v>8</v>
      </c>
      <c r="AH5295" s="4">
        <v>32</v>
      </c>
      <c r="AI5295" s="4">
        <v>79</v>
      </c>
      <c r="AJ5295" s="4">
        <v>7</v>
      </c>
      <c r="AK5295" s="4">
        <v>22</v>
      </c>
      <c r="AL5295" s="4">
        <v>21</v>
      </c>
      <c r="AM5295" s="4">
        <v>43</v>
      </c>
      <c r="AN5295" s="4">
        <v>0</v>
      </c>
      <c r="AO5295" s="4">
        <v>0</v>
      </c>
      <c r="AP5295" s="4">
        <v>7</v>
      </c>
      <c r="AQ5295" s="4">
        <v>44</v>
      </c>
      <c r="AR5295" s="3" t="s">
        <v>62</v>
      </c>
      <c r="AS5295" s="3" t="s">
        <v>62</v>
      </c>
      <c r="AT5295" s="3" t="s">
        <v>62</v>
      </c>
      <c r="AV5295" s="6" t="str">
        <f>HYPERLINK("http://mcgill.on.worldcat.org/oclc/750401502","Catalog Record")</f>
        <v>Catalog Record</v>
      </c>
      <c r="AW5295" s="6" t="str">
        <f>HYPERLINK("http://www.worldcat.org/oclc/750401502","WorldCat Record")</f>
        <v>WorldCat Record</v>
      </c>
      <c r="AX5295" s="3" t="s">
        <v>50703</v>
      </c>
      <c r="AY5295" s="3" t="s">
        <v>50704</v>
      </c>
      <c r="AZ5295" s="3" t="s">
        <v>50705</v>
      </c>
      <c r="BA5295" s="3" t="s">
        <v>50705</v>
      </c>
      <c r="BB5295" s="3" t="s">
        <v>50706</v>
      </c>
      <c r="BC5295" s="3" t="s">
        <v>142</v>
      </c>
      <c r="BD5295" s="3" t="s">
        <v>68</v>
      </c>
      <c r="BE5295" s="3" t="s">
        <v>50707</v>
      </c>
      <c r="BF5295" s="3" t="s">
        <v>50706</v>
      </c>
      <c r="BG5295" s="3" t="s">
        <v>50708</v>
      </c>
    </row>
    <row r="5296" spans="1:59" ht="57" x14ac:dyDescent="0.45">
      <c r="A5296" s="2" t="s">
        <v>59</v>
      </c>
      <c r="B5296" s="2" t="s">
        <v>60</v>
      </c>
      <c r="C5296" s="2" t="s">
        <v>50709</v>
      </c>
      <c r="D5296" s="2" t="s">
        <v>50710</v>
      </c>
      <c r="E5296" s="2" t="s">
        <v>50711</v>
      </c>
      <c r="G5296" s="3" t="s">
        <v>62</v>
      </c>
      <c r="I5296" s="3" t="s">
        <v>62</v>
      </c>
      <c r="J5296" s="3" t="s">
        <v>62</v>
      </c>
      <c r="K5296" s="3" t="s">
        <v>63</v>
      </c>
      <c r="L5296" s="2" t="s">
        <v>50712</v>
      </c>
      <c r="M5296" s="2" t="s">
        <v>50713</v>
      </c>
      <c r="N5296" s="3" t="s">
        <v>970</v>
      </c>
      <c r="P5296" s="3" t="s">
        <v>65</v>
      </c>
      <c r="Q5296" s="2" t="s">
        <v>50714</v>
      </c>
      <c r="R5296" s="3" t="s">
        <v>66</v>
      </c>
      <c r="S5296" s="4">
        <v>25</v>
      </c>
      <c r="T5296" s="4">
        <v>25</v>
      </c>
      <c r="U5296" s="5" t="s">
        <v>6949</v>
      </c>
      <c r="V5296" s="5" t="s">
        <v>6949</v>
      </c>
      <c r="W5296" s="5" t="s">
        <v>67</v>
      </c>
      <c r="X5296" s="5" t="s">
        <v>67</v>
      </c>
      <c r="Y5296" s="4">
        <v>100</v>
      </c>
      <c r="Z5296" s="4">
        <v>10</v>
      </c>
      <c r="AA5296" s="4">
        <v>102</v>
      </c>
      <c r="AB5296" s="4">
        <v>2</v>
      </c>
      <c r="AC5296" s="4">
        <v>18</v>
      </c>
      <c r="AD5296" s="4">
        <v>51</v>
      </c>
      <c r="AE5296" s="4">
        <v>122</v>
      </c>
      <c r="AF5296" s="4">
        <v>0</v>
      </c>
      <c r="AG5296" s="4">
        <v>8</v>
      </c>
      <c r="AH5296" s="4">
        <v>46</v>
      </c>
      <c r="AI5296" s="4">
        <v>86</v>
      </c>
      <c r="AJ5296" s="4">
        <v>7</v>
      </c>
      <c r="AK5296" s="4">
        <v>21</v>
      </c>
      <c r="AL5296" s="4">
        <v>35</v>
      </c>
      <c r="AM5296" s="4">
        <v>48</v>
      </c>
      <c r="AN5296" s="4">
        <v>0</v>
      </c>
      <c r="AO5296" s="4">
        <v>0</v>
      </c>
      <c r="AP5296" s="4">
        <v>7</v>
      </c>
      <c r="AQ5296" s="4">
        <v>42</v>
      </c>
      <c r="AR5296" s="3" t="s">
        <v>62</v>
      </c>
      <c r="AS5296" s="3" t="s">
        <v>62</v>
      </c>
      <c r="AT5296" s="3" t="s">
        <v>62</v>
      </c>
      <c r="AV5296" s="6" t="str">
        <f>HYPERLINK("http://mcgill.on.worldcat.org/oclc/48449495","Catalog Record")</f>
        <v>Catalog Record</v>
      </c>
      <c r="AW5296" s="6" t="str">
        <f>HYPERLINK("http://www.worldcat.org/oclc/48449495","WorldCat Record")</f>
        <v>WorldCat Record</v>
      </c>
      <c r="AX5296" s="3" t="s">
        <v>50715</v>
      </c>
      <c r="AY5296" s="3" t="s">
        <v>50716</v>
      </c>
      <c r="AZ5296" s="3" t="s">
        <v>50717</v>
      </c>
      <c r="BA5296" s="3" t="s">
        <v>50717</v>
      </c>
      <c r="BB5296" s="3" t="s">
        <v>50718</v>
      </c>
      <c r="BC5296" s="3" t="s">
        <v>142</v>
      </c>
      <c r="BD5296" s="3" t="s">
        <v>68</v>
      </c>
      <c r="BE5296" s="3" t="s">
        <v>50719</v>
      </c>
      <c r="BF5296" s="3" t="s">
        <v>50718</v>
      </c>
      <c r="BG5296" s="3" t="s">
        <v>50720</v>
      </c>
    </row>
    <row r="5297" spans="1:59" ht="57" x14ac:dyDescent="0.45">
      <c r="A5297" s="2" t="s">
        <v>59</v>
      </c>
      <c r="B5297" s="2" t="s">
        <v>60</v>
      </c>
      <c r="C5297" s="2" t="s">
        <v>50721</v>
      </c>
      <c r="D5297" s="2" t="s">
        <v>50722</v>
      </c>
      <c r="E5297" s="2" t="s">
        <v>50723</v>
      </c>
      <c r="G5297" s="3" t="s">
        <v>62</v>
      </c>
      <c r="I5297" s="3" t="s">
        <v>62</v>
      </c>
      <c r="J5297" s="3" t="s">
        <v>62</v>
      </c>
      <c r="K5297" s="3" t="s">
        <v>63</v>
      </c>
      <c r="M5297" s="2" t="s">
        <v>10884</v>
      </c>
      <c r="N5297" s="3" t="s">
        <v>116</v>
      </c>
      <c r="O5297" s="2" t="s">
        <v>168</v>
      </c>
      <c r="P5297" s="3" t="s">
        <v>65</v>
      </c>
      <c r="Q5297" s="2" t="s">
        <v>50724</v>
      </c>
      <c r="R5297" s="3" t="s">
        <v>66</v>
      </c>
      <c r="S5297" s="4">
        <v>3</v>
      </c>
      <c r="T5297" s="4">
        <v>3</v>
      </c>
      <c r="U5297" s="5" t="s">
        <v>29113</v>
      </c>
      <c r="V5297" s="5" t="s">
        <v>29113</v>
      </c>
      <c r="W5297" s="5" t="s">
        <v>67</v>
      </c>
      <c r="X5297" s="5" t="s">
        <v>67</v>
      </c>
      <c r="Y5297" s="4">
        <v>83</v>
      </c>
      <c r="Z5297" s="4">
        <v>7</v>
      </c>
      <c r="AA5297" s="4">
        <v>30</v>
      </c>
      <c r="AB5297" s="4">
        <v>1</v>
      </c>
      <c r="AC5297" s="4">
        <v>7</v>
      </c>
      <c r="AD5297" s="4">
        <v>42</v>
      </c>
      <c r="AE5297" s="4">
        <v>68</v>
      </c>
      <c r="AF5297" s="4">
        <v>0</v>
      </c>
      <c r="AG5297" s="4">
        <v>2</v>
      </c>
      <c r="AH5297" s="4">
        <v>38</v>
      </c>
      <c r="AI5297" s="4">
        <v>57</v>
      </c>
      <c r="AJ5297" s="4">
        <v>5</v>
      </c>
      <c r="AK5297" s="4">
        <v>12</v>
      </c>
      <c r="AL5297" s="4">
        <v>25</v>
      </c>
      <c r="AM5297" s="4">
        <v>31</v>
      </c>
      <c r="AN5297" s="4">
        <v>0</v>
      </c>
      <c r="AO5297" s="4">
        <v>0</v>
      </c>
      <c r="AP5297" s="4">
        <v>6</v>
      </c>
      <c r="AQ5297" s="4">
        <v>17</v>
      </c>
      <c r="AR5297" s="3" t="s">
        <v>62</v>
      </c>
      <c r="AS5297" s="3" t="s">
        <v>62</v>
      </c>
      <c r="AT5297" s="3" t="s">
        <v>62</v>
      </c>
      <c r="AV5297" s="6" t="str">
        <f>HYPERLINK("http://mcgill.on.worldcat.org/oclc/808492337","Catalog Record")</f>
        <v>Catalog Record</v>
      </c>
      <c r="AW5297" s="6" t="str">
        <f>HYPERLINK("http://www.worldcat.org/oclc/808492337","WorldCat Record")</f>
        <v>WorldCat Record</v>
      </c>
      <c r="AX5297" s="3" t="s">
        <v>50725</v>
      </c>
      <c r="AY5297" s="3" t="s">
        <v>50726</v>
      </c>
      <c r="AZ5297" s="3" t="s">
        <v>50727</v>
      </c>
      <c r="BA5297" s="3" t="s">
        <v>50727</v>
      </c>
      <c r="BB5297" s="3" t="s">
        <v>50728</v>
      </c>
      <c r="BC5297" s="3" t="s">
        <v>142</v>
      </c>
      <c r="BD5297" s="3" t="s">
        <v>68</v>
      </c>
      <c r="BE5297" s="3" t="s">
        <v>50729</v>
      </c>
      <c r="BF5297" s="3" t="s">
        <v>50728</v>
      </c>
      <c r="BG5297" s="3" t="s">
        <v>50730</v>
      </c>
    </row>
    <row r="5298" spans="1:59" ht="57" x14ac:dyDescent="0.45">
      <c r="A5298" s="2" t="s">
        <v>59</v>
      </c>
      <c r="B5298" s="2" t="s">
        <v>60</v>
      </c>
      <c r="C5298" s="2" t="s">
        <v>50731</v>
      </c>
      <c r="D5298" s="2" t="s">
        <v>50732</v>
      </c>
      <c r="E5298" s="2" t="s">
        <v>50733</v>
      </c>
      <c r="G5298" s="3" t="s">
        <v>62</v>
      </c>
      <c r="I5298" s="3" t="s">
        <v>62</v>
      </c>
      <c r="J5298" s="3" t="s">
        <v>62</v>
      </c>
      <c r="K5298" s="3" t="s">
        <v>63</v>
      </c>
      <c r="M5298" s="2" t="s">
        <v>34627</v>
      </c>
      <c r="N5298" s="3" t="s">
        <v>1155</v>
      </c>
      <c r="P5298" s="3" t="s">
        <v>65</v>
      </c>
      <c r="Q5298" s="2" t="s">
        <v>50734</v>
      </c>
      <c r="R5298" s="3" t="s">
        <v>66</v>
      </c>
      <c r="S5298" s="4">
        <v>0</v>
      </c>
      <c r="T5298" s="4">
        <v>0</v>
      </c>
      <c r="W5298" s="5" t="s">
        <v>67</v>
      </c>
      <c r="X5298" s="5" t="s">
        <v>67</v>
      </c>
      <c r="Y5298" s="4">
        <v>65</v>
      </c>
      <c r="Z5298" s="4">
        <v>8</v>
      </c>
      <c r="AA5298" s="4">
        <v>92</v>
      </c>
      <c r="AB5298" s="4">
        <v>1</v>
      </c>
      <c r="AC5298" s="4">
        <v>17</v>
      </c>
      <c r="AD5298" s="4">
        <v>31</v>
      </c>
      <c r="AE5298" s="4">
        <v>110</v>
      </c>
      <c r="AF5298" s="4">
        <v>0</v>
      </c>
      <c r="AG5298" s="4">
        <v>8</v>
      </c>
      <c r="AH5298" s="4">
        <v>29</v>
      </c>
      <c r="AI5298" s="4">
        <v>75</v>
      </c>
      <c r="AJ5298" s="4">
        <v>6</v>
      </c>
      <c r="AK5298" s="4">
        <v>23</v>
      </c>
      <c r="AL5298" s="4">
        <v>18</v>
      </c>
      <c r="AM5298" s="4">
        <v>38</v>
      </c>
      <c r="AN5298" s="4">
        <v>0</v>
      </c>
      <c r="AO5298" s="4">
        <v>0</v>
      </c>
      <c r="AP5298" s="4">
        <v>6</v>
      </c>
      <c r="AQ5298" s="4">
        <v>44</v>
      </c>
      <c r="AR5298" s="3" t="s">
        <v>62</v>
      </c>
      <c r="AS5298" s="3" t="s">
        <v>62</v>
      </c>
      <c r="AT5298" s="3" t="s">
        <v>62</v>
      </c>
      <c r="AV5298" s="6" t="str">
        <f>HYPERLINK("http://mcgill.on.worldcat.org/oclc/809548682","Catalog Record")</f>
        <v>Catalog Record</v>
      </c>
      <c r="AW5298" s="6" t="str">
        <f>HYPERLINK("http://www.worldcat.org/oclc/809548682","WorldCat Record")</f>
        <v>WorldCat Record</v>
      </c>
      <c r="AX5298" s="3" t="s">
        <v>50735</v>
      </c>
      <c r="AY5298" s="3" t="s">
        <v>50736</v>
      </c>
      <c r="AZ5298" s="3" t="s">
        <v>50737</v>
      </c>
      <c r="BA5298" s="3" t="s">
        <v>50737</v>
      </c>
      <c r="BB5298" s="3" t="s">
        <v>50738</v>
      </c>
      <c r="BC5298" s="3" t="s">
        <v>142</v>
      </c>
      <c r="BD5298" s="3" t="s">
        <v>68</v>
      </c>
      <c r="BE5298" s="3" t="s">
        <v>50739</v>
      </c>
      <c r="BF5298" s="3" t="s">
        <v>50738</v>
      </c>
      <c r="BG5298" s="3" t="s">
        <v>50740</v>
      </c>
    </row>
    <row r="5299" spans="1:59" ht="57" x14ac:dyDescent="0.45">
      <c r="A5299" s="2" t="s">
        <v>59</v>
      </c>
      <c r="B5299" s="2" t="s">
        <v>60</v>
      </c>
      <c r="C5299" s="2" t="s">
        <v>50741</v>
      </c>
      <c r="D5299" s="2" t="s">
        <v>50742</v>
      </c>
      <c r="E5299" s="2" t="s">
        <v>50743</v>
      </c>
      <c r="G5299" s="3" t="s">
        <v>62</v>
      </c>
      <c r="I5299" s="3" t="s">
        <v>62</v>
      </c>
      <c r="J5299" s="3" t="s">
        <v>62</v>
      </c>
      <c r="K5299" s="3" t="s">
        <v>63</v>
      </c>
      <c r="M5299" s="2" t="s">
        <v>50744</v>
      </c>
      <c r="N5299" s="3" t="s">
        <v>5180</v>
      </c>
      <c r="P5299" s="3" t="s">
        <v>65</v>
      </c>
      <c r="Q5299" s="2" t="s">
        <v>50745</v>
      </c>
      <c r="R5299" s="3" t="s">
        <v>66</v>
      </c>
      <c r="S5299" s="4">
        <v>1</v>
      </c>
      <c r="T5299" s="4">
        <v>1</v>
      </c>
      <c r="U5299" s="5" t="s">
        <v>13509</v>
      </c>
      <c r="V5299" s="5" t="s">
        <v>13509</v>
      </c>
      <c r="W5299" s="5" t="s">
        <v>67</v>
      </c>
      <c r="X5299" s="5" t="s">
        <v>67</v>
      </c>
      <c r="Y5299" s="4">
        <v>29</v>
      </c>
      <c r="Z5299" s="4">
        <v>1</v>
      </c>
      <c r="AA5299" s="4">
        <v>13</v>
      </c>
      <c r="AB5299" s="4">
        <v>1</v>
      </c>
      <c r="AC5299" s="4">
        <v>5</v>
      </c>
      <c r="AD5299" s="4">
        <v>11</v>
      </c>
      <c r="AE5299" s="4">
        <v>34</v>
      </c>
      <c r="AF5299" s="4">
        <v>0</v>
      </c>
      <c r="AG5299" s="4">
        <v>2</v>
      </c>
      <c r="AH5299" s="4">
        <v>10</v>
      </c>
      <c r="AI5299" s="4">
        <v>25</v>
      </c>
      <c r="AJ5299" s="4">
        <v>0</v>
      </c>
      <c r="AK5299" s="4">
        <v>8</v>
      </c>
      <c r="AL5299" s="4">
        <v>9</v>
      </c>
      <c r="AM5299" s="4">
        <v>18</v>
      </c>
      <c r="AN5299" s="4">
        <v>0</v>
      </c>
      <c r="AO5299" s="4">
        <v>0</v>
      </c>
      <c r="AP5299" s="4">
        <v>0</v>
      </c>
      <c r="AQ5299" s="4">
        <v>10</v>
      </c>
      <c r="AR5299" s="3" t="s">
        <v>62</v>
      </c>
      <c r="AS5299" s="3" t="s">
        <v>62</v>
      </c>
      <c r="AT5299" s="3" t="s">
        <v>62</v>
      </c>
      <c r="AV5299" s="6" t="str">
        <f>HYPERLINK("http://mcgill.on.worldcat.org/oclc/978289985","Catalog Record")</f>
        <v>Catalog Record</v>
      </c>
      <c r="AW5299" s="6" t="str">
        <f>HYPERLINK("http://www.worldcat.org/oclc/978289985","WorldCat Record")</f>
        <v>WorldCat Record</v>
      </c>
      <c r="AX5299" s="3" t="s">
        <v>50746</v>
      </c>
      <c r="AY5299" s="3" t="s">
        <v>50747</v>
      </c>
      <c r="AZ5299" s="3" t="s">
        <v>50748</v>
      </c>
      <c r="BA5299" s="3" t="s">
        <v>50748</v>
      </c>
      <c r="BB5299" s="3" t="s">
        <v>50749</v>
      </c>
      <c r="BC5299" s="3" t="s">
        <v>142</v>
      </c>
      <c r="BD5299" s="3" t="s">
        <v>68</v>
      </c>
      <c r="BE5299" s="3" t="s">
        <v>50750</v>
      </c>
      <c r="BF5299" s="3" t="s">
        <v>50749</v>
      </c>
      <c r="BG5299" s="3" t="s">
        <v>50751</v>
      </c>
    </row>
    <row r="5300" spans="1:59" ht="57" x14ac:dyDescent="0.45">
      <c r="A5300" s="2" t="s">
        <v>59</v>
      </c>
      <c r="B5300" s="2" t="s">
        <v>60</v>
      </c>
      <c r="C5300" s="2" t="s">
        <v>50752</v>
      </c>
      <c r="D5300" s="2" t="s">
        <v>50753</v>
      </c>
      <c r="E5300" s="2" t="s">
        <v>50754</v>
      </c>
      <c r="G5300" s="3" t="s">
        <v>62</v>
      </c>
      <c r="I5300" s="3" t="s">
        <v>62</v>
      </c>
      <c r="J5300" s="3" t="s">
        <v>62</v>
      </c>
      <c r="K5300" s="3" t="s">
        <v>63</v>
      </c>
      <c r="L5300" s="2" t="s">
        <v>43467</v>
      </c>
      <c r="M5300" s="2" t="s">
        <v>10462</v>
      </c>
      <c r="N5300" s="3" t="s">
        <v>149</v>
      </c>
      <c r="P5300" s="3" t="s">
        <v>65</v>
      </c>
      <c r="Q5300" s="2" t="s">
        <v>43468</v>
      </c>
      <c r="R5300" s="3" t="s">
        <v>66</v>
      </c>
      <c r="S5300" s="4">
        <v>2</v>
      </c>
      <c r="T5300" s="4">
        <v>2</v>
      </c>
      <c r="U5300" s="5" t="s">
        <v>27786</v>
      </c>
      <c r="V5300" s="5" t="s">
        <v>27786</v>
      </c>
      <c r="W5300" s="5" t="s">
        <v>67</v>
      </c>
      <c r="X5300" s="5" t="s">
        <v>67</v>
      </c>
      <c r="Y5300" s="4">
        <v>155</v>
      </c>
      <c r="Z5300" s="4">
        <v>18</v>
      </c>
      <c r="AA5300" s="4">
        <v>103</v>
      </c>
      <c r="AB5300" s="4">
        <v>2</v>
      </c>
      <c r="AC5300" s="4">
        <v>17</v>
      </c>
      <c r="AD5300" s="4">
        <v>74</v>
      </c>
      <c r="AE5300" s="4">
        <v>129</v>
      </c>
      <c r="AF5300" s="4">
        <v>1</v>
      </c>
      <c r="AG5300" s="4">
        <v>8</v>
      </c>
      <c r="AH5300" s="4">
        <v>67</v>
      </c>
      <c r="AI5300" s="4">
        <v>91</v>
      </c>
      <c r="AJ5300" s="4">
        <v>15</v>
      </c>
      <c r="AK5300" s="4">
        <v>25</v>
      </c>
      <c r="AL5300" s="4">
        <v>41</v>
      </c>
      <c r="AM5300" s="4">
        <v>51</v>
      </c>
      <c r="AN5300" s="4">
        <v>0</v>
      </c>
      <c r="AO5300" s="4">
        <v>0</v>
      </c>
      <c r="AP5300" s="4">
        <v>16</v>
      </c>
      <c r="AQ5300" s="4">
        <v>47</v>
      </c>
      <c r="AR5300" s="3" t="s">
        <v>62</v>
      </c>
      <c r="AS5300" s="3" t="s">
        <v>62</v>
      </c>
      <c r="AT5300" s="3" t="s">
        <v>62</v>
      </c>
      <c r="AV5300" s="6" t="str">
        <f>HYPERLINK("http://mcgill.on.worldcat.org/oclc/615830907","Catalog Record")</f>
        <v>Catalog Record</v>
      </c>
      <c r="AW5300" s="6" t="str">
        <f>HYPERLINK("http://www.worldcat.org/oclc/615830907","WorldCat Record")</f>
        <v>WorldCat Record</v>
      </c>
      <c r="AX5300" s="3" t="s">
        <v>50755</v>
      </c>
      <c r="AY5300" s="3" t="s">
        <v>50756</v>
      </c>
      <c r="AZ5300" s="3" t="s">
        <v>50757</v>
      </c>
      <c r="BA5300" s="3" t="s">
        <v>50757</v>
      </c>
      <c r="BB5300" s="3" t="s">
        <v>50758</v>
      </c>
      <c r="BC5300" s="3" t="s">
        <v>142</v>
      </c>
      <c r="BD5300" s="3" t="s">
        <v>68</v>
      </c>
      <c r="BE5300" s="3" t="s">
        <v>50759</v>
      </c>
      <c r="BF5300" s="3" t="s">
        <v>50758</v>
      </c>
      <c r="BG5300" s="3" t="s">
        <v>50760</v>
      </c>
    </row>
    <row r="5301" spans="1:59" ht="57" x14ac:dyDescent="0.45">
      <c r="A5301" s="2" t="s">
        <v>59</v>
      </c>
      <c r="B5301" s="2" t="s">
        <v>60</v>
      </c>
      <c r="C5301" s="2" t="s">
        <v>50761</v>
      </c>
      <c r="D5301" s="2" t="s">
        <v>50762</v>
      </c>
      <c r="E5301" s="2" t="s">
        <v>50763</v>
      </c>
      <c r="G5301" s="3" t="s">
        <v>62</v>
      </c>
      <c r="I5301" s="3" t="s">
        <v>62</v>
      </c>
      <c r="J5301" s="3" t="s">
        <v>62</v>
      </c>
      <c r="K5301" s="3" t="s">
        <v>63</v>
      </c>
      <c r="L5301" s="2" t="s">
        <v>50764</v>
      </c>
      <c r="M5301" s="2" t="s">
        <v>21333</v>
      </c>
      <c r="N5301" s="3" t="s">
        <v>1059</v>
      </c>
      <c r="P5301" s="3" t="s">
        <v>65</v>
      </c>
      <c r="Q5301" s="2" t="s">
        <v>50765</v>
      </c>
      <c r="R5301" s="3" t="s">
        <v>66</v>
      </c>
      <c r="S5301" s="4">
        <v>2</v>
      </c>
      <c r="T5301" s="4">
        <v>2</v>
      </c>
      <c r="U5301" s="5" t="s">
        <v>372</v>
      </c>
      <c r="V5301" s="5" t="s">
        <v>372</v>
      </c>
      <c r="W5301" s="5" t="s">
        <v>67</v>
      </c>
      <c r="X5301" s="5" t="s">
        <v>67</v>
      </c>
      <c r="Y5301" s="4">
        <v>82</v>
      </c>
      <c r="Z5301" s="4">
        <v>9</v>
      </c>
      <c r="AA5301" s="4">
        <v>97</v>
      </c>
      <c r="AB5301" s="4">
        <v>1</v>
      </c>
      <c r="AC5301" s="4">
        <v>18</v>
      </c>
      <c r="AD5301" s="4">
        <v>41</v>
      </c>
      <c r="AE5301" s="4">
        <v>115</v>
      </c>
      <c r="AF5301" s="4">
        <v>0</v>
      </c>
      <c r="AG5301" s="4">
        <v>8</v>
      </c>
      <c r="AH5301" s="4">
        <v>39</v>
      </c>
      <c r="AI5301" s="4">
        <v>79</v>
      </c>
      <c r="AJ5301" s="4">
        <v>7</v>
      </c>
      <c r="AK5301" s="4">
        <v>22</v>
      </c>
      <c r="AL5301" s="4">
        <v>28</v>
      </c>
      <c r="AM5301" s="4">
        <v>42</v>
      </c>
      <c r="AN5301" s="4">
        <v>0</v>
      </c>
      <c r="AO5301" s="4">
        <v>0</v>
      </c>
      <c r="AP5301" s="4">
        <v>7</v>
      </c>
      <c r="AQ5301" s="4">
        <v>43</v>
      </c>
      <c r="AR5301" s="3" t="s">
        <v>62</v>
      </c>
      <c r="AS5301" s="3" t="s">
        <v>62</v>
      </c>
      <c r="AT5301" s="3" t="s">
        <v>61</v>
      </c>
      <c r="AU5301" s="6" t="str">
        <f>HYPERLINK("http://catalog.hathitrust.org/Record/005273675","HathiTrust Record")</f>
        <v>HathiTrust Record</v>
      </c>
      <c r="AV5301" s="6" t="str">
        <f>HYPERLINK("http://mcgill.on.worldcat.org/oclc/70407929","Catalog Record")</f>
        <v>Catalog Record</v>
      </c>
      <c r="AW5301" s="6" t="str">
        <f>HYPERLINK("http://www.worldcat.org/oclc/70407929","WorldCat Record")</f>
        <v>WorldCat Record</v>
      </c>
      <c r="AX5301" s="3" t="s">
        <v>50766</v>
      </c>
      <c r="AY5301" s="3" t="s">
        <v>50767</v>
      </c>
      <c r="AZ5301" s="3" t="s">
        <v>50768</v>
      </c>
      <c r="BA5301" s="3" t="s">
        <v>50768</v>
      </c>
      <c r="BB5301" s="3" t="s">
        <v>50769</v>
      </c>
      <c r="BC5301" s="3" t="s">
        <v>142</v>
      </c>
      <c r="BD5301" s="3" t="s">
        <v>68</v>
      </c>
      <c r="BE5301" s="3" t="s">
        <v>50770</v>
      </c>
      <c r="BF5301" s="3" t="s">
        <v>50769</v>
      </c>
      <c r="BG5301" s="3" t="s">
        <v>50771</v>
      </c>
    </row>
    <row r="5302" spans="1:59" ht="57" x14ac:dyDescent="0.45">
      <c r="A5302" s="2" t="s">
        <v>59</v>
      </c>
      <c r="B5302" s="2" t="s">
        <v>60</v>
      </c>
      <c r="C5302" s="2" t="s">
        <v>50772</v>
      </c>
      <c r="D5302" s="2" t="s">
        <v>50773</v>
      </c>
      <c r="E5302" s="2" t="s">
        <v>50774</v>
      </c>
      <c r="G5302" s="3" t="s">
        <v>62</v>
      </c>
      <c r="I5302" s="3" t="s">
        <v>62</v>
      </c>
      <c r="J5302" s="3" t="s">
        <v>62</v>
      </c>
      <c r="K5302" s="3" t="s">
        <v>63</v>
      </c>
      <c r="L5302" s="2" t="s">
        <v>50775</v>
      </c>
      <c r="M5302" s="2" t="s">
        <v>30101</v>
      </c>
      <c r="N5302" s="3" t="s">
        <v>807</v>
      </c>
      <c r="P5302" s="3" t="s">
        <v>65</v>
      </c>
      <c r="R5302" s="3" t="s">
        <v>66</v>
      </c>
      <c r="S5302" s="4">
        <v>43</v>
      </c>
      <c r="T5302" s="4">
        <v>43</v>
      </c>
      <c r="U5302" s="5" t="s">
        <v>24983</v>
      </c>
      <c r="V5302" s="5" t="s">
        <v>24983</v>
      </c>
      <c r="W5302" s="5" t="s">
        <v>67</v>
      </c>
      <c r="X5302" s="5" t="s">
        <v>67</v>
      </c>
      <c r="Y5302" s="4">
        <v>409</v>
      </c>
      <c r="Z5302" s="4">
        <v>24</v>
      </c>
      <c r="AA5302" s="4">
        <v>110</v>
      </c>
      <c r="AB5302" s="4">
        <v>3</v>
      </c>
      <c r="AC5302" s="4">
        <v>22</v>
      </c>
      <c r="AD5302" s="4">
        <v>110</v>
      </c>
      <c r="AE5302" s="4">
        <v>160</v>
      </c>
      <c r="AF5302" s="4">
        <v>1</v>
      </c>
      <c r="AG5302" s="4">
        <v>9</v>
      </c>
      <c r="AH5302" s="4">
        <v>98</v>
      </c>
      <c r="AI5302" s="4">
        <v>112</v>
      </c>
      <c r="AJ5302" s="4">
        <v>16</v>
      </c>
      <c r="AK5302" s="4">
        <v>28</v>
      </c>
      <c r="AL5302" s="4">
        <v>57</v>
      </c>
      <c r="AM5302" s="4">
        <v>59</v>
      </c>
      <c r="AN5302" s="4">
        <v>0</v>
      </c>
      <c r="AO5302" s="4">
        <v>0</v>
      </c>
      <c r="AP5302" s="4">
        <v>20</v>
      </c>
      <c r="AQ5302" s="4">
        <v>57</v>
      </c>
      <c r="AR5302" s="3" t="s">
        <v>62</v>
      </c>
      <c r="AS5302" s="3" t="s">
        <v>62</v>
      </c>
      <c r="AT5302" s="3" t="s">
        <v>62</v>
      </c>
      <c r="AV5302" s="6" t="str">
        <f>HYPERLINK("http://mcgill.on.worldcat.org/oclc/20826169","Catalog Record")</f>
        <v>Catalog Record</v>
      </c>
      <c r="AW5302" s="6" t="str">
        <f>HYPERLINK("http://www.worldcat.org/oclc/20826169","WorldCat Record")</f>
        <v>WorldCat Record</v>
      </c>
      <c r="AX5302" s="3" t="s">
        <v>50776</v>
      </c>
      <c r="AY5302" s="3" t="s">
        <v>50777</v>
      </c>
      <c r="AZ5302" s="3" t="s">
        <v>50778</v>
      </c>
      <c r="BA5302" s="3" t="s">
        <v>50778</v>
      </c>
      <c r="BB5302" s="3" t="s">
        <v>50779</v>
      </c>
      <c r="BC5302" s="3" t="s">
        <v>142</v>
      </c>
      <c r="BD5302" s="3" t="s">
        <v>68</v>
      </c>
      <c r="BE5302" s="3" t="s">
        <v>50780</v>
      </c>
      <c r="BF5302" s="3" t="s">
        <v>50779</v>
      </c>
      <c r="BG5302" s="3" t="s">
        <v>50781</v>
      </c>
    </row>
    <row r="5303" spans="1:59" ht="57" x14ac:dyDescent="0.45">
      <c r="A5303" s="2" t="s">
        <v>59</v>
      </c>
      <c r="B5303" s="2" t="s">
        <v>60</v>
      </c>
      <c r="C5303" s="2" t="s">
        <v>50782</v>
      </c>
      <c r="D5303" s="2" t="s">
        <v>50783</v>
      </c>
      <c r="E5303" s="2" t="s">
        <v>50784</v>
      </c>
      <c r="G5303" s="3" t="s">
        <v>62</v>
      </c>
      <c r="I5303" s="3" t="s">
        <v>62</v>
      </c>
      <c r="J5303" s="3" t="s">
        <v>62</v>
      </c>
      <c r="K5303" s="3" t="s">
        <v>63</v>
      </c>
      <c r="L5303" s="2" t="s">
        <v>50785</v>
      </c>
      <c r="M5303" s="2" t="s">
        <v>3925</v>
      </c>
      <c r="N5303" s="3" t="s">
        <v>149</v>
      </c>
      <c r="P5303" s="3" t="s">
        <v>65</v>
      </c>
      <c r="Q5303" s="2" t="s">
        <v>50786</v>
      </c>
      <c r="R5303" s="3" t="s">
        <v>66</v>
      </c>
      <c r="S5303" s="4">
        <v>2</v>
      </c>
      <c r="T5303" s="4">
        <v>2</v>
      </c>
      <c r="U5303" s="5" t="s">
        <v>1099</v>
      </c>
      <c r="V5303" s="5" t="s">
        <v>1099</v>
      </c>
      <c r="W5303" s="5" t="s">
        <v>67</v>
      </c>
      <c r="X5303" s="5" t="s">
        <v>67</v>
      </c>
      <c r="Y5303" s="4">
        <v>51</v>
      </c>
      <c r="Z5303" s="4">
        <v>9</v>
      </c>
      <c r="AA5303" s="4">
        <v>97</v>
      </c>
      <c r="AB5303" s="4">
        <v>1</v>
      </c>
      <c r="AC5303" s="4">
        <v>17</v>
      </c>
      <c r="AD5303" s="4">
        <v>29</v>
      </c>
      <c r="AE5303" s="4">
        <v>110</v>
      </c>
      <c r="AF5303" s="4">
        <v>0</v>
      </c>
      <c r="AG5303" s="4">
        <v>8</v>
      </c>
      <c r="AH5303" s="4">
        <v>26</v>
      </c>
      <c r="AI5303" s="4">
        <v>75</v>
      </c>
      <c r="AJ5303" s="4">
        <v>6</v>
      </c>
      <c r="AK5303" s="4">
        <v>22</v>
      </c>
      <c r="AL5303" s="4">
        <v>20</v>
      </c>
      <c r="AM5303" s="4">
        <v>40</v>
      </c>
      <c r="AN5303" s="4">
        <v>0</v>
      </c>
      <c r="AO5303" s="4">
        <v>0</v>
      </c>
      <c r="AP5303" s="4">
        <v>6</v>
      </c>
      <c r="AQ5303" s="4">
        <v>43</v>
      </c>
      <c r="AR5303" s="3" t="s">
        <v>62</v>
      </c>
      <c r="AS5303" s="3" t="s">
        <v>62</v>
      </c>
      <c r="AT5303" s="3" t="s">
        <v>62</v>
      </c>
      <c r="AV5303" s="6" t="str">
        <f>HYPERLINK("http://mcgill.on.worldcat.org/oclc/637036689","Catalog Record")</f>
        <v>Catalog Record</v>
      </c>
      <c r="AW5303" s="6" t="str">
        <f>HYPERLINK("http://www.worldcat.org/oclc/637036689","WorldCat Record")</f>
        <v>WorldCat Record</v>
      </c>
      <c r="AX5303" s="3" t="s">
        <v>50787</v>
      </c>
      <c r="AY5303" s="3" t="s">
        <v>50788</v>
      </c>
      <c r="AZ5303" s="3" t="s">
        <v>50789</v>
      </c>
      <c r="BA5303" s="3" t="s">
        <v>50789</v>
      </c>
      <c r="BB5303" s="3" t="s">
        <v>50790</v>
      </c>
      <c r="BC5303" s="3" t="s">
        <v>142</v>
      </c>
      <c r="BD5303" s="3" t="s">
        <v>68</v>
      </c>
      <c r="BE5303" s="3" t="s">
        <v>50791</v>
      </c>
      <c r="BF5303" s="3" t="s">
        <v>50790</v>
      </c>
      <c r="BG5303" s="3" t="s">
        <v>50792</v>
      </c>
    </row>
    <row r="5304" spans="1:59" ht="57" x14ac:dyDescent="0.45">
      <c r="A5304" s="2" t="s">
        <v>59</v>
      </c>
      <c r="B5304" s="2" t="s">
        <v>60</v>
      </c>
      <c r="C5304" s="2" t="s">
        <v>50793</v>
      </c>
      <c r="D5304" s="2" t="s">
        <v>50794</v>
      </c>
      <c r="E5304" s="2" t="s">
        <v>50795</v>
      </c>
      <c r="G5304" s="3" t="s">
        <v>62</v>
      </c>
      <c r="I5304" s="3" t="s">
        <v>61</v>
      </c>
      <c r="J5304" s="3" t="s">
        <v>62</v>
      </c>
      <c r="K5304" s="3" t="s">
        <v>63</v>
      </c>
      <c r="L5304" s="2" t="s">
        <v>50796</v>
      </c>
      <c r="M5304" s="2" t="s">
        <v>21778</v>
      </c>
      <c r="N5304" s="3" t="s">
        <v>149</v>
      </c>
      <c r="P5304" s="3" t="s">
        <v>65</v>
      </c>
      <c r="Q5304" s="2" t="s">
        <v>50797</v>
      </c>
      <c r="R5304" s="3" t="s">
        <v>66</v>
      </c>
      <c r="S5304" s="4">
        <v>1</v>
      </c>
      <c r="T5304" s="4">
        <v>1</v>
      </c>
      <c r="U5304" s="5" t="s">
        <v>50798</v>
      </c>
      <c r="V5304" s="5" t="s">
        <v>50798</v>
      </c>
      <c r="W5304" s="5" t="s">
        <v>67</v>
      </c>
      <c r="X5304" s="5" t="s">
        <v>67</v>
      </c>
      <c r="Y5304" s="4">
        <v>167</v>
      </c>
      <c r="Z5304" s="4">
        <v>21</v>
      </c>
      <c r="AA5304" s="4">
        <v>95</v>
      </c>
      <c r="AB5304" s="4">
        <v>2</v>
      </c>
      <c r="AC5304" s="4">
        <v>17</v>
      </c>
      <c r="AD5304" s="4">
        <v>81</v>
      </c>
      <c r="AE5304" s="4">
        <v>133</v>
      </c>
      <c r="AF5304" s="4">
        <v>1</v>
      </c>
      <c r="AG5304" s="4">
        <v>8</v>
      </c>
      <c r="AH5304" s="4">
        <v>72</v>
      </c>
      <c r="AI5304" s="4">
        <v>95</v>
      </c>
      <c r="AJ5304" s="4">
        <v>16</v>
      </c>
      <c r="AK5304" s="4">
        <v>26</v>
      </c>
      <c r="AL5304" s="4">
        <v>41</v>
      </c>
      <c r="AM5304" s="4">
        <v>50</v>
      </c>
      <c r="AN5304" s="4">
        <v>0</v>
      </c>
      <c r="AO5304" s="4">
        <v>0</v>
      </c>
      <c r="AP5304" s="4">
        <v>17</v>
      </c>
      <c r="AQ5304" s="4">
        <v>47</v>
      </c>
      <c r="AR5304" s="3" t="s">
        <v>62</v>
      </c>
      <c r="AS5304" s="3" t="s">
        <v>62</v>
      </c>
      <c r="AT5304" s="3" t="s">
        <v>62</v>
      </c>
      <c r="AV5304" s="6" t="str">
        <f>HYPERLINK("http://mcgill.on.worldcat.org/oclc/441948072","Catalog Record")</f>
        <v>Catalog Record</v>
      </c>
      <c r="AW5304" s="6" t="str">
        <f>HYPERLINK("http://www.worldcat.org/oclc/441948072","WorldCat Record")</f>
        <v>WorldCat Record</v>
      </c>
      <c r="AX5304" s="3" t="s">
        <v>50799</v>
      </c>
      <c r="AY5304" s="3" t="s">
        <v>50800</v>
      </c>
      <c r="AZ5304" s="3" t="s">
        <v>50801</v>
      </c>
      <c r="BA5304" s="3" t="s">
        <v>50801</v>
      </c>
      <c r="BB5304" s="3" t="s">
        <v>50802</v>
      </c>
      <c r="BC5304" s="3" t="s">
        <v>142</v>
      </c>
      <c r="BD5304" s="3" t="s">
        <v>68</v>
      </c>
      <c r="BE5304" s="3" t="s">
        <v>50803</v>
      </c>
      <c r="BF5304" s="3" t="s">
        <v>50802</v>
      </c>
      <c r="BG5304" s="3" t="s">
        <v>50804</v>
      </c>
    </row>
    <row r="5305" spans="1:59" ht="57" x14ac:dyDescent="0.45">
      <c r="A5305" s="2" t="s">
        <v>59</v>
      </c>
      <c r="B5305" s="2" t="s">
        <v>60</v>
      </c>
      <c r="C5305" s="2" t="s">
        <v>50793</v>
      </c>
      <c r="D5305" s="2" t="s">
        <v>50794</v>
      </c>
      <c r="E5305" s="2" t="s">
        <v>50795</v>
      </c>
      <c r="G5305" s="3" t="s">
        <v>62</v>
      </c>
      <c r="I5305" s="3" t="s">
        <v>61</v>
      </c>
      <c r="J5305" s="3" t="s">
        <v>62</v>
      </c>
      <c r="K5305" s="3" t="s">
        <v>63</v>
      </c>
      <c r="L5305" s="2" t="s">
        <v>50796</v>
      </c>
      <c r="M5305" s="2" t="s">
        <v>21778</v>
      </c>
      <c r="N5305" s="3" t="s">
        <v>149</v>
      </c>
      <c r="P5305" s="3" t="s">
        <v>65</v>
      </c>
      <c r="Q5305" s="2" t="s">
        <v>50797</v>
      </c>
      <c r="R5305" s="3" t="s">
        <v>66</v>
      </c>
      <c r="S5305" s="4">
        <v>0</v>
      </c>
      <c r="T5305" s="4">
        <v>1</v>
      </c>
      <c r="V5305" s="5" t="s">
        <v>50798</v>
      </c>
      <c r="W5305" s="5" t="s">
        <v>67</v>
      </c>
      <c r="X5305" s="5" t="s">
        <v>67</v>
      </c>
      <c r="Y5305" s="4">
        <v>167</v>
      </c>
      <c r="Z5305" s="4">
        <v>21</v>
      </c>
      <c r="AA5305" s="4">
        <v>95</v>
      </c>
      <c r="AB5305" s="4">
        <v>2</v>
      </c>
      <c r="AC5305" s="4">
        <v>17</v>
      </c>
      <c r="AD5305" s="4">
        <v>81</v>
      </c>
      <c r="AE5305" s="4">
        <v>133</v>
      </c>
      <c r="AF5305" s="4">
        <v>1</v>
      </c>
      <c r="AG5305" s="4">
        <v>8</v>
      </c>
      <c r="AH5305" s="4">
        <v>72</v>
      </c>
      <c r="AI5305" s="4">
        <v>95</v>
      </c>
      <c r="AJ5305" s="4">
        <v>16</v>
      </c>
      <c r="AK5305" s="4">
        <v>26</v>
      </c>
      <c r="AL5305" s="4">
        <v>41</v>
      </c>
      <c r="AM5305" s="4">
        <v>50</v>
      </c>
      <c r="AN5305" s="4">
        <v>0</v>
      </c>
      <c r="AO5305" s="4">
        <v>0</v>
      </c>
      <c r="AP5305" s="4">
        <v>17</v>
      </c>
      <c r="AQ5305" s="4">
        <v>47</v>
      </c>
      <c r="AR5305" s="3" t="s">
        <v>62</v>
      </c>
      <c r="AS5305" s="3" t="s">
        <v>62</v>
      </c>
      <c r="AT5305" s="3" t="s">
        <v>62</v>
      </c>
      <c r="AV5305" s="6" t="str">
        <f>HYPERLINK("http://mcgill.on.worldcat.org/oclc/441948072","Catalog Record")</f>
        <v>Catalog Record</v>
      </c>
      <c r="AW5305" s="6" t="str">
        <f>HYPERLINK("http://www.worldcat.org/oclc/441948072","WorldCat Record")</f>
        <v>WorldCat Record</v>
      </c>
      <c r="AX5305" s="3" t="s">
        <v>50799</v>
      </c>
      <c r="AY5305" s="3" t="s">
        <v>50800</v>
      </c>
      <c r="AZ5305" s="3" t="s">
        <v>50801</v>
      </c>
      <c r="BA5305" s="3" t="s">
        <v>50801</v>
      </c>
      <c r="BB5305" s="3" t="s">
        <v>50805</v>
      </c>
      <c r="BC5305" s="3" t="s">
        <v>142</v>
      </c>
      <c r="BD5305" s="3" t="s">
        <v>68</v>
      </c>
      <c r="BE5305" s="3" t="s">
        <v>50803</v>
      </c>
      <c r="BF5305" s="3" t="s">
        <v>50805</v>
      </c>
      <c r="BG5305" s="3" t="s">
        <v>50806</v>
      </c>
    </row>
    <row r="5306" spans="1:59" ht="57" x14ac:dyDescent="0.45">
      <c r="A5306" s="2" t="s">
        <v>59</v>
      </c>
      <c r="B5306" s="2" t="s">
        <v>60</v>
      </c>
      <c r="C5306" s="2" t="s">
        <v>50807</v>
      </c>
      <c r="D5306" s="2" t="s">
        <v>50808</v>
      </c>
      <c r="E5306" s="2" t="s">
        <v>50809</v>
      </c>
      <c r="G5306" s="3" t="s">
        <v>62</v>
      </c>
      <c r="I5306" s="3" t="s">
        <v>62</v>
      </c>
      <c r="J5306" s="3" t="s">
        <v>62</v>
      </c>
      <c r="K5306" s="3" t="s">
        <v>63</v>
      </c>
      <c r="M5306" s="2" t="s">
        <v>1905</v>
      </c>
      <c r="N5306" s="3" t="s">
        <v>149</v>
      </c>
      <c r="P5306" s="3" t="s">
        <v>65</v>
      </c>
      <c r="R5306" s="3" t="s">
        <v>66</v>
      </c>
      <c r="S5306" s="4">
        <v>4</v>
      </c>
      <c r="T5306" s="4">
        <v>4</v>
      </c>
      <c r="U5306" s="5" t="s">
        <v>20577</v>
      </c>
      <c r="V5306" s="5" t="s">
        <v>20577</v>
      </c>
      <c r="W5306" s="5" t="s">
        <v>67</v>
      </c>
      <c r="X5306" s="5" t="s">
        <v>67</v>
      </c>
      <c r="Y5306" s="4">
        <v>129</v>
      </c>
      <c r="Z5306" s="4">
        <v>12</v>
      </c>
      <c r="AA5306" s="4">
        <v>78</v>
      </c>
      <c r="AB5306" s="4">
        <v>1</v>
      </c>
      <c r="AC5306" s="4">
        <v>14</v>
      </c>
      <c r="AD5306" s="4">
        <v>59</v>
      </c>
      <c r="AE5306" s="4">
        <v>111</v>
      </c>
      <c r="AF5306" s="4">
        <v>0</v>
      </c>
      <c r="AG5306" s="4">
        <v>8</v>
      </c>
      <c r="AH5306" s="4">
        <v>55</v>
      </c>
      <c r="AI5306" s="4">
        <v>80</v>
      </c>
      <c r="AJ5306" s="4">
        <v>9</v>
      </c>
      <c r="AK5306" s="4">
        <v>22</v>
      </c>
      <c r="AL5306" s="4">
        <v>35</v>
      </c>
      <c r="AM5306" s="4">
        <v>44</v>
      </c>
      <c r="AN5306" s="4">
        <v>0</v>
      </c>
      <c r="AO5306" s="4">
        <v>0</v>
      </c>
      <c r="AP5306" s="4">
        <v>10</v>
      </c>
      <c r="AQ5306" s="4">
        <v>41</v>
      </c>
      <c r="AR5306" s="3" t="s">
        <v>62</v>
      </c>
      <c r="AS5306" s="3" t="s">
        <v>62</v>
      </c>
      <c r="AT5306" s="3" t="s">
        <v>62</v>
      </c>
      <c r="AV5306" s="6" t="str">
        <f>HYPERLINK("http://mcgill.on.worldcat.org/oclc/449827506","Catalog Record")</f>
        <v>Catalog Record</v>
      </c>
      <c r="AW5306" s="6" t="str">
        <f>HYPERLINK("http://www.worldcat.org/oclc/449827506","WorldCat Record")</f>
        <v>WorldCat Record</v>
      </c>
      <c r="AX5306" s="3" t="s">
        <v>50810</v>
      </c>
      <c r="AY5306" s="3" t="s">
        <v>50811</v>
      </c>
      <c r="AZ5306" s="3" t="s">
        <v>50812</v>
      </c>
      <c r="BA5306" s="3" t="s">
        <v>50812</v>
      </c>
      <c r="BB5306" s="3" t="s">
        <v>50813</v>
      </c>
      <c r="BC5306" s="3" t="s">
        <v>142</v>
      </c>
      <c r="BD5306" s="3" t="s">
        <v>68</v>
      </c>
      <c r="BE5306" s="3" t="s">
        <v>50814</v>
      </c>
      <c r="BF5306" s="3" t="s">
        <v>50813</v>
      </c>
      <c r="BG5306" s="3" t="s">
        <v>50815</v>
      </c>
    </row>
    <row r="5307" spans="1:59" ht="57" x14ac:dyDescent="0.45">
      <c r="A5307" s="2" t="s">
        <v>59</v>
      </c>
      <c r="B5307" s="2" t="s">
        <v>60</v>
      </c>
      <c r="C5307" s="2" t="s">
        <v>50816</v>
      </c>
      <c r="D5307" s="2" t="s">
        <v>50817</v>
      </c>
      <c r="E5307" s="2" t="s">
        <v>50818</v>
      </c>
      <c r="G5307" s="3" t="s">
        <v>62</v>
      </c>
      <c r="I5307" s="3" t="s">
        <v>62</v>
      </c>
      <c r="J5307" s="3" t="s">
        <v>62</v>
      </c>
      <c r="K5307" s="3" t="s">
        <v>63</v>
      </c>
      <c r="L5307" s="2" t="s">
        <v>47000</v>
      </c>
      <c r="M5307" s="2" t="s">
        <v>50819</v>
      </c>
      <c r="N5307" s="3" t="s">
        <v>1073</v>
      </c>
      <c r="P5307" s="3" t="s">
        <v>65</v>
      </c>
      <c r="Q5307" s="2" t="s">
        <v>29735</v>
      </c>
      <c r="R5307" s="3" t="s">
        <v>66</v>
      </c>
      <c r="S5307" s="4">
        <v>58</v>
      </c>
      <c r="T5307" s="4">
        <v>58</v>
      </c>
      <c r="U5307" s="5" t="s">
        <v>30759</v>
      </c>
      <c r="V5307" s="5" t="s">
        <v>30759</v>
      </c>
      <c r="W5307" s="5" t="s">
        <v>67</v>
      </c>
      <c r="X5307" s="5" t="s">
        <v>67</v>
      </c>
      <c r="Y5307" s="4">
        <v>581</v>
      </c>
      <c r="Z5307" s="4">
        <v>28</v>
      </c>
      <c r="AA5307" s="4">
        <v>33</v>
      </c>
      <c r="AB5307" s="4">
        <v>2</v>
      </c>
      <c r="AC5307" s="4">
        <v>5</v>
      </c>
      <c r="AD5307" s="4">
        <v>123</v>
      </c>
      <c r="AE5307" s="4">
        <v>127</v>
      </c>
      <c r="AF5307" s="4">
        <v>1</v>
      </c>
      <c r="AG5307" s="4">
        <v>4</v>
      </c>
      <c r="AH5307" s="4">
        <v>108</v>
      </c>
      <c r="AI5307" s="4">
        <v>109</v>
      </c>
      <c r="AJ5307" s="4">
        <v>20</v>
      </c>
      <c r="AK5307" s="4">
        <v>23</v>
      </c>
      <c r="AL5307" s="4">
        <v>56</v>
      </c>
      <c r="AM5307" s="4">
        <v>56</v>
      </c>
      <c r="AN5307" s="4">
        <v>0</v>
      </c>
      <c r="AO5307" s="4">
        <v>0</v>
      </c>
      <c r="AP5307" s="4">
        <v>24</v>
      </c>
      <c r="AQ5307" s="4">
        <v>27</v>
      </c>
      <c r="AR5307" s="3" t="s">
        <v>62</v>
      </c>
      <c r="AS5307" s="3" t="s">
        <v>62</v>
      </c>
      <c r="AT5307" s="3" t="s">
        <v>62</v>
      </c>
      <c r="AV5307" s="6" t="str">
        <f>HYPERLINK("http://mcgill.on.worldcat.org/oclc/2118637","Catalog Record")</f>
        <v>Catalog Record</v>
      </c>
      <c r="AW5307" s="6" t="str">
        <f>HYPERLINK("http://www.worldcat.org/oclc/2118637","WorldCat Record")</f>
        <v>WorldCat Record</v>
      </c>
      <c r="AX5307" s="3" t="s">
        <v>50820</v>
      </c>
      <c r="AY5307" s="3" t="s">
        <v>50821</v>
      </c>
      <c r="AZ5307" s="3" t="s">
        <v>50822</v>
      </c>
      <c r="BA5307" s="3" t="s">
        <v>50822</v>
      </c>
      <c r="BB5307" s="3" t="s">
        <v>50823</v>
      </c>
      <c r="BC5307" s="3" t="s">
        <v>142</v>
      </c>
      <c r="BD5307" s="3" t="s">
        <v>68</v>
      </c>
      <c r="BE5307" s="3" t="s">
        <v>50824</v>
      </c>
      <c r="BF5307" s="3" t="s">
        <v>50823</v>
      </c>
      <c r="BG5307" s="3" t="s">
        <v>50825</v>
      </c>
    </row>
    <row r="5308" spans="1:59" ht="57" x14ac:dyDescent="0.45">
      <c r="A5308" s="2" t="s">
        <v>59</v>
      </c>
      <c r="B5308" s="2" t="s">
        <v>60</v>
      </c>
      <c r="C5308" s="2" t="s">
        <v>50826</v>
      </c>
      <c r="D5308" s="2" t="s">
        <v>50827</v>
      </c>
      <c r="E5308" s="2" t="s">
        <v>50828</v>
      </c>
      <c r="G5308" s="3" t="s">
        <v>62</v>
      </c>
      <c r="I5308" s="3" t="s">
        <v>62</v>
      </c>
      <c r="J5308" s="3" t="s">
        <v>62</v>
      </c>
      <c r="K5308" s="3" t="s">
        <v>63</v>
      </c>
      <c r="L5308" s="2" t="s">
        <v>50829</v>
      </c>
      <c r="M5308" s="2" t="s">
        <v>50830</v>
      </c>
      <c r="N5308" s="3" t="s">
        <v>1155</v>
      </c>
      <c r="P5308" s="3" t="s">
        <v>65</v>
      </c>
      <c r="Q5308" s="2" t="s">
        <v>21253</v>
      </c>
      <c r="R5308" s="3" t="s">
        <v>66</v>
      </c>
      <c r="S5308" s="4">
        <v>2</v>
      </c>
      <c r="T5308" s="4">
        <v>2</v>
      </c>
      <c r="U5308" s="5" t="s">
        <v>14532</v>
      </c>
      <c r="V5308" s="5" t="s">
        <v>14532</v>
      </c>
      <c r="W5308" s="5" t="s">
        <v>67</v>
      </c>
      <c r="X5308" s="5" t="s">
        <v>67</v>
      </c>
      <c r="Y5308" s="4">
        <v>172</v>
      </c>
      <c r="Z5308" s="4">
        <v>14</v>
      </c>
      <c r="AA5308" s="4">
        <v>29</v>
      </c>
      <c r="AB5308" s="4">
        <v>1</v>
      </c>
      <c r="AC5308" s="4">
        <v>7</v>
      </c>
      <c r="AD5308" s="4">
        <v>70</v>
      </c>
      <c r="AE5308" s="4">
        <v>86</v>
      </c>
      <c r="AF5308" s="4">
        <v>0</v>
      </c>
      <c r="AG5308" s="4">
        <v>2</v>
      </c>
      <c r="AH5308" s="4">
        <v>64</v>
      </c>
      <c r="AI5308" s="4">
        <v>73</v>
      </c>
      <c r="AJ5308" s="4">
        <v>11</v>
      </c>
      <c r="AK5308" s="4">
        <v>17</v>
      </c>
      <c r="AL5308" s="4">
        <v>39</v>
      </c>
      <c r="AM5308" s="4">
        <v>42</v>
      </c>
      <c r="AN5308" s="4">
        <v>0</v>
      </c>
      <c r="AO5308" s="4">
        <v>0</v>
      </c>
      <c r="AP5308" s="4">
        <v>11</v>
      </c>
      <c r="AQ5308" s="4">
        <v>21</v>
      </c>
      <c r="AR5308" s="3" t="s">
        <v>62</v>
      </c>
      <c r="AS5308" s="3" t="s">
        <v>62</v>
      </c>
      <c r="AT5308" s="3" t="s">
        <v>62</v>
      </c>
      <c r="AV5308" s="6" t="str">
        <f>HYPERLINK("http://mcgill.on.worldcat.org/oclc/757930806","Catalog Record")</f>
        <v>Catalog Record</v>
      </c>
      <c r="AW5308" s="6" t="str">
        <f>HYPERLINK("http://www.worldcat.org/oclc/757930806","WorldCat Record")</f>
        <v>WorldCat Record</v>
      </c>
      <c r="AX5308" s="3" t="s">
        <v>50831</v>
      </c>
      <c r="AY5308" s="3" t="s">
        <v>50832</v>
      </c>
      <c r="AZ5308" s="3" t="s">
        <v>50833</v>
      </c>
      <c r="BA5308" s="3" t="s">
        <v>50833</v>
      </c>
      <c r="BB5308" s="3" t="s">
        <v>50834</v>
      </c>
      <c r="BC5308" s="3" t="s">
        <v>142</v>
      </c>
      <c r="BD5308" s="3" t="s">
        <v>68</v>
      </c>
      <c r="BE5308" s="3" t="s">
        <v>50835</v>
      </c>
      <c r="BF5308" s="3" t="s">
        <v>50834</v>
      </c>
      <c r="BG5308" s="3" t="s">
        <v>50836</v>
      </c>
    </row>
    <row r="5309" spans="1:59" ht="57" x14ac:dyDescent="0.45">
      <c r="A5309" s="2" t="s">
        <v>59</v>
      </c>
      <c r="B5309" s="2" t="s">
        <v>60</v>
      </c>
      <c r="C5309" s="2" t="s">
        <v>50837</v>
      </c>
      <c r="D5309" s="2" t="s">
        <v>50838</v>
      </c>
      <c r="E5309" s="2" t="s">
        <v>50839</v>
      </c>
      <c r="G5309" s="3" t="s">
        <v>62</v>
      </c>
      <c r="I5309" s="3" t="s">
        <v>62</v>
      </c>
      <c r="J5309" s="3" t="s">
        <v>62</v>
      </c>
      <c r="K5309" s="3" t="s">
        <v>63</v>
      </c>
      <c r="M5309" s="2" t="s">
        <v>50840</v>
      </c>
      <c r="N5309" s="3" t="s">
        <v>1855</v>
      </c>
      <c r="P5309" s="3" t="s">
        <v>65</v>
      </c>
      <c r="Q5309" s="2" t="s">
        <v>50841</v>
      </c>
      <c r="R5309" s="3" t="s">
        <v>66</v>
      </c>
      <c r="S5309" s="4">
        <v>5</v>
      </c>
      <c r="T5309" s="4">
        <v>5</v>
      </c>
      <c r="U5309" s="5" t="s">
        <v>4131</v>
      </c>
      <c r="V5309" s="5" t="s">
        <v>4131</v>
      </c>
      <c r="W5309" s="5" t="s">
        <v>67</v>
      </c>
      <c r="X5309" s="5" t="s">
        <v>67</v>
      </c>
      <c r="Y5309" s="4">
        <v>66</v>
      </c>
      <c r="Z5309" s="4">
        <v>6</v>
      </c>
      <c r="AA5309" s="4">
        <v>89</v>
      </c>
      <c r="AB5309" s="4">
        <v>2</v>
      </c>
      <c r="AC5309" s="4">
        <v>17</v>
      </c>
      <c r="AD5309" s="4">
        <v>29</v>
      </c>
      <c r="AE5309" s="4">
        <v>96</v>
      </c>
      <c r="AF5309" s="4">
        <v>1</v>
      </c>
      <c r="AG5309" s="4">
        <v>8</v>
      </c>
      <c r="AH5309" s="4">
        <v>28</v>
      </c>
      <c r="AI5309" s="4">
        <v>65</v>
      </c>
      <c r="AJ5309" s="4">
        <v>3</v>
      </c>
      <c r="AK5309" s="4">
        <v>18</v>
      </c>
      <c r="AL5309" s="4">
        <v>18</v>
      </c>
      <c r="AM5309" s="4">
        <v>32</v>
      </c>
      <c r="AN5309" s="4">
        <v>0</v>
      </c>
      <c r="AO5309" s="4">
        <v>0</v>
      </c>
      <c r="AP5309" s="4">
        <v>4</v>
      </c>
      <c r="AQ5309" s="4">
        <v>39</v>
      </c>
      <c r="AR5309" s="3" t="s">
        <v>62</v>
      </c>
      <c r="AS5309" s="3" t="s">
        <v>62</v>
      </c>
      <c r="AT5309" s="3" t="s">
        <v>61</v>
      </c>
      <c r="AU5309" s="6" t="str">
        <f>HYPERLINK("http://catalog.hathitrust.org/Record/005108097","HathiTrust Record")</f>
        <v>HathiTrust Record</v>
      </c>
      <c r="AV5309" s="6" t="str">
        <f>HYPERLINK("http://mcgill.on.worldcat.org/oclc/58422079","Catalog Record")</f>
        <v>Catalog Record</v>
      </c>
      <c r="AW5309" s="6" t="str">
        <f>HYPERLINK("http://www.worldcat.org/oclc/58422079","WorldCat Record")</f>
        <v>WorldCat Record</v>
      </c>
      <c r="AX5309" s="3" t="s">
        <v>50842</v>
      </c>
      <c r="AY5309" s="3" t="s">
        <v>50843</v>
      </c>
      <c r="AZ5309" s="3" t="s">
        <v>50844</v>
      </c>
      <c r="BA5309" s="3" t="s">
        <v>50844</v>
      </c>
      <c r="BB5309" s="3" t="s">
        <v>50845</v>
      </c>
      <c r="BC5309" s="3" t="s">
        <v>142</v>
      </c>
      <c r="BD5309" s="3" t="s">
        <v>68</v>
      </c>
      <c r="BE5309" s="3" t="s">
        <v>50846</v>
      </c>
      <c r="BF5309" s="3" t="s">
        <v>50845</v>
      </c>
      <c r="BG5309" s="3" t="s">
        <v>50847</v>
      </c>
    </row>
    <row r="5310" spans="1:59" ht="57" x14ac:dyDescent="0.45">
      <c r="A5310" s="2" t="s">
        <v>59</v>
      </c>
      <c r="B5310" s="2" t="s">
        <v>60</v>
      </c>
      <c r="C5310" s="2" t="s">
        <v>50848</v>
      </c>
      <c r="D5310" s="2" t="s">
        <v>50849</v>
      </c>
      <c r="E5310" s="2" t="s">
        <v>50850</v>
      </c>
      <c r="G5310" s="3" t="s">
        <v>62</v>
      </c>
      <c r="I5310" s="3" t="s">
        <v>62</v>
      </c>
      <c r="J5310" s="3" t="s">
        <v>62</v>
      </c>
      <c r="K5310" s="3" t="s">
        <v>63</v>
      </c>
      <c r="L5310" s="2" t="s">
        <v>50851</v>
      </c>
      <c r="M5310" s="2" t="s">
        <v>50852</v>
      </c>
      <c r="N5310" s="3" t="s">
        <v>542</v>
      </c>
      <c r="P5310" s="3" t="s">
        <v>65</v>
      </c>
      <c r="Q5310" s="2" t="s">
        <v>50853</v>
      </c>
      <c r="R5310" s="3" t="s">
        <v>66</v>
      </c>
      <c r="S5310" s="4">
        <v>7</v>
      </c>
      <c r="T5310" s="4">
        <v>7</v>
      </c>
      <c r="U5310" s="5" t="s">
        <v>1393</v>
      </c>
      <c r="V5310" s="5" t="s">
        <v>1393</v>
      </c>
      <c r="W5310" s="5" t="s">
        <v>67</v>
      </c>
      <c r="X5310" s="5" t="s">
        <v>67</v>
      </c>
      <c r="Y5310" s="4">
        <v>113</v>
      </c>
      <c r="Z5310" s="4">
        <v>10</v>
      </c>
      <c r="AA5310" s="4">
        <v>12</v>
      </c>
      <c r="AB5310" s="4">
        <v>2</v>
      </c>
      <c r="AC5310" s="4">
        <v>3</v>
      </c>
      <c r="AD5310" s="4">
        <v>55</v>
      </c>
      <c r="AE5310" s="4">
        <v>58</v>
      </c>
      <c r="AF5310" s="4">
        <v>0</v>
      </c>
      <c r="AG5310" s="4">
        <v>0</v>
      </c>
      <c r="AH5310" s="4">
        <v>52</v>
      </c>
      <c r="AI5310" s="4">
        <v>54</v>
      </c>
      <c r="AJ5310" s="4">
        <v>7</v>
      </c>
      <c r="AK5310" s="4">
        <v>7</v>
      </c>
      <c r="AL5310" s="4">
        <v>35</v>
      </c>
      <c r="AM5310" s="4">
        <v>36</v>
      </c>
      <c r="AN5310" s="4">
        <v>0</v>
      </c>
      <c r="AO5310" s="4">
        <v>0</v>
      </c>
      <c r="AP5310" s="4">
        <v>7</v>
      </c>
      <c r="AQ5310" s="4">
        <v>8</v>
      </c>
      <c r="AR5310" s="3" t="s">
        <v>62</v>
      </c>
      <c r="AS5310" s="3" t="s">
        <v>62</v>
      </c>
      <c r="AT5310" s="3" t="s">
        <v>62</v>
      </c>
      <c r="AV5310" s="6" t="str">
        <f>HYPERLINK("http://mcgill.on.worldcat.org/oclc/48265581","Catalog Record")</f>
        <v>Catalog Record</v>
      </c>
      <c r="AW5310" s="6" t="str">
        <f>HYPERLINK("http://www.worldcat.org/oclc/48265581","WorldCat Record")</f>
        <v>WorldCat Record</v>
      </c>
      <c r="AX5310" s="3" t="s">
        <v>50854</v>
      </c>
      <c r="AY5310" s="3" t="s">
        <v>50855</v>
      </c>
      <c r="AZ5310" s="3" t="s">
        <v>50856</v>
      </c>
      <c r="BA5310" s="3" t="s">
        <v>50856</v>
      </c>
      <c r="BB5310" s="3" t="s">
        <v>50857</v>
      </c>
      <c r="BC5310" s="3" t="s">
        <v>142</v>
      </c>
      <c r="BD5310" s="3" t="s">
        <v>68</v>
      </c>
      <c r="BE5310" s="3" t="s">
        <v>50858</v>
      </c>
      <c r="BF5310" s="3" t="s">
        <v>50857</v>
      </c>
      <c r="BG5310" s="3" t="s">
        <v>50859</v>
      </c>
    </row>
    <row r="5311" spans="1:59" ht="57" x14ac:dyDescent="0.45">
      <c r="A5311" s="2" t="s">
        <v>59</v>
      </c>
      <c r="B5311" s="2" t="s">
        <v>60</v>
      </c>
      <c r="C5311" s="2" t="s">
        <v>50860</v>
      </c>
      <c r="D5311" s="2" t="s">
        <v>50861</v>
      </c>
      <c r="E5311" s="2" t="s">
        <v>50862</v>
      </c>
      <c r="G5311" s="3" t="s">
        <v>62</v>
      </c>
      <c r="I5311" s="3" t="s">
        <v>62</v>
      </c>
      <c r="J5311" s="3" t="s">
        <v>62</v>
      </c>
      <c r="K5311" s="3" t="s">
        <v>63</v>
      </c>
      <c r="L5311" s="2" t="s">
        <v>50863</v>
      </c>
      <c r="M5311" s="2" t="s">
        <v>12953</v>
      </c>
      <c r="N5311" s="3" t="s">
        <v>1059</v>
      </c>
      <c r="P5311" s="3" t="s">
        <v>65</v>
      </c>
      <c r="Q5311" s="2" t="s">
        <v>50864</v>
      </c>
      <c r="R5311" s="3" t="s">
        <v>66</v>
      </c>
      <c r="S5311" s="4">
        <v>10</v>
      </c>
      <c r="T5311" s="4">
        <v>10</v>
      </c>
      <c r="U5311" s="5" t="s">
        <v>36802</v>
      </c>
      <c r="V5311" s="5" t="s">
        <v>36802</v>
      </c>
      <c r="W5311" s="5" t="s">
        <v>67</v>
      </c>
      <c r="X5311" s="5" t="s">
        <v>67</v>
      </c>
      <c r="Y5311" s="4">
        <v>186</v>
      </c>
      <c r="Z5311" s="4">
        <v>17</v>
      </c>
      <c r="AA5311" s="4">
        <v>99</v>
      </c>
      <c r="AB5311" s="4">
        <v>1</v>
      </c>
      <c r="AC5311" s="4">
        <v>17</v>
      </c>
      <c r="AD5311" s="4">
        <v>86</v>
      </c>
      <c r="AE5311" s="4">
        <v>137</v>
      </c>
      <c r="AF5311" s="4">
        <v>0</v>
      </c>
      <c r="AG5311" s="4">
        <v>8</v>
      </c>
      <c r="AH5311" s="4">
        <v>78</v>
      </c>
      <c r="AI5311" s="4">
        <v>99</v>
      </c>
      <c r="AJ5311" s="4">
        <v>14</v>
      </c>
      <c r="AK5311" s="4">
        <v>24</v>
      </c>
      <c r="AL5311" s="4">
        <v>47</v>
      </c>
      <c r="AM5311" s="4">
        <v>55</v>
      </c>
      <c r="AN5311" s="4">
        <v>0</v>
      </c>
      <c r="AO5311" s="4">
        <v>0</v>
      </c>
      <c r="AP5311" s="4">
        <v>15</v>
      </c>
      <c r="AQ5311" s="4">
        <v>46</v>
      </c>
      <c r="AR5311" s="3" t="s">
        <v>62</v>
      </c>
      <c r="AS5311" s="3" t="s">
        <v>62</v>
      </c>
      <c r="AT5311" s="3" t="s">
        <v>62</v>
      </c>
      <c r="AV5311" s="6" t="str">
        <f>HYPERLINK("http://mcgill.on.worldcat.org/oclc/60671900","Catalog Record")</f>
        <v>Catalog Record</v>
      </c>
      <c r="AW5311" s="6" t="str">
        <f>HYPERLINK("http://www.worldcat.org/oclc/60671900","WorldCat Record")</f>
        <v>WorldCat Record</v>
      </c>
      <c r="AX5311" s="3" t="s">
        <v>50865</v>
      </c>
      <c r="AY5311" s="3" t="s">
        <v>50866</v>
      </c>
      <c r="AZ5311" s="3" t="s">
        <v>50867</v>
      </c>
      <c r="BA5311" s="3" t="s">
        <v>50867</v>
      </c>
      <c r="BB5311" s="3" t="s">
        <v>50868</v>
      </c>
      <c r="BC5311" s="3" t="s">
        <v>142</v>
      </c>
      <c r="BD5311" s="3" t="s">
        <v>68</v>
      </c>
      <c r="BE5311" s="3" t="s">
        <v>50869</v>
      </c>
      <c r="BF5311" s="3" t="s">
        <v>50868</v>
      </c>
      <c r="BG5311" s="3" t="s">
        <v>50870</v>
      </c>
    </row>
    <row r="5312" spans="1:59" ht="57" x14ac:dyDescent="0.45">
      <c r="A5312" s="2" t="s">
        <v>59</v>
      </c>
      <c r="B5312" s="2" t="s">
        <v>60</v>
      </c>
      <c r="C5312" s="2" t="s">
        <v>50871</v>
      </c>
      <c r="D5312" s="2" t="s">
        <v>50872</v>
      </c>
      <c r="E5312" s="2" t="s">
        <v>50873</v>
      </c>
      <c r="G5312" s="3" t="s">
        <v>62</v>
      </c>
      <c r="I5312" s="3" t="s">
        <v>62</v>
      </c>
      <c r="J5312" s="3" t="s">
        <v>62</v>
      </c>
      <c r="K5312" s="3" t="s">
        <v>63</v>
      </c>
      <c r="L5312" s="2" t="s">
        <v>50874</v>
      </c>
      <c r="M5312" s="2" t="s">
        <v>2822</v>
      </c>
      <c r="N5312" s="3" t="s">
        <v>894</v>
      </c>
      <c r="P5312" s="3" t="s">
        <v>65</v>
      </c>
      <c r="Q5312" s="2" t="s">
        <v>50875</v>
      </c>
      <c r="R5312" s="3" t="s">
        <v>66</v>
      </c>
      <c r="S5312" s="4">
        <v>2</v>
      </c>
      <c r="T5312" s="4">
        <v>2</v>
      </c>
      <c r="U5312" s="5" t="s">
        <v>6427</v>
      </c>
      <c r="V5312" s="5" t="s">
        <v>6427</v>
      </c>
      <c r="W5312" s="5" t="s">
        <v>67</v>
      </c>
      <c r="X5312" s="5" t="s">
        <v>67</v>
      </c>
      <c r="Y5312" s="4">
        <v>51</v>
      </c>
      <c r="Z5312" s="4">
        <v>8</v>
      </c>
      <c r="AA5312" s="4">
        <v>111</v>
      </c>
      <c r="AB5312" s="4">
        <v>1</v>
      </c>
      <c r="AC5312" s="4">
        <v>17</v>
      </c>
      <c r="AD5312" s="4">
        <v>24</v>
      </c>
      <c r="AE5312" s="4">
        <v>107</v>
      </c>
      <c r="AF5312" s="4">
        <v>0</v>
      </c>
      <c r="AG5312" s="4">
        <v>8</v>
      </c>
      <c r="AH5312" s="4">
        <v>22</v>
      </c>
      <c r="AI5312" s="4">
        <v>69</v>
      </c>
      <c r="AJ5312" s="4">
        <v>6</v>
      </c>
      <c r="AK5312" s="4">
        <v>23</v>
      </c>
      <c r="AL5312" s="4">
        <v>15</v>
      </c>
      <c r="AM5312" s="4">
        <v>36</v>
      </c>
      <c r="AN5312" s="4">
        <v>0</v>
      </c>
      <c r="AO5312" s="4">
        <v>0</v>
      </c>
      <c r="AP5312" s="4">
        <v>6</v>
      </c>
      <c r="AQ5312" s="4">
        <v>45</v>
      </c>
      <c r="AR5312" s="3" t="s">
        <v>62</v>
      </c>
      <c r="AS5312" s="3" t="s">
        <v>62</v>
      </c>
      <c r="AT5312" s="3" t="s">
        <v>62</v>
      </c>
      <c r="AV5312" s="6" t="str">
        <f>HYPERLINK("http://mcgill.on.worldcat.org/oclc/705568518","Catalog Record")</f>
        <v>Catalog Record</v>
      </c>
      <c r="AW5312" s="6" t="str">
        <f>HYPERLINK("http://www.worldcat.org/oclc/705568518","WorldCat Record")</f>
        <v>WorldCat Record</v>
      </c>
      <c r="AX5312" s="3" t="s">
        <v>50876</v>
      </c>
      <c r="AY5312" s="3" t="s">
        <v>50877</v>
      </c>
      <c r="AZ5312" s="3" t="s">
        <v>50878</v>
      </c>
      <c r="BA5312" s="3" t="s">
        <v>50878</v>
      </c>
      <c r="BB5312" s="3" t="s">
        <v>50879</v>
      </c>
      <c r="BC5312" s="3" t="s">
        <v>142</v>
      </c>
      <c r="BD5312" s="3" t="s">
        <v>68</v>
      </c>
      <c r="BE5312" s="3" t="s">
        <v>50880</v>
      </c>
      <c r="BF5312" s="3" t="s">
        <v>50879</v>
      </c>
      <c r="BG5312" s="3" t="s">
        <v>50881</v>
      </c>
    </row>
    <row r="5313" spans="1:59" ht="57" x14ac:dyDescent="0.45">
      <c r="A5313" s="2" t="s">
        <v>59</v>
      </c>
      <c r="B5313" s="2" t="s">
        <v>60</v>
      </c>
      <c r="C5313" s="2" t="s">
        <v>50882</v>
      </c>
      <c r="D5313" s="2" t="s">
        <v>50883</v>
      </c>
      <c r="E5313" s="2" t="s">
        <v>50884</v>
      </c>
      <c r="G5313" s="3" t="s">
        <v>62</v>
      </c>
      <c r="I5313" s="3" t="s">
        <v>62</v>
      </c>
      <c r="J5313" s="3" t="s">
        <v>62</v>
      </c>
      <c r="K5313" s="3" t="s">
        <v>63</v>
      </c>
      <c r="L5313" s="2" t="s">
        <v>50885</v>
      </c>
      <c r="M5313" s="2" t="s">
        <v>49790</v>
      </c>
      <c r="N5313" s="3" t="s">
        <v>167</v>
      </c>
      <c r="P5313" s="3" t="s">
        <v>65</v>
      </c>
      <c r="Q5313" s="2" t="s">
        <v>50886</v>
      </c>
      <c r="R5313" s="3" t="s">
        <v>66</v>
      </c>
      <c r="S5313" s="4">
        <v>12</v>
      </c>
      <c r="T5313" s="4">
        <v>12</v>
      </c>
      <c r="U5313" s="5" t="s">
        <v>1099</v>
      </c>
      <c r="V5313" s="5" t="s">
        <v>1099</v>
      </c>
      <c r="W5313" s="5" t="s">
        <v>67</v>
      </c>
      <c r="X5313" s="5" t="s">
        <v>67</v>
      </c>
      <c r="Y5313" s="4">
        <v>127</v>
      </c>
      <c r="Z5313" s="4">
        <v>10</v>
      </c>
      <c r="AA5313" s="4">
        <v>98</v>
      </c>
      <c r="AB5313" s="4">
        <v>1</v>
      </c>
      <c r="AC5313" s="4">
        <v>17</v>
      </c>
      <c r="AD5313" s="4">
        <v>58</v>
      </c>
      <c r="AE5313" s="4">
        <v>126</v>
      </c>
      <c r="AF5313" s="4">
        <v>0</v>
      </c>
      <c r="AG5313" s="4">
        <v>8</v>
      </c>
      <c r="AH5313" s="4">
        <v>54</v>
      </c>
      <c r="AI5313" s="4">
        <v>89</v>
      </c>
      <c r="AJ5313" s="4">
        <v>8</v>
      </c>
      <c r="AK5313" s="4">
        <v>23</v>
      </c>
      <c r="AL5313" s="4">
        <v>37</v>
      </c>
      <c r="AM5313" s="4">
        <v>49</v>
      </c>
      <c r="AN5313" s="4">
        <v>0</v>
      </c>
      <c r="AO5313" s="4">
        <v>0</v>
      </c>
      <c r="AP5313" s="4">
        <v>8</v>
      </c>
      <c r="AQ5313" s="4">
        <v>44</v>
      </c>
      <c r="AR5313" s="3" t="s">
        <v>62</v>
      </c>
      <c r="AS5313" s="3" t="s">
        <v>62</v>
      </c>
      <c r="AT5313" s="3" t="s">
        <v>62</v>
      </c>
      <c r="AV5313" s="6" t="str">
        <f>HYPERLINK("http://mcgill.on.worldcat.org/oclc/40881662","Catalog Record")</f>
        <v>Catalog Record</v>
      </c>
      <c r="AW5313" s="6" t="str">
        <f>HYPERLINK("http://www.worldcat.org/oclc/40881662","WorldCat Record")</f>
        <v>WorldCat Record</v>
      </c>
      <c r="AX5313" s="3" t="s">
        <v>50887</v>
      </c>
      <c r="AY5313" s="3" t="s">
        <v>50888</v>
      </c>
      <c r="AZ5313" s="3" t="s">
        <v>50889</v>
      </c>
      <c r="BA5313" s="3" t="s">
        <v>50889</v>
      </c>
      <c r="BB5313" s="3" t="s">
        <v>50890</v>
      </c>
      <c r="BC5313" s="3" t="s">
        <v>142</v>
      </c>
      <c r="BD5313" s="3" t="s">
        <v>68</v>
      </c>
      <c r="BE5313" s="3" t="s">
        <v>50891</v>
      </c>
      <c r="BF5313" s="3" t="s">
        <v>50890</v>
      </c>
      <c r="BG5313" s="3" t="s">
        <v>50892</v>
      </c>
    </row>
    <row r="5314" spans="1:59" ht="57" x14ac:dyDescent="0.45">
      <c r="A5314" s="2" t="s">
        <v>59</v>
      </c>
      <c r="B5314" s="2" t="s">
        <v>60</v>
      </c>
      <c r="C5314" s="2" t="s">
        <v>50893</v>
      </c>
      <c r="D5314" s="2" t="s">
        <v>50894</v>
      </c>
      <c r="E5314" s="2" t="s">
        <v>50895</v>
      </c>
      <c r="G5314" s="3" t="s">
        <v>62</v>
      </c>
      <c r="I5314" s="3" t="s">
        <v>62</v>
      </c>
      <c r="J5314" s="3" t="s">
        <v>62</v>
      </c>
      <c r="K5314" s="3" t="s">
        <v>63</v>
      </c>
      <c r="L5314" s="2" t="s">
        <v>50896</v>
      </c>
      <c r="M5314" s="2" t="s">
        <v>35773</v>
      </c>
      <c r="N5314" s="3" t="s">
        <v>1212</v>
      </c>
      <c r="P5314" s="3" t="s">
        <v>65</v>
      </c>
      <c r="R5314" s="3" t="s">
        <v>66</v>
      </c>
      <c r="S5314" s="4">
        <v>6</v>
      </c>
      <c r="T5314" s="4">
        <v>6</v>
      </c>
      <c r="U5314" s="5" t="s">
        <v>28941</v>
      </c>
      <c r="V5314" s="5" t="s">
        <v>28941</v>
      </c>
      <c r="W5314" s="5" t="s">
        <v>67</v>
      </c>
      <c r="X5314" s="5" t="s">
        <v>67</v>
      </c>
      <c r="Y5314" s="4">
        <v>195</v>
      </c>
      <c r="Z5314" s="4">
        <v>16</v>
      </c>
      <c r="AA5314" s="4">
        <v>108</v>
      </c>
      <c r="AB5314" s="4">
        <v>2</v>
      </c>
      <c r="AC5314" s="4">
        <v>21</v>
      </c>
      <c r="AD5314" s="4">
        <v>85</v>
      </c>
      <c r="AE5314" s="4">
        <v>150</v>
      </c>
      <c r="AF5314" s="4">
        <v>1</v>
      </c>
      <c r="AG5314" s="4">
        <v>9</v>
      </c>
      <c r="AH5314" s="4">
        <v>78</v>
      </c>
      <c r="AI5314" s="4">
        <v>102</v>
      </c>
      <c r="AJ5314" s="4">
        <v>14</v>
      </c>
      <c r="AK5314" s="4">
        <v>28</v>
      </c>
      <c r="AL5314" s="4">
        <v>42</v>
      </c>
      <c r="AM5314" s="4">
        <v>51</v>
      </c>
      <c r="AN5314" s="4">
        <v>0</v>
      </c>
      <c r="AO5314" s="4">
        <v>0</v>
      </c>
      <c r="AP5314" s="4">
        <v>14</v>
      </c>
      <c r="AQ5314" s="4">
        <v>57</v>
      </c>
      <c r="AR5314" s="3" t="s">
        <v>62</v>
      </c>
      <c r="AS5314" s="3" t="s">
        <v>62</v>
      </c>
      <c r="AT5314" s="3" t="s">
        <v>62</v>
      </c>
      <c r="AV5314" s="6" t="str">
        <f>HYPERLINK("http://mcgill.on.worldcat.org/oclc/39913907","Catalog Record")</f>
        <v>Catalog Record</v>
      </c>
      <c r="AW5314" s="6" t="str">
        <f>HYPERLINK("http://www.worldcat.org/oclc/39913907","WorldCat Record")</f>
        <v>WorldCat Record</v>
      </c>
      <c r="AX5314" s="3" t="s">
        <v>50897</v>
      </c>
      <c r="AY5314" s="3" t="s">
        <v>50898</v>
      </c>
      <c r="AZ5314" s="3" t="s">
        <v>50899</v>
      </c>
      <c r="BA5314" s="3" t="s">
        <v>50899</v>
      </c>
      <c r="BB5314" s="3" t="s">
        <v>50900</v>
      </c>
      <c r="BC5314" s="3" t="s">
        <v>142</v>
      </c>
      <c r="BD5314" s="3" t="s">
        <v>68</v>
      </c>
      <c r="BE5314" s="3" t="s">
        <v>50901</v>
      </c>
      <c r="BF5314" s="3" t="s">
        <v>50900</v>
      </c>
      <c r="BG5314" s="3" t="s">
        <v>50902</v>
      </c>
    </row>
    <row r="5315" spans="1:59" ht="57" x14ac:dyDescent="0.45">
      <c r="A5315" s="2" t="s">
        <v>59</v>
      </c>
      <c r="B5315" s="2" t="s">
        <v>60</v>
      </c>
      <c r="C5315" s="2" t="s">
        <v>50903</v>
      </c>
      <c r="D5315" s="2" t="s">
        <v>50904</v>
      </c>
      <c r="E5315" s="2" t="s">
        <v>50905</v>
      </c>
      <c r="G5315" s="3" t="s">
        <v>62</v>
      </c>
      <c r="I5315" s="3" t="s">
        <v>62</v>
      </c>
      <c r="J5315" s="3" t="s">
        <v>62</v>
      </c>
      <c r="K5315" s="3" t="s">
        <v>63</v>
      </c>
      <c r="L5315" s="2" t="s">
        <v>50906</v>
      </c>
      <c r="M5315" s="2" t="s">
        <v>50907</v>
      </c>
      <c r="N5315" s="3" t="s">
        <v>167</v>
      </c>
      <c r="P5315" s="3" t="s">
        <v>65</v>
      </c>
      <c r="Q5315" s="2" t="s">
        <v>49489</v>
      </c>
      <c r="R5315" s="3" t="s">
        <v>66</v>
      </c>
      <c r="S5315" s="4">
        <v>10</v>
      </c>
      <c r="T5315" s="4">
        <v>10</v>
      </c>
      <c r="U5315" s="5" t="s">
        <v>751</v>
      </c>
      <c r="V5315" s="5" t="s">
        <v>751</v>
      </c>
      <c r="W5315" s="5" t="s">
        <v>67</v>
      </c>
      <c r="X5315" s="5" t="s">
        <v>67</v>
      </c>
      <c r="Y5315" s="4">
        <v>122</v>
      </c>
      <c r="Z5315" s="4">
        <v>7</v>
      </c>
      <c r="AA5315" s="4">
        <v>8</v>
      </c>
      <c r="AB5315" s="4">
        <v>1</v>
      </c>
      <c r="AC5315" s="4">
        <v>2</v>
      </c>
      <c r="AD5315" s="4">
        <v>57</v>
      </c>
      <c r="AE5315" s="4">
        <v>58</v>
      </c>
      <c r="AF5315" s="4">
        <v>0</v>
      </c>
      <c r="AG5315" s="4">
        <v>1</v>
      </c>
      <c r="AH5315" s="4">
        <v>52</v>
      </c>
      <c r="AI5315" s="4">
        <v>52</v>
      </c>
      <c r="AJ5315" s="4">
        <v>5</v>
      </c>
      <c r="AK5315" s="4">
        <v>6</v>
      </c>
      <c r="AL5315" s="4">
        <v>35</v>
      </c>
      <c r="AM5315" s="4">
        <v>35</v>
      </c>
      <c r="AN5315" s="4">
        <v>0</v>
      </c>
      <c r="AO5315" s="4">
        <v>0</v>
      </c>
      <c r="AP5315" s="4">
        <v>5</v>
      </c>
      <c r="AQ5315" s="4">
        <v>6</v>
      </c>
      <c r="AR5315" s="3" t="s">
        <v>62</v>
      </c>
      <c r="AS5315" s="3" t="s">
        <v>62</v>
      </c>
      <c r="AT5315" s="3" t="s">
        <v>62</v>
      </c>
      <c r="AV5315" s="6" t="str">
        <f>HYPERLINK("http://mcgill.on.worldcat.org/oclc/40838789","Catalog Record")</f>
        <v>Catalog Record</v>
      </c>
      <c r="AW5315" s="6" t="str">
        <f>HYPERLINK("http://www.worldcat.org/oclc/40838789","WorldCat Record")</f>
        <v>WorldCat Record</v>
      </c>
      <c r="AX5315" s="3" t="s">
        <v>50908</v>
      </c>
      <c r="AY5315" s="3" t="s">
        <v>50909</v>
      </c>
      <c r="AZ5315" s="3" t="s">
        <v>50910</v>
      </c>
      <c r="BA5315" s="3" t="s">
        <v>50910</v>
      </c>
      <c r="BB5315" s="3" t="s">
        <v>50911</v>
      </c>
      <c r="BC5315" s="3" t="s">
        <v>142</v>
      </c>
      <c r="BD5315" s="3" t="s">
        <v>68</v>
      </c>
      <c r="BE5315" s="3" t="s">
        <v>50912</v>
      </c>
      <c r="BF5315" s="3" t="s">
        <v>50911</v>
      </c>
      <c r="BG5315" s="3" t="s">
        <v>50913</v>
      </c>
    </row>
    <row r="5316" spans="1:59" ht="57" x14ac:dyDescent="0.45">
      <c r="A5316" s="2" t="s">
        <v>59</v>
      </c>
      <c r="B5316" s="2" t="s">
        <v>60</v>
      </c>
      <c r="C5316" s="2" t="s">
        <v>50914</v>
      </c>
      <c r="D5316" s="2" t="s">
        <v>50915</v>
      </c>
      <c r="E5316" s="2" t="s">
        <v>50916</v>
      </c>
      <c r="G5316" s="3" t="s">
        <v>62</v>
      </c>
      <c r="I5316" s="3" t="s">
        <v>62</v>
      </c>
      <c r="J5316" s="3" t="s">
        <v>62</v>
      </c>
      <c r="K5316" s="3" t="s">
        <v>63</v>
      </c>
      <c r="L5316" s="2" t="s">
        <v>50917</v>
      </c>
      <c r="M5316" s="2" t="s">
        <v>2844</v>
      </c>
      <c r="N5316" s="3" t="s">
        <v>1253</v>
      </c>
      <c r="P5316" s="3" t="s">
        <v>65</v>
      </c>
      <c r="Q5316" s="2" t="s">
        <v>50918</v>
      </c>
      <c r="R5316" s="3" t="s">
        <v>66</v>
      </c>
      <c r="S5316" s="4">
        <v>30</v>
      </c>
      <c r="T5316" s="4">
        <v>30</v>
      </c>
      <c r="U5316" s="5" t="s">
        <v>6656</v>
      </c>
      <c r="V5316" s="5" t="s">
        <v>6656</v>
      </c>
      <c r="W5316" s="5" t="s">
        <v>67</v>
      </c>
      <c r="X5316" s="5" t="s">
        <v>67</v>
      </c>
      <c r="Y5316" s="4">
        <v>225</v>
      </c>
      <c r="Z5316" s="4">
        <v>18</v>
      </c>
      <c r="AA5316" s="4">
        <v>109</v>
      </c>
      <c r="AB5316" s="4">
        <v>2</v>
      </c>
      <c r="AC5316" s="4">
        <v>22</v>
      </c>
      <c r="AD5316" s="4">
        <v>92</v>
      </c>
      <c r="AE5316" s="4">
        <v>150</v>
      </c>
      <c r="AF5316" s="4">
        <v>1</v>
      </c>
      <c r="AG5316" s="4">
        <v>9</v>
      </c>
      <c r="AH5316" s="4">
        <v>82</v>
      </c>
      <c r="AI5316" s="4">
        <v>103</v>
      </c>
      <c r="AJ5316" s="4">
        <v>15</v>
      </c>
      <c r="AK5316" s="4">
        <v>28</v>
      </c>
      <c r="AL5316" s="4">
        <v>48</v>
      </c>
      <c r="AM5316" s="4">
        <v>54</v>
      </c>
      <c r="AN5316" s="4">
        <v>0</v>
      </c>
      <c r="AO5316" s="4">
        <v>0</v>
      </c>
      <c r="AP5316" s="4">
        <v>16</v>
      </c>
      <c r="AQ5316" s="4">
        <v>57</v>
      </c>
      <c r="AR5316" s="3" t="s">
        <v>62</v>
      </c>
      <c r="AS5316" s="3" t="s">
        <v>62</v>
      </c>
      <c r="AT5316" s="3" t="s">
        <v>62</v>
      </c>
      <c r="AV5316" s="6" t="str">
        <f>HYPERLINK("http://mcgill.on.worldcat.org/oclc/35068196","Catalog Record")</f>
        <v>Catalog Record</v>
      </c>
      <c r="AW5316" s="6" t="str">
        <f>HYPERLINK("http://www.worldcat.org/oclc/35068196","WorldCat Record")</f>
        <v>WorldCat Record</v>
      </c>
      <c r="AX5316" s="3" t="s">
        <v>50919</v>
      </c>
      <c r="AY5316" s="3" t="s">
        <v>50920</v>
      </c>
      <c r="AZ5316" s="3" t="s">
        <v>50921</v>
      </c>
      <c r="BA5316" s="3" t="s">
        <v>50921</v>
      </c>
      <c r="BB5316" s="3" t="s">
        <v>50922</v>
      </c>
      <c r="BC5316" s="3" t="s">
        <v>142</v>
      </c>
      <c r="BD5316" s="3" t="s">
        <v>68</v>
      </c>
      <c r="BE5316" s="3" t="s">
        <v>50923</v>
      </c>
      <c r="BF5316" s="3" t="s">
        <v>50922</v>
      </c>
      <c r="BG5316" s="3" t="s">
        <v>50924</v>
      </c>
    </row>
    <row r="5317" spans="1:59" ht="57" x14ac:dyDescent="0.45">
      <c r="A5317" s="2" t="s">
        <v>59</v>
      </c>
      <c r="B5317" s="2" t="s">
        <v>60</v>
      </c>
      <c r="C5317" s="2" t="s">
        <v>50925</v>
      </c>
      <c r="D5317" s="2" t="s">
        <v>50926</v>
      </c>
      <c r="E5317" s="2" t="s">
        <v>50927</v>
      </c>
      <c r="G5317" s="3" t="s">
        <v>62</v>
      </c>
      <c r="I5317" s="3" t="s">
        <v>62</v>
      </c>
      <c r="J5317" s="3" t="s">
        <v>62</v>
      </c>
      <c r="K5317" s="3" t="s">
        <v>63</v>
      </c>
      <c r="L5317" s="2" t="s">
        <v>50928</v>
      </c>
      <c r="M5317" s="2" t="s">
        <v>2976</v>
      </c>
      <c r="N5317" s="3" t="s">
        <v>149</v>
      </c>
      <c r="P5317" s="3" t="s">
        <v>65</v>
      </c>
      <c r="Q5317" s="2" t="s">
        <v>21253</v>
      </c>
      <c r="R5317" s="3" t="s">
        <v>66</v>
      </c>
      <c r="S5317" s="4">
        <v>2</v>
      </c>
      <c r="T5317" s="4">
        <v>2</v>
      </c>
      <c r="U5317" s="5" t="s">
        <v>18463</v>
      </c>
      <c r="V5317" s="5" t="s">
        <v>18463</v>
      </c>
      <c r="W5317" s="5" t="s">
        <v>67</v>
      </c>
      <c r="X5317" s="5" t="s">
        <v>67</v>
      </c>
      <c r="Y5317" s="4">
        <v>134</v>
      </c>
      <c r="Z5317" s="4">
        <v>15</v>
      </c>
      <c r="AA5317" s="4">
        <v>25</v>
      </c>
      <c r="AB5317" s="4">
        <v>1</v>
      </c>
      <c r="AC5317" s="4">
        <v>5</v>
      </c>
      <c r="AD5317" s="4">
        <v>61</v>
      </c>
      <c r="AE5317" s="4">
        <v>74</v>
      </c>
      <c r="AF5317" s="4">
        <v>0</v>
      </c>
      <c r="AG5317" s="4">
        <v>1</v>
      </c>
      <c r="AH5317" s="4">
        <v>55</v>
      </c>
      <c r="AI5317" s="4">
        <v>64</v>
      </c>
      <c r="AJ5317" s="4">
        <v>12</v>
      </c>
      <c r="AK5317" s="4">
        <v>17</v>
      </c>
      <c r="AL5317" s="4">
        <v>37</v>
      </c>
      <c r="AM5317" s="4">
        <v>40</v>
      </c>
      <c r="AN5317" s="4">
        <v>0</v>
      </c>
      <c r="AO5317" s="4">
        <v>0</v>
      </c>
      <c r="AP5317" s="4">
        <v>13</v>
      </c>
      <c r="AQ5317" s="4">
        <v>20</v>
      </c>
      <c r="AR5317" s="3" t="s">
        <v>62</v>
      </c>
      <c r="AS5317" s="3" t="s">
        <v>62</v>
      </c>
      <c r="AT5317" s="3" t="s">
        <v>62</v>
      </c>
      <c r="AV5317" s="6" t="str">
        <f>HYPERLINK("http://mcgill.on.worldcat.org/oclc/461268448","Catalog Record")</f>
        <v>Catalog Record</v>
      </c>
      <c r="AW5317" s="6" t="str">
        <f>HYPERLINK("http://www.worldcat.org/oclc/461268448","WorldCat Record")</f>
        <v>WorldCat Record</v>
      </c>
      <c r="AX5317" s="3" t="s">
        <v>50929</v>
      </c>
      <c r="AY5317" s="3" t="s">
        <v>50930</v>
      </c>
      <c r="AZ5317" s="3" t="s">
        <v>50931</v>
      </c>
      <c r="BA5317" s="3" t="s">
        <v>50931</v>
      </c>
      <c r="BB5317" s="3" t="s">
        <v>50932</v>
      </c>
      <c r="BC5317" s="3" t="s">
        <v>142</v>
      </c>
      <c r="BD5317" s="3" t="s">
        <v>68</v>
      </c>
      <c r="BE5317" s="3" t="s">
        <v>50933</v>
      </c>
      <c r="BF5317" s="3" t="s">
        <v>50932</v>
      </c>
      <c r="BG5317" s="3" t="s">
        <v>50934</v>
      </c>
    </row>
    <row r="5318" spans="1:59" ht="57" x14ac:dyDescent="0.45">
      <c r="A5318" s="2" t="s">
        <v>59</v>
      </c>
      <c r="B5318" s="2" t="s">
        <v>60</v>
      </c>
      <c r="C5318" s="2" t="s">
        <v>50935</v>
      </c>
      <c r="D5318" s="2" t="s">
        <v>50936</v>
      </c>
      <c r="E5318" s="2" t="s">
        <v>50937</v>
      </c>
      <c r="G5318" s="3" t="s">
        <v>62</v>
      </c>
      <c r="I5318" s="3" t="s">
        <v>61</v>
      </c>
      <c r="J5318" s="3" t="s">
        <v>62</v>
      </c>
      <c r="K5318" s="3" t="s">
        <v>63</v>
      </c>
      <c r="L5318" s="2" t="s">
        <v>50938</v>
      </c>
      <c r="M5318" s="2" t="s">
        <v>50939</v>
      </c>
      <c r="N5318" s="3" t="s">
        <v>1224</v>
      </c>
      <c r="P5318" s="3" t="s">
        <v>65</v>
      </c>
      <c r="Q5318" s="2" t="s">
        <v>50940</v>
      </c>
      <c r="R5318" s="3" t="s">
        <v>66</v>
      </c>
      <c r="S5318" s="4">
        <v>10</v>
      </c>
      <c r="T5318" s="4">
        <v>10</v>
      </c>
      <c r="U5318" s="5" t="s">
        <v>50941</v>
      </c>
      <c r="V5318" s="5" t="s">
        <v>50941</v>
      </c>
      <c r="W5318" s="5" t="s">
        <v>67</v>
      </c>
      <c r="X5318" s="5" t="s">
        <v>67</v>
      </c>
      <c r="Y5318" s="4">
        <v>400</v>
      </c>
      <c r="Z5318" s="4">
        <v>23</v>
      </c>
      <c r="AA5318" s="4">
        <v>29</v>
      </c>
      <c r="AB5318" s="4">
        <v>2</v>
      </c>
      <c r="AC5318" s="4">
        <v>6</v>
      </c>
      <c r="AD5318" s="4">
        <v>108</v>
      </c>
      <c r="AE5318" s="4">
        <v>116</v>
      </c>
      <c r="AF5318" s="4">
        <v>1</v>
      </c>
      <c r="AG5318" s="4">
        <v>4</v>
      </c>
      <c r="AH5318" s="4">
        <v>92</v>
      </c>
      <c r="AI5318" s="4">
        <v>97</v>
      </c>
      <c r="AJ5318" s="4">
        <v>15</v>
      </c>
      <c r="AK5318" s="4">
        <v>19</v>
      </c>
      <c r="AL5318" s="4">
        <v>53</v>
      </c>
      <c r="AM5318" s="4">
        <v>55</v>
      </c>
      <c r="AN5318" s="4">
        <v>0</v>
      </c>
      <c r="AO5318" s="4">
        <v>1</v>
      </c>
      <c r="AP5318" s="4">
        <v>19</v>
      </c>
      <c r="AQ5318" s="4">
        <v>23</v>
      </c>
      <c r="AR5318" s="3" t="s">
        <v>62</v>
      </c>
      <c r="AS5318" s="3" t="s">
        <v>62</v>
      </c>
      <c r="AT5318" s="3" t="s">
        <v>61</v>
      </c>
      <c r="AU5318" s="6" t="str">
        <f>HYPERLINK("http://catalog.hathitrust.org/Record/001435210","HathiTrust Record")</f>
        <v>HathiTrust Record</v>
      </c>
      <c r="AV5318" s="6" t="str">
        <f>HYPERLINK("http://mcgill.on.worldcat.org/oclc/934645","Catalog Record")</f>
        <v>Catalog Record</v>
      </c>
      <c r="AW5318" s="6" t="str">
        <f>HYPERLINK("http://www.worldcat.org/oclc/934645","WorldCat Record")</f>
        <v>WorldCat Record</v>
      </c>
      <c r="AX5318" s="3" t="s">
        <v>50942</v>
      </c>
      <c r="AY5318" s="3" t="s">
        <v>50943</v>
      </c>
      <c r="AZ5318" s="3" t="s">
        <v>50944</v>
      </c>
      <c r="BA5318" s="3" t="s">
        <v>50944</v>
      </c>
      <c r="BB5318" s="3" t="s">
        <v>50945</v>
      </c>
      <c r="BC5318" s="3" t="s">
        <v>142</v>
      </c>
      <c r="BD5318" s="3" t="s">
        <v>68</v>
      </c>
      <c r="BE5318" s="3" t="s">
        <v>50946</v>
      </c>
      <c r="BF5318" s="3" t="s">
        <v>50945</v>
      </c>
      <c r="BG5318" s="3" t="s">
        <v>50947</v>
      </c>
    </row>
    <row r="5319" spans="1:59" ht="57" x14ac:dyDescent="0.45">
      <c r="A5319" s="2" t="s">
        <v>59</v>
      </c>
      <c r="B5319" s="2" t="s">
        <v>60</v>
      </c>
      <c r="C5319" s="2" t="s">
        <v>50935</v>
      </c>
      <c r="D5319" s="2" t="s">
        <v>50936</v>
      </c>
      <c r="E5319" s="2" t="s">
        <v>50937</v>
      </c>
      <c r="G5319" s="3" t="s">
        <v>62</v>
      </c>
      <c r="I5319" s="3" t="s">
        <v>61</v>
      </c>
      <c r="J5319" s="3" t="s">
        <v>62</v>
      </c>
      <c r="K5319" s="3" t="s">
        <v>63</v>
      </c>
      <c r="L5319" s="2" t="s">
        <v>50938</v>
      </c>
      <c r="M5319" s="2" t="s">
        <v>50939</v>
      </c>
      <c r="N5319" s="3" t="s">
        <v>1224</v>
      </c>
      <c r="P5319" s="3" t="s">
        <v>65</v>
      </c>
      <c r="Q5319" s="2" t="s">
        <v>50940</v>
      </c>
      <c r="R5319" s="3" t="s">
        <v>66</v>
      </c>
      <c r="S5319" s="4">
        <v>0</v>
      </c>
      <c r="T5319" s="4">
        <v>10</v>
      </c>
      <c r="V5319" s="5" t="s">
        <v>50941</v>
      </c>
      <c r="W5319" s="5" t="s">
        <v>67</v>
      </c>
      <c r="X5319" s="5" t="s">
        <v>67</v>
      </c>
      <c r="Y5319" s="4">
        <v>400</v>
      </c>
      <c r="Z5319" s="4">
        <v>23</v>
      </c>
      <c r="AA5319" s="4">
        <v>29</v>
      </c>
      <c r="AB5319" s="4">
        <v>2</v>
      </c>
      <c r="AC5319" s="4">
        <v>6</v>
      </c>
      <c r="AD5319" s="4">
        <v>108</v>
      </c>
      <c r="AE5319" s="4">
        <v>116</v>
      </c>
      <c r="AF5319" s="4">
        <v>1</v>
      </c>
      <c r="AG5319" s="4">
        <v>4</v>
      </c>
      <c r="AH5319" s="4">
        <v>92</v>
      </c>
      <c r="AI5319" s="4">
        <v>97</v>
      </c>
      <c r="AJ5319" s="4">
        <v>15</v>
      </c>
      <c r="AK5319" s="4">
        <v>19</v>
      </c>
      <c r="AL5319" s="4">
        <v>53</v>
      </c>
      <c r="AM5319" s="4">
        <v>55</v>
      </c>
      <c r="AN5319" s="4">
        <v>0</v>
      </c>
      <c r="AO5319" s="4">
        <v>1</v>
      </c>
      <c r="AP5319" s="4">
        <v>19</v>
      </c>
      <c r="AQ5319" s="4">
        <v>23</v>
      </c>
      <c r="AR5319" s="3" t="s">
        <v>62</v>
      </c>
      <c r="AS5319" s="3" t="s">
        <v>62</v>
      </c>
      <c r="AT5319" s="3" t="s">
        <v>61</v>
      </c>
      <c r="AU5319" s="6" t="str">
        <f>HYPERLINK("http://catalog.hathitrust.org/Record/001435210","HathiTrust Record")</f>
        <v>HathiTrust Record</v>
      </c>
      <c r="AV5319" s="6" t="str">
        <f>HYPERLINK("http://mcgill.on.worldcat.org/oclc/934645","Catalog Record")</f>
        <v>Catalog Record</v>
      </c>
      <c r="AW5319" s="6" t="str">
        <f>HYPERLINK("http://www.worldcat.org/oclc/934645","WorldCat Record")</f>
        <v>WorldCat Record</v>
      </c>
      <c r="AX5319" s="3" t="s">
        <v>50942</v>
      </c>
      <c r="AY5319" s="3" t="s">
        <v>50943</v>
      </c>
      <c r="AZ5319" s="3" t="s">
        <v>50944</v>
      </c>
      <c r="BA5319" s="3" t="s">
        <v>50944</v>
      </c>
      <c r="BB5319" s="3" t="s">
        <v>50948</v>
      </c>
      <c r="BC5319" s="3" t="s">
        <v>142</v>
      </c>
      <c r="BD5319" s="3" t="s">
        <v>68</v>
      </c>
      <c r="BE5319" s="3" t="s">
        <v>50946</v>
      </c>
      <c r="BF5319" s="3" t="s">
        <v>50948</v>
      </c>
      <c r="BG5319" s="3" t="s">
        <v>50949</v>
      </c>
    </row>
    <row r="5320" spans="1:59" ht="57" x14ac:dyDescent="0.45">
      <c r="A5320" s="2" t="s">
        <v>59</v>
      </c>
      <c r="B5320" s="2" t="s">
        <v>60</v>
      </c>
      <c r="C5320" s="2" t="s">
        <v>50950</v>
      </c>
      <c r="D5320" s="2" t="s">
        <v>50951</v>
      </c>
      <c r="E5320" s="2" t="s">
        <v>50952</v>
      </c>
      <c r="G5320" s="3" t="s">
        <v>62</v>
      </c>
      <c r="I5320" s="3" t="s">
        <v>62</v>
      </c>
      <c r="J5320" s="3" t="s">
        <v>62</v>
      </c>
      <c r="K5320" s="3" t="s">
        <v>63</v>
      </c>
      <c r="L5320" s="2" t="s">
        <v>50953</v>
      </c>
      <c r="M5320" s="2" t="s">
        <v>35957</v>
      </c>
      <c r="N5320" s="3" t="s">
        <v>970</v>
      </c>
      <c r="P5320" s="3" t="s">
        <v>65</v>
      </c>
      <c r="Q5320" s="2" t="s">
        <v>50954</v>
      </c>
      <c r="R5320" s="3" t="s">
        <v>66</v>
      </c>
      <c r="S5320" s="4">
        <v>11</v>
      </c>
      <c r="T5320" s="4">
        <v>11</v>
      </c>
      <c r="U5320" s="5" t="s">
        <v>50955</v>
      </c>
      <c r="V5320" s="5" t="s">
        <v>50955</v>
      </c>
      <c r="W5320" s="5" t="s">
        <v>67</v>
      </c>
      <c r="X5320" s="5" t="s">
        <v>67</v>
      </c>
      <c r="Y5320" s="4">
        <v>216</v>
      </c>
      <c r="Z5320" s="4">
        <v>21</v>
      </c>
      <c r="AA5320" s="4">
        <v>92</v>
      </c>
      <c r="AB5320" s="4">
        <v>2</v>
      </c>
      <c r="AC5320" s="4">
        <v>17</v>
      </c>
      <c r="AD5320" s="4">
        <v>96</v>
      </c>
      <c r="AE5320" s="4">
        <v>138</v>
      </c>
      <c r="AF5320" s="4">
        <v>1</v>
      </c>
      <c r="AG5320" s="4">
        <v>8</v>
      </c>
      <c r="AH5320" s="4">
        <v>87</v>
      </c>
      <c r="AI5320" s="4">
        <v>101</v>
      </c>
      <c r="AJ5320" s="4">
        <v>16</v>
      </c>
      <c r="AK5320" s="4">
        <v>26</v>
      </c>
      <c r="AL5320" s="4">
        <v>52</v>
      </c>
      <c r="AM5320" s="4">
        <v>55</v>
      </c>
      <c r="AN5320" s="4">
        <v>0</v>
      </c>
      <c r="AO5320" s="4">
        <v>0</v>
      </c>
      <c r="AP5320" s="4">
        <v>18</v>
      </c>
      <c r="AQ5320" s="4">
        <v>47</v>
      </c>
      <c r="AR5320" s="3" t="s">
        <v>62</v>
      </c>
      <c r="AS5320" s="3" t="s">
        <v>62</v>
      </c>
      <c r="AT5320" s="3" t="s">
        <v>62</v>
      </c>
      <c r="AV5320" s="6" t="str">
        <f>HYPERLINK("http://mcgill.on.worldcat.org/oclc/49351952","Catalog Record")</f>
        <v>Catalog Record</v>
      </c>
      <c r="AW5320" s="6" t="str">
        <f>HYPERLINK("http://www.worldcat.org/oclc/49351952","WorldCat Record")</f>
        <v>WorldCat Record</v>
      </c>
      <c r="AX5320" s="3" t="s">
        <v>50956</v>
      </c>
      <c r="AY5320" s="3" t="s">
        <v>50957</v>
      </c>
      <c r="AZ5320" s="3" t="s">
        <v>50958</v>
      </c>
      <c r="BA5320" s="3" t="s">
        <v>50958</v>
      </c>
      <c r="BB5320" s="3" t="s">
        <v>50959</v>
      </c>
      <c r="BC5320" s="3" t="s">
        <v>142</v>
      </c>
      <c r="BD5320" s="3" t="s">
        <v>68</v>
      </c>
      <c r="BE5320" s="3" t="s">
        <v>50960</v>
      </c>
      <c r="BF5320" s="3" t="s">
        <v>50959</v>
      </c>
      <c r="BG5320" s="3" t="s">
        <v>50961</v>
      </c>
    </row>
    <row r="5321" spans="1:59" ht="57" x14ac:dyDescent="0.45">
      <c r="A5321" s="2" t="s">
        <v>59</v>
      </c>
      <c r="B5321" s="2" t="s">
        <v>60</v>
      </c>
      <c r="C5321" s="2" t="s">
        <v>50962</v>
      </c>
      <c r="D5321" s="2" t="s">
        <v>50963</v>
      </c>
      <c r="E5321" s="2" t="s">
        <v>50964</v>
      </c>
      <c r="G5321" s="3" t="s">
        <v>62</v>
      </c>
      <c r="I5321" s="3" t="s">
        <v>62</v>
      </c>
      <c r="J5321" s="3" t="s">
        <v>62</v>
      </c>
      <c r="K5321" s="3" t="s">
        <v>63</v>
      </c>
      <c r="L5321" s="2" t="s">
        <v>44488</v>
      </c>
      <c r="M5321" s="2" t="s">
        <v>11731</v>
      </c>
      <c r="N5321" s="3" t="s">
        <v>195</v>
      </c>
      <c r="P5321" s="3" t="s">
        <v>65</v>
      </c>
      <c r="R5321" s="3" t="s">
        <v>66</v>
      </c>
      <c r="S5321" s="4">
        <v>13</v>
      </c>
      <c r="T5321" s="4">
        <v>13</v>
      </c>
      <c r="U5321" s="5" t="s">
        <v>50941</v>
      </c>
      <c r="V5321" s="5" t="s">
        <v>50941</v>
      </c>
      <c r="W5321" s="5" t="s">
        <v>67</v>
      </c>
      <c r="X5321" s="5" t="s">
        <v>67</v>
      </c>
      <c r="Y5321" s="4">
        <v>244</v>
      </c>
      <c r="Z5321" s="4">
        <v>18</v>
      </c>
      <c r="AA5321" s="4">
        <v>110</v>
      </c>
      <c r="AB5321" s="4">
        <v>1</v>
      </c>
      <c r="AC5321" s="4">
        <v>21</v>
      </c>
      <c r="AD5321" s="4">
        <v>103</v>
      </c>
      <c r="AE5321" s="4">
        <v>154</v>
      </c>
      <c r="AF5321" s="4">
        <v>0</v>
      </c>
      <c r="AG5321" s="4">
        <v>9</v>
      </c>
      <c r="AH5321" s="4">
        <v>95</v>
      </c>
      <c r="AI5321" s="4">
        <v>107</v>
      </c>
      <c r="AJ5321" s="4">
        <v>13</v>
      </c>
      <c r="AK5321" s="4">
        <v>27</v>
      </c>
      <c r="AL5321" s="4">
        <v>53</v>
      </c>
      <c r="AM5321" s="4">
        <v>56</v>
      </c>
      <c r="AN5321" s="4">
        <v>0</v>
      </c>
      <c r="AO5321" s="4">
        <v>0</v>
      </c>
      <c r="AP5321" s="4">
        <v>16</v>
      </c>
      <c r="AQ5321" s="4">
        <v>56</v>
      </c>
      <c r="AR5321" s="3" t="s">
        <v>62</v>
      </c>
      <c r="AS5321" s="3" t="s">
        <v>62</v>
      </c>
      <c r="AT5321" s="3" t="s">
        <v>62</v>
      </c>
      <c r="AV5321" s="6" t="str">
        <f>HYPERLINK("http://mcgill.on.worldcat.org/oclc/28026339","Catalog Record")</f>
        <v>Catalog Record</v>
      </c>
      <c r="AW5321" s="6" t="str">
        <f>HYPERLINK("http://www.worldcat.org/oclc/28026339","WorldCat Record")</f>
        <v>WorldCat Record</v>
      </c>
      <c r="AX5321" s="3" t="s">
        <v>50965</v>
      </c>
      <c r="AY5321" s="3" t="s">
        <v>50966</v>
      </c>
      <c r="AZ5321" s="3" t="s">
        <v>50967</v>
      </c>
      <c r="BA5321" s="3" t="s">
        <v>50967</v>
      </c>
      <c r="BB5321" s="3" t="s">
        <v>50968</v>
      </c>
      <c r="BC5321" s="3" t="s">
        <v>142</v>
      </c>
      <c r="BD5321" s="3" t="s">
        <v>68</v>
      </c>
      <c r="BE5321" s="3" t="s">
        <v>50969</v>
      </c>
      <c r="BF5321" s="3" t="s">
        <v>50968</v>
      </c>
      <c r="BG5321" s="3" t="s">
        <v>50970</v>
      </c>
    </row>
    <row r="5322" spans="1:59" ht="57" x14ac:dyDescent="0.45">
      <c r="A5322" s="2" t="s">
        <v>59</v>
      </c>
      <c r="B5322" s="2" t="s">
        <v>60</v>
      </c>
      <c r="C5322" s="2" t="s">
        <v>50971</v>
      </c>
      <c r="D5322" s="2" t="s">
        <v>50972</v>
      </c>
      <c r="E5322" s="2" t="s">
        <v>50973</v>
      </c>
      <c r="G5322" s="3" t="s">
        <v>62</v>
      </c>
      <c r="I5322" s="3" t="s">
        <v>62</v>
      </c>
      <c r="J5322" s="3" t="s">
        <v>62</v>
      </c>
      <c r="K5322" s="3" t="s">
        <v>63</v>
      </c>
      <c r="M5322" s="2" t="s">
        <v>50974</v>
      </c>
      <c r="N5322" s="3" t="s">
        <v>945</v>
      </c>
      <c r="P5322" s="3" t="s">
        <v>65</v>
      </c>
      <c r="Q5322" s="2" t="s">
        <v>50975</v>
      </c>
      <c r="R5322" s="3" t="s">
        <v>66</v>
      </c>
      <c r="S5322" s="4">
        <v>2</v>
      </c>
      <c r="T5322" s="4">
        <v>2</v>
      </c>
      <c r="U5322" s="5" t="s">
        <v>20140</v>
      </c>
      <c r="V5322" s="5" t="s">
        <v>20140</v>
      </c>
      <c r="W5322" s="5" t="s">
        <v>67</v>
      </c>
      <c r="X5322" s="5" t="s">
        <v>67</v>
      </c>
      <c r="Y5322" s="4">
        <v>71</v>
      </c>
      <c r="Z5322" s="4">
        <v>9</v>
      </c>
      <c r="AA5322" s="4">
        <v>98</v>
      </c>
      <c r="AB5322" s="4">
        <v>1</v>
      </c>
      <c r="AC5322" s="4">
        <v>17</v>
      </c>
      <c r="AD5322" s="4">
        <v>31</v>
      </c>
      <c r="AE5322" s="4">
        <v>108</v>
      </c>
      <c r="AF5322" s="4">
        <v>0</v>
      </c>
      <c r="AG5322" s="4">
        <v>8</v>
      </c>
      <c r="AH5322" s="4">
        <v>28</v>
      </c>
      <c r="AI5322" s="4">
        <v>71</v>
      </c>
      <c r="AJ5322" s="4">
        <v>6</v>
      </c>
      <c r="AK5322" s="4">
        <v>22</v>
      </c>
      <c r="AL5322" s="4">
        <v>21</v>
      </c>
      <c r="AM5322" s="4">
        <v>37</v>
      </c>
      <c r="AN5322" s="4">
        <v>0</v>
      </c>
      <c r="AO5322" s="4">
        <v>0</v>
      </c>
      <c r="AP5322" s="4">
        <v>6</v>
      </c>
      <c r="AQ5322" s="4">
        <v>43</v>
      </c>
      <c r="AR5322" s="3" t="s">
        <v>62</v>
      </c>
      <c r="AS5322" s="3" t="s">
        <v>62</v>
      </c>
      <c r="AT5322" s="3" t="s">
        <v>62</v>
      </c>
      <c r="AV5322" s="6" t="str">
        <f>HYPERLINK("http://mcgill.on.worldcat.org/oclc/82172719","Catalog Record")</f>
        <v>Catalog Record</v>
      </c>
      <c r="AW5322" s="6" t="str">
        <f>HYPERLINK("http://www.worldcat.org/oclc/82172719","WorldCat Record")</f>
        <v>WorldCat Record</v>
      </c>
      <c r="AX5322" s="3" t="s">
        <v>50976</v>
      </c>
      <c r="AY5322" s="3" t="s">
        <v>50977</v>
      </c>
      <c r="AZ5322" s="3" t="s">
        <v>50978</v>
      </c>
      <c r="BA5322" s="3" t="s">
        <v>50978</v>
      </c>
      <c r="BB5322" s="3" t="s">
        <v>50979</v>
      </c>
      <c r="BC5322" s="3" t="s">
        <v>142</v>
      </c>
      <c r="BD5322" s="3" t="s">
        <v>68</v>
      </c>
      <c r="BE5322" s="3" t="s">
        <v>50980</v>
      </c>
      <c r="BF5322" s="3" t="s">
        <v>50979</v>
      </c>
      <c r="BG5322" s="3" t="s">
        <v>50981</v>
      </c>
    </row>
    <row r="5323" spans="1:59" ht="57" x14ac:dyDescent="0.45">
      <c r="A5323" s="2" t="s">
        <v>59</v>
      </c>
      <c r="B5323" s="2" t="s">
        <v>60</v>
      </c>
      <c r="C5323" s="2" t="s">
        <v>50982</v>
      </c>
      <c r="D5323" s="2" t="s">
        <v>50983</v>
      </c>
      <c r="E5323" s="2" t="s">
        <v>50984</v>
      </c>
      <c r="G5323" s="3" t="s">
        <v>62</v>
      </c>
      <c r="I5323" s="3" t="s">
        <v>62</v>
      </c>
      <c r="J5323" s="3" t="s">
        <v>62</v>
      </c>
      <c r="K5323" s="3" t="s">
        <v>63</v>
      </c>
      <c r="L5323" s="2" t="s">
        <v>50985</v>
      </c>
      <c r="M5323" s="2" t="s">
        <v>6999</v>
      </c>
      <c r="N5323" s="3" t="s">
        <v>149</v>
      </c>
      <c r="P5323" s="3" t="s">
        <v>65</v>
      </c>
      <c r="Q5323" s="2" t="s">
        <v>3053</v>
      </c>
      <c r="R5323" s="3" t="s">
        <v>66</v>
      </c>
      <c r="S5323" s="4">
        <v>2</v>
      </c>
      <c r="T5323" s="4">
        <v>2</v>
      </c>
      <c r="U5323" s="5" t="s">
        <v>50986</v>
      </c>
      <c r="V5323" s="5" t="s">
        <v>50986</v>
      </c>
      <c r="W5323" s="5" t="s">
        <v>67</v>
      </c>
      <c r="X5323" s="5" t="s">
        <v>67</v>
      </c>
      <c r="Y5323" s="4">
        <v>107</v>
      </c>
      <c r="Z5323" s="4">
        <v>16</v>
      </c>
      <c r="AA5323" s="4">
        <v>21</v>
      </c>
      <c r="AB5323" s="4">
        <v>1</v>
      </c>
      <c r="AC5323" s="4">
        <v>4</v>
      </c>
      <c r="AD5323" s="4">
        <v>57</v>
      </c>
      <c r="AE5323" s="4">
        <v>61</v>
      </c>
      <c r="AF5323" s="4">
        <v>0</v>
      </c>
      <c r="AG5323" s="4">
        <v>1</v>
      </c>
      <c r="AH5323" s="4">
        <v>54</v>
      </c>
      <c r="AI5323" s="4">
        <v>57</v>
      </c>
      <c r="AJ5323" s="4">
        <v>13</v>
      </c>
      <c r="AK5323" s="4">
        <v>15</v>
      </c>
      <c r="AL5323" s="4">
        <v>29</v>
      </c>
      <c r="AM5323" s="4">
        <v>31</v>
      </c>
      <c r="AN5323" s="4">
        <v>5</v>
      </c>
      <c r="AO5323" s="4">
        <v>5</v>
      </c>
      <c r="AP5323" s="4">
        <v>13</v>
      </c>
      <c r="AQ5323" s="4">
        <v>15</v>
      </c>
      <c r="AR5323" s="3" t="s">
        <v>62</v>
      </c>
      <c r="AS5323" s="3" t="s">
        <v>62</v>
      </c>
      <c r="AT5323" s="3" t="s">
        <v>61</v>
      </c>
      <c r="AU5323" s="6" t="str">
        <f>HYPERLINK("http://catalog.hathitrust.org/Record/008520273","HathiTrust Record")</f>
        <v>HathiTrust Record</v>
      </c>
      <c r="AV5323" s="6" t="str">
        <f>HYPERLINK("http://mcgill.on.worldcat.org/oclc/477257365","Catalog Record")</f>
        <v>Catalog Record</v>
      </c>
      <c r="AW5323" s="6" t="str">
        <f>HYPERLINK("http://www.worldcat.org/oclc/477257365","WorldCat Record")</f>
        <v>WorldCat Record</v>
      </c>
      <c r="AX5323" s="3" t="s">
        <v>50987</v>
      </c>
      <c r="AY5323" s="3" t="s">
        <v>50988</v>
      </c>
      <c r="AZ5323" s="3" t="s">
        <v>50989</v>
      </c>
      <c r="BA5323" s="3" t="s">
        <v>50989</v>
      </c>
      <c r="BB5323" s="3" t="s">
        <v>50990</v>
      </c>
      <c r="BC5323" s="3" t="s">
        <v>142</v>
      </c>
      <c r="BD5323" s="3" t="s">
        <v>68</v>
      </c>
      <c r="BE5323" s="3" t="s">
        <v>50991</v>
      </c>
      <c r="BF5323" s="3" t="s">
        <v>50990</v>
      </c>
      <c r="BG5323" s="3" t="s">
        <v>50992</v>
      </c>
    </row>
    <row r="5324" spans="1:59" ht="57" x14ac:dyDescent="0.45">
      <c r="A5324" s="2" t="s">
        <v>59</v>
      </c>
      <c r="B5324" s="2" t="s">
        <v>60</v>
      </c>
      <c r="C5324" s="2" t="s">
        <v>50993</v>
      </c>
      <c r="D5324" s="2" t="s">
        <v>50994</v>
      </c>
      <c r="E5324" s="2" t="s">
        <v>50995</v>
      </c>
      <c r="G5324" s="3" t="s">
        <v>62</v>
      </c>
      <c r="I5324" s="3" t="s">
        <v>62</v>
      </c>
      <c r="J5324" s="3" t="s">
        <v>62</v>
      </c>
      <c r="K5324" s="3" t="s">
        <v>63</v>
      </c>
      <c r="L5324" s="2" t="s">
        <v>50996</v>
      </c>
      <c r="M5324" s="2" t="s">
        <v>50997</v>
      </c>
      <c r="N5324" s="3" t="s">
        <v>1688</v>
      </c>
      <c r="P5324" s="3" t="s">
        <v>65</v>
      </c>
      <c r="Q5324" s="2" t="s">
        <v>50998</v>
      </c>
      <c r="R5324" s="3" t="s">
        <v>66</v>
      </c>
      <c r="S5324" s="4">
        <v>1</v>
      </c>
      <c r="T5324" s="4">
        <v>1</v>
      </c>
      <c r="U5324" s="5" t="s">
        <v>50999</v>
      </c>
      <c r="V5324" s="5" t="s">
        <v>50999</v>
      </c>
      <c r="W5324" s="5" t="s">
        <v>67</v>
      </c>
      <c r="X5324" s="5" t="s">
        <v>67</v>
      </c>
      <c r="Y5324" s="4">
        <v>60</v>
      </c>
      <c r="Z5324" s="4">
        <v>3</v>
      </c>
      <c r="AA5324" s="4">
        <v>9</v>
      </c>
      <c r="AB5324" s="4">
        <v>1</v>
      </c>
      <c r="AC5324" s="4">
        <v>4</v>
      </c>
      <c r="AD5324" s="4">
        <v>19</v>
      </c>
      <c r="AE5324" s="4">
        <v>25</v>
      </c>
      <c r="AF5324" s="4">
        <v>0</v>
      </c>
      <c r="AG5324" s="4">
        <v>2</v>
      </c>
      <c r="AH5324" s="4">
        <v>19</v>
      </c>
      <c r="AI5324" s="4">
        <v>23</v>
      </c>
      <c r="AJ5324" s="4">
        <v>2</v>
      </c>
      <c r="AK5324" s="4">
        <v>7</v>
      </c>
      <c r="AL5324" s="4">
        <v>14</v>
      </c>
      <c r="AM5324" s="4">
        <v>15</v>
      </c>
      <c r="AN5324" s="4">
        <v>0</v>
      </c>
      <c r="AO5324" s="4">
        <v>0</v>
      </c>
      <c r="AP5324" s="4">
        <v>2</v>
      </c>
      <c r="AQ5324" s="4">
        <v>6</v>
      </c>
      <c r="AR5324" s="3" t="s">
        <v>62</v>
      </c>
      <c r="AS5324" s="3" t="s">
        <v>62</v>
      </c>
      <c r="AT5324" s="3" t="s">
        <v>62</v>
      </c>
      <c r="AV5324" s="6" t="str">
        <f>HYPERLINK("http://mcgill.on.worldcat.org/oclc/871343440","Catalog Record")</f>
        <v>Catalog Record</v>
      </c>
      <c r="AW5324" s="6" t="str">
        <f>HYPERLINK("http://www.worldcat.org/oclc/871343440","WorldCat Record")</f>
        <v>WorldCat Record</v>
      </c>
      <c r="AX5324" s="3" t="s">
        <v>51000</v>
      </c>
      <c r="AY5324" s="3" t="s">
        <v>51001</v>
      </c>
      <c r="AZ5324" s="3" t="s">
        <v>51002</v>
      </c>
      <c r="BA5324" s="3" t="s">
        <v>51002</v>
      </c>
      <c r="BB5324" s="3" t="s">
        <v>51003</v>
      </c>
      <c r="BC5324" s="3" t="s">
        <v>142</v>
      </c>
      <c r="BD5324" s="3" t="s">
        <v>68</v>
      </c>
      <c r="BE5324" s="3" t="s">
        <v>51004</v>
      </c>
      <c r="BF5324" s="3" t="s">
        <v>51003</v>
      </c>
      <c r="BG5324" s="3" t="s">
        <v>51005</v>
      </c>
    </row>
    <row r="5325" spans="1:59" ht="57" x14ac:dyDescent="0.45">
      <c r="A5325" s="2" t="s">
        <v>59</v>
      </c>
      <c r="B5325" s="2" t="s">
        <v>60</v>
      </c>
      <c r="C5325" s="2" t="s">
        <v>51006</v>
      </c>
      <c r="D5325" s="2" t="s">
        <v>51007</v>
      </c>
      <c r="E5325" s="2" t="s">
        <v>51008</v>
      </c>
      <c r="G5325" s="3" t="s">
        <v>62</v>
      </c>
      <c r="I5325" s="3" t="s">
        <v>62</v>
      </c>
      <c r="J5325" s="3" t="s">
        <v>62</v>
      </c>
      <c r="K5325" s="3" t="s">
        <v>63</v>
      </c>
      <c r="L5325" s="2" t="s">
        <v>51009</v>
      </c>
      <c r="M5325" s="2" t="s">
        <v>51010</v>
      </c>
      <c r="N5325" s="3" t="s">
        <v>195</v>
      </c>
      <c r="P5325" s="3" t="s">
        <v>65</v>
      </c>
      <c r="Q5325" s="2" t="s">
        <v>51011</v>
      </c>
      <c r="R5325" s="3" t="s">
        <v>66</v>
      </c>
      <c r="S5325" s="4">
        <v>19</v>
      </c>
      <c r="T5325" s="4">
        <v>19</v>
      </c>
      <c r="U5325" s="5" t="s">
        <v>50986</v>
      </c>
      <c r="V5325" s="5" t="s">
        <v>50986</v>
      </c>
      <c r="W5325" s="5" t="s">
        <v>67</v>
      </c>
      <c r="X5325" s="5" t="s">
        <v>67</v>
      </c>
      <c r="Y5325" s="4">
        <v>175</v>
      </c>
      <c r="Z5325" s="4">
        <v>13</v>
      </c>
      <c r="AA5325" s="4">
        <v>96</v>
      </c>
      <c r="AB5325" s="4">
        <v>1</v>
      </c>
      <c r="AC5325" s="4">
        <v>17</v>
      </c>
      <c r="AD5325" s="4">
        <v>78</v>
      </c>
      <c r="AE5325" s="4">
        <v>133</v>
      </c>
      <c r="AF5325" s="4">
        <v>0</v>
      </c>
      <c r="AG5325" s="4">
        <v>8</v>
      </c>
      <c r="AH5325" s="4">
        <v>72</v>
      </c>
      <c r="AI5325" s="4">
        <v>97</v>
      </c>
      <c r="AJ5325" s="4">
        <v>10</v>
      </c>
      <c r="AK5325" s="4">
        <v>23</v>
      </c>
      <c r="AL5325" s="4">
        <v>46</v>
      </c>
      <c r="AM5325" s="4">
        <v>55</v>
      </c>
      <c r="AN5325" s="4">
        <v>0</v>
      </c>
      <c r="AO5325" s="4">
        <v>0</v>
      </c>
      <c r="AP5325" s="4">
        <v>11</v>
      </c>
      <c r="AQ5325" s="4">
        <v>44</v>
      </c>
      <c r="AR5325" s="3" t="s">
        <v>62</v>
      </c>
      <c r="AS5325" s="3" t="s">
        <v>62</v>
      </c>
      <c r="AT5325" s="3" t="s">
        <v>61</v>
      </c>
      <c r="AU5325" s="6" t="str">
        <f>HYPERLINK("http://catalog.hathitrust.org/Record/002795485","HathiTrust Record")</f>
        <v>HathiTrust Record</v>
      </c>
      <c r="AV5325" s="6" t="str">
        <f>HYPERLINK("http://mcgill.on.worldcat.org/oclc/28549702","Catalog Record")</f>
        <v>Catalog Record</v>
      </c>
      <c r="AW5325" s="6" t="str">
        <f>HYPERLINK("http://www.worldcat.org/oclc/28549702","WorldCat Record")</f>
        <v>WorldCat Record</v>
      </c>
      <c r="AX5325" s="3" t="s">
        <v>51012</v>
      </c>
      <c r="AY5325" s="3" t="s">
        <v>51013</v>
      </c>
      <c r="AZ5325" s="3" t="s">
        <v>51014</v>
      </c>
      <c r="BA5325" s="3" t="s">
        <v>51014</v>
      </c>
      <c r="BB5325" s="3" t="s">
        <v>51015</v>
      </c>
      <c r="BC5325" s="3" t="s">
        <v>142</v>
      </c>
      <c r="BD5325" s="3" t="s">
        <v>68</v>
      </c>
      <c r="BE5325" s="3" t="s">
        <v>51016</v>
      </c>
      <c r="BF5325" s="3" t="s">
        <v>51015</v>
      </c>
      <c r="BG5325" s="3" t="s">
        <v>51017</v>
      </c>
    </row>
    <row r="5326" spans="1:59" ht="57" x14ac:dyDescent="0.45">
      <c r="A5326" s="2" t="s">
        <v>59</v>
      </c>
      <c r="B5326" s="2" t="s">
        <v>60</v>
      </c>
      <c r="C5326" s="2" t="s">
        <v>51018</v>
      </c>
      <c r="D5326" s="2" t="s">
        <v>51019</v>
      </c>
      <c r="E5326" s="2" t="s">
        <v>51020</v>
      </c>
      <c r="G5326" s="3" t="s">
        <v>62</v>
      </c>
      <c r="I5326" s="3" t="s">
        <v>62</v>
      </c>
      <c r="J5326" s="3" t="s">
        <v>62</v>
      </c>
      <c r="K5326" s="3" t="s">
        <v>63</v>
      </c>
      <c r="L5326" s="2" t="s">
        <v>51021</v>
      </c>
      <c r="M5326" s="2" t="s">
        <v>48899</v>
      </c>
      <c r="N5326" s="3" t="s">
        <v>1855</v>
      </c>
      <c r="P5326" s="3" t="s">
        <v>65</v>
      </c>
      <c r="Q5326" s="2" t="s">
        <v>51022</v>
      </c>
      <c r="R5326" s="3" t="s">
        <v>66</v>
      </c>
      <c r="S5326" s="4">
        <v>5</v>
      </c>
      <c r="T5326" s="4">
        <v>5</v>
      </c>
      <c r="U5326" s="5" t="s">
        <v>27700</v>
      </c>
      <c r="V5326" s="5" t="s">
        <v>27700</v>
      </c>
      <c r="W5326" s="5" t="s">
        <v>67</v>
      </c>
      <c r="X5326" s="5" t="s">
        <v>67</v>
      </c>
      <c r="Y5326" s="4">
        <v>140</v>
      </c>
      <c r="Z5326" s="4">
        <v>13</v>
      </c>
      <c r="AA5326" s="4">
        <v>21</v>
      </c>
      <c r="AB5326" s="4">
        <v>1</v>
      </c>
      <c r="AC5326" s="4">
        <v>8</v>
      </c>
      <c r="AD5326" s="4">
        <v>59</v>
      </c>
      <c r="AE5326" s="4">
        <v>71</v>
      </c>
      <c r="AF5326" s="4">
        <v>0</v>
      </c>
      <c r="AG5326" s="4">
        <v>4</v>
      </c>
      <c r="AH5326" s="4">
        <v>54</v>
      </c>
      <c r="AI5326" s="4">
        <v>61</v>
      </c>
      <c r="AJ5326" s="4">
        <v>10</v>
      </c>
      <c r="AK5326" s="4">
        <v>13</v>
      </c>
      <c r="AL5326" s="4">
        <v>32</v>
      </c>
      <c r="AM5326" s="4">
        <v>37</v>
      </c>
      <c r="AN5326" s="4">
        <v>0</v>
      </c>
      <c r="AO5326" s="4">
        <v>0</v>
      </c>
      <c r="AP5326" s="4">
        <v>10</v>
      </c>
      <c r="AQ5326" s="4">
        <v>14</v>
      </c>
      <c r="AR5326" s="3" t="s">
        <v>62</v>
      </c>
      <c r="AS5326" s="3" t="s">
        <v>62</v>
      </c>
      <c r="AT5326" s="3" t="s">
        <v>62</v>
      </c>
      <c r="AV5326" s="6" t="str">
        <f>HYPERLINK("http://mcgill.on.worldcat.org/oclc/56010933","Catalog Record")</f>
        <v>Catalog Record</v>
      </c>
      <c r="AW5326" s="6" t="str">
        <f>HYPERLINK("http://www.worldcat.org/oclc/56010933","WorldCat Record")</f>
        <v>WorldCat Record</v>
      </c>
      <c r="AX5326" s="3" t="s">
        <v>51023</v>
      </c>
      <c r="AY5326" s="3" t="s">
        <v>51024</v>
      </c>
      <c r="AZ5326" s="3" t="s">
        <v>51025</v>
      </c>
      <c r="BA5326" s="3" t="s">
        <v>51025</v>
      </c>
      <c r="BB5326" s="3" t="s">
        <v>51026</v>
      </c>
      <c r="BC5326" s="3" t="s">
        <v>142</v>
      </c>
      <c r="BD5326" s="3" t="s">
        <v>68</v>
      </c>
      <c r="BE5326" s="3" t="s">
        <v>51027</v>
      </c>
      <c r="BF5326" s="3" t="s">
        <v>51026</v>
      </c>
      <c r="BG5326" s="3" t="s">
        <v>51028</v>
      </c>
    </row>
    <row r="5327" spans="1:59" ht="57" x14ac:dyDescent="0.45">
      <c r="A5327" s="2" t="s">
        <v>59</v>
      </c>
      <c r="B5327" s="2" t="s">
        <v>60</v>
      </c>
      <c r="C5327" s="2" t="s">
        <v>51029</v>
      </c>
      <c r="D5327" s="2" t="s">
        <v>51030</v>
      </c>
      <c r="E5327" s="2" t="s">
        <v>51031</v>
      </c>
      <c r="G5327" s="3" t="s">
        <v>62</v>
      </c>
      <c r="I5327" s="3" t="s">
        <v>62</v>
      </c>
      <c r="J5327" s="3" t="s">
        <v>62</v>
      </c>
      <c r="K5327" s="3" t="s">
        <v>63</v>
      </c>
      <c r="M5327" s="2" t="s">
        <v>51032</v>
      </c>
      <c r="N5327" s="3" t="s">
        <v>149</v>
      </c>
      <c r="P5327" s="3" t="s">
        <v>65</v>
      </c>
      <c r="Q5327" s="2" t="s">
        <v>46478</v>
      </c>
      <c r="R5327" s="3" t="s">
        <v>66</v>
      </c>
      <c r="S5327" s="4">
        <v>0</v>
      </c>
      <c r="T5327" s="4">
        <v>0</v>
      </c>
      <c r="W5327" s="5" t="s">
        <v>67</v>
      </c>
      <c r="X5327" s="5" t="s">
        <v>67</v>
      </c>
      <c r="Y5327" s="4">
        <v>67</v>
      </c>
      <c r="Z5327" s="4">
        <v>10</v>
      </c>
      <c r="AA5327" s="4">
        <v>10</v>
      </c>
      <c r="AB5327" s="4">
        <v>1</v>
      </c>
      <c r="AC5327" s="4">
        <v>1</v>
      </c>
      <c r="AD5327" s="4">
        <v>39</v>
      </c>
      <c r="AE5327" s="4">
        <v>39</v>
      </c>
      <c r="AF5327" s="4">
        <v>0</v>
      </c>
      <c r="AG5327" s="4">
        <v>0</v>
      </c>
      <c r="AH5327" s="4">
        <v>34</v>
      </c>
      <c r="AI5327" s="4">
        <v>34</v>
      </c>
      <c r="AJ5327" s="4">
        <v>6</v>
      </c>
      <c r="AK5327" s="4">
        <v>6</v>
      </c>
      <c r="AL5327" s="4">
        <v>26</v>
      </c>
      <c r="AM5327" s="4">
        <v>26</v>
      </c>
      <c r="AN5327" s="4">
        <v>0</v>
      </c>
      <c r="AO5327" s="4">
        <v>0</v>
      </c>
      <c r="AP5327" s="4">
        <v>8</v>
      </c>
      <c r="AQ5327" s="4">
        <v>8</v>
      </c>
      <c r="AR5327" s="3" t="s">
        <v>62</v>
      </c>
      <c r="AS5327" s="3" t="s">
        <v>62</v>
      </c>
      <c r="AT5327" s="3" t="s">
        <v>62</v>
      </c>
      <c r="AV5327" s="6" t="str">
        <f>HYPERLINK("http://mcgill.on.worldcat.org/oclc/460936051","Catalog Record")</f>
        <v>Catalog Record</v>
      </c>
      <c r="AW5327" s="6" t="str">
        <f>HYPERLINK("http://www.worldcat.org/oclc/460936051","WorldCat Record")</f>
        <v>WorldCat Record</v>
      </c>
      <c r="AX5327" s="3" t="s">
        <v>51033</v>
      </c>
      <c r="AY5327" s="3" t="s">
        <v>51034</v>
      </c>
      <c r="AZ5327" s="3" t="s">
        <v>51035</v>
      </c>
      <c r="BA5327" s="3" t="s">
        <v>51035</v>
      </c>
      <c r="BB5327" s="3" t="s">
        <v>51036</v>
      </c>
      <c r="BC5327" s="3" t="s">
        <v>142</v>
      </c>
      <c r="BD5327" s="3" t="s">
        <v>68</v>
      </c>
      <c r="BE5327" s="3" t="s">
        <v>51037</v>
      </c>
      <c r="BF5327" s="3" t="s">
        <v>51036</v>
      </c>
      <c r="BG5327" s="3" t="s">
        <v>51038</v>
      </c>
    </row>
    <row r="5328" spans="1:59" ht="57" x14ac:dyDescent="0.45">
      <c r="A5328" s="2" t="s">
        <v>59</v>
      </c>
      <c r="B5328" s="2" t="s">
        <v>60</v>
      </c>
      <c r="C5328" s="2" t="s">
        <v>51039</v>
      </c>
      <c r="D5328" s="2" t="s">
        <v>51040</v>
      </c>
      <c r="E5328" s="2" t="s">
        <v>51041</v>
      </c>
      <c r="G5328" s="3" t="s">
        <v>62</v>
      </c>
      <c r="I5328" s="3" t="s">
        <v>62</v>
      </c>
      <c r="J5328" s="3" t="s">
        <v>62</v>
      </c>
      <c r="K5328" s="3" t="s">
        <v>63</v>
      </c>
      <c r="L5328" s="2" t="s">
        <v>51042</v>
      </c>
      <c r="M5328" s="2" t="s">
        <v>38050</v>
      </c>
      <c r="N5328" s="3" t="s">
        <v>1437</v>
      </c>
      <c r="P5328" s="3" t="s">
        <v>65</v>
      </c>
      <c r="Q5328" s="2" t="s">
        <v>51043</v>
      </c>
      <c r="R5328" s="3" t="s">
        <v>66</v>
      </c>
      <c r="S5328" s="4">
        <v>13</v>
      </c>
      <c r="T5328" s="4">
        <v>13</v>
      </c>
      <c r="U5328" s="5" t="s">
        <v>27700</v>
      </c>
      <c r="V5328" s="5" t="s">
        <v>27700</v>
      </c>
      <c r="W5328" s="5" t="s">
        <v>67</v>
      </c>
      <c r="X5328" s="5" t="s">
        <v>67</v>
      </c>
      <c r="Y5328" s="4">
        <v>146</v>
      </c>
      <c r="Z5328" s="4">
        <v>11</v>
      </c>
      <c r="AA5328" s="4">
        <v>94</v>
      </c>
      <c r="AB5328" s="4">
        <v>1</v>
      </c>
      <c r="AC5328" s="4">
        <v>17</v>
      </c>
      <c r="AD5328" s="4">
        <v>70</v>
      </c>
      <c r="AE5328" s="4">
        <v>129</v>
      </c>
      <c r="AF5328" s="4">
        <v>0</v>
      </c>
      <c r="AG5328" s="4">
        <v>8</v>
      </c>
      <c r="AH5328" s="4">
        <v>64</v>
      </c>
      <c r="AI5328" s="4">
        <v>93</v>
      </c>
      <c r="AJ5328" s="4">
        <v>9</v>
      </c>
      <c r="AK5328" s="4">
        <v>22</v>
      </c>
      <c r="AL5328" s="4">
        <v>44</v>
      </c>
      <c r="AM5328" s="4">
        <v>51</v>
      </c>
      <c r="AN5328" s="4">
        <v>0</v>
      </c>
      <c r="AO5328" s="4">
        <v>0</v>
      </c>
      <c r="AP5328" s="4">
        <v>9</v>
      </c>
      <c r="AQ5328" s="4">
        <v>43</v>
      </c>
      <c r="AR5328" s="3" t="s">
        <v>62</v>
      </c>
      <c r="AS5328" s="3" t="s">
        <v>62</v>
      </c>
      <c r="AT5328" s="3" t="s">
        <v>61</v>
      </c>
      <c r="AU5328" s="6" t="str">
        <f>HYPERLINK("http://catalog.hathitrust.org/Record/003316961","HathiTrust Record")</f>
        <v>HathiTrust Record</v>
      </c>
      <c r="AV5328" s="6" t="str">
        <f>HYPERLINK("http://mcgill.on.worldcat.org/oclc/39508275","Catalog Record")</f>
        <v>Catalog Record</v>
      </c>
      <c r="AW5328" s="6" t="str">
        <f>HYPERLINK("http://www.worldcat.org/oclc/39508275","WorldCat Record")</f>
        <v>WorldCat Record</v>
      </c>
      <c r="AX5328" s="3" t="s">
        <v>51044</v>
      </c>
      <c r="AY5328" s="3" t="s">
        <v>51045</v>
      </c>
      <c r="AZ5328" s="3" t="s">
        <v>51046</v>
      </c>
      <c r="BA5328" s="3" t="s">
        <v>51046</v>
      </c>
      <c r="BB5328" s="3" t="s">
        <v>51047</v>
      </c>
      <c r="BC5328" s="3" t="s">
        <v>142</v>
      </c>
      <c r="BD5328" s="3" t="s">
        <v>68</v>
      </c>
      <c r="BE5328" s="3" t="s">
        <v>51048</v>
      </c>
      <c r="BF5328" s="3" t="s">
        <v>51047</v>
      </c>
      <c r="BG5328" s="3" t="s">
        <v>51049</v>
      </c>
    </row>
    <row r="5329" spans="1:59" ht="57" x14ac:dyDescent="0.45">
      <c r="A5329" s="2" t="s">
        <v>59</v>
      </c>
      <c r="B5329" s="2" t="s">
        <v>60</v>
      </c>
      <c r="C5329" s="2" t="s">
        <v>51050</v>
      </c>
      <c r="D5329" s="2" t="s">
        <v>51051</v>
      </c>
      <c r="E5329" s="2" t="s">
        <v>51052</v>
      </c>
      <c r="G5329" s="3" t="s">
        <v>62</v>
      </c>
      <c r="I5329" s="3" t="s">
        <v>62</v>
      </c>
      <c r="J5329" s="3" t="s">
        <v>62</v>
      </c>
      <c r="K5329" s="3" t="s">
        <v>63</v>
      </c>
      <c r="L5329" s="2" t="s">
        <v>51053</v>
      </c>
      <c r="M5329" s="2" t="s">
        <v>9224</v>
      </c>
      <c r="N5329" s="3" t="s">
        <v>1855</v>
      </c>
      <c r="P5329" s="3" t="s">
        <v>65</v>
      </c>
      <c r="Q5329" s="2" t="s">
        <v>29723</v>
      </c>
      <c r="R5329" s="3" t="s">
        <v>66</v>
      </c>
      <c r="S5329" s="4">
        <v>16</v>
      </c>
      <c r="T5329" s="4">
        <v>16</v>
      </c>
      <c r="U5329" s="5" t="s">
        <v>51054</v>
      </c>
      <c r="V5329" s="5" t="s">
        <v>51054</v>
      </c>
      <c r="W5329" s="5" t="s">
        <v>67</v>
      </c>
      <c r="X5329" s="5" t="s">
        <v>67</v>
      </c>
      <c r="Y5329" s="4">
        <v>232</v>
      </c>
      <c r="Z5329" s="4">
        <v>20</v>
      </c>
      <c r="AA5329" s="4">
        <v>98</v>
      </c>
      <c r="AB5329" s="4">
        <v>2</v>
      </c>
      <c r="AC5329" s="4">
        <v>19</v>
      </c>
      <c r="AD5329" s="4">
        <v>96</v>
      </c>
      <c r="AE5329" s="4">
        <v>146</v>
      </c>
      <c r="AF5329" s="4">
        <v>1</v>
      </c>
      <c r="AG5329" s="4">
        <v>9</v>
      </c>
      <c r="AH5329" s="4">
        <v>87</v>
      </c>
      <c r="AI5329" s="4">
        <v>100</v>
      </c>
      <c r="AJ5329" s="4">
        <v>17</v>
      </c>
      <c r="AK5329" s="4">
        <v>28</v>
      </c>
      <c r="AL5329" s="4">
        <v>52</v>
      </c>
      <c r="AM5329" s="4">
        <v>55</v>
      </c>
      <c r="AN5329" s="4">
        <v>0</v>
      </c>
      <c r="AO5329" s="4">
        <v>0</v>
      </c>
      <c r="AP5329" s="4">
        <v>18</v>
      </c>
      <c r="AQ5329" s="4">
        <v>56</v>
      </c>
      <c r="AR5329" s="3" t="s">
        <v>62</v>
      </c>
      <c r="AS5329" s="3" t="s">
        <v>62</v>
      </c>
      <c r="AT5329" s="3" t="s">
        <v>62</v>
      </c>
      <c r="AV5329" s="6" t="str">
        <f>HYPERLINK("http://mcgill.on.worldcat.org/oclc/58555808","Catalog Record")</f>
        <v>Catalog Record</v>
      </c>
      <c r="AW5329" s="6" t="str">
        <f>HYPERLINK("http://www.worldcat.org/oclc/58555808","WorldCat Record")</f>
        <v>WorldCat Record</v>
      </c>
      <c r="AX5329" s="3" t="s">
        <v>51055</v>
      </c>
      <c r="AY5329" s="3" t="s">
        <v>51056</v>
      </c>
      <c r="AZ5329" s="3" t="s">
        <v>51057</v>
      </c>
      <c r="BA5329" s="3" t="s">
        <v>51057</v>
      </c>
      <c r="BB5329" s="3" t="s">
        <v>51058</v>
      </c>
      <c r="BC5329" s="3" t="s">
        <v>142</v>
      </c>
      <c r="BD5329" s="3" t="s">
        <v>68</v>
      </c>
      <c r="BE5329" s="3" t="s">
        <v>51059</v>
      </c>
      <c r="BF5329" s="3" t="s">
        <v>51058</v>
      </c>
      <c r="BG5329" s="3" t="s">
        <v>51060</v>
      </c>
    </row>
    <row r="5330" spans="1:59" ht="57" x14ac:dyDescent="0.45">
      <c r="A5330" s="2" t="s">
        <v>59</v>
      </c>
      <c r="B5330" s="2" t="s">
        <v>60</v>
      </c>
      <c r="C5330" s="2" t="s">
        <v>51061</v>
      </c>
      <c r="D5330" s="2" t="s">
        <v>51062</v>
      </c>
      <c r="E5330" s="2" t="s">
        <v>51063</v>
      </c>
      <c r="G5330" s="3" t="s">
        <v>62</v>
      </c>
      <c r="I5330" s="3" t="s">
        <v>62</v>
      </c>
      <c r="J5330" s="3" t="s">
        <v>62</v>
      </c>
      <c r="K5330" s="3" t="s">
        <v>63</v>
      </c>
      <c r="L5330" s="2" t="s">
        <v>51053</v>
      </c>
      <c r="M5330" s="2" t="s">
        <v>41787</v>
      </c>
      <c r="N5330" s="3" t="s">
        <v>958</v>
      </c>
      <c r="P5330" s="3" t="s">
        <v>65</v>
      </c>
      <c r="Q5330" s="2" t="s">
        <v>51064</v>
      </c>
      <c r="R5330" s="3" t="s">
        <v>66</v>
      </c>
      <c r="S5330" s="4">
        <v>46</v>
      </c>
      <c r="T5330" s="4">
        <v>46</v>
      </c>
      <c r="U5330" s="5" t="s">
        <v>26499</v>
      </c>
      <c r="V5330" s="5" t="s">
        <v>26499</v>
      </c>
      <c r="W5330" s="5" t="s">
        <v>67</v>
      </c>
      <c r="X5330" s="5" t="s">
        <v>67</v>
      </c>
      <c r="Y5330" s="4">
        <v>249</v>
      </c>
      <c r="Z5330" s="4">
        <v>18</v>
      </c>
      <c r="AA5330" s="4">
        <v>38</v>
      </c>
      <c r="AB5330" s="4">
        <v>2</v>
      </c>
      <c r="AC5330" s="4">
        <v>9</v>
      </c>
      <c r="AD5330" s="4">
        <v>99</v>
      </c>
      <c r="AE5330" s="4">
        <v>121</v>
      </c>
      <c r="AF5330" s="4">
        <v>1</v>
      </c>
      <c r="AG5330" s="4">
        <v>4</v>
      </c>
      <c r="AH5330" s="4">
        <v>89</v>
      </c>
      <c r="AI5330" s="4">
        <v>100</v>
      </c>
      <c r="AJ5330" s="4">
        <v>16</v>
      </c>
      <c r="AK5330" s="4">
        <v>24</v>
      </c>
      <c r="AL5330" s="4">
        <v>51</v>
      </c>
      <c r="AM5330" s="4">
        <v>56</v>
      </c>
      <c r="AN5330" s="4">
        <v>0</v>
      </c>
      <c r="AO5330" s="4">
        <v>0</v>
      </c>
      <c r="AP5330" s="4">
        <v>16</v>
      </c>
      <c r="AQ5330" s="4">
        <v>29</v>
      </c>
      <c r="AR5330" s="3" t="s">
        <v>62</v>
      </c>
      <c r="AS5330" s="3" t="s">
        <v>62</v>
      </c>
      <c r="AT5330" s="3" t="s">
        <v>62</v>
      </c>
      <c r="AV5330" s="6" t="str">
        <f>HYPERLINK("http://mcgill.on.worldcat.org/oclc/30436368","Catalog Record")</f>
        <v>Catalog Record</v>
      </c>
      <c r="AW5330" s="6" t="str">
        <f>HYPERLINK("http://www.worldcat.org/oclc/30436368","WorldCat Record")</f>
        <v>WorldCat Record</v>
      </c>
      <c r="AX5330" s="3" t="s">
        <v>51065</v>
      </c>
      <c r="AY5330" s="3" t="s">
        <v>51066</v>
      </c>
      <c r="AZ5330" s="3" t="s">
        <v>51067</v>
      </c>
      <c r="BA5330" s="3" t="s">
        <v>51067</v>
      </c>
      <c r="BB5330" s="3" t="s">
        <v>51068</v>
      </c>
      <c r="BC5330" s="3" t="s">
        <v>142</v>
      </c>
      <c r="BD5330" s="3" t="s">
        <v>68</v>
      </c>
      <c r="BE5330" s="3" t="s">
        <v>51069</v>
      </c>
      <c r="BF5330" s="3" t="s">
        <v>51068</v>
      </c>
      <c r="BG5330" s="3" t="s">
        <v>51070</v>
      </c>
    </row>
    <row r="5331" spans="1:59" ht="57" x14ac:dyDescent="0.45">
      <c r="A5331" s="2" t="s">
        <v>59</v>
      </c>
      <c r="B5331" s="2" t="s">
        <v>60</v>
      </c>
      <c r="C5331" s="2" t="s">
        <v>51071</v>
      </c>
      <c r="D5331" s="2" t="s">
        <v>51072</v>
      </c>
      <c r="E5331" s="2" t="s">
        <v>51073</v>
      </c>
      <c r="G5331" s="3" t="s">
        <v>62</v>
      </c>
      <c r="I5331" s="3" t="s">
        <v>62</v>
      </c>
      <c r="J5331" s="3" t="s">
        <v>62</v>
      </c>
      <c r="K5331" s="3" t="s">
        <v>63</v>
      </c>
      <c r="M5331" s="2" t="s">
        <v>7877</v>
      </c>
      <c r="N5331" s="3" t="s">
        <v>1465</v>
      </c>
      <c r="P5331" s="3" t="s">
        <v>65</v>
      </c>
      <c r="Q5331" s="2" t="s">
        <v>51074</v>
      </c>
      <c r="R5331" s="3" t="s">
        <v>66</v>
      </c>
      <c r="S5331" s="4">
        <v>5</v>
      </c>
      <c r="T5331" s="4">
        <v>5</v>
      </c>
      <c r="U5331" s="5" t="s">
        <v>49881</v>
      </c>
      <c r="V5331" s="5" t="s">
        <v>49881</v>
      </c>
      <c r="W5331" s="5" t="s">
        <v>67</v>
      </c>
      <c r="X5331" s="5" t="s">
        <v>67</v>
      </c>
      <c r="Y5331" s="4">
        <v>115</v>
      </c>
      <c r="Z5331" s="4">
        <v>13</v>
      </c>
      <c r="AA5331" s="4">
        <v>98</v>
      </c>
      <c r="AB5331" s="4">
        <v>3</v>
      </c>
      <c r="AC5331" s="4">
        <v>18</v>
      </c>
      <c r="AD5331" s="4">
        <v>48</v>
      </c>
      <c r="AE5331" s="4">
        <v>119</v>
      </c>
      <c r="AF5331" s="4">
        <v>1</v>
      </c>
      <c r="AG5331" s="4">
        <v>8</v>
      </c>
      <c r="AH5331" s="4">
        <v>44</v>
      </c>
      <c r="AI5331" s="4">
        <v>83</v>
      </c>
      <c r="AJ5331" s="4">
        <v>9</v>
      </c>
      <c r="AK5331" s="4">
        <v>22</v>
      </c>
      <c r="AL5331" s="4">
        <v>32</v>
      </c>
      <c r="AM5331" s="4">
        <v>46</v>
      </c>
      <c r="AN5331" s="4">
        <v>0</v>
      </c>
      <c r="AO5331" s="4">
        <v>0</v>
      </c>
      <c r="AP5331" s="4">
        <v>9</v>
      </c>
      <c r="AQ5331" s="4">
        <v>43</v>
      </c>
      <c r="AR5331" s="3" t="s">
        <v>62</v>
      </c>
      <c r="AS5331" s="3" t="s">
        <v>62</v>
      </c>
      <c r="AT5331" s="3" t="s">
        <v>62</v>
      </c>
      <c r="AV5331" s="6" t="str">
        <f>HYPERLINK("http://mcgill.on.worldcat.org/oclc/262883761","Catalog Record")</f>
        <v>Catalog Record</v>
      </c>
      <c r="AW5331" s="6" t="str">
        <f>HYPERLINK("http://www.worldcat.org/oclc/262883761","WorldCat Record")</f>
        <v>WorldCat Record</v>
      </c>
      <c r="AX5331" s="3" t="s">
        <v>51075</v>
      </c>
      <c r="AY5331" s="3" t="s">
        <v>51076</v>
      </c>
      <c r="AZ5331" s="3" t="s">
        <v>51077</v>
      </c>
      <c r="BA5331" s="3" t="s">
        <v>51077</v>
      </c>
      <c r="BB5331" s="3" t="s">
        <v>51078</v>
      </c>
      <c r="BC5331" s="3" t="s">
        <v>142</v>
      </c>
      <c r="BD5331" s="3" t="s">
        <v>68</v>
      </c>
      <c r="BE5331" s="3" t="s">
        <v>51079</v>
      </c>
      <c r="BF5331" s="3" t="s">
        <v>51078</v>
      </c>
      <c r="BG5331" s="3" t="s">
        <v>51080</v>
      </c>
    </row>
    <row r="5332" spans="1:59" ht="57" x14ac:dyDescent="0.45">
      <c r="A5332" s="2" t="s">
        <v>59</v>
      </c>
      <c r="B5332" s="2" t="s">
        <v>60</v>
      </c>
      <c r="C5332" s="2" t="s">
        <v>51081</v>
      </c>
      <c r="D5332" s="2" t="s">
        <v>51082</v>
      </c>
      <c r="E5332" s="2" t="s">
        <v>51083</v>
      </c>
      <c r="G5332" s="3" t="s">
        <v>62</v>
      </c>
      <c r="I5332" s="3" t="s">
        <v>62</v>
      </c>
      <c r="J5332" s="3" t="s">
        <v>62</v>
      </c>
      <c r="K5332" s="3" t="s">
        <v>63</v>
      </c>
      <c r="L5332" s="2" t="s">
        <v>51084</v>
      </c>
      <c r="M5332" s="2" t="s">
        <v>1178</v>
      </c>
      <c r="N5332" s="3" t="s">
        <v>894</v>
      </c>
      <c r="P5332" s="3" t="s">
        <v>65</v>
      </c>
      <c r="Q5332" s="2" t="s">
        <v>51085</v>
      </c>
      <c r="R5332" s="3" t="s">
        <v>66</v>
      </c>
      <c r="S5332" s="4">
        <v>0</v>
      </c>
      <c r="T5332" s="4">
        <v>0</v>
      </c>
      <c r="W5332" s="5" t="s">
        <v>67</v>
      </c>
      <c r="X5332" s="5" t="s">
        <v>67</v>
      </c>
      <c r="Y5332" s="4">
        <v>74</v>
      </c>
      <c r="Z5332" s="4">
        <v>10</v>
      </c>
      <c r="AA5332" s="4">
        <v>89</v>
      </c>
      <c r="AB5332" s="4">
        <v>1</v>
      </c>
      <c r="AC5332" s="4">
        <v>17</v>
      </c>
      <c r="AD5332" s="4">
        <v>35</v>
      </c>
      <c r="AE5332" s="4">
        <v>111</v>
      </c>
      <c r="AF5332" s="4">
        <v>0</v>
      </c>
      <c r="AG5332" s="4">
        <v>8</v>
      </c>
      <c r="AH5332" s="4">
        <v>30</v>
      </c>
      <c r="AI5332" s="4">
        <v>74</v>
      </c>
      <c r="AJ5332" s="4">
        <v>7</v>
      </c>
      <c r="AK5332" s="4">
        <v>23</v>
      </c>
      <c r="AL5332" s="4">
        <v>21</v>
      </c>
      <c r="AM5332" s="4">
        <v>39</v>
      </c>
      <c r="AN5332" s="4">
        <v>0</v>
      </c>
      <c r="AO5332" s="4">
        <v>0</v>
      </c>
      <c r="AP5332" s="4">
        <v>8</v>
      </c>
      <c r="AQ5332" s="4">
        <v>44</v>
      </c>
      <c r="AR5332" s="3" t="s">
        <v>62</v>
      </c>
      <c r="AS5332" s="3" t="s">
        <v>62</v>
      </c>
      <c r="AT5332" s="3" t="s">
        <v>62</v>
      </c>
      <c r="AV5332" s="6" t="str">
        <f>HYPERLINK("http://mcgill.on.worldcat.org/oclc/691928380","Catalog Record")</f>
        <v>Catalog Record</v>
      </c>
      <c r="AW5332" s="6" t="str">
        <f>HYPERLINK("http://www.worldcat.org/oclc/691928380","WorldCat Record")</f>
        <v>WorldCat Record</v>
      </c>
      <c r="AX5332" s="3" t="s">
        <v>51086</v>
      </c>
      <c r="AY5332" s="3" t="s">
        <v>51087</v>
      </c>
      <c r="AZ5332" s="3" t="s">
        <v>51088</v>
      </c>
      <c r="BA5332" s="3" t="s">
        <v>51088</v>
      </c>
      <c r="BB5332" s="3" t="s">
        <v>51089</v>
      </c>
      <c r="BC5332" s="3" t="s">
        <v>142</v>
      </c>
      <c r="BD5332" s="3" t="s">
        <v>68</v>
      </c>
      <c r="BE5332" s="3" t="s">
        <v>51090</v>
      </c>
      <c r="BF5332" s="3" t="s">
        <v>51089</v>
      </c>
      <c r="BG5332" s="3" t="s">
        <v>51091</v>
      </c>
    </row>
    <row r="5333" spans="1:59" ht="57" x14ac:dyDescent="0.45">
      <c r="A5333" s="2" t="s">
        <v>59</v>
      </c>
      <c r="B5333" s="2" t="s">
        <v>60</v>
      </c>
      <c r="C5333" s="2" t="s">
        <v>51092</v>
      </c>
      <c r="D5333" s="2" t="s">
        <v>51093</v>
      </c>
      <c r="E5333" s="2" t="s">
        <v>51094</v>
      </c>
      <c r="G5333" s="3" t="s">
        <v>62</v>
      </c>
      <c r="I5333" s="3" t="s">
        <v>62</v>
      </c>
      <c r="J5333" s="3" t="s">
        <v>62</v>
      </c>
      <c r="K5333" s="3" t="s">
        <v>63</v>
      </c>
      <c r="L5333" s="2" t="s">
        <v>51095</v>
      </c>
      <c r="M5333" s="2" t="s">
        <v>1829</v>
      </c>
      <c r="N5333" s="3" t="s">
        <v>1437</v>
      </c>
      <c r="P5333" s="3" t="s">
        <v>65</v>
      </c>
      <c r="Q5333" s="2" t="s">
        <v>51096</v>
      </c>
      <c r="R5333" s="3" t="s">
        <v>66</v>
      </c>
      <c r="S5333" s="4">
        <v>4</v>
      </c>
      <c r="T5333" s="4">
        <v>4</v>
      </c>
      <c r="U5333" s="5" t="s">
        <v>31680</v>
      </c>
      <c r="V5333" s="5" t="s">
        <v>31680</v>
      </c>
      <c r="W5333" s="5" t="s">
        <v>67</v>
      </c>
      <c r="X5333" s="5" t="s">
        <v>67</v>
      </c>
      <c r="Y5333" s="4">
        <v>151</v>
      </c>
      <c r="Z5333" s="4">
        <v>11</v>
      </c>
      <c r="AA5333" s="4">
        <v>111</v>
      </c>
      <c r="AB5333" s="4">
        <v>1</v>
      </c>
      <c r="AC5333" s="4">
        <v>22</v>
      </c>
      <c r="AD5333" s="4">
        <v>68</v>
      </c>
      <c r="AE5333" s="4">
        <v>138</v>
      </c>
      <c r="AF5333" s="4">
        <v>0</v>
      </c>
      <c r="AG5333" s="4">
        <v>9</v>
      </c>
      <c r="AH5333" s="4">
        <v>63</v>
      </c>
      <c r="AI5333" s="4">
        <v>91</v>
      </c>
      <c r="AJ5333" s="4">
        <v>9</v>
      </c>
      <c r="AK5333" s="4">
        <v>26</v>
      </c>
      <c r="AL5333" s="4">
        <v>38</v>
      </c>
      <c r="AM5333" s="4">
        <v>45</v>
      </c>
      <c r="AN5333" s="4">
        <v>0</v>
      </c>
      <c r="AO5333" s="4">
        <v>0</v>
      </c>
      <c r="AP5333" s="4">
        <v>9</v>
      </c>
      <c r="AQ5333" s="4">
        <v>55</v>
      </c>
      <c r="AR5333" s="3" t="s">
        <v>62</v>
      </c>
      <c r="AS5333" s="3" t="s">
        <v>62</v>
      </c>
      <c r="AT5333" s="3" t="s">
        <v>62</v>
      </c>
      <c r="AV5333" s="6" t="str">
        <f>HYPERLINK("http://mcgill.on.worldcat.org/oclc/36739522","Catalog Record")</f>
        <v>Catalog Record</v>
      </c>
      <c r="AW5333" s="6" t="str">
        <f>HYPERLINK("http://www.worldcat.org/oclc/36739522","WorldCat Record")</f>
        <v>WorldCat Record</v>
      </c>
      <c r="AX5333" s="3" t="s">
        <v>51097</v>
      </c>
      <c r="AY5333" s="3" t="s">
        <v>51098</v>
      </c>
      <c r="AZ5333" s="3" t="s">
        <v>51099</v>
      </c>
      <c r="BA5333" s="3" t="s">
        <v>51099</v>
      </c>
      <c r="BB5333" s="3" t="s">
        <v>51100</v>
      </c>
      <c r="BC5333" s="3" t="s">
        <v>142</v>
      </c>
      <c r="BD5333" s="3" t="s">
        <v>68</v>
      </c>
      <c r="BE5333" s="3" t="s">
        <v>51101</v>
      </c>
      <c r="BF5333" s="3" t="s">
        <v>51100</v>
      </c>
      <c r="BG5333" s="3" t="s">
        <v>51102</v>
      </c>
    </row>
    <row r="5334" spans="1:59" ht="57" x14ac:dyDescent="0.45">
      <c r="A5334" s="2" t="s">
        <v>59</v>
      </c>
      <c r="B5334" s="2" t="s">
        <v>60</v>
      </c>
      <c r="C5334" s="2" t="s">
        <v>51103</v>
      </c>
      <c r="D5334" s="2" t="s">
        <v>51104</v>
      </c>
      <c r="E5334" s="2" t="s">
        <v>51105</v>
      </c>
      <c r="G5334" s="3" t="s">
        <v>62</v>
      </c>
      <c r="I5334" s="3" t="s">
        <v>62</v>
      </c>
      <c r="J5334" s="3" t="s">
        <v>62</v>
      </c>
      <c r="K5334" s="3" t="s">
        <v>63</v>
      </c>
      <c r="L5334" s="2" t="s">
        <v>32777</v>
      </c>
      <c r="M5334" s="2" t="s">
        <v>5349</v>
      </c>
      <c r="N5334" s="3" t="s">
        <v>1239</v>
      </c>
      <c r="P5334" s="3" t="s">
        <v>65</v>
      </c>
      <c r="Q5334" s="2" t="s">
        <v>51106</v>
      </c>
      <c r="R5334" s="3" t="s">
        <v>66</v>
      </c>
      <c r="S5334" s="4">
        <v>18</v>
      </c>
      <c r="T5334" s="4">
        <v>18</v>
      </c>
      <c r="U5334" s="5" t="s">
        <v>3388</v>
      </c>
      <c r="V5334" s="5" t="s">
        <v>3388</v>
      </c>
      <c r="W5334" s="5" t="s">
        <v>67</v>
      </c>
      <c r="X5334" s="5" t="s">
        <v>67</v>
      </c>
      <c r="Y5334" s="4">
        <v>277</v>
      </c>
      <c r="Z5334" s="4">
        <v>18</v>
      </c>
      <c r="AA5334" s="4">
        <v>24</v>
      </c>
      <c r="AB5334" s="4">
        <v>1</v>
      </c>
      <c r="AC5334" s="4">
        <v>5</v>
      </c>
      <c r="AD5334" s="4">
        <v>105</v>
      </c>
      <c r="AE5334" s="4">
        <v>111</v>
      </c>
      <c r="AF5334" s="4">
        <v>0</v>
      </c>
      <c r="AG5334" s="4">
        <v>3</v>
      </c>
      <c r="AH5334" s="4">
        <v>97</v>
      </c>
      <c r="AI5334" s="4">
        <v>100</v>
      </c>
      <c r="AJ5334" s="4">
        <v>14</v>
      </c>
      <c r="AK5334" s="4">
        <v>19</v>
      </c>
      <c r="AL5334" s="4">
        <v>55</v>
      </c>
      <c r="AM5334" s="4">
        <v>55</v>
      </c>
      <c r="AN5334" s="4">
        <v>0</v>
      </c>
      <c r="AO5334" s="4">
        <v>0</v>
      </c>
      <c r="AP5334" s="4">
        <v>16</v>
      </c>
      <c r="AQ5334" s="4">
        <v>20</v>
      </c>
      <c r="AR5334" s="3" t="s">
        <v>62</v>
      </c>
      <c r="AS5334" s="3" t="s">
        <v>62</v>
      </c>
      <c r="AT5334" s="3" t="s">
        <v>62</v>
      </c>
      <c r="AV5334" s="6" t="str">
        <f>HYPERLINK("http://mcgill.on.worldcat.org/oclc/17840979","Catalog Record")</f>
        <v>Catalog Record</v>
      </c>
      <c r="AW5334" s="6" t="str">
        <f>HYPERLINK("http://www.worldcat.org/oclc/17840979","WorldCat Record")</f>
        <v>WorldCat Record</v>
      </c>
      <c r="AX5334" s="3" t="s">
        <v>51107</v>
      </c>
      <c r="AY5334" s="3" t="s">
        <v>51108</v>
      </c>
      <c r="AZ5334" s="3" t="s">
        <v>51109</v>
      </c>
      <c r="BA5334" s="3" t="s">
        <v>51109</v>
      </c>
      <c r="BB5334" s="3" t="s">
        <v>51110</v>
      </c>
      <c r="BC5334" s="3" t="s">
        <v>142</v>
      </c>
      <c r="BD5334" s="3" t="s">
        <v>68</v>
      </c>
      <c r="BE5334" s="3" t="s">
        <v>51111</v>
      </c>
      <c r="BF5334" s="3" t="s">
        <v>51110</v>
      </c>
      <c r="BG5334" s="3" t="s">
        <v>51112</v>
      </c>
    </row>
    <row r="5335" spans="1:59" ht="57" x14ac:dyDescent="0.45">
      <c r="A5335" s="2" t="s">
        <v>59</v>
      </c>
      <c r="B5335" s="2" t="s">
        <v>60</v>
      </c>
      <c r="C5335" s="2" t="s">
        <v>51113</v>
      </c>
      <c r="D5335" s="2" t="s">
        <v>51114</v>
      </c>
      <c r="E5335" s="2" t="s">
        <v>51115</v>
      </c>
      <c r="G5335" s="3" t="s">
        <v>62</v>
      </c>
      <c r="I5335" s="3" t="s">
        <v>62</v>
      </c>
      <c r="J5335" s="3" t="s">
        <v>62</v>
      </c>
      <c r="K5335" s="3" t="s">
        <v>63</v>
      </c>
      <c r="M5335" s="2" t="s">
        <v>51116</v>
      </c>
      <c r="N5335" s="3" t="s">
        <v>1155</v>
      </c>
      <c r="P5335" s="3" t="s">
        <v>65</v>
      </c>
      <c r="Q5335" s="2" t="s">
        <v>44296</v>
      </c>
      <c r="R5335" s="3" t="s">
        <v>66</v>
      </c>
      <c r="S5335" s="4">
        <v>2</v>
      </c>
      <c r="T5335" s="4">
        <v>2</v>
      </c>
      <c r="U5335" s="5" t="s">
        <v>372</v>
      </c>
      <c r="V5335" s="5" t="s">
        <v>372</v>
      </c>
      <c r="W5335" s="5" t="s">
        <v>67</v>
      </c>
      <c r="X5335" s="5" t="s">
        <v>67</v>
      </c>
      <c r="Y5335" s="4">
        <v>143</v>
      </c>
      <c r="Z5335" s="4">
        <v>13</v>
      </c>
      <c r="AA5335" s="4">
        <v>19</v>
      </c>
      <c r="AB5335" s="4">
        <v>1</v>
      </c>
      <c r="AC5335" s="4">
        <v>1</v>
      </c>
      <c r="AD5335" s="4">
        <v>53</v>
      </c>
      <c r="AE5335" s="4">
        <v>67</v>
      </c>
      <c r="AF5335" s="4">
        <v>0</v>
      </c>
      <c r="AG5335" s="4">
        <v>0</v>
      </c>
      <c r="AH5335" s="4">
        <v>48</v>
      </c>
      <c r="AI5335" s="4">
        <v>58</v>
      </c>
      <c r="AJ5335" s="4">
        <v>12</v>
      </c>
      <c r="AK5335" s="4">
        <v>16</v>
      </c>
      <c r="AL5335" s="4">
        <v>31</v>
      </c>
      <c r="AM5335" s="4">
        <v>38</v>
      </c>
      <c r="AN5335" s="4">
        <v>0</v>
      </c>
      <c r="AO5335" s="4">
        <v>0</v>
      </c>
      <c r="AP5335" s="4">
        <v>12</v>
      </c>
      <c r="AQ5335" s="4">
        <v>17</v>
      </c>
      <c r="AR5335" s="3" t="s">
        <v>62</v>
      </c>
      <c r="AS5335" s="3" t="s">
        <v>62</v>
      </c>
      <c r="AT5335" s="3" t="s">
        <v>62</v>
      </c>
      <c r="AV5335" s="6" t="str">
        <f>HYPERLINK("http://mcgill.on.worldcat.org/oclc/711643394","Catalog Record")</f>
        <v>Catalog Record</v>
      </c>
      <c r="AW5335" s="6" t="str">
        <f>HYPERLINK("http://www.worldcat.org/oclc/711643394","WorldCat Record")</f>
        <v>WorldCat Record</v>
      </c>
      <c r="AX5335" s="3" t="s">
        <v>51117</v>
      </c>
      <c r="AY5335" s="3" t="s">
        <v>51118</v>
      </c>
      <c r="AZ5335" s="3" t="s">
        <v>51119</v>
      </c>
      <c r="BA5335" s="3" t="s">
        <v>51119</v>
      </c>
      <c r="BB5335" s="3" t="s">
        <v>51120</v>
      </c>
      <c r="BC5335" s="3" t="s">
        <v>142</v>
      </c>
      <c r="BD5335" s="3" t="s">
        <v>68</v>
      </c>
      <c r="BE5335" s="3" t="s">
        <v>51121</v>
      </c>
      <c r="BF5335" s="3" t="s">
        <v>51120</v>
      </c>
      <c r="BG5335" s="3" t="s">
        <v>51122</v>
      </c>
    </row>
    <row r="5336" spans="1:59" ht="57" x14ac:dyDescent="0.45">
      <c r="A5336" s="2" t="s">
        <v>59</v>
      </c>
      <c r="B5336" s="2" t="s">
        <v>60</v>
      </c>
      <c r="C5336" s="2" t="s">
        <v>51123</v>
      </c>
      <c r="D5336" s="2" t="s">
        <v>51124</v>
      </c>
      <c r="E5336" s="2" t="s">
        <v>51125</v>
      </c>
      <c r="G5336" s="3" t="s">
        <v>62</v>
      </c>
      <c r="I5336" s="3" t="s">
        <v>62</v>
      </c>
      <c r="J5336" s="3" t="s">
        <v>62</v>
      </c>
      <c r="K5336" s="3" t="s">
        <v>63</v>
      </c>
      <c r="L5336" s="2" t="s">
        <v>51126</v>
      </c>
      <c r="M5336" s="2" t="s">
        <v>49314</v>
      </c>
      <c r="N5336" s="3" t="s">
        <v>894</v>
      </c>
      <c r="P5336" s="3" t="s">
        <v>65</v>
      </c>
      <c r="Q5336" s="2" t="s">
        <v>51127</v>
      </c>
      <c r="R5336" s="3" t="s">
        <v>66</v>
      </c>
      <c r="S5336" s="4">
        <v>0</v>
      </c>
      <c r="T5336" s="4">
        <v>0</v>
      </c>
      <c r="W5336" s="5" t="s">
        <v>67</v>
      </c>
      <c r="X5336" s="5" t="s">
        <v>67</v>
      </c>
      <c r="Y5336" s="4">
        <v>47</v>
      </c>
      <c r="Z5336" s="4">
        <v>8</v>
      </c>
      <c r="AA5336" s="4">
        <v>36</v>
      </c>
      <c r="AB5336" s="4">
        <v>1</v>
      </c>
      <c r="AC5336" s="4">
        <v>9</v>
      </c>
      <c r="AD5336" s="4">
        <v>20</v>
      </c>
      <c r="AE5336" s="4">
        <v>35</v>
      </c>
      <c r="AF5336" s="4">
        <v>0</v>
      </c>
      <c r="AG5336" s="4">
        <v>3</v>
      </c>
      <c r="AH5336" s="4">
        <v>19</v>
      </c>
      <c r="AI5336" s="4">
        <v>25</v>
      </c>
      <c r="AJ5336" s="4">
        <v>5</v>
      </c>
      <c r="AK5336" s="4">
        <v>8</v>
      </c>
      <c r="AL5336" s="4">
        <v>13</v>
      </c>
      <c r="AM5336" s="4">
        <v>18</v>
      </c>
      <c r="AN5336" s="4">
        <v>0</v>
      </c>
      <c r="AO5336" s="4">
        <v>0</v>
      </c>
      <c r="AP5336" s="4">
        <v>5</v>
      </c>
      <c r="AQ5336" s="4">
        <v>13</v>
      </c>
      <c r="AR5336" s="3" t="s">
        <v>62</v>
      </c>
      <c r="AS5336" s="3" t="s">
        <v>62</v>
      </c>
      <c r="AT5336" s="3" t="s">
        <v>62</v>
      </c>
      <c r="AV5336" s="6" t="str">
        <f>HYPERLINK("http://mcgill.on.worldcat.org/oclc/715287024","Catalog Record")</f>
        <v>Catalog Record</v>
      </c>
      <c r="AW5336" s="6" t="str">
        <f>HYPERLINK("http://www.worldcat.org/oclc/715287024","WorldCat Record")</f>
        <v>WorldCat Record</v>
      </c>
      <c r="AX5336" s="3" t="s">
        <v>51128</v>
      </c>
      <c r="AY5336" s="3" t="s">
        <v>51129</v>
      </c>
      <c r="AZ5336" s="3" t="s">
        <v>51130</v>
      </c>
      <c r="BA5336" s="3" t="s">
        <v>51130</v>
      </c>
      <c r="BB5336" s="3" t="s">
        <v>51131</v>
      </c>
      <c r="BC5336" s="3" t="s">
        <v>142</v>
      </c>
      <c r="BD5336" s="3" t="s">
        <v>68</v>
      </c>
      <c r="BE5336" s="3" t="s">
        <v>51132</v>
      </c>
      <c r="BF5336" s="3" t="s">
        <v>51131</v>
      </c>
      <c r="BG5336" s="3" t="s">
        <v>51133</v>
      </c>
    </row>
    <row r="5337" spans="1:59" ht="57" x14ac:dyDescent="0.45">
      <c r="A5337" s="2" t="s">
        <v>59</v>
      </c>
      <c r="B5337" s="2" t="s">
        <v>60</v>
      </c>
      <c r="C5337" s="2" t="s">
        <v>51134</v>
      </c>
      <c r="D5337" s="2" t="s">
        <v>51135</v>
      </c>
      <c r="E5337" s="2" t="s">
        <v>51136</v>
      </c>
      <c r="G5337" s="3" t="s">
        <v>62</v>
      </c>
      <c r="I5337" s="3" t="s">
        <v>62</v>
      </c>
      <c r="J5337" s="3" t="s">
        <v>62</v>
      </c>
      <c r="K5337" s="3" t="s">
        <v>63</v>
      </c>
      <c r="L5337" s="2" t="s">
        <v>51137</v>
      </c>
      <c r="M5337" s="2" t="s">
        <v>34438</v>
      </c>
      <c r="N5337" s="3" t="s">
        <v>1465</v>
      </c>
      <c r="P5337" s="3" t="s">
        <v>65</v>
      </c>
      <c r="Q5337" s="2" t="s">
        <v>51138</v>
      </c>
      <c r="R5337" s="3" t="s">
        <v>66</v>
      </c>
      <c r="S5337" s="4">
        <v>4</v>
      </c>
      <c r="T5337" s="4">
        <v>4</v>
      </c>
      <c r="U5337" s="5" t="s">
        <v>1974</v>
      </c>
      <c r="V5337" s="5" t="s">
        <v>1974</v>
      </c>
      <c r="W5337" s="5" t="s">
        <v>67</v>
      </c>
      <c r="X5337" s="5" t="s">
        <v>67</v>
      </c>
      <c r="Y5337" s="4">
        <v>83</v>
      </c>
      <c r="Z5337" s="4">
        <v>12</v>
      </c>
      <c r="AA5337" s="4">
        <v>102</v>
      </c>
      <c r="AB5337" s="4">
        <v>2</v>
      </c>
      <c r="AC5337" s="4">
        <v>18</v>
      </c>
      <c r="AD5337" s="4">
        <v>43</v>
      </c>
      <c r="AE5337" s="4">
        <v>118</v>
      </c>
      <c r="AF5337" s="4">
        <v>0</v>
      </c>
      <c r="AG5337" s="4">
        <v>8</v>
      </c>
      <c r="AH5337" s="4">
        <v>38</v>
      </c>
      <c r="AI5337" s="4">
        <v>79</v>
      </c>
      <c r="AJ5337" s="4">
        <v>9</v>
      </c>
      <c r="AK5337" s="4">
        <v>24</v>
      </c>
      <c r="AL5337" s="4">
        <v>29</v>
      </c>
      <c r="AM5337" s="4">
        <v>42</v>
      </c>
      <c r="AN5337" s="4">
        <v>0</v>
      </c>
      <c r="AO5337" s="4">
        <v>0</v>
      </c>
      <c r="AP5337" s="4">
        <v>9</v>
      </c>
      <c r="AQ5337" s="4">
        <v>46</v>
      </c>
      <c r="AR5337" s="3" t="s">
        <v>62</v>
      </c>
      <c r="AS5337" s="3" t="s">
        <v>62</v>
      </c>
      <c r="AT5337" s="3" t="s">
        <v>62</v>
      </c>
      <c r="AV5337" s="6" t="str">
        <f>HYPERLINK("http://mcgill.on.worldcat.org/oclc/310401868","Catalog Record")</f>
        <v>Catalog Record</v>
      </c>
      <c r="AW5337" s="6" t="str">
        <f>HYPERLINK("http://www.worldcat.org/oclc/310401868","WorldCat Record")</f>
        <v>WorldCat Record</v>
      </c>
      <c r="AX5337" s="3" t="s">
        <v>51139</v>
      </c>
      <c r="AY5337" s="3" t="s">
        <v>51140</v>
      </c>
      <c r="AZ5337" s="3" t="s">
        <v>51141</v>
      </c>
      <c r="BA5337" s="3" t="s">
        <v>51141</v>
      </c>
      <c r="BB5337" s="3" t="s">
        <v>51142</v>
      </c>
      <c r="BC5337" s="3" t="s">
        <v>142</v>
      </c>
      <c r="BD5337" s="3" t="s">
        <v>68</v>
      </c>
      <c r="BE5337" s="3" t="s">
        <v>51143</v>
      </c>
      <c r="BF5337" s="3" t="s">
        <v>51142</v>
      </c>
      <c r="BG5337" s="3" t="s">
        <v>51144</v>
      </c>
    </row>
    <row r="5338" spans="1:59" ht="57" x14ac:dyDescent="0.45">
      <c r="A5338" s="2" t="s">
        <v>59</v>
      </c>
      <c r="B5338" s="2" t="s">
        <v>60</v>
      </c>
      <c r="C5338" s="2" t="s">
        <v>51145</v>
      </c>
      <c r="D5338" s="2" t="s">
        <v>51146</v>
      </c>
      <c r="E5338" s="2" t="s">
        <v>51147</v>
      </c>
      <c r="G5338" s="3" t="s">
        <v>62</v>
      </c>
      <c r="I5338" s="3" t="s">
        <v>62</v>
      </c>
      <c r="J5338" s="3" t="s">
        <v>62</v>
      </c>
      <c r="K5338" s="3" t="s">
        <v>63</v>
      </c>
      <c r="L5338" s="2" t="s">
        <v>51148</v>
      </c>
      <c r="M5338" s="2" t="s">
        <v>29864</v>
      </c>
      <c r="N5338" s="3" t="s">
        <v>1465</v>
      </c>
      <c r="P5338" s="3" t="s">
        <v>65</v>
      </c>
      <c r="Q5338" s="2" t="s">
        <v>51149</v>
      </c>
      <c r="R5338" s="3" t="s">
        <v>66</v>
      </c>
      <c r="S5338" s="4">
        <v>3</v>
      </c>
      <c r="T5338" s="4">
        <v>3</v>
      </c>
      <c r="U5338" s="5" t="s">
        <v>1584</v>
      </c>
      <c r="V5338" s="5" t="s">
        <v>1584</v>
      </c>
      <c r="W5338" s="5" t="s">
        <v>67</v>
      </c>
      <c r="X5338" s="5" t="s">
        <v>67</v>
      </c>
      <c r="Y5338" s="4">
        <v>79</v>
      </c>
      <c r="Z5338" s="4">
        <v>11</v>
      </c>
      <c r="AA5338" s="4">
        <v>97</v>
      </c>
      <c r="AB5338" s="4">
        <v>2</v>
      </c>
      <c r="AC5338" s="4">
        <v>18</v>
      </c>
      <c r="AD5338" s="4">
        <v>33</v>
      </c>
      <c r="AE5338" s="4">
        <v>109</v>
      </c>
      <c r="AF5338" s="4">
        <v>0</v>
      </c>
      <c r="AG5338" s="4">
        <v>8</v>
      </c>
      <c r="AH5338" s="4">
        <v>29</v>
      </c>
      <c r="AI5338" s="4">
        <v>74</v>
      </c>
      <c r="AJ5338" s="4">
        <v>6</v>
      </c>
      <c r="AK5338" s="4">
        <v>21</v>
      </c>
      <c r="AL5338" s="4">
        <v>21</v>
      </c>
      <c r="AM5338" s="4">
        <v>37</v>
      </c>
      <c r="AN5338" s="4">
        <v>0</v>
      </c>
      <c r="AO5338" s="4">
        <v>0</v>
      </c>
      <c r="AP5338" s="4">
        <v>7</v>
      </c>
      <c r="AQ5338" s="4">
        <v>42</v>
      </c>
      <c r="AR5338" s="3" t="s">
        <v>62</v>
      </c>
      <c r="AS5338" s="3" t="s">
        <v>62</v>
      </c>
      <c r="AT5338" s="3" t="s">
        <v>62</v>
      </c>
      <c r="AV5338" s="6" t="str">
        <f>HYPERLINK("http://mcgill.on.worldcat.org/oclc/264046817","Catalog Record")</f>
        <v>Catalog Record</v>
      </c>
      <c r="AW5338" s="6" t="str">
        <f>HYPERLINK("http://www.worldcat.org/oclc/264046817","WorldCat Record")</f>
        <v>WorldCat Record</v>
      </c>
      <c r="AX5338" s="3" t="s">
        <v>51150</v>
      </c>
      <c r="AY5338" s="3" t="s">
        <v>51151</v>
      </c>
      <c r="AZ5338" s="3" t="s">
        <v>51152</v>
      </c>
      <c r="BA5338" s="3" t="s">
        <v>51152</v>
      </c>
      <c r="BB5338" s="3" t="s">
        <v>51153</v>
      </c>
      <c r="BC5338" s="3" t="s">
        <v>142</v>
      </c>
      <c r="BD5338" s="3" t="s">
        <v>68</v>
      </c>
      <c r="BE5338" s="3" t="s">
        <v>51154</v>
      </c>
      <c r="BF5338" s="3" t="s">
        <v>51153</v>
      </c>
      <c r="BG5338" s="3" t="s">
        <v>51155</v>
      </c>
    </row>
    <row r="5339" spans="1:59" ht="57" x14ac:dyDescent="0.45">
      <c r="A5339" s="2" t="s">
        <v>59</v>
      </c>
      <c r="B5339" s="2" t="s">
        <v>60</v>
      </c>
      <c r="C5339" s="2" t="s">
        <v>51156</v>
      </c>
      <c r="D5339" s="2" t="s">
        <v>51157</v>
      </c>
      <c r="E5339" s="2" t="s">
        <v>51158</v>
      </c>
      <c r="G5339" s="3" t="s">
        <v>62</v>
      </c>
      <c r="I5339" s="3" t="s">
        <v>62</v>
      </c>
      <c r="J5339" s="3" t="s">
        <v>61</v>
      </c>
      <c r="K5339" s="3" t="s">
        <v>63</v>
      </c>
      <c r="L5339" s="2" t="s">
        <v>51159</v>
      </c>
      <c r="M5339" s="2" t="s">
        <v>51160</v>
      </c>
      <c r="N5339" s="3" t="s">
        <v>807</v>
      </c>
      <c r="P5339" s="3" t="s">
        <v>65</v>
      </c>
      <c r="Q5339" s="2" t="s">
        <v>51161</v>
      </c>
      <c r="R5339" s="3" t="s">
        <v>66</v>
      </c>
      <c r="S5339" s="4">
        <v>43</v>
      </c>
      <c r="T5339" s="4">
        <v>43</v>
      </c>
      <c r="U5339" s="5" t="s">
        <v>18463</v>
      </c>
      <c r="V5339" s="5" t="s">
        <v>18463</v>
      </c>
      <c r="W5339" s="5" t="s">
        <v>67</v>
      </c>
      <c r="X5339" s="5" t="s">
        <v>67</v>
      </c>
      <c r="Y5339" s="4">
        <v>178</v>
      </c>
      <c r="Z5339" s="4">
        <v>16</v>
      </c>
      <c r="AA5339" s="4">
        <v>23</v>
      </c>
      <c r="AB5339" s="4">
        <v>1</v>
      </c>
      <c r="AC5339" s="4">
        <v>3</v>
      </c>
      <c r="AD5339" s="4">
        <v>77</v>
      </c>
      <c r="AE5339" s="4">
        <v>97</v>
      </c>
      <c r="AF5339" s="4">
        <v>0</v>
      </c>
      <c r="AG5339" s="4">
        <v>2</v>
      </c>
      <c r="AH5339" s="4">
        <v>71</v>
      </c>
      <c r="AI5339" s="4">
        <v>85</v>
      </c>
      <c r="AJ5339" s="4">
        <v>13</v>
      </c>
      <c r="AK5339" s="4">
        <v>17</v>
      </c>
      <c r="AL5339" s="4">
        <v>44</v>
      </c>
      <c r="AM5339" s="4">
        <v>51</v>
      </c>
      <c r="AN5339" s="4">
        <v>0</v>
      </c>
      <c r="AO5339" s="4">
        <v>0</v>
      </c>
      <c r="AP5339" s="4">
        <v>14</v>
      </c>
      <c r="AQ5339" s="4">
        <v>20</v>
      </c>
      <c r="AR5339" s="3" t="s">
        <v>62</v>
      </c>
      <c r="AS5339" s="3" t="s">
        <v>62</v>
      </c>
      <c r="AT5339" s="3" t="s">
        <v>61</v>
      </c>
      <c r="AU5339" s="6" t="str">
        <f>HYPERLINK("http://catalog.hathitrust.org/Record/002570041","HathiTrust Record")</f>
        <v>HathiTrust Record</v>
      </c>
      <c r="AV5339" s="6" t="str">
        <f>HYPERLINK("http://mcgill.on.worldcat.org/oclc/23016072","Catalog Record")</f>
        <v>Catalog Record</v>
      </c>
      <c r="AW5339" s="6" t="str">
        <f>HYPERLINK("http://www.worldcat.org/oclc/23016072","WorldCat Record")</f>
        <v>WorldCat Record</v>
      </c>
      <c r="AX5339" s="3" t="s">
        <v>51162</v>
      </c>
      <c r="AY5339" s="3" t="s">
        <v>51163</v>
      </c>
      <c r="AZ5339" s="3" t="s">
        <v>51164</v>
      </c>
      <c r="BA5339" s="3" t="s">
        <v>51164</v>
      </c>
      <c r="BB5339" s="3" t="s">
        <v>51165</v>
      </c>
      <c r="BC5339" s="3" t="s">
        <v>142</v>
      </c>
      <c r="BD5339" s="3" t="s">
        <v>68</v>
      </c>
      <c r="BE5339" s="3" t="s">
        <v>51166</v>
      </c>
      <c r="BF5339" s="3" t="s">
        <v>51165</v>
      </c>
      <c r="BG5339" s="3" t="s">
        <v>51167</v>
      </c>
    </row>
    <row r="5340" spans="1:59" ht="57" x14ac:dyDescent="0.45">
      <c r="A5340" s="2" t="s">
        <v>59</v>
      </c>
      <c r="B5340" s="2" t="s">
        <v>60</v>
      </c>
      <c r="C5340" s="2" t="s">
        <v>51168</v>
      </c>
      <c r="D5340" s="2" t="s">
        <v>51169</v>
      </c>
      <c r="E5340" s="2" t="s">
        <v>51170</v>
      </c>
      <c r="G5340" s="3" t="s">
        <v>62</v>
      </c>
      <c r="I5340" s="3" t="s">
        <v>62</v>
      </c>
      <c r="J5340" s="3" t="s">
        <v>61</v>
      </c>
      <c r="K5340" s="3" t="s">
        <v>63</v>
      </c>
      <c r="L5340" s="2" t="s">
        <v>51159</v>
      </c>
      <c r="M5340" s="2" t="s">
        <v>6078</v>
      </c>
      <c r="N5340" s="3" t="s">
        <v>1253</v>
      </c>
      <c r="O5340" s="2" t="s">
        <v>933</v>
      </c>
      <c r="P5340" s="3" t="s">
        <v>65</v>
      </c>
      <c r="Q5340" s="2" t="s">
        <v>51161</v>
      </c>
      <c r="R5340" s="3" t="s">
        <v>66</v>
      </c>
      <c r="S5340" s="4">
        <v>35</v>
      </c>
      <c r="T5340" s="4">
        <v>35</v>
      </c>
      <c r="U5340" s="5" t="s">
        <v>3364</v>
      </c>
      <c r="V5340" s="5" t="s">
        <v>3364</v>
      </c>
      <c r="W5340" s="5" t="s">
        <v>67</v>
      </c>
      <c r="X5340" s="5" t="s">
        <v>67</v>
      </c>
      <c r="Y5340" s="4">
        <v>151</v>
      </c>
      <c r="Z5340" s="4">
        <v>9</v>
      </c>
      <c r="AA5340" s="4">
        <v>23</v>
      </c>
      <c r="AB5340" s="4">
        <v>1</v>
      </c>
      <c r="AC5340" s="4">
        <v>3</v>
      </c>
      <c r="AD5340" s="4">
        <v>61</v>
      </c>
      <c r="AE5340" s="4">
        <v>97</v>
      </c>
      <c r="AF5340" s="4">
        <v>0</v>
      </c>
      <c r="AG5340" s="4">
        <v>2</v>
      </c>
      <c r="AH5340" s="4">
        <v>54</v>
      </c>
      <c r="AI5340" s="4">
        <v>85</v>
      </c>
      <c r="AJ5340" s="4">
        <v>7</v>
      </c>
      <c r="AK5340" s="4">
        <v>17</v>
      </c>
      <c r="AL5340" s="4">
        <v>37</v>
      </c>
      <c r="AM5340" s="4">
        <v>51</v>
      </c>
      <c r="AN5340" s="4">
        <v>0</v>
      </c>
      <c r="AO5340" s="4">
        <v>0</v>
      </c>
      <c r="AP5340" s="4">
        <v>8</v>
      </c>
      <c r="AQ5340" s="4">
        <v>20</v>
      </c>
      <c r="AR5340" s="3" t="s">
        <v>62</v>
      </c>
      <c r="AS5340" s="3" t="s">
        <v>62</v>
      </c>
      <c r="AT5340" s="3" t="s">
        <v>62</v>
      </c>
      <c r="AV5340" s="6" t="str">
        <f>HYPERLINK("http://mcgill.on.worldcat.org/oclc/37107079","Catalog Record")</f>
        <v>Catalog Record</v>
      </c>
      <c r="AW5340" s="6" t="str">
        <f>HYPERLINK("http://www.worldcat.org/oclc/37107079","WorldCat Record")</f>
        <v>WorldCat Record</v>
      </c>
      <c r="AX5340" s="3" t="s">
        <v>51162</v>
      </c>
      <c r="AY5340" s="3" t="s">
        <v>51171</v>
      </c>
      <c r="AZ5340" s="3" t="s">
        <v>51172</v>
      </c>
      <c r="BA5340" s="3" t="s">
        <v>51172</v>
      </c>
      <c r="BB5340" s="3" t="s">
        <v>51173</v>
      </c>
      <c r="BC5340" s="3" t="s">
        <v>142</v>
      </c>
      <c r="BD5340" s="3" t="s">
        <v>68</v>
      </c>
      <c r="BE5340" s="3" t="s">
        <v>51174</v>
      </c>
      <c r="BF5340" s="3" t="s">
        <v>51173</v>
      </c>
      <c r="BG5340" s="3" t="s">
        <v>51175</v>
      </c>
    </row>
    <row r="5341" spans="1:59" ht="57" x14ac:dyDescent="0.45">
      <c r="A5341" s="2" t="s">
        <v>59</v>
      </c>
      <c r="B5341" s="2" t="s">
        <v>60</v>
      </c>
      <c r="C5341" s="2" t="s">
        <v>51176</v>
      </c>
      <c r="D5341" s="2" t="s">
        <v>51177</v>
      </c>
      <c r="E5341" s="2" t="s">
        <v>51178</v>
      </c>
      <c r="G5341" s="3" t="s">
        <v>62</v>
      </c>
      <c r="I5341" s="3" t="s">
        <v>62</v>
      </c>
      <c r="J5341" s="3" t="s">
        <v>62</v>
      </c>
      <c r="K5341" s="3" t="s">
        <v>63</v>
      </c>
      <c r="M5341" s="2" t="s">
        <v>28286</v>
      </c>
      <c r="N5341" s="3" t="s">
        <v>1155</v>
      </c>
      <c r="O5341" s="2" t="s">
        <v>168</v>
      </c>
      <c r="P5341" s="3" t="s">
        <v>65</v>
      </c>
      <c r="Q5341" s="2" t="s">
        <v>21253</v>
      </c>
      <c r="R5341" s="3" t="s">
        <v>66</v>
      </c>
      <c r="S5341" s="4">
        <v>1</v>
      </c>
      <c r="T5341" s="4">
        <v>1</v>
      </c>
      <c r="U5341" s="5" t="s">
        <v>11152</v>
      </c>
      <c r="V5341" s="5" t="s">
        <v>11152</v>
      </c>
      <c r="W5341" s="5" t="s">
        <v>67</v>
      </c>
      <c r="X5341" s="5" t="s">
        <v>67</v>
      </c>
      <c r="Y5341" s="4">
        <v>115</v>
      </c>
      <c r="Z5341" s="4">
        <v>12</v>
      </c>
      <c r="AA5341" s="4">
        <v>36</v>
      </c>
      <c r="AB5341" s="4">
        <v>1</v>
      </c>
      <c r="AC5341" s="4">
        <v>5</v>
      </c>
      <c r="AD5341" s="4">
        <v>50</v>
      </c>
      <c r="AE5341" s="4">
        <v>80</v>
      </c>
      <c r="AF5341" s="4">
        <v>0</v>
      </c>
      <c r="AG5341" s="4">
        <v>1</v>
      </c>
      <c r="AH5341" s="4">
        <v>43</v>
      </c>
      <c r="AI5341" s="4">
        <v>64</v>
      </c>
      <c r="AJ5341" s="4">
        <v>9</v>
      </c>
      <c r="AK5341" s="4">
        <v>14</v>
      </c>
      <c r="AL5341" s="4">
        <v>28</v>
      </c>
      <c r="AM5341" s="4">
        <v>37</v>
      </c>
      <c r="AN5341" s="4">
        <v>0</v>
      </c>
      <c r="AO5341" s="4">
        <v>0</v>
      </c>
      <c r="AP5341" s="4">
        <v>11</v>
      </c>
      <c r="AQ5341" s="4">
        <v>23</v>
      </c>
      <c r="AR5341" s="3" t="s">
        <v>62</v>
      </c>
      <c r="AS5341" s="3" t="s">
        <v>62</v>
      </c>
      <c r="AT5341" s="3" t="s">
        <v>62</v>
      </c>
      <c r="AV5341" s="6" t="str">
        <f>HYPERLINK("http://mcgill.on.worldcat.org/oclc/769989447","Catalog Record")</f>
        <v>Catalog Record</v>
      </c>
      <c r="AW5341" s="6" t="str">
        <f>HYPERLINK("http://www.worldcat.org/oclc/769989447","WorldCat Record")</f>
        <v>WorldCat Record</v>
      </c>
      <c r="AX5341" s="3" t="s">
        <v>51179</v>
      </c>
      <c r="AY5341" s="3" t="s">
        <v>51180</v>
      </c>
      <c r="AZ5341" s="3" t="s">
        <v>51181</v>
      </c>
      <c r="BA5341" s="3" t="s">
        <v>51181</v>
      </c>
      <c r="BB5341" s="3" t="s">
        <v>51182</v>
      </c>
      <c r="BC5341" s="3" t="s">
        <v>142</v>
      </c>
      <c r="BD5341" s="3" t="s">
        <v>68</v>
      </c>
      <c r="BE5341" s="3" t="s">
        <v>51183</v>
      </c>
      <c r="BF5341" s="3" t="s">
        <v>51182</v>
      </c>
      <c r="BG5341" s="3" t="s">
        <v>51184</v>
      </c>
    </row>
    <row r="5342" spans="1:59" ht="57" x14ac:dyDescent="0.45">
      <c r="A5342" s="2" t="s">
        <v>59</v>
      </c>
      <c r="B5342" s="2" t="s">
        <v>60</v>
      </c>
      <c r="C5342" s="2" t="s">
        <v>51185</v>
      </c>
      <c r="D5342" s="2" t="s">
        <v>51186</v>
      </c>
      <c r="E5342" s="2" t="s">
        <v>51187</v>
      </c>
      <c r="G5342" s="3" t="s">
        <v>62</v>
      </c>
      <c r="I5342" s="3" t="s">
        <v>62</v>
      </c>
      <c r="J5342" s="3" t="s">
        <v>62</v>
      </c>
      <c r="K5342" s="3" t="s">
        <v>63</v>
      </c>
      <c r="L5342" s="2" t="s">
        <v>51188</v>
      </c>
      <c r="M5342" s="2" t="s">
        <v>51189</v>
      </c>
      <c r="N5342" s="3" t="s">
        <v>1604</v>
      </c>
      <c r="P5342" s="3" t="s">
        <v>65</v>
      </c>
      <c r="Q5342" s="2" t="s">
        <v>51190</v>
      </c>
      <c r="R5342" s="3" t="s">
        <v>66</v>
      </c>
      <c r="S5342" s="4">
        <v>57</v>
      </c>
      <c r="T5342" s="4">
        <v>57</v>
      </c>
      <c r="U5342" s="5" t="s">
        <v>38607</v>
      </c>
      <c r="V5342" s="5" t="s">
        <v>38607</v>
      </c>
      <c r="W5342" s="5" t="s">
        <v>67</v>
      </c>
      <c r="X5342" s="5" t="s">
        <v>67</v>
      </c>
      <c r="Y5342" s="4">
        <v>170</v>
      </c>
      <c r="Z5342" s="4">
        <v>11</v>
      </c>
      <c r="AA5342" s="4">
        <v>13</v>
      </c>
      <c r="AB5342" s="4">
        <v>1</v>
      </c>
      <c r="AC5342" s="4">
        <v>1</v>
      </c>
      <c r="AD5342" s="4">
        <v>80</v>
      </c>
      <c r="AE5342" s="4">
        <v>83</v>
      </c>
      <c r="AF5342" s="4">
        <v>0</v>
      </c>
      <c r="AG5342" s="4">
        <v>0</v>
      </c>
      <c r="AH5342" s="4">
        <v>76</v>
      </c>
      <c r="AI5342" s="4">
        <v>78</v>
      </c>
      <c r="AJ5342" s="4">
        <v>9</v>
      </c>
      <c r="AK5342" s="4">
        <v>10</v>
      </c>
      <c r="AL5342" s="4">
        <v>47</v>
      </c>
      <c r="AM5342" s="4">
        <v>47</v>
      </c>
      <c r="AN5342" s="4">
        <v>0</v>
      </c>
      <c r="AO5342" s="4">
        <v>0</v>
      </c>
      <c r="AP5342" s="4">
        <v>9</v>
      </c>
      <c r="AQ5342" s="4">
        <v>11</v>
      </c>
      <c r="AR5342" s="3" t="s">
        <v>62</v>
      </c>
      <c r="AS5342" s="3" t="s">
        <v>62</v>
      </c>
      <c r="AT5342" s="3" t="s">
        <v>62</v>
      </c>
      <c r="AV5342" s="6" t="str">
        <f>HYPERLINK("http://mcgill.on.worldcat.org/oclc/30319341","Catalog Record")</f>
        <v>Catalog Record</v>
      </c>
      <c r="AW5342" s="6" t="str">
        <f>HYPERLINK("http://www.worldcat.org/oclc/30319341","WorldCat Record")</f>
        <v>WorldCat Record</v>
      </c>
      <c r="AX5342" s="3" t="s">
        <v>51191</v>
      </c>
      <c r="AY5342" s="3" t="s">
        <v>51192</v>
      </c>
      <c r="AZ5342" s="3" t="s">
        <v>51193</v>
      </c>
      <c r="BA5342" s="3" t="s">
        <v>51193</v>
      </c>
      <c r="BB5342" s="3" t="s">
        <v>51194</v>
      </c>
      <c r="BC5342" s="3" t="s">
        <v>142</v>
      </c>
      <c r="BD5342" s="3" t="s">
        <v>68</v>
      </c>
      <c r="BE5342" s="3" t="s">
        <v>51195</v>
      </c>
      <c r="BF5342" s="3" t="s">
        <v>51194</v>
      </c>
      <c r="BG5342" s="3" t="s">
        <v>51196</v>
      </c>
    </row>
    <row r="5343" spans="1:59" ht="57" x14ac:dyDescent="0.45">
      <c r="A5343" s="2" t="s">
        <v>59</v>
      </c>
      <c r="B5343" s="2" t="s">
        <v>60</v>
      </c>
      <c r="C5343" s="2" t="s">
        <v>51197</v>
      </c>
      <c r="D5343" s="2" t="s">
        <v>51198</v>
      </c>
      <c r="E5343" s="2" t="s">
        <v>51199</v>
      </c>
      <c r="G5343" s="3" t="s">
        <v>62</v>
      </c>
      <c r="I5343" s="3" t="s">
        <v>62</v>
      </c>
      <c r="J5343" s="3" t="s">
        <v>62</v>
      </c>
      <c r="K5343" s="3" t="s">
        <v>63</v>
      </c>
      <c r="M5343" s="2" t="s">
        <v>51200</v>
      </c>
      <c r="N5343" s="3" t="s">
        <v>1604</v>
      </c>
      <c r="P5343" s="3" t="s">
        <v>65</v>
      </c>
      <c r="Q5343" s="2" t="s">
        <v>51201</v>
      </c>
      <c r="R5343" s="3" t="s">
        <v>66</v>
      </c>
      <c r="S5343" s="4">
        <v>9</v>
      </c>
      <c r="T5343" s="4">
        <v>9</v>
      </c>
      <c r="U5343" s="5" t="s">
        <v>32124</v>
      </c>
      <c r="V5343" s="5" t="s">
        <v>32124</v>
      </c>
      <c r="W5343" s="5" t="s">
        <v>67</v>
      </c>
      <c r="X5343" s="5" t="s">
        <v>67</v>
      </c>
      <c r="Y5343" s="4">
        <v>165</v>
      </c>
      <c r="Z5343" s="4">
        <v>13</v>
      </c>
      <c r="AA5343" s="4">
        <v>83</v>
      </c>
      <c r="AB5343" s="4">
        <v>1</v>
      </c>
      <c r="AC5343" s="4">
        <v>14</v>
      </c>
      <c r="AD5343" s="4">
        <v>73</v>
      </c>
      <c r="AE5343" s="4">
        <v>127</v>
      </c>
      <c r="AF5343" s="4">
        <v>0</v>
      </c>
      <c r="AG5343" s="4">
        <v>8</v>
      </c>
      <c r="AH5343" s="4">
        <v>68</v>
      </c>
      <c r="AI5343" s="4">
        <v>91</v>
      </c>
      <c r="AJ5343" s="4">
        <v>11</v>
      </c>
      <c r="AK5343" s="4">
        <v>25</v>
      </c>
      <c r="AL5343" s="4">
        <v>42</v>
      </c>
      <c r="AM5343" s="4">
        <v>48</v>
      </c>
      <c r="AN5343" s="4">
        <v>0</v>
      </c>
      <c r="AO5343" s="4">
        <v>0</v>
      </c>
      <c r="AP5343" s="4">
        <v>11</v>
      </c>
      <c r="AQ5343" s="4">
        <v>45</v>
      </c>
      <c r="AR5343" s="3" t="s">
        <v>62</v>
      </c>
      <c r="AS5343" s="3" t="s">
        <v>62</v>
      </c>
      <c r="AT5343" s="3" t="s">
        <v>62</v>
      </c>
      <c r="AV5343" s="6" t="str">
        <f>HYPERLINK("http://mcgill.on.worldcat.org/oclc/30399307","Catalog Record")</f>
        <v>Catalog Record</v>
      </c>
      <c r="AW5343" s="6" t="str">
        <f>HYPERLINK("http://www.worldcat.org/oclc/30399307","WorldCat Record")</f>
        <v>WorldCat Record</v>
      </c>
      <c r="AX5343" s="3" t="s">
        <v>51202</v>
      </c>
      <c r="AY5343" s="3" t="s">
        <v>51203</v>
      </c>
      <c r="AZ5343" s="3" t="s">
        <v>51204</v>
      </c>
      <c r="BA5343" s="3" t="s">
        <v>51204</v>
      </c>
      <c r="BB5343" s="3" t="s">
        <v>51205</v>
      </c>
      <c r="BC5343" s="3" t="s">
        <v>142</v>
      </c>
      <c r="BD5343" s="3" t="s">
        <v>68</v>
      </c>
      <c r="BE5343" s="3" t="s">
        <v>51206</v>
      </c>
      <c r="BF5343" s="3" t="s">
        <v>51205</v>
      </c>
      <c r="BG5343" s="3" t="s">
        <v>51207</v>
      </c>
    </row>
    <row r="5344" spans="1:59" ht="57" x14ac:dyDescent="0.45">
      <c r="A5344" s="2" t="s">
        <v>59</v>
      </c>
      <c r="B5344" s="2" t="s">
        <v>60</v>
      </c>
      <c r="C5344" s="2" t="s">
        <v>51208</v>
      </c>
      <c r="D5344" s="2" t="s">
        <v>51209</v>
      </c>
      <c r="E5344" s="2" t="s">
        <v>51210</v>
      </c>
      <c r="G5344" s="3" t="s">
        <v>62</v>
      </c>
      <c r="I5344" s="3" t="s">
        <v>62</v>
      </c>
      <c r="J5344" s="3" t="s">
        <v>62</v>
      </c>
      <c r="K5344" s="3" t="s">
        <v>63</v>
      </c>
      <c r="M5344" s="2" t="s">
        <v>51211</v>
      </c>
      <c r="N5344" s="3" t="s">
        <v>820</v>
      </c>
      <c r="P5344" s="3" t="s">
        <v>65</v>
      </c>
      <c r="Q5344" s="2" t="s">
        <v>51212</v>
      </c>
      <c r="R5344" s="3" t="s">
        <v>66</v>
      </c>
      <c r="S5344" s="4">
        <v>3</v>
      </c>
      <c r="T5344" s="4">
        <v>3</v>
      </c>
      <c r="U5344" s="5" t="s">
        <v>3656</v>
      </c>
      <c r="V5344" s="5" t="s">
        <v>3656</v>
      </c>
      <c r="W5344" s="5" t="s">
        <v>67</v>
      </c>
      <c r="X5344" s="5" t="s">
        <v>67</v>
      </c>
      <c r="Y5344" s="4">
        <v>68</v>
      </c>
      <c r="Z5344" s="4">
        <v>4</v>
      </c>
      <c r="AA5344" s="4">
        <v>39</v>
      </c>
      <c r="AB5344" s="4">
        <v>1</v>
      </c>
      <c r="AC5344" s="4">
        <v>8</v>
      </c>
      <c r="AD5344" s="4">
        <v>25</v>
      </c>
      <c r="AE5344" s="4">
        <v>87</v>
      </c>
      <c r="AF5344" s="4">
        <v>0</v>
      </c>
      <c r="AG5344" s="4">
        <v>5</v>
      </c>
      <c r="AH5344" s="4">
        <v>21</v>
      </c>
      <c r="AI5344" s="4">
        <v>61</v>
      </c>
      <c r="AJ5344" s="4">
        <v>3</v>
      </c>
      <c r="AK5344" s="4">
        <v>20</v>
      </c>
      <c r="AL5344" s="4">
        <v>16</v>
      </c>
      <c r="AM5344" s="4">
        <v>33</v>
      </c>
      <c r="AN5344" s="4">
        <v>0</v>
      </c>
      <c r="AO5344" s="4">
        <v>0</v>
      </c>
      <c r="AP5344" s="4">
        <v>3</v>
      </c>
      <c r="AQ5344" s="4">
        <v>34</v>
      </c>
      <c r="AR5344" s="3" t="s">
        <v>62</v>
      </c>
      <c r="AS5344" s="3" t="s">
        <v>62</v>
      </c>
      <c r="AT5344" s="3" t="s">
        <v>62</v>
      </c>
      <c r="AV5344" s="6" t="str">
        <f>HYPERLINK("http://mcgill.on.worldcat.org/oclc/227276722","Catalog Record")</f>
        <v>Catalog Record</v>
      </c>
      <c r="AW5344" s="6" t="str">
        <f>HYPERLINK("http://www.worldcat.org/oclc/227276722","WorldCat Record")</f>
        <v>WorldCat Record</v>
      </c>
      <c r="AX5344" s="3" t="s">
        <v>51213</v>
      </c>
      <c r="AY5344" s="3" t="s">
        <v>51214</v>
      </c>
      <c r="AZ5344" s="3" t="s">
        <v>51215</v>
      </c>
      <c r="BA5344" s="3" t="s">
        <v>51215</v>
      </c>
      <c r="BB5344" s="3" t="s">
        <v>51216</v>
      </c>
      <c r="BC5344" s="3" t="s">
        <v>142</v>
      </c>
      <c r="BD5344" s="3" t="s">
        <v>68</v>
      </c>
      <c r="BE5344" s="3" t="s">
        <v>51217</v>
      </c>
      <c r="BF5344" s="3" t="s">
        <v>51216</v>
      </c>
      <c r="BG5344" s="3" t="s">
        <v>51218</v>
      </c>
    </row>
    <row r="5345" spans="1:59" ht="57" x14ac:dyDescent="0.45">
      <c r="A5345" s="2" t="s">
        <v>59</v>
      </c>
      <c r="B5345" s="2" t="s">
        <v>60</v>
      </c>
      <c r="C5345" s="2" t="s">
        <v>51219</v>
      </c>
      <c r="D5345" s="2" t="s">
        <v>51220</v>
      </c>
      <c r="E5345" s="2" t="s">
        <v>51221</v>
      </c>
      <c r="G5345" s="3" t="s">
        <v>62</v>
      </c>
      <c r="I5345" s="3" t="s">
        <v>62</v>
      </c>
      <c r="J5345" s="3" t="s">
        <v>62</v>
      </c>
      <c r="K5345" s="3" t="s">
        <v>63</v>
      </c>
      <c r="L5345" s="2" t="s">
        <v>51222</v>
      </c>
      <c r="M5345" s="2" t="s">
        <v>36682</v>
      </c>
      <c r="N5345" s="3" t="s">
        <v>149</v>
      </c>
      <c r="P5345" s="3" t="s">
        <v>65</v>
      </c>
      <c r="Q5345" s="2" t="s">
        <v>51223</v>
      </c>
      <c r="R5345" s="3" t="s">
        <v>66</v>
      </c>
      <c r="S5345" s="4">
        <v>2</v>
      </c>
      <c r="T5345" s="4">
        <v>2</v>
      </c>
      <c r="U5345" s="5" t="s">
        <v>10962</v>
      </c>
      <c r="V5345" s="5" t="s">
        <v>10962</v>
      </c>
      <c r="W5345" s="5" t="s">
        <v>67</v>
      </c>
      <c r="X5345" s="5" t="s">
        <v>67</v>
      </c>
      <c r="Y5345" s="4">
        <v>50</v>
      </c>
      <c r="Z5345" s="4">
        <v>3</v>
      </c>
      <c r="AA5345" s="4">
        <v>39</v>
      </c>
      <c r="AB5345" s="4">
        <v>1</v>
      </c>
      <c r="AC5345" s="4">
        <v>10</v>
      </c>
      <c r="AD5345" s="4">
        <v>16</v>
      </c>
      <c r="AE5345" s="4">
        <v>81</v>
      </c>
      <c r="AF5345" s="4">
        <v>0</v>
      </c>
      <c r="AG5345" s="4">
        <v>6</v>
      </c>
      <c r="AH5345" s="4">
        <v>13</v>
      </c>
      <c r="AI5345" s="4">
        <v>55</v>
      </c>
      <c r="AJ5345" s="4">
        <v>1</v>
      </c>
      <c r="AK5345" s="4">
        <v>18</v>
      </c>
      <c r="AL5345" s="4">
        <v>12</v>
      </c>
      <c r="AM5345" s="4">
        <v>28</v>
      </c>
      <c r="AN5345" s="4">
        <v>0</v>
      </c>
      <c r="AO5345" s="4">
        <v>0</v>
      </c>
      <c r="AP5345" s="4">
        <v>2</v>
      </c>
      <c r="AQ5345" s="4">
        <v>32</v>
      </c>
      <c r="AR5345" s="3" t="s">
        <v>62</v>
      </c>
      <c r="AS5345" s="3" t="s">
        <v>62</v>
      </c>
      <c r="AT5345" s="3" t="s">
        <v>62</v>
      </c>
      <c r="AV5345" s="6" t="str">
        <f>HYPERLINK("http://mcgill.on.worldcat.org/oclc/495781259","Catalog Record")</f>
        <v>Catalog Record</v>
      </c>
      <c r="AW5345" s="6" t="str">
        <f>HYPERLINK("http://www.worldcat.org/oclc/495781259","WorldCat Record")</f>
        <v>WorldCat Record</v>
      </c>
      <c r="AX5345" s="3" t="s">
        <v>51224</v>
      </c>
      <c r="AY5345" s="3" t="s">
        <v>51225</v>
      </c>
      <c r="AZ5345" s="3" t="s">
        <v>51226</v>
      </c>
      <c r="BA5345" s="3" t="s">
        <v>51226</v>
      </c>
      <c r="BB5345" s="3" t="s">
        <v>51227</v>
      </c>
      <c r="BC5345" s="3" t="s">
        <v>142</v>
      </c>
      <c r="BD5345" s="3" t="s">
        <v>68</v>
      </c>
      <c r="BE5345" s="3" t="s">
        <v>51228</v>
      </c>
      <c r="BF5345" s="3" t="s">
        <v>51227</v>
      </c>
      <c r="BG5345" s="3" t="s">
        <v>51229</v>
      </c>
    </row>
    <row r="5346" spans="1:59" ht="57" x14ac:dyDescent="0.45">
      <c r="A5346" s="2" t="s">
        <v>59</v>
      </c>
      <c r="B5346" s="2" t="s">
        <v>60</v>
      </c>
      <c r="C5346" s="2" t="s">
        <v>51230</v>
      </c>
      <c r="D5346" s="2" t="s">
        <v>51231</v>
      </c>
      <c r="E5346" s="2" t="s">
        <v>51232</v>
      </c>
      <c r="G5346" s="3" t="s">
        <v>62</v>
      </c>
      <c r="I5346" s="3" t="s">
        <v>62</v>
      </c>
      <c r="J5346" s="3" t="s">
        <v>62</v>
      </c>
      <c r="K5346" s="3" t="s">
        <v>63</v>
      </c>
      <c r="L5346" s="2" t="s">
        <v>51233</v>
      </c>
      <c r="M5346" s="2" t="s">
        <v>51234</v>
      </c>
      <c r="N5346" s="3" t="s">
        <v>542</v>
      </c>
      <c r="P5346" s="3" t="s">
        <v>65</v>
      </c>
      <c r="Q5346" s="2" t="s">
        <v>51235</v>
      </c>
      <c r="R5346" s="3" t="s">
        <v>66</v>
      </c>
      <c r="S5346" s="4">
        <v>7</v>
      </c>
      <c r="T5346" s="4">
        <v>7</v>
      </c>
      <c r="U5346" s="5" t="s">
        <v>169</v>
      </c>
      <c r="V5346" s="5" t="s">
        <v>169</v>
      </c>
      <c r="W5346" s="5" t="s">
        <v>67</v>
      </c>
      <c r="X5346" s="5" t="s">
        <v>67</v>
      </c>
      <c r="Y5346" s="4">
        <v>119</v>
      </c>
      <c r="Z5346" s="4">
        <v>11</v>
      </c>
      <c r="AA5346" s="4">
        <v>11</v>
      </c>
      <c r="AB5346" s="4">
        <v>2</v>
      </c>
      <c r="AC5346" s="4">
        <v>2</v>
      </c>
      <c r="AD5346" s="4">
        <v>61</v>
      </c>
      <c r="AE5346" s="4">
        <v>61</v>
      </c>
      <c r="AF5346" s="4">
        <v>0</v>
      </c>
      <c r="AG5346" s="4">
        <v>0</v>
      </c>
      <c r="AH5346" s="4">
        <v>57</v>
      </c>
      <c r="AI5346" s="4">
        <v>57</v>
      </c>
      <c r="AJ5346" s="4">
        <v>8</v>
      </c>
      <c r="AK5346" s="4">
        <v>8</v>
      </c>
      <c r="AL5346" s="4">
        <v>39</v>
      </c>
      <c r="AM5346" s="4">
        <v>39</v>
      </c>
      <c r="AN5346" s="4">
        <v>0</v>
      </c>
      <c r="AO5346" s="4">
        <v>0</v>
      </c>
      <c r="AP5346" s="4">
        <v>8</v>
      </c>
      <c r="AQ5346" s="4">
        <v>8</v>
      </c>
      <c r="AR5346" s="3" t="s">
        <v>62</v>
      </c>
      <c r="AS5346" s="3" t="s">
        <v>62</v>
      </c>
      <c r="AT5346" s="3" t="s">
        <v>62</v>
      </c>
      <c r="AV5346" s="6" t="str">
        <f>HYPERLINK("http://mcgill.on.worldcat.org/oclc/45654966","Catalog Record")</f>
        <v>Catalog Record</v>
      </c>
      <c r="AW5346" s="6" t="str">
        <f>HYPERLINK("http://www.worldcat.org/oclc/45654966","WorldCat Record")</f>
        <v>WorldCat Record</v>
      </c>
      <c r="AX5346" s="3" t="s">
        <v>51236</v>
      </c>
      <c r="AY5346" s="3" t="s">
        <v>51237</v>
      </c>
      <c r="AZ5346" s="3" t="s">
        <v>51238</v>
      </c>
      <c r="BA5346" s="3" t="s">
        <v>51238</v>
      </c>
      <c r="BB5346" s="3" t="s">
        <v>51239</v>
      </c>
      <c r="BC5346" s="3" t="s">
        <v>142</v>
      </c>
      <c r="BD5346" s="3" t="s">
        <v>68</v>
      </c>
      <c r="BE5346" s="3" t="s">
        <v>51240</v>
      </c>
      <c r="BF5346" s="3" t="s">
        <v>51239</v>
      </c>
      <c r="BG5346" s="3" t="s">
        <v>51241</v>
      </c>
    </row>
    <row r="5347" spans="1:59" ht="57" x14ac:dyDescent="0.45">
      <c r="A5347" s="2" t="s">
        <v>59</v>
      </c>
      <c r="B5347" s="2" t="s">
        <v>60</v>
      </c>
      <c r="C5347" s="2" t="s">
        <v>51242</v>
      </c>
      <c r="D5347" s="2" t="s">
        <v>51243</v>
      </c>
      <c r="E5347" s="2" t="s">
        <v>51244</v>
      </c>
      <c r="G5347" s="3" t="s">
        <v>62</v>
      </c>
      <c r="I5347" s="3" t="s">
        <v>62</v>
      </c>
      <c r="J5347" s="3" t="s">
        <v>62</v>
      </c>
      <c r="K5347" s="3" t="s">
        <v>63</v>
      </c>
      <c r="L5347" s="2" t="s">
        <v>50863</v>
      </c>
      <c r="M5347" s="2" t="s">
        <v>51245</v>
      </c>
      <c r="N5347" s="3" t="s">
        <v>958</v>
      </c>
      <c r="P5347" s="3" t="s">
        <v>65</v>
      </c>
      <c r="Q5347" s="2" t="s">
        <v>50918</v>
      </c>
      <c r="R5347" s="3" t="s">
        <v>66</v>
      </c>
      <c r="S5347" s="4">
        <v>28</v>
      </c>
      <c r="T5347" s="4">
        <v>28</v>
      </c>
      <c r="U5347" s="5" t="s">
        <v>169</v>
      </c>
      <c r="V5347" s="5" t="s">
        <v>169</v>
      </c>
      <c r="W5347" s="5" t="s">
        <v>67</v>
      </c>
      <c r="X5347" s="5" t="s">
        <v>67</v>
      </c>
      <c r="Y5347" s="4">
        <v>222</v>
      </c>
      <c r="Z5347" s="4">
        <v>13</v>
      </c>
      <c r="AA5347" s="4">
        <v>103</v>
      </c>
      <c r="AB5347" s="4">
        <v>1</v>
      </c>
      <c r="AC5347" s="4">
        <v>21</v>
      </c>
      <c r="AD5347" s="4">
        <v>91</v>
      </c>
      <c r="AE5347" s="4">
        <v>147</v>
      </c>
      <c r="AF5347" s="4">
        <v>0</v>
      </c>
      <c r="AG5347" s="4">
        <v>9</v>
      </c>
      <c r="AH5347" s="4">
        <v>86</v>
      </c>
      <c r="AI5347" s="4">
        <v>101</v>
      </c>
      <c r="AJ5347" s="4">
        <v>11</v>
      </c>
      <c r="AK5347" s="4">
        <v>25</v>
      </c>
      <c r="AL5347" s="4">
        <v>50</v>
      </c>
      <c r="AM5347" s="4">
        <v>54</v>
      </c>
      <c r="AN5347" s="4">
        <v>0</v>
      </c>
      <c r="AO5347" s="4">
        <v>0</v>
      </c>
      <c r="AP5347" s="4">
        <v>11</v>
      </c>
      <c r="AQ5347" s="4">
        <v>53</v>
      </c>
      <c r="AR5347" s="3" t="s">
        <v>62</v>
      </c>
      <c r="AS5347" s="3" t="s">
        <v>62</v>
      </c>
      <c r="AT5347" s="3" t="s">
        <v>62</v>
      </c>
      <c r="AV5347" s="6" t="str">
        <f>HYPERLINK("http://mcgill.on.worldcat.org/oclc/31411193","Catalog Record")</f>
        <v>Catalog Record</v>
      </c>
      <c r="AW5347" s="6" t="str">
        <f>HYPERLINK("http://www.worldcat.org/oclc/31411193","WorldCat Record")</f>
        <v>WorldCat Record</v>
      </c>
      <c r="AX5347" s="3" t="s">
        <v>51246</v>
      </c>
      <c r="AY5347" s="3" t="s">
        <v>51247</v>
      </c>
      <c r="AZ5347" s="3" t="s">
        <v>51248</v>
      </c>
      <c r="BA5347" s="3" t="s">
        <v>51248</v>
      </c>
      <c r="BB5347" s="3" t="s">
        <v>51249</v>
      </c>
      <c r="BC5347" s="3" t="s">
        <v>142</v>
      </c>
      <c r="BD5347" s="3" t="s">
        <v>68</v>
      </c>
      <c r="BE5347" s="3" t="s">
        <v>51250</v>
      </c>
      <c r="BF5347" s="3" t="s">
        <v>51249</v>
      </c>
      <c r="BG5347" s="3" t="s">
        <v>51251</v>
      </c>
    </row>
    <row r="5348" spans="1:59" ht="57" x14ac:dyDescent="0.45">
      <c r="A5348" s="2" t="s">
        <v>59</v>
      </c>
      <c r="B5348" s="2" t="s">
        <v>60</v>
      </c>
      <c r="C5348" s="2" t="s">
        <v>51252</v>
      </c>
      <c r="D5348" s="2" t="s">
        <v>51253</v>
      </c>
      <c r="E5348" s="2" t="s">
        <v>51254</v>
      </c>
      <c r="G5348" s="3" t="s">
        <v>62</v>
      </c>
      <c r="I5348" s="3" t="s">
        <v>62</v>
      </c>
      <c r="J5348" s="3" t="s">
        <v>62</v>
      </c>
      <c r="K5348" s="3" t="s">
        <v>63</v>
      </c>
      <c r="M5348" s="2" t="s">
        <v>47107</v>
      </c>
      <c r="N5348" s="3" t="s">
        <v>149</v>
      </c>
      <c r="P5348" s="3" t="s">
        <v>65</v>
      </c>
      <c r="Q5348" s="2" t="s">
        <v>51255</v>
      </c>
      <c r="R5348" s="3" t="s">
        <v>66</v>
      </c>
      <c r="S5348" s="4">
        <v>1</v>
      </c>
      <c r="T5348" s="4">
        <v>1</v>
      </c>
      <c r="U5348" s="5" t="s">
        <v>17253</v>
      </c>
      <c r="V5348" s="5" t="s">
        <v>17253</v>
      </c>
      <c r="W5348" s="5" t="s">
        <v>67</v>
      </c>
      <c r="X5348" s="5" t="s">
        <v>67</v>
      </c>
      <c r="Y5348" s="4">
        <v>72</v>
      </c>
      <c r="Z5348" s="4">
        <v>8</v>
      </c>
      <c r="AA5348" s="4">
        <v>113</v>
      </c>
      <c r="AB5348" s="4">
        <v>1</v>
      </c>
      <c r="AC5348" s="4">
        <v>17</v>
      </c>
      <c r="AD5348" s="4">
        <v>39</v>
      </c>
      <c r="AE5348" s="4">
        <v>120</v>
      </c>
      <c r="AF5348" s="4">
        <v>0</v>
      </c>
      <c r="AG5348" s="4">
        <v>8</v>
      </c>
      <c r="AH5348" s="4">
        <v>36</v>
      </c>
      <c r="AI5348" s="4">
        <v>81</v>
      </c>
      <c r="AJ5348" s="4">
        <v>6</v>
      </c>
      <c r="AK5348" s="4">
        <v>25</v>
      </c>
      <c r="AL5348" s="4">
        <v>23</v>
      </c>
      <c r="AM5348" s="4">
        <v>44</v>
      </c>
      <c r="AN5348" s="4">
        <v>0</v>
      </c>
      <c r="AO5348" s="4">
        <v>0</v>
      </c>
      <c r="AP5348" s="4">
        <v>6</v>
      </c>
      <c r="AQ5348" s="4">
        <v>47</v>
      </c>
      <c r="AR5348" s="3" t="s">
        <v>62</v>
      </c>
      <c r="AS5348" s="3" t="s">
        <v>62</v>
      </c>
      <c r="AT5348" s="3" t="s">
        <v>62</v>
      </c>
      <c r="AV5348" s="6" t="str">
        <f>HYPERLINK("http://mcgill.on.worldcat.org/oclc/432990846","Catalog Record")</f>
        <v>Catalog Record</v>
      </c>
      <c r="AW5348" s="6" t="str">
        <f>HYPERLINK("http://www.worldcat.org/oclc/432990846","WorldCat Record")</f>
        <v>WorldCat Record</v>
      </c>
      <c r="AX5348" s="3" t="s">
        <v>51256</v>
      </c>
      <c r="AY5348" s="3" t="s">
        <v>51257</v>
      </c>
      <c r="AZ5348" s="3" t="s">
        <v>51258</v>
      </c>
      <c r="BA5348" s="3" t="s">
        <v>51258</v>
      </c>
      <c r="BB5348" s="3" t="s">
        <v>51259</v>
      </c>
      <c r="BC5348" s="3" t="s">
        <v>142</v>
      </c>
      <c r="BD5348" s="3" t="s">
        <v>68</v>
      </c>
      <c r="BE5348" s="3" t="s">
        <v>51260</v>
      </c>
      <c r="BF5348" s="3" t="s">
        <v>51259</v>
      </c>
      <c r="BG5348" s="3" t="s">
        <v>51261</v>
      </c>
    </row>
    <row r="5349" spans="1:59" ht="57" x14ac:dyDescent="0.45">
      <c r="A5349" s="2" t="s">
        <v>59</v>
      </c>
      <c r="B5349" s="2" t="s">
        <v>60</v>
      </c>
      <c r="C5349" s="2" t="s">
        <v>51262</v>
      </c>
      <c r="D5349" s="2" t="s">
        <v>51263</v>
      </c>
      <c r="E5349" s="2" t="s">
        <v>51264</v>
      </c>
      <c r="G5349" s="3" t="s">
        <v>62</v>
      </c>
      <c r="I5349" s="3" t="s">
        <v>62</v>
      </c>
      <c r="J5349" s="3" t="s">
        <v>62</v>
      </c>
      <c r="K5349" s="3" t="s">
        <v>63</v>
      </c>
      <c r="M5349" s="2" t="s">
        <v>51265</v>
      </c>
      <c r="N5349" s="3" t="s">
        <v>208</v>
      </c>
      <c r="P5349" s="3" t="s">
        <v>65</v>
      </c>
      <c r="Q5349" s="2" t="s">
        <v>51266</v>
      </c>
      <c r="R5349" s="3" t="s">
        <v>66</v>
      </c>
      <c r="S5349" s="4">
        <v>1</v>
      </c>
      <c r="T5349" s="4">
        <v>1</v>
      </c>
      <c r="U5349" s="5" t="s">
        <v>51267</v>
      </c>
      <c r="V5349" s="5" t="s">
        <v>51267</v>
      </c>
      <c r="W5349" s="5" t="s">
        <v>67</v>
      </c>
      <c r="X5349" s="5" t="s">
        <v>67</v>
      </c>
      <c r="Y5349" s="4">
        <v>53</v>
      </c>
      <c r="Z5349" s="4">
        <v>5</v>
      </c>
      <c r="AA5349" s="4">
        <v>5</v>
      </c>
      <c r="AB5349" s="4">
        <v>1</v>
      </c>
      <c r="AC5349" s="4">
        <v>1</v>
      </c>
      <c r="AD5349" s="4">
        <v>31</v>
      </c>
      <c r="AE5349" s="4">
        <v>31</v>
      </c>
      <c r="AF5349" s="4">
        <v>0</v>
      </c>
      <c r="AG5349" s="4">
        <v>0</v>
      </c>
      <c r="AH5349" s="4">
        <v>29</v>
      </c>
      <c r="AI5349" s="4">
        <v>29</v>
      </c>
      <c r="AJ5349" s="4">
        <v>3</v>
      </c>
      <c r="AK5349" s="4">
        <v>3</v>
      </c>
      <c r="AL5349" s="4">
        <v>21</v>
      </c>
      <c r="AM5349" s="4">
        <v>21</v>
      </c>
      <c r="AN5349" s="4">
        <v>0</v>
      </c>
      <c r="AO5349" s="4">
        <v>0</v>
      </c>
      <c r="AP5349" s="4">
        <v>3</v>
      </c>
      <c r="AQ5349" s="4">
        <v>3</v>
      </c>
      <c r="AR5349" s="3" t="s">
        <v>62</v>
      </c>
      <c r="AS5349" s="3" t="s">
        <v>62</v>
      </c>
      <c r="AT5349" s="3" t="s">
        <v>62</v>
      </c>
      <c r="AV5349" s="6" t="str">
        <f>HYPERLINK("http://mcgill.on.worldcat.org/oclc/907526529","Catalog Record")</f>
        <v>Catalog Record</v>
      </c>
      <c r="AW5349" s="6" t="str">
        <f>HYPERLINK("http://www.worldcat.org/oclc/907526529","WorldCat Record")</f>
        <v>WorldCat Record</v>
      </c>
      <c r="AX5349" s="3" t="s">
        <v>51268</v>
      </c>
      <c r="AY5349" s="3" t="s">
        <v>51269</v>
      </c>
      <c r="AZ5349" s="3" t="s">
        <v>51270</v>
      </c>
      <c r="BA5349" s="3" t="s">
        <v>51270</v>
      </c>
      <c r="BB5349" s="3" t="s">
        <v>51271</v>
      </c>
      <c r="BC5349" s="3" t="s">
        <v>142</v>
      </c>
      <c r="BD5349" s="3" t="s">
        <v>68</v>
      </c>
      <c r="BE5349" s="3" t="s">
        <v>51272</v>
      </c>
      <c r="BF5349" s="3" t="s">
        <v>51271</v>
      </c>
      <c r="BG5349" s="3" t="s">
        <v>51273</v>
      </c>
    </row>
    <row r="5350" spans="1:59" ht="57" x14ac:dyDescent="0.45">
      <c r="A5350" s="2" t="s">
        <v>59</v>
      </c>
      <c r="B5350" s="2" t="s">
        <v>60</v>
      </c>
      <c r="C5350" s="2" t="s">
        <v>51274</v>
      </c>
      <c r="D5350" s="2" t="s">
        <v>51275</v>
      </c>
      <c r="E5350" s="2" t="s">
        <v>51276</v>
      </c>
      <c r="G5350" s="3" t="s">
        <v>62</v>
      </c>
      <c r="I5350" s="3" t="s">
        <v>62</v>
      </c>
      <c r="J5350" s="3" t="s">
        <v>62</v>
      </c>
      <c r="K5350" s="3" t="s">
        <v>63</v>
      </c>
      <c r="L5350" s="2" t="s">
        <v>51277</v>
      </c>
      <c r="M5350" s="2" t="s">
        <v>15013</v>
      </c>
      <c r="N5350" s="3" t="s">
        <v>807</v>
      </c>
      <c r="P5350" s="3" t="s">
        <v>65</v>
      </c>
      <c r="Q5350" s="2" t="s">
        <v>45963</v>
      </c>
      <c r="R5350" s="3" t="s">
        <v>66</v>
      </c>
      <c r="S5350" s="4">
        <v>6</v>
      </c>
      <c r="T5350" s="4">
        <v>6</v>
      </c>
      <c r="U5350" s="5" t="s">
        <v>31435</v>
      </c>
      <c r="V5350" s="5" t="s">
        <v>31435</v>
      </c>
      <c r="W5350" s="5" t="s">
        <v>67</v>
      </c>
      <c r="X5350" s="5" t="s">
        <v>67</v>
      </c>
      <c r="Y5350" s="4">
        <v>176</v>
      </c>
      <c r="Z5350" s="4">
        <v>17</v>
      </c>
      <c r="AA5350" s="4">
        <v>60</v>
      </c>
      <c r="AB5350" s="4">
        <v>2</v>
      </c>
      <c r="AC5350" s="4">
        <v>17</v>
      </c>
      <c r="AD5350" s="4">
        <v>74</v>
      </c>
      <c r="AE5350" s="4">
        <v>110</v>
      </c>
      <c r="AF5350" s="4">
        <v>1</v>
      </c>
      <c r="AG5350" s="4">
        <v>8</v>
      </c>
      <c r="AH5350" s="4">
        <v>66</v>
      </c>
      <c r="AI5350" s="4">
        <v>72</v>
      </c>
      <c r="AJ5350" s="4">
        <v>14</v>
      </c>
      <c r="AK5350" s="4">
        <v>23</v>
      </c>
      <c r="AL5350" s="4">
        <v>42</v>
      </c>
      <c r="AM5350" s="4">
        <v>43</v>
      </c>
      <c r="AN5350" s="4">
        <v>0</v>
      </c>
      <c r="AO5350" s="4">
        <v>0</v>
      </c>
      <c r="AP5350" s="4">
        <v>15</v>
      </c>
      <c r="AQ5350" s="4">
        <v>46</v>
      </c>
      <c r="AR5350" s="3" t="s">
        <v>62</v>
      </c>
      <c r="AS5350" s="3" t="s">
        <v>62</v>
      </c>
      <c r="AT5350" s="3" t="s">
        <v>62</v>
      </c>
      <c r="AV5350" s="6" t="str">
        <f>HYPERLINK("http://mcgill.on.worldcat.org/oclc/23213440","Catalog Record")</f>
        <v>Catalog Record</v>
      </c>
      <c r="AW5350" s="6" t="str">
        <f>HYPERLINK("http://www.worldcat.org/oclc/23213440","WorldCat Record")</f>
        <v>WorldCat Record</v>
      </c>
      <c r="AX5350" s="3" t="s">
        <v>51278</v>
      </c>
      <c r="AY5350" s="3" t="s">
        <v>51279</v>
      </c>
      <c r="AZ5350" s="3" t="s">
        <v>51280</v>
      </c>
      <c r="BA5350" s="3" t="s">
        <v>51280</v>
      </c>
      <c r="BB5350" s="3" t="s">
        <v>51281</v>
      </c>
      <c r="BC5350" s="3" t="s">
        <v>142</v>
      </c>
      <c r="BD5350" s="3" t="s">
        <v>68</v>
      </c>
      <c r="BE5350" s="3" t="s">
        <v>51282</v>
      </c>
      <c r="BF5350" s="3" t="s">
        <v>51281</v>
      </c>
      <c r="BG5350" s="3" t="s">
        <v>51283</v>
      </c>
    </row>
    <row r="5351" spans="1:59" ht="57" x14ac:dyDescent="0.45">
      <c r="A5351" s="2" t="s">
        <v>59</v>
      </c>
      <c r="B5351" s="2" t="s">
        <v>60</v>
      </c>
      <c r="C5351" s="2" t="s">
        <v>51284</v>
      </c>
      <c r="D5351" s="2" t="s">
        <v>51285</v>
      </c>
      <c r="E5351" s="2" t="s">
        <v>51286</v>
      </c>
      <c r="G5351" s="3" t="s">
        <v>62</v>
      </c>
      <c r="I5351" s="3" t="s">
        <v>62</v>
      </c>
      <c r="J5351" s="3" t="s">
        <v>62</v>
      </c>
      <c r="K5351" s="3" t="s">
        <v>63</v>
      </c>
      <c r="L5351" s="2" t="s">
        <v>51287</v>
      </c>
      <c r="M5351" s="2" t="s">
        <v>38050</v>
      </c>
      <c r="N5351" s="3" t="s">
        <v>1437</v>
      </c>
      <c r="P5351" s="3" t="s">
        <v>65</v>
      </c>
      <c r="Q5351" s="2" t="s">
        <v>51288</v>
      </c>
      <c r="R5351" s="3" t="s">
        <v>66</v>
      </c>
      <c r="S5351" s="4">
        <v>1</v>
      </c>
      <c r="T5351" s="4">
        <v>1</v>
      </c>
      <c r="U5351" s="5" t="s">
        <v>51289</v>
      </c>
      <c r="V5351" s="5" t="s">
        <v>51289</v>
      </c>
      <c r="W5351" s="5" t="s">
        <v>67</v>
      </c>
      <c r="X5351" s="5" t="s">
        <v>67</v>
      </c>
      <c r="Y5351" s="4">
        <v>135</v>
      </c>
      <c r="Z5351" s="4">
        <v>11</v>
      </c>
      <c r="AA5351" s="4">
        <v>94</v>
      </c>
      <c r="AB5351" s="4">
        <v>1</v>
      </c>
      <c r="AC5351" s="4">
        <v>17</v>
      </c>
      <c r="AD5351" s="4">
        <v>57</v>
      </c>
      <c r="AE5351" s="4">
        <v>118</v>
      </c>
      <c r="AF5351" s="4">
        <v>0</v>
      </c>
      <c r="AG5351" s="4">
        <v>8</v>
      </c>
      <c r="AH5351" s="4">
        <v>51</v>
      </c>
      <c r="AI5351" s="4">
        <v>82</v>
      </c>
      <c r="AJ5351" s="4">
        <v>9</v>
      </c>
      <c r="AK5351" s="4">
        <v>22</v>
      </c>
      <c r="AL5351" s="4">
        <v>34</v>
      </c>
      <c r="AM5351" s="4">
        <v>44</v>
      </c>
      <c r="AN5351" s="4">
        <v>0</v>
      </c>
      <c r="AO5351" s="4">
        <v>0</v>
      </c>
      <c r="AP5351" s="4">
        <v>9</v>
      </c>
      <c r="AQ5351" s="4">
        <v>43</v>
      </c>
      <c r="AR5351" s="3" t="s">
        <v>62</v>
      </c>
      <c r="AS5351" s="3" t="s">
        <v>62</v>
      </c>
      <c r="AT5351" s="3" t="s">
        <v>62</v>
      </c>
      <c r="AV5351" s="6" t="str">
        <f>HYPERLINK("http://mcgill.on.worldcat.org/oclc/38024060","Catalog Record")</f>
        <v>Catalog Record</v>
      </c>
      <c r="AW5351" s="6" t="str">
        <f>HYPERLINK("http://www.worldcat.org/oclc/38024060","WorldCat Record")</f>
        <v>WorldCat Record</v>
      </c>
      <c r="AX5351" s="3" t="s">
        <v>51290</v>
      </c>
      <c r="AY5351" s="3" t="s">
        <v>51291</v>
      </c>
      <c r="AZ5351" s="3" t="s">
        <v>51292</v>
      </c>
      <c r="BA5351" s="3" t="s">
        <v>51292</v>
      </c>
      <c r="BB5351" s="3" t="s">
        <v>51293</v>
      </c>
      <c r="BC5351" s="3" t="s">
        <v>142</v>
      </c>
      <c r="BD5351" s="3" t="s">
        <v>68</v>
      </c>
      <c r="BE5351" s="3" t="s">
        <v>51294</v>
      </c>
      <c r="BF5351" s="3" t="s">
        <v>51293</v>
      </c>
      <c r="BG5351" s="3" t="s">
        <v>51295</v>
      </c>
    </row>
    <row r="5352" spans="1:59" ht="57" x14ac:dyDescent="0.45">
      <c r="A5352" s="2" t="s">
        <v>59</v>
      </c>
      <c r="B5352" s="2" t="s">
        <v>60</v>
      </c>
      <c r="C5352" s="2" t="s">
        <v>51296</v>
      </c>
      <c r="D5352" s="2" t="s">
        <v>51297</v>
      </c>
      <c r="E5352" s="2" t="s">
        <v>51298</v>
      </c>
      <c r="G5352" s="3" t="s">
        <v>62</v>
      </c>
      <c r="I5352" s="3" t="s">
        <v>62</v>
      </c>
      <c r="J5352" s="3" t="s">
        <v>62</v>
      </c>
      <c r="K5352" s="3" t="s">
        <v>63</v>
      </c>
      <c r="M5352" s="2" t="s">
        <v>33598</v>
      </c>
      <c r="N5352" s="3" t="s">
        <v>970</v>
      </c>
      <c r="P5352" s="3" t="s">
        <v>65</v>
      </c>
      <c r="Q5352" s="2" t="s">
        <v>51299</v>
      </c>
      <c r="R5352" s="3" t="s">
        <v>66</v>
      </c>
      <c r="S5352" s="4">
        <v>7</v>
      </c>
      <c r="T5352" s="4">
        <v>7</v>
      </c>
      <c r="U5352" s="5" t="s">
        <v>169</v>
      </c>
      <c r="V5352" s="5" t="s">
        <v>169</v>
      </c>
      <c r="W5352" s="5" t="s">
        <v>67</v>
      </c>
      <c r="X5352" s="5" t="s">
        <v>67</v>
      </c>
      <c r="Y5352" s="4">
        <v>121</v>
      </c>
      <c r="Z5352" s="4">
        <v>9</v>
      </c>
      <c r="AA5352" s="4">
        <v>23</v>
      </c>
      <c r="AB5352" s="4">
        <v>1</v>
      </c>
      <c r="AC5352" s="4">
        <v>3</v>
      </c>
      <c r="AD5352" s="4">
        <v>60</v>
      </c>
      <c r="AE5352" s="4">
        <v>80</v>
      </c>
      <c r="AF5352" s="4">
        <v>0</v>
      </c>
      <c r="AG5352" s="4">
        <v>0</v>
      </c>
      <c r="AH5352" s="4">
        <v>57</v>
      </c>
      <c r="AI5352" s="4">
        <v>68</v>
      </c>
      <c r="AJ5352" s="4">
        <v>6</v>
      </c>
      <c r="AK5352" s="4">
        <v>9</v>
      </c>
      <c r="AL5352" s="4">
        <v>40</v>
      </c>
      <c r="AM5352" s="4">
        <v>44</v>
      </c>
      <c r="AN5352" s="4">
        <v>0</v>
      </c>
      <c r="AO5352" s="4">
        <v>0</v>
      </c>
      <c r="AP5352" s="4">
        <v>7</v>
      </c>
      <c r="AQ5352" s="4">
        <v>15</v>
      </c>
      <c r="AR5352" s="3" t="s">
        <v>62</v>
      </c>
      <c r="AS5352" s="3" t="s">
        <v>62</v>
      </c>
      <c r="AT5352" s="3" t="s">
        <v>61</v>
      </c>
      <c r="AU5352" s="6" t="str">
        <f>HYPERLINK("http://catalog.hathitrust.org/Record/007141979","HathiTrust Record")</f>
        <v>HathiTrust Record</v>
      </c>
      <c r="AV5352" s="6" t="str">
        <f>HYPERLINK("http://mcgill.on.worldcat.org/oclc/50554258","Catalog Record")</f>
        <v>Catalog Record</v>
      </c>
      <c r="AW5352" s="6" t="str">
        <f>HYPERLINK("http://www.worldcat.org/oclc/50554258","WorldCat Record")</f>
        <v>WorldCat Record</v>
      </c>
      <c r="AX5352" s="3" t="s">
        <v>51300</v>
      </c>
      <c r="AY5352" s="3" t="s">
        <v>51301</v>
      </c>
      <c r="AZ5352" s="3" t="s">
        <v>51302</v>
      </c>
      <c r="BA5352" s="3" t="s">
        <v>51302</v>
      </c>
      <c r="BB5352" s="3" t="s">
        <v>51303</v>
      </c>
      <c r="BC5352" s="3" t="s">
        <v>142</v>
      </c>
      <c r="BD5352" s="3" t="s">
        <v>68</v>
      </c>
      <c r="BE5352" s="3" t="s">
        <v>51304</v>
      </c>
      <c r="BF5352" s="3" t="s">
        <v>51303</v>
      </c>
      <c r="BG5352" s="3" t="s">
        <v>51305</v>
      </c>
    </row>
    <row r="5353" spans="1:59" ht="57" x14ac:dyDescent="0.45">
      <c r="A5353" s="2" t="s">
        <v>59</v>
      </c>
      <c r="B5353" s="2" t="s">
        <v>60</v>
      </c>
      <c r="C5353" s="2" t="s">
        <v>51306</v>
      </c>
      <c r="D5353" s="2" t="s">
        <v>51307</v>
      </c>
      <c r="E5353" s="2" t="s">
        <v>51308</v>
      </c>
      <c r="G5353" s="3" t="s">
        <v>62</v>
      </c>
      <c r="I5353" s="3" t="s">
        <v>62</v>
      </c>
      <c r="J5353" s="3" t="s">
        <v>62</v>
      </c>
      <c r="K5353" s="3" t="s">
        <v>63</v>
      </c>
      <c r="M5353" s="2" t="s">
        <v>8008</v>
      </c>
      <c r="N5353" s="3" t="s">
        <v>1097</v>
      </c>
      <c r="P5353" s="3" t="s">
        <v>65</v>
      </c>
      <c r="Q5353" s="2" t="s">
        <v>51309</v>
      </c>
      <c r="R5353" s="3" t="s">
        <v>66</v>
      </c>
      <c r="S5353" s="4">
        <v>2</v>
      </c>
      <c r="T5353" s="4">
        <v>2</v>
      </c>
      <c r="U5353" s="5" t="s">
        <v>10639</v>
      </c>
      <c r="V5353" s="5" t="s">
        <v>10639</v>
      </c>
      <c r="W5353" s="5" t="s">
        <v>67</v>
      </c>
      <c r="X5353" s="5" t="s">
        <v>67</v>
      </c>
      <c r="Y5353" s="4">
        <v>87</v>
      </c>
      <c r="Z5353" s="4">
        <v>9</v>
      </c>
      <c r="AA5353" s="4">
        <v>102</v>
      </c>
      <c r="AB5353" s="4">
        <v>1</v>
      </c>
      <c r="AC5353" s="4">
        <v>17</v>
      </c>
      <c r="AD5353" s="4">
        <v>41</v>
      </c>
      <c r="AE5353" s="4">
        <v>112</v>
      </c>
      <c r="AF5353" s="4">
        <v>0</v>
      </c>
      <c r="AG5353" s="4">
        <v>8</v>
      </c>
      <c r="AH5353" s="4">
        <v>36</v>
      </c>
      <c r="AI5353" s="4">
        <v>75</v>
      </c>
      <c r="AJ5353" s="4">
        <v>7</v>
      </c>
      <c r="AK5353" s="4">
        <v>22</v>
      </c>
      <c r="AL5353" s="4">
        <v>25</v>
      </c>
      <c r="AM5353" s="4">
        <v>38</v>
      </c>
      <c r="AN5353" s="4">
        <v>0</v>
      </c>
      <c r="AO5353" s="4">
        <v>0</v>
      </c>
      <c r="AP5353" s="4">
        <v>7</v>
      </c>
      <c r="AQ5353" s="4">
        <v>44</v>
      </c>
      <c r="AR5353" s="3" t="s">
        <v>62</v>
      </c>
      <c r="AS5353" s="3" t="s">
        <v>62</v>
      </c>
      <c r="AT5353" s="3" t="s">
        <v>62</v>
      </c>
      <c r="AV5353" s="6" t="str">
        <f>HYPERLINK("http://mcgill.on.worldcat.org/oclc/55286760","Catalog Record")</f>
        <v>Catalog Record</v>
      </c>
      <c r="AW5353" s="6" t="str">
        <f>HYPERLINK("http://www.worldcat.org/oclc/55286760","WorldCat Record")</f>
        <v>WorldCat Record</v>
      </c>
      <c r="AX5353" s="3" t="s">
        <v>51310</v>
      </c>
      <c r="AY5353" s="3" t="s">
        <v>51311</v>
      </c>
      <c r="AZ5353" s="3" t="s">
        <v>51312</v>
      </c>
      <c r="BA5353" s="3" t="s">
        <v>51312</v>
      </c>
      <c r="BB5353" s="3" t="s">
        <v>51313</v>
      </c>
      <c r="BC5353" s="3" t="s">
        <v>142</v>
      </c>
      <c r="BD5353" s="3" t="s">
        <v>68</v>
      </c>
      <c r="BE5353" s="3" t="s">
        <v>51314</v>
      </c>
      <c r="BF5353" s="3" t="s">
        <v>51313</v>
      </c>
      <c r="BG5353" s="3" t="s">
        <v>51315</v>
      </c>
    </row>
    <row r="5354" spans="1:59" ht="57" x14ac:dyDescent="0.45">
      <c r="A5354" s="2" t="s">
        <v>59</v>
      </c>
      <c r="B5354" s="2" t="s">
        <v>60</v>
      </c>
      <c r="C5354" s="2" t="s">
        <v>51316</v>
      </c>
      <c r="D5354" s="2" t="s">
        <v>51317</v>
      </c>
      <c r="E5354" s="2" t="s">
        <v>51318</v>
      </c>
      <c r="G5354" s="3" t="s">
        <v>62</v>
      </c>
      <c r="I5354" s="3" t="s">
        <v>62</v>
      </c>
      <c r="J5354" s="3" t="s">
        <v>62</v>
      </c>
      <c r="K5354" s="3" t="s">
        <v>63</v>
      </c>
      <c r="M5354" s="2" t="s">
        <v>51319</v>
      </c>
      <c r="N5354" s="3" t="s">
        <v>116</v>
      </c>
      <c r="P5354" s="3" t="s">
        <v>326</v>
      </c>
      <c r="Q5354" s="2" t="s">
        <v>51320</v>
      </c>
      <c r="R5354" s="3" t="s">
        <v>66</v>
      </c>
      <c r="S5354" s="4">
        <v>0</v>
      </c>
      <c r="T5354" s="4">
        <v>0</v>
      </c>
      <c r="W5354" s="5" t="s">
        <v>67</v>
      </c>
      <c r="X5354" s="5" t="s">
        <v>67</v>
      </c>
      <c r="Y5354" s="4">
        <v>46</v>
      </c>
      <c r="Z5354" s="4">
        <v>4</v>
      </c>
      <c r="AA5354" s="4">
        <v>4</v>
      </c>
      <c r="AB5354" s="4">
        <v>1</v>
      </c>
      <c r="AC5354" s="4">
        <v>1</v>
      </c>
      <c r="AD5354" s="4">
        <v>28</v>
      </c>
      <c r="AE5354" s="4">
        <v>33</v>
      </c>
      <c r="AF5354" s="4">
        <v>0</v>
      </c>
      <c r="AG5354" s="4">
        <v>0</v>
      </c>
      <c r="AH5354" s="4">
        <v>27</v>
      </c>
      <c r="AI5354" s="4">
        <v>32</v>
      </c>
      <c r="AJ5354" s="4">
        <v>2</v>
      </c>
      <c r="AK5354" s="4">
        <v>2</v>
      </c>
      <c r="AL5354" s="4">
        <v>21</v>
      </c>
      <c r="AM5354" s="4">
        <v>22</v>
      </c>
      <c r="AN5354" s="4">
        <v>0</v>
      </c>
      <c r="AO5354" s="4">
        <v>0</v>
      </c>
      <c r="AP5354" s="4">
        <v>2</v>
      </c>
      <c r="AQ5354" s="4">
        <v>2</v>
      </c>
      <c r="AR5354" s="3" t="s">
        <v>62</v>
      </c>
      <c r="AS5354" s="3" t="s">
        <v>62</v>
      </c>
      <c r="AT5354" s="3" t="s">
        <v>62</v>
      </c>
      <c r="AV5354" s="6" t="str">
        <f>HYPERLINK("http://mcgill.on.worldcat.org/oclc/873936178","Catalog Record")</f>
        <v>Catalog Record</v>
      </c>
      <c r="AW5354" s="6" t="str">
        <f>HYPERLINK("http://www.worldcat.org/oclc/873936178","WorldCat Record")</f>
        <v>WorldCat Record</v>
      </c>
      <c r="AX5354" s="3" t="s">
        <v>51321</v>
      </c>
      <c r="AY5354" s="3" t="s">
        <v>51322</v>
      </c>
      <c r="AZ5354" s="3" t="s">
        <v>51323</v>
      </c>
      <c r="BA5354" s="3" t="s">
        <v>51323</v>
      </c>
      <c r="BB5354" s="3" t="s">
        <v>51324</v>
      </c>
      <c r="BC5354" s="3" t="s">
        <v>142</v>
      </c>
      <c r="BD5354" s="3" t="s">
        <v>68</v>
      </c>
      <c r="BE5354" s="3" t="s">
        <v>51325</v>
      </c>
      <c r="BF5354" s="3" t="s">
        <v>51324</v>
      </c>
      <c r="BG5354" s="3" t="s">
        <v>51326</v>
      </c>
    </row>
    <row r="5355" spans="1:59" ht="57" x14ac:dyDescent="0.45">
      <c r="A5355" s="2" t="s">
        <v>59</v>
      </c>
      <c r="B5355" s="2" t="s">
        <v>60</v>
      </c>
      <c r="C5355" s="2" t="s">
        <v>51327</v>
      </c>
      <c r="D5355" s="2" t="s">
        <v>51328</v>
      </c>
      <c r="E5355" s="2" t="s">
        <v>51329</v>
      </c>
      <c r="G5355" s="3" t="s">
        <v>62</v>
      </c>
      <c r="I5355" s="3" t="s">
        <v>62</v>
      </c>
      <c r="J5355" s="3" t="s">
        <v>62</v>
      </c>
      <c r="K5355" s="3" t="s">
        <v>63</v>
      </c>
      <c r="L5355" s="2" t="s">
        <v>51330</v>
      </c>
      <c r="M5355" s="2" t="s">
        <v>35914</v>
      </c>
      <c r="N5355" s="3" t="s">
        <v>1253</v>
      </c>
      <c r="P5355" s="3" t="s">
        <v>65</v>
      </c>
      <c r="Q5355" s="2" t="s">
        <v>51331</v>
      </c>
      <c r="R5355" s="3" t="s">
        <v>66</v>
      </c>
      <c r="S5355" s="4">
        <v>12</v>
      </c>
      <c r="T5355" s="4">
        <v>12</v>
      </c>
      <c r="U5355" s="5" t="s">
        <v>10639</v>
      </c>
      <c r="V5355" s="5" t="s">
        <v>10639</v>
      </c>
      <c r="W5355" s="5" t="s">
        <v>67</v>
      </c>
      <c r="X5355" s="5" t="s">
        <v>67</v>
      </c>
      <c r="Y5355" s="4">
        <v>132</v>
      </c>
      <c r="Z5355" s="4">
        <v>12</v>
      </c>
      <c r="AA5355" s="4">
        <v>97</v>
      </c>
      <c r="AB5355" s="4">
        <v>1</v>
      </c>
      <c r="AC5355" s="4">
        <v>17</v>
      </c>
      <c r="AD5355" s="4">
        <v>66</v>
      </c>
      <c r="AE5355" s="4">
        <v>129</v>
      </c>
      <c r="AF5355" s="4">
        <v>0</v>
      </c>
      <c r="AG5355" s="4">
        <v>8</v>
      </c>
      <c r="AH5355" s="4">
        <v>63</v>
      </c>
      <c r="AI5355" s="4">
        <v>93</v>
      </c>
      <c r="AJ5355" s="4">
        <v>10</v>
      </c>
      <c r="AK5355" s="4">
        <v>24</v>
      </c>
      <c r="AL5355" s="4">
        <v>37</v>
      </c>
      <c r="AM5355" s="4">
        <v>49</v>
      </c>
      <c r="AN5355" s="4">
        <v>0</v>
      </c>
      <c r="AO5355" s="4">
        <v>0</v>
      </c>
      <c r="AP5355" s="4">
        <v>10</v>
      </c>
      <c r="AQ5355" s="4">
        <v>45</v>
      </c>
      <c r="AR5355" s="3" t="s">
        <v>62</v>
      </c>
      <c r="AS5355" s="3" t="s">
        <v>62</v>
      </c>
      <c r="AT5355" s="3" t="s">
        <v>61</v>
      </c>
      <c r="AU5355" s="6" t="str">
        <f>HYPERLINK("http://catalog.hathitrust.org/Record/004032139","HathiTrust Record")</f>
        <v>HathiTrust Record</v>
      </c>
      <c r="AV5355" s="6" t="str">
        <f>HYPERLINK("http://mcgill.on.worldcat.org/oclc/37792483","Catalog Record")</f>
        <v>Catalog Record</v>
      </c>
      <c r="AW5355" s="6" t="str">
        <f>HYPERLINK("http://www.worldcat.org/oclc/37792483","WorldCat Record")</f>
        <v>WorldCat Record</v>
      </c>
      <c r="AX5355" s="3" t="s">
        <v>51332</v>
      </c>
      <c r="AY5355" s="3" t="s">
        <v>51333</v>
      </c>
      <c r="AZ5355" s="3" t="s">
        <v>51334</v>
      </c>
      <c r="BA5355" s="3" t="s">
        <v>51334</v>
      </c>
      <c r="BB5355" s="3" t="s">
        <v>51335</v>
      </c>
      <c r="BC5355" s="3" t="s">
        <v>142</v>
      </c>
      <c r="BD5355" s="3" t="s">
        <v>68</v>
      </c>
      <c r="BE5355" s="3" t="s">
        <v>51336</v>
      </c>
      <c r="BF5355" s="3" t="s">
        <v>51335</v>
      </c>
      <c r="BG5355" s="3" t="s">
        <v>51337</v>
      </c>
    </row>
    <row r="5356" spans="1:59" ht="57" x14ac:dyDescent="0.45">
      <c r="A5356" s="2" t="s">
        <v>59</v>
      </c>
      <c r="B5356" s="2" t="s">
        <v>60</v>
      </c>
      <c r="C5356" s="2" t="s">
        <v>51338</v>
      </c>
      <c r="D5356" s="2" t="s">
        <v>51339</v>
      </c>
      <c r="E5356" s="2" t="s">
        <v>51340</v>
      </c>
      <c r="G5356" s="3" t="s">
        <v>62</v>
      </c>
      <c r="I5356" s="3" t="s">
        <v>62</v>
      </c>
      <c r="J5356" s="3" t="s">
        <v>62</v>
      </c>
      <c r="K5356" s="3" t="s">
        <v>63</v>
      </c>
      <c r="L5356" s="2" t="s">
        <v>51341</v>
      </c>
      <c r="M5356" s="2" t="s">
        <v>1178</v>
      </c>
      <c r="N5356" s="3" t="s">
        <v>894</v>
      </c>
      <c r="P5356" s="3" t="s">
        <v>65</v>
      </c>
      <c r="Q5356" s="2" t="s">
        <v>51342</v>
      </c>
      <c r="R5356" s="3" t="s">
        <v>66</v>
      </c>
      <c r="S5356" s="4">
        <v>1</v>
      </c>
      <c r="T5356" s="4">
        <v>1</v>
      </c>
      <c r="U5356" s="5" t="s">
        <v>22734</v>
      </c>
      <c r="V5356" s="5" t="s">
        <v>22734</v>
      </c>
      <c r="W5356" s="5" t="s">
        <v>67</v>
      </c>
      <c r="X5356" s="5" t="s">
        <v>67</v>
      </c>
      <c r="Y5356" s="4">
        <v>57</v>
      </c>
      <c r="Z5356" s="4">
        <v>8</v>
      </c>
      <c r="AA5356" s="4">
        <v>91</v>
      </c>
      <c r="AB5356" s="4">
        <v>1</v>
      </c>
      <c r="AC5356" s="4">
        <v>17</v>
      </c>
      <c r="AD5356" s="4">
        <v>27</v>
      </c>
      <c r="AE5356" s="4">
        <v>104</v>
      </c>
      <c r="AF5356" s="4">
        <v>0</v>
      </c>
      <c r="AG5356" s="4">
        <v>8</v>
      </c>
      <c r="AH5356" s="4">
        <v>26</v>
      </c>
      <c r="AI5356" s="4">
        <v>70</v>
      </c>
      <c r="AJ5356" s="4">
        <v>6</v>
      </c>
      <c r="AK5356" s="4">
        <v>22</v>
      </c>
      <c r="AL5356" s="4">
        <v>17</v>
      </c>
      <c r="AM5356" s="4">
        <v>35</v>
      </c>
      <c r="AN5356" s="4">
        <v>0</v>
      </c>
      <c r="AO5356" s="4">
        <v>0</v>
      </c>
      <c r="AP5356" s="4">
        <v>6</v>
      </c>
      <c r="AQ5356" s="4">
        <v>43</v>
      </c>
      <c r="AR5356" s="3" t="s">
        <v>62</v>
      </c>
      <c r="AS5356" s="3" t="s">
        <v>62</v>
      </c>
      <c r="AT5356" s="3" t="s">
        <v>62</v>
      </c>
      <c r="AV5356" s="6" t="str">
        <f>HYPERLINK("http://mcgill.on.worldcat.org/oclc/699010229","Catalog Record")</f>
        <v>Catalog Record</v>
      </c>
      <c r="AW5356" s="6" t="str">
        <f>HYPERLINK("http://www.worldcat.org/oclc/699010229","WorldCat Record")</f>
        <v>WorldCat Record</v>
      </c>
      <c r="AX5356" s="3" t="s">
        <v>51343</v>
      </c>
      <c r="AY5356" s="3" t="s">
        <v>51344</v>
      </c>
      <c r="AZ5356" s="3" t="s">
        <v>51345</v>
      </c>
      <c r="BA5356" s="3" t="s">
        <v>51345</v>
      </c>
      <c r="BB5356" s="3" t="s">
        <v>51346</v>
      </c>
      <c r="BC5356" s="3" t="s">
        <v>142</v>
      </c>
      <c r="BD5356" s="3" t="s">
        <v>68</v>
      </c>
      <c r="BE5356" s="3" t="s">
        <v>51347</v>
      </c>
      <c r="BF5356" s="3" t="s">
        <v>51346</v>
      </c>
      <c r="BG5356" s="3" t="s">
        <v>51348</v>
      </c>
    </row>
    <row r="5357" spans="1:59" ht="57" x14ac:dyDescent="0.45">
      <c r="A5357" s="2" t="s">
        <v>59</v>
      </c>
      <c r="B5357" s="2" t="s">
        <v>60</v>
      </c>
      <c r="C5357" s="2" t="s">
        <v>51349</v>
      </c>
      <c r="D5357" s="2" t="s">
        <v>51350</v>
      </c>
      <c r="E5357" s="2" t="s">
        <v>51351</v>
      </c>
      <c r="G5357" s="3" t="s">
        <v>62</v>
      </c>
      <c r="I5357" s="3" t="s">
        <v>62</v>
      </c>
      <c r="J5357" s="3" t="s">
        <v>62</v>
      </c>
      <c r="K5357" s="3" t="s">
        <v>63</v>
      </c>
      <c r="L5357" s="2" t="s">
        <v>50604</v>
      </c>
      <c r="M5357" s="2" t="s">
        <v>1325</v>
      </c>
      <c r="N5357" s="3" t="s">
        <v>167</v>
      </c>
      <c r="P5357" s="3" t="s">
        <v>65</v>
      </c>
      <c r="Q5357" s="2" t="s">
        <v>50918</v>
      </c>
      <c r="R5357" s="3" t="s">
        <v>66</v>
      </c>
      <c r="S5357" s="4">
        <v>43</v>
      </c>
      <c r="T5357" s="4">
        <v>43</v>
      </c>
      <c r="U5357" s="5" t="s">
        <v>2609</v>
      </c>
      <c r="V5357" s="5" t="s">
        <v>2609</v>
      </c>
      <c r="W5357" s="5" t="s">
        <v>67</v>
      </c>
      <c r="X5357" s="5" t="s">
        <v>67</v>
      </c>
      <c r="Y5357" s="4">
        <v>234</v>
      </c>
      <c r="Z5357" s="4">
        <v>18</v>
      </c>
      <c r="AA5357" s="4">
        <v>115</v>
      </c>
      <c r="AB5357" s="4">
        <v>1</v>
      </c>
      <c r="AC5357" s="4">
        <v>23</v>
      </c>
      <c r="AD5357" s="4">
        <v>100</v>
      </c>
      <c r="AE5357" s="4">
        <v>155</v>
      </c>
      <c r="AF5357" s="4">
        <v>0</v>
      </c>
      <c r="AG5357" s="4">
        <v>9</v>
      </c>
      <c r="AH5357" s="4">
        <v>91</v>
      </c>
      <c r="AI5357" s="4">
        <v>105</v>
      </c>
      <c r="AJ5357" s="4">
        <v>14</v>
      </c>
      <c r="AK5357" s="4">
        <v>27</v>
      </c>
      <c r="AL5357" s="4">
        <v>55</v>
      </c>
      <c r="AM5357" s="4">
        <v>59</v>
      </c>
      <c r="AN5357" s="4">
        <v>0</v>
      </c>
      <c r="AO5357" s="4">
        <v>0</v>
      </c>
      <c r="AP5357" s="4">
        <v>16</v>
      </c>
      <c r="AQ5357" s="4">
        <v>57</v>
      </c>
      <c r="AR5357" s="3" t="s">
        <v>62</v>
      </c>
      <c r="AS5357" s="3" t="s">
        <v>62</v>
      </c>
      <c r="AT5357" s="3" t="s">
        <v>61</v>
      </c>
      <c r="AU5357" s="6" t="str">
        <f>HYPERLINK("http://catalog.hathitrust.org/Record/004028464","HathiTrust Record")</f>
        <v>HathiTrust Record</v>
      </c>
      <c r="AV5357" s="6" t="str">
        <f>HYPERLINK("http://mcgill.on.worldcat.org/oclc/38989868","Catalog Record")</f>
        <v>Catalog Record</v>
      </c>
      <c r="AW5357" s="6" t="str">
        <f>HYPERLINK("http://www.worldcat.org/oclc/38989868","WorldCat Record")</f>
        <v>WorldCat Record</v>
      </c>
      <c r="AX5357" s="3" t="s">
        <v>51352</v>
      </c>
      <c r="AY5357" s="3" t="s">
        <v>51353</v>
      </c>
      <c r="AZ5357" s="3" t="s">
        <v>51354</v>
      </c>
      <c r="BA5357" s="3" t="s">
        <v>51354</v>
      </c>
      <c r="BB5357" s="3" t="s">
        <v>51355</v>
      </c>
      <c r="BC5357" s="3" t="s">
        <v>142</v>
      </c>
      <c r="BD5357" s="3" t="s">
        <v>68</v>
      </c>
      <c r="BE5357" s="3" t="s">
        <v>51356</v>
      </c>
      <c r="BF5357" s="3" t="s">
        <v>51355</v>
      </c>
      <c r="BG5357" s="3" t="s">
        <v>51357</v>
      </c>
    </row>
    <row r="5358" spans="1:59" ht="57" x14ac:dyDescent="0.45">
      <c r="A5358" s="2" t="s">
        <v>59</v>
      </c>
      <c r="B5358" s="2" t="s">
        <v>60</v>
      </c>
      <c r="C5358" s="2" t="s">
        <v>51358</v>
      </c>
      <c r="D5358" s="2" t="s">
        <v>51359</v>
      </c>
      <c r="E5358" s="2" t="s">
        <v>51360</v>
      </c>
      <c r="G5358" s="3" t="s">
        <v>62</v>
      </c>
      <c r="I5358" s="3" t="s">
        <v>62</v>
      </c>
      <c r="J5358" s="3" t="s">
        <v>62</v>
      </c>
      <c r="K5358" s="3" t="s">
        <v>63</v>
      </c>
      <c r="L5358" s="2" t="s">
        <v>51361</v>
      </c>
      <c r="M5358" s="2" t="s">
        <v>41729</v>
      </c>
      <c r="N5358" s="3" t="s">
        <v>208</v>
      </c>
      <c r="P5358" s="3" t="s">
        <v>65</v>
      </c>
      <c r="Q5358" s="2" t="s">
        <v>51362</v>
      </c>
      <c r="R5358" s="3" t="s">
        <v>66</v>
      </c>
      <c r="S5358" s="4">
        <v>0</v>
      </c>
      <c r="T5358" s="4">
        <v>0</v>
      </c>
      <c r="W5358" s="5" t="s">
        <v>67</v>
      </c>
      <c r="X5358" s="5" t="s">
        <v>67</v>
      </c>
      <c r="Y5358" s="4">
        <v>73</v>
      </c>
      <c r="Z5358" s="4">
        <v>6</v>
      </c>
      <c r="AA5358" s="4">
        <v>79</v>
      </c>
      <c r="AB5358" s="4">
        <v>1</v>
      </c>
      <c r="AC5358" s="4">
        <v>14</v>
      </c>
      <c r="AD5358" s="4">
        <v>30</v>
      </c>
      <c r="AE5358" s="4">
        <v>106</v>
      </c>
      <c r="AF5358" s="4">
        <v>0</v>
      </c>
      <c r="AG5358" s="4">
        <v>8</v>
      </c>
      <c r="AH5358" s="4">
        <v>28</v>
      </c>
      <c r="AI5358" s="4">
        <v>72</v>
      </c>
      <c r="AJ5358" s="4">
        <v>4</v>
      </c>
      <c r="AK5358" s="4">
        <v>22</v>
      </c>
      <c r="AL5358" s="4">
        <v>19</v>
      </c>
      <c r="AM5358" s="4">
        <v>37</v>
      </c>
      <c r="AN5358" s="4">
        <v>0</v>
      </c>
      <c r="AO5358" s="4">
        <v>0</v>
      </c>
      <c r="AP5358" s="4">
        <v>4</v>
      </c>
      <c r="AQ5358" s="4">
        <v>42</v>
      </c>
      <c r="AR5358" s="3" t="s">
        <v>62</v>
      </c>
      <c r="AS5358" s="3" t="s">
        <v>62</v>
      </c>
      <c r="AT5358" s="3" t="s">
        <v>62</v>
      </c>
      <c r="AV5358" s="6" t="str">
        <f>HYPERLINK("http://mcgill.on.worldcat.org/oclc/910596115","Catalog Record")</f>
        <v>Catalog Record</v>
      </c>
      <c r="AW5358" s="6" t="str">
        <f>HYPERLINK("http://www.worldcat.org/oclc/910596115","WorldCat Record")</f>
        <v>WorldCat Record</v>
      </c>
      <c r="AX5358" s="3" t="s">
        <v>51363</v>
      </c>
      <c r="AY5358" s="3" t="s">
        <v>51364</v>
      </c>
      <c r="AZ5358" s="3" t="s">
        <v>51365</v>
      </c>
      <c r="BA5358" s="3" t="s">
        <v>51365</v>
      </c>
      <c r="BB5358" s="3" t="s">
        <v>51366</v>
      </c>
      <c r="BC5358" s="3" t="s">
        <v>142</v>
      </c>
      <c r="BD5358" s="3" t="s">
        <v>68</v>
      </c>
      <c r="BE5358" s="3" t="s">
        <v>51367</v>
      </c>
      <c r="BF5358" s="3" t="s">
        <v>51366</v>
      </c>
      <c r="BG5358" s="3" t="s">
        <v>51368</v>
      </c>
    </row>
    <row r="5359" spans="1:59" ht="57" x14ac:dyDescent="0.45">
      <c r="A5359" s="2" t="s">
        <v>59</v>
      </c>
      <c r="B5359" s="2" t="s">
        <v>60</v>
      </c>
      <c r="C5359" s="2" t="s">
        <v>51369</v>
      </c>
      <c r="D5359" s="2" t="s">
        <v>51370</v>
      </c>
      <c r="E5359" s="2" t="s">
        <v>51371</v>
      </c>
      <c r="G5359" s="3" t="s">
        <v>62</v>
      </c>
      <c r="I5359" s="3" t="s">
        <v>62</v>
      </c>
      <c r="J5359" s="3" t="s">
        <v>62</v>
      </c>
      <c r="K5359" s="3" t="s">
        <v>63</v>
      </c>
      <c r="M5359" s="2" t="s">
        <v>51372</v>
      </c>
      <c r="N5359" s="3" t="s">
        <v>116</v>
      </c>
      <c r="P5359" s="3" t="s">
        <v>65</v>
      </c>
      <c r="Q5359" s="2" t="s">
        <v>51373</v>
      </c>
      <c r="R5359" s="3" t="s">
        <v>66</v>
      </c>
      <c r="S5359" s="4">
        <v>0</v>
      </c>
      <c r="T5359" s="4">
        <v>0</v>
      </c>
      <c r="W5359" s="5" t="s">
        <v>67</v>
      </c>
      <c r="X5359" s="5" t="s">
        <v>67</v>
      </c>
      <c r="Y5359" s="4">
        <v>47</v>
      </c>
      <c r="Z5359" s="4">
        <v>2</v>
      </c>
      <c r="AA5359" s="4">
        <v>60</v>
      </c>
      <c r="AB5359" s="4">
        <v>1</v>
      </c>
      <c r="AC5359" s="4">
        <v>7</v>
      </c>
      <c r="AD5359" s="4">
        <v>16</v>
      </c>
      <c r="AE5359" s="4">
        <v>78</v>
      </c>
      <c r="AF5359" s="4">
        <v>0</v>
      </c>
      <c r="AG5359" s="4">
        <v>4</v>
      </c>
      <c r="AH5359" s="4">
        <v>14</v>
      </c>
      <c r="AI5359" s="4">
        <v>49</v>
      </c>
      <c r="AJ5359" s="4">
        <v>1</v>
      </c>
      <c r="AK5359" s="4">
        <v>21</v>
      </c>
      <c r="AL5359" s="4">
        <v>13</v>
      </c>
      <c r="AM5359" s="4">
        <v>25</v>
      </c>
      <c r="AN5359" s="4">
        <v>0</v>
      </c>
      <c r="AO5359" s="4">
        <v>0</v>
      </c>
      <c r="AP5359" s="4">
        <v>1</v>
      </c>
      <c r="AQ5359" s="4">
        <v>34</v>
      </c>
      <c r="AR5359" s="3" t="s">
        <v>62</v>
      </c>
      <c r="AS5359" s="3" t="s">
        <v>62</v>
      </c>
      <c r="AT5359" s="3" t="s">
        <v>62</v>
      </c>
      <c r="AV5359" s="6" t="str">
        <f>HYPERLINK("http://mcgill.on.worldcat.org/oclc/816512636","Catalog Record")</f>
        <v>Catalog Record</v>
      </c>
      <c r="AW5359" s="6" t="str">
        <f>HYPERLINK("http://www.worldcat.org/oclc/816512636","WorldCat Record")</f>
        <v>WorldCat Record</v>
      </c>
      <c r="AX5359" s="3" t="s">
        <v>51374</v>
      </c>
      <c r="AY5359" s="3" t="s">
        <v>51375</v>
      </c>
      <c r="AZ5359" s="3" t="s">
        <v>51376</v>
      </c>
      <c r="BA5359" s="3" t="s">
        <v>51376</v>
      </c>
      <c r="BB5359" s="3" t="s">
        <v>51377</v>
      </c>
      <c r="BC5359" s="3" t="s">
        <v>142</v>
      </c>
      <c r="BD5359" s="3" t="s">
        <v>68</v>
      </c>
      <c r="BE5359" s="3" t="s">
        <v>51378</v>
      </c>
      <c r="BF5359" s="3" t="s">
        <v>51377</v>
      </c>
      <c r="BG5359" s="3" t="s">
        <v>51379</v>
      </c>
    </row>
    <row r="5360" spans="1:59" ht="57" x14ac:dyDescent="0.45">
      <c r="A5360" s="2" t="s">
        <v>59</v>
      </c>
      <c r="B5360" s="2" t="s">
        <v>60</v>
      </c>
      <c r="C5360" s="2" t="s">
        <v>51380</v>
      </c>
      <c r="D5360" s="2" t="s">
        <v>51381</v>
      </c>
      <c r="E5360" s="2" t="s">
        <v>51382</v>
      </c>
      <c r="G5360" s="3" t="s">
        <v>62</v>
      </c>
      <c r="I5360" s="3" t="s">
        <v>62</v>
      </c>
      <c r="J5360" s="3" t="s">
        <v>62</v>
      </c>
      <c r="K5360" s="3" t="s">
        <v>63</v>
      </c>
      <c r="L5360" s="2" t="s">
        <v>5202</v>
      </c>
      <c r="M5360" s="2" t="s">
        <v>10170</v>
      </c>
      <c r="N5360" s="3" t="s">
        <v>149</v>
      </c>
      <c r="P5360" s="3" t="s">
        <v>65</v>
      </c>
      <c r="Q5360" s="2" t="s">
        <v>43468</v>
      </c>
      <c r="R5360" s="3" t="s">
        <v>66</v>
      </c>
      <c r="S5360" s="4">
        <v>8</v>
      </c>
      <c r="T5360" s="4">
        <v>8</v>
      </c>
      <c r="U5360" s="5" t="s">
        <v>50461</v>
      </c>
      <c r="V5360" s="5" t="s">
        <v>50461</v>
      </c>
      <c r="W5360" s="5" t="s">
        <v>67</v>
      </c>
      <c r="X5360" s="5" t="s">
        <v>67</v>
      </c>
      <c r="Y5360" s="4">
        <v>88</v>
      </c>
      <c r="Z5360" s="4">
        <v>13</v>
      </c>
      <c r="AA5360" s="4">
        <v>26</v>
      </c>
      <c r="AB5360" s="4">
        <v>1</v>
      </c>
      <c r="AC5360" s="4">
        <v>7</v>
      </c>
      <c r="AD5360" s="4">
        <v>48</v>
      </c>
      <c r="AE5360" s="4">
        <v>68</v>
      </c>
      <c r="AF5360" s="4">
        <v>0</v>
      </c>
      <c r="AG5360" s="4">
        <v>3</v>
      </c>
      <c r="AH5360" s="4">
        <v>44</v>
      </c>
      <c r="AI5360" s="4">
        <v>58</v>
      </c>
      <c r="AJ5360" s="4">
        <v>10</v>
      </c>
      <c r="AK5360" s="4">
        <v>17</v>
      </c>
      <c r="AL5360" s="4">
        <v>28</v>
      </c>
      <c r="AM5360" s="4">
        <v>34</v>
      </c>
      <c r="AN5360" s="4">
        <v>0</v>
      </c>
      <c r="AO5360" s="4">
        <v>0</v>
      </c>
      <c r="AP5360" s="4">
        <v>11</v>
      </c>
      <c r="AQ5360" s="4">
        <v>19</v>
      </c>
      <c r="AR5360" s="3" t="s">
        <v>62</v>
      </c>
      <c r="AS5360" s="3" t="s">
        <v>62</v>
      </c>
      <c r="AT5360" s="3" t="s">
        <v>62</v>
      </c>
      <c r="AV5360" s="6" t="str">
        <f>HYPERLINK("http://mcgill.on.worldcat.org/oclc/641996445","Catalog Record")</f>
        <v>Catalog Record</v>
      </c>
      <c r="AW5360" s="6" t="str">
        <f>HYPERLINK("http://www.worldcat.org/oclc/641996445","WorldCat Record")</f>
        <v>WorldCat Record</v>
      </c>
      <c r="AX5360" s="3" t="s">
        <v>51383</v>
      </c>
      <c r="AY5360" s="3" t="s">
        <v>51384</v>
      </c>
      <c r="AZ5360" s="3" t="s">
        <v>51385</v>
      </c>
      <c r="BA5360" s="3" t="s">
        <v>51385</v>
      </c>
      <c r="BB5360" s="3" t="s">
        <v>51386</v>
      </c>
      <c r="BC5360" s="3" t="s">
        <v>142</v>
      </c>
      <c r="BD5360" s="3" t="s">
        <v>68</v>
      </c>
      <c r="BE5360" s="3" t="s">
        <v>51387</v>
      </c>
      <c r="BF5360" s="3" t="s">
        <v>51386</v>
      </c>
      <c r="BG5360" s="3" t="s">
        <v>51388</v>
      </c>
    </row>
    <row r="5361" spans="1:59" ht="57" x14ac:dyDescent="0.45">
      <c r="A5361" s="2" t="s">
        <v>59</v>
      </c>
      <c r="B5361" s="2" t="s">
        <v>60</v>
      </c>
      <c r="C5361" s="2" t="s">
        <v>51389</v>
      </c>
      <c r="D5361" s="2" t="s">
        <v>51390</v>
      </c>
      <c r="E5361" s="2" t="s">
        <v>51391</v>
      </c>
      <c r="G5361" s="3" t="s">
        <v>62</v>
      </c>
      <c r="I5361" s="3" t="s">
        <v>62</v>
      </c>
      <c r="J5361" s="3" t="s">
        <v>62</v>
      </c>
      <c r="K5361" s="3" t="s">
        <v>63</v>
      </c>
      <c r="L5361" s="2" t="s">
        <v>51392</v>
      </c>
      <c r="M5361" s="2" t="s">
        <v>51393</v>
      </c>
      <c r="N5361" s="3" t="s">
        <v>807</v>
      </c>
      <c r="P5361" s="3" t="s">
        <v>65</v>
      </c>
      <c r="Q5361" s="2" t="s">
        <v>51394</v>
      </c>
      <c r="R5361" s="3" t="s">
        <v>66</v>
      </c>
      <c r="S5361" s="4">
        <v>9</v>
      </c>
      <c r="T5361" s="4">
        <v>9</v>
      </c>
      <c r="U5361" s="5" t="s">
        <v>7367</v>
      </c>
      <c r="V5361" s="5" t="s">
        <v>7367</v>
      </c>
      <c r="W5361" s="5" t="s">
        <v>67</v>
      </c>
      <c r="X5361" s="5" t="s">
        <v>67</v>
      </c>
      <c r="Y5361" s="4">
        <v>72</v>
      </c>
      <c r="Z5361" s="4">
        <v>7</v>
      </c>
      <c r="AA5361" s="4">
        <v>9</v>
      </c>
      <c r="AB5361" s="4">
        <v>1</v>
      </c>
      <c r="AC5361" s="4">
        <v>2</v>
      </c>
      <c r="AD5361" s="4">
        <v>36</v>
      </c>
      <c r="AE5361" s="4">
        <v>39</v>
      </c>
      <c r="AF5361" s="4">
        <v>0</v>
      </c>
      <c r="AG5361" s="4">
        <v>1</v>
      </c>
      <c r="AH5361" s="4">
        <v>35</v>
      </c>
      <c r="AI5361" s="4">
        <v>37</v>
      </c>
      <c r="AJ5361" s="4">
        <v>5</v>
      </c>
      <c r="AK5361" s="4">
        <v>6</v>
      </c>
      <c r="AL5361" s="4">
        <v>24</v>
      </c>
      <c r="AM5361" s="4">
        <v>25</v>
      </c>
      <c r="AN5361" s="4">
        <v>0</v>
      </c>
      <c r="AO5361" s="4">
        <v>0</v>
      </c>
      <c r="AP5361" s="4">
        <v>5</v>
      </c>
      <c r="AQ5361" s="4">
        <v>7</v>
      </c>
      <c r="AR5361" s="3" t="s">
        <v>62</v>
      </c>
      <c r="AS5361" s="3" t="s">
        <v>62</v>
      </c>
      <c r="AT5361" s="3" t="s">
        <v>62</v>
      </c>
      <c r="AV5361" s="6" t="str">
        <f>HYPERLINK("http://mcgill.on.worldcat.org/oclc/19888445","Catalog Record")</f>
        <v>Catalog Record</v>
      </c>
      <c r="AW5361" s="6" t="str">
        <f>HYPERLINK("http://www.worldcat.org/oclc/19888445","WorldCat Record")</f>
        <v>WorldCat Record</v>
      </c>
      <c r="AX5361" s="3" t="s">
        <v>51395</v>
      </c>
      <c r="AY5361" s="3" t="s">
        <v>51396</v>
      </c>
      <c r="AZ5361" s="3" t="s">
        <v>51397</v>
      </c>
      <c r="BA5361" s="3" t="s">
        <v>51397</v>
      </c>
      <c r="BB5361" s="3" t="s">
        <v>51398</v>
      </c>
      <c r="BC5361" s="3" t="s">
        <v>142</v>
      </c>
      <c r="BD5361" s="3" t="s">
        <v>68</v>
      </c>
      <c r="BE5361" s="3" t="s">
        <v>51399</v>
      </c>
      <c r="BF5361" s="3" t="s">
        <v>51398</v>
      </c>
      <c r="BG5361" s="3" t="s">
        <v>51400</v>
      </c>
    </row>
    <row r="5362" spans="1:59" ht="57" x14ac:dyDescent="0.45">
      <c r="A5362" s="2" t="s">
        <v>59</v>
      </c>
      <c r="B5362" s="2" t="s">
        <v>60</v>
      </c>
      <c r="C5362" s="2" t="s">
        <v>51401</v>
      </c>
      <c r="D5362" s="2" t="s">
        <v>51402</v>
      </c>
      <c r="E5362" s="2" t="s">
        <v>51403</v>
      </c>
      <c r="G5362" s="3" t="s">
        <v>62</v>
      </c>
      <c r="I5362" s="3" t="s">
        <v>62</v>
      </c>
      <c r="J5362" s="3" t="s">
        <v>62</v>
      </c>
      <c r="K5362" s="3" t="s">
        <v>63</v>
      </c>
      <c r="M5362" s="2" t="s">
        <v>2976</v>
      </c>
      <c r="N5362" s="3" t="s">
        <v>149</v>
      </c>
      <c r="P5362" s="3" t="s">
        <v>65</v>
      </c>
      <c r="Q5362" s="2" t="s">
        <v>51404</v>
      </c>
      <c r="R5362" s="3" t="s">
        <v>66</v>
      </c>
      <c r="S5362" s="4">
        <v>1</v>
      </c>
      <c r="T5362" s="4">
        <v>1</v>
      </c>
      <c r="U5362" s="5" t="s">
        <v>51405</v>
      </c>
      <c r="V5362" s="5" t="s">
        <v>51405</v>
      </c>
      <c r="W5362" s="5" t="s">
        <v>67</v>
      </c>
      <c r="X5362" s="5" t="s">
        <v>67</v>
      </c>
      <c r="Y5362" s="4">
        <v>99</v>
      </c>
      <c r="Z5362" s="4">
        <v>8</v>
      </c>
      <c r="AA5362" s="4">
        <v>18</v>
      </c>
      <c r="AB5362" s="4">
        <v>2</v>
      </c>
      <c r="AC5362" s="4">
        <v>8</v>
      </c>
      <c r="AD5362" s="4">
        <v>53</v>
      </c>
      <c r="AE5362" s="4">
        <v>64</v>
      </c>
      <c r="AF5362" s="4">
        <v>1</v>
      </c>
      <c r="AG5362" s="4">
        <v>3</v>
      </c>
      <c r="AH5362" s="4">
        <v>48</v>
      </c>
      <c r="AI5362" s="4">
        <v>55</v>
      </c>
      <c r="AJ5362" s="4">
        <v>6</v>
      </c>
      <c r="AK5362" s="4">
        <v>10</v>
      </c>
      <c r="AL5362" s="4">
        <v>30</v>
      </c>
      <c r="AM5362" s="4">
        <v>33</v>
      </c>
      <c r="AN5362" s="4">
        <v>0</v>
      </c>
      <c r="AO5362" s="4">
        <v>0</v>
      </c>
      <c r="AP5362" s="4">
        <v>7</v>
      </c>
      <c r="AQ5362" s="4">
        <v>12</v>
      </c>
      <c r="AR5362" s="3" t="s">
        <v>62</v>
      </c>
      <c r="AS5362" s="3" t="s">
        <v>62</v>
      </c>
      <c r="AT5362" s="3" t="s">
        <v>62</v>
      </c>
      <c r="AV5362" s="6" t="str">
        <f>HYPERLINK("http://mcgill.on.worldcat.org/oclc/429750192","Catalog Record")</f>
        <v>Catalog Record</v>
      </c>
      <c r="AW5362" s="6" t="str">
        <f>HYPERLINK("http://www.worldcat.org/oclc/429750192","WorldCat Record")</f>
        <v>WorldCat Record</v>
      </c>
      <c r="AX5362" s="3" t="s">
        <v>51406</v>
      </c>
      <c r="AY5362" s="3" t="s">
        <v>51407</v>
      </c>
      <c r="AZ5362" s="3" t="s">
        <v>51408</v>
      </c>
      <c r="BA5362" s="3" t="s">
        <v>51408</v>
      </c>
      <c r="BB5362" s="3" t="s">
        <v>51409</v>
      </c>
      <c r="BC5362" s="3" t="s">
        <v>142</v>
      </c>
      <c r="BD5362" s="3" t="s">
        <v>68</v>
      </c>
      <c r="BE5362" s="3" t="s">
        <v>51410</v>
      </c>
      <c r="BF5362" s="3" t="s">
        <v>51409</v>
      </c>
      <c r="BG5362" s="3" t="s">
        <v>51411</v>
      </c>
    </row>
    <row r="5363" spans="1:59" ht="57" x14ac:dyDescent="0.45">
      <c r="A5363" s="2" t="s">
        <v>59</v>
      </c>
      <c r="B5363" s="2" t="s">
        <v>60</v>
      </c>
      <c r="C5363" s="2" t="s">
        <v>51412</v>
      </c>
      <c r="D5363" s="2" t="s">
        <v>51413</v>
      </c>
      <c r="E5363" s="2" t="s">
        <v>51414</v>
      </c>
      <c r="G5363" s="3" t="s">
        <v>62</v>
      </c>
      <c r="I5363" s="3" t="s">
        <v>62</v>
      </c>
      <c r="J5363" s="3" t="s">
        <v>62</v>
      </c>
      <c r="K5363" s="3" t="s">
        <v>63</v>
      </c>
      <c r="M5363" s="2" t="s">
        <v>51415</v>
      </c>
      <c r="N5363" s="3" t="s">
        <v>820</v>
      </c>
      <c r="P5363" s="3" t="s">
        <v>65</v>
      </c>
      <c r="Q5363" s="2" t="s">
        <v>51416</v>
      </c>
      <c r="R5363" s="3" t="s">
        <v>66</v>
      </c>
      <c r="S5363" s="4">
        <v>1</v>
      </c>
      <c r="T5363" s="4">
        <v>1</v>
      </c>
      <c r="U5363" s="5" t="s">
        <v>17208</v>
      </c>
      <c r="V5363" s="5" t="s">
        <v>17208</v>
      </c>
      <c r="W5363" s="5" t="s">
        <v>67</v>
      </c>
      <c r="X5363" s="5" t="s">
        <v>67</v>
      </c>
      <c r="Y5363" s="4">
        <v>78</v>
      </c>
      <c r="Z5363" s="4">
        <v>9</v>
      </c>
      <c r="AA5363" s="4">
        <v>91</v>
      </c>
      <c r="AB5363" s="4">
        <v>1</v>
      </c>
      <c r="AC5363" s="4">
        <v>17</v>
      </c>
      <c r="AD5363" s="4">
        <v>38</v>
      </c>
      <c r="AE5363" s="4">
        <v>98</v>
      </c>
      <c r="AF5363" s="4">
        <v>0</v>
      </c>
      <c r="AG5363" s="4">
        <v>8</v>
      </c>
      <c r="AH5363" s="4">
        <v>34</v>
      </c>
      <c r="AI5363" s="4">
        <v>64</v>
      </c>
      <c r="AJ5363" s="4">
        <v>7</v>
      </c>
      <c r="AK5363" s="4">
        <v>20</v>
      </c>
      <c r="AL5363" s="4">
        <v>23</v>
      </c>
      <c r="AM5363" s="4">
        <v>34</v>
      </c>
      <c r="AN5363" s="4">
        <v>0</v>
      </c>
      <c r="AO5363" s="4">
        <v>0</v>
      </c>
      <c r="AP5363" s="4">
        <v>7</v>
      </c>
      <c r="AQ5363" s="4">
        <v>41</v>
      </c>
      <c r="AR5363" s="3" t="s">
        <v>62</v>
      </c>
      <c r="AS5363" s="3" t="s">
        <v>62</v>
      </c>
      <c r="AT5363" s="3" t="s">
        <v>62</v>
      </c>
      <c r="AV5363" s="6" t="str">
        <f>HYPERLINK("http://mcgill.on.worldcat.org/oclc/187300237","Catalog Record")</f>
        <v>Catalog Record</v>
      </c>
      <c r="AW5363" s="6" t="str">
        <f>HYPERLINK("http://www.worldcat.org/oclc/187300237","WorldCat Record")</f>
        <v>WorldCat Record</v>
      </c>
      <c r="AX5363" s="3" t="s">
        <v>51417</v>
      </c>
      <c r="AY5363" s="3" t="s">
        <v>51418</v>
      </c>
      <c r="AZ5363" s="3" t="s">
        <v>51419</v>
      </c>
      <c r="BA5363" s="3" t="s">
        <v>51419</v>
      </c>
      <c r="BB5363" s="3" t="s">
        <v>51420</v>
      </c>
      <c r="BC5363" s="3" t="s">
        <v>142</v>
      </c>
      <c r="BD5363" s="3" t="s">
        <v>68</v>
      </c>
      <c r="BE5363" s="3" t="s">
        <v>51421</v>
      </c>
      <c r="BF5363" s="3" t="s">
        <v>51420</v>
      </c>
      <c r="BG5363" s="3" t="s">
        <v>51422</v>
      </c>
    </row>
    <row r="5364" spans="1:59" ht="57" x14ac:dyDescent="0.45">
      <c r="A5364" s="2" t="s">
        <v>59</v>
      </c>
      <c r="B5364" s="2" t="s">
        <v>60</v>
      </c>
      <c r="C5364" s="2" t="s">
        <v>51423</v>
      </c>
      <c r="D5364" s="2" t="s">
        <v>51424</v>
      </c>
      <c r="E5364" s="2" t="s">
        <v>51425</v>
      </c>
      <c r="G5364" s="3" t="s">
        <v>62</v>
      </c>
      <c r="I5364" s="3" t="s">
        <v>62</v>
      </c>
      <c r="J5364" s="3" t="s">
        <v>62</v>
      </c>
      <c r="K5364" s="3" t="s">
        <v>63</v>
      </c>
      <c r="M5364" s="2" t="s">
        <v>50527</v>
      </c>
      <c r="N5364" s="3" t="s">
        <v>1688</v>
      </c>
      <c r="P5364" s="3" t="s">
        <v>65</v>
      </c>
      <c r="Q5364" s="2" t="s">
        <v>51426</v>
      </c>
      <c r="R5364" s="3" t="s">
        <v>66</v>
      </c>
      <c r="S5364" s="4">
        <v>0</v>
      </c>
      <c r="T5364" s="4">
        <v>0</v>
      </c>
      <c r="W5364" s="5" t="s">
        <v>67</v>
      </c>
      <c r="X5364" s="5" t="s">
        <v>67</v>
      </c>
      <c r="Y5364" s="4">
        <v>54</v>
      </c>
      <c r="Z5364" s="4">
        <v>8</v>
      </c>
      <c r="AA5364" s="4">
        <v>79</v>
      </c>
      <c r="AB5364" s="4">
        <v>1</v>
      </c>
      <c r="AC5364" s="4">
        <v>14</v>
      </c>
      <c r="AD5364" s="4">
        <v>31</v>
      </c>
      <c r="AE5364" s="4">
        <v>107</v>
      </c>
      <c r="AF5364" s="4">
        <v>0</v>
      </c>
      <c r="AG5364" s="4">
        <v>8</v>
      </c>
      <c r="AH5364" s="4">
        <v>28</v>
      </c>
      <c r="AI5364" s="4">
        <v>73</v>
      </c>
      <c r="AJ5364" s="4">
        <v>6</v>
      </c>
      <c r="AK5364" s="4">
        <v>22</v>
      </c>
      <c r="AL5364" s="4">
        <v>18</v>
      </c>
      <c r="AM5364" s="4">
        <v>37</v>
      </c>
      <c r="AN5364" s="4">
        <v>0</v>
      </c>
      <c r="AO5364" s="4">
        <v>0</v>
      </c>
      <c r="AP5364" s="4">
        <v>6</v>
      </c>
      <c r="AQ5364" s="4">
        <v>42</v>
      </c>
      <c r="AR5364" s="3" t="s">
        <v>62</v>
      </c>
      <c r="AS5364" s="3" t="s">
        <v>62</v>
      </c>
      <c r="AT5364" s="3" t="s">
        <v>62</v>
      </c>
      <c r="AV5364" s="6" t="str">
        <f>HYPERLINK("http://mcgill.on.worldcat.org/oclc/894670646","Catalog Record")</f>
        <v>Catalog Record</v>
      </c>
      <c r="AW5364" s="6" t="str">
        <f>HYPERLINK("http://www.worldcat.org/oclc/894670646","WorldCat Record")</f>
        <v>WorldCat Record</v>
      </c>
      <c r="AX5364" s="3" t="s">
        <v>51427</v>
      </c>
      <c r="AY5364" s="3" t="s">
        <v>51428</v>
      </c>
      <c r="AZ5364" s="3" t="s">
        <v>51429</v>
      </c>
      <c r="BA5364" s="3" t="s">
        <v>51429</v>
      </c>
      <c r="BB5364" s="3" t="s">
        <v>51430</v>
      </c>
      <c r="BC5364" s="3" t="s">
        <v>142</v>
      </c>
      <c r="BD5364" s="3" t="s">
        <v>68</v>
      </c>
      <c r="BE5364" s="3" t="s">
        <v>51431</v>
      </c>
      <c r="BF5364" s="3" t="s">
        <v>51430</v>
      </c>
      <c r="BG5364" s="3" t="s">
        <v>51432</v>
      </c>
    </row>
    <row r="5365" spans="1:59" ht="57" x14ac:dyDescent="0.45">
      <c r="A5365" s="2" t="s">
        <v>59</v>
      </c>
      <c r="B5365" s="2" t="s">
        <v>60</v>
      </c>
      <c r="C5365" s="2" t="s">
        <v>51433</v>
      </c>
      <c r="D5365" s="2" t="s">
        <v>51434</v>
      </c>
      <c r="E5365" s="2" t="s">
        <v>51435</v>
      </c>
      <c r="G5365" s="3" t="s">
        <v>62</v>
      </c>
      <c r="I5365" s="3" t="s">
        <v>62</v>
      </c>
      <c r="J5365" s="3" t="s">
        <v>62</v>
      </c>
      <c r="K5365" s="3" t="s">
        <v>63</v>
      </c>
      <c r="M5365" s="2" t="s">
        <v>28050</v>
      </c>
      <c r="N5365" s="3" t="s">
        <v>149</v>
      </c>
      <c r="P5365" s="3" t="s">
        <v>65</v>
      </c>
      <c r="R5365" s="3" t="s">
        <v>66</v>
      </c>
      <c r="S5365" s="4">
        <v>0</v>
      </c>
      <c r="T5365" s="4">
        <v>0</v>
      </c>
      <c r="W5365" s="5" t="s">
        <v>67</v>
      </c>
      <c r="X5365" s="5" t="s">
        <v>67</v>
      </c>
      <c r="Y5365" s="4">
        <v>42</v>
      </c>
      <c r="Z5365" s="4">
        <v>8</v>
      </c>
      <c r="AA5365" s="4">
        <v>74</v>
      </c>
      <c r="AB5365" s="4">
        <v>1</v>
      </c>
      <c r="AC5365" s="4">
        <v>14</v>
      </c>
      <c r="AD5365" s="4">
        <v>22</v>
      </c>
      <c r="AE5365" s="4">
        <v>84</v>
      </c>
      <c r="AF5365" s="4">
        <v>0</v>
      </c>
      <c r="AG5365" s="4">
        <v>8</v>
      </c>
      <c r="AH5365" s="4">
        <v>18</v>
      </c>
      <c r="AI5365" s="4">
        <v>52</v>
      </c>
      <c r="AJ5365" s="4">
        <v>6</v>
      </c>
      <c r="AK5365" s="4">
        <v>19</v>
      </c>
      <c r="AL5365" s="4">
        <v>12</v>
      </c>
      <c r="AM5365" s="4">
        <v>26</v>
      </c>
      <c r="AN5365" s="4">
        <v>0</v>
      </c>
      <c r="AO5365" s="4">
        <v>0</v>
      </c>
      <c r="AP5365" s="4">
        <v>7</v>
      </c>
      <c r="AQ5365" s="4">
        <v>39</v>
      </c>
      <c r="AR5365" s="3" t="s">
        <v>62</v>
      </c>
      <c r="AS5365" s="3" t="s">
        <v>62</v>
      </c>
      <c r="AT5365" s="3" t="s">
        <v>62</v>
      </c>
      <c r="AV5365" s="6" t="str">
        <f>HYPERLINK("http://mcgill.on.worldcat.org/oclc/551122670","Catalog Record")</f>
        <v>Catalog Record</v>
      </c>
      <c r="AW5365" s="6" t="str">
        <f>HYPERLINK("http://www.worldcat.org/oclc/551122670","WorldCat Record")</f>
        <v>WorldCat Record</v>
      </c>
      <c r="AX5365" s="3" t="s">
        <v>51436</v>
      </c>
      <c r="AY5365" s="3" t="s">
        <v>51437</v>
      </c>
      <c r="AZ5365" s="3" t="s">
        <v>51438</v>
      </c>
      <c r="BA5365" s="3" t="s">
        <v>51438</v>
      </c>
      <c r="BB5365" s="3" t="s">
        <v>51439</v>
      </c>
      <c r="BC5365" s="3" t="s">
        <v>142</v>
      </c>
      <c r="BD5365" s="3" t="s">
        <v>68</v>
      </c>
      <c r="BE5365" s="3" t="s">
        <v>51440</v>
      </c>
      <c r="BF5365" s="3" t="s">
        <v>51439</v>
      </c>
      <c r="BG5365" s="3" t="s">
        <v>51441</v>
      </c>
    </row>
    <row r="5366" spans="1:59" ht="57" x14ac:dyDescent="0.45">
      <c r="A5366" s="2" t="s">
        <v>59</v>
      </c>
      <c r="B5366" s="2" t="s">
        <v>60</v>
      </c>
      <c r="C5366" s="2" t="s">
        <v>51442</v>
      </c>
      <c r="D5366" s="2" t="s">
        <v>51443</v>
      </c>
      <c r="E5366" s="2" t="s">
        <v>51444</v>
      </c>
      <c r="G5366" s="3" t="s">
        <v>62</v>
      </c>
      <c r="I5366" s="3" t="s">
        <v>62</v>
      </c>
      <c r="J5366" s="3" t="s">
        <v>62</v>
      </c>
      <c r="K5366" s="3" t="s">
        <v>63</v>
      </c>
      <c r="L5366" s="2" t="s">
        <v>48407</v>
      </c>
      <c r="M5366" s="2" t="s">
        <v>1713</v>
      </c>
      <c r="N5366" s="3" t="s">
        <v>1155</v>
      </c>
      <c r="P5366" s="3" t="s">
        <v>65</v>
      </c>
      <c r="Q5366" s="2" t="s">
        <v>29735</v>
      </c>
      <c r="R5366" s="3" t="s">
        <v>66</v>
      </c>
      <c r="S5366" s="4">
        <v>0</v>
      </c>
      <c r="T5366" s="4">
        <v>0</v>
      </c>
      <c r="W5366" s="5" t="s">
        <v>67</v>
      </c>
      <c r="X5366" s="5" t="s">
        <v>67</v>
      </c>
      <c r="Y5366" s="4">
        <v>101</v>
      </c>
      <c r="Z5366" s="4">
        <v>10</v>
      </c>
      <c r="AA5366" s="4">
        <v>77</v>
      </c>
      <c r="AB5366" s="4">
        <v>1</v>
      </c>
      <c r="AC5366" s="4">
        <v>14</v>
      </c>
      <c r="AD5366" s="4">
        <v>37</v>
      </c>
      <c r="AE5366" s="4">
        <v>95</v>
      </c>
      <c r="AF5366" s="4">
        <v>0</v>
      </c>
      <c r="AG5366" s="4">
        <v>8</v>
      </c>
      <c r="AH5366" s="4">
        <v>34</v>
      </c>
      <c r="AI5366" s="4">
        <v>63</v>
      </c>
      <c r="AJ5366" s="4">
        <v>8</v>
      </c>
      <c r="AK5366" s="4">
        <v>22</v>
      </c>
      <c r="AL5366" s="4">
        <v>19</v>
      </c>
      <c r="AM5366" s="4">
        <v>32</v>
      </c>
      <c r="AN5366" s="4">
        <v>0</v>
      </c>
      <c r="AO5366" s="4">
        <v>0</v>
      </c>
      <c r="AP5366" s="4">
        <v>8</v>
      </c>
      <c r="AQ5366" s="4">
        <v>41</v>
      </c>
      <c r="AR5366" s="3" t="s">
        <v>62</v>
      </c>
      <c r="AS5366" s="3" t="s">
        <v>62</v>
      </c>
      <c r="AT5366" s="3" t="s">
        <v>62</v>
      </c>
      <c r="AV5366" s="6" t="str">
        <f>HYPERLINK("http://mcgill.on.worldcat.org/oclc/782992263","Catalog Record")</f>
        <v>Catalog Record</v>
      </c>
      <c r="AW5366" s="6" t="str">
        <f>HYPERLINK("http://www.worldcat.org/oclc/782992263","WorldCat Record")</f>
        <v>WorldCat Record</v>
      </c>
      <c r="AX5366" s="3" t="s">
        <v>51445</v>
      </c>
      <c r="AY5366" s="3" t="s">
        <v>51446</v>
      </c>
      <c r="AZ5366" s="3" t="s">
        <v>51447</v>
      </c>
      <c r="BA5366" s="3" t="s">
        <v>51447</v>
      </c>
      <c r="BB5366" s="3" t="s">
        <v>51448</v>
      </c>
      <c r="BC5366" s="3" t="s">
        <v>142</v>
      </c>
      <c r="BD5366" s="3" t="s">
        <v>68</v>
      </c>
      <c r="BE5366" s="3" t="s">
        <v>51449</v>
      </c>
      <c r="BF5366" s="3" t="s">
        <v>51448</v>
      </c>
      <c r="BG5366" s="3" t="s">
        <v>51450</v>
      </c>
    </row>
    <row r="5367" spans="1:59" ht="57" x14ac:dyDescent="0.45">
      <c r="A5367" s="2" t="s">
        <v>59</v>
      </c>
      <c r="B5367" s="2" t="s">
        <v>60</v>
      </c>
      <c r="C5367" s="2" t="s">
        <v>51451</v>
      </c>
      <c r="D5367" s="2" t="s">
        <v>51452</v>
      </c>
      <c r="E5367" s="2" t="s">
        <v>51453</v>
      </c>
      <c r="G5367" s="3" t="s">
        <v>62</v>
      </c>
      <c r="I5367" s="3" t="s">
        <v>62</v>
      </c>
      <c r="J5367" s="3" t="s">
        <v>62</v>
      </c>
      <c r="K5367" s="3" t="s">
        <v>63</v>
      </c>
      <c r="L5367" s="2" t="s">
        <v>51454</v>
      </c>
      <c r="M5367" s="2" t="s">
        <v>43637</v>
      </c>
      <c r="N5367" s="3" t="s">
        <v>149</v>
      </c>
      <c r="P5367" s="3" t="s">
        <v>65</v>
      </c>
      <c r="Q5367" s="2" t="s">
        <v>51455</v>
      </c>
      <c r="R5367" s="3" t="s">
        <v>66</v>
      </c>
      <c r="S5367" s="4">
        <v>0</v>
      </c>
      <c r="T5367" s="4">
        <v>0</v>
      </c>
      <c r="W5367" s="5" t="s">
        <v>67</v>
      </c>
      <c r="X5367" s="5" t="s">
        <v>67</v>
      </c>
      <c r="Y5367" s="4">
        <v>60</v>
      </c>
      <c r="Z5367" s="4">
        <v>7</v>
      </c>
      <c r="AA5367" s="4">
        <v>90</v>
      </c>
      <c r="AB5367" s="4">
        <v>1</v>
      </c>
      <c r="AC5367" s="4">
        <v>17</v>
      </c>
      <c r="AD5367" s="4">
        <v>33</v>
      </c>
      <c r="AE5367" s="4">
        <v>96</v>
      </c>
      <c r="AF5367" s="4">
        <v>0</v>
      </c>
      <c r="AG5367" s="4">
        <v>8</v>
      </c>
      <c r="AH5367" s="4">
        <v>31</v>
      </c>
      <c r="AI5367" s="4">
        <v>64</v>
      </c>
      <c r="AJ5367" s="4">
        <v>5</v>
      </c>
      <c r="AK5367" s="4">
        <v>19</v>
      </c>
      <c r="AL5367" s="4">
        <v>24</v>
      </c>
      <c r="AM5367" s="4">
        <v>33</v>
      </c>
      <c r="AN5367" s="4">
        <v>0</v>
      </c>
      <c r="AO5367" s="4">
        <v>0</v>
      </c>
      <c r="AP5367" s="4">
        <v>5</v>
      </c>
      <c r="AQ5367" s="4">
        <v>40</v>
      </c>
      <c r="AR5367" s="3" t="s">
        <v>62</v>
      </c>
      <c r="AS5367" s="3" t="s">
        <v>62</v>
      </c>
      <c r="AT5367" s="3" t="s">
        <v>62</v>
      </c>
      <c r="AV5367" s="6" t="str">
        <f>HYPERLINK("http://mcgill.on.worldcat.org/oclc/497573700","Catalog Record")</f>
        <v>Catalog Record</v>
      </c>
      <c r="AW5367" s="6" t="str">
        <f>HYPERLINK("http://www.worldcat.org/oclc/497573700","WorldCat Record")</f>
        <v>WorldCat Record</v>
      </c>
      <c r="AX5367" s="3" t="s">
        <v>51456</v>
      </c>
      <c r="AY5367" s="3" t="s">
        <v>51457</v>
      </c>
      <c r="AZ5367" s="3" t="s">
        <v>51458</v>
      </c>
      <c r="BA5367" s="3" t="s">
        <v>51458</v>
      </c>
      <c r="BB5367" s="3" t="s">
        <v>51459</v>
      </c>
      <c r="BC5367" s="3" t="s">
        <v>142</v>
      </c>
      <c r="BD5367" s="3" t="s">
        <v>68</v>
      </c>
      <c r="BE5367" s="3" t="s">
        <v>51460</v>
      </c>
      <c r="BF5367" s="3" t="s">
        <v>51459</v>
      </c>
      <c r="BG5367" s="3" t="s">
        <v>51461</v>
      </c>
    </row>
    <row r="5368" spans="1:59" ht="57" x14ac:dyDescent="0.45">
      <c r="A5368" s="2" t="s">
        <v>59</v>
      </c>
      <c r="B5368" s="2" t="s">
        <v>60</v>
      </c>
      <c r="C5368" s="2" t="s">
        <v>51462</v>
      </c>
      <c r="D5368" s="2" t="s">
        <v>51463</v>
      </c>
      <c r="E5368" s="2" t="s">
        <v>51464</v>
      </c>
      <c r="G5368" s="3" t="s">
        <v>62</v>
      </c>
      <c r="I5368" s="3" t="s">
        <v>62</v>
      </c>
      <c r="J5368" s="3" t="s">
        <v>62</v>
      </c>
      <c r="K5368" s="3" t="s">
        <v>63</v>
      </c>
      <c r="L5368" s="2" t="s">
        <v>51465</v>
      </c>
      <c r="M5368" s="2" t="s">
        <v>1713</v>
      </c>
      <c r="N5368" s="3" t="s">
        <v>1155</v>
      </c>
      <c r="P5368" s="3" t="s">
        <v>65</v>
      </c>
      <c r="Q5368" s="2" t="s">
        <v>51466</v>
      </c>
      <c r="R5368" s="3" t="s">
        <v>66</v>
      </c>
      <c r="S5368" s="4">
        <v>0</v>
      </c>
      <c r="T5368" s="4">
        <v>0</v>
      </c>
      <c r="W5368" s="5" t="s">
        <v>67</v>
      </c>
      <c r="X5368" s="5" t="s">
        <v>67</v>
      </c>
      <c r="Y5368" s="4">
        <v>131</v>
      </c>
      <c r="Z5368" s="4">
        <v>17</v>
      </c>
      <c r="AA5368" s="4">
        <v>103</v>
      </c>
      <c r="AB5368" s="4">
        <v>1</v>
      </c>
      <c r="AC5368" s="4">
        <v>14</v>
      </c>
      <c r="AD5368" s="4">
        <v>65</v>
      </c>
      <c r="AE5368" s="4">
        <v>125</v>
      </c>
      <c r="AF5368" s="4">
        <v>0</v>
      </c>
      <c r="AG5368" s="4">
        <v>8</v>
      </c>
      <c r="AH5368" s="4">
        <v>59</v>
      </c>
      <c r="AI5368" s="4">
        <v>89</v>
      </c>
      <c r="AJ5368" s="4">
        <v>12</v>
      </c>
      <c r="AK5368" s="4">
        <v>24</v>
      </c>
      <c r="AL5368" s="4">
        <v>35</v>
      </c>
      <c r="AM5368" s="4">
        <v>48</v>
      </c>
      <c r="AN5368" s="4">
        <v>0</v>
      </c>
      <c r="AO5368" s="4">
        <v>0</v>
      </c>
      <c r="AP5368" s="4">
        <v>13</v>
      </c>
      <c r="AQ5368" s="4">
        <v>45</v>
      </c>
      <c r="AR5368" s="3" t="s">
        <v>62</v>
      </c>
      <c r="AS5368" s="3" t="s">
        <v>62</v>
      </c>
      <c r="AT5368" s="3" t="s">
        <v>62</v>
      </c>
      <c r="AV5368" s="6" t="str">
        <f>HYPERLINK("http://mcgill.on.worldcat.org/oclc/779607209","Catalog Record")</f>
        <v>Catalog Record</v>
      </c>
      <c r="AW5368" s="6" t="str">
        <f>HYPERLINK("http://www.worldcat.org/oclc/779607209","WorldCat Record")</f>
        <v>WorldCat Record</v>
      </c>
      <c r="AX5368" s="3" t="s">
        <v>51467</v>
      </c>
      <c r="AY5368" s="3" t="s">
        <v>51468</v>
      </c>
      <c r="AZ5368" s="3" t="s">
        <v>51469</v>
      </c>
      <c r="BA5368" s="3" t="s">
        <v>51469</v>
      </c>
      <c r="BB5368" s="3" t="s">
        <v>51470</v>
      </c>
      <c r="BC5368" s="3" t="s">
        <v>142</v>
      </c>
      <c r="BD5368" s="3" t="s">
        <v>68</v>
      </c>
      <c r="BE5368" s="3" t="s">
        <v>51471</v>
      </c>
      <c r="BF5368" s="3" t="s">
        <v>51470</v>
      </c>
      <c r="BG5368" s="3" t="s">
        <v>51472</v>
      </c>
    </row>
    <row r="5369" spans="1:59" ht="57" x14ac:dyDescent="0.45">
      <c r="A5369" s="2" t="s">
        <v>59</v>
      </c>
      <c r="B5369" s="2" t="s">
        <v>60</v>
      </c>
      <c r="C5369" s="2" t="s">
        <v>51473</v>
      </c>
      <c r="D5369" s="2" t="s">
        <v>51474</v>
      </c>
      <c r="E5369" s="2" t="s">
        <v>51475</v>
      </c>
      <c r="G5369" s="3" t="s">
        <v>62</v>
      </c>
      <c r="I5369" s="3" t="s">
        <v>62</v>
      </c>
      <c r="J5369" s="3" t="s">
        <v>62</v>
      </c>
      <c r="K5369" s="3" t="s">
        <v>63</v>
      </c>
      <c r="L5369" s="2" t="s">
        <v>51476</v>
      </c>
      <c r="M5369" s="2" t="s">
        <v>51477</v>
      </c>
      <c r="N5369" s="3" t="s">
        <v>918</v>
      </c>
      <c r="P5369" s="3" t="s">
        <v>65</v>
      </c>
      <c r="Q5369" s="2" t="s">
        <v>51478</v>
      </c>
      <c r="R5369" s="3" t="s">
        <v>66</v>
      </c>
      <c r="S5369" s="4">
        <v>11</v>
      </c>
      <c r="T5369" s="4">
        <v>11</v>
      </c>
      <c r="U5369" s="5" t="s">
        <v>40803</v>
      </c>
      <c r="V5369" s="5" t="s">
        <v>40803</v>
      </c>
      <c r="W5369" s="5" t="s">
        <v>67</v>
      </c>
      <c r="X5369" s="5" t="s">
        <v>67</v>
      </c>
      <c r="Y5369" s="4">
        <v>125</v>
      </c>
      <c r="Z5369" s="4">
        <v>10</v>
      </c>
      <c r="AA5369" s="4">
        <v>11</v>
      </c>
      <c r="AB5369" s="4">
        <v>1</v>
      </c>
      <c r="AC5369" s="4">
        <v>2</v>
      </c>
      <c r="AD5369" s="4">
        <v>61</v>
      </c>
      <c r="AE5369" s="4">
        <v>64</v>
      </c>
      <c r="AF5369" s="4">
        <v>0</v>
      </c>
      <c r="AG5369" s="4">
        <v>1</v>
      </c>
      <c r="AH5369" s="4">
        <v>58</v>
      </c>
      <c r="AI5369" s="4">
        <v>60</v>
      </c>
      <c r="AJ5369" s="4">
        <v>8</v>
      </c>
      <c r="AK5369" s="4">
        <v>9</v>
      </c>
      <c r="AL5369" s="4">
        <v>37</v>
      </c>
      <c r="AM5369" s="4">
        <v>39</v>
      </c>
      <c r="AN5369" s="4">
        <v>0</v>
      </c>
      <c r="AO5369" s="4">
        <v>0</v>
      </c>
      <c r="AP5369" s="4">
        <v>8</v>
      </c>
      <c r="AQ5369" s="4">
        <v>9</v>
      </c>
      <c r="AR5369" s="3" t="s">
        <v>62</v>
      </c>
      <c r="AS5369" s="3" t="s">
        <v>62</v>
      </c>
      <c r="AT5369" s="3" t="s">
        <v>61</v>
      </c>
      <c r="AU5369" s="6" t="str">
        <f>HYPERLINK("http://catalog.hathitrust.org/Record/007142460","HathiTrust Record")</f>
        <v>HathiTrust Record</v>
      </c>
      <c r="AV5369" s="6" t="str">
        <f>HYPERLINK("http://mcgill.on.worldcat.org/oclc/50638712","Catalog Record")</f>
        <v>Catalog Record</v>
      </c>
      <c r="AW5369" s="6" t="str">
        <f>HYPERLINK("http://www.worldcat.org/oclc/50638712","WorldCat Record")</f>
        <v>WorldCat Record</v>
      </c>
      <c r="AX5369" s="3" t="s">
        <v>51479</v>
      </c>
      <c r="AY5369" s="3" t="s">
        <v>51480</v>
      </c>
      <c r="AZ5369" s="3" t="s">
        <v>51481</v>
      </c>
      <c r="BA5369" s="3" t="s">
        <v>51481</v>
      </c>
      <c r="BB5369" s="3" t="s">
        <v>51482</v>
      </c>
      <c r="BC5369" s="3" t="s">
        <v>142</v>
      </c>
      <c r="BD5369" s="3" t="s">
        <v>68</v>
      </c>
      <c r="BE5369" s="3" t="s">
        <v>51483</v>
      </c>
      <c r="BF5369" s="3" t="s">
        <v>51482</v>
      </c>
      <c r="BG5369" s="3" t="s">
        <v>51484</v>
      </c>
    </row>
    <row r="5370" spans="1:59" ht="57" x14ac:dyDescent="0.45">
      <c r="A5370" s="2" t="s">
        <v>59</v>
      </c>
      <c r="B5370" s="2" t="s">
        <v>60</v>
      </c>
      <c r="C5370" s="2" t="s">
        <v>51485</v>
      </c>
      <c r="D5370" s="2" t="s">
        <v>51486</v>
      </c>
      <c r="E5370" s="2" t="s">
        <v>51487</v>
      </c>
      <c r="G5370" s="3" t="s">
        <v>62</v>
      </c>
      <c r="I5370" s="3" t="s">
        <v>62</v>
      </c>
      <c r="J5370" s="3" t="s">
        <v>62</v>
      </c>
      <c r="K5370" s="3" t="s">
        <v>63</v>
      </c>
      <c r="L5370" s="2" t="s">
        <v>41822</v>
      </c>
      <c r="M5370" s="2" t="s">
        <v>51488</v>
      </c>
      <c r="N5370" s="3" t="s">
        <v>220</v>
      </c>
      <c r="P5370" s="3" t="s">
        <v>65</v>
      </c>
      <c r="Q5370" s="2" t="s">
        <v>51489</v>
      </c>
      <c r="R5370" s="3" t="s">
        <v>66</v>
      </c>
      <c r="S5370" s="4">
        <v>7</v>
      </c>
      <c r="T5370" s="4">
        <v>7</v>
      </c>
      <c r="U5370" s="5" t="s">
        <v>17272</v>
      </c>
      <c r="V5370" s="5" t="s">
        <v>17272</v>
      </c>
      <c r="W5370" s="5" t="s">
        <v>67</v>
      </c>
      <c r="X5370" s="5" t="s">
        <v>67</v>
      </c>
      <c r="Y5370" s="4">
        <v>496</v>
      </c>
      <c r="Z5370" s="4">
        <v>32</v>
      </c>
      <c r="AA5370" s="4">
        <v>37</v>
      </c>
      <c r="AB5370" s="4">
        <v>2</v>
      </c>
      <c r="AC5370" s="4">
        <v>5</v>
      </c>
      <c r="AD5370" s="4">
        <v>116</v>
      </c>
      <c r="AE5370" s="4">
        <v>122</v>
      </c>
      <c r="AF5370" s="4">
        <v>1</v>
      </c>
      <c r="AG5370" s="4">
        <v>4</v>
      </c>
      <c r="AH5370" s="4">
        <v>99</v>
      </c>
      <c r="AI5370" s="4">
        <v>101</v>
      </c>
      <c r="AJ5370" s="4">
        <v>19</v>
      </c>
      <c r="AK5370" s="4">
        <v>23</v>
      </c>
      <c r="AL5370" s="4">
        <v>58</v>
      </c>
      <c r="AM5370" s="4">
        <v>58</v>
      </c>
      <c r="AN5370" s="4">
        <v>0</v>
      </c>
      <c r="AO5370" s="4">
        <v>0</v>
      </c>
      <c r="AP5370" s="4">
        <v>23</v>
      </c>
      <c r="AQ5370" s="4">
        <v>27</v>
      </c>
      <c r="AR5370" s="3" t="s">
        <v>62</v>
      </c>
      <c r="AS5370" s="3" t="s">
        <v>62</v>
      </c>
      <c r="AT5370" s="3" t="s">
        <v>62</v>
      </c>
      <c r="AV5370" s="6" t="str">
        <f>HYPERLINK("http://mcgill.on.worldcat.org/oclc/159250","Catalog Record")</f>
        <v>Catalog Record</v>
      </c>
      <c r="AW5370" s="6" t="str">
        <f>HYPERLINK("http://www.worldcat.org/oclc/159250","WorldCat Record")</f>
        <v>WorldCat Record</v>
      </c>
      <c r="AX5370" s="3" t="s">
        <v>51490</v>
      </c>
      <c r="AY5370" s="3" t="s">
        <v>51491</v>
      </c>
      <c r="AZ5370" s="3" t="s">
        <v>51492</v>
      </c>
      <c r="BA5370" s="3" t="s">
        <v>51492</v>
      </c>
      <c r="BB5370" s="3" t="s">
        <v>51493</v>
      </c>
      <c r="BC5370" s="3" t="s">
        <v>142</v>
      </c>
      <c r="BD5370" s="3" t="s">
        <v>68</v>
      </c>
      <c r="BE5370" s="3" t="s">
        <v>51494</v>
      </c>
      <c r="BF5370" s="3" t="s">
        <v>51493</v>
      </c>
      <c r="BG5370" s="3" t="s">
        <v>51495</v>
      </c>
    </row>
    <row r="5371" spans="1:59" ht="57" x14ac:dyDescent="0.45">
      <c r="A5371" s="2" t="s">
        <v>59</v>
      </c>
      <c r="B5371" s="2" t="s">
        <v>60</v>
      </c>
      <c r="C5371" s="2" t="s">
        <v>51496</v>
      </c>
      <c r="D5371" s="2" t="s">
        <v>51497</v>
      </c>
      <c r="E5371" s="2" t="s">
        <v>51498</v>
      </c>
      <c r="G5371" s="3" t="s">
        <v>62</v>
      </c>
      <c r="I5371" s="3" t="s">
        <v>62</v>
      </c>
      <c r="J5371" s="3" t="s">
        <v>62</v>
      </c>
      <c r="K5371" s="3" t="s">
        <v>63</v>
      </c>
      <c r="M5371" s="2" t="s">
        <v>51499</v>
      </c>
      <c r="N5371" s="3" t="s">
        <v>149</v>
      </c>
      <c r="P5371" s="3" t="s">
        <v>65</v>
      </c>
      <c r="Q5371" s="2" t="s">
        <v>51500</v>
      </c>
      <c r="R5371" s="3" t="s">
        <v>66</v>
      </c>
      <c r="S5371" s="4">
        <v>1</v>
      </c>
      <c r="T5371" s="4">
        <v>1</v>
      </c>
      <c r="U5371" s="5" t="s">
        <v>51501</v>
      </c>
      <c r="V5371" s="5" t="s">
        <v>51501</v>
      </c>
      <c r="W5371" s="5" t="s">
        <v>67</v>
      </c>
      <c r="X5371" s="5" t="s">
        <v>67</v>
      </c>
      <c r="Y5371" s="4">
        <v>88</v>
      </c>
      <c r="Z5371" s="4">
        <v>17</v>
      </c>
      <c r="AA5371" s="4">
        <v>99</v>
      </c>
      <c r="AB5371" s="4">
        <v>1</v>
      </c>
      <c r="AC5371" s="4">
        <v>17</v>
      </c>
      <c r="AD5371" s="4">
        <v>46</v>
      </c>
      <c r="AE5371" s="4">
        <v>113</v>
      </c>
      <c r="AF5371" s="4">
        <v>0</v>
      </c>
      <c r="AG5371" s="4">
        <v>8</v>
      </c>
      <c r="AH5371" s="4">
        <v>40</v>
      </c>
      <c r="AI5371" s="4">
        <v>77</v>
      </c>
      <c r="AJ5371" s="4">
        <v>13</v>
      </c>
      <c r="AK5371" s="4">
        <v>25</v>
      </c>
      <c r="AL5371" s="4">
        <v>26</v>
      </c>
      <c r="AM5371" s="4">
        <v>39</v>
      </c>
      <c r="AN5371" s="4">
        <v>0</v>
      </c>
      <c r="AO5371" s="4">
        <v>0</v>
      </c>
      <c r="AP5371" s="4">
        <v>15</v>
      </c>
      <c r="AQ5371" s="4">
        <v>46</v>
      </c>
      <c r="AR5371" s="3" t="s">
        <v>62</v>
      </c>
      <c r="AS5371" s="3" t="s">
        <v>62</v>
      </c>
      <c r="AT5371" s="3" t="s">
        <v>62</v>
      </c>
      <c r="AV5371" s="6" t="str">
        <f>HYPERLINK("http://mcgill.on.worldcat.org/oclc/553371016","Catalog Record")</f>
        <v>Catalog Record</v>
      </c>
      <c r="AW5371" s="6" t="str">
        <f>HYPERLINK("http://www.worldcat.org/oclc/553371016","WorldCat Record")</f>
        <v>WorldCat Record</v>
      </c>
      <c r="AX5371" s="3" t="s">
        <v>51502</v>
      </c>
      <c r="AY5371" s="3" t="s">
        <v>51503</v>
      </c>
      <c r="AZ5371" s="3" t="s">
        <v>51504</v>
      </c>
      <c r="BA5371" s="3" t="s">
        <v>51504</v>
      </c>
      <c r="BB5371" s="3" t="s">
        <v>51505</v>
      </c>
      <c r="BC5371" s="3" t="s">
        <v>142</v>
      </c>
      <c r="BD5371" s="3" t="s">
        <v>68</v>
      </c>
      <c r="BE5371" s="3" t="s">
        <v>51506</v>
      </c>
      <c r="BF5371" s="3" t="s">
        <v>51505</v>
      </c>
      <c r="BG5371" s="3" t="s">
        <v>51507</v>
      </c>
    </row>
    <row r="5372" spans="1:59" ht="57" x14ac:dyDescent="0.45">
      <c r="A5372" s="2" t="s">
        <v>59</v>
      </c>
      <c r="B5372" s="2" t="s">
        <v>60</v>
      </c>
      <c r="C5372" s="2" t="s">
        <v>51508</v>
      </c>
      <c r="D5372" s="2" t="s">
        <v>51509</v>
      </c>
      <c r="E5372" s="2" t="s">
        <v>51510</v>
      </c>
      <c r="G5372" s="3" t="s">
        <v>62</v>
      </c>
      <c r="I5372" s="3" t="s">
        <v>62</v>
      </c>
      <c r="J5372" s="3" t="s">
        <v>62</v>
      </c>
      <c r="K5372" s="3" t="s">
        <v>63</v>
      </c>
      <c r="L5372" s="2" t="s">
        <v>32344</v>
      </c>
      <c r="M5372" s="2" t="s">
        <v>3423</v>
      </c>
      <c r="N5372" s="3" t="s">
        <v>1478</v>
      </c>
      <c r="P5372" s="3" t="s">
        <v>65</v>
      </c>
      <c r="Q5372" s="2" t="s">
        <v>50918</v>
      </c>
      <c r="R5372" s="3" t="s">
        <v>66</v>
      </c>
      <c r="S5372" s="4">
        <v>47</v>
      </c>
      <c r="T5372" s="4">
        <v>47</v>
      </c>
      <c r="U5372" s="5" t="s">
        <v>18685</v>
      </c>
      <c r="V5372" s="5" t="s">
        <v>18685</v>
      </c>
      <c r="W5372" s="5" t="s">
        <v>67</v>
      </c>
      <c r="X5372" s="5" t="s">
        <v>67</v>
      </c>
      <c r="Y5372" s="4">
        <v>222</v>
      </c>
      <c r="Z5372" s="4">
        <v>15</v>
      </c>
      <c r="AA5372" s="4">
        <v>44</v>
      </c>
      <c r="AB5372" s="4">
        <v>2</v>
      </c>
      <c r="AC5372" s="4">
        <v>7</v>
      </c>
      <c r="AD5372" s="4">
        <v>91</v>
      </c>
      <c r="AE5372" s="4">
        <v>120</v>
      </c>
      <c r="AF5372" s="4">
        <v>1</v>
      </c>
      <c r="AG5372" s="4">
        <v>5</v>
      </c>
      <c r="AH5372" s="4">
        <v>87</v>
      </c>
      <c r="AI5372" s="4">
        <v>91</v>
      </c>
      <c r="AJ5372" s="4">
        <v>13</v>
      </c>
      <c r="AK5372" s="4">
        <v>22</v>
      </c>
      <c r="AL5372" s="4">
        <v>48</v>
      </c>
      <c r="AM5372" s="4">
        <v>50</v>
      </c>
      <c r="AN5372" s="4">
        <v>0</v>
      </c>
      <c r="AO5372" s="4">
        <v>0</v>
      </c>
      <c r="AP5372" s="4">
        <v>13</v>
      </c>
      <c r="AQ5372" s="4">
        <v>38</v>
      </c>
      <c r="AR5372" s="3" t="s">
        <v>62</v>
      </c>
      <c r="AS5372" s="3" t="s">
        <v>62</v>
      </c>
      <c r="AT5372" s="3" t="s">
        <v>62</v>
      </c>
      <c r="AV5372" s="6" t="str">
        <f>HYPERLINK("http://mcgill.on.worldcat.org/oclc/31045692","Catalog Record")</f>
        <v>Catalog Record</v>
      </c>
      <c r="AW5372" s="6" t="str">
        <f>HYPERLINK("http://www.worldcat.org/oclc/31045692","WorldCat Record")</f>
        <v>WorldCat Record</v>
      </c>
      <c r="AX5372" s="3" t="s">
        <v>51511</v>
      </c>
      <c r="AY5372" s="3" t="s">
        <v>51512</v>
      </c>
      <c r="AZ5372" s="3" t="s">
        <v>51513</v>
      </c>
      <c r="BA5372" s="3" t="s">
        <v>51513</v>
      </c>
      <c r="BB5372" s="3" t="s">
        <v>51514</v>
      </c>
      <c r="BC5372" s="3" t="s">
        <v>142</v>
      </c>
      <c r="BD5372" s="3" t="s">
        <v>68</v>
      </c>
      <c r="BE5372" s="3" t="s">
        <v>51515</v>
      </c>
      <c r="BF5372" s="3" t="s">
        <v>51514</v>
      </c>
      <c r="BG5372" s="3" t="s">
        <v>51516</v>
      </c>
    </row>
    <row r="5373" spans="1:59" ht="57" x14ac:dyDescent="0.45">
      <c r="A5373" s="2" t="s">
        <v>59</v>
      </c>
      <c r="B5373" s="2" t="s">
        <v>60</v>
      </c>
      <c r="C5373" s="2" t="s">
        <v>51517</v>
      </c>
      <c r="D5373" s="2" t="s">
        <v>51518</v>
      </c>
      <c r="E5373" s="2" t="s">
        <v>51519</v>
      </c>
      <c r="F5373" s="3" t="s">
        <v>86</v>
      </c>
      <c r="G5373" s="3" t="s">
        <v>61</v>
      </c>
      <c r="I5373" s="3" t="s">
        <v>62</v>
      </c>
      <c r="J5373" s="3" t="s">
        <v>62</v>
      </c>
      <c r="K5373" s="3" t="s">
        <v>63</v>
      </c>
      <c r="M5373" s="2" t="s">
        <v>51520</v>
      </c>
      <c r="N5373" s="3" t="s">
        <v>1059</v>
      </c>
      <c r="P5373" s="3" t="s">
        <v>65</v>
      </c>
      <c r="Q5373" s="2" t="s">
        <v>51521</v>
      </c>
      <c r="R5373" s="3" t="s">
        <v>66</v>
      </c>
      <c r="S5373" s="4">
        <v>2</v>
      </c>
      <c r="T5373" s="4">
        <v>13</v>
      </c>
      <c r="U5373" s="5" t="s">
        <v>51522</v>
      </c>
      <c r="V5373" s="5" t="s">
        <v>10639</v>
      </c>
      <c r="W5373" s="5" t="s">
        <v>67</v>
      </c>
      <c r="X5373" s="5" t="s">
        <v>67</v>
      </c>
      <c r="Y5373" s="4">
        <v>151</v>
      </c>
      <c r="Z5373" s="4">
        <v>15</v>
      </c>
      <c r="AA5373" s="4">
        <v>27</v>
      </c>
      <c r="AB5373" s="4">
        <v>1</v>
      </c>
      <c r="AC5373" s="4">
        <v>8</v>
      </c>
      <c r="AD5373" s="4">
        <v>62</v>
      </c>
      <c r="AE5373" s="4">
        <v>84</v>
      </c>
      <c r="AF5373" s="4">
        <v>0</v>
      </c>
      <c r="AG5373" s="4">
        <v>4</v>
      </c>
      <c r="AH5373" s="4">
        <v>56</v>
      </c>
      <c r="AI5373" s="4">
        <v>72</v>
      </c>
      <c r="AJ5373" s="4">
        <v>12</v>
      </c>
      <c r="AK5373" s="4">
        <v>18</v>
      </c>
      <c r="AL5373" s="4">
        <v>37</v>
      </c>
      <c r="AM5373" s="4">
        <v>47</v>
      </c>
      <c r="AN5373" s="4">
        <v>0</v>
      </c>
      <c r="AO5373" s="4">
        <v>0</v>
      </c>
      <c r="AP5373" s="4">
        <v>13</v>
      </c>
      <c r="AQ5373" s="4">
        <v>21</v>
      </c>
      <c r="AR5373" s="3" t="s">
        <v>62</v>
      </c>
      <c r="AS5373" s="3" t="s">
        <v>62</v>
      </c>
      <c r="AT5373" s="3" t="s">
        <v>61</v>
      </c>
      <c r="AU5373" s="6" t="str">
        <f>HYPERLINK("http://catalog.hathitrust.org/Record/005124626","HathiTrust Record")</f>
        <v>HathiTrust Record</v>
      </c>
      <c r="AV5373" s="6" t="str">
        <f>HYPERLINK("http://mcgill.on.worldcat.org/oclc/61529829","Catalog Record")</f>
        <v>Catalog Record</v>
      </c>
      <c r="AW5373" s="6" t="str">
        <f>HYPERLINK("http://www.worldcat.org/oclc/61529829","WorldCat Record")</f>
        <v>WorldCat Record</v>
      </c>
      <c r="AX5373" s="3" t="s">
        <v>51523</v>
      </c>
      <c r="AY5373" s="3" t="s">
        <v>51524</v>
      </c>
      <c r="AZ5373" s="3" t="s">
        <v>51525</v>
      </c>
      <c r="BA5373" s="3" t="s">
        <v>51525</v>
      </c>
      <c r="BB5373" s="3" t="s">
        <v>51526</v>
      </c>
      <c r="BC5373" s="3" t="s">
        <v>142</v>
      </c>
      <c r="BD5373" s="3" t="s">
        <v>68</v>
      </c>
      <c r="BE5373" s="3" t="s">
        <v>51527</v>
      </c>
      <c r="BF5373" s="3" t="s">
        <v>51526</v>
      </c>
      <c r="BG5373" s="3" t="s">
        <v>51528</v>
      </c>
    </row>
    <row r="5374" spans="1:59" ht="57" x14ac:dyDescent="0.45">
      <c r="A5374" s="2" t="s">
        <v>59</v>
      </c>
      <c r="B5374" s="2" t="s">
        <v>60</v>
      </c>
      <c r="C5374" s="2" t="s">
        <v>51517</v>
      </c>
      <c r="D5374" s="2" t="s">
        <v>51518</v>
      </c>
      <c r="E5374" s="2" t="s">
        <v>51519</v>
      </c>
      <c r="F5374" s="3" t="s">
        <v>90</v>
      </c>
      <c r="G5374" s="3" t="s">
        <v>61</v>
      </c>
      <c r="I5374" s="3" t="s">
        <v>62</v>
      </c>
      <c r="J5374" s="3" t="s">
        <v>62</v>
      </c>
      <c r="K5374" s="3" t="s">
        <v>63</v>
      </c>
      <c r="M5374" s="2" t="s">
        <v>51520</v>
      </c>
      <c r="N5374" s="3" t="s">
        <v>1059</v>
      </c>
      <c r="P5374" s="3" t="s">
        <v>65</v>
      </c>
      <c r="Q5374" s="2" t="s">
        <v>51521</v>
      </c>
      <c r="R5374" s="3" t="s">
        <v>66</v>
      </c>
      <c r="S5374" s="4">
        <v>5</v>
      </c>
      <c r="T5374" s="4">
        <v>13</v>
      </c>
      <c r="U5374" s="5" t="s">
        <v>51529</v>
      </c>
      <c r="V5374" s="5" t="s">
        <v>10639</v>
      </c>
      <c r="W5374" s="5" t="s">
        <v>67</v>
      </c>
      <c r="X5374" s="5" t="s">
        <v>67</v>
      </c>
      <c r="Y5374" s="4">
        <v>151</v>
      </c>
      <c r="Z5374" s="4">
        <v>15</v>
      </c>
      <c r="AA5374" s="4">
        <v>27</v>
      </c>
      <c r="AB5374" s="4">
        <v>1</v>
      </c>
      <c r="AC5374" s="4">
        <v>8</v>
      </c>
      <c r="AD5374" s="4">
        <v>62</v>
      </c>
      <c r="AE5374" s="4">
        <v>84</v>
      </c>
      <c r="AF5374" s="4">
        <v>0</v>
      </c>
      <c r="AG5374" s="4">
        <v>4</v>
      </c>
      <c r="AH5374" s="4">
        <v>56</v>
      </c>
      <c r="AI5374" s="4">
        <v>72</v>
      </c>
      <c r="AJ5374" s="4">
        <v>12</v>
      </c>
      <c r="AK5374" s="4">
        <v>18</v>
      </c>
      <c r="AL5374" s="4">
        <v>37</v>
      </c>
      <c r="AM5374" s="4">
        <v>47</v>
      </c>
      <c r="AN5374" s="4">
        <v>0</v>
      </c>
      <c r="AO5374" s="4">
        <v>0</v>
      </c>
      <c r="AP5374" s="4">
        <v>13</v>
      </c>
      <c r="AQ5374" s="4">
        <v>21</v>
      </c>
      <c r="AR5374" s="3" t="s">
        <v>62</v>
      </c>
      <c r="AS5374" s="3" t="s">
        <v>62</v>
      </c>
      <c r="AT5374" s="3" t="s">
        <v>61</v>
      </c>
      <c r="AU5374" s="6" t="str">
        <f>HYPERLINK("http://catalog.hathitrust.org/Record/005124626","HathiTrust Record")</f>
        <v>HathiTrust Record</v>
      </c>
      <c r="AV5374" s="6" t="str">
        <f>HYPERLINK("http://mcgill.on.worldcat.org/oclc/61529829","Catalog Record")</f>
        <v>Catalog Record</v>
      </c>
      <c r="AW5374" s="6" t="str">
        <f>HYPERLINK("http://www.worldcat.org/oclc/61529829","WorldCat Record")</f>
        <v>WorldCat Record</v>
      </c>
      <c r="AX5374" s="3" t="s">
        <v>51523</v>
      </c>
      <c r="AY5374" s="3" t="s">
        <v>51524</v>
      </c>
      <c r="AZ5374" s="3" t="s">
        <v>51525</v>
      </c>
      <c r="BA5374" s="3" t="s">
        <v>51525</v>
      </c>
      <c r="BB5374" s="3" t="s">
        <v>51530</v>
      </c>
      <c r="BC5374" s="3" t="s">
        <v>142</v>
      </c>
      <c r="BD5374" s="3" t="s">
        <v>68</v>
      </c>
      <c r="BE5374" s="3" t="s">
        <v>51527</v>
      </c>
      <c r="BF5374" s="3" t="s">
        <v>51530</v>
      </c>
      <c r="BG5374" s="3" t="s">
        <v>51531</v>
      </c>
    </row>
    <row r="5375" spans="1:59" ht="57" x14ac:dyDescent="0.45">
      <c r="A5375" s="2" t="s">
        <v>59</v>
      </c>
      <c r="B5375" s="2" t="s">
        <v>60</v>
      </c>
      <c r="C5375" s="2" t="s">
        <v>51517</v>
      </c>
      <c r="D5375" s="2" t="s">
        <v>51518</v>
      </c>
      <c r="E5375" s="2" t="s">
        <v>51519</v>
      </c>
      <c r="F5375" s="3" t="s">
        <v>83</v>
      </c>
      <c r="G5375" s="3" t="s">
        <v>61</v>
      </c>
      <c r="I5375" s="3" t="s">
        <v>62</v>
      </c>
      <c r="J5375" s="3" t="s">
        <v>62</v>
      </c>
      <c r="K5375" s="3" t="s">
        <v>63</v>
      </c>
      <c r="M5375" s="2" t="s">
        <v>51520</v>
      </c>
      <c r="N5375" s="3" t="s">
        <v>1059</v>
      </c>
      <c r="P5375" s="3" t="s">
        <v>65</v>
      </c>
      <c r="Q5375" s="2" t="s">
        <v>51521</v>
      </c>
      <c r="R5375" s="3" t="s">
        <v>66</v>
      </c>
      <c r="S5375" s="4">
        <v>2</v>
      </c>
      <c r="T5375" s="4">
        <v>13</v>
      </c>
      <c r="U5375" s="5" t="s">
        <v>37733</v>
      </c>
      <c r="V5375" s="5" t="s">
        <v>10639</v>
      </c>
      <c r="W5375" s="5" t="s">
        <v>67</v>
      </c>
      <c r="X5375" s="5" t="s">
        <v>67</v>
      </c>
      <c r="Y5375" s="4">
        <v>151</v>
      </c>
      <c r="Z5375" s="4">
        <v>15</v>
      </c>
      <c r="AA5375" s="4">
        <v>27</v>
      </c>
      <c r="AB5375" s="4">
        <v>1</v>
      </c>
      <c r="AC5375" s="4">
        <v>8</v>
      </c>
      <c r="AD5375" s="4">
        <v>62</v>
      </c>
      <c r="AE5375" s="4">
        <v>84</v>
      </c>
      <c r="AF5375" s="4">
        <v>0</v>
      </c>
      <c r="AG5375" s="4">
        <v>4</v>
      </c>
      <c r="AH5375" s="4">
        <v>56</v>
      </c>
      <c r="AI5375" s="4">
        <v>72</v>
      </c>
      <c r="AJ5375" s="4">
        <v>12</v>
      </c>
      <c r="AK5375" s="4">
        <v>18</v>
      </c>
      <c r="AL5375" s="4">
        <v>37</v>
      </c>
      <c r="AM5375" s="4">
        <v>47</v>
      </c>
      <c r="AN5375" s="4">
        <v>0</v>
      </c>
      <c r="AO5375" s="4">
        <v>0</v>
      </c>
      <c r="AP5375" s="4">
        <v>13</v>
      </c>
      <c r="AQ5375" s="4">
        <v>21</v>
      </c>
      <c r="AR5375" s="3" t="s">
        <v>62</v>
      </c>
      <c r="AS5375" s="3" t="s">
        <v>62</v>
      </c>
      <c r="AT5375" s="3" t="s">
        <v>61</v>
      </c>
      <c r="AU5375" s="6" t="str">
        <f>HYPERLINK("http://catalog.hathitrust.org/Record/005124626","HathiTrust Record")</f>
        <v>HathiTrust Record</v>
      </c>
      <c r="AV5375" s="6" t="str">
        <f>HYPERLINK("http://mcgill.on.worldcat.org/oclc/61529829","Catalog Record")</f>
        <v>Catalog Record</v>
      </c>
      <c r="AW5375" s="6" t="str">
        <f>HYPERLINK("http://www.worldcat.org/oclc/61529829","WorldCat Record")</f>
        <v>WorldCat Record</v>
      </c>
      <c r="AX5375" s="3" t="s">
        <v>51523</v>
      </c>
      <c r="AY5375" s="3" t="s">
        <v>51524</v>
      </c>
      <c r="AZ5375" s="3" t="s">
        <v>51525</v>
      </c>
      <c r="BA5375" s="3" t="s">
        <v>51525</v>
      </c>
      <c r="BB5375" s="3" t="s">
        <v>51532</v>
      </c>
      <c r="BC5375" s="3" t="s">
        <v>142</v>
      </c>
      <c r="BD5375" s="3" t="s">
        <v>68</v>
      </c>
      <c r="BE5375" s="3" t="s">
        <v>51527</v>
      </c>
      <c r="BF5375" s="3" t="s">
        <v>51532</v>
      </c>
      <c r="BG5375" s="3" t="s">
        <v>51533</v>
      </c>
    </row>
    <row r="5376" spans="1:59" ht="57" x14ac:dyDescent="0.45">
      <c r="A5376" s="2" t="s">
        <v>59</v>
      </c>
      <c r="B5376" s="2" t="s">
        <v>60</v>
      </c>
      <c r="C5376" s="2" t="s">
        <v>51517</v>
      </c>
      <c r="D5376" s="2" t="s">
        <v>51518</v>
      </c>
      <c r="E5376" s="2" t="s">
        <v>51519</v>
      </c>
      <c r="F5376" s="3" t="s">
        <v>51534</v>
      </c>
      <c r="G5376" s="3" t="s">
        <v>61</v>
      </c>
      <c r="I5376" s="3" t="s">
        <v>62</v>
      </c>
      <c r="J5376" s="3" t="s">
        <v>62</v>
      </c>
      <c r="K5376" s="3" t="s">
        <v>63</v>
      </c>
      <c r="M5376" s="2" t="s">
        <v>51520</v>
      </c>
      <c r="N5376" s="3" t="s">
        <v>1059</v>
      </c>
      <c r="P5376" s="3" t="s">
        <v>65</v>
      </c>
      <c r="Q5376" s="2" t="s">
        <v>51521</v>
      </c>
      <c r="R5376" s="3" t="s">
        <v>66</v>
      </c>
      <c r="S5376" s="4">
        <v>2</v>
      </c>
      <c r="T5376" s="4">
        <v>13</v>
      </c>
      <c r="U5376" s="5" t="s">
        <v>51535</v>
      </c>
      <c r="V5376" s="5" t="s">
        <v>10639</v>
      </c>
      <c r="W5376" s="5" t="s">
        <v>67</v>
      </c>
      <c r="X5376" s="5" t="s">
        <v>67</v>
      </c>
      <c r="Y5376" s="4">
        <v>151</v>
      </c>
      <c r="Z5376" s="4">
        <v>15</v>
      </c>
      <c r="AA5376" s="4">
        <v>27</v>
      </c>
      <c r="AB5376" s="4">
        <v>1</v>
      </c>
      <c r="AC5376" s="4">
        <v>8</v>
      </c>
      <c r="AD5376" s="4">
        <v>62</v>
      </c>
      <c r="AE5376" s="4">
        <v>84</v>
      </c>
      <c r="AF5376" s="4">
        <v>0</v>
      </c>
      <c r="AG5376" s="4">
        <v>4</v>
      </c>
      <c r="AH5376" s="4">
        <v>56</v>
      </c>
      <c r="AI5376" s="4">
        <v>72</v>
      </c>
      <c r="AJ5376" s="4">
        <v>12</v>
      </c>
      <c r="AK5376" s="4">
        <v>18</v>
      </c>
      <c r="AL5376" s="4">
        <v>37</v>
      </c>
      <c r="AM5376" s="4">
        <v>47</v>
      </c>
      <c r="AN5376" s="4">
        <v>0</v>
      </c>
      <c r="AO5376" s="4">
        <v>0</v>
      </c>
      <c r="AP5376" s="4">
        <v>13</v>
      </c>
      <c r="AQ5376" s="4">
        <v>21</v>
      </c>
      <c r="AR5376" s="3" t="s">
        <v>62</v>
      </c>
      <c r="AS5376" s="3" t="s">
        <v>62</v>
      </c>
      <c r="AT5376" s="3" t="s">
        <v>61</v>
      </c>
      <c r="AU5376" s="6" t="str">
        <f>HYPERLINK("http://catalog.hathitrust.org/Record/005124626","HathiTrust Record")</f>
        <v>HathiTrust Record</v>
      </c>
      <c r="AV5376" s="6" t="str">
        <f>HYPERLINK("http://mcgill.on.worldcat.org/oclc/61529829","Catalog Record")</f>
        <v>Catalog Record</v>
      </c>
      <c r="AW5376" s="6" t="str">
        <f>HYPERLINK("http://www.worldcat.org/oclc/61529829","WorldCat Record")</f>
        <v>WorldCat Record</v>
      </c>
      <c r="AX5376" s="3" t="s">
        <v>51523</v>
      </c>
      <c r="AY5376" s="3" t="s">
        <v>51524</v>
      </c>
      <c r="AZ5376" s="3" t="s">
        <v>51525</v>
      </c>
      <c r="BA5376" s="3" t="s">
        <v>51525</v>
      </c>
      <c r="BB5376" s="3" t="s">
        <v>51536</v>
      </c>
      <c r="BC5376" s="3" t="s">
        <v>142</v>
      </c>
      <c r="BD5376" s="3" t="s">
        <v>68</v>
      </c>
      <c r="BE5376" s="3" t="s">
        <v>51527</v>
      </c>
      <c r="BF5376" s="3" t="s">
        <v>51536</v>
      </c>
      <c r="BG5376" s="3" t="s">
        <v>51537</v>
      </c>
    </row>
    <row r="5377" spans="1:59" ht="57" x14ac:dyDescent="0.45">
      <c r="A5377" s="2" t="s">
        <v>59</v>
      </c>
      <c r="B5377" s="2" t="s">
        <v>60</v>
      </c>
      <c r="C5377" s="2" t="s">
        <v>51517</v>
      </c>
      <c r="D5377" s="2" t="s">
        <v>51518</v>
      </c>
      <c r="E5377" s="2" t="s">
        <v>51519</v>
      </c>
      <c r="F5377" s="3" t="s">
        <v>87</v>
      </c>
      <c r="G5377" s="3" t="s">
        <v>61</v>
      </c>
      <c r="I5377" s="3" t="s">
        <v>62</v>
      </c>
      <c r="J5377" s="3" t="s">
        <v>62</v>
      </c>
      <c r="K5377" s="3" t="s">
        <v>63</v>
      </c>
      <c r="M5377" s="2" t="s">
        <v>51520</v>
      </c>
      <c r="N5377" s="3" t="s">
        <v>1059</v>
      </c>
      <c r="P5377" s="3" t="s">
        <v>65</v>
      </c>
      <c r="Q5377" s="2" t="s">
        <v>51521</v>
      </c>
      <c r="R5377" s="3" t="s">
        <v>66</v>
      </c>
      <c r="S5377" s="4">
        <v>2</v>
      </c>
      <c r="T5377" s="4">
        <v>13</v>
      </c>
      <c r="U5377" s="5" t="s">
        <v>10639</v>
      </c>
      <c r="V5377" s="5" t="s">
        <v>10639</v>
      </c>
      <c r="W5377" s="5" t="s">
        <v>67</v>
      </c>
      <c r="X5377" s="5" t="s">
        <v>67</v>
      </c>
      <c r="Y5377" s="4">
        <v>151</v>
      </c>
      <c r="Z5377" s="4">
        <v>15</v>
      </c>
      <c r="AA5377" s="4">
        <v>27</v>
      </c>
      <c r="AB5377" s="4">
        <v>1</v>
      </c>
      <c r="AC5377" s="4">
        <v>8</v>
      </c>
      <c r="AD5377" s="4">
        <v>62</v>
      </c>
      <c r="AE5377" s="4">
        <v>84</v>
      </c>
      <c r="AF5377" s="4">
        <v>0</v>
      </c>
      <c r="AG5377" s="4">
        <v>4</v>
      </c>
      <c r="AH5377" s="4">
        <v>56</v>
      </c>
      <c r="AI5377" s="4">
        <v>72</v>
      </c>
      <c r="AJ5377" s="4">
        <v>12</v>
      </c>
      <c r="AK5377" s="4">
        <v>18</v>
      </c>
      <c r="AL5377" s="4">
        <v>37</v>
      </c>
      <c r="AM5377" s="4">
        <v>47</v>
      </c>
      <c r="AN5377" s="4">
        <v>0</v>
      </c>
      <c r="AO5377" s="4">
        <v>0</v>
      </c>
      <c r="AP5377" s="4">
        <v>13</v>
      </c>
      <c r="AQ5377" s="4">
        <v>21</v>
      </c>
      <c r="AR5377" s="3" t="s">
        <v>62</v>
      </c>
      <c r="AS5377" s="3" t="s">
        <v>62</v>
      </c>
      <c r="AT5377" s="3" t="s">
        <v>61</v>
      </c>
      <c r="AU5377" s="6" t="str">
        <f>HYPERLINK("http://catalog.hathitrust.org/Record/005124626","HathiTrust Record")</f>
        <v>HathiTrust Record</v>
      </c>
      <c r="AV5377" s="6" t="str">
        <f>HYPERLINK("http://mcgill.on.worldcat.org/oclc/61529829","Catalog Record")</f>
        <v>Catalog Record</v>
      </c>
      <c r="AW5377" s="6" t="str">
        <f>HYPERLINK("http://www.worldcat.org/oclc/61529829","WorldCat Record")</f>
        <v>WorldCat Record</v>
      </c>
      <c r="AX5377" s="3" t="s">
        <v>51523</v>
      </c>
      <c r="AY5377" s="3" t="s">
        <v>51524</v>
      </c>
      <c r="AZ5377" s="3" t="s">
        <v>51525</v>
      </c>
      <c r="BA5377" s="3" t="s">
        <v>51525</v>
      </c>
      <c r="BB5377" s="3" t="s">
        <v>51538</v>
      </c>
      <c r="BC5377" s="3" t="s">
        <v>142</v>
      </c>
      <c r="BD5377" s="3" t="s">
        <v>68</v>
      </c>
      <c r="BE5377" s="3" t="s">
        <v>51527</v>
      </c>
      <c r="BF5377" s="3" t="s">
        <v>51538</v>
      </c>
      <c r="BG5377" s="3" t="s">
        <v>51539</v>
      </c>
    </row>
    <row r="5378" spans="1:59" ht="57" x14ac:dyDescent="0.45">
      <c r="A5378" s="2" t="s">
        <v>59</v>
      </c>
      <c r="B5378" s="2" t="s">
        <v>60</v>
      </c>
      <c r="C5378" s="2" t="s">
        <v>51540</v>
      </c>
      <c r="D5378" s="2" t="s">
        <v>51541</v>
      </c>
      <c r="E5378" s="2" t="s">
        <v>51542</v>
      </c>
      <c r="G5378" s="3" t="s">
        <v>62</v>
      </c>
      <c r="I5378" s="3" t="s">
        <v>62</v>
      </c>
      <c r="J5378" s="3" t="s">
        <v>62</v>
      </c>
      <c r="K5378" s="3" t="s">
        <v>63</v>
      </c>
      <c r="M5378" s="2" t="s">
        <v>51543</v>
      </c>
      <c r="N5378" s="3" t="s">
        <v>116</v>
      </c>
      <c r="P5378" s="3" t="s">
        <v>65</v>
      </c>
      <c r="Q5378" s="2" t="s">
        <v>51544</v>
      </c>
      <c r="R5378" s="3" t="s">
        <v>66</v>
      </c>
      <c r="S5378" s="4">
        <v>0</v>
      </c>
      <c r="T5378" s="4">
        <v>0</v>
      </c>
      <c r="W5378" s="5" t="s">
        <v>67</v>
      </c>
      <c r="X5378" s="5" t="s">
        <v>67</v>
      </c>
      <c r="Y5378" s="4">
        <v>76</v>
      </c>
      <c r="Z5378" s="4">
        <v>10</v>
      </c>
      <c r="AA5378" s="4">
        <v>17</v>
      </c>
      <c r="AB5378" s="4">
        <v>1</v>
      </c>
      <c r="AC5378" s="4">
        <v>5</v>
      </c>
      <c r="AD5378" s="4">
        <v>28</v>
      </c>
      <c r="AE5378" s="4">
        <v>36</v>
      </c>
      <c r="AF5378" s="4">
        <v>0</v>
      </c>
      <c r="AG5378" s="4">
        <v>1</v>
      </c>
      <c r="AH5378" s="4">
        <v>24</v>
      </c>
      <c r="AI5378" s="4">
        <v>31</v>
      </c>
      <c r="AJ5378" s="4">
        <v>8</v>
      </c>
      <c r="AK5378" s="4">
        <v>12</v>
      </c>
      <c r="AL5378" s="4">
        <v>16</v>
      </c>
      <c r="AM5378" s="4">
        <v>18</v>
      </c>
      <c r="AN5378" s="4">
        <v>0</v>
      </c>
      <c r="AO5378" s="4">
        <v>0</v>
      </c>
      <c r="AP5378" s="4">
        <v>8</v>
      </c>
      <c r="AQ5378" s="4">
        <v>11</v>
      </c>
      <c r="AR5378" s="3" t="s">
        <v>62</v>
      </c>
      <c r="AS5378" s="3" t="s">
        <v>62</v>
      </c>
      <c r="AT5378" s="3" t="s">
        <v>62</v>
      </c>
      <c r="AV5378" s="6" t="str">
        <f>HYPERLINK("http://mcgill.on.worldcat.org/oclc/606767042","Catalog Record")</f>
        <v>Catalog Record</v>
      </c>
      <c r="AW5378" s="6" t="str">
        <f>HYPERLINK("http://www.worldcat.org/oclc/606767042","WorldCat Record")</f>
        <v>WorldCat Record</v>
      </c>
      <c r="AX5378" s="3" t="s">
        <v>51545</v>
      </c>
      <c r="AY5378" s="3" t="s">
        <v>51546</v>
      </c>
      <c r="AZ5378" s="3" t="s">
        <v>51547</v>
      </c>
      <c r="BA5378" s="3" t="s">
        <v>51547</v>
      </c>
      <c r="BB5378" s="3" t="s">
        <v>51548</v>
      </c>
      <c r="BC5378" s="3" t="s">
        <v>142</v>
      </c>
      <c r="BD5378" s="3" t="s">
        <v>68</v>
      </c>
      <c r="BE5378" s="3" t="s">
        <v>51549</v>
      </c>
      <c r="BF5378" s="3" t="s">
        <v>51548</v>
      </c>
      <c r="BG5378" s="3" t="s">
        <v>51550</v>
      </c>
    </row>
    <row r="5379" spans="1:59" ht="57" x14ac:dyDescent="0.45">
      <c r="A5379" s="2" t="s">
        <v>59</v>
      </c>
      <c r="B5379" s="2" t="s">
        <v>60</v>
      </c>
      <c r="C5379" s="2" t="s">
        <v>51551</v>
      </c>
      <c r="D5379" s="2" t="s">
        <v>51552</v>
      </c>
      <c r="E5379" s="2" t="s">
        <v>51553</v>
      </c>
      <c r="G5379" s="3" t="s">
        <v>62</v>
      </c>
      <c r="I5379" s="3" t="s">
        <v>62</v>
      </c>
      <c r="J5379" s="3" t="s">
        <v>62</v>
      </c>
      <c r="K5379" s="3" t="s">
        <v>63</v>
      </c>
      <c r="M5379" s="2" t="s">
        <v>51554</v>
      </c>
      <c r="N5379" s="3" t="s">
        <v>3160</v>
      </c>
      <c r="P5379" s="3" t="s">
        <v>65</v>
      </c>
      <c r="Q5379" s="2" t="s">
        <v>51555</v>
      </c>
      <c r="R5379" s="3" t="s">
        <v>66</v>
      </c>
      <c r="S5379" s="4">
        <v>12</v>
      </c>
      <c r="T5379" s="4">
        <v>12</v>
      </c>
      <c r="U5379" s="5" t="s">
        <v>22871</v>
      </c>
      <c r="V5379" s="5" t="s">
        <v>22871</v>
      </c>
      <c r="W5379" s="5" t="s">
        <v>67</v>
      </c>
      <c r="X5379" s="5" t="s">
        <v>67</v>
      </c>
      <c r="Y5379" s="4">
        <v>135</v>
      </c>
      <c r="Z5379" s="4">
        <v>9</v>
      </c>
      <c r="AA5379" s="4">
        <v>27</v>
      </c>
      <c r="AB5379" s="4">
        <v>1</v>
      </c>
      <c r="AC5379" s="4">
        <v>4</v>
      </c>
      <c r="AD5379" s="4">
        <v>38</v>
      </c>
      <c r="AE5379" s="4">
        <v>121</v>
      </c>
      <c r="AF5379" s="4">
        <v>0</v>
      </c>
      <c r="AG5379" s="4">
        <v>3</v>
      </c>
      <c r="AH5379" s="4">
        <v>33</v>
      </c>
      <c r="AI5379" s="4">
        <v>104</v>
      </c>
      <c r="AJ5379" s="4">
        <v>8</v>
      </c>
      <c r="AK5379" s="4">
        <v>21</v>
      </c>
      <c r="AL5379" s="4">
        <v>21</v>
      </c>
      <c r="AM5379" s="4">
        <v>56</v>
      </c>
      <c r="AN5379" s="4">
        <v>0</v>
      </c>
      <c r="AO5379" s="4">
        <v>0</v>
      </c>
      <c r="AP5379" s="4">
        <v>8</v>
      </c>
      <c r="AQ5379" s="4">
        <v>24</v>
      </c>
      <c r="AR5379" s="3" t="s">
        <v>62</v>
      </c>
      <c r="AS5379" s="3" t="s">
        <v>62</v>
      </c>
      <c r="AT5379" s="3" t="s">
        <v>62</v>
      </c>
      <c r="AV5379" s="6" t="str">
        <f>HYPERLINK("http://mcgill.on.worldcat.org/oclc/8119646","Catalog Record")</f>
        <v>Catalog Record</v>
      </c>
      <c r="AW5379" s="6" t="str">
        <f>HYPERLINK("http://www.worldcat.org/oclc/8119646","WorldCat Record")</f>
        <v>WorldCat Record</v>
      </c>
      <c r="AX5379" s="3" t="s">
        <v>51556</v>
      </c>
      <c r="AY5379" s="3" t="s">
        <v>51557</v>
      </c>
      <c r="AZ5379" s="3" t="s">
        <v>51558</v>
      </c>
      <c r="BA5379" s="3" t="s">
        <v>51558</v>
      </c>
      <c r="BB5379" s="3" t="s">
        <v>51559</v>
      </c>
      <c r="BC5379" s="3" t="s">
        <v>142</v>
      </c>
      <c r="BD5379" s="3" t="s">
        <v>68</v>
      </c>
      <c r="BE5379" s="3" t="s">
        <v>51560</v>
      </c>
      <c r="BF5379" s="3" t="s">
        <v>51559</v>
      </c>
      <c r="BG5379" s="3" t="s">
        <v>51561</v>
      </c>
    </row>
    <row r="5380" spans="1:59" ht="57" x14ac:dyDescent="0.45">
      <c r="A5380" s="2" t="s">
        <v>59</v>
      </c>
      <c r="B5380" s="2" t="s">
        <v>60</v>
      </c>
      <c r="C5380" s="2" t="s">
        <v>51562</v>
      </c>
      <c r="D5380" s="2" t="s">
        <v>51563</v>
      </c>
      <c r="E5380" s="2" t="s">
        <v>51564</v>
      </c>
      <c r="G5380" s="3" t="s">
        <v>62</v>
      </c>
      <c r="I5380" s="3" t="s">
        <v>62</v>
      </c>
      <c r="J5380" s="3" t="s">
        <v>62</v>
      </c>
      <c r="K5380" s="3" t="s">
        <v>63</v>
      </c>
      <c r="L5380" s="2" t="s">
        <v>51565</v>
      </c>
      <c r="M5380" s="2" t="s">
        <v>51566</v>
      </c>
      <c r="N5380" s="3" t="s">
        <v>181</v>
      </c>
      <c r="P5380" s="3" t="s">
        <v>326</v>
      </c>
      <c r="Q5380" s="2" t="s">
        <v>51567</v>
      </c>
      <c r="R5380" s="3" t="s">
        <v>66</v>
      </c>
      <c r="S5380" s="4">
        <v>0</v>
      </c>
      <c r="T5380" s="4">
        <v>0</v>
      </c>
      <c r="W5380" s="5" t="s">
        <v>67</v>
      </c>
      <c r="X5380" s="5" t="s">
        <v>67</v>
      </c>
      <c r="Y5380" s="4">
        <v>65</v>
      </c>
      <c r="Z5380" s="4">
        <v>4</v>
      </c>
      <c r="AA5380" s="4">
        <v>5</v>
      </c>
      <c r="AB5380" s="4">
        <v>1</v>
      </c>
      <c r="AC5380" s="4">
        <v>2</v>
      </c>
      <c r="AD5380" s="4">
        <v>20</v>
      </c>
      <c r="AE5380" s="4">
        <v>21</v>
      </c>
      <c r="AF5380" s="4">
        <v>0</v>
      </c>
      <c r="AG5380" s="4">
        <v>1</v>
      </c>
      <c r="AH5380" s="4">
        <v>20</v>
      </c>
      <c r="AI5380" s="4">
        <v>20</v>
      </c>
      <c r="AJ5380" s="4">
        <v>2</v>
      </c>
      <c r="AK5380" s="4">
        <v>3</v>
      </c>
      <c r="AL5380" s="4">
        <v>14</v>
      </c>
      <c r="AM5380" s="4">
        <v>14</v>
      </c>
      <c r="AN5380" s="4">
        <v>0</v>
      </c>
      <c r="AO5380" s="4">
        <v>0</v>
      </c>
      <c r="AP5380" s="4">
        <v>2</v>
      </c>
      <c r="AQ5380" s="4">
        <v>2</v>
      </c>
      <c r="AR5380" s="3" t="s">
        <v>62</v>
      </c>
      <c r="AS5380" s="3" t="s">
        <v>62</v>
      </c>
      <c r="AT5380" s="3" t="s">
        <v>62</v>
      </c>
      <c r="AV5380" s="6" t="str">
        <f>HYPERLINK("http://mcgill.on.worldcat.org/oclc/310617590","Catalog Record")</f>
        <v>Catalog Record</v>
      </c>
      <c r="AW5380" s="6" t="str">
        <f>HYPERLINK("http://www.worldcat.org/oclc/310617590","WorldCat Record")</f>
        <v>WorldCat Record</v>
      </c>
      <c r="AX5380" s="3" t="s">
        <v>51568</v>
      </c>
      <c r="AY5380" s="3" t="s">
        <v>51569</v>
      </c>
      <c r="AZ5380" s="3" t="s">
        <v>51570</v>
      </c>
      <c r="BA5380" s="3" t="s">
        <v>51570</v>
      </c>
      <c r="BB5380" s="3" t="s">
        <v>51571</v>
      </c>
      <c r="BC5380" s="3" t="s">
        <v>142</v>
      </c>
      <c r="BD5380" s="3" t="s">
        <v>68</v>
      </c>
      <c r="BE5380" s="3" t="s">
        <v>51572</v>
      </c>
      <c r="BF5380" s="3" t="s">
        <v>51571</v>
      </c>
      <c r="BG5380" s="3" t="s">
        <v>51573</v>
      </c>
    </row>
    <row r="5381" spans="1:59" ht="57" x14ac:dyDescent="0.45">
      <c r="A5381" s="2" t="s">
        <v>59</v>
      </c>
      <c r="B5381" s="2" t="s">
        <v>60</v>
      </c>
      <c r="C5381" s="2" t="s">
        <v>51574</v>
      </c>
      <c r="D5381" s="2" t="s">
        <v>51575</v>
      </c>
      <c r="E5381" s="2" t="s">
        <v>51576</v>
      </c>
      <c r="G5381" s="3" t="s">
        <v>62</v>
      </c>
      <c r="I5381" s="3" t="s">
        <v>62</v>
      </c>
      <c r="J5381" s="3" t="s">
        <v>62</v>
      </c>
      <c r="K5381" s="3" t="s">
        <v>63</v>
      </c>
      <c r="L5381" s="2" t="s">
        <v>2021</v>
      </c>
      <c r="M5381" s="2" t="s">
        <v>1713</v>
      </c>
      <c r="N5381" s="3" t="s">
        <v>1155</v>
      </c>
      <c r="P5381" s="3" t="s">
        <v>65</v>
      </c>
      <c r="Q5381" s="2" t="s">
        <v>51577</v>
      </c>
      <c r="R5381" s="3" t="s">
        <v>66</v>
      </c>
      <c r="S5381" s="4">
        <v>3</v>
      </c>
      <c r="T5381" s="4">
        <v>3</v>
      </c>
      <c r="U5381" s="5" t="s">
        <v>51578</v>
      </c>
      <c r="V5381" s="5" t="s">
        <v>51578</v>
      </c>
      <c r="W5381" s="5" t="s">
        <v>67</v>
      </c>
      <c r="X5381" s="5" t="s">
        <v>67</v>
      </c>
      <c r="Y5381" s="4">
        <v>136</v>
      </c>
      <c r="Z5381" s="4">
        <v>13</v>
      </c>
      <c r="AA5381" s="4">
        <v>79</v>
      </c>
      <c r="AB5381" s="4">
        <v>1</v>
      </c>
      <c r="AC5381" s="4">
        <v>15</v>
      </c>
      <c r="AD5381" s="4">
        <v>57</v>
      </c>
      <c r="AE5381" s="4">
        <v>110</v>
      </c>
      <c r="AF5381" s="4">
        <v>0</v>
      </c>
      <c r="AG5381" s="4">
        <v>8</v>
      </c>
      <c r="AH5381" s="4">
        <v>53</v>
      </c>
      <c r="AI5381" s="4">
        <v>79</v>
      </c>
      <c r="AJ5381" s="4">
        <v>10</v>
      </c>
      <c r="AK5381" s="4">
        <v>23</v>
      </c>
      <c r="AL5381" s="4">
        <v>32</v>
      </c>
      <c r="AM5381" s="4">
        <v>43</v>
      </c>
      <c r="AN5381" s="4">
        <v>0</v>
      </c>
      <c r="AO5381" s="4">
        <v>0</v>
      </c>
      <c r="AP5381" s="4">
        <v>11</v>
      </c>
      <c r="AQ5381" s="4">
        <v>42</v>
      </c>
      <c r="AR5381" s="3" t="s">
        <v>62</v>
      </c>
      <c r="AS5381" s="3" t="s">
        <v>62</v>
      </c>
      <c r="AT5381" s="3" t="s">
        <v>62</v>
      </c>
      <c r="AV5381" s="6" t="str">
        <f>HYPERLINK("http://mcgill.on.worldcat.org/oclc/773495314","Catalog Record")</f>
        <v>Catalog Record</v>
      </c>
      <c r="AW5381" s="6" t="str">
        <f>HYPERLINK("http://www.worldcat.org/oclc/773495314","WorldCat Record")</f>
        <v>WorldCat Record</v>
      </c>
      <c r="AX5381" s="3" t="s">
        <v>51579</v>
      </c>
      <c r="AY5381" s="3" t="s">
        <v>51580</v>
      </c>
      <c r="AZ5381" s="3" t="s">
        <v>51581</v>
      </c>
      <c r="BA5381" s="3" t="s">
        <v>51581</v>
      </c>
      <c r="BB5381" s="3" t="s">
        <v>51582</v>
      </c>
      <c r="BC5381" s="3" t="s">
        <v>142</v>
      </c>
      <c r="BD5381" s="3" t="s">
        <v>308</v>
      </c>
      <c r="BE5381" s="3" t="s">
        <v>51583</v>
      </c>
      <c r="BF5381" s="3" t="s">
        <v>51582</v>
      </c>
      <c r="BG5381" s="3" t="s">
        <v>51584</v>
      </c>
    </row>
    <row r="5382" spans="1:59" ht="57" x14ac:dyDescent="0.45">
      <c r="A5382" s="2" t="s">
        <v>59</v>
      </c>
      <c r="B5382" s="2" t="s">
        <v>60</v>
      </c>
      <c r="C5382" s="2" t="s">
        <v>51585</v>
      </c>
      <c r="D5382" s="2" t="s">
        <v>51586</v>
      </c>
      <c r="E5382" s="2" t="s">
        <v>51587</v>
      </c>
      <c r="G5382" s="3" t="s">
        <v>62</v>
      </c>
      <c r="I5382" s="3" t="s">
        <v>62</v>
      </c>
      <c r="J5382" s="3" t="s">
        <v>62</v>
      </c>
      <c r="K5382" s="3" t="s">
        <v>63</v>
      </c>
      <c r="L5382" s="2" t="s">
        <v>51588</v>
      </c>
      <c r="M5382" s="2" t="s">
        <v>38466</v>
      </c>
      <c r="N5382" s="3" t="s">
        <v>1465</v>
      </c>
      <c r="P5382" s="3" t="s">
        <v>65</v>
      </c>
      <c r="Q5382" s="2" t="s">
        <v>21253</v>
      </c>
      <c r="R5382" s="3" t="s">
        <v>66</v>
      </c>
      <c r="S5382" s="4">
        <v>3</v>
      </c>
      <c r="T5382" s="4">
        <v>3</v>
      </c>
      <c r="U5382" s="5" t="s">
        <v>169</v>
      </c>
      <c r="V5382" s="5" t="s">
        <v>169</v>
      </c>
      <c r="W5382" s="5" t="s">
        <v>67</v>
      </c>
      <c r="X5382" s="5" t="s">
        <v>67</v>
      </c>
      <c r="Y5382" s="4">
        <v>152</v>
      </c>
      <c r="Z5382" s="4">
        <v>17</v>
      </c>
      <c r="AA5382" s="4">
        <v>107</v>
      </c>
      <c r="AB5382" s="4">
        <v>2</v>
      </c>
      <c r="AC5382" s="4">
        <v>21</v>
      </c>
      <c r="AD5382" s="4">
        <v>70</v>
      </c>
      <c r="AE5382" s="4">
        <v>139</v>
      </c>
      <c r="AF5382" s="4">
        <v>0</v>
      </c>
      <c r="AG5382" s="4">
        <v>8</v>
      </c>
      <c r="AH5382" s="4">
        <v>66</v>
      </c>
      <c r="AI5382" s="4">
        <v>93</v>
      </c>
      <c r="AJ5382" s="4">
        <v>11</v>
      </c>
      <c r="AK5382" s="4">
        <v>26</v>
      </c>
      <c r="AL5382" s="4">
        <v>39</v>
      </c>
      <c r="AM5382" s="4">
        <v>49</v>
      </c>
      <c r="AN5382" s="4">
        <v>0</v>
      </c>
      <c r="AO5382" s="4">
        <v>0</v>
      </c>
      <c r="AP5382" s="4">
        <v>12</v>
      </c>
      <c r="AQ5382" s="4">
        <v>54</v>
      </c>
      <c r="AR5382" s="3" t="s">
        <v>62</v>
      </c>
      <c r="AS5382" s="3" t="s">
        <v>62</v>
      </c>
      <c r="AT5382" s="3" t="s">
        <v>62</v>
      </c>
      <c r="AV5382" s="6" t="str">
        <f>HYPERLINK("http://mcgill.on.worldcat.org/oclc/317473146","Catalog Record")</f>
        <v>Catalog Record</v>
      </c>
      <c r="AW5382" s="6" t="str">
        <f>HYPERLINK("http://www.worldcat.org/oclc/317473146","WorldCat Record")</f>
        <v>WorldCat Record</v>
      </c>
      <c r="AX5382" s="3" t="s">
        <v>51589</v>
      </c>
      <c r="AY5382" s="3" t="s">
        <v>51590</v>
      </c>
      <c r="AZ5382" s="3" t="s">
        <v>51591</v>
      </c>
      <c r="BA5382" s="3" t="s">
        <v>51591</v>
      </c>
      <c r="BB5382" s="3" t="s">
        <v>51592</v>
      </c>
      <c r="BC5382" s="3" t="s">
        <v>142</v>
      </c>
      <c r="BD5382" s="3" t="s">
        <v>308</v>
      </c>
      <c r="BE5382" s="3" t="s">
        <v>51593</v>
      </c>
      <c r="BF5382" s="3" t="s">
        <v>51592</v>
      </c>
      <c r="BG5382" s="3" t="s">
        <v>51594</v>
      </c>
    </row>
    <row r="5383" spans="1:59" ht="57" x14ac:dyDescent="0.45">
      <c r="A5383" s="2" t="s">
        <v>59</v>
      </c>
      <c r="B5383" s="2" t="s">
        <v>60</v>
      </c>
      <c r="C5383" s="2" t="s">
        <v>51595</v>
      </c>
      <c r="D5383" s="2" t="s">
        <v>51596</v>
      </c>
      <c r="E5383" s="2" t="s">
        <v>51597</v>
      </c>
      <c r="G5383" s="3" t="s">
        <v>62</v>
      </c>
      <c r="I5383" s="3" t="s">
        <v>62</v>
      </c>
      <c r="J5383" s="3" t="s">
        <v>62</v>
      </c>
      <c r="K5383" s="3" t="s">
        <v>63</v>
      </c>
      <c r="L5383" s="2" t="s">
        <v>51598</v>
      </c>
      <c r="M5383" s="2" t="s">
        <v>51599</v>
      </c>
      <c r="N5383" s="3" t="s">
        <v>894</v>
      </c>
      <c r="P5383" s="3" t="s">
        <v>65</v>
      </c>
      <c r="Q5383" s="2" t="s">
        <v>51600</v>
      </c>
      <c r="R5383" s="3" t="s">
        <v>66</v>
      </c>
      <c r="S5383" s="4">
        <v>2</v>
      </c>
      <c r="T5383" s="4">
        <v>2</v>
      </c>
      <c r="U5383" s="5" t="s">
        <v>33198</v>
      </c>
      <c r="V5383" s="5" t="s">
        <v>33198</v>
      </c>
      <c r="W5383" s="5" t="s">
        <v>67</v>
      </c>
      <c r="X5383" s="5" t="s">
        <v>67</v>
      </c>
      <c r="Y5383" s="4">
        <v>154</v>
      </c>
      <c r="Z5383" s="4">
        <v>21</v>
      </c>
      <c r="AA5383" s="4">
        <v>99</v>
      </c>
      <c r="AB5383" s="4">
        <v>1</v>
      </c>
      <c r="AC5383" s="4">
        <v>17</v>
      </c>
      <c r="AD5383" s="4">
        <v>82</v>
      </c>
      <c r="AE5383" s="4">
        <v>136</v>
      </c>
      <c r="AF5383" s="4">
        <v>0</v>
      </c>
      <c r="AG5383" s="4">
        <v>8</v>
      </c>
      <c r="AH5383" s="4">
        <v>75</v>
      </c>
      <c r="AI5383" s="4">
        <v>99</v>
      </c>
      <c r="AJ5383" s="4">
        <v>17</v>
      </c>
      <c r="AK5383" s="4">
        <v>27</v>
      </c>
      <c r="AL5383" s="4">
        <v>41</v>
      </c>
      <c r="AM5383" s="4">
        <v>52</v>
      </c>
      <c r="AN5383" s="4">
        <v>0</v>
      </c>
      <c r="AO5383" s="4">
        <v>0</v>
      </c>
      <c r="AP5383" s="4">
        <v>18</v>
      </c>
      <c r="AQ5383" s="4">
        <v>48</v>
      </c>
      <c r="AR5383" s="3" t="s">
        <v>62</v>
      </c>
      <c r="AS5383" s="3" t="s">
        <v>62</v>
      </c>
      <c r="AT5383" s="3" t="s">
        <v>62</v>
      </c>
      <c r="AV5383" s="6" t="str">
        <f>HYPERLINK("http://mcgill.on.worldcat.org/oclc/607656824","Catalog Record")</f>
        <v>Catalog Record</v>
      </c>
      <c r="AW5383" s="6" t="str">
        <f>HYPERLINK("http://www.worldcat.org/oclc/607656824","WorldCat Record")</f>
        <v>WorldCat Record</v>
      </c>
      <c r="AX5383" s="3" t="s">
        <v>51601</v>
      </c>
      <c r="AY5383" s="3" t="s">
        <v>51602</v>
      </c>
      <c r="AZ5383" s="3" t="s">
        <v>51603</v>
      </c>
      <c r="BA5383" s="3" t="s">
        <v>51603</v>
      </c>
      <c r="BB5383" s="3" t="s">
        <v>51604</v>
      </c>
      <c r="BC5383" s="3" t="s">
        <v>142</v>
      </c>
      <c r="BD5383" s="3" t="s">
        <v>308</v>
      </c>
      <c r="BE5383" s="3" t="s">
        <v>51605</v>
      </c>
      <c r="BF5383" s="3" t="s">
        <v>51604</v>
      </c>
      <c r="BG5383" s="3" t="s">
        <v>51606</v>
      </c>
    </row>
    <row r="5384" spans="1:59" ht="57" x14ac:dyDescent="0.45">
      <c r="A5384" s="2" t="s">
        <v>59</v>
      </c>
      <c r="B5384" s="2" t="s">
        <v>60</v>
      </c>
      <c r="C5384" s="2" t="s">
        <v>51607</v>
      </c>
      <c r="D5384" s="2" t="s">
        <v>51608</v>
      </c>
      <c r="E5384" s="2" t="s">
        <v>51609</v>
      </c>
      <c r="G5384" s="3" t="s">
        <v>62</v>
      </c>
      <c r="I5384" s="3" t="s">
        <v>62</v>
      </c>
      <c r="J5384" s="3" t="s">
        <v>62</v>
      </c>
      <c r="K5384" s="3" t="s">
        <v>63</v>
      </c>
      <c r="L5384" s="2" t="s">
        <v>51610</v>
      </c>
      <c r="M5384" s="2" t="s">
        <v>41787</v>
      </c>
      <c r="N5384" s="3" t="s">
        <v>958</v>
      </c>
      <c r="P5384" s="3" t="s">
        <v>65</v>
      </c>
      <c r="Q5384" s="2" t="s">
        <v>51611</v>
      </c>
      <c r="R5384" s="3" t="s">
        <v>66</v>
      </c>
      <c r="S5384" s="4">
        <v>13</v>
      </c>
      <c r="T5384" s="4">
        <v>13</v>
      </c>
      <c r="U5384" s="5" t="s">
        <v>23996</v>
      </c>
      <c r="V5384" s="5" t="s">
        <v>23996</v>
      </c>
      <c r="W5384" s="5" t="s">
        <v>67</v>
      </c>
      <c r="X5384" s="5" t="s">
        <v>67</v>
      </c>
      <c r="Y5384" s="4">
        <v>233</v>
      </c>
      <c r="Z5384" s="4">
        <v>20</v>
      </c>
      <c r="AA5384" s="4">
        <v>21</v>
      </c>
      <c r="AB5384" s="4">
        <v>2</v>
      </c>
      <c r="AC5384" s="4">
        <v>3</v>
      </c>
      <c r="AD5384" s="4">
        <v>101</v>
      </c>
      <c r="AE5384" s="4">
        <v>102</v>
      </c>
      <c r="AF5384" s="4">
        <v>1</v>
      </c>
      <c r="AG5384" s="4">
        <v>2</v>
      </c>
      <c r="AH5384" s="4">
        <v>90</v>
      </c>
      <c r="AI5384" s="4">
        <v>91</v>
      </c>
      <c r="AJ5384" s="4">
        <v>17</v>
      </c>
      <c r="AK5384" s="4">
        <v>18</v>
      </c>
      <c r="AL5384" s="4">
        <v>51</v>
      </c>
      <c r="AM5384" s="4">
        <v>51</v>
      </c>
      <c r="AN5384" s="4">
        <v>0</v>
      </c>
      <c r="AO5384" s="4">
        <v>0</v>
      </c>
      <c r="AP5384" s="4">
        <v>18</v>
      </c>
      <c r="AQ5384" s="4">
        <v>19</v>
      </c>
      <c r="AR5384" s="3" t="s">
        <v>62</v>
      </c>
      <c r="AS5384" s="3" t="s">
        <v>62</v>
      </c>
      <c r="AT5384" s="3" t="s">
        <v>62</v>
      </c>
      <c r="AV5384" s="6" t="str">
        <f>HYPERLINK("http://mcgill.on.worldcat.org/oclc/32240053","Catalog Record")</f>
        <v>Catalog Record</v>
      </c>
      <c r="AW5384" s="6" t="str">
        <f>HYPERLINK("http://www.worldcat.org/oclc/32240053","WorldCat Record")</f>
        <v>WorldCat Record</v>
      </c>
      <c r="AX5384" s="3" t="s">
        <v>51612</v>
      </c>
      <c r="AY5384" s="3" t="s">
        <v>51613</v>
      </c>
      <c r="AZ5384" s="3" t="s">
        <v>51614</v>
      </c>
      <c r="BA5384" s="3" t="s">
        <v>51614</v>
      </c>
      <c r="BB5384" s="3" t="s">
        <v>51615</v>
      </c>
      <c r="BC5384" s="3" t="s">
        <v>142</v>
      </c>
      <c r="BD5384" s="3" t="s">
        <v>68</v>
      </c>
      <c r="BE5384" s="3" t="s">
        <v>51616</v>
      </c>
      <c r="BF5384" s="3" t="s">
        <v>51615</v>
      </c>
      <c r="BG5384" s="3" t="s">
        <v>51617</v>
      </c>
    </row>
    <row r="5385" spans="1:59" ht="57" x14ac:dyDescent="0.45">
      <c r="A5385" s="2" t="s">
        <v>59</v>
      </c>
      <c r="B5385" s="2" t="s">
        <v>60</v>
      </c>
      <c r="C5385" s="2" t="s">
        <v>51618</v>
      </c>
      <c r="D5385" s="2" t="s">
        <v>51619</v>
      </c>
      <c r="E5385" s="2" t="s">
        <v>51620</v>
      </c>
      <c r="G5385" s="3" t="s">
        <v>62</v>
      </c>
      <c r="I5385" s="3" t="s">
        <v>62</v>
      </c>
      <c r="J5385" s="3" t="s">
        <v>62</v>
      </c>
      <c r="K5385" s="3" t="s">
        <v>63</v>
      </c>
      <c r="L5385" s="2" t="s">
        <v>51610</v>
      </c>
      <c r="M5385" s="2" t="s">
        <v>11266</v>
      </c>
      <c r="N5385" s="3" t="s">
        <v>918</v>
      </c>
      <c r="P5385" s="3" t="s">
        <v>65</v>
      </c>
      <c r="Q5385" s="2" t="s">
        <v>51621</v>
      </c>
      <c r="R5385" s="3" t="s">
        <v>66</v>
      </c>
      <c r="S5385" s="4">
        <v>4</v>
      </c>
      <c r="T5385" s="4">
        <v>4</v>
      </c>
      <c r="U5385" s="5" t="s">
        <v>47757</v>
      </c>
      <c r="V5385" s="5" t="s">
        <v>47757</v>
      </c>
      <c r="W5385" s="5" t="s">
        <v>67</v>
      </c>
      <c r="X5385" s="5" t="s">
        <v>67</v>
      </c>
      <c r="Y5385" s="4">
        <v>126</v>
      </c>
      <c r="Z5385" s="4">
        <v>11</v>
      </c>
      <c r="AA5385" s="4">
        <v>95</v>
      </c>
      <c r="AB5385" s="4">
        <v>1</v>
      </c>
      <c r="AC5385" s="4">
        <v>19</v>
      </c>
      <c r="AD5385" s="4">
        <v>58</v>
      </c>
      <c r="AE5385" s="4">
        <v>131</v>
      </c>
      <c r="AF5385" s="4">
        <v>0</v>
      </c>
      <c r="AG5385" s="4">
        <v>9</v>
      </c>
      <c r="AH5385" s="4">
        <v>56</v>
      </c>
      <c r="AI5385" s="4">
        <v>85</v>
      </c>
      <c r="AJ5385" s="4">
        <v>9</v>
      </c>
      <c r="AK5385" s="4">
        <v>26</v>
      </c>
      <c r="AL5385" s="4">
        <v>30</v>
      </c>
      <c r="AM5385" s="4">
        <v>39</v>
      </c>
      <c r="AN5385" s="4">
        <v>0</v>
      </c>
      <c r="AO5385" s="4">
        <v>0</v>
      </c>
      <c r="AP5385" s="4">
        <v>9</v>
      </c>
      <c r="AQ5385" s="4">
        <v>54</v>
      </c>
      <c r="AR5385" s="3" t="s">
        <v>62</v>
      </c>
      <c r="AS5385" s="3" t="s">
        <v>62</v>
      </c>
      <c r="AT5385" s="3" t="s">
        <v>62</v>
      </c>
      <c r="AV5385" s="6" t="str">
        <f>HYPERLINK("http://mcgill.on.worldcat.org/oclc/51022956","Catalog Record")</f>
        <v>Catalog Record</v>
      </c>
      <c r="AW5385" s="6" t="str">
        <f>HYPERLINK("http://www.worldcat.org/oclc/51022956","WorldCat Record")</f>
        <v>WorldCat Record</v>
      </c>
      <c r="AX5385" s="3" t="s">
        <v>51622</v>
      </c>
      <c r="AY5385" s="3" t="s">
        <v>51623</v>
      </c>
      <c r="AZ5385" s="3" t="s">
        <v>51624</v>
      </c>
      <c r="BA5385" s="3" t="s">
        <v>51624</v>
      </c>
      <c r="BB5385" s="3" t="s">
        <v>51625</v>
      </c>
      <c r="BC5385" s="3" t="s">
        <v>142</v>
      </c>
      <c r="BD5385" s="3" t="s">
        <v>68</v>
      </c>
      <c r="BE5385" s="3" t="s">
        <v>51626</v>
      </c>
      <c r="BF5385" s="3" t="s">
        <v>51625</v>
      </c>
      <c r="BG5385" s="3" t="s">
        <v>51627</v>
      </c>
    </row>
    <row r="5386" spans="1:59" ht="57" x14ac:dyDescent="0.45">
      <c r="A5386" s="2" t="s">
        <v>59</v>
      </c>
      <c r="B5386" s="2" t="s">
        <v>60</v>
      </c>
      <c r="C5386" s="2" t="s">
        <v>51628</v>
      </c>
      <c r="D5386" s="2" t="s">
        <v>51629</v>
      </c>
      <c r="E5386" s="2" t="s">
        <v>51630</v>
      </c>
      <c r="G5386" s="3" t="s">
        <v>62</v>
      </c>
      <c r="I5386" s="3" t="s">
        <v>62</v>
      </c>
      <c r="J5386" s="3" t="s">
        <v>62</v>
      </c>
      <c r="K5386" s="3" t="s">
        <v>63</v>
      </c>
      <c r="M5386" s="2" t="s">
        <v>2631</v>
      </c>
      <c r="N5386" s="3" t="s">
        <v>116</v>
      </c>
      <c r="P5386" s="3" t="s">
        <v>65</v>
      </c>
      <c r="Q5386" s="2" t="s">
        <v>3219</v>
      </c>
      <c r="R5386" s="3" t="s">
        <v>66</v>
      </c>
      <c r="S5386" s="4">
        <v>1</v>
      </c>
      <c r="T5386" s="4">
        <v>1</v>
      </c>
      <c r="W5386" s="5" t="s">
        <v>67</v>
      </c>
      <c r="X5386" s="5" t="s">
        <v>67</v>
      </c>
      <c r="Y5386" s="4">
        <v>123</v>
      </c>
      <c r="Z5386" s="4">
        <v>18</v>
      </c>
      <c r="AA5386" s="4">
        <v>81</v>
      </c>
      <c r="AB5386" s="4">
        <v>1</v>
      </c>
      <c r="AC5386" s="4">
        <v>14</v>
      </c>
      <c r="AD5386" s="4">
        <v>46</v>
      </c>
      <c r="AE5386" s="4">
        <v>116</v>
      </c>
      <c r="AF5386" s="4">
        <v>0</v>
      </c>
      <c r="AG5386" s="4">
        <v>8</v>
      </c>
      <c r="AH5386" s="4">
        <v>38</v>
      </c>
      <c r="AI5386" s="4">
        <v>82</v>
      </c>
      <c r="AJ5386" s="4">
        <v>13</v>
      </c>
      <c r="AK5386" s="4">
        <v>25</v>
      </c>
      <c r="AL5386" s="4">
        <v>24</v>
      </c>
      <c r="AM5386" s="4">
        <v>44</v>
      </c>
      <c r="AN5386" s="4">
        <v>0</v>
      </c>
      <c r="AO5386" s="4">
        <v>0</v>
      </c>
      <c r="AP5386" s="4">
        <v>16</v>
      </c>
      <c r="AQ5386" s="4">
        <v>44</v>
      </c>
      <c r="AR5386" s="3" t="s">
        <v>62</v>
      </c>
      <c r="AS5386" s="3" t="s">
        <v>62</v>
      </c>
      <c r="AT5386" s="3" t="s">
        <v>62</v>
      </c>
      <c r="AV5386" s="6" t="str">
        <f>HYPERLINK("http://mcgill.on.worldcat.org/oclc/809558703","Catalog Record")</f>
        <v>Catalog Record</v>
      </c>
      <c r="AW5386" s="6" t="str">
        <f>HYPERLINK("http://www.worldcat.org/oclc/809558703","WorldCat Record")</f>
        <v>WorldCat Record</v>
      </c>
      <c r="AX5386" s="3" t="s">
        <v>51631</v>
      </c>
      <c r="AY5386" s="3" t="s">
        <v>51632</v>
      </c>
      <c r="AZ5386" s="3" t="s">
        <v>51633</v>
      </c>
      <c r="BA5386" s="3" t="s">
        <v>51633</v>
      </c>
      <c r="BB5386" s="3" t="s">
        <v>51634</v>
      </c>
      <c r="BC5386" s="3" t="s">
        <v>142</v>
      </c>
      <c r="BD5386" s="3" t="s">
        <v>308</v>
      </c>
      <c r="BE5386" s="3" t="s">
        <v>51635</v>
      </c>
      <c r="BF5386" s="3" t="s">
        <v>51634</v>
      </c>
      <c r="BG5386" s="3" t="s">
        <v>51636</v>
      </c>
    </row>
    <row r="5387" spans="1:59" ht="57" x14ac:dyDescent="0.45">
      <c r="A5387" s="2" t="s">
        <v>59</v>
      </c>
      <c r="B5387" s="2" t="s">
        <v>60</v>
      </c>
      <c r="C5387" s="2" t="s">
        <v>51637</v>
      </c>
      <c r="D5387" s="2" t="s">
        <v>51638</v>
      </c>
      <c r="E5387" s="2" t="s">
        <v>51639</v>
      </c>
      <c r="G5387" s="3" t="s">
        <v>62</v>
      </c>
      <c r="I5387" s="3" t="s">
        <v>61</v>
      </c>
      <c r="J5387" s="3" t="s">
        <v>62</v>
      </c>
      <c r="K5387" s="3" t="s">
        <v>63</v>
      </c>
      <c r="L5387" s="2" t="s">
        <v>651</v>
      </c>
      <c r="M5387" s="2" t="s">
        <v>51640</v>
      </c>
      <c r="N5387" s="3" t="s">
        <v>109</v>
      </c>
      <c r="P5387" s="3" t="s">
        <v>65</v>
      </c>
      <c r="Q5387" s="2" t="s">
        <v>51641</v>
      </c>
      <c r="R5387" s="3" t="s">
        <v>66</v>
      </c>
      <c r="S5387" s="4">
        <v>57</v>
      </c>
      <c r="T5387" s="4">
        <v>106</v>
      </c>
      <c r="U5387" s="5" t="s">
        <v>36331</v>
      </c>
      <c r="V5387" s="5" t="s">
        <v>36331</v>
      </c>
      <c r="W5387" s="5" t="s">
        <v>67</v>
      </c>
      <c r="X5387" s="5" t="s">
        <v>67</v>
      </c>
      <c r="Y5387" s="4">
        <v>1573</v>
      </c>
      <c r="Z5387" s="4">
        <v>66</v>
      </c>
      <c r="AA5387" s="4">
        <v>85</v>
      </c>
      <c r="AB5387" s="4">
        <v>3</v>
      </c>
      <c r="AC5387" s="4">
        <v>14</v>
      </c>
      <c r="AD5387" s="4">
        <v>155</v>
      </c>
      <c r="AE5387" s="4">
        <v>165</v>
      </c>
      <c r="AF5387" s="4">
        <v>2</v>
      </c>
      <c r="AG5387" s="4">
        <v>6</v>
      </c>
      <c r="AH5387" s="4">
        <v>114</v>
      </c>
      <c r="AI5387" s="4">
        <v>117</v>
      </c>
      <c r="AJ5387" s="4">
        <v>23</v>
      </c>
      <c r="AK5387" s="4">
        <v>27</v>
      </c>
      <c r="AL5387" s="4">
        <v>62</v>
      </c>
      <c r="AM5387" s="4">
        <v>64</v>
      </c>
      <c r="AN5387" s="4">
        <v>0</v>
      </c>
      <c r="AO5387" s="4">
        <v>0</v>
      </c>
      <c r="AP5387" s="4">
        <v>46</v>
      </c>
      <c r="AQ5387" s="4">
        <v>53</v>
      </c>
      <c r="AR5387" s="3" t="s">
        <v>62</v>
      </c>
      <c r="AS5387" s="3" t="s">
        <v>62</v>
      </c>
      <c r="AT5387" s="3" t="s">
        <v>62</v>
      </c>
      <c r="AV5387" s="6" t="str">
        <f>HYPERLINK("http://mcgill.on.worldcat.org/oclc/309976","Catalog Record")</f>
        <v>Catalog Record</v>
      </c>
      <c r="AW5387" s="6" t="str">
        <f>HYPERLINK("http://www.worldcat.org/oclc/309976","WorldCat Record")</f>
        <v>WorldCat Record</v>
      </c>
      <c r="AX5387" s="3" t="s">
        <v>51642</v>
      </c>
      <c r="AY5387" s="3" t="s">
        <v>51643</v>
      </c>
      <c r="AZ5387" s="3" t="s">
        <v>51644</v>
      </c>
      <c r="BA5387" s="3" t="s">
        <v>51644</v>
      </c>
      <c r="BB5387" s="3" t="s">
        <v>51645</v>
      </c>
      <c r="BC5387" s="3" t="s">
        <v>142</v>
      </c>
      <c r="BD5387" s="3" t="s">
        <v>68</v>
      </c>
      <c r="BE5387" s="3" t="s">
        <v>51646</v>
      </c>
      <c r="BF5387" s="3" t="s">
        <v>51645</v>
      </c>
      <c r="BG5387" s="3" t="s">
        <v>51647</v>
      </c>
    </row>
    <row r="5388" spans="1:59" ht="57" x14ac:dyDescent="0.45">
      <c r="A5388" s="2" t="s">
        <v>59</v>
      </c>
      <c r="B5388" s="2" t="s">
        <v>412</v>
      </c>
      <c r="C5388" s="2" t="s">
        <v>51637</v>
      </c>
      <c r="D5388" s="2" t="s">
        <v>51638</v>
      </c>
      <c r="E5388" s="2" t="s">
        <v>51639</v>
      </c>
      <c r="G5388" s="3" t="s">
        <v>62</v>
      </c>
      <c r="I5388" s="3" t="s">
        <v>61</v>
      </c>
      <c r="J5388" s="3" t="s">
        <v>62</v>
      </c>
      <c r="K5388" s="3" t="s">
        <v>63</v>
      </c>
      <c r="L5388" s="2" t="s">
        <v>651</v>
      </c>
      <c r="M5388" s="2" t="s">
        <v>51640</v>
      </c>
      <c r="N5388" s="3" t="s">
        <v>109</v>
      </c>
      <c r="P5388" s="3" t="s">
        <v>65</v>
      </c>
      <c r="Q5388" s="2" t="s">
        <v>51641</v>
      </c>
      <c r="R5388" s="3" t="s">
        <v>66</v>
      </c>
      <c r="S5388" s="4">
        <v>12</v>
      </c>
      <c r="T5388" s="4">
        <v>106</v>
      </c>
      <c r="U5388" s="5" t="s">
        <v>50083</v>
      </c>
      <c r="V5388" s="5" t="s">
        <v>36331</v>
      </c>
      <c r="W5388" s="5" t="s">
        <v>67</v>
      </c>
      <c r="X5388" s="5" t="s">
        <v>67</v>
      </c>
      <c r="Y5388" s="4">
        <v>1573</v>
      </c>
      <c r="Z5388" s="4">
        <v>66</v>
      </c>
      <c r="AA5388" s="4">
        <v>85</v>
      </c>
      <c r="AB5388" s="4">
        <v>3</v>
      </c>
      <c r="AC5388" s="4">
        <v>14</v>
      </c>
      <c r="AD5388" s="4">
        <v>155</v>
      </c>
      <c r="AE5388" s="4">
        <v>165</v>
      </c>
      <c r="AF5388" s="4">
        <v>2</v>
      </c>
      <c r="AG5388" s="4">
        <v>6</v>
      </c>
      <c r="AH5388" s="4">
        <v>114</v>
      </c>
      <c r="AI5388" s="4">
        <v>117</v>
      </c>
      <c r="AJ5388" s="4">
        <v>23</v>
      </c>
      <c r="AK5388" s="4">
        <v>27</v>
      </c>
      <c r="AL5388" s="4">
        <v>62</v>
      </c>
      <c r="AM5388" s="4">
        <v>64</v>
      </c>
      <c r="AN5388" s="4">
        <v>0</v>
      </c>
      <c r="AO5388" s="4">
        <v>0</v>
      </c>
      <c r="AP5388" s="4">
        <v>46</v>
      </c>
      <c r="AQ5388" s="4">
        <v>53</v>
      </c>
      <c r="AR5388" s="3" t="s">
        <v>62</v>
      </c>
      <c r="AS5388" s="3" t="s">
        <v>62</v>
      </c>
      <c r="AT5388" s="3" t="s">
        <v>62</v>
      </c>
      <c r="AV5388" s="6" t="str">
        <f>HYPERLINK("http://mcgill.on.worldcat.org/oclc/309976","Catalog Record")</f>
        <v>Catalog Record</v>
      </c>
      <c r="AW5388" s="6" t="str">
        <f>HYPERLINK("http://www.worldcat.org/oclc/309976","WorldCat Record")</f>
        <v>WorldCat Record</v>
      </c>
      <c r="AX5388" s="3" t="s">
        <v>51642</v>
      </c>
      <c r="AY5388" s="3" t="s">
        <v>51643</v>
      </c>
      <c r="AZ5388" s="3" t="s">
        <v>51644</v>
      </c>
      <c r="BA5388" s="3" t="s">
        <v>51644</v>
      </c>
      <c r="BB5388" s="3" t="s">
        <v>51648</v>
      </c>
      <c r="BC5388" s="3" t="s">
        <v>142</v>
      </c>
      <c r="BD5388" s="3" t="s">
        <v>68</v>
      </c>
      <c r="BE5388" s="3" t="s">
        <v>51646</v>
      </c>
      <c r="BF5388" s="3" t="s">
        <v>51648</v>
      </c>
      <c r="BG5388" s="3" t="s">
        <v>51649</v>
      </c>
    </row>
    <row r="5389" spans="1:59" ht="57" x14ac:dyDescent="0.45">
      <c r="A5389" s="2" t="s">
        <v>59</v>
      </c>
      <c r="B5389" s="2" t="s">
        <v>412</v>
      </c>
      <c r="C5389" s="2" t="s">
        <v>51637</v>
      </c>
      <c r="D5389" s="2" t="s">
        <v>51638</v>
      </c>
      <c r="E5389" s="2" t="s">
        <v>51639</v>
      </c>
      <c r="G5389" s="3" t="s">
        <v>62</v>
      </c>
      <c r="I5389" s="3" t="s">
        <v>61</v>
      </c>
      <c r="J5389" s="3" t="s">
        <v>62</v>
      </c>
      <c r="K5389" s="3" t="s">
        <v>63</v>
      </c>
      <c r="L5389" s="2" t="s">
        <v>651</v>
      </c>
      <c r="M5389" s="2" t="s">
        <v>51640</v>
      </c>
      <c r="N5389" s="3" t="s">
        <v>109</v>
      </c>
      <c r="P5389" s="3" t="s">
        <v>65</v>
      </c>
      <c r="Q5389" s="2" t="s">
        <v>51641</v>
      </c>
      <c r="R5389" s="3" t="s">
        <v>66</v>
      </c>
      <c r="S5389" s="4">
        <v>0</v>
      </c>
      <c r="T5389" s="4">
        <v>106</v>
      </c>
      <c r="V5389" s="5" t="s">
        <v>36331</v>
      </c>
      <c r="W5389" s="5" t="s">
        <v>67</v>
      </c>
      <c r="X5389" s="5" t="s">
        <v>67</v>
      </c>
      <c r="Y5389" s="4">
        <v>1573</v>
      </c>
      <c r="Z5389" s="4">
        <v>66</v>
      </c>
      <c r="AA5389" s="4">
        <v>85</v>
      </c>
      <c r="AB5389" s="4">
        <v>3</v>
      </c>
      <c r="AC5389" s="4">
        <v>14</v>
      </c>
      <c r="AD5389" s="4">
        <v>155</v>
      </c>
      <c r="AE5389" s="4">
        <v>165</v>
      </c>
      <c r="AF5389" s="4">
        <v>2</v>
      </c>
      <c r="AG5389" s="4">
        <v>6</v>
      </c>
      <c r="AH5389" s="4">
        <v>114</v>
      </c>
      <c r="AI5389" s="4">
        <v>117</v>
      </c>
      <c r="AJ5389" s="4">
        <v>23</v>
      </c>
      <c r="AK5389" s="4">
        <v>27</v>
      </c>
      <c r="AL5389" s="4">
        <v>62</v>
      </c>
      <c r="AM5389" s="4">
        <v>64</v>
      </c>
      <c r="AN5389" s="4">
        <v>0</v>
      </c>
      <c r="AO5389" s="4">
        <v>0</v>
      </c>
      <c r="AP5389" s="4">
        <v>46</v>
      </c>
      <c r="AQ5389" s="4">
        <v>53</v>
      </c>
      <c r="AR5389" s="3" t="s">
        <v>62</v>
      </c>
      <c r="AS5389" s="3" t="s">
        <v>62</v>
      </c>
      <c r="AT5389" s="3" t="s">
        <v>62</v>
      </c>
      <c r="AV5389" s="6" t="str">
        <f>HYPERLINK("http://mcgill.on.worldcat.org/oclc/309976","Catalog Record")</f>
        <v>Catalog Record</v>
      </c>
      <c r="AW5389" s="6" t="str">
        <f>HYPERLINK("http://www.worldcat.org/oclc/309976","WorldCat Record")</f>
        <v>WorldCat Record</v>
      </c>
      <c r="AX5389" s="3" t="s">
        <v>51642</v>
      </c>
      <c r="AY5389" s="3" t="s">
        <v>51643</v>
      </c>
      <c r="AZ5389" s="3" t="s">
        <v>51644</v>
      </c>
      <c r="BA5389" s="3" t="s">
        <v>51644</v>
      </c>
      <c r="BB5389" s="3" t="s">
        <v>51650</v>
      </c>
      <c r="BC5389" s="3" t="s">
        <v>142</v>
      </c>
      <c r="BD5389" s="3" t="s">
        <v>68</v>
      </c>
      <c r="BE5389" s="3" t="s">
        <v>51646</v>
      </c>
      <c r="BF5389" s="3" t="s">
        <v>51650</v>
      </c>
      <c r="BG5389" s="3" t="s">
        <v>51651</v>
      </c>
    </row>
    <row r="5390" spans="1:59" ht="57" x14ac:dyDescent="0.45">
      <c r="A5390" s="2" t="s">
        <v>59</v>
      </c>
      <c r="B5390" s="2" t="s">
        <v>60</v>
      </c>
      <c r="C5390" s="2" t="s">
        <v>51637</v>
      </c>
      <c r="D5390" s="2" t="s">
        <v>51638</v>
      </c>
      <c r="E5390" s="2" t="s">
        <v>51639</v>
      </c>
      <c r="G5390" s="3" t="s">
        <v>62</v>
      </c>
      <c r="I5390" s="3" t="s">
        <v>61</v>
      </c>
      <c r="J5390" s="3" t="s">
        <v>62</v>
      </c>
      <c r="K5390" s="3" t="s">
        <v>63</v>
      </c>
      <c r="L5390" s="2" t="s">
        <v>651</v>
      </c>
      <c r="M5390" s="2" t="s">
        <v>51640</v>
      </c>
      <c r="N5390" s="3" t="s">
        <v>109</v>
      </c>
      <c r="P5390" s="3" t="s">
        <v>65</v>
      </c>
      <c r="Q5390" s="2" t="s">
        <v>51641</v>
      </c>
      <c r="R5390" s="3" t="s">
        <v>66</v>
      </c>
      <c r="S5390" s="4">
        <v>34</v>
      </c>
      <c r="T5390" s="4">
        <v>106</v>
      </c>
      <c r="U5390" s="5" t="s">
        <v>23495</v>
      </c>
      <c r="V5390" s="5" t="s">
        <v>36331</v>
      </c>
      <c r="W5390" s="5" t="s">
        <v>67</v>
      </c>
      <c r="X5390" s="5" t="s">
        <v>67</v>
      </c>
      <c r="Y5390" s="4">
        <v>1573</v>
      </c>
      <c r="Z5390" s="4">
        <v>66</v>
      </c>
      <c r="AA5390" s="4">
        <v>85</v>
      </c>
      <c r="AB5390" s="4">
        <v>3</v>
      </c>
      <c r="AC5390" s="4">
        <v>14</v>
      </c>
      <c r="AD5390" s="4">
        <v>155</v>
      </c>
      <c r="AE5390" s="4">
        <v>165</v>
      </c>
      <c r="AF5390" s="4">
        <v>2</v>
      </c>
      <c r="AG5390" s="4">
        <v>6</v>
      </c>
      <c r="AH5390" s="4">
        <v>114</v>
      </c>
      <c r="AI5390" s="4">
        <v>117</v>
      </c>
      <c r="AJ5390" s="4">
        <v>23</v>
      </c>
      <c r="AK5390" s="4">
        <v>27</v>
      </c>
      <c r="AL5390" s="4">
        <v>62</v>
      </c>
      <c r="AM5390" s="4">
        <v>64</v>
      </c>
      <c r="AN5390" s="4">
        <v>0</v>
      </c>
      <c r="AO5390" s="4">
        <v>0</v>
      </c>
      <c r="AP5390" s="4">
        <v>46</v>
      </c>
      <c r="AQ5390" s="4">
        <v>53</v>
      </c>
      <c r="AR5390" s="3" t="s">
        <v>62</v>
      </c>
      <c r="AS5390" s="3" t="s">
        <v>62</v>
      </c>
      <c r="AT5390" s="3" t="s">
        <v>62</v>
      </c>
      <c r="AV5390" s="6" t="str">
        <f>HYPERLINK("http://mcgill.on.worldcat.org/oclc/309976","Catalog Record")</f>
        <v>Catalog Record</v>
      </c>
      <c r="AW5390" s="6" t="str">
        <f>HYPERLINK("http://www.worldcat.org/oclc/309976","WorldCat Record")</f>
        <v>WorldCat Record</v>
      </c>
      <c r="AX5390" s="3" t="s">
        <v>51642</v>
      </c>
      <c r="AY5390" s="3" t="s">
        <v>51643</v>
      </c>
      <c r="AZ5390" s="3" t="s">
        <v>51644</v>
      </c>
      <c r="BA5390" s="3" t="s">
        <v>51644</v>
      </c>
      <c r="BB5390" s="3" t="s">
        <v>51652</v>
      </c>
      <c r="BC5390" s="3" t="s">
        <v>142</v>
      </c>
      <c r="BD5390" s="3" t="s">
        <v>68</v>
      </c>
      <c r="BE5390" s="3" t="s">
        <v>51646</v>
      </c>
      <c r="BF5390" s="3" t="s">
        <v>51652</v>
      </c>
      <c r="BG5390" s="3" t="s">
        <v>51653</v>
      </c>
    </row>
    <row r="5391" spans="1:59" ht="57" x14ac:dyDescent="0.45">
      <c r="A5391" s="2" t="s">
        <v>59</v>
      </c>
      <c r="B5391" s="2" t="s">
        <v>60</v>
      </c>
      <c r="C5391" s="2" t="s">
        <v>51637</v>
      </c>
      <c r="D5391" s="2" t="s">
        <v>51638</v>
      </c>
      <c r="E5391" s="2" t="s">
        <v>51639</v>
      </c>
      <c r="G5391" s="3" t="s">
        <v>62</v>
      </c>
      <c r="I5391" s="3" t="s">
        <v>61</v>
      </c>
      <c r="J5391" s="3" t="s">
        <v>62</v>
      </c>
      <c r="K5391" s="3" t="s">
        <v>63</v>
      </c>
      <c r="L5391" s="2" t="s">
        <v>651</v>
      </c>
      <c r="M5391" s="2" t="s">
        <v>51640</v>
      </c>
      <c r="N5391" s="3" t="s">
        <v>109</v>
      </c>
      <c r="P5391" s="3" t="s">
        <v>65</v>
      </c>
      <c r="Q5391" s="2" t="s">
        <v>51641</v>
      </c>
      <c r="R5391" s="3" t="s">
        <v>66</v>
      </c>
      <c r="S5391" s="4">
        <v>0</v>
      </c>
      <c r="T5391" s="4">
        <v>106</v>
      </c>
      <c r="V5391" s="5" t="s">
        <v>36331</v>
      </c>
      <c r="W5391" s="5" t="s">
        <v>67</v>
      </c>
      <c r="X5391" s="5" t="s">
        <v>67</v>
      </c>
      <c r="Y5391" s="4">
        <v>1573</v>
      </c>
      <c r="Z5391" s="4">
        <v>66</v>
      </c>
      <c r="AA5391" s="4">
        <v>85</v>
      </c>
      <c r="AB5391" s="4">
        <v>3</v>
      </c>
      <c r="AC5391" s="4">
        <v>14</v>
      </c>
      <c r="AD5391" s="4">
        <v>155</v>
      </c>
      <c r="AE5391" s="4">
        <v>165</v>
      </c>
      <c r="AF5391" s="4">
        <v>2</v>
      </c>
      <c r="AG5391" s="4">
        <v>6</v>
      </c>
      <c r="AH5391" s="4">
        <v>114</v>
      </c>
      <c r="AI5391" s="4">
        <v>117</v>
      </c>
      <c r="AJ5391" s="4">
        <v>23</v>
      </c>
      <c r="AK5391" s="4">
        <v>27</v>
      </c>
      <c r="AL5391" s="4">
        <v>62</v>
      </c>
      <c r="AM5391" s="4">
        <v>64</v>
      </c>
      <c r="AN5391" s="4">
        <v>0</v>
      </c>
      <c r="AO5391" s="4">
        <v>0</v>
      </c>
      <c r="AP5391" s="4">
        <v>46</v>
      </c>
      <c r="AQ5391" s="4">
        <v>53</v>
      </c>
      <c r="AR5391" s="3" t="s">
        <v>62</v>
      </c>
      <c r="AS5391" s="3" t="s">
        <v>62</v>
      </c>
      <c r="AT5391" s="3" t="s">
        <v>62</v>
      </c>
      <c r="AV5391" s="6" t="str">
        <f>HYPERLINK("http://mcgill.on.worldcat.org/oclc/309976","Catalog Record")</f>
        <v>Catalog Record</v>
      </c>
      <c r="AW5391" s="6" t="str">
        <f>HYPERLINK("http://www.worldcat.org/oclc/309976","WorldCat Record")</f>
        <v>WorldCat Record</v>
      </c>
      <c r="AX5391" s="3" t="s">
        <v>51642</v>
      </c>
      <c r="AY5391" s="3" t="s">
        <v>51643</v>
      </c>
      <c r="AZ5391" s="3" t="s">
        <v>51644</v>
      </c>
      <c r="BA5391" s="3" t="s">
        <v>51644</v>
      </c>
      <c r="BB5391" s="3" t="s">
        <v>51654</v>
      </c>
      <c r="BC5391" s="3" t="s">
        <v>142</v>
      </c>
      <c r="BD5391" s="3" t="s">
        <v>68</v>
      </c>
      <c r="BE5391" s="3" t="s">
        <v>51646</v>
      </c>
      <c r="BF5391" s="3" t="s">
        <v>51654</v>
      </c>
      <c r="BG5391" s="3" t="s">
        <v>51655</v>
      </c>
    </row>
    <row r="5392" spans="1:59" ht="57" x14ac:dyDescent="0.45">
      <c r="A5392" s="2" t="s">
        <v>59</v>
      </c>
      <c r="B5392" s="2" t="s">
        <v>60</v>
      </c>
      <c r="C5392" s="2" t="s">
        <v>51656</v>
      </c>
      <c r="D5392" s="2" t="s">
        <v>51657</v>
      </c>
      <c r="E5392" s="2" t="s">
        <v>51658</v>
      </c>
      <c r="G5392" s="3" t="s">
        <v>62</v>
      </c>
      <c r="I5392" s="3" t="s">
        <v>62</v>
      </c>
      <c r="J5392" s="3" t="s">
        <v>62</v>
      </c>
      <c r="K5392" s="3" t="s">
        <v>63</v>
      </c>
      <c r="M5392" s="2" t="s">
        <v>51659</v>
      </c>
      <c r="N5392" s="3" t="s">
        <v>208</v>
      </c>
      <c r="P5392" s="3" t="s">
        <v>65</v>
      </c>
      <c r="Q5392" s="2" t="s">
        <v>51660</v>
      </c>
      <c r="R5392" s="3" t="s">
        <v>66</v>
      </c>
      <c r="S5392" s="4">
        <v>0</v>
      </c>
      <c r="T5392" s="4">
        <v>0</v>
      </c>
      <c r="W5392" s="5" t="s">
        <v>67</v>
      </c>
      <c r="X5392" s="5" t="s">
        <v>67</v>
      </c>
      <c r="Y5392" s="4">
        <v>25</v>
      </c>
      <c r="Z5392" s="4">
        <v>2</v>
      </c>
      <c r="AA5392" s="4">
        <v>3</v>
      </c>
      <c r="AB5392" s="4">
        <v>1</v>
      </c>
      <c r="AC5392" s="4">
        <v>1</v>
      </c>
      <c r="AD5392" s="4">
        <v>14</v>
      </c>
      <c r="AE5392" s="4">
        <v>15</v>
      </c>
      <c r="AF5392" s="4">
        <v>0</v>
      </c>
      <c r="AG5392" s="4">
        <v>0</v>
      </c>
      <c r="AH5392" s="4">
        <v>13</v>
      </c>
      <c r="AI5392" s="4">
        <v>14</v>
      </c>
      <c r="AJ5392" s="4">
        <v>1</v>
      </c>
      <c r="AK5392" s="4">
        <v>2</v>
      </c>
      <c r="AL5392" s="4">
        <v>12</v>
      </c>
      <c r="AM5392" s="4">
        <v>12</v>
      </c>
      <c r="AN5392" s="4">
        <v>0</v>
      </c>
      <c r="AO5392" s="4">
        <v>0</v>
      </c>
      <c r="AP5392" s="4">
        <v>1</v>
      </c>
      <c r="AQ5392" s="4">
        <v>2</v>
      </c>
      <c r="AR5392" s="3" t="s">
        <v>62</v>
      </c>
      <c r="AS5392" s="3" t="s">
        <v>62</v>
      </c>
      <c r="AT5392" s="3" t="s">
        <v>62</v>
      </c>
      <c r="AV5392" s="6" t="str">
        <f>HYPERLINK("http://mcgill.on.worldcat.org/oclc/922383276","Catalog Record")</f>
        <v>Catalog Record</v>
      </c>
      <c r="AW5392" s="6" t="str">
        <f>HYPERLINK("http://www.worldcat.org/oclc/922383276","WorldCat Record")</f>
        <v>WorldCat Record</v>
      </c>
      <c r="AX5392" s="3" t="s">
        <v>51661</v>
      </c>
      <c r="AY5392" s="3" t="s">
        <v>51662</v>
      </c>
      <c r="AZ5392" s="3" t="s">
        <v>51663</v>
      </c>
      <c r="BA5392" s="3" t="s">
        <v>51663</v>
      </c>
      <c r="BB5392" s="3" t="s">
        <v>51664</v>
      </c>
      <c r="BC5392" s="3" t="s">
        <v>142</v>
      </c>
      <c r="BD5392" s="3" t="s">
        <v>68</v>
      </c>
      <c r="BF5392" s="3" t="s">
        <v>51664</v>
      </c>
      <c r="BG5392" s="3" t="s">
        <v>51665</v>
      </c>
    </row>
    <row r="5393" spans="1:59" ht="57" x14ac:dyDescent="0.45">
      <c r="A5393" s="2" t="s">
        <v>59</v>
      </c>
      <c r="B5393" s="2" t="s">
        <v>60</v>
      </c>
      <c r="C5393" s="2" t="s">
        <v>51666</v>
      </c>
      <c r="D5393" s="2" t="s">
        <v>51667</v>
      </c>
      <c r="E5393" s="2" t="s">
        <v>51668</v>
      </c>
      <c r="G5393" s="3" t="s">
        <v>62</v>
      </c>
      <c r="I5393" s="3" t="s">
        <v>62</v>
      </c>
      <c r="J5393" s="3" t="s">
        <v>62</v>
      </c>
      <c r="K5393" s="3" t="s">
        <v>63</v>
      </c>
      <c r="L5393" s="2" t="s">
        <v>651</v>
      </c>
      <c r="M5393" s="2" t="s">
        <v>51669</v>
      </c>
      <c r="N5393" s="3" t="s">
        <v>542</v>
      </c>
      <c r="P5393" s="3" t="s">
        <v>65</v>
      </c>
      <c r="Q5393" s="2" t="s">
        <v>51670</v>
      </c>
      <c r="R5393" s="3" t="s">
        <v>66</v>
      </c>
      <c r="S5393" s="4">
        <v>2</v>
      </c>
      <c r="T5393" s="4">
        <v>2</v>
      </c>
      <c r="U5393" s="5" t="s">
        <v>782</v>
      </c>
      <c r="V5393" s="5" t="s">
        <v>782</v>
      </c>
      <c r="W5393" s="5" t="s">
        <v>67</v>
      </c>
      <c r="X5393" s="5" t="s">
        <v>67</v>
      </c>
      <c r="Y5393" s="4">
        <v>21</v>
      </c>
      <c r="Z5393" s="4">
        <v>1</v>
      </c>
      <c r="AA5393" s="4">
        <v>1</v>
      </c>
      <c r="AB5393" s="4">
        <v>1</v>
      </c>
      <c r="AC5393" s="4">
        <v>1</v>
      </c>
      <c r="AD5393" s="4">
        <v>9</v>
      </c>
      <c r="AE5393" s="4">
        <v>9</v>
      </c>
      <c r="AF5393" s="4">
        <v>0</v>
      </c>
      <c r="AG5393" s="4">
        <v>0</v>
      </c>
      <c r="AH5393" s="4">
        <v>9</v>
      </c>
      <c r="AI5393" s="4">
        <v>9</v>
      </c>
      <c r="AJ5393" s="4">
        <v>0</v>
      </c>
      <c r="AK5393" s="4">
        <v>0</v>
      </c>
      <c r="AL5393" s="4">
        <v>8</v>
      </c>
      <c r="AM5393" s="4">
        <v>8</v>
      </c>
      <c r="AN5393" s="4">
        <v>0</v>
      </c>
      <c r="AO5393" s="4">
        <v>0</v>
      </c>
      <c r="AP5393" s="4">
        <v>0</v>
      </c>
      <c r="AQ5393" s="4">
        <v>0</v>
      </c>
      <c r="AR5393" s="3" t="s">
        <v>62</v>
      </c>
      <c r="AS5393" s="3" t="s">
        <v>62</v>
      </c>
      <c r="AT5393" s="3" t="s">
        <v>62</v>
      </c>
      <c r="AV5393" s="6" t="str">
        <f>HYPERLINK("http://mcgill.on.worldcat.org/oclc/48506475","Catalog Record")</f>
        <v>Catalog Record</v>
      </c>
      <c r="AW5393" s="6" t="str">
        <f>HYPERLINK("http://www.worldcat.org/oclc/48506475","WorldCat Record")</f>
        <v>WorldCat Record</v>
      </c>
      <c r="AX5393" s="3" t="s">
        <v>51671</v>
      </c>
      <c r="AY5393" s="3" t="s">
        <v>51672</v>
      </c>
      <c r="AZ5393" s="3" t="s">
        <v>51673</v>
      </c>
      <c r="BA5393" s="3" t="s">
        <v>51673</v>
      </c>
      <c r="BB5393" s="3" t="s">
        <v>51674</v>
      </c>
      <c r="BC5393" s="3" t="s">
        <v>142</v>
      </c>
      <c r="BD5393" s="3" t="s">
        <v>68</v>
      </c>
      <c r="BF5393" s="3" t="s">
        <v>51674</v>
      </c>
      <c r="BG5393" s="3" t="s">
        <v>51675</v>
      </c>
    </row>
    <row r="5394" spans="1:59" ht="57" x14ac:dyDescent="0.45">
      <c r="A5394" s="2" t="s">
        <v>59</v>
      </c>
      <c r="B5394" s="2" t="s">
        <v>60</v>
      </c>
      <c r="C5394" s="2" t="s">
        <v>51676</v>
      </c>
      <c r="D5394" s="2" t="s">
        <v>51677</v>
      </c>
      <c r="E5394" s="2" t="s">
        <v>51678</v>
      </c>
      <c r="G5394" s="3" t="s">
        <v>62</v>
      </c>
      <c r="I5394" s="3" t="s">
        <v>61</v>
      </c>
      <c r="J5394" s="3" t="s">
        <v>61</v>
      </c>
      <c r="K5394" s="3" t="s">
        <v>63</v>
      </c>
      <c r="L5394" s="2" t="s">
        <v>651</v>
      </c>
      <c r="M5394" s="2" t="s">
        <v>51679</v>
      </c>
      <c r="N5394" s="3" t="s">
        <v>64</v>
      </c>
      <c r="P5394" s="3" t="s">
        <v>65</v>
      </c>
      <c r="Q5394" s="2" t="s">
        <v>51680</v>
      </c>
      <c r="R5394" s="3" t="s">
        <v>66</v>
      </c>
      <c r="S5394" s="4">
        <v>42</v>
      </c>
      <c r="T5394" s="4">
        <v>85</v>
      </c>
      <c r="U5394" s="5" t="s">
        <v>2378</v>
      </c>
      <c r="V5394" s="5" t="s">
        <v>20357</v>
      </c>
      <c r="W5394" s="5" t="s">
        <v>67</v>
      </c>
      <c r="X5394" s="5" t="s">
        <v>67</v>
      </c>
      <c r="Y5394" s="4">
        <v>723</v>
      </c>
      <c r="Z5394" s="4">
        <v>30</v>
      </c>
      <c r="AA5394" s="4">
        <v>102</v>
      </c>
      <c r="AB5394" s="4">
        <v>2</v>
      </c>
      <c r="AC5394" s="4">
        <v>17</v>
      </c>
      <c r="AD5394" s="4">
        <v>111</v>
      </c>
      <c r="AE5394" s="4">
        <v>166</v>
      </c>
      <c r="AF5394" s="4">
        <v>0</v>
      </c>
      <c r="AG5394" s="4">
        <v>7</v>
      </c>
      <c r="AH5394" s="4">
        <v>93</v>
      </c>
      <c r="AI5394" s="4">
        <v>116</v>
      </c>
      <c r="AJ5394" s="4">
        <v>11</v>
      </c>
      <c r="AK5394" s="4">
        <v>28</v>
      </c>
      <c r="AL5394" s="4">
        <v>49</v>
      </c>
      <c r="AM5394" s="4">
        <v>63</v>
      </c>
      <c r="AN5394" s="4">
        <v>0</v>
      </c>
      <c r="AO5394" s="4">
        <v>0</v>
      </c>
      <c r="AP5394" s="4">
        <v>23</v>
      </c>
      <c r="AQ5394" s="4">
        <v>56</v>
      </c>
      <c r="AR5394" s="3" t="s">
        <v>62</v>
      </c>
      <c r="AS5394" s="3" t="s">
        <v>62</v>
      </c>
      <c r="AT5394" s="3" t="s">
        <v>61</v>
      </c>
      <c r="AU5394" s="6" t="str">
        <f>HYPERLINK("http://catalog.hathitrust.org/Record/006743209","HathiTrust Record")</f>
        <v>HathiTrust Record</v>
      </c>
      <c r="AV5394" s="6" t="str">
        <f>HYPERLINK("http://mcgill.on.worldcat.org/oclc/308125","Catalog Record")</f>
        <v>Catalog Record</v>
      </c>
      <c r="AW5394" s="6" t="str">
        <f>HYPERLINK("http://www.worldcat.org/oclc/308125","WorldCat Record")</f>
        <v>WorldCat Record</v>
      </c>
      <c r="AX5394" s="3" t="s">
        <v>51681</v>
      </c>
      <c r="AY5394" s="3" t="s">
        <v>51682</v>
      </c>
      <c r="AZ5394" s="3" t="s">
        <v>51683</v>
      </c>
      <c r="BA5394" s="3" t="s">
        <v>51683</v>
      </c>
      <c r="BB5394" s="3" t="s">
        <v>51684</v>
      </c>
      <c r="BC5394" s="3" t="s">
        <v>142</v>
      </c>
      <c r="BD5394" s="3" t="s">
        <v>68</v>
      </c>
      <c r="BE5394" s="3" t="s">
        <v>51685</v>
      </c>
      <c r="BF5394" s="3" t="s">
        <v>51684</v>
      </c>
      <c r="BG5394" s="3" t="s">
        <v>51686</v>
      </c>
    </row>
    <row r="5395" spans="1:59" ht="57" x14ac:dyDescent="0.45">
      <c r="A5395" s="2" t="s">
        <v>59</v>
      </c>
      <c r="B5395" s="2" t="s">
        <v>60</v>
      </c>
      <c r="C5395" s="2" t="s">
        <v>51676</v>
      </c>
      <c r="D5395" s="2" t="s">
        <v>51677</v>
      </c>
      <c r="E5395" s="2" t="s">
        <v>51678</v>
      </c>
      <c r="G5395" s="3" t="s">
        <v>62</v>
      </c>
      <c r="I5395" s="3" t="s">
        <v>61</v>
      </c>
      <c r="J5395" s="3" t="s">
        <v>61</v>
      </c>
      <c r="K5395" s="3" t="s">
        <v>63</v>
      </c>
      <c r="L5395" s="2" t="s">
        <v>651</v>
      </c>
      <c r="M5395" s="2" t="s">
        <v>51679</v>
      </c>
      <c r="N5395" s="3" t="s">
        <v>64</v>
      </c>
      <c r="P5395" s="3" t="s">
        <v>65</v>
      </c>
      <c r="Q5395" s="2" t="s">
        <v>51680</v>
      </c>
      <c r="R5395" s="3" t="s">
        <v>66</v>
      </c>
      <c r="S5395" s="4">
        <v>27</v>
      </c>
      <c r="T5395" s="4">
        <v>85</v>
      </c>
      <c r="U5395" s="5" t="s">
        <v>20357</v>
      </c>
      <c r="V5395" s="5" t="s">
        <v>20357</v>
      </c>
      <c r="W5395" s="5" t="s">
        <v>67</v>
      </c>
      <c r="X5395" s="5" t="s">
        <v>67</v>
      </c>
      <c r="Y5395" s="4">
        <v>723</v>
      </c>
      <c r="Z5395" s="4">
        <v>30</v>
      </c>
      <c r="AA5395" s="4">
        <v>102</v>
      </c>
      <c r="AB5395" s="4">
        <v>2</v>
      </c>
      <c r="AC5395" s="4">
        <v>17</v>
      </c>
      <c r="AD5395" s="4">
        <v>111</v>
      </c>
      <c r="AE5395" s="4">
        <v>166</v>
      </c>
      <c r="AF5395" s="4">
        <v>0</v>
      </c>
      <c r="AG5395" s="4">
        <v>7</v>
      </c>
      <c r="AH5395" s="4">
        <v>93</v>
      </c>
      <c r="AI5395" s="4">
        <v>116</v>
      </c>
      <c r="AJ5395" s="4">
        <v>11</v>
      </c>
      <c r="AK5395" s="4">
        <v>28</v>
      </c>
      <c r="AL5395" s="4">
        <v>49</v>
      </c>
      <c r="AM5395" s="4">
        <v>63</v>
      </c>
      <c r="AN5395" s="4">
        <v>0</v>
      </c>
      <c r="AO5395" s="4">
        <v>0</v>
      </c>
      <c r="AP5395" s="4">
        <v>23</v>
      </c>
      <c r="AQ5395" s="4">
        <v>56</v>
      </c>
      <c r="AR5395" s="3" t="s">
        <v>62</v>
      </c>
      <c r="AS5395" s="3" t="s">
        <v>62</v>
      </c>
      <c r="AT5395" s="3" t="s">
        <v>61</v>
      </c>
      <c r="AU5395" s="6" t="str">
        <f>HYPERLINK("http://catalog.hathitrust.org/Record/006743209","HathiTrust Record")</f>
        <v>HathiTrust Record</v>
      </c>
      <c r="AV5395" s="6" t="str">
        <f>HYPERLINK("http://mcgill.on.worldcat.org/oclc/308125","Catalog Record")</f>
        <v>Catalog Record</v>
      </c>
      <c r="AW5395" s="6" t="str">
        <f>HYPERLINK("http://www.worldcat.org/oclc/308125","WorldCat Record")</f>
        <v>WorldCat Record</v>
      </c>
      <c r="AX5395" s="3" t="s">
        <v>51681</v>
      </c>
      <c r="AY5395" s="3" t="s">
        <v>51682</v>
      </c>
      <c r="AZ5395" s="3" t="s">
        <v>51683</v>
      </c>
      <c r="BA5395" s="3" t="s">
        <v>51683</v>
      </c>
      <c r="BB5395" s="3" t="s">
        <v>51687</v>
      </c>
      <c r="BC5395" s="3" t="s">
        <v>142</v>
      </c>
      <c r="BD5395" s="3" t="s">
        <v>68</v>
      </c>
      <c r="BE5395" s="3" t="s">
        <v>51685</v>
      </c>
      <c r="BF5395" s="3" t="s">
        <v>51687</v>
      </c>
      <c r="BG5395" s="3" t="s">
        <v>51688</v>
      </c>
    </row>
    <row r="5396" spans="1:59" ht="57" x14ac:dyDescent="0.45">
      <c r="A5396" s="2" t="s">
        <v>59</v>
      </c>
      <c r="B5396" s="2" t="s">
        <v>60</v>
      </c>
      <c r="C5396" s="2" t="s">
        <v>51676</v>
      </c>
      <c r="D5396" s="2" t="s">
        <v>51677</v>
      </c>
      <c r="E5396" s="2" t="s">
        <v>51678</v>
      </c>
      <c r="G5396" s="3" t="s">
        <v>62</v>
      </c>
      <c r="I5396" s="3" t="s">
        <v>61</v>
      </c>
      <c r="J5396" s="3" t="s">
        <v>61</v>
      </c>
      <c r="K5396" s="3" t="s">
        <v>63</v>
      </c>
      <c r="L5396" s="2" t="s">
        <v>651</v>
      </c>
      <c r="M5396" s="2" t="s">
        <v>51679</v>
      </c>
      <c r="N5396" s="3" t="s">
        <v>64</v>
      </c>
      <c r="P5396" s="3" t="s">
        <v>65</v>
      </c>
      <c r="Q5396" s="2" t="s">
        <v>51680</v>
      </c>
      <c r="R5396" s="3" t="s">
        <v>66</v>
      </c>
      <c r="S5396" s="4">
        <v>9</v>
      </c>
      <c r="T5396" s="4">
        <v>85</v>
      </c>
      <c r="U5396" s="5" t="s">
        <v>42558</v>
      </c>
      <c r="V5396" s="5" t="s">
        <v>20357</v>
      </c>
      <c r="W5396" s="5" t="s">
        <v>67</v>
      </c>
      <c r="X5396" s="5" t="s">
        <v>67</v>
      </c>
      <c r="Y5396" s="4">
        <v>723</v>
      </c>
      <c r="Z5396" s="4">
        <v>30</v>
      </c>
      <c r="AA5396" s="4">
        <v>102</v>
      </c>
      <c r="AB5396" s="4">
        <v>2</v>
      </c>
      <c r="AC5396" s="4">
        <v>17</v>
      </c>
      <c r="AD5396" s="4">
        <v>111</v>
      </c>
      <c r="AE5396" s="4">
        <v>166</v>
      </c>
      <c r="AF5396" s="4">
        <v>0</v>
      </c>
      <c r="AG5396" s="4">
        <v>7</v>
      </c>
      <c r="AH5396" s="4">
        <v>93</v>
      </c>
      <c r="AI5396" s="4">
        <v>116</v>
      </c>
      <c r="AJ5396" s="4">
        <v>11</v>
      </c>
      <c r="AK5396" s="4">
        <v>28</v>
      </c>
      <c r="AL5396" s="4">
        <v>49</v>
      </c>
      <c r="AM5396" s="4">
        <v>63</v>
      </c>
      <c r="AN5396" s="4">
        <v>0</v>
      </c>
      <c r="AO5396" s="4">
        <v>0</v>
      </c>
      <c r="AP5396" s="4">
        <v>23</v>
      </c>
      <c r="AQ5396" s="4">
        <v>56</v>
      </c>
      <c r="AR5396" s="3" t="s">
        <v>62</v>
      </c>
      <c r="AS5396" s="3" t="s">
        <v>62</v>
      </c>
      <c r="AT5396" s="3" t="s">
        <v>61</v>
      </c>
      <c r="AU5396" s="6" t="str">
        <f>HYPERLINK("http://catalog.hathitrust.org/Record/006743209","HathiTrust Record")</f>
        <v>HathiTrust Record</v>
      </c>
      <c r="AV5396" s="6" t="str">
        <f>HYPERLINK("http://mcgill.on.worldcat.org/oclc/308125","Catalog Record")</f>
        <v>Catalog Record</v>
      </c>
      <c r="AW5396" s="6" t="str">
        <f>HYPERLINK("http://www.worldcat.org/oclc/308125","WorldCat Record")</f>
        <v>WorldCat Record</v>
      </c>
      <c r="AX5396" s="3" t="s">
        <v>51681</v>
      </c>
      <c r="AY5396" s="3" t="s">
        <v>51682</v>
      </c>
      <c r="AZ5396" s="3" t="s">
        <v>51683</v>
      </c>
      <c r="BA5396" s="3" t="s">
        <v>51683</v>
      </c>
      <c r="BB5396" s="3" t="s">
        <v>51689</v>
      </c>
      <c r="BC5396" s="3" t="s">
        <v>142</v>
      </c>
      <c r="BD5396" s="3" t="s">
        <v>68</v>
      </c>
      <c r="BE5396" s="3" t="s">
        <v>51685</v>
      </c>
      <c r="BF5396" s="3" t="s">
        <v>51689</v>
      </c>
      <c r="BG5396" s="3" t="s">
        <v>51690</v>
      </c>
    </row>
    <row r="5397" spans="1:59" ht="57" x14ac:dyDescent="0.45">
      <c r="A5397" s="2" t="s">
        <v>59</v>
      </c>
      <c r="B5397" s="2" t="s">
        <v>412</v>
      </c>
      <c r="C5397" s="2" t="s">
        <v>51676</v>
      </c>
      <c r="D5397" s="2" t="s">
        <v>51677</v>
      </c>
      <c r="E5397" s="2" t="s">
        <v>51678</v>
      </c>
      <c r="G5397" s="3" t="s">
        <v>62</v>
      </c>
      <c r="I5397" s="3" t="s">
        <v>61</v>
      </c>
      <c r="J5397" s="3" t="s">
        <v>61</v>
      </c>
      <c r="K5397" s="3" t="s">
        <v>63</v>
      </c>
      <c r="L5397" s="2" t="s">
        <v>651</v>
      </c>
      <c r="M5397" s="2" t="s">
        <v>51679</v>
      </c>
      <c r="N5397" s="3" t="s">
        <v>64</v>
      </c>
      <c r="P5397" s="3" t="s">
        <v>65</v>
      </c>
      <c r="Q5397" s="2" t="s">
        <v>51680</v>
      </c>
      <c r="R5397" s="3" t="s">
        <v>66</v>
      </c>
      <c r="S5397" s="4">
        <v>7</v>
      </c>
      <c r="T5397" s="4">
        <v>85</v>
      </c>
      <c r="U5397" s="5" t="s">
        <v>51691</v>
      </c>
      <c r="V5397" s="5" t="s">
        <v>20357</v>
      </c>
      <c r="W5397" s="5" t="s">
        <v>67</v>
      </c>
      <c r="X5397" s="5" t="s">
        <v>67</v>
      </c>
      <c r="Y5397" s="4">
        <v>723</v>
      </c>
      <c r="Z5397" s="4">
        <v>30</v>
      </c>
      <c r="AA5397" s="4">
        <v>102</v>
      </c>
      <c r="AB5397" s="4">
        <v>2</v>
      </c>
      <c r="AC5397" s="4">
        <v>17</v>
      </c>
      <c r="AD5397" s="4">
        <v>111</v>
      </c>
      <c r="AE5397" s="4">
        <v>166</v>
      </c>
      <c r="AF5397" s="4">
        <v>0</v>
      </c>
      <c r="AG5397" s="4">
        <v>7</v>
      </c>
      <c r="AH5397" s="4">
        <v>93</v>
      </c>
      <c r="AI5397" s="4">
        <v>116</v>
      </c>
      <c r="AJ5397" s="4">
        <v>11</v>
      </c>
      <c r="AK5397" s="4">
        <v>28</v>
      </c>
      <c r="AL5397" s="4">
        <v>49</v>
      </c>
      <c r="AM5397" s="4">
        <v>63</v>
      </c>
      <c r="AN5397" s="4">
        <v>0</v>
      </c>
      <c r="AO5397" s="4">
        <v>0</v>
      </c>
      <c r="AP5397" s="4">
        <v>23</v>
      </c>
      <c r="AQ5397" s="4">
        <v>56</v>
      </c>
      <c r="AR5397" s="3" t="s">
        <v>62</v>
      </c>
      <c r="AS5397" s="3" t="s">
        <v>62</v>
      </c>
      <c r="AT5397" s="3" t="s">
        <v>61</v>
      </c>
      <c r="AU5397" s="6" t="str">
        <f>HYPERLINK("http://catalog.hathitrust.org/Record/006743209","HathiTrust Record")</f>
        <v>HathiTrust Record</v>
      </c>
      <c r="AV5397" s="6" t="str">
        <f>HYPERLINK("http://mcgill.on.worldcat.org/oclc/308125","Catalog Record")</f>
        <v>Catalog Record</v>
      </c>
      <c r="AW5397" s="6" t="str">
        <f>HYPERLINK("http://www.worldcat.org/oclc/308125","WorldCat Record")</f>
        <v>WorldCat Record</v>
      </c>
      <c r="AX5397" s="3" t="s">
        <v>51681</v>
      </c>
      <c r="AY5397" s="3" t="s">
        <v>51682</v>
      </c>
      <c r="AZ5397" s="3" t="s">
        <v>51683</v>
      </c>
      <c r="BA5397" s="3" t="s">
        <v>51683</v>
      </c>
      <c r="BB5397" s="3" t="s">
        <v>51692</v>
      </c>
      <c r="BC5397" s="3" t="s">
        <v>142</v>
      </c>
      <c r="BD5397" s="3" t="s">
        <v>68</v>
      </c>
      <c r="BE5397" s="3" t="s">
        <v>51685</v>
      </c>
      <c r="BF5397" s="3" t="s">
        <v>51692</v>
      </c>
      <c r="BG5397" s="3" t="s">
        <v>51693</v>
      </c>
    </row>
    <row r="5398" spans="1:59" ht="57" x14ac:dyDescent="0.45">
      <c r="A5398" s="2" t="s">
        <v>59</v>
      </c>
      <c r="B5398" s="2" t="s">
        <v>60</v>
      </c>
      <c r="C5398" s="2" t="s">
        <v>51676</v>
      </c>
      <c r="D5398" s="2" t="s">
        <v>51677</v>
      </c>
      <c r="E5398" s="2" t="s">
        <v>51678</v>
      </c>
      <c r="G5398" s="3" t="s">
        <v>62</v>
      </c>
      <c r="I5398" s="3" t="s">
        <v>61</v>
      </c>
      <c r="J5398" s="3" t="s">
        <v>61</v>
      </c>
      <c r="K5398" s="3" t="s">
        <v>63</v>
      </c>
      <c r="L5398" s="2" t="s">
        <v>651</v>
      </c>
      <c r="M5398" s="2" t="s">
        <v>51679</v>
      </c>
      <c r="N5398" s="3" t="s">
        <v>64</v>
      </c>
      <c r="P5398" s="3" t="s">
        <v>65</v>
      </c>
      <c r="Q5398" s="2" t="s">
        <v>51680</v>
      </c>
      <c r="R5398" s="3" t="s">
        <v>66</v>
      </c>
      <c r="S5398" s="4">
        <v>0</v>
      </c>
      <c r="T5398" s="4">
        <v>85</v>
      </c>
      <c r="V5398" s="5" t="s">
        <v>20357</v>
      </c>
      <c r="W5398" s="5" t="s">
        <v>67</v>
      </c>
      <c r="X5398" s="5" t="s">
        <v>67</v>
      </c>
      <c r="Y5398" s="4">
        <v>723</v>
      </c>
      <c r="Z5398" s="4">
        <v>30</v>
      </c>
      <c r="AA5398" s="4">
        <v>102</v>
      </c>
      <c r="AB5398" s="4">
        <v>2</v>
      </c>
      <c r="AC5398" s="4">
        <v>17</v>
      </c>
      <c r="AD5398" s="4">
        <v>111</v>
      </c>
      <c r="AE5398" s="4">
        <v>166</v>
      </c>
      <c r="AF5398" s="4">
        <v>0</v>
      </c>
      <c r="AG5398" s="4">
        <v>7</v>
      </c>
      <c r="AH5398" s="4">
        <v>93</v>
      </c>
      <c r="AI5398" s="4">
        <v>116</v>
      </c>
      <c r="AJ5398" s="4">
        <v>11</v>
      </c>
      <c r="AK5398" s="4">
        <v>28</v>
      </c>
      <c r="AL5398" s="4">
        <v>49</v>
      </c>
      <c r="AM5398" s="4">
        <v>63</v>
      </c>
      <c r="AN5398" s="4">
        <v>0</v>
      </c>
      <c r="AO5398" s="4">
        <v>0</v>
      </c>
      <c r="AP5398" s="4">
        <v>23</v>
      </c>
      <c r="AQ5398" s="4">
        <v>56</v>
      </c>
      <c r="AR5398" s="3" t="s">
        <v>62</v>
      </c>
      <c r="AS5398" s="3" t="s">
        <v>62</v>
      </c>
      <c r="AT5398" s="3" t="s">
        <v>61</v>
      </c>
      <c r="AU5398" s="6" t="str">
        <f>HYPERLINK("http://catalog.hathitrust.org/Record/006743209","HathiTrust Record")</f>
        <v>HathiTrust Record</v>
      </c>
      <c r="AV5398" s="6" t="str">
        <f>HYPERLINK("http://mcgill.on.worldcat.org/oclc/308125","Catalog Record")</f>
        <v>Catalog Record</v>
      </c>
      <c r="AW5398" s="6" t="str">
        <f>HYPERLINK("http://www.worldcat.org/oclc/308125","WorldCat Record")</f>
        <v>WorldCat Record</v>
      </c>
      <c r="AX5398" s="3" t="s">
        <v>51681</v>
      </c>
      <c r="AY5398" s="3" t="s">
        <v>51682</v>
      </c>
      <c r="AZ5398" s="3" t="s">
        <v>51683</v>
      </c>
      <c r="BA5398" s="3" t="s">
        <v>51683</v>
      </c>
      <c r="BB5398" s="3" t="s">
        <v>51694</v>
      </c>
      <c r="BC5398" s="3" t="s">
        <v>142</v>
      </c>
      <c r="BD5398" s="3" t="s">
        <v>68</v>
      </c>
      <c r="BE5398" s="3" t="s">
        <v>51685</v>
      </c>
      <c r="BF5398" s="3" t="s">
        <v>51694</v>
      </c>
      <c r="BG5398" s="3" t="s">
        <v>51695</v>
      </c>
    </row>
    <row r="5399" spans="1:59" ht="57" x14ac:dyDescent="0.45">
      <c r="A5399" s="2" t="s">
        <v>59</v>
      </c>
      <c r="B5399" s="2" t="s">
        <v>60</v>
      </c>
      <c r="C5399" s="2" t="s">
        <v>51696</v>
      </c>
      <c r="D5399" s="2" t="s">
        <v>51697</v>
      </c>
      <c r="E5399" s="2" t="s">
        <v>51698</v>
      </c>
      <c r="G5399" s="3" t="s">
        <v>62</v>
      </c>
      <c r="I5399" s="3" t="s">
        <v>61</v>
      </c>
      <c r="J5399" s="3" t="s">
        <v>61</v>
      </c>
      <c r="K5399" s="3" t="s">
        <v>63</v>
      </c>
      <c r="L5399" s="2" t="s">
        <v>651</v>
      </c>
      <c r="M5399" s="2" t="s">
        <v>51699</v>
      </c>
      <c r="N5399" s="3" t="s">
        <v>419</v>
      </c>
      <c r="P5399" s="3" t="s">
        <v>65</v>
      </c>
      <c r="Q5399" s="2" t="s">
        <v>51700</v>
      </c>
      <c r="R5399" s="3" t="s">
        <v>66</v>
      </c>
      <c r="S5399" s="4">
        <v>17</v>
      </c>
      <c r="T5399" s="4">
        <v>71</v>
      </c>
      <c r="U5399" s="5" t="s">
        <v>51701</v>
      </c>
      <c r="V5399" s="5" t="s">
        <v>7233</v>
      </c>
      <c r="W5399" s="5" t="s">
        <v>67</v>
      </c>
      <c r="X5399" s="5" t="s">
        <v>67</v>
      </c>
      <c r="Y5399" s="4">
        <v>123</v>
      </c>
      <c r="Z5399" s="4">
        <v>4</v>
      </c>
      <c r="AA5399" s="4">
        <v>102</v>
      </c>
      <c r="AB5399" s="4">
        <v>1</v>
      </c>
      <c r="AC5399" s="4">
        <v>17</v>
      </c>
      <c r="AD5399" s="4">
        <v>25</v>
      </c>
      <c r="AE5399" s="4">
        <v>166</v>
      </c>
      <c r="AF5399" s="4">
        <v>0</v>
      </c>
      <c r="AG5399" s="4">
        <v>7</v>
      </c>
      <c r="AH5399" s="4">
        <v>22</v>
      </c>
      <c r="AI5399" s="4">
        <v>116</v>
      </c>
      <c r="AJ5399" s="4">
        <v>0</v>
      </c>
      <c r="AK5399" s="4">
        <v>28</v>
      </c>
      <c r="AL5399" s="4">
        <v>12</v>
      </c>
      <c r="AM5399" s="4">
        <v>63</v>
      </c>
      <c r="AN5399" s="4">
        <v>0</v>
      </c>
      <c r="AO5399" s="4">
        <v>0</v>
      </c>
      <c r="AP5399" s="4">
        <v>2</v>
      </c>
      <c r="AQ5399" s="4">
        <v>56</v>
      </c>
      <c r="AR5399" s="3" t="s">
        <v>62</v>
      </c>
      <c r="AS5399" s="3" t="s">
        <v>62</v>
      </c>
      <c r="AT5399" s="3" t="s">
        <v>62</v>
      </c>
      <c r="AV5399" s="6" t="str">
        <f>HYPERLINK("http://mcgill.on.worldcat.org/oclc/1513171","Catalog Record")</f>
        <v>Catalog Record</v>
      </c>
      <c r="AW5399" s="6" t="str">
        <f>HYPERLINK("http://www.worldcat.org/oclc/1513171","WorldCat Record")</f>
        <v>WorldCat Record</v>
      </c>
      <c r="AX5399" s="3" t="s">
        <v>51681</v>
      </c>
      <c r="AY5399" s="3" t="s">
        <v>51702</v>
      </c>
      <c r="AZ5399" s="3" t="s">
        <v>51703</v>
      </c>
      <c r="BA5399" s="3" t="s">
        <v>51703</v>
      </c>
      <c r="BB5399" s="3" t="s">
        <v>51704</v>
      </c>
      <c r="BC5399" s="3" t="s">
        <v>142</v>
      </c>
      <c r="BD5399" s="3" t="s">
        <v>68</v>
      </c>
      <c r="BF5399" s="3" t="s">
        <v>51704</v>
      </c>
      <c r="BG5399" s="3" t="s">
        <v>51705</v>
      </c>
    </row>
    <row r="5400" spans="1:59" ht="57" x14ac:dyDescent="0.45">
      <c r="A5400" s="2" t="s">
        <v>59</v>
      </c>
      <c r="B5400" s="2" t="s">
        <v>60</v>
      </c>
      <c r="C5400" s="2" t="s">
        <v>51696</v>
      </c>
      <c r="D5400" s="2" t="s">
        <v>51697</v>
      </c>
      <c r="E5400" s="2" t="s">
        <v>51698</v>
      </c>
      <c r="G5400" s="3" t="s">
        <v>62</v>
      </c>
      <c r="I5400" s="3" t="s">
        <v>61</v>
      </c>
      <c r="J5400" s="3" t="s">
        <v>61</v>
      </c>
      <c r="K5400" s="3" t="s">
        <v>63</v>
      </c>
      <c r="L5400" s="2" t="s">
        <v>651</v>
      </c>
      <c r="M5400" s="2" t="s">
        <v>51699</v>
      </c>
      <c r="N5400" s="3" t="s">
        <v>419</v>
      </c>
      <c r="P5400" s="3" t="s">
        <v>65</v>
      </c>
      <c r="Q5400" s="2" t="s">
        <v>51700</v>
      </c>
      <c r="R5400" s="3" t="s">
        <v>66</v>
      </c>
      <c r="S5400" s="4">
        <v>49</v>
      </c>
      <c r="T5400" s="4">
        <v>71</v>
      </c>
      <c r="U5400" s="5" t="s">
        <v>7233</v>
      </c>
      <c r="V5400" s="5" t="s">
        <v>7233</v>
      </c>
      <c r="W5400" s="5" t="s">
        <v>67</v>
      </c>
      <c r="X5400" s="5" t="s">
        <v>67</v>
      </c>
      <c r="Y5400" s="4">
        <v>123</v>
      </c>
      <c r="Z5400" s="4">
        <v>4</v>
      </c>
      <c r="AA5400" s="4">
        <v>102</v>
      </c>
      <c r="AB5400" s="4">
        <v>1</v>
      </c>
      <c r="AC5400" s="4">
        <v>17</v>
      </c>
      <c r="AD5400" s="4">
        <v>25</v>
      </c>
      <c r="AE5400" s="4">
        <v>166</v>
      </c>
      <c r="AF5400" s="4">
        <v>0</v>
      </c>
      <c r="AG5400" s="4">
        <v>7</v>
      </c>
      <c r="AH5400" s="4">
        <v>22</v>
      </c>
      <c r="AI5400" s="4">
        <v>116</v>
      </c>
      <c r="AJ5400" s="4">
        <v>0</v>
      </c>
      <c r="AK5400" s="4">
        <v>28</v>
      </c>
      <c r="AL5400" s="4">
        <v>12</v>
      </c>
      <c r="AM5400" s="4">
        <v>63</v>
      </c>
      <c r="AN5400" s="4">
        <v>0</v>
      </c>
      <c r="AO5400" s="4">
        <v>0</v>
      </c>
      <c r="AP5400" s="4">
        <v>2</v>
      </c>
      <c r="AQ5400" s="4">
        <v>56</v>
      </c>
      <c r="AR5400" s="3" t="s">
        <v>62</v>
      </c>
      <c r="AS5400" s="3" t="s">
        <v>62</v>
      </c>
      <c r="AT5400" s="3" t="s">
        <v>62</v>
      </c>
      <c r="AV5400" s="6" t="str">
        <f>HYPERLINK("http://mcgill.on.worldcat.org/oclc/1513171","Catalog Record")</f>
        <v>Catalog Record</v>
      </c>
      <c r="AW5400" s="6" t="str">
        <f>HYPERLINK("http://www.worldcat.org/oclc/1513171","WorldCat Record")</f>
        <v>WorldCat Record</v>
      </c>
      <c r="AX5400" s="3" t="s">
        <v>51681</v>
      </c>
      <c r="AY5400" s="3" t="s">
        <v>51702</v>
      </c>
      <c r="AZ5400" s="3" t="s">
        <v>51703</v>
      </c>
      <c r="BA5400" s="3" t="s">
        <v>51703</v>
      </c>
      <c r="BB5400" s="3" t="s">
        <v>51706</v>
      </c>
      <c r="BC5400" s="3" t="s">
        <v>142</v>
      </c>
      <c r="BD5400" s="3" t="s">
        <v>68</v>
      </c>
      <c r="BF5400" s="3" t="s">
        <v>51706</v>
      </c>
      <c r="BG5400" s="3" t="s">
        <v>51707</v>
      </c>
    </row>
    <row r="5401" spans="1:59" ht="57" x14ac:dyDescent="0.45">
      <c r="A5401" s="2" t="s">
        <v>59</v>
      </c>
      <c r="B5401" s="2" t="s">
        <v>60</v>
      </c>
      <c r="C5401" s="2" t="s">
        <v>51696</v>
      </c>
      <c r="D5401" s="2" t="s">
        <v>51697</v>
      </c>
      <c r="E5401" s="2" t="s">
        <v>51698</v>
      </c>
      <c r="G5401" s="3" t="s">
        <v>62</v>
      </c>
      <c r="I5401" s="3" t="s">
        <v>61</v>
      </c>
      <c r="J5401" s="3" t="s">
        <v>61</v>
      </c>
      <c r="K5401" s="3" t="s">
        <v>63</v>
      </c>
      <c r="L5401" s="2" t="s">
        <v>651</v>
      </c>
      <c r="M5401" s="2" t="s">
        <v>51699</v>
      </c>
      <c r="N5401" s="3" t="s">
        <v>419</v>
      </c>
      <c r="P5401" s="3" t="s">
        <v>65</v>
      </c>
      <c r="Q5401" s="2" t="s">
        <v>51700</v>
      </c>
      <c r="R5401" s="3" t="s">
        <v>66</v>
      </c>
      <c r="S5401" s="4">
        <v>5</v>
      </c>
      <c r="T5401" s="4">
        <v>71</v>
      </c>
      <c r="U5401" s="5" t="s">
        <v>51708</v>
      </c>
      <c r="V5401" s="5" t="s">
        <v>7233</v>
      </c>
      <c r="W5401" s="5" t="s">
        <v>67</v>
      </c>
      <c r="X5401" s="5" t="s">
        <v>67</v>
      </c>
      <c r="Y5401" s="4">
        <v>123</v>
      </c>
      <c r="Z5401" s="4">
        <v>4</v>
      </c>
      <c r="AA5401" s="4">
        <v>102</v>
      </c>
      <c r="AB5401" s="4">
        <v>1</v>
      </c>
      <c r="AC5401" s="4">
        <v>17</v>
      </c>
      <c r="AD5401" s="4">
        <v>25</v>
      </c>
      <c r="AE5401" s="4">
        <v>166</v>
      </c>
      <c r="AF5401" s="4">
        <v>0</v>
      </c>
      <c r="AG5401" s="4">
        <v>7</v>
      </c>
      <c r="AH5401" s="4">
        <v>22</v>
      </c>
      <c r="AI5401" s="4">
        <v>116</v>
      </c>
      <c r="AJ5401" s="4">
        <v>0</v>
      </c>
      <c r="AK5401" s="4">
        <v>28</v>
      </c>
      <c r="AL5401" s="4">
        <v>12</v>
      </c>
      <c r="AM5401" s="4">
        <v>63</v>
      </c>
      <c r="AN5401" s="4">
        <v>0</v>
      </c>
      <c r="AO5401" s="4">
        <v>0</v>
      </c>
      <c r="AP5401" s="4">
        <v>2</v>
      </c>
      <c r="AQ5401" s="4">
        <v>56</v>
      </c>
      <c r="AR5401" s="3" t="s">
        <v>62</v>
      </c>
      <c r="AS5401" s="3" t="s">
        <v>62</v>
      </c>
      <c r="AT5401" s="3" t="s">
        <v>62</v>
      </c>
      <c r="AV5401" s="6" t="str">
        <f>HYPERLINK("http://mcgill.on.worldcat.org/oclc/1513171","Catalog Record")</f>
        <v>Catalog Record</v>
      </c>
      <c r="AW5401" s="6" t="str">
        <f>HYPERLINK("http://www.worldcat.org/oclc/1513171","WorldCat Record")</f>
        <v>WorldCat Record</v>
      </c>
      <c r="AX5401" s="3" t="s">
        <v>51681</v>
      </c>
      <c r="AY5401" s="3" t="s">
        <v>51702</v>
      </c>
      <c r="AZ5401" s="3" t="s">
        <v>51703</v>
      </c>
      <c r="BA5401" s="3" t="s">
        <v>51703</v>
      </c>
      <c r="BB5401" s="3" t="s">
        <v>51709</v>
      </c>
      <c r="BC5401" s="3" t="s">
        <v>142</v>
      </c>
      <c r="BD5401" s="3" t="s">
        <v>68</v>
      </c>
      <c r="BF5401" s="3" t="s">
        <v>51709</v>
      </c>
      <c r="BG5401" s="3" t="s">
        <v>51710</v>
      </c>
    </row>
    <row r="5402" spans="1:59" ht="57" x14ac:dyDescent="0.45">
      <c r="A5402" s="2" t="s">
        <v>59</v>
      </c>
      <c r="B5402" s="2" t="s">
        <v>60</v>
      </c>
      <c r="C5402" s="2" t="s">
        <v>51711</v>
      </c>
      <c r="D5402" s="2" t="s">
        <v>51712</v>
      </c>
      <c r="E5402" s="2" t="s">
        <v>51678</v>
      </c>
      <c r="G5402" s="3" t="s">
        <v>62</v>
      </c>
      <c r="I5402" s="3" t="s">
        <v>62</v>
      </c>
      <c r="J5402" s="3" t="s">
        <v>61</v>
      </c>
      <c r="K5402" s="3" t="s">
        <v>63</v>
      </c>
      <c r="L5402" s="2" t="s">
        <v>651</v>
      </c>
      <c r="M5402" s="2" t="s">
        <v>51713</v>
      </c>
      <c r="N5402" s="3" t="s">
        <v>495</v>
      </c>
      <c r="P5402" s="3" t="s">
        <v>65</v>
      </c>
      <c r="Q5402" s="2" t="s">
        <v>51714</v>
      </c>
      <c r="R5402" s="3" t="s">
        <v>66</v>
      </c>
      <c r="S5402" s="4">
        <v>22</v>
      </c>
      <c r="T5402" s="4">
        <v>22</v>
      </c>
      <c r="U5402" s="5" t="s">
        <v>40633</v>
      </c>
      <c r="V5402" s="5" t="s">
        <v>40633</v>
      </c>
      <c r="W5402" s="5" t="s">
        <v>67</v>
      </c>
      <c r="X5402" s="5" t="s">
        <v>67</v>
      </c>
      <c r="Y5402" s="4">
        <v>47</v>
      </c>
      <c r="Z5402" s="4">
        <v>1</v>
      </c>
      <c r="AA5402" s="4">
        <v>102</v>
      </c>
      <c r="AB5402" s="4">
        <v>1</v>
      </c>
      <c r="AC5402" s="4">
        <v>17</v>
      </c>
      <c r="AD5402" s="4">
        <v>10</v>
      </c>
      <c r="AE5402" s="4">
        <v>166</v>
      </c>
      <c r="AF5402" s="4">
        <v>0</v>
      </c>
      <c r="AG5402" s="4">
        <v>7</v>
      </c>
      <c r="AH5402" s="4">
        <v>10</v>
      </c>
      <c r="AI5402" s="4">
        <v>116</v>
      </c>
      <c r="AJ5402" s="4">
        <v>0</v>
      </c>
      <c r="AK5402" s="4">
        <v>28</v>
      </c>
      <c r="AL5402" s="4">
        <v>5</v>
      </c>
      <c r="AM5402" s="4">
        <v>63</v>
      </c>
      <c r="AN5402" s="4">
        <v>0</v>
      </c>
      <c r="AO5402" s="4">
        <v>0</v>
      </c>
      <c r="AP5402" s="4">
        <v>0</v>
      </c>
      <c r="AQ5402" s="4">
        <v>56</v>
      </c>
      <c r="AR5402" s="3" t="s">
        <v>62</v>
      </c>
      <c r="AS5402" s="3" t="s">
        <v>62</v>
      </c>
      <c r="AT5402" s="3" t="s">
        <v>61</v>
      </c>
      <c r="AU5402" s="6" t="str">
        <f>HYPERLINK("http://catalog.hathitrust.org/Record/009073235","HathiTrust Record")</f>
        <v>HathiTrust Record</v>
      </c>
      <c r="AV5402" s="6" t="str">
        <f>HYPERLINK("http://mcgill.on.worldcat.org/oclc/3784295","Catalog Record")</f>
        <v>Catalog Record</v>
      </c>
      <c r="AW5402" s="6" t="str">
        <f>HYPERLINK("http://www.worldcat.org/oclc/3784295","WorldCat Record")</f>
        <v>WorldCat Record</v>
      </c>
      <c r="AX5402" s="3" t="s">
        <v>51681</v>
      </c>
      <c r="AY5402" s="3" t="s">
        <v>51715</v>
      </c>
      <c r="AZ5402" s="3" t="s">
        <v>51716</v>
      </c>
      <c r="BA5402" s="3" t="s">
        <v>51716</v>
      </c>
      <c r="BB5402" s="3" t="s">
        <v>51717</v>
      </c>
      <c r="BC5402" s="3" t="s">
        <v>142</v>
      </c>
      <c r="BD5402" s="3" t="s">
        <v>68</v>
      </c>
      <c r="BF5402" s="3" t="s">
        <v>51717</v>
      </c>
      <c r="BG5402" s="3" t="s">
        <v>51718</v>
      </c>
    </row>
    <row r="5403" spans="1:59" ht="85.5" x14ac:dyDescent="0.45">
      <c r="A5403" s="2" t="s">
        <v>59</v>
      </c>
      <c r="B5403" s="2" t="s">
        <v>60</v>
      </c>
      <c r="C5403" s="2" t="s">
        <v>51719</v>
      </c>
      <c r="D5403" s="2" t="s">
        <v>51720</v>
      </c>
      <c r="E5403" s="2" t="s">
        <v>51678</v>
      </c>
      <c r="G5403" s="3" t="s">
        <v>62</v>
      </c>
      <c r="I5403" s="3" t="s">
        <v>61</v>
      </c>
      <c r="J5403" s="3" t="s">
        <v>61</v>
      </c>
      <c r="K5403" s="3" t="s">
        <v>63</v>
      </c>
      <c r="L5403" s="2" t="s">
        <v>651</v>
      </c>
      <c r="M5403" s="2" t="s">
        <v>33598</v>
      </c>
      <c r="N5403" s="3" t="s">
        <v>970</v>
      </c>
      <c r="O5403" s="2" t="s">
        <v>51721</v>
      </c>
      <c r="P5403" s="3" t="s">
        <v>65</v>
      </c>
      <c r="R5403" s="3" t="s">
        <v>66</v>
      </c>
      <c r="S5403" s="4">
        <v>30</v>
      </c>
      <c r="T5403" s="4">
        <v>34</v>
      </c>
      <c r="U5403" s="5" t="s">
        <v>11599</v>
      </c>
      <c r="V5403" s="5" t="s">
        <v>11599</v>
      </c>
      <c r="W5403" s="5" t="s">
        <v>67</v>
      </c>
      <c r="X5403" s="5" t="s">
        <v>67</v>
      </c>
      <c r="Y5403" s="4">
        <v>241</v>
      </c>
      <c r="Z5403" s="4">
        <v>16</v>
      </c>
      <c r="AA5403" s="4">
        <v>102</v>
      </c>
      <c r="AB5403" s="4">
        <v>1</v>
      </c>
      <c r="AC5403" s="4">
        <v>17</v>
      </c>
      <c r="AD5403" s="4">
        <v>63</v>
      </c>
      <c r="AE5403" s="4">
        <v>166</v>
      </c>
      <c r="AF5403" s="4">
        <v>0</v>
      </c>
      <c r="AG5403" s="4">
        <v>7</v>
      </c>
      <c r="AH5403" s="4">
        <v>55</v>
      </c>
      <c r="AI5403" s="4">
        <v>116</v>
      </c>
      <c r="AJ5403" s="4">
        <v>10</v>
      </c>
      <c r="AK5403" s="4">
        <v>28</v>
      </c>
      <c r="AL5403" s="4">
        <v>30</v>
      </c>
      <c r="AM5403" s="4">
        <v>63</v>
      </c>
      <c r="AN5403" s="4">
        <v>0</v>
      </c>
      <c r="AO5403" s="4">
        <v>0</v>
      </c>
      <c r="AP5403" s="4">
        <v>12</v>
      </c>
      <c r="AQ5403" s="4">
        <v>56</v>
      </c>
      <c r="AR5403" s="3" t="s">
        <v>62</v>
      </c>
      <c r="AS5403" s="3" t="s">
        <v>62</v>
      </c>
      <c r="AT5403" s="3" t="s">
        <v>61</v>
      </c>
      <c r="AU5403" s="6" t="str">
        <f>HYPERLINK("http://catalog.hathitrust.org/Record/007142536","HathiTrust Record")</f>
        <v>HathiTrust Record</v>
      </c>
      <c r="AV5403" s="6" t="str">
        <f>HYPERLINK("http://mcgill.on.worldcat.org/oclc/50982282","Catalog Record")</f>
        <v>Catalog Record</v>
      </c>
      <c r="AW5403" s="6" t="str">
        <f>HYPERLINK("http://www.worldcat.org/oclc/50982282","WorldCat Record")</f>
        <v>WorldCat Record</v>
      </c>
      <c r="AX5403" s="3" t="s">
        <v>51681</v>
      </c>
      <c r="AY5403" s="3" t="s">
        <v>51722</v>
      </c>
      <c r="AZ5403" s="3" t="s">
        <v>51723</v>
      </c>
      <c r="BA5403" s="3" t="s">
        <v>51723</v>
      </c>
      <c r="BB5403" s="3" t="s">
        <v>51724</v>
      </c>
      <c r="BC5403" s="3" t="s">
        <v>142</v>
      </c>
      <c r="BD5403" s="3" t="s">
        <v>68</v>
      </c>
      <c r="BE5403" s="3" t="s">
        <v>51725</v>
      </c>
      <c r="BF5403" s="3" t="s">
        <v>51724</v>
      </c>
      <c r="BG5403" s="3" t="s">
        <v>51726</v>
      </c>
    </row>
    <row r="5404" spans="1:59" ht="85.5" x14ac:dyDescent="0.45">
      <c r="A5404" s="2" t="s">
        <v>59</v>
      </c>
      <c r="B5404" s="2" t="s">
        <v>60</v>
      </c>
      <c r="C5404" s="2" t="s">
        <v>51719</v>
      </c>
      <c r="D5404" s="2" t="s">
        <v>51720</v>
      </c>
      <c r="E5404" s="2" t="s">
        <v>51678</v>
      </c>
      <c r="G5404" s="3" t="s">
        <v>62</v>
      </c>
      <c r="I5404" s="3" t="s">
        <v>61</v>
      </c>
      <c r="J5404" s="3" t="s">
        <v>61</v>
      </c>
      <c r="K5404" s="3" t="s">
        <v>63</v>
      </c>
      <c r="L5404" s="2" t="s">
        <v>651</v>
      </c>
      <c r="M5404" s="2" t="s">
        <v>33598</v>
      </c>
      <c r="N5404" s="3" t="s">
        <v>970</v>
      </c>
      <c r="O5404" s="2" t="s">
        <v>51721</v>
      </c>
      <c r="P5404" s="3" t="s">
        <v>65</v>
      </c>
      <c r="R5404" s="3" t="s">
        <v>66</v>
      </c>
      <c r="S5404" s="4">
        <v>4</v>
      </c>
      <c r="T5404" s="4">
        <v>34</v>
      </c>
      <c r="U5404" s="5" t="s">
        <v>17898</v>
      </c>
      <c r="V5404" s="5" t="s">
        <v>11599</v>
      </c>
      <c r="W5404" s="5" t="s">
        <v>67</v>
      </c>
      <c r="X5404" s="5" t="s">
        <v>67</v>
      </c>
      <c r="Y5404" s="4">
        <v>241</v>
      </c>
      <c r="Z5404" s="4">
        <v>16</v>
      </c>
      <c r="AA5404" s="4">
        <v>102</v>
      </c>
      <c r="AB5404" s="4">
        <v>1</v>
      </c>
      <c r="AC5404" s="4">
        <v>17</v>
      </c>
      <c r="AD5404" s="4">
        <v>63</v>
      </c>
      <c r="AE5404" s="4">
        <v>166</v>
      </c>
      <c r="AF5404" s="4">
        <v>0</v>
      </c>
      <c r="AG5404" s="4">
        <v>7</v>
      </c>
      <c r="AH5404" s="4">
        <v>55</v>
      </c>
      <c r="AI5404" s="4">
        <v>116</v>
      </c>
      <c r="AJ5404" s="4">
        <v>10</v>
      </c>
      <c r="AK5404" s="4">
        <v>28</v>
      </c>
      <c r="AL5404" s="4">
        <v>30</v>
      </c>
      <c r="AM5404" s="4">
        <v>63</v>
      </c>
      <c r="AN5404" s="4">
        <v>0</v>
      </c>
      <c r="AO5404" s="4">
        <v>0</v>
      </c>
      <c r="AP5404" s="4">
        <v>12</v>
      </c>
      <c r="AQ5404" s="4">
        <v>56</v>
      </c>
      <c r="AR5404" s="3" t="s">
        <v>62</v>
      </c>
      <c r="AS5404" s="3" t="s">
        <v>62</v>
      </c>
      <c r="AT5404" s="3" t="s">
        <v>61</v>
      </c>
      <c r="AU5404" s="6" t="str">
        <f>HYPERLINK("http://catalog.hathitrust.org/Record/007142536","HathiTrust Record")</f>
        <v>HathiTrust Record</v>
      </c>
      <c r="AV5404" s="6" t="str">
        <f>HYPERLINK("http://mcgill.on.worldcat.org/oclc/50982282","Catalog Record")</f>
        <v>Catalog Record</v>
      </c>
      <c r="AW5404" s="6" t="str">
        <f>HYPERLINK("http://www.worldcat.org/oclc/50982282","WorldCat Record")</f>
        <v>WorldCat Record</v>
      </c>
      <c r="AX5404" s="3" t="s">
        <v>51681</v>
      </c>
      <c r="AY5404" s="3" t="s">
        <v>51722</v>
      </c>
      <c r="AZ5404" s="3" t="s">
        <v>51723</v>
      </c>
      <c r="BA5404" s="3" t="s">
        <v>51723</v>
      </c>
      <c r="BB5404" s="3" t="s">
        <v>51727</v>
      </c>
      <c r="BC5404" s="3" t="s">
        <v>142</v>
      </c>
      <c r="BD5404" s="3" t="s">
        <v>68</v>
      </c>
      <c r="BE5404" s="3" t="s">
        <v>51725</v>
      </c>
      <c r="BF5404" s="3" t="s">
        <v>51727</v>
      </c>
      <c r="BG5404" s="3" t="s">
        <v>51728</v>
      </c>
    </row>
    <row r="5405" spans="1:59" ht="57" x14ac:dyDescent="0.45">
      <c r="A5405" s="2" t="s">
        <v>59</v>
      </c>
      <c r="B5405" s="2" t="s">
        <v>60</v>
      </c>
      <c r="C5405" s="2" t="s">
        <v>51729</v>
      </c>
      <c r="D5405" s="2" t="s">
        <v>51730</v>
      </c>
      <c r="E5405" s="2" t="s">
        <v>51731</v>
      </c>
      <c r="G5405" s="3" t="s">
        <v>62</v>
      </c>
      <c r="I5405" s="3" t="s">
        <v>62</v>
      </c>
      <c r="J5405" s="3" t="s">
        <v>62</v>
      </c>
      <c r="K5405" s="3" t="s">
        <v>63</v>
      </c>
      <c r="M5405" s="2" t="s">
        <v>51732</v>
      </c>
      <c r="N5405" s="3" t="s">
        <v>1155</v>
      </c>
      <c r="P5405" s="3" t="s">
        <v>65</v>
      </c>
      <c r="Q5405" s="2" t="s">
        <v>51733</v>
      </c>
      <c r="R5405" s="3" t="s">
        <v>66</v>
      </c>
      <c r="S5405" s="4">
        <v>0</v>
      </c>
      <c r="T5405" s="4">
        <v>0</v>
      </c>
      <c r="W5405" s="5" t="s">
        <v>67</v>
      </c>
      <c r="X5405" s="5" t="s">
        <v>67</v>
      </c>
      <c r="Y5405" s="4">
        <v>67</v>
      </c>
      <c r="Z5405" s="4">
        <v>7</v>
      </c>
      <c r="AA5405" s="4">
        <v>26</v>
      </c>
      <c r="AB5405" s="4">
        <v>1</v>
      </c>
      <c r="AC5405" s="4">
        <v>2</v>
      </c>
      <c r="AD5405" s="4">
        <v>31</v>
      </c>
      <c r="AE5405" s="4">
        <v>66</v>
      </c>
      <c r="AF5405" s="4">
        <v>0</v>
      </c>
      <c r="AG5405" s="4">
        <v>0</v>
      </c>
      <c r="AH5405" s="4">
        <v>29</v>
      </c>
      <c r="AI5405" s="4">
        <v>54</v>
      </c>
      <c r="AJ5405" s="4">
        <v>5</v>
      </c>
      <c r="AK5405" s="4">
        <v>12</v>
      </c>
      <c r="AL5405" s="4">
        <v>19</v>
      </c>
      <c r="AM5405" s="4">
        <v>31</v>
      </c>
      <c r="AN5405" s="4">
        <v>0</v>
      </c>
      <c r="AO5405" s="4">
        <v>0</v>
      </c>
      <c r="AP5405" s="4">
        <v>5</v>
      </c>
      <c r="AQ5405" s="4">
        <v>18</v>
      </c>
      <c r="AR5405" s="3" t="s">
        <v>62</v>
      </c>
      <c r="AS5405" s="3" t="s">
        <v>62</v>
      </c>
      <c r="AT5405" s="3" t="s">
        <v>61</v>
      </c>
      <c r="AU5405" s="6" t="str">
        <f>HYPERLINK("http://catalog.hathitrust.org/Record/100853687","HathiTrust Record")</f>
        <v>HathiTrust Record</v>
      </c>
      <c r="AV5405" s="6" t="str">
        <f>HYPERLINK("http://mcgill.on.worldcat.org/oclc/798612693","Catalog Record")</f>
        <v>Catalog Record</v>
      </c>
      <c r="AW5405" s="6" t="str">
        <f>HYPERLINK("http://www.worldcat.org/oclc/798612693","WorldCat Record")</f>
        <v>WorldCat Record</v>
      </c>
      <c r="AX5405" s="3" t="s">
        <v>51734</v>
      </c>
      <c r="AY5405" s="3" t="s">
        <v>51735</v>
      </c>
      <c r="AZ5405" s="3" t="s">
        <v>51736</v>
      </c>
      <c r="BA5405" s="3" t="s">
        <v>51736</v>
      </c>
      <c r="BB5405" s="3" t="s">
        <v>51737</v>
      </c>
      <c r="BC5405" s="3" t="s">
        <v>142</v>
      </c>
      <c r="BD5405" s="3" t="s">
        <v>68</v>
      </c>
      <c r="BE5405" s="3" t="s">
        <v>51738</v>
      </c>
      <c r="BF5405" s="3" t="s">
        <v>51737</v>
      </c>
      <c r="BG5405" s="3" t="s">
        <v>51739</v>
      </c>
    </row>
    <row r="5406" spans="1:59" ht="57" x14ac:dyDescent="0.45">
      <c r="A5406" s="2" t="s">
        <v>59</v>
      </c>
      <c r="B5406" s="2" t="s">
        <v>60</v>
      </c>
      <c r="C5406" s="2" t="s">
        <v>51740</v>
      </c>
      <c r="D5406" s="2" t="s">
        <v>51741</v>
      </c>
      <c r="E5406" s="2" t="s">
        <v>51742</v>
      </c>
      <c r="G5406" s="3" t="s">
        <v>62</v>
      </c>
      <c r="I5406" s="3" t="s">
        <v>62</v>
      </c>
      <c r="J5406" s="3" t="s">
        <v>62</v>
      </c>
      <c r="K5406" s="3" t="s">
        <v>63</v>
      </c>
      <c r="L5406" s="2" t="s">
        <v>51743</v>
      </c>
      <c r="M5406" s="2" t="s">
        <v>9667</v>
      </c>
      <c r="N5406" s="3" t="s">
        <v>894</v>
      </c>
      <c r="P5406" s="3" t="s">
        <v>65</v>
      </c>
      <c r="Q5406" s="2" t="s">
        <v>51744</v>
      </c>
      <c r="R5406" s="3" t="s">
        <v>66</v>
      </c>
      <c r="S5406" s="4">
        <v>1</v>
      </c>
      <c r="T5406" s="4">
        <v>1</v>
      </c>
      <c r="U5406" s="5" t="s">
        <v>51745</v>
      </c>
      <c r="V5406" s="5" t="s">
        <v>51745</v>
      </c>
      <c r="W5406" s="5" t="s">
        <v>67</v>
      </c>
      <c r="X5406" s="5" t="s">
        <v>67</v>
      </c>
      <c r="Y5406" s="4">
        <v>148</v>
      </c>
      <c r="Z5406" s="4">
        <v>16</v>
      </c>
      <c r="AA5406" s="4">
        <v>81</v>
      </c>
      <c r="AB5406" s="4">
        <v>1</v>
      </c>
      <c r="AC5406" s="4">
        <v>14</v>
      </c>
      <c r="AD5406" s="4">
        <v>70</v>
      </c>
      <c r="AE5406" s="4">
        <v>128</v>
      </c>
      <c r="AF5406" s="4">
        <v>0</v>
      </c>
      <c r="AG5406" s="4">
        <v>8</v>
      </c>
      <c r="AH5406" s="4">
        <v>64</v>
      </c>
      <c r="AI5406" s="4">
        <v>94</v>
      </c>
      <c r="AJ5406" s="4">
        <v>13</v>
      </c>
      <c r="AK5406" s="4">
        <v>24</v>
      </c>
      <c r="AL5406" s="4">
        <v>36</v>
      </c>
      <c r="AM5406" s="4">
        <v>49</v>
      </c>
      <c r="AN5406" s="4">
        <v>0</v>
      </c>
      <c r="AO5406" s="4">
        <v>0</v>
      </c>
      <c r="AP5406" s="4">
        <v>13</v>
      </c>
      <c r="AQ5406" s="4">
        <v>43</v>
      </c>
      <c r="AR5406" s="3" t="s">
        <v>62</v>
      </c>
      <c r="AS5406" s="3" t="s">
        <v>62</v>
      </c>
      <c r="AT5406" s="3" t="s">
        <v>62</v>
      </c>
      <c r="AV5406" s="6" t="str">
        <f>HYPERLINK("http://mcgill.on.worldcat.org/oclc/681488504","Catalog Record")</f>
        <v>Catalog Record</v>
      </c>
      <c r="AW5406" s="6" t="str">
        <f>HYPERLINK("http://www.worldcat.org/oclc/681488504","WorldCat Record")</f>
        <v>WorldCat Record</v>
      </c>
      <c r="AX5406" s="3" t="s">
        <v>51746</v>
      </c>
      <c r="AY5406" s="3" t="s">
        <v>51747</v>
      </c>
      <c r="AZ5406" s="3" t="s">
        <v>51748</v>
      </c>
      <c r="BA5406" s="3" t="s">
        <v>51748</v>
      </c>
      <c r="BB5406" s="3" t="s">
        <v>51749</v>
      </c>
      <c r="BC5406" s="3" t="s">
        <v>142</v>
      </c>
      <c r="BD5406" s="3" t="s">
        <v>68</v>
      </c>
      <c r="BE5406" s="3" t="s">
        <v>51750</v>
      </c>
      <c r="BF5406" s="3" t="s">
        <v>51749</v>
      </c>
      <c r="BG5406" s="3" t="s">
        <v>51751</v>
      </c>
    </row>
    <row r="5407" spans="1:59" ht="57" x14ac:dyDescent="0.45">
      <c r="A5407" s="2" t="s">
        <v>59</v>
      </c>
      <c r="B5407" s="2" t="s">
        <v>60</v>
      </c>
      <c r="C5407" s="2" t="s">
        <v>51752</v>
      </c>
      <c r="D5407" s="2" t="s">
        <v>51753</v>
      </c>
      <c r="E5407" s="2" t="s">
        <v>51754</v>
      </c>
      <c r="G5407" s="3" t="s">
        <v>62</v>
      </c>
      <c r="I5407" s="3" t="s">
        <v>62</v>
      </c>
      <c r="J5407" s="3" t="s">
        <v>62</v>
      </c>
      <c r="K5407" s="3" t="s">
        <v>63</v>
      </c>
      <c r="M5407" s="2" t="s">
        <v>3925</v>
      </c>
      <c r="N5407" s="3" t="s">
        <v>149</v>
      </c>
      <c r="P5407" s="3" t="s">
        <v>65</v>
      </c>
      <c r="Q5407" s="2" t="s">
        <v>51755</v>
      </c>
      <c r="R5407" s="3" t="s">
        <v>66</v>
      </c>
      <c r="S5407" s="4">
        <v>1</v>
      </c>
      <c r="T5407" s="4">
        <v>1</v>
      </c>
      <c r="U5407" s="5" t="s">
        <v>30954</v>
      </c>
      <c r="V5407" s="5" t="s">
        <v>30954</v>
      </c>
      <c r="W5407" s="5" t="s">
        <v>67</v>
      </c>
      <c r="X5407" s="5" t="s">
        <v>67</v>
      </c>
      <c r="Y5407" s="4">
        <v>67</v>
      </c>
      <c r="Z5407" s="4">
        <v>8</v>
      </c>
      <c r="AA5407" s="4">
        <v>97</v>
      </c>
      <c r="AB5407" s="4">
        <v>1</v>
      </c>
      <c r="AC5407" s="4">
        <v>17</v>
      </c>
      <c r="AD5407" s="4">
        <v>30</v>
      </c>
      <c r="AE5407" s="4">
        <v>108</v>
      </c>
      <c r="AF5407" s="4">
        <v>0</v>
      </c>
      <c r="AG5407" s="4">
        <v>8</v>
      </c>
      <c r="AH5407" s="4">
        <v>28</v>
      </c>
      <c r="AI5407" s="4">
        <v>72</v>
      </c>
      <c r="AJ5407" s="4">
        <v>6</v>
      </c>
      <c r="AK5407" s="4">
        <v>24</v>
      </c>
      <c r="AL5407" s="4">
        <v>18</v>
      </c>
      <c r="AM5407" s="4">
        <v>34</v>
      </c>
      <c r="AN5407" s="4">
        <v>0</v>
      </c>
      <c r="AO5407" s="4">
        <v>0</v>
      </c>
      <c r="AP5407" s="4">
        <v>6</v>
      </c>
      <c r="AQ5407" s="4">
        <v>45</v>
      </c>
      <c r="AR5407" s="3" t="s">
        <v>62</v>
      </c>
      <c r="AS5407" s="3" t="s">
        <v>62</v>
      </c>
      <c r="AT5407" s="3" t="s">
        <v>62</v>
      </c>
      <c r="AV5407" s="6" t="str">
        <f>HYPERLINK("http://mcgill.on.worldcat.org/oclc/639163035","Catalog Record")</f>
        <v>Catalog Record</v>
      </c>
      <c r="AW5407" s="6" t="str">
        <f>HYPERLINK("http://www.worldcat.org/oclc/639163035","WorldCat Record")</f>
        <v>WorldCat Record</v>
      </c>
      <c r="AX5407" s="3" t="s">
        <v>51756</v>
      </c>
      <c r="AY5407" s="3" t="s">
        <v>51757</v>
      </c>
      <c r="AZ5407" s="3" t="s">
        <v>51758</v>
      </c>
      <c r="BA5407" s="3" t="s">
        <v>51758</v>
      </c>
      <c r="BB5407" s="3" t="s">
        <v>51759</v>
      </c>
      <c r="BC5407" s="3" t="s">
        <v>142</v>
      </c>
      <c r="BD5407" s="3" t="s">
        <v>68</v>
      </c>
      <c r="BE5407" s="3" t="s">
        <v>51760</v>
      </c>
      <c r="BF5407" s="3" t="s">
        <v>51759</v>
      </c>
      <c r="BG5407" s="3" t="s">
        <v>51761</v>
      </c>
    </row>
    <row r="5408" spans="1:59" ht="57" x14ac:dyDescent="0.45">
      <c r="A5408" s="2" t="s">
        <v>59</v>
      </c>
      <c r="B5408" s="2" t="s">
        <v>60</v>
      </c>
      <c r="C5408" s="2" t="s">
        <v>51762</v>
      </c>
      <c r="D5408" s="2" t="s">
        <v>51763</v>
      </c>
      <c r="E5408" s="2" t="s">
        <v>51764</v>
      </c>
      <c r="G5408" s="3" t="s">
        <v>62</v>
      </c>
      <c r="I5408" s="3" t="s">
        <v>62</v>
      </c>
      <c r="J5408" s="3" t="s">
        <v>62</v>
      </c>
      <c r="K5408" s="3" t="s">
        <v>63</v>
      </c>
      <c r="M5408" s="2" t="s">
        <v>51765</v>
      </c>
      <c r="N5408" s="3" t="s">
        <v>116</v>
      </c>
      <c r="P5408" s="3" t="s">
        <v>65</v>
      </c>
      <c r="Q5408" s="2" t="s">
        <v>51766</v>
      </c>
      <c r="R5408" s="3" t="s">
        <v>66</v>
      </c>
      <c r="S5408" s="4">
        <v>0</v>
      </c>
      <c r="T5408" s="4">
        <v>0</v>
      </c>
      <c r="W5408" s="5" t="s">
        <v>67</v>
      </c>
      <c r="X5408" s="5" t="s">
        <v>67</v>
      </c>
      <c r="Y5408" s="4">
        <v>58</v>
      </c>
      <c r="Z5408" s="4">
        <v>9</v>
      </c>
      <c r="AA5408" s="4">
        <v>9</v>
      </c>
      <c r="AB5408" s="4">
        <v>1</v>
      </c>
      <c r="AC5408" s="4">
        <v>1</v>
      </c>
      <c r="AD5408" s="4">
        <v>35</v>
      </c>
      <c r="AE5408" s="4">
        <v>35</v>
      </c>
      <c r="AF5408" s="4">
        <v>0</v>
      </c>
      <c r="AG5408" s="4">
        <v>0</v>
      </c>
      <c r="AH5408" s="4">
        <v>33</v>
      </c>
      <c r="AI5408" s="4">
        <v>33</v>
      </c>
      <c r="AJ5408" s="4">
        <v>6</v>
      </c>
      <c r="AK5408" s="4">
        <v>6</v>
      </c>
      <c r="AL5408" s="4">
        <v>24</v>
      </c>
      <c r="AM5408" s="4">
        <v>24</v>
      </c>
      <c r="AN5408" s="4">
        <v>0</v>
      </c>
      <c r="AO5408" s="4">
        <v>0</v>
      </c>
      <c r="AP5408" s="4">
        <v>6</v>
      </c>
      <c r="AQ5408" s="4">
        <v>6</v>
      </c>
      <c r="AR5408" s="3" t="s">
        <v>62</v>
      </c>
      <c r="AS5408" s="3" t="s">
        <v>62</v>
      </c>
      <c r="AT5408" s="3" t="s">
        <v>62</v>
      </c>
      <c r="AV5408" s="6" t="str">
        <f>HYPERLINK("http://mcgill.on.worldcat.org/oclc/846846865","Catalog Record")</f>
        <v>Catalog Record</v>
      </c>
      <c r="AW5408" s="6" t="str">
        <f>HYPERLINK("http://www.worldcat.org/oclc/846846865","WorldCat Record")</f>
        <v>WorldCat Record</v>
      </c>
      <c r="AX5408" s="3" t="s">
        <v>51767</v>
      </c>
      <c r="AY5408" s="3" t="s">
        <v>51768</v>
      </c>
      <c r="AZ5408" s="3" t="s">
        <v>51769</v>
      </c>
      <c r="BA5408" s="3" t="s">
        <v>51769</v>
      </c>
      <c r="BB5408" s="3" t="s">
        <v>51770</v>
      </c>
      <c r="BC5408" s="3" t="s">
        <v>142</v>
      </c>
      <c r="BD5408" s="3" t="s">
        <v>68</v>
      </c>
      <c r="BE5408" s="3" t="s">
        <v>51771</v>
      </c>
      <c r="BF5408" s="3" t="s">
        <v>51770</v>
      </c>
      <c r="BG5408" s="3" t="s">
        <v>51772</v>
      </c>
    </row>
    <row r="5409" spans="1:59" ht="57" x14ac:dyDescent="0.45">
      <c r="A5409" s="2" t="s">
        <v>59</v>
      </c>
      <c r="B5409" s="2" t="s">
        <v>60</v>
      </c>
      <c r="C5409" s="2" t="s">
        <v>51773</v>
      </c>
      <c r="D5409" s="2" t="s">
        <v>51774</v>
      </c>
      <c r="E5409" s="2" t="s">
        <v>51775</v>
      </c>
      <c r="G5409" s="3" t="s">
        <v>62</v>
      </c>
      <c r="I5409" s="3" t="s">
        <v>62</v>
      </c>
      <c r="J5409" s="3" t="s">
        <v>62</v>
      </c>
      <c r="K5409" s="3" t="s">
        <v>63</v>
      </c>
      <c r="M5409" s="2" t="s">
        <v>3026</v>
      </c>
      <c r="N5409" s="3" t="s">
        <v>1155</v>
      </c>
      <c r="P5409" s="3" t="s">
        <v>65</v>
      </c>
      <c r="R5409" s="3" t="s">
        <v>66</v>
      </c>
      <c r="S5409" s="4">
        <v>1</v>
      </c>
      <c r="T5409" s="4">
        <v>1</v>
      </c>
      <c r="U5409" s="5" t="s">
        <v>51776</v>
      </c>
      <c r="V5409" s="5" t="s">
        <v>51776</v>
      </c>
      <c r="W5409" s="5" t="s">
        <v>67</v>
      </c>
      <c r="X5409" s="5" t="s">
        <v>67</v>
      </c>
      <c r="Y5409" s="4">
        <v>108</v>
      </c>
      <c r="Z5409" s="4">
        <v>13</v>
      </c>
      <c r="AA5409" s="4">
        <v>78</v>
      </c>
      <c r="AB5409" s="4">
        <v>1</v>
      </c>
      <c r="AC5409" s="4">
        <v>14</v>
      </c>
      <c r="AD5409" s="4">
        <v>46</v>
      </c>
      <c r="AE5409" s="4">
        <v>110</v>
      </c>
      <c r="AF5409" s="4">
        <v>0</v>
      </c>
      <c r="AG5409" s="4">
        <v>8</v>
      </c>
      <c r="AH5409" s="4">
        <v>44</v>
      </c>
      <c r="AI5409" s="4">
        <v>80</v>
      </c>
      <c r="AJ5409" s="4">
        <v>9</v>
      </c>
      <c r="AK5409" s="4">
        <v>22</v>
      </c>
      <c r="AL5409" s="4">
        <v>26</v>
      </c>
      <c r="AM5409" s="4">
        <v>42</v>
      </c>
      <c r="AN5409" s="4">
        <v>0</v>
      </c>
      <c r="AO5409" s="4">
        <v>0</v>
      </c>
      <c r="AP5409" s="4">
        <v>10</v>
      </c>
      <c r="AQ5409" s="4">
        <v>41</v>
      </c>
      <c r="AR5409" s="3" t="s">
        <v>62</v>
      </c>
      <c r="AS5409" s="3" t="s">
        <v>62</v>
      </c>
      <c r="AT5409" s="3" t="s">
        <v>62</v>
      </c>
      <c r="AV5409" s="6" t="str">
        <f>HYPERLINK("http://mcgill.on.worldcat.org/oclc/784577081","Catalog Record")</f>
        <v>Catalog Record</v>
      </c>
      <c r="AW5409" s="6" t="str">
        <f>HYPERLINK("http://www.worldcat.org/oclc/784577081","WorldCat Record")</f>
        <v>WorldCat Record</v>
      </c>
      <c r="AX5409" s="3" t="s">
        <v>51777</v>
      </c>
      <c r="AY5409" s="3" t="s">
        <v>51778</v>
      </c>
      <c r="AZ5409" s="3" t="s">
        <v>51779</v>
      </c>
      <c r="BA5409" s="3" t="s">
        <v>51779</v>
      </c>
      <c r="BB5409" s="3" t="s">
        <v>51780</v>
      </c>
      <c r="BC5409" s="3" t="s">
        <v>142</v>
      </c>
      <c r="BD5409" s="3" t="s">
        <v>68</v>
      </c>
      <c r="BE5409" s="3" t="s">
        <v>51781</v>
      </c>
      <c r="BF5409" s="3" t="s">
        <v>51780</v>
      </c>
      <c r="BG5409" s="3" t="s">
        <v>51782</v>
      </c>
    </row>
    <row r="5410" spans="1:59" ht="57" x14ac:dyDescent="0.45">
      <c r="A5410" s="2" t="s">
        <v>59</v>
      </c>
      <c r="B5410" s="2" t="s">
        <v>60</v>
      </c>
      <c r="C5410" s="2" t="s">
        <v>51783</v>
      </c>
      <c r="D5410" s="2" t="s">
        <v>51784</v>
      </c>
      <c r="E5410" s="2" t="s">
        <v>51785</v>
      </c>
      <c r="G5410" s="3" t="s">
        <v>62</v>
      </c>
      <c r="I5410" s="3" t="s">
        <v>62</v>
      </c>
      <c r="J5410" s="3" t="s">
        <v>62</v>
      </c>
      <c r="K5410" s="3" t="s">
        <v>63</v>
      </c>
      <c r="L5410" s="2" t="s">
        <v>51786</v>
      </c>
      <c r="M5410" s="2" t="s">
        <v>9187</v>
      </c>
      <c r="N5410" s="3" t="s">
        <v>894</v>
      </c>
      <c r="P5410" s="3" t="s">
        <v>65</v>
      </c>
      <c r="Q5410" s="2" t="s">
        <v>50918</v>
      </c>
      <c r="R5410" s="3" t="s">
        <v>66</v>
      </c>
      <c r="S5410" s="4">
        <v>0</v>
      </c>
      <c r="T5410" s="4">
        <v>0</v>
      </c>
      <c r="W5410" s="5" t="s">
        <v>67</v>
      </c>
      <c r="X5410" s="5" t="s">
        <v>67</v>
      </c>
      <c r="Y5410" s="4">
        <v>92</v>
      </c>
      <c r="Z5410" s="4">
        <v>11</v>
      </c>
      <c r="AA5410" s="4">
        <v>37</v>
      </c>
      <c r="AB5410" s="4">
        <v>1</v>
      </c>
      <c r="AC5410" s="4">
        <v>5</v>
      </c>
      <c r="AD5410" s="4">
        <v>49</v>
      </c>
      <c r="AE5410" s="4">
        <v>94</v>
      </c>
      <c r="AF5410" s="4">
        <v>0</v>
      </c>
      <c r="AG5410" s="4">
        <v>1</v>
      </c>
      <c r="AH5410" s="4">
        <v>45</v>
      </c>
      <c r="AI5410" s="4">
        <v>76</v>
      </c>
      <c r="AJ5410" s="4">
        <v>9</v>
      </c>
      <c r="AK5410" s="4">
        <v>17</v>
      </c>
      <c r="AL5410" s="4">
        <v>28</v>
      </c>
      <c r="AM5410" s="4">
        <v>41</v>
      </c>
      <c r="AN5410" s="4">
        <v>0</v>
      </c>
      <c r="AO5410" s="4">
        <v>0</v>
      </c>
      <c r="AP5410" s="4">
        <v>9</v>
      </c>
      <c r="AQ5410" s="4">
        <v>28</v>
      </c>
      <c r="AR5410" s="3" t="s">
        <v>62</v>
      </c>
      <c r="AS5410" s="3" t="s">
        <v>62</v>
      </c>
      <c r="AT5410" s="3" t="s">
        <v>62</v>
      </c>
      <c r="AV5410" s="6" t="str">
        <f>HYPERLINK("http://mcgill.on.worldcat.org/oclc/712931206","Catalog Record")</f>
        <v>Catalog Record</v>
      </c>
      <c r="AW5410" s="6" t="str">
        <f>HYPERLINK("http://www.worldcat.org/oclc/712931206","WorldCat Record")</f>
        <v>WorldCat Record</v>
      </c>
      <c r="AX5410" s="3" t="s">
        <v>51787</v>
      </c>
      <c r="AY5410" s="3" t="s">
        <v>51788</v>
      </c>
      <c r="AZ5410" s="3" t="s">
        <v>51789</v>
      </c>
      <c r="BA5410" s="3" t="s">
        <v>51789</v>
      </c>
      <c r="BB5410" s="3" t="s">
        <v>51790</v>
      </c>
      <c r="BC5410" s="3" t="s">
        <v>142</v>
      </c>
      <c r="BD5410" s="3" t="s">
        <v>68</v>
      </c>
      <c r="BE5410" s="3" t="s">
        <v>51791</v>
      </c>
      <c r="BF5410" s="3" t="s">
        <v>51790</v>
      </c>
      <c r="BG5410" s="3" t="s">
        <v>51792</v>
      </c>
    </row>
    <row r="5411" spans="1:59" ht="57" x14ac:dyDescent="0.45">
      <c r="A5411" s="2" t="s">
        <v>59</v>
      </c>
      <c r="B5411" s="2" t="s">
        <v>60</v>
      </c>
      <c r="C5411" s="2" t="s">
        <v>51793</v>
      </c>
      <c r="D5411" s="2" t="s">
        <v>51794</v>
      </c>
      <c r="E5411" s="2" t="s">
        <v>51795</v>
      </c>
      <c r="G5411" s="3" t="s">
        <v>62</v>
      </c>
      <c r="I5411" s="3" t="s">
        <v>62</v>
      </c>
      <c r="J5411" s="3" t="s">
        <v>62</v>
      </c>
      <c r="K5411" s="3" t="s">
        <v>63</v>
      </c>
      <c r="L5411" s="2" t="s">
        <v>7009</v>
      </c>
      <c r="M5411" s="2" t="s">
        <v>2940</v>
      </c>
      <c r="N5411" s="3" t="s">
        <v>1855</v>
      </c>
      <c r="P5411" s="3" t="s">
        <v>65</v>
      </c>
      <c r="Q5411" s="2" t="s">
        <v>2941</v>
      </c>
      <c r="R5411" s="3" t="s">
        <v>66</v>
      </c>
      <c r="S5411" s="4">
        <v>15</v>
      </c>
      <c r="T5411" s="4">
        <v>15</v>
      </c>
      <c r="U5411" s="5" t="s">
        <v>51796</v>
      </c>
      <c r="V5411" s="5" t="s">
        <v>51796</v>
      </c>
      <c r="W5411" s="5" t="s">
        <v>67</v>
      </c>
      <c r="X5411" s="5" t="s">
        <v>67</v>
      </c>
      <c r="Y5411" s="4">
        <v>277</v>
      </c>
      <c r="Z5411" s="4">
        <v>25</v>
      </c>
      <c r="AA5411" s="4">
        <v>97</v>
      </c>
      <c r="AB5411" s="4">
        <v>3</v>
      </c>
      <c r="AC5411" s="4">
        <v>19</v>
      </c>
      <c r="AD5411" s="4">
        <v>100</v>
      </c>
      <c r="AE5411" s="4">
        <v>143</v>
      </c>
      <c r="AF5411" s="4">
        <v>1</v>
      </c>
      <c r="AG5411" s="4">
        <v>8</v>
      </c>
      <c r="AH5411" s="4">
        <v>87</v>
      </c>
      <c r="AI5411" s="4">
        <v>103</v>
      </c>
      <c r="AJ5411" s="4">
        <v>17</v>
      </c>
      <c r="AK5411" s="4">
        <v>25</v>
      </c>
      <c r="AL5411" s="4">
        <v>48</v>
      </c>
      <c r="AM5411" s="4">
        <v>55</v>
      </c>
      <c r="AN5411" s="4">
        <v>0</v>
      </c>
      <c r="AO5411" s="4">
        <v>0</v>
      </c>
      <c r="AP5411" s="4">
        <v>21</v>
      </c>
      <c r="AQ5411" s="4">
        <v>49</v>
      </c>
      <c r="AR5411" s="3" t="s">
        <v>62</v>
      </c>
      <c r="AS5411" s="3" t="s">
        <v>62</v>
      </c>
      <c r="AT5411" s="3" t="s">
        <v>62</v>
      </c>
      <c r="AV5411" s="6" t="str">
        <f>HYPERLINK("http://mcgill.on.worldcat.org/oclc/60559911","Catalog Record")</f>
        <v>Catalog Record</v>
      </c>
      <c r="AW5411" s="6" t="str">
        <f>HYPERLINK("http://www.worldcat.org/oclc/60559911","WorldCat Record")</f>
        <v>WorldCat Record</v>
      </c>
      <c r="AX5411" s="3" t="s">
        <v>51797</v>
      </c>
      <c r="AY5411" s="3" t="s">
        <v>51798</v>
      </c>
      <c r="AZ5411" s="3" t="s">
        <v>51799</v>
      </c>
      <c r="BA5411" s="3" t="s">
        <v>51799</v>
      </c>
      <c r="BB5411" s="3" t="s">
        <v>51800</v>
      </c>
      <c r="BC5411" s="3" t="s">
        <v>142</v>
      </c>
      <c r="BD5411" s="3" t="s">
        <v>68</v>
      </c>
      <c r="BE5411" s="3" t="s">
        <v>51801</v>
      </c>
      <c r="BF5411" s="3" t="s">
        <v>51800</v>
      </c>
      <c r="BG5411" s="3" t="s">
        <v>51802</v>
      </c>
    </row>
    <row r="5412" spans="1:59" ht="57" x14ac:dyDescent="0.45">
      <c r="A5412" s="2" t="s">
        <v>59</v>
      </c>
      <c r="B5412" s="2" t="s">
        <v>60</v>
      </c>
      <c r="C5412" s="2" t="s">
        <v>51803</v>
      </c>
      <c r="D5412" s="2" t="s">
        <v>51804</v>
      </c>
      <c r="E5412" s="2" t="s">
        <v>51805</v>
      </c>
      <c r="G5412" s="3" t="s">
        <v>62</v>
      </c>
      <c r="I5412" s="3" t="s">
        <v>62</v>
      </c>
      <c r="J5412" s="3" t="s">
        <v>62</v>
      </c>
      <c r="K5412" s="3" t="s">
        <v>63</v>
      </c>
      <c r="L5412" s="2" t="s">
        <v>51806</v>
      </c>
      <c r="M5412" s="2" t="s">
        <v>893</v>
      </c>
      <c r="N5412" s="3" t="s">
        <v>894</v>
      </c>
      <c r="P5412" s="3" t="s">
        <v>65</v>
      </c>
      <c r="Q5412" s="2" t="s">
        <v>51807</v>
      </c>
      <c r="R5412" s="3" t="s">
        <v>66</v>
      </c>
      <c r="S5412" s="4">
        <v>0</v>
      </c>
      <c r="T5412" s="4">
        <v>0</v>
      </c>
      <c r="W5412" s="5" t="s">
        <v>67</v>
      </c>
      <c r="X5412" s="5" t="s">
        <v>67</v>
      </c>
      <c r="Y5412" s="4">
        <v>162</v>
      </c>
      <c r="Z5412" s="4">
        <v>15</v>
      </c>
      <c r="AA5412" s="4">
        <v>80</v>
      </c>
      <c r="AB5412" s="4">
        <v>1</v>
      </c>
      <c r="AC5412" s="4">
        <v>15</v>
      </c>
      <c r="AD5412" s="4">
        <v>76</v>
      </c>
      <c r="AE5412" s="4">
        <v>126</v>
      </c>
      <c r="AF5412" s="4">
        <v>0</v>
      </c>
      <c r="AG5412" s="4">
        <v>8</v>
      </c>
      <c r="AH5412" s="4">
        <v>72</v>
      </c>
      <c r="AI5412" s="4">
        <v>94</v>
      </c>
      <c r="AJ5412" s="4">
        <v>12</v>
      </c>
      <c r="AK5412" s="4">
        <v>23</v>
      </c>
      <c r="AL5412" s="4">
        <v>43</v>
      </c>
      <c r="AM5412" s="4">
        <v>52</v>
      </c>
      <c r="AN5412" s="4">
        <v>0</v>
      </c>
      <c r="AO5412" s="4">
        <v>0</v>
      </c>
      <c r="AP5412" s="4">
        <v>12</v>
      </c>
      <c r="AQ5412" s="4">
        <v>42</v>
      </c>
      <c r="AR5412" s="3" t="s">
        <v>62</v>
      </c>
      <c r="AS5412" s="3" t="s">
        <v>62</v>
      </c>
      <c r="AT5412" s="3" t="s">
        <v>62</v>
      </c>
      <c r="AV5412" s="6" t="str">
        <f>HYPERLINK("http://mcgill.on.worldcat.org/oclc/711047863","Catalog Record")</f>
        <v>Catalog Record</v>
      </c>
      <c r="AW5412" s="6" t="str">
        <f>HYPERLINK("http://www.worldcat.org/oclc/711047863","WorldCat Record")</f>
        <v>WorldCat Record</v>
      </c>
      <c r="AX5412" s="3" t="s">
        <v>51808</v>
      </c>
      <c r="AY5412" s="3" t="s">
        <v>51809</v>
      </c>
      <c r="AZ5412" s="3" t="s">
        <v>51810</v>
      </c>
      <c r="BA5412" s="3" t="s">
        <v>51810</v>
      </c>
      <c r="BB5412" s="3" t="s">
        <v>51811</v>
      </c>
      <c r="BC5412" s="3" t="s">
        <v>142</v>
      </c>
      <c r="BD5412" s="3" t="s">
        <v>68</v>
      </c>
      <c r="BE5412" s="3" t="s">
        <v>51812</v>
      </c>
      <c r="BF5412" s="3" t="s">
        <v>51811</v>
      </c>
      <c r="BG5412" s="3" t="s">
        <v>51813</v>
      </c>
    </row>
    <row r="5413" spans="1:59" ht="57" x14ac:dyDescent="0.45">
      <c r="A5413" s="2" t="s">
        <v>59</v>
      </c>
      <c r="B5413" s="2" t="s">
        <v>60</v>
      </c>
      <c r="C5413" s="2" t="s">
        <v>51814</v>
      </c>
      <c r="D5413" s="2" t="s">
        <v>51815</v>
      </c>
      <c r="E5413" s="2" t="s">
        <v>51816</v>
      </c>
      <c r="G5413" s="3" t="s">
        <v>62</v>
      </c>
      <c r="I5413" s="3" t="s">
        <v>62</v>
      </c>
      <c r="J5413" s="3" t="s">
        <v>62</v>
      </c>
      <c r="K5413" s="3" t="s">
        <v>63</v>
      </c>
      <c r="L5413" s="2" t="s">
        <v>51817</v>
      </c>
      <c r="M5413" s="2" t="s">
        <v>51818</v>
      </c>
      <c r="N5413" s="3" t="s">
        <v>195</v>
      </c>
      <c r="P5413" s="3" t="s">
        <v>65</v>
      </c>
      <c r="R5413" s="3" t="s">
        <v>66</v>
      </c>
      <c r="S5413" s="4">
        <v>2</v>
      </c>
      <c r="T5413" s="4">
        <v>2</v>
      </c>
      <c r="U5413" s="5" t="s">
        <v>2342</v>
      </c>
      <c r="V5413" s="5" t="s">
        <v>2342</v>
      </c>
      <c r="W5413" s="5" t="s">
        <v>67</v>
      </c>
      <c r="X5413" s="5" t="s">
        <v>67</v>
      </c>
      <c r="Y5413" s="4">
        <v>6</v>
      </c>
      <c r="Z5413" s="4">
        <v>1</v>
      </c>
      <c r="AA5413" s="4">
        <v>2</v>
      </c>
      <c r="AB5413" s="4">
        <v>1</v>
      </c>
      <c r="AC5413" s="4">
        <v>1</v>
      </c>
      <c r="AD5413" s="4">
        <v>3</v>
      </c>
      <c r="AE5413" s="4">
        <v>8</v>
      </c>
      <c r="AF5413" s="4">
        <v>0</v>
      </c>
      <c r="AG5413" s="4">
        <v>0</v>
      </c>
      <c r="AH5413" s="4">
        <v>3</v>
      </c>
      <c r="AI5413" s="4">
        <v>6</v>
      </c>
      <c r="AJ5413" s="4">
        <v>0</v>
      </c>
      <c r="AK5413" s="4">
        <v>1</v>
      </c>
      <c r="AL5413" s="4">
        <v>2</v>
      </c>
      <c r="AM5413" s="4">
        <v>4</v>
      </c>
      <c r="AN5413" s="4">
        <v>0</v>
      </c>
      <c r="AO5413" s="4">
        <v>0</v>
      </c>
      <c r="AP5413" s="4">
        <v>0</v>
      </c>
      <c r="AQ5413" s="4">
        <v>0</v>
      </c>
      <c r="AR5413" s="3" t="s">
        <v>62</v>
      </c>
      <c r="AS5413" s="3" t="s">
        <v>62</v>
      </c>
      <c r="AT5413" s="3" t="s">
        <v>62</v>
      </c>
      <c r="AV5413" s="6" t="str">
        <f>HYPERLINK("http://mcgill.on.worldcat.org/oclc/32148949","Catalog Record")</f>
        <v>Catalog Record</v>
      </c>
      <c r="AW5413" s="6" t="str">
        <f>HYPERLINK("http://www.worldcat.org/oclc/32148949","WorldCat Record")</f>
        <v>WorldCat Record</v>
      </c>
      <c r="AX5413" s="3" t="s">
        <v>51819</v>
      </c>
      <c r="AY5413" s="3" t="s">
        <v>51820</v>
      </c>
      <c r="AZ5413" s="3" t="s">
        <v>51821</v>
      </c>
      <c r="BA5413" s="3" t="s">
        <v>51821</v>
      </c>
      <c r="BB5413" s="3" t="s">
        <v>51822</v>
      </c>
      <c r="BC5413" s="3" t="s">
        <v>142</v>
      </c>
      <c r="BD5413" s="3" t="s">
        <v>68</v>
      </c>
      <c r="BF5413" s="3" t="s">
        <v>51822</v>
      </c>
      <c r="BG5413" s="3" t="s">
        <v>51823</v>
      </c>
    </row>
    <row r="5414" spans="1:59" ht="57" x14ac:dyDescent="0.45">
      <c r="A5414" s="2" t="s">
        <v>59</v>
      </c>
      <c r="B5414" s="2" t="s">
        <v>60</v>
      </c>
      <c r="C5414" s="2" t="s">
        <v>51824</v>
      </c>
      <c r="D5414" s="2" t="s">
        <v>51825</v>
      </c>
      <c r="E5414" s="2" t="s">
        <v>51826</v>
      </c>
      <c r="G5414" s="3" t="s">
        <v>62</v>
      </c>
      <c r="I5414" s="3" t="s">
        <v>62</v>
      </c>
      <c r="J5414" s="3" t="s">
        <v>62</v>
      </c>
      <c r="K5414" s="3" t="s">
        <v>63</v>
      </c>
      <c r="M5414" s="2" t="s">
        <v>51827</v>
      </c>
      <c r="N5414" s="3" t="s">
        <v>894</v>
      </c>
      <c r="P5414" s="3" t="s">
        <v>65</v>
      </c>
      <c r="Q5414" s="2" t="s">
        <v>46478</v>
      </c>
      <c r="R5414" s="3" t="s">
        <v>66</v>
      </c>
      <c r="S5414" s="4">
        <v>0</v>
      </c>
      <c r="T5414" s="4">
        <v>0</v>
      </c>
      <c r="W5414" s="5" t="s">
        <v>67</v>
      </c>
      <c r="X5414" s="5" t="s">
        <v>67</v>
      </c>
      <c r="Y5414" s="4">
        <v>79</v>
      </c>
      <c r="Z5414" s="4">
        <v>14</v>
      </c>
      <c r="AA5414" s="4">
        <v>14</v>
      </c>
      <c r="AB5414" s="4">
        <v>1</v>
      </c>
      <c r="AC5414" s="4">
        <v>1</v>
      </c>
      <c r="AD5414" s="4">
        <v>41</v>
      </c>
      <c r="AE5414" s="4">
        <v>41</v>
      </c>
      <c r="AF5414" s="4">
        <v>0</v>
      </c>
      <c r="AG5414" s="4">
        <v>0</v>
      </c>
      <c r="AH5414" s="4">
        <v>37</v>
      </c>
      <c r="AI5414" s="4">
        <v>37</v>
      </c>
      <c r="AJ5414" s="4">
        <v>10</v>
      </c>
      <c r="AK5414" s="4">
        <v>10</v>
      </c>
      <c r="AL5414" s="4">
        <v>25</v>
      </c>
      <c r="AM5414" s="4">
        <v>25</v>
      </c>
      <c r="AN5414" s="4">
        <v>0</v>
      </c>
      <c r="AO5414" s="4">
        <v>0</v>
      </c>
      <c r="AP5414" s="4">
        <v>10</v>
      </c>
      <c r="AQ5414" s="4">
        <v>10</v>
      </c>
      <c r="AR5414" s="3" t="s">
        <v>62</v>
      </c>
      <c r="AS5414" s="3" t="s">
        <v>62</v>
      </c>
      <c r="AT5414" s="3" t="s">
        <v>62</v>
      </c>
      <c r="AV5414" s="6" t="str">
        <f>HYPERLINK("http://mcgill.on.worldcat.org/oclc/670480255","Catalog Record")</f>
        <v>Catalog Record</v>
      </c>
      <c r="AW5414" s="6" t="str">
        <f>HYPERLINK("http://www.worldcat.org/oclc/670480255","WorldCat Record")</f>
        <v>WorldCat Record</v>
      </c>
      <c r="AX5414" s="3" t="s">
        <v>51828</v>
      </c>
      <c r="AY5414" s="3" t="s">
        <v>51829</v>
      </c>
      <c r="AZ5414" s="3" t="s">
        <v>51830</v>
      </c>
      <c r="BA5414" s="3" t="s">
        <v>51830</v>
      </c>
      <c r="BB5414" s="3" t="s">
        <v>51831</v>
      </c>
      <c r="BC5414" s="3" t="s">
        <v>142</v>
      </c>
      <c r="BD5414" s="3" t="s">
        <v>68</v>
      </c>
      <c r="BE5414" s="3" t="s">
        <v>51832</v>
      </c>
      <c r="BF5414" s="3" t="s">
        <v>51831</v>
      </c>
      <c r="BG5414" s="3" t="s">
        <v>51833</v>
      </c>
    </row>
    <row r="5415" spans="1:59" ht="57" x14ac:dyDescent="0.45">
      <c r="A5415" s="2" t="s">
        <v>59</v>
      </c>
      <c r="B5415" s="2" t="s">
        <v>60</v>
      </c>
      <c r="C5415" s="2" t="s">
        <v>51834</v>
      </c>
      <c r="D5415" s="2" t="s">
        <v>51835</v>
      </c>
      <c r="E5415" s="2" t="s">
        <v>51836</v>
      </c>
      <c r="G5415" s="3" t="s">
        <v>62</v>
      </c>
      <c r="I5415" s="3" t="s">
        <v>62</v>
      </c>
      <c r="J5415" s="3" t="s">
        <v>62</v>
      </c>
      <c r="K5415" s="3" t="s">
        <v>63</v>
      </c>
      <c r="M5415" s="2" t="s">
        <v>3925</v>
      </c>
      <c r="N5415" s="3" t="s">
        <v>149</v>
      </c>
      <c r="P5415" s="3" t="s">
        <v>65</v>
      </c>
      <c r="Q5415" s="2" t="s">
        <v>51837</v>
      </c>
      <c r="R5415" s="3" t="s">
        <v>66</v>
      </c>
      <c r="S5415" s="4">
        <v>1</v>
      </c>
      <c r="T5415" s="4">
        <v>1</v>
      </c>
      <c r="U5415" s="5" t="s">
        <v>51838</v>
      </c>
      <c r="V5415" s="5" t="s">
        <v>51838</v>
      </c>
      <c r="W5415" s="5" t="s">
        <v>67</v>
      </c>
      <c r="X5415" s="5" t="s">
        <v>67</v>
      </c>
      <c r="Y5415" s="4">
        <v>69</v>
      </c>
      <c r="Z5415" s="4">
        <v>7</v>
      </c>
      <c r="AA5415" s="4">
        <v>96</v>
      </c>
      <c r="AB5415" s="4">
        <v>1</v>
      </c>
      <c r="AC5415" s="4">
        <v>17</v>
      </c>
      <c r="AD5415" s="4">
        <v>30</v>
      </c>
      <c r="AE5415" s="4">
        <v>105</v>
      </c>
      <c r="AF5415" s="4">
        <v>0</v>
      </c>
      <c r="AG5415" s="4">
        <v>8</v>
      </c>
      <c r="AH5415" s="4">
        <v>28</v>
      </c>
      <c r="AI5415" s="4">
        <v>71</v>
      </c>
      <c r="AJ5415" s="4">
        <v>4</v>
      </c>
      <c r="AK5415" s="4">
        <v>21</v>
      </c>
      <c r="AL5415" s="4">
        <v>20</v>
      </c>
      <c r="AM5415" s="4">
        <v>35</v>
      </c>
      <c r="AN5415" s="4">
        <v>0</v>
      </c>
      <c r="AO5415" s="4">
        <v>0</v>
      </c>
      <c r="AP5415" s="4">
        <v>5</v>
      </c>
      <c r="AQ5415" s="4">
        <v>42</v>
      </c>
      <c r="AR5415" s="3" t="s">
        <v>62</v>
      </c>
      <c r="AS5415" s="3" t="s">
        <v>62</v>
      </c>
      <c r="AT5415" s="3" t="s">
        <v>62</v>
      </c>
      <c r="AV5415" s="6" t="str">
        <f>HYPERLINK("http://mcgill.on.worldcat.org/oclc/502676497","Catalog Record")</f>
        <v>Catalog Record</v>
      </c>
      <c r="AW5415" s="6" t="str">
        <f>HYPERLINK("http://www.worldcat.org/oclc/502676497","WorldCat Record")</f>
        <v>WorldCat Record</v>
      </c>
      <c r="AX5415" s="3" t="s">
        <v>51839</v>
      </c>
      <c r="AY5415" s="3" t="s">
        <v>51840</v>
      </c>
      <c r="AZ5415" s="3" t="s">
        <v>51841</v>
      </c>
      <c r="BA5415" s="3" t="s">
        <v>51841</v>
      </c>
      <c r="BB5415" s="3" t="s">
        <v>51842</v>
      </c>
      <c r="BC5415" s="3" t="s">
        <v>142</v>
      </c>
      <c r="BD5415" s="3" t="s">
        <v>68</v>
      </c>
      <c r="BE5415" s="3" t="s">
        <v>51843</v>
      </c>
      <c r="BF5415" s="3" t="s">
        <v>51842</v>
      </c>
      <c r="BG5415" s="3" t="s">
        <v>51844</v>
      </c>
    </row>
    <row r="5416" spans="1:59" ht="57" x14ac:dyDescent="0.45">
      <c r="A5416" s="2" t="s">
        <v>59</v>
      </c>
      <c r="B5416" s="2" t="s">
        <v>60</v>
      </c>
      <c r="C5416" s="2" t="s">
        <v>51845</v>
      </c>
      <c r="D5416" s="2" t="s">
        <v>51846</v>
      </c>
      <c r="E5416" s="2" t="s">
        <v>51847</v>
      </c>
      <c r="G5416" s="3" t="s">
        <v>62</v>
      </c>
      <c r="I5416" s="3" t="s">
        <v>62</v>
      </c>
      <c r="J5416" s="3" t="s">
        <v>62</v>
      </c>
      <c r="K5416" s="3" t="s">
        <v>63</v>
      </c>
      <c r="M5416" s="2" t="s">
        <v>51848</v>
      </c>
      <c r="N5416" s="3" t="s">
        <v>1918</v>
      </c>
      <c r="P5416" s="3" t="s">
        <v>65</v>
      </c>
      <c r="Q5416" s="2" t="s">
        <v>51849</v>
      </c>
      <c r="R5416" s="3" t="s">
        <v>66</v>
      </c>
      <c r="S5416" s="4">
        <v>0</v>
      </c>
      <c r="T5416" s="4">
        <v>0</v>
      </c>
      <c r="W5416" s="5" t="s">
        <v>67</v>
      </c>
      <c r="X5416" s="5" t="s">
        <v>67</v>
      </c>
      <c r="Y5416" s="4">
        <v>49</v>
      </c>
      <c r="Z5416" s="4">
        <v>1</v>
      </c>
      <c r="AA5416" s="4">
        <v>71</v>
      </c>
      <c r="AB5416" s="4">
        <v>1</v>
      </c>
      <c r="AC5416" s="4">
        <v>14</v>
      </c>
      <c r="AD5416" s="4">
        <v>25</v>
      </c>
      <c r="AE5416" s="4">
        <v>104</v>
      </c>
      <c r="AF5416" s="4">
        <v>0</v>
      </c>
      <c r="AG5416" s="4">
        <v>8</v>
      </c>
      <c r="AH5416" s="4">
        <v>24</v>
      </c>
      <c r="AI5416" s="4">
        <v>71</v>
      </c>
      <c r="AJ5416" s="4">
        <v>0</v>
      </c>
      <c r="AK5416" s="4">
        <v>19</v>
      </c>
      <c r="AL5416" s="4">
        <v>20</v>
      </c>
      <c r="AM5416" s="4">
        <v>39</v>
      </c>
      <c r="AN5416" s="4">
        <v>0</v>
      </c>
      <c r="AO5416" s="4">
        <v>0</v>
      </c>
      <c r="AP5416" s="4">
        <v>0</v>
      </c>
      <c r="AQ5416" s="4">
        <v>38</v>
      </c>
      <c r="AR5416" s="3" t="s">
        <v>62</v>
      </c>
      <c r="AS5416" s="3" t="s">
        <v>62</v>
      </c>
      <c r="AT5416" s="3" t="s">
        <v>62</v>
      </c>
      <c r="AV5416" s="6" t="str">
        <f>HYPERLINK("http://mcgill.on.worldcat.org/oclc/1004849046","Catalog Record")</f>
        <v>Catalog Record</v>
      </c>
      <c r="AW5416" s="6" t="str">
        <f>HYPERLINK("http://www.worldcat.org/oclc/1004849046","WorldCat Record")</f>
        <v>WorldCat Record</v>
      </c>
      <c r="AX5416" s="3" t="s">
        <v>51850</v>
      </c>
      <c r="AY5416" s="3" t="s">
        <v>51851</v>
      </c>
      <c r="AZ5416" s="3" t="s">
        <v>51852</v>
      </c>
      <c r="BA5416" s="3" t="s">
        <v>51852</v>
      </c>
      <c r="BB5416" s="3" t="s">
        <v>51853</v>
      </c>
      <c r="BC5416" s="3" t="s">
        <v>142</v>
      </c>
      <c r="BD5416" s="3" t="s">
        <v>68</v>
      </c>
      <c r="BE5416" s="3" t="s">
        <v>51854</v>
      </c>
      <c r="BF5416" s="3" t="s">
        <v>51853</v>
      </c>
      <c r="BG5416" s="3" t="s">
        <v>51855</v>
      </c>
    </row>
    <row r="5417" spans="1:59" ht="57" x14ac:dyDescent="0.45">
      <c r="A5417" s="2" t="s">
        <v>59</v>
      </c>
      <c r="B5417" s="2" t="s">
        <v>60</v>
      </c>
      <c r="C5417" s="2" t="s">
        <v>51856</v>
      </c>
      <c r="D5417" s="2" t="s">
        <v>51857</v>
      </c>
      <c r="E5417" s="2" t="s">
        <v>51858</v>
      </c>
      <c r="G5417" s="3" t="s">
        <v>62</v>
      </c>
      <c r="I5417" s="3" t="s">
        <v>62</v>
      </c>
      <c r="J5417" s="3" t="s">
        <v>62</v>
      </c>
      <c r="K5417" s="3" t="s">
        <v>63</v>
      </c>
      <c r="M5417" s="2" t="s">
        <v>51859</v>
      </c>
      <c r="N5417" s="3" t="s">
        <v>1212</v>
      </c>
      <c r="P5417" s="3" t="s">
        <v>65</v>
      </c>
      <c r="Q5417" s="2" t="s">
        <v>51860</v>
      </c>
      <c r="R5417" s="3" t="s">
        <v>66</v>
      </c>
      <c r="S5417" s="4">
        <v>21</v>
      </c>
      <c r="T5417" s="4">
        <v>21</v>
      </c>
      <c r="U5417" s="5" t="s">
        <v>27319</v>
      </c>
      <c r="V5417" s="5" t="s">
        <v>27319</v>
      </c>
      <c r="W5417" s="5" t="s">
        <v>67</v>
      </c>
      <c r="X5417" s="5" t="s">
        <v>67</v>
      </c>
      <c r="Y5417" s="4">
        <v>173</v>
      </c>
      <c r="Z5417" s="4">
        <v>18</v>
      </c>
      <c r="AA5417" s="4">
        <v>21</v>
      </c>
      <c r="AB5417" s="4">
        <v>2</v>
      </c>
      <c r="AC5417" s="4">
        <v>4</v>
      </c>
      <c r="AD5417" s="4">
        <v>73</v>
      </c>
      <c r="AE5417" s="4">
        <v>78</v>
      </c>
      <c r="AF5417" s="4">
        <v>1</v>
      </c>
      <c r="AG5417" s="4">
        <v>3</v>
      </c>
      <c r="AH5417" s="4">
        <v>65</v>
      </c>
      <c r="AI5417" s="4">
        <v>68</v>
      </c>
      <c r="AJ5417" s="4">
        <v>15</v>
      </c>
      <c r="AK5417" s="4">
        <v>17</v>
      </c>
      <c r="AL5417" s="4">
        <v>40</v>
      </c>
      <c r="AM5417" s="4">
        <v>42</v>
      </c>
      <c r="AN5417" s="4">
        <v>0</v>
      </c>
      <c r="AO5417" s="4">
        <v>0</v>
      </c>
      <c r="AP5417" s="4">
        <v>15</v>
      </c>
      <c r="AQ5417" s="4">
        <v>18</v>
      </c>
      <c r="AR5417" s="3" t="s">
        <v>62</v>
      </c>
      <c r="AS5417" s="3" t="s">
        <v>62</v>
      </c>
      <c r="AT5417" s="3" t="s">
        <v>62</v>
      </c>
      <c r="AV5417" s="6" t="str">
        <f>HYPERLINK("http://mcgill.on.worldcat.org/oclc/41967288","Catalog Record")</f>
        <v>Catalog Record</v>
      </c>
      <c r="AW5417" s="6" t="str">
        <f>HYPERLINK("http://www.worldcat.org/oclc/41967288","WorldCat Record")</f>
        <v>WorldCat Record</v>
      </c>
      <c r="AX5417" s="3" t="s">
        <v>51861</v>
      </c>
      <c r="AY5417" s="3" t="s">
        <v>51862</v>
      </c>
      <c r="AZ5417" s="3" t="s">
        <v>51863</v>
      </c>
      <c r="BA5417" s="3" t="s">
        <v>51863</v>
      </c>
      <c r="BB5417" s="3" t="s">
        <v>51864</v>
      </c>
      <c r="BC5417" s="3" t="s">
        <v>142</v>
      </c>
      <c r="BD5417" s="3" t="s">
        <v>308</v>
      </c>
      <c r="BE5417" s="3" t="s">
        <v>51865</v>
      </c>
      <c r="BF5417" s="3" t="s">
        <v>51864</v>
      </c>
      <c r="BG5417" s="3" t="s">
        <v>51866</v>
      </c>
    </row>
    <row r="5418" spans="1:59" ht="57" x14ac:dyDescent="0.45">
      <c r="A5418" s="2" t="s">
        <v>59</v>
      </c>
      <c r="B5418" s="2" t="s">
        <v>60</v>
      </c>
      <c r="C5418" s="2" t="s">
        <v>51867</v>
      </c>
      <c r="D5418" s="2" t="s">
        <v>51868</v>
      </c>
      <c r="E5418" s="2" t="s">
        <v>51869</v>
      </c>
      <c r="G5418" s="3" t="s">
        <v>62</v>
      </c>
      <c r="I5418" s="3" t="s">
        <v>62</v>
      </c>
      <c r="J5418" s="3" t="s">
        <v>62</v>
      </c>
      <c r="K5418" s="3" t="s">
        <v>63</v>
      </c>
      <c r="M5418" s="2" t="s">
        <v>51870</v>
      </c>
      <c r="N5418" s="3" t="s">
        <v>149</v>
      </c>
      <c r="P5418" s="3" t="s">
        <v>65</v>
      </c>
      <c r="Q5418" s="2" t="s">
        <v>51871</v>
      </c>
      <c r="R5418" s="3" t="s">
        <v>66</v>
      </c>
      <c r="S5418" s="4">
        <v>2</v>
      </c>
      <c r="T5418" s="4">
        <v>2</v>
      </c>
      <c r="U5418" s="5" t="s">
        <v>5192</v>
      </c>
      <c r="V5418" s="5" t="s">
        <v>5192</v>
      </c>
      <c r="W5418" s="5" t="s">
        <v>67</v>
      </c>
      <c r="X5418" s="5" t="s">
        <v>67</v>
      </c>
      <c r="Y5418" s="4">
        <v>56</v>
      </c>
      <c r="Z5418" s="4">
        <v>8</v>
      </c>
      <c r="AA5418" s="4">
        <v>95</v>
      </c>
      <c r="AB5418" s="4">
        <v>1</v>
      </c>
      <c r="AC5418" s="4">
        <v>17</v>
      </c>
      <c r="AD5418" s="4">
        <v>31</v>
      </c>
      <c r="AE5418" s="4">
        <v>111</v>
      </c>
      <c r="AF5418" s="4">
        <v>0</v>
      </c>
      <c r="AG5418" s="4">
        <v>8</v>
      </c>
      <c r="AH5418" s="4">
        <v>28</v>
      </c>
      <c r="AI5418" s="4">
        <v>75</v>
      </c>
      <c r="AJ5418" s="4">
        <v>7</v>
      </c>
      <c r="AK5418" s="4">
        <v>23</v>
      </c>
      <c r="AL5418" s="4">
        <v>20</v>
      </c>
      <c r="AM5418" s="4">
        <v>38</v>
      </c>
      <c r="AN5418" s="4">
        <v>0</v>
      </c>
      <c r="AO5418" s="4">
        <v>0</v>
      </c>
      <c r="AP5418" s="4">
        <v>7</v>
      </c>
      <c r="AQ5418" s="4">
        <v>44</v>
      </c>
      <c r="AR5418" s="3" t="s">
        <v>62</v>
      </c>
      <c r="AS5418" s="3" t="s">
        <v>62</v>
      </c>
      <c r="AT5418" s="3" t="s">
        <v>62</v>
      </c>
      <c r="AV5418" s="6" t="str">
        <f>HYPERLINK("http://mcgill.on.worldcat.org/oclc/611966633","Catalog Record")</f>
        <v>Catalog Record</v>
      </c>
      <c r="AW5418" s="6" t="str">
        <f>HYPERLINK("http://www.worldcat.org/oclc/611966633","WorldCat Record")</f>
        <v>WorldCat Record</v>
      </c>
      <c r="AX5418" s="3" t="s">
        <v>51872</v>
      </c>
      <c r="AY5418" s="3" t="s">
        <v>51873</v>
      </c>
      <c r="AZ5418" s="3" t="s">
        <v>51874</v>
      </c>
      <c r="BA5418" s="3" t="s">
        <v>51874</v>
      </c>
      <c r="BB5418" s="3" t="s">
        <v>51875</v>
      </c>
      <c r="BC5418" s="3" t="s">
        <v>142</v>
      </c>
      <c r="BD5418" s="3" t="s">
        <v>68</v>
      </c>
      <c r="BE5418" s="3" t="s">
        <v>51876</v>
      </c>
      <c r="BF5418" s="3" t="s">
        <v>51875</v>
      </c>
      <c r="BG5418" s="3" t="s">
        <v>51877</v>
      </c>
    </row>
    <row r="5419" spans="1:59" ht="57" x14ac:dyDescent="0.45">
      <c r="A5419" s="2" t="s">
        <v>59</v>
      </c>
      <c r="B5419" s="2" t="s">
        <v>60</v>
      </c>
      <c r="C5419" s="2" t="s">
        <v>51878</v>
      </c>
      <c r="D5419" s="2" t="s">
        <v>51879</v>
      </c>
      <c r="E5419" s="2" t="s">
        <v>51880</v>
      </c>
      <c r="G5419" s="3" t="s">
        <v>62</v>
      </c>
      <c r="I5419" s="3" t="s">
        <v>62</v>
      </c>
      <c r="J5419" s="3" t="s">
        <v>62</v>
      </c>
      <c r="K5419" s="3" t="s">
        <v>63</v>
      </c>
      <c r="L5419" s="2" t="s">
        <v>51881</v>
      </c>
      <c r="M5419" s="2" t="s">
        <v>31888</v>
      </c>
      <c r="N5419" s="3" t="s">
        <v>2107</v>
      </c>
      <c r="P5419" s="3" t="s">
        <v>65</v>
      </c>
      <c r="Q5419" s="2" t="s">
        <v>51882</v>
      </c>
      <c r="R5419" s="3" t="s">
        <v>66</v>
      </c>
      <c r="S5419" s="4">
        <v>12</v>
      </c>
      <c r="T5419" s="4">
        <v>12</v>
      </c>
      <c r="U5419" s="5" t="s">
        <v>10474</v>
      </c>
      <c r="V5419" s="5" t="s">
        <v>10474</v>
      </c>
      <c r="W5419" s="5" t="s">
        <v>67</v>
      </c>
      <c r="X5419" s="5" t="s">
        <v>67</v>
      </c>
      <c r="Y5419" s="4">
        <v>264</v>
      </c>
      <c r="Z5419" s="4">
        <v>17</v>
      </c>
      <c r="AA5419" s="4">
        <v>20</v>
      </c>
      <c r="AB5419" s="4">
        <v>2</v>
      </c>
      <c r="AC5419" s="4">
        <v>3</v>
      </c>
      <c r="AD5419" s="4">
        <v>96</v>
      </c>
      <c r="AE5419" s="4">
        <v>103</v>
      </c>
      <c r="AF5419" s="4">
        <v>1</v>
      </c>
      <c r="AG5419" s="4">
        <v>2</v>
      </c>
      <c r="AH5419" s="4">
        <v>86</v>
      </c>
      <c r="AI5419" s="4">
        <v>91</v>
      </c>
      <c r="AJ5419" s="4">
        <v>15</v>
      </c>
      <c r="AK5419" s="4">
        <v>17</v>
      </c>
      <c r="AL5419" s="4">
        <v>48</v>
      </c>
      <c r="AM5419" s="4">
        <v>51</v>
      </c>
      <c r="AN5419" s="4">
        <v>0</v>
      </c>
      <c r="AO5419" s="4">
        <v>0</v>
      </c>
      <c r="AP5419" s="4">
        <v>15</v>
      </c>
      <c r="AQ5419" s="4">
        <v>17</v>
      </c>
      <c r="AR5419" s="3" t="s">
        <v>62</v>
      </c>
      <c r="AS5419" s="3" t="s">
        <v>62</v>
      </c>
      <c r="AT5419" s="3" t="s">
        <v>62</v>
      </c>
      <c r="AV5419" s="6" t="str">
        <f>HYPERLINK("http://mcgill.on.worldcat.org/oclc/9826074","Catalog Record")</f>
        <v>Catalog Record</v>
      </c>
      <c r="AW5419" s="6" t="str">
        <f>HYPERLINK("http://www.worldcat.org/oclc/9826074","WorldCat Record")</f>
        <v>WorldCat Record</v>
      </c>
      <c r="AX5419" s="3" t="s">
        <v>51883</v>
      </c>
      <c r="AY5419" s="3" t="s">
        <v>51884</v>
      </c>
      <c r="AZ5419" s="3" t="s">
        <v>51885</v>
      </c>
      <c r="BA5419" s="3" t="s">
        <v>51885</v>
      </c>
      <c r="BB5419" s="3" t="s">
        <v>51886</v>
      </c>
      <c r="BC5419" s="3" t="s">
        <v>142</v>
      </c>
      <c r="BD5419" s="3" t="s">
        <v>68</v>
      </c>
      <c r="BE5419" s="3" t="s">
        <v>51887</v>
      </c>
      <c r="BF5419" s="3" t="s">
        <v>51886</v>
      </c>
      <c r="BG5419" s="3" t="s">
        <v>51888</v>
      </c>
    </row>
    <row r="5420" spans="1:59" ht="57" x14ac:dyDescent="0.45">
      <c r="A5420" s="2" t="s">
        <v>59</v>
      </c>
      <c r="B5420" s="2" t="s">
        <v>60</v>
      </c>
      <c r="C5420" s="2" t="s">
        <v>51889</v>
      </c>
      <c r="D5420" s="2" t="s">
        <v>51890</v>
      </c>
      <c r="E5420" s="2" t="s">
        <v>51891</v>
      </c>
      <c r="G5420" s="3" t="s">
        <v>62</v>
      </c>
      <c r="I5420" s="3" t="s">
        <v>62</v>
      </c>
      <c r="J5420" s="3" t="s">
        <v>62</v>
      </c>
      <c r="K5420" s="3" t="s">
        <v>63</v>
      </c>
      <c r="L5420" s="2" t="s">
        <v>51892</v>
      </c>
      <c r="M5420" s="2" t="s">
        <v>1713</v>
      </c>
      <c r="N5420" s="3" t="s">
        <v>1155</v>
      </c>
      <c r="P5420" s="3" t="s">
        <v>65</v>
      </c>
      <c r="R5420" s="3" t="s">
        <v>66</v>
      </c>
      <c r="S5420" s="4">
        <v>2</v>
      </c>
      <c r="T5420" s="4">
        <v>2</v>
      </c>
      <c r="U5420" s="5" t="s">
        <v>28655</v>
      </c>
      <c r="V5420" s="5" t="s">
        <v>28655</v>
      </c>
      <c r="W5420" s="5" t="s">
        <v>67</v>
      </c>
      <c r="X5420" s="5" t="s">
        <v>67</v>
      </c>
      <c r="Y5420" s="4">
        <v>85</v>
      </c>
      <c r="Z5420" s="4">
        <v>6</v>
      </c>
      <c r="AA5420" s="4">
        <v>75</v>
      </c>
      <c r="AB5420" s="4">
        <v>1</v>
      </c>
      <c r="AC5420" s="4">
        <v>15</v>
      </c>
      <c r="AD5420" s="4">
        <v>16</v>
      </c>
      <c r="AE5420" s="4">
        <v>82</v>
      </c>
      <c r="AF5420" s="4">
        <v>0</v>
      </c>
      <c r="AG5420" s="4">
        <v>8</v>
      </c>
      <c r="AH5420" s="4">
        <v>13</v>
      </c>
      <c r="AI5420" s="4">
        <v>51</v>
      </c>
      <c r="AJ5420" s="4">
        <v>4</v>
      </c>
      <c r="AK5420" s="4">
        <v>20</v>
      </c>
      <c r="AL5420" s="4">
        <v>6</v>
      </c>
      <c r="AM5420" s="4">
        <v>22</v>
      </c>
      <c r="AN5420" s="4">
        <v>0</v>
      </c>
      <c r="AO5420" s="4">
        <v>0</v>
      </c>
      <c r="AP5420" s="4">
        <v>5</v>
      </c>
      <c r="AQ5420" s="4">
        <v>39</v>
      </c>
      <c r="AR5420" s="3" t="s">
        <v>62</v>
      </c>
      <c r="AS5420" s="3" t="s">
        <v>62</v>
      </c>
      <c r="AT5420" s="3" t="s">
        <v>62</v>
      </c>
      <c r="AV5420" s="6" t="str">
        <f>HYPERLINK("http://mcgill.on.worldcat.org/oclc/765812575","Catalog Record")</f>
        <v>Catalog Record</v>
      </c>
      <c r="AW5420" s="6" t="str">
        <f>HYPERLINK("http://www.worldcat.org/oclc/765812575","WorldCat Record")</f>
        <v>WorldCat Record</v>
      </c>
      <c r="AX5420" s="3" t="s">
        <v>51893</v>
      </c>
      <c r="AY5420" s="3" t="s">
        <v>51894</v>
      </c>
      <c r="AZ5420" s="3" t="s">
        <v>51895</v>
      </c>
      <c r="BA5420" s="3" t="s">
        <v>51895</v>
      </c>
      <c r="BB5420" s="3" t="s">
        <v>51896</v>
      </c>
      <c r="BC5420" s="3" t="s">
        <v>142</v>
      </c>
      <c r="BD5420" s="3" t="s">
        <v>68</v>
      </c>
      <c r="BE5420" s="3" t="s">
        <v>51897</v>
      </c>
      <c r="BF5420" s="3" t="s">
        <v>51896</v>
      </c>
      <c r="BG5420" s="3" t="s">
        <v>51898</v>
      </c>
    </row>
    <row r="5421" spans="1:59" ht="57" x14ac:dyDescent="0.45">
      <c r="A5421" s="2" t="s">
        <v>59</v>
      </c>
      <c r="B5421" s="2" t="s">
        <v>60</v>
      </c>
      <c r="C5421" s="2" t="s">
        <v>51899</v>
      </c>
      <c r="D5421" s="2" t="s">
        <v>51900</v>
      </c>
      <c r="E5421" s="2" t="s">
        <v>51901</v>
      </c>
      <c r="G5421" s="3" t="s">
        <v>62</v>
      </c>
      <c r="I5421" s="3" t="s">
        <v>62</v>
      </c>
      <c r="J5421" s="3" t="s">
        <v>62</v>
      </c>
      <c r="K5421" s="3" t="s">
        <v>63</v>
      </c>
      <c r="M5421" s="2" t="s">
        <v>17897</v>
      </c>
      <c r="N5421" s="3" t="s">
        <v>1155</v>
      </c>
      <c r="P5421" s="3" t="s">
        <v>65</v>
      </c>
      <c r="Q5421" s="2" t="s">
        <v>50918</v>
      </c>
      <c r="R5421" s="3" t="s">
        <v>66</v>
      </c>
      <c r="S5421" s="4">
        <v>1</v>
      </c>
      <c r="T5421" s="4">
        <v>1</v>
      </c>
      <c r="U5421" s="5" t="s">
        <v>7550</v>
      </c>
      <c r="V5421" s="5" t="s">
        <v>7550</v>
      </c>
      <c r="W5421" s="5" t="s">
        <v>67</v>
      </c>
      <c r="X5421" s="5" t="s">
        <v>67</v>
      </c>
      <c r="Y5421" s="4">
        <v>97</v>
      </c>
      <c r="Z5421" s="4">
        <v>8</v>
      </c>
      <c r="AA5421" s="4">
        <v>35</v>
      </c>
      <c r="AB5421" s="4">
        <v>1</v>
      </c>
      <c r="AC5421" s="4">
        <v>5</v>
      </c>
      <c r="AD5421" s="4">
        <v>44</v>
      </c>
      <c r="AE5421" s="4">
        <v>79</v>
      </c>
      <c r="AF5421" s="4">
        <v>0</v>
      </c>
      <c r="AG5421" s="4">
        <v>1</v>
      </c>
      <c r="AH5421" s="4">
        <v>41</v>
      </c>
      <c r="AI5421" s="4">
        <v>65</v>
      </c>
      <c r="AJ5421" s="4">
        <v>7</v>
      </c>
      <c r="AK5421" s="4">
        <v>14</v>
      </c>
      <c r="AL5421" s="4">
        <v>25</v>
      </c>
      <c r="AM5421" s="4">
        <v>36</v>
      </c>
      <c r="AN5421" s="4">
        <v>0</v>
      </c>
      <c r="AO5421" s="4">
        <v>0</v>
      </c>
      <c r="AP5421" s="4">
        <v>7</v>
      </c>
      <c r="AQ5421" s="4">
        <v>22</v>
      </c>
      <c r="AR5421" s="3" t="s">
        <v>62</v>
      </c>
      <c r="AS5421" s="3" t="s">
        <v>62</v>
      </c>
      <c r="AT5421" s="3" t="s">
        <v>62</v>
      </c>
      <c r="AV5421" s="6" t="str">
        <f>HYPERLINK("http://mcgill.on.worldcat.org/oclc/734002445","Catalog Record")</f>
        <v>Catalog Record</v>
      </c>
      <c r="AW5421" s="6" t="str">
        <f>HYPERLINK("http://www.worldcat.org/oclc/734002445","WorldCat Record")</f>
        <v>WorldCat Record</v>
      </c>
      <c r="AX5421" s="3" t="s">
        <v>51902</v>
      </c>
      <c r="AY5421" s="3" t="s">
        <v>51903</v>
      </c>
      <c r="AZ5421" s="3" t="s">
        <v>51904</v>
      </c>
      <c r="BA5421" s="3" t="s">
        <v>51904</v>
      </c>
      <c r="BB5421" s="3" t="s">
        <v>51905</v>
      </c>
      <c r="BC5421" s="3" t="s">
        <v>142</v>
      </c>
      <c r="BD5421" s="3" t="s">
        <v>68</v>
      </c>
      <c r="BE5421" s="3" t="s">
        <v>51906</v>
      </c>
      <c r="BF5421" s="3" t="s">
        <v>51905</v>
      </c>
      <c r="BG5421" s="3" t="s">
        <v>51907</v>
      </c>
    </row>
    <row r="5422" spans="1:59" ht="57" x14ac:dyDescent="0.45">
      <c r="A5422" s="2" t="s">
        <v>59</v>
      </c>
      <c r="B5422" s="2" t="s">
        <v>60</v>
      </c>
      <c r="C5422" s="2" t="s">
        <v>51908</v>
      </c>
      <c r="D5422" s="2" t="s">
        <v>51909</v>
      </c>
      <c r="E5422" s="2" t="s">
        <v>51910</v>
      </c>
      <c r="G5422" s="3" t="s">
        <v>62</v>
      </c>
      <c r="I5422" s="3" t="s">
        <v>62</v>
      </c>
      <c r="J5422" s="3" t="s">
        <v>62</v>
      </c>
      <c r="K5422" s="3" t="s">
        <v>63</v>
      </c>
      <c r="M5422" s="2" t="s">
        <v>51911</v>
      </c>
      <c r="N5422" s="3" t="s">
        <v>970</v>
      </c>
      <c r="P5422" s="3" t="s">
        <v>65</v>
      </c>
      <c r="Q5422" s="2" t="s">
        <v>51912</v>
      </c>
      <c r="R5422" s="3" t="s">
        <v>66</v>
      </c>
      <c r="S5422" s="4">
        <v>14</v>
      </c>
      <c r="T5422" s="4">
        <v>14</v>
      </c>
      <c r="U5422" s="5" t="s">
        <v>10639</v>
      </c>
      <c r="V5422" s="5" t="s">
        <v>10639</v>
      </c>
      <c r="W5422" s="5" t="s">
        <v>67</v>
      </c>
      <c r="X5422" s="5" t="s">
        <v>67</v>
      </c>
      <c r="Y5422" s="4">
        <v>2</v>
      </c>
      <c r="Z5422" s="4">
        <v>1</v>
      </c>
      <c r="AA5422" s="4">
        <v>100</v>
      </c>
      <c r="AB5422" s="4">
        <v>1</v>
      </c>
      <c r="AC5422" s="4">
        <v>18</v>
      </c>
      <c r="AD5422" s="4">
        <v>1</v>
      </c>
      <c r="AE5422" s="4">
        <v>135</v>
      </c>
      <c r="AF5422" s="4">
        <v>0</v>
      </c>
      <c r="AG5422" s="4">
        <v>9</v>
      </c>
      <c r="AH5422" s="4">
        <v>1</v>
      </c>
      <c r="AI5422" s="4">
        <v>89</v>
      </c>
      <c r="AJ5422" s="4">
        <v>0</v>
      </c>
      <c r="AK5422" s="4">
        <v>24</v>
      </c>
      <c r="AL5422" s="4">
        <v>1</v>
      </c>
      <c r="AM5422" s="4">
        <v>50</v>
      </c>
      <c r="AN5422" s="4">
        <v>0</v>
      </c>
      <c r="AO5422" s="4">
        <v>0</v>
      </c>
      <c r="AP5422" s="4">
        <v>0</v>
      </c>
      <c r="AQ5422" s="4">
        <v>52</v>
      </c>
      <c r="AR5422" s="3" t="s">
        <v>62</v>
      </c>
      <c r="AS5422" s="3" t="s">
        <v>62</v>
      </c>
      <c r="AT5422" s="3" t="s">
        <v>62</v>
      </c>
      <c r="AV5422" s="6" t="str">
        <f>HYPERLINK("http://mcgill.on.worldcat.org/oclc/243541561","Catalog Record")</f>
        <v>Catalog Record</v>
      </c>
      <c r="AW5422" s="6" t="str">
        <f>HYPERLINK("http://www.worldcat.org/oclc/243541561","WorldCat Record")</f>
        <v>WorldCat Record</v>
      </c>
      <c r="AX5422" s="3" t="s">
        <v>51913</v>
      </c>
      <c r="AY5422" s="3" t="s">
        <v>51914</v>
      </c>
      <c r="AZ5422" s="3" t="s">
        <v>51915</v>
      </c>
      <c r="BA5422" s="3" t="s">
        <v>51915</v>
      </c>
      <c r="BB5422" s="3" t="s">
        <v>51916</v>
      </c>
      <c r="BC5422" s="3" t="s">
        <v>142</v>
      </c>
      <c r="BD5422" s="3" t="s">
        <v>68</v>
      </c>
      <c r="BE5422" s="3" t="s">
        <v>51917</v>
      </c>
      <c r="BF5422" s="3" t="s">
        <v>51916</v>
      </c>
      <c r="BG5422" s="3" t="s">
        <v>51918</v>
      </c>
    </row>
    <row r="5423" spans="1:59" ht="57" x14ac:dyDescent="0.45">
      <c r="A5423" s="2" t="s">
        <v>59</v>
      </c>
      <c r="B5423" s="2" t="s">
        <v>60</v>
      </c>
      <c r="C5423" s="2" t="s">
        <v>51919</v>
      </c>
      <c r="D5423" s="2" t="s">
        <v>51920</v>
      </c>
      <c r="E5423" s="2" t="s">
        <v>51921</v>
      </c>
      <c r="G5423" s="3" t="s">
        <v>62</v>
      </c>
      <c r="I5423" s="3" t="s">
        <v>62</v>
      </c>
      <c r="J5423" s="3" t="s">
        <v>62</v>
      </c>
      <c r="K5423" s="3" t="s">
        <v>63</v>
      </c>
      <c r="L5423" s="2" t="s">
        <v>51922</v>
      </c>
      <c r="M5423" s="2" t="s">
        <v>38050</v>
      </c>
      <c r="N5423" s="3" t="s">
        <v>1437</v>
      </c>
      <c r="P5423" s="3" t="s">
        <v>65</v>
      </c>
      <c r="Q5423" s="2" t="s">
        <v>51923</v>
      </c>
      <c r="R5423" s="3" t="s">
        <v>66</v>
      </c>
      <c r="S5423" s="4">
        <v>7</v>
      </c>
      <c r="T5423" s="4">
        <v>7</v>
      </c>
      <c r="U5423" s="5" t="s">
        <v>23530</v>
      </c>
      <c r="V5423" s="5" t="s">
        <v>23530</v>
      </c>
      <c r="W5423" s="5" t="s">
        <v>67</v>
      </c>
      <c r="X5423" s="5" t="s">
        <v>67</v>
      </c>
      <c r="Y5423" s="4">
        <v>87</v>
      </c>
      <c r="Z5423" s="4">
        <v>7</v>
      </c>
      <c r="AA5423" s="4">
        <v>93</v>
      </c>
      <c r="AB5423" s="4">
        <v>1</v>
      </c>
      <c r="AC5423" s="4">
        <v>17</v>
      </c>
      <c r="AD5423" s="4">
        <v>48</v>
      </c>
      <c r="AE5423" s="4">
        <v>119</v>
      </c>
      <c r="AF5423" s="4">
        <v>0</v>
      </c>
      <c r="AG5423" s="4">
        <v>8</v>
      </c>
      <c r="AH5423" s="4">
        <v>46</v>
      </c>
      <c r="AI5423" s="4">
        <v>85</v>
      </c>
      <c r="AJ5423" s="4">
        <v>5</v>
      </c>
      <c r="AK5423" s="4">
        <v>20</v>
      </c>
      <c r="AL5423" s="4">
        <v>33</v>
      </c>
      <c r="AM5423" s="4">
        <v>46</v>
      </c>
      <c r="AN5423" s="4">
        <v>0</v>
      </c>
      <c r="AO5423" s="4">
        <v>0</v>
      </c>
      <c r="AP5423" s="4">
        <v>5</v>
      </c>
      <c r="AQ5423" s="4">
        <v>41</v>
      </c>
      <c r="AR5423" s="3" t="s">
        <v>62</v>
      </c>
      <c r="AS5423" s="3" t="s">
        <v>62</v>
      </c>
      <c r="AT5423" s="3" t="s">
        <v>62</v>
      </c>
      <c r="AV5423" s="6" t="str">
        <f>HYPERLINK("http://mcgill.on.worldcat.org/oclc/39692300","Catalog Record")</f>
        <v>Catalog Record</v>
      </c>
      <c r="AW5423" s="6" t="str">
        <f>HYPERLINK("http://www.worldcat.org/oclc/39692300","WorldCat Record")</f>
        <v>WorldCat Record</v>
      </c>
      <c r="AX5423" s="3" t="s">
        <v>51924</v>
      </c>
      <c r="AY5423" s="3" t="s">
        <v>51925</v>
      </c>
      <c r="AZ5423" s="3" t="s">
        <v>51926</v>
      </c>
      <c r="BA5423" s="3" t="s">
        <v>51926</v>
      </c>
      <c r="BB5423" s="3" t="s">
        <v>51927</v>
      </c>
      <c r="BC5423" s="3" t="s">
        <v>142</v>
      </c>
      <c r="BD5423" s="3" t="s">
        <v>68</v>
      </c>
      <c r="BE5423" s="3" t="s">
        <v>51928</v>
      </c>
      <c r="BF5423" s="3" t="s">
        <v>51927</v>
      </c>
      <c r="BG5423" s="3" t="s">
        <v>51929</v>
      </c>
    </row>
    <row r="5424" spans="1:59" ht="57" x14ac:dyDescent="0.45">
      <c r="A5424" s="2" t="s">
        <v>59</v>
      </c>
      <c r="B5424" s="2" t="s">
        <v>60</v>
      </c>
      <c r="C5424" s="2" t="s">
        <v>51930</v>
      </c>
      <c r="D5424" s="2" t="s">
        <v>51931</v>
      </c>
      <c r="E5424" s="2" t="s">
        <v>51932</v>
      </c>
      <c r="G5424" s="3" t="s">
        <v>61</v>
      </c>
      <c r="I5424" s="3" t="s">
        <v>61</v>
      </c>
      <c r="J5424" s="3" t="s">
        <v>62</v>
      </c>
      <c r="K5424" s="3" t="s">
        <v>63</v>
      </c>
      <c r="L5424" s="2" t="s">
        <v>51933</v>
      </c>
      <c r="M5424" s="2" t="s">
        <v>51934</v>
      </c>
      <c r="N5424" s="3" t="s">
        <v>2107</v>
      </c>
      <c r="P5424" s="3" t="s">
        <v>65</v>
      </c>
      <c r="R5424" s="3" t="s">
        <v>66</v>
      </c>
      <c r="S5424" s="4">
        <v>18</v>
      </c>
      <c r="T5424" s="4">
        <v>30</v>
      </c>
      <c r="U5424" s="5" t="s">
        <v>2469</v>
      </c>
      <c r="V5424" s="5" t="s">
        <v>2469</v>
      </c>
      <c r="W5424" s="5" t="s">
        <v>67</v>
      </c>
      <c r="X5424" s="5" t="s">
        <v>67</v>
      </c>
      <c r="Y5424" s="4">
        <v>328</v>
      </c>
      <c r="Z5424" s="4">
        <v>23</v>
      </c>
      <c r="AA5424" s="4">
        <v>31</v>
      </c>
      <c r="AB5424" s="4">
        <v>2</v>
      </c>
      <c r="AC5424" s="4">
        <v>5</v>
      </c>
      <c r="AD5424" s="4">
        <v>108</v>
      </c>
      <c r="AE5424" s="4">
        <v>115</v>
      </c>
      <c r="AF5424" s="4">
        <v>1</v>
      </c>
      <c r="AG5424" s="4">
        <v>4</v>
      </c>
      <c r="AH5424" s="4">
        <v>96</v>
      </c>
      <c r="AI5424" s="4">
        <v>98</v>
      </c>
      <c r="AJ5424" s="4">
        <v>15</v>
      </c>
      <c r="AK5424" s="4">
        <v>21</v>
      </c>
      <c r="AL5424" s="4">
        <v>53</v>
      </c>
      <c r="AM5424" s="4">
        <v>54</v>
      </c>
      <c r="AN5424" s="4">
        <v>0</v>
      </c>
      <c r="AO5424" s="4">
        <v>0</v>
      </c>
      <c r="AP5424" s="4">
        <v>19</v>
      </c>
      <c r="AQ5424" s="4">
        <v>25</v>
      </c>
      <c r="AR5424" s="3" t="s">
        <v>62</v>
      </c>
      <c r="AS5424" s="3" t="s">
        <v>62</v>
      </c>
      <c r="AT5424" s="3" t="s">
        <v>61</v>
      </c>
      <c r="AU5424" s="6" t="str">
        <f>HYPERLINK("http://catalog.hathitrust.org/Record/000394719","HathiTrust Record")</f>
        <v>HathiTrust Record</v>
      </c>
      <c r="AV5424" s="6" t="str">
        <f>HYPERLINK("http://mcgill.on.worldcat.org/oclc/10711109","Catalog Record")</f>
        <v>Catalog Record</v>
      </c>
      <c r="AW5424" s="6" t="str">
        <f>HYPERLINK("http://www.worldcat.org/oclc/10711109","WorldCat Record")</f>
        <v>WorldCat Record</v>
      </c>
      <c r="AX5424" s="3" t="s">
        <v>51935</v>
      </c>
      <c r="AY5424" s="3" t="s">
        <v>51936</v>
      </c>
      <c r="AZ5424" s="3" t="s">
        <v>51937</v>
      </c>
      <c r="BA5424" s="3" t="s">
        <v>51937</v>
      </c>
      <c r="BB5424" s="3" t="s">
        <v>51938</v>
      </c>
      <c r="BC5424" s="3" t="s">
        <v>142</v>
      </c>
      <c r="BD5424" s="3" t="s">
        <v>68</v>
      </c>
      <c r="BE5424" s="3" t="s">
        <v>51939</v>
      </c>
      <c r="BF5424" s="3" t="s">
        <v>51938</v>
      </c>
      <c r="BG5424" s="3" t="s">
        <v>51940</v>
      </c>
    </row>
    <row r="5425" spans="1:59" ht="57" x14ac:dyDescent="0.45">
      <c r="A5425" s="2" t="s">
        <v>59</v>
      </c>
      <c r="B5425" s="2" t="s">
        <v>60</v>
      </c>
      <c r="C5425" s="2" t="s">
        <v>51930</v>
      </c>
      <c r="D5425" s="2" t="s">
        <v>51931</v>
      </c>
      <c r="E5425" s="2" t="s">
        <v>51932</v>
      </c>
      <c r="G5425" s="3" t="s">
        <v>61</v>
      </c>
      <c r="I5425" s="3" t="s">
        <v>61</v>
      </c>
      <c r="J5425" s="3" t="s">
        <v>62</v>
      </c>
      <c r="K5425" s="3" t="s">
        <v>63</v>
      </c>
      <c r="L5425" s="2" t="s">
        <v>51933</v>
      </c>
      <c r="M5425" s="2" t="s">
        <v>51934</v>
      </c>
      <c r="N5425" s="3" t="s">
        <v>2107</v>
      </c>
      <c r="P5425" s="3" t="s">
        <v>65</v>
      </c>
      <c r="R5425" s="3" t="s">
        <v>66</v>
      </c>
      <c r="S5425" s="4">
        <v>0</v>
      </c>
      <c r="T5425" s="4">
        <v>30</v>
      </c>
      <c r="V5425" s="5" t="s">
        <v>2469</v>
      </c>
      <c r="W5425" s="5" t="s">
        <v>67</v>
      </c>
      <c r="X5425" s="5" t="s">
        <v>67</v>
      </c>
      <c r="Y5425" s="4">
        <v>328</v>
      </c>
      <c r="Z5425" s="4">
        <v>23</v>
      </c>
      <c r="AA5425" s="4">
        <v>31</v>
      </c>
      <c r="AB5425" s="4">
        <v>2</v>
      </c>
      <c r="AC5425" s="4">
        <v>5</v>
      </c>
      <c r="AD5425" s="4">
        <v>108</v>
      </c>
      <c r="AE5425" s="4">
        <v>115</v>
      </c>
      <c r="AF5425" s="4">
        <v>1</v>
      </c>
      <c r="AG5425" s="4">
        <v>4</v>
      </c>
      <c r="AH5425" s="4">
        <v>96</v>
      </c>
      <c r="AI5425" s="4">
        <v>98</v>
      </c>
      <c r="AJ5425" s="4">
        <v>15</v>
      </c>
      <c r="AK5425" s="4">
        <v>21</v>
      </c>
      <c r="AL5425" s="4">
        <v>53</v>
      </c>
      <c r="AM5425" s="4">
        <v>54</v>
      </c>
      <c r="AN5425" s="4">
        <v>0</v>
      </c>
      <c r="AO5425" s="4">
        <v>0</v>
      </c>
      <c r="AP5425" s="4">
        <v>19</v>
      </c>
      <c r="AQ5425" s="4">
        <v>25</v>
      </c>
      <c r="AR5425" s="3" t="s">
        <v>62</v>
      </c>
      <c r="AS5425" s="3" t="s">
        <v>62</v>
      </c>
      <c r="AT5425" s="3" t="s">
        <v>61</v>
      </c>
      <c r="AU5425" s="6" t="str">
        <f>HYPERLINK("http://catalog.hathitrust.org/Record/000394719","HathiTrust Record")</f>
        <v>HathiTrust Record</v>
      </c>
      <c r="AV5425" s="6" t="str">
        <f>HYPERLINK("http://mcgill.on.worldcat.org/oclc/10711109","Catalog Record")</f>
        <v>Catalog Record</v>
      </c>
      <c r="AW5425" s="6" t="str">
        <f>HYPERLINK("http://www.worldcat.org/oclc/10711109","WorldCat Record")</f>
        <v>WorldCat Record</v>
      </c>
      <c r="AX5425" s="3" t="s">
        <v>51935</v>
      </c>
      <c r="AY5425" s="3" t="s">
        <v>51936</v>
      </c>
      <c r="AZ5425" s="3" t="s">
        <v>51937</v>
      </c>
      <c r="BA5425" s="3" t="s">
        <v>51937</v>
      </c>
      <c r="BB5425" s="3" t="s">
        <v>51941</v>
      </c>
      <c r="BC5425" s="3" t="s">
        <v>142</v>
      </c>
      <c r="BD5425" s="3" t="s">
        <v>68</v>
      </c>
      <c r="BE5425" s="3" t="s">
        <v>51939</v>
      </c>
      <c r="BF5425" s="3" t="s">
        <v>51941</v>
      </c>
      <c r="BG5425" s="3" t="s">
        <v>51942</v>
      </c>
    </row>
    <row r="5426" spans="1:59" ht="57" x14ac:dyDescent="0.45">
      <c r="A5426" s="2" t="s">
        <v>59</v>
      </c>
      <c r="B5426" s="2" t="s">
        <v>60</v>
      </c>
      <c r="C5426" s="2" t="s">
        <v>51930</v>
      </c>
      <c r="D5426" s="2" t="s">
        <v>51931</v>
      </c>
      <c r="E5426" s="2" t="s">
        <v>51932</v>
      </c>
      <c r="F5426" s="3" t="s">
        <v>90</v>
      </c>
      <c r="G5426" s="3" t="s">
        <v>61</v>
      </c>
      <c r="I5426" s="3" t="s">
        <v>61</v>
      </c>
      <c r="J5426" s="3" t="s">
        <v>62</v>
      </c>
      <c r="K5426" s="3" t="s">
        <v>63</v>
      </c>
      <c r="L5426" s="2" t="s">
        <v>51933</v>
      </c>
      <c r="M5426" s="2" t="s">
        <v>51934</v>
      </c>
      <c r="N5426" s="3" t="s">
        <v>2107</v>
      </c>
      <c r="P5426" s="3" t="s">
        <v>65</v>
      </c>
      <c r="R5426" s="3" t="s">
        <v>66</v>
      </c>
      <c r="S5426" s="4">
        <v>12</v>
      </c>
      <c r="T5426" s="4">
        <v>30</v>
      </c>
      <c r="U5426" s="5" t="s">
        <v>51943</v>
      </c>
      <c r="V5426" s="5" t="s">
        <v>2469</v>
      </c>
      <c r="W5426" s="5" t="s">
        <v>67</v>
      </c>
      <c r="X5426" s="5" t="s">
        <v>67</v>
      </c>
      <c r="Y5426" s="4">
        <v>328</v>
      </c>
      <c r="Z5426" s="4">
        <v>23</v>
      </c>
      <c r="AA5426" s="4">
        <v>31</v>
      </c>
      <c r="AB5426" s="4">
        <v>2</v>
      </c>
      <c r="AC5426" s="4">
        <v>5</v>
      </c>
      <c r="AD5426" s="4">
        <v>108</v>
      </c>
      <c r="AE5426" s="4">
        <v>115</v>
      </c>
      <c r="AF5426" s="4">
        <v>1</v>
      </c>
      <c r="AG5426" s="4">
        <v>4</v>
      </c>
      <c r="AH5426" s="4">
        <v>96</v>
      </c>
      <c r="AI5426" s="4">
        <v>98</v>
      </c>
      <c r="AJ5426" s="4">
        <v>15</v>
      </c>
      <c r="AK5426" s="4">
        <v>21</v>
      </c>
      <c r="AL5426" s="4">
        <v>53</v>
      </c>
      <c r="AM5426" s="4">
        <v>54</v>
      </c>
      <c r="AN5426" s="4">
        <v>0</v>
      </c>
      <c r="AO5426" s="4">
        <v>0</v>
      </c>
      <c r="AP5426" s="4">
        <v>19</v>
      </c>
      <c r="AQ5426" s="4">
        <v>25</v>
      </c>
      <c r="AR5426" s="3" t="s">
        <v>62</v>
      </c>
      <c r="AS5426" s="3" t="s">
        <v>62</v>
      </c>
      <c r="AT5426" s="3" t="s">
        <v>61</v>
      </c>
      <c r="AU5426" s="6" t="str">
        <f>HYPERLINK("http://catalog.hathitrust.org/Record/000394719","HathiTrust Record")</f>
        <v>HathiTrust Record</v>
      </c>
      <c r="AV5426" s="6" t="str">
        <f>HYPERLINK("http://mcgill.on.worldcat.org/oclc/10711109","Catalog Record")</f>
        <v>Catalog Record</v>
      </c>
      <c r="AW5426" s="6" t="str">
        <f>HYPERLINK("http://www.worldcat.org/oclc/10711109","WorldCat Record")</f>
        <v>WorldCat Record</v>
      </c>
      <c r="AX5426" s="3" t="s">
        <v>51935</v>
      </c>
      <c r="AY5426" s="3" t="s">
        <v>51936</v>
      </c>
      <c r="AZ5426" s="3" t="s">
        <v>51937</v>
      </c>
      <c r="BA5426" s="3" t="s">
        <v>51937</v>
      </c>
      <c r="BB5426" s="3" t="s">
        <v>51944</v>
      </c>
      <c r="BC5426" s="3" t="s">
        <v>142</v>
      </c>
      <c r="BD5426" s="3" t="s">
        <v>68</v>
      </c>
      <c r="BE5426" s="3" t="s">
        <v>51939</v>
      </c>
      <c r="BF5426" s="3" t="s">
        <v>51944</v>
      </c>
      <c r="BG5426" s="3" t="s">
        <v>51945</v>
      </c>
    </row>
    <row r="5427" spans="1:59" ht="57" x14ac:dyDescent="0.45">
      <c r="A5427" s="2" t="s">
        <v>59</v>
      </c>
      <c r="B5427" s="2" t="s">
        <v>60</v>
      </c>
      <c r="C5427" s="2" t="s">
        <v>51946</v>
      </c>
      <c r="D5427" s="2" t="s">
        <v>51947</v>
      </c>
      <c r="E5427" s="2" t="s">
        <v>51948</v>
      </c>
      <c r="G5427" s="3" t="s">
        <v>62</v>
      </c>
      <c r="I5427" s="3" t="s">
        <v>62</v>
      </c>
      <c r="J5427" s="3" t="s">
        <v>62</v>
      </c>
      <c r="K5427" s="3" t="s">
        <v>63</v>
      </c>
      <c r="L5427" s="2" t="s">
        <v>51949</v>
      </c>
      <c r="M5427" s="2" t="s">
        <v>51950</v>
      </c>
      <c r="N5427" s="3" t="s">
        <v>894</v>
      </c>
      <c r="P5427" s="3" t="s">
        <v>65</v>
      </c>
      <c r="R5427" s="3" t="s">
        <v>66</v>
      </c>
      <c r="S5427" s="4">
        <v>1</v>
      </c>
      <c r="T5427" s="4">
        <v>1</v>
      </c>
      <c r="U5427" s="5" t="s">
        <v>43310</v>
      </c>
      <c r="V5427" s="5" t="s">
        <v>43310</v>
      </c>
      <c r="W5427" s="5" t="s">
        <v>67</v>
      </c>
      <c r="X5427" s="5" t="s">
        <v>67</v>
      </c>
      <c r="Y5427" s="4">
        <v>38</v>
      </c>
      <c r="Z5427" s="4">
        <v>8</v>
      </c>
      <c r="AA5427" s="4">
        <v>75</v>
      </c>
      <c r="AB5427" s="4">
        <v>1</v>
      </c>
      <c r="AC5427" s="4">
        <v>14</v>
      </c>
      <c r="AD5427" s="4">
        <v>16</v>
      </c>
      <c r="AE5427" s="4">
        <v>83</v>
      </c>
      <c r="AF5427" s="4">
        <v>0</v>
      </c>
      <c r="AG5427" s="4">
        <v>8</v>
      </c>
      <c r="AH5427" s="4">
        <v>14</v>
      </c>
      <c r="AI5427" s="4">
        <v>52</v>
      </c>
      <c r="AJ5427" s="4">
        <v>6</v>
      </c>
      <c r="AK5427" s="4">
        <v>19</v>
      </c>
      <c r="AL5427" s="4">
        <v>9</v>
      </c>
      <c r="AM5427" s="4">
        <v>25</v>
      </c>
      <c r="AN5427" s="4">
        <v>0</v>
      </c>
      <c r="AO5427" s="4">
        <v>0</v>
      </c>
      <c r="AP5427" s="4">
        <v>6</v>
      </c>
      <c r="AQ5427" s="4">
        <v>39</v>
      </c>
      <c r="AR5427" s="3" t="s">
        <v>62</v>
      </c>
      <c r="AS5427" s="3" t="s">
        <v>62</v>
      </c>
      <c r="AT5427" s="3" t="s">
        <v>62</v>
      </c>
      <c r="AV5427" s="6" t="str">
        <f>HYPERLINK("http://mcgill.on.worldcat.org/oclc/751800398","Catalog Record")</f>
        <v>Catalog Record</v>
      </c>
      <c r="AW5427" s="6" t="str">
        <f>HYPERLINK("http://www.worldcat.org/oclc/751800398","WorldCat Record")</f>
        <v>WorldCat Record</v>
      </c>
      <c r="AX5427" s="3" t="s">
        <v>51951</v>
      </c>
      <c r="AY5427" s="3" t="s">
        <v>51952</v>
      </c>
      <c r="AZ5427" s="3" t="s">
        <v>51953</v>
      </c>
      <c r="BA5427" s="3" t="s">
        <v>51953</v>
      </c>
      <c r="BB5427" s="3" t="s">
        <v>51954</v>
      </c>
      <c r="BC5427" s="3" t="s">
        <v>142</v>
      </c>
      <c r="BD5427" s="3" t="s">
        <v>68</v>
      </c>
      <c r="BE5427" s="3" t="s">
        <v>51955</v>
      </c>
      <c r="BF5427" s="3" t="s">
        <v>51954</v>
      </c>
      <c r="BG5427" s="3" t="s">
        <v>51956</v>
      </c>
    </row>
    <row r="5428" spans="1:59" ht="57" x14ac:dyDescent="0.45">
      <c r="A5428" s="2" t="s">
        <v>59</v>
      </c>
      <c r="B5428" s="2" t="s">
        <v>60</v>
      </c>
      <c r="C5428" s="2" t="s">
        <v>51957</v>
      </c>
      <c r="D5428" s="2" t="s">
        <v>51958</v>
      </c>
      <c r="E5428" s="2" t="s">
        <v>51959</v>
      </c>
      <c r="G5428" s="3" t="s">
        <v>62</v>
      </c>
      <c r="I5428" s="3" t="s">
        <v>62</v>
      </c>
      <c r="J5428" s="3" t="s">
        <v>62</v>
      </c>
      <c r="K5428" s="3" t="s">
        <v>63</v>
      </c>
      <c r="L5428" s="2" t="s">
        <v>51960</v>
      </c>
      <c r="M5428" s="2" t="s">
        <v>51961</v>
      </c>
      <c r="N5428" s="3" t="s">
        <v>958</v>
      </c>
      <c r="P5428" s="3" t="s">
        <v>65</v>
      </c>
      <c r="Q5428" s="2" t="s">
        <v>51962</v>
      </c>
      <c r="R5428" s="3" t="s">
        <v>66</v>
      </c>
      <c r="S5428" s="4">
        <v>1</v>
      </c>
      <c r="T5428" s="4">
        <v>1</v>
      </c>
      <c r="U5428" s="5" t="s">
        <v>17563</v>
      </c>
      <c r="V5428" s="5" t="s">
        <v>17563</v>
      </c>
      <c r="W5428" s="5" t="s">
        <v>67</v>
      </c>
      <c r="X5428" s="5" t="s">
        <v>67</v>
      </c>
      <c r="Y5428" s="4">
        <v>290</v>
      </c>
      <c r="Z5428" s="4">
        <v>16</v>
      </c>
      <c r="AA5428" s="4">
        <v>19</v>
      </c>
      <c r="AB5428" s="4">
        <v>1</v>
      </c>
      <c r="AC5428" s="4">
        <v>4</v>
      </c>
      <c r="AD5428" s="4">
        <v>103</v>
      </c>
      <c r="AE5428" s="4">
        <v>106</v>
      </c>
      <c r="AF5428" s="4">
        <v>0</v>
      </c>
      <c r="AG5428" s="4">
        <v>3</v>
      </c>
      <c r="AH5428" s="4">
        <v>94</v>
      </c>
      <c r="AI5428" s="4">
        <v>95</v>
      </c>
      <c r="AJ5428" s="4">
        <v>13</v>
      </c>
      <c r="AK5428" s="4">
        <v>16</v>
      </c>
      <c r="AL5428" s="4">
        <v>55</v>
      </c>
      <c r="AM5428" s="4">
        <v>55</v>
      </c>
      <c r="AN5428" s="4">
        <v>0</v>
      </c>
      <c r="AO5428" s="4">
        <v>0</v>
      </c>
      <c r="AP5428" s="4">
        <v>14</v>
      </c>
      <c r="AQ5428" s="4">
        <v>16</v>
      </c>
      <c r="AR5428" s="3" t="s">
        <v>62</v>
      </c>
      <c r="AS5428" s="3" t="s">
        <v>62</v>
      </c>
      <c r="AT5428" s="3" t="s">
        <v>62</v>
      </c>
      <c r="AV5428" s="6" t="str">
        <f>HYPERLINK("http://mcgill.on.worldcat.org/oclc/30594418","Catalog Record")</f>
        <v>Catalog Record</v>
      </c>
      <c r="AW5428" s="6" t="str">
        <f>HYPERLINK("http://www.worldcat.org/oclc/30594418","WorldCat Record")</f>
        <v>WorldCat Record</v>
      </c>
      <c r="AX5428" s="3" t="s">
        <v>51963</v>
      </c>
      <c r="AY5428" s="3" t="s">
        <v>51964</v>
      </c>
      <c r="AZ5428" s="3" t="s">
        <v>51965</v>
      </c>
      <c r="BA5428" s="3" t="s">
        <v>51965</v>
      </c>
      <c r="BB5428" s="3" t="s">
        <v>51966</v>
      </c>
      <c r="BC5428" s="3" t="s">
        <v>142</v>
      </c>
      <c r="BD5428" s="3" t="s">
        <v>68</v>
      </c>
      <c r="BE5428" s="3" t="s">
        <v>51967</v>
      </c>
      <c r="BF5428" s="3" t="s">
        <v>51966</v>
      </c>
      <c r="BG5428" s="3" t="s">
        <v>51968</v>
      </c>
    </row>
    <row r="5429" spans="1:59" ht="57" x14ac:dyDescent="0.45">
      <c r="A5429" s="2" t="s">
        <v>59</v>
      </c>
      <c r="B5429" s="2" t="s">
        <v>60</v>
      </c>
      <c r="C5429" s="2" t="s">
        <v>51969</v>
      </c>
      <c r="D5429" s="2" t="s">
        <v>51970</v>
      </c>
      <c r="E5429" s="2" t="s">
        <v>51971</v>
      </c>
      <c r="G5429" s="3" t="s">
        <v>62</v>
      </c>
      <c r="I5429" s="3" t="s">
        <v>62</v>
      </c>
      <c r="J5429" s="3" t="s">
        <v>62</v>
      </c>
      <c r="K5429" s="3" t="s">
        <v>63</v>
      </c>
      <c r="L5429" s="2" t="s">
        <v>51972</v>
      </c>
      <c r="M5429" s="2" t="s">
        <v>2928</v>
      </c>
      <c r="N5429" s="3" t="s">
        <v>918</v>
      </c>
      <c r="P5429" s="3" t="s">
        <v>65</v>
      </c>
      <c r="Q5429" s="2" t="s">
        <v>51973</v>
      </c>
      <c r="R5429" s="3" t="s">
        <v>66</v>
      </c>
      <c r="S5429" s="4">
        <v>6</v>
      </c>
      <c r="T5429" s="4">
        <v>6</v>
      </c>
      <c r="U5429" s="5" t="s">
        <v>4142</v>
      </c>
      <c r="V5429" s="5" t="s">
        <v>4142</v>
      </c>
      <c r="W5429" s="5" t="s">
        <v>67</v>
      </c>
      <c r="X5429" s="5" t="s">
        <v>67</v>
      </c>
      <c r="Y5429" s="4">
        <v>66</v>
      </c>
      <c r="Z5429" s="4">
        <v>7</v>
      </c>
      <c r="AA5429" s="4">
        <v>100</v>
      </c>
      <c r="AB5429" s="4">
        <v>1</v>
      </c>
      <c r="AC5429" s="4">
        <v>17</v>
      </c>
      <c r="AD5429" s="4">
        <v>40</v>
      </c>
      <c r="AE5429" s="4">
        <v>114</v>
      </c>
      <c r="AF5429" s="4">
        <v>0</v>
      </c>
      <c r="AG5429" s="4">
        <v>8</v>
      </c>
      <c r="AH5429" s="4">
        <v>37</v>
      </c>
      <c r="AI5429" s="4">
        <v>79</v>
      </c>
      <c r="AJ5429" s="4">
        <v>5</v>
      </c>
      <c r="AK5429" s="4">
        <v>21</v>
      </c>
      <c r="AL5429" s="4">
        <v>26</v>
      </c>
      <c r="AM5429" s="4">
        <v>40</v>
      </c>
      <c r="AN5429" s="4">
        <v>0</v>
      </c>
      <c r="AO5429" s="4">
        <v>0</v>
      </c>
      <c r="AP5429" s="4">
        <v>5</v>
      </c>
      <c r="AQ5429" s="4">
        <v>42</v>
      </c>
      <c r="AR5429" s="3" t="s">
        <v>62</v>
      </c>
      <c r="AS5429" s="3" t="s">
        <v>62</v>
      </c>
      <c r="AT5429" s="3" t="s">
        <v>62</v>
      </c>
      <c r="AV5429" s="6" t="str">
        <f>HYPERLINK("http://mcgill.on.worldcat.org/oclc/52942934","Catalog Record")</f>
        <v>Catalog Record</v>
      </c>
      <c r="AW5429" s="6" t="str">
        <f>HYPERLINK("http://www.worldcat.org/oclc/52942934","WorldCat Record")</f>
        <v>WorldCat Record</v>
      </c>
      <c r="AX5429" s="3" t="s">
        <v>51974</v>
      </c>
      <c r="AY5429" s="3" t="s">
        <v>51975</v>
      </c>
      <c r="AZ5429" s="3" t="s">
        <v>51976</v>
      </c>
      <c r="BA5429" s="3" t="s">
        <v>51976</v>
      </c>
      <c r="BB5429" s="3" t="s">
        <v>51977</v>
      </c>
      <c r="BC5429" s="3" t="s">
        <v>142</v>
      </c>
      <c r="BD5429" s="3" t="s">
        <v>68</v>
      </c>
      <c r="BE5429" s="3" t="s">
        <v>51978</v>
      </c>
      <c r="BF5429" s="3" t="s">
        <v>51977</v>
      </c>
      <c r="BG5429" s="3" t="s">
        <v>51979</v>
      </c>
    </row>
    <row r="5430" spans="1:59" ht="57" x14ac:dyDescent="0.45">
      <c r="A5430" s="2" t="s">
        <v>59</v>
      </c>
      <c r="B5430" s="2" t="s">
        <v>60</v>
      </c>
      <c r="C5430" s="2" t="s">
        <v>51980</v>
      </c>
      <c r="D5430" s="2" t="s">
        <v>51981</v>
      </c>
      <c r="E5430" s="2" t="s">
        <v>51982</v>
      </c>
      <c r="G5430" s="3" t="s">
        <v>62</v>
      </c>
      <c r="I5430" s="3" t="s">
        <v>62</v>
      </c>
      <c r="J5430" s="3" t="s">
        <v>62</v>
      </c>
      <c r="K5430" s="3" t="s">
        <v>63</v>
      </c>
      <c r="M5430" s="2" t="s">
        <v>1489</v>
      </c>
      <c r="N5430" s="3" t="s">
        <v>542</v>
      </c>
      <c r="P5430" s="3" t="s">
        <v>65</v>
      </c>
      <c r="Q5430" s="2" t="s">
        <v>3014</v>
      </c>
      <c r="R5430" s="3" t="s">
        <v>66</v>
      </c>
      <c r="S5430" s="4">
        <v>28</v>
      </c>
      <c r="T5430" s="4">
        <v>28</v>
      </c>
      <c r="U5430" s="5" t="s">
        <v>8148</v>
      </c>
      <c r="V5430" s="5" t="s">
        <v>8148</v>
      </c>
      <c r="W5430" s="5" t="s">
        <v>67</v>
      </c>
      <c r="X5430" s="5" t="s">
        <v>67</v>
      </c>
      <c r="Y5430" s="4">
        <v>293</v>
      </c>
      <c r="Z5430" s="4">
        <v>16</v>
      </c>
      <c r="AA5430" s="4">
        <v>55</v>
      </c>
      <c r="AB5430" s="4">
        <v>1</v>
      </c>
      <c r="AC5430" s="4">
        <v>8</v>
      </c>
      <c r="AD5430" s="4">
        <v>93</v>
      </c>
      <c r="AE5430" s="4">
        <v>122</v>
      </c>
      <c r="AF5430" s="4">
        <v>0</v>
      </c>
      <c r="AG5430" s="4">
        <v>4</v>
      </c>
      <c r="AH5430" s="4">
        <v>83</v>
      </c>
      <c r="AI5430" s="4">
        <v>97</v>
      </c>
      <c r="AJ5430" s="4">
        <v>10</v>
      </c>
      <c r="AK5430" s="4">
        <v>21</v>
      </c>
      <c r="AL5430" s="4">
        <v>48</v>
      </c>
      <c r="AM5430" s="4">
        <v>53</v>
      </c>
      <c r="AN5430" s="4">
        <v>0</v>
      </c>
      <c r="AO5430" s="4">
        <v>0</v>
      </c>
      <c r="AP5430" s="4">
        <v>14</v>
      </c>
      <c r="AQ5430" s="4">
        <v>33</v>
      </c>
      <c r="AR5430" s="3" t="s">
        <v>62</v>
      </c>
      <c r="AS5430" s="3" t="s">
        <v>62</v>
      </c>
      <c r="AT5430" s="3" t="s">
        <v>62</v>
      </c>
      <c r="AV5430" s="6" t="str">
        <f>HYPERLINK("http://mcgill.on.worldcat.org/oclc/43115111","Catalog Record")</f>
        <v>Catalog Record</v>
      </c>
      <c r="AW5430" s="6" t="str">
        <f>HYPERLINK("http://www.worldcat.org/oclc/43115111","WorldCat Record")</f>
        <v>WorldCat Record</v>
      </c>
      <c r="AX5430" s="3" t="s">
        <v>51983</v>
      </c>
      <c r="AY5430" s="3" t="s">
        <v>51984</v>
      </c>
      <c r="AZ5430" s="3" t="s">
        <v>51985</v>
      </c>
      <c r="BA5430" s="3" t="s">
        <v>51985</v>
      </c>
      <c r="BB5430" s="3" t="s">
        <v>51986</v>
      </c>
      <c r="BC5430" s="3" t="s">
        <v>142</v>
      </c>
      <c r="BD5430" s="3" t="s">
        <v>68</v>
      </c>
      <c r="BE5430" s="3" t="s">
        <v>51987</v>
      </c>
      <c r="BF5430" s="3" t="s">
        <v>51986</v>
      </c>
      <c r="BG5430" s="3" t="s">
        <v>51988</v>
      </c>
    </row>
    <row r="5431" spans="1:59" ht="57" x14ac:dyDescent="0.45">
      <c r="A5431" s="2" t="s">
        <v>59</v>
      </c>
      <c r="B5431" s="2" t="s">
        <v>60</v>
      </c>
      <c r="C5431" s="2" t="s">
        <v>51989</v>
      </c>
      <c r="D5431" s="2" t="s">
        <v>51990</v>
      </c>
      <c r="E5431" s="2" t="s">
        <v>51991</v>
      </c>
      <c r="G5431" s="3" t="s">
        <v>62</v>
      </c>
      <c r="I5431" s="3" t="s">
        <v>62</v>
      </c>
      <c r="J5431" s="3" t="s">
        <v>62</v>
      </c>
      <c r="K5431" s="3" t="s">
        <v>63</v>
      </c>
      <c r="L5431" s="2" t="s">
        <v>51992</v>
      </c>
      <c r="M5431" s="2" t="s">
        <v>51993</v>
      </c>
      <c r="N5431" s="3" t="s">
        <v>958</v>
      </c>
      <c r="P5431" s="3" t="s">
        <v>65</v>
      </c>
      <c r="Q5431" s="2" t="s">
        <v>51994</v>
      </c>
      <c r="R5431" s="3" t="s">
        <v>66</v>
      </c>
      <c r="S5431" s="4">
        <v>31</v>
      </c>
      <c r="T5431" s="4">
        <v>31</v>
      </c>
      <c r="U5431" s="5" t="s">
        <v>46320</v>
      </c>
      <c r="V5431" s="5" t="s">
        <v>46320</v>
      </c>
      <c r="W5431" s="5" t="s">
        <v>67</v>
      </c>
      <c r="X5431" s="5" t="s">
        <v>67</v>
      </c>
      <c r="Y5431" s="4">
        <v>227</v>
      </c>
      <c r="Z5431" s="4">
        <v>13</v>
      </c>
      <c r="AA5431" s="4">
        <v>17</v>
      </c>
      <c r="AB5431" s="4">
        <v>1</v>
      </c>
      <c r="AC5431" s="4">
        <v>5</v>
      </c>
      <c r="AD5431" s="4">
        <v>80</v>
      </c>
      <c r="AE5431" s="4">
        <v>84</v>
      </c>
      <c r="AF5431" s="4">
        <v>0</v>
      </c>
      <c r="AG5431" s="4">
        <v>4</v>
      </c>
      <c r="AH5431" s="4">
        <v>73</v>
      </c>
      <c r="AI5431" s="4">
        <v>74</v>
      </c>
      <c r="AJ5431" s="4">
        <v>10</v>
      </c>
      <c r="AK5431" s="4">
        <v>14</v>
      </c>
      <c r="AL5431" s="4">
        <v>45</v>
      </c>
      <c r="AM5431" s="4">
        <v>45</v>
      </c>
      <c r="AN5431" s="4">
        <v>0</v>
      </c>
      <c r="AO5431" s="4">
        <v>0</v>
      </c>
      <c r="AP5431" s="4">
        <v>11</v>
      </c>
      <c r="AQ5431" s="4">
        <v>14</v>
      </c>
      <c r="AR5431" s="3" t="s">
        <v>62</v>
      </c>
      <c r="AS5431" s="3" t="s">
        <v>62</v>
      </c>
      <c r="AT5431" s="3" t="s">
        <v>62</v>
      </c>
      <c r="AV5431" s="6" t="str">
        <f>HYPERLINK("http://mcgill.on.worldcat.org/oclc/31867441","Catalog Record")</f>
        <v>Catalog Record</v>
      </c>
      <c r="AW5431" s="6" t="str">
        <f>HYPERLINK("http://www.worldcat.org/oclc/31867441","WorldCat Record")</f>
        <v>WorldCat Record</v>
      </c>
      <c r="AX5431" s="3" t="s">
        <v>51995</v>
      </c>
      <c r="AY5431" s="3" t="s">
        <v>51996</v>
      </c>
      <c r="AZ5431" s="3" t="s">
        <v>51997</v>
      </c>
      <c r="BA5431" s="3" t="s">
        <v>51997</v>
      </c>
      <c r="BB5431" s="3" t="s">
        <v>51998</v>
      </c>
      <c r="BC5431" s="3" t="s">
        <v>142</v>
      </c>
      <c r="BD5431" s="3" t="s">
        <v>68</v>
      </c>
      <c r="BE5431" s="3" t="s">
        <v>51999</v>
      </c>
      <c r="BF5431" s="3" t="s">
        <v>51998</v>
      </c>
      <c r="BG5431" s="3" t="s">
        <v>52000</v>
      </c>
    </row>
    <row r="5432" spans="1:59" ht="57" x14ac:dyDescent="0.45">
      <c r="A5432" s="2" t="s">
        <v>59</v>
      </c>
      <c r="B5432" s="2" t="s">
        <v>60</v>
      </c>
      <c r="C5432" s="2" t="s">
        <v>52001</v>
      </c>
      <c r="D5432" s="2" t="s">
        <v>52002</v>
      </c>
      <c r="E5432" s="2" t="s">
        <v>52003</v>
      </c>
      <c r="G5432" s="3" t="s">
        <v>62</v>
      </c>
      <c r="I5432" s="3" t="s">
        <v>62</v>
      </c>
      <c r="J5432" s="3" t="s">
        <v>62</v>
      </c>
      <c r="K5432" s="3" t="s">
        <v>63</v>
      </c>
      <c r="L5432" s="2" t="s">
        <v>52004</v>
      </c>
      <c r="M5432" s="2" t="s">
        <v>1189</v>
      </c>
      <c r="N5432" s="3" t="s">
        <v>149</v>
      </c>
      <c r="P5432" s="3" t="s">
        <v>65</v>
      </c>
      <c r="Q5432" s="2" t="s">
        <v>52005</v>
      </c>
      <c r="R5432" s="3" t="s">
        <v>66</v>
      </c>
      <c r="S5432" s="4">
        <v>4</v>
      </c>
      <c r="T5432" s="4">
        <v>4</v>
      </c>
      <c r="U5432" s="5" t="s">
        <v>52006</v>
      </c>
      <c r="V5432" s="5" t="s">
        <v>52006</v>
      </c>
      <c r="W5432" s="5" t="s">
        <v>67</v>
      </c>
      <c r="X5432" s="5" t="s">
        <v>67</v>
      </c>
      <c r="Y5432" s="4">
        <v>96</v>
      </c>
      <c r="Z5432" s="4">
        <v>8</v>
      </c>
      <c r="AA5432" s="4">
        <v>36</v>
      </c>
      <c r="AB5432" s="4">
        <v>2</v>
      </c>
      <c r="AC5432" s="4">
        <v>10</v>
      </c>
      <c r="AD5432" s="4">
        <v>34</v>
      </c>
      <c r="AE5432" s="4">
        <v>62</v>
      </c>
      <c r="AF5432" s="4">
        <v>0</v>
      </c>
      <c r="AG5432" s="4">
        <v>4</v>
      </c>
      <c r="AH5432" s="4">
        <v>30</v>
      </c>
      <c r="AI5432" s="4">
        <v>40</v>
      </c>
      <c r="AJ5432" s="4">
        <v>5</v>
      </c>
      <c r="AK5432" s="4">
        <v>14</v>
      </c>
      <c r="AL5432" s="4">
        <v>22</v>
      </c>
      <c r="AM5432" s="4">
        <v>24</v>
      </c>
      <c r="AN5432" s="4">
        <v>0</v>
      </c>
      <c r="AO5432" s="4">
        <v>0</v>
      </c>
      <c r="AP5432" s="4">
        <v>5</v>
      </c>
      <c r="AQ5432" s="4">
        <v>27</v>
      </c>
      <c r="AR5432" s="3" t="s">
        <v>62</v>
      </c>
      <c r="AS5432" s="3" t="s">
        <v>62</v>
      </c>
      <c r="AT5432" s="3" t="s">
        <v>62</v>
      </c>
      <c r="AV5432" s="6" t="str">
        <f>HYPERLINK("http://mcgill.on.worldcat.org/oclc/300722584","Catalog Record")</f>
        <v>Catalog Record</v>
      </c>
      <c r="AW5432" s="6" t="str">
        <f>HYPERLINK("http://www.worldcat.org/oclc/300722584","WorldCat Record")</f>
        <v>WorldCat Record</v>
      </c>
      <c r="AX5432" s="3" t="s">
        <v>52007</v>
      </c>
      <c r="AY5432" s="3" t="s">
        <v>52008</v>
      </c>
      <c r="AZ5432" s="3" t="s">
        <v>52009</v>
      </c>
      <c r="BA5432" s="3" t="s">
        <v>52009</v>
      </c>
      <c r="BB5432" s="3" t="s">
        <v>52010</v>
      </c>
      <c r="BC5432" s="3" t="s">
        <v>142</v>
      </c>
      <c r="BD5432" s="3" t="s">
        <v>68</v>
      </c>
      <c r="BE5432" s="3" t="s">
        <v>52011</v>
      </c>
      <c r="BF5432" s="3" t="s">
        <v>52010</v>
      </c>
      <c r="BG5432" s="3" t="s">
        <v>52012</v>
      </c>
    </row>
    <row r="5433" spans="1:59" ht="57" x14ac:dyDescent="0.45">
      <c r="A5433" s="2" t="s">
        <v>59</v>
      </c>
      <c r="B5433" s="2" t="s">
        <v>60</v>
      </c>
      <c r="C5433" s="2" t="s">
        <v>52013</v>
      </c>
      <c r="D5433" s="2" t="s">
        <v>52014</v>
      </c>
      <c r="E5433" s="2" t="s">
        <v>52015</v>
      </c>
      <c r="G5433" s="3" t="s">
        <v>62</v>
      </c>
      <c r="I5433" s="3" t="s">
        <v>62</v>
      </c>
      <c r="J5433" s="3" t="s">
        <v>62</v>
      </c>
      <c r="K5433" s="3" t="s">
        <v>63</v>
      </c>
      <c r="M5433" s="2" t="s">
        <v>36751</v>
      </c>
      <c r="N5433" s="3" t="s">
        <v>1437</v>
      </c>
      <c r="P5433" s="3" t="s">
        <v>65</v>
      </c>
      <c r="Q5433" s="2" t="s">
        <v>10715</v>
      </c>
      <c r="R5433" s="3" t="s">
        <v>66</v>
      </c>
      <c r="S5433" s="4">
        <v>10</v>
      </c>
      <c r="T5433" s="4">
        <v>10</v>
      </c>
      <c r="U5433" s="5" t="s">
        <v>10204</v>
      </c>
      <c r="V5433" s="5" t="s">
        <v>10204</v>
      </c>
      <c r="W5433" s="5" t="s">
        <v>67</v>
      </c>
      <c r="X5433" s="5" t="s">
        <v>67</v>
      </c>
      <c r="Y5433" s="4">
        <v>237</v>
      </c>
      <c r="Z5433" s="4">
        <v>21</v>
      </c>
      <c r="AA5433" s="4">
        <v>23</v>
      </c>
      <c r="AB5433" s="4">
        <v>1</v>
      </c>
      <c r="AC5433" s="4">
        <v>3</v>
      </c>
      <c r="AD5433" s="4">
        <v>99</v>
      </c>
      <c r="AE5433" s="4">
        <v>101</v>
      </c>
      <c r="AF5433" s="4">
        <v>0</v>
      </c>
      <c r="AG5433" s="4">
        <v>2</v>
      </c>
      <c r="AH5433" s="4">
        <v>88</v>
      </c>
      <c r="AI5433" s="4">
        <v>89</v>
      </c>
      <c r="AJ5433" s="4">
        <v>16</v>
      </c>
      <c r="AK5433" s="4">
        <v>18</v>
      </c>
      <c r="AL5433" s="4">
        <v>50</v>
      </c>
      <c r="AM5433" s="4">
        <v>50</v>
      </c>
      <c r="AN5433" s="4">
        <v>0</v>
      </c>
      <c r="AO5433" s="4">
        <v>0</v>
      </c>
      <c r="AP5433" s="4">
        <v>19</v>
      </c>
      <c r="AQ5433" s="4">
        <v>21</v>
      </c>
      <c r="AR5433" s="3" t="s">
        <v>62</v>
      </c>
      <c r="AS5433" s="3" t="s">
        <v>62</v>
      </c>
      <c r="AT5433" s="3" t="s">
        <v>62</v>
      </c>
      <c r="AV5433" s="6" t="str">
        <f>HYPERLINK("http://mcgill.on.worldcat.org/oclc/37862749","Catalog Record")</f>
        <v>Catalog Record</v>
      </c>
      <c r="AW5433" s="6" t="str">
        <f>HYPERLINK("http://www.worldcat.org/oclc/37862749","WorldCat Record")</f>
        <v>WorldCat Record</v>
      </c>
      <c r="AX5433" s="3" t="s">
        <v>52016</v>
      </c>
      <c r="AY5433" s="3" t="s">
        <v>52017</v>
      </c>
      <c r="AZ5433" s="3" t="s">
        <v>52018</v>
      </c>
      <c r="BA5433" s="3" t="s">
        <v>52018</v>
      </c>
      <c r="BB5433" s="3" t="s">
        <v>52019</v>
      </c>
      <c r="BC5433" s="3" t="s">
        <v>142</v>
      </c>
      <c r="BD5433" s="3" t="s">
        <v>68</v>
      </c>
      <c r="BE5433" s="3" t="s">
        <v>52020</v>
      </c>
      <c r="BF5433" s="3" t="s">
        <v>52019</v>
      </c>
      <c r="BG5433" s="3" t="s">
        <v>52021</v>
      </c>
    </row>
    <row r="5434" spans="1:59" ht="57" x14ac:dyDescent="0.45">
      <c r="A5434" s="2" t="s">
        <v>59</v>
      </c>
      <c r="B5434" s="2" t="s">
        <v>60</v>
      </c>
      <c r="C5434" s="2" t="s">
        <v>52022</v>
      </c>
      <c r="D5434" s="2" t="s">
        <v>52023</v>
      </c>
      <c r="E5434" s="2" t="s">
        <v>52024</v>
      </c>
      <c r="G5434" s="3" t="s">
        <v>62</v>
      </c>
      <c r="I5434" s="3" t="s">
        <v>62</v>
      </c>
      <c r="J5434" s="3" t="s">
        <v>62</v>
      </c>
      <c r="K5434" s="3" t="s">
        <v>63</v>
      </c>
      <c r="L5434" s="2" t="s">
        <v>52025</v>
      </c>
      <c r="M5434" s="2" t="s">
        <v>52026</v>
      </c>
      <c r="N5434" s="3" t="s">
        <v>122</v>
      </c>
      <c r="P5434" s="3" t="s">
        <v>65</v>
      </c>
      <c r="Q5434" s="2" t="s">
        <v>52027</v>
      </c>
      <c r="R5434" s="3" t="s">
        <v>66</v>
      </c>
      <c r="S5434" s="4">
        <v>2</v>
      </c>
      <c r="T5434" s="4">
        <v>2</v>
      </c>
      <c r="U5434" s="5" t="s">
        <v>52028</v>
      </c>
      <c r="V5434" s="5" t="s">
        <v>52028</v>
      </c>
      <c r="W5434" s="5" t="s">
        <v>67</v>
      </c>
      <c r="X5434" s="5" t="s">
        <v>67</v>
      </c>
      <c r="Y5434" s="4">
        <v>287</v>
      </c>
      <c r="Z5434" s="4">
        <v>18</v>
      </c>
      <c r="AA5434" s="4">
        <v>23</v>
      </c>
      <c r="AB5434" s="4">
        <v>1</v>
      </c>
      <c r="AC5434" s="4">
        <v>4</v>
      </c>
      <c r="AD5434" s="4">
        <v>91</v>
      </c>
      <c r="AE5434" s="4">
        <v>98</v>
      </c>
      <c r="AF5434" s="4">
        <v>0</v>
      </c>
      <c r="AG5434" s="4">
        <v>3</v>
      </c>
      <c r="AH5434" s="4">
        <v>83</v>
      </c>
      <c r="AI5434" s="4">
        <v>86</v>
      </c>
      <c r="AJ5434" s="4">
        <v>14</v>
      </c>
      <c r="AK5434" s="4">
        <v>19</v>
      </c>
      <c r="AL5434" s="4">
        <v>50</v>
      </c>
      <c r="AM5434" s="4">
        <v>51</v>
      </c>
      <c r="AN5434" s="4">
        <v>0</v>
      </c>
      <c r="AO5434" s="4">
        <v>0</v>
      </c>
      <c r="AP5434" s="4">
        <v>15</v>
      </c>
      <c r="AQ5434" s="4">
        <v>19</v>
      </c>
      <c r="AR5434" s="3" t="s">
        <v>62</v>
      </c>
      <c r="AS5434" s="3" t="s">
        <v>62</v>
      </c>
      <c r="AT5434" s="3" t="s">
        <v>62</v>
      </c>
      <c r="AV5434" s="6" t="str">
        <f>HYPERLINK("http://mcgill.on.worldcat.org/oclc/3688950","Catalog Record")</f>
        <v>Catalog Record</v>
      </c>
      <c r="AW5434" s="6" t="str">
        <f>HYPERLINK("http://www.worldcat.org/oclc/3688950","WorldCat Record")</f>
        <v>WorldCat Record</v>
      </c>
      <c r="AX5434" s="3" t="s">
        <v>52029</v>
      </c>
      <c r="AY5434" s="3" t="s">
        <v>52030</v>
      </c>
      <c r="AZ5434" s="3" t="s">
        <v>52031</v>
      </c>
      <c r="BA5434" s="3" t="s">
        <v>52031</v>
      </c>
      <c r="BB5434" s="3" t="s">
        <v>52032</v>
      </c>
      <c r="BC5434" s="3" t="s">
        <v>142</v>
      </c>
      <c r="BD5434" s="3" t="s">
        <v>68</v>
      </c>
      <c r="BE5434" s="3" t="s">
        <v>52033</v>
      </c>
      <c r="BF5434" s="3" t="s">
        <v>52032</v>
      </c>
      <c r="BG5434" s="3" t="s">
        <v>52034</v>
      </c>
    </row>
    <row r="5435" spans="1:59" ht="57" x14ac:dyDescent="0.45">
      <c r="A5435" s="2" t="s">
        <v>59</v>
      </c>
      <c r="B5435" s="2" t="s">
        <v>60</v>
      </c>
      <c r="C5435" s="2" t="s">
        <v>52035</v>
      </c>
      <c r="D5435" s="2" t="s">
        <v>52036</v>
      </c>
      <c r="E5435" s="2" t="s">
        <v>52037</v>
      </c>
      <c r="G5435" s="3" t="s">
        <v>62</v>
      </c>
      <c r="I5435" s="3" t="s">
        <v>62</v>
      </c>
      <c r="J5435" s="3" t="s">
        <v>62</v>
      </c>
      <c r="K5435" s="3" t="s">
        <v>63</v>
      </c>
      <c r="L5435" s="2" t="s">
        <v>52038</v>
      </c>
      <c r="M5435" s="2" t="s">
        <v>1178</v>
      </c>
      <c r="N5435" s="3" t="s">
        <v>894</v>
      </c>
      <c r="P5435" s="3" t="s">
        <v>65</v>
      </c>
      <c r="Q5435" s="2" t="s">
        <v>52039</v>
      </c>
      <c r="R5435" s="3" t="s">
        <v>66</v>
      </c>
      <c r="S5435" s="4">
        <v>0</v>
      </c>
      <c r="T5435" s="4">
        <v>0</v>
      </c>
      <c r="W5435" s="5" t="s">
        <v>67</v>
      </c>
      <c r="X5435" s="5" t="s">
        <v>67</v>
      </c>
      <c r="Y5435" s="4">
        <v>49</v>
      </c>
      <c r="Z5435" s="4">
        <v>7</v>
      </c>
      <c r="AA5435" s="4">
        <v>90</v>
      </c>
      <c r="AB5435" s="4">
        <v>1</v>
      </c>
      <c r="AC5435" s="4">
        <v>17</v>
      </c>
      <c r="AD5435" s="4">
        <v>21</v>
      </c>
      <c r="AE5435" s="4">
        <v>104</v>
      </c>
      <c r="AF5435" s="4">
        <v>0</v>
      </c>
      <c r="AG5435" s="4">
        <v>8</v>
      </c>
      <c r="AH5435" s="4">
        <v>20</v>
      </c>
      <c r="AI5435" s="4">
        <v>70</v>
      </c>
      <c r="AJ5435" s="4">
        <v>5</v>
      </c>
      <c r="AK5435" s="4">
        <v>21</v>
      </c>
      <c r="AL5435" s="4">
        <v>15</v>
      </c>
      <c r="AM5435" s="4">
        <v>36</v>
      </c>
      <c r="AN5435" s="4">
        <v>0</v>
      </c>
      <c r="AO5435" s="4">
        <v>0</v>
      </c>
      <c r="AP5435" s="4">
        <v>5</v>
      </c>
      <c r="AQ5435" s="4">
        <v>42</v>
      </c>
      <c r="AR5435" s="3" t="s">
        <v>62</v>
      </c>
      <c r="AS5435" s="3" t="s">
        <v>62</v>
      </c>
      <c r="AT5435" s="3" t="s">
        <v>62</v>
      </c>
      <c r="AV5435" s="6" t="str">
        <f>HYPERLINK("http://mcgill.on.worldcat.org/oclc/685120610","Catalog Record")</f>
        <v>Catalog Record</v>
      </c>
      <c r="AW5435" s="6" t="str">
        <f>HYPERLINK("http://www.worldcat.org/oclc/685120610","WorldCat Record")</f>
        <v>WorldCat Record</v>
      </c>
      <c r="AX5435" s="3" t="s">
        <v>52040</v>
      </c>
      <c r="AY5435" s="3" t="s">
        <v>52041</v>
      </c>
      <c r="AZ5435" s="3" t="s">
        <v>52042</v>
      </c>
      <c r="BA5435" s="3" t="s">
        <v>52042</v>
      </c>
      <c r="BB5435" s="3" t="s">
        <v>52043</v>
      </c>
      <c r="BC5435" s="3" t="s">
        <v>142</v>
      </c>
      <c r="BD5435" s="3" t="s">
        <v>68</v>
      </c>
      <c r="BE5435" s="3" t="s">
        <v>52044</v>
      </c>
      <c r="BF5435" s="3" t="s">
        <v>52043</v>
      </c>
      <c r="BG5435" s="3" t="s">
        <v>52045</v>
      </c>
    </row>
    <row r="5436" spans="1:59" ht="57" x14ac:dyDescent="0.45">
      <c r="A5436" s="2" t="s">
        <v>59</v>
      </c>
      <c r="B5436" s="2" t="s">
        <v>60</v>
      </c>
      <c r="C5436" s="2" t="s">
        <v>52046</v>
      </c>
      <c r="D5436" s="2" t="s">
        <v>52047</v>
      </c>
      <c r="E5436" s="2" t="s">
        <v>52048</v>
      </c>
      <c r="G5436" s="3" t="s">
        <v>62</v>
      </c>
      <c r="I5436" s="3" t="s">
        <v>62</v>
      </c>
      <c r="J5436" s="3" t="s">
        <v>62</v>
      </c>
      <c r="K5436" s="3" t="s">
        <v>63</v>
      </c>
      <c r="L5436" s="2" t="s">
        <v>52049</v>
      </c>
      <c r="M5436" s="2" t="s">
        <v>13393</v>
      </c>
      <c r="N5436" s="3" t="s">
        <v>1604</v>
      </c>
      <c r="P5436" s="3" t="s">
        <v>65</v>
      </c>
      <c r="Q5436" s="2" t="s">
        <v>52050</v>
      </c>
      <c r="R5436" s="3" t="s">
        <v>66</v>
      </c>
      <c r="S5436" s="4">
        <v>56</v>
      </c>
      <c r="T5436" s="4">
        <v>56</v>
      </c>
      <c r="U5436" s="5" t="s">
        <v>291</v>
      </c>
      <c r="V5436" s="5" t="s">
        <v>291</v>
      </c>
      <c r="W5436" s="5" t="s">
        <v>67</v>
      </c>
      <c r="X5436" s="5" t="s">
        <v>67</v>
      </c>
      <c r="Y5436" s="4">
        <v>261</v>
      </c>
      <c r="Z5436" s="4">
        <v>22</v>
      </c>
      <c r="AA5436" s="4">
        <v>92</v>
      </c>
      <c r="AB5436" s="4">
        <v>2</v>
      </c>
      <c r="AC5436" s="4">
        <v>18</v>
      </c>
      <c r="AD5436" s="4">
        <v>106</v>
      </c>
      <c r="AE5436" s="4">
        <v>142</v>
      </c>
      <c r="AF5436" s="4">
        <v>1</v>
      </c>
      <c r="AG5436" s="4">
        <v>8</v>
      </c>
      <c r="AH5436" s="4">
        <v>93</v>
      </c>
      <c r="AI5436" s="4">
        <v>104</v>
      </c>
      <c r="AJ5436" s="4">
        <v>17</v>
      </c>
      <c r="AK5436" s="4">
        <v>26</v>
      </c>
      <c r="AL5436" s="4">
        <v>53</v>
      </c>
      <c r="AM5436" s="4">
        <v>57</v>
      </c>
      <c r="AN5436" s="4">
        <v>0</v>
      </c>
      <c r="AO5436" s="4">
        <v>0</v>
      </c>
      <c r="AP5436" s="4">
        <v>20</v>
      </c>
      <c r="AQ5436" s="4">
        <v>47</v>
      </c>
      <c r="AR5436" s="3" t="s">
        <v>62</v>
      </c>
      <c r="AS5436" s="3" t="s">
        <v>62</v>
      </c>
      <c r="AT5436" s="3" t="s">
        <v>62</v>
      </c>
      <c r="AV5436" s="6" t="str">
        <f>HYPERLINK("http://mcgill.on.worldcat.org/oclc/30738957","Catalog Record")</f>
        <v>Catalog Record</v>
      </c>
      <c r="AW5436" s="6" t="str">
        <f>HYPERLINK("http://www.worldcat.org/oclc/30738957","WorldCat Record")</f>
        <v>WorldCat Record</v>
      </c>
      <c r="AX5436" s="3" t="s">
        <v>52051</v>
      </c>
      <c r="AY5436" s="3" t="s">
        <v>52052</v>
      </c>
      <c r="AZ5436" s="3" t="s">
        <v>52053</v>
      </c>
      <c r="BA5436" s="3" t="s">
        <v>52053</v>
      </c>
      <c r="BB5436" s="3" t="s">
        <v>52054</v>
      </c>
      <c r="BC5436" s="3" t="s">
        <v>142</v>
      </c>
      <c r="BD5436" s="3" t="s">
        <v>308</v>
      </c>
      <c r="BE5436" s="3" t="s">
        <v>52055</v>
      </c>
      <c r="BF5436" s="3" t="s">
        <v>52054</v>
      </c>
      <c r="BG5436" s="3" t="s">
        <v>52056</v>
      </c>
    </row>
    <row r="5437" spans="1:59" ht="57" x14ac:dyDescent="0.45">
      <c r="A5437" s="2" t="s">
        <v>59</v>
      </c>
      <c r="B5437" s="2" t="s">
        <v>60</v>
      </c>
      <c r="C5437" s="2" t="s">
        <v>52057</v>
      </c>
      <c r="D5437" s="2" t="s">
        <v>52058</v>
      </c>
      <c r="E5437" s="2" t="s">
        <v>52059</v>
      </c>
      <c r="G5437" s="3" t="s">
        <v>62</v>
      </c>
      <c r="I5437" s="3" t="s">
        <v>62</v>
      </c>
      <c r="J5437" s="3" t="s">
        <v>62</v>
      </c>
      <c r="K5437" s="3" t="s">
        <v>63</v>
      </c>
      <c r="L5437" s="2" t="s">
        <v>52049</v>
      </c>
      <c r="M5437" s="2" t="s">
        <v>2643</v>
      </c>
      <c r="N5437" s="3" t="s">
        <v>149</v>
      </c>
      <c r="P5437" s="3" t="s">
        <v>65</v>
      </c>
      <c r="Q5437" s="2" t="s">
        <v>50918</v>
      </c>
      <c r="R5437" s="3" t="s">
        <v>66</v>
      </c>
      <c r="S5437" s="4">
        <v>4</v>
      </c>
      <c r="T5437" s="4">
        <v>4</v>
      </c>
      <c r="U5437" s="5" t="s">
        <v>41657</v>
      </c>
      <c r="V5437" s="5" t="s">
        <v>41657</v>
      </c>
      <c r="W5437" s="5" t="s">
        <v>67</v>
      </c>
      <c r="X5437" s="5" t="s">
        <v>67</v>
      </c>
      <c r="Y5437" s="4">
        <v>97</v>
      </c>
      <c r="Z5437" s="4">
        <v>15</v>
      </c>
      <c r="AA5437" s="4">
        <v>106</v>
      </c>
      <c r="AB5437" s="4">
        <v>1</v>
      </c>
      <c r="AC5437" s="4">
        <v>17</v>
      </c>
      <c r="AD5437" s="4">
        <v>57</v>
      </c>
      <c r="AE5437" s="4">
        <v>122</v>
      </c>
      <c r="AF5437" s="4">
        <v>0</v>
      </c>
      <c r="AG5437" s="4">
        <v>8</v>
      </c>
      <c r="AH5437" s="4">
        <v>54</v>
      </c>
      <c r="AI5437" s="4">
        <v>85</v>
      </c>
      <c r="AJ5437" s="4">
        <v>11</v>
      </c>
      <c r="AK5437" s="4">
        <v>25</v>
      </c>
      <c r="AL5437" s="4">
        <v>31</v>
      </c>
      <c r="AM5437" s="4">
        <v>43</v>
      </c>
      <c r="AN5437" s="4">
        <v>0</v>
      </c>
      <c r="AO5437" s="4">
        <v>0</v>
      </c>
      <c r="AP5437" s="4">
        <v>12</v>
      </c>
      <c r="AQ5437" s="4">
        <v>47</v>
      </c>
      <c r="AR5437" s="3" t="s">
        <v>62</v>
      </c>
      <c r="AS5437" s="3" t="s">
        <v>62</v>
      </c>
      <c r="AT5437" s="3" t="s">
        <v>62</v>
      </c>
      <c r="AV5437" s="6" t="str">
        <f>HYPERLINK("http://mcgill.on.worldcat.org/oclc/437186908","Catalog Record")</f>
        <v>Catalog Record</v>
      </c>
      <c r="AW5437" s="6" t="str">
        <f>HYPERLINK("http://www.worldcat.org/oclc/437186908","WorldCat Record")</f>
        <v>WorldCat Record</v>
      </c>
      <c r="AX5437" s="3" t="s">
        <v>52060</v>
      </c>
      <c r="AY5437" s="3" t="s">
        <v>52061</v>
      </c>
      <c r="AZ5437" s="3" t="s">
        <v>52062</v>
      </c>
      <c r="BA5437" s="3" t="s">
        <v>52062</v>
      </c>
      <c r="BB5437" s="3" t="s">
        <v>52063</v>
      </c>
      <c r="BC5437" s="3" t="s">
        <v>142</v>
      </c>
      <c r="BD5437" s="3" t="s">
        <v>68</v>
      </c>
      <c r="BE5437" s="3" t="s">
        <v>52064</v>
      </c>
      <c r="BF5437" s="3" t="s">
        <v>52063</v>
      </c>
      <c r="BG5437" s="3" t="s">
        <v>52065</v>
      </c>
    </row>
    <row r="5438" spans="1:59" ht="57" x14ac:dyDescent="0.45">
      <c r="A5438" s="2" t="s">
        <v>59</v>
      </c>
      <c r="B5438" s="2" t="s">
        <v>60</v>
      </c>
      <c r="C5438" s="2" t="s">
        <v>52066</v>
      </c>
      <c r="D5438" s="2" t="s">
        <v>52067</v>
      </c>
      <c r="E5438" s="2" t="s">
        <v>52068</v>
      </c>
      <c r="G5438" s="3" t="s">
        <v>62</v>
      </c>
      <c r="I5438" s="3" t="s">
        <v>62</v>
      </c>
      <c r="J5438" s="3" t="s">
        <v>62</v>
      </c>
      <c r="K5438" s="3" t="s">
        <v>63</v>
      </c>
      <c r="L5438" s="2" t="s">
        <v>52069</v>
      </c>
      <c r="M5438" s="2" t="s">
        <v>43202</v>
      </c>
      <c r="N5438" s="3" t="s">
        <v>1155</v>
      </c>
      <c r="P5438" s="3" t="s">
        <v>65</v>
      </c>
      <c r="Q5438" s="2" t="s">
        <v>52070</v>
      </c>
      <c r="R5438" s="3" t="s">
        <v>66</v>
      </c>
      <c r="S5438" s="4">
        <v>1</v>
      </c>
      <c r="T5438" s="4">
        <v>1</v>
      </c>
      <c r="U5438" s="5" t="s">
        <v>18083</v>
      </c>
      <c r="V5438" s="5" t="s">
        <v>18083</v>
      </c>
      <c r="W5438" s="5" t="s">
        <v>67</v>
      </c>
      <c r="X5438" s="5" t="s">
        <v>67</v>
      </c>
      <c r="Y5438" s="4">
        <v>66</v>
      </c>
      <c r="Z5438" s="4">
        <v>10</v>
      </c>
      <c r="AA5438" s="4">
        <v>89</v>
      </c>
      <c r="AB5438" s="4">
        <v>2</v>
      </c>
      <c r="AC5438" s="4">
        <v>17</v>
      </c>
      <c r="AD5438" s="4">
        <v>37</v>
      </c>
      <c r="AE5438" s="4">
        <v>105</v>
      </c>
      <c r="AF5438" s="4">
        <v>1</v>
      </c>
      <c r="AG5438" s="4">
        <v>8</v>
      </c>
      <c r="AH5438" s="4">
        <v>34</v>
      </c>
      <c r="AI5438" s="4">
        <v>71</v>
      </c>
      <c r="AJ5438" s="4">
        <v>8</v>
      </c>
      <c r="AK5438" s="4">
        <v>22</v>
      </c>
      <c r="AL5438" s="4">
        <v>21</v>
      </c>
      <c r="AM5438" s="4">
        <v>38</v>
      </c>
      <c r="AN5438" s="4">
        <v>0</v>
      </c>
      <c r="AO5438" s="4">
        <v>0</v>
      </c>
      <c r="AP5438" s="4">
        <v>8</v>
      </c>
      <c r="AQ5438" s="4">
        <v>43</v>
      </c>
      <c r="AR5438" s="3" t="s">
        <v>62</v>
      </c>
      <c r="AS5438" s="3" t="s">
        <v>62</v>
      </c>
      <c r="AT5438" s="3" t="s">
        <v>62</v>
      </c>
      <c r="AV5438" s="6" t="str">
        <f>HYPERLINK("http://mcgill.on.worldcat.org/oclc/741355717","Catalog Record")</f>
        <v>Catalog Record</v>
      </c>
      <c r="AW5438" s="6" t="str">
        <f>HYPERLINK("http://www.worldcat.org/oclc/741355717","WorldCat Record")</f>
        <v>WorldCat Record</v>
      </c>
      <c r="AX5438" s="3" t="s">
        <v>52071</v>
      </c>
      <c r="AY5438" s="3" t="s">
        <v>52072</v>
      </c>
      <c r="AZ5438" s="3" t="s">
        <v>52073</v>
      </c>
      <c r="BA5438" s="3" t="s">
        <v>52073</v>
      </c>
      <c r="BB5438" s="3" t="s">
        <v>52074</v>
      </c>
      <c r="BC5438" s="3" t="s">
        <v>142</v>
      </c>
      <c r="BD5438" s="3" t="s">
        <v>68</v>
      </c>
      <c r="BE5438" s="3" t="s">
        <v>52075</v>
      </c>
      <c r="BF5438" s="3" t="s">
        <v>52074</v>
      </c>
      <c r="BG5438" s="3" t="s">
        <v>52076</v>
      </c>
    </row>
    <row r="5439" spans="1:59" ht="57" x14ac:dyDescent="0.45">
      <c r="A5439" s="2" t="s">
        <v>59</v>
      </c>
      <c r="B5439" s="2" t="s">
        <v>60</v>
      </c>
      <c r="C5439" s="2" t="s">
        <v>52077</v>
      </c>
      <c r="D5439" s="2" t="s">
        <v>52078</v>
      </c>
      <c r="E5439" s="2" t="s">
        <v>52079</v>
      </c>
      <c r="G5439" s="3" t="s">
        <v>62</v>
      </c>
      <c r="I5439" s="3" t="s">
        <v>62</v>
      </c>
      <c r="J5439" s="3" t="s">
        <v>62</v>
      </c>
      <c r="K5439" s="3" t="s">
        <v>63</v>
      </c>
      <c r="M5439" s="2" t="s">
        <v>52080</v>
      </c>
      <c r="N5439" s="3" t="s">
        <v>1918</v>
      </c>
      <c r="P5439" s="3" t="s">
        <v>65</v>
      </c>
      <c r="Q5439" s="2" t="s">
        <v>52081</v>
      </c>
      <c r="R5439" s="3" t="s">
        <v>66</v>
      </c>
      <c r="S5439" s="4">
        <v>0</v>
      </c>
      <c r="T5439" s="4">
        <v>0</v>
      </c>
      <c r="W5439" s="5" t="s">
        <v>67</v>
      </c>
      <c r="X5439" s="5" t="s">
        <v>67</v>
      </c>
      <c r="Y5439" s="4">
        <v>42</v>
      </c>
      <c r="Z5439" s="4">
        <v>2</v>
      </c>
      <c r="AA5439" s="4">
        <v>70</v>
      </c>
      <c r="AB5439" s="4">
        <v>1</v>
      </c>
      <c r="AC5439" s="4">
        <v>14</v>
      </c>
      <c r="AD5439" s="4">
        <v>25</v>
      </c>
      <c r="AE5439" s="4">
        <v>101</v>
      </c>
      <c r="AF5439" s="4">
        <v>0</v>
      </c>
      <c r="AG5439" s="4">
        <v>8</v>
      </c>
      <c r="AH5439" s="4">
        <v>24</v>
      </c>
      <c r="AI5439" s="4">
        <v>69</v>
      </c>
      <c r="AJ5439" s="4">
        <v>1</v>
      </c>
      <c r="AK5439" s="4">
        <v>18</v>
      </c>
      <c r="AL5439" s="4">
        <v>20</v>
      </c>
      <c r="AM5439" s="4">
        <v>38</v>
      </c>
      <c r="AN5439" s="4">
        <v>0</v>
      </c>
      <c r="AO5439" s="4">
        <v>0</v>
      </c>
      <c r="AP5439" s="4">
        <v>1</v>
      </c>
      <c r="AQ5439" s="4">
        <v>37</v>
      </c>
      <c r="AR5439" s="3" t="s">
        <v>62</v>
      </c>
      <c r="AS5439" s="3" t="s">
        <v>62</v>
      </c>
      <c r="AT5439" s="3" t="s">
        <v>62</v>
      </c>
      <c r="AV5439" s="6" t="str">
        <f>HYPERLINK("http://mcgill.on.worldcat.org/oclc/951936468","Catalog Record")</f>
        <v>Catalog Record</v>
      </c>
      <c r="AW5439" s="6" t="str">
        <f>HYPERLINK("http://www.worldcat.org/oclc/951936468","WorldCat Record")</f>
        <v>WorldCat Record</v>
      </c>
      <c r="AX5439" s="3" t="s">
        <v>52082</v>
      </c>
      <c r="AY5439" s="3" t="s">
        <v>52083</v>
      </c>
      <c r="AZ5439" s="3" t="s">
        <v>52084</v>
      </c>
      <c r="BA5439" s="3" t="s">
        <v>52084</v>
      </c>
      <c r="BB5439" s="3" t="s">
        <v>52085</v>
      </c>
      <c r="BC5439" s="3" t="s">
        <v>142</v>
      </c>
      <c r="BD5439" s="3" t="s">
        <v>68</v>
      </c>
      <c r="BE5439" s="3" t="s">
        <v>52086</v>
      </c>
      <c r="BF5439" s="3" t="s">
        <v>52085</v>
      </c>
      <c r="BG5439" s="3" t="s">
        <v>52087</v>
      </c>
    </row>
    <row r="5440" spans="1:59" ht="57" x14ac:dyDescent="0.45">
      <c r="A5440" s="2" t="s">
        <v>59</v>
      </c>
      <c r="B5440" s="2" t="s">
        <v>60</v>
      </c>
      <c r="C5440" s="2" t="s">
        <v>52088</v>
      </c>
      <c r="D5440" s="2" t="s">
        <v>52089</v>
      </c>
      <c r="E5440" s="2" t="s">
        <v>52090</v>
      </c>
      <c r="G5440" s="3" t="s">
        <v>62</v>
      </c>
      <c r="I5440" s="3" t="s">
        <v>62</v>
      </c>
      <c r="J5440" s="3" t="s">
        <v>62</v>
      </c>
      <c r="K5440" s="3" t="s">
        <v>63</v>
      </c>
      <c r="L5440" s="2" t="s">
        <v>52091</v>
      </c>
      <c r="M5440" s="2" t="s">
        <v>21778</v>
      </c>
      <c r="N5440" s="3" t="s">
        <v>149</v>
      </c>
      <c r="P5440" s="3" t="s">
        <v>65</v>
      </c>
      <c r="R5440" s="3" t="s">
        <v>66</v>
      </c>
      <c r="S5440" s="4">
        <v>12</v>
      </c>
      <c r="T5440" s="4">
        <v>12</v>
      </c>
      <c r="U5440" s="5" t="s">
        <v>19383</v>
      </c>
      <c r="V5440" s="5" t="s">
        <v>19383</v>
      </c>
      <c r="W5440" s="5" t="s">
        <v>67</v>
      </c>
      <c r="X5440" s="5" t="s">
        <v>67</v>
      </c>
      <c r="Y5440" s="4">
        <v>151</v>
      </c>
      <c r="Z5440" s="4">
        <v>15</v>
      </c>
      <c r="AA5440" s="4">
        <v>18</v>
      </c>
      <c r="AB5440" s="4">
        <v>1</v>
      </c>
      <c r="AC5440" s="4">
        <v>3</v>
      </c>
      <c r="AD5440" s="4">
        <v>39</v>
      </c>
      <c r="AE5440" s="4">
        <v>49</v>
      </c>
      <c r="AF5440" s="4">
        <v>0</v>
      </c>
      <c r="AG5440" s="4">
        <v>1</v>
      </c>
      <c r="AH5440" s="4">
        <v>32</v>
      </c>
      <c r="AI5440" s="4">
        <v>40</v>
      </c>
      <c r="AJ5440" s="4">
        <v>9</v>
      </c>
      <c r="AK5440" s="4">
        <v>10</v>
      </c>
      <c r="AL5440" s="4">
        <v>22</v>
      </c>
      <c r="AM5440" s="4">
        <v>25</v>
      </c>
      <c r="AN5440" s="4">
        <v>0</v>
      </c>
      <c r="AO5440" s="4">
        <v>0</v>
      </c>
      <c r="AP5440" s="4">
        <v>11</v>
      </c>
      <c r="AQ5440" s="4">
        <v>13</v>
      </c>
      <c r="AR5440" s="3" t="s">
        <v>62</v>
      </c>
      <c r="AS5440" s="3" t="s">
        <v>62</v>
      </c>
      <c r="AT5440" s="3" t="s">
        <v>62</v>
      </c>
      <c r="AV5440" s="6" t="str">
        <f>HYPERLINK("http://mcgill.on.worldcat.org/oclc/289070781","Catalog Record")</f>
        <v>Catalog Record</v>
      </c>
      <c r="AW5440" s="6" t="str">
        <f>HYPERLINK("http://www.worldcat.org/oclc/289070781","WorldCat Record")</f>
        <v>WorldCat Record</v>
      </c>
      <c r="AX5440" s="3" t="s">
        <v>52092</v>
      </c>
      <c r="AY5440" s="3" t="s">
        <v>52093</v>
      </c>
      <c r="AZ5440" s="3" t="s">
        <v>52094</v>
      </c>
      <c r="BA5440" s="3" t="s">
        <v>52094</v>
      </c>
      <c r="BB5440" s="3" t="s">
        <v>52095</v>
      </c>
      <c r="BC5440" s="3" t="s">
        <v>142</v>
      </c>
      <c r="BD5440" s="3" t="s">
        <v>68</v>
      </c>
      <c r="BE5440" s="3" t="s">
        <v>52096</v>
      </c>
      <c r="BF5440" s="3" t="s">
        <v>52095</v>
      </c>
      <c r="BG5440" s="3" t="s">
        <v>52097</v>
      </c>
    </row>
    <row r="5441" spans="1:59" ht="57" x14ac:dyDescent="0.45">
      <c r="A5441" s="2" t="s">
        <v>59</v>
      </c>
      <c r="B5441" s="2" t="s">
        <v>60</v>
      </c>
      <c r="C5441" s="2" t="s">
        <v>52098</v>
      </c>
      <c r="D5441" s="2" t="s">
        <v>52099</v>
      </c>
      <c r="E5441" s="2" t="s">
        <v>52100</v>
      </c>
      <c r="G5441" s="3" t="s">
        <v>62</v>
      </c>
      <c r="I5441" s="3" t="s">
        <v>62</v>
      </c>
      <c r="J5441" s="3" t="s">
        <v>62</v>
      </c>
      <c r="K5441" s="3" t="s">
        <v>63</v>
      </c>
      <c r="L5441" s="2" t="s">
        <v>46240</v>
      </c>
      <c r="M5441" s="2" t="s">
        <v>3013</v>
      </c>
      <c r="N5441" s="3" t="s">
        <v>1855</v>
      </c>
      <c r="P5441" s="3" t="s">
        <v>65</v>
      </c>
      <c r="Q5441" s="2" t="s">
        <v>51994</v>
      </c>
      <c r="R5441" s="3" t="s">
        <v>66</v>
      </c>
      <c r="S5441" s="4">
        <v>13</v>
      </c>
      <c r="T5441" s="4">
        <v>13</v>
      </c>
      <c r="U5441" s="5" t="s">
        <v>14837</v>
      </c>
      <c r="V5441" s="5" t="s">
        <v>14837</v>
      </c>
      <c r="W5441" s="5" t="s">
        <v>67</v>
      </c>
      <c r="X5441" s="5" t="s">
        <v>67</v>
      </c>
      <c r="Y5441" s="4">
        <v>194</v>
      </c>
      <c r="Z5441" s="4">
        <v>16</v>
      </c>
      <c r="AA5441" s="4">
        <v>17</v>
      </c>
      <c r="AB5441" s="4">
        <v>1</v>
      </c>
      <c r="AC5441" s="4">
        <v>2</v>
      </c>
      <c r="AD5441" s="4">
        <v>79</v>
      </c>
      <c r="AE5441" s="4">
        <v>81</v>
      </c>
      <c r="AF5441" s="4">
        <v>0</v>
      </c>
      <c r="AG5441" s="4">
        <v>1</v>
      </c>
      <c r="AH5441" s="4">
        <v>74</v>
      </c>
      <c r="AI5441" s="4">
        <v>75</v>
      </c>
      <c r="AJ5441" s="4">
        <v>14</v>
      </c>
      <c r="AK5441" s="4">
        <v>15</v>
      </c>
      <c r="AL5441" s="4">
        <v>39</v>
      </c>
      <c r="AM5441" s="4">
        <v>40</v>
      </c>
      <c r="AN5441" s="4">
        <v>0</v>
      </c>
      <c r="AO5441" s="4">
        <v>0</v>
      </c>
      <c r="AP5441" s="4">
        <v>14</v>
      </c>
      <c r="AQ5441" s="4">
        <v>15</v>
      </c>
      <c r="AR5441" s="3" t="s">
        <v>62</v>
      </c>
      <c r="AS5441" s="3" t="s">
        <v>62</v>
      </c>
      <c r="AT5441" s="3" t="s">
        <v>62</v>
      </c>
      <c r="AV5441" s="6" t="str">
        <f>HYPERLINK("http://mcgill.on.worldcat.org/oclc/55887427","Catalog Record")</f>
        <v>Catalog Record</v>
      </c>
      <c r="AW5441" s="6" t="str">
        <f>HYPERLINK("http://www.worldcat.org/oclc/55887427","WorldCat Record")</f>
        <v>WorldCat Record</v>
      </c>
      <c r="AX5441" s="3" t="s">
        <v>52101</v>
      </c>
      <c r="AY5441" s="3" t="s">
        <v>52102</v>
      </c>
      <c r="AZ5441" s="3" t="s">
        <v>52103</v>
      </c>
      <c r="BA5441" s="3" t="s">
        <v>52103</v>
      </c>
      <c r="BB5441" s="3" t="s">
        <v>52104</v>
      </c>
      <c r="BC5441" s="3" t="s">
        <v>142</v>
      </c>
      <c r="BD5441" s="3" t="s">
        <v>68</v>
      </c>
      <c r="BE5441" s="3" t="s">
        <v>52105</v>
      </c>
      <c r="BF5441" s="3" t="s">
        <v>52104</v>
      </c>
      <c r="BG5441" s="3" t="s">
        <v>52106</v>
      </c>
    </row>
    <row r="5442" spans="1:59" ht="57" x14ac:dyDescent="0.45">
      <c r="A5442" s="2" t="s">
        <v>59</v>
      </c>
      <c r="B5442" s="2" t="s">
        <v>60</v>
      </c>
      <c r="C5442" s="2" t="s">
        <v>52107</v>
      </c>
      <c r="D5442" s="2" t="s">
        <v>52108</v>
      </c>
      <c r="E5442" s="2" t="s">
        <v>52109</v>
      </c>
      <c r="G5442" s="3" t="s">
        <v>62</v>
      </c>
      <c r="I5442" s="3" t="s">
        <v>62</v>
      </c>
      <c r="J5442" s="3" t="s">
        <v>62</v>
      </c>
      <c r="K5442" s="3" t="s">
        <v>63</v>
      </c>
      <c r="L5442" s="2" t="s">
        <v>45474</v>
      </c>
      <c r="M5442" s="2" t="s">
        <v>52110</v>
      </c>
      <c r="N5442" s="3" t="s">
        <v>480</v>
      </c>
      <c r="P5442" s="3" t="s">
        <v>65</v>
      </c>
      <c r="Q5442" s="2" t="s">
        <v>52111</v>
      </c>
      <c r="R5442" s="3" t="s">
        <v>66</v>
      </c>
      <c r="S5442" s="4">
        <v>21</v>
      </c>
      <c r="T5442" s="4">
        <v>21</v>
      </c>
      <c r="U5442" s="5" t="s">
        <v>52112</v>
      </c>
      <c r="V5442" s="5" t="s">
        <v>52112</v>
      </c>
      <c r="W5442" s="5" t="s">
        <v>67</v>
      </c>
      <c r="X5442" s="5" t="s">
        <v>67</v>
      </c>
      <c r="Y5442" s="4">
        <v>416</v>
      </c>
      <c r="Z5442" s="4">
        <v>28</v>
      </c>
      <c r="AA5442" s="4">
        <v>33</v>
      </c>
      <c r="AB5442" s="4">
        <v>2</v>
      </c>
      <c r="AC5442" s="4">
        <v>7</v>
      </c>
      <c r="AD5442" s="4">
        <v>119</v>
      </c>
      <c r="AE5442" s="4">
        <v>123</v>
      </c>
      <c r="AF5442" s="4">
        <v>1</v>
      </c>
      <c r="AG5442" s="4">
        <v>5</v>
      </c>
      <c r="AH5442" s="4">
        <v>101</v>
      </c>
      <c r="AI5442" s="4">
        <v>102</v>
      </c>
      <c r="AJ5442" s="4">
        <v>19</v>
      </c>
      <c r="AK5442" s="4">
        <v>23</v>
      </c>
      <c r="AL5442" s="4">
        <v>53</v>
      </c>
      <c r="AM5442" s="4">
        <v>53</v>
      </c>
      <c r="AN5442" s="4">
        <v>0</v>
      </c>
      <c r="AO5442" s="4">
        <v>0</v>
      </c>
      <c r="AP5442" s="4">
        <v>24</v>
      </c>
      <c r="AQ5442" s="4">
        <v>27</v>
      </c>
      <c r="AR5442" s="3" t="s">
        <v>62</v>
      </c>
      <c r="AS5442" s="3" t="s">
        <v>62</v>
      </c>
      <c r="AT5442" s="3" t="s">
        <v>62</v>
      </c>
      <c r="AV5442" s="6" t="str">
        <f>HYPERLINK("http://mcgill.on.worldcat.org/oclc/3915414","Catalog Record")</f>
        <v>Catalog Record</v>
      </c>
      <c r="AW5442" s="6" t="str">
        <f>HYPERLINK("http://www.worldcat.org/oclc/3915414","WorldCat Record")</f>
        <v>WorldCat Record</v>
      </c>
      <c r="AX5442" s="3" t="s">
        <v>52113</v>
      </c>
      <c r="AY5442" s="3" t="s">
        <v>52114</v>
      </c>
      <c r="AZ5442" s="3" t="s">
        <v>52115</v>
      </c>
      <c r="BA5442" s="3" t="s">
        <v>52115</v>
      </c>
      <c r="BB5442" s="3" t="s">
        <v>52116</v>
      </c>
      <c r="BC5442" s="3" t="s">
        <v>142</v>
      </c>
      <c r="BD5442" s="3" t="s">
        <v>68</v>
      </c>
      <c r="BE5442" s="3" t="s">
        <v>52117</v>
      </c>
      <c r="BF5442" s="3" t="s">
        <v>52116</v>
      </c>
      <c r="BG5442" s="3" t="s">
        <v>52118</v>
      </c>
    </row>
    <row r="5443" spans="1:59" ht="57" x14ac:dyDescent="0.45">
      <c r="A5443" s="2" t="s">
        <v>59</v>
      </c>
      <c r="B5443" s="2" t="s">
        <v>60</v>
      </c>
      <c r="C5443" s="2" t="s">
        <v>52119</v>
      </c>
      <c r="D5443" s="2" t="s">
        <v>52120</v>
      </c>
      <c r="E5443" s="2" t="s">
        <v>52121</v>
      </c>
      <c r="G5443" s="3" t="s">
        <v>62</v>
      </c>
      <c r="I5443" s="3" t="s">
        <v>62</v>
      </c>
      <c r="J5443" s="3" t="s">
        <v>62</v>
      </c>
      <c r="K5443" s="3" t="s">
        <v>63</v>
      </c>
      <c r="M5443" s="2" t="s">
        <v>2560</v>
      </c>
      <c r="N5443" s="3" t="s">
        <v>149</v>
      </c>
      <c r="P5443" s="3" t="s">
        <v>65</v>
      </c>
      <c r="Q5443" s="2" t="s">
        <v>21253</v>
      </c>
      <c r="R5443" s="3" t="s">
        <v>66</v>
      </c>
      <c r="S5443" s="4">
        <v>2</v>
      </c>
      <c r="T5443" s="4">
        <v>2</v>
      </c>
      <c r="U5443" s="5" t="s">
        <v>11152</v>
      </c>
      <c r="V5443" s="5" t="s">
        <v>11152</v>
      </c>
      <c r="W5443" s="5" t="s">
        <v>67</v>
      </c>
      <c r="X5443" s="5" t="s">
        <v>67</v>
      </c>
      <c r="Y5443" s="4">
        <v>161</v>
      </c>
      <c r="Z5443" s="4">
        <v>13</v>
      </c>
      <c r="AA5443" s="4">
        <v>89</v>
      </c>
      <c r="AB5443" s="4">
        <v>1</v>
      </c>
      <c r="AC5443" s="4">
        <v>15</v>
      </c>
      <c r="AD5443" s="4">
        <v>65</v>
      </c>
      <c r="AE5443" s="4">
        <v>126</v>
      </c>
      <c r="AF5443" s="4">
        <v>0</v>
      </c>
      <c r="AG5443" s="4">
        <v>8</v>
      </c>
      <c r="AH5443" s="4">
        <v>60</v>
      </c>
      <c r="AI5443" s="4">
        <v>89</v>
      </c>
      <c r="AJ5443" s="4">
        <v>9</v>
      </c>
      <c r="AK5443" s="4">
        <v>23</v>
      </c>
      <c r="AL5443" s="4">
        <v>41</v>
      </c>
      <c r="AM5443" s="4">
        <v>51</v>
      </c>
      <c r="AN5443" s="4">
        <v>0</v>
      </c>
      <c r="AO5443" s="4">
        <v>0</v>
      </c>
      <c r="AP5443" s="4">
        <v>10</v>
      </c>
      <c r="AQ5443" s="4">
        <v>45</v>
      </c>
      <c r="AR5443" s="3" t="s">
        <v>62</v>
      </c>
      <c r="AS5443" s="3" t="s">
        <v>62</v>
      </c>
      <c r="AT5443" s="3" t="s">
        <v>62</v>
      </c>
      <c r="AV5443" s="6" t="str">
        <f>HYPERLINK("http://mcgill.on.worldcat.org/oclc/444383355","Catalog Record")</f>
        <v>Catalog Record</v>
      </c>
      <c r="AW5443" s="6" t="str">
        <f>HYPERLINK("http://www.worldcat.org/oclc/444383355","WorldCat Record")</f>
        <v>WorldCat Record</v>
      </c>
      <c r="AX5443" s="3" t="s">
        <v>52122</v>
      </c>
      <c r="AY5443" s="3" t="s">
        <v>52123</v>
      </c>
      <c r="AZ5443" s="3" t="s">
        <v>52124</v>
      </c>
      <c r="BA5443" s="3" t="s">
        <v>52124</v>
      </c>
      <c r="BB5443" s="3" t="s">
        <v>52125</v>
      </c>
      <c r="BC5443" s="3" t="s">
        <v>142</v>
      </c>
      <c r="BD5443" s="3" t="s">
        <v>68</v>
      </c>
      <c r="BE5443" s="3" t="s">
        <v>52126</v>
      </c>
      <c r="BF5443" s="3" t="s">
        <v>52125</v>
      </c>
      <c r="BG5443" s="3" t="s">
        <v>52127</v>
      </c>
    </row>
    <row r="5444" spans="1:59" ht="57" x14ac:dyDescent="0.45">
      <c r="A5444" s="2" t="s">
        <v>59</v>
      </c>
      <c r="B5444" s="2" t="s">
        <v>60</v>
      </c>
      <c r="C5444" s="2" t="s">
        <v>52128</v>
      </c>
      <c r="D5444" s="2" t="s">
        <v>52129</v>
      </c>
      <c r="E5444" s="2" t="s">
        <v>52130</v>
      </c>
      <c r="G5444" s="3" t="s">
        <v>62</v>
      </c>
      <c r="I5444" s="3" t="s">
        <v>62</v>
      </c>
      <c r="J5444" s="3" t="s">
        <v>62</v>
      </c>
      <c r="K5444" s="3" t="s">
        <v>63</v>
      </c>
      <c r="L5444" s="2" t="s">
        <v>52131</v>
      </c>
      <c r="M5444" s="2" t="s">
        <v>4509</v>
      </c>
      <c r="N5444" s="3" t="s">
        <v>1465</v>
      </c>
      <c r="P5444" s="3" t="s">
        <v>65</v>
      </c>
      <c r="Q5444" s="2" t="s">
        <v>52132</v>
      </c>
      <c r="R5444" s="3" t="s">
        <v>66</v>
      </c>
      <c r="S5444" s="4">
        <v>4</v>
      </c>
      <c r="T5444" s="4">
        <v>4</v>
      </c>
      <c r="U5444" s="5" t="s">
        <v>2109</v>
      </c>
      <c r="V5444" s="5" t="s">
        <v>2109</v>
      </c>
      <c r="W5444" s="5" t="s">
        <v>67</v>
      </c>
      <c r="X5444" s="5" t="s">
        <v>67</v>
      </c>
      <c r="Y5444" s="4">
        <v>153</v>
      </c>
      <c r="Z5444" s="4">
        <v>15</v>
      </c>
      <c r="AA5444" s="4">
        <v>22</v>
      </c>
      <c r="AB5444" s="4">
        <v>3</v>
      </c>
      <c r="AC5444" s="4">
        <v>6</v>
      </c>
      <c r="AD5444" s="4">
        <v>62</v>
      </c>
      <c r="AE5444" s="4">
        <v>70</v>
      </c>
      <c r="AF5444" s="4">
        <v>1</v>
      </c>
      <c r="AG5444" s="4">
        <v>2</v>
      </c>
      <c r="AH5444" s="4">
        <v>58</v>
      </c>
      <c r="AI5444" s="4">
        <v>63</v>
      </c>
      <c r="AJ5444" s="4">
        <v>10</v>
      </c>
      <c r="AK5444" s="4">
        <v>12</v>
      </c>
      <c r="AL5444" s="4">
        <v>41</v>
      </c>
      <c r="AM5444" s="4">
        <v>42</v>
      </c>
      <c r="AN5444" s="4">
        <v>0</v>
      </c>
      <c r="AO5444" s="4">
        <v>0</v>
      </c>
      <c r="AP5444" s="4">
        <v>11</v>
      </c>
      <c r="AQ5444" s="4">
        <v>15</v>
      </c>
      <c r="AR5444" s="3" t="s">
        <v>62</v>
      </c>
      <c r="AS5444" s="3" t="s">
        <v>62</v>
      </c>
      <c r="AT5444" s="3" t="s">
        <v>62</v>
      </c>
      <c r="AV5444" s="6" t="str">
        <f>HYPERLINK("http://mcgill.on.worldcat.org/oclc/319601728","Catalog Record")</f>
        <v>Catalog Record</v>
      </c>
      <c r="AW5444" s="6" t="str">
        <f>HYPERLINK("http://www.worldcat.org/oclc/319601728","WorldCat Record")</f>
        <v>WorldCat Record</v>
      </c>
      <c r="AX5444" s="3" t="s">
        <v>52133</v>
      </c>
      <c r="AY5444" s="3" t="s">
        <v>52134</v>
      </c>
      <c r="AZ5444" s="3" t="s">
        <v>52135</v>
      </c>
      <c r="BA5444" s="3" t="s">
        <v>52135</v>
      </c>
      <c r="BB5444" s="3" t="s">
        <v>52136</v>
      </c>
      <c r="BC5444" s="3" t="s">
        <v>142</v>
      </c>
      <c r="BD5444" s="3" t="s">
        <v>68</v>
      </c>
      <c r="BE5444" s="3" t="s">
        <v>52137</v>
      </c>
      <c r="BF5444" s="3" t="s">
        <v>52136</v>
      </c>
      <c r="BG5444" s="3" t="s">
        <v>52138</v>
      </c>
    </row>
    <row r="5445" spans="1:59" ht="57" x14ac:dyDescent="0.45">
      <c r="A5445" s="2" t="s">
        <v>59</v>
      </c>
      <c r="B5445" s="2" t="s">
        <v>60</v>
      </c>
      <c r="C5445" s="2" t="s">
        <v>52139</v>
      </c>
      <c r="D5445" s="2" t="s">
        <v>52140</v>
      </c>
      <c r="E5445" s="2" t="s">
        <v>52141</v>
      </c>
      <c r="G5445" s="3" t="s">
        <v>62</v>
      </c>
      <c r="I5445" s="3" t="s">
        <v>62</v>
      </c>
      <c r="J5445" s="3" t="s">
        <v>62</v>
      </c>
      <c r="K5445" s="3" t="s">
        <v>63</v>
      </c>
      <c r="M5445" s="2" t="s">
        <v>49596</v>
      </c>
      <c r="N5445" s="3" t="s">
        <v>167</v>
      </c>
      <c r="P5445" s="3" t="s">
        <v>65</v>
      </c>
      <c r="Q5445" s="2" t="s">
        <v>52142</v>
      </c>
      <c r="R5445" s="3" t="s">
        <v>66</v>
      </c>
      <c r="S5445" s="4">
        <v>2</v>
      </c>
      <c r="T5445" s="4">
        <v>2</v>
      </c>
      <c r="U5445" s="5" t="s">
        <v>25378</v>
      </c>
      <c r="V5445" s="5" t="s">
        <v>25378</v>
      </c>
      <c r="W5445" s="5" t="s">
        <v>67</v>
      </c>
      <c r="X5445" s="5" t="s">
        <v>67</v>
      </c>
      <c r="Y5445" s="4">
        <v>95</v>
      </c>
      <c r="Z5445" s="4">
        <v>4</v>
      </c>
      <c r="AA5445" s="4">
        <v>76</v>
      </c>
      <c r="AB5445" s="4">
        <v>1</v>
      </c>
      <c r="AC5445" s="4">
        <v>14</v>
      </c>
      <c r="AD5445" s="4">
        <v>43</v>
      </c>
      <c r="AE5445" s="4">
        <v>109</v>
      </c>
      <c r="AF5445" s="4">
        <v>0</v>
      </c>
      <c r="AG5445" s="4">
        <v>8</v>
      </c>
      <c r="AH5445" s="4">
        <v>40</v>
      </c>
      <c r="AI5445" s="4">
        <v>75</v>
      </c>
      <c r="AJ5445" s="4">
        <v>3</v>
      </c>
      <c r="AK5445" s="4">
        <v>19</v>
      </c>
      <c r="AL5445" s="4">
        <v>28</v>
      </c>
      <c r="AM5445" s="4">
        <v>41</v>
      </c>
      <c r="AN5445" s="4">
        <v>0</v>
      </c>
      <c r="AO5445" s="4">
        <v>0</v>
      </c>
      <c r="AP5445" s="4">
        <v>3</v>
      </c>
      <c r="AQ5445" s="4">
        <v>39</v>
      </c>
      <c r="AR5445" s="3" t="s">
        <v>62</v>
      </c>
      <c r="AS5445" s="3" t="s">
        <v>62</v>
      </c>
      <c r="AT5445" s="3" t="s">
        <v>61</v>
      </c>
      <c r="AU5445" s="6" t="str">
        <f>HYPERLINK("http://catalog.hathitrust.org/Record/007137734","HathiTrust Record")</f>
        <v>HathiTrust Record</v>
      </c>
      <c r="AV5445" s="6" t="str">
        <f>HYPERLINK("http://mcgill.on.worldcat.org/oclc/40964970","Catalog Record")</f>
        <v>Catalog Record</v>
      </c>
      <c r="AW5445" s="6" t="str">
        <f>HYPERLINK("http://www.worldcat.org/oclc/40964970","WorldCat Record")</f>
        <v>WorldCat Record</v>
      </c>
      <c r="AX5445" s="3" t="s">
        <v>52143</v>
      </c>
      <c r="AY5445" s="3" t="s">
        <v>52144</v>
      </c>
      <c r="AZ5445" s="3" t="s">
        <v>52145</v>
      </c>
      <c r="BA5445" s="3" t="s">
        <v>52145</v>
      </c>
      <c r="BB5445" s="3" t="s">
        <v>52146</v>
      </c>
      <c r="BC5445" s="3" t="s">
        <v>142</v>
      </c>
      <c r="BD5445" s="3" t="s">
        <v>68</v>
      </c>
      <c r="BE5445" s="3" t="s">
        <v>52147</v>
      </c>
      <c r="BF5445" s="3" t="s">
        <v>52146</v>
      </c>
      <c r="BG5445" s="3" t="s">
        <v>52148</v>
      </c>
    </row>
    <row r="5446" spans="1:59" ht="57" x14ac:dyDescent="0.45">
      <c r="A5446" s="2" t="s">
        <v>59</v>
      </c>
      <c r="B5446" s="2" t="s">
        <v>60</v>
      </c>
      <c r="C5446" s="2" t="s">
        <v>52149</v>
      </c>
      <c r="D5446" s="2" t="s">
        <v>52150</v>
      </c>
      <c r="E5446" s="2" t="s">
        <v>52151</v>
      </c>
      <c r="G5446" s="3" t="s">
        <v>62</v>
      </c>
      <c r="I5446" s="3" t="s">
        <v>62</v>
      </c>
      <c r="J5446" s="3" t="s">
        <v>62</v>
      </c>
      <c r="K5446" s="3" t="s">
        <v>63</v>
      </c>
      <c r="L5446" s="2" t="s">
        <v>982</v>
      </c>
      <c r="M5446" s="2" t="s">
        <v>9700</v>
      </c>
      <c r="N5446" s="3" t="s">
        <v>945</v>
      </c>
      <c r="P5446" s="3" t="s">
        <v>65</v>
      </c>
      <c r="Q5446" s="2" t="s">
        <v>52152</v>
      </c>
      <c r="R5446" s="3" t="s">
        <v>66</v>
      </c>
      <c r="S5446" s="4">
        <v>3</v>
      </c>
      <c r="T5446" s="4">
        <v>3</v>
      </c>
      <c r="U5446" s="5" t="s">
        <v>1870</v>
      </c>
      <c r="V5446" s="5" t="s">
        <v>1870</v>
      </c>
      <c r="W5446" s="5" t="s">
        <v>67</v>
      </c>
      <c r="X5446" s="5" t="s">
        <v>67</v>
      </c>
      <c r="Y5446" s="4">
        <v>205</v>
      </c>
      <c r="Z5446" s="4">
        <v>18</v>
      </c>
      <c r="AA5446" s="4">
        <v>20</v>
      </c>
      <c r="AB5446" s="4">
        <v>2</v>
      </c>
      <c r="AC5446" s="4">
        <v>4</v>
      </c>
      <c r="AD5446" s="4">
        <v>87</v>
      </c>
      <c r="AE5446" s="4">
        <v>89</v>
      </c>
      <c r="AF5446" s="4">
        <v>1</v>
      </c>
      <c r="AG5446" s="4">
        <v>3</v>
      </c>
      <c r="AH5446" s="4">
        <v>79</v>
      </c>
      <c r="AI5446" s="4">
        <v>80</v>
      </c>
      <c r="AJ5446" s="4">
        <v>14</v>
      </c>
      <c r="AK5446" s="4">
        <v>16</v>
      </c>
      <c r="AL5446" s="4">
        <v>48</v>
      </c>
      <c r="AM5446" s="4">
        <v>48</v>
      </c>
      <c r="AN5446" s="4">
        <v>0</v>
      </c>
      <c r="AO5446" s="4">
        <v>0</v>
      </c>
      <c r="AP5446" s="4">
        <v>16</v>
      </c>
      <c r="AQ5446" s="4">
        <v>18</v>
      </c>
      <c r="AR5446" s="3" t="s">
        <v>62</v>
      </c>
      <c r="AS5446" s="3" t="s">
        <v>62</v>
      </c>
      <c r="AT5446" s="3" t="s">
        <v>62</v>
      </c>
      <c r="AV5446" s="6" t="str">
        <f>HYPERLINK("http://mcgill.on.worldcat.org/oclc/71347527","Catalog Record")</f>
        <v>Catalog Record</v>
      </c>
      <c r="AW5446" s="6" t="str">
        <f>HYPERLINK("http://www.worldcat.org/oclc/71347527","WorldCat Record")</f>
        <v>WorldCat Record</v>
      </c>
      <c r="AX5446" s="3" t="s">
        <v>52153</v>
      </c>
      <c r="AY5446" s="3" t="s">
        <v>52154</v>
      </c>
      <c r="AZ5446" s="3" t="s">
        <v>52155</v>
      </c>
      <c r="BA5446" s="3" t="s">
        <v>52155</v>
      </c>
      <c r="BB5446" s="3" t="s">
        <v>52156</v>
      </c>
      <c r="BC5446" s="3" t="s">
        <v>142</v>
      </c>
      <c r="BD5446" s="3" t="s">
        <v>68</v>
      </c>
      <c r="BE5446" s="3" t="s">
        <v>52157</v>
      </c>
      <c r="BF5446" s="3" t="s">
        <v>52156</v>
      </c>
      <c r="BG5446" s="3" t="s">
        <v>52158</v>
      </c>
    </row>
    <row r="5447" spans="1:59" ht="57" x14ac:dyDescent="0.45">
      <c r="A5447" s="2" t="s">
        <v>59</v>
      </c>
      <c r="B5447" s="2" t="s">
        <v>60</v>
      </c>
      <c r="C5447" s="2" t="s">
        <v>52159</v>
      </c>
      <c r="D5447" s="2" t="s">
        <v>52160</v>
      </c>
      <c r="E5447" s="2" t="s">
        <v>52161</v>
      </c>
      <c r="G5447" s="3" t="s">
        <v>62</v>
      </c>
      <c r="I5447" s="3" t="s">
        <v>62</v>
      </c>
      <c r="J5447" s="3" t="s">
        <v>62</v>
      </c>
      <c r="K5447" s="3" t="s">
        <v>63</v>
      </c>
      <c r="L5447" s="2" t="s">
        <v>52162</v>
      </c>
      <c r="M5447" s="2" t="s">
        <v>52163</v>
      </c>
      <c r="N5447" s="3" t="s">
        <v>894</v>
      </c>
      <c r="P5447" s="3" t="s">
        <v>65</v>
      </c>
      <c r="Q5447" s="2" t="s">
        <v>48946</v>
      </c>
      <c r="R5447" s="3" t="s">
        <v>66</v>
      </c>
      <c r="S5447" s="4">
        <v>2</v>
      </c>
      <c r="T5447" s="4">
        <v>2</v>
      </c>
      <c r="U5447" s="5" t="s">
        <v>25378</v>
      </c>
      <c r="V5447" s="5" t="s">
        <v>25378</v>
      </c>
      <c r="W5447" s="5" t="s">
        <v>67</v>
      </c>
      <c r="X5447" s="5" t="s">
        <v>67</v>
      </c>
      <c r="Y5447" s="4">
        <v>83</v>
      </c>
      <c r="Z5447" s="4">
        <v>13</v>
      </c>
      <c r="AA5447" s="4">
        <v>13</v>
      </c>
      <c r="AB5447" s="4">
        <v>2</v>
      </c>
      <c r="AC5447" s="4">
        <v>2</v>
      </c>
      <c r="AD5447" s="4">
        <v>33</v>
      </c>
      <c r="AE5447" s="4">
        <v>33</v>
      </c>
      <c r="AF5447" s="4">
        <v>1</v>
      </c>
      <c r="AG5447" s="4">
        <v>1</v>
      </c>
      <c r="AH5447" s="4">
        <v>29</v>
      </c>
      <c r="AI5447" s="4">
        <v>29</v>
      </c>
      <c r="AJ5447" s="4">
        <v>10</v>
      </c>
      <c r="AK5447" s="4">
        <v>10</v>
      </c>
      <c r="AL5447" s="4">
        <v>18</v>
      </c>
      <c r="AM5447" s="4">
        <v>18</v>
      </c>
      <c r="AN5447" s="4">
        <v>0</v>
      </c>
      <c r="AO5447" s="4">
        <v>0</v>
      </c>
      <c r="AP5447" s="4">
        <v>11</v>
      </c>
      <c r="AQ5447" s="4">
        <v>11</v>
      </c>
      <c r="AR5447" s="3" t="s">
        <v>62</v>
      </c>
      <c r="AS5447" s="3" t="s">
        <v>62</v>
      </c>
      <c r="AT5447" s="3" t="s">
        <v>62</v>
      </c>
      <c r="AV5447" s="6" t="str">
        <f>HYPERLINK("http://mcgill.on.worldcat.org/oclc/482631680","Catalog Record")</f>
        <v>Catalog Record</v>
      </c>
      <c r="AW5447" s="6" t="str">
        <f>HYPERLINK("http://www.worldcat.org/oclc/482631680","WorldCat Record")</f>
        <v>WorldCat Record</v>
      </c>
      <c r="AX5447" s="3" t="s">
        <v>52164</v>
      </c>
      <c r="AY5447" s="3" t="s">
        <v>52165</v>
      </c>
      <c r="AZ5447" s="3" t="s">
        <v>52166</v>
      </c>
      <c r="BA5447" s="3" t="s">
        <v>52166</v>
      </c>
      <c r="BB5447" s="3" t="s">
        <v>52167</v>
      </c>
      <c r="BC5447" s="3" t="s">
        <v>142</v>
      </c>
      <c r="BD5447" s="3" t="s">
        <v>68</v>
      </c>
      <c r="BE5447" s="3" t="s">
        <v>52168</v>
      </c>
      <c r="BF5447" s="3" t="s">
        <v>52167</v>
      </c>
      <c r="BG5447" s="3" t="s">
        <v>52169</v>
      </c>
    </row>
    <row r="5448" spans="1:59" ht="57" x14ac:dyDescent="0.45">
      <c r="A5448" s="2" t="s">
        <v>59</v>
      </c>
      <c r="B5448" s="2" t="s">
        <v>60</v>
      </c>
      <c r="C5448" s="2" t="s">
        <v>52170</v>
      </c>
      <c r="D5448" s="2" t="s">
        <v>52171</v>
      </c>
      <c r="E5448" s="2" t="s">
        <v>52172</v>
      </c>
      <c r="G5448" s="3" t="s">
        <v>62</v>
      </c>
      <c r="I5448" s="3" t="s">
        <v>62</v>
      </c>
      <c r="J5448" s="3" t="s">
        <v>62</v>
      </c>
      <c r="K5448" s="3" t="s">
        <v>63</v>
      </c>
      <c r="L5448" s="2" t="s">
        <v>52173</v>
      </c>
      <c r="M5448" s="2" t="s">
        <v>52174</v>
      </c>
      <c r="N5448" s="3" t="s">
        <v>1097</v>
      </c>
      <c r="P5448" s="3" t="s">
        <v>65</v>
      </c>
      <c r="R5448" s="3" t="s">
        <v>66</v>
      </c>
      <c r="S5448" s="4">
        <v>4</v>
      </c>
      <c r="T5448" s="4">
        <v>4</v>
      </c>
      <c r="U5448" s="5" t="s">
        <v>31526</v>
      </c>
      <c r="V5448" s="5" t="s">
        <v>31526</v>
      </c>
      <c r="W5448" s="5" t="s">
        <v>67</v>
      </c>
      <c r="X5448" s="5" t="s">
        <v>67</v>
      </c>
      <c r="Y5448" s="4">
        <v>115</v>
      </c>
      <c r="Z5448" s="4">
        <v>11</v>
      </c>
      <c r="AA5448" s="4">
        <v>79</v>
      </c>
      <c r="AB5448" s="4">
        <v>1</v>
      </c>
      <c r="AC5448" s="4">
        <v>14</v>
      </c>
      <c r="AD5448" s="4">
        <v>55</v>
      </c>
      <c r="AE5448" s="4">
        <v>106</v>
      </c>
      <c r="AF5448" s="4">
        <v>0</v>
      </c>
      <c r="AG5448" s="4">
        <v>8</v>
      </c>
      <c r="AH5448" s="4">
        <v>52</v>
      </c>
      <c r="AI5448" s="4">
        <v>74</v>
      </c>
      <c r="AJ5448" s="4">
        <v>9</v>
      </c>
      <c r="AK5448" s="4">
        <v>22</v>
      </c>
      <c r="AL5448" s="4">
        <v>30</v>
      </c>
      <c r="AM5448" s="4">
        <v>39</v>
      </c>
      <c r="AN5448" s="4">
        <v>0</v>
      </c>
      <c r="AO5448" s="4">
        <v>0</v>
      </c>
      <c r="AP5448" s="4">
        <v>9</v>
      </c>
      <c r="AQ5448" s="4">
        <v>42</v>
      </c>
      <c r="AR5448" s="3" t="s">
        <v>62</v>
      </c>
      <c r="AS5448" s="3" t="s">
        <v>62</v>
      </c>
      <c r="AT5448" s="3" t="s">
        <v>62</v>
      </c>
      <c r="AV5448" s="6" t="str">
        <f>HYPERLINK("http://mcgill.on.worldcat.org/oclc/54073770","Catalog Record")</f>
        <v>Catalog Record</v>
      </c>
      <c r="AW5448" s="6" t="str">
        <f>HYPERLINK("http://www.worldcat.org/oclc/54073770","WorldCat Record")</f>
        <v>WorldCat Record</v>
      </c>
      <c r="AX5448" s="3" t="s">
        <v>52175</v>
      </c>
      <c r="AY5448" s="3" t="s">
        <v>52176</v>
      </c>
      <c r="AZ5448" s="3" t="s">
        <v>52177</v>
      </c>
      <c r="BA5448" s="3" t="s">
        <v>52177</v>
      </c>
      <c r="BB5448" s="3" t="s">
        <v>52178</v>
      </c>
      <c r="BC5448" s="3" t="s">
        <v>142</v>
      </c>
      <c r="BD5448" s="3" t="s">
        <v>68</v>
      </c>
      <c r="BE5448" s="3" t="s">
        <v>52179</v>
      </c>
      <c r="BF5448" s="3" t="s">
        <v>52178</v>
      </c>
      <c r="BG5448" s="3" t="s">
        <v>52180</v>
      </c>
    </row>
    <row r="5449" spans="1:59" ht="57" x14ac:dyDescent="0.45">
      <c r="A5449" s="2" t="s">
        <v>59</v>
      </c>
      <c r="B5449" s="2" t="s">
        <v>60</v>
      </c>
      <c r="C5449" s="2" t="s">
        <v>52181</v>
      </c>
      <c r="D5449" s="2" t="s">
        <v>52182</v>
      </c>
      <c r="E5449" s="2" t="s">
        <v>52183</v>
      </c>
      <c r="G5449" s="3" t="s">
        <v>62</v>
      </c>
      <c r="I5449" s="3" t="s">
        <v>62</v>
      </c>
      <c r="J5449" s="3" t="s">
        <v>62</v>
      </c>
      <c r="K5449" s="3" t="s">
        <v>63</v>
      </c>
      <c r="L5449" s="2" t="s">
        <v>52184</v>
      </c>
      <c r="M5449" s="2" t="s">
        <v>52185</v>
      </c>
      <c r="N5449" s="3" t="s">
        <v>1155</v>
      </c>
      <c r="P5449" s="3" t="s">
        <v>65</v>
      </c>
      <c r="Q5449" s="2" t="s">
        <v>52186</v>
      </c>
      <c r="R5449" s="3" t="s">
        <v>66</v>
      </c>
      <c r="S5449" s="4">
        <v>3</v>
      </c>
      <c r="T5449" s="4">
        <v>3</v>
      </c>
      <c r="U5449" s="5" t="s">
        <v>52187</v>
      </c>
      <c r="V5449" s="5" t="s">
        <v>52187</v>
      </c>
      <c r="W5449" s="5" t="s">
        <v>67</v>
      </c>
      <c r="X5449" s="5" t="s">
        <v>67</v>
      </c>
      <c r="Y5449" s="4">
        <v>69</v>
      </c>
      <c r="Z5449" s="4">
        <v>7</v>
      </c>
      <c r="AA5449" s="4">
        <v>17</v>
      </c>
      <c r="AB5449" s="4">
        <v>1</v>
      </c>
      <c r="AC5449" s="4">
        <v>5</v>
      </c>
      <c r="AD5449" s="4">
        <v>39</v>
      </c>
      <c r="AE5449" s="4">
        <v>51</v>
      </c>
      <c r="AF5449" s="4">
        <v>0</v>
      </c>
      <c r="AG5449" s="4">
        <v>1</v>
      </c>
      <c r="AH5449" s="4">
        <v>36</v>
      </c>
      <c r="AI5449" s="4">
        <v>47</v>
      </c>
      <c r="AJ5449" s="4">
        <v>5</v>
      </c>
      <c r="AK5449" s="4">
        <v>11</v>
      </c>
      <c r="AL5449" s="4">
        <v>23</v>
      </c>
      <c r="AM5449" s="4">
        <v>29</v>
      </c>
      <c r="AN5449" s="4">
        <v>0</v>
      </c>
      <c r="AO5449" s="4">
        <v>0</v>
      </c>
      <c r="AP5449" s="4">
        <v>6</v>
      </c>
      <c r="AQ5449" s="4">
        <v>12</v>
      </c>
      <c r="AR5449" s="3" t="s">
        <v>62</v>
      </c>
      <c r="AS5449" s="3" t="s">
        <v>62</v>
      </c>
      <c r="AT5449" s="3" t="s">
        <v>62</v>
      </c>
      <c r="AV5449" s="6" t="str">
        <f>HYPERLINK("http://mcgill.on.worldcat.org/oclc/793224449","Catalog Record")</f>
        <v>Catalog Record</v>
      </c>
      <c r="AW5449" s="6" t="str">
        <f>HYPERLINK("http://www.worldcat.org/oclc/793224449","WorldCat Record")</f>
        <v>WorldCat Record</v>
      </c>
      <c r="AX5449" s="3" t="s">
        <v>52188</v>
      </c>
      <c r="AY5449" s="3" t="s">
        <v>52189</v>
      </c>
      <c r="AZ5449" s="3" t="s">
        <v>52190</v>
      </c>
      <c r="BA5449" s="3" t="s">
        <v>52190</v>
      </c>
      <c r="BB5449" s="3" t="s">
        <v>52191</v>
      </c>
      <c r="BC5449" s="3" t="s">
        <v>142</v>
      </c>
      <c r="BD5449" s="3" t="s">
        <v>68</v>
      </c>
      <c r="BE5449" s="3" t="s">
        <v>52192</v>
      </c>
      <c r="BF5449" s="3" t="s">
        <v>52191</v>
      </c>
      <c r="BG5449" s="3" t="s">
        <v>52193</v>
      </c>
    </row>
    <row r="5450" spans="1:59" ht="57" x14ac:dyDescent="0.45">
      <c r="A5450" s="2" t="s">
        <v>59</v>
      </c>
      <c r="B5450" s="2" t="s">
        <v>60</v>
      </c>
      <c r="C5450" s="2" t="s">
        <v>52194</v>
      </c>
      <c r="D5450" s="2" t="s">
        <v>52195</v>
      </c>
      <c r="E5450" s="2" t="s">
        <v>52196</v>
      </c>
      <c r="G5450" s="3" t="s">
        <v>62</v>
      </c>
      <c r="I5450" s="3" t="s">
        <v>62</v>
      </c>
      <c r="J5450" s="3" t="s">
        <v>62</v>
      </c>
      <c r="K5450" s="3" t="s">
        <v>63</v>
      </c>
      <c r="L5450" s="2" t="s">
        <v>52197</v>
      </c>
      <c r="M5450" s="2" t="s">
        <v>52198</v>
      </c>
      <c r="N5450" s="3" t="s">
        <v>1688</v>
      </c>
      <c r="P5450" s="3" t="s">
        <v>65</v>
      </c>
      <c r="Q5450" s="2" t="s">
        <v>52199</v>
      </c>
      <c r="R5450" s="3" t="s">
        <v>66</v>
      </c>
      <c r="S5450" s="4">
        <v>0</v>
      </c>
      <c r="T5450" s="4">
        <v>0</v>
      </c>
      <c r="W5450" s="5" t="s">
        <v>67</v>
      </c>
      <c r="X5450" s="5" t="s">
        <v>67</v>
      </c>
      <c r="Y5450" s="4">
        <v>22</v>
      </c>
      <c r="Z5450" s="4">
        <v>3</v>
      </c>
      <c r="AA5450" s="4">
        <v>4</v>
      </c>
      <c r="AB5450" s="4">
        <v>1</v>
      </c>
      <c r="AC5450" s="4">
        <v>1</v>
      </c>
      <c r="AD5450" s="4">
        <v>16</v>
      </c>
      <c r="AE5450" s="4">
        <v>17</v>
      </c>
      <c r="AF5450" s="4">
        <v>0</v>
      </c>
      <c r="AG5450" s="4">
        <v>0</v>
      </c>
      <c r="AH5450" s="4">
        <v>14</v>
      </c>
      <c r="AI5450" s="4">
        <v>15</v>
      </c>
      <c r="AJ5450" s="4">
        <v>2</v>
      </c>
      <c r="AK5450" s="4">
        <v>3</v>
      </c>
      <c r="AL5450" s="4">
        <v>13</v>
      </c>
      <c r="AM5450" s="4">
        <v>13</v>
      </c>
      <c r="AN5450" s="4">
        <v>0</v>
      </c>
      <c r="AO5450" s="4">
        <v>0</v>
      </c>
      <c r="AP5450" s="4">
        <v>2</v>
      </c>
      <c r="AQ5450" s="4">
        <v>3</v>
      </c>
      <c r="AR5450" s="3" t="s">
        <v>62</v>
      </c>
      <c r="AS5450" s="3" t="s">
        <v>62</v>
      </c>
      <c r="AT5450" s="3" t="s">
        <v>62</v>
      </c>
      <c r="AV5450" s="6" t="str">
        <f>HYPERLINK("http://mcgill.on.worldcat.org/oclc/919112686","Catalog Record")</f>
        <v>Catalog Record</v>
      </c>
      <c r="AW5450" s="6" t="str">
        <f>HYPERLINK("http://www.worldcat.org/oclc/919112686","WorldCat Record")</f>
        <v>WorldCat Record</v>
      </c>
      <c r="AX5450" s="3" t="s">
        <v>52200</v>
      </c>
      <c r="AY5450" s="3" t="s">
        <v>52201</v>
      </c>
      <c r="AZ5450" s="3" t="s">
        <v>52202</v>
      </c>
      <c r="BA5450" s="3" t="s">
        <v>52202</v>
      </c>
      <c r="BB5450" s="3" t="s">
        <v>52203</v>
      </c>
      <c r="BC5450" s="3" t="s">
        <v>142</v>
      </c>
      <c r="BD5450" s="3" t="s">
        <v>68</v>
      </c>
      <c r="BF5450" s="3" t="s">
        <v>52203</v>
      </c>
      <c r="BG5450" s="3" t="s">
        <v>52204</v>
      </c>
    </row>
    <row r="5451" spans="1:59" ht="57" x14ac:dyDescent="0.45">
      <c r="A5451" s="2" t="s">
        <v>59</v>
      </c>
      <c r="B5451" s="2" t="s">
        <v>60</v>
      </c>
      <c r="C5451" s="2" t="s">
        <v>52205</v>
      </c>
      <c r="D5451" s="2" t="s">
        <v>52206</v>
      </c>
      <c r="E5451" s="2" t="s">
        <v>52207</v>
      </c>
      <c r="G5451" s="3" t="s">
        <v>62</v>
      </c>
      <c r="I5451" s="3" t="s">
        <v>62</v>
      </c>
      <c r="J5451" s="3" t="s">
        <v>62</v>
      </c>
      <c r="K5451" s="3" t="s">
        <v>63</v>
      </c>
      <c r="M5451" s="2" t="s">
        <v>52208</v>
      </c>
      <c r="N5451" s="3" t="s">
        <v>894</v>
      </c>
      <c r="P5451" s="3" t="s">
        <v>65</v>
      </c>
      <c r="R5451" s="3" t="s">
        <v>66</v>
      </c>
      <c r="S5451" s="4">
        <v>2</v>
      </c>
      <c r="T5451" s="4">
        <v>2</v>
      </c>
      <c r="U5451" s="5" t="s">
        <v>41777</v>
      </c>
      <c r="V5451" s="5" t="s">
        <v>41777</v>
      </c>
      <c r="W5451" s="5" t="s">
        <v>67</v>
      </c>
      <c r="X5451" s="5" t="s">
        <v>67</v>
      </c>
      <c r="Y5451" s="4">
        <v>94</v>
      </c>
      <c r="Z5451" s="4">
        <v>11</v>
      </c>
      <c r="AA5451" s="4">
        <v>22</v>
      </c>
      <c r="AB5451" s="4">
        <v>1</v>
      </c>
      <c r="AC5451" s="4">
        <v>9</v>
      </c>
      <c r="AD5451" s="4">
        <v>49</v>
      </c>
      <c r="AE5451" s="4">
        <v>65</v>
      </c>
      <c r="AF5451" s="4">
        <v>0</v>
      </c>
      <c r="AG5451" s="4">
        <v>4</v>
      </c>
      <c r="AH5451" s="4">
        <v>45</v>
      </c>
      <c r="AI5451" s="4">
        <v>57</v>
      </c>
      <c r="AJ5451" s="4">
        <v>9</v>
      </c>
      <c r="AK5451" s="4">
        <v>14</v>
      </c>
      <c r="AL5451" s="4">
        <v>27</v>
      </c>
      <c r="AM5451" s="4">
        <v>33</v>
      </c>
      <c r="AN5451" s="4">
        <v>0</v>
      </c>
      <c r="AO5451" s="4">
        <v>0</v>
      </c>
      <c r="AP5451" s="4">
        <v>10</v>
      </c>
      <c r="AQ5451" s="4">
        <v>15</v>
      </c>
      <c r="AR5451" s="3" t="s">
        <v>62</v>
      </c>
      <c r="AS5451" s="3" t="s">
        <v>62</v>
      </c>
      <c r="AT5451" s="3" t="s">
        <v>62</v>
      </c>
      <c r="AV5451" s="6" t="str">
        <f>HYPERLINK("http://mcgill.on.worldcat.org/oclc/702357923","Catalog Record")</f>
        <v>Catalog Record</v>
      </c>
      <c r="AW5451" s="6" t="str">
        <f>HYPERLINK("http://www.worldcat.org/oclc/702357923","WorldCat Record")</f>
        <v>WorldCat Record</v>
      </c>
      <c r="AX5451" s="3" t="s">
        <v>52209</v>
      </c>
      <c r="AY5451" s="3" t="s">
        <v>52210</v>
      </c>
      <c r="AZ5451" s="3" t="s">
        <v>52211</v>
      </c>
      <c r="BA5451" s="3" t="s">
        <v>52211</v>
      </c>
      <c r="BB5451" s="3" t="s">
        <v>52212</v>
      </c>
      <c r="BC5451" s="3" t="s">
        <v>142</v>
      </c>
      <c r="BD5451" s="3" t="s">
        <v>68</v>
      </c>
      <c r="BE5451" s="3" t="s">
        <v>52213</v>
      </c>
      <c r="BF5451" s="3" t="s">
        <v>52212</v>
      </c>
      <c r="BG5451" s="3" t="s">
        <v>52214</v>
      </c>
    </row>
    <row r="5452" spans="1:59" ht="57" x14ac:dyDescent="0.45">
      <c r="A5452" s="2" t="s">
        <v>59</v>
      </c>
      <c r="B5452" s="2" t="s">
        <v>60</v>
      </c>
      <c r="C5452" s="2" t="s">
        <v>52215</v>
      </c>
      <c r="D5452" s="2" t="s">
        <v>52216</v>
      </c>
      <c r="E5452" s="2" t="s">
        <v>52217</v>
      </c>
      <c r="G5452" s="3" t="s">
        <v>62</v>
      </c>
      <c r="I5452" s="3" t="s">
        <v>62</v>
      </c>
      <c r="J5452" s="3" t="s">
        <v>62</v>
      </c>
      <c r="K5452" s="3" t="s">
        <v>63</v>
      </c>
      <c r="M5452" s="2" t="s">
        <v>541</v>
      </c>
      <c r="N5452" s="3" t="s">
        <v>1212</v>
      </c>
      <c r="P5452" s="3" t="s">
        <v>65</v>
      </c>
      <c r="Q5452" s="2" t="s">
        <v>52218</v>
      </c>
      <c r="R5452" s="3" t="s">
        <v>66</v>
      </c>
      <c r="S5452" s="4">
        <v>14</v>
      </c>
      <c r="T5452" s="4">
        <v>14</v>
      </c>
      <c r="U5452" s="5" t="s">
        <v>34052</v>
      </c>
      <c r="V5452" s="5" t="s">
        <v>34052</v>
      </c>
      <c r="W5452" s="5" t="s">
        <v>67</v>
      </c>
      <c r="X5452" s="5" t="s">
        <v>67</v>
      </c>
      <c r="Y5452" s="4">
        <v>166</v>
      </c>
      <c r="Z5452" s="4">
        <v>10</v>
      </c>
      <c r="AA5452" s="4">
        <v>12</v>
      </c>
      <c r="AB5452" s="4">
        <v>2</v>
      </c>
      <c r="AC5452" s="4">
        <v>4</v>
      </c>
      <c r="AD5452" s="4">
        <v>80</v>
      </c>
      <c r="AE5452" s="4">
        <v>82</v>
      </c>
      <c r="AF5452" s="4">
        <v>1</v>
      </c>
      <c r="AG5452" s="4">
        <v>3</v>
      </c>
      <c r="AH5452" s="4">
        <v>75</v>
      </c>
      <c r="AI5452" s="4">
        <v>76</v>
      </c>
      <c r="AJ5452" s="4">
        <v>8</v>
      </c>
      <c r="AK5452" s="4">
        <v>10</v>
      </c>
      <c r="AL5452" s="4">
        <v>45</v>
      </c>
      <c r="AM5452" s="4">
        <v>45</v>
      </c>
      <c r="AN5452" s="4">
        <v>0</v>
      </c>
      <c r="AO5452" s="4">
        <v>0</v>
      </c>
      <c r="AP5452" s="4">
        <v>8</v>
      </c>
      <c r="AQ5452" s="4">
        <v>10</v>
      </c>
      <c r="AR5452" s="3" t="s">
        <v>62</v>
      </c>
      <c r="AS5452" s="3" t="s">
        <v>62</v>
      </c>
      <c r="AT5452" s="3" t="s">
        <v>62</v>
      </c>
      <c r="AV5452" s="6" t="str">
        <f>HYPERLINK("http://mcgill.on.worldcat.org/oclc/44425521","Catalog Record")</f>
        <v>Catalog Record</v>
      </c>
      <c r="AW5452" s="6" t="str">
        <f>HYPERLINK("http://www.worldcat.org/oclc/44425521","WorldCat Record")</f>
        <v>WorldCat Record</v>
      </c>
      <c r="AX5452" s="3" t="s">
        <v>52219</v>
      </c>
      <c r="AY5452" s="3" t="s">
        <v>52220</v>
      </c>
      <c r="AZ5452" s="3" t="s">
        <v>52221</v>
      </c>
      <c r="BA5452" s="3" t="s">
        <v>52221</v>
      </c>
      <c r="BB5452" s="3" t="s">
        <v>52222</v>
      </c>
      <c r="BC5452" s="3" t="s">
        <v>142</v>
      </c>
      <c r="BD5452" s="3" t="s">
        <v>68</v>
      </c>
      <c r="BE5452" s="3" t="s">
        <v>52223</v>
      </c>
      <c r="BF5452" s="3" t="s">
        <v>52222</v>
      </c>
      <c r="BG5452" s="3" t="s">
        <v>52224</v>
      </c>
    </row>
    <row r="5453" spans="1:59" ht="57" x14ac:dyDescent="0.45">
      <c r="A5453" s="2" t="s">
        <v>59</v>
      </c>
      <c r="B5453" s="2" t="s">
        <v>60</v>
      </c>
      <c r="C5453" s="2" t="s">
        <v>52225</v>
      </c>
      <c r="D5453" s="2" t="s">
        <v>52226</v>
      </c>
      <c r="E5453" s="2" t="s">
        <v>52227</v>
      </c>
      <c r="G5453" s="3" t="s">
        <v>62</v>
      </c>
      <c r="I5453" s="3" t="s">
        <v>62</v>
      </c>
      <c r="J5453" s="3" t="s">
        <v>62</v>
      </c>
      <c r="K5453" s="3" t="s">
        <v>63</v>
      </c>
      <c r="M5453" s="2" t="s">
        <v>6056</v>
      </c>
      <c r="N5453" s="3" t="s">
        <v>945</v>
      </c>
      <c r="P5453" s="3" t="s">
        <v>65</v>
      </c>
      <c r="Q5453" s="2" t="s">
        <v>52228</v>
      </c>
      <c r="R5453" s="3" t="s">
        <v>66</v>
      </c>
      <c r="S5453" s="4">
        <v>2</v>
      </c>
      <c r="T5453" s="4">
        <v>2</v>
      </c>
      <c r="U5453" s="5" t="s">
        <v>12780</v>
      </c>
      <c r="V5453" s="5" t="s">
        <v>12780</v>
      </c>
      <c r="W5453" s="5" t="s">
        <v>67</v>
      </c>
      <c r="X5453" s="5" t="s">
        <v>67</v>
      </c>
      <c r="Y5453" s="4">
        <v>66</v>
      </c>
      <c r="Z5453" s="4">
        <v>9</v>
      </c>
      <c r="AA5453" s="4">
        <v>97</v>
      </c>
      <c r="AB5453" s="4">
        <v>1</v>
      </c>
      <c r="AC5453" s="4">
        <v>17</v>
      </c>
      <c r="AD5453" s="4">
        <v>29</v>
      </c>
      <c r="AE5453" s="4">
        <v>105</v>
      </c>
      <c r="AF5453" s="4">
        <v>0</v>
      </c>
      <c r="AG5453" s="4">
        <v>8</v>
      </c>
      <c r="AH5453" s="4">
        <v>25</v>
      </c>
      <c r="AI5453" s="4">
        <v>69</v>
      </c>
      <c r="AJ5453" s="4">
        <v>6</v>
      </c>
      <c r="AK5453" s="4">
        <v>22</v>
      </c>
      <c r="AL5453" s="4">
        <v>19</v>
      </c>
      <c r="AM5453" s="4">
        <v>34</v>
      </c>
      <c r="AN5453" s="4">
        <v>0</v>
      </c>
      <c r="AO5453" s="4">
        <v>0</v>
      </c>
      <c r="AP5453" s="4">
        <v>7</v>
      </c>
      <c r="AQ5453" s="4">
        <v>43</v>
      </c>
      <c r="AR5453" s="3" t="s">
        <v>62</v>
      </c>
      <c r="AS5453" s="3" t="s">
        <v>62</v>
      </c>
      <c r="AT5453" s="3" t="s">
        <v>62</v>
      </c>
      <c r="AV5453" s="6" t="str">
        <f>HYPERLINK("http://mcgill.on.worldcat.org/oclc/74492265","Catalog Record")</f>
        <v>Catalog Record</v>
      </c>
      <c r="AW5453" s="6" t="str">
        <f>HYPERLINK("http://www.worldcat.org/oclc/74492265","WorldCat Record")</f>
        <v>WorldCat Record</v>
      </c>
      <c r="AX5453" s="3" t="s">
        <v>52229</v>
      </c>
      <c r="AY5453" s="3" t="s">
        <v>52230</v>
      </c>
      <c r="AZ5453" s="3" t="s">
        <v>52231</v>
      </c>
      <c r="BA5453" s="3" t="s">
        <v>52231</v>
      </c>
      <c r="BB5453" s="3" t="s">
        <v>52232</v>
      </c>
      <c r="BC5453" s="3" t="s">
        <v>142</v>
      </c>
      <c r="BD5453" s="3" t="s">
        <v>68</v>
      </c>
      <c r="BE5453" s="3" t="s">
        <v>52233</v>
      </c>
      <c r="BF5453" s="3" t="s">
        <v>52232</v>
      </c>
      <c r="BG5453" s="3" t="s">
        <v>52234</v>
      </c>
    </row>
    <row r="5454" spans="1:59" ht="57" x14ac:dyDescent="0.45">
      <c r="A5454" s="2" t="s">
        <v>59</v>
      </c>
      <c r="B5454" s="2" t="s">
        <v>60</v>
      </c>
      <c r="C5454" s="2" t="s">
        <v>52235</v>
      </c>
      <c r="D5454" s="2" t="s">
        <v>52236</v>
      </c>
      <c r="E5454" s="2" t="s">
        <v>52237</v>
      </c>
      <c r="F5454" s="3" t="s">
        <v>87</v>
      </c>
      <c r="G5454" s="3" t="s">
        <v>61</v>
      </c>
      <c r="I5454" s="3" t="s">
        <v>61</v>
      </c>
      <c r="J5454" s="3" t="s">
        <v>62</v>
      </c>
      <c r="K5454" s="3" t="s">
        <v>63</v>
      </c>
      <c r="L5454" s="2" t="s">
        <v>46488</v>
      </c>
      <c r="M5454" s="2" t="s">
        <v>52238</v>
      </c>
      <c r="N5454" s="3" t="s">
        <v>568</v>
      </c>
      <c r="P5454" s="3" t="s">
        <v>65</v>
      </c>
      <c r="Q5454" s="2" t="s">
        <v>52239</v>
      </c>
      <c r="R5454" s="3" t="s">
        <v>66</v>
      </c>
      <c r="S5454" s="4">
        <v>4</v>
      </c>
      <c r="T5454" s="4">
        <v>4</v>
      </c>
      <c r="U5454" s="5" t="s">
        <v>52028</v>
      </c>
      <c r="V5454" s="5" t="s">
        <v>52028</v>
      </c>
      <c r="W5454" s="5" t="s">
        <v>67</v>
      </c>
      <c r="X5454" s="5" t="s">
        <v>67</v>
      </c>
      <c r="Y5454" s="4">
        <v>225</v>
      </c>
      <c r="Z5454" s="4">
        <v>12</v>
      </c>
      <c r="AA5454" s="4">
        <v>23</v>
      </c>
      <c r="AB5454" s="4">
        <v>1</v>
      </c>
      <c r="AC5454" s="4">
        <v>5</v>
      </c>
      <c r="AD5454" s="4">
        <v>82</v>
      </c>
      <c r="AE5454" s="4">
        <v>94</v>
      </c>
      <c r="AF5454" s="4">
        <v>0</v>
      </c>
      <c r="AG5454" s="4">
        <v>3</v>
      </c>
      <c r="AH5454" s="4">
        <v>75</v>
      </c>
      <c r="AI5454" s="4">
        <v>84</v>
      </c>
      <c r="AJ5454" s="4">
        <v>10</v>
      </c>
      <c r="AK5454" s="4">
        <v>19</v>
      </c>
      <c r="AL5454" s="4">
        <v>44</v>
      </c>
      <c r="AM5454" s="4">
        <v>46</v>
      </c>
      <c r="AN5454" s="4">
        <v>0</v>
      </c>
      <c r="AO5454" s="4">
        <v>0</v>
      </c>
      <c r="AP5454" s="4">
        <v>10</v>
      </c>
      <c r="AQ5454" s="4">
        <v>18</v>
      </c>
      <c r="AR5454" s="3" t="s">
        <v>62</v>
      </c>
      <c r="AS5454" s="3" t="s">
        <v>62</v>
      </c>
      <c r="AT5454" s="3" t="s">
        <v>62</v>
      </c>
      <c r="AV5454" s="6" t="str">
        <f>HYPERLINK("http://mcgill.on.worldcat.org/oclc/16469380","Catalog Record")</f>
        <v>Catalog Record</v>
      </c>
      <c r="AW5454" s="6" t="str">
        <f>HYPERLINK("http://www.worldcat.org/oclc/16469380","WorldCat Record")</f>
        <v>WorldCat Record</v>
      </c>
      <c r="AX5454" s="3" t="s">
        <v>52240</v>
      </c>
      <c r="AY5454" s="3" t="s">
        <v>52241</v>
      </c>
      <c r="AZ5454" s="3" t="s">
        <v>52242</v>
      </c>
      <c r="BA5454" s="3" t="s">
        <v>52242</v>
      </c>
      <c r="BB5454" s="3" t="s">
        <v>52243</v>
      </c>
      <c r="BC5454" s="3" t="s">
        <v>142</v>
      </c>
      <c r="BD5454" s="3" t="s">
        <v>68</v>
      </c>
      <c r="BE5454" s="3" t="s">
        <v>52244</v>
      </c>
      <c r="BF5454" s="3" t="s">
        <v>52243</v>
      </c>
      <c r="BG5454" s="3" t="s">
        <v>52245</v>
      </c>
    </row>
    <row r="5455" spans="1:59" ht="57" x14ac:dyDescent="0.45">
      <c r="A5455" s="2" t="s">
        <v>59</v>
      </c>
      <c r="B5455" s="2" t="s">
        <v>60</v>
      </c>
      <c r="C5455" s="2" t="s">
        <v>52235</v>
      </c>
      <c r="D5455" s="2" t="s">
        <v>52236</v>
      </c>
      <c r="E5455" s="2" t="s">
        <v>52237</v>
      </c>
      <c r="F5455" s="3" t="s">
        <v>87</v>
      </c>
      <c r="G5455" s="3" t="s">
        <v>61</v>
      </c>
      <c r="I5455" s="3" t="s">
        <v>61</v>
      </c>
      <c r="J5455" s="3" t="s">
        <v>62</v>
      </c>
      <c r="K5455" s="3" t="s">
        <v>63</v>
      </c>
      <c r="L5455" s="2" t="s">
        <v>46488</v>
      </c>
      <c r="M5455" s="2" t="s">
        <v>52238</v>
      </c>
      <c r="N5455" s="3" t="s">
        <v>568</v>
      </c>
      <c r="P5455" s="3" t="s">
        <v>65</v>
      </c>
      <c r="Q5455" s="2" t="s">
        <v>52239</v>
      </c>
      <c r="R5455" s="3" t="s">
        <v>66</v>
      </c>
      <c r="S5455" s="4">
        <v>0</v>
      </c>
      <c r="T5455" s="4">
        <v>4</v>
      </c>
      <c r="V5455" s="5" t="s">
        <v>52028</v>
      </c>
      <c r="W5455" s="5" t="s">
        <v>67</v>
      </c>
      <c r="X5455" s="5" t="s">
        <v>67</v>
      </c>
      <c r="Y5455" s="4">
        <v>225</v>
      </c>
      <c r="Z5455" s="4">
        <v>12</v>
      </c>
      <c r="AA5455" s="4">
        <v>23</v>
      </c>
      <c r="AB5455" s="4">
        <v>1</v>
      </c>
      <c r="AC5455" s="4">
        <v>5</v>
      </c>
      <c r="AD5455" s="4">
        <v>82</v>
      </c>
      <c r="AE5455" s="4">
        <v>94</v>
      </c>
      <c r="AF5455" s="4">
        <v>0</v>
      </c>
      <c r="AG5455" s="4">
        <v>3</v>
      </c>
      <c r="AH5455" s="4">
        <v>75</v>
      </c>
      <c r="AI5455" s="4">
        <v>84</v>
      </c>
      <c r="AJ5455" s="4">
        <v>10</v>
      </c>
      <c r="AK5455" s="4">
        <v>19</v>
      </c>
      <c r="AL5455" s="4">
        <v>44</v>
      </c>
      <c r="AM5455" s="4">
        <v>46</v>
      </c>
      <c r="AN5455" s="4">
        <v>0</v>
      </c>
      <c r="AO5455" s="4">
        <v>0</v>
      </c>
      <c r="AP5455" s="4">
        <v>10</v>
      </c>
      <c r="AQ5455" s="4">
        <v>18</v>
      </c>
      <c r="AR5455" s="3" t="s">
        <v>62</v>
      </c>
      <c r="AS5455" s="3" t="s">
        <v>62</v>
      </c>
      <c r="AT5455" s="3" t="s">
        <v>62</v>
      </c>
      <c r="AV5455" s="6" t="str">
        <f>HYPERLINK("http://mcgill.on.worldcat.org/oclc/16469380","Catalog Record")</f>
        <v>Catalog Record</v>
      </c>
      <c r="AW5455" s="6" t="str">
        <f>HYPERLINK("http://www.worldcat.org/oclc/16469380","WorldCat Record")</f>
        <v>WorldCat Record</v>
      </c>
      <c r="AX5455" s="3" t="s">
        <v>52240</v>
      </c>
      <c r="AY5455" s="3" t="s">
        <v>52241</v>
      </c>
      <c r="AZ5455" s="3" t="s">
        <v>52242</v>
      </c>
      <c r="BA5455" s="3" t="s">
        <v>52242</v>
      </c>
      <c r="BB5455" s="3" t="s">
        <v>52246</v>
      </c>
      <c r="BC5455" s="3" t="s">
        <v>142</v>
      </c>
      <c r="BD5455" s="3" t="s">
        <v>68</v>
      </c>
      <c r="BE5455" s="3" t="s">
        <v>52244</v>
      </c>
      <c r="BF5455" s="3" t="s">
        <v>52246</v>
      </c>
      <c r="BG5455" s="3" t="s">
        <v>52247</v>
      </c>
    </row>
    <row r="5456" spans="1:59" ht="57" x14ac:dyDescent="0.45">
      <c r="A5456" s="2" t="s">
        <v>59</v>
      </c>
      <c r="B5456" s="2" t="s">
        <v>60</v>
      </c>
      <c r="C5456" s="2" t="s">
        <v>52248</v>
      </c>
      <c r="D5456" s="2" t="s">
        <v>52249</v>
      </c>
      <c r="E5456" s="2" t="s">
        <v>52250</v>
      </c>
      <c r="G5456" s="3" t="s">
        <v>62</v>
      </c>
      <c r="I5456" s="3" t="s">
        <v>62</v>
      </c>
      <c r="J5456" s="3" t="s">
        <v>61</v>
      </c>
      <c r="K5456" s="3" t="s">
        <v>63</v>
      </c>
      <c r="L5456" s="2" t="s">
        <v>52251</v>
      </c>
      <c r="M5456" s="2" t="s">
        <v>3350</v>
      </c>
      <c r="N5456" s="3" t="s">
        <v>894</v>
      </c>
      <c r="O5456" s="2" t="s">
        <v>933</v>
      </c>
      <c r="P5456" s="3" t="s">
        <v>65</v>
      </c>
      <c r="Q5456" s="2" t="s">
        <v>29789</v>
      </c>
      <c r="R5456" s="3" t="s">
        <v>66</v>
      </c>
      <c r="S5456" s="4">
        <v>3</v>
      </c>
      <c r="T5456" s="4">
        <v>3</v>
      </c>
      <c r="U5456" s="5" t="s">
        <v>21380</v>
      </c>
      <c r="V5456" s="5" t="s">
        <v>21380</v>
      </c>
      <c r="W5456" s="5" t="s">
        <v>67</v>
      </c>
      <c r="X5456" s="5" t="s">
        <v>67</v>
      </c>
      <c r="Y5456" s="4">
        <v>71</v>
      </c>
      <c r="Z5456" s="4">
        <v>7</v>
      </c>
      <c r="AA5456" s="4">
        <v>19</v>
      </c>
      <c r="AB5456" s="4">
        <v>1</v>
      </c>
      <c r="AC5456" s="4">
        <v>5</v>
      </c>
      <c r="AD5456" s="4">
        <v>21</v>
      </c>
      <c r="AE5456" s="4">
        <v>68</v>
      </c>
      <c r="AF5456" s="4">
        <v>0</v>
      </c>
      <c r="AG5456" s="4">
        <v>0</v>
      </c>
      <c r="AH5456" s="4">
        <v>20</v>
      </c>
      <c r="AI5456" s="4">
        <v>63</v>
      </c>
      <c r="AJ5456" s="4">
        <v>5</v>
      </c>
      <c r="AK5456" s="4">
        <v>12</v>
      </c>
      <c r="AL5456" s="4">
        <v>10</v>
      </c>
      <c r="AM5456" s="4">
        <v>37</v>
      </c>
      <c r="AN5456" s="4">
        <v>0</v>
      </c>
      <c r="AO5456" s="4">
        <v>0</v>
      </c>
      <c r="AP5456" s="4">
        <v>5</v>
      </c>
      <c r="AQ5456" s="4">
        <v>13</v>
      </c>
      <c r="AR5456" s="3" t="s">
        <v>62</v>
      </c>
      <c r="AS5456" s="3" t="s">
        <v>62</v>
      </c>
      <c r="AT5456" s="3" t="s">
        <v>62</v>
      </c>
      <c r="AV5456" s="6" t="str">
        <f>HYPERLINK("http://mcgill.on.worldcat.org/oclc/723142545","Catalog Record")</f>
        <v>Catalog Record</v>
      </c>
      <c r="AW5456" s="6" t="str">
        <f>HYPERLINK("http://www.worldcat.org/oclc/723142545","WorldCat Record")</f>
        <v>WorldCat Record</v>
      </c>
      <c r="AX5456" s="3" t="s">
        <v>52252</v>
      </c>
      <c r="AY5456" s="3" t="s">
        <v>52253</v>
      </c>
      <c r="AZ5456" s="3" t="s">
        <v>52254</v>
      </c>
      <c r="BA5456" s="3" t="s">
        <v>52254</v>
      </c>
      <c r="BB5456" s="3" t="s">
        <v>52255</v>
      </c>
      <c r="BC5456" s="3" t="s">
        <v>142</v>
      </c>
      <c r="BD5456" s="3" t="s">
        <v>68</v>
      </c>
      <c r="BE5456" s="3" t="s">
        <v>52256</v>
      </c>
      <c r="BF5456" s="3" t="s">
        <v>52255</v>
      </c>
      <c r="BG5456" s="3" t="s">
        <v>52257</v>
      </c>
    </row>
    <row r="5457" spans="1:59" ht="57" x14ac:dyDescent="0.45">
      <c r="A5457" s="2" t="s">
        <v>59</v>
      </c>
      <c r="B5457" s="2" t="s">
        <v>60</v>
      </c>
      <c r="C5457" s="2" t="s">
        <v>52258</v>
      </c>
      <c r="D5457" s="2" t="s">
        <v>52259</v>
      </c>
      <c r="E5457" s="2" t="s">
        <v>52260</v>
      </c>
      <c r="G5457" s="3" t="s">
        <v>62</v>
      </c>
      <c r="I5457" s="3" t="s">
        <v>62</v>
      </c>
      <c r="J5457" s="3" t="s">
        <v>62</v>
      </c>
      <c r="K5457" s="3" t="s">
        <v>63</v>
      </c>
      <c r="L5457" s="2" t="s">
        <v>52261</v>
      </c>
      <c r="M5457" s="2" t="s">
        <v>21778</v>
      </c>
      <c r="N5457" s="3" t="s">
        <v>149</v>
      </c>
      <c r="P5457" s="3" t="s">
        <v>65</v>
      </c>
      <c r="R5457" s="3" t="s">
        <v>66</v>
      </c>
      <c r="S5457" s="4">
        <v>0</v>
      </c>
      <c r="T5457" s="4">
        <v>0</v>
      </c>
      <c r="W5457" s="5" t="s">
        <v>67</v>
      </c>
      <c r="X5457" s="5" t="s">
        <v>67</v>
      </c>
      <c r="Y5457" s="4">
        <v>126</v>
      </c>
      <c r="Z5457" s="4">
        <v>15</v>
      </c>
      <c r="AA5457" s="4">
        <v>93</v>
      </c>
      <c r="AB5457" s="4">
        <v>1</v>
      </c>
      <c r="AC5457" s="4">
        <v>17</v>
      </c>
      <c r="AD5457" s="4">
        <v>61</v>
      </c>
      <c r="AE5457" s="4">
        <v>125</v>
      </c>
      <c r="AF5457" s="4">
        <v>0</v>
      </c>
      <c r="AG5457" s="4">
        <v>8</v>
      </c>
      <c r="AH5457" s="4">
        <v>57</v>
      </c>
      <c r="AI5457" s="4">
        <v>88</v>
      </c>
      <c r="AJ5457" s="4">
        <v>12</v>
      </c>
      <c r="AK5457" s="4">
        <v>25</v>
      </c>
      <c r="AL5457" s="4">
        <v>33</v>
      </c>
      <c r="AM5457" s="4">
        <v>46</v>
      </c>
      <c r="AN5457" s="4">
        <v>0</v>
      </c>
      <c r="AO5457" s="4">
        <v>0</v>
      </c>
      <c r="AP5457" s="4">
        <v>12</v>
      </c>
      <c r="AQ5457" s="4">
        <v>46</v>
      </c>
      <c r="AR5457" s="3" t="s">
        <v>62</v>
      </c>
      <c r="AS5457" s="3" t="s">
        <v>62</v>
      </c>
      <c r="AT5457" s="3" t="s">
        <v>62</v>
      </c>
      <c r="AV5457" s="6" t="str">
        <f>HYPERLINK("http://mcgill.on.worldcat.org/oclc/607656814","Catalog Record")</f>
        <v>Catalog Record</v>
      </c>
      <c r="AW5457" s="6" t="str">
        <f>HYPERLINK("http://www.worldcat.org/oclc/607656814","WorldCat Record")</f>
        <v>WorldCat Record</v>
      </c>
      <c r="AX5457" s="3" t="s">
        <v>52262</v>
      </c>
      <c r="AY5457" s="3" t="s">
        <v>52263</v>
      </c>
      <c r="AZ5457" s="3" t="s">
        <v>52264</v>
      </c>
      <c r="BA5457" s="3" t="s">
        <v>52264</v>
      </c>
      <c r="BB5457" s="3" t="s">
        <v>52265</v>
      </c>
      <c r="BC5457" s="3" t="s">
        <v>142</v>
      </c>
      <c r="BD5457" s="3" t="s">
        <v>68</v>
      </c>
      <c r="BE5457" s="3" t="s">
        <v>52266</v>
      </c>
      <c r="BF5457" s="3" t="s">
        <v>52265</v>
      </c>
      <c r="BG5457" s="3" t="s">
        <v>52267</v>
      </c>
    </row>
    <row r="5458" spans="1:59" ht="57" x14ac:dyDescent="0.45">
      <c r="A5458" s="2" t="s">
        <v>59</v>
      </c>
      <c r="B5458" s="2" t="s">
        <v>60</v>
      </c>
      <c r="C5458" s="2" t="s">
        <v>52268</v>
      </c>
      <c r="D5458" s="2" t="s">
        <v>52269</v>
      </c>
      <c r="E5458" s="2" t="s">
        <v>52270</v>
      </c>
      <c r="G5458" s="3" t="s">
        <v>62</v>
      </c>
      <c r="I5458" s="3" t="s">
        <v>62</v>
      </c>
      <c r="J5458" s="3" t="s">
        <v>62</v>
      </c>
      <c r="K5458" s="3" t="s">
        <v>63</v>
      </c>
      <c r="L5458" s="2" t="s">
        <v>52271</v>
      </c>
      <c r="M5458" s="2" t="s">
        <v>52272</v>
      </c>
      <c r="N5458" s="3" t="s">
        <v>1604</v>
      </c>
      <c r="P5458" s="3" t="s">
        <v>65</v>
      </c>
      <c r="Q5458" s="2" t="s">
        <v>52273</v>
      </c>
      <c r="R5458" s="3" t="s">
        <v>66</v>
      </c>
      <c r="S5458" s="4">
        <v>22</v>
      </c>
      <c r="T5458" s="4">
        <v>22</v>
      </c>
      <c r="U5458" s="5" t="s">
        <v>52274</v>
      </c>
      <c r="V5458" s="5" t="s">
        <v>52274</v>
      </c>
      <c r="W5458" s="5" t="s">
        <v>67</v>
      </c>
      <c r="X5458" s="5" t="s">
        <v>67</v>
      </c>
      <c r="Y5458" s="4">
        <v>229</v>
      </c>
      <c r="Z5458" s="4">
        <v>18</v>
      </c>
      <c r="AA5458" s="4">
        <v>22</v>
      </c>
      <c r="AB5458" s="4">
        <v>1</v>
      </c>
      <c r="AC5458" s="4">
        <v>5</v>
      </c>
      <c r="AD5458" s="4">
        <v>104</v>
      </c>
      <c r="AE5458" s="4">
        <v>107</v>
      </c>
      <c r="AF5458" s="4">
        <v>0</v>
      </c>
      <c r="AG5458" s="4">
        <v>3</v>
      </c>
      <c r="AH5458" s="4">
        <v>96</v>
      </c>
      <c r="AI5458" s="4">
        <v>97</v>
      </c>
      <c r="AJ5458" s="4">
        <v>15</v>
      </c>
      <c r="AK5458" s="4">
        <v>18</v>
      </c>
      <c r="AL5458" s="4">
        <v>53</v>
      </c>
      <c r="AM5458" s="4">
        <v>53</v>
      </c>
      <c r="AN5458" s="4">
        <v>0</v>
      </c>
      <c r="AO5458" s="4">
        <v>0</v>
      </c>
      <c r="AP5458" s="4">
        <v>16</v>
      </c>
      <c r="AQ5458" s="4">
        <v>18</v>
      </c>
      <c r="AR5458" s="3" t="s">
        <v>62</v>
      </c>
      <c r="AS5458" s="3" t="s">
        <v>62</v>
      </c>
      <c r="AT5458" s="3" t="s">
        <v>62</v>
      </c>
      <c r="AV5458" s="6" t="str">
        <f>HYPERLINK("http://mcgill.on.worldcat.org/oclc/27936850","Catalog Record")</f>
        <v>Catalog Record</v>
      </c>
      <c r="AW5458" s="6" t="str">
        <f>HYPERLINK("http://www.worldcat.org/oclc/27936850","WorldCat Record")</f>
        <v>WorldCat Record</v>
      </c>
      <c r="AX5458" s="3" t="s">
        <v>52275</v>
      </c>
      <c r="AY5458" s="3" t="s">
        <v>52276</v>
      </c>
      <c r="AZ5458" s="3" t="s">
        <v>52277</v>
      </c>
      <c r="BA5458" s="3" t="s">
        <v>52277</v>
      </c>
      <c r="BB5458" s="3" t="s">
        <v>52278</v>
      </c>
      <c r="BC5458" s="3" t="s">
        <v>142</v>
      </c>
      <c r="BD5458" s="3" t="s">
        <v>68</v>
      </c>
      <c r="BE5458" s="3" t="s">
        <v>52279</v>
      </c>
      <c r="BF5458" s="3" t="s">
        <v>52278</v>
      </c>
      <c r="BG5458" s="3" t="s">
        <v>52280</v>
      </c>
    </row>
    <row r="5459" spans="1:59" ht="57" x14ac:dyDescent="0.45">
      <c r="A5459" s="2" t="s">
        <v>59</v>
      </c>
      <c r="B5459" s="2" t="s">
        <v>60</v>
      </c>
      <c r="C5459" s="2" t="s">
        <v>52281</v>
      </c>
      <c r="D5459" s="2" t="s">
        <v>52282</v>
      </c>
      <c r="E5459" s="2" t="s">
        <v>52283</v>
      </c>
      <c r="G5459" s="3" t="s">
        <v>62</v>
      </c>
      <c r="I5459" s="3" t="s">
        <v>62</v>
      </c>
      <c r="J5459" s="3" t="s">
        <v>62</v>
      </c>
      <c r="K5459" s="3" t="s">
        <v>63</v>
      </c>
      <c r="L5459" s="2" t="s">
        <v>52284</v>
      </c>
      <c r="M5459" s="2" t="s">
        <v>52285</v>
      </c>
      <c r="N5459" s="3" t="s">
        <v>1253</v>
      </c>
      <c r="P5459" s="3" t="s">
        <v>65</v>
      </c>
      <c r="Q5459" s="2" t="s">
        <v>29735</v>
      </c>
      <c r="R5459" s="3" t="s">
        <v>66</v>
      </c>
      <c r="S5459" s="4">
        <v>20</v>
      </c>
      <c r="T5459" s="4">
        <v>20</v>
      </c>
      <c r="U5459" s="5" t="s">
        <v>15839</v>
      </c>
      <c r="V5459" s="5" t="s">
        <v>15839</v>
      </c>
      <c r="W5459" s="5" t="s">
        <v>67</v>
      </c>
      <c r="X5459" s="5" t="s">
        <v>67</v>
      </c>
      <c r="Y5459" s="4">
        <v>345</v>
      </c>
      <c r="Z5459" s="4">
        <v>25</v>
      </c>
      <c r="AA5459" s="4">
        <v>32</v>
      </c>
      <c r="AB5459" s="4">
        <v>1</v>
      </c>
      <c r="AC5459" s="4">
        <v>7</v>
      </c>
      <c r="AD5459" s="4">
        <v>85</v>
      </c>
      <c r="AE5459" s="4">
        <v>90</v>
      </c>
      <c r="AF5459" s="4">
        <v>0</v>
      </c>
      <c r="AG5459" s="4">
        <v>3</v>
      </c>
      <c r="AH5459" s="4">
        <v>74</v>
      </c>
      <c r="AI5459" s="4">
        <v>76</v>
      </c>
      <c r="AJ5459" s="4">
        <v>19</v>
      </c>
      <c r="AK5459" s="4">
        <v>22</v>
      </c>
      <c r="AL5459" s="4">
        <v>41</v>
      </c>
      <c r="AM5459" s="4">
        <v>41</v>
      </c>
      <c r="AN5459" s="4">
        <v>0</v>
      </c>
      <c r="AO5459" s="4">
        <v>0</v>
      </c>
      <c r="AP5459" s="4">
        <v>22</v>
      </c>
      <c r="AQ5459" s="4">
        <v>25</v>
      </c>
      <c r="AR5459" s="3" t="s">
        <v>62</v>
      </c>
      <c r="AS5459" s="3" t="s">
        <v>62</v>
      </c>
      <c r="AT5459" s="3" t="s">
        <v>62</v>
      </c>
      <c r="AV5459" s="6" t="str">
        <f>HYPERLINK("http://mcgill.on.worldcat.org/oclc/34990034","Catalog Record")</f>
        <v>Catalog Record</v>
      </c>
      <c r="AW5459" s="6" t="str">
        <f>HYPERLINK("http://www.worldcat.org/oclc/34990034","WorldCat Record")</f>
        <v>WorldCat Record</v>
      </c>
      <c r="AX5459" s="3" t="s">
        <v>52286</v>
      </c>
      <c r="AY5459" s="3" t="s">
        <v>52287</v>
      </c>
      <c r="AZ5459" s="3" t="s">
        <v>52288</v>
      </c>
      <c r="BA5459" s="3" t="s">
        <v>52288</v>
      </c>
      <c r="BB5459" s="3" t="s">
        <v>52289</v>
      </c>
      <c r="BC5459" s="3" t="s">
        <v>142</v>
      </c>
      <c r="BD5459" s="3" t="s">
        <v>68</v>
      </c>
      <c r="BE5459" s="3" t="s">
        <v>52290</v>
      </c>
      <c r="BF5459" s="3" t="s">
        <v>52289</v>
      </c>
      <c r="BG5459" s="3" t="s">
        <v>52291</v>
      </c>
    </row>
    <row r="5460" spans="1:59" ht="57" x14ac:dyDescent="0.45">
      <c r="A5460" s="2" t="s">
        <v>59</v>
      </c>
      <c r="B5460" s="2" t="s">
        <v>60</v>
      </c>
      <c r="C5460" s="2" t="s">
        <v>52292</v>
      </c>
      <c r="D5460" s="2" t="s">
        <v>52293</v>
      </c>
      <c r="E5460" s="2" t="s">
        <v>52294</v>
      </c>
      <c r="G5460" s="3" t="s">
        <v>62</v>
      </c>
      <c r="I5460" s="3" t="s">
        <v>62</v>
      </c>
      <c r="J5460" s="3" t="s">
        <v>62</v>
      </c>
      <c r="K5460" s="3" t="s">
        <v>63</v>
      </c>
      <c r="L5460" s="2" t="s">
        <v>52295</v>
      </c>
      <c r="M5460" s="2" t="s">
        <v>52296</v>
      </c>
      <c r="N5460" s="3" t="s">
        <v>149</v>
      </c>
      <c r="P5460" s="3" t="s">
        <v>65</v>
      </c>
      <c r="Q5460" s="2" t="s">
        <v>52297</v>
      </c>
      <c r="R5460" s="3" t="s">
        <v>66</v>
      </c>
      <c r="S5460" s="4">
        <v>1</v>
      </c>
      <c r="T5460" s="4">
        <v>1</v>
      </c>
      <c r="U5460" s="5" t="s">
        <v>52298</v>
      </c>
      <c r="V5460" s="5" t="s">
        <v>52298</v>
      </c>
      <c r="W5460" s="5" t="s">
        <v>67</v>
      </c>
      <c r="X5460" s="5" t="s">
        <v>67</v>
      </c>
      <c r="Y5460" s="4">
        <v>142</v>
      </c>
      <c r="Z5460" s="4">
        <v>17</v>
      </c>
      <c r="AA5460" s="4">
        <v>102</v>
      </c>
      <c r="AB5460" s="4">
        <v>1</v>
      </c>
      <c r="AC5460" s="4">
        <v>17</v>
      </c>
      <c r="AD5460" s="4">
        <v>73</v>
      </c>
      <c r="AE5460" s="4">
        <v>126</v>
      </c>
      <c r="AF5460" s="4">
        <v>0</v>
      </c>
      <c r="AG5460" s="4">
        <v>8</v>
      </c>
      <c r="AH5460" s="4">
        <v>66</v>
      </c>
      <c r="AI5460" s="4">
        <v>90</v>
      </c>
      <c r="AJ5460" s="4">
        <v>14</v>
      </c>
      <c r="AK5460" s="4">
        <v>24</v>
      </c>
      <c r="AL5460" s="4">
        <v>39</v>
      </c>
      <c r="AM5460" s="4">
        <v>49</v>
      </c>
      <c r="AN5460" s="4">
        <v>0</v>
      </c>
      <c r="AO5460" s="4">
        <v>0</v>
      </c>
      <c r="AP5460" s="4">
        <v>15</v>
      </c>
      <c r="AQ5460" s="4">
        <v>46</v>
      </c>
      <c r="AR5460" s="3" t="s">
        <v>62</v>
      </c>
      <c r="AS5460" s="3" t="s">
        <v>62</v>
      </c>
      <c r="AT5460" s="3" t="s">
        <v>62</v>
      </c>
      <c r="AV5460" s="6" t="str">
        <f>HYPERLINK("http://mcgill.on.worldcat.org/oclc/472424492","Catalog Record")</f>
        <v>Catalog Record</v>
      </c>
      <c r="AW5460" s="6" t="str">
        <f>HYPERLINK("http://www.worldcat.org/oclc/472424492","WorldCat Record")</f>
        <v>WorldCat Record</v>
      </c>
      <c r="AX5460" s="3" t="s">
        <v>52299</v>
      </c>
      <c r="AY5460" s="3" t="s">
        <v>52300</v>
      </c>
      <c r="AZ5460" s="3" t="s">
        <v>52301</v>
      </c>
      <c r="BA5460" s="3" t="s">
        <v>52301</v>
      </c>
      <c r="BB5460" s="3" t="s">
        <v>52302</v>
      </c>
      <c r="BC5460" s="3" t="s">
        <v>142</v>
      </c>
      <c r="BD5460" s="3" t="s">
        <v>68</v>
      </c>
      <c r="BE5460" s="3" t="s">
        <v>52303</v>
      </c>
      <c r="BF5460" s="3" t="s">
        <v>52302</v>
      </c>
      <c r="BG5460" s="3" t="s">
        <v>52304</v>
      </c>
    </row>
    <row r="5461" spans="1:59" ht="57" x14ac:dyDescent="0.45">
      <c r="A5461" s="2" t="s">
        <v>59</v>
      </c>
      <c r="B5461" s="2" t="s">
        <v>60</v>
      </c>
      <c r="C5461" s="2" t="s">
        <v>52305</v>
      </c>
      <c r="D5461" s="2" t="s">
        <v>52306</v>
      </c>
      <c r="E5461" s="2" t="s">
        <v>52307</v>
      </c>
      <c r="G5461" s="3" t="s">
        <v>62</v>
      </c>
      <c r="I5461" s="3" t="s">
        <v>62</v>
      </c>
      <c r="J5461" s="3" t="s">
        <v>62</v>
      </c>
      <c r="K5461" s="3" t="s">
        <v>63</v>
      </c>
      <c r="M5461" s="2" t="s">
        <v>48453</v>
      </c>
      <c r="N5461" s="3" t="s">
        <v>149</v>
      </c>
      <c r="P5461" s="3" t="s">
        <v>65</v>
      </c>
      <c r="Q5461" s="2" t="s">
        <v>52308</v>
      </c>
      <c r="R5461" s="3" t="s">
        <v>66</v>
      </c>
      <c r="S5461" s="4">
        <v>1</v>
      </c>
      <c r="T5461" s="4">
        <v>1</v>
      </c>
      <c r="U5461" s="5" t="s">
        <v>25948</v>
      </c>
      <c r="V5461" s="5" t="s">
        <v>25948</v>
      </c>
      <c r="W5461" s="5" t="s">
        <v>67</v>
      </c>
      <c r="X5461" s="5" t="s">
        <v>67</v>
      </c>
      <c r="Y5461" s="4">
        <v>100</v>
      </c>
      <c r="Z5461" s="4">
        <v>9</v>
      </c>
      <c r="AA5461" s="4">
        <v>91</v>
      </c>
      <c r="AB5461" s="4">
        <v>1</v>
      </c>
      <c r="AC5461" s="4">
        <v>17</v>
      </c>
      <c r="AD5461" s="4">
        <v>46</v>
      </c>
      <c r="AE5461" s="4">
        <v>109</v>
      </c>
      <c r="AF5461" s="4">
        <v>0</v>
      </c>
      <c r="AG5461" s="4">
        <v>8</v>
      </c>
      <c r="AH5461" s="4">
        <v>41</v>
      </c>
      <c r="AI5461" s="4">
        <v>73</v>
      </c>
      <c r="AJ5461" s="4">
        <v>7</v>
      </c>
      <c r="AK5461" s="4">
        <v>23</v>
      </c>
      <c r="AL5461" s="4">
        <v>29</v>
      </c>
      <c r="AM5461" s="4">
        <v>41</v>
      </c>
      <c r="AN5461" s="4">
        <v>0</v>
      </c>
      <c r="AO5461" s="4">
        <v>0</v>
      </c>
      <c r="AP5461" s="4">
        <v>7</v>
      </c>
      <c r="AQ5461" s="4">
        <v>44</v>
      </c>
      <c r="AR5461" s="3" t="s">
        <v>62</v>
      </c>
      <c r="AS5461" s="3" t="s">
        <v>62</v>
      </c>
      <c r="AT5461" s="3" t="s">
        <v>62</v>
      </c>
      <c r="AV5461" s="6" t="str">
        <f>HYPERLINK("http://mcgill.on.worldcat.org/oclc/502676342","Catalog Record")</f>
        <v>Catalog Record</v>
      </c>
      <c r="AW5461" s="6" t="str">
        <f>HYPERLINK("http://www.worldcat.org/oclc/502676342","WorldCat Record")</f>
        <v>WorldCat Record</v>
      </c>
      <c r="AX5461" s="3" t="s">
        <v>52309</v>
      </c>
      <c r="AY5461" s="3" t="s">
        <v>52310</v>
      </c>
      <c r="AZ5461" s="3" t="s">
        <v>52311</v>
      </c>
      <c r="BA5461" s="3" t="s">
        <v>52311</v>
      </c>
      <c r="BB5461" s="3" t="s">
        <v>52312</v>
      </c>
      <c r="BC5461" s="3" t="s">
        <v>142</v>
      </c>
      <c r="BD5461" s="3" t="s">
        <v>68</v>
      </c>
      <c r="BE5461" s="3" t="s">
        <v>52313</v>
      </c>
      <c r="BF5461" s="3" t="s">
        <v>52312</v>
      </c>
      <c r="BG5461" s="3" t="s">
        <v>52314</v>
      </c>
    </row>
    <row r="5462" spans="1:59" ht="57" x14ac:dyDescent="0.45">
      <c r="A5462" s="2" t="s">
        <v>59</v>
      </c>
      <c r="B5462" s="2" t="s">
        <v>60</v>
      </c>
      <c r="C5462" s="2" t="s">
        <v>52315</v>
      </c>
      <c r="D5462" s="2" t="s">
        <v>52316</v>
      </c>
      <c r="E5462" s="2" t="s">
        <v>52317</v>
      </c>
      <c r="G5462" s="3" t="s">
        <v>62</v>
      </c>
      <c r="I5462" s="3" t="s">
        <v>62</v>
      </c>
      <c r="J5462" s="3" t="s">
        <v>62</v>
      </c>
      <c r="K5462" s="3" t="s">
        <v>63</v>
      </c>
      <c r="M5462" s="2" t="s">
        <v>51265</v>
      </c>
      <c r="N5462" s="3" t="s">
        <v>208</v>
      </c>
      <c r="P5462" s="3" t="s">
        <v>65</v>
      </c>
      <c r="Q5462" s="2" t="s">
        <v>52318</v>
      </c>
      <c r="R5462" s="3" t="s">
        <v>66</v>
      </c>
      <c r="S5462" s="4">
        <v>2</v>
      </c>
      <c r="T5462" s="4">
        <v>2</v>
      </c>
      <c r="U5462" s="5" t="s">
        <v>17963</v>
      </c>
      <c r="V5462" s="5" t="s">
        <v>17963</v>
      </c>
      <c r="W5462" s="5" t="s">
        <v>67</v>
      </c>
      <c r="X5462" s="5" t="s">
        <v>67</v>
      </c>
      <c r="Y5462" s="4">
        <v>47</v>
      </c>
      <c r="Z5462" s="4">
        <v>2</v>
      </c>
      <c r="AA5462" s="4">
        <v>77</v>
      </c>
      <c r="AB5462" s="4">
        <v>1</v>
      </c>
      <c r="AC5462" s="4">
        <v>14</v>
      </c>
      <c r="AD5462" s="4">
        <v>22</v>
      </c>
      <c r="AE5462" s="4">
        <v>104</v>
      </c>
      <c r="AF5462" s="4">
        <v>0</v>
      </c>
      <c r="AG5462" s="4">
        <v>8</v>
      </c>
      <c r="AH5462" s="4">
        <v>20</v>
      </c>
      <c r="AI5462" s="4">
        <v>70</v>
      </c>
      <c r="AJ5462" s="4">
        <v>1</v>
      </c>
      <c r="AK5462" s="4">
        <v>21</v>
      </c>
      <c r="AL5462" s="4">
        <v>16</v>
      </c>
      <c r="AM5462" s="4">
        <v>35</v>
      </c>
      <c r="AN5462" s="4">
        <v>0</v>
      </c>
      <c r="AO5462" s="4">
        <v>0</v>
      </c>
      <c r="AP5462" s="4">
        <v>1</v>
      </c>
      <c r="AQ5462" s="4">
        <v>41</v>
      </c>
      <c r="AR5462" s="3" t="s">
        <v>62</v>
      </c>
      <c r="AS5462" s="3" t="s">
        <v>62</v>
      </c>
      <c r="AT5462" s="3" t="s">
        <v>62</v>
      </c>
      <c r="AV5462" s="6" t="str">
        <f>HYPERLINK("http://mcgill.on.worldcat.org/oclc/907669571","Catalog Record")</f>
        <v>Catalog Record</v>
      </c>
      <c r="AW5462" s="6" t="str">
        <f>HYPERLINK("http://www.worldcat.org/oclc/907669571","WorldCat Record")</f>
        <v>WorldCat Record</v>
      </c>
      <c r="AX5462" s="3" t="s">
        <v>52319</v>
      </c>
      <c r="AY5462" s="3" t="s">
        <v>52320</v>
      </c>
      <c r="AZ5462" s="3" t="s">
        <v>52321</v>
      </c>
      <c r="BA5462" s="3" t="s">
        <v>52321</v>
      </c>
      <c r="BB5462" s="3" t="s">
        <v>52322</v>
      </c>
      <c r="BC5462" s="3" t="s">
        <v>142</v>
      </c>
      <c r="BD5462" s="3" t="s">
        <v>68</v>
      </c>
      <c r="BE5462" s="3" t="s">
        <v>52323</v>
      </c>
      <c r="BF5462" s="3" t="s">
        <v>52322</v>
      </c>
      <c r="BG5462" s="3" t="s">
        <v>52324</v>
      </c>
    </row>
    <row r="5463" spans="1:59" ht="57" x14ac:dyDescent="0.45">
      <c r="A5463" s="2" t="s">
        <v>59</v>
      </c>
      <c r="B5463" s="2" t="s">
        <v>60</v>
      </c>
      <c r="C5463" s="2" t="s">
        <v>52325</v>
      </c>
      <c r="D5463" s="2" t="s">
        <v>52326</v>
      </c>
      <c r="E5463" s="2" t="s">
        <v>52327</v>
      </c>
      <c r="G5463" s="3" t="s">
        <v>62</v>
      </c>
      <c r="I5463" s="3" t="s">
        <v>62</v>
      </c>
      <c r="J5463" s="3" t="s">
        <v>62</v>
      </c>
      <c r="K5463" s="3" t="s">
        <v>63</v>
      </c>
      <c r="L5463" s="2" t="s">
        <v>52328</v>
      </c>
      <c r="M5463" s="2" t="s">
        <v>52329</v>
      </c>
      <c r="N5463" s="3" t="s">
        <v>1253</v>
      </c>
      <c r="P5463" s="3" t="s">
        <v>65</v>
      </c>
      <c r="R5463" s="3" t="s">
        <v>66</v>
      </c>
      <c r="S5463" s="4">
        <v>1</v>
      </c>
      <c r="T5463" s="4">
        <v>1</v>
      </c>
      <c r="U5463" s="5" t="s">
        <v>48075</v>
      </c>
      <c r="V5463" s="5" t="s">
        <v>48075</v>
      </c>
      <c r="W5463" s="5" t="s">
        <v>67</v>
      </c>
      <c r="X5463" s="5" t="s">
        <v>67</v>
      </c>
      <c r="Y5463" s="4">
        <v>4</v>
      </c>
      <c r="Z5463" s="4">
        <v>1</v>
      </c>
      <c r="AA5463" s="4">
        <v>2</v>
      </c>
      <c r="AB5463" s="4">
        <v>1</v>
      </c>
      <c r="AC5463" s="4">
        <v>1</v>
      </c>
      <c r="AD5463" s="4">
        <v>1</v>
      </c>
      <c r="AE5463" s="4">
        <v>4</v>
      </c>
      <c r="AF5463" s="4">
        <v>0</v>
      </c>
      <c r="AG5463" s="4">
        <v>0</v>
      </c>
      <c r="AH5463" s="4">
        <v>0</v>
      </c>
      <c r="AI5463" s="4">
        <v>3</v>
      </c>
      <c r="AJ5463" s="4">
        <v>0</v>
      </c>
      <c r="AK5463" s="4">
        <v>1</v>
      </c>
      <c r="AL5463" s="4">
        <v>1</v>
      </c>
      <c r="AM5463" s="4">
        <v>3</v>
      </c>
      <c r="AN5463" s="4">
        <v>0</v>
      </c>
      <c r="AO5463" s="4">
        <v>0</v>
      </c>
      <c r="AP5463" s="4">
        <v>0</v>
      </c>
      <c r="AQ5463" s="4">
        <v>1</v>
      </c>
      <c r="AR5463" s="3" t="s">
        <v>62</v>
      </c>
      <c r="AS5463" s="3" t="s">
        <v>62</v>
      </c>
      <c r="AT5463" s="3" t="s">
        <v>62</v>
      </c>
      <c r="AV5463" s="6" t="str">
        <f>HYPERLINK("http://mcgill.on.worldcat.org/oclc/59445754","Catalog Record")</f>
        <v>Catalog Record</v>
      </c>
      <c r="AW5463" s="6" t="str">
        <f>HYPERLINK("http://www.worldcat.org/oclc/59445754","WorldCat Record")</f>
        <v>WorldCat Record</v>
      </c>
      <c r="AX5463" s="3" t="s">
        <v>52330</v>
      </c>
      <c r="AY5463" s="3" t="s">
        <v>52331</v>
      </c>
      <c r="AZ5463" s="3" t="s">
        <v>52332</v>
      </c>
      <c r="BA5463" s="3" t="s">
        <v>52332</v>
      </c>
      <c r="BB5463" s="3" t="s">
        <v>52333</v>
      </c>
      <c r="BC5463" s="3" t="s">
        <v>142</v>
      </c>
      <c r="BD5463" s="3" t="s">
        <v>68</v>
      </c>
      <c r="BF5463" s="3" t="s">
        <v>52333</v>
      </c>
      <c r="BG5463" s="3" t="s">
        <v>52334</v>
      </c>
    </row>
    <row r="5464" spans="1:59" ht="57" x14ac:dyDescent="0.45">
      <c r="A5464" s="2" t="s">
        <v>59</v>
      </c>
      <c r="B5464" s="2" t="s">
        <v>60</v>
      </c>
      <c r="C5464" s="2" t="s">
        <v>52335</v>
      </c>
      <c r="D5464" s="2" t="s">
        <v>52336</v>
      </c>
      <c r="E5464" s="2" t="s">
        <v>52337</v>
      </c>
      <c r="G5464" s="3" t="s">
        <v>62</v>
      </c>
      <c r="I5464" s="3" t="s">
        <v>62</v>
      </c>
      <c r="J5464" s="3" t="s">
        <v>62</v>
      </c>
      <c r="K5464" s="3" t="s">
        <v>63</v>
      </c>
      <c r="L5464" s="2" t="s">
        <v>46500</v>
      </c>
      <c r="M5464" s="2" t="s">
        <v>5214</v>
      </c>
      <c r="N5464" s="3" t="s">
        <v>945</v>
      </c>
      <c r="P5464" s="3" t="s">
        <v>65</v>
      </c>
      <c r="Q5464" s="2" t="s">
        <v>29906</v>
      </c>
      <c r="R5464" s="3" t="s">
        <v>66</v>
      </c>
      <c r="S5464" s="4">
        <v>8</v>
      </c>
      <c r="T5464" s="4">
        <v>8</v>
      </c>
      <c r="U5464" s="5" t="s">
        <v>52112</v>
      </c>
      <c r="V5464" s="5" t="s">
        <v>52112</v>
      </c>
      <c r="W5464" s="5" t="s">
        <v>67</v>
      </c>
      <c r="X5464" s="5" t="s">
        <v>67</v>
      </c>
      <c r="Y5464" s="4">
        <v>156</v>
      </c>
      <c r="Z5464" s="4">
        <v>13</v>
      </c>
      <c r="AA5464" s="4">
        <v>107</v>
      </c>
      <c r="AB5464" s="4">
        <v>2</v>
      </c>
      <c r="AC5464" s="4">
        <v>21</v>
      </c>
      <c r="AD5464" s="4">
        <v>56</v>
      </c>
      <c r="AE5464" s="4">
        <v>132</v>
      </c>
      <c r="AF5464" s="4">
        <v>1</v>
      </c>
      <c r="AG5464" s="4">
        <v>9</v>
      </c>
      <c r="AH5464" s="4">
        <v>53</v>
      </c>
      <c r="AI5464" s="4">
        <v>84</v>
      </c>
      <c r="AJ5464" s="4">
        <v>11</v>
      </c>
      <c r="AK5464" s="4">
        <v>27</v>
      </c>
      <c r="AL5464" s="4">
        <v>32</v>
      </c>
      <c r="AM5464" s="4">
        <v>44</v>
      </c>
      <c r="AN5464" s="4">
        <v>0</v>
      </c>
      <c r="AO5464" s="4">
        <v>0</v>
      </c>
      <c r="AP5464" s="4">
        <v>11</v>
      </c>
      <c r="AQ5464" s="4">
        <v>56</v>
      </c>
      <c r="AR5464" s="3" t="s">
        <v>62</v>
      </c>
      <c r="AS5464" s="3" t="s">
        <v>62</v>
      </c>
      <c r="AT5464" s="3" t="s">
        <v>61</v>
      </c>
      <c r="AU5464" s="6" t="str">
        <f>HYPERLINK("http://catalog.hathitrust.org/Record/005938318","HathiTrust Record")</f>
        <v>HathiTrust Record</v>
      </c>
      <c r="AV5464" s="6" t="str">
        <f>HYPERLINK("http://mcgill.on.worldcat.org/oclc/71350542","Catalog Record")</f>
        <v>Catalog Record</v>
      </c>
      <c r="AW5464" s="6" t="str">
        <f>HYPERLINK("http://www.worldcat.org/oclc/71350542","WorldCat Record")</f>
        <v>WorldCat Record</v>
      </c>
      <c r="AX5464" s="3" t="s">
        <v>52338</v>
      </c>
      <c r="AY5464" s="3" t="s">
        <v>52339</v>
      </c>
      <c r="AZ5464" s="3" t="s">
        <v>52340</v>
      </c>
      <c r="BA5464" s="3" t="s">
        <v>52340</v>
      </c>
      <c r="BB5464" s="3" t="s">
        <v>52341</v>
      </c>
      <c r="BC5464" s="3" t="s">
        <v>142</v>
      </c>
      <c r="BD5464" s="3" t="s">
        <v>68</v>
      </c>
      <c r="BE5464" s="3" t="s">
        <v>52342</v>
      </c>
      <c r="BF5464" s="3" t="s">
        <v>52341</v>
      </c>
      <c r="BG5464" s="3" t="s">
        <v>52343</v>
      </c>
    </row>
    <row r="5465" spans="1:59" ht="57" x14ac:dyDescent="0.45">
      <c r="A5465" s="2" t="s">
        <v>59</v>
      </c>
      <c r="B5465" s="2" t="s">
        <v>60</v>
      </c>
      <c r="C5465" s="2" t="s">
        <v>52344</v>
      </c>
      <c r="D5465" s="2" t="s">
        <v>52345</v>
      </c>
      <c r="E5465" s="2" t="s">
        <v>52346</v>
      </c>
      <c r="G5465" s="3" t="s">
        <v>62</v>
      </c>
      <c r="I5465" s="3" t="s">
        <v>62</v>
      </c>
      <c r="J5465" s="3" t="s">
        <v>62</v>
      </c>
      <c r="K5465" s="3" t="s">
        <v>63</v>
      </c>
      <c r="L5465" s="2" t="s">
        <v>52347</v>
      </c>
      <c r="M5465" s="2" t="s">
        <v>10043</v>
      </c>
      <c r="N5465" s="3" t="s">
        <v>529</v>
      </c>
      <c r="P5465" s="3" t="s">
        <v>65</v>
      </c>
      <c r="Q5465" s="2" t="s">
        <v>52348</v>
      </c>
      <c r="R5465" s="3" t="s">
        <v>66</v>
      </c>
      <c r="S5465" s="4">
        <v>25</v>
      </c>
      <c r="T5465" s="4">
        <v>25</v>
      </c>
      <c r="U5465" s="5" t="s">
        <v>28854</v>
      </c>
      <c r="V5465" s="5" t="s">
        <v>28854</v>
      </c>
      <c r="W5465" s="5" t="s">
        <v>67</v>
      </c>
      <c r="X5465" s="5" t="s">
        <v>67</v>
      </c>
      <c r="Y5465" s="4">
        <v>303</v>
      </c>
      <c r="Z5465" s="4">
        <v>17</v>
      </c>
      <c r="AA5465" s="4">
        <v>22</v>
      </c>
      <c r="AB5465" s="4">
        <v>1</v>
      </c>
      <c r="AC5465" s="4">
        <v>6</v>
      </c>
      <c r="AD5465" s="4">
        <v>110</v>
      </c>
      <c r="AE5465" s="4">
        <v>114</v>
      </c>
      <c r="AF5465" s="4">
        <v>0</v>
      </c>
      <c r="AG5465" s="4">
        <v>4</v>
      </c>
      <c r="AH5465" s="4">
        <v>101</v>
      </c>
      <c r="AI5465" s="4">
        <v>102</v>
      </c>
      <c r="AJ5465" s="4">
        <v>15</v>
      </c>
      <c r="AK5465" s="4">
        <v>19</v>
      </c>
      <c r="AL5465" s="4">
        <v>54</v>
      </c>
      <c r="AM5465" s="4">
        <v>54</v>
      </c>
      <c r="AN5465" s="4">
        <v>0</v>
      </c>
      <c r="AO5465" s="4">
        <v>0</v>
      </c>
      <c r="AP5465" s="4">
        <v>16</v>
      </c>
      <c r="AQ5465" s="4">
        <v>19</v>
      </c>
      <c r="AR5465" s="3" t="s">
        <v>62</v>
      </c>
      <c r="AS5465" s="3" t="s">
        <v>62</v>
      </c>
      <c r="AT5465" s="3" t="s">
        <v>62</v>
      </c>
      <c r="AV5465" s="6" t="str">
        <f>HYPERLINK("http://mcgill.on.worldcat.org/oclc/11468119","Catalog Record")</f>
        <v>Catalog Record</v>
      </c>
      <c r="AW5465" s="6" t="str">
        <f>HYPERLINK("http://www.worldcat.org/oclc/11468119","WorldCat Record")</f>
        <v>WorldCat Record</v>
      </c>
      <c r="AX5465" s="3" t="s">
        <v>52349</v>
      </c>
      <c r="AY5465" s="3" t="s">
        <v>52350</v>
      </c>
      <c r="AZ5465" s="3" t="s">
        <v>52351</v>
      </c>
      <c r="BA5465" s="3" t="s">
        <v>52351</v>
      </c>
      <c r="BB5465" s="3" t="s">
        <v>52352</v>
      </c>
      <c r="BC5465" s="3" t="s">
        <v>142</v>
      </c>
      <c r="BD5465" s="3" t="s">
        <v>308</v>
      </c>
      <c r="BE5465" s="3" t="s">
        <v>52353</v>
      </c>
      <c r="BF5465" s="3" t="s">
        <v>52352</v>
      </c>
      <c r="BG5465" s="3" t="s">
        <v>52354</v>
      </c>
    </row>
    <row r="5466" spans="1:59" ht="57" x14ac:dyDescent="0.45">
      <c r="A5466" s="2" t="s">
        <v>59</v>
      </c>
      <c r="B5466" s="2" t="s">
        <v>60</v>
      </c>
      <c r="C5466" s="2" t="s">
        <v>52355</v>
      </c>
      <c r="D5466" s="2" t="s">
        <v>52356</v>
      </c>
      <c r="E5466" s="2" t="s">
        <v>52357</v>
      </c>
      <c r="G5466" s="3" t="s">
        <v>62</v>
      </c>
      <c r="I5466" s="3" t="s">
        <v>62</v>
      </c>
      <c r="J5466" s="3" t="s">
        <v>61</v>
      </c>
      <c r="K5466" s="3" t="s">
        <v>63</v>
      </c>
      <c r="L5466" s="2" t="s">
        <v>52358</v>
      </c>
      <c r="M5466" s="2" t="s">
        <v>52359</v>
      </c>
      <c r="N5466" s="3" t="s">
        <v>167</v>
      </c>
      <c r="P5466" s="3" t="s">
        <v>65</v>
      </c>
      <c r="Q5466" s="2" t="s">
        <v>52360</v>
      </c>
      <c r="R5466" s="3" t="s">
        <v>66</v>
      </c>
      <c r="S5466" s="4">
        <v>10</v>
      </c>
      <c r="T5466" s="4">
        <v>10</v>
      </c>
      <c r="U5466" s="5" t="s">
        <v>4953</v>
      </c>
      <c r="V5466" s="5" t="s">
        <v>4953</v>
      </c>
      <c r="W5466" s="5" t="s">
        <v>67</v>
      </c>
      <c r="X5466" s="5" t="s">
        <v>67</v>
      </c>
      <c r="Y5466" s="4">
        <v>181</v>
      </c>
      <c r="Z5466" s="4">
        <v>20</v>
      </c>
      <c r="AA5466" s="4">
        <v>35</v>
      </c>
      <c r="AB5466" s="4">
        <v>2</v>
      </c>
      <c r="AC5466" s="4">
        <v>4</v>
      </c>
      <c r="AD5466" s="4">
        <v>69</v>
      </c>
      <c r="AE5466" s="4">
        <v>89</v>
      </c>
      <c r="AF5466" s="4">
        <v>1</v>
      </c>
      <c r="AG5466" s="4">
        <v>3</v>
      </c>
      <c r="AH5466" s="4">
        <v>59</v>
      </c>
      <c r="AI5466" s="4">
        <v>75</v>
      </c>
      <c r="AJ5466" s="4">
        <v>12</v>
      </c>
      <c r="AK5466" s="4">
        <v>23</v>
      </c>
      <c r="AL5466" s="4">
        <v>37</v>
      </c>
      <c r="AM5466" s="4">
        <v>40</v>
      </c>
      <c r="AN5466" s="4">
        <v>0</v>
      </c>
      <c r="AO5466" s="4">
        <v>0</v>
      </c>
      <c r="AP5466" s="4">
        <v>14</v>
      </c>
      <c r="AQ5466" s="4">
        <v>27</v>
      </c>
      <c r="AR5466" s="3" t="s">
        <v>62</v>
      </c>
      <c r="AS5466" s="3" t="s">
        <v>62</v>
      </c>
      <c r="AT5466" s="3" t="s">
        <v>62</v>
      </c>
      <c r="AV5466" s="6" t="str">
        <f>HYPERLINK("http://mcgill.on.worldcat.org/oclc/40489158","Catalog Record")</f>
        <v>Catalog Record</v>
      </c>
      <c r="AW5466" s="6" t="str">
        <f>HYPERLINK("http://www.worldcat.org/oclc/40489158","WorldCat Record")</f>
        <v>WorldCat Record</v>
      </c>
      <c r="AX5466" s="3" t="s">
        <v>52361</v>
      </c>
      <c r="AY5466" s="3" t="s">
        <v>52362</v>
      </c>
      <c r="AZ5466" s="3" t="s">
        <v>52363</v>
      </c>
      <c r="BA5466" s="3" t="s">
        <v>52363</v>
      </c>
      <c r="BB5466" s="3" t="s">
        <v>52364</v>
      </c>
      <c r="BC5466" s="3" t="s">
        <v>142</v>
      </c>
      <c r="BD5466" s="3" t="s">
        <v>68</v>
      </c>
      <c r="BE5466" s="3" t="s">
        <v>52365</v>
      </c>
      <c r="BF5466" s="3" t="s">
        <v>52364</v>
      </c>
      <c r="BG5466" s="3" t="s">
        <v>52366</v>
      </c>
    </row>
    <row r="5467" spans="1:59" ht="57" x14ac:dyDescent="0.45">
      <c r="A5467" s="2" t="s">
        <v>59</v>
      </c>
      <c r="B5467" s="2" t="s">
        <v>60</v>
      </c>
      <c r="C5467" s="2" t="s">
        <v>52367</v>
      </c>
      <c r="D5467" s="2" t="s">
        <v>52368</v>
      </c>
      <c r="E5467" s="2" t="s">
        <v>52369</v>
      </c>
      <c r="G5467" s="3" t="s">
        <v>62</v>
      </c>
      <c r="I5467" s="3" t="s">
        <v>62</v>
      </c>
      <c r="J5467" s="3" t="s">
        <v>62</v>
      </c>
      <c r="K5467" s="3" t="s">
        <v>63</v>
      </c>
      <c r="M5467" s="2" t="s">
        <v>52370</v>
      </c>
      <c r="N5467" s="3" t="s">
        <v>820</v>
      </c>
      <c r="P5467" s="3" t="s">
        <v>65</v>
      </c>
      <c r="Q5467" s="2" t="s">
        <v>52371</v>
      </c>
      <c r="R5467" s="3" t="s">
        <v>66</v>
      </c>
      <c r="S5467" s="4">
        <v>6</v>
      </c>
      <c r="T5467" s="4">
        <v>6</v>
      </c>
      <c r="U5467" s="5" t="s">
        <v>386</v>
      </c>
      <c r="V5467" s="5" t="s">
        <v>386</v>
      </c>
      <c r="W5467" s="5" t="s">
        <v>67</v>
      </c>
      <c r="X5467" s="5" t="s">
        <v>67</v>
      </c>
      <c r="Y5467" s="4">
        <v>113</v>
      </c>
      <c r="Z5467" s="4">
        <v>9</v>
      </c>
      <c r="AA5467" s="4">
        <v>10</v>
      </c>
      <c r="AB5467" s="4">
        <v>2</v>
      </c>
      <c r="AC5467" s="4">
        <v>3</v>
      </c>
      <c r="AD5467" s="4">
        <v>57</v>
      </c>
      <c r="AE5467" s="4">
        <v>58</v>
      </c>
      <c r="AF5467" s="4">
        <v>1</v>
      </c>
      <c r="AG5467" s="4">
        <v>2</v>
      </c>
      <c r="AH5467" s="4">
        <v>55</v>
      </c>
      <c r="AI5467" s="4">
        <v>56</v>
      </c>
      <c r="AJ5467" s="4">
        <v>8</v>
      </c>
      <c r="AK5467" s="4">
        <v>9</v>
      </c>
      <c r="AL5467" s="4">
        <v>32</v>
      </c>
      <c r="AM5467" s="4">
        <v>32</v>
      </c>
      <c r="AN5467" s="4">
        <v>0</v>
      </c>
      <c r="AO5467" s="4">
        <v>0</v>
      </c>
      <c r="AP5467" s="4">
        <v>8</v>
      </c>
      <c r="AQ5467" s="4">
        <v>9</v>
      </c>
      <c r="AR5467" s="3" t="s">
        <v>62</v>
      </c>
      <c r="AS5467" s="3" t="s">
        <v>62</v>
      </c>
      <c r="AT5467" s="3" t="s">
        <v>62</v>
      </c>
      <c r="AV5467" s="6" t="str">
        <f>HYPERLINK("http://mcgill.on.worldcat.org/oclc/222149504","Catalog Record")</f>
        <v>Catalog Record</v>
      </c>
      <c r="AW5467" s="6" t="str">
        <f>HYPERLINK("http://www.worldcat.org/oclc/222149504","WorldCat Record")</f>
        <v>WorldCat Record</v>
      </c>
      <c r="AX5467" s="3" t="s">
        <v>52372</v>
      </c>
      <c r="AY5467" s="3" t="s">
        <v>52373</v>
      </c>
      <c r="AZ5467" s="3" t="s">
        <v>52374</v>
      </c>
      <c r="BA5467" s="3" t="s">
        <v>52374</v>
      </c>
      <c r="BB5467" s="3" t="s">
        <v>52375</v>
      </c>
      <c r="BC5467" s="3" t="s">
        <v>142</v>
      </c>
      <c r="BD5467" s="3" t="s">
        <v>68</v>
      </c>
      <c r="BE5467" s="3" t="s">
        <v>52376</v>
      </c>
      <c r="BF5467" s="3" t="s">
        <v>52375</v>
      </c>
      <c r="BG5467" s="3" t="s">
        <v>52377</v>
      </c>
    </row>
    <row r="5468" spans="1:59" ht="57" x14ac:dyDescent="0.45">
      <c r="A5468" s="2" t="s">
        <v>59</v>
      </c>
      <c r="B5468" s="2" t="s">
        <v>60</v>
      </c>
      <c r="C5468" s="2" t="s">
        <v>52378</v>
      </c>
      <c r="D5468" s="2" t="s">
        <v>52379</v>
      </c>
      <c r="E5468" s="2" t="s">
        <v>52380</v>
      </c>
      <c r="G5468" s="3" t="s">
        <v>62</v>
      </c>
      <c r="I5468" s="3" t="s">
        <v>62</v>
      </c>
      <c r="J5468" s="3" t="s">
        <v>62</v>
      </c>
      <c r="K5468" s="3" t="s">
        <v>63</v>
      </c>
      <c r="L5468" s="2" t="s">
        <v>52381</v>
      </c>
      <c r="M5468" s="2" t="s">
        <v>24593</v>
      </c>
      <c r="N5468" s="3" t="s">
        <v>894</v>
      </c>
      <c r="P5468" s="3" t="s">
        <v>65</v>
      </c>
      <c r="R5468" s="3" t="s">
        <v>66</v>
      </c>
      <c r="S5468" s="4">
        <v>0</v>
      </c>
      <c r="T5468" s="4">
        <v>0</v>
      </c>
      <c r="W5468" s="5" t="s">
        <v>67</v>
      </c>
      <c r="X5468" s="5" t="s">
        <v>67</v>
      </c>
      <c r="Y5468" s="4">
        <v>88</v>
      </c>
      <c r="Z5468" s="4">
        <v>12</v>
      </c>
      <c r="AA5468" s="4">
        <v>16</v>
      </c>
      <c r="AB5468" s="4">
        <v>2</v>
      </c>
      <c r="AC5468" s="4">
        <v>6</v>
      </c>
      <c r="AD5468" s="4">
        <v>25</v>
      </c>
      <c r="AE5468" s="4">
        <v>30</v>
      </c>
      <c r="AF5468" s="4">
        <v>0</v>
      </c>
      <c r="AG5468" s="4">
        <v>2</v>
      </c>
      <c r="AH5468" s="4">
        <v>20</v>
      </c>
      <c r="AI5468" s="4">
        <v>23</v>
      </c>
      <c r="AJ5468" s="4">
        <v>7</v>
      </c>
      <c r="AK5468" s="4">
        <v>9</v>
      </c>
      <c r="AL5468" s="4">
        <v>12</v>
      </c>
      <c r="AM5468" s="4">
        <v>14</v>
      </c>
      <c r="AN5468" s="4">
        <v>0</v>
      </c>
      <c r="AO5468" s="4">
        <v>0</v>
      </c>
      <c r="AP5468" s="4">
        <v>8</v>
      </c>
      <c r="AQ5468" s="4">
        <v>10</v>
      </c>
      <c r="AR5468" s="3" t="s">
        <v>62</v>
      </c>
      <c r="AS5468" s="3" t="s">
        <v>62</v>
      </c>
      <c r="AT5468" s="3" t="s">
        <v>62</v>
      </c>
      <c r="AV5468" s="6" t="str">
        <f>HYPERLINK("http://mcgill.on.worldcat.org/oclc/649701960","Catalog Record")</f>
        <v>Catalog Record</v>
      </c>
      <c r="AW5468" s="6" t="str">
        <f>HYPERLINK("http://www.worldcat.org/oclc/649701960","WorldCat Record")</f>
        <v>WorldCat Record</v>
      </c>
      <c r="AX5468" s="3" t="s">
        <v>52382</v>
      </c>
      <c r="AY5468" s="3" t="s">
        <v>52383</v>
      </c>
      <c r="AZ5468" s="3" t="s">
        <v>52384</v>
      </c>
      <c r="BA5468" s="3" t="s">
        <v>52384</v>
      </c>
      <c r="BB5468" s="3" t="s">
        <v>52385</v>
      </c>
      <c r="BC5468" s="3" t="s">
        <v>142</v>
      </c>
      <c r="BD5468" s="3" t="s">
        <v>68</v>
      </c>
      <c r="BE5468" s="3" t="s">
        <v>52386</v>
      </c>
      <c r="BF5468" s="3" t="s">
        <v>52385</v>
      </c>
      <c r="BG5468" s="3" t="s">
        <v>52387</v>
      </c>
    </row>
    <row r="5469" spans="1:59" ht="57" x14ac:dyDescent="0.45">
      <c r="A5469" s="2" t="s">
        <v>59</v>
      </c>
      <c r="B5469" s="2" t="s">
        <v>60</v>
      </c>
      <c r="C5469" s="2" t="s">
        <v>52388</v>
      </c>
      <c r="D5469" s="2" t="s">
        <v>52389</v>
      </c>
      <c r="E5469" s="2" t="s">
        <v>52390</v>
      </c>
      <c r="G5469" s="3" t="s">
        <v>62</v>
      </c>
      <c r="I5469" s="3" t="s">
        <v>62</v>
      </c>
      <c r="J5469" s="3" t="s">
        <v>62</v>
      </c>
      <c r="K5469" s="3" t="s">
        <v>63</v>
      </c>
      <c r="L5469" s="2" t="s">
        <v>52391</v>
      </c>
      <c r="M5469" s="2" t="s">
        <v>52392</v>
      </c>
      <c r="N5469" s="3" t="s">
        <v>1688</v>
      </c>
      <c r="P5469" s="3" t="s">
        <v>65</v>
      </c>
      <c r="R5469" s="3" t="s">
        <v>66</v>
      </c>
      <c r="S5469" s="4">
        <v>0</v>
      </c>
      <c r="T5469" s="4">
        <v>0</v>
      </c>
      <c r="W5469" s="5" t="s">
        <v>67</v>
      </c>
      <c r="X5469" s="5" t="s">
        <v>67</v>
      </c>
      <c r="Y5469" s="4">
        <v>30</v>
      </c>
      <c r="Z5469" s="4">
        <v>4</v>
      </c>
      <c r="AA5469" s="4">
        <v>4</v>
      </c>
      <c r="AB5469" s="4">
        <v>1</v>
      </c>
      <c r="AC5469" s="4">
        <v>1</v>
      </c>
      <c r="AD5469" s="4">
        <v>12</v>
      </c>
      <c r="AE5469" s="4">
        <v>12</v>
      </c>
      <c r="AF5469" s="4">
        <v>0</v>
      </c>
      <c r="AG5469" s="4">
        <v>0</v>
      </c>
      <c r="AH5469" s="4">
        <v>11</v>
      </c>
      <c r="AI5469" s="4">
        <v>11</v>
      </c>
      <c r="AJ5469" s="4">
        <v>3</v>
      </c>
      <c r="AK5469" s="4">
        <v>3</v>
      </c>
      <c r="AL5469" s="4">
        <v>8</v>
      </c>
      <c r="AM5469" s="4">
        <v>8</v>
      </c>
      <c r="AN5469" s="4">
        <v>0</v>
      </c>
      <c r="AO5469" s="4">
        <v>0</v>
      </c>
      <c r="AP5469" s="4">
        <v>3</v>
      </c>
      <c r="AQ5469" s="4">
        <v>3</v>
      </c>
      <c r="AR5469" s="3" t="s">
        <v>62</v>
      </c>
      <c r="AS5469" s="3" t="s">
        <v>62</v>
      </c>
      <c r="AT5469" s="3" t="s">
        <v>62</v>
      </c>
      <c r="AV5469" s="6" t="str">
        <f>HYPERLINK("http://mcgill.on.worldcat.org/oclc/842337461","Catalog Record")</f>
        <v>Catalog Record</v>
      </c>
      <c r="AW5469" s="6" t="str">
        <f>HYPERLINK("http://www.worldcat.org/oclc/842337461","WorldCat Record")</f>
        <v>WorldCat Record</v>
      </c>
      <c r="AX5469" s="3" t="s">
        <v>52393</v>
      </c>
      <c r="AY5469" s="3" t="s">
        <v>52394</v>
      </c>
      <c r="AZ5469" s="3" t="s">
        <v>52395</v>
      </c>
      <c r="BA5469" s="3" t="s">
        <v>52395</v>
      </c>
      <c r="BB5469" s="3" t="s">
        <v>52396</v>
      </c>
      <c r="BC5469" s="3" t="s">
        <v>142</v>
      </c>
      <c r="BD5469" s="3" t="s">
        <v>68</v>
      </c>
      <c r="BE5469" s="3" t="s">
        <v>52397</v>
      </c>
      <c r="BF5469" s="3" t="s">
        <v>52396</v>
      </c>
      <c r="BG5469" s="3" t="s">
        <v>52398</v>
      </c>
    </row>
    <row r="5470" spans="1:59" ht="57" x14ac:dyDescent="0.45">
      <c r="A5470" s="2" t="s">
        <v>59</v>
      </c>
      <c r="B5470" s="2" t="s">
        <v>60</v>
      </c>
      <c r="C5470" s="2" t="s">
        <v>52399</v>
      </c>
      <c r="D5470" s="2" t="s">
        <v>52400</v>
      </c>
      <c r="E5470" s="2" t="s">
        <v>52401</v>
      </c>
      <c r="G5470" s="3" t="s">
        <v>62</v>
      </c>
      <c r="I5470" s="3" t="s">
        <v>62</v>
      </c>
      <c r="J5470" s="3" t="s">
        <v>62</v>
      </c>
      <c r="K5470" s="3" t="s">
        <v>63</v>
      </c>
      <c r="M5470" s="2" t="s">
        <v>2976</v>
      </c>
      <c r="N5470" s="3" t="s">
        <v>149</v>
      </c>
      <c r="P5470" s="3" t="s">
        <v>65</v>
      </c>
      <c r="Q5470" s="2" t="s">
        <v>21253</v>
      </c>
      <c r="R5470" s="3" t="s">
        <v>66</v>
      </c>
      <c r="S5470" s="4">
        <v>6</v>
      </c>
      <c r="T5470" s="4">
        <v>6</v>
      </c>
      <c r="U5470" s="5" t="s">
        <v>50214</v>
      </c>
      <c r="V5470" s="5" t="s">
        <v>50214</v>
      </c>
      <c r="W5470" s="5" t="s">
        <v>67</v>
      </c>
      <c r="X5470" s="5" t="s">
        <v>67</v>
      </c>
      <c r="Y5470" s="4">
        <v>155</v>
      </c>
      <c r="Z5470" s="4">
        <v>19</v>
      </c>
      <c r="AA5470" s="4">
        <v>20</v>
      </c>
      <c r="AB5470" s="4">
        <v>2</v>
      </c>
      <c r="AC5470" s="4">
        <v>3</v>
      </c>
      <c r="AD5470" s="4">
        <v>63</v>
      </c>
      <c r="AE5470" s="4">
        <v>64</v>
      </c>
      <c r="AF5470" s="4">
        <v>1</v>
      </c>
      <c r="AG5470" s="4">
        <v>2</v>
      </c>
      <c r="AH5470" s="4">
        <v>56</v>
      </c>
      <c r="AI5470" s="4">
        <v>57</v>
      </c>
      <c r="AJ5470" s="4">
        <v>14</v>
      </c>
      <c r="AK5470" s="4">
        <v>15</v>
      </c>
      <c r="AL5470" s="4">
        <v>37</v>
      </c>
      <c r="AM5470" s="4">
        <v>37</v>
      </c>
      <c r="AN5470" s="4">
        <v>0</v>
      </c>
      <c r="AO5470" s="4">
        <v>0</v>
      </c>
      <c r="AP5470" s="4">
        <v>15</v>
      </c>
      <c r="AQ5470" s="4">
        <v>16</v>
      </c>
      <c r="AR5470" s="3" t="s">
        <v>62</v>
      </c>
      <c r="AS5470" s="3" t="s">
        <v>62</v>
      </c>
      <c r="AT5470" s="3" t="s">
        <v>62</v>
      </c>
      <c r="AV5470" s="6" t="str">
        <f>HYPERLINK("http://mcgill.on.worldcat.org/oclc/437305859","Catalog Record")</f>
        <v>Catalog Record</v>
      </c>
      <c r="AW5470" s="6" t="str">
        <f>HYPERLINK("http://www.worldcat.org/oclc/437305859","WorldCat Record")</f>
        <v>WorldCat Record</v>
      </c>
      <c r="AX5470" s="3" t="s">
        <v>52402</v>
      </c>
      <c r="AY5470" s="3" t="s">
        <v>52403</v>
      </c>
      <c r="AZ5470" s="3" t="s">
        <v>52404</v>
      </c>
      <c r="BA5470" s="3" t="s">
        <v>52404</v>
      </c>
      <c r="BB5470" s="3" t="s">
        <v>52405</v>
      </c>
      <c r="BC5470" s="3" t="s">
        <v>142</v>
      </c>
      <c r="BD5470" s="3" t="s">
        <v>68</v>
      </c>
      <c r="BE5470" s="3" t="s">
        <v>52406</v>
      </c>
      <c r="BF5470" s="3" t="s">
        <v>52405</v>
      </c>
      <c r="BG5470" s="3" t="s">
        <v>52407</v>
      </c>
    </row>
    <row r="5471" spans="1:59" ht="57" x14ac:dyDescent="0.45">
      <c r="A5471" s="2" t="s">
        <v>59</v>
      </c>
      <c r="B5471" s="2" t="s">
        <v>60</v>
      </c>
      <c r="C5471" s="2" t="s">
        <v>52408</v>
      </c>
      <c r="D5471" s="2" t="s">
        <v>52409</v>
      </c>
      <c r="E5471" s="2" t="s">
        <v>52410</v>
      </c>
      <c r="G5471" s="3" t="s">
        <v>62</v>
      </c>
      <c r="I5471" s="3" t="s">
        <v>62</v>
      </c>
      <c r="J5471" s="3" t="s">
        <v>62</v>
      </c>
      <c r="K5471" s="3" t="s">
        <v>63</v>
      </c>
      <c r="L5471" s="2" t="s">
        <v>52411</v>
      </c>
      <c r="M5471" s="2" t="s">
        <v>4069</v>
      </c>
      <c r="N5471" s="3" t="s">
        <v>116</v>
      </c>
      <c r="P5471" s="3" t="s">
        <v>65</v>
      </c>
      <c r="R5471" s="3" t="s">
        <v>66</v>
      </c>
      <c r="S5471" s="4">
        <v>2</v>
      </c>
      <c r="T5471" s="4">
        <v>2</v>
      </c>
      <c r="U5471" s="5" t="s">
        <v>52412</v>
      </c>
      <c r="V5471" s="5" t="s">
        <v>52412</v>
      </c>
      <c r="W5471" s="5" t="s">
        <v>67</v>
      </c>
      <c r="X5471" s="5" t="s">
        <v>67</v>
      </c>
      <c r="Y5471" s="4">
        <v>112</v>
      </c>
      <c r="Z5471" s="4">
        <v>14</v>
      </c>
      <c r="AA5471" s="4">
        <v>104</v>
      </c>
      <c r="AB5471" s="4">
        <v>1</v>
      </c>
      <c r="AC5471" s="4">
        <v>14</v>
      </c>
      <c r="AD5471" s="4">
        <v>54</v>
      </c>
      <c r="AE5471" s="4">
        <v>125</v>
      </c>
      <c r="AF5471" s="4">
        <v>0</v>
      </c>
      <c r="AG5471" s="4">
        <v>8</v>
      </c>
      <c r="AH5471" s="4">
        <v>49</v>
      </c>
      <c r="AI5471" s="4">
        <v>87</v>
      </c>
      <c r="AJ5471" s="4">
        <v>11</v>
      </c>
      <c r="AK5471" s="4">
        <v>25</v>
      </c>
      <c r="AL5471" s="4">
        <v>32</v>
      </c>
      <c r="AM5471" s="4">
        <v>48</v>
      </c>
      <c r="AN5471" s="4">
        <v>0</v>
      </c>
      <c r="AO5471" s="4">
        <v>0</v>
      </c>
      <c r="AP5471" s="4">
        <v>11</v>
      </c>
      <c r="AQ5471" s="4">
        <v>46</v>
      </c>
      <c r="AR5471" s="3" t="s">
        <v>62</v>
      </c>
      <c r="AS5471" s="3" t="s">
        <v>62</v>
      </c>
      <c r="AT5471" s="3" t="s">
        <v>62</v>
      </c>
      <c r="AV5471" s="6" t="str">
        <f>HYPERLINK("http://mcgill.on.worldcat.org/oclc/811137248","Catalog Record")</f>
        <v>Catalog Record</v>
      </c>
      <c r="AW5471" s="6" t="str">
        <f>HYPERLINK("http://www.worldcat.org/oclc/811137248","WorldCat Record")</f>
        <v>WorldCat Record</v>
      </c>
      <c r="AX5471" s="3" t="s">
        <v>52413</v>
      </c>
      <c r="AY5471" s="3" t="s">
        <v>52414</v>
      </c>
      <c r="AZ5471" s="3" t="s">
        <v>52415</v>
      </c>
      <c r="BA5471" s="3" t="s">
        <v>52415</v>
      </c>
      <c r="BB5471" s="3" t="s">
        <v>52416</v>
      </c>
      <c r="BC5471" s="3" t="s">
        <v>142</v>
      </c>
      <c r="BD5471" s="3" t="s">
        <v>68</v>
      </c>
      <c r="BE5471" s="3" t="s">
        <v>52417</v>
      </c>
      <c r="BF5471" s="3" t="s">
        <v>52416</v>
      </c>
      <c r="BG5471" s="3" t="s">
        <v>52418</v>
      </c>
    </row>
    <row r="5472" spans="1:59" ht="57" x14ac:dyDescent="0.45">
      <c r="A5472" s="2" t="s">
        <v>59</v>
      </c>
      <c r="B5472" s="2" t="s">
        <v>60</v>
      </c>
      <c r="C5472" s="2" t="s">
        <v>52419</v>
      </c>
      <c r="D5472" s="2" t="s">
        <v>52420</v>
      </c>
      <c r="E5472" s="2" t="s">
        <v>52421</v>
      </c>
      <c r="G5472" s="3" t="s">
        <v>62</v>
      </c>
      <c r="I5472" s="3" t="s">
        <v>62</v>
      </c>
      <c r="J5472" s="3" t="s">
        <v>62</v>
      </c>
      <c r="K5472" s="3" t="s">
        <v>63</v>
      </c>
      <c r="L5472" s="2" t="s">
        <v>52411</v>
      </c>
      <c r="M5472" s="2" t="s">
        <v>52422</v>
      </c>
      <c r="N5472" s="3" t="s">
        <v>1212</v>
      </c>
      <c r="P5472" s="3" t="s">
        <v>65</v>
      </c>
      <c r="Q5472" s="2" t="s">
        <v>52423</v>
      </c>
      <c r="R5472" s="3" t="s">
        <v>66</v>
      </c>
      <c r="S5472" s="4">
        <v>4</v>
      </c>
      <c r="T5472" s="4">
        <v>4</v>
      </c>
      <c r="U5472" s="5" t="s">
        <v>8465</v>
      </c>
      <c r="V5472" s="5" t="s">
        <v>8465</v>
      </c>
      <c r="W5472" s="5" t="s">
        <v>67</v>
      </c>
      <c r="X5472" s="5" t="s">
        <v>67</v>
      </c>
      <c r="Y5472" s="4">
        <v>65</v>
      </c>
      <c r="Z5472" s="4">
        <v>5</v>
      </c>
      <c r="AA5472" s="4">
        <v>9</v>
      </c>
      <c r="AB5472" s="4">
        <v>1</v>
      </c>
      <c r="AC5472" s="4">
        <v>2</v>
      </c>
      <c r="AD5472" s="4">
        <v>32</v>
      </c>
      <c r="AE5472" s="4">
        <v>37</v>
      </c>
      <c r="AF5472" s="4">
        <v>0</v>
      </c>
      <c r="AG5472" s="4">
        <v>1</v>
      </c>
      <c r="AH5472" s="4">
        <v>32</v>
      </c>
      <c r="AI5472" s="4">
        <v>36</v>
      </c>
      <c r="AJ5472" s="4">
        <v>4</v>
      </c>
      <c r="AK5472" s="4">
        <v>7</v>
      </c>
      <c r="AL5472" s="4">
        <v>18</v>
      </c>
      <c r="AM5472" s="4">
        <v>21</v>
      </c>
      <c r="AN5472" s="4">
        <v>0</v>
      </c>
      <c r="AO5472" s="4">
        <v>0</v>
      </c>
      <c r="AP5472" s="4">
        <v>4</v>
      </c>
      <c r="AQ5472" s="4">
        <v>7</v>
      </c>
      <c r="AR5472" s="3" t="s">
        <v>62</v>
      </c>
      <c r="AS5472" s="3" t="s">
        <v>62</v>
      </c>
      <c r="AT5472" s="3" t="s">
        <v>62</v>
      </c>
      <c r="AV5472" s="6" t="str">
        <f>HYPERLINK("http://mcgill.on.worldcat.org/oclc/49376007","Catalog Record")</f>
        <v>Catalog Record</v>
      </c>
      <c r="AW5472" s="6" t="str">
        <f>HYPERLINK("http://www.worldcat.org/oclc/49376007","WorldCat Record")</f>
        <v>WorldCat Record</v>
      </c>
      <c r="AX5472" s="3" t="s">
        <v>52424</v>
      </c>
      <c r="AY5472" s="3" t="s">
        <v>52425</v>
      </c>
      <c r="AZ5472" s="3" t="s">
        <v>52426</v>
      </c>
      <c r="BA5472" s="3" t="s">
        <v>52426</v>
      </c>
      <c r="BB5472" s="3" t="s">
        <v>52427</v>
      </c>
      <c r="BC5472" s="3" t="s">
        <v>142</v>
      </c>
      <c r="BD5472" s="3" t="s">
        <v>68</v>
      </c>
      <c r="BE5472" s="3" t="s">
        <v>52428</v>
      </c>
      <c r="BF5472" s="3" t="s">
        <v>52427</v>
      </c>
      <c r="BG5472" s="3" t="s">
        <v>52429</v>
      </c>
    </row>
    <row r="5473" spans="1:59" ht="71.25" x14ac:dyDescent="0.45">
      <c r="A5473" s="2" t="s">
        <v>59</v>
      </c>
      <c r="B5473" s="2" t="s">
        <v>60</v>
      </c>
      <c r="C5473" s="2" t="s">
        <v>52430</v>
      </c>
      <c r="D5473" s="2" t="s">
        <v>52431</v>
      </c>
      <c r="E5473" s="2" t="s">
        <v>52432</v>
      </c>
      <c r="F5473" s="3" t="s">
        <v>52433</v>
      </c>
      <c r="G5473" s="3" t="s">
        <v>62</v>
      </c>
      <c r="I5473" s="3" t="s">
        <v>62</v>
      </c>
      <c r="J5473" s="3" t="s">
        <v>62</v>
      </c>
      <c r="K5473" s="3" t="s">
        <v>63</v>
      </c>
      <c r="L5473" s="2" t="s">
        <v>52434</v>
      </c>
      <c r="M5473" s="2" t="s">
        <v>29799</v>
      </c>
      <c r="N5473" s="3" t="s">
        <v>480</v>
      </c>
      <c r="P5473" s="3" t="s">
        <v>65</v>
      </c>
      <c r="Q5473" s="2" t="s">
        <v>52435</v>
      </c>
      <c r="R5473" s="3" t="s">
        <v>66</v>
      </c>
      <c r="S5473" s="4">
        <v>4</v>
      </c>
      <c r="T5473" s="4">
        <v>4</v>
      </c>
      <c r="U5473" s="5" t="s">
        <v>31780</v>
      </c>
      <c r="V5473" s="5" t="s">
        <v>31780</v>
      </c>
      <c r="W5473" s="5" t="s">
        <v>67</v>
      </c>
      <c r="X5473" s="5" t="s">
        <v>67</v>
      </c>
      <c r="Y5473" s="4">
        <v>201</v>
      </c>
      <c r="Z5473" s="4">
        <v>13</v>
      </c>
      <c r="AA5473" s="4">
        <v>13</v>
      </c>
      <c r="AB5473" s="4">
        <v>1</v>
      </c>
      <c r="AC5473" s="4">
        <v>1</v>
      </c>
      <c r="AD5473" s="4">
        <v>69</v>
      </c>
      <c r="AE5473" s="4">
        <v>69</v>
      </c>
      <c r="AF5473" s="4">
        <v>0</v>
      </c>
      <c r="AG5473" s="4">
        <v>0</v>
      </c>
      <c r="AH5473" s="4">
        <v>61</v>
      </c>
      <c r="AI5473" s="4">
        <v>61</v>
      </c>
      <c r="AJ5473" s="4">
        <v>10</v>
      </c>
      <c r="AK5473" s="4">
        <v>10</v>
      </c>
      <c r="AL5473" s="4">
        <v>36</v>
      </c>
      <c r="AM5473" s="4">
        <v>36</v>
      </c>
      <c r="AN5473" s="4">
        <v>0</v>
      </c>
      <c r="AO5473" s="4">
        <v>0</v>
      </c>
      <c r="AP5473" s="4">
        <v>11</v>
      </c>
      <c r="AQ5473" s="4">
        <v>11</v>
      </c>
      <c r="AR5473" s="3" t="s">
        <v>62</v>
      </c>
      <c r="AS5473" s="3" t="s">
        <v>62</v>
      </c>
      <c r="AT5473" s="3" t="s">
        <v>62</v>
      </c>
      <c r="AV5473" s="6" t="str">
        <f>HYPERLINK("http://mcgill.on.worldcat.org/oclc/5709298","Catalog Record")</f>
        <v>Catalog Record</v>
      </c>
      <c r="AW5473" s="6" t="str">
        <f>HYPERLINK("http://www.worldcat.org/oclc/5709298","WorldCat Record")</f>
        <v>WorldCat Record</v>
      </c>
      <c r="AX5473" s="3" t="s">
        <v>52436</v>
      </c>
      <c r="AY5473" s="3" t="s">
        <v>52437</v>
      </c>
      <c r="AZ5473" s="3" t="s">
        <v>52438</v>
      </c>
      <c r="BA5473" s="3" t="s">
        <v>52438</v>
      </c>
      <c r="BB5473" s="3" t="s">
        <v>52439</v>
      </c>
      <c r="BC5473" s="3" t="s">
        <v>142</v>
      </c>
      <c r="BD5473" s="3" t="s">
        <v>68</v>
      </c>
      <c r="BE5473" s="3" t="s">
        <v>52440</v>
      </c>
      <c r="BF5473" s="3" t="s">
        <v>52439</v>
      </c>
      <c r="BG5473" s="3" t="s">
        <v>52441</v>
      </c>
    </row>
    <row r="5474" spans="1:59" ht="71.25" x14ac:dyDescent="0.45">
      <c r="A5474" s="2" t="s">
        <v>59</v>
      </c>
      <c r="B5474" s="2" t="s">
        <v>60</v>
      </c>
      <c r="C5474" s="2" t="s">
        <v>52442</v>
      </c>
      <c r="D5474" s="2" t="s">
        <v>52443</v>
      </c>
      <c r="E5474" s="2" t="s">
        <v>52444</v>
      </c>
      <c r="F5474" s="3" t="s">
        <v>52445</v>
      </c>
      <c r="G5474" s="3" t="s">
        <v>62</v>
      </c>
      <c r="I5474" s="3" t="s">
        <v>62</v>
      </c>
      <c r="J5474" s="3" t="s">
        <v>62</v>
      </c>
      <c r="K5474" s="3" t="s">
        <v>63</v>
      </c>
      <c r="M5474" s="2" t="s">
        <v>29799</v>
      </c>
      <c r="N5474" s="3" t="s">
        <v>480</v>
      </c>
      <c r="P5474" s="3" t="s">
        <v>65</v>
      </c>
      <c r="Q5474" s="2" t="s">
        <v>52446</v>
      </c>
      <c r="R5474" s="3" t="s">
        <v>66</v>
      </c>
      <c r="S5474" s="4">
        <v>8</v>
      </c>
      <c r="T5474" s="4">
        <v>8</v>
      </c>
      <c r="U5474" s="5" t="s">
        <v>472</v>
      </c>
      <c r="V5474" s="5" t="s">
        <v>472</v>
      </c>
      <c r="W5474" s="5" t="s">
        <v>67</v>
      </c>
      <c r="X5474" s="5" t="s">
        <v>67</v>
      </c>
      <c r="Y5474" s="4">
        <v>174</v>
      </c>
      <c r="Z5474" s="4">
        <v>13</v>
      </c>
      <c r="AA5474" s="4">
        <v>15</v>
      </c>
      <c r="AB5474" s="4">
        <v>1</v>
      </c>
      <c r="AC5474" s="4">
        <v>3</v>
      </c>
      <c r="AD5474" s="4">
        <v>70</v>
      </c>
      <c r="AE5474" s="4">
        <v>72</v>
      </c>
      <c r="AF5474" s="4">
        <v>0</v>
      </c>
      <c r="AG5474" s="4">
        <v>2</v>
      </c>
      <c r="AH5474" s="4">
        <v>62</v>
      </c>
      <c r="AI5474" s="4">
        <v>62</v>
      </c>
      <c r="AJ5474" s="4">
        <v>10</v>
      </c>
      <c r="AK5474" s="4">
        <v>12</v>
      </c>
      <c r="AL5474" s="4">
        <v>37</v>
      </c>
      <c r="AM5474" s="4">
        <v>37</v>
      </c>
      <c r="AN5474" s="4">
        <v>0</v>
      </c>
      <c r="AO5474" s="4">
        <v>0</v>
      </c>
      <c r="AP5474" s="4">
        <v>11</v>
      </c>
      <c r="AQ5474" s="4">
        <v>12</v>
      </c>
      <c r="AR5474" s="3" t="s">
        <v>62</v>
      </c>
      <c r="AS5474" s="3" t="s">
        <v>62</v>
      </c>
      <c r="AT5474" s="3" t="s">
        <v>61</v>
      </c>
      <c r="AU5474" s="6" t="str">
        <f>HYPERLINK("http://catalog.hathitrust.org/Record/007111166","HathiTrust Record")</f>
        <v>HathiTrust Record</v>
      </c>
      <c r="AV5474" s="6" t="str">
        <f>HYPERLINK("http://mcgill.on.worldcat.org/oclc/5317422","Catalog Record")</f>
        <v>Catalog Record</v>
      </c>
      <c r="AW5474" s="6" t="str">
        <f>HYPERLINK("http://www.worldcat.org/oclc/5317422","WorldCat Record")</f>
        <v>WorldCat Record</v>
      </c>
      <c r="AX5474" s="3" t="s">
        <v>52447</v>
      </c>
      <c r="AY5474" s="3" t="s">
        <v>52448</v>
      </c>
      <c r="AZ5474" s="3" t="s">
        <v>52449</v>
      </c>
      <c r="BA5474" s="3" t="s">
        <v>52449</v>
      </c>
      <c r="BB5474" s="3" t="s">
        <v>52450</v>
      </c>
      <c r="BC5474" s="3" t="s">
        <v>142</v>
      </c>
      <c r="BD5474" s="3" t="s">
        <v>308</v>
      </c>
      <c r="BE5474" s="3" t="s">
        <v>52451</v>
      </c>
      <c r="BF5474" s="3" t="s">
        <v>52450</v>
      </c>
      <c r="BG5474" s="3" t="s">
        <v>52452</v>
      </c>
    </row>
    <row r="5475" spans="1:59" ht="71.25" x14ac:dyDescent="0.45">
      <c r="A5475" s="2" t="s">
        <v>59</v>
      </c>
      <c r="B5475" s="2" t="s">
        <v>60</v>
      </c>
      <c r="C5475" s="2" t="s">
        <v>52453</v>
      </c>
      <c r="D5475" s="2" t="s">
        <v>52454</v>
      </c>
      <c r="E5475" s="2" t="s">
        <v>52455</v>
      </c>
      <c r="F5475" s="3" t="s">
        <v>52456</v>
      </c>
      <c r="G5475" s="3" t="s">
        <v>62</v>
      </c>
      <c r="I5475" s="3" t="s">
        <v>62</v>
      </c>
      <c r="J5475" s="3" t="s">
        <v>62</v>
      </c>
      <c r="K5475" s="3" t="s">
        <v>63</v>
      </c>
      <c r="M5475" s="2" t="s">
        <v>29799</v>
      </c>
      <c r="N5475" s="3" t="s">
        <v>480</v>
      </c>
      <c r="P5475" s="3" t="s">
        <v>65</v>
      </c>
      <c r="Q5475" s="2" t="s">
        <v>52457</v>
      </c>
      <c r="R5475" s="3" t="s">
        <v>66</v>
      </c>
      <c r="S5475" s="4">
        <v>25</v>
      </c>
      <c r="T5475" s="4">
        <v>25</v>
      </c>
      <c r="U5475" s="5" t="s">
        <v>52458</v>
      </c>
      <c r="V5475" s="5" t="s">
        <v>52458</v>
      </c>
      <c r="W5475" s="5" t="s">
        <v>67</v>
      </c>
      <c r="X5475" s="5" t="s">
        <v>67</v>
      </c>
      <c r="Y5475" s="4">
        <v>254</v>
      </c>
      <c r="Z5475" s="4">
        <v>16</v>
      </c>
      <c r="AA5475" s="4">
        <v>20</v>
      </c>
      <c r="AB5475" s="4">
        <v>1</v>
      </c>
      <c r="AC5475" s="4">
        <v>5</v>
      </c>
      <c r="AD5475" s="4">
        <v>79</v>
      </c>
      <c r="AE5475" s="4">
        <v>83</v>
      </c>
      <c r="AF5475" s="4">
        <v>0</v>
      </c>
      <c r="AG5475" s="4">
        <v>4</v>
      </c>
      <c r="AH5475" s="4">
        <v>69</v>
      </c>
      <c r="AI5475" s="4">
        <v>70</v>
      </c>
      <c r="AJ5475" s="4">
        <v>11</v>
      </c>
      <c r="AK5475" s="4">
        <v>14</v>
      </c>
      <c r="AL5475" s="4">
        <v>41</v>
      </c>
      <c r="AM5475" s="4">
        <v>41</v>
      </c>
      <c r="AN5475" s="4">
        <v>0</v>
      </c>
      <c r="AO5475" s="4">
        <v>0</v>
      </c>
      <c r="AP5475" s="4">
        <v>14</v>
      </c>
      <c r="AQ5475" s="4">
        <v>17</v>
      </c>
      <c r="AR5475" s="3" t="s">
        <v>62</v>
      </c>
      <c r="AS5475" s="3" t="s">
        <v>62</v>
      </c>
      <c r="AT5475" s="3" t="s">
        <v>61</v>
      </c>
      <c r="AU5475" s="6" t="str">
        <f>HYPERLINK("http://catalog.hathitrust.org/Record/007130202","HathiTrust Record")</f>
        <v>HathiTrust Record</v>
      </c>
      <c r="AV5475" s="6" t="str">
        <f>HYPERLINK("http://mcgill.on.worldcat.org/oclc/5433891","Catalog Record")</f>
        <v>Catalog Record</v>
      </c>
      <c r="AW5475" s="6" t="str">
        <f>HYPERLINK("http://www.worldcat.org/oclc/5433891","WorldCat Record")</f>
        <v>WorldCat Record</v>
      </c>
      <c r="AX5475" s="3" t="s">
        <v>52459</v>
      </c>
      <c r="AY5475" s="3" t="s">
        <v>52460</v>
      </c>
      <c r="AZ5475" s="3" t="s">
        <v>52461</v>
      </c>
      <c r="BA5475" s="3" t="s">
        <v>52461</v>
      </c>
      <c r="BB5475" s="3" t="s">
        <v>52462</v>
      </c>
      <c r="BC5475" s="3" t="s">
        <v>142</v>
      </c>
      <c r="BD5475" s="3" t="s">
        <v>68</v>
      </c>
      <c r="BE5475" s="3" t="s">
        <v>52463</v>
      </c>
      <c r="BF5475" s="3" t="s">
        <v>52462</v>
      </c>
      <c r="BG5475" s="3" t="s">
        <v>52464</v>
      </c>
    </row>
    <row r="5476" spans="1:59" ht="71.25" x14ac:dyDescent="0.45">
      <c r="A5476" s="2" t="s">
        <v>59</v>
      </c>
      <c r="B5476" s="2" t="s">
        <v>60</v>
      </c>
      <c r="C5476" s="2" t="s">
        <v>52465</v>
      </c>
      <c r="D5476" s="2" t="s">
        <v>52466</v>
      </c>
      <c r="E5476" s="2" t="s">
        <v>52467</v>
      </c>
      <c r="F5476" s="3" t="s">
        <v>232</v>
      </c>
      <c r="G5476" s="3" t="s">
        <v>62</v>
      </c>
      <c r="I5476" s="3" t="s">
        <v>62</v>
      </c>
      <c r="J5476" s="3" t="s">
        <v>62</v>
      </c>
      <c r="K5476" s="3" t="s">
        <v>63</v>
      </c>
      <c r="M5476" s="2" t="s">
        <v>52468</v>
      </c>
      <c r="N5476" s="3" t="s">
        <v>117</v>
      </c>
      <c r="P5476" s="3" t="s">
        <v>65</v>
      </c>
      <c r="Q5476" s="2" t="s">
        <v>52469</v>
      </c>
      <c r="R5476" s="3" t="s">
        <v>66</v>
      </c>
      <c r="S5476" s="4">
        <v>7</v>
      </c>
      <c r="T5476" s="4">
        <v>7</v>
      </c>
      <c r="U5476" s="5" t="s">
        <v>25378</v>
      </c>
      <c r="V5476" s="5" t="s">
        <v>25378</v>
      </c>
      <c r="W5476" s="5" t="s">
        <v>67</v>
      </c>
      <c r="X5476" s="5" t="s">
        <v>67</v>
      </c>
      <c r="Y5476" s="4">
        <v>211</v>
      </c>
      <c r="Z5476" s="4">
        <v>13</v>
      </c>
      <c r="AA5476" s="4">
        <v>16</v>
      </c>
      <c r="AB5476" s="4">
        <v>1</v>
      </c>
      <c r="AC5476" s="4">
        <v>4</v>
      </c>
      <c r="AD5476" s="4">
        <v>72</v>
      </c>
      <c r="AE5476" s="4">
        <v>75</v>
      </c>
      <c r="AF5476" s="4">
        <v>0</v>
      </c>
      <c r="AG5476" s="4">
        <v>3</v>
      </c>
      <c r="AH5476" s="4">
        <v>62</v>
      </c>
      <c r="AI5476" s="4">
        <v>63</v>
      </c>
      <c r="AJ5476" s="4">
        <v>11</v>
      </c>
      <c r="AK5476" s="4">
        <v>14</v>
      </c>
      <c r="AL5476" s="4">
        <v>38</v>
      </c>
      <c r="AM5476" s="4">
        <v>38</v>
      </c>
      <c r="AN5476" s="4">
        <v>0</v>
      </c>
      <c r="AO5476" s="4">
        <v>0</v>
      </c>
      <c r="AP5476" s="4">
        <v>11</v>
      </c>
      <c r="AQ5476" s="4">
        <v>13</v>
      </c>
      <c r="AR5476" s="3" t="s">
        <v>62</v>
      </c>
      <c r="AS5476" s="3" t="s">
        <v>62</v>
      </c>
      <c r="AT5476" s="3" t="s">
        <v>62</v>
      </c>
      <c r="AV5476" s="6" t="str">
        <f>HYPERLINK("http://mcgill.on.worldcat.org/oclc/7078835","Catalog Record")</f>
        <v>Catalog Record</v>
      </c>
      <c r="AW5476" s="6" t="str">
        <f>HYPERLINK("http://www.worldcat.org/oclc/7078835","WorldCat Record")</f>
        <v>WorldCat Record</v>
      </c>
      <c r="AX5476" s="3" t="s">
        <v>52470</v>
      </c>
      <c r="AY5476" s="3" t="s">
        <v>52471</v>
      </c>
      <c r="AZ5476" s="3" t="s">
        <v>52472</v>
      </c>
      <c r="BA5476" s="3" t="s">
        <v>52472</v>
      </c>
      <c r="BB5476" s="3" t="s">
        <v>52473</v>
      </c>
      <c r="BC5476" s="3" t="s">
        <v>142</v>
      </c>
      <c r="BD5476" s="3" t="s">
        <v>68</v>
      </c>
      <c r="BE5476" s="3" t="s">
        <v>52474</v>
      </c>
      <c r="BF5476" s="3" t="s">
        <v>52473</v>
      </c>
      <c r="BG5476" s="3" t="s">
        <v>52475</v>
      </c>
    </row>
    <row r="5477" spans="1:59" ht="71.25" x14ac:dyDescent="0.45">
      <c r="A5477" s="2" t="s">
        <v>59</v>
      </c>
      <c r="B5477" s="2" t="s">
        <v>60</v>
      </c>
      <c r="C5477" s="2" t="s">
        <v>52476</v>
      </c>
      <c r="D5477" s="2" t="s">
        <v>52477</v>
      </c>
      <c r="E5477" s="2" t="s">
        <v>52478</v>
      </c>
      <c r="F5477" s="3" t="s">
        <v>52479</v>
      </c>
      <c r="G5477" s="3" t="s">
        <v>62</v>
      </c>
      <c r="I5477" s="3" t="s">
        <v>62</v>
      </c>
      <c r="J5477" s="3" t="s">
        <v>62</v>
      </c>
      <c r="K5477" s="3" t="s">
        <v>63</v>
      </c>
      <c r="M5477" s="2" t="s">
        <v>52480</v>
      </c>
      <c r="N5477" s="3" t="s">
        <v>3160</v>
      </c>
      <c r="P5477" s="3" t="s">
        <v>65</v>
      </c>
      <c r="Q5477" s="2" t="s">
        <v>52481</v>
      </c>
      <c r="R5477" s="3" t="s">
        <v>66</v>
      </c>
      <c r="S5477" s="4">
        <v>33</v>
      </c>
      <c r="T5477" s="4">
        <v>33</v>
      </c>
      <c r="U5477" s="5" t="s">
        <v>8433</v>
      </c>
      <c r="V5477" s="5" t="s">
        <v>8433</v>
      </c>
      <c r="W5477" s="5" t="s">
        <v>67</v>
      </c>
      <c r="X5477" s="5" t="s">
        <v>67</v>
      </c>
      <c r="Y5477" s="4">
        <v>225</v>
      </c>
      <c r="Z5477" s="4">
        <v>11</v>
      </c>
      <c r="AA5477" s="4">
        <v>14</v>
      </c>
      <c r="AB5477" s="4">
        <v>1</v>
      </c>
      <c r="AC5477" s="4">
        <v>4</v>
      </c>
      <c r="AD5477" s="4">
        <v>67</v>
      </c>
      <c r="AE5477" s="4">
        <v>70</v>
      </c>
      <c r="AF5477" s="4">
        <v>0</v>
      </c>
      <c r="AG5477" s="4">
        <v>3</v>
      </c>
      <c r="AH5477" s="4">
        <v>59</v>
      </c>
      <c r="AI5477" s="4">
        <v>60</v>
      </c>
      <c r="AJ5477" s="4">
        <v>9</v>
      </c>
      <c r="AK5477" s="4">
        <v>12</v>
      </c>
      <c r="AL5477" s="4">
        <v>37</v>
      </c>
      <c r="AM5477" s="4">
        <v>37</v>
      </c>
      <c r="AN5477" s="4">
        <v>0</v>
      </c>
      <c r="AO5477" s="4">
        <v>0</v>
      </c>
      <c r="AP5477" s="4">
        <v>9</v>
      </c>
      <c r="AQ5477" s="4">
        <v>11</v>
      </c>
      <c r="AR5477" s="3" t="s">
        <v>62</v>
      </c>
      <c r="AS5477" s="3" t="s">
        <v>62</v>
      </c>
      <c r="AT5477" s="3" t="s">
        <v>62</v>
      </c>
      <c r="AV5477" s="6" t="str">
        <f>HYPERLINK("http://mcgill.on.worldcat.org/oclc/7709091","Catalog Record")</f>
        <v>Catalog Record</v>
      </c>
      <c r="AW5477" s="6" t="str">
        <f>HYPERLINK("http://www.worldcat.org/oclc/7709091","WorldCat Record")</f>
        <v>WorldCat Record</v>
      </c>
      <c r="AX5477" s="3" t="s">
        <v>52482</v>
      </c>
      <c r="AY5477" s="3" t="s">
        <v>52483</v>
      </c>
      <c r="AZ5477" s="3" t="s">
        <v>52484</v>
      </c>
      <c r="BA5477" s="3" t="s">
        <v>52484</v>
      </c>
      <c r="BB5477" s="3" t="s">
        <v>52485</v>
      </c>
      <c r="BC5477" s="3" t="s">
        <v>142</v>
      </c>
      <c r="BD5477" s="3" t="s">
        <v>68</v>
      </c>
      <c r="BE5477" s="3" t="s">
        <v>52486</v>
      </c>
      <c r="BF5477" s="3" t="s">
        <v>52485</v>
      </c>
      <c r="BG5477" s="3" t="s">
        <v>52487</v>
      </c>
    </row>
    <row r="5478" spans="1:59" ht="71.25" x14ac:dyDescent="0.45">
      <c r="A5478" s="2" t="s">
        <v>59</v>
      </c>
      <c r="B5478" s="2" t="s">
        <v>60</v>
      </c>
      <c r="C5478" s="2" t="s">
        <v>52488</v>
      </c>
      <c r="D5478" s="2" t="s">
        <v>52489</v>
      </c>
      <c r="E5478" s="2" t="s">
        <v>52490</v>
      </c>
      <c r="F5478" s="3" t="s">
        <v>52491</v>
      </c>
      <c r="G5478" s="3" t="s">
        <v>62</v>
      </c>
      <c r="I5478" s="3" t="s">
        <v>62</v>
      </c>
      <c r="J5478" s="3" t="s">
        <v>62</v>
      </c>
      <c r="K5478" s="3" t="s">
        <v>63</v>
      </c>
      <c r="L5478" s="2" t="s">
        <v>35559</v>
      </c>
      <c r="M5478" s="2" t="s">
        <v>52492</v>
      </c>
      <c r="N5478" s="3" t="s">
        <v>2107</v>
      </c>
      <c r="P5478" s="3" t="s">
        <v>65</v>
      </c>
      <c r="Q5478" s="2" t="s">
        <v>52493</v>
      </c>
      <c r="R5478" s="3" t="s">
        <v>66</v>
      </c>
      <c r="S5478" s="4">
        <v>11</v>
      </c>
      <c r="T5478" s="4">
        <v>11</v>
      </c>
      <c r="U5478" s="5" t="s">
        <v>21690</v>
      </c>
      <c r="V5478" s="5" t="s">
        <v>21690</v>
      </c>
      <c r="W5478" s="5" t="s">
        <v>67</v>
      </c>
      <c r="X5478" s="5" t="s">
        <v>67</v>
      </c>
      <c r="Y5478" s="4">
        <v>189</v>
      </c>
      <c r="Z5478" s="4">
        <v>12</v>
      </c>
      <c r="AA5478" s="4">
        <v>14</v>
      </c>
      <c r="AB5478" s="4">
        <v>1</v>
      </c>
      <c r="AC5478" s="4">
        <v>3</v>
      </c>
      <c r="AD5478" s="4">
        <v>69</v>
      </c>
      <c r="AE5478" s="4">
        <v>71</v>
      </c>
      <c r="AF5478" s="4">
        <v>0</v>
      </c>
      <c r="AG5478" s="4">
        <v>2</v>
      </c>
      <c r="AH5478" s="4">
        <v>61</v>
      </c>
      <c r="AI5478" s="4">
        <v>62</v>
      </c>
      <c r="AJ5478" s="4">
        <v>10</v>
      </c>
      <c r="AK5478" s="4">
        <v>12</v>
      </c>
      <c r="AL5478" s="4">
        <v>39</v>
      </c>
      <c r="AM5478" s="4">
        <v>39</v>
      </c>
      <c r="AN5478" s="4">
        <v>0</v>
      </c>
      <c r="AO5478" s="4">
        <v>0</v>
      </c>
      <c r="AP5478" s="4">
        <v>10</v>
      </c>
      <c r="AQ5478" s="4">
        <v>11</v>
      </c>
      <c r="AR5478" s="3" t="s">
        <v>62</v>
      </c>
      <c r="AS5478" s="3" t="s">
        <v>62</v>
      </c>
      <c r="AT5478" s="3" t="s">
        <v>61</v>
      </c>
      <c r="AU5478" s="6" t="str">
        <f>HYPERLINK("http://catalog.hathitrust.org/Record/007135501","HathiTrust Record")</f>
        <v>HathiTrust Record</v>
      </c>
      <c r="AV5478" s="6" t="str">
        <f>HYPERLINK("http://mcgill.on.worldcat.org/oclc/11648259","Catalog Record")</f>
        <v>Catalog Record</v>
      </c>
      <c r="AW5478" s="6" t="str">
        <f>HYPERLINK("http://www.worldcat.org/oclc/11648259","WorldCat Record")</f>
        <v>WorldCat Record</v>
      </c>
      <c r="AX5478" s="3" t="s">
        <v>52494</v>
      </c>
      <c r="AY5478" s="3" t="s">
        <v>52495</v>
      </c>
      <c r="AZ5478" s="3" t="s">
        <v>52496</v>
      </c>
      <c r="BA5478" s="3" t="s">
        <v>52496</v>
      </c>
      <c r="BB5478" s="3" t="s">
        <v>52497</v>
      </c>
      <c r="BC5478" s="3" t="s">
        <v>142</v>
      </c>
      <c r="BD5478" s="3" t="s">
        <v>68</v>
      </c>
      <c r="BE5478" s="3" t="s">
        <v>52498</v>
      </c>
      <c r="BF5478" s="3" t="s">
        <v>52497</v>
      </c>
      <c r="BG5478" s="3" t="s">
        <v>52499</v>
      </c>
    </row>
    <row r="5479" spans="1:59" ht="71.25" x14ac:dyDescent="0.45">
      <c r="A5479" s="2" t="s">
        <v>59</v>
      </c>
      <c r="B5479" s="2" t="s">
        <v>60</v>
      </c>
      <c r="C5479" s="2" t="s">
        <v>52500</v>
      </c>
      <c r="D5479" s="2" t="s">
        <v>52501</v>
      </c>
      <c r="E5479" s="2" t="s">
        <v>52502</v>
      </c>
      <c r="F5479" s="3" t="s">
        <v>245</v>
      </c>
      <c r="G5479" s="3" t="s">
        <v>62</v>
      </c>
      <c r="I5479" s="3" t="s">
        <v>62</v>
      </c>
      <c r="J5479" s="3" t="s">
        <v>62</v>
      </c>
      <c r="K5479" s="3" t="s">
        <v>63</v>
      </c>
      <c r="M5479" s="2" t="s">
        <v>2572</v>
      </c>
      <c r="N5479" s="3" t="s">
        <v>568</v>
      </c>
      <c r="P5479" s="3" t="s">
        <v>65</v>
      </c>
      <c r="Q5479" s="2" t="s">
        <v>52503</v>
      </c>
      <c r="R5479" s="3" t="s">
        <v>66</v>
      </c>
      <c r="S5479" s="4">
        <v>21</v>
      </c>
      <c r="T5479" s="4">
        <v>21</v>
      </c>
      <c r="U5479" s="5" t="s">
        <v>158</v>
      </c>
      <c r="V5479" s="5" t="s">
        <v>158</v>
      </c>
      <c r="W5479" s="5" t="s">
        <v>67</v>
      </c>
      <c r="X5479" s="5" t="s">
        <v>67</v>
      </c>
      <c r="Y5479" s="4">
        <v>208</v>
      </c>
      <c r="Z5479" s="4">
        <v>14</v>
      </c>
      <c r="AA5479" s="4">
        <v>15</v>
      </c>
      <c r="AB5479" s="4">
        <v>1</v>
      </c>
      <c r="AC5479" s="4">
        <v>2</v>
      </c>
      <c r="AD5479" s="4">
        <v>71</v>
      </c>
      <c r="AE5479" s="4">
        <v>72</v>
      </c>
      <c r="AF5479" s="4">
        <v>0</v>
      </c>
      <c r="AG5479" s="4">
        <v>1</v>
      </c>
      <c r="AH5479" s="4">
        <v>61</v>
      </c>
      <c r="AI5479" s="4">
        <v>61</v>
      </c>
      <c r="AJ5479" s="4">
        <v>11</v>
      </c>
      <c r="AK5479" s="4">
        <v>12</v>
      </c>
      <c r="AL5479" s="4">
        <v>38</v>
      </c>
      <c r="AM5479" s="4">
        <v>38</v>
      </c>
      <c r="AN5479" s="4">
        <v>0</v>
      </c>
      <c r="AO5479" s="4">
        <v>0</v>
      </c>
      <c r="AP5479" s="4">
        <v>12</v>
      </c>
      <c r="AQ5479" s="4">
        <v>12</v>
      </c>
      <c r="AR5479" s="3" t="s">
        <v>62</v>
      </c>
      <c r="AS5479" s="3" t="s">
        <v>62</v>
      </c>
      <c r="AT5479" s="3" t="s">
        <v>62</v>
      </c>
      <c r="AV5479" s="6" t="str">
        <f>HYPERLINK("http://mcgill.on.worldcat.org/oclc/14167609","Catalog Record")</f>
        <v>Catalog Record</v>
      </c>
      <c r="AW5479" s="6" t="str">
        <f>HYPERLINK("http://www.worldcat.org/oclc/14167609","WorldCat Record")</f>
        <v>WorldCat Record</v>
      </c>
      <c r="AX5479" s="3" t="s">
        <v>52504</v>
      </c>
      <c r="AY5479" s="3" t="s">
        <v>52505</v>
      </c>
      <c r="AZ5479" s="3" t="s">
        <v>52506</v>
      </c>
      <c r="BA5479" s="3" t="s">
        <v>52506</v>
      </c>
      <c r="BB5479" s="3" t="s">
        <v>52507</v>
      </c>
      <c r="BC5479" s="3" t="s">
        <v>142</v>
      </c>
      <c r="BD5479" s="3" t="s">
        <v>308</v>
      </c>
      <c r="BE5479" s="3" t="s">
        <v>52508</v>
      </c>
      <c r="BF5479" s="3" t="s">
        <v>52507</v>
      </c>
      <c r="BG5479" s="3" t="s">
        <v>52509</v>
      </c>
    </row>
    <row r="5480" spans="1:59" ht="71.25" x14ac:dyDescent="0.45">
      <c r="A5480" s="2" t="s">
        <v>59</v>
      </c>
      <c r="B5480" s="2" t="s">
        <v>60</v>
      </c>
      <c r="C5480" s="2" t="s">
        <v>52510</v>
      </c>
      <c r="D5480" s="2" t="s">
        <v>52511</v>
      </c>
      <c r="E5480" s="2" t="s">
        <v>52512</v>
      </c>
      <c r="F5480" s="3" t="s">
        <v>52513</v>
      </c>
      <c r="G5480" s="3" t="s">
        <v>62</v>
      </c>
      <c r="I5480" s="3" t="s">
        <v>62</v>
      </c>
      <c r="J5480" s="3" t="s">
        <v>62</v>
      </c>
      <c r="K5480" s="3" t="s">
        <v>63</v>
      </c>
      <c r="M5480" s="2" t="s">
        <v>52514</v>
      </c>
      <c r="N5480" s="3" t="s">
        <v>125</v>
      </c>
      <c r="P5480" s="3" t="s">
        <v>65</v>
      </c>
      <c r="Q5480" s="2" t="s">
        <v>52515</v>
      </c>
      <c r="R5480" s="3" t="s">
        <v>66</v>
      </c>
      <c r="S5480" s="4">
        <v>18</v>
      </c>
      <c r="T5480" s="4">
        <v>18</v>
      </c>
      <c r="U5480" s="5" t="s">
        <v>28854</v>
      </c>
      <c r="V5480" s="5" t="s">
        <v>28854</v>
      </c>
      <c r="W5480" s="5" t="s">
        <v>67</v>
      </c>
      <c r="X5480" s="5" t="s">
        <v>67</v>
      </c>
      <c r="Y5480" s="4">
        <v>188</v>
      </c>
      <c r="Z5480" s="4">
        <v>13</v>
      </c>
      <c r="AA5480" s="4">
        <v>14</v>
      </c>
      <c r="AB5480" s="4">
        <v>1</v>
      </c>
      <c r="AC5480" s="4">
        <v>2</v>
      </c>
      <c r="AD5480" s="4">
        <v>68</v>
      </c>
      <c r="AE5480" s="4">
        <v>69</v>
      </c>
      <c r="AF5480" s="4">
        <v>0</v>
      </c>
      <c r="AG5480" s="4">
        <v>1</v>
      </c>
      <c r="AH5480" s="4">
        <v>59</v>
      </c>
      <c r="AI5480" s="4">
        <v>59</v>
      </c>
      <c r="AJ5480" s="4">
        <v>10</v>
      </c>
      <c r="AK5480" s="4">
        <v>11</v>
      </c>
      <c r="AL5480" s="4">
        <v>34</v>
      </c>
      <c r="AM5480" s="4">
        <v>34</v>
      </c>
      <c r="AN5480" s="4">
        <v>0</v>
      </c>
      <c r="AO5480" s="4">
        <v>0</v>
      </c>
      <c r="AP5480" s="4">
        <v>11</v>
      </c>
      <c r="AQ5480" s="4">
        <v>11</v>
      </c>
      <c r="AR5480" s="3" t="s">
        <v>62</v>
      </c>
      <c r="AS5480" s="3" t="s">
        <v>62</v>
      </c>
      <c r="AT5480" s="3" t="s">
        <v>62</v>
      </c>
      <c r="AV5480" s="6" t="str">
        <f>HYPERLINK("http://mcgill.on.worldcat.org/oclc/20992983","Catalog Record")</f>
        <v>Catalog Record</v>
      </c>
      <c r="AW5480" s="6" t="str">
        <f>HYPERLINK("http://www.worldcat.org/oclc/20992983","WorldCat Record")</f>
        <v>WorldCat Record</v>
      </c>
      <c r="AX5480" s="3" t="s">
        <v>52516</v>
      </c>
      <c r="AY5480" s="3" t="s">
        <v>52517</v>
      </c>
      <c r="AZ5480" s="3" t="s">
        <v>52518</v>
      </c>
      <c r="BA5480" s="3" t="s">
        <v>52518</v>
      </c>
      <c r="BB5480" s="3" t="s">
        <v>52519</v>
      </c>
      <c r="BC5480" s="3" t="s">
        <v>142</v>
      </c>
      <c r="BD5480" s="3" t="s">
        <v>68</v>
      </c>
      <c r="BE5480" s="3" t="s">
        <v>52520</v>
      </c>
      <c r="BF5480" s="3" t="s">
        <v>52519</v>
      </c>
      <c r="BG5480" s="3" t="s">
        <v>52521</v>
      </c>
    </row>
    <row r="5481" spans="1:59" ht="71.25" x14ac:dyDescent="0.45">
      <c r="A5481" s="2" t="s">
        <v>59</v>
      </c>
      <c r="B5481" s="2" t="s">
        <v>60</v>
      </c>
      <c r="C5481" s="2" t="s">
        <v>52522</v>
      </c>
      <c r="D5481" s="2" t="s">
        <v>52523</v>
      </c>
      <c r="E5481" s="2" t="s">
        <v>52524</v>
      </c>
      <c r="F5481" s="3" t="s">
        <v>52525</v>
      </c>
      <c r="G5481" s="3" t="s">
        <v>62</v>
      </c>
      <c r="I5481" s="3" t="s">
        <v>62</v>
      </c>
      <c r="J5481" s="3" t="s">
        <v>62</v>
      </c>
      <c r="K5481" s="3" t="s">
        <v>63</v>
      </c>
      <c r="M5481" s="2" t="s">
        <v>52514</v>
      </c>
      <c r="N5481" s="3" t="s">
        <v>125</v>
      </c>
      <c r="P5481" s="3" t="s">
        <v>65</v>
      </c>
      <c r="Q5481" s="2" t="s">
        <v>52526</v>
      </c>
      <c r="R5481" s="3" t="s">
        <v>66</v>
      </c>
      <c r="S5481" s="4">
        <v>35</v>
      </c>
      <c r="T5481" s="4">
        <v>35</v>
      </c>
      <c r="U5481" s="5" t="s">
        <v>7245</v>
      </c>
      <c r="V5481" s="5" t="s">
        <v>7245</v>
      </c>
      <c r="W5481" s="5" t="s">
        <v>67</v>
      </c>
      <c r="X5481" s="5" t="s">
        <v>67</v>
      </c>
      <c r="Y5481" s="4">
        <v>192</v>
      </c>
      <c r="Z5481" s="4">
        <v>11</v>
      </c>
      <c r="AA5481" s="4">
        <v>12</v>
      </c>
      <c r="AB5481" s="4">
        <v>1</v>
      </c>
      <c r="AC5481" s="4">
        <v>2</v>
      </c>
      <c r="AD5481" s="4">
        <v>68</v>
      </c>
      <c r="AE5481" s="4">
        <v>69</v>
      </c>
      <c r="AF5481" s="4">
        <v>0</v>
      </c>
      <c r="AG5481" s="4">
        <v>1</v>
      </c>
      <c r="AH5481" s="4">
        <v>61</v>
      </c>
      <c r="AI5481" s="4">
        <v>61</v>
      </c>
      <c r="AJ5481" s="4">
        <v>9</v>
      </c>
      <c r="AK5481" s="4">
        <v>10</v>
      </c>
      <c r="AL5481" s="4">
        <v>39</v>
      </c>
      <c r="AM5481" s="4">
        <v>39</v>
      </c>
      <c r="AN5481" s="4">
        <v>0</v>
      </c>
      <c r="AO5481" s="4">
        <v>0</v>
      </c>
      <c r="AP5481" s="4">
        <v>9</v>
      </c>
      <c r="AQ5481" s="4">
        <v>9</v>
      </c>
      <c r="AR5481" s="3" t="s">
        <v>62</v>
      </c>
      <c r="AS5481" s="3" t="s">
        <v>62</v>
      </c>
      <c r="AT5481" s="3" t="s">
        <v>62</v>
      </c>
      <c r="AV5481" s="6" t="str">
        <f>HYPERLINK("http://mcgill.on.worldcat.org/oclc/20993054","Catalog Record")</f>
        <v>Catalog Record</v>
      </c>
      <c r="AW5481" s="6" t="str">
        <f>HYPERLINK("http://www.worldcat.org/oclc/20993054","WorldCat Record")</f>
        <v>WorldCat Record</v>
      </c>
      <c r="AX5481" s="3" t="s">
        <v>52527</v>
      </c>
      <c r="AY5481" s="3" t="s">
        <v>52528</v>
      </c>
      <c r="AZ5481" s="3" t="s">
        <v>52529</v>
      </c>
      <c r="BA5481" s="3" t="s">
        <v>52529</v>
      </c>
      <c r="BB5481" s="3" t="s">
        <v>52530</v>
      </c>
      <c r="BC5481" s="3" t="s">
        <v>142</v>
      </c>
      <c r="BD5481" s="3" t="s">
        <v>68</v>
      </c>
      <c r="BE5481" s="3" t="s">
        <v>52531</v>
      </c>
      <c r="BF5481" s="3" t="s">
        <v>52530</v>
      </c>
      <c r="BG5481" s="3" t="s">
        <v>52532</v>
      </c>
    </row>
    <row r="5482" spans="1:59" ht="71.25" x14ac:dyDescent="0.45">
      <c r="A5482" s="2" t="s">
        <v>59</v>
      </c>
      <c r="B5482" s="2" t="s">
        <v>60</v>
      </c>
      <c r="C5482" s="2" t="s">
        <v>52533</v>
      </c>
      <c r="D5482" s="2" t="s">
        <v>52534</v>
      </c>
      <c r="E5482" s="2" t="s">
        <v>52535</v>
      </c>
      <c r="F5482" s="3" t="s">
        <v>52536</v>
      </c>
      <c r="G5482" s="3" t="s">
        <v>62</v>
      </c>
      <c r="I5482" s="3" t="s">
        <v>62</v>
      </c>
      <c r="J5482" s="3" t="s">
        <v>62</v>
      </c>
      <c r="K5482" s="3" t="s">
        <v>63</v>
      </c>
      <c r="M5482" s="2" t="s">
        <v>52537</v>
      </c>
      <c r="N5482" s="3" t="s">
        <v>807</v>
      </c>
      <c r="P5482" s="3" t="s">
        <v>65</v>
      </c>
      <c r="Q5482" s="2" t="s">
        <v>52538</v>
      </c>
      <c r="R5482" s="3" t="s">
        <v>66</v>
      </c>
      <c r="S5482" s="4">
        <v>1</v>
      </c>
      <c r="T5482" s="4">
        <v>1</v>
      </c>
      <c r="U5482" s="5" t="s">
        <v>46109</v>
      </c>
      <c r="V5482" s="5" t="s">
        <v>46109</v>
      </c>
      <c r="W5482" s="5" t="s">
        <v>67</v>
      </c>
      <c r="X5482" s="5" t="s">
        <v>67</v>
      </c>
      <c r="Y5482" s="4">
        <v>1</v>
      </c>
      <c r="Z5482" s="4">
        <v>1</v>
      </c>
      <c r="AA5482" s="4">
        <v>14</v>
      </c>
      <c r="AB5482" s="4">
        <v>1</v>
      </c>
      <c r="AC5482" s="4">
        <v>3</v>
      </c>
      <c r="AD5482" s="4">
        <v>0</v>
      </c>
      <c r="AE5482" s="4">
        <v>70</v>
      </c>
      <c r="AF5482" s="4">
        <v>0</v>
      </c>
      <c r="AG5482" s="4">
        <v>2</v>
      </c>
      <c r="AH5482" s="4">
        <v>0</v>
      </c>
      <c r="AI5482" s="4">
        <v>60</v>
      </c>
      <c r="AJ5482" s="4">
        <v>0</v>
      </c>
      <c r="AK5482" s="4">
        <v>11</v>
      </c>
      <c r="AL5482" s="4">
        <v>0</v>
      </c>
      <c r="AM5482" s="4">
        <v>36</v>
      </c>
      <c r="AN5482" s="4">
        <v>0</v>
      </c>
      <c r="AO5482" s="4">
        <v>0</v>
      </c>
      <c r="AP5482" s="4">
        <v>0</v>
      </c>
      <c r="AQ5482" s="4">
        <v>11</v>
      </c>
      <c r="AR5482" s="3" t="s">
        <v>62</v>
      </c>
      <c r="AS5482" s="3" t="s">
        <v>62</v>
      </c>
      <c r="AT5482" s="3" t="s">
        <v>62</v>
      </c>
      <c r="AV5482" s="6" t="str">
        <f>HYPERLINK("http://mcgill.on.worldcat.org/oclc/793921078","Catalog Record")</f>
        <v>Catalog Record</v>
      </c>
      <c r="AW5482" s="6" t="str">
        <f>HYPERLINK("http://www.worldcat.org/oclc/793921078","WorldCat Record")</f>
        <v>WorldCat Record</v>
      </c>
      <c r="AX5482" s="3" t="s">
        <v>52539</v>
      </c>
      <c r="AY5482" s="3" t="s">
        <v>52540</v>
      </c>
      <c r="AZ5482" s="3" t="s">
        <v>52541</v>
      </c>
      <c r="BA5482" s="3" t="s">
        <v>52541</v>
      </c>
      <c r="BB5482" s="3" t="s">
        <v>52542</v>
      </c>
      <c r="BC5482" s="3" t="s">
        <v>142</v>
      </c>
      <c r="BD5482" s="3" t="s">
        <v>68</v>
      </c>
      <c r="BE5482" s="3" t="s">
        <v>52543</v>
      </c>
      <c r="BF5482" s="3" t="s">
        <v>52542</v>
      </c>
      <c r="BG5482" s="3" t="s">
        <v>52544</v>
      </c>
    </row>
    <row r="5483" spans="1:59" ht="71.25" x14ac:dyDescent="0.45">
      <c r="A5483" s="2" t="s">
        <v>59</v>
      </c>
      <c r="B5483" s="2" t="s">
        <v>60</v>
      </c>
      <c r="C5483" s="2" t="s">
        <v>52545</v>
      </c>
      <c r="D5483" s="2" t="s">
        <v>52546</v>
      </c>
      <c r="E5483" s="2" t="s">
        <v>52547</v>
      </c>
      <c r="F5483" s="3" t="s">
        <v>52548</v>
      </c>
      <c r="G5483" s="3" t="s">
        <v>62</v>
      </c>
      <c r="I5483" s="3" t="s">
        <v>62</v>
      </c>
      <c r="J5483" s="3" t="s">
        <v>62</v>
      </c>
      <c r="K5483" s="3" t="s">
        <v>63</v>
      </c>
      <c r="M5483" s="2" t="s">
        <v>52549</v>
      </c>
      <c r="N5483" s="3" t="s">
        <v>958</v>
      </c>
      <c r="P5483" s="3" t="s">
        <v>65</v>
      </c>
      <c r="Q5483" s="2" t="s">
        <v>52550</v>
      </c>
      <c r="R5483" s="3" t="s">
        <v>66</v>
      </c>
      <c r="S5483" s="4">
        <v>35</v>
      </c>
      <c r="T5483" s="4">
        <v>35</v>
      </c>
      <c r="U5483" s="5" t="s">
        <v>13746</v>
      </c>
      <c r="V5483" s="5" t="s">
        <v>13746</v>
      </c>
      <c r="W5483" s="5" t="s">
        <v>67</v>
      </c>
      <c r="X5483" s="5" t="s">
        <v>67</v>
      </c>
      <c r="Y5483" s="4">
        <v>171</v>
      </c>
      <c r="Z5483" s="4">
        <v>11</v>
      </c>
      <c r="AA5483" s="4">
        <v>89</v>
      </c>
      <c r="AB5483" s="4">
        <v>1</v>
      </c>
      <c r="AC5483" s="4">
        <v>18</v>
      </c>
      <c r="AD5483" s="4">
        <v>62</v>
      </c>
      <c r="AE5483" s="4">
        <v>112</v>
      </c>
      <c r="AF5483" s="4">
        <v>0</v>
      </c>
      <c r="AG5483" s="4">
        <v>8</v>
      </c>
      <c r="AH5483" s="4">
        <v>56</v>
      </c>
      <c r="AI5483" s="4">
        <v>76</v>
      </c>
      <c r="AJ5483" s="4">
        <v>8</v>
      </c>
      <c r="AK5483" s="4">
        <v>20</v>
      </c>
      <c r="AL5483" s="4">
        <v>34</v>
      </c>
      <c r="AM5483" s="4">
        <v>41</v>
      </c>
      <c r="AN5483" s="4">
        <v>0</v>
      </c>
      <c r="AO5483" s="4">
        <v>0</v>
      </c>
      <c r="AP5483" s="4">
        <v>9</v>
      </c>
      <c r="AQ5483" s="4">
        <v>41</v>
      </c>
      <c r="AR5483" s="3" t="s">
        <v>62</v>
      </c>
      <c r="AS5483" s="3" t="s">
        <v>62</v>
      </c>
      <c r="AT5483" s="3" t="s">
        <v>62</v>
      </c>
      <c r="AV5483" s="6" t="str">
        <f>HYPERLINK("http://mcgill.on.worldcat.org/oclc/33087681","Catalog Record")</f>
        <v>Catalog Record</v>
      </c>
      <c r="AW5483" s="6" t="str">
        <f>HYPERLINK("http://www.worldcat.org/oclc/33087681","WorldCat Record")</f>
        <v>WorldCat Record</v>
      </c>
      <c r="AX5483" s="3" t="s">
        <v>52551</v>
      </c>
      <c r="AY5483" s="3" t="s">
        <v>52552</v>
      </c>
      <c r="AZ5483" s="3" t="s">
        <v>52553</v>
      </c>
      <c r="BA5483" s="3" t="s">
        <v>52553</v>
      </c>
      <c r="BB5483" s="3" t="s">
        <v>52554</v>
      </c>
      <c r="BC5483" s="3" t="s">
        <v>142</v>
      </c>
      <c r="BD5483" s="3" t="s">
        <v>68</v>
      </c>
      <c r="BE5483" s="3" t="s">
        <v>52555</v>
      </c>
      <c r="BF5483" s="3" t="s">
        <v>52554</v>
      </c>
      <c r="BG5483" s="3" t="s">
        <v>52556</v>
      </c>
    </row>
    <row r="5484" spans="1:59" ht="71.25" x14ac:dyDescent="0.45">
      <c r="A5484" s="2" t="s">
        <v>59</v>
      </c>
      <c r="B5484" s="2" t="s">
        <v>60</v>
      </c>
      <c r="C5484" s="2" t="s">
        <v>52557</v>
      </c>
      <c r="D5484" s="2" t="s">
        <v>52558</v>
      </c>
      <c r="E5484" s="2" t="s">
        <v>52559</v>
      </c>
      <c r="F5484" s="3" t="s">
        <v>52560</v>
      </c>
      <c r="G5484" s="3" t="s">
        <v>62</v>
      </c>
      <c r="I5484" s="3" t="s">
        <v>62</v>
      </c>
      <c r="J5484" s="3" t="s">
        <v>62</v>
      </c>
      <c r="K5484" s="3" t="s">
        <v>63</v>
      </c>
      <c r="M5484" s="2" t="s">
        <v>52561</v>
      </c>
      <c r="N5484" s="3" t="s">
        <v>1253</v>
      </c>
      <c r="P5484" s="3" t="s">
        <v>65</v>
      </c>
      <c r="Q5484" s="2" t="s">
        <v>52562</v>
      </c>
      <c r="R5484" s="3" t="s">
        <v>66</v>
      </c>
      <c r="S5484" s="4">
        <v>9</v>
      </c>
      <c r="T5484" s="4">
        <v>9</v>
      </c>
      <c r="U5484" s="5" t="s">
        <v>52563</v>
      </c>
      <c r="V5484" s="5" t="s">
        <v>52563</v>
      </c>
      <c r="W5484" s="5" t="s">
        <v>67</v>
      </c>
      <c r="X5484" s="5" t="s">
        <v>67</v>
      </c>
      <c r="Y5484" s="4">
        <v>157</v>
      </c>
      <c r="Z5484" s="4">
        <v>10</v>
      </c>
      <c r="AA5484" s="4">
        <v>11</v>
      </c>
      <c r="AB5484" s="4">
        <v>1</v>
      </c>
      <c r="AC5484" s="4">
        <v>2</v>
      </c>
      <c r="AD5484" s="4">
        <v>62</v>
      </c>
      <c r="AE5484" s="4">
        <v>63</v>
      </c>
      <c r="AF5484" s="4">
        <v>0</v>
      </c>
      <c r="AG5484" s="4">
        <v>1</v>
      </c>
      <c r="AH5484" s="4">
        <v>55</v>
      </c>
      <c r="AI5484" s="4">
        <v>55</v>
      </c>
      <c r="AJ5484" s="4">
        <v>8</v>
      </c>
      <c r="AK5484" s="4">
        <v>9</v>
      </c>
      <c r="AL5484" s="4">
        <v>34</v>
      </c>
      <c r="AM5484" s="4">
        <v>34</v>
      </c>
      <c r="AN5484" s="4">
        <v>0</v>
      </c>
      <c r="AO5484" s="4">
        <v>0</v>
      </c>
      <c r="AP5484" s="4">
        <v>8</v>
      </c>
      <c r="AQ5484" s="4">
        <v>8</v>
      </c>
      <c r="AR5484" s="3" t="s">
        <v>62</v>
      </c>
      <c r="AS5484" s="3" t="s">
        <v>62</v>
      </c>
      <c r="AT5484" s="3" t="s">
        <v>62</v>
      </c>
      <c r="AV5484" s="6" t="str">
        <f>HYPERLINK("http://mcgill.on.worldcat.org/oclc/37852982","Catalog Record")</f>
        <v>Catalog Record</v>
      </c>
      <c r="AW5484" s="6" t="str">
        <f>HYPERLINK("http://www.worldcat.org/oclc/37852982","WorldCat Record")</f>
        <v>WorldCat Record</v>
      </c>
      <c r="AX5484" s="3" t="s">
        <v>52564</v>
      </c>
      <c r="AY5484" s="3" t="s">
        <v>52565</v>
      </c>
      <c r="AZ5484" s="3" t="s">
        <v>52566</v>
      </c>
      <c r="BA5484" s="3" t="s">
        <v>52566</v>
      </c>
      <c r="BB5484" s="3" t="s">
        <v>52567</v>
      </c>
      <c r="BC5484" s="3" t="s">
        <v>142</v>
      </c>
      <c r="BD5484" s="3" t="s">
        <v>68</v>
      </c>
      <c r="BE5484" s="3" t="s">
        <v>52568</v>
      </c>
      <c r="BF5484" s="3" t="s">
        <v>52567</v>
      </c>
      <c r="BG5484" s="3" t="s">
        <v>52569</v>
      </c>
    </row>
    <row r="5485" spans="1:59" ht="71.25" x14ac:dyDescent="0.45">
      <c r="A5485" s="2" t="s">
        <v>59</v>
      </c>
      <c r="B5485" s="2" t="s">
        <v>60</v>
      </c>
      <c r="C5485" s="2" t="s">
        <v>52570</v>
      </c>
      <c r="D5485" s="2" t="s">
        <v>52571</v>
      </c>
      <c r="E5485" s="2" t="s">
        <v>52572</v>
      </c>
      <c r="F5485" s="3" t="s">
        <v>52573</v>
      </c>
      <c r="G5485" s="3" t="s">
        <v>62</v>
      </c>
      <c r="I5485" s="3" t="s">
        <v>62</v>
      </c>
      <c r="J5485" s="3" t="s">
        <v>62</v>
      </c>
      <c r="K5485" s="3" t="s">
        <v>63</v>
      </c>
      <c r="M5485" s="2" t="s">
        <v>52574</v>
      </c>
      <c r="N5485" s="3" t="s">
        <v>542</v>
      </c>
      <c r="P5485" s="3" t="s">
        <v>65</v>
      </c>
      <c r="Q5485" s="2" t="s">
        <v>52575</v>
      </c>
      <c r="R5485" s="3" t="s">
        <v>66</v>
      </c>
      <c r="S5485" s="4">
        <v>5</v>
      </c>
      <c r="T5485" s="4">
        <v>5</v>
      </c>
      <c r="U5485" s="5" t="s">
        <v>26355</v>
      </c>
      <c r="V5485" s="5" t="s">
        <v>26355</v>
      </c>
      <c r="W5485" s="5" t="s">
        <v>67</v>
      </c>
      <c r="X5485" s="5" t="s">
        <v>67</v>
      </c>
      <c r="Y5485" s="4">
        <v>157</v>
      </c>
      <c r="Z5485" s="4">
        <v>12</v>
      </c>
      <c r="AA5485" s="4">
        <v>91</v>
      </c>
      <c r="AB5485" s="4">
        <v>2</v>
      </c>
      <c r="AC5485" s="4">
        <v>18</v>
      </c>
      <c r="AD5485" s="4">
        <v>62</v>
      </c>
      <c r="AE5485" s="4">
        <v>115</v>
      </c>
      <c r="AF5485" s="4">
        <v>0</v>
      </c>
      <c r="AG5485" s="4">
        <v>8</v>
      </c>
      <c r="AH5485" s="4">
        <v>55</v>
      </c>
      <c r="AI5485" s="4">
        <v>77</v>
      </c>
      <c r="AJ5485" s="4">
        <v>9</v>
      </c>
      <c r="AK5485" s="4">
        <v>22</v>
      </c>
      <c r="AL5485" s="4">
        <v>33</v>
      </c>
      <c r="AM5485" s="4">
        <v>41</v>
      </c>
      <c r="AN5485" s="4">
        <v>0</v>
      </c>
      <c r="AO5485" s="4">
        <v>0</v>
      </c>
      <c r="AP5485" s="4">
        <v>9</v>
      </c>
      <c r="AQ5485" s="4">
        <v>43</v>
      </c>
      <c r="AR5485" s="3" t="s">
        <v>62</v>
      </c>
      <c r="AS5485" s="3" t="s">
        <v>62</v>
      </c>
      <c r="AT5485" s="3" t="s">
        <v>62</v>
      </c>
      <c r="AV5485" s="6" t="str">
        <f>HYPERLINK("http://mcgill.on.worldcat.org/oclc/45295105","Catalog Record")</f>
        <v>Catalog Record</v>
      </c>
      <c r="AW5485" s="6" t="str">
        <f>HYPERLINK("http://www.worldcat.org/oclc/45295105","WorldCat Record")</f>
        <v>WorldCat Record</v>
      </c>
      <c r="AX5485" s="3" t="s">
        <v>52576</v>
      </c>
      <c r="AY5485" s="3" t="s">
        <v>52577</v>
      </c>
      <c r="AZ5485" s="3" t="s">
        <v>52578</v>
      </c>
      <c r="BA5485" s="3" t="s">
        <v>52578</v>
      </c>
      <c r="BB5485" s="3" t="s">
        <v>52579</v>
      </c>
      <c r="BC5485" s="3" t="s">
        <v>142</v>
      </c>
      <c r="BD5485" s="3" t="s">
        <v>68</v>
      </c>
      <c r="BE5485" s="3" t="s">
        <v>52580</v>
      </c>
      <c r="BF5485" s="3" t="s">
        <v>52579</v>
      </c>
      <c r="BG5485" s="3" t="s">
        <v>52581</v>
      </c>
    </row>
    <row r="5486" spans="1:59" ht="71.25" x14ac:dyDescent="0.45">
      <c r="A5486" s="2" t="s">
        <v>59</v>
      </c>
      <c r="B5486" s="2" t="s">
        <v>60</v>
      </c>
      <c r="C5486" s="2" t="s">
        <v>52582</v>
      </c>
      <c r="D5486" s="2" t="s">
        <v>52583</v>
      </c>
      <c r="E5486" s="2" t="s">
        <v>52584</v>
      </c>
      <c r="F5486" s="3" t="s">
        <v>52585</v>
      </c>
      <c r="G5486" s="3" t="s">
        <v>62</v>
      </c>
      <c r="I5486" s="3" t="s">
        <v>61</v>
      </c>
      <c r="J5486" s="3" t="s">
        <v>62</v>
      </c>
      <c r="K5486" s="3" t="s">
        <v>63</v>
      </c>
      <c r="L5486" s="2" t="s">
        <v>52586</v>
      </c>
      <c r="M5486" s="2" t="s">
        <v>52587</v>
      </c>
      <c r="N5486" s="3" t="s">
        <v>1855</v>
      </c>
      <c r="P5486" s="3" t="s">
        <v>65</v>
      </c>
      <c r="Q5486" s="2" t="s">
        <v>52588</v>
      </c>
      <c r="R5486" s="3" t="s">
        <v>66</v>
      </c>
      <c r="S5486" s="4">
        <v>0</v>
      </c>
      <c r="T5486" s="4">
        <v>4</v>
      </c>
      <c r="V5486" s="5" t="s">
        <v>32894</v>
      </c>
      <c r="W5486" s="5" t="s">
        <v>67</v>
      </c>
      <c r="X5486" s="5" t="s">
        <v>67</v>
      </c>
      <c r="Y5486" s="4">
        <v>141</v>
      </c>
      <c r="Z5486" s="4">
        <v>13</v>
      </c>
      <c r="AA5486" s="4">
        <v>83</v>
      </c>
      <c r="AB5486" s="4">
        <v>1</v>
      </c>
      <c r="AC5486" s="4">
        <v>14</v>
      </c>
      <c r="AD5486" s="4">
        <v>57</v>
      </c>
      <c r="AE5486" s="4">
        <v>110</v>
      </c>
      <c r="AF5486" s="4">
        <v>0</v>
      </c>
      <c r="AG5486" s="4">
        <v>8</v>
      </c>
      <c r="AH5486" s="4">
        <v>50</v>
      </c>
      <c r="AI5486" s="4">
        <v>72</v>
      </c>
      <c r="AJ5486" s="4">
        <v>11</v>
      </c>
      <c r="AK5486" s="4">
        <v>24</v>
      </c>
      <c r="AL5486" s="4">
        <v>28</v>
      </c>
      <c r="AM5486" s="4">
        <v>37</v>
      </c>
      <c r="AN5486" s="4">
        <v>0</v>
      </c>
      <c r="AO5486" s="4">
        <v>0</v>
      </c>
      <c r="AP5486" s="4">
        <v>11</v>
      </c>
      <c r="AQ5486" s="4">
        <v>46</v>
      </c>
      <c r="AR5486" s="3" t="s">
        <v>62</v>
      </c>
      <c r="AS5486" s="3" t="s">
        <v>62</v>
      </c>
      <c r="AT5486" s="3" t="s">
        <v>62</v>
      </c>
      <c r="AV5486" s="6" t="str">
        <f>HYPERLINK("http://mcgill.on.worldcat.org/oclc/57749519","Catalog Record")</f>
        <v>Catalog Record</v>
      </c>
      <c r="AW5486" s="6" t="str">
        <f>HYPERLINK("http://www.worldcat.org/oclc/57749519","WorldCat Record")</f>
        <v>WorldCat Record</v>
      </c>
      <c r="AX5486" s="3" t="s">
        <v>52589</v>
      </c>
      <c r="AY5486" s="3" t="s">
        <v>52590</v>
      </c>
      <c r="AZ5486" s="3" t="s">
        <v>52591</v>
      </c>
      <c r="BA5486" s="3" t="s">
        <v>52591</v>
      </c>
      <c r="BB5486" s="3" t="s">
        <v>52592</v>
      </c>
      <c r="BC5486" s="3" t="s">
        <v>142</v>
      </c>
      <c r="BD5486" s="3" t="s">
        <v>68</v>
      </c>
      <c r="BE5486" s="3" t="s">
        <v>52593</v>
      </c>
      <c r="BF5486" s="3" t="s">
        <v>52592</v>
      </c>
      <c r="BG5486" s="3" t="s">
        <v>52594</v>
      </c>
    </row>
    <row r="5487" spans="1:59" ht="71.25" x14ac:dyDescent="0.45">
      <c r="A5487" s="2" t="s">
        <v>59</v>
      </c>
      <c r="B5487" s="2" t="s">
        <v>60</v>
      </c>
      <c r="C5487" s="2" t="s">
        <v>52582</v>
      </c>
      <c r="D5487" s="2" t="s">
        <v>52583</v>
      </c>
      <c r="E5487" s="2" t="s">
        <v>52584</v>
      </c>
      <c r="F5487" s="3" t="s">
        <v>52585</v>
      </c>
      <c r="G5487" s="3" t="s">
        <v>62</v>
      </c>
      <c r="I5487" s="3" t="s">
        <v>61</v>
      </c>
      <c r="J5487" s="3" t="s">
        <v>62</v>
      </c>
      <c r="K5487" s="3" t="s">
        <v>63</v>
      </c>
      <c r="L5487" s="2" t="s">
        <v>52586</v>
      </c>
      <c r="M5487" s="2" t="s">
        <v>52587</v>
      </c>
      <c r="N5487" s="3" t="s">
        <v>1855</v>
      </c>
      <c r="P5487" s="3" t="s">
        <v>65</v>
      </c>
      <c r="Q5487" s="2" t="s">
        <v>52588</v>
      </c>
      <c r="R5487" s="3" t="s">
        <v>66</v>
      </c>
      <c r="S5487" s="4">
        <v>4</v>
      </c>
      <c r="T5487" s="4">
        <v>4</v>
      </c>
      <c r="U5487" s="5" t="s">
        <v>32894</v>
      </c>
      <c r="V5487" s="5" t="s">
        <v>32894</v>
      </c>
      <c r="W5487" s="5" t="s">
        <v>67</v>
      </c>
      <c r="X5487" s="5" t="s">
        <v>67</v>
      </c>
      <c r="Y5487" s="4">
        <v>141</v>
      </c>
      <c r="Z5487" s="4">
        <v>13</v>
      </c>
      <c r="AA5487" s="4">
        <v>83</v>
      </c>
      <c r="AB5487" s="4">
        <v>1</v>
      </c>
      <c r="AC5487" s="4">
        <v>14</v>
      </c>
      <c r="AD5487" s="4">
        <v>57</v>
      </c>
      <c r="AE5487" s="4">
        <v>110</v>
      </c>
      <c r="AF5487" s="4">
        <v>0</v>
      </c>
      <c r="AG5487" s="4">
        <v>8</v>
      </c>
      <c r="AH5487" s="4">
        <v>50</v>
      </c>
      <c r="AI5487" s="4">
        <v>72</v>
      </c>
      <c r="AJ5487" s="4">
        <v>11</v>
      </c>
      <c r="AK5487" s="4">
        <v>24</v>
      </c>
      <c r="AL5487" s="4">
        <v>28</v>
      </c>
      <c r="AM5487" s="4">
        <v>37</v>
      </c>
      <c r="AN5487" s="4">
        <v>0</v>
      </c>
      <c r="AO5487" s="4">
        <v>0</v>
      </c>
      <c r="AP5487" s="4">
        <v>11</v>
      </c>
      <c r="AQ5487" s="4">
        <v>46</v>
      </c>
      <c r="AR5487" s="3" t="s">
        <v>62</v>
      </c>
      <c r="AS5487" s="3" t="s">
        <v>62</v>
      </c>
      <c r="AT5487" s="3" t="s">
        <v>62</v>
      </c>
      <c r="AV5487" s="6" t="str">
        <f>HYPERLINK("http://mcgill.on.worldcat.org/oclc/57749519","Catalog Record")</f>
        <v>Catalog Record</v>
      </c>
      <c r="AW5487" s="6" t="str">
        <f>HYPERLINK("http://www.worldcat.org/oclc/57749519","WorldCat Record")</f>
        <v>WorldCat Record</v>
      </c>
      <c r="AX5487" s="3" t="s">
        <v>52589</v>
      </c>
      <c r="AY5487" s="3" t="s">
        <v>52590</v>
      </c>
      <c r="AZ5487" s="3" t="s">
        <v>52591</v>
      </c>
      <c r="BA5487" s="3" t="s">
        <v>52591</v>
      </c>
      <c r="BB5487" s="3" t="s">
        <v>52595</v>
      </c>
      <c r="BC5487" s="3" t="s">
        <v>142</v>
      </c>
      <c r="BD5487" s="3" t="s">
        <v>68</v>
      </c>
      <c r="BE5487" s="3" t="s">
        <v>52593</v>
      </c>
      <c r="BF5487" s="3" t="s">
        <v>52595</v>
      </c>
      <c r="BG5487" s="3" t="s">
        <v>52596</v>
      </c>
    </row>
    <row r="5488" spans="1:59" ht="71.25" x14ac:dyDescent="0.45">
      <c r="A5488" s="2" t="s">
        <v>59</v>
      </c>
      <c r="B5488" s="2" t="s">
        <v>60</v>
      </c>
      <c r="C5488" s="2" t="s">
        <v>52597</v>
      </c>
      <c r="D5488" s="2" t="s">
        <v>52598</v>
      </c>
      <c r="E5488" s="2" t="s">
        <v>52599</v>
      </c>
      <c r="F5488" s="3" t="s">
        <v>89</v>
      </c>
      <c r="G5488" s="3" t="s">
        <v>62</v>
      </c>
      <c r="I5488" s="3" t="s">
        <v>61</v>
      </c>
      <c r="J5488" s="3" t="s">
        <v>62</v>
      </c>
      <c r="K5488" s="3" t="s">
        <v>63</v>
      </c>
      <c r="M5488" s="2" t="s">
        <v>52600</v>
      </c>
      <c r="N5488" s="3" t="s">
        <v>1073</v>
      </c>
      <c r="P5488" s="3" t="s">
        <v>65</v>
      </c>
      <c r="Q5488" s="2" t="s">
        <v>52601</v>
      </c>
      <c r="R5488" s="3" t="s">
        <v>66</v>
      </c>
      <c r="S5488" s="4">
        <v>2</v>
      </c>
      <c r="T5488" s="4">
        <v>51</v>
      </c>
      <c r="U5488" s="5" t="s">
        <v>52602</v>
      </c>
      <c r="V5488" s="5" t="s">
        <v>52563</v>
      </c>
      <c r="W5488" s="5" t="s">
        <v>67</v>
      </c>
      <c r="X5488" s="5" t="s">
        <v>67</v>
      </c>
      <c r="Y5488" s="4">
        <v>204</v>
      </c>
      <c r="Z5488" s="4">
        <v>14</v>
      </c>
      <c r="AA5488" s="4">
        <v>18</v>
      </c>
      <c r="AB5488" s="4">
        <v>1</v>
      </c>
      <c r="AC5488" s="4">
        <v>4</v>
      </c>
      <c r="AD5488" s="4">
        <v>71</v>
      </c>
      <c r="AE5488" s="4">
        <v>75</v>
      </c>
      <c r="AF5488" s="4">
        <v>0</v>
      </c>
      <c r="AG5488" s="4">
        <v>3</v>
      </c>
      <c r="AH5488" s="4">
        <v>61</v>
      </c>
      <c r="AI5488" s="4">
        <v>62</v>
      </c>
      <c r="AJ5488" s="4">
        <v>11</v>
      </c>
      <c r="AK5488" s="4">
        <v>15</v>
      </c>
      <c r="AL5488" s="4">
        <v>36</v>
      </c>
      <c r="AM5488" s="4">
        <v>36</v>
      </c>
      <c r="AN5488" s="4">
        <v>0</v>
      </c>
      <c r="AO5488" s="4">
        <v>0</v>
      </c>
      <c r="AP5488" s="4">
        <v>12</v>
      </c>
      <c r="AQ5488" s="4">
        <v>15</v>
      </c>
      <c r="AR5488" s="3" t="s">
        <v>62</v>
      </c>
      <c r="AS5488" s="3" t="s">
        <v>62</v>
      </c>
      <c r="AT5488" s="3" t="s">
        <v>62</v>
      </c>
      <c r="AV5488" s="6" t="str">
        <f>HYPERLINK("http://mcgill.on.worldcat.org/oclc/2595964","Catalog Record")</f>
        <v>Catalog Record</v>
      </c>
      <c r="AW5488" s="6" t="str">
        <f>HYPERLINK("http://www.worldcat.org/oclc/2595964","WorldCat Record")</f>
        <v>WorldCat Record</v>
      </c>
      <c r="AX5488" s="3" t="s">
        <v>52603</v>
      </c>
      <c r="AY5488" s="3" t="s">
        <v>52604</v>
      </c>
      <c r="AZ5488" s="3" t="s">
        <v>52605</v>
      </c>
      <c r="BA5488" s="3" t="s">
        <v>52605</v>
      </c>
      <c r="BB5488" s="3" t="s">
        <v>52606</v>
      </c>
      <c r="BC5488" s="3" t="s">
        <v>142</v>
      </c>
      <c r="BD5488" s="3" t="s">
        <v>68</v>
      </c>
      <c r="BE5488" s="3" t="s">
        <v>52607</v>
      </c>
      <c r="BF5488" s="3" t="s">
        <v>52606</v>
      </c>
      <c r="BG5488" s="3" t="s">
        <v>52608</v>
      </c>
    </row>
    <row r="5489" spans="1:59" ht="71.25" x14ac:dyDescent="0.45">
      <c r="A5489" s="2" t="s">
        <v>59</v>
      </c>
      <c r="B5489" s="2" t="s">
        <v>60</v>
      </c>
      <c r="C5489" s="2" t="s">
        <v>52597</v>
      </c>
      <c r="D5489" s="2" t="s">
        <v>52598</v>
      </c>
      <c r="E5489" s="2" t="s">
        <v>52599</v>
      </c>
      <c r="F5489" s="3" t="s">
        <v>52609</v>
      </c>
      <c r="G5489" s="3" t="s">
        <v>62</v>
      </c>
      <c r="I5489" s="3" t="s">
        <v>61</v>
      </c>
      <c r="J5489" s="3" t="s">
        <v>62</v>
      </c>
      <c r="K5489" s="3" t="s">
        <v>63</v>
      </c>
      <c r="M5489" s="2" t="s">
        <v>52600</v>
      </c>
      <c r="N5489" s="3" t="s">
        <v>1073</v>
      </c>
      <c r="P5489" s="3" t="s">
        <v>65</v>
      </c>
      <c r="Q5489" s="2" t="s">
        <v>52601</v>
      </c>
      <c r="R5489" s="3" t="s">
        <v>66</v>
      </c>
      <c r="S5489" s="4">
        <v>49</v>
      </c>
      <c r="T5489" s="4">
        <v>51</v>
      </c>
      <c r="U5489" s="5" t="s">
        <v>52563</v>
      </c>
      <c r="V5489" s="5" t="s">
        <v>52563</v>
      </c>
      <c r="W5489" s="5" t="s">
        <v>67</v>
      </c>
      <c r="X5489" s="5" t="s">
        <v>67</v>
      </c>
      <c r="Y5489" s="4">
        <v>204</v>
      </c>
      <c r="Z5489" s="4">
        <v>14</v>
      </c>
      <c r="AA5489" s="4">
        <v>18</v>
      </c>
      <c r="AB5489" s="4">
        <v>1</v>
      </c>
      <c r="AC5489" s="4">
        <v>4</v>
      </c>
      <c r="AD5489" s="4">
        <v>71</v>
      </c>
      <c r="AE5489" s="4">
        <v>75</v>
      </c>
      <c r="AF5489" s="4">
        <v>0</v>
      </c>
      <c r="AG5489" s="4">
        <v>3</v>
      </c>
      <c r="AH5489" s="4">
        <v>61</v>
      </c>
      <c r="AI5489" s="4">
        <v>62</v>
      </c>
      <c r="AJ5489" s="4">
        <v>11</v>
      </c>
      <c r="AK5489" s="4">
        <v>15</v>
      </c>
      <c r="AL5489" s="4">
        <v>36</v>
      </c>
      <c r="AM5489" s="4">
        <v>36</v>
      </c>
      <c r="AN5489" s="4">
        <v>0</v>
      </c>
      <c r="AO5489" s="4">
        <v>0</v>
      </c>
      <c r="AP5489" s="4">
        <v>12</v>
      </c>
      <c r="AQ5489" s="4">
        <v>15</v>
      </c>
      <c r="AR5489" s="3" t="s">
        <v>62</v>
      </c>
      <c r="AS5489" s="3" t="s">
        <v>62</v>
      </c>
      <c r="AT5489" s="3" t="s">
        <v>62</v>
      </c>
      <c r="AV5489" s="6" t="str">
        <f>HYPERLINK("http://mcgill.on.worldcat.org/oclc/2595964","Catalog Record")</f>
        <v>Catalog Record</v>
      </c>
      <c r="AW5489" s="6" t="str">
        <f>HYPERLINK("http://www.worldcat.org/oclc/2595964","WorldCat Record")</f>
        <v>WorldCat Record</v>
      </c>
      <c r="AX5489" s="3" t="s">
        <v>52603</v>
      </c>
      <c r="AY5489" s="3" t="s">
        <v>52604</v>
      </c>
      <c r="AZ5489" s="3" t="s">
        <v>52605</v>
      </c>
      <c r="BA5489" s="3" t="s">
        <v>52605</v>
      </c>
      <c r="BB5489" s="3" t="s">
        <v>52610</v>
      </c>
      <c r="BC5489" s="3" t="s">
        <v>142</v>
      </c>
      <c r="BD5489" s="3" t="s">
        <v>68</v>
      </c>
      <c r="BE5489" s="3" t="s">
        <v>52607</v>
      </c>
      <c r="BF5489" s="3" t="s">
        <v>52610</v>
      </c>
      <c r="BG5489" s="3" t="s">
        <v>52611</v>
      </c>
    </row>
    <row r="5490" spans="1:59" ht="71.25" x14ac:dyDescent="0.45">
      <c r="A5490" s="2" t="s">
        <v>59</v>
      </c>
      <c r="B5490" s="2" t="s">
        <v>60</v>
      </c>
      <c r="C5490" s="2" t="s">
        <v>52612</v>
      </c>
      <c r="D5490" s="2" t="s">
        <v>52613</v>
      </c>
      <c r="E5490" s="2" t="s">
        <v>52614</v>
      </c>
      <c r="F5490" s="3" t="s">
        <v>52615</v>
      </c>
      <c r="G5490" s="3" t="s">
        <v>62</v>
      </c>
      <c r="I5490" s="3" t="s">
        <v>62</v>
      </c>
      <c r="J5490" s="3" t="s">
        <v>62</v>
      </c>
      <c r="K5490" s="3" t="s">
        <v>63</v>
      </c>
      <c r="M5490" s="2" t="s">
        <v>43424</v>
      </c>
      <c r="N5490" s="3" t="s">
        <v>583</v>
      </c>
      <c r="P5490" s="3" t="s">
        <v>65</v>
      </c>
      <c r="Q5490" s="2" t="s">
        <v>52616</v>
      </c>
      <c r="R5490" s="3" t="s">
        <v>66</v>
      </c>
      <c r="S5490" s="4">
        <v>19</v>
      </c>
      <c r="T5490" s="4">
        <v>19</v>
      </c>
      <c r="U5490" s="5" t="s">
        <v>9468</v>
      </c>
      <c r="V5490" s="5" t="s">
        <v>9468</v>
      </c>
      <c r="W5490" s="5" t="s">
        <v>67</v>
      </c>
      <c r="X5490" s="5" t="s">
        <v>67</v>
      </c>
      <c r="Y5490" s="4">
        <v>223</v>
      </c>
      <c r="Z5490" s="4">
        <v>16</v>
      </c>
      <c r="AA5490" s="4">
        <v>19</v>
      </c>
      <c r="AB5490" s="4">
        <v>1</v>
      </c>
      <c r="AC5490" s="4">
        <v>4</v>
      </c>
      <c r="AD5490" s="4">
        <v>75</v>
      </c>
      <c r="AE5490" s="4">
        <v>78</v>
      </c>
      <c r="AF5490" s="4">
        <v>0</v>
      </c>
      <c r="AG5490" s="4">
        <v>3</v>
      </c>
      <c r="AH5490" s="4">
        <v>67</v>
      </c>
      <c r="AI5490" s="4">
        <v>68</v>
      </c>
      <c r="AJ5490" s="4">
        <v>12</v>
      </c>
      <c r="AK5490" s="4">
        <v>15</v>
      </c>
      <c r="AL5490" s="4">
        <v>37</v>
      </c>
      <c r="AM5490" s="4">
        <v>37</v>
      </c>
      <c r="AN5490" s="4">
        <v>0</v>
      </c>
      <c r="AO5490" s="4">
        <v>0</v>
      </c>
      <c r="AP5490" s="4">
        <v>13</v>
      </c>
      <c r="AQ5490" s="4">
        <v>15</v>
      </c>
      <c r="AR5490" s="3" t="s">
        <v>62</v>
      </c>
      <c r="AS5490" s="3" t="s">
        <v>62</v>
      </c>
      <c r="AT5490" s="3" t="s">
        <v>61</v>
      </c>
      <c r="AU5490" s="6" t="str">
        <f>HYPERLINK("http://catalog.hathitrust.org/Record/007111165","HathiTrust Record")</f>
        <v>HathiTrust Record</v>
      </c>
      <c r="AV5490" s="6" t="str">
        <f>HYPERLINK("http://mcgill.on.worldcat.org/oclc/4035704","Catalog Record")</f>
        <v>Catalog Record</v>
      </c>
      <c r="AW5490" s="6" t="str">
        <f>HYPERLINK("http://www.worldcat.org/oclc/4035704","WorldCat Record")</f>
        <v>WorldCat Record</v>
      </c>
      <c r="AX5490" s="3" t="s">
        <v>52617</v>
      </c>
      <c r="AY5490" s="3" t="s">
        <v>52618</v>
      </c>
      <c r="AZ5490" s="3" t="s">
        <v>52619</v>
      </c>
      <c r="BA5490" s="3" t="s">
        <v>52619</v>
      </c>
      <c r="BB5490" s="3" t="s">
        <v>52620</v>
      </c>
      <c r="BC5490" s="3" t="s">
        <v>142</v>
      </c>
      <c r="BD5490" s="3" t="s">
        <v>68</v>
      </c>
      <c r="BE5490" s="3" t="s">
        <v>52621</v>
      </c>
      <c r="BF5490" s="3" t="s">
        <v>52620</v>
      </c>
      <c r="BG5490" s="3" t="s">
        <v>52622</v>
      </c>
    </row>
    <row r="5491" spans="1:59" ht="57" x14ac:dyDescent="0.45">
      <c r="A5491" s="2" t="s">
        <v>59</v>
      </c>
      <c r="B5491" s="2" t="s">
        <v>60</v>
      </c>
      <c r="C5491" s="2" t="s">
        <v>52623</v>
      </c>
      <c r="D5491" s="2" t="s">
        <v>52624</v>
      </c>
      <c r="E5491" s="2" t="s">
        <v>52625</v>
      </c>
      <c r="G5491" s="3" t="s">
        <v>62</v>
      </c>
      <c r="I5491" s="3" t="s">
        <v>61</v>
      </c>
      <c r="J5491" s="3" t="s">
        <v>62</v>
      </c>
      <c r="K5491" s="3" t="s">
        <v>63</v>
      </c>
      <c r="L5491" s="2" t="s">
        <v>52626</v>
      </c>
      <c r="M5491" s="2" t="s">
        <v>52627</v>
      </c>
      <c r="N5491" s="3" t="s">
        <v>1073</v>
      </c>
      <c r="P5491" s="3" t="s">
        <v>65</v>
      </c>
      <c r="R5491" s="3" t="s">
        <v>66</v>
      </c>
      <c r="S5491" s="4">
        <v>59</v>
      </c>
      <c r="T5491" s="4">
        <v>79</v>
      </c>
      <c r="U5491" s="5" t="s">
        <v>52628</v>
      </c>
      <c r="V5491" s="5" t="s">
        <v>128</v>
      </c>
      <c r="W5491" s="5" t="s">
        <v>67</v>
      </c>
      <c r="X5491" s="5" t="s">
        <v>67</v>
      </c>
      <c r="Y5491" s="4">
        <v>365</v>
      </c>
      <c r="Z5491" s="4">
        <v>21</v>
      </c>
      <c r="AA5491" s="4">
        <v>26</v>
      </c>
      <c r="AB5491" s="4">
        <v>2</v>
      </c>
      <c r="AC5491" s="4">
        <v>5</v>
      </c>
      <c r="AD5491" s="4">
        <v>111</v>
      </c>
      <c r="AE5491" s="4">
        <v>116</v>
      </c>
      <c r="AF5491" s="4">
        <v>1</v>
      </c>
      <c r="AG5491" s="4">
        <v>4</v>
      </c>
      <c r="AH5491" s="4">
        <v>100</v>
      </c>
      <c r="AI5491" s="4">
        <v>101</v>
      </c>
      <c r="AJ5491" s="4">
        <v>15</v>
      </c>
      <c r="AK5491" s="4">
        <v>19</v>
      </c>
      <c r="AL5491" s="4">
        <v>57</v>
      </c>
      <c r="AM5491" s="4">
        <v>57</v>
      </c>
      <c r="AN5491" s="4">
        <v>0</v>
      </c>
      <c r="AO5491" s="4">
        <v>0</v>
      </c>
      <c r="AP5491" s="4">
        <v>18</v>
      </c>
      <c r="AQ5491" s="4">
        <v>22</v>
      </c>
      <c r="AR5491" s="3" t="s">
        <v>62</v>
      </c>
      <c r="AS5491" s="3" t="s">
        <v>62</v>
      </c>
      <c r="AT5491" s="3" t="s">
        <v>61</v>
      </c>
      <c r="AU5491" s="6" t="str">
        <f>HYPERLINK("http://catalog.hathitrust.org/Record/007113466","HathiTrust Record")</f>
        <v>HathiTrust Record</v>
      </c>
      <c r="AV5491" s="6" t="str">
        <f>HYPERLINK("http://mcgill.on.worldcat.org/oclc/1976023","Catalog Record")</f>
        <v>Catalog Record</v>
      </c>
      <c r="AW5491" s="6" t="str">
        <f>HYPERLINK("http://www.worldcat.org/oclc/1976023","WorldCat Record")</f>
        <v>WorldCat Record</v>
      </c>
      <c r="AX5491" s="3" t="s">
        <v>52629</v>
      </c>
      <c r="AY5491" s="3" t="s">
        <v>52630</v>
      </c>
      <c r="AZ5491" s="3" t="s">
        <v>52631</v>
      </c>
      <c r="BA5491" s="3" t="s">
        <v>52631</v>
      </c>
      <c r="BB5491" s="3" t="s">
        <v>52632</v>
      </c>
      <c r="BC5491" s="3" t="s">
        <v>142</v>
      </c>
      <c r="BD5491" s="3" t="s">
        <v>68</v>
      </c>
      <c r="BE5491" s="3" t="s">
        <v>52633</v>
      </c>
      <c r="BF5491" s="3" t="s">
        <v>52632</v>
      </c>
      <c r="BG5491" s="3" t="s">
        <v>52634</v>
      </c>
    </row>
    <row r="5492" spans="1:59" ht="57" x14ac:dyDescent="0.45">
      <c r="A5492" s="2" t="s">
        <v>59</v>
      </c>
      <c r="B5492" s="2" t="s">
        <v>60</v>
      </c>
      <c r="C5492" s="2" t="s">
        <v>52623</v>
      </c>
      <c r="D5492" s="2" t="s">
        <v>52624</v>
      </c>
      <c r="E5492" s="2" t="s">
        <v>52625</v>
      </c>
      <c r="G5492" s="3" t="s">
        <v>62</v>
      </c>
      <c r="I5492" s="3" t="s">
        <v>61</v>
      </c>
      <c r="J5492" s="3" t="s">
        <v>62</v>
      </c>
      <c r="K5492" s="3" t="s">
        <v>63</v>
      </c>
      <c r="L5492" s="2" t="s">
        <v>52626</v>
      </c>
      <c r="M5492" s="2" t="s">
        <v>52627</v>
      </c>
      <c r="N5492" s="3" t="s">
        <v>1073</v>
      </c>
      <c r="P5492" s="3" t="s">
        <v>65</v>
      </c>
      <c r="R5492" s="3" t="s">
        <v>66</v>
      </c>
      <c r="S5492" s="4">
        <v>20</v>
      </c>
      <c r="T5492" s="4">
        <v>79</v>
      </c>
      <c r="U5492" s="5" t="s">
        <v>128</v>
      </c>
      <c r="V5492" s="5" t="s">
        <v>128</v>
      </c>
      <c r="W5492" s="5" t="s">
        <v>67</v>
      </c>
      <c r="X5492" s="5" t="s">
        <v>67</v>
      </c>
      <c r="Y5492" s="4">
        <v>365</v>
      </c>
      <c r="Z5492" s="4">
        <v>21</v>
      </c>
      <c r="AA5492" s="4">
        <v>26</v>
      </c>
      <c r="AB5492" s="4">
        <v>2</v>
      </c>
      <c r="AC5492" s="4">
        <v>5</v>
      </c>
      <c r="AD5492" s="4">
        <v>111</v>
      </c>
      <c r="AE5492" s="4">
        <v>116</v>
      </c>
      <c r="AF5492" s="4">
        <v>1</v>
      </c>
      <c r="AG5492" s="4">
        <v>4</v>
      </c>
      <c r="AH5492" s="4">
        <v>100</v>
      </c>
      <c r="AI5492" s="4">
        <v>101</v>
      </c>
      <c r="AJ5492" s="4">
        <v>15</v>
      </c>
      <c r="AK5492" s="4">
        <v>19</v>
      </c>
      <c r="AL5492" s="4">
        <v>57</v>
      </c>
      <c r="AM5492" s="4">
        <v>57</v>
      </c>
      <c r="AN5492" s="4">
        <v>0</v>
      </c>
      <c r="AO5492" s="4">
        <v>0</v>
      </c>
      <c r="AP5492" s="4">
        <v>18</v>
      </c>
      <c r="AQ5492" s="4">
        <v>22</v>
      </c>
      <c r="AR5492" s="3" t="s">
        <v>62</v>
      </c>
      <c r="AS5492" s="3" t="s">
        <v>62</v>
      </c>
      <c r="AT5492" s="3" t="s">
        <v>61</v>
      </c>
      <c r="AU5492" s="6" t="str">
        <f>HYPERLINK("http://catalog.hathitrust.org/Record/007113466","HathiTrust Record")</f>
        <v>HathiTrust Record</v>
      </c>
      <c r="AV5492" s="6" t="str">
        <f>HYPERLINK("http://mcgill.on.worldcat.org/oclc/1976023","Catalog Record")</f>
        <v>Catalog Record</v>
      </c>
      <c r="AW5492" s="6" t="str">
        <f>HYPERLINK("http://www.worldcat.org/oclc/1976023","WorldCat Record")</f>
        <v>WorldCat Record</v>
      </c>
      <c r="AX5492" s="3" t="s">
        <v>52629</v>
      </c>
      <c r="AY5492" s="3" t="s">
        <v>52630</v>
      </c>
      <c r="AZ5492" s="3" t="s">
        <v>52631</v>
      </c>
      <c r="BA5492" s="3" t="s">
        <v>52631</v>
      </c>
      <c r="BB5492" s="3" t="s">
        <v>52635</v>
      </c>
      <c r="BC5492" s="3" t="s">
        <v>142</v>
      </c>
      <c r="BD5492" s="3" t="s">
        <v>68</v>
      </c>
      <c r="BE5492" s="3" t="s">
        <v>52633</v>
      </c>
      <c r="BF5492" s="3" t="s">
        <v>52635</v>
      </c>
      <c r="BG5492" s="3" t="s">
        <v>52636</v>
      </c>
    </row>
    <row r="5493" spans="1:59" ht="57" x14ac:dyDescent="0.45">
      <c r="A5493" s="2" t="s">
        <v>59</v>
      </c>
      <c r="B5493" s="2" t="s">
        <v>60</v>
      </c>
      <c r="C5493" s="2" t="s">
        <v>52637</v>
      </c>
      <c r="D5493" s="2" t="s">
        <v>52638</v>
      </c>
      <c r="E5493" s="2" t="s">
        <v>52639</v>
      </c>
      <c r="G5493" s="3" t="s">
        <v>62</v>
      </c>
      <c r="I5493" s="3" t="s">
        <v>62</v>
      </c>
      <c r="J5493" s="3" t="s">
        <v>62</v>
      </c>
      <c r="K5493" s="3" t="s">
        <v>63</v>
      </c>
      <c r="M5493" s="2" t="s">
        <v>52640</v>
      </c>
      <c r="N5493" s="3" t="s">
        <v>480</v>
      </c>
      <c r="P5493" s="3" t="s">
        <v>65</v>
      </c>
      <c r="R5493" s="3" t="s">
        <v>66</v>
      </c>
      <c r="S5493" s="4">
        <v>5</v>
      </c>
      <c r="T5493" s="4">
        <v>5</v>
      </c>
      <c r="U5493" s="5" t="s">
        <v>15933</v>
      </c>
      <c r="V5493" s="5" t="s">
        <v>15933</v>
      </c>
      <c r="W5493" s="5" t="s">
        <v>67</v>
      </c>
      <c r="X5493" s="5" t="s">
        <v>67</v>
      </c>
      <c r="Y5493" s="4">
        <v>245</v>
      </c>
      <c r="Z5493" s="4">
        <v>18</v>
      </c>
      <c r="AA5493" s="4">
        <v>22</v>
      </c>
      <c r="AB5493" s="4">
        <v>2</v>
      </c>
      <c r="AC5493" s="4">
        <v>5</v>
      </c>
      <c r="AD5493" s="4">
        <v>78</v>
      </c>
      <c r="AE5493" s="4">
        <v>82</v>
      </c>
      <c r="AF5493" s="4">
        <v>1</v>
      </c>
      <c r="AG5493" s="4">
        <v>4</v>
      </c>
      <c r="AH5493" s="4">
        <v>69</v>
      </c>
      <c r="AI5493" s="4">
        <v>70</v>
      </c>
      <c r="AJ5493" s="4">
        <v>14</v>
      </c>
      <c r="AK5493" s="4">
        <v>17</v>
      </c>
      <c r="AL5493" s="4">
        <v>41</v>
      </c>
      <c r="AM5493" s="4">
        <v>41</v>
      </c>
      <c r="AN5493" s="4">
        <v>0</v>
      </c>
      <c r="AO5493" s="4">
        <v>0</v>
      </c>
      <c r="AP5493" s="4">
        <v>15</v>
      </c>
      <c r="AQ5493" s="4">
        <v>18</v>
      </c>
      <c r="AR5493" s="3" t="s">
        <v>62</v>
      </c>
      <c r="AS5493" s="3" t="s">
        <v>62</v>
      </c>
      <c r="AT5493" s="3" t="s">
        <v>61</v>
      </c>
      <c r="AU5493" s="6" t="str">
        <f>HYPERLINK("http://catalog.hathitrust.org/Record/000021774","HathiTrust Record")</f>
        <v>HathiTrust Record</v>
      </c>
      <c r="AV5493" s="6" t="str">
        <f>HYPERLINK("http://mcgill.on.worldcat.org/oclc/5219365","Catalog Record")</f>
        <v>Catalog Record</v>
      </c>
      <c r="AW5493" s="6" t="str">
        <f>HYPERLINK("http://www.worldcat.org/oclc/5219365","WorldCat Record")</f>
        <v>WorldCat Record</v>
      </c>
      <c r="AX5493" s="3" t="s">
        <v>52641</v>
      </c>
      <c r="AY5493" s="3" t="s">
        <v>52642</v>
      </c>
      <c r="AZ5493" s="3" t="s">
        <v>52643</v>
      </c>
      <c r="BA5493" s="3" t="s">
        <v>52643</v>
      </c>
      <c r="BB5493" s="3" t="s">
        <v>52644</v>
      </c>
      <c r="BC5493" s="3" t="s">
        <v>142</v>
      </c>
      <c r="BD5493" s="3" t="s">
        <v>68</v>
      </c>
      <c r="BE5493" s="3" t="s">
        <v>52645</v>
      </c>
      <c r="BF5493" s="3" t="s">
        <v>52644</v>
      </c>
      <c r="BG5493" s="3" t="s">
        <v>52646</v>
      </c>
    </row>
    <row r="5494" spans="1:59" ht="57" x14ac:dyDescent="0.45">
      <c r="A5494" s="2" t="s">
        <v>59</v>
      </c>
      <c r="B5494" s="2" t="s">
        <v>60</v>
      </c>
      <c r="C5494" s="2" t="s">
        <v>52647</v>
      </c>
      <c r="D5494" s="2" t="s">
        <v>52648</v>
      </c>
      <c r="E5494" s="2" t="s">
        <v>52649</v>
      </c>
      <c r="G5494" s="3" t="s">
        <v>62</v>
      </c>
      <c r="I5494" s="3" t="s">
        <v>62</v>
      </c>
      <c r="J5494" s="3" t="s">
        <v>62</v>
      </c>
      <c r="K5494" s="3" t="s">
        <v>63</v>
      </c>
      <c r="M5494" s="2" t="s">
        <v>41298</v>
      </c>
      <c r="N5494" s="3" t="s">
        <v>5180</v>
      </c>
      <c r="P5494" s="3" t="s">
        <v>65</v>
      </c>
      <c r="Q5494" s="2" t="s">
        <v>52650</v>
      </c>
      <c r="R5494" s="3" t="s">
        <v>66</v>
      </c>
      <c r="S5494" s="4">
        <v>0</v>
      </c>
      <c r="T5494" s="4">
        <v>0</v>
      </c>
      <c r="W5494" s="5" t="s">
        <v>67</v>
      </c>
      <c r="X5494" s="5" t="s">
        <v>67</v>
      </c>
      <c r="Y5494" s="4">
        <v>51</v>
      </c>
      <c r="Z5494" s="4">
        <v>5</v>
      </c>
      <c r="AA5494" s="4">
        <v>12</v>
      </c>
      <c r="AB5494" s="4">
        <v>1</v>
      </c>
      <c r="AC5494" s="4">
        <v>1</v>
      </c>
      <c r="AD5494" s="4">
        <v>32</v>
      </c>
      <c r="AE5494" s="4">
        <v>37</v>
      </c>
      <c r="AF5494" s="4">
        <v>0</v>
      </c>
      <c r="AG5494" s="4">
        <v>0</v>
      </c>
      <c r="AH5494" s="4">
        <v>28</v>
      </c>
      <c r="AI5494" s="4">
        <v>29</v>
      </c>
      <c r="AJ5494" s="4">
        <v>3</v>
      </c>
      <c r="AK5494" s="4">
        <v>6</v>
      </c>
      <c r="AL5494" s="4">
        <v>24</v>
      </c>
      <c r="AM5494" s="4">
        <v>24</v>
      </c>
      <c r="AN5494" s="4">
        <v>0</v>
      </c>
      <c r="AO5494" s="4">
        <v>0</v>
      </c>
      <c r="AP5494" s="4">
        <v>4</v>
      </c>
      <c r="AQ5494" s="4">
        <v>9</v>
      </c>
      <c r="AR5494" s="3" t="s">
        <v>62</v>
      </c>
      <c r="AS5494" s="3" t="s">
        <v>62</v>
      </c>
      <c r="AT5494" s="3" t="s">
        <v>62</v>
      </c>
      <c r="AV5494" s="6" t="str">
        <f>HYPERLINK("http://mcgill.on.worldcat.org/oclc/1019853993","Catalog Record")</f>
        <v>Catalog Record</v>
      </c>
      <c r="AW5494" s="6" t="str">
        <f>HYPERLINK("http://www.worldcat.org/oclc/1019853993","WorldCat Record")</f>
        <v>WorldCat Record</v>
      </c>
      <c r="AX5494" s="3" t="s">
        <v>52651</v>
      </c>
      <c r="AY5494" s="3" t="s">
        <v>52652</v>
      </c>
      <c r="AZ5494" s="3" t="s">
        <v>52653</v>
      </c>
      <c r="BA5494" s="3" t="s">
        <v>52653</v>
      </c>
      <c r="BB5494" s="3" t="s">
        <v>52654</v>
      </c>
      <c r="BC5494" s="3" t="s">
        <v>142</v>
      </c>
      <c r="BD5494" s="3" t="s">
        <v>68</v>
      </c>
      <c r="BE5494" s="3" t="s">
        <v>52655</v>
      </c>
      <c r="BF5494" s="3" t="s">
        <v>52654</v>
      </c>
      <c r="BG5494" s="3" t="s">
        <v>52656</v>
      </c>
    </row>
    <row r="5495" spans="1:59" ht="57" x14ac:dyDescent="0.45">
      <c r="A5495" s="2" t="s">
        <v>59</v>
      </c>
      <c r="B5495" s="2" t="s">
        <v>60</v>
      </c>
      <c r="C5495" s="2" t="s">
        <v>52657</v>
      </c>
      <c r="D5495" s="2" t="s">
        <v>52658</v>
      </c>
      <c r="E5495" s="2" t="s">
        <v>52659</v>
      </c>
      <c r="G5495" s="3" t="s">
        <v>62</v>
      </c>
      <c r="I5495" s="3" t="s">
        <v>62</v>
      </c>
      <c r="J5495" s="3" t="s">
        <v>62</v>
      </c>
      <c r="K5495" s="3" t="s">
        <v>63</v>
      </c>
      <c r="M5495" s="2" t="s">
        <v>2739</v>
      </c>
      <c r="N5495" s="3" t="s">
        <v>149</v>
      </c>
      <c r="P5495" s="3" t="s">
        <v>65</v>
      </c>
      <c r="Q5495" s="2" t="s">
        <v>52660</v>
      </c>
      <c r="R5495" s="3" t="s">
        <v>66</v>
      </c>
      <c r="S5495" s="4">
        <v>0</v>
      </c>
      <c r="T5495" s="4">
        <v>0</v>
      </c>
      <c r="W5495" s="5" t="s">
        <v>67</v>
      </c>
      <c r="X5495" s="5" t="s">
        <v>67</v>
      </c>
      <c r="Y5495" s="4">
        <v>76</v>
      </c>
      <c r="Z5495" s="4">
        <v>9</v>
      </c>
      <c r="AA5495" s="4">
        <v>90</v>
      </c>
      <c r="AB5495" s="4">
        <v>1</v>
      </c>
      <c r="AC5495" s="4">
        <v>17</v>
      </c>
      <c r="AD5495" s="4">
        <v>40</v>
      </c>
      <c r="AE5495" s="4">
        <v>115</v>
      </c>
      <c r="AF5495" s="4">
        <v>0</v>
      </c>
      <c r="AG5495" s="4">
        <v>8</v>
      </c>
      <c r="AH5495" s="4">
        <v>37</v>
      </c>
      <c r="AI5495" s="4">
        <v>78</v>
      </c>
      <c r="AJ5495" s="4">
        <v>7</v>
      </c>
      <c r="AK5495" s="4">
        <v>23</v>
      </c>
      <c r="AL5495" s="4">
        <v>25</v>
      </c>
      <c r="AM5495" s="4">
        <v>42</v>
      </c>
      <c r="AN5495" s="4">
        <v>0</v>
      </c>
      <c r="AO5495" s="4">
        <v>0</v>
      </c>
      <c r="AP5495" s="4">
        <v>7</v>
      </c>
      <c r="AQ5495" s="4">
        <v>44</v>
      </c>
      <c r="AR5495" s="3" t="s">
        <v>62</v>
      </c>
      <c r="AS5495" s="3" t="s">
        <v>62</v>
      </c>
      <c r="AT5495" s="3" t="s">
        <v>62</v>
      </c>
      <c r="AV5495" s="6" t="str">
        <f>HYPERLINK("http://mcgill.on.worldcat.org/oclc/660537008","Catalog Record")</f>
        <v>Catalog Record</v>
      </c>
      <c r="AW5495" s="6" t="str">
        <f>HYPERLINK("http://www.worldcat.org/oclc/660537008","WorldCat Record")</f>
        <v>WorldCat Record</v>
      </c>
      <c r="AX5495" s="3" t="s">
        <v>52661</v>
      </c>
      <c r="AY5495" s="3" t="s">
        <v>52662</v>
      </c>
      <c r="AZ5495" s="3" t="s">
        <v>52663</v>
      </c>
      <c r="BA5495" s="3" t="s">
        <v>52663</v>
      </c>
      <c r="BB5495" s="3" t="s">
        <v>52664</v>
      </c>
      <c r="BC5495" s="3" t="s">
        <v>142</v>
      </c>
      <c r="BD5495" s="3" t="s">
        <v>68</v>
      </c>
      <c r="BE5495" s="3" t="s">
        <v>52665</v>
      </c>
      <c r="BF5495" s="3" t="s">
        <v>52664</v>
      </c>
      <c r="BG5495" s="3" t="s">
        <v>52666</v>
      </c>
    </row>
    <row r="5496" spans="1:59" ht="57" x14ac:dyDescent="0.45">
      <c r="A5496" s="2" t="s">
        <v>59</v>
      </c>
      <c r="B5496" s="2" t="s">
        <v>60</v>
      </c>
      <c r="C5496" s="2" t="s">
        <v>52667</v>
      </c>
      <c r="D5496" s="2" t="s">
        <v>52668</v>
      </c>
      <c r="E5496" s="2" t="s">
        <v>52669</v>
      </c>
      <c r="G5496" s="3" t="s">
        <v>62</v>
      </c>
      <c r="I5496" s="3" t="s">
        <v>62</v>
      </c>
      <c r="J5496" s="3" t="s">
        <v>62</v>
      </c>
      <c r="K5496" s="3" t="s">
        <v>63</v>
      </c>
      <c r="M5496" s="2" t="s">
        <v>52670</v>
      </c>
      <c r="N5496" s="3" t="s">
        <v>894</v>
      </c>
      <c r="P5496" s="3" t="s">
        <v>65</v>
      </c>
      <c r="Q5496" s="2" t="s">
        <v>52671</v>
      </c>
      <c r="R5496" s="3" t="s">
        <v>66</v>
      </c>
      <c r="S5496" s="4">
        <v>0</v>
      </c>
      <c r="T5496" s="4">
        <v>0</v>
      </c>
      <c r="W5496" s="5" t="s">
        <v>67</v>
      </c>
      <c r="X5496" s="5" t="s">
        <v>67</v>
      </c>
      <c r="Y5496" s="4">
        <v>60</v>
      </c>
      <c r="Z5496" s="4">
        <v>11</v>
      </c>
      <c r="AA5496" s="4">
        <v>88</v>
      </c>
      <c r="AB5496" s="4">
        <v>2</v>
      </c>
      <c r="AC5496" s="4">
        <v>17</v>
      </c>
      <c r="AD5496" s="4">
        <v>35</v>
      </c>
      <c r="AE5496" s="4">
        <v>109</v>
      </c>
      <c r="AF5496" s="4">
        <v>1</v>
      </c>
      <c r="AG5496" s="4">
        <v>8</v>
      </c>
      <c r="AH5496" s="4">
        <v>32</v>
      </c>
      <c r="AI5496" s="4">
        <v>74</v>
      </c>
      <c r="AJ5496" s="4">
        <v>9</v>
      </c>
      <c r="AK5496" s="4">
        <v>22</v>
      </c>
      <c r="AL5496" s="4">
        <v>18</v>
      </c>
      <c r="AM5496" s="4">
        <v>38</v>
      </c>
      <c r="AN5496" s="4">
        <v>0</v>
      </c>
      <c r="AO5496" s="4">
        <v>0</v>
      </c>
      <c r="AP5496" s="4">
        <v>9</v>
      </c>
      <c r="AQ5496" s="4">
        <v>43</v>
      </c>
      <c r="AR5496" s="3" t="s">
        <v>62</v>
      </c>
      <c r="AS5496" s="3" t="s">
        <v>62</v>
      </c>
      <c r="AT5496" s="3" t="s">
        <v>62</v>
      </c>
      <c r="AV5496" s="6" t="str">
        <f>HYPERLINK("http://mcgill.on.worldcat.org/oclc/712127497","Catalog Record")</f>
        <v>Catalog Record</v>
      </c>
      <c r="AW5496" s="6" t="str">
        <f>HYPERLINK("http://www.worldcat.org/oclc/712127497","WorldCat Record")</f>
        <v>WorldCat Record</v>
      </c>
      <c r="AX5496" s="3" t="s">
        <v>52672</v>
      </c>
      <c r="AY5496" s="3" t="s">
        <v>52673</v>
      </c>
      <c r="AZ5496" s="3" t="s">
        <v>52674</v>
      </c>
      <c r="BA5496" s="3" t="s">
        <v>52674</v>
      </c>
      <c r="BB5496" s="3" t="s">
        <v>52675</v>
      </c>
      <c r="BC5496" s="3" t="s">
        <v>142</v>
      </c>
      <c r="BD5496" s="3" t="s">
        <v>68</v>
      </c>
      <c r="BE5496" s="3" t="s">
        <v>52676</v>
      </c>
      <c r="BF5496" s="3" t="s">
        <v>52675</v>
      </c>
      <c r="BG5496" s="3" t="s">
        <v>52677</v>
      </c>
    </row>
    <row r="5497" spans="1:59" ht="57" x14ac:dyDescent="0.45">
      <c r="A5497" s="2" t="s">
        <v>59</v>
      </c>
      <c r="B5497" s="2" t="s">
        <v>60</v>
      </c>
      <c r="C5497" s="2" t="s">
        <v>52678</v>
      </c>
      <c r="D5497" s="2" t="s">
        <v>52679</v>
      </c>
      <c r="E5497" s="2" t="s">
        <v>52680</v>
      </c>
      <c r="G5497" s="3" t="s">
        <v>62</v>
      </c>
      <c r="I5497" s="3" t="s">
        <v>62</v>
      </c>
      <c r="J5497" s="3" t="s">
        <v>62</v>
      </c>
      <c r="K5497" s="3" t="s">
        <v>63</v>
      </c>
      <c r="M5497" s="2" t="s">
        <v>2739</v>
      </c>
      <c r="N5497" s="3" t="s">
        <v>149</v>
      </c>
      <c r="P5497" s="3" t="s">
        <v>65</v>
      </c>
      <c r="Q5497" s="2" t="s">
        <v>52681</v>
      </c>
      <c r="R5497" s="3" t="s">
        <v>66</v>
      </c>
      <c r="S5497" s="4">
        <v>1</v>
      </c>
      <c r="T5497" s="4">
        <v>1</v>
      </c>
      <c r="U5497" s="5" t="s">
        <v>52682</v>
      </c>
      <c r="V5497" s="5" t="s">
        <v>52682</v>
      </c>
      <c r="W5497" s="5" t="s">
        <v>67</v>
      </c>
      <c r="X5497" s="5" t="s">
        <v>67</v>
      </c>
      <c r="Y5497" s="4">
        <v>69</v>
      </c>
      <c r="Z5497" s="4">
        <v>9</v>
      </c>
      <c r="AA5497" s="4">
        <v>89</v>
      </c>
      <c r="AB5497" s="4">
        <v>1</v>
      </c>
      <c r="AC5497" s="4">
        <v>17</v>
      </c>
      <c r="AD5497" s="4">
        <v>36</v>
      </c>
      <c r="AE5497" s="4">
        <v>108</v>
      </c>
      <c r="AF5497" s="4">
        <v>0</v>
      </c>
      <c r="AG5497" s="4">
        <v>8</v>
      </c>
      <c r="AH5497" s="4">
        <v>32</v>
      </c>
      <c r="AI5497" s="4">
        <v>72</v>
      </c>
      <c r="AJ5497" s="4">
        <v>7</v>
      </c>
      <c r="AK5497" s="4">
        <v>21</v>
      </c>
      <c r="AL5497" s="4">
        <v>22</v>
      </c>
      <c r="AM5497" s="4">
        <v>39</v>
      </c>
      <c r="AN5497" s="4">
        <v>0</v>
      </c>
      <c r="AO5497" s="4">
        <v>0</v>
      </c>
      <c r="AP5497" s="4">
        <v>7</v>
      </c>
      <c r="AQ5497" s="4">
        <v>42</v>
      </c>
      <c r="AR5497" s="3" t="s">
        <v>62</v>
      </c>
      <c r="AS5497" s="3" t="s">
        <v>62</v>
      </c>
      <c r="AT5497" s="3" t="s">
        <v>62</v>
      </c>
      <c r="AV5497" s="6" t="str">
        <f>HYPERLINK("http://mcgill.on.worldcat.org/oclc/645790915","Catalog Record")</f>
        <v>Catalog Record</v>
      </c>
      <c r="AW5497" s="6" t="str">
        <f>HYPERLINK("http://www.worldcat.org/oclc/645790915","WorldCat Record")</f>
        <v>WorldCat Record</v>
      </c>
      <c r="AX5497" s="3" t="s">
        <v>52683</v>
      </c>
      <c r="AY5497" s="3" t="s">
        <v>52684</v>
      </c>
      <c r="AZ5497" s="3" t="s">
        <v>52685</v>
      </c>
      <c r="BA5497" s="3" t="s">
        <v>52685</v>
      </c>
      <c r="BB5497" s="3" t="s">
        <v>52686</v>
      </c>
      <c r="BC5497" s="3" t="s">
        <v>142</v>
      </c>
      <c r="BD5497" s="3" t="s">
        <v>68</v>
      </c>
      <c r="BE5497" s="3" t="s">
        <v>52687</v>
      </c>
      <c r="BF5497" s="3" t="s">
        <v>52686</v>
      </c>
      <c r="BG5497" s="3" t="s">
        <v>52688</v>
      </c>
    </row>
    <row r="5498" spans="1:59" ht="57" x14ac:dyDescent="0.45">
      <c r="A5498" s="2" t="s">
        <v>59</v>
      </c>
      <c r="B5498" s="2" t="s">
        <v>60</v>
      </c>
      <c r="C5498" s="2" t="s">
        <v>52689</v>
      </c>
      <c r="D5498" s="2" t="s">
        <v>52690</v>
      </c>
      <c r="E5498" s="2" t="s">
        <v>52691</v>
      </c>
      <c r="G5498" s="3" t="s">
        <v>62</v>
      </c>
      <c r="I5498" s="3" t="s">
        <v>62</v>
      </c>
      <c r="J5498" s="3" t="s">
        <v>61</v>
      </c>
      <c r="K5498" s="3" t="s">
        <v>63</v>
      </c>
      <c r="L5498" s="2" t="s">
        <v>52692</v>
      </c>
      <c r="M5498" s="2" t="s">
        <v>52693</v>
      </c>
      <c r="N5498" s="3" t="s">
        <v>47293</v>
      </c>
      <c r="P5498" s="3" t="s">
        <v>110</v>
      </c>
      <c r="R5498" s="3" t="s">
        <v>66</v>
      </c>
      <c r="S5498" s="4">
        <v>9</v>
      </c>
      <c r="T5498" s="4">
        <v>9</v>
      </c>
      <c r="U5498" s="5" t="s">
        <v>6824</v>
      </c>
      <c r="V5498" s="5" t="s">
        <v>6824</v>
      </c>
      <c r="W5498" s="5" t="s">
        <v>67</v>
      </c>
      <c r="X5498" s="5" t="s">
        <v>67</v>
      </c>
      <c r="Y5498" s="4">
        <v>122</v>
      </c>
      <c r="Z5498" s="4">
        <v>14</v>
      </c>
      <c r="AA5498" s="4">
        <v>41</v>
      </c>
      <c r="AB5498" s="4">
        <v>1</v>
      </c>
      <c r="AC5498" s="4">
        <v>9</v>
      </c>
      <c r="AD5498" s="4">
        <v>61</v>
      </c>
      <c r="AE5498" s="4">
        <v>116</v>
      </c>
      <c r="AF5498" s="4">
        <v>0</v>
      </c>
      <c r="AG5498" s="4">
        <v>5</v>
      </c>
      <c r="AH5498" s="4">
        <v>54</v>
      </c>
      <c r="AI5498" s="4">
        <v>95</v>
      </c>
      <c r="AJ5498" s="4">
        <v>8</v>
      </c>
      <c r="AK5498" s="4">
        <v>23</v>
      </c>
      <c r="AL5498" s="4">
        <v>43</v>
      </c>
      <c r="AM5498" s="4">
        <v>55</v>
      </c>
      <c r="AN5498" s="4">
        <v>0</v>
      </c>
      <c r="AO5498" s="4">
        <v>0</v>
      </c>
      <c r="AP5498" s="4">
        <v>10</v>
      </c>
      <c r="AQ5498" s="4">
        <v>30</v>
      </c>
      <c r="AR5498" s="3" t="s">
        <v>62</v>
      </c>
      <c r="AS5498" s="3" t="s">
        <v>62</v>
      </c>
      <c r="AT5498" s="3" t="s">
        <v>61</v>
      </c>
      <c r="AU5498" s="6" t="str">
        <f>HYPERLINK("http://catalog.hathitrust.org/Record/001435353","HathiTrust Record")</f>
        <v>HathiTrust Record</v>
      </c>
      <c r="AV5498" s="6" t="str">
        <f>HYPERLINK("http://mcgill.on.worldcat.org/oclc/2673928","Catalog Record")</f>
        <v>Catalog Record</v>
      </c>
      <c r="AW5498" s="6" t="str">
        <f>HYPERLINK("http://www.worldcat.org/oclc/2673928","WorldCat Record")</f>
        <v>WorldCat Record</v>
      </c>
      <c r="AX5498" s="3" t="s">
        <v>52694</v>
      </c>
      <c r="AY5498" s="3" t="s">
        <v>52695</v>
      </c>
      <c r="AZ5498" s="3" t="s">
        <v>52696</v>
      </c>
      <c r="BA5498" s="3" t="s">
        <v>52696</v>
      </c>
      <c r="BB5498" s="3" t="s">
        <v>52697</v>
      </c>
      <c r="BC5498" s="3" t="s">
        <v>142</v>
      </c>
      <c r="BD5498" s="3" t="s">
        <v>68</v>
      </c>
      <c r="BF5498" s="3" t="s">
        <v>52697</v>
      </c>
      <c r="BG5498" s="3" t="s">
        <v>52698</v>
      </c>
    </row>
    <row r="5499" spans="1:59" ht="57" x14ac:dyDescent="0.45">
      <c r="A5499" s="2" t="s">
        <v>59</v>
      </c>
      <c r="B5499" s="2" t="s">
        <v>60</v>
      </c>
      <c r="C5499" s="2" t="s">
        <v>52699</v>
      </c>
      <c r="D5499" s="2" t="s">
        <v>52700</v>
      </c>
      <c r="E5499" s="2" t="s">
        <v>52701</v>
      </c>
      <c r="G5499" s="3" t="s">
        <v>62</v>
      </c>
      <c r="I5499" s="3" t="s">
        <v>62</v>
      </c>
      <c r="J5499" s="3" t="s">
        <v>62</v>
      </c>
      <c r="K5499" s="3" t="s">
        <v>63</v>
      </c>
      <c r="M5499" s="2" t="s">
        <v>52702</v>
      </c>
      <c r="N5499" s="3" t="s">
        <v>1212</v>
      </c>
      <c r="O5499" s="2" t="s">
        <v>52703</v>
      </c>
      <c r="P5499" s="3" t="s">
        <v>110</v>
      </c>
      <c r="Q5499" s="2" t="s">
        <v>52704</v>
      </c>
      <c r="R5499" s="3" t="s">
        <v>66</v>
      </c>
      <c r="S5499" s="4">
        <v>1</v>
      </c>
      <c r="T5499" s="4">
        <v>1</v>
      </c>
      <c r="U5499" s="5" t="s">
        <v>15933</v>
      </c>
      <c r="V5499" s="5" t="s">
        <v>15933</v>
      </c>
      <c r="W5499" s="5" t="s">
        <v>67</v>
      </c>
      <c r="X5499" s="5" t="s">
        <v>67</v>
      </c>
      <c r="Y5499" s="4">
        <v>10</v>
      </c>
      <c r="Z5499" s="4">
        <v>1</v>
      </c>
      <c r="AA5499" s="4">
        <v>6</v>
      </c>
      <c r="AB5499" s="4">
        <v>1</v>
      </c>
      <c r="AC5499" s="4">
        <v>1</v>
      </c>
      <c r="AD5499" s="4">
        <v>0</v>
      </c>
      <c r="AE5499" s="4">
        <v>15</v>
      </c>
      <c r="AF5499" s="4">
        <v>0</v>
      </c>
      <c r="AG5499" s="4">
        <v>0</v>
      </c>
      <c r="AH5499" s="4">
        <v>0</v>
      </c>
      <c r="AI5499" s="4">
        <v>13</v>
      </c>
      <c r="AJ5499" s="4">
        <v>0</v>
      </c>
      <c r="AK5499" s="4">
        <v>3</v>
      </c>
      <c r="AL5499" s="4">
        <v>0</v>
      </c>
      <c r="AM5499" s="4">
        <v>11</v>
      </c>
      <c r="AN5499" s="4">
        <v>0</v>
      </c>
      <c r="AO5499" s="4">
        <v>0</v>
      </c>
      <c r="AP5499" s="4">
        <v>0</v>
      </c>
      <c r="AQ5499" s="4">
        <v>4</v>
      </c>
      <c r="AR5499" s="3" t="s">
        <v>62</v>
      </c>
      <c r="AS5499" s="3" t="s">
        <v>62</v>
      </c>
      <c r="AT5499" s="3" t="s">
        <v>62</v>
      </c>
      <c r="AV5499" s="6" t="str">
        <f>HYPERLINK("http://mcgill.on.worldcat.org/oclc/61569095","Catalog Record")</f>
        <v>Catalog Record</v>
      </c>
      <c r="AW5499" s="6" t="str">
        <f>HYPERLINK("http://www.worldcat.org/oclc/61569095","WorldCat Record")</f>
        <v>WorldCat Record</v>
      </c>
      <c r="AX5499" s="3" t="s">
        <v>52705</v>
      </c>
      <c r="AY5499" s="3" t="s">
        <v>52706</v>
      </c>
      <c r="AZ5499" s="3" t="s">
        <v>52707</v>
      </c>
      <c r="BA5499" s="3" t="s">
        <v>52707</v>
      </c>
      <c r="BB5499" s="3" t="s">
        <v>52708</v>
      </c>
      <c r="BC5499" s="3" t="s">
        <v>142</v>
      </c>
      <c r="BD5499" s="3" t="s">
        <v>68</v>
      </c>
      <c r="BE5499" s="3" t="s">
        <v>52709</v>
      </c>
      <c r="BF5499" s="3" t="s">
        <v>52708</v>
      </c>
      <c r="BG5499" s="3" t="s">
        <v>52710</v>
      </c>
    </row>
    <row r="5500" spans="1:59" ht="57" x14ac:dyDescent="0.45">
      <c r="A5500" s="2" t="s">
        <v>59</v>
      </c>
      <c r="B5500" s="2" t="s">
        <v>60</v>
      </c>
      <c r="C5500" s="2" t="s">
        <v>52711</v>
      </c>
      <c r="D5500" s="2" t="s">
        <v>52712</v>
      </c>
      <c r="E5500" s="2" t="s">
        <v>52713</v>
      </c>
      <c r="G5500" s="3" t="s">
        <v>62</v>
      </c>
      <c r="I5500" s="3" t="s">
        <v>62</v>
      </c>
      <c r="J5500" s="3" t="s">
        <v>62</v>
      </c>
      <c r="K5500" s="3" t="s">
        <v>63</v>
      </c>
      <c r="L5500" s="2" t="s">
        <v>52714</v>
      </c>
      <c r="M5500" s="2" t="s">
        <v>52715</v>
      </c>
      <c r="N5500" s="3" t="s">
        <v>1437</v>
      </c>
      <c r="P5500" s="3" t="s">
        <v>65</v>
      </c>
      <c r="Q5500" s="2" t="s">
        <v>49489</v>
      </c>
      <c r="R5500" s="3" t="s">
        <v>66</v>
      </c>
      <c r="S5500" s="4">
        <v>4</v>
      </c>
      <c r="T5500" s="4">
        <v>4</v>
      </c>
      <c r="U5500" s="5" t="s">
        <v>19612</v>
      </c>
      <c r="V5500" s="5" t="s">
        <v>19612</v>
      </c>
      <c r="W5500" s="5" t="s">
        <v>67</v>
      </c>
      <c r="X5500" s="5" t="s">
        <v>67</v>
      </c>
      <c r="Y5500" s="4">
        <v>77</v>
      </c>
      <c r="Z5500" s="4">
        <v>6</v>
      </c>
      <c r="AA5500" s="4">
        <v>11</v>
      </c>
      <c r="AB5500" s="4">
        <v>1</v>
      </c>
      <c r="AC5500" s="4">
        <v>5</v>
      </c>
      <c r="AD5500" s="4">
        <v>38</v>
      </c>
      <c r="AE5500" s="4">
        <v>42</v>
      </c>
      <c r="AF5500" s="4">
        <v>0</v>
      </c>
      <c r="AG5500" s="4">
        <v>1</v>
      </c>
      <c r="AH5500" s="4">
        <v>36</v>
      </c>
      <c r="AI5500" s="4">
        <v>39</v>
      </c>
      <c r="AJ5500" s="4">
        <v>4</v>
      </c>
      <c r="AK5500" s="4">
        <v>6</v>
      </c>
      <c r="AL5500" s="4">
        <v>19</v>
      </c>
      <c r="AM5500" s="4">
        <v>21</v>
      </c>
      <c r="AN5500" s="4">
        <v>0</v>
      </c>
      <c r="AO5500" s="4">
        <v>0</v>
      </c>
      <c r="AP5500" s="4">
        <v>4</v>
      </c>
      <c r="AQ5500" s="4">
        <v>6</v>
      </c>
      <c r="AR5500" s="3" t="s">
        <v>62</v>
      </c>
      <c r="AS5500" s="3" t="s">
        <v>62</v>
      </c>
      <c r="AT5500" s="3" t="s">
        <v>62</v>
      </c>
      <c r="AV5500" s="6" t="str">
        <f>HYPERLINK("http://mcgill.on.worldcat.org/oclc/39116562","Catalog Record")</f>
        <v>Catalog Record</v>
      </c>
      <c r="AW5500" s="6" t="str">
        <f>HYPERLINK("http://www.worldcat.org/oclc/39116562","WorldCat Record")</f>
        <v>WorldCat Record</v>
      </c>
      <c r="AX5500" s="3" t="s">
        <v>52716</v>
      </c>
      <c r="AY5500" s="3" t="s">
        <v>52717</v>
      </c>
      <c r="AZ5500" s="3" t="s">
        <v>52718</v>
      </c>
      <c r="BA5500" s="3" t="s">
        <v>52718</v>
      </c>
      <c r="BB5500" s="3" t="s">
        <v>52719</v>
      </c>
      <c r="BC5500" s="3" t="s">
        <v>142</v>
      </c>
      <c r="BD5500" s="3" t="s">
        <v>68</v>
      </c>
      <c r="BE5500" s="3" t="s">
        <v>52720</v>
      </c>
      <c r="BF5500" s="3" t="s">
        <v>52719</v>
      </c>
      <c r="BG5500" s="3" t="s">
        <v>52721</v>
      </c>
    </row>
    <row r="5501" spans="1:59" ht="57" x14ac:dyDescent="0.45">
      <c r="A5501" s="2" t="s">
        <v>59</v>
      </c>
      <c r="B5501" s="2" t="s">
        <v>60</v>
      </c>
      <c r="C5501" s="2" t="s">
        <v>52722</v>
      </c>
      <c r="D5501" s="2" t="s">
        <v>52723</v>
      </c>
      <c r="E5501" s="2" t="s">
        <v>52724</v>
      </c>
      <c r="G5501" s="3" t="s">
        <v>62</v>
      </c>
      <c r="I5501" s="3" t="s">
        <v>62</v>
      </c>
      <c r="J5501" s="3" t="s">
        <v>62</v>
      </c>
      <c r="K5501" s="3" t="s">
        <v>63</v>
      </c>
      <c r="M5501" s="2" t="s">
        <v>3925</v>
      </c>
      <c r="N5501" s="3" t="s">
        <v>149</v>
      </c>
      <c r="P5501" s="3" t="s">
        <v>65</v>
      </c>
      <c r="Q5501" s="2" t="s">
        <v>52725</v>
      </c>
      <c r="R5501" s="3" t="s">
        <v>66</v>
      </c>
      <c r="S5501" s="4">
        <v>0</v>
      </c>
      <c r="T5501" s="4">
        <v>0</v>
      </c>
      <c r="W5501" s="5" t="s">
        <v>67</v>
      </c>
      <c r="X5501" s="5" t="s">
        <v>67</v>
      </c>
      <c r="Y5501" s="4">
        <v>69</v>
      </c>
      <c r="Z5501" s="4">
        <v>9</v>
      </c>
      <c r="AA5501" s="4">
        <v>96</v>
      </c>
      <c r="AB5501" s="4">
        <v>1</v>
      </c>
      <c r="AC5501" s="4">
        <v>17</v>
      </c>
      <c r="AD5501" s="4">
        <v>33</v>
      </c>
      <c r="AE5501" s="4">
        <v>110</v>
      </c>
      <c r="AF5501" s="4">
        <v>0</v>
      </c>
      <c r="AG5501" s="4">
        <v>8</v>
      </c>
      <c r="AH5501" s="4">
        <v>29</v>
      </c>
      <c r="AI5501" s="4">
        <v>73</v>
      </c>
      <c r="AJ5501" s="4">
        <v>7</v>
      </c>
      <c r="AK5501" s="4">
        <v>23</v>
      </c>
      <c r="AL5501" s="4">
        <v>23</v>
      </c>
      <c r="AM5501" s="4">
        <v>39</v>
      </c>
      <c r="AN5501" s="4">
        <v>0</v>
      </c>
      <c r="AO5501" s="4">
        <v>0</v>
      </c>
      <c r="AP5501" s="4">
        <v>7</v>
      </c>
      <c r="AQ5501" s="4">
        <v>44</v>
      </c>
      <c r="AR5501" s="3" t="s">
        <v>62</v>
      </c>
      <c r="AS5501" s="3" t="s">
        <v>62</v>
      </c>
      <c r="AT5501" s="3" t="s">
        <v>62</v>
      </c>
      <c r="AV5501" s="6" t="str">
        <f>HYPERLINK("http://mcgill.on.worldcat.org/oclc/643322232","Catalog Record")</f>
        <v>Catalog Record</v>
      </c>
      <c r="AW5501" s="6" t="str">
        <f>HYPERLINK("http://www.worldcat.org/oclc/643322232","WorldCat Record")</f>
        <v>WorldCat Record</v>
      </c>
      <c r="AX5501" s="3" t="s">
        <v>52726</v>
      </c>
      <c r="AY5501" s="3" t="s">
        <v>52727</v>
      </c>
      <c r="AZ5501" s="3" t="s">
        <v>52728</v>
      </c>
      <c r="BA5501" s="3" t="s">
        <v>52728</v>
      </c>
      <c r="BB5501" s="3" t="s">
        <v>52729</v>
      </c>
      <c r="BC5501" s="3" t="s">
        <v>142</v>
      </c>
      <c r="BD5501" s="3" t="s">
        <v>68</v>
      </c>
      <c r="BE5501" s="3" t="s">
        <v>52730</v>
      </c>
      <c r="BF5501" s="3" t="s">
        <v>52729</v>
      </c>
      <c r="BG5501" s="3" t="s">
        <v>52731</v>
      </c>
    </row>
    <row r="5502" spans="1:59" ht="57" x14ac:dyDescent="0.45">
      <c r="A5502" s="2" t="s">
        <v>59</v>
      </c>
      <c r="B5502" s="2" t="s">
        <v>60</v>
      </c>
      <c r="C5502" s="2" t="s">
        <v>52732</v>
      </c>
      <c r="D5502" s="2" t="s">
        <v>52733</v>
      </c>
      <c r="E5502" s="2" t="s">
        <v>52734</v>
      </c>
      <c r="G5502" s="3" t="s">
        <v>62</v>
      </c>
      <c r="I5502" s="3" t="s">
        <v>62</v>
      </c>
      <c r="J5502" s="3" t="s">
        <v>62</v>
      </c>
      <c r="K5502" s="3" t="s">
        <v>63</v>
      </c>
      <c r="L5502" s="2" t="s">
        <v>52735</v>
      </c>
      <c r="M5502" s="2" t="s">
        <v>50188</v>
      </c>
      <c r="N5502" s="3" t="s">
        <v>1253</v>
      </c>
      <c r="P5502" s="3" t="s">
        <v>65</v>
      </c>
      <c r="Q5502" s="2" t="s">
        <v>29735</v>
      </c>
      <c r="R5502" s="3" t="s">
        <v>66</v>
      </c>
      <c r="S5502" s="4">
        <v>11</v>
      </c>
      <c r="T5502" s="4">
        <v>11</v>
      </c>
      <c r="U5502" s="5" t="s">
        <v>52736</v>
      </c>
      <c r="V5502" s="5" t="s">
        <v>52736</v>
      </c>
      <c r="W5502" s="5" t="s">
        <v>67</v>
      </c>
      <c r="X5502" s="5" t="s">
        <v>67</v>
      </c>
      <c r="Y5502" s="4">
        <v>308</v>
      </c>
      <c r="Z5502" s="4">
        <v>23</v>
      </c>
      <c r="AA5502" s="4">
        <v>28</v>
      </c>
      <c r="AB5502" s="4">
        <v>2</v>
      </c>
      <c r="AC5502" s="4">
        <v>6</v>
      </c>
      <c r="AD5502" s="4">
        <v>92</v>
      </c>
      <c r="AE5502" s="4">
        <v>96</v>
      </c>
      <c r="AF5502" s="4">
        <v>1</v>
      </c>
      <c r="AG5502" s="4">
        <v>4</v>
      </c>
      <c r="AH5502" s="4">
        <v>80</v>
      </c>
      <c r="AI5502" s="4">
        <v>81</v>
      </c>
      <c r="AJ5502" s="4">
        <v>18</v>
      </c>
      <c r="AK5502" s="4">
        <v>21</v>
      </c>
      <c r="AL5502" s="4">
        <v>50</v>
      </c>
      <c r="AM5502" s="4">
        <v>50</v>
      </c>
      <c r="AN5502" s="4">
        <v>0</v>
      </c>
      <c r="AO5502" s="4">
        <v>0</v>
      </c>
      <c r="AP5502" s="4">
        <v>20</v>
      </c>
      <c r="AQ5502" s="4">
        <v>23</v>
      </c>
      <c r="AR5502" s="3" t="s">
        <v>62</v>
      </c>
      <c r="AS5502" s="3" t="s">
        <v>62</v>
      </c>
      <c r="AT5502" s="3" t="s">
        <v>62</v>
      </c>
      <c r="AV5502" s="6" t="str">
        <f>HYPERLINK("http://mcgill.on.worldcat.org/oclc/35758099","Catalog Record")</f>
        <v>Catalog Record</v>
      </c>
      <c r="AW5502" s="6" t="str">
        <f>HYPERLINK("http://www.worldcat.org/oclc/35758099","WorldCat Record")</f>
        <v>WorldCat Record</v>
      </c>
      <c r="AX5502" s="3" t="s">
        <v>52737</v>
      </c>
      <c r="AY5502" s="3" t="s">
        <v>52738</v>
      </c>
      <c r="AZ5502" s="3" t="s">
        <v>52739</v>
      </c>
      <c r="BA5502" s="3" t="s">
        <v>52739</v>
      </c>
      <c r="BB5502" s="3" t="s">
        <v>52740</v>
      </c>
      <c r="BC5502" s="3" t="s">
        <v>142</v>
      </c>
      <c r="BD5502" s="3" t="s">
        <v>68</v>
      </c>
      <c r="BE5502" s="3" t="s">
        <v>52741</v>
      </c>
      <c r="BF5502" s="3" t="s">
        <v>52740</v>
      </c>
      <c r="BG5502" s="3" t="s">
        <v>52742</v>
      </c>
    </row>
    <row r="5503" spans="1:59" ht="57" x14ac:dyDescent="0.45">
      <c r="A5503" s="2" t="s">
        <v>59</v>
      </c>
      <c r="B5503" s="2" t="s">
        <v>60</v>
      </c>
      <c r="C5503" s="2" t="s">
        <v>52743</v>
      </c>
      <c r="D5503" s="2" t="s">
        <v>52744</v>
      </c>
      <c r="E5503" s="2" t="s">
        <v>52745</v>
      </c>
      <c r="G5503" s="3" t="s">
        <v>62</v>
      </c>
      <c r="I5503" s="3" t="s">
        <v>62</v>
      </c>
      <c r="J5503" s="3" t="s">
        <v>62</v>
      </c>
      <c r="K5503" s="3" t="s">
        <v>63</v>
      </c>
      <c r="L5503" s="2" t="s">
        <v>52746</v>
      </c>
      <c r="M5503" s="2" t="s">
        <v>52747</v>
      </c>
      <c r="N5503" s="3" t="s">
        <v>1465</v>
      </c>
      <c r="P5503" s="3" t="s">
        <v>65</v>
      </c>
      <c r="Q5503" s="2" t="s">
        <v>52748</v>
      </c>
      <c r="R5503" s="3" t="s">
        <v>66</v>
      </c>
      <c r="S5503" s="4">
        <v>6</v>
      </c>
      <c r="T5503" s="4">
        <v>6</v>
      </c>
      <c r="U5503" s="5" t="s">
        <v>12858</v>
      </c>
      <c r="V5503" s="5" t="s">
        <v>12858</v>
      </c>
      <c r="W5503" s="5" t="s">
        <v>67</v>
      </c>
      <c r="X5503" s="5" t="s">
        <v>67</v>
      </c>
      <c r="Y5503" s="4">
        <v>336</v>
      </c>
      <c r="Z5503" s="4">
        <v>17</v>
      </c>
      <c r="AA5503" s="4">
        <v>17</v>
      </c>
      <c r="AB5503" s="4">
        <v>2</v>
      </c>
      <c r="AC5503" s="4">
        <v>2</v>
      </c>
      <c r="AD5503" s="4">
        <v>80</v>
      </c>
      <c r="AE5503" s="4">
        <v>80</v>
      </c>
      <c r="AF5503" s="4">
        <v>0</v>
      </c>
      <c r="AG5503" s="4">
        <v>0</v>
      </c>
      <c r="AH5503" s="4">
        <v>77</v>
      </c>
      <c r="AI5503" s="4">
        <v>77</v>
      </c>
      <c r="AJ5503" s="4">
        <v>9</v>
      </c>
      <c r="AK5503" s="4">
        <v>9</v>
      </c>
      <c r="AL5503" s="4">
        <v>43</v>
      </c>
      <c r="AM5503" s="4">
        <v>43</v>
      </c>
      <c r="AN5503" s="4">
        <v>0</v>
      </c>
      <c r="AO5503" s="4">
        <v>0</v>
      </c>
      <c r="AP5503" s="4">
        <v>10</v>
      </c>
      <c r="AQ5503" s="4">
        <v>10</v>
      </c>
      <c r="AR5503" s="3" t="s">
        <v>62</v>
      </c>
      <c r="AS5503" s="3" t="s">
        <v>62</v>
      </c>
      <c r="AT5503" s="3" t="s">
        <v>62</v>
      </c>
      <c r="AV5503" s="6" t="str">
        <f>HYPERLINK("http://mcgill.on.worldcat.org/oclc/263984951","Catalog Record")</f>
        <v>Catalog Record</v>
      </c>
      <c r="AW5503" s="6" t="str">
        <f>HYPERLINK("http://www.worldcat.org/oclc/263984951","WorldCat Record")</f>
        <v>WorldCat Record</v>
      </c>
      <c r="AX5503" s="3" t="s">
        <v>52749</v>
      </c>
      <c r="AY5503" s="3" t="s">
        <v>52750</v>
      </c>
      <c r="AZ5503" s="3" t="s">
        <v>52751</v>
      </c>
      <c r="BA5503" s="3" t="s">
        <v>52751</v>
      </c>
      <c r="BB5503" s="3" t="s">
        <v>52752</v>
      </c>
      <c r="BC5503" s="3" t="s">
        <v>142</v>
      </c>
      <c r="BD5503" s="3" t="s">
        <v>308</v>
      </c>
      <c r="BE5503" s="3" t="s">
        <v>52753</v>
      </c>
      <c r="BF5503" s="3" t="s">
        <v>52752</v>
      </c>
      <c r="BG5503" s="3" t="s">
        <v>52754</v>
      </c>
    </row>
    <row r="5504" spans="1:59" ht="57" x14ac:dyDescent="0.45">
      <c r="A5504" s="2" t="s">
        <v>59</v>
      </c>
      <c r="B5504" s="2" t="s">
        <v>60</v>
      </c>
      <c r="C5504" s="2" t="s">
        <v>52755</v>
      </c>
      <c r="D5504" s="2" t="s">
        <v>52756</v>
      </c>
      <c r="E5504" s="2" t="s">
        <v>52757</v>
      </c>
      <c r="G5504" s="3" t="s">
        <v>62</v>
      </c>
      <c r="I5504" s="3" t="s">
        <v>62</v>
      </c>
      <c r="J5504" s="3" t="s">
        <v>62</v>
      </c>
      <c r="K5504" s="3" t="s">
        <v>63</v>
      </c>
      <c r="L5504" s="2" t="s">
        <v>52758</v>
      </c>
      <c r="M5504" s="2" t="s">
        <v>6141</v>
      </c>
      <c r="N5504" s="3" t="s">
        <v>894</v>
      </c>
      <c r="P5504" s="3" t="s">
        <v>65</v>
      </c>
      <c r="Q5504" s="2" t="s">
        <v>52186</v>
      </c>
      <c r="R5504" s="3" t="s">
        <v>66</v>
      </c>
      <c r="S5504" s="4">
        <v>1</v>
      </c>
      <c r="T5504" s="4">
        <v>1</v>
      </c>
      <c r="U5504" s="5" t="s">
        <v>52759</v>
      </c>
      <c r="V5504" s="5" t="s">
        <v>52759</v>
      </c>
      <c r="W5504" s="5" t="s">
        <v>67</v>
      </c>
      <c r="X5504" s="5" t="s">
        <v>67</v>
      </c>
      <c r="Y5504" s="4">
        <v>89</v>
      </c>
      <c r="Z5504" s="4">
        <v>11</v>
      </c>
      <c r="AA5504" s="4">
        <v>76</v>
      </c>
      <c r="AB5504" s="4">
        <v>1</v>
      </c>
      <c r="AC5504" s="4">
        <v>15</v>
      </c>
      <c r="AD5504" s="4">
        <v>51</v>
      </c>
      <c r="AE5504" s="4">
        <v>114</v>
      </c>
      <c r="AF5504" s="4">
        <v>0</v>
      </c>
      <c r="AG5504" s="4">
        <v>8</v>
      </c>
      <c r="AH5504" s="4">
        <v>48</v>
      </c>
      <c r="AI5504" s="4">
        <v>81</v>
      </c>
      <c r="AJ5504" s="4">
        <v>9</v>
      </c>
      <c r="AK5504" s="4">
        <v>22</v>
      </c>
      <c r="AL5504" s="4">
        <v>29</v>
      </c>
      <c r="AM5504" s="4">
        <v>45</v>
      </c>
      <c r="AN5504" s="4">
        <v>0</v>
      </c>
      <c r="AO5504" s="4">
        <v>0</v>
      </c>
      <c r="AP5504" s="4">
        <v>9</v>
      </c>
      <c r="AQ5504" s="4">
        <v>41</v>
      </c>
      <c r="AR5504" s="3" t="s">
        <v>62</v>
      </c>
      <c r="AS5504" s="3" t="s">
        <v>62</v>
      </c>
      <c r="AT5504" s="3" t="s">
        <v>62</v>
      </c>
      <c r="AV5504" s="6" t="str">
        <f>HYPERLINK("http://mcgill.on.worldcat.org/oclc/654316873","Catalog Record")</f>
        <v>Catalog Record</v>
      </c>
      <c r="AW5504" s="6" t="str">
        <f>HYPERLINK("http://www.worldcat.org/oclc/654316873","WorldCat Record")</f>
        <v>WorldCat Record</v>
      </c>
      <c r="AX5504" s="3" t="s">
        <v>52760</v>
      </c>
      <c r="AY5504" s="3" t="s">
        <v>52761</v>
      </c>
      <c r="AZ5504" s="3" t="s">
        <v>52762</v>
      </c>
      <c r="BA5504" s="3" t="s">
        <v>52762</v>
      </c>
      <c r="BB5504" s="3" t="s">
        <v>52763</v>
      </c>
      <c r="BC5504" s="3" t="s">
        <v>142</v>
      </c>
      <c r="BD5504" s="3" t="s">
        <v>68</v>
      </c>
      <c r="BE5504" s="3" t="s">
        <v>52764</v>
      </c>
      <c r="BF5504" s="3" t="s">
        <v>52763</v>
      </c>
      <c r="BG5504" s="3" t="s">
        <v>52765</v>
      </c>
    </row>
    <row r="5505" spans="1:59" ht="57" x14ac:dyDescent="0.45">
      <c r="A5505" s="2" t="s">
        <v>59</v>
      </c>
      <c r="B5505" s="2" t="s">
        <v>60</v>
      </c>
      <c r="C5505" s="2" t="s">
        <v>52766</v>
      </c>
      <c r="D5505" s="2" t="s">
        <v>52767</v>
      </c>
      <c r="E5505" s="2" t="s">
        <v>52768</v>
      </c>
      <c r="G5505" s="3" t="s">
        <v>62</v>
      </c>
      <c r="I5505" s="3" t="s">
        <v>62</v>
      </c>
      <c r="J5505" s="3" t="s">
        <v>62</v>
      </c>
      <c r="K5505" s="3" t="s">
        <v>63</v>
      </c>
      <c r="L5505" s="2" t="s">
        <v>52769</v>
      </c>
      <c r="M5505" s="2" t="s">
        <v>905</v>
      </c>
      <c r="N5505" s="3" t="s">
        <v>149</v>
      </c>
      <c r="P5505" s="3" t="s">
        <v>65</v>
      </c>
      <c r="Q5505" s="2" t="s">
        <v>52770</v>
      </c>
      <c r="R5505" s="3" t="s">
        <v>66</v>
      </c>
      <c r="S5505" s="4">
        <v>2</v>
      </c>
      <c r="T5505" s="4">
        <v>2</v>
      </c>
      <c r="U5505" s="5" t="s">
        <v>11301</v>
      </c>
      <c r="V5505" s="5" t="s">
        <v>11301</v>
      </c>
      <c r="W5505" s="5" t="s">
        <v>67</v>
      </c>
      <c r="X5505" s="5" t="s">
        <v>67</v>
      </c>
      <c r="Y5505" s="4">
        <v>154</v>
      </c>
      <c r="Z5505" s="4">
        <v>18</v>
      </c>
      <c r="AA5505" s="4">
        <v>80</v>
      </c>
      <c r="AB5505" s="4">
        <v>2</v>
      </c>
      <c r="AC5505" s="4">
        <v>14</v>
      </c>
      <c r="AD5505" s="4">
        <v>76</v>
      </c>
      <c r="AE5505" s="4">
        <v>122</v>
      </c>
      <c r="AF5505" s="4">
        <v>1</v>
      </c>
      <c r="AG5505" s="4">
        <v>8</v>
      </c>
      <c r="AH5505" s="4">
        <v>69</v>
      </c>
      <c r="AI5505" s="4">
        <v>89</v>
      </c>
      <c r="AJ5505" s="4">
        <v>12</v>
      </c>
      <c r="AK5505" s="4">
        <v>23</v>
      </c>
      <c r="AL5505" s="4">
        <v>42</v>
      </c>
      <c r="AM5505" s="4">
        <v>50</v>
      </c>
      <c r="AN5505" s="4">
        <v>0</v>
      </c>
      <c r="AO5505" s="4">
        <v>0</v>
      </c>
      <c r="AP5505" s="4">
        <v>14</v>
      </c>
      <c r="AQ5505" s="4">
        <v>42</v>
      </c>
      <c r="AR5505" s="3" t="s">
        <v>62</v>
      </c>
      <c r="AS5505" s="3" t="s">
        <v>62</v>
      </c>
      <c r="AT5505" s="3" t="s">
        <v>62</v>
      </c>
      <c r="AV5505" s="6" t="str">
        <f>HYPERLINK("http://mcgill.on.worldcat.org/oclc/422753514","Catalog Record")</f>
        <v>Catalog Record</v>
      </c>
      <c r="AW5505" s="6" t="str">
        <f>HYPERLINK("http://www.worldcat.org/oclc/422753514","WorldCat Record")</f>
        <v>WorldCat Record</v>
      </c>
      <c r="AX5505" s="3" t="s">
        <v>52771</v>
      </c>
      <c r="AY5505" s="3" t="s">
        <v>52772</v>
      </c>
      <c r="AZ5505" s="3" t="s">
        <v>52773</v>
      </c>
      <c r="BA5505" s="3" t="s">
        <v>52773</v>
      </c>
      <c r="BB5505" s="3" t="s">
        <v>52774</v>
      </c>
      <c r="BC5505" s="3" t="s">
        <v>142</v>
      </c>
      <c r="BD5505" s="3" t="s">
        <v>68</v>
      </c>
      <c r="BE5505" s="3" t="s">
        <v>52775</v>
      </c>
      <c r="BF5505" s="3" t="s">
        <v>52774</v>
      </c>
      <c r="BG5505" s="3" t="s">
        <v>52776</v>
      </c>
    </row>
    <row r="5506" spans="1:59" ht="57" x14ac:dyDescent="0.45">
      <c r="A5506" s="2" t="s">
        <v>59</v>
      </c>
      <c r="B5506" s="2" t="s">
        <v>60</v>
      </c>
      <c r="C5506" s="2" t="s">
        <v>52777</v>
      </c>
      <c r="D5506" s="2" t="s">
        <v>52778</v>
      </c>
      <c r="E5506" s="2" t="s">
        <v>52779</v>
      </c>
      <c r="G5506" s="3" t="s">
        <v>62</v>
      </c>
      <c r="I5506" s="3" t="s">
        <v>62</v>
      </c>
      <c r="J5506" s="3" t="s">
        <v>62</v>
      </c>
      <c r="K5506" s="3" t="s">
        <v>63</v>
      </c>
      <c r="M5506" s="2" t="s">
        <v>37004</v>
      </c>
      <c r="N5506" s="3" t="s">
        <v>149</v>
      </c>
      <c r="P5506" s="3" t="s">
        <v>65</v>
      </c>
      <c r="Q5506" s="2" t="s">
        <v>52780</v>
      </c>
      <c r="R5506" s="3" t="s">
        <v>66</v>
      </c>
      <c r="S5506" s="4">
        <v>0</v>
      </c>
      <c r="T5506" s="4">
        <v>0</v>
      </c>
      <c r="W5506" s="5" t="s">
        <v>67</v>
      </c>
      <c r="X5506" s="5" t="s">
        <v>67</v>
      </c>
      <c r="Y5506" s="4">
        <v>69</v>
      </c>
      <c r="Z5506" s="4">
        <v>8</v>
      </c>
      <c r="AA5506" s="4">
        <v>95</v>
      </c>
      <c r="AB5506" s="4">
        <v>1</v>
      </c>
      <c r="AC5506" s="4">
        <v>17</v>
      </c>
      <c r="AD5506" s="4">
        <v>36</v>
      </c>
      <c r="AE5506" s="4">
        <v>110</v>
      </c>
      <c r="AF5506" s="4">
        <v>0</v>
      </c>
      <c r="AG5506" s="4">
        <v>8</v>
      </c>
      <c r="AH5506" s="4">
        <v>33</v>
      </c>
      <c r="AI5506" s="4">
        <v>74</v>
      </c>
      <c r="AJ5506" s="4">
        <v>5</v>
      </c>
      <c r="AK5506" s="4">
        <v>20</v>
      </c>
      <c r="AL5506" s="4">
        <v>23</v>
      </c>
      <c r="AM5506" s="4">
        <v>40</v>
      </c>
      <c r="AN5506" s="4">
        <v>0</v>
      </c>
      <c r="AO5506" s="4">
        <v>0</v>
      </c>
      <c r="AP5506" s="4">
        <v>6</v>
      </c>
      <c r="AQ5506" s="4">
        <v>42</v>
      </c>
      <c r="AR5506" s="3" t="s">
        <v>62</v>
      </c>
      <c r="AS5506" s="3" t="s">
        <v>62</v>
      </c>
      <c r="AT5506" s="3" t="s">
        <v>62</v>
      </c>
      <c r="AV5506" s="6" t="str">
        <f>HYPERLINK("http://mcgill.on.worldcat.org/oclc/499178584","Catalog Record")</f>
        <v>Catalog Record</v>
      </c>
      <c r="AW5506" s="6" t="str">
        <f>HYPERLINK("http://www.worldcat.org/oclc/499178584","WorldCat Record")</f>
        <v>WorldCat Record</v>
      </c>
      <c r="AX5506" s="3" t="s">
        <v>52781</v>
      </c>
      <c r="AY5506" s="3" t="s">
        <v>52782</v>
      </c>
      <c r="AZ5506" s="3" t="s">
        <v>52783</v>
      </c>
      <c r="BA5506" s="3" t="s">
        <v>52783</v>
      </c>
      <c r="BB5506" s="3" t="s">
        <v>52784</v>
      </c>
      <c r="BC5506" s="3" t="s">
        <v>142</v>
      </c>
      <c r="BD5506" s="3" t="s">
        <v>68</v>
      </c>
      <c r="BE5506" s="3" t="s">
        <v>52785</v>
      </c>
      <c r="BF5506" s="3" t="s">
        <v>52784</v>
      </c>
      <c r="BG5506" s="3" t="s">
        <v>52786</v>
      </c>
    </row>
    <row r="5507" spans="1:59" ht="57" x14ac:dyDescent="0.45">
      <c r="A5507" s="2" t="s">
        <v>59</v>
      </c>
      <c r="B5507" s="2" t="s">
        <v>60</v>
      </c>
      <c r="C5507" s="2" t="s">
        <v>52787</v>
      </c>
      <c r="D5507" s="2" t="s">
        <v>52788</v>
      </c>
      <c r="E5507" s="2" t="s">
        <v>52789</v>
      </c>
      <c r="G5507" s="3" t="s">
        <v>62</v>
      </c>
      <c r="I5507" s="3" t="s">
        <v>62</v>
      </c>
      <c r="J5507" s="3" t="s">
        <v>62</v>
      </c>
      <c r="K5507" s="3" t="s">
        <v>63</v>
      </c>
      <c r="L5507" s="2" t="s">
        <v>52790</v>
      </c>
      <c r="M5507" s="2" t="s">
        <v>3925</v>
      </c>
      <c r="N5507" s="3" t="s">
        <v>149</v>
      </c>
      <c r="P5507" s="3" t="s">
        <v>65</v>
      </c>
      <c r="Q5507" s="2" t="s">
        <v>52791</v>
      </c>
      <c r="R5507" s="3" t="s">
        <v>66</v>
      </c>
      <c r="S5507" s="4">
        <v>6</v>
      </c>
      <c r="T5507" s="4">
        <v>6</v>
      </c>
      <c r="U5507" s="5" t="s">
        <v>52792</v>
      </c>
      <c r="V5507" s="5" t="s">
        <v>52792</v>
      </c>
      <c r="W5507" s="5" t="s">
        <v>67</v>
      </c>
      <c r="X5507" s="5" t="s">
        <v>67</v>
      </c>
      <c r="Y5507" s="4">
        <v>64</v>
      </c>
      <c r="Z5507" s="4">
        <v>12</v>
      </c>
      <c r="AA5507" s="4">
        <v>97</v>
      </c>
      <c r="AB5507" s="4">
        <v>1</v>
      </c>
      <c r="AC5507" s="4">
        <v>17</v>
      </c>
      <c r="AD5507" s="4">
        <v>37</v>
      </c>
      <c r="AE5507" s="4">
        <v>109</v>
      </c>
      <c r="AF5507" s="4">
        <v>0</v>
      </c>
      <c r="AG5507" s="4">
        <v>8</v>
      </c>
      <c r="AH5507" s="4">
        <v>32</v>
      </c>
      <c r="AI5507" s="4">
        <v>73</v>
      </c>
      <c r="AJ5507" s="4">
        <v>9</v>
      </c>
      <c r="AK5507" s="4">
        <v>23</v>
      </c>
      <c r="AL5507" s="4">
        <v>22</v>
      </c>
      <c r="AM5507" s="4">
        <v>38</v>
      </c>
      <c r="AN5507" s="4">
        <v>0</v>
      </c>
      <c r="AO5507" s="4">
        <v>0</v>
      </c>
      <c r="AP5507" s="4">
        <v>10</v>
      </c>
      <c r="AQ5507" s="4">
        <v>44</v>
      </c>
      <c r="AR5507" s="3" t="s">
        <v>62</v>
      </c>
      <c r="AS5507" s="3" t="s">
        <v>62</v>
      </c>
      <c r="AT5507" s="3" t="s">
        <v>62</v>
      </c>
      <c r="AV5507" s="6" t="str">
        <f>HYPERLINK("http://mcgill.on.worldcat.org/oclc/457772281","Catalog Record")</f>
        <v>Catalog Record</v>
      </c>
      <c r="AW5507" s="6" t="str">
        <f>HYPERLINK("http://www.worldcat.org/oclc/457772281","WorldCat Record")</f>
        <v>WorldCat Record</v>
      </c>
      <c r="AX5507" s="3" t="s">
        <v>52793</v>
      </c>
      <c r="AY5507" s="3" t="s">
        <v>52794</v>
      </c>
      <c r="AZ5507" s="3" t="s">
        <v>52795</v>
      </c>
      <c r="BA5507" s="3" t="s">
        <v>52795</v>
      </c>
      <c r="BB5507" s="3" t="s">
        <v>52796</v>
      </c>
      <c r="BC5507" s="3" t="s">
        <v>142</v>
      </c>
      <c r="BD5507" s="3" t="s">
        <v>68</v>
      </c>
      <c r="BE5507" s="3" t="s">
        <v>52797</v>
      </c>
      <c r="BF5507" s="3" t="s">
        <v>52796</v>
      </c>
      <c r="BG5507" s="3" t="s">
        <v>52798</v>
      </c>
    </row>
    <row r="5508" spans="1:59" ht="57" x14ac:dyDescent="0.45">
      <c r="A5508" s="2" t="s">
        <v>59</v>
      </c>
      <c r="B5508" s="2" t="s">
        <v>60</v>
      </c>
      <c r="C5508" s="2" t="s">
        <v>52799</v>
      </c>
      <c r="D5508" s="2" t="s">
        <v>52800</v>
      </c>
      <c r="E5508" s="2" t="s">
        <v>52801</v>
      </c>
      <c r="G5508" s="3" t="s">
        <v>62</v>
      </c>
      <c r="I5508" s="3" t="s">
        <v>62</v>
      </c>
      <c r="J5508" s="3" t="s">
        <v>61</v>
      </c>
      <c r="K5508" s="3" t="s">
        <v>63</v>
      </c>
      <c r="L5508" s="2" t="s">
        <v>52802</v>
      </c>
      <c r="M5508" s="2" t="s">
        <v>52803</v>
      </c>
      <c r="N5508" s="3" t="s">
        <v>2417</v>
      </c>
      <c r="P5508" s="3" t="s">
        <v>65</v>
      </c>
      <c r="Q5508" s="2" t="s">
        <v>49489</v>
      </c>
      <c r="R5508" s="3" t="s">
        <v>66</v>
      </c>
      <c r="S5508" s="4">
        <v>11</v>
      </c>
      <c r="T5508" s="4">
        <v>11</v>
      </c>
      <c r="U5508" s="5" t="s">
        <v>52804</v>
      </c>
      <c r="V5508" s="5" t="s">
        <v>52804</v>
      </c>
      <c r="W5508" s="5" t="s">
        <v>67</v>
      </c>
      <c r="X5508" s="5" t="s">
        <v>67</v>
      </c>
      <c r="Y5508" s="4">
        <v>91</v>
      </c>
      <c r="Z5508" s="4">
        <v>5</v>
      </c>
      <c r="AA5508" s="4">
        <v>6</v>
      </c>
      <c r="AB5508" s="4">
        <v>1</v>
      </c>
      <c r="AC5508" s="4">
        <v>2</v>
      </c>
      <c r="AD5508" s="4">
        <v>39</v>
      </c>
      <c r="AE5508" s="4">
        <v>45</v>
      </c>
      <c r="AF5508" s="4">
        <v>0</v>
      </c>
      <c r="AG5508" s="4">
        <v>1</v>
      </c>
      <c r="AH5508" s="4">
        <v>37</v>
      </c>
      <c r="AI5508" s="4">
        <v>42</v>
      </c>
      <c r="AJ5508" s="4">
        <v>3</v>
      </c>
      <c r="AK5508" s="4">
        <v>4</v>
      </c>
      <c r="AL5508" s="4">
        <v>20</v>
      </c>
      <c r="AM5508" s="4">
        <v>23</v>
      </c>
      <c r="AN5508" s="4">
        <v>0</v>
      </c>
      <c r="AO5508" s="4">
        <v>0</v>
      </c>
      <c r="AP5508" s="4">
        <v>4</v>
      </c>
      <c r="AQ5508" s="4">
        <v>5</v>
      </c>
      <c r="AR5508" s="3" t="s">
        <v>62</v>
      </c>
      <c r="AS5508" s="3" t="s">
        <v>62</v>
      </c>
      <c r="AT5508" s="3" t="s">
        <v>61</v>
      </c>
      <c r="AU5508" s="6" t="str">
        <f>HYPERLINK("http://catalog.hathitrust.org/Record/007106921","HathiTrust Record")</f>
        <v>HathiTrust Record</v>
      </c>
      <c r="AV5508" s="6" t="str">
        <f>HYPERLINK("http://mcgill.on.worldcat.org/oclc/18105484","Catalog Record")</f>
        <v>Catalog Record</v>
      </c>
      <c r="AW5508" s="6" t="str">
        <f>HYPERLINK("http://www.worldcat.org/oclc/18105484","WorldCat Record")</f>
        <v>WorldCat Record</v>
      </c>
      <c r="AX5508" s="3" t="s">
        <v>52805</v>
      </c>
      <c r="AY5508" s="3" t="s">
        <v>52806</v>
      </c>
      <c r="AZ5508" s="3" t="s">
        <v>52807</v>
      </c>
      <c r="BA5508" s="3" t="s">
        <v>52807</v>
      </c>
      <c r="BB5508" s="3" t="s">
        <v>52808</v>
      </c>
      <c r="BC5508" s="3" t="s">
        <v>142</v>
      </c>
      <c r="BD5508" s="3" t="s">
        <v>68</v>
      </c>
      <c r="BE5508" s="3" t="s">
        <v>52809</v>
      </c>
      <c r="BF5508" s="3" t="s">
        <v>52808</v>
      </c>
      <c r="BG5508" s="3" t="s">
        <v>52810</v>
      </c>
    </row>
    <row r="5509" spans="1:59" ht="57" x14ac:dyDescent="0.45">
      <c r="A5509" s="2" t="s">
        <v>59</v>
      </c>
      <c r="B5509" s="2" t="s">
        <v>60</v>
      </c>
      <c r="C5509" s="2" t="s">
        <v>52811</v>
      </c>
      <c r="D5509" s="2" t="s">
        <v>52812</v>
      </c>
      <c r="E5509" s="2" t="s">
        <v>52813</v>
      </c>
      <c r="G5509" s="3" t="s">
        <v>62</v>
      </c>
      <c r="I5509" s="3" t="s">
        <v>62</v>
      </c>
      <c r="J5509" s="3" t="s">
        <v>62</v>
      </c>
      <c r="K5509" s="3" t="s">
        <v>63</v>
      </c>
      <c r="M5509" s="2" t="s">
        <v>32995</v>
      </c>
      <c r="N5509" s="3" t="s">
        <v>918</v>
      </c>
      <c r="P5509" s="3" t="s">
        <v>65</v>
      </c>
      <c r="Q5509" s="2" t="s">
        <v>52814</v>
      </c>
      <c r="R5509" s="3" t="s">
        <v>66</v>
      </c>
      <c r="S5509" s="4">
        <v>9</v>
      </c>
      <c r="T5509" s="4">
        <v>9</v>
      </c>
      <c r="U5509" s="5" t="s">
        <v>31526</v>
      </c>
      <c r="V5509" s="5" t="s">
        <v>31526</v>
      </c>
      <c r="W5509" s="5" t="s">
        <v>67</v>
      </c>
      <c r="X5509" s="5" t="s">
        <v>67</v>
      </c>
      <c r="Y5509" s="4">
        <v>104</v>
      </c>
      <c r="Z5509" s="4">
        <v>9</v>
      </c>
      <c r="AA5509" s="4">
        <v>102</v>
      </c>
      <c r="AB5509" s="4">
        <v>1</v>
      </c>
      <c r="AC5509" s="4">
        <v>17</v>
      </c>
      <c r="AD5509" s="4">
        <v>45</v>
      </c>
      <c r="AE5509" s="4">
        <v>118</v>
      </c>
      <c r="AF5509" s="4">
        <v>0</v>
      </c>
      <c r="AG5509" s="4">
        <v>8</v>
      </c>
      <c r="AH5509" s="4">
        <v>42</v>
      </c>
      <c r="AI5509" s="4">
        <v>82</v>
      </c>
      <c r="AJ5509" s="4">
        <v>7</v>
      </c>
      <c r="AK5509" s="4">
        <v>23</v>
      </c>
      <c r="AL5509" s="4">
        <v>30</v>
      </c>
      <c r="AM5509" s="4">
        <v>42</v>
      </c>
      <c r="AN5509" s="4">
        <v>0</v>
      </c>
      <c r="AO5509" s="4">
        <v>0</v>
      </c>
      <c r="AP5509" s="4">
        <v>7</v>
      </c>
      <c r="AQ5509" s="4">
        <v>44</v>
      </c>
      <c r="AR5509" s="3" t="s">
        <v>62</v>
      </c>
      <c r="AS5509" s="3" t="s">
        <v>62</v>
      </c>
      <c r="AT5509" s="3" t="s">
        <v>62</v>
      </c>
      <c r="AV5509" s="6" t="str">
        <f>HYPERLINK("http://mcgill.on.worldcat.org/oclc/50516532","Catalog Record")</f>
        <v>Catalog Record</v>
      </c>
      <c r="AW5509" s="6" t="str">
        <f>HYPERLINK("http://www.worldcat.org/oclc/50516532","WorldCat Record")</f>
        <v>WorldCat Record</v>
      </c>
      <c r="AX5509" s="3" t="s">
        <v>52815</v>
      </c>
      <c r="AY5509" s="3" t="s">
        <v>52816</v>
      </c>
      <c r="AZ5509" s="3" t="s">
        <v>52817</v>
      </c>
      <c r="BA5509" s="3" t="s">
        <v>52817</v>
      </c>
      <c r="BB5509" s="3" t="s">
        <v>52818</v>
      </c>
      <c r="BC5509" s="3" t="s">
        <v>142</v>
      </c>
      <c r="BD5509" s="3" t="s">
        <v>68</v>
      </c>
      <c r="BE5509" s="3" t="s">
        <v>52819</v>
      </c>
      <c r="BF5509" s="3" t="s">
        <v>52818</v>
      </c>
      <c r="BG5509" s="3" t="s">
        <v>52820</v>
      </c>
    </row>
    <row r="5510" spans="1:59" ht="57" x14ac:dyDescent="0.45">
      <c r="A5510" s="2" t="s">
        <v>59</v>
      </c>
      <c r="B5510" s="2" t="s">
        <v>60</v>
      </c>
      <c r="C5510" s="2" t="s">
        <v>52821</v>
      </c>
      <c r="D5510" s="2" t="s">
        <v>52822</v>
      </c>
      <c r="E5510" s="2" t="s">
        <v>52823</v>
      </c>
      <c r="G5510" s="3" t="s">
        <v>62</v>
      </c>
      <c r="I5510" s="3" t="s">
        <v>62</v>
      </c>
      <c r="J5510" s="3" t="s">
        <v>62</v>
      </c>
      <c r="K5510" s="3" t="s">
        <v>63</v>
      </c>
      <c r="L5510" s="2" t="s">
        <v>52824</v>
      </c>
      <c r="M5510" s="2" t="s">
        <v>40362</v>
      </c>
      <c r="N5510" s="3" t="s">
        <v>542</v>
      </c>
      <c r="P5510" s="3" t="s">
        <v>65</v>
      </c>
      <c r="Q5510" s="2" t="s">
        <v>52825</v>
      </c>
      <c r="R5510" s="3" t="s">
        <v>66</v>
      </c>
      <c r="S5510" s="4">
        <v>30</v>
      </c>
      <c r="T5510" s="4">
        <v>30</v>
      </c>
      <c r="U5510" s="5" t="s">
        <v>13497</v>
      </c>
      <c r="V5510" s="5" t="s">
        <v>13497</v>
      </c>
      <c r="W5510" s="5" t="s">
        <v>67</v>
      </c>
      <c r="X5510" s="5" t="s">
        <v>67</v>
      </c>
      <c r="Y5510" s="4">
        <v>191</v>
      </c>
      <c r="Z5510" s="4">
        <v>15</v>
      </c>
      <c r="AA5510" s="4">
        <v>17</v>
      </c>
      <c r="AB5510" s="4">
        <v>2</v>
      </c>
      <c r="AC5510" s="4">
        <v>3</v>
      </c>
      <c r="AD5510" s="4">
        <v>79</v>
      </c>
      <c r="AE5510" s="4">
        <v>83</v>
      </c>
      <c r="AF5510" s="4">
        <v>0</v>
      </c>
      <c r="AG5510" s="4">
        <v>1</v>
      </c>
      <c r="AH5510" s="4">
        <v>73</v>
      </c>
      <c r="AI5510" s="4">
        <v>75</v>
      </c>
      <c r="AJ5510" s="4">
        <v>12</v>
      </c>
      <c r="AK5510" s="4">
        <v>14</v>
      </c>
      <c r="AL5510" s="4">
        <v>48</v>
      </c>
      <c r="AM5510" s="4">
        <v>50</v>
      </c>
      <c r="AN5510" s="4">
        <v>0</v>
      </c>
      <c r="AO5510" s="4">
        <v>0</v>
      </c>
      <c r="AP5510" s="4">
        <v>12</v>
      </c>
      <c r="AQ5510" s="4">
        <v>14</v>
      </c>
      <c r="AR5510" s="3" t="s">
        <v>62</v>
      </c>
      <c r="AS5510" s="3" t="s">
        <v>62</v>
      </c>
      <c r="AT5510" s="3" t="s">
        <v>62</v>
      </c>
      <c r="AV5510" s="6" t="str">
        <f>HYPERLINK("http://mcgill.on.worldcat.org/oclc/45853197","Catalog Record")</f>
        <v>Catalog Record</v>
      </c>
      <c r="AW5510" s="6" t="str">
        <f>HYPERLINK("http://www.worldcat.org/oclc/45853197","WorldCat Record")</f>
        <v>WorldCat Record</v>
      </c>
      <c r="AX5510" s="3" t="s">
        <v>52826</v>
      </c>
      <c r="AY5510" s="3" t="s">
        <v>52827</v>
      </c>
      <c r="AZ5510" s="3" t="s">
        <v>52828</v>
      </c>
      <c r="BA5510" s="3" t="s">
        <v>52828</v>
      </c>
      <c r="BB5510" s="3" t="s">
        <v>52829</v>
      </c>
      <c r="BC5510" s="3" t="s">
        <v>142</v>
      </c>
      <c r="BD5510" s="3" t="s">
        <v>68</v>
      </c>
      <c r="BE5510" s="3" t="s">
        <v>52830</v>
      </c>
      <c r="BF5510" s="3" t="s">
        <v>52829</v>
      </c>
      <c r="BG5510" s="3" t="s">
        <v>52831</v>
      </c>
    </row>
    <row r="5511" spans="1:59" ht="57" x14ac:dyDescent="0.45">
      <c r="A5511" s="2" t="s">
        <v>59</v>
      </c>
      <c r="B5511" s="2" t="s">
        <v>60</v>
      </c>
      <c r="C5511" s="2" t="s">
        <v>52832</v>
      </c>
      <c r="D5511" s="2" t="s">
        <v>52833</v>
      </c>
      <c r="E5511" s="2" t="s">
        <v>52834</v>
      </c>
      <c r="G5511" s="3" t="s">
        <v>62</v>
      </c>
      <c r="I5511" s="3" t="s">
        <v>62</v>
      </c>
      <c r="J5511" s="3" t="s">
        <v>62</v>
      </c>
      <c r="K5511" s="3" t="s">
        <v>63</v>
      </c>
      <c r="M5511" s="2" t="s">
        <v>28286</v>
      </c>
      <c r="N5511" s="3" t="s">
        <v>1155</v>
      </c>
      <c r="P5511" s="3" t="s">
        <v>65</v>
      </c>
      <c r="Q5511" s="2" t="s">
        <v>52835</v>
      </c>
      <c r="R5511" s="3" t="s">
        <v>66</v>
      </c>
      <c r="S5511" s="4">
        <v>1</v>
      </c>
      <c r="T5511" s="4">
        <v>1</v>
      </c>
      <c r="U5511" s="5" t="s">
        <v>52792</v>
      </c>
      <c r="V5511" s="5" t="s">
        <v>52792</v>
      </c>
      <c r="W5511" s="5" t="s">
        <v>67</v>
      </c>
      <c r="X5511" s="5" t="s">
        <v>67</v>
      </c>
      <c r="Y5511" s="4">
        <v>123</v>
      </c>
      <c r="Z5511" s="4">
        <v>15</v>
      </c>
      <c r="AA5511" s="4">
        <v>27</v>
      </c>
      <c r="AB5511" s="4">
        <v>1</v>
      </c>
      <c r="AC5511" s="4">
        <v>5</v>
      </c>
      <c r="AD5511" s="4">
        <v>59</v>
      </c>
      <c r="AE5511" s="4">
        <v>72</v>
      </c>
      <c r="AF5511" s="4">
        <v>0</v>
      </c>
      <c r="AG5511" s="4">
        <v>1</v>
      </c>
      <c r="AH5511" s="4">
        <v>53</v>
      </c>
      <c r="AI5511" s="4">
        <v>60</v>
      </c>
      <c r="AJ5511" s="4">
        <v>12</v>
      </c>
      <c r="AK5511" s="4">
        <v>16</v>
      </c>
      <c r="AL5511" s="4">
        <v>33</v>
      </c>
      <c r="AM5511" s="4">
        <v>36</v>
      </c>
      <c r="AN5511" s="4">
        <v>0</v>
      </c>
      <c r="AO5511" s="4">
        <v>0</v>
      </c>
      <c r="AP5511" s="4">
        <v>13</v>
      </c>
      <c r="AQ5511" s="4">
        <v>22</v>
      </c>
      <c r="AR5511" s="3" t="s">
        <v>62</v>
      </c>
      <c r="AS5511" s="3" t="s">
        <v>62</v>
      </c>
      <c r="AT5511" s="3" t="s">
        <v>62</v>
      </c>
      <c r="AV5511" s="6" t="str">
        <f>HYPERLINK("http://mcgill.on.worldcat.org/oclc/773428594","Catalog Record")</f>
        <v>Catalog Record</v>
      </c>
      <c r="AW5511" s="6" t="str">
        <f>HYPERLINK("http://www.worldcat.org/oclc/773428594","WorldCat Record")</f>
        <v>WorldCat Record</v>
      </c>
      <c r="AX5511" s="3" t="s">
        <v>52836</v>
      </c>
      <c r="AY5511" s="3" t="s">
        <v>52837</v>
      </c>
      <c r="AZ5511" s="3" t="s">
        <v>52838</v>
      </c>
      <c r="BA5511" s="3" t="s">
        <v>52838</v>
      </c>
      <c r="BB5511" s="3" t="s">
        <v>52839</v>
      </c>
      <c r="BC5511" s="3" t="s">
        <v>142</v>
      </c>
      <c r="BD5511" s="3" t="s">
        <v>68</v>
      </c>
      <c r="BE5511" s="3" t="s">
        <v>52840</v>
      </c>
      <c r="BF5511" s="3" t="s">
        <v>52839</v>
      </c>
      <c r="BG5511" s="3" t="s">
        <v>52841</v>
      </c>
    </row>
    <row r="5512" spans="1:59" ht="57" x14ac:dyDescent="0.45">
      <c r="A5512" s="2" t="s">
        <v>59</v>
      </c>
      <c r="B5512" s="2" t="s">
        <v>60</v>
      </c>
      <c r="C5512" s="2" t="s">
        <v>52842</v>
      </c>
      <c r="D5512" s="2" t="s">
        <v>52843</v>
      </c>
      <c r="E5512" s="2" t="s">
        <v>52844</v>
      </c>
      <c r="G5512" s="3" t="s">
        <v>62</v>
      </c>
      <c r="I5512" s="3" t="s">
        <v>62</v>
      </c>
      <c r="J5512" s="3" t="s">
        <v>62</v>
      </c>
      <c r="K5512" s="3" t="s">
        <v>63</v>
      </c>
      <c r="M5512" s="2" t="s">
        <v>29734</v>
      </c>
      <c r="N5512" s="3" t="s">
        <v>820</v>
      </c>
      <c r="P5512" s="3" t="s">
        <v>65</v>
      </c>
      <c r="R5512" s="3" t="s">
        <v>66</v>
      </c>
      <c r="S5512" s="4">
        <v>6</v>
      </c>
      <c r="T5512" s="4">
        <v>6</v>
      </c>
      <c r="U5512" s="5" t="s">
        <v>4176</v>
      </c>
      <c r="V5512" s="5" t="s">
        <v>4176</v>
      </c>
      <c r="W5512" s="5" t="s">
        <v>67</v>
      </c>
      <c r="X5512" s="5" t="s">
        <v>67</v>
      </c>
      <c r="Y5512" s="4">
        <v>188</v>
      </c>
      <c r="Z5512" s="4">
        <v>14</v>
      </c>
      <c r="AA5512" s="4">
        <v>80</v>
      </c>
      <c r="AB5512" s="4">
        <v>1</v>
      </c>
      <c r="AC5512" s="4">
        <v>14</v>
      </c>
      <c r="AD5512" s="4">
        <v>83</v>
      </c>
      <c r="AE5512" s="4">
        <v>130</v>
      </c>
      <c r="AF5512" s="4">
        <v>0</v>
      </c>
      <c r="AG5512" s="4">
        <v>8</v>
      </c>
      <c r="AH5512" s="4">
        <v>77</v>
      </c>
      <c r="AI5512" s="4">
        <v>95</v>
      </c>
      <c r="AJ5512" s="4">
        <v>11</v>
      </c>
      <c r="AK5512" s="4">
        <v>24</v>
      </c>
      <c r="AL5512" s="4">
        <v>51</v>
      </c>
      <c r="AM5512" s="4">
        <v>56</v>
      </c>
      <c r="AN5512" s="4">
        <v>0</v>
      </c>
      <c r="AO5512" s="4">
        <v>0</v>
      </c>
      <c r="AP5512" s="4">
        <v>11</v>
      </c>
      <c r="AQ5512" s="4">
        <v>43</v>
      </c>
      <c r="AR5512" s="3" t="s">
        <v>62</v>
      </c>
      <c r="AS5512" s="3" t="s">
        <v>62</v>
      </c>
      <c r="AT5512" s="3" t="s">
        <v>62</v>
      </c>
      <c r="AV5512" s="6" t="str">
        <f>HYPERLINK("http://mcgill.on.worldcat.org/oclc/141380337","Catalog Record")</f>
        <v>Catalog Record</v>
      </c>
      <c r="AW5512" s="6" t="str">
        <f>HYPERLINK("http://www.worldcat.org/oclc/141380337","WorldCat Record")</f>
        <v>WorldCat Record</v>
      </c>
      <c r="AX5512" s="3" t="s">
        <v>52845</v>
      </c>
      <c r="AY5512" s="3" t="s">
        <v>52846</v>
      </c>
      <c r="AZ5512" s="3" t="s">
        <v>52847</v>
      </c>
      <c r="BA5512" s="3" t="s">
        <v>52847</v>
      </c>
      <c r="BB5512" s="3" t="s">
        <v>52848</v>
      </c>
      <c r="BC5512" s="3" t="s">
        <v>142</v>
      </c>
      <c r="BD5512" s="3" t="s">
        <v>68</v>
      </c>
      <c r="BE5512" s="3" t="s">
        <v>52849</v>
      </c>
      <c r="BF5512" s="3" t="s">
        <v>52848</v>
      </c>
      <c r="BG5512" s="3" t="s">
        <v>52850</v>
      </c>
    </row>
    <row r="5513" spans="1:59" ht="57" x14ac:dyDescent="0.45">
      <c r="A5513" s="2" t="s">
        <v>59</v>
      </c>
      <c r="B5513" s="2" t="s">
        <v>60</v>
      </c>
      <c r="C5513" s="2" t="s">
        <v>52851</v>
      </c>
      <c r="D5513" s="2" t="s">
        <v>52852</v>
      </c>
      <c r="E5513" s="2" t="s">
        <v>52853</v>
      </c>
      <c r="G5513" s="3" t="s">
        <v>62</v>
      </c>
      <c r="I5513" s="3" t="s">
        <v>62</v>
      </c>
      <c r="J5513" s="3" t="s">
        <v>62</v>
      </c>
      <c r="K5513" s="3" t="s">
        <v>63</v>
      </c>
      <c r="L5513" s="2" t="s">
        <v>52854</v>
      </c>
      <c r="M5513" s="2" t="s">
        <v>5074</v>
      </c>
      <c r="N5513" s="3" t="s">
        <v>1855</v>
      </c>
      <c r="P5513" s="3" t="s">
        <v>65</v>
      </c>
      <c r="Q5513" s="2" t="s">
        <v>52855</v>
      </c>
      <c r="R5513" s="3" t="s">
        <v>66</v>
      </c>
      <c r="S5513" s="4">
        <v>3</v>
      </c>
      <c r="T5513" s="4">
        <v>3</v>
      </c>
      <c r="U5513" s="5" t="s">
        <v>43720</v>
      </c>
      <c r="V5513" s="5" t="s">
        <v>43720</v>
      </c>
      <c r="W5513" s="5" t="s">
        <v>67</v>
      </c>
      <c r="X5513" s="5" t="s">
        <v>67</v>
      </c>
      <c r="Y5513" s="4">
        <v>104</v>
      </c>
      <c r="Z5513" s="4">
        <v>8</v>
      </c>
      <c r="AA5513" s="4">
        <v>78</v>
      </c>
      <c r="AB5513" s="4">
        <v>1</v>
      </c>
      <c r="AC5513" s="4">
        <v>15</v>
      </c>
      <c r="AD5513" s="4">
        <v>45</v>
      </c>
      <c r="AE5513" s="4">
        <v>112</v>
      </c>
      <c r="AF5513" s="4">
        <v>0</v>
      </c>
      <c r="AG5513" s="4">
        <v>8</v>
      </c>
      <c r="AH5513" s="4">
        <v>42</v>
      </c>
      <c r="AI5513" s="4">
        <v>78</v>
      </c>
      <c r="AJ5513" s="4">
        <v>6</v>
      </c>
      <c r="AK5513" s="4">
        <v>20</v>
      </c>
      <c r="AL5513" s="4">
        <v>30</v>
      </c>
      <c r="AM5513" s="4">
        <v>46</v>
      </c>
      <c r="AN5513" s="4">
        <v>0</v>
      </c>
      <c r="AO5513" s="4">
        <v>0</v>
      </c>
      <c r="AP5513" s="4">
        <v>6</v>
      </c>
      <c r="AQ5513" s="4">
        <v>40</v>
      </c>
      <c r="AR5513" s="3" t="s">
        <v>62</v>
      </c>
      <c r="AS5513" s="3" t="s">
        <v>62</v>
      </c>
      <c r="AT5513" s="3" t="s">
        <v>61</v>
      </c>
      <c r="AU5513" s="6" t="str">
        <f>HYPERLINK("http://catalog.hathitrust.org/Record/007146378","HathiTrust Record")</f>
        <v>HathiTrust Record</v>
      </c>
      <c r="AV5513" s="6" t="str">
        <f>HYPERLINK("http://mcgill.on.worldcat.org/oclc/62281664","Catalog Record")</f>
        <v>Catalog Record</v>
      </c>
      <c r="AW5513" s="6" t="str">
        <f>HYPERLINK("http://www.worldcat.org/oclc/62281664","WorldCat Record")</f>
        <v>WorldCat Record</v>
      </c>
      <c r="AX5513" s="3" t="s">
        <v>52856</v>
      </c>
      <c r="AY5513" s="3" t="s">
        <v>52857</v>
      </c>
      <c r="AZ5513" s="3" t="s">
        <v>52858</v>
      </c>
      <c r="BA5513" s="3" t="s">
        <v>52858</v>
      </c>
      <c r="BB5513" s="3" t="s">
        <v>52859</v>
      </c>
      <c r="BC5513" s="3" t="s">
        <v>142</v>
      </c>
      <c r="BD5513" s="3" t="s">
        <v>68</v>
      </c>
      <c r="BE5513" s="3" t="s">
        <v>52860</v>
      </c>
      <c r="BF5513" s="3" t="s">
        <v>52859</v>
      </c>
      <c r="BG5513" s="3" t="s">
        <v>52861</v>
      </c>
    </row>
    <row r="5514" spans="1:59" ht="57" x14ac:dyDescent="0.45">
      <c r="A5514" s="2" t="s">
        <v>59</v>
      </c>
      <c r="B5514" s="2" t="s">
        <v>60</v>
      </c>
      <c r="C5514" s="2" t="s">
        <v>52862</v>
      </c>
      <c r="D5514" s="2" t="s">
        <v>52863</v>
      </c>
      <c r="E5514" s="2" t="s">
        <v>52864</v>
      </c>
      <c r="G5514" s="3" t="s">
        <v>62</v>
      </c>
      <c r="I5514" s="3" t="s">
        <v>62</v>
      </c>
      <c r="J5514" s="3" t="s">
        <v>62</v>
      </c>
      <c r="K5514" s="3" t="s">
        <v>63</v>
      </c>
      <c r="L5514" s="2" t="s">
        <v>11885</v>
      </c>
      <c r="M5514" s="2" t="s">
        <v>47504</v>
      </c>
      <c r="N5514" s="3" t="s">
        <v>1604</v>
      </c>
      <c r="P5514" s="3" t="s">
        <v>65</v>
      </c>
      <c r="Q5514" s="2" t="s">
        <v>52865</v>
      </c>
      <c r="R5514" s="3" t="s">
        <v>66</v>
      </c>
      <c r="S5514" s="4">
        <v>38</v>
      </c>
      <c r="T5514" s="4">
        <v>38</v>
      </c>
      <c r="U5514" s="5" t="s">
        <v>4037</v>
      </c>
      <c r="V5514" s="5" t="s">
        <v>4037</v>
      </c>
      <c r="W5514" s="5" t="s">
        <v>67</v>
      </c>
      <c r="X5514" s="5" t="s">
        <v>67</v>
      </c>
      <c r="Y5514" s="4">
        <v>303</v>
      </c>
      <c r="Z5514" s="4">
        <v>22</v>
      </c>
      <c r="AA5514" s="4">
        <v>25</v>
      </c>
      <c r="AB5514" s="4">
        <v>2</v>
      </c>
      <c r="AC5514" s="4">
        <v>5</v>
      </c>
      <c r="AD5514" s="4">
        <v>114</v>
      </c>
      <c r="AE5514" s="4">
        <v>116</v>
      </c>
      <c r="AF5514" s="4">
        <v>1</v>
      </c>
      <c r="AG5514" s="4">
        <v>3</v>
      </c>
      <c r="AH5514" s="4">
        <v>102</v>
      </c>
      <c r="AI5514" s="4">
        <v>103</v>
      </c>
      <c r="AJ5514" s="4">
        <v>17</v>
      </c>
      <c r="AK5514" s="4">
        <v>19</v>
      </c>
      <c r="AL5514" s="4">
        <v>55</v>
      </c>
      <c r="AM5514" s="4">
        <v>55</v>
      </c>
      <c r="AN5514" s="4">
        <v>0</v>
      </c>
      <c r="AO5514" s="4">
        <v>0</v>
      </c>
      <c r="AP5514" s="4">
        <v>20</v>
      </c>
      <c r="AQ5514" s="4">
        <v>21</v>
      </c>
      <c r="AR5514" s="3" t="s">
        <v>62</v>
      </c>
      <c r="AS5514" s="3" t="s">
        <v>62</v>
      </c>
      <c r="AT5514" s="3" t="s">
        <v>62</v>
      </c>
      <c r="AV5514" s="6" t="str">
        <f>HYPERLINK("http://mcgill.on.worldcat.org/oclc/28063871","Catalog Record")</f>
        <v>Catalog Record</v>
      </c>
      <c r="AW5514" s="6" t="str">
        <f>HYPERLINK("http://www.worldcat.org/oclc/28063871","WorldCat Record")</f>
        <v>WorldCat Record</v>
      </c>
      <c r="AX5514" s="3" t="s">
        <v>52866</v>
      </c>
      <c r="AY5514" s="3" t="s">
        <v>52867</v>
      </c>
      <c r="AZ5514" s="3" t="s">
        <v>52868</v>
      </c>
      <c r="BA5514" s="3" t="s">
        <v>52868</v>
      </c>
      <c r="BB5514" s="3" t="s">
        <v>52869</v>
      </c>
      <c r="BC5514" s="3" t="s">
        <v>142</v>
      </c>
      <c r="BD5514" s="3" t="s">
        <v>308</v>
      </c>
      <c r="BE5514" s="3" t="s">
        <v>52870</v>
      </c>
      <c r="BF5514" s="3" t="s">
        <v>52869</v>
      </c>
      <c r="BG5514" s="3" t="s">
        <v>52871</v>
      </c>
    </row>
    <row r="5515" spans="1:59" ht="57" x14ac:dyDescent="0.45">
      <c r="A5515" s="2" t="s">
        <v>59</v>
      </c>
      <c r="B5515" s="2" t="s">
        <v>60</v>
      </c>
      <c r="C5515" s="2" t="s">
        <v>52872</v>
      </c>
      <c r="D5515" s="2" t="s">
        <v>52873</v>
      </c>
      <c r="E5515" s="2" t="s">
        <v>52874</v>
      </c>
      <c r="G5515" s="3" t="s">
        <v>62</v>
      </c>
      <c r="I5515" s="3" t="s">
        <v>62</v>
      </c>
      <c r="J5515" s="3" t="s">
        <v>62</v>
      </c>
      <c r="K5515" s="3" t="s">
        <v>63</v>
      </c>
      <c r="M5515" s="2" t="s">
        <v>52875</v>
      </c>
      <c r="N5515" s="3" t="s">
        <v>1059</v>
      </c>
      <c r="P5515" s="3" t="s">
        <v>65</v>
      </c>
      <c r="Q5515" s="2" t="s">
        <v>52876</v>
      </c>
      <c r="R5515" s="3" t="s">
        <v>66</v>
      </c>
      <c r="S5515" s="4">
        <v>7</v>
      </c>
      <c r="T5515" s="4">
        <v>7</v>
      </c>
      <c r="U5515" s="5" t="s">
        <v>17272</v>
      </c>
      <c r="V5515" s="5" t="s">
        <v>17272</v>
      </c>
      <c r="W5515" s="5" t="s">
        <v>67</v>
      </c>
      <c r="X5515" s="5" t="s">
        <v>67</v>
      </c>
      <c r="Y5515" s="4">
        <v>95</v>
      </c>
      <c r="Z5515" s="4">
        <v>11</v>
      </c>
      <c r="AA5515" s="4">
        <v>47</v>
      </c>
      <c r="AB5515" s="4">
        <v>1</v>
      </c>
      <c r="AC5515" s="4">
        <v>13</v>
      </c>
      <c r="AD5515" s="4">
        <v>44</v>
      </c>
      <c r="AE5515" s="4">
        <v>96</v>
      </c>
      <c r="AF5515" s="4">
        <v>0</v>
      </c>
      <c r="AG5515" s="4">
        <v>8</v>
      </c>
      <c r="AH5515" s="4">
        <v>38</v>
      </c>
      <c r="AI5515" s="4">
        <v>66</v>
      </c>
      <c r="AJ5515" s="4">
        <v>9</v>
      </c>
      <c r="AK5515" s="4">
        <v>22</v>
      </c>
      <c r="AL5515" s="4">
        <v>27</v>
      </c>
      <c r="AM5515" s="4">
        <v>36</v>
      </c>
      <c r="AN5515" s="4">
        <v>0</v>
      </c>
      <c r="AO5515" s="4">
        <v>0</v>
      </c>
      <c r="AP5515" s="4">
        <v>8</v>
      </c>
      <c r="AQ5515" s="4">
        <v>38</v>
      </c>
      <c r="AR5515" s="3" t="s">
        <v>62</v>
      </c>
      <c r="AS5515" s="3" t="s">
        <v>62</v>
      </c>
      <c r="AT5515" s="3" t="s">
        <v>62</v>
      </c>
      <c r="AV5515" s="6" t="str">
        <f>HYPERLINK("http://mcgill.on.worldcat.org/oclc/65166801","Catalog Record")</f>
        <v>Catalog Record</v>
      </c>
      <c r="AW5515" s="6" t="str">
        <f>HYPERLINK("http://www.worldcat.org/oclc/65166801","WorldCat Record")</f>
        <v>WorldCat Record</v>
      </c>
      <c r="AX5515" s="3" t="s">
        <v>52877</v>
      </c>
      <c r="AY5515" s="3" t="s">
        <v>52878</v>
      </c>
      <c r="AZ5515" s="3" t="s">
        <v>52879</v>
      </c>
      <c r="BA5515" s="3" t="s">
        <v>52879</v>
      </c>
      <c r="BB5515" s="3" t="s">
        <v>52880</v>
      </c>
      <c r="BC5515" s="3" t="s">
        <v>142</v>
      </c>
      <c r="BD5515" s="3" t="s">
        <v>68</v>
      </c>
      <c r="BE5515" s="3" t="s">
        <v>52881</v>
      </c>
      <c r="BF5515" s="3" t="s">
        <v>52880</v>
      </c>
      <c r="BG5515" s="3" t="s">
        <v>52882</v>
      </c>
    </row>
    <row r="5516" spans="1:59" ht="57" x14ac:dyDescent="0.45">
      <c r="A5516" s="2" t="s">
        <v>59</v>
      </c>
      <c r="B5516" s="2" t="s">
        <v>60</v>
      </c>
      <c r="C5516" s="2" t="s">
        <v>52883</v>
      </c>
      <c r="D5516" s="2" t="s">
        <v>52884</v>
      </c>
      <c r="E5516" s="2" t="s">
        <v>52885</v>
      </c>
      <c r="G5516" s="3" t="s">
        <v>62</v>
      </c>
      <c r="I5516" s="3" t="s">
        <v>62</v>
      </c>
      <c r="J5516" s="3" t="s">
        <v>62</v>
      </c>
      <c r="K5516" s="3" t="s">
        <v>63</v>
      </c>
      <c r="M5516" s="2" t="s">
        <v>52886</v>
      </c>
      <c r="N5516" s="3" t="s">
        <v>1155</v>
      </c>
      <c r="P5516" s="3" t="s">
        <v>65</v>
      </c>
      <c r="Q5516" s="2" t="s">
        <v>52887</v>
      </c>
      <c r="R5516" s="3" t="s">
        <v>66</v>
      </c>
      <c r="S5516" s="4">
        <v>1</v>
      </c>
      <c r="T5516" s="4">
        <v>1</v>
      </c>
      <c r="W5516" s="5" t="s">
        <v>67</v>
      </c>
      <c r="X5516" s="5" t="s">
        <v>67</v>
      </c>
      <c r="Y5516" s="4">
        <v>60</v>
      </c>
      <c r="Z5516" s="4">
        <v>7</v>
      </c>
      <c r="AA5516" s="4">
        <v>82</v>
      </c>
      <c r="AB5516" s="4">
        <v>1</v>
      </c>
      <c r="AC5516" s="4">
        <v>15</v>
      </c>
      <c r="AD5516" s="4">
        <v>24</v>
      </c>
      <c r="AE5516" s="4">
        <v>104</v>
      </c>
      <c r="AF5516" s="4">
        <v>0</v>
      </c>
      <c r="AG5516" s="4">
        <v>8</v>
      </c>
      <c r="AH5516" s="4">
        <v>22</v>
      </c>
      <c r="AI5516" s="4">
        <v>70</v>
      </c>
      <c r="AJ5516" s="4">
        <v>5</v>
      </c>
      <c r="AK5516" s="4">
        <v>21</v>
      </c>
      <c r="AL5516" s="4">
        <v>15</v>
      </c>
      <c r="AM5516" s="4">
        <v>37</v>
      </c>
      <c r="AN5516" s="4">
        <v>0</v>
      </c>
      <c r="AO5516" s="4">
        <v>0</v>
      </c>
      <c r="AP5516" s="4">
        <v>5</v>
      </c>
      <c r="AQ5516" s="4">
        <v>42</v>
      </c>
      <c r="AR5516" s="3" t="s">
        <v>62</v>
      </c>
      <c r="AS5516" s="3" t="s">
        <v>62</v>
      </c>
      <c r="AT5516" s="3" t="s">
        <v>62</v>
      </c>
      <c r="AV5516" s="6" t="str">
        <f>HYPERLINK("http://mcgill.on.worldcat.org/oclc/775664178","Catalog Record")</f>
        <v>Catalog Record</v>
      </c>
      <c r="AW5516" s="6" t="str">
        <f>HYPERLINK("http://www.worldcat.org/oclc/775664178","WorldCat Record")</f>
        <v>WorldCat Record</v>
      </c>
      <c r="AX5516" s="3" t="s">
        <v>52888</v>
      </c>
      <c r="AY5516" s="3" t="s">
        <v>52889</v>
      </c>
      <c r="AZ5516" s="3" t="s">
        <v>52890</v>
      </c>
      <c r="BA5516" s="3" t="s">
        <v>52890</v>
      </c>
      <c r="BB5516" s="3" t="s">
        <v>52891</v>
      </c>
      <c r="BC5516" s="3" t="s">
        <v>142</v>
      </c>
      <c r="BD5516" s="3" t="s">
        <v>308</v>
      </c>
      <c r="BE5516" s="3" t="s">
        <v>52892</v>
      </c>
      <c r="BF5516" s="3" t="s">
        <v>52891</v>
      </c>
      <c r="BG5516" s="3" t="s">
        <v>52893</v>
      </c>
    </row>
    <row r="5517" spans="1:59" ht="57" x14ac:dyDescent="0.45">
      <c r="A5517" s="2" t="s">
        <v>59</v>
      </c>
      <c r="B5517" s="2" t="s">
        <v>60</v>
      </c>
      <c r="C5517" s="2" t="s">
        <v>52894</v>
      </c>
      <c r="D5517" s="2" t="s">
        <v>52895</v>
      </c>
      <c r="E5517" s="2" t="s">
        <v>52896</v>
      </c>
      <c r="G5517" s="3" t="s">
        <v>62</v>
      </c>
      <c r="I5517" s="3" t="s">
        <v>62</v>
      </c>
      <c r="J5517" s="3" t="s">
        <v>62</v>
      </c>
      <c r="K5517" s="3" t="s">
        <v>63</v>
      </c>
      <c r="L5517" s="2" t="s">
        <v>52897</v>
      </c>
      <c r="M5517" s="2" t="s">
        <v>52898</v>
      </c>
      <c r="N5517" s="3" t="s">
        <v>1855</v>
      </c>
      <c r="P5517" s="3" t="s">
        <v>65</v>
      </c>
      <c r="Q5517" s="2" t="s">
        <v>52899</v>
      </c>
      <c r="R5517" s="3" t="s">
        <v>66</v>
      </c>
      <c r="S5517" s="4">
        <v>4</v>
      </c>
      <c r="T5517" s="4">
        <v>4</v>
      </c>
      <c r="U5517" s="5" t="s">
        <v>25093</v>
      </c>
      <c r="V5517" s="5" t="s">
        <v>25093</v>
      </c>
      <c r="W5517" s="5" t="s">
        <v>67</v>
      </c>
      <c r="X5517" s="5" t="s">
        <v>67</v>
      </c>
      <c r="Y5517" s="4">
        <v>178</v>
      </c>
      <c r="Z5517" s="4">
        <v>15</v>
      </c>
      <c r="AA5517" s="4">
        <v>98</v>
      </c>
      <c r="AB5517" s="4">
        <v>2</v>
      </c>
      <c r="AC5517" s="4">
        <v>18</v>
      </c>
      <c r="AD5517" s="4">
        <v>81</v>
      </c>
      <c r="AE5517" s="4">
        <v>141</v>
      </c>
      <c r="AF5517" s="4">
        <v>1</v>
      </c>
      <c r="AG5517" s="4">
        <v>9</v>
      </c>
      <c r="AH5517" s="4">
        <v>74</v>
      </c>
      <c r="AI5517" s="4">
        <v>94</v>
      </c>
      <c r="AJ5517" s="4">
        <v>13</v>
      </c>
      <c r="AK5517" s="4">
        <v>28</v>
      </c>
      <c r="AL5517" s="4">
        <v>41</v>
      </c>
      <c r="AM5517" s="4">
        <v>51</v>
      </c>
      <c r="AN5517" s="4">
        <v>0</v>
      </c>
      <c r="AO5517" s="4">
        <v>0</v>
      </c>
      <c r="AP5517" s="4">
        <v>14</v>
      </c>
      <c r="AQ5517" s="4">
        <v>57</v>
      </c>
      <c r="AR5517" s="3" t="s">
        <v>62</v>
      </c>
      <c r="AS5517" s="3" t="s">
        <v>62</v>
      </c>
      <c r="AT5517" s="3" t="s">
        <v>62</v>
      </c>
      <c r="AV5517" s="6" t="str">
        <f>HYPERLINK("http://mcgill.on.worldcat.org/oclc/56011029","Catalog Record")</f>
        <v>Catalog Record</v>
      </c>
      <c r="AW5517" s="6" t="str">
        <f>HYPERLINK("http://www.worldcat.org/oclc/56011029","WorldCat Record")</f>
        <v>WorldCat Record</v>
      </c>
      <c r="AX5517" s="3" t="s">
        <v>52900</v>
      </c>
      <c r="AY5517" s="3" t="s">
        <v>52901</v>
      </c>
      <c r="AZ5517" s="3" t="s">
        <v>52902</v>
      </c>
      <c r="BA5517" s="3" t="s">
        <v>52902</v>
      </c>
      <c r="BB5517" s="3" t="s">
        <v>52903</v>
      </c>
      <c r="BC5517" s="3" t="s">
        <v>142</v>
      </c>
      <c r="BD5517" s="3" t="s">
        <v>68</v>
      </c>
      <c r="BE5517" s="3" t="s">
        <v>52904</v>
      </c>
      <c r="BF5517" s="3" t="s">
        <v>52903</v>
      </c>
      <c r="BG5517" s="3" t="s">
        <v>52905</v>
      </c>
    </row>
    <row r="5518" spans="1:59" ht="57" x14ac:dyDescent="0.45">
      <c r="A5518" s="2" t="s">
        <v>59</v>
      </c>
      <c r="B5518" s="2" t="s">
        <v>60</v>
      </c>
      <c r="C5518" s="2" t="s">
        <v>52906</v>
      </c>
      <c r="D5518" s="2" t="s">
        <v>52907</v>
      </c>
      <c r="E5518" s="2" t="s">
        <v>52908</v>
      </c>
      <c r="G5518" s="3" t="s">
        <v>62</v>
      </c>
      <c r="I5518" s="3" t="s">
        <v>62</v>
      </c>
      <c r="J5518" s="3" t="s">
        <v>62</v>
      </c>
      <c r="K5518" s="3" t="s">
        <v>63</v>
      </c>
      <c r="L5518" s="2" t="s">
        <v>52909</v>
      </c>
      <c r="M5518" s="2" t="s">
        <v>1436</v>
      </c>
      <c r="N5518" s="3" t="s">
        <v>1437</v>
      </c>
      <c r="P5518" s="3" t="s">
        <v>65</v>
      </c>
      <c r="Q5518" s="2" t="s">
        <v>50918</v>
      </c>
      <c r="R5518" s="3" t="s">
        <v>66</v>
      </c>
      <c r="S5518" s="4">
        <v>12</v>
      </c>
      <c r="T5518" s="4">
        <v>12</v>
      </c>
      <c r="U5518" s="5" t="s">
        <v>12858</v>
      </c>
      <c r="V5518" s="5" t="s">
        <v>12858</v>
      </c>
      <c r="W5518" s="5" t="s">
        <v>67</v>
      </c>
      <c r="X5518" s="5" t="s">
        <v>67</v>
      </c>
      <c r="Y5518" s="4">
        <v>192</v>
      </c>
      <c r="Z5518" s="4">
        <v>11</v>
      </c>
      <c r="AA5518" s="4">
        <v>13</v>
      </c>
      <c r="AB5518" s="4">
        <v>2</v>
      </c>
      <c r="AC5518" s="4">
        <v>3</v>
      </c>
      <c r="AD5518" s="4">
        <v>81</v>
      </c>
      <c r="AE5518" s="4">
        <v>84</v>
      </c>
      <c r="AF5518" s="4">
        <v>1</v>
      </c>
      <c r="AG5518" s="4">
        <v>2</v>
      </c>
      <c r="AH5518" s="4">
        <v>75</v>
      </c>
      <c r="AI5518" s="4">
        <v>77</v>
      </c>
      <c r="AJ5518" s="4">
        <v>9</v>
      </c>
      <c r="AK5518" s="4">
        <v>11</v>
      </c>
      <c r="AL5518" s="4">
        <v>49</v>
      </c>
      <c r="AM5518" s="4">
        <v>49</v>
      </c>
      <c r="AN5518" s="4">
        <v>0</v>
      </c>
      <c r="AO5518" s="4">
        <v>0</v>
      </c>
      <c r="AP5518" s="4">
        <v>9</v>
      </c>
      <c r="AQ5518" s="4">
        <v>10</v>
      </c>
      <c r="AR5518" s="3" t="s">
        <v>62</v>
      </c>
      <c r="AS5518" s="3" t="s">
        <v>62</v>
      </c>
      <c r="AT5518" s="3" t="s">
        <v>62</v>
      </c>
      <c r="AV5518" s="6" t="str">
        <f>HYPERLINK("http://mcgill.on.worldcat.org/oclc/37226937","Catalog Record")</f>
        <v>Catalog Record</v>
      </c>
      <c r="AW5518" s="6" t="str">
        <f>HYPERLINK("http://www.worldcat.org/oclc/37226937","WorldCat Record")</f>
        <v>WorldCat Record</v>
      </c>
      <c r="AX5518" s="3" t="s">
        <v>52910</v>
      </c>
      <c r="AY5518" s="3" t="s">
        <v>52911</v>
      </c>
      <c r="AZ5518" s="3" t="s">
        <v>52912</v>
      </c>
      <c r="BA5518" s="3" t="s">
        <v>52912</v>
      </c>
      <c r="BB5518" s="3" t="s">
        <v>52913</v>
      </c>
      <c r="BC5518" s="3" t="s">
        <v>142</v>
      </c>
      <c r="BD5518" s="3" t="s">
        <v>68</v>
      </c>
      <c r="BE5518" s="3" t="s">
        <v>52914</v>
      </c>
      <c r="BF5518" s="3" t="s">
        <v>52913</v>
      </c>
      <c r="BG5518" s="3" t="s">
        <v>52915</v>
      </c>
    </row>
    <row r="5519" spans="1:59" ht="57" x14ac:dyDescent="0.45">
      <c r="A5519" s="2" t="s">
        <v>59</v>
      </c>
      <c r="B5519" s="2" t="s">
        <v>60</v>
      </c>
      <c r="C5519" s="2" t="s">
        <v>52916</v>
      </c>
      <c r="D5519" s="2" t="s">
        <v>52917</v>
      </c>
      <c r="E5519" s="2" t="s">
        <v>52918</v>
      </c>
      <c r="G5519" s="3" t="s">
        <v>62</v>
      </c>
      <c r="I5519" s="3" t="s">
        <v>62</v>
      </c>
      <c r="J5519" s="3" t="s">
        <v>62</v>
      </c>
      <c r="K5519" s="3" t="s">
        <v>63</v>
      </c>
      <c r="L5519" s="2" t="s">
        <v>52919</v>
      </c>
      <c r="M5519" s="2" t="s">
        <v>52920</v>
      </c>
      <c r="N5519" s="3" t="s">
        <v>2107</v>
      </c>
      <c r="P5519" s="3" t="s">
        <v>65</v>
      </c>
      <c r="Q5519" s="2" t="s">
        <v>52921</v>
      </c>
      <c r="R5519" s="3" t="s">
        <v>66</v>
      </c>
      <c r="S5519" s="4">
        <v>9</v>
      </c>
      <c r="T5519" s="4">
        <v>9</v>
      </c>
      <c r="U5519" s="5" t="s">
        <v>36295</v>
      </c>
      <c r="V5519" s="5" t="s">
        <v>36295</v>
      </c>
      <c r="W5519" s="5" t="s">
        <v>67</v>
      </c>
      <c r="X5519" s="5" t="s">
        <v>67</v>
      </c>
      <c r="Y5519" s="4">
        <v>182</v>
      </c>
      <c r="Z5519" s="4">
        <v>17</v>
      </c>
      <c r="AA5519" s="4">
        <v>98</v>
      </c>
      <c r="AB5519" s="4">
        <v>2</v>
      </c>
      <c r="AC5519" s="4">
        <v>17</v>
      </c>
      <c r="AD5519" s="4">
        <v>81</v>
      </c>
      <c r="AE5519" s="4">
        <v>130</v>
      </c>
      <c r="AF5519" s="4">
        <v>1</v>
      </c>
      <c r="AG5519" s="4">
        <v>8</v>
      </c>
      <c r="AH5519" s="4">
        <v>73</v>
      </c>
      <c r="AI5519" s="4">
        <v>92</v>
      </c>
      <c r="AJ5519" s="4">
        <v>15</v>
      </c>
      <c r="AK5519" s="4">
        <v>26</v>
      </c>
      <c r="AL5519" s="4">
        <v>43</v>
      </c>
      <c r="AM5519" s="4">
        <v>49</v>
      </c>
      <c r="AN5519" s="4">
        <v>0</v>
      </c>
      <c r="AO5519" s="4">
        <v>0</v>
      </c>
      <c r="AP5519" s="4">
        <v>15</v>
      </c>
      <c r="AQ5519" s="4">
        <v>47</v>
      </c>
      <c r="AR5519" s="3" t="s">
        <v>62</v>
      </c>
      <c r="AS5519" s="3" t="s">
        <v>62</v>
      </c>
      <c r="AT5519" s="3" t="s">
        <v>61</v>
      </c>
      <c r="AU5519" s="6" t="str">
        <f>HYPERLINK("http://catalog.hathitrust.org/Record/000606183","HathiTrust Record")</f>
        <v>HathiTrust Record</v>
      </c>
      <c r="AV5519" s="6" t="str">
        <f>HYPERLINK("http://mcgill.on.worldcat.org/oclc/10948815","Catalog Record")</f>
        <v>Catalog Record</v>
      </c>
      <c r="AW5519" s="6" t="str">
        <f>HYPERLINK("http://www.worldcat.org/oclc/10948815","WorldCat Record")</f>
        <v>WorldCat Record</v>
      </c>
      <c r="AX5519" s="3" t="s">
        <v>52922</v>
      </c>
      <c r="AY5519" s="3" t="s">
        <v>52923</v>
      </c>
      <c r="AZ5519" s="3" t="s">
        <v>52924</v>
      </c>
      <c r="BA5519" s="3" t="s">
        <v>52924</v>
      </c>
      <c r="BB5519" s="3" t="s">
        <v>52925</v>
      </c>
      <c r="BC5519" s="3" t="s">
        <v>142</v>
      </c>
      <c r="BD5519" s="3" t="s">
        <v>68</v>
      </c>
      <c r="BE5519" s="3" t="s">
        <v>52926</v>
      </c>
      <c r="BF5519" s="3" t="s">
        <v>52925</v>
      </c>
      <c r="BG5519" s="3" t="s">
        <v>52927</v>
      </c>
    </row>
    <row r="5520" spans="1:59" ht="57" x14ac:dyDescent="0.45">
      <c r="A5520" s="2" t="s">
        <v>59</v>
      </c>
      <c r="B5520" s="2" t="s">
        <v>60</v>
      </c>
      <c r="C5520" s="2" t="s">
        <v>52928</v>
      </c>
      <c r="D5520" s="2" t="s">
        <v>52929</v>
      </c>
      <c r="E5520" s="2" t="s">
        <v>52930</v>
      </c>
      <c r="G5520" s="3" t="s">
        <v>62</v>
      </c>
      <c r="I5520" s="3" t="s">
        <v>62</v>
      </c>
      <c r="J5520" s="3" t="s">
        <v>62</v>
      </c>
      <c r="K5520" s="3" t="s">
        <v>63</v>
      </c>
      <c r="L5520" s="2" t="s">
        <v>52931</v>
      </c>
      <c r="M5520" s="2" t="s">
        <v>541</v>
      </c>
      <c r="N5520" s="3" t="s">
        <v>542</v>
      </c>
      <c r="P5520" s="3" t="s">
        <v>65</v>
      </c>
      <c r="Q5520" s="2" t="s">
        <v>52932</v>
      </c>
      <c r="R5520" s="3" t="s">
        <v>66</v>
      </c>
      <c r="S5520" s="4">
        <v>7</v>
      </c>
      <c r="T5520" s="4">
        <v>7</v>
      </c>
      <c r="U5520" s="5" t="s">
        <v>5547</v>
      </c>
      <c r="V5520" s="5" t="s">
        <v>5547</v>
      </c>
      <c r="W5520" s="5" t="s">
        <v>67</v>
      </c>
      <c r="X5520" s="5" t="s">
        <v>67</v>
      </c>
      <c r="Y5520" s="4">
        <v>196</v>
      </c>
      <c r="Z5520" s="4">
        <v>12</v>
      </c>
      <c r="AA5520" s="4">
        <v>89</v>
      </c>
      <c r="AB5520" s="4">
        <v>2</v>
      </c>
      <c r="AC5520" s="4">
        <v>18</v>
      </c>
      <c r="AD5520" s="4">
        <v>91</v>
      </c>
      <c r="AE5520" s="4">
        <v>139</v>
      </c>
      <c r="AF5520" s="4">
        <v>0</v>
      </c>
      <c r="AG5520" s="4">
        <v>8</v>
      </c>
      <c r="AH5520" s="4">
        <v>85</v>
      </c>
      <c r="AI5520" s="4">
        <v>103</v>
      </c>
      <c r="AJ5520" s="4">
        <v>9</v>
      </c>
      <c r="AK5520" s="4">
        <v>23</v>
      </c>
      <c r="AL5520" s="4">
        <v>51</v>
      </c>
      <c r="AM5520" s="4">
        <v>55</v>
      </c>
      <c r="AN5520" s="4">
        <v>0</v>
      </c>
      <c r="AO5520" s="4">
        <v>0</v>
      </c>
      <c r="AP5520" s="4">
        <v>9</v>
      </c>
      <c r="AQ5520" s="4">
        <v>44</v>
      </c>
      <c r="AR5520" s="3" t="s">
        <v>62</v>
      </c>
      <c r="AS5520" s="3" t="s">
        <v>62</v>
      </c>
      <c r="AT5520" s="3" t="s">
        <v>62</v>
      </c>
      <c r="AV5520" s="6" t="str">
        <f>HYPERLINK("http://mcgill.on.worldcat.org/oclc/47650670","Catalog Record")</f>
        <v>Catalog Record</v>
      </c>
      <c r="AW5520" s="6" t="str">
        <f>HYPERLINK("http://www.worldcat.org/oclc/47650670","WorldCat Record")</f>
        <v>WorldCat Record</v>
      </c>
      <c r="AX5520" s="3" t="s">
        <v>52933</v>
      </c>
      <c r="AY5520" s="3" t="s">
        <v>52934</v>
      </c>
      <c r="AZ5520" s="3" t="s">
        <v>52935</v>
      </c>
      <c r="BA5520" s="3" t="s">
        <v>52935</v>
      </c>
      <c r="BB5520" s="3" t="s">
        <v>52936</v>
      </c>
      <c r="BC5520" s="3" t="s">
        <v>142</v>
      </c>
      <c r="BD5520" s="3" t="s">
        <v>308</v>
      </c>
      <c r="BE5520" s="3" t="s">
        <v>52937</v>
      </c>
      <c r="BF5520" s="3" t="s">
        <v>52936</v>
      </c>
      <c r="BG5520" s="3" t="s">
        <v>52938</v>
      </c>
    </row>
    <row r="5521" spans="1:59" ht="57" x14ac:dyDescent="0.45">
      <c r="A5521" s="2" t="s">
        <v>59</v>
      </c>
      <c r="B5521" s="2" t="s">
        <v>60</v>
      </c>
      <c r="C5521" s="2" t="s">
        <v>52939</v>
      </c>
      <c r="D5521" s="2" t="s">
        <v>52940</v>
      </c>
      <c r="E5521" s="2" t="s">
        <v>52941</v>
      </c>
      <c r="G5521" s="3" t="s">
        <v>62</v>
      </c>
      <c r="I5521" s="3" t="s">
        <v>62</v>
      </c>
      <c r="J5521" s="3" t="s">
        <v>62</v>
      </c>
      <c r="K5521" s="3" t="s">
        <v>63</v>
      </c>
      <c r="L5521" s="2" t="s">
        <v>52942</v>
      </c>
      <c r="M5521" s="2" t="s">
        <v>21778</v>
      </c>
      <c r="N5521" s="3" t="s">
        <v>149</v>
      </c>
      <c r="P5521" s="3" t="s">
        <v>65</v>
      </c>
      <c r="Q5521" s="2" t="s">
        <v>52943</v>
      </c>
      <c r="R5521" s="3" t="s">
        <v>66</v>
      </c>
      <c r="S5521" s="4">
        <v>2</v>
      </c>
      <c r="T5521" s="4">
        <v>2</v>
      </c>
      <c r="U5521" s="5" t="s">
        <v>13342</v>
      </c>
      <c r="V5521" s="5" t="s">
        <v>13342</v>
      </c>
      <c r="W5521" s="5" t="s">
        <v>67</v>
      </c>
      <c r="X5521" s="5" t="s">
        <v>67</v>
      </c>
      <c r="Y5521" s="4">
        <v>166</v>
      </c>
      <c r="Z5521" s="4">
        <v>22</v>
      </c>
      <c r="AA5521" s="4">
        <v>97</v>
      </c>
      <c r="AB5521" s="4">
        <v>3</v>
      </c>
      <c r="AC5521" s="4">
        <v>18</v>
      </c>
      <c r="AD5521" s="4">
        <v>80</v>
      </c>
      <c r="AE5521" s="4">
        <v>136</v>
      </c>
      <c r="AF5521" s="4">
        <v>1</v>
      </c>
      <c r="AG5521" s="4">
        <v>8</v>
      </c>
      <c r="AH5521" s="4">
        <v>71</v>
      </c>
      <c r="AI5521" s="4">
        <v>97</v>
      </c>
      <c r="AJ5521" s="4">
        <v>15</v>
      </c>
      <c r="AK5521" s="4">
        <v>26</v>
      </c>
      <c r="AL5521" s="4">
        <v>43</v>
      </c>
      <c r="AM5521" s="4">
        <v>52</v>
      </c>
      <c r="AN5521" s="4">
        <v>0</v>
      </c>
      <c r="AO5521" s="4">
        <v>0</v>
      </c>
      <c r="AP5521" s="4">
        <v>17</v>
      </c>
      <c r="AQ5521" s="4">
        <v>48</v>
      </c>
      <c r="AR5521" s="3" t="s">
        <v>62</v>
      </c>
      <c r="AS5521" s="3" t="s">
        <v>62</v>
      </c>
      <c r="AT5521" s="3" t="s">
        <v>62</v>
      </c>
      <c r="AV5521" s="6" t="str">
        <f>HYPERLINK("http://mcgill.on.worldcat.org/oclc/310716280","Catalog Record")</f>
        <v>Catalog Record</v>
      </c>
      <c r="AW5521" s="6" t="str">
        <f>HYPERLINK("http://www.worldcat.org/oclc/310716280","WorldCat Record")</f>
        <v>WorldCat Record</v>
      </c>
      <c r="AX5521" s="3" t="s">
        <v>52944</v>
      </c>
      <c r="AY5521" s="3" t="s">
        <v>52945</v>
      </c>
      <c r="AZ5521" s="3" t="s">
        <v>52946</v>
      </c>
      <c r="BA5521" s="3" t="s">
        <v>52946</v>
      </c>
      <c r="BB5521" s="3" t="s">
        <v>52947</v>
      </c>
      <c r="BC5521" s="3" t="s">
        <v>142</v>
      </c>
      <c r="BD5521" s="3" t="s">
        <v>68</v>
      </c>
      <c r="BE5521" s="3" t="s">
        <v>52948</v>
      </c>
      <c r="BF5521" s="3" t="s">
        <v>52947</v>
      </c>
      <c r="BG5521" s="3" t="s">
        <v>52949</v>
      </c>
    </row>
    <row r="5522" spans="1:59" ht="57" x14ac:dyDescent="0.45">
      <c r="A5522" s="2" t="s">
        <v>59</v>
      </c>
      <c r="B5522" s="2" t="s">
        <v>60</v>
      </c>
      <c r="C5522" s="2" t="s">
        <v>52950</v>
      </c>
      <c r="D5522" s="2" t="s">
        <v>52951</v>
      </c>
      <c r="E5522" s="2" t="s">
        <v>52952</v>
      </c>
      <c r="G5522" s="3" t="s">
        <v>62</v>
      </c>
      <c r="I5522" s="3" t="s">
        <v>62</v>
      </c>
      <c r="J5522" s="3" t="s">
        <v>62</v>
      </c>
      <c r="K5522" s="3" t="s">
        <v>63</v>
      </c>
      <c r="M5522" s="2" t="s">
        <v>51265</v>
      </c>
      <c r="N5522" s="3" t="s">
        <v>208</v>
      </c>
      <c r="P5522" s="3" t="s">
        <v>65</v>
      </c>
      <c r="Q5522" s="2" t="s">
        <v>52953</v>
      </c>
      <c r="R5522" s="3" t="s">
        <v>66</v>
      </c>
      <c r="S5522" s="4">
        <v>0</v>
      </c>
      <c r="T5522" s="4">
        <v>0</v>
      </c>
      <c r="W5522" s="5" t="s">
        <v>67</v>
      </c>
      <c r="X5522" s="5" t="s">
        <v>67</v>
      </c>
      <c r="Y5522" s="4">
        <v>49</v>
      </c>
      <c r="Z5522" s="4">
        <v>3</v>
      </c>
      <c r="AA5522" s="4">
        <v>79</v>
      </c>
      <c r="AB5522" s="4">
        <v>1</v>
      </c>
      <c r="AC5522" s="4">
        <v>15</v>
      </c>
      <c r="AD5522" s="4">
        <v>23</v>
      </c>
      <c r="AE5522" s="4">
        <v>107</v>
      </c>
      <c r="AF5522" s="4">
        <v>0</v>
      </c>
      <c r="AG5522" s="4">
        <v>8</v>
      </c>
      <c r="AH5522" s="4">
        <v>21</v>
      </c>
      <c r="AI5522" s="4">
        <v>73</v>
      </c>
      <c r="AJ5522" s="4">
        <v>2</v>
      </c>
      <c r="AK5522" s="4">
        <v>21</v>
      </c>
      <c r="AL5522" s="4">
        <v>15</v>
      </c>
      <c r="AM5522" s="4">
        <v>38</v>
      </c>
      <c r="AN5522" s="4">
        <v>0</v>
      </c>
      <c r="AO5522" s="4">
        <v>0</v>
      </c>
      <c r="AP5522" s="4">
        <v>2</v>
      </c>
      <c r="AQ5522" s="4">
        <v>41</v>
      </c>
      <c r="AR5522" s="3" t="s">
        <v>62</v>
      </c>
      <c r="AS5522" s="3" t="s">
        <v>62</v>
      </c>
      <c r="AT5522" s="3" t="s">
        <v>62</v>
      </c>
      <c r="AV5522" s="6" t="str">
        <f>HYPERLINK("http://mcgill.on.worldcat.org/oclc/898121834","Catalog Record")</f>
        <v>Catalog Record</v>
      </c>
      <c r="AW5522" s="6" t="str">
        <f>HYPERLINK("http://www.worldcat.org/oclc/898121834","WorldCat Record")</f>
        <v>WorldCat Record</v>
      </c>
      <c r="AX5522" s="3" t="s">
        <v>52954</v>
      </c>
      <c r="AY5522" s="3" t="s">
        <v>52955</v>
      </c>
      <c r="AZ5522" s="3" t="s">
        <v>52956</v>
      </c>
      <c r="BA5522" s="3" t="s">
        <v>52956</v>
      </c>
      <c r="BB5522" s="3" t="s">
        <v>52957</v>
      </c>
      <c r="BC5522" s="3" t="s">
        <v>142</v>
      </c>
      <c r="BD5522" s="3" t="s">
        <v>68</v>
      </c>
      <c r="BE5522" s="3" t="s">
        <v>52958</v>
      </c>
      <c r="BF5522" s="3" t="s">
        <v>52957</v>
      </c>
      <c r="BG5522" s="3" t="s">
        <v>52959</v>
      </c>
    </row>
    <row r="5523" spans="1:59" ht="57" x14ac:dyDescent="0.45">
      <c r="A5523" s="2" t="s">
        <v>59</v>
      </c>
      <c r="B5523" s="2" t="s">
        <v>60</v>
      </c>
      <c r="C5523" s="2" t="s">
        <v>52960</v>
      </c>
      <c r="D5523" s="2" t="s">
        <v>52961</v>
      </c>
      <c r="E5523" s="2" t="s">
        <v>52962</v>
      </c>
      <c r="G5523" s="3" t="s">
        <v>62</v>
      </c>
      <c r="I5523" s="3" t="s">
        <v>62</v>
      </c>
      <c r="J5523" s="3" t="s">
        <v>62</v>
      </c>
      <c r="K5523" s="3" t="s">
        <v>63</v>
      </c>
      <c r="L5523" s="2" t="s">
        <v>52963</v>
      </c>
      <c r="M5523" s="2" t="s">
        <v>52964</v>
      </c>
      <c r="N5523" s="3" t="s">
        <v>1239</v>
      </c>
      <c r="P5523" s="3" t="s">
        <v>65</v>
      </c>
      <c r="R5523" s="3" t="s">
        <v>66</v>
      </c>
      <c r="S5523" s="4">
        <v>10</v>
      </c>
      <c r="T5523" s="4">
        <v>10</v>
      </c>
      <c r="U5523" s="5" t="s">
        <v>16620</v>
      </c>
      <c r="V5523" s="5" t="s">
        <v>16620</v>
      </c>
      <c r="W5523" s="5" t="s">
        <v>67</v>
      </c>
      <c r="X5523" s="5" t="s">
        <v>67</v>
      </c>
      <c r="Y5523" s="4">
        <v>19</v>
      </c>
      <c r="Z5523" s="4">
        <v>7</v>
      </c>
      <c r="AA5523" s="4">
        <v>15</v>
      </c>
      <c r="AB5523" s="4">
        <v>3</v>
      </c>
      <c r="AC5523" s="4">
        <v>5</v>
      </c>
      <c r="AD5523" s="4">
        <v>9</v>
      </c>
      <c r="AE5523" s="4">
        <v>43</v>
      </c>
      <c r="AF5523" s="4">
        <v>1</v>
      </c>
      <c r="AG5523" s="4">
        <v>3</v>
      </c>
      <c r="AH5523" s="4">
        <v>7</v>
      </c>
      <c r="AI5523" s="4">
        <v>38</v>
      </c>
      <c r="AJ5523" s="4">
        <v>5</v>
      </c>
      <c r="AK5523" s="4">
        <v>12</v>
      </c>
      <c r="AL5523" s="4">
        <v>2</v>
      </c>
      <c r="AM5523" s="4">
        <v>24</v>
      </c>
      <c r="AN5523" s="4">
        <v>0</v>
      </c>
      <c r="AO5523" s="4">
        <v>0</v>
      </c>
      <c r="AP5523" s="4">
        <v>5</v>
      </c>
      <c r="AQ5523" s="4">
        <v>12</v>
      </c>
      <c r="AR5523" s="3" t="s">
        <v>62</v>
      </c>
      <c r="AS5523" s="3" t="s">
        <v>62</v>
      </c>
      <c r="AT5523" s="3" t="s">
        <v>62</v>
      </c>
      <c r="AV5523" s="6" t="str">
        <f>HYPERLINK("http://mcgill.on.worldcat.org/oclc/232538568","Catalog Record")</f>
        <v>Catalog Record</v>
      </c>
      <c r="AW5523" s="6" t="str">
        <f>HYPERLINK("http://www.worldcat.org/oclc/232538568","WorldCat Record")</f>
        <v>WorldCat Record</v>
      </c>
      <c r="AX5523" s="3" t="s">
        <v>52965</v>
      </c>
      <c r="AY5523" s="3" t="s">
        <v>52966</v>
      </c>
      <c r="AZ5523" s="3" t="s">
        <v>52967</v>
      </c>
      <c r="BA5523" s="3" t="s">
        <v>52967</v>
      </c>
      <c r="BB5523" s="3" t="s">
        <v>52968</v>
      </c>
      <c r="BC5523" s="3" t="s">
        <v>142</v>
      </c>
      <c r="BD5523" s="3" t="s">
        <v>68</v>
      </c>
      <c r="BE5523" s="3" t="s">
        <v>52969</v>
      </c>
      <c r="BF5523" s="3" t="s">
        <v>52968</v>
      </c>
      <c r="BG5523" s="3" t="s">
        <v>52970</v>
      </c>
    </row>
    <row r="5524" spans="1:59" ht="57" x14ac:dyDescent="0.45">
      <c r="A5524" s="2" t="s">
        <v>59</v>
      </c>
      <c r="B5524" s="2" t="s">
        <v>60</v>
      </c>
      <c r="C5524" s="2" t="s">
        <v>52971</v>
      </c>
      <c r="D5524" s="2" t="s">
        <v>52972</v>
      </c>
      <c r="E5524" s="2" t="s">
        <v>52973</v>
      </c>
      <c r="G5524" s="3" t="s">
        <v>62</v>
      </c>
      <c r="I5524" s="3" t="s">
        <v>62</v>
      </c>
      <c r="J5524" s="3" t="s">
        <v>62</v>
      </c>
      <c r="K5524" s="3" t="s">
        <v>63</v>
      </c>
      <c r="M5524" s="2" t="s">
        <v>10462</v>
      </c>
      <c r="N5524" s="3" t="s">
        <v>149</v>
      </c>
      <c r="P5524" s="3" t="s">
        <v>65</v>
      </c>
      <c r="Q5524" s="2" t="s">
        <v>52974</v>
      </c>
      <c r="R5524" s="3" t="s">
        <v>66</v>
      </c>
      <c r="S5524" s="4">
        <v>0</v>
      </c>
      <c r="T5524" s="4">
        <v>0</v>
      </c>
      <c r="W5524" s="5" t="s">
        <v>67</v>
      </c>
      <c r="X5524" s="5" t="s">
        <v>67</v>
      </c>
      <c r="Y5524" s="4">
        <v>94</v>
      </c>
      <c r="Z5524" s="4">
        <v>10</v>
      </c>
      <c r="AA5524" s="4">
        <v>107</v>
      </c>
      <c r="AB5524" s="4">
        <v>2</v>
      </c>
      <c r="AC5524" s="4">
        <v>18</v>
      </c>
      <c r="AD5524" s="4">
        <v>46</v>
      </c>
      <c r="AE5524" s="4">
        <v>123</v>
      </c>
      <c r="AF5524" s="4">
        <v>1</v>
      </c>
      <c r="AG5524" s="4">
        <v>8</v>
      </c>
      <c r="AH5524" s="4">
        <v>41</v>
      </c>
      <c r="AI5524" s="4">
        <v>83</v>
      </c>
      <c r="AJ5524" s="4">
        <v>8</v>
      </c>
      <c r="AK5524" s="4">
        <v>25</v>
      </c>
      <c r="AL5524" s="4">
        <v>27</v>
      </c>
      <c r="AM5524" s="4">
        <v>44</v>
      </c>
      <c r="AN5524" s="4">
        <v>0</v>
      </c>
      <c r="AO5524" s="4">
        <v>0</v>
      </c>
      <c r="AP5524" s="4">
        <v>9</v>
      </c>
      <c r="AQ5524" s="4">
        <v>49</v>
      </c>
      <c r="AR5524" s="3" t="s">
        <v>62</v>
      </c>
      <c r="AS5524" s="3" t="s">
        <v>62</v>
      </c>
      <c r="AT5524" s="3" t="s">
        <v>62</v>
      </c>
      <c r="AV5524" s="6" t="str">
        <f>HYPERLINK("http://mcgill.on.worldcat.org/oclc/548626380","Catalog Record")</f>
        <v>Catalog Record</v>
      </c>
      <c r="AW5524" s="6" t="str">
        <f>HYPERLINK("http://www.worldcat.org/oclc/548626380","WorldCat Record")</f>
        <v>WorldCat Record</v>
      </c>
      <c r="AX5524" s="3" t="s">
        <v>52975</v>
      </c>
      <c r="AY5524" s="3" t="s">
        <v>52976</v>
      </c>
      <c r="AZ5524" s="3" t="s">
        <v>52977</v>
      </c>
      <c r="BA5524" s="3" t="s">
        <v>52977</v>
      </c>
      <c r="BB5524" s="3" t="s">
        <v>52978</v>
      </c>
      <c r="BC5524" s="3" t="s">
        <v>142</v>
      </c>
      <c r="BD5524" s="3" t="s">
        <v>68</v>
      </c>
      <c r="BE5524" s="3" t="s">
        <v>52979</v>
      </c>
      <c r="BF5524" s="3" t="s">
        <v>52978</v>
      </c>
      <c r="BG5524" s="3" t="s">
        <v>52980</v>
      </c>
    </row>
    <row r="5525" spans="1:59" ht="57" x14ac:dyDescent="0.45">
      <c r="A5525" s="2" t="s">
        <v>59</v>
      </c>
      <c r="B5525" s="2" t="s">
        <v>60</v>
      </c>
      <c r="C5525" s="2" t="s">
        <v>52981</v>
      </c>
      <c r="D5525" s="2" t="s">
        <v>52982</v>
      </c>
      <c r="E5525" s="2" t="s">
        <v>52983</v>
      </c>
      <c r="G5525" s="3" t="s">
        <v>62</v>
      </c>
      <c r="I5525" s="3" t="s">
        <v>62</v>
      </c>
      <c r="J5525" s="3" t="s">
        <v>62</v>
      </c>
      <c r="K5525" s="3" t="s">
        <v>63</v>
      </c>
      <c r="L5525" s="2" t="s">
        <v>52984</v>
      </c>
      <c r="M5525" s="2" t="s">
        <v>34968</v>
      </c>
      <c r="N5525" s="3" t="s">
        <v>970</v>
      </c>
      <c r="P5525" s="3" t="s">
        <v>65</v>
      </c>
      <c r="Q5525" s="2" t="s">
        <v>52985</v>
      </c>
      <c r="R5525" s="3" t="s">
        <v>66</v>
      </c>
      <c r="S5525" s="4">
        <v>2</v>
      </c>
      <c r="T5525" s="4">
        <v>2</v>
      </c>
      <c r="U5525" s="5" t="s">
        <v>19383</v>
      </c>
      <c r="V5525" s="5" t="s">
        <v>19383</v>
      </c>
      <c r="W5525" s="5" t="s">
        <v>67</v>
      </c>
      <c r="X5525" s="5" t="s">
        <v>67</v>
      </c>
      <c r="Y5525" s="4">
        <v>114</v>
      </c>
      <c r="Z5525" s="4">
        <v>8</v>
      </c>
      <c r="AA5525" s="4">
        <v>8</v>
      </c>
      <c r="AB5525" s="4">
        <v>1</v>
      </c>
      <c r="AC5525" s="4">
        <v>1</v>
      </c>
      <c r="AD5525" s="4">
        <v>54</v>
      </c>
      <c r="AE5525" s="4">
        <v>54</v>
      </c>
      <c r="AF5525" s="4">
        <v>0</v>
      </c>
      <c r="AG5525" s="4">
        <v>0</v>
      </c>
      <c r="AH5525" s="4">
        <v>51</v>
      </c>
      <c r="AI5525" s="4">
        <v>51</v>
      </c>
      <c r="AJ5525" s="4">
        <v>6</v>
      </c>
      <c r="AK5525" s="4">
        <v>6</v>
      </c>
      <c r="AL5525" s="4">
        <v>36</v>
      </c>
      <c r="AM5525" s="4">
        <v>36</v>
      </c>
      <c r="AN5525" s="4">
        <v>0</v>
      </c>
      <c r="AO5525" s="4">
        <v>0</v>
      </c>
      <c r="AP5525" s="4">
        <v>6</v>
      </c>
      <c r="AQ5525" s="4">
        <v>6</v>
      </c>
      <c r="AR5525" s="3" t="s">
        <v>62</v>
      </c>
      <c r="AS5525" s="3" t="s">
        <v>62</v>
      </c>
      <c r="AT5525" s="3" t="s">
        <v>62</v>
      </c>
      <c r="AV5525" s="6" t="str">
        <f>HYPERLINK("http://mcgill.on.worldcat.org/oclc/50072627","Catalog Record")</f>
        <v>Catalog Record</v>
      </c>
      <c r="AW5525" s="6" t="str">
        <f>HYPERLINK("http://www.worldcat.org/oclc/50072627","WorldCat Record")</f>
        <v>WorldCat Record</v>
      </c>
      <c r="AX5525" s="3" t="s">
        <v>52986</v>
      </c>
      <c r="AY5525" s="3" t="s">
        <v>52987</v>
      </c>
      <c r="AZ5525" s="3" t="s">
        <v>52988</v>
      </c>
      <c r="BA5525" s="3" t="s">
        <v>52988</v>
      </c>
      <c r="BB5525" s="3" t="s">
        <v>52989</v>
      </c>
      <c r="BC5525" s="3" t="s">
        <v>142</v>
      </c>
      <c r="BD5525" s="3" t="s">
        <v>68</v>
      </c>
      <c r="BE5525" s="3" t="s">
        <v>52990</v>
      </c>
      <c r="BF5525" s="3" t="s">
        <v>52989</v>
      </c>
      <c r="BG5525" s="3" t="s">
        <v>52991</v>
      </c>
    </row>
    <row r="5526" spans="1:59" ht="57" x14ac:dyDescent="0.45">
      <c r="A5526" s="2" t="s">
        <v>59</v>
      </c>
      <c r="B5526" s="2" t="s">
        <v>60</v>
      </c>
      <c r="C5526" s="2" t="s">
        <v>52992</v>
      </c>
      <c r="D5526" s="2" t="s">
        <v>52993</v>
      </c>
      <c r="E5526" s="2" t="s">
        <v>52994</v>
      </c>
      <c r="G5526" s="3" t="s">
        <v>62</v>
      </c>
      <c r="I5526" s="3" t="s">
        <v>62</v>
      </c>
      <c r="J5526" s="3" t="s">
        <v>62</v>
      </c>
      <c r="K5526" s="3" t="s">
        <v>63</v>
      </c>
      <c r="M5526" s="2" t="s">
        <v>37715</v>
      </c>
      <c r="N5526" s="3" t="s">
        <v>1465</v>
      </c>
      <c r="P5526" s="3" t="s">
        <v>65</v>
      </c>
      <c r="Q5526" s="2" t="s">
        <v>52995</v>
      </c>
      <c r="R5526" s="3" t="s">
        <v>66</v>
      </c>
      <c r="S5526" s="4">
        <v>1</v>
      </c>
      <c r="T5526" s="4">
        <v>1</v>
      </c>
      <c r="U5526" s="5" t="s">
        <v>19383</v>
      </c>
      <c r="V5526" s="5" t="s">
        <v>19383</v>
      </c>
      <c r="W5526" s="5" t="s">
        <v>67</v>
      </c>
      <c r="X5526" s="5" t="s">
        <v>67</v>
      </c>
      <c r="Y5526" s="4">
        <v>119</v>
      </c>
      <c r="Z5526" s="4">
        <v>13</v>
      </c>
      <c r="AA5526" s="4">
        <v>92</v>
      </c>
      <c r="AB5526" s="4">
        <v>2</v>
      </c>
      <c r="AC5526" s="4">
        <v>18</v>
      </c>
      <c r="AD5526" s="4">
        <v>46</v>
      </c>
      <c r="AE5526" s="4">
        <v>118</v>
      </c>
      <c r="AF5526" s="4">
        <v>0</v>
      </c>
      <c r="AG5526" s="4">
        <v>8</v>
      </c>
      <c r="AH5526" s="4">
        <v>41</v>
      </c>
      <c r="AI5526" s="4">
        <v>82</v>
      </c>
      <c r="AJ5526" s="4">
        <v>9</v>
      </c>
      <c r="AK5526" s="4">
        <v>22</v>
      </c>
      <c r="AL5526" s="4">
        <v>28</v>
      </c>
      <c r="AM5526" s="4">
        <v>44</v>
      </c>
      <c r="AN5526" s="4">
        <v>0</v>
      </c>
      <c r="AO5526" s="4">
        <v>0</v>
      </c>
      <c r="AP5526" s="4">
        <v>9</v>
      </c>
      <c r="AQ5526" s="4">
        <v>43</v>
      </c>
      <c r="AR5526" s="3" t="s">
        <v>62</v>
      </c>
      <c r="AS5526" s="3" t="s">
        <v>62</v>
      </c>
      <c r="AT5526" s="3" t="s">
        <v>62</v>
      </c>
      <c r="AV5526" s="6" t="str">
        <f>HYPERLINK("http://mcgill.on.worldcat.org/oclc/301948642","Catalog Record")</f>
        <v>Catalog Record</v>
      </c>
      <c r="AW5526" s="6" t="str">
        <f>HYPERLINK("http://www.worldcat.org/oclc/301948642","WorldCat Record")</f>
        <v>WorldCat Record</v>
      </c>
      <c r="AX5526" s="3" t="s">
        <v>52996</v>
      </c>
      <c r="AY5526" s="3" t="s">
        <v>52997</v>
      </c>
      <c r="AZ5526" s="3" t="s">
        <v>52998</v>
      </c>
      <c r="BA5526" s="3" t="s">
        <v>52998</v>
      </c>
      <c r="BB5526" s="3" t="s">
        <v>52999</v>
      </c>
      <c r="BC5526" s="3" t="s">
        <v>142</v>
      </c>
      <c r="BD5526" s="3" t="s">
        <v>68</v>
      </c>
      <c r="BE5526" s="3" t="s">
        <v>53000</v>
      </c>
      <c r="BF5526" s="3" t="s">
        <v>52999</v>
      </c>
      <c r="BG5526" s="3" t="s">
        <v>53001</v>
      </c>
    </row>
    <row r="5527" spans="1:59" ht="57" x14ac:dyDescent="0.45">
      <c r="A5527" s="2" t="s">
        <v>59</v>
      </c>
      <c r="B5527" s="2" t="s">
        <v>60</v>
      </c>
      <c r="C5527" s="2" t="s">
        <v>53002</v>
      </c>
      <c r="D5527" s="2" t="s">
        <v>53003</v>
      </c>
      <c r="E5527" s="2" t="s">
        <v>53004</v>
      </c>
      <c r="G5527" s="3" t="s">
        <v>62</v>
      </c>
      <c r="I5527" s="3" t="s">
        <v>62</v>
      </c>
      <c r="J5527" s="3" t="s">
        <v>62</v>
      </c>
      <c r="K5527" s="3" t="s">
        <v>63</v>
      </c>
      <c r="L5527" s="2" t="s">
        <v>53005</v>
      </c>
      <c r="M5527" s="2" t="s">
        <v>4509</v>
      </c>
      <c r="N5527" s="3" t="s">
        <v>1465</v>
      </c>
      <c r="P5527" s="3" t="s">
        <v>65</v>
      </c>
      <c r="Q5527" s="2" t="s">
        <v>21253</v>
      </c>
      <c r="R5527" s="3" t="s">
        <v>66</v>
      </c>
      <c r="S5527" s="4">
        <v>4</v>
      </c>
      <c r="T5527" s="4">
        <v>4</v>
      </c>
      <c r="U5527" s="5" t="s">
        <v>6505</v>
      </c>
      <c r="V5527" s="5" t="s">
        <v>6505</v>
      </c>
      <c r="W5527" s="5" t="s">
        <v>67</v>
      </c>
      <c r="X5527" s="5" t="s">
        <v>67</v>
      </c>
      <c r="Y5527" s="4">
        <v>160</v>
      </c>
      <c r="Z5527" s="4">
        <v>15</v>
      </c>
      <c r="AA5527" s="4">
        <v>107</v>
      </c>
      <c r="AB5527" s="4">
        <v>2</v>
      </c>
      <c r="AC5527" s="4">
        <v>21</v>
      </c>
      <c r="AD5527" s="4">
        <v>72</v>
      </c>
      <c r="AE5527" s="4">
        <v>137</v>
      </c>
      <c r="AF5527" s="4">
        <v>0</v>
      </c>
      <c r="AG5527" s="4">
        <v>8</v>
      </c>
      <c r="AH5527" s="4">
        <v>67</v>
      </c>
      <c r="AI5527" s="4">
        <v>91</v>
      </c>
      <c r="AJ5527" s="4">
        <v>11</v>
      </c>
      <c r="AK5527" s="4">
        <v>27</v>
      </c>
      <c r="AL5527" s="4">
        <v>41</v>
      </c>
      <c r="AM5527" s="4">
        <v>48</v>
      </c>
      <c r="AN5527" s="4">
        <v>0</v>
      </c>
      <c r="AO5527" s="4">
        <v>0</v>
      </c>
      <c r="AP5527" s="4">
        <v>12</v>
      </c>
      <c r="AQ5527" s="4">
        <v>55</v>
      </c>
      <c r="AR5527" s="3" t="s">
        <v>62</v>
      </c>
      <c r="AS5527" s="3" t="s">
        <v>62</v>
      </c>
      <c r="AT5527" s="3" t="s">
        <v>62</v>
      </c>
      <c r="AV5527" s="6" t="str">
        <f>HYPERLINK("http://mcgill.on.worldcat.org/oclc/236333799","Catalog Record")</f>
        <v>Catalog Record</v>
      </c>
      <c r="AW5527" s="6" t="str">
        <f>HYPERLINK("http://www.worldcat.org/oclc/236333799","WorldCat Record")</f>
        <v>WorldCat Record</v>
      </c>
      <c r="AX5527" s="3" t="s">
        <v>53006</v>
      </c>
      <c r="AY5527" s="3" t="s">
        <v>53007</v>
      </c>
      <c r="AZ5527" s="3" t="s">
        <v>53008</v>
      </c>
      <c r="BA5527" s="3" t="s">
        <v>53008</v>
      </c>
      <c r="BB5527" s="3" t="s">
        <v>53009</v>
      </c>
      <c r="BC5527" s="3" t="s">
        <v>142</v>
      </c>
      <c r="BD5527" s="3" t="s">
        <v>68</v>
      </c>
      <c r="BE5527" s="3" t="s">
        <v>53010</v>
      </c>
      <c r="BF5527" s="3" t="s">
        <v>53009</v>
      </c>
      <c r="BG5527" s="3" t="s">
        <v>53011</v>
      </c>
    </row>
    <row r="5528" spans="1:59" ht="57" x14ac:dyDescent="0.45">
      <c r="A5528" s="2" t="s">
        <v>59</v>
      </c>
      <c r="B5528" s="2" t="s">
        <v>60</v>
      </c>
      <c r="C5528" s="2" t="s">
        <v>53012</v>
      </c>
      <c r="D5528" s="2" t="s">
        <v>53013</v>
      </c>
      <c r="E5528" s="2" t="s">
        <v>53014</v>
      </c>
      <c r="G5528" s="3" t="s">
        <v>62</v>
      </c>
      <c r="I5528" s="3" t="s">
        <v>62</v>
      </c>
      <c r="J5528" s="3" t="s">
        <v>62</v>
      </c>
      <c r="K5528" s="3" t="s">
        <v>63</v>
      </c>
      <c r="L5528" s="2" t="s">
        <v>53015</v>
      </c>
      <c r="M5528" s="2" t="s">
        <v>30558</v>
      </c>
      <c r="N5528" s="3" t="s">
        <v>1604</v>
      </c>
      <c r="P5528" s="3" t="s">
        <v>65</v>
      </c>
      <c r="Q5528" s="2" t="s">
        <v>53016</v>
      </c>
      <c r="R5528" s="3" t="s">
        <v>66</v>
      </c>
      <c r="S5528" s="4">
        <v>18</v>
      </c>
      <c r="T5528" s="4">
        <v>18</v>
      </c>
      <c r="U5528" s="5" t="s">
        <v>24552</v>
      </c>
      <c r="V5528" s="5" t="s">
        <v>24552</v>
      </c>
      <c r="W5528" s="5" t="s">
        <v>67</v>
      </c>
      <c r="X5528" s="5" t="s">
        <v>67</v>
      </c>
      <c r="Y5528" s="4">
        <v>220</v>
      </c>
      <c r="Z5528" s="4">
        <v>12</v>
      </c>
      <c r="AA5528" s="4">
        <v>17</v>
      </c>
      <c r="AB5528" s="4">
        <v>1</v>
      </c>
      <c r="AC5528" s="4">
        <v>6</v>
      </c>
      <c r="AD5528" s="4">
        <v>81</v>
      </c>
      <c r="AE5528" s="4">
        <v>84</v>
      </c>
      <c r="AF5528" s="4">
        <v>0</v>
      </c>
      <c r="AG5528" s="4">
        <v>2</v>
      </c>
      <c r="AH5528" s="4">
        <v>76</v>
      </c>
      <c r="AI5528" s="4">
        <v>77</v>
      </c>
      <c r="AJ5528" s="4">
        <v>10</v>
      </c>
      <c r="AK5528" s="4">
        <v>12</v>
      </c>
      <c r="AL5528" s="4">
        <v>48</v>
      </c>
      <c r="AM5528" s="4">
        <v>48</v>
      </c>
      <c r="AN5528" s="4">
        <v>0</v>
      </c>
      <c r="AO5528" s="4">
        <v>0</v>
      </c>
      <c r="AP5528" s="4">
        <v>10</v>
      </c>
      <c r="AQ5528" s="4">
        <v>11</v>
      </c>
      <c r="AR5528" s="3" t="s">
        <v>62</v>
      </c>
      <c r="AS5528" s="3" t="s">
        <v>62</v>
      </c>
      <c r="AT5528" s="3" t="s">
        <v>62</v>
      </c>
      <c r="AV5528" s="6" t="str">
        <f>HYPERLINK("http://mcgill.on.worldcat.org/oclc/28965541","Catalog Record")</f>
        <v>Catalog Record</v>
      </c>
      <c r="AW5528" s="6" t="str">
        <f>HYPERLINK("http://www.worldcat.org/oclc/28965541","WorldCat Record")</f>
        <v>WorldCat Record</v>
      </c>
      <c r="AX5528" s="3" t="s">
        <v>53017</v>
      </c>
      <c r="AY5528" s="3" t="s">
        <v>53018</v>
      </c>
      <c r="AZ5528" s="3" t="s">
        <v>53019</v>
      </c>
      <c r="BA5528" s="3" t="s">
        <v>53019</v>
      </c>
      <c r="BB5528" s="3" t="s">
        <v>53020</v>
      </c>
      <c r="BC5528" s="3" t="s">
        <v>142</v>
      </c>
      <c r="BD5528" s="3" t="s">
        <v>68</v>
      </c>
      <c r="BE5528" s="3" t="s">
        <v>53021</v>
      </c>
      <c r="BF5528" s="3" t="s">
        <v>53020</v>
      </c>
      <c r="BG5528" s="3" t="s">
        <v>53022</v>
      </c>
    </row>
    <row r="5529" spans="1:59" ht="57" x14ac:dyDescent="0.45">
      <c r="A5529" s="2" t="s">
        <v>59</v>
      </c>
      <c r="B5529" s="2" t="s">
        <v>60</v>
      </c>
      <c r="C5529" s="2" t="s">
        <v>53023</v>
      </c>
      <c r="D5529" s="2" t="s">
        <v>53024</v>
      </c>
      <c r="E5529" s="2" t="s">
        <v>53025</v>
      </c>
      <c r="G5529" s="3" t="s">
        <v>62</v>
      </c>
      <c r="I5529" s="3" t="s">
        <v>62</v>
      </c>
      <c r="J5529" s="3" t="s">
        <v>62</v>
      </c>
      <c r="K5529" s="3" t="s">
        <v>63</v>
      </c>
      <c r="M5529" s="2" t="s">
        <v>45951</v>
      </c>
      <c r="N5529" s="3" t="s">
        <v>1097</v>
      </c>
      <c r="P5529" s="3" t="s">
        <v>65</v>
      </c>
      <c r="Q5529" s="2" t="s">
        <v>52932</v>
      </c>
      <c r="R5529" s="3" t="s">
        <v>66</v>
      </c>
      <c r="S5529" s="4">
        <v>16</v>
      </c>
      <c r="T5529" s="4">
        <v>16</v>
      </c>
      <c r="U5529" s="5" t="s">
        <v>13497</v>
      </c>
      <c r="V5529" s="5" t="s">
        <v>13497</v>
      </c>
      <c r="W5529" s="5" t="s">
        <v>67</v>
      </c>
      <c r="X5529" s="5" t="s">
        <v>67</v>
      </c>
      <c r="Y5529" s="4">
        <v>190</v>
      </c>
      <c r="Z5529" s="4">
        <v>19</v>
      </c>
      <c r="AA5529" s="4">
        <v>91</v>
      </c>
      <c r="AB5529" s="4">
        <v>2</v>
      </c>
      <c r="AC5529" s="4">
        <v>17</v>
      </c>
      <c r="AD5529" s="4">
        <v>89</v>
      </c>
      <c r="AE5529" s="4">
        <v>135</v>
      </c>
      <c r="AF5529" s="4">
        <v>1</v>
      </c>
      <c r="AG5529" s="4">
        <v>8</v>
      </c>
      <c r="AH5529" s="4">
        <v>81</v>
      </c>
      <c r="AI5529" s="4">
        <v>99</v>
      </c>
      <c r="AJ5529" s="4">
        <v>14</v>
      </c>
      <c r="AK5529" s="4">
        <v>24</v>
      </c>
      <c r="AL5529" s="4">
        <v>44</v>
      </c>
      <c r="AM5529" s="4">
        <v>51</v>
      </c>
      <c r="AN5529" s="4">
        <v>0</v>
      </c>
      <c r="AO5529" s="4">
        <v>0</v>
      </c>
      <c r="AP5529" s="4">
        <v>16</v>
      </c>
      <c r="AQ5529" s="4">
        <v>45</v>
      </c>
      <c r="AR5529" s="3" t="s">
        <v>62</v>
      </c>
      <c r="AS5529" s="3" t="s">
        <v>62</v>
      </c>
      <c r="AT5529" s="3" t="s">
        <v>62</v>
      </c>
      <c r="AV5529" s="6" t="str">
        <f>HYPERLINK("http://mcgill.on.worldcat.org/oclc/53285194","Catalog Record")</f>
        <v>Catalog Record</v>
      </c>
      <c r="AW5529" s="6" t="str">
        <f>HYPERLINK("http://www.worldcat.org/oclc/53285194","WorldCat Record")</f>
        <v>WorldCat Record</v>
      </c>
      <c r="AX5529" s="3" t="s">
        <v>53026</v>
      </c>
      <c r="AY5529" s="3" t="s">
        <v>53027</v>
      </c>
      <c r="AZ5529" s="3" t="s">
        <v>53028</v>
      </c>
      <c r="BA5529" s="3" t="s">
        <v>53028</v>
      </c>
      <c r="BB5529" s="3" t="s">
        <v>53029</v>
      </c>
      <c r="BC5529" s="3" t="s">
        <v>142</v>
      </c>
      <c r="BD5529" s="3" t="s">
        <v>68</v>
      </c>
      <c r="BE5529" s="3" t="s">
        <v>53030</v>
      </c>
      <c r="BF5529" s="3" t="s">
        <v>53029</v>
      </c>
      <c r="BG5529" s="3" t="s">
        <v>53031</v>
      </c>
    </row>
    <row r="5530" spans="1:59" ht="57" x14ac:dyDescent="0.45">
      <c r="A5530" s="2" t="s">
        <v>59</v>
      </c>
      <c r="B5530" s="2" t="s">
        <v>60</v>
      </c>
      <c r="C5530" s="2" t="s">
        <v>53032</v>
      </c>
      <c r="D5530" s="2" t="s">
        <v>53033</v>
      </c>
      <c r="E5530" s="2" t="s">
        <v>53034</v>
      </c>
      <c r="G5530" s="3" t="s">
        <v>62</v>
      </c>
      <c r="I5530" s="3" t="s">
        <v>62</v>
      </c>
      <c r="J5530" s="3" t="s">
        <v>62</v>
      </c>
      <c r="K5530" s="3" t="s">
        <v>63</v>
      </c>
      <c r="M5530" s="2" t="s">
        <v>53035</v>
      </c>
      <c r="N5530" s="3" t="s">
        <v>1437</v>
      </c>
      <c r="P5530" s="3" t="s">
        <v>110</v>
      </c>
      <c r="R5530" s="3" t="s">
        <v>66</v>
      </c>
      <c r="S5530" s="4">
        <v>8</v>
      </c>
      <c r="T5530" s="4">
        <v>8</v>
      </c>
      <c r="U5530" s="5" t="s">
        <v>53036</v>
      </c>
      <c r="V5530" s="5" t="s">
        <v>53036</v>
      </c>
      <c r="W5530" s="5" t="s">
        <v>67</v>
      </c>
      <c r="X5530" s="5" t="s">
        <v>67</v>
      </c>
      <c r="Y5530" s="4">
        <v>41</v>
      </c>
      <c r="Z5530" s="4">
        <v>5</v>
      </c>
      <c r="AA5530" s="4">
        <v>6</v>
      </c>
      <c r="AB5530" s="4">
        <v>1</v>
      </c>
      <c r="AC5530" s="4">
        <v>2</v>
      </c>
      <c r="AD5530" s="4">
        <v>19</v>
      </c>
      <c r="AE5530" s="4">
        <v>20</v>
      </c>
      <c r="AF5530" s="4">
        <v>0</v>
      </c>
      <c r="AG5530" s="4">
        <v>1</v>
      </c>
      <c r="AH5530" s="4">
        <v>18</v>
      </c>
      <c r="AI5530" s="4">
        <v>19</v>
      </c>
      <c r="AJ5530" s="4">
        <v>3</v>
      </c>
      <c r="AK5530" s="4">
        <v>4</v>
      </c>
      <c r="AL5530" s="4">
        <v>15</v>
      </c>
      <c r="AM5530" s="4">
        <v>15</v>
      </c>
      <c r="AN5530" s="4">
        <v>0</v>
      </c>
      <c r="AO5530" s="4">
        <v>0</v>
      </c>
      <c r="AP5530" s="4">
        <v>3</v>
      </c>
      <c r="AQ5530" s="4">
        <v>4</v>
      </c>
      <c r="AR5530" s="3" t="s">
        <v>62</v>
      </c>
      <c r="AS5530" s="3" t="s">
        <v>62</v>
      </c>
      <c r="AT5530" s="3" t="s">
        <v>61</v>
      </c>
      <c r="AU5530" s="6" t="str">
        <f>HYPERLINK("http://catalog.hathitrust.org/Record/006951437","HathiTrust Record")</f>
        <v>HathiTrust Record</v>
      </c>
      <c r="AV5530" s="6" t="str">
        <f>HYPERLINK("http://mcgill.on.worldcat.org/oclc/40960023","Catalog Record")</f>
        <v>Catalog Record</v>
      </c>
      <c r="AW5530" s="6" t="str">
        <f>HYPERLINK("http://www.worldcat.org/oclc/40960023","WorldCat Record")</f>
        <v>WorldCat Record</v>
      </c>
      <c r="AX5530" s="3" t="s">
        <v>53037</v>
      </c>
      <c r="AY5530" s="3" t="s">
        <v>53038</v>
      </c>
      <c r="AZ5530" s="3" t="s">
        <v>53039</v>
      </c>
      <c r="BA5530" s="3" t="s">
        <v>53039</v>
      </c>
      <c r="BB5530" s="3" t="s">
        <v>53040</v>
      </c>
      <c r="BC5530" s="3" t="s">
        <v>142</v>
      </c>
      <c r="BD5530" s="3" t="s">
        <v>68</v>
      </c>
      <c r="BE5530" s="3" t="s">
        <v>53041</v>
      </c>
      <c r="BF5530" s="3" t="s">
        <v>53040</v>
      </c>
      <c r="BG5530" s="3" t="s">
        <v>53042</v>
      </c>
    </row>
    <row r="5531" spans="1:59" ht="57" x14ac:dyDescent="0.45">
      <c r="A5531" s="2" t="s">
        <v>59</v>
      </c>
      <c r="B5531" s="2" t="s">
        <v>60</v>
      </c>
      <c r="C5531" s="2" t="s">
        <v>53043</v>
      </c>
      <c r="D5531" s="2" t="s">
        <v>53044</v>
      </c>
      <c r="E5531" s="2" t="s">
        <v>53045</v>
      </c>
      <c r="G5531" s="3" t="s">
        <v>62</v>
      </c>
      <c r="I5531" s="3" t="s">
        <v>62</v>
      </c>
      <c r="J5531" s="3" t="s">
        <v>62</v>
      </c>
      <c r="K5531" s="3" t="s">
        <v>63</v>
      </c>
      <c r="M5531" s="2" t="s">
        <v>37715</v>
      </c>
      <c r="N5531" s="3" t="s">
        <v>1465</v>
      </c>
      <c r="P5531" s="3" t="s">
        <v>65</v>
      </c>
      <c r="Q5531" s="2" t="s">
        <v>53046</v>
      </c>
      <c r="R5531" s="3" t="s">
        <v>66</v>
      </c>
      <c r="S5531" s="4">
        <v>1</v>
      </c>
      <c r="T5531" s="4">
        <v>1</v>
      </c>
      <c r="U5531" s="5" t="s">
        <v>14909</v>
      </c>
      <c r="V5531" s="5" t="s">
        <v>14909</v>
      </c>
      <c r="W5531" s="5" t="s">
        <v>67</v>
      </c>
      <c r="X5531" s="5" t="s">
        <v>67</v>
      </c>
      <c r="Y5531" s="4">
        <v>72</v>
      </c>
      <c r="Z5531" s="4">
        <v>9</v>
      </c>
      <c r="AA5531" s="4">
        <v>91</v>
      </c>
      <c r="AB5531" s="4">
        <v>1</v>
      </c>
      <c r="AC5531" s="4">
        <v>17</v>
      </c>
      <c r="AD5531" s="4">
        <v>40</v>
      </c>
      <c r="AE5531" s="4">
        <v>115</v>
      </c>
      <c r="AF5531" s="4">
        <v>0</v>
      </c>
      <c r="AG5531" s="4">
        <v>8</v>
      </c>
      <c r="AH5531" s="4">
        <v>38</v>
      </c>
      <c r="AI5531" s="4">
        <v>79</v>
      </c>
      <c r="AJ5531" s="4">
        <v>7</v>
      </c>
      <c r="AK5531" s="4">
        <v>23</v>
      </c>
      <c r="AL5531" s="4">
        <v>25</v>
      </c>
      <c r="AM5531" s="4">
        <v>42</v>
      </c>
      <c r="AN5531" s="4">
        <v>0</v>
      </c>
      <c r="AO5531" s="4">
        <v>0</v>
      </c>
      <c r="AP5531" s="4">
        <v>7</v>
      </c>
      <c r="AQ5531" s="4">
        <v>44</v>
      </c>
      <c r="AR5531" s="3" t="s">
        <v>62</v>
      </c>
      <c r="AS5531" s="3" t="s">
        <v>62</v>
      </c>
      <c r="AT5531" s="3" t="s">
        <v>62</v>
      </c>
      <c r="AV5531" s="6" t="str">
        <f>HYPERLINK("http://mcgill.on.worldcat.org/oclc/247274977","Catalog Record")</f>
        <v>Catalog Record</v>
      </c>
      <c r="AW5531" s="6" t="str">
        <f>HYPERLINK("http://www.worldcat.org/oclc/247274977","WorldCat Record")</f>
        <v>WorldCat Record</v>
      </c>
      <c r="AX5531" s="3" t="s">
        <v>53047</v>
      </c>
      <c r="AY5531" s="3" t="s">
        <v>53048</v>
      </c>
      <c r="AZ5531" s="3" t="s">
        <v>53049</v>
      </c>
      <c r="BA5531" s="3" t="s">
        <v>53049</v>
      </c>
      <c r="BB5531" s="3" t="s">
        <v>53050</v>
      </c>
      <c r="BC5531" s="3" t="s">
        <v>142</v>
      </c>
      <c r="BD5531" s="3" t="s">
        <v>68</v>
      </c>
      <c r="BE5531" s="3" t="s">
        <v>53051</v>
      </c>
      <c r="BF5531" s="3" t="s">
        <v>53050</v>
      </c>
      <c r="BG5531" s="3" t="s">
        <v>53052</v>
      </c>
    </row>
    <row r="5532" spans="1:59" ht="57" x14ac:dyDescent="0.45">
      <c r="A5532" s="2" t="s">
        <v>59</v>
      </c>
      <c r="B5532" s="2" t="s">
        <v>60</v>
      </c>
      <c r="C5532" s="2" t="s">
        <v>53053</v>
      </c>
      <c r="D5532" s="2" t="s">
        <v>53054</v>
      </c>
      <c r="E5532" s="2" t="s">
        <v>53055</v>
      </c>
      <c r="G5532" s="3" t="s">
        <v>62</v>
      </c>
      <c r="I5532" s="3" t="s">
        <v>61</v>
      </c>
      <c r="J5532" s="3" t="s">
        <v>62</v>
      </c>
      <c r="K5532" s="3" t="s">
        <v>63</v>
      </c>
      <c r="L5532" s="2" t="s">
        <v>2021</v>
      </c>
      <c r="M5532" s="2" t="s">
        <v>2654</v>
      </c>
      <c r="N5532" s="3" t="s">
        <v>820</v>
      </c>
      <c r="P5532" s="3" t="s">
        <v>65</v>
      </c>
      <c r="Q5532" s="2" t="s">
        <v>21253</v>
      </c>
      <c r="R5532" s="3" t="s">
        <v>66</v>
      </c>
      <c r="S5532" s="4">
        <v>2</v>
      </c>
      <c r="T5532" s="4">
        <v>4</v>
      </c>
      <c r="U5532" s="5" t="s">
        <v>3186</v>
      </c>
      <c r="V5532" s="5" t="s">
        <v>3186</v>
      </c>
      <c r="W5532" s="5" t="s">
        <v>67</v>
      </c>
      <c r="X5532" s="5" t="s">
        <v>67</v>
      </c>
      <c r="Y5532" s="4">
        <v>164</v>
      </c>
      <c r="Z5532" s="4">
        <v>13</v>
      </c>
      <c r="AA5532" s="4">
        <v>103</v>
      </c>
      <c r="AB5532" s="4">
        <v>1</v>
      </c>
      <c r="AC5532" s="4">
        <v>21</v>
      </c>
      <c r="AD5532" s="4">
        <v>65</v>
      </c>
      <c r="AE5532" s="4">
        <v>134</v>
      </c>
      <c r="AF5532" s="4">
        <v>0</v>
      </c>
      <c r="AG5532" s="4">
        <v>9</v>
      </c>
      <c r="AH5532" s="4">
        <v>61</v>
      </c>
      <c r="AI5532" s="4">
        <v>89</v>
      </c>
      <c r="AJ5532" s="4">
        <v>11</v>
      </c>
      <c r="AK5532" s="4">
        <v>25</v>
      </c>
      <c r="AL5532" s="4">
        <v>37</v>
      </c>
      <c r="AM5532" s="4">
        <v>47</v>
      </c>
      <c r="AN5532" s="4">
        <v>0</v>
      </c>
      <c r="AO5532" s="4">
        <v>0</v>
      </c>
      <c r="AP5532" s="4">
        <v>11</v>
      </c>
      <c r="AQ5532" s="4">
        <v>54</v>
      </c>
      <c r="AR5532" s="3" t="s">
        <v>62</v>
      </c>
      <c r="AS5532" s="3" t="s">
        <v>62</v>
      </c>
      <c r="AT5532" s="3" t="s">
        <v>62</v>
      </c>
      <c r="AV5532" s="6" t="str">
        <f>HYPERLINK("http://mcgill.on.worldcat.org/oclc/183610019","Catalog Record")</f>
        <v>Catalog Record</v>
      </c>
      <c r="AW5532" s="6" t="str">
        <f>HYPERLINK("http://www.worldcat.org/oclc/183610019","WorldCat Record")</f>
        <v>WorldCat Record</v>
      </c>
      <c r="AX5532" s="3" t="s">
        <v>53056</v>
      </c>
      <c r="AY5532" s="3" t="s">
        <v>53057</v>
      </c>
      <c r="AZ5532" s="3" t="s">
        <v>53058</v>
      </c>
      <c r="BA5532" s="3" t="s">
        <v>53058</v>
      </c>
      <c r="BB5532" s="3" t="s">
        <v>53059</v>
      </c>
      <c r="BC5532" s="3" t="s">
        <v>142</v>
      </c>
      <c r="BD5532" s="3" t="s">
        <v>68</v>
      </c>
      <c r="BE5532" s="3" t="s">
        <v>53060</v>
      </c>
      <c r="BF5532" s="3" t="s">
        <v>53059</v>
      </c>
      <c r="BG5532" s="3" t="s">
        <v>53061</v>
      </c>
    </row>
    <row r="5533" spans="1:59" ht="57" x14ac:dyDescent="0.45">
      <c r="A5533" s="2" t="s">
        <v>59</v>
      </c>
      <c r="B5533" s="2" t="s">
        <v>60</v>
      </c>
      <c r="C5533" s="2" t="s">
        <v>53053</v>
      </c>
      <c r="D5533" s="2" t="s">
        <v>53054</v>
      </c>
      <c r="E5533" s="2" t="s">
        <v>53055</v>
      </c>
      <c r="G5533" s="3" t="s">
        <v>62</v>
      </c>
      <c r="I5533" s="3" t="s">
        <v>61</v>
      </c>
      <c r="J5533" s="3" t="s">
        <v>62</v>
      </c>
      <c r="K5533" s="3" t="s">
        <v>63</v>
      </c>
      <c r="L5533" s="2" t="s">
        <v>2021</v>
      </c>
      <c r="M5533" s="2" t="s">
        <v>2654</v>
      </c>
      <c r="N5533" s="3" t="s">
        <v>820</v>
      </c>
      <c r="P5533" s="3" t="s">
        <v>65</v>
      </c>
      <c r="Q5533" s="2" t="s">
        <v>21253</v>
      </c>
      <c r="R5533" s="3" t="s">
        <v>66</v>
      </c>
      <c r="S5533" s="4">
        <v>2</v>
      </c>
      <c r="T5533" s="4">
        <v>4</v>
      </c>
      <c r="U5533" s="5" t="s">
        <v>53062</v>
      </c>
      <c r="V5533" s="5" t="s">
        <v>3186</v>
      </c>
      <c r="W5533" s="5" t="s">
        <v>67</v>
      </c>
      <c r="X5533" s="5" t="s">
        <v>67</v>
      </c>
      <c r="Y5533" s="4">
        <v>164</v>
      </c>
      <c r="Z5533" s="4">
        <v>13</v>
      </c>
      <c r="AA5533" s="4">
        <v>103</v>
      </c>
      <c r="AB5533" s="4">
        <v>1</v>
      </c>
      <c r="AC5533" s="4">
        <v>21</v>
      </c>
      <c r="AD5533" s="4">
        <v>65</v>
      </c>
      <c r="AE5533" s="4">
        <v>134</v>
      </c>
      <c r="AF5533" s="4">
        <v>0</v>
      </c>
      <c r="AG5533" s="4">
        <v>9</v>
      </c>
      <c r="AH5533" s="4">
        <v>61</v>
      </c>
      <c r="AI5533" s="4">
        <v>89</v>
      </c>
      <c r="AJ5533" s="4">
        <v>11</v>
      </c>
      <c r="AK5533" s="4">
        <v>25</v>
      </c>
      <c r="AL5533" s="4">
        <v>37</v>
      </c>
      <c r="AM5533" s="4">
        <v>47</v>
      </c>
      <c r="AN5533" s="4">
        <v>0</v>
      </c>
      <c r="AO5533" s="4">
        <v>0</v>
      </c>
      <c r="AP5533" s="4">
        <v>11</v>
      </c>
      <c r="AQ5533" s="4">
        <v>54</v>
      </c>
      <c r="AR5533" s="3" t="s">
        <v>62</v>
      </c>
      <c r="AS5533" s="3" t="s">
        <v>62</v>
      </c>
      <c r="AT5533" s="3" t="s">
        <v>62</v>
      </c>
      <c r="AV5533" s="6" t="str">
        <f>HYPERLINK("http://mcgill.on.worldcat.org/oclc/183610019","Catalog Record")</f>
        <v>Catalog Record</v>
      </c>
      <c r="AW5533" s="6" t="str">
        <f>HYPERLINK("http://www.worldcat.org/oclc/183610019","WorldCat Record")</f>
        <v>WorldCat Record</v>
      </c>
      <c r="AX5533" s="3" t="s">
        <v>53056</v>
      </c>
      <c r="AY5533" s="3" t="s">
        <v>53057</v>
      </c>
      <c r="AZ5533" s="3" t="s">
        <v>53058</v>
      </c>
      <c r="BA5533" s="3" t="s">
        <v>53058</v>
      </c>
      <c r="BB5533" s="3" t="s">
        <v>53063</v>
      </c>
      <c r="BC5533" s="3" t="s">
        <v>142</v>
      </c>
      <c r="BD5533" s="3" t="s">
        <v>68</v>
      </c>
      <c r="BE5533" s="3" t="s">
        <v>53060</v>
      </c>
      <c r="BF5533" s="3" t="s">
        <v>53063</v>
      </c>
      <c r="BG5533" s="3" t="s">
        <v>53064</v>
      </c>
    </row>
    <row r="5534" spans="1:59" ht="57" x14ac:dyDescent="0.45">
      <c r="A5534" s="2" t="s">
        <v>59</v>
      </c>
      <c r="B5534" s="2" t="s">
        <v>60</v>
      </c>
      <c r="C5534" s="2" t="s">
        <v>53065</v>
      </c>
      <c r="D5534" s="2" t="s">
        <v>53066</v>
      </c>
      <c r="E5534" s="2" t="s">
        <v>53067</v>
      </c>
      <c r="G5534" s="3" t="s">
        <v>62</v>
      </c>
      <c r="I5534" s="3" t="s">
        <v>61</v>
      </c>
      <c r="J5534" s="3" t="s">
        <v>61</v>
      </c>
      <c r="K5534" s="3" t="s">
        <v>63</v>
      </c>
      <c r="L5534" s="2" t="s">
        <v>45824</v>
      </c>
      <c r="M5534" s="2" t="s">
        <v>53068</v>
      </c>
      <c r="N5534" s="3" t="s">
        <v>945</v>
      </c>
      <c r="O5534" s="2" t="s">
        <v>933</v>
      </c>
      <c r="P5534" s="3" t="s">
        <v>65</v>
      </c>
      <c r="Q5534" s="2" t="s">
        <v>53069</v>
      </c>
      <c r="R5534" s="3" t="s">
        <v>66</v>
      </c>
      <c r="S5534" s="4">
        <v>15</v>
      </c>
      <c r="T5534" s="4">
        <v>74</v>
      </c>
      <c r="U5534" s="5" t="s">
        <v>12769</v>
      </c>
      <c r="V5534" s="5" t="s">
        <v>12769</v>
      </c>
      <c r="W5534" s="5" t="s">
        <v>67</v>
      </c>
      <c r="X5534" s="5" t="s">
        <v>67</v>
      </c>
      <c r="Y5534" s="4">
        <v>189</v>
      </c>
      <c r="Z5534" s="4">
        <v>22</v>
      </c>
      <c r="AA5534" s="4">
        <v>51</v>
      </c>
      <c r="AB5534" s="4">
        <v>2</v>
      </c>
      <c r="AC5534" s="4">
        <v>9</v>
      </c>
      <c r="AD5534" s="4">
        <v>58</v>
      </c>
      <c r="AE5534" s="4">
        <v>109</v>
      </c>
      <c r="AF5534" s="4">
        <v>1</v>
      </c>
      <c r="AG5534" s="4">
        <v>4</v>
      </c>
      <c r="AH5534" s="4">
        <v>46</v>
      </c>
      <c r="AI5534" s="4">
        <v>86</v>
      </c>
      <c r="AJ5534" s="4">
        <v>14</v>
      </c>
      <c r="AK5534" s="4">
        <v>20</v>
      </c>
      <c r="AL5534" s="4">
        <v>27</v>
      </c>
      <c r="AM5534" s="4">
        <v>51</v>
      </c>
      <c r="AN5534" s="4">
        <v>0</v>
      </c>
      <c r="AO5534" s="4">
        <v>0</v>
      </c>
      <c r="AP5534" s="4">
        <v>16</v>
      </c>
      <c r="AQ5534" s="4">
        <v>30</v>
      </c>
      <c r="AR5534" s="3" t="s">
        <v>62</v>
      </c>
      <c r="AS5534" s="3" t="s">
        <v>62</v>
      </c>
      <c r="AT5534" s="3" t="s">
        <v>62</v>
      </c>
      <c r="AV5534" s="6" t="str">
        <f>HYPERLINK("http://mcgill.on.worldcat.org/oclc/64897498","Catalog Record")</f>
        <v>Catalog Record</v>
      </c>
      <c r="AW5534" s="6" t="str">
        <f>HYPERLINK("http://www.worldcat.org/oclc/64897498","WorldCat Record")</f>
        <v>WorldCat Record</v>
      </c>
      <c r="AX5534" s="3" t="s">
        <v>53070</v>
      </c>
      <c r="AY5534" s="3" t="s">
        <v>53071</v>
      </c>
      <c r="AZ5534" s="3" t="s">
        <v>53072</v>
      </c>
      <c r="BA5534" s="3" t="s">
        <v>53072</v>
      </c>
      <c r="BB5534" s="3" t="s">
        <v>53073</v>
      </c>
      <c r="BC5534" s="3" t="s">
        <v>142</v>
      </c>
      <c r="BD5534" s="3" t="s">
        <v>68</v>
      </c>
      <c r="BE5534" s="3" t="s">
        <v>53074</v>
      </c>
      <c r="BF5534" s="3" t="s">
        <v>53073</v>
      </c>
      <c r="BG5534" s="3" t="s">
        <v>53075</v>
      </c>
    </row>
    <row r="5535" spans="1:59" ht="57" x14ac:dyDescent="0.45">
      <c r="A5535" s="2" t="s">
        <v>59</v>
      </c>
      <c r="B5535" s="2" t="s">
        <v>60</v>
      </c>
      <c r="C5535" s="2" t="s">
        <v>53065</v>
      </c>
      <c r="D5535" s="2" t="s">
        <v>53066</v>
      </c>
      <c r="E5535" s="2" t="s">
        <v>53067</v>
      </c>
      <c r="G5535" s="3" t="s">
        <v>62</v>
      </c>
      <c r="I5535" s="3" t="s">
        <v>61</v>
      </c>
      <c r="J5535" s="3" t="s">
        <v>61</v>
      </c>
      <c r="K5535" s="3" t="s">
        <v>63</v>
      </c>
      <c r="L5535" s="2" t="s">
        <v>45824</v>
      </c>
      <c r="M5535" s="2" t="s">
        <v>53068</v>
      </c>
      <c r="N5535" s="3" t="s">
        <v>945</v>
      </c>
      <c r="O5535" s="2" t="s">
        <v>933</v>
      </c>
      <c r="P5535" s="3" t="s">
        <v>65</v>
      </c>
      <c r="Q5535" s="2" t="s">
        <v>53069</v>
      </c>
      <c r="R5535" s="3" t="s">
        <v>66</v>
      </c>
      <c r="S5535" s="4">
        <v>20</v>
      </c>
      <c r="T5535" s="4">
        <v>74</v>
      </c>
      <c r="U5535" s="5" t="s">
        <v>9157</v>
      </c>
      <c r="V5535" s="5" t="s">
        <v>12769</v>
      </c>
      <c r="W5535" s="5" t="s">
        <v>67</v>
      </c>
      <c r="X5535" s="5" t="s">
        <v>67</v>
      </c>
      <c r="Y5535" s="4">
        <v>189</v>
      </c>
      <c r="Z5535" s="4">
        <v>22</v>
      </c>
      <c r="AA5535" s="4">
        <v>51</v>
      </c>
      <c r="AB5535" s="4">
        <v>2</v>
      </c>
      <c r="AC5535" s="4">
        <v>9</v>
      </c>
      <c r="AD5535" s="4">
        <v>58</v>
      </c>
      <c r="AE5535" s="4">
        <v>109</v>
      </c>
      <c r="AF5535" s="4">
        <v>1</v>
      </c>
      <c r="AG5535" s="4">
        <v>4</v>
      </c>
      <c r="AH5535" s="4">
        <v>46</v>
      </c>
      <c r="AI5535" s="4">
        <v>86</v>
      </c>
      <c r="AJ5535" s="4">
        <v>14</v>
      </c>
      <c r="AK5535" s="4">
        <v>20</v>
      </c>
      <c r="AL5535" s="4">
        <v>27</v>
      </c>
      <c r="AM5535" s="4">
        <v>51</v>
      </c>
      <c r="AN5535" s="4">
        <v>0</v>
      </c>
      <c r="AO5535" s="4">
        <v>0</v>
      </c>
      <c r="AP5535" s="4">
        <v>16</v>
      </c>
      <c r="AQ5535" s="4">
        <v>30</v>
      </c>
      <c r="AR5535" s="3" t="s">
        <v>62</v>
      </c>
      <c r="AS5535" s="3" t="s">
        <v>62</v>
      </c>
      <c r="AT5535" s="3" t="s">
        <v>62</v>
      </c>
      <c r="AV5535" s="6" t="str">
        <f>HYPERLINK("http://mcgill.on.worldcat.org/oclc/64897498","Catalog Record")</f>
        <v>Catalog Record</v>
      </c>
      <c r="AW5535" s="6" t="str">
        <f>HYPERLINK("http://www.worldcat.org/oclc/64897498","WorldCat Record")</f>
        <v>WorldCat Record</v>
      </c>
      <c r="AX5535" s="3" t="s">
        <v>53070</v>
      </c>
      <c r="AY5535" s="3" t="s">
        <v>53071</v>
      </c>
      <c r="AZ5535" s="3" t="s">
        <v>53072</v>
      </c>
      <c r="BA5535" s="3" t="s">
        <v>53072</v>
      </c>
      <c r="BB5535" s="3" t="s">
        <v>53076</v>
      </c>
      <c r="BC5535" s="3" t="s">
        <v>142</v>
      </c>
      <c r="BD5535" s="3" t="s">
        <v>68</v>
      </c>
      <c r="BE5535" s="3" t="s">
        <v>53074</v>
      </c>
      <c r="BF5535" s="3" t="s">
        <v>53076</v>
      </c>
      <c r="BG5535" s="3" t="s">
        <v>53077</v>
      </c>
    </row>
    <row r="5536" spans="1:59" ht="57" x14ac:dyDescent="0.45">
      <c r="A5536" s="2" t="s">
        <v>59</v>
      </c>
      <c r="B5536" s="2" t="s">
        <v>60</v>
      </c>
      <c r="C5536" s="2" t="s">
        <v>53065</v>
      </c>
      <c r="D5536" s="2" t="s">
        <v>53066</v>
      </c>
      <c r="E5536" s="2" t="s">
        <v>53067</v>
      </c>
      <c r="G5536" s="3" t="s">
        <v>62</v>
      </c>
      <c r="I5536" s="3" t="s">
        <v>61</v>
      </c>
      <c r="J5536" s="3" t="s">
        <v>61</v>
      </c>
      <c r="K5536" s="3" t="s">
        <v>63</v>
      </c>
      <c r="L5536" s="2" t="s">
        <v>45824</v>
      </c>
      <c r="M5536" s="2" t="s">
        <v>53068</v>
      </c>
      <c r="N5536" s="3" t="s">
        <v>945</v>
      </c>
      <c r="O5536" s="2" t="s">
        <v>933</v>
      </c>
      <c r="P5536" s="3" t="s">
        <v>65</v>
      </c>
      <c r="Q5536" s="2" t="s">
        <v>53069</v>
      </c>
      <c r="R5536" s="3" t="s">
        <v>66</v>
      </c>
      <c r="S5536" s="4">
        <v>39</v>
      </c>
      <c r="T5536" s="4">
        <v>74</v>
      </c>
      <c r="U5536" s="5" t="s">
        <v>18463</v>
      </c>
      <c r="V5536" s="5" t="s">
        <v>12769</v>
      </c>
      <c r="W5536" s="5" t="s">
        <v>67</v>
      </c>
      <c r="X5536" s="5" t="s">
        <v>67</v>
      </c>
      <c r="Y5536" s="4">
        <v>189</v>
      </c>
      <c r="Z5536" s="4">
        <v>22</v>
      </c>
      <c r="AA5536" s="4">
        <v>51</v>
      </c>
      <c r="AB5536" s="4">
        <v>2</v>
      </c>
      <c r="AC5536" s="4">
        <v>9</v>
      </c>
      <c r="AD5536" s="4">
        <v>58</v>
      </c>
      <c r="AE5536" s="4">
        <v>109</v>
      </c>
      <c r="AF5536" s="4">
        <v>1</v>
      </c>
      <c r="AG5536" s="4">
        <v>4</v>
      </c>
      <c r="AH5536" s="4">
        <v>46</v>
      </c>
      <c r="AI5536" s="4">
        <v>86</v>
      </c>
      <c r="AJ5536" s="4">
        <v>14</v>
      </c>
      <c r="AK5536" s="4">
        <v>20</v>
      </c>
      <c r="AL5536" s="4">
        <v>27</v>
      </c>
      <c r="AM5536" s="4">
        <v>51</v>
      </c>
      <c r="AN5536" s="4">
        <v>0</v>
      </c>
      <c r="AO5536" s="4">
        <v>0</v>
      </c>
      <c r="AP5536" s="4">
        <v>16</v>
      </c>
      <c r="AQ5536" s="4">
        <v>30</v>
      </c>
      <c r="AR5536" s="3" t="s">
        <v>62</v>
      </c>
      <c r="AS5536" s="3" t="s">
        <v>62</v>
      </c>
      <c r="AT5536" s="3" t="s">
        <v>62</v>
      </c>
      <c r="AV5536" s="6" t="str">
        <f>HYPERLINK("http://mcgill.on.worldcat.org/oclc/64897498","Catalog Record")</f>
        <v>Catalog Record</v>
      </c>
      <c r="AW5536" s="6" t="str">
        <f>HYPERLINK("http://www.worldcat.org/oclc/64897498","WorldCat Record")</f>
        <v>WorldCat Record</v>
      </c>
      <c r="AX5536" s="3" t="s">
        <v>53070</v>
      </c>
      <c r="AY5536" s="3" t="s">
        <v>53071</v>
      </c>
      <c r="AZ5536" s="3" t="s">
        <v>53072</v>
      </c>
      <c r="BA5536" s="3" t="s">
        <v>53072</v>
      </c>
      <c r="BB5536" s="3" t="s">
        <v>53078</v>
      </c>
      <c r="BC5536" s="3" t="s">
        <v>142</v>
      </c>
      <c r="BD5536" s="3" t="s">
        <v>68</v>
      </c>
      <c r="BE5536" s="3" t="s">
        <v>53074</v>
      </c>
      <c r="BF5536" s="3" t="s">
        <v>53078</v>
      </c>
      <c r="BG5536" s="3" t="s">
        <v>53079</v>
      </c>
    </row>
    <row r="5537" spans="1:59" ht="57" x14ac:dyDescent="0.45">
      <c r="A5537" s="2" t="s">
        <v>59</v>
      </c>
      <c r="B5537" s="2" t="s">
        <v>60</v>
      </c>
      <c r="C5537" s="2" t="s">
        <v>53080</v>
      </c>
      <c r="D5537" s="2" t="s">
        <v>53081</v>
      </c>
      <c r="E5537" s="2" t="s">
        <v>53067</v>
      </c>
      <c r="G5537" s="3" t="s">
        <v>62</v>
      </c>
      <c r="I5537" s="3" t="s">
        <v>62</v>
      </c>
      <c r="J5537" s="3" t="s">
        <v>61</v>
      </c>
      <c r="K5537" s="3" t="s">
        <v>63</v>
      </c>
      <c r="L5537" s="2" t="s">
        <v>45824</v>
      </c>
      <c r="M5537" s="2" t="s">
        <v>53082</v>
      </c>
      <c r="N5537" s="3" t="s">
        <v>116</v>
      </c>
      <c r="O5537" s="2" t="s">
        <v>14488</v>
      </c>
      <c r="P5537" s="3" t="s">
        <v>65</v>
      </c>
      <c r="Q5537" s="2" t="s">
        <v>53069</v>
      </c>
      <c r="R5537" s="3" t="s">
        <v>66</v>
      </c>
      <c r="S5537" s="4">
        <v>29</v>
      </c>
      <c r="T5537" s="4">
        <v>29</v>
      </c>
      <c r="U5537" s="5" t="s">
        <v>29969</v>
      </c>
      <c r="V5537" s="5" t="s">
        <v>29969</v>
      </c>
      <c r="W5537" s="5" t="s">
        <v>67</v>
      </c>
      <c r="X5537" s="5" t="s">
        <v>67</v>
      </c>
      <c r="Y5537" s="4">
        <v>107</v>
      </c>
      <c r="Z5537" s="4">
        <v>11</v>
      </c>
      <c r="AA5537" s="4">
        <v>51</v>
      </c>
      <c r="AB5537" s="4">
        <v>1</v>
      </c>
      <c r="AC5537" s="4">
        <v>9</v>
      </c>
      <c r="AD5537" s="4">
        <v>27</v>
      </c>
      <c r="AE5537" s="4">
        <v>109</v>
      </c>
      <c r="AF5537" s="4">
        <v>0</v>
      </c>
      <c r="AG5537" s="4">
        <v>4</v>
      </c>
      <c r="AH5537" s="4">
        <v>24</v>
      </c>
      <c r="AI5537" s="4">
        <v>86</v>
      </c>
      <c r="AJ5537" s="4">
        <v>6</v>
      </c>
      <c r="AK5537" s="4">
        <v>20</v>
      </c>
      <c r="AL5537" s="4">
        <v>15</v>
      </c>
      <c r="AM5537" s="4">
        <v>51</v>
      </c>
      <c r="AN5537" s="4">
        <v>0</v>
      </c>
      <c r="AO5537" s="4">
        <v>0</v>
      </c>
      <c r="AP5537" s="4">
        <v>6</v>
      </c>
      <c r="AQ5537" s="4">
        <v>30</v>
      </c>
      <c r="AR5537" s="3" t="s">
        <v>62</v>
      </c>
      <c r="AS5537" s="3" t="s">
        <v>62</v>
      </c>
      <c r="AT5537" s="3" t="s">
        <v>62</v>
      </c>
      <c r="AV5537" s="6" t="str">
        <f>HYPERLINK("http://mcgill.on.worldcat.org/oclc/779740455","Catalog Record")</f>
        <v>Catalog Record</v>
      </c>
      <c r="AW5537" s="6" t="str">
        <f>HYPERLINK("http://www.worldcat.org/oclc/779740455","WorldCat Record")</f>
        <v>WorldCat Record</v>
      </c>
      <c r="AX5537" s="3" t="s">
        <v>53070</v>
      </c>
      <c r="AY5537" s="3" t="s">
        <v>53083</v>
      </c>
      <c r="AZ5537" s="3" t="s">
        <v>53084</v>
      </c>
      <c r="BA5537" s="3" t="s">
        <v>53084</v>
      </c>
      <c r="BB5537" s="3" t="s">
        <v>53085</v>
      </c>
      <c r="BC5537" s="3" t="s">
        <v>142</v>
      </c>
      <c r="BD5537" s="3" t="s">
        <v>68</v>
      </c>
      <c r="BE5537" s="3" t="s">
        <v>53086</v>
      </c>
      <c r="BF5537" s="3" t="s">
        <v>53085</v>
      </c>
      <c r="BG5537" s="3" t="s">
        <v>53087</v>
      </c>
    </row>
    <row r="5538" spans="1:59" ht="57" x14ac:dyDescent="0.45">
      <c r="A5538" s="2" t="s">
        <v>59</v>
      </c>
      <c r="B5538" s="2" t="s">
        <v>60</v>
      </c>
      <c r="C5538" s="2" t="s">
        <v>53088</v>
      </c>
      <c r="D5538" s="2" t="s">
        <v>53089</v>
      </c>
      <c r="E5538" s="2" t="s">
        <v>53090</v>
      </c>
      <c r="G5538" s="3" t="s">
        <v>62</v>
      </c>
      <c r="I5538" s="3" t="s">
        <v>62</v>
      </c>
      <c r="J5538" s="3" t="s">
        <v>62</v>
      </c>
      <c r="K5538" s="3" t="s">
        <v>63</v>
      </c>
      <c r="M5538" s="2" t="s">
        <v>53091</v>
      </c>
      <c r="N5538" s="3" t="s">
        <v>1155</v>
      </c>
      <c r="P5538" s="3" t="s">
        <v>110</v>
      </c>
      <c r="Q5538" s="2" t="s">
        <v>53092</v>
      </c>
      <c r="R5538" s="3" t="s">
        <v>66</v>
      </c>
      <c r="S5538" s="4">
        <v>0</v>
      </c>
      <c r="T5538" s="4">
        <v>0</v>
      </c>
      <c r="W5538" s="5" t="s">
        <v>67</v>
      </c>
      <c r="X5538" s="5" t="s">
        <v>67</v>
      </c>
      <c r="Y5538" s="4">
        <v>21</v>
      </c>
      <c r="Z5538" s="4">
        <v>7</v>
      </c>
      <c r="AA5538" s="4">
        <v>40</v>
      </c>
      <c r="AB5538" s="4">
        <v>1</v>
      </c>
      <c r="AC5538" s="4">
        <v>11</v>
      </c>
      <c r="AD5538" s="4">
        <v>12</v>
      </c>
      <c r="AE5538" s="4">
        <v>34</v>
      </c>
      <c r="AF5538" s="4">
        <v>0</v>
      </c>
      <c r="AG5538" s="4">
        <v>5</v>
      </c>
      <c r="AH5538" s="4">
        <v>12</v>
      </c>
      <c r="AI5538" s="4">
        <v>18</v>
      </c>
      <c r="AJ5538" s="4">
        <v>4</v>
      </c>
      <c r="AK5538" s="4">
        <v>15</v>
      </c>
      <c r="AL5538" s="4">
        <v>8</v>
      </c>
      <c r="AM5538" s="4">
        <v>9</v>
      </c>
      <c r="AN5538" s="4">
        <v>0</v>
      </c>
      <c r="AO5538" s="4">
        <v>0</v>
      </c>
      <c r="AP5538" s="4">
        <v>5</v>
      </c>
      <c r="AQ5538" s="4">
        <v>24</v>
      </c>
      <c r="AR5538" s="3" t="s">
        <v>61</v>
      </c>
      <c r="AS5538" s="3" t="s">
        <v>62</v>
      </c>
      <c r="AT5538" s="3" t="s">
        <v>62</v>
      </c>
      <c r="AV5538" s="6" t="str">
        <f>HYPERLINK("http://mcgill.on.worldcat.org/oclc/793218084","Catalog Record")</f>
        <v>Catalog Record</v>
      </c>
      <c r="AW5538" s="6" t="str">
        <f>HYPERLINK("http://www.worldcat.org/oclc/793218084","WorldCat Record")</f>
        <v>WorldCat Record</v>
      </c>
      <c r="AX5538" s="3" t="s">
        <v>53093</v>
      </c>
      <c r="AY5538" s="3" t="s">
        <v>53094</v>
      </c>
      <c r="AZ5538" s="3" t="s">
        <v>53095</v>
      </c>
      <c r="BA5538" s="3" t="s">
        <v>53095</v>
      </c>
      <c r="BB5538" s="3" t="s">
        <v>53096</v>
      </c>
      <c r="BC5538" s="3" t="s">
        <v>142</v>
      </c>
      <c r="BD5538" s="3" t="s">
        <v>68</v>
      </c>
      <c r="BE5538" s="3" t="s">
        <v>53097</v>
      </c>
      <c r="BF5538" s="3" t="s">
        <v>53096</v>
      </c>
      <c r="BG5538" s="3" t="s">
        <v>53098</v>
      </c>
    </row>
    <row r="5539" spans="1:59" ht="57" x14ac:dyDescent="0.45">
      <c r="A5539" s="2" t="s">
        <v>59</v>
      </c>
      <c r="B5539" s="2" t="s">
        <v>60</v>
      </c>
      <c r="C5539" s="2" t="s">
        <v>53099</v>
      </c>
      <c r="D5539" s="2" t="s">
        <v>53100</v>
      </c>
      <c r="E5539" s="2" t="s">
        <v>53101</v>
      </c>
      <c r="G5539" s="3" t="s">
        <v>62</v>
      </c>
      <c r="I5539" s="3" t="s">
        <v>62</v>
      </c>
      <c r="J5539" s="3" t="s">
        <v>62</v>
      </c>
      <c r="K5539" s="3" t="s">
        <v>63</v>
      </c>
      <c r="L5539" s="2" t="s">
        <v>53102</v>
      </c>
      <c r="M5539" s="2" t="s">
        <v>53103</v>
      </c>
      <c r="N5539" s="3" t="s">
        <v>167</v>
      </c>
      <c r="P5539" s="3" t="s">
        <v>65</v>
      </c>
      <c r="Q5539" s="2" t="s">
        <v>53104</v>
      </c>
      <c r="R5539" s="3" t="s">
        <v>66</v>
      </c>
      <c r="S5539" s="4">
        <v>3</v>
      </c>
      <c r="T5539" s="4">
        <v>3</v>
      </c>
      <c r="U5539" s="5" t="s">
        <v>53105</v>
      </c>
      <c r="V5539" s="5" t="s">
        <v>53105</v>
      </c>
      <c r="W5539" s="5" t="s">
        <v>67</v>
      </c>
      <c r="X5539" s="5" t="s">
        <v>67</v>
      </c>
      <c r="Y5539" s="4">
        <v>127</v>
      </c>
      <c r="Z5539" s="4">
        <v>12</v>
      </c>
      <c r="AA5539" s="4">
        <v>13</v>
      </c>
      <c r="AB5539" s="4">
        <v>2</v>
      </c>
      <c r="AC5539" s="4">
        <v>3</v>
      </c>
      <c r="AD5539" s="4">
        <v>60</v>
      </c>
      <c r="AE5539" s="4">
        <v>62</v>
      </c>
      <c r="AF5539" s="4">
        <v>1</v>
      </c>
      <c r="AG5539" s="4">
        <v>2</v>
      </c>
      <c r="AH5539" s="4">
        <v>54</v>
      </c>
      <c r="AI5539" s="4">
        <v>54</v>
      </c>
      <c r="AJ5539" s="4">
        <v>10</v>
      </c>
      <c r="AK5539" s="4">
        <v>11</v>
      </c>
      <c r="AL5539" s="4">
        <v>34</v>
      </c>
      <c r="AM5539" s="4">
        <v>35</v>
      </c>
      <c r="AN5539" s="4">
        <v>0</v>
      </c>
      <c r="AO5539" s="4">
        <v>0</v>
      </c>
      <c r="AP5539" s="4">
        <v>10</v>
      </c>
      <c r="AQ5539" s="4">
        <v>11</v>
      </c>
      <c r="AR5539" s="3" t="s">
        <v>62</v>
      </c>
      <c r="AS5539" s="3" t="s">
        <v>62</v>
      </c>
      <c r="AT5539" s="3" t="s">
        <v>62</v>
      </c>
      <c r="AV5539" s="6" t="str">
        <f>HYPERLINK("http://mcgill.on.worldcat.org/oclc/40752418","Catalog Record")</f>
        <v>Catalog Record</v>
      </c>
      <c r="AW5539" s="6" t="str">
        <f>HYPERLINK("http://www.worldcat.org/oclc/40752418","WorldCat Record")</f>
        <v>WorldCat Record</v>
      </c>
      <c r="AX5539" s="3" t="s">
        <v>53106</v>
      </c>
      <c r="AY5539" s="3" t="s">
        <v>53107</v>
      </c>
      <c r="AZ5539" s="3" t="s">
        <v>53108</v>
      </c>
      <c r="BA5539" s="3" t="s">
        <v>53108</v>
      </c>
      <c r="BB5539" s="3" t="s">
        <v>53109</v>
      </c>
      <c r="BC5539" s="3" t="s">
        <v>142</v>
      </c>
      <c r="BD5539" s="3" t="s">
        <v>68</v>
      </c>
      <c r="BE5539" s="3" t="s">
        <v>53110</v>
      </c>
      <c r="BF5539" s="3" t="s">
        <v>53109</v>
      </c>
      <c r="BG5539" s="3" t="s">
        <v>53111</v>
      </c>
    </row>
    <row r="5540" spans="1:59" ht="57" x14ac:dyDescent="0.45">
      <c r="A5540" s="2" t="s">
        <v>59</v>
      </c>
      <c r="B5540" s="2" t="s">
        <v>60</v>
      </c>
      <c r="C5540" s="2" t="s">
        <v>53112</v>
      </c>
      <c r="D5540" s="2" t="s">
        <v>53113</v>
      </c>
      <c r="E5540" s="2" t="s">
        <v>53114</v>
      </c>
      <c r="G5540" s="3" t="s">
        <v>62</v>
      </c>
      <c r="I5540" s="3" t="s">
        <v>62</v>
      </c>
      <c r="J5540" s="3" t="s">
        <v>62</v>
      </c>
      <c r="K5540" s="3" t="s">
        <v>63</v>
      </c>
      <c r="M5540" s="2" t="s">
        <v>5349</v>
      </c>
      <c r="N5540" s="3" t="s">
        <v>1239</v>
      </c>
      <c r="P5540" s="3" t="s">
        <v>65</v>
      </c>
      <c r="R5540" s="3" t="s">
        <v>66</v>
      </c>
      <c r="S5540" s="4">
        <v>31</v>
      </c>
      <c r="T5540" s="4">
        <v>31</v>
      </c>
      <c r="U5540" s="5" t="s">
        <v>53115</v>
      </c>
      <c r="V5540" s="5" t="s">
        <v>53115</v>
      </c>
      <c r="W5540" s="5" t="s">
        <v>67</v>
      </c>
      <c r="X5540" s="5" t="s">
        <v>67</v>
      </c>
      <c r="Y5540" s="4">
        <v>375</v>
      </c>
      <c r="Z5540" s="4">
        <v>25</v>
      </c>
      <c r="AA5540" s="4">
        <v>28</v>
      </c>
      <c r="AB5540" s="4">
        <v>3</v>
      </c>
      <c r="AC5540" s="4">
        <v>6</v>
      </c>
      <c r="AD5540" s="4">
        <v>118</v>
      </c>
      <c r="AE5540" s="4">
        <v>121</v>
      </c>
      <c r="AF5540" s="4">
        <v>2</v>
      </c>
      <c r="AG5540" s="4">
        <v>5</v>
      </c>
      <c r="AH5540" s="4">
        <v>103</v>
      </c>
      <c r="AI5540" s="4">
        <v>104</v>
      </c>
      <c r="AJ5540" s="4">
        <v>16</v>
      </c>
      <c r="AK5540" s="4">
        <v>19</v>
      </c>
      <c r="AL5540" s="4">
        <v>54</v>
      </c>
      <c r="AM5540" s="4">
        <v>54</v>
      </c>
      <c r="AN5540" s="4">
        <v>0</v>
      </c>
      <c r="AO5540" s="4">
        <v>0</v>
      </c>
      <c r="AP5540" s="4">
        <v>22</v>
      </c>
      <c r="AQ5540" s="4">
        <v>24</v>
      </c>
      <c r="AR5540" s="3" t="s">
        <v>62</v>
      </c>
      <c r="AS5540" s="3" t="s">
        <v>62</v>
      </c>
      <c r="AT5540" s="3" t="s">
        <v>62</v>
      </c>
      <c r="AV5540" s="6" t="str">
        <f>HYPERLINK("http://mcgill.on.worldcat.org/oclc/19325888","Catalog Record")</f>
        <v>Catalog Record</v>
      </c>
      <c r="AW5540" s="6" t="str">
        <f>HYPERLINK("http://www.worldcat.org/oclc/19325888","WorldCat Record")</f>
        <v>WorldCat Record</v>
      </c>
      <c r="AX5540" s="3" t="s">
        <v>53116</v>
      </c>
      <c r="AY5540" s="3" t="s">
        <v>53117</v>
      </c>
      <c r="AZ5540" s="3" t="s">
        <v>53118</v>
      </c>
      <c r="BA5540" s="3" t="s">
        <v>53118</v>
      </c>
      <c r="BB5540" s="3" t="s">
        <v>53119</v>
      </c>
      <c r="BC5540" s="3" t="s">
        <v>142</v>
      </c>
      <c r="BD5540" s="3" t="s">
        <v>68</v>
      </c>
      <c r="BE5540" s="3" t="s">
        <v>53120</v>
      </c>
      <c r="BF5540" s="3" t="s">
        <v>53119</v>
      </c>
      <c r="BG5540" s="3" t="s">
        <v>53121</v>
      </c>
    </row>
    <row r="5541" spans="1:59" ht="57" x14ac:dyDescent="0.45">
      <c r="A5541" s="2" t="s">
        <v>59</v>
      </c>
      <c r="B5541" s="2" t="s">
        <v>60</v>
      </c>
      <c r="C5541" s="2" t="s">
        <v>53122</v>
      </c>
      <c r="D5541" s="2" t="s">
        <v>53123</v>
      </c>
      <c r="E5541" s="2" t="s">
        <v>53124</v>
      </c>
      <c r="G5541" s="3" t="s">
        <v>62</v>
      </c>
      <c r="I5541" s="3" t="s">
        <v>62</v>
      </c>
      <c r="J5541" s="3" t="s">
        <v>62</v>
      </c>
      <c r="K5541" s="3" t="s">
        <v>63</v>
      </c>
      <c r="L5541" s="2" t="s">
        <v>53125</v>
      </c>
      <c r="M5541" s="2" t="s">
        <v>3925</v>
      </c>
      <c r="N5541" s="3" t="s">
        <v>149</v>
      </c>
      <c r="P5541" s="3" t="s">
        <v>65</v>
      </c>
      <c r="Q5541" s="2" t="s">
        <v>53126</v>
      </c>
      <c r="R5541" s="3" t="s">
        <v>66</v>
      </c>
      <c r="S5541" s="4">
        <v>0</v>
      </c>
      <c r="T5541" s="4">
        <v>0</v>
      </c>
      <c r="W5541" s="5" t="s">
        <v>67</v>
      </c>
      <c r="X5541" s="5" t="s">
        <v>67</v>
      </c>
      <c r="Y5541" s="4">
        <v>79</v>
      </c>
      <c r="Z5541" s="4">
        <v>12</v>
      </c>
      <c r="AA5541" s="4">
        <v>99</v>
      </c>
      <c r="AB5541" s="4">
        <v>1</v>
      </c>
      <c r="AC5541" s="4">
        <v>17</v>
      </c>
      <c r="AD5541" s="4">
        <v>40</v>
      </c>
      <c r="AE5541" s="4">
        <v>116</v>
      </c>
      <c r="AF5541" s="4">
        <v>0</v>
      </c>
      <c r="AG5541" s="4">
        <v>8</v>
      </c>
      <c r="AH5541" s="4">
        <v>34</v>
      </c>
      <c r="AI5541" s="4">
        <v>79</v>
      </c>
      <c r="AJ5541" s="4">
        <v>7</v>
      </c>
      <c r="AK5541" s="4">
        <v>23</v>
      </c>
      <c r="AL5541" s="4">
        <v>25</v>
      </c>
      <c r="AM5541" s="4">
        <v>42</v>
      </c>
      <c r="AN5541" s="4">
        <v>0</v>
      </c>
      <c r="AO5541" s="4">
        <v>0</v>
      </c>
      <c r="AP5541" s="4">
        <v>9</v>
      </c>
      <c r="AQ5541" s="4">
        <v>44</v>
      </c>
      <c r="AR5541" s="3" t="s">
        <v>62</v>
      </c>
      <c r="AS5541" s="3" t="s">
        <v>62</v>
      </c>
      <c r="AT5541" s="3" t="s">
        <v>62</v>
      </c>
      <c r="AV5541" s="6" t="str">
        <f>HYPERLINK("http://mcgill.on.worldcat.org/oclc/527702841","Catalog Record")</f>
        <v>Catalog Record</v>
      </c>
      <c r="AW5541" s="6" t="str">
        <f>HYPERLINK("http://www.worldcat.org/oclc/527702841","WorldCat Record")</f>
        <v>WorldCat Record</v>
      </c>
      <c r="AX5541" s="3" t="s">
        <v>53127</v>
      </c>
      <c r="AY5541" s="3" t="s">
        <v>53128</v>
      </c>
      <c r="AZ5541" s="3" t="s">
        <v>53129</v>
      </c>
      <c r="BA5541" s="3" t="s">
        <v>53129</v>
      </c>
      <c r="BB5541" s="3" t="s">
        <v>53130</v>
      </c>
      <c r="BC5541" s="3" t="s">
        <v>142</v>
      </c>
      <c r="BD5541" s="3" t="s">
        <v>68</v>
      </c>
      <c r="BE5541" s="3" t="s">
        <v>53131</v>
      </c>
      <c r="BF5541" s="3" t="s">
        <v>53130</v>
      </c>
      <c r="BG5541" s="3" t="s">
        <v>53132</v>
      </c>
    </row>
    <row r="5542" spans="1:59" ht="57" x14ac:dyDescent="0.45">
      <c r="A5542" s="2" t="s">
        <v>59</v>
      </c>
      <c r="B5542" s="2" t="s">
        <v>60</v>
      </c>
      <c r="C5542" s="2" t="s">
        <v>53133</v>
      </c>
      <c r="D5542" s="2" t="s">
        <v>53134</v>
      </c>
      <c r="E5542" s="2" t="s">
        <v>53135</v>
      </c>
      <c r="G5542" s="3" t="s">
        <v>62</v>
      </c>
      <c r="I5542" s="3" t="s">
        <v>62</v>
      </c>
      <c r="J5542" s="3" t="s">
        <v>62</v>
      </c>
      <c r="K5542" s="3" t="s">
        <v>63</v>
      </c>
      <c r="M5542" s="2" t="s">
        <v>48624</v>
      </c>
      <c r="N5542" s="3" t="s">
        <v>5180</v>
      </c>
      <c r="P5542" s="3" t="s">
        <v>65</v>
      </c>
      <c r="Q5542" s="2" t="s">
        <v>53136</v>
      </c>
      <c r="R5542" s="3" t="s">
        <v>66</v>
      </c>
      <c r="S5542" s="4">
        <v>0</v>
      </c>
      <c r="T5542" s="4">
        <v>0</v>
      </c>
      <c r="W5542" s="5" t="s">
        <v>67</v>
      </c>
      <c r="X5542" s="5" t="s">
        <v>67</v>
      </c>
      <c r="Y5542" s="4">
        <v>43</v>
      </c>
      <c r="Z5542" s="4">
        <v>2</v>
      </c>
      <c r="AA5542" s="4">
        <v>6</v>
      </c>
      <c r="AB5542" s="4">
        <v>1</v>
      </c>
      <c r="AC5542" s="4">
        <v>3</v>
      </c>
      <c r="AD5542" s="4">
        <v>27</v>
      </c>
      <c r="AE5542" s="4">
        <v>31</v>
      </c>
      <c r="AF5542" s="4">
        <v>0</v>
      </c>
      <c r="AG5542" s="4">
        <v>1</v>
      </c>
      <c r="AH5542" s="4">
        <v>26</v>
      </c>
      <c r="AI5542" s="4">
        <v>28</v>
      </c>
      <c r="AJ5542" s="4">
        <v>1</v>
      </c>
      <c r="AK5542" s="4">
        <v>4</v>
      </c>
      <c r="AL5542" s="4">
        <v>21</v>
      </c>
      <c r="AM5542" s="4">
        <v>22</v>
      </c>
      <c r="AN5542" s="4">
        <v>0</v>
      </c>
      <c r="AO5542" s="4">
        <v>0</v>
      </c>
      <c r="AP5542" s="4">
        <v>1</v>
      </c>
      <c r="AQ5542" s="4">
        <v>3</v>
      </c>
      <c r="AR5542" s="3" t="s">
        <v>62</v>
      </c>
      <c r="AS5542" s="3" t="s">
        <v>62</v>
      </c>
      <c r="AT5542" s="3" t="s">
        <v>62</v>
      </c>
      <c r="AV5542" s="6" t="str">
        <f>HYPERLINK("http://mcgill.on.worldcat.org/oclc/943591098","Catalog Record")</f>
        <v>Catalog Record</v>
      </c>
      <c r="AW5542" s="6" t="str">
        <f>HYPERLINK("http://www.worldcat.org/oclc/943591098","WorldCat Record")</f>
        <v>WorldCat Record</v>
      </c>
      <c r="AX5542" s="3" t="s">
        <v>53137</v>
      </c>
      <c r="AY5542" s="3" t="s">
        <v>53138</v>
      </c>
      <c r="AZ5542" s="3" t="s">
        <v>53139</v>
      </c>
      <c r="BA5542" s="3" t="s">
        <v>53139</v>
      </c>
      <c r="BB5542" s="3" t="s">
        <v>53140</v>
      </c>
      <c r="BC5542" s="3" t="s">
        <v>142</v>
      </c>
      <c r="BD5542" s="3" t="s">
        <v>68</v>
      </c>
      <c r="BE5542" s="3" t="s">
        <v>53141</v>
      </c>
      <c r="BF5542" s="3" t="s">
        <v>53140</v>
      </c>
      <c r="BG5542" s="3" t="s">
        <v>53142</v>
      </c>
    </row>
    <row r="5543" spans="1:59" ht="57" x14ac:dyDescent="0.45">
      <c r="A5543" s="2" t="s">
        <v>59</v>
      </c>
      <c r="B5543" s="2" t="s">
        <v>60</v>
      </c>
      <c r="C5543" s="2" t="s">
        <v>53143</v>
      </c>
      <c r="D5543" s="2" t="s">
        <v>53144</v>
      </c>
      <c r="E5543" s="2" t="s">
        <v>53145</v>
      </c>
      <c r="G5543" s="3" t="s">
        <v>62</v>
      </c>
      <c r="I5543" s="3" t="s">
        <v>62</v>
      </c>
      <c r="J5543" s="3" t="s">
        <v>62</v>
      </c>
      <c r="K5543" s="3" t="s">
        <v>63</v>
      </c>
      <c r="L5543" s="2" t="s">
        <v>53146</v>
      </c>
      <c r="M5543" s="2" t="s">
        <v>14299</v>
      </c>
      <c r="N5543" s="3" t="s">
        <v>125</v>
      </c>
      <c r="P5543" s="3" t="s">
        <v>65</v>
      </c>
      <c r="Q5543" s="2" t="s">
        <v>53147</v>
      </c>
      <c r="R5543" s="3" t="s">
        <v>66</v>
      </c>
      <c r="S5543" s="4">
        <v>69</v>
      </c>
      <c r="T5543" s="4">
        <v>69</v>
      </c>
      <c r="U5543" s="5" t="s">
        <v>18638</v>
      </c>
      <c r="V5543" s="5" t="s">
        <v>18638</v>
      </c>
      <c r="W5543" s="5" t="s">
        <v>67</v>
      </c>
      <c r="X5543" s="5" t="s">
        <v>67</v>
      </c>
      <c r="Y5543" s="4">
        <v>311</v>
      </c>
      <c r="Z5543" s="4">
        <v>22</v>
      </c>
      <c r="AA5543" s="4">
        <v>94</v>
      </c>
      <c r="AB5543" s="4">
        <v>1</v>
      </c>
      <c r="AC5543" s="4">
        <v>17</v>
      </c>
      <c r="AD5543" s="4">
        <v>108</v>
      </c>
      <c r="AE5543" s="4">
        <v>148</v>
      </c>
      <c r="AF5543" s="4">
        <v>0</v>
      </c>
      <c r="AG5543" s="4">
        <v>8</v>
      </c>
      <c r="AH5543" s="4">
        <v>97</v>
      </c>
      <c r="AI5543" s="4">
        <v>108</v>
      </c>
      <c r="AJ5543" s="4">
        <v>16</v>
      </c>
      <c r="AK5543" s="4">
        <v>26</v>
      </c>
      <c r="AL5543" s="4">
        <v>57</v>
      </c>
      <c r="AM5543" s="4">
        <v>60</v>
      </c>
      <c r="AN5543" s="4">
        <v>0</v>
      </c>
      <c r="AO5543" s="4">
        <v>0</v>
      </c>
      <c r="AP5543" s="4">
        <v>19</v>
      </c>
      <c r="AQ5543" s="4">
        <v>49</v>
      </c>
      <c r="AR5543" s="3" t="s">
        <v>62</v>
      </c>
      <c r="AS5543" s="3" t="s">
        <v>62</v>
      </c>
      <c r="AT5543" s="3" t="s">
        <v>62</v>
      </c>
      <c r="AV5543" s="6" t="str">
        <f>HYPERLINK("http://mcgill.on.worldcat.org/oclc/20797757","Catalog Record")</f>
        <v>Catalog Record</v>
      </c>
      <c r="AW5543" s="6" t="str">
        <f>HYPERLINK("http://www.worldcat.org/oclc/20797757","WorldCat Record")</f>
        <v>WorldCat Record</v>
      </c>
      <c r="AX5543" s="3" t="s">
        <v>53148</v>
      </c>
      <c r="AY5543" s="3" t="s">
        <v>53149</v>
      </c>
      <c r="AZ5543" s="3" t="s">
        <v>53150</v>
      </c>
      <c r="BA5543" s="3" t="s">
        <v>53150</v>
      </c>
      <c r="BB5543" s="3" t="s">
        <v>53151</v>
      </c>
      <c r="BC5543" s="3" t="s">
        <v>142</v>
      </c>
      <c r="BD5543" s="3" t="s">
        <v>68</v>
      </c>
      <c r="BE5543" s="3" t="s">
        <v>53152</v>
      </c>
      <c r="BF5543" s="3" t="s">
        <v>53151</v>
      </c>
      <c r="BG5543" s="3" t="s">
        <v>53153</v>
      </c>
    </row>
    <row r="5544" spans="1:59" ht="57" x14ac:dyDescent="0.45">
      <c r="A5544" s="2" t="s">
        <v>59</v>
      </c>
      <c r="B5544" s="2" t="s">
        <v>60</v>
      </c>
      <c r="C5544" s="2" t="s">
        <v>53154</v>
      </c>
      <c r="D5544" s="2" t="s">
        <v>53155</v>
      </c>
      <c r="E5544" s="2" t="s">
        <v>53156</v>
      </c>
      <c r="G5544" s="3" t="s">
        <v>62</v>
      </c>
      <c r="I5544" s="3" t="s">
        <v>62</v>
      </c>
      <c r="J5544" s="3" t="s">
        <v>62</v>
      </c>
      <c r="K5544" s="3" t="s">
        <v>63</v>
      </c>
      <c r="L5544" s="2" t="s">
        <v>53157</v>
      </c>
      <c r="M5544" s="2" t="s">
        <v>45485</v>
      </c>
      <c r="N5544" s="3" t="s">
        <v>1604</v>
      </c>
      <c r="P5544" s="3" t="s">
        <v>65</v>
      </c>
      <c r="Q5544" s="2" t="s">
        <v>48442</v>
      </c>
      <c r="R5544" s="3" t="s">
        <v>66</v>
      </c>
      <c r="S5544" s="4">
        <v>34</v>
      </c>
      <c r="T5544" s="4">
        <v>34</v>
      </c>
      <c r="U5544" s="5" t="s">
        <v>53158</v>
      </c>
      <c r="V5544" s="5" t="s">
        <v>53158</v>
      </c>
      <c r="W5544" s="5" t="s">
        <v>67</v>
      </c>
      <c r="X5544" s="5" t="s">
        <v>67</v>
      </c>
      <c r="Y5544" s="4">
        <v>300</v>
      </c>
      <c r="Z5544" s="4">
        <v>26</v>
      </c>
      <c r="AA5544" s="4">
        <v>33</v>
      </c>
      <c r="AB5544" s="4">
        <v>2</v>
      </c>
      <c r="AC5544" s="4">
        <v>7</v>
      </c>
      <c r="AD5544" s="4">
        <v>112</v>
      </c>
      <c r="AE5544" s="4">
        <v>121</v>
      </c>
      <c r="AF5544" s="4">
        <v>1</v>
      </c>
      <c r="AG5544" s="4">
        <v>5</v>
      </c>
      <c r="AH5544" s="4">
        <v>95</v>
      </c>
      <c r="AI5544" s="4">
        <v>100</v>
      </c>
      <c r="AJ5544" s="4">
        <v>17</v>
      </c>
      <c r="AK5544" s="4">
        <v>21</v>
      </c>
      <c r="AL5544" s="4">
        <v>53</v>
      </c>
      <c r="AM5544" s="4">
        <v>55</v>
      </c>
      <c r="AN5544" s="4">
        <v>0</v>
      </c>
      <c r="AO5544" s="4">
        <v>0</v>
      </c>
      <c r="AP5544" s="4">
        <v>24</v>
      </c>
      <c r="AQ5544" s="4">
        <v>28</v>
      </c>
      <c r="AR5544" s="3" t="s">
        <v>62</v>
      </c>
      <c r="AS5544" s="3" t="s">
        <v>62</v>
      </c>
      <c r="AT5544" s="3" t="s">
        <v>62</v>
      </c>
      <c r="AV5544" s="6" t="str">
        <f>HYPERLINK("http://mcgill.on.worldcat.org/oclc/28721893","Catalog Record")</f>
        <v>Catalog Record</v>
      </c>
      <c r="AW5544" s="6" t="str">
        <f>HYPERLINK("http://www.worldcat.org/oclc/28721893","WorldCat Record")</f>
        <v>WorldCat Record</v>
      </c>
      <c r="AX5544" s="3" t="s">
        <v>53159</v>
      </c>
      <c r="AY5544" s="3" t="s">
        <v>53160</v>
      </c>
      <c r="AZ5544" s="3" t="s">
        <v>53161</v>
      </c>
      <c r="BA5544" s="3" t="s">
        <v>53161</v>
      </c>
      <c r="BB5544" s="3" t="s">
        <v>53162</v>
      </c>
      <c r="BC5544" s="3" t="s">
        <v>142</v>
      </c>
      <c r="BD5544" s="3" t="s">
        <v>68</v>
      </c>
      <c r="BE5544" s="3" t="s">
        <v>53163</v>
      </c>
      <c r="BF5544" s="3" t="s">
        <v>53162</v>
      </c>
      <c r="BG5544" s="3" t="s">
        <v>53164</v>
      </c>
    </row>
    <row r="5545" spans="1:59" ht="57" x14ac:dyDescent="0.45">
      <c r="A5545" s="2" t="s">
        <v>59</v>
      </c>
      <c r="B5545" s="2" t="s">
        <v>60</v>
      </c>
      <c r="C5545" s="2" t="s">
        <v>53165</v>
      </c>
      <c r="D5545" s="2" t="s">
        <v>53166</v>
      </c>
      <c r="E5545" s="2" t="s">
        <v>53167</v>
      </c>
      <c r="G5545" s="3" t="s">
        <v>62</v>
      </c>
      <c r="I5545" s="3" t="s">
        <v>62</v>
      </c>
      <c r="J5545" s="3" t="s">
        <v>62</v>
      </c>
      <c r="K5545" s="3" t="s">
        <v>63</v>
      </c>
      <c r="M5545" s="2" t="s">
        <v>53068</v>
      </c>
      <c r="N5545" s="3" t="s">
        <v>945</v>
      </c>
      <c r="P5545" s="3" t="s">
        <v>65</v>
      </c>
      <c r="Q5545" s="2" t="s">
        <v>53168</v>
      </c>
      <c r="R5545" s="3" t="s">
        <v>66</v>
      </c>
      <c r="S5545" s="4">
        <v>11</v>
      </c>
      <c r="T5545" s="4">
        <v>11</v>
      </c>
      <c r="U5545" s="5" t="s">
        <v>9189</v>
      </c>
      <c r="V5545" s="5" t="s">
        <v>9189</v>
      </c>
      <c r="W5545" s="5" t="s">
        <v>67</v>
      </c>
      <c r="X5545" s="5" t="s">
        <v>67</v>
      </c>
      <c r="Y5545" s="4">
        <v>147</v>
      </c>
      <c r="Z5545" s="4">
        <v>11</v>
      </c>
      <c r="AA5545" s="4">
        <v>11</v>
      </c>
      <c r="AB5545" s="4">
        <v>1</v>
      </c>
      <c r="AC5545" s="4">
        <v>1</v>
      </c>
      <c r="AD5545" s="4">
        <v>51</v>
      </c>
      <c r="AE5545" s="4">
        <v>51</v>
      </c>
      <c r="AF5545" s="4">
        <v>0</v>
      </c>
      <c r="AG5545" s="4">
        <v>0</v>
      </c>
      <c r="AH5545" s="4">
        <v>45</v>
      </c>
      <c r="AI5545" s="4">
        <v>45</v>
      </c>
      <c r="AJ5545" s="4">
        <v>9</v>
      </c>
      <c r="AK5545" s="4">
        <v>9</v>
      </c>
      <c r="AL5545" s="4">
        <v>30</v>
      </c>
      <c r="AM5545" s="4">
        <v>30</v>
      </c>
      <c r="AN5545" s="4">
        <v>0</v>
      </c>
      <c r="AO5545" s="4">
        <v>0</v>
      </c>
      <c r="AP5545" s="4">
        <v>9</v>
      </c>
      <c r="AQ5545" s="4">
        <v>9</v>
      </c>
      <c r="AR5545" s="3" t="s">
        <v>62</v>
      </c>
      <c r="AS5545" s="3" t="s">
        <v>62</v>
      </c>
      <c r="AT5545" s="3" t="s">
        <v>62</v>
      </c>
      <c r="AV5545" s="6" t="str">
        <f>HYPERLINK("http://mcgill.on.worldcat.org/oclc/70122578","Catalog Record")</f>
        <v>Catalog Record</v>
      </c>
      <c r="AW5545" s="6" t="str">
        <f>HYPERLINK("http://www.worldcat.org/oclc/70122578","WorldCat Record")</f>
        <v>WorldCat Record</v>
      </c>
      <c r="AX5545" s="3" t="s">
        <v>53169</v>
      </c>
      <c r="AY5545" s="3" t="s">
        <v>53170</v>
      </c>
      <c r="AZ5545" s="3" t="s">
        <v>53171</v>
      </c>
      <c r="BA5545" s="3" t="s">
        <v>53171</v>
      </c>
      <c r="BB5545" s="3" t="s">
        <v>53172</v>
      </c>
      <c r="BC5545" s="3" t="s">
        <v>142</v>
      </c>
      <c r="BD5545" s="3" t="s">
        <v>68</v>
      </c>
      <c r="BE5545" s="3" t="s">
        <v>53173</v>
      </c>
      <c r="BF5545" s="3" t="s">
        <v>53172</v>
      </c>
      <c r="BG5545" s="3" t="s">
        <v>53174</v>
      </c>
    </row>
    <row r="5546" spans="1:59" ht="57" x14ac:dyDescent="0.45">
      <c r="A5546" s="2" t="s">
        <v>59</v>
      </c>
      <c r="B5546" s="2" t="s">
        <v>60</v>
      </c>
      <c r="C5546" s="2" t="s">
        <v>53175</v>
      </c>
      <c r="D5546" s="2" t="s">
        <v>53176</v>
      </c>
      <c r="E5546" s="2" t="s">
        <v>53177</v>
      </c>
      <c r="G5546" s="3" t="s">
        <v>62</v>
      </c>
      <c r="I5546" s="3" t="s">
        <v>62</v>
      </c>
      <c r="J5546" s="3" t="s">
        <v>62</v>
      </c>
      <c r="K5546" s="3" t="s">
        <v>63</v>
      </c>
      <c r="L5546" s="2" t="s">
        <v>53178</v>
      </c>
      <c r="M5546" s="2" t="s">
        <v>6056</v>
      </c>
      <c r="N5546" s="3" t="s">
        <v>945</v>
      </c>
      <c r="P5546" s="3" t="s">
        <v>65</v>
      </c>
      <c r="Q5546" s="2" t="s">
        <v>53179</v>
      </c>
      <c r="R5546" s="3" t="s">
        <v>66</v>
      </c>
      <c r="S5546" s="4">
        <v>2</v>
      </c>
      <c r="T5546" s="4">
        <v>2</v>
      </c>
      <c r="U5546" s="5" t="s">
        <v>1358</v>
      </c>
      <c r="V5546" s="5" t="s">
        <v>1358</v>
      </c>
      <c r="W5546" s="5" t="s">
        <v>67</v>
      </c>
      <c r="X5546" s="5" t="s">
        <v>67</v>
      </c>
      <c r="Y5546" s="4">
        <v>57</v>
      </c>
      <c r="Z5546" s="4">
        <v>8</v>
      </c>
      <c r="AA5546" s="4">
        <v>94</v>
      </c>
      <c r="AB5546" s="4">
        <v>1</v>
      </c>
      <c r="AC5546" s="4">
        <v>17</v>
      </c>
      <c r="AD5546" s="4">
        <v>34</v>
      </c>
      <c r="AE5546" s="4">
        <v>108</v>
      </c>
      <c r="AF5546" s="4">
        <v>0</v>
      </c>
      <c r="AG5546" s="4">
        <v>8</v>
      </c>
      <c r="AH5546" s="4">
        <v>32</v>
      </c>
      <c r="AI5546" s="4">
        <v>73</v>
      </c>
      <c r="AJ5546" s="4">
        <v>6</v>
      </c>
      <c r="AK5546" s="4">
        <v>21</v>
      </c>
      <c r="AL5546" s="4">
        <v>22</v>
      </c>
      <c r="AM5546" s="4">
        <v>36</v>
      </c>
      <c r="AN5546" s="4">
        <v>0</v>
      </c>
      <c r="AO5546" s="4">
        <v>0</v>
      </c>
      <c r="AP5546" s="4">
        <v>6</v>
      </c>
      <c r="AQ5546" s="4">
        <v>42</v>
      </c>
      <c r="AR5546" s="3" t="s">
        <v>62</v>
      </c>
      <c r="AS5546" s="3" t="s">
        <v>62</v>
      </c>
      <c r="AT5546" s="3" t="s">
        <v>62</v>
      </c>
      <c r="AV5546" s="6" t="str">
        <f>HYPERLINK("http://mcgill.on.worldcat.org/oclc/167508622","Catalog Record")</f>
        <v>Catalog Record</v>
      </c>
      <c r="AW5546" s="6" t="str">
        <f>HYPERLINK("http://www.worldcat.org/oclc/167508622","WorldCat Record")</f>
        <v>WorldCat Record</v>
      </c>
      <c r="AX5546" s="3" t="s">
        <v>53180</v>
      </c>
      <c r="AY5546" s="3" t="s">
        <v>53181</v>
      </c>
      <c r="AZ5546" s="3" t="s">
        <v>53182</v>
      </c>
      <c r="BA5546" s="3" t="s">
        <v>53182</v>
      </c>
      <c r="BB5546" s="3" t="s">
        <v>53183</v>
      </c>
      <c r="BC5546" s="3" t="s">
        <v>142</v>
      </c>
      <c r="BD5546" s="3" t="s">
        <v>68</v>
      </c>
      <c r="BE5546" s="3" t="s">
        <v>53184</v>
      </c>
      <c r="BF5546" s="3" t="s">
        <v>53183</v>
      </c>
      <c r="BG5546" s="3" t="s">
        <v>53185</v>
      </c>
    </row>
    <row r="5547" spans="1:59" ht="57" x14ac:dyDescent="0.45">
      <c r="A5547" s="2" t="s">
        <v>59</v>
      </c>
      <c r="B5547" s="2" t="s">
        <v>60</v>
      </c>
      <c r="C5547" s="2" t="s">
        <v>53186</v>
      </c>
      <c r="D5547" s="2" t="s">
        <v>53187</v>
      </c>
      <c r="E5547" s="2" t="s">
        <v>53188</v>
      </c>
      <c r="G5547" s="3" t="s">
        <v>62</v>
      </c>
      <c r="I5547" s="3" t="s">
        <v>62</v>
      </c>
      <c r="J5547" s="3" t="s">
        <v>62</v>
      </c>
      <c r="K5547" s="3" t="s">
        <v>63</v>
      </c>
      <c r="L5547" s="2" t="s">
        <v>53189</v>
      </c>
      <c r="M5547" s="2" t="s">
        <v>53190</v>
      </c>
      <c r="N5547" s="3" t="s">
        <v>13108</v>
      </c>
      <c r="P5547" s="3" t="s">
        <v>110</v>
      </c>
      <c r="Q5547" s="2" t="s">
        <v>53191</v>
      </c>
      <c r="R5547" s="3" t="s">
        <v>66</v>
      </c>
      <c r="S5547" s="4">
        <v>3</v>
      </c>
      <c r="T5547" s="4">
        <v>3</v>
      </c>
      <c r="U5547" s="5" t="s">
        <v>11578</v>
      </c>
      <c r="V5547" s="5" t="s">
        <v>11578</v>
      </c>
      <c r="W5547" s="5" t="s">
        <v>67</v>
      </c>
      <c r="X5547" s="5" t="s">
        <v>67</v>
      </c>
      <c r="Y5547" s="4">
        <v>116</v>
      </c>
      <c r="Z5547" s="4">
        <v>13</v>
      </c>
      <c r="AA5547" s="4">
        <v>28</v>
      </c>
      <c r="AB5547" s="4">
        <v>1</v>
      </c>
      <c r="AC5547" s="4">
        <v>8</v>
      </c>
      <c r="AD5547" s="4">
        <v>50</v>
      </c>
      <c r="AE5547" s="4">
        <v>88</v>
      </c>
      <c r="AF5547" s="4">
        <v>0</v>
      </c>
      <c r="AG5547" s="4">
        <v>5</v>
      </c>
      <c r="AH5547" s="4">
        <v>44</v>
      </c>
      <c r="AI5547" s="4">
        <v>74</v>
      </c>
      <c r="AJ5547" s="4">
        <v>9</v>
      </c>
      <c r="AK5547" s="4">
        <v>19</v>
      </c>
      <c r="AL5547" s="4">
        <v>25</v>
      </c>
      <c r="AM5547" s="4">
        <v>47</v>
      </c>
      <c r="AN5547" s="4">
        <v>0</v>
      </c>
      <c r="AO5547" s="4">
        <v>1</v>
      </c>
      <c r="AP5547" s="4">
        <v>11</v>
      </c>
      <c r="AQ5547" s="4">
        <v>22</v>
      </c>
      <c r="AR5547" s="3" t="s">
        <v>62</v>
      </c>
      <c r="AS5547" s="3" t="s">
        <v>62</v>
      </c>
      <c r="AT5547" s="3" t="s">
        <v>61</v>
      </c>
      <c r="AU5547" s="6" t="str">
        <f>HYPERLINK("http://catalog.hathitrust.org/Record/009972188","HathiTrust Record")</f>
        <v>HathiTrust Record</v>
      </c>
      <c r="AV5547" s="6" t="str">
        <f>HYPERLINK("http://mcgill.on.worldcat.org/oclc/1006508","Catalog Record")</f>
        <v>Catalog Record</v>
      </c>
      <c r="AW5547" s="6" t="str">
        <f>HYPERLINK("http://www.worldcat.org/oclc/1006508","WorldCat Record")</f>
        <v>WorldCat Record</v>
      </c>
      <c r="AX5547" s="3" t="s">
        <v>53192</v>
      </c>
      <c r="AY5547" s="3" t="s">
        <v>53193</v>
      </c>
      <c r="AZ5547" s="3" t="s">
        <v>53194</v>
      </c>
      <c r="BA5547" s="3" t="s">
        <v>53194</v>
      </c>
      <c r="BB5547" s="3" t="s">
        <v>53195</v>
      </c>
      <c r="BC5547" s="3" t="s">
        <v>142</v>
      </c>
      <c r="BD5547" s="3" t="s">
        <v>68</v>
      </c>
      <c r="BF5547" s="3" t="s">
        <v>53195</v>
      </c>
      <c r="BG5547" s="3" t="s">
        <v>53196</v>
      </c>
    </row>
    <row r="5548" spans="1:59" ht="57" x14ac:dyDescent="0.45">
      <c r="A5548" s="2" t="s">
        <v>59</v>
      </c>
      <c r="B5548" s="2" t="s">
        <v>60</v>
      </c>
      <c r="C5548" s="2" t="s">
        <v>53197</v>
      </c>
      <c r="D5548" s="2" t="s">
        <v>53198</v>
      </c>
      <c r="E5548" s="2" t="s">
        <v>53199</v>
      </c>
      <c r="G5548" s="3" t="s">
        <v>62</v>
      </c>
      <c r="I5548" s="3" t="s">
        <v>62</v>
      </c>
      <c r="J5548" s="3" t="s">
        <v>62</v>
      </c>
      <c r="K5548" s="3" t="s">
        <v>63</v>
      </c>
      <c r="L5548" s="2" t="s">
        <v>53200</v>
      </c>
      <c r="M5548" s="2" t="s">
        <v>53201</v>
      </c>
      <c r="N5548" s="3" t="s">
        <v>1155</v>
      </c>
      <c r="P5548" s="3" t="s">
        <v>65</v>
      </c>
      <c r="Q5548" s="2" t="s">
        <v>29723</v>
      </c>
      <c r="R5548" s="3" t="s">
        <v>66</v>
      </c>
      <c r="S5548" s="4">
        <v>2</v>
      </c>
      <c r="T5548" s="4">
        <v>2</v>
      </c>
      <c r="U5548" s="5" t="s">
        <v>53202</v>
      </c>
      <c r="V5548" s="5" t="s">
        <v>53202</v>
      </c>
      <c r="W5548" s="5" t="s">
        <v>67</v>
      </c>
      <c r="X5548" s="5" t="s">
        <v>67</v>
      </c>
      <c r="Y5548" s="4">
        <v>155</v>
      </c>
      <c r="Z5548" s="4">
        <v>19</v>
      </c>
      <c r="AA5548" s="4">
        <v>80</v>
      </c>
      <c r="AB5548" s="4">
        <v>1</v>
      </c>
      <c r="AC5548" s="4">
        <v>14</v>
      </c>
      <c r="AD5548" s="4">
        <v>64</v>
      </c>
      <c r="AE5548" s="4">
        <v>114</v>
      </c>
      <c r="AF5548" s="4">
        <v>0</v>
      </c>
      <c r="AG5548" s="4">
        <v>8</v>
      </c>
      <c r="AH5548" s="4">
        <v>58</v>
      </c>
      <c r="AI5548" s="4">
        <v>83</v>
      </c>
      <c r="AJ5548" s="4">
        <v>13</v>
      </c>
      <c r="AK5548" s="4">
        <v>22</v>
      </c>
      <c r="AL5548" s="4">
        <v>35</v>
      </c>
      <c r="AM5548" s="4">
        <v>46</v>
      </c>
      <c r="AN5548" s="4">
        <v>0</v>
      </c>
      <c r="AO5548" s="4">
        <v>0</v>
      </c>
      <c r="AP5548" s="4">
        <v>15</v>
      </c>
      <c r="AQ5548" s="4">
        <v>41</v>
      </c>
      <c r="AR5548" s="3" t="s">
        <v>62</v>
      </c>
      <c r="AS5548" s="3" t="s">
        <v>62</v>
      </c>
      <c r="AT5548" s="3" t="s">
        <v>62</v>
      </c>
      <c r="AV5548" s="6" t="str">
        <f>HYPERLINK("http://mcgill.on.worldcat.org/oclc/769010909","Catalog Record")</f>
        <v>Catalog Record</v>
      </c>
      <c r="AW5548" s="6" t="str">
        <f>HYPERLINK("http://www.worldcat.org/oclc/769010909","WorldCat Record")</f>
        <v>WorldCat Record</v>
      </c>
      <c r="AX5548" s="3" t="s">
        <v>53203</v>
      </c>
      <c r="AY5548" s="3" t="s">
        <v>53204</v>
      </c>
      <c r="AZ5548" s="3" t="s">
        <v>53205</v>
      </c>
      <c r="BA5548" s="3" t="s">
        <v>53205</v>
      </c>
      <c r="BB5548" s="3" t="s">
        <v>53206</v>
      </c>
      <c r="BC5548" s="3" t="s">
        <v>142</v>
      </c>
      <c r="BD5548" s="3" t="s">
        <v>68</v>
      </c>
      <c r="BE5548" s="3" t="s">
        <v>53207</v>
      </c>
      <c r="BF5548" s="3" t="s">
        <v>53206</v>
      </c>
      <c r="BG5548" s="3" t="s">
        <v>53208</v>
      </c>
    </row>
    <row r="5549" spans="1:59" ht="57" x14ac:dyDescent="0.45">
      <c r="A5549" s="2" t="s">
        <v>59</v>
      </c>
      <c r="B5549" s="2" t="s">
        <v>60</v>
      </c>
      <c r="C5549" s="2" t="s">
        <v>53209</v>
      </c>
      <c r="D5549" s="2" t="s">
        <v>53210</v>
      </c>
      <c r="E5549" s="2" t="s">
        <v>53211</v>
      </c>
      <c r="G5549" s="3" t="s">
        <v>62</v>
      </c>
      <c r="I5549" s="3" t="s">
        <v>62</v>
      </c>
      <c r="J5549" s="3" t="s">
        <v>62</v>
      </c>
      <c r="K5549" s="3" t="s">
        <v>63</v>
      </c>
      <c r="M5549" s="2" t="s">
        <v>53212</v>
      </c>
      <c r="N5549" s="3" t="s">
        <v>1604</v>
      </c>
      <c r="P5549" s="3" t="s">
        <v>65</v>
      </c>
      <c r="Q5549" s="2" t="s">
        <v>53213</v>
      </c>
      <c r="R5549" s="3" t="s">
        <v>66</v>
      </c>
      <c r="S5549" s="4">
        <v>26</v>
      </c>
      <c r="T5549" s="4">
        <v>26</v>
      </c>
      <c r="U5549" s="5" t="s">
        <v>30298</v>
      </c>
      <c r="V5549" s="5" t="s">
        <v>30298</v>
      </c>
      <c r="W5549" s="5" t="s">
        <v>67</v>
      </c>
      <c r="X5549" s="5" t="s">
        <v>67</v>
      </c>
      <c r="Y5549" s="4">
        <v>124</v>
      </c>
      <c r="Z5549" s="4">
        <v>10</v>
      </c>
      <c r="AA5549" s="4">
        <v>12</v>
      </c>
      <c r="AB5549" s="4">
        <v>1</v>
      </c>
      <c r="AC5549" s="4">
        <v>3</v>
      </c>
      <c r="AD5549" s="4">
        <v>57</v>
      </c>
      <c r="AE5549" s="4">
        <v>57</v>
      </c>
      <c r="AF5549" s="4">
        <v>0</v>
      </c>
      <c r="AG5549" s="4">
        <v>0</v>
      </c>
      <c r="AH5549" s="4">
        <v>53</v>
      </c>
      <c r="AI5549" s="4">
        <v>53</v>
      </c>
      <c r="AJ5549" s="4">
        <v>8</v>
      </c>
      <c r="AK5549" s="4">
        <v>8</v>
      </c>
      <c r="AL5549" s="4">
        <v>36</v>
      </c>
      <c r="AM5549" s="4">
        <v>36</v>
      </c>
      <c r="AN5549" s="4">
        <v>0</v>
      </c>
      <c r="AO5549" s="4">
        <v>0</v>
      </c>
      <c r="AP5549" s="4">
        <v>8</v>
      </c>
      <c r="AQ5549" s="4">
        <v>8</v>
      </c>
      <c r="AR5549" s="3" t="s">
        <v>62</v>
      </c>
      <c r="AS5549" s="3" t="s">
        <v>62</v>
      </c>
      <c r="AT5549" s="3" t="s">
        <v>61</v>
      </c>
      <c r="AU5549" s="6" t="str">
        <f>HYPERLINK("http://catalog.hathitrust.org/Record/007129931","HathiTrust Record")</f>
        <v>HathiTrust Record</v>
      </c>
      <c r="AV5549" s="6" t="str">
        <f>HYPERLINK("http://mcgill.on.worldcat.org/oclc/30076916","Catalog Record")</f>
        <v>Catalog Record</v>
      </c>
      <c r="AW5549" s="6" t="str">
        <f>HYPERLINK("http://www.worldcat.org/oclc/30076916","WorldCat Record")</f>
        <v>WorldCat Record</v>
      </c>
      <c r="AX5549" s="3" t="s">
        <v>53214</v>
      </c>
      <c r="AY5549" s="3" t="s">
        <v>53215</v>
      </c>
      <c r="AZ5549" s="3" t="s">
        <v>53216</v>
      </c>
      <c r="BA5549" s="3" t="s">
        <v>53216</v>
      </c>
      <c r="BB5549" s="3" t="s">
        <v>53217</v>
      </c>
      <c r="BC5549" s="3" t="s">
        <v>142</v>
      </c>
      <c r="BD5549" s="3" t="s">
        <v>68</v>
      </c>
      <c r="BE5549" s="3" t="s">
        <v>53218</v>
      </c>
      <c r="BF5549" s="3" t="s">
        <v>53217</v>
      </c>
      <c r="BG5549" s="3" t="s">
        <v>53219</v>
      </c>
    </row>
    <row r="5550" spans="1:59" ht="57" x14ac:dyDescent="0.45">
      <c r="A5550" s="2" t="s">
        <v>59</v>
      </c>
      <c r="B5550" s="2" t="s">
        <v>60</v>
      </c>
      <c r="C5550" s="2" t="s">
        <v>53220</v>
      </c>
      <c r="D5550" s="2" t="s">
        <v>53221</v>
      </c>
      <c r="E5550" s="2" t="s">
        <v>53222</v>
      </c>
      <c r="G5550" s="3" t="s">
        <v>62</v>
      </c>
      <c r="I5550" s="3" t="s">
        <v>62</v>
      </c>
      <c r="J5550" s="3" t="s">
        <v>62</v>
      </c>
      <c r="K5550" s="3" t="s">
        <v>63</v>
      </c>
      <c r="L5550" s="2" t="s">
        <v>53223</v>
      </c>
      <c r="M5550" s="2" t="s">
        <v>541</v>
      </c>
      <c r="N5550" s="3" t="s">
        <v>542</v>
      </c>
      <c r="P5550" s="3" t="s">
        <v>65</v>
      </c>
      <c r="R5550" s="3" t="s">
        <v>66</v>
      </c>
      <c r="S5550" s="4">
        <v>4</v>
      </c>
      <c r="T5550" s="4">
        <v>4</v>
      </c>
      <c r="U5550" s="5" t="s">
        <v>2861</v>
      </c>
      <c r="V5550" s="5" t="s">
        <v>2861</v>
      </c>
      <c r="W5550" s="5" t="s">
        <v>67</v>
      </c>
      <c r="X5550" s="5" t="s">
        <v>67</v>
      </c>
      <c r="Y5550" s="4">
        <v>242</v>
      </c>
      <c r="Z5550" s="4">
        <v>19</v>
      </c>
      <c r="AA5550" s="4">
        <v>29</v>
      </c>
      <c r="AB5550" s="4">
        <v>3</v>
      </c>
      <c r="AC5550" s="4">
        <v>6</v>
      </c>
      <c r="AD5550" s="4">
        <v>97</v>
      </c>
      <c r="AE5550" s="4">
        <v>113</v>
      </c>
      <c r="AF5550" s="4">
        <v>1</v>
      </c>
      <c r="AG5550" s="4">
        <v>3</v>
      </c>
      <c r="AH5550" s="4">
        <v>90</v>
      </c>
      <c r="AI5550" s="4">
        <v>101</v>
      </c>
      <c r="AJ5550" s="4">
        <v>13</v>
      </c>
      <c r="AK5550" s="4">
        <v>20</v>
      </c>
      <c r="AL5550" s="4">
        <v>50</v>
      </c>
      <c r="AM5550" s="4">
        <v>54</v>
      </c>
      <c r="AN5550" s="4">
        <v>0</v>
      </c>
      <c r="AO5550" s="4">
        <v>0</v>
      </c>
      <c r="AP5550" s="4">
        <v>15</v>
      </c>
      <c r="AQ5550" s="4">
        <v>23</v>
      </c>
      <c r="AR5550" s="3" t="s">
        <v>62</v>
      </c>
      <c r="AS5550" s="3" t="s">
        <v>62</v>
      </c>
      <c r="AT5550" s="3" t="s">
        <v>62</v>
      </c>
      <c r="AV5550" s="6" t="str">
        <f>HYPERLINK("http://mcgill.on.worldcat.org/oclc/45487549","Catalog Record")</f>
        <v>Catalog Record</v>
      </c>
      <c r="AW5550" s="6" t="str">
        <f>HYPERLINK("http://www.worldcat.org/oclc/45487549","WorldCat Record")</f>
        <v>WorldCat Record</v>
      </c>
      <c r="AX5550" s="3" t="s">
        <v>53224</v>
      </c>
      <c r="AY5550" s="3" t="s">
        <v>53225</v>
      </c>
      <c r="AZ5550" s="3" t="s">
        <v>53226</v>
      </c>
      <c r="BA5550" s="3" t="s">
        <v>53226</v>
      </c>
      <c r="BB5550" s="3" t="s">
        <v>53227</v>
      </c>
      <c r="BC5550" s="3" t="s">
        <v>142</v>
      </c>
      <c r="BD5550" s="3" t="s">
        <v>308</v>
      </c>
      <c r="BE5550" s="3" t="s">
        <v>53228</v>
      </c>
      <c r="BF5550" s="3" t="s">
        <v>53227</v>
      </c>
      <c r="BG5550" s="3" t="s">
        <v>53229</v>
      </c>
    </row>
    <row r="5551" spans="1:59" ht="57" x14ac:dyDescent="0.45">
      <c r="A5551" s="2" t="s">
        <v>59</v>
      </c>
      <c r="B5551" s="2" t="s">
        <v>60</v>
      </c>
      <c r="C5551" s="2" t="s">
        <v>53230</v>
      </c>
      <c r="D5551" s="2" t="s">
        <v>53231</v>
      </c>
      <c r="E5551" s="2" t="s">
        <v>53232</v>
      </c>
      <c r="G5551" s="3" t="s">
        <v>62</v>
      </c>
      <c r="I5551" s="3" t="s">
        <v>62</v>
      </c>
      <c r="J5551" s="3" t="s">
        <v>62</v>
      </c>
      <c r="K5551" s="3" t="s">
        <v>63</v>
      </c>
      <c r="L5551" s="2" t="s">
        <v>51222</v>
      </c>
      <c r="N5551" s="3" t="s">
        <v>2107</v>
      </c>
      <c r="P5551" s="3" t="s">
        <v>65</v>
      </c>
      <c r="R5551" s="3" t="s">
        <v>66</v>
      </c>
      <c r="S5551" s="4">
        <v>5</v>
      </c>
      <c r="T5551" s="4">
        <v>5</v>
      </c>
      <c r="U5551" s="5" t="s">
        <v>6031</v>
      </c>
      <c r="V5551" s="5" t="s">
        <v>6031</v>
      </c>
      <c r="W5551" s="5" t="s">
        <v>67</v>
      </c>
      <c r="X5551" s="5" t="s">
        <v>67</v>
      </c>
      <c r="Y5551" s="4">
        <v>7</v>
      </c>
      <c r="Z5551" s="4">
        <v>2</v>
      </c>
      <c r="AA5551" s="4">
        <v>5</v>
      </c>
      <c r="AB5551" s="4">
        <v>1</v>
      </c>
      <c r="AC5551" s="4">
        <v>1</v>
      </c>
      <c r="AD5551" s="4">
        <v>6</v>
      </c>
      <c r="AE5551" s="4">
        <v>12</v>
      </c>
      <c r="AF5551" s="4">
        <v>0</v>
      </c>
      <c r="AG5551" s="4">
        <v>0</v>
      </c>
      <c r="AH5551" s="4">
        <v>6</v>
      </c>
      <c r="AI5551" s="4">
        <v>11</v>
      </c>
      <c r="AJ5551" s="4">
        <v>1</v>
      </c>
      <c r="AK5551" s="4">
        <v>4</v>
      </c>
      <c r="AL5551" s="4">
        <v>5</v>
      </c>
      <c r="AM5551" s="4">
        <v>8</v>
      </c>
      <c r="AN5551" s="4">
        <v>0</v>
      </c>
      <c r="AO5551" s="4">
        <v>2</v>
      </c>
      <c r="AP5551" s="4">
        <v>1</v>
      </c>
      <c r="AQ5551" s="4">
        <v>4</v>
      </c>
      <c r="AR5551" s="3" t="s">
        <v>62</v>
      </c>
      <c r="AS5551" s="3" t="s">
        <v>62</v>
      </c>
      <c r="AT5551" s="3" t="s">
        <v>62</v>
      </c>
      <c r="AV5551" s="6" t="str">
        <f>HYPERLINK("http://mcgill.on.worldcat.org/oclc/13694744","Catalog Record")</f>
        <v>Catalog Record</v>
      </c>
      <c r="AW5551" s="6" t="str">
        <f>HYPERLINK("http://www.worldcat.org/oclc/13694744","WorldCat Record")</f>
        <v>WorldCat Record</v>
      </c>
      <c r="AX5551" s="3" t="s">
        <v>53233</v>
      </c>
      <c r="AY5551" s="3" t="s">
        <v>53234</v>
      </c>
      <c r="AZ5551" s="3" t="s">
        <v>53235</v>
      </c>
      <c r="BA5551" s="3" t="s">
        <v>53235</v>
      </c>
      <c r="BB5551" s="3" t="s">
        <v>53236</v>
      </c>
      <c r="BC5551" s="3" t="s">
        <v>104</v>
      </c>
      <c r="BD5551" s="3" t="s">
        <v>68</v>
      </c>
      <c r="BF5551" s="3" t="s">
        <v>53236</v>
      </c>
      <c r="BG5551" s="3" t="s">
        <v>53237</v>
      </c>
    </row>
    <row r="5552" spans="1:59" ht="57" x14ac:dyDescent="0.45">
      <c r="A5552" s="2" t="s">
        <v>59</v>
      </c>
      <c r="B5552" s="2" t="s">
        <v>60</v>
      </c>
      <c r="C5552" s="2" t="s">
        <v>53238</v>
      </c>
      <c r="D5552" s="2" t="s">
        <v>53239</v>
      </c>
      <c r="E5552" s="2" t="s">
        <v>53240</v>
      </c>
      <c r="G5552" s="3" t="s">
        <v>62</v>
      </c>
      <c r="I5552" s="3" t="s">
        <v>62</v>
      </c>
      <c r="J5552" s="3" t="s">
        <v>62</v>
      </c>
      <c r="K5552" s="3" t="s">
        <v>63</v>
      </c>
      <c r="M5552" s="2" t="s">
        <v>10996</v>
      </c>
      <c r="N5552" s="3" t="s">
        <v>1855</v>
      </c>
      <c r="P5552" s="3" t="s">
        <v>65</v>
      </c>
      <c r="Q5552" s="2" t="s">
        <v>53241</v>
      </c>
      <c r="R5552" s="3" t="s">
        <v>66</v>
      </c>
      <c r="S5552" s="4">
        <v>12</v>
      </c>
      <c r="T5552" s="4">
        <v>12</v>
      </c>
      <c r="U5552" s="5" t="s">
        <v>29113</v>
      </c>
      <c r="V5552" s="5" t="s">
        <v>29113</v>
      </c>
      <c r="W5552" s="5" t="s">
        <v>67</v>
      </c>
      <c r="X5552" s="5" t="s">
        <v>67</v>
      </c>
      <c r="Y5552" s="4">
        <v>100</v>
      </c>
      <c r="Z5552" s="4">
        <v>14</v>
      </c>
      <c r="AA5552" s="4">
        <v>101</v>
      </c>
      <c r="AB5552" s="4">
        <v>1</v>
      </c>
      <c r="AC5552" s="4">
        <v>17</v>
      </c>
      <c r="AD5552" s="4">
        <v>47</v>
      </c>
      <c r="AE5552" s="4">
        <v>117</v>
      </c>
      <c r="AF5552" s="4">
        <v>0</v>
      </c>
      <c r="AG5552" s="4">
        <v>8</v>
      </c>
      <c r="AH5552" s="4">
        <v>41</v>
      </c>
      <c r="AI5552" s="4">
        <v>80</v>
      </c>
      <c r="AJ5552" s="4">
        <v>11</v>
      </c>
      <c r="AK5552" s="4">
        <v>24</v>
      </c>
      <c r="AL5552" s="4">
        <v>25</v>
      </c>
      <c r="AM5552" s="4">
        <v>39</v>
      </c>
      <c r="AN5552" s="4">
        <v>0</v>
      </c>
      <c r="AO5552" s="4">
        <v>0</v>
      </c>
      <c r="AP5552" s="4">
        <v>12</v>
      </c>
      <c r="AQ5552" s="4">
        <v>46</v>
      </c>
      <c r="AR5552" s="3" t="s">
        <v>62</v>
      </c>
      <c r="AS5552" s="3" t="s">
        <v>62</v>
      </c>
      <c r="AT5552" s="3" t="s">
        <v>62</v>
      </c>
      <c r="AV5552" s="6" t="str">
        <f>HYPERLINK("http://mcgill.on.worldcat.org/oclc/57002309","Catalog Record")</f>
        <v>Catalog Record</v>
      </c>
      <c r="AW5552" s="6" t="str">
        <f>HYPERLINK("http://www.worldcat.org/oclc/57002309","WorldCat Record")</f>
        <v>WorldCat Record</v>
      </c>
      <c r="AX5552" s="3" t="s">
        <v>53242</v>
      </c>
      <c r="AY5552" s="3" t="s">
        <v>53243</v>
      </c>
      <c r="AZ5552" s="3" t="s">
        <v>53244</v>
      </c>
      <c r="BA5552" s="3" t="s">
        <v>53244</v>
      </c>
      <c r="BB5552" s="3" t="s">
        <v>53245</v>
      </c>
      <c r="BC5552" s="3" t="s">
        <v>142</v>
      </c>
      <c r="BD5552" s="3" t="s">
        <v>68</v>
      </c>
      <c r="BE5552" s="3" t="s">
        <v>53246</v>
      </c>
      <c r="BF5552" s="3" t="s">
        <v>53245</v>
      </c>
      <c r="BG5552" s="3" t="s">
        <v>53247</v>
      </c>
    </row>
    <row r="5553" spans="1:59" ht="57" x14ac:dyDescent="0.45">
      <c r="A5553" s="2" t="s">
        <v>59</v>
      </c>
      <c r="B5553" s="2" t="s">
        <v>60</v>
      </c>
      <c r="C5553" s="2" t="s">
        <v>53248</v>
      </c>
      <c r="D5553" s="2" t="s">
        <v>53249</v>
      </c>
      <c r="E5553" s="2" t="s">
        <v>53250</v>
      </c>
      <c r="G5553" s="3" t="s">
        <v>62</v>
      </c>
      <c r="I5553" s="3" t="s">
        <v>62</v>
      </c>
      <c r="J5553" s="3" t="s">
        <v>62</v>
      </c>
      <c r="K5553" s="3" t="s">
        <v>63</v>
      </c>
      <c r="M5553" s="2" t="s">
        <v>44576</v>
      </c>
      <c r="N5553" s="3" t="s">
        <v>918</v>
      </c>
      <c r="P5553" s="3" t="s">
        <v>65</v>
      </c>
      <c r="Q5553" s="2" t="s">
        <v>53251</v>
      </c>
      <c r="R5553" s="3" t="s">
        <v>66</v>
      </c>
      <c r="S5553" s="4">
        <v>14</v>
      </c>
      <c r="T5553" s="4">
        <v>14</v>
      </c>
      <c r="U5553" s="5" t="s">
        <v>30298</v>
      </c>
      <c r="V5553" s="5" t="s">
        <v>30298</v>
      </c>
      <c r="W5553" s="5" t="s">
        <v>67</v>
      </c>
      <c r="X5553" s="5" t="s">
        <v>67</v>
      </c>
      <c r="Y5553" s="4">
        <v>175</v>
      </c>
      <c r="Z5553" s="4">
        <v>16</v>
      </c>
      <c r="AA5553" s="4">
        <v>25</v>
      </c>
      <c r="AB5553" s="4">
        <v>2</v>
      </c>
      <c r="AC5553" s="4">
        <v>9</v>
      </c>
      <c r="AD5553" s="4">
        <v>75</v>
      </c>
      <c r="AE5553" s="4">
        <v>88</v>
      </c>
      <c r="AF5553" s="4">
        <v>1</v>
      </c>
      <c r="AG5553" s="4">
        <v>5</v>
      </c>
      <c r="AH5553" s="4">
        <v>70</v>
      </c>
      <c r="AI5553" s="4">
        <v>78</v>
      </c>
      <c r="AJ5553" s="4">
        <v>13</v>
      </c>
      <c r="AK5553" s="4">
        <v>17</v>
      </c>
      <c r="AL5553" s="4">
        <v>38</v>
      </c>
      <c r="AM5553" s="4">
        <v>43</v>
      </c>
      <c r="AN5553" s="4">
        <v>0</v>
      </c>
      <c r="AO5553" s="4">
        <v>0</v>
      </c>
      <c r="AP5553" s="4">
        <v>14</v>
      </c>
      <c r="AQ5553" s="4">
        <v>19</v>
      </c>
      <c r="AR5553" s="3" t="s">
        <v>62</v>
      </c>
      <c r="AS5553" s="3" t="s">
        <v>62</v>
      </c>
      <c r="AT5553" s="3" t="s">
        <v>62</v>
      </c>
      <c r="AV5553" s="6" t="str">
        <f>HYPERLINK("http://mcgill.on.worldcat.org/oclc/50314694","Catalog Record")</f>
        <v>Catalog Record</v>
      </c>
      <c r="AW5553" s="6" t="str">
        <f>HYPERLINK("http://www.worldcat.org/oclc/50314694","WorldCat Record")</f>
        <v>WorldCat Record</v>
      </c>
      <c r="AX5553" s="3" t="s">
        <v>53252</v>
      </c>
      <c r="AY5553" s="3" t="s">
        <v>53253</v>
      </c>
      <c r="AZ5553" s="3" t="s">
        <v>53254</v>
      </c>
      <c r="BA5553" s="3" t="s">
        <v>53254</v>
      </c>
      <c r="BB5553" s="3" t="s">
        <v>53255</v>
      </c>
      <c r="BC5553" s="3" t="s">
        <v>142</v>
      </c>
      <c r="BD5553" s="3" t="s">
        <v>68</v>
      </c>
      <c r="BE5553" s="3" t="s">
        <v>53256</v>
      </c>
      <c r="BF5553" s="3" t="s">
        <v>53255</v>
      </c>
      <c r="BG5553" s="3" t="s">
        <v>53257</v>
      </c>
    </row>
    <row r="5554" spans="1:59" ht="57" x14ac:dyDescent="0.45">
      <c r="A5554" s="2" t="s">
        <v>59</v>
      </c>
      <c r="B5554" s="2" t="s">
        <v>60</v>
      </c>
      <c r="C5554" s="2" t="s">
        <v>53258</v>
      </c>
      <c r="D5554" s="2" t="s">
        <v>53259</v>
      </c>
      <c r="E5554" s="2" t="s">
        <v>53260</v>
      </c>
      <c r="G5554" s="3" t="s">
        <v>62</v>
      </c>
      <c r="I5554" s="3" t="s">
        <v>62</v>
      </c>
      <c r="J5554" s="3" t="s">
        <v>62</v>
      </c>
      <c r="K5554" s="3" t="s">
        <v>63</v>
      </c>
      <c r="L5554" s="2" t="s">
        <v>53261</v>
      </c>
      <c r="M5554" s="2" t="s">
        <v>53262</v>
      </c>
      <c r="N5554" s="3" t="s">
        <v>529</v>
      </c>
      <c r="P5554" s="3" t="s">
        <v>110</v>
      </c>
      <c r="Q5554" s="2" t="s">
        <v>496</v>
      </c>
      <c r="R5554" s="3" t="s">
        <v>66</v>
      </c>
      <c r="S5554" s="4">
        <v>7</v>
      </c>
      <c r="T5554" s="4">
        <v>7</v>
      </c>
      <c r="U5554" s="5" t="s">
        <v>53263</v>
      </c>
      <c r="V5554" s="5" t="s">
        <v>53263</v>
      </c>
      <c r="W5554" s="5" t="s">
        <v>67</v>
      </c>
      <c r="X5554" s="5" t="s">
        <v>67</v>
      </c>
      <c r="Y5554" s="4">
        <v>122</v>
      </c>
      <c r="Z5554" s="4">
        <v>16</v>
      </c>
      <c r="AA5554" s="4">
        <v>28</v>
      </c>
      <c r="AB5554" s="4">
        <v>1</v>
      </c>
      <c r="AC5554" s="4">
        <v>9</v>
      </c>
      <c r="AD5554" s="4">
        <v>55</v>
      </c>
      <c r="AE5554" s="4">
        <v>65</v>
      </c>
      <c r="AF5554" s="4">
        <v>0</v>
      </c>
      <c r="AG5554" s="4">
        <v>5</v>
      </c>
      <c r="AH5554" s="4">
        <v>48</v>
      </c>
      <c r="AI5554" s="4">
        <v>51</v>
      </c>
      <c r="AJ5554" s="4">
        <v>12</v>
      </c>
      <c r="AK5554" s="4">
        <v>16</v>
      </c>
      <c r="AL5554" s="4">
        <v>31</v>
      </c>
      <c r="AM5554" s="4">
        <v>31</v>
      </c>
      <c r="AN5554" s="4">
        <v>0</v>
      </c>
      <c r="AO5554" s="4">
        <v>0</v>
      </c>
      <c r="AP5554" s="4">
        <v>14</v>
      </c>
      <c r="AQ5554" s="4">
        <v>21</v>
      </c>
      <c r="AR5554" s="3" t="s">
        <v>62</v>
      </c>
      <c r="AS5554" s="3" t="s">
        <v>62</v>
      </c>
      <c r="AT5554" s="3" t="s">
        <v>62</v>
      </c>
      <c r="AV5554" s="6" t="str">
        <f>HYPERLINK("http://mcgill.on.worldcat.org/oclc/13493111","Catalog Record")</f>
        <v>Catalog Record</v>
      </c>
      <c r="AW5554" s="6" t="str">
        <f>HYPERLINK("http://www.worldcat.org/oclc/13493111","WorldCat Record")</f>
        <v>WorldCat Record</v>
      </c>
      <c r="AX5554" s="3" t="s">
        <v>53264</v>
      </c>
      <c r="AY5554" s="3" t="s">
        <v>53265</v>
      </c>
      <c r="AZ5554" s="3" t="s">
        <v>53266</v>
      </c>
      <c r="BA5554" s="3" t="s">
        <v>53266</v>
      </c>
      <c r="BB5554" s="3" t="s">
        <v>53267</v>
      </c>
      <c r="BC5554" s="3" t="s">
        <v>142</v>
      </c>
      <c r="BD5554" s="3" t="s">
        <v>68</v>
      </c>
      <c r="BE5554" s="3" t="s">
        <v>53268</v>
      </c>
      <c r="BF5554" s="3" t="s">
        <v>53267</v>
      </c>
      <c r="BG5554" s="3" t="s">
        <v>53269</v>
      </c>
    </row>
    <row r="5555" spans="1:59" ht="57" x14ac:dyDescent="0.45">
      <c r="A5555" s="2" t="s">
        <v>59</v>
      </c>
      <c r="B5555" s="2" t="s">
        <v>60</v>
      </c>
      <c r="C5555" s="2" t="s">
        <v>53270</v>
      </c>
      <c r="D5555" s="2" t="s">
        <v>53271</v>
      </c>
      <c r="E5555" s="2" t="s">
        <v>53272</v>
      </c>
      <c r="G5555" s="3" t="s">
        <v>62</v>
      </c>
      <c r="I5555" s="3" t="s">
        <v>62</v>
      </c>
      <c r="J5555" s="3" t="s">
        <v>62</v>
      </c>
      <c r="K5555" s="3" t="s">
        <v>63</v>
      </c>
      <c r="M5555" s="2" t="s">
        <v>11672</v>
      </c>
      <c r="N5555" s="3" t="s">
        <v>149</v>
      </c>
      <c r="P5555" s="3" t="s">
        <v>65</v>
      </c>
      <c r="Q5555" s="2" t="s">
        <v>53273</v>
      </c>
      <c r="R5555" s="3" t="s">
        <v>66</v>
      </c>
      <c r="S5555" s="4">
        <v>0</v>
      </c>
      <c r="T5555" s="4">
        <v>0</v>
      </c>
      <c r="W5555" s="5" t="s">
        <v>67</v>
      </c>
      <c r="X5555" s="5" t="s">
        <v>67</v>
      </c>
      <c r="Y5555" s="4">
        <v>80</v>
      </c>
      <c r="Z5555" s="4">
        <v>8</v>
      </c>
      <c r="AA5555" s="4">
        <v>98</v>
      </c>
      <c r="AB5555" s="4">
        <v>1</v>
      </c>
      <c r="AC5555" s="4">
        <v>17</v>
      </c>
      <c r="AD5555" s="4">
        <v>36</v>
      </c>
      <c r="AE5555" s="4">
        <v>115</v>
      </c>
      <c r="AF5555" s="4">
        <v>0</v>
      </c>
      <c r="AG5555" s="4">
        <v>8</v>
      </c>
      <c r="AH5555" s="4">
        <v>34</v>
      </c>
      <c r="AI5555" s="4">
        <v>79</v>
      </c>
      <c r="AJ5555" s="4">
        <v>6</v>
      </c>
      <c r="AK5555" s="4">
        <v>23</v>
      </c>
      <c r="AL5555" s="4">
        <v>23</v>
      </c>
      <c r="AM5555" s="4">
        <v>41</v>
      </c>
      <c r="AN5555" s="4">
        <v>0</v>
      </c>
      <c r="AO5555" s="4">
        <v>0</v>
      </c>
      <c r="AP5555" s="4">
        <v>6</v>
      </c>
      <c r="AQ5555" s="4">
        <v>44</v>
      </c>
      <c r="AR5555" s="3" t="s">
        <v>62</v>
      </c>
      <c r="AS5555" s="3" t="s">
        <v>62</v>
      </c>
      <c r="AT5555" s="3" t="s">
        <v>62</v>
      </c>
      <c r="AV5555" s="6" t="str">
        <f>HYPERLINK("http://mcgill.on.worldcat.org/oclc/657223880","Catalog Record")</f>
        <v>Catalog Record</v>
      </c>
      <c r="AW5555" s="6" t="str">
        <f>HYPERLINK("http://www.worldcat.org/oclc/657223880","WorldCat Record")</f>
        <v>WorldCat Record</v>
      </c>
      <c r="AX5555" s="3" t="s">
        <v>53274</v>
      </c>
      <c r="AY5555" s="3" t="s">
        <v>53275</v>
      </c>
      <c r="AZ5555" s="3" t="s">
        <v>53276</v>
      </c>
      <c r="BA5555" s="3" t="s">
        <v>53276</v>
      </c>
      <c r="BB5555" s="3" t="s">
        <v>53277</v>
      </c>
      <c r="BC5555" s="3" t="s">
        <v>142</v>
      </c>
      <c r="BD5555" s="3" t="s">
        <v>68</v>
      </c>
      <c r="BE5555" s="3" t="s">
        <v>53278</v>
      </c>
      <c r="BF5555" s="3" t="s">
        <v>53277</v>
      </c>
      <c r="BG5555" s="3" t="s">
        <v>53279</v>
      </c>
    </row>
    <row r="5556" spans="1:59" ht="57" x14ac:dyDescent="0.45">
      <c r="A5556" s="2" t="s">
        <v>59</v>
      </c>
      <c r="B5556" s="2" t="s">
        <v>60</v>
      </c>
      <c r="C5556" s="2" t="s">
        <v>53280</v>
      </c>
      <c r="D5556" s="2" t="s">
        <v>53281</v>
      </c>
      <c r="E5556" s="2" t="s">
        <v>53282</v>
      </c>
      <c r="G5556" s="3" t="s">
        <v>62</v>
      </c>
      <c r="I5556" s="3" t="s">
        <v>62</v>
      </c>
      <c r="J5556" s="3" t="s">
        <v>62</v>
      </c>
      <c r="K5556" s="3" t="s">
        <v>63</v>
      </c>
      <c r="L5556" s="2" t="s">
        <v>45405</v>
      </c>
      <c r="M5556" s="2" t="s">
        <v>2631</v>
      </c>
      <c r="N5556" s="3" t="s">
        <v>116</v>
      </c>
      <c r="P5556" s="3" t="s">
        <v>65</v>
      </c>
      <c r="Q5556" s="2" t="s">
        <v>51577</v>
      </c>
      <c r="R5556" s="3" t="s">
        <v>66</v>
      </c>
      <c r="S5556" s="4">
        <v>2</v>
      </c>
      <c r="T5556" s="4">
        <v>2</v>
      </c>
      <c r="U5556" s="5" t="s">
        <v>53283</v>
      </c>
      <c r="V5556" s="5" t="s">
        <v>53283</v>
      </c>
      <c r="W5556" s="5" t="s">
        <v>67</v>
      </c>
      <c r="X5556" s="5" t="s">
        <v>67</v>
      </c>
      <c r="Y5556" s="4">
        <v>86</v>
      </c>
      <c r="Z5556" s="4">
        <v>8</v>
      </c>
      <c r="AA5556" s="4">
        <v>14</v>
      </c>
      <c r="AB5556" s="4">
        <v>1</v>
      </c>
      <c r="AC5556" s="4">
        <v>4</v>
      </c>
      <c r="AD5556" s="4">
        <v>31</v>
      </c>
      <c r="AE5556" s="4">
        <v>36</v>
      </c>
      <c r="AF5556" s="4">
        <v>0</v>
      </c>
      <c r="AG5556" s="4">
        <v>2</v>
      </c>
      <c r="AH5556" s="4">
        <v>26</v>
      </c>
      <c r="AI5556" s="4">
        <v>29</v>
      </c>
      <c r="AJ5556" s="4">
        <v>6</v>
      </c>
      <c r="AK5556" s="4">
        <v>11</v>
      </c>
      <c r="AL5556" s="4">
        <v>18</v>
      </c>
      <c r="AM5556" s="4">
        <v>18</v>
      </c>
      <c r="AN5556" s="4">
        <v>0</v>
      </c>
      <c r="AO5556" s="4">
        <v>0</v>
      </c>
      <c r="AP5556" s="4">
        <v>7</v>
      </c>
      <c r="AQ5556" s="4">
        <v>11</v>
      </c>
      <c r="AR5556" s="3" t="s">
        <v>62</v>
      </c>
      <c r="AS5556" s="3" t="s">
        <v>62</v>
      </c>
      <c r="AT5556" s="3" t="s">
        <v>62</v>
      </c>
      <c r="AV5556" s="6" t="str">
        <f>HYPERLINK("http://mcgill.on.worldcat.org/oclc/828884431","Catalog Record")</f>
        <v>Catalog Record</v>
      </c>
      <c r="AW5556" s="6" t="str">
        <f>HYPERLINK("http://www.worldcat.org/oclc/828884431","WorldCat Record")</f>
        <v>WorldCat Record</v>
      </c>
      <c r="AX5556" s="3" t="s">
        <v>53284</v>
      </c>
      <c r="AY5556" s="3" t="s">
        <v>53285</v>
      </c>
      <c r="AZ5556" s="3" t="s">
        <v>53286</v>
      </c>
      <c r="BA5556" s="3" t="s">
        <v>53286</v>
      </c>
      <c r="BB5556" s="3" t="s">
        <v>53287</v>
      </c>
      <c r="BC5556" s="3" t="s">
        <v>142</v>
      </c>
      <c r="BD5556" s="3" t="s">
        <v>68</v>
      </c>
      <c r="BE5556" s="3" t="s">
        <v>53288</v>
      </c>
      <c r="BF5556" s="3" t="s">
        <v>53287</v>
      </c>
      <c r="BG5556" s="3" t="s">
        <v>53289</v>
      </c>
    </row>
    <row r="5557" spans="1:59" ht="57" x14ac:dyDescent="0.45">
      <c r="A5557" s="2" t="s">
        <v>59</v>
      </c>
      <c r="B5557" s="2" t="s">
        <v>60</v>
      </c>
      <c r="C5557" s="2" t="s">
        <v>53290</v>
      </c>
      <c r="D5557" s="2" t="s">
        <v>53291</v>
      </c>
      <c r="E5557" s="2" t="s">
        <v>53292</v>
      </c>
      <c r="G5557" s="3" t="s">
        <v>62</v>
      </c>
      <c r="I5557" s="3" t="s">
        <v>62</v>
      </c>
      <c r="J5557" s="3" t="s">
        <v>62</v>
      </c>
      <c r="K5557" s="3" t="s">
        <v>63</v>
      </c>
      <c r="L5557" s="2" t="s">
        <v>49997</v>
      </c>
      <c r="M5557" s="2" t="s">
        <v>48097</v>
      </c>
      <c r="N5557" s="3" t="s">
        <v>1253</v>
      </c>
      <c r="P5557" s="3" t="s">
        <v>65</v>
      </c>
      <c r="Q5557" s="2" t="s">
        <v>43468</v>
      </c>
      <c r="R5557" s="3" t="s">
        <v>66</v>
      </c>
      <c r="S5557" s="4">
        <v>17</v>
      </c>
      <c r="T5557" s="4">
        <v>17</v>
      </c>
      <c r="U5557" s="5" t="s">
        <v>6978</v>
      </c>
      <c r="V5557" s="5" t="s">
        <v>6978</v>
      </c>
      <c r="W5557" s="5" t="s">
        <v>67</v>
      </c>
      <c r="X5557" s="5" t="s">
        <v>67</v>
      </c>
      <c r="Y5557" s="4">
        <v>198</v>
      </c>
      <c r="Z5557" s="4">
        <v>13</v>
      </c>
      <c r="AA5557" s="4">
        <v>34</v>
      </c>
      <c r="AB5557" s="4">
        <v>1</v>
      </c>
      <c r="AC5557" s="4">
        <v>8</v>
      </c>
      <c r="AD5557" s="4">
        <v>85</v>
      </c>
      <c r="AE5557" s="4">
        <v>98</v>
      </c>
      <c r="AF5557" s="4">
        <v>0</v>
      </c>
      <c r="AG5557" s="4">
        <v>2</v>
      </c>
      <c r="AH5557" s="4">
        <v>81</v>
      </c>
      <c r="AI5557" s="4">
        <v>88</v>
      </c>
      <c r="AJ5557" s="4">
        <v>10</v>
      </c>
      <c r="AK5557" s="4">
        <v>16</v>
      </c>
      <c r="AL5557" s="4">
        <v>46</v>
      </c>
      <c r="AM5557" s="4">
        <v>49</v>
      </c>
      <c r="AN5557" s="4">
        <v>0</v>
      </c>
      <c r="AO5557" s="4">
        <v>0</v>
      </c>
      <c r="AP5557" s="4">
        <v>10</v>
      </c>
      <c r="AQ5557" s="4">
        <v>18</v>
      </c>
      <c r="AR5557" s="3" t="s">
        <v>62</v>
      </c>
      <c r="AS5557" s="3" t="s">
        <v>62</v>
      </c>
      <c r="AT5557" s="3" t="s">
        <v>61</v>
      </c>
      <c r="AU5557" s="6" t="str">
        <f>HYPERLINK("http://catalog.hathitrust.org/Record/003137577","HathiTrust Record")</f>
        <v>HathiTrust Record</v>
      </c>
      <c r="AV5557" s="6" t="str">
        <f>HYPERLINK("http://mcgill.on.worldcat.org/oclc/34875702","Catalog Record")</f>
        <v>Catalog Record</v>
      </c>
      <c r="AW5557" s="6" t="str">
        <f>HYPERLINK("http://www.worldcat.org/oclc/34875702","WorldCat Record")</f>
        <v>WorldCat Record</v>
      </c>
      <c r="AX5557" s="3" t="s">
        <v>53293</v>
      </c>
      <c r="AY5557" s="3" t="s">
        <v>53294</v>
      </c>
      <c r="AZ5557" s="3" t="s">
        <v>53295</v>
      </c>
      <c r="BA5557" s="3" t="s">
        <v>53295</v>
      </c>
      <c r="BB5557" s="3" t="s">
        <v>53296</v>
      </c>
      <c r="BC5557" s="3" t="s">
        <v>142</v>
      </c>
      <c r="BD5557" s="3" t="s">
        <v>68</v>
      </c>
      <c r="BE5557" s="3" t="s">
        <v>53297</v>
      </c>
      <c r="BF5557" s="3" t="s">
        <v>53296</v>
      </c>
      <c r="BG5557" s="3" t="s">
        <v>53298</v>
      </c>
    </row>
    <row r="5558" spans="1:59" ht="57" x14ac:dyDescent="0.45">
      <c r="A5558" s="2" t="s">
        <v>59</v>
      </c>
      <c r="B5558" s="2" t="s">
        <v>60</v>
      </c>
      <c r="C5558" s="2" t="s">
        <v>53299</v>
      </c>
      <c r="D5558" s="2" t="s">
        <v>53300</v>
      </c>
      <c r="E5558" s="2" t="s">
        <v>53301</v>
      </c>
      <c r="G5558" s="3" t="s">
        <v>62</v>
      </c>
      <c r="I5558" s="3" t="s">
        <v>62</v>
      </c>
      <c r="J5558" s="3" t="s">
        <v>62</v>
      </c>
      <c r="K5558" s="3" t="s">
        <v>63</v>
      </c>
      <c r="M5558" s="2" t="s">
        <v>53302</v>
      </c>
      <c r="N5558" s="3" t="s">
        <v>1855</v>
      </c>
      <c r="P5558" s="3" t="s">
        <v>65</v>
      </c>
      <c r="Q5558" s="2" t="s">
        <v>53303</v>
      </c>
      <c r="R5558" s="3" t="s">
        <v>66</v>
      </c>
      <c r="S5558" s="4">
        <v>2</v>
      </c>
      <c r="T5558" s="4">
        <v>2</v>
      </c>
      <c r="U5558" s="5" t="s">
        <v>19383</v>
      </c>
      <c r="V5558" s="5" t="s">
        <v>19383</v>
      </c>
      <c r="W5558" s="5" t="s">
        <v>67</v>
      </c>
      <c r="X5558" s="5" t="s">
        <v>67</v>
      </c>
      <c r="Y5558" s="4">
        <v>35</v>
      </c>
      <c r="Z5558" s="4">
        <v>3</v>
      </c>
      <c r="AA5558" s="4">
        <v>3</v>
      </c>
      <c r="AB5558" s="4">
        <v>1</v>
      </c>
      <c r="AC5558" s="4">
        <v>1</v>
      </c>
      <c r="AD5558" s="4">
        <v>23</v>
      </c>
      <c r="AE5558" s="4">
        <v>23</v>
      </c>
      <c r="AF5558" s="4">
        <v>0</v>
      </c>
      <c r="AG5558" s="4">
        <v>0</v>
      </c>
      <c r="AH5558" s="4">
        <v>22</v>
      </c>
      <c r="AI5558" s="4">
        <v>22</v>
      </c>
      <c r="AJ5558" s="4">
        <v>2</v>
      </c>
      <c r="AK5558" s="4">
        <v>2</v>
      </c>
      <c r="AL5558" s="4">
        <v>18</v>
      </c>
      <c r="AM5558" s="4">
        <v>18</v>
      </c>
      <c r="AN5558" s="4">
        <v>0</v>
      </c>
      <c r="AO5558" s="4">
        <v>0</v>
      </c>
      <c r="AP5558" s="4">
        <v>2</v>
      </c>
      <c r="AQ5558" s="4">
        <v>2</v>
      </c>
      <c r="AR5558" s="3" t="s">
        <v>62</v>
      </c>
      <c r="AS5558" s="3" t="s">
        <v>62</v>
      </c>
      <c r="AT5558" s="3" t="s">
        <v>62</v>
      </c>
      <c r="AV5558" s="6" t="str">
        <f>HYPERLINK("http://mcgill.on.worldcat.org/oclc/62535904","Catalog Record")</f>
        <v>Catalog Record</v>
      </c>
      <c r="AW5558" s="6" t="str">
        <f>HYPERLINK("http://www.worldcat.org/oclc/62535904","WorldCat Record")</f>
        <v>WorldCat Record</v>
      </c>
      <c r="AX5558" s="3" t="s">
        <v>53304</v>
      </c>
      <c r="AY5558" s="3" t="s">
        <v>53305</v>
      </c>
      <c r="AZ5558" s="3" t="s">
        <v>53306</v>
      </c>
      <c r="BA5558" s="3" t="s">
        <v>53306</v>
      </c>
      <c r="BB5558" s="3" t="s">
        <v>53307</v>
      </c>
      <c r="BC5558" s="3" t="s">
        <v>142</v>
      </c>
      <c r="BD5558" s="3" t="s">
        <v>68</v>
      </c>
      <c r="BF5558" s="3" t="s">
        <v>53307</v>
      </c>
      <c r="BG5558" s="3" t="s">
        <v>53308</v>
      </c>
    </row>
    <row r="5559" spans="1:59" ht="57" x14ac:dyDescent="0.45">
      <c r="A5559" s="2" t="s">
        <v>59</v>
      </c>
      <c r="B5559" s="2" t="s">
        <v>60</v>
      </c>
      <c r="C5559" s="2" t="s">
        <v>53309</v>
      </c>
      <c r="D5559" s="2" t="s">
        <v>53310</v>
      </c>
      <c r="E5559" s="2" t="s">
        <v>53311</v>
      </c>
      <c r="G5559" s="3" t="s">
        <v>62</v>
      </c>
      <c r="I5559" s="3" t="s">
        <v>62</v>
      </c>
      <c r="J5559" s="3" t="s">
        <v>62</v>
      </c>
      <c r="K5559" s="3" t="s">
        <v>63</v>
      </c>
      <c r="M5559" s="2" t="s">
        <v>53312</v>
      </c>
      <c r="N5559" s="3" t="s">
        <v>1212</v>
      </c>
      <c r="P5559" s="3" t="s">
        <v>65</v>
      </c>
      <c r="Q5559" s="2" t="s">
        <v>53313</v>
      </c>
      <c r="R5559" s="3" t="s">
        <v>66</v>
      </c>
      <c r="S5559" s="4">
        <v>9</v>
      </c>
      <c r="T5559" s="4">
        <v>9</v>
      </c>
      <c r="U5559" s="5" t="s">
        <v>53314</v>
      </c>
      <c r="V5559" s="5" t="s">
        <v>53314</v>
      </c>
      <c r="W5559" s="5" t="s">
        <v>67</v>
      </c>
      <c r="X5559" s="5" t="s">
        <v>67</v>
      </c>
      <c r="Y5559" s="4">
        <v>29</v>
      </c>
      <c r="Z5559" s="4">
        <v>2</v>
      </c>
      <c r="AA5559" s="4">
        <v>102</v>
      </c>
      <c r="AB5559" s="4">
        <v>1</v>
      </c>
      <c r="AC5559" s="4">
        <v>17</v>
      </c>
      <c r="AD5559" s="4">
        <v>8</v>
      </c>
      <c r="AE5559" s="4">
        <v>126</v>
      </c>
      <c r="AF5559" s="4">
        <v>0</v>
      </c>
      <c r="AG5559" s="4">
        <v>8</v>
      </c>
      <c r="AH5559" s="4">
        <v>6</v>
      </c>
      <c r="AI5559" s="4">
        <v>91</v>
      </c>
      <c r="AJ5559" s="4">
        <v>1</v>
      </c>
      <c r="AK5559" s="4">
        <v>22</v>
      </c>
      <c r="AL5559" s="4">
        <v>4</v>
      </c>
      <c r="AM5559" s="4">
        <v>47</v>
      </c>
      <c r="AN5559" s="4">
        <v>0</v>
      </c>
      <c r="AO5559" s="4">
        <v>0</v>
      </c>
      <c r="AP5559" s="4">
        <v>1</v>
      </c>
      <c r="AQ5559" s="4">
        <v>43</v>
      </c>
      <c r="AR5559" s="3" t="s">
        <v>62</v>
      </c>
      <c r="AS5559" s="3" t="s">
        <v>62</v>
      </c>
      <c r="AT5559" s="3" t="s">
        <v>62</v>
      </c>
      <c r="AV5559" s="6" t="str">
        <f>HYPERLINK("http://mcgill.on.worldcat.org/oclc/59499313","Catalog Record")</f>
        <v>Catalog Record</v>
      </c>
      <c r="AW5559" s="6" t="str">
        <f>HYPERLINK("http://www.worldcat.org/oclc/59499313","WorldCat Record")</f>
        <v>WorldCat Record</v>
      </c>
      <c r="AX5559" s="3" t="s">
        <v>53315</v>
      </c>
      <c r="AY5559" s="3" t="s">
        <v>53316</v>
      </c>
      <c r="AZ5559" s="3" t="s">
        <v>53317</v>
      </c>
      <c r="BA5559" s="3" t="s">
        <v>53317</v>
      </c>
      <c r="BB5559" s="3" t="s">
        <v>53318</v>
      </c>
      <c r="BC5559" s="3" t="s">
        <v>142</v>
      </c>
      <c r="BD5559" s="3" t="s">
        <v>68</v>
      </c>
      <c r="BE5559" s="3" t="s">
        <v>53319</v>
      </c>
      <c r="BF5559" s="3" t="s">
        <v>53318</v>
      </c>
      <c r="BG5559" s="3" t="s">
        <v>53320</v>
      </c>
    </row>
    <row r="5560" spans="1:59" ht="57" x14ac:dyDescent="0.45">
      <c r="A5560" s="2" t="s">
        <v>59</v>
      </c>
      <c r="B5560" s="2" t="s">
        <v>60</v>
      </c>
      <c r="C5560" s="2" t="s">
        <v>53321</v>
      </c>
      <c r="D5560" s="2" t="s">
        <v>53322</v>
      </c>
      <c r="E5560" s="2" t="s">
        <v>53323</v>
      </c>
      <c r="G5560" s="3" t="s">
        <v>62</v>
      </c>
      <c r="I5560" s="3" t="s">
        <v>62</v>
      </c>
      <c r="J5560" s="3" t="s">
        <v>62</v>
      </c>
      <c r="K5560" s="3" t="s">
        <v>63</v>
      </c>
      <c r="L5560" s="2" t="s">
        <v>53324</v>
      </c>
      <c r="M5560" s="2" t="s">
        <v>53325</v>
      </c>
      <c r="N5560" s="3" t="s">
        <v>208</v>
      </c>
      <c r="P5560" s="3" t="s">
        <v>65</v>
      </c>
      <c r="Q5560" s="2" t="s">
        <v>53326</v>
      </c>
      <c r="R5560" s="3" t="s">
        <v>66</v>
      </c>
      <c r="S5560" s="4">
        <v>0</v>
      </c>
      <c r="T5560" s="4">
        <v>0</v>
      </c>
      <c r="W5560" s="5" t="s">
        <v>67</v>
      </c>
      <c r="X5560" s="5" t="s">
        <v>67</v>
      </c>
      <c r="Y5560" s="4">
        <v>66</v>
      </c>
      <c r="Z5560" s="4">
        <v>8</v>
      </c>
      <c r="AA5560" s="4">
        <v>23</v>
      </c>
      <c r="AB5560" s="4">
        <v>1</v>
      </c>
      <c r="AC5560" s="4">
        <v>3</v>
      </c>
      <c r="AD5560" s="4">
        <v>32</v>
      </c>
      <c r="AE5560" s="4">
        <v>62</v>
      </c>
      <c r="AF5560" s="4">
        <v>0</v>
      </c>
      <c r="AG5560" s="4">
        <v>0</v>
      </c>
      <c r="AH5560" s="4">
        <v>29</v>
      </c>
      <c r="AI5560" s="4">
        <v>52</v>
      </c>
      <c r="AJ5560" s="4">
        <v>6</v>
      </c>
      <c r="AK5560" s="4">
        <v>10</v>
      </c>
      <c r="AL5560" s="4">
        <v>20</v>
      </c>
      <c r="AM5560" s="4">
        <v>30</v>
      </c>
      <c r="AN5560" s="4">
        <v>0</v>
      </c>
      <c r="AO5560" s="4">
        <v>0</v>
      </c>
      <c r="AP5560" s="4">
        <v>6</v>
      </c>
      <c r="AQ5560" s="4">
        <v>15</v>
      </c>
      <c r="AR5560" s="3" t="s">
        <v>62</v>
      </c>
      <c r="AS5560" s="3" t="s">
        <v>62</v>
      </c>
      <c r="AT5560" s="3" t="s">
        <v>62</v>
      </c>
      <c r="AV5560" s="6" t="str">
        <f>HYPERLINK("http://mcgill.on.worldcat.org/oclc/898121872","Catalog Record")</f>
        <v>Catalog Record</v>
      </c>
      <c r="AW5560" s="6" t="str">
        <f>HYPERLINK("http://www.worldcat.org/oclc/898121872","WorldCat Record")</f>
        <v>WorldCat Record</v>
      </c>
      <c r="AX5560" s="3" t="s">
        <v>53327</v>
      </c>
      <c r="AY5560" s="3" t="s">
        <v>53328</v>
      </c>
      <c r="AZ5560" s="3" t="s">
        <v>53329</v>
      </c>
      <c r="BA5560" s="3" t="s">
        <v>53329</v>
      </c>
      <c r="BB5560" s="3" t="s">
        <v>53330</v>
      </c>
      <c r="BC5560" s="3" t="s">
        <v>142</v>
      </c>
      <c r="BD5560" s="3" t="s">
        <v>68</v>
      </c>
      <c r="BE5560" s="3" t="s">
        <v>53331</v>
      </c>
      <c r="BF5560" s="3" t="s">
        <v>53330</v>
      </c>
      <c r="BG5560" s="3" t="s">
        <v>53332</v>
      </c>
    </row>
    <row r="5561" spans="1:59" ht="57" x14ac:dyDescent="0.45">
      <c r="A5561" s="2" t="s">
        <v>59</v>
      </c>
      <c r="B5561" s="2" t="s">
        <v>60</v>
      </c>
      <c r="C5561" s="2" t="s">
        <v>53333</v>
      </c>
      <c r="D5561" s="2" t="s">
        <v>53334</v>
      </c>
      <c r="E5561" s="2" t="s">
        <v>53335</v>
      </c>
      <c r="G5561" s="3" t="s">
        <v>62</v>
      </c>
      <c r="I5561" s="3" t="s">
        <v>62</v>
      </c>
      <c r="J5561" s="3" t="s">
        <v>62</v>
      </c>
      <c r="K5561" s="3" t="s">
        <v>63</v>
      </c>
      <c r="M5561" s="2" t="s">
        <v>10828</v>
      </c>
      <c r="N5561" s="3" t="s">
        <v>894</v>
      </c>
      <c r="P5561" s="3" t="s">
        <v>65</v>
      </c>
      <c r="Q5561" s="2" t="s">
        <v>53336</v>
      </c>
      <c r="R5561" s="3" t="s">
        <v>66</v>
      </c>
      <c r="S5561" s="4">
        <v>0</v>
      </c>
      <c r="T5561" s="4">
        <v>0</v>
      </c>
      <c r="W5561" s="5" t="s">
        <v>67</v>
      </c>
      <c r="X5561" s="5" t="s">
        <v>67</v>
      </c>
      <c r="Y5561" s="4">
        <v>59</v>
      </c>
      <c r="Z5561" s="4">
        <v>8</v>
      </c>
      <c r="AA5561" s="4">
        <v>110</v>
      </c>
      <c r="AB5561" s="4">
        <v>1</v>
      </c>
      <c r="AC5561" s="4">
        <v>17</v>
      </c>
      <c r="AD5561" s="4">
        <v>26</v>
      </c>
      <c r="AE5561" s="4">
        <v>109</v>
      </c>
      <c r="AF5561" s="4">
        <v>0</v>
      </c>
      <c r="AG5561" s="4">
        <v>8</v>
      </c>
      <c r="AH5561" s="4">
        <v>24</v>
      </c>
      <c r="AI5561" s="4">
        <v>69</v>
      </c>
      <c r="AJ5561" s="4">
        <v>6</v>
      </c>
      <c r="AK5561" s="4">
        <v>22</v>
      </c>
      <c r="AL5561" s="4">
        <v>14</v>
      </c>
      <c r="AM5561" s="4">
        <v>36</v>
      </c>
      <c r="AN5561" s="4">
        <v>0</v>
      </c>
      <c r="AO5561" s="4">
        <v>0</v>
      </c>
      <c r="AP5561" s="4">
        <v>6</v>
      </c>
      <c r="AQ5561" s="4">
        <v>45</v>
      </c>
      <c r="AR5561" s="3" t="s">
        <v>62</v>
      </c>
      <c r="AS5561" s="3" t="s">
        <v>62</v>
      </c>
      <c r="AT5561" s="3" t="s">
        <v>62</v>
      </c>
      <c r="AV5561" s="6" t="str">
        <f>HYPERLINK("http://mcgill.on.worldcat.org/oclc/695860287","Catalog Record")</f>
        <v>Catalog Record</v>
      </c>
      <c r="AW5561" s="6" t="str">
        <f>HYPERLINK("http://www.worldcat.org/oclc/695860287","WorldCat Record")</f>
        <v>WorldCat Record</v>
      </c>
      <c r="AX5561" s="3" t="s">
        <v>53337</v>
      </c>
      <c r="AY5561" s="3" t="s">
        <v>53338</v>
      </c>
      <c r="AZ5561" s="3" t="s">
        <v>53339</v>
      </c>
      <c r="BA5561" s="3" t="s">
        <v>53339</v>
      </c>
      <c r="BB5561" s="3" t="s">
        <v>53340</v>
      </c>
      <c r="BC5561" s="3" t="s">
        <v>142</v>
      </c>
      <c r="BD5561" s="3" t="s">
        <v>68</v>
      </c>
      <c r="BE5561" s="3" t="s">
        <v>53341</v>
      </c>
      <c r="BF5561" s="3" t="s">
        <v>53340</v>
      </c>
      <c r="BG5561" s="3" t="s">
        <v>53342</v>
      </c>
    </row>
    <row r="5562" spans="1:59" ht="57" x14ac:dyDescent="0.45">
      <c r="A5562" s="2" t="s">
        <v>59</v>
      </c>
      <c r="B5562" s="2" t="s">
        <v>60</v>
      </c>
      <c r="C5562" s="2" t="s">
        <v>53343</v>
      </c>
      <c r="D5562" s="2" t="s">
        <v>53344</v>
      </c>
      <c r="E5562" s="2" t="s">
        <v>53345</v>
      </c>
      <c r="G5562" s="3" t="s">
        <v>62</v>
      </c>
      <c r="I5562" s="3" t="s">
        <v>62</v>
      </c>
      <c r="J5562" s="3" t="s">
        <v>62</v>
      </c>
      <c r="K5562" s="3" t="s">
        <v>63</v>
      </c>
      <c r="M5562" s="2" t="s">
        <v>24030</v>
      </c>
      <c r="N5562" s="3" t="s">
        <v>149</v>
      </c>
      <c r="P5562" s="3" t="s">
        <v>65</v>
      </c>
      <c r="Q5562" s="2" t="s">
        <v>53346</v>
      </c>
      <c r="R5562" s="3" t="s">
        <v>66</v>
      </c>
      <c r="S5562" s="4">
        <v>0</v>
      </c>
      <c r="T5562" s="4">
        <v>0</v>
      </c>
      <c r="W5562" s="5" t="s">
        <v>67</v>
      </c>
      <c r="X5562" s="5" t="s">
        <v>67</v>
      </c>
      <c r="Y5562" s="4">
        <v>68</v>
      </c>
      <c r="Z5562" s="4">
        <v>8</v>
      </c>
      <c r="AA5562" s="4">
        <v>91</v>
      </c>
      <c r="AB5562" s="4">
        <v>1</v>
      </c>
      <c r="AC5562" s="4">
        <v>17</v>
      </c>
      <c r="AD5562" s="4">
        <v>36</v>
      </c>
      <c r="AE5562" s="4">
        <v>112</v>
      </c>
      <c r="AF5562" s="4">
        <v>0</v>
      </c>
      <c r="AG5562" s="4">
        <v>8</v>
      </c>
      <c r="AH5562" s="4">
        <v>34</v>
      </c>
      <c r="AI5562" s="4">
        <v>75</v>
      </c>
      <c r="AJ5562" s="4">
        <v>6</v>
      </c>
      <c r="AK5562" s="4">
        <v>23</v>
      </c>
      <c r="AL5562" s="4">
        <v>22</v>
      </c>
      <c r="AM5562" s="4">
        <v>39</v>
      </c>
      <c r="AN5562" s="4">
        <v>0</v>
      </c>
      <c r="AO5562" s="4">
        <v>0</v>
      </c>
      <c r="AP5562" s="4">
        <v>6</v>
      </c>
      <c r="AQ5562" s="4">
        <v>44</v>
      </c>
      <c r="AR5562" s="3" t="s">
        <v>62</v>
      </c>
      <c r="AS5562" s="3" t="s">
        <v>62</v>
      </c>
      <c r="AT5562" s="3" t="s">
        <v>62</v>
      </c>
      <c r="AV5562" s="6" t="str">
        <f>HYPERLINK("http://mcgill.on.worldcat.org/oclc/650442653","Catalog Record")</f>
        <v>Catalog Record</v>
      </c>
      <c r="AW5562" s="6" t="str">
        <f>HYPERLINK("http://www.worldcat.org/oclc/650442653","WorldCat Record")</f>
        <v>WorldCat Record</v>
      </c>
      <c r="AX5562" s="3" t="s">
        <v>53347</v>
      </c>
      <c r="AY5562" s="3" t="s">
        <v>53348</v>
      </c>
      <c r="AZ5562" s="3" t="s">
        <v>53349</v>
      </c>
      <c r="BA5562" s="3" t="s">
        <v>53349</v>
      </c>
      <c r="BB5562" s="3" t="s">
        <v>53350</v>
      </c>
      <c r="BC5562" s="3" t="s">
        <v>142</v>
      </c>
      <c r="BD5562" s="3" t="s">
        <v>68</v>
      </c>
      <c r="BE5562" s="3" t="s">
        <v>53351</v>
      </c>
      <c r="BF5562" s="3" t="s">
        <v>53350</v>
      </c>
      <c r="BG5562" s="3" t="s">
        <v>53352</v>
      </c>
    </row>
    <row r="5563" spans="1:59" ht="57" x14ac:dyDescent="0.45">
      <c r="A5563" s="2" t="s">
        <v>59</v>
      </c>
      <c r="B5563" s="2" t="s">
        <v>60</v>
      </c>
      <c r="C5563" s="2" t="s">
        <v>53353</v>
      </c>
      <c r="D5563" s="2" t="s">
        <v>53354</v>
      </c>
      <c r="E5563" s="2" t="s">
        <v>53355</v>
      </c>
      <c r="G5563" s="3" t="s">
        <v>62</v>
      </c>
      <c r="I5563" s="3" t="s">
        <v>62</v>
      </c>
      <c r="J5563" s="3" t="s">
        <v>62</v>
      </c>
      <c r="K5563" s="3" t="s">
        <v>63</v>
      </c>
      <c r="M5563" s="2" t="s">
        <v>53356</v>
      </c>
      <c r="N5563" s="3" t="s">
        <v>1155</v>
      </c>
      <c r="P5563" s="3" t="s">
        <v>65</v>
      </c>
      <c r="Q5563" s="2" t="s">
        <v>53357</v>
      </c>
      <c r="R5563" s="3" t="s">
        <v>66</v>
      </c>
      <c r="S5563" s="4">
        <v>1</v>
      </c>
      <c r="T5563" s="4">
        <v>1</v>
      </c>
      <c r="U5563" s="5" t="s">
        <v>1358</v>
      </c>
      <c r="V5563" s="5" t="s">
        <v>1358</v>
      </c>
      <c r="W5563" s="5" t="s">
        <v>67</v>
      </c>
      <c r="X5563" s="5" t="s">
        <v>67</v>
      </c>
      <c r="Y5563" s="4">
        <v>63</v>
      </c>
      <c r="Z5563" s="4">
        <v>10</v>
      </c>
      <c r="AA5563" s="4">
        <v>88</v>
      </c>
      <c r="AB5563" s="4">
        <v>1</v>
      </c>
      <c r="AC5563" s="4">
        <v>18</v>
      </c>
      <c r="AD5563" s="4">
        <v>29</v>
      </c>
      <c r="AE5563" s="4">
        <v>104</v>
      </c>
      <c r="AF5563" s="4">
        <v>0</v>
      </c>
      <c r="AG5563" s="4">
        <v>8</v>
      </c>
      <c r="AH5563" s="4">
        <v>25</v>
      </c>
      <c r="AI5563" s="4">
        <v>72</v>
      </c>
      <c r="AJ5563" s="4">
        <v>8</v>
      </c>
      <c r="AK5563" s="4">
        <v>23</v>
      </c>
      <c r="AL5563" s="4">
        <v>11</v>
      </c>
      <c r="AM5563" s="4">
        <v>34</v>
      </c>
      <c r="AN5563" s="4">
        <v>0</v>
      </c>
      <c r="AO5563" s="4">
        <v>0</v>
      </c>
      <c r="AP5563" s="4">
        <v>8</v>
      </c>
      <c r="AQ5563" s="4">
        <v>41</v>
      </c>
      <c r="AR5563" s="3" t="s">
        <v>62</v>
      </c>
      <c r="AS5563" s="3" t="s">
        <v>62</v>
      </c>
      <c r="AT5563" s="3" t="s">
        <v>62</v>
      </c>
      <c r="AV5563" s="6" t="str">
        <f>HYPERLINK("http://mcgill.on.worldcat.org/oclc/747534631","Catalog Record")</f>
        <v>Catalog Record</v>
      </c>
      <c r="AW5563" s="6" t="str">
        <f>HYPERLINK("http://www.worldcat.org/oclc/747534631","WorldCat Record")</f>
        <v>WorldCat Record</v>
      </c>
      <c r="AX5563" s="3" t="s">
        <v>53358</v>
      </c>
      <c r="AY5563" s="3" t="s">
        <v>53359</v>
      </c>
      <c r="AZ5563" s="3" t="s">
        <v>53360</v>
      </c>
      <c r="BA5563" s="3" t="s">
        <v>53360</v>
      </c>
      <c r="BB5563" s="3" t="s">
        <v>53361</v>
      </c>
      <c r="BC5563" s="3" t="s">
        <v>142</v>
      </c>
      <c r="BD5563" s="3" t="s">
        <v>68</v>
      </c>
      <c r="BE5563" s="3" t="s">
        <v>53362</v>
      </c>
      <c r="BF5563" s="3" t="s">
        <v>53361</v>
      </c>
      <c r="BG5563" s="3" t="s">
        <v>53363</v>
      </c>
    </row>
    <row r="5564" spans="1:59" ht="57" x14ac:dyDescent="0.45">
      <c r="A5564" s="2" t="s">
        <v>59</v>
      </c>
      <c r="B5564" s="2" t="s">
        <v>60</v>
      </c>
      <c r="C5564" s="2" t="s">
        <v>53364</v>
      </c>
      <c r="D5564" s="2" t="s">
        <v>53365</v>
      </c>
      <c r="E5564" s="2" t="s">
        <v>53366</v>
      </c>
      <c r="G5564" s="3" t="s">
        <v>62</v>
      </c>
      <c r="I5564" s="3" t="s">
        <v>62</v>
      </c>
      <c r="J5564" s="3" t="s">
        <v>62</v>
      </c>
      <c r="K5564" s="3" t="s">
        <v>63</v>
      </c>
      <c r="M5564" s="2" t="s">
        <v>1314</v>
      </c>
      <c r="N5564" s="3" t="s">
        <v>208</v>
      </c>
      <c r="P5564" s="3" t="s">
        <v>65</v>
      </c>
      <c r="Q5564" s="2" t="s">
        <v>53367</v>
      </c>
      <c r="R5564" s="3" t="s">
        <v>66</v>
      </c>
      <c r="S5564" s="4">
        <v>0</v>
      </c>
      <c r="T5564" s="4">
        <v>0</v>
      </c>
      <c r="W5564" s="5" t="s">
        <v>67</v>
      </c>
      <c r="X5564" s="5" t="s">
        <v>67</v>
      </c>
      <c r="Y5564" s="4">
        <v>64</v>
      </c>
      <c r="Z5564" s="4">
        <v>4</v>
      </c>
      <c r="AA5564" s="4">
        <v>79</v>
      </c>
      <c r="AB5564" s="4">
        <v>1</v>
      </c>
      <c r="AC5564" s="4">
        <v>14</v>
      </c>
      <c r="AD5564" s="4">
        <v>29</v>
      </c>
      <c r="AE5564" s="4">
        <v>108</v>
      </c>
      <c r="AF5564" s="4">
        <v>0</v>
      </c>
      <c r="AG5564" s="4">
        <v>8</v>
      </c>
      <c r="AH5564" s="4">
        <v>28</v>
      </c>
      <c r="AI5564" s="4">
        <v>75</v>
      </c>
      <c r="AJ5564" s="4">
        <v>3</v>
      </c>
      <c r="AK5564" s="4">
        <v>22</v>
      </c>
      <c r="AL5564" s="4">
        <v>16</v>
      </c>
      <c r="AM5564" s="4">
        <v>38</v>
      </c>
      <c r="AN5564" s="4">
        <v>0</v>
      </c>
      <c r="AO5564" s="4">
        <v>0</v>
      </c>
      <c r="AP5564" s="4">
        <v>3</v>
      </c>
      <c r="AQ5564" s="4">
        <v>42</v>
      </c>
      <c r="AR5564" s="3" t="s">
        <v>62</v>
      </c>
      <c r="AS5564" s="3" t="s">
        <v>62</v>
      </c>
      <c r="AT5564" s="3" t="s">
        <v>62</v>
      </c>
      <c r="AV5564" s="6" t="str">
        <f>HYPERLINK("http://mcgill.on.worldcat.org/oclc/932003498","Catalog Record")</f>
        <v>Catalog Record</v>
      </c>
      <c r="AW5564" s="6" t="str">
        <f>HYPERLINK("http://www.worldcat.org/oclc/932003498","WorldCat Record")</f>
        <v>WorldCat Record</v>
      </c>
      <c r="AX5564" s="3" t="s">
        <v>53368</v>
      </c>
      <c r="AY5564" s="3" t="s">
        <v>53369</v>
      </c>
      <c r="AZ5564" s="3" t="s">
        <v>53370</v>
      </c>
      <c r="BA5564" s="3" t="s">
        <v>53370</v>
      </c>
      <c r="BB5564" s="3" t="s">
        <v>53371</v>
      </c>
      <c r="BC5564" s="3" t="s">
        <v>142</v>
      </c>
      <c r="BD5564" s="3" t="s">
        <v>68</v>
      </c>
      <c r="BE5564" s="3" t="s">
        <v>53372</v>
      </c>
      <c r="BF5564" s="3" t="s">
        <v>53371</v>
      </c>
      <c r="BG5564" s="3" t="s">
        <v>53373</v>
      </c>
    </row>
    <row r="5565" spans="1:59" ht="57" x14ac:dyDescent="0.45">
      <c r="A5565" s="2" t="s">
        <v>59</v>
      </c>
      <c r="B5565" s="2" t="s">
        <v>60</v>
      </c>
      <c r="C5565" s="2" t="s">
        <v>53374</v>
      </c>
      <c r="D5565" s="2" t="s">
        <v>53375</v>
      </c>
      <c r="E5565" s="2" t="s">
        <v>53376</v>
      </c>
      <c r="G5565" s="3" t="s">
        <v>62</v>
      </c>
      <c r="I5565" s="3" t="s">
        <v>62</v>
      </c>
      <c r="J5565" s="3" t="s">
        <v>62</v>
      </c>
      <c r="K5565" s="3" t="s">
        <v>63</v>
      </c>
      <c r="L5565" s="2" t="s">
        <v>53377</v>
      </c>
      <c r="M5565" s="2" t="s">
        <v>33841</v>
      </c>
      <c r="N5565" s="3" t="s">
        <v>1155</v>
      </c>
      <c r="P5565" s="3" t="s">
        <v>65</v>
      </c>
      <c r="Q5565" s="2" t="s">
        <v>53378</v>
      </c>
      <c r="R5565" s="3" t="s">
        <v>66</v>
      </c>
      <c r="S5565" s="4">
        <v>1</v>
      </c>
      <c r="T5565" s="4">
        <v>1</v>
      </c>
      <c r="U5565" s="5" t="s">
        <v>33198</v>
      </c>
      <c r="V5565" s="5" t="s">
        <v>33198</v>
      </c>
      <c r="W5565" s="5" t="s">
        <v>67</v>
      </c>
      <c r="X5565" s="5" t="s">
        <v>67</v>
      </c>
      <c r="Y5565" s="4">
        <v>121</v>
      </c>
      <c r="Z5565" s="4">
        <v>15</v>
      </c>
      <c r="AA5565" s="4">
        <v>86</v>
      </c>
      <c r="AB5565" s="4">
        <v>1</v>
      </c>
      <c r="AC5565" s="4">
        <v>14</v>
      </c>
      <c r="AD5565" s="4">
        <v>63</v>
      </c>
      <c r="AE5565" s="4">
        <v>126</v>
      </c>
      <c r="AF5565" s="4">
        <v>0</v>
      </c>
      <c r="AG5565" s="4">
        <v>8</v>
      </c>
      <c r="AH5565" s="4">
        <v>58</v>
      </c>
      <c r="AI5565" s="4">
        <v>91</v>
      </c>
      <c r="AJ5565" s="4">
        <v>11</v>
      </c>
      <c r="AK5565" s="4">
        <v>24</v>
      </c>
      <c r="AL5565" s="4">
        <v>36</v>
      </c>
      <c r="AM5565" s="4">
        <v>48</v>
      </c>
      <c r="AN5565" s="4">
        <v>0</v>
      </c>
      <c r="AO5565" s="4">
        <v>0</v>
      </c>
      <c r="AP5565" s="4">
        <v>11</v>
      </c>
      <c r="AQ5565" s="4">
        <v>45</v>
      </c>
      <c r="AR5565" s="3" t="s">
        <v>62</v>
      </c>
      <c r="AS5565" s="3" t="s">
        <v>62</v>
      </c>
      <c r="AT5565" s="3" t="s">
        <v>62</v>
      </c>
      <c r="AV5565" s="6" t="str">
        <f>HYPERLINK("http://mcgill.on.worldcat.org/oclc/778857640","Catalog Record")</f>
        <v>Catalog Record</v>
      </c>
      <c r="AW5565" s="6" t="str">
        <f>HYPERLINK("http://www.worldcat.org/oclc/778857640","WorldCat Record")</f>
        <v>WorldCat Record</v>
      </c>
      <c r="AX5565" s="3" t="s">
        <v>53379</v>
      </c>
      <c r="AY5565" s="3" t="s">
        <v>53380</v>
      </c>
      <c r="AZ5565" s="3" t="s">
        <v>53381</v>
      </c>
      <c r="BA5565" s="3" t="s">
        <v>53381</v>
      </c>
      <c r="BB5565" s="3" t="s">
        <v>53382</v>
      </c>
      <c r="BC5565" s="3" t="s">
        <v>142</v>
      </c>
      <c r="BD5565" s="3" t="s">
        <v>68</v>
      </c>
      <c r="BE5565" s="3" t="s">
        <v>53383</v>
      </c>
      <c r="BF5565" s="3" t="s">
        <v>53382</v>
      </c>
      <c r="BG5565" s="3" t="s">
        <v>53384</v>
      </c>
    </row>
    <row r="5566" spans="1:59" ht="57" x14ac:dyDescent="0.45">
      <c r="A5566" s="2" t="s">
        <v>59</v>
      </c>
      <c r="B5566" s="2" t="s">
        <v>60</v>
      </c>
      <c r="C5566" s="2" t="s">
        <v>53385</v>
      </c>
      <c r="D5566" s="2" t="s">
        <v>53386</v>
      </c>
      <c r="E5566" s="2" t="s">
        <v>53387</v>
      </c>
      <c r="G5566" s="3" t="s">
        <v>62</v>
      </c>
      <c r="I5566" s="3" t="s">
        <v>62</v>
      </c>
      <c r="J5566" s="3" t="s">
        <v>62</v>
      </c>
      <c r="K5566" s="3" t="s">
        <v>63</v>
      </c>
      <c r="M5566" s="2" t="s">
        <v>43202</v>
      </c>
      <c r="N5566" s="3" t="s">
        <v>1155</v>
      </c>
      <c r="P5566" s="3" t="s">
        <v>65</v>
      </c>
      <c r="Q5566" s="2" t="s">
        <v>53388</v>
      </c>
      <c r="R5566" s="3" t="s">
        <v>66</v>
      </c>
      <c r="S5566" s="4">
        <v>1</v>
      </c>
      <c r="T5566" s="4">
        <v>1</v>
      </c>
      <c r="U5566" s="5" t="s">
        <v>1358</v>
      </c>
      <c r="V5566" s="5" t="s">
        <v>1358</v>
      </c>
      <c r="W5566" s="5" t="s">
        <v>67</v>
      </c>
      <c r="X5566" s="5" t="s">
        <v>67</v>
      </c>
      <c r="Y5566" s="4">
        <v>79</v>
      </c>
      <c r="Z5566" s="4">
        <v>7</v>
      </c>
      <c r="AA5566" s="4">
        <v>79</v>
      </c>
      <c r="AB5566" s="4">
        <v>1</v>
      </c>
      <c r="AC5566" s="4">
        <v>14</v>
      </c>
      <c r="AD5566" s="4">
        <v>32</v>
      </c>
      <c r="AE5566" s="4">
        <v>111</v>
      </c>
      <c r="AF5566" s="4">
        <v>0</v>
      </c>
      <c r="AG5566" s="4">
        <v>8</v>
      </c>
      <c r="AH5566" s="4">
        <v>30</v>
      </c>
      <c r="AI5566" s="4">
        <v>76</v>
      </c>
      <c r="AJ5566" s="4">
        <v>5</v>
      </c>
      <c r="AK5566" s="4">
        <v>22</v>
      </c>
      <c r="AL5566" s="4">
        <v>16</v>
      </c>
      <c r="AM5566" s="4">
        <v>39</v>
      </c>
      <c r="AN5566" s="4">
        <v>0</v>
      </c>
      <c r="AO5566" s="4">
        <v>0</v>
      </c>
      <c r="AP5566" s="4">
        <v>6</v>
      </c>
      <c r="AQ5566" s="4">
        <v>43</v>
      </c>
      <c r="AR5566" s="3" t="s">
        <v>62</v>
      </c>
      <c r="AS5566" s="3" t="s">
        <v>62</v>
      </c>
      <c r="AT5566" s="3" t="s">
        <v>62</v>
      </c>
      <c r="AV5566" s="6" t="str">
        <f>HYPERLINK("http://mcgill.on.worldcat.org/oclc/816818699","Catalog Record")</f>
        <v>Catalog Record</v>
      </c>
      <c r="AW5566" s="6" t="str">
        <f>HYPERLINK("http://www.worldcat.org/oclc/816818699","WorldCat Record")</f>
        <v>WorldCat Record</v>
      </c>
      <c r="AX5566" s="3" t="s">
        <v>53389</v>
      </c>
      <c r="AY5566" s="3" t="s">
        <v>53390</v>
      </c>
      <c r="AZ5566" s="3" t="s">
        <v>53391</v>
      </c>
      <c r="BA5566" s="3" t="s">
        <v>53391</v>
      </c>
      <c r="BB5566" s="3" t="s">
        <v>53392</v>
      </c>
      <c r="BC5566" s="3" t="s">
        <v>142</v>
      </c>
      <c r="BD5566" s="3" t="s">
        <v>68</v>
      </c>
      <c r="BE5566" s="3" t="s">
        <v>53393</v>
      </c>
      <c r="BF5566" s="3" t="s">
        <v>53392</v>
      </c>
      <c r="BG5566" s="3" t="s">
        <v>53394</v>
      </c>
    </row>
    <row r="5567" spans="1:59" ht="57" x14ac:dyDescent="0.45">
      <c r="A5567" s="2" t="s">
        <v>59</v>
      </c>
      <c r="B5567" s="2" t="s">
        <v>60</v>
      </c>
      <c r="C5567" s="2" t="s">
        <v>53395</v>
      </c>
      <c r="D5567" s="2" t="s">
        <v>53396</v>
      </c>
      <c r="E5567" s="2" t="s">
        <v>53397</v>
      </c>
      <c r="G5567" s="3" t="s">
        <v>62</v>
      </c>
      <c r="I5567" s="3" t="s">
        <v>62</v>
      </c>
      <c r="J5567" s="3" t="s">
        <v>62</v>
      </c>
      <c r="K5567" s="3" t="s">
        <v>63</v>
      </c>
      <c r="L5567" s="2" t="s">
        <v>53398</v>
      </c>
      <c r="N5567" s="3" t="s">
        <v>84</v>
      </c>
      <c r="P5567" s="3" t="s">
        <v>65</v>
      </c>
      <c r="R5567" s="3" t="s">
        <v>66</v>
      </c>
      <c r="S5567" s="4">
        <v>1</v>
      </c>
      <c r="T5567" s="4">
        <v>1</v>
      </c>
      <c r="U5567" s="5" t="s">
        <v>3449</v>
      </c>
      <c r="V5567" s="5" t="s">
        <v>3449</v>
      </c>
      <c r="W5567" s="5" t="s">
        <v>67</v>
      </c>
      <c r="X5567" s="5" t="s">
        <v>67</v>
      </c>
      <c r="Y5567" s="4">
        <v>5</v>
      </c>
      <c r="Z5567" s="4">
        <v>2</v>
      </c>
      <c r="AA5567" s="4">
        <v>2</v>
      </c>
      <c r="AB5567" s="4">
        <v>1</v>
      </c>
      <c r="AC5567" s="4">
        <v>1</v>
      </c>
      <c r="AD5567" s="4">
        <v>4</v>
      </c>
      <c r="AE5567" s="4">
        <v>5</v>
      </c>
      <c r="AF5567" s="4">
        <v>0</v>
      </c>
      <c r="AG5567" s="4">
        <v>0</v>
      </c>
      <c r="AH5567" s="4">
        <v>4</v>
      </c>
      <c r="AI5567" s="4">
        <v>5</v>
      </c>
      <c r="AJ5567" s="4">
        <v>1</v>
      </c>
      <c r="AK5567" s="4">
        <v>1</v>
      </c>
      <c r="AL5567" s="4">
        <v>3</v>
      </c>
      <c r="AM5567" s="4">
        <v>4</v>
      </c>
      <c r="AN5567" s="4">
        <v>0</v>
      </c>
      <c r="AO5567" s="4">
        <v>0</v>
      </c>
      <c r="AP5567" s="4">
        <v>1</v>
      </c>
      <c r="AQ5567" s="4">
        <v>1</v>
      </c>
      <c r="AR5567" s="3" t="s">
        <v>62</v>
      </c>
      <c r="AS5567" s="3" t="s">
        <v>62</v>
      </c>
      <c r="AT5567" s="3" t="s">
        <v>62</v>
      </c>
      <c r="AV5567" s="6" t="str">
        <f>HYPERLINK("http://mcgill.on.worldcat.org/oclc/28756827","Catalog Record")</f>
        <v>Catalog Record</v>
      </c>
      <c r="AW5567" s="6" t="str">
        <f>HYPERLINK("http://www.worldcat.org/oclc/28756827","WorldCat Record")</f>
        <v>WorldCat Record</v>
      </c>
      <c r="AX5567" s="3" t="s">
        <v>53399</v>
      </c>
      <c r="AY5567" s="3" t="s">
        <v>53400</v>
      </c>
      <c r="AZ5567" s="3" t="s">
        <v>53401</v>
      </c>
      <c r="BA5567" s="3" t="s">
        <v>53401</v>
      </c>
      <c r="BB5567" s="3" t="s">
        <v>53402</v>
      </c>
      <c r="BC5567" s="3" t="s">
        <v>104</v>
      </c>
      <c r="BD5567" s="3" t="s">
        <v>68</v>
      </c>
      <c r="BF5567" s="3" t="s">
        <v>53402</v>
      </c>
      <c r="BG5567" s="3" t="s">
        <v>53403</v>
      </c>
    </row>
    <row r="5568" spans="1:59" ht="57" x14ac:dyDescent="0.45">
      <c r="A5568" s="2" t="s">
        <v>59</v>
      </c>
      <c r="B5568" s="2" t="s">
        <v>60</v>
      </c>
      <c r="C5568" s="2" t="s">
        <v>53404</v>
      </c>
      <c r="D5568" s="2" t="s">
        <v>53405</v>
      </c>
      <c r="E5568" s="2" t="s">
        <v>53406</v>
      </c>
      <c r="G5568" s="3" t="s">
        <v>62</v>
      </c>
      <c r="I5568" s="3" t="s">
        <v>62</v>
      </c>
      <c r="J5568" s="3" t="s">
        <v>62</v>
      </c>
      <c r="K5568" s="3" t="s">
        <v>63</v>
      </c>
      <c r="M5568" s="2" t="s">
        <v>53407</v>
      </c>
      <c r="N5568" s="3" t="s">
        <v>2417</v>
      </c>
      <c r="P5568" s="3" t="s">
        <v>65</v>
      </c>
      <c r="R5568" s="3" t="s">
        <v>66</v>
      </c>
      <c r="S5568" s="4">
        <v>18</v>
      </c>
      <c r="T5568" s="4">
        <v>18</v>
      </c>
      <c r="U5568" s="5" t="s">
        <v>18297</v>
      </c>
      <c r="V5568" s="5" t="s">
        <v>18297</v>
      </c>
      <c r="W5568" s="5" t="s">
        <v>67</v>
      </c>
      <c r="X5568" s="5" t="s">
        <v>67</v>
      </c>
      <c r="Y5568" s="4">
        <v>228</v>
      </c>
      <c r="Z5568" s="4">
        <v>14</v>
      </c>
      <c r="AA5568" s="4">
        <v>22</v>
      </c>
      <c r="AB5568" s="4">
        <v>1</v>
      </c>
      <c r="AC5568" s="4">
        <v>3</v>
      </c>
      <c r="AD5568" s="4">
        <v>87</v>
      </c>
      <c r="AE5568" s="4">
        <v>94</v>
      </c>
      <c r="AF5568" s="4">
        <v>0</v>
      </c>
      <c r="AG5568" s="4">
        <v>2</v>
      </c>
      <c r="AH5568" s="4">
        <v>78</v>
      </c>
      <c r="AI5568" s="4">
        <v>83</v>
      </c>
      <c r="AJ5568" s="4">
        <v>12</v>
      </c>
      <c r="AK5568" s="4">
        <v>19</v>
      </c>
      <c r="AL5568" s="4">
        <v>47</v>
      </c>
      <c r="AM5568" s="4">
        <v>48</v>
      </c>
      <c r="AN5568" s="4">
        <v>0</v>
      </c>
      <c r="AO5568" s="4">
        <v>0</v>
      </c>
      <c r="AP5568" s="4">
        <v>13</v>
      </c>
      <c r="AQ5568" s="4">
        <v>19</v>
      </c>
      <c r="AR5568" s="3" t="s">
        <v>62</v>
      </c>
      <c r="AS5568" s="3" t="s">
        <v>62</v>
      </c>
      <c r="AT5568" s="3" t="s">
        <v>62</v>
      </c>
      <c r="AV5568" s="6" t="str">
        <f>HYPERLINK("http://mcgill.on.worldcat.org/oclc/16983862","Catalog Record")</f>
        <v>Catalog Record</v>
      </c>
      <c r="AW5568" s="6" t="str">
        <f>HYPERLINK("http://www.worldcat.org/oclc/16983862","WorldCat Record")</f>
        <v>WorldCat Record</v>
      </c>
      <c r="AX5568" s="3" t="s">
        <v>53408</v>
      </c>
      <c r="AY5568" s="3" t="s">
        <v>53409</v>
      </c>
      <c r="AZ5568" s="3" t="s">
        <v>53410</v>
      </c>
      <c r="BA5568" s="3" t="s">
        <v>53410</v>
      </c>
      <c r="BB5568" s="3" t="s">
        <v>53411</v>
      </c>
      <c r="BC5568" s="3" t="s">
        <v>142</v>
      </c>
      <c r="BD5568" s="3" t="s">
        <v>68</v>
      </c>
      <c r="BE5568" s="3" t="s">
        <v>53412</v>
      </c>
      <c r="BF5568" s="3" t="s">
        <v>53411</v>
      </c>
      <c r="BG5568" s="3" t="s">
        <v>53413</v>
      </c>
    </row>
    <row r="5569" spans="1:59" ht="57" x14ac:dyDescent="0.45">
      <c r="A5569" s="2" t="s">
        <v>59</v>
      </c>
      <c r="B5569" s="2" t="s">
        <v>60</v>
      </c>
      <c r="C5569" s="2" t="s">
        <v>53414</v>
      </c>
      <c r="D5569" s="2" t="s">
        <v>53415</v>
      </c>
      <c r="E5569" s="2" t="s">
        <v>53416</v>
      </c>
      <c r="G5569" s="3" t="s">
        <v>62</v>
      </c>
      <c r="I5569" s="3" t="s">
        <v>62</v>
      </c>
      <c r="J5569" s="3" t="s">
        <v>62</v>
      </c>
      <c r="K5569" s="3" t="s">
        <v>63</v>
      </c>
      <c r="M5569" s="2" t="s">
        <v>53417</v>
      </c>
      <c r="N5569" s="3" t="s">
        <v>1059</v>
      </c>
      <c r="P5569" s="3" t="s">
        <v>65</v>
      </c>
      <c r="Q5569" s="2" t="s">
        <v>53418</v>
      </c>
      <c r="R5569" s="3" t="s">
        <v>66</v>
      </c>
      <c r="S5569" s="4">
        <v>7</v>
      </c>
      <c r="T5569" s="4">
        <v>7</v>
      </c>
      <c r="U5569" s="5" t="s">
        <v>7912</v>
      </c>
      <c r="V5569" s="5" t="s">
        <v>7912</v>
      </c>
      <c r="W5569" s="5" t="s">
        <v>67</v>
      </c>
      <c r="X5569" s="5" t="s">
        <v>67</v>
      </c>
      <c r="Y5569" s="4">
        <v>103</v>
      </c>
      <c r="Z5569" s="4">
        <v>10</v>
      </c>
      <c r="AA5569" s="4">
        <v>10</v>
      </c>
      <c r="AB5569" s="4">
        <v>1</v>
      </c>
      <c r="AC5569" s="4">
        <v>1</v>
      </c>
      <c r="AD5569" s="4">
        <v>47</v>
      </c>
      <c r="AE5569" s="4">
        <v>47</v>
      </c>
      <c r="AF5569" s="4">
        <v>0</v>
      </c>
      <c r="AG5569" s="4">
        <v>0</v>
      </c>
      <c r="AH5569" s="4">
        <v>45</v>
      </c>
      <c r="AI5569" s="4">
        <v>45</v>
      </c>
      <c r="AJ5569" s="4">
        <v>8</v>
      </c>
      <c r="AK5569" s="4">
        <v>8</v>
      </c>
      <c r="AL5569" s="4">
        <v>30</v>
      </c>
      <c r="AM5569" s="4">
        <v>30</v>
      </c>
      <c r="AN5569" s="4">
        <v>0</v>
      </c>
      <c r="AO5569" s="4">
        <v>0</v>
      </c>
      <c r="AP5569" s="4">
        <v>8</v>
      </c>
      <c r="AQ5569" s="4">
        <v>8</v>
      </c>
      <c r="AR5569" s="3" t="s">
        <v>62</v>
      </c>
      <c r="AS5569" s="3" t="s">
        <v>62</v>
      </c>
      <c r="AT5569" s="3" t="s">
        <v>62</v>
      </c>
      <c r="AV5569" s="6" t="str">
        <f>HYPERLINK("http://mcgill.on.worldcat.org/oclc/67840249","Catalog Record")</f>
        <v>Catalog Record</v>
      </c>
      <c r="AW5569" s="6" t="str">
        <f>HYPERLINK("http://www.worldcat.org/oclc/67840249","WorldCat Record")</f>
        <v>WorldCat Record</v>
      </c>
      <c r="AX5569" s="3" t="s">
        <v>53419</v>
      </c>
      <c r="AY5569" s="3" t="s">
        <v>53420</v>
      </c>
      <c r="AZ5569" s="3" t="s">
        <v>53421</v>
      </c>
      <c r="BA5569" s="3" t="s">
        <v>53421</v>
      </c>
      <c r="BB5569" s="3" t="s">
        <v>53422</v>
      </c>
      <c r="BC5569" s="3" t="s">
        <v>142</v>
      </c>
      <c r="BD5569" s="3" t="s">
        <v>68</v>
      </c>
      <c r="BE5569" s="3" t="s">
        <v>53423</v>
      </c>
      <c r="BF5569" s="3" t="s">
        <v>53422</v>
      </c>
      <c r="BG5569" s="3" t="s">
        <v>53424</v>
      </c>
    </row>
    <row r="5570" spans="1:59" ht="57" x14ac:dyDescent="0.45">
      <c r="A5570" s="2" t="s">
        <v>59</v>
      </c>
      <c r="B5570" s="2" t="s">
        <v>60</v>
      </c>
      <c r="C5570" s="2" t="s">
        <v>53425</v>
      </c>
      <c r="D5570" s="2" t="s">
        <v>53426</v>
      </c>
      <c r="E5570" s="2" t="s">
        <v>53427</v>
      </c>
      <c r="G5570" s="3" t="s">
        <v>62</v>
      </c>
      <c r="I5570" s="3" t="s">
        <v>62</v>
      </c>
      <c r="J5570" s="3" t="s">
        <v>62</v>
      </c>
      <c r="K5570" s="3" t="s">
        <v>63</v>
      </c>
      <c r="M5570" s="2" t="s">
        <v>51265</v>
      </c>
      <c r="N5570" s="3" t="s">
        <v>208</v>
      </c>
      <c r="P5570" s="3" t="s">
        <v>65</v>
      </c>
      <c r="Q5570" s="2" t="s">
        <v>53428</v>
      </c>
      <c r="R5570" s="3" t="s">
        <v>66</v>
      </c>
      <c r="S5570" s="4">
        <v>0</v>
      </c>
      <c r="T5570" s="4">
        <v>0</v>
      </c>
      <c r="W5570" s="5" t="s">
        <v>67</v>
      </c>
      <c r="X5570" s="5" t="s">
        <v>67</v>
      </c>
      <c r="Y5570" s="4">
        <v>53</v>
      </c>
      <c r="Z5570" s="4">
        <v>5</v>
      </c>
      <c r="AA5570" s="4">
        <v>77</v>
      </c>
      <c r="AB5570" s="4">
        <v>1</v>
      </c>
      <c r="AC5570" s="4">
        <v>14</v>
      </c>
      <c r="AD5570" s="4">
        <v>28</v>
      </c>
      <c r="AE5570" s="4">
        <v>104</v>
      </c>
      <c r="AF5570" s="4">
        <v>0</v>
      </c>
      <c r="AG5570" s="4">
        <v>8</v>
      </c>
      <c r="AH5570" s="4">
        <v>27</v>
      </c>
      <c r="AI5570" s="4">
        <v>71</v>
      </c>
      <c r="AJ5570" s="4">
        <v>3</v>
      </c>
      <c r="AK5570" s="4">
        <v>21</v>
      </c>
      <c r="AL5570" s="4">
        <v>19</v>
      </c>
      <c r="AM5570" s="4">
        <v>37</v>
      </c>
      <c r="AN5570" s="4">
        <v>0</v>
      </c>
      <c r="AO5570" s="4">
        <v>0</v>
      </c>
      <c r="AP5570" s="4">
        <v>3</v>
      </c>
      <c r="AQ5570" s="4">
        <v>41</v>
      </c>
      <c r="AR5570" s="3" t="s">
        <v>62</v>
      </c>
      <c r="AS5570" s="3" t="s">
        <v>62</v>
      </c>
      <c r="AT5570" s="3" t="s">
        <v>62</v>
      </c>
      <c r="AV5570" s="6" t="str">
        <f>HYPERLINK("http://mcgill.on.worldcat.org/oclc/910596122","Catalog Record")</f>
        <v>Catalog Record</v>
      </c>
      <c r="AW5570" s="6" t="str">
        <f>HYPERLINK("http://www.worldcat.org/oclc/910596122","WorldCat Record")</f>
        <v>WorldCat Record</v>
      </c>
      <c r="AX5570" s="3" t="s">
        <v>53429</v>
      </c>
      <c r="AY5570" s="3" t="s">
        <v>53430</v>
      </c>
      <c r="AZ5570" s="3" t="s">
        <v>53431</v>
      </c>
      <c r="BA5570" s="3" t="s">
        <v>53431</v>
      </c>
      <c r="BB5570" s="3" t="s">
        <v>53432</v>
      </c>
      <c r="BC5570" s="3" t="s">
        <v>142</v>
      </c>
      <c r="BD5570" s="3" t="s">
        <v>68</v>
      </c>
      <c r="BE5570" s="3" t="s">
        <v>53433</v>
      </c>
      <c r="BF5570" s="3" t="s">
        <v>53432</v>
      </c>
      <c r="BG5570" s="3" t="s">
        <v>53434</v>
      </c>
    </row>
    <row r="5571" spans="1:59" ht="57" x14ac:dyDescent="0.45">
      <c r="A5571" s="2" t="s">
        <v>59</v>
      </c>
      <c r="B5571" s="2" t="s">
        <v>60</v>
      </c>
      <c r="C5571" s="2" t="s">
        <v>53435</v>
      </c>
      <c r="D5571" s="2" t="s">
        <v>53436</v>
      </c>
      <c r="E5571" s="2" t="s">
        <v>53437</v>
      </c>
      <c r="G5571" s="3" t="s">
        <v>62</v>
      </c>
      <c r="I5571" s="3" t="s">
        <v>62</v>
      </c>
      <c r="J5571" s="3" t="s">
        <v>62</v>
      </c>
      <c r="K5571" s="3" t="s">
        <v>63</v>
      </c>
      <c r="L5571" s="2" t="s">
        <v>53438</v>
      </c>
      <c r="M5571" s="2" t="s">
        <v>27587</v>
      </c>
      <c r="N5571" s="3" t="s">
        <v>894</v>
      </c>
      <c r="P5571" s="3" t="s">
        <v>65</v>
      </c>
      <c r="R5571" s="3" t="s">
        <v>66</v>
      </c>
      <c r="S5571" s="4">
        <v>0</v>
      </c>
      <c r="T5571" s="4">
        <v>0</v>
      </c>
      <c r="W5571" s="5" t="s">
        <v>67</v>
      </c>
      <c r="X5571" s="5" t="s">
        <v>67</v>
      </c>
      <c r="Y5571" s="4">
        <v>42</v>
      </c>
      <c r="Z5571" s="4">
        <v>7</v>
      </c>
      <c r="AA5571" s="4">
        <v>75</v>
      </c>
      <c r="AB5571" s="4">
        <v>1</v>
      </c>
      <c r="AC5571" s="4">
        <v>14</v>
      </c>
      <c r="AD5571" s="4">
        <v>21</v>
      </c>
      <c r="AE5571" s="4">
        <v>84</v>
      </c>
      <c r="AF5571" s="4">
        <v>0</v>
      </c>
      <c r="AG5571" s="4">
        <v>8</v>
      </c>
      <c r="AH5571" s="4">
        <v>19</v>
      </c>
      <c r="AI5571" s="4">
        <v>52</v>
      </c>
      <c r="AJ5571" s="4">
        <v>6</v>
      </c>
      <c r="AK5571" s="4">
        <v>20</v>
      </c>
      <c r="AL5571" s="4">
        <v>12</v>
      </c>
      <c r="AM5571" s="4">
        <v>25</v>
      </c>
      <c r="AN5571" s="4">
        <v>0</v>
      </c>
      <c r="AO5571" s="4">
        <v>0</v>
      </c>
      <c r="AP5571" s="4">
        <v>6</v>
      </c>
      <c r="AQ5571" s="4">
        <v>40</v>
      </c>
      <c r="AR5571" s="3" t="s">
        <v>62</v>
      </c>
      <c r="AS5571" s="3" t="s">
        <v>62</v>
      </c>
      <c r="AT5571" s="3" t="s">
        <v>62</v>
      </c>
      <c r="AV5571" s="6" t="str">
        <f>HYPERLINK("http://mcgill.on.worldcat.org/oclc/741733778","Catalog Record")</f>
        <v>Catalog Record</v>
      </c>
      <c r="AW5571" s="6" t="str">
        <f>HYPERLINK("http://www.worldcat.org/oclc/741733778","WorldCat Record")</f>
        <v>WorldCat Record</v>
      </c>
      <c r="AX5571" s="3" t="s">
        <v>53439</v>
      </c>
      <c r="AY5571" s="3" t="s">
        <v>53440</v>
      </c>
      <c r="AZ5571" s="3" t="s">
        <v>53441</v>
      </c>
      <c r="BA5571" s="3" t="s">
        <v>53441</v>
      </c>
      <c r="BB5571" s="3" t="s">
        <v>53442</v>
      </c>
      <c r="BC5571" s="3" t="s">
        <v>142</v>
      </c>
      <c r="BD5571" s="3" t="s">
        <v>68</v>
      </c>
      <c r="BE5571" s="3" t="s">
        <v>53443</v>
      </c>
      <c r="BF5571" s="3" t="s">
        <v>53442</v>
      </c>
      <c r="BG5571" s="3" t="s">
        <v>53444</v>
      </c>
    </row>
    <row r="5572" spans="1:59" ht="57" x14ac:dyDescent="0.45">
      <c r="A5572" s="2" t="s">
        <v>59</v>
      </c>
      <c r="B5572" s="2" t="s">
        <v>60</v>
      </c>
      <c r="C5572" s="2" t="s">
        <v>53445</v>
      </c>
      <c r="D5572" s="2" t="s">
        <v>53446</v>
      </c>
      <c r="E5572" s="2" t="s">
        <v>53447</v>
      </c>
      <c r="G5572" s="3" t="s">
        <v>62</v>
      </c>
      <c r="I5572" s="3" t="s">
        <v>62</v>
      </c>
      <c r="J5572" s="3" t="s">
        <v>62</v>
      </c>
      <c r="K5572" s="3" t="s">
        <v>63</v>
      </c>
      <c r="L5572" s="2" t="s">
        <v>53448</v>
      </c>
      <c r="M5572" s="2" t="s">
        <v>53449</v>
      </c>
      <c r="N5572" s="3" t="s">
        <v>1437</v>
      </c>
      <c r="P5572" s="3" t="s">
        <v>65</v>
      </c>
      <c r="R5572" s="3" t="s">
        <v>66</v>
      </c>
      <c r="S5572" s="4">
        <v>16</v>
      </c>
      <c r="T5572" s="4">
        <v>16</v>
      </c>
      <c r="U5572" s="5" t="s">
        <v>26695</v>
      </c>
      <c r="V5572" s="5" t="s">
        <v>26695</v>
      </c>
      <c r="W5572" s="5" t="s">
        <v>67</v>
      </c>
      <c r="X5572" s="5" t="s">
        <v>67</v>
      </c>
      <c r="Y5572" s="4">
        <v>174</v>
      </c>
      <c r="Z5572" s="4">
        <v>9</v>
      </c>
      <c r="AA5572" s="4">
        <v>10</v>
      </c>
      <c r="AB5572" s="4">
        <v>1</v>
      </c>
      <c r="AC5572" s="4">
        <v>2</v>
      </c>
      <c r="AD5572" s="4">
        <v>87</v>
      </c>
      <c r="AE5572" s="4">
        <v>88</v>
      </c>
      <c r="AF5572" s="4">
        <v>0</v>
      </c>
      <c r="AG5572" s="4">
        <v>1</v>
      </c>
      <c r="AH5572" s="4">
        <v>81</v>
      </c>
      <c r="AI5572" s="4">
        <v>81</v>
      </c>
      <c r="AJ5572" s="4">
        <v>7</v>
      </c>
      <c r="AK5572" s="4">
        <v>8</v>
      </c>
      <c r="AL5572" s="4">
        <v>52</v>
      </c>
      <c r="AM5572" s="4">
        <v>52</v>
      </c>
      <c r="AN5572" s="4">
        <v>0</v>
      </c>
      <c r="AO5572" s="4">
        <v>0</v>
      </c>
      <c r="AP5572" s="4">
        <v>7</v>
      </c>
      <c r="AQ5572" s="4">
        <v>7</v>
      </c>
      <c r="AR5572" s="3" t="s">
        <v>62</v>
      </c>
      <c r="AS5572" s="3" t="s">
        <v>62</v>
      </c>
      <c r="AT5572" s="3" t="s">
        <v>62</v>
      </c>
      <c r="AV5572" s="6" t="str">
        <f>HYPERLINK("http://mcgill.on.worldcat.org/oclc/38908567","Catalog Record")</f>
        <v>Catalog Record</v>
      </c>
      <c r="AW5572" s="6" t="str">
        <f>HYPERLINK("http://www.worldcat.org/oclc/38908567","WorldCat Record")</f>
        <v>WorldCat Record</v>
      </c>
      <c r="AX5572" s="3" t="s">
        <v>53450</v>
      </c>
      <c r="AY5572" s="3" t="s">
        <v>53451</v>
      </c>
      <c r="AZ5572" s="3" t="s">
        <v>53452</v>
      </c>
      <c r="BA5572" s="3" t="s">
        <v>53452</v>
      </c>
      <c r="BB5572" s="3" t="s">
        <v>53453</v>
      </c>
      <c r="BC5572" s="3" t="s">
        <v>142</v>
      </c>
      <c r="BD5572" s="3" t="s">
        <v>68</v>
      </c>
      <c r="BE5572" s="3" t="s">
        <v>53454</v>
      </c>
      <c r="BF5572" s="3" t="s">
        <v>53453</v>
      </c>
      <c r="BG5572" s="3" t="s">
        <v>53455</v>
      </c>
    </row>
    <row r="5573" spans="1:59" ht="57" x14ac:dyDescent="0.45">
      <c r="A5573" s="2" t="s">
        <v>59</v>
      </c>
      <c r="B5573" s="2" t="s">
        <v>60</v>
      </c>
      <c r="C5573" s="2" t="s">
        <v>53456</v>
      </c>
      <c r="D5573" s="2" t="s">
        <v>53457</v>
      </c>
      <c r="E5573" s="2" t="s">
        <v>53458</v>
      </c>
      <c r="G5573" s="3" t="s">
        <v>62</v>
      </c>
      <c r="I5573" s="3" t="s">
        <v>62</v>
      </c>
      <c r="J5573" s="3" t="s">
        <v>62</v>
      </c>
      <c r="K5573" s="3" t="s">
        <v>63</v>
      </c>
      <c r="L5573" s="2" t="s">
        <v>53459</v>
      </c>
      <c r="M5573" s="2" t="s">
        <v>1266</v>
      </c>
      <c r="N5573" s="3" t="s">
        <v>1059</v>
      </c>
      <c r="P5573" s="3" t="s">
        <v>65</v>
      </c>
      <c r="Q5573" s="2" t="s">
        <v>29735</v>
      </c>
      <c r="R5573" s="3" t="s">
        <v>66</v>
      </c>
      <c r="S5573" s="4">
        <v>7</v>
      </c>
      <c r="T5573" s="4">
        <v>7</v>
      </c>
      <c r="U5573" s="5" t="s">
        <v>12377</v>
      </c>
      <c r="V5573" s="5" t="s">
        <v>12377</v>
      </c>
      <c r="W5573" s="5" t="s">
        <v>67</v>
      </c>
      <c r="X5573" s="5" t="s">
        <v>67</v>
      </c>
      <c r="Y5573" s="4">
        <v>170</v>
      </c>
      <c r="Z5573" s="4">
        <v>14</v>
      </c>
      <c r="AA5573" s="4">
        <v>14</v>
      </c>
      <c r="AB5573" s="4">
        <v>1</v>
      </c>
      <c r="AC5573" s="4">
        <v>1</v>
      </c>
      <c r="AD5573" s="4">
        <v>63</v>
      </c>
      <c r="AE5573" s="4">
        <v>63</v>
      </c>
      <c r="AF5573" s="4">
        <v>0</v>
      </c>
      <c r="AG5573" s="4">
        <v>0</v>
      </c>
      <c r="AH5573" s="4">
        <v>59</v>
      </c>
      <c r="AI5573" s="4">
        <v>59</v>
      </c>
      <c r="AJ5573" s="4">
        <v>11</v>
      </c>
      <c r="AK5573" s="4">
        <v>11</v>
      </c>
      <c r="AL5573" s="4">
        <v>35</v>
      </c>
      <c r="AM5573" s="4">
        <v>35</v>
      </c>
      <c r="AN5573" s="4">
        <v>0</v>
      </c>
      <c r="AO5573" s="4">
        <v>0</v>
      </c>
      <c r="AP5573" s="4">
        <v>11</v>
      </c>
      <c r="AQ5573" s="4">
        <v>11</v>
      </c>
      <c r="AR5573" s="3" t="s">
        <v>62</v>
      </c>
      <c r="AS5573" s="3" t="s">
        <v>62</v>
      </c>
      <c r="AT5573" s="3" t="s">
        <v>62</v>
      </c>
      <c r="AV5573" s="6" t="str">
        <f>HYPERLINK("http://mcgill.on.worldcat.org/oclc/64312942","Catalog Record")</f>
        <v>Catalog Record</v>
      </c>
      <c r="AW5573" s="6" t="str">
        <f>HYPERLINK("http://www.worldcat.org/oclc/64312942","WorldCat Record")</f>
        <v>WorldCat Record</v>
      </c>
      <c r="AX5573" s="3" t="s">
        <v>53460</v>
      </c>
      <c r="AY5573" s="3" t="s">
        <v>53461</v>
      </c>
      <c r="AZ5573" s="3" t="s">
        <v>53462</v>
      </c>
      <c r="BA5573" s="3" t="s">
        <v>53462</v>
      </c>
      <c r="BB5573" s="3" t="s">
        <v>53463</v>
      </c>
      <c r="BC5573" s="3" t="s">
        <v>142</v>
      </c>
      <c r="BD5573" s="3" t="s">
        <v>68</v>
      </c>
      <c r="BE5573" s="3" t="s">
        <v>53464</v>
      </c>
      <c r="BF5573" s="3" t="s">
        <v>53463</v>
      </c>
      <c r="BG5573" s="3" t="s">
        <v>53465</v>
      </c>
    </row>
    <row r="5574" spans="1:59" ht="57" x14ac:dyDescent="0.45">
      <c r="A5574" s="2" t="s">
        <v>59</v>
      </c>
      <c r="B5574" s="2" t="s">
        <v>60</v>
      </c>
      <c r="C5574" s="2" t="s">
        <v>53466</v>
      </c>
      <c r="D5574" s="2" t="s">
        <v>53467</v>
      </c>
      <c r="E5574" s="2" t="s">
        <v>53468</v>
      </c>
      <c r="G5574" s="3" t="s">
        <v>62</v>
      </c>
      <c r="I5574" s="3" t="s">
        <v>62</v>
      </c>
      <c r="J5574" s="3" t="s">
        <v>62</v>
      </c>
      <c r="K5574" s="3" t="s">
        <v>63</v>
      </c>
      <c r="L5574" s="2" t="s">
        <v>53469</v>
      </c>
      <c r="M5574" s="2" t="s">
        <v>38388</v>
      </c>
      <c r="N5574" s="3" t="s">
        <v>181</v>
      </c>
      <c r="O5574" s="2" t="s">
        <v>1748</v>
      </c>
      <c r="P5574" s="3" t="s">
        <v>65</v>
      </c>
      <c r="Q5574" s="2" t="s">
        <v>21253</v>
      </c>
      <c r="R5574" s="3" t="s">
        <v>66</v>
      </c>
      <c r="S5574" s="4">
        <v>3</v>
      </c>
      <c r="T5574" s="4">
        <v>3</v>
      </c>
      <c r="U5574" s="5" t="s">
        <v>15621</v>
      </c>
      <c r="V5574" s="5" t="s">
        <v>15621</v>
      </c>
      <c r="W5574" s="5" t="s">
        <v>67</v>
      </c>
      <c r="X5574" s="5" t="s">
        <v>67</v>
      </c>
      <c r="Y5574" s="4">
        <v>66</v>
      </c>
      <c r="Z5574" s="4">
        <v>5</v>
      </c>
      <c r="AA5574" s="4">
        <v>15</v>
      </c>
      <c r="AB5574" s="4">
        <v>1</v>
      </c>
      <c r="AC5574" s="4">
        <v>4</v>
      </c>
      <c r="AD5574" s="4">
        <v>31</v>
      </c>
      <c r="AE5574" s="4">
        <v>52</v>
      </c>
      <c r="AF5574" s="4">
        <v>0</v>
      </c>
      <c r="AG5574" s="4">
        <v>0</v>
      </c>
      <c r="AH5574" s="4">
        <v>29</v>
      </c>
      <c r="AI5574" s="4">
        <v>47</v>
      </c>
      <c r="AJ5574" s="4">
        <v>2</v>
      </c>
      <c r="AK5574" s="4">
        <v>7</v>
      </c>
      <c r="AL5574" s="4">
        <v>21</v>
      </c>
      <c r="AM5574" s="4">
        <v>30</v>
      </c>
      <c r="AN5574" s="4">
        <v>0</v>
      </c>
      <c r="AO5574" s="4">
        <v>0</v>
      </c>
      <c r="AP5574" s="4">
        <v>2</v>
      </c>
      <c r="AQ5574" s="4">
        <v>9</v>
      </c>
      <c r="AR5574" s="3" t="s">
        <v>62</v>
      </c>
      <c r="AS5574" s="3" t="s">
        <v>62</v>
      </c>
      <c r="AT5574" s="3" t="s">
        <v>62</v>
      </c>
      <c r="AV5574" s="6" t="str">
        <f>HYPERLINK("http://mcgill.on.worldcat.org/oclc/936615026","Catalog Record")</f>
        <v>Catalog Record</v>
      </c>
      <c r="AW5574" s="6" t="str">
        <f>HYPERLINK("http://www.worldcat.org/oclc/936615026","WorldCat Record")</f>
        <v>WorldCat Record</v>
      </c>
      <c r="AX5574" s="3" t="s">
        <v>53470</v>
      </c>
      <c r="AY5574" s="3" t="s">
        <v>53471</v>
      </c>
      <c r="AZ5574" s="3" t="s">
        <v>53472</v>
      </c>
      <c r="BA5574" s="3" t="s">
        <v>53472</v>
      </c>
      <c r="BB5574" s="3" t="s">
        <v>53473</v>
      </c>
      <c r="BC5574" s="3" t="s">
        <v>142</v>
      </c>
      <c r="BD5574" s="3" t="s">
        <v>68</v>
      </c>
      <c r="BE5574" s="3" t="s">
        <v>53474</v>
      </c>
      <c r="BF5574" s="3" t="s">
        <v>53473</v>
      </c>
      <c r="BG5574" s="3" t="s">
        <v>53475</v>
      </c>
    </row>
    <row r="5575" spans="1:59" ht="57" x14ac:dyDescent="0.45">
      <c r="A5575" s="2" t="s">
        <v>59</v>
      </c>
      <c r="B5575" s="2" t="s">
        <v>60</v>
      </c>
      <c r="C5575" s="2" t="s">
        <v>53476</v>
      </c>
      <c r="D5575" s="2" t="s">
        <v>53477</v>
      </c>
      <c r="E5575" s="2" t="s">
        <v>53478</v>
      </c>
      <c r="F5575" s="3" t="s">
        <v>87</v>
      </c>
      <c r="G5575" s="3" t="s">
        <v>61</v>
      </c>
      <c r="I5575" s="3" t="s">
        <v>62</v>
      </c>
      <c r="J5575" s="3" t="s">
        <v>62</v>
      </c>
      <c r="K5575" s="3" t="s">
        <v>63</v>
      </c>
      <c r="L5575" s="2" t="s">
        <v>53479</v>
      </c>
      <c r="M5575" s="2" t="s">
        <v>53480</v>
      </c>
      <c r="N5575" s="3" t="s">
        <v>149</v>
      </c>
      <c r="P5575" s="3" t="s">
        <v>65</v>
      </c>
      <c r="R5575" s="3" t="s">
        <v>66</v>
      </c>
      <c r="S5575" s="4">
        <v>1</v>
      </c>
      <c r="T5575" s="4">
        <v>2</v>
      </c>
      <c r="U5575" s="5" t="s">
        <v>53481</v>
      </c>
      <c r="V5575" s="5" t="s">
        <v>53481</v>
      </c>
      <c r="W5575" s="5" t="s">
        <v>67</v>
      </c>
      <c r="X5575" s="5" t="s">
        <v>67</v>
      </c>
      <c r="Y5575" s="4">
        <v>75</v>
      </c>
      <c r="Z5575" s="4">
        <v>6</v>
      </c>
      <c r="AA5575" s="4">
        <v>72</v>
      </c>
      <c r="AB5575" s="4">
        <v>1</v>
      </c>
      <c r="AC5575" s="4">
        <v>14</v>
      </c>
      <c r="AD5575" s="4">
        <v>31</v>
      </c>
      <c r="AE5575" s="4">
        <v>98</v>
      </c>
      <c r="AF5575" s="4">
        <v>0</v>
      </c>
      <c r="AG5575" s="4">
        <v>8</v>
      </c>
      <c r="AH5575" s="4">
        <v>29</v>
      </c>
      <c r="AI5575" s="4">
        <v>69</v>
      </c>
      <c r="AJ5575" s="4">
        <v>5</v>
      </c>
      <c r="AK5575" s="4">
        <v>20</v>
      </c>
      <c r="AL5575" s="4">
        <v>18</v>
      </c>
      <c r="AM5575" s="4">
        <v>34</v>
      </c>
      <c r="AN5575" s="4">
        <v>0</v>
      </c>
      <c r="AO5575" s="4">
        <v>0</v>
      </c>
      <c r="AP5575" s="4">
        <v>5</v>
      </c>
      <c r="AQ5575" s="4">
        <v>36</v>
      </c>
      <c r="AR5575" s="3" t="s">
        <v>62</v>
      </c>
      <c r="AS5575" s="3" t="s">
        <v>62</v>
      </c>
      <c r="AT5575" s="3" t="s">
        <v>62</v>
      </c>
      <c r="AV5575" s="6" t="str">
        <f>HYPERLINK("http://mcgill.on.worldcat.org/oclc/437083459","Catalog Record")</f>
        <v>Catalog Record</v>
      </c>
      <c r="AW5575" s="6" t="str">
        <f>HYPERLINK("http://www.worldcat.org/oclc/437083459","WorldCat Record")</f>
        <v>WorldCat Record</v>
      </c>
      <c r="AX5575" s="3" t="s">
        <v>53482</v>
      </c>
      <c r="AY5575" s="3" t="s">
        <v>53483</v>
      </c>
      <c r="AZ5575" s="3" t="s">
        <v>53484</v>
      </c>
      <c r="BA5575" s="3" t="s">
        <v>53484</v>
      </c>
      <c r="BB5575" s="3" t="s">
        <v>53485</v>
      </c>
      <c r="BC5575" s="3" t="s">
        <v>142</v>
      </c>
      <c r="BD5575" s="3" t="s">
        <v>68</v>
      </c>
      <c r="BE5575" s="3" t="s">
        <v>53486</v>
      </c>
      <c r="BF5575" s="3" t="s">
        <v>53485</v>
      </c>
      <c r="BG5575" s="3" t="s">
        <v>53487</v>
      </c>
    </row>
    <row r="5576" spans="1:59" ht="57" x14ac:dyDescent="0.45">
      <c r="A5576" s="2" t="s">
        <v>59</v>
      </c>
      <c r="B5576" s="2" t="s">
        <v>60</v>
      </c>
      <c r="C5576" s="2" t="s">
        <v>53476</v>
      </c>
      <c r="D5576" s="2" t="s">
        <v>53477</v>
      </c>
      <c r="E5576" s="2" t="s">
        <v>53478</v>
      </c>
      <c r="F5576" s="3" t="s">
        <v>90</v>
      </c>
      <c r="G5576" s="3" t="s">
        <v>61</v>
      </c>
      <c r="I5576" s="3" t="s">
        <v>62</v>
      </c>
      <c r="J5576" s="3" t="s">
        <v>62</v>
      </c>
      <c r="K5576" s="3" t="s">
        <v>63</v>
      </c>
      <c r="L5576" s="2" t="s">
        <v>53479</v>
      </c>
      <c r="M5576" s="2" t="s">
        <v>53480</v>
      </c>
      <c r="N5576" s="3" t="s">
        <v>149</v>
      </c>
      <c r="P5576" s="3" t="s">
        <v>65</v>
      </c>
      <c r="R5576" s="3" t="s">
        <v>66</v>
      </c>
      <c r="S5576" s="4">
        <v>1</v>
      </c>
      <c r="T5576" s="4">
        <v>2</v>
      </c>
      <c r="U5576" s="5" t="s">
        <v>53481</v>
      </c>
      <c r="V5576" s="5" t="s">
        <v>53481</v>
      </c>
      <c r="W5576" s="5" t="s">
        <v>67</v>
      </c>
      <c r="X5576" s="5" t="s">
        <v>67</v>
      </c>
      <c r="Y5576" s="4">
        <v>75</v>
      </c>
      <c r="Z5576" s="4">
        <v>6</v>
      </c>
      <c r="AA5576" s="4">
        <v>72</v>
      </c>
      <c r="AB5576" s="4">
        <v>1</v>
      </c>
      <c r="AC5576" s="4">
        <v>14</v>
      </c>
      <c r="AD5576" s="4">
        <v>31</v>
      </c>
      <c r="AE5576" s="4">
        <v>98</v>
      </c>
      <c r="AF5576" s="4">
        <v>0</v>
      </c>
      <c r="AG5576" s="4">
        <v>8</v>
      </c>
      <c r="AH5576" s="4">
        <v>29</v>
      </c>
      <c r="AI5576" s="4">
        <v>69</v>
      </c>
      <c r="AJ5576" s="4">
        <v>5</v>
      </c>
      <c r="AK5576" s="4">
        <v>20</v>
      </c>
      <c r="AL5576" s="4">
        <v>18</v>
      </c>
      <c r="AM5576" s="4">
        <v>34</v>
      </c>
      <c r="AN5576" s="4">
        <v>0</v>
      </c>
      <c r="AO5576" s="4">
        <v>0</v>
      </c>
      <c r="AP5576" s="4">
        <v>5</v>
      </c>
      <c r="AQ5576" s="4">
        <v>36</v>
      </c>
      <c r="AR5576" s="3" t="s">
        <v>62</v>
      </c>
      <c r="AS5576" s="3" t="s">
        <v>62</v>
      </c>
      <c r="AT5576" s="3" t="s">
        <v>62</v>
      </c>
      <c r="AV5576" s="6" t="str">
        <f>HYPERLINK("http://mcgill.on.worldcat.org/oclc/437083459","Catalog Record")</f>
        <v>Catalog Record</v>
      </c>
      <c r="AW5576" s="6" t="str">
        <f>HYPERLINK("http://www.worldcat.org/oclc/437083459","WorldCat Record")</f>
        <v>WorldCat Record</v>
      </c>
      <c r="AX5576" s="3" t="s">
        <v>53482</v>
      </c>
      <c r="AY5576" s="3" t="s">
        <v>53483</v>
      </c>
      <c r="AZ5576" s="3" t="s">
        <v>53484</v>
      </c>
      <c r="BA5576" s="3" t="s">
        <v>53484</v>
      </c>
      <c r="BB5576" s="3" t="s">
        <v>53488</v>
      </c>
      <c r="BC5576" s="3" t="s">
        <v>142</v>
      </c>
      <c r="BD5576" s="3" t="s">
        <v>68</v>
      </c>
      <c r="BE5576" s="3" t="s">
        <v>53486</v>
      </c>
      <c r="BF5576" s="3" t="s">
        <v>53488</v>
      </c>
      <c r="BG5576" s="3" t="s">
        <v>53489</v>
      </c>
    </row>
    <row r="5577" spans="1:59" ht="57" x14ac:dyDescent="0.45">
      <c r="A5577" s="2" t="s">
        <v>59</v>
      </c>
      <c r="B5577" s="2" t="s">
        <v>60</v>
      </c>
      <c r="C5577" s="2" t="s">
        <v>53490</v>
      </c>
      <c r="D5577" s="2" t="s">
        <v>53491</v>
      </c>
      <c r="E5577" s="2" t="s">
        <v>53492</v>
      </c>
      <c r="G5577" s="3" t="s">
        <v>62</v>
      </c>
      <c r="I5577" s="3" t="s">
        <v>62</v>
      </c>
      <c r="J5577" s="3" t="s">
        <v>62</v>
      </c>
      <c r="K5577" s="3" t="s">
        <v>63</v>
      </c>
      <c r="M5577" s="2" t="s">
        <v>25145</v>
      </c>
      <c r="N5577" s="3" t="s">
        <v>945</v>
      </c>
      <c r="P5577" s="3" t="s">
        <v>65</v>
      </c>
      <c r="R5577" s="3" t="s">
        <v>66</v>
      </c>
      <c r="S5577" s="4">
        <v>1</v>
      </c>
      <c r="T5577" s="4">
        <v>1</v>
      </c>
      <c r="U5577" s="5" t="s">
        <v>49881</v>
      </c>
      <c r="V5577" s="5" t="s">
        <v>49881</v>
      </c>
      <c r="W5577" s="5" t="s">
        <v>67</v>
      </c>
      <c r="X5577" s="5" t="s">
        <v>67</v>
      </c>
      <c r="Y5577" s="4">
        <v>147</v>
      </c>
      <c r="Z5577" s="4">
        <v>12</v>
      </c>
      <c r="AA5577" s="4">
        <v>18</v>
      </c>
      <c r="AB5577" s="4">
        <v>1</v>
      </c>
      <c r="AC5577" s="4">
        <v>4</v>
      </c>
      <c r="AD5577" s="4">
        <v>72</v>
      </c>
      <c r="AE5577" s="4">
        <v>76</v>
      </c>
      <c r="AF5577" s="4">
        <v>0</v>
      </c>
      <c r="AG5577" s="4">
        <v>1</v>
      </c>
      <c r="AH5577" s="4">
        <v>70</v>
      </c>
      <c r="AI5577" s="4">
        <v>71</v>
      </c>
      <c r="AJ5577" s="4">
        <v>10</v>
      </c>
      <c r="AK5577" s="4">
        <v>12</v>
      </c>
      <c r="AL5577" s="4">
        <v>39</v>
      </c>
      <c r="AM5577" s="4">
        <v>39</v>
      </c>
      <c r="AN5577" s="4">
        <v>0</v>
      </c>
      <c r="AO5577" s="4">
        <v>0</v>
      </c>
      <c r="AP5577" s="4">
        <v>10</v>
      </c>
      <c r="AQ5577" s="4">
        <v>14</v>
      </c>
      <c r="AR5577" s="3" t="s">
        <v>62</v>
      </c>
      <c r="AS5577" s="3" t="s">
        <v>62</v>
      </c>
      <c r="AT5577" s="3" t="s">
        <v>62</v>
      </c>
      <c r="AV5577" s="6" t="str">
        <f>HYPERLINK("http://mcgill.on.worldcat.org/oclc/70107158","Catalog Record")</f>
        <v>Catalog Record</v>
      </c>
      <c r="AW5577" s="6" t="str">
        <f>HYPERLINK("http://www.worldcat.org/oclc/70107158","WorldCat Record")</f>
        <v>WorldCat Record</v>
      </c>
      <c r="AX5577" s="3" t="s">
        <v>53493</v>
      </c>
      <c r="AY5577" s="3" t="s">
        <v>53494</v>
      </c>
      <c r="AZ5577" s="3" t="s">
        <v>53495</v>
      </c>
      <c r="BA5577" s="3" t="s">
        <v>53495</v>
      </c>
      <c r="BB5577" s="3" t="s">
        <v>53496</v>
      </c>
      <c r="BC5577" s="3" t="s">
        <v>142</v>
      </c>
      <c r="BD5577" s="3" t="s">
        <v>68</v>
      </c>
      <c r="BE5577" s="3" t="s">
        <v>53497</v>
      </c>
      <c r="BF5577" s="3" t="s">
        <v>53496</v>
      </c>
      <c r="BG5577" s="3" t="s">
        <v>53498</v>
      </c>
    </row>
    <row r="5578" spans="1:59" ht="57" x14ac:dyDescent="0.45">
      <c r="A5578" s="2" t="s">
        <v>59</v>
      </c>
      <c r="B5578" s="2" t="s">
        <v>60</v>
      </c>
      <c r="C5578" s="2" t="s">
        <v>53499</v>
      </c>
      <c r="D5578" s="2" t="s">
        <v>53500</v>
      </c>
      <c r="E5578" s="2" t="s">
        <v>53501</v>
      </c>
      <c r="G5578" s="3" t="s">
        <v>62</v>
      </c>
      <c r="I5578" s="3" t="s">
        <v>62</v>
      </c>
      <c r="J5578" s="3" t="s">
        <v>62</v>
      </c>
      <c r="K5578" s="3" t="s">
        <v>63</v>
      </c>
      <c r="M5578" s="2" t="s">
        <v>53502</v>
      </c>
      <c r="N5578" s="3" t="s">
        <v>1465</v>
      </c>
      <c r="P5578" s="3" t="s">
        <v>65</v>
      </c>
      <c r="Q5578" s="2" t="s">
        <v>21253</v>
      </c>
      <c r="R5578" s="3" t="s">
        <v>66</v>
      </c>
      <c r="S5578" s="4">
        <v>2</v>
      </c>
      <c r="T5578" s="4">
        <v>2</v>
      </c>
      <c r="U5578" s="5" t="s">
        <v>1605</v>
      </c>
      <c r="V5578" s="5" t="s">
        <v>1605</v>
      </c>
      <c r="W5578" s="5" t="s">
        <v>67</v>
      </c>
      <c r="X5578" s="5" t="s">
        <v>67</v>
      </c>
      <c r="Y5578" s="4">
        <v>132</v>
      </c>
      <c r="Z5578" s="4">
        <v>17</v>
      </c>
      <c r="AA5578" s="4">
        <v>23</v>
      </c>
      <c r="AB5578" s="4">
        <v>2</v>
      </c>
      <c r="AC5578" s="4">
        <v>5</v>
      </c>
      <c r="AD5578" s="4">
        <v>63</v>
      </c>
      <c r="AE5578" s="4">
        <v>72</v>
      </c>
      <c r="AF5578" s="4">
        <v>0</v>
      </c>
      <c r="AG5578" s="4">
        <v>1</v>
      </c>
      <c r="AH5578" s="4">
        <v>59</v>
      </c>
      <c r="AI5578" s="4">
        <v>65</v>
      </c>
      <c r="AJ5578" s="4">
        <v>11</v>
      </c>
      <c r="AK5578" s="4">
        <v>13</v>
      </c>
      <c r="AL5578" s="4">
        <v>36</v>
      </c>
      <c r="AM5578" s="4">
        <v>37</v>
      </c>
      <c r="AN5578" s="4">
        <v>0</v>
      </c>
      <c r="AO5578" s="4">
        <v>0</v>
      </c>
      <c r="AP5578" s="4">
        <v>12</v>
      </c>
      <c r="AQ5578" s="4">
        <v>16</v>
      </c>
      <c r="AR5578" s="3" t="s">
        <v>62</v>
      </c>
      <c r="AS5578" s="3" t="s">
        <v>62</v>
      </c>
      <c r="AT5578" s="3" t="s">
        <v>62</v>
      </c>
      <c r="AV5578" s="6" t="str">
        <f>HYPERLINK("http://mcgill.on.worldcat.org/oclc/277205269","Catalog Record")</f>
        <v>Catalog Record</v>
      </c>
      <c r="AW5578" s="6" t="str">
        <f>HYPERLINK("http://www.worldcat.org/oclc/277205269","WorldCat Record")</f>
        <v>WorldCat Record</v>
      </c>
      <c r="AX5578" s="3" t="s">
        <v>53503</v>
      </c>
      <c r="AY5578" s="3" t="s">
        <v>53504</v>
      </c>
      <c r="AZ5578" s="3" t="s">
        <v>53505</v>
      </c>
      <c r="BA5578" s="3" t="s">
        <v>53505</v>
      </c>
      <c r="BB5578" s="3" t="s">
        <v>53506</v>
      </c>
      <c r="BC5578" s="3" t="s">
        <v>142</v>
      </c>
      <c r="BD5578" s="3" t="s">
        <v>68</v>
      </c>
      <c r="BE5578" s="3" t="s">
        <v>53507</v>
      </c>
      <c r="BF5578" s="3" t="s">
        <v>53506</v>
      </c>
      <c r="BG5578" s="3" t="s">
        <v>53508</v>
      </c>
    </row>
    <row r="5579" spans="1:59" ht="57" x14ac:dyDescent="0.45">
      <c r="A5579" s="2" t="s">
        <v>59</v>
      </c>
      <c r="B5579" s="2" t="s">
        <v>60</v>
      </c>
      <c r="C5579" s="2" t="s">
        <v>53509</v>
      </c>
      <c r="D5579" s="2" t="s">
        <v>53510</v>
      </c>
      <c r="E5579" s="2" t="s">
        <v>53511</v>
      </c>
      <c r="G5579" s="3" t="s">
        <v>62</v>
      </c>
      <c r="I5579" s="3" t="s">
        <v>62</v>
      </c>
      <c r="J5579" s="3" t="s">
        <v>62</v>
      </c>
      <c r="K5579" s="3" t="s">
        <v>63</v>
      </c>
      <c r="L5579" s="2" t="s">
        <v>53512</v>
      </c>
      <c r="M5579" s="2" t="s">
        <v>53513</v>
      </c>
      <c r="N5579" s="3" t="s">
        <v>116</v>
      </c>
      <c r="P5579" s="3" t="s">
        <v>65</v>
      </c>
      <c r="Q5579" s="2" t="s">
        <v>53514</v>
      </c>
      <c r="R5579" s="3" t="s">
        <v>66</v>
      </c>
      <c r="S5579" s="4">
        <v>0</v>
      </c>
      <c r="T5579" s="4">
        <v>0</v>
      </c>
      <c r="W5579" s="5" t="s">
        <v>67</v>
      </c>
      <c r="X5579" s="5" t="s">
        <v>67</v>
      </c>
      <c r="Y5579" s="4">
        <v>89</v>
      </c>
      <c r="Z5579" s="4">
        <v>15</v>
      </c>
      <c r="AA5579" s="4">
        <v>82</v>
      </c>
      <c r="AB5579" s="4">
        <v>1</v>
      </c>
      <c r="AC5579" s="4">
        <v>15</v>
      </c>
      <c r="AD5579" s="4">
        <v>35</v>
      </c>
      <c r="AE5579" s="4">
        <v>106</v>
      </c>
      <c r="AF5579" s="4">
        <v>0</v>
      </c>
      <c r="AG5579" s="4">
        <v>8</v>
      </c>
      <c r="AH5579" s="4">
        <v>30</v>
      </c>
      <c r="AI5579" s="4">
        <v>72</v>
      </c>
      <c r="AJ5579" s="4">
        <v>11</v>
      </c>
      <c r="AK5579" s="4">
        <v>23</v>
      </c>
      <c r="AL5579" s="4">
        <v>18</v>
      </c>
      <c r="AM5579" s="4">
        <v>37</v>
      </c>
      <c r="AN5579" s="4">
        <v>0</v>
      </c>
      <c r="AO5579" s="4">
        <v>0</v>
      </c>
      <c r="AP5579" s="4">
        <v>12</v>
      </c>
      <c r="AQ5579" s="4">
        <v>43</v>
      </c>
      <c r="AR5579" s="3" t="s">
        <v>62</v>
      </c>
      <c r="AS5579" s="3" t="s">
        <v>62</v>
      </c>
      <c r="AT5579" s="3" t="s">
        <v>62</v>
      </c>
      <c r="AV5579" s="6" t="str">
        <f>HYPERLINK("http://mcgill.on.worldcat.org/oclc/841672195","Catalog Record")</f>
        <v>Catalog Record</v>
      </c>
      <c r="AW5579" s="6" t="str">
        <f>HYPERLINK("http://www.worldcat.org/oclc/841672195","WorldCat Record")</f>
        <v>WorldCat Record</v>
      </c>
      <c r="AX5579" s="3" t="s">
        <v>53515</v>
      </c>
      <c r="AY5579" s="3" t="s">
        <v>53516</v>
      </c>
      <c r="AZ5579" s="3" t="s">
        <v>53517</v>
      </c>
      <c r="BA5579" s="3" t="s">
        <v>53517</v>
      </c>
      <c r="BB5579" s="3" t="s">
        <v>53518</v>
      </c>
      <c r="BC5579" s="3" t="s">
        <v>142</v>
      </c>
      <c r="BD5579" s="3" t="s">
        <v>68</v>
      </c>
      <c r="BE5579" s="3" t="s">
        <v>53519</v>
      </c>
      <c r="BF5579" s="3" t="s">
        <v>53518</v>
      </c>
      <c r="BG5579" s="3" t="s">
        <v>53520</v>
      </c>
    </row>
    <row r="5580" spans="1:59" ht="57" x14ac:dyDescent="0.45">
      <c r="A5580" s="2" t="s">
        <v>59</v>
      </c>
      <c r="B5580" s="2" t="s">
        <v>60</v>
      </c>
      <c r="C5580" s="2" t="s">
        <v>53521</v>
      </c>
      <c r="D5580" s="2" t="s">
        <v>53522</v>
      </c>
      <c r="E5580" s="2" t="s">
        <v>53523</v>
      </c>
      <c r="G5580" s="3" t="s">
        <v>62</v>
      </c>
      <c r="I5580" s="3" t="s">
        <v>62</v>
      </c>
      <c r="J5580" s="3" t="s">
        <v>62</v>
      </c>
      <c r="K5580" s="3" t="s">
        <v>63</v>
      </c>
      <c r="L5580" s="2" t="s">
        <v>53524</v>
      </c>
      <c r="M5580" s="2" t="s">
        <v>53525</v>
      </c>
      <c r="N5580" s="3" t="s">
        <v>1688</v>
      </c>
      <c r="P5580" s="3" t="s">
        <v>65</v>
      </c>
      <c r="Q5580" s="2" t="s">
        <v>53526</v>
      </c>
      <c r="R5580" s="3" t="s">
        <v>66</v>
      </c>
      <c r="S5580" s="4">
        <v>1</v>
      </c>
      <c r="T5580" s="4">
        <v>1</v>
      </c>
      <c r="U5580" s="5" t="s">
        <v>6153</v>
      </c>
      <c r="V5580" s="5" t="s">
        <v>6153</v>
      </c>
      <c r="W5580" s="5" t="s">
        <v>67</v>
      </c>
      <c r="X5580" s="5" t="s">
        <v>67</v>
      </c>
      <c r="Y5580" s="4">
        <v>58</v>
      </c>
      <c r="Z5580" s="4">
        <v>11</v>
      </c>
      <c r="AA5580" s="4">
        <v>81</v>
      </c>
      <c r="AB5580" s="4">
        <v>1</v>
      </c>
      <c r="AC5580" s="4">
        <v>14</v>
      </c>
      <c r="AD5580" s="4">
        <v>33</v>
      </c>
      <c r="AE5580" s="4">
        <v>112</v>
      </c>
      <c r="AF5580" s="4">
        <v>0</v>
      </c>
      <c r="AG5580" s="4">
        <v>8</v>
      </c>
      <c r="AH5580" s="4">
        <v>29</v>
      </c>
      <c r="AI5580" s="4">
        <v>77</v>
      </c>
      <c r="AJ5580" s="4">
        <v>9</v>
      </c>
      <c r="AK5580" s="4">
        <v>24</v>
      </c>
      <c r="AL5580" s="4">
        <v>19</v>
      </c>
      <c r="AM5580" s="4">
        <v>40</v>
      </c>
      <c r="AN5580" s="4">
        <v>0</v>
      </c>
      <c r="AO5580" s="4">
        <v>0</v>
      </c>
      <c r="AP5580" s="4">
        <v>9</v>
      </c>
      <c r="AQ5580" s="4">
        <v>44</v>
      </c>
      <c r="AR5580" s="3" t="s">
        <v>62</v>
      </c>
      <c r="AS5580" s="3" t="s">
        <v>62</v>
      </c>
      <c r="AT5580" s="3" t="s">
        <v>62</v>
      </c>
      <c r="AV5580" s="6" t="str">
        <f>HYPERLINK("http://mcgill.on.worldcat.org/oclc/889577292","Catalog Record")</f>
        <v>Catalog Record</v>
      </c>
      <c r="AW5580" s="6" t="str">
        <f>HYPERLINK("http://www.worldcat.org/oclc/889577292","WorldCat Record")</f>
        <v>WorldCat Record</v>
      </c>
      <c r="AX5580" s="3" t="s">
        <v>53527</v>
      </c>
      <c r="AY5580" s="3" t="s">
        <v>53528</v>
      </c>
      <c r="AZ5580" s="3" t="s">
        <v>53529</v>
      </c>
      <c r="BA5580" s="3" t="s">
        <v>53529</v>
      </c>
      <c r="BB5580" s="3" t="s">
        <v>53530</v>
      </c>
      <c r="BC5580" s="3" t="s">
        <v>142</v>
      </c>
      <c r="BD5580" s="3" t="s">
        <v>68</v>
      </c>
      <c r="BE5580" s="3" t="s">
        <v>53531</v>
      </c>
      <c r="BF5580" s="3" t="s">
        <v>53530</v>
      </c>
      <c r="BG5580" s="3" t="s">
        <v>53532</v>
      </c>
    </row>
    <row r="5581" spans="1:59" ht="57" x14ac:dyDescent="0.45">
      <c r="A5581" s="2" t="s">
        <v>59</v>
      </c>
      <c r="B5581" s="2" t="s">
        <v>60</v>
      </c>
      <c r="C5581" s="2" t="s">
        <v>53533</v>
      </c>
      <c r="D5581" s="2" t="s">
        <v>53534</v>
      </c>
      <c r="E5581" s="2" t="s">
        <v>53535</v>
      </c>
      <c r="G5581" s="3" t="s">
        <v>62</v>
      </c>
      <c r="I5581" s="3" t="s">
        <v>62</v>
      </c>
      <c r="J5581" s="3" t="s">
        <v>62</v>
      </c>
      <c r="K5581" s="3" t="s">
        <v>63</v>
      </c>
      <c r="M5581" s="2" t="s">
        <v>2786</v>
      </c>
      <c r="N5581" s="3" t="s">
        <v>945</v>
      </c>
      <c r="P5581" s="3" t="s">
        <v>65</v>
      </c>
      <c r="Q5581" s="2" t="s">
        <v>53536</v>
      </c>
      <c r="R5581" s="3" t="s">
        <v>66</v>
      </c>
      <c r="S5581" s="4">
        <v>2</v>
      </c>
      <c r="T5581" s="4">
        <v>2</v>
      </c>
      <c r="U5581" s="5" t="s">
        <v>6153</v>
      </c>
      <c r="V5581" s="5" t="s">
        <v>6153</v>
      </c>
      <c r="W5581" s="5" t="s">
        <v>67</v>
      </c>
      <c r="X5581" s="5" t="s">
        <v>67</v>
      </c>
      <c r="Y5581" s="4">
        <v>96</v>
      </c>
      <c r="Z5581" s="4">
        <v>11</v>
      </c>
      <c r="AA5581" s="4">
        <v>98</v>
      </c>
      <c r="AB5581" s="4">
        <v>1</v>
      </c>
      <c r="AC5581" s="4">
        <v>17</v>
      </c>
      <c r="AD5581" s="4">
        <v>46</v>
      </c>
      <c r="AE5581" s="4">
        <v>118</v>
      </c>
      <c r="AF5581" s="4">
        <v>0</v>
      </c>
      <c r="AG5581" s="4">
        <v>8</v>
      </c>
      <c r="AH5581" s="4">
        <v>41</v>
      </c>
      <c r="AI5581" s="4">
        <v>80</v>
      </c>
      <c r="AJ5581" s="4">
        <v>8</v>
      </c>
      <c r="AK5581" s="4">
        <v>23</v>
      </c>
      <c r="AL5581" s="4">
        <v>31</v>
      </c>
      <c r="AM5581" s="4">
        <v>44</v>
      </c>
      <c r="AN5581" s="4">
        <v>0</v>
      </c>
      <c r="AO5581" s="4">
        <v>0</v>
      </c>
      <c r="AP5581" s="4">
        <v>8</v>
      </c>
      <c r="AQ5581" s="4">
        <v>44</v>
      </c>
      <c r="AR5581" s="3" t="s">
        <v>62</v>
      </c>
      <c r="AS5581" s="3" t="s">
        <v>62</v>
      </c>
      <c r="AT5581" s="3" t="s">
        <v>61</v>
      </c>
      <c r="AU5581" s="6" t="str">
        <f>HYPERLINK("http://catalog.hathitrust.org/Record/005587942","HathiTrust Record")</f>
        <v>HathiTrust Record</v>
      </c>
      <c r="AV5581" s="6" t="str">
        <f>HYPERLINK("http://mcgill.on.worldcat.org/oclc/81860991","Catalog Record")</f>
        <v>Catalog Record</v>
      </c>
      <c r="AW5581" s="6" t="str">
        <f>HYPERLINK("http://www.worldcat.org/oclc/81860991","WorldCat Record")</f>
        <v>WorldCat Record</v>
      </c>
      <c r="AX5581" s="3" t="s">
        <v>53537</v>
      </c>
      <c r="AY5581" s="3" t="s">
        <v>53538</v>
      </c>
      <c r="AZ5581" s="3" t="s">
        <v>53539</v>
      </c>
      <c r="BA5581" s="3" t="s">
        <v>53539</v>
      </c>
      <c r="BB5581" s="3" t="s">
        <v>53540</v>
      </c>
      <c r="BC5581" s="3" t="s">
        <v>142</v>
      </c>
      <c r="BD5581" s="3" t="s">
        <v>68</v>
      </c>
      <c r="BE5581" s="3" t="s">
        <v>53541</v>
      </c>
      <c r="BF5581" s="3" t="s">
        <v>53540</v>
      </c>
      <c r="BG5581" s="3" t="s">
        <v>53542</v>
      </c>
    </row>
    <row r="5582" spans="1:59" ht="57" x14ac:dyDescent="0.45">
      <c r="A5582" s="2" t="s">
        <v>59</v>
      </c>
      <c r="B5582" s="2" t="s">
        <v>60</v>
      </c>
      <c r="C5582" s="2" t="s">
        <v>53543</v>
      </c>
      <c r="D5582" s="2" t="s">
        <v>53544</v>
      </c>
      <c r="E5582" s="2" t="s">
        <v>53545</v>
      </c>
      <c r="G5582" s="3" t="s">
        <v>62</v>
      </c>
      <c r="I5582" s="3" t="s">
        <v>62</v>
      </c>
      <c r="J5582" s="3" t="s">
        <v>62</v>
      </c>
      <c r="K5582" s="3" t="s">
        <v>63</v>
      </c>
      <c r="L5582" s="2" t="s">
        <v>53546</v>
      </c>
      <c r="M5582" s="2" t="s">
        <v>53547</v>
      </c>
      <c r="N5582" s="3" t="s">
        <v>167</v>
      </c>
      <c r="P5582" s="3" t="s">
        <v>65</v>
      </c>
      <c r="R5582" s="3" t="s">
        <v>66</v>
      </c>
      <c r="S5582" s="4">
        <v>3</v>
      </c>
      <c r="T5582" s="4">
        <v>3</v>
      </c>
      <c r="U5582" s="5" t="s">
        <v>626</v>
      </c>
      <c r="V5582" s="5" t="s">
        <v>626</v>
      </c>
      <c r="W5582" s="5" t="s">
        <v>67</v>
      </c>
      <c r="X5582" s="5" t="s">
        <v>67</v>
      </c>
      <c r="Y5582" s="4">
        <v>224</v>
      </c>
      <c r="Z5582" s="4">
        <v>16</v>
      </c>
      <c r="AA5582" s="4">
        <v>17</v>
      </c>
      <c r="AB5582" s="4">
        <v>1</v>
      </c>
      <c r="AC5582" s="4">
        <v>2</v>
      </c>
      <c r="AD5582" s="4">
        <v>93</v>
      </c>
      <c r="AE5582" s="4">
        <v>94</v>
      </c>
      <c r="AF5582" s="4">
        <v>0</v>
      </c>
      <c r="AG5582" s="4">
        <v>1</v>
      </c>
      <c r="AH5582" s="4">
        <v>84</v>
      </c>
      <c r="AI5582" s="4">
        <v>84</v>
      </c>
      <c r="AJ5582" s="4">
        <v>13</v>
      </c>
      <c r="AK5582" s="4">
        <v>14</v>
      </c>
      <c r="AL5582" s="4">
        <v>51</v>
      </c>
      <c r="AM5582" s="4">
        <v>51</v>
      </c>
      <c r="AN5582" s="4">
        <v>0</v>
      </c>
      <c r="AO5582" s="4">
        <v>0</v>
      </c>
      <c r="AP5582" s="4">
        <v>14</v>
      </c>
      <c r="AQ5582" s="4">
        <v>14</v>
      </c>
      <c r="AR5582" s="3" t="s">
        <v>62</v>
      </c>
      <c r="AS5582" s="3" t="s">
        <v>62</v>
      </c>
      <c r="AT5582" s="3" t="s">
        <v>62</v>
      </c>
      <c r="AV5582" s="6" t="str">
        <f>HYPERLINK("http://mcgill.on.worldcat.org/oclc/39890358","Catalog Record")</f>
        <v>Catalog Record</v>
      </c>
      <c r="AW5582" s="6" t="str">
        <f>HYPERLINK("http://www.worldcat.org/oclc/39890358","WorldCat Record")</f>
        <v>WorldCat Record</v>
      </c>
      <c r="AX5582" s="3" t="s">
        <v>53548</v>
      </c>
      <c r="AY5582" s="3" t="s">
        <v>53549</v>
      </c>
      <c r="AZ5582" s="3" t="s">
        <v>53550</v>
      </c>
      <c r="BA5582" s="3" t="s">
        <v>53550</v>
      </c>
      <c r="BB5582" s="3" t="s">
        <v>53551</v>
      </c>
      <c r="BC5582" s="3" t="s">
        <v>142</v>
      </c>
      <c r="BD5582" s="3" t="s">
        <v>68</v>
      </c>
      <c r="BE5582" s="3" t="s">
        <v>53552</v>
      </c>
      <c r="BF5582" s="3" t="s">
        <v>53551</v>
      </c>
      <c r="BG5582" s="3" t="s">
        <v>53553</v>
      </c>
    </row>
    <row r="5583" spans="1:59" ht="57" x14ac:dyDescent="0.45">
      <c r="A5583" s="2" t="s">
        <v>59</v>
      </c>
      <c r="B5583" s="2" t="s">
        <v>60</v>
      </c>
      <c r="C5583" s="2" t="s">
        <v>53554</v>
      </c>
      <c r="D5583" s="2" t="s">
        <v>53555</v>
      </c>
      <c r="E5583" s="2" t="s">
        <v>53556</v>
      </c>
      <c r="G5583" s="3" t="s">
        <v>62</v>
      </c>
      <c r="I5583" s="3" t="s">
        <v>62</v>
      </c>
      <c r="J5583" s="3" t="s">
        <v>62</v>
      </c>
      <c r="K5583" s="3" t="s">
        <v>63</v>
      </c>
      <c r="L5583" s="2" t="s">
        <v>53557</v>
      </c>
      <c r="M5583" s="2" t="s">
        <v>53558</v>
      </c>
      <c r="N5583" s="3" t="s">
        <v>1855</v>
      </c>
      <c r="P5583" s="3" t="s">
        <v>65</v>
      </c>
      <c r="Q5583" s="2" t="s">
        <v>53559</v>
      </c>
      <c r="R5583" s="3" t="s">
        <v>66</v>
      </c>
      <c r="S5583" s="4">
        <v>4</v>
      </c>
      <c r="T5583" s="4">
        <v>4</v>
      </c>
      <c r="U5583" s="5" t="s">
        <v>6153</v>
      </c>
      <c r="V5583" s="5" t="s">
        <v>6153</v>
      </c>
      <c r="W5583" s="5" t="s">
        <v>67</v>
      </c>
      <c r="X5583" s="5" t="s">
        <v>67</v>
      </c>
      <c r="Y5583" s="4">
        <v>106</v>
      </c>
      <c r="Z5583" s="4">
        <v>10</v>
      </c>
      <c r="AA5583" s="4">
        <v>103</v>
      </c>
      <c r="AB5583" s="4">
        <v>1</v>
      </c>
      <c r="AC5583" s="4">
        <v>17</v>
      </c>
      <c r="AD5583" s="4">
        <v>51</v>
      </c>
      <c r="AE5583" s="4">
        <v>121</v>
      </c>
      <c r="AF5583" s="4">
        <v>0</v>
      </c>
      <c r="AG5583" s="4">
        <v>8</v>
      </c>
      <c r="AH5583" s="4">
        <v>47</v>
      </c>
      <c r="AI5583" s="4">
        <v>83</v>
      </c>
      <c r="AJ5583" s="4">
        <v>7</v>
      </c>
      <c r="AK5583" s="4">
        <v>23</v>
      </c>
      <c r="AL5583" s="4">
        <v>34</v>
      </c>
      <c r="AM5583" s="4">
        <v>44</v>
      </c>
      <c r="AN5583" s="4">
        <v>0</v>
      </c>
      <c r="AO5583" s="4">
        <v>0</v>
      </c>
      <c r="AP5583" s="4">
        <v>8</v>
      </c>
      <c r="AQ5583" s="4">
        <v>45</v>
      </c>
      <c r="AR5583" s="3" t="s">
        <v>62</v>
      </c>
      <c r="AS5583" s="3" t="s">
        <v>62</v>
      </c>
      <c r="AT5583" s="3" t="s">
        <v>62</v>
      </c>
      <c r="AV5583" s="6" t="str">
        <f>HYPERLINK("http://mcgill.on.worldcat.org/oclc/56905718","Catalog Record")</f>
        <v>Catalog Record</v>
      </c>
      <c r="AW5583" s="6" t="str">
        <f>HYPERLINK("http://www.worldcat.org/oclc/56905718","WorldCat Record")</f>
        <v>WorldCat Record</v>
      </c>
      <c r="AX5583" s="3" t="s">
        <v>53560</v>
      </c>
      <c r="AY5583" s="3" t="s">
        <v>53561</v>
      </c>
      <c r="AZ5583" s="3" t="s">
        <v>53562</v>
      </c>
      <c r="BA5583" s="3" t="s">
        <v>53562</v>
      </c>
      <c r="BB5583" s="3" t="s">
        <v>53563</v>
      </c>
      <c r="BC5583" s="3" t="s">
        <v>142</v>
      </c>
      <c r="BD5583" s="3" t="s">
        <v>68</v>
      </c>
      <c r="BE5583" s="3" t="s">
        <v>53564</v>
      </c>
      <c r="BF5583" s="3" t="s">
        <v>53563</v>
      </c>
      <c r="BG5583" s="3" t="s">
        <v>53565</v>
      </c>
    </row>
    <row r="5584" spans="1:59" ht="57" x14ac:dyDescent="0.45">
      <c r="A5584" s="2" t="s">
        <v>59</v>
      </c>
      <c r="B5584" s="2" t="s">
        <v>60</v>
      </c>
      <c r="C5584" s="2" t="s">
        <v>53566</v>
      </c>
      <c r="D5584" s="2" t="s">
        <v>53567</v>
      </c>
      <c r="E5584" s="2" t="s">
        <v>53568</v>
      </c>
      <c r="G5584" s="3" t="s">
        <v>62</v>
      </c>
      <c r="I5584" s="3" t="s">
        <v>62</v>
      </c>
      <c r="J5584" s="3" t="s">
        <v>62</v>
      </c>
      <c r="K5584" s="3" t="s">
        <v>63</v>
      </c>
      <c r="L5584" s="2" t="s">
        <v>46240</v>
      </c>
      <c r="M5584" s="2" t="s">
        <v>31738</v>
      </c>
      <c r="N5584" s="3" t="s">
        <v>1239</v>
      </c>
      <c r="P5584" s="3" t="s">
        <v>65</v>
      </c>
      <c r="Q5584" s="2" t="s">
        <v>53569</v>
      </c>
      <c r="R5584" s="3" t="s">
        <v>66</v>
      </c>
      <c r="S5584" s="4">
        <v>35</v>
      </c>
      <c r="T5584" s="4">
        <v>35</v>
      </c>
      <c r="U5584" s="5" t="s">
        <v>26355</v>
      </c>
      <c r="V5584" s="5" t="s">
        <v>26355</v>
      </c>
      <c r="W5584" s="5" t="s">
        <v>67</v>
      </c>
      <c r="X5584" s="5" t="s">
        <v>67</v>
      </c>
      <c r="Y5584" s="4">
        <v>209</v>
      </c>
      <c r="Z5584" s="4">
        <v>17</v>
      </c>
      <c r="AA5584" s="4">
        <v>22</v>
      </c>
      <c r="AB5584" s="4">
        <v>2</v>
      </c>
      <c r="AC5584" s="4">
        <v>6</v>
      </c>
      <c r="AD5584" s="4">
        <v>82</v>
      </c>
      <c r="AE5584" s="4">
        <v>88</v>
      </c>
      <c r="AF5584" s="4">
        <v>1</v>
      </c>
      <c r="AG5584" s="4">
        <v>4</v>
      </c>
      <c r="AH5584" s="4">
        <v>73</v>
      </c>
      <c r="AI5584" s="4">
        <v>76</v>
      </c>
      <c r="AJ5584" s="4">
        <v>14</v>
      </c>
      <c r="AK5584" s="4">
        <v>17</v>
      </c>
      <c r="AL5584" s="4">
        <v>46</v>
      </c>
      <c r="AM5584" s="4">
        <v>47</v>
      </c>
      <c r="AN5584" s="4">
        <v>0</v>
      </c>
      <c r="AO5584" s="4">
        <v>0</v>
      </c>
      <c r="AP5584" s="4">
        <v>14</v>
      </c>
      <c r="AQ5584" s="4">
        <v>17</v>
      </c>
      <c r="AR5584" s="3" t="s">
        <v>62</v>
      </c>
      <c r="AS5584" s="3" t="s">
        <v>62</v>
      </c>
      <c r="AT5584" s="3" t="s">
        <v>62</v>
      </c>
      <c r="AV5584" s="6" t="str">
        <f>HYPERLINK("http://mcgill.on.worldcat.org/oclc/18191067","Catalog Record")</f>
        <v>Catalog Record</v>
      </c>
      <c r="AW5584" s="6" t="str">
        <f>HYPERLINK("http://www.worldcat.org/oclc/18191067","WorldCat Record")</f>
        <v>WorldCat Record</v>
      </c>
      <c r="AX5584" s="3" t="s">
        <v>53570</v>
      </c>
      <c r="AY5584" s="3" t="s">
        <v>53571</v>
      </c>
      <c r="AZ5584" s="3" t="s">
        <v>53572</v>
      </c>
      <c r="BA5584" s="3" t="s">
        <v>53572</v>
      </c>
      <c r="BB5584" s="3" t="s">
        <v>53573</v>
      </c>
      <c r="BC5584" s="3" t="s">
        <v>142</v>
      </c>
      <c r="BD5584" s="3" t="s">
        <v>68</v>
      </c>
      <c r="BE5584" s="3" t="s">
        <v>53574</v>
      </c>
      <c r="BF5584" s="3" t="s">
        <v>53573</v>
      </c>
      <c r="BG5584" s="3" t="s">
        <v>53575</v>
      </c>
    </row>
    <row r="5585" spans="1:59" ht="57" x14ac:dyDescent="0.45">
      <c r="A5585" s="2" t="s">
        <v>59</v>
      </c>
      <c r="B5585" s="2" t="s">
        <v>60</v>
      </c>
      <c r="C5585" s="2" t="s">
        <v>53576</v>
      </c>
      <c r="D5585" s="2" t="s">
        <v>53577</v>
      </c>
      <c r="E5585" s="2" t="s">
        <v>53578</v>
      </c>
      <c r="G5585" s="3" t="s">
        <v>62</v>
      </c>
      <c r="I5585" s="3" t="s">
        <v>62</v>
      </c>
      <c r="J5585" s="3" t="s">
        <v>62</v>
      </c>
      <c r="K5585" s="3" t="s">
        <v>63</v>
      </c>
      <c r="M5585" s="2" t="s">
        <v>4998</v>
      </c>
      <c r="N5585" s="3" t="s">
        <v>807</v>
      </c>
      <c r="P5585" s="3" t="s">
        <v>65</v>
      </c>
      <c r="R5585" s="3" t="s">
        <v>66</v>
      </c>
      <c r="S5585" s="4">
        <v>36</v>
      </c>
      <c r="T5585" s="4">
        <v>36</v>
      </c>
      <c r="U5585" s="5" t="s">
        <v>626</v>
      </c>
      <c r="V5585" s="5" t="s">
        <v>626</v>
      </c>
      <c r="W5585" s="5" t="s">
        <v>67</v>
      </c>
      <c r="X5585" s="5" t="s">
        <v>67</v>
      </c>
      <c r="Y5585" s="4">
        <v>244</v>
      </c>
      <c r="Z5585" s="4">
        <v>17</v>
      </c>
      <c r="AA5585" s="4">
        <v>21</v>
      </c>
      <c r="AB5585" s="4">
        <v>2</v>
      </c>
      <c r="AC5585" s="4">
        <v>6</v>
      </c>
      <c r="AD5585" s="4">
        <v>94</v>
      </c>
      <c r="AE5585" s="4">
        <v>97</v>
      </c>
      <c r="AF5585" s="4">
        <v>1</v>
      </c>
      <c r="AG5585" s="4">
        <v>4</v>
      </c>
      <c r="AH5585" s="4">
        <v>84</v>
      </c>
      <c r="AI5585" s="4">
        <v>85</v>
      </c>
      <c r="AJ5585" s="4">
        <v>14</v>
      </c>
      <c r="AK5585" s="4">
        <v>17</v>
      </c>
      <c r="AL5585" s="4">
        <v>52</v>
      </c>
      <c r="AM5585" s="4">
        <v>52</v>
      </c>
      <c r="AN5585" s="4">
        <v>0</v>
      </c>
      <c r="AO5585" s="4">
        <v>0</v>
      </c>
      <c r="AP5585" s="4">
        <v>15</v>
      </c>
      <c r="AQ5585" s="4">
        <v>17</v>
      </c>
      <c r="AR5585" s="3" t="s">
        <v>62</v>
      </c>
      <c r="AS5585" s="3" t="s">
        <v>62</v>
      </c>
      <c r="AT5585" s="3" t="s">
        <v>62</v>
      </c>
      <c r="AV5585" s="6" t="str">
        <f>HYPERLINK("http://mcgill.on.worldcat.org/oclc/21876810","Catalog Record")</f>
        <v>Catalog Record</v>
      </c>
      <c r="AW5585" s="6" t="str">
        <f>HYPERLINK("http://www.worldcat.org/oclc/21876810","WorldCat Record")</f>
        <v>WorldCat Record</v>
      </c>
      <c r="AX5585" s="3" t="s">
        <v>53579</v>
      </c>
      <c r="AY5585" s="3" t="s">
        <v>53580</v>
      </c>
      <c r="AZ5585" s="3" t="s">
        <v>53581</v>
      </c>
      <c r="BA5585" s="3" t="s">
        <v>53581</v>
      </c>
      <c r="BB5585" s="3" t="s">
        <v>53582</v>
      </c>
      <c r="BC5585" s="3" t="s">
        <v>142</v>
      </c>
      <c r="BD5585" s="3" t="s">
        <v>68</v>
      </c>
      <c r="BE5585" s="3" t="s">
        <v>53583</v>
      </c>
      <c r="BF5585" s="3" t="s">
        <v>53582</v>
      </c>
      <c r="BG5585" s="3" t="s">
        <v>53584</v>
      </c>
    </row>
    <row r="5586" spans="1:59" ht="57" x14ac:dyDescent="0.45">
      <c r="A5586" s="2" t="s">
        <v>59</v>
      </c>
      <c r="B5586" s="2" t="s">
        <v>60</v>
      </c>
      <c r="C5586" s="2" t="s">
        <v>53585</v>
      </c>
      <c r="D5586" s="2" t="s">
        <v>53586</v>
      </c>
      <c r="E5586" s="2" t="s">
        <v>53587</v>
      </c>
      <c r="G5586" s="3" t="s">
        <v>62</v>
      </c>
      <c r="I5586" s="3" t="s">
        <v>62</v>
      </c>
      <c r="J5586" s="3" t="s">
        <v>62</v>
      </c>
      <c r="K5586" s="3" t="s">
        <v>63</v>
      </c>
      <c r="L5586" s="2" t="s">
        <v>53588</v>
      </c>
      <c r="M5586" s="2" t="s">
        <v>53589</v>
      </c>
      <c r="N5586" s="3" t="s">
        <v>127</v>
      </c>
      <c r="P5586" s="3" t="s">
        <v>65</v>
      </c>
      <c r="Q5586" s="2" t="s">
        <v>53590</v>
      </c>
      <c r="R5586" s="3" t="s">
        <v>66</v>
      </c>
      <c r="S5586" s="4">
        <v>2</v>
      </c>
      <c r="T5586" s="4">
        <v>2</v>
      </c>
      <c r="U5586" s="5" t="s">
        <v>626</v>
      </c>
      <c r="V5586" s="5" t="s">
        <v>626</v>
      </c>
      <c r="W5586" s="5" t="s">
        <v>67</v>
      </c>
      <c r="X5586" s="5" t="s">
        <v>67</v>
      </c>
      <c r="Y5586" s="4">
        <v>47</v>
      </c>
      <c r="Z5586" s="4">
        <v>4</v>
      </c>
      <c r="AA5586" s="4">
        <v>6</v>
      </c>
      <c r="AB5586" s="4">
        <v>1</v>
      </c>
      <c r="AC5586" s="4">
        <v>2</v>
      </c>
      <c r="AD5586" s="4">
        <v>16</v>
      </c>
      <c r="AE5586" s="4">
        <v>28</v>
      </c>
      <c r="AF5586" s="4">
        <v>0</v>
      </c>
      <c r="AG5586" s="4">
        <v>1</v>
      </c>
      <c r="AH5586" s="4">
        <v>15</v>
      </c>
      <c r="AI5586" s="4">
        <v>26</v>
      </c>
      <c r="AJ5586" s="4">
        <v>2</v>
      </c>
      <c r="AK5586" s="4">
        <v>4</v>
      </c>
      <c r="AL5586" s="4">
        <v>14</v>
      </c>
      <c r="AM5586" s="4">
        <v>20</v>
      </c>
      <c r="AN5586" s="4">
        <v>0</v>
      </c>
      <c r="AO5586" s="4">
        <v>0</v>
      </c>
      <c r="AP5586" s="4">
        <v>2</v>
      </c>
      <c r="AQ5586" s="4">
        <v>3</v>
      </c>
      <c r="AR5586" s="3" t="s">
        <v>62</v>
      </c>
      <c r="AS5586" s="3" t="s">
        <v>62</v>
      </c>
      <c r="AT5586" s="3" t="s">
        <v>62</v>
      </c>
      <c r="AV5586" s="6" t="str">
        <f>HYPERLINK("http://mcgill.on.worldcat.org/oclc/4894547","Catalog Record")</f>
        <v>Catalog Record</v>
      </c>
      <c r="AW5586" s="6" t="str">
        <f>HYPERLINK("http://www.worldcat.org/oclc/4894547","WorldCat Record")</f>
        <v>WorldCat Record</v>
      </c>
      <c r="AX5586" s="3" t="s">
        <v>53591</v>
      </c>
      <c r="AY5586" s="3" t="s">
        <v>53592</v>
      </c>
      <c r="AZ5586" s="3" t="s">
        <v>53593</v>
      </c>
      <c r="BA5586" s="3" t="s">
        <v>53593</v>
      </c>
      <c r="BB5586" s="3" t="s">
        <v>53594</v>
      </c>
      <c r="BC5586" s="3" t="s">
        <v>142</v>
      </c>
      <c r="BD5586" s="3" t="s">
        <v>68</v>
      </c>
      <c r="BF5586" s="3" t="s">
        <v>53594</v>
      </c>
      <c r="BG5586" s="3" t="s">
        <v>53595</v>
      </c>
    </row>
    <row r="5587" spans="1:59" ht="57" x14ac:dyDescent="0.45">
      <c r="A5587" s="2" t="s">
        <v>59</v>
      </c>
      <c r="B5587" s="2" t="s">
        <v>60</v>
      </c>
      <c r="C5587" s="2" t="s">
        <v>53596</v>
      </c>
      <c r="D5587" s="2" t="s">
        <v>53597</v>
      </c>
      <c r="E5587" s="2" t="s">
        <v>53598</v>
      </c>
      <c r="G5587" s="3" t="s">
        <v>62</v>
      </c>
      <c r="I5587" s="3" t="s">
        <v>62</v>
      </c>
      <c r="J5587" s="3" t="s">
        <v>62</v>
      </c>
      <c r="K5587" s="3" t="s">
        <v>63</v>
      </c>
      <c r="L5587" s="2" t="s">
        <v>53599</v>
      </c>
      <c r="N5587" s="3" t="s">
        <v>1073</v>
      </c>
      <c r="P5587" s="3" t="s">
        <v>65</v>
      </c>
      <c r="Q5587" s="2" t="s">
        <v>53600</v>
      </c>
      <c r="R5587" s="3" t="s">
        <v>66</v>
      </c>
      <c r="S5587" s="4">
        <v>2</v>
      </c>
      <c r="T5587" s="4">
        <v>2</v>
      </c>
      <c r="U5587" s="5" t="s">
        <v>4142</v>
      </c>
      <c r="V5587" s="5" t="s">
        <v>4142</v>
      </c>
      <c r="W5587" s="5" t="s">
        <v>67</v>
      </c>
      <c r="X5587" s="5" t="s">
        <v>67</v>
      </c>
      <c r="Y5587" s="4">
        <v>12</v>
      </c>
      <c r="Z5587" s="4">
        <v>1</v>
      </c>
      <c r="AA5587" s="4">
        <v>4</v>
      </c>
      <c r="AB5587" s="4">
        <v>1</v>
      </c>
      <c r="AC5587" s="4">
        <v>1</v>
      </c>
      <c r="AD5587" s="4">
        <v>5</v>
      </c>
      <c r="AE5587" s="4">
        <v>14</v>
      </c>
      <c r="AF5587" s="4">
        <v>0</v>
      </c>
      <c r="AG5587" s="4">
        <v>0</v>
      </c>
      <c r="AH5587" s="4">
        <v>4</v>
      </c>
      <c r="AI5587" s="4">
        <v>11</v>
      </c>
      <c r="AJ5587" s="4">
        <v>0</v>
      </c>
      <c r="AK5587" s="4">
        <v>3</v>
      </c>
      <c r="AL5587" s="4">
        <v>5</v>
      </c>
      <c r="AM5587" s="4">
        <v>10</v>
      </c>
      <c r="AN5587" s="4">
        <v>0</v>
      </c>
      <c r="AO5587" s="4">
        <v>0</v>
      </c>
      <c r="AP5587" s="4">
        <v>0</v>
      </c>
      <c r="AQ5587" s="4">
        <v>3</v>
      </c>
      <c r="AR5587" s="3" t="s">
        <v>62</v>
      </c>
      <c r="AS5587" s="3" t="s">
        <v>62</v>
      </c>
      <c r="AT5587" s="3" t="s">
        <v>62</v>
      </c>
      <c r="AV5587" s="6" t="str">
        <f>HYPERLINK("http://mcgill.on.worldcat.org/oclc/3491311","Catalog Record")</f>
        <v>Catalog Record</v>
      </c>
      <c r="AW5587" s="6" t="str">
        <f>HYPERLINK("http://www.worldcat.org/oclc/3491311","WorldCat Record")</f>
        <v>WorldCat Record</v>
      </c>
      <c r="AX5587" s="3" t="s">
        <v>53601</v>
      </c>
      <c r="AY5587" s="3" t="s">
        <v>53602</v>
      </c>
      <c r="AZ5587" s="3" t="s">
        <v>53603</v>
      </c>
      <c r="BA5587" s="3" t="s">
        <v>53603</v>
      </c>
      <c r="BB5587" s="3" t="s">
        <v>53604</v>
      </c>
      <c r="BC5587" s="3" t="s">
        <v>142</v>
      </c>
      <c r="BD5587" s="3" t="s">
        <v>68</v>
      </c>
      <c r="BF5587" s="3" t="s">
        <v>53604</v>
      </c>
      <c r="BG5587" s="3" t="s">
        <v>53605</v>
      </c>
    </row>
    <row r="5588" spans="1:59" ht="57" x14ac:dyDescent="0.45">
      <c r="A5588" s="2" t="s">
        <v>59</v>
      </c>
      <c r="B5588" s="2" t="s">
        <v>60</v>
      </c>
      <c r="C5588" s="2" t="s">
        <v>53606</v>
      </c>
      <c r="D5588" s="2" t="s">
        <v>53607</v>
      </c>
      <c r="E5588" s="2" t="s">
        <v>53608</v>
      </c>
      <c r="G5588" s="3" t="s">
        <v>62</v>
      </c>
      <c r="I5588" s="3" t="s">
        <v>62</v>
      </c>
      <c r="J5588" s="3" t="s">
        <v>62</v>
      </c>
      <c r="K5588" s="3" t="s">
        <v>63</v>
      </c>
      <c r="L5588" s="2" t="s">
        <v>53609</v>
      </c>
      <c r="M5588" s="2" t="s">
        <v>53610</v>
      </c>
      <c r="N5588" s="3" t="s">
        <v>894</v>
      </c>
      <c r="P5588" s="3" t="s">
        <v>65</v>
      </c>
      <c r="Q5588" s="2" t="s">
        <v>53611</v>
      </c>
      <c r="R5588" s="3" t="s">
        <v>66</v>
      </c>
      <c r="S5588" s="4">
        <v>3</v>
      </c>
      <c r="T5588" s="4">
        <v>3</v>
      </c>
      <c r="U5588" s="5" t="s">
        <v>626</v>
      </c>
      <c r="V5588" s="5" t="s">
        <v>626</v>
      </c>
      <c r="W5588" s="5" t="s">
        <v>67</v>
      </c>
      <c r="X5588" s="5" t="s">
        <v>67</v>
      </c>
      <c r="Y5588" s="4">
        <v>159</v>
      </c>
      <c r="Z5588" s="4">
        <v>19</v>
      </c>
      <c r="AA5588" s="4">
        <v>20</v>
      </c>
      <c r="AB5588" s="4">
        <v>2</v>
      </c>
      <c r="AC5588" s="4">
        <v>3</v>
      </c>
      <c r="AD5588" s="4">
        <v>88</v>
      </c>
      <c r="AE5588" s="4">
        <v>89</v>
      </c>
      <c r="AF5588" s="4">
        <v>1</v>
      </c>
      <c r="AG5588" s="4">
        <v>2</v>
      </c>
      <c r="AH5588" s="4">
        <v>80</v>
      </c>
      <c r="AI5588" s="4">
        <v>81</v>
      </c>
      <c r="AJ5588" s="4">
        <v>16</v>
      </c>
      <c r="AK5588" s="4">
        <v>17</v>
      </c>
      <c r="AL5588" s="4">
        <v>47</v>
      </c>
      <c r="AM5588" s="4">
        <v>47</v>
      </c>
      <c r="AN5588" s="4">
        <v>0</v>
      </c>
      <c r="AO5588" s="4">
        <v>0</v>
      </c>
      <c r="AP5588" s="4">
        <v>16</v>
      </c>
      <c r="AQ5588" s="4">
        <v>17</v>
      </c>
      <c r="AR5588" s="3" t="s">
        <v>62</v>
      </c>
      <c r="AS5588" s="3" t="s">
        <v>62</v>
      </c>
      <c r="AT5588" s="3" t="s">
        <v>62</v>
      </c>
      <c r="AV5588" s="6" t="str">
        <f>HYPERLINK("http://mcgill.on.worldcat.org/oclc/627701058","Catalog Record")</f>
        <v>Catalog Record</v>
      </c>
      <c r="AW5588" s="6" t="str">
        <f>HYPERLINK("http://www.worldcat.org/oclc/627701058","WorldCat Record")</f>
        <v>WorldCat Record</v>
      </c>
      <c r="AX5588" s="3" t="s">
        <v>53612</v>
      </c>
      <c r="AY5588" s="3" t="s">
        <v>53613</v>
      </c>
      <c r="AZ5588" s="3" t="s">
        <v>53614</v>
      </c>
      <c r="BA5588" s="3" t="s">
        <v>53614</v>
      </c>
      <c r="BB5588" s="3" t="s">
        <v>53615</v>
      </c>
      <c r="BC5588" s="3" t="s">
        <v>142</v>
      </c>
      <c r="BD5588" s="3" t="s">
        <v>68</v>
      </c>
      <c r="BE5588" s="3" t="s">
        <v>53616</v>
      </c>
      <c r="BF5588" s="3" t="s">
        <v>53615</v>
      </c>
      <c r="BG5588" s="3" t="s">
        <v>53617</v>
      </c>
    </row>
    <row r="5589" spans="1:59" ht="57" x14ac:dyDescent="0.45">
      <c r="A5589" s="2" t="s">
        <v>59</v>
      </c>
      <c r="B5589" s="2" t="s">
        <v>60</v>
      </c>
      <c r="C5589" s="2" t="s">
        <v>53618</v>
      </c>
      <c r="D5589" s="2" t="s">
        <v>53619</v>
      </c>
      <c r="E5589" s="2" t="s">
        <v>53620</v>
      </c>
      <c r="G5589" s="3" t="s">
        <v>62</v>
      </c>
      <c r="I5589" s="3" t="s">
        <v>62</v>
      </c>
      <c r="J5589" s="3" t="s">
        <v>62</v>
      </c>
      <c r="K5589" s="3" t="s">
        <v>63</v>
      </c>
      <c r="L5589" s="2" t="s">
        <v>53621</v>
      </c>
      <c r="M5589" s="2" t="s">
        <v>9187</v>
      </c>
      <c r="N5589" s="3" t="s">
        <v>894</v>
      </c>
      <c r="P5589" s="3" t="s">
        <v>65</v>
      </c>
      <c r="Q5589" s="2" t="s">
        <v>53622</v>
      </c>
      <c r="R5589" s="3" t="s">
        <v>66</v>
      </c>
      <c r="S5589" s="4">
        <v>2</v>
      </c>
      <c r="T5589" s="4">
        <v>2</v>
      </c>
      <c r="U5589" s="5" t="s">
        <v>3412</v>
      </c>
      <c r="V5589" s="5" t="s">
        <v>3412</v>
      </c>
      <c r="W5589" s="5" t="s">
        <v>67</v>
      </c>
      <c r="X5589" s="5" t="s">
        <v>67</v>
      </c>
      <c r="Y5589" s="4">
        <v>126</v>
      </c>
      <c r="Z5589" s="4">
        <v>13</v>
      </c>
      <c r="AA5589" s="4">
        <v>37</v>
      </c>
      <c r="AB5589" s="4">
        <v>1</v>
      </c>
      <c r="AC5589" s="4">
        <v>5</v>
      </c>
      <c r="AD5589" s="4">
        <v>63</v>
      </c>
      <c r="AE5589" s="4">
        <v>100</v>
      </c>
      <c r="AF5589" s="4">
        <v>0</v>
      </c>
      <c r="AG5589" s="4">
        <v>1</v>
      </c>
      <c r="AH5589" s="4">
        <v>60</v>
      </c>
      <c r="AI5589" s="4">
        <v>83</v>
      </c>
      <c r="AJ5589" s="4">
        <v>11</v>
      </c>
      <c r="AK5589" s="4">
        <v>17</v>
      </c>
      <c r="AL5589" s="4">
        <v>37</v>
      </c>
      <c r="AM5589" s="4">
        <v>46</v>
      </c>
      <c r="AN5589" s="4">
        <v>0</v>
      </c>
      <c r="AO5589" s="4">
        <v>0</v>
      </c>
      <c r="AP5589" s="4">
        <v>11</v>
      </c>
      <c r="AQ5589" s="4">
        <v>28</v>
      </c>
      <c r="AR5589" s="3" t="s">
        <v>62</v>
      </c>
      <c r="AS5589" s="3" t="s">
        <v>62</v>
      </c>
      <c r="AT5589" s="3" t="s">
        <v>62</v>
      </c>
      <c r="AV5589" s="6" t="str">
        <f>HYPERLINK("http://mcgill.on.worldcat.org/oclc/699767180","Catalog Record")</f>
        <v>Catalog Record</v>
      </c>
      <c r="AW5589" s="6" t="str">
        <f>HYPERLINK("http://www.worldcat.org/oclc/699767180","WorldCat Record")</f>
        <v>WorldCat Record</v>
      </c>
      <c r="AX5589" s="3" t="s">
        <v>53623</v>
      </c>
      <c r="AY5589" s="3" t="s">
        <v>53624</v>
      </c>
      <c r="AZ5589" s="3" t="s">
        <v>53625</v>
      </c>
      <c r="BA5589" s="3" t="s">
        <v>53625</v>
      </c>
      <c r="BB5589" s="3" t="s">
        <v>53626</v>
      </c>
      <c r="BC5589" s="3" t="s">
        <v>142</v>
      </c>
      <c r="BD5589" s="3" t="s">
        <v>68</v>
      </c>
      <c r="BE5589" s="3" t="s">
        <v>53627</v>
      </c>
      <c r="BF5589" s="3" t="s">
        <v>53626</v>
      </c>
      <c r="BG5589" s="3" t="s">
        <v>53628</v>
      </c>
    </row>
    <row r="5590" spans="1:59" ht="57" x14ac:dyDescent="0.45">
      <c r="A5590" s="2" t="s">
        <v>59</v>
      </c>
      <c r="B5590" s="2" t="s">
        <v>60</v>
      </c>
      <c r="C5590" s="2" t="s">
        <v>53629</v>
      </c>
      <c r="D5590" s="2" t="s">
        <v>53630</v>
      </c>
      <c r="E5590" s="2" t="s">
        <v>53631</v>
      </c>
      <c r="G5590" s="3" t="s">
        <v>62</v>
      </c>
      <c r="I5590" s="3" t="s">
        <v>62</v>
      </c>
      <c r="J5590" s="3" t="s">
        <v>62</v>
      </c>
      <c r="K5590" s="3" t="s">
        <v>63</v>
      </c>
      <c r="L5590" s="2" t="s">
        <v>52347</v>
      </c>
      <c r="M5590" s="2" t="s">
        <v>53632</v>
      </c>
      <c r="N5590" s="3" t="s">
        <v>1097</v>
      </c>
      <c r="P5590" s="3" t="s">
        <v>65</v>
      </c>
      <c r="Q5590" s="2" t="s">
        <v>50918</v>
      </c>
      <c r="R5590" s="3" t="s">
        <v>66</v>
      </c>
      <c r="S5590" s="4">
        <v>8</v>
      </c>
      <c r="T5590" s="4">
        <v>8</v>
      </c>
      <c r="U5590" s="5" t="s">
        <v>4782</v>
      </c>
      <c r="V5590" s="5" t="s">
        <v>4782</v>
      </c>
      <c r="W5590" s="5" t="s">
        <v>67</v>
      </c>
      <c r="X5590" s="5" t="s">
        <v>67</v>
      </c>
      <c r="Y5590" s="4">
        <v>208</v>
      </c>
      <c r="Z5590" s="4">
        <v>15</v>
      </c>
      <c r="AA5590" s="4">
        <v>21</v>
      </c>
      <c r="AB5590" s="4">
        <v>2</v>
      </c>
      <c r="AC5590" s="4">
        <v>6</v>
      </c>
      <c r="AD5590" s="4">
        <v>94</v>
      </c>
      <c r="AE5590" s="4">
        <v>101</v>
      </c>
      <c r="AF5590" s="4">
        <v>1</v>
      </c>
      <c r="AG5590" s="4">
        <v>2</v>
      </c>
      <c r="AH5590" s="4">
        <v>87</v>
      </c>
      <c r="AI5590" s="4">
        <v>92</v>
      </c>
      <c r="AJ5590" s="4">
        <v>12</v>
      </c>
      <c r="AK5590" s="4">
        <v>13</v>
      </c>
      <c r="AL5590" s="4">
        <v>52</v>
      </c>
      <c r="AM5590" s="4">
        <v>52</v>
      </c>
      <c r="AN5590" s="4">
        <v>0</v>
      </c>
      <c r="AO5590" s="4">
        <v>0</v>
      </c>
      <c r="AP5590" s="4">
        <v>13</v>
      </c>
      <c r="AQ5590" s="4">
        <v>16</v>
      </c>
      <c r="AR5590" s="3" t="s">
        <v>62</v>
      </c>
      <c r="AS5590" s="3" t="s">
        <v>62</v>
      </c>
      <c r="AT5590" s="3" t="s">
        <v>62</v>
      </c>
      <c r="AV5590" s="6" t="str">
        <f>HYPERLINK("http://mcgill.on.worldcat.org/oclc/51477926","Catalog Record")</f>
        <v>Catalog Record</v>
      </c>
      <c r="AW5590" s="6" t="str">
        <f>HYPERLINK("http://www.worldcat.org/oclc/51477926","WorldCat Record")</f>
        <v>WorldCat Record</v>
      </c>
      <c r="AX5590" s="3" t="s">
        <v>53633</v>
      </c>
      <c r="AY5590" s="3" t="s">
        <v>53634</v>
      </c>
      <c r="AZ5590" s="3" t="s">
        <v>53635</v>
      </c>
      <c r="BA5590" s="3" t="s">
        <v>53635</v>
      </c>
      <c r="BB5590" s="3" t="s">
        <v>53636</v>
      </c>
      <c r="BC5590" s="3" t="s">
        <v>142</v>
      </c>
      <c r="BD5590" s="3" t="s">
        <v>68</v>
      </c>
      <c r="BE5590" s="3" t="s">
        <v>53637</v>
      </c>
      <c r="BF5590" s="3" t="s">
        <v>53636</v>
      </c>
      <c r="BG5590" s="3" t="s">
        <v>53638</v>
      </c>
    </row>
    <row r="5591" spans="1:59" ht="57" x14ac:dyDescent="0.45">
      <c r="A5591" s="2" t="s">
        <v>59</v>
      </c>
      <c r="B5591" s="2" t="s">
        <v>60</v>
      </c>
      <c r="C5591" s="2" t="s">
        <v>53639</v>
      </c>
      <c r="D5591" s="2" t="s">
        <v>53640</v>
      </c>
      <c r="E5591" s="2" t="s">
        <v>53641</v>
      </c>
      <c r="G5591" s="3" t="s">
        <v>62</v>
      </c>
      <c r="I5591" s="3" t="s">
        <v>62</v>
      </c>
      <c r="J5591" s="3" t="s">
        <v>62</v>
      </c>
      <c r="K5591" s="3" t="s">
        <v>63</v>
      </c>
      <c r="L5591" s="2" t="s">
        <v>53642</v>
      </c>
      <c r="M5591" s="2" t="s">
        <v>2952</v>
      </c>
      <c r="N5591" s="3" t="s">
        <v>918</v>
      </c>
      <c r="P5591" s="3" t="s">
        <v>65</v>
      </c>
      <c r="Q5591" s="2" t="s">
        <v>43468</v>
      </c>
      <c r="R5591" s="3" t="s">
        <v>66</v>
      </c>
      <c r="S5591" s="4">
        <v>2</v>
      </c>
      <c r="T5591" s="4">
        <v>2</v>
      </c>
      <c r="U5591" s="5" t="s">
        <v>1034</v>
      </c>
      <c r="V5591" s="5" t="s">
        <v>1034</v>
      </c>
      <c r="W5591" s="5" t="s">
        <v>67</v>
      </c>
      <c r="X5591" s="5" t="s">
        <v>67</v>
      </c>
      <c r="Y5591" s="4">
        <v>193</v>
      </c>
      <c r="Z5591" s="4">
        <v>14</v>
      </c>
      <c r="AA5591" s="4">
        <v>58</v>
      </c>
      <c r="AB5591" s="4">
        <v>1</v>
      </c>
      <c r="AC5591" s="4">
        <v>15</v>
      </c>
      <c r="AD5591" s="4">
        <v>84</v>
      </c>
      <c r="AE5591" s="4">
        <v>123</v>
      </c>
      <c r="AF5591" s="4">
        <v>0</v>
      </c>
      <c r="AG5591" s="4">
        <v>7</v>
      </c>
      <c r="AH5591" s="4">
        <v>75</v>
      </c>
      <c r="AI5591" s="4">
        <v>84</v>
      </c>
      <c r="AJ5591" s="4">
        <v>11</v>
      </c>
      <c r="AK5591" s="4">
        <v>23</v>
      </c>
      <c r="AL5591" s="4">
        <v>50</v>
      </c>
      <c r="AM5591" s="4">
        <v>51</v>
      </c>
      <c r="AN5591" s="4">
        <v>0</v>
      </c>
      <c r="AO5591" s="4">
        <v>0</v>
      </c>
      <c r="AP5591" s="4">
        <v>12</v>
      </c>
      <c r="AQ5591" s="4">
        <v>46</v>
      </c>
      <c r="AR5591" s="3" t="s">
        <v>62</v>
      </c>
      <c r="AS5591" s="3" t="s">
        <v>62</v>
      </c>
      <c r="AT5591" s="3" t="s">
        <v>62</v>
      </c>
      <c r="AV5591" s="6" t="str">
        <f>HYPERLINK("http://mcgill.on.worldcat.org/oclc/52144783","Catalog Record")</f>
        <v>Catalog Record</v>
      </c>
      <c r="AW5591" s="6" t="str">
        <f>HYPERLINK("http://www.worldcat.org/oclc/52144783","WorldCat Record")</f>
        <v>WorldCat Record</v>
      </c>
      <c r="AX5591" s="3" t="s">
        <v>53643</v>
      </c>
      <c r="AY5591" s="3" t="s">
        <v>53644</v>
      </c>
      <c r="AZ5591" s="3" t="s">
        <v>53645</v>
      </c>
      <c r="BA5591" s="3" t="s">
        <v>53645</v>
      </c>
      <c r="BB5591" s="3" t="s">
        <v>53646</v>
      </c>
      <c r="BC5591" s="3" t="s">
        <v>142</v>
      </c>
      <c r="BD5591" s="3" t="s">
        <v>68</v>
      </c>
      <c r="BE5591" s="3" t="s">
        <v>53647</v>
      </c>
      <c r="BF5591" s="3" t="s">
        <v>53646</v>
      </c>
      <c r="BG5591" s="3" t="s">
        <v>53648</v>
      </c>
    </row>
    <row r="5592" spans="1:59" ht="71.25" x14ac:dyDescent="0.45">
      <c r="A5592" s="2" t="s">
        <v>59</v>
      </c>
      <c r="B5592" s="2" t="s">
        <v>60</v>
      </c>
      <c r="C5592" s="2" t="s">
        <v>53649</v>
      </c>
      <c r="D5592" s="2" t="s">
        <v>53650</v>
      </c>
      <c r="E5592" s="2" t="s">
        <v>53651</v>
      </c>
      <c r="G5592" s="3" t="s">
        <v>62</v>
      </c>
      <c r="I5592" s="3" t="s">
        <v>62</v>
      </c>
      <c r="J5592" s="3" t="s">
        <v>62</v>
      </c>
      <c r="K5592" s="3" t="s">
        <v>63</v>
      </c>
      <c r="M5592" s="2" t="s">
        <v>2643</v>
      </c>
      <c r="N5592" s="3" t="s">
        <v>149</v>
      </c>
      <c r="P5592" s="3" t="s">
        <v>65</v>
      </c>
      <c r="Q5592" s="2" t="s">
        <v>53652</v>
      </c>
      <c r="R5592" s="3" t="s">
        <v>66</v>
      </c>
      <c r="S5592" s="4">
        <v>1</v>
      </c>
      <c r="T5592" s="4">
        <v>1</v>
      </c>
      <c r="U5592" s="5" t="s">
        <v>53653</v>
      </c>
      <c r="V5592" s="5" t="s">
        <v>53653</v>
      </c>
      <c r="W5592" s="5" t="s">
        <v>67</v>
      </c>
      <c r="X5592" s="5" t="s">
        <v>67</v>
      </c>
      <c r="Y5592" s="4">
        <v>102</v>
      </c>
      <c r="Z5592" s="4">
        <v>8</v>
      </c>
      <c r="AA5592" s="4">
        <v>84</v>
      </c>
      <c r="AB5592" s="4">
        <v>1</v>
      </c>
      <c r="AC5592" s="4">
        <v>15</v>
      </c>
      <c r="AD5592" s="4">
        <v>50</v>
      </c>
      <c r="AE5592" s="4">
        <v>118</v>
      </c>
      <c r="AF5592" s="4">
        <v>0</v>
      </c>
      <c r="AG5592" s="4">
        <v>8</v>
      </c>
      <c r="AH5592" s="4">
        <v>45</v>
      </c>
      <c r="AI5592" s="4">
        <v>82</v>
      </c>
      <c r="AJ5592" s="4">
        <v>7</v>
      </c>
      <c r="AK5592" s="4">
        <v>22</v>
      </c>
      <c r="AL5592" s="4">
        <v>28</v>
      </c>
      <c r="AM5592" s="4">
        <v>44</v>
      </c>
      <c r="AN5592" s="4">
        <v>0</v>
      </c>
      <c r="AO5592" s="4">
        <v>0</v>
      </c>
      <c r="AP5592" s="4">
        <v>7</v>
      </c>
      <c r="AQ5592" s="4">
        <v>42</v>
      </c>
      <c r="AR5592" s="3" t="s">
        <v>62</v>
      </c>
      <c r="AS5592" s="3" t="s">
        <v>62</v>
      </c>
      <c r="AT5592" s="3" t="s">
        <v>62</v>
      </c>
      <c r="AV5592" s="6" t="str">
        <f>HYPERLINK("http://mcgill.on.worldcat.org/oclc/457772082","Catalog Record")</f>
        <v>Catalog Record</v>
      </c>
      <c r="AW5592" s="6" t="str">
        <f>HYPERLINK("http://www.worldcat.org/oclc/457772082","WorldCat Record")</f>
        <v>WorldCat Record</v>
      </c>
      <c r="AX5592" s="3" t="s">
        <v>53654</v>
      </c>
      <c r="AY5592" s="3" t="s">
        <v>53655</v>
      </c>
      <c r="AZ5592" s="3" t="s">
        <v>53656</v>
      </c>
      <c r="BA5592" s="3" t="s">
        <v>53656</v>
      </c>
      <c r="BB5592" s="3" t="s">
        <v>53657</v>
      </c>
      <c r="BC5592" s="3" t="s">
        <v>142</v>
      </c>
      <c r="BD5592" s="3" t="s">
        <v>68</v>
      </c>
      <c r="BE5592" s="3" t="s">
        <v>53658</v>
      </c>
      <c r="BF5592" s="3" t="s">
        <v>53657</v>
      </c>
      <c r="BG5592" s="3" t="s">
        <v>53659</v>
      </c>
    </row>
    <row r="5593" spans="1:59" ht="85.5" x14ac:dyDescent="0.45">
      <c r="A5593" s="2" t="s">
        <v>59</v>
      </c>
      <c r="B5593" s="2" t="s">
        <v>60</v>
      </c>
      <c r="C5593" s="2" t="s">
        <v>53660</v>
      </c>
      <c r="D5593" s="2" t="s">
        <v>53661</v>
      </c>
      <c r="E5593" s="2" t="s">
        <v>53662</v>
      </c>
      <c r="G5593" s="3" t="s">
        <v>62</v>
      </c>
      <c r="I5593" s="3" t="s">
        <v>62</v>
      </c>
      <c r="J5593" s="3" t="s">
        <v>62</v>
      </c>
      <c r="K5593" s="3" t="s">
        <v>63</v>
      </c>
      <c r="M5593" s="2" t="s">
        <v>37046</v>
      </c>
      <c r="N5593" s="3" t="s">
        <v>116</v>
      </c>
      <c r="P5593" s="3" t="s">
        <v>65</v>
      </c>
      <c r="Q5593" s="2" t="s">
        <v>53663</v>
      </c>
      <c r="R5593" s="3" t="s">
        <v>66</v>
      </c>
      <c r="S5593" s="4">
        <v>2</v>
      </c>
      <c r="T5593" s="4">
        <v>2</v>
      </c>
      <c r="U5593" s="5" t="s">
        <v>20732</v>
      </c>
      <c r="V5593" s="5" t="s">
        <v>20732</v>
      </c>
      <c r="W5593" s="5" t="s">
        <v>67</v>
      </c>
      <c r="X5593" s="5" t="s">
        <v>67</v>
      </c>
      <c r="Y5593" s="4">
        <v>50</v>
      </c>
      <c r="Z5593" s="4">
        <v>8</v>
      </c>
      <c r="AA5593" s="4">
        <v>79</v>
      </c>
      <c r="AB5593" s="4">
        <v>1</v>
      </c>
      <c r="AC5593" s="4">
        <v>14</v>
      </c>
      <c r="AD5593" s="4">
        <v>22</v>
      </c>
      <c r="AE5593" s="4">
        <v>104</v>
      </c>
      <c r="AF5593" s="4">
        <v>0</v>
      </c>
      <c r="AG5593" s="4">
        <v>8</v>
      </c>
      <c r="AH5593" s="4">
        <v>19</v>
      </c>
      <c r="AI5593" s="4">
        <v>70</v>
      </c>
      <c r="AJ5593" s="4">
        <v>6</v>
      </c>
      <c r="AK5593" s="4">
        <v>22</v>
      </c>
      <c r="AL5593" s="4">
        <v>12</v>
      </c>
      <c r="AM5593" s="4">
        <v>35</v>
      </c>
      <c r="AN5593" s="4">
        <v>0</v>
      </c>
      <c r="AO5593" s="4">
        <v>0</v>
      </c>
      <c r="AP5593" s="4">
        <v>6</v>
      </c>
      <c r="AQ5593" s="4">
        <v>42</v>
      </c>
      <c r="AR5593" s="3" t="s">
        <v>62</v>
      </c>
      <c r="AS5593" s="3" t="s">
        <v>62</v>
      </c>
      <c r="AT5593" s="3" t="s">
        <v>62</v>
      </c>
      <c r="AV5593" s="6" t="str">
        <f>HYPERLINK("http://mcgill.on.worldcat.org/oclc/818739533","Catalog Record")</f>
        <v>Catalog Record</v>
      </c>
      <c r="AW5593" s="6" t="str">
        <f>HYPERLINK("http://www.worldcat.org/oclc/818739533","WorldCat Record")</f>
        <v>WorldCat Record</v>
      </c>
      <c r="AX5593" s="3" t="s">
        <v>53664</v>
      </c>
      <c r="AY5593" s="3" t="s">
        <v>53665</v>
      </c>
      <c r="AZ5593" s="3" t="s">
        <v>53666</v>
      </c>
      <c r="BA5593" s="3" t="s">
        <v>53666</v>
      </c>
      <c r="BB5593" s="3" t="s">
        <v>53667</v>
      </c>
      <c r="BC5593" s="3" t="s">
        <v>142</v>
      </c>
      <c r="BD5593" s="3" t="s">
        <v>68</v>
      </c>
      <c r="BE5593" s="3" t="s">
        <v>53668</v>
      </c>
      <c r="BF5593" s="3" t="s">
        <v>53667</v>
      </c>
      <c r="BG5593" s="3" t="s">
        <v>53669</v>
      </c>
    </row>
    <row r="5594" spans="1:59" ht="57" x14ac:dyDescent="0.45">
      <c r="A5594" s="2" t="s">
        <v>59</v>
      </c>
      <c r="B5594" s="2" t="s">
        <v>60</v>
      </c>
      <c r="C5594" s="2" t="s">
        <v>53670</v>
      </c>
      <c r="D5594" s="2" t="s">
        <v>53671</v>
      </c>
      <c r="E5594" s="2" t="s">
        <v>53672</v>
      </c>
      <c r="G5594" s="3" t="s">
        <v>62</v>
      </c>
      <c r="I5594" s="3" t="s">
        <v>62</v>
      </c>
      <c r="J5594" s="3" t="s">
        <v>62</v>
      </c>
      <c r="K5594" s="3" t="s">
        <v>63</v>
      </c>
      <c r="L5594" s="2" t="s">
        <v>2021</v>
      </c>
      <c r="M5594" s="2" t="s">
        <v>1962</v>
      </c>
      <c r="N5594" s="3" t="s">
        <v>149</v>
      </c>
      <c r="P5594" s="3" t="s">
        <v>65</v>
      </c>
      <c r="Q5594" s="2" t="s">
        <v>53673</v>
      </c>
      <c r="R5594" s="3" t="s">
        <v>66</v>
      </c>
      <c r="S5594" s="4">
        <v>6</v>
      </c>
      <c r="T5594" s="4">
        <v>6</v>
      </c>
      <c r="U5594" s="5" t="s">
        <v>50461</v>
      </c>
      <c r="V5594" s="5" t="s">
        <v>50461</v>
      </c>
      <c r="W5594" s="5" t="s">
        <v>67</v>
      </c>
      <c r="X5594" s="5" t="s">
        <v>67</v>
      </c>
      <c r="Y5594" s="4">
        <v>155</v>
      </c>
      <c r="Z5594" s="4">
        <v>15</v>
      </c>
      <c r="AA5594" s="4">
        <v>80</v>
      </c>
      <c r="AB5594" s="4">
        <v>1</v>
      </c>
      <c r="AC5594" s="4">
        <v>15</v>
      </c>
      <c r="AD5594" s="4">
        <v>75</v>
      </c>
      <c r="AE5594" s="4">
        <v>124</v>
      </c>
      <c r="AF5594" s="4">
        <v>0</v>
      </c>
      <c r="AG5594" s="4">
        <v>8</v>
      </c>
      <c r="AH5594" s="4">
        <v>70</v>
      </c>
      <c r="AI5594" s="4">
        <v>92</v>
      </c>
      <c r="AJ5594" s="4">
        <v>10</v>
      </c>
      <c r="AK5594" s="4">
        <v>22</v>
      </c>
      <c r="AL5594" s="4">
        <v>43</v>
      </c>
      <c r="AM5594" s="4">
        <v>52</v>
      </c>
      <c r="AN5594" s="4">
        <v>0</v>
      </c>
      <c r="AO5594" s="4">
        <v>0</v>
      </c>
      <c r="AP5594" s="4">
        <v>11</v>
      </c>
      <c r="AQ5594" s="4">
        <v>41</v>
      </c>
      <c r="AR5594" s="3" t="s">
        <v>62</v>
      </c>
      <c r="AS5594" s="3" t="s">
        <v>62</v>
      </c>
      <c r="AT5594" s="3" t="s">
        <v>62</v>
      </c>
      <c r="AV5594" s="6" t="str">
        <f>HYPERLINK("http://mcgill.on.worldcat.org/oclc/624049001","Catalog Record")</f>
        <v>Catalog Record</v>
      </c>
      <c r="AW5594" s="6" t="str">
        <f>HYPERLINK("http://www.worldcat.org/oclc/624049001","WorldCat Record")</f>
        <v>WorldCat Record</v>
      </c>
      <c r="AX5594" s="3" t="s">
        <v>53674</v>
      </c>
      <c r="AY5594" s="3" t="s">
        <v>53675</v>
      </c>
      <c r="AZ5594" s="3" t="s">
        <v>53676</v>
      </c>
      <c r="BA5594" s="3" t="s">
        <v>53676</v>
      </c>
      <c r="BB5594" s="3" t="s">
        <v>53677</v>
      </c>
      <c r="BC5594" s="3" t="s">
        <v>142</v>
      </c>
      <c r="BD5594" s="3" t="s">
        <v>68</v>
      </c>
      <c r="BE5594" s="3" t="s">
        <v>53678</v>
      </c>
      <c r="BF5594" s="3" t="s">
        <v>53677</v>
      </c>
      <c r="BG5594" s="3" t="s">
        <v>53679</v>
      </c>
    </row>
    <row r="5595" spans="1:59" ht="57" x14ac:dyDescent="0.45">
      <c r="A5595" s="2" t="s">
        <v>59</v>
      </c>
      <c r="B5595" s="2" t="s">
        <v>60</v>
      </c>
      <c r="C5595" s="2" t="s">
        <v>53680</v>
      </c>
      <c r="D5595" s="2" t="s">
        <v>53681</v>
      </c>
      <c r="E5595" s="2" t="s">
        <v>53682</v>
      </c>
      <c r="G5595" s="3" t="s">
        <v>62</v>
      </c>
      <c r="I5595" s="3" t="s">
        <v>62</v>
      </c>
      <c r="J5595" s="3" t="s">
        <v>62</v>
      </c>
      <c r="K5595" s="3" t="s">
        <v>63</v>
      </c>
      <c r="L5595" s="2" t="s">
        <v>52942</v>
      </c>
      <c r="M5595" s="2" t="s">
        <v>3279</v>
      </c>
      <c r="N5595" s="3" t="s">
        <v>116</v>
      </c>
      <c r="P5595" s="3" t="s">
        <v>65</v>
      </c>
      <c r="R5595" s="3" t="s">
        <v>66</v>
      </c>
      <c r="S5595" s="4">
        <v>3</v>
      </c>
      <c r="T5595" s="4">
        <v>3</v>
      </c>
      <c r="U5595" s="5" t="s">
        <v>53683</v>
      </c>
      <c r="V5595" s="5" t="s">
        <v>53683</v>
      </c>
      <c r="W5595" s="5" t="s">
        <v>67</v>
      </c>
      <c r="X5595" s="5" t="s">
        <v>67</v>
      </c>
      <c r="Y5595" s="4">
        <v>83</v>
      </c>
      <c r="Z5595" s="4">
        <v>12</v>
      </c>
      <c r="AA5595" s="4">
        <v>80</v>
      </c>
      <c r="AB5595" s="4">
        <v>1</v>
      </c>
      <c r="AC5595" s="4">
        <v>14</v>
      </c>
      <c r="AD5595" s="4">
        <v>41</v>
      </c>
      <c r="AE5595" s="4">
        <v>117</v>
      </c>
      <c r="AF5595" s="4">
        <v>0</v>
      </c>
      <c r="AG5595" s="4">
        <v>8</v>
      </c>
      <c r="AH5595" s="4">
        <v>39</v>
      </c>
      <c r="AI5595" s="4">
        <v>84</v>
      </c>
      <c r="AJ5595" s="4">
        <v>9</v>
      </c>
      <c r="AK5595" s="4">
        <v>23</v>
      </c>
      <c r="AL5595" s="4">
        <v>25</v>
      </c>
      <c r="AM5595" s="4">
        <v>45</v>
      </c>
      <c r="AN5595" s="4">
        <v>0</v>
      </c>
      <c r="AO5595" s="4">
        <v>0</v>
      </c>
      <c r="AP5595" s="4">
        <v>9</v>
      </c>
      <c r="AQ5595" s="4">
        <v>42</v>
      </c>
      <c r="AR5595" s="3" t="s">
        <v>62</v>
      </c>
      <c r="AS5595" s="3" t="s">
        <v>62</v>
      </c>
      <c r="AT5595" s="3" t="s">
        <v>62</v>
      </c>
      <c r="AV5595" s="6" t="str">
        <f>HYPERLINK("http://mcgill.on.worldcat.org/oclc/794556401","Catalog Record")</f>
        <v>Catalog Record</v>
      </c>
      <c r="AW5595" s="6" t="str">
        <f>HYPERLINK("http://www.worldcat.org/oclc/794556401","WorldCat Record")</f>
        <v>WorldCat Record</v>
      </c>
      <c r="AX5595" s="3" t="s">
        <v>53684</v>
      </c>
      <c r="AY5595" s="3" t="s">
        <v>53685</v>
      </c>
      <c r="AZ5595" s="3" t="s">
        <v>53686</v>
      </c>
      <c r="BA5595" s="3" t="s">
        <v>53686</v>
      </c>
      <c r="BB5595" s="3" t="s">
        <v>53687</v>
      </c>
      <c r="BC5595" s="3" t="s">
        <v>142</v>
      </c>
      <c r="BD5595" s="3" t="s">
        <v>68</v>
      </c>
      <c r="BE5595" s="3" t="s">
        <v>53688</v>
      </c>
      <c r="BF5595" s="3" t="s">
        <v>53687</v>
      </c>
      <c r="BG5595" s="3" t="s">
        <v>53689</v>
      </c>
    </row>
    <row r="5596" spans="1:59" ht="71.25" x14ac:dyDescent="0.45">
      <c r="A5596" s="2" t="s">
        <v>59</v>
      </c>
      <c r="B5596" s="2" t="s">
        <v>60</v>
      </c>
      <c r="C5596" s="2" t="s">
        <v>53690</v>
      </c>
      <c r="D5596" s="2" t="s">
        <v>53691</v>
      </c>
      <c r="E5596" s="2" t="s">
        <v>53692</v>
      </c>
      <c r="G5596" s="3" t="s">
        <v>62</v>
      </c>
      <c r="I5596" s="3" t="s">
        <v>62</v>
      </c>
      <c r="J5596" s="3" t="s">
        <v>62</v>
      </c>
      <c r="K5596" s="3" t="s">
        <v>63</v>
      </c>
      <c r="M5596" s="2" t="s">
        <v>3925</v>
      </c>
      <c r="N5596" s="3" t="s">
        <v>149</v>
      </c>
      <c r="P5596" s="3" t="s">
        <v>65</v>
      </c>
      <c r="Q5596" s="2" t="s">
        <v>53693</v>
      </c>
      <c r="R5596" s="3" t="s">
        <v>66</v>
      </c>
      <c r="S5596" s="4">
        <v>0</v>
      </c>
      <c r="T5596" s="4">
        <v>0</v>
      </c>
      <c r="W5596" s="5" t="s">
        <v>67</v>
      </c>
      <c r="X5596" s="5" t="s">
        <v>67</v>
      </c>
      <c r="Y5596" s="4">
        <v>75</v>
      </c>
      <c r="Z5596" s="4">
        <v>12</v>
      </c>
      <c r="AA5596" s="4">
        <v>97</v>
      </c>
      <c r="AB5596" s="4">
        <v>1</v>
      </c>
      <c r="AC5596" s="4">
        <v>17</v>
      </c>
      <c r="AD5596" s="4">
        <v>41</v>
      </c>
      <c r="AE5596" s="4">
        <v>113</v>
      </c>
      <c r="AF5596" s="4">
        <v>0</v>
      </c>
      <c r="AG5596" s="4">
        <v>8</v>
      </c>
      <c r="AH5596" s="4">
        <v>33</v>
      </c>
      <c r="AI5596" s="4">
        <v>74</v>
      </c>
      <c r="AJ5596" s="4">
        <v>9</v>
      </c>
      <c r="AK5596" s="4">
        <v>23</v>
      </c>
      <c r="AL5596" s="4">
        <v>24</v>
      </c>
      <c r="AM5596" s="4">
        <v>39</v>
      </c>
      <c r="AN5596" s="4">
        <v>0</v>
      </c>
      <c r="AO5596" s="4">
        <v>0</v>
      </c>
      <c r="AP5596" s="4">
        <v>11</v>
      </c>
      <c r="AQ5596" s="4">
        <v>45</v>
      </c>
      <c r="AR5596" s="3" t="s">
        <v>62</v>
      </c>
      <c r="AS5596" s="3" t="s">
        <v>62</v>
      </c>
      <c r="AT5596" s="3" t="s">
        <v>62</v>
      </c>
      <c r="AV5596" s="6" t="str">
        <f>HYPERLINK("http://mcgill.on.worldcat.org/oclc/496610104","Catalog Record")</f>
        <v>Catalog Record</v>
      </c>
      <c r="AW5596" s="6" t="str">
        <f>HYPERLINK("http://www.worldcat.org/oclc/496610104","WorldCat Record")</f>
        <v>WorldCat Record</v>
      </c>
      <c r="AX5596" s="3" t="s">
        <v>53694</v>
      </c>
      <c r="AY5596" s="3" t="s">
        <v>53695</v>
      </c>
      <c r="AZ5596" s="3" t="s">
        <v>53696</v>
      </c>
      <c r="BA5596" s="3" t="s">
        <v>53696</v>
      </c>
      <c r="BB5596" s="3" t="s">
        <v>53697</v>
      </c>
      <c r="BC5596" s="3" t="s">
        <v>142</v>
      </c>
      <c r="BD5596" s="3" t="s">
        <v>68</v>
      </c>
      <c r="BE5596" s="3" t="s">
        <v>53698</v>
      </c>
      <c r="BF5596" s="3" t="s">
        <v>53697</v>
      </c>
      <c r="BG5596" s="3" t="s">
        <v>53699</v>
      </c>
    </row>
    <row r="5597" spans="1:59" ht="57" x14ac:dyDescent="0.45">
      <c r="A5597" s="2" t="s">
        <v>59</v>
      </c>
      <c r="B5597" s="2" t="s">
        <v>60</v>
      </c>
      <c r="C5597" s="2" t="s">
        <v>53700</v>
      </c>
      <c r="D5597" s="2" t="s">
        <v>53701</v>
      </c>
      <c r="E5597" s="2" t="s">
        <v>53702</v>
      </c>
      <c r="G5597" s="3" t="s">
        <v>62</v>
      </c>
      <c r="I5597" s="3" t="s">
        <v>62</v>
      </c>
      <c r="J5597" s="3" t="s">
        <v>62</v>
      </c>
      <c r="K5597" s="3" t="s">
        <v>63</v>
      </c>
      <c r="L5597" s="2" t="s">
        <v>53703</v>
      </c>
      <c r="M5597" s="2" t="s">
        <v>53704</v>
      </c>
      <c r="N5597" s="3" t="s">
        <v>1688</v>
      </c>
      <c r="P5597" s="3" t="s">
        <v>65</v>
      </c>
      <c r="Q5597" s="2" t="s">
        <v>53705</v>
      </c>
      <c r="R5597" s="3" t="s">
        <v>66</v>
      </c>
      <c r="S5597" s="4">
        <v>0</v>
      </c>
      <c r="T5597" s="4">
        <v>0</v>
      </c>
      <c r="W5597" s="5" t="s">
        <v>67</v>
      </c>
      <c r="X5597" s="5" t="s">
        <v>67</v>
      </c>
      <c r="Y5597" s="4">
        <v>48</v>
      </c>
      <c r="Z5597" s="4">
        <v>1</v>
      </c>
      <c r="AA5597" s="4">
        <v>98</v>
      </c>
      <c r="AB5597" s="4">
        <v>1</v>
      </c>
      <c r="AC5597" s="4">
        <v>17</v>
      </c>
      <c r="AD5597" s="4">
        <v>22</v>
      </c>
      <c r="AE5597" s="4">
        <v>105</v>
      </c>
      <c r="AF5597" s="4">
        <v>0</v>
      </c>
      <c r="AG5597" s="4">
        <v>8</v>
      </c>
      <c r="AH5597" s="4">
        <v>21</v>
      </c>
      <c r="AI5597" s="4">
        <v>69</v>
      </c>
      <c r="AJ5597" s="4">
        <v>0</v>
      </c>
      <c r="AK5597" s="4">
        <v>20</v>
      </c>
      <c r="AL5597" s="4">
        <v>17</v>
      </c>
      <c r="AM5597" s="4">
        <v>35</v>
      </c>
      <c r="AN5597" s="4">
        <v>0</v>
      </c>
      <c r="AO5597" s="4">
        <v>0</v>
      </c>
      <c r="AP5597" s="4">
        <v>0</v>
      </c>
      <c r="AQ5597" s="4">
        <v>42</v>
      </c>
      <c r="AR5597" s="3" t="s">
        <v>62</v>
      </c>
      <c r="AS5597" s="3" t="s">
        <v>62</v>
      </c>
      <c r="AT5597" s="3" t="s">
        <v>62</v>
      </c>
      <c r="AV5597" s="6" t="str">
        <f>HYPERLINK("http://mcgill.on.worldcat.org/oclc/863954976","Catalog Record")</f>
        <v>Catalog Record</v>
      </c>
      <c r="AW5597" s="6" t="str">
        <f>HYPERLINK("http://www.worldcat.org/oclc/863954976","WorldCat Record")</f>
        <v>WorldCat Record</v>
      </c>
      <c r="AX5597" s="3" t="s">
        <v>53706</v>
      </c>
      <c r="AY5597" s="3" t="s">
        <v>53707</v>
      </c>
      <c r="AZ5597" s="3" t="s">
        <v>53708</v>
      </c>
      <c r="BA5597" s="3" t="s">
        <v>53708</v>
      </c>
      <c r="BB5597" s="3" t="s">
        <v>53709</v>
      </c>
      <c r="BC5597" s="3" t="s">
        <v>142</v>
      </c>
      <c r="BD5597" s="3" t="s">
        <v>68</v>
      </c>
      <c r="BE5597" s="3" t="s">
        <v>53710</v>
      </c>
      <c r="BF5597" s="3" t="s">
        <v>53709</v>
      </c>
      <c r="BG5597" s="3" t="s">
        <v>53711</v>
      </c>
    </row>
    <row r="5598" spans="1:59" ht="57" x14ac:dyDescent="0.45">
      <c r="A5598" s="2" t="s">
        <v>59</v>
      </c>
      <c r="B5598" s="2" t="s">
        <v>60</v>
      </c>
      <c r="C5598" s="2" t="s">
        <v>53712</v>
      </c>
      <c r="D5598" s="2" t="s">
        <v>53713</v>
      </c>
      <c r="E5598" s="2" t="s">
        <v>53714</v>
      </c>
      <c r="G5598" s="3" t="s">
        <v>62</v>
      </c>
      <c r="I5598" s="3" t="s">
        <v>62</v>
      </c>
      <c r="J5598" s="3" t="s">
        <v>62</v>
      </c>
      <c r="K5598" s="3" t="s">
        <v>63</v>
      </c>
      <c r="M5598" s="2" t="s">
        <v>53715</v>
      </c>
      <c r="N5598" s="3" t="s">
        <v>116</v>
      </c>
      <c r="P5598" s="3" t="s">
        <v>65</v>
      </c>
      <c r="Q5598" s="2" t="s">
        <v>53716</v>
      </c>
      <c r="R5598" s="3" t="s">
        <v>66</v>
      </c>
      <c r="S5598" s="4">
        <v>0</v>
      </c>
      <c r="T5598" s="4">
        <v>0</v>
      </c>
      <c r="W5598" s="5" t="s">
        <v>67</v>
      </c>
      <c r="X5598" s="5" t="s">
        <v>67</v>
      </c>
      <c r="Y5598" s="4">
        <v>47</v>
      </c>
      <c r="Z5598" s="4">
        <v>3</v>
      </c>
      <c r="AA5598" s="4">
        <v>62</v>
      </c>
      <c r="AB5598" s="4">
        <v>1</v>
      </c>
      <c r="AC5598" s="4">
        <v>7</v>
      </c>
      <c r="AD5598" s="4">
        <v>21</v>
      </c>
      <c r="AE5598" s="4">
        <v>83</v>
      </c>
      <c r="AF5598" s="4">
        <v>0</v>
      </c>
      <c r="AG5598" s="4">
        <v>4</v>
      </c>
      <c r="AH5598" s="4">
        <v>19</v>
      </c>
      <c r="AI5598" s="4">
        <v>54</v>
      </c>
      <c r="AJ5598" s="4">
        <v>2</v>
      </c>
      <c r="AK5598" s="4">
        <v>22</v>
      </c>
      <c r="AL5598" s="4">
        <v>14</v>
      </c>
      <c r="AM5598" s="4">
        <v>25</v>
      </c>
      <c r="AN5598" s="4">
        <v>0</v>
      </c>
      <c r="AO5598" s="4">
        <v>0</v>
      </c>
      <c r="AP5598" s="4">
        <v>2</v>
      </c>
      <c r="AQ5598" s="4">
        <v>35</v>
      </c>
      <c r="AR5598" s="3" t="s">
        <v>62</v>
      </c>
      <c r="AS5598" s="3" t="s">
        <v>62</v>
      </c>
      <c r="AT5598" s="3" t="s">
        <v>62</v>
      </c>
      <c r="AV5598" s="6" t="str">
        <f>HYPERLINK("http://mcgill.on.worldcat.org/oclc/824706806","Catalog Record")</f>
        <v>Catalog Record</v>
      </c>
      <c r="AW5598" s="6" t="str">
        <f>HYPERLINK("http://www.worldcat.org/oclc/824706806","WorldCat Record")</f>
        <v>WorldCat Record</v>
      </c>
      <c r="AX5598" s="3" t="s">
        <v>53717</v>
      </c>
      <c r="AY5598" s="3" t="s">
        <v>53718</v>
      </c>
      <c r="AZ5598" s="3" t="s">
        <v>53719</v>
      </c>
      <c r="BA5598" s="3" t="s">
        <v>53719</v>
      </c>
      <c r="BB5598" s="3" t="s">
        <v>53720</v>
      </c>
      <c r="BC5598" s="3" t="s">
        <v>142</v>
      </c>
      <c r="BD5598" s="3" t="s">
        <v>68</v>
      </c>
      <c r="BE5598" s="3" t="s">
        <v>53721</v>
      </c>
      <c r="BF5598" s="3" t="s">
        <v>53720</v>
      </c>
      <c r="BG5598" s="3" t="s">
        <v>53722</v>
      </c>
    </row>
    <row r="5599" spans="1:59" ht="57" x14ac:dyDescent="0.45">
      <c r="A5599" s="2" t="s">
        <v>59</v>
      </c>
      <c r="B5599" s="2" t="s">
        <v>60</v>
      </c>
      <c r="C5599" s="2" t="s">
        <v>53723</v>
      </c>
      <c r="D5599" s="2" t="s">
        <v>53724</v>
      </c>
      <c r="E5599" s="2" t="s">
        <v>53725</v>
      </c>
      <c r="G5599" s="3" t="s">
        <v>62</v>
      </c>
      <c r="I5599" s="3" t="s">
        <v>62</v>
      </c>
      <c r="J5599" s="3" t="s">
        <v>62</v>
      </c>
      <c r="K5599" s="3" t="s">
        <v>63</v>
      </c>
      <c r="L5599" s="2" t="s">
        <v>53726</v>
      </c>
      <c r="M5599" s="2" t="s">
        <v>53727</v>
      </c>
      <c r="N5599" s="3" t="s">
        <v>167</v>
      </c>
      <c r="P5599" s="3" t="s">
        <v>65</v>
      </c>
      <c r="Q5599" s="2" t="s">
        <v>29735</v>
      </c>
      <c r="R5599" s="3" t="s">
        <v>66</v>
      </c>
      <c r="S5599" s="4">
        <v>31</v>
      </c>
      <c r="T5599" s="4">
        <v>31</v>
      </c>
      <c r="U5599" s="5" t="s">
        <v>30682</v>
      </c>
      <c r="V5599" s="5" t="s">
        <v>30682</v>
      </c>
      <c r="W5599" s="5" t="s">
        <v>67</v>
      </c>
      <c r="X5599" s="5" t="s">
        <v>67</v>
      </c>
      <c r="Y5599" s="4">
        <v>280</v>
      </c>
      <c r="Z5599" s="4">
        <v>23</v>
      </c>
      <c r="AA5599" s="4">
        <v>118</v>
      </c>
      <c r="AB5599" s="4">
        <v>2</v>
      </c>
      <c r="AC5599" s="4">
        <v>21</v>
      </c>
      <c r="AD5599" s="4">
        <v>88</v>
      </c>
      <c r="AE5599" s="4">
        <v>146</v>
      </c>
      <c r="AF5599" s="4">
        <v>1</v>
      </c>
      <c r="AG5599" s="4">
        <v>9</v>
      </c>
      <c r="AH5599" s="4">
        <v>78</v>
      </c>
      <c r="AI5599" s="4">
        <v>99</v>
      </c>
      <c r="AJ5599" s="4">
        <v>17</v>
      </c>
      <c r="AK5599" s="4">
        <v>27</v>
      </c>
      <c r="AL5599" s="4">
        <v>47</v>
      </c>
      <c r="AM5599" s="4">
        <v>53</v>
      </c>
      <c r="AN5599" s="4">
        <v>0</v>
      </c>
      <c r="AO5599" s="4">
        <v>0</v>
      </c>
      <c r="AP5599" s="4">
        <v>18</v>
      </c>
      <c r="AQ5599" s="4">
        <v>56</v>
      </c>
      <c r="AR5599" s="3" t="s">
        <v>62</v>
      </c>
      <c r="AS5599" s="3" t="s">
        <v>62</v>
      </c>
      <c r="AT5599" s="3" t="s">
        <v>62</v>
      </c>
      <c r="AV5599" s="6" t="str">
        <f>HYPERLINK("http://mcgill.on.worldcat.org/oclc/39147879","Catalog Record")</f>
        <v>Catalog Record</v>
      </c>
      <c r="AW5599" s="6" t="str">
        <f>HYPERLINK("http://www.worldcat.org/oclc/39147879","WorldCat Record")</f>
        <v>WorldCat Record</v>
      </c>
      <c r="AX5599" s="3" t="s">
        <v>53728</v>
      </c>
      <c r="AY5599" s="3" t="s">
        <v>53729</v>
      </c>
      <c r="AZ5599" s="3" t="s">
        <v>53730</v>
      </c>
      <c r="BA5599" s="3" t="s">
        <v>53730</v>
      </c>
      <c r="BB5599" s="3" t="s">
        <v>53731</v>
      </c>
      <c r="BC5599" s="3" t="s">
        <v>142</v>
      </c>
      <c r="BD5599" s="3" t="s">
        <v>68</v>
      </c>
      <c r="BE5599" s="3" t="s">
        <v>53732</v>
      </c>
      <c r="BF5599" s="3" t="s">
        <v>53731</v>
      </c>
      <c r="BG5599" s="3" t="s">
        <v>53733</v>
      </c>
    </row>
    <row r="5600" spans="1:59" ht="57" x14ac:dyDescent="0.45">
      <c r="A5600" s="2" t="s">
        <v>59</v>
      </c>
      <c r="B5600" s="2" t="s">
        <v>60</v>
      </c>
      <c r="C5600" s="2" t="s">
        <v>53734</v>
      </c>
      <c r="D5600" s="2" t="s">
        <v>53735</v>
      </c>
      <c r="E5600" s="2" t="s">
        <v>53736</v>
      </c>
      <c r="G5600" s="3" t="s">
        <v>62</v>
      </c>
      <c r="I5600" s="3" t="s">
        <v>62</v>
      </c>
      <c r="J5600" s="3" t="s">
        <v>62</v>
      </c>
      <c r="K5600" s="3" t="s">
        <v>63</v>
      </c>
      <c r="L5600" s="2" t="s">
        <v>53737</v>
      </c>
      <c r="M5600" s="2" t="s">
        <v>32505</v>
      </c>
      <c r="N5600" s="3" t="s">
        <v>894</v>
      </c>
      <c r="P5600" s="3" t="s">
        <v>65</v>
      </c>
      <c r="Q5600" s="2" t="s">
        <v>53738</v>
      </c>
      <c r="R5600" s="3" t="s">
        <v>66</v>
      </c>
      <c r="S5600" s="4">
        <v>4</v>
      </c>
      <c r="T5600" s="4">
        <v>4</v>
      </c>
      <c r="U5600" s="5" t="s">
        <v>42646</v>
      </c>
      <c r="V5600" s="5" t="s">
        <v>42646</v>
      </c>
      <c r="W5600" s="5" t="s">
        <v>67</v>
      </c>
      <c r="X5600" s="5" t="s">
        <v>67</v>
      </c>
      <c r="Y5600" s="4">
        <v>112</v>
      </c>
      <c r="Z5600" s="4">
        <v>12</v>
      </c>
      <c r="AA5600" s="4">
        <v>18</v>
      </c>
      <c r="AB5600" s="4">
        <v>1</v>
      </c>
      <c r="AC5600" s="4">
        <v>3</v>
      </c>
      <c r="AD5600" s="4">
        <v>57</v>
      </c>
      <c r="AE5600" s="4">
        <v>68</v>
      </c>
      <c r="AF5600" s="4">
        <v>0</v>
      </c>
      <c r="AG5600" s="4">
        <v>1</v>
      </c>
      <c r="AH5600" s="4">
        <v>52</v>
      </c>
      <c r="AI5600" s="4">
        <v>60</v>
      </c>
      <c r="AJ5600" s="4">
        <v>10</v>
      </c>
      <c r="AK5600" s="4">
        <v>13</v>
      </c>
      <c r="AL5600" s="4">
        <v>35</v>
      </c>
      <c r="AM5600" s="4">
        <v>37</v>
      </c>
      <c r="AN5600" s="4">
        <v>0</v>
      </c>
      <c r="AO5600" s="4">
        <v>0</v>
      </c>
      <c r="AP5600" s="4">
        <v>10</v>
      </c>
      <c r="AQ5600" s="4">
        <v>15</v>
      </c>
      <c r="AR5600" s="3" t="s">
        <v>62</v>
      </c>
      <c r="AS5600" s="3" t="s">
        <v>62</v>
      </c>
      <c r="AT5600" s="3" t="s">
        <v>62</v>
      </c>
      <c r="AV5600" s="6" t="str">
        <f>HYPERLINK("http://mcgill.on.worldcat.org/oclc/682130391","Catalog Record")</f>
        <v>Catalog Record</v>
      </c>
      <c r="AW5600" s="6" t="str">
        <f>HYPERLINK("http://www.worldcat.org/oclc/682130391","WorldCat Record")</f>
        <v>WorldCat Record</v>
      </c>
      <c r="AX5600" s="3" t="s">
        <v>53739</v>
      </c>
      <c r="AY5600" s="3" t="s">
        <v>53740</v>
      </c>
      <c r="AZ5600" s="3" t="s">
        <v>53741</v>
      </c>
      <c r="BA5600" s="3" t="s">
        <v>53741</v>
      </c>
      <c r="BB5600" s="3" t="s">
        <v>53742</v>
      </c>
      <c r="BC5600" s="3" t="s">
        <v>142</v>
      </c>
      <c r="BD5600" s="3" t="s">
        <v>68</v>
      </c>
      <c r="BE5600" s="3" t="s">
        <v>53743</v>
      </c>
      <c r="BF5600" s="3" t="s">
        <v>53742</v>
      </c>
      <c r="BG5600" s="3" t="s">
        <v>53744</v>
      </c>
    </row>
    <row r="5601" spans="1:59" ht="57" x14ac:dyDescent="0.45">
      <c r="A5601" s="2" t="s">
        <v>59</v>
      </c>
      <c r="B5601" s="2" t="s">
        <v>60</v>
      </c>
      <c r="C5601" s="2" t="s">
        <v>53745</v>
      </c>
      <c r="D5601" s="2" t="s">
        <v>53746</v>
      </c>
      <c r="E5601" s="2" t="s">
        <v>53747</v>
      </c>
      <c r="G5601" s="3" t="s">
        <v>62</v>
      </c>
      <c r="I5601" s="3" t="s">
        <v>62</v>
      </c>
      <c r="J5601" s="3" t="s">
        <v>62</v>
      </c>
      <c r="K5601" s="3" t="s">
        <v>63</v>
      </c>
      <c r="M5601" s="2" t="s">
        <v>2440</v>
      </c>
      <c r="N5601" s="3" t="s">
        <v>568</v>
      </c>
      <c r="P5601" s="3" t="s">
        <v>65</v>
      </c>
      <c r="Q5601" s="2" t="s">
        <v>53748</v>
      </c>
      <c r="R5601" s="3" t="s">
        <v>66</v>
      </c>
      <c r="S5601" s="4">
        <v>51</v>
      </c>
      <c r="T5601" s="4">
        <v>51</v>
      </c>
      <c r="U5601" s="5" t="s">
        <v>33271</v>
      </c>
      <c r="V5601" s="5" t="s">
        <v>33271</v>
      </c>
      <c r="W5601" s="5" t="s">
        <v>67</v>
      </c>
      <c r="X5601" s="5" t="s">
        <v>67</v>
      </c>
      <c r="Y5601" s="4">
        <v>261</v>
      </c>
      <c r="Z5601" s="4">
        <v>18</v>
      </c>
      <c r="AA5601" s="4">
        <v>21</v>
      </c>
      <c r="AB5601" s="4">
        <v>1</v>
      </c>
      <c r="AC5601" s="4">
        <v>4</v>
      </c>
      <c r="AD5601" s="4">
        <v>98</v>
      </c>
      <c r="AE5601" s="4">
        <v>105</v>
      </c>
      <c r="AF5601" s="4">
        <v>0</v>
      </c>
      <c r="AG5601" s="4">
        <v>3</v>
      </c>
      <c r="AH5601" s="4">
        <v>89</v>
      </c>
      <c r="AI5601" s="4">
        <v>94</v>
      </c>
      <c r="AJ5601" s="4">
        <v>14</v>
      </c>
      <c r="AK5601" s="4">
        <v>17</v>
      </c>
      <c r="AL5601" s="4">
        <v>51</v>
      </c>
      <c r="AM5601" s="4">
        <v>55</v>
      </c>
      <c r="AN5601" s="4">
        <v>0</v>
      </c>
      <c r="AO5601" s="4">
        <v>0</v>
      </c>
      <c r="AP5601" s="4">
        <v>15</v>
      </c>
      <c r="AQ5601" s="4">
        <v>17</v>
      </c>
      <c r="AR5601" s="3" t="s">
        <v>62</v>
      </c>
      <c r="AS5601" s="3" t="s">
        <v>62</v>
      </c>
      <c r="AT5601" s="3" t="s">
        <v>62</v>
      </c>
      <c r="AV5601" s="6" t="str">
        <f>HYPERLINK("http://mcgill.on.worldcat.org/oclc/15017230","Catalog Record")</f>
        <v>Catalog Record</v>
      </c>
      <c r="AW5601" s="6" t="str">
        <f>HYPERLINK("http://www.worldcat.org/oclc/15017230","WorldCat Record")</f>
        <v>WorldCat Record</v>
      </c>
      <c r="AX5601" s="3" t="s">
        <v>53749</v>
      </c>
      <c r="AY5601" s="3" t="s">
        <v>53750</v>
      </c>
      <c r="AZ5601" s="3" t="s">
        <v>53751</v>
      </c>
      <c r="BA5601" s="3" t="s">
        <v>53751</v>
      </c>
      <c r="BB5601" s="3" t="s">
        <v>53752</v>
      </c>
      <c r="BC5601" s="3" t="s">
        <v>142</v>
      </c>
      <c r="BD5601" s="3" t="s">
        <v>68</v>
      </c>
      <c r="BE5601" s="3" t="s">
        <v>53753</v>
      </c>
      <c r="BF5601" s="3" t="s">
        <v>53752</v>
      </c>
      <c r="BG5601" s="3" t="s">
        <v>53754</v>
      </c>
    </row>
    <row r="5602" spans="1:59" ht="57" x14ac:dyDescent="0.45">
      <c r="A5602" s="2" t="s">
        <v>59</v>
      </c>
      <c r="B5602" s="2" t="s">
        <v>60</v>
      </c>
      <c r="C5602" s="2" t="s">
        <v>53755</v>
      </c>
      <c r="D5602" s="2" t="s">
        <v>53756</v>
      </c>
      <c r="E5602" s="2" t="s">
        <v>53757</v>
      </c>
      <c r="G5602" s="3" t="s">
        <v>62</v>
      </c>
      <c r="I5602" s="3" t="s">
        <v>62</v>
      </c>
      <c r="J5602" s="3" t="s">
        <v>62</v>
      </c>
      <c r="K5602" s="3" t="s">
        <v>63</v>
      </c>
      <c r="L5602" s="2" t="s">
        <v>53758</v>
      </c>
      <c r="M5602" s="2" t="s">
        <v>38186</v>
      </c>
      <c r="N5602" s="3" t="s">
        <v>1253</v>
      </c>
      <c r="P5602" s="3" t="s">
        <v>65</v>
      </c>
      <c r="Q5602" s="2" t="s">
        <v>53759</v>
      </c>
      <c r="R5602" s="3" t="s">
        <v>66</v>
      </c>
      <c r="S5602" s="4">
        <v>9</v>
      </c>
      <c r="T5602" s="4">
        <v>9</v>
      </c>
      <c r="U5602" s="5" t="s">
        <v>126</v>
      </c>
      <c r="V5602" s="5" t="s">
        <v>126</v>
      </c>
      <c r="W5602" s="5" t="s">
        <v>67</v>
      </c>
      <c r="X5602" s="5" t="s">
        <v>67</v>
      </c>
      <c r="Y5602" s="4">
        <v>197</v>
      </c>
      <c r="Z5602" s="4">
        <v>11</v>
      </c>
      <c r="AA5602" s="4">
        <v>14</v>
      </c>
      <c r="AB5602" s="4">
        <v>1</v>
      </c>
      <c r="AC5602" s="4">
        <v>4</v>
      </c>
      <c r="AD5602" s="4">
        <v>76</v>
      </c>
      <c r="AE5602" s="4">
        <v>79</v>
      </c>
      <c r="AF5602" s="4">
        <v>0</v>
      </c>
      <c r="AG5602" s="4">
        <v>3</v>
      </c>
      <c r="AH5602" s="4">
        <v>71</v>
      </c>
      <c r="AI5602" s="4">
        <v>72</v>
      </c>
      <c r="AJ5602" s="4">
        <v>9</v>
      </c>
      <c r="AK5602" s="4">
        <v>12</v>
      </c>
      <c r="AL5602" s="4">
        <v>44</v>
      </c>
      <c r="AM5602" s="4">
        <v>44</v>
      </c>
      <c r="AN5602" s="4">
        <v>0</v>
      </c>
      <c r="AO5602" s="4">
        <v>0</v>
      </c>
      <c r="AP5602" s="4">
        <v>9</v>
      </c>
      <c r="AQ5602" s="4">
        <v>11</v>
      </c>
      <c r="AR5602" s="3" t="s">
        <v>62</v>
      </c>
      <c r="AS5602" s="3" t="s">
        <v>62</v>
      </c>
      <c r="AT5602" s="3" t="s">
        <v>62</v>
      </c>
      <c r="AV5602" s="6" t="str">
        <f>HYPERLINK("http://mcgill.on.worldcat.org/oclc/35558930","Catalog Record")</f>
        <v>Catalog Record</v>
      </c>
      <c r="AW5602" s="6" t="str">
        <f>HYPERLINK("http://www.worldcat.org/oclc/35558930","WorldCat Record")</f>
        <v>WorldCat Record</v>
      </c>
      <c r="AX5602" s="3" t="s">
        <v>53760</v>
      </c>
      <c r="AY5602" s="3" t="s">
        <v>53761</v>
      </c>
      <c r="AZ5602" s="3" t="s">
        <v>53762</v>
      </c>
      <c r="BA5602" s="3" t="s">
        <v>53762</v>
      </c>
      <c r="BB5602" s="3" t="s">
        <v>53763</v>
      </c>
      <c r="BC5602" s="3" t="s">
        <v>142</v>
      </c>
      <c r="BD5602" s="3" t="s">
        <v>68</v>
      </c>
      <c r="BE5602" s="3" t="s">
        <v>53764</v>
      </c>
      <c r="BF5602" s="3" t="s">
        <v>53763</v>
      </c>
      <c r="BG5602" s="3" t="s">
        <v>53765</v>
      </c>
    </row>
    <row r="5603" spans="1:59" ht="57" x14ac:dyDescent="0.45">
      <c r="A5603" s="2" t="s">
        <v>59</v>
      </c>
      <c r="B5603" s="2" t="s">
        <v>60</v>
      </c>
      <c r="C5603" s="2" t="s">
        <v>53766</v>
      </c>
      <c r="D5603" s="2" t="s">
        <v>53767</v>
      </c>
      <c r="E5603" s="2" t="s">
        <v>53768</v>
      </c>
      <c r="G5603" s="3" t="s">
        <v>62</v>
      </c>
      <c r="I5603" s="3" t="s">
        <v>62</v>
      </c>
      <c r="J5603" s="3" t="s">
        <v>62</v>
      </c>
      <c r="K5603" s="3" t="s">
        <v>63</v>
      </c>
      <c r="L5603" s="2" t="s">
        <v>53769</v>
      </c>
      <c r="M5603" s="2" t="s">
        <v>53417</v>
      </c>
      <c r="N5603" s="3" t="s">
        <v>1059</v>
      </c>
      <c r="P5603" s="3" t="s">
        <v>65</v>
      </c>
      <c r="Q5603" s="2" t="s">
        <v>53770</v>
      </c>
      <c r="R5603" s="3" t="s">
        <v>66</v>
      </c>
      <c r="S5603" s="4">
        <v>6</v>
      </c>
      <c r="T5603" s="4">
        <v>6</v>
      </c>
      <c r="U5603" s="5" t="s">
        <v>36491</v>
      </c>
      <c r="V5603" s="5" t="s">
        <v>36491</v>
      </c>
      <c r="W5603" s="5" t="s">
        <v>67</v>
      </c>
      <c r="X5603" s="5" t="s">
        <v>67</v>
      </c>
      <c r="Y5603" s="4">
        <v>101</v>
      </c>
      <c r="Z5603" s="4">
        <v>15</v>
      </c>
      <c r="AA5603" s="4">
        <v>105</v>
      </c>
      <c r="AB5603" s="4">
        <v>1</v>
      </c>
      <c r="AC5603" s="4">
        <v>17</v>
      </c>
      <c r="AD5603" s="4">
        <v>53</v>
      </c>
      <c r="AE5603" s="4">
        <v>117</v>
      </c>
      <c r="AF5603" s="4">
        <v>0</v>
      </c>
      <c r="AG5603" s="4">
        <v>8</v>
      </c>
      <c r="AH5603" s="4">
        <v>45</v>
      </c>
      <c r="AI5603" s="4">
        <v>80</v>
      </c>
      <c r="AJ5603" s="4">
        <v>11</v>
      </c>
      <c r="AK5603" s="4">
        <v>23</v>
      </c>
      <c r="AL5603" s="4">
        <v>28</v>
      </c>
      <c r="AM5603" s="4">
        <v>41</v>
      </c>
      <c r="AN5603" s="4">
        <v>0</v>
      </c>
      <c r="AO5603" s="4">
        <v>0</v>
      </c>
      <c r="AP5603" s="4">
        <v>13</v>
      </c>
      <c r="AQ5603" s="4">
        <v>44</v>
      </c>
      <c r="AR5603" s="3" t="s">
        <v>62</v>
      </c>
      <c r="AS5603" s="3" t="s">
        <v>62</v>
      </c>
      <c r="AT5603" s="3" t="s">
        <v>61</v>
      </c>
      <c r="AU5603" s="6" t="str">
        <f>HYPERLINK("http://catalog.hathitrust.org/Record/005606208","HathiTrust Record")</f>
        <v>HathiTrust Record</v>
      </c>
      <c r="AV5603" s="6" t="str">
        <f>HYPERLINK("http://mcgill.on.worldcat.org/oclc/77077928","Catalog Record")</f>
        <v>Catalog Record</v>
      </c>
      <c r="AW5603" s="6" t="str">
        <f>HYPERLINK("http://www.worldcat.org/oclc/77077928","WorldCat Record")</f>
        <v>WorldCat Record</v>
      </c>
      <c r="AX5603" s="3" t="s">
        <v>53771</v>
      </c>
      <c r="AY5603" s="3" t="s">
        <v>53772</v>
      </c>
      <c r="AZ5603" s="3" t="s">
        <v>53773</v>
      </c>
      <c r="BA5603" s="3" t="s">
        <v>53773</v>
      </c>
      <c r="BB5603" s="3" t="s">
        <v>53774</v>
      </c>
      <c r="BC5603" s="3" t="s">
        <v>142</v>
      </c>
      <c r="BD5603" s="3" t="s">
        <v>68</v>
      </c>
      <c r="BE5603" s="3" t="s">
        <v>53775</v>
      </c>
      <c r="BF5603" s="3" t="s">
        <v>53774</v>
      </c>
      <c r="BG5603" s="3" t="s">
        <v>53776</v>
      </c>
    </row>
    <row r="5604" spans="1:59" ht="57" x14ac:dyDescent="0.45">
      <c r="A5604" s="2" t="s">
        <v>59</v>
      </c>
      <c r="B5604" s="2" t="s">
        <v>60</v>
      </c>
      <c r="C5604" s="2" t="s">
        <v>53777</v>
      </c>
      <c r="D5604" s="2" t="s">
        <v>53778</v>
      </c>
      <c r="E5604" s="2" t="s">
        <v>53779</v>
      </c>
      <c r="G5604" s="3" t="s">
        <v>62</v>
      </c>
      <c r="I5604" s="3" t="s">
        <v>62</v>
      </c>
      <c r="J5604" s="3" t="s">
        <v>62</v>
      </c>
      <c r="K5604" s="3" t="s">
        <v>63</v>
      </c>
      <c r="L5604" s="2" t="s">
        <v>53780</v>
      </c>
      <c r="M5604" s="2" t="s">
        <v>53781</v>
      </c>
      <c r="N5604" s="3" t="s">
        <v>1918</v>
      </c>
      <c r="P5604" s="3" t="s">
        <v>65</v>
      </c>
      <c r="Q5604" s="2" t="s">
        <v>53782</v>
      </c>
      <c r="R5604" s="3" t="s">
        <v>66</v>
      </c>
      <c r="S5604" s="4">
        <v>0</v>
      </c>
      <c r="T5604" s="4">
        <v>0</v>
      </c>
      <c r="W5604" s="5" t="s">
        <v>67</v>
      </c>
      <c r="X5604" s="5" t="s">
        <v>67</v>
      </c>
      <c r="Y5604" s="4">
        <v>24</v>
      </c>
      <c r="Z5604" s="4">
        <v>1</v>
      </c>
      <c r="AA5604" s="4">
        <v>78</v>
      </c>
      <c r="AB5604" s="4">
        <v>1</v>
      </c>
      <c r="AC5604" s="4">
        <v>14</v>
      </c>
      <c r="AD5604" s="4">
        <v>14</v>
      </c>
      <c r="AE5604" s="4">
        <v>105</v>
      </c>
      <c r="AF5604" s="4">
        <v>0</v>
      </c>
      <c r="AG5604" s="4">
        <v>8</v>
      </c>
      <c r="AH5604" s="4">
        <v>13</v>
      </c>
      <c r="AI5604" s="4">
        <v>71</v>
      </c>
      <c r="AJ5604" s="4">
        <v>0</v>
      </c>
      <c r="AK5604" s="4">
        <v>20</v>
      </c>
      <c r="AL5604" s="4">
        <v>13</v>
      </c>
      <c r="AM5604" s="4">
        <v>39</v>
      </c>
      <c r="AN5604" s="4">
        <v>0</v>
      </c>
      <c r="AO5604" s="4">
        <v>0</v>
      </c>
      <c r="AP5604" s="4">
        <v>0</v>
      </c>
      <c r="AQ5604" s="4">
        <v>39</v>
      </c>
      <c r="AR5604" s="3" t="s">
        <v>62</v>
      </c>
      <c r="AS5604" s="3" t="s">
        <v>62</v>
      </c>
      <c r="AT5604" s="3" t="s">
        <v>62</v>
      </c>
      <c r="AV5604" s="6" t="str">
        <f>HYPERLINK("http://mcgill.on.worldcat.org/oclc/967187171","Catalog Record")</f>
        <v>Catalog Record</v>
      </c>
      <c r="AW5604" s="6" t="str">
        <f>HYPERLINK("http://www.worldcat.org/oclc/967187171","WorldCat Record")</f>
        <v>WorldCat Record</v>
      </c>
      <c r="AX5604" s="3" t="s">
        <v>53783</v>
      </c>
      <c r="AY5604" s="3" t="s">
        <v>53784</v>
      </c>
      <c r="AZ5604" s="3" t="s">
        <v>53785</v>
      </c>
      <c r="BA5604" s="3" t="s">
        <v>53785</v>
      </c>
      <c r="BB5604" s="3" t="s">
        <v>53786</v>
      </c>
      <c r="BC5604" s="3" t="s">
        <v>142</v>
      </c>
      <c r="BD5604" s="3" t="s">
        <v>68</v>
      </c>
      <c r="BE5604" s="3" t="s">
        <v>53787</v>
      </c>
      <c r="BF5604" s="3" t="s">
        <v>53786</v>
      </c>
      <c r="BG5604" s="3" t="s">
        <v>53788</v>
      </c>
    </row>
    <row r="5605" spans="1:59" ht="57" x14ac:dyDescent="0.45">
      <c r="A5605" s="2" t="s">
        <v>59</v>
      </c>
      <c r="B5605" s="2" t="s">
        <v>60</v>
      </c>
      <c r="C5605" s="2" t="s">
        <v>53789</v>
      </c>
      <c r="D5605" s="2" t="s">
        <v>53790</v>
      </c>
      <c r="E5605" s="2" t="s">
        <v>53791</v>
      </c>
      <c r="G5605" s="3" t="s">
        <v>62</v>
      </c>
      <c r="I5605" s="3" t="s">
        <v>62</v>
      </c>
      <c r="J5605" s="3" t="s">
        <v>62</v>
      </c>
      <c r="K5605" s="3" t="s">
        <v>63</v>
      </c>
      <c r="M5605" s="2" t="s">
        <v>29822</v>
      </c>
      <c r="N5605" s="3" t="s">
        <v>1059</v>
      </c>
      <c r="P5605" s="3" t="s">
        <v>65</v>
      </c>
      <c r="Q5605" s="2" t="s">
        <v>53792</v>
      </c>
      <c r="R5605" s="3" t="s">
        <v>66</v>
      </c>
      <c r="S5605" s="4">
        <v>7</v>
      </c>
      <c r="T5605" s="4">
        <v>7</v>
      </c>
      <c r="U5605" s="5" t="s">
        <v>6989</v>
      </c>
      <c r="V5605" s="5" t="s">
        <v>6989</v>
      </c>
      <c r="W5605" s="5" t="s">
        <v>67</v>
      </c>
      <c r="X5605" s="5" t="s">
        <v>67</v>
      </c>
      <c r="Y5605" s="4">
        <v>114</v>
      </c>
      <c r="Z5605" s="4">
        <v>8</v>
      </c>
      <c r="AA5605" s="4">
        <v>81</v>
      </c>
      <c r="AB5605" s="4">
        <v>1</v>
      </c>
      <c r="AC5605" s="4">
        <v>15</v>
      </c>
      <c r="AD5605" s="4">
        <v>53</v>
      </c>
      <c r="AE5605" s="4">
        <v>115</v>
      </c>
      <c r="AF5605" s="4">
        <v>0</v>
      </c>
      <c r="AG5605" s="4">
        <v>8</v>
      </c>
      <c r="AH5605" s="4">
        <v>51</v>
      </c>
      <c r="AI5605" s="4">
        <v>81</v>
      </c>
      <c r="AJ5605" s="4">
        <v>6</v>
      </c>
      <c r="AK5605" s="4">
        <v>21</v>
      </c>
      <c r="AL5605" s="4">
        <v>32</v>
      </c>
      <c r="AM5605" s="4">
        <v>46</v>
      </c>
      <c r="AN5605" s="4">
        <v>0</v>
      </c>
      <c r="AO5605" s="4">
        <v>0</v>
      </c>
      <c r="AP5605" s="4">
        <v>6</v>
      </c>
      <c r="AQ5605" s="4">
        <v>41</v>
      </c>
      <c r="AR5605" s="3" t="s">
        <v>62</v>
      </c>
      <c r="AS5605" s="3" t="s">
        <v>62</v>
      </c>
      <c r="AT5605" s="3" t="s">
        <v>61</v>
      </c>
      <c r="AU5605" s="6" t="str">
        <f>HYPERLINK("http://catalog.hathitrust.org/Record/007146870","HathiTrust Record")</f>
        <v>HathiTrust Record</v>
      </c>
      <c r="AV5605" s="6" t="str">
        <f>HYPERLINK("http://mcgill.on.worldcat.org/oclc/62408602","Catalog Record")</f>
        <v>Catalog Record</v>
      </c>
      <c r="AW5605" s="6" t="str">
        <f>HYPERLINK("http://www.worldcat.org/oclc/62408602","WorldCat Record")</f>
        <v>WorldCat Record</v>
      </c>
      <c r="AX5605" s="3" t="s">
        <v>53793</v>
      </c>
      <c r="AY5605" s="3" t="s">
        <v>53794</v>
      </c>
      <c r="AZ5605" s="3" t="s">
        <v>53795</v>
      </c>
      <c r="BA5605" s="3" t="s">
        <v>53795</v>
      </c>
      <c r="BB5605" s="3" t="s">
        <v>53796</v>
      </c>
      <c r="BC5605" s="3" t="s">
        <v>142</v>
      </c>
      <c r="BD5605" s="3" t="s">
        <v>68</v>
      </c>
      <c r="BE5605" s="3" t="s">
        <v>53797</v>
      </c>
      <c r="BF5605" s="3" t="s">
        <v>53796</v>
      </c>
      <c r="BG5605" s="3" t="s">
        <v>53798</v>
      </c>
    </row>
    <row r="5606" spans="1:59" ht="57" x14ac:dyDescent="0.45">
      <c r="A5606" s="2" t="s">
        <v>59</v>
      </c>
      <c r="B5606" s="2" t="s">
        <v>60</v>
      </c>
      <c r="C5606" s="2" t="s">
        <v>53799</v>
      </c>
      <c r="D5606" s="2" t="s">
        <v>53800</v>
      </c>
      <c r="E5606" s="2" t="s">
        <v>53801</v>
      </c>
      <c r="G5606" s="3" t="s">
        <v>62</v>
      </c>
      <c r="I5606" s="3" t="s">
        <v>62</v>
      </c>
      <c r="J5606" s="3" t="s">
        <v>62</v>
      </c>
      <c r="K5606" s="3" t="s">
        <v>63</v>
      </c>
      <c r="M5606" s="2" t="s">
        <v>53802</v>
      </c>
      <c r="N5606" s="3" t="s">
        <v>167</v>
      </c>
      <c r="P5606" s="3" t="s">
        <v>65</v>
      </c>
      <c r="Q5606" s="2" t="s">
        <v>28144</v>
      </c>
      <c r="R5606" s="3" t="s">
        <v>66</v>
      </c>
      <c r="S5606" s="4">
        <v>3</v>
      </c>
      <c r="T5606" s="4">
        <v>3</v>
      </c>
      <c r="U5606" s="5" t="s">
        <v>34476</v>
      </c>
      <c r="V5606" s="5" t="s">
        <v>34476</v>
      </c>
      <c r="W5606" s="5" t="s">
        <v>67</v>
      </c>
      <c r="X5606" s="5" t="s">
        <v>67</v>
      </c>
      <c r="Y5606" s="4">
        <v>189</v>
      </c>
      <c r="Z5606" s="4">
        <v>13</v>
      </c>
      <c r="AA5606" s="4">
        <v>17</v>
      </c>
      <c r="AB5606" s="4">
        <v>1</v>
      </c>
      <c r="AC5606" s="4">
        <v>4</v>
      </c>
      <c r="AD5606" s="4">
        <v>84</v>
      </c>
      <c r="AE5606" s="4">
        <v>88</v>
      </c>
      <c r="AF5606" s="4">
        <v>0</v>
      </c>
      <c r="AG5606" s="4">
        <v>3</v>
      </c>
      <c r="AH5606" s="4">
        <v>78</v>
      </c>
      <c r="AI5606" s="4">
        <v>79</v>
      </c>
      <c r="AJ5606" s="4">
        <v>10</v>
      </c>
      <c r="AK5606" s="4">
        <v>14</v>
      </c>
      <c r="AL5606" s="4">
        <v>49</v>
      </c>
      <c r="AM5606" s="4">
        <v>49</v>
      </c>
      <c r="AN5606" s="4">
        <v>0</v>
      </c>
      <c r="AO5606" s="4">
        <v>0</v>
      </c>
      <c r="AP5606" s="4">
        <v>11</v>
      </c>
      <c r="AQ5606" s="4">
        <v>14</v>
      </c>
      <c r="AR5606" s="3" t="s">
        <v>62</v>
      </c>
      <c r="AS5606" s="3" t="s">
        <v>62</v>
      </c>
      <c r="AT5606" s="3" t="s">
        <v>62</v>
      </c>
      <c r="AV5606" s="6" t="str">
        <f>HYPERLINK("http://mcgill.on.worldcat.org/oclc/38930551","Catalog Record")</f>
        <v>Catalog Record</v>
      </c>
      <c r="AW5606" s="6" t="str">
        <f>HYPERLINK("http://www.worldcat.org/oclc/38930551","WorldCat Record")</f>
        <v>WorldCat Record</v>
      </c>
      <c r="AX5606" s="3" t="s">
        <v>53803</v>
      </c>
      <c r="AY5606" s="3" t="s">
        <v>53804</v>
      </c>
      <c r="AZ5606" s="3" t="s">
        <v>53805</v>
      </c>
      <c r="BA5606" s="3" t="s">
        <v>53805</v>
      </c>
      <c r="BB5606" s="3" t="s">
        <v>53806</v>
      </c>
      <c r="BC5606" s="3" t="s">
        <v>142</v>
      </c>
      <c r="BD5606" s="3" t="s">
        <v>68</v>
      </c>
      <c r="BE5606" s="3" t="s">
        <v>53807</v>
      </c>
      <c r="BF5606" s="3" t="s">
        <v>53806</v>
      </c>
      <c r="BG5606" s="3" t="s">
        <v>53808</v>
      </c>
    </row>
    <row r="5607" spans="1:59" ht="71.25" x14ac:dyDescent="0.45">
      <c r="A5607" s="2" t="s">
        <v>59</v>
      </c>
      <c r="B5607" s="2" t="s">
        <v>60</v>
      </c>
      <c r="C5607" s="2" t="s">
        <v>53809</v>
      </c>
      <c r="D5607" s="2" t="s">
        <v>53810</v>
      </c>
      <c r="E5607" s="2" t="s">
        <v>53811</v>
      </c>
      <c r="G5607" s="3" t="s">
        <v>62</v>
      </c>
      <c r="I5607" s="3" t="s">
        <v>62</v>
      </c>
      <c r="J5607" s="3" t="s">
        <v>62</v>
      </c>
      <c r="K5607" s="3" t="s">
        <v>63</v>
      </c>
      <c r="L5607" s="2" t="s">
        <v>53812</v>
      </c>
      <c r="M5607" s="2" t="s">
        <v>53813</v>
      </c>
      <c r="N5607" s="3" t="s">
        <v>1855</v>
      </c>
      <c r="P5607" s="3" t="s">
        <v>65</v>
      </c>
      <c r="Q5607" s="2" t="s">
        <v>53814</v>
      </c>
      <c r="R5607" s="3" t="s">
        <v>66</v>
      </c>
      <c r="S5607" s="4">
        <v>1</v>
      </c>
      <c r="T5607" s="4">
        <v>1</v>
      </c>
      <c r="U5607" s="5" t="s">
        <v>6989</v>
      </c>
      <c r="V5607" s="5" t="s">
        <v>6989</v>
      </c>
      <c r="W5607" s="5" t="s">
        <v>67</v>
      </c>
      <c r="X5607" s="5" t="s">
        <v>67</v>
      </c>
      <c r="Y5607" s="4">
        <v>108</v>
      </c>
      <c r="Z5607" s="4">
        <v>9</v>
      </c>
      <c r="AA5607" s="4">
        <v>89</v>
      </c>
      <c r="AB5607" s="4">
        <v>1</v>
      </c>
      <c r="AC5607" s="4">
        <v>17</v>
      </c>
      <c r="AD5607" s="4">
        <v>51</v>
      </c>
      <c r="AE5607" s="4">
        <v>105</v>
      </c>
      <c r="AF5607" s="4">
        <v>0</v>
      </c>
      <c r="AG5607" s="4">
        <v>8</v>
      </c>
      <c r="AH5607" s="4">
        <v>48</v>
      </c>
      <c r="AI5607" s="4">
        <v>72</v>
      </c>
      <c r="AJ5607" s="4">
        <v>6</v>
      </c>
      <c r="AK5607" s="4">
        <v>19</v>
      </c>
      <c r="AL5607" s="4">
        <v>28</v>
      </c>
      <c r="AM5607" s="4">
        <v>40</v>
      </c>
      <c r="AN5607" s="4">
        <v>0</v>
      </c>
      <c r="AO5607" s="4">
        <v>0</v>
      </c>
      <c r="AP5607" s="4">
        <v>7</v>
      </c>
      <c r="AQ5607" s="4">
        <v>40</v>
      </c>
      <c r="AR5607" s="3" t="s">
        <v>62</v>
      </c>
      <c r="AS5607" s="3" t="s">
        <v>62</v>
      </c>
      <c r="AT5607" s="3" t="s">
        <v>62</v>
      </c>
      <c r="AV5607" s="6" t="str">
        <f>HYPERLINK("http://mcgill.on.worldcat.org/oclc/60370946","Catalog Record")</f>
        <v>Catalog Record</v>
      </c>
      <c r="AW5607" s="6" t="str">
        <f>HYPERLINK("http://www.worldcat.org/oclc/60370946","WorldCat Record")</f>
        <v>WorldCat Record</v>
      </c>
      <c r="AX5607" s="3" t="s">
        <v>53815</v>
      </c>
      <c r="AY5607" s="3" t="s">
        <v>53816</v>
      </c>
      <c r="AZ5607" s="3" t="s">
        <v>53817</v>
      </c>
      <c r="BA5607" s="3" t="s">
        <v>53817</v>
      </c>
      <c r="BB5607" s="3" t="s">
        <v>53818</v>
      </c>
      <c r="BC5607" s="3" t="s">
        <v>142</v>
      </c>
      <c r="BD5607" s="3" t="s">
        <v>68</v>
      </c>
      <c r="BE5607" s="3" t="s">
        <v>53819</v>
      </c>
      <c r="BF5607" s="3" t="s">
        <v>53818</v>
      </c>
      <c r="BG5607" s="3" t="s">
        <v>53820</v>
      </c>
    </row>
    <row r="5608" spans="1:59" ht="57" x14ac:dyDescent="0.45">
      <c r="A5608" s="2" t="s">
        <v>59</v>
      </c>
      <c r="B5608" s="2" t="s">
        <v>60</v>
      </c>
      <c r="C5608" s="2" t="s">
        <v>53821</v>
      </c>
      <c r="D5608" s="2" t="s">
        <v>53822</v>
      </c>
      <c r="E5608" s="2" t="s">
        <v>53823</v>
      </c>
      <c r="G5608" s="3" t="s">
        <v>62</v>
      </c>
      <c r="I5608" s="3" t="s">
        <v>62</v>
      </c>
      <c r="J5608" s="3" t="s">
        <v>62</v>
      </c>
      <c r="K5608" s="3" t="s">
        <v>63</v>
      </c>
      <c r="M5608" s="2" t="s">
        <v>49478</v>
      </c>
      <c r="N5608" s="3" t="s">
        <v>958</v>
      </c>
      <c r="P5608" s="3" t="s">
        <v>65</v>
      </c>
      <c r="R5608" s="3" t="s">
        <v>66</v>
      </c>
      <c r="S5608" s="4">
        <v>44</v>
      </c>
      <c r="T5608" s="4">
        <v>44</v>
      </c>
      <c r="U5608" s="5" t="s">
        <v>342</v>
      </c>
      <c r="V5608" s="5" t="s">
        <v>342</v>
      </c>
      <c r="W5608" s="5" t="s">
        <v>67</v>
      </c>
      <c r="X5608" s="5" t="s">
        <v>67</v>
      </c>
      <c r="Y5608" s="4">
        <v>201</v>
      </c>
      <c r="Z5608" s="4">
        <v>16</v>
      </c>
      <c r="AA5608" s="4">
        <v>17</v>
      </c>
      <c r="AB5608" s="4">
        <v>1</v>
      </c>
      <c r="AC5608" s="4">
        <v>2</v>
      </c>
      <c r="AD5608" s="4">
        <v>93</v>
      </c>
      <c r="AE5608" s="4">
        <v>94</v>
      </c>
      <c r="AF5608" s="4">
        <v>0</v>
      </c>
      <c r="AG5608" s="4">
        <v>1</v>
      </c>
      <c r="AH5608" s="4">
        <v>85</v>
      </c>
      <c r="AI5608" s="4">
        <v>85</v>
      </c>
      <c r="AJ5608" s="4">
        <v>13</v>
      </c>
      <c r="AK5608" s="4">
        <v>14</v>
      </c>
      <c r="AL5608" s="4">
        <v>52</v>
      </c>
      <c r="AM5608" s="4">
        <v>52</v>
      </c>
      <c r="AN5608" s="4">
        <v>0</v>
      </c>
      <c r="AO5608" s="4">
        <v>0</v>
      </c>
      <c r="AP5608" s="4">
        <v>14</v>
      </c>
      <c r="AQ5608" s="4">
        <v>15</v>
      </c>
      <c r="AR5608" s="3" t="s">
        <v>62</v>
      </c>
      <c r="AS5608" s="3" t="s">
        <v>62</v>
      </c>
      <c r="AT5608" s="3" t="s">
        <v>62</v>
      </c>
      <c r="AV5608" s="6" t="str">
        <f>HYPERLINK("http://mcgill.on.worldcat.org/oclc/31045869","Catalog Record")</f>
        <v>Catalog Record</v>
      </c>
      <c r="AW5608" s="6" t="str">
        <f>HYPERLINK("http://www.worldcat.org/oclc/31045869","WorldCat Record")</f>
        <v>WorldCat Record</v>
      </c>
      <c r="AX5608" s="3" t="s">
        <v>53824</v>
      </c>
      <c r="AY5608" s="3" t="s">
        <v>53825</v>
      </c>
      <c r="AZ5608" s="3" t="s">
        <v>53826</v>
      </c>
      <c r="BA5608" s="3" t="s">
        <v>53826</v>
      </c>
      <c r="BB5608" s="3" t="s">
        <v>53827</v>
      </c>
      <c r="BC5608" s="3" t="s">
        <v>142</v>
      </c>
      <c r="BD5608" s="3" t="s">
        <v>68</v>
      </c>
      <c r="BE5608" s="3" t="s">
        <v>53828</v>
      </c>
      <c r="BF5608" s="3" t="s">
        <v>53827</v>
      </c>
      <c r="BG5608" s="3" t="s">
        <v>53829</v>
      </c>
    </row>
    <row r="5609" spans="1:59" ht="57" x14ac:dyDescent="0.45">
      <c r="A5609" s="2" t="s">
        <v>59</v>
      </c>
      <c r="B5609" s="2" t="s">
        <v>60</v>
      </c>
      <c r="C5609" s="2" t="s">
        <v>53830</v>
      </c>
      <c r="D5609" s="2" t="s">
        <v>53831</v>
      </c>
      <c r="E5609" s="2" t="s">
        <v>53832</v>
      </c>
      <c r="G5609" s="3" t="s">
        <v>62</v>
      </c>
      <c r="I5609" s="3" t="s">
        <v>62</v>
      </c>
      <c r="J5609" s="3" t="s">
        <v>62</v>
      </c>
      <c r="K5609" s="3" t="s">
        <v>63</v>
      </c>
      <c r="M5609" s="2" t="s">
        <v>2560</v>
      </c>
      <c r="N5609" s="3" t="s">
        <v>149</v>
      </c>
      <c r="P5609" s="3" t="s">
        <v>65</v>
      </c>
      <c r="Q5609" s="2" t="s">
        <v>53833</v>
      </c>
      <c r="R5609" s="3" t="s">
        <v>66</v>
      </c>
      <c r="S5609" s="4">
        <v>1</v>
      </c>
      <c r="T5609" s="4">
        <v>1</v>
      </c>
      <c r="U5609" s="5" t="s">
        <v>53834</v>
      </c>
      <c r="V5609" s="5" t="s">
        <v>53834</v>
      </c>
      <c r="W5609" s="5" t="s">
        <v>67</v>
      </c>
      <c r="X5609" s="5" t="s">
        <v>67</v>
      </c>
      <c r="Y5609" s="4">
        <v>148</v>
      </c>
      <c r="Z5609" s="4">
        <v>15</v>
      </c>
      <c r="AA5609" s="4">
        <v>22</v>
      </c>
      <c r="AB5609" s="4">
        <v>2</v>
      </c>
      <c r="AC5609" s="4">
        <v>5</v>
      </c>
      <c r="AD5609" s="4">
        <v>74</v>
      </c>
      <c r="AE5609" s="4">
        <v>86</v>
      </c>
      <c r="AF5609" s="4">
        <v>0</v>
      </c>
      <c r="AG5609" s="4">
        <v>1</v>
      </c>
      <c r="AH5609" s="4">
        <v>69</v>
      </c>
      <c r="AI5609" s="4">
        <v>78</v>
      </c>
      <c r="AJ5609" s="4">
        <v>12</v>
      </c>
      <c r="AK5609" s="4">
        <v>15</v>
      </c>
      <c r="AL5609" s="4">
        <v>43</v>
      </c>
      <c r="AM5609" s="4">
        <v>45</v>
      </c>
      <c r="AN5609" s="4">
        <v>0</v>
      </c>
      <c r="AO5609" s="4">
        <v>0</v>
      </c>
      <c r="AP5609" s="4">
        <v>12</v>
      </c>
      <c r="AQ5609" s="4">
        <v>17</v>
      </c>
      <c r="AR5609" s="3" t="s">
        <v>62</v>
      </c>
      <c r="AS5609" s="3" t="s">
        <v>62</v>
      </c>
      <c r="AT5609" s="3" t="s">
        <v>62</v>
      </c>
      <c r="AV5609" s="6" t="str">
        <f>HYPERLINK("http://mcgill.on.worldcat.org/oclc/368048360","Catalog Record")</f>
        <v>Catalog Record</v>
      </c>
      <c r="AW5609" s="6" t="str">
        <f>HYPERLINK("http://www.worldcat.org/oclc/368048360","WorldCat Record")</f>
        <v>WorldCat Record</v>
      </c>
      <c r="AX5609" s="3" t="s">
        <v>53835</v>
      </c>
      <c r="AY5609" s="3" t="s">
        <v>53836</v>
      </c>
      <c r="AZ5609" s="3" t="s">
        <v>53837</v>
      </c>
      <c r="BA5609" s="3" t="s">
        <v>53837</v>
      </c>
      <c r="BB5609" s="3" t="s">
        <v>53838</v>
      </c>
      <c r="BC5609" s="3" t="s">
        <v>142</v>
      </c>
      <c r="BD5609" s="3" t="s">
        <v>68</v>
      </c>
      <c r="BE5609" s="3" t="s">
        <v>53839</v>
      </c>
      <c r="BF5609" s="3" t="s">
        <v>53838</v>
      </c>
      <c r="BG5609" s="3" t="s">
        <v>53840</v>
      </c>
    </row>
    <row r="5610" spans="1:59" ht="57" x14ac:dyDescent="0.45">
      <c r="A5610" s="2" t="s">
        <v>59</v>
      </c>
      <c r="B5610" s="2" t="s">
        <v>60</v>
      </c>
      <c r="C5610" s="2" t="s">
        <v>53841</v>
      </c>
      <c r="D5610" s="2" t="s">
        <v>53842</v>
      </c>
      <c r="E5610" s="2" t="s">
        <v>53843</v>
      </c>
      <c r="G5610" s="3" t="s">
        <v>62</v>
      </c>
      <c r="I5610" s="3" t="s">
        <v>62</v>
      </c>
      <c r="J5610" s="3" t="s">
        <v>62</v>
      </c>
      <c r="K5610" s="3" t="s">
        <v>63</v>
      </c>
      <c r="L5610" s="2" t="s">
        <v>53844</v>
      </c>
      <c r="M5610" s="2" t="s">
        <v>50527</v>
      </c>
      <c r="N5610" s="3" t="s">
        <v>1688</v>
      </c>
      <c r="P5610" s="3" t="s">
        <v>65</v>
      </c>
      <c r="Q5610" s="2" t="s">
        <v>53845</v>
      </c>
      <c r="R5610" s="3" t="s">
        <v>66</v>
      </c>
      <c r="S5610" s="4">
        <v>0</v>
      </c>
      <c r="T5610" s="4">
        <v>0</v>
      </c>
      <c r="W5610" s="5" t="s">
        <v>67</v>
      </c>
      <c r="X5610" s="5" t="s">
        <v>67</v>
      </c>
      <c r="Y5610" s="4">
        <v>59</v>
      </c>
      <c r="Z5610" s="4">
        <v>6</v>
      </c>
      <c r="AA5610" s="4">
        <v>102</v>
      </c>
      <c r="AB5610" s="4">
        <v>1</v>
      </c>
      <c r="AC5610" s="4">
        <v>17</v>
      </c>
      <c r="AD5610" s="4">
        <v>26</v>
      </c>
      <c r="AE5610" s="4">
        <v>112</v>
      </c>
      <c r="AF5610" s="4">
        <v>0</v>
      </c>
      <c r="AG5610" s="4">
        <v>8</v>
      </c>
      <c r="AH5610" s="4">
        <v>24</v>
      </c>
      <c r="AI5610" s="4">
        <v>76</v>
      </c>
      <c r="AJ5610" s="4">
        <v>4</v>
      </c>
      <c r="AK5610" s="4">
        <v>22</v>
      </c>
      <c r="AL5610" s="4">
        <v>16</v>
      </c>
      <c r="AM5610" s="4">
        <v>39</v>
      </c>
      <c r="AN5610" s="4">
        <v>0</v>
      </c>
      <c r="AO5610" s="4">
        <v>0</v>
      </c>
      <c r="AP5610" s="4">
        <v>4</v>
      </c>
      <c r="AQ5610" s="4">
        <v>44</v>
      </c>
      <c r="AR5610" s="3" t="s">
        <v>62</v>
      </c>
      <c r="AS5610" s="3" t="s">
        <v>62</v>
      </c>
      <c r="AT5610" s="3" t="s">
        <v>62</v>
      </c>
      <c r="AV5610" s="6" t="str">
        <f>HYPERLINK("http://mcgill.on.worldcat.org/oclc/859745261","Catalog Record")</f>
        <v>Catalog Record</v>
      </c>
      <c r="AW5610" s="6" t="str">
        <f>HYPERLINK("http://www.worldcat.org/oclc/859745261","WorldCat Record")</f>
        <v>WorldCat Record</v>
      </c>
      <c r="AX5610" s="3" t="s">
        <v>53846</v>
      </c>
      <c r="AY5610" s="3" t="s">
        <v>53847</v>
      </c>
      <c r="AZ5610" s="3" t="s">
        <v>53848</v>
      </c>
      <c r="BA5610" s="3" t="s">
        <v>53848</v>
      </c>
      <c r="BB5610" s="3" t="s">
        <v>53849</v>
      </c>
      <c r="BC5610" s="3" t="s">
        <v>142</v>
      </c>
      <c r="BD5610" s="3" t="s">
        <v>68</v>
      </c>
      <c r="BE5610" s="3" t="s">
        <v>53850</v>
      </c>
      <c r="BF5610" s="3" t="s">
        <v>53849</v>
      </c>
      <c r="BG5610" s="3" t="s">
        <v>53851</v>
      </c>
    </row>
    <row r="5611" spans="1:59" ht="57" x14ac:dyDescent="0.45">
      <c r="A5611" s="2" t="s">
        <v>59</v>
      </c>
      <c r="B5611" s="2" t="s">
        <v>60</v>
      </c>
      <c r="C5611" s="2" t="s">
        <v>53852</v>
      </c>
      <c r="D5611" s="2" t="s">
        <v>53853</v>
      </c>
      <c r="E5611" s="2" t="s">
        <v>53854</v>
      </c>
      <c r="G5611" s="3" t="s">
        <v>62</v>
      </c>
      <c r="I5611" s="3" t="s">
        <v>61</v>
      </c>
      <c r="J5611" s="3" t="s">
        <v>62</v>
      </c>
      <c r="K5611" s="3" t="s">
        <v>63</v>
      </c>
      <c r="L5611" s="2" t="s">
        <v>53855</v>
      </c>
      <c r="M5611" s="2" t="s">
        <v>53856</v>
      </c>
      <c r="N5611" s="3" t="s">
        <v>1478</v>
      </c>
      <c r="P5611" s="3" t="s">
        <v>65</v>
      </c>
      <c r="R5611" s="3" t="s">
        <v>66</v>
      </c>
      <c r="S5611" s="4">
        <v>3</v>
      </c>
      <c r="T5611" s="4">
        <v>6</v>
      </c>
      <c r="U5611" s="5" t="s">
        <v>31495</v>
      </c>
      <c r="V5611" s="5" t="s">
        <v>31495</v>
      </c>
      <c r="W5611" s="5" t="s">
        <v>67</v>
      </c>
      <c r="X5611" s="5" t="s">
        <v>67</v>
      </c>
      <c r="Y5611" s="4">
        <v>253</v>
      </c>
      <c r="Z5611" s="4">
        <v>15</v>
      </c>
      <c r="AA5611" s="4">
        <v>21</v>
      </c>
      <c r="AB5611" s="4">
        <v>2</v>
      </c>
      <c r="AC5611" s="4">
        <v>4</v>
      </c>
      <c r="AD5611" s="4">
        <v>102</v>
      </c>
      <c r="AE5611" s="4">
        <v>107</v>
      </c>
      <c r="AF5611" s="4">
        <v>1</v>
      </c>
      <c r="AG5611" s="4">
        <v>2</v>
      </c>
      <c r="AH5611" s="4">
        <v>95</v>
      </c>
      <c r="AI5611" s="4">
        <v>96</v>
      </c>
      <c r="AJ5611" s="4">
        <v>13</v>
      </c>
      <c r="AK5611" s="4">
        <v>16</v>
      </c>
      <c r="AL5611" s="4">
        <v>55</v>
      </c>
      <c r="AM5611" s="4">
        <v>55</v>
      </c>
      <c r="AN5611" s="4">
        <v>0</v>
      </c>
      <c r="AO5611" s="4">
        <v>0</v>
      </c>
      <c r="AP5611" s="4">
        <v>13</v>
      </c>
      <c r="AQ5611" s="4">
        <v>18</v>
      </c>
      <c r="AR5611" s="3" t="s">
        <v>62</v>
      </c>
      <c r="AS5611" s="3" t="s">
        <v>62</v>
      </c>
      <c r="AT5611" s="3" t="s">
        <v>62</v>
      </c>
      <c r="AV5611" s="6" t="str">
        <f>HYPERLINK("http://mcgill.on.worldcat.org/oclc/32240667","Catalog Record")</f>
        <v>Catalog Record</v>
      </c>
      <c r="AW5611" s="6" t="str">
        <f>HYPERLINK("http://www.worldcat.org/oclc/32240667","WorldCat Record")</f>
        <v>WorldCat Record</v>
      </c>
      <c r="AX5611" s="3" t="s">
        <v>53857</v>
      </c>
      <c r="AY5611" s="3" t="s">
        <v>53858</v>
      </c>
      <c r="AZ5611" s="3" t="s">
        <v>53859</v>
      </c>
      <c r="BA5611" s="3" t="s">
        <v>53859</v>
      </c>
      <c r="BB5611" s="3" t="s">
        <v>53860</v>
      </c>
      <c r="BC5611" s="3" t="s">
        <v>142</v>
      </c>
      <c r="BD5611" s="3" t="s">
        <v>68</v>
      </c>
      <c r="BE5611" s="3" t="s">
        <v>53861</v>
      </c>
      <c r="BF5611" s="3" t="s">
        <v>53860</v>
      </c>
      <c r="BG5611" s="3" t="s">
        <v>53862</v>
      </c>
    </row>
    <row r="5612" spans="1:59" ht="57" x14ac:dyDescent="0.45">
      <c r="A5612" s="2" t="s">
        <v>59</v>
      </c>
      <c r="B5612" s="2" t="s">
        <v>60</v>
      </c>
      <c r="C5612" s="2" t="s">
        <v>53852</v>
      </c>
      <c r="D5612" s="2" t="s">
        <v>53853</v>
      </c>
      <c r="E5612" s="2" t="s">
        <v>53854</v>
      </c>
      <c r="G5612" s="3" t="s">
        <v>62</v>
      </c>
      <c r="I5612" s="3" t="s">
        <v>61</v>
      </c>
      <c r="J5612" s="3" t="s">
        <v>62</v>
      </c>
      <c r="K5612" s="3" t="s">
        <v>63</v>
      </c>
      <c r="L5612" s="2" t="s">
        <v>53855</v>
      </c>
      <c r="M5612" s="2" t="s">
        <v>53856</v>
      </c>
      <c r="N5612" s="3" t="s">
        <v>1478</v>
      </c>
      <c r="P5612" s="3" t="s">
        <v>65</v>
      </c>
      <c r="R5612" s="3" t="s">
        <v>66</v>
      </c>
      <c r="S5612" s="4">
        <v>3</v>
      </c>
      <c r="T5612" s="4">
        <v>6</v>
      </c>
      <c r="U5612" s="5" t="s">
        <v>53863</v>
      </c>
      <c r="V5612" s="5" t="s">
        <v>31495</v>
      </c>
      <c r="W5612" s="5" t="s">
        <v>67</v>
      </c>
      <c r="X5612" s="5" t="s">
        <v>67</v>
      </c>
      <c r="Y5612" s="4">
        <v>253</v>
      </c>
      <c r="Z5612" s="4">
        <v>15</v>
      </c>
      <c r="AA5612" s="4">
        <v>21</v>
      </c>
      <c r="AB5612" s="4">
        <v>2</v>
      </c>
      <c r="AC5612" s="4">
        <v>4</v>
      </c>
      <c r="AD5612" s="4">
        <v>102</v>
      </c>
      <c r="AE5612" s="4">
        <v>107</v>
      </c>
      <c r="AF5612" s="4">
        <v>1</v>
      </c>
      <c r="AG5612" s="4">
        <v>2</v>
      </c>
      <c r="AH5612" s="4">
        <v>95</v>
      </c>
      <c r="AI5612" s="4">
        <v>96</v>
      </c>
      <c r="AJ5612" s="4">
        <v>13</v>
      </c>
      <c r="AK5612" s="4">
        <v>16</v>
      </c>
      <c r="AL5612" s="4">
        <v>55</v>
      </c>
      <c r="AM5612" s="4">
        <v>55</v>
      </c>
      <c r="AN5612" s="4">
        <v>0</v>
      </c>
      <c r="AO5612" s="4">
        <v>0</v>
      </c>
      <c r="AP5612" s="4">
        <v>13</v>
      </c>
      <c r="AQ5612" s="4">
        <v>18</v>
      </c>
      <c r="AR5612" s="3" t="s">
        <v>62</v>
      </c>
      <c r="AS5612" s="3" t="s">
        <v>62</v>
      </c>
      <c r="AT5612" s="3" t="s">
        <v>62</v>
      </c>
      <c r="AV5612" s="6" t="str">
        <f>HYPERLINK("http://mcgill.on.worldcat.org/oclc/32240667","Catalog Record")</f>
        <v>Catalog Record</v>
      </c>
      <c r="AW5612" s="6" t="str">
        <f>HYPERLINK("http://www.worldcat.org/oclc/32240667","WorldCat Record")</f>
        <v>WorldCat Record</v>
      </c>
      <c r="AX5612" s="3" t="s">
        <v>53857</v>
      </c>
      <c r="AY5612" s="3" t="s">
        <v>53858</v>
      </c>
      <c r="AZ5612" s="3" t="s">
        <v>53859</v>
      </c>
      <c r="BA5612" s="3" t="s">
        <v>53859</v>
      </c>
      <c r="BB5612" s="3" t="s">
        <v>53864</v>
      </c>
      <c r="BC5612" s="3" t="s">
        <v>142</v>
      </c>
      <c r="BD5612" s="3" t="s">
        <v>68</v>
      </c>
      <c r="BE5612" s="3" t="s">
        <v>53861</v>
      </c>
      <c r="BF5612" s="3" t="s">
        <v>53864</v>
      </c>
      <c r="BG5612" s="3" t="s">
        <v>53865</v>
      </c>
    </row>
    <row r="5613" spans="1:59" ht="57" x14ac:dyDescent="0.45">
      <c r="A5613" s="2" t="s">
        <v>59</v>
      </c>
      <c r="B5613" s="2" t="s">
        <v>60</v>
      </c>
      <c r="C5613" s="2" t="s">
        <v>53866</v>
      </c>
      <c r="D5613" s="2" t="s">
        <v>53867</v>
      </c>
      <c r="E5613" s="2" t="s">
        <v>53868</v>
      </c>
      <c r="F5613" s="3" t="s">
        <v>90</v>
      </c>
      <c r="G5613" s="3" t="s">
        <v>61</v>
      </c>
      <c r="I5613" s="3" t="s">
        <v>62</v>
      </c>
      <c r="J5613" s="3" t="s">
        <v>62</v>
      </c>
      <c r="K5613" s="3" t="s">
        <v>63</v>
      </c>
      <c r="M5613" s="2" t="s">
        <v>53869</v>
      </c>
      <c r="N5613" s="3" t="s">
        <v>807</v>
      </c>
      <c r="P5613" s="3" t="s">
        <v>65</v>
      </c>
      <c r="Q5613" s="2" t="s">
        <v>53870</v>
      </c>
      <c r="R5613" s="3" t="s">
        <v>66</v>
      </c>
      <c r="S5613" s="4">
        <v>11</v>
      </c>
      <c r="T5613" s="4">
        <v>26</v>
      </c>
      <c r="U5613" s="5" t="s">
        <v>53871</v>
      </c>
      <c r="V5613" s="5" t="s">
        <v>41513</v>
      </c>
      <c r="W5613" s="5" t="s">
        <v>67</v>
      </c>
      <c r="X5613" s="5" t="s">
        <v>67</v>
      </c>
      <c r="Y5613" s="4">
        <v>84</v>
      </c>
      <c r="Z5613" s="4">
        <v>14</v>
      </c>
      <c r="AA5613" s="4">
        <v>18</v>
      </c>
      <c r="AB5613" s="4">
        <v>1</v>
      </c>
      <c r="AC5613" s="4">
        <v>5</v>
      </c>
      <c r="AD5613" s="4">
        <v>38</v>
      </c>
      <c r="AE5613" s="4">
        <v>41</v>
      </c>
      <c r="AF5613" s="4">
        <v>0</v>
      </c>
      <c r="AG5613" s="4">
        <v>3</v>
      </c>
      <c r="AH5613" s="4">
        <v>32</v>
      </c>
      <c r="AI5613" s="4">
        <v>33</v>
      </c>
      <c r="AJ5613" s="4">
        <v>11</v>
      </c>
      <c r="AK5613" s="4">
        <v>13</v>
      </c>
      <c r="AL5613" s="4">
        <v>21</v>
      </c>
      <c r="AM5613" s="4">
        <v>21</v>
      </c>
      <c r="AN5613" s="4">
        <v>0</v>
      </c>
      <c r="AO5613" s="4">
        <v>0</v>
      </c>
      <c r="AP5613" s="4">
        <v>11</v>
      </c>
      <c r="AQ5613" s="4">
        <v>14</v>
      </c>
      <c r="AR5613" s="3" t="s">
        <v>62</v>
      </c>
      <c r="AS5613" s="3" t="s">
        <v>62</v>
      </c>
      <c r="AT5613" s="3" t="s">
        <v>61</v>
      </c>
      <c r="AU5613" s="6" t="str">
        <f>HYPERLINK("http://catalog.hathitrust.org/Record/002505519","HathiTrust Record")</f>
        <v>HathiTrust Record</v>
      </c>
      <c r="AV5613" s="6" t="str">
        <f>HYPERLINK("http://mcgill.on.worldcat.org/oclc/65826732","Catalog Record")</f>
        <v>Catalog Record</v>
      </c>
      <c r="AW5613" s="6" t="str">
        <f>HYPERLINK("http://www.worldcat.org/oclc/65826732","WorldCat Record")</f>
        <v>WorldCat Record</v>
      </c>
      <c r="AX5613" s="3" t="s">
        <v>53872</v>
      </c>
      <c r="AY5613" s="3" t="s">
        <v>53873</v>
      </c>
      <c r="AZ5613" s="3" t="s">
        <v>53874</v>
      </c>
      <c r="BA5613" s="3" t="s">
        <v>53874</v>
      </c>
      <c r="BB5613" s="3" t="s">
        <v>53875</v>
      </c>
      <c r="BC5613" s="3" t="s">
        <v>142</v>
      </c>
      <c r="BD5613" s="3" t="s">
        <v>68</v>
      </c>
      <c r="BE5613" s="3" t="s">
        <v>53876</v>
      </c>
      <c r="BF5613" s="3" t="s">
        <v>53875</v>
      </c>
      <c r="BG5613" s="3" t="s">
        <v>53877</v>
      </c>
    </row>
    <row r="5614" spans="1:59" ht="57" x14ac:dyDescent="0.45">
      <c r="A5614" s="2" t="s">
        <v>59</v>
      </c>
      <c r="B5614" s="2" t="s">
        <v>60</v>
      </c>
      <c r="C5614" s="2" t="s">
        <v>53866</v>
      </c>
      <c r="D5614" s="2" t="s">
        <v>53867</v>
      </c>
      <c r="E5614" s="2" t="s">
        <v>53868</v>
      </c>
      <c r="F5614" s="3" t="s">
        <v>87</v>
      </c>
      <c r="G5614" s="3" t="s">
        <v>61</v>
      </c>
      <c r="I5614" s="3" t="s">
        <v>62</v>
      </c>
      <c r="J5614" s="3" t="s">
        <v>62</v>
      </c>
      <c r="K5614" s="3" t="s">
        <v>63</v>
      </c>
      <c r="M5614" s="2" t="s">
        <v>53869</v>
      </c>
      <c r="N5614" s="3" t="s">
        <v>807</v>
      </c>
      <c r="P5614" s="3" t="s">
        <v>65</v>
      </c>
      <c r="Q5614" s="2" t="s">
        <v>53870</v>
      </c>
      <c r="R5614" s="3" t="s">
        <v>66</v>
      </c>
      <c r="S5614" s="4">
        <v>15</v>
      </c>
      <c r="T5614" s="4">
        <v>26</v>
      </c>
      <c r="U5614" s="5" t="s">
        <v>41513</v>
      </c>
      <c r="V5614" s="5" t="s">
        <v>41513</v>
      </c>
      <c r="W5614" s="5" t="s">
        <v>67</v>
      </c>
      <c r="X5614" s="5" t="s">
        <v>67</v>
      </c>
      <c r="Y5614" s="4">
        <v>84</v>
      </c>
      <c r="Z5614" s="4">
        <v>14</v>
      </c>
      <c r="AA5614" s="4">
        <v>18</v>
      </c>
      <c r="AB5614" s="4">
        <v>1</v>
      </c>
      <c r="AC5614" s="4">
        <v>5</v>
      </c>
      <c r="AD5614" s="4">
        <v>38</v>
      </c>
      <c r="AE5614" s="4">
        <v>41</v>
      </c>
      <c r="AF5614" s="4">
        <v>0</v>
      </c>
      <c r="AG5614" s="4">
        <v>3</v>
      </c>
      <c r="AH5614" s="4">
        <v>32</v>
      </c>
      <c r="AI5614" s="4">
        <v>33</v>
      </c>
      <c r="AJ5614" s="4">
        <v>11</v>
      </c>
      <c r="AK5614" s="4">
        <v>13</v>
      </c>
      <c r="AL5614" s="4">
        <v>21</v>
      </c>
      <c r="AM5614" s="4">
        <v>21</v>
      </c>
      <c r="AN5614" s="4">
        <v>0</v>
      </c>
      <c r="AO5614" s="4">
        <v>0</v>
      </c>
      <c r="AP5614" s="4">
        <v>11</v>
      </c>
      <c r="AQ5614" s="4">
        <v>14</v>
      </c>
      <c r="AR5614" s="3" t="s">
        <v>62</v>
      </c>
      <c r="AS5614" s="3" t="s">
        <v>62</v>
      </c>
      <c r="AT5614" s="3" t="s">
        <v>61</v>
      </c>
      <c r="AU5614" s="6" t="str">
        <f>HYPERLINK("http://catalog.hathitrust.org/Record/002505519","HathiTrust Record")</f>
        <v>HathiTrust Record</v>
      </c>
      <c r="AV5614" s="6" t="str">
        <f>HYPERLINK("http://mcgill.on.worldcat.org/oclc/65826732","Catalog Record")</f>
        <v>Catalog Record</v>
      </c>
      <c r="AW5614" s="6" t="str">
        <f>HYPERLINK("http://www.worldcat.org/oclc/65826732","WorldCat Record")</f>
        <v>WorldCat Record</v>
      </c>
      <c r="AX5614" s="3" t="s">
        <v>53872</v>
      </c>
      <c r="AY5614" s="3" t="s">
        <v>53873</v>
      </c>
      <c r="AZ5614" s="3" t="s">
        <v>53874</v>
      </c>
      <c r="BA5614" s="3" t="s">
        <v>53874</v>
      </c>
      <c r="BB5614" s="3" t="s">
        <v>53878</v>
      </c>
      <c r="BC5614" s="3" t="s">
        <v>142</v>
      </c>
      <c r="BD5614" s="3" t="s">
        <v>68</v>
      </c>
      <c r="BE5614" s="3" t="s">
        <v>53876</v>
      </c>
      <c r="BF5614" s="3" t="s">
        <v>53878</v>
      </c>
      <c r="BG5614" s="3" t="s">
        <v>53879</v>
      </c>
    </row>
    <row r="5615" spans="1:59" ht="57" x14ac:dyDescent="0.45">
      <c r="A5615" s="2" t="s">
        <v>59</v>
      </c>
      <c r="B5615" s="2" t="s">
        <v>60</v>
      </c>
      <c r="C5615" s="2" t="s">
        <v>53880</v>
      </c>
      <c r="D5615" s="2" t="s">
        <v>53881</v>
      </c>
      <c r="E5615" s="2" t="s">
        <v>53882</v>
      </c>
      <c r="G5615" s="3" t="s">
        <v>62</v>
      </c>
      <c r="I5615" s="3" t="s">
        <v>62</v>
      </c>
      <c r="J5615" s="3" t="s">
        <v>62</v>
      </c>
      <c r="K5615" s="3" t="s">
        <v>63</v>
      </c>
      <c r="M5615" s="2" t="s">
        <v>53781</v>
      </c>
      <c r="N5615" s="3" t="s">
        <v>1918</v>
      </c>
      <c r="P5615" s="3" t="s">
        <v>65</v>
      </c>
      <c r="Q5615" s="2" t="s">
        <v>53883</v>
      </c>
      <c r="R5615" s="3" t="s">
        <v>66</v>
      </c>
      <c r="S5615" s="4">
        <v>0</v>
      </c>
      <c r="T5615" s="4">
        <v>0</v>
      </c>
      <c r="W5615" s="5" t="s">
        <v>67</v>
      </c>
      <c r="X5615" s="5" t="s">
        <v>67</v>
      </c>
      <c r="Y5615" s="4">
        <v>46</v>
      </c>
      <c r="Z5615" s="4">
        <v>3</v>
      </c>
      <c r="AA5615" s="4">
        <v>72</v>
      </c>
      <c r="AB5615" s="4">
        <v>1</v>
      </c>
      <c r="AC5615" s="4">
        <v>14</v>
      </c>
      <c r="AD5615" s="4">
        <v>27</v>
      </c>
      <c r="AE5615" s="4">
        <v>99</v>
      </c>
      <c r="AF5615" s="4">
        <v>0</v>
      </c>
      <c r="AG5615" s="4">
        <v>8</v>
      </c>
      <c r="AH5615" s="4">
        <v>26</v>
      </c>
      <c r="AI5615" s="4">
        <v>70</v>
      </c>
      <c r="AJ5615" s="4">
        <v>2</v>
      </c>
      <c r="AK5615" s="4">
        <v>19</v>
      </c>
      <c r="AL5615" s="4">
        <v>19</v>
      </c>
      <c r="AM5615" s="4">
        <v>36</v>
      </c>
      <c r="AN5615" s="4">
        <v>0</v>
      </c>
      <c r="AO5615" s="4">
        <v>0</v>
      </c>
      <c r="AP5615" s="4">
        <v>2</v>
      </c>
      <c r="AQ5615" s="4">
        <v>35</v>
      </c>
      <c r="AR5615" s="3" t="s">
        <v>62</v>
      </c>
      <c r="AS5615" s="3" t="s">
        <v>62</v>
      </c>
      <c r="AT5615" s="3" t="s">
        <v>62</v>
      </c>
      <c r="AV5615" s="6" t="str">
        <f>HYPERLINK("http://mcgill.on.worldcat.org/oclc/967831842","Catalog Record")</f>
        <v>Catalog Record</v>
      </c>
      <c r="AW5615" s="6" t="str">
        <f>HYPERLINK("http://www.worldcat.org/oclc/967831842","WorldCat Record")</f>
        <v>WorldCat Record</v>
      </c>
      <c r="AX5615" s="3" t="s">
        <v>53884</v>
      </c>
      <c r="AY5615" s="3" t="s">
        <v>53885</v>
      </c>
      <c r="AZ5615" s="3" t="s">
        <v>53886</v>
      </c>
      <c r="BA5615" s="3" t="s">
        <v>53886</v>
      </c>
      <c r="BB5615" s="3" t="s">
        <v>53887</v>
      </c>
      <c r="BC5615" s="3" t="s">
        <v>142</v>
      </c>
      <c r="BD5615" s="3" t="s">
        <v>68</v>
      </c>
      <c r="BE5615" s="3" t="s">
        <v>53888</v>
      </c>
      <c r="BF5615" s="3" t="s">
        <v>53887</v>
      </c>
      <c r="BG5615" s="3" t="s">
        <v>53889</v>
      </c>
    </row>
    <row r="5616" spans="1:59" ht="57" x14ac:dyDescent="0.45">
      <c r="A5616" s="2" t="s">
        <v>59</v>
      </c>
      <c r="B5616" s="2" t="s">
        <v>60</v>
      </c>
      <c r="C5616" s="2" t="s">
        <v>53890</v>
      </c>
      <c r="D5616" s="2" t="s">
        <v>53891</v>
      </c>
      <c r="E5616" s="2" t="s">
        <v>53892</v>
      </c>
      <c r="G5616" s="3" t="s">
        <v>62</v>
      </c>
      <c r="I5616" s="3" t="s">
        <v>62</v>
      </c>
      <c r="J5616" s="3" t="s">
        <v>62</v>
      </c>
      <c r="K5616" s="3" t="s">
        <v>63</v>
      </c>
      <c r="L5616" s="2" t="s">
        <v>48440</v>
      </c>
      <c r="M5616" s="2" t="s">
        <v>53893</v>
      </c>
      <c r="N5616" s="3" t="s">
        <v>1604</v>
      </c>
      <c r="P5616" s="3" t="s">
        <v>65</v>
      </c>
      <c r="R5616" s="3" t="s">
        <v>66</v>
      </c>
      <c r="S5616" s="4">
        <v>20</v>
      </c>
      <c r="T5616" s="4">
        <v>20</v>
      </c>
      <c r="U5616" s="5" t="s">
        <v>1526</v>
      </c>
      <c r="V5616" s="5" t="s">
        <v>1526</v>
      </c>
      <c r="W5616" s="5" t="s">
        <v>67</v>
      </c>
      <c r="X5616" s="5" t="s">
        <v>67</v>
      </c>
      <c r="Y5616" s="4">
        <v>474</v>
      </c>
      <c r="Z5616" s="4">
        <v>27</v>
      </c>
      <c r="AA5616" s="4">
        <v>31</v>
      </c>
      <c r="AB5616" s="4">
        <v>2</v>
      </c>
      <c r="AC5616" s="4">
        <v>5</v>
      </c>
      <c r="AD5616" s="4">
        <v>118</v>
      </c>
      <c r="AE5616" s="4">
        <v>121</v>
      </c>
      <c r="AF5616" s="4">
        <v>1</v>
      </c>
      <c r="AG5616" s="4">
        <v>3</v>
      </c>
      <c r="AH5616" s="4">
        <v>103</v>
      </c>
      <c r="AI5616" s="4">
        <v>103</v>
      </c>
      <c r="AJ5616" s="4">
        <v>18</v>
      </c>
      <c r="AK5616" s="4">
        <v>20</v>
      </c>
      <c r="AL5616" s="4">
        <v>57</v>
      </c>
      <c r="AM5616" s="4">
        <v>57</v>
      </c>
      <c r="AN5616" s="4">
        <v>0</v>
      </c>
      <c r="AO5616" s="4">
        <v>0</v>
      </c>
      <c r="AP5616" s="4">
        <v>23</v>
      </c>
      <c r="AQ5616" s="4">
        <v>25</v>
      </c>
      <c r="AR5616" s="3" t="s">
        <v>62</v>
      </c>
      <c r="AS5616" s="3" t="s">
        <v>62</v>
      </c>
      <c r="AT5616" s="3" t="s">
        <v>62</v>
      </c>
      <c r="AV5616" s="6" t="str">
        <f>HYPERLINK("http://mcgill.on.worldcat.org/oclc/29387125","Catalog Record")</f>
        <v>Catalog Record</v>
      </c>
      <c r="AW5616" s="6" t="str">
        <f>HYPERLINK("http://www.worldcat.org/oclc/29387125","WorldCat Record")</f>
        <v>WorldCat Record</v>
      </c>
      <c r="AX5616" s="3" t="s">
        <v>53894</v>
      </c>
      <c r="AY5616" s="3" t="s">
        <v>53895</v>
      </c>
      <c r="AZ5616" s="3" t="s">
        <v>53896</v>
      </c>
      <c r="BA5616" s="3" t="s">
        <v>53896</v>
      </c>
      <c r="BB5616" s="3" t="s">
        <v>53897</v>
      </c>
      <c r="BC5616" s="3" t="s">
        <v>142</v>
      </c>
      <c r="BD5616" s="3" t="s">
        <v>68</v>
      </c>
      <c r="BE5616" s="3" t="s">
        <v>53898</v>
      </c>
      <c r="BF5616" s="3" t="s">
        <v>53897</v>
      </c>
      <c r="BG5616" s="3" t="s">
        <v>53899</v>
      </c>
    </row>
    <row r="5617" spans="1:59" ht="57" x14ac:dyDescent="0.45">
      <c r="A5617" s="2" t="s">
        <v>59</v>
      </c>
      <c r="B5617" s="2" t="s">
        <v>60</v>
      </c>
      <c r="C5617" s="2" t="s">
        <v>53900</v>
      </c>
      <c r="D5617" s="2" t="s">
        <v>53901</v>
      </c>
      <c r="E5617" s="2" t="s">
        <v>53902</v>
      </c>
      <c r="G5617" s="3" t="s">
        <v>62</v>
      </c>
      <c r="I5617" s="3" t="s">
        <v>62</v>
      </c>
      <c r="J5617" s="3" t="s">
        <v>62</v>
      </c>
      <c r="K5617" s="3" t="s">
        <v>63</v>
      </c>
      <c r="M5617" s="2" t="s">
        <v>50527</v>
      </c>
      <c r="N5617" s="3" t="s">
        <v>1688</v>
      </c>
      <c r="P5617" s="3" t="s">
        <v>114</v>
      </c>
      <c r="Q5617" s="2" t="s">
        <v>53903</v>
      </c>
      <c r="R5617" s="3" t="s">
        <v>66</v>
      </c>
      <c r="S5617" s="4">
        <v>0</v>
      </c>
      <c r="T5617" s="4">
        <v>0</v>
      </c>
      <c r="W5617" s="5" t="s">
        <v>67</v>
      </c>
      <c r="X5617" s="5" t="s">
        <v>67</v>
      </c>
      <c r="Y5617" s="4">
        <v>59</v>
      </c>
      <c r="Z5617" s="4">
        <v>9</v>
      </c>
      <c r="AA5617" s="4">
        <v>10</v>
      </c>
      <c r="AB5617" s="4">
        <v>1</v>
      </c>
      <c r="AC5617" s="4">
        <v>2</v>
      </c>
      <c r="AD5617" s="4">
        <v>34</v>
      </c>
      <c r="AE5617" s="4">
        <v>36</v>
      </c>
      <c r="AF5617" s="4">
        <v>0</v>
      </c>
      <c r="AG5617" s="4">
        <v>1</v>
      </c>
      <c r="AH5617" s="4">
        <v>32</v>
      </c>
      <c r="AI5617" s="4">
        <v>34</v>
      </c>
      <c r="AJ5617" s="4">
        <v>7</v>
      </c>
      <c r="AK5617" s="4">
        <v>8</v>
      </c>
      <c r="AL5617" s="4">
        <v>19</v>
      </c>
      <c r="AM5617" s="4">
        <v>20</v>
      </c>
      <c r="AN5617" s="4">
        <v>0</v>
      </c>
      <c r="AO5617" s="4">
        <v>0</v>
      </c>
      <c r="AP5617" s="4">
        <v>7</v>
      </c>
      <c r="AQ5617" s="4">
        <v>8</v>
      </c>
      <c r="AR5617" s="3" t="s">
        <v>62</v>
      </c>
      <c r="AS5617" s="3" t="s">
        <v>62</v>
      </c>
      <c r="AT5617" s="3" t="s">
        <v>62</v>
      </c>
      <c r="AV5617" s="6" t="str">
        <f>HYPERLINK("http://mcgill.on.worldcat.org/oclc/876466813","Catalog Record")</f>
        <v>Catalog Record</v>
      </c>
      <c r="AW5617" s="6" t="str">
        <f>HYPERLINK("http://www.worldcat.org/oclc/876466813","WorldCat Record")</f>
        <v>WorldCat Record</v>
      </c>
      <c r="AX5617" s="3" t="s">
        <v>53904</v>
      </c>
      <c r="AY5617" s="3" t="s">
        <v>53905</v>
      </c>
      <c r="AZ5617" s="3" t="s">
        <v>53906</v>
      </c>
      <c r="BA5617" s="3" t="s">
        <v>53906</v>
      </c>
      <c r="BB5617" s="3" t="s">
        <v>53907</v>
      </c>
      <c r="BC5617" s="3" t="s">
        <v>142</v>
      </c>
      <c r="BD5617" s="3" t="s">
        <v>68</v>
      </c>
      <c r="BE5617" s="3" t="s">
        <v>53908</v>
      </c>
      <c r="BF5617" s="3" t="s">
        <v>53907</v>
      </c>
      <c r="BG5617" s="3" t="s">
        <v>53909</v>
      </c>
    </row>
    <row r="5618" spans="1:59" ht="57" x14ac:dyDescent="0.45">
      <c r="A5618" s="2" t="s">
        <v>59</v>
      </c>
      <c r="B5618" s="2" t="s">
        <v>60</v>
      </c>
      <c r="C5618" s="2" t="s">
        <v>53910</v>
      </c>
      <c r="D5618" s="2" t="s">
        <v>53911</v>
      </c>
      <c r="E5618" s="2" t="s">
        <v>53912</v>
      </c>
      <c r="G5618" s="3" t="s">
        <v>62</v>
      </c>
      <c r="I5618" s="3" t="s">
        <v>62</v>
      </c>
      <c r="J5618" s="3" t="s">
        <v>62</v>
      </c>
      <c r="K5618" s="3" t="s">
        <v>63</v>
      </c>
      <c r="L5618" s="2" t="s">
        <v>53913</v>
      </c>
      <c r="M5618" s="2" t="s">
        <v>2739</v>
      </c>
      <c r="N5618" s="3" t="s">
        <v>149</v>
      </c>
      <c r="P5618" s="3" t="s">
        <v>65</v>
      </c>
      <c r="Q5618" s="2" t="s">
        <v>53914</v>
      </c>
      <c r="R5618" s="3" t="s">
        <v>66</v>
      </c>
      <c r="S5618" s="4">
        <v>0</v>
      </c>
      <c r="T5618" s="4">
        <v>0</v>
      </c>
      <c r="W5618" s="5" t="s">
        <v>67</v>
      </c>
      <c r="X5618" s="5" t="s">
        <v>67</v>
      </c>
      <c r="Y5618" s="4">
        <v>80</v>
      </c>
      <c r="Z5618" s="4">
        <v>11</v>
      </c>
      <c r="AA5618" s="4">
        <v>93</v>
      </c>
      <c r="AB5618" s="4">
        <v>1</v>
      </c>
      <c r="AC5618" s="4">
        <v>17</v>
      </c>
      <c r="AD5618" s="4">
        <v>40</v>
      </c>
      <c r="AE5618" s="4">
        <v>117</v>
      </c>
      <c r="AF5618" s="4">
        <v>0</v>
      </c>
      <c r="AG5618" s="4">
        <v>8</v>
      </c>
      <c r="AH5618" s="4">
        <v>36</v>
      </c>
      <c r="AI5618" s="4">
        <v>80</v>
      </c>
      <c r="AJ5618" s="4">
        <v>9</v>
      </c>
      <c r="AK5618" s="4">
        <v>25</v>
      </c>
      <c r="AL5618" s="4">
        <v>21</v>
      </c>
      <c r="AM5618" s="4">
        <v>42</v>
      </c>
      <c r="AN5618" s="4">
        <v>0</v>
      </c>
      <c r="AO5618" s="4">
        <v>0</v>
      </c>
      <c r="AP5618" s="4">
        <v>9</v>
      </c>
      <c r="AQ5618" s="4">
        <v>46</v>
      </c>
      <c r="AR5618" s="3" t="s">
        <v>62</v>
      </c>
      <c r="AS5618" s="3" t="s">
        <v>62</v>
      </c>
      <c r="AT5618" s="3" t="s">
        <v>62</v>
      </c>
      <c r="AV5618" s="6" t="str">
        <f>HYPERLINK("http://mcgill.on.worldcat.org/oclc/637714516","Catalog Record")</f>
        <v>Catalog Record</v>
      </c>
      <c r="AW5618" s="6" t="str">
        <f>HYPERLINK("http://www.worldcat.org/oclc/637714516","WorldCat Record")</f>
        <v>WorldCat Record</v>
      </c>
      <c r="AX5618" s="3" t="s">
        <v>53915</v>
      </c>
      <c r="AY5618" s="3" t="s">
        <v>53916</v>
      </c>
      <c r="AZ5618" s="3" t="s">
        <v>53917</v>
      </c>
      <c r="BA5618" s="3" t="s">
        <v>53917</v>
      </c>
      <c r="BB5618" s="3" t="s">
        <v>53918</v>
      </c>
      <c r="BC5618" s="3" t="s">
        <v>142</v>
      </c>
      <c r="BD5618" s="3" t="s">
        <v>68</v>
      </c>
      <c r="BE5618" s="3" t="s">
        <v>53919</v>
      </c>
      <c r="BF5618" s="3" t="s">
        <v>53918</v>
      </c>
      <c r="BG5618" s="3" t="s">
        <v>53920</v>
      </c>
    </row>
    <row r="5619" spans="1:59" ht="57" x14ac:dyDescent="0.45">
      <c r="A5619" s="2" t="s">
        <v>59</v>
      </c>
      <c r="B5619" s="2" t="s">
        <v>60</v>
      </c>
      <c r="C5619" s="2" t="s">
        <v>53921</v>
      </c>
      <c r="D5619" s="2" t="s">
        <v>53922</v>
      </c>
      <c r="E5619" s="2" t="s">
        <v>53923</v>
      </c>
      <c r="G5619" s="3" t="s">
        <v>62</v>
      </c>
      <c r="I5619" s="3" t="s">
        <v>62</v>
      </c>
      <c r="J5619" s="3" t="s">
        <v>62</v>
      </c>
      <c r="K5619" s="3" t="s">
        <v>63</v>
      </c>
      <c r="M5619" s="2" t="s">
        <v>3925</v>
      </c>
      <c r="N5619" s="3" t="s">
        <v>149</v>
      </c>
      <c r="P5619" s="3" t="s">
        <v>65</v>
      </c>
      <c r="Q5619" s="2" t="s">
        <v>53924</v>
      </c>
      <c r="R5619" s="3" t="s">
        <v>66</v>
      </c>
      <c r="S5619" s="4">
        <v>0</v>
      </c>
      <c r="T5619" s="4">
        <v>0</v>
      </c>
      <c r="W5619" s="5" t="s">
        <v>67</v>
      </c>
      <c r="X5619" s="5" t="s">
        <v>67</v>
      </c>
      <c r="Y5619" s="4">
        <v>81</v>
      </c>
      <c r="Z5619" s="4">
        <v>8</v>
      </c>
      <c r="AA5619" s="4">
        <v>97</v>
      </c>
      <c r="AB5619" s="4">
        <v>1</v>
      </c>
      <c r="AC5619" s="4">
        <v>17</v>
      </c>
      <c r="AD5619" s="4">
        <v>38</v>
      </c>
      <c r="AE5619" s="4">
        <v>112</v>
      </c>
      <c r="AF5619" s="4">
        <v>0</v>
      </c>
      <c r="AG5619" s="4">
        <v>8</v>
      </c>
      <c r="AH5619" s="4">
        <v>34</v>
      </c>
      <c r="AI5619" s="4">
        <v>75</v>
      </c>
      <c r="AJ5619" s="4">
        <v>7</v>
      </c>
      <c r="AK5619" s="4">
        <v>23</v>
      </c>
      <c r="AL5619" s="4">
        <v>25</v>
      </c>
      <c r="AM5619" s="4">
        <v>41</v>
      </c>
      <c r="AN5619" s="4">
        <v>0</v>
      </c>
      <c r="AO5619" s="4">
        <v>0</v>
      </c>
      <c r="AP5619" s="4">
        <v>7</v>
      </c>
      <c r="AQ5619" s="4">
        <v>44</v>
      </c>
      <c r="AR5619" s="3" t="s">
        <v>62</v>
      </c>
      <c r="AS5619" s="3" t="s">
        <v>62</v>
      </c>
      <c r="AT5619" s="3" t="s">
        <v>62</v>
      </c>
      <c r="AV5619" s="6" t="str">
        <f>HYPERLINK("http://mcgill.on.worldcat.org/oclc/647977613","Catalog Record")</f>
        <v>Catalog Record</v>
      </c>
      <c r="AW5619" s="6" t="str">
        <f>HYPERLINK("http://www.worldcat.org/oclc/647977613","WorldCat Record")</f>
        <v>WorldCat Record</v>
      </c>
      <c r="AX5619" s="3" t="s">
        <v>53925</v>
      </c>
      <c r="AY5619" s="3" t="s">
        <v>53926</v>
      </c>
      <c r="AZ5619" s="3" t="s">
        <v>53927</v>
      </c>
      <c r="BA5619" s="3" t="s">
        <v>53927</v>
      </c>
      <c r="BB5619" s="3" t="s">
        <v>53928</v>
      </c>
      <c r="BC5619" s="3" t="s">
        <v>142</v>
      </c>
      <c r="BD5619" s="3" t="s">
        <v>68</v>
      </c>
      <c r="BE5619" s="3" t="s">
        <v>53929</v>
      </c>
      <c r="BF5619" s="3" t="s">
        <v>53928</v>
      </c>
      <c r="BG5619" s="3" t="s">
        <v>53930</v>
      </c>
    </row>
    <row r="5620" spans="1:59" ht="57" x14ac:dyDescent="0.45">
      <c r="A5620" s="2" t="s">
        <v>59</v>
      </c>
      <c r="B5620" s="2" t="s">
        <v>60</v>
      </c>
      <c r="C5620" s="2" t="s">
        <v>53931</v>
      </c>
      <c r="D5620" s="2" t="s">
        <v>53932</v>
      </c>
      <c r="E5620" s="2" t="s">
        <v>53933</v>
      </c>
      <c r="G5620" s="3" t="s">
        <v>62</v>
      </c>
      <c r="I5620" s="3" t="s">
        <v>62</v>
      </c>
      <c r="J5620" s="3" t="s">
        <v>62</v>
      </c>
      <c r="K5620" s="3" t="s">
        <v>63</v>
      </c>
      <c r="M5620" s="2" t="s">
        <v>5477</v>
      </c>
      <c r="N5620" s="3" t="s">
        <v>1155</v>
      </c>
      <c r="P5620" s="3" t="s">
        <v>65</v>
      </c>
      <c r="Q5620" s="2" t="s">
        <v>53934</v>
      </c>
      <c r="R5620" s="3" t="s">
        <v>66</v>
      </c>
      <c r="S5620" s="4">
        <v>0</v>
      </c>
      <c r="T5620" s="4">
        <v>0</v>
      </c>
      <c r="W5620" s="5" t="s">
        <v>67</v>
      </c>
      <c r="X5620" s="5" t="s">
        <v>67</v>
      </c>
      <c r="Y5620" s="4">
        <v>67</v>
      </c>
      <c r="Z5620" s="4">
        <v>8</v>
      </c>
      <c r="AA5620" s="4">
        <v>88</v>
      </c>
      <c r="AB5620" s="4">
        <v>1</v>
      </c>
      <c r="AC5620" s="4">
        <v>17</v>
      </c>
      <c r="AD5620" s="4">
        <v>34</v>
      </c>
      <c r="AE5620" s="4">
        <v>114</v>
      </c>
      <c r="AF5620" s="4">
        <v>0</v>
      </c>
      <c r="AG5620" s="4">
        <v>8</v>
      </c>
      <c r="AH5620" s="4">
        <v>32</v>
      </c>
      <c r="AI5620" s="4">
        <v>80</v>
      </c>
      <c r="AJ5620" s="4">
        <v>6</v>
      </c>
      <c r="AK5620" s="4">
        <v>22</v>
      </c>
      <c r="AL5620" s="4">
        <v>20</v>
      </c>
      <c r="AM5620" s="4">
        <v>43</v>
      </c>
      <c r="AN5620" s="4">
        <v>0</v>
      </c>
      <c r="AO5620" s="4">
        <v>0</v>
      </c>
      <c r="AP5620" s="4">
        <v>6</v>
      </c>
      <c r="AQ5620" s="4">
        <v>42</v>
      </c>
      <c r="AR5620" s="3" t="s">
        <v>62</v>
      </c>
      <c r="AS5620" s="3" t="s">
        <v>62</v>
      </c>
      <c r="AT5620" s="3" t="s">
        <v>62</v>
      </c>
      <c r="AV5620" s="6" t="str">
        <f>HYPERLINK("http://mcgill.on.worldcat.org/oclc/798053956","Catalog Record")</f>
        <v>Catalog Record</v>
      </c>
      <c r="AW5620" s="6" t="str">
        <f>HYPERLINK("http://www.worldcat.org/oclc/798053956","WorldCat Record")</f>
        <v>WorldCat Record</v>
      </c>
      <c r="AX5620" s="3" t="s">
        <v>53935</v>
      </c>
      <c r="AY5620" s="3" t="s">
        <v>53936</v>
      </c>
      <c r="AZ5620" s="3" t="s">
        <v>53937</v>
      </c>
      <c r="BA5620" s="3" t="s">
        <v>53937</v>
      </c>
      <c r="BB5620" s="3" t="s">
        <v>53938</v>
      </c>
      <c r="BC5620" s="3" t="s">
        <v>142</v>
      </c>
      <c r="BD5620" s="3" t="s">
        <v>68</v>
      </c>
      <c r="BE5620" s="3" t="s">
        <v>53939</v>
      </c>
      <c r="BF5620" s="3" t="s">
        <v>53938</v>
      </c>
      <c r="BG5620" s="3" t="s">
        <v>53940</v>
      </c>
    </row>
    <row r="5621" spans="1:59" ht="71.25" x14ac:dyDescent="0.45">
      <c r="A5621" s="2" t="s">
        <v>59</v>
      </c>
      <c r="B5621" s="2" t="s">
        <v>60</v>
      </c>
      <c r="C5621" s="2" t="s">
        <v>53941</v>
      </c>
      <c r="D5621" s="2" t="s">
        <v>53942</v>
      </c>
      <c r="E5621" s="2" t="s">
        <v>53943</v>
      </c>
      <c r="G5621" s="3" t="s">
        <v>62</v>
      </c>
      <c r="I5621" s="3" t="s">
        <v>62</v>
      </c>
      <c r="J5621" s="3" t="s">
        <v>62</v>
      </c>
      <c r="K5621" s="3" t="s">
        <v>63</v>
      </c>
      <c r="M5621" s="2" t="s">
        <v>30230</v>
      </c>
      <c r="N5621" s="3" t="s">
        <v>149</v>
      </c>
      <c r="P5621" s="3" t="s">
        <v>65</v>
      </c>
      <c r="Q5621" s="2" t="s">
        <v>53944</v>
      </c>
      <c r="R5621" s="3" t="s">
        <v>66</v>
      </c>
      <c r="S5621" s="4">
        <v>1</v>
      </c>
      <c r="T5621" s="4">
        <v>1</v>
      </c>
      <c r="U5621" s="5" t="s">
        <v>53945</v>
      </c>
      <c r="V5621" s="5" t="s">
        <v>53945</v>
      </c>
      <c r="W5621" s="5" t="s">
        <v>67</v>
      </c>
      <c r="X5621" s="5" t="s">
        <v>67</v>
      </c>
      <c r="Y5621" s="4">
        <v>103</v>
      </c>
      <c r="Z5621" s="4">
        <v>10</v>
      </c>
      <c r="AA5621" s="4">
        <v>97</v>
      </c>
      <c r="AB5621" s="4">
        <v>1</v>
      </c>
      <c r="AC5621" s="4">
        <v>17</v>
      </c>
      <c r="AD5621" s="4">
        <v>45</v>
      </c>
      <c r="AE5621" s="4">
        <v>118</v>
      </c>
      <c r="AF5621" s="4">
        <v>0</v>
      </c>
      <c r="AG5621" s="4">
        <v>8</v>
      </c>
      <c r="AH5621" s="4">
        <v>41</v>
      </c>
      <c r="AI5621" s="4">
        <v>80</v>
      </c>
      <c r="AJ5621" s="4">
        <v>8</v>
      </c>
      <c r="AK5621" s="4">
        <v>24</v>
      </c>
      <c r="AL5621" s="4">
        <v>25</v>
      </c>
      <c r="AM5621" s="4">
        <v>42</v>
      </c>
      <c r="AN5621" s="4">
        <v>0</v>
      </c>
      <c r="AO5621" s="4">
        <v>0</v>
      </c>
      <c r="AP5621" s="4">
        <v>8</v>
      </c>
      <c r="AQ5621" s="4">
        <v>45</v>
      </c>
      <c r="AR5621" s="3" t="s">
        <v>62</v>
      </c>
      <c r="AS5621" s="3" t="s">
        <v>62</v>
      </c>
      <c r="AT5621" s="3" t="s">
        <v>62</v>
      </c>
      <c r="AV5621" s="6" t="str">
        <f>HYPERLINK("http://mcgill.on.worldcat.org/oclc/610019199","Catalog Record")</f>
        <v>Catalog Record</v>
      </c>
      <c r="AW5621" s="6" t="str">
        <f>HYPERLINK("http://www.worldcat.org/oclc/610019199","WorldCat Record")</f>
        <v>WorldCat Record</v>
      </c>
      <c r="AX5621" s="3" t="s">
        <v>53946</v>
      </c>
      <c r="AY5621" s="3" t="s">
        <v>53947</v>
      </c>
      <c r="AZ5621" s="3" t="s">
        <v>53948</v>
      </c>
      <c r="BA5621" s="3" t="s">
        <v>53948</v>
      </c>
      <c r="BB5621" s="3" t="s">
        <v>53949</v>
      </c>
      <c r="BC5621" s="3" t="s">
        <v>142</v>
      </c>
      <c r="BD5621" s="3" t="s">
        <v>68</v>
      </c>
      <c r="BE5621" s="3" t="s">
        <v>53950</v>
      </c>
      <c r="BF5621" s="3" t="s">
        <v>53949</v>
      </c>
      <c r="BG5621" s="3" t="s">
        <v>53951</v>
      </c>
    </row>
    <row r="5622" spans="1:59" ht="57" x14ac:dyDescent="0.45">
      <c r="A5622" s="2" t="s">
        <v>59</v>
      </c>
      <c r="B5622" s="2" t="s">
        <v>60</v>
      </c>
      <c r="C5622" s="2" t="s">
        <v>53952</v>
      </c>
      <c r="D5622" s="2" t="s">
        <v>53953</v>
      </c>
      <c r="E5622" s="2" t="s">
        <v>53954</v>
      </c>
      <c r="G5622" s="3" t="s">
        <v>62</v>
      </c>
      <c r="I5622" s="3" t="s">
        <v>62</v>
      </c>
      <c r="J5622" s="3" t="s">
        <v>61</v>
      </c>
      <c r="K5622" s="3" t="s">
        <v>63</v>
      </c>
      <c r="L5622" s="2" t="s">
        <v>53955</v>
      </c>
      <c r="M5622" s="2" t="s">
        <v>53956</v>
      </c>
      <c r="N5622" s="3" t="s">
        <v>918</v>
      </c>
      <c r="O5622" s="2" t="s">
        <v>933</v>
      </c>
      <c r="P5622" s="3" t="s">
        <v>65</v>
      </c>
      <c r="Q5622" s="2" t="s">
        <v>29735</v>
      </c>
      <c r="R5622" s="3" t="s">
        <v>66</v>
      </c>
      <c r="S5622" s="4">
        <v>4</v>
      </c>
      <c r="T5622" s="4">
        <v>4</v>
      </c>
      <c r="U5622" s="5" t="s">
        <v>41513</v>
      </c>
      <c r="V5622" s="5" t="s">
        <v>41513</v>
      </c>
      <c r="W5622" s="5" t="s">
        <v>67</v>
      </c>
      <c r="X5622" s="5" t="s">
        <v>67</v>
      </c>
      <c r="Y5622" s="4">
        <v>251</v>
      </c>
      <c r="Z5622" s="4">
        <v>18</v>
      </c>
      <c r="AA5622" s="4">
        <v>34</v>
      </c>
      <c r="AB5622" s="4">
        <v>2</v>
      </c>
      <c r="AC5622" s="4">
        <v>7</v>
      </c>
      <c r="AD5622" s="4">
        <v>74</v>
      </c>
      <c r="AE5622" s="4">
        <v>118</v>
      </c>
      <c r="AF5622" s="4">
        <v>1</v>
      </c>
      <c r="AG5622" s="4">
        <v>4</v>
      </c>
      <c r="AH5622" s="4">
        <v>63</v>
      </c>
      <c r="AI5622" s="4">
        <v>100</v>
      </c>
      <c r="AJ5622" s="4">
        <v>12</v>
      </c>
      <c r="AK5622" s="4">
        <v>22</v>
      </c>
      <c r="AL5622" s="4">
        <v>34</v>
      </c>
      <c r="AM5622" s="4">
        <v>55</v>
      </c>
      <c r="AN5622" s="4">
        <v>0</v>
      </c>
      <c r="AO5622" s="4">
        <v>0</v>
      </c>
      <c r="AP5622" s="4">
        <v>16</v>
      </c>
      <c r="AQ5622" s="4">
        <v>27</v>
      </c>
      <c r="AR5622" s="3" t="s">
        <v>62</v>
      </c>
      <c r="AS5622" s="3" t="s">
        <v>62</v>
      </c>
      <c r="AT5622" s="3" t="s">
        <v>62</v>
      </c>
      <c r="AV5622" s="6" t="str">
        <f>HYPERLINK("http://mcgill.on.worldcat.org/oclc/52359242","Catalog Record")</f>
        <v>Catalog Record</v>
      </c>
      <c r="AW5622" s="6" t="str">
        <f>HYPERLINK("http://www.worldcat.org/oclc/52359242","WorldCat Record")</f>
        <v>WorldCat Record</v>
      </c>
      <c r="AX5622" s="3" t="s">
        <v>53957</v>
      </c>
      <c r="AY5622" s="3" t="s">
        <v>53958</v>
      </c>
      <c r="AZ5622" s="3" t="s">
        <v>53959</v>
      </c>
      <c r="BA5622" s="3" t="s">
        <v>53959</v>
      </c>
      <c r="BB5622" s="3" t="s">
        <v>53960</v>
      </c>
      <c r="BC5622" s="3" t="s">
        <v>142</v>
      </c>
      <c r="BD5622" s="3" t="s">
        <v>68</v>
      </c>
      <c r="BE5622" s="3" t="s">
        <v>53961</v>
      </c>
      <c r="BF5622" s="3" t="s">
        <v>53960</v>
      </c>
      <c r="BG5622" s="3" t="s">
        <v>53962</v>
      </c>
    </row>
    <row r="5623" spans="1:59" ht="57" x14ac:dyDescent="0.45">
      <c r="A5623" s="2" t="s">
        <v>59</v>
      </c>
      <c r="B5623" s="2" t="s">
        <v>60</v>
      </c>
      <c r="C5623" s="2" t="s">
        <v>53963</v>
      </c>
      <c r="D5623" s="2" t="s">
        <v>53964</v>
      </c>
      <c r="E5623" s="2" t="s">
        <v>53965</v>
      </c>
      <c r="G5623" s="3" t="s">
        <v>62</v>
      </c>
      <c r="I5623" s="3" t="s">
        <v>62</v>
      </c>
      <c r="J5623" s="3" t="s">
        <v>62</v>
      </c>
      <c r="K5623" s="3" t="s">
        <v>63</v>
      </c>
      <c r="M5623" s="2" t="s">
        <v>53966</v>
      </c>
      <c r="N5623" s="3" t="s">
        <v>208</v>
      </c>
      <c r="P5623" s="3" t="s">
        <v>65</v>
      </c>
      <c r="Q5623" s="2" t="s">
        <v>53967</v>
      </c>
      <c r="R5623" s="3" t="s">
        <v>66</v>
      </c>
      <c r="S5623" s="4">
        <v>0</v>
      </c>
      <c r="T5623" s="4">
        <v>0</v>
      </c>
      <c r="W5623" s="5" t="s">
        <v>67</v>
      </c>
      <c r="X5623" s="5" t="s">
        <v>67</v>
      </c>
      <c r="Y5623" s="4">
        <v>43</v>
      </c>
      <c r="Z5623" s="4">
        <v>2</v>
      </c>
      <c r="AA5623" s="4">
        <v>20</v>
      </c>
      <c r="AB5623" s="4">
        <v>1</v>
      </c>
      <c r="AC5623" s="4">
        <v>4</v>
      </c>
      <c r="AD5623" s="4">
        <v>24</v>
      </c>
      <c r="AE5623" s="4">
        <v>59</v>
      </c>
      <c r="AF5623" s="4">
        <v>0</v>
      </c>
      <c r="AG5623" s="4">
        <v>1</v>
      </c>
      <c r="AH5623" s="4">
        <v>22</v>
      </c>
      <c r="AI5623" s="4">
        <v>49</v>
      </c>
      <c r="AJ5623" s="4">
        <v>1</v>
      </c>
      <c r="AK5623" s="4">
        <v>8</v>
      </c>
      <c r="AL5623" s="4">
        <v>16</v>
      </c>
      <c r="AM5623" s="4">
        <v>27</v>
      </c>
      <c r="AN5623" s="4">
        <v>0</v>
      </c>
      <c r="AO5623" s="4">
        <v>0</v>
      </c>
      <c r="AP5623" s="4">
        <v>1</v>
      </c>
      <c r="AQ5623" s="4">
        <v>13</v>
      </c>
      <c r="AR5623" s="3" t="s">
        <v>62</v>
      </c>
      <c r="AS5623" s="3" t="s">
        <v>62</v>
      </c>
      <c r="AT5623" s="3" t="s">
        <v>62</v>
      </c>
      <c r="AV5623" s="6" t="str">
        <f>HYPERLINK("http://mcgill.on.worldcat.org/oclc/910310104","Catalog Record")</f>
        <v>Catalog Record</v>
      </c>
      <c r="AW5623" s="6" t="str">
        <f>HYPERLINK("http://www.worldcat.org/oclc/910310104","WorldCat Record")</f>
        <v>WorldCat Record</v>
      </c>
      <c r="AX5623" s="3" t="s">
        <v>53968</v>
      </c>
      <c r="AY5623" s="3" t="s">
        <v>53969</v>
      </c>
      <c r="AZ5623" s="3" t="s">
        <v>53970</v>
      </c>
      <c r="BA5623" s="3" t="s">
        <v>53970</v>
      </c>
      <c r="BB5623" s="3" t="s">
        <v>53971</v>
      </c>
      <c r="BC5623" s="3" t="s">
        <v>142</v>
      </c>
      <c r="BD5623" s="3" t="s">
        <v>68</v>
      </c>
      <c r="BE5623" s="3" t="s">
        <v>53972</v>
      </c>
      <c r="BF5623" s="3" t="s">
        <v>53971</v>
      </c>
      <c r="BG5623" s="3" t="s">
        <v>53973</v>
      </c>
    </row>
    <row r="5624" spans="1:59" ht="57" x14ac:dyDescent="0.45">
      <c r="A5624" s="2" t="s">
        <v>59</v>
      </c>
      <c r="B5624" s="2" t="s">
        <v>60</v>
      </c>
      <c r="C5624" s="2" t="s">
        <v>53974</v>
      </c>
      <c r="D5624" s="2" t="s">
        <v>53975</v>
      </c>
      <c r="E5624" s="2" t="s">
        <v>53976</v>
      </c>
      <c r="G5624" s="3" t="s">
        <v>62</v>
      </c>
      <c r="I5624" s="3" t="s">
        <v>62</v>
      </c>
      <c r="J5624" s="3" t="s">
        <v>62</v>
      </c>
      <c r="K5624" s="3" t="s">
        <v>63</v>
      </c>
      <c r="M5624" s="2" t="s">
        <v>10828</v>
      </c>
      <c r="N5624" s="3" t="s">
        <v>894</v>
      </c>
      <c r="P5624" s="3" t="s">
        <v>65</v>
      </c>
      <c r="Q5624" s="2" t="s">
        <v>53977</v>
      </c>
      <c r="R5624" s="3" t="s">
        <v>66</v>
      </c>
      <c r="S5624" s="4">
        <v>0</v>
      </c>
      <c r="T5624" s="4">
        <v>0</v>
      </c>
      <c r="W5624" s="5" t="s">
        <v>67</v>
      </c>
      <c r="X5624" s="5" t="s">
        <v>67</v>
      </c>
      <c r="Y5624" s="4">
        <v>61</v>
      </c>
      <c r="Z5624" s="4">
        <v>7</v>
      </c>
      <c r="AA5624" s="4">
        <v>87</v>
      </c>
      <c r="AB5624" s="4">
        <v>1</v>
      </c>
      <c r="AC5624" s="4">
        <v>17</v>
      </c>
      <c r="AD5624" s="4">
        <v>25</v>
      </c>
      <c r="AE5624" s="4">
        <v>103</v>
      </c>
      <c r="AF5624" s="4">
        <v>0</v>
      </c>
      <c r="AG5624" s="4">
        <v>8</v>
      </c>
      <c r="AH5624" s="4">
        <v>22</v>
      </c>
      <c r="AI5624" s="4">
        <v>69</v>
      </c>
      <c r="AJ5624" s="4">
        <v>6</v>
      </c>
      <c r="AK5624" s="4">
        <v>19</v>
      </c>
      <c r="AL5624" s="4">
        <v>13</v>
      </c>
      <c r="AM5624" s="4">
        <v>36</v>
      </c>
      <c r="AN5624" s="4">
        <v>0</v>
      </c>
      <c r="AO5624" s="4">
        <v>0</v>
      </c>
      <c r="AP5624" s="4">
        <v>6</v>
      </c>
      <c r="AQ5624" s="4">
        <v>40</v>
      </c>
      <c r="AR5624" s="3" t="s">
        <v>62</v>
      </c>
      <c r="AS5624" s="3" t="s">
        <v>62</v>
      </c>
      <c r="AT5624" s="3" t="s">
        <v>62</v>
      </c>
      <c r="AV5624" s="6" t="str">
        <f>HYPERLINK("http://mcgill.on.worldcat.org/oclc/753351203","Catalog Record")</f>
        <v>Catalog Record</v>
      </c>
      <c r="AW5624" s="6" t="str">
        <f>HYPERLINK("http://www.worldcat.org/oclc/753351203","WorldCat Record")</f>
        <v>WorldCat Record</v>
      </c>
      <c r="AX5624" s="3" t="s">
        <v>53978</v>
      </c>
      <c r="AY5624" s="3" t="s">
        <v>53979</v>
      </c>
      <c r="AZ5624" s="3" t="s">
        <v>53980</v>
      </c>
      <c r="BA5624" s="3" t="s">
        <v>53980</v>
      </c>
      <c r="BB5624" s="3" t="s">
        <v>53981</v>
      </c>
      <c r="BC5624" s="3" t="s">
        <v>142</v>
      </c>
      <c r="BD5624" s="3" t="s">
        <v>68</v>
      </c>
      <c r="BE5624" s="3" t="s">
        <v>53982</v>
      </c>
      <c r="BF5624" s="3" t="s">
        <v>53981</v>
      </c>
      <c r="BG5624" s="3" t="s">
        <v>53983</v>
      </c>
    </row>
    <row r="5625" spans="1:59" ht="57" x14ac:dyDescent="0.45">
      <c r="A5625" s="2" t="s">
        <v>59</v>
      </c>
      <c r="B5625" s="2" t="s">
        <v>60</v>
      </c>
      <c r="C5625" s="2" t="s">
        <v>53984</v>
      </c>
      <c r="D5625" s="2" t="s">
        <v>53985</v>
      </c>
      <c r="E5625" s="2" t="s">
        <v>53986</v>
      </c>
      <c r="G5625" s="3" t="s">
        <v>62</v>
      </c>
      <c r="I5625" s="3" t="s">
        <v>62</v>
      </c>
      <c r="J5625" s="3" t="s">
        <v>62</v>
      </c>
      <c r="K5625" s="3" t="s">
        <v>63</v>
      </c>
      <c r="L5625" s="2" t="s">
        <v>53987</v>
      </c>
      <c r="M5625" s="2" t="s">
        <v>4509</v>
      </c>
      <c r="N5625" s="3" t="s">
        <v>1465</v>
      </c>
      <c r="P5625" s="3" t="s">
        <v>65</v>
      </c>
      <c r="Q5625" s="2" t="s">
        <v>53988</v>
      </c>
      <c r="R5625" s="3" t="s">
        <v>66</v>
      </c>
      <c r="S5625" s="4">
        <v>2</v>
      </c>
      <c r="T5625" s="4">
        <v>2</v>
      </c>
      <c r="U5625" s="5" t="s">
        <v>2702</v>
      </c>
      <c r="V5625" s="5" t="s">
        <v>2702</v>
      </c>
      <c r="W5625" s="5" t="s">
        <v>67</v>
      </c>
      <c r="X5625" s="5" t="s">
        <v>67</v>
      </c>
      <c r="Y5625" s="4">
        <v>189</v>
      </c>
      <c r="Z5625" s="4">
        <v>18</v>
      </c>
      <c r="AA5625" s="4">
        <v>97</v>
      </c>
      <c r="AB5625" s="4">
        <v>2</v>
      </c>
      <c r="AC5625" s="4">
        <v>18</v>
      </c>
      <c r="AD5625" s="4">
        <v>81</v>
      </c>
      <c r="AE5625" s="4">
        <v>137</v>
      </c>
      <c r="AF5625" s="4">
        <v>0</v>
      </c>
      <c r="AG5625" s="4">
        <v>8</v>
      </c>
      <c r="AH5625" s="4">
        <v>75</v>
      </c>
      <c r="AI5625" s="4">
        <v>98</v>
      </c>
      <c r="AJ5625" s="4">
        <v>14</v>
      </c>
      <c r="AK5625" s="4">
        <v>26</v>
      </c>
      <c r="AL5625" s="4">
        <v>48</v>
      </c>
      <c r="AM5625" s="4">
        <v>54</v>
      </c>
      <c r="AN5625" s="4">
        <v>0</v>
      </c>
      <c r="AO5625" s="4">
        <v>0</v>
      </c>
      <c r="AP5625" s="4">
        <v>14</v>
      </c>
      <c r="AQ5625" s="4">
        <v>49</v>
      </c>
      <c r="AR5625" s="3" t="s">
        <v>62</v>
      </c>
      <c r="AS5625" s="3" t="s">
        <v>62</v>
      </c>
      <c r="AT5625" s="3" t="s">
        <v>62</v>
      </c>
      <c r="AV5625" s="6" t="str">
        <f>HYPERLINK("http://mcgill.on.worldcat.org/oclc/313664783","Catalog Record")</f>
        <v>Catalog Record</v>
      </c>
      <c r="AW5625" s="6" t="str">
        <f>HYPERLINK("http://www.worldcat.org/oclc/313664783","WorldCat Record")</f>
        <v>WorldCat Record</v>
      </c>
      <c r="AX5625" s="3" t="s">
        <v>53989</v>
      </c>
      <c r="AY5625" s="3" t="s">
        <v>53990</v>
      </c>
      <c r="AZ5625" s="3" t="s">
        <v>53991</v>
      </c>
      <c r="BA5625" s="3" t="s">
        <v>53991</v>
      </c>
      <c r="BB5625" s="3" t="s">
        <v>53992</v>
      </c>
      <c r="BC5625" s="3" t="s">
        <v>142</v>
      </c>
      <c r="BD5625" s="3" t="s">
        <v>68</v>
      </c>
      <c r="BE5625" s="3" t="s">
        <v>53993</v>
      </c>
      <c r="BF5625" s="3" t="s">
        <v>53992</v>
      </c>
      <c r="BG5625" s="3" t="s">
        <v>53994</v>
      </c>
    </row>
    <row r="5626" spans="1:59" ht="57" x14ac:dyDescent="0.45">
      <c r="A5626" s="2" t="s">
        <v>59</v>
      </c>
      <c r="B5626" s="2" t="s">
        <v>60</v>
      </c>
      <c r="C5626" s="2" t="s">
        <v>53995</v>
      </c>
      <c r="D5626" s="2" t="s">
        <v>53996</v>
      </c>
      <c r="E5626" s="2" t="s">
        <v>53997</v>
      </c>
      <c r="G5626" s="3" t="s">
        <v>62</v>
      </c>
      <c r="I5626" s="3" t="s">
        <v>62</v>
      </c>
      <c r="J5626" s="3" t="s">
        <v>62</v>
      </c>
      <c r="K5626" s="3" t="s">
        <v>63</v>
      </c>
      <c r="M5626" s="2" t="s">
        <v>32505</v>
      </c>
      <c r="N5626" s="3" t="s">
        <v>894</v>
      </c>
      <c r="P5626" s="3" t="s">
        <v>65</v>
      </c>
      <c r="Q5626" s="2" t="s">
        <v>3949</v>
      </c>
      <c r="R5626" s="3" t="s">
        <v>66</v>
      </c>
      <c r="S5626" s="4">
        <v>1</v>
      </c>
      <c r="T5626" s="4">
        <v>1</v>
      </c>
      <c r="U5626" s="5" t="s">
        <v>50280</v>
      </c>
      <c r="V5626" s="5" t="s">
        <v>50280</v>
      </c>
      <c r="W5626" s="5" t="s">
        <v>67</v>
      </c>
      <c r="X5626" s="5" t="s">
        <v>67</v>
      </c>
      <c r="Y5626" s="4">
        <v>127</v>
      </c>
      <c r="Z5626" s="4">
        <v>16</v>
      </c>
      <c r="AA5626" s="4">
        <v>20</v>
      </c>
      <c r="AB5626" s="4">
        <v>1</v>
      </c>
      <c r="AC5626" s="4">
        <v>3</v>
      </c>
      <c r="AD5626" s="4">
        <v>59</v>
      </c>
      <c r="AE5626" s="4">
        <v>71</v>
      </c>
      <c r="AF5626" s="4">
        <v>0</v>
      </c>
      <c r="AG5626" s="4">
        <v>1</v>
      </c>
      <c r="AH5626" s="4">
        <v>52</v>
      </c>
      <c r="AI5626" s="4">
        <v>62</v>
      </c>
      <c r="AJ5626" s="4">
        <v>12</v>
      </c>
      <c r="AK5626" s="4">
        <v>14</v>
      </c>
      <c r="AL5626" s="4">
        <v>26</v>
      </c>
      <c r="AM5626" s="4">
        <v>35</v>
      </c>
      <c r="AN5626" s="4">
        <v>0</v>
      </c>
      <c r="AO5626" s="4">
        <v>0</v>
      </c>
      <c r="AP5626" s="4">
        <v>15</v>
      </c>
      <c r="AQ5626" s="4">
        <v>17</v>
      </c>
      <c r="AR5626" s="3" t="s">
        <v>62</v>
      </c>
      <c r="AS5626" s="3" t="s">
        <v>62</v>
      </c>
      <c r="AT5626" s="3" t="s">
        <v>62</v>
      </c>
      <c r="AV5626" s="6" t="str">
        <f>HYPERLINK("http://mcgill.on.worldcat.org/oclc/698332338","Catalog Record")</f>
        <v>Catalog Record</v>
      </c>
      <c r="AW5626" s="6" t="str">
        <f>HYPERLINK("http://www.worldcat.org/oclc/698332338","WorldCat Record")</f>
        <v>WorldCat Record</v>
      </c>
      <c r="AX5626" s="3" t="s">
        <v>53998</v>
      </c>
      <c r="AY5626" s="3" t="s">
        <v>53999</v>
      </c>
      <c r="AZ5626" s="3" t="s">
        <v>54000</v>
      </c>
      <c r="BA5626" s="3" t="s">
        <v>54000</v>
      </c>
      <c r="BB5626" s="3" t="s">
        <v>54001</v>
      </c>
      <c r="BC5626" s="3" t="s">
        <v>142</v>
      </c>
      <c r="BD5626" s="3" t="s">
        <v>68</v>
      </c>
      <c r="BE5626" s="3" t="s">
        <v>54002</v>
      </c>
      <c r="BF5626" s="3" t="s">
        <v>54001</v>
      </c>
      <c r="BG5626" s="3" t="s">
        <v>54003</v>
      </c>
    </row>
    <row r="5627" spans="1:59" ht="57" x14ac:dyDescent="0.45">
      <c r="A5627" s="2" t="s">
        <v>59</v>
      </c>
      <c r="B5627" s="2" t="s">
        <v>60</v>
      </c>
      <c r="C5627" s="2" t="s">
        <v>54004</v>
      </c>
      <c r="D5627" s="2" t="s">
        <v>54005</v>
      </c>
      <c r="E5627" s="2" t="s">
        <v>54006</v>
      </c>
      <c r="G5627" s="3" t="s">
        <v>62</v>
      </c>
      <c r="I5627" s="3" t="s">
        <v>62</v>
      </c>
      <c r="J5627" s="3" t="s">
        <v>62</v>
      </c>
      <c r="K5627" s="3" t="s">
        <v>63</v>
      </c>
      <c r="L5627" s="2" t="s">
        <v>46500</v>
      </c>
      <c r="M5627" s="2" t="s">
        <v>54007</v>
      </c>
      <c r="N5627" s="3" t="s">
        <v>918</v>
      </c>
      <c r="P5627" s="3" t="s">
        <v>65</v>
      </c>
      <c r="Q5627" s="2" t="s">
        <v>54008</v>
      </c>
      <c r="R5627" s="3" t="s">
        <v>66</v>
      </c>
      <c r="S5627" s="4">
        <v>6</v>
      </c>
      <c r="T5627" s="4">
        <v>6</v>
      </c>
      <c r="U5627" s="5" t="s">
        <v>17963</v>
      </c>
      <c r="V5627" s="5" t="s">
        <v>17963</v>
      </c>
      <c r="W5627" s="5" t="s">
        <v>67</v>
      </c>
      <c r="X5627" s="5" t="s">
        <v>67</v>
      </c>
      <c r="Y5627" s="4">
        <v>236</v>
      </c>
      <c r="Z5627" s="4">
        <v>21</v>
      </c>
      <c r="AA5627" s="4">
        <v>112</v>
      </c>
      <c r="AB5627" s="4">
        <v>2</v>
      </c>
      <c r="AC5627" s="4">
        <v>21</v>
      </c>
      <c r="AD5627" s="4">
        <v>97</v>
      </c>
      <c r="AE5627" s="4">
        <v>145</v>
      </c>
      <c r="AF5627" s="4">
        <v>1</v>
      </c>
      <c r="AG5627" s="4">
        <v>9</v>
      </c>
      <c r="AH5627" s="4">
        <v>89</v>
      </c>
      <c r="AI5627" s="4">
        <v>101</v>
      </c>
      <c r="AJ5627" s="4">
        <v>16</v>
      </c>
      <c r="AK5627" s="4">
        <v>27</v>
      </c>
      <c r="AL5627" s="4">
        <v>51</v>
      </c>
      <c r="AM5627" s="4">
        <v>54</v>
      </c>
      <c r="AN5627" s="4">
        <v>0</v>
      </c>
      <c r="AO5627" s="4">
        <v>0</v>
      </c>
      <c r="AP5627" s="4">
        <v>18</v>
      </c>
      <c r="AQ5627" s="4">
        <v>54</v>
      </c>
      <c r="AR5627" s="3" t="s">
        <v>62</v>
      </c>
      <c r="AS5627" s="3" t="s">
        <v>62</v>
      </c>
      <c r="AT5627" s="3" t="s">
        <v>62</v>
      </c>
      <c r="AV5627" s="6" t="str">
        <f>HYPERLINK("http://mcgill.on.worldcat.org/oclc/50315091","Catalog Record")</f>
        <v>Catalog Record</v>
      </c>
      <c r="AW5627" s="6" t="str">
        <f>HYPERLINK("http://www.worldcat.org/oclc/50315091","WorldCat Record")</f>
        <v>WorldCat Record</v>
      </c>
      <c r="AX5627" s="3" t="s">
        <v>54009</v>
      </c>
      <c r="AY5627" s="3" t="s">
        <v>54010</v>
      </c>
      <c r="AZ5627" s="3" t="s">
        <v>54011</v>
      </c>
      <c r="BA5627" s="3" t="s">
        <v>54011</v>
      </c>
      <c r="BB5627" s="3" t="s">
        <v>54012</v>
      </c>
      <c r="BC5627" s="3" t="s">
        <v>142</v>
      </c>
      <c r="BD5627" s="3" t="s">
        <v>68</v>
      </c>
      <c r="BE5627" s="3" t="s">
        <v>54013</v>
      </c>
      <c r="BF5627" s="3" t="s">
        <v>54012</v>
      </c>
      <c r="BG5627" s="3" t="s">
        <v>54014</v>
      </c>
    </row>
    <row r="5628" spans="1:59" ht="57" x14ac:dyDescent="0.45">
      <c r="A5628" s="2" t="s">
        <v>59</v>
      </c>
      <c r="B5628" s="2" t="s">
        <v>60</v>
      </c>
      <c r="C5628" s="2" t="s">
        <v>54015</v>
      </c>
      <c r="D5628" s="2" t="s">
        <v>54016</v>
      </c>
      <c r="E5628" s="2" t="s">
        <v>54017</v>
      </c>
      <c r="G5628" s="3" t="s">
        <v>62</v>
      </c>
      <c r="I5628" s="3" t="s">
        <v>62</v>
      </c>
      <c r="J5628" s="3" t="s">
        <v>62</v>
      </c>
      <c r="K5628" s="3" t="s">
        <v>63</v>
      </c>
      <c r="L5628" s="2" t="s">
        <v>54018</v>
      </c>
      <c r="M5628" s="2" t="s">
        <v>893</v>
      </c>
      <c r="N5628" s="3" t="s">
        <v>894</v>
      </c>
      <c r="P5628" s="3" t="s">
        <v>65</v>
      </c>
      <c r="Q5628" s="2" t="s">
        <v>54019</v>
      </c>
      <c r="R5628" s="3" t="s">
        <v>66</v>
      </c>
      <c r="S5628" s="4">
        <v>3</v>
      </c>
      <c r="T5628" s="4">
        <v>3</v>
      </c>
      <c r="U5628" s="5" t="s">
        <v>54020</v>
      </c>
      <c r="V5628" s="5" t="s">
        <v>54020</v>
      </c>
      <c r="W5628" s="5" t="s">
        <v>67</v>
      </c>
      <c r="X5628" s="5" t="s">
        <v>67</v>
      </c>
      <c r="Y5628" s="4">
        <v>219</v>
      </c>
      <c r="Z5628" s="4">
        <v>17</v>
      </c>
      <c r="AA5628" s="4">
        <v>84</v>
      </c>
      <c r="AB5628" s="4">
        <v>1</v>
      </c>
      <c r="AC5628" s="4">
        <v>14</v>
      </c>
      <c r="AD5628" s="4">
        <v>74</v>
      </c>
      <c r="AE5628" s="4">
        <v>130</v>
      </c>
      <c r="AF5628" s="4">
        <v>0</v>
      </c>
      <c r="AG5628" s="4">
        <v>8</v>
      </c>
      <c r="AH5628" s="4">
        <v>69</v>
      </c>
      <c r="AI5628" s="4">
        <v>97</v>
      </c>
      <c r="AJ5628" s="4">
        <v>12</v>
      </c>
      <c r="AK5628" s="4">
        <v>23</v>
      </c>
      <c r="AL5628" s="4">
        <v>41</v>
      </c>
      <c r="AM5628" s="4">
        <v>51</v>
      </c>
      <c r="AN5628" s="4">
        <v>0</v>
      </c>
      <c r="AO5628" s="4">
        <v>0</v>
      </c>
      <c r="AP5628" s="4">
        <v>13</v>
      </c>
      <c r="AQ5628" s="4">
        <v>42</v>
      </c>
      <c r="AR5628" s="3" t="s">
        <v>62</v>
      </c>
      <c r="AS5628" s="3" t="s">
        <v>62</v>
      </c>
      <c r="AT5628" s="3" t="s">
        <v>62</v>
      </c>
      <c r="AV5628" s="6" t="str">
        <f>HYPERLINK("http://mcgill.on.worldcat.org/oclc/656771945","Catalog Record")</f>
        <v>Catalog Record</v>
      </c>
      <c r="AW5628" s="6" t="str">
        <f>HYPERLINK("http://www.worldcat.org/oclc/656771945","WorldCat Record")</f>
        <v>WorldCat Record</v>
      </c>
      <c r="AX5628" s="3" t="s">
        <v>54021</v>
      </c>
      <c r="AY5628" s="3" t="s">
        <v>54022</v>
      </c>
      <c r="AZ5628" s="3" t="s">
        <v>54023</v>
      </c>
      <c r="BA5628" s="3" t="s">
        <v>54023</v>
      </c>
      <c r="BB5628" s="3" t="s">
        <v>54024</v>
      </c>
      <c r="BC5628" s="3" t="s">
        <v>142</v>
      </c>
      <c r="BD5628" s="3" t="s">
        <v>308</v>
      </c>
      <c r="BE5628" s="3" t="s">
        <v>54025</v>
      </c>
      <c r="BF5628" s="3" t="s">
        <v>54024</v>
      </c>
      <c r="BG5628" s="3" t="s">
        <v>54026</v>
      </c>
    </row>
    <row r="5629" spans="1:59" ht="57" x14ac:dyDescent="0.45">
      <c r="A5629" s="2" t="s">
        <v>59</v>
      </c>
      <c r="B5629" s="2" t="s">
        <v>60</v>
      </c>
      <c r="C5629" s="2" t="s">
        <v>54027</v>
      </c>
      <c r="D5629" s="2" t="s">
        <v>54028</v>
      </c>
      <c r="E5629" s="2" t="s">
        <v>54029</v>
      </c>
      <c r="G5629" s="3" t="s">
        <v>62</v>
      </c>
      <c r="I5629" s="3" t="s">
        <v>62</v>
      </c>
      <c r="J5629" s="3" t="s">
        <v>62</v>
      </c>
      <c r="K5629" s="3" t="s">
        <v>63</v>
      </c>
      <c r="M5629" s="2" t="s">
        <v>21345</v>
      </c>
      <c r="N5629" s="3" t="s">
        <v>894</v>
      </c>
      <c r="P5629" s="3" t="s">
        <v>65</v>
      </c>
      <c r="R5629" s="3" t="s">
        <v>66</v>
      </c>
      <c r="S5629" s="4">
        <v>2</v>
      </c>
      <c r="T5629" s="4">
        <v>2</v>
      </c>
      <c r="W5629" s="5" t="s">
        <v>67</v>
      </c>
      <c r="X5629" s="5" t="s">
        <v>67</v>
      </c>
      <c r="Y5629" s="4">
        <v>85</v>
      </c>
      <c r="Z5629" s="4">
        <v>10</v>
      </c>
      <c r="AA5629" s="4">
        <v>78</v>
      </c>
      <c r="AB5629" s="4">
        <v>1</v>
      </c>
      <c r="AC5629" s="4">
        <v>14</v>
      </c>
      <c r="AD5629" s="4">
        <v>34</v>
      </c>
      <c r="AE5629" s="4">
        <v>109</v>
      </c>
      <c r="AF5629" s="4">
        <v>0</v>
      </c>
      <c r="AG5629" s="4">
        <v>8</v>
      </c>
      <c r="AH5629" s="4">
        <v>33</v>
      </c>
      <c r="AI5629" s="4">
        <v>77</v>
      </c>
      <c r="AJ5629" s="4">
        <v>8</v>
      </c>
      <c r="AK5629" s="4">
        <v>20</v>
      </c>
      <c r="AL5629" s="4">
        <v>20</v>
      </c>
      <c r="AM5629" s="4">
        <v>40</v>
      </c>
      <c r="AN5629" s="4">
        <v>0</v>
      </c>
      <c r="AO5629" s="4">
        <v>0</v>
      </c>
      <c r="AP5629" s="4">
        <v>8</v>
      </c>
      <c r="AQ5629" s="4">
        <v>40</v>
      </c>
      <c r="AR5629" s="3" t="s">
        <v>62</v>
      </c>
      <c r="AS5629" s="3" t="s">
        <v>62</v>
      </c>
      <c r="AT5629" s="3" t="s">
        <v>62</v>
      </c>
      <c r="AV5629" s="6" t="str">
        <f>HYPERLINK("http://mcgill.on.worldcat.org/oclc/697599809","Catalog Record")</f>
        <v>Catalog Record</v>
      </c>
      <c r="AW5629" s="6" t="str">
        <f>HYPERLINK("http://www.worldcat.org/oclc/697599809","WorldCat Record")</f>
        <v>WorldCat Record</v>
      </c>
      <c r="AX5629" s="3" t="s">
        <v>54030</v>
      </c>
      <c r="AY5629" s="3" t="s">
        <v>54031</v>
      </c>
      <c r="AZ5629" s="3" t="s">
        <v>54032</v>
      </c>
      <c r="BA5629" s="3" t="s">
        <v>54032</v>
      </c>
      <c r="BB5629" s="3" t="s">
        <v>54033</v>
      </c>
      <c r="BC5629" s="3" t="s">
        <v>142</v>
      </c>
      <c r="BD5629" s="3" t="s">
        <v>308</v>
      </c>
      <c r="BE5629" s="3" t="s">
        <v>54034</v>
      </c>
      <c r="BF5629" s="3" t="s">
        <v>54033</v>
      </c>
      <c r="BG5629" s="3" t="s">
        <v>54035</v>
      </c>
    </row>
    <row r="5630" spans="1:59" ht="57" x14ac:dyDescent="0.45">
      <c r="A5630" s="2" t="s">
        <v>59</v>
      </c>
      <c r="B5630" s="2" t="s">
        <v>60</v>
      </c>
      <c r="C5630" s="2" t="s">
        <v>54036</v>
      </c>
      <c r="D5630" s="2" t="s">
        <v>54037</v>
      </c>
      <c r="E5630" s="2" t="s">
        <v>54038</v>
      </c>
      <c r="G5630" s="3" t="s">
        <v>62</v>
      </c>
      <c r="I5630" s="3" t="s">
        <v>62</v>
      </c>
      <c r="J5630" s="3" t="s">
        <v>62</v>
      </c>
      <c r="K5630" s="3" t="s">
        <v>63</v>
      </c>
      <c r="L5630" s="2" t="s">
        <v>54039</v>
      </c>
      <c r="M5630" s="2" t="s">
        <v>2631</v>
      </c>
      <c r="N5630" s="3" t="s">
        <v>116</v>
      </c>
      <c r="P5630" s="3" t="s">
        <v>65</v>
      </c>
      <c r="R5630" s="3" t="s">
        <v>66</v>
      </c>
      <c r="S5630" s="4">
        <v>0</v>
      </c>
      <c r="T5630" s="4">
        <v>0</v>
      </c>
      <c r="W5630" s="5" t="s">
        <v>67</v>
      </c>
      <c r="X5630" s="5" t="s">
        <v>67</v>
      </c>
      <c r="Y5630" s="4">
        <v>102</v>
      </c>
      <c r="Z5630" s="4">
        <v>9</v>
      </c>
      <c r="AA5630" s="4">
        <v>12</v>
      </c>
      <c r="AB5630" s="4">
        <v>1</v>
      </c>
      <c r="AC5630" s="4">
        <v>3</v>
      </c>
      <c r="AD5630" s="4">
        <v>29</v>
      </c>
      <c r="AE5630" s="4">
        <v>31</v>
      </c>
      <c r="AF5630" s="4">
        <v>0</v>
      </c>
      <c r="AG5630" s="4">
        <v>1</v>
      </c>
      <c r="AH5630" s="4">
        <v>25</v>
      </c>
      <c r="AI5630" s="4">
        <v>26</v>
      </c>
      <c r="AJ5630" s="4">
        <v>7</v>
      </c>
      <c r="AK5630" s="4">
        <v>9</v>
      </c>
      <c r="AL5630" s="4">
        <v>16</v>
      </c>
      <c r="AM5630" s="4">
        <v>16</v>
      </c>
      <c r="AN5630" s="4">
        <v>0</v>
      </c>
      <c r="AO5630" s="4">
        <v>0</v>
      </c>
      <c r="AP5630" s="4">
        <v>7</v>
      </c>
      <c r="AQ5630" s="4">
        <v>8</v>
      </c>
      <c r="AR5630" s="3" t="s">
        <v>62</v>
      </c>
      <c r="AS5630" s="3" t="s">
        <v>62</v>
      </c>
      <c r="AT5630" s="3" t="s">
        <v>62</v>
      </c>
      <c r="AV5630" s="6" t="str">
        <f>HYPERLINK("http://mcgill.on.worldcat.org/oclc/837923055","Catalog Record")</f>
        <v>Catalog Record</v>
      </c>
      <c r="AW5630" s="6" t="str">
        <f>HYPERLINK("http://www.worldcat.org/oclc/837923055","WorldCat Record")</f>
        <v>WorldCat Record</v>
      </c>
      <c r="AX5630" s="3" t="s">
        <v>54040</v>
      </c>
      <c r="AY5630" s="3" t="s">
        <v>54041</v>
      </c>
      <c r="AZ5630" s="3" t="s">
        <v>54042</v>
      </c>
      <c r="BA5630" s="3" t="s">
        <v>54042</v>
      </c>
      <c r="BB5630" s="3" t="s">
        <v>54043</v>
      </c>
      <c r="BC5630" s="3" t="s">
        <v>142</v>
      </c>
      <c r="BD5630" s="3" t="s">
        <v>68</v>
      </c>
      <c r="BE5630" s="3" t="s">
        <v>54044</v>
      </c>
      <c r="BF5630" s="3" t="s">
        <v>54043</v>
      </c>
      <c r="BG5630" s="3" t="s">
        <v>54045</v>
      </c>
    </row>
    <row r="5631" spans="1:59" ht="57" x14ac:dyDescent="0.45">
      <c r="A5631" s="2" t="s">
        <v>59</v>
      </c>
      <c r="B5631" s="2" t="s">
        <v>60</v>
      </c>
      <c r="C5631" s="2" t="s">
        <v>54046</v>
      </c>
      <c r="D5631" s="2" t="s">
        <v>54047</v>
      </c>
      <c r="E5631" s="2" t="s">
        <v>54048</v>
      </c>
      <c r="G5631" s="3" t="s">
        <v>62</v>
      </c>
      <c r="I5631" s="3" t="s">
        <v>62</v>
      </c>
      <c r="J5631" s="3" t="s">
        <v>62</v>
      </c>
      <c r="K5631" s="3" t="s">
        <v>63</v>
      </c>
      <c r="L5631" s="2" t="s">
        <v>54049</v>
      </c>
      <c r="M5631" s="2" t="s">
        <v>54050</v>
      </c>
      <c r="N5631" s="3" t="s">
        <v>894</v>
      </c>
      <c r="P5631" s="3" t="s">
        <v>65</v>
      </c>
      <c r="R5631" s="3" t="s">
        <v>66</v>
      </c>
      <c r="S5631" s="4">
        <v>2</v>
      </c>
      <c r="T5631" s="4">
        <v>2</v>
      </c>
      <c r="W5631" s="5" t="s">
        <v>67</v>
      </c>
      <c r="X5631" s="5" t="s">
        <v>67</v>
      </c>
      <c r="Y5631" s="4">
        <v>112</v>
      </c>
      <c r="Z5631" s="4">
        <v>15</v>
      </c>
      <c r="AA5631" s="4">
        <v>79</v>
      </c>
      <c r="AB5631" s="4">
        <v>1</v>
      </c>
      <c r="AC5631" s="4">
        <v>14</v>
      </c>
      <c r="AD5631" s="4">
        <v>44</v>
      </c>
      <c r="AE5631" s="4">
        <v>113</v>
      </c>
      <c r="AF5631" s="4">
        <v>0</v>
      </c>
      <c r="AG5631" s="4">
        <v>8</v>
      </c>
      <c r="AH5631" s="4">
        <v>40</v>
      </c>
      <c r="AI5631" s="4">
        <v>80</v>
      </c>
      <c r="AJ5631" s="4">
        <v>11</v>
      </c>
      <c r="AK5631" s="4">
        <v>21</v>
      </c>
      <c r="AL5631" s="4">
        <v>20</v>
      </c>
      <c r="AM5631" s="4">
        <v>42</v>
      </c>
      <c r="AN5631" s="4">
        <v>0</v>
      </c>
      <c r="AO5631" s="4">
        <v>0</v>
      </c>
      <c r="AP5631" s="4">
        <v>12</v>
      </c>
      <c r="AQ5631" s="4">
        <v>41</v>
      </c>
      <c r="AR5631" s="3" t="s">
        <v>62</v>
      </c>
      <c r="AS5631" s="3" t="s">
        <v>62</v>
      </c>
      <c r="AT5631" s="3" t="s">
        <v>62</v>
      </c>
      <c r="AV5631" s="6" t="str">
        <f>HYPERLINK("http://mcgill.on.worldcat.org/oclc/657602699","Catalog Record")</f>
        <v>Catalog Record</v>
      </c>
      <c r="AW5631" s="6" t="str">
        <f>HYPERLINK("http://www.worldcat.org/oclc/657602699","WorldCat Record")</f>
        <v>WorldCat Record</v>
      </c>
      <c r="AX5631" s="3" t="s">
        <v>54051</v>
      </c>
      <c r="AY5631" s="3" t="s">
        <v>54052</v>
      </c>
      <c r="AZ5631" s="3" t="s">
        <v>54053</v>
      </c>
      <c r="BA5631" s="3" t="s">
        <v>54053</v>
      </c>
      <c r="BB5631" s="3" t="s">
        <v>54054</v>
      </c>
      <c r="BC5631" s="3" t="s">
        <v>142</v>
      </c>
      <c r="BD5631" s="3" t="s">
        <v>308</v>
      </c>
      <c r="BE5631" s="3" t="s">
        <v>54055</v>
      </c>
      <c r="BF5631" s="3" t="s">
        <v>54054</v>
      </c>
      <c r="BG5631" s="3" t="s">
        <v>54056</v>
      </c>
    </row>
    <row r="5632" spans="1:59" ht="57" x14ac:dyDescent="0.45">
      <c r="A5632" s="2" t="s">
        <v>59</v>
      </c>
      <c r="B5632" s="2" t="s">
        <v>60</v>
      </c>
      <c r="C5632" s="2" t="s">
        <v>54057</v>
      </c>
      <c r="D5632" s="2" t="s">
        <v>54058</v>
      </c>
      <c r="E5632" s="2" t="s">
        <v>54059</v>
      </c>
      <c r="G5632" s="3" t="s">
        <v>62</v>
      </c>
      <c r="I5632" s="3" t="s">
        <v>62</v>
      </c>
      <c r="J5632" s="3" t="s">
        <v>62</v>
      </c>
      <c r="K5632" s="3" t="s">
        <v>63</v>
      </c>
      <c r="M5632" s="2" t="s">
        <v>893</v>
      </c>
      <c r="N5632" s="3" t="s">
        <v>894</v>
      </c>
      <c r="P5632" s="3" t="s">
        <v>65</v>
      </c>
      <c r="R5632" s="3" t="s">
        <v>66</v>
      </c>
      <c r="S5632" s="4">
        <v>3</v>
      </c>
      <c r="T5632" s="4">
        <v>3</v>
      </c>
      <c r="U5632" s="5" t="s">
        <v>49598</v>
      </c>
      <c r="V5632" s="5" t="s">
        <v>49598</v>
      </c>
      <c r="W5632" s="5" t="s">
        <v>67</v>
      </c>
      <c r="X5632" s="5" t="s">
        <v>67</v>
      </c>
      <c r="Y5632" s="4">
        <v>150</v>
      </c>
      <c r="Z5632" s="4">
        <v>15</v>
      </c>
      <c r="AA5632" s="4">
        <v>80</v>
      </c>
      <c r="AB5632" s="4">
        <v>1</v>
      </c>
      <c r="AC5632" s="4">
        <v>15</v>
      </c>
      <c r="AD5632" s="4">
        <v>63</v>
      </c>
      <c r="AE5632" s="4">
        <v>110</v>
      </c>
      <c r="AF5632" s="4">
        <v>0</v>
      </c>
      <c r="AG5632" s="4">
        <v>8</v>
      </c>
      <c r="AH5632" s="4">
        <v>59</v>
      </c>
      <c r="AI5632" s="4">
        <v>79</v>
      </c>
      <c r="AJ5632" s="4">
        <v>10</v>
      </c>
      <c r="AK5632" s="4">
        <v>22</v>
      </c>
      <c r="AL5632" s="4">
        <v>33</v>
      </c>
      <c r="AM5632" s="4">
        <v>42</v>
      </c>
      <c r="AN5632" s="4">
        <v>0</v>
      </c>
      <c r="AO5632" s="4">
        <v>0</v>
      </c>
      <c r="AP5632" s="4">
        <v>12</v>
      </c>
      <c r="AQ5632" s="4">
        <v>41</v>
      </c>
      <c r="AR5632" s="3" t="s">
        <v>62</v>
      </c>
      <c r="AS5632" s="3" t="s">
        <v>62</v>
      </c>
      <c r="AT5632" s="3" t="s">
        <v>62</v>
      </c>
      <c r="AV5632" s="6" t="str">
        <f>HYPERLINK("http://mcgill.on.worldcat.org/oclc/698331474","Catalog Record")</f>
        <v>Catalog Record</v>
      </c>
      <c r="AW5632" s="6" t="str">
        <f>HYPERLINK("http://www.worldcat.org/oclc/698331474","WorldCat Record")</f>
        <v>WorldCat Record</v>
      </c>
      <c r="AX5632" s="3" t="s">
        <v>54060</v>
      </c>
      <c r="AY5632" s="3" t="s">
        <v>54061</v>
      </c>
      <c r="AZ5632" s="3" t="s">
        <v>54062</v>
      </c>
      <c r="BA5632" s="3" t="s">
        <v>54062</v>
      </c>
      <c r="BB5632" s="3" t="s">
        <v>54063</v>
      </c>
      <c r="BC5632" s="3" t="s">
        <v>142</v>
      </c>
      <c r="BD5632" s="3" t="s">
        <v>68</v>
      </c>
      <c r="BE5632" s="3" t="s">
        <v>54064</v>
      </c>
      <c r="BF5632" s="3" t="s">
        <v>54063</v>
      </c>
      <c r="BG5632" s="3" t="s">
        <v>54065</v>
      </c>
    </row>
    <row r="5633" spans="1:59" ht="57" x14ac:dyDescent="0.45">
      <c r="A5633" s="2" t="s">
        <v>59</v>
      </c>
      <c r="B5633" s="2" t="s">
        <v>60</v>
      </c>
      <c r="C5633" s="2" t="s">
        <v>54066</v>
      </c>
      <c r="D5633" s="2" t="s">
        <v>54067</v>
      </c>
      <c r="E5633" s="2" t="s">
        <v>54068</v>
      </c>
      <c r="G5633" s="3" t="s">
        <v>62</v>
      </c>
      <c r="I5633" s="3" t="s">
        <v>62</v>
      </c>
      <c r="J5633" s="3" t="s">
        <v>62</v>
      </c>
      <c r="K5633" s="3" t="s">
        <v>63</v>
      </c>
      <c r="L5633" s="2" t="s">
        <v>54069</v>
      </c>
      <c r="M5633" s="2" t="s">
        <v>2643</v>
      </c>
      <c r="N5633" s="3" t="s">
        <v>149</v>
      </c>
      <c r="P5633" s="3" t="s">
        <v>65</v>
      </c>
      <c r="Q5633" s="2" t="s">
        <v>50918</v>
      </c>
      <c r="R5633" s="3" t="s">
        <v>66</v>
      </c>
      <c r="S5633" s="4">
        <v>1</v>
      </c>
      <c r="T5633" s="4">
        <v>1</v>
      </c>
      <c r="U5633" s="5" t="s">
        <v>54070</v>
      </c>
      <c r="V5633" s="5" t="s">
        <v>54070</v>
      </c>
      <c r="W5633" s="5" t="s">
        <v>67</v>
      </c>
      <c r="X5633" s="5" t="s">
        <v>67</v>
      </c>
      <c r="Y5633" s="4">
        <v>121</v>
      </c>
      <c r="Z5633" s="4">
        <v>16</v>
      </c>
      <c r="AA5633" s="4">
        <v>51</v>
      </c>
      <c r="AB5633" s="4">
        <v>1</v>
      </c>
      <c r="AC5633" s="4">
        <v>5</v>
      </c>
      <c r="AD5633" s="4">
        <v>65</v>
      </c>
      <c r="AE5633" s="4">
        <v>103</v>
      </c>
      <c r="AF5633" s="4">
        <v>0</v>
      </c>
      <c r="AG5633" s="4">
        <v>1</v>
      </c>
      <c r="AH5633" s="4">
        <v>58</v>
      </c>
      <c r="AI5633" s="4">
        <v>81</v>
      </c>
      <c r="AJ5633" s="4">
        <v>13</v>
      </c>
      <c r="AK5633" s="4">
        <v>18</v>
      </c>
      <c r="AL5633" s="4">
        <v>37</v>
      </c>
      <c r="AM5633" s="4">
        <v>47</v>
      </c>
      <c r="AN5633" s="4">
        <v>0</v>
      </c>
      <c r="AO5633" s="4">
        <v>0</v>
      </c>
      <c r="AP5633" s="4">
        <v>14</v>
      </c>
      <c r="AQ5633" s="4">
        <v>31</v>
      </c>
      <c r="AR5633" s="3" t="s">
        <v>62</v>
      </c>
      <c r="AS5633" s="3" t="s">
        <v>62</v>
      </c>
      <c r="AT5633" s="3" t="s">
        <v>62</v>
      </c>
      <c r="AV5633" s="6" t="str">
        <f>HYPERLINK("http://mcgill.on.worldcat.org/oclc/438053666","Catalog Record")</f>
        <v>Catalog Record</v>
      </c>
      <c r="AW5633" s="6" t="str">
        <f>HYPERLINK("http://www.worldcat.org/oclc/438053666","WorldCat Record")</f>
        <v>WorldCat Record</v>
      </c>
      <c r="AX5633" s="3" t="s">
        <v>54071</v>
      </c>
      <c r="AY5633" s="3" t="s">
        <v>54072</v>
      </c>
      <c r="AZ5633" s="3" t="s">
        <v>54073</v>
      </c>
      <c r="BA5633" s="3" t="s">
        <v>54073</v>
      </c>
      <c r="BB5633" s="3" t="s">
        <v>54074</v>
      </c>
      <c r="BC5633" s="3" t="s">
        <v>142</v>
      </c>
      <c r="BD5633" s="3" t="s">
        <v>68</v>
      </c>
      <c r="BE5633" s="3" t="s">
        <v>54075</v>
      </c>
      <c r="BF5633" s="3" t="s">
        <v>54074</v>
      </c>
      <c r="BG5633" s="3" t="s">
        <v>54076</v>
      </c>
    </row>
    <row r="5634" spans="1:59" ht="57" x14ac:dyDescent="0.45">
      <c r="A5634" s="2" t="s">
        <v>59</v>
      </c>
      <c r="B5634" s="2" t="s">
        <v>60</v>
      </c>
      <c r="C5634" s="2" t="s">
        <v>54077</v>
      </c>
      <c r="D5634" s="2" t="s">
        <v>54078</v>
      </c>
      <c r="E5634" s="2" t="s">
        <v>54079</v>
      </c>
      <c r="G5634" s="3" t="s">
        <v>62</v>
      </c>
      <c r="I5634" s="3" t="s">
        <v>62</v>
      </c>
      <c r="J5634" s="3" t="s">
        <v>62</v>
      </c>
      <c r="K5634" s="3" t="s">
        <v>63</v>
      </c>
      <c r="M5634" s="2" t="s">
        <v>54080</v>
      </c>
      <c r="N5634" s="3" t="s">
        <v>583</v>
      </c>
      <c r="P5634" s="3" t="s">
        <v>65</v>
      </c>
      <c r="Q5634" s="2" t="s">
        <v>54081</v>
      </c>
      <c r="R5634" s="3" t="s">
        <v>66</v>
      </c>
      <c r="S5634" s="4">
        <v>24</v>
      </c>
      <c r="T5634" s="4">
        <v>24</v>
      </c>
      <c r="U5634" s="5" t="s">
        <v>15736</v>
      </c>
      <c r="V5634" s="5" t="s">
        <v>15736</v>
      </c>
      <c r="W5634" s="5" t="s">
        <v>67</v>
      </c>
      <c r="X5634" s="5" t="s">
        <v>67</v>
      </c>
      <c r="Y5634" s="4">
        <v>490</v>
      </c>
      <c r="Z5634" s="4">
        <v>34</v>
      </c>
      <c r="AA5634" s="4">
        <v>37</v>
      </c>
      <c r="AB5634" s="4">
        <v>3</v>
      </c>
      <c r="AC5634" s="4">
        <v>5</v>
      </c>
      <c r="AD5634" s="4">
        <v>123</v>
      </c>
      <c r="AE5634" s="4">
        <v>126</v>
      </c>
      <c r="AF5634" s="4">
        <v>2</v>
      </c>
      <c r="AG5634" s="4">
        <v>4</v>
      </c>
      <c r="AH5634" s="4">
        <v>105</v>
      </c>
      <c r="AI5634" s="4">
        <v>105</v>
      </c>
      <c r="AJ5634" s="4">
        <v>19</v>
      </c>
      <c r="AK5634" s="4">
        <v>22</v>
      </c>
      <c r="AL5634" s="4">
        <v>57</v>
      </c>
      <c r="AM5634" s="4">
        <v>57</v>
      </c>
      <c r="AN5634" s="4">
        <v>0</v>
      </c>
      <c r="AO5634" s="4">
        <v>0</v>
      </c>
      <c r="AP5634" s="4">
        <v>28</v>
      </c>
      <c r="AQ5634" s="4">
        <v>30</v>
      </c>
      <c r="AR5634" s="3" t="s">
        <v>62</v>
      </c>
      <c r="AS5634" s="3" t="s">
        <v>62</v>
      </c>
      <c r="AT5634" s="3" t="s">
        <v>61</v>
      </c>
      <c r="AU5634" s="6" t="str">
        <f>HYPERLINK("http://catalog.hathitrust.org/Record/000294957","HathiTrust Record")</f>
        <v>HathiTrust Record</v>
      </c>
      <c r="AV5634" s="6" t="str">
        <f>HYPERLINK("http://mcgill.on.worldcat.org/oclc/3205031","Catalog Record")</f>
        <v>Catalog Record</v>
      </c>
      <c r="AW5634" s="6" t="str">
        <f>HYPERLINK("http://www.worldcat.org/oclc/3205031","WorldCat Record")</f>
        <v>WorldCat Record</v>
      </c>
      <c r="AX5634" s="3" t="s">
        <v>54082</v>
      </c>
      <c r="AY5634" s="3" t="s">
        <v>54083</v>
      </c>
      <c r="AZ5634" s="3" t="s">
        <v>54084</v>
      </c>
      <c r="BA5634" s="3" t="s">
        <v>54084</v>
      </c>
      <c r="BB5634" s="3" t="s">
        <v>54085</v>
      </c>
      <c r="BC5634" s="3" t="s">
        <v>142</v>
      </c>
      <c r="BD5634" s="3" t="s">
        <v>68</v>
      </c>
      <c r="BE5634" s="3" t="s">
        <v>54086</v>
      </c>
      <c r="BF5634" s="3" t="s">
        <v>54085</v>
      </c>
      <c r="BG5634" s="3" t="s">
        <v>54087</v>
      </c>
    </row>
    <row r="5635" spans="1:59" ht="57" x14ac:dyDescent="0.45">
      <c r="A5635" s="2" t="s">
        <v>59</v>
      </c>
      <c r="B5635" s="2" t="s">
        <v>60</v>
      </c>
      <c r="C5635" s="2" t="s">
        <v>54088</v>
      </c>
      <c r="D5635" s="2" t="s">
        <v>54089</v>
      </c>
      <c r="E5635" s="2" t="s">
        <v>54090</v>
      </c>
      <c r="G5635" s="3" t="s">
        <v>62</v>
      </c>
      <c r="I5635" s="3" t="s">
        <v>62</v>
      </c>
      <c r="J5635" s="3" t="s">
        <v>62</v>
      </c>
      <c r="K5635" s="3" t="s">
        <v>63</v>
      </c>
      <c r="M5635" s="2" t="s">
        <v>3026</v>
      </c>
      <c r="N5635" s="3" t="s">
        <v>1155</v>
      </c>
      <c r="P5635" s="3" t="s">
        <v>65</v>
      </c>
      <c r="Q5635" s="2" t="s">
        <v>54091</v>
      </c>
      <c r="R5635" s="3" t="s">
        <v>66</v>
      </c>
      <c r="S5635" s="4">
        <v>0</v>
      </c>
      <c r="T5635" s="4">
        <v>0</v>
      </c>
      <c r="W5635" s="5" t="s">
        <v>67</v>
      </c>
      <c r="X5635" s="5" t="s">
        <v>67</v>
      </c>
      <c r="Y5635" s="4">
        <v>99</v>
      </c>
      <c r="Z5635" s="4">
        <v>12</v>
      </c>
      <c r="AA5635" s="4">
        <v>77</v>
      </c>
      <c r="AB5635" s="4">
        <v>1</v>
      </c>
      <c r="AC5635" s="4">
        <v>14</v>
      </c>
      <c r="AD5635" s="4">
        <v>44</v>
      </c>
      <c r="AE5635" s="4">
        <v>106</v>
      </c>
      <c r="AF5635" s="4">
        <v>0</v>
      </c>
      <c r="AG5635" s="4">
        <v>8</v>
      </c>
      <c r="AH5635" s="4">
        <v>40</v>
      </c>
      <c r="AI5635" s="4">
        <v>76</v>
      </c>
      <c r="AJ5635" s="4">
        <v>9</v>
      </c>
      <c r="AK5635" s="4">
        <v>21</v>
      </c>
      <c r="AL5635" s="4">
        <v>27</v>
      </c>
      <c r="AM5635" s="4">
        <v>43</v>
      </c>
      <c r="AN5635" s="4">
        <v>0</v>
      </c>
      <c r="AO5635" s="4">
        <v>0</v>
      </c>
      <c r="AP5635" s="4">
        <v>10</v>
      </c>
      <c r="AQ5635" s="4">
        <v>40</v>
      </c>
      <c r="AR5635" s="3" t="s">
        <v>62</v>
      </c>
      <c r="AS5635" s="3" t="s">
        <v>62</v>
      </c>
      <c r="AT5635" s="3" t="s">
        <v>62</v>
      </c>
      <c r="AV5635" s="6" t="str">
        <f>HYPERLINK("http://mcgill.on.worldcat.org/oclc/793221765","Catalog Record")</f>
        <v>Catalog Record</v>
      </c>
      <c r="AW5635" s="6" t="str">
        <f>HYPERLINK("http://www.worldcat.org/oclc/793221765","WorldCat Record")</f>
        <v>WorldCat Record</v>
      </c>
      <c r="AX5635" s="3" t="s">
        <v>54092</v>
      </c>
      <c r="AY5635" s="3" t="s">
        <v>54093</v>
      </c>
      <c r="AZ5635" s="3" t="s">
        <v>54094</v>
      </c>
      <c r="BA5635" s="3" t="s">
        <v>54094</v>
      </c>
      <c r="BB5635" s="3" t="s">
        <v>54095</v>
      </c>
      <c r="BC5635" s="3" t="s">
        <v>142</v>
      </c>
      <c r="BD5635" s="3" t="s">
        <v>68</v>
      </c>
      <c r="BE5635" s="3" t="s">
        <v>54096</v>
      </c>
      <c r="BF5635" s="3" t="s">
        <v>54095</v>
      </c>
      <c r="BG5635" s="3" t="s">
        <v>54097</v>
      </c>
    </row>
    <row r="5636" spans="1:59" ht="57" x14ac:dyDescent="0.45">
      <c r="A5636" s="2" t="s">
        <v>59</v>
      </c>
      <c r="B5636" s="2" t="s">
        <v>60</v>
      </c>
      <c r="C5636" s="2" t="s">
        <v>54098</v>
      </c>
      <c r="D5636" s="2" t="s">
        <v>54099</v>
      </c>
      <c r="E5636" s="2" t="s">
        <v>54100</v>
      </c>
      <c r="G5636" s="3" t="s">
        <v>62</v>
      </c>
      <c r="I5636" s="3" t="s">
        <v>62</v>
      </c>
      <c r="J5636" s="3" t="s">
        <v>62</v>
      </c>
      <c r="K5636" s="3" t="s">
        <v>63</v>
      </c>
      <c r="L5636" s="2" t="s">
        <v>49391</v>
      </c>
      <c r="M5636" s="2" t="s">
        <v>54101</v>
      </c>
      <c r="N5636" s="3" t="s">
        <v>542</v>
      </c>
      <c r="P5636" s="3" t="s">
        <v>65</v>
      </c>
      <c r="R5636" s="3" t="s">
        <v>66</v>
      </c>
      <c r="S5636" s="4">
        <v>19</v>
      </c>
      <c r="T5636" s="4">
        <v>19</v>
      </c>
      <c r="U5636" s="5" t="s">
        <v>4708</v>
      </c>
      <c r="V5636" s="5" t="s">
        <v>4708</v>
      </c>
      <c r="W5636" s="5" t="s">
        <v>67</v>
      </c>
      <c r="X5636" s="5" t="s">
        <v>67</v>
      </c>
      <c r="Y5636" s="4">
        <v>6</v>
      </c>
      <c r="Z5636" s="4">
        <v>3</v>
      </c>
      <c r="AA5636" s="4">
        <v>18</v>
      </c>
      <c r="AB5636" s="4">
        <v>2</v>
      </c>
      <c r="AC5636" s="4">
        <v>3</v>
      </c>
      <c r="AD5636" s="4">
        <v>2</v>
      </c>
      <c r="AE5636" s="4">
        <v>96</v>
      </c>
      <c r="AF5636" s="4">
        <v>0</v>
      </c>
      <c r="AG5636" s="4">
        <v>1</v>
      </c>
      <c r="AH5636" s="4">
        <v>1</v>
      </c>
      <c r="AI5636" s="4">
        <v>87</v>
      </c>
      <c r="AJ5636" s="4">
        <v>1</v>
      </c>
      <c r="AK5636" s="4">
        <v>12</v>
      </c>
      <c r="AL5636" s="4">
        <v>1</v>
      </c>
      <c r="AM5636" s="4">
        <v>56</v>
      </c>
      <c r="AN5636" s="4">
        <v>0</v>
      </c>
      <c r="AO5636" s="4">
        <v>0</v>
      </c>
      <c r="AP5636" s="4">
        <v>1</v>
      </c>
      <c r="AQ5636" s="4">
        <v>15</v>
      </c>
      <c r="AR5636" s="3" t="s">
        <v>62</v>
      </c>
      <c r="AS5636" s="3" t="s">
        <v>62</v>
      </c>
      <c r="AT5636" s="3" t="s">
        <v>62</v>
      </c>
      <c r="AV5636" s="6" t="str">
        <f>HYPERLINK("http://mcgill.on.worldcat.org/oclc/428073922","Catalog Record")</f>
        <v>Catalog Record</v>
      </c>
      <c r="AW5636" s="6" t="str">
        <f>HYPERLINK("http://www.worldcat.org/oclc/428073922","WorldCat Record")</f>
        <v>WorldCat Record</v>
      </c>
      <c r="AX5636" s="3" t="s">
        <v>54102</v>
      </c>
      <c r="AY5636" s="3" t="s">
        <v>54103</v>
      </c>
      <c r="AZ5636" s="3" t="s">
        <v>54104</v>
      </c>
      <c r="BA5636" s="3" t="s">
        <v>54104</v>
      </c>
      <c r="BB5636" s="3" t="s">
        <v>54105</v>
      </c>
      <c r="BC5636" s="3" t="s">
        <v>142</v>
      </c>
      <c r="BD5636" s="3" t="s">
        <v>308</v>
      </c>
      <c r="BE5636" s="3" t="s">
        <v>54106</v>
      </c>
      <c r="BF5636" s="3" t="s">
        <v>54105</v>
      </c>
      <c r="BG5636" s="3" t="s">
        <v>54107</v>
      </c>
    </row>
    <row r="5637" spans="1:59" ht="57" x14ac:dyDescent="0.45">
      <c r="A5637" s="2" t="s">
        <v>59</v>
      </c>
      <c r="B5637" s="2" t="s">
        <v>60</v>
      </c>
      <c r="C5637" s="2" t="s">
        <v>54108</v>
      </c>
      <c r="D5637" s="2" t="s">
        <v>54109</v>
      </c>
      <c r="E5637" s="2" t="s">
        <v>54110</v>
      </c>
      <c r="G5637" s="3" t="s">
        <v>62</v>
      </c>
      <c r="I5637" s="3" t="s">
        <v>62</v>
      </c>
      <c r="J5637" s="3" t="s">
        <v>62</v>
      </c>
      <c r="K5637" s="3" t="s">
        <v>63</v>
      </c>
      <c r="L5637" s="2" t="s">
        <v>54111</v>
      </c>
      <c r="M5637" s="2" t="s">
        <v>54112</v>
      </c>
      <c r="N5637" s="3" t="s">
        <v>125</v>
      </c>
      <c r="P5637" s="3" t="s">
        <v>65</v>
      </c>
      <c r="Q5637" s="2" t="s">
        <v>54113</v>
      </c>
      <c r="R5637" s="3" t="s">
        <v>66</v>
      </c>
      <c r="S5637" s="4">
        <v>8</v>
      </c>
      <c r="T5637" s="4">
        <v>8</v>
      </c>
      <c r="U5637" s="5" t="s">
        <v>4131</v>
      </c>
      <c r="V5637" s="5" t="s">
        <v>4131</v>
      </c>
      <c r="W5637" s="5" t="s">
        <v>67</v>
      </c>
      <c r="X5637" s="5" t="s">
        <v>67</v>
      </c>
      <c r="Y5637" s="4">
        <v>248</v>
      </c>
      <c r="Z5637" s="4">
        <v>18</v>
      </c>
      <c r="AA5637" s="4">
        <v>19</v>
      </c>
      <c r="AB5637" s="4">
        <v>1</v>
      </c>
      <c r="AC5637" s="4">
        <v>2</v>
      </c>
      <c r="AD5637" s="4">
        <v>107</v>
      </c>
      <c r="AE5637" s="4">
        <v>108</v>
      </c>
      <c r="AF5637" s="4">
        <v>0</v>
      </c>
      <c r="AG5637" s="4">
        <v>1</v>
      </c>
      <c r="AH5637" s="4">
        <v>99</v>
      </c>
      <c r="AI5637" s="4">
        <v>99</v>
      </c>
      <c r="AJ5637" s="4">
        <v>15</v>
      </c>
      <c r="AK5637" s="4">
        <v>16</v>
      </c>
      <c r="AL5637" s="4">
        <v>56</v>
      </c>
      <c r="AM5637" s="4">
        <v>56</v>
      </c>
      <c r="AN5637" s="4">
        <v>0</v>
      </c>
      <c r="AO5637" s="4">
        <v>0</v>
      </c>
      <c r="AP5637" s="4">
        <v>16</v>
      </c>
      <c r="AQ5637" s="4">
        <v>16</v>
      </c>
      <c r="AR5637" s="3" t="s">
        <v>62</v>
      </c>
      <c r="AS5637" s="3" t="s">
        <v>62</v>
      </c>
      <c r="AT5637" s="3" t="s">
        <v>62</v>
      </c>
      <c r="AV5637" s="6" t="str">
        <f>HYPERLINK("http://mcgill.on.worldcat.org/oclc/20628305","Catalog Record")</f>
        <v>Catalog Record</v>
      </c>
      <c r="AW5637" s="6" t="str">
        <f>HYPERLINK("http://www.worldcat.org/oclc/20628305","WorldCat Record")</f>
        <v>WorldCat Record</v>
      </c>
      <c r="AX5637" s="3" t="s">
        <v>54114</v>
      </c>
      <c r="AY5637" s="3" t="s">
        <v>54115</v>
      </c>
      <c r="AZ5637" s="3" t="s">
        <v>54116</v>
      </c>
      <c r="BA5637" s="3" t="s">
        <v>54116</v>
      </c>
      <c r="BB5637" s="3" t="s">
        <v>54117</v>
      </c>
      <c r="BC5637" s="3" t="s">
        <v>142</v>
      </c>
      <c r="BD5637" s="3" t="s">
        <v>68</v>
      </c>
      <c r="BE5637" s="3" t="s">
        <v>54118</v>
      </c>
      <c r="BF5637" s="3" t="s">
        <v>54117</v>
      </c>
      <c r="BG5637" s="3" t="s">
        <v>54119</v>
      </c>
    </row>
    <row r="5638" spans="1:59" ht="57" x14ac:dyDescent="0.45">
      <c r="A5638" s="2" t="s">
        <v>59</v>
      </c>
      <c r="B5638" s="2" t="s">
        <v>60</v>
      </c>
      <c r="C5638" s="2" t="s">
        <v>54120</v>
      </c>
      <c r="D5638" s="2" t="s">
        <v>54121</v>
      </c>
      <c r="E5638" s="2" t="s">
        <v>54122</v>
      </c>
      <c r="G5638" s="3" t="s">
        <v>62</v>
      </c>
      <c r="I5638" s="3" t="s">
        <v>62</v>
      </c>
      <c r="J5638" s="3" t="s">
        <v>62</v>
      </c>
      <c r="K5638" s="3" t="s">
        <v>63</v>
      </c>
      <c r="L5638" s="2" t="s">
        <v>54123</v>
      </c>
      <c r="M5638" s="2" t="s">
        <v>53781</v>
      </c>
      <c r="N5638" s="3" t="s">
        <v>1918</v>
      </c>
      <c r="P5638" s="3" t="s">
        <v>65</v>
      </c>
      <c r="Q5638" s="2" t="s">
        <v>54124</v>
      </c>
      <c r="R5638" s="3" t="s">
        <v>66</v>
      </c>
      <c r="S5638" s="4">
        <v>0</v>
      </c>
      <c r="T5638" s="4">
        <v>0</v>
      </c>
      <c r="W5638" s="5" t="s">
        <v>67</v>
      </c>
      <c r="X5638" s="5" t="s">
        <v>67</v>
      </c>
      <c r="Y5638" s="4">
        <v>39</v>
      </c>
      <c r="Z5638" s="4">
        <v>2</v>
      </c>
      <c r="AA5638" s="4">
        <v>72</v>
      </c>
      <c r="AB5638" s="4">
        <v>1</v>
      </c>
      <c r="AC5638" s="4">
        <v>14</v>
      </c>
      <c r="AD5638" s="4">
        <v>23</v>
      </c>
      <c r="AE5638" s="4">
        <v>105</v>
      </c>
      <c r="AF5638" s="4">
        <v>0</v>
      </c>
      <c r="AG5638" s="4">
        <v>8</v>
      </c>
      <c r="AH5638" s="4">
        <v>22</v>
      </c>
      <c r="AI5638" s="4">
        <v>72</v>
      </c>
      <c r="AJ5638" s="4">
        <v>1</v>
      </c>
      <c r="AK5638" s="4">
        <v>20</v>
      </c>
      <c r="AL5638" s="4">
        <v>18</v>
      </c>
      <c r="AM5638" s="4">
        <v>38</v>
      </c>
      <c r="AN5638" s="4">
        <v>0</v>
      </c>
      <c r="AO5638" s="4">
        <v>0</v>
      </c>
      <c r="AP5638" s="4">
        <v>1</v>
      </c>
      <c r="AQ5638" s="4">
        <v>39</v>
      </c>
      <c r="AR5638" s="3" t="s">
        <v>62</v>
      </c>
      <c r="AS5638" s="3" t="s">
        <v>62</v>
      </c>
      <c r="AT5638" s="3" t="s">
        <v>62</v>
      </c>
      <c r="AV5638" s="6" t="str">
        <f>HYPERLINK("http://mcgill.on.worldcat.org/oclc/958782166","Catalog Record")</f>
        <v>Catalog Record</v>
      </c>
      <c r="AW5638" s="6" t="str">
        <f>HYPERLINK("http://www.worldcat.org/oclc/958782166","WorldCat Record")</f>
        <v>WorldCat Record</v>
      </c>
      <c r="AX5638" s="3" t="s">
        <v>54125</v>
      </c>
      <c r="AY5638" s="3" t="s">
        <v>54126</v>
      </c>
      <c r="AZ5638" s="3" t="s">
        <v>54127</v>
      </c>
      <c r="BA5638" s="3" t="s">
        <v>54127</v>
      </c>
      <c r="BB5638" s="3" t="s">
        <v>54128</v>
      </c>
      <c r="BC5638" s="3" t="s">
        <v>142</v>
      </c>
      <c r="BD5638" s="3" t="s">
        <v>68</v>
      </c>
      <c r="BE5638" s="3" t="s">
        <v>54129</v>
      </c>
      <c r="BF5638" s="3" t="s">
        <v>54128</v>
      </c>
      <c r="BG5638" s="3" t="s">
        <v>54130</v>
      </c>
    </row>
    <row r="5639" spans="1:59" ht="57" x14ac:dyDescent="0.45">
      <c r="A5639" s="2" t="s">
        <v>59</v>
      </c>
      <c r="B5639" s="2" t="s">
        <v>60</v>
      </c>
      <c r="C5639" s="2" t="s">
        <v>54131</v>
      </c>
      <c r="D5639" s="2" t="s">
        <v>54132</v>
      </c>
      <c r="E5639" s="2" t="s">
        <v>54133</v>
      </c>
      <c r="G5639" s="3" t="s">
        <v>62</v>
      </c>
      <c r="I5639" s="3" t="s">
        <v>62</v>
      </c>
      <c r="J5639" s="3" t="s">
        <v>62</v>
      </c>
      <c r="K5639" s="3" t="s">
        <v>63</v>
      </c>
      <c r="L5639" s="2" t="s">
        <v>54134</v>
      </c>
      <c r="M5639" s="2" t="s">
        <v>21252</v>
      </c>
      <c r="N5639" s="3" t="s">
        <v>1155</v>
      </c>
      <c r="P5639" s="3" t="s">
        <v>65</v>
      </c>
      <c r="Q5639" s="2" t="s">
        <v>21253</v>
      </c>
      <c r="R5639" s="3" t="s">
        <v>66</v>
      </c>
      <c r="S5639" s="4">
        <v>4</v>
      </c>
      <c r="T5639" s="4">
        <v>4</v>
      </c>
      <c r="U5639" s="5" t="s">
        <v>36512</v>
      </c>
      <c r="V5639" s="5" t="s">
        <v>36512</v>
      </c>
      <c r="W5639" s="5" t="s">
        <v>67</v>
      </c>
      <c r="X5639" s="5" t="s">
        <v>67</v>
      </c>
      <c r="Y5639" s="4">
        <v>165</v>
      </c>
      <c r="Z5639" s="4">
        <v>15</v>
      </c>
      <c r="AA5639" s="4">
        <v>25</v>
      </c>
      <c r="AB5639" s="4">
        <v>1</v>
      </c>
      <c r="AC5639" s="4">
        <v>5</v>
      </c>
      <c r="AD5639" s="4">
        <v>68</v>
      </c>
      <c r="AE5639" s="4">
        <v>80</v>
      </c>
      <c r="AF5639" s="4">
        <v>0</v>
      </c>
      <c r="AG5639" s="4">
        <v>1</v>
      </c>
      <c r="AH5639" s="4">
        <v>63</v>
      </c>
      <c r="AI5639" s="4">
        <v>69</v>
      </c>
      <c r="AJ5639" s="4">
        <v>13</v>
      </c>
      <c r="AK5639" s="4">
        <v>16</v>
      </c>
      <c r="AL5639" s="4">
        <v>33</v>
      </c>
      <c r="AM5639" s="4">
        <v>36</v>
      </c>
      <c r="AN5639" s="4">
        <v>0</v>
      </c>
      <c r="AO5639" s="4">
        <v>0</v>
      </c>
      <c r="AP5639" s="4">
        <v>14</v>
      </c>
      <c r="AQ5639" s="4">
        <v>21</v>
      </c>
      <c r="AR5639" s="3" t="s">
        <v>62</v>
      </c>
      <c r="AS5639" s="3" t="s">
        <v>62</v>
      </c>
      <c r="AT5639" s="3" t="s">
        <v>62</v>
      </c>
      <c r="AV5639" s="6" t="str">
        <f>HYPERLINK("http://mcgill.on.worldcat.org/oclc/778267193","Catalog Record")</f>
        <v>Catalog Record</v>
      </c>
      <c r="AW5639" s="6" t="str">
        <f>HYPERLINK("http://www.worldcat.org/oclc/778267193","WorldCat Record")</f>
        <v>WorldCat Record</v>
      </c>
      <c r="AX5639" s="3" t="s">
        <v>54135</v>
      </c>
      <c r="AY5639" s="3" t="s">
        <v>54136</v>
      </c>
      <c r="AZ5639" s="3" t="s">
        <v>54137</v>
      </c>
      <c r="BA5639" s="3" t="s">
        <v>54137</v>
      </c>
      <c r="BB5639" s="3" t="s">
        <v>54138</v>
      </c>
      <c r="BC5639" s="3" t="s">
        <v>142</v>
      </c>
      <c r="BD5639" s="3" t="s">
        <v>68</v>
      </c>
      <c r="BE5639" s="3" t="s">
        <v>54139</v>
      </c>
      <c r="BF5639" s="3" t="s">
        <v>54138</v>
      </c>
      <c r="BG5639" s="3" t="s">
        <v>54140</v>
      </c>
    </row>
    <row r="5640" spans="1:59" ht="57" x14ac:dyDescent="0.45">
      <c r="A5640" s="2" t="s">
        <v>59</v>
      </c>
      <c r="B5640" s="2" t="s">
        <v>60</v>
      </c>
      <c r="C5640" s="2" t="s">
        <v>54141</v>
      </c>
      <c r="D5640" s="2" t="s">
        <v>54142</v>
      </c>
      <c r="E5640" s="2" t="s">
        <v>54143</v>
      </c>
      <c r="G5640" s="3" t="s">
        <v>62</v>
      </c>
      <c r="I5640" s="3" t="s">
        <v>62</v>
      </c>
      <c r="J5640" s="3" t="s">
        <v>62</v>
      </c>
      <c r="K5640" s="3" t="s">
        <v>63</v>
      </c>
      <c r="M5640" s="2" t="s">
        <v>54144</v>
      </c>
      <c r="N5640" s="3" t="s">
        <v>970</v>
      </c>
      <c r="P5640" s="3" t="s">
        <v>65</v>
      </c>
      <c r="Q5640" s="2" t="s">
        <v>54145</v>
      </c>
      <c r="R5640" s="3" t="s">
        <v>66</v>
      </c>
      <c r="S5640" s="4">
        <v>7</v>
      </c>
      <c r="T5640" s="4">
        <v>7</v>
      </c>
      <c r="U5640" s="5" t="s">
        <v>17898</v>
      </c>
      <c r="V5640" s="5" t="s">
        <v>17898</v>
      </c>
      <c r="W5640" s="5" t="s">
        <v>67</v>
      </c>
      <c r="X5640" s="5" t="s">
        <v>67</v>
      </c>
      <c r="Y5640" s="4">
        <v>105</v>
      </c>
      <c r="Z5640" s="4">
        <v>6</v>
      </c>
      <c r="AA5640" s="4">
        <v>99</v>
      </c>
      <c r="AB5640" s="4">
        <v>1</v>
      </c>
      <c r="AC5640" s="4">
        <v>17</v>
      </c>
      <c r="AD5640" s="4">
        <v>41</v>
      </c>
      <c r="AE5640" s="4">
        <v>112</v>
      </c>
      <c r="AF5640" s="4">
        <v>0</v>
      </c>
      <c r="AG5640" s="4">
        <v>8</v>
      </c>
      <c r="AH5640" s="4">
        <v>37</v>
      </c>
      <c r="AI5640" s="4">
        <v>77</v>
      </c>
      <c r="AJ5640" s="4">
        <v>4</v>
      </c>
      <c r="AK5640" s="4">
        <v>20</v>
      </c>
      <c r="AL5640" s="4">
        <v>26</v>
      </c>
      <c r="AM5640" s="4">
        <v>40</v>
      </c>
      <c r="AN5640" s="4">
        <v>0</v>
      </c>
      <c r="AO5640" s="4">
        <v>0</v>
      </c>
      <c r="AP5640" s="4">
        <v>4</v>
      </c>
      <c r="AQ5640" s="4">
        <v>41</v>
      </c>
      <c r="AR5640" s="3" t="s">
        <v>62</v>
      </c>
      <c r="AS5640" s="3" t="s">
        <v>62</v>
      </c>
      <c r="AT5640" s="3" t="s">
        <v>62</v>
      </c>
      <c r="AV5640" s="6" t="str">
        <f>HYPERLINK("http://mcgill.on.worldcat.org/oclc/50560568","Catalog Record")</f>
        <v>Catalog Record</v>
      </c>
      <c r="AW5640" s="6" t="str">
        <f>HYPERLINK("http://www.worldcat.org/oclc/50560568","WorldCat Record")</f>
        <v>WorldCat Record</v>
      </c>
      <c r="AX5640" s="3" t="s">
        <v>54146</v>
      </c>
      <c r="AY5640" s="3" t="s">
        <v>54147</v>
      </c>
      <c r="AZ5640" s="3" t="s">
        <v>54148</v>
      </c>
      <c r="BA5640" s="3" t="s">
        <v>54148</v>
      </c>
      <c r="BB5640" s="3" t="s">
        <v>54149</v>
      </c>
      <c r="BC5640" s="3" t="s">
        <v>142</v>
      </c>
      <c r="BD5640" s="3" t="s">
        <v>68</v>
      </c>
      <c r="BE5640" s="3" t="s">
        <v>54150</v>
      </c>
      <c r="BF5640" s="3" t="s">
        <v>54149</v>
      </c>
      <c r="BG5640" s="3" t="s">
        <v>54151</v>
      </c>
    </row>
    <row r="5641" spans="1:59" ht="57" x14ac:dyDescent="0.45">
      <c r="A5641" s="2" t="s">
        <v>59</v>
      </c>
      <c r="B5641" s="2" t="s">
        <v>60</v>
      </c>
      <c r="C5641" s="2" t="s">
        <v>54152</v>
      </c>
      <c r="D5641" s="2" t="s">
        <v>54153</v>
      </c>
      <c r="E5641" s="2" t="s">
        <v>54154</v>
      </c>
      <c r="G5641" s="3" t="s">
        <v>62</v>
      </c>
      <c r="I5641" s="3" t="s">
        <v>62</v>
      </c>
      <c r="J5641" s="3" t="s">
        <v>62</v>
      </c>
      <c r="K5641" s="3" t="s">
        <v>63</v>
      </c>
      <c r="M5641" s="2" t="s">
        <v>43202</v>
      </c>
      <c r="N5641" s="3" t="s">
        <v>1155</v>
      </c>
      <c r="P5641" s="3" t="s">
        <v>65</v>
      </c>
      <c r="Q5641" s="2" t="s">
        <v>54155</v>
      </c>
      <c r="R5641" s="3" t="s">
        <v>66</v>
      </c>
      <c r="S5641" s="4">
        <v>2</v>
      </c>
      <c r="T5641" s="4">
        <v>2</v>
      </c>
      <c r="U5641" s="5" t="s">
        <v>14111</v>
      </c>
      <c r="V5641" s="5" t="s">
        <v>14111</v>
      </c>
      <c r="W5641" s="5" t="s">
        <v>67</v>
      </c>
      <c r="X5641" s="5" t="s">
        <v>67</v>
      </c>
      <c r="Y5641" s="4">
        <v>79</v>
      </c>
      <c r="Z5641" s="4">
        <v>10</v>
      </c>
      <c r="AA5641" s="4">
        <v>10</v>
      </c>
      <c r="AB5641" s="4">
        <v>1</v>
      </c>
      <c r="AC5641" s="4">
        <v>1</v>
      </c>
      <c r="AD5641" s="4">
        <v>35</v>
      </c>
      <c r="AE5641" s="4">
        <v>35</v>
      </c>
      <c r="AF5641" s="4">
        <v>0</v>
      </c>
      <c r="AG5641" s="4">
        <v>0</v>
      </c>
      <c r="AH5641" s="4">
        <v>33</v>
      </c>
      <c r="AI5641" s="4">
        <v>33</v>
      </c>
      <c r="AJ5641" s="4">
        <v>7</v>
      </c>
      <c r="AK5641" s="4">
        <v>7</v>
      </c>
      <c r="AL5641" s="4">
        <v>22</v>
      </c>
      <c r="AM5641" s="4">
        <v>22</v>
      </c>
      <c r="AN5641" s="4">
        <v>0</v>
      </c>
      <c r="AO5641" s="4">
        <v>0</v>
      </c>
      <c r="AP5641" s="4">
        <v>7</v>
      </c>
      <c r="AQ5641" s="4">
        <v>7</v>
      </c>
      <c r="AR5641" s="3" t="s">
        <v>62</v>
      </c>
      <c r="AS5641" s="3" t="s">
        <v>62</v>
      </c>
      <c r="AT5641" s="3" t="s">
        <v>62</v>
      </c>
      <c r="AV5641" s="6" t="str">
        <f>HYPERLINK("http://mcgill.on.worldcat.org/oclc/794177128","Catalog Record")</f>
        <v>Catalog Record</v>
      </c>
      <c r="AW5641" s="6" t="str">
        <f>HYPERLINK("http://www.worldcat.org/oclc/794177128","WorldCat Record")</f>
        <v>WorldCat Record</v>
      </c>
      <c r="AX5641" s="3" t="s">
        <v>54156</v>
      </c>
      <c r="AY5641" s="3" t="s">
        <v>54157</v>
      </c>
      <c r="AZ5641" s="3" t="s">
        <v>54158</v>
      </c>
      <c r="BA5641" s="3" t="s">
        <v>54158</v>
      </c>
      <c r="BB5641" s="3" t="s">
        <v>54159</v>
      </c>
      <c r="BC5641" s="3" t="s">
        <v>142</v>
      </c>
      <c r="BD5641" s="3" t="s">
        <v>68</v>
      </c>
      <c r="BE5641" s="3" t="s">
        <v>54160</v>
      </c>
      <c r="BF5641" s="3" t="s">
        <v>54159</v>
      </c>
      <c r="BG5641" s="3" t="s">
        <v>54161</v>
      </c>
    </row>
    <row r="5642" spans="1:59" ht="57" x14ac:dyDescent="0.45">
      <c r="A5642" s="2" t="s">
        <v>59</v>
      </c>
      <c r="B5642" s="2" t="s">
        <v>60</v>
      </c>
      <c r="C5642" s="2" t="s">
        <v>54162</v>
      </c>
      <c r="D5642" s="2" t="s">
        <v>54163</v>
      </c>
      <c r="E5642" s="2" t="s">
        <v>54164</v>
      </c>
      <c r="G5642" s="3" t="s">
        <v>62</v>
      </c>
      <c r="I5642" s="3" t="s">
        <v>62</v>
      </c>
      <c r="J5642" s="3" t="s">
        <v>62</v>
      </c>
      <c r="K5642" s="3" t="s">
        <v>63</v>
      </c>
      <c r="L5642" s="2" t="s">
        <v>54165</v>
      </c>
      <c r="M5642" s="2" t="s">
        <v>21252</v>
      </c>
      <c r="N5642" s="3" t="s">
        <v>1155</v>
      </c>
      <c r="P5642" s="3" t="s">
        <v>65</v>
      </c>
      <c r="R5642" s="3" t="s">
        <v>66</v>
      </c>
      <c r="S5642" s="4">
        <v>0</v>
      </c>
      <c r="T5642" s="4">
        <v>0</v>
      </c>
      <c r="W5642" s="5" t="s">
        <v>67</v>
      </c>
      <c r="X5642" s="5" t="s">
        <v>67</v>
      </c>
      <c r="Y5642" s="4">
        <v>98</v>
      </c>
      <c r="Z5642" s="4">
        <v>10</v>
      </c>
      <c r="AA5642" s="4">
        <v>24</v>
      </c>
      <c r="AB5642" s="4">
        <v>1</v>
      </c>
      <c r="AC5642" s="4">
        <v>6</v>
      </c>
      <c r="AD5642" s="4">
        <v>50</v>
      </c>
      <c r="AE5642" s="4">
        <v>67</v>
      </c>
      <c r="AF5642" s="4">
        <v>0</v>
      </c>
      <c r="AG5642" s="4">
        <v>2</v>
      </c>
      <c r="AH5642" s="4">
        <v>46</v>
      </c>
      <c r="AI5642" s="4">
        <v>56</v>
      </c>
      <c r="AJ5642" s="4">
        <v>8</v>
      </c>
      <c r="AK5642" s="4">
        <v>14</v>
      </c>
      <c r="AL5642" s="4">
        <v>32</v>
      </c>
      <c r="AM5642" s="4">
        <v>34</v>
      </c>
      <c r="AN5642" s="4">
        <v>0</v>
      </c>
      <c r="AO5642" s="4">
        <v>0</v>
      </c>
      <c r="AP5642" s="4">
        <v>9</v>
      </c>
      <c r="AQ5642" s="4">
        <v>20</v>
      </c>
      <c r="AR5642" s="3" t="s">
        <v>62</v>
      </c>
      <c r="AS5642" s="3" t="s">
        <v>62</v>
      </c>
      <c r="AT5642" s="3" t="s">
        <v>62</v>
      </c>
      <c r="AV5642" s="6" t="str">
        <f>HYPERLINK("http://mcgill.on.worldcat.org/oclc/781497201","Catalog Record")</f>
        <v>Catalog Record</v>
      </c>
      <c r="AW5642" s="6" t="str">
        <f>HYPERLINK("http://www.worldcat.org/oclc/781497201","WorldCat Record")</f>
        <v>WorldCat Record</v>
      </c>
      <c r="AX5642" s="3" t="s">
        <v>54166</v>
      </c>
      <c r="AY5642" s="3" t="s">
        <v>54167</v>
      </c>
      <c r="AZ5642" s="3" t="s">
        <v>54168</v>
      </c>
      <c r="BA5642" s="3" t="s">
        <v>54168</v>
      </c>
      <c r="BB5642" s="3" t="s">
        <v>54169</v>
      </c>
      <c r="BC5642" s="3" t="s">
        <v>142</v>
      </c>
      <c r="BD5642" s="3" t="s">
        <v>68</v>
      </c>
      <c r="BE5642" s="3" t="s">
        <v>54170</v>
      </c>
      <c r="BF5642" s="3" t="s">
        <v>54169</v>
      </c>
      <c r="BG5642" s="3" t="s">
        <v>54171</v>
      </c>
    </row>
    <row r="5643" spans="1:59" ht="57" x14ac:dyDescent="0.45">
      <c r="A5643" s="2" t="s">
        <v>59</v>
      </c>
      <c r="B5643" s="2" t="s">
        <v>60</v>
      </c>
      <c r="C5643" s="2" t="s">
        <v>54172</v>
      </c>
      <c r="D5643" s="2" t="s">
        <v>54173</v>
      </c>
      <c r="E5643" s="2" t="s">
        <v>54174</v>
      </c>
      <c r="G5643" s="3" t="s">
        <v>62</v>
      </c>
      <c r="I5643" s="3" t="s">
        <v>62</v>
      </c>
      <c r="J5643" s="3" t="s">
        <v>62</v>
      </c>
      <c r="K5643" s="3" t="s">
        <v>63</v>
      </c>
      <c r="L5643" s="2" t="s">
        <v>54175</v>
      </c>
      <c r="M5643" s="2" t="s">
        <v>3925</v>
      </c>
      <c r="N5643" s="3" t="s">
        <v>149</v>
      </c>
      <c r="P5643" s="3" t="s">
        <v>65</v>
      </c>
      <c r="Q5643" s="2" t="s">
        <v>54176</v>
      </c>
      <c r="R5643" s="3" t="s">
        <v>66</v>
      </c>
      <c r="S5643" s="4">
        <v>1</v>
      </c>
      <c r="T5643" s="4">
        <v>1</v>
      </c>
      <c r="U5643" s="5" t="s">
        <v>25040</v>
      </c>
      <c r="V5643" s="5" t="s">
        <v>25040</v>
      </c>
      <c r="W5643" s="5" t="s">
        <v>67</v>
      </c>
      <c r="X5643" s="5" t="s">
        <v>67</v>
      </c>
      <c r="Y5643" s="4">
        <v>74</v>
      </c>
      <c r="Z5643" s="4">
        <v>12</v>
      </c>
      <c r="AA5643" s="4">
        <v>97</v>
      </c>
      <c r="AB5643" s="4">
        <v>1</v>
      </c>
      <c r="AC5643" s="4">
        <v>17</v>
      </c>
      <c r="AD5643" s="4">
        <v>42</v>
      </c>
      <c r="AE5643" s="4">
        <v>113</v>
      </c>
      <c r="AF5643" s="4">
        <v>0</v>
      </c>
      <c r="AG5643" s="4">
        <v>8</v>
      </c>
      <c r="AH5643" s="4">
        <v>36</v>
      </c>
      <c r="AI5643" s="4">
        <v>76</v>
      </c>
      <c r="AJ5643" s="4">
        <v>9</v>
      </c>
      <c r="AK5643" s="4">
        <v>23</v>
      </c>
      <c r="AL5643" s="4">
        <v>24</v>
      </c>
      <c r="AM5643" s="4">
        <v>39</v>
      </c>
      <c r="AN5643" s="4">
        <v>0</v>
      </c>
      <c r="AO5643" s="4">
        <v>0</v>
      </c>
      <c r="AP5643" s="4">
        <v>10</v>
      </c>
      <c r="AQ5643" s="4">
        <v>44</v>
      </c>
      <c r="AR5643" s="3" t="s">
        <v>62</v>
      </c>
      <c r="AS5643" s="3" t="s">
        <v>62</v>
      </c>
      <c r="AT5643" s="3" t="s">
        <v>62</v>
      </c>
      <c r="AV5643" s="6" t="str">
        <f>HYPERLINK("http://mcgill.on.worldcat.org/oclc/461896708","Catalog Record")</f>
        <v>Catalog Record</v>
      </c>
      <c r="AW5643" s="6" t="str">
        <f>HYPERLINK("http://www.worldcat.org/oclc/461896708","WorldCat Record")</f>
        <v>WorldCat Record</v>
      </c>
      <c r="AX5643" s="3" t="s">
        <v>54177</v>
      </c>
      <c r="AY5643" s="3" t="s">
        <v>54178</v>
      </c>
      <c r="AZ5643" s="3" t="s">
        <v>54179</v>
      </c>
      <c r="BA5643" s="3" t="s">
        <v>54179</v>
      </c>
      <c r="BB5643" s="3" t="s">
        <v>54180</v>
      </c>
      <c r="BC5643" s="3" t="s">
        <v>142</v>
      </c>
      <c r="BD5643" s="3" t="s">
        <v>68</v>
      </c>
      <c r="BE5643" s="3" t="s">
        <v>54181</v>
      </c>
      <c r="BF5643" s="3" t="s">
        <v>54180</v>
      </c>
      <c r="BG5643" s="3" t="s">
        <v>54182</v>
      </c>
    </row>
    <row r="5644" spans="1:59" ht="57" x14ac:dyDescent="0.45">
      <c r="A5644" s="2" t="s">
        <v>59</v>
      </c>
      <c r="B5644" s="2" t="s">
        <v>60</v>
      </c>
      <c r="C5644" s="2" t="s">
        <v>54183</v>
      </c>
      <c r="D5644" s="2" t="s">
        <v>54184</v>
      </c>
      <c r="E5644" s="2" t="s">
        <v>54185</v>
      </c>
      <c r="G5644" s="3" t="s">
        <v>62</v>
      </c>
      <c r="I5644" s="3" t="s">
        <v>62</v>
      </c>
      <c r="J5644" s="3" t="s">
        <v>62</v>
      </c>
      <c r="K5644" s="3" t="s">
        <v>63</v>
      </c>
      <c r="L5644" s="2" t="s">
        <v>54186</v>
      </c>
      <c r="M5644" s="2" t="s">
        <v>10884</v>
      </c>
      <c r="N5644" s="3" t="s">
        <v>116</v>
      </c>
      <c r="O5644" s="2" t="s">
        <v>1748</v>
      </c>
      <c r="P5644" s="3" t="s">
        <v>65</v>
      </c>
      <c r="Q5644" s="2" t="s">
        <v>54187</v>
      </c>
      <c r="R5644" s="3" t="s">
        <v>66</v>
      </c>
      <c r="S5644" s="4">
        <v>3</v>
      </c>
      <c r="T5644" s="4">
        <v>3</v>
      </c>
      <c r="U5644" s="5" t="s">
        <v>54188</v>
      </c>
      <c r="V5644" s="5" t="s">
        <v>54188</v>
      </c>
      <c r="W5644" s="5" t="s">
        <v>67</v>
      </c>
      <c r="X5644" s="5" t="s">
        <v>67</v>
      </c>
      <c r="Y5644" s="4">
        <v>102</v>
      </c>
      <c r="Z5644" s="4">
        <v>11</v>
      </c>
      <c r="AA5644" s="4">
        <v>81</v>
      </c>
      <c r="AB5644" s="4">
        <v>1</v>
      </c>
      <c r="AC5644" s="4">
        <v>16</v>
      </c>
      <c r="AD5644" s="4">
        <v>53</v>
      </c>
      <c r="AE5644" s="4">
        <v>112</v>
      </c>
      <c r="AF5644" s="4">
        <v>0</v>
      </c>
      <c r="AG5644" s="4">
        <v>8</v>
      </c>
      <c r="AH5644" s="4">
        <v>47</v>
      </c>
      <c r="AI5644" s="4">
        <v>78</v>
      </c>
      <c r="AJ5644" s="4">
        <v>9</v>
      </c>
      <c r="AK5644" s="4">
        <v>22</v>
      </c>
      <c r="AL5644" s="4">
        <v>31</v>
      </c>
      <c r="AM5644" s="4">
        <v>42</v>
      </c>
      <c r="AN5644" s="4">
        <v>0</v>
      </c>
      <c r="AO5644" s="4">
        <v>0</v>
      </c>
      <c r="AP5644" s="4">
        <v>10</v>
      </c>
      <c r="AQ5644" s="4">
        <v>43</v>
      </c>
      <c r="AR5644" s="3" t="s">
        <v>62</v>
      </c>
      <c r="AS5644" s="3" t="s">
        <v>62</v>
      </c>
      <c r="AT5644" s="3" t="s">
        <v>62</v>
      </c>
      <c r="AV5644" s="6" t="str">
        <f>HYPERLINK("http://mcgill.on.worldcat.org/oclc/827841360","Catalog Record")</f>
        <v>Catalog Record</v>
      </c>
      <c r="AW5644" s="6" t="str">
        <f>HYPERLINK("http://www.worldcat.org/oclc/827841360","WorldCat Record")</f>
        <v>WorldCat Record</v>
      </c>
      <c r="AX5644" s="3" t="s">
        <v>54189</v>
      </c>
      <c r="AY5644" s="3" t="s">
        <v>54190</v>
      </c>
      <c r="AZ5644" s="3" t="s">
        <v>54191</v>
      </c>
      <c r="BA5644" s="3" t="s">
        <v>54191</v>
      </c>
      <c r="BB5644" s="3" t="s">
        <v>54192</v>
      </c>
      <c r="BC5644" s="3" t="s">
        <v>142</v>
      </c>
      <c r="BD5644" s="3" t="s">
        <v>308</v>
      </c>
      <c r="BE5644" s="3" t="s">
        <v>54193</v>
      </c>
      <c r="BF5644" s="3" t="s">
        <v>54192</v>
      </c>
      <c r="BG5644" s="3" t="s">
        <v>54194</v>
      </c>
    </row>
    <row r="5645" spans="1:59" ht="57" x14ac:dyDescent="0.45">
      <c r="A5645" s="2" t="s">
        <v>59</v>
      </c>
      <c r="B5645" s="2" t="s">
        <v>60</v>
      </c>
      <c r="C5645" s="2" t="s">
        <v>54195</v>
      </c>
      <c r="D5645" s="2" t="s">
        <v>54196</v>
      </c>
      <c r="E5645" s="2" t="s">
        <v>54197</v>
      </c>
      <c r="G5645" s="3" t="s">
        <v>62</v>
      </c>
      <c r="I5645" s="3" t="s">
        <v>62</v>
      </c>
      <c r="J5645" s="3" t="s">
        <v>62</v>
      </c>
      <c r="K5645" s="3" t="s">
        <v>63</v>
      </c>
      <c r="M5645" s="2" t="s">
        <v>54198</v>
      </c>
      <c r="N5645" s="3" t="s">
        <v>894</v>
      </c>
      <c r="P5645" s="3" t="s">
        <v>65</v>
      </c>
      <c r="Q5645" s="2" t="s">
        <v>54199</v>
      </c>
      <c r="R5645" s="3" t="s">
        <v>66</v>
      </c>
      <c r="S5645" s="4">
        <v>6</v>
      </c>
      <c r="T5645" s="4">
        <v>6</v>
      </c>
      <c r="U5645" s="5" t="s">
        <v>29124</v>
      </c>
      <c r="V5645" s="5" t="s">
        <v>29124</v>
      </c>
      <c r="W5645" s="5" t="s">
        <v>67</v>
      </c>
      <c r="X5645" s="5" t="s">
        <v>67</v>
      </c>
      <c r="Y5645" s="4">
        <v>69</v>
      </c>
      <c r="Z5645" s="4">
        <v>8</v>
      </c>
      <c r="AA5645" s="4">
        <v>87</v>
      </c>
      <c r="AB5645" s="4">
        <v>1</v>
      </c>
      <c r="AC5645" s="4">
        <v>17</v>
      </c>
      <c r="AD5645" s="4">
        <v>37</v>
      </c>
      <c r="AE5645" s="4">
        <v>112</v>
      </c>
      <c r="AF5645" s="4">
        <v>0</v>
      </c>
      <c r="AG5645" s="4">
        <v>8</v>
      </c>
      <c r="AH5645" s="4">
        <v>35</v>
      </c>
      <c r="AI5645" s="4">
        <v>78</v>
      </c>
      <c r="AJ5645" s="4">
        <v>6</v>
      </c>
      <c r="AK5645" s="4">
        <v>21</v>
      </c>
      <c r="AL5645" s="4">
        <v>23</v>
      </c>
      <c r="AM5645" s="4">
        <v>42</v>
      </c>
      <c r="AN5645" s="4">
        <v>0</v>
      </c>
      <c r="AO5645" s="4">
        <v>0</v>
      </c>
      <c r="AP5645" s="4">
        <v>6</v>
      </c>
      <c r="AQ5645" s="4">
        <v>42</v>
      </c>
      <c r="AR5645" s="3" t="s">
        <v>62</v>
      </c>
      <c r="AS5645" s="3" t="s">
        <v>62</v>
      </c>
      <c r="AT5645" s="3" t="s">
        <v>62</v>
      </c>
      <c r="AV5645" s="6" t="str">
        <f>HYPERLINK("http://mcgill.on.worldcat.org/oclc/747534629","Catalog Record")</f>
        <v>Catalog Record</v>
      </c>
      <c r="AW5645" s="6" t="str">
        <f>HYPERLINK("http://www.worldcat.org/oclc/747534629","WorldCat Record")</f>
        <v>WorldCat Record</v>
      </c>
      <c r="AX5645" s="3" t="s">
        <v>54200</v>
      </c>
      <c r="AY5645" s="3" t="s">
        <v>54201</v>
      </c>
      <c r="AZ5645" s="3" t="s">
        <v>54202</v>
      </c>
      <c r="BA5645" s="3" t="s">
        <v>54202</v>
      </c>
      <c r="BB5645" s="3" t="s">
        <v>54203</v>
      </c>
      <c r="BC5645" s="3" t="s">
        <v>142</v>
      </c>
      <c r="BD5645" s="3" t="s">
        <v>68</v>
      </c>
      <c r="BE5645" s="3" t="s">
        <v>54204</v>
      </c>
      <c r="BF5645" s="3" t="s">
        <v>54203</v>
      </c>
      <c r="BG5645" s="3" t="s">
        <v>54205</v>
      </c>
    </row>
    <row r="5646" spans="1:59" ht="57" x14ac:dyDescent="0.45">
      <c r="A5646" s="2" t="s">
        <v>59</v>
      </c>
      <c r="B5646" s="2" t="s">
        <v>60</v>
      </c>
      <c r="C5646" s="2" t="s">
        <v>54206</v>
      </c>
      <c r="D5646" s="2" t="s">
        <v>54207</v>
      </c>
      <c r="E5646" s="2" t="s">
        <v>54208</v>
      </c>
      <c r="G5646" s="3" t="s">
        <v>62</v>
      </c>
      <c r="I5646" s="3" t="s">
        <v>62</v>
      </c>
      <c r="J5646" s="3" t="s">
        <v>62</v>
      </c>
      <c r="K5646" s="3" t="s">
        <v>63</v>
      </c>
      <c r="L5646" s="2" t="s">
        <v>54209</v>
      </c>
      <c r="M5646" s="2" t="s">
        <v>54210</v>
      </c>
      <c r="N5646" s="3" t="s">
        <v>1239</v>
      </c>
      <c r="P5646" s="3" t="s">
        <v>65</v>
      </c>
      <c r="R5646" s="3" t="s">
        <v>66</v>
      </c>
      <c r="S5646" s="4">
        <v>37</v>
      </c>
      <c r="T5646" s="4">
        <v>37</v>
      </c>
      <c r="U5646" s="5" t="s">
        <v>17440</v>
      </c>
      <c r="V5646" s="5" t="s">
        <v>17440</v>
      </c>
      <c r="W5646" s="5" t="s">
        <v>67</v>
      </c>
      <c r="X5646" s="5" t="s">
        <v>67</v>
      </c>
      <c r="Y5646" s="4">
        <v>293</v>
      </c>
      <c r="Z5646" s="4">
        <v>22</v>
      </c>
      <c r="AA5646" s="4">
        <v>27</v>
      </c>
      <c r="AB5646" s="4">
        <v>2</v>
      </c>
      <c r="AC5646" s="4">
        <v>6</v>
      </c>
      <c r="AD5646" s="4">
        <v>110</v>
      </c>
      <c r="AE5646" s="4">
        <v>117</v>
      </c>
      <c r="AF5646" s="4">
        <v>1</v>
      </c>
      <c r="AG5646" s="4">
        <v>5</v>
      </c>
      <c r="AH5646" s="4">
        <v>101</v>
      </c>
      <c r="AI5646" s="4">
        <v>105</v>
      </c>
      <c r="AJ5646" s="4">
        <v>17</v>
      </c>
      <c r="AK5646" s="4">
        <v>20</v>
      </c>
      <c r="AL5646" s="4">
        <v>55</v>
      </c>
      <c r="AM5646" s="4">
        <v>56</v>
      </c>
      <c r="AN5646" s="4">
        <v>0</v>
      </c>
      <c r="AO5646" s="4">
        <v>0</v>
      </c>
      <c r="AP5646" s="4">
        <v>18</v>
      </c>
      <c r="AQ5646" s="4">
        <v>21</v>
      </c>
      <c r="AR5646" s="3" t="s">
        <v>62</v>
      </c>
      <c r="AS5646" s="3" t="s">
        <v>62</v>
      </c>
      <c r="AT5646" s="3" t="s">
        <v>62</v>
      </c>
      <c r="AV5646" s="6" t="str">
        <f>HYPERLINK("http://mcgill.on.worldcat.org/oclc/17764225","Catalog Record")</f>
        <v>Catalog Record</v>
      </c>
      <c r="AW5646" s="6" t="str">
        <f>HYPERLINK("http://www.worldcat.org/oclc/17764225","WorldCat Record")</f>
        <v>WorldCat Record</v>
      </c>
      <c r="AX5646" s="3" t="s">
        <v>54211</v>
      </c>
      <c r="AY5646" s="3" t="s">
        <v>54212</v>
      </c>
      <c r="AZ5646" s="3" t="s">
        <v>54213</v>
      </c>
      <c r="BA5646" s="3" t="s">
        <v>54213</v>
      </c>
      <c r="BB5646" s="3" t="s">
        <v>54214</v>
      </c>
      <c r="BC5646" s="3" t="s">
        <v>142</v>
      </c>
      <c r="BD5646" s="3" t="s">
        <v>68</v>
      </c>
      <c r="BE5646" s="3" t="s">
        <v>54215</v>
      </c>
      <c r="BF5646" s="3" t="s">
        <v>54214</v>
      </c>
      <c r="BG5646" s="3" t="s">
        <v>54216</v>
      </c>
    </row>
    <row r="5647" spans="1:59" ht="57" x14ac:dyDescent="0.45">
      <c r="A5647" s="2" t="s">
        <v>59</v>
      </c>
      <c r="B5647" s="2" t="s">
        <v>60</v>
      </c>
      <c r="C5647" s="2" t="s">
        <v>54217</v>
      </c>
      <c r="D5647" s="2" t="s">
        <v>54218</v>
      </c>
      <c r="E5647" s="2" t="s">
        <v>54219</v>
      </c>
      <c r="G5647" s="3" t="s">
        <v>62</v>
      </c>
      <c r="I5647" s="3" t="s">
        <v>62</v>
      </c>
      <c r="J5647" s="3" t="s">
        <v>62</v>
      </c>
      <c r="K5647" s="3" t="s">
        <v>63</v>
      </c>
      <c r="L5647" s="2" t="s">
        <v>54220</v>
      </c>
      <c r="M5647" s="2" t="s">
        <v>54221</v>
      </c>
      <c r="N5647" s="3" t="s">
        <v>894</v>
      </c>
      <c r="P5647" s="3" t="s">
        <v>65</v>
      </c>
      <c r="Q5647" s="2" t="s">
        <v>54222</v>
      </c>
      <c r="R5647" s="3" t="s">
        <v>66</v>
      </c>
      <c r="S5647" s="4">
        <v>2</v>
      </c>
      <c r="T5647" s="4">
        <v>2</v>
      </c>
      <c r="U5647" s="5" t="s">
        <v>54223</v>
      </c>
      <c r="V5647" s="5" t="s">
        <v>54223</v>
      </c>
      <c r="W5647" s="5" t="s">
        <v>67</v>
      </c>
      <c r="X5647" s="5" t="s">
        <v>67</v>
      </c>
      <c r="Y5647" s="4">
        <v>151</v>
      </c>
      <c r="Z5647" s="4">
        <v>15</v>
      </c>
      <c r="AA5647" s="4">
        <v>81</v>
      </c>
      <c r="AB5647" s="4">
        <v>1</v>
      </c>
      <c r="AC5647" s="4">
        <v>14</v>
      </c>
      <c r="AD5647" s="4">
        <v>71</v>
      </c>
      <c r="AE5647" s="4">
        <v>128</v>
      </c>
      <c r="AF5647" s="4">
        <v>0</v>
      </c>
      <c r="AG5647" s="4">
        <v>8</v>
      </c>
      <c r="AH5647" s="4">
        <v>66</v>
      </c>
      <c r="AI5647" s="4">
        <v>94</v>
      </c>
      <c r="AJ5647" s="4">
        <v>12</v>
      </c>
      <c r="AK5647" s="4">
        <v>23</v>
      </c>
      <c r="AL5647" s="4">
        <v>41</v>
      </c>
      <c r="AM5647" s="4">
        <v>51</v>
      </c>
      <c r="AN5647" s="4">
        <v>0</v>
      </c>
      <c r="AO5647" s="4">
        <v>0</v>
      </c>
      <c r="AP5647" s="4">
        <v>12</v>
      </c>
      <c r="AQ5647" s="4">
        <v>42</v>
      </c>
      <c r="AR5647" s="3" t="s">
        <v>62</v>
      </c>
      <c r="AS5647" s="3" t="s">
        <v>62</v>
      </c>
      <c r="AT5647" s="3" t="s">
        <v>62</v>
      </c>
      <c r="AV5647" s="6" t="str">
        <f>HYPERLINK("http://mcgill.on.worldcat.org/oclc/668195757","Catalog Record")</f>
        <v>Catalog Record</v>
      </c>
      <c r="AW5647" s="6" t="str">
        <f>HYPERLINK("http://www.worldcat.org/oclc/668195757","WorldCat Record")</f>
        <v>WorldCat Record</v>
      </c>
      <c r="AX5647" s="3" t="s">
        <v>54224</v>
      </c>
      <c r="AY5647" s="3" t="s">
        <v>54225</v>
      </c>
      <c r="AZ5647" s="3" t="s">
        <v>54226</v>
      </c>
      <c r="BA5647" s="3" t="s">
        <v>54226</v>
      </c>
      <c r="BB5647" s="3" t="s">
        <v>54227</v>
      </c>
      <c r="BC5647" s="3" t="s">
        <v>142</v>
      </c>
      <c r="BD5647" s="3" t="s">
        <v>68</v>
      </c>
      <c r="BE5647" s="3" t="s">
        <v>54228</v>
      </c>
      <c r="BF5647" s="3" t="s">
        <v>54227</v>
      </c>
      <c r="BG5647" s="3" t="s">
        <v>54229</v>
      </c>
    </row>
    <row r="5648" spans="1:59" ht="57" x14ac:dyDescent="0.45">
      <c r="A5648" s="2" t="s">
        <v>59</v>
      </c>
      <c r="B5648" s="2" t="s">
        <v>60</v>
      </c>
      <c r="C5648" s="2" t="s">
        <v>54230</v>
      </c>
      <c r="D5648" s="2" t="s">
        <v>54231</v>
      </c>
      <c r="E5648" s="2" t="s">
        <v>54232</v>
      </c>
      <c r="G5648" s="3" t="s">
        <v>62</v>
      </c>
      <c r="I5648" s="3" t="s">
        <v>62</v>
      </c>
      <c r="J5648" s="3" t="s">
        <v>62</v>
      </c>
      <c r="K5648" s="3" t="s">
        <v>63</v>
      </c>
      <c r="L5648" s="2" t="s">
        <v>48395</v>
      </c>
      <c r="M5648" s="2" t="s">
        <v>1713</v>
      </c>
      <c r="N5648" s="3" t="s">
        <v>1155</v>
      </c>
      <c r="P5648" s="3" t="s">
        <v>65</v>
      </c>
      <c r="Q5648" s="2" t="s">
        <v>48671</v>
      </c>
      <c r="R5648" s="3" t="s">
        <v>66</v>
      </c>
      <c r="S5648" s="4">
        <v>1</v>
      </c>
      <c r="T5648" s="4">
        <v>1</v>
      </c>
      <c r="U5648" s="5" t="s">
        <v>79</v>
      </c>
      <c r="V5648" s="5" t="s">
        <v>79</v>
      </c>
      <c r="W5648" s="5" t="s">
        <v>67</v>
      </c>
      <c r="X5648" s="5" t="s">
        <v>67</v>
      </c>
      <c r="Y5648" s="4">
        <v>77</v>
      </c>
      <c r="Z5648" s="4">
        <v>16</v>
      </c>
      <c r="AA5648" s="4">
        <v>79</v>
      </c>
      <c r="AB5648" s="4">
        <v>1</v>
      </c>
      <c r="AC5648" s="4">
        <v>14</v>
      </c>
      <c r="AD5648" s="4">
        <v>33</v>
      </c>
      <c r="AE5648" s="4">
        <v>92</v>
      </c>
      <c r="AF5648" s="4">
        <v>0</v>
      </c>
      <c r="AG5648" s="4">
        <v>8</v>
      </c>
      <c r="AH5648" s="4">
        <v>27</v>
      </c>
      <c r="AI5648" s="4">
        <v>60</v>
      </c>
      <c r="AJ5648" s="4">
        <v>10</v>
      </c>
      <c r="AK5648" s="4">
        <v>22</v>
      </c>
      <c r="AL5648" s="4">
        <v>16</v>
      </c>
      <c r="AM5648" s="4">
        <v>30</v>
      </c>
      <c r="AN5648" s="4">
        <v>0</v>
      </c>
      <c r="AO5648" s="4">
        <v>0</v>
      </c>
      <c r="AP5648" s="4">
        <v>12</v>
      </c>
      <c r="AQ5648" s="4">
        <v>41</v>
      </c>
      <c r="AR5648" s="3" t="s">
        <v>62</v>
      </c>
      <c r="AS5648" s="3" t="s">
        <v>62</v>
      </c>
      <c r="AT5648" s="3" t="s">
        <v>62</v>
      </c>
      <c r="AV5648" s="6" t="str">
        <f>HYPERLINK("http://mcgill.on.worldcat.org/oclc/775664103","Catalog Record")</f>
        <v>Catalog Record</v>
      </c>
      <c r="AW5648" s="6" t="str">
        <f>HYPERLINK("http://www.worldcat.org/oclc/775664103","WorldCat Record")</f>
        <v>WorldCat Record</v>
      </c>
      <c r="AX5648" s="3" t="s">
        <v>54233</v>
      </c>
      <c r="AY5648" s="3" t="s">
        <v>54234</v>
      </c>
      <c r="AZ5648" s="3" t="s">
        <v>54235</v>
      </c>
      <c r="BA5648" s="3" t="s">
        <v>54235</v>
      </c>
      <c r="BB5648" s="3" t="s">
        <v>54236</v>
      </c>
      <c r="BC5648" s="3" t="s">
        <v>142</v>
      </c>
      <c r="BD5648" s="3" t="s">
        <v>68</v>
      </c>
      <c r="BE5648" s="3" t="s">
        <v>54237</v>
      </c>
      <c r="BF5648" s="3" t="s">
        <v>54236</v>
      </c>
      <c r="BG5648" s="3" t="s">
        <v>54238</v>
      </c>
    </row>
    <row r="5649" spans="1:59" ht="57" x14ac:dyDescent="0.45">
      <c r="A5649" s="2" t="s">
        <v>59</v>
      </c>
      <c r="B5649" s="2" t="s">
        <v>60</v>
      </c>
      <c r="C5649" s="2" t="s">
        <v>54239</v>
      </c>
      <c r="D5649" s="2" t="s">
        <v>54240</v>
      </c>
      <c r="E5649" s="2" t="s">
        <v>54241</v>
      </c>
      <c r="G5649" s="3" t="s">
        <v>62</v>
      </c>
      <c r="I5649" s="3" t="s">
        <v>62</v>
      </c>
      <c r="J5649" s="3" t="s">
        <v>62</v>
      </c>
      <c r="K5649" s="3" t="s">
        <v>63</v>
      </c>
      <c r="L5649" s="2" t="s">
        <v>54242</v>
      </c>
      <c r="M5649" s="2" t="s">
        <v>4069</v>
      </c>
      <c r="N5649" s="3" t="s">
        <v>116</v>
      </c>
      <c r="P5649" s="3" t="s">
        <v>65</v>
      </c>
      <c r="Q5649" s="2" t="s">
        <v>54243</v>
      </c>
      <c r="R5649" s="3" t="s">
        <v>66</v>
      </c>
      <c r="S5649" s="4">
        <v>3</v>
      </c>
      <c r="T5649" s="4">
        <v>3</v>
      </c>
      <c r="U5649" s="5" t="s">
        <v>7923</v>
      </c>
      <c r="V5649" s="5" t="s">
        <v>7923</v>
      </c>
      <c r="W5649" s="5" t="s">
        <v>67</v>
      </c>
      <c r="X5649" s="5" t="s">
        <v>67</v>
      </c>
      <c r="Y5649" s="4">
        <v>132</v>
      </c>
      <c r="Z5649" s="4">
        <v>15</v>
      </c>
      <c r="AA5649" s="4">
        <v>104</v>
      </c>
      <c r="AB5649" s="4">
        <v>1</v>
      </c>
      <c r="AC5649" s="4">
        <v>14</v>
      </c>
      <c r="AD5649" s="4">
        <v>68</v>
      </c>
      <c r="AE5649" s="4">
        <v>133</v>
      </c>
      <c r="AF5649" s="4">
        <v>0</v>
      </c>
      <c r="AG5649" s="4">
        <v>8</v>
      </c>
      <c r="AH5649" s="4">
        <v>62</v>
      </c>
      <c r="AI5649" s="4">
        <v>95</v>
      </c>
      <c r="AJ5649" s="4">
        <v>11</v>
      </c>
      <c r="AK5649" s="4">
        <v>25</v>
      </c>
      <c r="AL5649" s="4">
        <v>38</v>
      </c>
      <c r="AM5649" s="4">
        <v>50</v>
      </c>
      <c r="AN5649" s="4">
        <v>0</v>
      </c>
      <c r="AO5649" s="4">
        <v>0</v>
      </c>
      <c r="AP5649" s="4">
        <v>12</v>
      </c>
      <c r="AQ5649" s="4">
        <v>46</v>
      </c>
      <c r="AR5649" s="3" t="s">
        <v>62</v>
      </c>
      <c r="AS5649" s="3" t="s">
        <v>62</v>
      </c>
      <c r="AT5649" s="3" t="s">
        <v>62</v>
      </c>
      <c r="AV5649" s="6" t="str">
        <f>HYPERLINK("http://mcgill.on.worldcat.org/oclc/823552479","Catalog Record")</f>
        <v>Catalog Record</v>
      </c>
      <c r="AW5649" s="6" t="str">
        <f>HYPERLINK("http://www.worldcat.org/oclc/823552479","WorldCat Record")</f>
        <v>WorldCat Record</v>
      </c>
      <c r="AX5649" s="3" t="s">
        <v>54244</v>
      </c>
      <c r="AY5649" s="3" t="s">
        <v>54245</v>
      </c>
      <c r="AZ5649" s="3" t="s">
        <v>54246</v>
      </c>
      <c r="BA5649" s="3" t="s">
        <v>54246</v>
      </c>
      <c r="BB5649" s="3" t="s">
        <v>54247</v>
      </c>
      <c r="BC5649" s="3" t="s">
        <v>142</v>
      </c>
      <c r="BD5649" s="3" t="s">
        <v>68</v>
      </c>
      <c r="BE5649" s="3" t="s">
        <v>54248</v>
      </c>
      <c r="BF5649" s="3" t="s">
        <v>54247</v>
      </c>
      <c r="BG5649" s="3" t="s">
        <v>54249</v>
      </c>
    </row>
    <row r="5650" spans="1:59" ht="57" x14ac:dyDescent="0.45">
      <c r="A5650" s="2" t="s">
        <v>59</v>
      </c>
      <c r="B5650" s="2" t="s">
        <v>60</v>
      </c>
      <c r="C5650" s="2" t="s">
        <v>54250</v>
      </c>
      <c r="D5650" s="2" t="s">
        <v>54251</v>
      </c>
      <c r="E5650" s="2" t="s">
        <v>54252</v>
      </c>
      <c r="G5650" s="3" t="s">
        <v>62</v>
      </c>
      <c r="I5650" s="3" t="s">
        <v>62</v>
      </c>
      <c r="J5650" s="3" t="s">
        <v>62</v>
      </c>
      <c r="K5650" s="3" t="s">
        <v>63</v>
      </c>
      <c r="M5650" s="2" t="s">
        <v>21198</v>
      </c>
      <c r="N5650" s="3" t="s">
        <v>1465</v>
      </c>
      <c r="P5650" s="3" t="s">
        <v>65</v>
      </c>
      <c r="R5650" s="3" t="s">
        <v>66</v>
      </c>
      <c r="S5650" s="4">
        <v>3</v>
      </c>
      <c r="T5650" s="4">
        <v>3</v>
      </c>
      <c r="U5650" s="5" t="s">
        <v>10246</v>
      </c>
      <c r="V5650" s="5" t="s">
        <v>10246</v>
      </c>
      <c r="W5650" s="5" t="s">
        <v>67</v>
      </c>
      <c r="X5650" s="5" t="s">
        <v>67</v>
      </c>
      <c r="Y5650" s="4">
        <v>11</v>
      </c>
      <c r="Z5650" s="4">
        <v>4</v>
      </c>
      <c r="AA5650" s="4">
        <v>79</v>
      </c>
      <c r="AB5650" s="4">
        <v>1</v>
      </c>
      <c r="AC5650" s="4">
        <v>14</v>
      </c>
      <c r="AD5650" s="4">
        <v>2</v>
      </c>
      <c r="AE5650" s="4">
        <v>114</v>
      </c>
      <c r="AF5650" s="4">
        <v>0</v>
      </c>
      <c r="AG5650" s="4">
        <v>8</v>
      </c>
      <c r="AH5650" s="4">
        <v>2</v>
      </c>
      <c r="AI5650" s="4">
        <v>84</v>
      </c>
      <c r="AJ5650" s="4">
        <v>1</v>
      </c>
      <c r="AK5650" s="4">
        <v>22</v>
      </c>
      <c r="AL5650" s="4">
        <v>2</v>
      </c>
      <c r="AM5650" s="4">
        <v>46</v>
      </c>
      <c r="AN5650" s="4">
        <v>0</v>
      </c>
      <c r="AO5650" s="4">
        <v>0</v>
      </c>
      <c r="AP5650" s="4">
        <v>1</v>
      </c>
      <c r="AQ5650" s="4">
        <v>41</v>
      </c>
      <c r="AR5650" s="3" t="s">
        <v>62</v>
      </c>
      <c r="AS5650" s="3" t="s">
        <v>62</v>
      </c>
      <c r="AT5650" s="3" t="s">
        <v>62</v>
      </c>
      <c r="AV5650" s="6" t="str">
        <f>HYPERLINK("http://mcgill.on.worldcat.org/oclc/351329792","Catalog Record")</f>
        <v>Catalog Record</v>
      </c>
      <c r="AW5650" s="6" t="str">
        <f>HYPERLINK("http://www.worldcat.org/oclc/351329792","WorldCat Record")</f>
        <v>WorldCat Record</v>
      </c>
      <c r="AX5650" s="3" t="s">
        <v>54253</v>
      </c>
      <c r="AY5650" s="3" t="s">
        <v>54254</v>
      </c>
      <c r="AZ5650" s="3" t="s">
        <v>54255</v>
      </c>
      <c r="BA5650" s="3" t="s">
        <v>54255</v>
      </c>
      <c r="BB5650" s="3" t="s">
        <v>54256</v>
      </c>
      <c r="BC5650" s="3" t="s">
        <v>142</v>
      </c>
      <c r="BD5650" s="3" t="s">
        <v>68</v>
      </c>
      <c r="BE5650" s="3" t="s">
        <v>54257</v>
      </c>
      <c r="BF5650" s="3" t="s">
        <v>54256</v>
      </c>
      <c r="BG5650" s="3" t="s">
        <v>54258</v>
      </c>
    </row>
    <row r="5651" spans="1:59" ht="57" x14ac:dyDescent="0.45">
      <c r="A5651" s="2" t="s">
        <v>59</v>
      </c>
      <c r="B5651" s="2" t="s">
        <v>60</v>
      </c>
      <c r="C5651" s="2" t="s">
        <v>54259</v>
      </c>
      <c r="D5651" s="2" t="s">
        <v>54260</v>
      </c>
      <c r="E5651" s="2" t="s">
        <v>54261</v>
      </c>
      <c r="G5651" s="3" t="s">
        <v>62</v>
      </c>
      <c r="I5651" s="3" t="s">
        <v>62</v>
      </c>
      <c r="J5651" s="3" t="s">
        <v>62</v>
      </c>
      <c r="K5651" s="3" t="s">
        <v>63</v>
      </c>
      <c r="M5651" s="2" t="s">
        <v>35914</v>
      </c>
      <c r="N5651" s="3" t="s">
        <v>1253</v>
      </c>
      <c r="P5651" s="3" t="s">
        <v>65</v>
      </c>
      <c r="Q5651" s="2" t="s">
        <v>54262</v>
      </c>
      <c r="R5651" s="3" t="s">
        <v>66</v>
      </c>
      <c r="S5651" s="4">
        <v>25</v>
      </c>
      <c r="T5651" s="4">
        <v>25</v>
      </c>
      <c r="U5651" s="5" t="s">
        <v>41777</v>
      </c>
      <c r="V5651" s="5" t="s">
        <v>41777</v>
      </c>
      <c r="W5651" s="5" t="s">
        <v>67</v>
      </c>
      <c r="X5651" s="5" t="s">
        <v>67</v>
      </c>
      <c r="Y5651" s="4">
        <v>123</v>
      </c>
      <c r="Z5651" s="4">
        <v>13</v>
      </c>
      <c r="AA5651" s="4">
        <v>95</v>
      </c>
      <c r="AB5651" s="4">
        <v>1</v>
      </c>
      <c r="AC5651" s="4">
        <v>17</v>
      </c>
      <c r="AD5651" s="4">
        <v>64</v>
      </c>
      <c r="AE5651" s="4">
        <v>118</v>
      </c>
      <c r="AF5651" s="4">
        <v>0</v>
      </c>
      <c r="AG5651" s="4">
        <v>8</v>
      </c>
      <c r="AH5651" s="4">
        <v>59</v>
      </c>
      <c r="AI5651" s="4">
        <v>83</v>
      </c>
      <c r="AJ5651" s="4">
        <v>11</v>
      </c>
      <c r="AK5651" s="4">
        <v>24</v>
      </c>
      <c r="AL5651" s="4">
        <v>36</v>
      </c>
      <c r="AM5651" s="4">
        <v>44</v>
      </c>
      <c r="AN5651" s="4">
        <v>0</v>
      </c>
      <c r="AO5651" s="4">
        <v>0</v>
      </c>
      <c r="AP5651" s="4">
        <v>11</v>
      </c>
      <c r="AQ5651" s="4">
        <v>45</v>
      </c>
      <c r="AR5651" s="3" t="s">
        <v>62</v>
      </c>
      <c r="AS5651" s="3" t="s">
        <v>62</v>
      </c>
      <c r="AT5651" s="3" t="s">
        <v>62</v>
      </c>
      <c r="AV5651" s="6" t="str">
        <f>HYPERLINK("http://mcgill.on.worldcat.org/oclc/37792488","Catalog Record")</f>
        <v>Catalog Record</v>
      </c>
      <c r="AW5651" s="6" t="str">
        <f>HYPERLINK("http://www.worldcat.org/oclc/37792488","WorldCat Record")</f>
        <v>WorldCat Record</v>
      </c>
      <c r="AX5651" s="3" t="s">
        <v>54263</v>
      </c>
      <c r="AY5651" s="3" t="s">
        <v>54264</v>
      </c>
      <c r="AZ5651" s="3" t="s">
        <v>54265</v>
      </c>
      <c r="BA5651" s="3" t="s">
        <v>54265</v>
      </c>
      <c r="BB5651" s="3" t="s">
        <v>54266</v>
      </c>
      <c r="BC5651" s="3" t="s">
        <v>142</v>
      </c>
      <c r="BD5651" s="3" t="s">
        <v>68</v>
      </c>
      <c r="BE5651" s="3" t="s">
        <v>54267</v>
      </c>
      <c r="BF5651" s="3" t="s">
        <v>54266</v>
      </c>
      <c r="BG5651" s="3" t="s">
        <v>54268</v>
      </c>
    </row>
    <row r="5652" spans="1:59" ht="57" x14ac:dyDescent="0.45">
      <c r="A5652" s="2" t="s">
        <v>59</v>
      </c>
      <c r="B5652" s="2" t="s">
        <v>60</v>
      </c>
      <c r="C5652" s="2" t="s">
        <v>54269</v>
      </c>
      <c r="D5652" s="2" t="s">
        <v>54270</v>
      </c>
      <c r="E5652" s="2" t="s">
        <v>54271</v>
      </c>
      <c r="G5652" s="3" t="s">
        <v>62</v>
      </c>
      <c r="I5652" s="3" t="s">
        <v>62</v>
      </c>
      <c r="J5652" s="3" t="s">
        <v>62</v>
      </c>
      <c r="K5652" s="3" t="s">
        <v>63</v>
      </c>
      <c r="M5652" s="2" t="s">
        <v>3266</v>
      </c>
      <c r="N5652" s="3" t="s">
        <v>1478</v>
      </c>
      <c r="P5652" s="3" t="s">
        <v>65</v>
      </c>
      <c r="Q5652" s="2" t="s">
        <v>54272</v>
      </c>
      <c r="R5652" s="3" t="s">
        <v>66</v>
      </c>
      <c r="S5652" s="4">
        <v>14</v>
      </c>
      <c r="T5652" s="4">
        <v>14</v>
      </c>
      <c r="U5652" s="5" t="s">
        <v>4498</v>
      </c>
      <c r="V5652" s="5" t="s">
        <v>4498</v>
      </c>
      <c r="W5652" s="5" t="s">
        <v>67</v>
      </c>
      <c r="X5652" s="5" t="s">
        <v>67</v>
      </c>
      <c r="Y5652" s="4">
        <v>100</v>
      </c>
      <c r="Z5652" s="4">
        <v>9</v>
      </c>
      <c r="AA5652" s="4">
        <v>78</v>
      </c>
      <c r="AB5652" s="4">
        <v>1</v>
      </c>
      <c r="AC5652" s="4">
        <v>14</v>
      </c>
      <c r="AD5652" s="4">
        <v>46</v>
      </c>
      <c r="AE5652" s="4">
        <v>112</v>
      </c>
      <c r="AF5652" s="4">
        <v>0</v>
      </c>
      <c r="AG5652" s="4">
        <v>8</v>
      </c>
      <c r="AH5652" s="4">
        <v>42</v>
      </c>
      <c r="AI5652" s="4">
        <v>78</v>
      </c>
      <c r="AJ5652" s="4">
        <v>7</v>
      </c>
      <c r="AK5652" s="4">
        <v>21</v>
      </c>
      <c r="AL5652" s="4">
        <v>29</v>
      </c>
      <c r="AM5652" s="4">
        <v>43</v>
      </c>
      <c r="AN5652" s="4">
        <v>0</v>
      </c>
      <c r="AO5652" s="4">
        <v>0</v>
      </c>
      <c r="AP5652" s="4">
        <v>7</v>
      </c>
      <c r="AQ5652" s="4">
        <v>41</v>
      </c>
      <c r="AR5652" s="3" t="s">
        <v>62</v>
      </c>
      <c r="AS5652" s="3" t="s">
        <v>62</v>
      </c>
      <c r="AT5652" s="3" t="s">
        <v>61</v>
      </c>
      <c r="AU5652" s="6" t="str">
        <f>HYPERLINK("http://catalog.hathitrust.org/Record/007132610","HathiTrust Record")</f>
        <v>HathiTrust Record</v>
      </c>
      <c r="AV5652" s="6" t="str">
        <f>HYPERLINK("http://mcgill.on.worldcat.org/oclc/34246026","Catalog Record")</f>
        <v>Catalog Record</v>
      </c>
      <c r="AW5652" s="6" t="str">
        <f>HYPERLINK("http://www.worldcat.org/oclc/34246026","WorldCat Record")</f>
        <v>WorldCat Record</v>
      </c>
      <c r="AX5652" s="3" t="s">
        <v>54273</v>
      </c>
      <c r="AY5652" s="3" t="s">
        <v>54274</v>
      </c>
      <c r="AZ5652" s="3" t="s">
        <v>54275</v>
      </c>
      <c r="BA5652" s="3" t="s">
        <v>54275</v>
      </c>
      <c r="BB5652" s="3" t="s">
        <v>54276</v>
      </c>
      <c r="BC5652" s="3" t="s">
        <v>142</v>
      </c>
      <c r="BD5652" s="3" t="s">
        <v>68</v>
      </c>
      <c r="BE5652" s="3" t="s">
        <v>54277</v>
      </c>
      <c r="BF5652" s="3" t="s">
        <v>54276</v>
      </c>
      <c r="BG5652" s="3" t="s">
        <v>54278</v>
      </c>
    </row>
    <row r="5653" spans="1:59" ht="57" x14ac:dyDescent="0.45">
      <c r="A5653" s="2" t="s">
        <v>59</v>
      </c>
      <c r="B5653" s="2" t="s">
        <v>60</v>
      </c>
      <c r="C5653" s="2" t="s">
        <v>54279</v>
      </c>
      <c r="D5653" s="2" t="s">
        <v>54280</v>
      </c>
      <c r="E5653" s="2" t="s">
        <v>54281</v>
      </c>
      <c r="F5653" s="3" t="s">
        <v>90</v>
      </c>
      <c r="G5653" s="3" t="s">
        <v>61</v>
      </c>
      <c r="I5653" s="3" t="s">
        <v>62</v>
      </c>
      <c r="J5653" s="3" t="s">
        <v>62</v>
      </c>
      <c r="K5653" s="3" t="s">
        <v>63</v>
      </c>
      <c r="M5653" s="2" t="s">
        <v>54282</v>
      </c>
      <c r="N5653" s="3" t="s">
        <v>1155</v>
      </c>
      <c r="P5653" s="3" t="s">
        <v>65</v>
      </c>
      <c r="Q5653" s="2" t="s">
        <v>54283</v>
      </c>
      <c r="R5653" s="3" t="s">
        <v>66</v>
      </c>
      <c r="S5653" s="4">
        <v>0</v>
      </c>
      <c r="T5653" s="4">
        <v>0</v>
      </c>
      <c r="W5653" s="5" t="s">
        <v>67</v>
      </c>
      <c r="X5653" s="5" t="s">
        <v>67</v>
      </c>
      <c r="Y5653" s="4">
        <v>51</v>
      </c>
      <c r="Z5653" s="4">
        <v>2</v>
      </c>
      <c r="AA5653" s="4">
        <v>35</v>
      </c>
      <c r="AB5653" s="4">
        <v>1</v>
      </c>
      <c r="AC5653" s="4">
        <v>8</v>
      </c>
      <c r="AD5653" s="4">
        <v>20</v>
      </c>
      <c r="AE5653" s="4">
        <v>79</v>
      </c>
      <c r="AF5653" s="4">
        <v>0</v>
      </c>
      <c r="AG5653" s="4">
        <v>4</v>
      </c>
      <c r="AH5653" s="4">
        <v>18</v>
      </c>
      <c r="AI5653" s="4">
        <v>55</v>
      </c>
      <c r="AJ5653" s="4">
        <v>1</v>
      </c>
      <c r="AK5653" s="4">
        <v>19</v>
      </c>
      <c r="AL5653" s="4">
        <v>17</v>
      </c>
      <c r="AM5653" s="4">
        <v>31</v>
      </c>
      <c r="AN5653" s="4">
        <v>0</v>
      </c>
      <c r="AO5653" s="4">
        <v>0</v>
      </c>
      <c r="AP5653" s="4">
        <v>1</v>
      </c>
      <c r="AQ5653" s="4">
        <v>30</v>
      </c>
      <c r="AR5653" s="3" t="s">
        <v>62</v>
      </c>
      <c r="AS5653" s="3" t="s">
        <v>62</v>
      </c>
      <c r="AT5653" s="3" t="s">
        <v>62</v>
      </c>
      <c r="AV5653" s="6" t="str">
        <f>HYPERLINK("http://mcgill.on.worldcat.org/oclc/755698295","Catalog Record")</f>
        <v>Catalog Record</v>
      </c>
      <c r="AW5653" s="6" t="str">
        <f>HYPERLINK("http://www.worldcat.org/oclc/755698295","WorldCat Record")</f>
        <v>WorldCat Record</v>
      </c>
      <c r="AX5653" s="3" t="s">
        <v>54284</v>
      </c>
      <c r="AY5653" s="3" t="s">
        <v>54285</v>
      </c>
      <c r="AZ5653" s="3" t="s">
        <v>54286</v>
      </c>
      <c r="BA5653" s="3" t="s">
        <v>54286</v>
      </c>
      <c r="BB5653" s="3" t="s">
        <v>54287</v>
      </c>
      <c r="BC5653" s="3" t="s">
        <v>142</v>
      </c>
      <c r="BD5653" s="3" t="s">
        <v>68</v>
      </c>
      <c r="BE5653" s="3" t="s">
        <v>54288</v>
      </c>
      <c r="BF5653" s="3" t="s">
        <v>54287</v>
      </c>
      <c r="BG5653" s="3" t="s">
        <v>54289</v>
      </c>
    </row>
    <row r="5654" spans="1:59" ht="57" x14ac:dyDescent="0.45">
      <c r="A5654" s="2" t="s">
        <v>59</v>
      </c>
      <c r="B5654" s="2" t="s">
        <v>60</v>
      </c>
      <c r="C5654" s="2" t="s">
        <v>54279</v>
      </c>
      <c r="D5654" s="2" t="s">
        <v>54280</v>
      </c>
      <c r="E5654" s="2" t="s">
        <v>54281</v>
      </c>
      <c r="F5654" s="3" t="s">
        <v>87</v>
      </c>
      <c r="G5654" s="3" t="s">
        <v>61</v>
      </c>
      <c r="I5654" s="3" t="s">
        <v>62</v>
      </c>
      <c r="J5654" s="3" t="s">
        <v>62</v>
      </c>
      <c r="K5654" s="3" t="s">
        <v>63</v>
      </c>
      <c r="M5654" s="2" t="s">
        <v>54282</v>
      </c>
      <c r="N5654" s="3" t="s">
        <v>1155</v>
      </c>
      <c r="P5654" s="3" t="s">
        <v>65</v>
      </c>
      <c r="Q5654" s="2" t="s">
        <v>54283</v>
      </c>
      <c r="R5654" s="3" t="s">
        <v>66</v>
      </c>
      <c r="S5654" s="4">
        <v>0</v>
      </c>
      <c r="T5654" s="4">
        <v>0</v>
      </c>
      <c r="W5654" s="5" t="s">
        <v>67</v>
      </c>
      <c r="X5654" s="5" t="s">
        <v>67</v>
      </c>
      <c r="Y5654" s="4">
        <v>51</v>
      </c>
      <c r="Z5654" s="4">
        <v>2</v>
      </c>
      <c r="AA5654" s="4">
        <v>35</v>
      </c>
      <c r="AB5654" s="4">
        <v>1</v>
      </c>
      <c r="AC5654" s="4">
        <v>8</v>
      </c>
      <c r="AD5654" s="4">
        <v>20</v>
      </c>
      <c r="AE5654" s="4">
        <v>79</v>
      </c>
      <c r="AF5654" s="4">
        <v>0</v>
      </c>
      <c r="AG5654" s="4">
        <v>4</v>
      </c>
      <c r="AH5654" s="4">
        <v>18</v>
      </c>
      <c r="AI5654" s="4">
        <v>55</v>
      </c>
      <c r="AJ5654" s="4">
        <v>1</v>
      </c>
      <c r="AK5654" s="4">
        <v>19</v>
      </c>
      <c r="AL5654" s="4">
        <v>17</v>
      </c>
      <c r="AM5654" s="4">
        <v>31</v>
      </c>
      <c r="AN5654" s="4">
        <v>0</v>
      </c>
      <c r="AO5654" s="4">
        <v>0</v>
      </c>
      <c r="AP5654" s="4">
        <v>1</v>
      </c>
      <c r="AQ5654" s="4">
        <v>30</v>
      </c>
      <c r="AR5654" s="3" t="s">
        <v>62</v>
      </c>
      <c r="AS5654" s="3" t="s">
        <v>62</v>
      </c>
      <c r="AT5654" s="3" t="s">
        <v>62</v>
      </c>
      <c r="AV5654" s="6" t="str">
        <f>HYPERLINK("http://mcgill.on.worldcat.org/oclc/755698295","Catalog Record")</f>
        <v>Catalog Record</v>
      </c>
      <c r="AW5654" s="6" t="str">
        <f>HYPERLINK("http://www.worldcat.org/oclc/755698295","WorldCat Record")</f>
        <v>WorldCat Record</v>
      </c>
      <c r="AX5654" s="3" t="s">
        <v>54284</v>
      </c>
      <c r="AY5654" s="3" t="s">
        <v>54285</v>
      </c>
      <c r="AZ5654" s="3" t="s">
        <v>54286</v>
      </c>
      <c r="BA5654" s="3" t="s">
        <v>54286</v>
      </c>
      <c r="BB5654" s="3" t="s">
        <v>54290</v>
      </c>
      <c r="BC5654" s="3" t="s">
        <v>142</v>
      </c>
      <c r="BD5654" s="3" t="s">
        <v>68</v>
      </c>
      <c r="BE5654" s="3" t="s">
        <v>54288</v>
      </c>
      <c r="BF5654" s="3" t="s">
        <v>54290</v>
      </c>
      <c r="BG5654" s="3" t="s">
        <v>54291</v>
      </c>
    </row>
    <row r="5655" spans="1:59" ht="57" x14ac:dyDescent="0.45">
      <c r="A5655" s="2" t="s">
        <v>59</v>
      </c>
      <c r="B5655" s="2" t="s">
        <v>60</v>
      </c>
      <c r="C5655" s="2" t="s">
        <v>54292</v>
      </c>
      <c r="D5655" s="2" t="s">
        <v>54293</v>
      </c>
      <c r="E5655" s="2" t="s">
        <v>54294</v>
      </c>
      <c r="G5655" s="3" t="s">
        <v>62</v>
      </c>
      <c r="I5655" s="3" t="s">
        <v>62</v>
      </c>
      <c r="J5655" s="3" t="s">
        <v>62</v>
      </c>
      <c r="K5655" s="3" t="s">
        <v>63</v>
      </c>
      <c r="L5655" s="2" t="s">
        <v>54295</v>
      </c>
      <c r="M5655" s="2" t="s">
        <v>54296</v>
      </c>
      <c r="N5655" s="3" t="s">
        <v>125</v>
      </c>
      <c r="P5655" s="3" t="s">
        <v>65</v>
      </c>
      <c r="Q5655" s="2" t="s">
        <v>54297</v>
      </c>
      <c r="R5655" s="3" t="s">
        <v>66</v>
      </c>
      <c r="S5655" s="4">
        <v>35</v>
      </c>
      <c r="T5655" s="4">
        <v>35</v>
      </c>
      <c r="U5655" s="5" t="s">
        <v>10681</v>
      </c>
      <c r="V5655" s="5" t="s">
        <v>10681</v>
      </c>
      <c r="W5655" s="5" t="s">
        <v>67</v>
      </c>
      <c r="X5655" s="5" t="s">
        <v>67</v>
      </c>
      <c r="Y5655" s="4">
        <v>182</v>
      </c>
      <c r="Z5655" s="4">
        <v>18</v>
      </c>
      <c r="AA5655" s="4">
        <v>23</v>
      </c>
      <c r="AB5655" s="4">
        <v>1</v>
      </c>
      <c r="AC5655" s="4">
        <v>5</v>
      </c>
      <c r="AD5655" s="4">
        <v>89</v>
      </c>
      <c r="AE5655" s="4">
        <v>95</v>
      </c>
      <c r="AF5655" s="4">
        <v>0</v>
      </c>
      <c r="AG5655" s="4">
        <v>3</v>
      </c>
      <c r="AH5655" s="4">
        <v>80</v>
      </c>
      <c r="AI5655" s="4">
        <v>83</v>
      </c>
      <c r="AJ5655" s="4">
        <v>13</v>
      </c>
      <c r="AK5655" s="4">
        <v>16</v>
      </c>
      <c r="AL5655" s="4">
        <v>50</v>
      </c>
      <c r="AM5655" s="4">
        <v>50</v>
      </c>
      <c r="AN5655" s="4">
        <v>0</v>
      </c>
      <c r="AO5655" s="4">
        <v>0</v>
      </c>
      <c r="AP5655" s="4">
        <v>15</v>
      </c>
      <c r="AQ5655" s="4">
        <v>18</v>
      </c>
      <c r="AR5655" s="3" t="s">
        <v>62</v>
      </c>
      <c r="AS5655" s="3" t="s">
        <v>62</v>
      </c>
      <c r="AT5655" s="3" t="s">
        <v>61</v>
      </c>
      <c r="AU5655" s="6" t="str">
        <f>HYPERLINK("http://catalog.hathitrust.org/Record/002172084","HathiTrust Record")</f>
        <v>HathiTrust Record</v>
      </c>
      <c r="AV5655" s="6" t="str">
        <f>HYPERLINK("http://mcgill.on.worldcat.org/oclc/20823285","Catalog Record")</f>
        <v>Catalog Record</v>
      </c>
      <c r="AW5655" s="6" t="str">
        <f>HYPERLINK("http://www.worldcat.org/oclc/20823285","WorldCat Record")</f>
        <v>WorldCat Record</v>
      </c>
      <c r="AX5655" s="3" t="s">
        <v>54298</v>
      </c>
      <c r="AY5655" s="3" t="s">
        <v>54299</v>
      </c>
      <c r="AZ5655" s="3" t="s">
        <v>54300</v>
      </c>
      <c r="BA5655" s="3" t="s">
        <v>54300</v>
      </c>
      <c r="BB5655" s="3" t="s">
        <v>54301</v>
      </c>
      <c r="BC5655" s="3" t="s">
        <v>142</v>
      </c>
      <c r="BD5655" s="3" t="s">
        <v>68</v>
      </c>
      <c r="BE5655" s="3" t="s">
        <v>54302</v>
      </c>
      <c r="BF5655" s="3" t="s">
        <v>54301</v>
      </c>
      <c r="BG5655" s="3" t="s">
        <v>54303</v>
      </c>
    </row>
    <row r="5656" spans="1:59" ht="57" x14ac:dyDescent="0.45">
      <c r="A5656" s="2" t="s">
        <v>59</v>
      </c>
      <c r="B5656" s="2" t="s">
        <v>60</v>
      </c>
      <c r="C5656" s="2" t="s">
        <v>54304</v>
      </c>
      <c r="D5656" s="2" t="s">
        <v>54305</v>
      </c>
      <c r="E5656" s="2" t="s">
        <v>54306</v>
      </c>
      <c r="G5656" s="3" t="s">
        <v>62</v>
      </c>
      <c r="I5656" s="3" t="s">
        <v>62</v>
      </c>
      <c r="J5656" s="3" t="s">
        <v>62</v>
      </c>
      <c r="K5656" s="3" t="s">
        <v>63</v>
      </c>
      <c r="L5656" s="2" t="s">
        <v>54307</v>
      </c>
      <c r="M5656" s="2" t="s">
        <v>54308</v>
      </c>
      <c r="N5656" s="3" t="s">
        <v>1059</v>
      </c>
      <c r="P5656" s="3" t="s">
        <v>65</v>
      </c>
      <c r="R5656" s="3" t="s">
        <v>66</v>
      </c>
      <c r="S5656" s="4">
        <v>7</v>
      </c>
      <c r="T5656" s="4">
        <v>7</v>
      </c>
      <c r="U5656" s="5" t="s">
        <v>25082</v>
      </c>
      <c r="V5656" s="5" t="s">
        <v>25082</v>
      </c>
      <c r="W5656" s="5" t="s">
        <v>67</v>
      </c>
      <c r="X5656" s="5" t="s">
        <v>67</v>
      </c>
      <c r="Y5656" s="4">
        <v>201</v>
      </c>
      <c r="Z5656" s="4">
        <v>11</v>
      </c>
      <c r="AA5656" s="4">
        <v>107</v>
      </c>
      <c r="AB5656" s="4">
        <v>1</v>
      </c>
      <c r="AC5656" s="4">
        <v>22</v>
      </c>
      <c r="AD5656" s="4">
        <v>90</v>
      </c>
      <c r="AE5656" s="4">
        <v>151</v>
      </c>
      <c r="AF5656" s="4">
        <v>0</v>
      </c>
      <c r="AG5656" s="4">
        <v>9</v>
      </c>
      <c r="AH5656" s="4">
        <v>84</v>
      </c>
      <c r="AI5656" s="4">
        <v>103</v>
      </c>
      <c r="AJ5656" s="4">
        <v>9</v>
      </c>
      <c r="AK5656" s="4">
        <v>26</v>
      </c>
      <c r="AL5656" s="4">
        <v>52</v>
      </c>
      <c r="AM5656" s="4">
        <v>58</v>
      </c>
      <c r="AN5656" s="4">
        <v>0</v>
      </c>
      <c r="AO5656" s="4">
        <v>0</v>
      </c>
      <c r="AP5656" s="4">
        <v>9</v>
      </c>
      <c r="AQ5656" s="4">
        <v>54</v>
      </c>
      <c r="AR5656" s="3" t="s">
        <v>62</v>
      </c>
      <c r="AS5656" s="3" t="s">
        <v>62</v>
      </c>
      <c r="AT5656" s="3" t="s">
        <v>61</v>
      </c>
      <c r="AU5656" s="6" t="str">
        <f>HYPERLINK("http://catalog.hathitrust.org/Record/005243097","HathiTrust Record")</f>
        <v>HathiTrust Record</v>
      </c>
      <c r="AV5656" s="6" t="str">
        <f>HYPERLINK("http://mcgill.on.worldcat.org/oclc/69733694","Catalog Record")</f>
        <v>Catalog Record</v>
      </c>
      <c r="AW5656" s="6" t="str">
        <f>HYPERLINK("http://www.worldcat.org/oclc/69733694","WorldCat Record")</f>
        <v>WorldCat Record</v>
      </c>
      <c r="AX5656" s="3" t="s">
        <v>54309</v>
      </c>
      <c r="AY5656" s="3" t="s">
        <v>54310</v>
      </c>
      <c r="AZ5656" s="3" t="s">
        <v>54311</v>
      </c>
      <c r="BA5656" s="3" t="s">
        <v>54311</v>
      </c>
      <c r="BB5656" s="3" t="s">
        <v>54312</v>
      </c>
      <c r="BC5656" s="3" t="s">
        <v>142</v>
      </c>
      <c r="BD5656" s="3" t="s">
        <v>68</v>
      </c>
      <c r="BE5656" s="3" t="s">
        <v>54313</v>
      </c>
      <c r="BF5656" s="3" t="s">
        <v>54312</v>
      </c>
      <c r="BG5656" s="3" t="s">
        <v>54314</v>
      </c>
    </row>
    <row r="5657" spans="1:59" ht="57" x14ac:dyDescent="0.45">
      <c r="A5657" s="2" t="s">
        <v>59</v>
      </c>
      <c r="B5657" s="2" t="s">
        <v>60</v>
      </c>
      <c r="C5657" s="2" t="s">
        <v>54315</v>
      </c>
      <c r="D5657" s="2" t="s">
        <v>54316</v>
      </c>
      <c r="E5657" s="2" t="s">
        <v>54317</v>
      </c>
      <c r="F5657" s="3" t="s">
        <v>90</v>
      </c>
      <c r="G5657" s="3" t="s">
        <v>61</v>
      </c>
      <c r="I5657" s="3" t="s">
        <v>62</v>
      </c>
      <c r="J5657" s="3" t="s">
        <v>62</v>
      </c>
      <c r="K5657" s="3" t="s">
        <v>63</v>
      </c>
      <c r="M5657" s="2" t="s">
        <v>54318</v>
      </c>
      <c r="N5657" s="3" t="s">
        <v>958</v>
      </c>
      <c r="P5657" s="3" t="s">
        <v>65</v>
      </c>
      <c r="Q5657" s="2" t="s">
        <v>54319</v>
      </c>
      <c r="R5657" s="3" t="s">
        <v>66</v>
      </c>
      <c r="S5657" s="4">
        <v>16</v>
      </c>
      <c r="T5657" s="4">
        <v>35</v>
      </c>
      <c r="U5657" s="5" t="s">
        <v>7678</v>
      </c>
      <c r="V5657" s="5" t="s">
        <v>7678</v>
      </c>
      <c r="W5657" s="5" t="s">
        <v>67</v>
      </c>
      <c r="X5657" s="5" t="s">
        <v>67</v>
      </c>
      <c r="Y5657" s="4">
        <v>165</v>
      </c>
      <c r="Z5657" s="4">
        <v>14</v>
      </c>
      <c r="AA5657" s="4">
        <v>19</v>
      </c>
      <c r="AB5657" s="4">
        <v>1</v>
      </c>
      <c r="AC5657" s="4">
        <v>3</v>
      </c>
      <c r="AD5657" s="4">
        <v>71</v>
      </c>
      <c r="AE5657" s="4">
        <v>78</v>
      </c>
      <c r="AF5657" s="4">
        <v>0</v>
      </c>
      <c r="AG5657" s="4">
        <v>1</v>
      </c>
      <c r="AH5657" s="4">
        <v>65</v>
      </c>
      <c r="AI5657" s="4">
        <v>70</v>
      </c>
      <c r="AJ5657" s="4">
        <v>12</v>
      </c>
      <c r="AK5657" s="4">
        <v>15</v>
      </c>
      <c r="AL5657" s="4">
        <v>40</v>
      </c>
      <c r="AM5657" s="4">
        <v>41</v>
      </c>
      <c r="AN5657" s="4">
        <v>0</v>
      </c>
      <c r="AO5657" s="4">
        <v>0</v>
      </c>
      <c r="AP5657" s="4">
        <v>12</v>
      </c>
      <c r="AQ5657" s="4">
        <v>16</v>
      </c>
      <c r="AR5657" s="3" t="s">
        <v>62</v>
      </c>
      <c r="AS5657" s="3" t="s">
        <v>62</v>
      </c>
      <c r="AT5657" s="3" t="s">
        <v>62</v>
      </c>
      <c r="AV5657" s="6" t="str">
        <f>HYPERLINK("http://mcgill.on.worldcat.org/oclc/32581346","Catalog Record")</f>
        <v>Catalog Record</v>
      </c>
      <c r="AW5657" s="6" t="str">
        <f>HYPERLINK("http://www.worldcat.org/oclc/32581346","WorldCat Record")</f>
        <v>WorldCat Record</v>
      </c>
      <c r="AX5657" s="3" t="s">
        <v>54320</v>
      </c>
      <c r="AY5657" s="3" t="s">
        <v>54321</v>
      </c>
      <c r="AZ5657" s="3" t="s">
        <v>54322</v>
      </c>
      <c r="BA5657" s="3" t="s">
        <v>54322</v>
      </c>
      <c r="BB5657" s="3" t="s">
        <v>54323</v>
      </c>
      <c r="BC5657" s="3" t="s">
        <v>142</v>
      </c>
      <c r="BD5657" s="3" t="s">
        <v>68</v>
      </c>
      <c r="BE5657" s="3" t="s">
        <v>54324</v>
      </c>
      <c r="BF5657" s="3" t="s">
        <v>54323</v>
      </c>
      <c r="BG5657" s="3" t="s">
        <v>54325</v>
      </c>
    </row>
    <row r="5658" spans="1:59" ht="57" x14ac:dyDescent="0.45">
      <c r="A5658" s="2" t="s">
        <v>59</v>
      </c>
      <c r="B5658" s="2" t="s">
        <v>60</v>
      </c>
      <c r="C5658" s="2" t="s">
        <v>54315</v>
      </c>
      <c r="D5658" s="2" t="s">
        <v>54316</v>
      </c>
      <c r="E5658" s="2" t="s">
        <v>54317</v>
      </c>
      <c r="F5658" s="3" t="s">
        <v>87</v>
      </c>
      <c r="G5658" s="3" t="s">
        <v>61</v>
      </c>
      <c r="I5658" s="3" t="s">
        <v>62</v>
      </c>
      <c r="J5658" s="3" t="s">
        <v>62</v>
      </c>
      <c r="K5658" s="3" t="s">
        <v>63</v>
      </c>
      <c r="M5658" s="2" t="s">
        <v>54318</v>
      </c>
      <c r="N5658" s="3" t="s">
        <v>958</v>
      </c>
      <c r="P5658" s="3" t="s">
        <v>65</v>
      </c>
      <c r="Q5658" s="2" t="s">
        <v>54319</v>
      </c>
      <c r="R5658" s="3" t="s">
        <v>66</v>
      </c>
      <c r="S5658" s="4">
        <v>19</v>
      </c>
      <c r="T5658" s="4">
        <v>35</v>
      </c>
      <c r="U5658" s="5" t="s">
        <v>7678</v>
      </c>
      <c r="V5658" s="5" t="s">
        <v>7678</v>
      </c>
      <c r="W5658" s="5" t="s">
        <v>67</v>
      </c>
      <c r="X5658" s="5" t="s">
        <v>67</v>
      </c>
      <c r="Y5658" s="4">
        <v>165</v>
      </c>
      <c r="Z5658" s="4">
        <v>14</v>
      </c>
      <c r="AA5658" s="4">
        <v>19</v>
      </c>
      <c r="AB5658" s="4">
        <v>1</v>
      </c>
      <c r="AC5658" s="4">
        <v>3</v>
      </c>
      <c r="AD5658" s="4">
        <v>71</v>
      </c>
      <c r="AE5658" s="4">
        <v>78</v>
      </c>
      <c r="AF5658" s="4">
        <v>0</v>
      </c>
      <c r="AG5658" s="4">
        <v>1</v>
      </c>
      <c r="AH5658" s="4">
        <v>65</v>
      </c>
      <c r="AI5658" s="4">
        <v>70</v>
      </c>
      <c r="AJ5658" s="4">
        <v>12</v>
      </c>
      <c r="AK5658" s="4">
        <v>15</v>
      </c>
      <c r="AL5658" s="4">
        <v>40</v>
      </c>
      <c r="AM5658" s="4">
        <v>41</v>
      </c>
      <c r="AN5658" s="4">
        <v>0</v>
      </c>
      <c r="AO5658" s="4">
        <v>0</v>
      </c>
      <c r="AP5658" s="4">
        <v>12</v>
      </c>
      <c r="AQ5658" s="4">
        <v>16</v>
      </c>
      <c r="AR5658" s="3" t="s">
        <v>62</v>
      </c>
      <c r="AS5658" s="3" t="s">
        <v>62</v>
      </c>
      <c r="AT5658" s="3" t="s">
        <v>62</v>
      </c>
      <c r="AV5658" s="6" t="str">
        <f>HYPERLINK("http://mcgill.on.worldcat.org/oclc/32581346","Catalog Record")</f>
        <v>Catalog Record</v>
      </c>
      <c r="AW5658" s="6" t="str">
        <f>HYPERLINK("http://www.worldcat.org/oclc/32581346","WorldCat Record")</f>
        <v>WorldCat Record</v>
      </c>
      <c r="AX5658" s="3" t="s">
        <v>54320</v>
      </c>
      <c r="AY5658" s="3" t="s">
        <v>54321</v>
      </c>
      <c r="AZ5658" s="3" t="s">
        <v>54322</v>
      </c>
      <c r="BA5658" s="3" t="s">
        <v>54322</v>
      </c>
      <c r="BB5658" s="3" t="s">
        <v>54326</v>
      </c>
      <c r="BC5658" s="3" t="s">
        <v>142</v>
      </c>
      <c r="BD5658" s="3" t="s">
        <v>68</v>
      </c>
      <c r="BE5658" s="3" t="s">
        <v>54324</v>
      </c>
      <c r="BF5658" s="3" t="s">
        <v>54326</v>
      </c>
      <c r="BG5658" s="3" t="s">
        <v>54327</v>
      </c>
    </row>
    <row r="5659" spans="1:59" ht="57" x14ac:dyDescent="0.45">
      <c r="A5659" s="2" t="s">
        <v>59</v>
      </c>
      <c r="B5659" s="2" t="s">
        <v>60</v>
      </c>
      <c r="C5659" s="2" t="s">
        <v>54328</v>
      </c>
      <c r="D5659" s="2" t="s">
        <v>54329</v>
      </c>
      <c r="E5659" s="2" t="s">
        <v>54330</v>
      </c>
      <c r="G5659" s="3" t="s">
        <v>62</v>
      </c>
      <c r="I5659" s="3" t="s">
        <v>62</v>
      </c>
      <c r="J5659" s="3" t="s">
        <v>62</v>
      </c>
      <c r="K5659" s="3" t="s">
        <v>63</v>
      </c>
      <c r="L5659" s="2" t="s">
        <v>46633</v>
      </c>
      <c r="M5659" s="2" t="s">
        <v>13777</v>
      </c>
      <c r="N5659" s="3" t="s">
        <v>1155</v>
      </c>
      <c r="P5659" s="3" t="s">
        <v>65</v>
      </c>
      <c r="R5659" s="3" t="s">
        <v>66</v>
      </c>
      <c r="S5659" s="4">
        <v>1</v>
      </c>
      <c r="T5659" s="4">
        <v>1</v>
      </c>
      <c r="U5659" s="5" t="s">
        <v>33431</v>
      </c>
      <c r="V5659" s="5" t="s">
        <v>33431</v>
      </c>
      <c r="W5659" s="5" t="s">
        <v>67</v>
      </c>
      <c r="X5659" s="5" t="s">
        <v>67</v>
      </c>
      <c r="Y5659" s="4">
        <v>129</v>
      </c>
      <c r="Z5659" s="4">
        <v>15</v>
      </c>
      <c r="AA5659" s="4">
        <v>92</v>
      </c>
      <c r="AB5659" s="4">
        <v>1</v>
      </c>
      <c r="AC5659" s="4">
        <v>17</v>
      </c>
      <c r="AD5659" s="4">
        <v>62</v>
      </c>
      <c r="AE5659" s="4">
        <v>126</v>
      </c>
      <c r="AF5659" s="4">
        <v>0</v>
      </c>
      <c r="AG5659" s="4">
        <v>8</v>
      </c>
      <c r="AH5659" s="4">
        <v>57</v>
      </c>
      <c r="AI5659" s="4">
        <v>91</v>
      </c>
      <c r="AJ5659" s="4">
        <v>11</v>
      </c>
      <c r="AK5659" s="4">
        <v>23</v>
      </c>
      <c r="AL5659" s="4">
        <v>35</v>
      </c>
      <c r="AM5659" s="4">
        <v>49</v>
      </c>
      <c r="AN5659" s="4">
        <v>0</v>
      </c>
      <c r="AO5659" s="4">
        <v>0</v>
      </c>
      <c r="AP5659" s="4">
        <v>11</v>
      </c>
      <c r="AQ5659" s="4">
        <v>44</v>
      </c>
      <c r="AR5659" s="3" t="s">
        <v>62</v>
      </c>
      <c r="AS5659" s="3" t="s">
        <v>62</v>
      </c>
      <c r="AT5659" s="3" t="s">
        <v>62</v>
      </c>
      <c r="AV5659" s="6" t="str">
        <f>HYPERLINK("http://mcgill.on.worldcat.org/oclc/732847958","Catalog Record")</f>
        <v>Catalog Record</v>
      </c>
      <c r="AW5659" s="6" t="str">
        <f>HYPERLINK("http://www.worldcat.org/oclc/732847958","WorldCat Record")</f>
        <v>WorldCat Record</v>
      </c>
      <c r="AX5659" s="3" t="s">
        <v>54331</v>
      </c>
      <c r="AY5659" s="3" t="s">
        <v>54332</v>
      </c>
      <c r="AZ5659" s="3" t="s">
        <v>54333</v>
      </c>
      <c r="BA5659" s="3" t="s">
        <v>54333</v>
      </c>
      <c r="BB5659" s="3" t="s">
        <v>54334</v>
      </c>
      <c r="BC5659" s="3" t="s">
        <v>142</v>
      </c>
      <c r="BD5659" s="3" t="s">
        <v>68</v>
      </c>
      <c r="BE5659" s="3" t="s">
        <v>54335</v>
      </c>
      <c r="BF5659" s="3" t="s">
        <v>54334</v>
      </c>
      <c r="BG5659" s="3" t="s">
        <v>54336</v>
      </c>
    </row>
    <row r="5660" spans="1:59" ht="57" x14ac:dyDescent="0.45">
      <c r="A5660" s="2" t="s">
        <v>59</v>
      </c>
      <c r="B5660" s="2" t="s">
        <v>60</v>
      </c>
      <c r="C5660" s="2" t="s">
        <v>54337</v>
      </c>
      <c r="D5660" s="2" t="s">
        <v>54338</v>
      </c>
      <c r="E5660" s="2" t="s">
        <v>54339</v>
      </c>
      <c r="G5660" s="3" t="s">
        <v>62</v>
      </c>
      <c r="I5660" s="3" t="s">
        <v>62</v>
      </c>
      <c r="J5660" s="3" t="s">
        <v>62</v>
      </c>
      <c r="K5660" s="3" t="s">
        <v>63</v>
      </c>
      <c r="L5660" s="2" t="s">
        <v>54340</v>
      </c>
      <c r="M5660" s="2" t="s">
        <v>54341</v>
      </c>
      <c r="N5660" s="3" t="s">
        <v>181</v>
      </c>
      <c r="P5660" s="3" t="s">
        <v>65</v>
      </c>
      <c r="Q5660" s="2" t="s">
        <v>54342</v>
      </c>
      <c r="R5660" s="3" t="s">
        <v>66</v>
      </c>
      <c r="S5660" s="4">
        <v>0</v>
      </c>
      <c r="T5660" s="4">
        <v>0</v>
      </c>
      <c r="W5660" s="5" t="s">
        <v>67</v>
      </c>
      <c r="X5660" s="5" t="s">
        <v>67</v>
      </c>
      <c r="Y5660" s="4">
        <v>33</v>
      </c>
      <c r="Z5660" s="4">
        <v>1</v>
      </c>
      <c r="AA5660" s="4">
        <v>37</v>
      </c>
      <c r="AB5660" s="4">
        <v>1</v>
      </c>
      <c r="AC5660" s="4">
        <v>5</v>
      </c>
      <c r="AD5660" s="4">
        <v>14</v>
      </c>
      <c r="AE5660" s="4">
        <v>44</v>
      </c>
      <c r="AF5660" s="4">
        <v>0</v>
      </c>
      <c r="AG5660" s="4">
        <v>2</v>
      </c>
      <c r="AH5660" s="4">
        <v>13</v>
      </c>
      <c r="AI5660" s="4">
        <v>30</v>
      </c>
      <c r="AJ5660" s="4">
        <v>0</v>
      </c>
      <c r="AK5660" s="4">
        <v>8</v>
      </c>
      <c r="AL5660" s="4">
        <v>11</v>
      </c>
      <c r="AM5660" s="4">
        <v>21</v>
      </c>
      <c r="AN5660" s="4">
        <v>0</v>
      </c>
      <c r="AO5660" s="4">
        <v>0</v>
      </c>
      <c r="AP5660" s="4">
        <v>0</v>
      </c>
      <c r="AQ5660" s="4">
        <v>14</v>
      </c>
      <c r="AR5660" s="3" t="s">
        <v>62</v>
      </c>
      <c r="AS5660" s="3" t="s">
        <v>62</v>
      </c>
      <c r="AT5660" s="3" t="s">
        <v>62</v>
      </c>
      <c r="AV5660" s="6" t="str">
        <f>HYPERLINK("http://mcgill.on.worldcat.org/oclc/932095869","Catalog Record")</f>
        <v>Catalog Record</v>
      </c>
      <c r="AW5660" s="6" t="str">
        <f>HYPERLINK("http://www.worldcat.org/oclc/932095869","WorldCat Record")</f>
        <v>WorldCat Record</v>
      </c>
      <c r="AX5660" s="3" t="s">
        <v>54343</v>
      </c>
      <c r="AY5660" s="3" t="s">
        <v>54344</v>
      </c>
      <c r="AZ5660" s="3" t="s">
        <v>54345</v>
      </c>
      <c r="BA5660" s="3" t="s">
        <v>54345</v>
      </c>
      <c r="BB5660" s="3" t="s">
        <v>54346</v>
      </c>
      <c r="BC5660" s="3" t="s">
        <v>142</v>
      </c>
      <c r="BD5660" s="3" t="s">
        <v>68</v>
      </c>
      <c r="BE5660" s="3" t="s">
        <v>54347</v>
      </c>
      <c r="BF5660" s="3" t="s">
        <v>54346</v>
      </c>
      <c r="BG5660" s="3" t="s">
        <v>54348</v>
      </c>
    </row>
    <row r="5661" spans="1:59" ht="57" x14ac:dyDescent="0.45">
      <c r="A5661" s="2" t="s">
        <v>59</v>
      </c>
      <c r="B5661" s="2" t="s">
        <v>60</v>
      </c>
      <c r="C5661" s="2" t="s">
        <v>54349</v>
      </c>
      <c r="D5661" s="2" t="s">
        <v>54350</v>
      </c>
      <c r="E5661" s="2" t="s">
        <v>54351</v>
      </c>
      <c r="G5661" s="3" t="s">
        <v>62</v>
      </c>
      <c r="I5661" s="3" t="s">
        <v>62</v>
      </c>
      <c r="J5661" s="3" t="s">
        <v>62</v>
      </c>
      <c r="K5661" s="3" t="s">
        <v>63</v>
      </c>
      <c r="M5661" s="2" t="s">
        <v>3567</v>
      </c>
      <c r="N5661" s="3" t="s">
        <v>894</v>
      </c>
      <c r="P5661" s="3" t="s">
        <v>65</v>
      </c>
      <c r="R5661" s="3" t="s">
        <v>66</v>
      </c>
      <c r="S5661" s="4">
        <v>1</v>
      </c>
      <c r="T5661" s="4">
        <v>1</v>
      </c>
      <c r="U5661" s="5" t="s">
        <v>54352</v>
      </c>
      <c r="V5661" s="5" t="s">
        <v>54352</v>
      </c>
      <c r="W5661" s="5" t="s">
        <v>67</v>
      </c>
      <c r="X5661" s="5" t="s">
        <v>67</v>
      </c>
      <c r="Y5661" s="4">
        <v>49</v>
      </c>
      <c r="Z5661" s="4">
        <v>10</v>
      </c>
      <c r="AA5661" s="4">
        <v>10</v>
      </c>
      <c r="AB5661" s="4">
        <v>2</v>
      </c>
      <c r="AC5661" s="4">
        <v>2</v>
      </c>
      <c r="AD5661" s="4">
        <v>27</v>
      </c>
      <c r="AE5661" s="4">
        <v>27</v>
      </c>
      <c r="AF5661" s="4">
        <v>1</v>
      </c>
      <c r="AG5661" s="4">
        <v>1</v>
      </c>
      <c r="AH5661" s="4">
        <v>22</v>
      </c>
      <c r="AI5661" s="4">
        <v>22</v>
      </c>
      <c r="AJ5661" s="4">
        <v>7</v>
      </c>
      <c r="AK5661" s="4">
        <v>7</v>
      </c>
      <c r="AL5661" s="4">
        <v>15</v>
      </c>
      <c r="AM5661" s="4">
        <v>15</v>
      </c>
      <c r="AN5661" s="4">
        <v>0</v>
      </c>
      <c r="AO5661" s="4">
        <v>0</v>
      </c>
      <c r="AP5661" s="4">
        <v>8</v>
      </c>
      <c r="AQ5661" s="4">
        <v>8</v>
      </c>
      <c r="AR5661" s="3" t="s">
        <v>62</v>
      </c>
      <c r="AS5661" s="3" t="s">
        <v>62</v>
      </c>
      <c r="AT5661" s="3" t="s">
        <v>62</v>
      </c>
      <c r="AV5661" s="6" t="str">
        <f>HYPERLINK("http://mcgill.on.worldcat.org/oclc/713189015","Catalog Record")</f>
        <v>Catalog Record</v>
      </c>
      <c r="AW5661" s="6" t="str">
        <f>HYPERLINK("http://www.worldcat.org/oclc/713189015","WorldCat Record")</f>
        <v>WorldCat Record</v>
      </c>
      <c r="AX5661" s="3" t="s">
        <v>54353</v>
      </c>
      <c r="AY5661" s="3" t="s">
        <v>54354</v>
      </c>
      <c r="AZ5661" s="3" t="s">
        <v>54355</v>
      </c>
      <c r="BA5661" s="3" t="s">
        <v>54355</v>
      </c>
      <c r="BB5661" s="3" t="s">
        <v>54356</v>
      </c>
      <c r="BC5661" s="3" t="s">
        <v>142</v>
      </c>
      <c r="BD5661" s="3" t="s">
        <v>68</v>
      </c>
      <c r="BE5661" s="3" t="s">
        <v>54357</v>
      </c>
      <c r="BF5661" s="3" t="s">
        <v>54356</v>
      </c>
      <c r="BG5661" s="3" t="s">
        <v>54358</v>
      </c>
    </row>
    <row r="5662" spans="1:59" ht="57" x14ac:dyDescent="0.45">
      <c r="A5662" s="2" t="s">
        <v>59</v>
      </c>
      <c r="B5662" s="2" t="s">
        <v>60</v>
      </c>
      <c r="C5662" s="2" t="s">
        <v>54359</v>
      </c>
      <c r="D5662" s="2" t="s">
        <v>54360</v>
      </c>
      <c r="E5662" s="2" t="s">
        <v>54361</v>
      </c>
      <c r="G5662" s="3" t="s">
        <v>62</v>
      </c>
      <c r="I5662" s="3" t="s">
        <v>62</v>
      </c>
      <c r="J5662" s="3" t="s">
        <v>62</v>
      </c>
      <c r="K5662" s="3" t="s">
        <v>63</v>
      </c>
      <c r="M5662" s="2" t="s">
        <v>54362</v>
      </c>
      <c r="N5662" s="3" t="s">
        <v>1155</v>
      </c>
      <c r="P5662" s="3" t="s">
        <v>65</v>
      </c>
      <c r="Q5662" s="2" t="s">
        <v>54363</v>
      </c>
      <c r="R5662" s="3" t="s">
        <v>66</v>
      </c>
      <c r="S5662" s="4">
        <v>1</v>
      </c>
      <c r="T5662" s="4">
        <v>1</v>
      </c>
      <c r="U5662" s="5" t="s">
        <v>46266</v>
      </c>
      <c r="V5662" s="5" t="s">
        <v>46266</v>
      </c>
      <c r="W5662" s="5" t="s">
        <v>67</v>
      </c>
      <c r="X5662" s="5" t="s">
        <v>67</v>
      </c>
      <c r="Y5662" s="4">
        <v>54</v>
      </c>
      <c r="Z5662" s="4">
        <v>7</v>
      </c>
      <c r="AA5662" s="4">
        <v>79</v>
      </c>
      <c r="AB5662" s="4">
        <v>1</v>
      </c>
      <c r="AC5662" s="4">
        <v>14</v>
      </c>
      <c r="AD5662" s="4">
        <v>25</v>
      </c>
      <c r="AE5662" s="4">
        <v>101</v>
      </c>
      <c r="AF5662" s="4">
        <v>0</v>
      </c>
      <c r="AG5662" s="4">
        <v>8</v>
      </c>
      <c r="AH5662" s="4">
        <v>21</v>
      </c>
      <c r="AI5662" s="4">
        <v>65</v>
      </c>
      <c r="AJ5662" s="4">
        <v>5</v>
      </c>
      <c r="AK5662" s="4">
        <v>21</v>
      </c>
      <c r="AL5662" s="4">
        <v>16</v>
      </c>
      <c r="AM5662" s="4">
        <v>35</v>
      </c>
      <c r="AN5662" s="4">
        <v>0</v>
      </c>
      <c r="AO5662" s="4">
        <v>0</v>
      </c>
      <c r="AP5662" s="4">
        <v>6</v>
      </c>
      <c r="AQ5662" s="4">
        <v>42</v>
      </c>
      <c r="AR5662" s="3" t="s">
        <v>62</v>
      </c>
      <c r="AS5662" s="3" t="s">
        <v>62</v>
      </c>
      <c r="AT5662" s="3" t="s">
        <v>62</v>
      </c>
      <c r="AV5662" s="6" t="str">
        <f>HYPERLINK("http://mcgill.on.worldcat.org/oclc/809564284","Catalog Record")</f>
        <v>Catalog Record</v>
      </c>
      <c r="AW5662" s="6" t="str">
        <f>HYPERLINK("http://www.worldcat.org/oclc/809564284","WorldCat Record")</f>
        <v>WorldCat Record</v>
      </c>
      <c r="AX5662" s="3" t="s">
        <v>54364</v>
      </c>
      <c r="AY5662" s="3" t="s">
        <v>54365</v>
      </c>
      <c r="AZ5662" s="3" t="s">
        <v>54366</v>
      </c>
      <c r="BA5662" s="3" t="s">
        <v>54366</v>
      </c>
      <c r="BB5662" s="3" t="s">
        <v>54367</v>
      </c>
      <c r="BC5662" s="3" t="s">
        <v>142</v>
      </c>
      <c r="BD5662" s="3" t="s">
        <v>68</v>
      </c>
      <c r="BE5662" s="3" t="s">
        <v>54368</v>
      </c>
      <c r="BF5662" s="3" t="s">
        <v>54367</v>
      </c>
      <c r="BG5662" s="3" t="s">
        <v>54369</v>
      </c>
    </row>
    <row r="5663" spans="1:59" ht="57" x14ac:dyDescent="0.45">
      <c r="A5663" s="2" t="s">
        <v>59</v>
      </c>
      <c r="B5663" s="2" t="s">
        <v>60</v>
      </c>
      <c r="C5663" s="2" t="s">
        <v>54370</v>
      </c>
      <c r="D5663" s="2" t="s">
        <v>54371</v>
      </c>
      <c r="E5663" s="2" t="s">
        <v>54372</v>
      </c>
      <c r="G5663" s="3" t="s">
        <v>62</v>
      </c>
      <c r="I5663" s="3" t="s">
        <v>62</v>
      </c>
      <c r="J5663" s="3" t="s">
        <v>62</v>
      </c>
      <c r="K5663" s="3" t="s">
        <v>63</v>
      </c>
      <c r="M5663" s="2" t="s">
        <v>2739</v>
      </c>
      <c r="N5663" s="3" t="s">
        <v>149</v>
      </c>
      <c r="P5663" s="3" t="s">
        <v>65</v>
      </c>
      <c r="Q5663" s="2" t="s">
        <v>54373</v>
      </c>
      <c r="R5663" s="3" t="s">
        <v>66</v>
      </c>
      <c r="S5663" s="4">
        <v>0</v>
      </c>
      <c r="T5663" s="4">
        <v>0</v>
      </c>
      <c r="W5663" s="5" t="s">
        <v>67</v>
      </c>
      <c r="X5663" s="5" t="s">
        <v>67</v>
      </c>
      <c r="Y5663" s="4">
        <v>75</v>
      </c>
      <c r="Z5663" s="4">
        <v>7</v>
      </c>
      <c r="AA5663" s="4">
        <v>88</v>
      </c>
      <c r="AB5663" s="4">
        <v>1</v>
      </c>
      <c r="AC5663" s="4">
        <v>17</v>
      </c>
      <c r="AD5663" s="4">
        <v>35</v>
      </c>
      <c r="AE5663" s="4">
        <v>100</v>
      </c>
      <c r="AF5663" s="4">
        <v>0</v>
      </c>
      <c r="AG5663" s="4">
        <v>8</v>
      </c>
      <c r="AH5663" s="4">
        <v>33</v>
      </c>
      <c r="AI5663" s="4">
        <v>66</v>
      </c>
      <c r="AJ5663" s="4">
        <v>5</v>
      </c>
      <c r="AK5663" s="4">
        <v>21</v>
      </c>
      <c r="AL5663" s="4">
        <v>23</v>
      </c>
      <c r="AM5663" s="4">
        <v>34</v>
      </c>
      <c r="AN5663" s="4">
        <v>0</v>
      </c>
      <c r="AO5663" s="4">
        <v>0</v>
      </c>
      <c r="AP5663" s="4">
        <v>5</v>
      </c>
      <c r="AQ5663" s="4">
        <v>42</v>
      </c>
      <c r="AR5663" s="3" t="s">
        <v>62</v>
      </c>
      <c r="AS5663" s="3" t="s">
        <v>62</v>
      </c>
      <c r="AT5663" s="3" t="s">
        <v>62</v>
      </c>
      <c r="AV5663" s="6" t="str">
        <f>HYPERLINK("http://mcgill.on.worldcat.org/oclc/542321850","Catalog Record")</f>
        <v>Catalog Record</v>
      </c>
      <c r="AW5663" s="6" t="str">
        <f>HYPERLINK("http://www.worldcat.org/oclc/542321850","WorldCat Record")</f>
        <v>WorldCat Record</v>
      </c>
      <c r="AX5663" s="3" t="s">
        <v>54374</v>
      </c>
      <c r="AY5663" s="3" t="s">
        <v>54375</v>
      </c>
      <c r="AZ5663" s="3" t="s">
        <v>54376</v>
      </c>
      <c r="BA5663" s="3" t="s">
        <v>54376</v>
      </c>
      <c r="BB5663" s="3" t="s">
        <v>54377</v>
      </c>
      <c r="BC5663" s="3" t="s">
        <v>142</v>
      </c>
      <c r="BD5663" s="3" t="s">
        <v>68</v>
      </c>
      <c r="BE5663" s="3" t="s">
        <v>54378</v>
      </c>
      <c r="BF5663" s="3" t="s">
        <v>54377</v>
      </c>
      <c r="BG5663" s="3" t="s">
        <v>54379</v>
      </c>
    </row>
    <row r="5664" spans="1:59" ht="57" x14ac:dyDescent="0.45">
      <c r="A5664" s="2" t="s">
        <v>59</v>
      </c>
      <c r="B5664" s="2" t="s">
        <v>60</v>
      </c>
      <c r="C5664" s="2" t="s">
        <v>54380</v>
      </c>
      <c r="D5664" s="2" t="s">
        <v>54381</v>
      </c>
      <c r="E5664" s="2" t="s">
        <v>54382</v>
      </c>
      <c r="G5664" s="3" t="s">
        <v>62</v>
      </c>
      <c r="H5664" s="3" t="s">
        <v>3960</v>
      </c>
      <c r="I5664" s="3" t="s">
        <v>62</v>
      </c>
      <c r="J5664" s="3" t="s">
        <v>62</v>
      </c>
      <c r="K5664" s="3" t="s">
        <v>63</v>
      </c>
      <c r="L5664" s="2" t="s">
        <v>54383</v>
      </c>
      <c r="M5664" s="2" t="s">
        <v>54384</v>
      </c>
      <c r="N5664" s="3" t="s">
        <v>19337</v>
      </c>
      <c r="P5664" s="3" t="s">
        <v>65</v>
      </c>
      <c r="Q5664" s="2" t="s">
        <v>54385</v>
      </c>
      <c r="R5664" s="3" t="s">
        <v>66</v>
      </c>
      <c r="S5664" s="4">
        <v>0</v>
      </c>
      <c r="T5664" s="4">
        <v>0</v>
      </c>
      <c r="W5664" s="5" t="s">
        <v>1061</v>
      </c>
      <c r="X5664" s="5" t="s">
        <v>1061</v>
      </c>
      <c r="Y5664" s="4">
        <v>32</v>
      </c>
      <c r="Z5664" s="4">
        <v>2</v>
      </c>
      <c r="AA5664" s="4">
        <v>2</v>
      </c>
      <c r="AB5664" s="4">
        <v>1</v>
      </c>
      <c r="AC5664" s="4">
        <v>1</v>
      </c>
      <c r="AD5664" s="4">
        <v>6</v>
      </c>
      <c r="AE5664" s="4">
        <v>6</v>
      </c>
      <c r="AF5664" s="4">
        <v>0</v>
      </c>
      <c r="AG5664" s="4">
        <v>0</v>
      </c>
      <c r="AH5664" s="4">
        <v>6</v>
      </c>
      <c r="AI5664" s="4">
        <v>6</v>
      </c>
      <c r="AJ5664" s="4">
        <v>0</v>
      </c>
      <c r="AK5664" s="4">
        <v>0</v>
      </c>
      <c r="AL5664" s="4">
        <v>5</v>
      </c>
      <c r="AM5664" s="4">
        <v>5</v>
      </c>
      <c r="AN5664" s="4">
        <v>0</v>
      </c>
      <c r="AO5664" s="4">
        <v>0</v>
      </c>
      <c r="AP5664" s="4">
        <v>0</v>
      </c>
      <c r="AQ5664" s="4">
        <v>0</v>
      </c>
      <c r="AR5664" s="3" t="s">
        <v>62</v>
      </c>
      <c r="AS5664" s="3" t="s">
        <v>62</v>
      </c>
      <c r="AT5664" s="3" t="s">
        <v>62</v>
      </c>
      <c r="AV5664" s="6" t="str">
        <f>HYPERLINK("http://mcgill.on.worldcat.org/oclc/1028168058","Catalog Record")</f>
        <v>Catalog Record</v>
      </c>
      <c r="AW5664" s="6" t="str">
        <f>HYPERLINK("http://www.worldcat.org/oclc/1028168058","WorldCat Record")</f>
        <v>WorldCat Record</v>
      </c>
      <c r="AX5664" s="3" t="s">
        <v>54386</v>
      </c>
      <c r="AY5664" s="3" t="s">
        <v>54387</v>
      </c>
      <c r="AZ5664" s="3" t="s">
        <v>54388</v>
      </c>
      <c r="BA5664" s="3" t="s">
        <v>54388</v>
      </c>
      <c r="BB5664" s="3" t="s">
        <v>54389</v>
      </c>
      <c r="BC5664" s="3" t="s">
        <v>142</v>
      </c>
      <c r="BD5664" s="3" t="s">
        <v>68</v>
      </c>
      <c r="BE5664" s="3" t="s">
        <v>54390</v>
      </c>
      <c r="BF5664" s="3" t="s">
        <v>54389</v>
      </c>
      <c r="BG5664" s="3" t="s">
        <v>54391</v>
      </c>
    </row>
    <row r="5665" spans="1:59" ht="57" x14ac:dyDescent="0.45">
      <c r="A5665" s="2" t="s">
        <v>59</v>
      </c>
      <c r="B5665" s="2" t="s">
        <v>60</v>
      </c>
      <c r="C5665" s="2" t="s">
        <v>54392</v>
      </c>
      <c r="D5665" s="2" t="s">
        <v>54393</v>
      </c>
      <c r="E5665" s="2" t="s">
        <v>54394</v>
      </c>
      <c r="G5665" s="3" t="s">
        <v>62</v>
      </c>
      <c r="I5665" s="3" t="s">
        <v>62</v>
      </c>
      <c r="J5665" s="3" t="s">
        <v>62</v>
      </c>
      <c r="K5665" s="3" t="s">
        <v>63</v>
      </c>
      <c r="L5665" s="2" t="s">
        <v>54395</v>
      </c>
      <c r="M5665" s="2" t="s">
        <v>54396</v>
      </c>
      <c r="N5665" s="3" t="s">
        <v>195</v>
      </c>
      <c r="O5665" s="2" t="s">
        <v>10948</v>
      </c>
      <c r="P5665" s="3" t="s">
        <v>110</v>
      </c>
      <c r="Q5665" s="2" t="s">
        <v>54397</v>
      </c>
      <c r="R5665" s="3" t="s">
        <v>66</v>
      </c>
      <c r="S5665" s="4">
        <v>21</v>
      </c>
      <c r="T5665" s="4">
        <v>21</v>
      </c>
      <c r="U5665" s="5" t="s">
        <v>18408</v>
      </c>
      <c r="V5665" s="5" t="s">
        <v>18408</v>
      </c>
      <c r="W5665" s="5" t="s">
        <v>67</v>
      </c>
      <c r="X5665" s="5" t="s">
        <v>67</v>
      </c>
      <c r="Y5665" s="4">
        <v>135</v>
      </c>
      <c r="Z5665" s="4">
        <v>23</v>
      </c>
      <c r="AA5665" s="4">
        <v>25</v>
      </c>
      <c r="AB5665" s="4">
        <v>15</v>
      </c>
      <c r="AC5665" s="4">
        <v>15</v>
      </c>
      <c r="AD5665" s="4">
        <v>18</v>
      </c>
      <c r="AE5665" s="4">
        <v>23</v>
      </c>
      <c r="AF5665" s="4">
        <v>5</v>
      </c>
      <c r="AG5665" s="4">
        <v>5</v>
      </c>
      <c r="AH5665" s="4">
        <v>12</v>
      </c>
      <c r="AI5665" s="4">
        <v>16</v>
      </c>
      <c r="AJ5665" s="4">
        <v>9</v>
      </c>
      <c r="AK5665" s="4">
        <v>10</v>
      </c>
      <c r="AL5665" s="4">
        <v>7</v>
      </c>
      <c r="AM5665" s="4">
        <v>8</v>
      </c>
      <c r="AN5665" s="4">
        <v>0</v>
      </c>
      <c r="AO5665" s="4">
        <v>0</v>
      </c>
      <c r="AP5665" s="4">
        <v>10</v>
      </c>
      <c r="AQ5665" s="4">
        <v>12</v>
      </c>
      <c r="AR5665" s="3" t="s">
        <v>62</v>
      </c>
      <c r="AS5665" s="3" t="s">
        <v>62</v>
      </c>
      <c r="AT5665" s="3" t="s">
        <v>61</v>
      </c>
      <c r="AU5665" s="6" t="str">
        <f>HYPERLINK("http://catalog.hathitrust.org/Record/007014674","HathiTrust Record")</f>
        <v>HathiTrust Record</v>
      </c>
      <c r="AV5665" s="6" t="str">
        <f>HYPERLINK("http://mcgill.on.worldcat.org/oclc/28869684","Catalog Record")</f>
        <v>Catalog Record</v>
      </c>
      <c r="AW5665" s="6" t="str">
        <f>HYPERLINK("http://www.worldcat.org/oclc/28869684","WorldCat Record")</f>
        <v>WorldCat Record</v>
      </c>
      <c r="AX5665" s="3" t="s">
        <v>54398</v>
      </c>
      <c r="AY5665" s="3" t="s">
        <v>54399</v>
      </c>
      <c r="AZ5665" s="3" t="s">
        <v>54400</v>
      </c>
      <c r="BA5665" s="3" t="s">
        <v>54400</v>
      </c>
      <c r="BB5665" s="3" t="s">
        <v>54401</v>
      </c>
      <c r="BC5665" s="3" t="s">
        <v>142</v>
      </c>
      <c r="BD5665" s="3" t="s">
        <v>68</v>
      </c>
      <c r="BE5665" s="3" t="s">
        <v>54402</v>
      </c>
      <c r="BF5665" s="3" t="s">
        <v>54401</v>
      </c>
      <c r="BG5665" s="3" t="s">
        <v>54403</v>
      </c>
    </row>
    <row r="5666" spans="1:59" ht="57" x14ac:dyDescent="0.45">
      <c r="A5666" s="2" t="s">
        <v>59</v>
      </c>
      <c r="B5666" s="2" t="s">
        <v>60</v>
      </c>
      <c r="C5666" s="2" t="s">
        <v>54404</v>
      </c>
      <c r="D5666" s="2" t="s">
        <v>54405</v>
      </c>
      <c r="E5666" s="2" t="s">
        <v>54406</v>
      </c>
      <c r="G5666" s="3" t="s">
        <v>62</v>
      </c>
      <c r="I5666" s="3" t="s">
        <v>61</v>
      </c>
      <c r="J5666" s="3" t="s">
        <v>62</v>
      </c>
      <c r="K5666" s="3" t="s">
        <v>63</v>
      </c>
      <c r="L5666" s="2" t="s">
        <v>54407</v>
      </c>
      <c r="M5666" s="2" t="s">
        <v>54408</v>
      </c>
      <c r="N5666" s="3" t="s">
        <v>1073</v>
      </c>
      <c r="P5666" s="3" t="s">
        <v>65</v>
      </c>
      <c r="Q5666" s="2" t="s">
        <v>54409</v>
      </c>
      <c r="R5666" s="3" t="s">
        <v>66</v>
      </c>
      <c r="S5666" s="4">
        <v>0</v>
      </c>
      <c r="T5666" s="4">
        <v>2</v>
      </c>
      <c r="V5666" s="5" t="s">
        <v>54410</v>
      </c>
      <c r="W5666" s="5" t="s">
        <v>67</v>
      </c>
      <c r="X5666" s="5" t="s">
        <v>67</v>
      </c>
      <c r="Y5666" s="4">
        <v>212</v>
      </c>
      <c r="Z5666" s="4">
        <v>15</v>
      </c>
      <c r="AA5666" s="4">
        <v>21</v>
      </c>
      <c r="AB5666" s="4">
        <v>1</v>
      </c>
      <c r="AC5666" s="4">
        <v>4</v>
      </c>
      <c r="AD5666" s="4">
        <v>93</v>
      </c>
      <c r="AE5666" s="4">
        <v>98</v>
      </c>
      <c r="AF5666" s="4">
        <v>0</v>
      </c>
      <c r="AG5666" s="4">
        <v>1</v>
      </c>
      <c r="AH5666" s="4">
        <v>88</v>
      </c>
      <c r="AI5666" s="4">
        <v>91</v>
      </c>
      <c r="AJ5666" s="4">
        <v>10</v>
      </c>
      <c r="AK5666" s="4">
        <v>14</v>
      </c>
      <c r="AL5666" s="4">
        <v>49</v>
      </c>
      <c r="AM5666" s="4">
        <v>50</v>
      </c>
      <c r="AN5666" s="4">
        <v>0</v>
      </c>
      <c r="AO5666" s="4">
        <v>0</v>
      </c>
      <c r="AP5666" s="4">
        <v>12</v>
      </c>
      <c r="AQ5666" s="4">
        <v>16</v>
      </c>
      <c r="AR5666" s="3" t="s">
        <v>62</v>
      </c>
      <c r="AS5666" s="3" t="s">
        <v>62</v>
      </c>
      <c r="AT5666" s="3" t="s">
        <v>61</v>
      </c>
      <c r="AU5666" s="6" t="str">
        <f>HYPERLINK("http://catalog.hathitrust.org/Record/000940235","HathiTrust Record")</f>
        <v>HathiTrust Record</v>
      </c>
      <c r="AV5666" s="6" t="str">
        <f>HYPERLINK("http://mcgill.on.worldcat.org/oclc/2521396","Catalog Record")</f>
        <v>Catalog Record</v>
      </c>
      <c r="AW5666" s="6" t="str">
        <f>HYPERLINK("http://www.worldcat.org/oclc/2521396","WorldCat Record")</f>
        <v>WorldCat Record</v>
      </c>
      <c r="AX5666" s="3" t="s">
        <v>54411</v>
      </c>
      <c r="AY5666" s="3" t="s">
        <v>54412</v>
      </c>
      <c r="AZ5666" s="3" t="s">
        <v>54413</v>
      </c>
      <c r="BA5666" s="3" t="s">
        <v>54413</v>
      </c>
      <c r="BB5666" s="3" t="s">
        <v>54414</v>
      </c>
      <c r="BC5666" s="3" t="s">
        <v>142</v>
      </c>
      <c r="BD5666" s="3" t="s">
        <v>68</v>
      </c>
      <c r="BE5666" s="3" t="s">
        <v>54415</v>
      </c>
      <c r="BF5666" s="3" t="s">
        <v>54414</v>
      </c>
      <c r="BG5666" s="3" t="s">
        <v>54416</v>
      </c>
    </row>
    <row r="5667" spans="1:59" ht="57" x14ac:dyDescent="0.45">
      <c r="A5667" s="2" t="s">
        <v>59</v>
      </c>
      <c r="B5667" s="2" t="s">
        <v>60</v>
      </c>
      <c r="C5667" s="2" t="s">
        <v>54404</v>
      </c>
      <c r="D5667" s="2" t="s">
        <v>54405</v>
      </c>
      <c r="E5667" s="2" t="s">
        <v>54406</v>
      </c>
      <c r="G5667" s="3" t="s">
        <v>62</v>
      </c>
      <c r="I5667" s="3" t="s">
        <v>61</v>
      </c>
      <c r="J5667" s="3" t="s">
        <v>62</v>
      </c>
      <c r="K5667" s="3" t="s">
        <v>63</v>
      </c>
      <c r="L5667" s="2" t="s">
        <v>54407</v>
      </c>
      <c r="M5667" s="2" t="s">
        <v>54408</v>
      </c>
      <c r="N5667" s="3" t="s">
        <v>1073</v>
      </c>
      <c r="P5667" s="3" t="s">
        <v>65</v>
      </c>
      <c r="Q5667" s="2" t="s">
        <v>54409</v>
      </c>
      <c r="R5667" s="3" t="s">
        <v>66</v>
      </c>
      <c r="S5667" s="4">
        <v>2</v>
      </c>
      <c r="T5667" s="4">
        <v>2</v>
      </c>
      <c r="U5667" s="5" t="s">
        <v>54410</v>
      </c>
      <c r="V5667" s="5" t="s">
        <v>54410</v>
      </c>
      <c r="W5667" s="5" t="s">
        <v>67</v>
      </c>
      <c r="X5667" s="5" t="s">
        <v>67</v>
      </c>
      <c r="Y5667" s="4">
        <v>212</v>
      </c>
      <c r="Z5667" s="4">
        <v>15</v>
      </c>
      <c r="AA5667" s="4">
        <v>21</v>
      </c>
      <c r="AB5667" s="4">
        <v>1</v>
      </c>
      <c r="AC5667" s="4">
        <v>4</v>
      </c>
      <c r="AD5667" s="4">
        <v>93</v>
      </c>
      <c r="AE5667" s="4">
        <v>98</v>
      </c>
      <c r="AF5667" s="4">
        <v>0</v>
      </c>
      <c r="AG5667" s="4">
        <v>1</v>
      </c>
      <c r="AH5667" s="4">
        <v>88</v>
      </c>
      <c r="AI5667" s="4">
        <v>91</v>
      </c>
      <c r="AJ5667" s="4">
        <v>10</v>
      </c>
      <c r="AK5667" s="4">
        <v>14</v>
      </c>
      <c r="AL5667" s="4">
        <v>49</v>
      </c>
      <c r="AM5667" s="4">
        <v>50</v>
      </c>
      <c r="AN5667" s="4">
        <v>0</v>
      </c>
      <c r="AO5667" s="4">
        <v>0</v>
      </c>
      <c r="AP5667" s="4">
        <v>12</v>
      </c>
      <c r="AQ5667" s="4">
        <v>16</v>
      </c>
      <c r="AR5667" s="3" t="s">
        <v>62</v>
      </c>
      <c r="AS5667" s="3" t="s">
        <v>62</v>
      </c>
      <c r="AT5667" s="3" t="s">
        <v>61</v>
      </c>
      <c r="AU5667" s="6" t="str">
        <f>HYPERLINK("http://catalog.hathitrust.org/Record/000940235","HathiTrust Record")</f>
        <v>HathiTrust Record</v>
      </c>
      <c r="AV5667" s="6" t="str">
        <f>HYPERLINK("http://mcgill.on.worldcat.org/oclc/2521396","Catalog Record")</f>
        <v>Catalog Record</v>
      </c>
      <c r="AW5667" s="6" t="str">
        <f>HYPERLINK("http://www.worldcat.org/oclc/2521396","WorldCat Record")</f>
        <v>WorldCat Record</v>
      </c>
      <c r="AX5667" s="3" t="s">
        <v>54411</v>
      </c>
      <c r="AY5667" s="3" t="s">
        <v>54412</v>
      </c>
      <c r="AZ5667" s="3" t="s">
        <v>54413</v>
      </c>
      <c r="BA5667" s="3" t="s">
        <v>54413</v>
      </c>
      <c r="BB5667" s="3" t="s">
        <v>54417</v>
      </c>
      <c r="BC5667" s="3" t="s">
        <v>142</v>
      </c>
      <c r="BD5667" s="3" t="s">
        <v>68</v>
      </c>
      <c r="BE5667" s="3" t="s">
        <v>54415</v>
      </c>
      <c r="BF5667" s="3" t="s">
        <v>54417</v>
      </c>
      <c r="BG5667" s="3" t="s">
        <v>54418</v>
      </c>
    </row>
    <row r="5668" spans="1:59" ht="57" x14ac:dyDescent="0.45">
      <c r="A5668" s="2" t="s">
        <v>59</v>
      </c>
      <c r="B5668" s="2" t="s">
        <v>60</v>
      </c>
      <c r="C5668" s="2" t="s">
        <v>54419</v>
      </c>
      <c r="D5668" s="2" t="s">
        <v>54420</v>
      </c>
      <c r="E5668" s="2" t="s">
        <v>54421</v>
      </c>
      <c r="G5668" s="3" t="s">
        <v>62</v>
      </c>
      <c r="I5668" s="3" t="s">
        <v>62</v>
      </c>
      <c r="J5668" s="3" t="s">
        <v>62</v>
      </c>
      <c r="K5668" s="3" t="s">
        <v>63</v>
      </c>
      <c r="M5668" s="2" t="s">
        <v>54422</v>
      </c>
      <c r="N5668" s="3" t="s">
        <v>1097</v>
      </c>
      <c r="P5668" s="3" t="s">
        <v>110</v>
      </c>
      <c r="Q5668" s="2" t="s">
        <v>54423</v>
      </c>
      <c r="R5668" s="3" t="s">
        <v>66</v>
      </c>
      <c r="S5668" s="4">
        <v>3</v>
      </c>
      <c r="T5668" s="4">
        <v>3</v>
      </c>
      <c r="U5668" s="5" t="s">
        <v>11364</v>
      </c>
      <c r="V5668" s="5" t="s">
        <v>11364</v>
      </c>
      <c r="W5668" s="5" t="s">
        <v>67</v>
      </c>
      <c r="X5668" s="5" t="s">
        <v>67</v>
      </c>
      <c r="Y5668" s="4">
        <v>22</v>
      </c>
      <c r="Z5668" s="4">
        <v>3</v>
      </c>
      <c r="AA5668" s="4">
        <v>6</v>
      </c>
      <c r="AB5668" s="4">
        <v>1</v>
      </c>
      <c r="AC5668" s="4">
        <v>3</v>
      </c>
      <c r="AD5668" s="4">
        <v>11</v>
      </c>
      <c r="AE5668" s="4">
        <v>14</v>
      </c>
      <c r="AF5668" s="4">
        <v>0</v>
      </c>
      <c r="AG5668" s="4">
        <v>2</v>
      </c>
      <c r="AH5668" s="4">
        <v>10</v>
      </c>
      <c r="AI5668" s="4">
        <v>10</v>
      </c>
      <c r="AJ5668" s="4">
        <v>1</v>
      </c>
      <c r="AK5668" s="4">
        <v>3</v>
      </c>
      <c r="AL5668" s="4">
        <v>11</v>
      </c>
      <c r="AM5668" s="4">
        <v>11</v>
      </c>
      <c r="AN5668" s="4">
        <v>0</v>
      </c>
      <c r="AO5668" s="4">
        <v>0</v>
      </c>
      <c r="AP5668" s="4">
        <v>1</v>
      </c>
      <c r="AQ5668" s="4">
        <v>3</v>
      </c>
      <c r="AR5668" s="3" t="s">
        <v>62</v>
      </c>
      <c r="AS5668" s="3" t="s">
        <v>62</v>
      </c>
      <c r="AT5668" s="3" t="s">
        <v>62</v>
      </c>
      <c r="AV5668" s="6" t="str">
        <f>HYPERLINK("http://mcgill.on.worldcat.org/oclc/56795143","Catalog Record")</f>
        <v>Catalog Record</v>
      </c>
      <c r="AW5668" s="6" t="str">
        <f>HYPERLINK("http://www.worldcat.org/oclc/56795143","WorldCat Record")</f>
        <v>WorldCat Record</v>
      </c>
      <c r="AX5668" s="3" t="s">
        <v>54424</v>
      </c>
      <c r="AY5668" s="3" t="s">
        <v>54425</v>
      </c>
      <c r="AZ5668" s="3" t="s">
        <v>54426</v>
      </c>
      <c r="BA5668" s="3" t="s">
        <v>54426</v>
      </c>
      <c r="BB5668" s="3" t="s">
        <v>54427</v>
      </c>
      <c r="BC5668" s="3" t="s">
        <v>142</v>
      </c>
      <c r="BD5668" s="3" t="s">
        <v>68</v>
      </c>
      <c r="BE5668" s="3" t="s">
        <v>54428</v>
      </c>
      <c r="BF5668" s="3" t="s">
        <v>54427</v>
      </c>
      <c r="BG5668" s="3" t="s">
        <v>54429</v>
      </c>
    </row>
    <row r="5669" spans="1:59" ht="57" x14ac:dyDescent="0.45">
      <c r="A5669" s="2" t="s">
        <v>59</v>
      </c>
      <c r="B5669" s="2" t="s">
        <v>60</v>
      </c>
      <c r="C5669" s="2" t="s">
        <v>54430</v>
      </c>
      <c r="D5669" s="2" t="s">
        <v>54431</v>
      </c>
      <c r="E5669" s="2" t="s">
        <v>54432</v>
      </c>
      <c r="G5669" s="3" t="s">
        <v>62</v>
      </c>
      <c r="I5669" s="3" t="s">
        <v>62</v>
      </c>
      <c r="J5669" s="3" t="s">
        <v>62</v>
      </c>
      <c r="K5669" s="3" t="s">
        <v>63</v>
      </c>
      <c r="L5669" s="2" t="s">
        <v>54433</v>
      </c>
      <c r="M5669" s="2" t="s">
        <v>45426</v>
      </c>
      <c r="N5669" s="3" t="s">
        <v>181</v>
      </c>
      <c r="P5669" s="3" t="s">
        <v>110</v>
      </c>
      <c r="Q5669" s="2" t="s">
        <v>54434</v>
      </c>
      <c r="R5669" s="3" t="s">
        <v>66</v>
      </c>
      <c r="S5669" s="4">
        <v>0</v>
      </c>
      <c r="T5669" s="4">
        <v>0</v>
      </c>
      <c r="W5669" s="5" t="s">
        <v>67</v>
      </c>
      <c r="X5669" s="5" t="s">
        <v>67</v>
      </c>
      <c r="Y5669" s="4">
        <v>50</v>
      </c>
      <c r="Z5669" s="4">
        <v>10</v>
      </c>
      <c r="AA5669" s="4">
        <v>11</v>
      </c>
      <c r="AB5669" s="4">
        <v>1</v>
      </c>
      <c r="AC5669" s="4">
        <v>1</v>
      </c>
      <c r="AD5669" s="4">
        <v>35</v>
      </c>
      <c r="AE5669" s="4">
        <v>36</v>
      </c>
      <c r="AF5669" s="4">
        <v>0</v>
      </c>
      <c r="AG5669" s="4">
        <v>0</v>
      </c>
      <c r="AH5669" s="4">
        <v>32</v>
      </c>
      <c r="AI5669" s="4">
        <v>33</v>
      </c>
      <c r="AJ5669" s="4">
        <v>8</v>
      </c>
      <c r="AK5669" s="4">
        <v>9</v>
      </c>
      <c r="AL5669" s="4">
        <v>25</v>
      </c>
      <c r="AM5669" s="4">
        <v>25</v>
      </c>
      <c r="AN5669" s="4">
        <v>0</v>
      </c>
      <c r="AO5669" s="4">
        <v>0</v>
      </c>
      <c r="AP5669" s="4">
        <v>8</v>
      </c>
      <c r="AQ5669" s="4">
        <v>9</v>
      </c>
      <c r="AR5669" s="3" t="s">
        <v>62</v>
      </c>
      <c r="AS5669" s="3" t="s">
        <v>62</v>
      </c>
      <c r="AT5669" s="3" t="s">
        <v>62</v>
      </c>
      <c r="AV5669" s="6" t="str">
        <f>HYPERLINK("http://mcgill.on.worldcat.org/oclc/949196592","Catalog Record")</f>
        <v>Catalog Record</v>
      </c>
      <c r="AW5669" s="6" t="str">
        <f>HYPERLINK("http://www.worldcat.org/oclc/949196592","WorldCat Record")</f>
        <v>WorldCat Record</v>
      </c>
      <c r="AX5669" s="3" t="s">
        <v>54435</v>
      </c>
      <c r="AY5669" s="3" t="s">
        <v>54436</v>
      </c>
      <c r="AZ5669" s="3" t="s">
        <v>54437</v>
      </c>
      <c r="BA5669" s="3" t="s">
        <v>54437</v>
      </c>
      <c r="BB5669" s="3" t="s">
        <v>54438</v>
      </c>
      <c r="BC5669" s="3" t="s">
        <v>142</v>
      </c>
      <c r="BD5669" s="3" t="s">
        <v>68</v>
      </c>
      <c r="BE5669" s="3" t="s">
        <v>54439</v>
      </c>
      <c r="BF5669" s="3" t="s">
        <v>54438</v>
      </c>
      <c r="BG5669" s="3" t="s">
        <v>54440</v>
      </c>
    </row>
    <row r="5670" spans="1:59" ht="57" x14ac:dyDescent="0.45">
      <c r="A5670" s="2" t="s">
        <v>59</v>
      </c>
      <c r="B5670" s="2" t="s">
        <v>60</v>
      </c>
      <c r="C5670" s="2" t="s">
        <v>54441</v>
      </c>
      <c r="D5670" s="2" t="s">
        <v>54442</v>
      </c>
      <c r="E5670" s="2" t="s">
        <v>54443</v>
      </c>
      <c r="G5670" s="3" t="s">
        <v>62</v>
      </c>
      <c r="I5670" s="3" t="s">
        <v>61</v>
      </c>
      <c r="J5670" s="3" t="s">
        <v>62</v>
      </c>
      <c r="K5670" s="3" t="s">
        <v>63</v>
      </c>
      <c r="L5670" s="2" t="s">
        <v>54444</v>
      </c>
      <c r="M5670" s="2" t="s">
        <v>50113</v>
      </c>
      <c r="N5670" s="3" t="s">
        <v>958</v>
      </c>
      <c r="P5670" s="3" t="s">
        <v>65</v>
      </c>
      <c r="R5670" s="3" t="s">
        <v>66</v>
      </c>
      <c r="S5670" s="4">
        <v>26</v>
      </c>
      <c r="T5670" s="4">
        <v>45</v>
      </c>
      <c r="U5670" s="5" t="s">
        <v>12711</v>
      </c>
      <c r="V5670" s="5" t="s">
        <v>2930</v>
      </c>
      <c r="W5670" s="5" t="s">
        <v>67</v>
      </c>
      <c r="X5670" s="5" t="s">
        <v>67</v>
      </c>
      <c r="Y5670" s="4">
        <v>333</v>
      </c>
      <c r="Z5670" s="4">
        <v>16</v>
      </c>
      <c r="AA5670" s="4">
        <v>22</v>
      </c>
      <c r="AB5670" s="4">
        <v>2</v>
      </c>
      <c r="AC5670" s="4">
        <v>7</v>
      </c>
      <c r="AD5670" s="4">
        <v>98</v>
      </c>
      <c r="AE5670" s="4">
        <v>102</v>
      </c>
      <c r="AF5670" s="4">
        <v>1</v>
      </c>
      <c r="AG5670" s="4">
        <v>3</v>
      </c>
      <c r="AH5670" s="4">
        <v>86</v>
      </c>
      <c r="AI5670" s="4">
        <v>88</v>
      </c>
      <c r="AJ5670" s="4">
        <v>9</v>
      </c>
      <c r="AK5670" s="4">
        <v>12</v>
      </c>
      <c r="AL5670" s="4">
        <v>50</v>
      </c>
      <c r="AM5670" s="4">
        <v>50</v>
      </c>
      <c r="AN5670" s="4">
        <v>0</v>
      </c>
      <c r="AO5670" s="4">
        <v>0</v>
      </c>
      <c r="AP5670" s="4">
        <v>13</v>
      </c>
      <c r="AQ5670" s="4">
        <v>15</v>
      </c>
      <c r="AR5670" s="3" t="s">
        <v>62</v>
      </c>
      <c r="AS5670" s="3" t="s">
        <v>62</v>
      </c>
      <c r="AT5670" s="3" t="s">
        <v>61</v>
      </c>
      <c r="AU5670" s="6" t="str">
        <f>HYPERLINK("http://catalog.hathitrust.org/Record/002914186","HathiTrust Record")</f>
        <v>HathiTrust Record</v>
      </c>
      <c r="AV5670" s="6" t="str">
        <f>HYPERLINK("http://mcgill.on.worldcat.org/oclc/30438625","Catalog Record")</f>
        <v>Catalog Record</v>
      </c>
      <c r="AW5670" s="6" t="str">
        <f>HYPERLINK("http://www.worldcat.org/oclc/30438625","WorldCat Record")</f>
        <v>WorldCat Record</v>
      </c>
      <c r="AX5670" s="3" t="s">
        <v>54445</v>
      </c>
      <c r="AY5670" s="3" t="s">
        <v>54446</v>
      </c>
      <c r="AZ5670" s="3" t="s">
        <v>54447</v>
      </c>
      <c r="BA5670" s="3" t="s">
        <v>54447</v>
      </c>
      <c r="BB5670" s="3" t="s">
        <v>54448</v>
      </c>
      <c r="BC5670" s="3" t="s">
        <v>142</v>
      </c>
      <c r="BD5670" s="3" t="s">
        <v>68</v>
      </c>
      <c r="BE5670" s="3" t="s">
        <v>54449</v>
      </c>
      <c r="BF5670" s="3" t="s">
        <v>54448</v>
      </c>
      <c r="BG5670" s="3" t="s">
        <v>54450</v>
      </c>
    </row>
    <row r="5671" spans="1:59" ht="57" x14ac:dyDescent="0.45">
      <c r="A5671" s="2" t="s">
        <v>59</v>
      </c>
      <c r="B5671" s="2" t="s">
        <v>60</v>
      </c>
      <c r="C5671" s="2" t="s">
        <v>54441</v>
      </c>
      <c r="D5671" s="2" t="s">
        <v>54442</v>
      </c>
      <c r="E5671" s="2" t="s">
        <v>54443</v>
      </c>
      <c r="G5671" s="3" t="s">
        <v>62</v>
      </c>
      <c r="I5671" s="3" t="s">
        <v>61</v>
      </c>
      <c r="J5671" s="3" t="s">
        <v>62</v>
      </c>
      <c r="K5671" s="3" t="s">
        <v>63</v>
      </c>
      <c r="L5671" s="2" t="s">
        <v>54444</v>
      </c>
      <c r="M5671" s="2" t="s">
        <v>50113</v>
      </c>
      <c r="N5671" s="3" t="s">
        <v>958</v>
      </c>
      <c r="P5671" s="3" t="s">
        <v>65</v>
      </c>
      <c r="R5671" s="3" t="s">
        <v>66</v>
      </c>
      <c r="S5671" s="4">
        <v>19</v>
      </c>
      <c r="T5671" s="4">
        <v>45</v>
      </c>
      <c r="U5671" s="5" t="s">
        <v>2930</v>
      </c>
      <c r="V5671" s="5" t="s">
        <v>2930</v>
      </c>
      <c r="W5671" s="5" t="s">
        <v>67</v>
      </c>
      <c r="X5671" s="5" t="s">
        <v>67</v>
      </c>
      <c r="Y5671" s="4">
        <v>333</v>
      </c>
      <c r="Z5671" s="4">
        <v>16</v>
      </c>
      <c r="AA5671" s="4">
        <v>22</v>
      </c>
      <c r="AB5671" s="4">
        <v>2</v>
      </c>
      <c r="AC5671" s="4">
        <v>7</v>
      </c>
      <c r="AD5671" s="4">
        <v>98</v>
      </c>
      <c r="AE5671" s="4">
        <v>102</v>
      </c>
      <c r="AF5671" s="4">
        <v>1</v>
      </c>
      <c r="AG5671" s="4">
        <v>3</v>
      </c>
      <c r="AH5671" s="4">
        <v>86</v>
      </c>
      <c r="AI5671" s="4">
        <v>88</v>
      </c>
      <c r="AJ5671" s="4">
        <v>9</v>
      </c>
      <c r="AK5671" s="4">
        <v>12</v>
      </c>
      <c r="AL5671" s="4">
        <v>50</v>
      </c>
      <c r="AM5671" s="4">
        <v>50</v>
      </c>
      <c r="AN5671" s="4">
        <v>0</v>
      </c>
      <c r="AO5671" s="4">
        <v>0</v>
      </c>
      <c r="AP5671" s="4">
        <v>13</v>
      </c>
      <c r="AQ5671" s="4">
        <v>15</v>
      </c>
      <c r="AR5671" s="3" t="s">
        <v>62</v>
      </c>
      <c r="AS5671" s="3" t="s">
        <v>62</v>
      </c>
      <c r="AT5671" s="3" t="s">
        <v>61</v>
      </c>
      <c r="AU5671" s="6" t="str">
        <f>HYPERLINK("http://catalog.hathitrust.org/Record/002914186","HathiTrust Record")</f>
        <v>HathiTrust Record</v>
      </c>
      <c r="AV5671" s="6" t="str">
        <f>HYPERLINK("http://mcgill.on.worldcat.org/oclc/30438625","Catalog Record")</f>
        <v>Catalog Record</v>
      </c>
      <c r="AW5671" s="6" t="str">
        <f>HYPERLINK("http://www.worldcat.org/oclc/30438625","WorldCat Record")</f>
        <v>WorldCat Record</v>
      </c>
      <c r="AX5671" s="3" t="s">
        <v>54445</v>
      </c>
      <c r="AY5671" s="3" t="s">
        <v>54446</v>
      </c>
      <c r="AZ5671" s="3" t="s">
        <v>54447</v>
      </c>
      <c r="BA5671" s="3" t="s">
        <v>54447</v>
      </c>
      <c r="BB5671" s="3" t="s">
        <v>54451</v>
      </c>
      <c r="BC5671" s="3" t="s">
        <v>142</v>
      </c>
      <c r="BD5671" s="3" t="s">
        <v>68</v>
      </c>
      <c r="BE5671" s="3" t="s">
        <v>54449</v>
      </c>
      <c r="BF5671" s="3" t="s">
        <v>54451</v>
      </c>
      <c r="BG5671" s="3" t="s">
        <v>54452</v>
      </c>
    </row>
    <row r="5672" spans="1:59" ht="57" x14ac:dyDescent="0.45">
      <c r="A5672" s="2" t="s">
        <v>59</v>
      </c>
      <c r="B5672" s="2" t="s">
        <v>60</v>
      </c>
      <c r="C5672" s="2" t="s">
        <v>54453</v>
      </c>
      <c r="D5672" s="2" t="s">
        <v>54454</v>
      </c>
      <c r="E5672" s="2" t="s">
        <v>54455</v>
      </c>
      <c r="G5672" s="3" t="s">
        <v>62</v>
      </c>
      <c r="I5672" s="3" t="s">
        <v>62</v>
      </c>
      <c r="J5672" s="3" t="s">
        <v>62</v>
      </c>
      <c r="K5672" s="3" t="s">
        <v>63</v>
      </c>
      <c r="L5672" s="2" t="s">
        <v>54456</v>
      </c>
      <c r="M5672" s="2" t="s">
        <v>54457</v>
      </c>
      <c r="N5672" s="3" t="s">
        <v>149</v>
      </c>
      <c r="P5672" s="3" t="s">
        <v>65</v>
      </c>
      <c r="R5672" s="3" t="s">
        <v>66</v>
      </c>
      <c r="S5672" s="4">
        <v>0</v>
      </c>
      <c r="T5672" s="4">
        <v>0</v>
      </c>
      <c r="W5672" s="5" t="s">
        <v>67</v>
      </c>
      <c r="X5672" s="5" t="s">
        <v>67</v>
      </c>
      <c r="Y5672" s="4">
        <v>52</v>
      </c>
      <c r="Z5672" s="4">
        <v>6</v>
      </c>
      <c r="AA5672" s="4">
        <v>6</v>
      </c>
      <c r="AB5672" s="4">
        <v>1</v>
      </c>
      <c r="AC5672" s="4">
        <v>1</v>
      </c>
      <c r="AD5672" s="4">
        <v>26</v>
      </c>
      <c r="AE5672" s="4">
        <v>26</v>
      </c>
      <c r="AF5672" s="4">
        <v>0</v>
      </c>
      <c r="AG5672" s="4">
        <v>0</v>
      </c>
      <c r="AH5672" s="4">
        <v>24</v>
      </c>
      <c r="AI5672" s="4">
        <v>24</v>
      </c>
      <c r="AJ5672" s="4">
        <v>5</v>
      </c>
      <c r="AK5672" s="4">
        <v>5</v>
      </c>
      <c r="AL5672" s="4">
        <v>12</v>
      </c>
      <c r="AM5672" s="4">
        <v>12</v>
      </c>
      <c r="AN5672" s="4">
        <v>0</v>
      </c>
      <c r="AO5672" s="4">
        <v>0</v>
      </c>
      <c r="AP5672" s="4">
        <v>5</v>
      </c>
      <c r="AQ5672" s="4">
        <v>5</v>
      </c>
      <c r="AR5672" s="3" t="s">
        <v>62</v>
      </c>
      <c r="AS5672" s="3" t="s">
        <v>62</v>
      </c>
      <c r="AT5672" s="3" t="s">
        <v>62</v>
      </c>
      <c r="AV5672" s="6" t="str">
        <f>HYPERLINK("http://mcgill.on.worldcat.org/oclc/668371887","Catalog Record")</f>
        <v>Catalog Record</v>
      </c>
      <c r="AW5672" s="6" t="str">
        <f>HYPERLINK("http://www.worldcat.org/oclc/668371887","WorldCat Record")</f>
        <v>WorldCat Record</v>
      </c>
      <c r="AX5672" s="3" t="s">
        <v>54458</v>
      </c>
      <c r="AY5672" s="3" t="s">
        <v>54459</v>
      </c>
      <c r="AZ5672" s="3" t="s">
        <v>54460</v>
      </c>
      <c r="BA5672" s="3" t="s">
        <v>54460</v>
      </c>
      <c r="BB5672" s="3" t="s">
        <v>54461</v>
      </c>
      <c r="BC5672" s="3" t="s">
        <v>142</v>
      </c>
      <c r="BD5672" s="3" t="s">
        <v>68</v>
      </c>
      <c r="BE5672" s="3" t="s">
        <v>54462</v>
      </c>
      <c r="BF5672" s="3" t="s">
        <v>54461</v>
      </c>
      <c r="BG5672" s="3" t="s">
        <v>54463</v>
      </c>
    </row>
    <row r="5673" spans="1:59" ht="57" x14ac:dyDescent="0.45">
      <c r="A5673" s="2" t="s">
        <v>59</v>
      </c>
      <c r="B5673" s="2" t="s">
        <v>60</v>
      </c>
      <c r="C5673" s="2" t="s">
        <v>54464</v>
      </c>
      <c r="D5673" s="2" t="s">
        <v>54465</v>
      </c>
      <c r="E5673" s="2" t="s">
        <v>54466</v>
      </c>
      <c r="G5673" s="3" t="s">
        <v>62</v>
      </c>
      <c r="I5673" s="3" t="s">
        <v>62</v>
      </c>
      <c r="J5673" s="3" t="s">
        <v>61</v>
      </c>
      <c r="K5673" s="3" t="s">
        <v>63</v>
      </c>
      <c r="L5673" s="2" t="s">
        <v>54467</v>
      </c>
      <c r="M5673" s="2" t="s">
        <v>20741</v>
      </c>
      <c r="N5673" s="3" t="s">
        <v>208</v>
      </c>
      <c r="O5673" s="2" t="s">
        <v>10907</v>
      </c>
      <c r="P5673" s="3" t="s">
        <v>65</v>
      </c>
      <c r="R5673" s="3" t="s">
        <v>66</v>
      </c>
      <c r="S5673" s="4">
        <v>2</v>
      </c>
      <c r="T5673" s="4">
        <v>2</v>
      </c>
      <c r="U5673" s="5" t="s">
        <v>54468</v>
      </c>
      <c r="V5673" s="5" t="s">
        <v>54468</v>
      </c>
      <c r="W5673" s="5" t="s">
        <v>67</v>
      </c>
      <c r="X5673" s="5" t="s">
        <v>67</v>
      </c>
      <c r="Y5673" s="4">
        <v>81</v>
      </c>
      <c r="Z5673" s="4">
        <v>7</v>
      </c>
      <c r="AA5673" s="4">
        <v>35</v>
      </c>
      <c r="AB5673" s="4">
        <v>1</v>
      </c>
      <c r="AC5673" s="4">
        <v>5</v>
      </c>
      <c r="AD5673" s="4">
        <v>19</v>
      </c>
      <c r="AE5673" s="4">
        <v>91</v>
      </c>
      <c r="AF5673" s="4">
        <v>0</v>
      </c>
      <c r="AG5673" s="4">
        <v>4</v>
      </c>
      <c r="AH5673" s="4">
        <v>15</v>
      </c>
      <c r="AI5673" s="4">
        <v>71</v>
      </c>
      <c r="AJ5673" s="4">
        <v>4</v>
      </c>
      <c r="AK5673" s="4">
        <v>18</v>
      </c>
      <c r="AL5673" s="4">
        <v>10</v>
      </c>
      <c r="AM5673" s="4">
        <v>35</v>
      </c>
      <c r="AN5673" s="4">
        <v>0</v>
      </c>
      <c r="AO5673" s="4">
        <v>0</v>
      </c>
      <c r="AP5673" s="4">
        <v>5</v>
      </c>
      <c r="AQ5673" s="4">
        <v>28</v>
      </c>
      <c r="AR5673" s="3" t="s">
        <v>62</v>
      </c>
      <c r="AS5673" s="3" t="s">
        <v>62</v>
      </c>
      <c r="AT5673" s="3" t="s">
        <v>62</v>
      </c>
      <c r="AV5673" s="6" t="str">
        <f>HYPERLINK("http://mcgill.on.worldcat.org/oclc/856971351","Catalog Record")</f>
        <v>Catalog Record</v>
      </c>
      <c r="AW5673" s="6" t="str">
        <f>HYPERLINK("http://www.worldcat.org/oclc/856971351","WorldCat Record")</f>
        <v>WorldCat Record</v>
      </c>
      <c r="AX5673" s="3" t="s">
        <v>54469</v>
      </c>
      <c r="AY5673" s="3" t="s">
        <v>54470</v>
      </c>
      <c r="AZ5673" s="3" t="s">
        <v>54471</v>
      </c>
      <c r="BA5673" s="3" t="s">
        <v>54471</v>
      </c>
      <c r="BB5673" s="3" t="s">
        <v>54472</v>
      </c>
      <c r="BC5673" s="3" t="s">
        <v>142</v>
      </c>
      <c r="BD5673" s="3" t="s">
        <v>68</v>
      </c>
      <c r="BE5673" s="3" t="s">
        <v>54473</v>
      </c>
      <c r="BF5673" s="3" t="s">
        <v>54472</v>
      </c>
      <c r="BG5673" s="3" t="s">
        <v>54474</v>
      </c>
    </row>
    <row r="5674" spans="1:59" ht="57" x14ac:dyDescent="0.45">
      <c r="A5674" s="2" t="s">
        <v>59</v>
      </c>
      <c r="B5674" s="2" t="s">
        <v>60</v>
      </c>
      <c r="C5674" s="2" t="s">
        <v>54475</v>
      </c>
      <c r="D5674" s="2" t="s">
        <v>54476</v>
      </c>
      <c r="E5674" s="2" t="s">
        <v>54477</v>
      </c>
      <c r="G5674" s="3" t="s">
        <v>62</v>
      </c>
      <c r="I5674" s="3" t="s">
        <v>62</v>
      </c>
      <c r="J5674" s="3" t="s">
        <v>62</v>
      </c>
      <c r="K5674" s="3" t="s">
        <v>3960</v>
      </c>
      <c r="L5674" s="2" t="s">
        <v>54478</v>
      </c>
      <c r="M5674" s="2" t="s">
        <v>54479</v>
      </c>
      <c r="N5674" s="3" t="s">
        <v>820</v>
      </c>
      <c r="P5674" s="3" t="s">
        <v>65</v>
      </c>
      <c r="R5674" s="3" t="s">
        <v>66</v>
      </c>
      <c r="S5674" s="4">
        <v>1</v>
      </c>
      <c r="T5674" s="4">
        <v>1</v>
      </c>
      <c r="U5674" s="5" t="s">
        <v>54480</v>
      </c>
      <c r="V5674" s="5" t="s">
        <v>54480</v>
      </c>
      <c r="W5674" s="5" t="s">
        <v>67</v>
      </c>
      <c r="X5674" s="5" t="s">
        <v>67</v>
      </c>
      <c r="Y5674" s="4">
        <v>263</v>
      </c>
      <c r="Z5674" s="4">
        <v>18</v>
      </c>
      <c r="AA5674" s="4">
        <v>112</v>
      </c>
      <c r="AB5674" s="4">
        <v>2</v>
      </c>
      <c r="AC5674" s="4">
        <v>21</v>
      </c>
      <c r="AD5674" s="4">
        <v>86</v>
      </c>
      <c r="AE5674" s="4">
        <v>142</v>
      </c>
      <c r="AF5674" s="4">
        <v>0</v>
      </c>
      <c r="AG5674" s="4">
        <v>8</v>
      </c>
      <c r="AH5674" s="4">
        <v>79</v>
      </c>
      <c r="AI5674" s="4">
        <v>102</v>
      </c>
      <c r="AJ5674" s="4">
        <v>9</v>
      </c>
      <c r="AK5674" s="4">
        <v>24</v>
      </c>
      <c r="AL5674" s="4">
        <v>43</v>
      </c>
      <c r="AM5674" s="4">
        <v>55</v>
      </c>
      <c r="AN5674" s="4">
        <v>0</v>
      </c>
      <c r="AO5674" s="4">
        <v>0</v>
      </c>
      <c r="AP5674" s="4">
        <v>13</v>
      </c>
      <c r="AQ5674" s="4">
        <v>48</v>
      </c>
      <c r="AR5674" s="3" t="s">
        <v>62</v>
      </c>
      <c r="AS5674" s="3" t="s">
        <v>61</v>
      </c>
      <c r="AT5674" s="3" t="s">
        <v>61</v>
      </c>
      <c r="AU5674" s="6" t="str">
        <f>HYPERLINK("http://catalog.hathitrust.org/Record/005664503","HathiTrust Record")</f>
        <v>HathiTrust Record</v>
      </c>
      <c r="AV5674" s="6" t="str">
        <f>HYPERLINK("http://mcgill.on.worldcat.org/oclc/174501187","Catalog Record")</f>
        <v>Catalog Record</v>
      </c>
      <c r="AW5674" s="6" t="str">
        <f>HYPERLINK("http://www.worldcat.org/oclc/174501187","WorldCat Record")</f>
        <v>WorldCat Record</v>
      </c>
      <c r="AX5674" s="3" t="s">
        <v>54481</v>
      </c>
      <c r="AY5674" s="3" t="s">
        <v>54482</v>
      </c>
      <c r="AZ5674" s="3" t="s">
        <v>54483</v>
      </c>
      <c r="BA5674" s="3" t="s">
        <v>54483</v>
      </c>
      <c r="BB5674" s="3" t="s">
        <v>54484</v>
      </c>
      <c r="BC5674" s="3" t="s">
        <v>142</v>
      </c>
      <c r="BD5674" s="3" t="s">
        <v>68</v>
      </c>
      <c r="BE5674" s="3" t="s">
        <v>54485</v>
      </c>
      <c r="BF5674" s="3" t="s">
        <v>54484</v>
      </c>
      <c r="BG5674" s="3" t="s">
        <v>54486</v>
      </c>
    </row>
    <row r="5675" spans="1:59" ht="57" x14ac:dyDescent="0.45">
      <c r="A5675" s="2" t="s">
        <v>59</v>
      </c>
      <c r="B5675" s="2" t="s">
        <v>60</v>
      </c>
      <c r="C5675" s="2" t="s">
        <v>54487</v>
      </c>
      <c r="D5675" s="2" t="s">
        <v>54488</v>
      </c>
      <c r="E5675" s="2" t="s">
        <v>54489</v>
      </c>
      <c r="G5675" s="3" t="s">
        <v>62</v>
      </c>
      <c r="I5675" s="3" t="s">
        <v>62</v>
      </c>
      <c r="J5675" s="3" t="s">
        <v>62</v>
      </c>
      <c r="K5675" s="3" t="s">
        <v>63</v>
      </c>
      <c r="L5675" s="2" t="s">
        <v>48440</v>
      </c>
      <c r="M5675" s="2" t="s">
        <v>905</v>
      </c>
      <c r="N5675" s="3" t="s">
        <v>149</v>
      </c>
      <c r="P5675" s="3" t="s">
        <v>65</v>
      </c>
      <c r="R5675" s="3" t="s">
        <v>66</v>
      </c>
      <c r="S5675" s="4">
        <v>3</v>
      </c>
      <c r="T5675" s="4">
        <v>3</v>
      </c>
      <c r="U5675" s="5" t="s">
        <v>54490</v>
      </c>
      <c r="V5675" s="5" t="s">
        <v>54490</v>
      </c>
      <c r="W5675" s="5" t="s">
        <v>67</v>
      </c>
      <c r="X5675" s="5" t="s">
        <v>67</v>
      </c>
      <c r="Y5675" s="4">
        <v>263</v>
      </c>
      <c r="Z5675" s="4">
        <v>27</v>
      </c>
      <c r="AA5675" s="4">
        <v>86</v>
      </c>
      <c r="AB5675" s="4">
        <v>2</v>
      </c>
      <c r="AC5675" s="4">
        <v>15</v>
      </c>
      <c r="AD5675" s="4">
        <v>94</v>
      </c>
      <c r="AE5675" s="4">
        <v>132</v>
      </c>
      <c r="AF5675" s="4">
        <v>0</v>
      </c>
      <c r="AG5675" s="4">
        <v>8</v>
      </c>
      <c r="AH5675" s="4">
        <v>84</v>
      </c>
      <c r="AI5675" s="4">
        <v>96</v>
      </c>
      <c r="AJ5675" s="4">
        <v>17</v>
      </c>
      <c r="AK5675" s="4">
        <v>26</v>
      </c>
      <c r="AL5675" s="4">
        <v>47</v>
      </c>
      <c r="AM5675" s="4">
        <v>52</v>
      </c>
      <c r="AN5675" s="4">
        <v>0</v>
      </c>
      <c r="AO5675" s="4">
        <v>0</v>
      </c>
      <c r="AP5675" s="4">
        <v>21</v>
      </c>
      <c r="AQ5675" s="4">
        <v>46</v>
      </c>
      <c r="AR5675" s="3" t="s">
        <v>62</v>
      </c>
      <c r="AS5675" s="3" t="s">
        <v>62</v>
      </c>
      <c r="AT5675" s="3" t="s">
        <v>62</v>
      </c>
      <c r="AV5675" s="6" t="str">
        <f>HYPERLINK("http://mcgill.on.worldcat.org/oclc/466341167","Catalog Record")</f>
        <v>Catalog Record</v>
      </c>
      <c r="AW5675" s="6" t="str">
        <f>HYPERLINK("http://www.worldcat.org/oclc/466341167","WorldCat Record")</f>
        <v>WorldCat Record</v>
      </c>
      <c r="AX5675" s="3" t="s">
        <v>54491</v>
      </c>
      <c r="AY5675" s="3" t="s">
        <v>54492</v>
      </c>
      <c r="AZ5675" s="3" t="s">
        <v>54493</v>
      </c>
      <c r="BA5675" s="3" t="s">
        <v>54493</v>
      </c>
      <c r="BB5675" s="3" t="s">
        <v>54494</v>
      </c>
      <c r="BC5675" s="3" t="s">
        <v>142</v>
      </c>
      <c r="BD5675" s="3" t="s">
        <v>68</v>
      </c>
      <c r="BE5675" s="3" t="s">
        <v>54495</v>
      </c>
      <c r="BF5675" s="3" t="s">
        <v>54494</v>
      </c>
      <c r="BG5675" s="3" t="s">
        <v>54496</v>
      </c>
    </row>
    <row r="5676" spans="1:59" ht="57" x14ac:dyDescent="0.45">
      <c r="A5676" s="2" t="s">
        <v>59</v>
      </c>
      <c r="B5676" s="2" t="s">
        <v>60</v>
      </c>
      <c r="C5676" s="2" t="s">
        <v>54497</v>
      </c>
      <c r="D5676" s="2" t="s">
        <v>54498</v>
      </c>
      <c r="E5676" s="2" t="s">
        <v>54499</v>
      </c>
      <c r="G5676" s="3" t="s">
        <v>62</v>
      </c>
      <c r="I5676" s="3" t="s">
        <v>62</v>
      </c>
      <c r="J5676" s="3" t="s">
        <v>62</v>
      </c>
      <c r="K5676" s="3" t="s">
        <v>63</v>
      </c>
      <c r="M5676" s="2" t="s">
        <v>48453</v>
      </c>
      <c r="N5676" s="3" t="s">
        <v>149</v>
      </c>
      <c r="P5676" s="3" t="s">
        <v>65</v>
      </c>
      <c r="Q5676" s="2" t="s">
        <v>54500</v>
      </c>
      <c r="R5676" s="3" t="s">
        <v>66</v>
      </c>
      <c r="S5676" s="4">
        <v>0</v>
      </c>
      <c r="T5676" s="4">
        <v>0</v>
      </c>
      <c r="W5676" s="5" t="s">
        <v>67</v>
      </c>
      <c r="X5676" s="5" t="s">
        <v>67</v>
      </c>
      <c r="Y5676" s="4">
        <v>83</v>
      </c>
      <c r="Z5676" s="4">
        <v>10</v>
      </c>
      <c r="AA5676" s="4">
        <v>93</v>
      </c>
      <c r="AB5676" s="4">
        <v>1</v>
      </c>
      <c r="AC5676" s="4">
        <v>17</v>
      </c>
      <c r="AD5676" s="4">
        <v>40</v>
      </c>
      <c r="AE5676" s="4">
        <v>118</v>
      </c>
      <c r="AF5676" s="4">
        <v>0</v>
      </c>
      <c r="AG5676" s="4">
        <v>8</v>
      </c>
      <c r="AH5676" s="4">
        <v>37</v>
      </c>
      <c r="AI5676" s="4">
        <v>81</v>
      </c>
      <c r="AJ5676" s="4">
        <v>8</v>
      </c>
      <c r="AK5676" s="4">
        <v>25</v>
      </c>
      <c r="AL5676" s="4">
        <v>23</v>
      </c>
      <c r="AM5676" s="4">
        <v>44</v>
      </c>
      <c r="AN5676" s="4">
        <v>0</v>
      </c>
      <c r="AO5676" s="4">
        <v>0</v>
      </c>
      <c r="AP5676" s="4">
        <v>8</v>
      </c>
      <c r="AQ5676" s="4">
        <v>46</v>
      </c>
      <c r="AR5676" s="3" t="s">
        <v>62</v>
      </c>
      <c r="AS5676" s="3" t="s">
        <v>62</v>
      </c>
      <c r="AT5676" s="3" t="s">
        <v>62</v>
      </c>
      <c r="AV5676" s="6" t="str">
        <f>HYPERLINK("http://mcgill.on.worldcat.org/oclc/503005665","Catalog Record")</f>
        <v>Catalog Record</v>
      </c>
      <c r="AW5676" s="6" t="str">
        <f>HYPERLINK("http://www.worldcat.org/oclc/503005665","WorldCat Record")</f>
        <v>WorldCat Record</v>
      </c>
      <c r="AX5676" s="3" t="s">
        <v>54501</v>
      </c>
      <c r="AY5676" s="3" t="s">
        <v>54502</v>
      </c>
      <c r="AZ5676" s="3" t="s">
        <v>54503</v>
      </c>
      <c r="BA5676" s="3" t="s">
        <v>54503</v>
      </c>
      <c r="BB5676" s="3" t="s">
        <v>54504</v>
      </c>
      <c r="BC5676" s="3" t="s">
        <v>142</v>
      </c>
      <c r="BD5676" s="3" t="s">
        <v>68</v>
      </c>
      <c r="BE5676" s="3" t="s">
        <v>54505</v>
      </c>
      <c r="BF5676" s="3" t="s">
        <v>54504</v>
      </c>
      <c r="BG5676" s="3" t="s">
        <v>54506</v>
      </c>
    </row>
    <row r="5677" spans="1:59" ht="57" x14ac:dyDescent="0.45">
      <c r="A5677" s="2" t="s">
        <v>59</v>
      </c>
      <c r="B5677" s="2" t="s">
        <v>60</v>
      </c>
      <c r="C5677" s="2" t="s">
        <v>54507</v>
      </c>
      <c r="D5677" s="2" t="s">
        <v>54508</v>
      </c>
      <c r="E5677" s="2" t="s">
        <v>54509</v>
      </c>
      <c r="G5677" s="3" t="s">
        <v>62</v>
      </c>
      <c r="I5677" s="3" t="s">
        <v>62</v>
      </c>
      <c r="J5677" s="3" t="s">
        <v>62</v>
      </c>
      <c r="K5677" s="3" t="s">
        <v>63</v>
      </c>
      <c r="L5677" s="2" t="s">
        <v>54510</v>
      </c>
      <c r="M5677" s="2" t="s">
        <v>54511</v>
      </c>
      <c r="N5677" s="3" t="s">
        <v>555</v>
      </c>
      <c r="P5677" s="3" t="s">
        <v>110</v>
      </c>
      <c r="Q5677" s="2" t="s">
        <v>54512</v>
      </c>
      <c r="R5677" s="3" t="s">
        <v>66</v>
      </c>
      <c r="S5677" s="4">
        <v>6</v>
      </c>
      <c r="T5677" s="4">
        <v>6</v>
      </c>
      <c r="U5677" s="5" t="s">
        <v>7408</v>
      </c>
      <c r="V5677" s="5" t="s">
        <v>7408</v>
      </c>
      <c r="W5677" s="5" t="s">
        <v>67</v>
      </c>
      <c r="X5677" s="5" t="s">
        <v>67</v>
      </c>
      <c r="Y5677" s="4">
        <v>173</v>
      </c>
      <c r="Z5677" s="4">
        <v>21</v>
      </c>
      <c r="AA5677" s="4">
        <v>35</v>
      </c>
      <c r="AB5677" s="4">
        <v>2</v>
      </c>
      <c r="AC5677" s="4">
        <v>11</v>
      </c>
      <c r="AD5677" s="4">
        <v>75</v>
      </c>
      <c r="AE5677" s="4">
        <v>89</v>
      </c>
      <c r="AF5677" s="4">
        <v>1</v>
      </c>
      <c r="AG5677" s="4">
        <v>6</v>
      </c>
      <c r="AH5677" s="4">
        <v>64</v>
      </c>
      <c r="AI5677" s="4">
        <v>71</v>
      </c>
      <c r="AJ5677" s="4">
        <v>16</v>
      </c>
      <c r="AK5677" s="4">
        <v>23</v>
      </c>
      <c r="AL5677" s="4">
        <v>40</v>
      </c>
      <c r="AM5677" s="4">
        <v>42</v>
      </c>
      <c r="AN5677" s="4">
        <v>0</v>
      </c>
      <c r="AO5677" s="4">
        <v>0</v>
      </c>
      <c r="AP5677" s="4">
        <v>18</v>
      </c>
      <c r="AQ5677" s="4">
        <v>26</v>
      </c>
      <c r="AR5677" s="3" t="s">
        <v>62</v>
      </c>
      <c r="AS5677" s="3" t="s">
        <v>62</v>
      </c>
      <c r="AT5677" s="3" t="s">
        <v>61</v>
      </c>
      <c r="AU5677" s="6" t="str">
        <f>HYPERLINK("http://catalog.hathitrust.org/Record/001436110","HathiTrust Record")</f>
        <v>HathiTrust Record</v>
      </c>
      <c r="AV5677" s="6" t="str">
        <f>HYPERLINK("http://mcgill.on.worldcat.org/oclc/705399","Catalog Record")</f>
        <v>Catalog Record</v>
      </c>
      <c r="AW5677" s="6" t="str">
        <f>HYPERLINK("http://www.worldcat.org/oclc/705399","WorldCat Record")</f>
        <v>WorldCat Record</v>
      </c>
      <c r="AX5677" s="3" t="s">
        <v>54513</v>
      </c>
      <c r="AY5677" s="3" t="s">
        <v>54514</v>
      </c>
      <c r="AZ5677" s="3" t="s">
        <v>54515</v>
      </c>
      <c r="BA5677" s="3" t="s">
        <v>54515</v>
      </c>
      <c r="BB5677" s="3" t="s">
        <v>54516</v>
      </c>
      <c r="BC5677" s="3" t="s">
        <v>142</v>
      </c>
      <c r="BD5677" s="3" t="s">
        <v>68</v>
      </c>
      <c r="BE5677" s="3" t="s">
        <v>54517</v>
      </c>
      <c r="BF5677" s="3" t="s">
        <v>54516</v>
      </c>
      <c r="BG5677" s="3" t="s">
        <v>54518</v>
      </c>
    </row>
    <row r="5678" spans="1:59" ht="57" x14ac:dyDescent="0.45">
      <c r="A5678" s="2" t="s">
        <v>59</v>
      </c>
      <c r="B5678" s="2" t="s">
        <v>60</v>
      </c>
      <c r="C5678" s="2" t="s">
        <v>54519</v>
      </c>
      <c r="D5678" s="2" t="s">
        <v>54520</v>
      </c>
      <c r="E5678" s="2" t="s">
        <v>54521</v>
      </c>
      <c r="G5678" s="3" t="s">
        <v>62</v>
      </c>
      <c r="I5678" s="3" t="s">
        <v>62</v>
      </c>
      <c r="J5678" s="3" t="s">
        <v>62</v>
      </c>
      <c r="K5678" s="3" t="s">
        <v>63</v>
      </c>
      <c r="M5678" s="2" t="s">
        <v>54522</v>
      </c>
      <c r="N5678" s="3" t="s">
        <v>1253</v>
      </c>
      <c r="P5678" s="3" t="s">
        <v>65</v>
      </c>
      <c r="Q5678" s="2" t="s">
        <v>54523</v>
      </c>
      <c r="R5678" s="3" t="s">
        <v>66</v>
      </c>
      <c r="S5678" s="4">
        <v>11</v>
      </c>
      <c r="T5678" s="4">
        <v>11</v>
      </c>
      <c r="U5678" s="5" t="s">
        <v>2930</v>
      </c>
      <c r="V5678" s="5" t="s">
        <v>2930</v>
      </c>
      <c r="W5678" s="5" t="s">
        <v>67</v>
      </c>
      <c r="X5678" s="5" t="s">
        <v>67</v>
      </c>
      <c r="Y5678" s="4">
        <v>179</v>
      </c>
      <c r="Z5678" s="4">
        <v>11</v>
      </c>
      <c r="AA5678" s="4">
        <v>14</v>
      </c>
      <c r="AB5678" s="4">
        <v>1</v>
      </c>
      <c r="AC5678" s="4">
        <v>4</v>
      </c>
      <c r="AD5678" s="4">
        <v>63</v>
      </c>
      <c r="AE5678" s="4">
        <v>64</v>
      </c>
      <c r="AF5678" s="4">
        <v>0</v>
      </c>
      <c r="AG5678" s="4">
        <v>1</v>
      </c>
      <c r="AH5678" s="4">
        <v>57</v>
      </c>
      <c r="AI5678" s="4">
        <v>58</v>
      </c>
      <c r="AJ5678" s="4">
        <v>8</v>
      </c>
      <c r="AK5678" s="4">
        <v>9</v>
      </c>
      <c r="AL5678" s="4">
        <v>42</v>
      </c>
      <c r="AM5678" s="4">
        <v>42</v>
      </c>
      <c r="AN5678" s="4">
        <v>0</v>
      </c>
      <c r="AO5678" s="4">
        <v>0</v>
      </c>
      <c r="AP5678" s="4">
        <v>8</v>
      </c>
      <c r="AQ5678" s="4">
        <v>9</v>
      </c>
      <c r="AR5678" s="3" t="s">
        <v>62</v>
      </c>
      <c r="AS5678" s="3" t="s">
        <v>62</v>
      </c>
      <c r="AT5678" s="3" t="s">
        <v>62</v>
      </c>
      <c r="AV5678" s="6" t="str">
        <f>HYPERLINK("http://mcgill.on.worldcat.org/oclc/36746491","Catalog Record")</f>
        <v>Catalog Record</v>
      </c>
      <c r="AW5678" s="6" t="str">
        <f>HYPERLINK("http://www.worldcat.org/oclc/36746491","WorldCat Record")</f>
        <v>WorldCat Record</v>
      </c>
      <c r="AX5678" s="3" t="s">
        <v>54524</v>
      </c>
      <c r="AY5678" s="3" t="s">
        <v>54525</v>
      </c>
      <c r="AZ5678" s="3" t="s">
        <v>54526</v>
      </c>
      <c r="BA5678" s="3" t="s">
        <v>54526</v>
      </c>
      <c r="BB5678" s="3" t="s">
        <v>54527</v>
      </c>
      <c r="BC5678" s="3" t="s">
        <v>142</v>
      </c>
      <c r="BD5678" s="3" t="s">
        <v>68</v>
      </c>
      <c r="BE5678" s="3" t="s">
        <v>54528</v>
      </c>
      <c r="BF5678" s="3" t="s">
        <v>54527</v>
      </c>
      <c r="BG5678" s="3" t="s">
        <v>54529</v>
      </c>
    </row>
    <row r="5679" spans="1:59" ht="57" x14ac:dyDescent="0.45">
      <c r="A5679" s="2" t="s">
        <v>59</v>
      </c>
      <c r="B5679" s="2" t="s">
        <v>60</v>
      </c>
      <c r="C5679" s="2" t="s">
        <v>54530</v>
      </c>
      <c r="D5679" s="2" t="s">
        <v>54531</v>
      </c>
      <c r="E5679" s="2" t="s">
        <v>54532</v>
      </c>
      <c r="G5679" s="3" t="s">
        <v>62</v>
      </c>
      <c r="I5679" s="3" t="s">
        <v>62</v>
      </c>
      <c r="J5679" s="3" t="s">
        <v>62</v>
      </c>
      <c r="K5679" s="3" t="s">
        <v>63</v>
      </c>
      <c r="L5679" s="2" t="s">
        <v>54533</v>
      </c>
      <c r="M5679" s="2" t="s">
        <v>54534</v>
      </c>
      <c r="N5679" s="3" t="s">
        <v>1155</v>
      </c>
      <c r="P5679" s="3" t="s">
        <v>65</v>
      </c>
      <c r="Q5679" s="2" t="s">
        <v>54535</v>
      </c>
      <c r="R5679" s="3" t="s">
        <v>66</v>
      </c>
      <c r="S5679" s="4">
        <v>1</v>
      </c>
      <c r="T5679" s="4">
        <v>1</v>
      </c>
      <c r="U5679" s="5" t="s">
        <v>54536</v>
      </c>
      <c r="V5679" s="5" t="s">
        <v>54536</v>
      </c>
      <c r="W5679" s="5" t="s">
        <v>67</v>
      </c>
      <c r="X5679" s="5" t="s">
        <v>67</v>
      </c>
      <c r="Y5679" s="4">
        <v>327</v>
      </c>
      <c r="Z5679" s="4">
        <v>26</v>
      </c>
      <c r="AA5679" s="4">
        <v>101</v>
      </c>
      <c r="AB5679" s="4">
        <v>2</v>
      </c>
      <c r="AC5679" s="4">
        <v>18</v>
      </c>
      <c r="AD5679" s="4">
        <v>87</v>
      </c>
      <c r="AE5679" s="4">
        <v>136</v>
      </c>
      <c r="AF5679" s="4">
        <v>1</v>
      </c>
      <c r="AG5679" s="4">
        <v>8</v>
      </c>
      <c r="AH5679" s="4">
        <v>74</v>
      </c>
      <c r="AI5679" s="4">
        <v>96</v>
      </c>
      <c r="AJ5679" s="4">
        <v>17</v>
      </c>
      <c r="AK5679" s="4">
        <v>25</v>
      </c>
      <c r="AL5679" s="4">
        <v>42</v>
      </c>
      <c r="AM5679" s="4">
        <v>51</v>
      </c>
      <c r="AN5679" s="4">
        <v>0</v>
      </c>
      <c r="AO5679" s="4">
        <v>0</v>
      </c>
      <c r="AP5679" s="4">
        <v>21</v>
      </c>
      <c r="AQ5679" s="4">
        <v>48</v>
      </c>
      <c r="AR5679" s="3" t="s">
        <v>62</v>
      </c>
      <c r="AS5679" s="3" t="s">
        <v>62</v>
      </c>
      <c r="AT5679" s="3" t="s">
        <v>62</v>
      </c>
      <c r="AV5679" s="6" t="str">
        <f>HYPERLINK("http://mcgill.on.worldcat.org/oclc/702941813","Catalog Record")</f>
        <v>Catalog Record</v>
      </c>
      <c r="AW5679" s="6" t="str">
        <f>HYPERLINK("http://www.worldcat.org/oclc/702941813","WorldCat Record")</f>
        <v>WorldCat Record</v>
      </c>
      <c r="AX5679" s="3" t="s">
        <v>54537</v>
      </c>
      <c r="AY5679" s="3" t="s">
        <v>54538</v>
      </c>
      <c r="AZ5679" s="3" t="s">
        <v>54539</v>
      </c>
      <c r="BA5679" s="3" t="s">
        <v>54539</v>
      </c>
      <c r="BB5679" s="3" t="s">
        <v>54540</v>
      </c>
      <c r="BC5679" s="3" t="s">
        <v>142</v>
      </c>
      <c r="BD5679" s="3" t="s">
        <v>68</v>
      </c>
      <c r="BE5679" s="3" t="s">
        <v>54541</v>
      </c>
      <c r="BF5679" s="3" t="s">
        <v>54540</v>
      </c>
      <c r="BG5679" s="3" t="s">
        <v>54542</v>
      </c>
    </row>
    <row r="5680" spans="1:59" ht="57" x14ac:dyDescent="0.45">
      <c r="A5680" s="2" t="s">
        <v>59</v>
      </c>
      <c r="B5680" s="2" t="s">
        <v>60</v>
      </c>
      <c r="C5680" s="2" t="s">
        <v>54543</v>
      </c>
      <c r="D5680" s="2" t="s">
        <v>54544</v>
      </c>
      <c r="E5680" s="2" t="s">
        <v>54545</v>
      </c>
      <c r="G5680" s="3" t="s">
        <v>62</v>
      </c>
      <c r="I5680" s="3" t="s">
        <v>62</v>
      </c>
      <c r="J5680" s="3" t="s">
        <v>62</v>
      </c>
      <c r="K5680" s="3" t="s">
        <v>63</v>
      </c>
      <c r="L5680" s="2" t="s">
        <v>54546</v>
      </c>
      <c r="M5680" s="2" t="s">
        <v>17897</v>
      </c>
      <c r="N5680" s="3" t="s">
        <v>1155</v>
      </c>
      <c r="P5680" s="3" t="s">
        <v>65</v>
      </c>
      <c r="R5680" s="3" t="s">
        <v>66</v>
      </c>
      <c r="S5680" s="4">
        <v>1</v>
      </c>
      <c r="T5680" s="4">
        <v>1</v>
      </c>
      <c r="U5680" s="5" t="s">
        <v>31223</v>
      </c>
      <c r="V5680" s="5" t="s">
        <v>31223</v>
      </c>
      <c r="W5680" s="5" t="s">
        <v>67</v>
      </c>
      <c r="X5680" s="5" t="s">
        <v>67</v>
      </c>
      <c r="Y5680" s="4">
        <v>539</v>
      </c>
      <c r="Z5680" s="4">
        <v>29</v>
      </c>
      <c r="AA5680" s="4">
        <v>61</v>
      </c>
      <c r="AB5680" s="4">
        <v>3</v>
      </c>
      <c r="AC5680" s="4">
        <v>6</v>
      </c>
      <c r="AD5680" s="4">
        <v>89</v>
      </c>
      <c r="AE5680" s="4">
        <v>116</v>
      </c>
      <c r="AF5680" s="4">
        <v>1</v>
      </c>
      <c r="AG5680" s="4">
        <v>1</v>
      </c>
      <c r="AH5680" s="4">
        <v>75</v>
      </c>
      <c r="AI5680" s="4">
        <v>93</v>
      </c>
      <c r="AJ5680" s="4">
        <v>13</v>
      </c>
      <c r="AK5680" s="4">
        <v>17</v>
      </c>
      <c r="AL5680" s="4">
        <v>41</v>
      </c>
      <c r="AM5680" s="4">
        <v>51</v>
      </c>
      <c r="AN5680" s="4">
        <v>0</v>
      </c>
      <c r="AO5680" s="4">
        <v>0</v>
      </c>
      <c r="AP5680" s="4">
        <v>20</v>
      </c>
      <c r="AQ5680" s="4">
        <v>30</v>
      </c>
      <c r="AR5680" s="3" t="s">
        <v>62</v>
      </c>
      <c r="AS5680" s="3" t="s">
        <v>62</v>
      </c>
      <c r="AT5680" s="3" t="s">
        <v>62</v>
      </c>
      <c r="AV5680" s="6" t="str">
        <f>HYPERLINK("http://mcgill.on.worldcat.org/oclc/707726512","Catalog Record")</f>
        <v>Catalog Record</v>
      </c>
      <c r="AW5680" s="6" t="str">
        <f>HYPERLINK("http://www.worldcat.org/oclc/707726512","WorldCat Record")</f>
        <v>WorldCat Record</v>
      </c>
      <c r="AX5680" s="3" t="s">
        <v>54547</v>
      </c>
      <c r="AY5680" s="3" t="s">
        <v>54548</v>
      </c>
      <c r="AZ5680" s="3" t="s">
        <v>54549</v>
      </c>
      <c r="BA5680" s="3" t="s">
        <v>54549</v>
      </c>
      <c r="BB5680" s="3" t="s">
        <v>54550</v>
      </c>
      <c r="BC5680" s="3" t="s">
        <v>142</v>
      </c>
      <c r="BD5680" s="3" t="s">
        <v>68</v>
      </c>
      <c r="BE5680" s="3" t="s">
        <v>54551</v>
      </c>
      <c r="BF5680" s="3" t="s">
        <v>54550</v>
      </c>
      <c r="BG5680" s="3" t="s">
        <v>54552</v>
      </c>
    </row>
    <row r="5681" spans="1:59" ht="57" x14ac:dyDescent="0.45">
      <c r="A5681" s="2" t="s">
        <v>59</v>
      </c>
      <c r="B5681" s="2" t="s">
        <v>60</v>
      </c>
      <c r="C5681" s="2" t="s">
        <v>54553</v>
      </c>
      <c r="D5681" s="2" t="s">
        <v>54554</v>
      </c>
      <c r="E5681" s="2" t="s">
        <v>54555</v>
      </c>
      <c r="G5681" s="3" t="s">
        <v>62</v>
      </c>
      <c r="I5681" s="3" t="s">
        <v>62</v>
      </c>
      <c r="J5681" s="3" t="s">
        <v>62</v>
      </c>
      <c r="K5681" s="3" t="s">
        <v>63</v>
      </c>
      <c r="M5681" s="2" t="s">
        <v>54556</v>
      </c>
      <c r="N5681" s="3" t="s">
        <v>1097</v>
      </c>
      <c r="P5681" s="3" t="s">
        <v>65</v>
      </c>
      <c r="Q5681" s="2" t="s">
        <v>8923</v>
      </c>
      <c r="R5681" s="3" t="s">
        <v>66</v>
      </c>
      <c r="S5681" s="4">
        <v>11</v>
      </c>
      <c r="T5681" s="4">
        <v>11</v>
      </c>
      <c r="U5681" s="5" t="s">
        <v>23378</v>
      </c>
      <c r="V5681" s="5" t="s">
        <v>23378</v>
      </c>
      <c r="W5681" s="5" t="s">
        <v>67</v>
      </c>
      <c r="X5681" s="5" t="s">
        <v>67</v>
      </c>
      <c r="Y5681" s="4">
        <v>297</v>
      </c>
      <c r="Z5681" s="4">
        <v>17</v>
      </c>
      <c r="AA5681" s="4">
        <v>17</v>
      </c>
      <c r="AB5681" s="4">
        <v>1</v>
      </c>
      <c r="AC5681" s="4">
        <v>1</v>
      </c>
      <c r="AD5681" s="4">
        <v>95</v>
      </c>
      <c r="AE5681" s="4">
        <v>95</v>
      </c>
      <c r="AF5681" s="4">
        <v>0</v>
      </c>
      <c r="AG5681" s="4">
        <v>0</v>
      </c>
      <c r="AH5681" s="4">
        <v>86</v>
      </c>
      <c r="AI5681" s="4">
        <v>86</v>
      </c>
      <c r="AJ5681" s="4">
        <v>12</v>
      </c>
      <c r="AK5681" s="4">
        <v>12</v>
      </c>
      <c r="AL5681" s="4">
        <v>46</v>
      </c>
      <c r="AM5681" s="4">
        <v>46</v>
      </c>
      <c r="AN5681" s="4">
        <v>0</v>
      </c>
      <c r="AO5681" s="4">
        <v>0</v>
      </c>
      <c r="AP5681" s="4">
        <v>15</v>
      </c>
      <c r="AQ5681" s="4">
        <v>15</v>
      </c>
      <c r="AR5681" s="3" t="s">
        <v>62</v>
      </c>
      <c r="AS5681" s="3" t="s">
        <v>62</v>
      </c>
      <c r="AT5681" s="3" t="s">
        <v>62</v>
      </c>
      <c r="AV5681" s="6" t="str">
        <f>HYPERLINK("http://mcgill.on.worldcat.org/oclc/53953479","Catalog Record")</f>
        <v>Catalog Record</v>
      </c>
      <c r="AW5681" s="6" t="str">
        <f>HYPERLINK("http://www.worldcat.org/oclc/53953479","WorldCat Record")</f>
        <v>WorldCat Record</v>
      </c>
      <c r="AX5681" s="3" t="s">
        <v>54557</v>
      </c>
      <c r="AY5681" s="3" t="s">
        <v>54558</v>
      </c>
      <c r="AZ5681" s="3" t="s">
        <v>54559</v>
      </c>
      <c r="BA5681" s="3" t="s">
        <v>54559</v>
      </c>
      <c r="BB5681" s="3" t="s">
        <v>54560</v>
      </c>
      <c r="BC5681" s="3" t="s">
        <v>142</v>
      </c>
      <c r="BD5681" s="3" t="s">
        <v>68</v>
      </c>
      <c r="BE5681" s="3" t="s">
        <v>54561</v>
      </c>
      <c r="BF5681" s="3" t="s">
        <v>54560</v>
      </c>
      <c r="BG5681" s="3" t="s">
        <v>54562</v>
      </c>
    </row>
    <row r="5682" spans="1:59" ht="57" x14ac:dyDescent="0.45">
      <c r="A5682" s="2" t="s">
        <v>59</v>
      </c>
      <c r="B5682" s="2" t="s">
        <v>60</v>
      </c>
      <c r="C5682" s="2" t="s">
        <v>54563</v>
      </c>
      <c r="D5682" s="2" t="s">
        <v>54564</v>
      </c>
      <c r="E5682" s="2" t="s">
        <v>54565</v>
      </c>
      <c r="G5682" s="3" t="s">
        <v>62</v>
      </c>
      <c r="I5682" s="3" t="s">
        <v>62</v>
      </c>
      <c r="J5682" s="3" t="s">
        <v>62</v>
      </c>
      <c r="K5682" s="3" t="s">
        <v>63</v>
      </c>
      <c r="L5682" s="2" t="s">
        <v>54566</v>
      </c>
      <c r="M5682" s="2" t="s">
        <v>54567</v>
      </c>
      <c r="N5682" s="3" t="s">
        <v>167</v>
      </c>
      <c r="P5682" s="3" t="s">
        <v>65</v>
      </c>
      <c r="R5682" s="3" t="s">
        <v>66</v>
      </c>
      <c r="S5682" s="4">
        <v>8</v>
      </c>
      <c r="T5682" s="4">
        <v>8</v>
      </c>
      <c r="U5682" s="5" t="s">
        <v>7367</v>
      </c>
      <c r="V5682" s="5" t="s">
        <v>7367</v>
      </c>
      <c r="W5682" s="5" t="s">
        <v>67</v>
      </c>
      <c r="X5682" s="5" t="s">
        <v>67</v>
      </c>
      <c r="Y5682" s="4">
        <v>518</v>
      </c>
      <c r="Z5682" s="4">
        <v>23</v>
      </c>
      <c r="AA5682" s="4">
        <v>23</v>
      </c>
      <c r="AB5682" s="4">
        <v>2</v>
      </c>
      <c r="AC5682" s="4">
        <v>2</v>
      </c>
      <c r="AD5682" s="4">
        <v>108</v>
      </c>
      <c r="AE5682" s="4">
        <v>109</v>
      </c>
      <c r="AF5682" s="4">
        <v>1</v>
      </c>
      <c r="AG5682" s="4">
        <v>1</v>
      </c>
      <c r="AH5682" s="4">
        <v>95</v>
      </c>
      <c r="AI5682" s="4">
        <v>96</v>
      </c>
      <c r="AJ5682" s="4">
        <v>16</v>
      </c>
      <c r="AK5682" s="4">
        <v>16</v>
      </c>
      <c r="AL5682" s="4">
        <v>51</v>
      </c>
      <c r="AM5682" s="4">
        <v>52</v>
      </c>
      <c r="AN5682" s="4">
        <v>0</v>
      </c>
      <c r="AO5682" s="4">
        <v>0</v>
      </c>
      <c r="AP5682" s="4">
        <v>19</v>
      </c>
      <c r="AQ5682" s="4">
        <v>19</v>
      </c>
      <c r="AR5682" s="3" t="s">
        <v>62</v>
      </c>
      <c r="AS5682" s="3" t="s">
        <v>62</v>
      </c>
      <c r="AT5682" s="3" t="s">
        <v>61</v>
      </c>
      <c r="AU5682" s="6" t="str">
        <f>HYPERLINK("http://catalog.hathitrust.org/Record/004051950","HathiTrust Record")</f>
        <v>HathiTrust Record</v>
      </c>
      <c r="AV5682" s="6" t="str">
        <f>HYPERLINK("http://mcgill.on.worldcat.org/oclc/39739604","Catalog Record")</f>
        <v>Catalog Record</v>
      </c>
      <c r="AW5682" s="6" t="str">
        <f>HYPERLINK("http://www.worldcat.org/oclc/39739604","WorldCat Record")</f>
        <v>WorldCat Record</v>
      </c>
      <c r="AX5682" s="3" t="s">
        <v>54568</v>
      </c>
      <c r="AY5682" s="3" t="s">
        <v>54569</v>
      </c>
      <c r="AZ5682" s="3" t="s">
        <v>54570</v>
      </c>
      <c r="BA5682" s="3" t="s">
        <v>54570</v>
      </c>
      <c r="BB5682" s="3" t="s">
        <v>54571</v>
      </c>
      <c r="BC5682" s="3" t="s">
        <v>142</v>
      </c>
      <c r="BD5682" s="3" t="s">
        <v>68</v>
      </c>
      <c r="BE5682" s="3" t="s">
        <v>54572</v>
      </c>
      <c r="BF5682" s="3" t="s">
        <v>54571</v>
      </c>
      <c r="BG5682" s="3" t="s">
        <v>54573</v>
      </c>
    </row>
    <row r="5683" spans="1:59" ht="57" x14ac:dyDescent="0.45">
      <c r="A5683" s="2" t="s">
        <v>59</v>
      </c>
      <c r="B5683" s="2" t="s">
        <v>60</v>
      </c>
      <c r="C5683" s="2" t="s">
        <v>54574</v>
      </c>
      <c r="D5683" s="2" t="s">
        <v>54575</v>
      </c>
      <c r="E5683" s="2" t="s">
        <v>54576</v>
      </c>
      <c r="G5683" s="3" t="s">
        <v>62</v>
      </c>
      <c r="I5683" s="3" t="s">
        <v>62</v>
      </c>
      <c r="J5683" s="3" t="s">
        <v>62</v>
      </c>
      <c r="K5683" s="3" t="s">
        <v>63</v>
      </c>
      <c r="M5683" s="2" t="s">
        <v>54577</v>
      </c>
      <c r="N5683" s="3" t="s">
        <v>5180</v>
      </c>
      <c r="P5683" s="3" t="s">
        <v>65</v>
      </c>
      <c r="Q5683" s="2" t="s">
        <v>54578</v>
      </c>
      <c r="R5683" s="3" t="s">
        <v>66</v>
      </c>
      <c r="S5683" s="4">
        <v>0</v>
      </c>
      <c r="T5683" s="4">
        <v>0</v>
      </c>
      <c r="W5683" s="5" t="s">
        <v>67</v>
      </c>
      <c r="X5683" s="5" t="s">
        <v>67</v>
      </c>
      <c r="Y5683" s="4">
        <v>18</v>
      </c>
      <c r="Z5683" s="4">
        <v>3</v>
      </c>
      <c r="AA5683" s="4">
        <v>4</v>
      </c>
      <c r="AB5683" s="4">
        <v>1</v>
      </c>
      <c r="AC5683" s="4">
        <v>2</v>
      </c>
      <c r="AD5683" s="4">
        <v>10</v>
      </c>
      <c r="AE5683" s="4">
        <v>22</v>
      </c>
      <c r="AF5683" s="4">
        <v>0</v>
      </c>
      <c r="AG5683" s="4">
        <v>0</v>
      </c>
      <c r="AH5683" s="4">
        <v>9</v>
      </c>
      <c r="AI5683" s="4">
        <v>21</v>
      </c>
      <c r="AJ5683" s="4">
        <v>2</v>
      </c>
      <c r="AK5683" s="4">
        <v>2</v>
      </c>
      <c r="AL5683" s="4">
        <v>8</v>
      </c>
      <c r="AM5683" s="4">
        <v>16</v>
      </c>
      <c r="AN5683" s="4">
        <v>0</v>
      </c>
      <c r="AO5683" s="4">
        <v>0</v>
      </c>
      <c r="AP5683" s="4">
        <v>2</v>
      </c>
      <c r="AQ5683" s="4">
        <v>2</v>
      </c>
      <c r="AR5683" s="3" t="s">
        <v>62</v>
      </c>
      <c r="AS5683" s="3" t="s">
        <v>62</v>
      </c>
      <c r="AT5683" s="3" t="s">
        <v>62</v>
      </c>
      <c r="AV5683" s="6" t="str">
        <f>HYPERLINK("http://mcgill.on.worldcat.org/oclc/1019652828","Catalog Record")</f>
        <v>Catalog Record</v>
      </c>
      <c r="AW5683" s="6" t="str">
        <f>HYPERLINK("http://www.worldcat.org/oclc/1019652828","WorldCat Record")</f>
        <v>WorldCat Record</v>
      </c>
      <c r="AX5683" s="3" t="s">
        <v>54579</v>
      </c>
      <c r="AY5683" s="3" t="s">
        <v>54580</v>
      </c>
      <c r="AZ5683" s="3" t="s">
        <v>54581</v>
      </c>
      <c r="BA5683" s="3" t="s">
        <v>54581</v>
      </c>
      <c r="BB5683" s="3" t="s">
        <v>54582</v>
      </c>
      <c r="BC5683" s="3" t="s">
        <v>142</v>
      </c>
      <c r="BD5683" s="3" t="s">
        <v>68</v>
      </c>
      <c r="BE5683" s="3" t="s">
        <v>54583</v>
      </c>
      <c r="BF5683" s="3" t="s">
        <v>54582</v>
      </c>
      <c r="BG5683" s="3" t="s">
        <v>54584</v>
      </c>
    </row>
    <row r="5684" spans="1:59" ht="57" x14ac:dyDescent="0.45">
      <c r="A5684" s="2" t="s">
        <v>59</v>
      </c>
      <c r="B5684" s="2" t="s">
        <v>60</v>
      </c>
      <c r="C5684" s="2" t="s">
        <v>54585</v>
      </c>
      <c r="D5684" s="2" t="s">
        <v>54586</v>
      </c>
      <c r="E5684" s="2" t="s">
        <v>54587</v>
      </c>
      <c r="G5684" s="3" t="s">
        <v>62</v>
      </c>
      <c r="I5684" s="3" t="s">
        <v>62</v>
      </c>
      <c r="J5684" s="3" t="s">
        <v>62</v>
      </c>
      <c r="K5684" s="3" t="s">
        <v>63</v>
      </c>
      <c r="L5684" s="2" t="s">
        <v>54588</v>
      </c>
      <c r="M5684" s="2" t="s">
        <v>2171</v>
      </c>
      <c r="N5684" s="3" t="s">
        <v>555</v>
      </c>
      <c r="P5684" s="3" t="s">
        <v>110</v>
      </c>
      <c r="Q5684" s="2" t="s">
        <v>54589</v>
      </c>
      <c r="R5684" s="3" t="s">
        <v>66</v>
      </c>
      <c r="S5684" s="4">
        <v>30</v>
      </c>
      <c r="T5684" s="4">
        <v>30</v>
      </c>
      <c r="U5684" s="5" t="s">
        <v>22641</v>
      </c>
      <c r="V5684" s="5" t="s">
        <v>22641</v>
      </c>
      <c r="W5684" s="5" t="s">
        <v>67</v>
      </c>
      <c r="X5684" s="5" t="s">
        <v>67</v>
      </c>
      <c r="Y5684" s="4">
        <v>188</v>
      </c>
      <c r="Z5684" s="4">
        <v>26</v>
      </c>
      <c r="AA5684" s="4">
        <v>34</v>
      </c>
      <c r="AB5684" s="4">
        <v>3</v>
      </c>
      <c r="AC5684" s="4">
        <v>10</v>
      </c>
      <c r="AD5684" s="4">
        <v>97</v>
      </c>
      <c r="AE5684" s="4">
        <v>102</v>
      </c>
      <c r="AF5684" s="4">
        <v>2</v>
      </c>
      <c r="AG5684" s="4">
        <v>6</v>
      </c>
      <c r="AH5684" s="4">
        <v>84</v>
      </c>
      <c r="AI5684" s="4">
        <v>86</v>
      </c>
      <c r="AJ5684" s="4">
        <v>19</v>
      </c>
      <c r="AK5684" s="4">
        <v>24</v>
      </c>
      <c r="AL5684" s="4">
        <v>48</v>
      </c>
      <c r="AM5684" s="4">
        <v>48</v>
      </c>
      <c r="AN5684" s="4">
        <v>0</v>
      </c>
      <c r="AO5684" s="4">
        <v>0</v>
      </c>
      <c r="AP5684" s="4">
        <v>21</v>
      </c>
      <c r="AQ5684" s="4">
        <v>25</v>
      </c>
      <c r="AR5684" s="3" t="s">
        <v>62</v>
      </c>
      <c r="AS5684" s="3" t="s">
        <v>62</v>
      </c>
      <c r="AT5684" s="3" t="s">
        <v>61</v>
      </c>
      <c r="AU5684" s="6" t="str">
        <f>HYPERLINK("http://catalog.hathitrust.org/Record/001436160","HathiTrust Record")</f>
        <v>HathiTrust Record</v>
      </c>
      <c r="AV5684" s="6" t="str">
        <f>HYPERLINK("http://mcgill.on.worldcat.org/oclc/745749","Catalog Record")</f>
        <v>Catalog Record</v>
      </c>
      <c r="AW5684" s="6" t="str">
        <f>HYPERLINK("http://www.worldcat.org/oclc/745749","WorldCat Record")</f>
        <v>WorldCat Record</v>
      </c>
      <c r="AX5684" s="3" t="s">
        <v>54590</v>
      </c>
      <c r="AY5684" s="3" t="s">
        <v>54591</v>
      </c>
      <c r="AZ5684" s="3" t="s">
        <v>54592</v>
      </c>
      <c r="BA5684" s="3" t="s">
        <v>54592</v>
      </c>
      <c r="BB5684" s="3" t="s">
        <v>54593</v>
      </c>
      <c r="BC5684" s="3" t="s">
        <v>142</v>
      </c>
      <c r="BD5684" s="3" t="s">
        <v>308</v>
      </c>
      <c r="BF5684" s="3" t="s">
        <v>54593</v>
      </c>
      <c r="BG5684" s="3" t="s">
        <v>54594</v>
      </c>
    </row>
    <row r="5685" spans="1:59" ht="57" x14ac:dyDescent="0.45">
      <c r="A5685" s="2" t="s">
        <v>59</v>
      </c>
      <c r="B5685" s="2" t="s">
        <v>60</v>
      </c>
      <c r="C5685" s="2" t="s">
        <v>54595</v>
      </c>
      <c r="D5685" s="2" t="s">
        <v>54596</v>
      </c>
      <c r="E5685" s="2" t="s">
        <v>54597</v>
      </c>
      <c r="G5685" s="3" t="s">
        <v>62</v>
      </c>
      <c r="I5685" s="3" t="s">
        <v>62</v>
      </c>
      <c r="J5685" s="3" t="s">
        <v>62</v>
      </c>
      <c r="K5685" s="3" t="s">
        <v>63</v>
      </c>
      <c r="L5685" s="2" t="s">
        <v>54598</v>
      </c>
      <c r="M5685" s="2" t="s">
        <v>54599</v>
      </c>
      <c r="N5685" s="3" t="s">
        <v>555</v>
      </c>
      <c r="P5685" s="3" t="s">
        <v>114</v>
      </c>
      <c r="Q5685" s="2" t="s">
        <v>54600</v>
      </c>
      <c r="R5685" s="3" t="s">
        <v>66</v>
      </c>
      <c r="S5685" s="4">
        <v>2</v>
      </c>
      <c r="T5685" s="4">
        <v>2</v>
      </c>
      <c r="U5685" s="5" t="s">
        <v>5076</v>
      </c>
      <c r="V5685" s="5" t="s">
        <v>5076</v>
      </c>
      <c r="W5685" s="5" t="s">
        <v>67</v>
      </c>
      <c r="X5685" s="5" t="s">
        <v>67</v>
      </c>
      <c r="Y5685" s="4">
        <v>169</v>
      </c>
      <c r="Z5685" s="4">
        <v>17</v>
      </c>
      <c r="AA5685" s="4">
        <v>17</v>
      </c>
      <c r="AB5685" s="4">
        <v>1</v>
      </c>
      <c r="AC5685" s="4">
        <v>1</v>
      </c>
      <c r="AD5685" s="4">
        <v>80</v>
      </c>
      <c r="AE5685" s="4">
        <v>80</v>
      </c>
      <c r="AF5685" s="4">
        <v>0</v>
      </c>
      <c r="AG5685" s="4">
        <v>0</v>
      </c>
      <c r="AH5685" s="4">
        <v>69</v>
      </c>
      <c r="AI5685" s="4">
        <v>69</v>
      </c>
      <c r="AJ5685" s="4">
        <v>13</v>
      </c>
      <c r="AK5685" s="4">
        <v>13</v>
      </c>
      <c r="AL5685" s="4">
        <v>51</v>
      </c>
      <c r="AM5685" s="4">
        <v>51</v>
      </c>
      <c r="AN5685" s="4">
        <v>0</v>
      </c>
      <c r="AO5685" s="4">
        <v>0</v>
      </c>
      <c r="AP5685" s="4">
        <v>15</v>
      </c>
      <c r="AQ5685" s="4">
        <v>15</v>
      </c>
      <c r="AR5685" s="3" t="s">
        <v>62</v>
      </c>
      <c r="AS5685" s="3" t="s">
        <v>62</v>
      </c>
      <c r="AT5685" s="3" t="s">
        <v>61</v>
      </c>
      <c r="AU5685" s="6" t="str">
        <f>HYPERLINK("http://catalog.hathitrust.org/Record/001436165","HathiTrust Record")</f>
        <v>HathiTrust Record</v>
      </c>
      <c r="AV5685" s="6" t="str">
        <f>HYPERLINK("http://mcgill.on.worldcat.org/oclc/851799","Catalog Record")</f>
        <v>Catalog Record</v>
      </c>
      <c r="AW5685" s="6" t="str">
        <f>HYPERLINK("http://www.worldcat.org/oclc/851799","WorldCat Record")</f>
        <v>WorldCat Record</v>
      </c>
      <c r="AX5685" s="3" t="s">
        <v>54601</v>
      </c>
      <c r="AY5685" s="3" t="s">
        <v>54602</v>
      </c>
      <c r="AZ5685" s="3" t="s">
        <v>54603</v>
      </c>
      <c r="BA5685" s="3" t="s">
        <v>54603</v>
      </c>
      <c r="BB5685" s="3" t="s">
        <v>54604</v>
      </c>
      <c r="BC5685" s="3" t="s">
        <v>142</v>
      </c>
      <c r="BD5685" s="3" t="s">
        <v>68</v>
      </c>
      <c r="BE5685" s="3" t="s">
        <v>54605</v>
      </c>
      <c r="BF5685" s="3" t="s">
        <v>54604</v>
      </c>
      <c r="BG5685" s="3" t="s">
        <v>54606</v>
      </c>
    </row>
    <row r="5686" spans="1:59" ht="57" x14ac:dyDescent="0.45">
      <c r="A5686" s="2" t="s">
        <v>59</v>
      </c>
      <c r="B5686" s="2" t="s">
        <v>60</v>
      </c>
      <c r="C5686" s="2" t="s">
        <v>54607</v>
      </c>
      <c r="D5686" s="2" t="s">
        <v>54608</v>
      </c>
      <c r="E5686" s="2" t="s">
        <v>54609</v>
      </c>
      <c r="G5686" s="3" t="s">
        <v>62</v>
      </c>
      <c r="I5686" s="3" t="s">
        <v>62</v>
      </c>
      <c r="J5686" s="3" t="s">
        <v>62</v>
      </c>
      <c r="K5686" s="3" t="s">
        <v>63</v>
      </c>
      <c r="M5686" s="2" t="s">
        <v>54610</v>
      </c>
      <c r="N5686" s="3" t="s">
        <v>167</v>
      </c>
      <c r="P5686" s="3" t="s">
        <v>110</v>
      </c>
      <c r="R5686" s="3" t="s">
        <v>66</v>
      </c>
      <c r="S5686" s="4">
        <v>25</v>
      </c>
      <c r="T5686" s="4">
        <v>25</v>
      </c>
      <c r="U5686" s="5" t="s">
        <v>5262</v>
      </c>
      <c r="V5686" s="5" t="s">
        <v>5262</v>
      </c>
      <c r="W5686" s="5" t="s">
        <v>67</v>
      </c>
      <c r="X5686" s="5" t="s">
        <v>67</v>
      </c>
      <c r="Y5686" s="4">
        <v>140</v>
      </c>
      <c r="Z5686" s="4">
        <v>14</v>
      </c>
      <c r="AA5686" s="4">
        <v>29</v>
      </c>
      <c r="AB5686" s="4">
        <v>8</v>
      </c>
      <c r="AC5686" s="4">
        <v>9</v>
      </c>
      <c r="AD5686" s="4">
        <v>13</v>
      </c>
      <c r="AE5686" s="4">
        <v>78</v>
      </c>
      <c r="AF5686" s="4">
        <v>3</v>
      </c>
      <c r="AG5686" s="4">
        <v>3</v>
      </c>
      <c r="AH5686" s="4">
        <v>8</v>
      </c>
      <c r="AI5686" s="4">
        <v>65</v>
      </c>
      <c r="AJ5686" s="4">
        <v>7</v>
      </c>
      <c r="AK5686" s="4">
        <v>17</v>
      </c>
      <c r="AL5686" s="4">
        <v>4</v>
      </c>
      <c r="AM5686" s="4">
        <v>43</v>
      </c>
      <c r="AN5686" s="4">
        <v>0</v>
      </c>
      <c r="AO5686" s="4">
        <v>0</v>
      </c>
      <c r="AP5686" s="4">
        <v>7</v>
      </c>
      <c r="AQ5686" s="4">
        <v>19</v>
      </c>
      <c r="AR5686" s="3" t="s">
        <v>62</v>
      </c>
      <c r="AS5686" s="3" t="s">
        <v>62</v>
      </c>
      <c r="AT5686" s="3" t="s">
        <v>61</v>
      </c>
      <c r="AU5686" s="6" t="str">
        <f>HYPERLINK("http://catalog.hathitrust.org/Record/004039080","HathiTrust Record")</f>
        <v>HathiTrust Record</v>
      </c>
      <c r="AV5686" s="6" t="str">
        <f>HYPERLINK("http://mcgill.on.worldcat.org/oclc/406515221","Catalog Record")</f>
        <v>Catalog Record</v>
      </c>
      <c r="AW5686" s="6" t="str">
        <f>HYPERLINK("http://www.worldcat.org/oclc/406515221","WorldCat Record")</f>
        <v>WorldCat Record</v>
      </c>
      <c r="AX5686" s="3" t="s">
        <v>54611</v>
      </c>
      <c r="AY5686" s="3" t="s">
        <v>54612</v>
      </c>
      <c r="AZ5686" s="3" t="s">
        <v>54613</v>
      </c>
      <c r="BA5686" s="3" t="s">
        <v>54613</v>
      </c>
      <c r="BB5686" s="3" t="s">
        <v>54614</v>
      </c>
      <c r="BC5686" s="3" t="s">
        <v>142</v>
      </c>
      <c r="BD5686" s="3" t="s">
        <v>308</v>
      </c>
      <c r="BE5686" s="3" t="s">
        <v>54615</v>
      </c>
      <c r="BF5686" s="3" t="s">
        <v>54614</v>
      </c>
      <c r="BG5686" s="3" t="s">
        <v>54616</v>
      </c>
    </row>
    <row r="5687" spans="1:59" ht="57" x14ac:dyDescent="0.45">
      <c r="A5687" s="2" t="s">
        <v>59</v>
      </c>
      <c r="B5687" s="2" t="s">
        <v>60</v>
      </c>
      <c r="C5687" s="2" t="s">
        <v>54617</v>
      </c>
      <c r="D5687" s="2" t="s">
        <v>54618</v>
      </c>
      <c r="E5687" s="2" t="s">
        <v>54619</v>
      </c>
      <c r="G5687" s="3" t="s">
        <v>62</v>
      </c>
      <c r="I5687" s="3" t="s">
        <v>62</v>
      </c>
      <c r="J5687" s="3" t="s">
        <v>62</v>
      </c>
      <c r="K5687" s="3" t="s">
        <v>63</v>
      </c>
      <c r="L5687" s="2" t="s">
        <v>54620</v>
      </c>
      <c r="M5687" s="2" t="s">
        <v>1436</v>
      </c>
      <c r="N5687" s="3" t="s">
        <v>1437</v>
      </c>
      <c r="P5687" s="3" t="s">
        <v>65</v>
      </c>
      <c r="R5687" s="3" t="s">
        <v>66</v>
      </c>
      <c r="S5687" s="4">
        <v>13</v>
      </c>
      <c r="T5687" s="4">
        <v>13</v>
      </c>
      <c r="U5687" s="5" t="s">
        <v>8318</v>
      </c>
      <c r="V5687" s="5" t="s">
        <v>8318</v>
      </c>
      <c r="W5687" s="5" t="s">
        <v>67</v>
      </c>
      <c r="X5687" s="5" t="s">
        <v>67</v>
      </c>
      <c r="Y5687" s="4">
        <v>534</v>
      </c>
      <c r="Z5687" s="4">
        <v>22</v>
      </c>
      <c r="AA5687" s="4">
        <v>23</v>
      </c>
      <c r="AB5687" s="4">
        <v>2</v>
      </c>
      <c r="AC5687" s="4">
        <v>3</v>
      </c>
      <c r="AD5687" s="4">
        <v>106</v>
      </c>
      <c r="AE5687" s="4">
        <v>107</v>
      </c>
      <c r="AF5687" s="4">
        <v>1</v>
      </c>
      <c r="AG5687" s="4">
        <v>2</v>
      </c>
      <c r="AH5687" s="4">
        <v>95</v>
      </c>
      <c r="AI5687" s="4">
        <v>95</v>
      </c>
      <c r="AJ5687" s="4">
        <v>15</v>
      </c>
      <c r="AK5687" s="4">
        <v>16</v>
      </c>
      <c r="AL5687" s="4">
        <v>50</v>
      </c>
      <c r="AM5687" s="4">
        <v>50</v>
      </c>
      <c r="AN5687" s="4">
        <v>0</v>
      </c>
      <c r="AO5687" s="4">
        <v>0</v>
      </c>
      <c r="AP5687" s="4">
        <v>17</v>
      </c>
      <c r="AQ5687" s="4">
        <v>17</v>
      </c>
      <c r="AR5687" s="3" t="s">
        <v>62</v>
      </c>
      <c r="AS5687" s="3" t="s">
        <v>62</v>
      </c>
      <c r="AT5687" s="3" t="s">
        <v>62</v>
      </c>
      <c r="AV5687" s="6" t="str">
        <f>HYPERLINK("http://mcgill.on.worldcat.org/oclc/35121784","Catalog Record")</f>
        <v>Catalog Record</v>
      </c>
      <c r="AW5687" s="6" t="str">
        <f>HYPERLINK("http://www.worldcat.org/oclc/35121784","WorldCat Record")</f>
        <v>WorldCat Record</v>
      </c>
      <c r="AX5687" s="3" t="s">
        <v>54621</v>
      </c>
      <c r="AY5687" s="3" t="s">
        <v>54622</v>
      </c>
      <c r="AZ5687" s="3" t="s">
        <v>54623</v>
      </c>
      <c r="BA5687" s="3" t="s">
        <v>54623</v>
      </c>
      <c r="BB5687" s="3" t="s">
        <v>54624</v>
      </c>
      <c r="BC5687" s="3" t="s">
        <v>142</v>
      </c>
      <c r="BD5687" s="3" t="s">
        <v>68</v>
      </c>
      <c r="BE5687" s="3" t="s">
        <v>54625</v>
      </c>
      <c r="BF5687" s="3" t="s">
        <v>54624</v>
      </c>
      <c r="BG5687" s="3" t="s">
        <v>54626</v>
      </c>
    </row>
    <row r="5688" spans="1:59" ht="57" x14ac:dyDescent="0.45">
      <c r="A5688" s="2" t="s">
        <v>59</v>
      </c>
      <c r="B5688" s="2" t="s">
        <v>60</v>
      </c>
      <c r="C5688" s="2" t="s">
        <v>54627</v>
      </c>
      <c r="D5688" s="2" t="s">
        <v>54628</v>
      </c>
      <c r="E5688" s="2" t="s">
        <v>54629</v>
      </c>
      <c r="G5688" s="3" t="s">
        <v>62</v>
      </c>
      <c r="I5688" s="3" t="s">
        <v>62</v>
      </c>
      <c r="J5688" s="3" t="s">
        <v>62</v>
      </c>
      <c r="K5688" s="3" t="s">
        <v>63</v>
      </c>
      <c r="L5688" s="2" t="s">
        <v>42359</v>
      </c>
      <c r="M5688" s="2" t="s">
        <v>54630</v>
      </c>
      <c r="N5688" s="3" t="s">
        <v>2107</v>
      </c>
      <c r="P5688" s="3" t="s">
        <v>110</v>
      </c>
      <c r="Q5688" s="2" t="s">
        <v>10751</v>
      </c>
      <c r="R5688" s="3" t="s">
        <v>66</v>
      </c>
      <c r="S5688" s="4">
        <v>32</v>
      </c>
      <c r="T5688" s="4">
        <v>32</v>
      </c>
      <c r="U5688" s="5" t="s">
        <v>1818</v>
      </c>
      <c r="V5688" s="5" t="s">
        <v>1818</v>
      </c>
      <c r="W5688" s="5" t="s">
        <v>67</v>
      </c>
      <c r="X5688" s="5" t="s">
        <v>67</v>
      </c>
      <c r="Y5688" s="4">
        <v>75</v>
      </c>
      <c r="Z5688" s="4">
        <v>17</v>
      </c>
      <c r="AA5688" s="4">
        <v>33</v>
      </c>
      <c r="AB5688" s="4">
        <v>1</v>
      </c>
      <c r="AC5688" s="4">
        <v>14</v>
      </c>
      <c r="AD5688" s="4">
        <v>35</v>
      </c>
      <c r="AE5688" s="4">
        <v>41</v>
      </c>
      <c r="AF5688" s="4">
        <v>0</v>
      </c>
      <c r="AG5688" s="4">
        <v>5</v>
      </c>
      <c r="AH5688" s="4">
        <v>26</v>
      </c>
      <c r="AI5688" s="4">
        <v>28</v>
      </c>
      <c r="AJ5688" s="4">
        <v>13</v>
      </c>
      <c r="AK5688" s="4">
        <v>18</v>
      </c>
      <c r="AL5688" s="4">
        <v>16</v>
      </c>
      <c r="AM5688" s="4">
        <v>17</v>
      </c>
      <c r="AN5688" s="4">
        <v>0</v>
      </c>
      <c r="AO5688" s="4">
        <v>0</v>
      </c>
      <c r="AP5688" s="4">
        <v>15</v>
      </c>
      <c r="AQ5688" s="4">
        <v>20</v>
      </c>
      <c r="AR5688" s="3" t="s">
        <v>62</v>
      </c>
      <c r="AS5688" s="3" t="s">
        <v>62</v>
      </c>
      <c r="AT5688" s="3" t="s">
        <v>61</v>
      </c>
      <c r="AU5688" s="6" t="str">
        <f>HYPERLINK("http://catalog.hathitrust.org/Record/006223893","HathiTrust Record")</f>
        <v>HathiTrust Record</v>
      </c>
      <c r="AV5688" s="6" t="str">
        <f>HYPERLINK("http://mcgill.on.worldcat.org/oclc/16088375","Catalog Record")</f>
        <v>Catalog Record</v>
      </c>
      <c r="AW5688" s="6" t="str">
        <f>HYPERLINK("http://www.worldcat.org/oclc/16088375","WorldCat Record")</f>
        <v>WorldCat Record</v>
      </c>
      <c r="AX5688" s="3" t="s">
        <v>54631</v>
      </c>
      <c r="AY5688" s="3" t="s">
        <v>54632</v>
      </c>
      <c r="AZ5688" s="3" t="s">
        <v>54633</v>
      </c>
      <c r="BA5688" s="3" t="s">
        <v>54633</v>
      </c>
      <c r="BB5688" s="3" t="s">
        <v>54634</v>
      </c>
      <c r="BC5688" s="3" t="s">
        <v>142</v>
      </c>
      <c r="BD5688" s="3" t="s">
        <v>68</v>
      </c>
      <c r="BE5688" s="3" t="s">
        <v>54635</v>
      </c>
      <c r="BF5688" s="3" t="s">
        <v>54634</v>
      </c>
      <c r="BG5688" s="3" t="s">
        <v>54636</v>
      </c>
    </row>
    <row r="5689" spans="1:59" ht="128.25" x14ac:dyDescent="0.45">
      <c r="A5689" s="2" t="s">
        <v>59</v>
      </c>
      <c r="B5689" s="2" t="s">
        <v>60</v>
      </c>
      <c r="C5689" s="2" t="s">
        <v>54637</v>
      </c>
      <c r="D5689" s="2" t="s">
        <v>54638</v>
      </c>
      <c r="E5689" s="2" t="s">
        <v>54639</v>
      </c>
      <c r="G5689" s="3" t="s">
        <v>62</v>
      </c>
      <c r="I5689" s="3" t="s">
        <v>62</v>
      </c>
      <c r="J5689" s="3" t="s">
        <v>62</v>
      </c>
      <c r="K5689" s="3" t="s">
        <v>63</v>
      </c>
      <c r="L5689" s="2" t="s">
        <v>42359</v>
      </c>
      <c r="M5689" s="2" t="s">
        <v>54640</v>
      </c>
      <c r="N5689" s="3" t="s">
        <v>1855</v>
      </c>
      <c r="O5689" s="2" t="s">
        <v>54641</v>
      </c>
      <c r="P5689" s="3" t="s">
        <v>110</v>
      </c>
      <c r="Q5689" s="2" t="s">
        <v>54642</v>
      </c>
      <c r="R5689" s="3" t="s">
        <v>66</v>
      </c>
      <c r="S5689" s="4">
        <v>2</v>
      </c>
      <c r="T5689" s="4">
        <v>2</v>
      </c>
      <c r="U5689" s="5" t="s">
        <v>23463</v>
      </c>
      <c r="V5689" s="5" t="s">
        <v>23463</v>
      </c>
      <c r="W5689" s="5" t="s">
        <v>67</v>
      </c>
      <c r="X5689" s="5" t="s">
        <v>67</v>
      </c>
      <c r="Y5689" s="4">
        <v>8</v>
      </c>
      <c r="Z5689" s="4">
        <v>2</v>
      </c>
      <c r="AA5689" s="4">
        <v>15</v>
      </c>
      <c r="AB5689" s="4">
        <v>1</v>
      </c>
      <c r="AC5689" s="4">
        <v>6</v>
      </c>
      <c r="AD5689" s="4">
        <v>2</v>
      </c>
      <c r="AE5689" s="4">
        <v>17</v>
      </c>
      <c r="AF5689" s="4">
        <v>0</v>
      </c>
      <c r="AG5689" s="4">
        <v>4</v>
      </c>
      <c r="AH5689" s="4">
        <v>1</v>
      </c>
      <c r="AI5689" s="4">
        <v>8</v>
      </c>
      <c r="AJ5689" s="4">
        <v>1</v>
      </c>
      <c r="AK5689" s="4">
        <v>11</v>
      </c>
      <c r="AL5689" s="4">
        <v>1</v>
      </c>
      <c r="AM5689" s="4">
        <v>4</v>
      </c>
      <c r="AN5689" s="4">
        <v>0</v>
      </c>
      <c r="AO5689" s="4">
        <v>0</v>
      </c>
      <c r="AP5689" s="4">
        <v>1</v>
      </c>
      <c r="AQ5689" s="4">
        <v>12</v>
      </c>
      <c r="AR5689" s="3" t="s">
        <v>62</v>
      </c>
      <c r="AS5689" s="3" t="s">
        <v>62</v>
      </c>
      <c r="AT5689" s="3" t="s">
        <v>62</v>
      </c>
      <c r="AV5689" s="6" t="str">
        <f>HYPERLINK("http://mcgill.on.worldcat.org/oclc/124085832","Catalog Record")</f>
        <v>Catalog Record</v>
      </c>
      <c r="AW5689" s="6" t="str">
        <f>HYPERLINK("http://www.worldcat.org/oclc/124085832","WorldCat Record")</f>
        <v>WorldCat Record</v>
      </c>
      <c r="AX5689" s="3" t="s">
        <v>54643</v>
      </c>
      <c r="AY5689" s="3" t="s">
        <v>54644</v>
      </c>
      <c r="AZ5689" s="3" t="s">
        <v>54645</v>
      </c>
      <c r="BA5689" s="3" t="s">
        <v>54645</v>
      </c>
      <c r="BB5689" s="3" t="s">
        <v>54646</v>
      </c>
      <c r="BC5689" s="3" t="s">
        <v>142</v>
      </c>
      <c r="BD5689" s="3" t="s">
        <v>68</v>
      </c>
      <c r="BE5689" s="3" t="s">
        <v>54647</v>
      </c>
      <c r="BF5689" s="3" t="s">
        <v>54646</v>
      </c>
      <c r="BG5689" s="3" t="s">
        <v>54648</v>
      </c>
    </row>
    <row r="5690" spans="1:59" ht="57" x14ac:dyDescent="0.45">
      <c r="A5690" s="2" t="s">
        <v>59</v>
      </c>
      <c r="B5690" s="2" t="s">
        <v>60</v>
      </c>
      <c r="C5690" s="2" t="s">
        <v>54649</v>
      </c>
      <c r="D5690" s="2" t="s">
        <v>54650</v>
      </c>
      <c r="E5690" s="2" t="s">
        <v>54651</v>
      </c>
      <c r="G5690" s="3" t="s">
        <v>62</v>
      </c>
      <c r="I5690" s="3" t="s">
        <v>62</v>
      </c>
      <c r="J5690" s="3" t="s">
        <v>62</v>
      </c>
      <c r="K5690" s="3" t="s">
        <v>63</v>
      </c>
      <c r="L5690" s="2" t="s">
        <v>54652</v>
      </c>
      <c r="M5690" s="2" t="s">
        <v>42453</v>
      </c>
      <c r="N5690" s="3" t="s">
        <v>149</v>
      </c>
      <c r="P5690" s="3" t="s">
        <v>110</v>
      </c>
      <c r="Q5690" s="2" t="s">
        <v>54653</v>
      </c>
      <c r="R5690" s="3" t="s">
        <v>66</v>
      </c>
      <c r="S5690" s="4">
        <v>5</v>
      </c>
      <c r="T5690" s="4">
        <v>5</v>
      </c>
      <c r="U5690" s="5" t="s">
        <v>44113</v>
      </c>
      <c r="V5690" s="5" t="s">
        <v>44113</v>
      </c>
      <c r="W5690" s="5" t="s">
        <v>67</v>
      </c>
      <c r="X5690" s="5" t="s">
        <v>67</v>
      </c>
      <c r="Y5690" s="4">
        <v>5</v>
      </c>
      <c r="Z5690" s="4">
        <v>1</v>
      </c>
      <c r="AA5690" s="4">
        <v>14</v>
      </c>
      <c r="AB5690" s="4">
        <v>1</v>
      </c>
      <c r="AC5690" s="4">
        <v>10</v>
      </c>
      <c r="AD5690" s="4">
        <v>1</v>
      </c>
      <c r="AE5690" s="4">
        <v>23</v>
      </c>
      <c r="AF5690" s="4">
        <v>0</v>
      </c>
      <c r="AG5690" s="4">
        <v>5</v>
      </c>
      <c r="AH5690" s="4">
        <v>1</v>
      </c>
      <c r="AI5690" s="4">
        <v>18</v>
      </c>
      <c r="AJ5690" s="4">
        <v>0</v>
      </c>
      <c r="AK5690" s="4">
        <v>5</v>
      </c>
      <c r="AL5690" s="4">
        <v>0</v>
      </c>
      <c r="AM5690" s="4">
        <v>13</v>
      </c>
      <c r="AN5690" s="4">
        <v>0</v>
      </c>
      <c r="AO5690" s="4">
        <v>0</v>
      </c>
      <c r="AP5690" s="4">
        <v>0</v>
      </c>
      <c r="AQ5690" s="4">
        <v>6</v>
      </c>
      <c r="AR5690" s="3" t="s">
        <v>62</v>
      </c>
      <c r="AS5690" s="3" t="s">
        <v>62</v>
      </c>
      <c r="AT5690" s="3" t="s">
        <v>62</v>
      </c>
      <c r="AV5690" s="6" t="str">
        <f>HYPERLINK("http://mcgill.on.worldcat.org/oclc/688494917","Catalog Record")</f>
        <v>Catalog Record</v>
      </c>
      <c r="AW5690" s="6" t="str">
        <f>HYPERLINK("http://www.worldcat.org/oclc/688494917","WorldCat Record")</f>
        <v>WorldCat Record</v>
      </c>
      <c r="AX5690" s="3" t="s">
        <v>54654</v>
      </c>
      <c r="AY5690" s="3" t="s">
        <v>54655</v>
      </c>
      <c r="AZ5690" s="3" t="s">
        <v>54656</v>
      </c>
      <c r="BA5690" s="3" t="s">
        <v>54656</v>
      </c>
      <c r="BB5690" s="3" t="s">
        <v>54657</v>
      </c>
      <c r="BC5690" s="3" t="s">
        <v>142</v>
      </c>
      <c r="BD5690" s="3" t="s">
        <v>68</v>
      </c>
      <c r="BE5690" s="3" t="s">
        <v>54658</v>
      </c>
      <c r="BF5690" s="3" t="s">
        <v>54657</v>
      </c>
      <c r="BG5690" s="3" t="s">
        <v>54659</v>
      </c>
    </row>
    <row r="5691" spans="1:59" ht="57" x14ac:dyDescent="0.45">
      <c r="A5691" s="2" t="s">
        <v>59</v>
      </c>
      <c r="B5691" s="2" t="s">
        <v>60</v>
      </c>
      <c r="C5691" s="2" t="s">
        <v>54660</v>
      </c>
      <c r="D5691" s="2" t="s">
        <v>54661</v>
      </c>
      <c r="E5691" s="2" t="s">
        <v>54662</v>
      </c>
      <c r="G5691" s="3" t="s">
        <v>62</v>
      </c>
      <c r="I5691" s="3" t="s">
        <v>62</v>
      </c>
      <c r="J5691" s="3" t="s">
        <v>61</v>
      </c>
      <c r="K5691" s="3" t="s">
        <v>63</v>
      </c>
      <c r="L5691" s="2" t="s">
        <v>54663</v>
      </c>
      <c r="M5691" s="2" t="s">
        <v>49023</v>
      </c>
      <c r="N5691" s="3" t="s">
        <v>894</v>
      </c>
      <c r="O5691" s="2" t="s">
        <v>54664</v>
      </c>
      <c r="P5691" s="3" t="s">
        <v>110</v>
      </c>
      <c r="Q5691" s="2" t="s">
        <v>54665</v>
      </c>
      <c r="R5691" s="3" t="s">
        <v>66</v>
      </c>
      <c r="S5691" s="4">
        <v>5</v>
      </c>
      <c r="T5691" s="4">
        <v>5</v>
      </c>
      <c r="U5691" s="5" t="s">
        <v>54666</v>
      </c>
      <c r="V5691" s="5" t="s">
        <v>54666</v>
      </c>
      <c r="W5691" s="5" t="s">
        <v>67</v>
      </c>
      <c r="X5691" s="5" t="s">
        <v>67</v>
      </c>
      <c r="Y5691" s="4">
        <v>62</v>
      </c>
      <c r="Z5691" s="4">
        <v>10</v>
      </c>
      <c r="AA5691" s="4">
        <v>27</v>
      </c>
      <c r="AB5691" s="4">
        <v>8</v>
      </c>
      <c r="AC5691" s="4">
        <v>16</v>
      </c>
      <c r="AD5691" s="4">
        <v>5</v>
      </c>
      <c r="AE5691" s="4">
        <v>18</v>
      </c>
      <c r="AF5691" s="4">
        <v>3</v>
      </c>
      <c r="AG5691" s="4">
        <v>6</v>
      </c>
      <c r="AH5691" s="4">
        <v>2</v>
      </c>
      <c r="AI5691" s="4">
        <v>10</v>
      </c>
      <c r="AJ5691" s="4">
        <v>3</v>
      </c>
      <c r="AK5691" s="4">
        <v>9</v>
      </c>
      <c r="AL5691" s="4">
        <v>0</v>
      </c>
      <c r="AM5691" s="4">
        <v>5</v>
      </c>
      <c r="AN5691" s="4">
        <v>0</v>
      </c>
      <c r="AO5691" s="4">
        <v>0</v>
      </c>
      <c r="AP5691" s="4">
        <v>5</v>
      </c>
      <c r="AQ5691" s="4">
        <v>13</v>
      </c>
      <c r="AR5691" s="3" t="s">
        <v>62</v>
      </c>
      <c r="AS5691" s="3" t="s">
        <v>62</v>
      </c>
      <c r="AT5691" s="3" t="s">
        <v>62</v>
      </c>
      <c r="AV5691" s="6" t="str">
        <f>HYPERLINK("http://mcgill.on.worldcat.org/oclc/758492188","Catalog Record")</f>
        <v>Catalog Record</v>
      </c>
      <c r="AW5691" s="6" t="str">
        <f>HYPERLINK("http://www.worldcat.org/oclc/758492188","WorldCat Record")</f>
        <v>WorldCat Record</v>
      </c>
      <c r="AX5691" s="3" t="s">
        <v>54667</v>
      </c>
      <c r="AY5691" s="3" t="s">
        <v>54668</v>
      </c>
      <c r="AZ5691" s="3" t="s">
        <v>54669</v>
      </c>
      <c r="BA5691" s="3" t="s">
        <v>54669</v>
      </c>
      <c r="BB5691" s="3" t="s">
        <v>54670</v>
      </c>
      <c r="BC5691" s="3" t="s">
        <v>142</v>
      </c>
      <c r="BD5691" s="3" t="s">
        <v>68</v>
      </c>
      <c r="BE5691" s="3" t="s">
        <v>54671</v>
      </c>
      <c r="BF5691" s="3" t="s">
        <v>54670</v>
      </c>
      <c r="BG5691" s="3" t="s">
        <v>54672</v>
      </c>
    </row>
    <row r="5692" spans="1:59" ht="57" x14ac:dyDescent="0.45">
      <c r="A5692" s="2" t="s">
        <v>59</v>
      </c>
      <c r="B5692" s="2" t="s">
        <v>60</v>
      </c>
      <c r="C5692" s="2" t="s">
        <v>54673</v>
      </c>
      <c r="D5692" s="2" t="s">
        <v>54674</v>
      </c>
      <c r="E5692" s="2" t="s">
        <v>54675</v>
      </c>
      <c r="G5692" s="3" t="s">
        <v>62</v>
      </c>
      <c r="I5692" s="3" t="s">
        <v>62</v>
      </c>
      <c r="J5692" s="3" t="s">
        <v>62</v>
      </c>
      <c r="K5692" s="3" t="s">
        <v>63</v>
      </c>
      <c r="L5692" s="2" t="s">
        <v>54676</v>
      </c>
      <c r="M5692" s="2" t="s">
        <v>15370</v>
      </c>
      <c r="N5692" s="3" t="s">
        <v>894</v>
      </c>
      <c r="P5692" s="3" t="s">
        <v>65</v>
      </c>
      <c r="R5692" s="3" t="s">
        <v>66</v>
      </c>
      <c r="S5692" s="4">
        <v>0</v>
      </c>
      <c r="T5692" s="4">
        <v>0</v>
      </c>
      <c r="W5692" s="5" t="s">
        <v>67</v>
      </c>
      <c r="X5692" s="5" t="s">
        <v>67</v>
      </c>
      <c r="Y5692" s="4">
        <v>51</v>
      </c>
      <c r="Z5692" s="4">
        <v>13</v>
      </c>
      <c r="AA5692" s="4">
        <v>14</v>
      </c>
      <c r="AB5692" s="4">
        <v>1</v>
      </c>
      <c r="AC5692" s="4">
        <v>2</v>
      </c>
      <c r="AD5692" s="4">
        <v>31</v>
      </c>
      <c r="AE5692" s="4">
        <v>32</v>
      </c>
      <c r="AF5692" s="4">
        <v>0</v>
      </c>
      <c r="AG5692" s="4">
        <v>0</v>
      </c>
      <c r="AH5692" s="4">
        <v>29</v>
      </c>
      <c r="AI5692" s="4">
        <v>30</v>
      </c>
      <c r="AJ5692" s="4">
        <v>8</v>
      </c>
      <c r="AK5692" s="4">
        <v>8</v>
      </c>
      <c r="AL5692" s="4">
        <v>16</v>
      </c>
      <c r="AM5692" s="4">
        <v>16</v>
      </c>
      <c r="AN5692" s="4">
        <v>0</v>
      </c>
      <c r="AO5692" s="4">
        <v>0</v>
      </c>
      <c r="AP5692" s="4">
        <v>10</v>
      </c>
      <c r="AQ5692" s="4">
        <v>10</v>
      </c>
      <c r="AR5692" s="3" t="s">
        <v>62</v>
      </c>
      <c r="AS5692" s="3" t="s">
        <v>62</v>
      </c>
      <c r="AT5692" s="3" t="s">
        <v>62</v>
      </c>
      <c r="AV5692" s="6" t="str">
        <f>HYPERLINK("http://mcgill.on.worldcat.org/oclc/727106340","Catalog Record")</f>
        <v>Catalog Record</v>
      </c>
      <c r="AW5692" s="6" t="str">
        <f>HYPERLINK("http://www.worldcat.org/oclc/727106340","WorldCat Record")</f>
        <v>WorldCat Record</v>
      </c>
      <c r="AX5692" s="3" t="s">
        <v>54677</v>
      </c>
      <c r="AY5692" s="3" t="s">
        <v>54678</v>
      </c>
      <c r="AZ5692" s="3" t="s">
        <v>54679</v>
      </c>
      <c r="BA5692" s="3" t="s">
        <v>54679</v>
      </c>
      <c r="BB5692" s="3" t="s">
        <v>54680</v>
      </c>
      <c r="BC5692" s="3" t="s">
        <v>142</v>
      </c>
      <c r="BD5692" s="3" t="s">
        <v>68</v>
      </c>
      <c r="BE5692" s="3" t="s">
        <v>54681</v>
      </c>
      <c r="BF5692" s="3" t="s">
        <v>54680</v>
      </c>
      <c r="BG5692" s="3" t="s">
        <v>54682</v>
      </c>
    </row>
    <row r="5693" spans="1:59" ht="57" x14ac:dyDescent="0.45">
      <c r="A5693" s="2" t="s">
        <v>59</v>
      </c>
      <c r="B5693" s="2" t="s">
        <v>60</v>
      </c>
      <c r="C5693" s="2" t="s">
        <v>54683</v>
      </c>
      <c r="D5693" s="2" t="s">
        <v>54684</v>
      </c>
      <c r="E5693" s="2" t="s">
        <v>54685</v>
      </c>
      <c r="G5693" s="3" t="s">
        <v>62</v>
      </c>
      <c r="I5693" s="3" t="s">
        <v>62</v>
      </c>
      <c r="J5693" s="3" t="s">
        <v>62</v>
      </c>
      <c r="K5693" s="3" t="s">
        <v>63</v>
      </c>
      <c r="M5693" s="2" t="s">
        <v>31412</v>
      </c>
      <c r="N5693" s="3" t="s">
        <v>1604</v>
      </c>
      <c r="P5693" s="3" t="s">
        <v>110</v>
      </c>
      <c r="Q5693" s="2" t="s">
        <v>54686</v>
      </c>
      <c r="R5693" s="3" t="s">
        <v>66</v>
      </c>
      <c r="S5693" s="4">
        <v>12</v>
      </c>
      <c r="T5693" s="4">
        <v>12</v>
      </c>
      <c r="U5693" s="5" t="s">
        <v>6809</v>
      </c>
      <c r="V5693" s="5" t="s">
        <v>6809</v>
      </c>
      <c r="W5693" s="5" t="s">
        <v>67</v>
      </c>
      <c r="X5693" s="5" t="s">
        <v>67</v>
      </c>
      <c r="Y5693" s="4">
        <v>1</v>
      </c>
      <c r="Z5693" s="4">
        <v>1</v>
      </c>
      <c r="AA5693" s="4">
        <v>1</v>
      </c>
      <c r="AB5693" s="4">
        <v>1</v>
      </c>
      <c r="AC5693" s="4">
        <v>1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3" t="s">
        <v>62</v>
      </c>
      <c r="AS5693" s="3" t="s">
        <v>62</v>
      </c>
      <c r="AT5693" s="3" t="s">
        <v>62</v>
      </c>
      <c r="AV5693" s="6" t="str">
        <f>HYPERLINK("http://mcgill.on.worldcat.org/oclc/427997607","Catalog Record")</f>
        <v>Catalog Record</v>
      </c>
      <c r="AW5693" s="6" t="str">
        <f>HYPERLINK("http://www.worldcat.org/oclc/427997607","WorldCat Record")</f>
        <v>WorldCat Record</v>
      </c>
      <c r="AX5693" s="3" t="s">
        <v>54687</v>
      </c>
      <c r="AY5693" s="3" t="s">
        <v>54688</v>
      </c>
      <c r="AZ5693" s="3" t="s">
        <v>54689</v>
      </c>
      <c r="BA5693" s="3" t="s">
        <v>54689</v>
      </c>
      <c r="BB5693" s="3" t="s">
        <v>54690</v>
      </c>
      <c r="BC5693" s="3" t="s">
        <v>142</v>
      </c>
      <c r="BD5693" s="3" t="s">
        <v>68</v>
      </c>
      <c r="BE5693" s="3" t="s">
        <v>54691</v>
      </c>
      <c r="BF5693" s="3" t="s">
        <v>54690</v>
      </c>
      <c r="BG5693" s="3" t="s">
        <v>54692</v>
      </c>
    </row>
    <row r="5694" spans="1:59" ht="57" x14ac:dyDescent="0.45">
      <c r="A5694" s="2" t="s">
        <v>59</v>
      </c>
      <c r="B5694" s="2" t="s">
        <v>60</v>
      </c>
      <c r="C5694" s="2" t="s">
        <v>54693</v>
      </c>
      <c r="D5694" s="2" t="s">
        <v>54694</v>
      </c>
      <c r="E5694" s="2" t="s">
        <v>54695</v>
      </c>
      <c r="G5694" s="3" t="s">
        <v>62</v>
      </c>
      <c r="I5694" s="3" t="s">
        <v>61</v>
      </c>
      <c r="J5694" s="3" t="s">
        <v>61</v>
      </c>
      <c r="K5694" s="3" t="s">
        <v>63</v>
      </c>
      <c r="L5694" s="2" t="s">
        <v>54696</v>
      </c>
      <c r="M5694" s="2" t="s">
        <v>49023</v>
      </c>
      <c r="N5694" s="3" t="s">
        <v>894</v>
      </c>
      <c r="O5694" s="2" t="s">
        <v>54697</v>
      </c>
      <c r="P5694" s="3" t="s">
        <v>110</v>
      </c>
      <c r="Q5694" s="2" t="s">
        <v>54698</v>
      </c>
      <c r="R5694" s="3" t="s">
        <v>66</v>
      </c>
      <c r="S5694" s="4">
        <v>5</v>
      </c>
      <c r="T5694" s="4">
        <v>26</v>
      </c>
      <c r="U5694" s="5" t="s">
        <v>6809</v>
      </c>
      <c r="V5694" s="5" t="s">
        <v>6809</v>
      </c>
      <c r="W5694" s="5" t="s">
        <v>67</v>
      </c>
      <c r="X5694" s="5" t="s">
        <v>67</v>
      </c>
      <c r="Y5694" s="4">
        <v>4</v>
      </c>
      <c r="Z5694" s="4">
        <v>1</v>
      </c>
      <c r="AA5694" s="4">
        <v>35</v>
      </c>
      <c r="AB5694" s="4">
        <v>1</v>
      </c>
      <c r="AC5694" s="4">
        <v>16</v>
      </c>
      <c r="AD5694" s="4">
        <v>1</v>
      </c>
      <c r="AE5694" s="4">
        <v>52</v>
      </c>
      <c r="AF5694" s="4">
        <v>0</v>
      </c>
      <c r="AG5694" s="4">
        <v>6</v>
      </c>
      <c r="AH5694" s="4">
        <v>1</v>
      </c>
      <c r="AI5694" s="4">
        <v>37</v>
      </c>
      <c r="AJ5694" s="4">
        <v>0</v>
      </c>
      <c r="AK5694" s="4">
        <v>18</v>
      </c>
      <c r="AL5694" s="4">
        <v>1</v>
      </c>
      <c r="AM5694" s="4">
        <v>18</v>
      </c>
      <c r="AN5694" s="4">
        <v>0</v>
      </c>
      <c r="AO5694" s="4">
        <v>0</v>
      </c>
      <c r="AP5694" s="4">
        <v>0</v>
      </c>
      <c r="AQ5694" s="4">
        <v>23</v>
      </c>
      <c r="AR5694" s="3" t="s">
        <v>62</v>
      </c>
      <c r="AS5694" s="3" t="s">
        <v>62</v>
      </c>
      <c r="AT5694" s="3" t="s">
        <v>62</v>
      </c>
      <c r="AV5694" s="6" t="str">
        <f>HYPERLINK("http://mcgill.on.worldcat.org/oclc/754323891","Catalog Record")</f>
        <v>Catalog Record</v>
      </c>
      <c r="AW5694" s="6" t="str">
        <f>HYPERLINK("http://www.worldcat.org/oclc/754323891","WorldCat Record")</f>
        <v>WorldCat Record</v>
      </c>
      <c r="AX5694" s="3" t="s">
        <v>54699</v>
      </c>
      <c r="AY5694" s="3" t="s">
        <v>54700</v>
      </c>
      <c r="AZ5694" s="3" t="s">
        <v>54701</v>
      </c>
      <c r="BA5694" s="3" t="s">
        <v>54701</v>
      </c>
      <c r="BB5694" s="3" t="s">
        <v>54702</v>
      </c>
      <c r="BC5694" s="3" t="s">
        <v>142</v>
      </c>
      <c r="BD5694" s="3" t="s">
        <v>308</v>
      </c>
      <c r="BE5694" s="3" t="s">
        <v>54703</v>
      </c>
      <c r="BF5694" s="3" t="s">
        <v>54702</v>
      </c>
      <c r="BG5694" s="3" t="s">
        <v>54704</v>
      </c>
    </row>
    <row r="5695" spans="1:59" ht="57" x14ac:dyDescent="0.45">
      <c r="A5695" s="2" t="s">
        <v>59</v>
      </c>
      <c r="B5695" s="2" t="s">
        <v>60</v>
      </c>
      <c r="C5695" s="2" t="s">
        <v>54693</v>
      </c>
      <c r="D5695" s="2" t="s">
        <v>54694</v>
      </c>
      <c r="E5695" s="2" t="s">
        <v>54695</v>
      </c>
      <c r="G5695" s="3" t="s">
        <v>62</v>
      </c>
      <c r="I5695" s="3" t="s">
        <v>61</v>
      </c>
      <c r="J5695" s="3" t="s">
        <v>61</v>
      </c>
      <c r="K5695" s="3" t="s">
        <v>63</v>
      </c>
      <c r="L5695" s="2" t="s">
        <v>54696</v>
      </c>
      <c r="M5695" s="2" t="s">
        <v>49023</v>
      </c>
      <c r="N5695" s="3" t="s">
        <v>894</v>
      </c>
      <c r="O5695" s="2" t="s">
        <v>54697</v>
      </c>
      <c r="P5695" s="3" t="s">
        <v>110</v>
      </c>
      <c r="Q5695" s="2" t="s">
        <v>54698</v>
      </c>
      <c r="R5695" s="3" t="s">
        <v>66</v>
      </c>
      <c r="S5695" s="4">
        <v>21</v>
      </c>
      <c r="T5695" s="4">
        <v>26</v>
      </c>
      <c r="U5695" s="5" t="s">
        <v>35588</v>
      </c>
      <c r="V5695" s="5" t="s">
        <v>6809</v>
      </c>
      <c r="W5695" s="5" t="s">
        <v>67</v>
      </c>
      <c r="X5695" s="5" t="s">
        <v>67</v>
      </c>
      <c r="Y5695" s="4">
        <v>4</v>
      </c>
      <c r="Z5695" s="4">
        <v>1</v>
      </c>
      <c r="AA5695" s="4">
        <v>35</v>
      </c>
      <c r="AB5695" s="4">
        <v>1</v>
      </c>
      <c r="AC5695" s="4">
        <v>16</v>
      </c>
      <c r="AD5695" s="4">
        <v>1</v>
      </c>
      <c r="AE5695" s="4">
        <v>52</v>
      </c>
      <c r="AF5695" s="4">
        <v>0</v>
      </c>
      <c r="AG5695" s="4">
        <v>6</v>
      </c>
      <c r="AH5695" s="4">
        <v>1</v>
      </c>
      <c r="AI5695" s="4">
        <v>37</v>
      </c>
      <c r="AJ5695" s="4">
        <v>0</v>
      </c>
      <c r="AK5695" s="4">
        <v>18</v>
      </c>
      <c r="AL5695" s="4">
        <v>1</v>
      </c>
      <c r="AM5695" s="4">
        <v>18</v>
      </c>
      <c r="AN5695" s="4">
        <v>0</v>
      </c>
      <c r="AO5695" s="4">
        <v>0</v>
      </c>
      <c r="AP5695" s="4">
        <v>0</v>
      </c>
      <c r="AQ5695" s="4">
        <v>23</v>
      </c>
      <c r="AR5695" s="3" t="s">
        <v>62</v>
      </c>
      <c r="AS5695" s="3" t="s">
        <v>62</v>
      </c>
      <c r="AT5695" s="3" t="s">
        <v>62</v>
      </c>
      <c r="AV5695" s="6" t="str">
        <f>HYPERLINK("http://mcgill.on.worldcat.org/oclc/754323891","Catalog Record")</f>
        <v>Catalog Record</v>
      </c>
      <c r="AW5695" s="6" t="str">
        <f>HYPERLINK("http://www.worldcat.org/oclc/754323891","WorldCat Record")</f>
        <v>WorldCat Record</v>
      </c>
      <c r="AX5695" s="3" t="s">
        <v>54699</v>
      </c>
      <c r="AY5695" s="3" t="s">
        <v>54700</v>
      </c>
      <c r="AZ5695" s="3" t="s">
        <v>54701</v>
      </c>
      <c r="BA5695" s="3" t="s">
        <v>54701</v>
      </c>
      <c r="BB5695" s="3" t="s">
        <v>54705</v>
      </c>
      <c r="BC5695" s="3" t="s">
        <v>142</v>
      </c>
      <c r="BD5695" s="3" t="s">
        <v>68</v>
      </c>
      <c r="BE5695" s="3" t="s">
        <v>54703</v>
      </c>
      <c r="BF5695" s="3" t="s">
        <v>54705</v>
      </c>
      <c r="BG5695" s="3" t="s">
        <v>54706</v>
      </c>
    </row>
    <row r="5696" spans="1:59" ht="57" x14ac:dyDescent="0.45">
      <c r="A5696" s="2" t="s">
        <v>59</v>
      </c>
      <c r="B5696" s="2" t="s">
        <v>60</v>
      </c>
      <c r="C5696" s="2" t="s">
        <v>54707</v>
      </c>
      <c r="D5696" s="2" t="s">
        <v>54708</v>
      </c>
      <c r="E5696" s="2" t="s">
        <v>54709</v>
      </c>
      <c r="G5696" s="3" t="s">
        <v>62</v>
      </c>
      <c r="I5696" s="3" t="s">
        <v>62</v>
      </c>
      <c r="J5696" s="3" t="s">
        <v>62</v>
      </c>
      <c r="K5696" s="3" t="s">
        <v>63</v>
      </c>
      <c r="M5696" s="2" t="s">
        <v>54710</v>
      </c>
      <c r="N5696" s="3" t="s">
        <v>157</v>
      </c>
      <c r="P5696" s="3" t="s">
        <v>65</v>
      </c>
      <c r="R5696" s="3" t="s">
        <v>66</v>
      </c>
      <c r="S5696" s="4">
        <v>5</v>
      </c>
      <c r="T5696" s="4">
        <v>5</v>
      </c>
      <c r="U5696" s="5" t="s">
        <v>20775</v>
      </c>
      <c r="V5696" s="5" t="s">
        <v>20775</v>
      </c>
      <c r="W5696" s="5" t="s">
        <v>67</v>
      </c>
      <c r="X5696" s="5" t="s">
        <v>67</v>
      </c>
      <c r="Y5696" s="4">
        <v>156</v>
      </c>
      <c r="Z5696" s="4">
        <v>4</v>
      </c>
      <c r="AA5696" s="4">
        <v>5</v>
      </c>
      <c r="AB5696" s="4">
        <v>1</v>
      </c>
      <c r="AC5696" s="4">
        <v>2</v>
      </c>
      <c r="AD5696" s="4">
        <v>51</v>
      </c>
      <c r="AE5696" s="4">
        <v>59</v>
      </c>
      <c r="AF5696" s="4">
        <v>0</v>
      </c>
      <c r="AG5696" s="4">
        <v>1</v>
      </c>
      <c r="AH5696" s="4">
        <v>47</v>
      </c>
      <c r="AI5696" s="4">
        <v>55</v>
      </c>
      <c r="AJ5696" s="4">
        <v>2</v>
      </c>
      <c r="AK5696" s="4">
        <v>3</v>
      </c>
      <c r="AL5696" s="4">
        <v>34</v>
      </c>
      <c r="AM5696" s="4">
        <v>38</v>
      </c>
      <c r="AN5696" s="4">
        <v>0</v>
      </c>
      <c r="AO5696" s="4">
        <v>0</v>
      </c>
      <c r="AP5696" s="4">
        <v>2</v>
      </c>
      <c r="AQ5696" s="4">
        <v>3</v>
      </c>
      <c r="AR5696" s="3" t="s">
        <v>62</v>
      </c>
      <c r="AS5696" s="3" t="s">
        <v>62</v>
      </c>
      <c r="AT5696" s="3" t="s">
        <v>61</v>
      </c>
      <c r="AU5696" s="6" t="str">
        <f>HYPERLINK("http://catalog.hathitrust.org/Record/000189826","HathiTrust Record")</f>
        <v>HathiTrust Record</v>
      </c>
      <c r="AV5696" s="6" t="str">
        <f>HYPERLINK("http://mcgill.on.worldcat.org/oclc/8409698","Catalog Record")</f>
        <v>Catalog Record</v>
      </c>
      <c r="AW5696" s="6" t="str">
        <f>HYPERLINK("http://www.worldcat.org/oclc/8409698","WorldCat Record")</f>
        <v>WorldCat Record</v>
      </c>
      <c r="AX5696" s="3" t="s">
        <v>54711</v>
      </c>
      <c r="AY5696" s="3" t="s">
        <v>54712</v>
      </c>
      <c r="AZ5696" s="3" t="s">
        <v>54713</v>
      </c>
      <c r="BA5696" s="3" t="s">
        <v>54713</v>
      </c>
      <c r="BB5696" s="3" t="s">
        <v>54714</v>
      </c>
      <c r="BC5696" s="3" t="s">
        <v>142</v>
      </c>
      <c r="BD5696" s="3" t="s">
        <v>68</v>
      </c>
      <c r="BE5696" s="3" t="s">
        <v>54715</v>
      </c>
      <c r="BF5696" s="3" t="s">
        <v>54714</v>
      </c>
      <c r="BG5696" s="3" t="s">
        <v>54716</v>
      </c>
    </row>
    <row r="5697" spans="1:59" ht="57" x14ac:dyDescent="0.45">
      <c r="A5697" s="2" t="s">
        <v>59</v>
      </c>
      <c r="B5697" s="2" t="s">
        <v>60</v>
      </c>
      <c r="C5697" s="2" t="s">
        <v>54717</v>
      </c>
      <c r="D5697" s="2" t="s">
        <v>54718</v>
      </c>
      <c r="E5697" s="2" t="s">
        <v>54719</v>
      </c>
      <c r="G5697" s="3" t="s">
        <v>62</v>
      </c>
      <c r="I5697" s="3" t="s">
        <v>62</v>
      </c>
      <c r="J5697" s="3" t="s">
        <v>62</v>
      </c>
      <c r="K5697" s="3" t="s">
        <v>63</v>
      </c>
      <c r="L5697" s="2" t="s">
        <v>54720</v>
      </c>
      <c r="M5697" s="2" t="s">
        <v>54721</v>
      </c>
      <c r="N5697" s="3" t="s">
        <v>1688</v>
      </c>
      <c r="P5697" s="3" t="s">
        <v>65</v>
      </c>
      <c r="R5697" s="3" t="s">
        <v>66</v>
      </c>
      <c r="S5697" s="4">
        <v>0</v>
      </c>
      <c r="T5697" s="4">
        <v>0</v>
      </c>
      <c r="W5697" s="5" t="s">
        <v>67</v>
      </c>
      <c r="X5697" s="5" t="s">
        <v>67</v>
      </c>
      <c r="Y5697" s="4">
        <v>66</v>
      </c>
      <c r="Z5697" s="4">
        <v>6</v>
      </c>
      <c r="AA5697" s="4">
        <v>6</v>
      </c>
      <c r="AB5697" s="4">
        <v>1</v>
      </c>
      <c r="AC5697" s="4">
        <v>1</v>
      </c>
      <c r="AD5697" s="4">
        <v>34</v>
      </c>
      <c r="AE5697" s="4">
        <v>34</v>
      </c>
      <c r="AF5697" s="4">
        <v>0</v>
      </c>
      <c r="AG5697" s="4">
        <v>0</v>
      </c>
      <c r="AH5697" s="4">
        <v>32</v>
      </c>
      <c r="AI5697" s="4">
        <v>32</v>
      </c>
      <c r="AJ5697" s="4">
        <v>4</v>
      </c>
      <c r="AK5697" s="4">
        <v>4</v>
      </c>
      <c r="AL5697" s="4">
        <v>22</v>
      </c>
      <c r="AM5697" s="4">
        <v>22</v>
      </c>
      <c r="AN5697" s="4">
        <v>0</v>
      </c>
      <c r="AO5697" s="4">
        <v>0</v>
      </c>
      <c r="AP5697" s="4">
        <v>5</v>
      </c>
      <c r="AQ5697" s="4">
        <v>5</v>
      </c>
      <c r="AR5697" s="3" t="s">
        <v>62</v>
      </c>
      <c r="AS5697" s="3" t="s">
        <v>62</v>
      </c>
      <c r="AT5697" s="3" t="s">
        <v>62</v>
      </c>
      <c r="AV5697" s="6" t="str">
        <f>HYPERLINK("http://mcgill.on.worldcat.org/oclc/852219797","Catalog Record")</f>
        <v>Catalog Record</v>
      </c>
      <c r="AW5697" s="6" t="str">
        <f>HYPERLINK("http://www.worldcat.org/oclc/852219797","WorldCat Record")</f>
        <v>WorldCat Record</v>
      </c>
      <c r="AX5697" s="3" t="s">
        <v>54722</v>
      </c>
      <c r="AY5697" s="3" t="s">
        <v>54723</v>
      </c>
      <c r="AZ5697" s="3" t="s">
        <v>54724</v>
      </c>
      <c r="BA5697" s="3" t="s">
        <v>54724</v>
      </c>
      <c r="BB5697" s="3" t="s">
        <v>54725</v>
      </c>
      <c r="BC5697" s="3" t="s">
        <v>142</v>
      </c>
      <c r="BD5697" s="3" t="s">
        <v>68</v>
      </c>
      <c r="BE5697" s="3" t="s">
        <v>54726</v>
      </c>
      <c r="BF5697" s="3" t="s">
        <v>54725</v>
      </c>
      <c r="BG5697" s="3" t="s">
        <v>54727</v>
      </c>
    </row>
    <row r="5698" spans="1:59" ht="57" x14ac:dyDescent="0.45">
      <c r="A5698" s="2" t="s">
        <v>59</v>
      </c>
      <c r="B5698" s="2" t="s">
        <v>60</v>
      </c>
      <c r="C5698" s="2" t="s">
        <v>54728</v>
      </c>
      <c r="D5698" s="2" t="s">
        <v>54729</v>
      </c>
      <c r="E5698" s="2" t="s">
        <v>54730</v>
      </c>
      <c r="G5698" s="3" t="s">
        <v>62</v>
      </c>
      <c r="I5698" s="3" t="s">
        <v>62</v>
      </c>
      <c r="J5698" s="3" t="s">
        <v>62</v>
      </c>
      <c r="K5698" s="3" t="s">
        <v>63</v>
      </c>
      <c r="M5698" s="2" t="s">
        <v>54731</v>
      </c>
      <c r="N5698" s="3" t="s">
        <v>149</v>
      </c>
      <c r="P5698" s="3" t="s">
        <v>65</v>
      </c>
      <c r="Q5698" s="2" t="s">
        <v>54732</v>
      </c>
      <c r="R5698" s="3" t="s">
        <v>66</v>
      </c>
      <c r="S5698" s="4">
        <v>3</v>
      </c>
      <c r="T5698" s="4">
        <v>3</v>
      </c>
      <c r="U5698" s="5" t="s">
        <v>17088</v>
      </c>
      <c r="V5698" s="5" t="s">
        <v>17088</v>
      </c>
      <c r="W5698" s="5" t="s">
        <v>67</v>
      </c>
      <c r="X5698" s="5" t="s">
        <v>67</v>
      </c>
      <c r="Y5698" s="4">
        <v>314</v>
      </c>
      <c r="Z5698" s="4">
        <v>26</v>
      </c>
      <c r="AA5698" s="4">
        <v>87</v>
      </c>
      <c r="AB5698" s="4">
        <v>2</v>
      </c>
      <c r="AC5698" s="4">
        <v>15</v>
      </c>
      <c r="AD5698" s="4">
        <v>98</v>
      </c>
      <c r="AE5698" s="4">
        <v>142</v>
      </c>
      <c r="AF5698" s="4">
        <v>1</v>
      </c>
      <c r="AG5698" s="4">
        <v>8</v>
      </c>
      <c r="AH5698" s="4">
        <v>86</v>
      </c>
      <c r="AI5698" s="4">
        <v>106</v>
      </c>
      <c r="AJ5698" s="4">
        <v>18</v>
      </c>
      <c r="AK5698" s="4">
        <v>25</v>
      </c>
      <c r="AL5698" s="4">
        <v>45</v>
      </c>
      <c r="AM5698" s="4">
        <v>56</v>
      </c>
      <c r="AN5698" s="4">
        <v>0</v>
      </c>
      <c r="AO5698" s="4">
        <v>0</v>
      </c>
      <c r="AP5698" s="4">
        <v>21</v>
      </c>
      <c r="AQ5698" s="4">
        <v>45</v>
      </c>
      <c r="AR5698" s="3" t="s">
        <v>62</v>
      </c>
      <c r="AS5698" s="3" t="s">
        <v>62</v>
      </c>
      <c r="AT5698" s="3" t="s">
        <v>62</v>
      </c>
      <c r="AV5698" s="6" t="str">
        <f>HYPERLINK("http://mcgill.on.worldcat.org/oclc/458890161","Catalog Record")</f>
        <v>Catalog Record</v>
      </c>
      <c r="AW5698" s="6" t="str">
        <f>HYPERLINK("http://www.worldcat.org/oclc/458890161","WorldCat Record")</f>
        <v>WorldCat Record</v>
      </c>
      <c r="AX5698" s="3" t="s">
        <v>54733</v>
      </c>
      <c r="AY5698" s="3" t="s">
        <v>54734</v>
      </c>
      <c r="AZ5698" s="3" t="s">
        <v>54735</v>
      </c>
      <c r="BA5698" s="3" t="s">
        <v>54735</v>
      </c>
      <c r="BB5698" s="3" t="s">
        <v>54736</v>
      </c>
      <c r="BC5698" s="3" t="s">
        <v>142</v>
      </c>
      <c r="BD5698" s="3" t="s">
        <v>68</v>
      </c>
      <c r="BE5698" s="3" t="s">
        <v>54737</v>
      </c>
      <c r="BF5698" s="3" t="s">
        <v>54736</v>
      </c>
      <c r="BG5698" s="3" t="s">
        <v>54738</v>
      </c>
    </row>
    <row r="5699" spans="1:59" ht="57" x14ac:dyDescent="0.45">
      <c r="A5699" s="2" t="s">
        <v>59</v>
      </c>
      <c r="B5699" s="2" t="s">
        <v>60</v>
      </c>
      <c r="C5699" s="2" t="s">
        <v>54739</v>
      </c>
      <c r="D5699" s="2" t="s">
        <v>54740</v>
      </c>
      <c r="E5699" s="2" t="s">
        <v>54741</v>
      </c>
      <c r="G5699" s="3" t="s">
        <v>62</v>
      </c>
      <c r="I5699" s="3" t="s">
        <v>62</v>
      </c>
      <c r="J5699" s="3" t="s">
        <v>62</v>
      </c>
      <c r="K5699" s="3" t="s">
        <v>63</v>
      </c>
      <c r="L5699" s="2" t="s">
        <v>54742</v>
      </c>
      <c r="M5699" s="2" t="s">
        <v>30101</v>
      </c>
      <c r="N5699" s="3" t="s">
        <v>807</v>
      </c>
      <c r="P5699" s="3" t="s">
        <v>65</v>
      </c>
      <c r="R5699" s="3" t="s">
        <v>66</v>
      </c>
      <c r="S5699" s="4">
        <v>6</v>
      </c>
      <c r="T5699" s="4">
        <v>6</v>
      </c>
      <c r="U5699" s="5" t="s">
        <v>2036</v>
      </c>
      <c r="V5699" s="5" t="s">
        <v>2036</v>
      </c>
      <c r="W5699" s="5" t="s">
        <v>67</v>
      </c>
      <c r="X5699" s="5" t="s">
        <v>67</v>
      </c>
      <c r="Y5699" s="4">
        <v>415</v>
      </c>
      <c r="Z5699" s="4">
        <v>22</v>
      </c>
      <c r="AA5699" s="4">
        <v>22</v>
      </c>
      <c r="AB5699" s="4">
        <v>2</v>
      </c>
      <c r="AC5699" s="4">
        <v>2</v>
      </c>
      <c r="AD5699" s="4">
        <v>108</v>
      </c>
      <c r="AE5699" s="4">
        <v>108</v>
      </c>
      <c r="AF5699" s="4">
        <v>1</v>
      </c>
      <c r="AG5699" s="4">
        <v>1</v>
      </c>
      <c r="AH5699" s="4">
        <v>95</v>
      </c>
      <c r="AI5699" s="4">
        <v>95</v>
      </c>
      <c r="AJ5699" s="4">
        <v>15</v>
      </c>
      <c r="AK5699" s="4">
        <v>15</v>
      </c>
      <c r="AL5699" s="4">
        <v>55</v>
      </c>
      <c r="AM5699" s="4">
        <v>55</v>
      </c>
      <c r="AN5699" s="4">
        <v>0</v>
      </c>
      <c r="AO5699" s="4">
        <v>0</v>
      </c>
      <c r="AP5699" s="4">
        <v>18</v>
      </c>
      <c r="AQ5699" s="4">
        <v>18</v>
      </c>
      <c r="AR5699" s="3" t="s">
        <v>62</v>
      </c>
      <c r="AS5699" s="3" t="s">
        <v>62</v>
      </c>
      <c r="AT5699" s="3" t="s">
        <v>62</v>
      </c>
      <c r="AV5699" s="6" t="str">
        <f>HYPERLINK("http://mcgill.on.worldcat.org/oclc/20893101","Catalog Record")</f>
        <v>Catalog Record</v>
      </c>
      <c r="AW5699" s="6" t="str">
        <f>HYPERLINK("http://www.worldcat.org/oclc/20893101","WorldCat Record")</f>
        <v>WorldCat Record</v>
      </c>
      <c r="AX5699" s="3" t="s">
        <v>54743</v>
      </c>
      <c r="AY5699" s="3" t="s">
        <v>54744</v>
      </c>
      <c r="AZ5699" s="3" t="s">
        <v>54745</v>
      </c>
      <c r="BA5699" s="3" t="s">
        <v>54745</v>
      </c>
      <c r="BB5699" s="3" t="s">
        <v>54746</v>
      </c>
      <c r="BC5699" s="3" t="s">
        <v>142</v>
      </c>
      <c r="BD5699" s="3" t="s">
        <v>68</v>
      </c>
      <c r="BE5699" s="3" t="s">
        <v>54747</v>
      </c>
      <c r="BF5699" s="3" t="s">
        <v>54746</v>
      </c>
      <c r="BG5699" s="3" t="s">
        <v>54748</v>
      </c>
    </row>
    <row r="5700" spans="1:59" ht="57" x14ac:dyDescent="0.45">
      <c r="A5700" s="2" t="s">
        <v>59</v>
      </c>
      <c r="B5700" s="2" t="s">
        <v>60</v>
      </c>
      <c r="C5700" s="2" t="s">
        <v>54749</v>
      </c>
      <c r="D5700" s="2" t="s">
        <v>54750</v>
      </c>
      <c r="E5700" s="2" t="s">
        <v>54751</v>
      </c>
      <c r="G5700" s="3" t="s">
        <v>62</v>
      </c>
      <c r="I5700" s="3" t="s">
        <v>62</v>
      </c>
      <c r="J5700" s="3" t="s">
        <v>62</v>
      </c>
      <c r="K5700" s="3" t="s">
        <v>63</v>
      </c>
      <c r="M5700" s="2" t="s">
        <v>23771</v>
      </c>
      <c r="N5700" s="3" t="s">
        <v>1604</v>
      </c>
      <c r="P5700" s="3" t="s">
        <v>65</v>
      </c>
      <c r="Q5700" s="2" t="s">
        <v>54752</v>
      </c>
      <c r="R5700" s="3" t="s">
        <v>66</v>
      </c>
      <c r="S5700" s="4">
        <v>12</v>
      </c>
      <c r="T5700" s="4">
        <v>12</v>
      </c>
      <c r="U5700" s="5" t="s">
        <v>4639</v>
      </c>
      <c r="V5700" s="5" t="s">
        <v>4639</v>
      </c>
      <c r="W5700" s="5" t="s">
        <v>67</v>
      </c>
      <c r="X5700" s="5" t="s">
        <v>67</v>
      </c>
      <c r="Y5700" s="4">
        <v>266</v>
      </c>
      <c r="Z5700" s="4">
        <v>12</v>
      </c>
      <c r="AA5700" s="4">
        <v>35</v>
      </c>
      <c r="AB5700" s="4">
        <v>1</v>
      </c>
      <c r="AC5700" s="4">
        <v>7</v>
      </c>
      <c r="AD5700" s="4">
        <v>77</v>
      </c>
      <c r="AE5700" s="4">
        <v>84</v>
      </c>
      <c r="AF5700" s="4">
        <v>0</v>
      </c>
      <c r="AG5700" s="4">
        <v>1</v>
      </c>
      <c r="AH5700" s="4">
        <v>69</v>
      </c>
      <c r="AI5700" s="4">
        <v>71</v>
      </c>
      <c r="AJ5700" s="4">
        <v>9</v>
      </c>
      <c r="AK5700" s="4">
        <v>11</v>
      </c>
      <c r="AL5700" s="4">
        <v>40</v>
      </c>
      <c r="AM5700" s="4">
        <v>41</v>
      </c>
      <c r="AN5700" s="4">
        <v>0</v>
      </c>
      <c r="AO5700" s="4">
        <v>0</v>
      </c>
      <c r="AP5700" s="4">
        <v>10</v>
      </c>
      <c r="AQ5700" s="4">
        <v>16</v>
      </c>
      <c r="AR5700" s="3" t="s">
        <v>62</v>
      </c>
      <c r="AS5700" s="3" t="s">
        <v>62</v>
      </c>
      <c r="AT5700" s="3" t="s">
        <v>61</v>
      </c>
      <c r="AU5700" s="6" t="str">
        <f>HYPERLINK("http://catalog.hathitrust.org/Record/002996131","HathiTrust Record")</f>
        <v>HathiTrust Record</v>
      </c>
      <c r="AV5700" s="6" t="str">
        <f>HYPERLINK("http://mcgill.on.worldcat.org/oclc/29843702","Catalog Record")</f>
        <v>Catalog Record</v>
      </c>
      <c r="AW5700" s="6" t="str">
        <f>HYPERLINK("http://www.worldcat.org/oclc/29843702","WorldCat Record")</f>
        <v>WorldCat Record</v>
      </c>
      <c r="AX5700" s="3" t="s">
        <v>54753</v>
      </c>
      <c r="AY5700" s="3" t="s">
        <v>54754</v>
      </c>
      <c r="AZ5700" s="3" t="s">
        <v>54755</v>
      </c>
      <c r="BA5700" s="3" t="s">
        <v>54755</v>
      </c>
      <c r="BB5700" s="3" t="s">
        <v>54756</v>
      </c>
      <c r="BC5700" s="3" t="s">
        <v>142</v>
      </c>
      <c r="BD5700" s="3" t="s">
        <v>68</v>
      </c>
      <c r="BE5700" s="3" t="s">
        <v>54757</v>
      </c>
      <c r="BF5700" s="3" t="s">
        <v>54756</v>
      </c>
      <c r="BG5700" s="3" t="s">
        <v>54758</v>
      </c>
    </row>
    <row r="5701" spans="1:59" ht="57" x14ac:dyDescent="0.45">
      <c r="A5701" s="2" t="s">
        <v>59</v>
      </c>
      <c r="B5701" s="2" t="s">
        <v>60</v>
      </c>
      <c r="C5701" s="2" t="s">
        <v>54759</v>
      </c>
      <c r="D5701" s="2" t="s">
        <v>54760</v>
      </c>
      <c r="E5701" s="2" t="s">
        <v>54761</v>
      </c>
      <c r="G5701" s="3" t="s">
        <v>62</v>
      </c>
      <c r="I5701" s="3" t="s">
        <v>62</v>
      </c>
      <c r="J5701" s="3" t="s">
        <v>62</v>
      </c>
      <c r="K5701" s="3" t="s">
        <v>63</v>
      </c>
      <c r="M5701" s="2" t="s">
        <v>54762</v>
      </c>
      <c r="N5701" s="3" t="s">
        <v>149</v>
      </c>
      <c r="P5701" s="3" t="s">
        <v>110</v>
      </c>
      <c r="Q5701" s="2" t="s">
        <v>54763</v>
      </c>
      <c r="R5701" s="3" t="s">
        <v>66</v>
      </c>
      <c r="S5701" s="4">
        <v>1</v>
      </c>
      <c r="T5701" s="4">
        <v>1</v>
      </c>
      <c r="U5701" s="5" t="s">
        <v>3611</v>
      </c>
      <c r="V5701" s="5" t="s">
        <v>3611</v>
      </c>
      <c r="W5701" s="5" t="s">
        <v>67</v>
      </c>
      <c r="X5701" s="5" t="s">
        <v>67</v>
      </c>
      <c r="Y5701" s="4">
        <v>27</v>
      </c>
      <c r="Z5701" s="4">
        <v>6</v>
      </c>
      <c r="AA5701" s="4">
        <v>14</v>
      </c>
      <c r="AB5701" s="4">
        <v>1</v>
      </c>
      <c r="AC5701" s="4">
        <v>5</v>
      </c>
      <c r="AD5701" s="4">
        <v>16</v>
      </c>
      <c r="AE5701" s="4">
        <v>28</v>
      </c>
      <c r="AF5701" s="4">
        <v>0</v>
      </c>
      <c r="AG5701" s="4">
        <v>2</v>
      </c>
      <c r="AH5701" s="4">
        <v>14</v>
      </c>
      <c r="AI5701" s="4">
        <v>22</v>
      </c>
      <c r="AJ5701" s="4">
        <v>4</v>
      </c>
      <c r="AK5701" s="4">
        <v>9</v>
      </c>
      <c r="AL5701" s="4">
        <v>10</v>
      </c>
      <c r="AM5701" s="4">
        <v>14</v>
      </c>
      <c r="AN5701" s="4">
        <v>0</v>
      </c>
      <c r="AO5701" s="4">
        <v>0</v>
      </c>
      <c r="AP5701" s="4">
        <v>4</v>
      </c>
      <c r="AQ5701" s="4">
        <v>10</v>
      </c>
      <c r="AR5701" s="3" t="s">
        <v>62</v>
      </c>
      <c r="AS5701" s="3" t="s">
        <v>62</v>
      </c>
      <c r="AT5701" s="3" t="s">
        <v>62</v>
      </c>
      <c r="AV5701" s="6" t="str">
        <f>HYPERLINK("http://mcgill.on.worldcat.org/oclc/611404809","Catalog Record")</f>
        <v>Catalog Record</v>
      </c>
      <c r="AW5701" s="6" t="str">
        <f>HYPERLINK("http://www.worldcat.org/oclc/611404809","WorldCat Record")</f>
        <v>WorldCat Record</v>
      </c>
      <c r="AX5701" s="3" t="s">
        <v>54764</v>
      </c>
      <c r="AY5701" s="3" t="s">
        <v>54765</v>
      </c>
      <c r="AZ5701" s="3" t="s">
        <v>54766</v>
      </c>
      <c r="BA5701" s="3" t="s">
        <v>54766</v>
      </c>
      <c r="BB5701" s="3" t="s">
        <v>54767</v>
      </c>
      <c r="BC5701" s="3" t="s">
        <v>142</v>
      </c>
      <c r="BD5701" s="3" t="s">
        <v>68</v>
      </c>
      <c r="BE5701" s="3" t="s">
        <v>54768</v>
      </c>
      <c r="BF5701" s="3" t="s">
        <v>54767</v>
      </c>
      <c r="BG5701" s="3" t="s">
        <v>54769</v>
      </c>
    </row>
    <row r="5702" spans="1:59" ht="57" x14ac:dyDescent="0.45">
      <c r="A5702" s="2" t="s">
        <v>59</v>
      </c>
      <c r="B5702" s="2" t="s">
        <v>60</v>
      </c>
      <c r="C5702" s="2" t="s">
        <v>54770</v>
      </c>
      <c r="D5702" s="2" t="s">
        <v>54771</v>
      </c>
      <c r="E5702" s="2" t="s">
        <v>54772</v>
      </c>
      <c r="G5702" s="3" t="s">
        <v>62</v>
      </c>
      <c r="I5702" s="3" t="s">
        <v>62</v>
      </c>
      <c r="J5702" s="3" t="s">
        <v>62</v>
      </c>
      <c r="K5702" s="3" t="s">
        <v>63</v>
      </c>
      <c r="L5702" s="2" t="s">
        <v>29480</v>
      </c>
      <c r="M5702" s="2" t="s">
        <v>11201</v>
      </c>
      <c r="N5702" s="3" t="s">
        <v>3160</v>
      </c>
      <c r="P5702" s="3" t="s">
        <v>110</v>
      </c>
      <c r="Q5702" s="2" t="s">
        <v>6759</v>
      </c>
      <c r="R5702" s="3" t="s">
        <v>66</v>
      </c>
      <c r="S5702" s="4">
        <v>91</v>
      </c>
      <c r="T5702" s="4">
        <v>91</v>
      </c>
      <c r="U5702" s="5" t="s">
        <v>54773</v>
      </c>
      <c r="V5702" s="5" t="s">
        <v>54773</v>
      </c>
      <c r="W5702" s="5" t="s">
        <v>67</v>
      </c>
      <c r="X5702" s="5" t="s">
        <v>67</v>
      </c>
      <c r="Y5702" s="4">
        <v>221</v>
      </c>
      <c r="Z5702" s="4">
        <v>24</v>
      </c>
      <c r="AA5702" s="4">
        <v>35</v>
      </c>
      <c r="AB5702" s="4">
        <v>2</v>
      </c>
      <c r="AC5702" s="4">
        <v>11</v>
      </c>
      <c r="AD5702" s="4">
        <v>94</v>
      </c>
      <c r="AE5702" s="4">
        <v>101</v>
      </c>
      <c r="AF5702" s="4">
        <v>0</v>
      </c>
      <c r="AG5702" s="4">
        <v>5</v>
      </c>
      <c r="AH5702" s="4">
        <v>82</v>
      </c>
      <c r="AI5702" s="4">
        <v>83</v>
      </c>
      <c r="AJ5702" s="4">
        <v>16</v>
      </c>
      <c r="AK5702" s="4">
        <v>21</v>
      </c>
      <c r="AL5702" s="4">
        <v>47</v>
      </c>
      <c r="AM5702" s="4">
        <v>47</v>
      </c>
      <c r="AN5702" s="4">
        <v>1</v>
      </c>
      <c r="AO5702" s="4">
        <v>1</v>
      </c>
      <c r="AP5702" s="4">
        <v>20</v>
      </c>
      <c r="AQ5702" s="4">
        <v>26</v>
      </c>
      <c r="AR5702" s="3" t="s">
        <v>62</v>
      </c>
      <c r="AS5702" s="3" t="s">
        <v>62</v>
      </c>
      <c r="AT5702" s="3" t="s">
        <v>61</v>
      </c>
      <c r="AU5702" s="6" t="str">
        <f>HYPERLINK("http://catalog.hathitrust.org/Record/002196086","HathiTrust Record")</f>
        <v>HathiTrust Record</v>
      </c>
      <c r="AV5702" s="6" t="str">
        <f>HYPERLINK("http://mcgill.on.worldcat.org/oclc/8927707","Catalog Record")</f>
        <v>Catalog Record</v>
      </c>
      <c r="AW5702" s="6" t="str">
        <f>HYPERLINK("http://www.worldcat.org/oclc/8927707","WorldCat Record")</f>
        <v>WorldCat Record</v>
      </c>
      <c r="AX5702" s="3" t="s">
        <v>54774</v>
      </c>
      <c r="AY5702" s="3" t="s">
        <v>54775</v>
      </c>
      <c r="AZ5702" s="3" t="s">
        <v>54776</v>
      </c>
      <c r="BA5702" s="3" t="s">
        <v>54776</v>
      </c>
      <c r="BB5702" s="3" t="s">
        <v>54777</v>
      </c>
      <c r="BC5702" s="3" t="s">
        <v>142</v>
      </c>
      <c r="BD5702" s="3" t="s">
        <v>308</v>
      </c>
      <c r="BE5702" s="3" t="s">
        <v>54778</v>
      </c>
      <c r="BF5702" s="3" t="s">
        <v>54777</v>
      </c>
      <c r="BG5702" s="3" t="s">
        <v>54779</v>
      </c>
    </row>
    <row r="5703" spans="1:59" ht="57" x14ac:dyDescent="0.45">
      <c r="A5703" s="2" t="s">
        <v>59</v>
      </c>
      <c r="B5703" s="2" t="s">
        <v>60</v>
      </c>
      <c r="C5703" s="2" t="s">
        <v>54780</v>
      </c>
      <c r="D5703" s="2" t="s">
        <v>54781</v>
      </c>
      <c r="E5703" s="2" t="s">
        <v>54782</v>
      </c>
      <c r="G5703" s="3" t="s">
        <v>62</v>
      </c>
      <c r="I5703" s="3" t="s">
        <v>62</v>
      </c>
      <c r="J5703" s="3" t="s">
        <v>62</v>
      </c>
      <c r="K5703" s="3" t="s">
        <v>63</v>
      </c>
      <c r="M5703" s="2" t="s">
        <v>54783</v>
      </c>
      <c r="N5703" s="3" t="s">
        <v>918</v>
      </c>
      <c r="P5703" s="3" t="s">
        <v>65</v>
      </c>
      <c r="Q5703" s="2" t="s">
        <v>6478</v>
      </c>
      <c r="R5703" s="3" t="s">
        <v>66</v>
      </c>
      <c r="S5703" s="4">
        <v>2</v>
      </c>
      <c r="T5703" s="4">
        <v>2</v>
      </c>
      <c r="U5703" s="5" t="s">
        <v>13385</v>
      </c>
      <c r="V5703" s="5" t="s">
        <v>13385</v>
      </c>
      <c r="W5703" s="5" t="s">
        <v>67</v>
      </c>
      <c r="X5703" s="5" t="s">
        <v>67</v>
      </c>
      <c r="Y5703" s="4">
        <v>305</v>
      </c>
      <c r="Z5703" s="4">
        <v>23</v>
      </c>
      <c r="AA5703" s="4">
        <v>25</v>
      </c>
      <c r="AB5703" s="4">
        <v>2</v>
      </c>
      <c r="AC5703" s="4">
        <v>4</v>
      </c>
      <c r="AD5703" s="4">
        <v>107</v>
      </c>
      <c r="AE5703" s="4">
        <v>109</v>
      </c>
      <c r="AF5703" s="4">
        <v>1</v>
      </c>
      <c r="AG5703" s="4">
        <v>3</v>
      </c>
      <c r="AH5703" s="4">
        <v>93</v>
      </c>
      <c r="AI5703" s="4">
        <v>94</v>
      </c>
      <c r="AJ5703" s="4">
        <v>15</v>
      </c>
      <c r="AK5703" s="4">
        <v>17</v>
      </c>
      <c r="AL5703" s="4">
        <v>50</v>
      </c>
      <c r="AM5703" s="4">
        <v>50</v>
      </c>
      <c r="AN5703" s="4">
        <v>0</v>
      </c>
      <c r="AO5703" s="4">
        <v>0</v>
      </c>
      <c r="AP5703" s="4">
        <v>20</v>
      </c>
      <c r="AQ5703" s="4">
        <v>21</v>
      </c>
      <c r="AR5703" s="3" t="s">
        <v>62</v>
      </c>
      <c r="AS5703" s="3" t="s">
        <v>62</v>
      </c>
      <c r="AT5703" s="3" t="s">
        <v>61</v>
      </c>
      <c r="AU5703" s="6" t="str">
        <f>HYPERLINK("http://catalog.hathitrust.org/Record/004334678","HathiTrust Record")</f>
        <v>HathiTrust Record</v>
      </c>
      <c r="AV5703" s="6" t="str">
        <f>HYPERLINK("http://mcgill.on.worldcat.org/oclc/50123451","Catalog Record")</f>
        <v>Catalog Record</v>
      </c>
      <c r="AW5703" s="6" t="str">
        <f>HYPERLINK("http://www.worldcat.org/oclc/50123451","WorldCat Record")</f>
        <v>WorldCat Record</v>
      </c>
      <c r="AX5703" s="3" t="s">
        <v>54784</v>
      </c>
      <c r="AY5703" s="3" t="s">
        <v>54785</v>
      </c>
      <c r="AZ5703" s="3" t="s">
        <v>54786</v>
      </c>
      <c r="BA5703" s="3" t="s">
        <v>54786</v>
      </c>
      <c r="BB5703" s="3" t="s">
        <v>54787</v>
      </c>
      <c r="BC5703" s="3" t="s">
        <v>142</v>
      </c>
      <c r="BD5703" s="3" t="s">
        <v>68</v>
      </c>
      <c r="BE5703" s="3" t="s">
        <v>54788</v>
      </c>
      <c r="BF5703" s="3" t="s">
        <v>54787</v>
      </c>
      <c r="BG5703" s="3" t="s">
        <v>54789</v>
      </c>
    </row>
    <row r="5704" spans="1:59" ht="57" x14ac:dyDescent="0.45">
      <c r="A5704" s="2" t="s">
        <v>59</v>
      </c>
      <c r="B5704" s="2" t="s">
        <v>60</v>
      </c>
      <c r="C5704" s="2" t="s">
        <v>54790</v>
      </c>
      <c r="D5704" s="2" t="s">
        <v>54791</v>
      </c>
      <c r="E5704" s="2" t="s">
        <v>54792</v>
      </c>
      <c r="G5704" s="3" t="s">
        <v>62</v>
      </c>
      <c r="I5704" s="3" t="s">
        <v>62</v>
      </c>
      <c r="J5704" s="3" t="s">
        <v>62</v>
      </c>
      <c r="K5704" s="3" t="s">
        <v>63</v>
      </c>
      <c r="L5704" s="2" t="s">
        <v>54793</v>
      </c>
      <c r="M5704" s="2" t="s">
        <v>10884</v>
      </c>
      <c r="N5704" s="3" t="s">
        <v>116</v>
      </c>
      <c r="O5704" s="2" t="s">
        <v>168</v>
      </c>
      <c r="P5704" s="3" t="s">
        <v>65</v>
      </c>
      <c r="Q5704" s="2" t="s">
        <v>54794</v>
      </c>
      <c r="R5704" s="3" t="s">
        <v>66</v>
      </c>
      <c r="S5704" s="4">
        <v>3</v>
      </c>
      <c r="T5704" s="4">
        <v>3</v>
      </c>
      <c r="U5704" s="5" t="s">
        <v>741</v>
      </c>
      <c r="V5704" s="5" t="s">
        <v>741</v>
      </c>
      <c r="W5704" s="5" t="s">
        <v>67</v>
      </c>
      <c r="X5704" s="5" t="s">
        <v>67</v>
      </c>
      <c r="Y5704" s="4">
        <v>420</v>
      </c>
      <c r="Z5704" s="4">
        <v>25</v>
      </c>
      <c r="AA5704" s="4">
        <v>28</v>
      </c>
      <c r="AB5704" s="4">
        <v>2</v>
      </c>
      <c r="AC5704" s="4">
        <v>2</v>
      </c>
      <c r="AD5704" s="4">
        <v>70</v>
      </c>
      <c r="AE5704" s="4">
        <v>75</v>
      </c>
      <c r="AF5704" s="4">
        <v>1</v>
      </c>
      <c r="AG5704" s="4">
        <v>1</v>
      </c>
      <c r="AH5704" s="4">
        <v>61</v>
      </c>
      <c r="AI5704" s="4">
        <v>63</v>
      </c>
      <c r="AJ5704" s="4">
        <v>12</v>
      </c>
      <c r="AK5704" s="4">
        <v>13</v>
      </c>
      <c r="AL5704" s="4">
        <v>31</v>
      </c>
      <c r="AM5704" s="4">
        <v>33</v>
      </c>
      <c r="AN5704" s="4">
        <v>0</v>
      </c>
      <c r="AO5704" s="4">
        <v>0</v>
      </c>
      <c r="AP5704" s="4">
        <v>16</v>
      </c>
      <c r="AQ5704" s="4">
        <v>19</v>
      </c>
      <c r="AR5704" s="3" t="s">
        <v>62</v>
      </c>
      <c r="AS5704" s="3" t="s">
        <v>62</v>
      </c>
      <c r="AT5704" s="3" t="s">
        <v>62</v>
      </c>
      <c r="AV5704" s="6" t="str">
        <f>HYPERLINK("http://mcgill.on.worldcat.org/oclc/813540513","Catalog Record")</f>
        <v>Catalog Record</v>
      </c>
      <c r="AW5704" s="6" t="str">
        <f>HYPERLINK("http://www.worldcat.org/oclc/813540513","WorldCat Record")</f>
        <v>WorldCat Record</v>
      </c>
      <c r="AX5704" s="3" t="s">
        <v>54795</v>
      </c>
      <c r="AY5704" s="3" t="s">
        <v>54796</v>
      </c>
      <c r="AZ5704" s="3" t="s">
        <v>54797</v>
      </c>
      <c r="BA5704" s="3" t="s">
        <v>54797</v>
      </c>
      <c r="BB5704" s="3" t="s">
        <v>54798</v>
      </c>
      <c r="BC5704" s="3" t="s">
        <v>142</v>
      </c>
      <c r="BD5704" s="3" t="s">
        <v>68</v>
      </c>
      <c r="BE5704" s="3" t="s">
        <v>54799</v>
      </c>
      <c r="BF5704" s="3" t="s">
        <v>54798</v>
      </c>
      <c r="BG5704" s="3" t="s">
        <v>54800</v>
      </c>
    </row>
    <row r="5705" spans="1:59" ht="57" x14ac:dyDescent="0.45">
      <c r="A5705" s="2" t="s">
        <v>59</v>
      </c>
      <c r="B5705" s="2" t="s">
        <v>60</v>
      </c>
      <c r="C5705" s="2" t="s">
        <v>54801</v>
      </c>
      <c r="D5705" s="2" t="s">
        <v>54802</v>
      </c>
      <c r="E5705" s="2" t="s">
        <v>54803</v>
      </c>
      <c r="G5705" s="3" t="s">
        <v>62</v>
      </c>
      <c r="I5705" s="3" t="s">
        <v>62</v>
      </c>
      <c r="J5705" s="3" t="s">
        <v>62</v>
      </c>
      <c r="K5705" s="3" t="s">
        <v>63</v>
      </c>
      <c r="L5705" s="2" t="s">
        <v>54804</v>
      </c>
      <c r="M5705" s="2" t="s">
        <v>54805</v>
      </c>
      <c r="N5705" s="3" t="s">
        <v>1155</v>
      </c>
      <c r="O5705" s="2" t="s">
        <v>54806</v>
      </c>
      <c r="P5705" s="3" t="s">
        <v>110</v>
      </c>
      <c r="Q5705" s="2" t="s">
        <v>54807</v>
      </c>
      <c r="R5705" s="3" t="s">
        <v>66</v>
      </c>
      <c r="S5705" s="4">
        <v>2</v>
      </c>
      <c r="T5705" s="4">
        <v>2</v>
      </c>
      <c r="U5705" s="5" t="s">
        <v>1988</v>
      </c>
      <c r="V5705" s="5" t="s">
        <v>1988</v>
      </c>
      <c r="W5705" s="5" t="s">
        <v>67</v>
      </c>
      <c r="X5705" s="5" t="s">
        <v>67</v>
      </c>
      <c r="Y5705" s="4">
        <v>8</v>
      </c>
      <c r="Z5705" s="4">
        <v>8</v>
      </c>
      <c r="AA5705" s="4">
        <v>9</v>
      </c>
      <c r="AB5705" s="4">
        <v>7</v>
      </c>
      <c r="AC5705" s="4">
        <v>7</v>
      </c>
      <c r="AD5705" s="4">
        <v>3</v>
      </c>
      <c r="AE5705" s="4">
        <v>4</v>
      </c>
      <c r="AF5705" s="4">
        <v>2</v>
      </c>
      <c r="AG5705" s="4">
        <v>2</v>
      </c>
      <c r="AH5705" s="4">
        <v>0</v>
      </c>
      <c r="AI5705" s="4">
        <v>0</v>
      </c>
      <c r="AJ5705" s="4">
        <v>3</v>
      </c>
      <c r="AK5705" s="4">
        <v>4</v>
      </c>
      <c r="AL5705" s="4">
        <v>0</v>
      </c>
      <c r="AM5705" s="4">
        <v>0</v>
      </c>
      <c r="AN5705" s="4">
        <v>0</v>
      </c>
      <c r="AO5705" s="4">
        <v>0</v>
      </c>
      <c r="AP5705" s="4">
        <v>2</v>
      </c>
      <c r="AQ5705" s="4">
        <v>3</v>
      </c>
      <c r="AR5705" s="3" t="s">
        <v>61</v>
      </c>
      <c r="AS5705" s="3" t="s">
        <v>62</v>
      </c>
      <c r="AT5705" s="3" t="s">
        <v>62</v>
      </c>
      <c r="AV5705" s="6" t="str">
        <f>HYPERLINK("http://mcgill.on.worldcat.org/oclc/814357550","Catalog Record")</f>
        <v>Catalog Record</v>
      </c>
      <c r="AW5705" s="6" t="str">
        <f>HYPERLINK("http://www.worldcat.org/oclc/814357550","WorldCat Record")</f>
        <v>WorldCat Record</v>
      </c>
      <c r="AX5705" s="3" t="s">
        <v>54808</v>
      </c>
      <c r="AY5705" s="3" t="s">
        <v>54809</v>
      </c>
      <c r="AZ5705" s="3" t="s">
        <v>54810</v>
      </c>
      <c r="BA5705" s="3" t="s">
        <v>54810</v>
      </c>
      <c r="BB5705" s="3" t="s">
        <v>54811</v>
      </c>
      <c r="BC5705" s="3" t="s">
        <v>142</v>
      </c>
      <c r="BD5705" s="3" t="s">
        <v>68</v>
      </c>
      <c r="BE5705" s="3" t="s">
        <v>54812</v>
      </c>
      <c r="BF5705" s="3" t="s">
        <v>54811</v>
      </c>
      <c r="BG5705" s="3" t="s">
        <v>54813</v>
      </c>
    </row>
    <row r="5706" spans="1:59" ht="85.5" x14ac:dyDescent="0.45">
      <c r="A5706" s="2" t="s">
        <v>59</v>
      </c>
      <c r="B5706" s="2" t="s">
        <v>5257</v>
      </c>
      <c r="C5706" s="2" t="s">
        <v>54814</v>
      </c>
      <c r="D5706" s="2" t="s">
        <v>54815</v>
      </c>
      <c r="E5706" s="2" t="s">
        <v>54816</v>
      </c>
      <c r="G5706" s="3" t="s">
        <v>62</v>
      </c>
      <c r="I5706" s="3" t="s">
        <v>62</v>
      </c>
      <c r="J5706" s="3" t="s">
        <v>62</v>
      </c>
      <c r="K5706" s="3" t="s">
        <v>63</v>
      </c>
      <c r="L5706" s="2" t="s">
        <v>54817</v>
      </c>
      <c r="M5706" s="2" t="s">
        <v>3350</v>
      </c>
      <c r="N5706" s="3" t="s">
        <v>894</v>
      </c>
      <c r="P5706" s="3" t="s">
        <v>65</v>
      </c>
      <c r="R5706" s="3" t="s">
        <v>66</v>
      </c>
      <c r="S5706" s="4">
        <v>0</v>
      </c>
      <c r="T5706" s="4">
        <v>0</v>
      </c>
      <c r="W5706" s="5" t="s">
        <v>67</v>
      </c>
      <c r="X5706" s="5" t="s">
        <v>67</v>
      </c>
      <c r="Y5706" s="4">
        <v>135</v>
      </c>
      <c r="Z5706" s="4">
        <v>16</v>
      </c>
      <c r="AA5706" s="4">
        <v>18</v>
      </c>
      <c r="AB5706" s="4">
        <v>2</v>
      </c>
      <c r="AC5706" s="4">
        <v>4</v>
      </c>
      <c r="AD5706" s="4">
        <v>54</v>
      </c>
      <c r="AE5706" s="4">
        <v>56</v>
      </c>
      <c r="AF5706" s="4">
        <v>1</v>
      </c>
      <c r="AG5706" s="4">
        <v>3</v>
      </c>
      <c r="AH5706" s="4">
        <v>48</v>
      </c>
      <c r="AI5706" s="4">
        <v>48</v>
      </c>
      <c r="AJ5706" s="4">
        <v>12</v>
      </c>
      <c r="AK5706" s="4">
        <v>13</v>
      </c>
      <c r="AL5706" s="4">
        <v>22</v>
      </c>
      <c r="AM5706" s="4">
        <v>22</v>
      </c>
      <c r="AN5706" s="4">
        <v>0</v>
      </c>
      <c r="AO5706" s="4">
        <v>0</v>
      </c>
      <c r="AP5706" s="4">
        <v>14</v>
      </c>
      <c r="AQ5706" s="4">
        <v>15</v>
      </c>
      <c r="AR5706" s="3" t="s">
        <v>62</v>
      </c>
      <c r="AS5706" s="3" t="s">
        <v>62</v>
      </c>
      <c r="AT5706" s="3" t="s">
        <v>62</v>
      </c>
      <c r="AV5706" s="6" t="str">
        <f>HYPERLINK("http://mcgill.on.worldcat.org/oclc/682891241","Catalog Record")</f>
        <v>Catalog Record</v>
      </c>
      <c r="AW5706" s="6" t="str">
        <f>HYPERLINK("http://www.worldcat.org/oclc/682891241","WorldCat Record")</f>
        <v>WorldCat Record</v>
      </c>
      <c r="AX5706" s="3" t="s">
        <v>54818</v>
      </c>
      <c r="AY5706" s="3" t="s">
        <v>54819</v>
      </c>
      <c r="AZ5706" s="3" t="s">
        <v>54820</v>
      </c>
      <c r="BA5706" s="3" t="s">
        <v>54820</v>
      </c>
      <c r="BB5706" s="3" t="s">
        <v>54821</v>
      </c>
      <c r="BC5706" s="3" t="s">
        <v>142</v>
      </c>
      <c r="BD5706" s="3" t="s">
        <v>68</v>
      </c>
      <c r="BE5706" s="3" t="s">
        <v>54822</v>
      </c>
      <c r="BF5706" s="3" t="s">
        <v>54821</v>
      </c>
      <c r="BG5706" s="3" t="s">
        <v>54823</v>
      </c>
    </row>
    <row r="5707" spans="1:59" ht="57" x14ac:dyDescent="0.45">
      <c r="A5707" s="2" t="s">
        <v>59</v>
      </c>
      <c r="B5707" s="2" t="s">
        <v>60</v>
      </c>
      <c r="C5707" s="2" t="s">
        <v>54824</v>
      </c>
      <c r="D5707" s="2" t="s">
        <v>54825</v>
      </c>
      <c r="E5707" s="2" t="s">
        <v>54826</v>
      </c>
      <c r="G5707" s="3" t="s">
        <v>62</v>
      </c>
      <c r="I5707" s="3" t="s">
        <v>62</v>
      </c>
      <c r="J5707" s="3" t="s">
        <v>62</v>
      </c>
      <c r="K5707" s="3" t="s">
        <v>63</v>
      </c>
      <c r="M5707" s="2" t="s">
        <v>54827</v>
      </c>
      <c r="N5707" s="3" t="s">
        <v>5180</v>
      </c>
      <c r="P5707" s="3" t="s">
        <v>65</v>
      </c>
      <c r="Q5707" s="2" t="s">
        <v>54828</v>
      </c>
      <c r="R5707" s="3" t="s">
        <v>66</v>
      </c>
      <c r="S5707" s="4">
        <v>0</v>
      </c>
      <c r="T5707" s="4">
        <v>0</v>
      </c>
      <c r="W5707" s="5" t="s">
        <v>67</v>
      </c>
      <c r="X5707" s="5" t="s">
        <v>67</v>
      </c>
      <c r="Y5707" s="4">
        <v>55</v>
      </c>
      <c r="Z5707" s="4">
        <v>4</v>
      </c>
      <c r="AA5707" s="4">
        <v>10</v>
      </c>
      <c r="AB5707" s="4">
        <v>1</v>
      </c>
      <c r="AC5707" s="4">
        <v>3</v>
      </c>
      <c r="AD5707" s="4">
        <v>33</v>
      </c>
      <c r="AE5707" s="4">
        <v>39</v>
      </c>
      <c r="AF5707" s="4">
        <v>0</v>
      </c>
      <c r="AG5707" s="4">
        <v>0</v>
      </c>
      <c r="AH5707" s="4">
        <v>32</v>
      </c>
      <c r="AI5707" s="4">
        <v>37</v>
      </c>
      <c r="AJ5707" s="4">
        <v>3</v>
      </c>
      <c r="AK5707" s="4">
        <v>7</v>
      </c>
      <c r="AL5707" s="4">
        <v>20</v>
      </c>
      <c r="AM5707" s="4">
        <v>21</v>
      </c>
      <c r="AN5707" s="4">
        <v>0</v>
      </c>
      <c r="AO5707" s="4">
        <v>0</v>
      </c>
      <c r="AP5707" s="4">
        <v>3</v>
      </c>
      <c r="AQ5707" s="4">
        <v>7</v>
      </c>
      <c r="AR5707" s="3" t="s">
        <v>62</v>
      </c>
      <c r="AS5707" s="3" t="s">
        <v>62</v>
      </c>
      <c r="AT5707" s="3" t="s">
        <v>62</v>
      </c>
      <c r="AV5707" s="6" t="str">
        <f>HYPERLINK("http://mcgill.on.worldcat.org/oclc/992452648","Catalog Record")</f>
        <v>Catalog Record</v>
      </c>
      <c r="AW5707" s="6" t="str">
        <f>HYPERLINK("http://www.worldcat.org/oclc/992452648","WorldCat Record")</f>
        <v>WorldCat Record</v>
      </c>
      <c r="AX5707" s="3" t="s">
        <v>54829</v>
      </c>
      <c r="AY5707" s="3" t="s">
        <v>54830</v>
      </c>
      <c r="AZ5707" s="3" t="s">
        <v>54831</v>
      </c>
      <c r="BA5707" s="3" t="s">
        <v>54831</v>
      </c>
      <c r="BB5707" s="3" t="s">
        <v>54832</v>
      </c>
      <c r="BC5707" s="3" t="s">
        <v>142</v>
      </c>
      <c r="BD5707" s="3" t="s">
        <v>68</v>
      </c>
      <c r="BE5707" s="3" t="s">
        <v>54833</v>
      </c>
      <c r="BF5707" s="3" t="s">
        <v>54832</v>
      </c>
      <c r="BG5707" s="3" t="s">
        <v>54834</v>
      </c>
    </row>
    <row r="5708" spans="1:59" ht="57" x14ac:dyDescent="0.45">
      <c r="A5708" s="2" t="s">
        <v>59</v>
      </c>
      <c r="B5708" s="2" t="s">
        <v>60</v>
      </c>
      <c r="C5708" s="2" t="s">
        <v>54835</v>
      </c>
      <c r="D5708" s="2" t="s">
        <v>54836</v>
      </c>
      <c r="E5708" s="2" t="s">
        <v>54837</v>
      </c>
      <c r="G5708" s="3" t="s">
        <v>62</v>
      </c>
      <c r="I5708" s="3" t="s">
        <v>62</v>
      </c>
      <c r="J5708" s="3" t="s">
        <v>62</v>
      </c>
      <c r="K5708" s="3" t="s">
        <v>63</v>
      </c>
      <c r="L5708" s="2" t="s">
        <v>8866</v>
      </c>
      <c r="M5708" s="2" t="s">
        <v>8328</v>
      </c>
      <c r="N5708" s="3" t="s">
        <v>1465</v>
      </c>
      <c r="P5708" s="3" t="s">
        <v>65</v>
      </c>
      <c r="Q5708" s="2" t="s">
        <v>25561</v>
      </c>
      <c r="R5708" s="3" t="s">
        <v>66</v>
      </c>
      <c r="S5708" s="4">
        <v>7</v>
      </c>
      <c r="T5708" s="4">
        <v>7</v>
      </c>
      <c r="U5708" s="5" t="s">
        <v>4105</v>
      </c>
      <c r="V5708" s="5" t="s">
        <v>4105</v>
      </c>
      <c r="W5708" s="5" t="s">
        <v>67</v>
      </c>
      <c r="X5708" s="5" t="s">
        <v>67</v>
      </c>
      <c r="Y5708" s="4">
        <v>233</v>
      </c>
      <c r="Z5708" s="4">
        <v>19</v>
      </c>
      <c r="AA5708" s="4">
        <v>99</v>
      </c>
      <c r="AB5708" s="4">
        <v>3</v>
      </c>
      <c r="AC5708" s="4">
        <v>18</v>
      </c>
      <c r="AD5708" s="4">
        <v>81</v>
      </c>
      <c r="AE5708" s="4">
        <v>134</v>
      </c>
      <c r="AF5708" s="4">
        <v>1</v>
      </c>
      <c r="AG5708" s="4">
        <v>8</v>
      </c>
      <c r="AH5708" s="4">
        <v>74</v>
      </c>
      <c r="AI5708" s="4">
        <v>95</v>
      </c>
      <c r="AJ5708" s="4">
        <v>14</v>
      </c>
      <c r="AK5708" s="4">
        <v>26</v>
      </c>
      <c r="AL5708" s="4">
        <v>41</v>
      </c>
      <c r="AM5708" s="4">
        <v>53</v>
      </c>
      <c r="AN5708" s="4">
        <v>0</v>
      </c>
      <c r="AO5708" s="4">
        <v>0</v>
      </c>
      <c r="AP5708" s="4">
        <v>15</v>
      </c>
      <c r="AQ5708" s="4">
        <v>48</v>
      </c>
      <c r="AR5708" s="3" t="s">
        <v>62</v>
      </c>
      <c r="AS5708" s="3" t="s">
        <v>62</v>
      </c>
      <c r="AT5708" s="3" t="s">
        <v>62</v>
      </c>
      <c r="AV5708" s="6" t="str">
        <f>HYPERLINK("http://mcgill.on.worldcat.org/oclc/330508617","Catalog Record")</f>
        <v>Catalog Record</v>
      </c>
      <c r="AW5708" s="6" t="str">
        <f>HYPERLINK("http://www.worldcat.org/oclc/330508617","WorldCat Record")</f>
        <v>WorldCat Record</v>
      </c>
      <c r="AX5708" s="3" t="s">
        <v>54838</v>
      </c>
      <c r="AY5708" s="3" t="s">
        <v>54839</v>
      </c>
      <c r="AZ5708" s="3" t="s">
        <v>54840</v>
      </c>
      <c r="BA5708" s="3" t="s">
        <v>54840</v>
      </c>
      <c r="BB5708" s="3" t="s">
        <v>54841</v>
      </c>
      <c r="BC5708" s="3" t="s">
        <v>142</v>
      </c>
      <c r="BD5708" s="3" t="s">
        <v>68</v>
      </c>
      <c r="BE5708" s="3" t="s">
        <v>54842</v>
      </c>
      <c r="BF5708" s="3" t="s">
        <v>54841</v>
      </c>
      <c r="BG5708" s="3" t="s">
        <v>54843</v>
      </c>
    </row>
    <row r="5709" spans="1:59" ht="71.25" x14ac:dyDescent="0.45">
      <c r="A5709" s="2" t="s">
        <v>59</v>
      </c>
      <c r="B5709" s="2" t="s">
        <v>60</v>
      </c>
      <c r="C5709" s="2" t="s">
        <v>54844</v>
      </c>
      <c r="D5709" s="2" t="s">
        <v>54845</v>
      </c>
      <c r="E5709" s="2" t="s">
        <v>54846</v>
      </c>
      <c r="G5709" s="3" t="s">
        <v>62</v>
      </c>
      <c r="I5709" s="3" t="s">
        <v>62</v>
      </c>
      <c r="J5709" s="3" t="s">
        <v>62</v>
      </c>
      <c r="K5709" s="3" t="s">
        <v>63</v>
      </c>
      <c r="M5709" s="2" t="s">
        <v>54847</v>
      </c>
      <c r="N5709" s="3" t="s">
        <v>1918</v>
      </c>
      <c r="P5709" s="3" t="s">
        <v>65</v>
      </c>
      <c r="R5709" s="3" t="s">
        <v>66</v>
      </c>
      <c r="S5709" s="4">
        <v>0</v>
      </c>
      <c r="T5709" s="4">
        <v>0</v>
      </c>
      <c r="W5709" s="5" t="s">
        <v>67</v>
      </c>
      <c r="X5709" s="5" t="s">
        <v>67</v>
      </c>
      <c r="Y5709" s="4">
        <v>26</v>
      </c>
      <c r="Z5709" s="4">
        <v>5</v>
      </c>
      <c r="AA5709" s="4">
        <v>10</v>
      </c>
      <c r="AB5709" s="4">
        <v>1</v>
      </c>
      <c r="AC5709" s="4">
        <v>5</v>
      </c>
      <c r="AD5709" s="4">
        <v>6</v>
      </c>
      <c r="AE5709" s="4">
        <v>14</v>
      </c>
      <c r="AF5709" s="4">
        <v>0</v>
      </c>
      <c r="AG5709" s="4">
        <v>2</v>
      </c>
      <c r="AH5709" s="4">
        <v>5</v>
      </c>
      <c r="AI5709" s="4">
        <v>10</v>
      </c>
      <c r="AJ5709" s="4">
        <v>4</v>
      </c>
      <c r="AK5709" s="4">
        <v>7</v>
      </c>
      <c r="AL5709" s="4">
        <v>1</v>
      </c>
      <c r="AM5709" s="4">
        <v>5</v>
      </c>
      <c r="AN5709" s="4">
        <v>0</v>
      </c>
      <c r="AO5709" s="4">
        <v>0</v>
      </c>
      <c r="AP5709" s="4">
        <v>4</v>
      </c>
      <c r="AQ5709" s="4">
        <v>6</v>
      </c>
      <c r="AR5709" s="3" t="s">
        <v>62</v>
      </c>
      <c r="AS5709" s="3" t="s">
        <v>62</v>
      </c>
      <c r="AT5709" s="3" t="s">
        <v>62</v>
      </c>
      <c r="AV5709" s="6" t="str">
        <f>HYPERLINK("http://mcgill.on.worldcat.org/oclc/985359624","Catalog Record")</f>
        <v>Catalog Record</v>
      </c>
      <c r="AW5709" s="6" t="str">
        <f>HYPERLINK("http://www.worldcat.org/oclc/985359624","WorldCat Record")</f>
        <v>WorldCat Record</v>
      </c>
      <c r="AX5709" s="3" t="s">
        <v>54848</v>
      </c>
      <c r="AY5709" s="3" t="s">
        <v>54849</v>
      </c>
      <c r="AZ5709" s="3" t="s">
        <v>54850</v>
      </c>
      <c r="BA5709" s="3" t="s">
        <v>54850</v>
      </c>
      <c r="BB5709" s="3" t="s">
        <v>54851</v>
      </c>
      <c r="BC5709" s="3" t="s">
        <v>142</v>
      </c>
      <c r="BD5709" s="3" t="s">
        <v>68</v>
      </c>
      <c r="BE5709" s="3" t="s">
        <v>54852</v>
      </c>
      <c r="BF5709" s="3" t="s">
        <v>54851</v>
      </c>
      <c r="BG5709" s="3" t="s">
        <v>54853</v>
      </c>
    </row>
    <row r="5710" spans="1:59" ht="57" x14ac:dyDescent="0.45">
      <c r="A5710" s="2" t="s">
        <v>59</v>
      </c>
      <c r="B5710" s="2" t="s">
        <v>60</v>
      </c>
      <c r="C5710" s="2" t="s">
        <v>54854</v>
      </c>
      <c r="D5710" s="2" t="s">
        <v>54855</v>
      </c>
      <c r="E5710" s="2" t="s">
        <v>54856</v>
      </c>
      <c r="G5710" s="3" t="s">
        <v>62</v>
      </c>
      <c r="I5710" s="3" t="s">
        <v>62</v>
      </c>
      <c r="J5710" s="3" t="s">
        <v>62</v>
      </c>
      <c r="K5710" s="3" t="s">
        <v>63</v>
      </c>
      <c r="L5710" s="2" t="s">
        <v>54857</v>
      </c>
      <c r="M5710" s="2" t="s">
        <v>54858</v>
      </c>
      <c r="N5710" s="3" t="s">
        <v>820</v>
      </c>
      <c r="P5710" s="3" t="s">
        <v>65</v>
      </c>
      <c r="R5710" s="3" t="s">
        <v>66</v>
      </c>
      <c r="S5710" s="4">
        <v>7</v>
      </c>
      <c r="T5710" s="4">
        <v>7</v>
      </c>
      <c r="U5710" s="5" t="s">
        <v>54859</v>
      </c>
      <c r="V5710" s="5" t="s">
        <v>54859</v>
      </c>
      <c r="W5710" s="5" t="s">
        <v>67</v>
      </c>
      <c r="X5710" s="5" t="s">
        <v>67</v>
      </c>
      <c r="Y5710" s="4">
        <v>81</v>
      </c>
      <c r="Z5710" s="4">
        <v>13</v>
      </c>
      <c r="AA5710" s="4">
        <v>16</v>
      </c>
      <c r="AB5710" s="4">
        <v>2</v>
      </c>
      <c r="AC5710" s="4">
        <v>2</v>
      </c>
      <c r="AD5710" s="4">
        <v>36</v>
      </c>
      <c r="AE5710" s="4">
        <v>53</v>
      </c>
      <c r="AF5710" s="4">
        <v>0</v>
      </c>
      <c r="AG5710" s="4">
        <v>0</v>
      </c>
      <c r="AH5710" s="4">
        <v>32</v>
      </c>
      <c r="AI5710" s="4">
        <v>47</v>
      </c>
      <c r="AJ5710" s="4">
        <v>9</v>
      </c>
      <c r="AK5710" s="4">
        <v>10</v>
      </c>
      <c r="AL5710" s="4">
        <v>17</v>
      </c>
      <c r="AM5710" s="4">
        <v>25</v>
      </c>
      <c r="AN5710" s="4">
        <v>0</v>
      </c>
      <c r="AO5710" s="4">
        <v>0</v>
      </c>
      <c r="AP5710" s="4">
        <v>10</v>
      </c>
      <c r="AQ5710" s="4">
        <v>12</v>
      </c>
      <c r="AR5710" s="3" t="s">
        <v>62</v>
      </c>
      <c r="AS5710" s="3" t="s">
        <v>62</v>
      </c>
      <c r="AT5710" s="3" t="s">
        <v>62</v>
      </c>
      <c r="AV5710" s="6" t="str">
        <f>HYPERLINK("http://mcgill.on.worldcat.org/oclc/286441535","Catalog Record")</f>
        <v>Catalog Record</v>
      </c>
      <c r="AW5710" s="6" t="str">
        <f>HYPERLINK("http://www.worldcat.org/oclc/286441535","WorldCat Record")</f>
        <v>WorldCat Record</v>
      </c>
      <c r="AX5710" s="3" t="s">
        <v>54860</v>
      </c>
      <c r="AY5710" s="3" t="s">
        <v>54861</v>
      </c>
      <c r="AZ5710" s="3" t="s">
        <v>54862</v>
      </c>
      <c r="BA5710" s="3" t="s">
        <v>54862</v>
      </c>
      <c r="BB5710" s="3" t="s">
        <v>54863</v>
      </c>
      <c r="BC5710" s="3" t="s">
        <v>142</v>
      </c>
      <c r="BD5710" s="3" t="s">
        <v>308</v>
      </c>
      <c r="BE5710" s="3" t="s">
        <v>54864</v>
      </c>
      <c r="BF5710" s="3" t="s">
        <v>54863</v>
      </c>
      <c r="BG5710" s="3" t="s">
        <v>54865</v>
      </c>
    </row>
    <row r="5711" spans="1:59" ht="57" x14ac:dyDescent="0.45">
      <c r="A5711" s="2" t="s">
        <v>59</v>
      </c>
      <c r="B5711" s="2" t="s">
        <v>60</v>
      </c>
      <c r="C5711" s="2" t="s">
        <v>54866</v>
      </c>
      <c r="D5711" s="2" t="s">
        <v>54867</v>
      </c>
      <c r="E5711" s="2" t="s">
        <v>54868</v>
      </c>
      <c r="G5711" s="3" t="s">
        <v>62</v>
      </c>
      <c r="H5711" s="3" t="s">
        <v>3960</v>
      </c>
      <c r="I5711" s="3" t="s">
        <v>62</v>
      </c>
      <c r="J5711" s="3" t="s">
        <v>62</v>
      </c>
      <c r="K5711" s="3" t="s">
        <v>63</v>
      </c>
      <c r="L5711" s="2" t="s">
        <v>54869</v>
      </c>
      <c r="M5711" s="2" t="s">
        <v>54870</v>
      </c>
      <c r="N5711" s="3" t="s">
        <v>19337</v>
      </c>
      <c r="P5711" s="3" t="s">
        <v>65</v>
      </c>
      <c r="R5711" s="3" t="s">
        <v>66</v>
      </c>
      <c r="S5711" s="4">
        <v>1</v>
      </c>
      <c r="T5711" s="4">
        <v>1</v>
      </c>
      <c r="W5711" s="5" t="s">
        <v>54871</v>
      </c>
      <c r="X5711" s="5" t="s">
        <v>54871</v>
      </c>
      <c r="Y5711" s="4">
        <v>17</v>
      </c>
      <c r="Z5711" s="4">
        <v>2</v>
      </c>
      <c r="AA5711" s="4">
        <v>2</v>
      </c>
      <c r="AB5711" s="4">
        <v>1</v>
      </c>
      <c r="AC5711" s="4">
        <v>1</v>
      </c>
      <c r="AD5711" s="4">
        <v>8</v>
      </c>
      <c r="AE5711" s="4">
        <v>8</v>
      </c>
      <c r="AF5711" s="4">
        <v>0</v>
      </c>
      <c r="AG5711" s="4">
        <v>0</v>
      </c>
      <c r="AH5711" s="4">
        <v>7</v>
      </c>
      <c r="AI5711" s="4">
        <v>7</v>
      </c>
      <c r="AJ5711" s="4">
        <v>1</v>
      </c>
      <c r="AK5711" s="4">
        <v>1</v>
      </c>
      <c r="AL5711" s="4">
        <v>6</v>
      </c>
      <c r="AM5711" s="4">
        <v>6</v>
      </c>
      <c r="AN5711" s="4">
        <v>0</v>
      </c>
      <c r="AO5711" s="4">
        <v>0</v>
      </c>
      <c r="AP5711" s="4">
        <v>1</v>
      </c>
      <c r="AQ5711" s="4">
        <v>1</v>
      </c>
      <c r="AR5711" s="3" t="s">
        <v>62</v>
      </c>
      <c r="AS5711" s="3" t="s">
        <v>62</v>
      </c>
      <c r="AT5711" s="3" t="s">
        <v>62</v>
      </c>
      <c r="AV5711" s="6" t="str">
        <f>HYPERLINK("http://mcgill.on.worldcat.org/oclc/1125265846","Catalog Record")</f>
        <v>Catalog Record</v>
      </c>
      <c r="AW5711" s="6" t="str">
        <f>HYPERLINK("http://www.worldcat.org/oclc/1125265846","WorldCat Record")</f>
        <v>WorldCat Record</v>
      </c>
      <c r="AX5711" s="3" t="s">
        <v>54872</v>
      </c>
      <c r="AY5711" s="3" t="s">
        <v>54873</v>
      </c>
      <c r="AZ5711" s="3" t="s">
        <v>54874</v>
      </c>
      <c r="BA5711" s="3" t="s">
        <v>54874</v>
      </c>
      <c r="BB5711" s="3" t="s">
        <v>54875</v>
      </c>
      <c r="BC5711" s="3" t="s">
        <v>142</v>
      </c>
      <c r="BD5711" s="3" t="s">
        <v>308</v>
      </c>
      <c r="BE5711" s="3" t="s">
        <v>54876</v>
      </c>
      <c r="BF5711" s="3" t="s">
        <v>54875</v>
      </c>
      <c r="BG5711" s="3" t="s">
        <v>54877</v>
      </c>
    </row>
    <row r="5712" spans="1:59" ht="57" x14ac:dyDescent="0.45">
      <c r="A5712" s="2" t="s">
        <v>59</v>
      </c>
      <c r="B5712" s="2" t="s">
        <v>60</v>
      </c>
      <c r="C5712" s="2" t="s">
        <v>54878</v>
      </c>
      <c r="D5712" s="2" t="s">
        <v>54879</v>
      </c>
      <c r="E5712" s="2" t="s">
        <v>54880</v>
      </c>
      <c r="G5712" s="3" t="s">
        <v>62</v>
      </c>
      <c r="I5712" s="3" t="s">
        <v>62</v>
      </c>
      <c r="J5712" s="3" t="s">
        <v>62</v>
      </c>
      <c r="K5712" s="3" t="s">
        <v>63</v>
      </c>
      <c r="L5712" s="2" t="s">
        <v>54881</v>
      </c>
      <c r="M5712" s="2" t="s">
        <v>54882</v>
      </c>
      <c r="N5712" s="3" t="s">
        <v>5180</v>
      </c>
      <c r="P5712" s="3" t="s">
        <v>65</v>
      </c>
      <c r="Q5712" s="2" t="s">
        <v>54883</v>
      </c>
      <c r="R5712" s="3" t="s">
        <v>66</v>
      </c>
      <c r="S5712" s="4">
        <v>0</v>
      </c>
      <c r="T5712" s="4">
        <v>0</v>
      </c>
      <c r="W5712" s="5" t="s">
        <v>67</v>
      </c>
      <c r="X5712" s="5" t="s">
        <v>67</v>
      </c>
      <c r="Y5712" s="4">
        <v>71</v>
      </c>
      <c r="Z5712" s="4">
        <v>9</v>
      </c>
      <c r="AA5712" s="4">
        <v>19</v>
      </c>
      <c r="AB5712" s="4">
        <v>1</v>
      </c>
      <c r="AC5712" s="4">
        <v>5</v>
      </c>
      <c r="AD5712" s="4">
        <v>12</v>
      </c>
      <c r="AE5712" s="4">
        <v>26</v>
      </c>
      <c r="AF5712" s="4">
        <v>0</v>
      </c>
      <c r="AG5712" s="4">
        <v>2</v>
      </c>
      <c r="AH5712" s="4">
        <v>9</v>
      </c>
      <c r="AI5712" s="4">
        <v>17</v>
      </c>
      <c r="AJ5712" s="4">
        <v>4</v>
      </c>
      <c r="AK5712" s="4">
        <v>9</v>
      </c>
      <c r="AL5712" s="4">
        <v>5</v>
      </c>
      <c r="AM5712" s="4">
        <v>10</v>
      </c>
      <c r="AN5712" s="4">
        <v>0</v>
      </c>
      <c r="AO5712" s="4">
        <v>0</v>
      </c>
      <c r="AP5712" s="4">
        <v>6</v>
      </c>
      <c r="AQ5712" s="4">
        <v>14</v>
      </c>
      <c r="AR5712" s="3" t="s">
        <v>62</v>
      </c>
      <c r="AS5712" s="3" t="s">
        <v>62</v>
      </c>
      <c r="AT5712" s="3" t="s">
        <v>62</v>
      </c>
      <c r="AV5712" s="6" t="str">
        <f>HYPERLINK("http://mcgill.on.worldcat.org/oclc/1038029884","Catalog Record")</f>
        <v>Catalog Record</v>
      </c>
      <c r="AW5712" s="6" t="str">
        <f>HYPERLINK("http://www.worldcat.org/oclc/1038029884","WorldCat Record")</f>
        <v>WorldCat Record</v>
      </c>
      <c r="AX5712" s="3" t="s">
        <v>54884</v>
      </c>
      <c r="AY5712" s="3" t="s">
        <v>54885</v>
      </c>
      <c r="AZ5712" s="3" t="s">
        <v>54886</v>
      </c>
      <c r="BA5712" s="3" t="s">
        <v>54886</v>
      </c>
      <c r="BB5712" s="3" t="s">
        <v>54887</v>
      </c>
      <c r="BC5712" s="3" t="s">
        <v>142</v>
      </c>
      <c r="BD5712" s="3" t="s">
        <v>68</v>
      </c>
      <c r="BE5712" s="3" t="s">
        <v>54888</v>
      </c>
      <c r="BF5712" s="3" t="s">
        <v>54887</v>
      </c>
      <c r="BG5712" s="3" t="s">
        <v>54889</v>
      </c>
    </row>
    <row r="5713" spans="1:59" ht="57" x14ac:dyDescent="0.45">
      <c r="A5713" s="2" t="s">
        <v>59</v>
      </c>
      <c r="B5713" s="2" t="s">
        <v>60</v>
      </c>
      <c r="C5713" s="2" t="s">
        <v>54890</v>
      </c>
      <c r="D5713" s="2" t="s">
        <v>54891</v>
      </c>
      <c r="E5713" s="2" t="s">
        <v>54892</v>
      </c>
      <c r="G5713" s="3" t="s">
        <v>62</v>
      </c>
      <c r="I5713" s="3" t="s">
        <v>62</v>
      </c>
      <c r="J5713" s="3" t="s">
        <v>62</v>
      </c>
      <c r="K5713" s="3" t="s">
        <v>63</v>
      </c>
      <c r="L5713" s="2" t="s">
        <v>54893</v>
      </c>
      <c r="M5713" s="2" t="s">
        <v>54894</v>
      </c>
      <c r="N5713" s="3" t="s">
        <v>1918</v>
      </c>
      <c r="P5713" s="3" t="s">
        <v>65</v>
      </c>
      <c r="R5713" s="3" t="s">
        <v>66</v>
      </c>
      <c r="S5713" s="4">
        <v>13</v>
      </c>
      <c r="T5713" s="4">
        <v>13</v>
      </c>
      <c r="U5713" s="5" t="s">
        <v>38860</v>
      </c>
      <c r="V5713" s="5" t="s">
        <v>38860</v>
      </c>
      <c r="W5713" s="5" t="s">
        <v>67</v>
      </c>
      <c r="X5713" s="5" t="s">
        <v>67</v>
      </c>
      <c r="Y5713" s="4">
        <v>457</v>
      </c>
      <c r="Z5713" s="4">
        <v>17</v>
      </c>
      <c r="AA5713" s="4">
        <v>28</v>
      </c>
      <c r="AB5713" s="4">
        <v>1</v>
      </c>
      <c r="AC5713" s="4">
        <v>3</v>
      </c>
      <c r="AD5713" s="4">
        <v>72</v>
      </c>
      <c r="AE5713" s="4">
        <v>89</v>
      </c>
      <c r="AF5713" s="4">
        <v>0</v>
      </c>
      <c r="AG5713" s="4">
        <v>0</v>
      </c>
      <c r="AH5713" s="4">
        <v>63</v>
      </c>
      <c r="AI5713" s="4">
        <v>76</v>
      </c>
      <c r="AJ5713" s="4">
        <v>5</v>
      </c>
      <c r="AK5713" s="4">
        <v>12</v>
      </c>
      <c r="AL5713" s="4">
        <v>37</v>
      </c>
      <c r="AM5713" s="4">
        <v>41</v>
      </c>
      <c r="AN5713" s="4">
        <v>0</v>
      </c>
      <c r="AO5713" s="4">
        <v>0</v>
      </c>
      <c r="AP5713" s="4">
        <v>10</v>
      </c>
      <c r="AQ5713" s="4">
        <v>19</v>
      </c>
      <c r="AR5713" s="3" t="s">
        <v>62</v>
      </c>
      <c r="AS5713" s="3" t="s">
        <v>62</v>
      </c>
      <c r="AT5713" s="3" t="s">
        <v>62</v>
      </c>
      <c r="AV5713" s="6" t="str">
        <f>HYPERLINK("http://mcgill.on.worldcat.org/oclc/959552314","Catalog Record")</f>
        <v>Catalog Record</v>
      </c>
      <c r="AW5713" s="6" t="str">
        <f>HYPERLINK("http://www.worldcat.org/oclc/959552314","WorldCat Record")</f>
        <v>WorldCat Record</v>
      </c>
      <c r="AX5713" s="3" t="s">
        <v>54895</v>
      </c>
      <c r="AY5713" s="3" t="s">
        <v>54896</v>
      </c>
      <c r="AZ5713" s="3" t="s">
        <v>54897</v>
      </c>
      <c r="BA5713" s="3" t="s">
        <v>54897</v>
      </c>
      <c r="BB5713" s="3" t="s">
        <v>54898</v>
      </c>
      <c r="BC5713" s="3" t="s">
        <v>142</v>
      </c>
      <c r="BD5713" s="3" t="s">
        <v>308</v>
      </c>
      <c r="BE5713" s="3" t="s">
        <v>54899</v>
      </c>
      <c r="BF5713" s="3" t="s">
        <v>54898</v>
      </c>
      <c r="BG5713" s="3" t="s">
        <v>54900</v>
      </c>
    </row>
    <row r="5714" spans="1:59" ht="57" x14ac:dyDescent="0.45">
      <c r="A5714" s="2" t="s">
        <v>59</v>
      </c>
      <c r="B5714" s="2" t="s">
        <v>60</v>
      </c>
      <c r="C5714" s="2" t="s">
        <v>54901</v>
      </c>
      <c r="D5714" s="2" t="s">
        <v>54902</v>
      </c>
      <c r="E5714" s="2" t="s">
        <v>54903</v>
      </c>
      <c r="G5714" s="3" t="s">
        <v>62</v>
      </c>
      <c r="I5714" s="3" t="s">
        <v>62</v>
      </c>
      <c r="J5714" s="3" t="s">
        <v>62</v>
      </c>
      <c r="K5714" s="3" t="s">
        <v>63</v>
      </c>
      <c r="L5714" s="2" t="s">
        <v>54904</v>
      </c>
      <c r="M5714" s="2" t="s">
        <v>54905</v>
      </c>
      <c r="N5714" s="3" t="s">
        <v>5180</v>
      </c>
      <c r="P5714" s="3" t="s">
        <v>65</v>
      </c>
      <c r="R5714" s="3" t="s">
        <v>66</v>
      </c>
      <c r="S5714" s="4">
        <v>0</v>
      </c>
      <c r="T5714" s="4">
        <v>0</v>
      </c>
      <c r="W5714" s="5" t="s">
        <v>67</v>
      </c>
      <c r="X5714" s="5" t="s">
        <v>67</v>
      </c>
      <c r="Y5714" s="4">
        <v>61</v>
      </c>
      <c r="Z5714" s="4">
        <v>6</v>
      </c>
      <c r="AA5714" s="4">
        <v>16</v>
      </c>
      <c r="AB5714" s="4">
        <v>1</v>
      </c>
      <c r="AC5714" s="4">
        <v>5</v>
      </c>
      <c r="AD5714" s="4">
        <v>29</v>
      </c>
      <c r="AE5714" s="4">
        <v>42</v>
      </c>
      <c r="AF5714" s="4">
        <v>0</v>
      </c>
      <c r="AG5714" s="4">
        <v>2</v>
      </c>
      <c r="AH5714" s="4">
        <v>27</v>
      </c>
      <c r="AI5714" s="4">
        <v>35</v>
      </c>
      <c r="AJ5714" s="4">
        <v>5</v>
      </c>
      <c r="AK5714" s="4">
        <v>11</v>
      </c>
      <c r="AL5714" s="4">
        <v>17</v>
      </c>
      <c r="AM5714" s="4">
        <v>20</v>
      </c>
      <c r="AN5714" s="4">
        <v>0</v>
      </c>
      <c r="AO5714" s="4">
        <v>0</v>
      </c>
      <c r="AP5714" s="4">
        <v>5</v>
      </c>
      <c r="AQ5714" s="4">
        <v>11</v>
      </c>
      <c r="AR5714" s="3" t="s">
        <v>62</v>
      </c>
      <c r="AS5714" s="3" t="s">
        <v>62</v>
      </c>
      <c r="AT5714" s="3" t="s">
        <v>62</v>
      </c>
      <c r="AV5714" s="6" t="str">
        <f>HYPERLINK("http://mcgill.on.worldcat.org/oclc/1015258909","Catalog Record")</f>
        <v>Catalog Record</v>
      </c>
      <c r="AW5714" s="6" t="str">
        <f>HYPERLINK("http://www.worldcat.org/oclc/1015258909","WorldCat Record")</f>
        <v>WorldCat Record</v>
      </c>
      <c r="AX5714" s="3" t="s">
        <v>54906</v>
      </c>
      <c r="AY5714" s="3" t="s">
        <v>54907</v>
      </c>
      <c r="AZ5714" s="3" t="s">
        <v>54908</v>
      </c>
      <c r="BA5714" s="3" t="s">
        <v>54908</v>
      </c>
      <c r="BB5714" s="3" t="s">
        <v>54909</v>
      </c>
      <c r="BC5714" s="3" t="s">
        <v>142</v>
      </c>
      <c r="BD5714" s="3" t="s">
        <v>68</v>
      </c>
      <c r="BE5714" s="3" t="s">
        <v>54910</v>
      </c>
      <c r="BF5714" s="3" t="s">
        <v>54909</v>
      </c>
      <c r="BG5714" s="3" t="s">
        <v>54911</v>
      </c>
    </row>
    <row r="5715" spans="1:59" ht="71.25" x14ac:dyDescent="0.45">
      <c r="A5715" s="2" t="s">
        <v>59</v>
      </c>
      <c r="B5715" s="2" t="s">
        <v>60</v>
      </c>
      <c r="C5715" s="2" t="s">
        <v>54912</v>
      </c>
      <c r="D5715" s="2" t="s">
        <v>54913</v>
      </c>
      <c r="E5715" s="2" t="s">
        <v>54914</v>
      </c>
      <c r="G5715" s="3" t="s">
        <v>62</v>
      </c>
      <c r="I5715" s="3" t="s">
        <v>62</v>
      </c>
      <c r="J5715" s="3" t="s">
        <v>62</v>
      </c>
      <c r="K5715" s="3" t="s">
        <v>63</v>
      </c>
      <c r="L5715" s="2" t="s">
        <v>54915</v>
      </c>
      <c r="M5715" s="2" t="s">
        <v>54534</v>
      </c>
      <c r="N5715" s="3" t="s">
        <v>1155</v>
      </c>
      <c r="P5715" s="3" t="s">
        <v>65</v>
      </c>
      <c r="R5715" s="3" t="s">
        <v>66</v>
      </c>
      <c r="S5715" s="4">
        <v>0</v>
      </c>
      <c r="T5715" s="4">
        <v>0</v>
      </c>
      <c r="W5715" s="5" t="s">
        <v>67</v>
      </c>
      <c r="X5715" s="5" t="s">
        <v>67</v>
      </c>
      <c r="Y5715" s="4">
        <v>160</v>
      </c>
      <c r="Z5715" s="4">
        <v>18</v>
      </c>
      <c r="AA5715" s="4">
        <v>94</v>
      </c>
      <c r="AB5715" s="4">
        <v>1</v>
      </c>
      <c r="AC5715" s="4">
        <v>17</v>
      </c>
      <c r="AD5715" s="4">
        <v>76</v>
      </c>
      <c r="AE5715" s="4">
        <v>129</v>
      </c>
      <c r="AF5715" s="4">
        <v>0</v>
      </c>
      <c r="AG5715" s="4">
        <v>8</v>
      </c>
      <c r="AH5715" s="4">
        <v>68</v>
      </c>
      <c r="AI5715" s="4">
        <v>92</v>
      </c>
      <c r="AJ5715" s="4">
        <v>13</v>
      </c>
      <c r="AK5715" s="4">
        <v>23</v>
      </c>
      <c r="AL5715" s="4">
        <v>38</v>
      </c>
      <c r="AM5715" s="4">
        <v>49</v>
      </c>
      <c r="AN5715" s="4">
        <v>0</v>
      </c>
      <c r="AO5715" s="4">
        <v>0</v>
      </c>
      <c r="AP5715" s="4">
        <v>15</v>
      </c>
      <c r="AQ5715" s="4">
        <v>45</v>
      </c>
      <c r="AR5715" s="3" t="s">
        <v>62</v>
      </c>
      <c r="AS5715" s="3" t="s">
        <v>62</v>
      </c>
      <c r="AT5715" s="3" t="s">
        <v>62</v>
      </c>
      <c r="AV5715" s="6" t="str">
        <f>HYPERLINK("http://mcgill.on.worldcat.org/oclc/704372251","Catalog Record")</f>
        <v>Catalog Record</v>
      </c>
      <c r="AW5715" s="6" t="str">
        <f>HYPERLINK("http://www.worldcat.org/oclc/704372251","WorldCat Record")</f>
        <v>WorldCat Record</v>
      </c>
      <c r="AX5715" s="3" t="s">
        <v>54916</v>
      </c>
      <c r="AY5715" s="3" t="s">
        <v>54917</v>
      </c>
      <c r="AZ5715" s="3" t="s">
        <v>54918</v>
      </c>
      <c r="BA5715" s="3" t="s">
        <v>54918</v>
      </c>
      <c r="BB5715" s="3" t="s">
        <v>54919</v>
      </c>
      <c r="BC5715" s="3" t="s">
        <v>142</v>
      </c>
      <c r="BD5715" s="3" t="s">
        <v>68</v>
      </c>
      <c r="BE5715" s="3" t="s">
        <v>54920</v>
      </c>
      <c r="BF5715" s="3" t="s">
        <v>54919</v>
      </c>
      <c r="BG5715" s="3" t="s">
        <v>54921</v>
      </c>
    </row>
    <row r="5716" spans="1:59" ht="57" x14ac:dyDescent="0.45">
      <c r="A5716" s="2" t="s">
        <v>59</v>
      </c>
      <c r="B5716" s="2" t="s">
        <v>60</v>
      </c>
      <c r="C5716" s="2" t="s">
        <v>54922</v>
      </c>
      <c r="D5716" s="2" t="s">
        <v>54923</v>
      </c>
      <c r="E5716" s="2" t="s">
        <v>54924</v>
      </c>
      <c r="G5716" s="3" t="s">
        <v>62</v>
      </c>
      <c r="I5716" s="3" t="s">
        <v>62</v>
      </c>
      <c r="J5716" s="3" t="s">
        <v>62</v>
      </c>
      <c r="K5716" s="3" t="s">
        <v>63</v>
      </c>
      <c r="L5716" s="2" t="s">
        <v>54925</v>
      </c>
      <c r="M5716" s="2" t="s">
        <v>2631</v>
      </c>
      <c r="N5716" s="3" t="s">
        <v>116</v>
      </c>
      <c r="P5716" s="3" t="s">
        <v>65</v>
      </c>
      <c r="Q5716" s="2" t="s">
        <v>7036</v>
      </c>
      <c r="R5716" s="3" t="s">
        <v>66</v>
      </c>
      <c r="S5716" s="4">
        <v>1</v>
      </c>
      <c r="T5716" s="4">
        <v>1</v>
      </c>
      <c r="U5716" s="5" t="s">
        <v>54926</v>
      </c>
      <c r="V5716" s="5" t="s">
        <v>54926</v>
      </c>
      <c r="W5716" s="5" t="s">
        <v>67</v>
      </c>
      <c r="X5716" s="5" t="s">
        <v>67</v>
      </c>
      <c r="Y5716" s="4">
        <v>160</v>
      </c>
      <c r="Z5716" s="4">
        <v>22</v>
      </c>
      <c r="AA5716" s="4">
        <v>22</v>
      </c>
      <c r="AB5716" s="4">
        <v>1</v>
      </c>
      <c r="AC5716" s="4">
        <v>1</v>
      </c>
      <c r="AD5716" s="4">
        <v>70</v>
      </c>
      <c r="AE5716" s="4">
        <v>70</v>
      </c>
      <c r="AF5716" s="4">
        <v>0</v>
      </c>
      <c r="AG5716" s="4">
        <v>0</v>
      </c>
      <c r="AH5716" s="4">
        <v>62</v>
      </c>
      <c r="AI5716" s="4">
        <v>62</v>
      </c>
      <c r="AJ5716" s="4">
        <v>14</v>
      </c>
      <c r="AK5716" s="4">
        <v>14</v>
      </c>
      <c r="AL5716" s="4">
        <v>36</v>
      </c>
      <c r="AM5716" s="4">
        <v>36</v>
      </c>
      <c r="AN5716" s="4">
        <v>0</v>
      </c>
      <c r="AO5716" s="4">
        <v>0</v>
      </c>
      <c r="AP5716" s="4">
        <v>17</v>
      </c>
      <c r="AQ5716" s="4">
        <v>17</v>
      </c>
      <c r="AR5716" s="3" t="s">
        <v>62</v>
      </c>
      <c r="AS5716" s="3" t="s">
        <v>62</v>
      </c>
      <c r="AT5716" s="3" t="s">
        <v>62</v>
      </c>
      <c r="AV5716" s="6" t="str">
        <f>HYPERLINK("http://mcgill.on.worldcat.org/oclc/815873399","Catalog Record")</f>
        <v>Catalog Record</v>
      </c>
      <c r="AW5716" s="6" t="str">
        <f>HYPERLINK("http://www.worldcat.org/oclc/815873399","WorldCat Record")</f>
        <v>WorldCat Record</v>
      </c>
      <c r="AX5716" s="3" t="s">
        <v>54927</v>
      </c>
      <c r="AY5716" s="3" t="s">
        <v>54928</v>
      </c>
      <c r="AZ5716" s="3" t="s">
        <v>54929</v>
      </c>
      <c r="BA5716" s="3" t="s">
        <v>54929</v>
      </c>
      <c r="BB5716" s="3" t="s">
        <v>54930</v>
      </c>
      <c r="BC5716" s="3" t="s">
        <v>142</v>
      </c>
      <c r="BD5716" s="3" t="s">
        <v>68</v>
      </c>
      <c r="BE5716" s="3" t="s">
        <v>54931</v>
      </c>
      <c r="BF5716" s="3" t="s">
        <v>54930</v>
      </c>
      <c r="BG5716" s="3" t="s">
        <v>54932</v>
      </c>
    </row>
    <row r="5717" spans="1:59" ht="57" x14ac:dyDescent="0.45">
      <c r="A5717" s="2" t="s">
        <v>59</v>
      </c>
      <c r="B5717" s="2" t="s">
        <v>60</v>
      </c>
      <c r="C5717" s="2" t="s">
        <v>54933</v>
      </c>
      <c r="D5717" s="2" t="s">
        <v>54934</v>
      </c>
      <c r="E5717" s="2" t="s">
        <v>54935</v>
      </c>
      <c r="G5717" s="3" t="s">
        <v>62</v>
      </c>
      <c r="I5717" s="3" t="s">
        <v>62</v>
      </c>
      <c r="J5717" s="3" t="s">
        <v>62</v>
      </c>
      <c r="K5717" s="3" t="s">
        <v>63</v>
      </c>
      <c r="M5717" s="2" t="s">
        <v>54936</v>
      </c>
      <c r="N5717" s="3" t="s">
        <v>1688</v>
      </c>
      <c r="P5717" s="3" t="s">
        <v>110</v>
      </c>
      <c r="Q5717" s="2" t="s">
        <v>54937</v>
      </c>
      <c r="R5717" s="3" t="s">
        <v>66</v>
      </c>
      <c r="S5717" s="4">
        <v>2</v>
      </c>
      <c r="T5717" s="4">
        <v>2</v>
      </c>
      <c r="U5717" s="5" t="s">
        <v>54938</v>
      </c>
      <c r="V5717" s="5" t="s">
        <v>54938</v>
      </c>
      <c r="W5717" s="5" t="s">
        <v>67</v>
      </c>
      <c r="X5717" s="5" t="s">
        <v>67</v>
      </c>
      <c r="Y5717" s="4">
        <v>14</v>
      </c>
      <c r="Z5717" s="4">
        <v>2</v>
      </c>
      <c r="AA5717" s="4">
        <v>2</v>
      </c>
      <c r="AB5717" s="4">
        <v>1</v>
      </c>
      <c r="AC5717" s="4">
        <v>1</v>
      </c>
      <c r="AD5717" s="4">
        <v>2</v>
      </c>
      <c r="AE5717" s="4">
        <v>2</v>
      </c>
      <c r="AF5717" s="4">
        <v>0</v>
      </c>
      <c r="AG5717" s="4">
        <v>0</v>
      </c>
      <c r="AH5717" s="4">
        <v>2</v>
      </c>
      <c r="AI5717" s="4">
        <v>2</v>
      </c>
      <c r="AJ5717" s="4">
        <v>1</v>
      </c>
      <c r="AK5717" s="4">
        <v>1</v>
      </c>
      <c r="AL5717" s="4">
        <v>0</v>
      </c>
      <c r="AM5717" s="4">
        <v>0</v>
      </c>
      <c r="AN5717" s="4">
        <v>0</v>
      </c>
      <c r="AO5717" s="4">
        <v>0</v>
      </c>
      <c r="AP5717" s="4">
        <v>1</v>
      </c>
      <c r="AQ5717" s="4">
        <v>1</v>
      </c>
      <c r="AR5717" s="3" t="s">
        <v>62</v>
      </c>
      <c r="AS5717" s="3" t="s">
        <v>62</v>
      </c>
      <c r="AT5717" s="3" t="s">
        <v>62</v>
      </c>
      <c r="AV5717" s="6" t="str">
        <f>HYPERLINK("http://mcgill.on.worldcat.org/oclc/898114271","Catalog Record")</f>
        <v>Catalog Record</v>
      </c>
      <c r="AW5717" s="6" t="str">
        <f>HYPERLINK("http://www.worldcat.org/oclc/898114271","WorldCat Record")</f>
        <v>WorldCat Record</v>
      </c>
      <c r="AX5717" s="3" t="s">
        <v>54939</v>
      </c>
      <c r="AY5717" s="3" t="s">
        <v>54940</v>
      </c>
      <c r="AZ5717" s="3" t="s">
        <v>54941</v>
      </c>
      <c r="BA5717" s="3" t="s">
        <v>54941</v>
      </c>
      <c r="BB5717" s="3" t="s">
        <v>54942</v>
      </c>
      <c r="BC5717" s="3" t="s">
        <v>142</v>
      </c>
      <c r="BD5717" s="3" t="s">
        <v>68</v>
      </c>
      <c r="BE5717" s="3" t="s">
        <v>54943</v>
      </c>
      <c r="BF5717" s="3" t="s">
        <v>54942</v>
      </c>
      <c r="BG5717" s="3" t="s">
        <v>54944</v>
      </c>
    </row>
    <row r="5718" spans="1:59" ht="57" x14ac:dyDescent="0.45">
      <c r="A5718" s="2" t="s">
        <v>59</v>
      </c>
      <c r="B5718" s="2" t="s">
        <v>60</v>
      </c>
      <c r="C5718" s="2" t="s">
        <v>54945</v>
      </c>
      <c r="D5718" s="2" t="s">
        <v>54946</v>
      </c>
      <c r="E5718" s="2" t="s">
        <v>54947</v>
      </c>
      <c r="G5718" s="3" t="s">
        <v>62</v>
      </c>
      <c r="I5718" s="3" t="s">
        <v>62</v>
      </c>
      <c r="J5718" s="3" t="s">
        <v>62</v>
      </c>
      <c r="K5718" s="3" t="s">
        <v>63</v>
      </c>
      <c r="M5718" s="2" t="s">
        <v>54948</v>
      </c>
      <c r="N5718" s="3" t="s">
        <v>195</v>
      </c>
      <c r="P5718" s="3" t="s">
        <v>65</v>
      </c>
      <c r="R5718" s="3" t="s">
        <v>66</v>
      </c>
      <c r="S5718" s="4">
        <v>26</v>
      </c>
      <c r="T5718" s="4">
        <v>26</v>
      </c>
      <c r="U5718" s="5" t="s">
        <v>23151</v>
      </c>
      <c r="V5718" s="5" t="s">
        <v>23151</v>
      </c>
      <c r="W5718" s="5" t="s">
        <v>67</v>
      </c>
      <c r="X5718" s="5" t="s">
        <v>67</v>
      </c>
      <c r="Y5718" s="4">
        <v>234</v>
      </c>
      <c r="Z5718" s="4">
        <v>17</v>
      </c>
      <c r="AA5718" s="4">
        <v>21</v>
      </c>
      <c r="AB5718" s="4">
        <v>1</v>
      </c>
      <c r="AC5718" s="4">
        <v>5</v>
      </c>
      <c r="AD5718" s="4">
        <v>98</v>
      </c>
      <c r="AE5718" s="4">
        <v>99</v>
      </c>
      <c r="AF5718" s="4">
        <v>0</v>
      </c>
      <c r="AG5718" s="4">
        <v>1</v>
      </c>
      <c r="AH5718" s="4">
        <v>88</v>
      </c>
      <c r="AI5718" s="4">
        <v>88</v>
      </c>
      <c r="AJ5718" s="4">
        <v>12</v>
      </c>
      <c r="AK5718" s="4">
        <v>13</v>
      </c>
      <c r="AL5718" s="4">
        <v>49</v>
      </c>
      <c r="AM5718" s="4">
        <v>49</v>
      </c>
      <c r="AN5718" s="4">
        <v>0</v>
      </c>
      <c r="AO5718" s="4">
        <v>0</v>
      </c>
      <c r="AP5718" s="4">
        <v>15</v>
      </c>
      <c r="AQ5718" s="4">
        <v>15</v>
      </c>
      <c r="AR5718" s="3" t="s">
        <v>62</v>
      </c>
      <c r="AS5718" s="3" t="s">
        <v>62</v>
      </c>
      <c r="AT5718" s="3" t="s">
        <v>61</v>
      </c>
      <c r="AU5718" s="6" t="str">
        <f>HYPERLINK("http://catalog.hathitrust.org/Record/002714270","HathiTrust Record")</f>
        <v>HathiTrust Record</v>
      </c>
      <c r="AV5718" s="6" t="str">
        <f>HYPERLINK("http://mcgill.on.worldcat.org/oclc/26353920","Catalog Record")</f>
        <v>Catalog Record</v>
      </c>
      <c r="AW5718" s="6" t="str">
        <f>HYPERLINK("http://www.worldcat.org/oclc/26353920","WorldCat Record")</f>
        <v>WorldCat Record</v>
      </c>
      <c r="AX5718" s="3" t="s">
        <v>54949</v>
      </c>
      <c r="AY5718" s="3" t="s">
        <v>54950</v>
      </c>
      <c r="AZ5718" s="3" t="s">
        <v>54951</v>
      </c>
      <c r="BA5718" s="3" t="s">
        <v>54951</v>
      </c>
      <c r="BB5718" s="3" t="s">
        <v>54952</v>
      </c>
      <c r="BC5718" s="3" t="s">
        <v>142</v>
      </c>
      <c r="BD5718" s="3" t="s">
        <v>68</v>
      </c>
      <c r="BE5718" s="3" t="s">
        <v>54953</v>
      </c>
      <c r="BF5718" s="3" t="s">
        <v>54952</v>
      </c>
      <c r="BG5718" s="3" t="s">
        <v>54954</v>
      </c>
    </row>
    <row r="5719" spans="1:59" ht="71.25" x14ac:dyDescent="0.45">
      <c r="A5719" s="2" t="s">
        <v>59</v>
      </c>
      <c r="B5719" s="2" t="s">
        <v>60</v>
      </c>
      <c r="C5719" s="2" t="s">
        <v>54955</v>
      </c>
      <c r="D5719" s="2" t="s">
        <v>54956</v>
      </c>
      <c r="E5719" s="2" t="s">
        <v>54957</v>
      </c>
      <c r="G5719" s="3" t="s">
        <v>62</v>
      </c>
      <c r="I5719" s="3" t="s">
        <v>62</v>
      </c>
      <c r="J5719" s="3" t="s">
        <v>62</v>
      </c>
      <c r="K5719" s="3" t="s">
        <v>63</v>
      </c>
      <c r="L5719" s="2" t="s">
        <v>54958</v>
      </c>
      <c r="M5719" s="2" t="s">
        <v>3828</v>
      </c>
      <c r="N5719" s="3" t="s">
        <v>820</v>
      </c>
      <c r="P5719" s="3" t="s">
        <v>65</v>
      </c>
      <c r="Q5719" s="2" t="s">
        <v>25438</v>
      </c>
      <c r="R5719" s="3" t="s">
        <v>66</v>
      </c>
      <c r="S5719" s="4">
        <v>3</v>
      </c>
      <c r="T5719" s="4">
        <v>3</v>
      </c>
      <c r="U5719" s="5" t="s">
        <v>17352</v>
      </c>
      <c r="V5719" s="5" t="s">
        <v>17352</v>
      </c>
      <c r="W5719" s="5" t="s">
        <v>67</v>
      </c>
      <c r="X5719" s="5" t="s">
        <v>67</v>
      </c>
      <c r="Y5719" s="4">
        <v>105</v>
      </c>
      <c r="Z5719" s="4">
        <v>12</v>
      </c>
      <c r="AA5719" s="4">
        <v>93</v>
      </c>
      <c r="AB5719" s="4">
        <v>2</v>
      </c>
      <c r="AC5719" s="4">
        <v>19</v>
      </c>
      <c r="AD5719" s="4">
        <v>40</v>
      </c>
      <c r="AE5719" s="4">
        <v>112</v>
      </c>
      <c r="AF5719" s="4">
        <v>0</v>
      </c>
      <c r="AG5719" s="4">
        <v>8</v>
      </c>
      <c r="AH5719" s="4">
        <v>35</v>
      </c>
      <c r="AI5719" s="4">
        <v>75</v>
      </c>
      <c r="AJ5719" s="4">
        <v>9</v>
      </c>
      <c r="AK5719" s="4">
        <v>22</v>
      </c>
      <c r="AL5719" s="4">
        <v>23</v>
      </c>
      <c r="AM5719" s="4">
        <v>40</v>
      </c>
      <c r="AN5719" s="4">
        <v>0</v>
      </c>
      <c r="AO5719" s="4">
        <v>0</v>
      </c>
      <c r="AP5719" s="4">
        <v>10</v>
      </c>
      <c r="AQ5719" s="4">
        <v>44</v>
      </c>
      <c r="AR5719" s="3" t="s">
        <v>62</v>
      </c>
      <c r="AS5719" s="3" t="s">
        <v>62</v>
      </c>
      <c r="AT5719" s="3" t="s">
        <v>62</v>
      </c>
      <c r="AV5719" s="6" t="str">
        <f>HYPERLINK("http://mcgill.on.worldcat.org/oclc/231585292","Catalog Record")</f>
        <v>Catalog Record</v>
      </c>
      <c r="AW5719" s="6" t="str">
        <f>HYPERLINK("http://www.worldcat.org/oclc/231585292","WorldCat Record")</f>
        <v>WorldCat Record</v>
      </c>
      <c r="AX5719" s="3" t="s">
        <v>54959</v>
      </c>
      <c r="AY5719" s="3" t="s">
        <v>54960</v>
      </c>
      <c r="AZ5719" s="3" t="s">
        <v>54961</v>
      </c>
      <c r="BA5719" s="3" t="s">
        <v>54961</v>
      </c>
      <c r="BB5719" s="3" t="s">
        <v>54962</v>
      </c>
      <c r="BC5719" s="3" t="s">
        <v>142</v>
      </c>
      <c r="BD5719" s="3" t="s">
        <v>68</v>
      </c>
      <c r="BE5719" s="3" t="s">
        <v>54963</v>
      </c>
      <c r="BF5719" s="3" t="s">
        <v>54962</v>
      </c>
      <c r="BG5719" s="3" t="s">
        <v>54964</v>
      </c>
    </row>
    <row r="5720" spans="1:59" ht="57" x14ac:dyDescent="0.45">
      <c r="A5720" s="2" t="s">
        <v>59</v>
      </c>
      <c r="B5720" s="2" t="s">
        <v>60</v>
      </c>
      <c r="C5720" s="2" t="s">
        <v>54965</v>
      </c>
      <c r="D5720" s="2" t="s">
        <v>54966</v>
      </c>
      <c r="E5720" s="2" t="s">
        <v>54967</v>
      </c>
      <c r="G5720" s="3" t="s">
        <v>62</v>
      </c>
      <c r="I5720" s="3" t="s">
        <v>62</v>
      </c>
      <c r="J5720" s="3" t="s">
        <v>62</v>
      </c>
      <c r="K5720" s="3" t="s">
        <v>63</v>
      </c>
      <c r="M5720" s="2" t="s">
        <v>54968</v>
      </c>
      <c r="N5720" s="3" t="s">
        <v>945</v>
      </c>
      <c r="P5720" s="3" t="s">
        <v>65</v>
      </c>
      <c r="R5720" s="3" t="s">
        <v>66</v>
      </c>
      <c r="S5720" s="4">
        <v>4</v>
      </c>
      <c r="T5720" s="4">
        <v>4</v>
      </c>
      <c r="U5720" s="5" t="s">
        <v>8465</v>
      </c>
      <c r="V5720" s="5" t="s">
        <v>8465</v>
      </c>
      <c r="W5720" s="5" t="s">
        <v>67</v>
      </c>
      <c r="X5720" s="5" t="s">
        <v>67</v>
      </c>
      <c r="Y5720" s="4">
        <v>142</v>
      </c>
      <c r="Z5720" s="4">
        <v>16</v>
      </c>
      <c r="AA5720" s="4">
        <v>20</v>
      </c>
      <c r="AB5720" s="4">
        <v>2</v>
      </c>
      <c r="AC5720" s="4">
        <v>6</v>
      </c>
      <c r="AD5720" s="4">
        <v>56</v>
      </c>
      <c r="AE5720" s="4">
        <v>59</v>
      </c>
      <c r="AF5720" s="4">
        <v>1</v>
      </c>
      <c r="AG5720" s="4">
        <v>3</v>
      </c>
      <c r="AH5720" s="4">
        <v>51</v>
      </c>
      <c r="AI5720" s="4">
        <v>53</v>
      </c>
      <c r="AJ5720" s="4">
        <v>13</v>
      </c>
      <c r="AK5720" s="4">
        <v>15</v>
      </c>
      <c r="AL5720" s="4">
        <v>30</v>
      </c>
      <c r="AM5720" s="4">
        <v>30</v>
      </c>
      <c r="AN5720" s="4">
        <v>0</v>
      </c>
      <c r="AO5720" s="4">
        <v>0</v>
      </c>
      <c r="AP5720" s="4">
        <v>13</v>
      </c>
      <c r="AQ5720" s="4">
        <v>14</v>
      </c>
      <c r="AR5720" s="3" t="s">
        <v>62</v>
      </c>
      <c r="AS5720" s="3" t="s">
        <v>62</v>
      </c>
      <c r="AT5720" s="3" t="s">
        <v>62</v>
      </c>
      <c r="AV5720" s="6" t="str">
        <f>HYPERLINK("http://mcgill.on.worldcat.org/oclc/76183656","Catalog Record")</f>
        <v>Catalog Record</v>
      </c>
      <c r="AW5720" s="6" t="str">
        <f>HYPERLINK("http://www.worldcat.org/oclc/76183656","WorldCat Record")</f>
        <v>WorldCat Record</v>
      </c>
      <c r="AX5720" s="3" t="s">
        <v>54969</v>
      </c>
      <c r="AY5720" s="3" t="s">
        <v>54970</v>
      </c>
      <c r="AZ5720" s="3" t="s">
        <v>54971</v>
      </c>
      <c r="BA5720" s="3" t="s">
        <v>54971</v>
      </c>
      <c r="BB5720" s="3" t="s">
        <v>54972</v>
      </c>
      <c r="BC5720" s="3" t="s">
        <v>142</v>
      </c>
      <c r="BD5720" s="3" t="s">
        <v>68</v>
      </c>
      <c r="BE5720" s="3" t="s">
        <v>54973</v>
      </c>
      <c r="BF5720" s="3" t="s">
        <v>54972</v>
      </c>
      <c r="BG5720" s="3" t="s">
        <v>54974</v>
      </c>
    </row>
    <row r="5721" spans="1:59" ht="57" x14ac:dyDescent="0.45">
      <c r="A5721" s="2" t="s">
        <v>59</v>
      </c>
      <c r="B5721" s="2" t="s">
        <v>60</v>
      </c>
      <c r="C5721" s="2" t="s">
        <v>54975</v>
      </c>
      <c r="D5721" s="2" t="s">
        <v>54976</v>
      </c>
      <c r="E5721" s="2" t="s">
        <v>54977</v>
      </c>
      <c r="G5721" s="3" t="s">
        <v>62</v>
      </c>
      <c r="I5721" s="3" t="s">
        <v>62</v>
      </c>
      <c r="J5721" s="3" t="s">
        <v>62</v>
      </c>
      <c r="K5721" s="3" t="s">
        <v>63</v>
      </c>
      <c r="L5721" s="2" t="s">
        <v>54978</v>
      </c>
      <c r="M5721" s="2" t="s">
        <v>54979</v>
      </c>
      <c r="N5721" s="3" t="s">
        <v>1478</v>
      </c>
      <c r="P5721" s="3" t="s">
        <v>110</v>
      </c>
      <c r="Q5721" s="2" t="s">
        <v>54980</v>
      </c>
      <c r="R5721" s="3" t="s">
        <v>66</v>
      </c>
      <c r="S5721" s="4">
        <v>17</v>
      </c>
      <c r="T5721" s="4">
        <v>17</v>
      </c>
      <c r="U5721" s="5" t="s">
        <v>46396</v>
      </c>
      <c r="V5721" s="5" t="s">
        <v>46396</v>
      </c>
      <c r="W5721" s="5" t="s">
        <v>67</v>
      </c>
      <c r="X5721" s="5" t="s">
        <v>67</v>
      </c>
      <c r="Y5721" s="4">
        <v>52</v>
      </c>
      <c r="Z5721" s="4">
        <v>8</v>
      </c>
      <c r="AA5721" s="4">
        <v>9</v>
      </c>
      <c r="AB5721" s="4">
        <v>1</v>
      </c>
      <c r="AC5721" s="4">
        <v>1</v>
      </c>
      <c r="AD5721" s="4">
        <v>22</v>
      </c>
      <c r="AE5721" s="4">
        <v>23</v>
      </c>
      <c r="AF5721" s="4">
        <v>0</v>
      </c>
      <c r="AG5721" s="4">
        <v>0</v>
      </c>
      <c r="AH5721" s="4">
        <v>20</v>
      </c>
      <c r="AI5721" s="4">
        <v>21</v>
      </c>
      <c r="AJ5721" s="4">
        <v>6</v>
      </c>
      <c r="AK5721" s="4">
        <v>7</v>
      </c>
      <c r="AL5721" s="4">
        <v>14</v>
      </c>
      <c r="AM5721" s="4">
        <v>14</v>
      </c>
      <c r="AN5721" s="4">
        <v>0</v>
      </c>
      <c r="AO5721" s="4">
        <v>0</v>
      </c>
      <c r="AP5721" s="4">
        <v>6</v>
      </c>
      <c r="AQ5721" s="4">
        <v>7</v>
      </c>
      <c r="AR5721" s="3" t="s">
        <v>62</v>
      </c>
      <c r="AS5721" s="3" t="s">
        <v>62</v>
      </c>
      <c r="AT5721" s="3" t="s">
        <v>61</v>
      </c>
      <c r="AU5721" s="6" t="str">
        <f>HYPERLINK("http://catalog.hathitrust.org/Record/003135601","HathiTrust Record")</f>
        <v>HathiTrust Record</v>
      </c>
      <c r="AV5721" s="6" t="str">
        <f>HYPERLINK("http://mcgill.on.worldcat.org/oclc/35049745","Catalog Record")</f>
        <v>Catalog Record</v>
      </c>
      <c r="AW5721" s="6" t="str">
        <f>HYPERLINK("http://www.worldcat.org/oclc/35049745","WorldCat Record")</f>
        <v>WorldCat Record</v>
      </c>
      <c r="AX5721" s="3" t="s">
        <v>54981</v>
      </c>
      <c r="AY5721" s="3" t="s">
        <v>54982</v>
      </c>
      <c r="AZ5721" s="3" t="s">
        <v>54983</v>
      </c>
      <c r="BA5721" s="3" t="s">
        <v>54983</v>
      </c>
      <c r="BB5721" s="3" t="s">
        <v>54984</v>
      </c>
      <c r="BC5721" s="3" t="s">
        <v>142</v>
      </c>
      <c r="BD5721" s="3" t="s">
        <v>68</v>
      </c>
      <c r="BE5721" s="3" t="s">
        <v>54985</v>
      </c>
      <c r="BF5721" s="3" t="s">
        <v>54984</v>
      </c>
      <c r="BG5721" s="3" t="s">
        <v>54986</v>
      </c>
    </row>
    <row r="5722" spans="1:59" ht="57" x14ac:dyDescent="0.45">
      <c r="A5722" s="2" t="s">
        <v>59</v>
      </c>
      <c r="B5722" s="2" t="s">
        <v>60</v>
      </c>
      <c r="C5722" s="2" t="s">
        <v>54987</v>
      </c>
      <c r="D5722" s="2" t="s">
        <v>54988</v>
      </c>
      <c r="E5722" s="2" t="s">
        <v>54989</v>
      </c>
      <c r="G5722" s="3" t="s">
        <v>62</v>
      </c>
      <c r="I5722" s="3" t="s">
        <v>62</v>
      </c>
      <c r="J5722" s="3" t="s">
        <v>62</v>
      </c>
      <c r="K5722" s="3" t="s">
        <v>63</v>
      </c>
      <c r="M5722" s="2" t="s">
        <v>1868</v>
      </c>
      <c r="N5722" s="3" t="s">
        <v>820</v>
      </c>
      <c r="P5722" s="3" t="s">
        <v>65</v>
      </c>
      <c r="R5722" s="3" t="s">
        <v>66</v>
      </c>
      <c r="S5722" s="4">
        <v>18</v>
      </c>
      <c r="T5722" s="4">
        <v>18</v>
      </c>
      <c r="U5722" s="5" t="s">
        <v>54990</v>
      </c>
      <c r="V5722" s="5" t="s">
        <v>54990</v>
      </c>
      <c r="W5722" s="5" t="s">
        <v>67</v>
      </c>
      <c r="X5722" s="5" t="s">
        <v>67</v>
      </c>
      <c r="Y5722" s="4">
        <v>373</v>
      </c>
      <c r="Z5722" s="4">
        <v>26</v>
      </c>
      <c r="AA5722" s="4">
        <v>99</v>
      </c>
      <c r="AB5722" s="4">
        <v>2</v>
      </c>
      <c r="AC5722" s="4">
        <v>18</v>
      </c>
      <c r="AD5722" s="4">
        <v>93</v>
      </c>
      <c r="AE5722" s="4">
        <v>145</v>
      </c>
      <c r="AF5722" s="4">
        <v>1</v>
      </c>
      <c r="AG5722" s="4">
        <v>9</v>
      </c>
      <c r="AH5722" s="4">
        <v>84</v>
      </c>
      <c r="AI5722" s="4">
        <v>101</v>
      </c>
      <c r="AJ5722" s="4">
        <v>16</v>
      </c>
      <c r="AK5722" s="4">
        <v>26</v>
      </c>
      <c r="AL5722" s="4">
        <v>44</v>
      </c>
      <c r="AM5722" s="4">
        <v>52</v>
      </c>
      <c r="AN5722" s="4">
        <v>0</v>
      </c>
      <c r="AO5722" s="4">
        <v>0</v>
      </c>
      <c r="AP5722" s="4">
        <v>19</v>
      </c>
      <c r="AQ5722" s="4">
        <v>55</v>
      </c>
      <c r="AR5722" s="3" t="s">
        <v>62</v>
      </c>
      <c r="AS5722" s="3" t="s">
        <v>62</v>
      </c>
      <c r="AT5722" s="3" t="s">
        <v>62</v>
      </c>
      <c r="AV5722" s="6" t="str">
        <f>HYPERLINK("http://mcgill.on.worldcat.org/oclc/174500919","Catalog Record")</f>
        <v>Catalog Record</v>
      </c>
      <c r="AW5722" s="6" t="str">
        <f>HYPERLINK("http://www.worldcat.org/oclc/174500919","WorldCat Record")</f>
        <v>WorldCat Record</v>
      </c>
      <c r="AX5722" s="3" t="s">
        <v>54991</v>
      </c>
      <c r="AY5722" s="3" t="s">
        <v>54992</v>
      </c>
      <c r="AZ5722" s="3" t="s">
        <v>54993</v>
      </c>
      <c r="BA5722" s="3" t="s">
        <v>54993</v>
      </c>
      <c r="BB5722" s="3" t="s">
        <v>54994</v>
      </c>
      <c r="BC5722" s="3" t="s">
        <v>142</v>
      </c>
      <c r="BD5722" s="3" t="s">
        <v>68</v>
      </c>
      <c r="BE5722" s="3" t="s">
        <v>54995</v>
      </c>
      <c r="BF5722" s="3" t="s">
        <v>54994</v>
      </c>
      <c r="BG5722" s="3" t="s">
        <v>54996</v>
      </c>
    </row>
    <row r="5723" spans="1:59" ht="57" x14ac:dyDescent="0.45">
      <c r="A5723" s="2" t="s">
        <v>59</v>
      </c>
      <c r="B5723" s="2" t="s">
        <v>60</v>
      </c>
      <c r="C5723" s="2" t="s">
        <v>54997</v>
      </c>
      <c r="D5723" s="2" t="s">
        <v>54998</v>
      </c>
      <c r="E5723" s="2" t="s">
        <v>54999</v>
      </c>
      <c r="G5723" s="3" t="s">
        <v>62</v>
      </c>
      <c r="I5723" s="3" t="s">
        <v>62</v>
      </c>
      <c r="J5723" s="3" t="s">
        <v>62</v>
      </c>
      <c r="K5723" s="3" t="s">
        <v>63</v>
      </c>
      <c r="L5723" s="2" t="s">
        <v>55000</v>
      </c>
      <c r="M5723" s="2" t="s">
        <v>21554</v>
      </c>
      <c r="N5723" s="3" t="s">
        <v>1855</v>
      </c>
      <c r="P5723" s="3" t="s">
        <v>65</v>
      </c>
      <c r="Q5723" s="2" t="s">
        <v>55001</v>
      </c>
      <c r="R5723" s="3" t="s">
        <v>66</v>
      </c>
      <c r="S5723" s="4">
        <v>3</v>
      </c>
      <c r="T5723" s="4">
        <v>3</v>
      </c>
      <c r="U5723" s="5" t="s">
        <v>23151</v>
      </c>
      <c r="V5723" s="5" t="s">
        <v>23151</v>
      </c>
      <c r="W5723" s="5" t="s">
        <v>67</v>
      </c>
      <c r="X5723" s="5" t="s">
        <v>67</v>
      </c>
      <c r="Y5723" s="4">
        <v>164</v>
      </c>
      <c r="Z5723" s="4">
        <v>12</v>
      </c>
      <c r="AA5723" s="4">
        <v>106</v>
      </c>
      <c r="AB5723" s="4">
        <v>2</v>
      </c>
      <c r="AC5723" s="4">
        <v>17</v>
      </c>
      <c r="AD5723" s="4">
        <v>49</v>
      </c>
      <c r="AE5723" s="4">
        <v>121</v>
      </c>
      <c r="AF5723" s="4">
        <v>1</v>
      </c>
      <c r="AG5723" s="4">
        <v>8</v>
      </c>
      <c r="AH5723" s="4">
        <v>43</v>
      </c>
      <c r="AI5723" s="4">
        <v>82</v>
      </c>
      <c r="AJ5723" s="4">
        <v>9</v>
      </c>
      <c r="AK5723" s="4">
        <v>24</v>
      </c>
      <c r="AL5723" s="4">
        <v>27</v>
      </c>
      <c r="AM5723" s="4">
        <v>42</v>
      </c>
      <c r="AN5723" s="4">
        <v>0</v>
      </c>
      <c r="AO5723" s="4">
        <v>0</v>
      </c>
      <c r="AP5723" s="4">
        <v>10</v>
      </c>
      <c r="AQ5723" s="4">
        <v>47</v>
      </c>
      <c r="AR5723" s="3" t="s">
        <v>62</v>
      </c>
      <c r="AS5723" s="3" t="s">
        <v>62</v>
      </c>
      <c r="AT5723" s="3" t="s">
        <v>62</v>
      </c>
      <c r="AV5723" s="6" t="str">
        <f>HYPERLINK("http://mcgill.on.worldcat.org/oclc/60188610","Catalog Record")</f>
        <v>Catalog Record</v>
      </c>
      <c r="AW5723" s="6" t="str">
        <f>HYPERLINK("http://www.worldcat.org/oclc/60188610","WorldCat Record")</f>
        <v>WorldCat Record</v>
      </c>
      <c r="AX5723" s="3" t="s">
        <v>55002</v>
      </c>
      <c r="AY5723" s="3" t="s">
        <v>55003</v>
      </c>
      <c r="AZ5723" s="3" t="s">
        <v>55004</v>
      </c>
      <c r="BA5723" s="3" t="s">
        <v>55004</v>
      </c>
      <c r="BB5723" s="3" t="s">
        <v>55005</v>
      </c>
      <c r="BC5723" s="3" t="s">
        <v>142</v>
      </c>
      <c r="BD5723" s="3" t="s">
        <v>68</v>
      </c>
      <c r="BE5723" s="3" t="s">
        <v>55006</v>
      </c>
      <c r="BF5723" s="3" t="s">
        <v>55005</v>
      </c>
      <c r="BG5723" s="3" t="s">
        <v>55007</v>
      </c>
    </row>
    <row r="5724" spans="1:59" ht="57" x14ac:dyDescent="0.45">
      <c r="A5724" s="2" t="s">
        <v>59</v>
      </c>
      <c r="B5724" s="2" t="s">
        <v>60</v>
      </c>
      <c r="C5724" s="2" t="s">
        <v>55008</v>
      </c>
      <c r="D5724" s="2" t="s">
        <v>55009</v>
      </c>
      <c r="E5724" s="2" t="s">
        <v>55010</v>
      </c>
      <c r="G5724" s="3" t="s">
        <v>62</v>
      </c>
      <c r="I5724" s="3" t="s">
        <v>62</v>
      </c>
      <c r="J5724" s="3" t="s">
        <v>62</v>
      </c>
      <c r="K5724" s="3" t="s">
        <v>63</v>
      </c>
      <c r="L5724" s="2" t="s">
        <v>55011</v>
      </c>
      <c r="M5724" s="2" t="s">
        <v>17415</v>
      </c>
      <c r="N5724" s="3" t="s">
        <v>1688</v>
      </c>
      <c r="P5724" s="3" t="s">
        <v>65</v>
      </c>
      <c r="R5724" s="3" t="s">
        <v>66</v>
      </c>
      <c r="S5724" s="4">
        <v>2</v>
      </c>
      <c r="T5724" s="4">
        <v>2</v>
      </c>
      <c r="U5724" s="5" t="s">
        <v>29124</v>
      </c>
      <c r="V5724" s="5" t="s">
        <v>29124</v>
      </c>
      <c r="W5724" s="5" t="s">
        <v>67</v>
      </c>
      <c r="X5724" s="5" t="s">
        <v>67</v>
      </c>
      <c r="Y5724" s="4">
        <v>314</v>
      </c>
      <c r="Z5724" s="4">
        <v>28</v>
      </c>
      <c r="AA5724" s="4">
        <v>95</v>
      </c>
      <c r="AB5724" s="4">
        <v>2</v>
      </c>
      <c r="AC5724" s="4">
        <v>15</v>
      </c>
      <c r="AD5724" s="4">
        <v>84</v>
      </c>
      <c r="AE5724" s="4">
        <v>130</v>
      </c>
      <c r="AF5724" s="4">
        <v>1</v>
      </c>
      <c r="AG5724" s="4">
        <v>8</v>
      </c>
      <c r="AH5724" s="4">
        <v>73</v>
      </c>
      <c r="AI5724" s="4">
        <v>94</v>
      </c>
      <c r="AJ5724" s="4">
        <v>12</v>
      </c>
      <c r="AK5724" s="4">
        <v>24</v>
      </c>
      <c r="AL5724" s="4">
        <v>41</v>
      </c>
      <c r="AM5724" s="4">
        <v>51</v>
      </c>
      <c r="AN5724" s="4">
        <v>0</v>
      </c>
      <c r="AO5724" s="4">
        <v>0</v>
      </c>
      <c r="AP5724" s="4">
        <v>19</v>
      </c>
      <c r="AQ5724" s="4">
        <v>46</v>
      </c>
      <c r="AR5724" s="3" t="s">
        <v>62</v>
      </c>
      <c r="AS5724" s="3" t="s">
        <v>62</v>
      </c>
      <c r="AT5724" s="3" t="s">
        <v>62</v>
      </c>
      <c r="AV5724" s="6" t="str">
        <f>HYPERLINK("http://mcgill.on.worldcat.org/oclc/858610726","Catalog Record")</f>
        <v>Catalog Record</v>
      </c>
      <c r="AW5724" s="6" t="str">
        <f>HYPERLINK("http://www.worldcat.org/oclc/858610726","WorldCat Record")</f>
        <v>WorldCat Record</v>
      </c>
      <c r="AX5724" s="3" t="s">
        <v>55012</v>
      </c>
      <c r="AY5724" s="3" t="s">
        <v>55013</v>
      </c>
      <c r="AZ5724" s="3" t="s">
        <v>55014</v>
      </c>
      <c r="BA5724" s="3" t="s">
        <v>55014</v>
      </c>
      <c r="BB5724" s="3" t="s">
        <v>55015</v>
      </c>
      <c r="BC5724" s="3" t="s">
        <v>142</v>
      </c>
      <c r="BD5724" s="3" t="s">
        <v>68</v>
      </c>
      <c r="BE5724" s="3" t="s">
        <v>55016</v>
      </c>
      <c r="BF5724" s="3" t="s">
        <v>55015</v>
      </c>
      <c r="BG5724" s="3" t="s">
        <v>55017</v>
      </c>
    </row>
    <row r="5725" spans="1:59" ht="57" x14ac:dyDescent="0.45">
      <c r="A5725" s="2" t="s">
        <v>59</v>
      </c>
      <c r="B5725" s="2" t="s">
        <v>60</v>
      </c>
      <c r="C5725" s="2" t="s">
        <v>55018</v>
      </c>
      <c r="D5725" s="2" t="s">
        <v>55019</v>
      </c>
      <c r="E5725" s="2" t="s">
        <v>55020</v>
      </c>
      <c r="G5725" s="3" t="s">
        <v>62</v>
      </c>
      <c r="I5725" s="3" t="s">
        <v>62</v>
      </c>
      <c r="J5725" s="3" t="s">
        <v>62</v>
      </c>
      <c r="K5725" s="3" t="s">
        <v>63</v>
      </c>
      <c r="L5725" s="2" t="s">
        <v>55021</v>
      </c>
      <c r="M5725" s="2" t="s">
        <v>21178</v>
      </c>
      <c r="N5725" s="3" t="s">
        <v>1855</v>
      </c>
      <c r="P5725" s="3" t="s">
        <v>65</v>
      </c>
      <c r="R5725" s="3" t="s">
        <v>66</v>
      </c>
      <c r="S5725" s="4">
        <v>5</v>
      </c>
      <c r="T5725" s="4">
        <v>5</v>
      </c>
      <c r="U5725" s="5" t="s">
        <v>43618</v>
      </c>
      <c r="V5725" s="5" t="s">
        <v>43618</v>
      </c>
      <c r="W5725" s="5" t="s">
        <v>67</v>
      </c>
      <c r="X5725" s="5" t="s">
        <v>67</v>
      </c>
      <c r="Y5725" s="4">
        <v>175</v>
      </c>
      <c r="Z5725" s="4">
        <v>16</v>
      </c>
      <c r="AA5725" s="4">
        <v>23</v>
      </c>
      <c r="AB5725" s="4">
        <v>2</v>
      </c>
      <c r="AC5725" s="4">
        <v>5</v>
      </c>
      <c r="AD5725" s="4">
        <v>85</v>
      </c>
      <c r="AE5725" s="4">
        <v>90</v>
      </c>
      <c r="AF5725" s="4">
        <v>1</v>
      </c>
      <c r="AG5725" s="4">
        <v>2</v>
      </c>
      <c r="AH5725" s="4">
        <v>77</v>
      </c>
      <c r="AI5725" s="4">
        <v>80</v>
      </c>
      <c r="AJ5725" s="4">
        <v>13</v>
      </c>
      <c r="AK5725" s="4">
        <v>17</v>
      </c>
      <c r="AL5725" s="4">
        <v>44</v>
      </c>
      <c r="AM5725" s="4">
        <v>44</v>
      </c>
      <c r="AN5725" s="4">
        <v>0</v>
      </c>
      <c r="AO5725" s="4">
        <v>0</v>
      </c>
      <c r="AP5725" s="4">
        <v>14</v>
      </c>
      <c r="AQ5725" s="4">
        <v>19</v>
      </c>
      <c r="AR5725" s="3" t="s">
        <v>62</v>
      </c>
      <c r="AS5725" s="3" t="s">
        <v>62</v>
      </c>
      <c r="AT5725" s="3" t="s">
        <v>62</v>
      </c>
      <c r="AV5725" s="6" t="str">
        <f>HYPERLINK("http://mcgill.on.worldcat.org/oclc/55220275","Catalog Record")</f>
        <v>Catalog Record</v>
      </c>
      <c r="AW5725" s="6" t="str">
        <f>HYPERLINK("http://www.worldcat.org/oclc/55220275","WorldCat Record")</f>
        <v>WorldCat Record</v>
      </c>
      <c r="AX5725" s="3" t="s">
        <v>55022</v>
      </c>
      <c r="AY5725" s="3" t="s">
        <v>55023</v>
      </c>
      <c r="AZ5725" s="3" t="s">
        <v>55024</v>
      </c>
      <c r="BA5725" s="3" t="s">
        <v>55024</v>
      </c>
      <c r="BB5725" s="3" t="s">
        <v>55025</v>
      </c>
      <c r="BC5725" s="3" t="s">
        <v>142</v>
      </c>
      <c r="BD5725" s="3" t="s">
        <v>68</v>
      </c>
      <c r="BE5725" s="3" t="s">
        <v>55026</v>
      </c>
      <c r="BF5725" s="3" t="s">
        <v>55025</v>
      </c>
      <c r="BG5725" s="3" t="s">
        <v>55027</v>
      </c>
    </row>
    <row r="5726" spans="1:59" ht="71.25" x14ac:dyDescent="0.45">
      <c r="A5726" s="2" t="s">
        <v>59</v>
      </c>
      <c r="B5726" s="2" t="s">
        <v>60</v>
      </c>
      <c r="C5726" s="2" t="s">
        <v>55028</v>
      </c>
      <c r="D5726" s="2" t="s">
        <v>55029</v>
      </c>
      <c r="E5726" s="2" t="s">
        <v>55030</v>
      </c>
      <c r="G5726" s="3" t="s">
        <v>62</v>
      </c>
      <c r="I5726" s="3" t="s">
        <v>62</v>
      </c>
      <c r="J5726" s="3" t="s">
        <v>62</v>
      </c>
      <c r="K5726" s="3" t="s">
        <v>63</v>
      </c>
      <c r="L5726" s="2" t="s">
        <v>55031</v>
      </c>
      <c r="M5726" s="2" t="s">
        <v>44797</v>
      </c>
      <c r="N5726" s="3" t="s">
        <v>167</v>
      </c>
      <c r="P5726" s="3" t="s">
        <v>65</v>
      </c>
      <c r="Q5726" s="2" t="s">
        <v>55032</v>
      </c>
      <c r="R5726" s="3" t="s">
        <v>66</v>
      </c>
      <c r="S5726" s="4">
        <v>23</v>
      </c>
      <c r="T5726" s="4">
        <v>23</v>
      </c>
      <c r="U5726" s="5" t="s">
        <v>10777</v>
      </c>
      <c r="V5726" s="5" t="s">
        <v>10777</v>
      </c>
      <c r="W5726" s="5" t="s">
        <v>67</v>
      </c>
      <c r="X5726" s="5" t="s">
        <v>67</v>
      </c>
      <c r="Y5726" s="4">
        <v>169</v>
      </c>
      <c r="Z5726" s="4">
        <v>11</v>
      </c>
      <c r="AA5726" s="4">
        <v>31</v>
      </c>
      <c r="AB5726" s="4">
        <v>1</v>
      </c>
      <c r="AC5726" s="4">
        <v>3</v>
      </c>
      <c r="AD5726" s="4">
        <v>62</v>
      </c>
      <c r="AE5726" s="4">
        <v>87</v>
      </c>
      <c r="AF5726" s="4">
        <v>0</v>
      </c>
      <c r="AG5726" s="4">
        <v>1</v>
      </c>
      <c r="AH5726" s="4">
        <v>59</v>
      </c>
      <c r="AI5726" s="4">
        <v>73</v>
      </c>
      <c r="AJ5726" s="4">
        <v>8</v>
      </c>
      <c r="AK5726" s="4">
        <v>12</v>
      </c>
      <c r="AL5726" s="4">
        <v>39</v>
      </c>
      <c r="AM5726" s="4">
        <v>44</v>
      </c>
      <c r="AN5726" s="4">
        <v>0</v>
      </c>
      <c r="AO5726" s="4">
        <v>0</v>
      </c>
      <c r="AP5726" s="4">
        <v>8</v>
      </c>
      <c r="AQ5726" s="4">
        <v>19</v>
      </c>
      <c r="AR5726" s="3" t="s">
        <v>62</v>
      </c>
      <c r="AS5726" s="3" t="s">
        <v>62</v>
      </c>
      <c r="AT5726" s="3" t="s">
        <v>61</v>
      </c>
      <c r="AU5726" s="6" t="str">
        <f>HYPERLINK("http://catalog.hathitrust.org/Record/003436702","HathiTrust Record")</f>
        <v>HathiTrust Record</v>
      </c>
      <c r="AV5726" s="6" t="str">
        <f>HYPERLINK("http://mcgill.on.worldcat.org/oclc/41223922","Catalog Record")</f>
        <v>Catalog Record</v>
      </c>
      <c r="AW5726" s="6" t="str">
        <f>HYPERLINK("http://www.worldcat.org/oclc/41223922","WorldCat Record")</f>
        <v>WorldCat Record</v>
      </c>
      <c r="AX5726" s="3" t="s">
        <v>55033</v>
      </c>
      <c r="AY5726" s="3" t="s">
        <v>55034</v>
      </c>
      <c r="AZ5726" s="3" t="s">
        <v>55035</v>
      </c>
      <c r="BA5726" s="3" t="s">
        <v>55035</v>
      </c>
      <c r="BB5726" s="3" t="s">
        <v>55036</v>
      </c>
      <c r="BC5726" s="3" t="s">
        <v>142</v>
      </c>
      <c r="BD5726" s="3" t="s">
        <v>68</v>
      </c>
      <c r="BE5726" s="3" t="s">
        <v>55037</v>
      </c>
      <c r="BF5726" s="3" t="s">
        <v>55036</v>
      </c>
      <c r="BG5726" s="3" t="s">
        <v>55038</v>
      </c>
    </row>
    <row r="5727" spans="1:59" ht="71.25" x14ac:dyDescent="0.45">
      <c r="A5727" s="2" t="s">
        <v>59</v>
      </c>
      <c r="B5727" s="2" t="s">
        <v>60</v>
      </c>
      <c r="C5727" s="2" t="s">
        <v>55039</v>
      </c>
      <c r="D5727" s="2" t="s">
        <v>55040</v>
      </c>
      <c r="E5727" s="2" t="s">
        <v>55041</v>
      </c>
      <c r="G5727" s="3" t="s">
        <v>62</v>
      </c>
      <c r="I5727" s="3" t="s">
        <v>62</v>
      </c>
      <c r="J5727" s="3" t="s">
        <v>62</v>
      </c>
      <c r="K5727" s="3" t="s">
        <v>63</v>
      </c>
      <c r="M5727" s="2" t="s">
        <v>33598</v>
      </c>
      <c r="N5727" s="3" t="s">
        <v>970</v>
      </c>
      <c r="P5727" s="3" t="s">
        <v>65</v>
      </c>
      <c r="Q5727" s="2" t="s">
        <v>55042</v>
      </c>
      <c r="R5727" s="3" t="s">
        <v>66</v>
      </c>
      <c r="S5727" s="4">
        <v>26</v>
      </c>
      <c r="T5727" s="4">
        <v>26</v>
      </c>
      <c r="U5727" s="5" t="s">
        <v>5583</v>
      </c>
      <c r="V5727" s="5" t="s">
        <v>5583</v>
      </c>
      <c r="W5727" s="5" t="s">
        <v>67</v>
      </c>
      <c r="X5727" s="5" t="s">
        <v>67</v>
      </c>
      <c r="Y5727" s="4">
        <v>115</v>
      </c>
      <c r="Z5727" s="4">
        <v>5</v>
      </c>
      <c r="AA5727" s="4">
        <v>90</v>
      </c>
      <c r="AB5727" s="4">
        <v>1</v>
      </c>
      <c r="AC5727" s="4">
        <v>17</v>
      </c>
      <c r="AD5727" s="4">
        <v>53</v>
      </c>
      <c r="AE5727" s="4">
        <v>120</v>
      </c>
      <c r="AF5727" s="4">
        <v>0</v>
      </c>
      <c r="AG5727" s="4">
        <v>8</v>
      </c>
      <c r="AH5727" s="4">
        <v>51</v>
      </c>
      <c r="AI5727" s="4">
        <v>84</v>
      </c>
      <c r="AJ5727" s="4">
        <v>3</v>
      </c>
      <c r="AK5727" s="4">
        <v>21</v>
      </c>
      <c r="AL5727" s="4">
        <v>38</v>
      </c>
      <c r="AM5727" s="4">
        <v>48</v>
      </c>
      <c r="AN5727" s="4">
        <v>0</v>
      </c>
      <c r="AO5727" s="4">
        <v>0</v>
      </c>
      <c r="AP5727" s="4">
        <v>3</v>
      </c>
      <c r="AQ5727" s="4">
        <v>42</v>
      </c>
      <c r="AR5727" s="3" t="s">
        <v>62</v>
      </c>
      <c r="AS5727" s="3" t="s">
        <v>62</v>
      </c>
      <c r="AT5727" s="3" t="s">
        <v>61</v>
      </c>
      <c r="AU5727" s="6" t="str">
        <f>HYPERLINK("http://catalog.hathitrust.org/Record/004276947","HathiTrust Record")</f>
        <v>HathiTrust Record</v>
      </c>
      <c r="AV5727" s="6" t="str">
        <f>HYPERLINK("http://mcgill.on.worldcat.org/oclc/49225667","Catalog Record")</f>
        <v>Catalog Record</v>
      </c>
      <c r="AW5727" s="6" t="str">
        <f>HYPERLINK("http://www.worldcat.org/oclc/49225667","WorldCat Record")</f>
        <v>WorldCat Record</v>
      </c>
      <c r="AX5727" s="3" t="s">
        <v>55043</v>
      </c>
      <c r="AY5727" s="3" t="s">
        <v>55044</v>
      </c>
      <c r="AZ5727" s="3" t="s">
        <v>55045</v>
      </c>
      <c r="BA5727" s="3" t="s">
        <v>55045</v>
      </c>
      <c r="BB5727" s="3" t="s">
        <v>55046</v>
      </c>
      <c r="BC5727" s="3" t="s">
        <v>142</v>
      </c>
      <c r="BD5727" s="3" t="s">
        <v>308</v>
      </c>
      <c r="BE5727" s="3" t="s">
        <v>55047</v>
      </c>
      <c r="BF5727" s="3" t="s">
        <v>55046</v>
      </c>
      <c r="BG5727" s="3" t="s">
        <v>55048</v>
      </c>
    </row>
    <row r="5728" spans="1:59" ht="71.25" x14ac:dyDescent="0.45">
      <c r="A5728" s="2" t="s">
        <v>59</v>
      </c>
      <c r="B5728" s="2" t="s">
        <v>60</v>
      </c>
      <c r="C5728" s="2" t="s">
        <v>55049</v>
      </c>
      <c r="D5728" s="2" t="s">
        <v>55050</v>
      </c>
      <c r="E5728" s="2" t="s">
        <v>55051</v>
      </c>
      <c r="G5728" s="3" t="s">
        <v>62</v>
      </c>
      <c r="I5728" s="3" t="s">
        <v>62</v>
      </c>
      <c r="J5728" s="3" t="s">
        <v>62</v>
      </c>
      <c r="K5728" s="3" t="s">
        <v>63</v>
      </c>
      <c r="M5728" s="2" t="s">
        <v>55052</v>
      </c>
      <c r="N5728" s="3" t="s">
        <v>945</v>
      </c>
      <c r="O5728" s="2" t="s">
        <v>43055</v>
      </c>
      <c r="P5728" s="3" t="s">
        <v>65</v>
      </c>
      <c r="Q5728" s="2" t="s">
        <v>55053</v>
      </c>
      <c r="R5728" s="3" t="s">
        <v>66</v>
      </c>
      <c r="S5728" s="4">
        <v>5</v>
      </c>
      <c r="T5728" s="4">
        <v>5</v>
      </c>
      <c r="U5728" s="5" t="s">
        <v>6780</v>
      </c>
      <c r="V5728" s="5" t="s">
        <v>6780</v>
      </c>
      <c r="W5728" s="5" t="s">
        <v>67</v>
      </c>
      <c r="X5728" s="5" t="s">
        <v>67</v>
      </c>
      <c r="Y5728" s="4">
        <v>11</v>
      </c>
      <c r="Z5728" s="4">
        <v>3</v>
      </c>
      <c r="AA5728" s="4">
        <v>3</v>
      </c>
      <c r="AB5728" s="4">
        <v>1</v>
      </c>
      <c r="AC5728" s="4">
        <v>1</v>
      </c>
      <c r="AD5728" s="4">
        <v>6</v>
      </c>
      <c r="AE5728" s="4">
        <v>6</v>
      </c>
      <c r="AF5728" s="4">
        <v>0</v>
      </c>
      <c r="AG5728" s="4">
        <v>0</v>
      </c>
      <c r="AH5728" s="4">
        <v>5</v>
      </c>
      <c r="AI5728" s="4">
        <v>5</v>
      </c>
      <c r="AJ5728" s="4">
        <v>1</v>
      </c>
      <c r="AK5728" s="4">
        <v>1</v>
      </c>
      <c r="AL5728" s="4">
        <v>4</v>
      </c>
      <c r="AM5728" s="4">
        <v>4</v>
      </c>
      <c r="AN5728" s="4">
        <v>0</v>
      </c>
      <c r="AO5728" s="4">
        <v>0</v>
      </c>
      <c r="AP5728" s="4">
        <v>1</v>
      </c>
      <c r="AQ5728" s="4">
        <v>1</v>
      </c>
      <c r="AR5728" s="3" t="s">
        <v>62</v>
      </c>
      <c r="AS5728" s="3" t="s">
        <v>62</v>
      </c>
      <c r="AT5728" s="3" t="s">
        <v>62</v>
      </c>
      <c r="AV5728" s="6" t="str">
        <f>HYPERLINK("http://mcgill.on.worldcat.org/oclc/213303672","Catalog Record")</f>
        <v>Catalog Record</v>
      </c>
      <c r="AW5728" s="6" t="str">
        <f>HYPERLINK("http://www.worldcat.org/oclc/213303672","WorldCat Record")</f>
        <v>WorldCat Record</v>
      </c>
      <c r="AX5728" s="3" t="s">
        <v>55054</v>
      </c>
      <c r="AY5728" s="3" t="s">
        <v>55055</v>
      </c>
      <c r="AZ5728" s="3" t="s">
        <v>55056</v>
      </c>
      <c r="BA5728" s="3" t="s">
        <v>55056</v>
      </c>
      <c r="BB5728" s="3" t="s">
        <v>55057</v>
      </c>
      <c r="BC5728" s="3" t="s">
        <v>142</v>
      </c>
      <c r="BD5728" s="3" t="s">
        <v>68</v>
      </c>
      <c r="BE5728" s="3" t="s">
        <v>55058</v>
      </c>
      <c r="BF5728" s="3" t="s">
        <v>55057</v>
      </c>
      <c r="BG5728" s="3" t="s">
        <v>55059</v>
      </c>
    </row>
    <row r="5729" spans="1:59" ht="71.25" x14ac:dyDescent="0.45">
      <c r="A5729" s="2" t="s">
        <v>59</v>
      </c>
      <c r="B5729" s="2" t="s">
        <v>60</v>
      </c>
      <c r="C5729" s="2" t="s">
        <v>55060</v>
      </c>
      <c r="D5729" s="2" t="s">
        <v>55061</v>
      </c>
      <c r="E5729" s="2" t="s">
        <v>55062</v>
      </c>
      <c r="G5729" s="3" t="s">
        <v>62</v>
      </c>
      <c r="I5729" s="3" t="s">
        <v>62</v>
      </c>
      <c r="J5729" s="3" t="s">
        <v>62</v>
      </c>
      <c r="K5729" s="3" t="s">
        <v>63</v>
      </c>
      <c r="M5729" s="2" t="s">
        <v>3925</v>
      </c>
      <c r="N5729" s="3" t="s">
        <v>149</v>
      </c>
      <c r="P5729" s="3" t="s">
        <v>65</v>
      </c>
      <c r="Q5729" s="2" t="s">
        <v>55063</v>
      </c>
      <c r="R5729" s="3" t="s">
        <v>66</v>
      </c>
      <c r="S5729" s="4">
        <v>1</v>
      </c>
      <c r="T5729" s="4">
        <v>1</v>
      </c>
      <c r="U5729" s="5" t="s">
        <v>1086</v>
      </c>
      <c r="V5729" s="5" t="s">
        <v>1086</v>
      </c>
      <c r="W5729" s="5" t="s">
        <v>67</v>
      </c>
      <c r="X5729" s="5" t="s">
        <v>67</v>
      </c>
      <c r="Y5729" s="4">
        <v>88</v>
      </c>
      <c r="Z5729" s="4">
        <v>8</v>
      </c>
      <c r="AA5729" s="4">
        <v>97</v>
      </c>
      <c r="AB5729" s="4">
        <v>1</v>
      </c>
      <c r="AC5729" s="4">
        <v>17</v>
      </c>
      <c r="AD5729" s="4">
        <v>32</v>
      </c>
      <c r="AE5729" s="4">
        <v>111</v>
      </c>
      <c r="AF5729" s="4">
        <v>0</v>
      </c>
      <c r="AG5729" s="4">
        <v>8</v>
      </c>
      <c r="AH5729" s="4">
        <v>28</v>
      </c>
      <c r="AI5729" s="4">
        <v>76</v>
      </c>
      <c r="AJ5729" s="4">
        <v>5</v>
      </c>
      <c r="AK5729" s="4">
        <v>22</v>
      </c>
      <c r="AL5729" s="4">
        <v>20</v>
      </c>
      <c r="AM5729" s="4">
        <v>38</v>
      </c>
      <c r="AN5729" s="4">
        <v>0</v>
      </c>
      <c r="AO5729" s="4">
        <v>0</v>
      </c>
      <c r="AP5729" s="4">
        <v>6</v>
      </c>
      <c r="AQ5729" s="4">
        <v>43</v>
      </c>
      <c r="AR5729" s="3" t="s">
        <v>62</v>
      </c>
      <c r="AS5729" s="3" t="s">
        <v>62</v>
      </c>
      <c r="AT5729" s="3" t="s">
        <v>62</v>
      </c>
      <c r="AV5729" s="6" t="str">
        <f>HYPERLINK("http://mcgill.on.worldcat.org/oclc/557407891","Catalog Record")</f>
        <v>Catalog Record</v>
      </c>
      <c r="AW5729" s="6" t="str">
        <f>HYPERLINK("http://www.worldcat.org/oclc/557407891","WorldCat Record")</f>
        <v>WorldCat Record</v>
      </c>
      <c r="AX5729" s="3" t="s">
        <v>55064</v>
      </c>
      <c r="AY5729" s="3" t="s">
        <v>55065</v>
      </c>
      <c r="AZ5729" s="3" t="s">
        <v>55066</v>
      </c>
      <c r="BA5729" s="3" t="s">
        <v>55066</v>
      </c>
      <c r="BB5729" s="3" t="s">
        <v>55067</v>
      </c>
      <c r="BC5729" s="3" t="s">
        <v>142</v>
      </c>
      <c r="BD5729" s="3" t="s">
        <v>68</v>
      </c>
      <c r="BE5729" s="3" t="s">
        <v>55068</v>
      </c>
      <c r="BF5729" s="3" t="s">
        <v>55067</v>
      </c>
      <c r="BG5729" s="3" t="s">
        <v>55069</v>
      </c>
    </row>
    <row r="5730" spans="1:59" ht="57" x14ac:dyDescent="0.45">
      <c r="A5730" s="2" t="s">
        <v>59</v>
      </c>
      <c r="B5730" s="2" t="s">
        <v>60</v>
      </c>
      <c r="C5730" s="2" t="s">
        <v>55070</v>
      </c>
      <c r="D5730" s="2" t="s">
        <v>55071</v>
      </c>
      <c r="E5730" s="2" t="s">
        <v>55072</v>
      </c>
      <c r="G5730" s="3" t="s">
        <v>62</v>
      </c>
      <c r="I5730" s="3" t="s">
        <v>62</v>
      </c>
      <c r="J5730" s="3" t="s">
        <v>62</v>
      </c>
      <c r="K5730" s="3" t="s">
        <v>63</v>
      </c>
      <c r="M5730" s="2" t="s">
        <v>3925</v>
      </c>
      <c r="N5730" s="3" t="s">
        <v>149</v>
      </c>
      <c r="P5730" s="3" t="s">
        <v>65</v>
      </c>
      <c r="Q5730" s="2" t="s">
        <v>55073</v>
      </c>
      <c r="R5730" s="3" t="s">
        <v>66</v>
      </c>
      <c r="S5730" s="4">
        <v>1</v>
      </c>
      <c r="T5730" s="4">
        <v>1</v>
      </c>
      <c r="U5730" s="5" t="s">
        <v>55074</v>
      </c>
      <c r="V5730" s="5" t="s">
        <v>55074</v>
      </c>
      <c r="W5730" s="5" t="s">
        <v>67</v>
      </c>
      <c r="X5730" s="5" t="s">
        <v>67</v>
      </c>
      <c r="Y5730" s="4">
        <v>80</v>
      </c>
      <c r="Z5730" s="4">
        <v>8</v>
      </c>
      <c r="AA5730" s="4">
        <v>97</v>
      </c>
      <c r="AB5730" s="4">
        <v>1</v>
      </c>
      <c r="AC5730" s="4">
        <v>17</v>
      </c>
      <c r="AD5730" s="4">
        <v>27</v>
      </c>
      <c r="AE5730" s="4">
        <v>109</v>
      </c>
      <c r="AF5730" s="4">
        <v>0</v>
      </c>
      <c r="AG5730" s="4">
        <v>8</v>
      </c>
      <c r="AH5730" s="4">
        <v>23</v>
      </c>
      <c r="AI5730" s="4">
        <v>72</v>
      </c>
      <c r="AJ5730" s="4">
        <v>4</v>
      </c>
      <c r="AK5730" s="4">
        <v>22</v>
      </c>
      <c r="AL5730" s="4">
        <v>15</v>
      </c>
      <c r="AM5730" s="4">
        <v>37</v>
      </c>
      <c r="AN5730" s="4">
        <v>0</v>
      </c>
      <c r="AO5730" s="4">
        <v>0</v>
      </c>
      <c r="AP5730" s="4">
        <v>6</v>
      </c>
      <c r="AQ5730" s="4">
        <v>44</v>
      </c>
      <c r="AR5730" s="3" t="s">
        <v>62</v>
      </c>
      <c r="AS5730" s="3" t="s">
        <v>62</v>
      </c>
      <c r="AT5730" s="3" t="s">
        <v>62</v>
      </c>
      <c r="AV5730" s="6" t="str">
        <f>HYPERLINK("http://mcgill.on.worldcat.org/oclc/643569782","Catalog Record")</f>
        <v>Catalog Record</v>
      </c>
      <c r="AW5730" s="6" t="str">
        <f>HYPERLINK("http://www.worldcat.org/oclc/643569782","WorldCat Record")</f>
        <v>WorldCat Record</v>
      </c>
      <c r="AX5730" s="3" t="s">
        <v>55075</v>
      </c>
      <c r="AY5730" s="3" t="s">
        <v>55076</v>
      </c>
      <c r="AZ5730" s="3" t="s">
        <v>55077</v>
      </c>
      <c r="BA5730" s="3" t="s">
        <v>55077</v>
      </c>
      <c r="BB5730" s="3" t="s">
        <v>55078</v>
      </c>
      <c r="BC5730" s="3" t="s">
        <v>142</v>
      </c>
      <c r="BD5730" s="3" t="s">
        <v>68</v>
      </c>
      <c r="BE5730" s="3" t="s">
        <v>55079</v>
      </c>
      <c r="BF5730" s="3" t="s">
        <v>55078</v>
      </c>
      <c r="BG5730" s="3" t="s">
        <v>55080</v>
      </c>
    </row>
    <row r="5731" spans="1:59" ht="57" x14ac:dyDescent="0.45">
      <c r="A5731" s="2" t="s">
        <v>59</v>
      </c>
      <c r="B5731" s="2" t="s">
        <v>60</v>
      </c>
      <c r="C5731" s="2" t="s">
        <v>55081</v>
      </c>
      <c r="D5731" s="2" t="s">
        <v>55082</v>
      </c>
      <c r="E5731" s="2" t="s">
        <v>55083</v>
      </c>
      <c r="G5731" s="3" t="s">
        <v>62</v>
      </c>
      <c r="I5731" s="3" t="s">
        <v>61</v>
      </c>
      <c r="J5731" s="3" t="s">
        <v>62</v>
      </c>
      <c r="K5731" s="3" t="s">
        <v>63</v>
      </c>
      <c r="L5731" s="2" t="s">
        <v>55084</v>
      </c>
      <c r="M5731" s="2" t="s">
        <v>55085</v>
      </c>
      <c r="N5731" s="3" t="s">
        <v>529</v>
      </c>
      <c r="P5731" s="3" t="s">
        <v>65</v>
      </c>
      <c r="R5731" s="3" t="s">
        <v>66</v>
      </c>
      <c r="S5731" s="4">
        <v>40</v>
      </c>
      <c r="T5731" s="4">
        <v>40</v>
      </c>
      <c r="U5731" s="5" t="s">
        <v>55086</v>
      </c>
      <c r="V5731" s="5" t="s">
        <v>55086</v>
      </c>
      <c r="W5731" s="5" t="s">
        <v>67</v>
      </c>
      <c r="X5731" s="5" t="s">
        <v>67</v>
      </c>
      <c r="Y5731" s="4">
        <v>738</v>
      </c>
      <c r="Z5731" s="4">
        <v>37</v>
      </c>
      <c r="AA5731" s="4">
        <v>45</v>
      </c>
      <c r="AB5731" s="4">
        <v>2</v>
      </c>
      <c r="AC5731" s="4">
        <v>6</v>
      </c>
      <c r="AD5731" s="4">
        <v>112</v>
      </c>
      <c r="AE5731" s="4">
        <v>118</v>
      </c>
      <c r="AF5731" s="4">
        <v>1</v>
      </c>
      <c r="AG5731" s="4">
        <v>4</v>
      </c>
      <c r="AH5731" s="4">
        <v>96</v>
      </c>
      <c r="AI5731" s="4">
        <v>98</v>
      </c>
      <c r="AJ5731" s="4">
        <v>15</v>
      </c>
      <c r="AK5731" s="4">
        <v>19</v>
      </c>
      <c r="AL5731" s="4">
        <v>51</v>
      </c>
      <c r="AM5731" s="4">
        <v>52</v>
      </c>
      <c r="AN5731" s="4">
        <v>2</v>
      </c>
      <c r="AO5731" s="4">
        <v>2</v>
      </c>
      <c r="AP5731" s="4">
        <v>26</v>
      </c>
      <c r="AQ5731" s="4">
        <v>30</v>
      </c>
      <c r="AR5731" s="3" t="s">
        <v>62</v>
      </c>
      <c r="AS5731" s="3" t="s">
        <v>62</v>
      </c>
      <c r="AT5731" s="3" t="s">
        <v>61</v>
      </c>
      <c r="AU5731" s="6" t="str">
        <f>HYPERLINK("http://catalog.hathitrust.org/Record/000612585","HathiTrust Record")</f>
        <v>HathiTrust Record</v>
      </c>
      <c r="AV5731" s="6" t="str">
        <f>HYPERLINK("http://mcgill.on.worldcat.org/oclc/13124520","Catalog Record")</f>
        <v>Catalog Record</v>
      </c>
      <c r="AW5731" s="6" t="str">
        <f>HYPERLINK("http://www.worldcat.org/oclc/13124520","WorldCat Record")</f>
        <v>WorldCat Record</v>
      </c>
      <c r="AX5731" s="3" t="s">
        <v>55087</v>
      </c>
      <c r="AY5731" s="3" t="s">
        <v>55088</v>
      </c>
      <c r="AZ5731" s="3" t="s">
        <v>55089</v>
      </c>
      <c r="BA5731" s="3" t="s">
        <v>55089</v>
      </c>
      <c r="BB5731" s="3" t="s">
        <v>55090</v>
      </c>
      <c r="BC5731" s="3" t="s">
        <v>142</v>
      </c>
      <c r="BD5731" s="3" t="s">
        <v>68</v>
      </c>
      <c r="BE5731" s="3" t="s">
        <v>55091</v>
      </c>
      <c r="BF5731" s="3" t="s">
        <v>55090</v>
      </c>
      <c r="BG5731" s="3" t="s">
        <v>55092</v>
      </c>
    </row>
    <row r="5732" spans="1:59" ht="57" x14ac:dyDescent="0.45">
      <c r="A5732" s="2" t="s">
        <v>59</v>
      </c>
      <c r="B5732" s="2" t="s">
        <v>60</v>
      </c>
      <c r="C5732" s="2" t="s">
        <v>55093</v>
      </c>
      <c r="D5732" s="2" t="s">
        <v>55094</v>
      </c>
      <c r="E5732" s="2" t="s">
        <v>55095</v>
      </c>
      <c r="G5732" s="3" t="s">
        <v>62</v>
      </c>
      <c r="I5732" s="3" t="s">
        <v>62</v>
      </c>
      <c r="J5732" s="3" t="s">
        <v>62</v>
      </c>
      <c r="K5732" s="3" t="s">
        <v>63</v>
      </c>
      <c r="L5732" s="2" t="s">
        <v>55096</v>
      </c>
      <c r="M5732" s="2" t="s">
        <v>25145</v>
      </c>
      <c r="N5732" s="3" t="s">
        <v>945</v>
      </c>
      <c r="P5732" s="3" t="s">
        <v>65</v>
      </c>
      <c r="R5732" s="3" t="s">
        <v>66</v>
      </c>
      <c r="S5732" s="4">
        <v>5</v>
      </c>
      <c r="T5732" s="4">
        <v>5</v>
      </c>
      <c r="U5732" s="5" t="s">
        <v>1426</v>
      </c>
      <c r="V5732" s="5" t="s">
        <v>1426</v>
      </c>
      <c r="W5732" s="5" t="s">
        <v>67</v>
      </c>
      <c r="X5732" s="5" t="s">
        <v>67</v>
      </c>
      <c r="Y5732" s="4">
        <v>160</v>
      </c>
      <c r="Z5732" s="4">
        <v>15</v>
      </c>
      <c r="AA5732" s="4">
        <v>20</v>
      </c>
      <c r="AB5732" s="4">
        <v>1</v>
      </c>
      <c r="AC5732" s="4">
        <v>5</v>
      </c>
      <c r="AD5732" s="4">
        <v>74</v>
      </c>
      <c r="AE5732" s="4">
        <v>79</v>
      </c>
      <c r="AF5732" s="4">
        <v>0</v>
      </c>
      <c r="AG5732" s="4">
        <v>2</v>
      </c>
      <c r="AH5732" s="4">
        <v>69</v>
      </c>
      <c r="AI5732" s="4">
        <v>72</v>
      </c>
      <c r="AJ5732" s="4">
        <v>12</v>
      </c>
      <c r="AK5732" s="4">
        <v>15</v>
      </c>
      <c r="AL5732" s="4">
        <v>39</v>
      </c>
      <c r="AM5732" s="4">
        <v>41</v>
      </c>
      <c r="AN5732" s="4">
        <v>0</v>
      </c>
      <c r="AO5732" s="4">
        <v>0</v>
      </c>
      <c r="AP5732" s="4">
        <v>12</v>
      </c>
      <c r="AQ5732" s="4">
        <v>14</v>
      </c>
      <c r="AR5732" s="3" t="s">
        <v>62</v>
      </c>
      <c r="AS5732" s="3" t="s">
        <v>62</v>
      </c>
      <c r="AT5732" s="3" t="s">
        <v>61</v>
      </c>
      <c r="AU5732" s="6" t="str">
        <f>HYPERLINK("http://catalog.hathitrust.org/Record/005627183","HathiTrust Record")</f>
        <v>HathiTrust Record</v>
      </c>
      <c r="AV5732" s="6" t="str">
        <f>HYPERLINK("http://mcgill.on.worldcat.org/oclc/76786899","Catalog Record")</f>
        <v>Catalog Record</v>
      </c>
      <c r="AW5732" s="6" t="str">
        <f>HYPERLINK("http://www.worldcat.org/oclc/76786899","WorldCat Record")</f>
        <v>WorldCat Record</v>
      </c>
      <c r="AX5732" s="3" t="s">
        <v>55097</v>
      </c>
      <c r="AY5732" s="3" t="s">
        <v>55098</v>
      </c>
      <c r="AZ5732" s="3" t="s">
        <v>55099</v>
      </c>
      <c r="BA5732" s="3" t="s">
        <v>55099</v>
      </c>
      <c r="BB5732" s="3" t="s">
        <v>55100</v>
      </c>
      <c r="BC5732" s="3" t="s">
        <v>142</v>
      </c>
      <c r="BD5732" s="3" t="s">
        <v>68</v>
      </c>
      <c r="BE5732" s="3" t="s">
        <v>55101</v>
      </c>
      <c r="BF5732" s="3" t="s">
        <v>55100</v>
      </c>
      <c r="BG5732" s="3" t="s">
        <v>55102</v>
      </c>
    </row>
    <row r="5733" spans="1:59" ht="57" x14ac:dyDescent="0.45">
      <c r="A5733" s="2" t="s">
        <v>59</v>
      </c>
      <c r="B5733" s="2" t="s">
        <v>60</v>
      </c>
      <c r="C5733" s="2" t="s">
        <v>55103</v>
      </c>
      <c r="D5733" s="2" t="s">
        <v>55104</v>
      </c>
      <c r="E5733" s="2" t="s">
        <v>55105</v>
      </c>
      <c r="G5733" s="3" t="s">
        <v>62</v>
      </c>
      <c r="I5733" s="3" t="s">
        <v>62</v>
      </c>
      <c r="J5733" s="3" t="s">
        <v>62</v>
      </c>
      <c r="K5733" s="3" t="s">
        <v>63</v>
      </c>
      <c r="L5733" s="2" t="s">
        <v>55106</v>
      </c>
      <c r="M5733" s="2" t="s">
        <v>55107</v>
      </c>
      <c r="N5733" s="3" t="s">
        <v>116</v>
      </c>
      <c r="P5733" s="3" t="s">
        <v>65</v>
      </c>
      <c r="R5733" s="3" t="s">
        <v>66</v>
      </c>
      <c r="S5733" s="4">
        <v>0</v>
      </c>
      <c r="T5733" s="4">
        <v>0</v>
      </c>
      <c r="W5733" s="5" t="s">
        <v>67</v>
      </c>
      <c r="X5733" s="5" t="s">
        <v>67</v>
      </c>
      <c r="Y5733" s="4">
        <v>80</v>
      </c>
      <c r="Z5733" s="4">
        <v>15</v>
      </c>
      <c r="AA5733" s="4">
        <v>15</v>
      </c>
      <c r="AB5733" s="4">
        <v>1</v>
      </c>
      <c r="AC5733" s="4">
        <v>1</v>
      </c>
      <c r="AD5733" s="4">
        <v>45</v>
      </c>
      <c r="AE5733" s="4">
        <v>46</v>
      </c>
      <c r="AF5733" s="4">
        <v>0</v>
      </c>
      <c r="AG5733" s="4">
        <v>0</v>
      </c>
      <c r="AH5733" s="4">
        <v>40</v>
      </c>
      <c r="AI5733" s="4">
        <v>41</v>
      </c>
      <c r="AJ5733" s="4">
        <v>11</v>
      </c>
      <c r="AK5733" s="4">
        <v>11</v>
      </c>
      <c r="AL5733" s="4">
        <v>23</v>
      </c>
      <c r="AM5733" s="4">
        <v>24</v>
      </c>
      <c r="AN5733" s="4">
        <v>0</v>
      </c>
      <c r="AO5733" s="4">
        <v>0</v>
      </c>
      <c r="AP5733" s="4">
        <v>13</v>
      </c>
      <c r="AQ5733" s="4">
        <v>13</v>
      </c>
      <c r="AR5733" s="3" t="s">
        <v>62</v>
      </c>
      <c r="AS5733" s="3" t="s">
        <v>62</v>
      </c>
      <c r="AT5733" s="3" t="s">
        <v>62</v>
      </c>
      <c r="AV5733" s="6" t="str">
        <f>HYPERLINK("http://mcgill.on.worldcat.org/oclc/743040425","Catalog Record")</f>
        <v>Catalog Record</v>
      </c>
      <c r="AW5733" s="6" t="str">
        <f>HYPERLINK("http://www.worldcat.org/oclc/743040425","WorldCat Record")</f>
        <v>WorldCat Record</v>
      </c>
      <c r="AX5733" s="3" t="s">
        <v>55108</v>
      </c>
      <c r="AY5733" s="3" t="s">
        <v>55109</v>
      </c>
      <c r="AZ5733" s="3" t="s">
        <v>55110</v>
      </c>
      <c r="BA5733" s="3" t="s">
        <v>55110</v>
      </c>
      <c r="BB5733" s="3" t="s">
        <v>55111</v>
      </c>
      <c r="BC5733" s="3" t="s">
        <v>142</v>
      </c>
      <c r="BD5733" s="3" t="s">
        <v>68</v>
      </c>
      <c r="BE5733" s="3" t="s">
        <v>55112</v>
      </c>
      <c r="BF5733" s="3" t="s">
        <v>55111</v>
      </c>
      <c r="BG5733" s="3" t="s">
        <v>55113</v>
      </c>
    </row>
    <row r="5734" spans="1:59" ht="57" x14ac:dyDescent="0.45">
      <c r="A5734" s="2" t="s">
        <v>59</v>
      </c>
      <c r="B5734" s="2" t="s">
        <v>60</v>
      </c>
      <c r="C5734" s="2" t="s">
        <v>55114</v>
      </c>
      <c r="D5734" s="2" t="s">
        <v>55115</v>
      </c>
      <c r="E5734" s="2" t="s">
        <v>55116</v>
      </c>
      <c r="G5734" s="3" t="s">
        <v>62</v>
      </c>
      <c r="I5734" s="3" t="s">
        <v>62</v>
      </c>
      <c r="J5734" s="3" t="s">
        <v>62</v>
      </c>
      <c r="K5734" s="3" t="s">
        <v>63</v>
      </c>
      <c r="L5734" s="2" t="s">
        <v>30354</v>
      </c>
      <c r="M5734" s="2" t="s">
        <v>11106</v>
      </c>
      <c r="N5734" s="3" t="s">
        <v>149</v>
      </c>
      <c r="O5734" s="2" t="s">
        <v>55117</v>
      </c>
      <c r="P5734" s="3" t="s">
        <v>110</v>
      </c>
      <c r="Q5734" s="2" t="s">
        <v>55118</v>
      </c>
      <c r="R5734" s="3" t="s">
        <v>66</v>
      </c>
      <c r="S5734" s="4">
        <v>11</v>
      </c>
      <c r="T5734" s="4">
        <v>11</v>
      </c>
      <c r="U5734" s="5" t="s">
        <v>31527</v>
      </c>
      <c r="V5734" s="5" t="s">
        <v>31527</v>
      </c>
      <c r="W5734" s="5" t="s">
        <v>67</v>
      </c>
      <c r="X5734" s="5" t="s">
        <v>67</v>
      </c>
      <c r="Y5734" s="4">
        <v>10</v>
      </c>
      <c r="Z5734" s="4">
        <v>4</v>
      </c>
      <c r="AA5734" s="4">
        <v>20</v>
      </c>
      <c r="AB5734" s="4">
        <v>1</v>
      </c>
      <c r="AC5734" s="4">
        <v>13</v>
      </c>
      <c r="AD5734" s="4">
        <v>5</v>
      </c>
      <c r="AE5734" s="4">
        <v>15</v>
      </c>
      <c r="AF5734" s="4">
        <v>0</v>
      </c>
      <c r="AG5734" s="4">
        <v>5</v>
      </c>
      <c r="AH5734" s="4">
        <v>4</v>
      </c>
      <c r="AI5734" s="4">
        <v>8</v>
      </c>
      <c r="AJ5734" s="4">
        <v>3</v>
      </c>
      <c r="AK5734" s="4">
        <v>10</v>
      </c>
      <c r="AL5734" s="4">
        <v>2</v>
      </c>
      <c r="AM5734" s="4">
        <v>3</v>
      </c>
      <c r="AN5734" s="4">
        <v>0</v>
      </c>
      <c r="AO5734" s="4">
        <v>0</v>
      </c>
      <c r="AP5734" s="4">
        <v>3</v>
      </c>
      <c r="AQ5734" s="4">
        <v>11</v>
      </c>
      <c r="AR5734" s="3" t="s">
        <v>62</v>
      </c>
      <c r="AS5734" s="3" t="s">
        <v>62</v>
      </c>
      <c r="AT5734" s="3" t="s">
        <v>62</v>
      </c>
      <c r="AV5734" s="6" t="str">
        <f>HYPERLINK("http://mcgill.on.worldcat.org/oclc/658573735","Catalog Record")</f>
        <v>Catalog Record</v>
      </c>
      <c r="AW5734" s="6" t="str">
        <f>HYPERLINK("http://www.worldcat.org/oclc/658573735","WorldCat Record")</f>
        <v>WorldCat Record</v>
      </c>
      <c r="AX5734" s="3" t="s">
        <v>55119</v>
      </c>
      <c r="AY5734" s="3" t="s">
        <v>55120</v>
      </c>
      <c r="AZ5734" s="3" t="s">
        <v>55121</v>
      </c>
      <c r="BA5734" s="3" t="s">
        <v>55121</v>
      </c>
      <c r="BB5734" s="3" t="s">
        <v>55122</v>
      </c>
      <c r="BC5734" s="3" t="s">
        <v>142</v>
      </c>
      <c r="BD5734" s="3" t="s">
        <v>68</v>
      </c>
      <c r="BE5734" s="3" t="s">
        <v>55123</v>
      </c>
      <c r="BF5734" s="3" t="s">
        <v>55122</v>
      </c>
      <c r="BG5734" s="3" t="s">
        <v>55124</v>
      </c>
    </row>
    <row r="5735" spans="1:59" ht="57" x14ac:dyDescent="0.45">
      <c r="A5735" s="2" t="s">
        <v>59</v>
      </c>
      <c r="B5735" s="2" t="s">
        <v>60</v>
      </c>
      <c r="C5735" s="2" t="s">
        <v>55125</v>
      </c>
      <c r="D5735" s="2" t="s">
        <v>55126</v>
      </c>
      <c r="E5735" s="2" t="s">
        <v>55127</v>
      </c>
      <c r="G5735" s="3" t="s">
        <v>62</v>
      </c>
      <c r="I5735" s="3" t="s">
        <v>62</v>
      </c>
      <c r="J5735" s="3" t="s">
        <v>62</v>
      </c>
      <c r="K5735" s="3" t="s">
        <v>63</v>
      </c>
      <c r="L5735" s="2" t="s">
        <v>55128</v>
      </c>
      <c r="M5735" s="2" t="s">
        <v>32505</v>
      </c>
      <c r="N5735" s="3" t="s">
        <v>894</v>
      </c>
      <c r="P5735" s="3" t="s">
        <v>65</v>
      </c>
      <c r="R5735" s="3" t="s">
        <v>66</v>
      </c>
      <c r="S5735" s="4">
        <v>6</v>
      </c>
      <c r="T5735" s="4">
        <v>6</v>
      </c>
      <c r="U5735" s="5" t="s">
        <v>49881</v>
      </c>
      <c r="V5735" s="5" t="s">
        <v>49881</v>
      </c>
      <c r="W5735" s="5" t="s">
        <v>67</v>
      </c>
      <c r="X5735" s="5" t="s">
        <v>67</v>
      </c>
      <c r="Y5735" s="4">
        <v>307</v>
      </c>
      <c r="Z5735" s="4">
        <v>21</v>
      </c>
      <c r="AA5735" s="4">
        <v>38</v>
      </c>
      <c r="AB5735" s="4">
        <v>1</v>
      </c>
      <c r="AC5735" s="4">
        <v>9</v>
      </c>
      <c r="AD5735" s="4">
        <v>83</v>
      </c>
      <c r="AE5735" s="4">
        <v>103</v>
      </c>
      <c r="AF5735" s="4">
        <v>0</v>
      </c>
      <c r="AG5735" s="4">
        <v>3</v>
      </c>
      <c r="AH5735" s="4">
        <v>73</v>
      </c>
      <c r="AI5735" s="4">
        <v>82</v>
      </c>
      <c r="AJ5735" s="4">
        <v>13</v>
      </c>
      <c r="AK5735" s="4">
        <v>19</v>
      </c>
      <c r="AL5735" s="4">
        <v>37</v>
      </c>
      <c r="AM5735" s="4">
        <v>43</v>
      </c>
      <c r="AN5735" s="4">
        <v>0</v>
      </c>
      <c r="AO5735" s="4">
        <v>0</v>
      </c>
      <c r="AP5735" s="4">
        <v>19</v>
      </c>
      <c r="AQ5735" s="4">
        <v>29</v>
      </c>
      <c r="AR5735" s="3" t="s">
        <v>62</v>
      </c>
      <c r="AS5735" s="3" t="s">
        <v>62</v>
      </c>
      <c r="AT5735" s="3" t="s">
        <v>62</v>
      </c>
      <c r="AV5735" s="6" t="str">
        <f>HYPERLINK("http://mcgill.on.worldcat.org/oclc/694172197","Catalog Record")</f>
        <v>Catalog Record</v>
      </c>
      <c r="AW5735" s="6" t="str">
        <f>HYPERLINK("http://www.worldcat.org/oclc/694172197","WorldCat Record")</f>
        <v>WorldCat Record</v>
      </c>
      <c r="AX5735" s="3" t="s">
        <v>55129</v>
      </c>
      <c r="AY5735" s="3" t="s">
        <v>55130</v>
      </c>
      <c r="AZ5735" s="3" t="s">
        <v>55131</v>
      </c>
      <c r="BA5735" s="3" t="s">
        <v>55131</v>
      </c>
      <c r="BB5735" s="3" t="s">
        <v>55132</v>
      </c>
      <c r="BC5735" s="3" t="s">
        <v>142</v>
      </c>
      <c r="BD5735" s="3" t="s">
        <v>68</v>
      </c>
      <c r="BE5735" s="3" t="s">
        <v>55133</v>
      </c>
      <c r="BF5735" s="3" t="s">
        <v>55132</v>
      </c>
      <c r="BG5735" s="3" t="s">
        <v>55134</v>
      </c>
    </row>
    <row r="5736" spans="1:59" ht="71.25" x14ac:dyDescent="0.45">
      <c r="A5736" s="2" t="s">
        <v>59</v>
      </c>
      <c r="B5736" s="2" t="s">
        <v>60</v>
      </c>
      <c r="C5736" s="2" t="s">
        <v>55135</v>
      </c>
      <c r="D5736" s="2" t="s">
        <v>55136</v>
      </c>
      <c r="E5736" s="2" t="s">
        <v>55137</v>
      </c>
      <c r="G5736" s="3" t="s">
        <v>62</v>
      </c>
      <c r="I5736" s="3" t="s">
        <v>62</v>
      </c>
      <c r="J5736" s="3" t="s">
        <v>62</v>
      </c>
      <c r="K5736" s="3" t="s">
        <v>63</v>
      </c>
      <c r="L5736" s="2" t="s">
        <v>55138</v>
      </c>
      <c r="M5736" s="2" t="s">
        <v>55139</v>
      </c>
      <c r="N5736" s="3" t="s">
        <v>1478</v>
      </c>
      <c r="P5736" s="3" t="s">
        <v>65</v>
      </c>
      <c r="R5736" s="3" t="s">
        <v>66</v>
      </c>
      <c r="S5736" s="4">
        <v>31</v>
      </c>
      <c r="T5736" s="4">
        <v>31</v>
      </c>
      <c r="U5736" s="5" t="s">
        <v>6968</v>
      </c>
      <c r="V5736" s="5" t="s">
        <v>6968</v>
      </c>
      <c r="W5736" s="5" t="s">
        <v>67</v>
      </c>
      <c r="X5736" s="5" t="s">
        <v>67</v>
      </c>
      <c r="Y5736" s="4">
        <v>308</v>
      </c>
      <c r="Z5736" s="4">
        <v>20</v>
      </c>
      <c r="AA5736" s="4">
        <v>83</v>
      </c>
      <c r="AB5736" s="4">
        <v>1</v>
      </c>
      <c r="AC5736" s="4">
        <v>15</v>
      </c>
      <c r="AD5736" s="4">
        <v>88</v>
      </c>
      <c r="AE5736" s="4">
        <v>134</v>
      </c>
      <c r="AF5736" s="4">
        <v>0</v>
      </c>
      <c r="AG5736" s="4">
        <v>8</v>
      </c>
      <c r="AH5736" s="4">
        <v>74</v>
      </c>
      <c r="AI5736" s="4">
        <v>96</v>
      </c>
      <c r="AJ5736" s="4">
        <v>12</v>
      </c>
      <c r="AK5736" s="4">
        <v>25</v>
      </c>
      <c r="AL5736" s="4">
        <v>41</v>
      </c>
      <c r="AM5736" s="4">
        <v>48</v>
      </c>
      <c r="AN5736" s="4">
        <v>0</v>
      </c>
      <c r="AO5736" s="4">
        <v>0</v>
      </c>
      <c r="AP5736" s="4">
        <v>18</v>
      </c>
      <c r="AQ5736" s="4">
        <v>47</v>
      </c>
      <c r="AR5736" s="3" t="s">
        <v>62</v>
      </c>
      <c r="AS5736" s="3" t="s">
        <v>62</v>
      </c>
      <c r="AT5736" s="3" t="s">
        <v>62</v>
      </c>
      <c r="AV5736" s="6" t="str">
        <f>HYPERLINK("http://mcgill.on.worldcat.org/oclc/33970847","Catalog Record")</f>
        <v>Catalog Record</v>
      </c>
      <c r="AW5736" s="6" t="str">
        <f>HYPERLINK("http://www.worldcat.org/oclc/33970847","WorldCat Record")</f>
        <v>WorldCat Record</v>
      </c>
      <c r="AX5736" s="3" t="s">
        <v>55140</v>
      </c>
      <c r="AY5736" s="3" t="s">
        <v>55141</v>
      </c>
      <c r="AZ5736" s="3" t="s">
        <v>55142</v>
      </c>
      <c r="BA5736" s="3" t="s">
        <v>55142</v>
      </c>
      <c r="BB5736" s="3" t="s">
        <v>55143</v>
      </c>
      <c r="BC5736" s="3" t="s">
        <v>142</v>
      </c>
      <c r="BD5736" s="3" t="s">
        <v>68</v>
      </c>
      <c r="BE5736" s="3" t="s">
        <v>55144</v>
      </c>
      <c r="BF5736" s="3" t="s">
        <v>55143</v>
      </c>
      <c r="BG5736" s="3" t="s">
        <v>55145</v>
      </c>
    </row>
    <row r="5737" spans="1:59" ht="85.5" x14ac:dyDescent="0.45">
      <c r="A5737" s="2" t="s">
        <v>59</v>
      </c>
      <c r="B5737" s="2" t="s">
        <v>5257</v>
      </c>
      <c r="C5737" s="2" t="s">
        <v>55146</v>
      </c>
      <c r="D5737" s="2" t="s">
        <v>55147</v>
      </c>
      <c r="E5737" s="2" t="s">
        <v>55148</v>
      </c>
      <c r="G5737" s="3" t="s">
        <v>62</v>
      </c>
      <c r="I5737" s="3" t="s">
        <v>62</v>
      </c>
      <c r="J5737" s="3" t="s">
        <v>62</v>
      </c>
      <c r="K5737" s="3" t="s">
        <v>63</v>
      </c>
      <c r="L5737" s="2" t="s">
        <v>55149</v>
      </c>
      <c r="M5737" s="2" t="s">
        <v>7688</v>
      </c>
      <c r="N5737" s="3" t="s">
        <v>894</v>
      </c>
      <c r="P5737" s="3" t="s">
        <v>65</v>
      </c>
      <c r="Q5737" s="2" t="s">
        <v>55150</v>
      </c>
      <c r="R5737" s="3" t="s">
        <v>66</v>
      </c>
      <c r="S5737" s="4">
        <v>0</v>
      </c>
      <c r="T5737" s="4">
        <v>0</v>
      </c>
      <c r="W5737" s="5" t="s">
        <v>67</v>
      </c>
      <c r="X5737" s="5" t="s">
        <v>67</v>
      </c>
      <c r="Y5737" s="4">
        <v>60</v>
      </c>
      <c r="Z5737" s="4">
        <v>8</v>
      </c>
      <c r="AA5737" s="4">
        <v>89</v>
      </c>
      <c r="AB5737" s="4">
        <v>1</v>
      </c>
      <c r="AC5737" s="4">
        <v>17</v>
      </c>
      <c r="AD5737" s="4">
        <v>21</v>
      </c>
      <c r="AE5737" s="4">
        <v>108</v>
      </c>
      <c r="AF5737" s="4">
        <v>0</v>
      </c>
      <c r="AG5737" s="4">
        <v>8</v>
      </c>
      <c r="AH5737" s="4">
        <v>21</v>
      </c>
      <c r="AI5737" s="4">
        <v>74</v>
      </c>
      <c r="AJ5737" s="4">
        <v>5</v>
      </c>
      <c r="AK5737" s="4">
        <v>21</v>
      </c>
      <c r="AL5737" s="4">
        <v>10</v>
      </c>
      <c r="AM5737" s="4">
        <v>36</v>
      </c>
      <c r="AN5737" s="4">
        <v>0</v>
      </c>
      <c r="AO5737" s="4">
        <v>0</v>
      </c>
      <c r="AP5737" s="4">
        <v>5</v>
      </c>
      <c r="AQ5737" s="4">
        <v>42</v>
      </c>
      <c r="AR5737" s="3" t="s">
        <v>62</v>
      </c>
      <c r="AS5737" s="3" t="s">
        <v>62</v>
      </c>
      <c r="AT5737" s="3" t="s">
        <v>62</v>
      </c>
      <c r="AV5737" s="6" t="str">
        <f>HYPERLINK("http://mcgill.on.worldcat.org/oclc/672300126","Catalog Record")</f>
        <v>Catalog Record</v>
      </c>
      <c r="AW5737" s="6" t="str">
        <f>HYPERLINK("http://www.worldcat.org/oclc/672300126","WorldCat Record")</f>
        <v>WorldCat Record</v>
      </c>
      <c r="AX5737" s="3" t="s">
        <v>55151</v>
      </c>
      <c r="AY5737" s="3" t="s">
        <v>55152</v>
      </c>
      <c r="AZ5737" s="3" t="s">
        <v>55153</v>
      </c>
      <c r="BA5737" s="3" t="s">
        <v>55153</v>
      </c>
      <c r="BB5737" s="3" t="s">
        <v>55154</v>
      </c>
      <c r="BC5737" s="3" t="s">
        <v>142</v>
      </c>
      <c r="BD5737" s="3" t="s">
        <v>68</v>
      </c>
      <c r="BE5737" s="3" t="s">
        <v>55155</v>
      </c>
      <c r="BF5737" s="3" t="s">
        <v>55154</v>
      </c>
      <c r="BG5737" s="3" t="s">
        <v>55156</v>
      </c>
    </row>
    <row r="5738" spans="1:59" ht="57" x14ac:dyDescent="0.45">
      <c r="A5738" s="2" t="s">
        <v>59</v>
      </c>
      <c r="B5738" s="2" t="s">
        <v>60</v>
      </c>
      <c r="C5738" s="2" t="s">
        <v>55157</v>
      </c>
      <c r="D5738" s="2" t="s">
        <v>55158</v>
      </c>
      <c r="E5738" s="2" t="s">
        <v>55159</v>
      </c>
      <c r="G5738" s="3" t="s">
        <v>62</v>
      </c>
      <c r="I5738" s="3" t="s">
        <v>62</v>
      </c>
      <c r="J5738" s="3" t="s">
        <v>62</v>
      </c>
      <c r="K5738" s="3" t="s">
        <v>63</v>
      </c>
      <c r="L5738" s="2" t="s">
        <v>55138</v>
      </c>
      <c r="M5738" s="2" t="s">
        <v>55160</v>
      </c>
      <c r="N5738" s="3" t="s">
        <v>1097</v>
      </c>
      <c r="P5738" s="3" t="s">
        <v>65</v>
      </c>
      <c r="R5738" s="3" t="s">
        <v>66</v>
      </c>
      <c r="S5738" s="4">
        <v>29</v>
      </c>
      <c r="T5738" s="4">
        <v>29</v>
      </c>
      <c r="U5738" s="5" t="s">
        <v>1570</v>
      </c>
      <c r="V5738" s="5" t="s">
        <v>1570</v>
      </c>
      <c r="W5738" s="5" t="s">
        <v>67</v>
      </c>
      <c r="X5738" s="5" t="s">
        <v>67</v>
      </c>
      <c r="Y5738" s="4">
        <v>220</v>
      </c>
      <c r="Z5738" s="4">
        <v>15</v>
      </c>
      <c r="AA5738" s="4">
        <v>104</v>
      </c>
      <c r="AB5738" s="4">
        <v>1</v>
      </c>
      <c r="AC5738" s="4">
        <v>18</v>
      </c>
      <c r="AD5738" s="4">
        <v>78</v>
      </c>
      <c r="AE5738" s="4">
        <v>144</v>
      </c>
      <c r="AF5738" s="4">
        <v>0</v>
      </c>
      <c r="AG5738" s="4">
        <v>9</v>
      </c>
      <c r="AH5738" s="4">
        <v>73</v>
      </c>
      <c r="AI5738" s="4">
        <v>96</v>
      </c>
      <c r="AJ5738" s="4">
        <v>11</v>
      </c>
      <c r="AK5738" s="4">
        <v>28</v>
      </c>
      <c r="AL5738" s="4">
        <v>42</v>
      </c>
      <c r="AM5738" s="4">
        <v>48</v>
      </c>
      <c r="AN5738" s="4">
        <v>0</v>
      </c>
      <c r="AO5738" s="4">
        <v>0</v>
      </c>
      <c r="AP5738" s="4">
        <v>12</v>
      </c>
      <c r="AQ5738" s="4">
        <v>57</v>
      </c>
      <c r="AR5738" s="3" t="s">
        <v>62</v>
      </c>
      <c r="AS5738" s="3" t="s">
        <v>62</v>
      </c>
      <c r="AT5738" s="3" t="s">
        <v>62</v>
      </c>
      <c r="AV5738" s="6" t="str">
        <f>HYPERLINK("http://mcgill.on.worldcat.org/oclc/51931118","Catalog Record")</f>
        <v>Catalog Record</v>
      </c>
      <c r="AW5738" s="6" t="str">
        <f>HYPERLINK("http://www.worldcat.org/oclc/51931118","WorldCat Record")</f>
        <v>WorldCat Record</v>
      </c>
      <c r="AX5738" s="3" t="s">
        <v>55161</v>
      </c>
      <c r="AY5738" s="3" t="s">
        <v>55162</v>
      </c>
      <c r="AZ5738" s="3" t="s">
        <v>55163</v>
      </c>
      <c r="BA5738" s="3" t="s">
        <v>55163</v>
      </c>
      <c r="BB5738" s="3" t="s">
        <v>55164</v>
      </c>
      <c r="BC5738" s="3" t="s">
        <v>142</v>
      </c>
      <c r="BD5738" s="3" t="s">
        <v>68</v>
      </c>
      <c r="BE5738" s="3" t="s">
        <v>55165</v>
      </c>
      <c r="BF5738" s="3" t="s">
        <v>55164</v>
      </c>
      <c r="BG5738" s="3" t="s">
        <v>55166</v>
      </c>
    </row>
    <row r="5739" spans="1:59" ht="57" x14ac:dyDescent="0.45">
      <c r="A5739" s="2" t="s">
        <v>59</v>
      </c>
      <c r="B5739" s="2" t="s">
        <v>60</v>
      </c>
      <c r="C5739" s="2" t="s">
        <v>55167</v>
      </c>
      <c r="D5739" s="2" t="s">
        <v>55168</v>
      </c>
      <c r="E5739" s="2" t="s">
        <v>55169</v>
      </c>
      <c r="G5739" s="3" t="s">
        <v>62</v>
      </c>
      <c r="I5739" s="3" t="s">
        <v>62</v>
      </c>
      <c r="J5739" s="3" t="s">
        <v>62</v>
      </c>
      <c r="K5739" s="3" t="s">
        <v>63</v>
      </c>
      <c r="L5739" s="2" t="s">
        <v>55170</v>
      </c>
      <c r="M5739" s="2" t="s">
        <v>55171</v>
      </c>
      <c r="N5739" s="3" t="s">
        <v>149</v>
      </c>
      <c r="P5739" s="3" t="s">
        <v>65</v>
      </c>
      <c r="R5739" s="3" t="s">
        <v>66</v>
      </c>
      <c r="S5739" s="4">
        <v>3</v>
      </c>
      <c r="T5739" s="4">
        <v>3</v>
      </c>
      <c r="U5739" s="5" t="s">
        <v>509</v>
      </c>
      <c r="V5739" s="5" t="s">
        <v>509</v>
      </c>
      <c r="W5739" s="5" t="s">
        <v>67</v>
      </c>
      <c r="X5739" s="5" t="s">
        <v>67</v>
      </c>
      <c r="Y5739" s="4">
        <v>145</v>
      </c>
      <c r="Z5739" s="4">
        <v>12</v>
      </c>
      <c r="AA5739" s="4">
        <v>17</v>
      </c>
      <c r="AB5739" s="4">
        <v>1</v>
      </c>
      <c r="AC5739" s="4">
        <v>1</v>
      </c>
      <c r="AD5739" s="4">
        <v>65</v>
      </c>
      <c r="AE5739" s="4">
        <v>71</v>
      </c>
      <c r="AF5739" s="4">
        <v>0</v>
      </c>
      <c r="AG5739" s="4">
        <v>0</v>
      </c>
      <c r="AH5739" s="4">
        <v>63</v>
      </c>
      <c r="AI5739" s="4">
        <v>67</v>
      </c>
      <c r="AJ5739" s="4">
        <v>9</v>
      </c>
      <c r="AK5739" s="4">
        <v>13</v>
      </c>
      <c r="AL5739" s="4">
        <v>36</v>
      </c>
      <c r="AM5739" s="4">
        <v>37</v>
      </c>
      <c r="AN5739" s="4">
        <v>0</v>
      </c>
      <c r="AO5739" s="4">
        <v>0</v>
      </c>
      <c r="AP5739" s="4">
        <v>9</v>
      </c>
      <c r="AQ5739" s="4">
        <v>14</v>
      </c>
      <c r="AR5739" s="3" t="s">
        <v>62</v>
      </c>
      <c r="AS5739" s="3" t="s">
        <v>62</v>
      </c>
      <c r="AT5739" s="3" t="s">
        <v>62</v>
      </c>
      <c r="AV5739" s="6" t="str">
        <f>HYPERLINK("http://mcgill.on.worldcat.org/oclc/653483737","Catalog Record")</f>
        <v>Catalog Record</v>
      </c>
      <c r="AW5739" s="6" t="str">
        <f>HYPERLINK("http://www.worldcat.org/oclc/653483737","WorldCat Record")</f>
        <v>WorldCat Record</v>
      </c>
      <c r="AX5739" s="3" t="s">
        <v>55172</v>
      </c>
      <c r="AY5739" s="3" t="s">
        <v>55173</v>
      </c>
      <c r="AZ5739" s="3" t="s">
        <v>55174</v>
      </c>
      <c r="BA5739" s="3" t="s">
        <v>55174</v>
      </c>
      <c r="BB5739" s="3" t="s">
        <v>55175</v>
      </c>
      <c r="BC5739" s="3" t="s">
        <v>142</v>
      </c>
      <c r="BD5739" s="3" t="s">
        <v>68</v>
      </c>
      <c r="BE5739" s="3" t="s">
        <v>55176</v>
      </c>
      <c r="BF5739" s="3" t="s">
        <v>55175</v>
      </c>
      <c r="BG5739" s="3" t="s">
        <v>55177</v>
      </c>
    </row>
    <row r="5740" spans="1:59" ht="57" x14ac:dyDescent="0.45">
      <c r="A5740" s="2" t="s">
        <v>59</v>
      </c>
      <c r="B5740" s="2" t="s">
        <v>412</v>
      </c>
      <c r="C5740" s="2" t="s">
        <v>55178</v>
      </c>
      <c r="D5740" s="2" t="s">
        <v>55179</v>
      </c>
      <c r="E5740" s="2" t="s">
        <v>55180</v>
      </c>
      <c r="G5740" s="3" t="s">
        <v>62</v>
      </c>
      <c r="I5740" s="3" t="s">
        <v>62</v>
      </c>
      <c r="J5740" s="3" t="s">
        <v>62</v>
      </c>
      <c r="K5740" s="3" t="s">
        <v>63</v>
      </c>
      <c r="L5740" s="2" t="s">
        <v>55181</v>
      </c>
      <c r="M5740" s="2" t="s">
        <v>55182</v>
      </c>
      <c r="N5740" s="3" t="s">
        <v>945</v>
      </c>
      <c r="O5740" s="2" t="s">
        <v>168</v>
      </c>
      <c r="P5740" s="3" t="s">
        <v>65</v>
      </c>
      <c r="R5740" s="3" t="s">
        <v>66</v>
      </c>
      <c r="S5740" s="4">
        <v>7</v>
      </c>
      <c r="T5740" s="4">
        <v>7</v>
      </c>
      <c r="U5740" s="5" t="s">
        <v>32124</v>
      </c>
      <c r="V5740" s="5" t="s">
        <v>32124</v>
      </c>
      <c r="W5740" s="5" t="s">
        <v>67</v>
      </c>
      <c r="X5740" s="5" t="s">
        <v>67</v>
      </c>
      <c r="Y5740" s="4">
        <v>660</v>
      </c>
      <c r="Z5740" s="4">
        <v>33</v>
      </c>
      <c r="AA5740" s="4">
        <v>56</v>
      </c>
      <c r="AB5740" s="4">
        <v>1</v>
      </c>
      <c r="AC5740" s="4">
        <v>7</v>
      </c>
      <c r="AD5740" s="4">
        <v>35</v>
      </c>
      <c r="AE5740" s="4">
        <v>68</v>
      </c>
      <c r="AF5740" s="4">
        <v>0</v>
      </c>
      <c r="AG5740" s="4">
        <v>2</v>
      </c>
      <c r="AH5740" s="4">
        <v>31</v>
      </c>
      <c r="AI5740" s="4">
        <v>59</v>
      </c>
      <c r="AJ5740" s="4">
        <v>4</v>
      </c>
      <c r="AK5740" s="4">
        <v>8</v>
      </c>
      <c r="AL5740" s="4">
        <v>18</v>
      </c>
      <c r="AM5740" s="4">
        <v>32</v>
      </c>
      <c r="AN5740" s="4">
        <v>0</v>
      </c>
      <c r="AO5740" s="4">
        <v>0</v>
      </c>
      <c r="AP5740" s="4">
        <v>4</v>
      </c>
      <c r="AQ5740" s="4">
        <v>11</v>
      </c>
      <c r="AR5740" s="3" t="s">
        <v>62</v>
      </c>
      <c r="AS5740" s="3" t="s">
        <v>62</v>
      </c>
      <c r="AT5740" s="3" t="s">
        <v>62</v>
      </c>
      <c r="AV5740" s="6" t="str">
        <f>HYPERLINK("http://mcgill.on.worldcat.org/oclc/70676534","Catalog Record")</f>
        <v>Catalog Record</v>
      </c>
      <c r="AW5740" s="6" t="str">
        <f>HYPERLINK("http://www.worldcat.org/oclc/70676534","WorldCat Record")</f>
        <v>WorldCat Record</v>
      </c>
      <c r="AX5740" s="3" t="s">
        <v>55183</v>
      </c>
      <c r="AY5740" s="3" t="s">
        <v>55184</v>
      </c>
      <c r="AZ5740" s="3" t="s">
        <v>55185</v>
      </c>
      <c r="BA5740" s="3" t="s">
        <v>55185</v>
      </c>
      <c r="BB5740" s="3" t="s">
        <v>55186</v>
      </c>
      <c r="BC5740" s="3" t="s">
        <v>142</v>
      </c>
      <c r="BD5740" s="3" t="s">
        <v>308</v>
      </c>
      <c r="BE5740" s="3" t="s">
        <v>55187</v>
      </c>
      <c r="BF5740" s="3" t="s">
        <v>55186</v>
      </c>
      <c r="BG5740" s="3" t="s">
        <v>55188</v>
      </c>
    </row>
    <row r="5741" spans="1:59" ht="114" x14ac:dyDescent="0.45">
      <c r="A5741" s="2" t="s">
        <v>59</v>
      </c>
      <c r="B5741" s="2" t="s">
        <v>690</v>
      </c>
      <c r="C5741" s="2" t="s">
        <v>55189</v>
      </c>
      <c r="D5741" s="2" t="s">
        <v>55190</v>
      </c>
      <c r="E5741" s="2" t="s">
        <v>55191</v>
      </c>
      <c r="G5741" s="3" t="s">
        <v>62</v>
      </c>
      <c r="I5741" s="3" t="s">
        <v>62</v>
      </c>
      <c r="J5741" s="3" t="s">
        <v>62</v>
      </c>
      <c r="K5741" s="3" t="s">
        <v>63</v>
      </c>
      <c r="L5741" s="2" t="s">
        <v>55181</v>
      </c>
      <c r="M5741" s="2" t="s">
        <v>55192</v>
      </c>
      <c r="N5741" s="3" t="s">
        <v>820</v>
      </c>
      <c r="O5741" s="2" t="s">
        <v>4916</v>
      </c>
      <c r="P5741" s="3" t="s">
        <v>4917</v>
      </c>
      <c r="R5741" s="3" t="s">
        <v>66</v>
      </c>
      <c r="S5741" s="4">
        <v>9</v>
      </c>
      <c r="T5741" s="4">
        <v>9</v>
      </c>
      <c r="U5741" s="5" t="s">
        <v>55193</v>
      </c>
      <c r="V5741" s="5" t="s">
        <v>55193</v>
      </c>
      <c r="W5741" s="5" t="s">
        <v>67</v>
      </c>
      <c r="X5741" s="5" t="s">
        <v>67</v>
      </c>
      <c r="Y5741" s="4">
        <v>3</v>
      </c>
      <c r="Z5741" s="4">
        <v>1</v>
      </c>
      <c r="AA5741" s="4">
        <v>1</v>
      </c>
      <c r="AB5741" s="4">
        <v>1</v>
      </c>
      <c r="AC5741" s="4">
        <v>1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3" t="s">
        <v>62</v>
      </c>
      <c r="AS5741" s="3" t="s">
        <v>62</v>
      </c>
      <c r="AT5741" s="3" t="s">
        <v>62</v>
      </c>
      <c r="AV5741" s="6" t="str">
        <f>HYPERLINK("http://mcgill.on.worldcat.org/oclc/281797432","Catalog Record")</f>
        <v>Catalog Record</v>
      </c>
      <c r="AW5741" s="6" t="str">
        <f>HYPERLINK("http://www.worldcat.org/oclc/281797432","WorldCat Record")</f>
        <v>WorldCat Record</v>
      </c>
      <c r="AX5741" s="3" t="s">
        <v>55194</v>
      </c>
      <c r="AY5741" s="3" t="s">
        <v>55195</v>
      </c>
      <c r="AZ5741" s="3" t="s">
        <v>55196</v>
      </c>
      <c r="BA5741" s="3" t="s">
        <v>55196</v>
      </c>
      <c r="BB5741" s="3" t="s">
        <v>55197</v>
      </c>
      <c r="BC5741" s="3" t="s">
        <v>142</v>
      </c>
      <c r="BD5741" s="3" t="s">
        <v>308</v>
      </c>
      <c r="BE5741" s="3" t="s">
        <v>55198</v>
      </c>
      <c r="BF5741" s="3" t="s">
        <v>55197</v>
      </c>
      <c r="BG5741" s="3" t="s">
        <v>55199</v>
      </c>
    </row>
    <row r="5742" spans="1:59" ht="57" x14ac:dyDescent="0.45">
      <c r="A5742" s="2" t="s">
        <v>59</v>
      </c>
      <c r="B5742" s="2" t="s">
        <v>60</v>
      </c>
      <c r="C5742" s="2" t="s">
        <v>55200</v>
      </c>
      <c r="D5742" s="2" t="s">
        <v>55201</v>
      </c>
      <c r="E5742" s="2" t="s">
        <v>55202</v>
      </c>
      <c r="G5742" s="3" t="s">
        <v>62</v>
      </c>
      <c r="I5742" s="3" t="s">
        <v>62</v>
      </c>
      <c r="J5742" s="3" t="s">
        <v>62</v>
      </c>
      <c r="K5742" s="3" t="s">
        <v>63</v>
      </c>
      <c r="L5742" s="2" t="s">
        <v>55203</v>
      </c>
      <c r="M5742" s="2" t="s">
        <v>55204</v>
      </c>
      <c r="N5742" s="3" t="s">
        <v>1212</v>
      </c>
      <c r="P5742" s="3" t="s">
        <v>65</v>
      </c>
      <c r="R5742" s="3" t="s">
        <v>66</v>
      </c>
      <c r="S5742" s="4">
        <v>3</v>
      </c>
      <c r="T5742" s="4">
        <v>3</v>
      </c>
      <c r="U5742" s="5" t="s">
        <v>328</v>
      </c>
      <c r="V5742" s="5" t="s">
        <v>328</v>
      </c>
      <c r="W5742" s="5" t="s">
        <v>67</v>
      </c>
      <c r="X5742" s="5" t="s">
        <v>67</v>
      </c>
      <c r="Y5742" s="4">
        <v>328</v>
      </c>
      <c r="Z5742" s="4">
        <v>26</v>
      </c>
      <c r="AA5742" s="4">
        <v>27</v>
      </c>
      <c r="AB5742" s="4">
        <v>3</v>
      </c>
      <c r="AC5742" s="4">
        <v>4</v>
      </c>
      <c r="AD5742" s="4">
        <v>107</v>
      </c>
      <c r="AE5742" s="4">
        <v>108</v>
      </c>
      <c r="AF5742" s="4">
        <v>1</v>
      </c>
      <c r="AG5742" s="4">
        <v>2</v>
      </c>
      <c r="AH5742" s="4">
        <v>94</v>
      </c>
      <c r="AI5742" s="4">
        <v>95</v>
      </c>
      <c r="AJ5742" s="4">
        <v>17</v>
      </c>
      <c r="AK5742" s="4">
        <v>18</v>
      </c>
      <c r="AL5742" s="4">
        <v>52</v>
      </c>
      <c r="AM5742" s="4">
        <v>52</v>
      </c>
      <c r="AN5742" s="4">
        <v>0</v>
      </c>
      <c r="AO5742" s="4">
        <v>0</v>
      </c>
      <c r="AP5742" s="4">
        <v>22</v>
      </c>
      <c r="AQ5742" s="4">
        <v>23</v>
      </c>
      <c r="AR5742" s="3" t="s">
        <v>62</v>
      </c>
      <c r="AS5742" s="3" t="s">
        <v>62</v>
      </c>
      <c r="AT5742" s="3" t="s">
        <v>61</v>
      </c>
      <c r="AU5742" s="6" t="str">
        <f>HYPERLINK("http://catalog.hathitrust.org/Record/004159005","HathiTrust Record")</f>
        <v>HathiTrust Record</v>
      </c>
      <c r="AV5742" s="6" t="str">
        <f>HYPERLINK("http://mcgill.on.worldcat.org/oclc/45590708","Catalog Record")</f>
        <v>Catalog Record</v>
      </c>
      <c r="AW5742" s="6" t="str">
        <f>HYPERLINK("http://www.worldcat.org/oclc/45590708","WorldCat Record")</f>
        <v>WorldCat Record</v>
      </c>
      <c r="AX5742" s="3" t="s">
        <v>55205</v>
      </c>
      <c r="AY5742" s="3" t="s">
        <v>55206</v>
      </c>
      <c r="AZ5742" s="3" t="s">
        <v>55207</v>
      </c>
      <c r="BA5742" s="3" t="s">
        <v>55207</v>
      </c>
      <c r="BB5742" s="3" t="s">
        <v>55208</v>
      </c>
      <c r="BC5742" s="3" t="s">
        <v>142</v>
      </c>
      <c r="BD5742" s="3" t="s">
        <v>68</v>
      </c>
      <c r="BE5742" s="3" t="s">
        <v>55209</v>
      </c>
      <c r="BF5742" s="3" t="s">
        <v>55208</v>
      </c>
      <c r="BG5742" s="3" t="s">
        <v>55210</v>
      </c>
    </row>
    <row r="5743" spans="1:59" ht="57" x14ac:dyDescent="0.45">
      <c r="A5743" s="2" t="s">
        <v>59</v>
      </c>
      <c r="B5743" s="2" t="s">
        <v>60</v>
      </c>
      <c r="C5743" s="2" t="s">
        <v>55211</v>
      </c>
      <c r="D5743" s="2" t="s">
        <v>55212</v>
      </c>
      <c r="E5743" s="2" t="s">
        <v>55213</v>
      </c>
      <c r="G5743" s="3" t="s">
        <v>62</v>
      </c>
      <c r="I5743" s="3" t="s">
        <v>62</v>
      </c>
      <c r="J5743" s="3" t="s">
        <v>62</v>
      </c>
      <c r="K5743" s="3" t="s">
        <v>63</v>
      </c>
      <c r="M5743" s="2" t="s">
        <v>1178</v>
      </c>
      <c r="N5743" s="3" t="s">
        <v>894</v>
      </c>
      <c r="P5743" s="3" t="s">
        <v>65</v>
      </c>
      <c r="R5743" s="3" t="s">
        <v>66</v>
      </c>
      <c r="S5743" s="4">
        <v>0</v>
      </c>
      <c r="T5743" s="4">
        <v>0</v>
      </c>
      <c r="W5743" s="5" t="s">
        <v>67</v>
      </c>
      <c r="X5743" s="5" t="s">
        <v>67</v>
      </c>
      <c r="Y5743" s="4">
        <v>40</v>
      </c>
      <c r="Z5743" s="4">
        <v>4</v>
      </c>
      <c r="AA5743" s="4">
        <v>85</v>
      </c>
      <c r="AB5743" s="4">
        <v>1</v>
      </c>
      <c r="AC5743" s="4">
        <v>17</v>
      </c>
      <c r="AD5743" s="4">
        <v>18</v>
      </c>
      <c r="AE5743" s="4">
        <v>101</v>
      </c>
      <c r="AF5743" s="4">
        <v>0</v>
      </c>
      <c r="AG5743" s="4">
        <v>8</v>
      </c>
      <c r="AH5743" s="4">
        <v>18</v>
      </c>
      <c r="AI5743" s="4">
        <v>67</v>
      </c>
      <c r="AJ5743" s="4">
        <v>2</v>
      </c>
      <c r="AK5743" s="4">
        <v>19</v>
      </c>
      <c r="AL5743" s="4">
        <v>13</v>
      </c>
      <c r="AM5743" s="4">
        <v>34</v>
      </c>
      <c r="AN5743" s="4">
        <v>0</v>
      </c>
      <c r="AO5743" s="4">
        <v>0</v>
      </c>
      <c r="AP5743" s="4">
        <v>2</v>
      </c>
      <c r="AQ5743" s="4">
        <v>40</v>
      </c>
      <c r="AR5743" s="3" t="s">
        <v>62</v>
      </c>
      <c r="AS5743" s="3" t="s">
        <v>62</v>
      </c>
      <c r="AT5743" s="3" t="s">
        <v>62</v>
      </c>
      <c r="AV5743" s="6" t="str">
        <f>HYPERLINK("http://mcgill.on.worldcat.org/oclc/697036800","Catalog Record")</f>
        <v>Catalog Record</v>
      </c>
      <c r="AW5743" s="6" t="str">
        <f>HYPERLINK("http://www.worldcat.org/oclc/697036800","WorldCat Record")</f>
        <v>WorldCat Record</v>
      </c>
      <c r="AX5743" s="3" t="s">
        <v>55214</v>
      </c>
      <c r="AY5743" s="3" t="s">
        <v>55215</v>
      </c>
      <c r="AZ5743" s="3" t="s">
        <v>55216</v>
      </c>
      <c r="BA5743" s="3" t="s">
        <v>55216</v>
      </c>
      <c r="BB5743" s="3" t="s">
        <v>55217</v>
      </c>
      <c r="BC5743" s="3" t="s">
        <v>142</v>
      </c>
      <c r="BD5743" s="3" t="s">
        <v>68</v>
      </c>
      <c r="BE5743" s="3" t="s">
        <v>55218</v>
      </c>
      <c r="BF5743" s="3" t="s">
        <v>55217</v>
      </c>
      <c r="BG5743" s="3" t="s">
        <v>55219</v>
      </c>
    </row>
    <row r="5744" spans="1:59" ht="71.25" x14ac:dyDescent="0.45">
      <c r="A5744" s="2" t="s">
        <v>59</v>
      </c>
      <c r="B5744" s="2" t="s">
        <v>60</v>
      </c>
      <c r="C5744" s="2" t="s">
        <v>55220</v>
      </c>
      <c r="D5744" s="2" t="s">
        <v>55221</v>
      </c>
      <c r="E5744" s="2" t="s">
        <v>55222</v>
      </c>
      <c r="G5744" s="3" t="s">
        <v>62</v>
      </c>
      <c r="I5744" s="3" t="s">
        <v>62</v>
      </c>
      <c r="J5744" s="3" t="s">
        <v>62</v>
      </c>
      <c r="K5744" s="3" t="s">
        <v>63</v>
      </c>
      <c r="L5744" s="2" t="s">
        <v>55223</v>
      </c>
      <c r="M5744" s="2" t="s">
        <v>55224</v>
      </c>
      <c r="N5744" s="3" t="s">
        <v>1097</v>
      </c>
      <c r="P5744" s="3" t="s">
        <v>65</v>
      </c>
      <c r="Q5744" s="2" t="s">
        <v>55225</v>
      </c>
      <c r="R5744" s="3" t="s">
        <v>66</v>
      </c>
      <c r="S5744" s="4">
        <v>29</v>
      </c>
      <c r="T5744" s="4">
        <v>29</v>
      </c>
      <c r="U5744" s="5" t="s">
        <v>137</v>
      </c>
      <c r="V5744" s="5" t="s">
        <v>137</v>
      </c>
      <c r="W5744" s="5" t="s">
        <v>67</v>
      </c>
      <c r="X5744" s="5" t="s">
        <v>67</v>
      </c>
      <c r="Y5744" s="4">
        <v>198</v>
      </c>
      <c r="Z5744" s="4">
        <v>12</v>
      </c>
      <c r="AA5744" s="4">
        <v>117</v>
      </c>
      <c r="AB5744" s="4">
        <v>1</v>
      </c>
      <c r="AC5744" s="4">
        <v>18</v>
      </c>
      <c r="AD5744" s="4">
        <v>88</v>
      </c>
      <c r="AE5744" s="4">
        <v>149</v>
      </c>
      <c r="AF5744" s="4">
        <v>0</v>
      </c>
      <c r="AG5744" s="4">
        <v>8</v>
      </c>
      <c r="AH5744" s="4">
        <v>83</v>
      </c>
      <c r="AI5744" s="4">
        <v>110</v>
      </c>
      <c r="AJ5744" s="4">
        <v>7</v>
      </c>
      <c r="AK5744" s="4">
        <v>27</v>
      </c>
      <c r="AL5744" s="4">
        <v>48</v>
      </c>
      <c r="AM5744" s="4">
        <v>57</v>
      </c>
      <c r="AN5744" s="4">
        <v>0</v>
      </c>
      <c r="AO5744" s="4">
        <v>0</v>
      </c>
      <c r="AP5744" s="4">
        <v>7</v>
      </c>
      <c r="AQ5744" s="4">
        <v>49</v>
      </c>
      <c r="AR5744" s="3" t="s">
        <v>62</v>
      </c>
      <c r="AS5744" s="3" t="s">
        <v>62</v>
      </c>
      <c r="AT5744" s="3" t="s">
        <v>62</v>
      </c>
      <c r="AV5744" s="6" t="str">
        <f>HYPERLINK("http://mcgill.on.worldcat.org/oclc/54685895","Catalog Record")</f>
        <v>Catalog Record</v>
      </c>
      <c r="AW5744" s="6" t="str">
        <f>HYPERLINK("http://www.worldcat.org/oclc/54685895","WorldCat Record")</f>
        <v>WorldCat Record</v>
      </c>
      <c r="AX5744" s="3" t="s">
        <v>55226</v>
      </c>
      <c r="AY5744" s="3" t="s">
        <v>55227</v>
      </c>
      <c r="AZ5744" s="3" t="s">
        <v>55228</v>
      </c>
      <c r="BA5744" s="3" t="s">
        <v>55228</v>
      </c>
      <c r="BB5744" s="3" t="s">
        <v>55229</v>
      </c>
      <c r="BC5744" s="3" t="s">
        <v>142</v>
      </c>
      <c r="BD5744" s="3" t="s">
        <v>308</v>
      </c>
      <c r="BE5744" s="3" t="s">
        <v>55230</v>
      </c>
      <c r="BF5744" s="3" t="s">
        <v>55229</v>
      </c>
      <c r="BG5744" s="3" t="s">
        <v>55231</v>
      </c>
    </row>
    <row r="5745" spans="1:59" ht="57" x14ac:dyDescent="0.45">
      <c r="A5745" s="2" t="s">
        <v>59</v>
      </c>
      <c r="B5745" s="2" t="s">
        <v>60</v>
      </c>
      <c r="C5745" s="2" t="s">
        <v>55232</v>
      </c>
      <c r="D5745" s="2" t="s">
        <v>55233</v>
      </c>
      <c r="E5745" s="2" t="s">
        <v>55234</v>
      </c>
      <c r="G5745" s="3" t="s">
        <v>62</v>
      </c>
      <c r="I5745" s="3" t="s">
        <v>62</v>
      </c>
      <c r="J5745" s="3" t="s">
        <v>62</v>
      </c>
      <c r="K5745" s="3" t="s">
        <v>63</v>
      </c>
      <c r="M5745" s="2" t="s">
        <v>55235</v>
      </c>
      <c r="N5745" s="3" t="s">
        <v>1155</v>
      </c>
      <c r="P5745" s="3" t="s">
        <v>110</v>
      </c>
      <c r="Q5745" s="2" t="s">
        <v>55236</v>
      </c>
      <c r="R5745" s="3" t="s">
        <v>66</v>
      </c>
      <c r="S5745" s="4">
        <v>4</v>
      </c>
      <c r="T5745" s="4">
        <v>4</v>
      </c>
      <c r="U5745" s="5" t="s">
        <v>24377</v>
      </c>
      <c r="V5745" s="5" t="s">
        <v>24377</v>
      </c>
      <c r="W5745" s="5" t="s">
        <v>67</v>
      </c>
      <c r="X5745" s="5" t="s">
        <v>67</v>
      </c>
      <c r="Y5745" s="4">
        <v>1</v>
      </c>
      <c r="Z5745" s="4">
        <v>1</v>
      </c>
      <c r="AA5745" s="4">
        <v>4</v>
      </c>
      <c r="AB5745" s="4">
        <v>1</v>
      </c>
      <c r="AC5745" s="4">
        <v>4</v>
      </c>
      <c r="AD5745" s="4">
        <v>0</v>
      </c>
      <c r="AE5745" s="4">
        <v>2</v>
      </c>
      <c r="AF5745" s="4">
        <v>0</v>
      </c>
      <c r="AG5745" s="4">
        <v>2</v>
      </c>
      <c r="AH5745" s="4">
        <v>0</v>
      </c>
      <c r="AI5745" s="4">
        <v>0</v>
      </c>
      <c r="AJ5745" s="4">
        <v>0</v>
      </c>
      <c r="AK5745" s="4">
        <v>2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1</v>
      </c>
      <c r="AR5745" s="3" t="s">
        <v>61</v>
      </c>
      <c r="AS5745" s="3" t="s">
        <v>62</v>
      </c>
      <c r="AT5745" s="3" t="s">
        <v>62</v>
      </c>
      <c r="AV5745" s="6" t="str">
        <f>HYPERLINK("http://mcgill.on.worldcat.org/oclc/878432776","Catalog Record")</f>
        <v>Catalog Record</v>
      </c>
      <c r="AW5745" s="6" t="str">
        <f>HYPERLINK("http://www.worldcat.org/oclc/878432776","WorldCat Record")</f>
        <v>WorldCat Record</v>
      </c>
      <c r="AX5745" s="3" t="s">
        <v>55237</v>
      </c>
      <c r="AY5745" s="3" t="s">
        <v>55238</v>
      </c>
      <c r="AZ5745" s="3" t="s">
        <v>55239</v>
      </c>
      <c r="BA5745" s="3" t="s">
        <v>55239</v>
      </c>
      <c r="BB5745" s="3" t="s">
        <v>55240</v>
      </c>
      <c r="BC5745" s="3" t="s">
        <v>142</v>
      </c>
      <c r="BD5745" s="3" t="s">
        <v>68</v>
      </c>
      <c r="BF5745" s="3" t="s">
        <v>55240</v>
      </c>
      <c r="BG5745" s="3" t="s">
        <v>55241</v>
      </c>
    </row>
    <row r="5746" spans="1:59" ht="57" x14ac:dyDescent="0.45">
      <c r="A5746" s="2" t="s">
        <v>59</v>
      </c>
      <c r="B5746" s="2" t="s">
        <v>60</v>
      </c>
      <c r="C5746" s="2" t="s">
        <v>55242</v>
      </c>
      <c r="D5746" s="2" t="s">
        <v>55243</v>
      </c>
      <c r="E5746" s="2" t="s">
        <v>55244</v>
      </c>
      <c r="G5746" s="3" t="s">
        <v>62</v>
      </c>
      <c r="I5746" s="3" t="s">
        <v>62</v>
      </c>
      <c r="J5746" s="3" t="s">
        <v>62</v>
      </c>
      <c r="K5746" s="3" t="s">
        <v>63</v>
      </c>
      <c r="M5746" s="2" t="s">
        <v>55245</v>
      </c>
      <c r="N5746" s="3" t="s">
        <v>149</v>
      </c>
      <c r="P5746" s="3" t="s">
        <v>65</v>
      </c>
      <c r="R5746" s="3" t="s">
        <v>66</v>
      </c>
      <c r="S5746" s="4">
        <v>0</v>
      </c>
      <c r="T5746" s="4">
        <v>0</v>
      </c>
      <c r="W5746" s="5" t="s">
        <v>67</v>
      </c>
      <c r="X5746" s="5" t="s">
        <v>67</v>
      </c>
      <c r="Y5746" s="4">
        <v>277</v>
      </c>
      <c r="Z5746" s="4">
        <v>15</v>
      </c>
      <c r="AA5746" s="4">
        <v>30</v>
      </c>
      <c r="AB5746" s="4">
        <v>2</v>
      </c>
      <c r="AC5746" s="4">
        <v>3</v>
      </c>
      <c r="AD5746" s="4">
        <v>81</v>
      </c>
      <c r="AE5746" s="4">
        <v>104</v>
      </c>
      <c r="AF5746" s="4">
        <v>1</v>
      </c>
      <c r="AG5746" s="4">
        <v>1</v>
      </c>
      <c r="AH5746" s="4">
        <v>74</v>
      </c>
      <c r="AI5746" s="4">
        <v>90</v>
      </c>
      <c r="AJ5746" s="4">
        <v>11</v>
      </c>
      <c r="AK5746" s="4">
        <v>15</v>
      </c>
      <c r="AL5746" s="4">
        <v>40</v>
      </c>
      <c r="AM5746" s="4">
        <v>49</v>
      </c>
      <c r="AN5746" s="4">
        <v>0</v>
      </c>
      <c r="AO5746" s="4">
        <v>0</v>
      </c>
      <c r="AP5746" s="4">
        <v>12</v>
      </c>
      <c r="AQ5746" s="4">
        <v>21</v>
      </c>
      <c r="AR5746" s="3" t="s">
        <v>62</v>
      </c>
      <c r="AS5746" s="3" t="s">
        <v>62</v>
      </c>
      <c r="AT5746" s="3" t="s">
        <v>62</v>
      </c>
      <c r="AV5746" s="6" t="str">
        <f>HYPERLINK("http://mcgill.on.worldcat.org/oclc/314113475","Catalog Record")</f>
        <v>Catalog Record</v>
      </c>
      <c r="AW5746" s="6" t="str">
        <f>HYPERLINK("http://www.worldcat.org/oclc/314113475","WorldCat Record")</f>
        <v>WorldCat Record</v>
      </c>
      <c r="AX5746" s="3" t="s">
        <v>55246</v>
      </c>
      <c r="AY5746" s="3" t="s">
        <v>55247</v>
      </c>
      <c r="AZ5746" s="3" t="s">
        <v>55248</v>
      </c>
      <c r="BA5746" s="3" t="s">
        <v>55248</v>
      </c>
      <c r="BB5746" s="3" t="s">
        <v>55249</v>
      </c>
      <c r="BC5746" s="3" t="s">
        <v>142</v>
      </c>
      <c r="BD5746" s="3" t="s">
        <v>68</v>
      </c>
      <c r="BE5746" s="3" t="s">
        <v>55250</v>
      </c>
      <c r="BF5746" s="3" t="s">
        <v>55249</v>
      </c>
      <c r="BG5746" s="3" t="s">
        <v>55251</v>
      </c>
    </row>
    <row r="5747" spans="1:59" ht="57" x14ac:dyDescent="0.45">
      <c r="A5747" s="2" t="s">
        <v>59</v>
      </c>
      <c r="B5747" s="2" t="s">
        <v>60</v>
      </c>
      <c r="C5747" s="2" t="s">
        <v>55252</v>
      </c>
      <c r="D5747" s="2" t="s">
        <v>55253</v>
      </c>
      <c r="E5747" s="2" t="s">
        <v>55254</v>
      </c>
      <c r="G5747" s="3" t="s">
        <v>62</v>
      </c>
      <c r="I5747" s="3" t="s">
        <v>62</v>
      </c>
      <c r="J5747" s="3" t="s">
        <v>62</v>
      </c>
      <c r="K5747" s="3" t="s">
        <v>63</v>
      </c>
      <c r="M5747" s="2" t="s">
        <v>23150</v>
      </c>
      <c r="N5747" s="3" t="s">
        <v>1212</v>
      </c>
      <c r="P5747" s="3" t="s">
        <v>65</v>
      </c>
      <c r="R5747" s="3" t="s">
        <v>66</v>
      </c>
      <c r="S5747" s="4">
        <v>13</v>
      </c>
      <c r="T5747" s="4">
        <v>13</v>
      </c>
      <c r="U5747" s="5" t="s">
        <v>2226</v>
      </c>
      <c r="V5747" s="5" t="s">
        <v>2226</v>
      </c>
      <c r="W5747" s="5" t="s">
        <v>67</v>
      </c>
      <c r="X5747" s="5" t="s">
        <v>67</v>
      </c>
      <c r="Y5747" s="4">
        <v>480</v>
      </c>
      <c r="Z5747" s="4">
        <v>22</v>
      </c>
      <c r="AA5747" s="4">
        <v>24</v>
      </c>
      <c r="AB5747" s="4">
        <v>2</v>
      </c>
      <c r="AC5747" s="4">
        <v>4</v>
      </c>
      <c r="AD5747" s="4">
        <v>111</v>
      </c>
      <c r="AE5747" s="4">
        <v>113</v>
      </c>
      <c r="AF5747" s="4">
        <v>1</v>
      </c>
      <c r="AG5747" s="4">
        <v>3</v>
      </c>
      <c r="AH5747" s="4">
        <v>99</v>
      </c>
      <c r="AI5747" s="4">
        <v>100</v>
      </c>
      <c r="AJ5747" s="4">
        <v>14</v>
      </c>
      <c r="AK5747" s="4">
        <v>15</v>
      </c>
      <c r="AL5747" s="4">
        <v>56</v>
      </c>
      <c r="AM5747" s="4">
        <v>56</v>
      </c>
      <c r="AN5747" s="4">
        <v>0</v>
      </c>
      <c r="AO5747" s="4">
        <v>0</v>
      </c>
      <c r="AP5747" s="4">
        <v>18</v>
      </c>
      <c r="AQ5747" s="4">
        <v>20</v>
      </c>
      <c r="AR5747" s="3" t="s">
        <v>62</v>
      </c>
      <c r="AS5747" s="3" t="s">
        <v>62</v>
      </c>
      <c r="AT5747" s="3" t="s">
        <v>61</v>
      </c>
      <c r="AU5747" s="6" t="str">
        <f>HYPERLINK("http://catalog.hathitrust.org/Record/004102362","HathiTrust Record")</f>
        <v>HathiTrust Record</v>
      </c>
      <c r="AV5747" s="6" t="str">
        <f>HYPERLINK("http://mcgill.on.worldcat.org/oclc/41612490","Catalog Record")</f>
        <v>Catalog Record</v>
      </c>
      <c r="AW5747" s="6" t="str">
        <f>HYPERLINK("http://www.worldcat.org/oclc/41612490","WorldCat Record")</f>
        <v>WorldCat Record</v>
      </c>
      <c r="AX5747" s="3" t="s">
        <v>55255</v>
      </c>
      <c r="AY5747" s="3" t="s">
        <v>55256</v>
      </c>
      <c r="AZ5747" s="3" t="s">
        <v>55257</v>
      </c>
      <c r="BA5747" s="3" t="s">
        <v>55257</v>
      </c>
      <c r="BB5747" s="3" t="s">
        <v>55258</v>
      </c>
      <c r="BC5747" s="3" t="s">
        <v>142</v>
      </c>
      <c r="BD5747" s="3" t="s">
        <v>68</v>
      </c>
      <c r="BE5747" s="3" t="s">
        <v>55259</v>
      </c>
      <c r="BF5747" s="3" t="s">
        <v>55258</v>
      </c>
      <c r="BG5747" s="3" t="s">
        <v>55260</v>
      </c>
    </row>
    <row r="5748" spans="1:59" ht="57" x14ac:dyDescent="0.45">
      <c r="A5748" s="2" t="s">
        <v>59</v>
      </c>
      <c r="B5748" s="2" t="s">
        <v>60</v>
      </c>
      <c r="C5748" s="2" t="s">
        <v>55261</v>
      </c>
      <c r="D5748" s="2" t="s">
        <v>55262</v>
      </c>
      <c r="E5748" s="2" t="s">
        <v>55263</v>
      </c>
      <c r="G5748" s="3" t="s">
        <v>62</v>
      </c>
      <c r="I5748" s="3" t="s">
        <v>62</v>
      </c>
      <c r="J5748" s="3" t="s">
        <v>62</v>
      </c>
      <c r="K5748" s="3" t="s">
        <v>63</v>
      </c>
      <c r="L5748" s="2" t="s">
        <v>55264</v>
      </c>
      <c r="M5748" s="2" t="s">
        <v>5713</v>
      </c>
      <c r="N5748" s="3" t="s">
        <v>208</v>
      </c>
      <c r="P5748" s="3" t="s">
        <v>110</v>
      </c>
      <c r="Q5748" s="2" t="s">
        <v>55265</v>
      </c>
      <c r="R5748" s="3" t="s">
        <v>66</v>
      </c>
      <c r="S5748" s="4">
        <v>0</v>
      </c>
      <c r="T5748" s="4">
        <v>0</v>
      </c>
      <c r="W5748" s="5" t="s">
        <v>67</v>
      </c>
      <c r="X5748" s="5" t="s">
        <v>67</v>
      </c>
      <c r="Y5748" s="4">
        <v>16</v>
      </c>
      <c r="Z5748" s="4">
        <v>4</v>
      </c>
      <c r="AA5748" s="4">
        <v>6</v>
      </c>
      <c r="AB5748" s="4">
        <v>1</v>
      </c>
      <c r="AC5748" s="4">
        <v>2</v>
      </c>
      <c r="AD5748" s="4">
        <v>9</v>
      </c>
      <c r="AE5748" s="4">
        <v>12</v>
      </c>
      <c r="AF5748" s="4">
        <v>0</v>
      </c>
      <c r="AG5748" s="4">
        <v>1</v>
      </c>
      <c r="AH5748" s="4">
        <v>8</v>
      </c>
      <c r="AI5748" s="4">
        <v>10</v>
      </c>
      <c r="AJ5748" s="4">
        <v>2</v>
      </c>
      <c r="AK5748" s="4">
        <v>4</v>
      </c>
      <c r="AL5748" s="4">
        <v>7</v>
      </c>
      <c r="AM5748" s="4">
        <v>7</v>
      </c>
      <c r="AN5748" s="4">
        <v>0</v>
      </c>
      <c r="AO5748" s="4">
        <v>0</v>
      </c>
      <c r="AP5748" s="4">
        <v>2</v>
      </c>
      <c r="AQ5748" s="4">
        <v>4</v>
      </c>
      <c r="AR5748" s="3" t="s">
        <v>62</v>
      </c>
      <c r="AS5748" s="3" t="s">
        <v>62</v>
      </c>
      <c r="AT5748" s="3" t="s">
        <v>62</v>
      </c>
      <c r="AV5748" s="6" t="str">
        <f>HYPERLINK("http://mcgill.on.worldcat.org/oclc/946288244","Catalog Record")</f>
        <v>Catalog Record</v>
      </c>
      <c r="AW5748" s="6" t="str">
        <f>HYPERLINK("http://www.worldcat.org/oclc/946288244","WorldCat Record")</f>
        <v>WorldCat Record</v>
      </c>
      <c r="AX5748" s="3" t="s">
        <v>55266</v>
      </c>
      <c r="AY5748" s="3" t="s">
        <v>55267</v>
      </c>
      <c r="AZ5748" s="3" t="s">
        <v>55268</v>
      </c>
      <c r="BA5748" s="3" t="s">
        <v>55268</v>
      </c>
      <c r="BB5748" s="3" t="s">
        <v>55269</v>
      </c>
      <c r="BC5748" s="3" t="s">
        <v>142</v>
      </c>
      <c r="BD5748" s="3" t="s">
        <v>68</v>
      </c>
      <c r="BE5748" s="3" t="s">
        <v>55270</v>
      </c>
      <c r="BF5748" s="3" t="s">
        <v>55269</v>
      </c>
      <c r="BG5748" s="3" t="s">
        <v>55271</v>
      </c>
    </row>
    <row r="5749" spans="1:59" ht="57" x14ac:dyDescent="0.45">
      <c r="A5749" s="2" t="s">
        <v>59</v>
      </c>
      <c r="B5749" s="2" t="s">
        <v>60</v>
      </c>
      <c r="C5749" s="2" t="s">
        <v>55272</v>
      </c>
      <c r="D5749" s="2" t="s">
        <v>55273</v>
      </c>
      <c r="E5749" s="2" t="s">
        <v>55274</v>
      </c>
      <c r="G5749" s="3" t="s">
        <v>62</v>
      </c>
      <c r="I5749" s="3" t="s">
        <v>62</v>
      </c>
      <c r="J5749" s="3" t="s">
        <v>62</v>
      </c>
      <c r="K5749" s="3" t="s">
        <v>63</v>
      </c>
      <c r="M5749" s="2" t="s">
        <v>55275</v>
      </c>
      <c r="N5749" s="3" t="s">
        <v>149</v>
      </c>
      <c r="P5749" s="3" t="s">
        <v>65</v>
      </c>
      <c r="Q5749" s="2" t="s">
        <v>8923</v>
      </c>
      <c r="R5749" s="3" t="s">
        <v>66</v>
      </c>
      <c r="S5749" s="4">
        <v>0</v>
      </c>
      <c r="T5749" s="4">
        <v>0</v>
      </c>
      <c r="W5749" s="5" t="s">
        <v>67</v>
      </c>
      <c r="X5749" s="5" t="s">
        <v>67</v>
      </c>
      <c r="Y5749" s="4">
        <v>269</v>
      </c>
      <c r="Z5749" s="4">
        <v>19</v>
      </c>
      <c r="AA5749" s="4">
        <v>97</v>
      </c>
      <c r="AB5749" s="4">
        <v>2</v>
      </c>
      <c r="AC5749" s="4">
        <v>17</v>
      </c>
      <c r="AD5749" s="4">
        <v>83</v>
      </c>
      <c r="AE5749" s="4">
        <v>139</v>
      </c>
      <c r="AF5749" s="4">
        <v>1</v>
      </c>
      <c r="AG5749" s="4">
        <v>8</v>
      </c>
      <c r="AH5749" s="4">
        <v>73</v>
      </c>
      <c r="AI5749" s="4">
        <v>99</v>
      </c>
      <c r="AJ5749" s="4">
        <v>12</v>
      </c>
      <c r="AK5749" s="4">
        <v>24</v>
      </c>
      <c r="AL5749" s="4">
        <v>38</v>
      </c>
      <c r="AM5749" s="4">
        <v>49</v>
      </c>
      <c r="AN5749" s="4">
        <v>0</v>
      </c>
      <c r="AO5749" s="4">
        <v>0</v>
      </c>
      <c r="AP5749" s="4">
        <v>16</v>
      </c>
      <c r="AQ5749" s="4">
        <v>49</v>
      </c>
      <c r="AR5749" s="3" t="s">
        <v>62</v>
      </c>
      <c r="AS5749" s="3" t="s">
        <v>62</v>
      </c>
      <c r="AT5749" s="3" t="s">
        <v>62</v>
      </c>
      <c r="AV5749" s="6" t="str">
        <f>HYPERLINK("http://mcgill.on.worldcat.org/oclc/606235146","Catalog Record")</f>
        <v>Catalog Record</v>
      </c>
      <c r="AW5749" s="6" t="str">
        <f>HYPERLINK("http://www.worldcat.org/oclc/606235146","WorldCat Record")</f>
        <v>WorldCat Record</v>
      </c>
      <c r="AX5749" s="3" t="s">
        <v>55276</v>
      </c>
      <c r="AY5749" s="3" t="s">
        <v>55277</v>
      </c>
      <c r="AZ5749" s="3" t="s">
        <v>55278</v>
      </c>
      <c r="BA5749" s="3" t="s">
        <v>55278</v>
      </c>
      <c r="BB5749" s="3" t="s">
        <v>55279</v>
      </c>
      <c r="BC5749" s="3" t="s">
        <v>142</v>
      </c>
      <c r="BD5749" s="3" t="s">
        <v>68</v>
      </c>
      <c r="BE5749" s="3" t="s">
        <v>55280</v>
      </c>
      <c r="BF5749" s="3" t="s">
        <v>55279</v>
      </c>
      <c r="BG5749" s="3" t="s">
        <v>55281</v>
      </c>
    </row>
    <row r="5750" spans="1:59" ht="71.25" x14ac:dyDescent="0.45">
      <c r="A5750" s="2" t="s">
        <v>59</v>
      </c>
      <c r="B5750" s="2" t="s">
        <v>60</v>
      </c>
      <c r="C5750" s="2" t="s">
        <v>55282</v>
      </c>
      <c r="D5750" s="2" t="s">
        <v>55283</v>
      </c>
      <c r="E5750" s="2" t="s">
        <v>55284</v>
      </c>
      <c r="G5750" s="3" t="s">
        <v>62</v>
      </c>
      <c r="I5750" s="3" t="s">
        <v>62</v>
      </c>
      <c r="J5750" s="3" t="s">
        <v>62</v>
      </c>
      <c r="K5750" s="3" t="s">
        <v>63</v>
      </c>
      <c r="L5750" s="2" t="s">
        <v>55285</v>
      </c>
      <c r="M5750" s="2" t="s">
        <v>55286</v>
      </c>
      <c r="N5750" s="3" t="s">
        <v>1097</v>
      </c>
      <c r="P5750" s="3" t="s">
        <v>65</v>
      </c>
      <c r="R5750" s="3" t="s">
        <v>66</v>
      </c>
      <c r="S5750" s="4">
        <v>8</v>
      </c>
      <c r="T5750" s="4">
        <v>8</v>
      </c>
      <c r="U5750" s="5" t="s">
        <v>5204</v>
      </c>
      <c r="V5750" s="5" t="s">
        <v>5204</v>
      </c>
      <c r="W5750" s="5" t="s">
        <v>67</v>
      </c>
      <c r="X5750" s="5" t="s">
        <v>67</v>
      </c>
      <c r="Y5750" s="4">
        <v>82</v>
      </c>
      <c r="Z5750" s="4">
        <v>9</v>
      </c>
      <c r="AA5750" s="4">
        <v>75</v>
      </c>
      <c r="AB5750" s="4">
        <v>2</v>
      </c>
      <c r="AC5750" s="4">
        <v>15</v>
      </c>
      <c r="AD5750" s="4">
        <v>28</v>
      </c>
      <c r="AE5750" s="4">
        <v>125</v>
      </c>
      <c r="AF5750" s="4">
        <v>1</v>
      </c>
      <c r="AG5750" s="4">
        <v>8</v>
      </c>
      <c r="AH5750" s="4">
        <v>25</v>
      </c>
      <c r="AI5750" s="4">
        <v>92</v>
      </c>
      <c r="AJ5750" s="4">
        <v>6</v>
      </c>
      <c r="AK5750" s="4">
        <v>21</v>
      </c>
      <c r="AL5750" s="4">
        <v>13</v>
      </c>
      <c r="AM5750" s="4">
        <v>48</v>
      </c>
      <c r="AN5750" s="4">
        <v>0</v>
      </c>
      <c r="AO5750" s="4">
        <v>0</v>
      </c>
      <c r="AP5750" s="4">
        <v>7</v>
      </c>
      <c r="AQ5750" s="4">
        <v>39</v>
      </c>
      <c r="AR5750" s="3" t="s">
        <v>62</v>
      </c>
      <c r="AS5750" s="3" t="s">
        <v>62</v>
      </c>
      <c r="AT5750" s="3" t="s">
        <v>62</v>
      </c>
      <c r="AV5750" s="6" t="str">
        <f>HYPERLINK("http://mcgill.on.worldcat.org/oclc/53922259","Catalog Record")</f>
        <v>Catalog Record</v>
      </c>
      <c r="AW5750" s="6" t="str">
        <f>HYPERLINK("http://www.worldcat.org/oclc/53922259","WorldCat Record")</f>
        <v>WorldCat Record</v>
      </c>
      <c r="AX5750" s="3" t="s">
        <v>55287</v>
      </c>
      <c r="AY5750" s="3" t="s">
        <v>55288</v>
      </c>
      <c r="AZ5750" s="3" t="s">
        <v>55289</v>
      </c>
      <c r="BA5750" s="3" t="s">
        <v>55289</v>
      </c>
      <c r="BB5750" s="3" t="s">
        <v>55290</v>
      </c>
      <c r="BC5750" s="3" t="s">
        <v>142</v>
      </c>
      <c r="BD5750" s="3" t="s">
        <v>68</v>
      </c>
      <c r="BE5750" s="3" t="s">
        <v>55291</v>
      </c>
      <c r="BF5750" s="3" t="s">
        <v>55290</v>
      </c>
      <c r="BG5750" s="3" t="s">
        <v>55292</v>
      </c>
    </row>
    <row r="5751" spans="1:59" ht="57" x14ac:dyDescent="0.45">
      <c r="A5751" s="2" t="s">
        <v>59</v>
      </c>
      <c r="B5751" s="2" t="s">
        <v>60</v>
      </c>
      <c r="C5751" s="2" t="s">
        <v>55293</v>
      </c>
      <c r="D5751" s="2" t="s">
        <v>55294</v>
      </c>
      <c r="E5751" s="2" t="s">
        <v>55295</v>
      </c>
      <c r="G5751" s="3" t="s">
        <v>62</v>
      </c>
      <c r="I5751" s="3" t="s">
        <v>62</v>
      </c>
      <c r="J5751" s="3" t="s">
        <v>62</v>
      </c>
      <c r="K5751" s="3" t="s">
        <v>63</v>
      </c>
      <c r="L5751" s="2" t="s">
        <v>55296</v>
      </c>
      <c r="M5751" s="2" t="s">
        <v>55297</v>
      </c>
      <c r="N5751" s="3" t="s">
        <v>1155</v>
      </c>
      <c r="P5751" s="3" t="s">
        <v>65</v>
      </c>
      <c r="Q5751" s="2" t="s">
        <v>54732</v>
      </c>
      <c r="R5751" s="3" t="s">
        <v>66</v>
      </c>
      <c r="S5751" s="4">
        <v>1</v>
      </c>
      <c r="T5751" s="4">
        <v>1</v>
      </c>
      <c r="U5751" s="5" t="s">
        <v>45859</v>
      </c>
      <c r="V5751" s="5" t="s">
        <v>45859</v>
      </c>
      <c r="W5751" s="5" t="s">
        <v>67</v>
      </c>
      <c r="X5751" s="5" t="s">
        <v>67</v>
      </c>
      <c r="Y5751" s="4">
        <v>204</v>
      </c>
      <c r="Z5751" s="4">
        <v>19</v>
      </c>
      <c r="AA5751" s="4">
        <v>85</v>
      </c>
      <c r="AB5751" s="4">
        <v>1</v>
      </c>
      <c r="AC5751" s="4">
        <v>15</v>
      </c>
      <c r="AD5751" s="4">
        <v>79</v>
      </c>
      <c r="AE5751" s="4">
        <v>132</v>
      </c>
      <c r="AF5751" s="4">
        <v>0</v>
      </c>
      <c r="AG5751" s="4">
        <v>8</v>
      </c>
      <c r="AH5751" s="4">
        <v>74</v>
      </c>
      <c r="AI5751" s="4">
        <v>97</v>
      </c>
      <c r="AJ5751" s="4">
        <v>12</v>
      </c>
      <c r="AK5751" s="4">
        <v>23</v>
      </c>
      <c r="AL5751" s="4">
        <v>41</v>
      </c>
      <c r="AM5751" s="4">
        <v>51</v>
      </c>
      <c r="AN5751" s="4">
        <v>0</v>
      </c>
      <c r="AO5751" s="4">
        <v>0</v>
      </c>
      <c r="AP5751" s="4">
        <v>14</v>
      </c>
      <c r="AQ5751" s="4">
        <v>44</v>
      </c>
      <c r="AR5751" s="3" t="s">
        <v>62</v>
      </c>
      <c r="AS5751" s="3" t="s">
        <v>62</v>
      </c>
      <c r="AT5751" s="3" t="s">
        <v>62</v>
      </c>
      <c r="AV5751" s="6" t="str">
        <f>HYPERLINK("http://mcgill.on.worldcat.org/oclc/778857633","Catalog Record")</f>
        <v>Catalog Record</v>
      </c>
      <c r="AW5751" s="6" t="str">
        <f>HYPERLINK("http://www.worldcat.org/oclc/778857633","WorldCat Record")</f>
        <v>WorldCat Record</v>
      </c>
      <c r="AX5751" s="3" t="s">
        <v>55298</v>
      </c>
      <c r="AY5751" s="3" t="s">
        <v>55299</v>
      </c>
      <c r="AZ5751" s="3" t="s">
        <v>55300</v>
      </c>
      <c r="BA5751" s="3" t="s">
        <v>55300</v>
      </c>
      <c r="BB5751" s="3" t="s">
        <v>55301</v>
      </c>
      <c r="BC5751" s="3" t="s">
        <v>142</v>
      </c>
      <c r="BD5751" s="3" t="s">
        <v>68</v>
      </c>
      <c r="BE5751" s="3" t="s">
        <v>55302</v>
      </c>
      <c r="BF5751" s="3" t="s">
        <v>55301</v>
      </c>
      <c r="BG5751" s="3" t="s">
        <v>55303</v>
      </c>
    </row>
    <row r="5752" spans="1:59" ht="57" x14ac:dyDescent="0.45">
      <c r="A5752" s="2" t="s">
        <v>59</v>
      </c>
      <c r="B5752" s="2" t="s">
        <v>60</v>
      </c>
      <c r="C5752" s="2" t="s">
        <v>55304</v>
      </c>
      <c r="D5752" s="2" t="s">
        <v>55305</v>
      </c>
      <c r="E5752" s="2" t="s">
        <v>55306</v>
      </c>
      <c r="G5752" s="3" t="s">
        <v>62</v>
      </c>
      <c r="I5752" s="3" t="s">
        <v>62</v>
      </c>
      <c r="J5752" s="3" t="s">
        <v>62</v>
      </c>
      <c r="K5752" s="3" t="s">
        <v>63</v>
      </c>
      <c r="L5752" s="2" t="s">
        <v>55307</v>
      </c>
      <c r="M5752" s="2" t="s">
        <v>8202</v>
      </c>
      <c r="N5752" s="3" t="s">
        <v>1688</v>
      </c>
      <c r="P5752" s="3" t="s">
        <v>65</v>
      </c>
      <c r="Q5752" s="2" t="s">
        <v>55308</v>
      </c>
      <c r="R5752" s="3" t="s">
        <v>66</v>
      </c>
      <c r="S5752" s="4">
        <v>1</v>
      </c>
      <c r="T5752" s="4">
        <v>1</v>
      </c>
      <c r="U5752" s="5" t="s">
        <v>15716</v>
      </c>
      <c r="V5752" s="5" t="s">
        <v>15716</v>
      </c>
      <c r="W5752" s="5" t="s">
        <v>67</v>
      </c>
      <c r="X5752" s="5" t="s">
        <v>67</v>
      </c>
      <c r="Y5752" s="4">
        <v>47</v>
      </c>
      <c r="Z5752" s="4">
        <v>8</v>
      </c>
      <c r="AA5752" s="4">
        <v>83</v>
      </c>
      <c r="AB5752" s="4">
        <v>1</v>
      </c>
      <c r="AC5752" s="4">
        <v>14</v>
      </c>
      <c r="AD5752" s="4">
        <v>20</v>
      </c>
      <c r="AE5752" s="4">
        <v>104</v>
      </c>
      <c r="AF5752" s="4">
        <v>0</v>
      </c>
      <c r="AG5752" s="4">
        <v>8</v>
      </c>
      <c r="AH5752" s="4">
        <v>17</v>
      </c>
      <c r="AI5752" s="4">
        <v>71</v>
      </c>
      <c r="AJ5752" s="4">
        <v>4</v>
      </c>
      <c r="AK5752" s="4">
        <v>22</v>
      </c>
      <c r="AL5752" s="4">
        <v>11</v>
      </c>
      <c r="AM5752" s="4">
        <v>38</v>
      </c>
      <c r="AN5752" s="4">
        <v>0</v>
      </c>
      <c r="AO5752" s="4">
        <v>0</v>
      </c>
      <c r="AP5752" s="4">
        <v>5</v>
      </c>
      <c r="AQ5752" s="4">
        <v>40</v>
      </c>
      <c r="AR5752" s="3" t="s">
        <v>62</v>
      </c>
      <c r="AS5752" s="3" t="s">
        <v>62</v>
      </c>
      <c r="AT5752" s="3" t="s">
        <v>62</v>
      </c>
      <c r="AV5752" s="6" t="str">
        <f>HYPERLINK("http://mcgill.on.worldcat.org/oclc/869904635","Catalog Record")</f>
        <v>Catalog Record</v>
      </c>
      <c r="AW5752" s="6" t="str">
        <f>HYPERLINK("http://www.worldcat.org/oclc/869904635","WorldCat Record")</f>
        <v>WorldCat Record</v>
      </c>
      <c r="AX5752" s="3" t="s">
        <v>55309</v>
      </c>
      <c r="AY5752" s="3" t="s">
        <v>55310</v>
      </c>
      <c r="AZ5752" s="3" t="s">
        <v>55311</v>
      </c>
      <c r="BA5752" s="3" t="s">
        <v>55311</v>
      </c>
      <c r="BB5752" s="3" t="s">
        <v>55312</v>
      </c>
      <c r="BC5752" s="3" t="s">
        <v>142</v>
      </c>
      <c r="BD5752" s="3" t="s">
        <v>68</v>
      </c>
      <c r="BE5752" s="3" t="s">
        <v>55313</v>
      </c>
      <c r="BF5752" s="3" t="s">
        <v>55312</v>
      </c>
      <c r="BG5752" s="3" t="s">
        <v>55314</v>
      </c>
    </row>
    <row r="5753" spans="1:59" ht="57" x14ac:dyDescent="0.45">
      <c r="A5753" s="2" t="s">
        <v>59</v>
      </c>
      <c r="B5753" s="2" t="s">
        <v>60</v>
      </c>
      <c r="C5753" s="2" t="s">
        <v>55315</v>
      </c>
      <c r="D5753" s="2" t="s">
        <v>55316</v>
      </c>
      <c r="E5753" s="2" t="s">
        <v>55317</v>
      </c>
      <c r="G5753" s="3" t="s">
        <v>62</v>
      </c>
      <c r="I5753" s="3" t="s">
        <v>62</v>
      </c>
      <c r="J5753" s="3" t="s">
        <v>62</v>
      </c>
      <c r="K5753" s="3" t="s">
        <v>63</v>
      </c>
      <c r="L5753" s="2" t="s">
        <v>52897</v>
      </c>
      <c r="M5753" s="2" t="s">
        <v>1713</v>
      </c>
      <c r="N5753" s="3" t="s">
        <v>1155</v>
      </c>
      <c r="P5753" s="3" t="s">
        <v>65</v>
      </c>
      <c r="R5753" s="3" t="s">
        <v>66</v>
      </c>
      <c r="S5753" s="4">
        <v>3</v>
      </c>
      <c r="T5753" s="4">
        <v>3</v>
      </c>
      <c r="U5753" s="5" t="s">
        <v>16481</v>
      </c>
      <c r="V5753" s="5" t="s">
        <v>16481</v>
      </c>
      <c r="W5753" s="5" t="s">
        <v>67</v>
      </c>
      <c r="X5753" s="5" t="s">
        <v>67</v>
      </c>
      <c r="Y5753" s="4">
        <v>174</v>
      </c>
      <c r="Z5753" s="4">
        <v>19</v>
      </c>
      <c r="AA5753" s="4">
        <v>104</v>
      </c>
      <c r="AB5753" s="4">
        <v>1</v>
      </c>
      <c r="AC5753" s="4">
        <v>14</v>
      </c>
      <c r="AD5753" s="4">
        <v>67</v>
      </c>
      <c r="AE5753" s="4">
        <v>119</v>
      </c>
      <c r="AF5753" s="4">
        <v>0</v>
      </c>
      <c r="AG5753" s="4">
        <v>8</v>
      </c>
      <c r="AH5753" s="4">
        <v>61</v>
      </c>
      <c r="AI5753" s="4">
        <v>81</v>
      </c>
      <c r="AJ5753" s="4">
        <v>14</v>
      </c>
      <c r="AK5753" s="4">
        <v>24</v>
      </c>
      <c r="AL5753" s="4">
        <v>31</v>
      </c>
      <c r="AM5753" s="4">
        <v>44</v>
      </c>
      <c r="AN5753" s="4">
        <v>0</v>
      </c>
      <c r="AO5753" s="4">
        <v>0</v>
      </c>
      <c r="AP5753" s="4">
        <v>16</v>
      </c>
      <c r="AQ5753" s="4">
        <v>46</v>
      </c>
      <c r="AR5753" s="3" t="s">
        <v>62</v>
      </c>
      <c r="AS5753" s="3" t="s">
        <v>62</v>
      </c>
      <c r="AT5753" s="3" t="s">
        <v>62</v>
      </c>
      <c r="AV5753" s="6" t="str">
        <f>HYPERLINK("http://mcgill.on.worldcat.org/oclc/715286132","Catalog Record")</f>
        <v>Catalog Record</v>
      </c>
      <c r="AW5753" s="6" t="str">
        <f>HYPERLINK("http://www.worldcat.org/oclc/715286132","WorldCat Record")</f>
        <v>WorldCat Record</v>
      </c>
      <c r="AX5753" s="3" t="s">
        <v>55318</v>
      </c>
      <c r="AY5753" s="3" t="s">
        <v>55319</v>
      </c>
      <c r="AZ5753" s="3" t="s">
        <v>55320</v>
      </c>
      <c r="BA5753" s="3" t="s">
        <v>55320</v>
      </c>
      <c r="BB5753" s="3" t="s">
        <v>55321</v>
      </c>
      <c r="BC5753" s="3" t="s">
        <v>142</v>
      </c>
      <c r="BD5753" s="3" t="s">
        <v>68</v>
      </c>
      <c r="BE5753" s="3" t="s">
        <v>55322</v>
      </c>
      <c r="BF5753" s="3" t="s">
        <v>55321</v>
      </c>
      <c r="BG5753" s="3" t="s">
        <v>55323</v>
      </c>
    </row>
    <row r="5754" spans="1:59" ht="57" x14ac:dyDescent="0.45">
      <c r="A5754" s="2" t="s">
        <v>59</v>
      </c>
      <c r="B5754" s="2" t="s">
        <v>60</v>
      </c>
      <c r="C5754" s="2" t="s">
        <v>55324</v>
      </c>
      <c r="D5754" s="2" t="s">
        <v>55325</v>
      </c>
      <c r="E5754" s="2" t="s">
        <v>55326</v>
      </c>
      <c r="G5754" s="3" t="s">
        <v>62</v>
      </c>
      <c r="I5754" s="3" t="s">
        <v>62</v>
      </c>
      <c r="J5754" s="3" t="s">
        <v>62</v>
      </c>
      <c r="K5754" s="3" t="s">
        <v>63</v>
      </c>
      <c r="M5754" s="2" t="s">
        <v>1713</v>
      </c>
      <c r="N5754" s="3" t="s">
        <v>1155</v>
      </c>
      <c r="P5754" s="3" t="s">
        <v>65</v>
      </c>
      <c r="R5754" s="3" t="s">
        <v>66</v>
      </c>
      <c r="S5754" s="4">
        <v>4</v>
      </c>
      <c r="T5754" s="4">
        <v>4</v>
      </c>
      <c r="U5754" s="5" t="s">
        <v>9601</v>
      </c>
      <c r="V5754" s="5" t="s">
        <v>9601</v>
      </c>
      <c r="W5754" s="5" t="s">
        <v>67</v>
      </c>
      <c r="X5754" s="5" t="s">
        <v>67</v>
      </c>
      <c r="Y5754" s="4">
        <v>160</v>
      </c>
      <c r="Z5754" s="4">
        <v>16</v>
      </c>
      <c r="AA5754" s="4">
        <v>103</v>
      </c>
      <c r="AB5754" s="4">
        <v>1</v>
      </c>
      <c r="AC5754" s="4">
        <v>15</v>
      </c>
      <c r="AD5754" s="4">
        <v>62</v>
      </c>
      <c r="AE5754" s="4">
        <v>117</v>
      </c>
      <c r="AF5754" s="4">
        <v>0</v>
      </c>
      <c r="AG5754" s="4">
        <v>8</v>
      </c>
      <c r="AH5754" s="4">
        <v>56</v>
      </c>
      <c r="AI5754" s="4">
        <v>80</v>
      </c>
      <c r="AJ5754" s="4">
        <v>11</v>
      </c>
      <c r="AK5754" s="4">
        <v>24</v>
      </c>
      <c r="AL5754" s="4">
        <v>33</v>
      </c>
      <c r="AM5754" s="4">
        <v>45</v>
      </c>
      <c r="AN5754" s="4">
        <v>0</v>
      </c>
      <c r="AO5754" s="4">
        <v>0</v>
      </c>
      <c r="AP5754" s="4">
        <v>13</v>
      </c>
      <c r="AQ5754" s="4">
        <v>45</v>
      </c>
      <c r="AR5754" s="3" t="s">
        <v>62</v>
      </c>
      <c r="AS5754" s="3" t="s">
        <v>62</v>
      </c>
      <c r="AT5754" s="3" t="s">
        <v>62</v>
      </c>
      <c r="AV5754" s="6" t="str">
        <f>HYPERLINK("http://mcgill.on.worldcat.org/oclc/773429655","Catalog Record")</f>
        <v>Catalog Record</v>
      </c>
      <c r="AW5754" s="6" t="str">
        <f>HYPERLINK("http://www.worldcat.org/oclc/773429655","WorldCat Record")</f>
        <v>WorldCat Record</v>
      </c>
      <c r="AX5754" s="3" t="s">
        <v>55327</v>
      </c>
      <c r="AY5754" s="3" t="s">
        <v>55328</v>
      </c>
      <c r="AZ5754" s="3" t="s">
        <v>55329</v>
      </c>
      <c r="BA5754" s="3" t="s">
        <v>55329</v>
      </c>
      <c r="BB5754" s="3" t="s">
        <v>55330</v>
      </c>
      <c r="BC5754" s="3" t="s">
        <v>142</v>
      </c>
      <c r="BD5754" s="3" t="s">
        <v>68</v>
      </c>
      <c r="BE5754" s="3" t="s">
        <v>55331</v>
      </c>
      <c r="BF5754" s="3" t="s">
        <v>55330</v>
      </c>
      <c r="BG5754" s="3" t="s">
        <v>55332</v>
      </c>
    </row>
    <row r="5755" spans="1:59" ht="57" x14ac:dyDescent="0.45">
      <c r="A5755" s="2" t="s">
        <v>59</v>
      </c>
      <c r="B5755" s="2" t="s">
        <v>60</v>
      </c>
      <c r="C5755" s="2" t="s">
        <v>55333</v>
      </c>
      <c r="D5755" s="2" t="s">
        <v>55334</v>
      </c>
      <c r="E5755" s="2" t="s">
        <v>55335</v>
      </c>
      <c r="G5755" s="3" t="s">
        <v>62</v>
      </c>
      <c r="I5755" s="3" t="s">
        <v>62</v>
      </c>
      <c r="J5755" s="3" t="s">
        <v>62</v>
      </c>
      <c r="K5755" s="3" t="s">
        <v>63</v>
      </c>
      <c r="L5755" s="2" t="s">
        <v>55336</v>
      </c>
      <c r="M5755" s="2" t="s">
        <v>55337</v>
      </c>
      <c r="N5755" s="3" t="s">
        <v>116</v>
      </c>
      <c r="O5755" s="2" t="s">
        <v>1748</v>
      </c>
      <c r="P5755" s="3" t="s">
        <v>65</v>
      </c>
      <c r="R5755" s="3" t="s">
        <v>66</v>
      </c>
      <c r="S5755" s="4">
        <v>9</v>
      </c>
      <c r="T5755" s="4">
        <v>9</v>
      </c>
      <c r="U5755" s="5" t="s">
        <v>9543</v>
      </c>
      <c r="V5755" s="5" t="s">
        <v>9543</v>
      </c>
      <c r="W5755" s="5" t="s">
        <v>67</v>
      </c>
      <c r="X5755" s="5" t="s">
        <v>67</v>
      </c>
      <c r="Y5755" s="4">
        <v>699</v>
      </c>
      <c r="Z5755" s="4">
        <v>31</v>
      </c>
      <c r="AA5755" s="4">
        <v>33</v>
      </c>
      <c r="AB5755" s="4">
        <v>1</v>
      </c>
      <c r="AC5755" s="4">
        <v>2</v>
      </c>
      <c r="AD5755" s="4">
        <v>89</v>
      </c>
      <c r="AE5755" s="4">
        <v>93</v>
      </c>
      <c r="AF5755" s="4">
        <v>0</v>
      </c>
      <c r="AG5755" s="4">
        <v>1</v>
      </c>
      <c r="AH5755" s="4">
        <v>79</v>
      </c>
      <c r="AI5755" s="4">
        <v>82</v>
      </c>
      <c r="AJ5755" s="4">
        <v>11</v>
      </c>
      <c r="AK5755" s="4">
        <v>13</v>
      </c>
      <c r="AL5755" s="4">
        <v>47</v>
      </c>
      <c r="AM5755" s="4">
        <v>48</v>
      </c>
      <c r="AN5755" s="4">
        <v>0</v>
      </c>
      <c r="AO5755" s="4">
        <v>0</v>
      </c>
      <c r="AP5755" s="4">
        <v>13</v>
      </c>
      <c r="AQ5755" s="4">
        <v>15</v>
      </c>
      <c r="AR5755" s="3" t="s">
        <v>62</v>
      </c>
      <c r="AS5755" s="3" t="s">
        <v>62</v>
      </c>
      <c r="AT5755" s="3" t="s">
        <v>62</v>
      </c>
      <c r="AV5755" s="6" t="str">
        <f>HYPERLINK("http://mcgill.on.worldcat.org/oclc/829738463","Catalog Record")</f>
        <v>Catalog Record</v>
      </c>
      <c r="AW5755" s="6" t="str">
        <f>HYPERLINK("http://www.worldcat.org/oclc/829738463","WorldCat Record")</f>
        <v>WorldCat Record</v>
      </c>
      <c r="AX5755" s="3" t="s">
        <v>55338</v>
      </c>
      <c r="AY5755" s="3" t="s">
        <v>55339</v>
      </c>
      <c r="AZ5755" s="3" t="s">
        <v>55340</v>
      </c>
      <c r="BA5755" s="3" t="s">
        <v>55340</v>
      </c>
      <c r="BB5755" s="3" t="s">
        <v>55341</v>
      </c>
      <c r="BC5755" s="3" t="s">
        <v>142</v>
      </c>
      <c r="BD5755" s="3" t="s">
        <v>68</v>
      </c>
      <c r="BE5755" s="3" t="s">
        <v>55342</v>
      </c>
      <c r="BF5755" s="3" t="s">
        <v>55341</v>
      </c>
      <c r="BG5755" s="3" t="s">
        <v>55343</v>
      </c>
    </row>
    <row r="5756" spans="1:59" ht="57" x14ac:dyDescent="0.45">
      <c r="A5756" s="2" t="s">
        <v>59</v>
      </c>
      <c r="B5756" s="2" t="s">
        <v>60</v>
      </c>
      <c r="C5756" s="2" t="s">
        <v>55344</v>
      </c>
      <c r="D5756" s="2" t="s">
        <v>55345</v>
      </c>
      <c r="E5756" s="2" t="s">
        <v>55346</v>
      </c>
      <c r="G5756" s="3" t="s">
        <v>62</v>
      </c>
      <c r="I5756" s="3" t="s">
        <v>62</v>
      </c>
      <c r="J5756" s="3" t="s">
        <v>62</v>
      </c>
      <c r="K5756" s="3" t="s">
        <v>63</v>
      </c>
      <c r="L5756" s="2" t="s">
        <v>55347</v>
      </c>
      <c r="M5756" s="2" t="s">
        <v>55348</v>
      </c>
      <c r="N5756" s="3" t="s">
        <v>84</v>
      </c>
      <c r="P5756" s="3" t="s">
        <v>65</v>
      </c>
      <c r="R5756" s="3" t="s">
        <v>66</v>
      </c>
      <c r="S5756" s="4">
        <v>52</v>
      </c>
      <c r="T5756" s="4">
        <v>52</v>
      </c>
      <c r="U5756" s="5" t="s">
        <v>5871</v>
      </c>
      <c r="V5756" s="5" t="s">
        <v>5871</v>
      </c>
      <c r="W5756" s="5" t="s">
        <v>67</v>
      </c>
      <c r="X5756" s="5" t="s">
        <v>67</v>
      </c>
      <c r="Y5756" s="4">
        <v>138</v>
      </c>
      <c r="Z5756" s="4">
        <v>9</v>
      </c>
      <c r="AA5756" s="4">
        <v>33</v>
      </c>
      <c r="AB5756" s="4">
        <v>1</v>
      </c>
      <c r="AC5756" s="4">
        <v>6</v>
      </c>
      <c r="AD5756" s="4">
        <v>26</v>
      </c>
      <c r="AE5756" s="4">
        <v>116</v>
      </c>
      <c r="AF5756" s="4">
        <v>0</v>
      </c>
      <c r="AG5756" s="4">
        <v>1</v>
      </c>
      <c r="AH5756" s="4">
        <v>24</v>
      </c>
      <c r="AI5756" s="4">
        <v>100</v>
      </c>
      <c r="AJ5756" s="4">
        <v>3</v>
      </c>
      <c r="AK5756" s="4">
        <v>13</v>
      </c>
      <c r="AL5756" s="4">
        <v>15</v>
      </c>
      <c r="AM5756" s="4">
        <v>54</v>
      </c>
      <c r="AN5756" s="4">
        <v>0</v>
      </c>
      <c r="AO5756" s="4">
        <v>0</v>
      </c>
      <c r="AP5756" s="4">
        <v>4</v>
      </c>
      <c r="AQ5756" s="4">
        <v>20</v>
      </c>
      <c r="AR5756" s="3" t="s">
        <v>62</v>
      </c>
      <c r="AS5756" s="3" t="s">
        <v>62</v>
      </c>
      <c r="AT5756" s="3" t="s">
        <v>61</v>
      </c>
      <c r="AU5756" s="6" t="str">
        <f>HYPERLINK("http://catalog.hathitrust.org/Record/002622007","HathiTrust Record")</f>
        <v>HathiTrust Record</v>
      </c>
      <c r="AV5756" s="6" t="str">
        <f>HYPERLINK("http://mcgill.on.worldcat.org/oclc/24694887","Catalog Record")</f>
        <v>Catalog Record</v>
      </c>
      <c r="AW5756" s="6" t="str">
        <f>HYPERLINK("http://www.worldcat.org/oclc/24694887","WorldCat Record")</f>
        <v>WorldCat Record</v>
      </c>
      <c r="AX5756" s="3" t="s">
        <v>55349</v>
      </c>
      <c r="AY5756" s="3" t="s">
        <v>55350</v>
      </c>
      <c r="AZ5756" s="3" t="s">
        <v>55351</v>
      </c>
      <c r="BA5756" s="3" t="s">
        <v>55351</v>
      </c>
      <c r="BB5756" s="3" t="s">
        <v>55352</v>
      </c>
      <c r="BC5756" s="3" t="s">
        <v>142</v>
      </c>
      <c r="BD5756" s="3" t="s">
        <v>308</v>
      </c>
      <c r="BE5756" s="3" t="s">
        <v>55353</v>
      </c>
      <c r="BF5756" s="3" t="s">
        <v>55352</v>
      </c>
      <c r="BG5756" s="3" t="s">
        <v>55354</v>
      </c>
    </row>
    <row r="5757" spans="1:59" ht="57" x14ac:dyDescent="0.45">
      <c r="A5757" s="2" t="s">
        <v>59</v>
      </c>
      <c r="B5757" s="2" t="s">
        <v>60</v>
      </c>
      <c r="C5757" s="2" t="s">
        <v>55355</v>
      </c>
      <c r="D5757" s="2" t="s">
        <v>55356</v>
      </c>
      <c r="E5757" s="2" t="s">
        <v>55357</v>
      </c>
      <c r="G5757" s="3" t="s">
        <v>62</v>
      </c>
      <c r="I5757" s="3" t="s">
        <v>62</v>
      </c>
      <c r="J5757" s="3" t="s">
        <v>62</v>
      </c>
      <c r="K5757" s="3" t="s">
        <v>63</v>
      </c>
      <c r="M5757" s="2" t="s">
        <v>55358</v>
      </c>
      <c r="N5757" s="3" t="s">
        <v>894</v>
      </c>
      <c r="P5757" s="3" t="s">
        <v>110</v>
      </c>
      <c r="Q5757" s="2" t="s">
        <v>55359</v>
      </c>
      <c r="R5757" s="3" t="s">
        <v>66</v>
      </c>
      <c r="S5757" s="4">
        <v>0</v>
      </c>
      <c r="T5757" s="4">
        <v>0</v>
      </c>
      <c r="W5757" s="5" t="s">
        <v>67</v>
      </c>
      <c r="X5757" s="5" t="s">
        <v>67</v>
      </c>
      <c r="Y5757" s="4">
        <v>40</v>
      </c>
      <c r="Z5757" s="4">
        <v>4</v>
      </c>
      <c r="AA5757" s="4">
        <v>7</v>
      </c>
      <c r="AB5757" s="4">
        <v>1</v>
      </c>
      <c r="AC5757" s="4">
        <v>2</v>
      </c>
      <c r="AD5757" s="4">
        <v>17</v>
      </c>
      <c r="AE5757" s="4">
        <v>20</v>
      </c>
      <c r="AF5757" s="4">
        <v>0</v>
      </c>
      <c r="AG5757" s="4">
        <v>1</v>
      </c>
      <c r="AH5757" s="4">
        <v>15</v>
      </c>
      <c r="AI5757" s="4">
        <v>18</v>
      </c>
      <c r="AJ5757" s="4">
        <v>2</v>
      </c>
      <c r="AK5757" s="4">
        <v>5</v>
      </c>
      <c r="AL5757" s="4">
        <v>14</v>
      </c>
      <c r="AM5757" s="4">
        <v>14</v>
      </c>
      <c r="AN5757" s="4">
        <v>0</v>
      </c>
      <c r="AO5757" s="4">
        <v>0</v>
      </c>
      <c r="AP5757" s="4">
        <v>2</v>
      </c>
      <c r="AQ5757" s="4">
        <v>5</v>
      </c>
      <c r="AR5757" s="3" t="s">
        <v>62</v>
      </c>
      <c r="AS5757" s="3" t="s">
        <v>62</v>
      </c>
      <c r="AT5757" s="3" t="s">
        <v>62</v>
      </c>
      <c r="AV5757" s="6" t="str">
        <f>HYPERLINK("http://mcgill.on.worldcat.org/oclc/757356379","Catalog Record")</f>
        <v>Catalog Record</v>
      </c>
      <c r="AW5757" s="6" t="str">
        <f>HYPERLINK("http://www.worldcat.org/oclc/757356379","WorldCat Record")</f>
        <v>WorldCat Record</v>
      </c>
      <c r="AX5757" s="3" t="s">
        <v>55360</v>
      </c>
      <c r="AY5757" s="3" t="s">
        <v>55361</v>
      </c>
      <c r="AZ5757" s="3" t="s">
        <v>55362</v>
      </c>
      <c r="BA5757" s="3" t="s">
        <v>55362</v>
      </c>
      <c r="BB5757" s="3" t="s">
        <v>55363</v>
      </c>
      <c r="BC5757" s="3" t="s">
        <v>142</v>
      </c>
      <c r="BD5757" s="3" t="s">
        <v>68</v>
      </c>
      <c r="BE5757" s="3" t="s">
        <v>55364</v>
      </c>
      <c r="BF5757" s="3" t="s">
        <v>55363</v>
      </c>
      <c r="BG5757" s="3" t="s">
        <v>55365</v>
      </c>
    </row>
    <row r="5758" spans="1:59" ht="57" x14ac:dyDescent="0.45">
      <c r="A5758" s="2" t="s">
        <v>59</v>
      </c>
      <c r="B5758" s="2" t="s">
        <v>60</v>
      </c>
      <c r="C5758" s="2" t="s">
        <v>55366</v>
      </c>
      <c r="D5758" s="2" t="s">
        <v>55367</v>
      </c>
      <c r="E5758" s="2" t="s">
        <v>55368</v>
      </c>
      <c r="G5758" s="3" t="s">
        <v>62</v>
      </c>
      <c r="I5758" s="3" t="s">
        <v>62</v>
      </c>
      <c r="J5758" s="3" t="s">
        <v>62</v>
      </c>
      <c r="K5758" s="3" t="s">
        <v>63</v>
      </c>
      <c r="M5758" s="2" t="s">
        <v>55369</v>
      </c>
      <c r="N5758" s="3" t="s">
        <v>894</v>
      </c>
      <c r="P5758" s="3" t="s">
        <v>182</v>
      </c>
      <c r="Q5758" s="2" t="s">
        <v>55370</v>
      </c>
      <c r="R5758" s="3" t="s">
        <v>66</v>
      </c>
      <c r="S5758" s="4">
        <v>0</v>
      </c>
      <c r="T5758" s="4">
        <v>0</v>
      </c>
      <c r="W5758" s="5" t="s">
        <v>67</v>
      </c>
      <c r="X5758" s="5" t="s">
        <v>67</v>
      </c>
      <c r="Y5758" s="4">
        <v>19</v>
      </c>
      <c r="Z5758" s="4">
        <v>4</v>
      </c>
      <c r="AA5758" s="4">
        <v>4</v>
      </c>
      <c r="AB5758" s="4">
        <v>1</v>
      </c>
      <c r="AC5758" s="4">
        <v>1</v>
      </c>
      <c r="AD5758" s="4">
        <v>12</v>
      </c>
      <c r="AE5758" s="4">
        <v>12</v>
      </c>
      <c r="AF5758" s="4">
        <v>0</v>
      </c>
      <c r="AG5758" s="4">
        <v>0</v>
      </c>
      <c r="AH5758" s="4">
        <v>12</v>
      </c>
      <c r="AI5758" s="4">
        <v>12</v>
      </c>
      <c r="AJ5758" s="4">
        <v>2</v>
      </c>
      <c r="AK5758" s="4">
        <v>2</v>
      </c>
      <c r="AL5758" s="4">
        <v>10</v>
      </c>
      <c r="AM5758" s="4">
        <v>10</v>
      </c>
      <c r="AN5758" s="4">
        <v>0</v>
      </c>
      <c r="AO5758" s="4">
        <v>0</v>
      </c>
      <c r="AP5758" s="4">
        <v>2</v>
      </c>
      <c r="AQ5758" s="4">
        <v>2</v>
      </c>
      <c r="AR5758" s="3" t="s">
        <v>62</v>
      </c>
      <c r="AS5758" s="3" t="s">
        <v>62</v>
      </c>
      <c r="AT5758" s="3" t="s">
        <v>62</v>
      </c>
      <c r="AV5758" s="6" t="str">
        <f>HYPERLINK("http://mcgill.on.worldcat.org/oclc/767577997","Catalog Record")</f>
        <v>Catalog Record</v>
      </c>
      <c r="AW5758" s="6" t="str">
        <f>HYPERLINK("http://www.worldcat.org/oclc/767577997","WorldCat Record")</f>
        <v>WorldCat Record</v>
      </c>
      <c r="AX5758" s="3" t="s">
        <v>55371</v>
      </c>
      <c r="AY5758" s="3" t="s">
        <v>55372</v>
      </c>
      <c r="AZ5758" s="3" t="s">
        <v>55373</v>
      </c>
      <c r="BA5758" s="3" t="s">
        <v>55373</v>
      </c>
      <c r="BB5758" s="3" t="s">
        <v>55374</v>
      </c>
      <c r="BC5758" s="3" t="s">
        <v>142</v>
      </c>
      <c r="BD5758" s="3" t="s">
        <v>68</v>
      </c>
      <c r="BE5758" s="3" t="s">
        <v>55375</v>
      </c>
      <c r="BF5758" s="3" t="s">
        <v>55374</v>
      </c>
      <c r="BG5758" s="3" t="s">
        <v>55376</v>
      </c>
    </row>
    <row r="5759" spans="1:59" ht="71.25" x14ac:dyDescent="0.45">
      <c r="A5759" s="2" t="s">
        <v>59</v>
      </c>
      <c r="B5759" s="2" t="s">
        <v>60</v>
      </c>
      <c r="C5759" s="2" t="s">
        <v>55377</v>
      </c>
      <c r="D5759" s="2" t="s">
        <v>55378</v>
      </c>
      <c r="E5759" s="2" t="s">
        <v>55379</v>
      </c>
      <c r="G5759" s="3" t="s">
        <v>62</v>
      </c>
      <c r="I5759" s="3" t="s">
        <v>62</v>
      </c>
      <c r="J5759" s="3" t="s">
        <v>62</v>
      </c>
      <c r="K5759" s="3" t="s">
        <v>63</v>
      </c>
      <c r="L5759" s="2" t="s">
        <v>55380</v>
      </c>
      <c r="M5759" s="2" t="s">
        <v>55381</v>
      </c>
      <c r="N5759" s="3" t="s">
        <v>208</v>
      </c>
      <c r="P5759" s="3" t="s">
        <v>55382</v>
      </c>
      <c r="R5759" s="3" t="s">
        <v>66</v>
      </c>
      <c r="S5759" s="4">
        <v>1</v>
      </c>
      <c r="T5759" s="4">
        <v>1</v>
      </c>
      <c r="U5759" s="5" t="s">
        <v>19134</v>
      </c>
      <c r="V5759" s="5" t="s">
        <v>19134</v>
      </c>
      <c r="W5759" s="5" t="s">
        <v>67</v>
      </c>
      <c r="X5759" s="5" t="s">
        <v>67</v>
      </c>
      <c r="Y5759" s="4">
        <v>1</v>
      </c>
      <c r="Z5759" s="4">
        <v>1</v>
      </c>
      <c r="AA5759" s="4">
        <v>1</v>
      </c>
      <c r="AB5759" s="4">
        <v>1</v>
      </c>
      <c r="AC5759" s="4">
        <v>1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3" t="s">
        <v>62</v>
      </c>
      <c r="AS5759" s="3" t="s">
        <v>62</v>
      </c>
      <c r="AT5759" s="3" t="s">
        <v>62</v>
      </c>
      <c r="AV5759" s="6" t="str">
        <f>HYPERLINK("http://mcgill.on.worldcat.org/oclc/936584815","Catalog Record")</f>
        <v>Catalog Record</v>
      </c>
      <c r="AW5759" s="6" t="str">
        <f>HYPERLINK("http://www.worldcat.org/oclc/936584815","WorldCat Record")</f>
        <v>WorldCat Record</v>
      </c>
      <c r="AX5759" s="3" t="s">
        <v>55383</v>
      </c>
      <c r="AY5759" s="3" t="s">
        <v>55384</v>
      </c>
      <c r="AZ5759" s="3" t="s">
        <v>55385</v>
      </c>
      <c r="BA5759" s="3" t="s">
        <v>55385</v>
      </c>
      <c r="BB5759" s="3" t="s">
        <v>55386</v>
      </c>
      <c r="BC5759" s="3" t="s">
        <v>142</v>
      </c>
      <c r="BD5759" s="3" t="s">
        <v>68</v>
      </c>
      <c r="BE5759" s="3" t="s">
        <v>55387</v>
      </c>
      <c r="BF5759" s="3" t="s">
        <v>55386</v>
      </c>
      <c r="BG5759" s="3" t="s">
        <v>55388</v>
      </c>
    </row>
    <row r="5760" spans="1:59" ht="57" x14ac:dyDescent="0.45">
      <c r="A5760" s="2" t="s">
        <v>59</v>
      </c>
      <c r="B5760" s="2" t="s">
        <v>60</v>
      </c>
      <c r="C5760" s="2" t="s">
        <v>55389</v>
      </c>
      <c r="D5760" s="2" t="s">
        <v>55390</v>
      </c>
      <c r="E5760" s="2" t="s">
        <v>55391</v>
      </c>
      <c r="G5760" s="3" t="s">
        <v>62</v>
      </c>
      <c r="I5760" s="3" t="s">
        <v>62</v>
      </c>
      <c r="J5760" s="3" t="s">
        <v>62</v>
      </c>
      <c r="K5760" s="3" t="s">
        <v>63</v>
      </c>
      <c r="M5760" s="2" t="s">
        <v>55392</v>
      </c>
      <c r="N5760" s="3" t="s">
        <v>167</v>
      </c>
      <c r="P5760" s="3" t="s">
        <v>65</v>
      </c>
      <c r="Q5760" s="2" t="s">
        <v>55393</v>
      </c>
      <c r="R5760" s="3" t="s">
        <v>66</v>
      </c>
      <c r="S5760" s="4">
        <v>12</v>
      </c>
      <c r="T5760" s="4">
        <v>12</v>
      </c>
      <c r="U5760" s="5" t="s">
        <v>55394</v>
      </c>
      <c r="V5760" s="5" t="s">
        <v>55394</v>
      </c>
      <c r="W5760" s="5" t="s">
        <v>67</v>
      </c>
      <c r="X5760" s="5" t="s">
        <v>67</v>
      </c>
      <c r="Y5760" s="4">
        <v>30</v>
      </c>
      <c r="Z5760" s="4">
        <v>7</v>
      </c>
      <c r="AA5760" s="4">
        <v>21</v>
      </c>
      <c r="AB5760" s="4">
        <v>2</v>
      </c>
      <c r="AC5760" s="4">
        <v>2</v>
      </c>
      <c r="AD5760" s="4">
        <v>15</v>
      </c>
      <c r="AE5760" s="4">
        <v>106</v>
      </c>
      <c r="AF5760" s="4">
        <v>1</v>
      </c>
      <c r="AG5760" s="4">
        <v>1</v>
      </c>
      <c r="AH5760" s="4">
        <v>12</v>
      </c>
      <c r="AI5760" s="4">
        <v>94</v>
      </c>
      <c r="AJ5760" s="4">
        <v>5</v>
      </c>
      <c r="AK5760" s="4">
        <v>13</v>
      </c>
      <c r="AL5760" s="4">
        <v>3</v>
      </c>
      <c r="AM5760" s="4">
        <v>51</v>
      </c>
      <c r="AN5760" s="4">
        <v>0</v>
      </c>
      <c r="AO5760" s="4">
        <v>0</v>
      </c>
      <c r="AP5760" s="4">
        <v>6</v>
      </c>
      <c r="AQ5760" s="4">
        <v>18</v>
      </c>
      <c r="AR5760" s="3" t="s">
        <v>62</v>
      </c>
      <c r="AS5760" s="3" t="s">
        <v>62</v>
      </c>
      <c r="AT5760" s="3" t="s">
        <v>62</v>
      </c>
      <c r="AV5760" s="6" t="str">
        <f>HYPERLINK("http://mcgill.on.worldcat.org/oclc/316353651","Catalog Record")</f>
        <v>Catalog Record</v>
      </c>
      <c r="AW5760" s="6" t="str">
        <f>HYPERLINK("http://www.worldcat.org/oclc/316353651","WorldCat Record")</f>
        <v>WorldCat Record</v>
      </c>
      <c r="AX5760" s="3" t="s">
        <v>55395</v>
      </c>
      <c r="AY5760" s="3" t="s">
        <v>55396</v>
      </c>
      <c r="AZ5760" s="3" t="s">
        <v>55397</v>
      </c>
      <c r="BA5760" s="3" t="s">
        <v>55397</v>
      </c>
      <c r="BB5760" s="3" t="s">
        <v>55398</v>
      </c>
      <c r="BC5760" s="3" t="s">
        <v>142</v>
      </c>
      <c r="BD5760" s="3" t="s">
        <v>68</v>
      </c>
      <c r="BE5760" s="3" t="s">
        <v>55399</v>
      </c>
      <c r="BF5760" s="3" t="s">
        <v>55398</v>
      </c>
      <c r="BG5760" s="3" t="s">
        <v>55400</v>
      </c>
    </row>
    <row r="5761" spans="1:59" ht="57" x14ac:dyDescent="0.45">
      <c r="A5761" s="2" t="s">
        <v>59</v>
      </c>
      <c r="B5761" s="2" t="s">
        <v>60</v>
      </c>
      <c r="C5761" s="2" t="s">
        <v>55401</v>
      </c>
      <c r="D5761" s="2" t="s">
        <v>55402</v>
      </c>
      <c r="E5761" s="2" t="s">
        <v>55403</v>
      </c>
      <c r="G5761" s="3" t="s">
        <v>62</v>
      </c>
      <c r="I5761" s="3" t="s">
        <v>62</v>
      </c>
      <c r="J5761" s="3" t="s">
        <v>62</v>
      </c>
      <c r="K5761" s="3" t="s">
        <v>63</v>
      </c>
      <c r="L5761" s="2" t="s">
        <v>55404</v>
      </c>
      <c r="M5761" s="2" t="s">
        <v>55405</v>
      </c>
      <c r="N5761" s="3" t="s">
        <v>5180</v>
      </c>
      <c r="P5761" s="3" t="s">
        <v>65</v>
      </c>
      <c r="R5761" s="3" t="s">
        <v>66</v>
      </c>
      <c r="S5761" s="4">
        <v>5</v>
      </c>
      <c r="T5761" s="4">
        <v>5</v>
      </c>
      <c r="U5761" s="5" t="s">
        <v>24983</v>
      </c>
      <c r="V5761" s="5" t="s">
        <v>24983</v>
      </c>
      <c r="W5761" s="5" t="s">
        <v>67</v>
      </c>
      <c r="X5761" s="5" t="s">
        <v>67</v>
      </c>
      <c r="Y5761" s="4">
        <v>105</v>
      </c>
      <c r="Z5761" s="4">
        <v>8</v>
      </c>
      <c r="AA5761" s="4">
        <v>10</v>
      </c>
      <c r="AB5761" s="4">
        <v>1</v>
      </c>
      <c r="AC5761" s="4">
        <v>3</v>
      </c>
      <c r="AD5761" s="4">
        <v>48</v>
      </c>
      <c r="AE5761" s="4">
        <v>51</v>
      </c>
      <c r="AF5761" s="4">
        <v>0</v>
      </c>
      <c r="AG5761" s="4">
        <v>0</v>
      </c>
      <c r="AH5761" s="4">
        <v>43</v>
      </c>
      <c r="AI5761" s="4">
        <v>46</v>
      </c>
      <c r="AJ5761" s="4">
        <v>3</v>
      </c>
      <c r="AK5761" s="4">
        <v>3</v>
      </c>
      <c r="AL5761" s="4">
        <v>22</v>
      </c>
      <c r="AM5761" s="4">
        <v>24</v>
      </c>
      <c r="AN5761" s="4">
        <v>0</v>
      </c>
      <c r="AO5761" s="4">
        <v>0</v>
      </c>
      <c r="AP5761" s="4">
        <v>6</v>
      </c>
      <c r="AQ5761" s="4">
        <v>6</v>
      </c>
      <c r="AR5761" s="3" t="s">
        <v>62</v>
      </c>
      <c r="AS5761" s="3" t="s">
        <v>62</v>
      </c>
      <c r="AT5761" s="3" t="s">
        <v>62</v>
      </c>
      <c r="AV5761" s="6" t="str">
        <f>HYPERLINK("http://mcgill.on.worldcat.org/oclc/1028881834","Catalog Record")</f>
        <v>Catalog Record</v>
      </c>
      <c r="AW5761" s="6" t="str">
        <f>HYPERLINK("http://www.worldcat.org/oclc/1028881834","WorldCat Record")</f>
        <v>WorldCat Record</v>
      </c>
      <c r="AX5761" s="3" t="s">
        <v>55406</v>
      </c>
      <c r="AY5761" s="3" t="s">
        <v>55407</v>
      </c>
      <c r="AZ5761" s="3" t="s">
        <v>55408</v>
      </c>
      <c r="BA5761" s="3" t="s">
        <v>55408</v>
      </c>
      <c r="BB5761" s="3" t="s">
        <v>55409</v>
      </c>
      <c r="BC5761" s="3" t="s">
        <v>142</v>
      </c>
      <c r="BD5761" s="3" t="s">
        <v>308</v>
      </c>
      <c r="BE5761" s="3" t="s">
        <v>55410</v>
      </c>
      <c r="BF5761" s="3" t="s">
        <v>55409</v>
      </c>
      <c r="BG5761" s="3" t="s">
        <v>55411</v>
      </c>
    </row>
    <row r="5762" spans="1:59" ht="57" x14ac:dyDescent="0.45">
      <c r="A5762" s="2" t="s">
        <v>59</v>
      </c>
      <c r="B5762" s="2" t="s">
        <v>60</v>
      </c>
      <c r="C5762" s="2" t="s">
        <v>55412</v>
      </c>
      <c r="D5762" s="2" t="s">
        <v>55413</v>
      </c>
      <c r="E5762" s="2" t="s">
        <v>55414</v>
      </c>
      <c r="G5762" s="3" t="s">
        <v>62</v>
      </c>
      <c r="I5762" s="3" t="s">
        <v>62</v>
      </c>
      <c r="J5762" s="3" t="s">
        <v>62</v>
      </c>
      <c r="K5762" s="3" t="s">
        <v>63</v>
      </c>
      <c r="L5762" s="2" t="s">
        <v>8840</v>
      </c>
      <c r="M5762" s="2" t="s">
        <v>55415</v>
      </c>
      <c r="N5762" s="3" t="s">
        <v>894</v>
      </c>
      <c r="P5762" s="3" t="s">
        <v>65</v>
      </c>
      <c r="Q5762" s="2" t="s">
        <v>8830</v>
      </c>
      <c r="R5762" s="3" t="s">
        <v>66</v>
      </c>
      <c r="S5762" s="4">
        <v>4</v>
      </c>
      <c r="T5762" s="4">
        <v>4</v>
      </c>
      <c r="U5762" s="5" t="s">
        <v>17963</v>
      </c>
      <c r="V5762" s="5" t="s">
        <v>17963</v>
      </c>
      <c r="W5762" s="5" t="s">
        <v>67</v>
      </c>
      <c r="X5762" s="5" t="s">
        <v>67</v>
      </c>
      <c r="Y5762" s="4">
        <v>100</v>
      </c>
      <c r="Z5762" s="4">
        <v>11</v>
      </c>
      <c r="AA5762" s="4">
        <v>11</v>
      </c>
      <c r="AB5762" s="4">
        <v>1</v>
      </c>
      <c r="AC5762" s="4">
        <v>1</v>
      </c>
      <c r="AD5762" s="4">
        <v>39</v>
      </c>
      <c r="AE5762" s="4">
        <v>39</v>
      </c>
      <c r="AF5762" s="4">
        <v>0</v>
      </c>
      <c r="AG5762" s="4">
        <v>0</v>
      </c>
      <c r="AH5762" s="4">
        <v>37</v>
      </c>
      <c r="AI5762" s="4">
        <v>37</v>
      </c>
      <c r="AJ5762" s="4">
        <v>5</v>
      </c>
      <c r="AK5762" s="4">
        <v>5</v>
      </c>
      <c r="AL5762" s="4">
        <v>20</v>
      </c>
      <c r="AM5762" s="4">
        <v>20</v>
      </c>
      <c r="AN5762" s="4">
        <v>0</v>
      </c>
      <c r="AO5762" s="4">
        <v>0</v>
      </c>
      <c r="AP5762" s="4">
        <v>5</v>
      </c>
      <c r="AQ5762" s="4">
        <v>5</v>
      </c>
      <c r="AR5762" s="3" t="s">
        <v>62</v>
      </c>
      <c r="AS5762" s="3" t="s">
        <v>62</v>
      </c>
      <c r="AT5762" s="3" t="s">
        <v>62</v>
      </c>
      <c r="AV5762" s="6" t="str">
        <f>HYPERLINK("http://mcgill.on.worldcat.org/oclc/697036786","Catalog Record")</f>
        <v>Catalog Record</v>
      </c>
      <c r="AW5762" s="6" t="str">
        <f>HYPERLINK("http://www.worldcat.org/oclc/697036786","WorldCat Record")</f>
        <v>WorldCat Record</v>
      </c>
      <c r="AX5762" s="3" t="s">
        <v>55416</v>
      </c>
      <c r="AY5762" s="3" t="s">
        <v>55417</v>
      </c>
      <c r="AZ5762" s="3" t="s">
        <v>55418</v>
      </c>
      <c r="BA5762" s="3" t="s">
        <v>55418</v>
      </c>
      <c r="BB5762" s="3" t="s">
        <v>55419</v>
      </c>
      <c r="BC5762" s="3" t="s">
        <v>142</v>
      </c>
      <c r="BD5762" s="3" t="s">
        <v>68</v>
      </c>
      <c r="BE5762" s="3" t="s">
        <v>55420</v>
      </c>
      <c r="BF5762" s="3" t="s">
        <v>55419</v>
      </c>
      <c r="BG5762" s="3" t="s">
        <v>55421</v>
      </c>
    </row>
    <row r="5763" spans="1:59" ht="57" x14ac:dyDescent="0.45">
      <c r="A5763" s="2" t="s">
        <v>59</v>
      </c>
      <c r="B5763" s="2" t="s">
        <v>60</v>
      </c>
      <c r="C5763" s="2" t="s">
        <v>55422</v>
      </c>
      <c r="D5763" s="2" t="s">
        <v>55423</v>
      </c>
      <c r="E5763" s="2" t="s">
        <v>55424</v>
      </c>
      <c r="G5763" s="3" t="s">
        <v>62</v>
      </c>
      <c r="I5763" s="3" t="s">
        <v>62</v>
      </c>
      <c r="J5763" s="3" t="s">
        <v>62</v>
      </c>
      <c r="K5763" s="3" t="s">
        <v>63</v>
      </c>
      <c r="M5763" s="2" t="s">
        <v>20773</v>
      </c>
      <c r="N5763" s="3" t="s">
        <v>820</v>
      </c>
      <c r="P5763" s="3" t="s">
        <v>65</v>
      </c>
      <c r="Q5763" s="2" t="s">
        <v>55425</v>
      </c>
      <c r="R5763" s="3" t="s">
        <v>66</v>
      </c>
      <c r="S5763" s="4">
        <v>10</v>
      </c>
      <c r="T5763" s="4">
        <v>10</v>
      </c>
      <c r="U5763" s="5" t="s">
        <v>8842</v>
      </c>
      <c r="V5763" s="5" t="s">
        <v>8842</v>
      </c>
      <c r="W5763" s="5" t="s">
        <v>67</v>
      </c>
      <c r="X5763" s="5" t="s">
        <v>67</v>
      </c>
      <c r="Y5763" s="4">
        <v>142</v>
      </c>
      <c r="Z5763" s="4">
        <v>11</v>
      </c>
      <c r="AA5763" s="4">
        <v>98</v>
      </c>
      <c r="AB5763" s="4">
        <v>1</v>
      </c>
      <c r="AC5763" s="4">
        <v>17</v>
      </c>
      <c r="AD5763" s="4">
        <v>54</v>
      </c>
      <c r="AE5763" s="4">
        <v>118</v>
      </c>
      <c r="AF5763" s="4">
        <v>0</v>
      </c>
      <c r="AG5763" s="4">
        <v>8</v>
      </c>
      <c r="AH5763" s="4">
        <v>51</v>
      </c>
      <c r="AI5763" s="4">
        <v>82</v>
      </c>
      <c r="AJ5763" s="4">
        <v>9</v>
      </c>
      <c r="AK5763" s="4">
        <v>22</v>
      </c>
      <c r="AL5763" s="4">
        <v>34</v>
      </c>
      <c r="AM5763" s="4">
        <v>44</v>
      </c>
      <c r="AN5763" s="4">
        <v>0</v>
      </c>
      <c r="AO5763" s="4">
        <v>0</v>
      </c>
      <c r="AP5763" s="4">
        <v>9</v>
      </c>
      <c r="AQ5763" s="4">
        <v>44</v>
      </c>
      <c r="AR5763" s="3" t="s">
        <v>62</v>
      </c>
      <c r="AS5763" s="3" t="s">
        <v>62</v>
      </c>
      <c r="AT5763" s="3" t="s">
        <v>62</v>
      </c>
      <c r="AV5763" s="6" t="str">
        <f>HYPERLINK("http://mcgill.on.worldcat.org/oclc/173182445","Catalog Record")</f>
        <v>Catalog Record</v>
      </c>
      <c r="AW5763" s="6" t="str">
        <f>HYPERLINK("http://www.worldcat.org/oclc/173182445","WorldCat Record")</f>
        <v>WorldCat Record</v>
      </c>
      <c r="AX5763" s="3" t="s">
        <v>55426</v>
      </c>
      <c r="AY5763" s="3" t="s">
        <v>55427</v>
      </c>
      <c r="AZ5763" s="3" t="s">
        <v>55428</v>
      </c>
      <c r="BA5763" s="3" t="s">
        <v>55428</v>
      </c>
      <c r="BB5763" s="3" t="s">
        <v>55429</v>
      </c>
      <c r="BC5763" s="3" t="s">
        <v>142</v>
      </c>
      <c r="BD5763" s="3" t="s">
        <v>68</v>
      </c>
      <c r="BE5763" s="3" t="s">
        <v>55430</v>
      </c>
      <c r="BF5763" s="3" t="s">
        <v>55429</v>
      </c>
      <c r="BG5763" s="3" t="s">
        <v>55431</v>
      </c>
    </row>
    <row r="5764" spans="1:59" ht="71.25" x14ac:dyDescent="0.45">
      <c r="A5764" s="2" t="s">
        <v>59</v>
      </c>
      <c r="B5764" s="2" t="s">
        <v>60</v>
      </c>
      <c r="C5764" s="2" t="s">
        <v>55432</v>
      </c>
      <c r="D5764" s="2" t="s">
        <v>55433</v>
      </c>
      <c r="E5764" s="2" t="s">
        <v>55434</v>
      </c>
      <c r="G5764" s="3" t="s">
        <v>62</v>
      </c>
      <c r="I5764" s="3" t="s">
        <v>62</v>
      </c>
      <c r="J5764" s="3" t="s">
        <v>62</v>
      </c>
      <c r="K5764" s="3" t="s">
        <v>63</v>
      </c>
      <c r="M5764" s="2" t="s">
        <v>55435</v>
      </c>
      <c r="N5764" s="3" t="s">
        <v>149</v>
      </c>
      <c r="P5764" s="3" t="s">
        <v>65</v>
      </c>
      <c r="R5764" s="3" t="s">
        <v>66</v>
      </c>
      <c r="S5764" s="4">
        <v>0</v>
      </c>
      <c r="T5764" s="4">
        <v>0</v>
      </c>
      <c r="W5764" s="5" t="s">
        <v>67</v>
      </c>
      <c r="X5764" s="5" t="s">
        <v>67</v>
      </c>
      <c r="Y5764" s="4">
        <v>28</v>
      </c>
      <c r="Z5764" s="4">
        <v>6</v>
      </c>
      <c r="AA5764" s="4">
        <v>12</v>
      </c>
      <c r="AB5764" s="4">
        <v>1</v>
      </c>
      <c r="AC5764" s="4">
        <v>1</v>
      </c>
      <c r="AD5764" s="4">
        <v>15</v>
      </c>
      <c r="AE5764" s="4">
        <v>28</v>
      </c>
      <c r="AF5764" s="4">
        <v>0</v>
      </c>
      <c r="AG5764" s="4">
        <v>0</v>
      </c>
      <c r="AH5764" s="4">
        <v>13</v>
      </c>
      <c r="AI5764" s="4">
        <v>25</v>
      </c>
      <c r="AJ5764" s="4">
        <v>3</v>
      </c>
      <c r="AK5764" s="4">
        <v>7</v>
      </c>
      <c r="AL5764" s="4">
        <v>10</v>
      </c>
      <c r="AM5764" s="4">
        <v>18</v>
      </c>
      <c r="AN5764" s="4">
        <v>0</v>
      </c>
      <c r="AO5764" s="4">
        <v>0</v>
      </c>
      <c r="AP5764" s="4">
        <v>4</v>
      </c>
      <c r="AQ5764" s="4">
        <v>9</v>
      </c>
      <c r="AR5764" s="3" t="s">
        <v>62</v>
      </c>
      <c r="AS5764" s="3" t="s">
        <v>62</v>
      </c>
      <c r="AT5764" s="3" t="s">
        <v>62</v>
      </c>
      <c r="AV5764" s="6" t="str">
        <f>HYPERLINK("http://mcgill.on.worldcat.org/oclc/678476374","Catalog Record")</f>
        <v>Catalog Record</v>
      </c>
      <c r="AW5764" s="6" t="str">
        <f>HYPERLINK("http://www.worldcat.org/oclc/678476374","WorldCat Record")</f>
        <v>WorldCat Record</v>
      </c>
      <c r="AX5764" s="3" t="s">
        <v>55436</v>
      </c>
      <c r="AY5764" s="3" t="s">
        <v>55437</v>
      </c>
      <c r="AZ5764" s="3" t="s">
        <v>55438</v>
      </c>
      <c r="BA5764" s="3" t="s">
        <v>55438</v>
      </c>
      <c r="BB5764" s="3" t="s">
        <v>55439</v>
      </c>
      <c r="BC5764" s="3" t="s">
        <v>142</v>
      </c>
      <c r="BD5764" s="3" t="s">
        <v>68</v>
      </c>
      <c r="BE5764" s="3" t="s">
        <v>55440</v>
      </c>
      <c r="BF5764" s="3" t="s">
        <v>55439</v>
      </c>
      <c r="BG5764" s="3" t="s">
        <v>55441</v>
      </c>
    </row>
    <row r="5765" spans="1:59" ht="57" x14ac:dyDescent="0.45">
      <c r="A5765" s="2" t="s">
        <v>59</v>
      </c>
      <c r="B5765" s="2" t="s">
        <v>60</v>
      </c>
      <c r="C5765" s="2" t="s">
        <v>55442</v>
      </c>
      <c r="D5765" s="2" t="s">
        <v>55443</v>
      </c>
      <c r="E5765" s="2" t="s">
        <v>55444</v>
      </c>
      <c r="G5765" s="3" t="s">
        <v>62</v>
      </c>
      <c r="I5765" s="3" t="s">
        <v>62</v>
      </c>
      <c r="J5765" s="3" t="s">
        <v>62</v>
      </c>
      <c r="K5765" s="3" t="s">
        <v>63</v>
      </c>
      <c r="L5765" s="2" t="s">
        <v>55445</v>
      </c>
      <c r="M5765" s="2" t="s">
        <v>4650</v>
      </c>
      <c r="N5765" s="3" t="s">
        <v>894</v>
      </c>
      <c r="P5765" s="3" t="s">
        <v>65</v>
      </c>
      <c r="R5765" s="3" t="s">
        <v>66</v>
      </c>
      <c r="S5765" s="4">
        <v>1</v>
      </c>
      <c r="T5765" s="4">
        <v>1</v>
      </c>
      <c r="U5765" s="5" t="s">
        <v>13757</v>
      </c>
      <c r="V5765" s="5" t="s">
        <v>13757</v>
      </c>
      <c r="W5765" s="5" t="s">
        <v>67</v>
      </c>
      <c r="X5765" s="5" t="s">
        <v>67</v>
      </c>
      <c r="Y5765" s="4">
        <v>135</v>
      </c>
      <c r="Z5765" s="4">
        <v>14</v>
      </c>
      <c r="AA5765" s="4">
        <v>85</v>
      </c>
      <c r="AB5765" s="4">
        <v>1</v>
      </c>
      <c r="AC5765" s="4">
        <v>14</v>
      </c>
      <c r="AD5765" s="4">
        <v>49</v>
      </c>
      <c r="AE5765" s="4">
        <v>114</v>
      </c>
      <c r="AF5765" s="4">
        <v>0</v>
      </c>
      <c r="AG5765" s="4">
        <v>8</v>
      </c>
      <c r="AH5765" s="4">
        <v>42</v>
      </c>
      <c r="AI5765" s="4">
        <v>77</v>
      </c>
      <c r="AJ5765" s="4">
        <v>8</v>
      </c>
      <c r="AK5765" s="4">
        <v>21</v>
      </c>
      <c r="AL5765" s="4">
        <v>25</v>
      </c>
      <c r="AM5765" s="4">
        <v>38</v>
      </c>
      <c r="AN5765" s="4">
        <v>0</v>
      </c>
      <c r="AO5765" s="4">
        <v>0</v>
      </c>
      <c r="AP5765" s="4">
        <v>11</v>
      </c>
      <c r="AQ5765" s="4">
        <v>43</v>
      </c>
      <c r="AR5765" s="3" t="s">
        <v>62</v>
      </c>
      <c r="AS5765" s="3" t="s">
        <v>62</v>
      </c>
      <c r="AT5765" s="3" t="s">
        <v>62</v>
      </c>
      <c r="AV5765" s="6" t="str">
        <f>HYPERLINK("http://mcgill.on.worldcat.org/oclc/670324892","Catalog Record")</f>
        <v>Catalog Record</v>
      </c>
      <c r="AW5765" s="6" t="str">
        <f>HYPERLINK("http://www.worldcat.org/oclc/670324892","WorldCat Record")</f>
        <v>WorldCat Record</v>
      </c>
      <c r="AX5765" s="3" t="s">
        <v>55446</v>
      </c>
      <c r="AY5765" s="3" t="s">
        <v>55447</v>
      </c>
      <c r="AZ5765" s="3" t="s">
        <v>55448</v>
      </c>
      <c r="BA5765" s="3" t="s">
        <v>55448</v>
      </c>
      <c r="BB5765" s="3" t="s">
        <v>55449</v>
      </c>
      <c r="BC5765" s="3" t="s">
        <v>142</v>
      </c>
      <c r="BD5765" s="3" t="s">
        <v>68</v>
      </c>
      <c r="BE5765" s="3" t="s">
        <v>55450</v>
      </c>
      <c r="BF5765" s="3" t="s">
        <v>55449</v>
      </c>
      <c r="BG5765" s="3" t="s">
        <v>55451</v>
      </c>
    </row>
    <row r="5766" spans="1:59" ht="57" x14ac:dyDescent="0.45">
      <c r="A5766" s="2" t="s">
        <v>59</v>
      </c>
      <c r="B5766" s="2" t="s">
        <v>60</v>
      </c>
      <c r="C5766" s="2" t="s">
        <v>55452</v>
      </c>
      <c r="D5766" s="2" t="s">
        <v>55453</v>
      </c>
      <c r="E5766" s="2" t="s">
        <v>55454</v>
      </c>
      <c r="G5766" s="3" t="s">
        <v>62</v>
      </c>
      <c r="I5766" s="3" t="s">
        <v>62</v>
      </c>
      <c r="J5766" s="3" t="s">
        <v>62</v>
      </c>
      <c r="K5766" s="3" t="s">
        <v>63</v>
      </c>
      <c r="M5766" s="2" t="s">
        <v>55455</v>
      </c>
      <c r="N5766" s="3" t="s">
        <v>820</v>
      </c>
      <c r="P5766" s="3" t="s">
        <v>65</v>
      </c>
      <c r="R5766" s="3" t="s">
        <v>66</v>
      </c>
      <c r="S5766" s="4">
        <v>4</v>
      </c>
      <c r="T5766" s="4">
        <v>4</v>
      </c>
      <c r="U5766" s="5" t="s">
        <v>55456</v>
      </c>
      <c r="V5766" s="5" t="s">
        <v>55456</v>
      </c>
      <c r="W5766" s="5" t="s">
        <v>67</v>
      </c>
      <c r="X5766" s="5" t="s">
        <v>67</v>
      </c>
      <c r="Y5766" s="4">
        <v>446</v>
      </c>
      <c r="Z5766" s="4">
        <v>23</v>
      </c>
      <c r="AA5766" s="4">
        <v>26</v>
      </c>
      <c r="AB5766" s="4">
        <v>2</v>
      </c>
      <c r="AC5766" s="4">
        <v>4</v>
      </c>
      <c r="AD5766" s="4">
        <v>90</v>
      </c>
      <c r="AE5766" s="4">
        <v>93</v>
      </c>
      <c r="AF5766" s="4">
        <v>1</v>
      </c>
      <c r="AG5766" s="4">
        <v>3</v>
      </c>
      <c r="AH5766" s="4">
        <v>78</v>
      </c>
      <c r="AI5766" s="4">
        <v>79</v>
      </c>
      <c r="AJ5766" s="4">
        <v>12</v>
      </c>
      <c r="AK5766" s="4">
        <v>15</v>
      </c>
      <c r="AL5766" s="4">
        <v>43</v>
      </c>
      <c r="AM5766" s="4">
        <v>43</v>
      </c>
      <c r="AN5766" s="4">
        <v>0</v>
      </c>
      <c r="AO5766" s="4">
        <v>0</v>
      </c>
      <c r="AP5766" s="4">
        <v>18</v>
      </c>
      <c r="AQ5766" s="4">
        <v>20</v>
      </c>
      <c r="AR5766" s="3" t="s">
        <v>62</v>
      </c>
      <c r="AS5766" s="3" t="s">
        <v>62</v>
      </c>
      <c r="AT5766" s="3" t="s">
        <v>61</v>
      </c>
      <c r="AU5766" s="6" t="str">
        <f>HYPERLINK("http://catalog.hathitrust.org/Record/008325345","HathiTrust Record")</f>
        <v>HathiTrust Record</v>
      </c>
      <c r="AV5766" s="6" t="str">
        <f>HYPERLINK("http://mcgill.on.worldcat.org/oclc/141854529","Catalog Record")</f>
        <v>Catalog Record</v>
      </c>
      <c r="AW5766" s="6" t="str">
        <f>HYPERLINK("http://www.worldcat.org/oclc/141854529","WorldCat Record")</f>
        <v>WorldCat Record</v>
      </c>
      <c r="AX5766" s="3" t="s">
        <v>55457</v>
      </c>
      <c r="AY5766" s="3" t="s">
        <v>55458</v>
      </c>
      <c r="AZ5766" s="3" t="s">
        <v>55459</v>
      </c>
      <c r="BA5766" s="3" t="s">
        <v>55459</v>
      </c>
      <c r="BB5766" s="3" t="s">
        <v>55460</v>
      </c>
      <c r="BC5766" s="3" t="s">
        <v>142</v>
      </c>
      <c r="BD5766" s="3" t="s">
        <v>68</v>
      </c>
      <c r="BE5766" s="3" t="s">
        <v>55461</v>
      </c>
      <c r="BF5766" s="3" t="s">
        <v>55460</v>
      </c>
      <c r="BG5766" s="3" t="s">
        <v>55462</v>
      </c>
    </row>
    <row r="5767" spans="1:59" ht="57" x14ac:dyDescent="0.45">
      <c r="A5767" s="2" t="s">
        <v>59</v>
      </c>
      <c r="B5767" s="2" t="s">
        <v>60</v>
      </c>
      <c r="C5767" s="2" t="s">
        <v>55463</v>
      </c>
      <c r="D5767" s="2" t="s">
        <v>55464</v>
      </c>
      <c r="E5767" s="2" t="s">
        <v>55465</v>
      </c>
      <c r="G5767" s="3" t="s">
        <v>62</v>
      </c>
      <c r="I5767" s="3" t="s">
        <v>62</v>
      </c>
      <c r="J5767" s="3" t="s">
        <v>62</v>
      </c>
      <c r="K5767" s="3" t="s">
        <v>63</v>
      </c>
      <c r="M5767" s="2" t="s">
        <v>55466</v>
      </c>
      <c r="N5767" s="3" t="s">
        <v>116</v>
      </c>
      <c r="P5767" s="3" t="s">
        <v>65</v>
      </c>
      <c r="Q5767" s="2" t="s">
        <v>55467</v>
      </c>
      <c r="R5767" s="3" t="s">
        <v>66</v>
      </c>
      <c r="S5767" s="4">
        <v>0</v>
      </c>
      <c r="T5767" s="4">
        <v>0</v>
      </c>
      <c r="W5767" s="5" t="s">
        <v>67</v>
      </c>
      <c r="X5767" s="5" t="s">
        <v>67</v>
      </c>
      <c r="Y5767" s="4">
        <v>56</v>
      </c>
      <c r="Z5767" s="4">
        <v>8</v>
      </c>
      <c r="AA5767" s="4">
        <v>8</v>
      </c>
      <c r="AB5767" s="4">
        <v>2</v>
      </c>
      <c r="AC5767" s="4">
        <v>2</v>
      </c>
      <c r="AD5767" s="4">
        <v>27</v>
      </c>
      <c r="AE5767" s="4">
        <v>27</v>
      </c>
      <c r="AF5767" s="4">
        <v>1</v>
      </c>
      <c r="AG5767" s="4">
        <v>1</v>
      </c>
      <c r="AH5767" s="4">
        <v>23</v>
      </c>
      <c r="AI5767" s="4">
        <v>23</v>
      </c>
      <c r="AJ5767" s="4">
        <v>6</v>
      </c>
      <c r="AK5767" s="4">
        <v>6</v>
      </c>
      <c r="AL5767" s="4">
        <v>15</v>
      </c>
      <c r="AM5767" s="4">
        <v>15</v>
      </c>
      <c r="AN5767" s="4">
        <v>0</v>
      </c>
      <c r="AO5767" s="4">
        <v>0</v>
      </c>
      <c r="AP5767" s="4">
        <v>6</v>
      </c>
      <c r="AQ5767" s="4">
        <v>6</v>
      </c>
      <c r="AR5767" s="3" t="s">
        <v>62</v>
      </c>
      <c r="AS5767" s="3" t="s">
        <v>62</v>
      </c>
      <c r="AT5767" s="3" t="s">
        <v>62</v>
      </c>
      <c r="AV5767" s="6" t="str">
        <f>HYPERLINK("http://mcgill.on.worldcat.org/oclc/855913120","Catalog Record")</f>
        <v>Catalog Record</v>
      </c>
      <c r="AW5767" s="6" t="str">
        <f>HYPERLINK("http://www.worldcat.org/oclc/855913120","WorldCat Record")</f>
        <v>WorldCat Record</v>
      </c>
      <c r="AX5767" s="3" t="s">
        <v>55468</v>
      </c>
      <c r="AY5767" s="3" t="s">
        <v>55469</v>
      </c>
      <c r="AZ5767" s="3" t="s">
        <v>55470</v>
      </c>
      <c r="BA5767" s="3" t="s">
        <v>55470</v>
      </c>
      <c r="BB5767" s="3" t="s">
        <v>55471</v>
      </c>
      <c r="BC5767" s="3" t="s">
        <v>142</v>
      </c>
      <c r="BD5767" s="3" t="s">
        <v>68</v>
      </c>
      <c r="BE5767" s="3" t="s">
        <v>55472</v>
      </c>
      <c r="BF5767" s="3" t="s">
        <v>55471</v>
      </c>
      <c r="BG5767" s="3" t="s">
        <v>55473</v>
      </c>
    </row>
    <row r="5768" spans="1:59" ht="57" x14ac:dyDescent="0.45">
      <c r="A5768" s="2" t="s">
        <v>59</v>
      </c>
      <c r="B5768" s="2" t="s">
        <v>60</v>
      </c>
      <c r="C5768" s="2" t="s">
        <v>55474</v>
      </c>
      <c r="D5768" s="2" t="s">
        <v>55475</v>
      </c>
      <c r="E5768" s="2" t="s">
        <v>55476</v>
      </c>
      <c r="G5768" s="3" t="s">
        <v>62</v>
      </c>
      <c r="I5768" s="3" t="s">
        <v>62</v>
      </c>
      <c r="J5768" s="3" t="s">
        <v>62</v>
      </c>
      <c r="K5768" s="3" t="s">
        <v>63</v>
      </c>
      <c r="M5768" s="2" t="s">
        <v>55477</v>
      </c>
      <c r="N5768" s="3" t="s">
        <v>970</v>
      </c>
      <c r="P5768" s="3" t="s">
        <v>65</v>
      </c>
      <c r="Q5768" s="2" t="s">
        <v>7366</v>
      </c>
      <c r="R5768" s="3" t="s">
        <v>66</v>
      </c>
      <c r="S5768" s="4">
        <v>10</v>
      </c>
      <c r="T5768" s="4">
        <v>10</v>
      </c>
      <c r="U5768" s="5" t="s">
        <v>35527</v>
      </c>
      <c r="V5768" s="5" t="s">
        <v>35527</v>
      </c>
      <c r="W5768" s="5" t="s">
        <v>67</v>
      </c>
      <c r="X5768" s="5" t="s">
        <v>67</v>
      </c>
      <c r="Y5768" s="4">
        <v>173</v>
      </c>
      <c r="Z5768" s="4">
        <v>8</v>
      </c>
      <c r="AA5768" s="4">
        <v>12</v>
      </c>
      <c r="AB5768" s="4">
        <v>1</v>
      </c>
      <c r="AC5768" s="4">
        <v>4</v>
      </c>
      <c r="AD5768" s="4">
        <v>45</v>
      </c>
      <c r="AE5768" s="4">
        <v>47</v>
      </c>
      <c r="AF5768" s="4">
        <v>0</v>
      </c>
      <c r="AG5768" s="4">
        <v>0</v>
      </c>
      <c r="AH5768" s="4">
        <v>42</v>
      </c>
      <c r="AI5768" s="4">
        <v>43</v>
      </c>
      <c r="AJ5768" s="4">
        <v>4</v>
      </c>
      <c r="AK5768" s="4">
        <v>5</v>
      </c>
      <c r="AL5768" s="4">
        <v>32</v>
      </c>
      <c r="AM5768" s="4">
        <v>32</v>
      </c>
      <c r="AN5768" s="4">
        <v>0</v>
      </c>
      <c r="AO5768" s="4">
        <v>0</v>
      </c>
      <c r="AP5768" s="4">
        <v>5</v>
      </c>
      <c r="AQ5768" s="4">
        <v>6</v>
      </c>
      <c r="AR5768" s="3" t="s">
        <v>62</v>
      </c>
      <c r="AS5768" s="3" t="s">
        <v>62</v>
      </c>
      <c r="AT5768" s="3" t="s">
        <v>61</v>
      </c>
      <c r="AU5768" s="6" t="str">
        <f>HYPERLINK("http://catalog.hathitrust.org/Record/004171200","HathiTrust Record")</f>
        <v>HathiTrust Record</v>
      </c>
      <c r="AV5768" s="6" t="str">
        <f>HYPERLINK("http://mcgill.on.worldcat.org/oclc/47356190","Catalog Record")</f>
        <v>Catalog Record</v>
      </c>
      <c r="AW5768" s="6" t="str">
        <f>HYPERLINK("http://www.worldcat.org/oclc/47356190","WorldCat Record")</f>
        <v>WorldCat Record</v>
      </c>
      <c r="AX5768" s="3" t="s">
        <v>55478</v>
      </c>
      <c r="AY5768" s="3" t="s">
        <v>55479</v>
      </c>
      <c r="AZ5768" s="3" t="s">
        <v>55480</v>
      </c>
      <c r="BA5768" s="3" t="s">
        <v>55480</v>
      </c>
      <c r="BB5768" s="3" t="s">
        <v>55481</v>
      </c>
      <c r="BC5768" s="3" t="s">
        <v>142</v>
      </c>
      <c r="BD5768" s="3" t="s">
        <v>308</v>
      </c>
      <c r="BE5768" s="3" t="s">
        <v>55482</v>
      </c>
      <c r="BF5768" s="3" t="s">
        <v>55481</v>
      </c>
      <c r="BG5768" s="3" t="s">
        <v>55483</v>
      </c>
    </row>
    <row r="5769" spans="1:59" ht="57" x14ac:dyDescent="0.45">
      <c r="A5769" s="2" t="s">
        <v>59</v>
      </c>
      <c r="B5769" s="2" t="s">
        <v>60</v>
      </c>
      <c r="C5769" s="2" t="s">
        <v>55484</v>
      </c>
      <c r="D5769" s="2" t="s">
        <v>55485</v>
      </c>
      <c r="E5769" s="2" t="s">
        <v>55486</v>
      </c>
      <c r="G5769" s="3" t="s">
        <v>62</v>
      </c>
      <c r="I5769" s="3" t="s">
        <v>62</v>
      </c>
      <c r="J5769" s="3" t="s">
        <v>62</v>
      </c>
      <c r="K5769" s="3" t="s">
        <v>63</v>
      </c>
      <c r="M5769" s="2" t="s">
        <v>1841</v>
      </c>
      <c r="N5769" s="3" t="s">
        <v>820</v>
      </c>
      <c r="P5769" s="3" t="s">
        <v>65</v>
      </c>
      <c r="R5769" s="3" t="s">
        <v>66</v>
      </c>
      <c r="S5769" s="4">
        <v>14</v>
      </c>
      <c r="T5769" s="4">
        <v>14</v>
      </c>
      <c r="U5769" s="5" t="s">
        <v>1168</v>
      </c>
      <c r="V5769" s="5" t="s">
        <v>1168</v>
      </c>
      <c r="W5769" s="5" t="s">
        <v>67</v>
      </c>
      <c r="X5769" s="5" t="s">
        <v>67</v>
      </c>
      <c r="Y5769" s="4">
        <v>155</v>
      </c>
      <c r="Z5769" s="4">
        <v>17</v>
      </c>
      <c r="AA5769" s="4">
        <v>22</v>
      </c>
      <c r="AB5769" s="4">
        <v>2</v>
      </c>
      <c r="AC5769" s="4">
        <v>7</v>
      </c>
      <c r="AD5769" s="4">
        <v>46</v>
      </c>
      <c r="AE5769" s="4">
        <v>59</v>
      </c>
      <c r="AF5769" s="4">
        <v>1</v>
      </c>
      <c r="AG5769" s="4">
        <v>3</v>
      </c>
      <c r="AH5769" s="4">
        <v>41</v>
      </c>
      <c r="AI5769" s="4">
        <v>53</v>
      </c>
      <c r="AJ5769" s="4">
        <v>15</v>
      </c>
      <c r="AK5769" s="4">
        <v>17</v>
      </c>
      <c r="AL5769" s="4">
        <v>21</v>
      </c>
      <c r="AM5769" s="4">
        <v>26</v>
      </c>
      <c r="AN5769" s="4">
        <v>0</v>
      </c>
      <c r="AO5769" s="4">
        <v>0</v>
      </c>
      <c r="AP5769" s="4">
        <v>15</v>
      </c>
      <c r="AQ5769" s="4">
        <v>17</v>
      </c>
      <c r="AR5769" s="3" t="s">
        <v>62</v>
      </c>
      <c r="AS5769" s="3" t="s">
        <v>62</v>
      </c>
      <c r="AT5769" s="3" t="s">
        <v>62</v>
      </c>
      <c r="AV5769" s="6" t="str">
        <f>HYPERLINK("http://mcgill.on.worldcat.org/oclc/166255058","Catalog Record")</f>
        <v>Catalog Record</v>
      </c>
      <c r="AW5769" s="6" t="str">
        <f>HYPERLINK("http://www.worldcat.org/oclc/166255058","WorldCat Record")</f>
        <v>WorldCat Record</v>
      </c>
      <c r="AX5769" s="3" t="s">
        <v>55487</v>
      </c>
      <c r="AY5769" s="3" t="s">
        <v>55488</v>
      </c>
      <c r="AZ5769" s="3" t="s">
        <v>55489</v>
      </c>
      <c r="BA5769" s="3" t="s">
        <v>55489</v>
      </c>
      <c r="BB5769" s="3" t="s">
        <v>55490</v>
      </c>
      <c r="BC5769" s="3" t="s">
        <v>142</v>
      </c>
      <c r="BD5769" s="3" t="s">
        <v>68</v>
      </c>
      <c r="BE5769" s="3" t="s">
        <v>55491</v>
      </c>
      <c r="BF5769" s="3" t="s">
        <v>55490</v>
      </c>
      <c r="BG5769" s="3" t="s">
        <v>55492</v>
      </c>
    </row>
    <row r="5770" spans="1:59" ht="57" x14ac:dyDescent="0.45">
      <c r="A5770" s="2" t="s">
        <v>59</v>
      </c>
      <c r="B5770" s="2" t="s">
        <v>60</v>
      </c>
      <c r="C5770" s="2" t="s">
        <v>55493</v>
      </c>
      <c r="D5770" s="2" t="s">
        <v>55494</v>
      </c>
      <c r="E5770" s="2" t="s">
        <v>55495</v>
      </c>
      <c r="G5770" s="3" t="s">
        <v>62</v>
      </c>
      <c r="I5770" s="3" t="s">
        <v>62</v>
      </c>
      <c r="J5770" s="3" t="s">
        <v>62</v>
      </c>
      <c r="K5770" s="3" t="s">
        <v>63</v>
      </c>
      <c r="M5770" s="2" t="s">
        <v>55496</v>
      </c>
      <c r="N5770" s="3" t="s">
        <v>918</v>
      </c>
      <c r="P5770" s="3" t="s">
        <v>110</v>
      </c>
      <c r="Q5770" s="2" t="s">
        <v>55497</v>
      </c>
      <c r="R5770" s="3" t="s">
        <v>66</v>
      </c>
      <c r="S5770" s="4">
        <v>37</v>
      </c>
      <c r="T5770" s="4">
        <v>37</v>
      </c>
      <c r="U5770" s="5" t="s">
        <v>31527</v>
      </c>
      <c r="V5770" s="5" t="s">
        <v>31527</v>
      </c>
      <c r="W5770" s="5" t="s">
        <v>67</v>
      </c>
      <c r="X5770" s="5" t="s">
        <v>67</v>
      </c>
      <c r="Y5770" s="4">
        <v>50</v>
      </c>
      <c r="Z5770" s="4">
        <v>6</v>
      </c>
      <c r="AA5770" s="4">
        <v>12</v>
      </c>
      <c r="AB5770" s="4">
        <v>2</v>
      </c>
      <c r="AC5770" s="4">
        <v>7</v>
      </c>
      <c r="AD5770" s="4">
        <v>27</v>
      </c>
      <c r="AE5770" s="4">
        <v>32</v>
      </c>
      <c r="AF5770" s="4">
        <v>1</v>
      </c>
      <c r="AG5770" s="4">
        <v>5</v>
      </c>
      <c r="AH5770" s="4">
        <v>23</v>
      </c>
      <c r="AI5770" s="4">
        <v>25</v>
      </c>
      <c r="AJ5770" s="4">
        <v>4</v>
      </c>
      <c r="AK5770" s="4">
        <v>9</v>
      </c>
      <c r="AL5770" s="4">
        <v>16</v>
      </c>
      <c r="AM5770" s="4">
        <v>16</v>
      </c>
      <c r="AN5770" s="4">
        <v>0</v>
      </c>
      <c r="AO5770" s="4">
        <v>0</v>
      </c>
      <c r="AP5770" s="4">
        <v>5</v>
      </c>
      <c r="AQ5770" s="4">
        <v>9</v>
      </c>
      <c r="AR5770" s="3" t="s">
        <v>62</v>
      </c>
      <c r="AS5770" s="3" t="s">
        <v>62</v>
      </c>
      <c r="AT5770" s="3" t="s">
        <v>61</v>
      </c>
      <c r="AU5770" s="6" t="str">
        <f>HYPERLINK("http://catalog.hathitrust.org/Record/004380153","HathiTrust Record")</f>
        <v>HathiTrust Record</v>
      </c>
      <c r="AV5770" s="6" t="str">
        <f>HYPERLINK("http://mcgill.on.worldcat.org/oclc/55734724","Catalog Record")</f>
        <v>Catalog Record</v>
      </c>
      <c r="AW5770" s="6" t="str">
        <f>HYPERLINK("http://www.worldcat.org/oclc/55734724","WorldCat Record")</f>
        <v>WorldCat Record</v>
      </c>
      <c r="AX5770" s="3" t="s">
        <v>55498</v>
      </c>
      <c r="AY5770" s="3" t="s">
        <v>55499</v>
      </c>
      <c r="AZ5770" s="3" t="s">
        <v>55500</v>
      </c>
      <c r="BA5770" s="3" t="s">
        <v>55500</v>
      </c>
      <c r="BB5770" s="3" t="s">
        <v>55501</v>
      </c>
      <c r="BC5770" s="3" t="s">
        <v>142</v>
      </c>
      <c r="BD5770" s="3" t="s">
        <v>308</v>
      </c>
      <c r="BE5770" s="3" t="s">
        <v>55502</v>
      </c>
      <c r="BF5770" s="3" t="s">
        <v>55501</v>
      </c>
      <c r="BG5770" s="3" t="s">
        <v>55503</v>
      </c>
    </row>
    <row r="5771" spans="1:59" ht="57" x14ac:dyDescent="0.45">
      <c r="A5771" s="2" t="s">
        <v>59</v>
      </c>
      <c r="B5771" s="2" t="s">
        <v>60</v>
      </c>
      <c r="C5771" s="2" t="s">
        <v>55504</v>
      </c>
      <c r="D5771" s="2" t="s">
        <v>55505</v>
      </c>
      <c r="E5771" s="2" t="s">
        <v>55506</v>
      </c>
      <c r="G5771" s="3" t="s">
        <v>62</v>
      </c>
      <c r="I5771" s="3" t="s">
        <v>61</v>
      </c>
      <c r="J5771" s="3" t="s">
        <v>62</v>
      </c>
      <c r="K5771" s="3" t="s">
        <v>63</v>
      </c>
      <c r="L5771" s="2" t="s">
        <v>41836</v>
      </c>
      <c r="M5771" s="2" t="s">
        <v>55507</v>
      </c>
      <c r="N5771" s="3" t="s">
        <v>1465</v>
      </c>
      <c r="P5771" s="3" t="s">
        <v>110</v>
      </c>
      <c r="Q5771" s="2" t="s">
        <v>55508</v>
      </c>
      <c r="R5771" s="3" t="s">
        <v>66</v>
      </c>
      <c r="S5771" s="4">
        <v>7</v>
      </c>
      <c r="T5771" s="4">
        <v>9</v>
      </c>
      <c r="U5771" s="5" t="s">
        <v>684</v>
      </c>
      <c r="V5771" s="5" t="s">
        <v>684</v>
      </c>
      <c r="W5771" s="5" t="s">
        <v>67</v>
      </c>
      <c r="X5771" s="5" t="s">
        <v>67</v>
      </c>
      <c r="Y5771" s="4">
        <v>1</v>
      </c>
      <c r="Z5771" s="4">
        <v>1</v>
      </c>
      <c r="AA5771" s="4">
        <v>1</v>
      </c>
      <c r="AB5771" s="4">
        <v>1</v>
      </c>
      <c r="AC5771" s="4">
        <v>1</v>
      </c>
      <c r="AD5771" s="4">
        <v>0</v>
      </c>
      <c r="AE5771" s="4">
        <v>0</v>
      </c>
      <c r="AF5771" s="4">
        <v>0</v>
      </c>
      <c r="AG5771" s="4">
        <v>0</v>
      </c>
      <c r="AH5771" s="4">
        <v>0</v>
      </c>
      <c r="AI5771" s="4">
        <v>0</v>
      </c>
      <c r="AJ5771" s="4">
        <v>0</v>
      </c>
      <c r="AK5771" s="4">
        <v>0</v>
      </c>
      <c r="AL5771" s="4">
        <v>0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3" t="s">
        <v>61</v>
      </c>
      <c r="AS5771" s="3" t="s">
        <v>62</v>
      </c>
      <c r="AT5771" s="3" t="s">
        <v>62</v>
      </c>
      <c r="AV5771" s="6" t="str">
        <f>HYPERLINK("http://mcgill.on.worldcat.org/oclc/604706828","Catalog Record")</f>
        <v>Catalog Record</v>
      </c>
      <c r="AW5771" s="6" t="str">
        <f>HYPERLINK("http://www.worldcat.org/oclc/604706828","WorldCat Record")</f>
        <v>WorldCat Record</v>
      </c>
      <c r="AX5771" s="3" t="s">
        <v>55509</v>
      </c>
      <c r="AY5771" s="3" t="s">
        <v>55510</v>
      </c>
      <c r="AZ5771" s="3" t="s">
        <v>55511</v>
      </c>
      <c r="BA5771" s="3" t="s">
        <v>55511</v>
      </c>
      <c r="BB5771" s="3" t="s">
        <v>55512</v>
      </c>
      <c r="BC5771" s="3" t="s">
        <v>142</v>
      </c>
      <c r="BD5771" s="3" t="s">
        <v>68</v>
      </c>
      <c r="BF5771" s="3" t="s">
        <v>55512</v>
      </c>
      <c r="BG5771" s="3" t="s">
        <v>55513</v>
      </c>
    </row>
    <row r="5772" spans="1:59" ht="57" x14ac:dyDescent="0.45">
      <c r="A5772" s="2" t="s">
        <v>59</v>
      </c>
      <c r="B5772" s="2" t="s">
        <v>60</v>
      </c>
      <c r="C5772" s="2" t="s">
        <v>55504</v>
      </c>
      <c r="D5772" s="2" t="s">
        <v>55505</v>
      </c>
      <c r="E5772" s="2" t="s">
        <v>55506</v>
      </c>
      <c r="G5772" s="3" t="s">
        <v>62</v>
      </c>
      <c r="I5772" s="3" t="s">
        <v>61</v>
      </c>
      <c r="J5772" s="3" t="s">
        <v>62</v>
      </c>
      <c r="K5772" s="3" t="s">
        <v>63</v>
      </c>
      <c r="L5772" s="2" t="s">
        <v>41836</v>
      </c>
      <c r="M5772" s="2" t="s">
        <v>55507</v>
      </c>
      <c r="N5772" s="3" t="s">
        <v>1465</v>
      </c>
      <c r="P5772" s="3" t="s">
        <v>110</v>
      </c>
      <c r="Q5772" s="2" t="s">
        <v>55508</v>
      </c>
      <c r="R5772" s="3" t="s">
        <v>66</v>
      </c>
      <c r="S5772" s="4">
        <v>2</v>
      </c>
      <c r="T5772" s="4">
        <v>9</v>
      </c>
      <c r="U5772" s="5" t="s">
        <v>55514</v>
      </c>
      <c r="V5772" s="5" t="s">
        <v>684</v>
      </c>
      <c r="W5772" s="5" t="s">
        <v>67</v>
      </c>
      <c r="X5772" s="5" t="s">
        <v>67</v>
      </c>
      <c r="Y5772" s="4">
        <v>1</v>
      </c>
      <c r="Z5772" s="4">
        <v>1</v>
      </c>
      <c r="AA5772" s="4">
        <v>1</v>
      </c>
      <c r="AB5772" s="4">
        <v>1</v>
      </c>
      <c r="AC5772" s="4">
        <v>1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3" t="s">
        <v>61</v>
      </c>
      <c r="AS5772" s="3" t="s">
        <v>62</v>
      </c>
      <c r="AT5772" s="3" t="s">
        <v>62</v>
      </c>
      <c r="AV5772" s="6" t="str">
        <f>HYPERLINK("http://mcgill.on.worldcat.org/oclc/604706828","Catalog Record")</f>
        <v>Catalog Record</v>
      </c>
      <c r="AW5772" s="6" t="str">
        <f>HYPERLINK("http://www.worldcat.org/oclc/604706828","WorldCat Record")</f>
        <v>WorldCat Record</v>
      </c>
      <c r="AX5772" s="3" t="s">
        <v>55509</v>
      </c>
      <c r="AY5772" s="3" t="s">
        <v>55510</v>
      </c>
      <c r="AZ5772" s="3" t="s">
        <v>55511</v>
      </c>
      <c r="BA5772" s="3" t="s">
        <v>55511</v>
      </c>
      <c r="BB5772" s="3" t="s">
        <v>55515</v>
      </c>
      <c r="BC5772" s="3" t="s">
        <v>142</v>
      </c>
      <c r="BD5772" s="3" t="s">
        <v>68</v>
      </c>
      <c r="BF5772" s="3" t="s">
        <v>55515</v>
      </c>
      <c r="BG5772" s="3" t="s">
        <v>55516</v>
      </c>
    </row>
    <row r="5773" spans="1:59" ht="57" x14ac:dyDescent="0.45">
      <c r="A5773" s="2" t="s">
        <v>59</v>
      </c>
      <c r="B5773" s="2" t="s">
        <v>60</v>
      </c>
      <c r="C5773" s="2" t="s">
        <v>55517</v>
      </c>
      <c r="D5773" s="2" t="s">
        <v>55518</v>
      </c>
      <c r="E5773" s="2" t="s">
        <v>55519</v>
      </c>
      <c r="G5773" s="3" t="s">
        <v>62</v>
      </c>
      <c r="I5773" s="3" t="s">
        <v>62</v>
      </c>
      <c r="J5773" s="3" t="s">
        <v>62</v>
      </c>
      <c r="K5773" s="3" t="s">
        <v>63</v>
      </c>
      <c r="L5773" s="2" t="s">
        <v>41836</v>
      </c>
      <c r="M5773" s="2" t="s">
        <v>55520</v>
      </c>
      <c r="N5773" s="3" t="s">
        <v>1059</v>
      </c>
      <c r="P5773" s="3" t="s">
        <v>110</v>
      </c>
      <c r="Q5773" s="2" t="s">
        <v>55521</v>
      </c>
      <c r="R5773" s="3" t="s">
        <v>66</v>
      </c>
      <c r="S5773" s="4">
        <v>8</v>
      </c>
      <c r="T5773" s="4">
        <v>8</v>
      </c>
      <c r="U5773" s="5" t="s">
        <v>684</v>
      </c>
      <c r="V5773" s="5" t="s">
        <v>684</v>
      </c>
      <c r="W5773" s="5" t="s">
        <v>67</v>
      </c>
      <c r="X5773" s="5" t="s">
        <v>67</v>
      </c>
      <c r="Y5773" s="4">
        <v>1</v>
      </c>
      <c r="Z5773" s="4">
        <v>1</v>
      </c>
      <c r="AA5773" s="4">
        <v>3</v>
      </c>
      <c r="AB5773" s="4">
        <v>1</v>
      </c>
      <c r="AC5773" s="4">
        <v>3</v>
      </c>
      <c r="AD5773" s="4">
        <v>0</v>
      </c>
      <c r="AE5773" s="4">
        <v>2</v>
      </c>
      <c r="AF5773" s="4">
        <v>0</v>
      </c>
      <c r="AG5773" s="4">
        <v>2</v>
      </c>
      <c r="AH5773" s="4">
        <v>0</v>
      </c>
      <c r="AI5773" s="4">
        <v>0</v>
      </c>
      <c r="AJ5773" s="4">
        <v>0</v>
      </c>
      <c r="AK5773" s="4">
        <v>2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1</v>
      </c>
      <c r="AR5773" s="3" t="s">
        <v>61</v>
      </c>
      <c r="AS5773" s="3" t="s">
        <v>62</v>
      </c>
      <c r="AT5773" s="3" t="s">
        <v>62</v>
      </c>
      <c r="AV5773" s="6" t="str">
        <f>HYPERLINK("http://mcgill.on.worldcat.org/oclc/316179115","Catalog Record")</f>
        <v>Catalog Record</v>
      </c>
      <c r="AW5773" s="6" t="str">
        <f>HYPERLINK("http://www.worldcat.org/oclc/316179115","WorldCat Record")</f>
        <v>WorldCat Record</v>
      </c>
      <c r="AX5773" s="3" t="s">
        <v>55522</v>
      </c>
      <c r="AY5773" s="3" t="s">
        <v>55523</v>
      </c>
      <c r="AZ5773" s="3" t="s">
        <v>55524</v>
      </c>
      <c r="BA5773" s="3" t="s">
        <v>55524</v>
      </c>
      <c r="BB5773" s="3" t="s">
        <v>55525</v>
      </c>
      <c r="BC5773" s="3" t="s">
        <v>142</v>
      </c>
      <c r="BD5773" s="3" t="s">
        <v>68</v>
      </c>
      <c r="BF5773" s="3" t="s">
        <v>55525</v>
      </c>
      <c r="BG5773" s="3" t="s">
        <v>55526</v>
      </c>
    </row>
    <row r="5774" spans="1:59" ht="71.25" x14ac:dyDescent="0.45">
      <c r="A5774" s="2" t="s">
        <v>59</v>
      </c>
      <c r="B5774" s="2" t="s">
        <v>60</v>
      </c>
      <c r="C5774" s="2" t="s">
        <v>55527</v>
      </c>
      <c r="D5774" s="2" t="s">
        <v>55528</v>
      </c>
      <c r="E5774" s="2" t="s">
        <v>55529</v>
      </c>
      <c r="G5774" s="3" t="s">
        <v>62</v>
      </c>
      <c r="I5774" s="3" t="s">
        <v>62</v>
      </c>
      <c r="J5774" s="3" t="s">
        <v>62</v>
      </c>
      <c r="K5774" s="3" t="s">
        <v>63</v>
      </c>
      <c r="M5774" s="2" t="s">
        <v>5982</v>
      </c>
      <c r="N5774" s="3" t="s">
        <v>1155</v>
      </c>
      <c r="P5774" s="3" t="s">
        <v>110</v>
      </c>
      <c r="R5774" s="3" t="s">
        <v>66</v>
      </c>
      <c r="S5774" s="4">
        <v>0</v>
      </c>
      <c r="T5774" s="4">
        <v>0</v>
      </c>
      <c r="W5774" s="5" t="s">
        <v>67</v>
      </c>
      <c r="X5774" s="5" t="s">
        <v>67</v>
      </c>
      <c r="Y5774" s="4">
        <v>32</v>
      </c>
      <c r="Z5774" s="4">
        <v>4</v>
      </c>
      <c r="AA5774" s="4">
        <v>7</v>
      </c>
      <c r="AB5774" s="4">
        <v>1</v>
      </c>
      <c r="AC5774" s="4">
        <v>2</v>
      </c>
      <c r="AD5774" s="4">
        <v>20</v>
      </c>
      <c r="AE5774" s="4">
        <v>22</v>
      </c>
      <c r="AF5774" s="4">
        <v>0</v>
      </c>
      <c r="AG5774" s="4">
        <v>0</v>
      </c>
      <c r="AH5774" s="4">
        <v>18</v>
      </c>
      <c r="AI5774" s="4">
        <v>20</v>
      </c>
      <c r="AJ5774" s="4">
        <v>2</v>
      </c>
      <c r="AK5774" s="4">
        <v>4</v>
      </c>
      <c r="AL5774" s="4">
        <v>15</v>
      </c>
      <c r="AM5774" s="4">
        <v>15</v>
      </c>
      <c r="AN5774" s="4">
        <v>0</v>
      </c>
      <c r="AO5774" s="4">
        <v>0</v>
      </c>
      <c r="AP5774" s="4">
        <v>2</v>
      </c>
      <c r="AQ5774" s="4">
        <v>4</v>
      </c>
      <c r="AR5774" s="3" t="s">
        <v>62</v>
      </c>
      <c r="AS5774" s="3" t="s">
        <v>62</v>
      </c>
      <c r="AT5774" s="3" t="s">
        <v>62</v>
      </c>
      <c r="AV5774" s="6" t="str">
        <f>HYPERLINK("http://mcgill.on.worldcat.org/oclc/825745447","Catalog Record")</f>
        <v>Catalog Record</v>
      </c>
      <c r="AW5774" s="6" t="str">
        <f>HYPERLINK("http://www.worldcat.org/oclc/825745447","WorldCat Record")</f>
        <v>WorldCat Record</v>
      </c>
      <c r="AX5774" s="3" t="s">
        <v>55530</v>
      </c>
      <c r="AY5774" s="3" t="s">
        <v>55531</v>
      </c>
      <c r="AZ5774" s="3" t="s">
        <v>55532</v>
      </c>
      <c r="BA5774" s="3" t="s">
        <v>55532</v>
      </c>
      <c r="BB5774" s="3" t="s">
        <v>55533</v>
      </c>
      <c r="BC5774" s="3" t="s">
        <v>142</v>
      </c>
      <c r="BD5774" s="3" t="s">
        <v>68</v>
      </c>
      <c r="BE5774" s="3" t="s">
        <v>55534</v>
      </c>
      <c r="BF5774" s="3" t="s">
        <v>55533</v>
      </c>
      <c r="BG5774" s="3" t="s">
        <v>55535</v>
      </c>
    </row>
    <row r="5775" spans="1:59" ht="57" x14ac:dyDescent="0.45">
      <c r="A5775" s="2" t="s">
        <v>59</v>
      </c>
      <c r="B5775" s="2" t="s">
        <v>60</v>
      </c>
      <c r="C5775" s="2" t="s">
        <v>55536</v>
      </c>
      <c r="D5775" s="2" t="s">
        <v>55537</v>
      </c>
      <c r="E5775" s="2" t="s">
        <v>55538</v>
      </c>
      <c r="G5775" s="3" t="s">
        <v>62</v>
      </c>
      <c r="I5775" s="3" t="s">
        <v>62</v>
      </c>
      <c r="J5775" s="3" t="s">
        <v>62</v>
      </c>
      <c r="K5775" s="3" t="s">
        <v>63</v>
      </c>
      <c r="L5775" s="2" t="s">
        <v>55539</v>
      </c>
      <c r="M5775" s="2" t="s">
        <v>55540</v>
      </c>
      <c r="N5775" s="3" t="s">
        <v>1855</v>
      </c>
      <c r="P5775" s="3" t="s">
        <v>65</v>
      </c>
      <c r="Q5775" s="2" t="s">
        <v>28144</v>
      </c>
      <c r="R5775" s="3" t="s">
        <v>66</v>
      </c>
      <c r="S5775" s="4">
        <v>5</v>
      </c>
      <c r="T5775" s="4">
        <v>5</v>
      </c>
      <c r="U5775" s="5" t="s">
        <v>2853</v>
      </c>
      <c r="V5775" s="5" t="s">
        <v>2853</v>
      </c>
      <c r="W5775" s="5" t="s">
        <v>67</v>
      </c>
      <c r="X5775" s="5" t="s">
        <v>67</v>
      </c>
      <c r="Y5775" s="4">
        <v>33</v>
      </c>
      <c r="Z5775" s="4">
        <v>2</v>
      </c>
      <c r="AA5775" s="4">
        <v>22</v>
      </c>
      <c r="AB5775" s="4">
        <v>1</v>
      </c>
      <c r="AC5775" s="4">
        <v>6</v>
      </c>
      <c r="AD5775" s="4">
        <v>5</v>
      </c>
      <c r="AE5775" s="4">
        <v>91</v>
      </c>
      <c r="AF5775" s="4">
        <v>0</v>
      </c>
      <c r="AG5775" s="4">
        <v>3</v>
      </c>
      <c r="AH5775" s="4">
        <v>4</v>
      </c>
      <c r="AI5775" s="4">
        <v>80</v>
      </c>
      <c r="AJ5775" s="4">
        <v>1</v>
      </c>
      <c r="AK5775" s="4">
        <v>16</v>
      </c>
      <c r="AL5775" s="4">
        <v>1</v>
      </c>
      <c r="AM5775" s="4">
        <v>45</v>
      </c>
      <c r="AN5775" s="4">
        <v>0</v>
      </c>
      <c r="AO5775" s="4">
        <v>0</v>
      </c>
      <c r="AP5775" s="4">
        <v>1</v>
      </c>
      <c r="AQ5775" s="4">
        <v>17</v>
      </c>
      <c r="AR5775" s="3" t="s">
        <v>62</v>
      </c>
      <c r="AS5775" s="3" t="s">
        <v>62</v>
      </c>
      <c r="AT5775" s="3" t="s">
        <v>62</v>
      </c>
      <c r="AV5775" s="6" t="str">
        <f>HYPERLINK("http://mcgill.on.worldcat.org/oclc/64638055","Catalog Record")</f>
        <v>Catalog Record</v>
      </c>
      <c r="AW5775" s="6" t="str">
        <f>HYPERLINK("http://www.worldcat.org/oclc/64638055","WorldCat Record")</f>
        <v>WorldCat Record</v>
      </c>
      <c r="AX5775" s="3" t="s">
        <v>55541</v>
      </c>
      <c r="AY5775" s="3" t="s">
        <v>55542</v>
      </c>
      <c r="AZ5775" s="3" t="s">
        <v>55543</v>
      </c>
      <c r="BA5775" s="3" t="s">
        <v>55543</v>
      </c>
      <c r="BB5775" s="3" t="s">
        <v>55544</v>
      </c>
      <c r="BC5775" s="3" t="s">
        <v>142</v>
      </c>
      <c r="BD5775" s="3" t="s">
        <v>68</v>
      </c>
      <c r="BE5775" s="3" t="s">
        <v>55545</v>
      </c>
      <c r="BF5775" s="3" t="s">
        <v>55544</v>
      </c>
      <c r="BG5775" s="3" t="s">
        <v>55546</v>
      </c>
    </row>
    <row r="5776" spans="1:59" ht="57" x14ac:dyDescent="0.45">
      <c r="A5776" s="2" t="s">
        <v>59</v>
      </c>
      <c r="B5776" s="2" t="s">
        <v>60</v>
      </c>
      <c r="C5776" s="2" t="s">
        <v>55547</v>
      </c>
      <c r="D5776" s="2" t="s">
        <v>55548</v>
      </c>
      <c r="E5776" s="2" t="s">
        <v>55549</v>
      </c>
      <c r="G5776" s="3" t="s">
        <v>62</v>
      </c>
      <c r="I5776" s="3" t="s">
        <v>62</v>
      </c>
      <c r="J5776" s="3" t="s">
        <v>62</v>
      </c>
      <c r="K5776" s="3" t="s">
        <v>63</v>
      </c>
      <c r="L5776" s="2" t="s">
        <v>55550</v>
      </c>
      <c r="M5776" s="2" t="s">
        <v>55551</v>
      </c>
      <c r="N5776" s="3" t="s">
        <v>157</v>
      </c>
      <c r="P5776" s="3" t="s">
        <v>65</v>
      </c>
      <c r="R5776" s="3" t="s">
        <v>66</v>
      </c>
      <c r="S5776" s="4">
        <v>31</v>
      </c>
      <c r="T5776" s="4">
        <v>31</v>
      </c>
      <c r="U5776" s="5" t="s">
        <v>28854</v>
      </c>
      <c r="V5776" s="5" t="s">
        <v>28854</v>
      </c>
      <c r="W5776" s="5" t="s">
        <v>67</v>
      </c>
      <c r="X5776" s="5" t="s">
        <v>67</v>
      </c>
      <c r="Y5776" s="4">
        <v>427</v>
      </c>
      <c r="Z5776" s="4">
        <v>27</v>
      </c>
      <c r="AA5776" s="4">
        <v>33</v>
      </c>
      <c r="AB5776" s="4">
        <v>2</v>
      </c>
      <c r="AC5776" s="4">
        <v>7</v>
      </c>
      <c r="AD5776" s="4">
        <v>114</v>
      </c>
      <c r="AE5776" s="4">
        <v>118</v>
      </c>
      <c r="AF5776" s="4">
        <v>1</v>
      </c>
      <c r="AG5776" s="4">
        <v>4</v>
      </c>
      <c r="AH5776" s="4">
        <v>102</v>
      </c>
      <c r="AI5776" s="4">
        <v>104</v>
      </c>
      <c r="AJ5776" s="4">
        <v>16</v>
      </c>
      <c r="AK5776" s="4">
        <v>19</v>
      </c>
      <c r="AL5776" s="4">
        <v>56</v>
      </c>
      <c r="AM5776" s="4">
        <v>57</v>
      </c>
      <c r="AN5776" s="4">
        <v>0</v>
      </c>
      <c r="AO5776" s="4">
        <v>0</v>
      </c>
      <c r="AP5776" s="4">
        <v>21</v>
      </c>
      <c r="AQ5776" s="4">
        <v>23</v>
      </c>
      <c r="AR5776" s="3" t="s">
        <v>62</v>
      </c>
      <c r="AS5776" s="3" t="s">
        <v>62</v>
      </c>
      <c r="AT5776" s="3" t="s">
        <v>62</v>
      </c>
      <c r="AV5776" s="6" t="str">
        <f>HYPERLINK("http://mcgill.on.worldcat.org/oclc/7731513","Catalog Record")</f>
        <v>Catalog Record</v>
      </c>
      <c r="AW5776" s="6" t="str">
        <f>HYPERLINK("http://www.worldcat.org/oclc/7731513","WorldCat Record")</f>
        <v>WorldCat Record</v>
      </c>
      <c r="AX5776" s="3" t="s">
        <v>55552</v>
      </c>
      <c r="AY5776" s="3" t="s">
        <v>55553</v>
      </c>
      <c r="AZ5776" s="3" t="s">
        <v>55554</v>
      </c>
      <c r="BA5776" s="3" t="s">
        <v>55554</v>
      </c>
      <c r="BB5776" s="3" t="s">
        <v>55555</v>
      </c>
      <c r="BC5776" s="3" t="s">
        <v>142</v>
      </c>
      <c r="BD5776" s="3" t="s">
        <v>68</v>
      </c>
      <c r="BE5776" s="3" t="s">
        <v>55556</v>
      </c>
      <c r="BF5776" s="3" t="s">
        <v>55555</v>
      </c>
      <c r="BG5776" s="3" t="s">
        <v>55557</v>
      </c>
    </row>
    <row r="5777" spans="1:59" ht="57" x14ac:dyDescent="0.45">
      <c r="A5777" s="2" t="s">
        <v>59</v>
      </c>
      <c r="B5777" s="2" t="s">
        <v>60</v>
      </c>
      <c r="C5777" s="2" t="s">
        <v>55558</v>
      </c>
      <c r="D5777" s="2" t="s">
        <v>55559</v>
      </c>
      <c r="E5777" s="2" t="s">
        <v>55560</v>
      </c>
      <c r="G5777" s="3" t="s">
        <v>62</v>
      </c>
      <c r="I5777" s="3" t="s">
        <v>62</v>
      </c>
      <c r="J5777" s="3" t="s">
        <v>62</v>
      </c>
      <c r="K5777" s="3" t="s">
        <v>63</v>
      </c>
      <c r="L5777" s="2" t="s">
        <v>40643</v>
      </c>
      <c r="M5777" s="2" t="s">
        <v>39408</v>
      </c>
      <c r="N5777" s="3" t="s">
        <v>1059</v>
      </c>
      <c r="P5777" s="3" t="s">
        <v>65</v>
      </c>
      <c r="Q5777" s="2" t="s">
        <v>25561</v>
      </c>
      <c r="R5777" s="3" t="s">
        <v>66</v>
      </c>
      <c r="S5777" s="4">
        <v>5</v>
      </c>
      <c r="T5777" s="4">
        <v>5</v>
      </c>
      <c r="U5777" s="5" t="s">
        <v>49045</v>
      </c>
      <c r="V5777" s="5" t="s">
        <v>49045</v>
      </c>
      <c r="W5777" s="5" t="s">
        <v>67</v>
      </c>
      <c r="X5777" s="5" t="s">
        <v>67</v>
      </c>
      <c r="Y5777" s="4">
        <v>275</v>
      </c>
      <c r="Z5777" s="4">
        <v>20</v>
      </c>
      <c r="AA5777" s="4">
        <v>20</v>
      </c>
      <c r="AB5777" s="4">
        <v>2</v>
      </c>
      <c r="AC5777" s="4">
        <v>2</v>
      </c>
      <c r="AD5777" s="4">
        <v>78</v>
      </c>
      <c r="AE5777" s="4">
        <v>78</v>
      </c>
      <c r="AF5777" s="4">
        <v>1</v>
      </c>
      <c r="AG5777" s="4">
        <v>1</v>
      </c>
      <c r="AH5777" s="4">
        <v>69</v>
      </c>
      <c r="AI5777" s="4">
        <v>69</v>
      </c>
      <c r="AJ5777" s="4">
        <v>15</v>
      </c>
      <c r="AK5777" s="4">
        <v>15</v>
      </c>
      <c r="AL5777" s="4">
        <v>42</v>
      </c>
      <c r="AM5777" s="4">
        <v>42</v>
      </c>
      <c r="AN5777" s="4">
        <v>0</v>
      </c>
      <c r="AO5777" s="4">
        <v>0</v>
      </c>
      <c r="AP5777" s="4">
        <v>16</v>
      </c>
      <c r="AQ5777" s="4">
        <v>16</v>
      </c>
      <c r="AR5777" s="3" t="s">
        <v>62</v>
      </c>
      <c r="AS5777" s="3" t="s">
        <v>62</v>
      </c>
      <c r="AT5777" s="3" t="s">
        <v>61</v>
      </c>
      <c r="AU5777" s="6" t="str">
        <f>HYPERLINK("http://catalog.hathitrust.org/Record/005407418","HathiTrust Record")</f>
        <v>HathiTrust Record</v>
      </c>
      <c r="AV5777" s="6" t="str">
        <f>HYPERLINK("http://mcgill.on.worldcat.org/oclc/63400006","Catalog Record")</f>
        <v>Catalog Record</v>
      </c>
      <c r="AW5777" s="6" t="str">
        <f>HYPERLINK("http://www.worldcat.org/oclc/63400006","WorldCat Record")</f>
        <v>WorldCat Record</v>
      </c>
      <c r="AX5777" s="3" t="s">
        <v>55561</v>
      </c>
      <c r="AY5777" s="3" t="s">
        <v>55562</v>
      </c>
      <c r="AZ5777" s="3" t="s">
        <v>55563</v>
      </c>
      <c r="BA5777" s="3" t="s">
        <v>55563</v>
      </c>
      <c r="BB5777" s="3" t="s">
        <v>55564</v>
      </c>
      <c r="BC5777" s="3" t="s">
        <v>142</v>
      </c>
      <c r="BD5777" s="3" t="s">
        <v>68</v>
      </c>
      <c r="BE5777" s="3" t="s">
        <v>55565</v>
      </c>
      <c r="BF5777" s="3" t="s">
        <v>55564</v>
      </c>
      <c r="BG5777" s="3" t="s">
        <v>55566</v>
      </c>
    </row>
    <row r="5778" spans="1:59" ht="57" x14ac:dyDescent="0.45">
      <c r="A5778" s="2" t="s">
        <v>59</v>
      </c>
      <c r="B5778" s="2" t="s">
        <v>60</v>
      </c>
      <c r="C5778" s="2" t="s">
        <v>55567</v>
      </c>
      <c r="D5778" s="2" t="s">
        <v>55568</v>
      </c>
      <c r="E5778" s="2" t="s">
        <v>55569</v>
      </c>
      <c r="G5778" s="3" t="s">
        <v>62</v>
      </c>
      <c r="I5778" s="3" t="s">
        <v>62</v>
      </c>
      <c r="J5778" s="3" t="s">
        <v>62</v>
      </c>
      <c r="K5778" s="3" t="s">
        <v>63</v>
      </c>
      <c r="L5778" s="2" t="s">
        <v>55570</v>
      </c>
      <c r="M5778" s="2" t="s">
        <v>55571</v>
      </c>
      <c r="N5778" s="3" t="s">
        <v>894</v>
      </c>
      <c r="P5778" s="3" t="s">
        <v>65</v>
      </c>
      <c r="Q5778" s="2" t="s">
        <v>55572</v>
      </c>
      <c r="R5778" s="3" t="s">
        <v>66</v>
      </c>
      <c r="S5778" s="4">
        <v>7</v>
      </c>
      <c r="T5778" s="4">
        <v>7</v>
      </c>
      <c r="U5778" s="5" t="s">
        <v>14063</v>
      </c>
      <c r="V5778" s="5" t="s">
        <v>14063</v>
      </c>
      <c r="W5778" s="5" t="s">
        <v>67</v>
      </c>
      <c r="X5778" s="5" t="s">
        <v>67</v>
      </c>
      <c r="Y5778" s="4">
        <v>46</v>
      </c>
      <c r="Z5778" s="4">
        <v>5</v>
      </c>
      <c r="AA5778" s="4">
        <v>9</v>
      </c>
      <c r="AB5778" s="4">
        <v>1</v>
      </c>
      <c r="AC5778" s="4">
        <v>1</v>
      </c>
      <c r="AD5778" s="4">
        <v>10</v>
      </c>
      <c r="AE5778" s="4">
        <v>23</v>
      </c>
      <c r="AF5778" s="4">
        <v>0</v>
      </c>
      <c r="AG5778" s="4">
        <v>0</v>
      </c>
      <c r="AH5778" s="4">
        <v>9</v>
      </c>
      <c r="AI5778" s="4">
        <v>19</v>
      </c>
      <c r="AJ5778" s="4">
        <v>3</v>
      </c>
      <c r="AK5778" s="4">
        <v>7</v>
      </c>
      <c r="AL5778" s="4">
        <v>6</v>
      </c>
      <c r="AM5778" s="4">
        <v>10</v>
      </c>
      <c r="AN5778" s="4">
        <v>0</v>
      </c>
      <c r="AO5778" s="4">
        <v>0</v>
      </c>
      <c r="AP5778" s="4">
        <v>4</v>
      </c>
      <c r="AQ5778" s="4">
        <v>8</v>
      </c>
      <c r="AR5778" s="3" t="s">
        <v>62</v>
      </c>
      <c r="AS5778" s="3" t="s">
        <v>62</v>
      </c>
      <c r="AT5778" s="3" t="s">
        <v>62</v>
      </c>
      <c r="AV5778" s="6" t="str">
        <f>HYPERLINK("http://mcgill.on.worldcat.org/oclc/697776752","Catalog Record")</f>
        <v>Catalog Record</v>
      </c>
      <c r="AW5778" s="6" t="str">
        <f>HYPERLINK("http://www.worldcat.org/oclc/697776752","WorldCat Record")</f>
        <v>WorldCat Record</v>
      </c>
      <c r="AX5778" s="3" t="s">
        <v>55573</v>
      </c>
      <c r="AY5778" s="3" t="s">
        <v>55574</v>
      </c>
      <c r="AZ5778" s="3" t="s">
        <v>55575</v>
      </c>
      <c r="BA5778" s="3" t="s">
        <v>55575</v>
      </c>
      <c r="BB5778" s="3" t="s">
        <v>55576</v>
      </c>
      <c r="BC5778" s="3" t="s">
        <v>142</v>
      </c>
      <c r="BD5778" s="3" t="s">
        <v>68</v>
      </c>
      <c r="BE5778" s="3" t="s">
        <v>55577</v>
      </c>
      <c r="BF5778" s="3" t="s">
        <v>55576</v>
      </c>
      <c r="BG5778" s="3" t="s">
        <v>55578</v>
      </c>
    </row>
    <row r="5779" spans="1:59" ht="57" x14ac:dyDescent="0.45">
      <c r="A5779" s="2" t="s">
        <v>59</v>
      </c>
      <c r="B5779" s="2" t="s">
        <v>60</v>
      </c>
      <c r="C5779" s="2" t="s">
        <v>55579</v>
      </c>
      <c r="D5779" s="2" t="s">
        <v>55580</v>
      </c>
      <c r="E5779" s="2" t="s">
        <v>55581</v>
      </c>
      <c r="G5779" s="3" t="s">
        <v>62</v>
      </c>
      <c r="I5779" s="3" t="s">
        <v>62</v>
      </c>
      <c r="J5779" s="3" t="s">
        <v>62</v>
      </c>
      <c r="K5779" s="3" t="s">
        <v>63</v>
      </c>
      <c r="L5779" s="2" t="s">
        <v>55582</v>
      </c>
      <c r="M5779" s="2" t="s">
        <v>5360</v>
      </c>
      <c r="N5779" s="3" t="s">
        <v>1059</v>
      </c>
      <c r="P5779" s="3" t="s">
        <v>65</v>
      </c>
      <c r="R5779" s="3" t="s">
        <v>66</v>
      </c>
      <c r="S5779" s="4">
        <v>24</v>
      </c>
      <c r="T5779" s="4">
        <v>24</v>
      </c>
      <c r="U5779" s="5" t="s">
        <v>8454</v>
      </c>
      <c r="V5779" s="5" t="s">
        <v>8454</v>
      </c>
      <c r="W5779" s="5" t="s">
        <v>67</v>
      </c>
      <c r="X5779" s="5" t="s">
        <v>67</v>
      </c>
      <c r="Y5779" s="4">
        <v>261</v>
      </c>
      <c r="Z5779" s="4">
        <v>20</v>
      </c>
      <c r="AA5779" s="4">
        <v>97</v>
      </c>
      <c r="AB5779" s="4">
        <v>2</v>
      </c>
      <c r="AC5779" s="4">
        <v>18</v>
      </c>
      <c r="AD5779" s="4">
        <v>88</v>
      </c>
      <c r="AE5779" s="4">
        <v>138</v>
      </c>
      <c r="AF5779" s="4">
        <v>1</v>
      </c>
      <c r="AG5779" s="4">
        <v>8</v>
      </c>
      <c r="AH5779" s="4">
        <v>80</v>
      </c>
      <c r="AI5779" s="4">
        <v>101</v>
      </c>
      <c r="AJ5779" s="4">
        <v>14</v>
      </c>
      <c r="AK5779" s="4">
        <v>24</v>
      </c>
      <c r="AL5779" s="4">
        <v>45</v>
      </c>
      <c r="AM5779" s="4">
        <v>55</v>
      </c>
      <c r="AN5779" s="4">
        <v>0</v>
      </c>
      <c r="AO5779" s="4">
        <v>0</v>
      </c>
      <c r="AP5779" s="4">
        <v>16</v>
      </c>
      <c r="AQ5779" s="4">
        <v>46</v>
      </c>
      <c r="AR5779" s="3" t="s">
        <v>62</v>
      </c>
      <c r="AS5779" s="3" t="s">
        <v>62</v>
      </c>
      <c r="AT5779" s="3" t="s">
        <v>61</v>
      </c>
      <c r="AU5779" s="6" t="str">
        <f>HYPERLINK("http://catalog.hathitrust.org/Record/007551538","HathiTrust Record")</f>
        <v>HathiTrust Record</v>
      </c>
      <c r="AV5779" s="6" t="str">
        <f>HYPERLINK("http://mcgill.on.worldcat.org/oclc/63399155","Catalog Record")</f>
        <v>Catalog Record</v>
      </c>
      <c r="AW5779" s="6" t="str">
        <f>HYPERLINK("http://www.worldcat.org/oclc/63399155","WorldCat Record")</f>
        <v>WorldCat Record</v>
      </c>
      <c r="AX5779" s="3" t="s">
        <v>55583</v>
      </c>
      <c r="AY5779" s="3" t="s">
        <v>55584</v>
      </c>
      <c r="AZ5779" s="3" t="s">
        <v>55585</v>
      </c>
      <c r="BA5779" s="3" t="s">
        <v>55585</v>
      </c>
      <c r="BB5779" s="3" t="s">
        <v>55586</v>
      </c>
      <c r="BC5779" s="3" t="s">
        <v>142</v>
      </c>
      <c r="BD5779" s="3" t="s">
        <v>68</v>
      </c>
      <c r="BE5779" s="3" t="s">
        <v>55587</v>
      </c>
      <c r="BF5779" s="3" t="s">
        <v>55586</v>
      </c>
      <c r="BG5779" s="3" t="s">
        <v>55588</v>
      </c>
    </row>
    <row r="5780" spans="1:59" ht="57" x14ac:dyDescent="0.45">
      <c r="A5780" s="2" t="s">
        <v>59</v>
      </c>
      <c r="B5780" s="2" t="s">
        <v>60</v>
      </c>
      <c r="C5780" s="2" t="s">
        <v>55589</v>
      </c>
      <c r="D5780" s="2" t="s">
        <v>55590</v>
      </c>
      <c r="E5780" s="2" t="s">
        <v>55591</v>
      </c>
      <c r="G5780" s="3" t="s">
        <v>62</v>
      </c>
      <c r="I5780" s="3" t="s">
        <v>62</v>
      </c>
      <c r="J5780" s="3" t="s">
        <v>62</v>
      </c>
      <c r="K5780" s="3" t="s">
        <v>63</v>
      </c>
      <c r="L5780" s="2" t="s">
        <v>55592</v>
      </c>
      <c r="M5780" s="2" t="s">
        <v>2583</v>
      </c>
      <c r="N5780" s="3" t="s">
        <v>195</v>
      </c>
      <c r="P5780" s="3" t="s">
        <v>65</v>
      </c>
      <c r="Q5780" s="2" t="s">
        <v>7366</v>
      </c>
      <c r="R5780" s="3" t="s">
        <v>66</v>
      </c>
      <c r="S5780" s="4">
        <v>13</v>
      </c>
      <c r="T5780" s="4">
        <v>13</v>
      </c>
      <c r="U5780" s="5" t="s">
        <v>35527</v>
      </c>
      <c r="V5780" s="5" t="s">
        <v>35527</v>
      </c>
      <c r="W5780" s="5" t="s">
        <v>67</v>
      </c>
      <c r="X5780" s="5" t="s">
        <v>67</v>
      </c>
      <c r="Y5780" s="4">
        <v>320</v>
      </c>
      <c r="Z5780" s="4">
        <v>19</v>
      </c>
      <c r="AA5780" s="4">
        <v>22</v>
      </c>
      <c r="AB5780" s="4">
        <v>2</v>
      </c>
      <c r="AC5780" s="4">
        <v>5</v>
      </c>
      <c r="AD5780" s="4">
        <v>78</v>
      </c>
      <c r="AE5780" s="4">
        <v>79</v>
      </c>
      <c r="AF5780" s="4">
        <v>1</v>
      </c>
      <c r="AG5780" s="4">
        <v>1</v>
      </c>
      <c r="AH5780" s="4">
        <v>70</v>
      </c>
      <c r="AI5780" s="4">
        <v>71</v>
      </c>
      <c r="AJ5780" s="4">
        <v>12</v>
      </c>
      <c r="AK5780" s="4">
        <v>12</v>
      </c>
      <c r="AL5780" s="4">
        <v>40</v>
      </c>
      <c r="AM5780" s="4">
        <v>40</v>
      </c>
      <c r="AN5780" s="4">
        <v>0</v>
      </c>
      <c r="AO5780" s="4">
        <v>0</v>
      </c>
      <c r="AP5780" s="4">
        <v>13</v>
      </c>
      <c r="AQ5780" s="4">
        <v>13</v>
      </c>
      <c r="AR5780" s="3" t="s">
        <v>62</v>
      </c>
      <c r="AS5780" s="3" t="s">
        <v>62</v>
      </c>
      <c r="AT5780" s="3" t="s">
        <v>62</v>
      </c>
      <c r="AV5780" s="6" t="str">
        <f>HYPERLINK("http://mcgill.on.worldcat.org/oclc/26401230","Catalog Record")</f>
        <v>Catalog Record</v>
      </c>
      <c r="AW5780" s="6" t="str">
        <f>HYPERLINK("http://www.worldcat.org/oclc/26401230","WorldCat Record")</f>
        <v>WorldCat Record</v>
      </c>
      <c r="AX5780" s="3" t="s">
        <v>55593</v>
      </c>
      <c r="AY5780" s="3" t="s">
        <v>55594</v>
      </c>
      <c r="AZ5780" s="3" t="s">
        <v>55595</v>
      </c>
      <c r="BA5780" s="3" t="s">
        <v>55595</v>
      </c>
      <c r="BB5780" s="3" t="s">
        <v>55596</v>
      </c>
      <c r="BC5780" s="3" t="s">
        <v>142</v>
      </c>
      <c r="BD5780" s="3" t="s">
        <v>308</v>
      </c>
      <c r="BE5780" s="3" t="s">
        <v>55597</v>
      </c>
      <c r="BF5780" s="3" t="s">
        <v>55596</v>
      </c>
      <c r="BG5780" s="3" t="s">
        <v>55598</v>
      </c>
    </row>
    <row r="5781" spans="1:59" ht="57" x14ac:dyDescent="0.45">
      <c r="A5781" s="2" t="s">
        <v>59</v>
      </c>
      <c r="B5781" s="2" t="s">
        <v>60</v>
      </c>
      <c r="C5781" s="2" t="s">
        <v>55599</v>
      </c>
      <c r="D5781" s="2" t="s">
        <v>55600</v>
      </c>
      <c r="E5781" s="2" t="s">
        <v>55601</v>
      </c>
      <c r="G5781" s="3" t="s">
        <v>62</v>
      </c>
      <c r="I5781" s="3" t="s">
        <v>62</v>
      </c>
      <c r="J5781" s="3" t="s">
        <v>62</v>
      </c>
      <c r="K5781" s="3" t="s">
        <v>63</v>
      </c>
      <c r="L5781" s="2" t="s">
        <v>55602</v>
      </c>
      <c r="M5781" s="2" t="s">
        <v>55603</v>
      </c>
      <c r="N5781" s="3" t="s">
        <v>945</v>
      </c>
      <c r="P5781" s="3" t="s">
        <v>65</v>
      </c>
      <c r="R5781" s="3" t="s">
        <v>66</v>
      </c>
      <c r="S5781" s="4">
        <v>16</v>
      </c>
      <c r="T5781" s="4">
        <v>16</v>
      </c>
      <c r="U5781" s="5" t="s">
        <v>1640</v>
      </c>
      <c r="V5781" s="5" t="s">
        <v>1640</v>
      </c>
      <c r="W5781" s="5" t="s">
        <v>67</v>
      </c>
      <c r="X5781" s="5" t="s">
        <v>67</v>
      </c>
      <c r="Y5781" s="4">
        <v>146</v>
      </c>
      <c r="Z5781" s="4">
        <v>15</v>
      </c>
      <c r="AA5781" s="4">
        <v>22</v>
      </c>
      <c r="AB5781" s="4">
        <v>2</v>
      </c>
      <c r="AC5781" s="4">
        <v>7</v>
      </c>
      <c r="AD5781" s="4">
        <v>32</v>
      </c>
      <c r="AE5781" s="4">
        <v>41</v>
      </c>
      <c r="AF5781" s="4">
        <v>1</v>
      </c>
      <c r="AG5781" s="4">
        <v>3</v>
      </c>
      <c r="AH5781" s="4">
        <v>27</v>
      </c>
      <c r="AI5781" s="4">
        <v>33</v>
      </c>
      <c r="AJ5781" s="4">
        <v>12</v>
      </c>
      <c r="AK5781" s="4">
        <v>15</v>
      </c>
      <c r="AL5781" s="4">
        <v>14</v>
      </c>
      <c r="AM5781" s="4">
        <v>17</v>
      </c>
      <c r="AN5781" s="4">
        <v>0</v>
      </c>
      <c r="AO5781" s="4">
        <v>0</v>
      </c>
      <c r="AP5781" s="4">
        <v>13</v>
      </c>
      <c r="AQ5781" s="4">
        <v>17</v>
      </c>
      <c r="AR5781" s="3" t="s">
        <v>62</v>
      </c>
      <c r="AS5781" s="3" t="s">
        <v>62</v>
      </c>
      <c r="AT5781" s="3" t="s">
        <v>62</v>
      </c>
      <c r="AV5781" s="6" t="str">
        <f>HYPERLINK("http://mcgill.on.worldcat.org/oclc/74966837","Catalog Record")</f>
        <v>Catalog Record</v>
      </c>
      <c r="AW5781" s="6" t="str">
        <f>HYPERLINK("http://www.worldcat.org/oclc/74966837","WorldCat Record")</f>
        <v>WorldCat Record</v>
      </c>
      <c r="AX5781" s="3" t="s">
        <v>55604</v>
      </c>
      <c r="AY5781" s="3" t="s">
        <v>55605</v>
      </c>
      <c r="AZ5781" s="3" t="s">
        <v>55606</v>
      </c>
      <c r="BA5781" s="3" t="s">
        <v>55606</v>
      </c>
      <c r="BB5781" s="3" t="s">
        <v>55607</v>
      </c>
      <c r="BC5781" s="3" t="s">
        <v>142</v>
      </c>
      <c r="BD5781" s="3" t="s">
        <v>308</v>
      </c>
      <c r="BE5781" s="3" t="s">
        <v>55608</v>
      </c>
      <c r="BF5781" s="3" t="s">
        <v>55607</v>
      </c>
      <c r="BG5781" s="3" t="s">
        <v>55609</v>
      </c>
    </row>
    <row r="5782" spans="1:59" ht="57" x14ac:dyDescent="0.45">
      <c r="A5782" s="2" t="s">
        <v>59</v>
      </c>
      <c r="B5782" s="2" t="s">
        <v>60</v>
      </c>
      <c r="C5782" s="2" t="s">
        <v>55610</v>
      </c>
      <c r="D5782" s="2" t="s">
        <v>55611</v>
      </c>
      <c r="E5782" s="2" t="s">
        <v>55612</v>
      </c>
      <c r="G5782" s="3" t="s">
        <v>62</v>
      </c>
      <c r="I5782" s="3" t="s">
        <v>62</v>
      </c>
      <c r="J5782" s="3" t="s">
        <v>62</v>
      </c>
      <c r="K5782" s="3" t="s">
        <v>63</v>
      </c>
      <c r="L5782" s="2" t="s">
        <v>55613</v>
      </c>
      <c r="M5782" s="2" t="s">
        <v>55614</v>
      </c>
      <c r="N5782" s="3" t="s">
        <v>1253</v>
      </c>
      <c r="P5782" s="3" t="s">
        <v>65</v>
      </c>
      <c r="R5782" s="3" t="s">
        <v>66</v>
      </c>
      <c r="S5782" s="4">
        <v>8</v>
      </c>
      <c r="T5782" s="4">
        <v>8</v>
      </c>
      <c r="U5782" s="5" t="s">
        <v>21019</v>
      </c>
      <c r="V5782" s="5" t="s">
        <v>21019</v>
      </c>
      <c r="W5782" s="5" t="s">
        <v>67</v>
      </c>
      <c r="X5782" s="5" t="s">
        <v>67</v>
      </c>
      <c r="Y5782" s="4">
        <v>299</v>
      </c>
      <c r="Z5782" s="4">
        <v>14</v>
      </c>
      <c r="AA5782" s="4">
        <v>17</v>
      </c>
      <c r="AB5782" s="4">
        <v>1</v>
      </c>
      <c r="AC5782" s="4">
        <v>4</v>
      </c>
      <c r="AD5782" s="4">
        <v>100</v>
      </c>
      <c r="AE5782" s="4">
        <v>101</v>
      </c>
      <c r="AF5782" s="4">
        <v>0</v>
      </c>
      <c r="AG5782" s="4">
        <v>0</v>
      </c>
      <c r="AH5782" s="4">
        <v>93</v>
      </c>
      <c r="AI5782" s="4">
        <v>94</v>
      </c>
      <c r="AJ5782" s="4">
        <v>11</v>
      </c>
      <c r="AK5782" s="4">
        <v>11</v>
      </c>
      <c r="AL5782" s="4">
        <v>52</v>
      </c>
      <c r="AM5782" s="4">
        <v>52</v>
      </c>
      <c r="AN5782" s="4">
        <v>0</v>
      </c>
      <c r="AO5782" s="4">
        <v>0</v>
      </c>
      <c r="AP5782" s="4">
        <v>12</v>
      </c>
      <c r="AQ5782" s="4">
        <v>12</v>
      </c>
      <c r="AR5782" s="3" t="s">
        <v>62</v>
      </c>
      <c r="AS5782" s="3" t="s">
        <v>62</v>
      </c>
      <c r="AT5782" s="3" t="s">
        <v>61</v>
      </c>
      <c r="AU5782" s="6" t="str">
        <f>HYPERLINK("http://catalog.hathitrust.org/Record/003178004","HathiTrust Record")</f>
        <v>HathiTrust Record</v>
      </c>
      <c r="AV5782" s="6" t="str">
        <f>HYPERLINK("http://mcgill.on.worldcat.org/oclc/35723671","Catalog Record")</f>
        <v>Catalog Record</v>
      </c>
      <c r="AW5782" s="6" t="str">
        <f>HYPERLINK("http://www.worldcat.org/oclc/35723671","WorldCat Record")</f>
        <v>WorldCat Record</v>
      </c>
      <c r="AX5782" s="3" t="s">
        <v>55615</v>
      </c>
      <c r="AY5782" s="3" t="s">
        <v>55616</v>
      </c>
      <c r="AZ5782" s="3" t="s">
        <v>55617</v>
      </c>
      <c r="BA5782" s="3" t="s">
        <v>55617</v>
      </c>
      <c r="BB5782" s="3" t="s">
        <v>55618</v>
      </c>
      <c r="BC5782" s="3" t="s">
        <v>142</v>
      </c>
      <c r="BD5782" s="3" t="s">
        <v>308</v>
      </c>
      <c r="BE5782" s="3" t="s">
        <v>55619</v>
      </c>
      <c r="BF5782" s="3" t="s">
        <v>55618</v>
      </c>
      <c r="BG5782" s="3" t="s">
        <v>55620</v>
      </c>
    </row>
    <row r="5783" spans="1:59" ht="57" x14ac:dyDescent="0.45">
      <c r="A5783" s="2" t="s">
        <v>59</v>
      </c>
      <c r="B5783" s="2" t="s">
        <v>60</v>
      </c>
      <c r="C5783" s="2" t="s">
        <v>55621</v>
      </c>
      <c r="D5783" s="2" t="s">
        <v>55622</v>
      </c>
      <c r="E5783" s="2" t="s">
        <v>55623</v>
      </c>
      <c r="G5783" s="3" t="s">
        <v>62</v>
      </c>
      <c r="I5783" s="3" t="s">
        <v>62</v>
      </c>
      <c r="J5783" s="3" t="s">
        <v>62</v>
      </c>
      <c r="K5783" s="3" t="s">
        <v>63</v>
      </c>
      <c r="L5783" s="2" t="s">
        <v>20903</v>
      </c>
      <c r="M5783" s="2" t="s">
        <v>55624</v>
      </c>
      <c r="N5783" s="3" t="s">
        <v>106</v>
      </c>
      <c r="P5783" s="3" t="s">
        <v>65</v>
      </c>
      <c r="Q5783" s="2" t="s">
        <v>29735</v>
      </c>
      <c r="R5783" s="3" t="s">
        <v>66</v>
      </c>
      <c r="S5783" s="4">
        <v>44</v>
      </c>
      <c r="T5783" s="4">
        <v>44</v>
      </c>
      <c r="U5783" s="5" t="s">
        <v>16077</v>
      </c>
      <c r="V5783" s="5" t="s">
        <v>16077</v>
      </c>
      <c r="W5783" s="5" t="s">
        <v>67</v>
      </c>
      <c r="X5783" s="5" t="s">
        <v>67</v>
      </c>
      <c r="Y5783" s="4">
        <v>787</v>
      </c>
      <c r="Z5783" s="4">
        <v>45</v>
      </c>
      <c r="AA5783" s="4">
        <v>55</v>
      </c>
      <c r="AB5783" s="4">
        <v>4</v>
      </c>
      <c r="AC5783" s="4">
        <v>12</v>
      </c>
      <c r="AD5783" s="4">
        <v>133</v>
      </c>
      <c r="AE5783" s="4">
        <v>138</v>
      </c>
      <c r="AF5783" s="4">
        <v>2</v>
      </c>
      <c r="AG5783" s="4">
        <v>5</v>
      </c>
      <c r="AH5783" s="4">
        <v>110</v>
      </c>
      <c r="AI5783" s="4">
        <v>111</v>
      </c>
      <c r="AJ5783" s="4">
        <v>21</v>
      </c>
      <c r="AK5783" s="4">
        <v>24</v>
      </c>
      <c r="AL5783" s="4">
        <v>60</v>
      </c>
      <c r="AM5783" s="4">
        <v>60</v>
      </c>
      <c r="AN5783" s="4">
        <v>0</v>
      </c>
      <c r="AO5783" s="4">
        <v>0</v>
      </c>
      <c r="AP5783" s="4">
        <v>33</v>
      </c>
      <c r="AQ5783" s="4">
        <v>37</v>
      </c>
      <c r="AR5783" s="3" t="s">
        <v>62</v>
      </c>
      <c r="AS5783" s="3" t="s">
        <v>62</v>
      </c>
      <c r="AT5783" s="3" t="s">
        <v>62</v>
      </c>
      <c r="AV5783" s="6" t="str">
        <f>HYPERLINK("http://mcgill.on.worldcat.org/oclc/9131532","Catalog Record")</f>
        <v>Catalog Record</v>
      </c>
      <c r="AW5783" s="6" t="str">
        <f>HYPERLINK("http://www.worldcat.org/oclc/9131532","WorldCat Record")</f>
        <v>WorldCat Record</v>
      </c>
      <c r="AX5783" s="3" t="s">
        <v>55625</v>
      </c>
      <c r="AY5783" s="3" t="s">
        <v>55626</v>
      </c>
      <c r="AZ5783" s="3" t="s">
        <v>55627</v>
      </c>
      <c r="BA5783" s="3" t="s">
        <v>55627</v>
      </c>
      <c r="BB5783" s="3" t="s">
        <v>55628</v>
      </c>
      <c r="BC5783" s="3" t="s">
        <v>142</v>
      </c>
      <c r="BD5783" s="3" t="s">
        <v>68</v>
      </c>
      <c r="BE5783" s="3" t="s">
        <v>55629</v>
      </c>
      <c r="BF5783" s="3" t="s">
        <v>55628</v>
      </c>
      <c r="BG5783" s="3" t="s">
        <v>55630</v>
      </c>
    </row>
    <row r="5784" spans="1:59" ht="57" x14ac:dyDescent="0.45">
      <c r="A5784" s="2" t="s">
        <v>59</v>
      </c>
      <c r="B5784" s="2" t="s">
        <v>60</v>
      </c>
      <c r="C5784" s="2" t="s">
        <v>55631</v>
      </c>
      <c r="D5784" s="2" t="s">
        <v>55632</v>
      </c>
      <c r="E5784" s="2" t="s">
        <v>55633</v>
      </c>
      <c r="G5784" s="3" t="s">
        <v>62</v>
      </c>
      <c r="I5784" s="3" t="s">
        <v>62</v>
      </c>
      <c r="J5784" s="3" t="s">
        <v>62</v>
      </c>
      <c r="K5784" s="3" t="s">
        <v>63</v>
      </c>
      <c r="L5784" s="2" t="s">
        <v>5567</v>
      </c>
      <c r="M5784" s="2" t="s">
        <v>55634</v>
      </c>
      <c r="N5784" s="3" t="s">
        <v>542</v>
      </c>
      <c r="P5784" s="3" t="s">
        <v>65</v>
      </c>
      <c r="R5784" s="3" t="s">
        <v>66</v>
      </c>
      <c r="S5784" s="4">
        <v>21</v>
      </c>
      <c r="T5784" s="4">
        <v>21</v>
      </c>
      <c r="U5784" s="5" t="s">
        <v>35527</v>
      </c>
      <c r="V5784" s="5" t="s">
        <v>35527</v>
      </c>
      <c r="W5784" s="5" t="s">
        <v>67</v>
      </c>
      <c r="X5784" s="5" t="s">
        <v>67</v>
      </c>
      <c r="Y5784" s="4">
        <v>302</v>
      </c>
      <c r="Z5784" s="4">
        <v>21</v>
      </c>
      <c r="AA5784" s="4">
        <v>27</v>
      </c>
      <c r="AB5784" s="4">
        <v>3</v>
      </c>
      <c r="AC5784" s="4">
        <v>6</v>
      </c>
      <c r="AD5784" s="4">
        <v>88</v>
      </c>
      <c r="AE5784" s="4">
        <v>90</v>
      </c>
      <c r="AF5784" s="4">
        <v>1</v>
      </c>
      <c r="AG5784" s="4">
        <v>2</v>
      </c>
      <c r="AH5784" s="4">
        <v>80</v>
      </c>
      <c r="AI5784" s="4">
        <v>81</v>
      </c>
      <c r="AJ5784" s="4">
        <v>14</v>
      </c>
      <c r="AK5784" s="4">
        <v>15</v>
      </c>
      <c r="AL5784" s="4">
        <v>41</v>
      </c>
      <c r="AM5784" s="4">
        <v>41</v>
      </c>
      <c r="AN5784" s="4">
        <v>0</v>
      </c>
      <c r="AO5784" s="4">
        <v>0</v>
      </c>
      <c r="AP5784" s="4">
        <v>16</v>
      </c>
      <c r="AQ5784" s="4">
        <v>18</v>
      </c>
      <c r="AR5784" s="3" t="s">
        <v>62</v>
      </c>
      <c r="AS5784" s="3" t="s">
        <v>62</v>
      </c>
      <c r="AT5784" s="3" t="s">
        <v>61</v>
      </c>
      <c r="AU5784" s="6" t="str">
        <f>HYPERLINK("http://catalog.hathitrust.org/Record/004168051","HathiTrust Record")</f>
        <v>HathiTrust Record</v>
      </c>
      <c r="AV5784" s="6" t="str">
        <f>HYPERLINK("http://mcgill.on.worldcat.org/oclc/45827743","Catalog Record")</f>
        <v>Catalog Record</v>
      </c>
      <c r="AW5784" s="6" t="str">
        <f>HYPERLINK("http://www.worldcat.org/oclc/45827743","WorldCat Record")</f>
        <v>WorldCat Record</v>
      </c>
      <c r="AX5784" s="3" t="s">
        <v>55635</v>
      </c>
      <c r="AY5784" s="3" t="s">
        <v>55636</v>
      </c>
      <c r="AZ5784" s="3" t="s">
        <v>55637</v>
      </c>
      <c r="BA5784" s="3" t="s">
        <v>55637</v>
      </c>
      <c r="BB5784" s="3" t="s">
        <v>55638</v>
      </c>
      <c r="BC5784" s="3" t="s">
        <v>142</v>
      </c>
      <c r="BD5784" s="3" t="s">
        <v>308</v>
      </c>
      <c r="BE5784" s="3" t="s">
        <v>55639</v>
      </c>
      <c r="BF5784" s="3" t="s">
        <v>55638</v>
      </c>
      <c r="BG5784" s="3" t="s">
        <v>55640</v>
      </c>
    </row>
    <row r="5785" spans="1:59" ht="57" x14ac:dyDescent="0.45">
      <c r="A5785" s="2" t="s">
        <v>59</v>
      </c>
      <c r="B5785" s="2" t="s">
        <v>60</v>
      </c>
      <c r="C5785" s="2" t="s">
        <v>55641</v>
      </c>
      <c r="D5785" s="2" t="s">
        <v>55642</v>
      </c>
      <c r="E5785" s="2" t="s">
        <v>55643</v>
      </c>
      <c r="G5785" s="3" t="s">
        <v>62</v>
      </c>
      <c r="I5785" s="3" t="s">
        <v>62</v>
      </c>
      <c r="J5785" s="3" t="s">
        <v>62</v>
      </c>
      <c r="K5785" s="3" t="s">
        <v>63</v>
      </c>
      <c r="L5785" s="2" t="s">
        <v>55644</v>
      </c>
      <c r="M5785" s="2" t="s">
        <v>55645</v>
      </c>
      <c r="N5785" s="3" t="s">
        <v>894</v>
      </c>
      <c r="P5785" s="3" t="s">
        <v>65</v>
      </c>
      <c r="R5785" s="3" t="s">
        <v>66</v>
      </c>
      <c r="S5785" s="4">
        <v>5</v>
      </c>
      <c r="T5785" s="4">
        <v>5</v>
      </c>
      <c r="U5785" s="5" t="s">
        <v>35117</v>
      </c>
      <c r="V5785" s="5" t="s">
        <v>35117</v>
      </c>
      <c r="W5785" s="5" t="s">
        <v>67</v>
      </c>
      <c r="X5785" s="5" t="s">
        <v>67</v>
      </c>
      <c r="Y5785" s="4">
        <v>10</v>
      </c>
      <c r="Z5785" s="4">
        <v>1</v>
      </c>
      <c r="AA5785" s="4">
        <v>1</v>
      </c>
      <c r="AB5785" s="4">
        <v>1</v>
      </c>
      <c r="AC5785" s="4">
        <v>1</v>
      </c>
      <c r="AD5785" s="4">
        <v>7</v>
      </c>
      <c r="AE5785" s="4">
        <v>7</v>
      </c>
      <c r="AF5785" s="4">
        <v>0</v>
      </c>
      <c r="AG5785" s="4">
        <v>0</v>
      </c>
      <c r="AH5785" s="4">
        <v>7</v>
      </c>
      <c r="AI5785" s="4">
        <v>7</v>
      </c>
      <c r="AJ5785" s="4">
        <v>0</v>
      </c>
      <c r="AK5785" s="4">
        <v>0</v>
      </c>
      <c r="AL5785" s="4">
        <v>6</v>
      </c>
      <c r="AM5785" s="4">
        <v>6</v>
      </c>
      <c r="AN5785" s="4">
        <v>0</v>
      </c>
      <c r="AO5785" s="4">
        <v>0</v>
      </c>
      <c r="AP5785" s="4">
        <v>0</v>
      </c>
      <c r="AQ5785" s="4">
        <v>0</v>
      </c>
      <c r="AR5785" s="3" t="s">
        <v>62</v>
      </c>
      <c r="AS5785" s="3" t="s">
        <v>62</v>
      </c>
      <c r="AT5785" s="3" t="s">
        <v>62</v>
      </c>
      <c r="AV5785" s="6" t="str">
        <f>HYPERLINK("http://mcgill.on.worldcat.org/oclc/744283490","Catalog Record")</f>
        <v>Catalog Record</v>
      </c>
      <c r="AW5785" s="6" t="str">
        <f>HYPERLINK("http://www.worldcat.org/oclc/744283490","WorldCat Record")</f>
        <v>WorldCat Record</v>
      </c>
      <c r="AX5785" s="3" t="s">
        <v>55646</v>
      </c>
      <c r="AY5785" s="3" t="s">
        <v>55647</v>
      </c>
      <c r="AZ5785" s="3" t="s">
        <v>55648</v>
      </c>
      <c r="BA5785" s="3" t="s">
        <v>55648</v>
      </c>
      <c r="BB5785" s="3" t="s">
        <v>55649</v>
      </c>
      <c r="BC5785" s="3" t="s">
        <v>142</v>
      </c>
      <c r="BD5785" s="3" t="s">
        <v>68</v>
      </c>
      <c r="BE5785" s="3" t="s">
        <v>55650</v>
      </c>
      <c r="BF5785" s="3" t="s">
        <v>55649</v>
      </c>
      <c r="BG5785" s="3" t="s">
        <v>55651</v>
      </c>
    </row>
    <row r="5786" spans="1:59" ht="57" x14ac:dyDescent="0.45">
      <c r="A5786" s="2" t="s">
        <v>927</v>
      </c>
      <c r="B5786" s="2" t="s">
        <v>928</v>
      </c>
      <c r="C5786" s="2" t="s">
        <v>55652</v>
      </c>
      <c r="D5786" s="2" t="s">
        <v>55653</v>
      </c>
      <c r="E5786" s="2" t="s">
        <v>55654</v>
      </c>
      <c r="G5786" s="3" t="s">
        <v>62</v>
      </c>
      <c r="I5786" s="3" t="s">
        <v>62</v>
      </c>
      <c r="J5786" s="3" t="s">
        <v>62</v>
      </c>
      <c r="K5786" s="3" t="s">
        <v>63</v>
      </c>
      <c r="L5786" s="2" t="s">
        <v>55655</v>
      </c>
      <c r="M5786" s="2" t="s">
        <v>55656</v>
      </c>
      <c r="N5786" s="3" t="s">
        <v>970</v>
      </c>
      <c r="P5786" s="3" t="s">
        <v>110</v>
      </c>
      <c r="R5786" s="3" t="s">
        <v>66</v>
      </c>
      <c r="S5786" s="4">
        <v>2</v>
      </c>
      <c r="T5786" s="4">
        <v>2</v>
      </c>
      <c r="U5786" s="5" t="s">
        <v>18697</v>
      </c>
      <c r="V5786" s="5" t="s">
        <v>18697</v>
      </c>
      <c r="W5786" s="5" t="s">
        <v>67</v>
      </c>
      <c r="X5786" s="5" t="s">
        <v>67</v>
      </c>
      <c r="Y5786" s="4">
        <v>91</v>
      </c>
      <c r="Z5786" s="4">
        <v>20</v>
      </c>
      <c r="AA5786" s="4">
        <v>35</v>
      </c>
      <c r="AB5786" s="4">
        <v>2</v>
      </c>
      <c r="AC5786" s="4">
        <v>13</v>
      </c>
      <c r="AD5786" s="4">
        <v>46</v>
      </c>
      <c r="AE5786" s="4">
        <v>54</v>
      </c>
      <c r="AF5786" s="4">
        <v>1</v>
      </c>
      <c r="AG5786" s="4">
        <v>7</v>
      </c>
      <c r="AH5786" s="4">
        <v>36</v>
      </c>
      <c r="AI5786" s="4">
        <v>38</v>
      </c>
      <c r="AJ5786" s="4">
        <v>13</v>
      </c>
      <c r="AK5786" s="4">
        <v>18</v>
      </c>
      <c r="AL5786" s="4">
        <v>24</v>
      </c>
      <c r="AM5786" s="4">
        <v>24</v>
      </c>
      <c r="AN5786" s="4">
        <v>0</v>
      </c>
      <c r="AO5786" s="4">
        <v>0</v>
      </c>
      <c r="AP5786" s="4">
        <v>16</v>
      </c>
      <c r="AQ5786" s="4">
        <v>23</v>
      </c>
      <c r="AR5786" s="3" t="s">
        <v>62</v>
      </c>
      <c r="AS5786" s="3" t="s">
        <v>62</v>
      </c>
      <c r="AT5786" s="3" t="s">
        <v>61</v>
      </c>
      <c r="AU5786" s="6" t="str">
        <f>HYPERLINK("http://catalog.hathitrust.org/Record/004253663","HathiTrust Record")</f>
        <v>HathiTrust Record</v>
      </c>
      <c r="AV5786" s="6" t="str">
        <f>HYPERLINK("http://mcgill.on.worldcat.org/oclc/49646998","Catalog Record")</f>
        <v>Catalog Record</v>
      </c>
      <c r="AW5786" s="6" t="str">
        <f>HYPERLINK("http://www.worldcat.org/oclc/49646998","WorldCat Record")</f>
        <v>WorldCat Record</v>
      </c>
      <c r="AX5786" s="3" t="s">
        <v>55657</v>
      </c>
      <c r="AY5786" s="3" t="s">
        <v>55658</v>
      </c>
      <c r="AZ5786" s="3" t="s">
        <v>55659</v>
      </c>
      <c r="BA5786" s="3" t="s">
        <v>55659</v>
      </c>
      <c r="BB5786" s="3" t="s">
        <v>55660</v>
      </c>
      <c r="BC5786" s="3" t="s">
        <v>142</v>
      </c>
      <c r="BD5786" s="3" t="s">
        <v>308</v>
      </c>
      <c r="BE5786" s="3" t="s">
        <v>55661</v>
      </c>
      <c r="BF5786" s="3" t="s">
        <v>55660</v>
      </c>
      <c r="BG5786" s="3" t="s">
        <v>55662</v>
      </c>
    </row>
    <row r="5787" spans="1:59" ht="57" x14ac:dyDescent="0.45">
      <c r="A5787" s="2" t="s">
        <v>59</v>
      </c>
      <c r="B5787" s="2" t="s">
        <v>60</v>
      </c>
      <c r="C5787" s="2" t="s">
        <v>55663</v>
      </c>
      <c r="D5787" s="2" t="s">
        <v>55664</v>
      </c>
      <c r="E5787" s="2" t="s">
        <v>55665</v>
      </c>
      <c r="G5787" s="3" t="s">
        <v>62</v>
      </c>
      <c r="I5787" s="3" t="s">
        <v>62</v>
      </c>
      <c r="J5787" s="3" t="s">
        <v>62</v>
      </c>
      <c r="K5787" s="3" t="s">
        <v>63</v>
      </c>
      <c r="L5787" s="2" t="s">
        <v>55666</v>
      </c>
      <c r="M5787" s="2" t="s">
        <v>44942</v>
      </c>
      <c r="N5787" s="3" t="s">
        <v>149</v>
      </c>
      <c r="P5787" s="3" t="s">
        <v>65</v>
      </c>
      <c r="R5787" s="3" t="s">
        <v>66</v>
      </c>
      <c r="S5787" s="4">
        <v>0</v>
      </c>
      <c r="T5787" s="4">
        <v>0</v>
      </c>
      <c r="W5787" s="5" t="s">
        <v>67</v>
      </c>
      <c r="X5787" s="5" t="s">
        <v>67</v>
      </c>
      <c r="Y5787" s="4">
        <v>207</v>
      </c>
      <c r="Z5787" s="4">
        <v>18</v>
      </c>
      <c r="AA5787" s="4">
        <v>18</v>
      </c>
      <c r="AB5787" s="4">
        <v>1</v>
      </c>
      <c r="AC5787" s="4">
        <v>1</v>
      </c>
      <c r="AD5787" s="4">
        <v>85</v>
      </c>
      <c r="AE5787" s="4">
        <v>85</v>
      </c>
      <c r="AF5787" s="4">
        <v>0</v>
      </c>
      <c r="AG5787" s="4">
        <v>0</v>
      </c>
      <c r="AH5787" s="4">
        <v>78</v>
      </c>
      <c r="AI5787" s="4">
        <v>78</v>
      </c>
      <c r="AJ5787" s="4">
        <v>13</v>
      </c>
      <c r="AK5787" s="4">
        <v>13</v>
      </c>
      <c r="AL5787" s="4">
        <v>48</v>
      </c>
      <c r="AM5787" s="4">
        <v>48</v>
      </c>
      <c r="AN5787" s="4">
        <v>0</v>
      </c>
      <c r="AO5787" s="4">
        <v>0</v>
      </c>
      <c r="AP5787" s="4">
        <v>14</v>
      </c>
      <c r="AQ5787" s="4">
        <v>14</v>
      </c>
      <c r="AR5787" s="3" t="s">
        <v>62</v>
      </c>
      <c r="AS5787" s="3" t="s">
        <v>62</v>
      </c>
      <c r="AT5787" s="3" t="s">
        <v>62</v>
      </c>
      <c r="AV5787" s="6" t="str">
        <f>HYPERLINK("http://mcgill.on.worldcat.org/oclc/468978562","Catalog Record")</f>
        <v>Catalog Record</v>
      </c>
      <c r="AW5787" s="6" t="str">
        <f>HYPERLINK("http://www.worldcat.org/oclc/468978562","WorldCat Record")</f>
        <v>WorldCat Record</v>
      </c>
      <c r="AX5787" s="3" t="s">
        <v>55667</v>
      </c>
      <c r="AY5787" s="3" t="s">
        <v>55668</v>
      </c>
      <c r="AZ5787" s="3" t="s">
        <v>55669</v>
      </c>
      <c r="BA5787" s="3" t="s">
        <v>55669</v>
      </c>
      <c r="BB5787" s="3" t="s">
        <v>55670</v>
      </c>
      <c r="BC5787" s="3" t="s">
        <v>142</v>
      </c>
      <c r="BD5787" s="3" t="s">
        <v>68</v>
      </c>
      <c r="BE5787" s="3" t="s">
        <v>55671</v>
      </c>
      <c r="BF5787" s="3" t="s">
        <v>55670</v>
      </c>
      <c r="BG5787" s="3" t="s">
        <v>55672</v>
      </c>
    </row>
    <row r="5788" spans="1:59" ht="57" x14ac:dyDescent="0.45">
      <c r="A5788" s="2" t="s">
        <v>59</v>
      </c>
      <c r="B5788" s="2" t="s">
        <v>60</v>
      </c>
      <c r="C5788" s="2" t="s">
        <v>55673</v>
      </c>
      <c r="D5788" s="2" t="s">
        <v>55674</v>
      </c>
      <c r="E5788" s="2" t="s">
        <v>55675</v>
      </c>
      <c r="G5788" s="3" t="s">
        <v>62</v>
      </c>
      <c r="I5788" s="3" t="s">
        <v>62</v>
      </c>
      <c r="J5788" s="3" t="s">
        <v>62</v>
      </c>
      <c r="K5788" s="3" t="s">
        <v>63</v>
      </c>
      <c r="M5788" s="2" t="s">
        <v>55676</v>
      </c>
      <c r="N5788" s="3" t="s">
        <v>1253</v>
      </c>
      <c r="P5788" s="3" t="s">
        <v>65</v>
      </c>
      <c r="Q5788" s="2" t="s">
        <v>3411</v>
      </c>
      <c r="R5788" s="3" t="s">
        <v>66</v>
      </c>
      <c r="S5788" s="4">
        <v>18</v>
      </c>
      <c r="T5788" s="4">
        <v>18</v>
      </c>
      <c r="U5788" s="5" t="s">
        <v>13509</v>
      </c>
      <c r="V5788" s="5" t="s">
        <v>13509</v>
      </c>
      <c r="W5788" s="5" t="s">
        <v>67</v>
      </c>
      <c r="X5788" s="5" t="s">
        <v>67</v>
      </c>
      <c r="Y5788" s="4">
        <v>29</v>
      </c>
      <c r="Z5788" s="4">
        <v>3</v>
      </c>
      <c r="AA5788" s="4">
        <v>3</v>
      </c>
      <c r="AB5788" s="4">
        <v>1</v>
      </c>
      <c r="AC5788" s="4">
        <v>1</v>
      </c>
      <c r="AD5788" s="4">
        <v>3</v>
      </c>
      <c r="AE5788" s="4">
        <v>3</v>
      </c>
      <c r="AF5788" s="4">
        <v>0</v>
      </c>
      <c r="AG5788" s="4">
        <v>0</v>
      </c>
      <c r="AH5788" s="4">
        <v>2</v>
      </c>
      <c r="AI5788" s="4">
        <v>2</v>
      </c>
      <c r="AJ5788" s="4">
        <v>2</v>
      </c>
      <c r="AK5788" s="4">
        <v>2</v>
      </c>
      <c r="AL5788" s="4">
        <v>0</v>
      </c>
      <c r="AM5788" s="4">
        <v>0</v>
      </c>
      <c r="AN5788" s="4">
        <v>0</v>
      </c>
      <c r="AO5788" s="4">
        <v>0</v>
      </c>
      <c r="AP5788" s="4">
        <v>2</v>
      </c>
      <c r="AQ5788" s="4">
        <v>2</v>
      </c>
      <c r="AR5788" s="3" t="s">
        <v>62</v>
      </c>
      <c r="AS5788" s="3" t="s">
        <v>62</v>
      </c>
      <c r="AT5788" s="3" t="s">
        <v>61</v>
      </c>
      <c r="AU5788" s="6" t="str">
        <f>HYPERLINK("http://catalog.hathitrust.org/Record/003170567","HathiTrust Record")</f>
        <v>HathiTrust Record</v>
      </c>
      <c r="AV5788" s="6" t="str">
        <f>HYPERLINK("http://mcgill.on.worldcat.org/oclc/152407572","Catalog Record")</f>
        <v>Catalog Record</v>
      </c>
      <c r="AW5788" s="6" t="str">
        <f>HYPERLINK("http://www.worldcat.org/oclc/152407572","WorldCat Record")</f>
        <v>WorldCat Record</v>
      </c>
      <c r="AX5788" s="3" t="s">
        <v>55677</v>
      </c>
      <c r="AY5788" s="3" t="s">
        <v>55678</v>
      </c>
      <c r="AZ5788" s="3" t="s">
        <v>55679</v>
      </c>
      <c r="BA5788" s="3" t="s">
        <v>55679</v>
      </c>
      <c r="BB5788" s="3" t="s">
        <v>55680</v>
      </c>
      <c r="BC5788" s="3" t="s">
        <v>142</v>
      </c>
      <c r="BD5788" s="3" t="s">
        <v>68</v>
      </c>
      <c r="BE5788" s="3" t="s">
        <v>55681</v>
      </c>
      <c r="BF5788" s="3" t="s">
        <v>55680</v>
      </c>
      <c r="BG5788" s="3" t="s">
        <v>55682</v>
      </c>
    </row>
    <row r="5789" spans="1:59" ht="57" x14ac:dyDescent="0.45">
      <c r="A5789" s="2" t="s">
        <v>59</v>
      </c>
      <c r="B5789" s="2" t="s">
        <v>60</v>
      </c>
      <c r="C5789" s="2" t="s">
        <v>55683</v>
      </c>
      <c r="D5789" s="2" t="s">
        <v>55684</v>
      </c>
      <c r="E5789" s="2" t="s">
        <v>55685</v>
      </c>
      <c r="G5789" s="3" t="s">
        <v>62</v>
      </c>
      <c r="I5789" s="3" t="s">
        <v>62</v>
      </c>
      <c r="J5789" s="3" t="s">
        <v>62</v>
      </c>
      <c r="K5789" s="3" t="s">
        <v>63</v>
      </c>
      <c r="M5789" s="2" t="s">
        <v>21345</v>
      </c>
      <c r="N5789" s="3" t="s">
        <v>894</v>
      </c>
      <c r="P5789" s="3" t="s">
        <v>65</v>
      </c>
      <c r="R5789" s="3" t="s">
        <v>66</v>
      </c>
      <c r="S5789" s="4">
        <v>3</v>
      </c>
      <c r="T5789" s="4">
        <v>3</v>
      </c>
      <c r="W5789" s="5" t="s">
        <v>67</v>
      </c>
      <c r="X5789" s="5" t="s">
        <v>67</v>
      </c>
      <c r="Y5789" s="4">
        <v>101</v>
      </c>
      <c r="Z5789" s="4">
        <v>10</v>
      </c>
      <c r="AA5789" s="4">
        <v>80</v>
      </c>
      <c r="AB5789" s="4">
        <v>1</v>
      </c>
      <c r="AC5789" s="4">
        <v>14</v>
      </c>
      <c r="AD5789" s="4">
        <v>40</v>
      </c>
      <c r="AE5789" s="4">
        <v>116</v>
      </c>
      <c r="AF5789" s="4">
        <v>0</v>
      </c>
      <c r="AG5789" s="4">
        <v>8</v>
      </c>
      <c r="AH5789" s="4">
        <v>35</v>
      </c>
      <c r="AI5789" s="4">
        <v>81</v>
      </c>
      <c r="AJ5789" s="4">
        <v>8</v>
      </c>
      <c r="AK5789" s="4">
        <v>23</v>
      </c>
      <c r="AL5789" s="4">
        <v>21</v>
      </c>
      <c r="AM5789" s="4">
        <v>42</v>
      </c>
      <c r="AN5789" s="4">
        <v>0</v>
      </c>
      <c r="AO5789" s="4">
        <v>0</v>
      </c>
      <c r="AP5789" s="4">
        <v>9</v>
      </c>
      <c r="AQ5789" s="4">
        <v>43</v>
      </c>
      <c r="AR5789" s="3" t="s">
        <v>62</v>
      </c>
      <c r="AS5789" s="3" t="s">
        <v>62</v>
      </c>
      <c r="AT5789" s="3" t="s">
        <v>62</v>
      </c>
      <c r="AV5789" s="6" t="str">
        <f>HYPERLINK("http://mcgill.on.worldcat.org/oclc/657602654","Catalog Record")</f>
        <v>Catalog Record</v>
      </c>
      <c r="AW5789" s="6" t="str">
        <f>HYPERLINK("http://www.worldcat.org/oclc/657602654","WorldCat Record")</f>
        <v>WorldCat Record</v>
      </c>
      <c r="AX5789" s="3" t="s">
        <v>55686</v>
      </c>
      <c r="AY5789" s="3" t="s">
        <v>55687</v>
      </c>
      <c r="AZ5789" s="3" t="s">
        <v>55688</v>
      </c>
      <c r="BA5789" s="3" t="s">
        <v>55688</v>
      </c>
      <c r="BB5789" s="3" t="s">
        <v>55689</v>
      </c>
      <c r="BC5789" s="3" t="s">
        <v>142</v>
      </c>
      <c r="BD5789" s="3" t="s">
        <v>308</v>
      </c>
      <c r="BE5789" s="3" t="s">
        <v>55690</v>
      </c>
      <c r="BF5789" s="3" t="s">
        <v>55689</v>
      </c>
      <c r="BG5789" s="3" t="s">
        <v>55691</v>
      </c>
    </row>
    <row r="5790" spans="1:59" ht="57" x14ac:dyDescent="0.45">
      <c r="A5790" s="2" t="s">
        <v>59</v>
      </c>
      <c r="B5790" s="2" t="s">
        <v>60</v>
      </c>
      <c r="C5790" s="2" t="s">
        <v>55692</v>
      </c>
      <c r="D5790" s="2" t="s">
        <v>55693</v>
      </c>
      <c r="E5790" s="2" t="s">
        <v>55694</v>
      </c>
      <c r="G5790" s="3" t="s">
        <v>62</v>
      </c>
      <c r="I5790" s="3" t="s">
        <v>62</v>
      </c>
      <c r="J5790" s="3" t="s">
        <v>62</v>
      </c>
      <c r="K5790" s="3" t="s">
        <v>63</v>
      </c>
      <c r="L5790" s="2" t="s">
        <v>55695</v>
      </c>
      <c r="M5790" s="2" t="s">
        <v>8008</v>
      </c>
      <c r="N5790" s="3" t="s">
        <v>1097</v>
      </c>
      <c r="P5790" s="3" t="s">
        <v>65</v>
      </c>
      <c r="Q5790" s="2" t="s">
        <v>55696</v>
      </c>
      <c r="R5790" s="3" t="s">
        <v>66</v>
      </c>
      <c r="S5790" s="4">
        <v>8</v>
      </c>
      <c r="T5790" s="4">
        <v>8</v>
      </c>
      <c r="U5790" s="5" t="s">
        <v>55697</v>
      </c>
      <c r="V5790" s="5" t="s">
        <v>55697</v>
      </c>
      <c r="W5790" s="5" t="s">
        <v>67</v>
      </c>
      <c r="X5790" s="5" t="s">
        <v>67</v>
      </c>
      <c r="Y5790" s="4">
        <v>108</v>
      </c>
      <c r="Z5790" s="4">
        <v>9</v>
      </c>
      <c r="AA5790" s="4">
        <v>104</v>
      </c>
      <c r="AB5790" s="4">
        <v>1</v>
      </c>
      <c r="AC5790" s="4">
        <v>17</v>
      </c>
      <c r="AD5790" s="4">
        <v>46</v>
      </c>
      <c r="AE5790" s="4">
        <v>121</v>
      </c>
      <c r="AF5790" s="4">
        <v>0</v>
      </c>
      <c r="AG5790" s="4">
        <v>8</v>
      </c>
      <c r="AH5790" s="4">
        <v>43</v>
      </c>
      <c r="AI5790" s="4">
        <v>83</v>
      </c>
      <c r="AJ5790" s="4">
        <v>6</v>
      </c>
      <c r="AK5790" s="4">
        <v>23</v>
      </c>
      <c r="AL5790" s="4">
        <v>26</v>
      </c>
      <c r="AM5790" s="4">
        <v>40</v>
      </c>
      <c r="AN5790" s="4">
        <v>0</v>
      </c>
      <c r="AO5790" s="4">
        <v>0</v>
      </c>
      <c r="AP5790" s="4">
        <v>7</v>
      </c>
      <c r="AQ5790" s="4">
        <v>46</v>
      </c>
      <c r="AR5790" s="3" t="s">
        <v>62</v>
      </c>
      <c r="AS5790" s="3" t="s">
        <v>62</v>
      </c>
      <c r="AT5790" s="3" t="s">
        <v>62</v>
      </c>
      <c r="AV5790" s="6" t="str">
        <f>HYPERLINK("http://mcgill.on.worldcat.org/oclc/55730008","Catalog Record")</f>
        <v>Catalog Record</v>
      </c>
      <c r="AW5790" s="6" t="str">
        <f>HYPERLINK("http://www.worldcat.org/oclc/55730008","WorldCat Record")</f>
        <v>WorldCat Record</v>
      </c>
      <c r="AX5790" s="3" t="s">
        <v>55698</v>
      </c>
      <c r="AY5790" s="3" t="s">
        <v>55699</v>
      </c>
      <c r="AZ5790" s="3" t="s">
        <v>55700</v>
      </c>
      <c r="BA5790" s="3" t="s">
        <v>55700</v>
      </c>
      <c r="BB5790" s="3" t="s">
        <v>55701</v>
      </c>
      <c r="BC5790" s="3" t="s">
        <v>142</v>
      </c>
      <c r="BD5790" s="3" t="s">
        <v>68</v>
      </c>
      <c r="BE5790" s="3" t="s">
        <v>55702</v>
      </c>
      <c r="BF5790" s="3" t="s">
        <v>55701</v>
      </c>
      <c r="BG5790" s="3" t="s">
        <v>55703</v>
      </c>
    </row>
    <row r="5791" spans="1:59" ht="57" x14ac:dyDescent="0.45">
      <c r="A5791" s="2" t="s">
        <v>59</v>
      </c>
      <c r="B5791" s="2" t="s">
        <v>60</v>
      </c>
      <c r="C5791" s="2" t="s">
        <v>55704</v>
      </c>
      <c r="D5791" s="2" t="s">
        <v>55705</v>
      </c>
      <c r="E5791" s="2" t="s">
        <v>55706</v>
      </c>
      <c r="G5791" s="3" t="s">
        <v>62</v>
      </c>
      <c r="I5791" s="3" t="s">
        <v>61</v>
      </c>
      <c r="J5791" s="3" t="s">
        <v>62</v>
      </c>
      <c r="K5791" s="3" t="s">
        <v>63</v>
      </c>
      <c r="L5791" s="2" t="s">
        <v>55707</v>
      </c>
      <c r="M5791" s="2" t="s">
        <v>55708</v>
      </c>
      <c r="N5791" s="3" t="s">
        <v>122</v>
      </c>
      <c r="P5791" s="3" t="s">
        <v>65</v>
      </c>
      <c r="Q5791" s="2" t="s">
        <v>7366</v>
      </c>
      <c r="R5791" s="3" t="s">
        <v>66</v>
      </c>
      <c r="S5791" s="4">
        <v>23</v>
      </c>
      <c r="T5791" s="4">
        <v>43</v>
      </c>
      <c r="U5791" s="5" t="s">
        <v>28941</v>
      </c>
      <c r="V5791" s="5" t="s">
        <v>28941</v>
      </c>
      <c r="W5791" s="5" t="s">
        <v>67</v>
      </c>
      <c r="X5791" s="5" t="s">
        <v>67</v>
      </c>
      <c r="Y5791" s="4">
        <v>499</v>
      </c>
      <c r="Z5791" s="4">
        <v>25</v>
      </c>
      <c r="AA5791" s="4">
        <v>37</v>
      </c>
      <c r="AB5791" s="4">
        <v>2</v>
      </c>
      <c r="AC5791" s="4">
        <v>7</v>
      </c>
      <c r="AD5791" s="4">
        <v>105</v>
      </c>
      <c r="AE5791" s="4">
        <v>126</v>
      </c>
      <c r="AF5791" s="4">
        <v>1</v>
      </c>
      <c r="AG5791" s="4">
        <v>3</v>
      </c>
      <c r="AH5791" s="4">
        <v>92</v>
      </c>
      <c r="AI5791" s="4">
        <v>107</v>
      </c>
      <c r="AJ5791" s="4">
        <v>18</v>
      </c>
      <c r="AK5791" s="4">
        <v>22</v>
      </c>
      <c r="AL5791" s="4">
        <v>52</v>
      </c>
      <c r="AM5791" s="4">
        <v>57</v>
      </c>
      <c r="AN5791" s="4">
        <v>0</v>
      </c>
      <c r="AO5791" s="4">
        <v>0</v>
      </c>
      <c r="AP5791" s="4">
        <v>19</v>
      </c>
      <c r="AQ5791" s="4">
        <v>28</v>
      </c>
      <c r="AR5791" s="3" t="s">
        <v>62</v>
      </c>
      <c r="AS5791" s="3" t="s">
        <v>62</v>
      </c>
      <c r="AT5791" s="3" t="s">
        <v>61</v>
      </c>
      <c r="AU5791" s="6" t="str">
        <f>HYPERLINK("http://catalog.hathitrust.org/Record/000093692","HathiTrust Record")</f>
        <v>HathiTrust Record</v>
      </c>
      <c r="AV5791" s="6" t="str">
        <f>HYPERLINK("http://mcgill.on.worldcat.org/oclc/3675859","Catalog Record")</f>
        <v>Catalog Record</v>
      </c>
      <c r="AW5791" s="6" t="str">
        <f>HYPERLINK("http://www.worldcat.org/oclc/3675859","WorldCat Record")</f>
        <v>WorldCat Record</v>
      </c>
      <c r="AX5791" s="3" t="s">
        <v>55709</v>
      </c>
      <c r="AY5791" s="3" t="s">
        <v>55710</v>
      </c>
      <c r="AZ5791" s="3" t="s">
        <v>55711</v>
      </c>
      <c r="BA5791" s="3" t="s">
        <v>55711</v>
      </c>
      <c r="BB5791" s="3" t="s">
        <v>55712</v>
      </c>
      <c r="BC5791" s="3" t="s">
        <v>142</v>
      </c>
      <c r="BD5791" s="3" t="s">
        <v>68</v>
      </c>
      <c r="BE5791" s="3" t="s">
        <v>55713</v>
      </c>
      <c r="BF5791" s="3" t="s">
        <v>55712</v>
      </c>
      <c r="BG5791" s="3" t="s">
        <v>55714</v>
      </c>
    </row>
    <row r="5792" spans="1:59" ht="57" x14ac:dyDescent="0.45">
      <c r="A5792" s="2" t="s">
        <v>59</v>
      </c>
      <c r="B5792" s="2" t="s">
        <v>60</v>
      </c>
      <c r="C5792" s="2" t="s">
        <v>55704</v>
      </c>
      <c r="D5792" s="2" t="s">
        <v>55705</v>
      </c>
      <c r="E5792" s="2" t="s">
        <v>55706</v>
      </c>
      <c r="G5792" s="3" t="s">
        <v>62</v>
      </c>
      <c r="I5792" s="3" t="s">
        <v>61</v>
      </c>
      <c r="J5792" s="3" t="s">
        <v>62</v>
      </c>
      <c r="K5792" s="3" t="s">
        <v>63</v>
      </c>
      <c r="L5792" s="2" t="s">
        <v>55707</v>
      </c>
      <c r="M5792" s="2" t="s">
        <v>55708</v>
      </c>
      <c r="N5792" s="3" t="s">
        <v>122</v>
      </c>
      <c r="P5792" s="3" t="s">
        <v>65</v>
      </c>
      <c r="Q5792" s="2" t="s">
        <v>7366</v>
      </c>
      <c r="R5792" s="3" t="s">
        <v>66</v>
      </c>
      <c r="S5792" s="4">
        <v>20</v>
      </c>
      <c r="T5792" s="4">
        <v>43</v>
      </c>
      <c r="U5792" s="5" t="s">
        <v>55715</v>
      </c>
      <c r="V5792" s="5" t="s">
        <v>28941</v>
      </c>
      <c r="W5792" s="5" t="s">
        <v>67</v>
      </c>
      <c r="X5792" s="5" t="s">
        <v>67</v>
      </c>
      <c r="Y5792" s="4">
        <v>499</v>
      </c>
      <c r="Z5792" s="4">
        <v>25</v>
      </c>
      <c r="AA5792" s="4">
        <v>37</v>
      </c>
      <c r="AB5792" s="4">
        <v>2</v>
      </c>
      <c r="AC5792" s="4">
        <v>7</v>
      </c>
      <c r="AD5792" s="4">
        <v>105</v>
      </c>
      <c r="AE5792" s="4">
        <v>126</v>
      </c>
      <c r="AF5792" s="4">
        <v>1</v>
      </c>
      <c r="AG5792" s="4">
        <v>3</v>
      </c>
      <c r="AH5792" s="4">
        <v>92</v>
      </c>
      <c r="AI5792" s="4">
        <v>107</v>
      </c>
      <c r="AJ5792" s="4">
        <v>18</v>
      </c>
      <c r="AK5792" s="4">
        <v>22</v>
      </c>
      <c r="AL5792" s="4">
        <v>52</v>
      </c>
      <c r="AM5792" s="4">
        <v>57</v>
      </c>
      <c r="AN5792" s="4">
        <v>0</v>
      </c>
      <c r="AO5792" s="4">
        <v>0</v>
      </c>
      <c r="AP5792" s="4">
        <v>19</v>
      </c>
      <c r="AQ5792" s="4">
        <v>28</v>
      </c>
      <c r="AR5792" s="3" t="s">
        <v>62</v>
      </c>
      <c r="AS5792" s="3" t="s">
        <v>62</v>
      </c>
      <c r="AT5792" s="3" t="s">
        <v>61</v>
      </c>
      <c r="AU5792" s="6" t="str">
        <f>HYPERLINK("http://catalog.hathitrust.org/Record/000093692","HathiTrust Record")</f>
        <v>HathiTrust Record</v>
      </c>
      <c r="AV5792" s="6" t="str">
        <f>HYPERLINK("http://mcgill.on.worldcat.org/oclc/3675859","Catalog Record")</f>
        <v>Catalog Record</v>
      </c>
      <c r="AW5792" s="6" t="str">
        <f>HYPERLINK("http://www.worldcat.org/oclc/3675859","WorldCat Record")</f>
        <v>WorldCat Record</v>
      </c>
      <c r="AX5792" s="3" t="s">
        <v>55709</v>
      </c>
      <c r="AY5792" s="3" t="s">
        <v>55710</v>
      </c>
      <c r="AZ5792" s="3" t="s">
        <v>55711</v>
      </c>
      <c r="BA5792" s="3" t="s">
        <v>55711</v>
      </c>
      <c r="BB5792" s="3" t="s">
        <v>55716</v>
      </c>
      <c r="BC5792" s="3" t="s">
        <v>142</v>
      </c>
      <c r="BD5792" s="3" t="s">
        <v>68</v>
      </c>
      <c r="BE5792" s="3" t="s">
        <v>55713</v>
      </c>
      <c r="BF5792" s="3" t="s">
        <v>55716</v>
      </c>
      <c r="BG5792" s="3" t="s">
        <v>55717</v>
      </c>
    </row>
    <row r="5793" spans="1:59" ht="85.5" x14ac:dyDescent="0.45">
      <c r="A5793" s="2" t="s">
        <v>59</v>
      </c>
      <c r="B5793" s="2" t="s">
        <v>5257</v>
      </c>
      <c r="C5793" s="2" t="s">
        <v>55718</v>
      </c>
      <c r="D5793" s="2" t="s">
        <v>55719</v>
      </c>
      <c r="E5793" s="2" t="s">
        <v>55720</v>
      </c>
      <c r="G5793" s="3" t="s">
        <v>62</v>
      </c>
      <c r="I5793" s="3" t="s">
        <v>62</v>
      </c>
      <c r="J5793" s="3" t="s">
        <v>62</v>
      </c>
      <c r="K5793" s="3" t="s">
        <v>63</v>
      </c>
      <c r="L5793" s="2" t="s">
        <v>55721</v>
      </c>
      <c r="M5793" s="2" t="s">
        <v>55722</v>
      </c>
      <c r="N5793" s="3" t="s">
        <v>149</v>
      </c>
      <c r="P5793" s="3" t="s">
        <v>65</v>
      </c>
      <c r="Q5793" s="2" t="s">
        <v>3351</v>
      </c>
      <c r="R5793" s="3" t="s">
        <v>66</v>
      </c>
      <c r="S5793" s="4">
        <v>0</v>
      </c>
      <c r="T5793" s="4">
        <v>0</v>
      </c>
      <c r="W5793" s="5" t="s">
        <v>67</v>
      </c>
      <c r="X5793" s="5" t="s">
        <v>67</v>
      </c>
      <c r="Y5793" s="4">
        <v>110</v>
      </c>
      <c r="Z5793" s="4">
        <v>15</v>
      </c>
      <c r="AA5793" s="4">
        <v>21</v>
      </c>
      <c r="AB5793" s="4">
        <v>1</v>
      </c>
      <c r="AC5793" s="4">
        <v>4</v>
      </c>
      <c r="AD5793" s="4">
        <v>55</v>
      </c>
      <c r="AE5793" s="4">
        <v>63</v>
      </c>
      <c r="AF5793" s="4">
        <v>0</v>
      </c>
      <c r="AG5793" s="4">
        <v>1</v>
      </c>
      <c r="AH5793" s="4">
        <v>50</v>
      </c>
      <c r="AI5793" s="4">
        <v>57</v>
      </c>
      <c r="AJ5793" s="4">
        <v>11</v>
      </c>
      <c r="AK5793" s="4">
        <v>14</v>
      </c>
      <c r="AL5793" s="4">
        <v>27</v>
      </c>
      <c r="AM5793" s="4">
        <v>32</v>
      </c>
      <c r="AN5793" s="4">
        <v>0</v>
      </c>
      <c r="AO5793" s="4">
        <v>0</v>
      </c>
      <c r="AP5793" s="4">
        <v>12</v>
      </c>
      <c r="AQ5793" s="4">
        <v>15</v>
      </c>
      <c r="AR5793" s="3" t="s">
        <v>62</v>
      </c>
      <c r="AS5793" s="3" t="s">
        <v>62</v>
      </c>
      <c r="AT5793" s="3" t="s">
        <v>62</v>
      </c>
      <c r="AV5793" s="6" t="str">
        <f>HYPERLINK("http://mcgill.on.worldcat.org/oclc/656158846","Catalog Record")</f>
        <v>Catalog Record</v>
      </c>
      <c r="AW5793" s="6" t="str">
        <f>HYPERLINK("http://www.worldcat.org/oclc/656158846","WorldCat Record")</f>
        <v>WorldCat Record</v>
      </c>
      <c r="AX5793" s="3" t="s">
        <v>55723</v>
      </c>
      <c r="AY5793" s="3" t="s">
        <v>55724</v>
      </c>
      <c r="AZ5793" s="3" t="s">
        <v>55725</v>
      </c>
      <c r="BA5793" s="3" t="s">
        <v>55725</v>
      </c>
      <c r="BB5793" s="3" t="s">
        <v>55726</v>
      </c>
      <c r="BC5793" s="3" t="s">
        <v>142</v>
      </c>
      <c r="BD5793" s="3" t="s">
        <v>68</v>
      </c>
      <c r="BE5793" s="3" t="s">
        <v>55727</v>
      </c>
      <c r="BF5793" s="3" t="s">
        <v>55726</v>
      </c>
      <c r="BG5793" s="3" t="s">
        <v>55728</v>
      </c>
    </row>
    <row r="5794" spans="1:59" ht="57" x14ac:dyDescent="0.45">
      <c r="A5794" s="2" t="s">
        <v>59</v>
      </c>
      <c r="B5794" s="2" t="s">
        <v>60</v>
      </c>
      <c r="C5794" s="2" t="s">
        <v>55729</v>
      </c>
      <c r="D5794" s="2" t="s">
        <v>55730</v>
      </c>
      <c r="E5794" s="2" t="s">
        <v>55731</v>
      </c>
      <c r="F5794" s="3" t="s">
        <v>90</v>
      </c>
      <c r="G5794" s="3" t="s">
        <v>61</v>
      </c>
      <c r="I5794" s="3" t="s">
        <v>62</v>
      </c>
      <c r="J5794" s="3" t="s">
        <v>62</v>
      </c>
      <c r="K5794" s="3" t="s">
        <v>63</v>
      </c>
      <c r="M5794" s="2" t="s">
        <v>55732</v>
      </c>
      <c r="N5794" s="3" t="s">
        <v>1155</v>
      </c>
      <c r="P5794" s="3" t="s">
        <v>65</v>
      </c>
      <c r="Q5794" s="2" t="s">
        <v>55733</v>
      </c>
      <c r="R5794" s="3" t="s">
        <v>66</v>
      </c>
      <c r="S5794" s="4">
        <v>6</v>
      </c>
      <c r="T5794" s="4">
        <v>27</v>
      </c>
      <c r="U5794" s="5" t="s">
        <v>3596</v>
      </c>
      <c r="V5794" s="5" t="s">
        <v>3596</v>
      </c>
      <c r="W5794" s="5" t="s">
        <v>67</v>
      </c>
      <c r="X5794" s="5" t="s">
        <v>67</v>
      </c>
      <c r="Y5794" s="4">
        <v>15</v>
      </c>
      <c r="Z5794" s="4">
        <v>1</v>
      </c>
      <c r="AA5794" s="4">
        <v>7</v>
      </c>
      <c r="AB5794" s="4">
        <v>1</v>
      </c>
      <c r="AC5794" s="4">
        <v>1</v>
      </c>
      <c r="AD5794" s="4">
        <v>3</v>
      </c>
      <c r="AE5794" s="4">
        <v>20</v>
      </c>
      <c r="AF5794" s="4">
        <v>0</v>
      </c>
      <c r="AG5794" s="4">
        <v>0</v>
      </c>
      <c r="AH5794" s="4">
        <v>2</v>
      </c>
      <c r="AI5794" s="4">
        <v>16</v>
      </c>
      <c r="AJ5794" s="4">
        <v>0</v>
      </c>
      <c r="AK5794" s="4">
        <v>6</v>
      </c>
      <c r="AL5794" s="4">
        <v>3</v>
      </c>
      <c r="AM5794" s="4">
        <v>10</v>
      </c>
      <c r="AN5794" s="4">
        <v>0</v>
      </c>
      <c r="AO5794" s="4">
        <v>0</v>
      </c>
      <c r="AP5794" s="4">
        <v>0</v>
      </c>
      <c r="AQ5794" s="4">
        <v>6</v>
      </c>
      <c r="AR5794" s="3" t="s">
        <v>62</v>
      </c>
      <c r="AS5794" s="3" t="s">
        <v>62</v>
      </c>
      <c r="AT5794" s="3" t="s">
        <v>62</v>
      </c>
      <c r="AV5794" s="6" t="str">
        <f>HYPERLINK("http://mcgill.on.worldcat.org/oclc/808496021","Catalog Record")</f>
        <v>Catalog Record</v>
      </c>
      <c r="AW5794" s="6" t="str">
        <f>HYPERLINK("http://www.worldcat.org/oclc/808496021","WorldCat Record")</f>
        <v>WorldCat Record</v>
      </c>
      <c r="AX5794" s="3" t="s">
        <v>55734</v>
      </c>
      <c r="AY5794" s="3" t="s">
        <v>55735</v>
      </c>
      <c r="AZ5794" s="3" t="s">
        <v>55736</v>
      </c>
      <c r="BA5794" s="3" t="s">
        <v>55736</v>
      </c>
      <c r="BB5794" s="3" t="s">
        <v>55737</v>
      </c>
      <c r="BC5794" s="3" t="s">
        <v>142</v>
      </c>
      <c r="BD5794" s="3" t="s">
        <v>68</v>
      </c>
      <c r="BE5794" s="3" t="s">
        <v>55738</v>
      </c>
      <c r="BF5794" s="3" t="s">
        <v>55737</v>
      </c>
      <c r="BG5794" s="3" t="s">
        <v>55739</v>
      </c>
    </row>
    <row r="5795" spans="1:59" ht="57" x14ac:dyDescent="0.45">
      <c r="A5795" s="2" t="s">
        <v>59</v>
      </c>
      <c r="B5795" s="2" t="s">
        <v>60</v>
      </c>
      <c r="C5795" s="2" t="s">
        <v>55729</v>
      </c>
      <c r="D5795" s="2" t="s">
        <v>55730</v>
      </c>
      <c r="E5795" s="2" t="s">
        <v>55731</v>
      </c>
      <c r="F5795" s="3" t="s">
        <v>88</v>
      </c>
      <c r="G5795" s="3" t="s">
        <v>61</v>
      </c>
      <c r="I5795" s="3" t="s">
        <v>62</v>
      </c>
      <c r="J5795" s="3" t="s">
        <v>62</v>
      </c>
      <c r="K5795" s="3" t="s">
        <v>63</v>
      </c>
      <c r="M5795" s="2" t="s">
        <v>55732</v>
      </c>
      <c r="N5795" s="3" t="s">
        <v>1155</v>
      </c>
      <c r="P5795" s="3" t="s">
        <v>65</v>
      </c>
      <c r="Q5795" s="2" t="s">
        <v>55733</v>
      </c>
      <c r="R5795" s="3" t="s">
        <v>66</v>
      </c>
      <c r="S5795" s="4">
        <v>7</v>
      </c>
      <c r="T5795" s="4">
        <v>27</v>
      </c>
      <c r="U5795" s="5" t="s">
        <v>28941</v>
      </c>
      <c r="V5795" s="5" t="s">
        <v>3596</v>
      </c>
      <c r="W5795" s="5" t="s">
        <v>67</v>
      </c>
      <c r="X5795" s="5" t="s">
        <v>67</v>
      </c>
      <c r="Y5795" s="4">
        <v>15</v>
      </c>
      <c r="Z5795" s="4">
        <v>1</v>
      </c>
      <c r="AA5795" s="4">
        <v>7</v>
      </c>
      <c r="AB5795" s="4">
        <v>1</v>
      </c>
      <c r="AC5795" s="4">
        <v>1</v>
      </c>
      <c r="AD5795" s="4">
        <v>3</v>
      </c>
      <c r="AE5795" s="4">
        <v>20</v>
      </c>
      <c r="AF5795" s="4">
        <v>0</v>
      </c>
      <c r="AG5795" s="4">
        <v>0</v>
      </c>
      <c r="AH5795" s="4">
        <v>2</v>
      </c>
      <c r="AI5795" s="4">
        <v>16</v>
      </c>
      <c r="AJ5795" s="4">
        <v>0</v>
      </c>
      <c r="AK5795" s="4">
        <v>6</v>
      </c>
      <c r="AL5795" s="4">
        <v>3</v>
      </c>
      <c r="AM5795" s="4">
        <v>10</v>
      </c>
      <c r="AN5795" s="4">
        <v>0</v>
      </c>
      <c r="AO5795" s="4">
        <v>0</v>
      </c>
      <c r="AP5795" s="4">
        <v>0</v>
      </c>
      <c r="AQ5795" s="4">
        <v>6</v>
      </c>
      <c r="AR5795" s="3" t="s">
        <v>62</v>
      </c>
      <c r="AS5795" s="3" t="s">
        <v>62</v>
      </c>
      <c r="AT5795" s="3" t="s">
        <v>62</v>
      </c>
      <c r="AV5795" s="6" t="str">
        <f>HYPERLINK("http://mcgill.on.worldcat.org/oclc/808496021","Catalog Record")</f>
        <v>Catalog Record</v>
      </c>
      <c r="AW5795" s="6" t="str">
        <f>HYPERLINK("http://www.worldcat.org/oclc/808496021","WorldCat Record")</f>
        <v>WorldCat Record</v>
      </c>
      <c r="AX5795" s="3" t="s">
        <v>55734</v>
      </c>
      <c r="AY5795" s="3" t="s">
        <v>55735</v>
      </c>
      <c r="AZ5795" s="3" t="s">
        <v>55736</v>
      </c>
      <c r="BA5795" s="3" t="s">
        <v>55736</v>
      </c>
      <c r="BB5795" s="3" t="s">
        <v>55740</v>
      </c>
      <c r="BC5795" s="3" t="s">
        <v>142</v>
      </c>
      <c r="BD5795" s="3" t="s">
        <v>308</v>
      </c>
      <c r="BE5795" s="3" t="s">
        <v>55738</v>
      </c>
      <c r="BF5795" s="3" t="s">
        <v>55740</v>
      </c>
      <c r="BG5795" s="3" t="s">
        <v>55741</v>
      </c>
    </row>
    <row r="5796" spans="1:59" ht="57" x14ac:dyDescent="0.45">
      <c r="A5796" s="2" t="s">
        <v>59</v>
      </c>
      <c r="B5796" s="2" t="s">
        <v>60</v>
      </c>
      <c r="C5796" s="2" t="s">
        <v>55729</v>
      </c>
      <c r="D5796" s="2" t="s">
        <v>55730</v>
      </c>
      <c r="E5796" s="2" t="s">
        <v>55731</v>
      </c>
      <c r="F5796" s="3" t="s">
        <v>87</v>
      </c>
      <c r="G5796" s="3" t="s">
        <v>61</v>
      </c>
      <c r="I5796" s="3" t="s">
        <v>62</v>
      </c>
      <c r="J5796" s="3" t="s">
        <v>62</v>
      </c>
      <c r="K5796" s="3" t="s">
        <v>63</v>
      </c>
      <c r="M5796" s="2" t="s">
        <v>55732</v>
      </c>
      <c r="N5796" s="3" t="s">
        <v>1155</v>
      </c>
      <c r="P5796" s="3" t="s">
        <v>65</v>
      </c>
      <c r="Q5796" s="2" t="s">
        <v>55733</v>
      </c>
      <c r="R5796" s="3" t="s">
        <v>66</v>
      </c>
      <c r="S5796" s="4">
        <v>10</v>
      </c>
      <c r="T5796" s="4">
        <v>27</v>
      </c>
      <c r="U5796" s="5" t="s">
        <v>1640</v>
      </c>
      <c r="V5796" s="5" t="s">
        <v>3596</v>
      </c>
      <c r="W5796" s="5" t="s">
        <v>67</v>
      </c>
      <c r="X5796" s="5" t="s">
        <v>67</v>
      </c>
      <c r="Y5796" s="4">
        <v>15</v>
      </c>
      <c r="Z5796" s="4">
        <v>1</v>
      </c>
      <c r="AA5796" s="4">
        <v>7</v>
      </c>
      <c r="AB5796" s="4">
        <v>1</v>
      </c>
      <c r="AC5796" s="4">
        <v>1</v>
      </c>
      <c r="AD5796" s="4">
        <v>3</v>
      </c>
      <c r="AE5796" s="4">
        <v>20</v>
      </c>
      <c r="AF5796" s="4">
        <v>0</v>
      </c>
      <c r="AG5796" s="4">
        <v>0</v>
      </c>
      <c r="AH5796" s="4">
        <v>2</v>
      </c>
      <c r="AI5796" s="4">
        <v>16</v>
      </c>
      <c r="AJ5796" s="4">
        <v>0</v>
      </c>
      <c r="AK5796" s="4">
        <v>6</v>
      </c>
      <c r="AL5796" s="4">
        <v>3</v>
      </c>
      <c r="AM5796" s="4">
        <v>10</v>
      </c>
      <c r="AN5796" s="4">
        <v>0</v>
      </c>
      <c r="AO5796" s="4">
        <v>0</v>
      </c>
      <c r="AP5796" s="4">
        <v>0</v>
      </c>
      <c r="AQ5796" s="4">
        <v>6</v>
      </c>
      <c r="AR5796" s="3" t="s">
        <v>62</v>
      </c>
      <c r="AS5796" s="3" t="s">
        <v>62</v>
      </c>
      <c r="AT5796" s="3" t="s">
        <v>62</v>
      </c>
      <c r="AV5796" s="6" t="str">
        <f>HYPERLINK("http://mcgill.on.worldcat.org/oclc/808496021","Catalog Record")</f>
        <v>Catalog Record</v>
      </c>
      <c r="AW5796" s="6" t="str">
        <f>HYPERLINK("http://www.worldcat.org/oclc/808496021","WorldCat Record")</f>
        <v>WorldCat Record</v>
      </c>
      <c r="AX5796" s="3" t="s">
        <v>55734</v>
      </c>
      <c r="AY5796" s="3" t="s">
        <v>55735</v>
      </c>
      <c r="AZ5796" s="3" t="s">
        <v>55736</v>
      </c>
      <c r="BA5796" s="3" t="s">
        <v>55736</v>
      </c>
      <c r="BB5796" s="3" t="s">
        <v>55742</v>
      </c>
      <c r="BC5796" s="3" t="s">
        <v>142</v>
      </c>
      <c r="BD5796" s="3" t="s">
        <v>308</v>
      </c>
      <c r="BE5796" s="3" t="s">
        <v>55738</v>
      </c>
      <c r="BF5796" s="3" t="s">
        <v>55742</v>
      </c>
      <c r="BG5796" s="3" t="s">
        <v>55743</v>
      </c>
    </row>
    <row r="5797" spans="1:59" ht="57" x14ac:dyDescent="0.45">
      <c r="A5797" s="2" t="s">
        <v>59</v>
      </c>
      <c r="B5797" s="2" t="s">
        <v>60</v>
      </c>
      <c r="C5797" s="2" t="s">
        <v>55729</v>
      </c>
      <c r="D5797" s="2" t="s">
        <v>55730</v>
      </c>
      <c r="E5797" s="2" t="s">
        <v>55731</v>
      </c>
      <c r="F5797" s="3" t="s">
        <v>86</v>
      </c>
      <c r="G5797" s="3" t="s">
        <v>61</v>
      </c>
      <c r="I5797" s="3" t="s">
        <v>62</v>
      </c>
      <c r="J5797" s="3" t="s">
        <v>62</v>
      </c>
      <c r="K5797" s="3" t="s">
        <v>63</v>
      </c>
      <c r="M5797" s="2" t="s">
        <v>55732</v>
      </c>
      <c r="N5797" s="3" t="s">
        <v>1155</v>
      </c>
      <c r="P5797" s="3" t="s">
        <v>65</v>
      </c>
      <c r="Q5797" s="2" t="s">
        <v>55733</v>
      </c>
      <c r="R5797" s="3" t="s">
        <v>66</v>
      </c>
      <c r="S5797" s="4">
        <v>4</v>
      </c>
      <c r="T5797" s="4">
        <v>27</v>
      </c>
      <c r="U5797" s="5" t="s">
        <v>3596</v>
      </c>
      <c r="V5797" s="5" t="s">
        <v>3596</v>
      </c>
      <c r="W5797" s="5" t="s">
        <v>67</v>
      </c>
      <c r="X5797" s="5" t="s">
        <v>67</v>
      </c>
      <c r="Y5797" s="4">
        <v>15</v>
      </c>
      <c r="Z5797" s="4">
        <v>1</v>
      </c>
      <c r="AA5797" s="4">
        <v>7</v>
      </c>
      <c r="AB5797" s="4">
        <v>1</v>
      </c>
      <c r="AC5797" s="4">
        <v>1</v>
      </c>
      <c r="AD5797" s="4">
        <v>3</v>
      </c>
      <c r="AE5797" s="4">
        <v>20</v>
      </c>
      <c r="AF5797" s="4">
        <v>0</v>
      </c>
      <c r="AG5797" s="4">
        <v>0</v>
      </c>
      <c r="AH5797" s="4">
        <v>2</v>
      </c>
      <c r="AI5797" s="4">
        <v>16</v>
      </c>
      <c r="AJ5797" s="4">
        <v>0</v>
      </c>
      <c r="AK5797" s="4">
        <v>6</v>
      </c>
      <c r="AL5797" s="4">
        <v>3</v>
      </c>
      <c r="AM5797" s="4">
        <v>10</v>
      </c>
      <c r="AN5797" s="4">
        <v>0</v>
      </c>
      <c r="AO5797" s="4">
        <v>0</v>
      </c>
      <c r="AP5797" s="4">
        <v>0</v>
      </c>
      <c r="AQ5797" s="4">
        <v>6</v>
      </c>
      <c r="AR5797" s="3" t="s">
        <v>62</v>
      </c>
      <c r="AS5797" s="3" t="s">
        <v>62</v>
      </c>
      <c r="AT5797" s="3" t="s">
        <v>62</v>
      </c>
      <c r="AV5797" s="6" t="str">
        <f>HYPERLINK("http://mcgill.on.worldcat.org/oclc/808496021","Catalog Record")</f>
        <v>Catalog Record</v>
      </c>
      <c r="AW5797" s="6" t="str">
        <f>HYPERLINK("http://www.worldcat.org/oclc/808496021","WorldCat Record")</f>
        <v>WorldCat Record</v>
      </c>
      <c r="AX5797" s="3" t="s">
        <v>55734</v>
      </c>
      <c r="AY5797" s="3" t="s">
        <v>55735</v>
      </c>
      <c r="AZ5797" s="3" t="s">
        <v>55736</v>
      </c>
      <c r="BA5797" s="3" t="s">
        <v>55736</v>
      </c>
      <c r="BB5797" s="3" t="s">
        <v>55744</v>
      </c>
      <c r="BC5797" s="3" t="s">
        <v>142</v>
      </c>
      <c r="BD5797" s="3" t="s">
        <v>68</v>
      </c>
      <c r="BE5797" s="3" t="s">
        <v>55738</v>
      </c>
      <c r="BF5797" s="3" t="s">
        <v>55744</v>
      </c>
      <c r="BG5797" s="3" t="s">
        <v>55745</v>
      </c>
    </row>
    <row r="5798" spans="1:59" ht="57" x14ac:dyDescent="0.45">
      <c r="A5798" s="2" t="s">
        <v>59</v>
      </c>
      <c r="B5798" s="2" t="s">
        <v>60</v>
      </c>
      <c r="C5798" s="2" t="s">
        <v>55746</v>
      </c>
      <c r="D5798" s="2" t="s">
        <v>55747</v>
      </c>
      <c r="E5798" s="2" t="s">
        <v>55748</v>
      </c>
      <c r="G5798" s="3" t="s">
        <v>62</v>
      </c>
      <c r="I5798" s="3" t="s">
        <v>62</v>
      </c>
      <c r="J5798" s="3" t="s">
        <v>62</v>
      </c>
      <c r="K5798" s="3" t="s">
        <v>63</v>
      </c>
      <c r="M5798" s="2" t="s">
        <v>1178</v>
      </c>
      <c r="N5798" s="3" t="s">
        <v>894</v>
      </c>
      <c r="P5798" s="3" t="s">
        <v>65</v>
      </c>
      <c r="Q5798" s="2" t="s">
        <v>55749</v>
      </c>
      <c r="R5798" s="3" t="s">
        <v>66</v>
      </c>
      <c r="S5798" s="4">
        <v>4</v>
      </c>
      <c r="T5798" s="4">
        <v>4</v>
      </c>
      <c r="U5798" s="5" t="s">
        <v>28941</v>
      </c>
      <c r="V5798" s="5" t="s">
        <v>28941</v>
      </c>
      <c r="W5798" s="5" t="s">
        <v>67</v>
      </c>
      <c r="X5798" s="5" t="s">
        <v>67</v>
      </c>
      <c r="Y5798" s="4">
        <v>88</v>
      </c>
      <c r="Z5798" s="4">
        <v>12</v>
      </c>
      <c r="AA5798" s="4">
        <v>93</v>
      </c>
      <c r="AB5798" s="4">
        <v>1</v>
      </c>
      <c r="AC5798" s="4">
        <v>17</v>
      </c>
      <c r="AD5798" s="4">
        <v>36</v>
      </c>
      <c r="AE5798" s="4">
        <v>114</v>
      </c>
      <c r="AF5798" s="4">
        <v>0</v>
      </c>
      <c r="AG5798" s="4">
        <v>8</v>
      </c>
      <c r="AH5798" s="4">
        <v>33</v>
      </c>
      <c r="AI5798" s="4">
        <v>78</v>
      </c>
      <c r="AJ5798" s="4">
        <v>8</v>
      </c>
      <c r="AK5798" s="4">
        <v>23</v>
      </c>
      <c r="AL5798" s="4">
        <v>16</v>
      </c>
      <c r="AM5798" s="4">
        <v>40</v>
      </c>
      <c r="AN5798" s="4">
        <v>0</v>
      </c>
      <c r="AO5798" s="4">
        <v>0</v>
      </c>
      <c r="AP5798" s="4">
        <v>10</v>
      </c>
      <c r="AQ5798" s="4">
        <v>45</v>
      </c>
      <c r="AR5798" s="3" t="s">
        <v>62</v>
      </c>
      <c r="AS5798" s="3" t="s">
        <v>62</v>
      </c>
      <c r="AT5798" s="3" t="s">
        <v>62</v>
      </c>
      <c r="AV5798" s="6" t="str">
        <f>HYPERLINK("http://mcgill.on.worldcat.org/oclc/724644135","Catalog Record")</f>
        <v>Catalog Record</v>
      </c>
      <c r="AW5798" s="6" t="str">
        <f>HYPERLINK("http://www.worldcat.org/oclc/724644135","WorldCat Record")</f>
        <v>WorldCat Record</v>
      </c>
      <c r="AX5798" s="3" t="s">
        <v>55750</v>
      </c>
      <c r="AY5798" s="3" t="s">
        <v>55751</v>
      </c>
      <c r="AZ5798" s="3" t="s">
        <v>55752</v>
      </c>
      <c r="BA5798" s="3" t="s">
        <v>55752</v>
      </c>
      <c r="BB5798" s="3" t="s">
        <v>55753</v>
      </c>
      <c r="BC5798" s="3" t="s">
        <v>142</v>
      </c>
      <c r="BD5798" s="3" t="s">
        <v>308</v>
      </c>
      <c r="BE5798" s="3" t="s">
        <v>55754</v>
      </c>
      <c r="BF5798" s="3" t="s">
        <v>55753</v>
      </c>
      <c r="BG5798" s="3" t="s">
        <v>55755</v>
      </c>
    </row>
    <row r="5799" spans="1:59" ht="57" x14ac:dyDescent="0.45">
      <c r="A5799" s="2" t="s">
        <v>59</v>
      </c>
      <c r="B5799" s="2" t="s">
        <v>60</v>
      </c>
      <c r="C5799" s="2" t="s">
        <v>55756</v>
      </c>
      <c r="D5799" s="2" t="s">
        <v>55757</v>
      </c>
      <c r="E5799" s="2" t="s">
        <v>55758</v>
      </c>
      <c r="G5799" s="3" t="s">
        <v>62</v>
      </c>
      <c r="I5799" s="3" t="s">
        <v>62</v>
      </c>
      <c r="J5799" s="3" t="s">
        <v>62</v>
      </c>
      <c r="K5799" s="3" t="s">
        <v>63</v>
      </c>
      <c r="M5799" s="2" t="s">
        <v>55759</v>
      </c>
      <c r="N5799" s="3" t="s">
        <v>167</v>
      </c>
      <c r="P5799" s="3" t="s">
        <v>65</v>
      </c>
      <c r="R5799" s="3" t="s">
        <v>66</v>
      </c>
      <c r="S5799" s="4">
        <v>11</v>
      </c>
      <c r="T5799" s="4">
        <v>11</v>
      </c>
      <c r="U5799" s="5" t="s">
        <v>28941</v>
      </c>
      <c r="V5799" s="5" t="s">
        <v>28941</v>
      </c>
      <c r="W5799" s="5" t="s">
        <v>67</v>
      </c>
      <c r="X5799" s="5" t="s">
        <v>67</v>
      </c>
      <c r="Y5799" s="4">
        <v>243</v>
      </c>
      <c r="Z5799" s="4">
        <v>18</v>
      </c>
      <c r="AA5799" s="4">
        <v>18</v>
      </c>
      <c r="AB5799" s="4">
        <v>3</v>
      </c>
      <c r="AC5799" s="4">
        <v>3</v>
      </c>
      <c r="AD5799" s="4">
        <v>67</v>
      </c>
      <c r="AE5799" s="4">
        <v>67</v>
      </c>
      <c r="AF5799" s="4">
        <v>1</v>
      </c>
      <c r="AG5799" s="4">
        <v>1</v>
      </c>
      <c r="AH5799" s="4">
        <v>59</v>
      </c>
      <c r="AI5799" s="4">
        <v>59</v>
      </c>
      <c r="AJ5799" s="4">
        <v>13</v>
      </c>
      <c r="AK5799" s="4">
        <v>13</v>
      </c>
      <c r="AL5799" s="4">
        <v>33</v>
      </c>
      <c r="AM5799" s="4">
        <v>33</v>
      </c>
      <c r="AN5799" s="4">
        <v>0</v>
      </c>
      <c r="AO5799" s="4">
        <v>0</v>
      </c>
      <c r="AP5799" s="4">
        <v>15</v>
      </c>
      <c r="AQ5799" s="4">
        <v>15</v>
      </c>
      <c r="AR5799" s="3" t="s">
        <v>62</v>
      </c>
      <c r="AS5799" s="3" t="s">
        <v>62</v>
      </c>
      <c r="AT5799" s="3" t="s">
        <v>61</v>
      </c>
      <c r="AU5799" s="6" t="str">
        <f>HYPERLINK("http://catalog.hathitrust.org/Record/004049466","HathiTrust Record")</f>
        <v>HathiTrust Record</v>
      </c>
      <c r="AV5799" s="6" t="str">
        <f>HYPERLINK("http://mcgill.on.worldcat.org/oclc/39714418","Catalog Record")</f>
        <v>Catalog Record</v>
      </c>
      <c r="AW5799" s="6" t="str">
        <f>HYPERLINK("http://www.worldcat.org/oclc/39714418","WorldCat Record")</f>
        <v>WorldCat Record</v>
      </c>
      <c r="AX5799" s="3" t="s">
        <v>55760</v>
      </c>
      <c r="AY5799" s="3" t="s">
        <v>55761</v>
      </c>
      <c r="AZ5799" s="3" t="s">
        <v>55762</v>
      </c>
      <c r="BA5799" s="3" t="s">
        <v>55762</v>
      </c>
      <c r="BB5799" s="3" t="s">
        <v>55763</v>
      </c>
      <c r="BC5799" s="3" t="s">
        <v>142</v>
      </c>
      <c r="BD5799" s="3" t="s">
        <v>308</v>
      </c>
      <c r="BE5799" s="3" t="s">
        <v>55764</v>
      </c>
      <c r="BF5799" s="3" t="s">
        <v>55763</v>
      </c>
      <c r="BG5799" s="3" t="s">
        <v>55765</v>
      </c>
    </row>
    <row r="5800" spans="1:59" ht="57" x14ac:dyDescent="0.45">
      <c r="A5800" s="2" t="s">
        <v>59</v>
      </c>
      <c r="B5800" s="2" t="s">
        <v>60</v>
      </c>
      <c r="C5800" s="2" t="s">
        <v>55766</v>
      </c>
      <c r="D5800" s="2" t="s">
        <v>55767</v>
      </c>
      <c r="E5800" s="2" t="s">
        <v>55768</v>
      </c>
      <c r="F5800" s="3" t="s">
        <v>90</v>
      </c>
      <c r="G5800" s="3" t="s">
        <v>61</v>
      </c>
      <c r="I5800" s="3" t="s">
        <v>62</v>
      </c>
      <c r="J5800" s="3" t="s">
        <v>61</v>
      </c>
      <c r="K5800" s="3" t="s">
        <v>63</v>
      </c>
      <c r="M5800" s="2" t="s">
        <v>40801</v>
      </c>
      <c r="N5800" s="3" t="s">
        <v>1253</v>
      </c>
      <c r="P5800" s="3" t="s">
        <v>65</v>
      </c>
      <c r="R5800" s="3" t="s">
        <v>66</v>
      </c>
      <c r="S5800" s="4">
        <v>50</v>
      </c>
      <c r="T5800" s="4">
        <v>106</v>
      </c>
      <c r="U5800" s="5" t="s">
        <v>23630</v>
      </c>
      <c r="V5800" s="5" t="s">
        <v>23630</v>
      </c>
      <c r="W5800" s="5" t="s">
        <v>67</v>
      </c>
      <c r="X5800" s="5" t="s">
        <v>67</v>
      </c>
      <c r="Y5800" s="4">
        <v>336</v>
      </c>
      <c r="Z5800" s="4">
        <v>27</v>
      </c>
      <c r="AA5800" s="4">
        <v>44</v>
      </c>
      <c r="AB5800" s="4">
        <v>2</v>
      </c>
      <c r="AC5800" s="4">
        <v>7</v>
      </c>
      <c r="AD5800" s="4">
        <v>94</v>
      </c>
      <c r="AE5800" s="4">
        <v>113</v>
      </c>
      <c r="AF5800" s="4">
        <v>1</v>
      </c>
      <c r="AG5800" s="4">
        <v>4</v>
      </c>
      <c r="AH5800" s="4">
        <v>79</v>
      </c>
      <c r="AI5800" s="4">
        <v>91</v>
      </c>
      <c r="AJ5800" s="4">
        <v>11</v>
      </c>
      <c r="AK5800" s="4">
        <v>19</v>
      </c>
      <c r="AL5800" s="4">
        <v>44</v>
      </c>
      <c r="AM5800" s="4">
        <v>46</v>
      </c>
      <c r="AN5800" s="4">
        <v>0</v>
      </c>
      <c r="AO5800" s="4">
        <v>0</v>
      </c>
      <c r="AP5800" s="4">
        <v>21</v>
      </c>
      <c r="AQ5800" s="4">
        <v>33</v>
      </c>
      <c r="AR5800" s="3" t="s">
        <v>62</v>
      </c>
      <c r="AS5800" s="3" t="s">
        <v>62</v>
      </c>
      <c r="AT5800" s="3" t="s">
        <v>61</v>
      </c>
      <c r="AU5800" s="6" t="str">
        <f>HYPERLINK("http://catalog.hathitrust.org/Record/003964704","HathiTrust Record")</f>
        <v>HathiTrust Record</v>
      </c>
      <c r="AV5800" s="6" t="str">
        <f>HYPERLINK("http://mcgill.on.worldcat.org/oclc/36574208","Catalog Record")</f>
        <v>Catalog Record</v>
      </c>
      <c r="AW5800" s="6" t="str">
        <f>HYPERLINK("http://www.worldcat.org/oclc/36574208","WorldCat Record")</f>
        <v>WorldCat Record</v>
      </c>
      <c r="AX5800" s="3" t="s">
        <v>55769</v>
      </c>
      <c r="AY5800" s="3" t="s">
        <v>55770</v>
      </c>
      <c r="AZ5800" s="3" t="s">
        <v>55771</v>
      </c>
      <c r="BA5800" s="3" t="s">
        <v>55771</v>
      </c>
      <c r="BB5800" s="3" t="s">
        <v>55772</v>
      </c>
      <c r="BC5800" s="3" t="s">
        <v>142</v>
      </c>
      <c r="BD5800" s="3" t="s">
        <v>68</v>
      </c>
      <c r="BE5800" s="3" t="s">
        <v>55773</v>
      </c>
      <c r="BF5800" s="3" t="s">
        <v>55772</v>
      </c>
      <c r="BG5800" s="3" t="s">
        <v>55774</v>
      </c>
    </row>
    <row r="5801" spans="1:59" ht="57" x14ac:dyDescent="0.45">
      <c r="A5801" s="2" t="s">
        <v>59</v>
      </c>
      <c r="B5801" s="2" t="s">
        <v>60</v>
      </c>
      <c r="C5801" s="2" t="s">
        <v>55766</v>
      </c>
      <c r="D5801" s="2" t="s">
        <v>55767</v>
      </c>
      <c r="E5801" s="2" t="s">
        <v>55768</v>
      </c>
      <c r="F5801" s="3" t="s">
        <v>87</v>
      </c>
      <c r="G5801" s="3" t="s">
        <v>61</v>
      </c>
      <c r="I5801" s="3" t="s">
        <v>62</v>
      </c>
      <c r="J5801" s="3" t="s">
        <v>61</v>
      </c>
      <c r="K5801" s="3" t="s">
        <v>63</v>
      </c>
      <c r="M5801" s="2" t="s">
        <v>40801</v>
      </c>
      <c r="N5801" s="3" t="s">
        <v>1253</v>
      </c>
      <c r="P5801" s="3" t="s">
        <v>65</v>
      </c>
      <c r="R5801" s="3" t="s">
        <v>66</v>
      </c>
      <c r="S5801" s="4">
        <v>56</v>
      </c>
      <c r="T5801" s="4">
        <v>106</v>
      </c>
      <c r="U5801" s="5" t="s">
        <v>55775</v>
      </c>
      <c r="V5801" s="5" t="s">
        <v>23630</v>
      </c>
      <c r="W5801" s="5" t="s">
        <v>67</v>
      </c>
      <c r="X5801" s="5" t="s">
        <v>67</v>
      </c>
      <c r="Y5801" s="4">
        <v>336</v>
      </c>
      <c r="Z5801" s="4">
        <v>27</v>
      </c>
      <c r="AA5801" s="4">
        <v>44</v>
      </c>
      <c r="AB5801" s="4">
        <v>2</v>
      </c>
      <c r="AC5801" s="4">
        <v>7</v>
      </c>
      <c r="AD5801" s="4">
        <v>94</v>
      </c>
      <c r="AE5801" s="4">
        <v>113</v>
      </c>
      <c r="AF5801" s="4">
        <v>1</v>
      </c>
      <c r="AG5801" s="4">
        <v>4</v>
      </c>
      <c r="AH5801" s="4">
        <v>79</v>
      </c>
      <c r="AI5801" s="4">
        <v>91</v>
      </c>
      <c r="AJ5801" s="4">
        <v>11</v>
      </c>
      <c r="AK5801" s="4">
        <v>19</v>
      </c>
      <c r="AL5801" s="4">
        <v>44</v>
      </c>
      <c r="AM5801" s="4">
        <v>46</v>
      </c>
      <c r="AN5801" s="4">
        <v>0</v>
      </c>
      <c r="AO5801" s="4">
        <v>0</v>
      </c>
      <c r="AP5801" s="4">
        <v>21</v>
      </c>
      <c r="AQ5801" s="4">
        <v>33</v>
      </c>
      <c r="AR5801" s="3" t="s">
        <v>62</v>
      </c>
      <c r="AS5801" s="3" t="s">
        <v>62</v>
      </c>
      <c r="AT5801" s="3" t="s">
        <v>61</v>
      </c>
      <c r="AU5801" s="6" t="str">
        <f>HYPERLINK("http://catalog.hathitrust.org/Record/003964704","HathiTrust Record")</f>
        <v>HathiTrust Record</v>
      </c>
      <c r="AV5801" s="6" t="str">
        <f>HYPERLINK("http://mcgill.on.worldcat.org/oclc/36574208","Catalog Record")</f>
        <v>Catalog Record</v>
      </c>
      <c r="AW5801" s="6" t="str">
        <f>HYPERLINK("http://www.worldcat.org/oclc/36574208","WorldCat Record")</f>
        <v>WorldCat Record</v>
      </c>
      <c r="AX5801" s="3" t="s">
        <v>55769</v>
      </c>
      <c r="AY5801" s="3" t="s">
        <v>55770</v>
      </c>
      <c r="AZ5801" s="3" t="s">
        <v>55771</v>
      </c>
      <c r="BA5801" s="3" t="s">
        <v>55771</v>
      </c>
      <c r="BB5801" s="3" t="s">
        <v>55776</v>
      </c>
      <c r="BC5801" s="3" t="s">
        <v>142</v>
      </c>
      <c r="BD5801" s="3" t="s">
        <v>68</v>
      </c>
      <c r="BE5801" s="3" t="s">
        <v>55773</v>
      </c>
      <c r="BF5801" s="3" t="s">
        <v>55776</v>
      </c>
      <c r="BG5801" s="3" t="s">
        <v>55777</v>
      </c>
    </row>
    <row r="5802" spans="1:59" ht="57" x14ac:dyDescent="0.45">
      <c r="A5802" s="2" t="s">
        <v>59</v>
      </c>
      <c r="B5802" s="2" t="s">
        <v>60</v>
      </c>
      <c r="C5802" s="2" t="s">
        <v>55778</v>
      </c>
      <c r="D5802" s="2" t="s">
        <v>55779</v>
      </c>
      <c r="E5802" s="2" t="s">
        <v>55780</v>
      </c>
      <c r="G5802" s="3" t="s">
        <v>62</v>
      </c>
      <c r="I5802" s="3" t="s">
        <v>62</v>
      </c>
      <c r="J5802" s="3" t="s">
        <v>61</v>
      </c>
      <c r="K5802" s="3" t="s">
        <v>63</v>
      </c>
      <c r="M5802" s="2" t="s">
        <v>55781</v>
      </c>
      <c r="N5802" s="3" t="s">
        <v>894</v>
      </c>
      <c r="O5802" s="2" t="s">
        <v>933</v>
      </c>
      <c r="P5802" s="3" t="s">
        <v>65</v>
      </c>
      <c r="R5802" s="3" t="s">
        <v>66</v>
      </c>
      <c r="S5802" s="4">
        <v>23</v>
      </c>
      <c r="T5802" s="4">
        <v>23</v>
      </c>
      <c r="U5802" s="5" t="s">
        <v>1806</v>
      </c>
      <c r="V5802" s="5" t="s">
        <v>1806</v>
      </c>
      <c r="W5802" s="5" t="s">
        <v>67</v>
      </c>
      <c r="X5802" s="5" t="s">
        <v>67</v>
      </c>
      <c r="Y5802" s="4">
        <v>63</v>
      </c>
      <c r="Z5802" s="4">
        <v>9</v>
      </c>
      <c r="AA5802" s="4">
        <v>44</v>
      </c>
      <c r="AB5802" s="4">
        <v>1</v>
      </c>
      <c r="AC5802" s="4">
        <v>7</v>
      </c>
      <c r="AD5802" s="4">
        <v>11</v>
      </c>
      <c r="AE5802" s="4">
        <v>113</v>
      </c>
      <c r="AF5802" s="4">
        <v>0</v>
      </c>
      <c r="AG5802" s="4">
        <v>4</v>
      </c>
      <c r="AH5802" s="4">
        <v>8</v>
      </c>
      <c r="AI5802" s="4">
        <v>91</v>
      </c>
      <c r="AJ5802" s="4">
        <v>4</v>
      </c>
      <c r="AK5802" s="4">
        <v>19</v>
      </c>
      <c r="AL5802" s="4">
        <v>3</v>
      </c>
      <c r="AM5802" s="4">
        <v>46</v>
      </c>
      <c r="AN5802" s="4">
        <v>0</v>
      </c>
      <c r="AO5802" s="4">
        <v>0</v>
      </c>
      <c r="AP5802" s="4">
        <v>7</v>
      </c>
      <c r="AQ5802" s="4">
        <v>33</v>
      </c>
      <c r="AR5802" s="3" t="s">
        <v>62</v>
      </c>
      <c r="AS5802" s="3" t="s">
        <v>62</v>
      </c>
      <c r="AT5802" s="3" t="s">
        <v>62</v>
      </c>
      <c r="AV5802" s="6" t="str">
        <f>HYPERLINK("http://mcgill.on.worldcat.org/oclc/711806025","Catalog Record")</f>
        <v>Catalog Record</v>
      </c>
      <c r="AW5802" s="6" t="str">
        <f>HYPERLINK("http://www.worldcat.org/oclc/711806025","WorldCat Record")</f>
        <v>WorldCat Record</v>
      </c>
      <c r="AX5802" s="3" t="s">
        <v>55769</v>
      </c>
      <c r="AY5802" s="3" t="s">
        <v>55782</v>
      </c>
      <c r="AZ5802" s="3" t="s">
        <v>55783</v>
      </c>
      <c r="BA5802" s="3" t="s">
        <v>55783</v>
      </c>
      <c r="BB5802" s="3" t="s">
        <v>55784</v>
      </c>
      <c r="BC5802" s="3" t="s">
        <v>142</v>
      </c>
      <c r="BD5802" s="3" t="s">
        <v>68</v>
      </c>
      <c r="BE5802" s="3" t="s">
        <v>55785</v>
      </c>
      <c r="BF5802" s="3" t="s">
        <v>55784</v>
      </c>
      <c r="BG5802" s="3" t="s">
        <v>55786</v>
      </c>
    </row>
    <row r="5803" spans="1:59" ht="57" x14ac:dyDescent="0.45">
      <c r="A5803" s="2" t="s">
        <v>59</v>
      </c>
      <c r="B5803" s="2" t="s">
        <v>60</v>
      </c>
      <c r="C5803" s="2" t="s">
        <v>55787</v>
      </c>
      <c r="D5803" s="2" t="s">
        <v>55788</v>
      </c>
      <c r="E5803" s="2" t="s">
        <v>55789</v>
      </c>
      <c r="G5803" s="3" t="s">
        <v>62</v>
      </c>
      <c r="I5803" s="3" t="s">
        <v>62</v>
      </c>
      <c r="J5803" s="3" t="s">
        <v>62</v>
      </c>
      <c r="K5803" s="3" t="s">
        <v>63</v>
      </c>
      <c r="L5803" s="2" t="s">
        <v>55790</v>
      </c>
      <c r="M5803" s="2" t="s">
        <v>55791</v>
      </c>
      <c r="N5803" s="3" t="s">
        <v>2107</v>
      </c>
      <c r="P5803" s="3" t="s">
        <v>65</v>
      </c>
      <c r="Q5803" s="2" t="s">
        <v>55792</v>
      </c>
      <c r="R5803" s="3" t="s">
        <v>66</v>
      </c>
      <c r="S5803" s="4">
        <v>23</v>
      </c>
      <c r="T5803" s="4">
        <v>23</v>
      </c>
      <c r="U5803" s="5" t="s">
        <v>16011</v>
      </c>
      <c r="V5803" s="5" t="s">
        <v>16011</v>
      </c>
      <c r="W5803" s="5" t="s">
        <v>67</v>
      </c>
      <c r="X5803" s="5" t="s">
        <v>67</v>
      </c>
      <c r="Y5803" s="4">
        <v>247</v>
      </c>
      <c r="Z5803" s="4">
        <v>23</v>
      </c>
      <c r="AA5803" s="4">
        <v>102</v>
      </c>
      <c r="AB5803" s="4">
        <v>2</v>
      </c>
      <c r="AC5803" s="4">
        <v>17</v>
      </c>
      <c r="AD5803" s="4">
        <v>93</v>
      </c>
      <c r="AE5803" s="4">
        <v>142</v>
      </c>
      <c r="AF5803" s="4">
        <v>1</v>
      </c>
      <c r="AG5803" s="4">
        <v>8</v>
      </c>
      <c r="AH5803" s="4">
        <v>82</v>
      </c>
      <c r="AI5803" s="4">
        <v>104</v>
      </c>
      <c r="AJ5803" s="4">
        <v>16</v>
      </c>
      <c r="AK5803" s="4">
        <v>26</v>
      </c>
      <c r="AL5803" s="4">
        <v>45</v>
      </c>
      <c r="AM5803" s="4">
        <v>53</v>
      </c>
      <c r="AN5803" s="4">
        <v>0</v>
      </c>
      <c r="AO5803" s="4">
        <v>0</v>
      </c>
      <c r="AP5803" s="4">
        <v>19</v>
      </c>
      <c r="AQ5803" s="4">
        <v>48</v>
      </c>
      <c r="AR5803" s="3" t="s">
        <v>62</v>
      </c>
      <c r="AS5803" s="3" t="s">
        <v>62</v>
      </c>
      <c r="AT5803" s="3" t="s">
        <v>61</v>
      </c>
      <c r="AU5803" s="6" t="str">
        <f>HYPERLINK("http://catalog.hathitrust.org/Record/000591753","HathiTrust Record")</f>
        <v>HathiTrust Record</v>
      </c>
      <c r="AV5803" s="6" t="str">
        <f>HYPERLINK("http://mcgill.on.worldcat.org/oclc/11346310","Catalog Record")</f>
        <v>Catalog Record</v>
      </c>
      <c r="AW5803" s="6" t="str">
        <f>HYPERLINK("http://www.worldcat.org/oclc/11346310","WorldCat Record")</f>
        <v>WorldCat Record</v>
      </c>
      <c r="AX5803" s="3" t="s">
        <v>55793</v>
      </c>
      <c r="AY5803" s="3" t="s">
        <v>55794</v>
      </c>
      <c r="AZ5803" s="3" t="s">
        <v>55795</v>
      </c>
      <c r="BA5803" s="3" t="s">
        <v>55795</v>
      </c>
      <c r="BB5803" s="3" t="s">
        <v>55796</v>
      </c>
      <c r="BC5803" s="3" t="s">
        <v>142</v>
      </c>
      <c r="BD5803" s="3" t="s">
        <v>68</v>
      </c>
      <c r="BE5803" s="3" t="s">
        <v>55797</v>
      </c>
      <c r="BF5803" s="3" t="s">
        <v>55796</v>
      </c>
      <c r="BG5803" s="3" t="s">
        <v>55798</v>
      </c>
    </row>
    <row r="5804" spans="1:59" ht="57" x14ac:dyDescent="0.45">
      <c r="A5804" s="2" t="s">
        <v>59</v>
      </c>
      <c r="B5804" s="2" t="s">
        <v>60</v>
      </c>
      <c r="C5804" s="2" t="s">
        <v>55799</v>
      </c>
      <c r="D5804" s="2" t="s">
        <v>55800</v>
      </c>
      <c r="E5804" s="2" t="s">
        <v>55801</v>
      </c>
      <c r="G5804" s="3" t="s">
        <v>62</v>
      </c>
      <c r="I5804" s="3" t="s">
        <v>61</v>
      </c>
      <c r="J5804" s="3" t="s">
        <v>62</v>
      </c>
      <c r="K5804" s="3" t="s">
        <v>63</v>
      </c>
      <c r="L5804" s="2" t="s">
        <v>55790</v>
      </c>
      <c r="M5804" s="2" t="s">
        <v>55802</v>
      </c>
      <c r="N5804" s="3" t="s">
        <v>106</v>
      </c>
      <c r="P5804" s="3" t="s">
        <v>65</v>
      </c>
      <c r="R5804" s="3" t="s">
        <v>66</v>
      </c>
      <c r="S5804" s="4">
        <v>23</v>
      </c>
      <c r="T5804" s="4">
        <v>83</v>
      </c>
      <c r="U5804" s="5" t="s">
        <v>55803</v>
      </c>
      <c r="V5804" s="5" t="s">
        <v>2753</v>
      </c>
      <c r="W5804" s="5" t="s">
        <v>67</v>
      </c>
      <c r="X5804" s="5" t="s">
        <v>67</v>
      </c>
      <c r="Y5804" s="4">
        <v>516</v>
      </c>
      <c r="Z5804" s="4">
        <v>37</v>
      </c>
      <c r="AA5804" s="4">
        <v>45</v>
      </c>
      <c r="AB5804" s="4">
        <v>3</v>
      </c>
      <c r="AC5804" s="4">
        <v>10</v>
      </c>
      <c r="AD5804" s="4">
        <v>126</v>
      </c>
      <c r="AE5804" s="4">
        <v>131</v>
      </c>
      <c r="AF5804" s="4">
        <v>1</v>
      </c>
      <c r="AG5804" s="4">
        <v>5</v>
      </c>
      <c r="AH5804" s="4">
        <v>104</v>
      </c>
      <c r="AI5804" s="4">
        <v>105</v>
      </c>
      <c r="AJ5804" s="4">
        <v>21</v>
      </c>
      <c r="AK5804" s="4">
        <v>24</v>
      </c>
      <c r="AL5804" s="4">
        <v>58</v>
      </c>
      <c r="AM5804" s="4">
        <v>58</v>
      </c>
      <c r="AN5804" s="4">
        <v>0</v>
      </c>
      <c r="AO5804" s="4">
        <v>0</v>
      </c>
      <c r="AP5804" s="4">
        <v>30</v>
      </c>
      <c r="AQ5804" s="4">
        <v>34</v>
      </c>
      <c r="AR5804" s="3" t="s">
        <v>62</v>
      </c>
      <c r="AS5804" s="3" t="s">
        <v>62</v>
      </c>
      <c r="AT5804" s="3" t="s">
        <v>61</v>
      </c>
      <c r="AU5804" s="6" t="str">
        <f>HYPERLINK("http://catalog.hathitrust.org/Record/000116164","HathiTrust Record")</f>
        <v>HathiTrust Record</v>
      </c>
      <c r="AV5804" s="6" t="str">
        <f>HYPERLINK("http://mcgill.on.worldcat.org/oclc/9043751","Catalog Record")</f>
        <v>Catalog Record</v>
      </c>
      <c r="AW5804" s="6" t="str">
        <f>HYPERLINK("http://www.worldcat.org/oclc/9043751","WorldCat Record")</f>
        <v>WorldCat Record</v>
      </c>
      <c r="AX5804" s="3" t="s">
        <v>55804</v>
      </c>
      <c r="AY5804" s="3" t="s">
        <v>55805</v>
      </c>
      <c r="AZ5804" s="3" t="s">
        <v>55806</v>
      </c>
      <c r="BA5804" s="3" t="s">
        <v>55806</v>
      </c>
      <c r="BB5804" s="3" t="s">
        <v>55807</v>
      </c>
      <c r="BC5804" s="3" t="s">
        <v>142</v>
      </c>
      <c r="BD5804" s="3" t="s">
        <v>68</v>
      </c>
      <c r="BE5804" s="3" t="s">
        <v>55808</v>
      </c>
      <c r="BF5804" s="3" t="s">
        <v>55807</v>
      </c>
      <c r="BG5804" s="3" t="s">
        <v>55809</v>
      </c>
    </row>
    <row r="5805" spans="1:59" ht="57" x14ac:dyDescent="0.45">
      <c r="A5805" s="2" t="s">
        <v>59</v>
      </c>
      <c r="B5805" s="2" t="s">
        <v>60</v>
      </c>
      <c r="C5805" s="2" t="s">
        <v>55799</v>
      </c>
      <c r="D5805" s="2" t="s">
        <v>55800</v>
      </c>
      <c r="E5805" s="2" t="s">
        <v>55801</v>
      </c>
      <c r="G5805" s="3" t="s">
        <v>62</v>
      </c>
      <c r="I5805" s="3" t="s">
        <v>61</v>
      </c>
      <c r="J5805" s="3" t="s">
        <v>62</v>
      </c>
      <c r="K5805" s="3" t="s">
        <v>63</v>
      </c>
      <c r="L5805" s="2" t="s">
        <v>55790</v>
      </c>
      <c r="M5805" s="2" t="s">
        <v>55802</v>
      </c>
      <c r="N5805" s="3" t="s">
        <v>106</v>
      </c>
      <c r="P5805" s="3" t="s">
        <v>65</v>
      </c>
      <c r="R5805" s="3" t="s">
        <v>66</v>
      </c>
      <c r="S5805" s="4">
        <v>31</v>
      </c>
      <c r="T5805" s="4">
        <v>83</v>
      </c>
      <c r="U5805" s="5" t="s">
        <v>2753</v>
      </c>
      <c r="V5805" s="5" t="s">
        <v>2753</v>
      </c>
      <c r="W5805" s="5" t="s">
        <v>67</v>
      </c>
      <c r="X5805" s="5" t="s">
        <v>67</v>
      </c>
      <c r="Y5805" s="4">
        <v>516</v>
      </c>
      <c r="Z5805" s="4">
        <v>37</v>
      </c>
      <c r="AA5805" s="4">
        <v>45</v>
      </c>
      <c r="AB5805" s="4">
        <v>3</v>
      </c>
      <c r="AC5805" s="4">
        <v>10</v>
      </c>
      <c r="AD5805" s="4">
        <v>126</v>
      </c>
      <c r="AE5805" s="4">
        <v>131</v>
      </c>
      <c r="AF5805" s="4">
        <v>1</v>
      </c>
      <c r="AG5805" s="4">
        <v>5</v>
      </c>
      <c r="AH5805" s="4">
        <v>104</v>
      </c>
      <c r="AI5805" s="4">
        <v>105</v>
      </c>
      <c r="AJ5805" s="4">
        <v>21</v>
      </c>
      <c r="AK5805" s="4">
        <v>24</v>
      </c>
      <c r="AL5805" s="4">
        <v>58</v>
      </c>
      <c r="AM5805" s="4">
        <v>58</v>
      </c>
      <c r="AN5805" s="4">
        <v>0</v>
      </c>
      <c r="AO5805" s="4">
        <v>0</v>
      </c>
      <c r="AP5805" s="4">
        <v>30</v>
      </c>
      <c r="AQ5805" s="4">
        <v>34</v>
      </c>
      <c r="AR5805" s="3" t="s">
        <v>62</v>
      </c>
      <c r="AS5805" s="3" t="s">
        <v>62</v>
      </c>
      <c r="AT5805" s="3" t="s">
        <v>61</v>
      </c>
      <c r="AU5805" s="6" t="str">
        <f>HYPERLINK("http://catalog.hathitrust.org/Record/000116164","HathiTrust Record")</f>
        <v>HathiTrust Record</v>
      </c>
      <c r="AV5805" s="6" t="str">
        <f>HYPERLINK("http://mcgill.on.worldcat.org/oclc/9043751","Catalog Record")</f>
        <v>Catalog Record</v>
      </c>
      <c r="AW5805" s="6" t="str">
        <f>HYPERLINK("http://www.worldcat.org/oclc/9043751","WorldCat Record")</f>
        <v>WorldCat Record</v>
      </c>
      <c r="AX5805" s="3" t="s">
        <v>55804</v>
      </c>
      <c r="AY5805" s="3" t="s">
        <v>55805</v>
      </c>
      <c r="AZ5805" s="3" t="s">
        <v>55806</v>
      </c>
      <c r="BA5805" s="3" t="s">
        <v>55806</v>
      </c>
      <c r="BB5805" s="3" t="s">
        <v>55810</v>
      </c>
      <c r="BC5805" s="3" t="s">
        <v>142</v>
      </c>
      <c r="BD5805" s="3" t="s">
        <v>68</v>
      </c>
      <c r="BE5805" s="3" t="s">
        <v>55808</v>
      </c>
      <c r="BF5805" s="3" t="s">
        <v>55810</v>
      </c>
      <c r="BG5805" s="3" t="s">
        <v>55811</v>
      </c>
    </row>
    <row r="5806" spans="1:59" ht="57" x14ac:dyDescent="0.45">
      <c r="A5806" s="2" t="s">
        <v>59</v>
      </c>
      <c r="B5806" s="2" t="s">
        <v>60</v>
      </c>
      <c r="C5806" s="2" t="s">
        <v>55799</v>
      </c>
      <c r="D5806" s="2" t="s">
        <v>55800</v>
      </c>
      <c r="E5806" s="2" t="s">
        <v>55801</v>
      </c>
      <c r="G5806" s="3" t="s">
        <v>62</v>
      </c>
      <c r="I5806" s="3" t="s">
        <v>61</v>
      </c>
      <c r="J5806" s="3" t="s">
        <v>62</v>
      </c>
      <c r="K5806" s="3" t="s">
        <v>63</v>
      </c>
      <c r="L5806" s="2" t="s">
        <v>55790</v>
      </c>
      <c r="M5806" s="2" t="s">
        <v>55802</v>
      </c>
      <c r="N5806" s="3" t="s">
        <v>106</v>
      </c>
      <c r="P5806" s="3" t="s">
        <v>65</v>
      </c>
      <c r="R5806" s="3" t="s">
        <v>66</v>
      </c>
      <c r="S5806" s="4">
        <v>29</v>
      </c>
      <c r="T5806" s="4">
        <v>83</v>
      </c>
      <c r="U5806" s="5" t="s">
        <v>55812</v>
      </c>
      <c r="V5806" s="5" t="s">
        <v>2753</v>
      </c>
      <c r="W5806" s="5" t="s">
        <v>67</v>
      </c>
      <c r="X5806" s="5" t="s">
        <v>67</v>
      </c>
      <c r="Y5806" s="4">
        <v>516</v>
      </c>
      <c r="Z5806" s="4">
        <v>37</v>
      </c>
      <c r="AA5806" s="4">
        <v>45</v>
      </c>
      <c r="AB5806" s="4">
        <v>3</v>
      </c>
      <c r="AC5806" s="4">
        <v>10</v>
      </c>
      <c r="AD5806" s="4">
        <v>126</v>
      </c>
      <c r="AE5806" s="4">
        <v>131</v>
      </c>
      <c r="AF5806" s="4">
        <v>1</v>
      </c>
      <c r="AG5806" s="4">
        <v>5</v>
      </c>
      <c r="AH5806" s="4">
        <v>104</v>
      </c>
      <c r="AI5806" s="4">
        <v>105</v>
      </c>
      <c r="AJ5806" s="4">
        <v>21</v>
      </c>
      <c r="AK5806" s="4">
        <v>24</v>
      </c>
      <c r="AL5806" s="4">
        <v>58</v>
      </c>
      <c r="AM5806" s="4">
        <v>58</v>
      </c>
      <c r="AN5806" s="4">
        <v>0</v>
      </c>
      <c r="AO5806" s="4">
        <v>0</v>
      </c>
      <c r="AP5806" s="4">
        <v>30</v>
      </c>
      <c r="AQ5806" s="4">
        <v>34</v>
      </c>
      <c r="AR5806" s="3" t="s">
        <v>62</v>
      </c>
      <c r="AS5806" s="3" t="s">
        <v>62</v>
      </c>
      <c r="AT5806" s="3" t="s">
        <v>61</v>
      </c>
      <c r="AU5806" s="6" t="str">
        <f>HYPERLINK("http://catalog.hathitrust.org/Record/000116164","HathiTrust Record")</f>
        <v>HathiTrust Record</v>
      </c>
      <c r="AV5806" s="6" t="str">
        <f>HYPERLINK("http://mcgill.on.worldcat.org/oclc/9043751","Catalog Record")</f>
        <v>Catalog Record</v>
      </c>
      <c r="AW5806" s="6" t="str">
        <f>HYPERLINK("http://www.worldcat.org/oclc/9043751","WorldCat Record")</f>
        <v>WorldCat Record</v>
      </c>
      <c r="AX5806" s="3" t="s">
        <v>55804</v>
      </c>
      <c r="AY5806" s="3" t="s">
        <v>55805</v>
      </c>
      <c r="AZ5806" s="3" t="s">
        <v>55806</v>
      </c>
      <c r="BA5806" s="3" t="s">
        <v>55806</v>
      </c>
      <c r="BB5806" s="3" t="s">
        <v>55813</v>
      </c>
      <c r="BC5806" s="3" t="s">
        <v>142</v>
      </c>
      <c r="BD5806" s="3" t="s">
        <v>68</v>
      </c>
      <c r="BE5806" s="3" t="s">
        <v>55808</v>
      </c>
      <c r="BF5806" s="3" t="s">
        <v>55813</v>
      </c>
      <c r="BG5806" s="3" t="s">
        <v>55814</v>
      </c>
    </row>
    <row r="5807" spans="1:59" ht="57" x14ac:dyDescent="0.45">
      <c r="A5807" s="2" t="s">
        <v>59</v>
      </c>
      <c r="B5807" s="2" t="s">
        <v>60</v>
      </c>
      <c r="C5807" s="2" t="s">
        <v>55815</v>
      </c>
      <c r="D5807" s="2" t="s">
        <v>55816</v>
      </c>
      <c r="E5807" s="2" t="s">
        <v>55817</v>
      </c>
      <c r="G5807" s="3" t="s">
        <v>62</v>
      </c>
      <c r="I5807" s="3" t="s">
        <v>62</v>
      </c>
      <c r="J5807" s="3" t="s">
        <v>62</v>
      </c>
      <c r="K5807" s="3" t="s">
        <v>63</v>
      </c>
      <c r="M5807" s="2" t="s">
        <v>55818</v>
      </c>
      <c r="N5807" s="3" t="s">
        <v>1918</v>
      </c>
      <c r="O5807" s="2" t="s">
        <v>55819</v>
      </c>
      <c r="P5807" s="3" t="s">
        <v>110</v>
      </c>
      <c r="Q5807" s="2" t="s">
        <v>55820</v>
      </c>
      <c r="R5807" s="3" t="s">
        <v>66</v>
      </c>
      <c r="S5807" s="4">
        <v>1</v>
      </c>
      <c r="T5807" s="4">
        <v>1</v>
      </c>
      <c r="U5807" s="5" t="s">
        <v>158</v>
      </c>
      <c r="V5807" s="5" t="s">
        <v>158</v>
      </c>
      <c r="W5807" s="5" t="s">
        <v>67</v>
      </c>
      <c r="X5807" s="5" t="s">
        <v>67</v>
      </c>
      <c r="Y5807" s="4">
        <v>13</v>
      </c>
      <c r="Z5807" s="4">
        <v>3</v>
      </c>
      <c r="AA5807" s="4">
        <v>13</v>
      </c>
      <c r="AB5807" s="4">
        <v>1</v>
      </c>
      <c r="AC5807" s="4">
        <v>4</v>
      </c>
      <c r="AD5807" s="4">
        <v>5</v>
      </c>
      <c r="AE5807" s="4">
        <v>28</v>
      </c>
      <c r="AF5807" s="4">
        <v>0</v>
      </c>
      <c r="AG5807" s="4">
        <v>3</v>
      </c>
      <c r="AH5807" s="4">
        <v>4</v>
      </c>
      <c r="AI5807" s="4">
        <v>22</v>
      </c>
      <c r="AJ5807" s="4">
        <v>2</v>
      </c>
      <c r="AK5807" s="4">
        <v>11</v>
      </c>
      <c r="AL5807" s="4">
        <v>3</v>
      </c>
      <c r="AM5807" s="4">
        <v>17</v>
      </c>
      <c r="AN5807" s="4">
        <v>0</v>
      </c>
      <c r="AO5807" s="4">
        <v>0</v>
      </c>
      <c r="AP5807" s="4">
        <v>2</v>
      </c>
      <c r="AQ5807" s="4">
        <v>10</v>
      </c>
      <c r="AR5807" s="3" t="s">
        <v>62</v>
      </c>
      <c r="AS5807" s="3" t="s">
        <v>62</v>
      </c>
      <c r="AT5807" s="3" t="s">
        <v>62</v>
      </c>
      <c r="AV5807" s="6" t="str">
        <f>HYPERLINK("http://mcgill.on.worldcat.org/oclc/978681216","Catalog Record")</f>
        <v>Catalog Record</v>
      </c>
      <c r="AW5807" s="6" t="str">
        <f>HYPERLINK("http://www.worldcat.org/oclc/978681216","WorldCat Record")</f>
        <v>WorldCat Record</v>
      </c>
      <c r="AX5807" s="3" t="s">
        <v>55821</v>
      </c>
      <c r="AY5807" s="3" t="s">
        <v>55822</v>
      </c>
      <c r="AZ5807" s="3" t="s">
        <v>55823</v>
      </c>
      <c r="BA5807" s="3" t="s">
        <v>55823</v>
      </c>
      <c r="BB5807" s="3" t="s">
        <v>55824</v>
      </c>
      <c r="BC5807" s="3" t="s">
        <v>142</v>
      </c>
      <c r="BD5807" s="3" t="s">
        <v>68</v>
      </c>
      <c r="BE5807" s="3" t="s">
        <v>55825</v>
      </c>
      <c r="BF5807" s="3" t="s">
        <v>55824</v>
      </c>
      <c r="BG5807" s="3" t="s">
        <v>55826</v>
      </c>
    </row>
    <row r="5808" spans="1:59" ht="57" x14ac:dyDescent="0.45">
      <c r="A5808" s="2" t="s">
        <v>59</v>
      </c>
      <c r="B5808" s="2" t="s">
        <v>60</v>
      </c>
      <c r="C5808" s="2" t="s">
        <v>55827</v>
      </c>
      <c r="D5808" s="2" t="s">
        <v>55828</v>
      </c>
      <c r="E5808" s="2" t="s">
        <v>55829</v>
      </c>
      <c r="G5808" s="3" t="s">
        <v>62</v>
      </c>
      <c r="I5808" s="3" t="s">
        <v>62</v>
      </c>
      <c r="J5808" s="3" t="s">
        <v>62</v>
      </c>
      <c r="K5808" s="3" t="s">
        <v>63</v>
      </c>
      <c r="M5808" s="2" t="s">
        <v>55830</v>
      </c>
      <c r="N5808" s="3" t="s">
        <v>1855</v>
      </c>
      <c r="P5808" s="3" t="s">
        <v>110</v>
      </c>
      <c r="Q5808" s="2" t="s">
        <v>55831</v>
      </c>
      <c r="R5808" s="3" t="s">
        <v>66</v>
      </c>
      <c r="S5808" s="4">
        <v>7</v>
      </c>
      <c r="T5808" s="4">
        <v>7</v>
      </c>
      <c r="U5808" s="5" t="s">
        <v>8125</v>
      </c>
      <c r="V5808" s="5" t="s">
        <v>8125</v>
      </c>
      <c r="W5808" s="5" t="s">
        <v>67</v>
      </c>
      <c r="X5808" s="5" t="s">
        <v>67</v>
      </c>
      <c r="Y5808" s="4">
        <v>23</v>
      </c>
      <c r="Z5808" s="4">
        <v>6</v>
      </c>
      <c r="AA5808" s="4">
        <v>16</v>
      </c>
      <c r="AB5808" s="4">
        <v>1</v>
      </c>
      <c r="AC5808" s="4">
        <v>9</v>
      </c>
      <c r="AD5808" s="4">
        <v>10</v>
      </c>
      <c r="AE5808" s="4">
        <v>16</v>
      </c>
      <c r="AF5808" s="4">
        <v>0</v>
      </c>
      <c r="AG5808" s="4">
        <v>4</v>
      </c>
      <c r="AH5808" s="4">
        <v>9</v>
      </c>
      <c r="AI5808" s="4">
        <v>12</v>
      </c>
      <c r="AJ5808" s="4">
        <v>3</v>
      </c>
      <c r="AK5808" s="4">
        <v>9</v>
      </c>
      <c r="AL5808" s="4">
        <v>5</v>
      </c>
      <c r="AM5808" s="4">
        <v>5</v>
      </c>
      <c r="AN5808" s="4">
        <v>0</v>
      </c>
      <c r="AO5808" s="4">
        <v>0</v>
      </c>
      <c r="AP5808" s="4">
        <v>4</v>
      </c>
      <c r="AQ5808" s="4">
        <v>9</v>
      </c>
      <c r="AR5808" s="3" t="s">
        <v>62</v>
      </c>
      <c r="AS5808" s="3" t="s">
        <v>62</v>
      </c>
      <c r="AT5808" s="3" t="s">
        <v>62</v>
      </c>
      <c r="AV5808" s="6" t="str">
        <f>HYPERLINK("http://mcgill.on.worldcat.org/oclc/144324483","Catalog Record")</f>
        <v>Catalog Record</v>
      </c>
      <c r="AW5808" s="6" t="str">
        <f>HYPERLINK("http://www.worldcat.org/oclc/144324483","WorldCat Record")</f>
        <v>WorldCat Record</v>
      </c>
      <c r="AX5808" s="3" t="s">
        <v>55832</v>
      </c>
      <c r="AY5808" s="3" t="s">
        <v>55833</v>
      </c>
      <c r="AZ5808" s="3" t="s">
        <v>55834</v>
      </c>
      <c r="BA5808" s="3" t="s">
        <v>55834</v>
      </c>
      <c r="BB5808" s="3" t="s">
        <v>55835</v>
      </c>
      <c r="BC5808" s="3" t="s">
        <v>142</v>
      </c>
      <c r="BD5808" s="3" t="s">
        <v>68</v>
      </c>
      <c r="BE5808" s="3" t="s">
        <v>55836</v>
      </c>
      <c r="BF5808" s="3" t="s">
        <v>55835</v>
      </c>
      <c r="BG5808" s="3" t="s">
        <v>55837</v>
      </c>
    </row>
    <row r="5809" spans="1:59" ht="57" x14ac:dyDescent="0.45">
      <c r="A5809" s="2" t="s">
        <v>59</v>
      </c>
      <c r="B5809" s="2" t="s">
        <v>60</v>
      </c>
      <c r="C5809" s="2" t="s">
        <v>55838</v>
      </c>
      <c r="D5809" s="2" t="s">
        <v>55839</v>
      </c>
      <c r="E5809" s="2" t="s">
        <v>55840</v>
      </c>
      <c r="G5809" s="3" t="s">
        <v>62</v>
      </c>
      <c r="I5809" s="3" t="s">
        <v>62</v>
      </c>
      <c r="J5809" s="3" t="s">
        <v>62</v>
      </c>
      <c r="K5809" s="3" t="s">
        <v>63</v>
      </c>
      <c r="M5809" s="2" t="s">
        <v>55841</v>
      </c>
      <c r="N5809" s="3" t="s">
        <v>945</v>
      </c>
      <c r="P5809" s="3" t="s">
        <v>65</v>
      </c>
      <c r="Q5809" s="2" t="s">
        <v>55842</v>
      </c>
      <c r="R5809" s="3" t="s">
        <v>66</v>
      </c>
      <c r="S5809" s="4">
        <v>19</v>
      </c>
      <c r="T5809" s="4">
        <v>19</v>
      </c>
      <c r="U5809" s="5" t="s">
        <v>36641</v>
      </c>
      <c r="V5809" s="5" t="s">
        <v>36641</v>
      </c>
      <c r="W5809" s="5" t="s">
        <v>67</v>
      </c>
      <c r="X5809" s="5" t="s">
        <v>67</v>
      </c>
      <c r="Y5809" s="4">
        <v>97</v>
      </c>
      <c r="Z5809" s="4">
        <v>14</v>
      </c>
      <c r="AA5809" s="4">
        <v>41</v>
      </c>
      <c r="AB5809" s="4">
        <v>1</v>
      </c>
      <c r="AC5809" s="4">
        <v>9</v>
      </c>
      <c r="AD5809" s="4">
        <v>26</v>
      </c>
      <c r="AE5809" s="4">
        <v>40</v>
      </c>
      <c r="AF5809" s="4">
        <v>0</v>
      </c>
      <c r="AG5809" s="4">
        <v>3</v>
      </c>
      <c r="AH5809" s="4">
        <v>22</v>
      </c>
      <c r="AI5809" s="4">
        <v>27</v>
      </c>
      <c r="AJ5809" s="4">
        <v>7</v>
      </c>
      <c r="AK5809" s="4">
        <v>10</v>
      </c>
      <c r="AL5809" s="4">
        <v>12</v>
      </c>
      <c r="AM5809" s="4">
        <v>16</v>
      </c>
      <c r="AN5809" s="4">
        <v>0</v>
      </c>
      <c r="AO5809" s="4">
        <v>0</v>
      </c>
      <c r="AP5809" s="4">
        <v>10</v>
      </c>
      <c r="AQ5809" s="4">
        <v>18</v>
      </c>
      <c r="AR5809" s="3" t="s">
        <v>62</v>
      </c>
      <c r="AS5809" s="3" t="s">
        <v>62</v>
      </c>
      <c r="AT5809" s="3" t="s">
        <v>62</v>
      </c>
      <c r="AV5809" s="6" t="str">
        <f>HYPERLINK("http://mcgill.on.worldcat.org/oclc/124026742","Catalog Record")</f>
        <v>Catalog Record</v>
      </c>
      <c r="AW5809" s="6" t="str">
        <f>HYPERLINK("http://www.worldcat.org/oclc/124026742","WorldCat Record")</f>
        <v>WorldCat Record</v>
      </c>
      <c r="AX5809" s="3" t="s">
        <v>55843</v>
      </c>
      <c r="AY5809" s="3" t="s">
        <v>55844</v>
      </c>
      <c r="AZ5809" s="3" t="s">
        <v>55845</v>
      </c>
      <c r="BA5809" s="3" t="s">
        <v>55845</v>
      </c>
      <c r="BB5809" s="3" t="s">
        <v>55846</v>
      </c>
      <c r="BC5809" s="3" t="s">
        <v>142</v>
      </c>
      <c r="BD5809" s="3" t="s">
        <v>68</v>
      </c>
      <c r="BE5809" s="3" t="s">
        <v>55847</v>
      </c>
      <c r="BF5809" s="3" t="s">
        <v>55846</v>
      </c>
      <c r="BG5809" s="3" t="s">
        <v>55848</v>
      </c>
    </row>
    <row r="5810" spans="1:59" ht="57" x14ac:dyDescent="0.45">
      <c r="A5810" s="2" t="s">
        <v>59</v>
      </c>
      <c r="B5810" s="2" t="s">
        <v>60</v>
      </c>
      <c r="C5810" s="2" t="s">
        <v>55849</v>
      </c>
      <c r="D5810" s="2" t="s">
        <v>55850</v>
      </c>
      <c r="E5810" s="2" t="s">
        <v>55851</v>
      </c>
      <c r="G5810" s="3" t="s">
        <v>62</v>
      </c>
      <c r="I5810" s="3" t="s">
        <v>62</v>
      </c>
      <c r="J5810" s="3" t="s">
        <v>62</v>
      </c>
      <c r="K5810" s="3" t="s">
        <v>63</v>
      </c>
      <c r="M5810" s="2" t="s">
        <v>55852</v>
      </c>
      <c r="N5810" s="3" t="s">
        <v>542</v>
      </c>
      <c r="P5810" s="3" t="s">
        <v>65</v>
      </c>
      <c r="R5810" s="3" t="s">
        <v>66</v>
      </c>
      <c r="S5810" s="4">
        <v>11</v>
      </c>
      <c r="T5810" s="4">
        <v>11</v>
      </c>
      <c r="U5810" s="5" t="s">
        <v>55853</v>
      </c>
      <c r="V5810" s="5" t="s">
        <v>55853</v>
      </c>
      <c r="W5810" s="5" t="s">
        <v>67</v>
      </c>
      <c r="X5810" s="5" t="s">
        <v>67</v>
      </c>
      <c r="Y5810" s="4">
        <v>321</v>
      </c>
      <c r="Z5810" s="4">
        <v>27</v>
      </c>
      <c r="AA5810" s="4">
        <v>29</v>
      </c>
      <c r="AB5810" s="4">
        <v>2</v>
      </c>
      <c r="AC5810" s="4">
        <v>4</v>
      </c>
      <c r="AD5810" s="4">
        <v>70</v>
      </c>
      <c r="AE5810" s="4">
        <v>72</v>
      </c>
      <c r="AF5810" s="4">
        <v>1</v>
      </c>
      <c r="AG5810" s="4">
        <v>3</v>
      </c>
      <c r="AH5810" s="4">
        <v>57</v>
      </c>
      <c r="AI5810" s="4">
        <v>57</v>
      </c>
      <c r="AJ5810" s="4">
        <v>17</v>
      </c>
      <c r="AK5810" s="4">
        <v>18</v>
      </c>
      <c r="AL5810" s="4">
        <v>34</v>
      </c>
      <c r="AM5810" s="4">
        <v>34</v>
      </c>
      <c r="AN5810" s="4">
        <v>0</v>
      </c>
      <c r="AO5810" s="4">
        <v>0</v>
      </c>
      <c r="AP5810" s="4">
        <v>22</v>
      </c>
      <c r="AQ5810" s="4">
        <v>24</v>
      </c>
      <c r="AR5810" s="3" t="s">
        <v>62</v>
      </c>
      <c r="AS5810" s="3" t="s">
        <v>62</v>
      </c>
      <c r="AT5810" s="3" t="s">
        <v>61</v>
      </c>
      <c r="AU5810" s="6" t="str">
        <f>HYPERLINK("http://catalog.hathitrust.org/Record/004168034","HathiTrust Record")</f>
        <v>HathiTrust Record</v>
      </c>
      <c r="AV5810" s="6" t="str">
        <f>HYPERLINK("http://mcgill.on.worldcat.org/oclc/45766212","Catalog Record")</f>
        <v>Catalog Record</v>
      </c>
      <c r="AW5810" s="6" t="str">
        <f>HYPERLINK("http://www.worldcat.org/oclc/45766212","WorldCat Record")</f>
        <v>WorldCat Record</v>
      </c>
      <c r="AX5810" s="3" t="s">
        <v>55854</v>
      </c>
      <c r="AY5810" s="3" t="s">
        <v>55855</v>
      </c>
      <c r="AZ5810" s="3" t="s">
        <v>55856</v>
      </c>
      <c r="BA5810" s="3" t="s">
        <v>55856</v>
      </c>
      <c r="BB5810" s="3" t="s">
        <v>55857</v>
      </c>
      <c r="BC5810" s="3" t="s">
        <v>142</v>
      </c>
      <c r="BD5810" s="3" t="s">
        <v>68</v>
      </c>
      <c r="BE5810" s="3" t="s">
        <v>55858</v>
      </c>
      <c r="BF5810" s="3" t="s">
        <v>55857</v>
      </c>
      <c r="BG5810" s="3" t="s">
        <v>55859</v>
      </c>
    </row>
    <row r="5811" spans="1:59" ht="57" x14ac:dyDescent="0.45">
      <c r="A5811" s="2" t="s">
        <v>59</v>
      </c>
      <c r="B5811" s="2" t="s">
        <v>60</v>
      </c>
      <c r="C5811" s="2" t="s">
        <v>55860</v>
      </c>
      <c r="D5811" s="2" t="s">
        <v>55861</v>
      </c>
      <c r="E5811" s="2" t="s">
        <v>55862</v>
      </c>
      <c r="G5811" s="3" t="s">
        <v>62</v>
      </c>
      <c r="I5811" s="3" t="s">
        <v>62</v>
      </c>
      <c r="J5811" s="3" t="s">
        <v>62</v>
      </c>
      <c r="K5811" s="3" t="s">
        <v>63</v>
      </c>
      <c r="M5811" s="2" t="s">
        <v>55863</v>
      </c>
      <c r="N5811" s="3" t="s">
        <v>958</v>
      </c>
      <c r="P5811" s="3" t="s">
        <v>65</v>
      </c>
      <c r="Q5811" s="2" t="s">
        <v>55864</v>
      </c>
      <c r="R5811" s="3" t="s">
        <v>66</v>
      </c>
      <c r="S5811" s="4">
        <v>22</v>
      </c>
      <c r="T5811" s="4">
        <v>22</v>
      </c>
      <c r="U5811" s="5" t="s">
        <v>8994</v>
      </c>
      <c r="V5811" s="5" t="s">
        <v>8994</v>
      </c>
      <c r="W5811" s="5" t="s">
        <v>67</v>
      </c>
      <c r="X5811" s="5" t="s">
        <v>67</v>
      </c>
      <c r="Y5811" s="4">
        <v>193</v>
      </c>
      <c r="Z5811" s="4">
        <v>14</v>
      </c>
      <c r="AA5811" s="4">
        <v>17</v>
      </c>
      <c r="AB5811" s="4">
        <v>2</v>
      </c>
      <c r="AC5811" s="4">
        <v>2</v>
      </c>
      <c r="AD5811" s="4">
        <v>74</v>
      </c>
      <c r="AE5811" s="4">
        <v>77</v>
      </c>
      <c r="AF5811" s="4">
        <v>1</v>
      </c>
      <c r="AG5811" s="4">
        <v>1</v>
      </c>
      <c r="AH5811" s="4">
        <v>68</v>
      </c>
      <c r="AI5811" s="4">
        <v>69</v>
      </c>
      <c r="AJ5811" s="4">
        <v>7</v>
      </c>
      <c r="AK5811" s="4">
        <v>10</v>
      </c>
      <c r="AL5811" s="4">
        <v>42</v>
      </c>
      <c r="AM5811" s="4">
        <v>42</v>
      </c>
      <c r="AN5811" s="4">
        <v>0</v>
      </c>
      <c r="AO5811" s="4">
        <v>0</v>
      </c>
      <c r="AP5811" s="4">
        <v>9</v>
      </c>
      <c r="AQ5811" s="4">
        <v>12</v>
      </c>
      <c r="AR5811" s="3" t="s">
        <v>62</v>
      </c>
      <c r="AS5811" s="3" t="s">
        <v>62</v>
      </c>
      <c r="AT5811" s="3" t="s">
        <v>61</v>
      </c>
      <c r="AU5811" s="6" t="str">
        <f>HYPERLINK("http://catalog.hathitrust.org/Record/003058673","HathiTrust Record")</f>
        <v>HathiTrust Record</v>
      </c>
      <c r="AV5811" s="6" t="str">
        <f>HYPERLINK("http://mcgill.on.worldcat.org/oclc/31435480","Catalog Record")</f>
        <v>Catalog Record</v>
      </c>
      <c r="AW5811" s="6" t="str">
        <f>HYPERLINK("http://www.worldcat.org/oclc/31435480","WorldCat Record")</f>
        <v>WorldCat Record</v>
      </c>
      <c r="AX5811" s="3" t="s">
        <v>55865</v>
      </c>
      <c r="AY5811" s="3" t="s">
        <v>55866</v>
      </c>
      <c r="AZ5811" s="3" t="s">
        <v>55867</v>
      </c>
      <c r="BA5811" s="3" t="s">
        <v>55867</v>
      </c>
      <c r="BB5811" s="3" t="s">
        <v>55868</v>
      </c>
      <c r="BC5811" s="3" t="s">
        <v>142</v>
      </c>
      <c r="BD5811" s="3" t="s">
        <v>68</v>
      </c>
      <c r="BE5811" s="3" t="s">
        <v>55869</v>
      </c>
      <c r="BF5811" s="3" t="s">
        <v>55868</v>
      </c>
      <c r="BG5811" s="3" t="s">
        <v>55870</v>
      </c>
    </row>
    <row r="5812" spans="1:59" ht="57" x14ac:dyDescent="0.45">
      <c r="A5812" s="2" t="s">
        <v>59</v>
      </c>
      <c r="B5812" s="2" t="s">
        <v>60</v>
      </c>
      <c r="C5812" s="2" t="s">
        <v>55871</v>
      </c>
      <c r="D5812" s="2" t="s">
        <v>55872</v>
      </c>
      <c r="E5812" s="2" t="s">
        <v>55873</v>
      </c>
      <c r="G5812" s="3" t="s">
        <v>62</v>
      </c>
      <c r="I5812" s="3" t="s">
        <v>62</v>
      </c>
      <c r="J5812" s="3" t="s">
        <v>62</v>
      </c>
      <c r="K5812" s="3" t="s">
        <v>63</v>
      </c>
      <c r="M5812" s="2" t="s">
        <v>29225</v>
      </c>
      <c r="N5812" s="3" t="s">
        <v>149</v>
      </c>
      <c r="P5812" s="3" t="s">
        <v>65</v>
      </c>
      <c r="Q5812" s="2" t="s">
        <v>55874</v>
      </c>
      <c r="R5812" s="3" t="s">
        <v>66</v>
      </c>
      <c r="S5812" s="4">
        <v>1</v>
      </c>
      <c r="T5812" s="4">
        <v>1</v>
      </c>
      <c r="U5812" s="5" t="s">
        <v>55875</v>
      </c>
      <c r="V5812" s="5" t="s">
        <v>55875</v>
      </c>
      <c r="W5812" s="5" t="s">
        <v>67</v>
      </c>
      <c r="X5812" s="5" t="s">
        <v>67</v>
      </c>
      <c r="Y5812" s="4">
        <v>72</v>
      </c>
      <c r="Z5812" s="4">
        <v>10</v>
      </c>
      <c r="AA5812" s="4">
        <v>34</v>
      </c>
      <c r="AB5812" s="4">
        <v>1</v>
      </c>
      <c r="AC5812" s="4">
        <v>7</v>
      </c>
      <c r="AD5812" s="4">
        <v>25</v>
      </c>
      <c r="AE5812" s="4">
        <v>34</v>
      </c>
      <c r="AF5812" s="4">
        <v>0</v>
      </c>
      <c r="AG5812" s="4">
        <v>1</v>
      </c>
      <c r="AH5812" s="4">
        <v>20</v>
      </c>
      <c r="AI5812" s="4">
        <v>23</v>
      </c>
      <c r="AJ5812" s="4">
        <v>6</v>
      </c>
      <c r="AK5812" s="4">
        <v>7</v>
      </c>
      <c r="AL5812" s="4">
        <v>15</v>
      </c>
      <c r="AM5812" s="4">
        <v>17</v>
      </c>
      <c r="AN5812" s="4">
        <v>0</v>
      </c>
      <c r="AO5812" s="4">
        <v>0</v>
      </c>
      <c r="AP5812" s="4">
        <v>7</v>
      </c>
      <c r="AQ5812" s="4">
        <v>12</v>
      </c>
      <c r="AR5812" s="3" t="s">
        <v>62</v>
      </c>
      <c r="AS5812" s="3" t="s">
        <v>62</v>
      </c>
      <c r="AT5812" s="3" t="s">
        <v>62</v>
      </c>
      <c r="AV5812" s="6" t="str">
        <f>HYPERLINK("http://mcgill.on.worldcat.org/oclc/634742901","Catalog Record")</f>
        <v>Catalog Record</v>
      </c>
      <c r="AW5812" s="6" t="str">
        <f>HYPERLINK("http://www.worldcat.org/oclc/634742901","WorldCat Record")</f>
        <v>WorldCat Record</v>
      </c>
      <c r="AX5812" s="3" t="s">
        <v>55876</v>
      </c>
      <c r="AY5812" s="3" t="s">
        <v>55877</v>
      </c>
      <c r="AZ5812" s="3" t="s">
        <v>55878</v>
      </c>
      <c r="BA5812" s="3" t="s">
        <v>55878</v>
      </c>
      <c r="BB5812" s="3" t="s">
        <v>55879</v>
      </c>
      <c r="BC5812" s="3" t="s">
        <v>142</v>
      </c>
      <c r="BD5812" s="3" t="s">
        <v>68</v>
      </c>
      <c r="BE5812" s="3" t="s">
        <v>55880</v>
      </c>
      <c r="BF5812" s="3" t="s">
        <v>55879</v>
      </c>
      <c r="BG5812" s="3" t="s">
        <v>55881</v>
      </c>
    </row>
    <row r="5813" spans="1:59" ht="57" x14ac:dyDescent="0.45">
      <c r="A5813" s="2" t="s">
        <v>59</v>
      </c>
      <c r="B5813" s="2" t="s">
        <v>60</v>
      </c>
      <c r="C5813" s="2" t="s">
        <v>55882</v>
      </c>
      <c r="D5813" s="2" t="s">
        <v>55883</v>
      </c>
      <c r="E5813" s="2" t="s">
        <v>55884</v>
      </c>
      <c r="G5813" s="3" t="s">
        <v>62</v>
      </c>
      <c r="I5813" s="3" t="s">
        <v>62</v>
      </c>
      <c r="J5813" s="3" t="s">
        <v>62</v>
      </c>
      <c r="K5813" s="3" t="s">
        <v>63</v>
      </c>
      <c r="M5813" s="2" t="s">
        <v>51870</v>
      </c>
      <c r="N5813" s="3" t="s">
        <v>149</v>
      </c>
      <c r="P5813" s="3" t="s">
        <v>65</v>
      </c>
      <c r="Q5813" s="2" t="s">
        <v>55885</v>
      </c>
      <c r="R5813" s="3" t="s">
        <v>66</v>
      </c>
      <c r="S5813" s="4">
        <v>1</v>
      </c>
      <c r="T5813" s="4">
        <v>1</v>
      </c>
      <c r="U5813" s="5" t="s">
        <v>55886</v>
      </c>
      <c r="V5813" s="5" t="s">
        <v>55886</v>
      </c>
      <c r="W5813" s="5" t="s">
        <v>67</v>
      </c>
      <c r="X5813" s="5" t="s">
        <v>67</v>
      </c>
      <c r="Y5813" s="4">
        <v>92</v>
      </c>
      <c r="Z5813" s="4">
        <v>11</v>
      </c>
      <c r="AA5813" s="4">
        <v>96</v>
      </c>
      <c r="AB5813" s="4">
        <v>1</v>
      </c>
      <c r="AC5813" s="4">
        <v>17</v>
      </c>
      <c r="AD5813" s="4">
        <v>41</v>
      </c>
      <c r="AE5813" s="4">
        <v>116</v>
      </c>
      <c r="AF5813" s="4">
        <v>0</v>
      </c>
      <c r="AG5813" s="4">
        <v>8</v>
      </c>
      <c r="AH5813" s="4">
        <v>37</v>
      </c>
      <c r="AI5813" s="4">
        <v>80</v>
      </c>
      <c r="AJ5813" s="4">
        <v>9</v>
      </c>
      <c r="AK5813" s="4">
        <v>23</v>
      </c>
      <c r="AL5813" s="4">
        <v>23</v>
      </c>
      <c r="AM5813" s="4">
        <v>41</v>
      </c>
      <c r="AN5813" s="4">
        <v>0</v>
      </c>
      <c r="AO5813" s="4">
        <v>0</v>
      </c>
      <c r="AP5813" s="4">
        <v>9</v>
      </c>
      <c r="AQ5813" s="4">
        <v>44</v>
      </c>
      <c r="AR5813" s="3" t="s">
        <v>62</v>
      </c>
      <c r="AS5813" s="3" t="s">
        <v>62</v>
      </c>
      <c r="AT5813" s="3" t="s">
        <v>62</v>
      </c>
      <c r="AV5813" s="6" t="str">
        <f>HYPERLINK("http://mcgill.on.worldcat.org/oclc/662408213","Catalog Record")</f>
        <v>Catalog Record</v>
      </c>
      <c r="AW5813" s="6" t="str">
        <f>HYPERLINK("http://www.worldcat.org/oclc/662408213","WorldCat Record")</f>
        <v>WorldCat Record</v>
      </c>
      <c r="AX5813" s="3" t="s">
        <v>55887</v>
      </c>
      <c r="AY5813" s="3" t="s">
        <v>55888</v>
      </c>
      <c r="AZ5813" s="3" t="s">
        <v>55889</v>
      </c>
      <c r="BA5813" s="3" t="s">
        <v>55889</v>
      </c>
      <c r="BB5813" s="3" t="s">
        <v>55890</v>
      </c>
      <c r="BC5813" s="3" t="s">
        <v>142</v>
      </c>
      <c r="BD5813" s="3" t="s">
        <v>68</v>
      </c>
      <c r="BE5813" s="3" t="s">
        <v>55891</v>
      </c>
      <c r="BF5813" s="3" t="s">
        <v>55890</v>
      </c>
      <c r="BG5813" s="3" t="s">
        <v>55892</v>
      </c>
    </row>
    <row r="5814" spans="1:59" ht="57" x14ac:dyDescent="0.45">
      <c r="A5814" s="2" t="s">
        <v>59</v>
      </c>
      <c r="B5814" s="2" t="s">
        <v>60</v>
      </c>
      <c r="C5814" s="2" t="s">
        <v>55893</v>
      </c>
      <c r="D5814" s="2" t="s">
        <v>55894</v>
      </c>
      <c r="E5814" s="2" t="s">
        <v>55895</v>
      </c>
      <c r="G5814" s="3" t="s">
        <v>62</v>
      </c>
      <c r="I5814" s="3" t="s">
        <v>62</v>
      </c>
      <c r="J5814" s="3" t="s">
        <v>62</v>
      </c>
      <c r="K5814" s="3" t="s">
        <v>63</v>
      </c>
      <c r="M5814" s="2" t="s">
        <v>55896</v>
      </c>
      <c r="N5814" s="3" t="s">
        <v>116</v>
      </c>
      <c r="P5814" s="3" t="s">
        <v>65</v>
      </c>
      <c r="Q5814" s="2" t="s">
        <v>3351</v>
      </c>
      <c r="R5814" s="3" t="s">
        <v>66</v>
      </c>
      <c r="S5814" s="4">
        <v>1</v>
      </c>
      <c r="T5814" s="4">
        <v>1</v>
      </c>
      <c r="U5814" s="5" t="s">
        <v>55897</v>
      </c>
      <c r="V5814" s="5" t="s">
        <v>55897</v>
      </c>
      <c r="W5814" s="5" t="s">
        <v>67</v>
      </c>
      <c r="X5814" s="5" t="s">
        <v>67</v>
      </c>
      <c r="Y5814" s="4">
        <v>128</v>
      </c>
      <c r="Z5814" s="4">
        <v>18</v>
      </c>
      <c r="AA5814" s="4">
        <v>27</v>
      </c>
      <c r="AB5814" s="4">
        <v>1</v>
      </c>
      <c r="AC5814" s="4">
        <v>5</v>
      </c>
      <c r="AD5814" s="4">
        <v>59</v>
      </c>
      <c r="AE5814" s="4">
        <v>77</v>
      </c>
      <c r="AF5814" s="4">
        <v>0</v>
      </c>
      <c r="AG5814" s="4">
        <v>3</v>
      </c>
      <c r="AH5814" s="4">
        <v>54</v>
      </c>
      <c r="AI5814" s="4">
        <v>65</v>
      </c>
      <c r="AJ5814" s="4">
        <v>13</v>
      </c>
      <c r="AK5814" s="4">
        <v>17</v>
      </c>
      <c r="AL5814" s="4">
        <v>29</v>
      </c>
      <c r="AM5814" s="4">
        <v>35</v>
      </c>
      <c r="AN5814" s="4">
        <v>0</v>
      </c>
      <c r="AO5814" s="4">
        <v>0</v>
      </c>
      <c r="AP5814" s="4">
        <v>13</v>
      </c>
      <c r="AQ5814" s="4">
        <v>21</v>
      </c>
      <c r="AR5814" s="3" t="s">
        <v>62</v>
      </c>
      <c r="AS5814" s="3" t="s">
        <v>62</v>
      </c>
      <c r="AT5814" s="3" t="s">
        <v>62</v>
      </c>
      <c r="AV5814" s="6" t="str">
        <f>HYPERLINK("http://mcgill.on.worldcat.org/oclc/802320981","Catalog Record")</f>
        <v>Catalog Record</v>
      </c>
      <c r="AW5814" s="6" t="str">
        <f>HYPERLINK("http://www.worldcat.org/oclc/802320981","WorldCat Record")</f>
        <v>WorldCat Record</v>
      </c>
      <c r="AX5814" s="3" t="s">
        <v>55898</v>
      </c>
      <c r="AY5814" s="3" t="s">
        <v>55899</v>
      </c>
      <c r="AZ5814" s="3" t="s">
        <v>55900</v>
      </c>
      <c r="BA5814" s="3" t="s">
        <v>55900</v>
      </c>
      <c r="BB5814" s="3" t="s">
        <v>55901</v>
      </c>
      <c r="BC5814" s="3" t="s">
        <v>142</v>
      </c>
      <c r="BD5814" s="3" t="s">
        <v>68</v>
      </c>
      <c r="BE5814" s="3" t="s">
        <v>55902</v>
      </c>
      <c r="BF5814" s="3" t="s">
        <v>55901</v>
      </c>
      <c r="BG5814" s="3" t="s">
        <v>55903</v>
      </c>
    </row>
    <row r="5815" spans="1:59" ht="57" x14ac:dyDescent="0.45">
      <c r="A5815" s="2" t="s">
        <v>59</v>
      </c>
      <c r="B5815" s="2" t="s">
        <v>60</v>
      </c>
      <c r="C5815" s="2" t="s">
        <v>55904</v>
      </c>
      <c r="D5815" s="2" t="s">
        <v>55905</v>
      </c>
      <c r="E5815" s="2" t="s">
        <v>55906</v>
      </c>
      <c r="G5815" s="3" t="s">
        <v>62</v>
      </c>
      <c r="I5815" s="3" t="s">
        <v>62</v>
      </c>
      <c r="J5815" s="3" t="s">
        <v>62</v>
      </c>
      <c r="K5815" s="3" t="s">
        <v>63</v>
      </c>
      <c r="M5815" s="2" t="s">
        <v>1178</v>
      </c>
      <c r="N5815" s="3" t="s">
        <v>894</v>
      </c>
      <c r="P5815" s="3" t="s">
        <v>65</v>
      </c>
      <c r="Q5815" s="2" t="s">
        <v>55907</v>
      </c>
      <c r="R5815" s="3" t="s">
        <v>66</v>
      </c>
      <c r="S5815" s="4">
        <v>1</v>
      </c>
      <c r="T5815" s="4">
        <v>1</v>
      </c>
      <c r="U5815" s="5" t="s">
        <v>8465</v>
      </c>
      <c r="V5815" s="5" t="s">
        <v>8465</v>
      </c>
      <c r="W5815" s="5" t="s">
        <v>67</v>
      </c>
      <c r="X5815" s="5" t="s">
        <v>67</v>
      </c>
      <c r="Y5815" s="4">
        <v>80</v>
      </c>
      <c r="Z5815" s="4">
        <v>8</v>
      </c>
      <c r="AA5815" s="4">
        <v>92</v>
      </c>
      <c r="AB5815" s="4">
        <v>2</v>
      </c>
      <c r="AC5815" s="4">
        <v>17</v>
      </c>
      <c r="AD5815" s="4">
        <v>31</v>
      </c>
      <c r="AE5815" s="4">
        <v>114</v>
      </c>
      <c r="AF5815" s="4">
        <v>1</v>
      </c>
      <c r="AG5815" s="4">
        <v>8</v>
      </c>
      <c r="AH5815" s="4">
        <v>29</v>
      </c>
      <c r="AI5815" s="4">
        <v>78</v>
      </c>
      <c r="AJ5815" s="4">
        <v>5</v>
      </c>
      <c r="AK5815" s="4">
        <v>22</v>
      </c>
      <c r="AL5815" s="4">
        <v>17</v>
      </c>
      <c r="AM5815" s="4">
        <v>40</v>
      </c>
      <c r="AN5815" s="4">
        <v>0</v>
      </c>
      <c r="AO5815" s="4">
        <v>0</v>
      </c>
      <c r="AP5815" s="4">
        <v>6</v>
      </c>
      <c r="AQ5815" s="4">
        <v>44</v>
      </c>
      <c r="AR5815" s="3" t="s">
        <v>62</v>
      </c>
      <c r="AS5815" s="3" t="s">
        <v>62</v>
      </c>
      <c r="AT5815" s="3" t="s">
        <v>62</v>
      </c>
      <c r="AV5815" s="6" t="str">
        <f>HYPERLINK("http://mcgill.on.worldcat.org/oclc/606787688","Catalog Record")</f>
        <v>Catalog Record</v>
      </c>
      <c r="AW5815" s="6" t="str">
        <f>HYPERLINK("http://www.worldcat.org/oclc/606787688","WorldCat Record")</f>
        <v>WorldCat Record</v>
      </c>
      <c r="AX5815" s="3" t="s">
        <v>55908</v>
      </c>
      <c r="AY5815" s="3" t="s">
        <v>55909</v>
      </c>
      <c r="AZ5815" s="3" t="s">
        <v>55910</v>
      </c>
      <c r="BA5815" s="3" t="s">
        <v>55910</v>
      </c>
      <c r="BB5815" s="3" t="s">
        <v>55911</v>
      </c>
      <c r="BC5815" s="3" t="s">
        <v>142</v>
      </c>
      <c r="BD5815" s="3" t="s">
        <v>68</v>
      </c>
      <c r="BE5815" s="3" t="s">
        <v>55912</v>
      </c>
      <c r="BF5815" s="3" t="s">
        <v>55911</v>
      </c>
      <c r="BG5815" s="3" t="s">
        <v>55913</v>
      </c>
    </row>
    <row r="5816" spans="1:59" ht="57" x14ac:dyDescent="0.45">
      <c r="A5816" s="2" t="s">
        <v>59</v>
      </c>
      <c r="B5816" s="2" t="s">
        <v>60</v>
      </c>
      <c r="C5816" s="2" t="s">
        <v>55914</v>
      </c>
      <c r="D5816" s="2" t="s">
        <v>55915</v>
      </c>
      <c r="E5816" s="2" t="s">
        <v>55916</v>
      </c>
      <c r="G5816" s="3" t="s">
        <v>62</v>
      </c>
      <c r="I5816" s="3" t="s">
        <v>62</v>
      </c>
      <c r="J5816" s="3" t="s">
        <v>62</v>
      </c>
      <c r="K5816" s="3" t="s">
        <v>63</v>
      </c>
      <c r="M5816" s="2" t="s">
        <v>55917</v>
      </c>
      <c r="N5816" s="3" t="s">
        <v>1155</v>
      </c>
      <c r="P5816" s="3" t="s">
        <v>65</v>
      </c>
      <c r="Q5816" s="2" t="s">
        <v>55918</v>
      </c>
      <c r="R5816" s="3" t="s">
        <v>66</v>
      </c>
      <c r="S5816" s="4">
        <v>0</v>
      </c>
      <c r="T5816" s="4">
        <v>0</v>
      </c>
      <c r="W5816" s="5" t="s">
        <v>67</v>
      </c>
      <c r="X5816" s="5" t="s">
        <v>67</v>
      </c>
      <c r="Y5816" s="4">
        <v>55</v>
      </c>
      <c r="Z5816" s="4">
        <v>2</v>
      </c>
      <c r="AA5816" s="4">
        <v>76</v>
      </c>
      <c r="AB5816" s="4">
        <v>1</v>
      </c>
      <c r="AC5816" s="4">
        <v>14</v>
      </c>
      <c r="AD5816" s="4">
        <v>25</v>
      </c>
      <c r="AE5816" s="4">
        <v>105</v>
      </c>
      <c r="AF5816" s="4">
        <v>0</v>
      </c>
      <c r="AG5816" s="4">
        <v>8</v>
      </c>
      <c r="AH5816" s="4">
        <v>23</v>
      </c>
      <c r="AI5816" s="4">
        <v>71</v>
      </c>
      <c r="AJ5816" s="4">
        <v>1</v>
      </c>
      <c r="AK5816" s="4">
        <v>19</v>
      </c>
      <c r="AL5816" s="4">
        <v>16</v>
      </c>
      <c r="AM5816" s="4">
        <v>37</v>
      </c>
      <c r="AN5816" s="4">
        <v>0</v>
      </c>
      <c r="AO5816" s="4">
        <v>0</v>
      </c>
      <c r="AP5816" s="4">
        <v>1</v>
      </c>
      <c r="AQ5816" s="4">
        <v>40</v>
      </c>
      <c r="AR5816" s="3" t="s">
        <v>62</v>
      </c>
      <c r="AS5816" s="3" t="s">
        <v>62</v>
      </c>
      <c r="AT5816" s="3" t="s">
        <v>62</v>
      </c>
      <c r="AV5816" s="6" t="str">
        <f>HYPERLINK("http://mcgill.on.worldcat.org/oclc/825556373","Catalog Record")</f>
        <v>Catalog Record</v>
      </c>
      <c r="AW5816" s="6" t="str">
        <f>HYPERLINK("http://www.worldcat.org/oclc/825556373","WorldCat Record")</f>
        <v>WorldCat Record</v>
      </c>
      <c r="AX5816" s="3" t="s">
        <v>55919</v>
      </c>
      <c r="AY5816" s="3" t="s">
        <v>55920</v>
      </c>
      <c r="AZ5816" s="3" t="s">
        <v>55921</v>
      </c>
      <c r="BA5816" s="3" t="s">
        <v>55921</v>
      </c>
      <c r="BB5816" s="3" t="s">
        <v>55922</v>
      </c>
      <c r="BC5816" s="3" t="s">
        <v>142</v>
      </c>
      <c r="BD5816" s="3" t="s">
        <v>68</v>
      </c>
      <c r="BE5816" s="3" t="s">
        <v>55923</v>
      </c>
      <c r="BF5816" s="3" t="s">
        <v>55922</v>
      </c>
      <c r="BG5816" s="3" t="s">
        <v>55924</v>
      </c>
    </row>
    <row r="5817" spans="1:59" ht="57" x14ac:dyDescent="0.45">
      <c r="A5817" s="2" t="s">
        <v>59</v>
      </c>
      <c r="B5817" s="2" t="s">
        <v>60</v>
      </c>
      <c r="C5817" s="2" t="s">
        <v>55925</v>
      </c>
      <c r="D5817" s="2" t="s">
        <v>55926</v>
      </c>
      <c r="E5817" s="2" t="s">
        <v>55927</v>
      </c>
      <c r="G5817" s="3" t="s">
        <v>62</v>
      </c>
      <c r="I5817" s="3" t="s">
        <v>62</v>
      </c>
      <c r="J5817" s="3" t="s">
        <v>62</v>
      </c>
      <c r="K5817" s="3" t="s">
        <v>63</v>
      </c>
      <c r="M5817" s="2" t="s">
        <v>55928</v>
      </c>
      <c r="N5817" s="3" t="s">
        <v>1688</v>
      </c>
      <c r="P5817" s="3" t="s">
        <v>110</v>
      </c>
      <c r="Q5817" s="2" t="s">
        <v>55929</v>
      </c>
      <c r="R5817" s="3" t="s">
        <v>66</v>
      </c>
      <c r="S5817" s="4">
        <v>0</v>
      </c>
      <c r="T5817" s="4">
        <v>0</v>
      </c>
      <c r="W5817" s="5" t="s">
        <v>67</v>
      </c>
      <c r="X5817" s="5" t="s">
        <v>67</v>
      </c>
      <c r="Y5817" s="4">
        <v>12</v>
      </c>
      <c r="Z5817" s="4">
        <v>3</v>
      </c>
      <c r="AA5817" s="4">
        <v>6</v>
      </c>
      <c r="AB5817" s="4">
        <v>1</v>
      </c>
      <c r="AC5817" s="4">
        <v>3</v>
      </c>
      <c r="AD5817" s="4">
        <v>7</v>
      </c>
      <c r="AE5817" s="4">
        <v>8</v>
      </c>
      <c r="AF5817" s="4">
        <v>0</v>
      </c>
      <c r="AG5817" s="4">
        <v>1</v>
      </c>
      <c r="AH5817" s="4">
        <v>6</v>
      </c>
      <c r="AI5817" s="4">
        <v>6</v>
      </c>
      <c r="AJ5817" s="4">
        <v>1</v>
      </c>
      <c r="AK5817" s="4">
        <v>2</v>
      </c>
      <c r="AL5817" s="4">
        <v>7</v>
      </c>
      <c r="AM5817" s="4">
        <v>7</v>
      </c>
      <c r="AN5817" s="4">
        <v>0</v>
      </c>
      <c r="AO5817" s="4">
        <v>0</v>
      </c>
      <c r="AP5817" s="4">
        <v>1</v>
      </c>
      <c r="AQ5817" s="4">
        <v>1</v>
      </c>
      <c r="AR5817" s="3" t="s">
        <v>62</v>
      </c>
      <c r="AS5817" s="3" t="s">
        <v>62</v>
      </c>
      <c r="AT5817" s="3" t="s">
        <v>62</v>
      </c>
      <c r="AV5817" s="6" t="str">
        <f>HYPERLINK("http://mcgill.on.worldcat.org/oclc/894848017","Catalog Record")</f>
        <v>Catalog Record</v>
      </c>
      <c r="AW5817" s="6" t="str">
        <f>HYPERLINK("http://www.worldcat.org/oclc/894848017","WorldCat Record")</f>
        <v>WorldCat Record</v>
      </c>
      <c r="AX5817" s="3" t="s">
        <v>55930</v>
      </c>
      <c r="AY5817" s="3" t="s">
        <v>55931</v>
      </c>
      <c r="AZ5817" s="3" t="s">
        <v>55932</v>
      </c>
      <c r="BA5817" s="3" t="s">
        <v>55932</v>
      </c>
      <c r="BB5817" s="3" t="s">
        <v>55933</v>
      </c>
      <c r="BC5817" s="3" t="s">
        <v>142</v>
      </c>
      <c r="BD5817" s="3" t="s">
        <v>68</v>
      </c>
      <c r="BE5817" s="3" t="s">
        <v>55934</v>
      </c>
      <c r="BF5817" s="3" t="s">
        <v>55933</v>
      </c>
      <c r="BG5817" s="3" t="s">
        <v>55935</v>
      </c>
    </row>
    <row r="5818" spans="1:59" ht="57" x14ac:dyDescent="0.45">
      <c r="A5818" s="2" t="s">
        <v>59</v>
      </c>
      <c r="B5818" s="2" t="s">
        <v>60</v>
      </c>
      <c r="C5818" s="2" t="s">
        <v>55936</v>
      </c>
      <c r="D5818" s="2" t="s">
        <v>55937</v>
      </c>
      <c r="E5818" s="2" t="s">
        <v>55938</v>
      </c>
      <c r="G5818" s="3" t="s">
        <v>62</v>
      </c>
      <c r="I5818" s="3" t="s">
        <v>62</v>
      </c>
      <c r="J5818" s="3" t="s">
        <v>62</v>
      </c>
      <c r="K5818" s="3" t="s">
        <v>63</v>
      </c>
      <c r="L5818" s="2" t="s">
        <v>28636</v>
      </c>
      <c r="M5818" s="2" t="s">
        <v>55939</v>
      </c>
      <c r="N5818" s="3" t="s">
        <v>480</v>
      </c>
      <c r="O5818" s="2" t="s">
        <v>43055</v>
      </c>
      <c r="P5818" s="3" t="s">
        <v>182</v>
      </c>
      <c r="Q5818" s="2" t="s">
        <v>55940</v>
      </c>
      <c r="R5818" s="3" t="s">
        <v>66</v>
      </c>
      <c r="S5818" s="4">
        <v>24</v>
      </c>
      <c r="T5818" s="4">
        <v>24</v>
      </c>
      <c r="U5818" s="5" t="s">
        <v>626</v>
      </c>
      <c r="V5818" s="5" t="s">
        <v>626</v>
      </c>
      <c r="W5818" s="5" t="s">
        <v>67</v>
      </c>
      <c r="X5818" s="5" t="s">
        <v>67</v>
      </c>
      <c r="Y5818" s="4">
        <v>97</v>
      </c>
      <c r="Z5818" s="4">
        <v>9</v>
      </c>
      <c r="AA5818" s="4">
        <v>12</v>
      </c>
      <c r="AB5818" s="4">
        <v>2</v>
      </c>
      <c r="AC5818" s="4">
        <v>3</v>
      </c>
      <c r="AD5818" s="4">
        <v>53</v>
      </c>
      <c r="AE5818" s="4">
        <v>64</v>
      </c>
      <c r="AF5818" s="4">
        <v>1</v>
      </c>
      <c r="AG5818" s="4">
        <v>2</v>
      </c>
      <c r="AH5818" s="4">
        <v>50</v>
      </c>
      <c r="AI5818" s="4">
        <v>60</v>
      </c>
      <c r="AJ5818" s="4">
        <v>6</v>
      </c>
      <c r="AK5818" s="4">
        <v>9</v>
      </c>
      <c r="AL5818" s="4">
        <v>36</v>
      </c>
      <c r="AM5818" s="4">
        <v>42</v>
      </c>
      <c r="AN5818" s="4">
        <v>0</v>
      </c>
      <c r="AO5818" s="4">
        <v>0</v>
      </c>
      <c r="AP5818" s="4">
        <v>6</v>
      </c>
      <c r="AQ5818" s="4">
        <v>8</v>
      </c>
      <c r="AR5818" s="3" t="s">
        <v>62</v>
      </c>
      <c r="AS5818" s="3" t="s">
        <v>62</v>
      </c>
      <c r="AT5818" s="3" t="s">
        <v>61</v>
      </c>
      <c r="AU5818" s="6" t="str">
        <f>HYPERLINK("http://catalog.hathitrust.org/Record/007014640","HathiTrust Record")</f>
        <v>HathiTrust Record</v>
      </c>
      <c r="AV5818" s="6" t="str">
        <f>HYPERLINK("http://mcgill.on.worldcat.org/oclc/5833302","Catalog Record")</f>
        <v>Catalog Record</v>
      </c>
      <c r="AW5818" s="6" t="str">
        <f>HYPERLINK("http://www.worldcat.org/oclc/5833302","WorldCat Record")</f>
        <v>WorldCat Record</v>
      </c>
      <c r="AX5818" s="3" t="s">
        <v>55941</v>
      </c>
      <c r="AY5818" s="3" t="s">
        <v>55942</v>
      </c>
      <c r="AZ5818" s="3" t="s">
        <v>55943</v>
      </c>
      <c r="BA5818" s="3" t="s">
        <v>55943</v>
      </c>
      <c r="BB5818" s="3" t="s">
        <v>55944</v>
      </c>
      <c r="BC5818" s="3" t="s">
        <v>142</v>
      </c>
      <c r="BD5818" s="3" t="s">
        <v>68</v>
      </c>
      <c r="BF5818" s="3" t="s">
        <v>55944</v>
      </c>
      <c r="BG5818" s="3" t="s">
        <v>55945</v>
      </c>
    </row>
    <row r="5819" spans="1:59" ht="57" x14ac:dyDescent="0.45">
      <c r="A5819" s="2" t="s">
        <v>59</v>
      </c>
      <c r="B5819" s="2" t="s">
        <v>60</v>
      </c>
      <c r="C5819" s="2" t="s">
        <v>55946</v>
      </c>
      <c r="D5819" s="2" t="s">
        <v>55947</v>
      </c>
      <c r="E5819" s="2" t="s">
        <v>55948</v>
      </c>
      <c r="G5819" s="3" t="s">
        <v>62</v>
      </c>
      <c r="I5819" s="3" t="s">
        <v>62</v>
      </c>
      <c r="J5819" s="3" t="s">
        <v>61</v>
      </c>
      <c r="K5819" s="3" t="s">
        <v>63</v>
      </c>
      <c r="L5819" s="2" t="s">
        <v>28636</v>
      </c>
      <c r="M5819" s="2" t="s">
        <v>55949</v>
      </c>
      <c r="N5819" s="3" t="s">
        <v>529</v>
      </c>
      <c r="P5819" s="3" t="s">
        <v>110</v>
      </c>
      <c r="Q5819" s="2" t="s">
        <v>55950</v>
      </c>
      <c r="R5819" s="3" t="s">
        <v>66</v>
      </c>
      <c r="S5819" s="4">
        <v>70</v>
      </c>
      <c r="T5819" s="4">
        <v>70</v>
      </c>
      <c r="U5819" s="5" t="s">
        <v>4748</v>
      </c>
      <c r="V5819" s="5" t="s">
        <v>4748</v>
      </c>
      <c r="W5819" s="5" t="s">
        <v>67</v>
      </c>
      <c r="X5819" s="5" t="s">
        <v>67</v>
      </c>
      <c r="Y5819" s="4">
        <v>65</v>
      </c>
      <c r="Z5819" s="4">
        <v>16</v>
      </c>
      <c r="AA5819" s="4">
        <v>31</v>
      </c>
      <c r="AB5819" s="4">
        <v>2</v>
      </c>
      <c r="AC5819" s="4">
        <v>10</v>
      </c>
      <c r="AD5819" s="4">
        <v>19</v>
      </c>
      <c r="AE5819" s="4">
        <v>30</v>
      </c>
      <c r="AF5819" s="4">
        <v>0</v>
      </c>
      <c r="AG5819" s="4">
        <v>4</v>
      </c>
      <c r="AH5819" s="4">
        <v>11</v>
      </c>
      <c r="AI5819" s="4">
        <v>17</v>
      </c>
      <c r="AJ5819" s="4">
        <v>10</v>
      </c>
      <c r="AK5819" s="4">
        <v>15</v>
      </c>
      <c r="AL5819" s="4">
        <v>5</v>
      </c>
      <c r="AM5819" s="4">
        <v>6</v>
      </c>
      <c r="AN5819" s="4">
        <v>0</v>
      </c>
      <c r="AO5819" s="4">
        <v>0</v>
      </c>
      <c r="AP5819" s="4">
        <v>12</v>
      </c>
      <c r="AQ5819" s="4">
        <v>20</v>
      </c>
      <c r="AR5819" s="3" t="s">
        <v>62</v>
      </c>
      <c r="AS5819" s="3" t="s">
        <v>62</v>
      </c>
      <c r="AT5819" s="3" t="s">
        <v>62</v>
      </c>
      <c r="AV5819" s="6" t="str">
        <f>HYPERLINK("http://mcgill.on.worldcat.org/oclc/13803346","Catalog Record")</f>
        <v>Catalog Record</v>
      </c>
      <c r="AW5819" s="6" t="str">
        <f>HYPERLINK("http://www.worldcat.org/oclc/13803346","WorldCat Record")</f>
        <v>WorldCat Record</v>
      </c>
      <c r="AX5819" s="3" t="s">
        <v>55951</v>
      </c>
      <c r="AY5819" s="3" t="s">
        <v>55952</v>
      </c>
      <c r="AZ5819" s="3" t="s">
        <v>55953</v>
      </c>
      <c r="BA5819" s="3" t="s">
        <v>55953</v>
      </c>
      <c r="BB5819" s="3" t="s">
        <v>55954</v>
      </c>
      <c r="BC5819" s="3" t="s">
        <v>142</v>
      </c>
      <c r="BD5819" s="3" t="s">
        <v>308</v>
      </c>
      <c r="BE5819" s="3" t="s">
        <v>55955</v>
      </c>
      <c r="BF5819" s="3" t="s">
        <v>55954</v>
      </c>
      <c r="BG5819" s="3" t="s">
        <v>55956</v>
      </c>
    </row>
    <row r="5820" spans="1:59" ht="57" x14ac:dyDescent="0.45">
      <c r="A5820" s="2" t="s">
        <v>59</v>
      </c>
      <c r="B5820" s="2" t="s">
        <v>60</v>
      </c>
      <c r="C5820" s="2" t="s">
        <v>55957</v>
      </c>
      <c r="D5820" s="2" t="s">
        <v>55958</v>
      </c>
      <c r="E5820" s="2" t="s">
        <v>55959</v>
      </c>
      <c r="G5820" s="3" t="s">
        <v>62</v>
      </c>
      <c r="I5820" s="3" t="s">
        <v>62</v>
      </c>
      <c r="J5820" s="3" t="s">
        <v>61</v>
      </c>
      <c r="K5820" s="3" t="s">
        <v>63</v>
      </c>
      <c r="L5820" s="2" t="s">
        <v>28661</v>
      </c>
      <c r="M5820" s="2" t="s">
        <v>55960</v>
      </c>
      <c r="N5820" s="3" t="s">
        <v>5180</v>
      </c>
      <c r="O5820" s="2" t="s">
        <v>55961</v>
      </c>
      <c r="P5820" s="3" t="s">
        <v>110</v>
      </c>
      <c r="Q5820" s="2" t="s">
        <v>55962</v>
      </c>
      <c r="R5820" s="3" t="s">
        <v>66</v>
      </c>
      <c r="S5820" s="4">
        <v>0</v>
      </c>
      <c r="T5820" s="4">
        <v>0</v>
      </c>
      <c r="W5820" s="5" t="s">
        <v>25636</v>
      </c>
      <c r="X5820" s="5" t="s">
        <v>25636</v>
      </c>
      <c r="Y5820" s="4">
        <v>3</v>
      </c>
      <c r="Z5820" s="4">
        <v>3</v>
      </c>
      <c r="AA5820" s="4">
        <v>31</v>
      </c>
      <c r="AB5820" s="4">
        <v>1</v>
      </c>
      <c r="AC5820" s="4">
        <v>10</v>
      </c>
      <c r="AD5820" s="4">
        <v>1</v>
      </c>
      <c r="AE5820" s="4">
        <v>30</v>
      </c>
      <c r="AF5820" s="4">
        <v>0</v>
      </c>
      <c r="AG5820" s="4">
        <v>4</v>
      </c>
      <c r="AH5820" s="4">
        <v>1</v>
      </c>
      <c r="AI5820" s="4">
        <v>17</v>
      </c>
      <c r="AJ5820" s="4">
        <v>0</v>
      </c>
      <c r="AK5820" s="4">
        <v>15</v>
      </c>
      <c r="AL5820" s="4">
        <v>0</v>
      </c>
      <c r="AM5820" s="4">
        <v>6</v>
      </c>
      <c r="AN5820" s="4">
        <v>0</v>
      </c>
      <c r="AO5820" s="4">
        <v>0</v>
      </c>
      <c r="AP5820" s="4">
        <v>1</v>
      </c>
      <c r="AQ5820" s="4">
        <v>20</v>
      </c>
      <c r="AR5820" s="3" t="s">
        <v>62</v>
      </c>
      <c r="AS5820" s="3" t="s">
        <v>62</v>
      </c>
      <c r="AT5820" s="3" t="s">
        <v>62</v>
      </c>
      <c r="AV5820" s="6" t="str">
        <f>HYPERLINK("http://mcgill.on.worldcat.org/oclc/1134610545","Catalog Record")</f>
        <v>Catalog Record</v>
      </c>
      <c r="AW5820" s="6" t="str">
        <f>HYPERLINK("http://www.worldcat.org/oclc/1134610545","WorldCat Record")</f>
        <v>WorldCat Record</v>
      </c>
      <c r="AX5820" s="3" t="s">
        <v>55951</v>
      </c>
      <c r="AY5820" s="3" t="s">
        <v>55963</v>
      </c>
      <c r="AZ5820" s="3" t="s">
        <v>55964</v>
      </c>
      <c r="BA5820" s="3" t="s">
        <v>55964</v>
      </c>
      <c r="BB5820" s="3" t="s">
        <v>55965</v>
      </c>
      <c r="BC5820" s="3" t="s">
        <v>142</v>
      </c>
      <c r="BD5820" s="3" t="s">
        <v>68</v>
      </c>
      <c r="BE5820" s="3" t="s">
        <v>55966</v>
      </c>
      <c r="BF5820" s="3" t="s">
        <v>55965</v>
      </c>
      <c r="BG5820" s="3" t="s">
        <v>55967</v>
      </c>
    </row>
    <row r="5821" spans="1:59" ht="57" x14ac:dyDescent="0.45">
      <c r="A5821" s="2" t="s">
        <v>59</v>
      </c>
      <c r="B5821" s="2" t="s">
        <v>60</v>
      </c>
      <c r="C5821" s="2" t="s">
        <v>55968</v>
      </c>
      <c r="D5821" s="2" t="s">
        <v>55969</v>
      </c>
      <c r="E5821" s="2" t="s">
        <v>55970</v>
      </c>
      <c r="G5821" s="3" t="s">
        <v>62</v>
      </c>
      <c r="I5821" s="3" t="s">
        <v>62</v>
      </c>
      <c r="J5821" s="3" t="s">
        <v>62</v>
      </c>
      <c r="K5821" s="3" t="s">
        <v>63</v>
      </c>
      <c r="M5821" s="2" t="s">
        <v>55971</v>
      </c>
      <c r="N5821" s="3" t="s">
        <v>1437</v>
      </c>
      <c r="P5821" s="3" t="s">
        <v>110</v>
      </c>
      <c r="Q5821" s="2" t="s">
        <v>55972</v>
      </c>
      <c r="R5821" s="3" t="s">
        <v>66</v>
      </c>
      <c r="S5821" s="4">
        <v>14</v>
      </c>
      <c r="T5821" s="4">
        <v>14</v>
      </c>
      <c r="U5821" s="5" t="s">
        <v>33227</v>
      </c>
      <c r="V5821" s="5" t="s">
        <v>33227</v>
      </c>
      <c r="W5821" s="5" t="s">
        <v>67</v>
      </c>
      <c r="X5821" s="5" t="s">
        <v>67</v>
      </c>
      <c r="Y5821" s="4">
        <v>15</v>
      </c>
      <c r="Z5821" s="4">
        <v>8</v>
      </c>
      <c r="AA5821" s="4">
        <v>32</v>
      </c>
      <c r="AB5821" s="4">
        <v>2</v>
      </c>
      <c r="AC5821" s="4">
        <v>15</v>
      </c>
      <c r="AD5821" s="4">
        <v>10</v>
      </c>
      <c r="AE5821" s="4">
        <v>26</v>
      </c>
      <c r="AF5821" s="4">
        <v>1</v>
      </c>
      <c r="AG5821" s="4">
        <v>6</v>
      </c>
      <c r="AH5821" s="4">
        <v>7</v>
      </c>
      <c r="AI5821" s="4">
        <v>14</v>
      </c>
      <c r="AJ5821" s="4">
        <v>5</v>
      </c>
      <c r="AK5821" s="4">
        <v>17</v>
      </c>
      <c r="AL5821" s="4">
        <v>2</v>
      </c>
      <c r="AM5821" s="4">
        <v>4</v>
      </c>
      <c r="AN5821" s="4">
        <v>0</v>
      </c>
      <c r="AO5821" s="4">
        <v>0</v>
      </c>
      <c r="AP5821" s="4">
        <v>7</v>
      </c>
      <c r="AQ5821" s="4">
        <v>19</v>
      </c>
      <c r="AR5821" s="3" t="s">
        <v>61</v>
      </c>
      <c r="AS5821" s="3" t="s">
        <v>62</v>
      </c>
      <c r="AT5821" s="3" t="s">
        <v>62</v>
      </c>
      <c r="AV5821" s="6" t="str">
        <f>HYPERLINK("http://mcgill.on.worldcat.org/oclc/45845331","Catalog Record")</f>
        <v>Catalog Record</v>
      </c>
      <c r="AW5821" s="6" t="str">
        <f>HYPERLINK("http://www.worldcat.org/oclc/45845331","WorldCat Record")</f>
        <v>WorldCat Record</v>
      </c>
      <c r="AX5821" s="3" t="s">
        <v>55973</v>
      </c>
      <c r="AY5821" s="3" t="s">
        <v>55974</v>
      </c>
      <c r="AZ5821" s="3" t="s">
        <v>55975</v>
      </c>
      <c r="BA5821" s="3" t="s">
        <v>55975</v>
      </c>
      <c r="BB5821" s="3" t="s">
        <v>55976</v>
      </c>
      <c r="BC5821" s="3" t="s">
        <v>142</v>
      </c>
      <c r="BD5821" s="3" t="s">
        <v>68</v>
      </c>
      <c r="BE5821" s="3" t="s">
        <v>55977</v>
      </c>
      <c r="BF5821" s="3" t="s">
        <v>55976</v>
      </c>
      <c r="BG5821" s="3" t="s">
        <v>55978</v>
      </c>
    </row>
    <row r="5822" spans="1:59" ht="57" x14ac:dyDescent="0.45">
      <c r="A5822" s="2" t="s">
        <v>59</v>
      </c>
      <c r="B5822" s="2" t="s">
        <v>60</v>
      </c>
      <c r="C5822" s="2" t="s">
        <v>55979</v>
      </c>
      <c r="D5822" s="2" t="s">
        <v>55980</v>
      </c>
      <c r="E5822" s="2" t="s">
        <v>55981</v>
      </c>
      <c r="G5822" s="3" t="s">
        <v>62</v>
      </c>
      <c r="I5822" s="3" t="s">
        <v>62</v>
      </c>
      <c r="J5822" s="3" t="s">
        <v>62</v>
      </c>
      <c r="K5822" s="3" t="s">
        <v>63</v>
      </c>
      <c r="L5822" s="2" t="s">
        <v>3409</v>
      </c>
      <c r="M5822" s="2" t="s">
        <v>40918</v>
      </c>
      <c r="N5822" s="3" t="s">
        <v>958</v>
      </c>
      <c r="P5822" s="3" t="s">
        <v>65</v>
      </c>
      <c r="Q5822" s="2" t="s">
        <v>3411</v>
      </c>
      <c r="R5822" s="3" t="s">
        <v>66</v>
      </c>
      <c r="S5822" s="4">
        <v>95</v>
      </c>
      <c r="T5822" s="4">
        <v>95</v>
      </c>
      <c r="U5822" s="5" t="s">
        <v>13035</v>
      </c>
      <c r="V5822" s="5" t="s">
        <v>13035</v>
      </c>
      <c r="W5822" s="5" t="s">
        <v>67</v>
      </c>
      <c r="X5822" s="5" t="s">
        <v>67</v>
      </c>
      <c r="Y5822" s="4">
        <v>380</v>
      </c>
      <c r="Z5822" s="4">
        <v>26</v>
      </c>
      <c r="AA5822" s="4">
        <v>42</v>
      </c>
      <c r="AB5822" s="4">
        <v>2</v>
      </c>
      <c r="AC5822" s="4">
        <v>6</v>
      </c>
      <c r="AD5822" s="4">
        <v>89</v>
      </c>
      <c r="AE5822" s="4">
        <v>104</v>
      </c>
      <c r="AF5822" s="4">
        <v>1</v>
      </c>
      <c r="AG5822" s="4">
        <v>3</v>
      </c>
      <c r="AH5822" s="4">
        <v>77</v>
      </c>
      <c r="AI5822" s="4">
        <v>82</v>
      </c>
      <c r="AJ5822" s="4">
        <v>14</v>
      </c>
      <c r="AK5822" s="4">
        <v>19</v>
      </c>
      <c r="AL5822" s="4">
        <v>44</v>
      </c>
      <c r="AM5822" s="4">
        <v>46</v>
      </c>
      <c r="AN5822" s="4">
        <v>0</v>
      </c>
      <c r="AO5822" s="4">
        <v>0</v>
      </c>
      <c r="AP5822" s="4">
        <v>20</v>
      </c>
      <c r="AQ5822" s="4">
        <v>31</v>
      </c>
      <c r="AR5822" s="3" t="s">
        <v>62</v>
      </c>
      <c r="AS5822" s="3" t="s">
        <v>62</v>
      </c>
      <c r="AT5822" s="3" t="s">
        <v>62</v>
      </c>
      <c r="AV5822" s="6" t="str">
        <f>HYPERLINK("http://mcgill.on.worldcat.org/oclc/31045099","Catalog Record")</f>
        <v>Catalog Record</v>
      </c>
      <c r="AW5822" s="6" t="str">
        <f>HYPERLINK("http://www.worldcat.org/oclc/31045099","WorldCat Record")</f>
        <v>WorldCat Record</v>
      </c>
      <c r="AX5822" s="3" t="s">
        <v>55982</v>
      </c>
      <c r="AY5822" s="3" t="s">
        <v>55983</v>
      </c>
      <c r="AZ5822" s="3" t="s">
        <v>55984</v>
      </c>
      <c r="BA5822" s="3" t="s">
        <v>55984</v>
      </c>
      <c r="BB5822" s="3" t="s">
        <v>55985</v>
      </c>
      <c r="BC5822" s="3" t="s">
        <v>142</v>
      </c>
      <c r="BD5822" s="3" t="s">
        <v>308</v>
      </c>
      <c r="BE5822" s="3" t="s">
        <v>55986</v>
      </c>
      <c r="BF5822" s="3" t="s">
        <v>55985</v>
      </c>
      <c r="BG5822" s="3" t="s">
        <v>55987</v>
      </c>
    </row>
    <row r="5823" spans="1:59" ht="57" x14ac:dyDescent="0.45">
      <c r="A5823" s="2" t="s">
        <v>59</v>
      </c>
      <c r="B5823" s="2" t="s">
        <v>60</v>
      </c>
      <c r="C5823" s="2" t="s">
        <v>55988</v>
      </c>
      <c r="D5823" s="2" t="s">
        <v>55989</v>
      </c>
      <c r="E5823" s="2" t="s">
        <v>55990</v>
      </c>
      <c r="G5823" s="3" t="s">
        <v>62</v>
      </c>
      <c r="I5823" s="3" t="s">
        <v>61</v>
      </c>
      <c r="J5823" s="3" t="s">
        <v>62</v>
      </c>
      <c r="K5823" s="3" t="s">
        <v>63</v>
      </c>
      <c r="L5823" s="2" t="s">
        <v>3409</v>
      </c>
      <c r="M5823" s="2" t="s">
        <v>55991</v>
      </c>
      <c r="N5823" s="3" t="s">
        <v>84</v>
      </c>
      <c r="P5823" s="3" t="s">
        <v>65</v>
      </c>
      <c r="R5823" s="3" t="s">
        <v>66</v>
      </c>
      <c r="S5823" s="4">
        <v>18</v>
      </c>
      <c r="T5823" s="4">
        <v>136</v>
      </c>
      <c r="U5823" s="5" t="s">
        <v>13035</v>
      </c>
      <c r="V5823" s="5" t="s">
        <v>13035</v>
      </c>
      <c r="W5823" s="5" t="s">
        <v>67</v>
      </c>
      <c r="X5823" s="5" t="s">
        <v>67</v>
      </c>
      <c r="Y5823" s="4">
        <v>331</v>
      </c>
      <c r="Z5823" s="4">
        <v>27</v>
      </c>
      <c r="AA5823" s="4">
        <v>38</v>
      </c>
      <c r="AB5823" s="4">
        <v>2</v>
      </c>
      <c r="AC5823" s="4">
        <v>6</v>
      </c>
      <c r="AD5823" s="4">
        <v>95</v>
      </c>
      <c r="AE5823" s="4">
        <v>108</v>
      </c>
      <c r="AF5823" s="4">
        <v>1</v>
      </c>
      <c r="AG5823" s="4">
        <v>4</v>
      </c>
      <c r="AH5823" s="4">
        <v>81</v>
      </c>
      <c r="AI5823" s="4">
        <v>88</v>
      </c>
      <c r="AJ5823" s="4">
        <v>15</v>
      </c>
      <c r="AK5823" s="4">
        <v>20</v>
      </c>
      <c r="AL5823" s="4">
        <v>45</v>
      </c>
      <c r="AM5823" s="4">
        <v>50</v>
      </c>
      <c r="AN5823" s="4">
        <v>0</v>
      </c>
      <c r="AO5823" s="4">
        <v>0</v>
      </c>
      <c r="AP5823" s="4">
        <v>22</v>
      </c>
      <c r="AQ5823" s="4">
        <v>29</v>
      </c>
      <c r="AR5823" s="3" t="s">
        <v>62</v>
      </c>
      <c r="AS5823" s="3" t="s">
        <v>62</v>
      </c>
      <c r="AT5823" s="3" t="s">
        <v>62</v>
      </c>
      <c r="AV5823" s="6" t="str">
        <f>HYPERLINK("http://mcgill.on.worldcat.org/oclc/25371774","Catalog Record")</f>
        <v>Catalog Record</v>
      </c>
      <c r="AW5823" s="6" t="str">
        <f>HYPERLINK("http://www.worldcat.org/oclc/25371774","WorldCat Record")</f>
        <v>WorldCat Record</v>
      </c>
      <c r="AX5823" s="3" t="s">
        <v>55992</v>
      </c>
      <c r="AY5823" s="3" t="s">
        <v>55993</v>
      </c>
      <c r="AZ5823" s="3" t="s">
        <v>55994</v>
      </c>
      <c r="BA5823" s="3" t="s">
        <v>55994</v>
      </c>
      <c r="BB5823" s="3" t="s">
        <v>55995</v>
      </c>
      <c r="BC5823" s="3" t="s">
        <v>142</v>
      </c>
      <c r="BD5823" s="3" t="s">
        <v>68</v>
      </c>
      <c r="BE5823" s="3" t="s">
        <v>55996</v>
      </c>
      <c r="BF5823" s="3" t="s">
        <v>55995</v>
      </c>
      <c r="BG5823" s="3" t="s">
        <v>55997</v>
      </c>
    </row>
    <row r="5824" spans="1:59" ht="57" x14ac:dyDescent="0.45">
      <c r="A5824" s="2" t="s">
        <v>59</v>
      </c>
      <c r="B5824" s="2" t="s">
        <v>60</v>
      </c>
      <c r="C5824" s="2" t="s">
        <v>55988</v>
      </c>
      <c r="D5824" s="2" t="s">
        <v>55989</v>
      </c>
      <c r="E5824" s="2" t="s">
        <v>55990</v>
      </c>
      <c r="G5824" s="3" t="s">
        <v>62</v>
      </c>
      <c r="I5824" s="3" t="s">
        <v>61</v>
      </c>
      <c r="J5824" s="3" t="s">
        <v>62</v>
      </c>
      <c r="K5824" s="3" t="s">
        <v>63</v>
      </c>
      <c r="L5824" s="2" t="s">
        <v>3409</v>
      </c>
      <c r="M5824" s="2" t="s">
        <v>55991</v>
      </c>
      <c r="N5824" s="3" t="s">
        <v>84</v>
      </c>
      <c r="P5824" s="3" t="s">
        <v>65</v>
      </c>
      <c r="R5824" s="3" t="s">
        <v>66</v>
      </c>
      <c r="S5824" s="4">
        <v>90</v>
      </c>
      <c r="T5824" s="4">
        <v>136</v>
      </c>
      <c r="U5824" s="5" t="s">
        <v>55775</v>
      </c>
      <c r="V5824" s="5" t="s">
        <v>13035</v>
      </c>
      <c r="W5824" s="5" t="s">
        <v>67</v>
      </c>
      <c r="X5824" s="5" t="s">
        <v>67</v>
      </c>
      <c r="Y5824" s="4">
        <v>331</v>
      </c>
      <c r="Z5824" s="4">
        <v>27</v>
      </c>
      <c r="AA5824" s="4">
        <v>38</v>
      </c>
      <c r="AB5824" s="4">
        <v>2</v>
      </c>
      <c r="AC5824" s="4">
        <v>6</v>
      </c>
      <c r="AD5824" s="4">
        <v>95</v>
      </c>
      <c r="AE5824" s="4">
        <v>108</v>
      </c>
      <c r="AF5824" s="4">
        <v>1</v>
      </c>
      <c r="AG5824" s="4">
        <v>4</v>
      </c>
      <c r="AH5824" s="4">
        <v>81</v>
      </c>
      <c r="AI5824" s="4">
        <v>88</v>
      </c>
      <c r="AJ5824" s="4">
        <v>15</v>
      </c>
      <c r="AK5824" s="4">
        <v>20</v>
      </c>
      <c r="AL5824" s="4">
        <v>45</v>
      </c>
      <c r="AM5824" s="4">
        <v>50</v>
      </c>
      <c r="AN5824" s="4">
        <v>0</v>
      </c>
      <c r="AO5824" s="4">
        <v>0</v>
      </c>
      <c r="AP5824" s="4">
        <v>22</v>
      </c>
      <c r="AQ5824" s="4">
        <v>29</v>
      </c>
      <c r="AR5824" s="3" t="s">
        <v>62</v>
      </c>
      <c r="AS5824" s="3" t="s">
        <v>62</v>
      </c>
      <c r="AT5824" s="3" t="s">
        <v>62</v>
      </c>
      <c r="AV5824" s="6" t="str">
        <f>HYPERLINK("http://mcgill.on.worldcat.org/oclc/25371774","Catalog Record")</f>
        <v>Catalog Record</v>
      </c>
      <c r="AW5824" s="6" t="str">
        <f>HYPERLINK("http://www.worldcat.org/oclc/25371774","WorldCat Record")</f>
        <v>WorldCat Record</v>
      </c>
      <c r="AX5824" s="3" t="s">
        <v>55992</v>
      </c>
      <c r="AY5824" s="3" t="s">
        <v>55993</v>
      </c>
      <c r="AZ5824" s="3" t="s">
        <v>55994</v>
      </c>
      <c r="BA5824" s="3" t="s">
        <v>55994</v>
      </c>
      <c r="BB5824" s="3" t="s">
        <v>55998</v>
      </c>
      <c r="BC5824" s="3" t="s">
        <v>142</v>
      </c>
      <c r="BD5824" s="3" t="s">
        <v>68</v>
      </c>
      <c r="BE5824" s="3" t="s">
        <v>55996</v>
      </c>
      <c r="BF5824" s="3" t="s">
        <v>55998</v>
      </c>
      <c r="BG5824" s="3" t="s">
        <v>55999</v>
      </c>
    </row>
    <row r="5825" spans="1:59" ht="57" x14ac:dyDescent="0.45">
      <c r="A5825" s="2" t="s">
        <v>59</v>
      </c>
      <c r="B5825" s="2" t="s">
        <v>60</v>
      </c>
      <c r="C5825" s="2" t="s">
        <v>55988</v>
      </c>
      <c r="D5825" s="2" t="s">
        <v>55989</v>
      </c>
      <c r="E5825" s="2" t="s">
        <v>55990</v>
      </c>
      <c r="G5825" s="3" t="s">
        <v>62</v>
      </c>
      <c r="I5825" s="3" t="s">
        <v>61</v>
      </c>
      <c r="J5825" s="3" t="s">
        <v>62</v>
      </c>
      <c r="K5825" s="3" t="s">
        <v>63</v>
      </c>
      <c r="L5825" s="2" t="s">
        <v>3409</v>
      </c>
      <c r="M5825" s="2" t="s">
        <v>55991</v>
      </c>
      <c r="N5825" s="3" t="s">
        <v>84</v>
      </c>
      <c r="P5825" s="3" t="s">
        <v>65</v>
      </c>
      <c r="R5825" s="3" t="s">
        <v>66</v>
      </c>
      <c r="S5825" s="4">
        <v>28</v>
      </c>
      <c r="T5825" s="4">
        <v>136</v>
      </c>
      <c r="U5825" s="5" t="s">
        <v>4748</v>
      </c>
      <c r="V5825" s="5" t="s">
        <v>13035</v>
      </c>
      <c r="W5825" s="5" t="s">
        <v>67</v>
      </c>
      <c r="X5825" s="5" t="s">
        <v>67</v>
      </c>
      <c r="Y5825" s="4">
        <v>331</v>
      </c>
      <c r="Z5825" s="4">
        <v>27</v>
      </c>
      <c r="AA5825" s="4">
        <v>38</v>
      </c>
      <c r="AB5825" s="4">
        <v>2</v>
      </c>
      <c r="AC5825" s="4">
        <v>6</v>
      </c>
      <c r="AD5825" s="4">
        <v>95</v>
      </c>
      <c r="AE5825" s="4">
        <v>108</v>
      </c>
      <c r="AF5825" s="4">
        <v>1</v>
      </c>
      <c r="AG5825" s="4">
        <v>4</v>
      </c>
      <c r="AH5825" s="4">
        <v>81</v>
      </c>
      <c r="AI5825" s="4">
        <v>88</v>
      </c>
      <c r="AJ5825" s="4">
        <v>15</v>
      </c>
      <c r="AK5825" s="4">
        <v>20</v>
      </c>
      <c r="AL5825" s="4">
        <v>45</v>
      </c>
      <c r="AM5825" s="4">
        <v>50</v>
      </c>
      <c r="AN5825" s="4">
        <v>0</v>
      </c>
      <c r="AO5825" s="4">
        <v>0</v>
      </c>
      <c r="AP5825" s="4">
        <v>22</v>
      </c>
      <c r="AQ5825" s="4">
        <v>29</v>
      </c>
      <c r="AR5825" s="3" t="s">
        <v>62</v>
      </c>
      <c r="AS5825" s="3" t="s">
        <v>62</v>
      </c>
      <c r="AT5825" s="3" t="s">
        <v>62</v>
      </c>
      <c r="AV5825" s="6" t="str">
        <f>HYPERLINK("http://mcgill.on.worldcat.org/oclc/25371774","Catalog Record")</f>
        <v>Catalog Record</v>
      </c>
      <c r="AW5825" s="6" t="str">
        <f>HYPERLINK("http://www.worldcat.org/oclc/25371774","WorldCat Record")</f>
        <v>WorldCat Record</v>
      </c>
      <c r="AX5825" s="3" t="s">
        <v>55992</v>
      </c>
      <c r="AY5825" s="3" t="s">
        <v>55993</v>
      </c>
      <c r="AZ5825" s="3" t="s">
        <v>55994</v>
      </c>
      <c r="BA5825" s="3" t="s">
        <v>55994</v>
      </c>
      <c r="BB5825" s="3" t="s">
        <v>56000</v>
      </c>
      <c r="BC5825" s="3" t="s">
        <v>142</v>
      </c>
      <c r="BD5825" s="3" t="s">
        <v>308</v>
      </c>
      <c r="BE5825" s="3" t="s">
        <v>55996</v>
      </c>
      <c r="BF5825" s="3" t="s">
        <v>56000</v>
      </c>
      <c r="BG5825" s="3" t="s">
        <v>56001</v>
      </c>
    </row>
    <row r="5826" spans="1:59" ht="57" x14ac:dyDescent="0.45">
      <c r="A5826" s="2" t="s">
        <v>59</v>
      </c>
      <c r="B5826" s="2" t="s">
        <v>60</v>
      </c>
      <c r="C5826" s="2" t="s">
        <v>56002</v>
      </c>
      <c r="D5826" s="2" t="s">
        <v>56003</v>
      </c>
      <c r="E5826" s="2" t="s">
        <v>56004</v>
      </c>
      <c r="G5826" s="3" t="s">
        <v>62</v>
      </c>
      <c r="I5826" s="3" t="s">
        <v>62</v>
      </c>
      <c r="J5826" s="3" t="s">
        <v>62</v>
      </c>
      <c r="K5826" s="3" t="s">
        <v>63</v>
      </c>
      <c r="L5826" s="2" t="s">
        <v>56005</v>
      </c>
      <c r="M5826" s="2" t="s">
        <v>56006</v>
      </c>
      <c r="N5826" s="3" t="s">
        <v>149</v>
      </c>
      <c r="P5826" s="3" t="s">
        <v>65</v>
      </c>
      <c r="R5826" s="3" t="s">
        <v>66</v>
      </c>
      <c r="S5826" s="4">
        <v>1</v>
      </c>
      <c r="T5826" s="4">
        <v>1</v>
      </c>
      <c r="U5826" s="5" t="s">
        <v>16620</v>
      </c>
      <c r="V5826" s="5" t="s">
        <v>16620</v>
      </c>
      <c r="W5826" s="5" t="s">
        <v>67</v>
      </c>
      <c r="X5826" s="5" t="s">
        <v>67</v>
      </c>
      <c r="Y5826" s="4">
        <v>121</v>
      </c>
      <c r="Z5826" s="4">
        <v>17</v>
      </c>
      <c r="AA5826" s="4">
        <v>80</v>
      </c>
      <c r="AB5826" s="4">
        <v>1</v>
      </c>
      <c r="AC5826" s="4">
        <v>14</v>
      </c>
      <c r="AD5826" s="4">
        <v>60</v>
      </c>
      <c r="AE5826" s="4">
        <v>109</v>
      </c>
      <c r="AF5826" s="4">
        <v>0</v>
      </c>
      <c r="AG5826" s="4">
        <v>8</v>
      </c>
      <c r="AH5826" s="4">
        <v>58</v>
      </c>
      <c r="AI5826" s="4">
        <v>78</v>
      </c>
      <c r="AJ5826" s="4">
        <v>14</v>
      </c>
      <c r="AK5826" s="4">
        <v>23</v>
      </c>
      <c r="AL5826" s="4">
        <v>33</v>
      </c>
      <c r="AM5826" s="4">
        <v>41</v>
      </c>
      <c r="AN5826" s="4">
        <v>0</v>
      </c>
      <c r="AO5826" s="4">
        <v>0</v>
      </c>
      <c r="AP5826" s="4">
        <v>14</v>
      </c>
      <c r="AQ5826" s="4">
        <v>43</v>
      </c>
      <c r="AR5826" s="3" t="s">
        <v>62</v>
      </c>
      <c r="AS5826" s="3" t="s">
        <v>62</v>
      </c>
      <c r="AT5826" s="3" t="s">
        <v>62</v>
      </c>
      <c r="AV5826" s="6" t="str">
        <f>HYPERLINK("http://mcgill.on.worldcat.org/oclc/535489663","Catalog Record")</f>
        <v>Catalog Record</v>
      </c>
      <c r="AW5826" s="6" t="str">
        <f>HYPERLINK("http://www.worldcat.org/oclc/535489663","WorldCat Record")</f>
        <v>WorldCat Record</v>
      </c>
      <c r="AX5826" s="3" t="s">
        <v>56007</v>
      </c>
      <c r="AY5826" s="3" t="s">
        <v>56008</v>
      </c>
      <c r="AZ5826" s="3" t="s">
        <v>56009</v>
      </c>
      <c r="BA5826" s="3" t="s">
        <v>56009</v>
      </c>
      <c r="BB5826" s="3" t="s">
        <v>56010</v>
      </c>
      <c r="BC5826" s="3" t="s">
        <v>142</v>
      </c>
      <c r="BD5826" s="3" t="s">
        <v>68</v>
      </c>
      <c r="BE5826" s="3" t="s">
        <v>56011</v>
      </c>
      <c r="BF5826" s="3" t="s">
        <v>56010</v>
      </c>
      <c r="BG5826" s="3" t="s">
        <v>56012</v>
      </c>
    </row>
    <row r="5827" spans="1:59" ht="57" x14ac:dyDescent="0.45">
      <c r="A5827" s="2" t="s">
        <v>59</v>
      </c>
      <c r="B5827" s="2" t="s">
        <v>60</v>
      </c>
      <c r="C5827" s="2" t="s">
        <v>56013</v>
      </c>
      <c r="D5827" s="2" t="s">
        <v>56014</v>
      </c>
      <c r="E5827" s="2" t="s">
        <v>56015</v>
      </c>
      <c r="G5827" s="3" t="s">
        <v>62</v>
      </c>
      <c r="I5827" s="3" t="s">
        <v>62</v>
      </c>
      <c r="J5827" s="3" t="s">
        <v>62</v>
      </c>
      <c r="K5827" s="3" t="s">
        <v>63</v>
      </c>
      <c r="M5827" s="2" t="s">
        <v>56016</v>
      </c>
      <c r="N5827" s="3" t="s">
        <v>149</v>
      </c>
      <c r="P5827" s="3" t="s">
        <v>110</v>
      </c>
      <c r="Q5827" s="2" t="s">
        <v>56017</v>
      </c>
      <c r="R5827" s="3" t="s">
        <v>66</v>
      </c>
      <c r="S5827" s="4">
        <v>7</v>
      </c>
      <c r="T5827" s="4">
        <v>7</v>
      </c>
      <c r="U5827" s="5" t="s">
        <v>41885</v>
      </c>
      <c r="V5827" s="5" t="s">
        <v>41885</v>
      </c>
      <c r="W5827" s="5" t="s">
        <v>67</v>
      </c>
      <c r="X5827" s="5" t="s">
        <v>67</v>
      </c>
      <c r="Y5827" s="4">
        <v>6</v>
      </c>
      <c r="Z5827" s="4">
        <v>5</v>
      </c>
      <c r="AA5827" s="4">
        <v>7</v>
      </c>
      <c r="AB5827" s="4">
        <v>1</v>
      </c>
      <c r="AC5827" s="4">
        <v>3</v>
      </c>
      <c r="AD5827" s="4">
        <v>3</v>
      </c>
      <c r="AE5827" s="4">
        <v>5</v>
      </c>
      <c r="AF5827" s="4">
        <v>0</v>
      </c>
      <c r="AG5827" s="4">
        <v>2</v>
      </c>
      <c r="AH5827" s="4">
        <v>3</v>
      </c>
      <c r="AI5827" s="4">
        <v>3</v>
      </c>
      <c r="AJ5827" s="4">
        <v>2</v>
      </c>
      <c r="AK5827" s="4">
        <v>4</v>
      </c>
      <c r="AL5827" s="4">
        <v>1</v>
      </c>
      <c r="AM5827" s="4">
        <v>1</v>
      </c>
      <c r="AN5827" s="4">
        <v>0</v>
      </c>
      <c r="AO5827" s="4">
        <v>0</v>
      </c>
      <c r="AP5827" s="4">
        <v>2</v>
      </c>
      <c r="AQ5827" s="4">
        <v>3</v>
      </c>
      <c r="AR5827" s="3" t="s">
        <v>61</v>
      </c>
      <c r="AS5827" s="3" t="s">
        <v>62</v>
      </c>
      <c r="AT5827" s="3" t="s">
        <v>62</v>
      </c>
      <c r="AV5827" s="6" t="str">
        <f>HYPERLINK("http://mcgill.on.worldcat.org/oclc/651709023","Catalog Record")</f>
        <v>Catalog Record</v>
      </c>
      <c r="AW5827" s="6" t="str">
        <f>HYPERLINK("http://www.worldcat.org/oclc/651709023","WorldCat Record")</f>
        <v>WorldCat Record</v>
      </c>
      <c r="AX5827" s="3" t="s">
        <v>56018</v>
      </c>
      <c r="AY5827" s="3" t="s">
        <v>56019</v>
      </c>
      <c r="AZ5827" s="3" t="s">
        <v>56020</v>
      </c>
      <c r="BA5827" s="3" t="s">
        <v>56020</v>
      </c>
      <c r="BB5827" s="3" t="s">
        <v>56021</v>
      </c>
      <c r="BC5827" s="3" t="s">
        <v>142</v>
      </c>
      <c r="BD5827" s="3" t="s">
        <v>308</v>
      </c>
      <c r="BF5827" s="3" t="s">
        <v>56021</v>
      </c>
      <c r="BG5827" s="3" t="s">
        <v>56022</v>
      </c>
    </row>
    <row r="5828" spans="1:59" ht="57" x14ac:dyDescent="0.45">
      <c r="A5828" s="2" t="s">
        <v>59</v>
      </c>
      <c r="B5828" s="2" t="s">
        <v>60</v>
      </c>
      <c r="C5828" s="2" t="s">
        <v>56023</v>
      </c>
      <c r="D5828" s="2" t="s">
        <v>56024</v>
      </c>
      <c r="E5828" s="2" t="s">
        <v>56025</v>
      </c>
      <c r="G5828" s="3" t="s">
        <v>62</v>
      </c>
      <c r="I5828" s="3" t="s">
        <v>62</v>
      </c>
      <c r="J5828" s="3" t="s">
        <v>62</v>
      </c>
      <c r="K5828" s="3" t="s">
        <v>63</v>
      </c>
      <c r="L5828" s="2" t="s">
        <v>56026</v>
      </c>
      <c r="M5828" s="2" t="s">
        <v>56027</v>
      </c>
      <c r="N5828" s="3" t="s">
        <v>167</v>
      </c>
      <c r="P5828" s="3" t="s">
        <v>110</v>
      </c>
      <c r="Q5828" s="2" t="s">
        <v>56028</v>
      </c>
      <c r="R5828" s="3" t="s">
        <v>66</v>
      </c>
      <c r="S5828" s="4">
        <v>2</v>
      </c>
      <c r="T5828" s="4">
        <v>2</v>
      </c>
      <c r="U5828" s="5" t="s">
        <v>44113</v>
      </c>
      <c r="V5828" s="5" t="s">
        <v>44113</v>
      </c>
      <c r="W5828" s="5" t="s">
        <v>67</v>
      </c>
      <c r="X5828" s="5" t="s">
        <v>67</v>
      </c>
      <c r="Y5828" s="4">
        <v>37</v>
      </c>
      <c r="Z5828" s="4">
        <v>3</v>
      </c>
      <c r="AA5828" s="4">
        <v>6</v>
      </c>
      <c r="AB5828" s="4">
        <v>1</v>
      </c>
      <c r="AC5828" s="4">
        <v>2</v>
      </c>
      <c r="AD5828" s="4">
        <v>17</v>
      </c>
      <c r="AE5828" s="4">
        <v>22</v>
      </c>
      <c r="AF5828" s="4">
        <v>0</v>
      </c>
      <c r="AG5828" s="4">
        <v>1</v>
      </c>
      <c r="AH5828" s="4">
        <v>16</v>
      </c>
      <c r="AI5828" s="4">
        <v>21</v>
      </c>
      <c r="AJ5828" s="4">
        <v>2</v>
      </c>
      <c r="AK5828" s="4">
        <v>4</v>
      </c>
      <c r="AL5828" s="4">
        <v>13</v>
      </c>
      <c r="AM5828" s="4">
        <v>17</v>
      </c>
      <c r="AN5828" s="4">
        <v>0</v>
      </c>
      <c r="AO5828" s="4">
        <v>0</v>
      </c>
      <c r="AP5828" s="4">
        <v>2</v>
      </c>
      <c r="AQ5828" s="4">
        <v>4</v>
      </c>
      <c r="AR5828" s="3" t="s">
        <v>62</v>
      </c>
      <c r="AS5828" s="3" t="s">
        <v>62</v>
      </c>
      <c r="AT5828" s="3" t="s">
        <v>62</v>
      </c>
      <c r="AV5828" s="6" t="str">
        <f>HYPERLINK("http://mcgill.on.worldcat.org/oclc/49284262","Catalog Record")</f>
        <v>Catalog Record</v>
      </c>
      <c r="AW5828" s="6" t="str">
        <f>HYPERLINK("http://www.worldcat.org/oclc/49284262","WorldCat Record")</f>
        <v>WorldCat Record</v>
      </c>
      <c r="AX5828" s="3" t="s">
        <v>56029</v>
      </c>
      <c r="AY5828" s="3" t="s">
        <v>56030</v>
      </c>
      <c r="AZ5828" s="3" t="s">
        <v>56031</v>
      </c>
      <c r="BA5828" s="3" t="s">
        <v>56031</v>
      </c>
      <c r="BB5828" s="3" t="s">
        <v>56032</v>
      </c>
      <c r="BC5828" s="3" t="s">
        <v>142</v>
      </c>
      <c r="BD5828" s="3" t="s">
        <v>68</v>
      </c>
      <c r="BE5828" s="3" t="s">
        <v>56033</v>
      </c>
      <c r="BF5828" s="3" t="s">
        <v>56032</v>
      </c>
      <c r="BG5828" s="3" t="s">
        <v>56034</v>
      </c>
    </row>
    <row r="5829" spans="1:59" ht="57" x14ac:dyDescent="0.45">
      <c r="A5829" s="2" t="s">
        <v>59</v>
      </c>
      <c r="B5829" s="2" t="s">
        <v>60</v>
      </c>
      <c r="C5829" s="2" t="s">
        <v>56035</v>
      </c>
      <c r="D5829" s="2" t="s">
        <v>56036</v>
      </c>
      <c r="E5829" s="2" t="s">
        <v>56037</v>
      </c>
      <c r="G5829" s="3" t="s">
        <v>62</v>
      </c>
      <c r="I5829" s="3" t="s">
        <v>62</v>
      </c>
      <c r="J5829" s="3" t="s">
        <v>62</v>
      </c>
      <c r="K5829" s="3" t="s">
        <v>63</v>
      </c>
      <c r="M5829" s="2" t="s">
        <v>56038</v>
      </c>
      <c r="N5829" s="3" t="s">
        <v>1155</v>
      </c>
      <c r="P5829" s="3" t="s">
        <v>110</v>
      </c>
      <c r="Q5829" s="2" t="s">
        <v>55929</v>
      </c>
      <c r="R5829" s="3" t="s">
        <v>66</v>
      </c>
      <c r="S5829" s="4">
        <v>2</v>
      </c>
      <c r="T5829" s="4">
        <v>2</v>
      </c>
      <c r="U5829" s="5" t="s">
        <v>44113</v>
      </c>
      <c r="V5829" s="5" t="s">
        <v>44113</v>
      </c>
      <c r="W5829" s="5" t="s">
        <v>67</v>
      </c>
      <c r="X5829" s="5" t="s">
        <v>67</v>
      </c>
      <c r="Y5829" s="4">
        <v>17</v>
      </c>
      <c r="Z5829" s="4">
        <v>4</v>
      </c>
      <c r="AA5829" s="4">
        <v>10</v>
      </c>
      <c r="AB5829" s="4">
        <v>1</v>
      </c>
      <c r="AC5829" s="4">
        <v>5</v>
      </c>
      <c r="AD5829" s="4">
        <v>9</v>
      </c>
      <c r="AE5829" s="4">
        <v>14</v>
      </c>
      <c r="AF5829" s="4">
        <v>0</v>
      </c>
      <c r="AG5829" s="4">
        <v>3</v>
      </c>
      <c r="AH5829" s="4">
        <v>8</v>
      </c>
      <c r="AI5829" s="4">
        <v>11</v>
      </c>
      <c r="AJ5829" s="4">
        <v>2</v>
      </c>
      <c r="AK5829" s="4">
        <v>7</v>
      </c>
      <c r="AL5829" s="4">
        <v>7</v>
      </c>
      <c r="AM5829" s="4">
        <v>7</v>
      </c>
      <c r="AN5829" s="4">
        <v>0</v>
      </c>
      <c r="AO5829" s="4">
        <v>0</v>
      </c>
      <c r="AP5829" s="4">
        <v>2</v>
      </c>
      <c r="AQ5829" s="4">
        <v>6</v>
      </c>
      <c r="AR5829" s="3" t="s">
        <v>62</v>
      </c>
      <c r="AS5829" s="3" t="s">
        <v>62</v>
      </c>
      <c r="AT5829" s="3" t="s">
        <v>62</v>
      </c>
      <c r="AV5829" s="6" t="str">
        <f>HYPERLINK("http://mcgill.on.worldcat.org/oclc/827450591","Catalog Record")</f>
        <v>Catalog Record</v>
      </c>
      <c r="AW5829" s="6" t="str">
        <f>HYPERLINK("http://www.worldcat.org/oclc/827450591","WorldCat Record")</f>
        <v>WorldCat Record</v>
      </c>
      <c r="AX5829" s="3" t="s">
        <v>56039</v>
      </c>
      <c r="AY5829" s="3" t="s">
        <v>56040</v>
      </c>
      <c r="AZ5829" s="3" t="s">
        <v>56041</v>
      </c>
      <c r="BA5829" s="3" t="s">
        <v>56041</v>
      </c>
      <c r="BB5829" s="3" t="s">
        <v>56042</v>
      </c>
      <c r="BC5829" s="3" t="s">
        <v>142</v>
      </c>
      <c r="BD5829" s="3" t="s">
        <v>68</v>
      </c>
      <c r="BE5829" s="3" t="s">
        <v>56043</v>
      </c>
      <c r="BF5829" s="3" t="s">
        <v>56042</v>
      </c>
      <c r="BG5829" s="3" t="s">
        <v>56044</v>
      </c>
    </row>
    <row r="5830" spans="1:59" ht="57" x14ac:dyDescent="0.45">
      <c r="A5830" s="2" t="s">
        <v>59</v>
      </c>
      <c r="B5830" s="2" t="s">
        <v>60</v>
      </c>
      <c r="C5830" s="2" t="s">
        <v>56045</v>
      </c>
      <c r="D5830" s="2" t="s">
        <v>56046</v>
      </c>
      <c r="E5830" s="2" t="s">
        <v>56047</v>
      </c>
      <c r="G5830" s="3" t="s">
        <v>62</v>
      </c>
      <c r="I5830" s="3" t="s">
        <v>62</v>
      </c>
      <c r="J5830" s="3" t="s">
        <v>62</v>
      </c>
      <c r="K5830" s="3" t="s">
        <v>63</v>
      </c>
      <c r="M5830" s="2" t="s">
        <v>11731</v>
      </c>
      <c r="N5830" s="3" t="s">
        <v>195</v>
      </c>
      <c r="P5830" s="3" t="s">
        <v>65</v>
      </c>
      <c r="R5830" s="3" t="s">
        <v>66</v>
      </c>
      <c r="S5830" s="4">
        <v>35</v>
      </c>
      <c r="T5830" s="4">
        <v>35</v>
      </c>
      <c r="U5830" s="5" t="s">
        <v>13218</v>
      </c>
      <c r="V5830" s="5" t="s">
        <v>13218</v>
      </c>
      <c r="W5830" s="5" t="s">
        <v>67</v>
      </c>
      <c r="X5830" s="5" t="s">
        <v>67</v>
      </c>
      <c r="Y5830" s="4">
        <v>514</v>
      </c>
      <c r="Z5830" s="4">
        <v>25</v>
      </c>
      <c r="AA5830" s="4">
        <v>25</v>
      </c>
      <c r="AB5830" s="4">
        <v>2</v>
      </c>
      <c r="AC5830" s="4">
        <v>2</v>
      </c>
      <c r="AD5830" s="4">
        <v>115</v>
      </c>
      <c r="AE5830" s="4">
        <v>115</v>
      </c>
      <c r="AF5830" s="4">
        <v>1</v>
      </c>
      <c r="AG5830" s="4">
        <v>1</v>
      </c>
      <c r="AH5830" s="4">
        <v>102</v>
      </c>
      <c r="AI5830" s="4">
        <v>102</v>
      </c>
      <c r="AJ5830" s="4">
        <v>17</v>
      </c>
      <c r="AK5830" s="4">
        <v>17</v>
      </c>
      <c r="AL5830" s="4">
        <v>55</v>
      </c>
      <c r="AM5830" s="4">
        <v>55</v>
      </c>
      <c r="AN5830" s="4">
        <v>0</v>
      </c>
      <c r="AO5830" s="4">
        <v>0</v>
      </c>
      <c r="AP5830" s="4">
        <v>21</v>
      </c>
      <c r="AQ5830" s="4">
        <v>21</v>
      </c>
      <c r="AR5830" s="3" t="s">
        <v>62</v>
      </c>
      <c r="AS5830" s="3" t="s">
        <v>62</v>
      </c>
      <c r="AT5830" s="3" t="s">
        <v>62</v>
      </c>
      <c r="AV5830" s="6" t="str">
        <f>HYPERLINK("http://mcgill.on.worldcat.org/oclc/26218952","Catalog Record")</f>
        <v>Catalog Record</v>
      </c>
      <c r="AW5830" s="6" t="str">
        <f>HYPERLINK("http://www.worldcat.org/oclc/26218952","WorldCat Record")</f>
        <v>WorldCat Record</v>
      </c>
      <c r="AX5830" s="3" t="s">
        <v>56048</v>
      </c>
      <c r="AY5830" s="3" t="s">
        <v>56049</v>
      </c>
      <c r="AZ5830" s="3" t="s">
        <v>56050</v>
      </c>
      <c r="BA5830" s="3" t="s">
        <v>56050</v>
      </c>
      <c r="BB5830" s="3" t="s">
        <v>56051</v>
      </c>
      <c r="BC5830" s="3" t="s">
        <v>142</v>
      </c>
      <c r="BD5830" s="3" t="s">
        <v>308</v>
      </c>
      <c r="BE5830" s="3" t="s">
        <v>56052</v>
      </c>
      <c r="BF5830" s="3" t="s">
        <v>56051</v>
      </c>
      <c r="BG5830" s="3" t="s">
        <v>56053</v>
      </c>
    </row>
    <row r="5831" spans="1:59" ht="85.5" x14ac:dyDescent="0.45">
      <c r="A5831" s="2" t="s">
        <v>59</v>
      </c>
      <c r="B5831" s="2" t="s">
        <v>5257</v>
      </c>
      <c r="C5831" s="2" t="s">
        <v>56054</v>
      </c>
      <c r="D5831" s="2" t="s">
        <v>56055</v>
      </c>
      <c r="E5831" s="2" t="s">
        <v>56056</v>
      </c>
      <c r="G5831" s="3" t="s">
        <v>62</v>
      </c>
      <c r="I5831" s="3" t="s">
        <v>62</v>
      </c>
      <c r="J5831" s="3" t="s">
        <v>62</v>
      </c>
      <c r="K5831" s="3" t="s">
        <v>63</v>
      </c>
      <c r="M5831" s="2" t="s">
        <v>13295</v>
      </c>
      <c r="N5831" s="3" t="s">
        <v>894</v>
      </c>
      <c r="P5831" s="3" t="s">
        <v>65</v>
      </c>
      <c r="R5831" s="3" t="s">
        <v>66</v>
      </c>
      <c r="S5831" s="4">
        <v>0</v>
      </c>
      <c r="T5831" s="4">
        <v>0</v>
      </c>
      <c r="W5831" s="5" t="s">
        <v>67</v>
      </c>
      <c r="X5831" s="5" t="s">
        <v>67</v>
      </c>
      <c r="Y5831" s="4">
        <v>101</v>
      </c>
      <c r="Z5831" s="4">
        <v>15</v>
      </c>
      <c r="AA5831" s="4">
        <v>15</v>
      </c>
      <c r="AB5831" s="4">
        <v>2</v>
      </c>
      <c r="AC5831" s="4">
        <v>2</v>
      </c>
      <c r="AD5831" s="4">
        <v>44</v>
      </c>
      <c r="AE5831" s="4">
        <v>44</v>
      </c>
      <c r="AF5831" s="4">
        <v>1</v>
      </c>
      <c r="AG5831" s="4">
        <v>1</v>
      </c>
      <c r="AH5831" s="4">
        <v>40</v>
      </c>
      <c r="AI5831" s="4">
        <v>40</v>
      </c>
      <c r="AJ5831" s="4">
        <v>9</v>
      </c>
      <c r="AK5831" s="4">
        <v>9</v>
      </c>
      <c r="AL5831" s="4">
        <v>21</v>
      </c>
      <c r="AM5831" s="4">
        <v>21</v>
      </c>
      <c r="AN5831" s="4">
        <v>0</v>
      </c>
      <c r="AO5831" s="4">
        <v>0</v>
      </c>
      <c r="AP5831" s="4">
        <v>10</v>
      </c>
      <c r="AQ5831" s="4">
        <v>10</v>
      </c>
      <c r="AR5831" s="3" t="s">
        <v>62</v>
      </c>
      <c r="AS5831" s="3" t="s">
        <v>62</v>
      </c>
      <c r="AT5831" s="3" t="s">
        <v>62</v>
      </c>
      <c r="AV5831" s="6" t="str">
        <f>HYPERLINK("http://mcgill.on.worldcat.org/oclc/676923187","Catalog Record")</f>
        <v>Catalog Record</v>
      </c>
      <c r="AW5831" s="6" t="str">
        <f>HYPERLINK("http://www.worldcat.org/oclc/676923187","WorldCat Record")</f>
        <v>WorldCat Record</v>
      </c>
      <c r="AX5831" s="3" t="s">
        <v>56057</v>
      </c>
      <c r="AY5831" s="3" t="s">
        <v>56058</v>
      </c>
      <c r="AZ5831" s="3" t="s">
        <v>56059</v>
      </c>
      <c r="BA5831" s="3" t="s">
        <v>56059</v>
      </c>
      <c r="BB5831" s="3" t="s">
        <v>56060</v>
      </c>
      <c r="BC5831" s="3" t="s">
        <v>142</v>
      </c>
      <c r="BD5831" s="3" t="s">
        <v>68</v>
      </c>
      <c r="BE5831" s="3" t="s">
        <v>56061</v>
      </c>
      <c r="BF5831" s="3" t="s">
        <v>56060</v>
      </c>
      <c r="BG5831" s="3" t="s">
        <v>56062</v>
      </c>
    </row>
    <row r="5832" spans="1:59" ht="57" x14ac:dyDescent="0.45">
      <c r="A5832" s="2" t="s">
        <v>59</v>
      </c>
      <c r="B5832" s="2" t="s">
        <v>60</v>
      </c>
      <c r="C5832" s="2" t="s">
        <v>56063</v>
      </c>
      <c r="D5832" s="2" t="s">
        <v>56064</v>
      </c>
      <c r="E5832" s="2" t="s">
        <v>56065</v>
      </c>
      <c r="G5832" s="3" t="s">
        <v>62</v>
      </c>
      <c r="I5832" s="3" t="s">
        <v>62</v>
      </c>
      <c r="J5832" s="3" t="s">
        <v>62</v>
      </c>
      <c r="K5832" s="3" t="s">
        <v>63</v>
      </c>
      <c r="L5832" s="2" t="s">
        <v>3470</v>
      </c>
      <c r="M5832" s="2" t="s">
        <v>6141</v>
      </c>
      <c r="N5832" s="3" t="s">
        <v>894</v>
      </c>
      <c r="P5832" s="3" t="s">
        <v>65</v>
      </c>
      <c r="R5832" s="3" t="s">
        <v>66</v>
      </c>
      <c r="S5832" s="4">
        <v>27</v>
      </c>
      <c r="T5832" s="4">
        <v>27</v>
      </c>
      <c r="U5832" s="5" t="s">
        <v>56066</v>
      </c>
      <c r="V5832" s="5" t="s">
        <v>56066</v>
      </c>
      <c r="W5832" s="5" t="s">
        <v>67</v>
      </c>
      <c r="X5832" s="5" t="s">
        <v>67</v>
      </c>
      <c r="Y5832" s="4">
        <v>226</v>
      </c>
      <c r="Z5832" s="4">
        <v>22</v>
      </c>
      <c r="AA5832" s="4">
        <v>36</v>
      </c>
      <c r="AB5832" s="4">
        <v>1</v>
      </c>
      <c r="AC5832" s="4">
        <v>7</v>
      </c>
      <c r="AD5832" s="4">
        <v>53</v>
      </c>
      <c r="AE5832" s="4">
        <v>86</v>
      </c>
      <c r="AF5832" s="4">
        <v>0</v>
      </c>
      <c r="AG5832" s="4">
        <v>3</v>
      </c>
      <c r="AH5832" s="4">
        <v>43</v>
      </c>
      <c r="AI5832" s="4">
        <v>68</v>
      </c>
      <c r="AJ5832" s="4">
        <v>11</v>
      </c>
      <c r="AK5832" s="4">
        <v>19</v>
      </c>
      <c r="AL5832" s="4">
        <v>19</v>
      </c>
      <c r="AM5832" s="4">
        <v>36</v>
      </c>
      <c r="AN5832" s="4">
        <v>0</v>
      </c>
      <c r="AO5832" s="4">
        <v>0</v>
      </c>
      <c r="AP5832" s="4">
        <v>17</v>
      </c>
      <c r="AQ5832" s="4">
        <v>27</v>
      </c>
      <c r="AR5832" s="3" t="s">
        <v>62</v>
      </c>
      <c r="AS5832" s="3" t="s">
        <v>62</v>
      </c>
      <c r="AT5832" s="3" t="s">
        <v>62</v>
      </c>
      <c r="AV5832" s="6" t="str">
        <f>HYPERLINK("http://mcgill.on.worldcat.org/oclc/472792615","Catalog Record")</f>
        <v>Catalog Record</v>
      </c>
      <c r="AW5832" s="6" t="str">
        <f>HYPERLINK("http://www.worldcat.org/oclc/472792615","WorldCat Record")</f>
        <v>WorldCat Record</v>
      </c>
      <c r="AX5832" s="3" t="s">
        <v>56067</v>
      </c>
      <c r="AY5832" s="3" t="s">
        <v>56068</v>
      </c>
      <c r="AZ5832" s="3" t="s">
        <v>56069</v>
      </c>
      <c r="BA5832" s="3" t="s">
        <v>56069</v>
      </c>
      <c r="BB5832" s="3" t="s">
        <v>56070</v>
      </c>
      <c r="BC5832" s="3" t="s">
        <v>142</v>
      </c>
      <c r="BD5832" s="3" t="s">
        <v>68</v>
      </c>
      <c r="BE5832" s="3" t="s">
        <v>56071</v>
      </c>
      <c r="BF5832" s="3" t="s">
        <v>56070</v>
      </c>
      <c r="BG5832" s="3" t="s">
        <v>56072</v>
      </c>
    </row>
    <row r="5833" spans="1:59" ht="57" x14ac:dyDescent="0.45">
      <c r="A5833" s="2" t="s">
        <v>59</v>
      </c>
      <c r="B5833" s="2" t="s">
        <v>60</v>
      </c>
      <c r="C5833" s="2" t="s">
        <v>56073</v>
      </c>
      <c r="D5833" s="2" t="s">
        <v>56074</v>
      </c>
      <c r="E5833" s="2" t="s">
        <v>56075</v>
      </c>
      <c r="G5833" s="3" t="s">
        <v>62</v>
      </c>
      <c r="I5833" s="3" t="s">
        <v>62</v>
      </c>
      <c r="J5833" s="3" t="s">
        <v>62</v>
      </c>
      <c r="K5833" s="3" t="s">
        <v>63</v>
      </c>
      <c r="L5833" s="2" t="s">
        <v>3470</v>
      </c>
      <c r="M5833" s="2" t="s">
        <v>56076</v>
      </c>
      <c r="N5833" s="3" t="s">
        <v>894</v>
      </c>
      <c r="O5833" s="2" t="s">
        <v>906</v>
      </c>
      <c r="P5833" s="3" t="s">
        <v>65</v>
      </c>
      <c r="R5833" s="3" t="s">
        <v>66</v>
      </c>
      <c r="S5833" s="4">
        <v>3</v>
      </c>
      <c r="T5833" s="4">
        <v>3</v>
      </c>
      <c r="U5833" s="5" t="s">
        <v>42853</v>
      </c>
      <c r="V5833" s="5" t="s">
        <v>42853</v>
      </c>
      <c r="W5833" s="5" t="s">
        <v>67</v>
      </c>
      <c r="X5833" s="5" t="s">
        <v>67</v>
      </c>
      <c r="Y5833" s="4">
        <v>271</v>
      </c>
      <c r="Z5833" s="4">
        <v>28</v>
      </c>
      <c r="AA5833" s="4">
        <v>104</v>
      </c>
      <c r="AB5833" s="4">
        <v>2</v>
      </c>
      <c r="AC5833" s="4">
        <v>20</v>
      </c>
      <c r="AD5833" s="4">
        <v>75</v>
      </c>
      <c r="AE5833" s="4">
        <v>156</v>
      </c>
      <c r="AF5833" s="4">
        <v>1</v>
      </c>
      <c r="AG5833" s="4">
        <v>8</v>
      </c>
      <c r="AH5833" s="4">
        <v>64</v>
      </c>
      <c r="AI5833" s="4">
        <v>108</v>
      </c>
      <c r="AJ5833" s="4">
        <v>17</v>
      </c>
      <c r="AK5833" s="4">
        <v>27</v>
      </c>
      <c r="AL5833" s="4">
        <v>33</v>
      </c>
      <c r="AM5833" s="4">
        <v>59</v>
      </c>
      <c r="AN5833" s="4">
        <v>0</v>
      </c>
      <c r="AO5833" s="4">
        <v>0</v>
      </c>
      <c r="AP5833" s="4">
        <v>21</v>
      </c>
      <c r="AQ5833" s="4">
        <v>56</v>
      </c>
      <c r="AR5833" s="3" t="s">
        <v>62</v>
      </c>
      <c r="AS5833" s="3" t="s">
        <v>62</v>
      </c>
      <c r="AT5833" s="3" t="s">
        <v>62</v>
      </c>
      <c r="AV5833" s="6" t="str">
        <f>HYPERLINK("http://mcgill.on.worldcat.org/oclc/498419379","Catalog Record")</f>
        <v>Catalog Record</v>
      </c>
      <c r="AW5833" s="6" t="str">
        <f>HYPERLINK("http://www.worldcat.org/oclc/498419379","WorldCat Record")</f>
        <v>WorldCat Record</v>
      </c>
      <c r="AX5833" s="3" t="s">
        <v>56077</v>
      </c>
      <c r="AY5833" s="3" t="s">
        <v>56078</v>
      </c>
      <c r="AZ5833" s="3" t="s">
        <v>56079</v>
      </c>
      <c r="BA5833" s="3" t="s">
        <v>56079</v>
      </c>
      <c r="BB5833" s="3" t="s">
        <v>56080</v>
      </c>
      <c r="BC5833" s="3" t="s">
        <v>142</v>
      </c>
      <c r="BD5833" s="3" t="s">
        <v>68</v>
      </c>
      <c r="BE5833" s="3" t="s">
        <v>56081</v>
      </c>
      <c r="BF5833" s="3" t="s">
        <v>56080</v>
      </c>
      <c r="BG5833" s="3" t="s">
        <v>56082</v>
      </c>
    </row>
    <row r="5834" spans="1:59" ht="57" x14ac:dyDescent="0.45">
      <c r="A5834" s="2" t="s">
        <v>59</v>
      </c>
      <c r="B5834" s="2" t="s">
        <v>60</v>
      </c>
      <c r="C5834" s="2" t="s">
        <v>56083</v>
      </c>
      <c r="D5834" s="2" t="s">
        <v>56084</v>
      </c>
      <c r="E5834" s="2" t="s">
        <v>56085</v>
      </c>
      <c r="F5834" s="3" t="s">
        <v>595</v>
      </c>
      <c r="G5834" s="3" t="s">
        <v>61</v>
      </c>
      <c r="I5834" s="3" t="s">
        <v>61</v>
      </c>
      <c r="J5834" s="3" t="s">
        <v>62</v>
      </c>
      <c r="K5834" s="3" t="s">
        <v>63</v>
      </c>
      <c r="M5834" s="2" t="s">
        <v>56086</v>
      </c>
      <c r="N5834" s="3" t="s">
        <v>529</v>
      </c>
      <c r="P5834" s="3" t="s">
        <v>65</v>
      </c>
      <c r="R5834" s="3" t="s">
        <v>66</v>
      </c>
      <c r="S5834" s="4">
        <v>41</v>
      </c>
      <c r="T5834" s="4">
        <v>177</v>
      </c>
      <c r="U5834" s="5" t="s">
        <v>16620</v>
      </c>
      <c r="V5834" s="5" t="s">
        <v>1225</v>
      </c>
      <c r="W5834" s="5" t="s">
        <v>67</v>
      </c>
      <c r="X5834" s="5" t="s">
        <v>67</v>
      </c>
      <c r="Y5834" s="4">
        <v>429</v>
      </c>
      <c r="Z5834" s="4">
        <v>23</v>
      </c>
      <c r="AA5834" s="4">
        <v>36</v>
      </c>
      <c r="AB5834" s="4">
        <v>3</v>
      </c>
      <c r="AC5834" s="4">
        <v>8</v>
      </c>
      <c r="AD5834" s="4">
        <v>110</v>
      </c>
      <c r="AE5834" s="4">
        <v>125</v>
      </c>
      <c r="AF5834" s="4">
        <v>1</v>
      </c>
      <c r="AG5834" s="4">
        <v>6</v>
      </c>
      <c r="AH5834" s="4">
        <v>96</v>
      </c>
      <c r="AI5834" s="4">
        <v>104</v>
      </c>
      <c r="AJ5834" s="4">
        <v>13</v>
      </c>
      <c r="AK5834" s="4">
        <v>24</v>
      </c>
      <c r="AL5834" s="4">
        <v>52</v>
      </c>
      <c r="AM5834" s="4">
        <v>53</v>
      </c>
      <c r="AN5834" s="4">
        <v>0</v>
      </c>
      <c r="AO5834" s="4">
        <v>0</v>
      </c>
      <c r="AP5834" s="4">
        <v>18</v>
      </c>
      <c r="AQ5834" s="4">
        <v>30</v>
      </c>
      <c r="AR5834" s="3" t="s">
        <v>62</v>
      </c>
      <c r="AS5834" s="3" t="s">
        <v>62</v>
      </c>
      <c r="AT5834" s="3" t="s">
        <v>61</v>
      </c>
      <c r="AU5834" s="6" t="str">
        <f>HYPERLINK("http://catalog.hathitrust.org/Record/000352663","HathiTrust Record")</f>
        <v>HathiTrust Record</v>
      </c>
      <c r="AV5834" s="6" t="str">
        <f>HYPERLINK("http://mcgill.on.worldcat.org/oclc/10727035","Catalog Record")</f>
        <v>Catalog Record</v>
      </c>
      <c r="AW5834" s="6" t="str">
        <f>HYPERLINK("http://www.worldcat.org/oclc/10727035","WorldCat Record")</f>
        <v>WorldCat Record</v>
      </c>
      <c r="AX5834" s="3" t="s">
        <v>56087</v>
      </c>
      <c r="AY5834" s="3" t="s">
        <v>56088</v>
      </c>
      <c r="AZ5834" s="3" t="s">
        <v>56089</v>
      </c>
      <c r="BA5834" s="3" t="s">
        <v>56089</v>
      </c>
      <c r="BB5834" s="3" t="s">
        <v>56090</v>
      </c>
      <c r="BC5834" s="3" t="s">
        <v>142</v>
      </c>
      <c r="BD5834" s="3" t="s">
        <v>68</v>
      </c>
      <c r="BE5834" s="3" t="s">
        <v>56091</v>
      </c>
      <c r="BF5834" s="3" t="s">
        <v>56090</v>
      </c>
      <c r="BG5834" s="3" t="s">
        <v>56092</v>
      </c>
    </row>
    <row r="5835" spans="1:59" ht="57" x14ac:dyDescent="0.45">
      <c r="A5835" s="2" t="s">
        <v>59</v>
      </c>
      <c r="B5835" s="2" t="s">
        <v>60</v>
      </c>
      <c r="C5835" s="2" t="s">
        <v>56083</v>
      </c>
      <c r="D5835" s="2" t="s">
        <v>56084</v>
      </c>
      <c r="E5835" s="2" t="s">
        <v>56085</v>
      </c>
      <c r="G5835" s="3" t="s">
        <v>61</v>
      </c>
      <c r="I5835" s="3" t="s">
        <v>61</v>
      </c>
      <c r="J5835" s="3" t="s">
        <v>62</v>
      </c>
      <c r="K5835" s="3" t="s">
        <v>63</v>
      </c>
      <c r="M5835" s="2" t="s">
        <v>56086</v>
      </c>
      <c r="N5835" s="3" t="s">
        <v>529</v>
      </c>
      <c r="P5835" s="3" t="s">
        <v>65</v>
      </c>
      <c r="R5835" s="3" t="s">
        <v>66</v>
      </c>
      <c r="S5835" s="4">
        <v>49</v>
      </c>
      <c r="T5835" s="4">
        <v>177</v>
      </c>
      <c r="U5835" s="5" t="s">
        <v>1225</v>
      </c>
      <c r="V5835" s="5" t="s">
        <v>1225</v>
      </c>
      <c r="W5835" s="5" t="s">
        <v>67</v>
      </c>
      <c r="X5835" s="5" t="s">
        <v>67</v>
      </c>
      <c r="Y5835" s="4">
        <v>429</v>
      </c>
      <c r="Z5835" s="4">
        <v>23</v>
      </c>
      <c r="AA5835" s="4">
        <v>36</v>
      </c>
      <c r="AB5835" s="4">
        <v>3</v>
      </c>
      <c r="AC5835" s="4">
        <v>8</v>
      </c>
      <c r="AD5835" s="4">
        <v>110</v>
      </c>
      <c r="AE5835" s="4">
        <v>125</v>
      </c>
      <c r="AF5835" s="4">
        <v>1</v>
      </c>
      <c r="AG5835" s="4">
        <v>6</v>
      </c>
      <c r="AH5835" s="4">
        <v>96</v>
      </c>
      <c r="AI5835" s="4">
        <v>104</v>
      </c>
      <c r="AJ5835" s="4">
        <v>13</v>
      </c>
      <c r="AK5835" s="4">
        <v>24</v>
      </c>
      <c r="AL5835" s="4">
        <v>52</v>
      </c>
      <c r="AM5835" s="4">
        <v>53</v>
      </c>
      <c r="AN5835" s="4">
        <v>0</v>
      </c>
      <c r="AO5835" s="4">
        <v>0</v>
      </c>
      <c r="AP5835" s="4">
        <v>18</v>
      </c>
      <c r="AQ5835" s="4">
        <v>30</v>
      </c>
      <c r="AR5835" s="3" t="s">
        <v>62</v>
      </c>
      <c r="AS5835" s="3" t="s">
        <v>62</v>
      </c>
      <c r="AT5835" s="3" t="s">
        <v>61</v>
      </c>
      <c r="AU5835" s="6" t="str">
        <f>HYPERLINK("http://catalog.hathitrust.org/Record/000352663","HathiTrust Record")</f>
        <v>HathiTrust Record</v>
      </c>
      <c r="AV5835" s="6" t="str">
        <f>HYPERLINK("http://mcgill.on.worldcat.org/oclc/10727035","Catalog Record")</f>
        <v>Catalog Record</v>
      </c>
      <c r="AW5835" s="6" t="str">
        <f>HYPERLINK("http://www.worldcat.org/oclc/10727035","WorldCat Record")</f>
        <v>WorldCat Record</v>
      </c>
      <c r="AX5835" s="3" t="s">
        <v>56087</v>
      </c>
      <c r="AY5835" s="3" t="s">
        <v>56088</v>
      </c>
      <c r="AZ5835" s="3" t="s">
        <v>56089</v>
      </c>
      <c r="BA5835" s="3" t="s">
        <v>56089</v>
      </c>
      <c r="BB5835" s="3" t="s">
        <v>56093</v>
      </c>
      <c r="BC5835" s="3" t="s">
        <v>142</v>
      </c>
      <c r="BD5835" s="3" t="s">
        <v>68</v>
      </c>
      <c r="BE5835" s="3" t="s">
        <v>56091</v>
      </c>
      <c r="BF5835" s="3" t="s">
        <v>56093</v>
      </c>
      <c r="BG5835" s="3" t="s">
        <v>56094</v>
      </c>
    </row>
    <row r="5836" spans="1:59" ht="57" x14ac:dyDescent="0.45">
      <c r="A5836" s="2" t="s">
        <v>59</v>
      </c>
      <c r="B5836" s="2" t="s">
        <v>60</v>
      </c>
      <c r="C5836" s="2" t="s">
        <v>56083</v>
      </c>
      <c r="D5836" s="2" t="s">
        <v>56084</v>
      </c>
      <c r="E5836" s="2" t="s">
        <v>56085</v>
      </c>
      <c r="F5836" s="3" t="s">
        <v>56095</v>
      </c>
      <c r="G5836" s="3" t="s">
        <v>61</v>
      </c>
      <c r="I5836" s="3" t="s">
        <v>61</v>
      </c>
      <c r="J5836" s="3" t="s">
        <v>62</v>
      </c>
      <c r="K5836" s="3" t="s">
        <v>63</v>
      </c>
      <c r="M5836" s="2" t="s">
        <v>56086</v>
      </c>
      <c r="N5836" s="3" t="s">
        <v>529</v>
      </c>
      <c r="P5836" s="3" t="s">
        <v>65</v>
      </c>
      <c r="R5836" s="3" t="s">
        <v>66</v>
      </c>
      <c r="S5836" s="4">
        <v>52</v>
      </c>
      <c r="T5836" s="4">
        <v>177</v>
      </c>
      <c r="U5836" s="5" t="s">
        <v>16620</v>
      </c>
      <c r="V5836" s="5" t="s">
        <v>1225</v>
      </c>
      <c r="W5836" s="5" t="s">
        <v>67</v>
      </c>
      <c r="X5836" s="5" t="s">
        <v>67</v>
      </c>
      <c r="Y5836" s="4">
        <v>429</v>
      </c>
      <c r="Z5836" s="4">
        <v>23</v>
      </c>
      <c r="AA5836" s="4">
        <v>36</v>
      </c>
      <c r="AB5836" s="4">
        <v>3</v>
      </c>
      <c r="AC5836" s="4">
        <v>8</v>
      </c>
      <c r="AD5836" s="4">
        <v>110</v>
      </c>
      <c r="AE5836" s="4">
        <v>125</v>
      </c>
      <c r="AF5836" s="4">
        <v>1</v>
      </c>
      <c r="AG5836" s="4">
        <v>6</v>
      </c>
      <c r="AH5836" s="4">
        <v>96</v>
      </c>
      <c r="AI5836" s="4">
        <v>104</v>
      </c>
      <c r="AJ5836" s="4">
        <v>13</v>
      </c>
      <c r="AK5836" s="4">
        <v>24</v>
      </c>
      <c r="AL5836" s="4">
        <v>52</v>
      </c>
      <c r="AM5836" s="4">
        <v>53</v>
      </c>
      <c r="AN5836" s="4">
        <v>0</v>
      </c>
      <c r="AO5836" s="4">
        <v>0</v>
      </c>
      <c r="AP5836" s="4">
        <v>18</v>
      </c>
      <c r="AQ5836" s="4">
        <v>30</v>
      </c>
      <c r="AR5836" s="3" t="s">
        <v>62</v>
      </c>
      <c r="AS5836" s="3" t="s">
        <v>62</v>
      </c>
      <c r="AT5836" s="3" t="s">
        <v>61</v>
      </c>
      <c r="AU5836" s="6" t="str">
        <f>HYPERLINK("http://catalog.hathitrust.org/Record/000352663","HathiTrust Record")</f>
        <v>HathiTrust Record</v>
      </c>
      <c r="AV5836" s="6" t="str">
        <f>HYPERLINK("http://mcgill.on.worldcat.org/oclc/10727035","Catalog Record")</f>
        <v>Catalog Record</v>
      </c>
      <c r="AW5836" s="6" t="str">
        <f>HYPERLINK("http://www.worldcat.org/oclc/10727035","WorldCat Record")</f>
        <v>WorldCat Record</v>
      </c>
      <c r="AX5836" s="3" t="s">
        <v>56087</v>
      </c>
      <c r="AY5836" s="3" t="s">
        <v>56088</v>
      </c>
      <c r="AZ5836" s="3" t="s">
        <v>56089</v>
      </c>
      <c r="BA5836" s="3" t="s">
        <v>56089</v>
      </c>
      <c r="BB5836" s="3" t="s">
        <v>56096</v>
      </c>
      <c r="BC5836" s="3" t="s">
        <v>142</v>
      </c>
      <c r="BD5836" s="3" t="s">
        <v>68</v>
      </c>
      <c r="BE5836" s="3" t="s">
        <v>56091</v>
      </c>
      <c r="BF5836" s="3" t="s">
        <v>56096</v>
      </c>
      <c r="BG5836" s="3" t="s">
        <v>56097</v>
      </c>
    </row>
    <row r="5837" spans="1:59" ht="57" x14ac:dyDescent="0.45">
      <c r="A5837" s="2" t="s">
        <v>59</v>
      </c>
      <c r="B5837" s="2" t="s">
        <v>60</v>
      </c>
      <c r="C5837" s="2" t="s">
        <v>56083</v>
      </c>
      <c r="D5837" s="2" t="s">
        <v>56084</v>
      </c>
      <c r="E5837" s="2" t="s">
        <v>56085</v>
      </c>
      <c r="F5837" s="3" t="s">
        <v>35706</v>
      </c>
      <c r="G5837" s="3" t="s">
        <v>61</v>
      </c>
      <c r="I5837" s="3" t="s">
        <v>61</v>
      </c>
      <c r="J5837" s="3" t="s">
        <v>62</v>
      </c>
      <c r="K5837" s="3" t="s">
        <v>63</v>
      </c>
      <c r="M5837" s="2" t="s">
        <v>56086</v>
      </c>
      <c r="N5837" s="3" t="s">
        <v>529</v>
      </c>
      <c r="P5837" s="3" t="s">
        <v>65</v>
      </c>
      <c r="R5837" s="3" t="s">
        <v>66</v>
      </c>
      <c r="S5837" s="4">
        <v>35</v>
      </c>
      <c r="T5837" s="4">
        <v>177</v>
      </c>
      <c r="U5837" s="5" t="s">
        <v>16620</v>
      </c>
      <c r="V5837" s="5" t="s">
        <v>1225</v>
      </c>
      <c r="W5837" s="5" t="s">
        <v>67</v>
      </c>
      <c r="X5837" s="5" t="s">
        <v>67</v>
      </c>
      <c r="Y5837" s="4">
        <v>429</v>
      </c>
      <c r="Z5837" s="4">
        <v>23</v>
      </c>
      <c r="AA5837" s="4">
        <v>36</v>
      </c>
      <c r="AB5837" s="4">
        <v>3</v>
      </c>
      <c r="AC5837" s="4">
        <v>8</v>
      </c>
      <c r="AD5837" s="4">
        <v>110</v>
      </c>
      <c r="AE5837" s="4">
        <v>125</v>
      </c>
      <c r="AF5837" s="4">
        <v>1</v>
      </c>
      <c r="AG5837" s="4">
        <v>6</v>
      </c>
      <c r="AH5837" s="4">
        <v>96</v>
      </c>
      <c r="AI5837" s="4">
        <v>104</v>
      </c>
      <c r="AJ5837" s="4">
        <v>13</v>
      </c>
      <c r="AK5837" s="4">
        <v>24</v>
      </c>
      <c r="AL5837" s="4">
        <v>52</v>
      </c>
      <c r="AM5837" s="4">
        <v>53</v>
      </c>
      <c r="AN5837" s="4">
        <v>0</v>
      </c>
      <c r="AO5837" s="4">
        <v>0</v>
      </c>
      <c r="AP5837" s="4">
        <v>18</v>
      </c>
      <c r="AQ5837" s="4">
        <v>30</v>
      </c>
      <c r="AR5837" s="3" t="s">
        <v>62</v>
      </c>
      <c r="AS5837" s="3" t="s">
        <v>62</v>
      </c>
      <c r="AT5837" s="3" t="s">
        <v>61</v>
      </c>
      <c r="AU5837" s="6" t="str">
        <f>HYPERLINK("http://catalog.hathitrust.org/Record/000352663","HathiTrust Record")</f>
        <v>HathiTrust Record</v>
      </c>
      <c r="AV5837" s="6" t="str">
        <f>HYPERLINK("http://mcgill.on.worldcat.org/oclc/10727035","Catalog Record")</f>
        <v>Catalog Record</v>
      </c>
      <c r="AW5837" s="6" t="str">
        <f>HYPERLINK("http://www.worldcat.org/oclc/10727035","WorldCat Record")</f>
        <v>WorldCat Record</v>
      </c>
      <c r="AX5837" s="3" t="s">
        <v>56087</v>
      </c>
      <c r="AY5837" s="3" t="s">
        <v>56088</v>
      </c>
      <c r="AZ5837" s="3" t="s">
        <v>56089</v>
      </c>
      <c r="BA5837" s="3" t="s">
        <v>56089</v>
      </c>
      <c r="BB5837" s="3" t="s">
        <v>56098</v>
      </c>
      <c r="BC5837" s="3" t="s">
        <v>142</v>
      </c>
      <c r="BD5837" s="3" t="s">
        <v>68</v>
      </c>
      <c r="BE5837" s="3" t="s">
        <v>56091</v>
      </c>
      <c r="BF5837" s="3" t="s">
        <v>56098</v>
      </c>
      <c r="BG5837" s="3" t="s">
        <v>56099</v>
      </c>
    </row>
    <row r="5838" spans="1:59" ht="57" x14ac:dyDescent="0.45">
      <c r="A5838" s="2" t="s">
        <v>59</v>
      </c>
      <c r="B5838" s="2" t="s">
        <v>60</v>
      </c>
      <c r="C5838" s="2" t="s">
        <v>56100</v>
      </c>
      <c r="D5838" s="2" t="s">
        <v>56101</v>
      </c>
      <c r="E5838" s="2" t="s">
        <v>56102</v>
      </c>
      <c r="G5838" s="3" t="s">
        <v>62</v>
      </c>
      <c r="I5838" s="3" t="s">
        <v>62</v>
      </c>
      <c r="J5838" s="3" t="s">
        <v>62</v>
      </c>
      <c r="K5838" s="3" t="s">
        <v>63</v>
      </c>
      <c r="M5838" s="2" t="s">
        <v>18755</v>
      </c>
      <c r="N5838" s="3" t="s">
        <v>918</v>
      </c>
      <c r="P5838" s="3" t="s">
        <v>65</v>
      </c>
      <c r="R5838" s="3" t="s">
        <v>66</v>
      </c>
      <c r="S5838" s="4">
        <v>10</v>
      </c>
      <c r="T5838" s="4">
        <v>10</v>
      </c>
      <c r="U5838" s="5" t="s">
        <v>56103</v>
      </c>
      <c r="V5838" s="5" t="s">
        <v>56103</v>
      </c>
      <c r="W5838" s="5" t="s">
        <v>67</v>
      </c>
      <c r="X5838" s="5" t="s">
        <v>67</v>
      </c>
      <c r="Y5838" s="4">
        <v>243</v>
      </c>
      <c r="Z5838" s="4">
        <v>15</v>
      </c>
      <c r="AA5838" s="4">
        <v>76</v>
      </c>
      <c r="AB5838" s="4">
        <v>2</v>
      </c>
      <c r="AC5838" s="4">
        <v>15</v>
      </c>
      <c r="AD5838" s="4">
        <v>83</v>
      </c>
      <c r="AE5838" s="4">
        <v>126</v>
      </c>
      <c r="AF5838" s="4">
        <v>1</v>
      </c>
      <c r="AG5838" s="4">
        <v>8</v>
      </c>
      <c r="AH5838" s="4">
        <v>78</v>
      </c>
      <c r="AI5838" s="4">
        <v>97</v>
      </c>
      <c r="AJ5838" s="4">
        <v>12</v>
      </c>
      <c r="AK5838" s="4">
        <v>24</v>
      </c>
      <c r="AL5838" s="4">
        <v>45</v>
      </c>
      <c r="AM5838" s="4">
        <v>53</v>
      </c>
      <c r="AN5838" s="4">
        <v>0</v>
      </c>
      <c r="AO5838" s="4">
        <v>0</v>
      </c>
      <c r="AP5838" s="4">
        <v>12</v>
      </c>
      <c r="AQ5838" s="4">
        <v>40</v>
      </c>
      <c r="AR5838" s="3" t="s">
        <v>62</v>
      </c>
      <c r="AS5838" s="3" t="s">
        <v>62</v>
      </c>
      <c r="AT5838" s="3" t="s">
        <v>62</v>
      </c>
      <c r="AV5838" s="6" t="str">
        <f>HYPERLINK("http://mcgill.on.worldcat.org/oclc/49681589","Catalog Record")</f>
        <v>Catalog Record</v>
      </c>
      <c r="AW5838" s="6" t="str">
        <f>HYPERLINK("http://www.worldcat.org/oclc/49681589","WorldCat Record")</f>
        <v>WorldCat Record</v>
      </c>
      <c r="AX5838" s="3" t="s">
        <v>56104</v>
      </c>
      <c r="AY5838" s="3" t="s">
        <v>56105</v>
      </c>
      <c r="AZ5838" s="3" t="s">
        <v>56106</v>
      </c>
      <c r="BA5838" s="3" t="s">
        <v>56106</v>
      </c>
      <c r="BB5838" s="3" t="s">
        <v>56107</v>
      </c>
      <c r="BC5838" s="3" t="s">
        <v>142</v>
      </c>
      <c r="BD5838" s="3" t="s">
        <v>68</v>
      </c>
      <c r="BE5838" s="3" t="s">
        <v>56108</v>
      </c>
      <c r="BF5838" s="3" t="s">
        <v>56107</v>
      </c>
      <c r="BG5838" s="3" t="s">
        <v>56109</v>
      </c>
    </row>
    <row r="5839" spans="1:59" ht="57" x14ac:dyDescent="0.45">
      <c r="A5839" s="2" t="s">
        <v>59</v>
      </c>
      <c r="B5839" s="2" t="s">
        <v>60</v>
      </c>
      <c r="C5839" s="2" t="s">
        <v>56110</v>
      </c>
      <c r="D5839" s="2" t="s">
        <v>56111</v>
      </c>
      <c r="E5839" s="2" t="s">
        <v>56112</v>
      </c>
      <c r="G5839" s="3" t="s">
        <v>62</v>
      </c>
      <c r="I5839" s="3" t="s">
        <v>62</v>
      </c>
      <c r="J5839" s="3" t="s">
        <v>62</v>
      </c>
      <c r="K5839" s="3" t="s">
        <v>63</v>
      </c>
      <c r="L5839" s="2" t="s">
        <v>56113</v>
      </c>
      <c r="M5839" s="2" t="s">
        <v>56114</v>
      </c>
      <c r="N5839" s="3" t="s">
        <v>149</v>
      </c>
      <c r="P5839" s="3" t="s">
        <v>65</v>
      </c>
      <c r="R5839" s="3" t="s">
        <v>66</v>
      </c>
      <c r="S5839" s="4">
        <v>1</v>
      </c>
      <c r="T5839" s="4">
        <v>1</v>
      </c>
      <c r="U5839" s="5" t="s">
        <v>40950</v>
      </c>
      <c r="V5839" s="5" t="s">
        <v>40950</v>
      </c>
      <c r="W5839" s="5" t="s">
        <v>67</v>
      </c>
      <c r="X5839" s="5" t="s">
        <v>67</v>
      </c>
      <c r="Y5839" s="4">
        <v>154</v>
      </c>
      <c r="Z5839" s="4">
        <v>17</v>
      </c>
      <c r="AA5839" s="4">
        <v>23</v>
      </c>
      <c r="AB5839" s="4">
        <v>2</v>
      </c>
      <c r="AC5839" s="4">
        <v>5</v>
      </c>
      <c r="AD5839" s="4">
        <v>67</v>
      </c>
      <c r="AE5839" s="4">
        <v>76</v>
      </c>
      <c r="AF5839" s="4">
        <v>0</v>
      </c>
      <c r="AG5839" s="4">
        <v>1</v>
      </c>
      <c r="AH5839" s="4">
        <v>62</v>
      </c>
      <c r="AI5839" s="4">
        <v>68</v>
      </c>
      <c r="AJ5839" s="4">
        <v>10</v>
      </c>
      <c r="AK5839" s="4">
        <v>14</v>
      </c>
      <c r="AL5839" s="4">
        <v>36</v>
      </c>
      <c r="AM5839" s="4">
        <v>38</v>
      </c>
      <c r="AN5839" s="4">
        <v>0</v>
      </c>
      <c r="AO5839" s="4">
        <v>0</v>
      </c>
      <c r="AP5839" s="4">
        <v>13</v>
      </c>
      <c r="AQ5839" s="4">
        <v>17</v>
      </c>
      <c r="AR5839" s="3" t="s">
        <v>62</v>
      </c>
      <c r="AS5839" s="3" t="s">
        <v>62</v>
      </c>
      <c r="AT5839" s="3" t="s">
        <v>62</v>
      </c>
      <c r="AV5839" s="6" t="str">
        <f>HYPERLINK("http://mcgill.on.worldcat.org/oclc/635463598","Catalog Record")</f>
        <v>Catalog Record</v>
      </c>
      <c r="AW5839" s="6" t="str">
        <f>HYPERLINK("http://www.worldcat.org/oclc/635463598","WorldCat Record")</f>
        <v>WorldCat Record</v>
      </c>
      <c r="AX5839" s="3" t="s">
        <v>56115</v>
      </c>
      <c r="AY5839" s="3" t="s">
        <v>56116</v>
      </c>
      <c r="AZ5839" s="3" t="s">
        <v>56117</v>
      </c>
      <c r="BA5839" s="3" t="s">
        <v>56117</v>
      </c>
      <c r="BB5839" s="3" t="s">
        <v>56118</v>
      </c>
      <c r="BC5839" s="3" t="s">
        <v>142</v>
      </c>
      <c r="BD5839" s="3" t="s">
        <v>68</v>
      </c>
      <c r="BE5839" s="3" t="s">
        <v>56119</v>
      </c>
      <c r="BF5839" s="3" t="s">
        <v>56118</v>
      </c>
      <c r="BG5839" s="3" t="s">
        <v>56120</v>
      </c>
    </row>
    <row r="5840" spans="1:59" ht="57" x14ac:dyDescent="0.45">
      <c r="A5840" s="2" t="s">
        <v>59</v>
      </c>
      <c r="B5840" s="2" t="s">
        <v>60</v>
      </c>
      <c r="C5840" s="2" t="s">
        <v>56121</v>
      </c>
      <c r="D5840" s="2" t="s">
        <v>56122</v>
      </c>
      <c r="E5840" s="2" t="s">
        <v>56123</v>
      </c>
      <c r="G5840" s="3" t="s">
        <v>62</v>
      </c>
      <c r="I5840" s="3" t="s">
        <v>62</v>
      </c>
      <c r="J5840" s="3" t="s">
        <v>62</v>
      </c>
      <c r="K5840" s="3" t="s">
        <v>63</v>
      </c>
      <c r="L5840" s="2" t="s">
        <v>56124</v>
      </c>
      <c r="M5840" s="2" t="s">
        <v>3925</v>
      </c>
      <c r="N5840" s="3" t="s">
        <v>149</v>
      </c>
      <c r="P5840" s="3" t="s">
        <v>65</v>
      </c>
      <c r="Q5840" s="2" t="s">
        <v>56125</v>
      </c>
      <c r="R5840" s="3" t="s">
        <v>66</v>
      </c>
      <c r="S5840" s="4">
        <v>0</v>
      </c>
      <c r="T5840" s="4">
        <v>0</v>
      </c>
      <c r="W5840" s="5" t="s">
        <v>67</v>
      </c>
      <c r="X5840" s="5" t="s">
        <v>67</v>
      </c>
      <c r="Y5840" s="4">
        <v>67</v>
      </c>
      <c r="Z5840" s="4">
        <v>8</v>
      </c>
      <c r="AA5840" s="4">
        <v>94</v>
      </c>
      <c r="AB5840" s="4">
        <v>1</v>
      </c>
      <c r="AC5840" s="4">
        <v>17</v>
      </c>
      <c r="AD5840" s="4">
        <v>34</v>
      </c>
      <c r="AE5840" s="4">
        <v>109</v>
      </c>
      <c r="AF5840" s="4">
        <v>0</v>
      </c>
      <c r="AG5840" s="4">
        <v>8</v>
      </c>
      <c r="AH5840" s="4">
        <v>33</v>
      </c>
      <c r="AI5840" s="4">
        <v>75</v>
      </c>
      <c r="AJ5840" s="4">
        <v>6</v>
      </c>
      <c r="AK5840" s="4">
        <v>21</v>
      </c>
      <c r="AL5840" s="4">
        <v>21</v>
      </c>
      <c r="AM5840" s="4">
        <v>38</v>
      </c>
      <c r="AN5840" s="4">
        <v>0</v>
      </c>
      <c r="AO5840" s="4">
        <v>0</v>
      </c>
      <c r="AP5840" s="4">
        <v>6</v>
      </c>
      <c r="AQ5840" s="4">
        <v>42</v>
      </c>
      <c r="AR5840" s="3" t="s">
        <v>62</v>
      </c>
      <c r="AS5840" s="3" t="s">
        <v>62</v>
      </c>
      <c r="AT5840" s="3" t="s">
        <v>62</v>
      </c>
      <c r="AV5840" s="6" t="str">
        <f>HYPERLINK("http://mcgill.on.worldcat.org/oclc/657223852","Catalog Record")</f>
        <v>Catalog Record</v>
      </c>
      <c r="AW5840" s="6" t="str">
        <f>HYPERLINK("http://www.worldcat.org/oclc/657223852","WorldCat Record")</f>
        <v>WorldCat Record</v>
      </c>
      <c r="AX5840" s="3" t="s">
        <v>56126</v>
      </c>
      <c r="AY5840" s="3" t="s">
        <v>56127</v>
      </c>
      <c r="AZ5840" s="3" t="s">
        <v>56128</v>
      </c>
      <c r="BA5840" s="3" t="s">
        <v>56128</v>
      </c>
      <c r="BB5840" s="3" t="s">
        <v>56129</v>
      </c>
      <c r="BC5840" s="3" t="s">
        <v>142</v>
      </c>
      <c r="BD5840" s="3" t="s">
        <v>68</v>
      </c>
      <c r="BE5840" s="3" t="s">
        <v>56130</v>
      </c>
      <c r="BF5840" s="3" t="s">
        <v>56129</v>
      </c>
      <c r="BG5840" s="3" t="s">
        <v>56131</v>
      </c>
    </row>
    <row r="5841" spans="1:59" ht="57" x14ac:dyDescent="0.45">
      <c r="A5841" s="2" t="s">
        <v>59</v>
      </c>
      <c r="B5841" s="2" t="s">
        <v>60</v>
      </c>
      <c r="C5841" s="2" t="s">
        <v>56132</v>
      </c>
      <c r="D5841" s="2" t="s">
        <v>56133</v>
      </c>
      <c r="E5841" s="2" t="s">
        <v>56134</v>
      </c>
      <c r="G5841" s="3" t="s">
        <v>62</v>
      </c>
      <c r="I5841" s="3" t="s">
        <v>62</v>
      </c>
      <c r="J5841" s="3" t="s">
        <v>62</v>
      </c>
      <c r="K5841" s="3" t="s">
        <v>63</v>
      </c>
      <c r="L5841" s="2" t="s">
        <v>56135</v>
      </c>
      <c r="M5841" s="2" t="s">
        <v>56136</v>
      </c>
      <c r="N5841" s="3" t="s">
        <v>1688</v>
      </c>
      <c r="P5841" s="3" t="s">
        <v>110</v>
      </c>
      <c r="Q5841" s="2" t="s">
        <v>56137</v>
      </c>
      <c r="R5841" s="3" t="s">
        <v>66</v>
      </c>
      <c r="S5841" s="4">
        <v>6</v>
      </c>
      <c r="T5841" s="4">
        <v>6</v>
      </c>
      <c r="U5841" s="5" t="s">
        <v>13035</v>
      </c>
      <c r="V5841" s="5" t="s">
        <v>13035</v>
      </c>
      <c r="W5841" s="5" t="s">
        <v>67</v>
      </c>
      <c r="X5841" s="5" t="s">
        <v>67</v>
      </c>
      <c r="Y5841" s="4">
        <v>38</v>
      </c>
      <c r="Z5841" s="4">
        <v>11</v>
      </c>
      <c r="AA5841" s="4">
        <v>23</v>
      </c>
      <c r="AB5841" s="4">
        <v>1</v>
      </c>
      <c r="AC5841" s="4">
        <v>10</v>
      </c>
      <c r="AD5841" s="4">
        <v>24</v>
      </c>
      <c r="AE5841" s="4">
        <v>32</v>
      </c>
      <c r="AF5841" s="4">
        <v>0</v>
      </c>
      <c r="AG5841" s="4">
        <v>4</v>
      </c>
      <c r="AH5841" s="4">
        <v>21</v>
      </c>
      <c r="AI5841" s="4">
        <v>25</v>
      </c>
      <c r="AJ5841" s="4">
        <v>8</v>
      </c>
      <c r="AK5841" s="4">
        <v>14</v>
      </c>
      <c r="AL5841" s="4">
        <v>14</v>
      </c>
      <c r="AM5841" s="4">
        <v>14</v>
      </c>
      <c r="AN5841" s="4">
        <v>0</v>
      </c>
      <c r="AO5841" s="4">
        <v>0</v>
      </c>
      <c r="AP5841" s="4">
        <v>8</v>
      </c>
      <c r="AQ5841" s="4">
        <v>14</v>
      </c>
      <c r="AR5841" s="3" t="s">
        <v>62</v>
      </c>
      <c r="AS5841" s="3" t="s">
        <v>62</v>
      </c>
      <c r="AT5841" s="3" t="s">
        <v>62</v>
      </c>
      <c r="AV5841" s="6" t="str">
        <f>HYPERLINK("http://mcgill.on.worldcat.org/oclc/908261566","Catalog Record")</f>
        <v>Catalog Record</v>
      </c>
      <c r="AW5841" s="6" t="str">
        <f>HYPERLINK("http://www.worldcat.org/oclc/908261566","WorldCat Record")</f>
        <v>WorldCat Record</v>
      </c>
      <c r="AX5841" s="3" t="s">
        <v>56138</v>
      </c>
      <c r="AY5841" s="3" t="s">
        <v>56139</v>
      </c>
      <c r="AZ5841" s="3" t="s">
        <v>56140</v>
      </c>
      <c r="BA5841" s="3" t="s">
        <v>56140</v>
      </c>
      <c r="BB5841" s="3" t="s">
        <v>56141</v>
      </c>
      <c r="BC5841" s="3" t="s">
        <v>142</v>
      </c>
      <c r="BD5841" s="3" t="s">
        <v>308</v>
      </c>
      <c r="BE5841" s="3" t="s">
        <v>56142</v>
      </c>
      <c r="BF5841" s="3" t="s">
        <v>56141</v>
      </c>
      <c r="BG5841" s="3" t="s">
        <v>56143</v>
      </c>
    </row>
    <row r="5842" spans="1:59" ht="57" x14ac:dyDescent="0.45">
      <c r="A5842" s="2" t="s">
        <v>59</v>
      </c>
      <c r="B5842" s="2" t="s">
        <v>60</v>
      </c>
      <c r="C5842" s="2" t="s">
        <v>56144</v>
      </c>
      <c r="D5842" s="2" t="s">
        <v>56145</v>
      </c>
      <c r="E5842" s="2" t="s">
        <v>56146</v>
      </c>
      <c r="G5842" s="3" t="s">
        <v>62</v>
      </c>
      <c r="I5842" s="3" t="s">
        <v>62</v>
      </c>
      <c r="J5842" s="3" t="s">
        <v>62</v>
      </c>
      <c r="K5842" s="3" t="s">
        <v>63</v>
      </c>
      <c r="M5842" s="2" t="s">
        <v>56147</v>
      </c>
      <c r="N5842" s="3" t="s">
        <v>1155</v>
      </c>
      <c r="P5842" s="3" t="s">
        <v>110</v>
      </c>
      <c r="R5842" s="3" t="s">
        <v>66</v>
      </c>
      <c r="S5842" s="4">
        <v>2</v>
      </c>
      <c r="T5842" s="4">
        <v>2</v>
      </c>
      <c r="U5842" s="5" t="s">
        <v>2668</v>
      </c>
      <c r="V5842" s="5" t="s">
        <v>2668</v>
      </c>
      <c r="W5842" s="5" t="s">
        <v>67</v>
      </c>
      <c r="X5842" s="5" t="s">
        <v>67</v>
      </c>
      <c r="Y5842" s="4">
        <v>25</v>
      </c>
      <c r="Z5842" s="4">
        <v>4</v>
      </c>
      <c r="AA5842" s="4">
        <v>6</v>
      </c>
      <c r="AB5842" s="4">
        <v>1</v>
      </c>
      <c r="AC5842" s="4">
        <v>2</v>
      </c>
      <c r="AD5842" s="4">
        <v>18</v>
      </c>
      <c r="AE5842" s="4">
        <v>20</v>
      </c>
      <c r="AF5842" s="4">
        <v>0</v>
      </c>
      <c r="AG5842" s="4">
        <v>1</v>
      </c>
      <c r="AH5842" s="4">
        <v>17</v>
      </c>
      <c r="AI5842" s="4">
        <v>18</v>
      </c>
      <c r="AJ5842" s="4">
        <v>2</v>
      </c>
      <c r="AK5842" s="4">
        <v>4</v>
      </c>
      <c r="AL5842" s="4">
        <v>15</v>
      </c>
      <c r="AM5842" s="4">
        <v>15</v>
      </c>
      <c r="AN5842" s="4">
        <v>0</v>
      </c>
      <c r="AO5842" s="4">
        <v>0</v>
      </c>
      <c r="AP5842" s="4">
        <v>2</v>
      </c>
      <c r="AQ5842" s="4">
        <v>4</v>
      </c>
      <c r="AR5842" s="3" t="s">
        <v>62</v>
      </c>
      <c r="AS5842" s="3" t="s">
        <v>62</v>
      </c>
      <c r="AT5842" s="3" t="s">
        <v>62</v>
      </c>
      <c r="AV5842" s="6" t="str">
        <f>HYPERLINK("http://mcgill.on.worldcat.org/oclc/828408048","Catalog Record")</f>
        <v>Catalog Record</v>
      </c>
      <c r="AW5842" s="6" t="str">
        <f>HYPERLINK("http://www.worldcat.org/oclc/828408048","WorldCat Record")</f>
        <v>WorldCat Record</v>
      </c>
      <c r="AX5842" s="3" t="s">
        <v>56148</v>
      </c>
      <c r="AY5842" s="3" t="s">
        <v>56149</v>
      </c>
      <c r="AZ5842" s="3" t="s">
        <v>56150</v>
      </c>
      <c r="BA5842" s="3" t="s">
        <v>56150</v>
      </c>
      <c r="BB5842" s="3" t="s">
        <v>56151</v>
      </c>
      <c r="BC5842" s="3" t="s">
        <v>142</v>
      </c>
      <c r="BD5842" s="3" t="s">
        <v>68</v>
      </c>
      <c r="BE5842" s="3" t="s">
        <v>56152</v>
      </c>
      <c r="BF5842" s="3" t="s">
        <v>56151</v>
      </c>
      <c r="BG5842" s="3" t="s">
        <v>56153</v>
      </c>
    </row>
    <row r="5843" spans="1:59" ht="57" x14ac:dyDescent="0.45">
      <c r="A5843" s="2" t="s">
        <v>59</v>
      </c>
      <c r="B5843" s="2" t="s">
        <v>60</v>
      </c>
      <c r="C5843" s="2" t="s">
        <v>56154</v>
      </c>
      <c r="D5843" s="2" t="s">
        <v>56155</v>
      </c>
      <c r="E5843" s="2" t="s">
        <v>56156</v>
      </c>
      <c r="G5843" s="3" t="s">
        <v>62</v>
      </c>
      <c r="I5843" s="3" t="s">
        <v>61</v>
      </c>
      <c r="J5843" s="3" t="s">
        <v>62</v>
      </c>
      <c r="K5843" s="3" t="s">
        <v>63</v>
      </c>
      <c r="L5843" s="2" t="s">
        <v>56157</v>
      </c>
      <c r="M5843" s="2" t="s">
        <v>56158</v>
      </c>
      <c r="N5843" s="3" t="s">
        <v>1212</v>
      </c>
      <c r="P5843" s="3" t="s">
        <v>65</v>
      </c>
      <c r="Q5843" s="2" t="s">
        <v>56159</v>
      </c>
      <c r="R5843" s="3" t="s">
        <v>66</v>
      </c>
      <c r="S5843" s="4">
        <v>51</v>
      </c>
      <c r="T5843" s="4">
        <v>58</v>
      </c>
      <c r="U5843" s="5" t="s">
        <v>5570</v>
      </c>
      <c r="V5843" s="5" t="s">
        <v>5570</v>
      </c>
      <c r="W5843" s="5" t="s">
        <v>67</v>
      </c>
      <c r="X5843" s="5" t="s">
        <v>67</v>
      </c>
      <c r="Y5843" s="4">
        <v>261</v>
      </c>
      <c r="Z5843" s="4">
        <v>15</v>
      </c>
      <c r="AA5843" s="4">
        <v>16</v>
      </c>
      <c r="AB5843" s="4">
        <v>1</v>
      </c>
      <c r="AC5843" s="4">
        <v>2</v>
      </c>
      <c r="AD5843" s="4">
        <v>79</v>
      </c>
      <c r="AE5843" s="4">
        <v>79</v>
      </c>
      <c r="AF5843" s="4">
        <v>0</v>
      </c>
      <c r="AG5843" s="4">
        <v>0</v>
      </c>
      <c r="AH5843" s="4">
        <v>72</v>
      </c>
      <c r="AI5843" s="4">
        <v>72</v>
      </c>
      <c r="AJ5843" s="4">
        <v>10</v>
      </c>
      <c r="AK5843" s="4">
        <v>10</v>
      </c>
      <c r="AL5843" s="4">
        <v>44</v>
      </c>
      <c r="AM5843" s="4">
        <v>44</v>
      </c>
      <c r="AN5843" s="4">
        <v>0</v>
      </c>
      <c r="AO5843" s="4">
        <v>0</v>
      </c>
      <c r="AP5843" s="4">
        <v>12</v>
      </c>
      <c r="AQ5843" s="4">
        <v>12</v>
      </c>
      <c r="AR5843" s="3" t="s">
        <v>62</v>
      </c>
      <c r="AS5843" s="3" t="s">
        <v>62</v>
      </c>
      <c r="AT5843" s="3" t="s">
        <v>62</v>
      </c>
      <c r="AV5843" s="6" t="str">
        <f>HYPERLINK("http://mcgill.on.worldcat.org/oclc/44045704","Catalog Record")</f>
        <v>Catalog Record</v>
      </c>
      <c r="AW5843" s="6" t="str">
        <f>HYPERLINK("http://www.worldcat.org/oclc/44045704","WorldCat Record")</f>
        <v>WorldCat Record</v>
      </c>
      <c r="AX5843" s="3" t="s">
        <v>56160</v>
      </c>
      <c r="AY5843" s="3" t="s">
        <v>56161</v>
      </c>
      <c r="AZ5843" s="3" t="s">
        <v>56162</v>
      </c>
      <c r="BA5843" s="3" t="s">
        <v>56162</v>
      </c>
      <c r="BB5843" s="3" t="s">
        <v>56163</v>
      </c>
      <c r="BC5843" s="3" t="s">
        <v>142</v>
      </c>
      <c r="BD5843" s="3" t="s">
        <v>68</v>
      </c>
      <c r="BE5843" s="3" t="s">
        <v>56164</v>
      </c>
      <c r="BF5843" s="3" t="s">
        <v>56163</v>
      </c>
      <c r="BG5843" s="3" t="s">
        <v>56165</v>
      </c>
    </row>
    <row r="5844" spans="1:59" ht="57" x14ac:dyDescent="0.45">
      <c r="A5844" s="2" t="s">
        <v>59</v>
      </c>
      <c r="B5844" s="2" t="s">
        <v>60</v>
      </c>
      <c r="C5844" s="2" t="s">
        <v>56154</v>
      </c>
      <c r="D5844" s="2" t="s">
        <v>56155</v>
      </c>
      <c r="E5844" s="2" t="s">
        <v>56156</v>
      </c>
      <c r="G5844" s="3" t="s">
        <v>62</v>
      </c>
      <c r="I5844" s="3" t="s">
        <v>61</v>
      </c>
      <c r="J5844" s="3" t="s">
        <v>62</v>
      </c>
      <c r="K5844" s="3" t="s">
        <v>63</v>
      </c>
      <c r="L5844" s="2" t="s">
        <v>56157</v>
      </c>
      <c r="M5844" s="2" t="s">
        <v>56158</v>
      </c>
      <c r="N5844" s="3" t="s">
        <v>1212</v>
      </c>
      <c r="P5844" s="3" t="s">
        <v>65</v>
      </c>
      <c r="Q5844" s="2" t="s">
        <v>56159</v>
      </c>
      <c r="R5844" s="3" t="s">
        <v>66</v>
      </c>
      <c r="S5844" s="4">
        <v>7</v>
      </c>
      <c r="T5844" s="4">
        <v>58</v>
      </c>
      <c r="U5844" s="5" t="s">
        <v>29958</v>
      </c>
      <c r="V5844" s="5" t="s">
        <v>5570</v>
      </c>
      <c r="W5844" s="5" t="s">
        <v>67</v>
      </c>
      <c r="X5844" s="5" t="s">
        <v>67</v>
      </c>
      <c r="Y5844" s="4">
        <v>261</v>
      </c>
      <c r="Z5844" s="4">
        <v>15</v>
      </c>
      <c r="AA5844" s="4">
        <v>16</v>
      </c>
      <c r="AB5844" s="4">
        <v>1</v>
      </c>
      <c r="AC5844" s="4">
        <v>2</v>
      </c>
      <c r="AD5844" s="4">
        <v>79</v>
      </c>
      <c r="AE5844" s="4">
        <v>79</v>
      </c>
      <c r="AF5844" s="4">
        <v>0</v>
      </c>
      <c r="AG5844" s="4">
        <v>0</v>
      </c>
      <c r="AH5844" s="4">
        <v>72</v>
      </c>
      <c r="AI5844" s="4">
        <v>72</v>
      </c>
      <c r="AJ5844" s="4">
        <v>10</v>
      </c>
      <c r="AK5844" s="4">
        <v>10</v>
      </c>
      <c r="AL5844" s="4">
        <v>44</v>
      </c>
      <c r="AM5844" s="4">
        <v>44</v>
      </c>
      <c r="AN5844" s="4">
        <v>0</v>
      </c>
      <c r="AO5844" s="4">
        <v>0</v>
      </c>
      <c r="AP5844" s="4">
        <v>12</v>
      </c>
      <c r="AQ5844" s="4">
        <v>12</v>
      </c>
      <c r="AR5844" s="3" t="s">
        <v>62</v>
      </c>
      <c r="AS5844" s="3" t="s">
        <v>62</v>
      </c>
      <c r="AT5844" s="3" t="s">
        <v>62</v>
      </c>
      <c r="AV5844" s="6" t="str">
        <f>HYPERLINK("http://mcgill.on.worldcat.org/oclc/44045704","Catalog Record")</f>
        <v>Catalog Record</v>
      </c>
      <c r="AW5844" s="6" t="str">
        <f>HYPERLINK("http://www.worldcat.org/oclc/44045704","WorldCat Record")</f>
        <v>WorldCat Record</v>
      </c>
      <c r="AX5844" s="3" t="s">
        <v>56160</v>
      </c>
      <c r="AY5844" s="3" t="s">
        <v>56161</v>
      </c>
      <c r="AZ5844" s="3" t="s">
        <v>56162</v>
      </c>
      <c r="BA5844" s="3" t="s">
        <v>56162</v>
      </c>
      <c r="BB5844" s="3" t="s">
        <v>56166</v>
      </c>
      <c r="BC5844" s="3" t="s">
        <v>142</v>
      </c>
      <c r="BD5844" s="3" t="s">
        <v>68</v>
      </c>
      <c r="BE5844" s="3" t="s">
        <v>56164</v>
      </c>
      <c r="BF5844" s="3" t="s">
        <v>56166</v>
      </c>
      <c r="BG5844" s="3" t="s">
        <v>56167</v>
      </c>
    </row>
    <row r="5845" spans="1:59" ht="57" x14ac:dyDescent="0.45">
      <c r="A5845" s="2" t="s">
        <v>59</v>
      </c>
      <c r="B5845" s="2" t="s">
        <v>60</v>
      </c>
      <c r="C5845" s="2" t="s">
        <v>56168</v>
      </c>
      <c r="D5845" s="2" t="s">
        <v>56169</v>
      </c>
      <c r="E5845" s="2" t="s">
        <v>56170</v>
      </c>
      <c r="G5845" s="3" t="s">
        <v>62</v>
      </c>
      <c r="I5845" s="3" t="s">
        <v>62</v>
      </c>
      <c r="J5845" s="3" t="s">
        <v>62</v>
      </c>
      <c r="K5845" s="3" t="s">
        <v>63</v>
      </c>
      <c r="M5845" s="2" t="s">
        <v>56171</v>
      </c>
      <c r="N5845" s="3" t="s">
        <v>167</v>
      </c>
      <c r="P5845" s="3" t="s">
        <v>110</v>
      </c>
      <c r="Q5845" s="2" t="s">
        <v>56172</v>
      </c>
      <c r="R5845" s="3" t="s">
        <v>66</v>
      </c>
      <c r="S5845" s="4">
        <v>74</v>
      </c>
      <c r="T5845" s="4">
        <v>74</v>
      </c>
      <c r="U5845" s="5" t="s">
        <v>1783</v>
      </c>
      <c r="V5845" s="5" t="s">
        <v>1783</v>
      </c>
      <c r="W5845" s="5" t="s">
        <v>67</v>
      </c>
      <c r="X5845" s="5" t="s">
        <v>67</v>
      </c>
      <c r="Y5845" s="4">
        <v>41</v>
      </c>
      <c r="Z5845" s="4">
        <v>5</v>
      </c>
      <c r="AA5845" s="4">
        <v>12</v>
      </c>
      <c r="AB5845" s="4">
        <v>1</v>
      </c>
      <c r="AC5845" s="4">
        <v>7</v>
      </c>
      <c r="AD5845" s="4">
        <v>13</v>
      </c>
      <c r="AE5845" s="4">
        <v>18</v>
      </c>
      <c r="AF5845" s="4">
        <v>0</v>
      </c>
      <c r="AG5845" s="4">
        <v>3</v>
      </c>
      <c r="AH5845" s="4">
        <v>12</v>
      </c>
      <c r="AI5845" s="4">
        <v>15</v>
      </c>
      <c r="AJ5845" s="4">
        <v>2</v>
      </c>
      <c r="AK5845" s="4">
        <v>5</v>
      </c>
      <c r="AL5845" s="4">
        <v>10</v>
      </c>
      <c r="AM5845" s="4">
        <v>11</v>
      </c>
      <c r="AN5845" s="4">
        <v>0</v>
      </c>
      <c r="AO5845" s="4">
        <v>0</v>
      </c>
      <c r="AP5845" s="4">
        <v>2</v>
      </c>
      <c r="AQ5845" s="4">
        <v>6</v>
      </c>
      <c r="AR5845" s="3" t="s">
        <v>62</v>
      </c>
      <c r="AS5845" s="3" t="s">
        <v>62</v>
      </c>
      <c r="AT5845" s="3" t="s">
        <v>62</v>
      </c>
      <c r="AV5845" s="6" t="str">
        <f>HYPERLINK("http://mcgill.on.worldcat.org/oclc/41648260","Catalog Record")</f>
        <v>Catalog Record</v>
      </c>
      <c r="AW5845" s="6" t="str">
        <f>HYPERLINK("http://www.worldcat.org/oclc/41648260","WorldCat Record")</f>
        <v>WorldCat Record</v>
      </c>
      <c r="AX5845" s="3" t="s">
        <v>56173</v>
      </c>
      <c r="AY5845" s="3" t="s">
        <v>56174</v>
      </c>
      <c r="AZ5845" s="3" t="s">
        <v>56175</v>
      </c>
      <c r="BA5845" s="3" t="s">
        <v>56175</v>
      </c>
      <c r="BB5845" s="3" t="s">
        <v>56176</v>
      </c>
      <c r="BC5845" s="3" t="s">
        <v>142</v>
      </c>
      <c r="BD5845" s="3" t="s">
        <v>68</v>
      </c>
      <c r="BE5845" s="3" t="s">
        <v>56177</v>
      </c>
      <c r="BF5845" s="3" t="s">
        <v>56176</v>
      </c>
      <c r="BG5845" s="3" t="s">
        <v>56178</v>
      </c>
    </row>
    <row r="5846" spans="1:59" ht="57" x14ac:dyDescent="0.45">
      <c r="A5846" s="2" t="s">
        <v>59</v>
      </c>
      <c r="B5846" s="2" t="s">
        <v>60</v>
      </c>
      <c r="C5846" s="2" t="s">
        <v>56179</v>
      </c>
      <c r="D5846" s="2" t="s">
        <v>56180</v>
      </c>
      <c r="E5846" s="2" t="s">
        <v>56181</v>
      </c>
      <c r="G5846" s="3" t="s">
        <v>62</v>
      </c>
      <c r="I5846" s="3" t="s">
        <v>62</v>
      </c>
      <c r="J5846" s="3" t="s">
        <v>62</v>
      </c>
      <c r="K5846" s="3" t="s">
        <v>63</v>
      </c>
      <c r="L5846" s="2" t="s">
        <v>56182</v>
      </c>
      <c r="M5846" s="2" t="s">
        <v>44468</v>
      </c>
      <c r="N5846" s="3" t="s">
        <v>149</v>
      </c>
      <c r="P5846" s="3" t="s">
        <v>65</v>
      </c>
      <c r="Q5846" s="2" t="s">
        <v>56183</v>
      </c>
      <c r="R5846" s="3" t="s">
        <v>66</v>
      </c>
      <c r="S5846" s="4">
        <v>1</v>
      </c>
      <c r="T5846" s="4">
        <v>1</v>
      </c>
      <c r="U5846" s="5" t="s">
        <v>56184</v>
      </c>
      <c r="V5846" s="5" t="s">
        <v>56184</v>
      </c>
      <c r="W5846" s="5" t="s">
        <v>67</v>
      </c>
      <c r="X5846" s="5" t="s">
        <v>67</v>
      </c>
      <c r="Y5846" s="4">
        <v>124</v>
      </c>
      <c r="Z5846" s="4">
        <v>12</v>
      </c>
      <c r="AA5846" s="4">
        <v>20</v>
      </c>
      <c r="AB5846" s="4">
        <v>1</v>
      </c>
      <c r="AC5846" s="4">
        <v>9</v>
      </c>
      <c r="AD5846" s="4">
        <v>58</v>
      </c>
      <c r="AE5846" s="4">
        <v>70</v>
      </c>
      <c r="AF5846" s="4">
        <v>0</v>
      </c>
      <c r="AG5846" s="4">
        <v>4</v>
      </c>
      <c r="AH5846" s="4">
        <v>55</v>
      </c>
      <c r="AI5846" s="4">
        <v>64</v>
      </c>
      <c r="AJ5846" s="4">
        <v>9</v>
      </c>
      <c r="AK5846" s="4">
        <v>12</v>
      </c>
      <c r="AL5846" s="4">
        <v>33</v>
      </c>
      <c r="AM5846" s="4">
        <v>40</v>
      </c>
      <c r="AN5846" s="4">
        <v>0</v>
      </c>
      <c r="AO5846" s="4">
        <v>0</v>
      </c>
      <c r="AP5846" s="4">
        <v>10</v>
      </c>
      <c r="AQ5846" s="4">
        <v>13</v>
      </c>
      <c r="AR5846" s="3" t="s">
        <v>62</v>
      </c>
      <c r="AS5846" s="3" t="s">
        <v>62</v>
      </c>
      <c r="AT5846" s="3" t="s">
        <v>62</v>
      </c>
      <c r="AV5846" s="6" t="str">
        <f>HYPERLINK("http://mcgill.on.worldcat.org/oclc/542263614","Catalog Record")</f>
        <v>Catalog Record</v>
      </c>
      <c r="AW5846" s="6" t="str">
        <f>HYPERLINK("http://www.worldcat.org/oclc/542263614","WorldCat Record")</f>
        <v>WorldCat Record</v>
      </c>
      <c r="AX5846" s="3" t="s">
        <v>56185</v>
      </c>
      <c r="AY5846" s="3" t="s">
        <v>56186</v>
      </c>
      <c r="AZ5846" s="3" t="s">
        <v>56187</v>
      </c>
      <c r="BA5846" s="3" t="s">
        <v>56187</v>
      </c>
      <c r="BB5846" s="3" t="s">
        <v>56188</v>
      </c>
      <c r="BC5846" s="3" t="s">
        <v>142</v>
      </c>
      <c r="BD5846" s="3" t="s">
        <v>68</v>
      </c>
      <c r="BE5846" s="3" t="s">
        <v>56189</v>
      </c>
      <c r="BF5846" s="3" t="s">
        <v>56188</v>
      </c>
      <c r="BG5846" s="3" t="s">
        <v>56190</v>
      </c>
    </row>
    <row r="5847" spans="1:59" ht="57" x14ac:dyDescent="0.45">
      <c r="A5847" s="2" t="s">
        <v>59</v>
      </c>
      <c r="B5847" s="2" t="s">
        <v>60</v>
      </c>
      <c r="C5847" s="2" t="s">
        <v>56191</v>
      </c>
      <c r="D5847" s="2" t="s">
        <v>56192</v>
      </c>
      <c r="E5847" s="2" t="s">
        <v>56193</v>
      </c>
      <c r="G5847" s="3" t="s">
        <v>62</v>
      </c>
      <c r="I5847" s="3" t="s">
        <v>62</v>
      </c>
      <c r="J5847" s="3" t="s">
        <v>62</v>
      </c>
      <c r="K5847" s="3" t="s">
        <v>63</v>
      </c>
      <c r="L5847" s="2" t="s">
        <v>42268</v>
      </c>
      <c r="M5847" s="2" t="s">
        <v>56194</v>
      </c>
      <c r="N5847" s="3" t="s">
        <v>149</v>
      </c>
      <c r="P5847" s="3" t="s">
        <v>65</v>
      </c>
      <c r="R5847" s="3" t="s">
        <v>66</v>
      </c>
      <c r="S5847" s="4">
        <v>0</v>
      </c>
      <c r="T5847" s="4">
        <v>0</v>
      </c>
      <c r="W5847" s="5" t="s">
        <v>67</v>
      </c>
      <c r="X5847" s="5" t="s">
        <v>67</v>
      </c>
      <c r="Y5847" s="4">
        <v>125</v>
      </c>
      <c r="Z5847" s="4">
        <v>15</v>
      </c>
      <c r="AA5847" s="4">
        <v>19</v>
      </c>
      <c r="AB5847" s="4">
        <v>1</v>
      </c>
      <c r="AC5847" s="4">
        <v>4</v>
      </c>
      <c r="AD5847" s="4">
        <v>66</v>
      </c>
      <c r="AE5847" s="4">
        <v>69</v>
      </c>
      <c r="AF5847" s="4">
        <v>0</v>
      </c>
      <c r="AG5847" s="4">
        <v>1</v>
      </c>
      <c r="AH5847" s="4">
        <v>61</v>
      </c>
      <c r="AI5847" s="4">
        <v>63</v>
      </c>
      <c r="AJ5847" s="4">
        <v>11</v>
      </c>
      <c r="AK5847" s="4">
        <v>13</v>
      </c>
      <c r="AL5847" s="4">
        <v>37</v>
      </c>
      <c r="AM5847" s="4">
        <v>37</v>
      </c>
      <c r="AN5847" s="4">
        <v>0</v>
      </c>
      <c r="AO5847" s="4">
        <v>0</v>
      </c>
      <c r="AP5847" s="4">
        <v>12</v>
      </c>
      <c r="AQ5847" s="4">
        <v>14</v>
      </c>
      <c r="AR5847" s="3" t="s">
        <v>62</v>
      </c>
      <c r="AS5847" s="3" t="s">
        <v>62</v>
      </c>
      <c r="AT5847" s="3" t="s">
        <v>62</v>
      </c>
      <c r="AV5847" s="6" t="str">
        <f>HYPERLINK("http://mcgill.on.worldcat.org/oclc/428030584","Catalog Record")</f>
        <v>Catalog Record</v>
      </c>
      <c r="AW5847" s="6" t="str">
        <f>HYPERLINK("http://www.worldcat.org/oclc/428030584","WorldCat Record")</f>
        <v>WorldCat Record</v>
      </c>
      <c r="AX5847" s="3" t="s">
        <v>56195</v>
      </c>
      <c r="AY5847" s="3" t="s">
        <v>56196</v>
      </c>
      <c r="AZ5847" s="3" t="s">
        <v>56197</v>
      </c>
      <c r="BA5847" s="3" t="s">
        <v>56197</v>
      </c>
      <c r="BB5847" s="3" t="s">
        <v>56198</v>
      </c>
      <c r="BC5847" s="3" t="s">
        <v>142</v>
      </c>
      <c r="BD5847" s="3" t="s">
        <v>68</v>
      </c>
      <c r="BE5847" s="3" t="s">
        <v>56199</v>
      </c>
      <c r="BF5847" s="3" t="s">
        <v>56198</v>
      </c>
      <c r="BG5847" s="3" t="s">
        <v>56200</v>
      </c>
    </row>
    <row r="5848" spans="1:59" ht="57" x14ac:dyDescent="0.45">
      <c r="A5848" s="2" t="s">
        <v>59</v>
      </c>
      <c r="B5848" s="2" t="s">
        <v>60</v>
      </c>
      <c r="C5848" s="2" t="s">
        <v>56201</v>
      </c>
      <c r="D5848" s="2" t="s">
        <v>56202</v>
      </c>
      <c r="E5848" s="2" t="s">
        <v>56203</v>
      </c>
      <c r="G5848" s="3" t="s">
        <v>62</v>
      </c>
      <c r="I5848" s="3" t="s">
        <v>62</v>
      </c>
      <c r="J5848" s="3" t="s">
        <v>62</v>
      </c>
      <c r="K5848" s="3" t="s">
        <v>63</v>
      </c>
      <c r="L5848" s="2" t="s">
        <v>25877</v>
      </c>
      <c r="M5848" s="2" t="s">
        <v>20407</v>
      </c>
      <c r="N5848" s="3" t="s">
        <v>1155</v>
      </c>
      <c r="P5848" s="3" t="s">
        <v>65</v>
      </c>
      <c r="Q5848" s="2" t="s">
        <v>4093</v>
      </c>
      <c r="R5848" s="3" t="s">
        <v>66</v>
      </c>
      <c r="S5848" s="4">
        <v>3</v>
      </c>
      <c r="T5848" s="4">
        <v>3</v>
      </c>
      <c r="U5848" s="5" t="s">
        <v>3817</v>
      </c>
      <c r="V5848" s="5" t="s">
        <v>3817</v>
      </c>
      <c r="W5848" s="5" t="s">
        <v>67</v>
      </c>
      <c r="X5848" s="5" t="s">
        <v>67</v>
      </c>
      <c r="Y5848" s="4">
        <v>130</v>
      </c>
      <c r="Z5848" s="4">
        <v>10</v>
      </c>
      <c r="AA5848" s="4">
        <v>12</v>
      </c>
      <c r="AB5848" s="4">
        <v>1</v>
      </c>
      <c r="AC5848" s="4">
        <v>2</v>
      </c>
      <c r="AD5848" s="4">
        <v>23</v>
      </c>
      <c r="AE5848" s="4">
        <v>26</v>
      </c>
      <c r="AF5848" s="4">
        <v>0</v>
      </c>
      <c r="AG5848" s="4">
        <v>1</v>
      </c>
      <c r="AH5848" s="4">
        <v>21</v>
      </c>
      <c r="AI5848" s="4">
        <v>22</v>
      </c>
      <c r="AJ5848" s="4">
        <v>8</v>
      </c>
      <c r="AK5848" s="4">
        <v>9</v>
      </c>
      <c r="AL5848" s="4">
        <v>10</v>
      </c>
      <c r="AM5848" s="4">
        <v>11</v>
      </c>
      <c r="AN5848" s="4">
        <v>0</v>
      </c>
      <c r="AO5848" s="4">
        <v>0</v>
      </c>
      <c r="AP5848" s="4">
        <v>8</v>
      </c>
      <c r="AQ5848" s="4">
        <v>10</v>
      </c>
      <c r="AR5848" s="3" t="s">
        <v>62</v>
      </c>
      <c r="AS5848" s="3" t="s">
        <v>62</v>
      </c>
      <c r="AT5848" s="3" t="s">
        <v>62</v>
      </c>
      <c r="AV5848" s="6" t="str">
        <f>HYPERLINK("http://mcgill.on.worldcat.org/oclc/706022677","Catalog Record")</f>
        <v>Catalog Record</v>
      </c>
      <c r="AW5848" s="6" t="str">
        <f>HYPERLINK("http://www.worldcat.org/oclc/706022677","WorldCat Record")</f>
        <v>WorldCat Record</v>
      </c>
      <c r="AX5848" s="3" t="s">
        <v>56204</v>
      </c>
      <c r="AY5848" s="3" t="s">
        <v>56205</v>
      </c>
      <c r="AZ5848" s="3" t="s">
        <v>56206</v>
      </c>
      <c r="BA5848" s="3" t="s">
        <v>56206</v>
      </c>
      <c r="BB5848" s="3" t="s">
        <v>56207</v>
      </c>
      <c r="BC5848" s="3" t="s">
        <v>142</v>
      </c>
      <c r="BD5848" s="3" t="s">
        <v>68</v>
      </c>
      <c r="BE5848" s="3" t="s">
        <v>56208</v>
      </c>
      <c r="BF5848" s="3" t="s">
        <v>56207</v>
      </c>
      <c r="BG5848" s="3" t="s">
        <v>56209</v>
      </c>
    </row>
    <row r="5849" spans="1:59" ht="57" x14ac:dyDescent="0.45">
      <c r="A5849" s="2" t="s">
        <v>59</v>
      </c>
      <c r="B5849" s="2" t="s">
        <v>60</v>
      </c>
      <c r="C5849" s="2" t="s">
        <v>56210</v>
      </c>
      <c r="D5849" s="2" t="s">
        <v>56211</v>
      </c>
      <c r="E5849" s="2" t="s">
        <v>56212</v>
      </c>
      <c r="G5849" s="3" t="s">
        <v>62</v>
      </c>
      <c r="I5849" s="3" t="s">
        <v>62</v>
      </c>
      <c r="J5849" s="3" t="s">
        <v>61</v>
      </c>
      <c r="K5849" s="3" t="s">
        <v>63</v>
      </c>
      <c r="L5849" s="2" t="s">
        <v>56213</v>
      </c>
      <c r="M5849" s="2" t="s">
        <v>13531</v>
      </c>
      <c r="N5849" s="3" t="s">
        <v>970</v>
      </c>
      <c r="P5849" s="3" t="s">
        <v>65</v>
      </c>
      <c r="R5849" s="3" t="s">
        <v>66</v>
      </c>
      <c r="S5849" s="4">
        <v>38</v>
      </c>
      <c r="T5849" s="4">
        <v>38</v>
      </c>
      <c r="U5849" s="5" t="s">
        <v>29958</v>
      </c>
      <c r="V5849" s="5" t="s">
        <v>29958</v>
      </c>
      <c r="W5849" s="5" t="s">
        <v>67</v>
      </c>
      <c r="X5849" s="5" t="s">
        <v>67</v>
      </c>
      <c r="Y5849" s="4">
        <v>333</v>
      </c>
      <c r="Z5849" s="4">
        <v>26</v>
      </c>
      <c r="AA5849" s="4">
        <v>60</v>
      </c>
      <c r="AB5849" s="4">
        <v>2</v>
      </c>
      <c r="AC5849" s="4">
        <v>9</v>
      </c>
      <c r="AD5849" s="4">
        <v>93</v>
      </c>
      <c r="AE5849" s="4">
        <v>109</v>
      </c>
      <c r="AF5849" s="4">
        <v>1</v>
      </c>
      <c r="AG5849" s="4">
        <v>3</v>
      </c>
      <c r="AH5849" s="4">
        <v>80</v>
      </c>
      <c r="AI5849" s="4">
        <v>88</v>
      </c>
      <c r="AJ5849" s="4">
        <v>17</v>
      </c>
      <c r="AK5849" s="4">
        <v>21</v>
      </c>
      <c r="AL5849" s="4">
        <v>42</v>
      </c>
      <c r="AM5849" s="4">
        <v>44</v>
      </c>
      <c r="AN5849" s="4">
        <v>0</v>
      </c>
      <c r="AO5849" s="4">
        <v>0</v>
      </c>
      <c r="AP5849" s="4">
        <v>22</v>
      </c>
      <c r="AQ5849" s="4">
        <v>31</v>
      </c>
      <c r="AR5849" s="3" t="s">
        <v>62</v>
      </c>
      <c r="AS5849" s="3" t="s">
        <v>62</v>
      </c>
      <c r="AT5849" s="3" t="s">
        <v>61</v>
      </c>
      <c r="AU5849" s="6" t="str">
        <f>HYPERLINK("http://catalog.hathitrust.org/Record/004289172","HathiTrust Record")</f>
        <v>HathiTrust Record</v>
      </c>
      <c r="AV5849" s="6" t="str">
        <f>HYPERLINK("http://mcgill.on.worldcat.org/oclc/51061925","Catalog Record")</f>
        <v>Catalog Record</v>
      </c>
      <c r="AW5849" s="6" t="str">
        <f>HYPERLINK("http://www.worldcat.org/oclc/51061925","WorldCat Record")</f>
        <v>WorldCat Record</v>
      </c>
      <c r="AX5849" s="3" t="s">
        <v>56214</v>
      </c>
      <c r="AY5849" s="3" t="s">
        <v>56215</v>
      </c>
      <c r="AZ5849" s="3" t="s">
        <v>56216</v>
      </c>
      <c r="BA5849" s="3" t="s">
        <v>56216</v>
      </c>
      <c r="BB5849" s="3" t="s">
        <v>56217</v>
      </c>
      <c r="BC5849" s="3" t="s">
        <v>142</v>
      </c>
      <c r="BD5849" s="3" t="s">
        <v>68</v>
      </c>
      <c r="BE5849" s="3" t="s">
        <v>56218</v>
      </c>
      <c r="BF5849" s="3" t="s">
        <v>56217</v>
      </c>
      <c r="BG5849" s="3" t="s">
        <v>56219</v>
      </c>
    </row>
    <row r="5850" spans="1:59" ht="57" x14ac:dyDescent="0.45">
      <c r="A5850" s="2" t="s">
        <v>59</v>
      </c>
      <c r="B5850" s="2" t="s">
        <v>60</v>
      </c>
      <c r="C5850" s="2" t="s">
        <v>56220</v>
      </c>
      <c r="D5850" s="2" t="s">
        <v>56221</v>
      </c>
      <c r="E5850" s="2" t="s">
        <v>56222</v>
      </c>
      <c r="G5850" s="3" t="s">
        <v>62</v>
      </c>
      <c r="I5850" s="3" t="s">
        <v>62</v>
      </c>
      <c r="J5850" s="3" t="s">
        <v>61</v>
      </c>
      <c r="K5850" s="3" t="s">
        <v>63</v>
      </c>
      <c r="L5850" s="2" t="s">
        <v>56213</v>
      </c>
      <c r="M5850" s="2" t="s">
        <v>26000</v>
      </c>
      <c r="N5850" s="3" t="s">
        <v>149</v>
      </c>
      <c r="P5850" s="3" t="s">
        <v>65</v>
      </c>
      <c r="R5850" s="3" t="s">
        <v>66</v>
      </c>
      <c r="S5850" s="4">
        <v>12</v>
      </c>
      <c r="T5850" s="4">
        <v>12</v>
      </c>
      <c r="U5850" s="5" t="s">
        <v>30617</v>
      </c>
      <c r="V5850" s="5" t="s">
        <v>30617</v>
      </c>
      <c r="W5850" s="5" t="s">
        <v>67</v>
      </c>
      <c r="X5850" s="5" t="s">
        <v>67</v>
      </c>
      <c r="Y5850" s="4">
        <v>3</v>
      </c>
      <c r="Z5850" s="4">
        <v>1</v>
      </c>
      <c r="AA5850" s="4">
        <v>60</v>
      </c>
      <c r="AB5850" s="4">
        <v>1</v>
      </c>
      <c r="AC5850" s="4">
        <v>9</v>
      </c>
      <c r="AD5850" s="4">
        <v>0</v>
      </c>
      <c r="AE5850" s="4">
        <v>109</v>
      </c>
      <c r="AF5850" s="4">
        <v>0</v>
      </c>
      <c r="AG5850" s="4">
        <v>3</v>
      </c>
      <c r="AH5850" s="4">
        <v>0</v>
      </c>
      <c r="AI5850" s="4">
        <v>88</v>
      </c>
      <c r="AJ5850" s="4">
        <v>0</v>
      </c>
      <c r="AK5850" s="4">
        <v>21</v>
      </c>
      <c r="AL5850" s="4">
        <v>0</v>
      </c>
      <c r="AM5850" s="4">
        <v>44</v>
      </c>
      <c r="AN5850" s="4">
        <v>0</v>
      </c>
      <c r="AO5850" s="4">
        <v>0</v>
      </c>
      <c r="AP5850" s="4">
        <v>0</v>
      </c>
      <c r="AQ5850" s="4">
        <v>31</v>
      </c>
      <c r="AR5850" s="3" t="s">
        <v>62</v>
      </c>
      <c r="AS5850" s="3" t="s">
        <v>62</v>
      </c>
      <c r="AT5850" s="3" t="s">
        <v>61</v>
      </c>
      <c r="AU5850" s="6" t="str">
        <f>HYPERLINK("http://catalog.hathitrust.org/Record/004289172","HathiTrust Record")</f>
        <v>HathiTrust Record</v>
      </c>
      <c r="AV5850" s="6" t="str">
        <f>HYPERLINK("http://mcgill.on.worldcat.org/oclc/671958278","Catalog Record")</f>
        <v>Catalog Record</v>
      </c>
      <c r="AW5850" s="6" t="str">
        <f>HYPERLINK("http://www.worldcat.org/oclc/671958278","WorldCat Record")</f>
        <v>WorldCat Record</v>
      </c>
      <c r="AX5850" s="3" t="s">
        <v>56214</v>
      </c>
      <c r="AY5850" s="3" t="s">
        <v>56223</v>
      </c>
      <c r="AZ5850" s="3" t="s">
        <v>56224</v>
      </c>
      <c r="BA5850" s="3" t="s">
        <v>56224</v>
      </c>
      <c r="BB5850" s="3" t="s">
        <v>56225</v>
      </c>
      <c r="BC5850" s="3" t="s">
        <v>142</v>
      </c>
      <c r="BD5850" s="3" t="s">
        <v>68</v>
      </c>
      <c r="BE5850" s="3" t="s">
        <v>56226</v>
      </c>
      <c r="BF5850" s="3" t="s">
        <v>56225</v>
      </c>
      <c r="BG5850" s="3" t="s">
        <v>56227</v>
      </c>
    </row>
    <row r="5851" spans="1:59" ht="57" x14ac:dyDescent="0.45">
      <c r="A5851" s="2" t="s">
        <v>59</v>
      </c>
      <c r="B5851" s="2" t="s">
        <v>60</v>
      </c>
      <c r="C5851" s="2" t="s">
        <v>56228</v>
      </c>
      <c r="D5851" s="2" t="s">
        <v>56229</v>
      </c>
      <c r="E5851" s="2" t="s">
        <v>56230</v>
      </c>
      <c r="G5851" s="3" t="s">
        <v>62</v>
      </c>
      <c r="I5851" s="3" t="s">
        <v>62</v>
      </c>
      <c r="J5851" s="3" t="s">
        <v>62</v>
      </c>
      <c r="K5851" s="3" t="s">
        <v>63</v>
      </c>
      <c r="M5851" s="2" t="s">
        <v>3925</v>
      </c>
      <c r="N5851" s="3" t="s">
        <v>149</v>
      </c>
      <c r="P5851" s="3" t="s">
        <v>65</v>
      </c>
      <c r="Q5851" s="2" t="s">
        <v>56231</v>
      </c>
      <c r="R5851" s="3" t="s">
        <v>66</v>
      </c>
      <c r="S5851" s="4">
        <v>0</v>
      </c>
      <c r="T5851" s="4">
        <v>0</v>
      </c>
      <c r="W5851" s="5" t="s">
        <v>67</v>
      </c>
      <c r="X5851" s="5" t="s">
        <v>67</v>
      </c>
      <c r="Y5851" s="4">
        <v>79</v>
      </c>
      <c r="Z5851" s="4">
        <v>8</v>
      </c>
      <c r="AA5851" s="4">
        <v>93</v>
      </c>
      <c r="AB5851" s="4">
        <v>2</v>
      </c>
      <c r="AC5851" s="4">
        <v>17</v>
      </c>
      <c r="AD5851" s="4">
        <v>31</v>
      </c>
      <c r="AE5851" s="4">
        <v>108</v>
      </c>
      <c r="AF5851" s="4">
        <v>1</v>
      </c>
      <c r="AG5851" s="4">
        <v>8</v>
      </c>
      <c r="AH5851" s="4">
        <v>28</v>
      </c>
      <c r="AI5851" s="4">
        <v>74</v>
      </c>
      <c r="AJ5851" s="4">
        <v>6</v>
      </c>
      <c r="AK5851" s="4">
        <v>20</v>
      </c>
      <c r="AL5851" s="4">
        <v>21</v>
      </c>
      <c r="AM5851" s="4">
        <v>40</v>
      </c>
      <c r="AN5851" s="4">
        <v>0</v>
      </c>
      <c r="AO5851" s="4">
        <v>0</v>
      </c>
      <c r="AP5851" s="4">
        <v>6</v>
      </c>
      <c r="AQ5851" s="4">
        <v>41</v>
      </c>
      <c r="AR5851" s="3" t="s">
        <v>62</v>
      </c>
      <c r="AS5851" s="3" t="s">
        <v>62</v>
      </c>
      <c r="AT5851" s="3" t="s">
        <v>62</v>
      </c>
      <c r="AV5851" s="6" t="str">
        <f>HYPERLINK("http://mcgill.on.worldcat.org/oclc/647977619","Catalog Record")</f>
        <v>Catalog Record</v>
      </c>
      <c r="AW5851" s="6" t="str">
        <f>HYPERLINK("http://www.worldcat.org/oclc/647977619","WorldCat Record")</f>
        <v>WorldCat Record</v>
      </c>
      <c r="AX5851" s="3" t="s">
        <v>56232</v>
      </c>
      <c r="AY5851" s="3" t="s">
        <v>56233</v>
      </c>
      <c r="AZ5851" s="3" t="s">
        <v>56234</v>
      </c>
      <c r="BA5851" s="3" t="s">
        <v>56234</v>
      </c>
      <c r="BB5851" s="3" t="s">
        <v>56235</v>
      </c>
      <c r="BC5851" s="3" t="s">
        <v>142</v>
      </c>
      <c r="BD5851" s="3" t="s">
        <v>68</v>
      </c>
      <c r="BE5851" s="3" t="s">
        <v>56236</v>
      </c>
      <c r="BF5851" s="3" t="s">
        <v>56235</v>
      </c>
      <c r="BG5851" s="3" t="s">
        <v>56237</v>
      </c>
    </row>
    <row r="5852" spans="1:59" ht="57" x14ac:dyDescent="0.45">
      <c r="A5852" s="2" t="s">
        <v>59</v>
      </c>
      <c r="B5852" s="2" t="s">
        <v>60</v>
      </c>
      <c r="C5852" s="2" t="s">
        <v>56238</v>
      </c>
      <c r="D5852" s="2" t="s">
        <v>56239</v>
      </c>
      <c r="E5852" s="2" t="s">
        <v>56240</v>
      </c>
      <c r="G5852" s="3" t="s">
        <v>62</v>
      </c>
      <c r="I5852" s="3" t="s">
        <v>62</v>
      </c>
      <c r="J5852" s="3" t="s">
        <v>62</v>
      </c>
      <c r="K5852" s="3" t="s">
        <v>63</v>
      </c>
      <c r="L5852" s="2" t="s">
        <v>56241</v>
      </c>
      <c r="M5852" s="2" t="s">
        <v>30953</v>
      </c>
      <c r="N5852" s="3" t="s">
        <v>894</v>
      </c>
      <c r="P5852" s="3" t="s">
        <v>65</v>
      </c>
      <c r="Q5852" s="2" t="s">
        <v>43468</v>
      </c>
      <c r="R5852" s="3" t="s">
        <v>66</v>
      </c>
      <c r="S5852" s="4">
        <v>1</v>
      </c>
      <c r="T5852" s="4">
        <v>1</v>
      </c>
      <c r="U5852" s="5" t="s">
        <v>21137</v>
      </c>
      <c r="V5852" s="5" t="s">
        <v>21137</v>
      </c>
      <c r="W5852" s="5" t="s">
        <v>67</v>
      </c>
      <c r="X5852" s="5" t="s">
        <v>67</v>
      </c>
      <c r="Y5852" s="4">
        <v>115</v>
      </c>
      <c r="Z5852" s="4">
        <v>11</v>
      </c>
      <c r="AA5852" s="4">
        <v>18</v>
      </c>
      <c r="AB5852" s="4">
        <v>1</v>
      </c>
      <c r="AC5852" s="4">
        <v>3</v>
      </c>
      <c r="AD5852" s="4">
        <v>58</v>
      </c>
      <c r="AE5852" s="4">
        <v>70</v>
      </c>
      <c r="AF5852" s="4">
        <v>0</v>
      </c>
      <c r="AG5852" s="4">
        <v>1</v>
      </c>
      <c r="AH5852" s="4">
        <v>55</v>
      </c>
      <c r="AI5852" s="4">
        <v>64</v>
      </c>
      <c r="AJ5852" s="4">
        <v>8</v>
      </c>
      <c r="AK5852" s="4">
        <v>12</v>
      </c>
      <c r="AL5852" s="4">
        <v>35</v>
      </c>
      <c r="AM5852" s="4">
        <v>39</v>
      </c>
      <c r="AN5852" s="4">
        <v>0</v>
      </c>
      <c r="AO5852" s="4">
        <v>0</v>
      </c>
      <c r="AP5852" s="4">
        <v>9</v>
      </c>
      <c r="AQ5852" s="4">
        <v>15</v>
      </c>
      <c r="AR5852" s="3" t="s">
        <v>62</v>
      </c>
      <c r="AS5852" s="3" t="s">
        <v>62</v>
      </c>
      <c r="AT5852" s="3" t="s">
        <v>62</v>
      </c>
      <c r="AV5852" s="6" t="str">
        <f>HYPERLINK("http://mcgill.on.worldcat.org/oclc/694395520","Catalog Record")</f>
        <v>Catalog Record</v>
      </c>
      <c r="AW5852" s="6" t="str">
        <f>HYPERLINK("http://www.worldcat.org/oclc/694395520","WorldCat Record")</f>
        <v>WorldCat Record</v>
      </c>
      <c r="AX5852" s="3" t="s">
        <v>56242</v>
      </c>
      <c r="AY5852" s="3" t="s">
        <v>56243</v>
      </c>
      <c r="AZ5852" s="3" t="s">
        <v>56244</v>
      </c>
      <c r="BA5852" s="3" t="s">
        <v>56244</v>
      </c>
      <c r="BB5852" s="3" t="s">
        <v>56245</v>
      </c>
      <c r="BC5852" s="3" t="s">
        <v>142</v>
      </c>
      <c r="BD5852" s="3" t="s">
        <v>68</v>
      </c>
      <c r="BE5852" s="3" t="s">
        <v>56246</v>
      </c>
      <c r="BF5852" s="3" t="s">
        <v>56245</v>
      </c>
      <c r="BG5852" s="3" t="s">
        <v>56247</v>
      </c>
    </row>
    <row r="5853" spans="1:59" ht="57" x14ac:dyDescent="0.45">
      <c r="A5853" s="2" t="s">
        <v>59</v>
      </c>
      <c r="B5853" s="2" t="s">
        <v>60</v>
      </c>
      <c r="C5853" s="2" t="s">
        <v>56248</v>
      </c>
      <c r="D5853" s="2" t="s">
        <v>56249</v>
      </c>
      <c r="E5853" s="2" t="s">
        <v>56250</v>
      </c>
      <c r="G5853" s="3" t="s">
        <v>62</v>
      </c>
      <c r="I5853" s="3" t="s">
        <v>62</v>
      </c>
      <c r="J5853" s="3" t="s">
        <v>62</v>
      </c>
      <c r="K5853" s="3" t="s">
        <v>63</v>
      </c>
      <c r="L5853" s="2" t="s">
        <v>56251</v>
      </c>
      <c r="M5853" s="2" t="s">
        <v>56252</v>
      </c>
      <c r="N5853" s="3" t="s">
        <v>1465</v>
      </c>
      <c r="P5853" s="3" t="s">
        <v>110</v>
      </c>
      <c r="R5853" s="3" t="s">
        <v>66</v>
      </c>
      <c r="S5853" s="4">
        <v>1</v>
      </c>
      <c r="T5853" s="4">
        <v>1</v>
      </c>
      <c r="U5853" s="5" t="s">
        <v>158</v>
      </c>
      <c r="V5853" s="5" t="s">
        <v>158</v>
      </c>
      <c r="W5853" s="5" t="s">
        <v>67</v>
      </c>
      <c r="X5853" s="5" t="s">
        <v>67</v>
      </c>
      <c r="Y5853" s="4">
        <v>18</v>
      </c>
      <c r="Z5853" s="4">
        <v>7</v>
      </c>
      <c r="AA5853" s="4">
        <v>13</v>
      </c>
      <c r="AB5853" s="4">
        <v>3</v>
      </c>
      <c r="AC5853" s="4">
        <v>6</v>
      </c>
      <c r="AD5853" s="4">
        <v>7</v>
      </c>
      <c r="AE5853" s="4">
        <v>13</v>
      </c>
      <c r="AF5853" s="4">
        <v>0</v>
      </c>
      <c r="AG5853" s="4">
        <v>3</v>
      </c>
      <c r="AH5853" s="4">
        <v>6</v>
      </c>
      <c r="AI5853" s="4">
        <v>10</v>
      </c>
      <c r="AJ5853" s="4">
        <v>3</v>
      </c>
      <c r="AK5853" s="4">
        <v>9</v>
      </c>
      <c r="AL5853" s="4">
        <v>4</v>
      </c>
      <c r="AM5853" s="4">
        <v>4</v>
      </c>
      <c r="AN5853" s="4">
        <v>0</v>
      </c>
      <c r="AO5853" s="4">
        <v>0</v>
      </c>
      <c r="AP5853" s="4">
        <v>3</v>
      </c>
      <c r="AQ5853" s="4">
        <v>9</v>
      </c>
      <c r="AR5853" s="3" t="s">
        <v>62</v>
      </c>
      <c r="AS5853" s="3" t="s">
        <v>62</v>
      </c>
      <c r="AT5853" s="3" t="s">
        <v>62</v>
      </c>
      <c r="AV5853" s="6" t="str">
        <f>HYPERLINK("http://mcgill.on.worldcat.org/oclc/428648541","Catalog Record")</f>
        <v>Catalog Record</v>
      </c>
      <c r="AW5853" s="6" t="str">
        <f>HYPERLINK("http://www.worldcat.org/oclc/428648541","WorldCat Record")</f>
        <v>WorldCat Record</v>
      </c>
      <c r="AX5853" s="3" t="s">
        <v>56253</v>
      </c>
      <c r="AY5853" s="3" t="s">
        <v>56254</v>
      </c>
      <c r="AZ5853" s="3" t="s">
        <v>56255</v>
      </c>
      <c r="BA5853" s="3" t="s">
        <v>56255</v>
      </c>
      <c r="BB5853" s="3" t="s">
        <v>56256</v>
      </c>
      <c r="BC5853" s="3" t="s">
        <v>142</v>
      </c>
      <c r="BD5853" s="3" t="s">
        <v>68</v>
      </c>
      <c r="BE5853" s="3" t="s">
        <v>56257</v>
      </c>
      <c r="BF5853" s="3" t="s">
        <v>56256</v>
      </c>
      <c r="BG5853" s="3" t="s">
        <v>56258</v>
      </c>
    </row>
    <row r="5854" spans="1:59" ht="57" x14ac:dyDescent="0.45">
      <c r="A5854" s="2" t="s">
        <v>59</v>
      </c>
      <c r="B5854" s="2" t="s">
        <v>60</v>
      </c>
      <c r="C5854" s="2" t="s">
        <v>56259</v>
      </c>
      <c r="D5854" s="2" t="s">
        <v>56260</v>
      </c>
      <c r="E5854" s="2" t="s">
        <v>56261</v>
      </c>
      <c r="G5854" s="3" t="s">
        <v>62</v>
      </c>
      <c r="I5854" s="3" t="s">
        <v>62</v>
      </c>
      <c r="J5854" s="3" t="s">
        <v>62</v>
      </c>
      <c r="K5854" s="3" t="s">
        <v>63</v>
      </c>
      <c r="M5854" s="2" t="s">
        <v>49543</v>
      </c>
      <c r="N5854" s="3" t="s">
        <v>820</v>
      </c>
      <c r="P5854" s="3" t="s">
        <v>65</v>
      </c>
      <c r="Q5854" s="2" t="s">
        <v>56262</v>
      </c>
      <c r="R5854" s="3" t="s">
        <v>66</v>
      </c>
      <c r="S5854" s="4">
        <v>1</v>
      </c>
      <c r="T5854" s="4">
        <v>1</v>
      </c>
      <c r="U5854" s="5" t="s">
        <v>509</v>
      </c>
      <c r="V5854" s="5" t="s">
        <v>509</v>
      </c>
      <c r="W5854" s="5" t="s">
        <v>67</v>
      </c>
      <c r="X5854" s="5" t="s">
        <v>67</v>
      </c>
      <c r="Y5854" s="4">
        <v>122</v>
      </c>
      <c r="Z5854" s="4">
        <v>8</v>
      </c>
      <c r="AA5854" s="4">
        <v>90</v>
      </c>
      <c r="AB5854" s="4">
        <v>1</v>
      </c>
      <c r="AC5854" s="4">
        <v>17</v>
      </c>
      <c r="AD5854" s="4">
        <v>44</v>
      </c>
      <c r="AE5854" s="4">
        <v>114</v>
      </c>
      <c r="AF5854" s="4">
        <v>0</v>
      </c>
      <c r="AG5854" s="4">
        <v>8</v>
      </c>
      <c r="AH5854" s="4">
        <v>41</v>
      </c>
      <c r="AI5854" s="4">
        <v>78</v>
      </c>
      <c r="AJ5854" s="4">
        <v>6</v>
      </c>
      <c r="AK5854" s="4">
        <v>23</v>
      </c>
      <c r="AL5854" s="4">
        <v>28</v>
      </c>
      <c r="AM5854" s="4">
        <v>40</v>
      </c>
      <c r="AN5854" s="4">
        <v>0</v>
      </c>
      <c r="AO5854" s="4">
        <v>0</v>
      </c>
      <c r="AP5854" s="4">
        <v>6</v>
      </c>
      <c r="AQ5854" s="4">
        <v>44</v>
      </c>
      <c r="AR5854" s="3" t="s">
        <v>62</v>
      </c>
      <c r="AS5854" s="3" t="s">
        <v>62</v>
      </c>
      <c r="AT5854" s="3" t="s">
        <v>62</v>
      </c>
      <c r="AV5854" s="6" t="str">
        <f>HYPERLINK("http://mcgill.on.worldcat.org/oclc/191207154","Catalog Record")</f>
        <v>Catalog Record</v>
      </c>
      <c r="AW5854" s="6" t="str">
        <f>HYPERLINK("http://www.worldcat.org/oclc/191207154","WorldCat Record")</f>
        <v>WorldCat Record</v>
      </c>
      <c r="AX5854" s="3" t="s">
        <v>56263</v>
      </c>
      <c r="AY5854" s="3" t="s">
        <v>56264</v>
      </c>
      <c r="AZ5854" s="3" t="s">
        <v>56265</v>
      </c>
      <c r="BA5854" s="3" t="s">
        <v>56265</v>
      </c>
      <c r="BB5854" s="3" t="s">
        <v>56266</v>
      </c>
      <c r="BC5854" s="3" t="s">
        <v>142</v>
      </c>
      <c r="BD5854" s="3" t="s">
        <v>68</v>
      </c>
      <c r="BE5854" s="3" t="s">
        <v>56267</v>
      </c>
      <c r="BF5854" s="3" t="s">
        <v>56266</v>
      </c>
      <c r="BG5854" s="3" t="s">
        <v>56268</v>
      </c>
    </row>
    <row r="5855" spans="1:59" ht="57" x14ac:dyDescent="0.45">
      <c r="A5855" s="2" t="s">
        <v>59</v>
      </c>
      <c r="B5855" s="2" t="s">
        <v>60</v>
      </c>
      <c r="C5855" s="2" t="s">
        <v>56269</v>
      </c>
      <c r="D5855" s="2" t="s">
        <v>56270</v>
      </c>
      <c r="E5855" s="2" t="s">
        <v>56271</v>
      </c>
      <c r="G5855" s="3" t="s">
        <v>62</v>
      </c>
      <c r="I5855" s="3" t="s">
        <v>62</v>
      </c>
      <c r="J5855" s="3" t="s">
        <v>62</v>
      </c>
      <c r="K5855" s="3" t="s">
        <v>63</v>
      </c>
      <c r="M5855" s="2" t="s">
        <v>56272</v>
      </c>
      <c r="N5855" s="3" t="s">
        <v>970</v>
      </c>
      <c r="P5855" s="3" t="s">
        <v>65</v>
      </c>
      <c r="R5855" s="3" t="s">
        <v>66</v>
      </c>
      <c r="S5855" s="4">
        <v>3</v>
      </c>
      <c r="T5855" s="4">
        <v>3</v>
      </c>
      <c r="U5855" s="5" t="s">
        <v>3656</v>
      </c>
      <c r="V5855" s="5" t="s">
        <v>3656</v>
      </c>
      <c r="W5855" s="5" t="s">
        <v>67</v>
      </c>
      <c r="X5855" s="5" t="s">
        <v>67</v>
      </c>
      <c r="Y5855" s="4">
        <v>74</v>
      </c>
      <c r="Z5855" s="4">
        <v>3</v>
      </c>
      <c r="AA5855" s="4">
        <v>3</v>
      </c>
      <c r="AB5855" s="4">
        <v>1</v>
      </c>
      <c r="AC5855" s="4">
        <v>1</v>
      </c>
      <c r="AD5855" s="4">
        <v>17</v>
      </c>
      <c r="AE5855" s="4">
        <v>17</v>
      </c>
      <c r="AF5855" s="4">
        <v>0</v>
      </c>
      <c r="AG5855" s="4">
        <v>0</v>
      </c>
      <c r="AH5855" s="4">
        <v>17</v>
      </c>
      <c r="AI5855" s="4">
        <v>17</v>
      </c>
      <c r="AJ5855" s="4">
        <v>1</v>
      </c>
      <c r="AK5855" s="4">
        <v>1</v>
      </c>
      <c r="AL5855" s="4">
        <v>11</v>
      </c>
      <c r="AM5855" s="4">
        <v>11</v>
      </c>
      <c r="AN5855" s="4">
        <v>0</v>
      </c>
      <c r="AO5855" s="4">
        <v>0</v>
      </c>
      <c r="AP5855" s="4">
        <v>1</v>
      </c>
      <c r="AQ5855" s="4">
        <v>1</v>
      </c>
      <c r="AR5855" s="3" t="s">
        <v>62</v>
      </c>
      <c r="AS5855" s="3" t="s">
        <v>62</v>
      </c>
      <c r="AT5855" s="3" t="s">
        <v>61</v>
      </c>
      <c r="AU5855" s="6" t="str">
        <f>HYPERLINK("http://catalog.hathitrust.org/Record/004298125","HathiTrust Record")</f>
        <v>HathiTrust Record</v>
      </c>
      <c r="AV5855" s="6" t="str">
        <f>HYPERLINK("http://mcgill.on.worldcat.org/oclc/50322868","Catalog Record")</f>
        <v>Catalog Record</v>
      </c>
      <c r="AW5855" s="6" t="str">
        <f>HYPERLINK("http://www.worldcat.org/oclc/50322868","WorldCat Record")</f>
        <v>WorldCat Record</v>
      </c>
      <c r="AX5855" s="3" t="s">
        <v>56273</v>
      </c>
      <c r="AY5855" s="3" t="s">
        <v>56274</v>
      </c>
      <c r="AZ5855" s="3" t="s">
        <v>56275</v>
      </c>
      <c r="BA5855" s="3" t="s">
        <v>56275</v>
      </c>
      <c r="BB5855" s="3" t="s">
        <v>56276</v>
      </c>
      <c r="BC5855" s="3" t="s">
        <v>142</v>
      </c>
      <c r="BD5855" s="3" t="s">
        <v>68</v>
      </c>
      <c r="BE5855" s="3" t="s">
        <v>56277</v>
      </c>
      <c r="BF5855" s="3" t="s">
        <v>56276</v>
      </c>
      <c r="BG5855" s="3" t="s">
        <v>56278</v>
      </c>
    </row>
    <row r="5856" spans="1:59" ht="57" x14ac:dyDescent="0.45">
      <c r="A5856" s="2" t="s">
        <v>59</v>
      </c>
      <c r="B5856" s="2" t="s">
        <v>60</v>
      </c>
      <c r="C5856" s="2" t="s">
        <v>56279</v>
      </c>
      <c r="D5856" s="2" t="s">
        <v>56280</v>
      </c>
      <c r="E5856" s="2" t="s">
        <v>56281</v>
      </c>
      <c r="G5856" s="3" t="s">
        <v>62</v>
      </c>
      <c r="I5856" s="3" t="s">
        <v>62</v>
      </c>
      <c r="J5856" s="3" t="s">
        <v>62</v>
      </c>
      <c r="K5856" s="3" t="s">
        <v>63</v>
      </c>
      <c r="L5856" s="2" t="s">
        <v>56282</v>
      </c>
      <c r="M5856" s="2" t="s">
        <v>56283</v>
      </c>
      <c r="N5856" s="3" t="s">
        <v>958</v>
      </c>
      <c r="P5856" s="3" t="s">
        <v>65</v>
      </c>
      <c r="R5856" s="3" t="s">
        <v>66</v>
      </c>
      <c r="S5856" s="4">
        <v>10</v>
      </c>
      <c r="T5856" s="4">
        <v>10</v>
      </c>
      <c r="U5856" s="5" t="s">
        <v>8465</v>
      </c>
      <c r="V5856" s="5" t="s">
        <v>8465</v>
      </c>
      <c r="W5856" s="5" t="s">
        <v>67</v>
      </c>
      <c r="X5856" s="5" t="s">
        <v>67</v>
      </c>
      <c r="Y5856" s="4">
        <v>212</v>
      </c>
      <c r="Z5856" s="4">
        <v>15</v>
      </c>
      <c r="AA5856" s="4">
        <v>24</v>
      </c>
      <c r="AB5856" s="4">
        <v>1</v>
      </c>
      <c r="AC5856" s="4">
        <v>4</v>
      </c>
      <c r="AD5856" s="4">
        <v>77</v>
      </c>
      <c r="AE5856" s="4">
        <v>80</v>
      </c>
      <c r="AF5856" s="4">
        <v>0</v>
      </c>
      <c r="AG5856" s="4">
        <v>1</v>
      </c>
      <c r="AH5856" s="4">
        <v>72</v>
      </c>
      <c r="AI5856" s="4">
        <v>72</v>
      </c>
      <c r="AJ5856" s="4">
        <v>11</v>
      </c>
      <c r="AK5856" s="4">
        <v>12</v>
      </c>
      <c r="AL5856" s="4">
        <v>41</v>
      </c>
      <c r="AM5856" s="4">
        <v>41</v>
      </c>
      <c r="AN5856" s="4">
        <v>0</v>
      </c>
      <c r="AO5856" s="4">
        <v>0</v>
      </c>
      <c r="AP5856" s="4">
        <v>12</v>
      </c>
      <c r="AQ5856" s="4">
        <v>14</v>
      </c>
      <c r="AR5856" s="3" t="s">
        <v>62</v>
      </c>
      <c r="AS5856" s="3" t="s">
        <v>62</v>
      </c>
      <c r="AT5856" s="3" t="s">
        <v>61</v>
      </c>
      <c r="AU5856" s="6" t="str">
        <f>HYPERLINK("http://catalog.hathitrust.org/Record/002989300","HathiTrust Record")</f>
        <v>HathiTrust Record</v>
      </c>
      <c r="AV5856" s="6" t="str">
        <f>HYPERLINK("http://mcgill.on.worldcat.org/oclc/31969716","Catalog Record")</f>
        <v>Catalog Record</v>
      </c>
      <c r="AW5856" s="6" t="str">
        <f>HYPERLINK("http://www.worldcat.org/oclc/31969716","WorldCat Record")</f>
        <v>WorldCat Record</v>
      </c>
      <c r="AX5856" s="3" t="s">
        <v>56284</v>
      </c>
      <c r="AY5856" s="3" t="s">
        <v>56285</v>
      </c>
      <c r="AZ5856" s="3" t="s">
        <v>56286</v>
      </c>
      <c r="BA5856" s="3" t="s">
        <v>56286</v>
      </c>
      <c r="BB5856" s="3" t="s">
        <v>56287</v>
      </c>
      <c r="BC5856" s="3" t="s">
        <v>142</v>
      </c>
      <c r="BD5856" s="3" t="s">
        <v>68</v>
      </c>
      <c r="BE5856" s="3" t="s">
        <v>56288</v>
      </c>
      <c r="BF5856" s="3" t="s">
        <v>56287</v>
      </c>
      <c r="BG5856" s="3" t="s">
        <v>56289</v>
      </c>
    </row>
    <row r="5857" spans="1:59" ht="57" x14ac:dyDescent="0.45">
      <c r="A5857" s="2" t="s">
        <v>59</v>
      </c>
      <c r="B5857" s="2" t="s">
        <v>60</v>
      </c>
      <c r="C5857" s="2" t="s">
        <v>56290</v>
      </c>
      <c r="D5857" s="2" t="s">
        <v>56291</v>
      </c>
      <c r="E5857" s="2" t="s">
        <v>56292</v>
      </c>
      <c r="G5857" s="3" t="s">
        <v>62</v>
      </c>
      <c r="I5857" s="3" t="s">
        <v>61</v>
      </c>
      <c r="J5857" s="3" t="s">
        <v>62</v>
      </c>
      <c r="K5857" s="3" t="s">
        <v>63</v>
      </c>
      <c r="M5857" s="2" t="s">
        <v>56293</v>
      </c>
      <c r="N5857" s="3" t="s">
        <v>958</v>
      </c>
      <c r="P5857" s="3" t="s">
        <v>65</v>
      </c>
      <c r="Q5857" s="2" t="s">
        <v>56294</v>
      </c>
      <c r="R5857" s="3" t="s">
        <v>66</v>
      </c>
      <c r="S5857" s="4">
        <v>6</v>
      </c>
      <c r="T5857" s="4">
        <v>23</v>
      </c>
      <c r="U5857" s="5" t="s">
        <v>20577</v>
      </c>
      <c r="V5857" s="5" t="s">
        <v>20577</v>
      </c>
      <c r="W5857" s="5" t="s">
        <v>67</v>
      </c>
      <c r="X5857" s="5" t="s">
        <v>67</v>
      </c>
      <c r="Y5857" s="4">
        <v>243</v>
      </c>
      <c r="Z5857" s="4">
        <v>22</v>
      </c>
      <c r="AA5857" s="4">
        <v>120</v>
      </c>
      <c r="AB5857" s="4">
        <v>1</v>
      </c>
      <c r="AC5857" s="4">
        <v>22</v>
      </c>
      <c r="AD5857" s="4">
        <v>59</v>
      </c>
      <c r="AE5857" s="4">
        <v>125</v>
      </c>
      <c r="AF5857" s="4">
        <v>0</v>
      </c>
      <c r="AG5857" s="4">
        <v>9</v>
      </c>
      <c r="AH5857" s="4">
        <v>46</v>
      </c>
      <c r="AI5857" s="4">
        <v>77</v>
      </c>
      <c r="AJ5857" s="4">
        <v>10</v>
      </c>
      <c r="AK5857" s="4">
        <v>26</v>
      </c>
      <c r="AL5857" s="4">
        <v>25</v>
      </c>
      <c r="AM5857" s="4">
        <v>37</v>
      </c>
      <c r="AN5857" s="4">
        <v>0</v>
      </c>
      <c r="AO5857" s="4">
        <v>0</v>
      </c>
      <c r="AP5857" s="4">
        <v>17</v>
      </c>
      <c r="AQ5857" s="4">
        <v>56</v>
      </c>
      <c r="AR5857" s="3" t="s">
        <v>62</v>
      </c>
      <c r="AS5857" s="3" t="s">
        <v>62</v>
      </c>
      <c r="AT5857" s="3" t="s">
        <v>62</v>
      </c>
      <c r="AV5857" s="6" t="str">
        <f>HYPERLINK("http://mcgill.on.worldcat.org/oclc/32673201","Catalog Record")</f>
        <v>Catalog Record</v>
      </c>
      <c r="AW5857" s="6" t="str">
        <f>HYPERLINK("http://www.worldcat.org/oclc/32673201","WorldCat Record")</f>
        <v>WorldCat Record</v>
      </c>
      <c r="AX5857" s="3" t="s">
        <v>56295</v>
      </c>
      <c r="AY5857" s="3" t="s">
        <v>56296</v>
      </c>
      <c r="AZ5857" s="3" t="s">
        <v>56297</v>
      </c>
      <c r="BA5857" s="3" t="s">
        <v>56297</v>
      </c>
      <c r="BB5857" s="3" t="s">
        <v>56298</v>
      </c>
      <c r="BC5857" s="3" t="s">
        <v>142</v>
      </c>
      <c r="BD5857" s="3" t="s">
        <v>68</v>
      </c>
      <c r="BE5857" s="3" t="s">
        <v>56299</v>
      </c>
      <c r="BF5857" s="3" t="s">
        <v>56298</v>
      </c>
      <c r="BG5857" s="3" t="s">
        <v>56300</v>
      </c>
    </row>
    <row r="5858" spans="1:59" ht="57" x14ac:dyDescent="0.45">
      <c r="A5858" s="2" t="s">
        <v>59</v>
      </c>
      <c r="B5858" s="2" t="s">
        <v>60</v>
      </c>
      <c r="C5858" s="2" t="s">
        <v>56301</v>
      </c>
      <c r="D5858" s="2" t="s">
        <v>56302</v>
      </c>
      <c r="E5858" s="2" t="s">
        <v>56303</v>
      </c>
      <c r="G5858" s="3" t="s">
        <v>62</v>
      </c>
      <c r="I5858" s="3" t="s">
        <v>62</v>
      </c>
      <c r="J5858" s="3" t="s">
        <v>62</v>
      </c>
      <c r="K5858" s="3" t="s">
        <v>63</v>
      </c>
      <c r="L5858" s="2" t="s">
        <v>56304</v>
      </c>
      <c r="M5858" s="2" t="s">
        <v>45124</v>
      </c>
      <c r="N5858" s="3" t="s">
        <v>1097</v>
      </c>
      <c r="P5858" s="3" t="s">
        <v>65</v>
      </c>
      <c r="Q5858" s="2" t="s">
        <v>56305</v>
      </c>
      <c r="R5858" s="3" t="s">
        <v>66</v>
      </c>
      <c r="S5858" s="4">
        <v>65</v>
      </c>
      <c r="T5858" s="4">
        <v>65</v>
      </c>
      <c r="U5858" s="5" t="s">
        <v>28941</v>
      </c>
      <c r="V5858" s="5" t="s">
        <v>28941</v>
      </c>
      <c r="W5858" s="5" t="s">
        <v>67</v>
      </c>
      <c r="X5858" s="5" t="s">
        <v>67</v>
      </c>
      <c r="Y5858" s="4">
        <v>183</v>
      </c>
      <c r="Z5858" s="4">
        <v>15</v>
      </c>
      <c r="AA5858" s="4">
        <v>93</v>
      </c>
      <c r="AB5858" s="4">
        <v>2</v>
      </c>
      <c r="AC5858" s="4">
        <v>17</v>
      </c>
      <c r="AD5858" s="4">
        <v>61</v>
      </c>
      <c r="AE5858" s="4">
        <v>119</v>
      </c>
      <c r="AF5858" s="4">
        <v>1</v>
      </c>
      <c r="AG5858" s="4">
        <v>8</v>
      </c>
      <c r="AH5858" s="4">
        <v>53</v>
      </c>
      <c r="AI5858" s="4">
        <v>81</v>
      </c>
      <c r="AJ5858" s="4">
        <v>12</v>
      </c>
      <c r="AK5858" s="4">
        <v>23</v>
      </c>
      <c r="AL5858" s="4">
        <v>31</v>
      </c>
      <c r="AM5858" s="4">
        <v>42</v>
      </c>
      <c r="AN5858" s="4">
        <v>0</v>
      </c>
      <c r="AO5858" s="4">
        <v>0</v>
      </c>
      <c r="AP5858" s="4">
        <v>14</v>
      </c>
      <c r="AQ5858" s="4">
        <v>46</v>
      </c>
      <c r="AR5858" s="3" t="s">
        <v>62</v>
      </c>
      <c r="AS5858" s="3" t="s">
        <v>62</v>
      </c>
      <c r="AT5858" s="3" t="s">
        <v>61</v>
      </c>
      <c r="AU5858" s="6" t="str">
        <f>HYPERLINK("http://catalog.hathitrust.org/Record/004925520","HathiTrust Record")</f>
        <v>HathiTrust Record</v>
      </c>
      <c r="AV5858" s="6" t="str">
        <f>HYPERLINK("http://mcgill.on.worldcat.org/oclc/56657714","Catalog Record")</f>
        <v>Catalog Record</v>
      </c>
      <c r="AW5858" s="6" t="str">
        <f>HYPERLINK("http://www.worldcat.org/oclc/56657714","WorldCat Record")</f>
        <v>WorldCat Record</v>
      </c>
      <c r="AX5858" s="3" t="s">
        <v>56306</v>
      </c>
      <c r="AY5858" s="3" t="s">
        <v>56307</v>
      </c>
      <c r="AZ5858" s="3" t="s">
        <v>56308</v>
      </c>
      <c r="BA5858" s="3" t="s">
        <v>56308</v>
      </c>
      <c r="BB5858" s="3" t="s">
        <v>56309</v>
      </c>
      <c r="BC5858" s="3" t="s">
        <v>142</v>
      </c>
      <c r="BD5858" s="3" t="s">
        <v>308</v>
      </c>
      <c r="BE5858" s="3" t="s">
        <v>56310</v>
      </c>
      <c r="BF5858" s="3" t="s">
        <v>56309</v>
      </c>
      <c r="BG5858" s="3" t="s">
        <v>56311</v>
      </c>
    </row>
    <row r="5859" spans="1:59" ht="57" x14ac:dyDescent="0.45">
      <c r="A5859" s="2" t="s">
        <v>59</v>
      </c>
      <c r="B5859" s="2" t="s">
        <v>60</v>
      </c>
      <c r="C5859" s="2" t="s">
        <v>56312</v>
      </c>
      <c r="D5859" s="2" t="s">
        <v>56313</v>
      </c>
      <c r="E5859" s="2" t="s">
        <v>56314</v>
      </c>
      <c r="G5859" s="3" t="s">
        <v>62</v>
      </c>
      <c r="I5859" s="3" t="s">
        <v>62</v>
      </c>
      <c r="J5859" s="3" t="s">
        <v>62</v>
      </c>
      <c r="K5859" s="3" t="s">
        <v>63</v>
      </c>
      <c r="L5859" s="2" t="s">
        <v>56315</v>
      </c>
      <c r="M5859" s="2" t="s">
        <v>27597</v>
      </c>
      <c r="N5859" s="3" t="s">
        <v>1155</v>
      </c>
      <c r="P5859" s="3" t="s">
        <v>65</v>
      </c>
      <c r="R5859" s="3" t="s">
        <v>66</v>
      </c>
      <c r="S5859" s="4">
        <v>10</v>
      </c>
      <c r="T5859" s="4">
        <v>10</v>
      </c>
      <c r="U5859" s="5" t="s">
        <v>49813</v>
      </c>
      <c r="V5859" s="5" t="s">
        <v>49813</v>
      </c>
      <c r="W5859" s="5" t="s">
        <v>67</v>
      </c>
      <c r="X5859" s="5" t="s">
        <v>67</v>
      </c>
      <c r="Y5859" s="4">
        <v>271</v>
      </c>
      <c r="Z5859" s="4">
        <v>22</v>
      </c>
      <c r="AA5859" s="4">
        <v>29</v>
      </c>
      <c r="AB5859" s="4">
        <v>1</v>
      </c>
      <c r="AC5859" s="4">
        <v>6</v>
      </c>
      <c r="AD5859" s="4">
        <v>72</v>
      </c>
      <c r="AE5859" s="4">
        <v>81</v>
      </c>
      <c r="AF5859" s="4">
        <v>0</v>
      </c>
      <c r="AG5859" s="4">
        <v>3</v>
      </c>
      <c r="AH5859" s="4">
        <v>64</v>
      </c>
      <c r="AI5859" s="4">
        <v>71</v>
      </c>
      <c r="AJ5859" s="4">
        <v>13</v>
      </c>
      <c r="AK5859" s="4">
        <v>17</v>
      </c>
      <c r="AL5859" s="4">
        <v>34</v>
      </c>
      <c r="AM5859" s="4">
        <v>37</v>
      </c>
      <c r="AN5859" s="4">
        <v>0</v>
      </c>
      <c r="AO5859" s="4">
        <v>0</v>
      </c>
      <c r="AP5859" s="4">
        <v>18</v>
      </c>
      <c r="AQ5859" s="4">
        <v>21</v>
      </c>
      <c r="AR5859" s="3" t="s">
        <v>62</v>
      </c>
      <c r="AS5859" s="3" t="s">
        <v>62</v>
      </c>
      <c r="AT5859" s="3" t="s">
        <v>62</v>
      </c>
      <c r="AV5859" s="6" t="str">
        <f>HYPERLINK("http://mcgill.on.worldcat.org/oclc/762990236","Catalog Record")</f>
        <v>Catalog Record</v>
      </c>
      <c r="AW5859" s="6" t="str">
        <f>HYPERLINK("http://www.worldcat.org/oclc/762990236","WorldCat Record")</f>
        <v>WorldCat Record</v>
      </c>
      <c r="AX5859" s="3" t="s">
        <v>56316</v>
      </c>
      <c r="AY5859" s="3" t="s">
        <v>56317</v>
      </c>
      <c r="AZ5859" s="3" t="s">
        <v>56318</v>
      </c>
      <c r="BA5859" s="3" t="s">
        <v>56318</v>
      </c>
      <c r="BB5859" s="3" t="s">
        <v>56319</v>
      </c>
      <c r="BC5859" s="3" t="s">
        <v>142</v>
      </c>
      <c r="BD5859" s="3" t="s">
        <v>68</v>
      </c>
      <c r="BE5859" s="3" t="s">
        <v>56320</v>
      </c>
      <c r="BF5859" s="3" t="s">
        <v>56319</v>
      </c>
      <c r="BG5859" s="3" t="s">
        <v>56321</v>
      </c>
    </row>
    <row r="5860" spans="1:59" ht="57" x14ac:dyDescent="0.45">
      <c r="A5860" s="2" t="s">
        <v>59</v>
      </c>
      <c r="B5860" s="2" t="s">
        <v>60</v>
      </c>
      <c r="C5860" s="2" t="s">
        <v>56322</v>
      </c>
      <c r="D5860" s="2" t="s">
        <v>56323</v>
      </c>
      <c r="E5860" s="2" t="s">
        <v>56324</v>
      </c>
      <c r="G5860" s="3" t="s">
        <v>62</v>
      </c>
      <c r="I5860" s="3" t="s">
        <v>62</v>
      </c>
      <c r="J5860" s="3" t="s">
        <v>62</v>
      </c>
      <c r="K5860" s="3" t="s">
        <v>63</v>
      </c>
      <c r="L5860" s="2" t="s">
        <v>42359</v>
      </c>
      <c r="M5860" s="2" t="s">
        <v>56325</v>
      </c>
      <c r="N5860" s="3" t="s">
        <v>1073</v>
      </c>
      <c r="P5860" s="3" t="s">
        <v>110</v>
      </c>
      <c r="Q5860" s="2" t="s">
        <v>28773</v>
      </c>
      <c r="R5860" s="3" t="s">
        <v>66</v>
      </c>
      <c r="S5860" s="4">
        <v>36</v>
      </c>
      <c r="T5860" s="4">
        <v>36</v>
      </c>
      <c r="U5860" s="5" t="s">
        <v>56326</v>
      </c>
      <c r="V5860" s="5" t="s">
        <v>56326</v>
      </c>
      <c r="W5860" s="5" t="s">
        <v>67</v>
      </c>
      <c r="X5860" s="5" t="s">
        <v>67</v>
      </c>
      <c r="Y5860" s="4">
        <v>112</v>
      </c>
      <c r="Z5860" s="4">
        <v>19</v>
      </c>
      <c r="AA5860" s="4">
        <v>32</v>
      </c>
      <c r="AB5860" s="4">
        <v>2</v>
      </c>
      <c r="AC5860" s="4">
        <v>11</v>
      </c>
      <c r="AD5860" s="4">
        <v>42</v>
      </c>
      <c r="AE5860" s="4">
        <v>50</v>
      </c>
      <c r="AF5860" s="4">
        <v>1</v>
      </c>
      <c r="AG5860" s="4">
        <v>6</v>
      </c>
      <c r="AH5860" s="4">
        <v>34</v>
      </c>
      <c r="AI5860" s="4">
        <v>36</v>
      </c>
      <c r="AJ5860" s="4">
        <v>11</v>
      </c>
      <c r="AK5860" s="4">
        <v>16</v>
      </c>
      <c r="AL5860" s="4">
        <v>19</v>
      </c>
      <c r="AM5860" s="4">
        <v>19</v>
      </c>
      <c r="AN5860" s="4">
        <v>0</v>
      </c>
      <c r="AO5860" s="4">
        <v>0</v>
      </c>
      <c r="AP5860" s="4">
        <v>16</v>
      </c>
      <c r="AQ5860" s="4">
        <v>23</v>
      </c>
      <c r="AR5860" s="3" t="s">
        <v>62</v>
      </c>
      <c r="AS5860" s="3" t="s">
        <v>62</v>
      </c>
      <c r="AT5860" s="3" t="s">
        <v>62</v>
      </c>
      <c r="AV5860" s="6" t="str">
        <f>HYPERLINK("http://mcgill.on.worldcat.org/oclc/2838744","Catalog Record")</f>
        <v>Catalog Record</v>
      </c>
      <c r="AW5860" s="6" t="str">
        <f>HYPERLINK("http://www.worldcat.org/oclc/2838744","WorldCat Record")</f>
        <v>WorldCat Record</v>
      </c>
      <c r="AX5860" s="3" t="s">
        <v>56327</v>
      </c>
      <c r="AY5860" s="3" t="s">
        <v>56328</v>
      </c>
      <c r="AZ5860" s="3" t="s">
        <v>56329</v>
      </c>
      <c r="BA5860" s="3" t="s">
        <v>56329</v>
      </c>
      <c r="BB5860" s="3" t="s">
        <v>56330</v>
      </c>
      <c r="BC5860" s="3" t="s">
        <v>142</v>
      </c>
      <c r="BD5860" s="3" t="s">
        <v>308</v>
      </c>
      <c r="BE5860" s="3" t="s">
        <v>56331</v>
      </c>
      <c r="BF5860" s="3" t="s">
        <v>56330</v>
      </c>
      <c r="BG5860" s="3" t="s">
        <v>56332</v>
      </c>
    </row>
    <row r="5861" spans="1:59" ht="57" x14ac:dyDescent="0.45">
      <c r="A5861" s="2" t="s">
        <v>59</v>
      </c>
      <c r="B5861" s="2" t="s">
        <v>60</v>
      </c>
      <c r="C5861" s="2" t="s">
        <v>56333</v>
      </c>
      <c r="D5861" s="2" t="s">
        <v>56334</v>
      </c>
      <c r="E5861" s="2" t="s">
        <v>56335</v>
      </c>
      <c r="G5861" s="3" t="s">
        <v>62</v>
      </c>
      <c r="I5861" s="3" t="s">
        <v>62</v>
      </c>
      <c r="J5861" s="3" t="s">
        <v>62</v>
      </c>
      <c r="K5861" s="3" t="s">
        <v>63</v>
      </c>
      <c r="L5861" s="2" t="s">
        <v>42359</v>
      </c>
      <c r="M5861" s="2" t="s">
        <v>56336</v>
      </c>
      <c r="N5861" s="3" t="s">
        <v>568</v>
      </c>
      <c r="P5861" s="3" t="s">
        <v>110</v>
      </c>
      <c r="Q5861" s="2" t="s">
        <v>28773</v>
      </c>
      <c r="R5861" s="3" t="s">
        <v>66</v>
      </c>
      <c r="S5861" s="4">
        <v>39</v>
      </c>
      <c r="T5861" s="4">
        <v>39</v>
      </c>
      <c r="U5861" s="5" t="s">
        <v>19406</v>
      </c>
      <c r="V5861" s="5" t="s">
        <v>19406</v>
      </c>
      <c r="W5861" s="5" t="s">
        <v>67</v>
      </c>
      <c r="X5861" s="5" t="s">
        <v>67</v>
      </c>
      <c r="Y5861" s="4">
        <v>110</v>
      </c>
      <c r="Z5861" s="4">
        <v>17</v>
      </c>
      <c r="AA5861" s="4">
        <v>28</v>
      </c>
      <c r="AB5861" s="4">
        <v>2</v>
      </c>
      <c r="AC5861" s="4">
        <v>11</v>
      </c>
      <c r="AD5861" s="4">
        <v>43</v>
      </c>
      <c r="AE5861" s="4">
        <v>50</v>
      </c>
      <c r="AF5861" s="4">
        <v>1</v>
      </c>
      <c r="AG5861" s="4">
        <v>6</v>
      </c>
      <c r="AH5861" s="4">
        <v>34</v>
      </c>
      <c r="AI5861" s="4">
        <v>35</v>
      </c>
      <c r="AJ5861" s="4">
        <v>13</v>
      </c>
      <c r="AK5861" s="4">
        <v>16</v>
      </c>
      <c r="AL5861" s="4">
        <v>25</v>
      </c>
      <c r="AM5861" s="4">
        <v>25</v>
      </c>
      <c r="AN5861" s="4">
        <v>0</v>
      </c>
      <c r="AO5861" s="4">
        <v>0</v>
      </c>
      <c r="AP5861" s="4">
        <v>15</v>
      </c>
      <c r="AQ5861" s="4">
        <v>21</v>
      </c>
      <c r="AR5861" s="3" t="s">
        <v>62</v>
      </c>
      <c r="AS5861" s="3" t="s">
        <v>62</v>
      </c>
      <c r="AT5861" s="3" t="s">
        <v>62</v>
      </c>
      <c r="AV5861" s="6" t="str">
        <f>HYPERLINK("http://mcgill.on.worldcat.org/oclc/17646255","Catalog Record")</f>
        <v>Catalog Record</v>
      </c>
      <c r="AW5861" s="6" t="str">
        <f>HYPERLINK("http://www.worldcat.org/oclc/17646255","WorldCat Record")</f>
        <v>WorldCat Record</v>
      </c>
      <c r="AX5861" s="3" t="s">
        <v>56337</v>
      </c>
      <c r="AY5861" s="3" t="s">
        <v>56338</v>
      </c>
      <c r="AZ5861" s="3" t="s">
        <v>56339</v>
      </c>
      <c r="BA5861" s="3" t="s">
        <v>56339</v>
      </c>
      <c r="BB5861" s="3" t="s">
        <v>56340</v>
      </c>
      <c r="BC5861" s="3" t="s">
        <v>142</v>
      </c>
      <c r="BD5861" s="3" t="s">
        <v>308</v>
      </c>
      <c r="BE5861" s="3" t="s">
        <v>56341</v>
      </c>
      <c r="BF5861" s="3" t="s">
        <v>56340</v>
      </c>
      <c r="BG5861" s="3" t="s">
        <v>56342</v>
      </c>
    </row>
    <row r="5862" spans="1:59" ht="57" x14ac:dyDescent="0.45">
      <c r="A5862" s="2" t="s">
        <v>59</v>
      </c>
      <c r="B5862" s="2" t="s">
        <v>60</v>
      </c>
      <c r="C5862" s="2" t="s">
        <v>56343</v>
      </c>
      <c r="D5862" s="2" t="s">
        <v>56344</v>
      </c>
      <c r="E5862" s="2" t="s">
        <v>56345</v>
      </c>
      <c r="G5862" s="3" t="s">
        <v>62</v>
      </c>
      <c r="I5862" s="3" t="s">
        <v>62</v>
      </c>
      <c r="J5862" s="3" t="s">
        <v>62</v>
      </c>
      <c r="K5862" s="3" t="s">
        <v>63</v>
      </c>
      <c r="L5862" s="2" t="s">
        <v>42359</v>
      </c>
      <c r="M5862" s="2" t="s">
        <v>56346</v>
      </c>
      <c r="N5862" s="3" t="s">
        <v>1465</v>
      </c>
      <c r="O5862" s="2" t="s">
        <v>56347</v>
      </c>
      <c r="P5862" s="3" t="s">
        <v>110</v>
      </c>
      <c r="Q5862" s="2" t="s">
        <v>56348</v>
      </c>
      <c r="R5862" s="3" t="s">
        <v>66</v>
      </c>
      <c r="S5862" s="4">
        <v>13</v>
      </c>
      <c r="T5862" s="4">
        <v>13</v>
      </c>
      <c r="U5862" s="5" t="s">
        <v>303</v>
      </c>
      <c r="V5862" s="5" t="s">
        <v>303</v>
      </c>
      <c r="W5862" s="5" t="s">
        <v>67</v>
      </c>
      <c r="X5862" s="5" t="s">
        <v>67</v>
      </c>
      <c r="Y5862" s="4">
        <v>11</v>
      </c>
      <c r="Z5862" s="4">
        <v>8</v>
      </c>
      <c r="AA5862" s="4">
        <v>24</v>
      </c>
      <c r="AB5862" s="4">
        <v>1</v>
      </c>
      <c r="AC5862" s="4">
        <v>8</v>
      </c>
      <c r="AD5862" s="4">
        <v>7</v>
      </c>
      <c r="AE5862" s="4">
        <v>17</v>
      </c>
      <c r="AF5862" s="4">
        <v>0</v>
      </c>
      <c r="AG5862" s="4">
        <v>4</v>
      </c>
      <c r="AH5862" s="4">
        <v>2</v>
      </c>
      <c r="AI5862" s="4">
        <v>8</v>
      </c>
      <c r="AJ5862" s="4">
        <v>5</v>
      </c>
      <c r="AK5862" s="4">
        <v>12</v>
      </c>
      <c r="AL5862" s="4">
        <v>0</v>
      </c>
      <c r="AM5862" s="4">
        <v>2</v>
      </c>
      <c r="AN5862" s="4">
        <v>0</v>
      </c>
      <c r="AO5862" s="4">
        <v>0</v>
      </c>
      <c r="AP5862" s="4">
        <v>7</v>
      </c>
      <c r="AQ5862" s="4">
        <v>15</v>
      </c>
      <c r="AR5862" s="3" t="s">
        <v>62</v>
      </c>
      <c r="AS5862" s="3" t="s">
        <v>62</v>
      </c>
      <c r="AT5862" s="3" t="s">
        <v>62</v>
      </c>
      <c r="AV5862" s="6" t="str">
        <f>HYPERLINK("http://mcgill.on.worldcat.org/oclc/727067616","Catalog Record")</f>
        <v>Catalog Record</v>
      </c>
      <c r="AW5862" s="6" t="str">
        <f>HYPERLINK("http://www.worldcat.org/oclc/727067616","WorldCat Record")</f>
        <v>WorldCat Record</v>
      </c>
      <c r="AX5862" s="3" t="s">
        <v>56349</v>
      </c>
      <c r="AY5862" s="3" t="s">
        <v>56350</v>
      </c>
      <c r="AZ5862" s="3" t="s">
        <v>56351</v>
      </c>
      <c r="BA5862" s="3" t="s">
        <v>56351</v>
      </c>
      <c r="BB5862" s="3" t="s">
        <v>56352</v>
      </c>
      <c r="BC5862" s="3" t="s">
        <v>142</v>
      </c>
      <c r="BD5862" s="3" t="s">
        <v>68</v>
      </c>
      <c r="BE5862" s="3" t="s">
        <v>56353</v>
      </c>
      <c r="BF5862" s="3" t="s">
        <v>56352</v>
      </c>
      <c r="BG5862" s="3" t="s">
        <v>56354</v>
      </c>
    </row>
    <row r="5863" spans="1:59" ht="57" x14ac:dyDescent="0.45">
      <c r="A5863" s="2" t="s">
        <v>59</v>
      </c>
      <c r="B5863" s="2" t="s">
        <v>60</v>
      </c>
      <c r="C5863" s="2" t="s">
        <v>56355</v>
      </c>
      <c r="D5863" s="2" t="s">
        <v>56356</v>
      </c>
      <c r="E5863" s="2" t="s">
        <v>56357</v>
      </c>
      <c r="G5863" s="3" t="s">
        <v>62</v>
      </c>
      <c r="I5863" s="3" t="s">
        <v>62</v>
      </c>
      <c r="J5863" s="3" t="s">
        <v>62</v>
      </c>
      <c r="K5863" s="3" t="s">
        <v>63</v>
      </c>
      <c r="L5863" s="2" t="s">
        <v>42359</v>
      </c>
      <c r="M5863" s="2" t="s">
        <v>56358</v>
      </c>
      <c r="N5863" s="3" t="s">
        <v>1855</v>
      </c>
      <c r="P5863" s="3" t="s">
        <v>110</v>
      </c>
      <c r="Q5863" s="2" t="s">
        <v>56359</v>
      </c>
      <c r="R5863" s="3" t="s">
        <v>66</v>
      </c>
      <c r="S5863" s="4">
        <v>4</v>
      </c>
      <c r="T5863" s="4">
        <v>4</v>
      </c>
      <c r="U5863" s="5" t="s">
        <v>7408</v>
      </c>
      <c r="V5863" s="5" t="s">
        <v>7408</v>
      </c>
      <c r="W5863" s="5" t="s">
        <v>67</v>
      </c>
      <c r="X5863" s="5" t="s">
        <v>67</v>
      </c>
      <c r="Y5863" s="4">
        <v>4</v>
      </c>
      <c r="Z5863" s="4">
        <v>2</v>
      </c>
      <c r="AA5863" s="4">
        <v>19</v>
      </c>
      <c r="AB5863" s="4">
        <v>1</v>
      </c>
      <c r="AC5863" s="4">
        <v>8</v>
      </c>
      <c r="AD5863" s="4">
        <v>1</v>
      </c>
      <c r="AE5863" s="4">
        <v>23</v>
      </c>
      <c r="AF5863" s="4">
        <v>0</v>
      </c>
      <c r="AG5863" s="4">
        <v>5</v>
      </c>
      <c r="AH5863" s="4">
        <v>1</v>
      </c>
      <c r="AI5863" s="4">
        <v>15</v>
      </c>
      <c r="AJ5863" s="4">
        <v>1</v>
      </c>
      <c r="AK5863" s="4">
        <v>12</v>
      </c>
      <c r="AL5863" s="4">
        <v>0</v>
      </c>
      <c r="AM5863" s="4">
        <v>7</v>
      </c>
      <c r="AN5863" s="4">
        <v>0</v>
      </c>
      <c r="AO5863" s="4">
        <v>0</v>
      </c>
      <c r="AP5863" s="4">
        <v>1</v>
      </c>
      <c r="AQ5863" s="4">
        <v>14</v>
      </c>
      <c r="AR5863" s="3" t="s">
        <v>62</v>
      </c>
      <c r="AS5863" s="3" t="s">
        <v>62</v>
      </c>
      <c r="AT5863" s="3" t="s">
        <v>62</v>
      </c>
      <c r="AV5863" s="6" t="str">
        <f>HYPERLINK("http://mcgill.on.worldcat.org/oclc/80145905","Catalog Record")</f>
        <v>Catalog Record</v>
      </c>
      <c r="AW5863" s="6" t="str">
        <f>HYPERLINK("http://www.worldcat.org/oclc/80145905","WorldCat Record")</f>
        <v>WorldCat Record</v>
      </c>
      <c r="AX5863" s="3" t="s">
        <v>56360</v>
      </c>
      <c r="AY5863" s="3" t="s">
        <v>56361</v>
      </c>
      <c r="AZ5863" s="3" t="s">
        <v>56362</v>
      </c>
      <c r="BA5863" s="3" t="s">
        <v>56362</v>
      </c>
      <c r="BB5863" s="3" t="s">
        <v>56363</v>
      </c>
      <c r="BC5863" s="3" t="s">
        <v>142</v>
      </c>
      <c r="BD5863" s="3" t="s">
        <v>68</v>
      </c>
      <c r="BE5863" s="3" t="s">
        <v>56364</v>
      </c>
      <c r="BF5863" s="3" t="s">
        <v>56363</v>
      </c>
      <c r="BG5863" s="3" t="s">
        <v>56365</v>
      </c>
    </row>
    <row r="5864" spans="1:59" ht="57" x14ac:dyDescent="0.45">
      <c r="A5864" s="2" t="s">
        <v>59</v>
      </c>
      <c r="B5864" s="2" t="s">
        <v>60</v>
      </c>
      <c r="C5864" s="2" t="s">
        <v>56366</v>
      </c>
      <c r="D5864" s="2" t="s">
        <v>56367</v>
      </c>
      <c r="E5864" s="2" t="s">
        <v>56368</v>
      </c>
      <c r="G5864" s="3" t="s">
        <v>62</v>
      </c>
      <c r="I5864" s="3" t="s">
        <v>62</v>
      </c>
      <c r="J5864" s="3" t="s">
        <v>62</v>
      </c>
      <c r="K5864" s="3" t="s">
        <v>63</v>
      </c>
      <c r="L5864" s="2" t="s">
        <v>42359</v>
      </c>
      <c r="M5864" s="2" t="s">
        <v>56369</v>
      </c>
      <c r="N5864" s="3" t="s">
        <v>945</v>
      </c>
      <c r="O5864" s="2" t="s">
        <v>56370</v>
      </c>
      <c r="P5864" s="3" t="s">
        <v>110</v>
      </c>
      <c r="Q5864" s="2" t="s">
        <v>56359</v>
      </c>
      <c r="R5864" s="3" t="s">
        <v>66</v>
      </c>
      <c r="S5864" s="4">
        <v>5</v>
      </c>
      <c r="T5864" s="4">
        <v>5</v>
      </c>
      <c r="U5864" s="5" t="s">
        <v>31527</v>
      </c>
      <c r="V5864" s="5" t="s">
        <v>31527</v>
      </c>
      <c r="W5864" s="5" t="s">
        <v>67</v>
      </c>
      <c r="X5864" s="5" t="s">
        <v>67</v>
      </c>
      <c r="Y5864" s="4">
        <v>8</v>
      </c>
      <c r="Z5864" s="4">
        <v>3</v>
      </c>
      <c r="AA5864" s="4">
        <v>32</v>
      </c>
      <c r="AB5864" s="4">
        <v>1</v>
      </c>
      <c r="AC5864" s="4">
        <v>17</v>
      </c>
      <c r="AD5864" s="4">
        <v>3</v>
      </c>
      <c r="AE5864" s="4">
        <v>24</v>
      </c>
      <c r="AF5864" s="4">
        <v>0</v>
      </c>
      <c r="AG5864" s="4">
        <v>6</v>
      </c>
      <c r="AH5864" s="4">
        <v>2</v>
      </c>
      <c r="AI5864" s="4">
        <v>11</v>
      </c>
      <c r="AJ5864" s="4">
        <v>0</v>
      </c>
      <c r="AK5864" s="4">
        <v>12</v>
      </c>
      <c r="AL5864" s="4">
        <v>1</v>
      </c>
      <c r="AM5864" s="4">
        <v>5</v>
      </c>
      <c r="AN5864" s="4">
        <v>0</v>
      </c>
      <c r="AO5864" s="4">
        <v>0</v>
      </c>
      <c r="AP5864" s="4">
        <v>2</v>
      </c>
      <c r="AQ5864" s="4">
        <v>18</v>
      </c>
      <c r="AR5864" s="3" t="s">
        <v>62</v>
      </c>
      <c r="AS5864" s="3" t="s">
        <v>62</v>
      </c>
      <c r="AT5864" s="3" t="s">
        <v>62</v>
      </c>
      <c r="AV5864" s="6" t="str">
        <f>HYPERLINK("http://mcgill.on.worldcat.org/oclc/85336155","Catalog Record")</f>
        <v>Catalog Record</v>
      </c>
      <c r="AW5864" s="6" t="str">
        <f>HYPERLINK("http://www.worldcat.org/oclc/85336155","WorldCat Record")</f>
        <v>WorldCat Record</v>
      </c>
      <c r="AX5864" s="3" t="s">
        <v>56371</v>
      </c>
      <c r="AY5864" s="3" t="s">
        <v>56372</v>
      </c>
      <c r="AZ5864" s="3" t="s">
        <v>56373</v>
      </c>
      <c r="BA5864" s="3" t="s">
        <v>56373</v>
      </c>
      <c r="BB5864" s="3" t="s">
        <v>56374</v>
      </c>
      <c r="BC5864" s="3" t="s">
        <v>142</v>
      </c>
      <c r="BD5864" s="3" t="s">
        <v>68</v>
      </c>
      <c r="BE5864" s="3" t="s">
        <v>56375</v>
      </c>
      <c r="BF5864" s="3" t="s">
        <v>56374</v>
      </c>
      <c r="BG5864" s="3" t="s">
        <v>56376</v>
      </c>
    </row>
    <row r="5865" spans="1:59" ht="57" x14ac:dyDescent="0.45">
      <c r="A5865" s="2" t="s">
        <v>59</v>
      </c>
      <c r="B5865" s="2" t="s">
        <v>60</v>
      </c>
      <c r="C5865" s="2" t="s">
        <v>56377</v>
      </c>
      <c r="D5865" s="2" t="s">
        <v>56378</v>
      </c>
      <c r="E5865" s="2" t="s">
        <v>56379</v>
      </c>
      <c r="G5865" s="3" t="s">
        <v>62</v>
      </c>
      <c r="I5865" s="3" t="s">
        <v>62</v>
      </c>
      <c r="J5865" s="3" t="s">
        <v>62</v>
      </c>
      <c r="K5865" s="3" t="s">
        <v>63</v>
      </c>
      <c r="L5865" s="2" t="s">
        <v>56380</v>
      </c>
      <c r="M5865" s="2" t="s">
        <v>7465</v>
      </c>
      <c r="N5865" s="3" t="s">
        <v>820</v>
      </c>
      <c r="P5865" s="3" t="s">
        <v>65</v>
      </c>
      <c r="Q5865" s="2" t="s">
        <v>10572</v>
      </c>
      <c r="R5865" s="3" t="s">
        <v>66</v>
      </c>
      <c r="S5865" s="4">
        <v>2</v>
      </c>
      <c r="T5865" s="4">
        <v>2</v>
      </c>
      <c r="U5865" s="5" t="s">
        <v>8869</v>
      </c>
      <c r="V5865" s="5" t="s">
        <v>8869</v>
      </c>
      <c r="W5865" s="5" t="s">
        <v>67</v>
      </c>
      <c r="X5865" s="5" t="s">
        <v>67</v>
      </c>
      <c r="Y5865" s="4">
        <v>146</v>
      </c>
      <c r="Z5865" s="4">
        <v>8</v>
      </c>
      <c r="AA5865" s="4">
        <v>78</v>
      </c>
      <c r="AB5865" s="4">
        <v>1</v>
      </c>
      <c r="AC5865" s="4">
        <v>14</v>
      </c>
      <c r="AD5865" s="4">
        <v>42</v>
      </c>
      <c r="AE5865" s="4">
        <v>99</v>
      </c>
      <c r="AF5865" s="4">
        <v>0</v>
      </c>
      <c r="AG5865" s="4">
        <v>8</v>
      </c>
      <c r="AH5865" s="4">
        <v>39</v>
      </c>
      <c r="AI5865" s="4">
        <v>66</v>
      </c>
      <c r="AJ5865" s="4">
        <v>7</v>
      </c>
      <c r="AK5865" s="4">
        <v>19</v>
      </c>
      <c r="AL5865" s="4">
        <v>23</v>
      </c>
      <c r="AM5865" s="4">
        <v>35</v>
      </c>
      <c r="AN5865" s="4">
        <v>0</v>
      </c>
      <c r="AO5865" s="4">
        <v>0</v>
      </c>
      <c r="AP5865" s="4">
        <v>7</v>
      </c>
      <c r="AQ5865" s="4">
        <v>40</v>
      </c>
      <c r="AR5865" s="3" t="s">
        <v>62</v>
      </c>
      <c r="AS5865" s="3" t="s">
        <v>62</v>
      </c>
      <c r="AT5865" s="3" t="s">
        <v>62</v>
      </c>
      <c r="AV5865" s="6" t="str">
        <f>HYPERLINK("http://mcgill.on.worldcat.org/oclc/58431616","Catalog Record")</f>
        <v>Catalog Record</v>
      </c>
      <c r="AW5865" s="6" t="str">
        <f>HYPERLINK("http://www.worldcat.org/oclc/58431616","WorldCat Record")</f>
        <v>WorldCat Record</v>
      </c>
      <c r="AX5865" s="3" t="s">
        <v>56381</v>
      </c>
      <c r="AY5865" s="3" t="s">
        <v>56382</v>
      </c>
      <c r="AZ5865" s="3" t="s">
        <v>56383</v>
      </c>
      <c r="BA5865" s="3" t="s">
        <v>56383</v>
      </c>
      <c r="BB5865" s="3" t="s">
        <v>56384</v>
      </c>
      <c r="BC5865" s="3" t="s">
        <v>142</v>
      </c>
      <c r="BD5865" s="3" t="s">
        <v>68</v>
      </c>
      <c r="BE5865" s="3" t="s">
        <v>56385</v>
      </c>
      <c r="BF5865" s="3" t="s">
        <v>56384</v>
      </c>
      <c r="BG5865" s="3" t="s">
        <v>56386</v>
      </c>
    </row>
    <row r="5866" spans="1:59" ht="57" x14ac:dyDescent="0.45">
      <c r="A5866" s="2" t="s">
        <v>59</v>
      </c>
      <c r="B5866" s="2" t="s">
        <v>60</v>
      </c>
      <c r="C5866" s="2" t="s">
        <v>56387</v>
      </c>
      <c r="D5866" s="2" t="s">
        <v>56388</v>
      </c>
      <c r="E5866" s="2" t="s">
        <v>56389</v>
      </c>
      <c r="G5866" s="3" t="s">
        <v>62</v>
      </c>
      <c r="I5866" s="3" t="s">
        <v>62</v>
      </c>
      <c r="J5866" s="3" t="s">
        <v>62</v>
      </c>
      <c r="K5866" s="3" t="s">
        <v>63</v>
      </c>
      <c r="L5866" s="2" t="s">
        <v>56380</v>
      </c>
      <c r="M5866" s="2" t="s">
        <v>35439</v>
      </c>
      <c r="N5866" s="3" t="s">
        <v>918</v>
      </c>
      <c r="P5866" s="3" t="s">
        <v>65</v>
      </c>
      <c r="Q5866" s="2" t="s">
        <v>8422</v>
      </c>
      <c r="R5866" s="3" t="s">
        <v>66</v>
      </c>
      <c r="S5866" s="4">
        <v>15</v>
      </c>
      <c r="T5866" s="4">
        <v>15</v>
      </c>
      <c r="U5866" s="5" t="s">
        <v>3596</v>
      </c>
      <c r="V5866" s="5" t="s">
        <v>3596</v>
      </c>
      <c r="W5866" s="5" t="s">
        <v>67</v>
      </c>
      <c r="X5866" s="5" t="s">
        <v>67</v>
      </c>
      <c r="Y5866" s="4">
        <v>190</v>
      </c>
      <c r="Z5866" s="4">
        <v>11</v>
      </c>
      <c r="AA5866" s="4">
        <v>19</v>
      </c>
      <c r="AB5866" s="4">
        <v>1</v>
      </c>
      <c r="AC5866" s="4">
        <v>2</v>
      </c>
      <c r="AD5866" s="4">
        <v>52</v>
      </c>
      <c r="AE5866" s="4">
        <v>70</v>
      </c>
      <c r="AF5866" s="4">
        <v>0</v>
      </c>
      <c r="AG5866" s="4">
        <v>1</v>
      </c>
      <c r="AH5866" s="4">
        <v>49</v>
      </c>
      <c r="AI5866" s="4">
        <v>62</v>
      </c>
      <c r="AJ5866" s="4">
        <v>8</v>
      </c>
      <c r="AK5866" s="4">
        <v>14</v>
      </c>
      <c r="AL5866" s="4">
        <v>29</v>
      </c>
      <c r="AM5866" s="4">
        <v>37</v>
      </c>
      <c r="AN5866" s="4">
        <v>0</v>
      </c>
      <c r="AO5866" s="4">
        <v>0</v>
      </c>
      <c r="AP5866" s="4">
        <v>9</v>
      </c>
      <c r="AQ5866" s="4">
        <v>17</v>
      </c>
      <c r="AR5866" s="3" t="s">
        <v>62</v>
      </c>
      <c r="AS5866" s="3" t="s">
        <v>62</v>
      </c>
      <c r="AT5866" s="3" t="s">
        <v>61</v>
      </c>
      <c r="AU5866" s="6" t="str">
        <f>HYPERLINK("http://catalog.hathitrust.org/Record/005098087","HathiTrust Record")</f>
        <v>HathiTrust Record</v>
      </c>
      <c r="AV5866" s="6" t="str">
        <f>HYPERLINK("http://mcgill.on.worldcat.org/oclc/49531383","Catalog Record")</f>
        <v>Catalog Record</v>
      </c>
      <c r="AW5866" s="6" t="str">
        <f>HYPERLINK("http://www.worldcat.org/oclc/49531383","WorldCat Record")</f>
        <v>WorldCat Record</v>
      </c>
      <c r="AX5866" s="3" t="s">
        <v>56390</v>
      </c>
      <c r="AY5866" s="3" t="s">
        <v>56391</v>
      </c>
      <c r="AZ5866" s="3" t="s">
        <v>56392</v>
      </c>
      <c r="BA5866" s="3" t="s">
        <v>56392</v>
      </c>
      <c r="BB5866" s="3" t="s">
        <v>56393</v>
      </c>
      <c r="BC5866" s="3" t="s">
        <v>142</v>
      </c>
      <c r="BD5866" s="3" t="s">
        <v>68</v>
      </c>
      <c r="BE5866" s="3" t="s">
        <v>56394</v>
      </c>
      <c r="BF5866" s="3" t="s">
        <v>56393</v>
      </c>
      <c r="BG5866" s="3" t="s">
        <v>56395</v>
      </c>
    </row>
    <row r="5867" spans="1:59" ht="57" x14ac:dyDescent="0.45">
      <c r="A5867" s="2" t="s">
        <v>59</v>
      </c>
      <c r="B5867" s="2" t="s">
        <v>60</v>
      </c>
      <c r="C5867" s="2" t="s">
        <v>56396</v>
      </c>
      <c r="D5867" s="2" t="s">
        <v>56397</v>
      </c>
      <c r="E5867" s="2" t="s">
        <v>56398</v>
      </c>
      <c r="G5867" s="3" t="s">
        <v>62</v>
      </c>
      <c r="I5867" s="3" t="s">
        <v>62</v>
      </c>
      <c r="J5867" s="3" t="s">
        <v>62</v>
      </c>
      <c r="K5867" s="3" t="s">
        <v>63</v>
      </c>
      <c r="L5867" s="2" t="s">
        <v>56399</v>
      </c>
      <c r="M5867" s="2" t="s">
        <v>36123</v>
      </c>
      <c r="N5867" s="3" t="s">
        <v>208</v>
      </c>
      <c r="O5867" s="2" t="s">
        <v>49033</v>
      </c>
      <c r="P5867" s="3" t="s">
        <v>110</v>
      </c>
      <c r="Q5867" s="2" t="s">
        <v>56400</v>
      </c>
      <c r="R5867" s="3" t="s">
        <v>66</v>
      </c>
      <c r="S5867" s="4">
        <v>0</v>
      </c>
      <c r="T5867" s="4">
        <v>0</v>
      </c>
      <c r="W5867" s="5" t="s">
        <v>67</v>
      </c>
      <c r="X5867" s="5" t="s">
        <v>67</v>
      </c>
      <c r="Y5867" s="4">
        <v>2</v>
      </c>
      <c r="Z5867" s="4">
        <v>1</v>
      </c>
      <c r="AA5867" s="4">
        <v>28</v>
      </c>
      <c r="AB5867" s="4">
        <v>1</v>
      </c>
      <c r="AC5867" s="4">
        <v>15</v>
      </c>
      <c r="AD5867" s="4">
        <v>0</v>
      </c>
      <c r="AE5867" s="4">
        <v>18</v>
      </c>
      <c r="AF5867" s="4">
        <v>0</v>
      </c>
      <c r="AG5867" s="4">
        <v>6</v>
      </c>
      <c r="AH5867" s="4">
        <v>0</v>
      </c>
      <c r="AI5867" s="4">
        <v>9</v>
      </c>
      <c r="AJ5867" s="4">
        <v>0</v>
      </c>
      <c r="AK5867" s="4">
        <v>12</v>
      </c>
      <c r="AL5867" s="4">
        <v>0</v>
      </c>
      <c r="AM5867" s="4">
        <v>3</v>
      </c>
      <c r="AN5867" s="4">
        <v>0</v>
      </c>
      <c r="AO5867" s="4">
        <v>0</v>
      </c>
      <c r="AP5867" s="4">
        <v>0</v>
      </c>
      <c r="AQ5867" s="4">
        <v>15</v>
      </c>
      <c r="AR5867" s="3" t="s">
        <v>62</v>
      </c>
      <c r="AS5867" s="3" t="s">
        <v>62</v>
      </c>
      <c r="AT5867" s="3" t="s">
        <v>62</v>
      </c>
      <c r="AV5867" s="6" t="str">
        <f>HYPERLINK("http://mcgill.on.worldcat.org/oclc/940637482","Catalog Record")</f>
        <v>Catalog Record</v>
      </c>
      <c r="AW5867" s="6" t="str">
        <f>HYPERLINK("http://www.worldcat.org/oclc/940637482","WorldCat Record")</f>
        <v>WorldCat Record</v>
      </c>
      <c r="AX5867" s="3" t="s">
        <v>56401</v>
      </c>
      <c r="AY5867" s="3" t="s">
        <v>56402</v>
      </c>
      <c r="AZ5867" s="3" t="s">
        <v>56403</v>
      </c>
      <c r="BA5867" s="3" t="s">
        <v>56403</v>
      </c>
      <c r="BB5867" s="3" t="s">
        <v>56404</v>
      </c>
      <c r="BC5867" s="3" t="s">
        <v>142</v>
      </c>
      <c r="BD5867" s="3" t="s">
        <v>68</v>
      </c>
      <c r="BE5867" s="3" t="s">
        <v>56405</v>
      </c>
      <c r="BF5867" s="3" t="s">
        <v>56404</v>
      </c>
      <c r="BG5867" s="3" t="s">
        <v>56406</v>
      </c>
    </row>
    <row r="5868" spans="1:59" ht="57" x14ac:dyDescent="0.45">
      <c r="A5868" s="2" t="s">
        <v>59</v>
      </c>
      <c r="B5868" s="2" t="s">
        <v>60</v>
      </c>
      <c r="C5868" s="2" t="s">
        <v>56407</v>
      </c>
      <c r="D5868" s="2" t="s">
        <v>56408</v>
      </c>
      <c r="E5868" s="2" t="s">
        <v>56409</v>
      </c>
      <c r="G5868" s="3" t="s">
        <v>62</v>
      </c>
      <c r="I5868" s="3" t="s">
        <v>62</v>
      </c>
      <c r="J5868" s="3" t="s">
        <v>62</v>
      </c>
      <c r="K5868" s="3" t="s">
        <v>63</v>
      </c>
      <c r="M5868" s="2" t="s">
        <v>56410</v>
      </c>
      <c r="N5868" s="3" t="s">
        <v>1465</v>
      </c>
      <c r="O5868" s="2" t="s">
        <v>933</v>
      </c>
      <c r="P5868" s="3" t="s">
        <v>65</v>
      </c>
      <c r="Q5868" s="2" t="s">
        <v>21281</v>
      </c>
      <c r="R5868" s="3" t="s">
        <v>66</v>
      </c>
      <c r="S5868" s="4">
        <v>48</v>
      </c>
      <c r="T5868" s="4">
        <v>48</v>
      </c>
      <c r="U5868" s="5" t="s">
        <v>28702</v>
      </c>
      <c r="V5868" s="5" t="s">
        <v>28702</v>
      </c>
      <c r="W5868" s="5" t="s">
        <v>67</v>
      </c>
      <c r="X5868" s="5" t="s">
        <v>67</v>
      </c>
      <c r="Y5868" s="4">
        <v>178</v>
      </c>
      <c r="Z5868" s="4">
        <v>17</v>
      </c>
      <c r="AA5868" s="4">
        <v>80</v>
      </c>
      <c r="AB5868" s="4">
        <v>3</v>
      </c>
      <c r="AC5868" s="4">
        <v>14</v>
      </c>
      <c r="AD5868" s="4">
        <v>39</v>
      </c>
      <c r="AE5868" s="4">
        <v>120</v>
      </c>
      <c r="AF5868" s="4">
        <v>1</v>
      </c>
      <c r="AG5868" s="4">
        <v>5</v>
      </c>
      <c r="AH5868" s="4">
        <v>32</v>
      </c>
      <c r="AI5868" s="4">
        <v>91</v>
      </c>
      <c r="AJ5868" s="4">
        <v>11</v>
      </c>
      <c r="AK5868" s="4">
        <v>22</v>
      </c>
      <c r="AL5868" s="4">
        <v>16</v>
      </c>
      <c r="AM5868" s="4">
        <v>47</v>
      </c>
      <c r="AN5868" s="4">
        <v>0</v>
      </c>
      <c r="AO5868" s="4">
        <v>0</v>
      </c>
      <c r="AP5868" s="4">
        <v>14</v>
      </c>
      <c r="AQ5868" s="4">
        <v>38</v>
      </c>
      <c r="AR5868" s="3" t="s">
        <v>62</v>
      </c>
      <c r="AS5868" s="3" t="s">
        <v>62</v>
      </c>
      <c r="AT5868" s="3" t="s">
        <v>62</v>
      </c>
      <c r="AV5868" s="6" t="str">
        <f>HYPERLINK("http://mcgill.on.worldcat.org/oclc/271774647","Catalog Record")</f>
        <v>Catalog Record</v>
      </c>
      <c r="AW5868" s="6" t="str">
        <f>HYPERLINK("http://www.worldcat.org/oclc/271774647","WorldCat Record")</f>
        <v>WorldCat Record</v>
      </c>
      <c r="AX5868" s="3" t="s">
        <v>56411</v>
      </c>
      <c r="AY5868" s="3" t="s">
        <v>56412</v>
      </c>
      <c r="AZ5868" s="3" t="s">
        <v>56413</v>
      </c>
      <c r="BA5868" s="3" t="s">
        <v>56413</v>
      </c>
      <c r="BB5868" s="3" t="s">
        <v>56414</v>
      </c>
      <c r="BC5868" s="3" t="s">
        <v>142</v>
      </c>
      <c r="BD5868" s="3" t="s">
        <v>68</v>
      </c>
      <c r="BE5868" s="3" t="s">
        <v>56415</v>
      </c>
      <c r="BF5868" s="3" t="s">
        <v>56414</v>
      </c>
      <c r="BG5868" s="3" t="s">
        <v>56416</v>
      </c>
    </row>
    <row r="5869" spans="1:59" ht="57" x14ac:dyDescent="0.45">
      <c r="A5869" s="2" t="s">
        <v>59</v>
      </c>
      <c r="B5869" s="2" t="s">
        <v>60</v>
      </c>
      <c r="C5869" s="2" t="s">
        <v>56417</v>
      </c>
      <c r="D5869" s="2" t="s">
        <v>56418</v>
      </c>
      <c r="E5869" s="2" t="s">
        <v>56419</v>
      </c>
      <c r="G5869" s="3" t="s">
        <v>62</v>
      </c>
      <c r="I5869" s="3" t="s">
        <v>62</v>
      </c>
      <c r="J5869" s="3" t="s">
        <v>62</v>
      </c>
      <c r="K5869" s="3" t="s">
        <v>63</v>
      </c>
      <c r="M5869" s="2" t="s">
        <v>56420</v>
      </c>
      <c r="N5869" s="3" t="s">
        <v>1212</v>
      </c>
      <c r="P5869" s="3" t="s">
        <v>65</v>
      </c>
      <c r="R5869" s="3" t="s">
        <v>66</v>
      </c>
      <c r="S5869" s="4">
        <v>36</v>
      </c>
      <c r="T5869" s="4">
        <v>36</v>
      </c>
      <c r="U5869" s="5" t="s">
        <v>28941</v>
      </c>
      <c r="V5869" s="5" t="s">
        <v>28941</v>
      </c>
      <c r="W5869" s="5" t="s">
        <v>67</v>
      </c>
      <c r="X5869" s="5" t="s">
        <v>67</v>
      </c>
      <c r="Y5869" s="4">
        <v>354</v>
      </c>
      <c r="Z5869" s="4">
        <v>26</v>
      </c>
      <c r="AA5869" s="4">
        <v>61</v>
      </c>
      <c r="AB5869" s="4">
        <v>2</v>
      </c>
      <c r="AC5869" s="4">
        <v>11</v>
      </c>
      <c r="AD5869" s="4">
        <v>90</v>
      </c>
      <c r="AE5869" s="4">
        <v>106</v>
      </c>
      <c r="AF5869" s="4">
        <v>0</v>
      </c>
      <c r="AG5869" s="4">
        <v>4</v>
      </c>
      <c r="AH5869" s="4">
        <v>76</v>
      </c>
      <c r="AI5869" s="4">
        <v>83</v>
      </c>
      <c r="AJ5869" s="4">
        <v>13</v>
      </c>
      <c r="AK5869" s="4">
        <v>20</v>
      </c>
      <c r="AL5869" s="4">
        <v>43</v>
      </c>
      <c r="AM5869" s="4">
        <v>45</v>
      </c>
      <c r="AN5869" s="4">
        <v>0</v>
      </c>
      <c r="AO5869" s="4">
        <v>0</v>
      </c>
      <c r="AP5869" s="4">
        <v>19</v>
      </c>
      <c r="AQ5869" s="4">
        <v>31</v>
      </c>
      <c r="AR5869" s="3" t="s">
        <v>62</v>
      </c>
      <c r="AS5869" s="3" t="s">
        <v>62</v>
      </c>
      <c r="AT5869" s="3" t="s">
        <v>61</v>
      </c>
      <c r="AU5869" s="6" t="str">
        <f>HYPERLINK("http://catalog.hathitrust.org/Record/007142167","HathiTrust Record")</f>
        <v>HathiTrust Record</v>
      </c>
      <c r="AV5869" s="6" t="str">
        <f>HYPERLINK("http://mcgill.on.worldcat.org/oclc/43540188","Catalog Record")</f>
        <v>Catalog Record</v>
      </c>
      <c r="AW5869" s="6" t="str">
        <f>HYPERLINK("http://www.worldcat.org/oclc/43540188","WorldCat Record")</f>
        <v>WorldCat Record</v>
      </c>
      <c r="AX5869" s="3" t="s">
        <v>56421</v>
      </c>
      <c r="AY5869" s="3" t="s">
        <v>56422</v>
      </c>
      <c r="AZ5869" s="3" t="s">
        <v>56423</v>
      </c>
      <c r="BA5869" s="3" t="s">
        <v>56423</v>
      </c>
      <c r="BB5869" s="3" t="s">
        <v>56424</v>
      </c>
      <c r="BC5869" s="3" t="s">
        <v>142</v>
      </c>
      <c r="BD5869" s="3" t="s">
        <v>308</v>
      </c>
      <c r="BE5869" s="3" t="s">
        <v>56425</v>
      </c>
      <c r="BF5869" s="3" t="s">
        <v>56424</v>
      </c>
      <c r="BG5869" s="3" t="s">
        <v>56426</v>
      </c>
    </row>
    <row r="5870" spans="1:59" ht="57" x14ac:dyDescent="0.45">
      <c r="A5870" s="2" t="s">
        <v>59</v>
      </c>
      <c r="B5870" s="2" t="s">
        <v>60</v>
      </c>
      <c r="C5870" s="2" t="s">
        <v>56427</v>
      </c>
      <c r="D5870" s="2" t="s">
        <v>56428</v>
      </c>
      <c r="E5870" s="2" t="s">
        <v>56429</v>
      </c>
      <c r="G5870" s="3" t="s">
        <v>62</v>
      </c>
      <c r="I5870" s="3" t="s">
        <v>62</v>
      </c>
      <c r="J5870" s="3" t="s">
        <v>62</v>
      </c>
      <c r="K5870" s="3" t="s">
        <v>63</v>
      </c>
      <c r="L5870" s="2" t="s">
        <v>56430</v>
      </c>
      <c r="M5870" s="2" t="s">
        <v>56431</v>
      </c>
      <c r="N5870" s="3" t="s">
        <v>1918</v>
      </c>
      <c r="O5870" s="2" t="s">
        <v>15392</v>
      </c>
      <c r="P5870" s="3" t="s">
        <v>110</v>
      </c>
      <c r="R5870" s="3" t="s">
        <v>66</v>
      </c>
      <c r="S5870" s="4">
        <v>0</v>
      </c>
      <c r="T5870" s="4">
        <v>0</v>
      </c>
      <c r="W5870" s="5" t="s">
        <v>67</v>
      </c>
      <c r="X5870" s="5" t="s">
        <v>67</v>
      </c>
      <c r="Y5870" s="4">
        <v>5</v>
      </c>
      <c r="Z5870" s="4">
        <v>1</v>
      </c>
      <c r="AA5870" s="4">
        <v>3</v>
      </c>
      <c r="AB5870" s="4">
        <v>1</v>
      </c>
      <c r="AC5870" s="4">
        <v>2</v>
      </c>
      <c r="AD5870" s="4">
        <v>1</v>
      </c>
      <c r="AE5870" s="4">
        <v>2</v>
      </c>
      <c r="AF5870" s="4">
        <v>0</v>
      </c>
      <c r="AG5870" s="4">
        <v>0</v>
      </c>
      <c r="AH5870" s="4">
        <v>1</v>
      </c>
      <c r="AI5870" s="4">
        <v>2</v>
      </c>
      <c r="AJ5870" s="4">
        <v>0</v>
      </c>
      <c r="AK5870" s="4">
        <v>1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1</v>
      </c>
      <c r="AR5870" s="3" t="s">
        <v>62</v>
      </c>
      <c r="AS5870" s="3" t="s">
        <v>62</v>
      </c>
      <c r="AT5870" s="3" t="s">
        <v>62</v>
      </c>
      <c r="AV5870" s="6" t="str">
        <f>HYPERLINK("http://mcgill.on.worldcat.org/oclc/1011556386","Catalog Record")</f>
        <v>Catalog Record</v>
      </c>
      <c r="AW5870" s="6" t="str">
        <f>HYPERLINK("http://www.worldcat.org/oclc/1011556386","WorldCat Record")</f>
        <v>WorldCat Record</v>
      </c>
      <c r="AX5870" s="3" t="s">
        <v>56432</v>
      </c>
      <c r="AY5870" s="3" t="s">
        <v>56433</v>
      </c>
      <c r="AZ5870" s="3" t="s">
        <v>56434</v>
      </c>
      <c r="BA5870" s="3" t="s">
        <v>56434</v>
      </c>
      <c r="BB5870" s="3" t="s">
        <v>56435</v>
      </c>
      <c r="BC5870" s="3" t="s">
        <v>142</v>
      </c>
      <c r="BD5870" s="3" t="s">
        <v>68</v>
      </c>
      <c r="BE5870" s="3" t="s">
        <v>56436</v>
      </c>
      <c r="BF5870" s="3" t="s">
        <v>56435</v>
      </c>
      <c r="BG5870" s="3" t="s">
        <v>56437</v>
      </c>
    </row>
    <row r="5871" spans="1:59" ht="57" x14ac:dyDescent="0.45">
      <c r="A5871" s="2" t="s">
        <v>59</v>
      </c>
      <c r="B5871" s="2" t="s">
        <v>60</v>
      </c>
      <c r="C5871" s="2" t="s">
        <v>56438</v>
      </c>
      <c r="D5871" s="2" t="s">
        <v>56439</v>
      </c>
      <c r="E5871" s="2" t="s">
        <v>56440</v>
      </c>
      <c r="G5871" s="3" t="s">
        <v>62</v>
      </c>
      <c r="I5871" s="3" t="s">
        <v>61</v>
      </c>
      <c r="J5871" s="3" t="s">
        <v>61</v>
      </c>
      <c r="K5871" s="3" t="s">
        <v>63</v>
      </c>
      <c r="L5871" s="2" t="s">
        <v>41088</v>
      </c>
      <c r="M5871" s="2" t="s">
        <v>25332</v>
      </c>
      <c r="N5871" s="3" t="s">
        <v>1253</v>
      </c>
      <c r="P5871" s="3" t="s">
        <v>65</v>
      </c>
      <c r="Q5871" s="2" t="s">
        <v>41981</v>
      </c>
      <c r="R5871" s="3" t="s">
        <v>66</v>
      </c>
      <c r="S5871" s="4">
        <v>35</v>
      </c>
      <c r="T5871" s="4">
        <v>62</v>
      </c>
      <c r="U5871" s="5" t="s">
        <v>56441</v>
      </c>
      <c r="V5871" s="5" t="s">
        <v>3596</v>
      </c>
      <c r="W5871" s="5" t="s">
        <v>67</v>
      </c>
      <c r="X5871" s="5" t="s">
        <v>67</v>
      </c>
      <c r="Y5871" s="4">
        <v>436</v>
      </c>
      <c r="Z5871" s="4">
        <v>35</v>
      </c>
      <c r="AA5871" s="4">
        <v>130</v>
      </c>
      <c r="AB5871" s="4">
        <v>2</v>
      </c>
      <c r="AC5871" s="4">
        <v>24</v>
      </c>
      <c r="AD5871" s="4">
        <v>112</v>
      </c>
      <c r="AE5871" s="4">
        <v>160</v>
      </c>
      <c r="AF5871" s="4">
        <v>1</v>
      </c>
      <c r="AG5871" s="4">
        <v>9</v>
      </c>
      <c r="AH5871" s="4">
        <v>92</v>
      </c>
      <c r="AI5871" s="4">
        <v>110</v>
      </c>
      <c r="AJ5871" s="4">
        <v>18</v>
      </c>
      <c r="AK5871" s="4">
        <v>28</v>
      </c>
      <c r="AL5871" s="4">
        <v>51</v>
      </c>
      <c r="AM5871" s="4">
        <v>59</v>
      </c>
      <c r="AN5871" s="4">
        <v>0</v>
      </c>
      <c r="AO5871" s="4">
        <v>0</v>
      </c>
      <c r="AP5871" s="4">
        <v>28</v>
      </c>
      <c r="AQ5871" s="4">
        <v>58</v>
      </c>
      <c r="AR5871" s="3" t="s">
        <v>62</v>
      </c>
      <c r="AS5871" s="3" t="s">
        <v>62</v>
      </c>
      <c r="AT5871" s="3" t="s">
        <v>62</v>
      </c>
      <c r="AV5871" s="6" t="str">
        <f>HYPERLINK("http://mcgill.on.worldcat.org/oclc/36485999","Catalog Record")</f>
        <v>Catalog Record</v>
      </c>
      <c r="AW5871" s="6" t="str">
        <f>HYPERLINK("http://www.worldcat.org/oclc/36485999","WorldCat Record")</f>
        <v>WorldCat Record</v>
      </c>
      <c r="AX5871" s="3" t="s">
        <v>56442</v>
      </c>
      <c r="AY5871" s="3" t="s">
        <v>56443</v>
      </c>
      <c r="AZ5871" s="3" t="s">
        <v>56444</v>
      </c>
      <c r="BA5871" s="3" t="s">
        <v>56444</v>
      </c>
      <c r="BB5871" s="3" t="s">
        <v>56445</v>
      </c>
      <c r="BC5871" s="3" t="s">
        <v>142</v>
      </c>
      <c r="BD5871" s="3" t="s">
        <v>68</v>
      </c>
      <c r="BE5871" s="3" t="s">
        <v>56446</v>
      </c>
      <c r="BF5871" s="3" t="s">
        <v>56445</v>
      </c>
      <c r="BG5871" s="3" t="s">
        <v>56447</v>
      </c>
    </row>
    <row r="5872" spans="1:59" ht="57" x14ac:dyDescent="0.45">
      <c r="A5872" s="2" t="s">
        <v>59</v>
      </c>
      <c r="B5872" s="2" t="s">
        <v>60</v>
      </c>
      <c r="C5872" s="2" t="s">
        <v>56438</v>
      </c>
      <c r="D5872" s="2" t="s">
        <v>56439</v>
      </c>
      <c r="E5872" s="2" t="s">
        <v>56440</v>
      </c>
      <c r="G5872" s="3" t="s">
        <v>62</v>
      </c>
      <c r="I5872" s="3" t="s">
        <v>61</v>
      </c>
      <c r="J5872" s="3" t="s">
        <v>61</v>
      </c>
      <c r="K5872" s="3" t="s">
        <v>63</v>
      </c>
      <c r="L5872" s="2" t="s">
        <v>41088</v>
      </c>
      <c r="M5872" s="2" t="s">
        <v>25332</v>
      </c>
      <c r="N5872" s="3" t="s">
        <v>1253</v>
      </c>
      <c r="P5872" s="3" t="s">
        <v>65</v>
      </c>
      <c r="Q5872" s="2" t="s">
        <v>41981</v>
      </c>
      <c r="R5872" s="3" t="s">
        <v>66</v>
      </c>
      <c r="S5872" s="4">
        <v>27</v>
      </c>
      <c r="T5872" s="4">
        <v>62</v>
      </c>
      <c r="U5872" s="5" t="s">
        <v>3596</v>
      </c>
      <c r="V5872" s="5" t="s">
        <v>3596</v>
      </c>
      <c r="W5872" s="5" t="s">
        <v>67</v>
      </c>
      <c r="X5872" s="5" t="s">
        <v>67</v>
      </c>
      <c r="Y5872" s="4">
        <v>436</v>
      </c>
      <c r="Z5872" s="4">
        <v>35</v>
      </c>
      <c r="AA5872" s="4">
        <v>130</v>
      </c>
      <c r="AB5872" s="4">
        <v>2</v>
      </c>
      <c r="AC5872" s="4">
        <v>24</v>
      </c>
      <c r="AD5872" s="4">
        <v>112</v>
      </c>
      <c r="AE5872" s="4">
        <v>160</v>
      </c>
      <c r="AF5872" s="4">
        <v>1</v>
      </c>
      <c r="AG5872" s="4">
        <v>9</v>
      </c>
      <c r="AH5872" s="4">
        <v>92</v>
      </c>
      <c r="AI5872" s="4">
        <v>110</v>
      </c>
      <c r="AJ5872" s="4">
        <v>18</v>
      </c>
      <c r="AK5872" s="4">
        <v>28</v>
      </c>
      <c r="AL5872" s="4">
        <v>51</v>
      </c>
      <c r="AM5872" s="4">
        <v>59</v>
      </c>
      <c r="AN5872" s="4">
        <v>0</v>
      </c>
      <c r="AO5872" s="4">
        <v>0</v>
      </c>
      <c r="AP5872" s="4">
        <v>28</v>
      </c>
      <c r="AQ5872" s="4">
        <v>58</v>
      </c>
      <c r="AR5872" s="3" t="s">
        <v>62</v>
      </c>
      <c r="AS5872" s="3" t="s">
        <v>62</v>
      </c>
      <c r="AT5872" s="3" t="s">
        <v>62</v>
      </c>
      <c r="AV5872" s="6" t="str">
        <f>HYPERLINK("http://mcgill.on.worldcat.org/oclc/36485999","Catalog Record")</f>
        <v>Catalog Record</v>
      </c>
      <c r="AW5872" s="6" t="str">
        <f>HYPERLINK("http://www.worldcat.org/oclc/36485999","WorldCat Record")</f>
        <v>WorldCat Record</v>
      </c>
      <c r="AX5872" s="3" t="s">
        <v>56442</v>
      </c>
      <c r="AY5872" s="3" t="s">
        <v>56443</v>
      </c>
      <c r="AZ5872" s="3" t="s">
        <v>56444</v>
      </c>
      <c r="BA5872" s="3" t="s">
        <v>56444</v>
      </c>
      <c r="BB5872" s="3" t="s">
        <v>56448</v>
      </c>
      <c r="BC5872" s="3" t="s">
        <v>142</v>
      </c>
      <c r="BD5872" s="3" t="s">
        <v>68</v>
      </c>
      <c r="BE5872" s="3" t="s">
        <v>56446</v>
      </c>
      <c r="BF5872" s="3" t="s">
        <v>56448</v>
      </c>
      <c r="BG5872" s="3" t="s">
        <v>56449</v>
      </c>
    </row>
    <row r="5873" spans="1:59" ht="57" x14ac:dyDescent="0.45">
      <c r="A5873" s="2" t="s">
        <v>59</v>
      </c>
      <c r="B5873" s="2" t="s">
        <v>60</v>
      </c>
      <c r="C5873" s="2" t="s">
        <v>56450</v>
      </c>
      <c r="D5873" s="2" t="s">
        <v>56451</v>
      </c>
      <c r="E5873" s="2" t="s">
        <v>56440</v>
      </c>
      <c r="G5873" s="3" t="s">
        <v>62</v>
      </c>
      <c r="I5873" s="3" t="s">
        <v>62</v>
      </c>
      <c r="J5873" s="3" t="s">
        <v>61</v>
      </c>
      <c r="K5873" s="3" t="s">
        <v>63</v>
      </c>
      <c r="L5873" s="2" t="s">
        <v>41088</v>
      </c>
      <c r="M5873" s="2" t="s">
        <v>2764</v>
      </c>
      <c r="N5873" s="3" t="s">
        <v>1097</v>
      </c>
      <c r="P5873" s="3" t="s">
        <v>65</v>
      </c>
      <c r="Q5873" s="2" t="s">
        <v>41981</v>
      </c>
      <c r="R5873" s="3" t="s">
        <v>66</v>
      </c>
      <c r="S5873" s="4">
        <v>32</v>
      </c>
      <c r="T5873" s="4">
        <v>32</v>
      </c>
      <c r="U5873" s="5" t="s">
        <v>5247</v>
      </c>
      <c r="V5873" s="5" t="s">
        <v>5247</v>
      </c>
      <c r="W5873" s="5" t="s">
        <v>67</v>
      </c>
      <c r="X5873" s="5" t="s">
        <v>67</v>
      </c>
      <c r="Y5873" s="4">
        <v>257</v>
      </c>
      <c r="Z5873" s="4">
        <v>19</v>
      </c>
      <c r="AA5873" s="4">
        <v>130</v>
      </c>
      <c r="AB5873" s="4">
        <v>2</v>
      </c>
      <c r="AC5873" s="4">
        <v>24</v>
      </c>
      <c r="AD5873" s="4">
        <v>71</v>
      </c>
      <c r="AE5873" s="4">
        <v>160</v>
      </c>
      <c r="AF5873" s="4">
        <v>1</v>
      </c>
      <c r="AG5873" s="4">
        <v>9</v>
      </c>
      <c r="AH5873" s="4">
        <v>63</v>
      </c>
      <c r="AI5873" s="4">
        <v>110</v>
      </c>
      <c r="AJ5873" s="4">
        <v>9</v>
      </c>
      <c r="AK5873" s="4">
        <v>28</v>
      </c>
      <c r="AL5873" s="4">
        <v>36</v>
      </c>
      <c r="AM5873" s="4">
        <v>59</v>
      </c>
      <c r="AN5873" s="4">
        <v>0</v>
      </c>
      <c r="AO5873" s="4">
        <v>0</v>
      </c>
      <c r="AP5873" s="4">
        <v>13</v>
      </c>
      <c r="AQ5873" s="4">
        <v>58</v>
      </c>
      <c r="AR5873" s="3" t="s">
        <v>62</v>
      </c>
      <c r="AS5873" s="3" t="s">
        <v>62</v>
      </c>
      <c r="AT5873" s="3" t="s">
        <v>62</v>
      </c>
      <c r="AV5873" s="6" t="str">
        <f>HYPERLINK("http://mcgill.on.worldcat.org/oclc/53970834","Catalog Record")</f>
        <v>Catalog Record</v>
      </c>
      <c r="AW5873" s="6" t="str">
        <f>HYPERLINK("http://www.worldcat.org/oclc/53970834","WorldCat Record")</f>
        <v>WorldCat Record</v>
      </c>
      <c r="AX5873" s="3" t="s">
        <v>56442</v>
      </c>
      <c r="AY5873" s="3" t="s">
        <v>56452</v>
      </c>
      <c r="AZ5873" s="3" t="s">
        <v>56453</v>
      </c>
      <c r="BA5873" s="3" t="s">
        <v>56453</v>
      </c>
      <c r="BB5873" s="3" t="s">
        <v>56454</v>
      </c>
      <c r="BC5873" s="3" t="s">
        <v>142</v>
      </c>
      <c r="BD5873" s="3" t="s">
        <v>68</v>
      </c>
      <c r="BE5873" s="3" t="s">
        <v>56455</v>
      </c>
      <c r="BF5873" s="3" t="s">
        <v>56454</v>
      </c>
      <c r="BG5873" s="3" t="s">
        <v>56456</v>
      </c>
    </row>
    <row r="5874" spans="1:59" ht="57" x14ac:dyDescent="0.45">
      <c r="A5874" s="2" t="s">
        <v>59</v>
      </c>
      <c r="B5874" s="2" t="s">
        <v>60</v>
      </c>
      <c r="C5874" s="2" t="s">
        <v>56457</v>
      </c>
      <c r="D5874" s="2" t="s">
        <v>56458</v>
      </c>
      <c r="E5874" s="2" t="s">
        <v>56459</v>
      </c>
      <c r="G5874" s="3" t="s">
        <v>62</v>
      </c>
      <c r="I5874" s="3" t="s">
        <v>62</v>
      </c>
      <c r="J5874" s="3" t="s">
        <v>62</v>
      </c>
      <c r="K5874" s="3" t="s">
        <v>63</v>
      </c>
      <c r="M5874" s="2" t="s">
        <v>28088</v>
      </c>
      <c r="N5874" s="3" t="s">
        <v>918</v>
      </c>
      <c r="P5874" s="3" t="s">
        <v>65</v>
      </c>
      <c r="Q5874" s="2" t="s">
        <v>56460</v>
      </c>
      <c r="R5874" s="3" t="s">
        <v>66</v>
      </c>
      <c r="S5874" s="4">
        <v>21</v>
      </c>
      <c r="T5874" s="4">
        <v>21</v>
      </c>
      <c r="U5874" s="5" t="s">
        <v>17306</v>
      </c>
      <c r="V5874" s="5" t="s">
        <v>17306</v>
      </c>
      <c r="W5874" s="5" t="s">
        <v>67</v>
      </c>
      <c r="X5874" s="5" t="s">
        <v>67</v>
      </c>
      <c r="Y5874" s="4">
        <v>264</v>
      </c>
      <c r="Z5874" s="4">
        <v>17</v>
      </c>
      <c r="AA5874" s="4">
        <v>18</v>
      </c>
      <c r="AB5874" s="4">
        <v>1</v>
      </c>
      <c r="AC5874" s="4">
        <v>2</v>
      </c>
      <c r="AD5874" s="4">
        <v>85</v>
      </c>
      <c r="AE5874" s="4">
        <v>86</v>
      </c>
      <c r="AF5874" s="4">
        <v>0</v>
      </c>
      <c r="AG5874" s="4">
        <v>1</v>
      </c>
      <c r="AH5874" s="4">
        <v>76</v>
      </c>
      <c r="AI5874" s="4">
        <v>76</v>
      </c>
      <c r="AJ5874" s="4">
        <v>11</v>
      </c>
      <c r="AK5874" s="4">
        <v>12</v>
      </c>
      <c r="AL5874" s="4">
        <v>44</v>
      </c>
      <c r="AM5874" s="4">
        <v>44</v>
      </c>
      <c r="AN5874" s="4">
        <v>0</v>
      </c>
      <c r="AO5874" s="4">
        <v>0</v>
      </c>
      <c r="AP5874" s="4">
        <v>13</v>
      </c>
      <c r="AQ5874" s="4">
        <v>14</v>
      </c>
      <c r="AR5874" s="3" t="s">
        <v>62</v>
      </c>
      <c r="AS5874" s="3" t="s">
        <v>62</v>
      </c>
      <c r="AT5874" s="3" t="s">
        <v>62</v>
      </c>
      <c r="AV5874" s="6" t="str">
        <f>HYPERLINK("http://mcgill.on.worldcat.org/oclc/52806071","Catalog Record")</f>
        <v>Catalog Record</v>
      </c>
      <c r="AW5874" s="6" t="str">
        <f>HYPERLINK("http://www.worldcat.org/oclc/52806071","WorldCat Record")</f>
        <v>WorldCat Record</v>
      </c>
      <c r="AX5874" s="3" t="s">
        <v>56461</v>
      </c>
      <c r="AY5874" s="3" t="s">
        <v>56462</v>
      </c>
      <c r="AZ5874" s="3" t="s">
        <v>56463</v>
      </c>
      <c r="BA5874" s="3" t="s">
        <v>56463</v>
      </c>
      <c r="BB5874" s="3" t="s">
        <v>56464</v>
      </c>
      <c r="BC5874" s="3" t="s">
        <v>142</v>
      </c>
      <c r="BD5874" s="3" t="s">
        <v>308</v>
      </c>
      <c r="BE5874" s="3" t="s">
        <v>56465</v>
      </c>
      <c r="BF5874" s="3" t="s">
        <v>56464</v>
      </c>
      <c r="BG5874" s="3" t="s">
        <v>56466</v>
      </c>
    </row>
    <row r="5875" spans="1:59" ht="57" x14ac:dyDescent="0.45">
      <c r="A5875" s="2" t="s">
        <v>59</v>
      </c>
      <c r="B5875" s="2" t="s">
        <v>60</v>
      </c>
      <c r="C5875" s="2" t="s">
        <v>56467</v>
      </c>
      <c r="D5875" s="2" t="s">
        <v>56468</v>
      </c>
      <c r="E5875" s="2" t="s">
        <v>56469</v>
      </c>
      <c r="G5875" s="3" t="s">
        <v>62</v>
      </c>
      <c r="I5875" s="3" t="s">
        <v>62</v>
      </c>
      <c r="J5875" s="3" t="s">
        <v>62</v>
      </c>
      <c r="K5875" s="3" t="s">
        <v>63</v>
      </c>
      <c r="M5875" s="2" t="s">
        <v>56470</v>
      </c>
      <c r="N5875" s="3" t="s">
        <v>1253</v>
      </c>
      <c r="P5875" s="3" t="s">
        <v>65</v>
      </c>
      <c r="Q5875" s="2" t="s">
        <v>56471</v>
      </c>
      <c r="R5875" s="3" t="s">
        <v>66</v>
      </c>
      <c r="S5875" s="4">
        <v>22</v>
      </c>
      <c r="T5875" s="4">
        <v>22</v>
      </c>
      <c r="U5875" s="5" t="s">
        <v>56472</v>
      </c>
      <c r="V5875" s="5" t="s">
        <v>56472</v>
      </c>
      <c r="W5875" s="5" t="s">
        <v>67</v>
      </c>
      <c r="X5875" s="5" t="s">
        <v>67</v>
      </c>
      <c r="Y5875" s="4">
        <v>82</v>
      </c>
      <c r="Z5875" s="4">
        <v>7</v>
      </c>
      <c r="AA5875" s="4">
        <v>7</v>
      </c>
      <c r="AB5875" s="4">
        <v>1</v>
      </c>
      <c r="AC5875" s="4">
        <v>1</v>
      </c>
      <c r="AD5875" s="4">
        <v>35</v>
      </c>
      <c r="AE5875" s="4">
        <v>35</v>
      </c>
      <c r="AF5875" s="4">
        <v>0</v>
      </c>
      <c r="AG5875" s="4">
        <v>0</v>
      </c>
      <c r="AH5875" s="4">
        <v>32</v>
      </c>
      <c r="AI5875" s="4">
        <v>32</v>
      </c>
      <c r="AJ5875" s="4">
        <v>4</v>
      </c>
      <c r="AK5875" s="4">
        <v>4</v>
      </c>
      <c r="AL5875" s="4">
        <v>25</v>
      </c>
      <c r="AM5875" s="4">
        <v>25</v>
      </c>
      <c r="AN5875" s="4">
        <v>0</v>
      </c>
      <c r="AO5875" s="4">
        <v>0</v>
      </c>
      <c r="AP5875" s="4">
        <v>4</v>
      </c>
      <c r="AQ5875" s="4">
        <v>4</v>
      </c>
      <c r="AR5875" s="3" t="s">
        <v>62</v>
      </c>
      <c r="AS5875" s="3" t="s">
        <v>62</v>
      </c>
      <c r="AT5875" s="3" t="s">
        <v>62</v>
      </c>
      <c r="AV5875" s="6" t="str">
        <f>HYPERLINK("http://mcgill.on.worldcat.org/oclc/38471194","Catalog Record")</f>
        <v>Catalog Record</v>
      </c>
      <c r="AW5875" s="6" t="str">
        <f>HYPERLINK("http://www.worldcat.org/oclc/38471194","WorldCat Record")</f>
        <v>WorldCat Record</v>
      </c>
      <c r="AX5875" s="3" t="s">
        <v>56473</v>
      </c>
      <c r="AY5875" s="3" t="s">
        <v>56474</v>
      </c>
      <c r="AZ5875" s="3" t="s">
        <v>56475</v>
      </c>
      <c r="BA5875" s="3" t="s">
        <v>56475</v>
      </c>
      <c r="BB5875" s="3" t="s">
        <v>56476</v>
      </c>
      <c r="BC5875" s="3" t="s">
        <v>142</v>
      </c>
      <c r="BD5875" s="3" t="s">
        <v>68</v>
      </c>
      <c r="BE5875" s="3" t="s">
        <v>56477</v>
      </c>
      <c r="BF5875" s="3" t="s">
        <v>56476</v>
      </c>
      <c r="BG5875" s="3" t="s">
        <v>56478</v>
      </c>
    </row>
    <row r="5876" spans="1:59" ht="57" x14ac:dyDescent="0.45">
      <c r="A5876" s="2" t="s">
        <v>59</v>
      </c>
      <c r="B5876" s="2" t="s">
        <v>60</v>
      </c>
      <c r="C5876" s="2" t="s">
        <v>56479</v>
      </c>
      <c r="D5876" s="2" t="s">
        <v>56480</v>
      </c>
      <c r="E5876" s="2" t="s">
        <v>56481</v>
      </c>
      <c r="G5876" s="3" t="s">
        <v>62</v>
      </c>
      <c r="I5876" s="3" t="s">
        <v>62</v>
      </c>
      <c r="J5876" s="3" t="s">
        <v>62</v>
      </c>
      <c r="K5876" s="3" t="s">
        <v>63</v>
      </c>
      <c r="M5876" s="2" t="s">
        <v>56482</v>
      </c>
      <c r="N5876" s="3" t="s">
        <v>19337</v>
      </c>
      <c r="P5876" s="3" t="s">
        <v>65</v>
      </c>
      <c r="Q5876" s="2" t="s">
        <v>56483</v>
      </c>
      <c r="R5876" s="3" t="s">
        <v>66</v>
      </c>
      <c r="S5876" s="4">
        <v>0</v>
      </c>
      <c r="T5876" s="4">
        <v>0</v>
      </c>
      <c r="W5876" s="5" t="s">
        <v>45270</v>
      </c>
      <c r="X5876" s="5" t="s">
        <v>45270</v>
      </c>
      <c r="Y5876" s="4">
        <v>30</v>
      </c>
      <c r="Z5876" s="4">
        <v>4</v>
      </c>
      <c r="AA5876" s="4">
        <v>7</v>
      </c>
      <c r="AB5876" s="4">
        <v>1</v>
      </c>
      <c r="AC5876" s="4">
        <v>3</v>
      </c>
      <c r="AD5876" s="4">
        <v>17</v>
      </c>
      <c r="AE5876" s="4">
        <v>20</v>
      </c>
      <c r="AF5876" s="4">
        <v>0</v>
      </c>
      <c r="AG5876" s="4">
        <v>0</v>
      </c>
      <c r="AH5876" s="4">
        <v>16</v>
      </c>
      <c r="AI5876" s="4">
        <v>17</v>
      </c>
      <c r="AJ5876" s="4">
        <v>2</v>
      </c>
      <c r="AK5876" s="4">
        <v>2</v>
      </c>
      <c r="AL5876" s="4">
        <v>10</v>
      </c>
      <c r="AM5876" s="4">
        <v>12</v>
      </c>
      <c r="AN5876" s="4">
        <v>0</v>
      </c>
      <c r="AO5876" s="4">
        <v>0</v>
      </c>
      <c r="AP5876" s="4">
        <v>3</v>
      </c>
      <c r="AQ5876" s="4">
        <v>4</v>
      </c>
      <c r="AR5876" s="3" t="s">
        <v>62</v>
      </c>
      <c r="AS5876" s="3" t="s">
        <v>62</v>
      </c>
      <c r="AT5876" s="3" t="s">
        <v>62</v>
      </c>
      <c r="AV5876" s="6" t="str">
        <f>HYPERLINK("http://mcgill.on.worldcat.org/oclc/1054393318","Catalog Record")</f>
        <v>Catalog Record</v>
      </c>
      <c r="AW5876" s="6" t="str">
        <f>HYPERLINK("http://www.worldcat.org/oclc/1054393318","WorldCat Record")</f>
        <v>WorldCat Record</v>
      </c>
      <c r="AX5876" s="3" t="s">
        <v>56484</v>
      </c>
      <c r="AY5876" s="3" t="s">
        <v>56485</v>
      </c>
      <c r="AZ5876" s="3" t="s">
        <v>56486</v>
      </c>
      <c r="BA5876" s="3" t="s">
        <v>56486</v>
      </c>
      <c r="BB5876" s="3" t="s">
        <v>56487</v>
      </c>
      <c r="BC5876" s="3" t="s">
        <v>142</v>
      </c>
      <c r="BD5876" s="3" t="s">
        <v>68</v>
      </c>
      <c r="BE5876" s="3" t="s">
        <v>56488</v>
      </c>
      <c r="BF5876" s="3" t="s">
        <v>56487</v>
      </c>
      <c r="BG5876" s="3" t="s">
        <v>56489</v>
      </c>
    </row>
    <row r="5877" spans="1:59" ht="57" x14ac:dyDescent="0.45">
      <c r="A5877" s="2" t="s">
        <v>59</v>
      </c>
      <c r="B5877" s="2" t="s">
        <v>60</v>
      </c>
      <c r="C5877" s="2" t="s">
        <v>56490</v>
      </c>
      <c r="D5877" s="2" t="s">
        <v>56491</v>
      </c>
      <c r="E5877" s="2" t="s">
        <v>56492</v>
      </c>
      <c r="G5877" s="3" t="s">
        <v>62</v>
      </c>
      <c r="I5877" s="3" t="s">
        <v>62</v>
      </c>
      <c r="J5877" s="3" t="s">
        <v>62</v>
      </c>
      <c r="K5877" s="3" t="s">
        <v>63</v>
      </c>
      <c r="L5877" s="2" t="s">
        <v>7319</v>
      </c>
      <c r="M5877" s="2" t="s">
        <v>56493</v>
      </c>
      <c r="N5877" s="3" t="s">
        <v>195</v>
      </c>
      <c r="P5877" s="3" t="s">
        <v>65</v>
      </c>
      <c r="Q5877" s="2" t="s">
        <v>56494</v>
      </c>
      <c r="R5877" s="3" t="s">
        <v>66</v>
      </c>
      <c r="S5877" s="4">
        <v>28</v>
      </c>
      <c r="T5877" s="4">
        <v>28</v>
      </c>
      <c r="U5877" s="5" t="s">
        <v>28941</v>
      </c>
      <c r="V5877" s="5" t="s">
        <v>28941</v>
      </c>
      <c r="W5877" s="5" t="s">
        <v>67</v>
      </c>
      <c r="X5877" s="5" t="s">
        <v>67</v>
      </c>
      <c r="Y5877" s="4">
        <v>157</v>
      </c>
      <c r="Z5877" s="4">
        <v>14</v>
      </c>
      <c r="AA5877" s="4">
        <v>14</v>
      </c>
      <c r="AB5877" s="4">
        <v>1</v>
      </c>
      <c r="AC5877" s="4">
        <v>1</v>
      </c>
      <c r="AD5877" s="4">
        <v>35</v>
      </c>
      <c r="AE5877" s="4">
        <v>35</v>
      </c>
      <c r="AF5877" s="4">
        <v>0</v>
      </c>
      <c r="AG5877" s="4">
        <v>0</v>
      </c>
      <c r="AH5877" s="4">
        <v>29</v>
      </c>
      <c r="AI5877" s="4">
        <v>29</v>
      </c>
      <c r="AJ5877" s="4">
        <v>11</v>
      </c>
      <c r="AK5877" s="4">
        <v>11</v>
      </c>
      <c r="AL5877" s="4">
        <v>16</v>
      </c>
      <c r="AM5877" s="4">
        <v>16</v>
      </c>
      <c r="AN5877" s="4">
        <v>0</v>
      </c>
      <c r="AO5877" s="4">
        <v>0</v>
      </c>
      <c r="AP5877" s="4">
        <v>12</v>
      </c>
      <c r="AQ5877" s="4">
        <v>12</v>
      </c>
      <c r="AR5877" s="3" t="s">
        <v>62</v>
      </c>
      <c r="AS5877" s="3" t="s">
        <v>62</v>
      </c>
      <c r="AT5877" s="3" t="s">
        <v>61</v>
      </c>
      <c r="AU5877" s="6" t="str">
        <f>HYPERLINK("http://catalog.hathitrust.org/Record/007111560","HathiTrust Record")</f>
        <v>HathiTrust Record</v>
      </c>
      <c r="AV5877" s="6" t="str">
        <f>HYPERLINK("http://mcgill.on.worldcat.org/oclc/31078944","Catalog Record")</f>
        <v>Catalog Record</v>
      </c>
      <c r="AW5877" s="6" t="str">
        <f>HYPERLINK("http://www.worldcat.org/oclc/31078944","WorldCat Record")</f>
        <v>WorldCat Record</v>
      </c>
      <c r="AX5877" s="3" t="s">
        <v>56495</v>
      </c>
      <c r="AY5877" s="3" t="s">
        <v>56496</v>
      </c>
      <c r="AZ5877" s="3" t="s">
        <v>56497</v>
      </c>
      <c r="BA5877" s="3" t="s">
        <v>56497</v>
      </c>
      <c r="BB5877" s="3" t="s">
        <v>56498</v>
      </c>
      <c r="BC5877" s="3" t="s">
        <v>142</v>
      </c>
      <c r="BD5877" s="3" t="s">
        <v>68</v>
      </c>
      <c r="BE5877" s="3" t="s">
        <v>56499</v>
      </c>
      <c r="BF5877" s="3" t="s">
        <v>56498</v>
      </c>
      <c r="BG5877" s="3" t="s">
        <v>56500</v>
      </c>
    </row>
    <row r="5878" spans="1:59" ht="57" x14ac:dyDescent="0.45">
      <c r="A5878" s="2" t="s">
        <v>59</v>
      </c>
      <c r="B5878" s="2" t="s">
        <v>60</v>
      </c>
      <c r="C5878" s="2" t="s">
        <v>56501</v>
      </c>
      <c r="D5878" s="2" t="s">
        <v>56502</v>
      </c>
      <c r="E5878" s="2" t="s">
        <v>56503</v>
      </c>
      <c r="G5878" s="3" t="s">
        <v>62</v>
      </c>
      <c r="I5878" s="3" t="s">
        <v>61</v>
      </c>
      <c r="J5878" s="3" t="s">
        <v>62</v>
      </c>
      <c r="K5878" s="3" t="s">
        <v>63</v>
      </c>
      <c r="M5878" s="2" t="s">
        <v>47001</v>
      </c>
      <c r="N5878" s="3" t="s">
        <v>3160</v>
      </c>
      <c r="P5878" s="3" t="s">
        <v>65</v>
      </c>
      <c r="R5878" s="3" t="s">
        <v>66</v>
      </c>
      <c r="S5878" s="4">
        <v>107</v>
      </c>
      <c r="T5878" s="4">
        <v>107</v>
      </c>
      <c r="U5878" s="5" t="s">
        <v>11599</v>
      </c>
      <c r="V5878" s="5" t="s">
        <v>11599</v>
      </c>
      <c r="W5878" s="5" t="s">
        <v>67</v>
      </c>
      <c r="X5878" s="5" t="s">
        <v>67</v>
      </c>
      <c r="Y5878" s="4">
        <v>633</v>
      </c>
      <c r="Z5878" s="4">
        <v>41</v>
      </c>
      <c r="AA5878" s="4">
        <v>44</v>
      </c>
      <c r="AB5878" s="4">
        <v>4</v>
      </c>
      <c r="AC5878" s="4">
        <v>7</v>
      </c>
      <c r="AD5878" s="4">
        <v>116</v>
      </c>
      <c r="AE5878" s="4">
        <v>118</v>
      </c>
      <c r="AF5878" s="4">
        <v>2</v>
      </c>
      <c r="AG5878" s="4">
        <v>4</v>
      </c>
      <c r="AH5878" s="4">
        <v>93</v>
      </c>
      <c r="AI5878" s="4">
        <v>93</v>
      </c>
      <c r="AJ5878" s="4">
        <v>18</v>
      </c>
      <c r="AK5878" s="4">
        <v>20</v>
      </c>
      <c r="AL5878" s="4">
        <v>55</v>
      </c>
      <c r="AM5878" s="4">
        <v>55</v>
      </c>
      <c r="AN5878" s="4">
        <v>0</v>
      </c>
      <c r="AO5878" s="4">
        <v>0</v>
      </c>
      <c r="AP5878" s="4">
        <v>30</v>
      </c>
      <c r="AQ5878" s="4">
        <v>31</v>
      </c>
      <c r="AR5878" s="3" t="s">
        <v>62</v>
      </c>
      <c r="AS5878" s="3" t="s">
        <v>62</v>
      </c>
      <c r="AT5878" s="3" t="s">
        <v>61</v>
      </c>
      <c r="AU5878" s="6" t="str">
        <f>HYPERLINK("http://catalog.hathitrust.org/Record/000392287","HathiTrust Record")</f>
        <v>HathiTrust Record</v>
      </c>
      <c r="AV5878" s="6" t="str">
        <f>HYPERLINK("http://mcgill.on.worldcat.org/oclc/6790570","Catalog Record")</f>
        <v>Catalog Record</v>
      </c>
      <c r="AW5878" s="6" t="str">
        <f>HYPERLINK("http://www.worldcat.org/oclc/6790570","WorldCat Record")</f>
        <v>WorldCat Record</v>
      </c>
      <c r="AX5878" s="3" t="s">
        <v>56504</v>
      </c>
      <c r="AY5878" s="3" t="s">
        <v>56505</v>
      </c>
      <c r="AZ5878" s="3" t="s">
        <v>56506</v>
      </c>
      <c r="BA5878" s="3" t="s">
        <v>56506</v>
      </c>
      <c r="BB5878" s="3" t="s">
        <v>56507</v>
      </c>
      <c r="BC5878" s="3" t="s">
        <v>142</v>
      </c>
      <c r="BD5878" s="3" t="s">
        <v>68</v>
      </c>
      <c r="BE5878" s="3" t="s">
        <v>56508</v>
      </c>
      <c r="BF5878" s="3" t="s">
        <v>56507</v>
      </c>
      <c r="BG5878" s="3" t="s">
        <v>56509</v>
      </c>
    </row>
    <row r="5879" spans="1:59" ht="57" x14ac:dyDescent="0.45">
      <c r="A5879" s="2" t="s">
        <v>59</v>
      </c>
      <c r="B5879" s="2" t="s">
        <v>60</v>
      </c>
      <c r="C5879" s="2" t="s">
        <v>56510</v>
      </c>
      <c r="D5879" s="2" t="s">
        <v>56511</v>
      </c>
      <c r="E5879" s="2" t="s">
        <v>56512</v>
      </c>
      <c r="G5879" s="3" t="s">
        <v>62</v>
      </c>
      <c r="I5879" s="3" t="s">
        <v>62</v>
      </c>
      <c r="J5879" s="3" t="s">
        <v>62</v>
      </c>
      <c r="K5879" s="3" t="s">
        <v>63</v>
      </c>
      <c r="L5879" s="2" t="s">
        <v>56513</v>
      </c>
      <c r="M5879" s="2" t="s">
        <v>56514</v>
      </c>
      <c r="N5879" s="3" t="s">
        <v>1059</v>
      </c>
      <c r="P5879" s="3" t="s">
        <v>65</v>
      </c>
      <c r="Q5879" s="2" t="s">
        <v>56515</v>
      </c>
      <c r="R5879" s="3" t="s">
        <v>66</v>
      </c>
      <c r="S5879" s="4">
        <v>23</v>
      </c>
      <c r="T5879" s="4">
        <v>23</v>
      </c>
      <c r="U5879" s="5" t="s">
        <v>3485</v>
      </c>
      <c r="V5879" s="5" t="s">
        <v>3485</v>
      </c>
      <c r="W5879" s="5" t="s">
        <v>67</v>
      </c>
      <c r="X5879" s="5" t="s">
        <v>67</v>
      </c>
      <c r="Y5879" s="4">
        <v>210</v>
      </c>
      <c r="Z5879" s="4">
        <v>13</v>
      </c>
      <c r="AA5879" s="4">
        <v>23</v>
      </c>
      <c r="AB5879" s="4">
        <v>1</v>
      </c>
      <c r="AC5879" s="4">
        <v>6</v>
      </c>
      <c r="AD5879" s="4">
        <v>41</v>
      </c>
      <c r="AE5879" s="4">
        <v>51</v>
      </c>
      <c r="AF5879" s="4">
        <v>0</v>
      </c>
      <c r="AG5879" s="4">
        <v>2</v>
      </c>
      <c r="AH5879" s="4">
        <v>34</v>
      </c>
      <c r="AI5879" s="4">
        <v>42</v>
      </c>
      <c r="AJ5879" s="4">
        <v>11</v>
      </c>
      <c r="AK5879" s="4">
        <v>16</v>
      </c>
      <c r="AL5879" s="4">
        <v>17</v>
      </c>
      <c r="AM5879" s="4">
        <v>21</v>
      </c>
      <c r="AN5879" s="4">
        <v>0</v>
      </c>
      <c r="AO5879" s="4">
        <v>0</v>
      </c>
      <c r="AP5879" s="4">
        <v>12</v>
      </c>
      <c r="AQ5879" s="4">
        <v>17</v>
      </c>
      <c r="AR5879" s="3" t="s">
        <v>62</v>
      </c>
      <c r="AS5879" s="3" t="s">
        <v>62</v>
      </c>
      <c r="AT5879" s="3" t="s">
        <v>62</v>
      </c>
      <c r="AV5879" s="6" t="str">
        <f>HYPERLINK("http://mcgill.on.worldcat.org/oclc/70986754","Catalog Record")</f>
        <v>Catalog Record</v>
      </c>
      <c r="AW5879" s="6" t="str">
        <f>HYPERLINK("http://www.worldcat.org/oclc/70986754","WorldCat Record")</f>
        <v>WorldCat Record</v>
      </c>
      <c r="AX5879" s="3" t="s">
        <v>56516</v>
      </c>
      <c r="AY5879" s="3" t="s">
        <v>56517</v>
      </c>
      <c r="AZ5879" s="3" t="s">
        <v>56518</v>
      </c>
      <c r="BA5879" s="3" t="s">
        <v>56518</v>
      </c>
      <c r="BB5879" s="3" t="s">
        <v>56519</v>
      </c>
      <c r="BC5879" s="3" t="s">
        <v>142</v>
      </c>
      <c r="BD5879" s="3" t="s">
        <v>308</v>
      </c>
      <c r="BE5879" s="3" t="s">
        <v>56520</v>
      </c>
      <c r="BF5879" s="3" t="s">
        <v>56519</v>
      </c>
      <c r="BG5879" s="3" t="s">
        <v>56521</v>
      </c>
    </row>
    <row r="5880" spans="1:59" ht="57" x14ac:dyDescent="0.45">
      <c r="A5880" s="2" t="s">
        <v>59</v>
      </c>
      <c r="B5880" s="2" t="s">
        <v>60</v>
      </c>
      <c r="C5880" s="2" t="s">
        <v>56522</v>
      </c>
      <c r="D5880" s="2" t="s">
        <v>56523</v>
      </c>
      <c r="E5880" s="2" t="s">
        <v>56524</v>
      </c>
      <c r="G5880" s="3" t="s">
        <v>62</v>
      </c>
      <c r="I5880" s="3" t="s">
        <v>62</v>
      </c>
      <c r="J5880" s="3" t="s">
        <v>62</v>
      </c>
      <c r="K5880" s="3" t="s">
        <v>63</v>
      </c>
      <c r="M5880" s="2" t="s">
        <v>41149</v>
      </c>
      <c r="N5880" s="3" t="s">
        <v>149</v>
      </c>
      <c r="P5880" s="3" t="s">
        <v>65</v>
      </c>
      <c r="Q5880" s="2" t="s">
        <v>56525</v>
      </c>
      <c r="R5880" s="3" t="s">
        <v>66</v>
      </c>
      <c r="S5880" s="4">
        <v>0</v>
      </c>
      <c r="T5880" s="4">
        <v>0</v>
      </c>
      <c r="W5880" s="5" t="s">
        <v>67</v>
      </c>
      <c r="X5880" s="5" t="s">
        <v>67</v>
      </c>
      <c r="Y5880" s="4">
        <v>42</v>
      </c>
      <c r="Z5880" s="4">
        <v>4</v>
      </c>
      <c r="AA5880" s="4">
        <v>92</v>
      </c>
      <c r="AB5880" s="4">
        <v>1</v>
      </c>
      <c r="AC5880" s="4">
        <v>17</v>
      </c>
      <c r="AD5880" s="4">
        <v>15</v>
      </c>
      <c r="AE5880" s="4">
        <v>100</v>
      </c>
      <c r="AF5880" s="4">
        <v>0</v>
      </c>
      <c r="AG5880" s="4">
        <v>8</v>
      </c>
      <c r="AH5880" s="4">
        <v>14</v>
      </c>
      <c r="AI5880" s="4">
        <v>66</v>
      </c>
      <c r="AJ5880" s="4">
        <v>3</v>
      </c>
      <c r="AK5880" s="4">
        <v>19</v>
      </c>
      <c r="AL5880" s="4">
        <v>9</v>
      </c>
      <c r="AM5880" s="4">
        <v>33</v>
      </c>
      <c r="AN5880" s="4">
        <v>0</v>
      </c>
      <c r="AO5880" s="4">
        <v>0</v>
      </c>
      <c r="AP5880" s="4">
        <v>3</v>
      </c>
      <c r="AQ5880" s="4">
        <v>40</v>
      </c>
      <c r="AR5880" s="3" t="s">
        <v>62</v>
      </c>
      <c r="AS5880" s="3" t="s">
        <v>62</v>
      </c>
      <c r="AT5880" s="3" t="s">
        <v>62</v>
      </c>
      <c r="AV5880" s="6" t="str">
        <f>HYPERLINK("http://mcgill.on.worldcat.org/oclc/605019948","Catalog Record")</f>
        <v>Catalog Record</v>
      </c>
      <c r="AW5880" s="6" t="str">
        <f>HYPERLINK("http://www.worldcat.org/oclc/605019948","WorldCat Record")</f>
        <v>WorldCat Record</v>
      </c>
      <c r="AX5880" s="3" t="s">
        <v>56526</v>
      </c>
      <c r="AY5880" s="3" t="s">
        <v>56527</v>
      </c>
      <c r="AZ5880" s="3" t="s">
        <v>56528</v>
      </c>
      <c r="BA5880" s="3" t="s">
        <v>56528</v>
      </c>
      <c r="BB5880" s="3" t="s">
        <v>56529</v>
      </c>
      <c r="BC5880" s="3" t="s">
        <v>142</v>
      </c>
      <c r="BD5880" s="3" t="s">
        <v>68</v>
      </c>
      <c r="BE5880" s="3" t="s">
        <v>56530</v>
      </c>
      <c r="BF5880" s="3" t="s">
        <v>56529</v>
      </c>
      <c r="BG5880" s="3" t="s">
        <v>56531</v>
      </c>
    </row>
    <row r="5881" spans="1:59" ht="57" x14ac:dyDescent="0.45">
      <c r="A5881" s="2" t="s">
        <v>59</v>
      </c>
      <c r="B5881" s="2" t="s">
        <v>60</v>
      </c>
      <c r="C5881" s="2" t="s">
        <v>56532</v>
      </c>
      <c r="D5881" s="2" t="s">
        <v>56533</v>
      </c>
      <c r="E5881" s="2" t="s">
        <v>56534</v>
      </c>
      <c r="G5881" s="3" t="s">
        <v>62</v>
      </c>
      <c r="I5881" s="3" t="s">
        <v>62</v>
      </c>
      <c r="J5881" s="3" t="s">
        <v>62</v>
      </c>
      <c r="K5881" s="3" t="s">
        <v>63</v>
      </c>
      <c r="M5881" s="2" t="s">
        <v>56535</v>
      </c>
      <c r="N5881" s="3" t="s">
        <v>117</v>
      </c>
      <c r="P5881" s="3" t="s">
        <v>65</v>
      </c>
      <c r="Q5881" s="2" t="s">
        <v>56536</v>
      </c>
      <c r="R5881" s="3" t="s">
        <v>66</v>
      </c>
      <c r="S5881" s="4">
        <v>22</v>
      </c>
      <c r="T5881" s="4">
        <v>22</v>
      </c>
      <c r="U5881" s="5" t="s">
        <v>1640</v>
      </c>
      <c r="V5881" s="5" t="s">
        <v>1640</v>
      </c>
      <c r="W5881" s="5" t="s">
        <v>67</v>
      </c>
      <c r="X5881" s="5" t="s">
        <v>67</v>
      </c>
      <c r="Y5881" s="4">
        <v>445</v>
      </c>
      <c r="Z5881" s="4">
        <v>31</v>
      </c>
      <c r="AA5881" s="4">
        <v>35</v>
      </c>
      <c r="AB5881" s="4">
        <v>2</v>
      </c>
      <c r="AC5881" s="4">
        <v>5</v>
      </c>
      <c r="AD5881" s="4">
        <v>121</v>
      </c>
      <c r="AE5881" s="4">
        <v>125</v>
      </c>
      <c r="AF5881" s="4">
        <v>1</v>
      </c>
      <c r="AG5881" s="4">
        <v>4</v>
      </c>
      <c r="AH5881" s="4">
        <v>104</v>
      </c>
      <c r="AI5881" s="4">
        <v>105</v>
      </c>
      <c r="AJ5881" s="4">
        <v>18</v>
      </c>
      <c r="AK5881" s="4">
        <v>21</v>
      </c>
      <c r="AL5881" s="4">
        <v>57</v>
      </c>
      <c r="AM5881" s="4">
        <v>57</v>
      </c>
      <c r="AN5881" s="4">
        <v>0</v>
      </c>
      <c r="AO5881" s="4">
        <v>0</v>
      </c>
      <c r="AP5881" s="4">
        <v>27</v>
      </c>
      <c r="AQ5881" s="4">
        <v>30</v>
      </c>
      <c r="AR5881" s="3" t="s">
        <v>62</v>
      </c>
      <c r="AS5881" s="3" t="s">
        <v>62</v>
      </c>
      <c r="AT5881" s="3" t="s">
        <v>61</v>
      </c>
      <c r="AU5881" s="6" t="str">
        <f>HYPERLINK("http://catalog.hathitrust.org/Record/000746247","HathiTrust Record")</f>
        <v>HathiTrust Record</v>
      </c>
      <c r="AV5881" s="6" t="str">
        <f>HYPERLINK("http://mcgill.on.worldcat.org/oclc/6626803","Catalog Record")</f>
        <v>Catalog Record</v>
      </c>
      <c r="AW5881" s="6" t="str">
        <f>HYPERLINK("http://www.worldcat.org/oclc/6626803","WorldCat Record")</f>
        <v>WorldCat Record</v>
      </c>
      <c r="AX5881" s="3" t="s">
        <v>56537</v>
      </c>
      <c r="AY5881" s="3" t="s">
        <v>56538</v>
      </c>
      <c r="AZ5881" s="3" t="s">
        <v>56539</v>
      </c>
      <c r="BA5881" s="3" t="s">
        <v>56539</v>
      </c>
      <c r="BB5881" s="3" t="s">
        <v>56540</v>
      </c>
      <c r="BC5881" s="3" t="s">
        <v>142</v>
      </c>
      <c r="BD5881" s="3" t="s">
        <v>308</v>
      </c>
      <c r="BE5881" s="3" t="s">
        <v>56541</v>
      </c>
      <c r="BF5881" s="3" t="s">
        <v>56540</v>
      </c>
      <c r="BG5881" s="3" t="s">
        <v>56542</v>
      </c>
    </row>
    <row r="5882" spans="1:59" ht="57" x14ac:dyDescent="0.45">
      <c r="A5882" s="2" t="s">
        <v>59</v>
      </c>
      <c r="B5882" s="2" t="s">
        <v>60</v>
      </c>
      <c r="C5882" s="2" t="s">
        <v>56543</v>
      </c>
      <c r="D5882" s="2" t="s">
        <v>56544</v>
      </c>
      <c r="E5882" s="2" t="s">
        <v>56545</v>
      </c>
      <c r="G5882" s="3" t="s">
        <v>62</v>
      </c>
      <c r="I5882" s="3" t="s">
        <v>62</v>
      </c>
      <c r="J5882" s="3" t="s">
        <v>62</v>
      </c>
      <c r="K5882" s="3" t="s">
        <v>63</v>
      </c>
      <c r="L5882" s="2" t="s">
        <v>56546</v>
      </c>
      <c r="M5882" s="2" t="s">
        <v>56547</v>
      </c>
      <c r="N5882" s="3" t="s">
        <v>894</v>
      </c>
      <c r="O5882" s="2" t="s">
        <v>25410</v>
      </c>
      <c r="P5882" s="3" t="s">
        <v>65</v>
      </c>
      <c r="R5882" s="3" t="s">
        <v>66</v>
      </c>
      <c r="S5882" s="4">
        <v>7</v>
      </c>
      <c r="T5882" s="4">
        <v>7</v>
      </c>
      <c r="U5882" s="5" t="s">
        <v>3596</v>
      </c>
      <c r="V5882" s="5" t="s">
        <v>3596</v>
      </c>
      <c r="W5882" s="5" t="s">
        <v>67</v>
      </c>
      <c r="X5882" s="5" t="s">
        <v>67</v>
      </c>
      <c r="Y5882" s="4">
        <v>97</v>
      </c>
      <c r="Z5882" s="4">
        <v>12</v>
      </c>
      <c r="AA5882" s="4">
        <v>22</v>
      </c>
      <c r="AB5882" s="4">
        <v>2</v>
      </c>
      <c r="AC5882" s="4">
        <v>6</v>
      </c>
      <c r="AD5882" s="4">
        <v>49</v>
      </c>
      <c r="AE5882" s="4">
        <v>58</v>
      </c>
      <c r="AF5882" s="4">
        <v>1</v>
      </c>
      <c r="AG5882" s="4">
        <v>2</v>
      </c>
      <c r="AH5882" s="4">
        <v>45</v>
      </c>
      <c r="AI5882" s="4">
        <v>51</v>
      </c>
      <c r="AJ5882" s="4">
        <v>9</v>
      </c>
      <c r="AK5882" s="4">
        <v>13</v>
      </c>
      <c r="AL5882" s="4">
        <v>26</v>
      </c>
      <c r="AM5882" s="4">
        <v>28</v>
      </c>
      <c r="AN5882" s="4">
        <v>0</v>
      </c>
      <c r="AO5882" s="4">
        <v>0</v>
      </c>
      <c r="AP5882" s="4">
        <v>11</v>
      </c>
      <c r="AQ5882" s="4">
        <v>16</v>
      </c>
      <c r="AR5882" s="3" t="s">
        <v>62</v>
      </c>
      <c r="AS5882" s="3" t="s">
        <v>62</v>
      </c>
      <c r="AT5882" s="3" t="s">
        <v>62</v>
      </c>
      <c r="AV5882" s="6" t="str">
        <f>HYPERLINK("http://mcgill.on.worldcat.org/oclc/527702735","Catalog Record")</f>
        <v>Catalog Record</v>
      </c>
      <c r="AW5882" s="6" t="str">
        <f>HYPERLINK("http://www.worldcat.org/oclc/527702735","WorldCat Record")</f>
        <v>WorldCat Record</v>
      </c>
      <c r="AX5882" s="3" t="s">
        <v>56548</v>
      </c>
      <c r="AY5882" s="3" t="s">
        <v>56549</v>
      </c>
      <c r="AZ5882" s="3" t="s">
        <v>56550</v>
      </c>
      <c r="BA5882" s="3" t="s">
        <v>56550</v>
      </c>
      <c r="BB5882" s="3" t="s">
        <v>56551</v>
      </c>
      <c r="BC5882" s="3" t="s">
        <v>142</v>
      </c>
      <c r="BD5882" s="3" t="s">
        <v>308</v>
      </c>
      <c r="BE5882" s="3" t="s">
        <v>56552</v>
      </c>
      <c r="BF5882" s="3" t="s">
        <v>56551</v>
      </c>
      <c r="BG5882" s="3" t="s">
        <v>56553</v>
      </c>
    </row>
    <row r="5883" spans="1:59" ht="57" x14ac:dyDescent="0.45">
      <c r="A5883" s="2" t="s">
        <v>59</v>
      </c>
      <c r="B5883" s="2" t="s">
        <v>60</v>
      </c>
      <c r="C5883" s="2" t="s">
        <v>56554</v>
      </c>
      <c r="D5883" s="2" t="s">
        <v>56555</v>
      </c>
      <c r="E5883" s="2" t="s">
        <v>56556</v>
      </c>
      <c r="G5883" s="3" t="s">
        <v>62</v>
      </c>
      <c r="I5883" s="3" t="s">
        <v>62</v>
      </c>
      <c r="J5883" s="3" t="s">
        <v>62</v>
      </c>
      <c r="K5883" s="3" t="s">
        <v>63</v>
      </c>
      <c r="M5883" s="2" t="s">
        <v>1781</v>
      </c>
      <c r="N5883" s="3" t="s">
        <v>149</v>
      </c>
      <c r="P5883" s="3" t="s">
        <v>65</v>
      </c>
      <c r="R5883" s="3" t="s">
        <v>66</v>
      </c>
      <c r="S5883" s="4">
        <v>1</v>
      </c>
      <c r="T5883" s="4">
        <v>1</v>
      </c>
      <c r="U5883" s="5" t="s">
        <v>36809</v>
      </c>
      <c r="V5883" s="5" t="s">
        <v>36809</v>
      </c>
      <c r="W5883" s="5" t="s">
        <v>67</v>
      </c>
      <c r="X5883" s="5" t="s">
        <v>67</v>
      </c>
      <c r="Y5883" s="4">
        <v>105</v>
      </c>
      <c r="Z5883" s="4">
        <v>12</v>
      </c>
      <c r="AA5883" s="4">
        <v>93</v>
      </c>
      <c r="AB5883" s="4">
        <v>1</v>
      </c>
      <c r="AC5883" s="4">
        <v>17</v>
      </c>
      <c r="AD5883" s="4">
        <v>51</v>
      </c>
      <c r="AE5883" s="4">
        <v>123</v>
      </c>
      <c r="AF5883" s="4">
        <v>0</v>
      </c>
      <c r="AG5883" s="4">
        <v>8</v>
      </c>
      <c r="AH5883" s="4">
        <v>49</v>
      </c>
      <c r="AI5883" s="4">
        <v>87</v>
      </c>
      <c r="AJ5883" s="4">
        <v>10</v>
      </c>
      <c r="AK5883" s="4">
        <v>25</v>
      </c>
      <c r="AL5883" s="4">
        <v>27</v>
      </c>
      <c r="AM5883" s="4">
        <v>44</v>
      </c>
      <c r="AN5883" s="4">
        <v>0</v>
      </c>
      <c r="AO5883" s="4">
        <v>0</v>
      </c>
      <c r="AP5883" s="4">
        <v>10</v>
      </c>
      <c r="AQ5883" s="4">
        <v>46</v>
      </c>
      <c r="AR5883" s="3" t="s">
        <v>62</v>
      </c>
      <c r="AS5883" s="3" t="s">
        <v>62</v>
      </c>
      <c r="AT5883" s="3" t="s">
        <v>62</v>
      </c>
      <c r="AV5883" s="6" t="str">
        <f>HYPERLINK("http://mcgill.on.worldcat.org/oclc/432983086","Catalog Record")</f>
        <v>Catalog Record</v>
      </c>
      <c r="AW5883" s="6" t="str">
        <f>HYPERLINK("http://www.worldcat.org/oclc/432983086","WorldCat Record")</f>
        <v>WorldCat Record</v>
      </c>
      <c r="AX5883" s="3" t="s">
        <v>56557</v>
      </c>
      <c r="AY5883" s="3" t="s">
        <v>56558</v>
      </c>
      <c r="AZ5883" s="3" t="s">
        <v>56559</v>
      </c>
      <c r="BA5883" s="3" t="s">
        <v>56559</v>
      </c>
      <c r="BB5883" s="3" t="s">
        <v>56560</v>
      </c>
      <c r="BC5883" s="3" t="s">
        <v>142</v>
      </c>
      <c r="BD5883" s="3" t="s">
        <v>68</v>
      </c>
      <c r="BE5883" s="3" t="s">
        <v>56561</v>
      </c>
      <c r="BF5883" s="3" t="s">
        <v>56560</v>
      </c>
      <c r="BG5883" s="3" t="s">
        <v>56562</v>
      </c>
    </row>
    <row r="5884" spans="1:59" ht="57" x14ac:dyDescent="0.45">
      <c r="A5884" s="2" t="s">
        <v>59</v>
      </c>
      <c r="B5884" s="2" t="s">
        <v>60</v>
      </c>
      <c r="C5884" s="2" t="s">
        <v>56563</v>
      </c>
      <c r="D5884" s="2" t="s">
        <v>56564</v>
      </c>
      <c r="E5884" s="2" t="s">
        <v>56565</v>
      </c>
      <c r="G5884" s="3" t="s">
        <v>62</v>
      </c>
      <c r="I5884" s="3" t="s">
        <v>62</v>
      </c>
      <c r="J5884" s="3" t="s">
        <v>62</v>
      </c>
      <c r="K5884" s="3" t="s">
        <v>63</v>
      </c>
      <c r="L5884" s="2" t="s">
        <v>56566</v>
      </c>
      <c r="M5884" s="2" t="s">
        <v>31234</v>
      </c>
      <c r="N5884" s="3" t="s">
        <v>958</v>
      </c>
      <c r="P5884" s="3" t="s">
        <v>65</v>
      </c>
      <c r="Q5884" s="2" t="s">
        <v>41089</v>
      </c>
      <c r="R5884" s="3" t="s">
        <v>66</v>
      </c>
      <c r="S5884" s="4">
        <v>6</v>
      </c>
      <c r="T5884" s="4">
        <v>6</v>
      </c>
      <c r="U5884" s="5" t="s">
        <v>3596</v>
      </c>
      <c r="V5884" s="5" t="s">
        <v>3596</v>
      </c>
      <c r="W5884" s="5" t="s">
        <v>67</v>
      </c>
      <c r="X5884" s="5" t="s">
        <v>67</v>
      </c>
      <c r="Y5884" s="4">
        <v>263</v>
      </c>
      <c r="Z5884" s="4">
        <v>23</v>
      </c>
      <c r="AA5884" s="4">
        <v>28</v>
      </c>
      <c r="AB5884" s="4">
        <v>2</v>
      </c>
      <c r="AC5884" s="4">
        <v>6</v>
      </c>
      <c r="AD5884" s="4">
        <v>92</v>
      </c>
      <c r="AE5884" s="4">
        <v>96</v>
      </c>
      <c r="AF5884" s="4">
        <v>1</v>
      </c>
      <c r="AG5884" s="4">
        <v>3</v>
      </c>
      <c r="AH5884" s="4">
        <v>80</v>
      </c>
      <c r="AI5884" s="4">
        <v>82</v>
      </c>
      <c r="AJ5884" s="4">
        <v>16</v>
      </c>
      <c r="AK5884" s="4">
        <v>19</v>
      </c>
      <c r="AL5884" s="4">
        <v>43</v>
      </c>
      <c r="AM5884" s="4">
        <v>44</v>
      </c>
      <c r="AN5884" s="4">
        <v>0</v>
      </c>
      <c r="AO5884" s="4">
        <v>0</v>
      </c>
      <c r="AP5884" s="4">
        <v>19</v>
      </c>
      <c r="AQ5884" s="4">
        <v>21</v>
      </c>
      <c r="AR5884" s="3" t="s">
        <v>62</v>
      </c>
      <c r="AS5884" s="3" t="s">
        <v>62</v>
      </c>
      <c r="AT5884" s="3" t="s">
        <v>62</v>
      </c>
      <c r="AV5884" s="6" t="str">
        <f>HYPERLINK("http://mcgill.on.worldcat.org/oclc/29844254","Catalog Record")</f>
        <v>Catalog Record</v>
      </c>
      <c r="AW5884" s="6" t="str">
        <f>HYPERLINK("http://www.worldcat.org/oclc/29844254","WorldCat Record")</f>
        <v>WorldCat Record</v>
      </c>
      <c r="AX5884" s="3" t="s">
        <v>56567</v>
      </c>
      <c r="AY5884" s="3" t="s">
        <v>56568</v>
      </c>
      <c r="AZ5884" s="3" t="s">
        <v>56569</v>
      </c>
      <c r="BA5884" s="3" t="s">
        <v>56569</v>
      </c>
      <c r="BB5884" s="3" t="s">
        <v>56570</v>
      </c>
      <c r="BC5884" s="3" t="s">
        <v>142</v>
      </c>
      <c r="BD5884" s="3" t="s">
        <v>68</v>
      </c>
      <c r="BE5884" s="3" t="s">
        <v>56571</v>
      </c>
      <c r="BF5884" s="3" t="s">
        <v>56570</v>
      </c>
      <c r="BG5884" s="3" t="s">
        <v>56572</v>
      </c>
    </row>
    <row r="5885" spans="1:59" ht="57" x14ac:dyDescent="0.45">
      <c r="A5885" s="2" t="s">
        <v>59</v>
      </c>
      <c r="B5885" s="2" t="s">
        <v>60</v>
      </c>
      <c r="C5885" s="2" t="s">
        <v>56573</v>
      </c>
      <c r="D5885" s="2" t="s">
        <v>56574</v>
      </c>
      <c r="E5885" s="2" t="s">
        <v>56575</v>
      </c>
      <c r="G5885" s="3" t="s">
        <v>62</v>
      </c>
      <c r="I5885" s="3" t="s">
        <v>62</v>
      </c>
      <c r="J5885" s="3" t="s">
        <v>62</v>
      </c>
      <c r="K5885" s="3" t="s">
        <v>63</v>
      </c>
      <c r="L5885" s="2" t="s">
        <v>56576</v>
      </c>
      <c r="M5885" s="2" t="s">
        <v>56577</v>
      </c>
      <c r="N5885" s="3" t="s">
        <v>122</v>
      </c>
      <c r="P5885" s="3" t="s">
        <v>65</v>
      </c>
      <c r="Q5885" s="2" t="s">
        <v>56578</v>
      </c>
      <c r="R5885" s="3" t="s">
        <v>66</v>
      </c>
      <c r="S5885" s="4">
        <v>16</v>
      </c>
      <c r="T5885" s="4">
        <v>16</v>
      </c>
      <c r="U5885" s="5" t="s">
        <v>14051</v>
      </c>
      <c r="V5885" s="5" t="s">
        <v>14051</v>
      </c>
      <c r="W5885" s="5" t="s">
        <v>67</v>
      </c>
      <c r="X5885" s="5" t="s">
        <v>67</v>
      </c>
      <c r="Y5885" s="4">
        <v>694</v>
      </c>
      <c r="Z5885" s="4">
        <v>44</v>
      </c>
      <c r="AA5885" s="4">
        <v>50</v>
      </c>
      <c r="AB5885" s="4">
        <v>4</v>
      </c>
      <c r="AC5885" s="4">
        <v>10</v>
      </c>
      <c r="AD5885" s="4">
        <v>132</v>
      </c>
      <c r="AE5885" s="4">
        <v>136</v>
      </c>
      <c r="AF5885" s="4">
        <v>2</v>
      </c>
      <c r="AG5885" s="4">
        <v>6</v>
      </c>
      <c r="AH5885" s="4">
        <v>108</v>
      </c>
      <c r="AI5885" s="4">
        <v>109</v>
      </c>
      <c r="AJ5885" s="4">
        <v>21</v>
      </c>
      <c r="AK5885" s="4">
        <v>25</v>
      </c>
      <c r="AL5885" s="4">
        <v>59</v>
      </c>
      <c r="AM5885" s="4">
        <v>59</v>
      </c>
      <c r="AN5885" s="4">
        <v>0</v>
      </c>
      <c r="AO5885" s="4">
        <v>0</v>
      </c>
      <c r="AP5885" s="4">
        <v>32</v>
      </c>
      <c r="AQ5885" s="4">
        <v>35</v>
      </c>
      <c r="AR5885" s="3" t="s">
        <v>62</v>
      </c>
      <c r="AS5885" s="3" t="s">
        <v>62</v>
      </c>
      <c r="AT5885" s="3" t="s">
        <v>62</v>
      </c>
      <c r="AV5885" s="6" t="str">
        <f>HYPERLINK("http://mcgill.on.worldcat.org/oclc/2644192","Catalog Record")</f>
        <v>Catalog Record</v>
      </c>
      <c r="AW5885" s="6" t="str">
        <f>HYPERLINK("http://www.worldcat.org/oclc/2644192","WorldCat Record")</f>
        <v>WorldCat Record</v>
      </c>
      <c r="AX5885" s="3" t="s">
        <v>56579</v>
      </c>
      <c r="AY5885" s="3" t="s">
        <v>56580</v>
      </c>
      <c r="AZ5885" s="3" t="s">
        <v>56581</v>
      </c>
      <c r="BA5885" s="3" t="s">
        <v>56581</v>
      </c>
      <c r="BB5885" s="3" t="s">
        <v>56582</v>
      </c>
      <c r="BC5885" s="3" t="s">
        <v>142</v>
      </c>
      <c r="BD5885" s="3" t="s">
        <v>68</v>
      </c>
      <c r="BE5885" s="3" t="s">
        <v>56583</v>
      </c>
      <c r="BF5885" s="3" t="s">
        <v>56582</v>
      </c>
      <c r="BG5885" s="3" t="s">
        <v>56584</v>
      </c>
    </row>
    <row r="5886" spans="1:59" ht="57" x14ac:dyDescent="0.45">
      <c r="A5886" s="2" t="s">
        <v>59</v>
      </c>
      <c r="B5886" s="2" t="s">
        <v>60</v>
      </c>
      <c r="C5886" s="2" t="s">
        <v>56585</v>
      </c>
      <c r="D5886" s="2" t="s">
        <v>56586</v>
      </c>
      <c r="E5886" s="2" t="s">
        <v>56587</v>
      </c>
      <c r="G5886" s="3" t="s">
        <v>62</v>
      </c>
      <c r="I5886" s="3" t="s">
        <v>62</v>
      </c>
      <c r="J5886" s="3" t="s">
        <v>62</v>
      </c>
      <c r="K5886" s="3" t="s">
        <v>63</v>
      </c>
      <c r="L5886" s="2" t="s">
        <v>56588</v>
      </c>
      <c r="M5886" s="2" t="s">
        <v>56589</v>
      </c>
      <c r="N5886" s="3" t="s">
        <v>157</v>
      </c>
      <c r="P5886" s="3" t="s">
        <v>65</v>
      </c>
      <c r="Q5886" s="2" t="s">
        <v>56590</v>
      </c>
      <c r="R5886" s="3" t="s">
        <v>66</v>
      </c>
      <c r="S5886" s="4">
        <v>66</v>
      </c>
      <c r="T5886" s="4">
        <v>66</v>
      </c>
      <c r="U5886" s="5" t="s">
        <v>56591</v>
      </c>
      <c r="V5886" s="5" t="s">
        <v>56591</v>
      </c>
      <c r="W5886" s="5" t="s">
        <v>67</v>
      </c>
      <c r="X5886" s="5" t="s">
        <v>67</v>
      </c>
      <c r="Y5886" s="4">
        <v>466</v>
      </c>
      <c r="Z5886" s="4">
        <v>31</v>
      </c>
      <c r="AA5886" s="4">
        <v>35</v>
      </c>
      <c r="AB5886" s="4">
        <v>3</v>
      </c>
      <c r="AC5886" s="4">
        <v>7</v>
      </c>
      <c r="AD5886" s="4">
        <v>113</v>
      </c>
      <c r="AE5886" s="4">
        <v>116</v>
      </c>
      <c r="AF5886" s="4">
        <v>2</v>
      </c>
      <c r="AG5886" s="4">
        <v>5</v>
      </c>
      <c r="AH5886" s="4">
        <v>96</v>
      </c>
      <c r="AI5886" s="4">
        <v>97</v>
      </c>
      <c r="AJ5886" s="4">
        <v>19</v>
      </c>
      <c r="AK5886" s="4">
        <v>22</v>
      </c>
      <c r="AL5886" s="4">
        <v>51</v>
      </c>
      <c r="AM5886" s="4">
        <v>51</v>
      </c>
      <c r="AN5886" s="4">
        <v>0</v>
      </c>
      <c r="AO5886" s="4">
        <v>0</v>
      </c>
      <c r="AP5886" s="4">
        <v>28</v>
      </c>
      <c r="AQ5886" s="4">
        <v>30</v>
      </c>
      <c r="AR5886" s="3" t="s">
        <v>62</v>
      </c>
      <c r="AS5886" s="3" t="s">
        <v>62</v>
      </c>
      <c r="AT5886" s="3" t="s">
        <v>62</v>
      </c>
      <c r="AV5886" s="6" t="str">
        <f>HYPERLINK("http://mcgill.on.worldcat.org/oclc/8388782","Catalog Record")</f>
        <v>Catalog Record</v>
      </c>
      <c r="AW5886" s="6" t="str">
        <f>HYPERLINK("http://www.worldcat.org/oclc/8388782","WorldCat Record")</f>
        <v>WorldCat Record</v>
      </c>
      <c r="AX5886" s="3" t="s">
        <v>56592</v>
      </c>
      <c r="AY5886" s="3" t="s">
        <v>56593</v>
      </c>
      <c r="AZ5886" s="3" t="s">
        <v>56594</v>
      </c>
      <c r="BA5886" s="3" t="s">
        <v>56594</v>
      </c>
      <c r="BB5886" s="3" t="s">
        <v>56595</v>
      </c>
      <c r="BC5886" s="3" t="s">
        <v>142</v>
      </c>
      <c r="BD5886" s="3" t="s">
        <v>68</v>
      </c>
      <c r="BE5886" s="3" t="s">
        <v>56596</v>
      </c>
      <c r="BF5886" s="3" t="s">
        <v>56595</v>
      </c>
      <c r="BG5886" s="3" t="s">
        <v>56597</v>
      </c>
    </row>
    <row r="5887" spans="1:59" ht="57" x14ac:dyDescent="0.45">
      <c r="A5887" s="2" t="s">
        <v>59</v>
      </c>
      <c r="B5887" s="2" t="s">
        <v>60</v>
      </c>
      <c r="C5887" s="2" t="s">
        <v>56598</v>
      </c>
      <c r="D5887" s="2" t="s">
        <v>56599</v>
      </c>
      <c r="E5887" s="2" t="s">
        <v>56600</v>
      </c>
      <c r="G5887" s="3" t="s">
        <v>62</v>
      </c>
      <c r="I5887" s="3" t="s">
        <v>61</v>
      </c>
      <c r="J5887" s="3" t="s">
        <v>62</v>
      </c>
      <c r="K5887" s="3" t="s">
        <v>63</v>
      </c>
      <c r="L5887" s="2" t="s">
        <v>56601</v>
      </c>
      <c r="M5887" s="2" t="s">
        <v>21280</v>
      </c>
      <c r="N5887" s="3" t="s">
        <v>945</v>
      </c>
      <c r="P5887" s="3" t="s">
        <v>65</v>
      </c>
      <c r="Q5887" s="2" t="s">
        <v>56602</v>
      </c>
      <c r="R5887" s="3" t="s">
        <v>66</v>
      </c>
      <c r="S5887" s="4">
        <v>7</v>
      </c>
      <c r="T5887" s="4">
        <v>22</v>
      </c>
      <c r="U5887" s="5" t="s">
        <v>55775</v>
      </c>
      <c r="V5887" s="5" t="s">
        <v>56603</v>
      </c>
      <c r="W5887" s="5" t="s">
        <v>67</v>
      </c>
      <c r="X5887" s="5" t="s">
        <v>67</v>
      </c>
      <c r="Y5887" s="4">
        <v>214</v>
      </c>
      <c r="Z5887" s="4">
        <v>16</v>
      </c>
      <c r="AA5887" s="4">
        <v>55</v>
      </c>
      <c r="AB5887" s="4">
        <v>1</v>
      </c>
      <c r="AC5887" s="4">
        <v>8</v>
      </c>
      <c r="AD5887" s="4">
        <v>25</v>
      </c>
      <c r="AE5887" s="4">
        <v>73</v>
      </c>
      <c r="AF5887" s="4">
        <v>0</v>
      </c>
      <c r="AG5887" s="4">
        <v>2</v>
      </c>
      <c r="AH5887" s="4">
        <v>21</v>
      </c>
      <c r="AI5887" s="4">
        <v>56</v>
      </c>
      <c r="AJ5887" s="4">
        <v>10</v>
      </c>
      <c r="AK5887" s="4">
        <v>18</v>
      </c>
      <c r="AL5887" s="4">
        <v>9</v>
      </c>
      <c r="AM5887" s="4">
        <v>26</v>
      </c>
      <c r="AN5887" s="4">
        <v>0</v>
      </c>
      <c r="AO5887" s="4">
        <v>0</v>
      </c>
      <c r="AP5887" s="4">
        <v>12</v>
      </c>
      <c r="AQ5887" s="4">
        <v>25</v>
      </c>
      <c r="AR5887" s="3" t="s">
        <v>62</v>
      </c>
      <c r="AS5887" s="3" t="s">
        <v>62</v>
      </c>
      <c r="AT5887" s="3" t="s">
        <v>61</v>
      </c>
      <c r="AU5887" s="6" t="str">
        <f>HYPERLINK("http://catalog.hathitrust.org/Record/005638046","HathiTrust Record")</f>
        <v>HathiTrust Record</v>
      </c>
      <c r="AV5887" s="6" t="str">
        <f>HYPERLINK("http://mcgill.on.worldcat.org/oclc/173671004","Catalog Record")</f>
        <v>Catalog Record</v>
      </c>
      <c r="AW5887" s="6" t="str">
        <f>HYPERLINK("http://www.worldcat.org/oclc/173671004","WorldCat Record")</f>
        <v>WorldCat Record</v>
      </c>
      <c r="AX5887" s="3" t="s">
        <v>56604</v>
      </c>
      <c r="AY5887" s="3" t="s">
        <v>56605</v>
      </c>
      <c r="AZ5887" s="3" t="s">
        <v>56606</v>
      </c>
      <c r="BA5887" s="3" t="s">
        <v>56606</v>
      </c>
      <c r="BB5887" s="3" t="s">
        <v>56607</v>
      </c>
      <c r="BC5887" s="3" t="s">
        <v>142</v>
      </c>
      <c r="BD5887" s="3" t="s">
        <v>68</v>
      </c>
      <c r="BE5887" s="3" t="s">
        <v>56608</v>
      </c>
      <c r="BF5887" s="3" t="s">
        <v>56607</v>
      </c>
      <c r="BG5887" s="3" t="s">
        <v>56609</v>
      </c>
    </row>
    <row r="5888" spans="1:59" ht="57" x14ac:dyDescent="0.45">
      <c r="A5888" s="2" t="s">
        <v>59</v>
      </c>
      <c r="B5888" s="2" t="s">
        <v>60</v>
      </c>
      <c r="C5888" s="2" t="s">
        <v>56598</v>
      </c>
      <c r="D5888" s="2" t="s">
        <v>56599</v>
      </c>
      <c r="E5888" s="2" t="s">
        <v>56600</v>
      </c>
      <c r="G5888" s="3" t="s">
        <v>62</v>
      </c>
      <c r="I5888" s="3" t="s">
        <v>61</v>
      </c>
      <c r="J5888" s="3" t="s">
        <v>62</v>
      </c>
      <c r="K5888" s="3" t="s">
        <v>63</v>
      </c>
      <c r="L5888" s="2" t="s">
        <v>56601</v>
      </c>
      <c r="M5888" s="2" t="s">
        <v>21280</v>
      </c>
      <c r="N5888" s="3" t="s">
        <v>945</v>
      </c>
      <c r="P5888" s="3" t="s">
        <v>65</v>
      </c>
      <c r="Q5888" s="2" t="s">
        <v>56602</v>
      </c>
      <c r="R5888" s="3" t="s">
        <v>66</v>
      </c>
      <c r="S5888" s="4">
        <v>15</v>
      </c>
      <c r="T5888" s="4">
        <v>22</v>
      </c>
      <c r="U5888" s="5" t="s">
        <v>56603</v>
      </c>
      <c r="V5888" s="5" t="s">
        <v>56603</v>
      </c>
      <c r="W5888" s="5" t="s">
        <v>67</v>
      </c>
      <c r="X5888" s="5" t="s">
        <v>67</v>
      </c>
      <c r="Y5888" s="4">
        <v>214</v>
      </c>
      <c r="Z5888" s="4">
        <v>16</v>
      </c>
      <c r="AA5888" s="4">
        <v>55</v>
      </c>
      <c r="AB5888" s="4">
        <v>1</v>
      </c>
      <c r="AC5888" s="4">
        <v>8</v>
      </c>
      <c r="AD5888" s="4">
        <v>25</v>
      </c>
      <c r="AE5888" s="4">
        <v>73</v>
      </c>
      <c r="AF5888" s="4">
        <v>0</v>
      </c>
      <c r="AG5888" s="4">
        <v>2</v>
      </c>
      <c r="AH5888" s="4">
        <v>21</v>
      </c>
      <c r="AI5888" s="4">
        <v>56</v>
      </c>
      <c r="AJ5888" s="4">
        <v>10</v>
      </c>
      <c r="AK5888" s="4">
        <v>18</v>
      </c>
      <c r="AL5888" s="4">
        <v>9</v>
      </c>
      <c r="AM5888" s="4">
        <v>26</v>
      </c>
      <c r="AN5888" s="4">
        <v>0</v>
      </c>
      <c r="AO5888" s="4">
        <v>0</v>
      </c>
      <c r="AP5888" s="4">
        <v>12</v>
      </c>
      <c r="AQ5888" s="4">
        <v>25</v>
      </c>
      <c r="AR5888" s="3" t="s">
        <v>62</v>
      </c>
      <c r="AS5888" s="3" t="s">
        <v>62</v>
      </c>
      <c r="AT5888" s="3" t="s">
        <v>61</v>
      </c>
      <c r="AU5888" s="6" t="str">
        <f>HYPERLINK("http://catalog.hathitrust.org/Record/005638046","HathiTrust Record")</f>
        <v>HathiTrust Record</v>
      </c>
      <c r="AV5888" s="6" t="str">
        <f>HYPERLINK("http://mcgill.on.worldcat.org/oclc/173671004","Catalog Record")</f>
        <v>Catalog Record</v>
      </c>
      <c r="AW5888" s="6" t="str">
        <f>HYPERLINK("http://www.worldcat.org/oclc/173671004","WorldCat Record")</f>
        <v>WorldCat Record</v>
      </c>
      <c r="AX5888" s="3" t="s">
        <v>56604</v>
      </c>
      <c r="AY5888" s="3" t="s">
        <v>56605</v>
      </c>
      <c r="AZ5888" s="3" t="s">
        <v>56606</v>
      </c>
      <c r="BA5888" s="3" t="s">
        <v>56606</v>
      </c>
      <c r="BB5888" s="3" t="s">
        <v>56610</v>
      </c>
      <c r="BC5888" s="3" t="s">
        <v>142</v>
      </c>
      <c r="BD5888" s="3" t="s">
        <v>68</v>
      </c>
      <c r="BE5888" s="3" t="s">
        <v>56608</v>
      </c>
      <c r="BF5888" s="3" t="s">
        <v>56610</v>
      </c>
      <c r="BG5888" s="3" t="s">
        <v>56611</v>
      </c>
    </row>
    <row r="5889" spans="1:59" ht="57" x14ac:dyDescent="0.45">
      <c r="A5889" s="2" t="s">
        <v>59</v>
      </c>
      <c r="B5889" s="2" t="s">
        <v>60</v>
      </c>
      <c r="C5889" s="2" t="s">
        <v>56612</v>
      </c>
      <c r="D5889" s="2" t="s">
        <v>56613</v>
      </c>
      <c r="E5889" s="2" t="s">
        <v>56614</v>
      </c>
      <c r="G5889" s="3" t="s">
        <v>62</v>
      </c>
      <c r="I5889" s="3" t="s">
        <v>62</v>
      </c>
      <c r="J5889" s="3" t="s">
        <v>62</v>
      </c>
      <c r="K5889" s="3" t="s">
        <v>63</v>
      </c>
      <c r="L5889" s="2" t="s">
        <v>56615</v>
      </c>
      <c r="M5889" s="2" t="s">
        <v>21345</v>
      </c>
      <c r="N5889" s="3" t="s">
        <v>894</v>
      </c>
      <c r="P5889" s="3" t="s">
        <v>65</v>
      </c>
      <c r="R5889" s="3" t="s">
        <v>66</v>
      </c>
      <c r="S5889" s="4">
        <v>2</v>
      </c>
      <c r="T5889" s="4">
        <v>2</v>
      </c>
      <c r="U5889" s="5" t="s">
        <v>30617</v>
      </c>
      <c r="V5889" s="5" t="s">
        <v>30617</v>
      </c>
      <c r="W5889" s="5" t="s">
        <v>67</v>
      </c>
      <c r="X5889" s="5" t="s">
        <v>67</v>
      </c>
      <c r="Y5889" s="4">
        <v>94</v>
      </c>
      <c r="Z5889" s="4">
        <v>15</v>
      </c>
      <c r="AA5889" s="4">
        <v>81</v>
      </c>
      <c r="AB5889" s="4">
        <v>2</v>
      </c>
      <c r="AC5889" s="4">
        <v>14</v>
      </c>
      <c r="AD5889" s="4">
        <v>54</v>
      </c>
      <c r="AE5889" s="4">
        <v>107</v>
      </c>
      <c r="AF5889" s="4">
        <v>1</v>
      </c>
      <c r="AG5889" s="4">
        <v>8</v>
      </c>
      <c r="AH5889" s="4">
        <v>50</v>
      </c>
      <c r="AI5889" s="4">
        <v>73</v>
      </c>
      <c r="AJ5889" s="4">
        <v>12</v>
      </c>
      <c r="AK5889" s="4">
        <v>23</v>
      </c>
      <c r="AL5889" s="4">
        <v>25</v>
      </c>
      <c r="AM5889" s="4">
        <v>36</v>
      </c>
      <c r="AN5889" s="4">
        <v>0</v>
      </c>
      <c r="AO5889" s="4">
        <v>0</v>
      </c>
      <c r="AP5889" s="4">
        <v>13</v>
      </c>
      <c r="AQ5889" s="4">
        <v>45</v>
      </c>
      <c r="AR5889" s="3" t="s">
        <v>62</v>
      </c>
      <c r="AS5889" s="3" t="s">
        <v>62</v>
      </c>
      <c r="AT5889" s="3" t="s">
        <v>62</v>
      </c>
      <c r="AV5889" s="6" t="str">
        <f>HYPERLINK("http://mcgill.on.worldcat.org/oclc/714723028","Catalog Record")</f>
        <v>Catalog Record</v>
      </c>
      <c r="AW5889" s="6" t="str">
        <f>HYPERLINK("http://www.worldcat.org/oclc/714723028","WorldCat Record")</f>
        <v>WorldCat Record</v>
      </c>
      <c r="AX5889" s="3" t="s">
        <v>56616</v>
      </c>
      <c r="AY5889" s="3" t="s">
        <v>56617</v>
      </c>
      <c r="AZ5889" s="3" t="s">
        <v>56618</v>
      </c>
      <c r="BA5889" s="3" t="s">
        <v>56618</v>
      </c>
      <c r="BB5889" s="3" t="s">
        <v>56619</v>
      </c>
      <c r="BC5889" s="3" t="s">
        <v>142</v>
      </c>
      <c r="BD5889" s="3" t="s">
        <v>68</v>
      </c>
      <c r="BE5889" s="3" t="s">
        <v>56620</v>
      </c>
      <c r="BF5889" s="3" t="s">
        <v>56619</v>
      </c>
      <c r="BG5889" s="3" t="s">
        <v>56621</v>
      </c>
    </row>
    <row r="5890" spans="1:59" ht="57" x14ac:dyDescent="0.45">
      <c r="A5890" s="2" t="s">
        <v>59</v>
      </c>
      <c r="B5890" s="2" t="s">
        <v>60</v>
      </c>
      <c r="C5890" s="2" t="s">
        <v>56622</v>
      </c>
      <c r="D5890" s="2" t="s">
        <v>56623</v>
      </c>
      <c r="E5890" s="2" t="s">
        <v>56624</v>
      </c>
      <c r="G5890" s="3" t="s">
        <v>62</v>
      </c>
      <c r="I5890" s="3" t="s">
        <v>62</v>
      </c>
      <c r="J5890" s="3" t="s">
        <v>62</v>
      </c>
      <c r="K5890" s="3" t="s">
        <v>63</v>
      </c>
      <c r="M5890" s="2" t="s">
        <v>5568</v>
      </c>
      <c r="N5890" s="3" t="s">
        <v>1155</v>
      </c>
      <c r="P5890" s="3" t="s">
        <v>65</v>
      </c>
      <c r="Q5890" s="2" t="s">
        <v>5837</v>
      </c>
      <c r="R5890" s="3" t="s">
        <v>66</v>
      </c>
      <c r="S5890" s="4">
        <v>26</v>
      </c>
      <c r="T5890" s="4">
        <v>26</v>
      </c>
      <c r="U5890" s="5" t="s">
        <v>16077</v>
      </c>
      <c r="V5890" s="5" t="s">
        <v>16077</v>
      </c>
      <c r="W5890" s="5" t="s">
        <v>67</v>
      </c>
      <c r="X5890" s="5" t="s">
        <v>67</v>
      </c>
      <c r="Y5890" s="4">
        <v>241</v>
      </c>
      <c r="Z5890" s="4">
        <v>19</v>
      </c>
      <c r="AA5890" s="4">
        <v>84</v>
      </c>
      <c r="AB5890" s="4">
        <v>2</v>
      </c>
      <c r="AC5890" s="4">
        <v>16</v>
      </c>
      <c r="AD5890" s="4">
        <v>63</v>
      </c>
      <c r="AE5890" s="4">
        <v>123</v>
      </c>
      <c r="AF5890" s="4">
        <v>1</v>
      </c>
      <c r="AG5890" s="4">
        <v>8</v>
      </c>
      <c r="AH5890" s="4">
        <v>56</v>
      </c>
      <c r="AI5890" s="4">
        <v>86</v>
      </c>
      <c r="AJ5890" s="4">
        <v>12</v>
      </c>
      <c r="AK5890" s="4">
        <v>23</v>
      </c>
      <c r="AL5890" s="4">
        <v>31</v>
      </c>
      <c r="AM5890" s="4">
        <v>47</v>
      </c>
      <c r="AN5890" s="4">
        <v>0</v>
      </c>
      <c r="AO5890" s="4">
        <v>0</v>
      </c>
      <c r="AP5890" s="4">
        <v>14</v>
      </c>
      <c r="AQ5890" s="4">
        <v>44</v>
      </c>
      <c r="AR5890" s="3" t="s">
        <v>62</v>
      </c>
      <c r="AS5890" s="3" t="s">
        <v>62</v>
      </c>
      <c r="AT5890" s="3" t="s">
        <v>62</v>
      </c>
      <c r="AV5890" s="6" t="str">
        <f>HYPERLINK("http://mcgill.on.worldcat.org/oclc/641536199","Catalog Record")</f>
        <v>Catalog Record</v>
      </c>
      <c r="AW5890" s="6" t="str">
        <f>HYPERLINK("http://www.worldcat.org/oclc/641536199","WorldCat Record")</f>
        <v>WorldCat Record</v>
      </c>
      <c r="AX5890" s="3" t="s">
        <v>56625</v>
      </c>
      <c r="AY5890" s="3" t="s">
        <v>56626</v>
      </c>
      <c r="AZ5890" s="3" t="s">
        <v>56627</v>
      </c>
      <c r="BA5890" s="3" t="s">
        <v>56627</v>
      </c>
      <c r="BB5890" s="3" t="s">
        <v>56628</v>
      </c>
      <c r="BC5890" s="3" t="s">
        <v>142</v>
      </c>
      <c r="BD5890" s="3" t="s">
        <v>308</v>
      </c>
      <c r="BE5890" s="3" t="s">
        <v>56629</v>
      </c>
      <c r="BF5890" s="3" t="s">
        <v>56628</v>
      </c>
      <c r="BG5890" s="3" t="s">
        <v>56630</v>
      </c>
    </row>
    <row r="5891" spans="1:59" ht="57" x14ac:dyDescent="0.45">
      <c r="A5891" s="2" t="s">
        <v>59</v>
      </c>
      <c r="B5891" s="2" t="s">
        <v>60</v>
      </c>
      <c r="C5891" s="2" t="s">
        <v>56631</v>
      </c>
      <c r="D5891" s="2" t="s">
        <v>56632</v>
      </c>
      <c r="E5891" s="2" t="s">
        <v>56633</v>
      </c>
      <c r="G5891" s="3" t="s">
        <v>62</v>
      </c>
      <c r="I5891" s="3" t="s">
        <v>62</v>
      </c>
      <c r="J5891" s="3" t="s">
        <v>62</v>
      </c>
      <c r="K5891" s="3" t="s">
        <v>63</v>
      </c>
      <c r="L5891" s="2" t="s">
        <v>56634</v>
      </c>
      <c r="M5891" s="2" t="s">
        <v>56635</v>
      </c>
      <c r="N5891" s="3" t="s">
        <v>1604</v>
      </c>
      <c r="P5891" s="3" t="s">
        <v>65</v>
      </c>
      <c r="Q5891" s="2" t="s">
        <v>56636</v>
      </c>
      <c r="R5891" s="3" t="s">
        <v>66</v>
      </c>
      <c r="S5891" s="4">
        <v>53</v>
      </c>
      <c r="T5891" s="4">
        <v>53</v>
      </c>
      <c r="U5891" s="5" t="s">
        <v>35662</v>
      </c>
      <c r="V5891" s="5" t="s">
        <v>35662</v>
      </c>
      <c r="W5891" s="5" t="s">
        <v>67</v>
      </c>
      <c r="X5891" s="5" t="s">
        <v>67</v>
      </c>
      <c r="Y5891" s="4">
        <v>467</v>
      </c>
      <c r="Z5891" s="4">
        <v>32</v>
      </c>
      <c r="AA5891" s="4">
        <v>37</v>
      </c>
      <c r="AB5891" s="4">
        <v>3</v>
      </c>
      <c r="AC5891" s="4">
        <v>7</v>
      </c>
      <c r="AD5891" s="4">
        <v>112</v>
      </c>
      <c r="AE5891" s="4">
        <v>116</v>
      </c>
      <c r="AF5891" s="4">
        <v>2</v>
      </c>
      <c r="AG5891" s="4">
        <v>5</v>
      </c>
      <c r="AH5891" s="4">
        <v>93</v>
      </c>
      <c r="AI5891" s="4">
        <v>94</v>
      </c>
      <c r="AJ5891" s="4">
        <v>20</v>
      </c>
      <c r="AK5891" s="4">
        <v>23</v>
      </c>
      <c r="AL5891" s="4">
        <v>50</v>
      </c>
      <c r="AM5891" s="4">
        <v>50</v>
      </c>
      <c r="AN5891" s="4">
        <v>0</v>
      </c>
      <c r="AO5891" s="4">
        <v>0</v>
      </c>
      <c r="AP5891" s="4">
        <v>29</v>
      </c>
      <c r="AQ5891" s="4">
        <v>32</v>
      </c>
      <c r="AR5891" s="3" t="s">
        <v>62</v>
      </c>
      <c r="AS5891" s="3" t="s">
        <v>62</v>
      </c>
      <c r="AT5891" s="3" t="s">
        <v>62</v>
      </c>
      <c r="AV5891" s="6" t="str">
        <f>HYPERLINK("http://mcgill.on.worldcat.org/oclc/27976057","Catalog Record")</f>
        <v>Catalog Record</v>
      </c>
      <c r="AW5891" s="6" t="str">
        <f>HYPERLINK("http://www.worldcat.org/oclc/27976057","WorldCat Record")</f>
        <v>WorldCat Record</v>
      </c>
      <c r="AX5891" s="3" t="s">
        <v>56637</v>
      </c>
      <c r="AY5891" s="3" t="s">
        <v>56638</v>
      </c>
      <c r="AZ5891" s="3" t="s">
        <v>56639</v>
      </c>
      <c r="BA5891" s="3" t="s">
        <v>56639</v>
      </c>
      <c r="BB5891" s="3" t="s">
        <v>56640</v>
      </c>
      <c r="BC5891" s="3" t="s">
        <v>142</v>
      </c>
      <c r="BD5891" s="3" t="s">
        <v>68</v>
      </c>
      <c r="BE5891" s="3" t="s">
        <v>56641</v>
      </c>
      <c r="BF5891" s="3" t="s">
        <v>56640</v>
      </c>
      <c r="BG5891" s="3" t="s">
        <v>56642</v>
      </c>
    </row>
    <row r="5892" spans="1:59" ht="57" x14ac:dyDescent="0.45">
      <c r="A5892" s="2" t="s">
        <v>59</v>
      </c>
      <c r="B5892" s="2" t="s">
        <v>60</v>
      </c>
      <c r="C5892" s="2" t="s">
        <v>56643</v>
      </c>
      <c r="D5892" s="2" t="s">
        <v>56644</v>
      </c>
      <c r="E5892" s="2" t="s">
        <v>56645</v>
      </c>
      <c r="G5892" s="3" t="s">
        <v>62</v>
      </c>
      <c r="I5892" s="3" t="s">
        <v>62</v>
      </c>
      <c r="J5892" s="3" t="s">
        <v>62</v>
      </c>
      <c r="K5892" s="3" t="s">
        <v>63</v>
      </c>
      <c r="L5892" s="2" t="s">
        <v>56634</v>
      </c>
      <c r="M5892" s="2" t="s">
        <v>1109</v>
      </c>
      <c r="N5892" s="3" t="s">
        <v>568</v>
      </c>
      <c r="P5892" s="3" t="s">
        <v>65</v>
      </c>
      <c r="Q5892" s="2" t="s">
        <v>56646</v>
      </c>
      <c r="R5892" s="3" t="s">
        <v>66</v>
      </c>
      <c r="S5892" s="4">
        <v>20</v>
      </c>
      <c r="T5892" s="4">
        <v>20</v>
      </c>
      <c r="U5892" s="5" t="s">
        <v>18195</v>
      </c>
      <c r="V5892" s="5" t="s">
        <v>18195</v>
      </c>
      <c r="W5892" s="5" t="s">
        <v>67</v>
      </c>
      <c r="X5892" s="5" t="s">
        <v>67</v>
      </c>
      <c r="Y5892" s="4">
        <v>379</v>
      </c>
      <c r="Z5892" s="4">
        <v>26</v>
      </c>
      <c r="AA5892" s="4">
        <v>30</v>
      </c>
      <c r="AB5892" s="4">
        <v>3</v>
      </c>
      <c r="AC5892" s="4">
        <v>6</v>
      </c>
      <c r="AD5892" s="4">
        <v>110</v>
      </c>
      <c r="AE5892" s="4">
        <v>119</v>
      </c>
      <c r="AF5892" s="4">
        <v>1</v>
      </c>
      <c r="AG5892" s="4">
        <v>4</v>
      </c>
      <c r="AH5892" s="4">
        <v>96</v>
      </c>
      <c r="AI5892" s="4">
        <v>102</v>
      </c>
      <c r="AJ5892" s="4">
        <v>17</v>
      </c>
      <c r="AK5892" s="4">
        <v>21</v>
      </c>
      <c r="AL5892" s="4">
        <v>51</v>
      </c>
      <c r="AM5892" s="4">
        <v>54</v>
      </c>
      <c r="AN5892" s="4">
        <v>0</v>
      </c>
      <c r="AO5892" s="4">
        <v>0</v>
      </c>
      <c r="AP5892" s="4">
        <v>21</v>
      </c>
      <c r="AQ5892" s="4">
        <v>24</v>
      </c>
      <c r="AR5892" s="3" t="s">
        <v>62</v>
      </c>
      <c r="AS5892" s="3" t="s">
        <v>62</v>
      </c>
      <c r="AT5892" s="3" t="s">
        <v>62</v>
      </c>
      <c r="AV5892" s="6" t="str">
        <f>HYPERLINK("http://mcgill.on.worldcat.org/oclc/14002027","Catalog Record")</f>
        <v>Catalog Record</v>
      </c>
      <c r="AW5892" s="6" t="str">
        <f>HYPERLINK("http://www.worldcat.org/oclc/14002027","WorldCat Record")</f>
        <v>WorldCat Record</v>
      </c>
      <c r="AX5892" s="3" t="s">
        <v>56647</v>
      </c>
      <c r="AY5892" s="3" t="s">
        <v>56648</v>
      </c>
      <c r="AZ5892" s="3" t="s">
        <v>56649</v>
      </c>
      <c r="BA5892" s="3" t="s">
        <v>56649</v>
      </c>
      <c r="BB5892" s="3" t="s">
        <v>56650</v>
      </c>
      <c r="BC5892" s="3" t="s">
        <v>142</v>
      </c>
      <c r="BD5892" s="3" t="s">
        <v>68</v>
      </c>
      <c r="BE5892" s="3" t="s">
        <v>56651</v>
      </c>
      <c r="BF5892" s="3" t="s">
        <v>56650</v>
      </c>
      <c r="BG5892" s="3" t="s">
        <v>56652</v>
      </c>
    </row>
    <row r="5893" spans="1:59" ht="57" x14ac:dyDescent="0.45">
      <c r="A5893" s="2" t="s">
        <v>59</v>
      </c>
      <c r="B5893" s="2" t="s">
        <v>60</v>
      </c>
      <c r="C5893" s="2" t="s">
        <v>56653</v>
      </c>
      <c r="D5893" s="2" t="s">
        <v>56654</v>
      </c>
      <c r="E5893" s="2" t="s">
        <v>56655</v>
      </c>
      <c r="G5893" s="3" t="s">
        <v>62</v>
      </c>
      <c r="I5893" s="3" t="s">
        <v>61</v>
      </c>
      <c r="J5893" s="3" t="s">
        <v>62</v>
      </c>
      <c r="K5893" s="3" t="s">
        <v>63</v>
      </c>
      <c r="M5893" s="2" t="s">
        <v>56656</v>
      </c>
      <c r="N5893" s="3" t="s">
        <v>157</v>
      </c>
      <c r="P5893" s="3" t="s">
        <v>65</v>
      </c>
      <c r="Q5893" s="2" t="s">
        <v>56657</v>
      </c>
      <c r="R5893" s="3" t="s">
        <v>66</v>
      </c>
      <c r="S5893" s="4">
        <v>38</v>
      </c>
      <c r="T5893" s="4">
        <v>53</v>
      </c>
      <c r="U5893" s="5" t="s">
        <v>56658</v>
      </c>
      <c r="V5893" s="5" t="s">
        <v>1974</v>
      </c>
      <c r="W5893" s="5" t="s">
        <v>67</v>
      </c>
      <c r="X5893" s="5" t="s">
        <v>67</v>
      </c>
      <c r="Y5893" s="4">
        <v>537</v>
      </c>
      <c r="Z5893" s="4">
        <v>27</v>
      </c>
      <c r="AA5893" s="4">
        <v>36</v>
      </c>
      <c r="AB5893" s="4">
        <v>2</v>
      </c>
      <c r="AC5893" s="4">
        <v>7</v>
      </c>
      <c r="AD5893" s="4">
        <v>117</v>
      </c>
      <c r="AE5893" s="4">
        <v>126</v>
      </c>
      <c r="AF5893" s="4">
        <v>0</v>
      </c>
      <c r="AG5893" s="4">
        <v>4</v>
      </c>
      <c r="AH5893" s="4">
        <v>101</v>
      </c>
      <c r="AI5893" s="4">
        <v>105</v>
      </c>
      <c r="AJ5893" s="4">
        <v>16</v>
      </c>
      <c r="AK5893" s="4">
        <v>23</v>
      </c>
      <c r="AL5893" s="4">
        <v>56</v>
      </c>
      <c r="AM5893" s="4">
        <v>56</v>
      </c>
      <c r="AN5893" s="4">
        <v>0</v>
      </c>
      <c r="AO5893" s="4">
        <v>0</v>
      </c>
      <c r="AP5893" s="4">
        <v>22</v>
      </c>
      <c r="AQ5893" s="4">
        <v>29</v>
      </c>
      <c r="AR5893" s="3" t="s">
        <v>62</v>
      </c>
      <c r="AS5893" s="3" t="s">
        <v>62</v>
      </c>
      <c r="AT5893" s="3" t="s">
        <v>61</v>
      </c>
      <c r="AU5893" s="6" t="str">
        <f>HYPERLINK("http://catalog.hathitrust.org/Record/000189026","HathiTrust Record")</f>
        <v>HathiTrust Record</v>
      </c>
      <c r="AV5893" s="6" t="str">
        <f>HYPERLINK("http://mcgill.on.worldcat.org/oclc/7738570","Catalog Record")</f>
        <v>Catalog Record</v>
      </c>
      <c r="AW5893" s="6" t="str">
        <f>HYPERLINK("http://www.worldcat.org/oclc/7738570","WorldCat Record")</f>
        <v>WorldCat Record</v>
      </c>
      <c r="AX5893" s="3" t="s">
        <v>56659</v>
      </c>
      <c r="AY5893" s="3" t="s">
        <v>56660</v>
      </c>
      <c r="AZ5893" s="3" t="s">
        <v>56661</v>
      </c>
      <c r="BA5893" s="3" t="s">
        <v>56661</v>
      </c>
      <c r="BB5893" s="3" t="s">
        <v>56662</v>
      </c>
      <c r="BC5893" s="3" t="s">
        <v>142</v>
      </c>
      <c r="BD5893" s="3" t="s">
        <v>68</v>
      </c>
      <c r="BE5893" s="3" t="s">
        <v>56663</v>
      </c>
      <c r="BF5893" s="3" t="s">
        <v>56662</v>
      </c>
      <c r="BG5893" s="3" t="s">
        <v>56664</v>
      </c>
    </row>
    <row r="5894" spans="1:59" ht="57" x14ac:dyDescent="0.45">
      <c r="A5894" s="2" t="s">
        <v>59</v>
      </c>
      <c r="B5894" s="2" t="s">
        <v>60</v>
      </c>
      <c r="C5894" s="2" t="s">
        <v>56653</v>
      </c>
      <c r="D5894" s="2" t="s">
        <v>56654</v>
      </c>
      <c r="E5894" s="2" t="s">
        <v>56655</v>
      </c>
      <c r="G5894" s="3" t="s">
        <v>62</v>
      </c>
      <c r="I5894" s="3" t="s">
        <v>61</v>
      </c>
      <c r="J5894" s="3" t="s">
        <v>62</v>
      </c>
      <c r="K5894" s="3" t="s">
        <v>63</v>
      </c>
      <c r="M5894" s="2" t="s">
        <v>56656</v>
      </c>
      <c r="N5894" s="3" t="s">
        <v>157</v>
      </c>
      <c r="P5894" s="3" t="s">
        <v>65</v>
      </c>
      <c r="Q5894" s="2" t="s">
        <v>56657</v>
      </c>
      <c r="R5894" s="3" t="s">
        <v>66</v>
      </c>
      <c r="S5894" s="4">
        <v>15</v>
      </c>
      <c r="T5894" s="4">
        <v>53</v>
      </c>
      <c r="U5894" s="5" t="s">
        <v>1974</v>
      </c>
      <c r="V5894" s="5" t="s">
        <v>1974</v>
      </c>
      <c r="W5894" s="5" t="s">
        <v>67</v>
      </c>
      <c r="X5894" s="5" t="s">
        <v>67</v>
      </c>
      <c r="Y5894" s="4">
        <v>537</v>
      </c>
      <c r="Z5894" s="4">
        <v>27</v>
      </c>
      <c r="AA5894" s="4">
        <v>36</v>
      </c>
      <c r="AB5894" s="4">
        <v>2</v>
      </c>
      <c r="AC5894" s="4">
        <v>7</v>
      </c>
      <c r="AD5894" s="4">
        <v>117</v>
      </c>
      <c r="AE5894" s="4">
        <v>126</v>
      </c>
      <c r="AF5894" s="4">
        <v>0</v>
      </c>
      <c r="AG5894" s="4">
        <v>4</v>
      </c>
      <c r="AH5894" s="4">
        <v>101</v>
      </c>
      <c r="AI5894" s="4">
        <v>105</v>
      </c>
      <c r="AJ5894" s="4">
        <v>16</v>
      </c>
      <c r="AK5894" s="4">
        <v>23</v>
      </c>
      <c r="AL5894" s="4">
        <v>56</v>
      </c>
      <c r="AM5894" s="4">
        <v>56</v>
      </c>
      <c r="AN5894" s="4">
        <v>0</v>
      </c>
      <c r="AO5894" s="4">
        <v>0</v>
      </c>
      <c r="AP5894" s="4">
        <v>22</v>
      </c>
      <c r="AQ5894" s="4">
        <v>29</v>
      </c>
      <c r="AR5894" s="3" t="s">
        <v>62</v>
      </c>
      <c r="AS5894" s="3" t="s">
        <v>62</v>
      </c>
      <c r="AT5894" s="3" t="s">
        <v>61</v>
      </c>
      <c r="AU5894" s="6" t="str">
        <f>HYPERLINK("http://catalog.hathitrust.org/Record/000189026","HathiTrust Record")</f>
        <v>HathiTrust Record</v>
      </c>
      <c r="AV5894" s="6" t="str">
        <f>HYPERLINK("http://mcgill.on.worldcat.org/oclc/7738570","Catalog Record")</f>
        <v>Catalog Record</v>
      </c>
      <c r="AW5894" s="6" t="str">
        <f>HYPERLINK("http://www.worldcat.org/oclc/7738570","WorldCat Record")</f>
        <v>WorldCat Record</v>
      </c>
      <c r="AX5894" s="3" t="s">
        <v>56659</v>
      </c>
      <c r="AY5894" s="3" t="s">
        <v>56660</v>
      </c>
      <c r="AZ5894" s="3" t="s">
        <v>56661</v>
      </c>
      <c r="BA5894" s="3" t="s">
        <v>56661</v>
      </c>
      <c r="BB5894" s="3" t="s">
        <v>56665</v>
      </c>
      <c r="BC5894" s="3" t="s">
        <v>142</v>
      </c>
      <c r="BD5894" s="3" t="s">
        <v>68</v>
      </c>
      <c r="BE5894" s="3" t="s">
        <v>56663</v>
      </c>
      <c r="BF5894" s="3" t="s">
        <v>56665</v>
      </c>
      <c r="BG5894" s="3" t="s">
        <v>56666</v>
      </c>
    </row>
    <row r="5895" spans="1:59" ht="57" x14ac:dyDescent="0.45">
      <c r="A5895" s="2" t="s">
        <v>59</v>
      </c>
      <c r="B5895" s="2" t="s">
        <v>60</v>
      </c>
      <c r="C5895" s="2" t="s">
        <v>56667</v>
      </c>
      <c r="D5895" s="2" t="s">
        <v>56668</v>
      </c>
      <c r="E5895" s="2" t="s">
        <v>56669</v>
      </c>
      <c r="G5895" s="3" t="s">
        <v>62</v>
      </c>
      <c r="I5895" s="3" t="s">
        <v>62</v>
      </c>
      <c r="J5895" s="3" t="s">
        <v>62</v>
      </c>
      <c r="K5895" s="3" t="s">
        <v>63</v>
      </c>
      <c r="L5895" s="2" t="s">
        <v>6862</v>
      </c>
      <c r="M5895" s="2" t="s">
        <v>56670</v>
      </c>
      <c r="N5895" s="3" t="s">
        <v>583</v>
      </c>
      <c r="P5895" s="3" t="s">
        <v>65</v>
      </c>
      <c r="R5895" s="3" t="s">
        <v>66</v>
      </c>
      <c r="S5895" s="4">
        <v>22</v>
      </c>
      <c r="T5895" s="4">
        <v>22</v>
      </c>
      <c r="U5895" s="5" t="s">
        <v>56671</v>
      </c>
      <c r="V5895" s="5" t="s">
        <v>56671</v>
      </c>
      <c r="W5895" s="5" t="s">
        <v>67</v>
      </c>
      <c r="X5895" s="5" t="s">
        <v>67</v>
      </c>
      <c r="Y5895" s="4">
        <v>760</v>
      </c>
      <c r="Z5895" s="4">
        <v>41</v>
      </c>
      <c r="AA5895" s="4">
        <v>64</v>
      </c>
      <c r="AB5895" s="4">
        <v>3</v>
      </c>
      <c r="AC5895" s="4">
        <v>8</v>
      </c>
      <c r="AD5895" s="4">
        <v>119</v>
      </c>
      <c r="AE5895" s="4">
        <v>146</v>
      </c>
      <c r="AF5895" s="4">
        <v>1</v>
      </c>
      <c r="AG5895" s="4">
        <v>4</v>
      </c>
      <c r="AH5895" s="4">
        <v>97</v>
      </c>
      <c r="AI5895" s="4">
        <v>110</v>
      </c>
      <c r="AJ5895" s="4">
        <v>15</v>
      </c>
      <c r="AK5895" s="4">
        <v>26</v>
      </c>
      <c r="AL5895" s="4">
        <v>49</v>
      </c>
      <c r="AM5895" s="4">
        <v>59</v>
      </c>
      <c r="AN5895" s="4">
        <v>0</v>
      </c>
      <c r="AO5895" s="4">
        <v>0</v>
      </c>
      <c r="AP5895" s="4">
        <v>28</v>
      </c>
      <c r="AQ5895" s="4">
        <v>43</v>
      </c>
      <c r="AR5895" s="3" t="s">
        <v>62</v>
      </c>
      <c r="AS5895" s="3" t="s">
        <v>62</v>
      </c>
      <c r="AT5895" s="3" t="s">
        <v>61</v>
      </c>
      <c r="AU5895" s="6" t="str">
        <f>HYPERLINK("http://catalog.hathitrust.org/Record/000178335","HathiTrust Record")</f>
        <v>HathiTrust Record</v>
      </c>
      <c r="AV5895" s="6" t="str">
        <f>HYPERLINK("http://mcgill.on.worldcat.org/oclc/4056015","Catalog Record")</f>
        <v>Catalog Record</v>
      </c>
      <c r="AW5895" s="6" t="str">
        <f>HYPERLINK("http://www.worldcat.org/oclc/4056015","WorldCat Record")</f>
        <v>WorldCat Record</v>
      </c>
      <c r="AX5895" s="3" t="s">
        <v>56672</v>
      </c>
      <c r="AY5895" s="3" t="s">
        <v>56673</v>
      </c>
      <c r="AZ5895" s="3" t="s">
        <v>56674</v>
      </c>
      <c r="BA5895" s="3" t="s">
        <v>56674</v>
      </c>
      <c r="BB5895" s="3" t="s">
        <v>56675</v>
      </c>
      <c r="BC5895" s="3" t="s">
        <v>142</v>
      </c>
      <c r="BD5895" s="3" t="s">
        <v>68</v>
      </c>
      <c r="BE5895" s="3" t="s">
        <v>56676</v>
      </c>
      <c r="BF5895" s="3" t="s">
        <v>56675</v>
      </c>
      <c r="BG5895" s="3" t="s">
        <v>56677</v>
      </c>
    </row>
    <row r="5896" spans="1:59" ht="57" x14ac:dyDescent="0.45">
      <c r="A5896" s="2" t="s">
        <v>59</v>
      </c>
      <c r="B5896" s="2" t="s">
        <v>60</v>
      </c>
      <c r="C5896" s="2" t="s">
        <v>56678</v>
      </c>
      <c r="D5896" s="2" t="s">
        <v>56679</v>
      </c>
      <c r="E5896" s="2" t="s">
        <v>56680</v>
      </c>
      <c r="G5896" s="3" t="s">
        <v>62</v>
      </c>
      <c r="I5896" s="3" t="s">
        <v>62</v>
      </c>
      <c r="J5896" s="3" t="s">
        <v>62</v>
      </c>
      <c r="K5896" s="3" t="s">
        <v>63</v>
      </c>
      <c r="L5896" s="2" t="s">
        <v>56681</v>
      </c>
      <c r="M5896" s="2" t="s">
        <v>56682</v>
      </c>
      <c r="N5896" s="3" t="s">
        <v>480</v>
      </c>
      <c r="P5896" s="3" t="s">
        <v>65</v>
      </c>
      <c r="R5896" s="3" t="s">
        <v>66</v>
      </c>
      <c r="S5896" s="4">
        <v>24</v>
      </c>
      <c r="T5896" s="4">
        <v>24</v>
      </c>
      <c r="U5896" s="5" t="s">
        <v>11599</v>
      </c>
      <c r="V5896" s="5" t="s">
        <v>11599</v>
      </c>
      <c r="W5896" s="5" t="s">
        <v>67</v>
      </c>
      <c r="X5896" s="5" t="s">
        <v>67</v>
      </c>
      <c r="Y5896" s="4">
        <v>628</v>
      </c>
      <c r="Z5896" s="4">
        <v>35</v>
      </c>
      <c r="AA5896" s="4">
        <v>44</v>
      </c>
      <c r="AB5896" s="4">
        <v>4</v>
      </c>
      <c r="AC5896" s="4">
        <v>6</v>
      </c>
      <c r="AD5896" s="4">
        <v>114</v>
      </c>
      <c r="AE5896" s="4">
        <v>128</v>
      </c>
      <c r="AF5896" s="4">
        <v>1</v>
      </c>
      <c r="AG5896" s="4">
        <v>3</v>
      </c>
      <c r="AH5896" s="4">
        <v>100</v>
      </c>
      <c r="AI5896" s="4">
        <v>107</v>
      </c>
      <c r="AJ5896" s="4">
        <v>18</v>
      </c>
      <c r="AK5896" s="4">
        <v>22</v>
      </c>
      <c r="AL5896" s="4">
        <v>53</v>
      </c>
      <c r="AM5896" s="4">
        <v>55</v>
      </c>
      <c r="AN5896" s="4">
        <v>0</v>
      </c>
      <c r="AO5896" s="4">
        <v>0</v>
      </c>
      <c r="AP5896" s="4">
        <v>22</v>
      </c>
      <c r="AQ5896" s="4">
        <v>29</v>
      </c>
      <c r="AR5896" s="3" t="s">
        <v>62</v>
      </c>
      <c r="AS5896" s="3" t="s">
        <v>62</v>
      </c>
      <c r="AT5896" s="3" t="s">
        <v>62</v>
      </c>
      <c r="AV5896" s="6" t="str">
        <f>HYPERLINK("http://mcgill.on.worldcat.org/oclc/5007604","Catalog Record")</f>
        <v>Catalog Record</v>
      </c>
      <c r="AW5896" s="6" t="str">
        <f>HYPERLINK("http://www.worldcat.org/oclc/5007604","WorldCat Record")</f>
        <v>WorldCat Record</v>
      </c>
      <c r="AX5896" s="3" t="s">
        <v>56683</v>
      </c>
      <c r="AY5896" s="3" t="s">
        <v>56684</v>
      </c>
      <c r="AZ5896" s="3" t="s">
        <v>56685</v>
      </c>
      <c r="BA5896" s="3" t="s">
        <v>56685</v>
      </c>
      <c r="BB5896" s="3" t="s">
        <v>56686</v>
      </c>
      <c r="BC5896" s="3" t="s">
        <v>142</v>
      </c>
      <c r="BD5896" s="3" t="s">
        <v>308</v>
      </c>
      <c r="BE5896" s="3" t="s">
        <v>56687</v>
      </c>
      <c r="BF5896" s="3" t="s">
        <v>56686</v>
      </c>
      <c r="BG5896" s="3" t="s">
        <v>56688</v>
      </c>
    </row>
    <row r="5897" spans="1:59" ht="57" x14ac:dyDescent="0.45">
      <c r="A5897" s="2" t="s">
        <v>59</v>
      </c>
      <c r="B5897" s="2" t="s">
        <v>60</v>
      </c>
      <c r="C5897" s="2" t="s">
        <v>56689</v>
      </c>
      <c r="D5897" s="2" t="s">
        <v>56690</v>
      </c>
      <c r="E5897" s="2" t="s">
        <v>56691</v>
      </c>
      <c r="G5897" s="3" t="s">
        <v>62</v>
      </c>
      <c r="I5897" s="3" t="s">
        <v>62</v>
      </c>
      <c r="J5897" s="3" t="s">
        <v>62</v>
      </c>
      <c r="K5897" s="3" t="s">
        <v>63</v>
      </c>
      <c r="L5897" s="2" t="s">
        <v>56681</v>
      </c>
      <c r="M5897" s="2" t="s">
        <v>56692</v>
      </c>
      <c r="N5897" s="3" t="s">
        <v>2107</v>
      </c>
      <c r="P5897" s="3" t="s">
        <v>65</v>
      </c>
      <c r="R5897" s="3" t="s">
        <v>66</v>
      </c>
      <c r="S5897" s="4">
        <v>178</v>
      </c>
      <c r="T5897" s="4">
        <v>178</v>
      </c>
      <c r="U5897" s="5" t="s">
        <v>11599</v>
      </c>
      <c r="V5897" s="5" t="s">
        <v>11599</v>
      </c>
      <c r="W5897" s="5" t="s">
        <v>67</v>
      </c>
      <c r="X5897" s="5" t="s">
        <v>67</v>
      </c>
      <c r="Y5897" s="4">
        <v>371</v>
      </c>
      <c r="Z5897" s="4">
        <v>24</v>
      </c>
      <c r="AA5897" s="4">
        <v>59</v>
      </c>
      <c r="AB5897" s="4">
        <v>5</v>
      </c>
      <c r="AC5897" s="4">
        <v>13</v>
      </c>
      <c r="AD5897" s="4">
        <v>101</v>
      </c>
      <c r="AE5897" s="4">
        <v>137</v>
      </c>
      <c r="AF5897" s="4">
        <v>2</v>
      </c>
      <c r="AG5897" s="4">
        <v>6</v>
      </c>
      <c r="AH5897" s="4">
        <v>88</v>
      </c>
      <c r="AI5897" s="4">
        <v>107</v>
      </c>
      <c r="AJ5897" s="4">
        <v>12</v>
      </c>
      <c r="AK5897" s="4">
        <v>25</v>
      </c>
      <c r="AL5897" s="4">
        <v>49</v>
      </c>
      <c r="AM5897" s="4">
        <v>55</v>
      </c>
      <c r="AN5897" s="4">
        <v>0</v>
      </c>
      <c r="AO5897" s="4">
        <v>0</v>
      </c>
      <c r="AP5897" s="4">
        <v>17</v>
      </c>
      <c r="AQ5897" s="4">
        <v>40</v>
      </c>
      <c r="AR5897" s="3" t="s">
        <v>62</v>
      </c>
      <c r="AS5897" s="3" t="s">
        <v>62</v>
      </c>
      <c r="AT5897" s="3" t="s">
        <v>61</v>
      </c>
      <c r="AU5897" s="6" t="str">
        <f>HYPERLINK("http://catalog.hathitrust.org/Record/000782601","HathiTrust Record")</f>
        <v>HathiTrust Record</v>
      </c>
      <c r="AV5897" s="6" t="str">
        <f>HYPERLINK("http://mcgill.on.worldcat.org/oclc/10163324","Catalog Record")</f>
        <v>Catalog Record</v>
      </c>
      <c r="AW5897" s="6" t="str">
        <f>HYPERLINK("http://www.worldcat.org/oclc/10163324","WorldCat Record")</f>
        <v>WorldCat Record</v>
      </c>
      <c r="AX5897" s="3" t="s">
        <v>56693</v>
      </c>
      <c r="AY5897" s="3" t="s">
        <v>56694</v>
      </c>
      <c r="AZ5897" s="3" t="s">
        <v>56695</v>
      </c>
      <c r="BA5897" s="3" t="s">
        <v>56695</v>
      </c>
      <c r="BB5897" s="3" t="s">
        <v>56696</v>
      </c>
      <c r="BC5897" s="3" t="s">
        <v>142</v>
      </c>
      <c r="BD5897" s="3" t="s">
        <v>308</v>
      </c>
      <c r="BE5897" s="3" t="s">
        <v>56697</v>
      </c>
      <c r="BF5897" s="3" t="s">
        <v>56696</v>
      </c>
      <c r="BG5897" s="3" t="s">
        <v>56698</v>
      </c>
    </row>
    <row r="5898" spans="1:59" ht="57" x14ac:dyDescent="0.45">
      <c r="A5898" s="2" t="s">
        <v>59</v>
      </c>
      <c r="B5898" s="2" t="s">
        <v>60</v>
      </c>
      <c r="C5898" s="2" t="s">
        <v>56699</v>
      </c>
      <c r="D5898" s="2" t="s">
        <v>56700</v>
      </c>
      <c r="E5898" s="2" t="s">
        <v>56701</v>
      </c>
      <c r="G5898" s="3" t="s">
        <v>62</v>
      </c>
      <c r="I5898" s="3" t="s">
        <v>62</v>
      </c>
      <c r="J5898" s="3" t="s">
        <v>61</v>
      </c>
      <c r="K5898" s="3" t="s">
        <v>63</v>
      </c>
      <c r="L5898" s="2" t="s">
        <v>56702</v>
      </c>
      <c r="M5898" s="2" t="s">
        <v>56703</v>
      </c>
      <c r="N5898" s="3" t="s">
        <v>157</v>
      </c>
      <c r="P5898" s="3" t="s">
        <v>65</v>
      </c>
      <c r="Q5898" s="2" t="s">
        <v>56704</v>
      </c>
      <c r="R5898" s="3" t="s">
        <v>66</v>
      </c>
      <c r="S5898" s="4">
        <v>28</v>
      </c>
      <c r="T5898" s="4">
        <v>28</v>
      </c>
      <c r="U5898" s="5" t="s">
        <v>56326</v>
      </c>
      <c r="V5898" s="5" t="s">
        <v>56326</v>
      </c>
      <c r="W5898" s="5" t="s">
        <v>67</v>
      </c>
      <c r="X5898" s="5" t="s">
        <v>67</v>
      </c>
      <c r="Y5898" s="4">
        <v>12</v>
      </c>
      <c r="Z5898" s="4">
        <v>7</v>
      </c>
      <c r="AA5898" s="4">
        <v>46</v>
      </c>
      <c r="AB5898" s="4">
        <v>2</v>
      </c>
      <c r="AC5898" s="4">
        <v>7</v>
      </c>
      <c r="AD5898" s="4">
        <v>5</v>
      </c>
      <c r="AE5898" s="4">
        <v>131</v>
      </c>
      <c r="AF5898" s="4">
        <v>0</v>
      </c>
      <c r="AG5898" s="4">
        <v>5</v>
      </c>
      <c r="AH5898" s="4">
        <v>2</v>
      </c>
      <c r="AI5898" s="4">
        <v>104</v>
      </c>
      <c r="AJ5898" s="4">
        <v>5</v>
      </c>
      <c r="AK5898" s="4">
        <v>24</v>
      </c>
      <c r="AL5898" s="4">
        <v>0</v>
      </c>
      <c r="AM5898" s="4">
        <v>57</v>
      </c>
      <c r="AN5898" s="4">
        <v>0</v>
      </c>
      <c r="AO5898" s="4">
        <v>0</v>
      </c>
      <c r="AP5898" s="4">
        <v>5</v>
      </c>
      <c r="AQ5898" s="4">
        <v>35</v>
      </c>
      <c r="AR5898" s="3" t="s">
        <v>62</v>
      </c>
      <c r="AS5898" s="3" t="s">
        <v>62</v>
      </c>
      <c r="AT5898" s="3" t="s">
        <v>62</v>
      </c>
      <c r="AV5898" s="6" t="str">
        <f>HYPERLINK("http://mcgill.on.worldcat.org/oclc/240877748","Catalog Record")</f>
        <v>Catalog Record</v>
      </c>
      <c r="AW5898" s="6" t="str">
        <f>HYPERLINK("http://www.worldcat.org/oclc/240877748","WorldCat Record")</f>
        <v>WorldCat Record</v>
      </c>
      <c r="AX5898" s="3" t="s">
        <v>56705</v>
      </c>
      <c r="AY5898" s="3" t="s">
        <v>56706</v>
      </c>
      <c r="AZ5898" s="3" t="s">
        <v>56707</v>
      </c>
      <c r="BA5898" s="3" t="s">
        <v>56707</v>
      </c>
      <c r="BB5898" s="3" t="s">
        <v>56708</v>
      </c>
      <c r="BC5898" s="3" t="s">
        <v>142</v>
      </c>
      <c r="BD5898" s="3" t="s">
        <v>68</v>
      </c>
      <c r="BE5898" s="3" t="s">
        <v>56709</v>
      </c>
      <c r="BF5898" s="3" t="s">
        <v>56708</v>
      </c>
      <c r="BG5898" s="3" t="s">
        <v>56710</v>
      </c>
    </row>
    <row r="5899" spans="1:59" ht="57" x14ac:dyDescent="0.45">
      <c r="A5899" s="2" t="s">
        <v>59</v>
      </c>
      <c r="B5899" s="2" t="s">
        <v>60</v>
      </c>
      <c r="C5899" s="2" t="s">
        <v>56711</v>
      </c>
      <c r="D5899" s="2" t="s">
        <v>56712</v>
      </c>
      <c r="E5899" s="2" t="s">
        <v>56713</v>
      </c>
      <c r="G5899" s="3" t="s">
        <v>62</v>
      </c>
      <c r="I5899" s="3" t="s">
        <v>62</v>
      </c>
      <c r="J5899" s="3" t="s">
        <v>62</v>
      </c>
      <c r="K5899" s="3" t="s">
        <v>63</v>
      </c>
      <c r="M5899" s="2" t="s">
        <v>56714</v>
      </c>
      <c r="N5899" s="3" t="s">
        <v>84</v>
      </c>
      <c r="P5899" s="3" t="s">
        <v>65</v>
      </c>
      <c r="Q5899" s="2" t="s">
        <v>56715</v>
      </c>
      <c r="R5899" s="3" t="s">
        <v>66</v>
      </c>
      <c r="S5899" s="4">
        <v>9</v>
      </c>
      <c r="T5899" s="4">
        <v>9</v>
      </c>
      <c r="U5899" s="5" t="s">
        <v>4465</v>
      </c>
      <c r="V5899" s="5" t="s">
        <v>4465</v>
      </c>
      <c r="W5899" s="5" t="s">
        <v>67</v>
      </c>
      <c r="X5899" s="5" t="s">
        <v>67</v>
      </c>
      <c r="Y5899" s="4">
        <v>62</v>
      </c>
      <c r="Z5899" s="4">
        <v>7</v>
      </c>
      <c r="AA5899" s="4">
        <v>7</v>
      </c>
      <c r="AB5899" s="4">
        <v>1</v>
      </c>
      <c r="AC5899" s="4">
        <v>1</v>
      </c>
      <c r="AD5899" s="4">
        <v>27</v>
      </c>
      <c r="AE5899" s="4">
        <v>27</v>
      </c>
      <c r="AF5899" s="4">
        <v>0</v>
      </c>
      <c r="AG5899" s="4">
        <v>0</v>
      </c>
      <c r="AH5899" s="4">
        <v>25</v>
      </c>
      <c r="AI5899" s="4">
        <v>25</v>
      </c>
      <c r="AJ5899" s="4">
        <v>5</v>
      </c>
      <c r="AK5899" s="4">
        <v>5</v>
      </c>
      <c r="AL5899" s="4">
        <v>15</v>
      </c>
      <c r="AM5899" s="4">
        <v>15</v>
      </c>
      <c r="AN5899" s="4">
        <v>0</v>
      </c>
      <c r="AO5899" s="4">
        <v>0</v>
      </c>
      <c r="AP5899" s="4">
        <v>5</v>
      </c>
      <c r="AQ5899" s="4">
        <v>5</v>
      </c>
      <c r="AR5899" s="3" t="s">
        <v>62</v>
      </c>
      <c r="AS5899" s="3" t="s">
        <v>62</v>
      </c>
      <c r="AT5899" s="3" t="s">
        <v>61</v>
      </c>
      <c r="AU5899" s="6" t="str">
        <f>HYPERLINK("http://catalog.hathitrust.org/Record/002703231","HathiTrust Record")</f>
        <v>HathiTrust Record</v>
      </c>
      <c r="AV5899" s="6" t="str">
        <f>HYPERLINK("http://mcgill.on.worldcat.org/oclc/28467266","Catalog Record")</f>
        <v>Catalog Record</v>
      </c>
      <c r="AW5899" s="6" t="str">
        <f>HYPERLINK("http://www.worldcat.org/oclc/28467266","WorldCat Record")</f>
        <v>WorldCat Record</v>
      </c>
      <c r="AX5899" s="3" t="s">
        <v>56716</v>
      </c>
      <c r="AY5899" s="3" t="s">
        <v>56717</v>
      </c>
      <c r="AZ5899" s="3" t="s">
        <v>56718</v>
      </c>
      <c r="BA5899" s="3" t="s">
        <v>56718</v>
      </c>
      <c r="BB5899" s="3" t="s">
        <v>56719</v>
      </c>
      <c r="BC5899" s="3" t="s">
        <v>142</v>
      </c>
      <c r="BD5899" s="3" t="s">
        <v>68</v>
      </c>
      <c r="BE5899" s="3" t="s">
        <v>56720</v>
      </c>
      <c r="BF5899" s="3" t="s">
        <v>56719</v>
      </c>
      <c r="BG5899" s="3" t="s">
        <v>56721</v>
      </c>
    </row>
    <row r="5900" spans="1:59" ht="57" x14ac:dyDescent="0.45">
      <c r="A5900" s="2" t="s">
        <v>59</v>
      </c>
      <c r="B5900" s="2" t="s">
        <v>60</v>
      </c>
      <c r="C5900" s="2" t="s">
        <v>56722</v>
      </c>
      <c r="D5900" s="2" t="s">
        <v>56723</v>
      </c>
      <c r="E5900" s="2" t="s">
        <v>56724</v>
      </c>
      <c r="G5900" s="3" t="s">
        <v>62</v>
      </c>
      <c r="I5900" s="3" t="s">
        <v>62</v>
      </c>
      <c r="J5900" s="3" t="s">
        <v>62</v>
      </c>
      <c r="K5900" s="3" t="s">
        <v>63</v>
      </c>
      <c r="M5900" s="2" t="s">
        <v>56725</v>
      </c>
      <c r="N5900" s="3" t="s">
        <v>1437</v>
      </c>
      <c r="P5900" s="3" t="s">
        <v>110</v>
      </c>
      <c r="R5900" s="3" t="s">
        <v>66</v>
      </c>
      <c r="S5900" s="4">
        <v>2</v>
      </c>
      <c r="T5900" s="4">
        <v>2</v>
      </c>
      <c r="U5900" s="5" t="s">
        <v>23463</v>
      </c>
      <c r="V5900" s="5" t="s">
        <v>23463</v>
      </c>
      <c r="W5900" s="5" t="s">
        <v>67</v>
      </c>
      <c r="X5900" s="5" t="s">
        <v>67</v>
      </c>
      <c r="Y5900" s="4">
        <v>48</v>
      </c>
      <c r="Z5900" s="4">
        <v>5</v>
      </c>
      <c r="AA5900" s="4">
        <v>7</v>
      </c>
      <c r="AB5900" s="4">
        <v>1</v>
      </c>
      <c r="AC5900" s="4">
        <v>3</v>
      </c>
      <c r="AD5900" s="4">
        <v>21</v>
      </c>
      <c r="AE5900" s="4">
        <v>24</v>
      </c>
      <c r="AF5900" s="4">
        <v>0</v>
      </c>
      <c r="AG5900" s="4">
        <v>2</v>
      </c>
      <c r="AH5900" s="4">
        <v>20</v>
      </c>
      <c r="AI5900" s="4">
        <v>22</v>
      </c>
      <c r="AJ5900" s="4">
        <v>2</v>
      </c>
      <c r="AK5900" s="4">
        <v>4</v>
      </c>
      <c r="AL5900" s="4">
        <v>18</v>
      </c>
      <c r="AM5900" s="4">
        <v>18</v>
      </c>
      <c r="AN5900" s="4">
        <v>0</v>
      </c>
      <c r="AO5900" s="4">
        <v>0</v>
      </c>
      <c r="AP5900" s="4">
        <v>2</v>
      </c>
      <c r="AQ5900" s="4">
        <v>3</v>
      </c>
      <c r="AR5900" s="3" t="s">
        <v>62</v>
      </c>
      <c r="AS5900" s="3" t="s">
        <v>62</v>
      </c>
      <c r="AT5900" s="3" t="s">
        <v>62</v>
      </c>
      <c r="AV5900" s="6" t="str">
        <f>HYPERLINK("http://mcgill.on.worldcat.org/oclc/43315752","Catalog Record")</f>
        <v>Catalog Record</v>
      </c>
      <c r="AW5900" s="6" t="str">
        <f>HYPERLINK("http://www.worldcat.org/oclc/43315752","WorldCat Record")</f>
        <v>WorldCat Record</v>
      </c>
      <c r="AX5900" s="3" t="s">
        <v>56726</v>
      </c>
      <c r="AY5900" s="3" t="s">
        <v>56727</v>
      </c>
      <c r="AZ5900" s="3" t="s">
        <v>56728</v>
      </c>
      <c r="BA5900" s="3" t="s">
        <v>56728</v>
      </c>
      <c r="BB5900" s="3" t="s">
        <v>56729</v>
      </c>
      <c r="BC5900" s="3" t="s">
        <v>142</v>
      </c>
      <c r="BD5900" s="3" t="s">
        <v>68</v>
      </c>
      <c r="BE5900" s="3" t="s">
        <v>56730</v>
      </c>
      <c r="BF5900" s="3" t="s">
        <v>56729</v>
      </c>
      <c r="BG5900" s="3" t="s">
        <v>56731</v>
      </c>
    </row>
    <row r="5901" spans="1:59" ht="57" x14ac:dyDescent="0.45">
      <c r="A5901" s="2" t="s">
        <v>59</v>
      </c>
      <c r="B5901" s="2" t="s">
        <v>60</v>
      </c>
      <c r="C5901" s="2" t="s">
        <v>56732</v>
      </c>
      <c r="D5901" s="2" t="s">
        <v>56733</v>
      </c>
      <c r="E5901" s="2" t="s">
        <v>56734</v>
      </c>
      <c r="G5901" s="3" t="s">
        <v>62</v>
      </c>
      <c r="I5901" s="3" t="s">
        <v>62</v>
      </c>
      <c r="J5901" s="3" t="s">
        <v>62</v>
      </c>
      <c r="K5901" s="3" t="s">
        <v>63</v>
      </c>
      <c r="L5901" s="2" t="s">
        <v>56735</v>
      </c>
      <c r="M5901" s="2" t="s">
        <v>19496</v>
      </c>
      <c r="N5901" s="3" t="s">
        <v>945</v>
      </c>
      <c r="P5901" s="3" t="s">
        <v>65</v>
      </c>
      <c r="Q5901" s="2" t="s">
        <v>19497</v>
      </c>
      <c r="R5901" s="3" t="s">
        <v>66</v>
      </c>
      <c r="S5901" s="4">
        <v>10</v>
      </c>
      <c r="T5901" s="4">
        <v>10</v>
      </c>
      <c r="U5901" s="5" t="s">
        <v>971</v>
      </c>
      <c r="V5901" s="5" t="s">
        <v>971</v>
      </c>
      <c r="W5901" s="5" t="s">
        <v>67</v>
      </c>
      <c r="X5901" s="5" t="s">
        <v>67</v>
      </c>
      <c r="Y5901" s="4">
        <v>207</v>
      </c>
      <c r="Z5901" s="4">
        <v>20</v>
      </c>
      <c r="AA5901" s="4">
        <v>37</v>
      </c>
      <c r="AB5901" s="4">
        <v>2</v>
      </c>
      <c r="AC5901" s="4">
        <v>6</v>
      </c>
      <c r="AD5901" s="4">
        <v>73</v>
      </c>
      <c r="AE5901" s="4">
        <v>103</v>
      </c>
      <c r="AF5901" s="4">
        <v>1</v>
      </c>
      <c r="AG5901" s="4">
        <v>3</v>
      </c>
      <c r="AH5901" s="4">
        <v>66</v>
      </c>
      <c r="AI5901" s="4">
        <v>88</v>
      </c>
      <c r="AJ5901" s="4">
        <v>13</v>
      </c>
      <c r="AK5901" s="4">
        <v>18</v>
      </c>
      <c r="AL5901" s="4">
        <v>37</v>
      </c>
      <c r="AM5901" s="4">
        <v>48</v>
      </c>
      <c r="AN5901" s="4">
        <v>0</v>
      </c>
      <c r="AO5901" s="4">
        <v>0</v>
      </c>
      <c r="AP5901" s="4">
        <v>14</v>
      </c>
      <c r="AQ5901" s="4">
        <v>24</v>
      </c>
      <c r="AR5901" s="3" t="s">
        <v>62</v>
      </c>
      <c r="AS5901" s="3" t="s">
        <v>62</v>
      </c>
      <c r="AT5901" s="3" t="s">
        <v>62</v>
      </c>
      <c r="AV5901" s="6" t="str">
        <f>HYPERLINK("http://mcgill.on.worldcat.org/oclc/154711288","Catalog Record")</f>
        <v>Catalog Record</v>
      </c>
      <c r="AW5901" s="6" t="str">
        <f>HYPERLINK("http://www.worldcat.org/oclc/154711288","WorldCat Record")</f>
        <v>WorldCat Record</v>
      </c>
      <c r="AX5901" s="3" t="s">
        <v>56736</v>
      </c>
      <c r="AY5901" s="3" t="s">
        <v>56737</v>
      </c>
      <c r="AZ5901" s="3" t="s">
        <v>56738</v>
      </c>
      <c r="BA5901" s="3" t="s">
        <v>56738</v>
      </c>
      <c r="BB5901" s="3" t="s">
        <v>56739</v>
      </c>
      <c r="BC5901" s="3" t="s">
        <v>142</v>
      </c>
      <c r="BD5901" s="3" t="s">
        <v>308</v>
      </c>
      <c r="BE5901" s="3" t="s">
        <v>56740</v>
      </c>
      <c r="BF5901" s="3" t="s">
        <v>56739</v>
      </c>
      <c r="BG5901" s="3" t="s">
        <v>56741</v>
      </c>
    </row>
    <row r="5902" spans="1:59" ht="57" x14ac:dyDescent="0.45">
      <c r="A5902" s="2" t="s">
        <v>59</v>
      </c>
      <c r="B5902" s="2" t="s">
        <v>60</v>
      </c>
      <c r="C5902" s="2" t="s">
        <v>56742</v>
      </c>
      <c r="D5902" s="2" t="s">
        <v>56743</v>
      </c>
      <c r="E5902" s="2" t="s">
        <v>56744</v>
      </c>
      <c r="G5902" s="3" t="s">
        <v>62</v>
      </c>
      <c r="I5902" s="3" t="s">
        <v>62</v>
      </c>
      <c r="J5902" s="3" t="s">
        <v>62</v>
      </c>
      <c r="K5902" s="3" t="s">
        <v>63</v>
      </c>
      <c r="M5902" s="2" t="s">
        <v>56745</v>
      </c>
      <c r="N5902" s="3" t="s">
        <v>918</v>
      </c>
      <c r="P5902" s="3" t="s">
        <v>65</v>
      </c>
      <c r="Q5902" s="2" t="s">
        <v>56746</v>
      </c>
      <c r="R5902" s="3" t="s">
        <v>66</v>
      </c>
      <c r="S5902" s="4">
        <v>15</v>
      </c>
      <c r="T5902" s="4">
        <v>15</v>
      </c>
      <c r="U5902" s="5" t="s">
        <v>7504</v>
      </c>
      <c r="V5902" s="5" t="s">
        <v>7504</v>
      </c>
      <c r="W5902" s="5" t="s">
        <v>67</v>
      </c>
      <c r="X5902" s="5" t="s">
        <v>67</v>
      </c>
      <c r="Y5902" s="4">
        <v>126</v>
      </c>
      <c r="Z5902" s="4">
        <v>11</v>
      </c>
      <c r="AA5902" s="4">
        <v>102</v>
      </c>
      <c r="AB5902" s="4">
        <v>1</v>
      </c>
      <c r="AC5902" s="4">
        <v>17</v>
      </c>
      <c r="AD5902" s="4">
        <v>53</v>
      </c>
      <c r="AE5902" s="4">
        <v>117</v>
      </c>
      <c r="AF5902" s="4">
        <v>0</v>
      </c>
      <c r="AG5902" s="4">
        <v>8</v>
      </c>
      <c r="AH5902" s="4">
        <v>48</v>
      </c>
      <c r="AI5902" s="4">
        <v>81</v>
      </c>
      <c r="AJ5902" s="4">
        <v>9</v>
      </c>
      <c r="AK5902" s="4">
        <v>22</v>
      </c>
      <c r="AL5902" s="4">
        <v>32</v>
      </c>
      <c r="AM5902" s="4">
        <v>43</v>
      </c>
      <c r="AN5902" s="4">
        <v>0</v>
      </c>
      <c r="AO5902" s="4">
        <v>0</v>
      </c>
      <c r="AP5902" s="4">
        <v>9</v>
      </c>
      <c r="AQ5902" s="4">
        <v>43</v>
      </c>
      <c r="AR5902" s="3" t="s">
        <v>62</v>
      </c>
      <c r="AS5902" s="3" t="s">
        <v>62</v>
      </c>
      <c r="AT5902" s="3" t="s">
        <v>62</v>
      </c>
      <c r="AV5902" s="6" t="str">
        <f>HYPERLINK("http://mcgill.on.worldcat.org/oclc/51898854","Catalog Record")</f>
        <v>Catalog Record</v>
      </c>
      <c r="AW5902" s="6" t="str">
        <f>HYPERLINK("http://www.worldcat.org/oclc/51898854","WorldCat Record")</f>
        <v>WorldCat Record</v>
      </c>
      <c r="AX5902" s="3" t="s">
        <v>56747</v>
      </c>
      <c r="AY5902" s="3" t="s">
        <v>56748</v>
      </c>
      <c r="AZ5902" s="3" t="s">
        <v>56749</v>
      </c>
      <c r="BA5902" s="3" t="s">
        <v>56749</v>
      </c>
      <c r="BB5902" s="3" t="s">
        <v>56750</v>
      </c>
      <c r="BC5902" s="3" t="s">
        <v>142</v>
      </c>
      <c r="BD5902" s="3" t="s">
        <v>68</v>
      </c>
      <c r="BE5902" s="3" t="s">
        <v>56751</v>
      </c>
      <c r="BF5902" s="3" t="s">
        <v>56750</v>
      </c>
      <c r="BG5902" s="3" t="s">
        <v>56752</v>
      </c>
    </row>
    <row r="5903" spans="1:59" ht="57" x14ac:dyDescent="0.45">
      <c r="A5903" s="2" t="s">
        <v>59</v>
      </c>
      <c r="B5903" s="2" t="s">
        <v>60</v>
      </c>
      <c r="C5903" s="2" t="s">
        <v>56753</v>
      </c>
      <c r="D5903" s="2" t="s">
        <v>56754</v>
      </c>
      <c r="E5903" s="2" t="s">
        <v>56755</v>
      </c>
      <c r="G5903" s="3" t="s">
        <v>62</v>
      </c>
      <c r="I5903" s="3" t="s">
        <v>62</v>
      </c>
      <c r="J5903" s="3" t="s">
        <v>62</v>
      </c>
      <c r="K5903" s="3" t="s">
        <v>63</v>
      </c>
      <c r="L5903" s="2" t="s">
        <v>56756</v>
      </c>
      <c r="M5903" s="2" t="s">
        <v>2654</v>
      </c>
      <c r="N5903" s="3" t="s">
        <v>820</v>
      </c>
      <c r="P5903" s="3" t="s">
        <v>65</v>
      </c>
      <c r="Q5903" s="2" t="s">
        <v>1805</v>
      </c>
      <c r="R5903" s="3" t="s">
        <v>66</v>
      </c>
      <c r="S5903" s="4">
        <v>20</v>
      </c>
      <c r="T5903" s="4">
        <v>20</v>
      </c>
      <c r="U5903" s="5" t="s">
        <v>998</v>
      </c>
      <c r="V5903" s="5" t="s">
        <v>998</v>
      </c>
      <c r="W5903" s="5" t="s">
        <v>67</v>
      </c>
      <c r="X5903" s="5" t="s">
        <v>67</v>
      </c>
      <c r="Y5903" s="4">
        <v>253</v>
      </c>
      <c r="Z5903" s="4">
        <v>20</v>
      </c>
      <c r="AA5903" s="4">
        <v>58</v>
      </c>
      <c r="AB5903" s="4">
        <v>2</v>
      </c>
      <c r="AC5903" s="4">
        <v>9</v>
      </c>
      <c r="AD5903" s="4">
        <v>82</v>
      </c>
      <c r="AE5903" s="4">
        <v>113</v>
      </c>
      <c r="AF5903" s="4">
        <v>1</v>
      </c>
      <c r="AG5903" s="4">
        <v>2</v>
      </c>
      <c r="AH5903" s="4">
        <v>73</v>
      </c>
      <c r="AI5903" s="4">
        <v>87</v>
      </c>
      <c r="AJ5903" s="4">
        <v>14</v>
      </c>
      <c r="AK5903" s="4">
        <v>17</v>
      </c>
      <c r="AL5903" s="4">
        <v>41</v>
      </c>
      <c r="AM5903" s="4">
        <v>50</v>
      </c>
      <c r="AN5903" s="4">
        <v>0</v>
      </c>
      <c r="AO5903" s="4">
        <v>0</v>
      </c>
      <c r="AP5903" s="4">
        <v>17</v>
      </c>
      <c r="AQ5903" s="4">
        <v>33</v>
      </c>
      <c r="AR5903" s="3" t="s">
        <v>62</v>
      </c>
      <c r="AS5903" s="3" t="s">
        <v>62</v>
      </c>
      <c r="AT5903" s="3" t="s">
        <v>62</v>
      </c>
      <c r="AV5903" s="6" t="str">
        <f>HYPERLINK("http://mcgill.on.worldcat.org/oclc/141187979","Catalog Record")</f>
        <v>Catalog Record</v>
      </c>
      <c r="AW5903" s="6" t="str">
        <f>HYPERLINK("http://www.worldcat.org/oclc/141187979","WorldCat Record")</f>
        <v>WorldCat Record</v>
      </c>
      <c r="AX5903" s="3" t="s">
        <v>56757</v>
      </c>
      <c r="AY5903" s="3" t="s">
        <v>56758</v>
      </c>
      <c r="AZ5903" s="3" t="s">
        <v>56759</v>
      </c>
      <c r="BA5903" s="3" t="s">
        <v>56759</v>
      </c>
      <c r="BB5903" s="3" t="s">
        <v>56760</v>
      </c>
      <c r="BC5903" s="3" t="s">
        <v>142</v>
      </c>
      <c r="BD5903" s="3" t="s">
        <v>308</v>
      </c>
      <c r="BE5903" s="3" t="s">
        <v>56761</v>
      </c>
      <c r="BF5903" s="3" t="s">
        <v>56760</v>
      </c>
      <c r="BG5903" s="3" t="s">
        <v>56762</v>
      </c>
    </row>
    <row r="5904" spans="1:59" ht="57" x14ac:dyDescent="0.45">
      <c r="A5904" s="2" t="s">
        <v>59</v>
      </c>
      <c r="B5904" s="2" t="s">
        <v>60</v>
      </c>
      <c r="C5904" s="2" t="s">
        <v>56763</v>
      </c>
      <c r="D5904" s="2" t="s">
        <v>56764</v>
      </c>
      <c r="E5904" s="2" t="s">
        <v>56765</v>
      </c>
      <c r="G5904" s="3" t="s">
        <v>62</v>
      </c>
      <c r="I5904" s="3" t="s">
        <v>62</v>
      </c>
      <c r="J5904" s="3" t="s">
        <v>62</v>
      </c>
      <c r="K5904" s="3" t="s">
        <v>63</v>
      </c>
      <c r="L5904" s="2" t="s">
        <v>56766</v>
      </c>
      <c r="M5904" s="2" t="s">
        <v>56767</v>
      </c>
      <c r="N5904" s="3" t="s">
        <v>894</v>
      </c>
      <c r="P5904" s="3" t="s">
        <v>65</v>
      </c>
      <c r="R5904" s="3" t="s">
        <v>66</v>
      </c>
      <c r="S5904" s="4">
        <v>0</v>
      </c>
      <c r="T5904" s="4">
        <v>0</v>
      </c>
      <c r="W5904" s="5" t="s">
        <v>67</v>
      </c>
      <c r="X5904" s="5" t="s">
        <v>67</v>
      </c>
      <c r="Y5904" s="4">
        <v>171</v>
      </c>
      <c r="Z5904" s="4">
        <v>11</v>
      </c>
      <c r="AA5904" s="4">
        <v>90</v>
      </c>
      <c r="AB5904" s="4">
        <v>2</v>
      </c>
      <c r="AC5904" s="4">
        <v>17</v>
      </c>
      <c r="AD5904" s="4">
        <v>69</v>
      </c>
      <c r="AE5904" s="4">
        <v>131</v>
      </c>
      <c r="AF5904" s="4">
        <v>1</v>
      </c>
      <c r="AG5904" s="4">
        <v>8</v>
      </c>
      <c r="AH5904" s="4">
        <v>66</v>
      </c>
      <c r="AI5904" s="4">
        <v>97</v>
      </c>
      <c r="AJ5904" s="4">
        <v>7</v>
      </c>
      <c r="AK5904" s="4">
        <v>21</v>
      </c>
      <c r="AL5904" s="4">
        <v>39</v>
      </c>
      <c r="AM5904" s="4">
        <v>54</v>
      </c>
      <c r="AN5904" s="4">
        <v>5</v>
      </c>
      <c r="AO5904" s="4">
        <v>5</v>
      </c>
      <c r="AP5904" s="4">
        <v>8</v>
      </c>
      <c r="AQ5904" s="4">
        <v>41</v>
      </c>
      <c r="AR5904" s="3" t="s">
        <v>62</v>
      </c>
      <c r="AS5904" s="3" t="s">
        <v>62</v>
      </c>
      <c r="AT5904" s="3" t="s">
        <v>61</v>
      </c>
      <c r="AU5904" s="6" t="str">
        <f>HYPERLINK("http://catalog.hathitrust.org/Record/009853568","HathiTrust Record")</f>
        <v>HathiTrust Record</v>
      </c>
      <c r="AV5904" s="6" t="str">
        <f>HYPERLINK("http://mcgill.on.worldcat.org/oclc/692288530","Catalog Record")</f>
        <v>Catalog Record</v>
      </c>
      <c r="AW5904" s="6" t="str">
        <f>HYPERLINK("http://www.worldcat.org/oclc/692288530","WorldCat Record")</f>
        <v>WorldCat Record</v>
      </c>
      <c r="AX5904" s="3" t="s">
        <v>56768</v>
      </c>
      <c r="AY5904" s="3" t="s">
        <v>56769</v>
      </c>
      <c r="AZ5904" s="3" t="s">
        <v>56770</v>
      </c>
      <c r="BA5904" s="3" t="s">
        <v>56770</v>
      </c>
      <c r="BB5904" s="3" t="s">
        <v>56771</v>
      </c>
      <c r="BC5904" s="3" t="s">
        <v>142</v>
      </c>
      <c r="BD5904" s="3" t="s">
        <v>68</v>
      </c>
      <c r="BE5904" s="3" t="s">
        <v>56772</v>
      </c>
      <c r="BF5904" s="3" t="s">
        <v>56771</v>
      </c>
      <c r="BG5904" s="3" t="s">
        <v>56773</v>
      </c>
    </row>
    <row r="5905" spans="1:59" ht="57" x14ac:dyDescent="0.45">
      <c r="A5905" s="2" t="s">
        <v>59</v>
      </c>
      <c r="B5905" s="2" t="s">
        <v>60</v>
      </c>
      <c r="C5905" s="2" t="s">
        <v>56774</v>
      </c>
      <c r="D5905" s="2" t="s">
        <v>56775</v>
      </c>
      <c r="E5905" s="2" t="s">
        <v>56776</v>
      </c>
      <c r="G5905" s="3" t="s">
        <v>62</v>
      </c>
      <c r="I5905" s="3" t="s">
        <v>62</v>
      </c>
      <c r="J5905" s="3" t="s">
        <v>62</v>
      </c>
      <c r="K5905" s="3" t="s">
        <v>63</v>
      </c>
      <c r="L5905" s="2" t="s">
        <v>56777</v>
      </c>
      <c r="M5905" s="2" t="s">
        <v>38006</v>
      </c>
      <c r="N5905" s="3" t="s">
        <v>1212</v>
      </c>
      <c r="P5905" s="3" t="s">
        <v>65</v>
      </c>
      <c r="Q5905" s="2" t="s">
        <v>38732</v>
      </c>
      <c r="R5905" s="3" t="s">
        <v>66</v>
      </c>
      <c r="S5905" s="4">
        <v>5</v>
      </c>
      <c r="T5905" s="4">
        <v>5</v>
      </c>
      <c r="U5905" s="5" t="s">
        <v>421</v>
      </c>
      <c r="V5905" s="5" t="s">
        <v>421</v>
      </c>
      <c r="W5905" s="5" t="s">
        <v>67</v>
      </c>
      <c r="X5905" s="5" t="s">
        <v>67</v>
      </c>
      <c r="Y5905" s="4">
        <v>105</v>
      </c>
      <c r="Z5905" s="4">
        <v>10</v>
      </c>
      <c r="AA5905" s="4">
        <v>13</v>
      </c>
      <c r="AB5905" s="4">
        <v>2</v>
      </c>
      <c r="AC5905" s="4">
        <v>5</v>
      </c>
      <c r="AD5905" s="4">
        <v>42</v>
      </c>
      <c r="AE5905" s="4">
        <v>43</v>
      </c>
      <c r="AF5905" s="4">
        <v>1</v>
      </c>
      <c r="AG5905" s="4">
        <v>1</v>
      </c>
      <c r="AH5905" s="4">
        <v>37</v>
      </c>
      <c r="AI5905" s="4">
        <v>38</v>
      </c>
      <c r="AJ5905" s="4">
        <v>7</v>
      </c>
      <c r="AK5905" s="4">
        <v>7</v>
      </c>
      <c r="AL5905" s="4">
        <v>26</v>
      </c>
      <c r="AM5905" s="4">
        <v>26</v>
      </c>
      <c r="AN5905" s="4">
        <v>0</v>
      </c>
      <c r="AO5905" s="4">
        <v>0</v>
      </c>
      <c r="AP5905" s="4">
        <v>8</v>
      </c>
      <c r="AQ5905" s="4">
        <v>8</v>
      </c>
      <c r="AR5905" s="3" t="s">
        <v>62</v>
      </c>
      <c r="AS5905" s="3" t="s">
        <v>62</v>
      </c>
      <c r="AT5905" s="3" t="s">
        <v>62</v>
      </c>
      <c r="AV5905" s="6" t="str">
        <f>HYPERLINK("http://mcgill.on.worldcat.org/oclc/41628247","Catalog Record")</f>
        <v>Catalog Record</v>
      </c>
      <c r="AW5905" s="6" t="str">
        <f>HYPERLINK("http://www.worldcat.org/oclc/41628247","WorldCat Record")</f>
        <v>WorldCat Record</v>
      </c>
      <c r="AX5905" s="3" t="s">
        <v>56778</v>
      </c>
      <c r="AY5905" s="3" t="s">
        <v>56779</v>
      </c>
      <c r="AZ5905" s="3" t="s">
        <v>56780</v>
      </c>
      <c r="BA5905" s="3" t="s">
        <v>56780</v>
      </c>
      <c r="BB5905" s="3" t="s">
        <v>56781</v>
      </c>
      <c r="BC5905" s="3" t="s">
        <v>142</v>
      </c>
      <c r="BD5905" s="3" t="s">
        <v>68</v>
      </c>
      <c r="BE5905" s="3" t="s">
        <v>56782</v>
      </c>
      <c r="BF5905" s="3" t="s">
        <v>56781</v>
      </c>
      <c r="BG5905" s="3" t="s">
        <v>56783</v>
      </c>
    </row>
    <row r="5906" spans="1:59" ht="57" x14ac:dyDescent="0.45">
      <c r="A5906" s="2" t="s">
        <v>59</v>
      </c>
      <c r="B5906" s="2" t="s">
        <v>60</v>
      </c>
      <c r="C5906" s="2" t="s">
        <v>56784</v>
      </c>
      <c r="D5906" s="2" t="s">
        <v>56785</v>
      </c>
      <c r="E5906" s="2" t="s">
        <v>56786</v>
      </c>
      <c r="G5906" s="3" t="s">
        <v>62</v>
      </c>
      <c r="I5906" s="3" t="s">
        <v>62</v>
      </c>
      <c r="J5906" s="3" t="s">
        <v>62</v>
      </c>
      <c r="K5906" s="3" t="s">
        <v>63</v>
      </c>
      <c r="L5906" s="2" t="s">
        <v>8711</v>
      </c>
      <c r="M5906" s="2" t="s">
        <v>5214</v>
      </c>
      <c r="N5906" s="3" t="s">
        <v>945</v>
      </c>
      <c r="P5906" s="3" t="s">
        <v>65</v>
      </c>
      <c r="Q5906" s="2" t="s">
        <v>2549</v>
      </c>
      <c r="R5906" s="3" t="s">
        <v>66</v>
      </c>
      <c r="S5906" s="4">
        <v>16</v>
      </c>
      <c r="T5906" s="4">
        <v>16</v>
      </c>
      <c r="U5906" s="5" t="s">
        <v>27526</v>
      </c>
      <c r="V5906" s="5" t="s">
        <v>27526</v>
      </c>
      <c r="W5906" s="5" t="s">
        <v>67</v>
      </c>
      <c r="X5906" s="5" t="s">
        <v>67</v>
      </c>
      <c r="Y5906" s="4">
        <v>149</v>
      </c>
      <c r="Z5906" s="4">
        <v>11</v>
      </c>
      <c r="AA5906" s="4">
        <v>11</v>
      </c>
      <c r="AB5906" s="4">
        <v>1</v>
      </c>
      <c r="AC5906" s="4">
        <v>1</v>
      </c>
      <c r="AD5906" s="4">
        <v>27</v>
      </c>
      <c r="AE5906" s="4">
        <v>27</v>
      </c>
      <c r="AF5906" s="4">
        <v>0</v>
      </c>
      <c r="AG5906" s="4">
        <v>0</v>
      </c>
      <c r="AH5906" s="4">
        <v>23</v>
      </c>
      <c r="AI5906" s="4">
        <v>23</v>
      </c>
      <c r="AJ5906" s="4">
        <v>8</v>
      </c>
      <c r="AK5906" s="4">
        <v>8</v>
      </c>
      <c r="AL5906" s="4">
        <v>15</v>
      </c>
      <c r="AM5906" s="4">
        <v>15</v>
      </c>
      <c r="AN5906" s="4">
        <v>0</v>
      </c>
      <c r="AO5906" s="4">
        <v>0</v>
      </c>
      <c r="AP5906" s="4">
        <v>9</v>
      </c>
      <c r="AQ5906" s="4">
        <v>9</v>
      </c>
      <c r="AR5906" s="3" t="s">
        <v>62</v>
      </c>
      <c r="AS5906" s="3" t="s">
        <v>62</v>
      </c>
      <c r="AT5906" s="3" t="s">
        <v>61</v>
      </c>
      <c r="AU5906" s="6" t="str">
        <f>HYPERLINK("http://catalog.hathitrust.org/Record/005938327","HathiTrust Record")</f>
        <v>HathiTrust Record</v>
      </c>
      <c r="AV5906" s="6" t="str">
        <f>HYPERLINK("http://mcgill.on.worldcat.org/oclc/137313942","Catalog Record")</f>
        <v>Catalog Record</v>
      </c>
      <c r="AW5906" s="6" t="str">
        <f>HYPERLINK("http://www.worldcat.org/oclc/137313942","WorldCat Record")</f>
        <v>WorldCat Record</v>
      </c>
      <c r="AX5906" s="3" t="s">
        <v>56787</v>
      </c>
      <c r="AY5906" s="3" t="s">
        <v>56788</v>
      </c>
      <c r="AZ5906" s="3" t="s">
        <v>56789</v>
      </c>
      <c r="BA5906" s="3" t="s">
        <v>56789</v>
      </c>
      <c r="BB5906" s="3" t="s">
        <v>56790</v>
      </c>
      <c r="BC5906" s="3" t="s">
        <v>142</v>
      </c>
      <c r="BD5906" s="3" t="s">
        <v>68</v>
      </c>
      <c r="BE5906" s="3" t="s">
        <v>56791</v>
      </c>
      <c r="BF5906" s="3" t="s">
        <v>56790</v>
      </c>
      <c r="BG5906" s="3" t="s">
        <v>56792</v>
      </c>
    </row>
    <row r="5907" spans="1:59" ht="57" x14ac:dyDescent="0.45">
      <c r="A5907" s="2" t="s">
        <v>59</v>
      </c>
      <c r="B5907" s="2" t="s">
        <v>60</v>
      </c>
      <c r="C5907" s="2" t="s">
        <v>56793</v>
      </c>
      <c r="D5907" s="2" t="s">
        <v>56794</v>
      </c>
      <c r="E5907" s="2" t="s">
        <v>56795</v>
      </c>
      <c r="G5907" s="3" t="s">
        <v>62</v>
      </c>
      <c r="I5907" s="3" t="s">
        <v>62</v>
      </c>
      <c r="J5907" s="3" t="s">
        <v>62</v>
      </c>
      <c r="K5907" s="3" t="s">
        <v>63</v>
      </c>
      <c r="L5907" s="2" t="s">
        <v>56796</v>
      </c>
      <c r="M5907" s="2" t="s">
        <v>56797</v>
      </c>
      <c r="N5907" s="3" t="s">
        <v>1212</v>
      </c>
      <c r="P5907" s="3" t="s">
        <v>65</v>
      </c>
      <c r="R5907" s="3" t="s">
        <v>66</v>
      </c>
      <c r="S5907" s="4">
        <v>18</v>
      </c>
      <c r="T5907" s="4">
        <v>18</v>
      </c>
      <c r="U5907" s="5" t="s">
        <v>35662</v>
      </c>
      <c r="V5907" s="5" t="s">
        <v>35662</v>
      </c>
      <c r="W5907" s="5" t="s">
        <v>67</v>
      </c>
      <c r="X5907" s="5" t="s">
        <v>67</v>
      </c>
      <c r="Y5907" s="4">
        <v>402</v>
      </c>
      <c r="Z5907" s="4">
        <v>32</v>
      </c>
      <c r="AA5907" s="4">
        <v>42</v>
      </c>
      <c r="AB5907" s="4">
        <v>1</v>
      </c>
      <c r="AC5907" s="4">
        <v>7</v>
      </c>
      <c r="AD5907" s="4">
        <v>103</v>
      </c>
      <c r="AE5907" s="4">
        <v>113</v>
      </c>
      <c r="AF5907" s="4">
        <v>0</v>
      </c>
      <c r="AG5907" s="4">
        <v>3</v>
      </c>
      <c r="AH5907" s="4">
        <v>85</v>
      </c>
      <c r="AI5907" s="4">
        <v>88</v>
      </c>
      <c r="AJ5907" s="4">
        <v>14</v>
      </c>
      <c r="AK5907" s="4">
        <v>18</v>
      </c>
      <c r="AL5907" s="4">
        <v>46</v>
      </c>
      <c r="AM5907" s="4">
        <v>49</v>
      </c>
      <c r="AN5907" s="4">
        <v>0</v>
      </c>
      <c r="AO5907" s="4">
        <v>0</v>
      </c>
      <c r="AP5907" s="4">
        <v>25</v>
      </c>
      <c r="AQ5907" s="4">
        <v>31</v>
      </c>
      <c r="AR5907" s="3" t="s">
        <v>62</v>
      </c>
      <c r="AS5907" s="3" t="s">
        <v>62</v>
      </c>
      <c r="AT5907" s="3" t="s">
        <v>61</v>
      </c>
      <c r="AU5907" s="6" t="str">
        <f>HYPERLINK("http://catalog.hathitrust.org/Record/004106615","HathiTrust Record")</f>
        <v>HathiTrust Record</v>
      </c>
      <c r="AV5907" s="6" t="str">
        <f>HYPERLINK("http://mcgill.on.worldcat.org/oclc/43311659","Catalog Record")</f>
        <v>Catalog Record</v>
      </c>
      <c r="AW5907" s="6" t="str">
        <f>HYPERLINK("http://www.worldcat.org/oclc/43311659","WorldCat Record")</f>
        <v>WorldCat Record</v>
      </c>
      <c r="AX5907" s="3" t="s">
        <v>56798</v>
      </c>
      <c r="AY5907" s="3" t="s">
        <v>56799</v>
      </c>
      <c r="AZ5907" s="3" t="s">
        <v>56800</v>
      </c>
      <c r="BA5907" s="3" t="s">
        <v>56800</v>
      </c>
      <c r="BB5907" s="3" t="s">
        <v>56801</v>
      </c>
      <c r="BC5907" s="3" t="s">
        <v>142</v>
      </c>
      <c r="BD5907" s="3" t="s">
        <v>68</v>
      </c>
      <c r="BE5907" s="3" t="s">
        <v>56802</v>
      </c>
      <c r="BF5907" s="3" t="s">
        <v>56801</v>
      </c>
      <c r="BG5907" s="3" t="s">
        <v>56803</v>
      </c>
    </row>
    <row r="5908" spans="1:59" ht="57" x14ac:dyDescent="0.45">
      <c r="A5908" s="2" t="s">
        <v>59</v>
      </c>
      <c r="B5908" s="2" t="s">
        <v>60</v>
      </c>
      <c r="C5908" s="2" t="s">
        <v>56804</v>
      </c>
      <c r="D5908" s="2" t="s">
        <v>56805</v>
      </c>
      <c r="E5908" s="2" t="s">
        <v>56806</v>
      </c>
      <c r="G5908" s="3" t="s">
        <v>62</v>
      </c>
      <c r="I5908" s="3" t="s">
        <v>62</v>
      </c>
      <c r="J5908" s="3" t="s">
        <v>62</v>
      </c>
      <c r="K5908" s="3" t="s">
        <v>63</v>
      </c>
      <c r="M5908" s="2" t="s">
        <v>56807</v>
      </c>
      <c r="N5908" s="3" t="s">
        <v>568</v>
      </c>
      <c r="P5908" s="3" t="s">
        <v>65</v>
      </c>
      <c r="Q5908" s="2" t="s">
        <v>9966</v>
      </c>
      <c r="R5908" s="3" t="s">
        <v>66</v>
      </c>
      <c r="S5908" s="4">
        <v>56</v>
      </c>
      <c r="T5908" s="4">
        <v>56</v>
      </c>
      <c r="U5908" s="5" t="s">
        <v>8842</v>
      </c>
      <c r="V5908" s="5" t="s">
        <v>8842</v>
      </c>
      <c r="W5908" s="5" t="s">
        <v>67</v>
      </c>
      <c r="X5908" s="5" t="s">
        <v>67</v>
      </c>
      <c r="Y5908" s="4">
        <v>275</v>
      </c>
      <c r="Z5908" s="4">
        <v>14</v>
      </c>
      <c r="AA5908" s="4">
        <v>15</v>
      </c>
      <c r="AB5908" s="4">
        <v>2</v>
      </c>
      <c r="AC5908" s="4">
        <v>2</v>
      </c>
      <c r="AD5908" s="4">
        <v>80</v>
      </c>
      <c r="AE5908" s="4">
        <v>81</v>
      </c>
      <c r="AF5908" s="4">
        <v>1</v>
      </c>
      <c r="AG5908" s="4">
        <v>1</v>
      </c>
      <c r="AH5908" s="4">
        <v>74</v>
      </c>
      <c r="AI5908" s="4">
        <v>75</v>
      </c>
      <c r="AJ5908" s="4">
        <v>10</v>
      </c>
      <c r="AK5908" s="4">
        <v>10</v>
      </c>
      <c r="AL5908" s="4">
        <v>38</v>
      </c>
      <c r="AM5908" s="4">
        <v>39</v>
      </c>
      <c r="AN5908" s="4">
        <v>0</v>
      </c>
      <c r="AO5908" s="4">
        <v>0</v>
      </c>
      <c r="AP5908" s="4">
        <v>11</v>
      </c>
      <c r="AQ5908" s="4">
        <v>11</v>
      </c>
      <c r="AR5908" s="3" t="s">
        <v>62</v>
      </c>
      <c r="AS5908" s="3" t="s">
        <v>62</v>
      </c>
      <c r="AT5908" s="3" t="s">
        <v>61</v>
      </c>
      <c r="AU5908" s="6" t="str">
        <f>HYPERLINK("http://catalog.hathitrust.org/Record/000672321","HathiTrust Record")</f>
        <v>HathiTrust Record</v>
      </c>
      <c r="AV5908" s="6" t="str">
        <f>HYPERLINK("http://mcgill.on.worldcat.org/oclc/12972918","Catalog Record")</f>
        <v>Catalog Record</v>
      </c>
      <c r="AW5908" s="6" t="str">
        <f>HYPERLINK("http://www.worldcat.org/oclc/12972918","WorldCat Record")</f>
        <v>WorldCat Record</v>
      </c>
      <c r="AX5908" s="3" t="s">
        <v>56808</v>
      </c>
      <c r="AY5908" s="3" t="s">
        <v>56809</v>
      </c>
      <c r="AZ5908" s="3" t="s">
        <v>56810</v>
      </c>
      <c r="BA5908" s="3" t="s">
        <v>56810</v>
      </c>
      <c r="BB5908" s="3" t="s">
        <v>56811</v>
      </c>
      <c r="BC5908" s="3" t="s">
        <v>142</v>
      </c>
      <c r="BD5908" s="3" t="s">
        <v>68</v>
      </c>
      <c r="BE5908" s="3" t="s">
        <v>56812</v>
      </c>
      <c r="BF5908" s="3" t="s">
        <v>56811</v>
      </c>
      <c r="BG5908" s="3" t="s">
        <v>56813</v>
      </c>
    </row>
    <row r="5909" spans="1:59" ht="57" x14ac:dyDescent="0.45">
      <c r="A5909" s="2" t="s">
        <v>59</v>
      </c>
      <c r="B5909" s="2" t="s">
        <v>60</v>
      </c>
      <c r="C5909" s="2" t="s">
        <v>56814</v>
      </c>
      <c r="D5909" s="2" t="s">
        <v>56815</v>
      </c>
      <c r="E5909" s="2" t="s">
        <v>56816</v>
      </c>
      <c r="G5909" s="3" t="s">
        <v>62</v>
      </c>
      <c r="I5909" s="3" t="s">
        <v>62</v>
      </c>
      <c r="J5909" s="3" t="s">
        <v>62</v>
      </c>
      <c r="K5909" s="3" t="s">
        <v>63</v>
      </c>
      <c r="L5909" s="2" t="s">
        <v>56817</v>
      </c>
      <c r="M5909" s="2" t="s">
        <v>56818</v>
      </c>
      <c r="N5909" s="3" t="s">
        <v>116</v>
      </c>
      <c r="P5909" s="3" t="s">
        <v>110</v>
      </c>
      <c r="Q5909" s="2" t="s">
        <v>56819</v>
      </c>
      <c r="R5909" s="3" t="s">
        <v>66</v>
      </c>
      <c r="S5909" s="4">
        <v>0</v>
      </c>
      <c r="T5909" s="4">
        <v>0</v>
      </c>
      <c r="W5909" s="5" t="s">
        <v>67</v>
      </c>
      <c r="X5909" s="5" t="s">
        <v>67</v>
      </c>
      <c r="Y5909" s="4">
        <v>53</v>
      </c>
      <c r="Z5909" s="4">
        <v>6</v>
      </c>
      <c r="AA5909" s="4">
        <v>9</v>
      </c>
      <c r="AB5909" s="4">
        <v>1</v>
      </c>
      <c r="AC5909" s="4">
        <v>3</v>
      </c>
      <c r="AD5909" s="4">
        <v>35</v>
      </c>
      <c r="AE5909" s="4">
        <v>37</v>
      </c>
      <c r="AF5909" s="4">
        <v>0</v>
      </c>
      <c r="AG5909" s="4">
        <v>1</v>
      </c>
      <c r="AH5909" s="4">
        <v>34</v>
      </c>
      <c r="AI5909" s="4">
        <v>36</v>
      </c>
      <c r="AJ5909" s="4">
        <v>4</v>
      </c>
      <c r="AK5909" s="4">
        <v>6</v>
      </c>
      <c r="AL5909" s="4">
        <v>25</v>
      </c>
      <c r="AM5909" s="4">
        <v>25</v>
      </c>
      <c r="AN5909" s="4">
        <v>0</v>
      </c>
      <c r="AO5909" s="4">
        <v>0</v>
      </c>
      <c r="AP5909" s="4">
        <v>4</v>
      </c>
      <c r="AQ5909" s="4">
        <v>6</v>
      </c>
      <c r="AR5909" s="3" t="s">
        <v>62</v>
      </c>
      <c r="AS5909" s="3" t="s">
        <v>62</v>
      </c>
      <c r="AT5909" s="3" t="s">
        <v>62</v>
      </c>
      <c r="AV5909" s="6" t="str">
        <f>HYPERLINK("http://mcgill.on.worldcat.org/oclc/829062677","Catalog Record")</f>
        <v>Catalog Record</v>
      </c>
      <c r="AW5909" s="6" t="str">
        <f>HYPERLINK("http://www.worldcat.org/oclc/829062677","WorldCat Record")</f>
        <v>WorldCat Record</v>
      </c>
      <c r="AX5909" s="3" t="s">
        <v>56820</v>
      </c>
      <c r="AY5909" s="3" t="s">
        <v>56821</v>
      </c>
      <c r="AZ5909" s="3" t="s">
        <v>56822</v>
      </c>
      <c r="BA5909" s="3" t="s">
        <v>56822</v>
      </c>
      <c r="BB5909" s="3" t="s">
        <v>56823</v>
      </c>
      <c r="BC5909" s="3" t="s">
        <v>142</v>
      </c>
      <c r="BD5909" s="3" t="s">
        <v>68</v>
      </c>
      <c r="BE5909" s="3" t="s">
        <v>56824</v>
      </c>
      <c r="BF5909" s="3" t="s">
        <v>56823</v>
      </c>
      <c r="BG5909" s="3" t="s">
        <v>56825</v>
      </c>
    </row>
    <row r="5910" spans="1:59" ht="57" x14ac:dyDescent="0.45">
      <c r="A5910" s="2" t="s">
        <v>59</v>
      </c>
      <c r="B5910" s="2" t="s">
        <v>60</v>
      </c>
      <c r="C5910" s="2" t="s">
        <v>56826</v>
      </c>
      <c r="D5910" s="2" t="s">
        <v>56827</v>
      </c>
      <c r="E5910" s="2" t="s">
        <v>56828</v>
      </c>
      <c r="G5910" s="3" t="s">
        <v>62</v>
      </c>
      <c r="I5910" s="3" t="s">
        <v>62</v>
      </c>
      <c r="J5910" s="3" t="s">
        <v>62</v>
      </c>
      <c r="K5910" s="3" t="s">
        <v>63</v>
      </c>
      <c r="M5910" s="2" t="s">
        <v>56829</v>
      </c>
      <c r="N5910" s="3" t="s">
        <v>116</v>
      </c>
      <c r="P5910" s="3" t="s">
        <v>65</v>
      </c>
      <c r="R5910" s="3" t="s">
        <v>66</v>
      </c>
      <c r="S5910" s="4">
        <v>0</v>
      </c>
      <c r="T5910" s="4">
        <v>0</v>
      </c>
      <c r="W5910" s="5" t="s">
        <v>67</v>
      </c>
      <c r="X5910" s="5" t="s">
        <v>67</v>
      </c>
      <c r="Y5910" s="4">
        <v>98</v>
      </c>
      <c r="Z5910" s="4">
        <v>14</v>
      </c>
      <c r="AA5910" s="4">
        <v>15</v>
      </c>
      <c r="AB5910" s="4">
        <v>1</v>
      </c>
      <c r="AC5910" s="4">
        <v>2</v>
      </c>
      <c r="AD5910" s="4">
        <v>47</v>
      </c>
      <c r="AE5910" s="4">
        <v>48</v>
      </c>
      <c r="AF5910" s="4">
        <v>0</v>
      </c>
      <c r="AG5910" s="4">
        <v>1</v>
      </c>
      <c r="AH5910" s="4">
        <v>45</v>
      </c>
      <c r="AI5910" s="4">
        <v>45</v>
      </c>
      <c r="AJ5910" s="4">
        <v>12</v>
      </c>
      <c r="AK5910" s="4">
        <v>13</v>
      </c>
      <c r="AL5910" s="4">
        <v>24</v>
      </c>
      <c r="AM5910" s="4">
        <v>24</v>
      </c>
      <c r="AN5910" s="4">
        <v>0</v>
      </c>
      <c r="AO5910" s="4">
        <v>0</v>
      </c>
      <c r="AP5910" s="4">
        <v>12</v>
      </c>
      <c r="AQ5910" s="4">
        <v>13</v>
      </c>
      <c r="AR5910" s="3" t="s">
        <v>62</v>
      </c>
      <c r="AS5910" s="3" t="s">
        <v>62</v>
      </c>
      <c r="AT5910" s="3" t="s">
        <v>62</v>
      </c>
      <c r="AV5910" s="6" t="str">
        <f>HYPERLINK("http://mcgill.on.worldcat.org/oclc/729574264","Catalog Record")</f>
        <v>Catalog Record</v>
      </c>
      <c r="AW5910" s="6" t="str">
        <f>HYPERLINK("http://www.worldcat.org/oclc/729574264","WorldCat Record")</f>
        <v>WorldCat Record</v>
      </c>
      <c r="AX5910" s="3" t="s">
        <v>56830</v>
      </c>
      <c r="AY5910" s="3" t="s">
        <v>56831</v>
      </c>
      <c r="AZ5910" s="3" t="s">
        <v>56832</v>
      </c>
      <c r="BA5910" s="3" t="s">
        <v>56832</v>
      </c>
      <c r="BB5910" s="3" t="s">
        <v>56833</v>
      </c>
      <c r="BC5910" s="3" t="s">
        <v>142</v>
      </c>
      <c r="BD5910" s="3" t="s">
        <v>68</v>
      </c>
      <c r="BE5910" s="3" t="s">
        <v>56834</v>
      </c>
      <c r="BF5910" s="3" t="s">
        <v>56833</v>
      </c>
      <c r="BG5910" s="3" t="s">
        <v>56835</v>
      </c>
    </row>
    <row r="5911" spans="1:59" ht="57" x14ac:dyDescent="0.45">
      <c r="A5911" s="2" t="s">
        <v>59</v>
      </c>
      <c r="B5911" s="2" t="s">
        <v>60</v>
      </c>
      <c r="C5911" s="2" t="s">
        <v>56836</v>
      </c>
      <c r="D5911" s="2" t="s">
        <v>56837</v>
      </c>
      <c r="E5911" s="2" t="s">
        <v>56838</v>
      </c>
      <c r="G5911" s="3" t="s">
        <v>62</v>
      </c>
      <c r="I5911" s="3" t="s">
        <v>62</v>
      </c>
      <c r="J5911" s="3" t="s">
        <v>62</v>
      </c>
      <c r="K5911" s="3" t="s">
        <v>63</v>
      </c>
      <c r="M5911" s="2" t="s">
        <v>56839</v>
      </c>
      <c r="N5911" s="3" t="s">
        <v>894</v>
      </c>
      <c r="P5911" s="3" t="s">
        <v>65</v>
      </c>
      <c r="Q5911" s="2" t="s">
        <v>56840</v>
      </c>
      <c r="R5911" s="3" t="s">
        <v>66</v>
      </c>
      <c r="S5911" s="4">
        <v>1</v>
      </c>
      <c r="T5911" s="4">
        <v>1</v>
      </c>
      <c r="U5911" s="5" t="s">
        <v>544</v>
      </c>
      <c r="V5911" s="5" t="s">
        <v>544</v>
      </c>
      <c r="W5911" s="5" t="s">
        <v>67</v>
      </c>
      <c r="X5911" s="5" t="s">
        <v>67</v>
      </c>
      <c r="Y5911" s="4">
        <v>117</v>
      </c>
      <c r="Z5911" s="4">
        <v>16</v>
      </c>
      <c r="AA5911" s="4">
        <v>81</v>
      </c>
      <c r="AB5911" s="4">
        <v>1</v>
      </c>
      <c r="AC5911" s="4">
        <v>14</v>
      </c>
      <c r="AD5911" s="4">
        <v>56</v>
      </c>
      <c r="AE5911" s="4">
        <v>109</v>
      </c>
      <c r="AF5911" s="4">
        <v>0</v>
      </c>
      <c r="AG5911" s="4">
        <v>8</v>
      </c>
      <c r="AH5911" s="4">
        <v>54</v>
      </c>
      <c r="AI5911" s="4">
        <v>77</v>
      </c>
      <c r="AJ5911" s="4">
        <v>13</v>
      </c>
      <c r="AK5911" s="4">
        <v>23</v>
      </c>
      <c r="AL5911" s="4">
        <v>28</v>
      </c>
      <c r="AM5911" s="4">
        <v>39</v>
      </c>
      <c r="AN5911" s="4">
        <v>0</v>
      </c>
      <c r="AO5911" s="4">
        <v>0</v>
      </c>
      <c r="AP5911" s="4">
        <v>13</v>
      </c>
      <c r="AQ5911" s="4">
        <v>43</v>
      </c>
      <c r="AR5911" s="3" t="s">
        <v>62</v>
      </c>
      <c r="AS5911" s="3" t="s">
        <v>62</v>
      </c>
      <c r="AT5911" s="3" t="s">
        <v>62</v>
      </c>
      <c r="AV5911" s="6" t="str">
        <f>HYPERLINK("http://mcgill.on.worldcat.org/oclc/715286208","Catalog Record")</f>
        <v>Catalog Record</v>
      </c>
      <c r="AW5911" s="6" t="str">
        <f>HYPERLINK("http://www.worldcat.org/oclc/715286208","WorldCat Record")</f>
        <v>WorldCat Record</v>
      </c>
      <c r="AX5911" s="3" t="s">
        <v>56841</v>
      </c>
      <c r="AY5911" s="3" t="s">
        <v>56842</v>
      </c>
      <c r="AZ5911" s="3" t="s">
        <v>56843</v>
      </c>
      <c r="BA5911" s="3" t="s">
        <v>56843</v>
      </c>
      <c r="BB5911" s="3" t="s">
        <v>56844</v>
      </c>
      <c r="BC5911" s="3" t="s">
        <v>142</v>
      </c>
      <c r="BD5911" s="3" t="s">
        <v>68</v>
      </c>
      <c r="BE5911" s="3" t="s">
        <v>56845</v>
      </c>
      <c r="BF5911" s="3" t="s">
        <v>56844</v>
      </c>
      <c r="BG5911" s="3" t="s">
        <v>56846</v>
      </c>
    </row>
    <row r="5912" spans="1:59" ht="57" x14ac:dyDescent="0.45">
      <c r="A5912" s="2" t="s">
        <v>59</v>
      </c>
      <c r="B5912" s="2" t="s">
        <v>60</v>
      </c>
      <c r="C5912" s="2" t="s">
        <v>56847</v>
      </c>
      <c r="D5912" s="2" t="s">
        <v>56848</v>
      </c>
      <c r="E5912" s="2" t="s">
        <v>56849</v>
      </c>
      <c r="G5912" s="3" t="s">
        <v>62</v>
      </c>
      <c r="I5912" s="3" t="s">
        <v>62</v>
      </c>
      <c r="J5912" s="3" t="s">
        <v>62</v>
      </c>
      <c r="K5912" s="3" t="s">
        <v>63</v>
      </c>
      <c r="M5912" s="2" t="s">
        <v>3849</v>
      </c>
      <c r="N5912" s="3" t="s">
        <v>1465</v>
      </c>
      <c r="O5912" s="2" t="s">
        <v>3280</v>
      </c>
      <c r="P5912" s="3" t="s">
        <v>65</v>
      </c>
      <c r="Q5912" s="2" t="s">
        <v>56850</v>
      </c>
      <c r="R5912" s="3" t="s">
        <v>66</v>
      </c>
      <c r="S5912" s="4">
        <v>9</v>
      </c>
      <c r="T5912" s="4">
        <v>9</v>
      </c>
      <c r="U5912" s="5" t="s">
        <v>11590</v>
      </c>
      <c r="V5912" s="5" t="s">
        <v>11590</v>
      </c>
      <c r="W5912" s="5" t="s">
        <v>67</v>
      </c>
      <c r="X5912" s="5" t="s">
        <v>67</v>
      </c>
      <c r="Y5912" s="4">
        <v>149</v>
      </c>
      <c r="Z5912" s="4">
        <v>14</v>
      </c>
      <c r="AA5912" s="4">
        <v>97</v>
      </c>
      <c r="AB5912" s="4">
        <v>2</v>
      </c>
      <c r="AC5912" s="4">
        <v>19</v>
      </c>
      <c r="AD5912" s="4">
        <v>60</v>
      </c>
      <c r="AE5912" s="4">
        <v>145</v>
      </c>
      <c r="AF5912" s="4">
        <v>0</v>
      </c>
      <c r="AG5912" s="4">
        <v>8</v>
      </c>
      <c r="AH5912" s="4">
        <v>53</v>
      </c>
      <c r="AI5912" s="4">
        <v>109</v>
      </c>
      <c r="AJ5912" s="4">
        <v>9</v>
      </c>
      <c r="AK5912" s="4">
        <v>25</v>
      </c>
      <c r="AL5912" s="4">
        <v>32</v>
      </c>
      <c r="AM5912" s="4">
        <v>57</v>
      </c>
      <c r="AN5912" s="4">
        <v>0</v>
      </c>
      <c r="AO5912" s="4">
        <v>4</v>
      </c>
      <c r="AP5912" s="4">
        <v>11</v>
      </c>
      <c r="AQ5912" s="4">
        <v>46</v>
      </c>
      <c r="AR5912" s="3" t="s">
        <v>62</v>
      </c>
      <c r="AS5912" s="3" t="s">
        <v>62</v>
      </c>
      <c r="AT5912" s="3" t="s">
        <v>62</v>
      </c>
      <c r="AV5912" s="6" t="str">
        <f>HYPERLINK("http://mcgill.on.worldcat.org/oclc/244314616","Catalog Record")</f>
        <v>Catalog Record</v>
      </c>
      <c r="AW5912" s="6" t="str">
        <f>HYPERLINK("http://www.worldcat.org/oclc/244314616","WorldCat Record")</f>
        <v>WorldCat Record</v>
      </c>
      <c r="AX5912" s="3" t="s">
        <v>56851</v>
      </c>
      <c r="AY5912" s="3" t="s">
        <v>56852</v>
      </c>
      <c r="AZ5912" s="3" t="s">
        <v>56853</v>
      </c>
      <c r="BA5912" s="3" t="s">
        <v>56853</v>
      </c>
      <c r="BB5912" s="3" t="s">
        <v>56854</v>
      </c>
      <c r="BC5912" s="3" t="s">
        <v>142</v>
      </c>
      <c r="BD5912" s="3" t="s">
        <v>68</v>
      </c>
      <c r="BE5912" s="3" t="s">
        <v>56855</v>
      </c>
      <c r="BF5912" s="3" t="s">
        <v>56854</v>
      </c>
      <c r="BG5912" s="3" t="s">
        <v>56856</v>
      </c>
    </row>
    <row r="5913" spans="1:59" ht="57" x14ac:dyDescent="0.45">
      <c r="A5913" s="2" t="s">
        <v>59</v>
      </c>
      <c r="B5913" s="2" t="s">
        <v>60</v>
      </c>
      <c r="C5913" s="2" t="s">
        <v>56857</v>
      </c>
      <c r="D5913" s="2" t="s">
        <v>56858</v>
      </c>
      <c r="E5913" s="2" t="s">
        <v>56859</v>
      </c>
      <c r="G5913" s="3" t="s">
        <v>62</v>
      </c>
      <c r="I5913" s="3" t="s">
        <v>62</v>
      </c>
      <c r="J5913" s="3" t="s">
        <v>62</v>
      </c>
      <c r="K5913" s="3" t="s">
        <v>63</v>
      </c>
      <c r="L5913" s="2" t="s">
        <v>56860</v>
      </c>
      <c r="M5913" s="2" t="s">
        <v>56861</v>
      </c>
      <c r="N5913" s="3" t="s">
        <v>1155</v>
      </c>
      <c r="P5913" s="3" t="s">
        <v>65</v>
      </c>
      <c r="Q5913" s="2" t="s">
        <v>56862</v>
      </c>
      <c r="R5913" s="3" t="s">
        <v>66</v>
      </c>
      <c r="S5913" s="4">
        <v>0</v>
      </c>
      <c r="T5913" s="4">
        <v>0</v>
      </c>
      <c r="W5913" s="5" t="s">
        <v>67</v>
      </c>
      <c r="X5913" s="5" t="s">
        <v>67</v>
      </c>
      <c r="Y5913" s="4">
        <v>146</v>
      </c>
      <c r="Z5913" s="4">
        <v>16</v>
      </c>
      <c r="AA5913" s="4">
        <v>18</v>
      </c>
      <c r="AB5913" s="4">
        <v>1</v>
      </c>
      <c r="AC5913" s="4">
        <v>1</v>
      </c>
      <c r="AD5913" s="4">
        <v>75</v>
      </c>
      <c r="AE5913" s="4">
        <v>78</v>
      </c>
      <c r="AF5913" s="4">
        <v>0</v>
      </c>
      <c r="AG5913" s="4">
        <v>0</v>
      </c>
      <c r="AH5913" s="4">
        <v>69</v>
      </c>
      <c r="AI5913" s="4">
        <v>71</v>
      </c>
      <c r="AJ5913" s="4">
        <v>13</v>
      </c>
      <c r="AK5913" s="4">
        <v>13</v>
      </c>
      <c r="AL5913" s="4">
        <v>44</v>
      </c>
      <c r="AM5913" s="4">
        <v>44</v>
      </c>
      <c r="AN5913" s="4">
        <v>0</v>
      </c>
      <c r="AO5913" s="4">
        <v>0</v>
      </c>
      <c r="AP5913" s="4">
        <v>14</v>
      </c>
      <c r="AQ5913" s="4">
        <v>15</v>
      </c>
      <c r="AR5913" s="3" t="s">
        <v>62</v>
      </c>
      <c r="AS5913" s="3" t="s">
        <v>62</v>
      </c>
      <c r="AT5913" s="3" t="s">
        <v>62</v>
      </c>
      <c r="AV5913" s="6" t="str">
        <f>HYPERLINK("http://mcgill.on.worldcat.org/oclc/785873660","Catalog Record")</f>
        <v>Catalog Record</v>
      </c>
      <c r="AW5913" s="6" t="str">
        <f>HYPERLINK("http://www.worldcat.org/oclc/785873660","WorldCat Record")</f>
        <v>WorldCat Record</v>
      </c>
      <c r="AX5913" s="3" t="s">
        <v>56863</v>
      </c>
      <c r="AY5913" s="3" t="s">
        <v>56864</v>
      </c>
      <c r="AZ5913" s="3" t="s">
        <v>56865</v>
      </c>
      <c r="BA5913" s="3" t="s">
        <v>56865</v>
      </c>
      <c r="BB5913" s="3" t="s">
        <v>56866</v>
      </c>
      <c r="BC5913" s="3" t="s">
        <v>142</v>
      </c>
      <c r="BD5913" s="3" t="s">
        <v>68</v>
      </c>
      <c r="BE5913" s="3" t="s">
        <v>56867</v>
      </c>
      <c r="BF5913" s="3" t="s">
        <v>56866</v>
      </c>
      <c r="BG5913" s="3" t="s">
        <v>56868</v>
      </c>
    </row>
    <row r="5914" spans="1:59" ht="57" x14ac:dyDescent="0.45">
      <c r="A5914" s="2" t="s">
        <v>59</v>
      </c>
      <c r="B5914" s="2" t="s">
        <v>60</v>
      </c>
      <c r="C5914" s="2" t="s">
        <v>56869</v>
      </c>
      <c r="D5914" s="2" t="s">
        <v>56870</v>
      </c>
      <c r="E5914" s="2" t="s">
        <v>56871</v>
      </c>
      <c r="G5914" s="3" t="s">
        <v>62</v>
      </c>
      <c r="I5914" s="3" t="s">
        <v>62</v>
      </c>
      <c r="J5914" s="3" t="s">
        <v>62</v>
      </c>
      <c r="K5914" s="3" t="s">
        <v>63</v>
      </c>
      <c r="M5914" s="2" t="s">
        <v>56872</v>
      </c>
      <c r="N5914" s="3" t="s">
        <v>149</v>
      </c>
      <c r="P5914" s="3" t="s">
        <v>65</v>
      </c>
      <c r="Q5914" s="2" t="s">
        <v>56873</v>
      </c>
      <c r="R5914" s="3" t="s">
        <v>66</v>
      </c>
      <c r="S5914" s="4">
        <v>2</v>
      </c>
      <c r="T5914" s="4">
        <v>2</v>
      </c>
      <c r="U5914" s="5" t="s">
        <v>56874</v>
      </c>
      <c r="V5914" s="5" t="s">
        <v>56874</v>
      </c>
      <c r="W5914" s="5" t="s">
        <v>67</v>
      </c>
      <c r="X5914" s="5" t="s">
        <v>67</v>
      </c>
      <c r="Y5914" s="4">
        <v>68</v>
      </c>
      <c r="Z5914" s="4">
        <v>7</v>
      </c>
      <c r="AA5914" s="4">
        <v>96</v>
      </c>
      <c r="AB5914" s="4">
        <v>1</v>
      </c>
      <c r="AC5914" s="4">
        <v>17</v>
      </c>
      <c r="AD5914" s="4">
        <v>36</v>
      </c>
      <c r="AE5914" s="4">
        <v>115</v>
      </c>
      <c r="AF5914" s="4">
        <v>0</v>
      </c>
      <c r="AG5914" s="4">
        <v>8</v>
      </c>
      <c r="AH5914" s="4">
        <v>32</v>
      </c>
      <c r="AI5914" s="4">
        <v>80</v>
      </c>
      <c r="AJ5914" s="4">
        <v>5</v>
      </c>
      <c r="AK5914" s="4">
        <v>22</v>
      </c>
      <c r="AL5914" s="4">
        <v>24</v>
      </c>
      <c r="AM5914" s="4">
        <v>41</v>
      </c>
      <c r="AN5914" s="4">
        <v>0</v>
      </c>
      <c r="AO5914" s="4">
        <v>0</v>
      </c>
      <c r="AP5914" s="4">
        <v>5</v>
      </c>
      <c r="AQ5914" s="4">
        <v>43</v>
      </c>
      <c r="AR5914" s="3" t="s">
        <v>62</v>
      </c>
      <c r="AS5914" s="3" t="s">
        <v>62</v>
      </c>
      <c r="AT5914" s="3" t="s">
        <v>62</v>
      </c>
      <c r="AV5914" s="6" t="str">
        <f>HYPERLINK("http://mcgill.on.worldcat.org/oclc/548569645","Catalog Record")</f>
        <v>Catalog Record</v>
      </c>
      <c r="AW5914" s="6" t="str">
        <f>HYPERLINK("http://www.worldcat.org/oclc/548569645","WorldCat Record")</f>
        <v>WorldCat Record</v>
      </c>
      <c r="AX5914" s="3" t="s">
        <v>56875</v>
      </c>
      <c r="AY5914" s="3" t="s">
        <v>56876</v>
      </c>
      <c r="AZ5914" s="3" t="s">
        <v>56877</v>
      </c>
      <c r="BA5914" s="3" t="s">
        <v>56877</v>
      </c>
      <c r="BB5914" s="3" t="s">
        <v>56878</v>
      </c>
      <c r="BC5914" s="3" t="s">
        <v>142</v>
      </c>
      <c r="BD5914" s="3" t="s">
        <v>68</v>
      </c>
      <c r="BE5914" s="3" t="s">
        <v>56879</v>
      </c>
      <c r="BF5914" s="3" t="s">
        <v>56878</v>
      </c>
      <c r="BG5914" s="3" t="s">
        <v>56880</v>
      </c>
    </row>
    <row r="5915" spans="1:59" ht="57" x14ac:dyDescent="0.45">
      <c r="A5915" s="2" t="s">
        <v>59</v>
      </c>
      <c r="B5915" s="2" t="s">
        <v>60</v>
      </c>
      <c r="C5915" s="2" t="s">
        <v>56881</v>
      </c>
      <c r="D5915" s="2" t="s">
        <v>56882</v>
      </c>
      <c r="E5915" s="2" t="s">
        <v>56883</v>
      </c>
      <c r="G5915" s="3" t="s">
        <v>62</v>
      </c>
      <c r="I5915" s="3" t="s">
        <v>61</v>
      </c>
      <c r="J5915" s="3" t="s">
        <v>61</v>
      </c>
      <c r="K5915" s="3" t="s">
        <v>63</v>
      </c>
      <c r="L5915" s="2" t="s">
        <v>56884</v>
      </c>
      <c r="M5915" s="2" t="s">
        <v>56885</v>
      </c>
      <c r="N5915" s="3" t="s">
        <v>181</v>
      </c>
      <c r="O5915" s="2" t="s">
        <v>56886</v>
      </c>
      <c r="P5915" s="3" t="s">
        <v>65</v>
      </c>
      <c r="Q5915" s="2" t="s">
        <v>56887</v>
      </c>
      <c r="R5915" s="3" t="s">
        <v>66</v>
      </c>
      <c r="S5915" s="4">
        <v>0</v>
      </c>
      <c r="T5915" s="4">
        <v>0</v>
      </c>
      <c r="W5915" s="5" t="s">
        <v>67</v>
      </c>
      <c r="X5915" s="5" t="s">
        <v>67</v>
      </c>
      <c r="Y5915" s="4">
        <v>151</v>
      </c>
      <c r="Z5915" s="4">
        <v>5</v>
      </c>
      <c r="AA5915" s="4">
        <v>116</v>
      </c>
      <c r="AB5915" s="4">
        <v>1</v>
      </c>
      <c r="AC5915" s="4">
        <v>12</v>
      </c>
      <c r="AD5915" s="4">
        <v>11</v>
      </c>
      <c r="AE5915" s="4">
        <v>134</v>
      </c>
      <c r="AF5915" s="4">
        <v>0</v>
      </c>
      <c r="AG5915" s="4">
        <v>6</v>
      </c>
      <c r="AH5915" s="4">
        <v>11</v>
      </c>
      <c r="AI5915" s="4">
        <v>96</v>
      </c>
      <c r="AJ5915" s="4">
        <v>1</v>
      </c>
      <c r="AK5915" s="4">
        <v>25</v>
      </c>
      <c r="AL5915" s="4">
        <v>5</v>
      </c>
      <c r="AM5915" s="4">
        <v>55</v>
      </c>
      <c r="AN5915" s="4">
        <v>0</v>
      </c>
      <c r="AO5915" s="4">
        <v>5</v>
      </c>
      <c r="AP5915" s="4">
        <v>1</v>
      </c>
      <c r="AQ5915" s="4">
        <v>42</v>
      </c>
      <c r="AR5915" s="3" t="s">
        <v>62</v>
      </c>
      <c r="AS5915" s="3" t="s">
        <v>62</v>
      </c>
      <c r="AT5915" s="3" t="s">
        <v>62</v>
      </c>
      <c r="AV5915" s="6" t="str">
        <f>HYPERLINK("http://mcgill.on.worldcat.org/oclc/893557952","Catalog Record")</f>
        <v>Catalog Record</v>
      </c>
      <c r="AW5915" s="6" t="str">
        <f>HYPERLINK("http://www.worldcat.org/oclc/893557952","WorldCat Record")</f>
        <v>WorldCat Record</v>
      </c>
      <c r="AX5915" s="3" t="s">
        <v>56888</v>
      </c>
      <c r="AY5915" s="3" t="s">
        <v>56889</v>
      </c>
      <c r="AZ5915" s="3" t="s">
        <v>56890</v>
      </c>
      <c r="BA5915" s="3" t="s">
        <v>56890</v>
      </c>
      <c r="BB5915" s="3" t="s">
        <v>56891</v>
      </c>
      <c r="BC5915" s="3" t="s">
        <v>142</v>
      </c>
      <c r="BD5915" s="3" t="s">
        <v>68</v>
      </c>
      <c r="BE5915" s="3" t="s">
        <v>56892</v>
      </c>
      <c r="BF5915" s="3" t="s">
        <v>56891</v>
      </c>
      <c r="BG5915" s="3" t="s">
        <v>56893</v>
      </c>
    </row>
    <row r="5916" spans="1:59" ht="57" x14ac:dyDescent="0.45">
      <c r="A5916" s="2" t="s">
        <v>59</v>
      </c>
      <c r="B5916" s="2" t="s">
        <v>60</v>
      </c>
      <c r="C5916" s="2" t="s">
        <v>56881</v>
      </c>
      <c r="D5916" s="2" t="s">
        <v>56882</v>
      </c>
      <c r="E5916" s="2" t="s">
        <v>56883</v>
      </c>
      <c r="G5916" s="3" t="s">
        <v>62</v>
      </c>
      <c r="I5916" s="3" t="s">
        <v>61</v>
      </c>
      <c r="J5916" s="3" t="s">
        <v>61</v>
      </c>
      <c r="K5916" s="3" t="s">
        <v>63</v>
      </c>
      <c r="L5916" s="2" t="s">
        <v>56884</v>
      </c>
      <c r="M5916" s="2" t="s">
        <v>56885</v>
      </c>
      <c r="N5916" s="3" t="s">
        <v>181</v>
      </c>
      <c r="O5916" s="2" t="s">
        <v>56886</v>
      </c>
      <c r="P5916" s="3" t="s">
        <v>65</v>
      </c>
      <c r="Q5916" s="2" t="s">
        <v>56887</v>
      </c>
      <c r="R5916" s="3" t="s">
        <v>66</v>
      </c>
      <c r="S5916" s="4">
        <v>0</v>
      </c>
      <c r="T5916" s="4">
        <v>0</v>
      </c>
      <c r="W5916" s="5" t="s">
        <v>67</v>
      </c>
      <c r="X5916" s="5" t="s">
        <v>67</v>
      </c>
      <c r="Y5916" s="4">
        <v>151</v>
      </c>
      <c r="Z5916" s="4">
        <v>5</v>
      </c>
      <c r="AA5916" s="4">
        <v>116</v>
      </c>
      <c r="AB5916" s="4">
        <v>1</v>
      </c>
      <c r="AC5916" s="4">
        <v>12</v>
      </c>
      <c r="AD5916" s="4">
        <v>11</v>
      </c>
      <c r="AE5916" s="4">
        <v>134</v>
      </c>
      <c r="AF5916" s="4">
        <v>0</v>
      </c>
      <c r="AG5916" s="4">
        <v>6</v>
      </c>
      <c r="AH5916" s="4">
        <v>11</v>
      </c>
      <c r="AI5916" s="4">
        <v>96</v>
      </c>
      <c r="AJ5916" s="4">
        <v>1</v>
      </c>
      <c r="AK5916" s="4">
        <v>25</v>
      </c>
      <c r="AL5916" s="4">
        <v>5</v>
      </c>
      <c r="AM5916" s="4">
        <v>55</v>
      </c>
      <c r="AN5916" s="4">
        <v>0</v>
      </c>
      <c r="AO5916" s="4">
        <v>5</v>
      </c>
      <c r="AP5916" s="4">
        <v>1</v>
      </c>
      <c r="AQ5916" s="4">
        <v>42</v>
      </c>
      <c r="AR5916" s="3" t="s">
        <v>62</v>
      </c>
      <c r="AS5916" s="3" t="s">
        <v>62</v>
      </c>
      <c r="AT5916" s="3" t="s">
        <v>62</v>
      </c>
      <c r="AV5916" s="6" t="str">
        <f>HYPERLINK("http://mcgill.on.worldcat.org/oclc/893557952","Catalog Record")</f>
        <v>Catalog Record</v>
      </c>
      <c r="AW5916" s="6" t="str">
        <f>HYPERLINK("http://www.worldcat.org/oclc/893557952","WorldCat Record")</f>
        <v>WorldCat Record</v>
      </c>
      <c r="AX5916" s="3" t="s">
        <v>56888</v>
      </c>
      <c r="AY5916" s="3" t="s">
        <v>56889</v>
      </c>
      <c r="AZ5916" s="3" t="s">
        <v>56890</v>
      </c>
      <c r="BA5916" s="3" t="s">
        <v>56890</v>
      </c>
      <c r="BB5916" s="3" t="s">
        <v>56894</v>
      </c>
      <c r="BC5916" s="3" t="s">
        <v>142</v>
      </c>
      <c r="BD5916" s="3" t="s">
        <v>68</v>
      </c>
      <c r="BE5916" s="3" t="s">
        <v>56892</v>
      </c>
      <c r="BF5916" s="3" t="s">
        <v>56894</v>
      </c>
      <c r="BG5916" s="3" t="s">
        <v>56895</v>
      </c>
    </row>
    <row r="5917" spans="1:59" ht="57" x14ac:dyDescent="0.45">
      <c r="A5917" s="2" t="s">
        <v>59</v>
      </c>
      <c r="B5917" s="2" t="s">
        <v>60</v>
      </c>
      <c r="C5917" s="2" t="s">
        <v>56881</v>
      </c>
      <c r="D5917" s="2" t="s">
        <v>56882</v>
      </c>
      <c r="E5917" s="2" t="s">
        <v>56883</v>
      </c>
      <c r="G5917" s="3" t="s">
        <v>62</v>
      </c>
      <c r="I5917" s="3" t="s">
        <v>61</v>
      </c>
      <c r="J5917" s="3" t="s">
        <v>61</v>
      </c>
      <c r="K5917" s="3" t="s">
        <v>63</v>
      </c>
      <c r="L5917" s="2" t="s">
        <v>56884</v>
      </c>
      <c r="M5917" s="2" t="s">
        <v>56885</v>
      </c>
      <c r="N5917" s="3" t="s">
        <v>181</v>
      </c>
      <c r="O5917" s="2" t="s">
        <v>56886</v>
      </c>
      <c r="P5917" s="3" t="s">
        <v>65</v>
      </c>
      <c r="Q5917" s="2" t="s">
        <v>56887</v>
      </c>
      <c r="R5917" s="3" t="s">
        <v>66</v>
      </c>
      <c r="S5917" s="4">
        <v>0</v>
      </c>
      <c r="T5917" s="4">
        <v>0</v>
      </c>
      <c r="W5917" s="5" t="s">
        <v>67</v>
      </c>
      <c r="X5917" s="5" t="s">
        <v>67</v>
      </c>
      <c r="Y5917" s="4">
        <v>151</v>
      </c>
      <c r="Z5917" s="4">
        <v>5</v>
      </c>
      <c r="AA5917" s="4">
        <v>116</v>
      </c>
      <c r="AB5917" s="4">
        <v>1</v>
      </c>
      <c r="AC5917" s="4">
        <v>12</v>
      </c>
      <c r="AD5917" s="4">
        <v>11</v>
      </c>
      <c r="AE5917" s="4">
        <v>134</v>
      </c>
      <c r="AF5917" s="4">
        <v>0</v>
      </c>
      <c r="AG5917" s="4">
        <v>6</v>
      </c>
      <c r="AH5917" s="4">
        <v>11</v>
      </c>
      <c r="AI5917" s="4">
        <v>96</v>
      </c>
      <c r="AJ5917" s="4">
        <v>1</v>
      </c>
      <c r="AK5917" s="4">
        <v>25</v>
      </c>
      <c r="AL5917" s="4">
        <v>5</v>
      </c>
      <c r="AM5917" s="4">
        <v>55</v>
      </c>
      <c r="AN5917" s="4">
        <v>0</v>
      </c>
      <c r="AO5917" s="4">
        <v>5</v>
      </c>
      <c r="AP5917" s="4">
        <v>1</v>
      </c>
      <c r="AQ5917" s="4">
        <v>42</v>
      </c>
      <c r="AR5917" s="3" t="s">
        <v>62</v>
      </c>
      <c r="AS5917" s="3" t="s">
        <v>62</v>
      </c>
      <c r="AT5917" s="3" t="s">
        <v>62</v>
      </c>
      <c r="AV5917" s="6" t="str">
        <f>HYPERLINK("http://mcgill.on.worldcat.org/oclc/893557952","Catalog Record")</f>
        <v>Catalog Record</v>
      </c>
      <c r="AW5917" s="6" t="str">
        <f>HYPERLINK("http://www.worldcat.org/oclc/893557952","WorldCat Record")</f>
        <v>WorldCat Record</v>
      </c>
      <c r="AX5917" s="3" t="s">
        <v>56888</v>
      </c>
      <c r="AY5917" s="3" t="s">
        <v>56889</v>
      </c>
      <c r="AZ5917" s="3" t="s">
        <v>56890</v>
      </c>
      <c r="BA5917" s="3" t="s">
        <v>56890</v>
      </c>
      <c r="BB5917" s="3" t="s">
        <v>56896</v>
      </c>
      <c r="BC5917" s="3" t="s">
        <v>142</v>
      </c>
      <c r="BD5917" s="3" t="s">
        <v>68</v>
      </c>
      <c r="BE5917" s="3" t="s">
        <v>56892</v>
      </c>
      <c r="BF5917" s="3" t="s">
        <v>56896</v>
      </c>
      <c r="BG5917" s="3" t="s">
        <v>56897</v>
      </c>
    </row>
    <row r="5918" spans="1:59" ht="57" x14ac:dyDescent="0.45">
      <c r="A5918" s="2" t="s">
        <v>59</v>
      </c>
      <c r="B5918" s="2" t="s">
        <v>60</v>
      </c>
      <c r="C5918" s="2" t="s">
        <v>56898</v>
      </c>
      <c r="D5918" s="2" t="s">
        <v>56899</v>
      </c>
      <c r="E5918" s="2" t="s">
        <v>56900</v>
      </c>
      <c r="G5918" s="3" t="s">
        <v>62</v>
      </c>
      <c r="I5918" s="3" t="s">
        <v>62</v>
      </c>
      <c r="J5918" s="3" t="s">
        <v>62</v>
      </c>
      <c r="K5918" s="3" t="s">
        <v>63</v>
      </c>
      <c r="L5918" s="2" t="s">
        <v>56901</v>
      </c>
      <c r="M5918" s="2" t="s">
        <v>56902</v>
      </c>
      <c r="N5918" s="3" t="s">
        <v>970</v>
      </c>
      <c r="P5918" s="3" t="s">
        <v>65</v>
      </c>
      <c r="Q5918" s="2" t="s">
        <v>56903</v>
      </c>
      <c r="R5918" s="3" t="s">
        <v>66</v>
      </c>
      <c r="S5918" s="4">
        <v>3</v>
      </c>
      <c r="T5918" s="4">
        <v>3</v>
      </c>
      <c r="U5918" s="5" t="s">
        <v>3580</v>
      </c>
      <c r="V5918" s="5" t="s">
        <v>3580</v>
      </c>
      <c r="W5918" s="5" t="s">
        <v>67</v>
      </c>
      <c r="X5918" s="5" t="s">
        <v>67</v>
      </c>
      <c r="Y5918" s="4">
        <v>166</v>
      </c>
      <c r="Z5918" s="4">
        <v>13</v>
      </c>
      <c r="AA5918" s="4">
        <v>13</v>
      </c>
      <c r="AB5918" s="4">
        <v>3</v>
      </c>
      <c r="AC5918" s="4">
        <v>3</v>
      </c>
      <c r="AD5918" s="4">
        <v>70</v>
      </c>
      <c r="AE5918" s="4">
        <v>70</v>
      </c>
      <c r="AF5918" s="4">
        <v>1</v>
      </c>
      <c r="AG5918" s="4">
        <v>1</v>
      </c>
      <c r="AH5918" s="4">
        <v>63</v>
      </c>
      <c r="AI5918" s="4">
        <v>63</v>
      </c>
      <c r="AJ5918" s="4">
        <v>10</v>
      </c>
      <c r="AK5918" s="4">
        <v>10</v>
      </c>
      <c r="AL5918" s="4">
        <v>40</v>
      </c>
      <c r="AM5918" s="4">
        <v>40</v>
      </c>
      <c r="AN5918" s="4">
        <v>0</v>
      </c>
      <c r="AO5918" s="4">
        <v>0</v>
      </c>
      <c r="AP5918" s="4">
        <v>10</v>
      </c>
      <c r="AQ5918" s="4">
        <v>10</v>
      </c>
      <c r="AR5918" s="3" t="s">
        <v>62</v>
      </c>
      <c r="AS5918" s="3" t="s">
        <v>62</v>
      </c>
      <c r="AT5918" s="3" t="s">
        <v>62</v>
      </c>
      <c r="AV5918" s="6" t="str">
        <f>HYPERLINK("http://mcgill.on.worldcat.org/oclc/41580612","Catalog Record")</f>
        <v>Catalog Record</v>
      </c>
      <c r="AW5918" s="6" t="str">
        <f>HYPERLINK("http://www.worldcat.org/oclc/41580612","WorldCat Record")</f>
        <v>WorldCat Record</v>
      </c>
      <c r="AX5918" s="3" t="s">
        <v>56904</v>
      </c>
      <c r="AY5918" s="3" t="s">
        <v>56905</v>
      </c>
      <c r="AZ5918" s="3" t="s">
        <v>56906</v>
      </c>
      <c r="BA5918" s="3" t="s">
        <v>56906</v>
      </c>
      <c r="BB5918" s="3" t="s">
        <v>56907</v>
      </c>
      <c r="BC5918" s="3" t="s">
        <v>142</v>
      </c>
      <c r="BD5918" s="3" t="s">
        <v>68</v>
      </c>
      <c r="BE5918" s="3" t="s">
        <v>56908</v>
      </c>
      <c r="BF5918" s="3" t="s">
        <v>56907</v>
      </c>
      <c r="BG5918" s="3" t="s">
        <v>56909</v>
      </c>
    </row>
    <row r="5919" spans="1:59" ht="57" x14ac:dyDescent="0.45">
      <c r="A5919" s="2" t="s">
        <v>59</v>
      </c>
      <c r="B5919" s="2" t="s">
        <v>60</v>
      </c>
      <c r="C5919" s="2" t="s">
        <v>56910</v>
      </c>
      <c r="D5919" s="2" t="s">
        <v>56911</v>
      </c>
      <c r="E5919" s="2" t="s">
        <v>56912</v>
      </c>
      <c r="G5919" s="3" t="s">
        <v>62</v>
      </c>
      <c r="I5919" s="3" t="s">
        <v>62</v>
      </c>
      <c r="J5919" s="3" t="s">
        <v>62</v>
      </c>
      <c r="K5919" s="3" t="s">
        <v>63</v>
      </c>
      <c r="L5919" s="2" t="s">
        <v>56913</v>
      </c>
      <c r="M5919" s="2" t="s">
        <v>56914</v>
      </c>
      <c r="N5919" s="3" t="s">
        <v>149</v>
      </c>
      <c r="P5919" s="3" t="s">
        <v>65</v>
      </c>
      <c r="Q5919" s="2" t="s">
        <v>56915</v>
      </c>
      <c r="R5919" s="3" t="s">
        <v>66</v>
      </c>
      <c r="S5919" s="4">
        <v>0</v>
      </c>
      <c r="T5919" s="4">
        <v>0</v>
      </c>
      <c r="W5919" s="5" t="s">
        <v>67</v>
      </c>
      <c r="X5919" s="5" t="s">
        <v>67</v>
      </c>
      <c r="Y5919" s="4">
        <v>83</v>
      </c>
      <c r="Z5919" s="4">
        <v>9</v>
      </c>
      <c r="AA5919" s="4">
        <v>97</v>
      </c>
      <c r="AB5919" s="4">
        <v>2</v>
      </c>
      <c r="AC5919" s="4">
        <v>17</v>
      </c>
      <c r="AD5919" s="4">
        <v>35</v>
      </c>
      <c r="AE5919" s="4">
        <v>114</v>
      </c>
      <c r="AF5919" s="4">
        <v>1</v>
      </c>
      <c r="AG5919" s="4">
        <v>8</v>
      </c>
      <c r="AH5919" s="4">
        <v>31</v>
      </c>
      <c r="AI5919" s="4">
        <v>78</v>
      </c>
      <c r="AJ5919" s="4">
        <v>7</v>
      </c>
      <c r="AK5919" s="4">
        <v>24</v>
      </c>
      <c r="AL5919" s="4">
        <v>22</v>
      </c>
      <c r="AM5919" s="4">
        <v>39</v>
      </c>
      <c r="AN5919" s="4">
        <v>0</v>
      </c>
      <c r="AO5919" s="4">
        <v>0</v>
      </c>
      <c r="AP5919" s="4">
        <v>7</v>
      </c>
      <c r="AQ5919" s="4">
        <v>45</v>
      </c>
      <c r="AR5919" s="3" t="s">
        <v>62</v>
      </c>
      <c r="AS5919" s="3" t="s">
        <v>62</v>
      </c>
      <c r="AT5919" s="3" t="s">
        <v>62</v>
      </c>
      <c r="AV5919" s="6" t="str">
        <f>HYPERLINK("http://mcgill.on.worldcat.org/oclc/653842849","Catalog Record")</f>
        <v>Catalog Record</v>
      </c>
      <c r="AW5919" s="6" t="str">
        <f>HYPERLINK("http://www.worldcat.org/oclc/653842849","WorldCat Record")</f>
        <v>WorldCat Record</v>
      </c>
      <c r="AX5919" s="3" t="s">
        <v>56916</v>
      </c>
      <c r="AY5919" s="3" t="s">
        <v>56917</v>
      </c>
      <c r="AZ5919" s="3" t="s">
        <v>56918</v>
      </c>
      <c r="BA5919" s="3" t="s">
        <v>56918</v>
      </c>
      <c r="BB5919" s="3" t="s">
        <v>56919</v>
      </c>
      <c r="BC5919" s="3" t="s">
        <v>142</v>
      </c>
      <c r="BD5919" s="3" t="s">
        <v>68</v>
      </c>
      <c r="BE5919" s="3" t="s">
        <v>56920</v>
      </c>
      <c r="BF5919" s="3" t="s">
        <v>56919</v>
      </c>
      <c r="BG5919" s="3" t="s">
        <v>56921</v>
      </c>
    </row>
    <row r="5920" spans="1:59" ht="57" x14ac:dyDescent="0.45">
      <c r="A5920" s="2" t="s">
        <v>59</v>
      </c>
      <c r="B5920" s="2" t="s">
        <v>60</v>
      </c>
      <c r="C5920" s="2" t="s">
        <v>56922</v>
      </c>
      <c r="D5920" s="2" t="s">
        <v>56923</v>
      </c>
      <c r="E5920" s="2" t="s">
        <v>56924</v>
      </c>
      <c r="G5920" s="3" t="s">
        <v>62</v>
      </c>
      <c r="I5920" s="3" t="s">
        <v>62</v>
      </c>
      <c r="J5920" s="3" t="s">
        <v>62</v>
      </c>
      <c r="K5920" s="3" t="s">
        <v>63</v>
      </c>
      <c r="L5920" s="2" t="s">
        <v>56925</v>
      </c>
      <c r="M5920" s="2" t="s">
        <v>56926</v>
      </c>
      <c r="N5920" s="3" t="s">
        <v>1212</v>
      </c>
      <c r="P5920" s="3" t="s">
        <v>65</v>
      </c>
      <c r="Q5920" s="2" t="s">
        <v>56927</v>
      </c>
      <c r="R5920" s="3" t="s">
        <v>66</v>
      </c>
      <c r="S5920" s="4">
        <v>9</v>
      </c>
      <c r="T5920" s="4">
        <v>9</v>
      </c>
      <c r="U5920" s="5" t="s">
        <v>1099</v>
      </c>
      <c r="V5920" s="5" t="s">
        <v>1099</v>
      </c>
      <c r="W5920" s="5" t="s">
        <v>67</v>
      </c>
      <c r="X5920" s="5" t="s">
        <v>67</v>
      </c>
      <c r="Y5920" s="4">
        <v>275</v>
      </c>
      <c r="Z5920" s="4">
        <v>13</v>
      </c>
      <c r="AA5920" s="4">
        <v>34</v>
      </c>
      <c r="AB5920" s="4">
        <v>2</v>
      </c>
      <c r="AC5920" s="4">
        <v>8</v>
      </c>
      <c r="AD5920" s="4">
        <v>92</v>
      </c>
      <c r="AE5920" s="4">
        <v>116</v>
      </c>
      <c r="AF5920" s="4">
        <v>0</v>
      </c>
      <c r="AG5920" s="4">
        <v>3</v>
      </c>
      <c r="AH5920" s="4">
        <v>87</v>
      </c>
      <c r="AI5920" s="4">
        <v>99</v>
      </c>
      <c r="AJ5920" s="4">
        <v>8</v>
      </c>
      <c r="AK5920" s="4">
        <v>16</v>
      </c>
      <c r="AL5920" s="4">
        <v>48</v>
      </c>
      <c r="AM5920" s="4">
        <v>53</v>
      </c>
      <c r="AN5920" s="4">
        <v>0</v>
      </c>
      <c r="AO5920" s="4">
        <v>0</v>
      </c>
      <c r="AP5920" s="4">
        <v>10</v>
      </c>
      <c r="AQ5920" s="4">
        <v>23</v>
      </c>
      <c r="AR5920" s="3" t="s">
        <v>62</v>
      </c>
      <c r="AS5920" s="3" t="s">
        <v>62</v>
      </c>
      <c r="AT5920" s="3" t="s">
        <v>61</v>
      </c>
      <c r="AU5920" s="6" t="str">
        <f>HYPERLINK("http://catalog.hathitrust.org/Record/004097158","HathiTrust Record")</f>
        <v>HathiTrust Record</v>
      </c>
      <c r="AV5920" s="6" t="str">
        <f>HYPERLINK("http://mcgill.on.worldcat.org/oclc/47849317","Catalog Record")</f>
        <v>Catalog Record</v>
      </c>
      <c r="AW5920" s="6" t="str">
        <f>HYPERLINK("http://www.worldcat.org/oclc/47849317","WorldCat Record")</f>
        <v>WorldCat Record</v>
      </c>
      <c r="AX5920" s="3" t="s">
        <v>56928</v>
      </c>
      <c r="AY5920" s="3" t="s">
        <v>56929</v>
      </c>
      <c r="AZ5920" s="3" t="s">
        <v>56930</v>
      </c>
      <c r="BA5920" s="3" t="s">
        <v>56930</v>
      </c>
      <c r="BB5920" s="3" t="s">
        <v>56931</v>
      </c>
      <c r="BC5920" s="3" t="s">
        <v>142</v>
      </c>
      <c r="BD5920" s="3" t="s">
        <v>308</v>
      </c>
      <c r="BE5920" s="3" t="s">
        <v>56932</v>
      </c>
      <c r="BF5920" s="3" t="s">
        <v>56931</v>
      </c>
      <c r="BG5920" s="3" t="s">
        <v>56933</v>
      </c>
    </row>
    <row r="5921" spans="1:59" ht="57" x14ac:dyDescent="0.45">
      <c r="A5921" s="2" t="s">
        <v>59</v>
      </c>
      <c r="B5921" s="2" t="s">
        <v>60</v>
      </c>
      <c r="C5921" s="2" t="s">
        <v>56934</v>
      </c>
      <c r="D5921" s="2" t="s">
        <v>56935</v>
      </c>
      <c r="E5921" s="2" t="s">
        <v>56936</v>
      </c>
      <c r="G5921" s="3" t="s">
        <v>62</v>
      </c>
      <c r="I5921" s="3" t="s">
        <v>62</v>
      </c>
      <c r="J5921" s="3" t="s">
        <v>62</v>
      </c>
      <c r="K5921" s="3" t="s">
        <v>63</v>
      </c>
      <c r="L5921" s="2" t="s">
        <v>56937</v>
      </c>
      <c r="M5921" s="2" t="s">
        <v>56938</v>
      </c>
      <c r="N5921" s="3" t="s">
        <v>894</v>
      </c>
      <c r="P5921" s="3" t="s">
        <v>326</v>
      </c>
      <c r="Q5921" s="2" t="s">
        <v>56939</v>
      </c>
      <c r="R5921" s="3" t="s">
        <v>66</v>
      </c>
      <c r="S5921" s="4">
        <v>0</v>
      </c>
      <c r="T5921" s="4">
        <v>0</v>
      </c>
      <c r="W5921" s="5" t="s">
        <v>67</v>
      </c>
      <c r="X5921" s="5" t="s">
        <v>67</v>
      </c>
      <c r="Y5921" s="4">
        <v>52</v>
      </c>
      <c r="Z5921" s="4">
        <v>8</v>
      </c>
      <c r="AA5921" s="4">
        <v>10</v>
      </c>
      <c r="AB5921" s="4">
        <v>1</v>
      </c>
      <c r="AC5921" s="4">
        <v>3</v>
      </c>
      <c r="AD5921" s="4">
        <v>34</v>
      </c>
      <c r="AE5921" s="4">
        <v>41</v>
      </c>
      <c r="AF5921" s="4">
        <v>0</v>
      </c>
      <c r="AG5921" s="4">
        <v>0</v>
      </c>
      <c r="AH5921" s="4">
        <v>33</v>
      </c>
      <c r="AI5921" s="4">
        <v>40</v>
      </c>
      <c r="AJ5921" s="4">
        <v>6</v>
      </c>
      <c r="AK5921" s="4">
        <v>6</v>
      </c>
      <c r="AL5921" s="4">
        <v>21</v>
      </c>
      <c r="AM5921" s="4">
        <v>25</v>
      </c>
      <c r="AN5921" s="4">
        <v>0</v>
      </c>
      <c r="AO5921" s="4">
        <v>0</v>
      </c>
      <c r="AP5921" s="4">
        <v>6</v>
      </c>
      <c r="AQ5921" s="4">
        <v>6</v>
      </c>
      <c r="AR5921" s="3" t="s">
        <v>62</v>
      </c>
      <c r="AS5921" s="3" t="s">
        <v>62</v>
      </c>
      <c r="AT5921" s="3" t="s">
        <v>62</v>
      </c>
      <c r="AV5921" s="6" t="str">
        <f>HYPERLINK("http://mcgill.on.worldcat.org/oclc/772155092","Catalog Record")</f>
        <v>Catalog Record</v>
      </c>
      <c r="AW5921" s="6" t="str">
        <f>HYPERLINK("http://www.worldcat.org/oclc/772155092","WorldCat Record")</f>
        <v>WorldCat Record</v>
      </c>
      <c r="AX5921" s="3" t="s">
        <v>56940</v>
      </c>
      <c r="AY5921" s="3" t="s">
        <v>56941</v>
      </c>
      <c r="AZ5921" s="3" t="s">
        <v>56942</v>
      </c>
      <c r="BA5921" s="3" t="s">
        <v>56942</v>
      </c>
      <c r="BB5921" s="3" t="s">
        <v>56943</v>
      </c>
      <c r="BC5921" s="3" t="s">
        <v>142</v>
      </c>
      <c r="BD5921" s="3" t="s">
        <v>68</v>
      </c>
      <c r="BE5921" s="3" t="s">
        <v>56944</v>
      </c>
      <c r="BF5921" s="3" t="s">
        <v>56943</v>
      </c>
      <c r="BG5921" s="3" t="s">
        <v>56945</v>
      </c>
    </row>
    <row r="5922" spans="1:59" ht="57" x14ac:dyDescent="0.45">
      <c r="A5922" s="2" t="s">
        <v>59</v>
      </c>
      <c r="B5922" s="2" t="s">
        <v>60</v>
      </c>
      <c r="C5922" s="2" t="s">
        <v>56946</v>
      </c>
      <c r="D5922" s="2" t="s">
        <v>56947</v>
      </c>
      <c r="E5922" s="2" t="s">
        <v>56948</v>
      </c>
      <c r="G5922" s="3" t="s">
        <v>62</v>
      </c>
      <c r="I5922" s="3" t="s">
        <v>62</v>
      </c>
      <c r="J5922" s="3" t="s">
        <v>62</v>
      </c>
      <c r="K5922" s="3" t="s">
        <v>63</v>
      </c>
      <c r="L5922" s="2" t="s">
        <v>56949</v>
      </c>
      <c r="M5922" s="2" t="s">
        <v>34922</v>
      </c>
      <c r="N5922" s="3" t="s">
        <v>149</v>
      </c>
      <c r="P5922" s="3" t="s">
        <v>65</v>
      </c>
      <c r="Q5922" s="2" t="s">
        <v>56950</v>
      </c>
      <c r="R5922" s="3" t="s">
        <v>66</v>
      </c>
      <c r="S5922" s="4">
        <v>1</v>
      </c>
      <c r="T5922" s="4">
        <v>1</v>
      </c>
      <c r="U5922" s="5" t="s">
        <v>44612</v>
      </c>
      <c r="V5922" s="5" t="s">
        <v>44612</v>
      </c>
      <c r="W5922" s="5" t="s">
        <v>67</v>
      </c>
      <c r="X5922" s="5" t="s">
        <v>67</v>
      </c>
      <c r="Y5922" s="4">
        <v>89</v>
      </c>
      <c r="Z5922" s="4">
        <v>11</v>
      </c>
      <c r="AA5922" s="4">
        <v>93</v>
      </c>
      <c r="AB5922" s="4">
        <v>1</v>
      </c>
      <c r="AC5922" s="4">
        <v>17</v>
      </c>
      <c r="AD5922" s="4">
        <v>49</v>
      </c>
      <c r="AE5922" s="4">
        <v>120</v>
      </c>
      <c r="AF5922" s="4">
        <v>0</v>
      </c>
      <c r="AG5922" s="4">
        <v>8</v>
      </c>
      <c r="AH5922" s="4">
        <v>45</v>
      </c>
      <c r="AI5922" s="4">
        <v>83</v>
      </c>
      <c r="AJ5922" s="4">
        <v>9</v>
      </c>
      <c r="AK5922" s="4">
        <v>24</v>
      </c>
      <c r="AL5922" s="4">
        <v>29</v>
      </c>
      <c r="AM5922" s="4">
        <v>46</v>
      </c>
      <c r="AN5922" s="4">
        <v>0</v>
      </c>
      <c r="AO5922" s="4">
        <v>0</v>
      </c>
      <c r="AP5922" s="4">
        <v>9</v>
      </c>
      <c r="AQ5922" s="4">
        <v>45</v>
      </c>
      <c r="AR5922" s="3" t="s">
        <v>62</v>
      </c>
      <c r="AS5922" s="3" t="s">
        <v>62</v>
      </c>
      <c r="AT5922" s="3" t="s">
        <v>62</v>
      </c>
      <c r="AV5922" s="6" t="str">
        <f>HYPERLINK("http://mcgill.on.worldcat.org/oclc/640073663","Catalog Record")</f>
        <v>Catalog Record</v>
      </c>
      <c r="AW5922" s="6" t="str">
        <f>HYPERLINK("http://www.worldcat.org/oclc/640073663","WorldCat Record")</f>
        <v>WorldCat Record</v>
      </c>
      <c r="AX5922" s="3" t="s">
        <v>56951</v>
      </c>
      <c r="AY5922" s="3" t="s">
        <v>56952</v>
      </c>
      <c r="AZ5922" s="3" t="s">
        <v>56953</v>
      </c>
      <c r="BA5922" s="3" t="s">
        <v>56953</v>
      </c>
      <c r="BB5922" s="3" t="s">
        <v>56954</v>
      </c>
      <c r="BC5922" s="3" t="s">
        <v>142</v>
      </c>
      <c r="BD5922" s="3" t="s">
        <v>68</v>
      </c>
      <c r="BE5922" s="3" t="s">
        <v>56955</v>
      </c>
      <c r="BF5922" s="3" t="s">
        <v>56954</v>
      </c>
      <c r="BG5922" s="3" t="s">
        <v>56956</v>
      </c>
    </row>
    <row r="5923" spans="1:59" ht="57" x14ac:dyDescent="0.45">
      <c r="A5923" s="2" t="s">
        <v>59</v>
      </c>
      <c r="B5923" s="2" t="s">
        <v>60</v>
      </c>
      <c r="C5923" s="2" t="s">
        <v>56957</v>
      </c>
      <c r="D5923" s="2" t="s">
        <v>56958</v>
      </c>
      <c r="E5923" s="2" t="s">
        <v>56959</v>
      </c>
      <c r="G5923" s="3" t="s">
        <v>62</v>
      </c>
      <c r="I5923" s="3" t="s">
        <v>62</v>
      </c>
      <c r="J5923" s="3" t="s">
        <v>62</v>
      </c>
      <c r="K5923" s="3" t="s">
        <v>63</v>
      </c>
      <c r="L5923" s="2" t="s">
        <v>56960</v>
      </c>
      <c r="M5923" s="2" t="s">
        <v>56961</v>
      </c>
      <c r="N5923" s="3" t="s">
        <v>1855</v>
      </c>
      <c r="P5923" s="3" t="s">
        <v>110</v>
      </c>
      <c r="R5923" s="3" t="s">
        <v>66</v>
      </c>
      <c r="S5923" s="4">
        <v>6</v>
      </c>
      <c r="T5923" s="4">
        <v>6</v>
      </c>
      <c r="U5923" s="5" t="s">
        <v>47861</v>
      </c>
      <c r="V5923" s="5" t="s">
        <v>47861</v>
      </c>
      <c r="W5923" s="5" t="s">
        <v>67</v>
      </c>
      <c r="X5923" s="5" t="s">
        <v>67</v>
      </c>
      <c r="Y5923" s="4">
        <v>41</v>
      </c>
      <c r="Z5923" s="4">
        <v>9</v>
      </c>
      <c r="AA5923" s="4">
        <v>14</v>
      </c>
      <c r="AB5923" s="4">
        <v>6</v>
      </c>
      <c r="AC5923" s="4">
        <v>6</v>
      </c>
      <c r="AD5923" s="4">
        <v>6</v>
      </c>
      <c r="AE5923" s="4">
        <v>11</v>
      </c>
      <c r="AF5923" s="4">
        <v>3</v>
      </c>
      <c r="AG5923" s="4">
        <v>3</v>
      </c>
      <c r="AH5923" s="4">
        <v>4</v>
      </c>
      <c r="AI5923" s="4">
        <v>8</v>
      </c>
      <c r="AJ5923" s="4">
        <v>5</v>
      </c>
      <c r="AK5923" s="4">
        <v>7</v>
      </c>
      <c r="AL5923" s="4">
        <v>1</v>
      </c>
      <c r="AM5923" s="4">
        <v>3</v>
      </c>
      <c r="AN5923" s="4">
        <v>0</v>
      </c>
      <c r="AO5923" s="4">
        <v>0</v>
      </c>
      <c r="AP5923" s="4">
        <v>4</v>
      </c>
      <c r="AQ5923" s="4">
        <v>8</v>
      </c>
      <c r="AR5923" s="3" t="s">
        <v>62</v>
      </c>
      <c r="AS5923" s="3" t="s">
        <v>62</v>
      </c>
      <c r="AT5923" s="3" t="s">
        <v>62</v>
      </c>
      <c r="AV5923" s="6" t="str">
        <f>HYPERLINK("http://mcgill.on.worldcat.org/oclc/75482490","Catalog Record")</f>
        <v>Catalog Record</v>
      </c>
      <c r="AW5923" s="6" t="str">
        <f>HYPERLINK("http://www.worldcat.org/oclc/75482490","WorldCat Record")</f>
        <v>WorldCat Record</v>
      </c>
      <c r="AX5923" s="3" t="s">
        <v>56962</v>
      </c>
      <c r="AY5923" s="3" t="s">
        <v>56963</v>
      </c>
      <c r="AZ5923" s="3" t="s">
        <v>56964</v>
      </c>
      <c r="BA5923" s="3" t="s">
        <v>56964</v>
      </c>
      <c r="BB5923" s="3" t="s">
        <v>56965</v>
      </c>
      <c r="BC5923" s="3" t="s">
        <v>142</v>
      </c>
      <c r="BD5923" s="3" t="s">
        <v>68</v>
      </c>
      <c r="BE5923" s="3" t="s">
        <v>56966</v>
      </c>
      <c r="BF5923" s="3" t="s">
        <v>56965</v>
      </c>
      <c r="BG5923" s="3" t="s">
        <v>56967</v>
      </c>
    </row>
    <row r="5924" spans="1:59" ht="57" x14ac:dyDescent="0.45">
      <c r="A5924" s="2" t="s">
        <v>59</v>
      </c>
      <c r="B5924" s="2" t="s">
        <v>60</v>
      </c>
      <c r="C5924" s="2" t="s">
        <v>56968</v>
      </c>
      <c r="D5924" s="2" t="s">
        <v>56969</v>
      </c>
      <c r="E5924" s="2" t="s">
        <v>56970</v>
      </c>
      <c r="G5924" s="3" t="s">
        <v>62</v>
      </c>
      <c r="I5924" s="3" t="s">
        <v>62</v>
      </c>
      <c r="J5924" s="3" t="s">
        <v>62</v>
      </c>
      <c r="K5924" s="3" t="s">
        <v>63</v>
      </c>
      <c r="L5924" s="2" t="s">
        <v>56971</v>
      </c>
      <c r="M5924" s="2" t="s">
        <v>9755</v>
      </c>
      <c r="N5924" s="3" t="s">
        <v>1155</v>
      </c>
      <c r="P5924" s="3" t="s">
        <v>65</v>
      </c>
      <c r="R5924" s="3" t="s">
        <v>66</v>
      </c>
      <c r="S5924" s="4">
        <v>2</v>
      </c>
      <c r="T5924" s="4">
        <v>2</v>
      </c>
      <c r="U5924" s="5" t="s">
        <v>56972</v>
      </c>
      <c r="V5924" s="5" t="s">
        <v>56972</v>
      </c>
      <c r="W5924" s="5" t="s">
        <v>67</v>
      </c>
      <c r="X5924" s="5" t="s">
        <v>67</v>
      </c>
      <c r="Y5924" s="4">
        <v>178</v>
      </c>
      <c r="Z5924" s="4">
        <v>15</v>
      </c>
      <c r="AA5924" s="4">
        <v>21</v>
      </c>
      <c r="AB5924" s="4">
        <v>1</v>
      </c>
      <c r="AC5924" s="4">
        <v>5</v>
      </c>
      <c r="AD5924" s="4">
        <v>69</v>
      </c>
      <c r="AE5924" s="4">
        <v>75</v>
      </c>
      <c r="AF5924" s="4">
        <v>0</v>
      </c>
      <c r="AG5924" s="4">
        <v>1</v>
      </c>
      <c r="AH5924" s="4">
        <v>64</v>
      </c>
      <c r="AI5924" s="4">
        <v>69</v>
      </c>
      <c r="AJ5924" s="4">
        <v>12</v>
      </c>
      <c r="AK5924" s="4">
        <v>14</v>
      </c>
      <c r="AL5924" s="4">
        <v>36</v>
      </c>
      <c r="AM5924" s="4">
        <v>38</v>
      </c>
      <c r="AN5924" s="4">
        <v>0</v>
      </c>
      <c r="AO5924" s="4">
        <v>0</v>
      </c>
      <c r="AP5924" s="4">
        <v>13</v>
      </c>
      <c r="AQ5924" s="4">
        <v>14</v>
      </c>
      <c r="AR5924" s="3" t="s">
        <v>62</v>
      </c>
      <c r="AS5924" s="3" t="s">
        <v>62</v>
      </c>
      <c r="AT5924" s="3" t="s">
        <v>62</v>
      </c>
      <c r="AV5924" s="6" t="str">
        <f>HYPERLINK("http://mcgill.on.worldcat.org/oclc/663951865","Catalog Record")</f>
        <v>Catalog Record</v>
      </c>
      <c r="AW5924" s="6" t="str">
        <f>HYPERLINK("http://www.worldcat.org/oclc/663951865","WorldCat Record")</f>
        <v>WorldCat Record</v>
      </c>
      <c r="AX5924" s="3" t="s">
        <v>56973</v>
      </c>
      <c r="AY5924" s="3" t="s">
        <v>56974</v>
      </c>
      <c r="AZ5924" s="3" t="s">
        <v>56975</v>
      </c>
      <c r="BA5924" s="3" t="s">
        <v>56975</v>
      </c>
      <c r="BB5924" s="3" t="s">
        <v>56976</v>
      </c>
      <c r="BC5924" s="3" t="s">
        <v>142</v>
      </c>
      <c r="BD5924" s="3" t="s">
        <v>68</v>
      </c>
      <c r="BE5924" s="3" t="s">
        <v>56977</v>
      </c>
      <c r="BF5924" s="3" t="s">
        <v>56976</v>
      </c>
      <c r="BG5924" s="3" t="s">
        <v>56978</v>
      </c>
    </row>
    <row r="5925" spans="1:59" ht="57" x14ac:dyDescent="0.45">
      <c r="A5925" s="2" t="s">
        <v>59</v>
      </c>
      <c r="B5925" s="2" t="s">
        <v>60</v>
      </c>
      <c r="C5925" s="2" t="s">
        <v>56979</v>
      </c>
      <c r="D5925" s="2" t="s">
        <v>56980</v>
      </c>
      <c r="E5925" s="2" t="s">
        <v>56981</v>
      </c>
      <c r="G5925" s="3" t="s">
        <v>62</v>
      </c>
      <c r="I5925" s="3" t="s">
        <v>62</v>
      </c>
      <c r="J5925" s="3" t="s">
        <v>62</v>
      </c>
      <c r="K5925" s="3" t="s">
        <v>63</v>
      </c>
      <c r="L5925" s="2" t="s">
        <v>56982</v>
      </c>
      <c r="M5925" s="2" t="s">
        <v>56983</v>
      </c>
      <c r="N5925" s="3" t="s">
        <v>1253</v>
      </c>
      <c r="P5925" s="3" t="s">
        <v>65</v>
      </c>
      <c r="R5925" s="3" t="s">
        <v>66</v>
      </c>
      <c r="S5925" s="4">
        <v>35</v>
      </c>
      <c r="T5925" s="4">
        <v>35</v>
      </c>
      <c r="U5925" s="5" t="s">
        <v>1099</v>
      </c>
      <c r="V5925" s="5" t="s">
        <v>1099</v>
      </c>
      <c r="W5925" s="5" t="s">
        <v>67</v>
      </c>
      <c r="X5925" s="5" t="s">
        <v>67</v>
      </c>
      <c r="Y5925" s="4">
        <v>471</v>
      </c>
      <c r="Z5925" s="4">
        <v>31</v>
      </c>
      <c r="AA5925" s="4">
        <v>35</v>
      </c>
      <c r="AB5925" s="4">
        <v>3</v>
      </c>
      <c r="AC5925" s="4">
        <v>6</v>
      </c>
      <c r="AD5925" s="4">
        <v>115</v>
      </c>
      <c r="AE5925" s="4">
        <v>119</v>
      </c>
      <c r="AF5925" s="4">
        <v>2</v>
      </c>
      <c r="AG5925" s="4">
        <v>5</v>
      </c>
      <c r="AH5925" s="4">
        <v>98</v>
      </c>
      <c r="AI5925" s="4">
        <v>99</v>
      </c>
      <c r="AJ5925" s="4">
        <v>18</v>
      </c>
      <c r="AK5925" s="4">
        <v>21</v>
      </c>
      <c r="AL5925" s="4">
        <v>56</v>
      </c>
      <c r="AM5925" s="4">
        <v>56</v>
      </c>
      <c r="AN5925" s="4">
        <v>0</v>
      </c>
      <c r="AO5925" s="4">
        <v>0</v>
      </c>
      <c r="AP5925" s="4">
        <v>26</v>
      </c>
      <c r="AQ5925" s="4">
        <v>29</v>
      </c>
      <c r="AR5925" s="3" t="s">
        <v>62</v>
      </c>
      <c r="AS5925" s="3" t="s">
        <v>62</v>
      </c>
      <c r="AT5925" s="3" t="s">
        <v>61</v>
      </c>
      <c r="AU5925" s="6" t="str">
        <f>HYPERLINK("http://catalog.hathitrust.org/Record/003944889","HathiTrust Record")</f>
        <v>HathiTrust Record</v>
      </c>
      <c r="AV5925" s="6" t="str">
        <f>HYPERLINK("http://mcgill.on.worldcat.org/oclc/36246052","Catalog Record")</f>
        <v>Catalog Record</v>
      </c>
      <c r="AW5925" s="6" t="str">
        <f>HYPERLINK("http://www.worldcat.org/oclc/36246052","WorldCat Record")</f>
        <v>WorldCat Record</v>
      </c>
      <c r="AX5925" s="3" t="s">
        <v>56984</v>
      </c>
      <c r="AY5925" s="3" t="s">
        <v>56985</v>
      </c>
      <c r="AZ5925" s="3" t="s">
        <v>56986</v>
      </c>
      <c r="BA5925" s="3" t="s">
        <v>56986</v>
      </c>
      <c r="BB5925" s="3" t="s">
        <v>56987</v>
      </c>
      <c r="BC5925" s="3" t="s">
        <v>142</v>
      </c>
      <c r="BD5925" s="3" t="s">
        <v>68</v>
      </c>
      <c r="BE5925" s="3" t="s">
        <v>56988</v>
      </c>
      <c r="BF5925" s="3" t="s">
        <v>56987</v>
      </c>
      <c r="BG5925" s="3" t="s">
        <v>56989</v>
      </c>
    </row>
    <row r="5926" spans="1:59" ht="57" x14ac:dyDescent="0.45">
      <c r="A5926" s="2" t="s">
        <v>59</v>
      </c>
      <c r="B5926" s="2" t="s">
        <v>60</v>
      </c>
      <c r="C5926" s="2" t="s">
        <v>56990</v>
      </c>
      <c r="D5926" s="2" t="s">
        <v>56991</v>
      </c>
      <c r="E5926" s="2" t="s">
        <v>56992</v>
      </c>
      <c r="G5926" s="3" t="s">
        <v>62</v>
      </c>
      <c r="I5926" s="3" t="s">
        <v>62</v>
      </c>
      <c r="J5926" s="3" t="s">
        <v>62</v>
      </c>
      <c r="K5926" s="3" t="s">
        <v>63</v>
      </c>
      <c r="M5926" s="2" t="s">
        <v>56993</v>
      </c>
      <c r="N5926" s="3" t="s">
        <v>894</v>
      </c>
      <c r="O5926" s="2" t="s">
        <v>52703</v>
      </c>
      <c r="P5926" s="3" t="s">
        <v>110</v>
      </c>
      <c r="Q5926" s="2" t="s">
        <v>56994</v>
      </c>
      <c r="R5926" s="3" t="s">
        <v>66</v>
      </c>
      <c r="S5926" s="4">
        <v>2</v>
      </c>
      <c r="T5926" s="4">
        <v>2</v>
      </c>
      <c r="U5926" s="5" t="s">
        <v>16585</v>
      </c>
      <c r="V5926" s="5" t="s">
        <v>16585</v>
      </c>
      <c r="W5926" s="5" t="s">
        <v>67</v>
      </c>
      <c r="X5926" s="5" t="s">
        <v>67</v>
      </c>
      <c r="Y5926" s="4">
        <v>5</v>
      </c>
      <c r="Z5926" s="4">
        <v>4</v>
      </c>
      <c r="AA5926" s="4">
        <v>25</v>
      </c>
      <c r="AB5926" s="4">
        <v>1</v>
      </c>
      <c r="AC5926" s="4">
        <v>8</v>
      </c>
      <c r="AD5926" s="4">
        <v>3</v>
      </c>
      <c r="AE5926" s="4">
        <v>20</v>
      </c>
      <c r="AF5926" s="4">
        <v>0</v>
      </c>
      <c r="AG5926" s="4">
        <v>3</v>
      </c>
      <c r="AH5926" s="4">
        <v>0</v>
      </c>
      <c r="AI5926" s="4">
        <v>9</v>
      </c>
      <c r="AJ5926" s="4">
        <v>1</v>
      </c>
      <c r="AK5926" s="4">
        <v>12</v>
      </c>
      <c r="AL5926" s="4">
        <v>0</v>
      </c>
      <c r="AM5926" s="4">
        <v>5</v>
      </c>
      <c r="AN5926" s="4">
        <v>0</v>
      </c>
      <c r="AO5926" s="4">
        <v>0</v>
      </c>
      <c r="AP5926" s="4">
        <v>3</v>
      </c>
      <c r="AQ5926" s="4">
        <v>15</v>
      </c>
      <c r="AR5926" s="3" t="s">
        <v>62</v>
      </c>
      <c r="AS5926" s="3" t="s">
        <v>62</v>
      </c>
      <c r="AT5926" s="3" t="s">
        <v>62</v>
      </c>
      <c r="AV5926" s="6" t="str">
        <f>HYPERLINK("http://mcgill.on.worldcat.org/oclc/780573147","Catalog Record")</f>
        <v>Catalog Record</v>
      </c>
      <c r="AW5926" s="6" t="str">
        <f>HYPERLINK("http://www.worldcat.org/oclc/780573147","WorldCat Record")</f>
        <v>WorldCat Record</v>
      </c>
      <c r="AX5926" s="3" t="s">
        <v>56995</v>
      </c>
      <c r="AY5926" s="3" t="s">
        <v>56996</v>
      </c>
      <c r="AZ5926" s="3" t="s">
        <v>56997</v>
      </c>
      <c r="BA5926" s="3" t="s">
        <v>56997</v>
      </c>
      <c r="BB5926" s="3" t="s">
        <v>56998</v>
      </c>
      <c r="BC5926" s="3" t="s">
        <v>142</v>
      </c>
      <c r="BD5926" s="3" t="s">
        <v>68</v>
      </c>
      <c r="BE5926" s="3" t="s">
        <v>56999</v>
      </c>
      <c r="BF5926" s="3" t="s">
        <v>56998</v>
      </c>
      <c r="BG5926" s="3" t="s">
        <v>57000</v>
      </c>
    </row>
    <row r="5927" spans="1:59" ht="57" x14ac:dyDescent="0.45">
      <c r="A5927" s="2" t="s">
        <v>59</v>
      </c>
      <c r="B5927" s="2" t="s">
        <v>60</v>
      </c>
      <c r="C5927" s="2" t="s">
        <v>57001</v>
      </c>
      <c r="D5927" s="2" t="s">
        <v>57002</v>
      </c>
      <c r="E5927" s="2" t="s">
        <v>57003</v>
      </c>
      <c r="G5927" s="3" t="s">
        <v>62</v>
      </c>
      <c r="I5927" s="3" t="s">
        <v>62</v>
      </c>
      <c r="J5927" s="3" t="s">
        <v>62</v>
      </c>
      <c r="K5927" s="3" t="s">
        <v>63</v>
      </c>
      <c r="M5927" s="2" t="s">
        <v>57004</v>
      </c>
      <c r="N5927" s="3" t="s">
        <v>149</v>
      </c>
      <c r="P5927" s="3" t="s">
        <v>110</v>
      </c>
      <c r="R5927" s="3" t="s">
        <v>66</v>
      </c>
      <c r="S5927" s="4">
        <v>6</v>
      </c>
      <c r="T5927" s="4">
        <v>6</v>
      </c>
      <c r="U5927" s="5" t="s">
        <v>13001</v>
      </c>
      <c r="V5927" s="5" t="s">
        <v>13001</v>
      </c>
      <c r="W5927" s="5" t="s">
        <v>67</v>
      </c>
      <c r="X5927" s="5" t="s">
        <v>67</v>
      </c>
      <c r="Y5927" s="4">
        <v>36</v>
      </c>
      <c r="Z5927" s="4">
        <v>8</v>
      </c>
      <c r="AA5927" s="4">
        <v>16</v>
      </c>
      <c r="AB5927" s="4">
        <v>1</v>
      </c>
      <c r="AC5927" s="4">
        <v>7</v>
      </c>
      <c r="AD5927" s="4">
        <v>19</v>
      </c>
      <c r="AE5927" s="4">
        <v>24</v>
      </c>
      <c r="AF5927" s="4">
        <v>0</v>
      </c>
      <c r="AG5927" s="4">
        <v>3</v>
      </c>
      <c r="AH5927" s="4">
        <v>16</v>
      </c>
      <c r="AI5927" s="4">
        <v>18</v>
      </c>
      <c r="AJ5927" s="4">
        <v>5</v>
      </c>
      <c r="AK5927" s="4">
        <v>9</v>
      </c>
      <c r="AL5927" s="4">
        <v>11</v>
      </c>
      <c r="AM5927" s="4">
        <v>11</v>
      </c>
      <c r="AN5927" s="4">
        <v>0</v>
      </c>
      <c r="AO5927" s="4">
        <v>0</v>
      </c>
      <c r="AP5927" s="4">
        <v>6</v>
      </c>
      <c r="AQ5927" s="4">
        <v>10</v>
      </c>
      <c r="AR5927" s="3" t="s">
        <v>62</v>
      </c>
      <c r="AS5927" s="3" t="s">
        <v>62</v>
      </c>
      <c r="AT5927" s="3" t="s">
        <v>62</v>
      </c>
      <c r="AV5927" s="6" t="str">
        <f>HYPERLINK("http://mcgill.on.worldcat.org/oclc/643009053","Catalog Record")</f>
        <v>Catalog Record</v>
      </c>
      <c r="AW5927" s="6" t="str">
        <f>HYPERLINK("http://www.worldcat.org/oclc/643009053","WorldCat Record")</f>
        <v>WorldCat Record</v>
      </c>
      <c r="AX5927" s="3" t="s">
        <v>57005</v>
      </c>
      <c r="AY5927" s="3" t="s">
        <v>57006</v>
      </c>
      <c r="AZ5927" s="3" t="s">
        <v>57007</v>
      </c>
      <c r="BA5927" s="3" t="s">
        <v>57007</v>
      </c>
      <c r="BB5927" s="3" t="s">
        <v>57008</v>
      </c>
      <c r="BC5927" s="3" t="s">
        <v>142</v>
      </c>
      <c r="BD5927" s="3" t="s">
        <v>68</v>
      </c>
      <c r="BE5927" s="3" t="s">
        <v>57009</v>
      </c>
      <c r="BF5927" s="3" t="s">
        <v>57008</v>
      </c>
      <c r="BG5927" s="3" t="s">
        <v>57010</v>
      </c>
    </row>
    <row r="5928" spans="1:59" ht="57" x14ac:dyDescent="0.45">
      <c r="A5928" s="2" t="s">
        <v>59</v>
      </c>
      <c r="B5928" s="2" t="s">
        <v>60</v>
      </c>
      <c r="C5928" s="2" t="s">
        <v>57011</v>
      </c>
      <c r="D5928" s="2" t="s">
        <v>57012</v>
      </c>
      <c r="E5928" s="2" t="s">
        <v>57013</v>
      </c>
      <c r="G5928" s="3" t="s">
        <v>62</v>
      </c>
      <c r="I5928" s="3" t="s">
        <v>62</v>
      </c>
      <c r="J5928" s="3" t="s">
        <v>62</v>
      </c>
      <c r="K5928" s="3" t="s">
        <v>63</v>
      </c>
      <c r="M5928" s="2" t="s">
        <v>6141</v>
      </c>
      <c r="N5928" s="3" t="s">
        <v>894</v>
      </c>
      <c r="P5928" s="3" t="s">
        <v>65</v>
      </c>
      <c r="Q5928" s="2" t="s">
        <v>57014</v>
      </c>
      <c r="R5928" s="3" t="s">
        <v>66</v>
      </c>
      <c r="S5928" s="4">
        <v>1</v>
      </c>
      <c r="T5928" s="4">
        <v>1</v>
      </c>
      <c r="U5928" s="5" t="s">
        <v>57015</v>
      </c>
      <c r="V5928" s="5" t="s">
        <v>57015</v>
      </c>
      <c r="W5928" s="5" t="s">
        <v>67</v>
      </c>
      <c r="X5928" s="5" t="s">
        <v>67</v>
      </c>
      <c r="Y5928" s="4">
        <v>121</v>
      </c>
      <c r="Z5928" s="4">
        <v>11</v>
      </c>
      <c r="AA5928" s="4">
        <v>77</v>
      </c>
      <c r="AB5928" s="4">
        <v>1</v>
      </c>
      <c r="AC5928" s="4">
        <v>15</v>
      </c>
      <c r="AD5928" s="4">
        <v>55</v>
      </c>
      <c r="AE5928" s="4">
        <v>104</v>
      </c>
      <c r="AF5928" s="4">
        <v>0</v>
      </c>
      <c r="AG5928" s="4">
        <v>8</v>
      </c>
      <c r="AH5928" s="4">
        <v>53</v>
      </c>
      <c r="AI5928" s="4">
        <v>73</v>
      </c>
      <c r="AJ5928" s="4">
        <v>8</v>
      </c>
      <c r="AK5928" s="4">
        <v>21</v>
      </c>
      <c r="AL5928" s="4">
        <v>29</v>
      </c>
      <c r="AM5928" s="4">
        <v>38</v>
      </c>
      <c r="AN5928" s="4">
        <v>0</v>
      </c>
      <c r="AO5928" s="4">
        <v>0</v>
      </c>
      <c r="AP5928" s="4">
        <v>9</v>
      </c>
      <c r="AQ5928" s="4">
        <v>40</v>
      </c>
      <c r="AR5928" s="3" t="s">
        <v>62</v>
      </c>
      <c r="AS5928" s="3" t="s">
        <v>62</v>
      </c>
      <c r="AT5928" s="3" t="s">
        <v>62</v>
      </c>
      <c r="AV5928" s="6" t="str">
        <f>HYPERLINK("http://mcgill.on.worldcat.org/oclc/651914471","Catalog Record")</f>
        <v>Catalog Record</v>
      </c>
      <c r="AW5928" s="6" t="str">
        <f>HYPERLINK("http://www.worldcat.org/oclc/651914471","WorldCat Record")</f>
        <v>WorldCat Record</v>
      </c>
      <c r="AX5928" s="3" t="s">
        <v>57016</v>
      </c>
      <c r="AY5928" s="3" t="s">
        <v>57017</v>
      </c>
      <c r="AZ5928" s="3" t="s">
        <v>57018</v>
      </c>
      <c r="BA5928" s="3" t="s">
        <v>57018</v>
      </c>
      <c r="BB5928" s="3" t="s">
        <v>57019</v>
      </c>
      <c r="BC5928" s="3" t="s">
        <v>142</v>
      </c>
      <c r="BD5928" s="3" t="s">
        <v>68</v>
      </c>
      <c r="BE5928" s="3" t="s">
        <v>57020</v>
      </c>
      <c r="BF5928" s="3" t="s">
        <v>57019</v>
      </c>
      <c r="BG5928" s="3" t="s">
        <v>57021</v>
      </c>
    </row>
    <row r="5929" spans="1:59" ht="57" x14ac:dyDescent="0.45">
      <c r="A5929" s="2" t="s">
        <v>59</v>
      </c>
      <c r="B5929" s="2" t="s">
        <v>60</v>
      </c>
      <c r="C5929" s="2" t="s">
        <v>57022</v>
      </c>
      <c r="D5929" s="2" t="s">
        <v>57023</v>
      </c>
      <c r="E5929" s="2" t="s">
        <v>57024</v>
      </c>
      <c r="G5929" s="3" t="s">
        <v>62</v>
      </c>
      <c r="I5929" s="3" t="s">
        <v>62</v>
      </c>
      <c r="J5929" s="3" t="s">
        <v>62</v>
      </c>
      <c r="K5929" s="3" t="s">
        <v>63</v>
      </c>
      <c r="L5929" s="2" t="s">
        <v>57025</v>
      </c>
      <c r="M5929" s="2" t="s">
        <v>57026</v>
      </c>
      <c r="N5929" s="3" t="s">
        <v>807</v>
      </c>
      <c r="P5929" s="3" t="s">
        <v>110</v>
      </c>
      <c r="Q5929" s="2" t="s">
        <v>57027</v>
      </c>
      <c r="R5929" s="3" t="s">
        <v>66</v>
      </c>
      <c r="S5929" s="4">
        <v>3</v>
      </c>
      <c r="T5929" s="4">
        <v>3</v>
      </c>
      <c r="U5929" s="5" t="s">
        <v>18195</v>
      </c>
      <c r="V5929" s="5" t="s">
        <v>18195</v>
      </c>
      <c r="W5929" s="5" t="s">
        <v>67</v>
      </c>
      <c r="X5929" s="5" t="s">
        <v>67</v>
      </c>
      <c r="Y5929" s="4">
        <v>7</v>
      </c>
      <c r="Z5929" s="4">
        <v>4</v>
      </c>
      <c r="AA5929" s="4">
        <v>4</v>
      </c>
      <c r="AB5929" s="4">
        <v>1</v>
      </c>
      <c r="AC5929" s="4">
        <v>1</v>
      </c>
      <c r="AD5929" s="4">
        <v>3</v>
      </c>
      <c r="AE5929" s="4">
        <v>3</v>
      </c>
      <c r="AF5929" s="4">
        <v>0</v>
      </c>
      <c r="AG5929" s="4">
        <v>0</v>
      </c>
      <c r="AH5929" s="4">
        <v>3</v>
      </c>
      <c r="AI5929" s="4">
        <v>3</v>
      </c>
      <c r="AJ5929" s="4">
        <v>2</v>
      </c>
      <c r="AK5929" s="4">
        <v>2</v>
      </c>
      <c r="AL5929" s="4">
        <v>2</v>
      </c>
      <c r="AM5929" s="4">
        <v>2</v>
      </c>
      <c r="AN5929" s="4">
        <v>0</v>
      </c>
      <c r="AO5929" s="4">
        <v>0</v>
      </c>
      <c r="AP5929" s="4">
        <v>2</v>
      </c>
      <c r="AQ5929" s="4">
        <v>2</v>
      </c>
      <c r="AR5929" s="3" t="s">
        <v>62</v>
      </c>
      <c r="AS5929" s="3" t="s">
        <v>62</v>
      </c>
      <c r="AT5929" s="3" t="s">
        <v>62</v>
      </c>
      <c r="AV5929" s="6" t="str">
        <f>HYPERLINK("http://mcgill.on.worldcat.org/oclc/428004898","Catalog Record")</f>
        <v>Catalog Record</v>
      </c>
      <c r="AW5929" s="6" t="str">
        <f>HYPERLINK("http://www.worldcat.org/oclc/428004898","WorldCat Record")</f>
        <v>WorldCat Record</v>
      </c>
      <c r="AX5929" s="3" t="s">
        <v>57028</v>
      </c>
      <c r="AY5929" s="3" t="s">
        <v>57029</v>
      </c>
      <c r="AZ5929" s="3" t="s">
        <v>57030</v>
      </c>
      <c r="BA5929" s="3" t="s">
        <v>57030</v>
      </c>
      <c r="BB5929" s="3" t="s">
        <v>57031</v>
      </c>
      <c r="BC5929" s="3" t="s">
        <v>142</v>
      </c>
      <c r="BD5929" s="3" t="s">
        <v>68</v>
      </c>
      <c r="BE5929" s="3" t="s">
        <v>57032</v>
      </c>
      <c r="BF5929" s="3" t="s">
        <v>57031</v>
      </c>
      <c r="BG5929" s="3" t="s">
        <v>57033</v>
      </c>
    </row>
    <row r="5930" spans="1:59" ht="57" x14ac:dyDescent="0.45">
      <c r="A5930" s="2" t="s">
        <v>59</v>
      </c>
      <c r="B5930" s="2" t="s">
        <v>60</v>
      </c>
      <c r="C5930" s="2" t="s">
        <v>57034</v>
      </c>
      <c r="D5930" s="2" t="s">
        <v>57035</v>
      </c>
      <c r="E5930" s="2" t="s">
        <v>57036</v>
      </c>
      <c r="G5930" s="3" t="s">
        <v>62</v>
      </c>
      <c r="I5930" s="3" t="s">
        <v>62</v>
      </c>
      <c r="J5930" s="3" t="s">
        <v>62</v>
      </c>
      <c r="K5930" s="3" t="s">
        <v>63</v>
      </c>
      <c r="L5930" s="2" t="s">
        <v>57025</v>
      </c>
      <c r="M5930" s="2" t="s">
        <v>57026</v>
      </c>
      <c r="N5930" s="3" t="s">
        <v>807</v>
      </c>
      <c r="P5930" s="3" t="s">
        <v>110</v>
      </c>
      <c r="Q5930" s="2" t="s">
        <v>57037</v>
      </c>
      <c r="R5930" s="3" t="s">
        <v>66</v>
      </c>
      <c r="S5930" s="4">
        <v>2</v>
      </c>
      <c r="T5930" s="4">
        <v>2</v>
      </c>
      <c r="U5930" s="5" t="s">
        <v>18195</v>
      </c>
      <c r="V5930" s="5" t="s">
        <v>18195</v>
      </c>
      <c r="W5930" s="5" t="s">
        <v>67</v>
      </c>
      <c r="X5930" s="5" t="s">
        <v>67</v>
      </c>
      <c r="Y5930" s="4">
        <v>52</v>
      </c>
      <c r="Z5930" s="4">
        <v>2</v>
      </c>
      <c r="AA5930" s="4">
        <v>4</v>
      </c>
      <c r="AB5930" s="4">
        <v>2</v>
      </c>
      <c r="AC5930" s="4">
        <v>2</v>
      </c>
      <c r="AD5930" s="4">
        <v>8</v>
      </c>
      <c r="AE5930" s="4">
        <v>10</v>
      </c>
      <c r="AF5930" s="4">
        <v>1</v>
      </c>
      <c r="AG5930" s="4">
        <v>1</v>
      </c>
      <c r="AH5930" s="4">
        <v>7</v>
      </c>
      <c r="AI5930" s="4">
        <v>8</v>
      </c>
      <c r="AJ5930" s="4">
        <v>1</v>
      </c>
      <c r="AK5930" s="4">
        <v>2</v>
      </c>
      <c r="AL5930" s="4">
        <v>6</v>
      </c>
      <c r="AM5930" s="4">
        <v>8</v>
      </c>
      <c r="AN5930" s="4">
        <v>0</v>
      </c>
      <c r="AO5930" s="4">
        <v>0</v>
      </c>
      <c r="AP5930" s="4">
        <v>0</v>
      </c>
      <c r="AQ5930" s="4">
        <v>1</v>
      </c>
      <c r="AR5930" s="3" t="s">
        <v>62</v>
      </c>
      <c r="AS5930" s="3" t="s">
        <v>62</v>
      </c>
      <c r="AT5930" s="3" t="s">
        <v>61</v>
      </c>
      <c r="AU5930" s="6" t="str">
        <f>HYPERLINK("http://catalog.hathitrust.org/Record/006751486","HathiTrust Record")</f>
        <v>HathiTrust Record</v>
      </c>
      <c r="AV5930" s="6" t="str">
        <f>HYPERLINK("http://mcgill.on.worldcat.org/oclc/25634929","Catalog Record")</f>
        <v>Catalog Record</v>
      </c>
      <c r="AW5930" s="6" t="str">
        <f>HYPERLINK("http://www.worldcat.org/oclc/25634929","WorldCat Record")</f>
        <v>WorldCat Record</v>
      </c>
      <c r="AX5930" s="3" t="s">
        <v>57038</v>
      </c>
      <c r="AY5930" s="3" t="s">
        <v>57039</v>
      </c>
      <c r="AZ5930" s="3" t="s">
        <v>57040</v>
      </c>
      <c r="BA5930" s="3" t="s">
        <v>57040</v>
      </c>
      <c r="BB5930" s="3" t="s">
        <v>57041</v>
      </c>
      <c r="BC5930" s="3" t="s">
        <v>142</v>
      </c>
      <c r="BD5930" s="3" t="s">
        <v>68</v>
      </c>
      <c r="BE5930" s="3" t="s">
        <v>57042</v>
      </c>
      <c r="BF5930" s="3" t="s">
        <v>57041</v>
      </c>
      <c r="BG5930" s="3" t="s">
        <v>57043</v>
      </c>
    </row>
    <row r="5931" spans="1:59" ht="99.75" x14ac:dyDescent="0.45">
      <c r="A5931" s="2" t="s">
        <v>59</v>
      </c>
      <c r="B5931" s="2" t="s">
        <v>60</v>
      </c>
      <c r="C5931" s="2" t="s">
        <v>57044</v>
      </c>
      <c r="D5931" s="2" t="s">
        <v>57045</v>
      </c>
      <c r="E5931" s="2" t="s">
        <v>57046</v>
      </c>
      <c r="G5931" s="3" t="s">
        <v>62</v>
      </c>
      <c r="I5931" s="3" t="s">
        <v>62</v>
      </c>
      <c r="J5931" s="3" t="s">
        <v>62</v>
      </c>
      <c r="K5931" s="3" t="s">
        <v>63</v>
      </c>
      <c r="L5931" s="2" t="s">
        <v>57047</v>
      </c>
      <c r="M5931" s="2" t="s">
        <v>57048</v>
      </c>
      <c r="N5931" s="3" t="s">
        <v>970</v>
      </c>
      <c r="P5931" s="3" t="s">
        <v>110</v>
      </c>
      <c r="Q5931" s="2" t="s">
        <v>57049</v>
      </c>
      <c r="R5931" s="3" t="s">
        <v>66</v>
      </c>
      <c r="S5931" s="4">
        <v>3</v>
      </c>
      <c r="T5931" s="4">
        <v>3</v>
      </c>
      <c r="U5931" s="5" t="s">
        <v>19869</v>
      </c>
      <c r="V5931" s="5" t="s">
        <v>19869</v>
      </c>
      <c r="W5931" s="5" t="s">
        <v>67</v>
      </c>
      <c r="X5931" s="5" t="s">
        <v>67</v>
      </c>
      <c r="Y5931" s="4">
        <v>1</v>
      </c>
      <c r="Z5931" s="4">
        <v>1</v>
      </c>
      <c r="AA5931" s="4">
        <v>2</v>
      </c>
      <c r="AB5931" s="4">
        <v>1</v>
      </c>
      <c r="AC5931" s="4">
        <v>2</v>
      </c>
      <c r="AD5931" s="4">
        <v>0</v>
      </c>
      <c r="AE5931" s="4">
        <v>1</v>
      </c>
      <c r="AF5931" s="4">
        <v>0</v>
      </c>
      <c r="AG5931" s="4">
        <v>1</v>
      </c>
      <c r="AH5931" s="4">
        <v>0</v>
      </c>
      <c r="AI5931" s="4">
        <v>0</v>
      </c>
      <c r="AJ5931" s="4">
        <v>0</v>
      </c>
      <c r="AK5931" s="4">
        <v>1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3" t="s">
        <v>61</v>
      </c>
      <c r="AS5931" s="3" t="s">
        <v>62</v>
      </c>
      <c r="AT5931" s="3" t="s">
        <v>62</v>
      </c>
      <c r="AV5931" s="6" t="str">
        <f>HYPERLINK("http://mcgill.on.worldcat.org/oclc/61566109","Catalog Record")</f>
        <v>Catalog Record</v>
      </c>
      <c r="AW5931" s="6" t="str">
        <f>HYPERLINK("http://www.worldcat.org/oclc/61566109","WorldCat Record")</f>
        <v>WorldCat Record</v>
      </c>
      <c r="AX5931" s="3" t="s">
        <v>57050</v>
      </c>
      <c r="AY5931" s="3" t="s">
        <v>57051</v>
      </c>
      <c r="AZ5931" s="3" t="s">
        <v>57052</v>
      </c>
      <c r="BA5931" s="3" t="s">
        <v>57052</v>
      </c>
      <c r="BB5931" s="3" t="s">
        <v>57053</v>
      </c>
      <c r="BC5931" s="3" t="s">
        <v>142</v>
      </c>
      <c r="BD5931" s="3" t="s">
        <v>68</v>
      </c>
      <c r="BF5931" s="3" t="s">
        <v>57053</v>
      </c>
      <c r="BG5931" s="3" t="s">
        <v>57054</v>
      </c>
    </row>
    <row r="5932" spans="1:59" ht="57" x14ac:dyDescent="0.45">
      <c r="A5932" s="2" t="s">
        <v>59</v>
      </c>
      <c r="B5932" s="2" t="s">
        <v>60</v>
      </c>
      <c r="C5932" s="2" t="s">
        <v>57055</v>
      </c>
      <c r="D5932" s="2" t="s">
        <v>57056</v>
      </c>
      <c r="E5932" s="2" t="s">
        <v>57057</v>
      </c>
      <c r="G5932" s="3" t="s">
        <v>62</v>
      </c>
      <c r="I5932" s="3" t="s">
        <v>62</v>
      </c>
      <c r="J5932" s="3" t="s">
        <v>62</v>
      </c>
      <c r="K5932" s="3" t="s">
        <v>63</v>
      </c>
      <c r="L5932" s="2" t="s">
        <v>54018</v>
      </c>
      <c r="M5932" s="2" t="s">
        <v>1905</v>
      </c>
      <c r="N5932" s="3" t="s">
        <v>149</v>
      </c>
      <c r="P5932" s="3" t="s">
        <v>65</v>
      </c>
      <c r="Q5932" s="2" t="s">
        <v>11033</v>
      </c>
      <c r="R5932" s="3" t="s">
        <v>66</v>
      </c>
      <c r="S5932" s="4">
        <v>1</v>
      </c>
      <c r="T5932" s="4">
        <v>1</v>
      </c>
      <c r="U5932" s="5" t="s">
        <v>8465</v>
      </c>
      <c r="V5932" s="5" t="s">
        <v>8465</v>
      </c>
      <c r="W5932" s="5" t="s">
        <v>67</v>
      </c>
      <c r="X5932" s="5" t="s">
        <v>67</v>
      </c>
      <c r="Y5932" s="4">
        <v>148</v>
      </c>
      <c r="Z5932" s="4">
        <v>15</v>
      </c>
      <c r="AA5932" s="4">
        <v>15</v>
      </c>
      <c r="AB5932" s="4">
        <v>1</v>
      </c>
      <c r="AC5932" s="4">
        <v>1</v>
      </c>
      <c r="AD5932" s="4">
        <v>64</v>
      </c>
      <c r="AE5932" s="4">
        <v>64</v>
      </c>
      <c r="AF5932" s="4">
        <v>0</v>
      </c>
      <c r="AG5932" s="4">
        <v>0</v>
      </c>
      <c r="AH5932" s="4">
        <v>59</v>
      </c>
      <c r="AI5932" s="4">
        <v>59</v>
      </c>
      <c r="AJ5932" s="4">
        <v>11</v>
      </c>
      <c r="AK5932" s="4">
        <v>11</v>
      </c>
      <c r="AL5932" s="4">
        <v>34</v>
      </c>
      <c r="AM5932" s="4">
        <v>34</v>
      </c>
      <c r="AN5932" s="4">
        <v>0</v>
      </c>
      <c r="AO5932" s="4">
        <v>0</v>
      </c>
      <c r="AP5932" s="4">
        <v>12</v>
      </c>
      <c r="AQ5932" s="4">
        <v>12</v>
      </c>
      <c r="AR5932" s="3" t="s">
        <v>62</v>
      </c>
      <c r="AS5932" s="3" t="s">
        <v>62</v>
      </c>
      <c r="AT5932" s="3" t="s">
        <v>62</v>
      </c>
      <c r="AV5932" s="6" t="str">
        <f>HYPERLINK("http://mcgill.on.worldcat.org/oclc/422765297","Catalog Record")</f>
        <v>Catalog Record</v>
      </c>
      <c r="AW5932" s="6" t="str">
        <f>HYPERLINK("http://www.worldcat.org/oclc/422765297","WorldCat Record")</f>
        <v>WorldCat Record</v>
      </c>
      <c r="AX5932" s="3" t="s">
        <v>57058</v>
      </c>
      <c r="AY5932" s="3" t="s">
        <v>57059</v>
      </c>
      <c r="AZ5932" s="3" t="s">
        <v>57060</v>
      </c>
      <c r="BA5932" s="3" t="s">
        <v>57060</v>
      </c>
      <c r="BB5932" s="3" t="s">
        <v>57061</v>
      </c>
      <c r="BC5932" s="3" t="s">
        <v>142</v>
      </c>
      <c r="BD5932" s="3" t="s">
        <v>68</v>
      </c>
      <c r="BE5932" s="3" t="s">
        <v>57062</v>
      </c>
      <c r="BF5932" s="3" t="s">
        <v>57061</v>
      </c>
      <c r="BG5932" s="3" t="s">
        <v>57063</v>
      </c>
    </row>
    <row r="5933" spans="1:59" ht="57" x14ac:dyDescent="0.45">
      <c r="A5933" s="2" t="s">
        <v>59</v>
      </c>
      <c r="B5933" s="2" t="s">
        <v>60</v>
      </c>
      <c r="C5933" s="2" t="s">
        <v>57064</v>
      </c>
      <c r="D5933" s="2" t="s">
        <v>57065</v>
      </c>
      <c r="E5933" s="2" t="s">
        <v>57066</v>
      </c>
      <c r="G5933" s="3" t="s">
        <v>62</v>
      </c>
      <c r="I5933" s="3" t="s">
        <v>62</v>
      </c>
      <c r="J5933" s="3" t="s">
        <v>62</v>
      </c>
      <c r="K5933" s="3" t="s">
        <v>63</v>
      </c>
      <c r="M5933" s="2" t="s">
        <v>57067</v>
      </c>
      <c r="N5933" s="3" t="s">
        <v>958</v>
      </c>
      <c r="P5933" s="3" t="s">
        <v>110</v>
      </c>
      <c r="Q5933" s="2" t="s">
        <v>57068</v>
      </c>
      <c r="R5933" s="3" t="s">
        <v>66</v>
      </c>
      <c r="S5933" s="4">
        <v>12</v>
      </c>
      <c r="T5933" s="4">
        <v>12</v>
      </c>
      <c r="U5933" s="5" t="s">
        <v>4465</v>
      </c>
      <c r="V5933" s="5" t="s">
        <v>4465</v>
      </c>
      <c r="W5933" s="5" t="s">
        <v>67</v>
      </c>
      <c r="X5933" s="5" t="s">
        <v>67</v>
      </c>
      <c r="Y5933" s="4">
        <v>8</v>
      </c>
      <c r="Z5933" s="4">
        <v>7</v>
      </c>
      <c r="AA5933" s="4">
        <v>22</v>
      </c>
      <c r="AB5933" s="4">
        <v>2</v>
      </c>
      <c r="AC5933" s="4">
        <v>10</v>
      </c>
      <c r="AD5933" s="4">
        <v>7</v>
      </c>
      <c r="AE5933" s="4">
        <v>22</v>
      </c>
      <c r="AF5933" s="4">
        <v>1</v>
      </c>
      <c r="AG5933" s="4">
        <v>5</v>
      </c>
      <c r="AH5933" s="4">
        <v>5</v>
      </c>
      <c r="AI5933" s="4">
        <v>14</v>
      </c>
      <c r="AJ5933" s="4">
        <v>6</v>
      </c>
      <c r="AK5933" s="4">
        <v>16</v>
      </c>
      <c r="AL5933" s="4">
        <v>0</v>
      </c>
      <c r="AM5933" s="4">
        <v>6</v>
      </c>
      <c r="AN5933" s="4">
        <v>0</v>
      </c>
      <c r="AO5933" s="4">
        <v>5</v>
      </c>
      <c r="AP5933" s="4">
        <v>6</v>
      </c>
      <c r="AQ5933" s="4">
        <v>14</v>
      </c>
      <c r="AR5933" s="3" t="s">
        <v>61</v>
      </c>
      <c r="AS5933" s="3" t="s">
        <v>62</v>
      </c>
      <c r="AT5933" s="3" t="s">
        <v>61</v>
      </c>
      <c r="AU5933" s="6" t="str">
        <f>HYPERLINK("http://catalog.hathitrust.org/Record/101973328","HathiTrust Record")</f>
        <v>HathiTrust Record</v>
      </c>
      <c r="AV5933" s="6" t="str">
        <f>HYPERLINK("http://mcgill.on.worldcat.org/oclc/243493022","Catalog Record")</f>
        <v>Catalog Record</v>
      </c>
      <c r="AW5933" s="6" t="str">
        <f>HYPERLINK("http://www.worldcat.org/oclc/243493022","WorldCat Record")</f>
        <v>WorldCat Record</v>
      </c>
      <c r="AX5933" s="3" t="s">
        <v>57069</v>
      </c>
      <c r="AY5933" s="3" t="s">
        <v>57070</v>
      </c>
      <c r="AZ5933" s="3" t="s">
        <v>57071</v>
      </c>
      <c r="BA5933" s="3" t="s">
        <v>57071</v>
      </c>
      <c r="BB5933" s="3" t="s">
        <v>57072</v>
      </c>
      <c r="BC5933" s="3" t="s">
        <v>142</v>
      </c>
      <c r="BD5933" s="3" t="s">
        <v>68</v>
      </c>
      <c r="BE5933" s="3" t="s">
        <v>57073</v>
      </c>
      <c r="BF5933" s="3" t="s">
        <v>57072</v>
      </c>
      <c r="BG5933" s="3" t="s">
        <v>57074</v>
      </c>
    </row>
    <row r="5934" spans="1:59" ht="57" x14ac:dyDescent="0.45">
      <c r="A5934" s="2" t="s">
        <v>59</v>
      </c>
      <c r="B5934" s="2" t="s">
        <v>60</v>
      </c>
      <c r="C5934" s="2" t="s">
        <v>57075</v>
      </c>
      <c r="D5934" s="2" t="s">
        <v>57076</v>
      </c>
      <c r="E5934" s="2" t="s">
        <v>57077</v>
      </c>
      <c r="G5934" s="3" t="s">
        <v>62</v>
      </c>
      <c r="I5934" s="3" t="s">
        <v>62</v>
      </c>
      <c r="J5934" s="3" t="s">
        <v>62</v>
      </c>
      <c r="K5934" s="3" t="s">
        <v>63</v>
      </c>
      <c r="L5934" s="2" t="s">
        <v>57078</v>
      </c>
      <c r="M5934" s="2" t="s">
        <v>57079</v>
      </c>
      <c r="N5934" s="3" t="s">
        <v>894</v>
      </c>
      <c r="P5934" s="3" t="s">
        <v>65</v>
      </c>
      <c r="Q5934" s="2" t="s">
        <v>57080</v>
      </c>
      <c r="R5934" s="3" t="s">
        <v>66</v>
      </c>
      <c r="S5934" s="4">
        <v>3</v>
      </c>
      <c r="T5934" s="4">
        <v>3</v>
      </c>
      <c r="U5934" s="5" t="s">
        <v>12411</v>
      </c>
      <c r="V5934" s="5" t="s">
        <v>12411</v>
      </c>
      <c r="W5934" s="5" t="s">
        <v>67</v>
      </c>
      <c r="X5934" s="5" t="s">
        <v>67</v>
      </c>
      <c r="Y5934" s="4">
        <v>90</v>
      </c>
      <c r="Z5934" s="4">
        <v>11</v>
      </c>
      <c r="AA5934" s="4">
        <v>88</v>
      </c>
      <c r="AB5934" s="4">
        <v>1</v>
      </c>
      <c r="AC5934" s="4">
        <v>17</v>
      </c>
      <c r="AD5934" s="4">
        <v>33</v>
      </c>
      <c r="AE5934" s="4">
        <v>108</v>
      </c>
      <c r="AF5934" s="4">
        <v>0</v>
      </c>
      <c r="AG5934" s="4">
        <v>8</v>
      </c>
      <c r="AH5934" s="4">
        <v>29</v>
      </c>
      <c r="AI5934" s="4">
        <v>73</v>
      </c>
      <c r="AJ5934" s="4">
        <v>9</v>
      </c>
      <c r="AK5934" s="4">
        <v>22</v>
      </c>
      <c r="AL5934" s="4">
        <v>16</v>
      </c>
      <c r="AM5934" s="4">
        <v>36</v>
      </c>
      <c r="AN5934" s="4">
        <v>0</v>
      </c>
      <c r="AO5934" s="4">
        <v>0</v>
      </c>
      <c r="AP5934" s="4">
        <v>9</v>
      </c>
      <c r="AQ5934" s="4">
        <v>43</v>
      </c>
      <c r="AR5934" s="3" t="s">
        <v>62</v>
      </c>
      <c r="AS5934" s="3" t="s">
        <v>62</v>
      </c>
      <c r="AT5934" s="3" t="s">
        <v>62</v>
      </c>
      <c r="AV5934" s="6" t="str">
        <f>HYPERLINK("http://mcgill.on.worldcat.org/oclc/731192664","Catalog Record")</f>
        <v>Catalog Record</v>
      </c>
      <c r="AW5934" s="6" t="str">
        <f>HYPERLINK("http://www.worldcat.org/oclc/731192664","WorldCat Record")</f>
        <v>WorldCat Record</v>
      </c>
      <c r="AX5934" s="3" t="s">
        <v>57081</v>
      </c>
      <c r="AY5934" s="3" t="s">
        <v>57082</v>
      </c>
      <c r="AZ5934" s="3" t="s">
        <v>57083</v>
      </c>
      <c r="BA5934" s="3" t="s">
        <v>57083</v>
      </c>
      <c r="BB5934" s="3" t="s">
        <v>57084</v>
      </c>
      <c r="BC5934" s="3" t="s">
        <v>142</v>
      </c>
      <c r="BD5934" s="3" t="s">
        <v>68</v>
      </c>
      <c r="BE5934" s="3" t="s">
        <v>57085</v>
      </c>
      <c r="BF5934" s="3" t="s">
        <v>57084</v>
      </c>
      <c r="BG5934" s="3" t="s">
        <v>57086</v>
      </c>
    </row>
    <row r="5935" spans="1:59" ht="57" x14ac:dyDescent="0.45">
      <c r="A5935" s="2" t="s">
        <v>59</v>
      </c>
      <c r="B5935" s="2" t="s">
        <v>60</v>
      </c>
      <c r="C5935" s="2" t="s">
        <v>57087</v>
      </c>
      <c r="D5935" s="2" t="s">
        <v>57088</v>
      </c>
      <c r="E5935" s="2" t="s">
        <v>57089</v>
      </c>
      <c r="G5935" s="3" t="s">
        <v>62</v>
      </c>
      <c r="I5935" s="3" t="s">
        <v>62</v>
      </c>
      <c r="J5935" s="3" t="s">
        <v>62</v>
      </c>
      <c r="K5935" s="3" t="s">
        <v>63</v>
      </c>
      <c r="L5935" s="2" t="s">
        <v>8866</v>
      </c>
      <c r="M5935" s="2" t="s">
        <v>57090</v>
      </c>
      <c r="N5935" s="3" t="s">
        <v>1855</v>
      </c>
      <c r="P5935" s="3" t="s">
        <v>65</v>
      </c>
      <c r="Q5935" s="2" t="s">
        <v>25561</v>
      </c>
      <c r="R5935" s="3" t="s">
        <v>66</v>
      </c>
      <c r="S5935" s="4">
        <v>5</v>
      </c>
      <c r="T5935" s="4">
        <v>5</v>
      </c>
      <c r="U5935" s="5" t="s">
        <v>8842</v>
      </c>
      <c r="V5935" s="5" t="s">
        <v>8842</v>
      </c>
      <c r="W5935" s="5" t="s">
        <v>67</v>
      </c>
      <c r="X5935" s="5" t="s">
        <v>67</v>
      </c>
      <c r="Y5935" s="4">
        <v>209</v>
      </c>
      <c r="Z5935" s="4">
        <v>12</v>
      </c>
      <c r="AA5935" s="4">
        <v>93</v>
      </c>
      <c r="AB5935" s="4">
        <v>2</v>
      </c>
      <c r="AC5935" s="4">
        <v>17</v>
      </c>
      <c r="AD5935" s="4">
        <v>64</v>
      </c>
      <c r="AE5935" s="4">
        <v>121</v>
      </c>
      <c r="AF5935" s="4">
        <v>1</v>
      </c>
      <c r="AG5935" s="4">
        <v>8</v>
      </c>
      <c r="AH5935" s="4">
        <v>58</v>
      </c>
      <c r="AI5935" s="4">
        <v>84</v>
      </c>
      <c r="AJ5935" s="4">
        <v>7</v>
      </c>
      <c r="AK5935" s="4">
        <v>20</v>
      </c>
      <c r="AL5935" s="4">
        <v>35</v>
      </c>
      <c r="AM5935" s="4">
        <v>48</v>
      </c>
      <c r="AN5935" s="4">
        <v>0</v>
      </c>
      <c r="AO5935" s="4">
        <v>0</v>
      </c>
      <c r="AP5935" s="4">
        <v>10</v>
      </c>
      <c r="AQ5935" s="4">
        <v>45</v>
      </c>
      <c r="AR5935" s="3" t="s">
        <v>62</v>
      </c>
      <c r="AS5935" s="3" t="s">
        <v>62</v>
      </c>
      <c r="AT5935" s="3" t="s">
        <v>62</v>
      </c>
      <c r="AV5935" s="6" t="str">
        <f>HYPERLINK("http://mcgill.on.worldcat.org/oclc/60838120","Catalog Record")</f>
        <v>Catalog Record</v>
      </c>
      <c r="AW5935" s="6" t="str">
        <f>HYPERLINK("http://www.worldcat.org/oclc/60838120","WorldCat Record")</f>
        <v>WorldCat Record</v>
      </c>
      <c r="AX5935" s="3" t="s">
        <v>57091</v>
      </c>
      <c r="AY5935" s="3" t="s">
        <v>57092</v>
      </c>
      <c r="AZ5935" s="3" t="s">
        <v>57093</v>
      </c>
      <c r="BA5935" s="3" t="s">
        <v>57093</v>
      </c>
      <c r="BB5935" s="3" t="s">
        <v>57094</v>
      </c>
      <c r="BC5935" s="3" t="s">
        <v>142</v>
      </c>
      <c r="BD5935" s="3" t="s">
        <v>68</v>
      </c>
      <c r="BE5935" s="3" t="s">
        <v>57095</v>
      </c>
      <c r="BF5935" s="3" t="s">
        <v>57094</v>
      </c>
      <c r="BG5935" s="3" t="s">
        <v>57096</v>
      </c>
    </row>
    <row r="5936" spans="1:59" ht="57" x14ac:dyDescent="0.45">
      <c r="A5936" s="2" t="s">
        <v>59</v>
      </c>
      <c r="B5936" s="2" t="s">
        <v>60</v>
      </c>
      <c r="C5936" s="2" t="s">
        <v>57097</v>
      </c>
      <c r="D5936" s="2" t="s">
        <v>57098</v>
      </c>
      <c r="E5936" s="2" t="s">
        <v>57099</v>
      </c>
      <c r="G5936" s="3" t="s">
        <v>62</v>
      </c>
      <c r="I5936" s="3" t="s">
        <v>62</v>
      </c>
      <c r="J5936" s="3" t="s">
        <v>62</v>
      </c>
      <c r="K5936" s="3" t="s">
        <v>63</v>
      </c>
      <c r="L5936" s="2" t="s">
        <v>42359</v>
      </c>
      <c r="M5936" s="2" t="s">
        <v>57100</v>
      </c>
      <c r="N5936" s="3" t="s">
        <v>149</v>
      </c>
      <c r="P5936" s="3" t="s">
        <v>110</v>
      </c>
      <c r="Q5936" s="2" t="s">
        <v>57101</v>
      </c>
      <c r="R5936" s="3" t="s">
        <v>66</v>
      </c>
      <c r="S5936" s="4">
        <v>9</v>
      </c>
      <c r="T5936" s="4">
        <v>9</v>
      </c>
      <c r="U5936" s="5" t="s">
        <v>11540</v>
      </c>
      <c r="V5936" s="5" t="s">
        <v>11540</v>
      </c>
      <c r="W5936" s="5" t="s">
        <v>67</v>
      </c>
      <c r="X5936" s="5" t="s">
        <v>67</v>
      </c>
      <c r="Y5936" s="4">
        <v>20</v>
      </c>
      <c r="Z5936" s="4">
        <v>4</v>
      </c>
      <c r="AA5936" s="4">
        <v>20</v>
      </c>
      <c r="AB5936" s="4">
        <v>1</v>
      </c>
      <c r="AC5936" s="4">
        <v>13</v>
      </c>
      <c r="AD5936" s="4">
        <v>8</v>
      </c>
      <c r="AE5936" s="4">
        <v>16</v>
      </c>
      <c r="AF5936" s="4">
        <v>0</v>
      </c>
      <c r="AG5936" s="4">
        <v>5</v>
      </c>
      <c r="AH5936" s="4">
        <v>7</v>
      </c>
      <c r="AI5936" s="4">
        <v>10</v>
      </c>
      <c r="AJ5936" s="4">
        <v>2</v>
      </c>
      <c r="AK5936" s="4">
        <v>8</v>
      </c>
      <c r="AL5936" s="4">
        <v>5</v>
      </c>
      <c r="AM5936" s="4">
        <v>5</v>
      </c>
      <c r="AN5936" s="4">
        <v>0</v>
      </c>
      <c r="AO5936" s="4">
        <v>0</v>
      </c>
      <c r="AP5936" s="4">
        <v>3</v>
      </c>
      <c r="AQ5936" s="4">
        <v>10</v>
      </c>
      <c r="AR5936" s="3" t="s">
        <v>62</v>
      </c>
      <c r="AS5936" s="3" t="s">
        <v>62</v>
      </c>
      <c r="AT5936" s="3" t="s">
        <v>62</v>
      </c>
      <c r="AV5936" s="6" t="str">
        <f>HYPERLINK("http://mcgill.on.worldcat.org/oclc/648101647","Catalog Record")</f>
        <v>Catalog Record</v>
      </c>
      <c r="AW5936" s="6" t="str">
        <f>HYPERLINK("http://www.worldcat.org/oclc/648101647","WorldCat Record")</f>
        <v>WorldCat Record</v>
      </c>
      <c r="AX5936" s="3" t="s">
        <v>57102</v>
      </c>
      <c r="AY5936" s="3" t="s">
        <v>57103</v>
      </c>
      <c r="AZ5936" s="3" t="s">
        <v>57104</v>
      </c>
      <c r="BA5936" s="3" t="s">
        <v>57104</v>
      </c>
      <c r="BB5936" s="3" t="s">
        <v>57105</v>
      </c>
      <c r="BC5936" s="3" t="s">
        <v>142</v>
      </c>
      <c r="BD5936" s="3" t="s">
        <v>68</v>
      </c>
      <c r="BE5936" s="3" t="s">
        <v>57106</v>
      </c>
      <c r="BF5936" s="3" t="s">
        <v>57105</v>
      </c>
      <c r="BG5936" s="3" t="s">
        <v>57107</v>
      </c>
    </row>
    <row r="5937" spans="1:59" ht="57" x14ac:dyDescent="0.45">
      <c r="A5937" s="2" t="s">
        <v>59</v>
      </c>
      <c r="B5937" s="2" t="s">
        <v>60</v>
      </c>
      <c r="C5937" s="2" t="s">
        <v>57108</v>
      </c>
      <c r="D5937" s="2" t="s">
        <v>57109</v>
      </c>
      <c r="E5937" s="2" t="s">
        <v>57110</v>
      </c>
      <c r="G5937" s="3" t="s">
        <v>62</v>
      </c>
      <c r="I5937" s="3" t="s">
        <v>62</v>
      </c>
      <c r="J5937" s="3" t="s">
        <v>62</v>
      </c>
      <c r="K5937" s="3" t="s">
        <v>63</v>
      </c>
      <c r="L5937" s="2" t="s">
        <v>42359</v>
      </c>
      <c r="M5937" s="2" t="s">
        <v>57111</v>
      </c>
      <c r="N5937" s="3" t="s">
        <v>1097</v>
      </c>
      <c r="P5937" s="3" t="s">
        <v>110</v>
      </c>
      <c r="Q5937" s="2" t="s">
        <v>57112</v>
      </c>
      <c r="R5937" s="3" t="s">
        <v>66</v>
      </c>
      <c r="S5937" s="4">
        <v>45</v>
      </c>
      <c r="T5937" s="4">
        <v>45</v>
      </c>
      <c r="U5937" s="5" t="s">
        <v>24972</v>
      </c>
      <c r="V5937" s="5" t="s">
        <v>24972</v>
      </c>
      <c r="W5937" s="5" t="s">
        <v>67</v>
      </c>
      <c r="X5937" s="5" t="s">
        <v>67</v>
      </c>
      <c r="Y5937" s="4">
        <v>63</v>
      </c>
      <c r="Z5937" s="4">
        <v>17</v>
      </c>
      <c r="AA5937" s="4">
        <v>32</v>
      </c>
      <c r="AB5937" s="4">
        <v>3</v>
      </c>
      <c r="AC5937" s="4">
        <v>16</v>
      </c>
      <c r="AD5937" s="4">
        <v>39</v>
      </c>
      <c r="AE5937" s="4">
        <v>47</v>
      </c>
      <c r="AF5937" s="4">
        <v>0</v>
      </c>
      <c r="AG5937" s="4">
        <v>6</v>
      </c>
      <c r="AH5937" s="4">
        <v>33</v>
      </c>
      <c r="AI5937" s="4">
        <v>35</v>
      </c>
      <c r="AJ5937" s="4">
        <v>10</v>
      </c>
      <c r="AK5937" s="4">
        <v>16</v>
      </c>
      <c r="AL5937" s="4">
        <v>23</v>
      </c>
      <c r="AM5937" s="4">
        <v>23</v>
      </c>
      <c r="AN5937" s="4">
        <v>0</v>
      </c>
      <c r="AO5937" s="4">
        <v>0</v>
      </c>
      <c r="AP5937" s="4">
        <v>13</v>
      </c>
      <c r="AQ5937" s="4">
        <v>20</v>
      </c>
      <c r="AR5937" s="3" t="s">
        <v>62</v>
      </c>
      <c r="AS5937" s="3" t="s">
        <v>62</v>
      </c>
      <c r="AT5937" s="3" t="s">
        <v>62</v>
      </c>
      <c r="AV5937" s="6" t="str">
        <f>HYPERLINK("http://mcgill.on.worldcat.org/oclc/56963190","Catalog Record")</f>
        <v>Catalog Record</v>
      </c>
      <c r="AW5937" s="6" t="str">
        <f>HYPERLINK("http://www.worldcat.org/oclc/56963190","WorldCat Record")</f>
        <v>WorldCat Record</v>
      </c>
      <c r="AX5937" s="3" t="s">
        <v>57113</v>
      </c>
      <c r="AY5937" s="3" t="s">
        <v>57114</v>
      </c>
      <c r="AZ5937" s="3" t="s">
        <v>57115</v>
      </c>
      <c r="BA5937" s="3" t="s">
        <v>57115</v>
      </c>
      <c r="BB5937" s="3" t="s">
        <v>57116</v>
      </c>
      <c r="BC5937" s="3" t="s">
        <v>142</v>
      </c>
      <c r="BD5937" s="3" t="s">
        <v>308</v>
      </c>
      <c r="BE5937" s="3" t="s">
        <v>57117</v>
      </c>
      <c r="BF5937" s="3" t="s">
        <v>57116</v>
      </c>
      <c r="BG5937" s="3" t="s">
        <v>57118</v>
      </c>
    </row>
    <row r="5938" spans="1:59" ht="57" x14ac:dyDescent="0.45">
      <c r="A5938" s="2" t="s">
        <v>59</v>
      </c>
      <c r="B5938" s="2" t="s">
        <v>60</v>
      </c>
      <c r="C5938" s="2" t="s">
        <v>57119</v>
      </c>
      <c r="D5938" s="2" t="s">
        <v>57120</v>
      </c>
      <c r="E5938" s="2" t="s">
        <v>57121</v>
      </c>
      <c r="G5938" s="3" t="s">
        <v>62</v>
      </c>
      <c r="I5938" s="3" t="s">
        <v>62</v>
      </c>
      <c r="J5938" s="3" t="s">
        <v>62</v>
      </c>
      <c r="K5938" s="3" t="s">
        <v>63</v>
      </c>
      <c r="L5938" s="2" t="s">
        <v>30028</v>
      </c>
      <c r="M5938" s="2" t="s">
        <v>3699</v>
      </c>
      <c r="N5938" s="3" t="s">
        <v>167</v>
      </c>
      <c r="P5938" s="3" t="s">
        <v>65</v>
      </c>
      <c r="Q5938" s="2" t="s">
        <v>57122</v>
      </c>
      <c r="R5938" s="3" t="s">
        <v>66</v>
      </c>
      <c r="S5938" s="4">
        <v>4</v>
      </c>
      <c r="T5938" s="4">
        <v>4</v>
      </c>
      <c r="U5938" s="5" t="s">
        <v>23508</v>
      </c>
      <c r="V5938" s="5" t="s">
        <v>23508</v>
      </c>
      <c r="W5938" s="5" t="s">
        <v>67</v>
      </c>
      <c r="X5938" s="5" t="s">
        <v>67</v>
      </c>
      <c r="Y5938" s="4">
        <v>140</v>
      </c>
      <c r="Z5938" s="4">
        <v>4</v>
      </c>
      <c r="AA5938" s="4">
        <v>75</v>
      </c>
      <c r="AB5938" s="4">
        <v>1</v>
      </c>
      <c r="AC5938" s="4">
        <v>14</v>
      </c>
      <c r="AD5938" s="4">
        <v>60</v>
      </c>
      <c r="AE5938" s="4">
        <v>115</v>
      </c>
      <c r="AF5938" s="4">
        <v>0</v>
      </c>
      <c r="AG5938" s="4">
        <v>8</v>
      </c>
      <c r="AH5938" s="4">
        <v>56</v>
      </c>
      <c r="AI5938" s="4">
        <v>83</v>
      </c>
      <c r="AJ5938" s="4">
        <v>3</v>
      </c>
      <c r="AK5938" s="4">
        <v>18</v>
      </c>
      <c r="AL5938" s="4">
        <v>40</v>
      </c>
      <c r="AM5938" s="4">
        <v>48</v>
      </c>
      <c r="AN5938" s="4">
        <v>0</v>
      </c>
      <c r="AO5938" s="4">
        <v>0</v>
      </c>
      <c r="AP5938" s="4">
        <v>3</v>
      </c>
      <c r="AQ5938" s="4">
        <v>38</v>
      </c>
      <c r="AR5938" s="3" t="s">
        <v>62</v>
      </c>
      <c r="AS5938" s="3" t="s">
        <v>62</v>
      </c>
      <c r="AT5938" s="3" t="s">
        <v>62</v>
      </c>
      <c r="AV5938" s="6" t="str">
        <f>HYPERLINK("http://mcgill.on.worldcat.org/oclc/39849455","Catalog Record")</f>
        <v>Catalog Record</v>
      </c>
      <c r="AW5938" s="6" t="str">
        <f>HYPERLINK("http://www.worldcat.org/oclc/39849455","WorldCat Record")</f>
        <v>WorldCat Record</v>
      </c>
      <c r="AX5938" s="3" t="s">
        <v>57123</v>
      </c>
      <c r="AY5938" s="3" t="s">
        <v>57124</v>
      </c>
      <c r="AZ5938" s="3" t="s">
        <v>57125</v>
      </c>
      <c r="BA5938" s="3" t="s">
        <v>57125</v>
      </c>
      <c r="BB5938" s="3" t="s">
        <v>57126</v>
      </c>
      <c r="BC5938" s="3" t="s">
        <v>142</v>
      </c>
      <c r="BD5938" s="3" t="s">
        <v>68</v>
      </c>
      <c r="BE5938" s="3" t="s">
        <v>57127</v>
      </c>
      <c r="BF5938" s="3" t="s">
        <v>57126</v>
      </c>
      <c r="BG5938" s="3" t="s">
        <v>57128</v>
      </c>
    </row>
    <row r="5939" spans="1:59" ht="57" x14ac:dyDescent="0.45">
      <c r="A5939" s="2" t="s">
        <v>59</v>
      </c>
      <c r="B5939" s="2" t="s">
        <v>60</v>
      </c>
      <c r="C5939" s="2" t="s">
        <v>57129</v>
      </c>
      <c r="D5939" s="2" t="s">
        <v>57130</v>
      </c>
      <c r="E5939" s="2" t="s">
        <v>57131</v>
      </c>
      <c r="G5939" s="3" t="s">
        <v>62</v>
      </c>
      <c r="I5939" s="3" t="s">
        <v>62</v>
      </c>
      <c r="J5939" s="3" t="s">
        <v>62</v>
      </c>
      <c r="K5939" s="3" t="s">
        <v>63</v>
      </c>
      <c r="L5939" s="2" t="s">
        <v>57132</v>
      </c>
      <c r="M5939" s="2" t="s">
        <v>2764</v>
      </c>
      <c r="N5939" s="3" t="s">
        <v>1097</v>
      </c>
      <c r="P5939" s="3" t="s">
        <v>65</v>
      </c>
      <c r="Q5939" s="2" t="s">
        <v>57133</v>
      </c>
      <c r="R5939" s="3" t="s">
        <v>66</v>
      </c>
      <c r="S5939" s="4">
        <v>15</v>
      </c>
      <c r="T5939" s="4">
        <v>15</v>
      </c>
      <c r="U5939" s="5" t="s">
        <v>8465</v>
      </c>
      <c r="V5939" s="5" t="s">
        <v>8465</v>
      </c>
      <c r="W5939" s="5" t="s">
        <v>67</v>
      </c>
      <c r="X5939" s="5" t="s">
        <v>67</v>
      </c>
      <c r="Y5939" s="4">
        <v>179</v>
      </c>
      <c r="Z5939" s="4">
        <v>11</v>
      </c>
      <c r="AA5939" s="4">
        <v>95</v>
      </c>
      <c r="AB5939" s="4">
        <v>1</v>
      </c>
      <c r="AC5939" s="4">
        <v>19</v>
      </c>
      <c r="AD5939" s="4">
        <v>75</v>
      </c>
      <c r="AE5939" s="4">
        <v>135</v>
      </c>
      <c r="AF5939" s="4">
        <v>0</v>
      </c>
      <c r="AG5939" s="4">
        <v>9</v>
      </c>
      <c r="AH5939" s="4">
        <v>68</v>
      </c>
      <c r="AI5939" s="4">
        <v>87</v>
      </c>
      <c r="AJ5939" s="4">
        <v>7</v>
      </c>
      <c r="AK5939" s="4">
        <v>24</v>
      </c>
      <c r="AL5939" s="4">
        <v>40</v>
      </c>
      <c r="AM5939" s="4">
        <v>47</v>
      </c>
      <c r="AN5939" s="4">
        <v>0</v>
      </c>
      <c r="AO5939" s="4">
        <v>0</v>
      </c>
      <c r="AP5939" s="4">
        <v>10</v>
      </c>
      <c r="AQ5939" s="4">
        <v>54</v>
      </c>
      <c r="AR5939" s="3" t="s">
        <v>62</v>
      </c>
      <c r="AS5939" s="3" t="s">
        <v>62</v>
      </c>
      <c r="AT5939" s="3" t="s">
        <v>62</v>
      </c>
      <c r="AV5939" s="6" t="str">
        <f>HYPERLINK("http://mcgill.on.worldcat.org/oclc/52312631","Catalog Record")</f>
        <v>Catalog Record</v>
      </c>
      <c r="AW5939" s="6" t="str">
        <f>HYPERLINK("http://www.worldcat.org/oclc/52312631","WorldCat Record")</f>
        <v>WorldCat Record</v>
      </c>
      <c r="AX5939" s="3" t="s">
        <v>57134</v>
      </c>
      <c r="AY5939" s="3" t="s">
        <v>57135</v>
      </c>
      <c r="AZ5939" s="3" t="s">
        <v>57136</v>
      </c>
      <c r="BA5939" s="3" t="s">
        <v>57136</v>
      </c>
      <c r="BB5939" s="3" t="s">
        <v>57137</v>
      </c>
      <c r="BC5939" s="3" t="s">
        <v>142</v>
      </c>
      <c r="BD5939" s="3" t="s">
        <v>68</v>
      </c>
      <c r="BE5939" s="3" t="s">
        <v>57138</v>
      </c>
      <c r="BF5939" s="3" t="s">
        <v>57137</v>
      </c>
      <c r="BG5939" s="3" t="s">
        <v>57139</v>
      </c>
    </row>
    <row r="5940" spans="1:59" ht="57" x14ac:dyDescent="0.45">
      <c r="A5940" s="2" t="s">
        <v>59</v>
      </c>
      <c r="B5940" s="2" t="s">
        <v>60</v>
      </c>
      <c r="C5940" s="2" t="s">
        <v>57140</v>
      </c>
      <c r="D5940" s="2" t="s">
        <v>57141</v>
      </c>
      <c r="E5940" s="2" t="s">
        <v>57142</v>
      </c>
      <c r="G5940" s="3" t="s">
        <v>62</v>
      </c>
      <c r="I5940" s="3" t="s">
        <v>62</v>
      </c>
      <c r="J5940" s="3" t="s">
        <v>62</v>
      </c>
      <c r="K5940" s="3" t="s">
        <v>63</v>
      </c>
      <c r="L5940" s="2" t="s">
        <v>4091</v>
      </c>
      <c r="M5940" s="2" t="s">
        <v>57143</v>
      </c>
      <c r="N5940" s="3" t="s">
        <v>918</v>
      </c>
      <c r="P5940" s="3" t="s">
        <v>65</v>
      </c>
      <c r="Q5940" s="2" t="s">
        <v>57144</v>
      </c>
      <c r="R5940" s="3" t="s">
        <v>66</v>
      </c>
      <c r="S5940" s="4">
        <v>9</v>
      </c>
      <c r="T5940" s="4">
        <v>9</v>
      </c>
      <c r="U5940" s="5" t="s">
        <v>8465</v>
      </c>
      <c r="V5940" s="5" t="s">
        <v>8465</v>
      </c>
      <c r="W5940" s="5" t="s">
        <v>67</v>
      </c>
      <c r="X5940" s="5" t="s">
        <v>67</v>
      </c>
      <c r="Y5940" s="4">
        <v>166</v>
      </c>
      <c r="Z5940" s="4">
        <v>13</v>
      </c>
      <c r="AA5940" s="4">
        <v>105</v>
      </c>
      <c r="AB5940" s="4">
        <v>1</v>
      </c>
      <c r="AC5940" s="4">
        <v>17</v>
      </c>
      <c r="AD5940" s="4">
        <v>71</v>
      </c>
      <c r="AE5940" s="4">
        <v>131</v>
      </c>
      <c r="AF5940" s="4">
        <v>0</v>
      </c>
      <c r="AG5940" s="4">
        <v>8</v>
      </c>
      <c r="AH5940" s="4">
        <v>64</v>
      </c>
      <c r="AI5940" s="4">
        <v>94</v>
      </c>
      <c r="AJ5940" s="4">
        <v>8</v>
      </c>
      <c r="AK5940" s="4">
        <v>22</v>
      </c>
      <c r="AL5940" s="4">
        <v>36</v>
      </c>
      <c r="AM5940" s="4">
        <v>45</v>
      </c>
      <c r="AN5940" s="4">
        <v>0</v>
      </c>
      <c r="AO5940" s="4">
        <v>0</v>
      </c>
      <c r="AP5940" s="4">
        <v>11</v>
      </c>
      <c r="AQ5940" s="4">
        <v>45</v>
      </c>
      <c r="AR5940" s="3" t="s">
        <v>62</v>
      </c>
      <c r="AS5940" s="3" t="s">
        <v>62</v>
      </c>
      <c r="AT5940" s="3" t="s">
        <v>61</v>
      </c>
      <c r="AU5940" s="6" t="str">
        <f>HYPERLINK("http://catalog.hathitrust.org/Record/004346596","HathiTrust Record")</f>
        <v>HathiTrust Record</v>
      </c>
      <c r="AV5940" s="6" t="str">
        <f>HYPERLINK("http://mcgill.on.worldcat.org/oclc/52937617","Catalog Record")</f>
        <v>Catalog Record</v>
      </c>
      <c r="AW5940" s="6" t="str">
        <f>HYPERLINK("http://www.worldcat.org/oclc/52937617","WorldCat Record")</f>
        <v>WorldCat Record</v>
      </c>
      <c r="AX5940" s="3" t="s">
        <v>57145</v>
      </c>
      <c r="AY5940" s="3" t="s">
        <v>57146</v>
      </c>
      <c r="AZ5940" s="3" t="s">
        <v>57147</v>
      </c>
      <c r="BA5940" s="3" t="s">
        <v>57147</v>
      </c>
      <c r="BB5940" s="3" t="s">
        <v>57148</v>
      </c>
      <c r="BC5940" s="3" t="s">
        <v>142</v>
      </c>
      <c r="BD5940" s="3" t="s">
        <v>68</v>
      </c>
      <c r="BE5940" s="3" t="s">
        <v>57149</v>
      </c>
      <c r="BF5940" s="3" t="s">
        <v>57148</v>
      </c>
      <c r="BG5940" s="3" t="s">
        <v>57150</v>
      </c>
    </row>
    <row r="5941" spans="1:59" ht="57" x14ac:dyDescent="0.45">
      <c r="A5941" s="2" t="s">
        <v>59</v>
      </c>
      <c r="B5941" s="2" t="s">
        <v>60</v>
      </c>
      <c r="C5941" s="2" t="s">
        <v>57151</v>
      </c>
      <c r="D5941" s="2" t="s">
        <v>57152</v>
      </c>
      <c r="E5941" s="2" t="s">
        <v>57153</v>
      </c>
      <c r="G5941" s="3" t="s">
        <v>62</v>
      </c>
      <c r="I5941" s="3" t="s">
        <v>62</v>
      </c>
      <c r="J5941" s="3" t="s">
        <v>62</v>
      </c>
      <c r="K5941" s="3" t="s">
        <v>63</v>
      </c>
      <c r="M5941" s="2" t="s">
        <v>50840</v>
      </c>
      <c r="N5941" s="3" t="s">
        <v>1855</v>
      </c>
      <c r="P5941" s="3" t="s">
        <v>65</v>
      </c>
      <c r="Q5941" s="2" t="s">
        <v>57154</v>
      </c>
      <c r="R5941" s="3" t="s">
        <v>66</v>
      </c>
      <c r="S5941" s="4">
        <v>6</v>
      </c>
      <c r="T5941" s="4">
        <v>6</v>
      </c>
      <c r="U5941" s="5" t="s">
        <v>8982</v>
      </c>
      <c r="V5941" s="5" t="s">
        <v>8982</v>
      </c>
      <c r="W5941" s="5" t="s">
        <v>67</v>
      </c>
      <c r="X5941" s="5" t="s">
        <v>67</v>
      </c>
      <c r="Y5941" s="4">
        <v>98</v>
      </c>
      <c r="Z5941" s="4">
        <v>10</v>
      </c>
      <c r="AA5941" s="4">
        <v>99</v>
      </c>
      <c r="AB5941" s="4">
        <v>1</v>
      </c>
      <c r="AC5941" s="4">
        <v>17</v>
      </c>
      <c r="AD5941" s="4">
        <v>53</v>
      </c>
      <c r="AE5941" s="4">
        <v>122</v>
      </c>
      <c r="AF5941" s="4">
        <v>0</v>
      </c>
      <c r="AG5941" s="4">
        <v>8</v>
      </c>
      <c r="AH5941" s="4">
        <v>50</v>
      </c>
      <c r="AI5941" s="4">
        <v>86</v>
      </c>
      <c r="AJ5941" s="4">
        <v>8</v>
      </c>
      <c r="AK5941" s="4">
        <v>22</v>
      </c>
      <c r="AL5941" s="4">
        <v>29</v>
      </c>
      <c r="AM5941" s="4">
        <v>43</v>
      </c>
      <c r="AN5941" s="4">
        <v>0</v>
      </c>
      <c r="AO5941" s="4">
        <v>0</v>
      </c>
      <c r="AP5941" s="4">
        <v>8</v>
      </c>
      <c r="AQ5941" s="4">
        <v>44</v>
      </c>
      <c r="AR5941" s="3" t="s">
        <v>62</v>
      </c>
      <c r="AS5941" s="3" t="s">
        <v>62</v>
      </c>
      <c r="AT5941" s="3" t="s">
        <v>61</v>
      </c>
      <c r="AU5941" s="6" t="str">
        <f>HYPERLINK("http://catalog.hathitrust.org/Record/005255934","HathiTrust Record")</f>
        <v>HathiTrust Record</v>
      </c>
      <c r="AV5941" s="6" t="str">
        <f>HYPERLINK("http://mcgill.on.worldcat.org/oclc/66418084","Catalog Record")</f>
        <v>Catalog Record</v>
      </c>
      <c r="AW5941" s="6" t="str">
        <f>HYPERLINK("http://www.worldcat.org/oclc/66418084","WorldCat Record")</f>
        <v>WorldCat Record</v>
      </c>
      <c r="AX5941" s="3" t="s">
        <v>57155</v>
      </c>
      <c r="AY5941" s="3" t="s">
        <v>57156</v>
      </c>
      <c r="AZ5941" s="3" t="s">
        <v>57157</v>
      </c>
      <c r="BA5941" s="3" t="s">
        <v>57157</v>
      </c>
      <c r="BB5941" s="3" t="s">
        <v>57158</v>
      </c>
      <c r="BC5941" s="3" t="s">
        <v>142</v>
      </c>
      <c r="BD5941" s="3" t="s">
        <v>68</v>
      </c>
      <c r="BE5941" s="3" t="s">
        <v>57159</v>
      </c>
      <c r="BF5941" s="3" t="s">
        <v>57158</v>
      </c>
      <c r="BG5941" s="3" t="s">
        <v>57160</v>
      </c>
    </row>
    <row r="5942" spans="1:59" ht="57" x14ac:dyDescent="0.45">
      <c r="A5942" s="2" t="s">
        <v>59</v>
      </c>
      <c r="B5942" s="2" t="s">
        <v>60</v>
      </c>
      <c r="C5942" s="2" t="s">
        <v>57161</v>
      </c>
      <c r="D5942" s="2" t="s">
        <v>57162</v>
      </c>
      <c r="E5942" s="2" t="s">
        <v>57163</v>
      </c>
      <c r="G5942" s="3" t="s">
        <v>62</v>
      </c>
      <c r="I5942" s="3" t="s">
        <v>62</v>
      </c>
      <c r="J5942" s="3" t="s">
        <v>62</v>
      </c>
      <c r="K5942" s="3" t="s">
        <v>63</v>
      </c>
      <c r="M5942" s="2" t="s">
        <v>57164</v>
      </c>
      <c r="N5942" s="3" t="s">
        <v>5180</v>
      </c>
      <c r="P5942" s="3" t="s">
        <v>65</v>
      </c>
      <c r="Q5942" s="2" t="s">
        <v>57165</v>
      </c>
      <c r="R5942" s="3" t="s">
        <v>66</v>
      </c>
      <c r="S5942" s="4">
        <v>0</v>
      </c>
      <c r="T5942" s="4">
        <v>0</v>
      </c>
      <c r="W5942" s="5" t="s">
        <v>67</v>
      </c>
      <c r="X5942" s="5" t="s">
        <v>67</v>
      </c>
      <c r="Y5942" s="4">
        <v>107</v>
      </c>
      <c r="Z5942" s="4">
        <v>47</v>
      </c>
      <c r="AA5942" s="4">
        <v>72</v>
      </c>
      <c r="AB5942" s="4">
        <v>2</v>
      </c>
      <c r="AC5942" s="4">
        <v>11</v>
      </c>
      <c r="AD5942" s="4">
        <v>55</v>
      </c>
      <c r="AE5942" s="4">
        <v>72</v>
      </c>
      <c r="AF5942" s="4">
        <v>1</v>
      </c>
      <c r="AG5942" s="4">
        <v>6</v>
      </c>
      <c r="AH5942" s="4">
        <v>31</v>
      </c>
      <c r="AI5942" s="4">
        <v>38</v>
      </c>
      <c r="AJ5942" s="4">
        <v>13</v>
      </c>
      <c r="AK5942" s="4">
        <v>20</v>
      </c>
      <c r="AL5942" s="4">
        <v>20</v>
      </c>
      <c r="AM5942" s="4">
        <v>23</v>
      </c>
      <c r="AN5942" s="4">
        <v>0</v>
      </c>
      <c r="AO5942" s="4">
        <v>0</v>
      </c>
      <c r="AP5942" s="4">
        <v>28</v>
      </c>
      <c r="AQ5942" s="4">
        <v>41</v>
      </c>
      <c r="AR5942" s="3" t="s">
        <v>61</v>
      </c>
      <c r="AS5942" s="3" t="s">
        <v>62</v>
      </c>
      <c r="AT5942" s="3" t="s">
        <v>62</v>
      </c>
      <c r="AV5942" s="6" t="str">
        <f>HYPERLINK("http://mcgill.on.worldcat.org/oclc/988155117","Catalog Record")</f>
        <v>Catalog Record</v>
      </c>
      <c r="AW5942" s="6" t="str">
        <f>HYPERLINK("http://www.worldcat.org/oclc/988155117","WorldCat Record")</f>
        <v>WorldCat Record</v>
      </c>
      <c r="AX5942" s="3" t="s">
        <v>57166</v>
      </c>
      <c r="AY5942" s="3" t="s">
        <v>57167</v>
      </c>
      <c r="AZ5942" s="3" t="s">
        <v>57168</v>
      </c>
      <c r="BA5942" s="3" t="s">
        <v>57168</v>
      </c>
      <c r="BB5942" s="3" t="s">
        <v>57169</v>
      </c>
      <c r="BC5942" s="3" t="s">
        <v>142</v>
      </c>
      <c r="BD5942" s="3" t="s">
        <v>68</v>
      </c>
      <c r="BE5942" s="3" t="s">
        <v>57170</v>
      </c>
      <c r="BF5942" s="3" t="s">
        <v>57169</v>
      </c>
      <c r="BG5942" s="3" t="s">
        <v>57171</v>
      </c>
    </row>
    <row r="5943" spans="1:59" ht="57" x14ac:dyDescent="0.45">
      <c r="A5943" s="2" t="s">
        <v>59</v>
      </c>
      <c r="B5943" s="2" t="s">
        <v>60</v>
      </c>
      <c r="C5943" s="2" t="s">
        <v>57172</v>
      </c>
      <c r="D5943" s="2" t="s">
        <v>57173</v>
      </c>
      <c r="E5943" s="2" t="s">
        <v>57174</v>
      </c>
      <c r="G5943" s="3" t="s">
        <v>62</v>
      </c>
      <c r="I5943" s="3" t="s">
        <v>62</v>
      </c>
      <c r="J5943" s="3" t="s">
        <v>62</v>
      </c>
      <c r="K5943" s="3" t="s">
        <v>63</v>
      </c>
      <c r="L5943" s="2" t="s">
        <v>57175</v>
      </c>
      <c r="M5943" s="2" t="s">
        <v>57176</v>
      </c>
      <c r="N5943" s="3" t="s">
        <v>1155</v>
      </c>
      <c r="P5943" s="3" t="s">
        <v>65</v>
      </c>
      <c r="R5943" s="3" t="s">
        <v>66</v>
      </c>
      <c r="S5943" s="4">
        <v>0</v>
      </c>
      <c r="T5943" s="4">
        <v>0</v>
      </c>
      <c r="W5943" s="5" t="s">
        <v>67</v>
      </c>
      <c r="X5943" s="5" t="s">
        <v>67</v>
      </c>
      <c r="Y5943" s="4">
        <v>116</v>
      </c>
      <c r="Z5943" s="4">
        <v>25</v>
      </c>
      <c r="AA5943" s="4">
        <v>117</v>
      </c>
      <c r="AB5943" s="4">
        <v>2</v>
      </c>
      <c r="AC5943" s="4">
        <v>20</v>
      </c>
      <c r="AD5943" s="4">
        <v>70</v>
      </c>
      <c r="AE5943" s="4">
        <v>129</v>
      </c>
      <c r="AF5943" s="4">
        <v>1</v>
      </c>
      <c r="AG5943" s="4">
        <v>8</v>
      </c>
      <c r="AH5943" s="4">
        <v>59</v>
      </c>
      <c r="AI5943" s="4">
        <v>87</v>
      </c>
      <c r="AJ5943" s="4">
        <v>18</v>
      </c>
      <c r="AK5943" s="4">
        <v>26</v>
      </c>
      <c r="AL5943" s="4">
        <v>31</v>
      </c>
      <c r="AM5943" s="4">
        <v>45</v>
      </c>
      <c r="AN5943" s="4">
        <v>0</v>
      </c>
      <c r="AO5943" s="4">
        <v>0</v>
      </c>
      <c r="AP5943" s="4">
        <v>19</v>
      </c>
      <c r="AQ5943" s="4">
        <v>51</v>
      </c>
      <c r="AR5943" s="3" t="s">
        <v>61</v>
      </c>
      <c r="AS5943" s="3" t="s">
        <v>62</v>
      </c>
      <c r="AT5943" s="3" t="s">
        <v>62</v>
      </c>
      <c r="AV5943" s="6" t="str">
        <f>HYPERLINK("http://mcgill.on.worldcat.org/oclc/779683168","Catalog Record")</f>
        <v>Catalog Record</v>
      </c>
      <c r="AW5943" s="6" t="str">
        <f>HYPERLINK("http://www.worldcat.org/oclc/779683168","WorldCat Record")</f>
        <v>WorldCat Record</v>
      </c>
      <c r="AX5943" s="3" t="s">
        <v>57177</v>
      </c>
      <c r="AY5943" s="3" t="s">
        <v>57178</v>
      </c>
      <c r="AZ5943" s="3" t="s">
        <v>57179</v>
      </c>
      <c r="BA5943" s="3" t="s">
        <v>57179</v>
      </c>
      <c r="BB5943" s="3" t="s">
        <v>57180</v>
      </c>
      <c r="BC5943" s="3" t="s">
        <v>142</v>
      </c>
      <c r="BD5943" s="3" t="s">
        <v>68</v>
      </c>
      <c r="BE5943" s="3" t="s">
        <v>57181</v>
      </c>
      <c r="BF5943" s="3" t="s">
        <v>57180</v>
      </c>
      <c r="BG5943" s="3" t="s">
        <v>57182</v>
      </c>
    </row>
    <row r="5944" spans="1:59" ht="57" x14ac:dyDescent="0.45">
      <c r="A5944" s="2" t="s">
        <v>59</v>
      </c>
      <c r="B5944" s="2" t="s">
        <v>60</v>
      </c>
      <c r="C5944" s="2" t="s">
        <v>57183</v>
      </c>
      <c r="D5944" s="2" t="s">
        <v>57184</v>
      </c>
      <c r="E5944" s="2" t="s">
        <v>57185</v>
      </c>
      <c r="G5944" s="3" t="s">
        <v>62</v>
      </c>
      <c r="I5944" s="3" t="s">
        <v>62</v>
      </c>
      <c r="J5944" s="3" t="s">
        <v>62</v>
      </c>
      <c r="K5944" s="3" t="s">
        <v>63</v>
      </c>
      <c r="L5944" s="2" t="s">
        <v>12529</v>
      </c>
      <c r="M5944" s="2" t="s">
        <v>57186</v>
      </c>
      <c r="N5944" s="3" t="s">
        <v>1253</v>
      </c>
      <c r="P5944" s="3" t="s">
        <v>65</v>
      </c>
      <c r="R5944" s="3" t="s">
        <v>66</v>
      </c>
      <c r="S5944" s="4">
        <v>41</v>
      </c>
      <c r="T5944" s="4">
        <v>41</v>
      </c>
      <c r="U5944" s="5" t="s">
        <v>20304</v>
      </c>
      <c r="V5944" s="5" t="s">
        <v>20304</v>
      </c>
      <c r="W5944" s="5" t="s">
        <v>67</v>
      </c>
      <c r="X5944" s="5" t="s">
        <v>67</v>
      </c>
      <c r="Y5944" s="4">
        <v>516</v>
      </c>
      <c r="Z5944" s="4">
        <v>21</v>
      </c>
      <c r="AA5944" s="4">
        <v>98</v>
      </c>
      <c r="AB5944" s="4">
        <v>2</v>
      </c>
      <c r="AC5944" s="4">
        <v>17</v>
      </c>
      <c r="AD5944" s="4">
        <v>110</v>
      </c>
      <c r="AE5944" s="4">
        <v>149</v>
      </c>
      <c r="AF5944" s="4">
        <v>1</v>
      </c>
      <c r="AG5944" s="4">
        <v>8</v>
      </c>
      <c r="AH5944" s="4">
        <v>96</v>
      </c>
      <c r="AI5944" s="4">
        <v>107</v>
      </c>
      <c r="AJ5944" s="4">
        <v>15</v>
      </c>
      <c r="AK5944" s="4">
        <v>26</v>
      </c>
      <c r="AL5944" s="4">
        <v>53</v>
      </c>
      <c r="AM5944" s="4">
        <v>56</v>
      </c>
      <c r="AN5944" s="4">
        <v>0</v>
      </c>
      <c r="AO5944" s="4">
        <v>0</v>
      </c>
      <c r="AP5944" s="4">
        <v>19</v>
      </c>
      <c r="AQ5944" s="4">
        <v>51</v>
      </c>
      <c r="AR5944" s="3" t="s">
        <v>62</v>
      </c>
      <c r="AS5944" s="3" t="s">
        <v>62</v>
      </c>
      <c r="AT5944" s="3" t="s">
        <v>61</v>
      </c>
      <c r="AU5944" s="6" t="str">
        <f>HYPERLINK("http://catalog.hathitrust.org/Record/003118290","HathiTrust Record")</f>
        <v>HathiTrust Record</v>
      </c>
      <c r="AV5944" s="6" t="str">
        <f>HYPERLINK("http://mcgill.on.worldcat.org/oclc/34782797","Catalog Record")</f>
        <v>Catalog Record</v>
      </c>
      <c r="AW5944" s="6" t="str">
        <f>HYPERLINK("http://www.worldcat.org/oclc/34782797","WorldCat Record")</f>
        <v>WorldCat Record</v>
      </c>
      <c r="AX5944" s="3" t="s">
        <v>57187</v>
      </c>
      <c r="AY5944" s="3" t="s">
        <v>57188</v>
      </c>
      <c r="AZ5944" s="3" t="s">
        <v>57189</v>
      </c>
      <c r="BA5944" s="3" t="s">
        <v>57189</v>
      </c>
      <c r="BB5944" s="3" t="s">
        <v>57190</v>
      </c>
      <c r="BC5944" s="3" t="s">
        <v>142</v>
      </c>
      <c r="BD5944" s="3" t="s">
        <v>68</v>
      </c>
      <c r="BE5944" s="3" t="s">
        <v>57191</v>
      </c>
      <c r="BF5944" s="3" t="s">
        <v>57190</v>
      </c>
      <c r="BG5944" s="3" t="s">
        <v>57192</v>
      </c>
    </row>
    <row r="5945" spans="1:59" ht="57" x14ac:dyDescent="0.45">
      <c r="A5945" s="2" t="s">
        <v>59</v>
      </c>
      <c r="B5945" s="2" t="s">
        <v>60</v>
      </c>
      <c r="C5945" s="2" t="s">
        <v>57193</v>
      </c>
      <c r="D5945" s="2" t="s">
        <v>57194</v>
      </c>
      <c r="E5945" s="2" t="s">
        <v>57195</v>
      </c>
      <c r="G5945" s="3" t="s">
        <v>61</v>
      </c>
      <c r="I5945" s="3" t="s">
        <v>62</v>
      </c>
      <c r="J5945" s="3" t="s">
        <v>62</v>
      </c>
      <c r="K5945" s="3" t="s">
        <v>63</v>
      </c>
      <c r="M5945" s="2" t="s">
        <v>57196</v>
      </c>
      <c r="N5945" s="3" t="s">
        <v>1604</v>
      </c>
      <c r="P5945" s="3" t="s">
        <v>65</v>
      </c>
      <c r="R5945" s="3" t="s">
        <v>66</v>
      </c>
      <c r="S5945" s="4">
        <v>26</v>
      </c>
      <c r="T5945" s="4">
        <v>26</v>
      </c>
      <c r="U5945" s="5" t="s">
        <v>751</v>
      </c>
      <c r="V5945" s="5" t="s">
        <v>751</v>
      </c>
      <c r="W5945" s="5" t="s">
        <v>67</v>
      </c>
      <c r="X5945" s="5" t="s">
        <v>67</v>
      </c>
      <c r="Y5945" s="4">
        <v>270</v>
      </c>
      <c r="Z5945" s="4">
        <v>8</v>
      </c>
      <c r="AA5945" s="4">
        <v>9</v>
      </c>
      <c r="AB5945" s="4">
        <v>1</v>
      </c>
      <c r="AC5945" s="4">
        <v>2</v>
      </c>
      <c r="AD5945" s="4">
        <v>88</v>
      </c>
      <c r="AE5945" s="4">
        <v>88</v>
      </c>
      <c r="AF5945" s="4">
        <v>0</v>
      </c>
      <c r="AG5945" s="4">
        <v>0</v>
      </c>
      <c r="AH5945" s="4">
        <v>83</v>
      </c>
      <c r="AI5945" s="4">
        <v>83</v>
      </c>
      <c r="AJ5945" s="4">
        <v>5</v>
      </c>
      <c r="AK5945" s="4">
        <v>5</v>
      </c>
      <c r="AL5945" s="4">
        <v>51</v>
      </c>
      <c r="AM5945" s="4">
        <v>51</v>
      </c>
      <c r="AN5945" s="4">
        <v>0</v>
      </c>
      <c r="AO5945" s="4">
        <v>0</v>
      </c>
      <c r="AP5945" s="4">
        <v>6</v>
      </c>
      <c r="AQ5945" s="4">
        <v>6</v>
      </c>
      <c r="AR5945" s="3" t="s">
        <v>62</v>
      </c>
      <c r="AS5945" s="3" t="s">
        <v>62</v>
      </c>
      <c r="AT5945" s="3" t="s">
        <v>62</v>
      </c>
      <c r="AV5945" s="6" t="str">
        <f>HYPERLINK("http://mcgill.on.worldcat.org/oclc/29224873","Catalog Record")</f>
        <v>Catalog Record</v>
      </c>
      <c r="AW5945" s="6" t="str">
        <f>HYPERLINK("http://www.worldcat.org/oclc/29224873","WorldCat Record")</f>
        <v>WorldCat Record</v>
      </c>
      <c r="AX5945" s="3" t="s">
        <v>57197</v>
      </c>
      <c r="AY5945" s="3" t="s">
        <v>57198</v>
      </c>
      <c r="AZ5945" s="3" t="s">
        <v>57199</v>
      </c>
      <c r="BA5945" s="3" t="s">
        <v>57199</v>
      </c>
      <c r="BB5945" s="3" t="s">
        <v>57200</v>
      </c>
      <c r="BC5945" s="3" t="s">
        <v>142</v>
      </c>
      <c r="BD5945" s="3" t="s">
        <v>308</v>
      </c>
      <c r="BE5945" s="3" t="s">
        <v>57201</v>
      </c>
      <c r="BF5945" s="3" t="s">
        <v>57200</v>
      </c>
      <c r="BG5945" s="3" t="s">
        <v>57202</v>
      </c>
    </row>
    <row r="5946" spans="1:59" ht="57" x14ac:dyDescent="0.45">
      <c r="A5946" s="2" t="s">
        <v>59</v>
      </c>
      <c r="B5946" s="2" t="s">
        <v>60</v>
      </c>
      <c r="C5946" s="2" t="s">
        <v>57203</v>
      </c>
      <c r="D5946" s="2" t="s">
        <v>57204</v>
      </c>
      <c r="E5946" s="2" t="s">
        <v>57205</v>
      </c>
      <c r="G5946" s="3" t="s">
        <v>62</v>
      </c>
      <c r="I5946" s="3" t="s">
        <v>62</v>
      </c>
      <c r="J5946" s="3" t="s">
        <v>62</v>
      </c>
      <c r="K5946" s="3" t="s">
        <v>63</v>
      </c>
      <c r="M5946" s="2" t="s">
        <v>57206</v>
      </c>
      <c r="N5946" s="3" t="s">
        <v>1155</v>
      </c>
      <c r="P5946" s="3" t="s">
        <v>65</v>
      </c>
      <c r="Q5946" s="2" t="s">
        <v>57207</v>
      </c>
      <c r="R5946" s="3" t="s">
        <v>66</v>
      </c>
      <c r="S5946" s="4">
        <v>2</v>
      </c>
      <c r="T5946" s="4">
        <v>2</v>
      </c>
      <c r="W5946" s="5" t="s">
        <v>67</v>
      </c>
      <c r="X5946" s="5" t="s">
        <v>67</v>
      </c>
      <c r="Y5946" s="4">
        <v>48</v>
      </c>
      <c r="Z5946" s="4">
        <v>6</v>
      </c>
      <c r="AA5946" s="4">
        <v>80</v>
      </c>
      <c r="AB5946" s="4">
        <v>1</v>
      </c>
      <c r="AC5946" s="4">
        <v>14</v>
      </c>
      <c r="AD5946" s="4">
        <v>25</v>
      </c>
      <c r="AE5946" s="4">
        <v>96</v>
      </c>
      <c r="AF5946" s="4">
        <v>0</v>
      </c>
      <c r="AG5946" s="4">
        <v>8</v>
      </c>
      <c r="AH5946" s="4">
        <v>23</v>
      </c>
      <c r="AI5946" s="4">
        <v>63</v>
      </c>
      <c r="AJ5946" s="4">
        <v>4</v>
      </c>
      <c r="AK5946" s="4">
        <v>20</v>
      </c>
      <c r="AL5946" s="4">
        <v>14</v>
      </c>
      <c r="AM5946" s="4">
        <v>33</v>
      </c>
      <c r="AN5946" s="4">
        <v>0</v>
      </c>
      <c r="AO5946" s="4">
        <v>0</v>
      </c>
      <c r="AP5946" s="4">
        <v>4</v>
      </c>
      <c r="AQ5946" s="4">
        <v>41</v>
      </c>
      <c r="AR5946" s="3" t="s">
        <v>62</v>
      </c>
      <c r="AS5946" s="3" t="s">
        <v>62</v>
      </c>
      <c r="AT5946" s="3" t="s">
        <v>62</v>
      </c>
      <c r="AV5946" s="6" t="str">
        <f>HYPERLINK("http://mcgill.on.worldcat.org/oclc/814951921","Catalog Record")</f>
        <v>Catalog Record</v>
      </c>
      <c r="AW5946" s="6" t="str">
        <f>HYPERLINK("http://www.worldcat.org/oclc/814951921","WorldCat Record")</f>
        <v>WorldCat Record</v>
      </c>
      <c r="AX5946" s="3" t="s">
        <v>57208</v>
      </c>
      <c r="AY5946" s="3" t="s">
        <v>57209</v>
      </c>
      <c r="AZ5946" s="3" t="s">
        <v>57210</v>
      </c>
      <c r="BA5946" s="3" t="s">
        <v>57210</v>
      </c>
      <c r="BB5946" s="3" t="s">
        <v>57211</v>
      </c>
      <c r="BC5946" s="3" t="s">
        <v>142</v>
      </c>
      <c r="BD5946" s="3" t="s">
        <v>308</v>
      </c>
      <c r="BE5946" s="3" t="s">
        <v>57212</v>
      </c>
      <c r="BF5946" s="3" t="s">
        <v>57211</v>
      </c>
      <c r="BG5946" s="3" t="s">
        <v>57213</v>
      </c>
    </row>
    <row r="5947" spans="1:59" ht="57" x14ac:dyDescent="0.45">
      <c r="A5947" s="2" t="s">
        <v>59</v>
      </c>
      <c r="B5947" s="2" t="s">
        <v>60</v>
      </c>
      <c r="C5947" s="2" t="s">
        <v>57214</v>
      </c>
      <c r="D5947" s="2" t="s">
        <v>57215</v>
      </c>
      <c r="E5947" s="2" t="s">
        <v>57216</v>
      </c>
      <c r="G5947" s="3" t="s">
        <v>62</v>
      </c>
      <c r="I5947" s="3" t="s">
        <v>62</v>
      </c>
      <c r="J5947" s="3" t="s">
        <v>62</v>
      </c>
      <c r="K5947" s="3" t="s">
        <v>63</v>
      </c>
      <c r="L5947" s="2" t="s">
        <v>57217</v>
      </c>
      <c r="M5947" s="2" t="s">
        <v>57218</v>
      </c>
      <c r="N5947" s="3" t="s">
        <v>195</v>
      </c>
      <c r="P5947" s="3" t="s">
        <v>65</v>
      </c>
      <c r="Q5947" s="2" t="s">
        <v>57219</v>
      </c>
      <c r="R5947" s="3" t="s">
        <v>66</v>
      </c>
      <c r="S5947" s="4">
        <v>28</v>
      </c>
      <c r="T5947" s="4">
        <v>28</v>
      </c>
      <c r="U5947" s="5" t="s">
        <v>50955</v>
      </c>
      <c r="V5947" s="5" t="s">
        <v>50955</v>
      </c>
      <c r="W5947" s="5" t="s">
        <v>67</v>
      </c>
      <c r="X5947" s="5" t="s">
        <v>67</v>
      </c>
      <c r="Y5947" s="4">
        <v>287</v>
      </c>
      <c r="Z5947" s="4">
        <v>21</v>
      </c>
      <c r="AA5947" s="4">
        <v>26</v>
      </c>
      <c r="AB5947" s="4">
        <v>1</v>
      </c>
      <c r="AC5947" s="4">
        <v>5</v>
      </c>
      <c r="AD5947" s="4">
        <v>69</v>
      </c>
      <c r="AE5947" s="4">
        <v>72</v>
      </c>
      <c r="AF5947" s="4">
        <v>0</v>
      </c>
      <c r="AG5947" s="4">
        <v>1</v>
      </c>
      <c r="AH5947" s="4">
        <v>58</v>
      </c>
      <c r="AI5947" s="4">
        <v>60</v>
      </c>
      <c r="AJ5947" s="4">
        <v>12</v>
      </c>
      <c r="AK5947" s="4">
        <v>13</v>
      </c>
      <c r="AL5947" s="4">
        <v>31</v>
      </c>
      <c r="AM5947" s="4">
        <v>31</v>
      </c>
      <c r="AN5947" s="4">
        <v>0</v>
      </c>
      <c r="AO5947" s="4">
        <v>0</v>
      </c>
      <c r="AP5947" s="4">
        <v>16</v>
      </c>
      <c r="AQ5947" s="4">
        <v>17</v>
      </c>
      <c r="AR5947" s="3" t="s">
        <v>62</v>
      </c>
      <c r="AS5947" s="3" t="s">
        <v>62</v>
      </c>
      <c r="AT5947" s="3" t="s">
        <v>62</v>
      </c>
      <c r="AV5947" s="6" t="str">
        <f>HYPERLINK("http://mcgill.on.worldcat.org/oclc/28183035","Catalog Record")</f>
        <v>Catalog Record</v>
      </c>
      <c r="AW5947" s="6" t="str">
        <f>HYPERLINK("http://www.worldcat.org/oclc/28183035","WorldCat Record")</f>
        <v>WorldCat Record</v>
      </c>
      <c r="AX5947" s="3" t="s">
        <v>57220</v>
      </c>
      <c r="AY5947" s="3" t="s">
        <v>57221</v>
      </c>
      <c r="AZ5947" s="3" t="s">
        <v>57222</v>
      </c>
      <c r="BA5947" s="3" t="s">
        <v>57222</v>
      </c>
      <c r="BB5947" s="3" t="s">
        <v>57223</v>
      </c>
      <c r="BC5947" s="3" t="s">
        <v>142</v>
      </c>
      <c r="BD5947" s="3" t="s">
        <v>308</v>
      </c>
      <c r="BE5947" s="3" t="s">
        <v>57224</v>
      </c>
      <c r="BF5947" s="3" t="s">
        <v>57223</v>
      </c>
      <c r="BG5947" s="3" t="s">
        <v>57225</v>
      </c>
    </row>
    <row r="5948" spans="1:59" ht="57" x14ac:dyDescent="0.45">
      <c r="A5948" s="2" t="s">
        <v>59</v>
      </c>
      <c r="B5948" s="2" t="s">
        <v>60</v>
      </c>
      <c r="C5948" s="2" t="s">
        <v>57226</v>
      </c>
      <c r="D5948" s="2" t="s">
        <v>57227</v>
      </c>
      <c r="E5948" s="2" t="s">
        <v>57228</v>
      </c>
      <c r="G5948" s="3" t="s">
        <v>62</v>
      </c>
      <c r="I5948" s="3" t="s">
        <v>62</v>
      </c>
      <c r="J5948" s="3" t="s">
        <v>62</v>
      </c>
      <c r="K5948" s="3" t="s">
        <v>63</v>
      </c>
      <c r="M5948" s="2" t="s">
        <v>57229</v>
      </c>
      <c r="N5948" s="3" t="s">
        <v>894</v>
      </c>
      <c r="P5948" s="3" t="s">
        <v>65</v>
      </c>
      <c r="Q5948" s="2" t="s">
        <v>57230</v>
      </c>
      <c r="R5948" s="3" t="s">
        <v>66</v>
      </c>
      <c r="S5948" s="4">
        <v>5</v>
      </c>
      <c r="T5948" s="4">
        <v>5</v>
      </c>
      <c r="U5948" s="5" t="s">
        <v>8576</v>
      </c>
      <c r="V5948" s="5" t="s">
        <v>8576</v>
      </c>
      <c r="W5948" s="5" t="s">
        <v>67</v>
      </c>
      <c r="X5948" s="5" t="s">
        <v>67</v>
      </c>
      <c r="Y5948" s="4">
        <v>73</v>
      </c>
      <c r="Z5948" s="4">
        <v>10</v>
      </c>
      <c r="AA5948" s="4">
        <v>89</v>
      </c>
      <c r="AB5948" s="4">
        <v>1</v>
      </c>
      <c r="AC5948" s="4">
        <v>17</v>
      </c>
      <c r="AD5948" s="4">
        <v>36</v>
      </c>
      <c r="AE5948" s="4">
        <v>114</v>
      </c>
      <c r="AF5948" s="4">
        <v>0</v>
      </c>
      <c r="AG5948" s="4">
        <v>8</v>
      </c>
      <c r="AH5948" s="4">
        <v>34</v>
      </c>
      <c r="AI5948" s="4">
        <v>79</v>
      </c>
      <c r="AJ5948" s="4">
        <v>8</v>
      </c>
      <c r="AK5948" s="4">
        <v>22</v>
      </c>
      <c r="AL5948" s="4">
        <v>15</v>
      </c>
      <c r="AM5948" s="4">
        <v>40</v>
      </c>
      <c r="AN5948" s="4">
        <v>0</v>
      </c>
      <c r="AO5948" s="4">
        <v>0</v>
      </c>
      <c r="AP5948" s="4">
        <v>8</v>
      </c>
      <c r="AQ5948" s="4">
        <v>43</v>
      </c>
      <c r="AR5948" s="3" t="s">
        <v>62</v>
      </c>
      <c r="AS5948" s="3" t="s">
        <v>62</v>
      </c>
      <c r="AT5948" s="3" t="s">
        <v>62</v>
      </c>
      <c r="AV5948" s="6" t="str">
        <f>HYPERLINK("http://mcgill.on.worldcat.org/oclc/697979754","Catalog Record")</f>
        <v>Catalog Record</v>
      </c>
      <c r="AW5948" s="6" t="str">
        <f>HYPERLINK("http://www.worldcat.org/oclc/697979754","WorldCat Record")</f>
        <v>WorldCat Record</v>
      </c>
      <c r="AX5948" s="3" t="s">
        <v>57231</v>
      </c>
      <c r="AY5948" s="3" t="s">
        <v>57232</v>
      </c>
      <c r="AZ5948" s="3" t="s">
        <v>57233</v>
      </c>
      <c r="BA5948" s="3" t="s">
        <v>57233</v>
      </c>
      <c r="BB5948" s="3" t="s">
        <v>57234</v>
      </c>
      <c r="BC5948" s="3" t="s">
        <v>142</v>
      </c>
      <c r="BD5948" s="3" t="s">
        <v>68</v>
      </c>
      <c r="BE5948" s="3" t="s">
        <v>57235</v>
      </c>
      <c r="BF5948" s="3" t="s">
        <v>57234</v>
      </c>
      <c r="BG5948" s="3" t="s">
        <v>57236</v>
      </c>
    </row>
    <row r="5949" spans="1:59" ht="57" x14ac:dyDescent="0.45">
      <c r="A5949" s="2" t="s">
        <v>59</v>
      </c>
      <c r="B5949" s="2" t="s">
        <v>60</v>
      </c>
      <c r="C5949" s="2" t="s">
        <v>57237</v>
      </c>
      <c r="D5949" s="2" t="s">
        <v>57238</v>
      </c>
      <c r="E5949" s="2" t="s">
        <v>57239</v>
      </c>
      <c r="G5949" s="3" t="s">
        <v>62</v>
      </c>
      <c r="I5949" s="3" t="s">
        <v>62</v>
      </c>
      <c r="J5949" s="3" t="s">
        <v>62</v>
      </c>
      <c r="K5949" s="3" t="s">
        <v>63</v>
      </c>
      <c r="L5949" s="2" t="s">
        <v>57240</v>
      </c>
      <c r="M5949" s="2" t="s">
        <v>10462</v>
      </c>
      <c r="N5949" s="3" t="s">
        <v>149</v>
      </c>
      <c r="P5949" s="3" t="s">
        <v>65</v>
      </c>
      <c r="R5949" s="3" t="s">
        <v>66</v>
      </c>
      <c r="S5949" s="4">
        <v>17</v>
      </c>
      <c r="T5949" s="4">
        <v>17</v>
      </c>
      <c r="U5949" s="5" t="s">
        <v>5871</v>
      </c>
      <c r="V5949" s="5" t="s">
        <v>5871</v>
      </c>
      <c r="W5949" s="5" t="s">
        <v>67</v>
      </c>
      <c r="X5949" s="5" t="s">
        <v>67</v>
      </c>
      <c r="Y5949" s="4">
        <v>197</v>
      </c>
      <c r="Z5949" s="4">
        <v>8</v>
      </c>
      <c r="AA5949" s="4">
        <v>41</v>
      </c>
      <c r="AB5949" s="4">
        <v>1</v>
      </c>
      <c r="AC5949" s="4">
        <v>6</v>
      </c>
      <c r="AD5949" s="4">
        <v>64</v>
      </c>
      <c r="AE5949" s="4">
        <v>124</v>
      </c>
      <c r="AF5949" s="4">
        <v>0</v>
      </c>
      <c r="AG5949" s="4">
        <v>1</v>
      </c>
      <c r="AH5949" s="4">
        <v>60</v>
      </c>
      <c r="AI5949" s="4">
        <v>102</v>
      </c>
      <c r="AJ5949" s="4">
        <v>6</v>
      </c>
      <c r="AK5949" s="4">
        <v>18</v>
      </c>
      <c r="AL5949" s="4">
        <v>37</v>
      </c>
      <c r="AM5949" s="4">
        <v>56</v>
      </c>
      <c r="AN5949" s="4">
        <v>0</v>
      </c>
      <c r="AO5949" s="4">
        <v>0</v>
      </c>
      <c r="AP5949" s="4">
        <v>7</v>
      </c>
      <c r="AQ5949" s="4">
        <v>30</v>
      </c>
      <c r="AR5949" s="3" t="s">
        <v>62</v>
      </c>
      <c r="AS5949" s="3" t="s">
        <v>62</v>
      </c>
      <c r="AT5949" s="3" t="s">
        <v>62</v>
      </c>
      <c r="AV5949" s="6" t="str">
        <f>HYPERLINK("http://mcgill.on.worldcat.org/oclc/441191680","Catalog Record")</f>
        <v>Catalog Record</v>
      </c>
      <c r="AW5949" s="6" t="str">
        <f>HYPERLINK("http://www.worldcat.org/oclc/441191680","WorldCat Record")</f>
        <v>WorldCat Record</v>
      </c>
      <c r="AX5949" s="3" t="s">
        <v>57241</v>
      </c>
      <c r="AY5949" s="3" t="s">
        <v>57242</v>
      </c>
      <c r="AZ5949" s="3" t="s">
        <v>57243</v>
      </c>
      <c r="BA5949" s="3" t="s">
        <v>57243</v>
      </c>
      <c r="BB5949" s="3" t="s">
        <v>57244</v>
      </c>
      <c r="BC5949" s="3" t="s">
        <v>142</v>
      </c>
      <c r="BD5949" s="3" t="s">
        <v>68</v>
      </c>
      <c r="BE5949" s="3" t="s">
        <v>57245</v>
      </c>
      <c r="BF5949" s="3" t="s">
        <v>57244</v>
      </c>
      <c r="BG5949" s="3" t="s">
        <v>57246</v>
      </c>
    </row>
    <row r="5950" spans="1:59" ht="57" x14ac:dyDescent="0.45">
      <c r="A5950" s="2" t="s">
        <v>59</v>
      </c>
      <c r="B5950" s="2" t="s">
        <v>60</v>
      </c>
      <c r="C5950" s="2" t="s">
        <v>57247</v>
      </c>
      <c r="D5950" s="2" t="s">
        <v>57248</v>
      </c>
      <c r="E5950" s="2" t="s">
        <v>57249</v>
      </c>
      <c r="G5950" s="3" t="s">
        <v>62</v>
      </c>
      <c r="I5950" s="3" t="s">
        <v>62</v>
      </c>
      <c r="J5950" s="3" t="s">
        <v>62</v>
      </c>
      <c r="K5950" s="3" t="s">
        <v>63</v>
      </c>
      <c r="M5950" s="2" t="s">
        <v>3075</v>
      </c>
      <c r="N5950" s="3" t="s">
        <v>1465</v>
      </c>
      <c r="P5950" s="3" t="s">
        <v>65</v>
      </c>
      <c r="R5950" s="3" t="s">
        <v>66</v>
      </c>
      <c r="S5950" s="4">
        <v>1</v>
      </c>
      <c r="T5950" s="4">
        <v>1</v>
      </c>
      <c r="U5950" s="5" t="s">
        <v>2846</v>
      </c>
      <c r="V5950" s="5" t="s">
        <v>2846</v>
      </c>
      <c r="W5950" s="5" t="s">
        <v>67</v>
      </c>
      <c r="X5950" s="5" t="s">
        <v>67</v>
      </c>
      <c r="Y5950" s="4">
        <v>2</v>
      </c>
      <c r="Z5950" s="4">
        <v>1</v>
      </c>
      <c r="AA5950" s="4">
        <v>19</v>
      </c>
      <c r="AB5950" s="4">
        <v>1</v>
      </c>
      <c r="AC5950" s="4">
        <v>5</v>
      </c>
      <c r="AD5950" s="4">
        <v>0</v>
      </c>
      <c r="AE5950" s="4">
        <v>89</v>
      </c>
      <c r="AF5950" s="4">
        <v>0</v>
      </c>
      <c r="AG5950" s="4">
        <v>1</v>
      </c>
      <c r="AH5950" s="4">
        <v>0</v>
      </c>
      <c r="AI5950" s="4">
        <v>82</v>
      </c>
      <c r="AJ5950" s="4">
        <v>0</v>
      </c>
      <c r="AK5950" s="4">
        <v>13</v>
      </c>
      <c r="AL5950" s="4">
        <v>0</v>
      </c>
      <c r="AM5950" s="4">
        <v>47</v>
      </c>
      <c r="AN5950" s="4">
        <v>0</v>
      </c>
      <c r="AO5950" s="4">
        <v>0</v>
      </c>
      <c r="AP5950" s="4">
        <v>0</v>
      </c>
      <c r="AQ5950" s="4">
        <v>13</v>
      </c>
      <c r="AR5950" s="3" t="s">
        <v>62</v>
      </c>
      <c r="AS5950" s="3" t="s">
        <v>62</v>
      </c>
      <c r="AT5950" s="3" t="s">
        <v>62</v>
      </c>
      <c r="AV5950" s="6" t="str">
        <f>HYPERLINK("http://mcgill.on.worldcat.org/oclc/908269296","Catalog Record")</f>
        <v>Catalog Record</v>
      </c>
      <c r="AW5950" s="6" t="str">
        <f>HYPERLINK("http://www.worldcat.org/oclc/908269296","WorldCat Record")</f>
        <v>WorldCat Record</v>
      </c>
      <c r="AX5950" s="3" t="s">
        <v>57250</v>
      </c>
      <c r="AY5950" s="3" t="s">
        <v>57251</v>
      </c>
      <c r="AZ5950" s="3" t="s">
        <v>57252</v>
      </c>
      <c r="BA5950" s="3" t="s">
        <v>57252</v>
      </c>
      <c r="BB5950" s="3" t="s">
        <v>57253</v>
      </c>
      <c r="BC5950" s="3" t="s">
        <v>142</v>
      </c>
      <c r="BD5950" s="3" t="s">
        <v>68</v>
      </c>
      <c r="BE5950" s="3" t="s">
        <v>57254</v>
      </c>
      <c r="BF5950" s="3" t="s">
        <v>57253</v>
      </c>
      <c r="BG5950" s="3" t="s">
        <v>57255</v>
      </c>
    </row>
    <row r="5951" spans="1:59" ht="57" x14ac:dyDescent="0.45">
      <c r="A5951" s="2" t="s">
        <v>59</v>
      </c>
      <c r="B5951" s="2" t="s">
        <v>60</v>
      </c>
      <c r="C5951" s="2" t="s">
        <v>57256</v>
      </c>
      <c r="D5951" s="2" t="s">
        <v>57257</v>
      </c>
      <c r="E5951" s="2" t="s">
        <v>57258</v>
      </c>
      <c r="G5951" s="3" t="s">
        <v>62</v>
      </c>
      <c r="I5951" s="3" t="s">
        <v>62</v>
      </c>
      <c r="J5951" s="3" t="s">
        <v>62</v>
      </c>
      <c r="K5951" s="3" t="s">
        <v>63</v>
      </c>
      <c r="M5951" s="2" t="s">
        <v>3423</v>
      </c>
      <c r="N5951" s="3" t="s">
        <v>1478</v>
      </c>
      <c r="P5951" s="3" t="s">
        <v>65</v>
      </c>
      <c r="Q5951" s="2" t="s">
        <v>57259</v>
      </c>
      <c r="R5951" s="3" t="s">
        <v>66</v>
      </c>
      <c r="S5951" s="4">
        <v>20</v>
      </c>
      <c r="T5951" s="4">
        <v>20</v>
      </c>
      <c r="U5951" s="5" t="s">
        <v>8576</v>
      </c>
      <c r="V5951" s="5" t="s">
        <v>8576</v>
      </c>
      <c r="W5951" s="5" t="s">
        <v>67</v>
      </c>
      <c r="X5951" s="5" t="s">
        <v>67</v>
      </c>
      <c r="Y5951" s="4">
        <v>317</v>
      </c>
      <c r="Z5951" s="4">
        <v>18</v>
      </c>
      <c r="AA5951" s="4">
        <v>98</v>
      </c>
      <c r="AB5951" s="4">
        <v>2</v>
      </c>
      <c r="AC5951" s="4">
        <v>18</v>
      </c>
      <c r="AD5951" s="4">
        <v>105</v>
      </c>
      <c r="AE5951" s="4">
        <v>147</v>
      </c>
      <c r="AF5951" s="4">
        <v>1</v>
      </c>
      <c r="AG5951" s="4">
        <v>9</v>
      </c>
      <c r="AH5951" s="4">
        <v>93</v>
      </c>
      <c r="AI5951" s="4">
        <v>106</v>
      </c>
      <c r="AJ5951" s="4">
        <v>13</v>
      </c>
      <c r="AK5951" s="4">
        <v>25</v>
      </c>
      <c r="AL5951" s="4">
        <v>55</v>
      </c>
      <c r="AM5951" s="4">
        <v>58</v>
      </c>
      <c r="AN5951" s="4">
        <v>0</v>
      </c>
      <c r="AO5951" s="4">
        <v>0</v>
      </c>
      <c r="AP5951" s="4">
        <v>16</v>
      </c>
      <c r="AQ5951" s="4">
        <v>49</v>
      </c>
      <c r="AR5951" s="3" t="s">
        <v>62</v>
      </c>
      <c r="AS5951" s="3" t="s">
        <v>62</v>
      </c>
      <c r="AT5951" s="3" t="s">
        <v>62</v>
      </c>
      <c r="AV5951" s="6" t="str">
        <f>HYPERLINK("http://mcgill.on.worldcat.org/oclc/33359302","Catalog Record")</f>
        <v>Catalog Record</v>
      </c>
      <c r="AW5951" s="6" t="str">
        <f>HYPERLINK("http://www.worldcat.org/oclc/33359302","WorldCat Record")</f>
        <v>WorldCat Record</v>
      </c>
      <c r="AX5951" s="3" t="s">
        <v>57260</v>
      </c>
      <c r="AY5951" s="3" t="s">
        <v>57261</v>
      </c>
      <c r="AZ5951" s="3" t="s">
        <v>57262</v>
      </c>
      <c r="BA5951" s="3" t="s">
        <v>57262</v>
      </c>
      <c r="BB5951" s="3" t="s">
        <v>57263</v>
      </c>
      <c r="BC5951" s="3" t="s">
        <v>142</v>
      </c>
      <c r="BD5951" s="3" t="s">
        <v>68</v>
      </c>
      <c r="BE5951" s="3" t="s">
        <v>57264</v>
      </c>
      <c r="BF5951" s="3" t="s">
        <v>57263</v>
      </c>
      <c r="BG5951" s="3" t="s">
        <v>57265</v>
      </c>
    </row>
    <row r="5952" spans="1:59" ht="57" x14ac:dyDescent="0.45">
      <c r="A5952" s="2" t="s">
        <v>59</v>
      </c>
      <c r="B5952" s="2" t="s">
        <v>60</v>
      </c>
      <c r="C5952" s="2" t="s">
        <v>57266</v>
      </c>
      <c r="D5952" s="2" t="s">
        <v>57267</v>
      </c>
      <c r="E5952" s="2" t="s">
        <v>57268</v>
      </c>
      <c r="G5952" s="3" t="s">
        <v>62</v>
      </c>
      <c r="I5952" s="3" t="s">
        <v>62</v>
      </c>
      <c r="J5952" s="3" t="s">
        <v>62</v>
      </c>
      <c r="K5952" s="3" t="s">
        <v>63</v>
      </c>
      <c r="M5952" s="2" t="s">
        <v>14784</v>
      </c>
      <c r="N5952" s="3" t="s">
        <v>1855</v>
      </c>
      <c r="P5952" s="3" t="s">
        <v>65</v>
      </c>
      <c r="Q5952" s="2" t="s">
        <v>57269</v>
      </c>
      <c r="R5952" s="3" t="s">
        <v>66</v>
      </c>
      <c r="S5952" s="4">
        <v>10</v>
      </c>
      <c r="T5952" s="4">
        <v>10</v>
      </c>
      <c r="U5952" s="5" t="s">
        <v>17208</v>
      </c>
      <c r="V5952" s="5" t="s">
        <v>17208</v>
      </c>
      <c r="W5952" s="5" t="s">
        <v>67</v>
      </c>
      <c r="X5952" s="5" t="s">
        <v>67</v>
      </c>
      <c r="Y5952" s="4">
        <v>252</v>
      </c>
      <c r="Z5952" s="4">
        <v>19</v>
      </c>
      <c r="AA5952" s="4">
        <v>23</v>
      </c>
      <c r="AB5952" s="4">
        <v>2</v>
      </c>
      <c r="AC5952" s="4">
        <v>5</v>
      </c>
      <c r="AD5952" s="4">
        <v>88</v>
      </c>
      <c r="AE5952" s="4">
        <v>90</v>
      </c>
      <c r="AF5952" s="4">
        <v>1</v>
      </c>
      <c r="AG5952" s="4">
        <v>2</v>
      </c>
      <c r="AH5952" s="4">
        <v>78</v>
      </c>
      <c r="AI5952" s="4">
        <v>78</v>
      </c>
      <c r="AJ5952" s="4">
        <v>14</v>
      </c>
      <c r="AK5952" s="4">
        <v>15</v>
      </c>
      <c r="AL5952" s="4">
        <v>43</v>
      </c>
      <c r="AM5952" s="4">
        <v>43</v>
      </c>
      <c r="AN5952" s="4">
        <v>0</v>
      </c>
      <c r="AO5952" s="4">
        <v>0</v>
      </c>
      <c r="AP5952" s="4">
        <v>17</v>
      </c>
      <c r="AQ5952" s="4">
        <v>18</v>
      </c>
      <c r="AR5952" s="3" t="s">
        <v>62</v>
      </c>
      <c r="AS5952" s="3" t="s">
        <v>62</v>
      </c>
      <c r="AT5952" s="3" t="s">
        <v>62</v>
      </c>
      <c r="AV5952" s="6" t="str">
        <f>HYPERLINK("http://mcgill.on.worldcat.org/oclc/60491989","Catalog Record")</f>
        <v>Catalog Record</v>
      </c>
      <c r="AW5952" s="6" t="str">
        <f>HYPERLINK("http://www.worldcat.org/oclc/60491989","WorldCat Record")</f>
        <v>WorldCat Record</v>
      </c>
      <c r="AX5952" s="3" t="s">
        <v>57270</v>
      </c>
      <c r="AY5952" s="3" t="s">
        <v>57271</v>
      </c>
      <c r="AZ5952" s="3" t="s">
        <v>57272</v>
      </c>
      <c r="BA5952" s="3" t="s">
        <v>57272</v>
      </c>
      <c r="BB5952" s="3" t="s">
        <v>57273</v>
      </c>
      <c r="BC5952" s="3" t="s">
        <v>142</v>
      </c>
      <c r="BD5952" s="3" t="s">
        <v>68</v>
      </c>
      <c r="BE5952" s="3" t="s">
        <v>57274</v>
      </c>
      <c r="BF5952" s="3" t="s">
        <v>57273</v>
      </c>
      <c r="BG5952" s="3" t="s">
        <v>57275</v>
      </c>
    </row>
    <row r="5953" spans="1:59" ht="57" x14ac:dyDescent="0.45">
      <c r="A5953" s="2" t="s">
        <v>59</v>
      </c>
      <c r="B5953" s="2" t="s">
        <v>60</v>
      </c>
      <c r="C5953" s="2" t="s">
        <v>57276</v>
      </c>
      <c r="D5953" s="2" t="s">
        <v>57277</v>
      </c>
      <c r="E5953" s="2" t="s">
        <v>57278</v>
      </c>
      <c r="G5953" s="3" t="s">
        <v>62</v>
      </c>
      <c r="I5953" s="3" t="s">
        <v>62</v>
      </c>
      <c r="J5953" s="3" t="s">
        <v>62</v>
      </c>
      <c r="K5953" s="3" t="s">
        <v>63</v>
      </c>
      <c r="L5953" s="2" t="s">
        <v>57279</v>
      </c>
      <c r="M5953" s="2" t="s">
        <v>57280</v>
      </c>
      <c r="N5953" s="3" t="s">
        <v>195</v>
      </c>
      <c r="P5953" s="3" t="s">
        <v>65</v>
      </c>
      <c r="R5953" s="3" t="s">
        <v>66</v>
      </c>
      <c r="S5953" s="4">
        <v>16</v>
      </c>
      <c r="T5953" s="4">
        <v>16</v>
      </c>
      <c r="U5953" s="5" t="s">
        <v>28854</v>
      </c>
      <c r="V5953" s="5" t="s">
        <v>28854</v>
      </c>
      <c r="W5953" s="5" t="s">
        <v>67</v>
      </c>
      <c r="X5953" s="5" t="s">
        <v>67</v>
      </c>
      <c r="Y5953" s="4">
        <v>265</v>
      </c>
      <c r="Z5953" s="4">
        <v>16</v>
      </c>
      <c r="AA5953" s="4">
        <v>67</v>
      </c>
      <c r="AB5953" s="4">
        <v>1</v>
      </c>
      <c r="AC5953" s="4">
        <v>18</v>
      </c>
      <c r="AD5953" s="4">
        <v>89</v>
      </c>
      <c r="AE5953" s="4">
        <v>128</v>
      </c>
      <c r="AF5953" s="4">
        <v>0</v>
      </c>
      <c r="AG5953" s="4">
        <v>9</v>
      </c>
      <c r="AH5953" s="4">
        <v>82</v>
      </c>
      <c r="AI5953" s="4">
        <v>87</v>
      </c>
      <c r="AJ5953" s="4">
        <v>12</v>
      </c>
      <c r="AK5953" s="4">
        <v>23</v>
      </c>
      <c r="AL5953" s="4">
        <v>45</v>
      </c>
      <c r="AM5953" s="4">
        <v>46</v>
      </c>
      <c r="AN5953" s="4">
        <v>0</v>
      </c>
      <c r="AO5953" s="4">
        <v>0</v>
      </c>
      <c r="AP5953" s="4">
        <v>14</v>
      </c>
      <c r="AQ5953" s="4">
        <v>49</v>
      </c>
      <c r="AR5953" s="3" t="s">
        <v>62</v>
      </c>
      <c r="AS5953" s="3" t="s">
        <v>62</v>
      </c>
      <c r="AT5953" s="3" t="s">
        <v>62</v>
      </c>
      <c r="AV5953" s="6" t="str">
        <f>HYPERLINK("http://mcgill.on.worldcat.org/oclc/26352196","Catalog Record")</f>
        <v>Catalog Record</v>
      </c>
      <c r="AW5953" s="6" t="str">
        <f>HYPERLINK("http://www.worldcat.org/oclc/26352196","WorldCat Record")</f>
        <v>WorldCat Record</v>
      </c>
      <c r="AX5953" s="3" t="s">
        <v>57281</v>
      </c>
      <c r="AY5953" s="3" t="s">
        <v>57282</v>
      </c>
      <c r="AZ5953" s="3" t="s">
        <v>57283</v>
      </c>
      <c r="BA5953" s="3" t="s">
        <v>57283</v>
      </c>
      <c r="BB5953" s="3" t="s">
        <v>57284</v>
      </c>
      <c r="BC5953" s="3" t="s">
        <v>142</v>
      </c>
      <c r="BD5953" s="3" t="s">
        <v>68</v>
      </c>
      <c r="BE5953" s="3" t="s">
        <v>57285</v>
      </c>
      <c r="BF5953" s="3" t="s">
        <v>57284</v>
      </c>
      <c r="BG5953" s="3" t="s">
        <v>57286</v>
      </c>
    </row>
    <row r="5954" spans="1:59" ht="57" x14ac:dyDescent="0.45">
      <c r="A5954" s="2" t="s">
        <v>59</v>
      </c>
      <c r="B5954" s="2" t="s">
        <v>60</v>
      </c>
      <c r="C5954" s="2" t="s">
        <v>57287</v>
      </c>
      <c r="D5954" s="2" t="s">
        <v>57288</v>
      </c>
      <c r="E5954" s="2" t="s">
        <v>57289</v>
      </c>
      <c r="G5954" s="3" t="s">
        <v>62</v>
      </c>
      <c r="I5954" s="3" t="s">
        <v>62</v>
      </c>
      <c r="J5954" s="3" t="s">
        <v>62</v>
      </c>
      <c r="K5954" s="3" t="s">
        <v>63</v>
      </c>
      <c r="L5954" s="2" t="s">
        <v>57290</v>
      </c>
      <c r="M5954" s="2" t="s">
        <v>57291</v>
      </c>
      <c r="N5954" s="3" t="s">
        <v>149</v>
      </c>
      <c r="P5954" s="3" t="s">
        <v>65</v>
      </c>
      <c r="R5954" s="3" t="s">
        <v>66</v>
      </c>
      <c r="S5954" s="4">
        <v>16</v>
      </c>
      <c r="T5954" s="4">
        <v>16</v>
      </c>
      <c r="U5954" s="5" t="s">
        <v>11315</v>
      </c>
      <c r="V5954" s="5" t="s">
        <v>11315</v>
      </c>
      <c r="W5954" s="5" t="s">
        <v>67</v>
      </c>
      <c r="X5954" s="5" t="s">
        <v>67</v>
      </c>
      <c r="Y5954" s="4">
        <v>274</v>
      </c>
      <c r="Z5954" s="4">
        <v>28</v>
      </c>
      <c r="AA5954" s="4">
        <v>37</v>
      </c>
      <c r="AB5954" s="4">
        <v>2</v>
      </c>
      <c r="AC5954" s="4">
        <v>7</v>
      </c>
      <c r="AD5954" s="4">
        <v>93</v>
      </c>
      <c r="AE5954" s="4">
        <v>104</v>
      </c>
      <c r="AF5954" s="4">
        <v>1</v>
      </c>
      <c r="AG5954" s="4">
        <v>3</v>
      </c>
      <c r="AH5954" s="4">
        <v>80</v>
      </c>
      <c r="AI5954" s="4">
        <v>89</v>
      </c>
      <c r="AJ5954" s="4">
        <v>17</v>
      </c>
      <c r="AK5954" s="4">
        <v>20</v>
      </c>
      <c r="AL5954" s="4">
        <v>44</v>
      </c>
      <c r="AM5954" s="4">
        <v>48</v>
      </c>
      <c r="AN5954" s="4">
        <v>0</v>
      </c>
      <c r="AO5954" s="4">
        <v>0</v>
      </c>
      <c r="AP5954" s="4">
        <v>21</v>
      </c>
      <c r="AQ5954" s="4">
        <v>24</v>
      </c>
      <c r="AR5954" s="3" t="s">
        <v>62</v>
      </c>
      <c r="AS5954" s="3" t="s">
        <v>62</v>
      </c>
      <c r="AT5954" s="3" t="s">
        <v>62</v>
      </c>
      <c r="AV5954" s="6" t="str">
        <f>HYPERLINK("http://mcgill.on.worldcat.org/oclc/495547093","Catalog Record")</f>
        <v>Catalog Record</v>
      </c>
      <c r="AW5954" s="6" t="str">
        <f>HYPERLINK("http://www.worldcat.org/oclc/495547093","WorldCat Record")</f>
        <v>WorldCat Record</v>
      </c>
      <c r="AX5954" s="3" t="s">
        <v>57292</v>
      </c>
      <c r="AY5954" s="3" t="s">
        <v>57293</v>
      </c>
      <c r="AZ5954" s="3" t="s">
        <v>57294</v>
      </c>
      <c r="BA5954" s="3" t="s">
        <v>57294</v>
      </c>
      <c r="BB5954" s="3" t="s">
        <v>57295</v>
      </c>
      <c r="BC5954" s="3" t="s">
        <v>142</v>
      </c>
      <c r="BD5954" s="3" t="s">
        <v>68</v>
      </c>
      <c r="BE5954" s="3" t="s">
        <v>57296</v>
      </c>
      <c r="BF5954" s="3" t="s">
        <v>57295</v>
      </c>
      <c r="BG5954" s="3" t="s">
        <v>57297</v>
      </c>
    </row>
    <row r="5955" spans="1:59" ht="57" x14ac:dyDescent="0.45">
      <c r="A5955" s="2" t="s">
        <v>59</v>
      </c>
      <c r="B5955" s="2" t="s">
        <v>60</v>
      </c>
      <c r="C5955" s="2" t="s">
        <v>57298</v>
      </c>
      <c r="D5955" s="2" t="s">
        <v>57299</v>
      </c>
      <c r="E5955" s="2" t="s">
        <v>57300</v>
      </c>
      <c r="G5955" s="3" t="s">
        <v>62</v>
      </c>
      <c r="I5955" s="3" t="s">
        <v>62</v>
      </c>
      <c r="J5955" s="3" t="s">
        <v>62</v>
      </c>
      <c r="K5955" s="3" t="s">
        <v>63</v>
      </c>
      <c r="L5955" s="2" t="s">
        <v>31598</v>
      </c>
      <c r="M5955" s="2" t="s">
        <v>57301</v>
      </c>
      <c r="N5955" s="3" t="s">
        <v>2417</v>
      </c>
      <c r="P5955" s="3" t="s">
        <v>65</v>
      </c>
      <c r="R5955" s="3" t="s">
        <v>66</v>
      </c>
      <c r="S5955" s="4">
        <v>65</v>
      </c>
      <c r="T5955" s="4">
        <v>65</v>
      </c>
      <c r="U5955" s="5" t="s">
        <v>17110</v>
      </c>
      <c r="V5955" s="5" t="s">
        <v>17110</v>
      </c>
      <c r="W5955" s="5" t="s">
        <v>67</v>
      </c>
      <c r="X5955" s="5" t="s">
        <v>67</v>
      </c>
      <c r="Y5955" s="4">
        <v>539</v>
      </c>
      <c r="Z5955" s="4">
        <v>36</v>
      </c>
      <c r="AA5955" s="4">
        <v>38</v>
      </c>
      <c r="AB5955" s="4">
        <v>2</v>
      </c>
      <c r="AC5955" s="4">
        <v>2</v>
      </c>
      <c r="AD5955" s="4">
        <v>122</v>
      </c>
      <c r="AE5955" s="4">
        <v>123</v>
      </c>
      <c r="AF5955" s="4">
        <v>1</v>
      </c>
      <c r="AG5955" s="4">
        <v>1</v>
      </c>
      <c r="AH5955" s="4">
        <v>100</v>
      </c>
      <c r="AI5955" s="4">
        <v>100</v>
      </c>
      <c r="AJ5955" s="4">
        <v>20</v>
      </c>
      <c r="AK5955" s="4">
        <v>20</v>
      </c>
      <c r="AL5955" s="4">
        <v>58</v>
      </c>
      <c r="AM5955" s="4">
        <v>58</v>
      </c>
      <c r="AN5955" s="4">
        <v>0</v>
      </c>
      <c r="AO5955" s="4">
        <v>0</v>
      </c>
      <c r="AP5955" s="4">
        <v>29</v>
      </c>
      <c r="AQ5955" s="4">
        <v>30</v>
      </c>
      <c r="AR5955" s="3" t="s">
        <v>62</v>
      </c>
      <c r="AS5955" s="3" t="s">
        <v>62</v>
      </c>
      <c r="AT5955" s="3" t="s">
        <v>62</v>
      </c>
      <c r="AV5955" s="6" t="str">
        <f>HYPERLINK("http://mcgill.on.worldcat.org/oclc/18225256","Catalog Record")</f>
        <v>Catalog Record</v>
      </c>
      <c r="AW5955" s="6" t="str">
        <f>HYPERLINK("http://www.worldcat.org/oclc/18225256","WorldCat Record")</f>
        <v>WorldCat Record</v>
      </c>
      <c r="AX5955" s="3" t="s">
        <v>57302</v>
      </c>
      <c r="AY5955" s="3" t="s">
        <v>57303</v>
      </c>
      <c r="AZ5955" s="3" t="s">
        <v>57304</v>
      </c>
      <c r="BA5955" s="3" t="s">
        <v>57304</v>
      </c>
      <c r="BB5955" s="3" t="s">
        <v>57305</v>
      </c>
      <c r="BC5955" s="3" t="s">
        <v>142</v>
      </c>
      <c r="BD5955" s="3" t="s">
        <v>308</v>
      </c>
      <c r="BE5955" s="3" t="s">
        <v>57306</v>
      </c>
      <c r="BF5955" s="3" t="s">
        <v>57305</v>
      </c>
      <c r="BG5955" s="3" t="s">
        <v>57307</v>
      </c>
    </row>
    <row r="5956" spans="1:59" ht="57" x14ac:dyDescent="0.45">
      <c r="A5956" s="2" t="s">
        <v>59</v>
      </c>
      <c r="B5956" s="2" t="s">
        <v>60</v>
      </c>
      <c r="C5956" s="2" t="s">
        <v>57308</v>
      </c>
      <c r="D5956" s="2" t="s">
        <v>57309</v>
      </c>
      <c r="E5956" s="2" t="s">
        <v>57310</v>
      </c>
      <c r="G5956" s="3" t="s">
        <v>62</v>
      </c>
      <c r="I5956" s="3" t="s">
        <v>61</v>
      </c>
      <c r="J5956" s="3" t="s">
        <v>62</v>
      </c>
      <c r="K5956" s="3" t="s">
        <v>63</v>
      </c>
      <c r="L5956" s="2" t="s">
        <v>57311</v>
      </c>
      <c r="M5956" s="2" t="s">
        <v>57312</v>
      </c>
      <c r="N5956" s="3" t="s">
        <v>149</v>
      </c>
      <c r="P5956" s="3" t="s">
        <v>65</v>
      </c>
      <c r="Q5956" s="2" t="s">
        <v>8069</v>
      </c>
      <c r="R5956" s="3" t="s">
        <v>66</v>
      </c>
      <c r="S5956" s="4">
        <v>5</v>
      </c>
      <c r="T5956" s="4">
        <v>9</v>
      </c>
      <c r="U5956" s="5" t="s">
        <v>843</v>
      </c>
      <c r="V5956" s="5" t="s">
        <v>35407</v>
      </c>
      <c r="W5956" s="5" t="s">
        <v>67</v>
      </c>
      <c r="X5956" s="5" t="s">
        <v>67</v>
      </c>
      <c r="Y5956" s="4">
        <v>293</v>
      </c>
      <c r="Z5956" s="4">
        <v>17</v>
      </c>
      <c r="AA5956" s="4">
        <v>96</v>
      </c>
      <c r="AB5956" s="4">
        <v>2</v>
      </c>
      <c r="AC5956" s="4">
        <v>18</v>
      </c>
      <c r="AD5956" s="4">
        <v>86</v>
      </c>
      <c r="AE5956" s="4">
        <v>141</v>
      </c>
      <c r="AF5956" s="4">
        <v>1</v>
      </c>
      <c r="AG5956" s="4">
        <v>8</v>
      </c>
      <c r="AH5956" s="4">
        <v>77</v>
      </c>
      <c r="AI5956" s="4">
        <v>103</v>
      </c>
      <c r="AJ5956" s="4">
        <v>13</v>
      </c>
      <c r="AK5956" s="4">
        <v>25</v>
      </c>
      <c r="AL5956" s="4">
        <v>45</v>
      </c>
      <c r="AM5956" s="4">
        <v>55</v>
      </c>
      <c r="AN5956" s="4">
        <v>0</v>
      </c>
      <c r="AO5956" s="4">
        <v>0</v>
      </c>
      <c r="AP5956" s="4">
        <v>15</v>
      </c>
      <c r="AQ5956" s="4">
        <v>46</v>
      </c>
      <c r="AR5956" s="3" t="s">
        <v>62</v>
      </c>
      <c r="AS5956" s="3" t="s">
        <v>62</v>
      </c>
      <c r="AT5956" s="3" t="s">
        <v>62</v>
      </c>
      <c r="AV5956" s="6" t="str">
        <f>HYPERLINK("http://mcgill.on.worldcat.org/oclc/403861002","Catalog Record")</f>
        <v>Catalog Record</v>
      </c>
      <c r="AW5956" s="6" t="str">
        <f>HYPERLINK("http://www.worldcat.org/oclc/403861002","WorldCat Record")</f>
        <v>WorldCat Record</v>
      </c>
      <c r="AX5956" s="3" t="s">
        <v>57313</v>
      </c>
      <c r="AY5956" s="3" t="s">
        <v>57314</v>
      </c>
      <c r="AZ5956" s="3" t="s">
        <v>57315</v>
      </c>
      <c r="BA5956" s="3" t="s">
        <v>57315</v>
      </c>
      <c r="BB5956" s="3" t="s">
        <v>57316</v>
      </c>
      <c r="BC5956" s="3" t="s">
        <v>142</v>
      </c>
      <c r="BD5956" s="3" t="s">
        <v>68</v>
      </c>
      <c r="BE5956" s="3" t="s">
        <v>57317</v>
      </c>
      <c r="BF5956" s="3" t="s">
        <v>57316</v>
      </c>
      <c r="BG5956" s="3" t="s">
        <v>57318</v>
      </c>
    </row>
    <row r="5957" spans="1:59" ht="57" x14ac:dyDescent="0.45">
      <c r="A5957" s="2" t="s">
        <v>59</v>
      </c>
      <c r="B5957" s="2" t="s">
        <v>60</v>
      </c>
      <c r="C5957" s="2" t="s">
        <v>57308</v>
      </c>
      <c r="D5957" s="2" t="s">
        <v>57309</v>
      </c>
      <c r="E5957" s="2" t="s">
        <v>57310</v>
      </c>
      <c r="G5957" s="3" t="s">
        <v>62</v>
      </c>
      <c r="I5957" s="3" t="s">
        <v>61</v>
      </c>
      <c r="J5957" s="3" t="s">
        <v>62</v>
      </c>
      <c r="K5957" s="3" t="s">
        <v>63</v>
      </c>
      <c r="L5957" s="2" t="s">
        <v>57311</v>
      </c>
      <c r="M5957" s="2" t="s">
        <v>57312</v>
      </c>
      <c r="N5957" s="3" t="s">
        <v>149</v>
      </c>
      <c r="P5957" s="3" t="s">
        <v>65</v>
      </c>
      <c r="Q5957" s="2" t="s">
        <v>8069</v>
      </c>
      <c r="R5957" s="3" t="s">
        <v>66</v>
      </c>
      <c r="S5957" s="4">
        <v>4</v>
      </c>
      <c r="T5957" s="4">
        <v>9</v>
      </c>
      <c r="U5957" s="5" t="s">
        <v>35407</v>
      </c>
      <c r="V5957" s="5" t="s">
        <v>35407</v>
      </c>
      <c r="W5957" s="5" t="s">
        <v>67</v>
      </c>
      <c r="X5957" s="5" t="s">
        <v>67</v>
      </c>
      <c r="Y5957" s="4">
        <v>293</v>
      </c>
      <c r="Z5957" s="4">
        <v>17</v>
      </c>
      <c r="AA5957" s="4">
        <v>96</v>
      </c>
      <c r="AB5957" s="4">
        <v>2</v>
      </c>
      <c r="AC5957" s="4">
        <v>18</v>
      </c>
      <c r="AD5957" s="4">
        <v>86</v>
      </c>
      <c r="AE5957" s="4">
        <v>141</v>
      </c>
      <c r="AF5957" s="4">
        <v>1</v>
      </c>
      <c r="AG5957" s="4">
        <v>8</v>
      </c>
      <c r="AH5957" s="4">
        <v>77</v>
      </c>
      <c r="AI5957" s="4">
        <v>103</v>
      </c>
      <c r="AJ5957" s="4">
        <v>13</v>
      </c>
      <c r="AK5957" s="4">
        <v>25</v>
      </c>
      <c r="AL5957" s="4">
        <v>45</v>
      </c>
      <c r="AM5957" s="4">
        <v>55</v>
      </c>
      <c r="AN5957" s="4">
        <v>0</v>
      </c>
      <c r="AO5957" s="4">
        <v>0</v>
      </c>
      <c r="AP5957" s="4">
        <v>15</v>
      </c>
      <c r="AQ5957" s="4">
        <v>46</v>
      </c>
      <c r="AR5957" s="3" t="s">
        <v>62</v>
      </c>
      <c r="AS5957" s="3" t="s">
        <v>62</v>
      </c>
      <c r="AT5957" s="3" t="s">
        <v>62</v>
      </c>
      <c r="AV5957" s="6" t="str">
        <f>HYPERLINK("http://mcgill.on.worldcat.org/oclc/403861002","Catalog Record")</f>
        <v>Catalog Record</v>
      </c>
      <c r="AW5957" s="6" t="str">
        <f>HYPERLINK("http://www.worldcat.org/oclc/403861002","WorldCat Record")</f>
        <v>WorldCat Record</v>
      </c>
      <c r="AX5957" s="3" t="s">
        <v>57313</v>
      </c>
      <c r="AY5957" s="3" t="s">
        <v>57314</v>
      </c>
      <c r="AZ5957" s="3" t="s">
        <v>57315</v>
      </c>
      <c r="BA5957" s="3" t="s">
        <v>57315</v>
      </c>
      <c r="BB5957" s="3" t="s">
        <v>57319</v>
      </c>
      <c r="BC5957" s="3" t="s">
        <v>142</v>
      </c>
      <c r="BD5957" s="3" t="s">
        <v>68</v>
      </c>
      <c r="BE5957" s="3" t="s">
        <v>57317</v>
      </c>
      <c r="BF5957" s="3" t="s">
        <v>57319</v>
      </c>
      <c r="BG5957" s="3" t="s">
        <v>57320</v>
      </c>
    </row>
    <row r="5958" spans="1:59" ht="57" x14ac:dyDescent="0.45">
      <c r="A5958" s="2" t="s">
        <v>59</v>
      </c>
      <c r="B5958" s="2" t="s">
        <v>60</v>
      </c>
      <c r="C5958" s="2" t="s">
        <v>57321</v>
      </c>
      <c r="D5958" s="2" t="s">
        <v>57322</v>
      </c>
      <c r="E5958" s="2" t="s">
        <v>57323</v>
      </c>
      <c r="G5958" s="3" t="s">
        <v>62</v>
      </c>
      <c r="I5958" s="3" t="s">
        <v>62</v>
      </c>
      <c r="J5958" s="3" t="s">
        <v>62</v>
      </c>
      <c r="K5958" s="3" t="s">
        <v>63</v>
      </c>
      <c r="L5958" s="2" t="s">
        <v>57324</v>
      </c>
      <c r="M5958" s="2" t="s">
        <v>1713</v>
      </c>
      <c r="N5958" s="3" t="s">
        <v>1155</v>
      </c>
      <c r="P5958" s="3" t="s">
        <v>65</v>
      </c>
      <c r="Q5958" s="2" t="s">
        <v>50998</v>
      </c>
      <c r="R5958" s="3" t="s">
        <v>66</v>
      </c>
      <c r="S5958" s="4">
        <v>1</v>
      </c>
      <c r="T5958" s="4">
        <v>1</v>
      </c>
      <c r="U5958" s="5" t="s">
        <v>8465</v>
      </c>
      <c r="V5958" s="5" t="s">
        <v>8465</v>
      </c>
      <c r="W5958" s="5" t="s">
        <v>67</v>
      </c>
      <c r="X5958" s="5" t="s">
        <v>67</v>
      </c>
      <c r="Y5958" s="4">
        <v>98</v>
      </c>
      <c r="Z5958" s="4">
        <v>9</v>
      </c>
      <c r="AA5958" s="4">
        <v>74</v>
      </c>
      <c r="AB5958" s="4">
        <v>1</v>
      </c>
      <c r="AC5958" s="4">
        <v>14</v>
      </c>
      <c r="AD5958" s="4">
        <v>21</v>
      </c>
      <c r="AE5958" s="4">
        <v>83</v>
      </c>
      <c r="AF5958" s="4">
        <v>0</v>
      </c>
      <c r="AG5958" s="4">
        <v>8</v>
      </c>
      <c r="AH5958" s="4">
        <v>17</v>
      </c>
      <c r="AI5958" s="4">
        <v>53</v>
      </c>
      <c r="AJ5958" s="4">
        <v>6</v>
      </c>
      <c r="AK5958" s="4">
        <v>19</v>
      </c>
      <c r="AL5958" s="4">
        <v>8</v>
      </c>
      <c r="AM5958" s="4">
        <v>23</v>
      </c>
      <c r="AN5958" s="4">
        <v>0</v>
      </c>
      <c r="AO5958" s="4">
        <v>0</v>
      </c>
      <c r="AP5958" s="4">
        <v>7</v>
      </c>
      <c r="AQ5958" s="4">
        <v>38</v>
      </c>
      <c r="AR5958" s="3" t="s">
        <v>62</v>
      </c>
      <c r="AS5958" s="3" t="s">
        <v>62</v>
      </c>
      <c r="AT5958" s="3" t="s">
        <v>62</v>
      </c>
      <c r="AV5958" s="6" t="str">
        <f>HYPERLINK("http://mcgill.on.worldcat.org/oclc/751250793","Catalog Record")</f>
        <v>Catalog Record</v>
      </c>
      <c r="AW5958" s="6" t="str">
        <f>HYPERLINK("http://www.worldcat.org/oclc/751250793","WorldCat Record")</f>
        <v>WorldCat Record</v>
      </c>
      <c r="AX5958" s="3" t="s">
        <v>57325</v>
      </c>
      <c r="AY5958" s="3" t="s">
        <v>57326</v>
      </c>
      <c r="AZ5958" s="3" t="s">
        <v>57327</v>
      </c>
      <c r="BA5958" s="3" t="s">
        <v>57327</v>
      </c>
      <c r="BB5958" s="3" t="s">
        <v>57328</v>
      </c>
      <c r="BC5958" s="3" t="s">
        <v>142</v>
      </c>
      <c r="BD5958" s="3" t="s">
        <v>68</v>
      </c>
      <c r="BE5958" s="3" t="s">
        <v>57329</v>
      </c>
      <c r="BF5958" s="3" t="s">
        <v>57328</v>
      </c>
      <c r="BG5958" s="3" t="s">
        <v>57330</v>
      </c>
    </row>
    <row r="5959" spans="1:59" ht="57" x14ac:dyDescent="0.45">
      <c r="A5959" s="2" t="s">
        <v>59</v>
      </c>
      <c r="B5959" s="2" t="s">
        <v>60</v>
      </c>
      <c r="C5959" s="2" t="s">
        <v>57331</v>
      </c>
      <c r="D5959" s="2" t="s">
        <v>57332</v>
      </c>
      <c r="E5959" s="2" t="s">
        <v>57333</v>
      </c>
      <c r="G5959" s="3" t="s">
        <v>62</v>
      </c>
      <c r="I5959" s="3" t="s">
        <v>61</v>
      </c>
      <c r="J5959" s="3" t="s">
        <v>62</v>
      </c>
      <c r="K5959" s="3" t="s">
        <v>63</v>
      </c>
      <c r="L5959" s="2" t="s">
        <v>57334</v>
      </c>
      <c r="M5959" s="2" t="s">
        <v>57335</v>
      </c>
      <c r="N5959" s="3" t="s">
        <v>195</v>
      </c>
      <c r="P5959" s="3" t="s">
        <v>110</v>
      </c>
      <c r="R5959" s="3" t="s">
        <v>66</v>
      </c>
      <c r="S5959" s="4">
        <v>18</v>
      </c>
      <c r="T5959" s="4">
        <v>37</v>
      </c>
      <c r="U5959" s="5" t="s">
        <v>1988</v>
      </c>
      <c r="V5959" s="5" t="s">
        <v>49598</v>
      </c>
      <c r="W5959" s="5" t="s">
        <v>67</v>
      </c>
      <c r="X5959" s="5" t="s">
        <v>67</v>
      </c>
      <c r="Y5959" s="4">
        <v>54</v>
      </c>
      <c r="Z5959" s="4">
        <v>30</v>
      </c>
      <c r="AA5959" s="4">
        <v>37</v>
      </c>
      <c r="AB5959" s="4">
        <v>16</v>
      </c>
      <c r="AC5959" s="4">
        <v>18</v>
      </c>
      <c r="AD5959" s="4">
        <v>14</v>
      </c>
      <c r="AE5959" s="4">
        <v>20</v>
      </c>
      <c r="AF5959" s="4">
        <v>4</v>
      </c>
      <c r="AG5959" s="4">
        <v>6</v>
      </c>
      <c r="AH5959" s="4">
        <v>7</v>
      </c>
      <c r="AI5959" s="4">
        <v>8</v>
      </c>
      <c r="AJ5959" s="4">
        <v>12</v>
      </c>
      <c r="AK5959" s="4">
        <v>16</v>
      </c>
      <c r="AL5959" s="4">
        <v>1</v>
      </c>
      <c r="AM5959" s="4">
        <v>2</v>
      </c>
      <c r="AN5959" s="4">
        <v>0</v>
      </c>
      <c r="AO5959" s="4">
        <v>0</v>
      </c>
      <c r="AP5959" s="4">
        <v>11</v>
      </c>
      <c r="AQ5959" s="4">
        <v>17</v>
      </c>
      <c r="AR5959" s="3" t="s">
        <v>61</v>
      </c>
      <c r="AS5959" s="3" t="s">
        <v>62</v>
      </c>
      <c r="AT5959" s="3" t="s">
        <v>62</v>
      </c>
      <c r="AV5959" s="6" t="str">
        <f>HYPERLINK("http://mcgill.on.worldcat.org/oclc/28502680","Catalog Record")</f>
        <v>Catalog Record</v>
      </c>
      <c r="AW5959" s="6" t="str">
        <f>HYPERLINK("http://www.worldcat.org/oclc/28502680","WorldCat Record")</f>
        <v>WorldCat Record</v>
      </c>
      <c r="AX5959" s="3" t="s">
        <v>57336</v>
      </c>
      <c r="AY5959" s="3" t="s">
        <v>57337</v>
      </c>
      <c r="AZ5959" s="3" t="s">
        <v>57338</v>
      </c>
      <c r="BA5959" s="3" t="s">
        <v>57338</v>
      </c>
      <c r="BB5959" s="3" t="s">
        <v>57339</v>
      </c>
      <c r="BC5959" s="3" t="s">
        <v>142</v>
      </c>
      <c r="BD5959" s="3" t="s">
        <v>68</v>
      </c>
      <c r="BE5959" s="3" t="s">
        <v>57340</v>
      </c>
      <c r="BF5959" s="3" t="s">
        <v>57339</v>
      </c>
      <c r="BG5959" s="3" t="s">
        <v>57341</v>
      </c>
    </row>
    <row r="5960" spans="1:59" ht="57" x14ac:dyDescent="0.45">
      <c r="A5960" s="2" t="s">
        <v>59</v>
      </c>
      <c r="B5960" s="2" t="s">
        <v>60</v>
      </c>
      <c r="C5960" s="2" t="s">
        <v>57331</v>
      </c>
      <c r="D5960" s="2" t="s">
        <v>57332</v>
      </c>
      <c r="E5960" s="2" t="s">
        <v>57333</v>
      </c>
      <c r="G5960" s="3" t="s">
        <v>62</v>
      </c>
      <c r="I5960" s="3" t="s">
        <v>61</v>
      </c>
      <c r="J5960" s="3" t="s">
        <v>62</v>
      </c>
      <c r="K5960" s="3" t="s">
        <v>63</v>
      </c>
      <c r="L5960" s="2" t="s">
        <v>57334</v>
      </c>
      <c r="M5960" s="2" t="s">
        <v>57335</v>
      </c>
      <c r="N5960" s="3" t="s">
        <v>195</v>
      </c>
      <c r="P5960" s="3" t="s">
        <v>110</v>
      </c>
      <c r="R5960" s="3" t="s">
        <v>66</v>
      </c>
      <c r="S5960" s="4">
        <v>19</v>
      </c>
      <c r="T5960" s="4">
        <v>37</v>
      </c>
      <c r="U5960" s="5" t="s">
        <v>49598</v>
      </c>
      <c r="V5960" s="5" t="s">
        <v>49598</v>
      </c>
      <c r="W5960" s="5" t="s">
        <v>67</v>
      </c>
      <c r="X5960" s="5" t="s">
        <v>67</v>
      </c>
      <c r="Y5960" s="4">
        <v>54</v>
      </c>
      <c r="Z5960" s="4">
        <v>30</v>
      </c>
      <c r="AA5960" s="4">
        <v>37</v>
      </c>
      <c r="AB5960" s="4">
        <v>16</v>
      </c>
      <c r="AC5960" s="4">
        <v>18</v>
      </c>
      <c r="AD5960" s="4">
        <v>14</v>
      </c>
      <c r="AE5960" s="4">
        <v>20</v>
      </c>
      <c r="AF5960" s="4">
        <v>4</v>
      </c>
      <c r="AG5960" s="4">
        <v>6</v>
      </c>
      <c r="AH5960" s="4">
        <v>7</v>
      </c>
      <c r="AI5960" s="4">
        <v>8</v>
      </c>
      <c r="AJ5960" s="4">
        <v>12</v>
      </c>
      <c r="AK5960" s="4">
        <v>16</v>
      </c>
      <c r="AL5960" s="4">
        <v>1</v>
      </c>
      <c r="AM5960" s="4">
        <v>2</v>
      </c>
      <c r="AN5960" s="4">
        <v>0</v>
      </c>
      <c r="AO5960" s="4">
        <v>0</v>
      </c>
      <c r="AP5960" s="4">
        <v>11</v>
      </c>
      <c r="AQ5960" s="4">
        <v>17</v>
      </c>
      <c r="AR5960" s="3" t="s">
        <v>61</v>
      </c>
      <c r="AS5960" s="3" t="s">
        <v>62</v>
      </c>
      <c r="AT5960" s="3" t="s">
        <v>62</v>
      </c>
      <c r="AV5960" s="6" t="str">
        <f>HYPERLINK("http://mcgill.on.worldcat.org/oclc/28502680","Catalog Record")</f>
        <v>Catalog Record</v>
      </c>
      <c r="AW5960" s="6" t="str">
        <f>HYPERLINK("http://www.worldcat.org/oclc/28502680","WorldCat Record")</f>
        <v>WorldCat Record</v>
      </c>
      <c r="AX5960" s="3" t="s">
        <v>57336</v>
      </c>
      <c r="AY5960" s="3" t="s">
        <v>57337</v>
      </c>
      <c r="AZ5960" s="3" t="s">
        <v>57338</v>
      </c>
      <c r="BA5960" s="3" t="s">
        <v>57338</v>
      </c>
      <c r="BB5960" s="3" t="s">
        <v>57342</v>
      </c>
      <c r="BC5960" s="3" t="s">
        <v>142</v>
      </c>
      <c r="BD5960" s="3" t="s">
        <v>68</v>
      </c>
      <c r="BE5960" s="3" t="s">
        <v>57340</v>
      </c>
      <c r="BF5960" s="3" t="s">
        <v>57342</v>
      </c>
      <c r="BG5960" s="3" t="s">
        <v>57343</v>
      </c>
    </row>
    <row r="5961" spans="1:59" ht="57" x14ac:dyDescent="0.45">
      <c r="A5961" s="2" t="s">
        <v>59</v>
      </c>
      <c r="B5961" s="2" t="s">
        <v>60</v>
      </c>
      <c r="C5961" s="2" t="s">
        <v>57344</v>
      </c>
      <c r="D5961" s="2" t="s">
        <v>57345</v>
      </c>
      <c r="E5961" s="2" t="s">
        <v>57346</v>
      </c>
      <c r="G5961" s="3" t="s">
        <v>62</v>
      </c>
      <c r="I5961" s="3" t="s">
        <v>62</v>
      </c>
      <c r="J5961" s="3" t="s">
        <v>62</v>
      </c>
      <c r="K5961" s="3" t="s">
        <v>63</v>
      </c>
      <c r="L5961" s="2" t="s">
        <v>57347</v>
      </c>
      <c r="M5961" s="2" t="s">
        <v>26167</v>
      </c>
      <c r="N5961" s="3" t="s">
        <v>894</v>
      </c>
      <c r="P5961" s="3" t="s">
        <v>65</v>
      </c>
      <c r="Q5961" s="2" t="s">
        <v>26168</v>
      </c>
      <c r="R5961" s="3" t="s">
        <v>66</v>
      </c>
      <c r="S5961" s="4">
        <v>2</v>
      </c>
      <c r="T5961" s="4">
        <v>2</v>
      </c>
      <c r="U5961" s="5" t="s">
        <v>18072</v>
      </c>
      <c r="V5961" s="5" t="s">
        <v>18072</v>
      </c>
      <c r="W5961" s="5" t="s">
        <v>67</v>
      </c>
      <c r="X5961" s="5" t="s">
        <v>67</v>
      </c>
      <c r="Y5961" s="4">
        <v>221</v>
      </c>
      <c r="Z5961" s="4">
        <v>25</v>
      </c>
      <c r="AA5961" s="4">
        <v>105</v>
      </c>
      <c r="AB5961" s="4">
        <v>2</v>
      </c>
      <c r="AC5961" s="4">
        <v>20</v>
      </c>
      <c r="AD5961" s="4">
        <v>87</v>
      </c>
      <c r="AE5961" s="4">
        <v>139</v>
      </c>
      <c r="AF5961" s="4">
        <v>0</v>
      </c>
      <c r="AG5961" s="4">
        <v>8</v>
      </c>
      <c r="AH5961" s="4">
        <v>76</v>
      </c>
      <c r="AI5961" s="4">
        <v>99</v>
      </c>
      <c r="AJ5961" s="4">
        <v>16</v>
      </c>
      <c r="AK5961" s="4">
        <v>26</v>
      </c>
      <c r="AL5961" s="4">
        <v>41</v>
      </c>
      <c r="AM5961" s="4">
        <v>51</v>
      </c>
      <c r="AN5961" s="4">
        <v>0</v>
      </c>
      <c r="AO5961" s="4">
        <v>0</v>
      </c>
      <c r="AP5961" s="4">
        <v>21</v>
      </c>
      <c r="AQ5961" s="4">
        <v>50</v>
      </c>
      <c r="AR5961" s="3" t="s">
        <v>62</v>
      </c>
      <c r="AS5961" s="3" t="s">
        <v>62</v>
      </c>
      <c r="AT5961" s="3" t="s">
        <v>62</v>
      </c>
      <c r="AV5961" s="6" t="str">
        <f>HYPERLINK("http://mcgill.on.worldcat.org/oclc/712115542","Catalog Record")</f>
        <v>Catalog Record</v>
      </c>
      <c r="AW5961" s="6" t="str">
        <f>HYPERLINK("http://www.worldcat.org/oclc/712115542","WorldCat Record")</f>
        <v>WorldCat Record</v>
      </c>
      <c r="AX5961" s="3" t="s">
        <v>57348</v>
      </c>
      <c r="AY5961" s="3" t="s">
        <v>57349</v>
      </c>
      <c r="AZ5961" s="3" t="s">
        <v>57350</v>
      </c>
      <c r="BA5961" s="3" t="s">
        <v>57350</v>
      </c>
      <c r="BB5961" s="3" t="s">
        <v>57351</v>
      </c>
      <c r="BC5961" s="3" t="s">
        <v>142</v>
      </c>
      <c r="BD5961" s="3" t="s">
        <v>68</v>
      </c>
      <c r="BE5961" s="3" t="s">
        <v>57352</v>
      </c>
      <c r="BF5961" s="3" t="s">
        <v>57351</v>
      </c>
      <c r="BG5961" s="3" t="s">
        <v>57353</v>
      </c>
    </row>
    <row r="5962" spans="1:59" ht="57" x14ac:dyDescent="0.45">
      <c r="A5962" s="2" t="s">
        <v>59</v>
      </c>
      <c r="B5962" s="2" t="s">
        <v>60</v>
      </c>
      <c r="C5962" s="2" t="s">
        <v>57354</v>
      </c>
      <c r="D5962" s="2" t="s">
        <v>57355</v>
      </c>
      <c r="E5962" s="2" t="s">
        <v>57356</v>
      </c>
      <c r="G5962" s="3" t="s">
        <v>62</v>
      </c>
      <c r="I5962" s="3" t="s">
        <v>62</v>
      </c>
      <c r="J5962" s="3" t="s">
        <v>62</v>
      </c>
      <c r="K5962" s="3" t="s">
        <v>63</v>
      </c>
      <c r="L5962" s="2" t="s">
        <v>57347</v>
      </c>
      <c r="M5962" s="2" t="s">
        <v>57357</v>
      </c>
      <c r="N5962" s="3" t="s">
        <v>116</v>
      </c>
      <c r="P5962" s="3" t="s">
        <v>65</v>
      </c>
      <c r="Q5962" s="2" t="s">
        <v>56862</v>
      </c>
      <c r="R5962" s="3" t="s">
        <v>66</v>
      </c>
      <c r="S5962" s="4">
        <v>2</v>
      </c>
      <c r="T5962" s="4">
        <v>2</v>
      </c>
      <c r="U5962" s="5" t="s">
        <v>55853</v>
      </c>
      <c r="V5962" s="5" t="s">
        <v>55853</v>
      </c>
      <c r="W5962" s="5" t="s">
        <v>67</v>
      </c>
      <c r="X5962" s="5" t="s">
        <v>67</v>
      </c>
      <c r="Y5962" s="4">
        <v>205</v>
      </c>
      <c r="Z5962" s="4">
        <v>21</v>
      </c>
      <c r="AA5962" s="4">
        <v>34</v>
      </c>
      <c r="AB5962" s="4">
        <v>1</v>
      </c>
      <c r="AC5962" s="4">
        <v>5</v>
      </c>
      <c r="AD5962" s="4">
        <v>81</v>
      </c>
      <c r="AE5962" s="4">
        <v>100</v>
      </c>
      <c r="AF5962" s="4">
        <v>0</v>
      </c>
      <c r="AG5962" s="4">
        <v>3</v>
      </c>
      <c r="AH5962" s="4">
        <v>71</v>
      </c>
      <c r="AI5962" s="4">
        <v>85</v>
      </c>
      <c r="AJ5962" s="4">
        <v>16</v>
      </c>
      <c r="AK5962" s="4">
        <v>20</v>
      </c>
      <c r="AL5962" s="4">
        <v>46</v>
      </c>
      <c r="AM5962" s="4">
        <v>49</v>
      </c>
      <c r="AN5962" s="4">
        <v>0</v>
      </c>
      <c r="AO5962" s="4">
        <v>0</v>
      </c>
      <c r="AP5962" s="4">
        <v>18</v>
      </c>
      <c r="AQ5962" s="4">
        <v>25</v>
      </c>
      <c r="AR5962" s="3" t="s">
        <v>62</v>
      </c>
      <c r="AS5962" s="3" t="s">
        <v>62</v>
      </c>
      <c r="AT5962" s="3" t="s">
        <v>62</v>
      </c>
      <c r="AV5962" s="6" t="str">
        <f>HYPERLINK("http://mcgill.on.worldcat.org/oclc/813300950","Catalog Record")</f>
        <v>Catalog Record</v>
      </c>
      <c r="AW5962" s="6" t="str">
        <f>HYPERLINK("http://www.worldcat.org/oclc/813300950","WorldCat Record")</f>
        <v>WorldCat Record</v>
      </c>
      <c r="AX5962" s="3" t="s">
        <v>57358</v>
      </c>
      <c r="AY5962" s="3" t="s">
        <v>57359</v>
      </c>
      <c r="AZ5962" s="3" t="s">
        <v>57360</v>
      </c>
      <c r="BA5962" s="3" t="s">
        <v>57360</v>
      </c>
      <c r="BB5962" s="3" t="s">
        <v>57361</v>
      </c>
      <c r="BC5962" s="3" t="s">
        <v>142</v>
      </c>
      <c r="BD5962" s="3" t="s">
        <v>68</v>
      </c>
      <c r="BE5962" s="3" t="s">
        <v>57362</v>
      </c>
      <c r="BF5962" s="3" t="s">
        <v>57361</v>
      </c>
      <c r="BG5962" s="3" t="s">
        <v>57363</v>
      </c>
    </row>
    <row r="5963" spans="1:59" ht="57" x14ac:dyDescent="0.45">
      <c r="A5963" s="2" t="s">
        <v>59</v>
      </c>
      <c r="B5963" s="2" t="s">
        <v>60</v>
      </c>
      <c r="C5963" s="2" t="s">
        <v>57364</v>
      </c>
      <c r="D5963" s="2" t="s">
        <v>57365</v>
      </c>
      <c r="E5963" s="2" t="s">
        <v>57366</v>
      </c>
      <c r="G5963" s="3" t="s">
        <v>62</v>
      </c>
      <c r="I5963" s="3" t="s">
        <v>62</v>
      </c>
      <c r="J5963" s="3" t="s">
        <v>62</v>
      </c>
      <c r="K5963" s="3" t="s">
        <v>63</v>
      </c>
      <c r="L5963" s="2" t="s">
        <v>57367</v>
      </c>
      <c r="M5963" s="2" t="s">
        <v>5879</v>
      </c>
      <c r="N5963" s="3" t="s">
        <v>1155</v>
      </c>
      <c r="P5963" s="3" t="s">
        <v>65</v>
      </c>
      <c r="R5963" s="3" t="s">
        <v>66</v>
      </c>
      <c r="S5963" s="4">
        <v>6</v>
      </c>
      <c r="T5963" s="4">
        <v>6</v>
      </c>
      <c r="U5963" s="5" t="s">
        <v>17827</v>
      </c>
      <c r="V5963" s="5" t="s">
        <v>17827</v>
      </c>
      <c r="W5963" s="5" t="s">
        <v>67</v>
      </c>
      <c r="X5963" s="5" t="s">
        <v>67</v>
      </c>
      <c r="Y5963" s="4">
        <v>127</v>
      </c>
      <c r="Z5963" s="4">
        <v>17</v>
      </c>
      <c r="AA5963" s="4">
        <v>78</v>
      </c>
      <c r="AB5963" s="4">
        <v>2</v>
      </c>
      <c r="AC5963" s="4">
        <v>15</v>
      </c>
      <c r="AD5963" s="4">
        <v>50</v>
      </c>
      <c r="AE5963" s="4">
        <v>104</v>
      </c>
      <c r="AF5963" s="4">
        <v>1</v>
      </c>
      <c r="AG5963" s="4">
        <v>8</v>
      </c>
      <c r="AH5963" s="4">
        <v>45</v>
      </c>
      <c r="AI5963" s="4">
        <v>72</v>
      </c>
      <c r="AJ5963" s="4">
        <v>13</v>
      </c>
      <c r="AK5963" s="4">
        <v>22</v>
      </c>
      <c r="AL5963" s="4">
        <v>23</v>
      </c>
      <c r="AM5963" s="4">
        <v>37</v>
      </c>
      <c r="AN5963" s="4">
        <v>0</v>
      </c>
      <c r="AO5963" s="4">
        <v>0</v>
      </c>
      <c r="AP5963" s="4">
        <v>14</v>
      </c>
      <c r="AQ5963" s="4">
        <v>41</v>
      </c>
      <c r="AR5963" s="3" t="s">
        <v>62</v>
      </c>
      <c r="AS5963" s="3" t="s">
        <v>62</v>
      </c>
      <c r="AT5963" s="3" t="s">
        <v>62</v>
      </c>
      <c r="AV5963" s="6" t="str">
        <f>HYPERLINK("http://mcgill.on.worldcat.org/oclc/706022550","Catalog Record")</f>
        <v>Catalog Record</v>
      </c>
      <c r="AW5963" s="6" t="str">
        <f>HYPERLINK("http://www.worldcat.org/oclc/706022550","WorldCat Record")</f>
        <v>WorldCat Record</v>
      </c>
      <c r="AX5963" s="3" t="s">
        <v>57368</v>
      </c>
      <c r="AY5963" s="3" t="s">
        <v>57369</v>
      </c>
      <c r="AZ5963" s="3" t="s">
        <v>57370</v>
      </c>
      <c r="BA5963" s="3" t="s">
        <v>57370</v>
      </c>
      <c r="BB5963" s="3" t="s">
        <v>57371</v>
      </c>
      <c r="BC5963" s="3" t="s">
        <v>142</v>
      </c>
      <c r="BD5963" s="3" t="s">
        <v>68</v>
      </c>
      <c r="BE5963" s="3" t="s">
        <v>57372</v>
      </c>
      <c r="BF5963" s="3" t="s">
        <v>57371</v>
      </c>
      <c r="BG5963" s="3" t="s">
        <v>57373</v>
      </c>
    </row>
    <row r="5964" spans="1:59" ht="57" x14ac:dyDescent="0.45">
      <c r="A5964" s="2" t="s">
        <v>59</v>
      </c>
      <c r="B5964" s="2" t="s">
        <v>60</v>
      </c>
      <c r="C5964" s="2" t="s">
        <v>57374</v>
      </c>
      <c r="D5964" s="2" t="s">
        <v>57375</v>
      </c>
      <c r="E5964" s="2" t="s">
        <v>57376</v>
      </c>
      <c r="G5964" s="3" t="s">
        <v>62</v>
      </c>
      <c r="I5964" s="3" t="s">
        <v>62</v>
      </c>
      <c r="J5964" s="3" t="s">
        <v>62</v>
      </c>
      <c r="K5964" s="3" t="s">
        <v>63</v>
      </c>
      <c r="L5964" s="2" t="s">
        <v>57377</v>
      </c>
      <c r="M5964" s="2" t="s">
        <v>40350</v>
      </c>
      <c r="N5964" s="3" t="s">
        <v>125</v>
      </c>
      <c r="P5964" s="3" t="s">
        <v>65</v>
      </c>
      <c r="Q5964" s="2" t="s">
        <v>57378</v>
      </c>
      <c r="R5964" s="3" t="s">
        <v>66</v>
      </c>
      <c r="S5964" s="4">
        <v>15</v>
      </c>
      <c r="T5964" s="4">
        <v>15</v>
      </c>
      <c r="U5964" s="5" t="s">
        <v>13521</v>
      </c>
      <c r="V5964" s="5" t="s">
        <v>13521</v>
      </c>
      <c r="W5964" s="5" t="s">
        <v>67</v>
      </c>
      <c r="X5964" s="5" t="s">
        <v>67</v>
      </c>
      <c r="Y5964" s="4">
        <v>179</v>
      </c>
      <c r="Z5964" s="4">
        <v>13</v>
      </c>
      <c r="AA5964" s="4">
        <v>16</v>
      </c>
      <c r="AB5964" s="4">
        <v>1</v>
      </c>
      <c r="AC5964" s="4">
        <v>3</v>
      </c>
      <c r="AD5964" s="4">
        <v>80</v>
      </c>
      <c r="AE5964" s="4">
        <v>82</v>
      </c>
      <c r="AF5964" s="4">
        <v>0</v>
      </c>
      <c r="AG5964" s="4">
        <v>1</v>
      </c>
      <c r="AH5964" s="4">
        <v>72</v>
      </c>
      <c r="AI5964" s="4">
        <v>73</v>
      </c>
      <c r="AJ5964" s="4">
        <v>11</v>
      </c>
      <c r="AK5964" s="4">
        <v>12</v>
      </c>
      <c r="AL5964" s="4">
        <v>43</v>
      </c>
      <c r="AM5964" s="4">
        <v>43</v>
      </c>
      <c r="AN5964" s="4">
        <v>0</v>
      </c>
      <c r="AO5964" s="4">
        <v>0</v>
      </c>
      <c r="AP5964" s="4">
        <v>11</v>
      </c>
      <c r="AQ5964" s="4">
        <v>13</v>
      </c>
      <c r="AR5964" s="3" t="s">
        <v>62</v>
      </c>
      <c r="AS5964" s="3" t="s">
        <v>62</v>
      </c>
      <c r="AT5964" s="3" t="s">
        <v>61</v>
      </c>
      <c r="AU5964" s="6" t="str">
        <f>HYPERLINK("http://catalog.hathitrust.org/Record/002168178","HathiTrust Record")</f>
        <v>HathiTrust Record</v>
      </c>
      <c r="AV5964" s="6" t="str">
        <f>HYPERLINK("http://mcgill.on.worldcat.org/oclc/21228206","Catalog Record")</f>
        <v>Catalog Record</v>
      </c>
      <c r="AW5964" s="6" t="str">
        <f>HYPERLINK("http://www.worldcat.org/oclc/21228206","WorldCat Record")</f>
        <v>WorldCat Record</v>
      </c>
      <c r="AX5964" s="3" t="s">
        <v>57379</v>
      </c>
      <c r="AY5964" s="3" t="s">
        <v>57380</v>
      </c>
      <c r="AZ5964" s="3" t="s">
        <v>57381</v>
      </c>
      <c r="BA5964" s="3" t="s">
        <v>57381</v>
      </c>
      <c r="BB5964" s="3" t="s">
        <v>57382</v>
      </c>
      <c r="BC5964" s="3" t="s">
        <v>142</v>
      </c>
      <c r="BD5964" s="3" t="s">
        <v>68</v>
      </c>
      <c r="BE5964" s="3" t="s">
        <v>57383</v>
      </c>
      <c r="BF5964" s="3" t="s">
        <v>57382</v>
      </c>
      <c r="BG5964" s="3" t="s">
        <v>57384</v>
      </c>
    </row>
    <row r="5965" spans="1:59" ht="57" x14ac:dyDescent="0.45">
      <c r="A5965" s="2" t="s">
        <v>59</v>
      </c>
      <c r="B5965" s="2" t="s">
        <v>60</v>
      </c>
      <c r="C5965" s="2" t="s">
        <v>57385</v>
      </c>
      <c r="D5965" s="2" t="s">
        <v>57386</v>
      </c>
      <c r="E5965" s="2" t="s">
        <v>57387</v>
      </c>
      <c r="G5965" s="3" t="s">
        <v>62</v>
      </c>
      <c r="I5965" s="3" t="s">
        <v>62</v>
      </c>
      <c r="J5965" s="3" t="s">
        <v>62</v>
      </c>
      <c r="K5965" s="3" t="s">
        <v>63</v>
      </c>
      <c r="L5965" s="2" t="s">
        <v>57388</v>
      </c>
      <c r="M5965" s="2" t="s">
        <v>57389</v>
      </c>
      <c r="N5965" s="3" t="s">
        <v>807</v>
      </c>
      <c r="P5965" s="3" t="s">
        <v>65</v>
      </c>
      <c r="Q5965" s="2" t="s">
        <v>57390</v>
      </c>
      <c r="R5965" s="3" t="s">
        <v>66</v>
      </c>
      <c r="S5965" s="4">
        <v>67</v>
      </c>
      <c r="T5965" s="4">
        <v>67</v>
      </c>
      <c r="U5965" s="5" t="s">
        <v>2966</v>
      </c>
      <c r="V5965" s="5" t="s">
        <v>2966</v>
      </c>
      <c r="W5965" s="5" t="s">
        <v>67</v>
      </c>
      <c r="X5965" s="5" t="s">
        <v>67</v>
      </c>
      <c r="Y5965" s="4">
        <v>401</v>
      </c>
      <c r="Z5965" s="4">
        <v>28</v>
      </c>
      <c r="AA5965" s="4">
        <v>104</v>
      </c>
      <c r="AB5965" s="4">
        <v>1</v>
      </c>
      <c r="AC5965" s="4">
        <v>17</v>
      </c>
      <c r="AD5965" s="4">
        <v>116</v>
      </c>
      <c r="AE5965" s="4">
        <v>147</v>
      </c>
      <c r="AF5965" s="4">
        <v>0</v>
      </c>
      <c r="AG5965" s="4">
        <v>8</v>
      </c>
      <c r="AH5965" s="4">
        <v>101</v>
      </c>
      <c r="AI5965" s="4">
        <v>107</v>
      </c>
      <c r="AJ5965" s="4">
        <v>19</v>
      </c>
      <c r="AK5965" s="4">
        <v>26</v>
      </c>
      <c r="AL5965" s="4">
        <v>56</v>
      </c>
      <c r="AM5965" s="4">
        <v>57</v>
      </c>
      <c r="AN5965" s="4">
        <v>0</v>
      </c>
      <c r="AO5965" s="4">
        <v>0</v>
      </c>
      <c r="AP5965" s="4">
        <v>23</v>
      </c>
      <c r="AQ5965" s="4">
        <v>49</v>
      </c>
      <c r="AR5965" s="3" t="s">
        <v>62</v>
      </c>
      <c r="AS5965" s="3" t="s">
        <v>62</v>
      </c>
      <c r="AT5965" s="3" t="s">
        <v>61</v>
      </c>
      <c r="AU5965" s="6" t="str">
        <f>HYPERLINK("http://catalog.hathitrust.org/Record/002503216","HathiTrust Record")</f>
        <v>HathiTrust Record</v>
      </c>
      <c r="AV5965" s="6" t="str">
        <f>HYPERLINK("http://mcgill.on.worldcat.org/oclc/22953989","Catalog Record")</f>
        <v>Catalog Record</v>
      </c>
      <c r="AW5965" s="6" t="str">
        <f>HYPERLINK("http://www.worldcat.org/oclc/22953989","WorldCat Record")</f>
        <v>WorldCat Record</v>
      </c>
      <c r="AX5965" s="3" t="s">
        <v>57391</v>
      </c>
      <c r="AY5965" s="3" t="s">
        <v>57392</v>
      </c>
      <c r="AZ5965" s="3" t="s">
        <v>57393</v>
      </c>
      <c r="BA5965" s="3" t="s">
        <v>57393</v>
      </c>
      <c r="BB5965" s="3" t="s">
        <v>57394</v>
      </c>
      <c r="BC5965" s="3" t="s">
        <v>142</v>
      </c>
      <c r="BD5965" s="3" t="s">
        <v>68</v>
      </c>
      <c r="BE5965" s="3" t="s">
        <v>57395</v>
      </c>
      <c r="BF5965" s="3" t="s">
        <v>57394</v>
      </c>
      <c r="BG5965" s="3" t="s">
        <v>57396</v>
      </c>
    </row>
    <row r="5966" spans="1:59" ht="57" x14ac:dyDescent="0.45">
      <c r="A5966" s="2" t="s">
        <v>59</v>
      </c>
      <c r="B5966" s="2" t="s">
        <v>60</v>
      </c>
      <c r="C5966" s="2" t="s">
        <v>57397</v>
      </c>
      <c r="D5966" s="2" t="s">
        <v>57398</v>
      </c>
      <c r="E5966" s="2" t="s">
        <v>57399</v>
      </c>
      <c r="G5966" s="3" t="s">
        <v>62</v>
      </c>
      <c r="I5966" s="3" t="s">
        <v>62</v>
      </c>
      <c r="J5966" s="3" t="s">
        <v>62</v>
      </c>
      <c r="K5966" s="3" t="s">
        <v>63</v>
      </c>
      <c r="L5966" s="2" t="s">
        <v>57400</v>
      </c>
      <c r="M5966" s="2" t="s">
        <v>57401</v>
      </c>
      <c r="N5966" s="3" t="s">
        <v>1155</v>
      </c>
      <c r="P5966" s="3" t="s">
        <v>114</v>
      </c>
      <c r="R5966" s="3" t="s">
        <v>66</v>
      </c>
      <c r="S5966" s="4">
        <v>2</v>
      </c>
      <c r="T5966" s="4">
        <v>2</v>
      </c>
      <c r="U5966" s="5" t="s">
        <v>17306</v>
      </c>
      <c r="V5966" s="5" t="s">
        <v>17306</v>
      </c>
      <c r="W5966" s="5" t="s">
        <v>67</v>
      </c>
      <c r="X5966" s="5" t="s">
        <v>67</v>
      </c>
      <c r="Y5966" s="4">
        <v>54</v>
      </c>
      <c r="Z5966" s="4">
        <v>5</v>
      </c>
      <c r="AA5966" s="4">
        <v>7</v>
      </c>
      <c r="AB5966" s="4">
        <v>1</v>
      </c>
      <c r="AC5966" s="4">
        <v>3</v>
      </c>
      <c r="AD5966" s="4">
        <v>25</v>
      </c>
      <c r="AE5966" s="4">
        <v>26</v>
      </c>
      <c r="AF5966" s="4">
        <v>0</v>
      </c>
      <c r="AG5966" s="4">
        <v>1</v>
      </c>
      <c r="AH5966" s="4">
        <v>24</v>
      </c>
      <c r="AI5966" s="4">
        <v>24</v>
      </c>
      <c r="AJ5966" s="4">
        <v>3</v>
      </c>
      <c r="AK5966" s="4">
        <v>4</v>
      </c>
      <c r="AL5966" s="4">
        <v>19</v>
      </c>
      <c r="AM5966" s="4">
        <v>19</v>
      </c>
      <c r="AN5966" s="4">
        <v>0</v>
      </c>
      <c r="AO5966" s="4">
        <v>0</v>
      </c>
      <c r="AP5966" s="4">
        <v>3</v>
      </c>
      <c r="AQ5966" s="4">
        <v>3</v>
      </c>
      <c r="AR5966" s="3" t="s">
        <v>62</v>
      </c>
      <c r="AS5966" s="3" t="s">
        <v>62</v>
      </c>
      <c r="AT5966" s="3" t="s">
        <v>62</v>
      </c>
      <c r="AV5966" s="6" t="str">
        <f>HYPERLINK("http://mcgill.on.worldcat.org/oclc/813004821","Catalog Record")</f>
        <v>Catalog Record</v>
      </c>
      <c r="AW5966" s="6" t="str">
        <f>HYPERLINK("http://www.worldcat.org/oclc/813004821","WorldCat Record")</f>
        <v>WorldCat Record</v>
      </c>
      <c r="AX5966" s="3" t="s">
        <v>57402</v>
      </c>
      <c r="AY5966" s="3" t="s">
        <v>57403</v>
      </c>
      <c r="AZ5966" s="3" t="s">
        <v>57404</v>
      </c>
      <c r="BA5966" s="3" t="s">
        <v>57404</v>
      </c>
      <c r="BB5966" s="3" t="s">
        <v>57405</v>
      </c>
      <c r="BC5966" s="3" t="s">
        <v>142</v>
      </c>
      <c r="BD5966" s="3" t="s">
        <v>68</v>
      </c>
      <c r="BE5966" s="3" t="s">
        <v>57406</v>
      </c>
      <c r="BF5966" s="3" t="s">
        <v>57405</v>
      </c>
      <c r="BG5966" s="3" t="s">
        <v>57407</v>
      </c>
    </row>
    <row r="5967" spans="1:59" ht="57" x14ac:dyDescent="0.45">
      <c r="A5967" s="2" t="s">
        <v>59</v>
      </c>
      <c r="B5967" s="2" t="s">
        <v>60</v>
      </c>
      <c r="C5967" s="2" t="s">
        <v>57408</v>
      </c>
      <c r="D5967" s="2" t="s">
        <v>57409</v>
      </c>
      <c r="E5967" s="2" t="s">
        <v>57410</v>
      </c>
      <c r="G5967" s="3" t="s">
        <v>62</v>
      </c>
      <c r="I5967" s="3" t="s">
        <v>62</v>
      </c>
      <c r="J5967" s="3" t="s">
        <v>62</v>
      </c>
      <c r="K5967" s="3" t="s">
        <v>63</v>
      </c>
      <c r="L5967" s="2" t="s">
        <v>57411</v>
      </c>
      <c r="M5967" s="2" t="s">
        <v>27796</v>
      </c>
      <c r="N5967" s="3" t="s">
        <v>1212</v>
      </c>
      <c r="P5967" s="3" t="s">
        <v>65</v>
      </c>
      <c r="R5967" s="3" t="s">
        <v>66</v>
      </c>
      <c r="S5967" s="4">
        <v>33</v>
      </c>
      <c r="T5967" s="4">
        <v>33</v>
      </c>
      <c r="U5967" s="5" t="s">
        <v>13023</v>
      </c>
      <c r="V5967" s="5" t="s">
        <v>13023</v>
      </c>
      <c r="W5967" s="5" t="s">
        <v>67</v>
      </c>
      <c r="X5967" s="5" t="s">
        <v>67</v>
      </c>
      <c r="Y5967" s="4">
        <v>265</v>
      </c>
      <c r="Z5967" s="4">
        <v>14</v>
      </c>
      <c r="AA5967" s="4">
        <v>29</v>
      </c>
      <c r="AB5967" s="4">
        <v>2</v>
      </c>
      <c r="AC5967" s="4">
        <v>4</v>
      </c>
      <c r="AD5967" s="4">
        <v>82</v>
      </c>
      <c r="AE5967" s="4">
        <v>108</v>
      </c>
      <c r="AF5967" s="4">
        <v>1</v>
      </c>
      <c r="AG5967" s="4">
        <v>3</v>
      </c>
      <c r="AH5967" s="4">
        <v>72</v>
      </c>
      <c r="AI5967" s="4">
        <v>93</v>
      </c>
      <c r="AJ5967" s="4">
        <v>10</v>
      </c>
      <c r="AK5967" s="4">
        <v>18</v>
      </c>
      <c r="AL5967" s="4">
        <v>37</v>
      </c>
      <c r="AM5967" s="4">
        <v>48</v>
      </c>
      <c r="AN5967" s="4">
        <v>0</v>
      </c>
      <c r="AO5967" s="4">
        <v>0</v>
      </c>
      <c r="AP5967" s="4">
        <v>13</v>
      </c>
      <c r="AQ5967" s="4">
        <v>24</v>
      </c>
      <c r="AR5967" s="3" t="s">
        <v>62</v>
      </c>
      <c r="AS5967" s="3" t="s">
        <v>62</v>
      </c>
      <c r="AT5967" s="3" t="s">
        <v>62</v>
      </c>
      <c r="AV5967" s="6" t="str">
        <f>HYPERLINK("http://mcgill.on.worldcat.org/oclc/42603269","Catalog Record")</f>
        <v>Catalog Record</v>
      </c>
      <c r="AW5967" s="6" t="str">
        <f>HYPERLINK("http://www.worldcat.org/oclc/42603269","WorldCat Record")</f>
        <v>WorldCat Record</v>
      </c>
      <c r="AX5967" s="3" t="s">
        <v>57412</v>
      </c>
      <c r="AY5967" s="3" t="s">
        <v>57413</v>
      </c>
      <c r="AZ5967" s="3" t="s">
        <v>57414</v>
      </c>
      <c r="BA5967" s="3" t="s">
        <v>57414</v>
      </c>
      <c r="BB5967" s="3" t="s">
        <v>57415</v>
      </c>
      <c r="BC5967" s="3" t="s">
        <v>142</v>
      </c>
      <c r="BD5967" s="3" t="s">
        <v>68</v>
      </c>
      <c r="BE5967" s="3" t="s">
        <v>57416</v>
      </c>
      <c r="BF5967" s="3" t="s">
        <v>57415</v>
      </c>
      <c r="BG5967" s="3" t="s">
        <v>57417</v>
      </c>
    </row>
    <row r="5968" spans="1:59" ht="57" x14ac:dyDescent="0.45">
      <c r="A5968" s="2" t="s">
        <v>59</v>
      </c>
      <c r="B5968" s="2" t="s">
        <v>60</v>
      </c>
      <c r="C5968" s="2" t="s">
        <v>57418</v>
      </c>
      <c r="D5968" s="2" t="s">
        <v>57419</v>
      </c>
      <c r="E5968" s="2" t="s">
        <v>57420</v>
      </c>
      <c r="G5968" s="3" t="s">
        <v>62</v>
      </c>
      <c r="I5968" s="3" t="s">
        <v>62</v>
      </c>
      <c r="J5968" s="3" t="s">
        <v>62</v>
      </c>
      <c r="K5968" s="3" t="s">
        <v>63</v>
      </c>
      <c r="L5968" s="2" t="s">
        <v>57421</v>
      </c>
      <c r="M5968" s="2" t="s">
        <v>57422</v>
      </c>
      <c r="N5968" s="3" t="s">
        <v>1437</v>
      </c>
      <c r="P5968" s="3" t="s">
        <v>65</v>
      </c>
      <c r="Q5968" s="2" t="s">
        <v>57423</v>
      </c>
      <c r="R5968" s="3" t="s">
        <v>66</v>
      </c>
      <c r="S5968" s="4">
        <v>53</v>
      </c>
      <c r="T5968" s="4">
        <v>53</v>
      </c>
      <c r="U5968" s="5" t="s">
        <v>11108</v>
      </c>
      <c r="V5968" s="5" t="s">
        <v>11108</v>
      </c>
      <c r="W5968" s="5" t="s">
        <v>67</v>
      </c>
      <c r="X5968" s="5" t="s">
        <v>67</v>
      </c>
      <c r="Y5968" s="4">
        <v>489</v>
      </c>
      <c r="Z5968" s="4">
        <v>33</v>
      </c>
      <c r="AA5968" s="4">
        <v>42</v>
      </c>
      <c r="AB5968" s="4">
        <v>1</v>
      </c>
      <c r="AC5968" s="4">
        <v>4</v>
      </c>
      <c r="AD5968" s="4">
        <v>107</v>
      </c>
      <c r="AE5968" s="4">
        <v>118</v>
      </c>
      <c r="AF5968" s="4">
        <v>0</v>
      </c>
      <c r="AG5968" s="4">
        <v>2</v>
      </c>
      <c r="AH5968" s="4">
        <v>87</v>
      </c>
      <c r="AI5968" s="4">
        <v>92</v>
      </c>
      <c r="AJ5968" s="4">
        <v>14</v>
      </c>
      <c r="AK5968" s="4">
        <v>20</v>
      </c>
      <c r="AL5968" s="4">
        <v>47</v>
      </c>
      <c r="AM5968" s="4">
        <v>49</v>
      </c>
      <c r="AN5968" s="4">
        <v>0</v>
      </c>
      <c r="AO5968" s="4">
        <v>0</v>
      </c>
      <c r="AP5968" s="4">
        <v>27</v>
      </c>
      <c r="AQ5968" s="4">
        <v>34</v>
      </c>
      <c r="AR5968" s="3" t="s">
        <v>62</v>
      </c>
      <c r="AS5968" s="3" t="s">
        <v>62</v>
      </c>
      <c r="AT5968" s="3" t="s">
        <v>61</v>
      </c>
      <c r="AU5968" s="6" t="str">
        <f>HYPERLINK("http://catalog.hathitrust.org/Record/003303788","HathiTrust Record")</f>
        <v>HathiTrust Record</v>
      </c>
      <c r="AV5968" s="6" t="str">
        <f>HYPERLINK("http://mcgill.on.worldcat.org/oclc/38908738","Catalog Record")</f>
        <v>Catalog Record</v>
      </c>
      <c r="AW5968" s="6" t="str">
        <f>HYPERLINK("http://www.worldcat.org/oclc/38908738","WorldCat Record")</f>
        <v>WorldCat Record</v>
      </c>
      <c r="AX5968" s="3" t="s">
        <v>57424</v>
      </c>
      <c r="AY5968" s="3" t="s">
        <v>57425</v>
      </c>
      <c r="AZ5968" s="3" t="s">
        <v>57426</v>
      </c>
      <c r="BA5968" s="3" t="s">
        <v>57426</v>
      </c>
      <c r="BB5968" s="3" t="s">
        <v>57427</v>
      </c>
      <c r="BC5968" s="3" t="s">
        <v>142</v>
      </c>
      <c r="BD5968" s="3" t="s">
        <v>68</v>
      </c>
      <c r="BE5968" s="3" t="s">
        <v>57428</v>
      </c>
      <c r="BF5968" s="3" t="s">
        <v>57427</v>
      </c>
      <c r="BG5968" s="3" t="s">
        <v>57429</v>
      </c>
    </row>
    <row r="5969" spans="1:59" ht="57" x14ac:dyDescent="0.45">
      <c r="A5969" s="2" t="s">
        <v>59</v>
      </c>
      <c r="B5969" s="2" t="s">
        <v>412</v>
      </c>
      <c r="C5969" s="2" t="s">
        <v>57430</v>
      </c>
      <c r="D5969" s="2" t="s">
        <v>57431</v>
      </c>
      <c r="E5969" s="2" t="s">
        <v>56292</v>
      </c>
      <c r="G5969" s="3" t="s">
        <v>62</v>
      </c>
      <c r="I5969" s="3" t="s">
        <v>61</v>
      </c>
      <c r="J5969" s="3" t="s">
        <v>62</v>
      </c>
      <c r="K5969" s="3" t="s">
        <v>63</v>
      </c>
      <c r="M5969" s="2" t="s">
        <v>56293</v>
      </c>
      <c r="N5969" s="3" t="s">
        <v>958</v>
      </c>
      <c r="P5969" s="3" t="s">
        <v>65</v>
      </c>
      <c r="Q5969" s="2" t="s">
        <v>56294</v>
      </c>
      <c r="R5969" s="3" t="s">
        <v>66</v>
      </c>
      <c r="S5969" s="4">
        <v>17</v>
      </c>
      <c r="T5969" s="4">
        <v>23</v>
      </c>
      <c r="U5969" s="5" t="s">
        <v>57432</v>
      </c>
      <c r="V5969" s="5" t="s">
        <v>20577</v>
      </c>
      <c r="W5969" s="5" t="s">
        <v>67</v>
      </c>
      <c r="X5969" s="5" t="s">
        <v>67</v>
      </c>
      <c r="Y5969" s="4">
        <v>243</v>
      </c>
      <c r="Z5969" s="4">
        <v>22</v>
      </c>
      <c r="AA5969" s="4">
        <v>120</v>
      </c>
      <c r="AB5969" s="4">
        <v>1</v>
      </c>
      <c r="AC5969" s="4">
        <v>22</v>
      </c>
      <c r="AD5969" s="4">
        <v>59</v>
      </c>
      <c r="AE5969" s="4">
        <v>125</v>
      </c>
      <c r="AF5969" s="4">
        <v>0</v>
      </c>
      <c r="AG5969" s="4">
        <v>9</v>
      </c>
      <c r="AH5969" s="4">
        <v>46</v>
      </c>
      <c r="AI5969" s="4">
        <v>77</v>
      </c>
      <c r="AJ5969" s="4">
        <v>10</v>
      </c>
      <c r="AK5969" s="4">
        <v>26</v>
      </c>
      <c r="AL5969" s="4">
        <v>25</v>
      </c>
      <c r="AM5969" s="4">
        <v>37</v>
      </c>
      <c r="AN5969" s="4">
        <v>0</v>
      </c>
      <c r="AO5969" s="4">
        <v>0</v>
      </c>
      <c r="AP5969" s="4">
        <v>17</v>
      </c>
      <c r="AQ5969" s="4">
        <v>56</v>
      </c>
      <c r="AR5969" s="3" t="s">
        <v>62</v>
      </c>
      <c r="AS5969" s="3" t="s">
        <v>62</v>
      </c>
      <c r="AT5969" s="3" t="s">
        <v>62</v>
      </c>
      <c r="AV5969" s="6" t="str">
        <f>HYPERLINK("http://mcgill.on.worldcat.org/oclc/32673201","Catalog Record")</f>
        <v>Catalog Record</v>
      </c>
      <c r="AW5969" s="6" t="str">
        <f>HYPERLINK("http://www.worldcat.org/oclc/32673201","WorldCat Record")</f>
        <v>WorldCat Record</v>
      </c>
      <c r="AX5969" s="3" t="s">
        <v>56295</v>
      </c>
      <c r="AY5969" s="3" t="s">
        <v>56296</v>
      </c>
      <c r="AZ5969" s="3" t="s">
        <v>56297</v>
      </c>
      <c r="BA5969" s="3" t="s">
        <v>56297</v>
      </c>
      <c r="BB5969" s="3" t="s">
        <v>57433</v>
      </c>
      <c r="BC5969" s="3" t="s">
        <v>142</v>
      </c>
      <c r="BD5969" s="3" t="s">
        <v>308</v>
      </c>
      <c r="BE5969" s="3" t="s">
        <v>56299</v>
      </c>
      <c r="BF5969" s="3" t="s">
        <v>57433</v>
      </c>
      <c r="BG5969" s="3" t="s">
        <v>57434</v>
      </c>
    </row>
    <row r="5970" spans="1:59" ht="57" x14ac:dyDescent="0.45">
      <c r="A5970" s="2" t="s">
        <v>59</v>
      </c>
      <c r="B5970" s="2" t="s">
        <v>60</v>
      </c>
      <c r="C5970" s="2" t="s">
        <v>57435</v>
      </c>
      <c r="D5970" s="2" t="s">
        <v>57436</v>
      </c>
      <c r="E5970" s="2" t="s">
        <v>57437</v>
      </c>
      <c r="G5970" s="3" t="s">
        <v>62</v>
      </c>
      <c r="I5970" s="3" t="s">
        <v>62</v>
      </c>
      <c r="J5970" s="3" t="s">
        <v>62</v>
      </c>
      <c r="K5970" s="3" t="s">
        <v>63</v>
      </c>
      <c r="L5970" s="2" t="s">
        <v>57438</v>
      </c>
      <c r="M5970" s="2" t="s">
        <v>57439</v>
      </c>
      <c r="N5970" s="3" t="s">
        <v>568</v>
      </c>
      <c r="P5970" s="3" t="s">
        <v>65</v>
      </c>
      <c r="R5970" s="3" t="s">
        <v>66</v>
      </c>
      <c r="S5970" s="4">
        <v>22</v>
      </c>
      <c r="T5970" s="4">
        <v>22</v>
      </c>
      <c r="U5970" s="5" t="s">
        <v>57440</v>
      </c>
      <c r="V5970" s="5" t="s">
        <v>57440</v>
      </c>
      <c r="W5970" s="5" t="s">
        <v>67</v>
      </c>
      <c r="X5970" s="5" t="s">
        <v>67</v>
      </c>
      <c r="Y5970" s="4">
        <v>287</v>
      </c>
      <c r="Z5970" s="4">
        <v>17</v>
      </c>
      <c r="AA5970" s="4">
        <v>21</v>
      </c>
      <c r="AB5970" s="4">
        <v>1</v>
      </c>
      <c r="AC5970" s="4">
        <v>5</v>
      </c>
      <c r="AD5970" s="4">
        <v>103</v>
      </c>
      <c r="AE5970" s="4">
        <v>106</v>
      </c>
      <c r="AF5970" s="4">
        <v>0</v>
      </c>
      <c r="AG5970" s="4">
        <v>3</v>
      </c>
      <c r="AH5970" s="4">
        <v>92</v>
      </c>
      <c r="AI5970" s="4">
        <v>93</v>
      </c>
      <c r="AJ5970" s="4">
        <v>11</v>
      </c>
      <c r="AK5970" s="4">
        <v>14</v>
      </c>
      <c r="AL5970" s="4">
        <v>54</v>
      </c>
      <c r="AM5970" s="4">
        <v>54</v>
      </c>
      <c r="AN5970" s="4">
        <v>0</v>
      </c>
      <c r="AO5970" s="4">
        <v>0</v>
      </c>
      <c r="AP5970" s="4">
        <v>13</v>
      </c>
      <c r="AQ5970" s="4">
        <v>15</v>
      </c>
      <c r="AR5970" s="3" t="s">
        <v>62</v>
      </c>
      <c r="AS5970" s="3" t="s">
        <v>62</v>
      </c>
      <c r="AT5970" s="3" t="s">
        <v>61</v>
      </c>
      <c r="AU5970" s="6" t="str">
        <f>HYPERLINK("http://catalog.hathitrust.org/Record/000812691","HathiTrust Record")</f>
        <v>HathiTrust Record</v>
      </c>
      <c r="AV5970" s="6" t="str">
        <f>HYPERLINK("http://mcgill.on.worldcat.org/oclc/13703268","Catalog Record")</f>
        <v>Catalog Record</v>
      </c>
      <c r="AW5970" s="6" t="str">
        <f>HYPERLINK("http://www.worldcat.org/oclc/13703268","WorldCat Record")</f>
        <v>WorldCat Record</v>
      </c>
      <c r="AX5970" s="3" t="s">
        <v>57441</v>
      </c>
      <c r="AY5970" s="3" t="s">
        <v>57442</v>
      </c>
      <c r="AZ5970" s="3" t="s">
        <v>57443</v>
      </c>
      <c r="BA5970" s="3" t="s">
        <v>57443</v>
      </c>
      <c r="BB5970" s="3" t="s">
        <v>57444</v>
      </c>
      <c r="BC5970" s="3" t="s">
        <v>142</v>
      </c>
      <c r="BD5970" s="3" t="s">
        <v>68</v>
      </c>
      <c r="BE5970" s="3" t="s">
        <v>57445</v>
      </c>
      <c r="BF5970" s="3" t="s">
        <v>57444</v>
      </c>
      <c r="BG5970" s="3" t="s">
        <v>57446</v>
      </c>
    </row>
    <row r="5971" spans="1:59" ht="57" x14ac:dyDescent="0.45">
      <c r="A5971" s="2" t="s">
        <v>59</v>
      </c>
      <c r="B5971" s="2" t="s">
        <v>60</v>
      </c>
      <c r="C5971" s="2" t="s">
        <v>57447</v>
      </c>
      <c r="D5971" s="2" t="s">
        <v>57448</v>
      </c>
      <c r="E5971" s="2" t="s">
        <v>57449</v>
      </c>
      <c r="G5971" s="3" t="s">
        <v>62</v>
      </c>
      <c r="I5971" s="3" t="s">
        <v>62</v>
      </c>
      <c r="J5971" s="3" t="s">
        <v>62</v>
      </c>
      <c r="K5971" s="3" t="s">
        <v>63</v>
      </c>
      <c r="M5971" s="2" t="s">
        <v>57450</v>
      </c>
      <c r="N5971" s="3" t="s">
        <v>1097</v>
      </c>
      <c r="P5971" s="3" t="s">
        <v>65</v>
      </c>
      <c r="R5971" s="3" t="s">
        <v>66</v>
      </c>
      <c r="S5971" s="4">
        <v>14</v>
      </c>
      <c r="T5971" s="4">
        <v>14</v>
      </c>
      <c r="U5971" s="5" t="s">
        <v>3449</v>
      </c>
      <c r="V5971" s="5" t="s">
        <v>3449</v>
      </c>
      <c r="W5971" s="5" t="s">
        <v>67</v>
      </c>
      <c r="X5971" s="5" t="s">
        <v>67</v>
      </c>
      <c r="Y5971" s="4">
        <v>396</v>
      </c>
      <c r="Z5971" s="4">
        <v>30</v>
      </c>
      <c r="AA5971" s="4">
        <v>40</v>
      </c>
      <c r="AB5971" s="4">
        <v>3</v>
      </c>
      <c r="AC5971" s="4">
        <v>7</v>
      </c>
      <c r="AD5971" s="4">
        <v>94</v>
      </c>
      <c r="AE5971" s="4">
        <v>108</v>
      </c>
      <c r="AF5971" s="4">
        <v>1</v>
      </c>
      <c r="AG5971" s="4">
        <v>4</v>
      </c>
      <c r="AH5971" s="4">
        <v>77</v>
      </c>
      <c r="AI5971" s="4">
        <v>84</v>
      </c>
      <c r="AJ5971" s="4">
        <v>14</v>
      </c>
      <c r="AK5971" s="4">
        <v>19</v>
      </c>
      <c r="AL5971" s="4">
        <v>45</v>
      </c>
      <c r="AM5971" s="4">
        <v>47</v>
      </c>
      <c r="AN5971" s="4">
        <v>0</v>
      </c>
      <c r="AO5971" s="4">
        <v>0</v>
      </c>
      <c r="AP5971" s="4">
        <v>23</v>
      </c>
      <c r="AQ5971" s="4">
        <v>31</v>
      </c>
      <c r="AR5971" s="3" t="s">
        <v>62</v>
      </c>
      <c r="AS5971" s="3" t="s">
        <v>62</v>
      </c>
      <c r="AT5971" s="3" t="s">
        <v>61</v>
      </c>
      <c r="AU5971" s="6" t="str">
        <f>HYPERLINK("http://catalog.hathitrust.org/Record/004360763","HathiTrust Record")</f>
        <v>HathiTrust Record</v>
      </c>
      <c r="AV5971" s="6" t="str">
        <f>HYPERLINK("http://mcgill.on.worldcat.org/oclc/52559098","Catalog Record")</f>
        <v>Catalog Record</v>
      </c>
      <c r="AW5971" s="6" t="str">
        <f>HYPERLINK("http://www.worldcat.org/oclc/52559098","WorldCat Record")</f>
        <v>WorldCat Record</v>
      </c>
      <c r="AX5971" s="3" t="s">
        <v>57451</v>
      </c>
      <c r="AY5971" s="3" t="s">
        <v>57452</v>
      </c>
      <c r="AZ5971" s="3" t="s">
        <v>57453</v>
      </c>
      <c r="BA5971" s="3" t="s">
        <v>57453</v>
      </c>
      <c r="BB5971" s="3" t="s">
        <v>57454</v>
      </c>
      <c r="BC5971" s="3" t="s">
        <v>142</v>
      </c>
      <c r="BD5971" s="3" t="s">
        <v>68</v>
      </c>
      <c r="BE5971" s="3" t="s">
        <v>57455</v>
      </c>
      <c r="BF5971" s="3" t="s">
        <v>57454</v>
      </c>
      <c r="BG5971" s="3" t="s">
        <v>57456</v>
      </c>
    </row>
    <row r="5972" spans="1:59" ht="57" x14ac:dyDescent="0.45">
      <c r="A5972" s="2" t="s">
        <v>59</v>
      </c>
      <c r="B5972" s="2" t="s">
        <v>60</v>
      </c>
      <c r="C5972" s="2" t="s">
        <v>57457</v>
      </c>
      <c r="D5972" s="2" t="s">
        <v>57458</v>
      </c>
      <c r="E5972" s="2" t="s">
        <v>57459</v>
      </c>
      <c r="G5972" s="3" t="s">
        <v>62</v>
      </c>
      <c r="I5972" s="3" t="s">
        <v>62</v>
      </c>
      <c r="J5972" s="3" t="s">
        <v>62</v>
      </c>
      <c r="K5972" s="3" t="s">
        <v>63</v>
      </c>
      <c r="M5972" s="2" t="s">
        <v>57460</v>
      </c>
      <c r="N5972" s="3" t="s">
        <v>195</v>
      </c>
      <c r="P5972" s="3" t="s">
        <v>65</v>
      </c>
      <c r="Q5972" s="2" t="s">
        <v>57461</v>
      </c>
      <c r="R5972" s="3" t="s">
        <v>66</v>
      </c>
      <c r="S5972" s="4">
        <v>30</v>
      </c>
      <c r="T5972" s="4">
        <v>30</v>
      </c>
      <c r="U5972" s="5" t="s">
        <v>17306</v>
      </c>
      <c r="V5972" s="5" t="s">
        <v>17306</v>
      </c>
      <c r="W5972" s="5" t="s">
        <v>67</v>
      </c>
      <c r="X5972" s="5" t="s">
        <v>67</v>
      </c>
      <c r="Y5972" s="4">
        <v>446</v>
      </c>
      <c r="Z5972" s="4">
        <v>29</v>
      </c>
      <c r="AA5972" s="4">
        <v>103</v>
      </c>
      <c r="AB5972" s="4">
        <v>2</v>
      </c>
      <c r="AC5972" s="4">
        <v>17</v>
      </c>
      <c r="AD5972" s="4">
        <v>102</v>
      </c>
      <c r="AE5972" s="4">
        <v>144</v>
      </c>
      <c r="AF5972" s="4">
        <v>1</v>
      </c>
      <c r="AG5972" s="4">
        <v>8</v>
      </c>
      <c r="AH5972" s="4">
        <v>85</v>
      </c>
      <c r="AI5972" s="4">
        <v>101</v>
      </c>
      <c r="AJ5972" s="4">
        <v>16</v>
      </c>
      <c r="AK5972" s="4">
        <v>26</v>
      </c>
      <c r="AL5972" s="4">
        <v>41</v>
      </c>
      <c r="AM5972" s="4">
        <v>50</v>
      </c>
      <c r="AN5972" s="4">
        <v>0</v>
      </c>
      <c r="AO5972" s="4">
        <v>0</v>
      </c>
      <c r="AP5972" s="4">
        <v>24</v>
      </c>
      <c r="AQ5972" s="4">
        <v>53</v>
      </c>
      <c r="AR5972" s="3" t="s">
        <v>62</v>
      </c>
      <c r="AS5972" s="3" t="s">
        <v>62</v>
      </c>
      <c r="AT5972" s="3" t="s">
        <v>61</v>
      </c>
      <c r="AU5972" s="6" t="str">
        <f>HYPERLINK("http://catalog.hathitrust.org/Record/004545963","HathiTrust Record")</f>
        <v>HathiTrust Record</v>
      </c>
      <c r="AV5972" s="6" t="str">
        <f>HYPERLINK("http://mcgill.on.worldcat.org/oclc/28374752","Catalog Record")</f>
        <v>Catalog Record</v>
      </c>
      <c r="AW5972" s="6" t="str">
        <f>HYPERLINK("http://www.worldcat.org/oclc/28374752","WorldCat Record")</f>
        <v>WorldCat Record</v>
      </c>
      <c r="AX5972" s="3" t="s">
        <v>57462</v>
      </c>
      <c r="AY5972" s="3" t="s">
        <v>57463</v>
      </c>
      <c r="AZ5972" s="3" t="s">
        <v>57464</v>
      </c>
      <c r="BA5972" s="3" t="s">
        <v>57464</v>
      </c>
      <c r="BB5972" s="3" t="s">
        <v>57465</v>
      </c>
      <c r="BC5972" s="3" t="s">
        <v>142</v>
      </c>
      <c r="BD5972" s="3" t="s">
        <v>308</v>
      </c>
      <c r="BE5972" s="3" t="s">
        <v>57466</v>
      </c>
      <c r="BF5972" s="3" t="s">
        <v>57465</v>
      </c>
      <c r="BG5972" s="3" t="s">
        <v>57467</v>
      </c>
    </row>
    <row r="5973" spans="1:59" ht="57" x14ac:dyDescent="0.45">
      <c r="A5973" s="2" t="s">
        <v>59</v>
      </c>
      <c r="B5973" s="2" t="s">
        <v>60</v>
      </c>
      <c r="C5973" s="2" t="s">
        <v>57468</v>
      </c>
      <c r="D5973" s="2" t="s">
        <v>57469</v>
      </c>
      <c r="E5973" s="2" t="s">
        <v>57470</v>
      </c>
      <c r="G5973" s="3" t="s">
        <v>62</v>
      </c>
      <c r="I5973" s="3" t="s">
        <v>62</v>
      </c>
      <c r="J5973" s="3" t="s">
        <v>62</v>
      </c>
      <c r="K5973" s="3" t="s">
        <v>63</v>
      </c>
      <c r="M5973" s="2" t="s">
        <v>57471</v>
      </c>
      <c r="N5973" s="3" t="s">
        <v>894</v>
      </c>
      <c r="P5973" s="3" t="s">
        <v>65</v>
      </c>
      <c r="Q5973" s="2" t="s">
        <v>57472</v>
      </c>
      <c r="R5973" s="3" t="s">
        <v>66</v>
      </c>
      <c r="S5973" s="4">
        <v>5</v>
      </c>
      <c r="T5973" s="4">
        <v>5</v>
      </c>
      <c r="U5973" s="5" t="s">
        <v>37909</v>
      </c>
      <c r="V5973" s="5" t="s">
        <v>37909</v>
      </c>
      <c r="W5973" s="5" t="s">
        <v>67</v>
      </c>
      <c r="X5973" s="5" t="s">
        <v>67</v>
      </c>
      <c r="Y5973" s="4">
        <v>163</v>
      </c>
      <c r="Z5973" s="4">
        <v>18</v>
      </c>
      <c r="AA5973" s="4">
        <v>18</v>
      </c>
      <c r="AB5973" s="4">
        <v>2</v>
      </c>
      <c r="AC5973" s="4">
        <v>2</v>
      </c>
      <c r="AD5973" s="4">
        <v>68</v>
      </c>
      <c r="AE5973" s="4">
        <v>68</v>
      </c>
      <c r="AF5973" s="4">
        <v>1</v>
      </c>
      <c r="AG5973" s="4">
        <v>1</v>
      </c>
      <c r="AH5973" s="4">
        <v>61</v>
      </c>
      <c r="AI5973" s="4">
        <v>61</v>
      </c>
      <c r="AJ5973" s="4">
        <v>14</v>
      </c>
      <c r="AK5973" s="4">
        <v>14</v>
      </c>
      <c r="AL5973" s="4">
        <v>34</v>
      </c>
      <c r="AM5973" s="4">
        <v>34</v>
      </c>
      <c r="AN5973" s="4">
        <v>0</v>
      </c>
      <c r="AO5973" s="4">
        <v>0</v>
      </c>
      <c r="AP5973" s="4">
        <v>16</v>
      </c>
      <c r="AQ5973" s="4">
        <v>16</v>
      </c>
      <c r="AR5973" s="3" t="s">
        <v>62</v>
      </c>
      <c r="AS5973" s="3" t="s">
        <v>62</v>
      </c>
      <c r="AT5973" s="3" t="s">
        <v>62</v>
      </c>
      <c r="AV5973" s="6" t="str">
        <f>HYPERLINK("http://mcgill.on.worldcat.org/oclc/693207638","Catalog Record")</f>
        <v>Catalog Record</v>
      </c>
      <c r="AW5973" s="6" t="str">
        <f>HYPERLINK("http://www.worldcat.org/oclc/693207638","WorldCat Record")</f>
        <v>WorldCat Record</v>
      </c>
      <c r="AX5973" s="3" t="s">
        <v>57473</v>
      </c>
      <c r="AY5973" s="3" t="s">
        <v>57474</v>
      </c>
      <c r="AZ5973" s="3" t="s">
        <v>57475</v>
      </c>
      <c r="BA5973" s="3" t="s">
        <v>57475</v>
      </c>
      <c r="BB5973" s="3" t="s">
        <v>57476</v>
      </c>
      <c r="BC5973" s="3" t="s">
        <v>142</v>
      </c>
      <c r="BD5973" s="3" t="s">
        <v>68</v>
      </c>
      <c r="BE5973" s="3" t="s">
        <v>57477</v>
      </c>
      <c r="BF5973" s="3" t="s">
        <v>57476</v>
      </c>
      <c r="BG5973" s="3" t="s">
        <v>57478</v>
      </c>
    </row>
    <row r="5974" spans="1:59" ht="57" x14ac:dyDescent="0.45">
      <c r="A5974" s="2" t="s">
        <v>59</v>
      </c>
      <c r="B5974" s="2" t="s">
        <v>60</v>
      </c>
      <c r="C5974" s="2" t="s">
        <v>57479</v>
      </c>
      <c r="D5974" s="2" t="s">
        <v>57480</v>
      </c>
      <c r="E5974" s="2" t="s">
        <v>57481</v>
      </c>
      <c r="G5974" s="3" t="s">
        <v>62</v>
      </c>
      <c r="I5974" s="3" t="s">
        <v>61</v>
      </c>
      <c r="J5974" s="3" t="s">
        <v>62</v>
      </c>
      <c r="K5974" s="3" t="s">
        <v>63</v>
      </c>
      <c r="M5974" s="2" t="s">
        <v>31099</v>
      </c>
      <c r="N5974" s="3" t="s">
        <v>625</v>
      </c>
      <c r="P5974" s="3" t="s">
        <v>65</v>
      </c>
      <c r="Q5974" s="2" t="s">
        <v>57482</v>
      </c>
      <c r="R5974" s="3" t="s">
        <v>66</v>
      </c>
      <c r="S5974" s="4">
        <v>20</v>
      </c>
      <c r="T5974" s="4">
        <v>65</v>
      </c>
      <c r="U5974" s="5" t="s">
        <v>29724</v>
      </c>
      <c r="V5974" s="5" t="s">
        <v>57483</v>
      </c>
      <c r="W5974" s="5" t="s">
        <v>67</v>
      </c>
      <c r="X5974" s="5" t="s">
        <v>67</v>
      </c>
      <c r="Y5974" s="4">
        <v>385</v>
      </c>
      <c r="Z5974" s="4">
        <v>22</v>
      </c>
      <c r="AA5974" s="4">
        <v>49</v>
      </c>
      <c r="AB5974" s="4">
        <v>1</v>
      </c>
      <c r="AC5974" s="4">
        <v>9</v>
      </c>
      <c r="AD5974" s="4">
        <v>103</v>
      </c>
      <c r="AE5974" s="4">
        <v>110</v>
      </c>
      <c r="AF5974" s="4">
        <v>0</v>
      </c>
      <c r="AG5974" s="4">
        <v>4</v>
      </c>
      <c r="AH5974" s="4">
        <v>93</v>
      </c>
      <c r="AI5974" s="4">
        <v>95</v>
      </c>
      <c r="AJ5974" s="4">
        <v>15</v>
      </c>
      <c r="AK5974" s="4">
        <v>19</v>
      </c>
      <c r="AL5974" s="4">
        <v>47</v>
      </c>
      <c r="AM5974" s="4">
        <v>47</v>
      </c>
      <c r="AN5974" s="4">
        <v>0</v>
      </c>
      <c r="AO5974" s="4">
        <v>0</v>
      </c>
      <c r="AP5974" s="4">
        <v>19</v>
      </c>
      <c r="AQ5974" s="4">
        <v>24</v>
      </c>
      <c r="AR5974" s="3" t="s">
        <v>62</v>
      </c>
      <c r="AS5974" s="3" t="s">
        <v>62</v>
      </c>
      <c r="AT5974" s="3" t="s">
        <v>61</v>
      </c>
      <c r="AU5974" s="6" t="str">
        <f>HYPERLINK("http://catalog.hathitrust.org/Record/000819223","HathiTrust Record")</f>
        <v>HathiTrust Record</v>
      </c>
      <c r="AV5974" s="6" t="str">
        <f>HYPERLINK("http://mcgill.on.worldcat.org/oclc/13395362","Catalog Record")</f>
        <v>Catalog Record</v>
      </c>
      <c r="AW5974" s="6" t="str">
        <f>HYPERLINK("http://www.worldcat.org/oclc/13395362","WorldCat Record")</f>
        <v>WorldCat Record</v>
      </c>
      <c r="AX5974" s="3" t="s">
        <v>57484</v>
      </c>
      <c r="AY5974" s="3" t="s">
        <v>57485</v>
      </c>
      <c r="AZ5974" s="3" t="s">
        <v>57486</v>
      </c>
      <c r="BA5974" s="3" t="s">
        <v>57486</v>
      </c>
      <c r="BB5974" s="3" t="s">
        <v>57487</v>
      </c>
      <c r="BC5974" s="3" t="s">
        <v>142</v>
      </c>
      <c r="BD5974" s="3" t="s">
        <v>68</v>
      </c>
      <c r="BE5974" s="3" t="s">
        <v>57488</v>
      </c>
      <c r="BF5974" s="3" t="s">
        <v>57487</v>
      </c>
      <c r="BG5974" s="3" t="s">
        <v>57489</v>
      </c>
    </row>
    <row r="5975" spans="1:59" ht="57" x14ac:dyDescent="0.45">
      <c r="A5975" s="2" t="s">
        <v>59</v>
      </c>
      <c r="B5975" s="2" t="s">
        <v>60</v>
      </c>
      <c r="C5975" s="2" t="s">
        <v>57479</v>
      </c>
      <c r="D5975" s="2" t="s">
        <v>57480</v>
      </c>
      <c r="E5975" s="2" t="s">
        <v>57481</v>
      </c>
      <c r="G5975" s="3" t="s">
        <v>62</v>
      </c>
      <c r="I5975" s="3" t="s">
        <v>61</v>
      </c>
      <c r="J5975" s="3" t="s">
        <v>62</v>
      </c>
      <c r="K5975" s="3" t="s">
        <v>63</v>
      </c>
      <c r="M5975" s="2" t="s">
        <v>31099</v>
      </c>
      <c r="N5975" s="3" t="s">
        <v>625</v>
      </c>
      <c r="P5975" s="3" t="s">
        <v>65</v>
      </c>
      <c r="Q5975" s="2" t="s">
        <v>57482</v>
      </c>
      <c r="R5975" s="3" t="s">
        <v>66</v>
      </c>
      <c r="S5975" s="4">
        <v>45</v>
      </c>
      <c r="T5975" s="4">
        <v>65</v>
      </c>
      <c r="U5975" s="5" t="s">
        <v>57483</v>
      </c>
      <c r="V5975" s="5" t="s">
        <v>57483</v>
      </c>
      <c r="W5975" s="5" t="s">
        <v>67</v>
      </c>
      <c r="X5975" s="5" t="s">
        <v>67</v>
      </c>
      <c r="Y5975" s="4">
        <v>385</v>
      </c>
      <c r="Z5975" s="4">
        <v>22</v>
      </c>
      <c r="AA5975" s="4">
        <v>49</v>
      </c>
      <c r="AB5975" s="4">
        <v>1</v>
      </c>
      <c r="AC5975" s="4">
        <v>9</v>
      </c>
      <c r="AD5975" s="4">
        <v>103</v>
      </c>
      <c r="AE5975" s="4">
        <v>110</v>
      </c>
      <c r="AF5975" s="4">
        <v>0</v>
      </c>
      <c r="AG5975" s="4">
        <v>4</v>
      </c>
      <c r="AH5975" s="4">
        <v>93</v>
      </c>
      <c r="AI5975" s="4">
        <v>95</v>
      </c>
      <c r="AJ5975" s="4">
        <v>15</v>
      </c>
      <c r="AK5975" s="4">
        <v>19</v>
      </c>
      <c r="AL5975" s="4">
        <v>47</v>
      </c>
      <c r="AM5975" s="4">
        <v>47</v>
      </c>
      <c r="AN5975" s="4">
        <v>0</v>
      </c>
      <c r="AO5975" s="4">
        <v>0</v>
      </c>
      <c r="AP5975" s="4">
        <v>19</v>
      </c>
      <c r="AQ5975" s="4">
        <v>24</v>
      </c>
      <c r="AR5975" s="3" t="s">
        <v>62</v>
      </c>
      <c r="AS5975" s="3" t="s">
        <v>62</v>
      </c>
      <c r="AT5975" s="3" t="s">
        <v>61</v>
      </c>
      <c r="AU5975" s="6" t="str">
        <f>HYPERLINK("http://catalog.hathitrust.org/Record/000819223","HathiTrust Record")</f>
        <v>HathiTrust Record</v>
      </c>
      <c r="AV5975" s="6" t="str">
        <f>HYPERLINK("http://mcgill.on.worldcat.org/oclc/13395362","Catalog Record")</f>
        <v>Catalog Record</v>
      </c>
      <c r="AW5975" s="6" t="str">
        <f>HYPERLINK("http://www.worldcat.org/oclc/13395362","WorldCat Record")</f>
        <v>WorldCat Record</v>
      </c>
      <c r="AX5975" s="3" t="s">
        <v>57484</v>
      </c>
      <c r="AY5975" s="3" t="s">
        <v>57485</v>
      </c>
      <c r="AZ5975" s="3" t="s">
        <v>57486</v>
      </c>
      <c r="BA5975" s="3" t="s">
        <v>57486</v>
      </c>
      <c r="BB5975" s="3" t="s">
        <v>57490</v>
      </c>
      <c r="BC5975" s="3" t="s">
        <v>142</v>
      </c>
      <c r="BD5975" s="3" t="s">
        <v>68</v>
      </c>
      <c r="BE5975" s="3" t="s">
        <v>57488</v>
      </c>
      <c r="BF5975" s="3" t="s">
        <v>57490</v>
      </c>
      <c r="BG5975" s="3" t="s">
        <v>57491</v>
      </c>
    </row>
    <row r="5976" spans="1:59" ht="57" x14ac:dyDescent="0.45">
      <c r="A5976" s="2" t="s">
        <v>59</v>
      </c>
      <c r="B5976" s="2" t="s">
        <v>60</v>
      </c>
      <c r="C5976" s="2" t="s">
        <v>57492</v>
      </c>
      <c r="D5976" s="2" t="s">
        <v>57493</v>
      </c>
      <c r="E5976" s="2" t="s">
        <v>57494</v>
      </c>
      <c r="G5976" s="3" t="s">
        <v>62</v>
      </c>
      <c r="I5976" s="3" t="s">
        <v>62</v>
      </c>
      <c r="J5976" s="3" t="s">
        <v>62</v>
      </c>
      <c r="K5976" s="3" t="s">
        <v>63</v>
      </c>
      <c r="M5976" s="2" t="s">
        <v>10815</v>
      </c>
      <c r="N5976" s="3" t="s">
        <v>945</v>
      </c>
      <c r="P5976" s="3" t="s">
        <v>65</v>
      </c>
      <c r="Q5976" s="2" t="s">
        <v>57495</v>
      </c>
      <c r="R5976" s="3" t="s">
        <v>66</v>
      </c>
      <c r="S5976" s="4">
        <v>14</v>
      </c>
      <c r="T5976" s="4">
        <v>14</v>
      </c>
      <c r="U5976" s="5" t="s">
        <v>52458</v>
      </c>
      <c r="V5976" s="5" t="s">
        <v>52458</v>
      </c>
      <c r="W5976" s="5" t="s">
        <v>67</v>
      </c>
      <c r="X5976" s="5" t="s">
        <v>67</v>
      </c>
      <c r="Y5976" s="4">
        <v>93</v>
      </c>
      <c r="Z5976" s="4">
        <v>7</v>
      </c>
      <c r="AA5976" s="4">
        <v>100</v>
      </c>
      <c r="AB5976" s="4">
        <v>1</v>
      </c>
      <c r="AC5976" s="4">
        <v>17</v>
      </c>
      <c r="AD5976" s="4">
        <v>30</v>
      </c>
      <c r="AE5976" s="4">
        <v>109</v>
      </c>
      <c r="AF5976" s="4">
        <v>0</v>
      </c>
      <c r="AG5976" s="4">
        <v>8</v>
      </c>
      <c r="AH5976" s="4">
        <v>27</v>
      </c>
      <c r="AI5976" s="4">
        <v>73</v>
      </c>
      <c r="AJ5976" s="4">
        <v>5</v>
      </c>
      <c r="AK5976" s="4">
        <v>21</v>
      </c>
      <c r="AL5976" s="4">
        <v>19</v>
      </c>
      <c r="AM5976" s="4">
        <v>38</v>
      </c>
      <c r="AN5976" s="4">
        <v>0</v>
      </c>
      <c r="AO5976" s="4">
        <v>0</v>
      </c>
      <c r="AP5976" s="4">
        <v>5</v>
      </c>
      <c r="AQ5976" s="4">
        <v>42</v>
      </c>
      <c r="AR5976" s="3" t="s">
        <v>62</v>
      </c>
      <c r="AS5976" s="3" t="s">
        <v>62</v>
      </c>
      <c r="AT5976" s="3" t="s">
        <v>62</v>
      </c>
      <c r="AV5976" s="6" t="str">
        <f>HYPERLINK("http://mcgill.on.worldcat.org/oclc/81861035","Catalog Record")</f>
        <v>Catalog Record</v>
      </c>
      <c r="AW5976" s="6" t="str">
        <f>HYPERLINK("http://www.worldcat.org/oclc/81861035","WorldCat Record")</f>
        <v>WorldCat Record</v>
      </c>
      <c r="AX5976" s="3" t="s">
        <v>57496</v>
      </c>
      <c r="AY5976" s="3" t="s">
        <v>57497</v>
      </c>
      <c r="AZ5976" s="3" t="s">
        <v>57498</v>
      </c>
      <c r="BA5976" s="3" t="s">
        <v>57498</v>
      </c>
      <c r="BB5976" s="3" t="s">
        <v>57499</v>
      </c>
      <c r="BC5976" s="3" t="s">
        <v>142</v>
      </c>
      <c r="BD5976" s="3" t="s">
        <v>68</v>
      </c>
      <c r="BE5976" s="3" t="s">
        <v>57500</v>
      </c>
      <c r="BF5976" s="3" t="s">
        <v>57499</v>
      </c>
      <c r="BG5976" s="3" t="s">
        <v>57501</v>
      </c>
    </row>
    <row r="5977" spans="1:59" ht="57" x14ac:dyDescent="0.45">
      <c r="A5977" s="2" t="s">
        <v>59</v>
      </c>
      <c r="B5977" s="2" t="s">
        <v>60</v>
      </c>
      <c r="C5977" s="2" t="s">
        <v>57502</v>
      </c>
      <c r="D5977" s="2" t="s">
        <v>57503</v>
      </c>
      <c r="E5977" s="2" t="s">
        <v>57504</v>
      </c>
      <c r="G5977" s="3" t="s">
        <v>62</v>
      </c>
      <c r="I5977" s="3" t="s">
        <v>62</v>
      </c>
      <c r="J5977" s="3" t="s">
        <v>62</v>
      </c>
      <c r="K5977" s="3" t="s">
        <v>63</v>
      </c>
      <c r="M5977" s="2" t="s">
        <v>9401</v>
      </c>
      <c r="N5977" s="3" t="s">
        <v>1478</v>
      </c>
      <c r="P5977" s="3" t="s">
        <v>65</v>
      </c>
      <c r="Q5977" s="2" t="s">
        <v>57505</v>
      </c>
      <c r="R5977" s="3" t="s">
        <v>66</v>
      </c>
      <c r="S5977" s="4">
        <v>63</v>
      </c>
      <c r="T5977" s="4">
        <v>63</v>
      </c>
      <c r="U5977" s="5" t="s">
        <v>4708</v>
      </c>
      <c r="V5977" s="5" t="s">
        <v>4708</v>
      </c>
      <c r="W5977" s="5" t="s">
        <v>67</v>
      </c>
      <c r="X5977" s="5" t="s">
        <v>67</v>
      </c>
      <c r="Y5977" s="4">
        <v>380</v>
      </c>
      <c r="Z5977" s="4">
        <v>24</v>
      </c>
      <c r="AA5977" s="4">
        <v>29</v>
      </c>
      <c r="AB5977" s="4">
        <v>1</v>
      </c>
      <c r="AC5977" s="4">
        <v>6</v>
      </c>
      <c r="AD5977" s="4">
        <v>94</v>
      </c>
      <c r="AE5977" s="4">
        <v>97</v>
      </c>
      <c r="AF5977" s="4">
        <v>0</v>
      </c>
      <c r="AG5977" s="4">
        <v>2</v>
      </c>
      <c r="AH5977" s="4">
        <v>81</v>
      </c>
      <c r="AI5977" s="4">
        <v>82</v>
      </c>
      <c r="AJ5977" s="4">
        <v>15</v>
      </c>
      <c r="AK5977" s="4">
        <v>17</v>
      </c>
      <c r="AL5977" s="4">
        <v>45</v>
      </c>
      <c r="AM5977" s="4">
        <v>45</v>
      </c>
      <c r="AN5977" s="4">
        <v>0</v>
      </c>
      <c r="AO5977" s="4">
        <v>0</v>
      </c>
      <c r="AP5977" s="4">
        <v>20</v>
      </c>
      <c r="AQ5977" s="4">
        <v>21</v>
      </c>
      <c r="AR5977" s="3" t="s">
        <v>62</v>
      </c>
      <c r="AS5977" s="3" t="s">
        <v>62</v>
      </c>
      <c r="AT5977" s="3" t="s">
        <v>61</v>
      </c>
      <c r="AU5977" s="6" t="str">
        <f>HYPERLINK("http://catalog.hathitrust.org/Record/003108902","HathiTrust Record")</f>
        <v>HathiTrust Record</v>
      </c>
      <c r="AV5977" s="6" t="str">
        <f>HYPERLINK("http://mcgill.on.worldcat.org/oclc/35920632","Catalog Record")</f>
        <v>Catalog Record</v>
      </c>
      <c r="AW5977" s="6" t="str">
        <f>HYPERLINK("http://www.worldcat.org/oclc/35920632","WorldCat Record")</f>
        <v>WorldCat Record</v>
      </c>
      <c r="AX5977" s="3" t="s">
        <v>57506</v>
      </c>
      <c r="AY5977" s="3" t="s">
        <v>57507</v>
      </c>
      <c r="AZ5977" s="3" t="s">
        <v>57508</v>
      </c>
      <c r="BA5977" s="3" t="s">
        <v>57508</v>
      </c>
      <c r="BB5977" s="3" t="s">
        <v>57509</v>
      </c>
      <c r="BC5977" s="3" t="s">
        <v>142</v>
      </c>
      <c r="BD5977" s="3" t="s">
        <v>68</v>
      </c>
      <c r="BE5977" s="3" t="s">
        <v>57510</v>
      </c>
      <c r="BF5977" s="3" t="s">
        <v>57509</v>
      </c>
      <c r="BG5977" s="3" t="s">
        <v>57511</v>
      </c>
    </row>
    <row r="5978" spans="1:59" ht="57" x14ac:dyDescent="0.45">
      <c r="A5978" s="2" t="s">
        <v>59</v>
      </c>
      <c r="B5978" s="2" t="s">
        <v>60</v>
      </c>
      <c r="C5978" s="2" t="s">
        <v>57512</v>
      </c>
      <c r="D5978" s="2" t="s">
        <v>57513</v>
      </c>
      <c r="E5978" s="2" t="s">
        <v>57514</v>
      </c>
      <c r="F5978" s="3" t="s">
        <v>87</v>
      </c>
      <c r="G5978" s="3" t="s">
        <v>61</v>
      </c>
      <c r="I5978" s="3" t="s">
        <v>62</v>
      </c>
      <c r="J5978" s="3" t="s">
        <v>62</v>
      </c>
      <c r="K5978" s="3" t="s">
        <v>63</v>
      </c>
      <c r="M5978" s="2" t="s">
        <v>2764</v>
      </c>
      <c r="N5978" s="3" t="s">
        <v>1097</v>
      </c>
      <c r="P5978" s="3" t="s">
        <v>65</v>
      </c>
      <c r="Q5978" s="2" t="s">
        <v>57515</v>
      </c>
      <c r="R5978" s="3" t="s">
        <v>66</v>
      </c>
      <c r="S5978" s="4">
        <v>24</v>
      </c>
      <c r="T5978" s="4">
        <v>64</v>
      </c>
      <c r="U5978" s="5" t="s">
        <v>5537</v>
      </c>
      <c r="V5978" s="5" t="s">
        <v>5537</v>
      </c>
      <c r="W5978" s="5" t="s">
        <v>67</v>
      </c>
      <c r="X5978" s="5" t="s">
        <v>67</v>
      </c>
      <c r="Y5978" s="4">
        <v>72</v>
      </c>
      <c r="Z5978" s="4">
        <v>4</v>
      </c>
      <c r="AA5978" s="4">
        <v>6</v>
      </c>
      <c r="AB5978" s="4">
        <v>1</v>
      </c>
      <c r="AC5978" s="4">
        <v>2</v>
      </c>
      <c r="AD5978" s="4">
        <v>17</v>
      </c>
      <c r="AE5978" s="4">
        <v>20</v>
      </c>
      <c r="AF5978" s="4">
        <v>0</v>
      </c>
      <c r="AG5978" s="4">
        <v>1</v>
      </c>
      <c r="AH5978" s="4">
        <v>14</v>
      </c>
      <c r="AI5978" s="4">
        <v>16</v>
      </c>
      <c r="AJ5978" s="4">
        <v>2</v>
      </c>
      <c r="AK5978" s="4">
        <v>4</v>
      </c>
      <c r="AL5978" s="4">
        <v>9</v>
      </c>
      <c r="AM5978" s="4">
        <v>10</v>
      </c>
      <c r="AN5978" s="4">
        <v>0</v>
      </c>
      <c r="AO5978" s="4">
        <v>0</v>
      </c>
      <c r="AP5978" s="4">
        <v>3</v>
      </c>
      <c r="AQ5978" s="4">
        <v>5</v>
      </c>
      <c r="AR5978" s="3" t="s">
        <v>62</v>
      </c>
      <c r="AS5978" s="3" t="s">
        <v>62</v>
      </c>
      <c r="AT5978" s="3" t="s">
        <v>62</v>
      </c>
      <c r="AV5978" s="6" t="str">
        <f>HYPERLINK("http://mcgill.on.worldcat.org/oclc/54079783","Catalog Record")</f>
        <v>Catalog Record</v>
      </c>
      <c r="AW5978" s="6" t="str">
        <f>HYPERLINK("http://www.worldcat.org/oclc/54079783","WorldCat Record")</f>
        <v>WorldCat Record</v>
      </c>
      <c r="AX5978" s="3" t="s">
        <v>57516</v>
      </c>
      <c r="AY5978" s="3" t="s">
        <v>57517</v>
      </c>
      <c r="AZ5978" s="3" t="s">
        <v>57518</v>
      </c>
      <c r="BA5978" s="3" t="s">
        <v>57518</v>
      </c>
      <c r="BB5978" s="3" t="s">
        <v>57519</v>
      </c>
      <c r="BC5978" s="3" t="s">
        <v>142</v>
      </c>
      <c r="BD5978" s="3" t="s">
        <v>308</v>
      </c>
      <c r="BE5978" s="3" t="s">
        <v>57520</v>
      </c>
      <c r="BF5978" s="3" t="s">
        <v>57519</v>
      </c>
      <c r="BG5978" s="3" t="s">
        <v>57521</v>
      </c>
    </row>
    <row r="5979" spans="1:59" ht="57" x14ac:dyDescent="0.45">
      <c r="A5979" s="2" t="s">
        <v>59</v>
      </c>
      <c r="B5979" s="2" t="s">
        <v>60</v>
      </c>
      <c r="C5979" s="2" t="s">
        <v>57512</v>
      </c>
      <c r="D5979" s="2" t="s">
        <v>57513</v>
      </c>
      <c r="E5979" s="2" t="s">
        <v>57514</v>
      </c>
      <c r="F5979" s="3" t="s">
        <v>86</v>
      </c>
      <c r="G5979" s="3" t="s">
        <v>61</v>
      </c>
      <c r="I5979" s="3" t="s">
        <v>62</v>
      </c>
      <c r="J5979" s="3" t="s">
        <v>62</v>
      </c>
      <c r="K5979" s="3" t="s">
        <v>63</v>
      </c>
      <c r="M5979" s="2" t="s">
        <v>2764</v>
      </c>
      <c r="N5979" s="3" t="s">
        <v>1097</v>
      </c>
      <c r="P5979" s="3" t="s">
        <v>65</v>
      </c>
      <c r="Q5979" s="2" t="s">
        <v>57515</v>
      </c>
      <c r="R5979" s="3" t="s">
        <v>66</v>
      </c>
      <c r="S5979" s="4">
        <v>16</v>
      </c>
      <c r="T5979" s="4">
        <v>64</v>
      </c>
      <c r="U5979" s="5" t="s">
        <v>31756</v>
      </c>
      <c r="V5979" s="5" t="s">
        <v>5537</v>
      </c>
      <c r="W5979" s="5" t="s">
        <v>67</v>
      </c>
      <c r="X5979" s="5" t="s">
        <v>67</v>
      </c>
      <c r="Y5979" s="4">
        <v>72</v>
      </c>
      <c r="Z5979" s="4">
        <v>4</v>
      </c>
      <c r="AA5979" s="4">
        <v>6</v>
      </c>
      <c r="AB5979" s="4">
        <v>1</v>
      </c>
      <c r="AC5979" s="4">
        <v>2</v>
      </c>
      <c r="AD5979" s="4">
        <v>17</v>
      </c>
      <c r="AE5979" s="4">
        <v>20</v>
      </c>
      <c r="AF5979" s="4">
        <v>0</v>
      </c>
      <c r="AG5979" s="4">
        <v>1</v>
      </c>
      <c r="AH5979" s="4">
        <v>14</v>
      </c>
      <c r="AI5979" s="4">
        <v>16</v>
      </c>
      <c r="AJ5979" s="4">
        <v>2</v>
      </c>
      <c r="AK5979" s="4">
        <v>4</v>
      </c>
      <c r="AL5979" s="4">
        <v>9</v>
      </c>
      <c r="AM5979" s="4">
        <v>10</v>
      </c>
      <c r="AN5979" s="4">
        <v>0</v>
      </c>
      <c r="AO5979" s="4">
        <v>0</v>
      </c>
      <c r="AP5979" s="4">
        <v>3</v>
      </c>
      <c r="AQ5979" s="4">
        <v>5</v>
      </c>
      <c r="AR5979" s="3" t="s">
        <v>62</v>
      </c>
      <c r="AS5979" s="3" t="s">
        <v>62</v>
      </c>
      <c r="AT5979" s="3" t="s">
        <v>62</v>
      </c>
      <c r="AV5979" s="6" t="str">
        <f>HYPERLINK("http://mcgill.on.worldcat.org/oclc/54079783","Catalog Record")</f>
        <v>Catalog Record</v>
      </c>
      <c r="AW5979" s="6" t="str">
        <f>HYPERLINK("http://www.worldcat.org/oclc/54079783","WorldCat Record")</f>
        <v>WorldCat Record</v>
      </c>
      <c r="AX5979" s="3" t="s">
        <v>57516</v>
      </c>
      <c r="AY5979" s="3" t="s">
        <v>57517</v>
      </c>
      <c r="AZ5979" s="3" t="s">
        <v>57518</v>
      </c>
      <c r="BA5979" s="3" t="s">
        <v>57518</v>
      </c>
      <c r="BB5979" s="3" t="s">
        <v>57522</v>
      </c>
      <c r="BC5979" s="3" t="s">
        <v>142</v>
      </c>
      <c r="BD5979" s="3" t="s">
        <v>68</v>
      </c>
      <c r="BE5979" s="3" t="s">
        <v>57520</v>
      </c>
      <c r="BF5979" s="3" t="s">
        <v>57522</v>
      </c>
      <c r="BG5979" s="3" t="s">
        <v>57523</v>
      </c>
    </row>
    <row r="5980" spans="1:59" ht="57" x14ac:dyDescent="0.45">
      <c r="A5980" s="2" t="s">
        <v>59</v>
      </c>
      <c r="B5980" s="2" t="s">
        <v>60</v>
      </c>
      <c r="C5980" s="2" t="s">
        <v>57512</v>
      </c>
      <c r="D5980" s="2" t="s">
        <v>57513</v>
      </c>
      <c r="E5980" s="2" t="s">
        <v>57514</v>
      </c>
      <c r="F5980" s="3" t="s">
        <v>88</v>
      </c>
      <c r="G5980" s="3" t="s">
        <v>61</v>
      </c>
      <c r="I5980" s="3" t="s">
        <v>62</v>
      </c>
      <c r="J5980" s="3" t="s">
        <v>62</v>
      </c>
      <c r="K5980" s="3" t="s">
        <v>63</v>
      </c>
      <c r="M5980" s="2" t="s">
        <v>2764</v>
      </c>
      <c r="N5980" s="3" t="s">
        <v>1097</v>
      </c>
      <c r="P5980" s="3" t="s">
        <v>65</v>
      </c>
      <c r="Q5980" s="2" t="s">
        <v>57515</v>
      </c>
      <c r="R5980" s="3" t="s">
        <v>66</v>
      </c>
      <c r="S5980" s="4">
        <v>15</v>
      </c>
      <c r="T5980" s="4">
        <v>64</v>
      </c>
      <c r="U5980" s="5" t="s">
        <v>31756</v>
      </c>
      <c r="V5980" s="5" t="s">
        <v>5537</v>
      </c>
      <c r="W5980" s="5" t="s">
        <v>67</v>
      </c>
      <c r="X5980" s="5" t="s">
        <v>67</v>
      </c>
      <c r="Y5980" s="4">
        <v>72</v>
      </c>
      <c r="Z5980" s="4">
        <v>4</v>
      </c>
      <c r="AA5980" s="4">
        <v>6</v>
      </c>
      <c r="AB5980" s="4">
        <v>1</v>
      </c>
      <c r="AC5980" s="4">
        <v>2</v>
      </c>
      <c r="AD5980" s="4">
        <v>17</v>
      </c>
      <c r="AE5980" s="4">
        <v>20</v>
      </c>
      <c r="AF5980" s="4">
        <v>0</v>
      </c>
      <c r="AG5980" s="4">
        <v>1</v>
      </c>
      <c r="AH5980" s="4">
        <v>14</v>
      </c>
      <c r="AI5980" s="4">
        <v>16</v>
      </c>
      <c r="AJ5980" s="4">
        <v>2</v>
      </c>
      <c r="AK5980" s="4">
        <v>4</v>
      </c>
      <c r="AL5980" s="4">
        <v>9</v>
      </c>
      <c r="AM5980" s="4">
        <v>10</v>
      </c>
      <c r="AN5980" s="4">
        <v>0</v>
      </c>
      <c r="AO5980" s="4">
        <v>0</v>
      </c>
      <c r="AP5980" s="4">
        <v>3</v>
      </c>
      <c r="AQ5980" s="4">
        <v>5</v>
      </c>
      <c r="AR5980" s="3" t="s">
        <v>62</v>
      </c>
      <c r="AS5980" s="3" t="s">
        <v>62</v>
      </c>
      <c r="AT5980" s="3" t="s">
        <v>62</v>
      </c>
      <c r="AV5980" s="6" t="str">
        <f>HYPERLINK("http://mcgill.on.worldcat.org/oclc/54079783","Catalog Record")</f>
        <v>Catalog Record</v>
      </c>
      <c r="AW5980" s="6" t="str">
        <f>HYPERLINK("http://www.worldcat.org/oclc/54079783","WorldCat Record")</f>
        <v>WorldCat Record</v>
      </c>
      <c r="AX5980" s="3" t="s">
        <v>57516</v>
      </c>
      <c r="AY5980" s="3" t="s">
        <v>57517</v>
      </c>
      <c r="AZ5980" s="3" t="s">
        <v>57518</v>
      </c>
      <c r="BA5980" s="3" t="s">
        <v>57518</v>
      </c>
      <c r="BB5980" s="3" t="s">
        <v>57524</v>
      </c>
      <c r="BC5980" s="3" t="s">
        <v>142</v>
      </c>
      <c r="BD5980" s="3" t="s">
        <v>68</v>
      </c>
      <c r="BE5980" s="3" t="s">
        <v>57520</v>
      </c>
      <c r="BF5980" s="3" t="s">
        <v>57524</v>
      </c>
      <c r="BG5980" s="3" t="s">
        <v>57525</v>
      </c>
    </row>
    <row r="5981" spans="1:59" ht="57" x14ac:dyDescent="0.45">
      <c r="A5981" s="2" t="s">
        <v>59</v>
      </c>
      <c r="B5981" s="2" t="s">
        <v>60</v>
      </c>
      <c r="C5981" s="2" t="s">
        <v>57512</v>
      </c>
      <c r="D5981" s="2" t="s">
        <v>57513</v>
      </c>
      <c r="E5981" s="2" t="s">
        <v>57514</v>
      </c>
      <c r="F5981" s="3" t="s">
        <v>90</v>
      </c>
      <c r="G5981" s="3" t="s">
        <v>61</v>
      </c>
      <c r="I5981" s="3" t="s">
        <v>62</v>
      </c>
      <c r="J5981" s="3" t="s">
        <v>62</v>
      </c>
      <c r="K5981" s="3" t="s">
        <v>63</v>
      </c>
      <c r="M5981" s="2" t="s">
        <v>2764</v>
      </c>
      <c r="N5981" s="3" t="s">
        <v>1097</v>
      </c>
      <c r="P5981" s="3" t="s">
        <v>65</v>
      </c>
      <c r="Q5981" s="2" t="s">
        <v>57515</v>
      </c>
      <c r="R5981" s="3" t="s">
        <v>66</v>
      </c>
      <c r="S5981" s="4">
        <v>9</v>
      </c>
      <c r="T5981" s="4">
        <v>64</v>
      </c>
      <c r="U5981" s="5" t="s">
        <v>52804</v>
      </c>
      <c r="V5981" s="5" t="s">
        <v>5537</v>
      </c>
      <c r="W5981" s="5" t="s">
        <v>67</v>
      </c>
      <c r="X5981" s="5" t="s">
        <v>67</v>
      </c>
      <c r="Y5981" s="4">
        <v>72</v>
      </c>
      <c r="Z5981" s="4">
        <v>4</v>
      </c>
      <c r="AA5981" s="4">
        <v>6</v>
      </c>
      <c r="AB5981" s="4">
        <v>1</v>
      </c>
      <c r="AC5981" s="4">
        <v>2</v>
      </c>
      <c r="AD5981" s="4">
        <v>17</v>
      </c>
      <c r="AE5981" s="4">
        <v>20</v>
      </c>
      <c r="AF5981" s="4">
        <v>0</v>
      </c>
      <c r="AG5981" s="4">
        <v>1</v>
      </c>
      <c r="AH5981" s="4">
        <v>14</v>
      </c>
      <c r="AI5981" s="4">
        <v>16</v>
      </c>
      <c r="AJ5981" s="4">
        <v>2</v>
      </c>
      <c r="AK5981" s="4">
        <v>4</v>
      </c>
      <c r="AL5981" s="4">
        <v>9</v>
      </c>
      <c r="AM5981" s="4">
        <v>10</v>
      </c>
      <c r="AN5981" s="4">
        <v>0</v>
      </c>
      <c r="AO5981" s="4">
        <v>0</v>
      </c>
      <c r="AP5981" s="4">
        <v>3</v>
      </c>
      <c r="AQ5981" s="4">
        <v>5</v>
      </c>
      <c r="AR5981" s="3" t="s">
        <v>62</v>
      </c>
      <c r="AS5981" s="3" t="s">
        <v>62</v>
      </c>
      <c r="AT5981" s="3" t="s">
        <v>62</v>
      </c>
      <c r="AV5981" s="6" t="str">
        <f>HYPERLINK("http://mcgill.on.worldcat.org/oclc/54079783","Catalog Record")</f>
        <v>Catalog Record</v>
      </c>
      <c r="AW5981" s="6" t="str">
        <f>HYPERLINK("http://www.worldcat.org/oclc/54079783","WorldCat Record")</f>
        <v>WorldCat Record</v>
      </c>
      <c r="AX5981" s="3" t="s">
        <v>57516</v>
      </c>
      <c r="AY5981" s="3" t="s">
        <v>57517</v>
      </c>
      <c r="AZ5981" s="3" t="s">
        <v>57518</v>
      </c>
      <c r="BA5981" s="3" t="s">
        <v>57518</v>
      </c>
      <c r="BB5981" s="3" t="s">
        <v>57526</v>
      </c>
      <c r="BC5981" s="3" t="s">
        <v>142</v>
      </c>
      <c r="BD5981" s="3" t="s">
        <v>68</v>
      </c>
      <c r="BE5981" s="3" t="s">
        <v>57520</v>
      </c>
      <c r="BF5981" s="3" t="s">
        <v>57526</v>
      </c>
      <c r="BG5981" s="3" t="s">
        <v>57527</v>
      </c>
    </row>
    <row r="5982" spans="1:59" ht="57" x14ac:dyDescent="0.45">
      <c r="A5982" s="2" t="s">
        <v>59</v>
      </c>
      <c r="B5982" s="2" t="s">
        <v>60</v>
      </c>
      <c r="C5982" s="2" t="s">
        <v>57528</v>
      </c>
      <c r="D5982" s="2" t="s">
        <v>57529</v>
      </c>
      <c r="E5982" s="2" t="s">
        <v>57530</v>
      </c>
      <c r="G5982" s="3" t="s">
        <v>62</v>
      </c>
      <c r="I5982" s="3" t="s">
        <v>62</v>
      </c>
      <c r="J5982" s="3" t="s">
        <v>61</v>
      </c>
      <c r="K5982" s="3" t="s">
        <v>63</v>
      </c>
      <c r="L5982" s="2" t="s">
        <v>57531</v>
      </c>
      <c r="M5982" s="2" t="s">
        <v>5890</v>
      </c>
      <c r="N5982" s="3" t="s">
        <v>1212</v>
      </c>
      <c r="P5982" s="3" t="s">
        <v>65</v>
      </c>
      <c r="Q5982" s="2" t="s">
        <v>57532</v>
      </c>
      <c r="R5982" s="3" t="s">
        <v>66</v>
      </c>
      <c r="S5982" s="4">
        <v>20</v>
      </c>
      <c r="T5982" s="4">
        <v>20</v>
      </c>
      <c r="U5982" s="5" t="s">
        <v>1570</v>
      </c>
      <c r="V5982" s="5" t="s">
        <v>1570</v>
      </c>
      <c r="W5982" s="5" t="s">
        <v>67</v>
      </c>
      <c r="X5982" s="5" t="s">
        <v>67</v>
      </c>
      <c r="Y5982" s="4">
        <v>220</v>
      </c>
      <c r="Z5982" s="4">
        <v>16</v>
      </c>
      <c r="AA5982" s="4">
        <v>103</v>
      </c>
      <c r="AB5982" s="4">
        <v>1</v>
      </c>
      <c r="AC5982" s="4">
        <v>17</v>
      </c>
      <c r="AD5982" s="4">
        <v>83</v>
      </c>
      <c r="AE5982" s="4">
        <v>138</v>
      </c>
      <c r="AF5982" s="4">
        <v>0</v>
      </c>
      <c r="AG5982" s="4">
        <v>8</v>
      </c>
      <c r="AH5982" s="4">
        <v>74</v>
      </c>
      <c r="AI5982" s="4">
        <v>101</v>
      </c>
      <c r="AJ5982" s="4">
        <v>11</v>
      </c>
      <c r="AK5982" s="4">
        <v>23</v>
      </c>
      <c r="AL5982" s="4">
        <v>45</v>
      </c>
      <c r="AM5982" s="4">
        <v>55</v>
      </c>
      <c r="AN5982" s="4">
        <v>0</v>
      </c>
      <c r="AO5982" s="4">
        <v>0</v>
      </c>
      <c r="AP5982" s="4">
        <v>14</v>
      </c>
      <c r="AQ5982" s="4">
        <v>44</v>
      </c>
      <c r="AR5982" s="3" t="s">
        <v>62</v>
      </c>
      <c r="AS5982" s="3" t="s">
        <v>62</v>
      </c>
      <c r="AT5982" s="3" t="s">
        <v>62</v>
      </c>
      <c r="AV5982" s="6" t="str">
        <f>HYPERLINK("http://mcgill.on.worldcat.org/oclc/44076095","Catalog Record")</f>
        <v>Catalog Record</v>
      </c>
      <c r="AW5982" s="6" t="str">
        <f>HYPERLINK("http://www.worldcat.org/oclc/44076095","WorldCat Record")</f>
        <v>WorldCat Record</v>
      </c>
      <c r="AX5982" s="3" t="s">
        <v>57533</v>
      </c>
      <c r="AY5982" s="3" t="s">
        <v>57534</v>
      </c>
      <c r="AZ5982" s="3" t="s">
        <v>57535</v>
      </c>
      <c r="BA5982" s="3" t="s">
        <v>57535</v>
      </c>
      <c r="BB5982" s="3" t="s">
        <v>57536</v>
      </c>
      <c r="BC5982" s="3" t="s">
        <v>142</v>
      </c>
      <c r="BD5982" s="3" t="s">
        <v>68</v>
      </c>
      <c r="BE5982" s="3" t="s">
        <v>57537</v>
      </c>
      <c r="BF5982" s="3" t="s">
        <v>57536</v>
      </c>
      <c r="BG5982" s="3" t="s">
        <v>57538</v>
      </c>
    </row>
    <row r="5983" spans="1:59" ht="57" x14ac:dyDescent="0.45">
      <c r="A5983" s="2" t="s">
        <v>59</v>
      </c>
      <c r="B5983" s="2" t="s">
        <v>60</v>
      </c>
      <c r="C5983" s="2" t="s">
        <v>57539</v>
      </c>
      <c r="D5983" s="2" t="s">
        <v>57540</v>
      </c>
      <c r="E5983" s="2" t="s">
        <v>57530</v>
      </c>
      <c r="G5983" s="3" t="s">
        <v>62</v>
      </c>
      <c r="I5983" s="3" t="s">
        <v>62</v>
      </c>
      <c r="J5983" s="3" t="s">
        <v>61</v>
      </c>
      <c r="K5983" s="3" t="s">
        <v>63</v>
      </c>
      <c r="L5983" s="2" t="s">
        <v>57531</v>
      </c>
      <c r="M5983" s="2" t="s">
        <v>57541</v>
      </c>
      <c r="N5983" s="3" t="s">
        <v>149</v>
      </c>
      <c r="P5983" s="3" t="s">
        <v>65</v>
      </c>
      <c r="Q5983" s="2" t="s">
        <v>57542</v>
      </c>
      <c r="R5983" s="3" t="s">
        <v>66</v>
      </c>
      <c r="S5983" s="4">
        <v>4</v>
      </c>
      <c r="T5983" s="4">
        <v>4</v>
      </c>
      <c r="U5983" s="5" t="s">
        <v>37121</v>
      </c>
      <c r="V5983" s="5" t="s">
        <v>37121</v>
      </c>
      <c r="W5983" s="5" t="s">
        <v>67</v>
      </c>
      <c r="X5983" s="5" t="s">
        <v>67</v>
      </c>
      <c r="Y5983" s="4">
        <v>23</v>
      </c>
      <c r="Z5983" s="4">
        <v>2</v>
      </c>
      <c r="AA5983" s="4">
        <v>103</v>
      </c>
      <c r="AB5983" s="4">
        <v>1</v>
      </c>
      <c r="AC5983" s="4">
        <v>17</v>
      </c>
      <c r="AD5983" s="4">
        <v>3</v>
      </c>
      <c r="AE5983" s="4">
        <v>138</v>
      </c>
      <c r="AF5983" s="4">
        <v>0</v>
      </c>
      <c r="AG5983" s="4">
        <v>8</v>
      </c>
      <c r="AH5983" s="4">
        <v>3</v>
      </c>
      <c r="AI5983" s="4">
        <v>101</v>
      </c>
      <c r="AJ5983" s="4">
        <v>1</v>
      </c>
      <c r="AK5983" s="4">
        <v>23</v>
      </c>
      <c r="AL5983" s="4">
        <v>1</v>
      </c>
      <c r="AM5983" s="4">
        <v>55</v>
      </c>
      <c r="AN5983" s="4">
        <v>0</v>
      </c>
      <c r="AO5983" s="4">
        <v>0</v>
      </c>
      <c r="AP5983" s="4">
        <v>1</v>
      </c>
      <c r="AQ5983" s="4">
        <v>44</v>
      </c>
      <c r="AR5983" s="3" t="s">
        <v>62</v>
      </c>
      <c r="AS5983" s="3" t="s">
        <v>62</v>
      </c>
      <c r="AT5983" s="3" t="s">
        <v>62</v>
      </c>
      <c r="AV5983" s="6" t="str">
        <f>HYPERLINK("http://mcgill.on.worldcat.org/oclc/606740333","Catalog Record")</f>
        <v>Catalog Record</v>
      </c>
      <c r="AW5983" s="6" t="str">
        <f>HYPERLINK("http://www.worldcat.org/oclc/606740333","WorldCat Record")</f>
        <v>WorldCat Record</v>
      </c>
      <c r="AX5983" s="3" t="s">
        <v>57533</v>
      </c>
      <c r="AY5983" s="3" t="s">
        <v>57543</v>
      </c>
      <c r="AZ5983" s="3" t="s">
        <v>57544</v>
      </c>
      <c r="BA5983" s="3" t="s">
        <v>57544</v>
      </c>
      <c r="BB5983" s="3" t="s">
        <v>57545</v>
      </c>
      <c r="BC5983" s="3" t="s">
        <v>142</v>
      </c>
      <c r="BD5983" s="3" t="s">
        <v>68</v>
      </c>
      <c r="BE5983" s="3" t="s">
        <v>57546</v>
      </c>
      <c r="BF5983" s="3" t="s">
        <v>57545</v>
      </c>
      <c r="BG5983" s="3" t="s">
        <v>57547</v>
      </c>
    </row>
    <row r="5984" spans="1:59" ht="57" x14ac:dyDescent="0.45">
      <c r="A5984" s="2" t="s">
        <v>59</v>
      </c>
      <c r="B5984" s="2" t="s">
        <v>60</v>
      </c>
      <c r="C5984" s="2" t="s">
        <v>57548</v>
      </c>
      <c r="D5984" s="2" t="s">
        <v>57549</v>
      </c>
      <c r="E5984" s="2" t="s">
        <v>57550</v>
      </c>
      <c r="G5984" s="3" t="s">
        <v>62</v>
      </c>
      <c r="I5984" s="3" t="s">
        <v>62</v>
      </c>
      <c r="J5984" s="3" t="s">
        <v>62</v>
      </c>
      <c r="K5984" s="3" t="s">
        <v>63</v>
      </c>
      <c r="M5984" s="2" t="s">
        <v>18880</v>
      </c>
      <c r="N5984" s="3" t="s">
        <v>116</v>
      </c>
      <c r="P5984" s="3" t="s">
        <v>110</v>
      </c>
      <c r="Q5984" s="2" t="s">
        <v>57551</v>
      </c>
      <c r="R5984" s="3" t="s">
        <v>66</v>
      </c>
      <c r="S5984" s="4">
        <v>0</v>
      </c>
      <c r="T5984" s="4">
        <v>0</v>
      </c>
      <c r="U5984" s="5" t="s">
        <v>57552</v>
      </c>
      <c r="V5984" s="5" t="s">
        <v>57552</v>
      </c>
      <c r="W5984" s="5" t="s">
        <v>67</v>
      </c>
      <c r="X5984" s="5" t="s">
        <v>67</v>
      </c>
      <c r="Y5984" s="4">
        <v>10</v>
      </c>
      <c r="Z5984" s="4">
        <v>5</v>
      </c>
      <c r="AA5984" s="4">
        <v>116</v>
      </c>
      <c r="AB5984" s="4">
        <v>2</v>
      </c>
      <c r="AC5984" s="4">
        <v>26</v>
      </c>
      <c r="AD5984" s="4">
        <v>5</v>
      </c>
      <c r="AE5984" s="4">
        <v>89</v>
      </c>
      <c r="AF5984" s="4">
        <v>0</v>
      </c>
      <c r="AG5984" s="4">
        <v>9</v>
      </c>
      <c r="AH5984" s="4">
        <v>4</v>
      </c>
      <c r="AI5984" s="4">
        <v>48</v>
      </c>
      <c r="AJ5984" s="4">
        <v>2</v>
      </c>
      <c r="AK5984" s="4">
        <v>22</v>
      </c>
      <c r="AL5984" s="4">
        <v>2</v>
      </c>
      <c r="AM5984" s="4">
        <v>21</v>
      </c>
      <c r="AN5984" s="4">
        <v>0</v>
      </c>
      <c r="AO5984" s="4">
        <v>0</v>
      </c>
      <c r="AP5984" s="4">
        <v>2</v>
      </c>
      <c r="AQ5984" s="4">
        <v>49</v>
      </c>
      <c r="AR5984" s="3" t="s">
        <v>61</v>
      </c>
      <c r="AS5984" s="3" t="s">
        <v>62</v>
      </c>
      <c r="AT5984" s="3" t="s">
        <v>62</v>
      </c>
      <c r="AV5984" s="6" t="str">
        <f>HYPERLINK("http://mcgill.on.worldcat.org/oclc/864753459","Catalog Record")</f>
        <v>Catalog Record</v>
      </c>
      <c r="AW5984" s="6" t="str">
        <f>HYPERLINK("http://www.worldcat.org/oclc/864753459","WorldCat Record")</f>
        <v>WorldCat Record</v>
      </c>
      <c r="AX5984" s="3" t="s">
        <v>57553</v>
      </c>
      <c r="AY5984" s="3" t="s">
        <v>57554</v>
      </c>
      <c r="AZ5984" s="3" t="s">
        <v>57555</v>
      </c>
      <c r="BA5984" s="3" t="s">
        <v>57555</v>
      </c>
      <c r="BB5984" s="3" t="s">
        <v>57556</v>
      </c>
      <c r="BC5984" s="3" t="s">
        <v>142</v>
      </c>
      <c r="BD5984" s="3" t="s">
        <v>68</v>
      </c>
      <c r="BE5984" s="3" t="s">
        <v>57557</v>
      </c>
      <c r="BF5984" s="3" t="s">
        <v>57556</v>
      </c>
      <c r="BG5984" s="3" t="s">
        <v>57558</v>
      </c>
    </row>
    <row r="5985" spans="1:59" ht="57" x14ac:dyDescent="0.45">
      <c r="A5985" s="2" t="s">
        <v>59</v>
      </c>
      <c r="B5985" s="2" t="s">
        <v>60</v>
      </c>
      <c r="C5985" s="2" t="s">
        <v>57559</v>
      </c>
      <c r="D5985" s="2" t="s">
        <v>57560</v>
      </c>
      <c r="E5985" s="2" t="s">
        <v>57561</v>
      </c>
      <c r="G5985" s="3" t="s">
        <v>62</v>
      </c>
      <c r="I5985" s="3" t="s">
        <v>62</v>
      </c>
      <c r="J5985" s="3" t="s">
        <v>62</v>
      </c>
      <c r="K5985" s="3" t="s">
        <v>63</v>
      </c>
      <c r="M5985" s="2" t="s">
        <v>57562</v>
      </c>
      <c r="N5985" s="3" t="s">
        <v>820</v>
      </c>
      <c r="P5985" s="3" t="s">
        <v>65</v>
      </c>
      <c r="R5985" s="3" t="s">
        <v>66</v>
      </c>
      <c r="S5985" s="4">
        <v>3</v>
      </c>
      <c r="T5985" s="4">
        <v>3</v>
      </c>
      <c r="U5985" s="5" t="s">
        <v>25258</v>
      </c>
      <c r="V5985" s="5" t="s">
        <v>25258</v>
      </c>
      <c r="W5985" s="5" t="s">
        <v>67</v>
      </c>
      <c r="X5985" s="5" t="s">
        <v>67</v>
      </c>
      <c r="Y5985" s="4">
        <v>34</v>
      </c>
      <c r="Z5985" s="4">
        <v>3</v>
      </c>
      <c r="AA5985" s="4">
        <v>3</v>
      </c>
      <c r="AB5985" s="4">
        <v>1</v>
      </c>
      <c r="AC5985" s="4">
        <v>1</v>
      </c>
      <c r="AD5985" s="4">
        <v>16</v>
      </c>
      <c r="AE5985" s="4">
        <v>16</v>
      </c>
      <c r="AF5985" s="4">
        <v>0</v>
      </c>
      <c r="AG5985" s="4">
        <v>0</v>
      </c>
      <c r="AH5985" s="4">
        <v>16</v>
      </c>
      <c r="AI5985" s="4">
        <v>16</v>
      </c>
      <c r="AJ5985" s="4">
        <v>2</v>
      </c>
      <c r="AK5985" s="4">
        <v>2</v>
      </c>
      <c r="AL5985" s="4">
        <v>12</v>
      </c>
      <c r="AM5985" s="4">
        <v>12</v>
      </c>
      <c r="AN5985" s="4">
        <v>0</v>
      </c>
      <c r="AO5985" s="4">
        <v>0</v>
      </c>
      <c r="AP5985" s="4">
        <v>2</v>
      </c>
      <c r="AQ5985" s="4">
        <v>2</v>
      </c>
      <c r="AR5985" s="3" t="s">
        <v>62</v>
      </c>
      <c r="AS5985" s="3" t="s">
        <v>62</v>
      </c>
      <c r="AT5985" s="3" t="s">
        <v>62</v>
      </c>
      <c r="AV5985" s="6" t="str">
        <f>HYPERLINK("http://mcgill.on.worldcat.org/oclc/192134410","Catalog Record")</f>
        <v>Catalog Record</v>
      </c>
      <c r="AW5985" s="6" t="str">
        <f>HYPERLINK("http://www.worldcat.org/oclc/192134410","WorldCat Record")</f>
        <v>WorldCat Record</v>
      </c>
      <c r="AX5985" s="3" t="s">
        <v>57563</v>
      </c>
      <c r="AY5985" s="3" t="s">
        <v>57564</v>
      </c>
      <c r="AZ5985" s="3" t="s">
        <v>57565</v>
      </c>
      <c r="BA5985" s="3" t="s">
        <v>57565</v>
      </c>
      <c r="BB5985" s="3" t="s">
        <v>57566</v>
      </c>
      <c r="BC5985" s="3" t="s">
        <v>142</v>
      </c>
      <c r="BD5985" s="3" t="s">
        <v>68</v>
      </c>
      <c r="BE5985" s="3" t="s">
        <v>57567</v>
      </c>
      <c r="BF5985" s="3" t="s">
        <v>57566</v>
      </c>
      <c r="BG5985" s="3" t="s">
        <v>57568</v>
      </c>
    </row>
    <row r="5986" spans="1:59" ht="57" x14ac:dyDescent="0.45">
      <c r="A5986" s="2" t="s">
        <v>59</v>
      </c>
      <c r="B5986" s="2" t="s">
        <v>60</v>
      </c>
      <c r="C5986" s="2" t="s">
        <v>57569</v>
      </c>
      <c r="D5986" s="2" t="s">
        <v>57570</v>
      </c>
      <c r="E5986" s="2" t="s">
        <v>57571</v>
      </c>
      <c r="G5986" s="3" t="s">
        <v>62</v>
      </c>
      <c r="I5986" s="3" t="s">
        <v>62</v>
      </c>
      <c r="J5986" s="3" t="s">
        <v>62</v>
      </c>
      <c r="K5986" s="3" t="s">
        <v>63</v>
      </c>
      <c r="L5986" s="2" t="s">
        <v>57572</v>
      </c>
      <c r="M5986" s="2" t="s">
        <v>57573</v>
      </c>
      <c r="N5986" s="3" t="s">
        <v>529</v>
      </c>
      <c r="P5986" s="3" t="s">
        <v>65</v>
      </c>
      <c r="Q5986" s="2" t="s">
        <v>57574</v>
      </c>
      <c r="R5986" s="3" t="s">
        <v>66</v>
      </c>
      <c r="S5986" s="4">
        <v>20</v>
      </c>
      <c r="T5986" s="4">
        <v>20</v>
      </c>
      <c r="U5986" s="5" t="s">
        <v>23086</v>
      </c>
      <c r="V5986" s="5" t="s">
        <v>23086</v>
      </c>
      <c r="W5986" s="5" t="s">
        <v>67</v>
      </c>
      <c r="X5986" s="5" t="s">
        <v>67</v>
      </c>
      <c r="Y5986" s="4">
        <v>271</v>
      </c>
      <c r="Z5986" s="4">
        <v>15</v>
      </c>
      <c r="AA5986" s="4">
        <v>23</v>
      </c>
      <c r="AB5986" s="4">
        <v>3</v>
      </c>
      <c r="AC5986" s="4">
        <v>5</v>
      </c>
      <c r="AD5986" s="4">
        <v>94</v>
      </c>
      <c r="AE5986" s="4">
        <v>109</v>
      </c>
      <c r="AF5986" s="4">
        <v>1</v>
      </c>
      <c r="AG5986" s="4">
        <v>3</v>
      </c>
      <c r="AH5986" s="4">
        <v>85</v>
      </c>
      <c r="AI5986" s="4">
        <v>97</v>
      </c>
      <c r="AJ5986" s="4">
        <v>10</v>
      </c>
      <c r="AK5986" s="4">
        <v>17</v>
      </c>
      <c r="AL5986" s="4">
        <v>45</v>
      </c>
      <c r="AM5986" s="4">
        <v>50</v>
      </c>
      <c r="AN5986" s="4">
        <v>0</v>
      </c>
      <c r="AO5986" s="4">
        <v>0</v>
      </c>
      <c r="AP5986" s="4">
        <v>12</v>
      </c>
      <c r="AQ5986" s="4">
        <v>18</v>
      </c>
      <c r="AR5986" s="3" t="s">
        <v>62</v>
      </c>
      <c r="AS5986" s="3" t="s">
        <v>62</v>
      </c>
      <c r="AT5986" s="3" t="s">
        <v>61</v>
      </c>
      <c r="AU5986" s="6" t="str">
        <f>HYPERLINK("http://catalog.hathitrust.org/Record/000469393","HathiTrust Record")</f>
        <v>HathiTrust Record</v>
      </c>
      <c r="AV5986" s="6" t="str">
        <f>HYPERLINK("http://mcgill.on.worldcat.org/oclc/11346311","Catalog Record")</f>
        <v>Catalog Record</v>
      </c>
      <c r="AW5986" s="6" t="str">
        <f>HYPERLINK("http://www.worldcat.org/oclc/11346311","WorldCat Record")</f>
        <v>WorldCat Record</v>
      </c>
      <c r="AX5986" s="3" t="s">
        <v>57575</v>
      </c>
      <c r="AY5986" s="3" t="s">
        <v>57576</v>
      </c>
      <c r="AZ5986" s="3" t="s">
        <v>57577</v>
      </c>
      <c r="BA5986" s="3" t="s">
        <v>57577</v>
      </c>
      <c r="BB5986" s="3" t="s">
        <v>57578</v>
      </c>
      <c r="BC5986" s="3" t="s">
        <v>142</v>
      </c>
      <c r="BD5986" s="3" t="s">
        <v>68</v>
      </c>
      <c r="BE5986" s="3" t="s">
        <v>57579</v>
      </c>
      <c r="BF5986" s="3" t="s">
        <v>57578</v>
      </c>
      <c r="BG5986" s="3" t="s">
        <v>57580</v>
      </c>
    </row>
    <row r="5987" spans="1:59" ht="57" x14ac:dyDescent="0.45">
      <c r="A5987" s="2" t="s">
        <v>59</v>
      </c>
      <c r="B5987" s="2" t="s">
        <v>60</v>
      </c>
      <c r="C5987" s="2" t="s">
        <v>57581</v>
      </c>
      <c r="D5987" s="2" t="s">
        <v>57582</v>
      </c>
      <c r="E5987" s="2" t="s">
        <v>57583</v>
      </c>
      <c r="G5987" s="3" t="s">
        <v>62</v>
      </c>
      <c r="I5987" s="3" t="s">
        <v>61</v>
      </c>
      <c r="J5987" s="3" t="s">
        <v>62</v>
      </c>
      <c r="K5987" s="3" t="s">
        <v>63</v>
      </c>
      <c r="L5987" s="2" t="s">
        <v>57584</v>
      </c>
      <c r="M5987" s="2" t="s">
        <v>57585</v>
      </c>
      <c r="N5987" s="3" t="s">
        <v>2417</v>
      </c>
      <c r="P5987" s="3" t="s">
        <v>65</v>
      </c>
      <c r="Q5987" s="2" t="s">
        <v>57586</v>
      </c>
      <c r="R5987" s="3" t="s">
        <v>66</v>
      </c>
      <c r="S5987" s="4">
        <v>41</v>
      </c>
      <c r="T5987" s="4">
        <v>110</v>
      </c>
      <c r="U5987" s="5" t="s">
        <v>16493</v>
      </c>
      <c r="V5987" s="5" t="s">
        <v>16493</v>
      </c>
      <c r="W5987" s="5" t="s">
        <v>67</v>
      </c>
      <c r="X5987" s="5" t="s">
        <v>67</v>
      </c>
      <c r="Y5987" s="4">
        <v>646</v>
      </c>
      <c r="Z5987" s="4">
        <v>42</v>
      </c>
      <c r="AA5987" s="4">
        <v>105</v>
      </c>
      <c r="AB5987" s="4">
        <v>2</v>
      </c>
      <c r="AC5987" s="4">
        <v>17</v>
      </c>
      <c r="AD5987" s="4">
        <v>128</v>
      </c>
      <c r="AE5987" s="4">
        <v>152</v>
      </c>
      <c r="AF5987" s="4">
        <v>1</v>
      </c>
      <c r="AG5987" s="4">
        <v>8</v>
      </c>
      <c r="AH5987" s="4">
        <v>105</v>
      </c>
      <c r="AI5987" s="4">
        <v>109</v>
      </c>
      <c r="AJ5987" s="4">
        <v>19</v>
      </c>
      <c r="AK5987" s="4">
        <v>26</v>
      </c>
      <c r="AL5987" s="4">
        <v>56</v>
      </c>
      <c r="AM5987" s="4">
        <v>57</v>
      </c>
      <c r="AN5987" s="4">
        <v>0</v>
      </c>
      <c r="AO5987" s="4">
        <v>0</v>
      </c>
      <c r="AP5987" s="4">
        <v>32</v>
      </c>
      <c r="AQ5987" s="4">
        <v>53</v>
      </c>
      <c r="AR5987" s="3" t="s">
        <v>62</v>
      </c>
      <c r="AS5987" s="3" t="s">
        <v>62</v>
      </c>
      <c r="AT5987" s="3" t="s">
        <v>62</v>
      </c>
      <c r="AV5987" s="6" t="str">
        <f>HYPERLINK("http://mcgill.on.worldcat.org/oclc/16472231","Catalog Record")</f>
        <v>Catalog Record</v>
      </c>
      <c r="AW5987" s="6" t="str">
        <f>HYPERLINK("http://www.worldcat.org/oclc/16472231","WorldCat Record")</f>
        <v>WorldCat Record</v>
      </c>
      <c r="AX5987" s="3" t="s">
        <v>57587</v>
      </c>
      <c r="AY5987" s="3" t="s">
        <v>57588</v>
      </c>
      <c r="AZ5987" s="3" t="s">
        <v>57589</v>
      </c>
      <c r="BA5987" s="3" t="s">
        <v>57589</v>
      </c>
      <c r="BB5987" s="3" t="s">
        <v>57590</v>
      </c>
      <c r="BC5987" s="3" t="s">
        <v>142</v>
      </c>
      <c r="BD5987" s="3" t="s">
        <v>68</v>
      </c>
      <c r="BE5987" s="3" t="s">
        <v>57591</v>
      </c>
      <c r="BF5987" s="3" t="s">
        <v>57590</v>
      </c>
      <c r="BG5987" s="3" t="s">
        <v>57592</v>
      </c>
    </row>
    <row r="5988" spans="1:59" ht="57" x14ac:dyDescent="0.45">
      <c r="A5988" s="2" t="s">
        <v>59</v>
      </c>
      <c r="B5988" s="2" t="s">
        <v>60</v>
      </c>
      <c r="C5988" s="2" t="s">
        <v>57581</v>
      </c>
      <c r="D5988" s="2" t="s">
        <v>57582</v>
      </c>
      <c r="E5988" s="2" t="s">
        <v>57583</v>
      </c>
      <c r="G5988" s="3" t="s">
        <v>62</v>
      </c>
      <c r="I5988" s="3" t="s">
        <v>61</v>
      </c>
      <c r="J5988" s="3" t="s">
        <v>62</v>
      </c>
      <c r="K5988" s="3" t="s">
        <v>63</v>
      </c>
      <c r="L5988" s="2" t="s">
        <v>57584</v>
      </c>
      <c r="M5988" s="2" t="s">
        <v>57585</v>
      </c>
      <c r="N5988" s="3" t="s">
        <v>2417</v>
      </c>
      <c r="P5988" s="3" t="s">
        <v>65</v>
      </c>
      <c r="Q5988" s="2" t="s">
        <v>57586</v>
      </c>
      <c r="R5988" s="3" t="s">
        <v>66</v>
      </c>
      <c r="S5988" s="4">
        <v>69</v>
      </c>
      <c r="T5988" s="4">
        <v>110</v>
      </c>
      <c r="U5988" s="5" t="s">
        <v>16493</v>
      </c>
      <c r="V5988" s="5" t="s">
        <v>16493</v>
      </c>
      <c r="W5988" s="5" t="s">
        <v>67</v>
      </c>
      <c r="X5988" s="5" t="s">
        <v>67</v>
      </c>
      <c r="Y5988" s="4">
        <v>646</v>
      </c>
      <c r="Z5988" s="4">
        <v>42</v>
      </c>
      <c r="AA5988" s="4">
        <v>105</v>
      </c>
      <c r="AB5988" s="4">
        <v>2</v>
      </c>
      <c r="AC5988" s="4">
        <v>17</v>
      </c>
      <c r="AD5988" s="4">
        <v>128</v>
      </c>
      <c r="AE5988" s="4">
        <v>152</v>
      </c>
      <c r="AF5988" s="4">
        <v>1</v>
      </c>
      <c r="AG5988" s="4">
        <v>8</v>
      </c>
      <c r="AH5988" s="4">
        <v>105</v>
      </c>
      <c r="AI5988" s="4">
        <v>109</v>
      </c>
      <c r="AJ5988" s="4">
        <v>19</v>
      </c>
      <c r="AK5988" s="4">
        <v>26</v>
      </c>
      <c r="AL5988" s="4">
        <v>56</v>
      </c>
      <c r="AM5988" s="4">
        <v>57</v>
      </c>
      <c r="AN5988" s="4">
        <v>0</v>
      </c>
      <c r="AO5988" s="4">
        <v>0</v>
      </c>
      <c r="AP5988" s="4">
        <v>32</v>
      </c>
      <c r="AQ5988" s="4">
        <v>53</v>
      </c>
      <c r="AR5988" s="3" t="s">
        <v>62</v>
      </c>
      <c r="AS5988" s="3" t="s">
        <v>62</v>
      </c>
      <c r="AT5988" s="3" t="s">
        <v>62</v>
      </c>
      <c r="AV5988" s="6" t="str">
        <f>HYPERLINK("http://mcgill.on.worldcat.org/oclc/16472231","Catalog Record")</f>
        <v>Catalog Record</v>
      </c>
      <c r="AW5988" s="6" t="str">
        <f>HYPERLINK("http://www.worldcat.org/oclc/16472231","WorldCat Record")</f>
        <v>WorldCat Record</v>
      </c>
      <c r="AX5988" s="3" t="s">
        <v>57587</v>
      </c>
      <c r="AY5988" s="3" t="s">
        <v>57588</v>
      </c>
      <c r="AZ5988" s="3" t="s">
        <v>57589</v>
      </c>
      <c r="BA5988" s="3" t="s">
        <v>57589</v>
      </c>
      <c r="BB5988" s="3" t="s">
        <v>57593</v>
      </c>
      <c r="BC5988" s="3" t="s">
        <v>142</v>
      </c>
      <c r="BD5988" s="3" t="s">
        <v>68</v>
      </c>
      <c r="BE5988" s="3" t="s">
        <v>57591</v>
      </c>
      <c r="BF5988" s="3" t="s">
        <v>57593</v>
      </c>
      <c r="BG5988" s="3" t="s">
        <v>57594</v>
      </c>
    </row>
    <row r="5989" spans="1:59" ht="57" x14ac:dyDescent="0.45">
      <c r="A5989" s="2" t="s">
        <v>59</v>
      </c>
      <c r="B5989" s="2" t="s">
        <v>60</v>
      </c>
      <c r="C5989" s="2" t="s">
        <v>57595</v>
      </c>
      <c r="D5989" s="2" t="s">
        <v>57596</v>
      </c>
      <c r="E5989" s="2" t="s">
        <v>57597</v>
      </c>
      <c r="G5989" s="3" t="s">
        <v>62</v>
      </c>
      <c r="I5989" s="3" t="s">
        <v>61</v>
      </c>
      <c r="J5989" s="3" t="s">
        <v>61</v>
      </c>
      <c r="K5989" s="3" t="s">
        <v>63</v>
      </c>
      <c r="L5989" s="2" t="s">
        <v>56588</v>
      </c>
      <c r="M5989" s="2" t="s">
        <v>57598</v>
      </c>
      <c r="N5989" s="3" t="s">
        <v>568</v>
      </c>
      <c r="P5989" s="3" t="s">
        <v>65</v>
      </c>
      <c r="R5989" s="3" t="s">
        <v>66</v>
      </c>
      <c r="S5989" s="4">
        <v>12</v>
      </c>
      <c r="T5989" s="4">
        <v>36</v>
      </c>
      <c r="U5989" s="5" t="s">
        <v>56326</v>
      </c>
      <c r="V5989" s="5" t="s">
        <v>56326</v>
      </c>
      <c r="W5989" s="5" t="s">
        <v>67</v>
      </c>
      <c r="X5989" s="5" t="s">
        <v>67</v>
      </c>
      <c r="Y5989" s="4">
        <v>361</v>
      </c>
      <c r="Z5989" s="4">
        <v>25</v>
      </c>
      <c r="AA5989" s="4">
        <v>41</v>
      </c>
      <c r="AB5989" s="4">
        <v>2</v>
      </c>
      <c r="AC5989" s="4">
        <v>7</v>
      </c>
      <c r="AD5989" s="4">
        <v>105</v>
      </c>
      <c r="AE5989" s="4">
        <v>133</v>
      </c>
      <c r="AF5989" s="4">
        <v>1</v>
      </c>
      <c r="AG5989" s="4">
        <v>5</v>
      </c>
      <c r="AH5989" s="4">
        <v>95</v>
      </c>
      <c r="AI5989" s="4">
        <v>113</v>
      </c>
      <c r="AJ5989" s="4">
        <v>15</v>
      </c>
      <c r="AK5989" s="4">
        <v>20</v>
      </c>
      <c r="AL5989" s="4">
        <v>50</v>
      </c>
      <c r="AM5989" s="4">
        <v>61</v>
      </c>
      <c r="AN5989" s="4">
        <v>0</v>
      </c>
      <c r="AO5989" s="4">
        <v>0</v>
      </c>
      <c r="AP5989" s="4">
        <v>18</v>
      </c>
      <c r="AQ5989" s="4">
        <v>28</v>
      </c>
      <c r="AR5989" s="3" t="s">
        <v>62</v>
      </c>
      <c r="AS5989" s="3" t="s">
        <v>62</v>
      </c>
      <c r="AT5989" s="3" t="s">
        <v>61</v>
      </c>
      <c r="AU5989" s="6" t="str">
        <f>HYPERLINK("http://catalog.hathitrust.org/Record/000869637","HathiTrust Record")</f>
        <v>HathiTrust Record</v>
      </c>
      <c r="AV5989" s="6" t="str">
        <f>HYPERLINK("http://mcgill.on.worldcat.org/oclc/15109449","Catalog Record")</f>
        <v>Catalog Record</v>
      </c>
      <c r="AW5989" s="6" t="str">
        <f>HYPERLINK("http://www.worldcat.org/oclc/15109449","WorldCat Record")</f>
        <v>WorldCat Record</v>
      </c>
      <c r="AX5989" s="3" t="s">
        <v>57599</v>
      </c>
      <c r="AY5989" s="3" t="s">
        <v>57600</v>
      </c>
      <c r="AZ5989" s="3" t="s">
        <v>57601</v>
      </c>
      <c r="BA5989" s="3" t="s">
        <v>57601</v>
      </c>
      <c r="BB5989" s="3" t="s">
        <v>57602</v>
      </c>
      <c r="BC5989" s="3" t="s">
        <v>142</v>
      </c>
      <c r="BD5989" s="3" t="s">
        <v>68</v>
      </c>
      <c r="BE5989" s="3" t="s">
        <v>57603</v>
      </c>
      <c r="BF5989" s="3" t="s">
        <v>57602</v>
      </c>
      <c r="BG5989" s="3" t="s">
        <v>57604</v>
      </c>
    </row>
    <row r="5990" spans="1:59" ht="57" x14ac:dyDescent="0.45">
      <c r="A5990" s="2" t="s">
        <v>59</v>
      </c>
      <c r="B5990" s="2" t="s">
        <v>60</v>
      </c>
      <c r="C5990" s="2" t="s">
        <v>57595</v>
      </c>
      <c r="D5990" s="2" t="s">
        <v>57596</v>
      </c>
      <c r="E5990" s="2" t="s">
        <v>57597</v>
      </c>
      <c r="G5990" s="3" t="s">
        <v>62</v>
      </c>
      <c r="I5990" s="3" t="s">
        <v>61</v>
      </c>
      <c r="J5990" s="3" t="s">
        <v>61</v>
      </c>
      <c r="K5990" s="3" t="s">
        <v>63</v>
      </c>
      <c r="L5990" s="2" t="s">
        <v>56588</v>
      </c>
      <c r="M5990" s="2" t="s">
        <v>57598</v>
      </c>
      <c r="N5990" s="3" t="s">
        <v>568</v>
      </c>
      <c r="P5990" s="3" t="s">
        <v>65</v>
      </c>
      <c r="R5990" s="3" t="s">
        <v>66</v>
      </c>
      <c r="S5990" s="4">
        <v>24</v>
      </c>
      <c r="T5990" s="4">
        <v>36</v>
      </c>
      <c r="U5990" s="5" t="s">
        <v>17306</v>
      </c>
      <c r="V5990" s="5" t="s">
        <v>56326</v>
      </c>
      <c r="W5990" s="5" t="s">
        <v>67</v>
      </c>
      <c r="X5990" s="5" t="s">
        <v>67</v>
      </c>
      <c r="Y5990" s="4">
        <v>361</v>
      </c>
      <c r="Z5990" s="4">
        <v>25</v>
      </c>
      <c r="AA5990" s="4">
        <v>41</v>
      </c>
      <c r="AB5990" s="4">
        <v>2</v>
      </c>
      <c r="AC5990" s="4">
        <v>7</v>
      </c>
      <c r="AD5990" s="4">
        <v>105</v>
      </c>
      <c r="AE5990" s="4">
        <v>133</v>
      </c>
      <c r="AF5990" s="4">
        <v>1</v>
      </c>
      <c r="AG5990" s="4">
        <v>5</v>
      </c>
      <c r="AH5990" s="4">
        <v>95</v>
      </c>
      <c r="AI5990" s="4">
        <v>113</v>
      </c>
      <c r="AJ5990" s="4">
        <v>15</v>
      </c>
      <c r="AK5990" s="4">
        <v>20</v>
      </c>
      <c r="AL5990" s="4">
        <v>50</v>
      </c>
      <c r="AM5990" s="4">
        <v>61</v>
      </c>
      <c r="AN5990" s="4">
        <v>0</v>
      </c>
      <c r="AO5990" s="4">
        <v>0</v>
      </c>
      <c r="AP5990" s="4">
        <v>18</v>
      </c>
      <c r="AQ5990" s="4">
        <v>28</v>
      </c>
      <c r="AR5990" s="3" t="s">
        <v>62</v>
      </c>
      <c r="AS5990" s="3" t="s">
        <v>62</v>
      </c>
      <c r="AT5990" s="3" t="s">
        <v>61</v>
      </c>
      <c r="AU5990" s="6" t="str">
        <f>HYPERLINK("http://catalog.hathitrust.org/Record/000869637","HathiTrust Record")</f>
        <v>HathiTrust Record</v>
      </c>
      <c r="AV5990" s="6" t="str">
        <f>HYPERLINK("http://mcgill.on.worldcat.org/oclc/15109449","Catalog Record")</f>
        <v>Catalog Record</v>
      </c>
      <c r="AW5990" s="6" t="str">
        <f>HYPERLINK("http://www.worldcat.org/oclc/15109449","WorldCat Record")</f>
        <v>WorldCat Record</v>
      </c>
      <c r="AX5990" s="3" t="s">
        <v>57599</v>
      </c>
      <c r="AY5990" s="3" t="s">
        <v>57600</v>
      </c>
      <c r="AZ5990" s="3" t="s">
        <v>57601</v>
      </c>
      <c r="BA5990" s="3" t="s">
        <v>57601</v>
      </c>
      <c r="BB5990" s="3" t="s">
        <v>57605</v>
      </c>
      <c r="BC5990" s="3" t="s">
        <v>142</v>
      </c>
      <c r="BD5990" s="3" t="s">
        <v>308</v>
      </c>
      <c r="BE5990" s="3" t="s">
        <v>57603</v>
      </c>
      <c r="BF5990" s="3" t="s">
        <v>57605</v>
      </c>
      <c r="BG5990" s="3" t="s">
        <v>57606</v>
      </c>
    </row>
    <row r="5991" spans="1:59" ht="57" x14ac:dyDescent="0.45">
      <c r="A5991" s="2" t="s">
        <v>927</v>
      </c>
      <c r="B5991" s="2" t="s">
        <v>928</v>
      </c>
      <c r="C5991" s="2" t="s">
        <v>57607</v>
      </c>
      <c r="D5991" s="2" t="s">
        <v>57608</v>
      </c>
      <c r="E5991" s="2" t="s">
        <v>57597</v>
      </c>
      <c r="G5991" s="3" t="s">
        <v>62</v>
      </c>
      <c r="I5991" s="3" t="s">
        <v>62</v>
      </c>
      <c r="J5991" s="3" t="s">
        <v>61</v>
      </c>
      <c r="K5991" s="3" t="s">
        <v>63</v>
      </c>
      <c r="L5991" s="2" t="s">
        <v>56588</v>
      </c>
      <c r="M5991" s="2" t="s">
        <v>57609</v>
      </c>
      <c r="N5991" s="3" t="s">
        <v>918</v>
      </c>
      <c r="O5991" s="2" t="s">
        <v>3255</v>
      </c>
      <c r="P5991" s="3" t="s">
        <v>65</v>
      </c>
      <c r="R5991" s="3" t="s">
        <v>66</v>
      </c>
      <c r="S5991" s="4">
        <v>4</v>
      </c>
      <c r="T5991" s="4">
        <v>4</v>
      </c>
      <c r="U5991" s="5" t="s">
        <v>18392</v>
      </c>
      <c r="V5991" s="5" t="s">
        <v>18392</v>
      </c>
      <c r="W5991" s="5" t="s">
        <v>67</v>
      </c>
      <c r="X5991" s="5" t="s">
        <v>67</v>
      </c>
      <c r="Y5991" s="4">
        <v>245</v>
      </c>
      <c r="Z5991" s="4">
        <v>18</v>
      </c>
      <c r="AA5991" s="4">
        <v>41</v>
      </c>
      <c r="AB5991" s="4">
        <v>1</v>
      </c>
      <c r="AC5991" s="4">
        <v>7</v>
      </c>
      <c r="AD5991" s="4">
        <v>83</v>
      </c>
      <c r="AE5991" s="4">
        <v>133</v>
      </c>
      <c r="AF5991" s="4">
        <v>0</v>
      </c>
      <c r="AG5991" s="4">
        <v>5</v>
      </c>
      <c r="AH5991" s="4">
        <v>76</v>
      </c>
      <c r="AI5991" s="4">
        <v>113</v>
      </c>
      <c r="AJ5991" s="4">
        <v>10</v>
      </c>
      <c r="AK5991" s="4">
        <v>20</v>
      </c>
      <c r="AL5991" s="4">
        <v>46</v>
      </c>
      <c r="AM5991" s="4">
        <v>61</v>
      </c>
      <c r="AN5991" s="4">
        <v>0</v>
      </c>
      <c r="AO5991" s="4">
        <v>0</v>
      </c>
      <c r="AP5991" s="4">
        <v>13</v>
      </c>
      <c r="AQ5991" s="4">
        <v>28</v>
      </c>
      <c r="AR5991" s="3" t="s">
        <v>62</v>
      </c>
      <c r="AS5991" s="3" t="s">
        <v>62</v>
      </c>
      <c r="AT5991" s="3" t="s">
        <v>62</v>
      </c>
      <c r="AV5991" s="6" t="str">
        <f>HYPERLINK("http://mcgill.on.worldcat.org/oclc/53030493","Catalog Record")</f>
        <v>Catalog Record</v>
      </c>
      <c r="AW5991" s="6" t="str">
        <f>HYPERLINK("http://www.worldcat.org/oclc/53030493","WorldCat Record")</f>
        <v>WorldCat Record</v>
      </c>
      <c r="AX5991" s="3" t="s">
        <v>57599</v>
      </c>
      <c r="AY5991" s="3" t="s">
        <v>57610</v>
      </c>
      <c r="AZ5991" s="3" t="s">
        <v>57611</v>
      </c>
      <c r="BA5991" s="3" t="s">
        <v>57611</v>
      </c>
      <c r="BB5991" s="3" t="s">
        <v>57612</v>
      </c>
      <c r="BC5991" s="3" t="s">
        <v>142</v>
      </c>
      <c r="BD5991" s="3" t="s">
        <v>68</v>
      </c>
      <c r="BE5991" s="3" t="s">
        <v>57613</v>
      </c>
      <c r="BF5991" s="3" t="s">
        <v>57612</v>
      </c>
      <c r="BG5991" s="3" t="s">
        <v>57614</v>
      </c>
    </row>
    <row r="5992" spans="1:59" ht="57" x14ac:dyDescent="0.45">
      <c r="A5992" s="2" t="s">
        <v>59</v>
      </c>
      <c r="B5992" s="2" t="s">
        <v>60</v>
      </c>
      <c r="C5992" s="2" t="s">
        <v>57615</v>
      </c>
      <c r="D5992" s="2" t="s">
        <v>57616</v>
      </c>
      <c r="E5992" s="2" t="s">
        <v>57617</v>
      </c>
      <c r="G5992" s="3" t="s">
        <v>62</v>
      </c>
      <c r="I5992" s="3" t="s">
        <v>62</v>
      </c>
      <c r="J5992" s="3" t="s">
        <v>62</v>
      </c>
      <c r="K5992" s="3" t="s">
        <v>63</v>
      </c>
      <c r="M5992" s="2" t="s">
        <v>27959</v>
      </c>
      <c r="N5992" s="3" t="s">
        <v>1155</v>
      </c>
      <c r="P5992" s="3" t="s">
        <v>110</v>
      </c>
      <c r="R5992" s="3" t="s">
        <v>66</v>
      </c>
      <c r="S5992" s="4">
        <v>8</v>
      </c>
      <c r="T5992" s="4">
        <v>8</v>
      </c>
      <c r="U5992" s="5" t="s">
        <v>1570</v>
      </c>
      <c r="V5992" s="5" t="s">
        <v>1570</v>
      </c>
      <c r="W5992" s="5" t="s">
        <v>67</v>
      </c>
      <c r="X5992" s="5" t="s">
        <v>67</v>
      </c>
      <c r="Y5992" s="4">
        <v>18</v>
      </c>
      <c r="Z5992" s="4">
        <v>8</v>
      </c>
      <c r="AA5992" s="4">
        <v>16</v>
      </c>
      <c r="AB5992" s="4">
        <v>1</v>
      </c>
      <c r="AC5992" s="4">
        <v>7</v>
      </c>
      <c r="AD5992" s="4">
        <v>11</v>
      </c>
      <c r="AE5992" s="4">
        <v>15</v>
      </c>
      <c r="AF5992" s="4">
        <v>0</v>
      </c>
      <c r="AG5992" s="4">
        <v>2</v>
      </c>
      <c r="AH5992" s="4">
        <v>9</v>
      </c>
      <c r="AI5992" s="4">
        <v>11</v>
      </c>
      <c r="AJ5992" s="4">
        <v>4</v>
      </c>
      <c r="AK5992" s="4">
        <v>8</v>
      </c>
      <c r="AL5992" s="4">
        <v>6</v>
      </c>
      <c r="AM5992" s="4">
        <v>6</v>
      </c>
      <c r="AN5992" s="4">
        <v>0</v>
      </c>
      <c r="AO5992" s="4">
        <v>0</v>
      </c>
      <c r="AP5992" s="4">
        <v>5</v>
      </c>
      <c r="AQ5992" s="4">
        <v>8</v>
      </c>
      <c r="AR5992" s="3" t="s">
        <v>61</v>
      </c>
      <c r="AS5992" s="3" t="s">
        <v>62</v>
      </c>
      <c r="AT5992" s="3" t="s">
        <v>62</v>
      </c>
      <c r="AV5992" s="6" t="str">
        <f>HYPERLINK("http://mcgill.on.worldcat.org/oclc/798797386","Catalog Record")</f>
        <v>Catalog Record</v>
      </c>
      <c r="AW5992" s="6" t="str">
        <f>HYPERLINK("http://www.worldcat.org/oclc/798797386","WorldCat Record")</f>
        <v>WorldCat Record</v>
      </c>
      <c r="AX5992" s="3" t="s">
        <v>57618</v>
      </c>
      <c r="AY5992" s="3" t="s">
        <v>57619</v>
      </c>
      <c r="AZ5992" s="3" t="s">
        <v>57620</v>
      </c>
      <c r="BA5992" s="3" t="s">
        <v>57620</v>
      </c>
      <c r="BB5992" s="3" t="s">
        <v>57621</v>
      </c>
      <c r="BC5992" s="3" t="s">
        <v>142</v>
      </c>
      <c r="BD5992" s="3" t="s">
        <v>68</v>
      </c>
      <c r="BE5992" s="3" t="s">
        <v>57622</v>
      </c>
      <c r="BF5992" s="3" t="s">
        <v>57621</v>
      </c>
      <c r="BG5992" s="3" t="s">
        <v>57623</v>
      </c>
    </row>
    <row r="5993" spans="1:59" ht="57" x14ac:dyDescent="0.45">
      <c r="A5993" s="2" t="s">
        <v>59</v>
      </c>
      <c r="B5993" s="2" t="s">
        <v>60</v>
      </c>
      <c r="C5993" s="2" t="s">
        <v>57624</v>
      </c>
      <c r="D5993" s="2" t="s">
        <v>57625</v>
      </c>
      <c r="E5993" s="2" t="s">
        <v>57626</v>
      </c>
      <c r="G5993" s="3" t="s">
        <v>62</v>
      </c>
      <c r="I5993" s="3" t="s">
        <v>61</v>
      </c>
      <c r="J5993" s="3" t="s">
        <v>62</v>
      </c>
      <c r="K5993" s="3" t="s">
        <v>63</v>
      </c>
      <c r="L5993" s="2" t="s">
        <v>57627</v>
      </c>
      <c r="M5993" s="2" t="s">
        <v>57628</v>
      </c>
      <c r="N5993" s="3" t="s">
        <v>195</v>
      </c>
      <c r="P5993" s="3" t="s">
        <v>65</v>
      </c>
      <c r="Q5993" s="2" t="s">
        <v>57629</v>
      </c>
      <c r="R5993" s="3" t="s">
        <v>66</v>
      </c>
      <c r="S5993" s="4">
        <v>50</v>
      </c>
      <c r="T5993" s="4">
        <v>104</v>
      </c>
      <c r="U5993" s="5" t="s">
        <v>16493</v>
      </c>
      <c r="V5993" s="5" t="s">
        <v>12004</v>
      </c>
      <c r="W5993" s="5" t="s">
        <v>67</v>
      </c>
      <c r="X5993" s="5" t="s">
        <v>67</v>
      </c>
      <c r="Y5993" s="4">
        <v>762</v>
      </c>
      <c r="Z5993" s="4">
        <v>41</v>
      </c>
      <c r="AA5993" s="4">
        <v>47</v>
      </c>
      <c r="AB5993" s="4">
        <v>2</v>
      </c>
      <c r="AC5993" s="4">
        <v>6</v>
      </c>
      <c r="AD5993" s="4">
        <v>124</v>
      </c>
      <c r="AE5993" s="4">
        <v>128</v>
      </c>
      <c r="AF5993" s="4">
        <v>1</v>
      </c>
      <c r="AG5993" s="4">
        <v>4</v>
      </c>
      <c r="AH5993" s="4">
        <v>98</v>
      </c>
      <c r="AI5993" s="4">
        <v>99</v>
      </c>
      <c r="AJ5993" s="4">
        <v>18</v>
      </c>
      <c r="AK5993" s="4">
        <v>20</v>
      </c>
      <c r="AL5993" s="4">
        <v>52</v>
      </c>
      <c r="AM5993" s="4">
        <v>52</v>
      </c>
      <c r="AN5993" s="4">
        <v>0</v>
      </c>
      <c r="AO5993" s="4">
        <v>0</v>
      </c>
      <c r="AP5993" s="4">
        <v>35</v>
      </c>
      <c r="AQ5993" s="4">
        <v>39</v>
      </c>
      <c r="AR5993" s="3" t="s">
        <v>62</v>
      </c>
      <c r="AS5993" s="3" t="s">
        <v>62</v>
      </c>
      <c r="AT5993" s="3" t="s">
        <v>61</v>
      </c>
      <c r="AU5993" s="6" t="str">
        <f>HYPERLINK("http://catalog.hathitrust.org/Record/004546528","HathiTrust Record")</f>
        <v>HathiTrust Record</v>
      </c>
      <c r="AV5993" s="6" t="str">
        <f>HYPERLINK("http://mcgill.on.worldcat.org/oclc/28416544","Catalog Record")</f>
        <v>Catalog Record</v>
      </c>
      <c r="AW5993" s="6" t="str">
        <f>HYPERLINK("http://www.worldcat.org/oclc/28416544","WorldCat Record")</f>
        <v>WorldCat Record</v>
      </c>
      <c r="AX5993" s="3" t="s">
        <v>57630</v>
      </c>
      <c r="AY5993" s="3" t="s">
        <v>57631</v>
      </c>
      <c r="AZ5993" s="3" t="s">
        <v>57632</v>
      </c>
      <c r="BA5993" s="3" t="s">
        <v>57632</v>
      </c>
      <c r="BB5993" s="3" t="s">
        <v>57633</v>
      </c>
      <c r="BC5993" s="3" t="s">
        <v>142</v>
      </c>
      <c r="BD5993" s="3" t="s">
        <v>68</v>
      </c>
      <c r="BE5993" s="3" t="s">
        <v>57634</v>
      </c>
      <c r="BF5993" s="3" t="s">
        <v>57633</v>
      </c>
      <c r="BG5993" s="3" t="s">
        <v>57635</v>
      </c>
    </row>
    <row r="5994" spans="1:59" ht="57" x14ac:dyDescent="0.45">
      <c r="A5994" s="2" t="s">
        <v>59</v>
      </c>
      <c r="B5994" s="2" t="s">
        <v>60</v>
      </c>
      <c r="C5994" s="2" t="s">
        <v>57624</v>
      </c>
      <c r="D5994" s="2" t="s">
        <v>57625</v>
      </c>
      <c r="E5994" s="2" t="s">
        <v>57626</v>
      </c>
      <c r="G5994" s="3" t="s">
        <v>62</v>
      </c>
      <c r="I5994" s="3" t="s">
        <v>61</v>
      </c>
      <c r="J5994" s="3" t="s">
        <v>62</v>
      </c>
      <c r="K5994" s="3" t="s">
        <v>63</v>
      </c>
      <c r="L5994" s="2" t="s">
        <v>57627</v>
      </c>
      <c r="M5994" s="2" t="s">
        <v>57628</v>
      </c>
      <c r="N5994" s="3" t="s">
        <v>195</v>
      </c>
      <c r="P5994" s="3" t="s">
        <v>65</v>
      </c>
      <c r="Q5994" s="2" t="s">
        <v>57629</v>
      </c>
      <c r="R5994" s="3" t="s">
        <v>66</v>
      </c>
      <c r="S5994" s="4">
        <v>54</v>
      </c>
      <c r="T5994" s="4">
        <v>104</v>
      </c>
      <c r="U5994" s="5" t="s">
        <v>12004</v>
      </c>
      <c r="V5994" s="5" t="s">
        <v>12004</v>
      </c>
      <c r="W5994" s="5" t="s">
        <v>67</v>
      </c>
      <c r="X5994" s="5" t="s">
        <v>67</v>
      </c>
      <c r="Y5994" s="4">
        <v>762</v>
      </c>
      <c r="Z5994" s="4">
        <v>41</v>
      </c>
      <c r="AA5994" s="4">
        <v>47</v>
      </c>
      <c r="AB5994" s="4">
        <v>2</v>
      </c>
      <c r="AC5994" s="4">
        <v>6</v>
      </c>
      <c r="AD5994" s="4">
        <v>124</v>
      </c>
      <c r="AE5994" s="4">
        <v>128</v>
      </c>
      <c r="AF5994" s="4">
        <v>1</v>
      </c>
      <c r="AG5994" s="4">
        <v>4</v>
      </c>
      <c r="AH5994" s="4">
        <v>98</v>
      </c>
      <c r="AI5994" s="4">
        <v>99</v>
      </c>
      <c r="AJ5994" s="4">
        <v>18</v>
      </c>
      <c r="AK5994" s="4">
        <v>20</v>
      </c>
      <c r="AL5994" s="4">
        <v>52</v>
      </c>
      <c r="AM5994" s="4">
        <v>52</v>
      </c>
      <c r="AN5994" s="4">
        <v>0</v>
      </c>
      <c r="AO5994" s="4">
        <v>0</v>
      </c>
      <c r="AP5994" s="4">
        <v>35</v>
      </c>
      <c r="AQ5994" s="4">
        <v>39</v>
      </c>
      <c r="AR5994" s="3" t="s">
        <v>62</v>
      </c>
      <c r="AS5994" s="3" t="s">
        <v>62</v>
      </c>
      <c r="AT5994" s="3" t="s">
        <v>61</v>
      </c>
      <c r="AU5994" s="6" t="str">
        <f>HYPERLINK("http://catalog.hathitrust.org/Record/004546528","HathiTrust Record")</f>
        <v>HathiTrust Record</v>
      </c>
      <c r="AV5994" s="6" t="str">
        <f>HYPERLINK("http://mcgill.on.worldcat.org/oclc/28416544","Catalog Record")</f>
        <v>Catalog Record</v>
      </c>
      <c r="AW5994" s="6" t="str">
        <f>HYPERLINK("http://www.worldcat.org/oclc/28416544","WorldCat Record")</f>
        <v>WorldCat Record</v>
      </c>
      <c r="AX5994" s="3" t="s">
        <v>57630</v>
      </c>
      <c r="AY5994" s="3" t="s">
        <v>57631</v>
      </c>
      <c r="AZ5994" s="3" t="s">
        <v>57632</v>
      </c>
      <c r="BA5994" s="3" t="s">
        <v>57632</v>
      </c>
      <c r="BB5994" s="3" t="s">
        <v>57636</v>
      </c>
      <c r="BC5994" s="3" t="s">
        <v>142</v>
      </c>
      <c r="BD5994" s="3" t="s">
        <v>68</v>
      </c>
      <c r="BE5994" s="3" t="s">
        <v>57634</v>
      </c>
      <c r="BF5994" s="3" t="s">
        <v>57636</v>
      </c>
      <c r="BG5994" s="3" t="s">
        <v>57637</v>
      </c>
    </row>
    <row r="5995" spans="1:59" ht="57" x14ac:dyDescent="0.45">
      <c r="A5995" s="2" t="s">
        <v>59</v>
      </c>
      <c r="B5995" s="2" t="s">
        <v>60</v>
      </c>
      <c r="C5995" s="2" t="s">
        <v>57638</v>
      </c>
      <c r="D5995" s="2" t="s">
        <v>57639</v>
      </c>
      <c r="E5995" s="2" t="s">
        <v>57640</v>
      </c>
      <c r="G5995" s="3" t="s">
        <v>62</v>
      </c>
      <c r="I5995" s="3" t="s">
        <v>62</v>
      </c>
      <c r="J5995" s="3" t="s">
        <v>62</v>
      </c>
      <c r="K5995" s="3" t="s">
        <v>63</v>
      </c>
      <c r="M5995" s="2" t="s">
        <v>6056</v>
      </c>
      <c r="N5995" s="3" t="s">
        <v>945</v>
      </c>
      <c r="P5995" s="3" t="s">
        <v>65</v>
      </c>
      <c r="Q5995" s="2" t="s">
        <v>57641</v>
      </c>
      <c r="R5995" s="3" t="s">
        <v>66</v>
      </c>
      <c r="S5995" s="4">
        <v>9</v>
      </c>
      <c r="T5995" s="4">
        <v>9</v>
      </c>
      <c r="U5995" s="5" t="s">
        <v>12004</v>
      </c>
      <c r="V5995" s="5" t="s">
        <v>12004</v>
      </c>
      <c r="W5995" s="5" t="s">
        <v>67</v>
      </c>
      <c r="X5995" s="5" t="s">
        <v>67</v>
      </c>
      <c r="Y5995" s="4">
        <v>132</v>
      </c>
      <c r="Z5995" s="4">
        <v>13</v>
      </c>
      <c r="AA5995" s="4">
        <v>96</v>
      </c>
      <c r="AB5995" s="4">
        <v>2</v>
      </c>
      <c r="AC5995" s="4">
        <v>17</v>
      </c>
      <c r="AD5995" s="4">
        <v>52</v>
      </c>
      <c r="AE5995" s="4">
        <v>117</v>
      </c>
      <c r="AF5995" s="4">
        <v>1</v>
      </c>
      <c r="AG5995" s="4">
        <v>8</v>
      </c>
      <c r="AH5995" s="4">
        <v>46</v>
      </c>
      <c r="AI5995" s="4">
        <v>81</v>
      </c>
      <c r="AJ5995" s="4">
        <v>11</v>
      </c>
      <c r="AK5995" s="4">
        <v>22</v>
      </c>
      <c r="AL5995" s="4">
        <v>33</v>
      </c>
      <c r="AM5995" s="4">
        <v>44</v>
      </c>
      <c r="AN5995" s="4">
        <v>0</v>
      </c>
      <c r="AO5995" s="4">
        <v>0</v>
      </c>
      <c r="AP5995" s="4">
        <v>11</v>
      </c>
      <c r="AQ5995" s="4">
        <v>43</v>
      </c>
      <c r="AR5995" s="3" t="s">
        <v>62</v>
      </c>
      <c r="AS5995" s="3" t="s">
        <v>62</v>
      </c>
      <c r="AT5995" s="3" t="s">
        <v>62</v>
      </c>
      <c r="AV5995" s="6" t="str">
        <f>HYPERLINK("http://mcgill.on.worldcat.org/oclc/141852934","Catalog Record")</f>
        <v>Catalog Record</v>
      </c>
      <c r="AW5995" s="6" t="str">
        <f>HYPERLINK("http://www.worldcat.org/oclc/141852934","WorldCat Record")</f>
        <v>WorldCat Record</v>
      </c>
      <c r="AX5995" s="3" t="s">
        <v>57642</v>
      </c>
      <c r="AY5995" s="3" t="s">
        <v>57643</v>
      </c>
      <c r="AZ5995" s="3" t="s">
        <v>57644</v>
      </c>
      <c r="BA5995" s="3" t="s">
        <v>57644</v>
      </c>
      <c r="BB5995" s="3" t="s">
        <v>57645</v>
      </c>
      <c r="BC5995" s="3" t="s">
        <v>142</v>
      </c>
      <c r="BD5995" s="3" t="s">
        <v>68</v>
      </c>
      <c r="BE5995" s="3" t="s">
        <v>57646</v>
      </c>
      <c r="BF5995" s="3" t="s">
        <v>57645</v>
      </c>
      <c r="BG5995" s="3" t="s">
        <v>57647</v>
      </c>
    </row>
    <row r="5996" spans="1:59" ht="57" x14ac:dyDescent="0.45">
      <c r="A5996" s="2" t="s">
        <v>59</v>
      </c>
      <c r="B5996" s="2" t="s">
        <v>60</v>
      </c>
      <c r="C5996" s="2" t="s">
        <v>57648</v>
      </c>
      <c r="D5996" s="2" t="s">
        <v>57649</v>
      </c>
      <c r="E5996" s="2" t="s">
        <v>57650</v>
      </c>
      <c r="G5996" s="3" t="s">
        <v>62</v>
      </c>
      <c r="I5996" s="3" t="s">
        <v>62</v>
      </c>
      <c r="J5996" s="3" t="s">
        <v>62</v>
      </c>
      <c r="K5996" s="3" t="s">
        <v>63</v>
      </c>
      <c r="M5996" s="2" t="s">
        <v>38640</v>
      </c>
      <c r="N5996" s="3" t="s">
        <v>1855</v>
      </c>
      <c r="P5996" s="3" t="s">
        <v>65</v>
      </c>
      <c r="Q5996" s="2" t="s">
        <v>57651</v>
      </c>
      <c r="R5996" s="3" t="s">
        <v>66</v>
      </c>
      <c r="S5996" s="4">
        <v>10</v>
      </c>
      <c r="T5996" s="4">
        <v>10</v>
      </c>
      <c r="U5996" s="5" t="s">
        <v>32962</v>
      </c>
      <c r="V5996" s="5" t="s">
        <v>32962</v>
      </c>
      <c r="W5996" s="5" t="s">
        <v>67</v>
      </c>
      <c r="X5996" s="5" t="s">
        <v>67</v>
      </c>
      <c r="Y5996" s="4">
        <v>183</v>
      </c>
      <c r="Z5996" s="4">
        <v>12</v>
      </c>
      <c r="AA5996" s="4">
        <v>102</v>
      </c>
      <c r="AB5996" s="4">
        <v>1</v>
      </c>
      <c r="AC5996" s="4">
        <v>17</v>
      </c>
      <c r="AD5996" s="4">
        <v>61</v>
      </c>
      <c r="AE5996" s="4">
        <v>124</v>
      </c>
      <c r="AF5996" s="4">
        <v>0</v>
      </c>
      <c r="AG5996" s="4">
        <v>8</v>
      </c>
      <c r="AH5996" s="4">
        <v>56</v>
      </c>
      <c r="AI5996" s="4">
        <v>88</v>
      </c>
      <c r="AJ5996" s="4">
        <v>10</v>
      </c>
      <c r="AK5996" s="4">
        <v>23</v>
      </c>
      <c r="AL5996" s="4">
        <v>36</v>
      </c>
      <c r="AM5996" s="4">
        <v>45</v>
      </c>
      <c r="AN5996" s="4">
        <v>0</v>
      </c>
      <c r="AO5996" s="4">
        <v>0</v>
      </c>
      <c r="AP5996" s="4">
        <v>10</v>
      </c>
      <c r="AQ5996" s="4">
        <v>44</v>
      </c>
      <c r="AR5996" s="3" t="s">
        <v>62</v>
      </c>
      <c r="AS5996" s="3" t="s">
        <v>62</v>
      </c>
      <c r="AT5996" s="3" t="s">
        <v>62</v>
      </c>
      <c r="AV5996" s="6" t="str">
        <f>HYPERLINK("http://mcgill.on.worldcat.org/oclc/57695032","Catalog Record")</f>
        <v>Catalog Record</v>
      </c>
      <c r="AW5996" s="6" t="str">
        <f>HYPERLINK("http://www.worldcat.org/oclc/57695032","WorldCat Record")</f>
        <v>WorldCat Record</v>
      </c>
      <c r="AX5996" s="3" t="s">
        <v>57652</v>
      </c>
      <c r="AY5996" s="3" t="s">
        <v>57653</v>
      </c>
      <c r="AZ5996" s="3" t="s">
        <v>57654</v>
      </c>
      <c r="BA5996" s="3" t="s">
        <v>57654</v>
      </c>
      <c r="BB5996" s="3" t="s">
        <v>57655</v>
      </c>
      <c r="BC5996" s="3" t="s">
        <v>142</v>
      </c>
      <c r="BD5996" s="3" t="s">
        <v>68</v>
      </c>
      <c r="BE5996" s="3" t="s">
        <v>57656</v>
      </c>
      <c r="BF5996" s="3" t="s">
        <v>57655</v>
      </c>
      <c r="BG5996" s="3" t="s">
        <v>57657</v>
      </c>
    </row>
    <row r="5997" spans="1:59" ht="57" x14ac:dyDescent="0.45">
      <c r="A5997" s="2" t="s">
        <v>59</v>
      </c>
      <c r="B5997" s="2" t="s">
        <v>60</v>
      </c>
      <c r="C5997" s="2" t="s">
        <v>57658</v>
      </c>
      <c r="D5997" s="2" t="s">
        <v>57659</v>
      </c>
      <c r="E5997" s="2" t="s">
        <v>57660</v>
      </c>
      <c r="G5997" s="3" t="s">
        <v>62</v>
      </c>
      <c r="I5997" s="3" t="s">
        <v>62</v>
      </c>
      <c r="J5997" s="3" t="s">
        <v>62</v>
      </c>
      <c r="K5997" s="3" t="s">
        <v>63</v>
      </c>
      <c r="M5997" s="2" t="s">
        <v>57661</v>
      </c>
      <c r="N5997" s="3" t="s">
        <v>820</v>
      </c>
      <c r="P5997" s="3" t="s">
        <v>65</v>
      </c>
      <c r="Q5997" s="2" t="s">
        <v>57662</v>
      </c>
      <c r="R5997" s="3" t="s">
        <v>66</v>
      </c>
      <c r="S5997" s="4">
        <v>5</v>
      </c>
      <c r="T5997" s="4">
        <v>5</v>
      </c>
      <c r="U5997" s="5" t="s">
        <v>49598</v>
      </c>
      <c r="V5997" s="5" t="s">
        <v>49598</v>
      </c>
      <c r="W5997" s="5" t="s">
        <v>67</v>
      </c>
      <c r="X5997" s="5" t="s">
        <v>67</v>
      </c>
      <c r="Y5997" s="4">
        <v>132</v>
      </c>
      <c r="Z5997" s="4">
        <v>11</v>
      </c>
      <c r="AA5997" s="4">
        <v>86</v>
      </c>
      <c r="AB5997" s="4">
        <v>2</v>
      </c>
      <c r="AC5997" s="4">
        <v>15</v>
      </c>
      <c r="AD5997" s="4">
        <v>52</v>
      </c>
      <c r="AE5997" s="4">
        <v>116</v>
      </c>
      <c r="AF5997" s="4">
        <v>0</v>
      </c>
      <c r="AG5997" s="4">
        <v>8</v>
      </c>
      <c r="AH5997" s="4">
        <v>48</v>
      </c>
      <c r="AI5997" s="4">
        <v>81</v>
      </c>
      <c r="AJ5997" s="4">
        <v>8</v>
      </c>
      <c r="AK5997" s="4">
        <v>23</v>
      </c>
      <c r="AL5997" s="4">
        <v>30</v>
      </c>
      <c r="AM5997" s="4">
        <v>44</v>
      </c>
      <c r="AN5997" s="4">
        <v>0</v>
      </c>
      <c r="AO5997" s="4">
        <v>0</v>
      </c>
      <c r="AP5997" s="4">
        <v>8</v>
      </c>
      <c r="AQ5997" s="4">
        <v>43</v>
      </c>
      <c r="AR5997" s="3" t="s">
        <v>62</v>
      </c>
      <c r="AS5997" s="3" t="s">
        <v>62</v>
      </c>
      <c r="AT5997" s="3" t="s">
        <v>62</v>
      </c>
      <c r="AV5997" s="6" t="str">
        <f>HYPERLINK("http://mcgill.on.worldcat.org/oclc/182963641","Catalog Record")</f>
        <v>Catalog Record</v>
      </c>
      <c r="AW5997" s="6" t="str">
        <f>HYPERLINK("http://www.worldcat.org/oclc/182963641","WorldCat Record")</f>
        <v>WorldCat Record</v>
      </c>
      <c r="AX5997" s="3" t="s">
        <v>57663</v>
      </c>
      <c r="AY5997" s="3" t="s">
        <v>57664</v>
      </c>
      <c r="AZ5997" s="3" t="s">
        <v>57665</v>
      </c>
      <c r="BA5997" s="3" t="s">
        <v>57665</v>
      </c>
      <c r="BB5997" s="3" t="s">
        <v>57666</v>
      </c>
      <c r="BC5997" s="3" t="s">
        <v>142</v>
      </c>
      <c r="BD5997" s="3" t="s">
        <v>68</v>
      </c>
      <c r="BE5997" s="3" t="s">
        <v>57667</v>
      </c>
      <c r="BF5997" s="3" t="s">
        <v>57666</v>
      </c>
      <c r="BG5997" s="3" t="s">
        <v>57668</v>
      </c>
    </row>
    <row r="5998" spans="1:59" ht="57" x14ac:dyDescent="0.45">
      <c r="A5998" s="2" t="s">
        <v>59</v>
      </c>
      <c r="B5998" s="2" t="s">
        <v>60</v>
      </c>
      <c r="C5998" s="2" t="s">
        <v>57669</v>
      </c>
      <c r="D5998" s="2" t="s">
        <v>57670</v>
      </c>
      <c r="E5998" s="2" t="s">
        <v>57671</v>
      </c>
      <c r="G5998" s="3" t="s">
        <v>62</v>
      </c>
      <c r="I5998" s="3" t="s">
        <v>62</v>
      </c>
      <c r="J5998" s="3" t="s">
        <v>62</v>
      </c>
      <c r="K5998" s="3" t="s">
        <v>63</v>
      </c>
      <c r="L5998" s="2" t="s">
        <v>57672</v>
      </c>
      <c r="M5998" s="2" t="s">
        <v>57673</v>
      </c>
      <c r="N5998" s="3" t="s">
        <v>2417</v>
      </c>
      <c r="P5998" s="3" t="s">
        <v>65</v>
      </c>
      <c r="Q5998" s="2" t="s">
        <v>57674</v>
      </c>
      <c r="R5998" s="3" t="s">
        <v>66</v>
      </c>
      <c r="S5998" s="4">
        <v>29</v>
      </c>
      <c r="T5998" s="4">
        <v>29</v>
      </c>
      <c r="U5998" s="5" t="s">
        <v>57483</v>
      </c>
      <c r="V5998" s="5" t="s">
        <v>57483</v>
      </c>
      <c r="W5998" s="5" t="s">
        <v>67</v>
      </c>
      <c r="X5998" s="5" t="s">
        <v>67</v>
      </c>
      <c r="Y5998" s="4">
        <v>549</v>
      </c>
      <c r="Z5998" s="4">
        <v>37</v>
      </c>
      <c r="AA5998" s="4">
        <v>48</v>
      </c>
      <c r="AB5998" s="4">
        <v>2</v>
      </c>
      <c r="AC5998" s="4">
        <v>8</v>
      </c>
      <c r="AD5998" s="4">
        <v>115</v>
      </c>
      <c r="AE5998" s="4">
        <v>123</v>
      </c>
      <c r="AF5998" s="4">
        <v>1</v>
      </c>
      <c r="AG5998" s="4">
        <v>4</v>
      </c>
      <c r="AH5998" s="4">
        <v>97</v>
      </c>
      <c r="AI5998" s="4">
        <v>101</v>
      </c>
      <c r="AJ5998" s="4">
        <v>22</v>
      </c>
      <c r="AK5998" s="4">
        <v>26</v>
      </c>
      <c r="AL5998" s="4">
        <v>54</v>
      </c>
      <c r="AM5998" s="4">
        <v>54</v>
      </c>
      <c r="AN5998" s="4">
        <v>0</v>
      </c>
      <c r="AO5998" s="4">
        <v>0</v>
      </c>
      <c r="AP5998" s="4">
        <v>30</v>
      </c>
      <c r="AQ5998" s="4">
        <v>34</v>
      </c>
      <c r="AR5998" s="3" t="s">
        <v>62</v>
      </c>
      <c r="AS5998" s="3" t="s">
        <v>62</v>
      </c>
      <c r="AT5998" s="3" t="s">
        <v>62</v>
      </c>
      <c r="AV5998" s="6" t="str">
        <f>HYPERLINK("http://mcgill.on.worldcat.org/oclc/17548791","Catalog Record")</f>
        <v>Catalog Record</v>
      </c>
      <c r="AW5998" s="6" t="str">
        <f>HYPERLINK("http://www.worldcat.org/oclc/17548791","WorldCat Record")</f>
        <v>WorldCat Record</v>
      </c>
      <c r="AX5998" s="3" t="s">
        <v>57675</v>
      </c>
      <c r="AY5998" s="3" t="s">
        <v>57676</v>
      </c>
      <c r="AZ5998" s="3" t="s">
        <v>57677</v>
      </c>
      <c r="BA5998" s="3" t="s">
        <v>57677</v>
      </c>
      <c r="BB5998" s="3" t="s">
        <v>57678</v>
      </c>
      <c r="BC5998" s="3" t="s">
        <v>142</v>
      </c>
      <c r="BD5998" s="3" t="s">
        <v>68</v>
      </c>
      <c r="BE5998" s="3" t="s">
        <v>57679</v>
      </c>
      <c r="BF5998" s="3" t="s">
        <v>57678</v>
      </c>
      <c r="BG5998" s="3" t="s">
        <v>57680</v>
      </c>
    </row>
    <row r="5999" spans="1:59" ht="57" x14ac:dyDescent="0.45">
      <c r="A5999" s="2" t="s">
        <v>59</v>
      </c>
      <c r="B5999" s="2" t="s">
        <v>60</v>
      </c>
      <c r="C5999" s="2" t="s">
        <v>57681</v>
      </c>
      <c r="D5999" s="2" t="s">
        <v>57682</v>
      </c>
      <c r="E5999" s="2" t="s">
        <v>57683</v>
      </c>
      <c r="G5999" s="3" t="s">
        <v>62</v>
      </c>
      <c r="I5999" s="3" t="s">
        <v>62</v>
      </c>
      <c r="J5999" s="3" t="s">
        <v>62</v>
      </c>
      <c r="K5999" s="3" t="s">
        <v>63</v>
      </c>
      <c r="L5999" s="2" t="s">
        <v>57684</v>
      </c>
      <c r="M5999" s="2" t="s">
        <v>57685</v>
      </c>
      <c r="N5999" s="3" t="s">
        <v>918</v>
      </c>
      <c r="P5999" s="3" t="s">
        <v>110</v>
      </c>
      <c r="Q5999" s="2" t="s">
        <v>57686</v>
      </c>
      <c r="R5999" s="3" t="s">
        <v>66</v>
      </c>
      <c r="S5999" s="4">
        <v>4</v>
      </c>
      <c r="T5999" s="4">
        <v>4</v>
      </c>
      <c r="U5999" s="5" t="s">
        <v>17723</v>
      </c>
      <c r="V5999" s="5" t="s">
        <v>17723</v>
      </c>
      <c r="W5999" s="5" t="s">
        <v>67</v>
      </c>
      <c r="X5999" s="5" t="s">
        <v>67</v>
      </c>
      <c r="Y5999" s="4">
        <v>10</v>
      </c>
      <c r="Z5999" s="4">
        <v>9</v>
      </c>
      <c r="AA5999" s="4">
        <v>24</v>
      </c>
      <c r="AB5999" s="4">
        <v>1</v>
      </c>
      <c r="AC5999" s="4">
        <v>12</v>
      </c>
      <c r="AD5999" s="4">
        <v>7</v>
      </c>
      <c r="AE5999" s="4">
        <v>16</v>
      </c>
      <c r="AF5999" s="4">
        <v>0</v>
      </c>
      <c r="AG5999" s="4">
        <v>5</v>
      </c>
      <c r="AH5999" s="4">
        <v>3</v>
      </c>
      <c r="AI5999" s="4">
        <v>7</v>
      </c>
      <c r="AJ5999" s="4">
        <v>5</v>
      </c>
      <c r="AK5999" s="4">
        <v>13</v>
      </c>
      <c r="AL5999" s="4">
        <v>1</v>
      </c>
      <c r="AM5999" s="4">
        <v>1</v>
      </c>
      <c r="AN5999" s="4">
        <v>0</v>
      </c>
      <c r="AO5999" s="4">
        <v>0</v>
      </c>
      <c r="AP5999" s="4">
        <v>6</v>
      </c>
      <c r="AQ5999" s="4">
        <v>13</v>
      </c>
      <c r="AR5999" s="3" t="s">
        <v>61</v>
      </c>
      <c r="AS5999" s="3" t="s">
        <v>62</v>
      </c>
      <c r="AT5999" s="3" t="s">
        <v>62</v>
      </c>
      <c r="AV5999" s="6" t="str">
        <f>HYPERLINK("http://mcgill.on.worldcat.org/oclc/55765260","Catalog Record")</f>
        <v>Catalog Record</v>
      </c>
      <c r="AW5999" s="6" t="str">
        <f>HYPERLINK("http://www.worldcat.org/oclc/55765260","WorldCat Record")</f>
        <v>WorldCat Record</v>
      </c>
      <c r="AX5999" s="3" t="s">
        <v>57687</v>
      </c>
      <c r="AY5999" s="3" t="s">
        <v>57688</v>
      </c>
      <c r="AZ5999" s="3" t="s">
        <v>57689</v>
      </c>
      <c r="BA5999" s="3" t="s">
        <v>57689</v>
      </c>
      <c r="BB5999" s="3" t="s">
        <v>57690</v>
      </c>
      <c r="BC5999" s="3" t="s">
        <v>142</v>
      </c>
      <c r="BD5999" s="3" t="s">
        <v>68</v>
      </c>
      <c r="BE5999" s="3" t="s">
        <v>57691</v>
      </c>
      <c r="BF5999" s="3" t="s">
        <v>57690</v>
      </c>
      <c r="BG5999" s="3" t="s">
        <v>57692</v>
      </c>
    </row>
    <row r="6000" spans="1:59" ht="57" x14ac:dyDescent="0.45">
      <c r="A6000" s="2" t="s">
        <v>59</v>
      </c>
      <c r="B6000" s="2" t="s">
        <v>60</v>
      </c>
      <c r="C6000" s="2" t="s">
        <v>57693</v>
      </c>
      <c r="D6000" s="2" t="s">
        <v>57694</v>
      </c>
      <c r="E6000" s="2" t="s">
        <v>57695</v>
      </c>
      <c r="G6000" s="3" t="s">
        <v>62</v>
      </c>
      <c r="I6000" s="3" t="s">
        <v>62</v>
      </c>
      <c r="J6000" s="3" t="s">
        <v>62</v>
      </c>
      <c r="K6000" s="3" t="s">
        <v>63</v>
      </c>
      <c r="L6000" s="2" t="s">
        <v>57696</v>
      </c>
      <c r="M6000" s="2" t="s">
        <v>57697</v>
      </c>
      <c r="N6000" s="3" t="s">
        <v>568</v>
      </c>
      <c r="P6000" s="3" t="s">
        <v>65</v>
      </c>
      <c r="Q6000" s="2" t="s">
        <v>57698</v>
      </c>
      <c r="R6000" s="3" t="s">
        <v>66</v>
      </c>
      <c r="S6000" s="4">
        <v>13</v>
      </c>
      <c r="T6000" s="4">
        <v>13</v>
      </c>
      <c r="U6000" s="5" t="s">
        <v>44338</v>
      </c>
      <c r="V6000" s="5" t="s">
        <v>44338</v>
      </c>
      <c r="W6000" s="5" t="s">
        <v>67</v>
      </c>
      <c r="X6000" s="5" t="s">
        <v>67</v>
      </c>
      <c r="Y6000" s="4">
        <v>185</v>
      </c>
      <c r="Z6000" s="4">
        <v>14</v>
      </c>
      <c r="AA6000" s="4">
        <v>16</v>
      </c>
      <c r="AB6000" s="4">
        <v>1</v>
      </c>
      <c r="AC6000" s="4">
        <v>2</v>
      </c>
      <c r="AD6000" s="4">
        <v>79</v>
      </c>
      <c r="AE6000" s="4">
        <v>82</v>
      </c>
      <c r="AF6000" s="4">
        <v>0</v>
      </c>
      <c r="AG6000" s="4">
        <v>0</v>
      </c>
      <c r="AH6000" s="4">
        <v>72</v>
      </c>
      <c r="AI6000" s="4">
        <v>74</v>
      </c>
      <c r="AJ6000" s="4">
        <v>12</v>
      </c>
      <c r="AK6000" s="4">
        <v>12</v>
      </c>
      <c r="AL6000" s="4">
        <v>41</v>
      </c>
      <c r="AM6000" s="4">
        <v>43</v>
      </c>
      <c r="AN6000" s="4">
        <v>0</v>
      </c>
      <c r="AO6000" s="4">
        <v>0</v>
      </c>
      <c r="AP6000" s="4">
        <v>13</v>
      </c>
      <c r="AQ6000" s="4">
        <v>14</v>
      </c>
      <c r="AR6000" s="3" t="s">
        <v>62</v>
      </c>
      <c r="AS6000" s="3" t="s">
        <v>62</v>
      </c>
      <c r="AT6000" s="3" t="s">
        <v>62</v>
      </c>
      <c r="AV6000" s="6" t="str">
        <f>HYPERLINK("http://mcgill.on.worldcat.org/oclc/14241511","Catalog Record")</f>
        <v>Catalog Record</v>
      </c>
      <c r="AW6000" s="6" t="str">
        <f>HYPERLINK("http://www.worldcat.org/oclc/14241511","WorldCat Record")</f>
        <v>WorldCat Record</v>
      </c>
      <c r="AX6000" s="3" t="s">
        <v>57699</v>
      </c>
      <c r="AY6000" s="3" t="s">
        <v>57700</v>
      </c>
      <c r="AZ6000" s="3" t="s">
        <v>57701</v>
      </c>
      <c r="BA6000" s="3" t="s">
        <v>57701</v>
      </c>
      <c r="BB6000" s="3" t="s">
        <v>57702</v>
      </c>
      <c r="BC6000" s="3" t="s">
        <v>142</v>
      </c>
      <c r="BD6000" s="3" t="s">
        <v>68</v>
      </c>
      <c r="BE6000" s="3" t="s">
        <v>57703</v>
      </c>
      <c r="BF6000" s="3" t="s">
        <v>57702</v>
      </c>
      <c r="BG6000" s="3" t="s">
        <v>57704</v>
      </c>
    </row>
    <row r="6001" spans="1:59" ht="57" x14ac:dyDescent="0.45">
      <c r="A6001" s="2" t="s">
        <v>59</v>
      </c>
      <c r="B6001" s="2" t="s">
        <v>60</v>
      </c>
      <c r="C6001" s="2" t="s">
        <v>57705</v>
      </c>
      <c r="D6001" s="2" t="s">
        <v>57706</v>
      </c>
      <c r="E6001" s="2" t="s">
        <v>57707</v>
      </c>
      <c r="G6001" s="3" t="s">
        <v>62</v>
      </c>
      <c r="I6001" s="3" t="s">
        <v>62</v>
      </c>
      <c r="J6001" s="3" t="s">
        <v>62</v>
      </c>
      <c r="K6001" s="3" t="s">
        <v>63</v>
      </c>
      <c r="L6001" s="2" t="s">
        <v>57708</v>
      </c>
      <c r="M6001" s="2" t="s">
        <v>10996</v>
      </c>
      <c r="N6001" s="3" t="s">
        <v>1855</v>
      </c>
      <c r="P6001" s="3" t="s">
        <v>65</v>
      </c>
      <c r="Q6001" s="2" t="s">
        <v>57709</v>
      </c>
      <c r="R6001" s="3" t="s">
        <v>66</v>
      </c>
      <c r="S6001" s="4">
        <v>5</v>
      </c>
      <c r="T6001" s="4">
        <v>5</v>
      </c>
      <c r="U6001" s="5" t="s">
        <v>32746</v>
      </c>
      <c r="V6001" s="5" t="s">
        <v>32746</v>
      </c>
      <c r="W6001" s="5" t="s">
        <v>67</v>
      </c>
      <c r="X6001" s="5" t="s">
        <v>67</v>
      </c>
      <c r="Y6001" s="4">
        <v>157</v>
      </c>
      <c r="Z6001" s="4">
        <v>12</v>
      </c>
      <c r="AA6001" s="4">
        <v>12</v>
      </c>
      <c r="AB6001" s="4">
        <v>1</v>
      </c>
      <c r="AC6001" s="4">
        <v>1</v>
      </c>
      <c r="AD6001" s="4">
        <v>59</v>
      </c>
      <c r="AE6001" s="4">
        <v>59</v>
      </c>
      <c r="AF6001" s="4">
        <v>0</v>
      </c>
      <c r="AG6001" s="4">
        <v>0</v>
      </c>
      <c r="AH6001" s="4">
        <v>55</v>
      </c>
      <c r="AI6001" s="4">
        <v>55</v>
      </c>
      <c r="AJ6001" s="4">
        <v>9</v>
      </c>
      <c r="AK6001" s="4">
        <v>9</v>
      </c>
      <c r="AL6001" s="4">
        <v>34</v>
      </c>
      <c r="AM6001" s="4">
        <v>34</v>
      </c>
      <c r="AN6001" s="4">
        <v>0</v>
      </c>
      <c r="AO6001" s="4">
        <v>0</v>
      </c>
      <c r="AP6001" s="4">
        <v>10</v>
      </c>
      <c r="AQ6001" s="4">
        <v>10</v>
      </c>
      <c r="AR6001" s="3" t="s">
        <v>62</v>
      </c>
      <c r="AS6001" s="3" t="s">
        <v>62</v>
      </c>
      <c r="AT6001" s="3" t="s">
        <v>62</v>
      </c>
      <c r="AV6001" s="6" t="str">
        <f>HYPERLINK("http://mcgill.on.worldcat.org/oclc/61109552","Catalog Record")</f>
        <v>Catalog Record</v>
      </c>
      <c r="AW6001" s="6" t="str">
        <f>HYPERLINK("http://www.worldcat.org/oclc/61109552","WorldCat Record")</f>
        <v>WorldCat Record</v>
      </c>
      <c r="AX6001" s="3" t="s">
        <v>57710</v>
      </c>
      <c r="AY6001" s="3" t="s">
        <v>57711</v>
      </c>
      <c r="AZ6001" s="3" t="s">
        <v>57712</v>
      </c>
      <c r="BA6001" s="3" t="s">
        <v>57712</v>
      </c>
      <c r="BB6001" s="3" t="s">
        <v>57713</v>
      </c>
      <c r="BC6001" s="3" t="s">
        <v>142</v>
      </c>
      <c r="BD6001" s="3" t="s">
        <v>68</v>
      </c>
      <c r="BE6001" s="3" t="s">
        <v>57714</v>
      </c>
      <c r="BF6001" s="3" t="s">
        <v>57713</v>
      </c>
      <c r="BG6001" s="3" t="s">
        <v>57715</v>
      </c>
    </row>
    <row r="6002" spans="1:59" ht="57" x14ac:dyDescent="0.45">
      <c r="A6002" s="2" t="s">
        <v>59</v>
      </c>
      <c r="B6002" s="2" t="s">
        <v>60</v>
      </c>
      <c r="C6002" s="2" t="s">
        <v>57716</v>
      </c>
      <c r="D6002" s="2" t="s">
        <v>57717</v>
      </c>
      <c r="E6002" s="2" t="s">
        <v>57718</v>
      </c>
      <c r="G6002" s="3" t="s">
        <v>62</v>
      </c>
      <c r="I6002" s="3" t="s">
        <v>62</v>
      </c>
      <c r="J6002" s="3" t="s">
        <v>62</v>
      </c>
      <c r="K6002" s="3" t="s">
        <v>63</v>
      </c>
      <c r="M6002" s="2" t="s">
        <v>57719</v>
      </c>
      <c r="N6002" s="3" t="s">
        <v>149</v>
      </c>
      <c r="P6002" s="3" t="s">
        <v>65</v>
      </c>
      <c r="Q6002" s="2" t="s">
        <v>9613</v>
      </c>
      <c r="R6002" s="3" t="s">
        <v>66</v>
      </c>
      <c r="S6002" s="4">
        <v>0</v>
      </c>
      <c r="T6002" s="4">
        <v>0</v>
      </c>
      <c r="W6002" s="5" t="s">
        <v>67</v>
      </c>
      <c r="X6002" s="5" t="s">
        <v>67</v>
      </c>
      <c r="Y6002" s="4">
        <v>87</v>
      </c>
      <c r="Z6002" s="4">
        <v>11</v>
      </c>
      <c r="AA6002" s="4">
        <v>79</v>
      </c>
      <c r="AB6002" s="4">
        <v>1</v>
      </c>
      <c r="AC6002" s="4">
        <v>14</v>
      </c>
      <c r="AD6002" s="4">
        <v>40</v>
      </c>
      <c r="AE6002" s="4">
        <v>110</v>
      </c>
      <c r="AF6002" s="4">
        <v>0</v>
      </c>
      <c r="AG6002" s="4">
        <v>8</v>
      </c>
      <c r="AH6002" s="4">
        <v>36</v>
      </c>
      <c r="AI6002" s="4">
        <v>75</v>
      </c>
      <c r="AJ6002" s="4">
        <v>9</v>
      </c>
      <c r="AK6002" s="4">
        <v>22</v>
      </c>
      <c r="AL6002" s="4">
        <v>24</v>
      </c>
      <c r="AM6002" s="4">
        <v>39</v>
      </c>
      <c r="AN6002" s="4">
        <v>0</v>
      </c>
      <c r="AO6002" s="4">
        <v>0</v>
      </c>
      <c r="AP6002" s="4">
        <v>9</v>
      </c>
      <c r="AQ6002" s="4">
        <v>42</v>
      </c>
      <c r="AR6002" s="3" t="s">
        <v>62</v>
      </c>
      <c r="AS6002" s="3" t="s">
        <v>62</v>
      </c>
      <c r="AT6002" s="3" t="s">
        <v>62</v>
      </c>
      <c r="AV6002" s="6" t="str">
        <f>HYPERLINK("http://mcgill.on.worldcat.org/oclc/651076568","Catalog Record")</f>
        <v>Catalog Record</v>
      </c>
      <c r="AW6002" s="6" t="str">
        <f>HYPERLINK("http://www.worldcat.org/oclc/651076568","WorldCat Record")</f>
        <v>WorldCat Record</v>
      </c>
      <c r="AX6002" s="3" t="s">
        <v>57720</v>
      </c>
      <c r="AY6002" s="3" t="s">
        <v>57721</v>
      </c>
      <c r="AZ6002" s="3" t="s">
        <v>57722</v>
      </c>
      <c r="BA6002" s="3" t="s">
        <v>57722</v>
      </c>
      <c r="BB6002" s="3" t="s">
        <v>57723</v>
      </c>
      <c r="BC6002" s="3" t="s">
        <v>142</v>
      </c>
      <c r="BD6002" s="3" t="s">
        <v>68</v>
      </c>
      <c r="BE6002" s="3" t="s">
        <v>57724</v>
      </c>
      <c r="BF6002" s="3" t="s">
        <v>57723</v>
      </c>
      <c r="BG6002" s="3" t="s">
        <v>57725</v>
      </c>
    </row>
    <row r="6003" spans="1:59" ht="57" x14ac:dyDescent="0.45">
      <c r="A6003" s="2" t="s">
        <v>59</v>
      </c>
      <c r="B6003" s="2" t="s">
        <v>60</v>
      </c>
      <c r="C6003" s="2" t="s">
        <v>57726</v>
      </c>
      <c r="D6003" s="2" t="s">
        <v>57727</v>
      </c>
      <c r="E6003" s="2" t="s">
        <v>57728</v>
      </c>
      <c r="G6003" s="3" t="s">
        <v>62</v>
      </c>
      <c r="I6003" s="3" t="s">
        <v>62</v>
      </c>
      <c r="J6003" s="3" t="s">
        <v>62</v>
      </c>
      <c r="K6003" s="3" t="s">
        <v>63</v>
      </c>
      <c r="L6003" s="2" t="s">
        <v>55790</v>
      </c>
      <c r="M6003" s="2" t="s">
        <v>22458</v>
      </c>
      <c r="N6003" s="3" t="s">
        <v>820</v>
      </c>
      <c r="P6003" s="3" t="s">
        <v>65</v>
      </c>
      <c r="R6003" s="3" t="s">
        <v>66</v>
      </c>
      <c r="S6003" s="4">
        <v>30</v>
      </c>
      <c r="T6003" s="4">
        <v>30</v>
      </c>
      <c r="U6003" s="5" t="s">
        <v>124</v>
      </c>
      <c r="V6003" s="5" t="s">
        <v>124</v>
      </c>
      <c r="W6003" s="5" t="s">
        <v>67</v>
      </c>
      <c r="X6003" s="5" t="s">
        <v>67</v>
      </c>
      <c r="Y6003" s="4">
        <v>234</v>
      </c>
      <c r="Z6003" s="4">
        <v>25</v>
      </c>
      <c r="AA6003" s="4">
        <v>30</v>
      </c>
      <c r="AB6003" s="4">
        <v>2</v>
      </c>
      <c r="AC6003" s="4">
        <v>7</v>
      </c>
      <c r="AD6003" s="4">
        <v>73</v>
      </c>
      <c r="AE6003" s="4">
        <v>76</v>
      </c>
      <c r="AF6003" s="4">
        <v>1</v>
      </c>
      <c r="AG6003" s="4">
        <v>3</v>
      </c>
      <c r="AH6003" s="4">
        <v>65</v>
      </c>
      <c r="AI6003" s="4">
        <v>66</v>
      </c>
      <c r="AJ6003" s="4">
        <v>14</v>
      </c>
      <c r="AK6003" s="4">
        <v>16</v>
      </c>
      <c r="AL6003" s="4">
        <v>30</v>
      </c>
      <c r="AM6003" s="4">
        <v>31</v>
      </c>
      <c r="AN6003" s="4">
        <v>5</v>
      </c>
      <c r="AO6003" s="4">
        <v>5</v>
      </c>
      <c r="AP6003" s="4">
        <v>19</v>
      </c>
      <c r="AQ6003" s="4">
        <v>20</v>
      </c>
      <c r="AR6003" s="3" t="s">
        <v>62</v>
      </c>
      <c r="AS6003" s="3" t="s">
        <v>62</v>
      </c>
      <c r="AT6003" s="3" t="s">
        <v>61</v>
      </c>
      <c r="AU6003" s="6" t="str">
        <f>HYPERLINK("http://catalog.hathitrust.org/Record/008325347","HathiTrust Record")</f>
        <v>HathiTrust Record</v>
      </c>
      <c r="AV6003" s="6" t="str">
        <f>HYPERLINK("http://mcgill.on.worldcat.org/oclc/244660683","Catalog Record")</f>
        <v>Catalog Record</v>
      </c>
      <c r="AW6003" s="6" t="str">
        <f>HYPERLINK("http://www.worldcat.org/oclc/244660683","WorldCat Record")</f>
        <v>WorldCat Record</v>
      </c>
      <c r="AX6003" s="3" t="s">
        <v>57729</v>
      </c>
      <c r="AY6003" s="3" t="s">
        <v>57730</v>
      </c>
      <c r="AZ6003" s="3" t="s">
        <v>57731</v>
      </c>
      <c r="BA6003" s="3" t="s">
        <v>57731</v>
      </c>
      <c r="BB6003" s="3" t="s">
        <v>57732</v>
      </c>
      <c r="BC6003" s="3" t="s">
        <v>142</v>
      </c>
      <c r="BD6003" s="3" t="s">
        <v>308</v>
      </c>
      <c r="BE6003" s="3" t="s">
        <v>57733</v>
      </c>
      <c r="BF6003" s="3" t="s">
        <v>57732</v>
      </c>
      <c r="BG6003" s="3" t="s">
        <v>57734</v>
      </c>
    </row>
    <row r="6004" spans="1:59" ht="57" x14ac:dyDescent="0.45">
      <c r="A6004" s="2" t="s">
        <v>59</v>
      </c>
      <c r="B6004" s="2" t="s">
        <v>60</v>
      </c>
      <c r="C6004" s="2" t="s">
        <v>57735</v>
      </c>
      <c r="D6004" s="2" t="s">
        <v>57736</v>
      </c>
      <c r="E6004" s="2" t="s">
        <v>57737</v>
      </c>
      <c r="G6004" s="3" t="s">
        <v>62</v>
      </c>
      <c r="I6004" s="3" t="s">
        <v>62</v>
      </c>
      <c r="J6004" s="3" t="s">
        <v>62</v>
      </c>
      <c r="K6004" s="3" t="s">
        <v>63</v>
      </c>
      <c r="M6004" s="2" t="s">
        <v>57738</v>
      </c>
      <c r="N6004" s="3" t="s">
        <v>1212</v>
      </c>
      <c r="P6004" s="3" t="s">
        <v>65</v>
      </c>
      <c r="R6004" s="3" t="s">
        <v>66</v>
      </c>
      <c r="S6004" s="4">
        <v>7</v>
      </c>
      <c r="T6004" s="4">
        <v>7</v>
      </c>
      <c r="U6004" s="5" t="s">
        <v>14145</v>
      </c>
      <c r="V6004" s="5" t="s">
        <v>14145</v>
      </c>
      <c r="W6004" s="5" t="s">
        <v>67</v>
      </c>
      <c r="X6004" s="5" t="s">
        <v>67</v>
      </c>
      <c r="Y6004" s="4">
        <v>267</v>
      </c>
      <c r="Z6004" s="4">
        <v>18</v>
      </c>
      <c r="AA6004" s="4">
        <v>19</v>
      </c>
      <c r="AB6004" s="4">
        <v>2</v>
      </c>
      <c r="AC6004" s="4">
        <v>3</v>
      </c>
      <c r="AD6004" s="4">
        <v>101</v>
      </c>
      <c r="AE6004" s="4">
        <v>102</v>
      </c>
      <c r="AF6004" s="4">
        <v>1</v>
      </c>
      <c r="AG6004" s="4">
        <v>2</v>
      </c>
      <c r="AH6004" s="4">
        <v>92</v>
      </c>
      <c r="AI6004" s="4">
        <v>92</v>
      </c>
      <c r="AJ6004" s="4">
        <v>14</v>
      </c>
      <c r="AK6004" s="4">
        <v>15</v>
      </c>
      <c r="AL6004" s="4">
        <v>50</v>
      </c>
      <c r="AM6004" s="4">
        <v>50</v>
      </c>
      <c r="AN6004" s="4">
        <v>0</v>
      </c>
      <c r="AO6004" s="4">
        <v>0</v>
      </c>
      <c r="AP6004" s="4">
        <v>16</v>
      </c>
      <c r="AQ6004" s="4">
        <v>16</v>
      </c>
      <c r="AR6004" s="3" t="s">
        <v>62</v>
      </c>
      <c r="AS6004" s="3" t="s">
        <v>62</v>
      </c>
      <c r="AT6004" s="3" t="s">
        <v>62</v>
      </c>
      <c r="AV6004" s="6" t="str">
        <f>HYPERLINK("http://mcgill.on.worldcat.org/oclc/43323753","Catalog Record")</f>
        <v>Catalog Record</v>
      </c>
      <c r="AW6004" s="6" t="str">
        <f>HYPERLINK("http://www.worldcat.org/oclc/43323753","WorldCat Record")</f>
        <v>WorldCat Record</v>
      </c>
      <c r="AX6004" s="3" t="s">
        <v>57739</v>
      </c>
      <c r="AY6004" s="3" t="s">
        <v>57740</v>
      </c>
      <c r="AZ6004" s="3" t="s">
        <v>57741</v>
      </c>
      <c r="BA6004" s="3" t="s">
        <v>57741</v>
      </c>
      <c r="BB6004" s="3" t="s">
        <v>57742</v>
      </c>
      <c r="BC6004" s="3" t="s">
        <v>142</v>
      </c>
      <c r="BD6004" s="3" t="s">
        <v>68</v>
      </c>
      <c r="BE6004" s="3" t="s">
        <v>57743</v>
      </c>
      <c r="BF6004" s="3" t="s">
        <v>57742</v>
      </c>
      <c r="BG6004" s="3" t="s">
        <v>57744</v>
      </c>
    </row>
    <row r="6005" spans="1:59" ht="57" x14ac:dyDescent="0.45">
      <c r="A6005" s="2" t="s">
        <v>59</v>
      </c>
      <c r="B6005" s="2" t="s">
        <v>60</v>
      </c>
      <c r="C6005" s="2" t="s">
        <v>57745</v>
      </c>
      <c r="D6005" s="2" t="s">
        <v>57746</v>
      </c>
      <c r="E6005" s="2" t="s">
        <v>57747</v>
      </c>
      <c r="G6005" s="3" t="s">
        <v>62</v>
      </c>
      <c r="I6005" s="3" t="s">
        <v>62</v>
      </c>
      <c r="J6005" s="3" t="s">
        <v>62</v>
      </c>
      <c r="K6005" s="3" t="s">
        <v>63</v>
      </c>
      <c r="L6005" s="2" t="s">
        <v>57748</v>
      </c>
      <c r="M6005" s="2" t="s">
        <v>1178</v>
      </c>
      <c r="N6005" s="3" t="s">
        <v>894</v>
      </c>
      <c r="P6005" s="3" t="s">
        <v>65</v>
      </c>
      <c r="Q6005" s="2" t="s">
        <v>57749</v>
      </c>
      <c r="R6005" s="3" t="s">
        <v>66</v>
      </c>
      <c r="S6005" s="4">
        <v>16</v>
      </c>
      <c r="T6005" s="4">
        <v>16</v>
      </c>
      <c r="U6005" s="5" t="s">
        <v>124</v>
      </c>
      <c r="V6005" s="5" t="s">
        <v>124</v>
      </c>
      <c r="W6005" s="5" t="s">
        <v>67</v>
      </c>
      <c r="X6005" s="5" t="s">
        <v>67</v>
      </c>
      <c r="Y6005" s="4">
        <v>66</v>
      </c>
      <c r="Z6005" s="4">
        <v>7</v>
      </c>
      <c r="AA6005" s="4">
        <v>91</v>
      </c>
      <c r="AB6005" s="4">
        <v>1</v>
      </c>
      <c r="AC6005" s="4">
        <v>17</v>
      </c>
      <c r="AD6005" s="4">
        <v>29</v>
      </c>
      <c r="AE6005" s="4">
        <v>108</v>
      </c>
      <c r="AF6005" s="4">
        <v>0</v>
      </c>
      <c r="AG6005" s="4">
        <v>8</v>
      </c>
      <c r="AH6005" s="4">
        <v>27</v>
      </c>
      <c r="AI6005" s="4">
        <v>73</v>
      </c>
      <c r="AJ6005" s="4">
        <v>4</v>
      </c>
      <c r="AK6005" s="4">
        <v>22</v>
      </c>
      <c r="AL6005" s="4">
        <v>18</v>
      </c>
      <c r="AM6005" s="4">
        <v>38</v>
      </c>
      <c r="AN6005" s="4">
        <v>0</v>
      </c>
      <c r="AO6005" s="4">
        <v>0</v>
      </c>
      <c r="AP6005" s="4">
        <v>5</v>
      </c>
      <c r="AQ6005" s="4">
        <v>43</v>
      </c>
      <c r="AR6005" s="3" t="s">
        <v>62</v>
      </c>
      <c r="AS6005" s="3" t="s">
        <v>62</v>
      </c>
      <c r="AT6005" s="3" t="s">
        <v>62</v>
      </c>
      <c r="AV6005" s="6" t="str">
        <f>HYPERLINK("http://mcgill.on.worldcat.org/oclc/701330664","Catalog Record")</f>
        <v>Catalog Record</v>
      </c>
      <c r="AW6005" s="6" t="str">
        <f>HYPERLINK("http://www.worldcat.org/oclc/701330664","WorldCat Record")</f>
        <v>WorldCat Record</v>
      </c>
      <c r="AX6005" s="3" t="s">
        <v>57750</v>
      </c>
      <c r="AY6005" s="3" t="s">
        <v>57751</v>
      </c>
      <c r="AZ6005" s="3" t="s">
        <v>57752</v>
      </c>
      <c r="BA6005" s="3" t="s">
        <v>57752</v>
      </c>
      <c r="BB6005" s="3" t="s">
        <v>57753</v>
      </c>
      <c r="BC6005" s="3" t="s">
        <v>142</v>
      </c>
      <c r="BD6005" s="3" t="s">
        <v>308</v>
      </c>
      <c r="BE6005" s="3" t="s">
        <v>57754</v>
      </c>
      <c r="BF6005" s="3" t="s">
        <v>57753</v>
      </c>
      <c r="BG6005" s="3" t="s">
        <v>57755</v>
      </c>
    </row>
    <row r="6006" spans="1:59" ht="57" x14ac:dyDescent="0.45">
      <c r="A6006" s="2" t="s">
        <v>59</v>
      </c>
      <c r="B6006" s="2" t="s">
        <v>60</v>
      </c>
      <c r="C6006" s="2" t="s">
        <v>57756</v>
      </c>
      <c r="D6006" s="2" t="s">
        <v>57757</v>
      </c>
      <c r="E6006" s="2" t="s">
        <v>57758</v>
      </c>
      <c r="G6006" s="3" t="s">
        <v>62</v>
      </c>
      <c r="I6006" s="3" t="s">
        <v>62</v>
      </c>
      <c r="J6006" s="3" t="s">
        <v>62</v>
      </c>
      <c r="K6006" s="3" t="s">
        <v>63</v>
      </c>
      <c r="M6006" s="2" t="s">
        <v>4650</v>
      </c>
      <c r="N6006" s="3" t="s">
        <v>894</v>
      </c>
      <c r="P6006" s="3" t="s">
        <v>65</v>
      </c>
      <c r="R6006" s="3" t="s">
        <v>66</v>
      </c>
      <c r="S6006" s="4">
        <v>3</v>
      </c>
      <c r="T6006" s="4">
        <v>3</v>
      </c>
      <c r="U6006" s="5" t="s">
        <v>29056</v>
      </c>
      <c r="V6006" s="5" t="s">
        <v>29056</v>
      </c>
      <c r="W6006" s="5" t="s">
        <v>67</v>
      </c>
      <c r="X6006" s="5" t="s">
        <v>67</v>
      </c>
      <c r="Y6006" s="4">
        <v>121</v>
      </c>
      <c r="Z6006" s="4">
        <v>13</v>
      </c>
      <c r="AA6006" s="4">
        <v>41</v>
      </c>
      <c r="AB6006" s="4">
        <v>1</v>
      </c>
      <c r="AC6006" s="4">
        <v>3</v>
      </c>
      <c r="AD6006" s="4">
        <v>57</v>
      </c>
      <c r="AE6006" s="4">
        <v>84</v>
      </c>
      <c r="AF6006" s="4">
        <v>0</v>
      </c>
      <c r="AG6006" s="4">
        <v>0</v>
      </c>
      <c r="AH6006" s="4">
        <v>57</v>
      </c>
      <c r="AI6006" s="4">
        <v>73</v>
      </c>
      <c r="AJ6006" s="4">
        <v>11</v>
      </c>
      <c r="AK6006" s="4">
        <v>15</v>
      </c>
      <c r="AL6006" s="4">
        <v>33</v>
      </c>
      <c r="AM6006" s="4">
        <v>42</v>
      </c>
      <c r="AN6006" s="4">
        <v>0</v>
      </c>
      <c r="AO6006" s="4">
        <v>0</v>
      </c>
      <c r="AP6006" s="4">
        <v>11</v>
      </c>
      <c r="AQ6006" s="4">
        <v>21</v>
      </c>
      <c r="AR6006" s="3" t="s">
        <v>62</v>
      </c>
      <c r="AS6006" s="3" t="s">
        <v>62</v>
      </c>
      <c r="AT6006" s="3" t="s">
        <v>62</v>
      </c>
      <c r="AV6006" s="6" t="str">
        <f>HYPERLINK("http://mcgill.on.worldcat.org/oclc/698327991","Catalog Record")</f>
        <v>Catalog Record</v>
      </c>
      <c r="AW6006" s="6" t="str">
        <f>HYPERLINK("http://www.worldcat.org/oclc/698327991","WorldCat Record")</f>
        <v>WorldCat Record</v>
      </c>
      <c r="AX6006" s="3" t="s">
        <v>57759</v>
      </c>
      <c r="AY6006" s="3" t="s">
        <v>57760</v>
      </c>
      <c r="AZ6006" s="3" t="s">
        <v>57761</v>
      </c>
      <c r="BA6006" s="3" t="s">
        <v>57761</v>
      </c>
      <c r="BB6006" s="3" t="s">
        <v>57762</v>
      </c>
      <c r="BC6006" s="3" t="s">
        <v>142</v>
      </c>
      <c r="BD6006" s="3" t="s">
        <v>68</v>
      </c>
      <c r="BE6006" s="3" t="s">
        <v>57763</v>
      </c>
      <c r="BF6006" s="3" t="s">
        <v>57762</v>
      </c>
      <c r="BG6006" s="3" t="s">
        <v>57764</v>
      </c>
    </row>
    <row r="6007" spans="1:59" ht="57" x14ac:dyDescent="0.45">
      <c r="A6007" s="2" t="s">
        <v>59</v>
      </c>
      <c r="B6007" s="2" t="s">
        <v>60</v>
      </c>
      <c r="C6007" s="2" t="s">
        <v>57765</v>
      </c>
      <c r="D6007" s="2" t="s">
        <v>57766</v>
      </c>
      <c r="E6007" s="2" t="s">
        <v>57767</v>
      </c>
      <c r="G6007" s="3" t="s">
        <v>62</v>
      </c>
      <c r="I6007" s="3" t="s">
        <v>62</v>
      </c>
      <c r="J6007" s="3" t="s">
        <v>62</v>
      </c>
      <c r="K6007" s="3" t="s">
        <v>63</v>
      </c>
      <c r="L6007" s="2" t="s">
        <v>57768</v>
      </c>
      <c r="M6007" s="2" t="s">
        <v>8238</v>
      </c>
      <c r="N6007" s="3" t="s">
        <v>1097</v>
      </c>
      <c r="P6007" s="3" t="s">
        <v>65</v>
      </c>
      <c r="R6007" s="3" t="s">
        <v>66</v>
      </c>
      <c r="S6007" s="4">
        <v>3</v>
      </c>
      <c r="T6007" s="4">
        <v>3</v>
      </c>
      <c r="U6007" s="5" t="s">
        <v>17306</v>
      </c>
      <c r="V6007" s="5" t="s">
        <v>17306</v>
      </c>
      <c r="W6007" s="5" t="s">
        <v>67</v>
      </c>
      <c r="X6007" s="5" t="s">
        <v>67</v>
      </c>
      <c r="Y6007" s="4">
        <v>160</v>
      </c>
      <c r="Z6007" s="4">
        <v>12</v>
      </c>
      <c r="AA6007" s="4">
        <v>17</v>
      </c>
      <c r="AB6007" s="4">
        <v>1</v>
      </c>
      <c r="AC6007" s="4">
        <v>3</v>
      </c>
      <c r="AD6007" s="4">
        <v>69</v>
      </c>
      <c r="AE6007" s="4">
        <v>72</v>
      </c>
      <c r="AF6007" s="4">
        <v>0</v>
      </c>
      <c r="AG6007" s="4">
        <v>0</v>
      </c>
      <c r="AH6007" s="4">
        <v>64</v>
      </c>
      <c r="AI6007" s="4">
        <v>65</v>
      </c>
      <c r="AJ6007" s="4">
        <v>9</v>
      </c>
      <c r="AK6007" s="4">
        <v>11</v>
      </c>
      <c r="AL6007" s="4">
        <v>36</v>
      </c>
      <c r="AM6007" s="4">
        <v>36</v>
      </c>
      <c r="AN6007" s="4">
        <v>0</v>
      </c>
      <c r="AO6007" s="4">
        <v>0</v>
      </c>
      <c r="AP6007" s="4">
        <v>10</v>
      </c>
      <c r="AQ6007" s="4">
        <v>13</v>
      </c>
      <c r="AR6007" s="3" t="s">
        <v>62</v>
      </c>
      <c r="AS6007" s="3" t="s">
        <v>62</v>
      </c>
      <c r="AT6007" s="3" t="s">
        <v>62</v>
      </c>
      <c r="AV6007" s="6" t="str">
        <f>HYPERLINK("http://mcgill.on.worldcat.org/oclc/54685510","Catalog Record")</f>
        <v>Catalog Record</v>
      </c>
      <c r="AW6007" s="6" t="str">
        <f>HYPERLINK("http://www.worldcat.org/oclc/54685510","WorldCat Record")</f>
        <v>WorldCat Record</v>
      </c>
      <c r="AX6007" s="3" t="s">
        <v>57769</v>
      </c>
      <c r="AY6007" s="3" t="s">
        <v>57770</v>
      </c>
      <c r="AZ6007" s="3" t="s">
        <v>57771</v>
      </c>
      <c r="BA6007" s="3" t="s">
        <v>57771</v>
      </c>
      <c r="BB6007" s="3" t="s">
        <v>57772</v>
      </c>
      <c r="BC6007" s="3" t="s">
        <v>142</v>
      </c>
      <c r="BD6007" s="3" t="s">
        <v>308</v>
      </c>
      <c r="BE6007" s="3" t="s">
        <v>57773</v>
      </c>
      <c r="BF6007" s="3" t="s">
        <v>57772</v>
      </c>
      <c r="BG6007" s="3" t="s">
        <v>57774</v>
      </c>
    </row>
    <row r="6008" spans="1:59" ht="57" x14ac:dyDescent="0.45">
      <c r="A6008" s="2" t="s">
        <v>59</v>
      </c>
      <c r="B6008" s="2" t="s">
        <v>60</v>
      </c>
      <c r="C6008" s="2" t="s">
        <v>57775</v>
      </c>
      <c r="D6008" s="2" t="s">
        <v>57776</v>
      </c>
      <c r="E6008" s="2" t="s">
        <v>57777</v>
      </c>
      <c r="G6008" s="3" t="s">
        <v>62</v>
      </c>
      <c r="I6008" s="3" t="s">
        <v>62</v>
      </c>
      <c r="J6008" s="3" t="s">
        <v>62</v>
      </c>
      <c r="K6008" s="3" t="s">
        <v>63</v>
      </c>
      <c r="L6008" s="2" t="s">
        <v>57768</v>
      </c>
      <c r="M6008" s="2" t="s">
        <v>1189</v>
      </c>
      <c r="N6008" s="3" t="s">
        <v>149</v>
      </c>
      <c r="P6008" s="3" t="s">
        <v>65</v>
      </c>
      <c r="Q6008" s="2" t="s">
        <v>57778</v>
      </c>
      <c r="R6008" s="3" t="s">
        <v>66</v>
      </c>
      <c r="S6008" s="4">
        <v>1</v>
      </c>
      <c r="T6008" s="4">
        <v>1</v>
      </c>
      <c r="U6008" s="5" t="s">
        <v>57779</v>
      </c>
      <c r="V6008" s="5" t="s">
        <v>57779</v>
      </c>
      <c r="W6008" s="5" t="s">
        <v>67</v>
      </c>
      <c r="X6008" s="5" t="s">
        <v>67</v>
      </c>
      <c r="Y6008" s="4">
        <v>114</v>
      </c>
      <c r="Z6008" s="4">
        <v>10</v>
      </c>
      <c r="AA6008" s="4">
        <v>78</v>
      </c>
      <c r="AB6008" s="4">
        <v>2</v>
      </c>
      <c r="AC6008" s="4">
        <v>15</v>
      </c>
      <c r="AD6008" s="4">
        <v>57</v>
      </c>
      <c r="AE6008" s="4">
        <v>110</v>
      </c>
      <c r="AF6008" s="4">
        <v>1</v>
      </c>
      <c r="AG6008" s="4">
        <v>8</v>
      </c>
      <c r="AH6008" s="4">
        <v>51</v>
      </c>
      <c r="AI6008" s="4">
        <v>77</v>
      </c>
      <c r="AJ6008" s="4">
        <v>7</v>
      </c>
      <c r="AK6008" s="4">
        <v>22</v>
      </c>
      <c r="AL6008" s="4">
        <v>34</v>
      </c>
      <c r="AM6008" s="4">
        <v>44</v>
      </c>
      <c r="AN6008" s="4">
        <v>0</v>
      </c>
      <c r="AO6008" s="4">
        <v>0</v>
      </c>
      <c r="AP6008" s="4">
        <v>8</v>
      </c>
      <c r="AQ6008" s="4">
        <v>41</v>
      </c>
      <c r="AR6008" s="3" t="s">
        <v>62</v>
      </c>
      <c r="AS6008" s="3" t="s">
        <v>62</v>
      </c>
      <c r="AT6008" s="3" t="s">
        <v>62</v>
      </c>
      <c r="AV6008" s="6" t="str">
        <f>HYPERLINK("http://mcgill.on.worldcat.org/oclc/277196114","Catalog Record")</f>
        <v>Catalog Record</v>
      </c>
      <c r="AW6008" s="6" t="str">
        <f>HYPERLINK("http://www.worldcat.org/oclc/277196114","WorldCat Record")</f>
        <v>WorldCat Record</v>
      </c>
      <c r="AX6008" s="3" t="s">
        <v>57780</v>
      </c>
      <c r="AY6008" s="3" t="s">
        <v>57781</v>
      </c>
      <c r="AZ6008" s="3" t="s">
        <v>57782</v>
      </c>
      <c r="BA6008" s="3" t="s">
        <v>57782</v>
      </c>
      <c r="BB6008" s="3" t="s">
        <v>57783</v>
      </c>
      <c r="BC6008" s="3" t="s">
        <v>142</v>
      </c>
      <c r="BD6008" s="3" t="s">
        <v>68</v>
      </c>
      <c r="BE6008" s="3" t="s">
        <v>57784</v>
      </c>
      <c r="BF6008" s="3" t="s">
        <v>57783</v>
      </c>
      <c r="BG6008" s="3" t="s">
        <v>57785</v>
      </c>
    </row>
    <row r="6009" spans="1:59" ht="57" x14ac:dyDescent="0.45">
      <c r="A6009" s="2" t="s">
        <v>59</v>
      </c>
      <c r="B6009" s="2" t="s">
        <v>60</v>
      </c>
      <c r="C6009" s="2" t="s">
        <v>57786</v>
      </c>
      <c r="D6009" s="2" t="s">
        <v>57787</v>
      </c>
      <c r="E6009" s="2" t="s">
        <v>57788</v>
      </c>
      <c r="G6009" s="3" t="s">
        <v>62</v>
      </c>
      <c r="I6009" s="3" t="s">
        <v>62</v>
      </c>
      <c r="J6009" s="3" t="s">
        <v>62</v>
      </c>
      <c r="K6009" s="3" t="s">
        <v>63</v>
      </c>
      <c r="M6009" s="2" t="s">
        <v>57789</v>
      </c>
      <c r="N6009" s="3" t="s">
        <v>116</v>
      </c>
      <c r="P6009" s="3" t="s">
        <v>65</v>
      </c>
      <c r="Q6009" s="2" t="s">
        <v>57790</v>
      </c>
      <c r="R6009" s="3" t="s">
        <v>66</v>
      </c>
      <c r="S6009" s="4">
        <v>0</v>
      </c>
      <c r="T6009" s="4">
        <v>0</v>
      </c>
      <c r="W6009" s="5" t="s">
        <v>67</v>
      </c>
      <c r="X6009" s="5" t="s">
        <v>67</v>
      </c>
      <c r="Y6009" s="4">
        <v>79</v>
      </c>
      <c r="Z6009" s="4">
        <v>14</v>
      </c>
      <c r="AA6009" s="4">
        <v>85</v>
      </c>
      <c r="AB6009" s="4">
        <v>1</v>
      </c>
      <c r="AC6009" s="4">
        <v>15</v>
      </c>
      <c r="AD6009" s="4">
        <v>38</v>
      </c>
      <c r="AE6009" s="4">
        <v>112</v>
      </c>
      <c r="AF6009" s="4">
        <v>0</v>
      </c>
      <c r="AG6009" s="4">
        <v>8</v>
      </c>
      <c r="AH6009" s="4">
        <v>33</v>
      </c>
      <c r="AI6009" s="4">
        <v>77</v>
      </c>
      <c r="AJ6009" s="4">
        <v>10</v>
      </c>
      <c r="AK6009" s="4">
        <v>24</v>
      </c>
      <c r="AL6009" s="4">
        <v>20</v>
      </c>
      <c r="AM6009" s="4">
        <v>40</v>
      </c>
      <c r="AN6009" s="4">
        <v>0</v>
      </c>
      <c r="AO6009" s="4">
        <v>0</v>
      </c>
      <c r="AP6009" s="4">
        <v>10</v>
      </c>
      <c r="AQ6009" s="4">
        <v>44</v>
      </c>
      <c r="AR6009" s="3" t="s">
        <v>62</v>
      </c>
      <c r="AS6009" s="3" t="s">
        <v>62</v>
      </c>
      <c r="AT6009" s="3" t="s">
        <v>62</v>
      </c>
      <c r="AV6009" s="6" t="str">
        <f>HYPERLINK("http://mcgill.on.worldcat.org/oclc/814982175","Catalog Record")</f>
        <v>Catalog Record</v>
      </c>
      <c r="AW6009" s="6" t="str">
        <f>HYPERLINK("http://www.worldcat.org/oclc/814982175","WorldCat Record")</f>
        <v>WorldCat Record</v>
      </c>
      <c r="AX6009" s="3" t="s">
        <v>57791</v>
      </c>
      <c r="AY6009" s="3" t="s">
        <v>57792</v>
      </c>
      <c r="AZ6009" s="3" t="s">
        <v>57793</v>
      </c>
      <c r="BA6009" s="3" t="s">
        <v>57793</v>
      </c>
      <c r="BB6009" s="3" t="s">
        <v>57794</v>
      </c>
      <c r="BC6009" s="3" t="s">
        <v>142</v>
      </c>
      <c r="BD6009" s="3" t="s">
        <v>68</v>
      </c>
      <c r="BE6009" s="3" t="s">
        <v>57795</v>
      </c>
      <c r="BF6009" s="3" t="s">
        <v>57794</v>
      </c>
      <c r="BG6009" s="3" t="s">
        <v>57796</v>
      </c>
    </row>
    <row r="6010" spans="1:59" ht="57" x14ac:dyDescent="0.45">
      <c r="A6010" s="2" t="s">
        <v>59</v>
      </c>
      <c r="B6010" s="2" t="s">
        <v>60</v>
      </c>
      <c r="C6010" s="2" t="s">
        <v>57797</v>
      </c>
      <c r="D6010" s="2" t="s">
        <v>57798</v>
      </c>
      <c r="E6010" s="2" t="s">
        <v>57799</v>
      </c>
      <c r="G6010" s="3" t="s">
        <v>62</v>
      </c>
      <c r="I6010" s="3" t="s">
        <v>62</v>
      </c>
      <c r="J6010" s="3" t="s">
        <v>62</v>
      </c>
      <c r="K6010" s="3" t="s">
        <v>63</v>
      </c>
      <c r="L6010" s="2" t="s">
        <v>20417</v>
      </c>
      <c r="M6010" s="2" t="s">
        <v>1841</v>
      </c>
      <c r="N6010" s="3" t="s">
        <v>820</v>
      </c>
      <c r="P6010" s="3" t="s">
        <v>65</v>
      </c>
      <c r="R6010" s="3" t="s">
        <v>66</v>
      </c>
      <c r="S6010" s="4">
        <v>7</v>
      </c>
      <c r="T6010" s="4">
        <v>7</v>
      </c>
      <c r="U6010" s="5" t="s">
        <v>52274</v>
      </c>
      <c r="V6010" s="5" t="s">
        <v>52274</v>
      </c>
      <c r="W6010" s="5" t="s">
        <v>67</v>
      </c>
      <c r="X6010" s="5" t="s">
        <v>67</v>
      </c>
      <c r="Y6010" s="4">
        <v>151</v>
      </c>
      <c r="Z6010" s="4">
        <v>13</v>
      </c>
      <c r="AA6010" s="4">
        <v>20</v>
      </c>
      <c r="AB6010" s="4">
        <v>1</v>
      </c>
      <c r="AC6010" s="4">
        <v>5</v>
      </c>
      <c r="AD6010" s="4">
        <v>59</v>
      </c>
      <c r="AE6010" s="4">
        <v>64</v>
      </c>
      <c r="AF6010" s="4">
        <v>0</v>
      </c>
      <c r="AG6010" s="4">
        <v>2</v>
      </c>
      <c r="AH6010" s="4">
        <v>53</v>
      </c>
      <c r="AI6010" s="4">
        <v>56</v>
      </c>
      <c r="AJ6010" s="4">
        <v>11</v>
      </c>
      <c r="AK6010" s="4">
        <v>14</v>
      </c>
      <c r="AL6010" s="4">
        <v>29</v>
      </c>
      <c r="AM6010" s="4">
        <v>31</v>
      </c>
      <c r="AN6010" s="4">
        <v>0</v>
      </c>
      <c r="AO6010" s="4">
        <v>0</v>
      </c>
      <c r="AP6010" s="4">
        <v>12</v>
      </c>
      <c r="AQ6010" s="4">
        <v>16</v>
      </c>
      <c r="AR6010" s="3" t="s">
        <v>62</v>
      </c>
      <c r="AS6010" s="3" t="s">
        <v>62</v>
      </c>
      <c r="AT6010" s="3" t="s">
        <v>62</v>
      </c>
      <c r="AV6010" s="6" t="str">
        <f>HYPERLINK("http://mcgill.on.worldcat.org/oclc/123029392","Catalog Record")</f>
        <v>Catalog Record</v>
      </c>
      <c r="AW6010" s="6" t="str">
        <f>HYPERLINK("http://www.worldcat.org/oclc/123029392","WorldCat Record")</f>
        <v>WorldCat Record</v>
      </c>
      <c r="AX6010" s="3" t="s">
        <v>57800</v>
      </c>
      <c r="AY6010" s="3" t="s">
        <v>57801</v>
      </c>
      <c r="AZ6010" s="3" t="s">
        <v>57802</v>
      </c>
      <c r="BA6010" s="3" t="s">
        <v>57802</v>
      </c>
      <c r="BB6010" s="3" t="s">
        <v>57803</v>
      </c>
      <c r="BC6010" s="3" t="s">
        <v>142</v>
      </c>
      <c r="BD6010" s="3" t="s">
        <v>68</v>
      </c>
      <c r="BE6010" s="3" t="s">
        <v>57804</v>
      </c>
      <c r="BF6010" s="3" t="s">
        <v>57803</v>
      </c>
      <c r="BG6010" s="3" t="s">
        <v>57805</v>
      </c>
    </row>
    <row r="6011" spans="1:59" ht="57" x14ac:dyDescent="0.45">
      <c r="A6011" s="2" t="s">
        <v>59</v>
      </c>
      <c r="B6011" s="2" t="s">
        <v>60</v>
      </c>
      <c r="C6011" s="2" t="s">
        <v>57806</v>
      </c>
      <c r="D6011" s="2" t="s">
        <v>57807</v>
      </c>
      <c r="E6011" s="2" t="s">
        <v>57808</v>
      </c>
      <c r="G6011" s="3" t="s">
        <v>62</v>
      </c>
      <c r="I6011" s="3" t="s">
        <v>62</v>
      </c>
      <c r="J6011" s="3" t="s">
        <v>62</v>
      </c>
      <c r="K6011" s="3" t="s">
        <v>63</v>
      </c>
      <c r="M6011" s="2" t="s">
        <v>37004</v>
      </c>
      <c r="N6011" s="3" t="s">
        <v>149</v>
      </c>
      <c r="P6011" s="3" t="s">
        <v>65</v>
      </c>
      <c r="Q6011" s="2" t="s">
        <v>57809</v>
      </c>
      <c r="R6011" s="3" t="s">
        <v>66</v>
      </c>
      <c r="S6011" s="4">
        <v>6</v>
      </c>
      <c r="T6011" s="4">
        <v>6</v>
      </c>
      <c r="U6011" s="5" t="s">
        <v>13023</v>
      </c>
      <c r="V6011" s="5" t="s">
        <v>13023</v>
      </c>
      <c r="W6011" s="5" t="s">
        <v>67</v>
      </c>
      <c r="X6011" s="5" t="s">
        <v>67</v>
      </c>
      <c r="Y6011" s="4">
        <v>108</v>
      </c>
      <c r="Z6011" s="4">
        <v>11</v>
      </c>
      <c r="AA6011" s="4">
        <v>98</v>
      </c>
      <c r="AB6011" s="4">
        <v>1</v>
      </c>
      <c r="AC6011" s="4">
        <v>17</v>
      </c>
      <c r="AD6011" s="4">
        <v>45</v>
      </c>
      <c r="AE6011" s="4">
        <v>120</v>
      </c>
      <c r="AF6011" s="4">
        <v>0</v>
      </c>
      <c r="AG6011" s="4">
        <v>8</v>
      </c>
      <c r="AH6011" s="4">
        <v>42</v>
      </c>
      <c r="AI6011" s="4">
        <v>84</v>
      </c>
      <c r="AJ6011" s="4">
        <v>9</v>
      </c>
      <c r="AK6011" s="4">
        <v>24</v>
      </c>
      <c r="AL6011" s="4">
        <v>28</v>
      </c>
      <c r="AM6011" s="4">
        <v>44</v>
      </c>
      <c r="AN6011" s="4">
        <v>0</v>
      </c>
      <c r="AO6011" s="4">
        <v>0</v>
      </c>
      <c r="AP6011" s="4">
        <v>9</v>
      </c>
      <c r="AQ6011" s="4">
        <v>45</v>
      </c>
      <c r="AR6011" s="3" t="s">
        <v>62</v>
      </c>
      <c r="AS6011" s="3" t="s">
        <v>62</v>
      </c>
      <c r="AT6011" s="3" t="s">
        <v>62</v>
      </c>
      <c r="AV6011" s="6" t="str">
        <f>HYPERLINK("http://mcgill.on.worldcat.org/oclc/463855931","Catalog Record")</f>
        <v>Catalog Record</v>
      </c>
      <c r="AW6011" s="6" t="str">
        <f>HYPERLINK("http://www.worldcat.org/oclc/463855931","WorldCat Record")</f>
        <v>WorldCat Record</v>
      </c>
      <c r="AX6011" s="3" t="s">
        <v>57810</v>
      </c>
      <c r="AY6011" s="3" t="s">
        <v>57811</v>
      </c>
      <c r="AZ6011" s="3" t="s">
        <v>57812</v>
      </c>
      <c r="BA6011" s="3" t="s">
        <v>57812</v>
      </c>
      <c r="BB6011" s="3" t="s">
        <v>57813</v>
      </c>
      <c r="BC6011" s="3" t="s">
        <v>142</v>
      </c>
      <c r="BD6011" s="3" t="s">
        <v>68</v>
      </c>
      <c r="BE6011" s="3" t="s">
        <v>57814</v>
      </c>
      <c r="BF6011" s="3" t="s">
        <v>57813</v>
      </c>
      <c r="BG6011" s="3" t="s">
        <v>57815</v>
      </c>
    </row>
    <row r="6012" spans="1:59" ht="57" x14ac:dyDescent="0.45">
      <c r="A6012" s="2" t="s">
        <v>59</v>
      </c>
      <c r="B6012" s="2" t="s">
        <v>60</v>
      </c>
      <c r="C6012" s="2" t="s">
        <v>57816</v>
      </c>
      <c r="D6012" s="2" t="s">
        <v>57817</v>
      </c>
      <c r="E6012" s="2" t="s">
        <v>57818</v>
      </c>
      <c r="G6012" s="3" t="s">
        <v>62</v>
      </c>
      <c r="I6012" s="3" t="s">
        <v>62</v>
      </c>
      <c r="J6012" s="3" t="s">
        <v>62</v>
      </c>
      <c r="K6012" s="3" t="s">
        <v>63</v>
      </c>
      <c r="M6012" s="2" t="s">
        <v>57280</v>
      </c>
      <c r="N6012" s="3" t="s">
        <v>195</v>
      </c>
      <c r="P6012" s="3" t="s">
        <v>65</v>
      </c>
      <c r="R6012" s="3" t="s">
        <v>66</v>
      </c>
      <c r="S6012" s="4">
        <v>40</v>
      </c>
      <c r="T6012" s="4">
        <v>40</v>
      </c>
      <c r="U6012" s="5" t="s">
        <v>21019</v>
      </c>
      <c r="V6012" s="5" t="s">
        <v>21019</v>
      </c>
      <c r="W6012" s="5" t="s">
        <v>67</v>
      </c>
      <c r="X6012" s="5" t="s">
        <v>67</v>
      </c>
      <c r="Y6012" s="4">
        <v>255</v>
      </c>
      <c r="Z6012" s="4">
        <v>16</v>
      </c>
      <c r="AA6012" s="4">
        <v>21</v>
      </c>
      <c r="AB6012" s="4">
        <v>2</v>
      </c>
      <c r="AC6012" s="4">
        <v>6</v>
      </c>
      <c r="AD6012" s="4">
        <v>76</v>
      </c>
      <c r="AE6012" s="4">
        <v>79</v>
      </c>
      <c r="AF6012" s="4">
        <v>1</v>
      </c>
      <c r="AG6012" s="4">
        <v>2</v>
      </c>
      <c r="AH6012" s="4">
        <v>70</v>
      </c>
      <c r="AI6012" s="4">
        <v>71</v>
      </c>
      <c r="AJ6012" s="4">
        <v>11</v>
      </c>
      <c r="AK6012" s="4">
        <v>13</v>
      </c>
      <c r="AL6012" s="4">
        <v>36</v>
      </c>
      <c r="AM6012" s="4">
        <v>36</v>
      </c>
      <c r="AN6012" s="4">
        <v>0</v>
      </c>
      <c r="AO6012" s="4">
        <v>0</v>
      </c>
      <c r="AP6012" s="4">
        <v>14</v>
      </c>
      <c r="AQ6012" s="4">
        <v>15</v>
      </c>
      <c r="AR6012" s="3" t="s">
        <v>62</v>
      </c>
      <c r="AS6012" s="3" t="s">
        <v>62</v>
      </c>
      <c r="AT6012" s="3" t="s">
        <v>62</v>
      </c>
      <c r="AV6012" s="6" t="str">
        <f>HYPERLINK("http://mcgill.on.worldcat.org/oclc/27377515","Catalog Record")</f>
        <v>Catalog Record</v>
      </c>
      <c r="AW6012" s="6" t="str">
        <f>HYPERLINK("http://www.worldcat.org/oclc/27377515","WorldCat Record")</f>
        <v>WorldCat Record</v>
      </c>
      <c r="AX6012" s="3" t="s">
        <v>57819</v>
      </c>
      <c r="AY6012" s="3" t="s">
        <v>57820</v>
      </c>
      <c r="AZ6012" s="3" t="s">
        <v>57821</v>
      </c>
      <c r="BA6012" s="3" t="s">
        <v>57821</v>
      </c>
      <c r="BB6012" s="3" t="s">
        <v>57822</v>
      </c>
      <c r="BC6012" s="3" t="s">
        <v>142</v>
      </c>
      <c r="BD6012" s="3" t="s">
        <v>68</v>
      </c>
      <c r="BE6012" s="3" t="s">
        <v>57823</v>
      </c>
      <c r="BF6012" s="3" t="s">
        <v>57822</v>
      </c>
      <c r="BG6012" s="3" t="s">
        <v>57824</v>
      </c>
    </row>
    <row r="6013" spans="1:59" ht="57" x14ac:dyDescent="0.45">
      <c r="A6013" s="2" t="s">
        <v>59</v>
      </c>
      <c r="B6013" s="2" t="s">
        <v>60</v>
      </c>
      <c r="C6013" s="2" t="s">
        <v>57825</v>
      </c>
      <c r="D6013" s="2" t="s">
        <v>57826</v>
      </c>
      <c r="E6013" s="2" t="s">
        <v>57827</v>
      </c>
      <c r="G6013" s="3" t="s">
        <v>62</v>
      </c>
      <c r="I6013" s="3" t="s">
        <v>62</v>
      </c>
      <c r="J6013" s="3" t="s">
        <v>62</v>
      </c>
      <c r="K6013" s="3" t="s">
        <v>63</v>
      </c>
      <c r="L6013" s="2" t="s">
        <v>57828</v>
      </c>
      <c r="M6013" s="2" t="s">
        <v>57829</v>
      </c>
      <c r="N6013" s="3" t="s">
        <v>208</v>
      </c>
      <c r="P6013" s="3" t="s">
        <v>110</v>
      </c>
      <c r="Q6013" s="2" t="s">
        <v>57830</v>
      </c>
      <c r="R6013" s="3" t="s">
        <v>66</v>
      </c>
      <c r="S6013" s="4">
        <v>0</v>
      </c>
      <c r="T6013" s="4">
        <v>0</v>
      </c>
      <c r="W6013" s="5" t="s">
        <v>67</v>
      </c>
      <c r="X6013" s="5" t="s">
        <v>67</v>
      </c>
      <c r="Y6013" s="4">
        <v>7</v>
      </c>
      <c r="Z6013" s="4">
        <v>3</v>
      </c>
      <c r="AA6013" s="4">
        <v>7</v>
      </c>
      <c r="AB6013" s="4">
        <v>1</v>
      </c>
      <c r="AC6013" s="4">
        <v>4</v>
      </c>
      <c r="AD6013" s="4">
        <v>2</v>
      </c>
      <c r="AE6013" s="4">
        <v>5</v>
      </c>
      <c r="AF6013" s="4">
        <v>0</v>
      </c>
      <c r="AG6013" s="4">
        <v>2</v>
      </c>
      <c r="AH6013" s="4">
        <v>2</v>
      </c>
      <c r="AI6013" s="4">
        <v>4</v>
      </c>
      <c r="AJ6013" s="4">
        <v>1</v>
      </c>
      <c r="AK6013" s="4">
        <v>4</v>
      </c>
      <c r="AL6013" s="4">
        <v>2</v>
      </c>
      <c r="AM6013" s="4">
        <v>2</v>
      </c>
      <c r="AN6013" s="4">
        <v>0</v>
      </c>
      <c r="AO6013" s="4">
        <v>0</v>
      </c>
      <c r="AP6013" s="4">
        <v>1</v>
      </c>
      <c r="AQ6013" s="4">
        <v>4</v>
      </c>
      <c r="AR6013" s="3" t="s">
        <v>62</v>
      </c>
      <c r="AS6013" s="3" t="s">
        <v>62</v>
      </c>
      <c r="AT6013" s="3" t="s">
        <v>62</v>
      </c>
      <c r="AV6013" s="6" t="str">
        <f>HYPERLINK("http://mcgill.on.worldcat.org/oclc/904951736","Catalog Record")</f>
        <v>Catalog Record</v>
      </c>
      <c r="AW6013" s="6" t="str">
        <f>HYPERLINK("http://www.worldcat.org/oclc/904951736","WorldCat Record")</f>
        <v>WorldCat Record</v>
      </c>
      <c r="AX6013" s="3" t="s">
        <v>57831</v>
      </c>
      <c r="AY6013" s="3" t="s">
        <v>57832</v>
      </c>
      <c r="AZ6013" s="3" t="s">
        <v>57833</v>
      </c>
      <c r="BA6013" s="3" t="s">
        <v>57833</v>
      </c>
      <c r="BB6013" s="3" t="s">
        <v>57834</v>
      </c>
      <c r="BC6013" s="3" t="s">
        <v>142</v>
      </c>
      <c r="BD6013" s="3" t="s">
        <v>68</v>
      </c>
      <c r="BE6013" s="3" t="s">
        <v>57835</v>
      </c>
      <c r="BF6013" s="3" t="s">
        <v>57834</v>
      </c>
      <c r="BG6013" s="3" t="s">
        <v>57836</v>
      </c>
    </row>
    <row r="6014" spans="1:59" ht="57" x14ac:dyDescent="0.45">
      <c r="A6014" s="2" t="s">
        <v>59</v>
      </c>
      <c r="B6014" s="2" t="s">
        <v>60</v>
      </c>
      <c r="C6014" s="2" t="s">
        <v>57837</v>
      </c>
      <c r="D6014" s="2" t="s">
        <v>57838</v>
      </c>
      <c r="E6014" s="2" t="s">
        <v>57839</v>
      </c>
      <c r="G6014" s="3" t="s">
        <v>62</v>
      </c>
      <c r="I6014" s="3" t="s">
        <v>62</v>
      </c>
      <c r="J6014" s="3" t="s">
        <v>62</v>
      </c>
      <c r="K6014" s="3" t="s">
        <v>63</v>
      </c>
      <c r="L6014" s="2" t="s">
        <v>57840</v>
      </c>
      <c r="M6014" s="2" t="s">
        <v>57841</v>
      </c>
      <c r="N6014" s="3" t="s">
        <v>116</v>
      </c>
      <c r="P6014" s="3" t="s">
        <v>65</v>
      </c>
      <c r="R6014" s="3" t="s">
        <v>66</v>
      </c>
      <c r="S6014" s="4">
        <v>7</v>
      </c>
      <c r="T6014" s="4">
        <v>7</v>
      </c>
      <c r="U6014" s="5" t="s">
        <v>57842</v>
      </c>
      <c r="V6014" s="5" t="s">
        <v>57842</v>
      </c>
      <c r="W6014" s="5" t="s">
        <v>67</v>
      </c>
      <c r="X6014" s="5" t="s">
        <v>67</v>
      </c>
      <c r="Y6014" s="4">
        <v>188</v>
      </c>
      <c r="Z6014" s="4">
        <v>20</v>
      </c>
      <c r="AA6014" s="4">
        <v>88</v>
      </c>
      <c r="AB6014" s="4">
        <v>1</v>
      </c>
      <c r="AC6014" s="4">
        <v>15</v>
      </c>
      <c r="AD6014" s="4">
        <v>71</v>
      </c>
      <c r="AE6014" s="4">
        <v>133</v>
      </c>
      <c r="AF6014" s="4">
        <v>0</v>
      </c>
      <c r="AG6014" s="4">
        <v>8</v>
      </c>
      <c r="AH6014" s="4">
        <v>63</v>
      </c>
      <c r="AI6014" s="4">
        <v>94</v>
      </c>
      <c r="AJ6014" s="4">
        <v>11</v>
      </c>
      <c r="AK6014" s="4">
        <v>23</v>
      </c>
      <c r="AL6014" s="4">
        <v>40</v>
      </c>
      <c r="AM6014" s="4">
        <v>54</v>
      </c>
      <c r="AN6014" s="4">
        <v>0</v>
      </c>
      <c r="AO6014" s="4">
        <v>0</v>
      </c>
      <c r="AP6014" s="4">
        <v>13</v>
      </c>
      <c r="AQ6014" s="4">
        <v>45</v>
      </c>
      <c r="AR6014" s="3" t="s">
        <v>62</v>
      </c>
      <c r="AS6014" s="3" t="s">
        <v>62</v>
      </c>
      <c r="AT6014" s="3" t="s">
        <v>62</v>
      </c>
      <c r="AV6014" s="6" t="str">
        <f>HYPERLINK("http://mcgill.on.worldcat.org/oclc/822995154","Catalog Record")</f>
        <v>Catalog Record</v>
      </c>
      <c r="AW6014" s="6" t="str">
        <f>HYPERLINK("http://www.worldcat.org/oclc/822995154","WorldCat Record")</f>
        <v>WorldCat Record</v>
      </c>
      <c r="AX6014" s="3" t="s">
        <v>57843</v>
      </c>
      <c r="AY6014" s="3" t="s">
        <v>57844</v>
      </c>
      <c r="AZ6014" s="3" t="s">
        <v>57845</v>
      </c>
      <c r="BA6014" s="3" t="s">
        <v>57845</v>
      </c>
      <c r="BB6014" s="3" t="s">
        <v>57846</v>
      </c>
      <c r="BC6014" s="3" t="s">
        <v>142</v>
      </c>
      <c r="BD6014" s="3" t="s">
        <v>68</v>
      </c>
      <c r="BE6014" s="3" t="s">
        <v>57847</v>
      </c>
      <c r="BF6014" s="3" t="s">
        <v>57846</v>
      </c>
      <c r="BG6014" s="3" t="s">
        <v>57848</v>
      </c>
    </row>
    <row r="6015" spans="1:59" ht="57" x14ac:dyDescent="0.45">
      <c r="A6015" s="2" t="s">
        <v>59</v>
      </c>
      <c r="B6015" s="2" t="s">
        <v>60</v>
      </c>
      <c r="C6015" s="2" t="s">
        <v>57849</v>
      </c>
      <c r="D6015" s="2" t="s">
        <v>57850</v>
      </c>
      <c r="E6015" s="2" t="s">
        <v>57851</v>
      </c>
      <c r="G6015" s="3" t="s">
        <v>62</v>
      </c>
      <c r="I6015" s="3" t="s">
        <v>62</v>
      </c>
      <c r="J6015" s="3" t="s">
        <v>62</v>
      </c>
      <c r="K6015" s="3" t="s">
        <v>63</v>
      </c>
      <c r="L6015" s="2" t="s">
        <v>57852</v>
      </c>
      <c r="M6015" s="2" t="s">
        <v>3026</v>
      </c>
      <c r="N6015" s="3" t="s">
        <v>1155</v>
      </c>
      <c r="P6015" s="3" t="s">
        <v>65</v>
      </c>
      <c r="R6015" s="3" t="s">
        <v>66</v>
      </c>
      <c r="S6015" s="4">
        <v>1</v>
      </c>
      <c r="T6015" s="4">
        <v>1</v>
      </c>
      <c r="U6015" s="5" t="s">
        <v>16481</v>
      </c>
      <c r="V6015" s="5" t="s">
        <v>16481</v>
      </c>
      <c r="W6015" s="5" t="s">
        <v>67</v>
      </c>
      <c r="X6015" s="5" t="s">
        <v>67</v>
      </c>
      <c r="Y6015" s="4">
        <v>109</v>
      </c>
      <c r="Z6015" s="4">
        <v>15</v>
      </c>
      <c r="AA6015" s="4">
        <v>78</v>
      </c>
      <c r="AB6015" s="4">
        <v>1</v>
      </c>
      <c r="AC6015" s="4">
        <v>14</v>
      </c>
      <c r="AD6015" s="4">
        <v>40</v>
      </c>
      <c r="AE6015" s="4">
        <v>97</v>
      </c>
      <c r="AF6015" s="4">
        <v>0</v>
      </c>
      <c r="AG6015" s="4">
        <v>8</v>
      </c>
      <c r="AH6015" s="4">
        <v>37</v>
      </c>
      <c r="AI6015" s="4">
        <v>66</v>
      </c>
      <c r="AJ6015" s="4">
        <v>10</v>
      </c>
      <c r="AK6015" s="4">
        <v>22</v>
      </c>
      <c r="AL6015" s="4">
        <v>21</v>
      </c>
      <c r="AM6015" s="4">
        <v>34</v>
      </c>
      <c r="AN6015" s="4">
        <v>0</v>
      </c>
      <c r="AO6015" s="4">
        <v>0</v>
      </c>
      <c r="AP6015" s="4">
        <v>12</v>
      </c>
      <c r="AQ6015" s="4">
        <v>41</v>
      </c>
      <c r="AR6015" s="3" t="s">
        <v>62</v>
      </c>
      <c r="AS6015" s="3" t="s">
        <v>62</v>
      </c>
      <c r="AT6015" s="3" t="s">
        <v>62</v>
      </c>
      <c r="AV6015" s="6" t="str">
        <f>HYPERLINK("http://mcgill.on.worldcat.org/oclc/794556027","Catalog Record")</f>
        <v>Catalog Record</v>
      </c>
      <c r="AW6015" s="6" t="str">
        <f>HYPERLINK("http://www.worldcat.org/oclc/794556027","WorldCat Record")</f>
        <v>WorldCat Record</v>
      </c>
      <c r="AX6015" s="3" t="s">
        <v>57853</v>
      </c>
      <c r="AY6015" s="3" t="s">
        <v>57854</v>
      </c>
      <c r="AZ6015" s="3" t="s">
        <v>57855</v>
      </c>
      <c r="BA6015" s="3" t="s">
        <v>57855</v>
      </c>
      <c r="BB6015" s="3" t="s">
        <v>57856</v>
      </c>
      <c r="BC6015" s="3" t="s">
        <v>142</v>
      </c>
      <c r="BD6015" s="3" t="s">
        <v>68</v>
      </c>
      <c r="BE6015" s="3" t="s">
        <v>57857</v>
      </c>
      <c r="BF6015" s="3" t="s">
        <v>57856</v>
      </c>
      <c r="BG6015" s="3" t="s">
        <v>57858</v>
      </c>
    </row>
    <row r="6016" spans="1:59" ht="57" x14ac:dyDescent="0.45">
      <c r="A6016" s="2" t="s">
        <v>59</v>
      </c>
      <c r="B6016" s="2" t="s">
        <v>60</v>
      </c>
      <c r="C6016" s="2" t="s">
        <v>57859</v>
      </c>
      <c r="D6016" s="2" t="s">
        <v>57860</v>
      </c>
      <c r="E6016" s="2" t="s">
        <v>57861</v>
      </c>
      <c r="G6016" s="3" t="s">
        <v>62</v>
      </c>
      <c r="I6016" s="3" t="s">
        <v>62</v>
      </c>
      <c r="J6016" s="3" t="s">
        <v>62</v>
      </c>
      <c r="K6016" s="3" t="s">
        <v>63</v>
      </c>
      <c r="L6016" s="2" t="s">
        <v>57862</v>
      </c>
      <c r="M6016" s="2" t="s">
        <v>5120</v>
      </c>
      <c r="N6016" s="3" t="s">
        <v>894</v>
      </c>
      <c r="P6016" s="3" t="s">
        <v>65</v>
      </c>
      <c r="Q6016" s="2" t="s">
        <v>11033</v>
      </c>
      <c r="R6016" s="3" t="s">
        <v>66</v>
      </c>
      <c r="S6016" s="4">
        <v>0</v>
      </c>
      <c r="T6016" s="4">
        <v>0</v>
      </c>
      <c r="W6016" s="5" t="s">
        <v>67</v>
      </c>
      <c r="X6016" s="5" t="s">
        <v>67</v>
      </c>
      <c r="Y6016" s="4">
        <v>143</v>
      </c>
      <c r="Z6016" s="4">
        <v>16</v>
      </c>
      <c r="AA6016" s="4">
        <v>16</v>
      </c>
      <c r="AB6016" s="4">
        <v>1</v>
      </c>
      <c r="AC6016" s="4">
        <v>1</v>
      </c>
      <c r="AD6016" s="4">
        <v>79</v>
      </c>
      <c r="AE6016" s="4">
        <v>80</v>
      </c>
      <c r="AF6016" s="4">
        <v>0</v>
      </c>
      <c r="AG6016" s="4">
        <v>0</v>
      </c>
      <c r="AH6016" s="4">
        <v>72</v>
      </c>
      <c r="AI6016" s="4">
        <v>73</v>
      </c>
      <c r="AJ6016" s="4">
        <v>14</v>
      </c>
      <c r="AK6016" s="4">
        <v>14</v>
      </c>
      <c r="AL6016" s="4">
        <v>41</v>
      </c>
      <c r="AM6016" s="4">
        <v>42</v>
      </c>
      <c r="AN6016" s="4">
        <v>0</v>
      </c>
      <c r="AO6016" s="4">
        <v>0</v>
      </c>
      <c r="AP6016" s="4">
        <v>14</v>
      </c>
      <c r="AQ6016" s="4">
        <v>14</v>
      </c>
      <c r="AR6016" s="3" t="s">
        <v>62</v>
      </c>
      <c r="AS6016" s="3" t="s">
        <v>62</v>
      </c>
      <c r="AT6016" s="3" t="s">
        <v>62</v>
      </c>
      <c r="AV6016" s="6" t="str">
        <f>HYPERLINK("http://mcgill.on.worldcat.org/oclc/665137576","Catalog Record")</f>
        <v>Catalog Record</v>
      </c>
      <c r="AW6016" s="6" t="str">
        <f>HYPERLINK("http://www.worldcat.org/oclc/665137576","WorldCat Record")</f>
        <v>WorldCat Record</v>
      </c>
      <c r="AX6016" s="3" t="s">
        <v>57863</v>
      </c>
      <c r="AY6016" s="3" t="s">
        <v>57864</v>
      </c>
      <c r="AZ6016" s="3" t="s">
        <v>57865</v>
      </c>
      <c r="BA6016" s="3" t="s">
        <v>57865</v>
      </c>
      <c r="BB6016" s="3" t="s">
        <v>57866</v>
      </c>
      <c r="BC6016" s="3" t="s">
        <v>142</v>
      </c>
      <c r="BD6016" s="3" t="s">
        <v>68</v>
      </c>
      <c r="BE6016" s="3" t="s">
        <v>57867</v>
      </c>
      <c r="BF6016" s="3" t="s">
        <v>57866</v>
      </c>
      <c r="BG6016" s="3" t="s">
        <v>57868</v>
      </c>
    </row>
    <row r="6017" spans="1:59" ht="57" x14ac:dyDescent="0.45">
      <c r="A6017" s="2" t="s">
        <v>59</v>
      </c>
      <c r="B6017" s="2" t="s">
        <v>60</v>
      </c>
      <c r="C6017" s="2" t="s">
        <v>57869</v>
      </c>
      <c r="D6017" s="2" t="s">
        <v>57870</v>
      </c>
      <c r="E6017" s="2" t="s">
        <v>57871</v>
      </c>
      <c r="G6017" s="3" t="s">
        <v>62</v>
      </c>
      <c r="I6017" s="3" t="s">
        <v>62</v>
      </c>
      <c r="J6017" s="3" t="s">
        <v>62</v>
      </c>
      <c r="K6017" s="3" t="s">
        <v>63</v>
      </c>
      <c r="L6017" s="2" t="s">
        <v>43595</v>
      </c>
      <c r="M6017" s="2" t="s">
        <v>4862</v>
      </c>
      <c r="N6017" s="3" t="s">
        <v>1465</v>
      </c>
      <c r="P6017" s="3" t="s">
        <v>65</v>
      </c>
      <c r="Q6017" s="2" t="s">
        <v>29735</v>
      </c>
      <c r="R6017" s="3" t="s">
        <v>66</v>
      </c>
      <c r="S6017" s="4">
        <v>4</v>
      </c>
      <c r="T6017" s="4">
        <v>4</v>
      </c>
      <c r="U6017" s="5" t="s">
        <v>43720</v>
      </c>
      <c r="V6017" s="5" t="s">
        <v>43720</v>
      </c>
      <c r="W6017" s="5" t="s">
        <v>67</v>
      </c>
      <c r="X6017" s="5" t="s">
        <v>67</v>
      </c>
      <c r="Y6017" s="4">
        <v>195</v>
      </c>
      <c r="Z6017" s="4">
        <v>14</v>
      </c>
      <c r="AA6017" s="4">
        <v>81</v>
      </c>
      <c r="AB6017" s="4">
        <v>2</v>
      </c>
      <c r="AC6017" s="4">
        <v>15</v>
      </c>
      <c r="AD6017" s="4">
        <v>54</v>
      </c>
      <c r="AE6017" s="4">
        <v>123</v>
      </c>
      <c r="AF6017" s="4">
        <v>0</v>
      </c>
      <c r="AG6017" s="4">
        <v>8</v>
      </c>
      <c r="AH6017" s="4">
        <v>51</v>
      </c>
      <c r="AI6017" s="4">
        <v>89</v>
      </c>
      <c r="AJ6017" s="4">
        <v>8</v>
      </c>
      <c r="AK6017" s="4">
        <v>24</v>
      </c>
      <c r="AL6017" s="4">
        <v>31</v>
      </c>
      <c r="AM6017" s="4">
        <v>48</v>
      </c>
      <c r="AN6017" s="4">
        <v>0</v>
      </c>
      <c r="AO6017" s="4">
        <v>0</v>
      </c>
      <c r="AP6017" s="4">
        <v>10</v>
      </c>
      <c r="AQ6017" s="4">
        <v>43</v>
      </c>
      <c r="AR6017" s="3" t="s">
        <v>62</v>
      </c>
      <c r="AS6017" s="3" t="s">
        <v>62</v>
      </c>
      <c r="AT6017" s="3" t="s">
        <v>62</v>
      </c>
      <c r="AV6017" s="6" t="str">
        <f>HYPERLINK("http://mcgill.on.worldcat.org/oclc/318871987","Catalog Record")</f>
        <v>Catalog Record</v>
      </c>
      <c r="AW6017" s="6" t="str">
        <f>HYPERLINK("http://www.worldcat.org/oclc/318871987","WorldCat Record")</f>
        <v>WorldCat Record</v>
      </c>
      <c r="AX6017" s="3" t="s">
        <v>57872</v>
      </c>
      <c r="AY6017" s="3" t="s">
        <v>57873</v>
      </c>
      <c r="AZ6017" s="3" t="s">
        <v>57874</v>
      </c>
      <c r="BA6017" s="3" t="s">
        <v>57874</v>
      </c>
      <c r="BB6017" s="3" t="s">
        <v>57875</v>
      </c>
      <c r="BC6017" s="3" t="s">
        <v>142</v>
      </c>
      <c r="BD6017" s="3" t="s">
        <v>68</v>
      </c>
      <c r="BE6017" s="3" t="s">
        <v>57876</v>
      </c>
      <c r="BF6017" s="3" t="s">
        <v>57875</v>
      </c>
      <c r="BG6017" s="3" t="s">
        <v>57877</v>
      </c>
    </row>
    <row r="6018" spans="1:59" ht="57" x14ac:dyDescent="0.45">
      <c r="A6018" s="2" t="s">
        <v>59</v>
      </c>
      <c r="B6018" s="2" t="s">
        <v>60</v>
      </c>
      <c r="C6018" s="2" t="s">
        <v>57878</v>
      </c>
      <c r="D6018" s="2" t="s">
        <v>57879</v>
      </c>
      <c r="E6018" s="2" t="s">
        <v>57880</v>
      </c>
      <c r="F6018" s="3" t="s">
        <v>90</v>
      </c>
      <c r="G6018" s="3" t="s">
        <v>61</v>
      </c>
      <c r="I6018" s="3" t="s">
        <v>62</v>
      </c>
      <c r="J6018" s="3" t="s">
        <v>62</v>
      </c>
      <c r="K6018" s="3" t="s">
        <v>63</v>
      </c>
      <c r="M6018" s="2" t="s">
        <v>57881</v>
      </c>
      <c r="N6018" s="3" t="s">
        <v>1604</v>
      </c>
      <c r="P6018" s="3" t="s">
        <v>65</v>
      </c>
      <c r="Q6018" s="2" t="s">
        <v>57882</v>
      </c>
      <c r="R6018" s="3" t="s">
        <v>66</v>
      </c>
      <c r="S6018" s="4">
        <v>4</v>
      </c>
      <c r="T6018" s="4">
        <v>16</v>
      </c>
      <c r="U6018" s="5" t="s">
        <v>57883</v>
      </c>
      <c r="V6018" s="5" t="s">
        <v>1426</v>
      </c>
      <c r="W6018" s="5" t="s">
        <v>67</v>
      </c>
      <c r="X6018" s="5" t="s">
        <v>67</v>
      </c>
      <c r="Y6018" s="4">
        <v>193</v>
      </c>
      <c r="Z6018" s="4">
        <v>8</v>
      </c>
      <c r="AA6018" s="4">
        <v>9</v>
      </c>
      <c r="AB6018" s="4">
        <v>2</v>
      </c>
      <c r="AC6018" s="4">
        <v>2</v>
      </c>
      <c r="AD6018" s="4">
        <v>78</v>
      </c>
      <c r="AE6018" s="4">
        <v>79</v>
      </c>
      <c r="AF6018" s="4">
        <v>1</v>
      </c>
      <c r="AG6018" s="4">
        <v>1</v>
      </c>
      <c r="AH6018" s="4">
        <v>71</v>
      </c>
      <c r="AI6018" s="4">
        <v>72</v>
      </c>
      <c r="AJ6018" s="4">
        <v>6</v>
      </c>
      <c r="AK6018" s="4">
        <v>7</v>
      </c>
      <c r="AL6018" s="4">
        <v>42</v>
      </c>
      <c r="AM6018" s="4">
        <v>42</v>
      </c>
      <c r="AN6018" s="4">
        <v>0</v>
      </c>
      <c r="AO6018" s="4">
        <v>0</v>
      </c>
      <c r="AP6018" s="4">
        <v>7</v>
      </c>
      <c r="AQ6018" s="4">
        <v>8</v>
      </c>
      <c r="AR6018" s="3" t="s">
        <v>62</v>
      </c>
      <c r="AS6018" s="3" t="s">
        <v>62</v>
      </c>
      <c r="AT6018" s="3" t="s">
        <v>61</v>
      </c>
      <c r="AU6018" s="6" t="str">
        <f>HYPERLINK("http://catalog.hathitrust.org/Record/002903441","HathiTrust Record")</f>
        <v>HathiTrust Record</v>
      </c>
      <c r="AV6018" s="6" t="str">
        <f>HYPERLINK("http://mcgill.on.worldcat.org/oclc/27066308","Catalog Record")</f>
        <v>Catalog Record</v>
      </c>
      <c r="AW6018" s="6" t="str">
        <f>HYPERLINK("http://www.worldcat.org/oclc/27066308","WorldCat Record")</f>
        <v>WorldCat Record</v>
      </c>
      <c r="AX6018" s="3" t="s">
        <v>57884</v>
      </c>
      <c r="AY6018" s="3" t="s">
        <v>57885</v>
      </c>
      <c r="AZ6018" s="3" t="s">
        <v>57886</v>
      </c>
      <c r="BA6018" s="3" t="s">
        <v>57886</v>
      </c>
      <c r="BB6018" s="3" t="s">
        <v>57887</v>
      </c>
      <c r="BC6018" s="3" t="s">
        <v>142</v>
      </c>
      <c r="BD6018" s="3" t="s">
        <v>68</v>
      </c>
      <c r="BE6018" s="3" t="s">
        <v>57888</v>
      </c>
      <c r="BF6018" s="3" t="s">
        <v>57887</v>
      </c>
      <c r="BG6018" s="3" t="s">
        <v>57889</v>
      </c>
    </row>
    <row r="6019" spans="1:59" ht="57" x14ac:dyDescent="0.45">
      <c r="A6019" s="2" t="s">
        <v>59</v>
      </c>
      <c r="B6019" s="2" t="s">
        <v>60</v>
      </c>
      <c r="C6019" s="2" t="s">
        <v>57878</v>
      </c>
      <c r="D6019" s="2" t="s">
        <v>57879</v>
      </c>
      <c r="E6019" s="2" t="s">
        <v>57880</v>
      </c>
      <c r="F6019" s="3" t="s">
        <v>87</v>
      </c>
      <c r="G6019" s="3" t="s">
        <v>61</v>
      </c>
      <c r="I6019" s="3" t="s">
        <v>62</v>
      </c>
      <c r="J6019" s="3" t="s">
        <v>62</v>
      </c>
      <c r="K6019" s="3" t="s">
        <v>63</v>
      </c>
      <c r="M6019" s="2" t="s">
        <v>57881</v>
      </c>
      <c r="N6019" s="3" t="s">
        <v>1604</v>
      </c>
      <c r="P6019" s="3" t="s">
        <v>65</v>
      </c>
      <c r="Q6019" s="2" t="s">
        <v>57882</v>
      </c>
      <c r="R6019" s="3" t="s">
        <v>66</v>
      </c>
      <c r="S6019" s="4">
        <v>12</v>
      </c>
      <c r="T6019" s="4">
        <v>16</v>
      </c>
      <c r="U6019" s="5" t="s">
        <v>1426</v>
      </c>
      <c r="V6019" s="5" t="s">
        <v>1426</v>
      </c>
      <c r="W6019" s="5" t="s">
        <v>67</v>
      </c>
      <c r="X6019" s="5" t="s">
        <v>67</v>
      </c>
      <c r="Y6019" s="4">
        <v>193</v>
      </c>
      <c r="Z6019" s="4">
        <v>8</v>
      </c>
      <c r="AA6019" s="4">
        <v>9</v>
      </c>
      <c r="AB6019" s="4">
        <v>2</v>
      </c>
      <c r="AC6019" s="4">
        <v>2</v>
      </c>
      <c r="AD6019" s="4">
        <v>78</v>
      </c>
      <c r="AE6019" s="4">
        <v>79</v>
      </c>
      <c r="AF6019" s="4">
        <v>1</v>
      </c>
      <c r="AG6019" s="4">
        <v>1</v>
      </c>
      <c r="AH6019" s="4">
        <v>71</v>
      </c>
      <c r="AI6019" s="4">
        <v>72</v>
      </c>
      <c r="AJ6019" s="4">
        <v>6</v>
      </c>
      <c r="AK6019" s="4">
        <v>7</v>
      </c>
      <c r="AL6019" s="4">
        <v>42</v>
      </c>
      <c r="AM6019" s="4">
        <v>42</v>
      </c>
      <c r="AN6019" s="4">
        <v>0</v>
      </c>
      <c r="AO6019" s="4">
        <v>0</v>
      </c>
      <c r="AP6019" s="4">
        <v>7</v>
      </c>
      <c r="AQ6019" s="4">
        <v>8</v>
      </c>
      <c r="AR6019" s="3" t="s">
        <v>62</v>
      </c>
      <c r="AS6019" s="3" t="s">
        <v>62</v>
      </c>
      <c r="AT6019" s="3" t="s">
        <v>61</v>
      </c>
      <c r="AU6019" s="6" t="str">
        <f>HYPERLINK("http://catalog.hathitrust.org/Record/002903441","HathiTrust Record")</f>
        <v>HathiTrust Record</v>
      </c>
      <c r="AV6019" s="6" t="str">
        <f>HYPERLINK("http://mcgill.on.worldcat.org/oclc/27066308","Catalog Record")</f>
        <v>Catalog Record</v>
      </c>
      <c r="AW6019" s="6" t="str">
        <f>HYPERLINK("http://www.worldcat.org/oclc/27066308","WorldCat Record")</f>
        <v>WorldCat Record</v>
      </c>
      <c r="AX6019" s="3" t="s">
        <v>57884</v>
      </c>
      <c r="AY6019" s="3" t="s">
        <v>57885</v>
      </c>
      <c r="AZ6019" s="3" t="s">
        <v>57886</v>
      </c>
      <c r="BA6019" s="3" t="s">
        <v>57886</v>
      </c>
      <c r="BB6019" s="3" t="s">
        <v>57890</v>
      </c>
      <c r="BC6019" s="3" t="s">
        <v>142</v>
      </c>
      <c r="BD6019" s="3" t="s">
        <v>68</v>
      </c>
      <c r="BE6019" s="3" t="s">
        <v>57888</v>
      </c>
      <c r="BF6019" s="3" t="s">
        <v>57890</v>
      </c>
      <c r="BG6019" s="3" t="s">
        <v>57891</v>
      </c>
    </row>
    <row r="6020" spans="1:59" ht="57" x14ac:dyDescent="0.45">
      <c r="A6020" s="2" t="s">
        <v>59</v>
      </c>
      <c r="B6020" s="2" t="s">
        <v>60</v>
      </c>
      <c r="C6020" s="2" t="s">
        <v>57892</v>
      </c>
      <c r="D6020" s="2" t="s">
        <v>57893</v>
      </c>
      <c r="E6020" s="2" t="s">
        <v>57894</v>
      </c>
      <c r="G6020" s="3" t="s">
        <v>62</v>
      </c>
      <c r="I6020" s="3" t="s">
        <v>62</v>
      </c>
      <c r="J6020" s="3" t="s">
        <v>62</v>
      </c>
      <c r="K6020" s="3" t="s">
        <v>63</v>
      </c>
      <c r="L6020" s="2" t="s">
        <v>55380</v>
      </c>
      <c r="M6020" s="2" t="s">
        <v>57895</v>
      </c>
      <c r="N6020" s="3" t="s">
        <v>208</v>
      </c>
      <c r="P6020" s="3" t="s">
        <v>110</v>
      </c>
      <c r="Q6020" s="2" t="s">
        <v>57896</v>
      </c>
      <c r="R6020" s="3" t="s">
        <v>66</v>
      </c>
      <c r="S6020" s="4">
        <v>1</v>
      </c>
      <c r="T6020" s="4">
        <v>1</v>
      </c>
      <c r="U6020" s="5" t="s">
        <v>57897</v>
      </c>
      <c r="V6020" s="5" t="s">
        <v>57897</v>
      </c>
      <c r="W6020" s="5" t="s">
        <v>67</v>
      </c>
      <c r="X6020" s="5" t="s">
        <v>67</v>
      </c>
      <c r="Y6020" s="4">
        <v>1</v>
      </c>
      <c r="Z6020" s="4">
        <v>1</v>
      </c>
      <c r="AA6020" s="4">
        <v>1</v>
      </c>
      <c r="AB6020" s="4">
        <v>1</v>
      </c>
      <c r="AC6020" s="4">
        <v>1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3" t="s">
        <v>61</v>
      </c>
      <c r="AS6020" s="3" t="s">
        <v>62</v>
      </c>
      <c r="AT6020" s="3" t="s">
        <v>62</v>
      </c>
      <c r="AV6020" s="6" t="str">
        <f>HYPERLINK("http://mcgill.on.worldcat.org/oclc/919501178","Catalog Record")</f>
        <v>Catalog Record</v>
      </c>
      <c r="AW6020" s="6" t="str">
        <f>HYPERLINK("http://www.worldcat.org/oclc/919501178","WorldCat Record")</f>
        <v>WorldCat Record</v>
      </c>
      <c r="AX6020" s="3" t="s">
        <v>57898</v>
      </c>
      <c r="AY6020" s="3" t="s">
        <v>57899</v>
      </c>
      <c r="AZ6020" s="3" t="s">
        <v>57900</v>
      </c>
      <c r="BA6020" s="3" t="s">
        <v>57900</v>
      </c>
      <c r="BB6020" s="3" t="s">
        <v>57901</v>
      </c>
      <c r="BC6020" s="3" t="s">
        <v>142</v>
      </c>
      <c r="BD6020" s="3" t="s">
        <v>68</v>
      </c>
      <c r="BF6020" s="3" t="s">
        <v>57901</v>
      </c>
      <c r="BG6020" s="3" t="s">
        <v>57902</v>
      </c>
    </row>
    <row r="6021" spans="1:59" ht="57" x14ac:dyDescent="0.45">
      <c r="A6021" s="2" t="s">
        <v>59</v>
      </c>
      <c r="B6021" s="2" t="s">
        <v>60</v>
      </c>
      <c r="C6021" s="2" t="s">
        <v>57903</v>
      </c>
      <c r="D6021" s="2" t="s">
        <v>57904</v>
      </c>
      <c r="E6021" s="2" t="s">
        <v>57905</v>
      </c>
      <c r="F6021" s="3" t="s">
        <v>87</v>
      </c>
      <c r="G6021" s="3" t="s">
        <v>61</v>
      </c>
      <c r="I6021" s="3" t="s">
        <v>62</v>
      </c>
      <c r="J6021" s="3" t="s">
        <v>62</v>
      </c>
      <c r="K6021" s="3" t="s">
        <v>63</v>
      </c>
      <c r="L6021" s="2" t="s">
        <v>41836</v>
      </c>
      <c r="M6021" s="2" t="s">
        <v>55520</v>
      </c>
      <c r="N6021" s="3" t="s">
        <v>1059</v>
      </c>
      <c r="P6021" s="3" t="s">
        <v>110</v>
      </c>
      <c r="Q6021" s="2" t="s">
        <v>57906</v>
      </c>
      <c r="R6021" s="3" t="s">
        <v>66</v>
      </c>
      <c r="S6021" s="4">
        <v>11</v>
      </c>
      <c r="T6021" s="4">
        <v>14</v>
      </c>
      <c r="U6021" s="5" t="s">
        <v>44113</v>
      </c>
      <c r="V6021" s="5" t="s">
        <v>44113</v>
      </c>
      <c r="W6021" s="5" t="s">
        <v>67</v>
      </c>
      <c r="X6021" s="5" t="s">
        <v>67</v>
      </c>
      <c r="Y6021" s="4">
        <v>1</v>
      </c>
      <c r="Z6021" s="4">
        <v>1</v>
      </c>
      <c r="AA6021" s="4">
        <v>1</v>
      </c>
      <c r="AB6021" s="4">
        <v>1</v>
      </c>
      <c r="AC6021" s="4">
        <v>1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3" t="s">
        <v>61</v>
      </c>
      <c r="AS6021" s="3" t="s">
        <v>62</v>
      </c>
      <c r="AT6021" s="3" t="s">
        <v>62</v>
      </c>
      <c r="AV6021" s="6" t="str">
        <f>HYPERLINK("http://mcgill.on.worldcat.org/oclc/316030640","Catalog Record")</f>
        <v>Catalog Record</v>
      </c>
      <c r="AW6021" s="6" t="str">
        <f>HYPERLINK("http://www.worldcat.org/oclc/316030640","WorldCat Record")</f>
        <v>WorldCat Record</v>
      </c>
      <c r="AX6021" s="3" t="s">
        <v>57907</v>
      </c>
      <c r="AY6021" s="3" t="s">
        <v>57908</v>
      </c>
      <c r="AZ6021" s="3" t="s">
        <v>57909</v>
      </c>
      <c r="BA6021" s="3" t="s">
        <v>57909</v>
      </c>
      <c r="BB6021" s="3" t="s">
        <v>57910</v>
      </c>
      <c r="BC6021" s="3" t="s">
        <v>142</v>
      </c>
      <c r="BD6021" s="3" t="s">
        <v>68</v>
      </c>
      <c r="BF6021" s="3" t="s">
        <v>57910</v>
      </c>
      <c r="BG6021" s="3" t="s">
        <v>57911</v>
      </c>
    </row>
    <row r="6022" spans="1:59" ht="57" x14ac:dyDescent="0.45">
      <c r="A6022" s="2" t="s">
        <v>59</v>
      </c>
      <c r="B6022" s="2" t="s">
        <v>60</v>
      </c>
      <c r="C6022" s="2" t="s">
        <v>57903</v>
      </c>
      <c r="D6022" s="2" t="s">
        <v>57904</v>
      </c>
      <c r="E6022" s="2" t="s">
        <v>57905</v>
      </c>
      <c r="F6022" s="3" t="s">
        <v>90</v>
      </c>
      <c r="G6022" s="3" t="s">
        <v>61</v>
      </c>
      <c r="I6022" s="3" t="s">
        <v>62</v>
      </c>
      <c r="J6022" s="3" t="s">
        <v>62</v>
      </c>
      <c r="K6022" s="3" t="s">
        <v>63</v>
      </c>
      <c r="L6022" s="2" t="s">
        <v>41836</v>
      </c>
      <c r="M6022" s="2" t="s">
        <v>55520</v>
      </c>
      <c r="N6022" s="3" t="s">
        <v>1059</v>
      </c>
      <c r="P6022" s="3" t="s">
        <v>110</v>
      </c>
      <c r="Q6022" s="2" t="s">
        <v>57906</v>
      </c>
      <c r="R6022" s="3" t="s">
        <v>66</v>
      </c>
      <c r="S6022" s="4">
        <v>3</v>
      </c>
      <c r="T6022" s="4">
        <v>14</v>
      </c>
      <c r="U6022" s="5" t="s">
        <v>57912</v>
      </c>
      <c r="V6022" s="5" t="s">
        <v>44113</v>
      </c>
      <c r="W6022" s="5" t="s">
        <v>67</v>
      </c>
      <c r="X6022" s="5" t="s">
        <v>67</v>
      </c>
      <c r="Y6022" s="4">
        <v>1</v>
      </c>
      <c r="Z6022" s="4">
        <v>1</v>
      </c>
      <c r="AA6022" s="4">
        <v>1</v>
      </c>
      <c r="AB6022" s="4">
        <v>1</v>
      </c>
      <c r="AC6022" s="4">
        <v>1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3" t="s">
        <v>61</v>
      </c>
      <c r="AS6022" s="3" t="s">
        <v>62</v>
      </c>
      <c r="AT6022" s="3" t="s">
        <v>62</v>
      </c>
      <c r="AV6022" s="6" t="str">
        <f>HYPERLINK("http://mcgill.on.worldcat.org/oclc/316030640","Catalog Record")</f>
        <v>Catalog Record</v>
      </c>
      <c r="AW6022" s="6" t="str">
        <f>HYPERLINK("http://www.worldcat.org/oclc/316030640","WorldCat Record")</f>
        <v>WorldCat Record</v>
      </c>
      <c r="AX6022" s="3" t="s">
        <v>57907</v>
      </c>
      <c r="AY6022" s="3" t="s">
        <v>57908</v>
      </c>
      <c r="AZ6022" s="3" t="s">
        <v>57909</v>
      </c>
      <c r="BA6022" s="3" t="s">
        <v>57909</v>
      </c>
      <c r="BB6022" s="3" t="s">
        <v>57913</v>
      </c>
      <c r="BC6022" s="3" t="s">
        <v>142</v>
      </c>
      <c r="BD6022" s="3" t="s">
        <v>68</v>
      </c>
      <c r="BF6022" s="3" t="s">
        <v>57913</v>
      </c>
      <c r="BG6022" s="3" t="s">
        <v>57914</v>
      </c>
    </row>
    <row r="6023" spans="1:59" ht="57" x14ac:dyDescent="0.45">
      <c r="A6023" s="2" t="s">
        <v>59</v>
      </c>
      <c r="B6023" s="2" t="s">
        <v>60</v>
      </c>
      <c r="C6023" s="2" t="s">
        <v>57915</v>
      </c>
      <c r="D6023" s="2" t="s">
        <v>57916</v>
      </c>
      <c r="E6023" s="2" t="s">
        <v>57917</v>
      </c>
      <c r="G6023" s="3" t="s">
        <v>62</v>
      </c>
      <c r="I6023" s="3" t="s">
        <v>62</v>
      </c>
      <c r="J6023" s="3" t="s">
        <v>62</v>
      </c>
      <c r="K6023" s="3" t="s">
        <v>63</v>
      </c>
      <c r="L6023" s="2" t="s">
        <v>41836</v>
      </c>
      <c r="M6023" s="2" t="s">
        <v>57048</v>
      </c>
      <c r="N6023" s="3" t="s">
        <v>970</v>
      </c>
      <c r="P6023" s="3" t="s">
        <v>110</v>
      </c>
      <c r="Q6023" s="2" t="s">
        <v>57918</v>
      </c>
      <c r="R6023" s="3" t="s">
        <v>66</v>
      </c>
      <c r="S6023" s="4">
        <v>18</v>
      </c>
      <c r="T6023" s="4">
        <v>18</v>
      </c>
      <c r="U6023" s="5" t="s">
        <v>684</v>
      </c>
      <c r="V6023" s="5" t="s">
        <v>684</v>
      </c>
      <c r="W6023" s="5" t="s">
        <v>67</v>
      </c>
      <c r="X6023" s="5" t="s">
        <v>67</v>
      </c>
      <c r="Y6023" s="4">
        <v>1</v>
      </c>
      <c r="Z6023" s="4">
        <v>1</v>
      </c>
      <c r="AA6023" s="4">
        <v>2</v>
      </c>
      <c r="AB6023" s="4">
        <v>1</v>
      </c>
      <c r="AC6023" s="4">
        <v>2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3" t="s">
        <v>61</v>
      </c>
      <c r="AS6023" s="3" t="s">
        <v>62</v>
      </c>
      <c r="AT6023" s="3" t="s">
        <v>62</v>
      </c>
      <c r="AV6023" s="6" t="str">
        <f>HYPERLINK("http://mcgill.on.worldcat.org/oclc/61566101","Catalog Record")</f>
        <v>Catalog Record</v>
      </c>
      <c r="AW6023" s="6" t="str">
        <f>HYPERLINK("http://www.worldcat.org/oclc/61566101","WorldCat Record")</f>
        <v>WorldCat Record</v>
      </c>
      <c r="AX6023" s="3" t="s">
        <v>57919</v>
      </c>
      <c r="AY6023" s="3" t="s">
        <v>57920</v>
      </c>
      <c r="AZ6023" s="3" t="s">
        <v>57921</v>
      </c>
      <c r="BA6023" s="3" t="s">
        <v>57921</v>
      </c>
      <c r="BB6023" s="3" t="s">
        <v>57922</v>
      </c>
      <c r="BC6023" s="3" t="s">
        <v>142</v>
      </c>
      <c r="BD6023" s="3" t="s">
        <v>68</v>
      </c>
      <c r="BF6023" s="3" t="s">
        <v>57922</v>
      </c>
      <c r="BG6023" s="3" t="s">
        <v>57923</v>
      </c>
    </row>
    <row r="6024" spans="1:59" ht="57" x14ac:dyDescent="0.45">
      <c r="A6024" s="2" t="s">
        <v>59</v>
      </c>
      <c r="B6024" s="2" t="s">
        <v>60</v>
      </c>
      <c r="C6024" s="2" t="s">
        <v>57924</v>
      </c>
      <c r="D6024" s="2" t="s">
        <v>57925</v>
      </c>
      <c r="E6024" s="2" t="s">
        <v>57926</v>
      </c>
      <c r="G6024" s="3" t="s">
        <v>62</v>
      </c>
      <c r="I6024" s="3" t="s">
        <v>62</v>
      </c>
      <c r="J6024" s="3" t="s">
        <v>62</v>
      </c>
      <c r="K6024" s="3" t="s">
        <v>63</v>
      </c>
      <c r="L6024" s="2" t="s">
        <v>1840</v>
      </c>
      <c r="M6024" s="2" t="s">
        <v>1829</v>
      </c>
      <c r="N6024" s="3" t="s">
        <v>1437</v>
      </c>
      <c r="P6024" s="3" t="s">
        <v>65</v>
      </c>
      <c r="R6024" s="3" t="s">
        <v>66</v>
      </c>
      <c r="S6024" s="4">
        <v>13</v>
      </c>
      <c r="T6024" s="4">
        <v>13</v>
      </c>
      <c r="U6024" s="5" t="s">
        <v>57927</v>
      </c>
      <c r="V6024" s="5" t="s">
        <v>57927</v>
      </c>
      <c r="W6024" s="5" t="s">
        <v>67</v>
      </c>
      <c r="X6024" s="5" t="s">
        <v>67</v>
      </c>
      <c r="Y6024" s="4">
        <v>293</v>
      </c>
      <c r="Z6024" s="4">
        <v>13</v>
      </c>
      <c r="AA6024" s="4">
        <v>109</v>
      </c>
      <c r="AB6024" s="4">
        <v>1</v>
      </c>
      <c r="AC6024" s="4">
        <v>22</v>
      </c>
      <c r="AD6024" s="4">
        <v>87</v>
      </c>
      <c r="AE6024" s="4">
        <v>149</v>
      </c>
      <c r="AF6024" s="4">
        <v>0</v>
      </c>
      <c r="AG6024" s="4">
        <v>9</v>
      </c>
      <c r="AH6024" s="4">
        <v>77</v>
      </c>
      <c r="AI6024" s="4">
        <v>101</v>
      </c>
      <c r="AJ6024" s="4">
        <v>9</v>
      </c>
      <c r="AK6024" s="4">
        <v>28</v>
      </c>
      <c r="AL6024" s="4">
        <v>46</v>
      </c>
      <c r="AM6024" s="4">
        <v>53</v>
      </c>
      <c r="AN6024" s="4">
        <v>0</v>
      </c>
      <c r="AO6024" s="4">
        <v>0</v>
      </c>
      <c r="AP6024" s="4">
        <v>11</v>
      </c>
      <c r="AQ6024" s="4">
        <v>56</v>
      </c>
      <c r="AR6024" s="3" t="s">
        <v>62</v>
      </c>
      <c r="AS6024" s="3" t="s">
        <v>62</v>
      </c>
      <c r="AT6024" s="3" t="s">
        <v>62</v>
      </c>
      <c r="AV6024" s="6" t="str">
        <f>HYPERLINK("http://mcgill.on.worldcat.org/oclc/38738902","Catalog Record")</f>
        <v>Catalog Record</v>
      </c>
      <c r="AW6024" s="6" t="str">
        <f>HYPERLINK("http://www.worldcat.org/oclc/38738902","WorldCat Record")</f>
        <v>WorldCat Record</v>
      </c>
      <c r="AX6024" s="3" t="s">
        <v>57928</v>
      </c>
      <c r="AY6024" s="3" t="s">
        <v>57929</v>
      </c>
      <c r="AZ6024" s="3" t="s">
        <v>57930</v>
      </c>
      <c r="BA6024" s="3" t="s">
        <v>57930</v>
      </c>
      <c r="BB6024" s="3" t="s">
        <v>57931</v>
      </c>
      <c r="BC6024" s="3" t="s">
        <v>142</v>
      </c>
      <c r="BD6024" s="3" t="s">
        <v>68</v>
      </c>
      <c r="BE6024" s="3" t="s">
        <v>57932</v>
      </c>
      <c r="BF6024" s="3" t="s">
        <v>57931</v>
      </c>
      <c r="BG6024" s="3" t="s">
        <v>57933</v>
      </c>
    </row>
    <row r="6025" spans="1:59" ht="57" x14ac:dyDescent="0.45">
      <c r="A6025" s="2" t="s">
        <v>59</v>
      </c>
      <c r="B6025" s="2" t="s">
        <v>60</v>
      </c>
      <c r="C6025" s="2" t="s">
        <v>57934</v>
      </c>
      <c r="D6025" s="2" t="s">
        <v>57935</v>
      </c>
      <c r="E6025" s="2" t="s">
        <v>57936</v>
      </c>
      <c r="G6025" s="3" t="s">
        <v>62</v>
      </c>
      <c r="I6025" s="3" t="s">
        <v>62</v>
      </c>
      <c r="J6025" s="3" t="s">
        <v>62</v>
      </c>
      <c r="K6025" s="3" t="s">
        <v>63</v>
      </c>
      <c r="L6025" s="2" t="s">
        <v>1840</v>
      </c>
      <c r="M6025" s="2" t="s">
        <v>52898</v>
      </c>
      <c r="N6025" s="3" t="s">
        <v>1097</v>
      </c>
      <c r="P6025" s="3" t="s">
        <v>65</v>
      </c>
      <c r="Q6025" s="2" t="s">
        <v>1267</v>
      </c>
      <c r="R6025" s="3" t="s">
        <v>66</v>
      </c>
      <c r="S6025" s="4">
        <v>32</v>
      </c>
      <c r="T6025" s="4">
        <v>32</v>
      </c>
      <c r="U6025" s="5" t="s">
        <v>3656</v>
      </c>
      <c r="V6025" s="5" t="s">
        <v>3656</v>
      </c>
      <c r="W6025" s="5" t="s">
        <v>67</v>
      </c>
      <c r="X6025" s="5" t="s">
        <v>67</v>
      </c>
      <c r="Y6025" s="4">
        <v>289</v>
      </c>
      <c r="Z6025" s="4">
        <v>18</v>
      </c>
      <c r="AA6025" s="4">
        <v>99</v>
      </c>
      <c r="AB6025" s="4">
        <v>2</v>
      </c>
      <c r="AC6025" s="4">
        <v>18</v>
      </c>
      <c r="AD6025" s="4">
        <v>87</v>
      </c>
      <c r="AE6025" s="4">
        <v>153</v>
      </c>
      <c r="AF6025" s="4">
        <v>1</v>
      </c>
      <c r="AG6025" s="4">
        <v>9</v>
      </c>
      <c r="AH6025" s="4">
        <v>74</v>
      </c>
      <c r="AI6025" s="4">
        <v>104</v>
      </c>
      <c r="AJ6025" s="4">
        <v>10</v>
      </c>
      <c r="AK6025" s="4">
        <v>26</v>
      </c>
      <c r="AL6025" s="4">
        <v>45</v>
      </c>
      <c r="AM6025" s="4">
        <v>56</v>
      </c>
      <c r="AN6025" s="4">
        <v>0</v>
      </c>
      <c r="AO6025" s="4">
        <v>0</v>
      </c>
      <c r="AP6025" s="4">
        <v>16</v>
      </c>
      <c r="AQ6025" s="4">
        <v>56</v>
      </c>
      <c r="AR6025" s="3" t="s">
        <v>62</v>
      </c>
      <c r="AS6025" s="3" t="s">
        <v>62</v>
      </c>
      <c r="AT6025" s="3" t="s">
        <v>62</v>
      </c>
      <c r="AV6025" s="6" t="str">
        <f>HYPERLINK("http://mcgill.on.worldcat.org/oclc/54852921","Catalog Record")</f>
        <v>Catalog Record</v>
      </c>
      <c r="AW6025" s="6" t="str">
        <f>HYPERLINK("http://www.worldcat.org/oclc/54852921","WorldCat Record")</f>
        <v>WorldCat Record</v>
      </c>
      <c r="AX6025" s="3" t="s">
        <v>57937</v>
      </c>
      <c r="AY6025" s="3" t="s">
        <v>57938</v>
      </c>
      <c r="AZ6025" s="3" t="s">
        <v>57939</v>
      </c>
      <c r="BA6025" s="3" t="s">
        <v>57939</v>
      </c>
      <c r="BB6025" s="3" t="s">
        <v>57940</v>
      </c>
      <c r="BC6025" s="3" t="s">
        <v>142</v>
      </c>
      <c r="BD6025" s="3" t="s">
        <v>68</v>
      </c>
      <c r="BE6025" s="3" t="s">
        <v>57941</v>
      </c>
      <c r="BF6025" s="3" t="s">
        <v>57940</v>
      </c>
      <c r="BG6025" s="3" t="s">
        <v>57942</v>
      </c>
    </row>
    <row r="6026" spans="1:59" ht="57" x14ac:dyDescent="0.45">
      <c r="A6026" s="2" t="s">
        <v>59</v>
      </c>
      <c r="B6026" s="2" t="s">
        <v>60</v>
      </c>
      <c r="C6026" s="2" t="s">
        <v>57943</v>
      </c>
      <c r="D6026" s="2" t="s">
        <v>57944</v>
      </c>
      <c r="E6026" s="2" t="s">
        <v>57945</v>
      </c>
      <c r="G6026" s="3" t="s">
        <v>62</v>
      </c>
      <c r="I6026" s="3" t="s">
        <v>62</v>
      </c>
      <c r="J6026" s="3" t="s">
        <v>62</v>
      </c>
      <c r="K6026" s="3" t="s">
        <v>63</v>
      </c>
      <c r="M6026" s="2" t="s">
        <v>57946</v>
      </c>
      <c r="N6026" s="3" t="s">
        <v>1059</v>
      </c>
      <c r="O6026" s="2" t="s">
        <v>933</v>
      </c>
      <c r="P6026" s="3" t="s">
        <v>65</v>
      </c>
      <c r="R6026" s="3" t="s">
        <v>66</v>
      </c>
      <c r="S6026" s="4">
        <v>15</v>
      </c>
      <c r="T6026" s="4">
        <v>15</v>
      </c>
      <c r="U6026" s="5" t="s">
        <v>24127</v>
      </c>
      <c r="V6026" s="5" t="s">
        <v>24127</v>
      </c>
      <c r="W6026" s="5" t="s">
        <v>67</v>
      </c>
      <c r="X6026" s="5" t="s">
        <v>67</v>
      </c>
      <c r="Y6026" s="4">
        <v>154</v>
      </c>
      <c r="Z6026" s="4">
        <v>15</v>
      </c>
      <c r="AA6026" s="4">
        <v>24</v>
      </c>
      <c r="AB6026" s="4">
        <v>1</v>
      </c>
      <c r="AC6026" s="4">
        <v>2</v>
      </c>
      <c r="AD6026" s="4">
        <v>48</v>
      </c>
      <c r="AE6026" s="4">
        <v>70</v>
      </c>
      <c r="AF6026" s="4">
        <v>0</v>
      </c>
      <c r="AG6026" s="4">
        <v>1</v>
      </c>
      <c r="AH6026" s="4">
        <v>43</v>
      </c>
      <c r="AI6026" s="4">
        <v>60</v>
      </c>
      <c r="AJ6026" s="4">
        <v>7</v>
      </c>
      <c r="AK6026" s="4">
        <v>11</v>
      </c>
      <c r="AL6026" s="4">
        <v>19</v>
      </c>
      <c r="AM6026" s="4">
        <v>27</v>
      </c>
      <c r="AN6026" s="4">
        <v>0</v>
      </c>
      <c r="AO6026" s="4">
        <v>5</v>
      </c>
      <c r="AP6026" s="4">
        <v>11</v>
      </c>
      <c r="AQ6026" s="4">
        <v>17</v>
      </c>
      <c r="AR6026" s="3" t="s">
        <v>62</v>
      </c>
      <c r="AS6026" s="3" t="s">
        <v>62</v>
      </c>
      <c r="AT6026" s="3" t="s">
        <v>62</v>
      </c>
      <c r="AV6026" s="6" t="str">
        <f>HYPERLINK("http://mcgill.on.worldcat.org/oclc/69628912","Catalog Record")</f>
        <v>Catalog Record</v>
      </c>
      <c r="AW6026" s="6" t="str">
        <f>HYPERLINK("http://www.worldcat.org/oclc/69628912","WorldCat Record")</f>
        <v>WorldCat Record</v>
      </c>
      <c r="AX6026" s="3" t="s">
        <v>57947</v>
      </c>
      <c r="AY6026" s="3" t="s">
        <v>57948</v>
      </c>
      <c r="AZ6026" s="3" t="s">
        <v>57949</v>
      </c>
      <c r="BA6026" s="3" t="s">
        <v>57949</v>
      </c>
      <c r="BB6026" s="3" t="s">
        <v>57950</v>
      </c>
      <c r="BC6026" s="3" t="s">
        <v>142</v>
      </c>
      <c r="BD6026" s="3" t="s">
        <v>68</v>
      </c>
      <c r="BE6026" s="3" t="s">
        <v>57951</v>
      </c>
      <c r="BF6026" s="3" t="s">
        <v>57950</v>
      </c>
      <c r="BG6026" s="3" t="s">
        <v>57952</v>
      </c>
    </row>
    <row r="6027" spans="1:59" ht="57" x14ac:dyDescent="0.45">
      <c r="A6027" s="2" t="s">
        <v>59</v>
      </c>
      <c r="B6027" s="2" t="s">
        <v>60</v>
      </c>
      <c r="C6027" s="2" t="s">
        <v>57953</v>
      </c>
      <c r="D6027" s="2" t="s">
        <v>57954</v>
      </c>
      <c r="E6027" s="2" t="s">
        <v>57955</v>
      </c>
      <c r="G6027" s="3" t="s">
        <v>62</v>
      </c>
      <c r="I6027" s="3" t="s">
        <v>62</v>
      </c>
      <c r="J6027" s="3" t="s">
        <v>62</v>
      </c>
      <c r="K6027" s="3" t="s">
        <v>63</v>
      </c>
      <c r="M6027" s="2" t="s">
        <v>57956</v>
      </c>
      <c r="N6027" s="3" t="s">
        <v>1253</v>
      </c>
      <c r="P6027" s="3" t="s">
        <v>65</v>
      </c>
      <c r="R6027" s="3" t="s">
        <v>66</v>
      </c>
      <c r="S6027" s="4">
        <v>18</v>
      </c>
      <c r="T6027" s="4">
        <v>18</v>
      </c>
      <c r="U6027" s="5" t="s">
        <v>18380</v>
      </c>
      <c r="V6027" s="5" t="s">
        <v>18380</v>
      </c>
      <c r="W6027" s="5" t="s">
        <v>67</v>
      </c>
      <c r="X6027" s="5" t="s">
        <v>67</v>
      </c>
      <c r="Y6027" s="4">
        <v>176</v>
      </c>
      <c r="Z6027" s="4">
        <v>16</v>
      </c>
      <c r="AA6027" s="4">
        <v>16</v>
      </c>
      <c r="AB6027" s="4">
        <v>1</v>
      </c>
      <c r="AC6027" s="4">
        <v>1</v>
      </c>
      <c r="AD6027" s="4">
        <v>66</v>
      </c>
      <c r="AE6027" s="4">
        <v>66</v>
      </c>
      <c r="AF6027" s="4">
        <v>0</v>
      </c>
      <c r="AG6027" s="4">
        <v>0</v>
      </c>
      <c r="AH6027" s="4">
        <v>61</v>
      </c>
      <c r="AI6027" s="4">
        <v>61</v>
      </c>
      <c r="AJ6027" s="4">
        <v>10</v>
      </c>
      <c r="AK6027" s="4">
        <v>10</v>
      </c>
      <c r="AL6027" s="4">
        <v>37</v>
      </c>
      <c r="AM6027" s="4">
        <v>37</v>
      </c>
      <c r="AN6027" s="4">
        <v>0</v>
      </c>
      <c r="AO6027" s="4">
        <v>0</v>
      </c>
      <c r="AP6027" s="4">
        <v>12</v>
      </c>
      <c r="AQ6027" s="4">
        <v>12</v>
      </c>
      <c r="AR6027" s="3" t="s">
        <v>62</v>
      </c>
      <c r="AS6027" s="3" t="s">
        <v>62</v>
      </c>
      <c r="AT6027" s="3" t="s">
        <v>61</v>
      </c>
      <c r="AU6027" s="6" t="str">
        <f>HYPERLINK("http://catalog.hathitrust.org/Record/003139963","HathiTrust Record")</f>
        <v>HathiTrust Record</v>
      </c>
      <c r="AV6027" s="6" t="str">
        <f>HYPERLINK("http://mcgill.on.worldcat.org/oclc/34984296","Catalog Record")</f>
        <v>Catalog Record</v>
      </c>
      <c r="AW6027" s="6" t="str">
        <f>HYPERLINK("http://www.worldcat.org/oclc/34984296","WorldCat Record")</f>
        <v>WorldCat Record</v>
      </c>
      <c r="AX6027" s="3" t="s">
        <v>57957</v>
      </c>
      <c r="AY6027" s="3" t="s">
        <v>57958</v>
      </c>
      <c r="AZ6027" s="3" t="s">
        <v>57959</v>
      </c>
      <c r="BA6027" s="3" t="s">
        <v>57959</v>
      </c>
      <c r="BB6027" s="3" t="s">
        <v>57960</v>
      </c>
      <c r="BC6027" s="3" t="s">
        <v>142</v>
      </c>
      <c r="BD6027" s="3" t="s">
        <v>68</v>
      </c>
      <c r="BE6027" s="3" t="s">
        <v>57961</v>
      </c>
      <c r="BF6027" s="3" t="s">
        <v>57960</v>
      </c>
      <c r="BG6027" s="3" t="s">
        <v>57962</v>
      </c>
    </row>
    <row r="6028" spans="1:59" ht="57" x14ac:dyDescent="0.45">
      <c r="A6028" s="2" t="s">
        <v>59</v>
      </c>
      <c r="B6028" s="2" t="s">
        <v>60</v>
      </c>
      <c r="C6028" s="2" t="s">
        <v>57963</v>
      </c>
      <c r="D6028" s="2" t="s">
        <v>57964</v>
      </c>
      <c r="E6028" s="2" t="s">
        <v>57965</v>
      </c>
      <c r="G6028" s="3" t="s">
        <v>62</v>
      </c>
      <c r="I6028" s="3" t="s">
        <v>61</v>
      </c>
      <c r="J6028" s="3" t="s">
        <v>62</v>
      </c>
      <c r="K6028" s="3" t="s">
        <v>63</v>
      </c>
      <c r="M6028" s="2" t="s">
        <v>57966</v>
      </c>
      <c r="N6028" s="3" t="s">
        <v>116</v>
      </c>
      <c r="P6028" s="3" t="s">
        <v>65</v>
      </c>
      <c r="Q6028" s="2" t="s">
        <v>57967</v>
      </c>
      <c r="R6028" s="3" t="s">
        <v>66</v>
      </c>
      <c r="S6028" s="4">
        <v>0</v>
      </c>
      <c r="T6028" s="4">
        <v>1</v>
      </c>
      <c r="V6028" s="5" t="s">
        <v>57968</v>
      </c>
      <c r="W6028" s="5" t="s">
        <v>67</v>
      </c>
      <c r="X6028" s="5" t="s">
        <v>67</v>
      </c>
      <c r="Y6028" s="4">
        <v>259</v>
      </c>
      <c r="Z6028" s="4">
        <v>21</v>
      </c>
      <c r="AA6028" s="4">
        <v>131</v>
      </c>
      <c r="AB6028" s="4">
        <v>2</v>
      </c>
      <c r="AC6028" s="4">
        <v>19</v>
      </c>
      <c r="AD6028" s="4">
        <v>73</v>
      </c>
      <c r="AE6028" s="4">
        <v>138</v>
      </c>
      <c r="AF6028" s="4">
        <v>1</v>
      </c>
      <c r="AG6028" s="4">
        <v>8</v>
      </c>
      <c r="AH6028" s="4">
        <v>63</v>
      </c>
      <c r="AI6028" s="4">
        <v>95</v>
      </c>
      <c r="AJ6028" s="4">
        <v>12</v>
      </c>
      <c r="AK6028" s="4">
        <v>25</v>
      </c>
      <c r="AL6028" s="4">
        <v>35</v>
      </c>
      <c r="AM6028" s="4">
        <v>52</v>
      </c>
      <c r="AN6028" s="4">
        <v>0</v>
      </c>
      <c r="AO6028" s="4">
        <v>0</v>
      </c>
      <c r="AP6028" s="4">
        <v>14</v>
      </c>
      <c r="AQ6028" s="4">
        <v>49</v>
      </c>
      <c r="AR6028" s="3" t="s">
        <v>62</v>
      </c>
      <c r="AS6028" s="3" t="s">
        <v>62</v>
      </c>
      <c r="AT6028" s="3" t="s">
        <v>62</v>
      </c>
      <c r="AV6028" s="6" t="str">
        <f>HYPERLINK("http://mcgill.on.worldcat.org/oclc/793340030","Catalog Record")</f>
        <v>Catalog Record</v>
      </c>
      <c r="AW6028" s="6" t="str">
        <f>HYPERLINK("http://www.worldcat.org/oclc/793340030","WorldCat Record")</f>
        <v>WorldCat Record</v>
      </c>
      <c r="AX6028" s="3" t="s">
        <v>57969</v>
      </c>
      <c r="AY6028" s="3" t="s">
        <v>57970</v>
      </c>
      <c r="AZ6028" s="3" t="s">
        <v>57971</v>
      </c>
      <c r="BA6028" s="3" t="s">
        <v>57971</v>
      </c>
      <c r="BB6028" s="3" t="s">
        <v>57972</v>
      </c>
      <c r="BC6028" s="3" t="s">
        <v>142</v>
      </c>
      <c r="BD6028" s="3" t="s">
        <v>68</v>
      </c>
      <c r="BE6028" s="3" t="s">
        <v>57973</v>
      </c>
      <c r="BF6028" s="3" t="s">
        <v>57972</v>
      </c>
      <c r="BG6028" s="3" t="s">
        <v>57974</v>
      </c>
    </row>
    <row r="6029" spans="1:59" ht="57" x14ac:dyDescent="0.45">
      <c r="A6029" s="2" t="s">
        <v>59</v>
      </c>
      <c r="B6029" s="2" t="s">
        <v>60</v>
      </c>
      <c r="C6029" s="2" t="s">
        <v>57963</v>
      </c>
      <c r="D6029" s="2" t="s">
        <v>57964</v>
      </c>
      <c r="E6029" s="2" t="s">
        <v>57965</v>
      </c>
      <c r="G6029" s="3" t="s">
        <v>62</v>
      </c>
      <c r="I6029" s="3" t="s">
        <v>61</v>
      </c>
      <c r="J6029" s="3" t="s">
        <v>62</v>
      </c>
      <c r="K6029" s="3" t="s">
        <v>63</v>
      </c>
      <c r="M6029" s="2" t="s">
        <v>57966</v>
      </c>
      <c r="N6029" s="3" t="s">
        <v>116</v>
      </c>
      <c r="P6029" s="3" t="s">
        <v>65</v>
      </c>
      <c r="Q6029" s="2" t="s">
        <v>57967</v>
      </c>
      <c r="R6029" s="3" t="s">
        <v>66</v>
      </c>
      <c r="S6029" s="4">
        <v>1</v>
      </c>
      <c r="T6029" s="4">
        <v>1</v>
      </c>
      <c r="U6029" s="5" t="s">
        <v>57968</v>
      </c>
      <c r="V6029" s="5" t="s">
        <v>57968</v>
      </c>
      <c r="W6029" s="5" t="s">
        <v>67</v>
      </c>
      <c r="X6029" s="5" t="s">
        <v>67</v>
      </c>
      <c r="Y6029" s="4">
        <v>259</v>
      </c>
      <c r="Z6029" s="4">
        <v>21</v>
      </c>
      <c r="AA6029" s="4">
        <v>131</v>
      </c>
      <c r="AB6029" s="4">
        <v>2</v>
      </c>
      <c r="AC6029" s="4">
        <v>19</v>
      </c>
      <c r="AD6029" s="4">
        <v>73</v>
      </c>
      <c r="AE6029" s="4">
        <v>138</v>
      </c>
      <c r="AF6029" s="4">
        <v>1</v>
      </c>
      <c r="AG6029" s="4">
        <v>8</v>
      </c>
      <c r="AH6029" s="4">
        <v>63</v>
      </c>
      <c r="AI6029" s="4">
        <v>95</v>
      </c>
      <c r="AJ6029" s="4">
        <v>12</v>
      </c>
      <c r="AK6029" s="4">
        <v>25</v>
      </c>
      <c r="AL6029" s="4">
        <v>35</v>
      </c>
      <c r="AM6029" s="4">
        <v>52</v>
      </c>
      <c r="AN6029" s="4">
        <v>0</v>
      </c>
      <c r="AO6029" s="4">
        <v>0</v>
      </c>
      <c r="AP6029" s="4">
        <v>14</v>
      </c>
      <c r="AQ6029" s="4">
        <v>49</v>
      </c>
      <c r="AR6029" s="3" t="s">
        <v>62</v>
      </c>
      <c r="AS6029" s="3" t="s">
        <v>62</v>
      </c>
      <c r="AT6029" s="3" t="s">
        <v>62</v>
      </c>
      <c r="AV6029" s="6" t="str">
        <f>HYPERLINK("http://mcgill.on.worldcat.org/oclc/793340030","Catalog Record")</f>
        <v>Catalog Record</v>
      </c>
      <c r="AW6029" s="6" t="str">
        <f>HYPERLINK("http://www.worldcat.org/oclc/793340030","WorldCat Record")</f>
        <v>WorldCat Record</v>
      </c>
      <c r="AX6029" s="3" t="s">
        <v>57969</v>
      </c>
      <c r="AY6029" s="3" t="s">
        <v>57970</v>
      </c>
      <c r="AZ6029" s="3" t="s">
        <v>57971</v>
      </c>
      <c r="BA6029" s="3" t="s">
        <v>57971</v>
      </c>
      <c r="BB6029" s="3" t="s">
        <v>57975</v>
      </c>
      <c r="BC6029" s="3" t="s">
        <v>142</v>
      </c>
      <c r="BD6029" s="3" t="s">
        <v>68</v>
      </c>
      <c r="BE6029" s="3" t="s">
        <v>57973</v>
      </c>
      <c r="BF6029" s="3" t="s">
        <v>57975</v>
      </c>
      <c r="BG6029" s="3" t="s">
        <v>57976</v>
      </c>
    </row>
    <row r="6030" spans="1:59" ht="57" x14ac:dyDescent="0.45">
      <c r="A6030" s="2" t="s">
        <v>59</v>
      </c>
      <c r="B6030" s="2" t="s">
        <v>60</v>
      </c>
      <c r="C6030" s="2" t="s">
        <v>57977</v>
      </c>
      <c r="D6030" s="2" t="s">
        <v>57978</v>
      </c>
      <c r="E6030" s="2" t="s">
        <v>57979</v>
      </c>
      <c r="G6030" s="3" t="s">
        <v>62</v>
      </c>
      <c r="I6030" s="3" t="s">
        <v>62</v>
      </c>
      <c r="J6030" s="3" t="s">
        <v>62</v>
      </c>
      <c r="K6030" s="3" t="s">
        <v>63</v>
      </c>
      <c r="L6030" s="2" t="s">
        <v>55790</v>
      </c>
      <c r="M6030" s="2" t="s">
        <v>34062</v>
      </c>
      <c r="N6030" s="3" t="s">
        <v>1465</v>
      </c>
      <c r="P6030" s="3" t="s">
        <v>65</v>
      </c>
      <c r="R6030" s="3" t="s">
        <v>66</v>
      </c>
      <c r="S6030" s="4">
        <v>8</v>
      </c>
      <c r="T6030" s="4">
        <v>8</v>
      </c>
      <c r="U6030" s="5" t="s">
        <v>971</v>
      </c>
      <c r="V6030" s="5" t="s">
        <v>971</v>
      </c>
      <c r="W6030" s="5" t="s">
        <v>67</v>
      </c>
      <c r="X6030" s="5" t="s">
        <v>67</v>
      </c>
      <c r="Y6030" s="4">
        <v>244</v>
      </c>
      <c r="Z6030" s="4">
        <v>14</v>
      </c>
      <c r="AA6030" s="4">
        <v>92</v>
      </c>
      <c r="AB6030" s="4">
        <v>2</v>
      </c>
      <c r="AC6030" s="4">
        <v>17</v>
      </c>
      <c r="AD6030" s="4">
        <v>84</v>
      </c>
      <c r="AE6030" s="4">
        <v>137</v>
      </c>
      <c r="AF6030" s="4">
        <v>1</v>
      </c>
      <c r="AG6030" s="4">
        <v>8</v>
      </c>
      <c r="AH6030" s="4">
        <v>77</v>
      </c>
      <c r="AI6030" s="4">
        <v>95</v>
      </c>
      <c r="AJ6030" s="4">
        <v>9</v>
      </c>
      <c r="AK6030" s="4">
        <v>26</v>
      </c>
      <c r="AL6030" s="4">
        <v>47</v>
      </c>
      <c r="AM6030" s="4">
        <v>52</v>
      </c>
      <c r="AN6030" s="4">
        <v>0</v>
      </c>
      <c r="AO6030" s="4">
        <v>0</v>
      </c>
      <c r="AP6030" s="4">
        <v>12</v>
      </c>
      <c r="AQ6030" s="4">
        <v>52</v>
      </c>
      <c r="AR6030" s="3" t="s">
        <v>62</v>
      </c>
      <c r="AS6030" s="3" t="s">
        <v>62</v>
      </c>
      <c r="AT6030" s="3" t="s">
        <v>62</v>
      </c>
      <c r="AV6030" s="6" t="str">
        <f>HYPERLINK("http://mcgill.on.worldcat.org/oclc/233543886","Catalog Record")</f>
        <v>Catalog Record</v>
      </c>
      <c r="AW6030" s="6" t="str">
        <f>HYPERLINK("http://www.worldcat.org/oclc/233543886","WorldCat Record")</f>
        <v>WorldCat Record</v>
      </c>
      <c r="AX6030" s="3" t="s">
        <v>57980</v>
      </c>
      <c r="AY6030" s="3" t="s">
        <v>57981</v>
      </c>
      <c r="AZ6030" s="3" t="s">
        <v>57982</v>
      </c>
      <c r="BA6030" s="3" t="s">
        <v>57982</v>
      </c>
      <c r="BB6030" s="3" t="s">
        <v>57983</v>
      </c>
      <c r="BC6030" s="3" t="s">
        <v>142</v>
      </c>
      <c r="BD6030" s="3" t="s">
        <v>68</v>
      </c>
      <c r="BE6030" s="3" t="s">
        <v>57984</v>
      </c>
      <c r="BF6030" s="3" t="s">
        <v>57983</v>
      </c>
      <c r="BG6030" s="3" t="s">
        <v>57985</v>
      </c>
    </row>
    <row r="6031" spans="1:59" ht="57" x14ac:dyDescent="0.45">
      <c r="A6031" s="2" t="s">
        <v>59</v>
      </c>
      <c r="B6031" s="2" t="s">
        <v>60</v>
      </c>
      <c r="C6031" s="2" t="s">
        <v>57986</v>
      </c>
      <c r="D6031" s="2" t="s">
        <v>57987</v>
      </c>
      <c r="E6031" s="2" t="s">
        <v>57988</v>
      </c>
      <c r="G6031" s="3" t="s">
        <v>62</v>
      </c>
      <c r="I6031" s="3" t="s">
        <v>62</v>
      </c>
      <c r="J6031" s="3" t="s">
        <v>62</v>
      </c>
      <c r="K6031" s="3" t="s">
        <v>63</v>
      </c>
      <c r="M6031" s="2" t="s">
        <v>57989</v>
      </c>
      <c r="N6031" s="3" t="s">
        <v>1855</v>
      </c>
      <c r="P6031" s="3" t="s">
        <v>65</v>
      </c>
      <c r="R6031" s="3" t="s">
        <v>66</v>
      </c>
      <c r="S6031" s="4">
        <v>10</v>
      </c>
      <c r="T6031" s="4">
        <v>10</v>
      </c>
      <c r="U6031" s="5" t="s">
        <v>57990</v>
      </c>
      <c r="V6031" s="5" t="s">
        <v>57990</v>
      </c>
      <c r="W6031" s="5" t="s">
        <v>67</v>
      </c>
      <c r="X6031" s="5" t="s">
        <v>67</v>
      </c>
      <c r="Y6031" s="4">
        <v>237</v>
      </c>
      <c r="Z6031" s="4">
        <v>18</v>
      </c>
      <c r="AA6031" s="4">
        <v>72</v>
      </c>
      <c r="AB6031" s="4">
        <v>2</v>
      </c>
      <c r="AC6031" s="4">
        <v>20</v>
      </c>
      <c r="AD6031" s="4">
        <v>86</v>
      </c>
      <c r="AE6031" s="4">
        <v>132</v>
      </c>
      <c r="AF6031" s="4">
        <v>1</v>
      </c>
      <c r="AG6031" s="4">
        <v>10</v>
      </c>
      <c r="AH6031" s="4">
        <v>78</v>
      </c>
      <c r="AI6031" s="4">
        <v>93</v>
      </c>
      <c r="AJ6031" s="4">
        <v>15</v>
      </c>
      <c r="AK6031" s="4">
        <v>25</v>
      </c>
      <c r="AL6031" s="4">
        <v>46</v>
      </c>
      <c r="AM6031" s="4">
        <v>51</v>
      </c>
      <c r="AN6031" s="4">
        <v>0</v>
      </c>
      <c r="AO6031" s="4">
        <v>0</v>
      </c>
      <c r="AP6031" s="4">
        <v>16</v>
      </c>
      <c r="AQ6031" s="4">
        <v>47</v>
      </c>
      <c r="AR6031" s="3" t="s">
        <v>62</v>
      </c>
      <c r="AS6031" s="3" t="s">
        <v>62</v>
      </c>
      <c r="AT6031" s="3" t="s">
        <v>62</v>
      </c>
      <c r="AV6031" s="6" t="str">
        <f>HYPERLINK("http://mcgill.on.worldcat.org/oclc/56657384","Catalog Record")</f>
        <v>Catalog Record</v>
      </c>
      <c r="AW6031" s="6" t="str">
        <f>HYPERLINK("http://www.worldcat.org/oclc/56657384","WorldCat Record")</f>
        <v>WorldCat Record</v>
      </c>
      <c r="AX6031" s="3" t="s">
        <v>57991</v>
      </c>
      <c r="AY6031" s="3" t="s">
        <v>57992</v>
      </c>
      <c r="AZ6031" s="3" t="s">
        <v>57993</v>
      </c>
      <c r="BA6031" s="3" t="s">
        <v>57993</v>
      </c>
      <c r="BB6031" s="3" t="s">
        <v>57994</v>
      </c>
      <c r="BC6031" s="3" t="s">
        <v>142</v>
      </c>
      <c r="BD6031" s="3" t="s">
        <v>68</v>
      </c>
      <c r="BE6031" s="3" t="s">
        <v>57995</v>
      </c>
      <c r="BF6031" s="3" t="s">
        <v>57994</v>
      </c>
      <c r="BG6031" s="3" t="s">
        <v>57996</v>
      </c>
    </row>
    <row r="6032" spans="1:59" ht="57" x14ac:dyDescent="0.45">
      <c r="A6032" s="2" t="s">
        <v>59</v>
      </c>
      <c r="B6032" s="2" t="s">
        <v>60</v>
      </c>
      <c r="C6032" s="2" t="s">
        <v>57997</v>
      </c>
      <c r="D6032" s="2" t="s">
        <v>57998</v>
      </c>
      <c r="E6032" s="2" t="s">
        <v>57999</v>
      </c>
      <c r="G6032" s="3" t="s">
        <v>62</v>
      </c>
      <c r="I6032" s="3" t="s">
        <v>62</v>
      </c>
      <c r="J6032" s="3" t="s">
        <v>62</v>
      </c>
      <c r="K6032" s="3" t="s">
        <v>63</v>
      </c>
      <c r="M6032" s="2" t="s">
        <v>19599</v>
      </c>
      <c r="N6032" s="3" t="s">
        <v>820</v>
      </c>
      <c r="P6032" s="3" t="s">
        <v>65</v>
      </c>
      <c r="Q6032" s="2" t="s">
        <v>58000</v>
      </c>
      <c r="R6032" s="3" t="s">
        <v>66</v>
      </c>
      <c r="S6032" s="4">
        <v>3</v>
      </c>
      <c r="T6032" s="4">
        <v>3</v>
      </c>
      <c r="U6032" s="5" t="s">
        <v>7393</v>
      </c>
      <c r="V6032" s="5" t="s">
        <v>7393</v>
      </c>
      <c r="W6032" s="5" t="s">
        <v>67</v>
      </c>
      <c r="X6032" s="5" t="s">
        <v>67</v>
      </c>
      <c r="Y6032" s="4">
        <v>175</v>
      </c>
      <c r="Z6032" s="4">
        <v>22</v>
      </c>
      <c r="AA6032" s="4">
        <v>23</v>
      </c>
      <c r="AB6032" s="4">
        <v>2</v>
      </c>
      <c r="AC6032" s="4">
        <v>3</v>
      </c>
      <c r="AD6032" s="4">
        <v>79</v>
      </c>
      <c r="AE6032" s="4">
        <v>80</v>
      </c>
      <c r="AF6032" s="4">
        <v>1</v>
      </c>
      <c r="AG6032" s="4">
        <v>2</v>
      </c>
      <c r="AH6032" s="4">
        <v>71</v>
      </c>
      <c r="AI6032" s="4">
        <v>72</v>
      </c>
      <c r="AJ6032" s="4">
        <v>15</v>
      </c>
      <c r="AK6032" s="4">
        <v>16</v>
      </c>
      <c r="AL6032" s="4">
        <v>41</v>
      </c>
      <c r="AM6032" s="4">
        <v>41</v>
      </c>
      <c r="AN6032" s="4">
        <v>0</v>
      </c>
      <c r="AO6032" s="4">
        <v>0</v>
      </c>
      <c r="AP6032" s="4">
        <v>17</v>
      </c>
      <c r="AQ6032" s="4">
        <v>18</v>
      </c>
      <c r="AR6032" s="3" t="s">
        <v>62</v>
      </c>
      <c r="AS6032" s="3" t="s">
        <v>62</v>
      </c>
      <c r="AT6032" s="3" t="s">
        <v>61</v>
      </c>
      <c r="AU6032" s="6" t="str">
        <f>HYPERLINK("http://catalog.hathitrust.org/Record/005911916","HathiTrust Record")</f>
        <v>HathiTrust Record</v>
      </c>
      <c r="AV6032" s="6" t="str">
        <f>HYPERLINK("http://mcgill.on.worldcat.org/oclc/226308096","Catalog Record")</f>
        <v>Catalog Record</v>
      </c>
      <c r="AW6032" s="6" t="str">
        <f>HYPERLINK("http://www.worldcat.org/oclc/226308096","WorldCat Record")</f>
        <v>WorldCat Record</v>
      </c>
      <c r="AX6032" s="3" t="s">
        <v>58001</v>
      </c>
      <c r="AY6032" s="3" t="s">
        <v>58002</v>
      </c>
      <c r="AZ6032" s="3" t="s">
        <v>58003</v>
      </c>
      <c r="BA6032" s="3" t="s">
        <v>58003</v>
      </c>
      <c r="BB6032" s="3" t="s">
        <v>58004</v>
      </c>
      <c r="BC6032" s="3" t="s">
        <v>142</v>
      </c>
      <c r="BD6032" s="3" t="s">
        <v>68</v>
      </c>
      <c r="BE6032" s="3" t="s">
        <v>58005</v>
      </c>
      <c r="BF6032" s="3" t="s">
        <v>58004</v>
      </c>
      <c r="BG6032" s="3" t="s">
        <v>58006</v>
      </c>
    </row>
    <row r="6033" spans="1:59" ht="57" x14ac:dyDescent="0.45">
      <c r="A6033" s="2" t="s">
        <v>59</v>
      </c>
      <c r="B6033" s="2" t="s">
        <v>60</v>
      </c>
      <c r="C6033" s="2" t="s">
        <v>58007</v>
      </c>
      <c r="D6033" s="2" t="s">
        <v>58008</v>
      </c>
      <c r="E6033" s="2" t="s">
        <v>58009</v>
      </c>
      <c r="G6033" s="3" t="s">
        <v>62</v>
      </c>
      <c r="I6033" s="3" t="s">
        <v>62</v>
      </c>
      <c r="J6033" s="3" t="s">
        <v>62</v>
      </c>
      <c r="K6033" s="3" t="s">
        <v>63</v>
      </c>
      <c r="M6033" s="2" t="s">
        <v>17930</v>
      </c>
      <c r="N6033" s="3" t="s">
        <v>1253</v>
      </c>
      <c r="P6033" s="3" t="s">
        <v>65</v>
      </c>
      <c r="Q6033" s="2" t="s">
        <v>16292</v>
      </c>
      <c r="R6033" s="3" t="s">
        <v>66</v>
      </c>
      <c r="S6033" s="4">
        <v>49</v>
      </c>
      <c r="T6033" s="4">
        <v>49</v>
      </c>
      <c r="U6033" s="5" t="s">
        <v>55456</v>
      </c>
      <c r="V6033" s="5" t="s">
        <v>55456</v>
      </c>
      <c r="W6033" s="5" t="s">
        <v>67</v>
      </c>
      <c r="X6033" s="5" t="s">
        <v>67</v>
      </c>
      <c r="Y6033" s="4">
        <v>425</v>
      </c>
      <c r="Z6033" s="4">
        <v>32</v>
      </c>
      <c r="AA6033" s="4">
        <v>34</v>
      </c>
      <c r="AB6033" s="4">
        <v>2</v>
      </c>
      <c r="AC6033" s="4">
        <v>4</v>
      </c>
      <c r="AD6033" s="4">
        <v>121</v>
      </c>
      <c r="AE6033" s="4">
        <v>124</v>
      </c>
      <c r="AF6033" s="4">
        <v>1</v>
      </c>
      <c r="AG6033" s="4">
        <v>3</v>
      </c>
      <c r="AH6033" s="4">
        <v>100</v>
      </c>
      <c r="AI6033" s="4">
        <v>102</v>
      </c>
      <c r="AJ6033" s="4">
        <v>20</v>
      </c>
      <c r="AK6033" s="4">
        <v>22</v>
      </c>
      <c r="AL6033" s="4">
        <v>51</v>
      </c>
      <c r="AM6033" s="4">
        <v>51</v>
      </c>
      <c r="AN6033" s="4">
        <v>0</v>
      </c>
      <c r="AO6033" s="4">
        <v>0</v>
      </c>
      <c r="AP6033" s="4">
        <v>26</v>
      </c>
      <c r="AQ6033" s="4">
        <v>28</v>
      </c>
      <c r="AR6033" s="3" t="s">
        <v>62</v>
      </c>
      <c r="AS6033" s="3" t="s">
        <v>62</v>
      </c>
      <c r="AT6033" s="3" t="s">
        <v>61</v>
      </c>
      <c r="AU6033" s="6" t="str">
        <f>HYPERLINK("http://catalog.hathitrust.org/Record/003186379","HathiTrust Record")</f>
        <v>HathiTrust Record</v>
      </c>
      <c r="AV6033" s="6" t="str">
        <f>HYPERLINK("http://mcgill.on.worldcat.org/oclc/36246081","Catalog Record")</f>
        <v>Catalog Record</v>
      </c>
      <c r="AW6033" s="6" t="str">
        <f>HYPERLINK("http://www.worldcat.org/oclc/36246081","WorldCat Record")</f>
        <v>WorldCat Record</v>
      </c>
      <c r="AX6033" s="3" t="s">
        <v>58010</v>
      </c>
      <c r="AY6033" s="3" t="s">
        <v>58011</v>
      </c>
      <c r="AZ6033" s="3" t="s">
        <v>58012</v>
      </c>
      <c r="BA6033" s="3" t="s">
        <v>58012</v>
      </c>
      <c r="BB6033" s="3" t="s">
        <v>58013</v>
      </c>
      <c r="BC6033" s="3" t="s">
        <v>142</v>
      </c>
      <c r="BD6033" s="3" t="s">
        <v>68</v>
      </c>
      <c r="BE6033" s="3" t="s">
        <v>58014</v>
      </c>
      <c r="BF6033" s="3" t="s">
        <v>58013</v>
      </c>
      <c r="BG6033" s="3" t="s">
        <v>58015</v>
      </c>
    </row>
    <row r="6034" spans="1:59" ht="71.25" x14ac:dyDescent="0.45">
      <c r="A6034" s="2" t="s">
        <v>59</v>
      </c>
      <c r="B6034" s="2" t="s">
        <v>60</v>
      </c>
      <c r="C6034" s="2" t="s">
        <v>58016</v>
      </c>
      <c r="D6034" s="2" t="s">
        <v>58017</v>
      </c>
      <c r="E6034" s="2" t="s">
        <v>58018</v>
      </c>
      <c r="G6034" s="3" t="s">
        <v>62</v>
      </c>
      <c r="I6034" s="3" t="s">
        <v>62</v>
      </c>
      <c r="J6034" s="3" t="s">
        <v>62</v>
      </c>
      <c r="K6034" s="3" t="s">
        <v>63</v>
      </c>
      <c r="L6034" s="2" t="s">
        <v>58019</v>
      </c>
      <c r="M6034" s="2" t="s">
        <v>58020</v>
      </c>
      <c r="N6034" s="3" t="s">
        <v>1688</v>
      </c>
      <c r="P6034" s="3" t="s">
        <v>110</v>
      </c>
      <c r="R6034" s="3" t="s">
        <v>66</v>
      </c>
      <c r="S6034" s="4">
        <v>0</v>
      </c>
      <c r="T6034" s="4">
        <v>0</v>
      </c>
      <c r="W6034" s="5" t="s">
        <v>2406</v>
      </c>
      <c r="X6034" s="5" t="s">
        <v>2406</v>
      </c>
      <c r="Y6034" s="4">
        <v>1</v>
      </c>
      <c r="Z6034" s="4">
        <v>1</v>
      </c>
      <c r="AA6034" s="4">
        <v>1</v>
      </c>
      <c r="AB6034" s="4">
        <v>1</v>
      </c>
      <c r="AC6034" s="4">
        <v>1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3" t="s">
        <v>62</v>
      </c>
      <c r="AS6034" s="3" t="s">
        <v>62</v>
      </c>
      <c r="AT6034" s="3" t="s">
        <v>62</v>
      </c>
      <c r="AV6034" s="6" t="str">
        <f>HYPERLINK("http://mcgill.on.worldcat.org/oclc/896967284","Catalog Record")</f>
        <v>Catalog Record</v>
      </c>
      <c r="AW6034" s="6" t="str">
        <f>HYPERLINK("http://www.worldcat.org/oclc/896967284","WorldCat Record")</f>
        <v>WorldCat Record</v>
      </c>
      <c r="AX6034" s="3" t="s">
        <v>58021</v>
      </c>
      <c r="AY6034" s="3" t="s">
        <v>58022</v>
      </c>
      <c r="AZ6034" s="3" t="s">
        <v>58023</v>
      </c>
      <c r="BA6034" s="3" t="s">
        <v>58023</v>
      </c>
      <c r="BB6034" s="3" t="s">
        <v>58024</v>
      </c>
      <c r="BC6034" s="3" t="s">
        <v>142</v>
      </c>
      <c r="BD6034" s="3" t="s">
        <v>68</v>
      </c>
      <c r="BF6034" s="3" t="s">
        <v>58024</v>
      </c>
      <c r="BG6034" s="3" t="s">
        <v>58025</v>
      </c>
    </row>
    <row r="6035" spans="1:59" ht="57" x14ac:dyDescent="0.45">
      <c r="A6035" s="2" t="s">
        <v>59</v>
      </c>
      <c r="B6035" s="2" t="s">
        <v>60</v>
      </c>
      <c r="C6035" s="2" t="s">
        <v>58026</v>
      </c>
      <c r="D6035" s="2" t="s">
        <v>58027</v>
      </c>
      <c r="E6035" s="2" t="s">
        <v>58028</v>
      </c>
      <c r="G6035" s="3" t="s">
        <v>62</v>
      </c>
      <c r="I6035" s="3" t="s">
        <v>62</v>
      </c>
      <c r="J6035" s="3" t="s">
        <v>62</v>
      </c>
      <c r="K6035" s="3" t="s">
        <v>63</v>
      </c>
      <c r="L6035" s="2" t="s">
        <v>58029</v>
      </c>
      <c r="M6035" s="2" t="s">
        <v>58030</v>
      </c>
      <c r="N6035" s="3" t="s">
        <v>970</v>
      </c>
      <c r="P6035" s="3" t="s">
        <v>65</v>
      </c>
      <c r="Q6035" s="2" t="s">
        <v>58031</v>
      </c>
      <c r="R6035" s="3" t="s">
        <v>66</v>
      </c>
      <c r="S6035" s="4">
        <v>10</v>
      </c>
      <c r="T6035" s="4">
        <v>10</v>
      </c>
      <c r="U6035" s="5" t="s">
        <v>12351</v>
      </c>
      <c r="V6035" s="5" t="s">
        <v>12351</v>
      </c>
      <c r="W6035" s="5" t="s">
        <v>67</v>
      </c>
      <c r="X6035" s="5" t="s">
        <v>67</v>
      </c>
      <c r="Y6035" s="4">
        <v>393</v>
      </c>
      <c r="Z6035" s="4">
        <v>36</v>
      </c>
      <c r="AA6035" s="4">
        <v>44</v>
      </c>
      <c r="AB6035" s="4">
        <v>2</v>
      </c>
      <c r="AC6035" s="4">
        <v>6</v>
      </c>
      <c r="AD6035" s="4">
        <v>95</v>
      </c>
      <c r="AE6035" s="4">
        <v>110</v>
      </c>
      <c r="AF6035" s="4">
        <v>1</v>
      </c>
      <c r="AG6035" s="4">
        <v>4</v>
      </c>
      <c r="AH6035" s="4">
        <v>74</v>
      </c>
      <c r="AI6035" s="4">
        <v>84</v>
      </c>
      <c r="AJ6035" s="4">
        <v>19</v>
      </c>
      <c r="AK6035" s="4">
        <v>23</v>
      </c>
      <c r="AL6035" s="4">
        <v>37</v>
      </c>
      <c r="AM6035" s="4">
        <v>40</v>
      </c>
      <c r="AN6035" s="4">
        <v>0</v>
      </c>
      <c r="AO6035" s="4">
        <v>0</v>
      </c>
      <c r="AP6035" s="4">
        <v>29</v>
      </c>
      <c r="AQ6035" s="4">
        <v>35</v>
      </c>
      <c r="AR6035" s="3" t="s">
        <v>62</v>
      </c>
      <c r="AS6035" s="3" t="s">
        <v>62</v>
      </c>
      <c r="AT6035" s="3" t="s">
        <v>61</v>
      </c>
      <c r="AU6035" s="6" t="str">
        <f>HYPERLINK("http://catalog.hathitrust.org/Record/003795341","HathiTrust Record")</f>
        <v>HathiTrust Record</v>
      </c>
      <c r="AV6035" s="6" t="str">
        <f>HYPERLINK("http://mcgill.on.worldcat.org/oclc/49225323","Catalog Record")</f>
        <v>Catalog Record</v>
      </c>
      <c r="AW6035" s="6" t="str">
        <f>HYPERLINK("http://www.worldcat.org/oclc/49225323","WorldCat Record")</f>
        <v>WorldCat Record</v>
      </c>
      <c r="AX6035" s="3" t="s">
        <v>58032</v>
      </c>
      <c r="AY6035" s="3" t="s">
        <v>58033</v>
      </c>
      <c r="AZ6035" s="3" t="s">
        <v>58034</v>
      </c>
      <c r="BA6035" s="3" t="s">
        <v>58034</v>
      </c>
      <c r="BB6035" s="3" t="s">
        <v>58035</v>
      </c>
      <c r="BC6035" s="3" t="s">
        <v>142</v>
      </c>
      <c r="BD6035" s="3" t="s">
        <v>68</v>
      </c>
      <c r="BE6035" s="3" t="s">
        <v>58036</v>
      </c>
      <c r="BF6035" s="3" t="s">
        <v>58035</v>
      </c>
      <c r="BG6035" s="3" t="s">
        <v>58037</v>
      </c>
    </row>
    <row r="6036" spans="1:59" ht="57" x14ac:dyDescent="0.45">
      <c r="A6036" s="2" t="s">
        <v>59</v>
      </c>
      <c r="B6036" s="2" t="s">
        <v>60</v>
      </c>
      <c r="C6036" s="2" t="s">
        <v>58038</v>
      </c>
      <c r="D6036" s="2" t="s">
        <v>58039</v>
      </c>
      <c r="E6036" s="2" t="s">
        <v>58040</v>
      </c>
      <c r="G6036" s="3" t="s">
        <v>62</v>
      </c>
      <c r="I6036" s="3" t="s">
        <v>62</v>
      </c>
      <c r="J6036" s="3" t="s">
        <v>62</v>
      </c>
      <c r="K6036" s="3" t="s">
        <v>63</v>
      </c>
      <c r="L6036" s="2" t="s">
        <v>58041</v>
      </c>
      <c r="M6036" s="2" t="s">
        <v>6141</v>
      </c>
      <c r="N6036" s="3" t="s">
        <v>894</v>
      </c>
      <c r="P6036" s="3" t="s">
        <v>65</v>
      </c>
      <c r="R6036" s="3" t="s">
        <v>66</v>
      </c>
      <c r="S6036" s="4">
        <v>0</v>
      </c>
      <c r="T6036" s="4">
        <v>0</v>
      </c>
      <c r="W6036" s="5" t="s">
        <v>67</v>
      </c>
      <c r="X6036" s="5" t="s">
        <v>67</v>
      </c>
      <c r="Y6036" s="4">
        <v>127</v>
      </c>
      <c r="Z6036" s="4">
        <v>15</v>
      </c>
      <c r="AA6036" s="4">
        <v>79</v>
      </c>
      <c r="AB6036" s="4">
        <v>1</v>
      </c>
      <c r="AC6036" s="4">
        <v>15</v>
      </c>
      <c r="AD6036" s="4">
        <v>59</v>
      </c>
      <c r="AE6036" s="4">
        <v>118</v>
      </c>
      <c r="AF6036" s="4">
        <v>0</v>
      </c>
      <c r="AG6036" s="4">
        <v>8</v>
      </c>
      <c r="AH6036" s="4">
        <v>56</v>
      </c>
      <c r="AI6036" s="4">
        <v>85</v>
      </c>
      <c r="AJ6036" s="4">
        <v>11</v>
      </c>
      <c r="AK6036" s="4">
        <v>22</v>
      </c>
      <c r="AL6036" s="4">
        <v>29</v>
      </c>
      <c r="AM6036" s="4">
        <v>43</v>
      </c>
      <c r="AN6036" s="4">
        <v>0</v>
      </c>
      <c r="AO6036" s="4">
        <v>0</v>
      </c>
      <c r="AP6036" s="4">
        <v>12</v>
      </c>
      <c r="AQ6036" s="4">
        <v>42</v>
      </c>
      <c r="AR6036" s="3" t="s">
        <v>62</v>
      </c>
      <c r="AS6036" s="3" t="s">
        <v>62</v>
      </c>
      <c r="AT6036" s="3" t="s">
        <v>62</v>
      </c>
      <c r="AV6036" s="6" t="str">
        <f>HYPERLINK("http://mcgill.on.worldcat.org/oclc/670324906","Catalog Record")</f>
        <v>Catalog Record</v>
      </c>
      <c r="AW6036" s="6" t="str">
        <f>HYPERLINK("http://www.worldcat.org/oclc/670324906","WorldCat Record")</f>
        <v>WorldCat Record</v>
      </c>
      <c r="AX6036" s="3" t="s">
        <v>58042</v>
      </c>
      <c r="AY6036" s="3" t="s">
        <v>58043</v>
      </c>
      <c r="AZ6036" s="3" t="s">
        <v>58044</v>
      </c>
      <c r="BA6036" s="3" t="s">
        <v>58044</v>
      </c>
      <c r="BB6036" s="3" t="s">
        <v>58045</v>
      </c>
      <c r="BC6036" s="3" t="s">
        <v>142</v>
      </c>
      <c r="BD6036" s="3" t="s">
        <v>68</v>
      </c>
      <c r="BE6036" s="3" t="s">
        <v>58046</v>
      </c>
      <c r="BF6036" s="3" t="s">
        <v>58045</v>
      </c>
      <c r="BG6036" s="3" t="s">
        <v>58047</v>
      </c>
    </row>
    <row r="6037" spans="1:59" ht="57" x14ac:dyDescent="0.45">
      <c r="A6037" s="2" t="s">
        <v>59</v>
      </c>
      <c r="B6037" s="2" t="s">
        <v>60</v>
      </c>
      <c r="C6037" s="2" t="s">
        <v>58048</v>
      </c>
      <c r="D6037" s="2" t="s">
        <v>58049</v>
      </c>
      <c r="E6037" s="2" t="s">
        <v>58050</v>
      </c>
      <c r="G6037" s="3" t="s">
        <v>62</v>
      </c>
      <c r="I6037" s="3" t="s">
        <v>62</v>
      </c>
      <c r="J6037" s="3" t="s">
        <v>62</v>
      </c>
      <c r="K6037" s="3" t="s">
        <v>63</v>
      </c>
      <c r="M6037" s="2" t="s">
        <v>2822</v>
      </c>
      <c r="N6037" s="3" t="s">
        <v>894</v>
      </c>
      <c r="P6037" s="3" t="s">
        <v>65</v>
      </c>
      <c r="Q6037" s="2" t="s">
        <v>58051</v>
      </c>
      <c r="R6037" s="3" t="s">
        <v>66</v>
      </c>
      <c r="S6037" s="4">
        <v>0</v>
      </c>
      <c r="T6037" s="4">
        <v>0</v>
      </c>
      <c r="W6037" s="5" t="s">
        <v>67</v>
      </c>
      <c r="X6037" s="5" t="s">
        <v>67</v>
      </c>
      <c r="Y6037" s="4">
        <v>79</v>
      </c>
      <c r="Z6037" s="4">
        <v>8</v>
      </c>
      <c r="AA6037" s="4">
        <v>124</v>
      </c>
      <c r="AB6037" s="4">
        <v>1</v>
      </c>
      <c r="AC6037" s="4">
        <v>17</v>
      </c>
      <c r="AD6037" s="4">
        <v>39</v>
      </c>
      <c r="AE6037" s="4">
        <v>121</v>
      </c>
      <c r="AF6037" s="4">
        <v>0</v>
      </c>
      <c r="AG6037" s="4">
        <v>8</v>
      </c>
      <c r="AH6037" s="4">
        <v>37</v>
      </c>
      <c r="AI6037" s="4">
        <v>81</v>
      </c>
      <c r="AJ6037" s="4">
        <v>6</v>
      </c>
      <c r="AK6037" s="4">
        <v>23</v>
      </c>
      <c r="AL6037" s="4">
        <v>26</v>
      </c>
      <c r="AM6037" s="4">
        <v>45</v>
      </c>
      <c r="AN6037" s="4">
        <v>0</v>
      </c>
      <c r="AO6037" s="4">
        <v>0</v>
      </c>
      <c r="AP6037" s="4">
        <v>6</v>
      </c>
      <c r="AQ6037" s="4">
        <v>46</v>
      </c>
      <c r="AR6037" s="3" t="s">
        <v>62</v>
      </c>
      <c r="AS6037" s="3" t="s">
        <v>62</v>
      </c>
      <c r="AT6037" s="3" t="s">
        <v>62</v>
      </c>
      <c r="AV6037" s="6" t="str">
        <f>HYPERLINK("http://mcgill.on.worldcat.org/oclc/661048245","Catalog Record")</f>
        <v>Catalog Record</v>
      </c>
      <c r="AW6037" s="6" t="str">
        <f>HYPERLINK("http://www.worldcat.org/oclc/661048245","WorldCat Record")</f>
        <v>WorldCat Record</v>
      </c>
      <c r="AX6037" s="3" t="s">
        <v>58052</v>
      </c>
      <c r="AY6037" s="3" t="s">
        <v>58053</v>
      </c>
      <c r="AZ6037" s="3" t="s">
        <v>58054</v>
      </c>
      <c r="BA6037" s="3" t="s">
        <v>58054</v>
      </c>
      <c r="BB6037" s="3" t="s">
        <v>58055</v>
      </c>
      <c r="BC6037" s="3" t="s">
        <v>142</v>
      </c>
      <c r="BD6037" s="3" t="s">
        <v>68</v>
      </c>
      <c r="BE6037" s="3" t="s">
        <v>58056</v>
      </c>
      <c r="BF6037" s="3" t="s">
        <v>58055</v>
      </c>
      <c r="BG6037" s="3" t="s">
        <v>58057</v>
      </c>
    </row>
    <row r="6038" spans="1:59" ht="57" x14ac:dyDescent="0.45">
      <c r="A6038" s="2" t="s">
        <v>59</v>
      </c>
      <c r="B6038" s="2" t="s">
        <v>60</v>
      </c>
      <c r="C6038" s="2" t="s">
        <v>58058</v>
      </c>
      <c r="D6038" s="2" t="s">
        <v>58059</v>
      </c>
      <c r="E6038" s="2" t="s">
        <v>58060</v>
      </c>
      <c r="G6038" s="3" t="s">
        <v>62</v>
      </c>
      <c r="I6038" s="3" t="s">
        <v>62</v>
      </c>
      <c r="J6038" s="3" t="s">
        <v>62</v>
      </c>
      <c r="K6038" s="3" t="s">
        <v>63</v>
      </c>
      <c r="M6038" s="2" t="s">
        <v>4162</v>
      </c>
      <c r="N6038" s="3" t="s">
        <v>894</v>
      </c>
      <c r="P6038" s="3" t="s">
        <v>65</v>
      </c>
      <c r="Q6038" s="2" t="s">
        <v>58061</v>
      </c>
      <c r="R6038" s="3" t="s">
        <v>66</v>
      </c>
      <c r="S6038" s="4">
        <v>1</v>
      </c>
      <c r="T6038" s="4">
        <v>1</v>
      </c>
      <c r="U6038" s="5" t="s">
        <v>8465</v>
      </c>
      <c r="V6038" s="5" t="s">
        <v>8465</v>
      </c>
      <c r="W6038" s="5" t="s">
        <v>67</v>
      </c>
      <c r="X6038" s="5" t="s">
        <v>67</v>
      </c>
      <c r="Y6038" s="4">
        <v>57</v>
      </c>
      <c r="Z6038" s="4">
        <v>10</v>
      </c>
      <c r="AA6038" s="4">
        <v>88</v>
      </c>
      <c r="AB6038" s="4">
        <v>2</v>
      </c>
      <c r="AC6038" s="4">
        <v>17</v>
      </c>
      <c r="AD6038" s="4">
        <v>32</v>
      </c>
      <c r="AE6038" s="4">
        <v>109</v>
      </c>
      <c r="AF6038" s="4">
        <v>1</v>
      </c>
      <c r="AG6038" s="4">
        <v>8</v>
      </c>
      <c r="AH6038" s="4">
        <v>29</v>
      </c>
      <c r="AI6038" s="4">
        <v>74</v>
      </c>
      <c r="AJ6038" s="4">
        <v>8</v>
      </c>
      <c r="AK6038" s="4">
        <v>22</v>
      </c>
      <c r="AL6038" s="4">
        <v>18</v>
      </c>
      <c r="AM6038" s="4">
        <v>39</v>
      </c>
      <c r="AN6038" s="4">
        <v>0</v>
      </c>
      <c r="AO6038" s="4">
        <v>0</v>
      </c>
      <c r="AP6038" s="4">
        <v>8</v>
      </c>
      <c r="AQ6038" s="4">
        <v>43</v>
      </c>
      <c r="AR6038" s="3" t="s">
        <v>62</v>
      </c>
      <c r="AS6038" s="3" t="s">
        <v>62</v>
      </c>
      <c r="AT6038" s="3" t="s">
        <v>62</v>
      </c>
      <c r="AV6038" s="6" t="str">
        <f>HYPERLINK("http://mcgill.on.worldcat.org/oclc/747947335","Catalog Record")</f>
        <v>Catalog Record</v>
      </c>
      <c r="AW6038" s="6" t="str">
        <f>HYPERLINK("http://www.worldcat.org/oclc/747947335","WorldCat Record")</f>
        <v>WorldCat Record</v>
      </c>
      <c r="AX6038" s="3" t="s">
        <v>58062</v>
      </c>
      <c r="AY6038" s="3" t="s">
        <v>58063</v>
      </c>
      <c r="AZ6038" s="3" t="s">
        <v>58064</v>
      </c>
      <c r="BA6038" s="3" t="s">
        <v>58064</v>
      </c>
      <c r="BB6038" s="3" t="s">
        <v>58065</v>
      </c>
      <c r="BC6038" s="3" t="s">
        <v>142</v>
      </c>
      <c r="BD6038" s="3" t="s">
        <v>68</v>
      </c>
      <c r="BE6038" s="3" t="s">
        <v>58066</v>
      </c>
      <c r="BF6038" s="3" t="s">
        <v>58065</v>
      </c>
      <c r="BG6038" s="3" t="s">
        <v>58067</v>
      </c>
    </row>
    <row r="6039" spans="1:59" ht="57" x14ac:dyDescent="0.45">
      <c r="A6039" s="2" t="s">
        <v>59</v>
      </c>
      <c r="B6039" s="2" t="s">
        <v>60</v>
      </c>
      <c r="C6039" s="2" t="s">
        <v>58068</v>
      </c>
      <c r="D6039" s="2" t="s">
        <v>58069</v>
      </c>
      <c r="E6039" s="2" t="s">
        <v>58070</v>
      </c>
      <c r="G6039" s="3" t="s">
        <v>62</v>
      </c>
      <c r="I6039" s="3" t="s">
        <v>62</v>
      </c>
      <c r="J6039" s="3" t="s">
        <v>62</v>
      </c>
      <c r="K6039" s="3" t="s">
        <v>63</v>
      </c>
      <c r="L6039" s="2" t="s">
        <v>58071</v>
      </c>
      <c r="M6039" s="2" t="s">
        <v>26950</v>
      </c>
      <c r="N6039" s="3" t="s">
        <v>116</v>
      </c>
      <c r="P6039" s="3" t="s">
        <v>65</v>
      </c>
      <c r="Q6039" s="2" t="s">
        <v>58072</v>
      </c>
      <c r="R6039" s="3" t="s">
        <v>66</v>
      </c>
      <c r="S6039" s="4">
        <v>0</v>
      </c>
      <c r="T6039" s="4">
        <v>0</v>
      </c>
      <c r="W6039" s="5" t="s">
        <v>67</v>
      </c>
      <c r="X6039" s="5" t="s">
        <v>67</v>
      </c>
      <c r="Y6039" s="4">
        <v>79</v>
      </c>
      <c r="Z6039" s="4">
        <v>14</v>
      </c>
      <c r="AA6039" s="4">
        <v>20</v>
      </c>
      <c r="AB6039" s="4">
        <v>1</v>
      </c>
      <c r="AC6039" s="4">
        <v>3</v>
      </c>
      <c r="AD6039" s="4">
        <v>38</v>
      </c>
      <c r="AE6039" s="4">
        <v>44</v>
      </c>
      <c r="AF6039" s="4">
        <v>0</v>
      </c>
      <c r="AG6039" s="4">
        <v>0</v>
      </c>
      <c r="AH6039" s="4">
        <v>33</v>
      </c>
      <c r="AI6039" s="4">
        <v>37</v>
      </c>
      <c r="AJ6039" s="4">
        <v>9</v>
      </c>
      <c r="AK6039" s="4">
        <v>12</v>
      </c>
      <c r="AL6039" s="4">
        <v>22</v>
      </c>
      <c r="AM6039" s="4">
        <v>23</v>
      </c>
      <c r="AN6039" s="4">
        <v>0</v>
      </c>
      <c r="AO6039" s="4">
        <v>0</v>
      </c>
      <c r="AP6039" s="4">
        <v>11</v>
      </c>
      <c r="AQ6039" s="4">
        <v>15</v>
      </c>
      <c r="AR6039" s="3" t="s">
        <v>62</v>
      </c>
      <c r="AS6039" s="3" t="s">
        <v>62</v>
      </c>
      <c r="AT6039" s="3" t="s">
        <v>62</v>
      </c>
      <c r="AV6039" s="6" t="str">
        <f>HYPERLINK("http://mcgill.on.worldcat.org/oclc/849209695","Catalog Record")</f>
        <v>Catalog Record</v>
      </c>
      <c r="AW6039" s="6" t="str">
        <f>HYPERLINK("http://www.worldcat.org/oclc/849209695","WorldCat Record")</f>
        <v>WorldCat Record</v>
      </c>
      <c r="AX6039" s="3" t="s">
        <v>58073</v>
      </c>
      <c r="AY6039" s="3" t="s">
        <v>58074</v>
      </c>
      <c r="AZ6039" s="3" t="s">
        <v>58075</v>
      </c>
      <c r="BA6039" s="3" t="s">
        <v>58075</v>
      </c>
      <c r="BB6039" s="3" t="s">
        <v>58076</v>
      </c>
      <c r="BC6039" s="3" t="s">
        <v>142</v>
      </c>
      <c r="BD6039" s="3" t="s">
        <v>68</v>
      </c>
      <c r="BE6039" s="3" t="s">
        <v>58077</v>
      </c>
      <c r="BF6039" s="3" t="s">
        <v>58076</v>
      </c>
      <c r="BG6039" s="3" t="s">
        <v>58078</v>
      </c>
    </row>
    <row r="6040" spans="1:59" ht="85.5" x14ac:dyDescent="0.45">
      <c r="A6040" s="2" t="s">
        <v>59</v>
      </c>
      <c r="B6040" s="2" t="s">
        <v>5257</v>
      </c>
      <c r="C6040" s="2" t="s">
        <v>58079</v>
      </c>
      <c r="D6040" s="2" t="s">
        <v>58080</v>
      </c>
      <c r="E6040" s="2" t="s">
        <v>58081</v>
      </c>
      <c r="G6040" s="3" t="s">
        <v>62</v>
      </c>
      <c r="I6040" s="3" t="s">
        <v>62</v>
      </c>
      <c r="J6040" s="3" t="s">
        <v>62</v>
      </c>
      <c r="K6040" s="3" t="s">
        <v>63</v>
      </c>
      <c r="M6040" s="2" t="s">
        <v>21345</v>
      </c>
      <c r="N6040" s="3" t="s">
        <v>894</v>
      </c>
      <c r="P6040" s="3" t="s">
        <v>65</v>
      </c>
      <c r="R6040" s="3" t="s">
        <v>66</v>
      </c>
      <c r="S6040" s="4">
        <v>0</v>
      </c>
      <c r="T6040" s="4">
        <v>0</v>
      </c>
      <c r="W6040" s="5" t="s">
        <v>67</v>
      </c>
      <c r="X6040" s="5" t="s">
        <v>67</v>
      </c>
      <c r="Y6040" s="4">
        <v>78</v>
      </c>
      <c r="Z6040" s="4">
        <v>10</v>
      </c>
      <c r="AA6040" s="4">
        <v>82</v>
      </c>
      <c r="AB6040" s="4">
        <v>1</v>
      </c>
      <c r="AC6040" s="4">
        <v>14</v>
      </c>
      <c r="AD6040" s="4">
        <v>38</v>
      </c>
      <c r="AE6040" s="4">
        <v>101</v>
      </c>
      <c r="AF6040" s="4">
        <v>0</v>
      </c>
      <c r="AG6040" s="4">
        <v>8</v>
      </c>
      <c r="AH6040" s="4">
        <v>36</v>
      </c>
      <c r="AI6040" s="4">
        <v>67</v>
      </c>
      <c r="AJ6040" s="4">
        <v>8</v>
      </c>
      <c r="AK6040" s="4">
        <v>23</v>
      </c>
      <c r="AL6040" s="4">
        <v>25</v>
      </c>
      <c r="AM6040" s="4">
        <v>37</v>
      </c>
      <c r="AN6040" s="4">
        <v>0</v>
      </c>
      <c r="AO6040" s="4">
        <v>0</v>
      </c>
      <c r="AP6040" s="4">
        <v>8</v>
      </c>
      <c r="AQ6040" s="4">
        <v>43</v>
      </c>
      <c r="AR6040" s="3" t="s">
        <v>62</v>
      </c>
      <c r="AS6040" s="3" t="s">
        <v>62</v>
      </c>
      <c r="AT6040" s="3" t="s">
        <v>62</v>
      </c>
      <c r="AV6040" s="6" t="str">
        <f>HYPERLINK("http://mcgill.on.worldcat.org/oclc/703391617","Catalog Record")</f>
        <v>Catalog Record</v>
      </c>
      <c r="AW6040" s="6" t="str">
        <f>HYPERLINK("http://www.worldcat.org/oclc/703391617","WorldCat Record")</f>
        <v>WorldCat Record</v>
      </c>
      <c r="AX6040" s="3" t="s">
        <v>58082</v>
      </c>
      <c r="AY6040" s="3" t="s">
        <v>58083</v>
      </c>
      <c r="AZ6040" s="3" t="s">
        <v>58084</v>
      </c>
      <c r="BA6040" s="3" t="s">
        <v>58084</v>
      </c>
      <c r="BB6040" s="3" t="s">
        <v>58085</v>
      </c>
      <c r="BC6040" s="3" t="s">
        <v>142</v>
      </c>
      <c r="BD6040" s="3" t="s">
        <v>68</v>
      </c>
      <c r="BE6040" s="3" t="s">
        <v>58086</v>
      </c>
      <c r="BF6040" s="3" t="s">
        <v>58085</v>
      </c>
      <c r="BG6040" s="3" t="s">
        <v>58087</v>
      </c>
    </row>
    <row r="6041" spans="1:59" ht="57" x14ac:dyDescent="0.45">
      <c r="A6041" s="2" t="s">
        <v>59</v>
      </c>
      <c r="B6041" s="2" t="s">
        <v>60</v>
      </c>
      <c r="C6041" s="2" t="s">
        <v>58088</v>
      </c>
      <c r="D6041" s="2" t="s">
        <v>58089</v>
      </c>
      <c r="E6041" s="2" t="s">
        <v>58090</v>
      </c>
      <c r="G6041" s="3" t="s">
        <v>62</v>
      </c>
      <c r="I6041" s="3" t="s">
        <v>62</v>
      </c>
      <c r="J6041" s="3" t="s">
        <v>62</v>
      </c>
      <c r="K6041" s="3" t="s">
        <v>63</v>
      </c>
      <c r="M6041" s="2" t="s">
        <v>12768</v>
      </c>
      <c r="N6041" s="3" t="s">
        <v>1478</v>
      </c>
      <c r="P6041" s="3" t="s">
        <v>65</v>
      </c>
      <c r="R6041" s="3" t="s">
        <v>66</v>
      </c>
      <c r="S6041" s="4">
        <v>30</v>
      </c>
      <c r="T6041" s="4">
        <v>30</v>
      </c>
      <c r="U6041" s="5" t="s">
        <v>49045</v>
      </c>
      <c r="V6041" s="5" t="s">
        <v>49045</v>
      </c>
      <c r="W6041" s="5" t="s">
        <v>67</v>
      </c>
      <c r="X6041" s="5" t="s">
        <v>67</v>
      </c>
      <c r="Y6041" s="4">
        <v>282</v>
      </c>
      <c r="Z6041" s="4">
        <v>18</v>
      </c>
      <c r="AA6041" s="4">
        <v>58</v>
      </c>
      <c r="AB6041" s="4">
        <v>2</v>
      </c>
      <c r="AC6041" s="4">
        <v>17</v>
      </c>
      <c r="AD6041" s="4">
        <v>85</v>
      </c>
      <c r="AE6041" s="4">
        <v>117</v>
      </c>
      <c r="AF6041" s="4">
        <v>1</v>
      </c>
      <c r="AG6041" s="4">
        <v>8</v>
      </c>
      <c r="AH6041" s="4">
        <v>75</v>
      </c>
      <c r="AI6041" s="4">
        <v>79</v>
      </c>
      <c r="AJ6041" s="4">
        <v>14</v>
      </c>
      <c r="AK6041" s="4">
        <v>21</v>
      </c>
      <c r="AL6041" s="4">
        <v>43</v>
      </c>
      <c r="AM6041" s="4">
        <v>43</v>
      </c>
      <c r="AN6041" s="4">
        <v>0</v>
      </c>
      <c r="AO6041" s="4">
        <v>0</v>
      </c>
      <c r="AP6041" s="4">
        <v>16</v>
      </c>
      <c r="AQ6041" s="4">
        <v>45</v>
      </c>
      <c r="AR6041" s="3" t="s">
        <v>62</v>
      </c>
      <c r="AS6041" s="3" t="s">
        <v>62</v>
      </c>
      <c r="AT6041" s="3" t="s">
        <v>62</v>
      </c>
      <c r="AV6041" s="6" t="str">
        <f>HYPERLINK("http://mcgill.on.worldcat.org/oclc/32396733","Catalog Record")</f>
        <v>Catalog Record</v>
      </c>
      <c r="AW6041" s="6" t="str">
        <f>HYPERLINK("http://www.worldcat.org/oclc/32396733","WorldCat Record")</f>
        <v>WorldCat Record</v>
      </c>
      <c r="AX6041" s="3" t="s">
        <v>58091</v>
      </c>
      <c r="AY6041" s="3" t="s">
        <v>58092</v>
      </c>
      <c r="AZ6041" s="3" t="s">
        <v>58093</v>
      </c>
      <c r="BA6041" s="3" t="s">
        <v>58093</v>
      </c>
      <c r="BB6041" s="3" t="s">
        <v>58094</v>
      </c>
      <c r="BC6041" s="3" t="s">
        <v>142</v>
      </c>
      <c r="BD6041" s="3" t="s">
        <v>308</v>
      </c>
      <c r="BE6041" s="3" t="s">
        <v>58095</v>
      </c>
      <c r="BF6041" s="3" t="s">
        <v>58094</v>
      </c>
      <c r="BG6041" s="3" t="s">
        <v>58096</v>
      </c>
    </row>
    <row r="6042" spans="1:59" ht="57" x14ac:dyDescent="0.45">
      <c r="A6042" s="2" t="s">
        <v>59</v>
      </c>
      <c r="B6042" s="2" t="s">
        <v>60</v>
      </c>
      <c r="C6042" s="2" t="s">
        <v>58097</v>
      </c>
      <c r="D6042" s="2" t="s">
        <v>58098</v>
      </c>
      <c r="E6042" s="2" t="s">
        <v>58099</v>
      </c>
      <c r="G6042" s="3" t="s">
        <v>62</v>
      </c>
      <c r="I6042" s="3" t="s">
        <v>62</v>
      </c>
      <c r="J6042" s="3" t="s">
        <v>62</v>
      </c>
      <c r="K6042" s="3" t="s">
        <v>63</v>
      </c>
      <c r="L6042" s="2" t="s">
        <v>58100</v>
      </c>
      <c r="M6042" s="2" t="s">
        <v>58101</v>
      </c>
      <c r="N6042" s="3" t="s">
        <v>1059</v>
      </c>
      <c r="P6042" s="3" t="s">
        <v>65</v>
      </c>
      <c r="Q6042" s="2" t="s">
        <v>10572</v>
      </c>
      <c r="R6042" s="3" t="s">
        <v>66</v>
      </c>
      <c r="S6042" s="4">
        <v>5</v>
      </c>
      <c r="T6042" s="4">
        <v>5</v>
      </c>
      <c r="U6042" s="5" t="s">
        <v>544</v>
      </c>
      <c r="V6042" s="5" t="s">
        <v>544</v>
      </c>
      <c r="W6042" s="5" t="s">
        <v>67</v>
      </c>
      <c r="X6042" s="5" t="s">
        <v>67</v>
      </c>
      <c r="Y6042" s="4">
        <v>165</v>
      </c>
      <c r="Z6042" s="4">
        <v>22</v>
      </c>
      <c r="AA6042" s="4">
        <v>84</v>
      </c>
      <c r="AB6042" s="4">
        <v>2</v>
      </c>
      <c r="AC6042" s="4">
        <v>15</v>
      </c>
      <c r="AD6042" s="4">
        <v>59</v>
      </c>
      <c r="AE6042" s="4">
        <v>110</v>
      </c>
      <c r="AF6042" s="4">
        <v>1</v>
      </c>
      <c r="AG6042" s="4">
        <v>8</v>
      </c>
      <c r="AH6042" s="4">
        <v>49</v>
      </c>
      <c r="AI6042" s="4">
        <v>76</v>
      </c>
      <c r="AJ6042" s="4">
        <v>16</v>
      </c>
      <c r="AK6042" s="4">
        <v>25</v>
      </c>
      <c r="AL6042" s="4">
        <v>22</v>
      </c>
      <c r="AM6042" s="4">
        <v>35</v>
      </c>
      <c r="AN6042" s="4">
        <v>0</v>
      </c>
      <c r="AO6042" s="4">
        <v>0</v>
      </c>
      <c r="AP6042" s="4">
        <v>19</v>
      </c>
      <c r="AQ6042" s="4">
        <v>45</v>
      </c>
      <c r="AR6042" s="3" t="s">
        <v>62</v>
      </c>
      <c r="AS6042" s="3" t="s">
        <v>62</v>
      </c>
      <c r="AT6042" s="3" t="s">
        <v>62</v>
      </c>
      <c r="AV6042" s="6" t="str">
        <f>HYPERLINK("http://mcgill.on.worldcat.org/oclc/61178165","Catalog Record")</f>
        <v>Catalog Record</v>
      </c>
      <c r="AW6042" s="6" t="str">
        <f>HYPERLINK("http://www.worldcat.org/oclc/61178165","WorldCat Record")</f>
        <v>WorldCat Record</v>
      </c>
      <c r="AX6042" s="3" t="s">
        <v>58102</v>
      </c>
      <c r="AY6042" s="3" t="s">
        <v>58103</v>
      </c>
      <c r="AZ6042" s="3" t="s">
        <v>58104</v>
      </c>
      <c r="BA6042" s="3" t="s">
        <v>58104</v>
      </c>
      <c r="BB6042" s="3" t="s">
        <v>58105</v>
      </c>
      <c r="BC6042" s="3" t="s">
        <v>142</v>
      </c>
      <c r="BD6042" s="3" t="s">
        <v>68</v>
      </c>
      <c r="BE6042" s="3" t="s">
        <v>58106</v>
      </c>
      <c r="BF6042" s="3" t="s">
        <v>58105</v>
      </c>
      <c r="BG6042" s="3" t="s">
        <v>58107</v>
      </c>
    </row>
    <row r="6043" spans="1:59" ht="57" x14ac:dyDescent="0.45">
      <c r="A6043" s="2" t="s">
        <v>59</v>
      </c>
      <c r="B6043" s="2" t="s">
        <v>60</v>
      </c>
      <c r="C6043" s="2" t="s">
        <v>58108</v>
      </c>
      <c r="D6043" s="2" t="s">
        <v>58109</v>
      </c>
      <c r="E6043" s="2" t="s">
        <v>58110</v>
      </c>
      <c r="G6043" s="3" t="s">
        <v>62</v>
      </c>
      <c r="I6043" s="3" t="s">
        <v>62</v>
      </c>
      <c r="J6043" s="3" t="s">
        <v>62</v>
      </c>
      <c r="K6043" s="3" t="s">
        <v>63</v>
      </c>
      <c r="M6043" s="2" t="s">
        <v>58111</v>
      </c>
      <c r="N6043" s="3" t="s">
        <v>1155</v>
      </c>
      <c r="O6043" s="2" t="s">
        <v>168</v>
      </c>
      <c r="P6043" s="3" t="s">
        <v>65</v>
      </c>
      <c r="Q6043" s="2" t="s">
        <v>37027</v>
      </c>
      <c r="R6043" s="3" t="s">
        <v>66</v>
      </c>
      <c r="S6043" s="4">
        <v>1</v>
      </c>
      <c r="T6043" s="4">
        <v>1</v>
      </c>
      <c r="U6043" s="5" t="s">
        <v>23463</v>
      </c>
      <c r="V6043" s="5" t="s">
        <v>23463</v>
      </c>
      <c r="W6043" s="5" t="s">
        <v>67</v>
      </c>
      <c r="X6043" s="5" t="s">
        <v>67</v>
      </c>
      <c r="Y6043" s="4">
        <v>65</v>
      </c>
      <c r="Z6043" s="4">
        <v>14</v>
      </c>
      <c r="AA6043" s="4">
        <v>17</v>
      </c>
      <c r="AB6043" s="4">
        <v>1</v>
      </c>
      <c r="AC6043" s="4">
        <v>4</v>
      </c>
      <c r="AD6043" s="4">
        <v>30</v>
      </c>
      <c r="AE6043" s="4">
        <v>32</v>
      </c>
      <c r="AF6043" s="4">
        <v>0</v>
      </c>
      <c r="AG6043" s="4">
        <v>0</v>
      </c>
      <c r="AH6043" s="4">
        <v>26</v>
      </c>
      <c r="AI6043" s="4">
        <v>28</v>
      </c>
      <c r="AJ6043" s="4">
        <v>12</v>
      </c>
      <c r="AK6043" s="4">
        <v>12</v>
      </c>
      <c r="AL6043" s="4">
        <v>13</v>
      </c>
      <c r="AM6043" s="4">
        <v>14</v>
      </c>
      <c r="AN6043" s="4">
        <v>0</v>
      </c>
      <c r="AO6043" s="4">
        <v>0</v>
      </c>
      <c r="AP6043" s="4">
        <v>13</v>
      </c>
      <c r="AQ6043" s="4">
        <v>13</v>
      </c>
      <c r="AR6043" s="3" t="s">
        <v>62</v>
      </c>
      <c r="AS6043" s="3" t="s">
        <v>62</v>
      </c>
      <c r="AT6043" s="3" t="s">
        <v>62</v>
      </c>
      <c r="AV6043" s="6" t="str">
        <f>HYPERLINK("http://mcgill.on.worldcat.org/oclc/753351194","Catalog Record")</f>
        <v>Catalog Record</v>
      </c>
      <c r="AW6043" s="6" t="str">
        <f>HYPERLINK("http://www.worldcat.org/oclc/753351194","WorldCat Record")</f>
        <v>WorldCat Record</v>
      </c>
      <c r="AX6043" s="3" t="s">
        <v>58112</v>
      </c>
      <c r="AY6043" s="3" t="s">
        <v>58113</v>
      </c>
      <c r="AZ6043" s="3" t="s">
        <v>58114</v>
      </c>
      <c r="BA6043" s="3" t="s">
        <v>58114</v>
      </c>
      <c r="BB6043" s="3" t="s">
        <v>58115</v>
      </c>
      <c r="BC6043" s="3" t="s">
        <v>142</v>
      </c>
      <c r="BD6043" s="3" t="s">
        <v>68</v>
      </c>
      <c r="BE6043" s="3" t="s">
        <v>58116</v>
      </c>
      <c r="BF6043" s="3" t="s">
        <v>58115</v>
      </c>
      <c r="BG6043" s="3" t="s">
        <v>58117</v>
      </c>
    </row>
    <row r="6044" spans="1:59" ht="57" x14ac:dyDescent="0.45">
      <c r="A6044" s="2" t="s">
        <v>59</v>
      </c>
      <c r="B6044" s="2" t="s">
        <v>60</v>
      </c>
      <c r="C6044" s="2" t="s">
        <v>58118</v>
      </c>
      <c r="D6044" s="2" t="s">
        <v>58119</v>
      </c>
      <c r="E6044" s="2" t="s">
        <v>58120</v>
      </c>
      <c r="G6044" s="3" t="s">
        <v>62</v>
      </c>
      <c r="I6044" s="3" t="s">
        <v>62</v>
      </c>
      <c r="J6044" s="3" t="s">
        <v>62</v>
      </c>
      <c r="K6044" s="3" t="s">
        <v>63</v>
      </c>
      <c r="L6044" s="2" t="s">
        <v>58121</v>
      </c>
      <c r="M6044" s="2" t="s">
        <v>58122</v>
      </c>
      <c r="N6044" s="3" t="s">
        <v>958</v>
      </c>
      <c r="P6044" s="3" t="s">
        <v>65</v>
      </c>
      <c r="Q6044" s="2" t="s">
        <v>58123</v>
      </c>
      <c r="R6044" s="3" t="s">
        <v>66</v>
      </c>
      <c r="S6044" s="4">
        <v>9</v>
      </c>
      <c r="T6044" s="4">
        <v>9</v>
      </c>
      <c r="U6044" s="5" t="s">
        <v>15561</v>
      </c>
      <c r="V6044" s="5" t="s">
        <v>15561</v>
      </c>
      <c r="W6044" s="5" t="s">
        <v>67</v>
      </c>
      <c r="X6044" s="5" t="s">
        <v>67</v>
      </c>
      <c r="Y6044" s="4">
        <v>522</v>
      </c>
      <c r="Z6044" s="4">
        <v>22</v>
      </c>
      <c r="AA6044" s="4">
        <v>23</v>
      </c>
      <c r="AB6044" s="4">
        <v>2</v>
      </c>
      <c r="AC6044" s="4">
        <v>3</v>
      </c>
      <c r="AD6044" s="4">
        <v>104</v>
      </c>
      <c r="AE6044" s="4">
        <v>105</v>
      </c>
      <c r="AF6044" s="4">
        <v>1</v>
      </c>
      <c r="AG6044" s="4">
        <v>2</v>
      </c>
      <c r="AH6044" s="4">
        <v>91</v>
      </c>
      <c r="AI6044" s="4">
        <v>91</v>
      </c>
      <c r="AJ6044" s="4">
        <v>12</v>
      </c>
      <c r="AK6044" s="4">
        <v>13</v>
      </c>
      <c r="AL6044" s="4">
        <v>52</v>
      </c>
      <c r="AM6044" s="4">
        <v>52</v>
      </c>
      <c r="AN6044" s="4">
        <v>0</v>
      </c>
      <c r="AO6044" s="4">
        <v>0</v>
      </c>
      <c r="AP6044" s="4">
        <v>18</v>
      </c>
      <c r="AQ6044" s="4">
        <v>19</v>
      </c>
      <c r="AR6044" s="3" t="s">
        <v>62</v>
      </c>
      <c r="AS6044" s="3" t="s">
        <v>62</v>
      </c>
      <c r="AT6044" s="3" t="s">
        <v>62</v>
      </c>
      <c r="AV6044" s="6" t="str">
        <f>HYPERLINK("http://mcgill.on.worldcat.org/oclc/31012260","Catalog Record")</f>
        <v>Catalog Record</v>
      </c>
      <c r="AW6044" s="6" t="str">
        <f>HYPERLINK("http://www.worldcat.org/oclc/31012260","WorldCat Record")</f>
        <v>WorldCat Record</v>
      </c>
      <c r="AX6044" s="3" t="s">
        <v>58124</v>
      </c>
      <c r="AY6044" s="3" t="s">
        <v>58125</v>
      </c>
      <c r="AZ6044" s="3" t="s">
        <v>58126</v>
      </c>
      <c r="BA6044" s="3" t="s">
        <v>58126</v>
      </c>
      <c r="BB6044" s="3" t="s">
        <v>58127</v>
      </c>
      <c r="BC6044" s="3" t="s">
        <v>142</v>
      </c>
      <c r="BD6044" s="3" t="s">
        <v>68</v>
      </c>
      <c r="BE6044" s="3" t="s">
        <v>58128</v>
      </c>
      <c r="BF6044" s="3" t="s">
        <v>58127</v>
      </c>
      <c r="BG6044" s="3" t="s">
        <v>58129</v>
      </c>
    </row>
    <row r="6045" spans="1:59" ht="57" x14ac:dyDescent="0.45">
      <c r="A6045" s="2" t="s">
        <v>59</v>
      </c>
      <c r="B6045" s="2" t="s">
        <v>60</v>
      </c>
      <c r="C6045" s="2" t="s">
        <v>58130</v>
      </c>
      <c r="D6045" s="2" t="s">
        <v>58131</v>
      </c>
      <c r="E6045" s="2" t="s">
        <v>58132</v>
      </c>
      <c r="G6045" s="3" t="s">
        <v>62</v>
      </c>
      <c r="I6045" s="3" t="s">
        <v>62</v>
      </c>
      <c r="J6045" s="3" t="s">
        <v>62</v>
      </c>
      <c r="K6045" s="3" t="s">
        <v>63</v>
      </c>
      <c r="L6045" s="2" t="s">
        <v>10461</v>
      </c>
      <c r="M6045" s="2" t="s">
        <v>9379</v>
      </c>
      <c r="N6045" s="3" t="s">
        <v>1212</v>
      </c>
      <c r="P6045" s="3" t="s">
        <v>65</v>
      </c>
      <c r="Q6045" s="2" t="s">
        <v>2655</v>
      </c>
      <c r="R6045" s="3" t="s">
        <v>66</v>
      </c>
      <c r="S6045" s="4">
        <v>5</v>
      </c>
      <c r="T6045" s="4">
        <v>5</v>
      </c>
      <c r="U6045" s="5" t="s">
        <v>44747</v>
      </c>
      <c r="V6045" s="5" t="s">
        <v>44747</v>
      </c>
      <c r="W6045" s="5" t="s">
        <v>67</v>
      </c>
      <c r="X6045" s="5" t="s">
        <v>67</v>
      </c>
      <c r="Y6045" s="4">
        <v>300</v>
      </c>
      <c r="Z6045" s="4">
        <v>22</v>
      </c>
      <c r="AA6045" s="4">
        <v>24</v>
      </c>
      <c r="AB6045" s="4">
        <v>2</v>
      </c>
      <c r="AC6045" s="4">
        <v>4</v>
      </c>
      <c r="AD6045" s="4">
        <v>83</v>
      </c>
      <c r="AE6045" s="4">
        <v>85</v>
      </c>
      <c r="AF6045" s="4">
        <v>1</v>
      </c>
      <c r="AG6045" s="4">
        <v>3</v>
      </c>
      <c r="AH6045" s="4">
        <v>70</v>
      </c>
      <c r="AI6045" s="4">
        <v>70</v>
      </c>
      <c r="AJ6045" s="4">
        <v>13</v>
      </c>
      <c r="AK6045" s="4">
        <v>15</v>
      </c>
      <c r="AL6045" s="4">
        <v>44</v>
      </c>
      <c r="AM6045" s="4">
        <v>44</v>
      </c>
      <c r="AN6045" s="4">
        <v>0</v>
      </c>
      <c r="AO6045" s="4">
        <v>0</v>
      </c>
      <c r="AP6045" s="4">
        <v>17</v>
      </c>
      <c r="AQ6045" s="4">
        <v>19</v>
      </c>
      <c r="AR6045" s="3" t="s">
        <v>62</v>
      </c>
      <c r="AS6045" s="3" t="s">
        <v>62</v>
      </c>
      <c r="AT6045" s="3" t="s">
        <v>61</v>
      </c>
      <c r="AU6045" s="6" t="str">
        <f>HYPERLINK("http://catalog.hathitrust.org/Record/004126834","HathiTrust Record")</f>
        <v>HathiTrust Record</v>
      </c>
      <c r="AV6045" s="6" t="str">
        <f>HYPERLINK("http://mcgill.on.worldcat.org/oclc/43528819","Catalog Record")</f>
        <v>Catalog Record</v>
      </c>
      <c r="AW6045" s="6" t="str">
        <f>HYPERLINK("http://www.worldcat.org/oclc/43528819","WorldCat Record")</f>
        <v>WorldCat Record</v>
      </c>
      <c r="AX6045" s="3" t="s">
        <v>58133</v>
      </c>
      <c r="AY6045" s="3" t="s">
        <v>58134</v>
      </c>
      <c r="AZ6045" s="3" t="s">
        <v>58135</v>
      </c>
      <c r="BA6045" s="3" t="s">
        <v>58135</v>
      </c>
      <c r="BB6045" s="3" t="s">
        <v>58136</v>
      </c>
      <c r="BC6045" s="3" t="s">
        <v>142</v>
      </c>
      <c r="BD6045" s="3" t="s">
        <v>68</v>
      </c>
      <c r="BE6045" s="3" t="s">
        <v>58137</v>
      </c>
      <c r="BF6045" s="3" t="s">
        <v>58136</v>
      </c>
      <c r="BG6045" s="3" t="s">
        <v>58138</v>
      </c>
    </row>
    <row r="6046" spans="1:59" ht="57" x14ac:dyDescent="0.45">
      <c r="A6046" s="2" t="s">
        <v>59</v>
      </c>
      <c r="B6046" s="2" t="s">
        <v>60</v>
      </c>
      <c r="C6046" s="2" t="s">
        <v>58139</v>
      </c>
      <c r="D6046" s="2" t="s">
        <v>58140</v>
      </c>
      <c r="E6046" s="2" t="s">
        <v>58141</v>
      </c>
      <c r="G6046" s="3" t="s">
        <v>62</v>
      </c>
      <c r="I6046" s="3" t="s">
        <v>62</v>
      </c>
      <c r="J6046" s="3" t="s">
        <v>62</v>
      </c>
      <c r="K6046" s="3" t="s">
        <v>63</v>
      </c>
      <c r="L6046" s="2" t="s">
        <v>904</v>
      </c>
      <c r="M6046" s="2" t="s">
        <v>932</v>
      </c>
      <c r="N6046" s="3" t="s">
        <v>542</v>
      </c>
      <c r="O6046" s="2" t="s">
        <v>58142</v>
      </c>
      <c r="P6046" s="3" t="s">
        <v>65</v>
      </c>
      <c r="R6046" s="3" t="s">
        <v>66</v>
      </c>
      <c r="S6046" s="4">
        <v>15</v>
      </c>
      <c r="T6046" s="4">
        <v>15</v>
      </c>
      <c r="U6046" s="5" t="s">
        <v>16896</v>
      </c>
      <c r="V6046" s="5" t="s">
        <v>16896</v>
      </c>
      <c r="W6046" s="5" t="s">
        <v>67</v>
      </c>
      <c r="X6046" s="5" t="s">
        <v>67</v>
      </c>
      <c r="Y6046" s="4">
        <v>180</v>
      </c>
      <c r="Z6046" s="4">
        <v>10</v>
      </c>
      <c r="AA6046" s="4">
        <v>16</v>
      </c>
      <c r="AB6046" s="4">
        <v>2</v>
      </c>
      <c r="AC6046" s="4">
        <v>2</v>
      </c>
      <c r="AD6046" s="4">
        <v>49</v>
      </c>
      <c r="AE6046" s="4">
        <v>64</v>
      </c>
      <c r="AF6046" s="4">
        <v>1</v>
      </c>
      <c r="AG6046" s="4">
        <v>1</v>
      </c>
      <c r="AH6046" s="4">
        <v>43</v>
      </c>
      <c r="AI6046" s="4">
        <v>57</v>
      </c>
      <c r="AJ6046" s="4">
        <v>4</v>
      </c>
      <c r="AK6046" s="4">
        <v>7</v>
      </c>
      <c r="AL6046" s="4">
        <v>20</v>
      </c>
      <c r="AM6046" s="4">
        <v>31</v>
      </c>
      <c r="AN6046" s="4">
        <v>0</v>
      </c>
      <c r="AO6046" s="4">
        <v>0</v>
      </c>
      <c r="AP6046" s="4">
        <v>5</v>
      </c>
      <c r="AQ6046" s="4">
        <v>9</v>
      </c>
      <c r="AR6046" s="3" t="s">
        <v>62</v>
      </c>
      <c r="AS6046" s="3" t="s">
        <v>62</v>
      </c>
      <c r="AT6046" s="3" t="s">
        <v>62</v>
      </c>
      <c r="AV6046" s="6" t="str">
        <f>HYPERLINK("http://mcgill.on.worldcat.org/oclc/45620578","Catalog Record")</f>
        <v>Catalog Record</v>
      </c>
      <c r="AW6046" s="6" t="str">
        <f>HYPERLINK("http://www.worldcat.org/oclc/45620578","WorldCat Record")</f>
        <v>WorldCat Record</v>
      </c>
      <c r="AX6046" s="3" t="s">
        <v>58143</v>
      </c>
      <c r="AY6046" s="3" t="s">
        <v>58144</v>
      </c>
      <c r="AZ6046" s="3" t="s">
        <v>58145</v>
      </c>
      <c r="BA6046" s="3" t="s">
        <v>58145</v>
      </c>
      <c r="BB6046" s="3" t="s">
        <v>58146</v>
      </c>
      <c r="BC6046" s="3" t="s">
        <v>142</v>
      </c>
      <c r="BD6046" s="3" t="s">
        <v>68</v>
      </c>
      <c r="BE6046" s="3" t="s">
        <v>58147</v>
      </c>
      <c r="BF6046" s="3" t="s">
        <v>58146</v>
      </c>
      <c r="BG6046" s="3" t="s">
        <v>58148</v>
      </c>
    </row>
    <row r="6047" spans="1:59" ht="57" x14ac:dyDescent="0.45">
      <c r="A6047" s="2" t="s">
        <v>59</v>
      </c>
      <c r="B6047" s="2" t="s">
        <v>60</v>
      </c>
      <c r="C6047" s="2" t="s">
        <v>58149</v>
      </c>
      <c r="D6047" s="2" t="s">
        <v>58150</v>
      </c>
      <c r="E6047" s="2" t="s">
        <v>58151</v>
      </c>
      <c r="G6047" s="3" t="s">
        <v>62</v>
      </c>
      <c r="I6047" s="3" t="s">
        <v>62</v>
      </c>
      <c r="J6047" s="3" t="s">
        <v>62</v>
      </c>
      <c r="K6047" s="3" t="s">
        <v>63</v>
      </c>
      <c r="M6047" s="2" t="s">
        <v>58152</v>
      </c>
      <c r="N6047" s="3" t="s">
        <v>116</v>
      </c>
      <c r="P6047" s="3" t="s">
        <v>110</v>
      </c>
      <c r="Q6047" s="2" t="s">
        <v>58153</v>
      </c>
      <c r="R6047" s="3" t="s">
        <v>66</v>
      </c>
      <c r="S6047" s="4">
        <v>1</v>
      </c>
      <c r="T6047" s="4">
        <v>1</v>
      </c>
      <c r="W6047" s="5" t="s">
        <v>67</v>
      </c>
      <c r="X6047" s="5" t="s">
        <v>67</v>
      </c>
      <c r="Y6047" s="4">
        <v>18</v>
      </c>
      <c r="Z6047" s="4">
        <v>12</v>
      </c>
      <c r="AA6047" s="4">
        <v>88</v>
      </c>
      <c r="AB6047" s="4">
        <v>1</v>
      </c>
      <c r="AC6047" s="4">
        <v>18</v>
      </c>
      <c r="AD6047" s="4">
        <v>10</v>
      </c>
      <c r="AE6047" s="4">
        <v>85</v>
      </c>
      <c r="AF6047" s="4">
        <v>0</v>
      </c>
      <c r="AG6047" s="4">
        <v>8</v>
      </c>
      <c r="AH6047" s="4">
        <v>4</v>
      </c>
      <c r="AI6047" s="4">
        <v>48</v>
      </c>
      <c r="AJ6047" s="4">
        <v>4</v>
      </c>
      <c r="AK6047" s="4">
        <v>19</v>
      </c>
      <c r="AL6047" s="4">
        <v>1</v>
      </c>
      <c r="AM6047" s="4">
        <v>24</v>
      </c>
      <c r="AN6047" s="4">
        <v>0</v>
      </c>
      <c r="AO6047" s="4">
        <v>0</v>
      </c>
      <c r="AP6047" s="4">
        <v>9</v>
      </c>
      <c r="AQ6047" s="4">
        <v>43</v>
      </c>
      <c r="AR6047" s="3" t="s">
        <v>61</v>
      </c>
      <c r="AS6047" s="3" t="s">
        <v>62</v>
      </c>
      <c r="AT6047" s="3" t="s">
        <v>62</v>
      </c>
      <c r="AV6047" s="6" t="str">
        <f>HYPERLINK("http://mcgill.on.worldcat.org/oclc/841484224","Catalog Record")</f>
        <v>Catalog Record</v>
      </c>
      <c r="AW6047" s="6" t="str">
        <f>HYPERLINK("http://www.worldcat.org/oclc/841484224","WorldCat Record")</f>
        <v>WorldCat Record</v>
      </c>
      <c r="AX6047" s="3" t="s">
        <v>58154</v>
      </c>
      <c r="AY6047" s="3" t="s">
        <v>58155</v>
      </c>
      <c r="AZ6047" s="3" t="s">
        <v>58156</v>
      </c>
      <c r="BA6047" s="3" t="s">
        <v>58156</v>
      </c>
      <c r="BB6047" s="3" t="s">
        <v>58157</v>
      </c>
      <c r="BC6047" s="3" t="s">
        <v>142</v>
      </c>
      <c r="BD6047" s="3" t="s">
        <v>308</v>
      </c>
      <c r="BE6047" s="3" t="s">
        <v>58158</v>
      </c>
      <c r="BF6047" s="3" t="s">
        <v>58157</v>
      </c>
      <c r="BG6047" s="3" t="s">
        <v>58159</v>
      </c>
    </row>
    <row r="6048" spans="1:59" ht="57" x14ac:dyDescent="0.45">
      <c r="A6048" s="2" t="s">
        <v>59</v>
      </c>
      <c r="B6048" s="2" t="s">
        <v>60</v>
      </c>
      <c r="C6048" s="2" t="s">
        <v>58160</v>
      </c>
      <c r="D6048" s="2" t="s">
        <v>58161</v>
      </c>
      <c r="E6048" s="2" t="s">
        <v>58162</v>
      </c>
      <c r="G6048" s="3" t="s">
        <v>62</v>
      </c>
      <c r="I6048" s="3" t="s">
        <v>62</v>
      </c>
      <c r="J6048" s="3" t="s">
        <v>62</v>
      </c>
      <c r="K6048" s="3" t="s">
        <v>63</v>
      </c>
      <c r="L6048" s="2" t="s">
        <v>58163</v>
      </c>
      <c r="M6048" s="2" t="s">
        <v>58164</v>
      </c>
      <c r="N6048" s="3" t="s">
        <v>1253</v>
      </c>
      <c r="P6048" s="3" t="s">
        <v>65</v>
      </c>
      <c r="R6048" s="3" t="s">
        <v>66</v>
      </c>
      <c r="S6048" s="4">
        <v>11</v>
      </c>
      <c r="T6048" s="4">
        <v>11</v>
      </c>
      <c r="U6048" s="5" t="s">
        <v>22641</v>
      </c>
      <c r="V6048" s="5" t="s">
        <v>22641</v>
      </c>
      <c r="W6048" s="5" t="s">
        <v>67</v>
      </c>
      <c r="X6048" s="5" t="s">
        <v>67</v>
      </c>
      <c r="Y6048" s="4">
        <v>25</v>
      </c>
      <c r="Z6048" s="4">
        <v>9</v>
      </c>
      <c r="AA6048" s="4">
        <v>12</v>
      </c>
      <c r="AB6048" s="4">
        <v>2</v>
      </c>
      <c r="AC6048" s="4">
        <v>5</v>
      </c>
      <c r="AD6048" s="4">
        <v>8</v>
      </c>
      <c r="AE6048" s="4">
        <v>10</v>
      </c>
      <c r="AF6048" s="4">
        <v>1</v>
      </c>
      <c r="AG6048" s="4">
        <v>3</v>
      </c>
      <c r="AH6048" s="4">
        <v>5</v>
      </c>
      <c r="AI6048" s="4">
        <v>5</v>
      </c>
      <c r="AJ6048" s="4">
        <v>6</v>
      </c>
      <c r="AK6048" s="4">
        <v>7</v>
      </c>
      <c r="AL6048" s="4">
        <v>2</v>
      </c>
      <c r="AM6048" s="4">
        <v>2</v>
      </c>
      <c r="AN6048" s="4">
        <v>0</v>
      </c>
      <c r="AO6048" s="4">
        <v>0</v>
      </c>
      <c r="AP6048" s="4">
        <v>5</v>
      </c>
      <c r="AQ6048" s="4">
        <v>6</v>
      </c>
      <c r="AR6048" s="3" t="s">
        <v>61</v>
      </c>
      <c r="AS6048" s="3" t="s">
        <v>62</v>
      </c>
      <c r="AT6048" s="3" t="s">
        <v>62</v>
      </c>
      <c r="AV6048" s="6" t="str">
        <f>HYPERLINK("http://mcgill.on.worldcat.org/oclc/37491934","Catalog Record")</f>
        <v>Catalog Record</v>
      </c>
      <c r="AW6048" s="6" t="str">
        <f>HYPERLINK("http://www.worldcat.org/oclc/37491934","WorldCat Record")</f>
        <v>WorldCat Record</v>
      </c>
      <c r="AX6048" s="3" t="s">
        <v>58165</v>
      </c>
      <c r="AY6048" s="3" t="s">
        <v>58166</v>
      </c>
      <c r="AZ6048" s="3" t="s">
        <v>58167</v>
      </c>
      <c r="BA6048" s="3" t="s">
        <v>58167</v>
      </c>
      <c r="BB6048" s="3" t="s">
        <v>58168</v>
      </c>
      <c r="BC6048" s="3" t="s">
        <v>142</v>
      </c>
      <c r="BD6048" s="3" t="s">
        <v>68</v>
      </c>
      <c r="BE6048" s="3" t="s">
        <v>58169</v>
      </c>
      <c r="BF6048" s="3" t="s">
        <v>58168</v>
      </c>
      <c r="BG6048" s="3" t="s">
        <v>58170</v>
      </c>
    </row>
    <row r="6049" spans="1:59" ht="57" x14ac:dyDescent="0.45">
      <c r="A6049" s="2" t="s">
        <v>59</v>
      </c>
      <c r="B6049" s="2" t="s">
        <v>60</v>
      </c>
      <c r="C6049" s="2" t="s">
        <v>58171</v>
      </c>
      <c r="D6049" s="2" t="s">
        <v>58172</v>
      </c>
      <c r="E6049" s="2" t="s">
        <v>58173</v>
      </c>
      <c r="G6049" s="3" t="s">
        <v>62</v>
      </c>
      <c r="I6049" s="3" t="s">
        <v>62</v>
      </c>
      <c r="J6049" s="3" t="s">
        <v>62</v>
      </c>
      <c r="K6049" s="3" t="s">
        <v>63</v>
      </c>
      <c r="L6049" s="2" t="s">
        <v>58174</v>
      </c>
      <c r="M6049" s="2" t="s">
        <v>58175</v>
      </c>
      <c r="N6049" s="3" t="s">
        <v>1097</v>
      </c>
      <c r="P6049" s="3" t="s">
        <v>110</v>
      </c>
      <c r="Q6049" s="2" t="s">
        <v>17630</v>
      </c>
      <c r="R6049" s="3" t="s">
        <v>66</v>
      </c>
      <c r="S6049" s="4">
        <v>5</v>
      </c>
      <c r="T6049" s="4">
        <v>5</v>
      </c>
      <c r="U6049" s="5" t="s">
        <v>44612</v>
      </c>
      <c r="V6049" s="5" t="s">
        <v>44612</v>
      </c>
      <c r="W6049" s="5" t="s">
        <v>67</v>
      </c>
      <c r="X6049" s="5" t="s">
        <v>67</v>
      </c>
      <c r="Y6049" s="4">
        <v>69</v>
      </c>
      <c r="Z6049" s="4">
        <v>26</v>
      </c>
      <c r="AA6049" s="4">
        <v>88</v>
      </c>
      <c r="AB6049" s="4">
        <v>13</v>
      </c>
      <c r="AC6049" s="4">
        <v>25</v>
      </c>
      <c r="AD6049" s="4">
        <v>19</v>
      </c>
      <c r="AE6049" s="4">
        <v>65</v>
      </c>
      <c r="AF6049" s="4">
        <v>5</v>
      </c>
      <c r="AG6049" s="4">
        <v>8</v>
      </c>
      <c r="AH6049" s="4">
        <v>9</v>
      </c>
      <c r="AI6049" s="4">
        <v>23</v>
      </c>
      <c r="AJ6049" s="4">
        <v>12</v>
      </c>
      <c r="AK6049" s="4">
        <v>22</v>
      </c>
      <c r="AL6049" s="4">
        <v>4</v>
      </c>
      <c r="AM6049" s="4">
        <v>11</v>
      </c>
      <c r="AN6049" s="4">
        <v>0</v>
      </c>
      <c r="AO6049" s="4">
        <v>0</v>
      </c>
      <c r="AP6049" s="4">
        <v>13</v>
      </c>
      <c r="AQ6049" s="4">
        <v>48</v>
      </c>
      <c r="AR6049" s="3" t="s">
        <v>61</v>
      </c>
      <c r="AS6049" s="3" t="s">
        <v>62</v>
      </c>
      <c r="AT6049" s="3" t="s">
        <v>62</v>
      </c>
      <c r="AV6049" s="6" t="str">
        <f>HYPERLINK("http://mcgill.on.worldcat.org/oclc/55511118","Catalog Record")</f>
        <v>Catalog Record</v>
      </c>
      <c r="AW6049" s="6" t="str">
        <f>HYPERLINK("http://www.worldcat.org/oclc/55511118","WorldCat Record")</f>
        <v>WorldCat Record</v>
      </c>
      <c r="AX6049" s="3" t="s">
        <v>58176</v>
      </c>
      <c r="AY6049" s="3" t="s">
        <v>58177</v>
      </c>
      <c r="AZ6049" s="3" t="s">
        <v>58178</v>
      </c>
      <c r="BA6049" s="3" t="s">
        <v>58178</v>
      </c>
      <c r="BB6049" s="3" t="s">
        <v>58179</v>
      </c>
      <c r="BC6049" s="3" t="s">
        <v>142</v>
      </c>
      <c r="BD6049" s="3" t="s">
        <v>68</v>
      </c>
      <c r="BE6049" s="3" t="s">
        <v>58180</v>
      </c>
      <c r="BF6049" s="3" t="s">
        <v>58179</v>
      </c>
      <c r="BG6049" s="3" t="s">
        <v>58181</v>
      </c>
    </row>
    <row r="6050" spans="1:59" ht="57" x14ac:dyDescent="0.45">
      <c r="A6050" s="2" t="s">
        <v>59</v>
      </c>
      <c r="B6050" s="2" t="s">
        <v>60</v>
      </c>
      <c r="C6050" s="2" t="s">
        <v>58182</v>
      </c>
      <c r="D6050" s="2" t="s">
        <v>58183</v>
      </c>
      <c r="E6050" s="2" t="s">
        <v>58184</v>
      </c>
      <c r="G6050" s="3" t="s">
        <v>62</v>
      </c>
      <c r="I6050" s="3" t="s">
        <v>62</v>
      </c>
      <c r="J6050" s="3" t="s">
        <v>62</v>
      </c>
      <c r="K6050" s="3" t="s">
        <v>63</v>
      </c>
      <c r="L6050" s="2" t="s">
        <v>58185</v>
      </c>
      <c r="M6050" s="2" t="s">
        <v>58186</v>
      </c>
      <c r="N6050" s="3" t="s">
        <v>1918</v>
      </c>
      <c r="P6050" s="3" t="s">
        <v>110</v>
      </c>
      <c r="R6050" s="3" t="s">
        <v>66</v>
      </c>
      <c r="S6050" s="4">
        <v>0</v>
      </c>
      <c r="T6050" s="4">
        <v>0</v>
      </c>
      <c r="W6050" s="5" t="s">
        <v>67</v>
      </c>
      <c r="X6050" s="5" t="s">
        <v>67</v>
      </c>
      <c r="Y6050" s="4">
        <v>10</v>
      </c>
      <c r="Z6050" s="4">
        <v>5</v>
      </c>
      <c r="AA6050" s="4">
        <v>10</v>
      </c>
      <c r="AB6050" s="4">
        <v>1</v>
      </c>
      <c r="AC6050" s="4">
        <v>3</v>
      </c>
      <c r="AD6050" s="4">
        <v>7</v>
      </c>
      <c r="AE6050" s="4">
        <v>11</v>
      </c>
      <c r="AF6050" s="4">
        <v>0</v>
      </c>
      <c r="AG6050" s="4">
        <v>1</v>
      </c>
      <c r="AH6050" s="4">
        <v>6</v>
      </c>
      <c r="AI6050" s="4">
        <v>7</v>
      </c>
      <c r="AJ6050" s="4">
        <v>4</v>
      </c>
      <c r="AK6050" s="4">
        <v>6</v>
      </c>
      <c r="AL6050" s="4">
        <v>2</v>
      </c>
      <c r="AM6050" s="4">
        <v>2</v>
      </c>
      <c r="AN6050" s="4">
        <v>0</v>
      </c>
      <c r="AO6050" s="4">
        <v>0</v>
      </c>
      <c r="AP6050" s="4">
        <v>3</v>
      </c>
      <c r="AQ6050" s="4">
        <v>6</v>
      </c>
      <c r="AR6050" s="3" t="s">
        <v>61</v>
      </c>
      <c r="AS6050" s="3" t="s">
        <v>62</v>
      </c>
      <c r="AT6050" s="3" t="s">
        <v>62</v>
      </c>
      <c r="AV6050" s="6" t="str">
        <f>HYPERLINK("http://mcgill.on.worldcat.org/oclc/1012852218","Catalog Record")</f>
        <v>Catalog Record</v>
      </c>
      <c r="AW6050" s="6" t="str">
        <f>HYPERLINK("http://www.worldcat.org/oclc/1012852218","WorldCat Record")</f>
        <v>WorldCat Record</v>
      </c>
      <c r="AX6050" s="3" t="s">
        <v>58187</v>
      </c>
      <c r="AY6050" s="3" t="s">
        <v>58188</v>
      </c>
      <c r="AZ6050" s="3" t="s">
        <v>58189</v>
      </c>
      <c r="BA6050" s="3" t="s">
        <v>58189</v>
      </c>
      <c r="BB6050" s="3" t="s">
        <v>58190</v>
      </c>
      <c r="BC6050" s="3" t="s">
        <v>142</v>
      </c>
      <c r="BD6050" s="3" t="s">
        <v>68</v>
      </c>
      <c r="BE6050" s="3" t="s">
        <v>58191</v>
      </c>
      <c r="BF6050" s="3" t="s">
        <v>58190</v>
      </c>
      <c r="BG6050" s="3" t="s">
        <v>58192</v>
      </c>
    </row>
    <row r="6051" spans="1:59" ht="57" x14ac:dyDescent="0.45">
      <c r="A6051" s="2" t="s">
        <v>59</v>
      </c>
      <c r="B6051" s="2" t="s">
        <v>60</v>
      </c>
      <c r="C6051" s="2" t="s">
        <v>58193</v>
      </c>
      <c r="D6051" s="2" t="s">
        <v>58194</v>
      </c>
      <c r="E6051" s="2" t="s">
        <v>58195</v>
      </c>
      <c r="G6051" s="3" t="s">
        <v>62</v>
      </c>
      <c r="I6051" s="3" t="s">
        <v>62</v>
      </c>
      <c r="J6051" s="3" t="s">
        <v>62</v>
      </c>
      <c r="K6051" s="3" t="s">
        <v>63</v>
      </c>
      <c r="L6051" s="2" t="s">
        <v>58196</v>
      </c>
      <c r="M6051" s="2" t="s">
        <v>58197</v>
      </c>
      <c r="N6051" s="3" t="s">
        <v>1212</v>
      </c>
      <c r="P6051" s="3" t="s">
        <v>65</v>
      </c>
      <c r="Q6051" s="2" t="s">
        <v>9789</v>
      </c>
      <c r="R6051" s="3" t="s">
        <v>66</v>
      </c>
      <c r="S6051" s="4">
        <v>25</v>
      </c>
      <c r="T6051" s="4">
        <v>25</v>
      </c>
      <c r="U6051" s="5" t="s">
        <v>48228</v>
      </c>
      <c r="V6051" s="5" t="s">
        <v>48228</v>
      </c>
      <c r="W6051" s="5" t="s">
        <v>67</v>
      </c>
      <c r="X6051" s="5" t="s">
        <v>67</v>
      </c>
      <c r="Y6051" s="4">
        <v>365</v>
      </c>
      <c r="Z6051" s="4">
        <v>19</v>
      </c>
      <c r="AA6051" s="4">
        <v>22</v>
      </c>
      <c r="AB6051" s="4">
        <v>2</v>
      </c>
      <c r="AC6051" s="4">
        <v>5</v>
      </c>
      <c r="AD6051" s="4">
        <v>78</v>
      </c>
      <c r="AE6051" s="4">
        <v>80</v>
      </c>
      <c r="AF6051" s="4">
        <v>1</v>
      </c>
      <c r="AG6051" s="4">
        <v>3</v>
      </c>
      <c r="AH6051" s="4">
        <v>69</v>
      </c>
      <c r="AI6051" s="4">
        <v>69</v>
      </c>
      <c r="AJ6051" s="4">
        <v>12</v>
      </c>
      <c r="AK6051" s="4">
        <v>14</v>
      </c>
      <c r="AL6051" s="4">
        <v>40</v>
      </c>
      <c r="AM6051" s="4">
        <v>40</v>
      </c>
      <c r="AN6051" s="4">
        <v>0</v>
      </c>
      <c r="AO6051" s="4">
        <v>0</v>
      </c>
      <c r="AP6051" s="4">
        <v>15</v>
      </c>
      <c r="AQ6051" s="4">
        <v>16</v>
      </c>
      <c r="AR6051" s="3" t="s">
        <v>62</v>
      </c>
      <c r="AS6051" s="3" t="s">
        <v>62</v>
      </c>
      <c r="AT6051" s="3" t="s">
        <v>62</v>
      </c>
      <c r="AV6051" s="6" t="str">
        <f>HYPERLINK("http://mcgill.on.worldcat.org/oclc/42791431","Catalog Record")</f>
        <v>Catalog Record</v>
      </c>
      <c r="AW6051" s="6" t="str">
        <f>HYPERLINK("http://www.worldcat.org/oclc/42791431","WorldCat Record")</f>
        <v>WorldCat Record</v>
      </c>
      <c r="AX6051" s="3" t="s">
        <v>58198</v>
      </c>
      <c r="AY6051" s="3" t="s">
        <v>58199</v>
      </c>
      <c r="AZ6051" s="3" t="s">
        <v>58200</v>
      </c>
      <c r="BA6051" s="3" t="s">
        <v>58200</v>
      </c>
      <c r="BB6051" s="3" t="s">
        <v>58201</v>
      </c>
      <c r="BC6051" s="3" t="s">
        <v>142</v>
      </c>
      <c r="BD6051" s="3" t="s">
        <v>68</v>
      </c>
      <c r="BE6051" s="3" t="s">
        <v>58202</v>
      </c>
      <c r="BF6051" s="3" t="s">
        <v>58201</v>
      </c>
      <c r="BG6051" s="3" t="s">
        <v>58203</v>
      </c>
    </row>
    <row r="6052" spans="1:59" ht="57" x14ac:dyDescent="0.45">
      <c r="A6052" s="2" t="s">
        <v>59</v>
      </c>
      <c r="B6052" s="2" t="s">
        <v>60</v>
      </c>
      <c r="C6052" s="2" t="s">
        <v>58204</v>
      </c>
      <c r="D6052" s="2" t="s">
        <v>58205</v>
      </c>
      <c r="E6052" s="2" t="s">
        <v>58206</v>
      </c>
      <c r="G6052" s="3" t="s">
        <v>62</v>
      </c>
      <c r="I6052" s="3" t="s">
        <v>62</v>
      </c>
      <c r="J6052" s="3" t="s">
        <v>62</v>
      </c>
      <c r="K6052" s="3" t="s">
        <v>63</v>
      </c>
      <c r="L6052" s="2" t="s">
        <v>58207</v>
      </c>
      <c r="M6052" s="2" t="s">
        <v>58208</v>
      </c>
      <c r="N6052" s="3" t="s">
        <v>2107</v>
      </c>
      <c r="O6052" s="2" t="s">
        <v>52703</v>
      </c>
      <c r="P6052" s="3" t="s">
        <v>110</v>
      </c>
      <c r="R6052" s="3" t="s">
        <v>66</v>
      </c>
      <c r="S6052" s="4">
        <v>1</v>
      </c>
      <c r="T6052" s="4">
        <v>1</v>
      </c>
      <c r="U6052" s="5" t="s">
        <v>18039</v>
      </c>
      <c r="V6052" s="5" t="s">
        <v>18039</v>
      </c>
      <c r="W6052" s="5" t="s">
        <v>67</v>
      </c>
      <c r="X6052" s="5" t="s">
        <v>67</v>
      </c>
      <c r="Y6052" s="4">
        <v>38</v>
      </c>
      <c r="Z6052" s="4">
        <v>19</v>
      </c>
      <c r="AA6052" s="4">
        <v>36</v>
      </c>
      <c r="AB6052" s="4">
        <v>8</v>
      </c>
      <c r="AC6052" s="4">
        <v>12</v>
      </c>
      <c r="AD6052" s="4">
        <v>12</v>
      </c>
      <c r="AE6052" s="4">
        <v>26</v>
      </c>
      <c r="AF6052" s="4">
        <v>5</v>
      </c>
      <c r="AG6052" s="4">
        <v>7</v>
      </c>
      <c r="AH6052" s="4">
        <v>3</v>
      </c>
      <c r="AI6052" s="4">
        <v>10</v>
      </c>
      <c r="AJ6052" s="4">
        <v>9</v>
      </c>
      <c r="AK6052" s="4">
        <v>18</v>
      </c>
      <c r="AL6052" s="4">
        <v>0</v>
      </c>
      <c r="AM6052" s="4">
        <v>1</v>
      </c>
      <c r="AN6052" s="4">
        <v>0</v>
      </c>
      <c r="AO6052" s="4">
        <v>0</v>
      </c>
      <c r="AP6052" s="4">
        <v>10</v>
      </c>
      <c r="AQ6052" s="4">
        <v>23</v>
      </c>
      <c r="AR6052" s="3" t="s">
        <v>61</v>
      </c>
      <c r="AS6052" s="3" t="s">
        <v>62</v>
      </c>
      <c r="AT6052" s="3" t="s">
        <v>62</v>
      </c>
      <c r="AV6052" s="6" t="str">
        <f>HYPERLINK("http://mcgill.on.worldcat.org/oclc/15975955","Catalog Record")</f>
        <v>Catalog Record</v>
      </c>
      <c r="AW6052" s="6" t="str">
        <f>HYPERLINK("http://www.worldcat.org/oclc/15975955","WorldCat Record")</f>
        <v>WorldCat Record</v>
      </c>
      <c r="AX6052" s="3" t="s">
        <v>58209</v>
      </c>
      <c r="AY6052" s="3" t="s">
        <v>58210</v>
      </c>
      <c r="AZ6052" s="3" t="s">
        <v>58211</v>
      </c>
      <c r="BA6052" s="3" t="s">
        <v>58211</v>
      </c>
      <c r="BB6052" s="3" t="s">
        <v>58212</v>
      </c>
      <c r="BC6052" s="3" t="s">
        <v>142</v>
      </c>
      <c r="BD6052" s="3" t="s">
        <v>68</v>
      </c>
      <c r="BE6052" s="3" t="s">
        <v>58213</v>
      </c>
      <c r="BF6052" s="3" t="s">
        <v>58212</v>
      </c>
      <c r="BG6052" s="3" t="s">
        <v>58214</v>
      </c>
    </row>
    <row r="6053" spans="1:59" ht="57" x14ac:dyDescent="0.45">
      <c r="A6053" s="2" t="s">
        <v>59</v>
      </c>
      <c r="B6053" s="2" t="s">
        <v>60</v>
      </c>
      <c r="C6053" s="2" t="s">
        <v>58215</v>
      </c>
      <c r="D6053" s="2" t="s">
        <v>58216</v>
      </c>
      <c r="E6053" s="2" t="s">
        <v>58217</v>
      </c>
      <c r="G6053" s="3" t="s">
        <v>62</v>
      </c>
      <c r="I6053" s="3" t="s">
        <v>62</v>
      </c>
      <c r="J6053" s="3" t="s">
        <v>62</v>
      </c>
      <c r="K6053" s="3" t="s">
        <v>63</v>
      </c>
      <c r="M6053" s="2" t="s">
        <v>41149</v>
      </c>
      <c r="N6053" s="3" t="s">
        <v>149</v>
      </c>
      <c r="P6053" s="3" t="s">
        <v>65</v>
      </c>
      <c r="Q6053" s="2" t="s">
        <v>58218</v>
      </c>
      <c r="R6053" s="3" t="s">
        <v>66</v>
      </c>
      <c r="S6053" s="4">
        <v>0</v>
      </c>
      <c r="T6053" s="4">
        <v>0</v>
      </c>
      <c r="W6053" s="5" t="s">
        <v>67</v>
      </c>
      <c r="X6053" s="5" t="s">
        <v>67</v>
      </c>
      <c r="Y6053" s="4">
        <v>64</v>
      </c>
      <c r="Z6053" s="4">
        <v>9</v>
      </c>
      <c r="AA6053" s="4">
        <v>95</v>
      </c>
      <c r="AB6053" s="4">
        <v>2</v>
      </c>
      <c r="AC6053" s="4">
        <v>17</v>
      </c>
      <c r="AD6053" s="4">
        <v>29</v>
      </c>
      <c r="AE6053" s="4">
        <v>104</v>
      </c>
      <c r="AF6053" s="4">
        <v>1</v>
      </c>
      <c r="AG6053" s="4">
        <v>8</v>
      </c>
      <c r="AH6053" s="4">
        <v>27</v>
      </c>
      <c r="AI6053" s="4">
        <v>70</v>
      </c>
      <c r="AJ6053" s="4">
        <v>6</v>
      </c>
      <c r="AK6053" s="4">
        <v>20</v>
      </c>
      <c r="AL6053" s="4">
        <v>19</v>
      </c>
      <c r="AM6053" s="4">
        <v>36</v>
      </c>
      <c r="AN6053" s="4">
        <v>0</v>
      </c>
      <c r="AO6053" s="4">
        <v>0</v>
      </c>
      <c r="AP6053" s="4">
        <v>6</v>
      </c>
      <c r="AQ6053" s="4">
        <v>41</v>
      </c>
      <c r="AR6053" s="3" t="s">
        <v>62</v>
      </c>
      <c r="AS6053" s="3" t="s">
        <v>62</v>
      </c>
      <c r="AT6053" s="3" t="s">
        <v>62</v>
      </c>
      <c r="AV6053" s="6" t="str">
        <f>HYPERLINK("http://mcgill.on.worldcat.org/oclc/460712681","Catalog Record")</f>
        <v>Catalog Record</v>
      </c>
      <c r="AW6053" s="6" t="str">
        <f>HYPERLINK("http://www.worldcat.org/oclc/460712681","WorldCat Record")</f>
        <v>WorldCat Record</v>
      </c>
      <c r="AX6053" s="3" t="s">
        <v>58219</v>
      </c>
      <c r="AY6053" s="3" t="s">
        <v>58220</v>
      </c>
      <c r="AZ6053" s="3" t="s">
        <v>58221</v>
      </c>
      <c r="BA6053" s="3" t="s">
        <v>58221</v>
      </c>
      <c r="BB6053" s="3" t="s">
        <v>58222</v>
      </c>
      <c r="BC6053" s="3" t="s">
        <v>142</v>
      </c>
      <c r="BD6053" s="3" t="s">
        <v>68</v>
      </c>
      <c r="BE6053" s="3" t="s">
        <v>58223</v>
      </c>
      <c r="BF6053" s="3" t="s">
        <v>58222</v>
      </c>
      <c r="BG6053" s="3" t="s">
        <v>58224</v>
      </c>
    </row>
    <row r="6054" spans="1:59" ht="57" x14ac:dyDescent="0.45">
      <c r="A6054" s="2" t="s">
        <v>59</v>
      </c>
      <c r="B6054" s="2" t="s">
        <v>60</v>
      </c>
      <c r="C6054" s="2" t="s">
        <v>58225</v>
      </c>
      <c r="D6054" s="2" t="s">
        <v>58226</v>
      </c>
      <c r="E6054" s="2" t="s">
        <v>58227</v>
      </c>
      <c r="G6054" s="3" t="s">
        <v>62</v>
      </c>
      <c r="I6054" s="3" t="s">
        <v>62</v>
      </c>
      <c r="J6054" s="3" t="s">
        <v>62</v>
      </c>
      <c r="K6054" s="3" t="s">
        <v>63</v>
      </c>
      <c r="M6054" s="2" t="s">
        <v>12027</v>
      </c>
      <c r="N6054" s="3" t="s">
        <v>5180</v>
      </c>
      <c r="P6054" s="3" t="s">
        <v>58228</v>
      </c>
      <c r="R6054" s="3" t="s">
        <v>66</v>
      </c>
      <c r="S6054" s="4">
        <v>0</v>
      </c>
      <c r="T6054" s="4">
        <v>0</v>
      </c>
      <c r="W6054" s="5" t="s">
        <v>67</v>
      </c>
      <c r="X6054" s="5" t="s">
        <v>67</v>
      </c>
      <c r="Y6054" s="4">
        <v>21</v>
      </c>
      <c r="Z6054" s="4">
        <v>2</v>
      </c>
      <c r="AA6054" s="4">
        <v>2</v>
      </c>
      <c r="AB6054" s="4">
        <v>1</v>
      </c>
      <c r="AC6054" s="4">
        <v>1</v>
      </c>
      <c r="AD6054" s="4">
        <v>18</v>
      </c>
      <c r="AE6054" s="4">
        <v>18</v>
      </c>
      <c r="AF6054" s="4">
        <v>0</v>
      </c>
      <c r="AG6054" s="4">
        <v>0</v>
      </c>
      <c r="AH6054" s="4">
        <v>17</v>
      </c>
      <c r="AI6054" s="4">
        <v>17</v>
      </c>
      <c r="AJ6054" s="4">
        <v>1</v>
      </c>
      <c r="AK6054" s="4">
        <v>1</v>
      </c>
      <c r="AL6054" s="4">
        <v>15</v>
      </c>
      <c r="AM6054" s="4">
        <v>15</v>
      </c>
      <c r="AN6054" s="4">
        <v>0</v>
      </c>
      <c r="AO6054" s="4">
        <v>0</v>
      </c>
      <c r="AP6054" s="4">
        <v>1</v>
      </c>
      <c r="AQ6054" s="4">
        <v>1</v>
      </c>
      <c r="AR6054" s="3" t="s">
        <v>62</v>
      </c>
      <c r="AS6054" s="3" t="s">
        <v>62</v>
      </c>
      <c r="AT6054" s="3" t="s">
        <v>62</v>
      </c>
      <c r="AV6054" s="6" t="str">
        <f>HYPERLINK("http://mcgill.on.worldcat.org/oclc/1030919008","Catalog Record")</f>
        <v>Catalog Record</v>
      </c>
      <c r="AW6054" s="6" t="str">
        <f>HYPERLINK("http://www.worldcat.org/oclc/1030919008","WorldCat Record")</f>
        <v>WorldCat Record</v>
      </c>
      <c r="AX6054" s="3" t="s">
        <v>58229</v>
      </c>
      <c r="AY6054" s="3" t="s">
        <v>58230</v>
      </c>
      <c r="AZ6054" s="3" t="s">
        <v>58231</v>
      </c>
      <c r="BA6054" s="3" t="s">
        <v>58231</v>
      </c>
      <c r="BB6054" s="3" t="s">
        <v>58232</v>
      </c>
      <c r="BC6054" s="3" t="s">
        <v>142</v>
      </c>
      <c r="BD6054" s="3" t="s">
        <v>68</v>
      </c>
      <c r="BE6054" s="3" t="s">
        <v>58233</v>
      </c>
      <c r="BF6054" s="3" t="s">
        <v>58232</v>
      </c>
      <c r="BG6054" s="3" t="s">
        <v>58234</v>
      </c>
    </row>
    <row r="6055" spans="1:59" ht="57" x14ac:dyDescent="0.45">
      <c r="A6055" s="2" t="s">
        <v>59</v>
      </c>
      <c r="B6055" s="2" t="s">
        <v>412</v>
      </c>
      <c r="C6055" s="2" t="s">
        <v>58235</v>
      </c>
      <c r="D6055" s="2" t="s">
        <v>58236</v>
      </c>
      <c r="E6055" s="2" t="s">
        <v>58237</v>
      </c>
      <c r="G6055" s="3" t="s">
        <v>62</v>
      </c>
      <c r="I6055" s="3" t="s">
        <v>62</v>
      </c>
      <c r="J6055" s="3" t="s">
        <v>62</v>
      </c>
      <c r="K6055" s="3" t="s">
        <v>63</v>
      </c>
      <c r="M6055" s="2" t="s">
        <v>1881</v>
      </c>
      <c r="N6055" s="3" t="s">
        <v>1253</v>
      </c>
      <c r="P6055" s="3" t="s">
        <v>65</v>
      </c>
      <c r="Q6055" s="2" t="s">
        <v>7244</v>
      </c>
      <c r="R6055" s="3" t="s">
        <v>66</v>
      </c>
      <c r="S6055" s="4">
        <v>50</v>
      </c>
      <c r="T6055" s="4">
        <v>50</v>
      </c>
      <c r="U6055" s="5" t="s">
        <v>51267</v>
      </c>
      <c r="V6055" s="5" t="s">
        <v>51267</v>
      </c>
      <c r="W6055" s="5" t="s">
        <v>67</v>
      </c>
      <c r="X6055" s="5" t="s">
        <v>67</v>
      </c>
      <c r="Y6055" s="4">
        <v>320</v>
      </c>
      <c r="Z6055" s="4">
        <v>16</v>
      </c>
      <c r="AA6055" s="4">
        <v>21</v>
      </c>
      <c r="AB6055" s="4">
        <v>1</v>
      </c>
      <c r="AC6055" s="4">
        <v>5</v>
      </c>
      <c r="AD6055" s="4">
        <v>58</v>
      </c>
      <c r="AE6055" s="4">
        <v>62</v>
      </c>
      <c r="AF6055" s="4">
        <v>0</v>
      </c>
      <c r="AG6055" s="4">
        <v>3</v>
      </c>
      <c r="AH6055" s="4">
        <v>51</v>
      </c>
      <c r="AI6055" s="4">
        <v>52</v>
      </c>
      <c r="AJ6055" s="4">
        <v>6</v>
      </c>
      <c r="AK6055" s="4">
        <v>9</v>
      </c>
      <c r="AL6055" s="4">
        <v>33</v>
      </c>
      <c r="AM6055" s="4">
        <v>33</v>
      </c>
      <c r="AN6055" s="4">
        <v>0</v>
      </c>
      <c r="AO6055" s="4">
        <v>0</v>
      </c>
      <c r="AP6055" s="4">
        <v>10</v>
      </c>
      <c r="AQ6055" s="4">
        <v>13</v>
      </c>
      <c r="AR6055" s="3" t="s">
        <v>62</v>
      </c>
      <c r="AS6055" s="3" t="s">
        <v>62</v>
      </c>
      <c r="AT6055" s="3" t="s">
        <v>62</v>
      </c>
      <c r="AV6055" s="6" t="str">
        <f>HYPERLINK("http://mcgill.on.worldcat.org/oclc/37748597","Catalog Record")</f>
        <v>Catalog Record</v>
      </c>
      <c r="AW6055" s="6" t="str">
        <f>HYPERLINK("http://www.worldcat.org/oclc/37748597","WorldCat Record")</f>
        <v>WorldCat Record</v>
      </c>
      <c r="AX6055" s="3" t="s">
        <v>58238</v>
      </c>
      <c r="AY6055" s="3" t="s">
        <v>58239</v>
      </c>
      <c r="AZ6055" s="3" t="s">
        <v>58240</v>
      </c>
      <c r="BA6055" s="3" t="s">
        <v>58240</v>
      </c>
      <c r="BB6055" s="3" t="s">
        <v>58241</v>
      </c>
      <c r="BC6055" s="3" t="s">
        <v>142</v>
      </c>
      <c r="BD6055" s="3" t="s">
        <v>308</v>
      </c>
      <c r="BE6055" s="3" t="s">
        <v>58242</v>
      </c>
      <c r="BF6055" s="3" t="s">
        <v>58241</v>
      </c>
      <c r="BG6055" s="3" t="s">
        <v>58243</v>
      </c>
    </row>
    <row r="6056" spans="1:59" ht="57" x14ac:dyDescent="0.45">
      <c r="A6056" s="2" t="s">
        <v>59</v>
      </c>
      <c r="B6056" s="2" t="s">
        <v>60</v>
      </c>
      <c r="C6056" s="2" t="s">
        <v>58244</v>
      </c>
      <c r="D6056" s="2" t="s">
        <v>58245</v>
      </c>
      <c r="E6056" s="2" t="s">
        <v>58246</v>
      </c>
      <c r="G6056" s="3" t="s">
        <v>62</v>
      </c>
      <c r="I6056" s="3" t="s">
        <v>62</v>
      </c>
      <c r="J6056" s="3" t="s">
        <v>62</v>
      </c>
      <c r="K6056" s="3" t="s">
        <v>63</v>
      </c>
      <c r="L6056" s="2" t="s">
        <v>58247</v>
      </c>
      <c r="M6056" s="2" t="s">
        <v>58248</v>
      </c>
      <c r="N6056" s="3" t="s">
        <v>820</v>
      </c>
      <c r="P6056" s="3" t="s">
        <v>110</v>
      </c>
      <c r="R6056" s="3" t="s">
        <v>66</v>
      </c>
      <c r="S6056" s="4">
        <v>4</v>
      </c>
      <c r="T6056" s="4">
        <v>4</v>
      </c>
      <c r="U6056" s="5" t="s">
        <v>22785</v>
      </c>
      <c r="V6056" s="5" t="s">
        <v>22785</v>
      </c>
      <c r="W6056" s="5" t="s">
        <v>67</v>
      </c>
      <c r="X6056" s="5" t="s">
        <v>67</v>
      </c>
      <c r="Y6056" s="4">
        <v>12</v>
      </c>
      <c r="Z6056" s="4">
        <v>6</v>
      </c>
      <c r="AA6056" s="4">
        <v>19</v>
      </c>
      <c r="AB6056" s="4">
        <v>2</v>
      </c>
      <c r="AC6056" s="4">
        <v>10</v>
      </c>
      <c r="AD6056" s="4">
        <v>8</v>
      </c>
      <c r="AE6056" s="4">
        <v>17</v>
      </c>
      <c r="AF6056" s="4">
        <v>1</v>
      </c>
      <c r="AG6056" s="4">
        <v>6</v>
      </c>
      <c r="AH6056" s="4">
        <v>6</v>
      </c>
      <c r="AI6056" s="4">
        <v>9</v>
      </c>
      <c r="AJ6056" s="4">
        <v>5</v>
      </c>
      <c r="AK6056" s="4">
        <v>12</v>
      </c>
      <c r="AL6056" s="4">
        <v>2</v>
      </c>
      <c r="AM6056" s="4">
        <v>2</v>
      </c>
      <c r="AN6056" s="4">
        <v>0</v>
      </c>
      <c r="AO6056" s="4">
        <v>0</v>
      </c>
      <c r="AP6056" s="4">
        <v>5</v>
      </c>
      <c r="AQ6056" s="4">
        <v>12</v>
      </c>
      <c r="AR6056" s="3" t="s">
        <v>61</v>
      </c>
      <c r="AS6056" s="3" t="s">
        <v>62</v>
      </c>
      <c r="AT6056" s="3" t="s">
        <v>62</v>
      </c>
      <c r="AV6056" s="6" t="str">
        <f>HYPERLINK("http://mcgill.on.worldcat.org/oclc/271188446","Catalog Record")</f>
        <v>Catalog Record</v>
      </c>
      <c r="AW6056" s="6" t="str">
        <f>HYPERLINK("http://www.worldcat.org/oclc/271188446","WorldCat Record")</f>
        <v>WorldCat Record</v>
      </c>
      <c r="AX6056" s="3" t="s">
        <v>58249</v>
      </c>
      <c r="AY6056" s="3" t="s">
        <v>58250</v>
      </c>
      <c r="AZ6056" s="3" t="s">
        <v>58251</v>
      </c>
      <c r="BA6056" s="3" t="s">
        <v>58251</v>
      </c>
      <c r="BB6056" s="3" t="s">
        <v>58252</v>
      </c>
      <c r="BC6056" s="3" t="s">
        <v>142</v>
      </c>
      <c r="BD6056" s="3" t="s">
        <v>68</v>
      </c>
      <c r="BE6056" s="3" t="s">
        <v>58253</v>
      </c>
      <c r="BF6056" s="3" t="s">
        <v>58252</v>
      </c>
      <c r="BG6056" s="3" t="s">
        <v>58254</v>
      </c>
    </row>
    <row r="6057" spans="1:59" ht="57" x14ac:dyDescent="0.45">
      <c r="A6057" s="2" t="s">
        <v>59</v>
      </c>
      <c r="B6057" s="2" t="s">
        <v>60</v>
      </c>
      <c r="C6057" s="2" t="s">
        <v>58255</v>
      </c>
      <c r="D6057" s="2" t="s">
        <v>58256</v>
      </c>
      <c r="E6057" s="2" t="s">
        <v>58257</v>
      </c>
      <c r="G6057" s="3" t="s">
        <v>62</v>
      </c>
      <c r="I6057" s="3" t="s">
        <v>62</v>
      </c>
      <c r="J6057" s="3" t="s">
        <v>62</v>
      </c>
      <c r="K6057" s="3" t="s">
        <v>63</v>
      </c>
      <c r="L6057" s="2" t="s">
        <v>10737</v>
      </c>
      <c r="M6057" s="2" t="s">
        <v>1266</v>
      </c>
      <c r="N6057" s="3" t="s">
        <v>1059</v>
      </c>
      <c r="P6057" s="3" t="s">
        <v>65</v>
      </c>
      <c r="R6057" s="3" t="s">
        <v>66</v>
      </c>
      <c r="S6057" s="4">
        <v>16</v>
      </c>
      <c r="T6057" s="4">
        <v>16</v>
      </c>
      <c r="U6057" s="5" t="s">
        <v>58258</v>
      </c>
      <c r="V6057" s="5" t="s">
        <v>58258</v>
      </c>
      <c r="W6057" s="5" t="s">
        <v>67</v>
      </c>
      <c r="X6057" s="5" t="s">
        <v>67</v>
      </c>
      <c r="Y6057" s="4">
        <v>514</v>
      </c>
      <c r="Z6057" s="4">
        <v>31</v>
      </c>
      <c r="AA6057" s="4">
        <v>89</v>
      </c>
      <c r="AB6057" s="4">
        <v>2</v>
      </c>
      <c r="AC6057" s="4">
        <v>14</v>
      </c>
      <c r="AD6057" s="4">
        <v>112</v>
      </c>
      <c r="AE6057" s="4">
        <v>144</v>
      </c>
      <c r="AF6057" s="4">
        <v>1</v>
      </c>
      <c r="AG6057" s="4">
        <v>8</v>
      </c>
      <c r="AH6057" s="4">
        <v>98</v>
      </c>
      <c r="AI6057" s="4">
        <v>107</v>
      </c>
      <c r="AJ6057" s="4">
        <v>16</v>
      </c>
      <c r="AK6057" s="4">
        <v>24</v>
      </c>
      <c r="AL6057" s="4">
        <v>53</v>
      </c>
      <c r="AM6057" s="4">
        <v>57</v>
      </c>
      <c r="AN6057" s="4">
        <v>0</v>
      </c>
      <c r="AO6057" s="4">
        <v>0</v>
      </c>
      <c r="AP6057" s="4">
        <v>20</v>
      </c>
      <c r="AQ6057" s="4">
        <v>45</v>
      </c>
      <c r="AR6057" s="3" t="s">
        <v>62</v>
      </c>
      <c r="AS6057" s="3" t="s">
        <v>62</v>
      </c>
      <c r="AT6057" s="3" t="s">
        <v>62</v>
      </c>
      <c r="AV6057" s="6" t="str">
        <f>HYPERLINK("http://mcgill.on.worldcat.org/oclc/64065804","Catalog Record")</f>
        <v>Catalog Record</v>
      </c>
      <c r="AW6057" s="6" t="str">
        <f>HYPERLINK("http://www.worldcat.org/oclc/64065804","WorldCat Record")</f>
        <v>WorldCat Record</v>
      </c>
      <c r="AX6057" s="3" t="s">
        <v>58259</v>
      </c>
      <c r="AY6057" s="3" t="s">
        <v>58260</v>
      </c>
      <c r="AZ6057" s="3" t="s">
        <v>58261</v>
      </c>
      <c r="BA6057" s="3" t="s">
        <v>58261</v>
      </c>
      <c r="BB6057" s="3" t="s">
        <v>58262</v>
      </c>
      <c r="BC6057" s="3" t="s">
        <v>142</v>
      </c>
      <c r="BD6057" s="3" t="s">
        <v>68</v>
      </c>
      <c r="BE6057" s="3" t="s">
        <v>58263</v>
      </c>
      <c r="BF6057" s="3" t="s">
        <v>58262</v>
      </c>
      <c r="BG6057" s="3" t="s">
        <v>58264</v>
      </c>
    </row>
    <row r="6058" spans="1:59" ht="57" x14ac:dyDescent="0.45">
      <c r="A6058" s="2" t="s">
        <v>59</v>
      </c>
      <c r="B6058" s="2" t="s">
        <v>60</v>
      </c>
      <c r="C6058" s="2" t="s">
        <v>58265</v>
      </c>
      <c r="D6058" s="2" t="s">
        <v>58266</v>
      </c>
      <c r="E6058" s="2" t="s">
        <v>58267</v>
      </c>
      <c r="G6058" s="3" t="s">
        <v>62</v>
      </c>
      <c r="I6058" s="3" t="s">
        <v>62</v>
      </c>
      <c r="J6058" s="3" t="s">
        <v>62</v>
      </c>
      <c r="K6058" s="3" t="s">
        <v>63</v>
      </c>
      <c r="L6058" s="2" t="s">
        <v>58268</v>
      </c>
      <c r="M6058" s="2" t="s">
        <v>53201</v>
      </c>
      <c r="N6058" s="3" t="s">
        <v>1155</v>
      </c>
      <c r="P6058" s="3" t="s">
        <v>65</v>
      </c>
      <c r="R6058" s="3" t="s">
        <v>66</v>
      </c>
      <c r="S6058" s="4">
        <v>1</v>
      </c>
      <c r="T6058" s="4">
        <v>1</v>
      </c>
      <c r="U6058" s="5" t="s">
        <v>16996</v>
      </c>
      <c r="V6058" s="5" t="s">
        <v>16996</v>
      </c>
      <c r="W6058" s="5" t="s">
        <v>67</v>
      </c>
      <c r="X6058" s="5" t="s">
        <v>67</v>
      </c>
      <c r="Y6058" s="4">
        <v>142</v>
      </c>
      <c r="Z6058" s="4">
        <v>19</v>
      </c>
      <c r="AA6058" s="4">
        <v>101</v>
      </c>
      <c r="AB6058" s="4">
        <v>2</v>
      </c>
      <c r="AC6058" s="4">
        <v>14</v>
      </c>
      <c r="AD6058" s="4">
        <v>59</v>
      </c>
      <c r="AE6058" s="4">
        <v>114</v>
      </c>
      <c r="AF6058" s="4">
        <v>1</v>
      </c>
      <c r="AG6058" s="4">
        <v>8</v>
      </c>
      <c r="AH6058" s="4">
        <v>50</v>
      </c>
      <c r="AI6058" s="4">
        <v>77</v>
      </c>
      <c r="AJ6058" s="4">
        <v>13</v>
      </c>
      <c r="AK6058" s="4">
        <v>23</v>
      </c>
      <c r="AL6058" s="4">
        <v>29</v>
      </c>
      <c r="AM6058" s="4">
        <v>41</v>
      </c>
      <c r="AN6058" s="4">
        <v>0</v>
      </c>
      <c r="AO6058" s="4">
        <v>0</v>
      </c>
      <c r="AP6058" s="4">
        <v>17</v>
      </c>
      <c r="AQ6058" s="4">
        <v>45</v>
      </c>
      <c r="AR6058" s="3" t="s">
        <v>62</v>
      </c>
      <c r="AS6058" s="3" t="s">
        <v>62</v>
      </c>
      <c r="AT6058" s="3" t="s">
        <v>62</v>
      </c>
      <c r="AV6058" s="6" t="str">
        <f>HYPERLINK("http://mcgill.on.worldcat.org/oclc/759914928","Catalog Record")</f>
        <v>Catalog Record</v>
      </c>
      <c r="AW6058" s="6" t="str">
        <f>HYPERLINK("http://www.worldcat.org/oclc/759914928","WorldCat Record")</f>
        <v>WorldCat Record</v>
      </c>
      <c r="AX6058" s="3" t="s">
        <v>58269</v>
      </c>
      <c r="AY6058" s="3" t="s">
        <v>58270</v>
      </c>
      <c r="AZ6058" s="3" t="s">
        <v>58271</v>
      </c>
      <c r="BA6058" s="3" t="s">
        <v>58271</v>
      </c>
      <c r="BB6058" s="3" t="s">
        <v>58272</v>
      </c>
      <c r="BC6058" s="3" t="s">
        <v>142</v>
      </c>
      <c r="BD6058" s="3" t="s">
        <v>68</v>
      </c>
      <c r="BE6058" s="3" t="s">
        <v>58273</v>
      </c>
      <c r="BF6058" s="3" t="s">
        <v>58272</v>
      </c>
      <c r="BG6058" s="3" t="s">
        <v>58274</v>
      </c>
    </row>
    <row r="6059" spans="1:59" ht="71.25" x14ac:dyDescent="0.45">
      <c r="A6059" s="2" t="s">
        <v>59</v>
      </c>
      <c r="B6059" s="2" t="s">
        <v>13360</v>
      </c>
      <c r="C6059" s="2" t="s">
        <v>58275</v>
      </c>
      <c r="D6059" s="2" t="s">
        <v>58276</v>
      </c>
      <c r="E6059" s="2" t="s">
        <v>58277</v>
      </c>
      <c r="G6059" s="3" t="s">
        <v>62</v>
      </c>
      <c r="I6059" s="3" t="s">
        <v>62</v>
      </c>
      <c r="J6059" s="3" t="s">
        <v>62</v>
      </c>
      <c r="K6059" s="3" t="s">
        <v>63</v>
      </c>
      <c r="L6059" s="2" t="s">
        <v>58278</v>
      </c>
      <c r="M6059" s="2" t="s">
        <v>34062</v>
      </c>
      <c r="N6059" s="3" t="s">
        <v>1465</v>
      </c>
      <c r="P6059" s="3" t="s">
        <v>65</v>
      </c>
      <c r="Q6059" s="2" t="s">
        <v>34782</v>
      </c>
      <c r="R6059" s="3" t="s">
        <v>66</v>
      </c>
      <c r="S6059" s="4">
        <v>3</v>
      </c>
      <c r="T6059" s="4">
        <v>3</v>
      </c>
      <c r="U6059" s="5" t="s">
        <v>12331</v>
      </c>
      <c r="V6059" s="5" t="s">
        <v>12331</v>
      </c>
      <c r="W6059" s="5" t="s">
        <v>67</v>
      </c>
      <c r="X6059" s="5" t="s">
        <v>67</v>
      </c>
      <c r="Y6059" s="4">
        <v>256</v>
      </c>
      <c r="Z6059" s="4">
        <v>24</v>
      </c>
      <c r="AA6059" s="4">
        <v>25</v>
      </c>
      <c r="AB6059" s="4">
        <v>3</v>
      </c>
      <c r="AC6059" s="4">
        <v>4</v>
      </c>
      <c r="AD6059" s="4">
        <v>98</v>
      </c>
      <c r="AE6059" s="4">
        <v>100</v>
      </c>
      <c r="AF6059" s="4">
        <v>1</v>
      </c>
      <c r="AG6059" s="4">
        <v>2</v>
      </c>
      <c r="AH6059" s="4">
        <v>87</v>
      </c>
      <c r="AI6059" s="4">
        <v>89</v>
      </c>
      <c r="AJ6059" s="4">
        <v>19</v>
      </c>
      <c r="AK6059" s="4">
        <v>20</v>
      </c>
      <c r="AL6059" s="4">
        <v>49</v>
      </c>
      <c r="AM6059" s="4">
        <v>50</v>
      </c>
      <c r="AN6059" s="4">
        <v>0</v>
      </c>
      <c r="AO6059" s="4">
        <v>0</v>
      </c>
      <c r="AP6059" s="4">
        <v>21</v>
      </c>
      <c r="AQ6059" s="4">
        <v>22</v>
      </c>
      <c r="AR6059" s="3" t="s">
        <v>62</v>
      </c>
      <c r="AS6059" s="3" t="s">
        <v>62</v>
      </c>
      <c r="AT6059" s="3" t="s">
        <v>62</v>
      </c>
      <c r="AV6059" s="6" t="str">
        <f>HYPERLINK("http://mcgill.on.worldcat.org/oclc/422765004","Catalog Record")</f>
        <v>Catalog Record</v>
      </c>
      <c r="AW6059" s="6" t="str">
        <f>HYPERLINK("http://www.worldcat.org/oclc/422765004","WorldCat Record")</f>
        <v>WorldCat Record</v>
      </c>
      <c r="AX6059" s="3" t="s">
        <v>58279</v>
      </c>
      <c r="AY6059" s="3" t="s">
        <v>58280</v>
      </c>
      <c r="AZ6059" s="3" t="s">
        <v>58281</v>
      </c>
      <c r="BA6059" s="3" t="s">
        <v>58281</v>
      </c>
      <c r="BB6059" s="3" t="s">
        <v>58282</v>
      </c>
      <c r="BC6059" s="3" t="s">
        <v>142</v>
      </c>
      <c r="BD6059" s="3" t="s">
        <v>68</v>
      </c>
      <c r="BE6059" s="3" t="s">
        <v>58283</v>
      </c>
      <c r="BF6059" s="3" t="s">
        <v>58282</v>
      </c>
      <c r="BG6059" s="3" t="s">
        <v>58284</v>
      </c>
    </row>
    <row r="6060" spans="1:59" ht="57" x14ac:dyDescent="0.45">
      <c r="A6060" s="2" t="s">
        <v>59</v>
      </c>
      <c r="B6060" s="2" t="s">
        <v>60</v>
      </c>
      <c r="C6060" s="2" t="s">
        <v>58285</v>
      </c>
      <c r="D6060" s="2" t="s">
        <v>58286</v>
      </c>
      <c r="E6060" s="2" t="s">
        <v>58287</v>
      </c>
      <c r="G6060" s="3" t="s">
        <v>62</v>
      </c>
      <c r="I6060" s="3" t="s">
        <v>62</v>
      </c>
      <c r="J6060" s="3" t="s">
        <v>62</v>
      </c>
      <c r="K6060" s="3" t="s">
        <v>63</v>
      </c>
      <c r="M6060" s="2" t="s">
        <v>58288</v>
      </c>
      <c r="N6060" s="3" t="s">
        <v>1918</v>
      </c>
      <c r="P6060" s="3" t="s">
        <v>326</v>
      </c>
      <c r="R6060" s="3" t="s">
        <v>66</v>
      </c>
      <c r="S6060" s="4">
        <v>0</v>
      </c>
      <c r="T6060" s="4">
        <v>0</v>
      </c>
      <c r="W6060" s="5" t="s">
        <v>67</v>
      </c>
      <c r="X6060" s="5" t="s">
        <v>67</v>
      </c>
      <c r="Y6060" s="4">
        <v>31</v>
      </c>
      <c r="Z6060" s="4">
        <v>1</v>
      </c>
      <c r="AA6060" s="4">
        <v>3</v>
      </c>
      <c r="AB6060" s="4">
        <v>1</v>
      </c>
      <c r="AC6060" s="4">
        <v>3</v>
      </c>
      <c r="AD6060" s="4">
        <v>23</v>
      </c>
      <c r="AE6060" s="4">
        <v>27</v>
      </c>
      <c r="AF6060" s="4">
        <v>0</v>
      </c>
      <c r="AG6060" s="4">
        <v>0</v>
      </c>
      <c r="AH6060" s="4">
        <v>22</v>
      </c>
      <c r="AI6060" s="4">
        <v>26</v>
      </c>
      <c r="AJ6060" s="4">
        <v>0</v>
      </c>
      <c r="AK6060" s="4">
        <v>0</v>
      </c>
      <c r="AL6060" s="4">
        <v>19</v>
      </c>
      <c r="AM6060" s="4">
        <v>22</v>
      </c>
      <c r="AN6060" s="4">
        <v>0</v>
      </c>
      <c r="AO6060" s="4">
        <v>0</v>
      </c>
      <c r="AP6060" s="4">
        <v>0</v>
      </c>
      <c r="AQ6060" s="4">
        <v>0</v>
      </c>
      <c r="AR6060" s="3" t="s">
        <v>62</v>
      </c>
      <c r="AS6060" s="3" t="s">
        <v>62</v>
      </c>
      <c r="AT6060" s="3" t="s">
        <v>62</v>
      </c>
      <c r="AV6060" s="6" t="str">
        <f>HYPERLINK("http://mcgill.on.worldcat.org/oclc/1018284310","Catalog Record")</f>
        <v>Catalog Record</v>
      </c>
      <c r="AW6060" s="6" t="str">
        <f>HYPERLINK("http://www.worldcat.org/oclc/1018284310","WorldCat Record")</f>
        <v>WorldCat Record</v>
      </c>
      <c r="AX6060" s="3" t="s">
        <v>58289</v>
      </c>
      <c r="AY6060" s="3" t="s">
        <v>58290</v>
      </c>
      <c r="AZ6060" s="3" t="s">
        <v>58291</v>
      </c>
      <c r="BA6060" s="3" t="s">
        <v>58291</v>
      </c>
      <c r="BB6060" s="3" t="s">
        <v>58292</v>
      </c>
      <c r="BC6060" s="3" t="s">
        <v>142</v>
      </c>
      <c r="BD6060" s="3" t="s">
        <v>68</v>
      </c>
      <c r="BE6060" s="3" t="s">
        <v>58293</v>
      </c>
      <c r="BF6060" s="3" t="s">
        <v>58292</v>
      </c>
      <c r="BG6060" s="3" t="s">
        <v>58294</v>
      </c>
    </row>
    <row r="6061" spans="1:59" ht="57" x14ac:dyDescent="0.45">
      <c r="A6061" s="2" t="s">
        <v>59</v>
      </c>
      <c r="B6061" s="2" t="s">
        <v>60</v>
      </c>
      <c r="C6061" s="2" t="s">
        <v>58295</v>
      </c>
      <c r="D6061" s="2" t="s">
        <v>58296</v>
      </c>
      <c r="E6061" s="2" t="s">
        <v>58297</v>
      </c>
      <c r="G6061" s="3" t="s">
        <v>62</v>
      </c>
      <c r="I6061" s="3" t="s">
        <v>62</v>
      </c>
      <c r="J6061" s="3" t="s">
        <v>62</v>
      </c>
      <c r="K6061" s="3" t="s">
        <v>63</v>
      </c>
      <c r="M6061" s="2" t="s">
        <v>3459</v>
      </c>
      <c r="N6061" s="3" t="s">
        <v>1918</v>
      </c>
      <c r="P6061" s="3" t="s">
        <v>110</v>
      </c>
      <c r="Q6061" s="2" t="s">
        <v>58298</v>
      </c>
      <c r="R6061" s="3" t="s">
        <v>66</v>
      </c>
      <c r="S6061" s="4">
        <v>0</v>
      </c>
      <c r="T6061" s="4">
        <v>0</v>
      </c>
      <c r="W6061" s="5" t="s">
        <v>67</v>
      </c>
      <c r="X6061" s="5" t="s">
        <v>67</v>
      </c>
      <c r="Y6061" s="4">
        <v>13</v>
      </c>
      <c r="Z6061" s="4">
        <v>1</v>
      </c>
      <c r="AA6061" s="4">
        <v>4</v>
      </c>
      <c r="AB6061" s="4">
        <v>1</v>
      </c>
      <c r="AC6061" s="4">
        <v>2</v>
      </c>
      <c r="AD6061" s="4">
        <v>9</v>
      </c>
      <c r="AE6061" s="4">
        <v>11</v>
      </c>
      <c r="AF6061" s="4">
        <v>0</v>
      </c>
      <c r="AG6061" s="4">
        <v>0</v>
      </c>
      <c r="AH6061" s="4">
        <v>8</v>
      </c>
      <c r="AI6061" s="4">
        <v>9</v>
      </c>
      <c r="AJ6061" s="4">
        <v>0</v>
      </c>
      <c r="AK6061" s="4">
        <v>1</v>
      </c>
      <c r="AL6061" s="4">
        <v>6</v>
      </c>
      <c r="AM6061" s="4">
        <v>6</v>
      </c>
      <c r="AN6061" s="4">
        <v>0</v>
      </c>
      <c r="AO6061" s="4">
        <v>0</v>
      </c>
      <c r="AP6061" s="4">
        <v>0</v>
      </c>
      <c r="AQ6061" s="4">
        <v>2</v>
      </c>
      <c r="AR6061" s="3" t="s">
        <v>62</v>
      </c>
      <c r="AS6061" s="3" t="s">
        <v>62</v>
      </c>
      <c r="AT6061" s="3" t="s">
        <v>62</v>
      </c>
      <c r="AV6061" s="6" t="str">
        <f>HYPERLINK("http://mcgill.on.worldcat.org/oclc/978554193","Catalog Record")</f>
        <v>Catalog Record</v>
      </c>
      <c r="AW6061" s="6" t="str">
        <f>HYPERLINK("http://www.worldcat.org/oclc/978554193","WorldCat Record")</f>
        <v>WorldCat Record</v>
      </c>
      <c r="AX6061" s="3" t="s">
        <v>58299</v>
      </c>
      <c r="AY6061" s="3" t="s">
        <v>58300</v>
      </c>
      <c r="AZ6061" s="3" t="s">
        <v>58301</v>
      </c>
      <c r="BA6061" s="3" t="s">
        <v>58301</v>
      </c>
      <c r="BB6061" s="3" t="s">
        <v>58302</v>
      </c>
      <c r="BC6061" s="3" t="s">
        <v>142</v>
      </c>
      <c r="BD6061" s="3" t="s">
        <v>68</v>
      </c>
      <c r="BE6061" s="3" t="s">
        <v>58303</v>
      </c>
      <c r="BF6061" s="3" t="s">
        <v>58302</v>
      </c>
      <c r="BG6061" s="3" t="s">
        <v>58304</v>
      </c>
    </row>
    <row r="6062" spans="1:59" ht="57" x14ac:dyDescent="0.45">
      <c r="A6062" s="2" t="s">
        <v>59</v>
      </c>
      <c r="B6062" s="2" t="s">
        <v>60</v>
      </c>
      <c r="C6062" s="2" t="s">
        <v>58305</v>
      </c>
      <c r="D6062" s="2" t="s">
        <v>58306</v>
      </c>
      <c r="E6062" s="2" t="s">
        <v>58307</v>
      </c>
      <c r="G6062" s="3" t="s">
        <v>62</v>
      </c>
      <c r="I6062" s="3" t="s">
        <v>62</v>
      </c>
      <c r="J6062" s="3" t="s">
        <v>62</v>
      </c>
      <c r="K6062" s="3" t="s">
        <v>63</v>
      </c>
      <c r="M6062" s="2" t="s">
        <v>58308</v>
      </c>
      <c r="N6062" s="3" t="s">
        <v>555</v>
      </c>
      <c r="P6062" s="3" t="s">
        <v>110</v>
      </c>
      <c r="R6062" s="3" t="s">
        <v>66</v>
      </c>
      <c r="S6062" s="4">
        <v>8</v>
      </c>
      <c r="T6062" s="4">
        <v>8</v>
      </c>
      <c r="U6062" s="5" t="s">
        <v>34673</v>
      </c>
      <c r="V6062" s="5" t="s">
        <v>34673</v>
      </c>
      <c r="W6062" s="5" t="s">
        <v>67</v>
      </c>
      <c r="X6062" s="5" t="s">
        <v>67</v>
      </c>
      <c r="Y6062" s="4">
        <v>64</v>
      </c>
      <c r="Z6062" s="4">
        <v>4</v>
      </c>
      <c r="AA6062" s="4">
        <v>4</v>
      </c>
      <c r="AB6062" s="4">
        <v>1</v>
      </c>
      <c r="AC6062" s="4">
        <v>1</v>
      </c>
      <c r="AD6062" s="4">
        <v>36</v>
      </c>
      <c r="AE6062" s="4">
        <v>36</v>
      </c>
      <c r="AF6062" s="4">
        <v>0</v>
      </c>
      <c r="AG6062" s="4">
        <v>0</v>
      </c>
      <c r="AH6062" s="4">
        <v>34</v>
      </c>
      <c r="AI6062" s="4">
        <v>34</v>
      </c>
      <c r="AJ6062" s="4">
        <v>3</v>
      </c>
      <c r="AK6062" s="4">
        <v>3</v>
      </c>
      <c r="AL6062" s="4">
        <v>23</v>
      </c>
      <c r="AM6062" s="4">
        <v>23</v>
      </c>
      <c r="AN6062" s="4">
        <v>0</v>
      </c>
      <c r="AO6062" s="4">
        <v>0</v>
      </c>
      <c r="AP6062" s="4">
        <v>3</v>
      </c>
      <c r="AQ6062" s="4">
        <v>3</v>
      </c>
      <c r="AR6062" s="3" t="s">
        <v>62</v>
      </c>
      <c r="AS6062" s="3" t="s">
        <v>62</v>
      </c>
      <c r="AT6062" s="3" t="s">
        <v>62</v>
      </c>
      <c r="AV6062" s="6" t="str">
        <f>HYPERLINK("http://mcgill.on.worldcat.org/oclc/896794","Catalog Record")</f>
        <v>Catalog Record</v>
      </c>
      <c r="AW6062" s="6" t="str">
        <f>HYPERLINK("http://www.worldcat.org/oclc/896794","WorldCat Record")</f>
        <v>WorldCat Record</v>
      </c>
      <c r="AX6062" s="3" t="s">
        <v>58309</v>
      </c>
      <c r="AY6062" s="3" t="s">
        <v>58310</v>
      </c>
      <c r="AZ6062" s="3" t="s">
        <v>58311</v>
      </c>
      <c r="BA6062" s="3" t="s">
        <v>58311</v>
      </c>
      <c r="BB6062" s="3" t="s">
        <v>58312</v>
      </c>
      <c r="BC6062" s="3" t="s">
        <v>142</v>
      </c>
      <c r="BD6062" s="3" t="s">
        <v>68</v>
      </c>
      <c r="BF6062" s="3" t="s">
        <v>58312</v>
      </c>
      <c r="BG6062" s="3" t="s">
        <v>58313</v>
      </c>
    </row>
    <row r="6063" spans="1:59" ht="57" x14ac:dyDescent="0.45">
      <c r="A6063" s="2" t="s">
        <v>59</v>
      </c>
      <c r="B6063" s="2" t="s">
        <v>60</v>
      </c>
      <c r="C6063" s="2" t="s">
        <v>58314</v>
      </c>
      <c r="D6063" s="2" t="s">
        <v>58315</v>
      </c>
      <c r="E6063" s="2" t="s">
        <v>58316</v>
      </c>
      <c r="G6063" s="3" t="s">
        <v>62</v>
      </c>
      <c r="I6063" s="3" t="s">
        <v>62</v>
      </c>
      <c r="J6063" s="3" t="s">
        <v>62</v>
      </c>
      <c r="K6063" s="3" t="s">
        <v>63</v>
      </c>
      <c r="L6063" s="2" t="s">
        <v>58317</v>
      </c>
      <c r="M6063" s="2" t="s">
        <v>58318</v>
      </c>
      <c r="N6063" s="3" t="s">
        <v>945</v>
      </c>
      <c r="P6063" s="3" t="s">
        <v>65</v>
      </c>
      <c r="R6063" s="3" t="s">
        <v>66</v>
      </c>
      <c r="S6063" s="4">
        <v>3</v>
      </c>
      <c r="T6063" s="4">
        <v>3</v>
      </c>
      <c r="U6063" s="5" t="s">
        <v>17272</v>
      </c>
      <c r="V6063" s="5" t="s">
        <v>17272</v>
      </c>
      <c r="W6063" s="5" t="s">
        <v>67</v>
      </c>
      <c r="X6063" s="5" t="s">
        <v>67</v>
      </c>
      <c r="Y6063" s="4">
        <v>58</v>
      </c>
      <c r="Z6063" s="4">
        <v>5</v>
      </c>
      <c r="AA6063" s="4">
        <v>78</v>
      </c>
      <c r="AB6063" s="4">
        <v>1</v>
      </c>
      <c r="AC6063" s="4">
        <v>14</v>
      </c>
      <c r="AD6063" s="4">
        <v>19</v>
      </c>
      <c r="AE6063" s="4">
        <v>88</v>
      </c>
      <c r="AF6063" s="4">
        <v>0</v>
      </c>
      <c r="AG6063" s="4">
        <v>8</v>
      </c>
      <c r="AH6063" s="4">
        <v>19</v>
      </c>
      <c r="AI6063" s="4">
        <v>58</v>
      </c>
      <c r="AJ6063" s="4">
        <v>3</v>
      </c>
      <c r="AK6063" s="4">
        <v>17</v>
      </c>
      <c r="AL6063" s="4">
        <v>13</v>
      </c>
      <c r="AM6063" s="4">
        <v>29</v>
      </c>
      <c r="AN6063" s="4">
        <v>0</v>
      </c>
      <c r="AO6063" s="4">
        <v>0</v>
      </c>
      <c r="AP6063" s="4">
        <v>3</v>
      </c>
      <c r="AQ6063" s="4">
        <v>37</v>
      </c>
      <c r="AR6063" s="3" t="s">
        <v>62</v>
      </c>
      <c r="AS6063" s="3" t="s">
        <v>62</v>
      </c>
      <c r="AT6063" s="3" t="s">
        <v>62</v>
      </c>
      <c r="AV6063" s="6" t="str">
        <f>HYPERLINK("http://mcgill.on.worldcat.org/oclc/170954650","Catalog Record")</f>
        <v>Catalog Record</v>
      </c>
      <c r="AW6063" s="6" t="str">
        <f>HYPERLINK("http://www.worldcat.org/oclc/170954650","WorldCat Record")</f>
        <v>WorldCat Record</v>
      </c>
      <c r="AX6063" s="3" t="s">
        <v>58319</v>
      </c>
      <c r="AY6063" s="3" t="s">
        <v>58320</v>
      </c>
      <c r="AZ6063" s="3" t="s">
        <v>58321</v>
      </c>
      <c r="BA6063" s="3" t="s">
        <v>58321</v>
      </c>
      <c r="BB6063" s="3" t="s">
        <v>58322</v>
      </c>
      <c r="BC6063" s="3" t="s">
        <v>142</v>
      </c>
      <c r="BD6063" s="3" t="s">
        <v>68</v>
      </c>
      <c r="BE6063" s="3" t="s">
        <v>58323</v>
      </c>
      <c r="BF6063" s="3" t="s">
        <v>58322</v>
      </c>
      <c r="BG6063" s="3" t="s">
        <v>58324</v>
      </c>
    </row>
    <row r="6064" spans="1:59" ht="57" x14ac:dyDescent="0.45">
      <c r="A6064" s="2" t="s">
        <v>59</v>
      </c>
      <c r="B6064" s="2" t="s">
        <v>60</v>
      </c>
      <c r="C6064" s="2" t="s">
        <v>58325</v>
      </c>
      <c r="D6064" s="2" t="s">
        <v>58326</v>
      </c>
      <c r="E6064" s="2" t="s">
        <v>58327</v>
      </c>
      <c r="G6064" s="3" t="s">
        <v>62</v>
      </c>
      <c r="I6064" s="3" t="s">
        <v>62</v>
      </c>
      <c r="J6064" s="3" t="s">
        <v>62</v>
      </c>
      <c r="K6064" s="3" t="s">
        <v>63</v>
      </c>
      <c r="L6064" s="2" t="s">
        <v>58328</v>
      </c>
      <c r="M6064" s="2" t="s">
        <v>58329</v>
      </c>
      <c r="N6064" s="3" t="s">
        <v>1059</v>
      </c>
      <c r="P6064" s="3" t="s">
        <v>65</v>
      </c>
      <c r="Q6064" s="2" t="s">
        <v>58330</v>
      </c>
      <c r="R6064" s="3" t="s">
        <v>66</v>
      </c>
      <c r="S6064" s="4">
        <v>35</v>
      </c>
      <c r="T6064" s="4">
        <v>35</v>
      </c>
      <c r="U6064" s="5" t="s">
        <v>4748</v>
      </c>
      <c r="V6064" s="5" t="s">
        <v>4748</v>
      </c>
      <c r="W6064" s="5" t="s">
        <v>67</v>
      </c>
      <c r="X6064" s="5" t="s">
        <v>67</v>
      </c>
      <c r="Y6064" s="4">
        <v>426</v>
      </c>
      <c r="Z6064" s="4">
        <v>29</v>
      </c>
      <c r="AA6064" s="4">
        <v>94</v>
      </c>
      <c r="AB6064" s="4">
        <v>2</v>
      </c>
      <c r="AC6064" s="4">
        <v>16</v>
      </c>
      <c r="AD6064" s="4">
        <v>114</v>
      </c>
      <c r="AE6064" s="4">
        <v>149</v>
      </c>
      <c r="AF6064" s="4">
        <v>1</v>
      </c>
      <c r="AG6064" s="4">
        <v>8</v>
      </c>
      <c r="AH6064" s="4">
        <v>97</v>
      </c>
      <c r="AI6064" s="4">
        <v>110</v>
      </c>
      <c r="AJ6064" s="4">
        <v>18</v>
      </c>
      <c r="AK6064" s="4">
        <v>26</v>
      </c>
      <c r="AL6064" s="4">
        <v>55</v>
      </c>
      <c r="AM6064" s="4">
        <v>60</v>
      </c>
      <c r="AN6064" s="4">
        <v>0</v>
      </c>
      <c r="AO6064" s="4">
        <v>0</v>
      </c>
      <c r="AP6064" s="4">
        <v>23</v>
      </c>
      <c r="AQ6064" s="4">
        <v>47</v>
      </c>
      <c r="AR6064" s="3" t="s">
        <v>62</v>
      </c>
      <c r="AS6064" s="3" t="s">
        <v>62</v>
      </c>
      <c r="AT6064" s="3" t="s">
        <v>62</v>
      </c>
      <c r="AV6064" s="6" t="str">
        <f>HYPERLINK("http://mcgill.on.worldcat.org/oclc/58457418","Catalog Record")</f>
        <v>Catalog Record</v>
      </c>
      <c r="AW6064" s="6" t="str">
        <f>HYPERLINK("http://www.worldcat.org/oclc/58457418","WorldCat Record")</f>
        <v>WorldCat Record</v>
      </c>
      <c r="AX6064" s="3" t="s">
        <v>58331</v>
      </c>
      <c r="AY6064" s="3" t="s">
        <v>58332</v>
      </c>
      <c r="AZ6064" s="3" t="s">
        <v>58333</v>
      </c>
      <c r="BA6064" s="3" t="s">
        <v>58333</v>
      </c>
      <c r="BB6064" s="3" t="s">
        <v>58334</v>
      </c>
      <c r="BC6064" s="3" t="s">
        <v>142</v>
      </c>
      <c r="BD6064" s="3" t="s">
        <v>68</v>
      </c>
      <c r="BE6064" s="3" t="s">
        <v>58335</v>
      </c>
      <c r="BF6064" s="3" t="s">
        <v>58334</v>
      </c>
      <c r="BG6064" s="3" t="s">
        <v>58336</v>
      </c>
    </row>
    <row r="6065" spans="1:59" ht="57" x14ac:dyDescent="0.45">
      <c r="A6065" s="2" t="s">
        <v>59</v>
      </c>
      <c r="B6065" s="2" t="s">
        <v>60</v>
      </c>
      <c r="C6065" s="2" t="s">
        <v>58337</v>
      </c>
      <c r="D6065" s="2" t="s">
        <v>58338</v>
      </c>
      <c r="E6065" s="2" t="s">
        <v>58339</v>
      </c>
      <c r="G6065" s="3" t="s">
        <v>62</v>
      </c>
      <c r="I6065" s="3" t="s">
        <v>62</v>
      </c>
      <c r="J6065" s="3" t="s">
        <v>62</v>
      </c>
      <c r="K6065" s="3" t="s">
        <v>63</v>
      </c>
      <c r="L6065" s="2" t="s">
        <v>58340</v>
      </c>
      <c r="M6065" s="2" t="s">
        <v>58341</v>
      </c>
      <c r="N6065" s="3" t="s">
        <v>84</v>
      </c>
      <c r="P6065" s="3" t="s">
        <v>65</v>
      </c>
      <c r="R6065" s="3" t="s">
        <v>66</v>
      </c>
      <c r="S6065" s="4">
        <v>14</v>
      </c>
      <c r="T6065" s="4">
        <v>14</v>
      </c>
      <c r="U6065" s="5" t="s">
        <v>58342</v>
      </c>
      <c r="V6065" s="5" t="s">
        <v>58342</v>
      </c>
      <c r="W6065" s="5" t="s">
        <v>67</v>
      </c>
      <c r="X6065" s="5" t="s">
        <v>67</v>
      </c>
      <c r="Y6065" s="4">
        <v>427</v>
      </c>
      <c r="Z6065" s="4">
        <v>20</v>
      </c>
      <c r="AA6065" s="4">
        <v>95</v>
      </c>
      <c r="AB6065" s="4">
        <v>3</v>
      </c>
      <c r="AC6065" s="4">
        <v>21</v>
      </c>
      <c r="AD6065" s="4">
        <v>69</v>
      </c>
      <c r="AE6065" s="4">
        <v>116</v>
      </c>
      <c r="AF6065" s="4">
        <v>2</v>
      </c>
      <c r="AG6065" s="4">
        <v>9</v>
      </c>
      <c r="AH6065" s="4">
        <v>58</v>
      </c>
      <c r="AI6065" s="4">
        <v>77</v>
      </c>
      <c r="AJ6065" s="4">
        <v>14</v>
      </c>
      <c r="AK6065" s="4">
        <v>26</v>
      </c>
      <c r="AL6065" s="4">
        <v>30</v>
      </c>
      <c r="AM6065" s="4">
        <v>37</v>
      </c>
      <c r="AN6065" s="4">
        <v>0</v>
      </c>
      <c r="AO6065" s="4">
        <v>5</v>
      </c>
      <c r="AP6065" s="4">
        <v>18</v>
      </c>
      <c r="AQ6065" s="4">
        <v>50</v>
      </c>
      <c r="AR6065" s="3" t="s">
        <v>62</v>
      </c>
      <c r="AS6065" s="3" t="s">
        <v>62</v>
      </c>
      <c r="AT6065" s="3" t="s">
        <v>62</v>
      </c>
      <c r="AV6065" s="6" t="str">
        <f>HYPERLINK("http://mcgill.on.worldcat.org/oclc/24373525","Catalog Record")</f>
        <v>Catalog Record</v>
      </c>
      <c r="AW6065" s="6" t="str">
        <f>HYPERLINK("http://www.worldcat.org/oclc/24373525","WorldCat Record")</f>
        <v>WorldCat Record</v>
      </c>
      <c r="AX6065" s="3" t="s">
        <v>58343</v>
      </c>
      <c r="AY6065" s="3" t="s">
        <v>58344</v>
      </c>
      <c r="AZ6065" s="3" t="s">
        <v>58345</v>
      </c>
      <c r="BA6065" s="3" t="s">
        <v>58345</v>
      </c>
      <c r="BB6065" s="3" t="s">
        <v>58346</v>
      </c>
      <c r="BC6065" s="3" t="s">
        <v>142</v>
      </c>
      <c r="BD6065" s="3" t="s">
        <v>68</v>
      </c>
      <c r="BE6065" s="3" t="s">
        <v>58347</v>
      </c>
      <c r="BF6065" s="3" t="s">
        <v>58346</v>
      </c>
      <c r="BG6065" s="3" t="s">
        <v>58348</v>
      </c>
    </row>
    <row r="6066" spans="1:59" ht="57" x14ac:dyDescent="0.45">
      <c r="A6066" s="2" t="s">
        <v>59</v>
      </c>
      <c r="B6066" s="2" t="s">
        <v>60</v>
      </c>
      <c r="C6066" s="2" t="s">
        <v>58349</v>
      </c>
      <c r="D6066" s="2" t="s">
        <v>58350</v>
      </c>
      <c r="E6066" s="2" t="s">
        <v>58351</v>
      </c>
      <c r="G6066" s="3" t="s">
        <v>62</v>
      </c>
      <c r="I6066" s="3" t="s">
        <v>62</v>
      </c>
      <c r="J6066" s="3" t="s">
        <v>62</v>
      </c>
      <c r="K6066" s="3" t="s">
        <v>63</v>
      </c>
      <c r="L6066" s="2" t="s">
        <v>58352</v>
      </c>
      <c r="M6066" s="2" t="s">
        <v>58353</v>
      </c>
      <c r="N6066" s="3" t="s">
        <v>958</v>
      </c>
      <c r="O6066" s="2" t="s">
        <v>54664</v>
      </c>
      <c r="P6066" s="3" t="s">
        <v>110</v>
      </c>
      <c r="Q6066" s="2" t="s">
        <v>58354</v>
      </c>
      <c r="R6066" s="3" t="s">
        <v>66</v>
      </c>
      <c r="S6066" s="4">
        <v>15</v>
      </c>
      <c r="T6066" s="4">
        <v>15</v>
      </c>
      <c r="U6066" s="5" t="s">
        <v>16077</v>
      </c>
      <c r="V6066" s="5" t="s">
        <v>16077</v>
      </c>
      <c r="W6066" s="5" t="s">
        <v>67</v>
      </c>
      <c r="X6066" s="5" t="s">
        <v>67</v>
      </c>
      <c r="Y6066" s="4">
        <v>8</v>
      </c>
      <c r="Z6066" s="4">
        <v>1</v>
      </c>
      <c r="AA6066" s="4">
        <v>24</v>
      </c>
      <c r="AB6066" s="4">
        <v>1</v>
      </c>
      <c r="AC6066" s="4">
        <v>10</v>
      </c>
      <c r="AD6066" s="4">
        <v>2</v>
      </c>
      <c r="AE6066" s="4">
        <v>40</v>
      </c>
      <c r="AF6066" s="4">
        <v>0</v>
      </c>
      <c r="AG6066" s="4">
        <v>7</v>
      </c>
      <c r="AH6066" s="4">
        <v>2</v>
      </c>
      <c r="AI6066" s="4">
        <v>30</v>
      </c>
      <c r="AJ6066" s="4">
        <v>0</v>
      </c>
      <c r="AK6066" s="4">
        <v>13</v>
      </c>
      <c r="AL6066" s="4">
        <v>1</v>
      </c>
      <c r="AM6066" s="4">
        <v>22</v>
      </c>
      <c r="AN6066" s="4">
        <v>0</v>
      </c>
      <c r="AO6066" s="4">
        <v>0</v>
      </c>
      <c r="AP6066" s="4">
        <v>0</v>
      </c>
      <c r="AQ6066" s="4">
        <v>15</v>
      </c>
      <c r="AR6066" s="3" t="s">
        <v>62</v>
      </c>
      <c r="AS6066" s="3" t="s">
        <v>62</v>
      </c>
      <c r="AT6066" s="3" t="s">
        <v>62</v>
      </c>
      <c r="AV6066" s="6" t="str">
        <f>HYPERLINK("http://mcgill.on.worldcat.org/oclc/182851133","Catalog Record")</f>
        <v>Catalog Record</v>
      </c>
      <c r="AW6066" s="6" t="str">
        <f>HYPERLINK("http://www.worldcat.org/oclc/182851133","WorldCat Record")</f>
        <v>WorldCat Record</v>
      </c>
      <c r="AX6066" s="3" t="s">
        <v>58355</v>
      </c>
      <c r="AY6066" s="3" t="s">
        <v>58356</v>
      </c>
      <c r="AZ6066" s="3" t="s">
        <v>58357</v>
      </c>
      <c r="BA6066" s="3" t="s">
        <v>58357</v>
      </c>
      <c r="BB6066" s="3" t="s">
        <v>58358</v>
      </c>
      <c r="BC6066" s="3" t="s">
        <v>142</v>
      </c>
      <c r="BD6066" s="3" t="s">
        <v>68</v>
      </c>
      <c r="BE6066" s="3" t="s">
        <v>58359</v>
      </c>
      <c r="BF6066" s="3" t="s">
        <v>58358</v>
      </c>
      <c r="BG6066" s="3" t="s">
        <v>58360</v>
      </c>
    </row>
    <row r="6067" spans="1:59" ht="57" x14ac:dyDescent="0.45">
      <c r="A6067" s="2" t="s">
        <v>59</v>
      </c>
      <c r="B6067" s="2" t="s">
        <v>60</v>
      </c>
      <c r="C6067" s="2" t="s">
        <v>58361</v>
      </c>
      <c r="D6067" s="2" t="s">
        <v>58362</v>
      </c>
      <c r="E6067" s="2" t="s">
        <v>58363</v>
      </c>
      <c r="G6067" s="3" t="s">
        <v>62</v>
      </c>
      <c r="I6067" s="3" t="s">
        <v>62</v>
      </c>
      <c r="J6067" s="3" t="s">
        <v>62</v>
      </c>
      <c r="K6067" s="3" t="s">
        <v>63</v>
      </c>
      <c r="L6067" s="2" t="s">
        <v>58364</v>
      </c>
      <c r="M6067" s="2" t="s">
        <v>58365</v>
      </c>
      <c r="N6067" s="3" t="s">
        <v>116</v>
      </c>
      <c r="P6067" s="3" t="s">
        <v>110</v>
      </c>
      <c r="Q6067" s="2" t="s">
        <v>58366</v>
      </c>
      <c r="R6067" s="3" t="s">
        <v>66</v>
      </c>
      <c r="S6067" s="4">
        <v>4</v>
      </c>
      <c r="T6067" s="4">
        <v>4</v>
      </c>
      <c r="U6067" s="5" t="s">
        <v>10320</v>
      </c>
      <c r="V6067" s="5" t="s">
        <v>10320</v>
      </c>
      <c r="W6067" s="5" t="s">
        <v>67</v>
      </c>
      <c r="X6067" s="5" t="s">
        <v>67</v>
      </c>
      <c r="Y6067" s="4">
        <v>24</v>
      </c>
      <c r="Z6067" s="4">
        <v>7</v>
      </c>
      <c r="AA6067" s="4">
        <v>17</v>
      </c>
      <c r="AB6067" s="4">
        <v>2</v>
      </c>
      <c r="AC6067" s="4">
        <v>9</v>
      </c>
      <c r="AD6067" s="4">
        <v>13</v>
      </c>
      <c r="AE6067" s="4">
        <v>20</v>
      </c>
      <c r="AF6067" s="4">
        <v>1</v>
      </c>
      <c r="AG6067" s="4">
        <v>6</v>
      </c>
      <c r="AH6067" s="4">
        <v>11</v>
      </c>
      <c r="AI6067" s="4">
        <v>13</v>
      </c>
      <c r="AJ6067" s="4">
        <v>5</v>
      </c>
      <c r="AK6067" s="4">
        <v>10</v>
      </c>
      <c r="AL6067" s="4">
        <v>8</v>
      </c>
      <c r="AM6067" s="4">
        <v>8</v>
      </c>
      <c r="AN6067" s="4">
        <v>0</v>
      </c>
      <c r="AO6067" s="4">
        <v>0</v>
      </c>
      <c r="AP6067" s="4">
        <v>5</v>
      </c>
      <c r="AQ6067" s="4">
        <v>11</v>
      </c>
      <c r="AR6067" s="3" t="s">
        <v>62</v>
      </c>
      <c r="AS6067" s="3" t="s">
        <v>62</v>
      </c>
      <c r="AT6067" s="3" t="s">
        <v>62</v>
      </c>
      <c r="AV6067" s="6" t="str">
        <f>HYPERLINK("http://mcgill.on.worldcat.org/oclc/882466481","Catalog Record")</f>
        <v>Catalog Record</v>
      </c>
      <c r="AW6067" s="6" t="str">
        <f>HYPERLINK("http://www.worldcat.org/oclc/882466481","WorldCat Record")</f>
        <v>WorldCat Record</v>
      </c>
      <c r="AX6067" s="3" t="s">
        <v>58367</v>
      </c>
      <c r="AY6067" s="3" t="s">
        <v>58368</v>
      </c>
      <c r="AZ6067" s="3" t="s">
        <v>58369</v>
      </c>
      <c r="BA6067" s="3" t="s">
        <v>58369</v>
      </c>
      <c r="BB6067" s="3" t="s">
        <v>58370</v>
      </c>
      <c r="BC6067" s="3" t="s">
        <v>142</v>
      </c>
      <c r="BD6067" s="3" t="s">
        <v>68</v>
      </c>
      <c r="BE6067" s="3" t="s">
        <v>58371</v>
      </c>
      <c r="BF6067" s="3" t="s">
        <v>58370</v>
      </c>
      <c r="BG6067" s="3" t="s">
        <v>58372</v>
      </c>
    </row>
    <row r="6068" spans="1:59" ht="57" x14ac:dyDescent="0.45">
      <c r="A6068" s="2" t="s">
        <v>59</v>
      </c>
      <c r="B6068" s="2" t="s">
        <v>60</v>
      </c>
      <c r="C6068" s="2" t="s">
        <v>58373</v>
      </c>
      <c r="D6068" s="2" t="s">
        <v>58374</v>
      </c>
      <c r="E6068" s="2" t="s">
        <v>58375</v>
      </c>
      <c r="G6068" s="3" t="s">
        <v>62</v>
      </c>
      <c r="I6068" s="3" t="s">
        <v>62</v>
      </c>
      <c r="J6068" s="3" t="s">
        <v>62</v>
      </c>
      <c r="K6068" s="3" t="s">
        <v>63</v>
      </c>
      <c r="L6068" s="2" t="s">
        <v>58376</v>
      </c>
      <c r="M6068" s="2" t="s">
        <v>58377</v>
      </c>
      <c r="N6068" s="3" t="s">
        <v>495</v>
      </c>
      <c r="P6068" s="3" t="s">
        <v>4829</v>
      </c>
      <c r="R6068" s="3" t="s">
        <v>66</v>
      </c>
      <c r="S6068" s="4">
        <v>17</v>
      </c>
      <c r="T6068" s="4">
        <v>17</v>
      </c>
      <c r="U6068" s="5" t="s">
        <v>33227</v>
      </c>
      <c r="V6068" s="5" t="s">
        <v>33227</v>
      </c>
      <c r="W6068" s="5" t="s">
        <v>67</v>
      </c>
      <c r="X6068" s="5" t="s">
        <v>67</v>
      </c>
      <c r="Y6068" s="4">
        <v>73</v>
      </c>
      <c r="Z6068" s="4">
        <v>10</v>
      </c>
      <c r="AA6068" s="4">
        <v>10</v>
      </c>
      <c r="AB6068" s="4">
        <v>1</v>
      </c>
      <c r="AC6068" s="4">
        <v>1</v>
      </c>
      <c r="AD6068" s="4">
        <v>50</v>
      </c>
      <c r="AE6068" s="4">
        <v>51</v>
      </c>
      <c r="AF6068" s="4">
        <v>0</v>
      </c>
      <c r="AG6068" s="4">
        <v>0</v>
      </c>
      <c r="AH6068" s="4">
        <v>46</v>
      </c>
      <c r="AI6068" s="4">
        <v>47</v>
      </c>
      <c r="AJ6068" s="4">
        <v>8</v>
      </c>
      <c r="AK6068" s="4">
        <v>8</v>
      </c>
      <c r="AL6068" s="4">
        <v>31</v>
      </c>
      <c r="AM6068" s="4">
        <v>32</v>
      </c>
      <c r="AN6068" s="4">
        <v>0</v>
      </c>
      <c r="AO6068" s="4">
        <v>0</v>
      </c>
      <c r="AP6068" s="4">
        <v>8</v>
      </c>
      <c r="AQ6068" s="4">
        <v>8</v>
      </c>
      <c r="AR6068" s="3" t="s">
        <v>62</v>
      </c>
      <c r="AS6068" s="3" t="s">
        <v>62</v>
      </c>
      <c r="AT6068" s="3" t="s">
        <v>61</v>
      </c>
      <c r="AU6068" s="6" t="str">
        <f>HYPERLINK("http://catalog.hathitrust.org/Record/001899355","HathiTrust Record")</f>
        <v>HathiTrust Record</v>
      </c>
      <c r="AV6068" s="6" t="str">
        <f>HYPERLINK("http://mcgill.on.worldcat.org/oclc/2149703","Catalog Record")</f>
        <v>Catalog Record</v>
      </c>
      <c r="AW6068" s="6" t="str">
        <f>HYPERLINK("http://www.worldcat.org/oclc/2149703","WorldCat Record")</f>
        <v>WorldCat Record</v>
      </c>
      <c r="AX6068" s="3" t="s">
        <v>58378</v>
      </c>
      <c r="AY6068" s="3" t="s">
        <v>58379</v>
      </c>
      <c r="AZ6068" s="3" t="s">
        <v>58380</v>
      </c>
      <c r="BA6068" s="3" t="s">
        <v>58380</v>
      </c>
      <c r="BB6068" s="3" t="s">
        <v>58381</v>
      </c>
      <c r="BC6068" s="3" t="s">
        <v>142</v>
      </c>
      <c r="BD6068" s="3" t="s">
        <v>68</v>
      </c>
      <c r="BF6068" s="3" t="s">
        <v>58381</v>
      </c>
      <c r="BG6068" s="3" t="s">
        <v>58382</v>
      </c>
    </row>
    <row r="6069" spans="1:59" ht="57" x14ac:dyDescent="0.45">
      <c r="A6069" s="2" t="s">
        <v>59</v>
      </c>
      <c r="B6069" s="2" t="s">
        <v>60</v>
      </c>
      <c r="C6069" s="2" t="s">
        <v>58383</v>
      </c>
      <c r="D6069" s="2" t="s">
        <v>58384</v>
      </c>
      <c r="E6069" s="2" t="s">
        <v>58385</v>
      </c>
      <c r="G6069" s="3" t="s">
        <v>62</v>
      </c>
      <c r="I6069" s="3" t="s">
        <v>61</v>
      </c>
      <c r="J6069" s="3" t="s">
        <v>62</v>
      </c>
      <c r="K6069" s="3" t="s">
        <v>63</v>
      </c>
      <c r="L6069" s="2" t="s">
        <v>58386</v>
      </c>
      <c r="M6069" s="2" t="s">
        <v>58387</v>
      </c>
      <c r="N6069" s="3" t="s">
        <v>195</v>
      </c>
      <c r="P6069" s="3" t="s">
        <v>65</v>
      </c>
      <c r="R6069" s="3" t="s">
        <v>66</v>
      </c>
      <c r="S6069" s="4">
        <v>20</v>
      </c>
      <c r="T6069" s="4">
        <v>45</v>
      </c>
      <c r="U6069" s="5" t="s">
        <v>9189</v>
      </c>
      <c r="V6069" s="5" t="s">
        <v>9189</v>
      </c>
      <c r="W6069" s="5" t="s">
        <v>67</v>
      </c>
      <c r="X6069" s="5" t="s">
        <v>67</v>
      </c>
      <c r="Y6069" s="4">
        <v>540</v>
      </c>
      <c r="Z6069" s="4">
        <v>26</v>
      </c>
      <c r="AA6069" s="4">
        <v>35</v>
      </c>
      <c r="AB6069" s="4">
        <v>2</v>
      </c>
      <c r="AC6069" s="4">
        <v>6</v>
      </c>
      <c r="AD6069" s="4">
        <v>115</v>
      </c>
      <c r="AE6069" s="4">
        <v>123</v>
      </c>
      <c r="AF6069" s="4">
        <v>1</v>
      </c>
      <c r="AG6069" s="4">
        <v>4</v>
      </c>
      <c r="AH6069" s="4">
        <v>103</v>
      </c>
      <c r="AI6069" s="4">
        <v>106</v>
      </c>
      <c r="AJ6069" s="4">
        <v>17</v>
      </c>
      <c r="AK6069" s="4">
        <v>21</v>
      </c>
      <c r="AL6069" s="4">
        <v>53</v>
      </c>
      <c r="AM6069" s="4">
        <v>55</v>
      </c>
      <c r="AN6069" s="4">
        <v>0</v>
      </c>
      <c r="AO6069" s="4">
        <v>0</v>
      </c>
      <c r="AP6069" s="4">
        <v>20</v>
      </c>
      <c r="AQ6069" s="4">
        <v>24</v>
      </c>
      <c r="AR6069" s="3" t="s">
        <v>62</v>
      </c>
      <c r="AS6069" s="3" t="s">
        <v>62</v>
      </c>
      <c r="AT6069" s="3" t="s">
        <v>62</v>
      </c>
      <c r="AV6069" s="6" t="str">
        <f>HYPERLINK("http://mcgill.on.worldcat.org/oclc/26503722","Catalog Record")</f>
        <v>Catalog Record</v>
      </c>
      <c r="AW6069" s="6" t="str">
        <f>HYPERLINK("http://www.worldcat.org/oclc/26503722","WorldCat Record")</f>
        <v>WorldCat Record</v>
      </c>
      <c r="AX6069" s="3" t="s">
        <v>58388</v>
      </c>
      <c r="AY6069" s="3" t="s">
        <v>58389</v>
      </c>
      <c r="AZ6069" s="3" t="s">
        <v>58390</v>
      </c>
      <c r="BA6069" s="3" t="s">
        <v>58390</v>
      </c>
      <c r="BB6069" s="3" t="s">
        <v>58391</v>
      </c>
      <c r="BC6069" s="3" t="s">
        <v>142</v>
      </c>
      <c r="BD6069" s="3" t="s">
        <v>308</v>
      </c>
      <c r="BE6069" s="3" t="s">
        <v>58392</v>
      </c>
      <c r="BF6069" s="3" t="s">
        <v>58391</v>
      </c>
      <c r="BG6069" s="3" t="s">
        <v>58393</v>
      </c>
    </row>
    <row r="6070" spans="1:59" ht="57" x14ac:dyDescent="0.45">
      <c r="A6070" s="2" t="s">
        <v>59</v>
      </c>
      <c r="B6070" s="2" t="s">
        <v>60</v>
      </c>
      <c r="C6070" s="2" t="s">
        <v>58383</v>
      </c>
      <c r="D6070" s="2" t="s">
        <v>58384</v>
      </c>
      <c r="E6070" s="2" t="s">
        <v>58385</v>
      </c>
      <c r="G6070" s="3" t="s">
        <v>62</v>
      </c>
      <c r="I6070" s="3" t="s">
        <v>61</v>
      </c>
      <c r="J6070" s="3" t="s">
        <v>62</v>
      </c>
      <c r="K6070" s="3" t="s">
        <v>63</v>
      </c>
      <c r="L6070" s="2" t="s">
        <v>58386</v>
      </c>
      <c r="M6070" s="2" t="s">
        <v>58387</v>
      </c>
      <c r="N6070" s="3" t="s">
        <v>195</v>
      </c>
      <c r="P6070" s="3" t="s">
        <v>65</v>
      </c>
      <c r="R6070" s="3" t="s">
        <v>66</v>
      </c>
      <c r="S6070" s="4">
        <v>25</v>
      </c>
      <c r="T6070" s="4">
        <v>45</v>
      </c>
      <c r="U6070" s="5" t="s">
        <v>58394</v>
      </c>
      <c r="V6070" s="5" t="s">
        <v>9189</v>
      </c>
      <c r="W6070" s="5" t="s">
        <v>67</v>
      </c>
      <c r="X6070" s="5" t="s">
        <v>67</v>
      </c>
      <c r="Y6070" s="4">
        <v>540</v>
      </c>
      <c r="Z6070" s="4">
        <v>26</v>
      </c>
      <c r="AA6070" s="4">
        <v>35</v>
      </c>
      <c r="AB6070" s="4">
        <v>2</v>
      </c>
      <c r="AC6070" s="4">
        <v>6</v>
      </c>
      <c r="AD6070" s="4">
        <v>115</v>
      </c>
      <c r="AE6070" s="4">
        <v>123</v>
      </c>
      <c r="AF6070" s="4">
        <v>1</v>
      </c>
      <c r="AG6070" s="4">
        <v>4</v>
      </c>
      <c r="AH6070" s="4">
        <v>103</v>
      </c>
      <c r="AI6070" s="4">
        <v>106</v>
      </c>
      <c r="AJ6070" s="4">
        <v>17</v>
      </c>
      <c r="AK6070" s="4">
        <v>21</v>
      </c>
      <c r="AL6070" s="4">
        <v>53</v>
      </c>
      <c r="AM6070" s="4">
        <v>55</v>
      </c>
      <c r="AN6070" s="4">
        <v>0</v>
      </c>
      <c r="AO6070" s="4">
        <v>0</v>
      </c>
      <c r="AP6070" s="4">
        <v>20</v>
      </c>
      <c r="AQ6070" s="4">
        <v>24</v>
      </c>
      <c r="AR6070" s="3" t="s">
        <v>62</v>
      </c>
      <c r="AS6070" s="3" t="s">
        <v>62</v>
      </c>
      <c r="AT6070" s="3" t="s">
        <v>62</v>
      </c>
      <c r="AV6070" s="6" t="str">
        <f>HYPERLINK("http://mcgill.on.worldcat.org/oclc/26503722","Catalog Record")</f>
        <v>Catalog Record</v>
      </c>
      <c r="AW6070" s="6" t="str">
        <f>HYPERLINK("http://www.worldcat.org/oclc/26503722","WorldCat Record")</f>
        <v>WorldCat Record</v>
      </c>
      <c r="AX6070" s="3" t="s">
        <v>58388</v>
      </c>
      <c r="AY6070" s="3" t="s">
        <v>58389</v>
      </c>
      <c r="AZ6070" s="3" t="s">
        <v>58390</v>
      </c>
      <c r="BA6070" s="3" t="s">
        <v>58390</v>
      </c>
      <c r="BB6070" s="3" t="s">
        <v>58395</v>
      </c>
      <c r="BC6070" s="3" t="s">
        <v>142</v>
      </c>
      <c r="BD6070" s="3" t="s">
        <v>68</v>
      </c>
      <c r="BE6070" s="3" t="s">
        <v>58392</v>
      </c>
      <c r="BF6070" s="3" t="s">
        <v>58395</v>
      </c>
      <c r="BG6070" s="3" t="s">
        <v>58396</v>
      </c>
    </row>
    <row r="6071" spans="1:59" ht="57" x14ac:dyDescent="0.45">
      <c r="A6071" s="2" t="s">
        <v>59</v>
      </c>
      <c r="B6071" s="2" t="s">
        <v>60</v>
      </c>
      <c r="C6071" s="2" t="s">
        <v>58397</v>
      </c>
      <c r="D6071" s="2" t="s">
        <v>58398</v>
      </c>
      <c r="E6071" s="2" t="s">
        <v>58399</v>
      </c>
      <c r="G6071" s="3" t="s">
        <v>62</v>
      </c>
      <c r="I6071" s="3" t="s">
        <v>62</v>
      </c>
      <c r="J6071" s="3" t="s">
        <v>61</v>
      </c>
      <c r="K6071" s="3" t="s">
        <v>63</v>
      </c>
      <c r="L6071" s="2" t="s">
        <v>58400</v>
      </c>
      <c r="M6071" s="2" t="s">
        <v>15013</v>
      </c>
      <c r="N6071" s="3" t="s">
        <v>807</v>
      </c>
      <c r="O6071" s="2" t="s">
        <v>3255</v>
      </c>
      <c r="P6071" s="3" t="s">
        <v>65</v>
      </c>
      <c r="Q6071" s="2" t="s">
        <v>1552</v>
      </c>
      <c r="R6071" s="3" t="s">
        <v>66</v>
      </c>
      <c r="S6071" s="4">
        <v>63</v>
      </c>
      <c r="T6071" s="4">
        <v>63</v>
      </c>
      <c r="U6071" s="5" t="s">
        <v>58342</v>
      </c>
      <c r="V6071" s="5" t="s">
        <v>58342</v>
      </c>
      <c r="W6071" s="5" t="s">
        <v>67</v>
      </c>
      <c r="X6071" s="5" t="s">
        <v>67</v>
      </c>
      <c r="Y6071" s="4">
        <v>296</v>
      </c>
      <c r="Z6071" s="4">
        <v>19</v>
      </c>
      <c r="AA6071" s="4">
        <v>75</v>
      </c>
      <c r="AB6071" s="4">
        <v>2</v>
      </c>
      <c r="AC6071" s="4">
        <v>18</v>
      </c>
      <c r="AD6071" s="4">
        <v>71</v>
      </c>
      <c r="AE6071" s="4">
        <v>153</v>
      </c>
      <c r="AF6071" s="4">
        <v>1</v>
      </c>
      <c r="AG6071" s="4">
        <v>8</v>
      </c>
      <c r="AH6071" s="4">
        <v>61</v>
      </c>
      <c r="AI6071" s="4">
        <v>109</v>
      </c>
      <c r="AJ6071" s="4">
        <v>14</v>
      </c>
      <c r="AK6071" s="4">
        <v>27</v>
      </c>
      <c r="AL6071" s="4">
        <v>35</v>
      </c>
      <c r="AM6071" s="4">
        <v>58</v>
      </c>
      <c r="AN6071" s="4">
        <v>0</v>
      </c>
      <c r="AO6071" s="4">
        <v>0</v>
      </c>
      <c r="AP6071" s="4">
        <v>17</v>
      </c>
      <c r="AQ6071" s="4">
        <v>52</v>
      </c>
      <c r="AR6071" s="3" t="s">
        <v>62</v>
      </c>
      <c r="AS6071" s="3" t="s">
        <v>62</v>
      </c>
      <c r="AT6071" s="3" t="s">
        <v>62</v>
      </c>
      <c r="AV6071" s="6" t="str">
        <f>HYPERLINK("http://mcgill.on.worldcat.org/oclc/28632616","Catalog Record")</f>
        <v>Catalog Record</v>
      </c>
      <c r="AW6071" s="6" t="str">
        <f>HYPERLINK("http://www.worldcat.org/oclc/28632616","WorldCat Record")</f>
        <v>WorldCat Record</v>
      </c>
      <c r="AX6071" s="3" t="s">
        <v>58401</v>
      </c>
      <c r="AY6071" s="3" t="s">
        <v>58402</v>
      </c>
      <c r="AZ6071" s="3" t="s">
        <v>58403</v>
      </c>
      <c r="BA6071" s="3" t="s">
        <v>58403</v>
      </c>
      <c r="BB6071" s="3" t="s">
        <v>58404</v>
      </c>
      <c r="BC6071" s="3" t="s">
        <v>142</v>
      </c>
      <c r="BD6071" s="3" t="s">
        <v>68</v>
      </c>
      <c r="BE6071" s="3" t="s">
        <v>58405</v>
      </c>
      <c r="BF6071" s="3" t="s">
        <v>58404</v>
      </c>
      <c r="BG6071" s="3" t="s">
        <v>58406</v>
      </c>
    </row>
    <row r="6072" spans="1:59" ht="57" x14ac:dyDescent="0.45">
      <c r="A6072" s="2" t="s">
        <v>59</v>
      </c>
      <c r="B6072" s="2" t="s">
        <v>60</v>
      </c>
      <c r="C6072" s="2" t="s">
        <v>58407</v>
      </c>
      <c r="D6072" s="2" t="s">
        <v>58408</v>
      </c>
      <c r="E6072" s="2" t="s">
        <v>58409</v>
      </c>
      <c r="G6072" s="3" t="s">
        <v>62</v>
      </c>
      <c r="I6072" s="3" t="s">
        <v>62</v>
      </c>
      <c r="J6072" s="3" t="s">
        <v>61</v>
      </c>
      <c r="K6072" s="3" t="s">
        <v>63</v>
      </c>
      <c r="L6072" s="2" t="s">
        <v>58400</v>
      </c>
      <c r="M6072" s="2" t="s">
        <v>969</v>
      </c>
      <c r="N6072" s="3" t="s">
        <v>970</v>
      </c>
      <c r="O6072" s="2" t="s">
        <v>906</v>
      </c>
      <c r="P6072" s="3" t="s">
        <v>65</v>
      </c>
      <c r="Q6072" s="2" t="s">
        <v>1552</v>
      </c>
      <c r="R6072" s="3" t="s">
        <v>66</v>
      </c>
      <c r="S6072" s="4">
        <v>33</v>
      </c>
      <c r="T6072" s="4">
        <v>33</v>
      </c>
      <c r="U6072" s="5" t="s">
        <v>3611</v>
      </c>
      <c r="V6072" s="5" t="s">
        <v>3611</v>
      </c>
      <c r="W6072" s="5" t="s">
        <v>67</v>
      </c>
      <c r="X6072" s="5" t="s">
        <v>67</v>
      </c>
      <c r="Y6072" s="4">
        <v>274</v>
      </c>
      <c r="Z6072" s="4">
        <v>17</v>
      </c>
      <c r="AA6072" s="4">
        <v>75</v>
      </c>
      <c r="AB6072" s="4">
        <v>2</v>
      </c>
      <c r="AC6072" s="4">
        <v>18</v>
      </c>
      <c r="AD6072" s="4">
        <v>61</v>
      </c>
      <c r="AE6072" s="4">
        <v>153</v>
      </c>
      <c r="AF6072" s="4">
        <v>1</v>
      </c>
      <c r="AG6072" s="4">
        <v>8</v>
      </c>
      <c r="AH6072" s="4">
        <v>49</v>
      </c>
      <c r="AI6072" s="4">
        <v>109</v>
      </c>
      <c r="AJ6072" s="4">
        <v>10</v>
      </c>
      <c r="AK6072" s="4">
        <v>27</v>
      </c>
      <c r="AL6072" s="4">
        <v>32</v>
      </c>
      <c r="AM6072" s="4">
        <v>58</v>
      </c>
      <c r="AN6072" s="4">
        <v>0</v>
      </c>
      <c r="AO6072" s="4">
        <v>0</v>
      </c>
      <c r="AP6072" s="4">
        <v>15</v>
      </c>
      <c r="AQ6072" s="4">
        <v>52</v>
      </c>
      <c r="AR6072" s="3" t="s">
        <v>62</v>
      </c>
      <c r="AS6072" s="3" t="s">
        <v>62</v>
      </c>
      <c r="AT6072" s="3" t="s">
        <v>62</v>
      </c>
      <c r="AV6072" s="6" t="str">
        <f>HYPERLINK("http://mcgill.on.worldcat.org/oclc/50227305","Catalog Record")</f>
        <v>Catalog Record</v>
      </c>
      <c r="AW6072" s="6" t="str">
        <f>HYPERLINK("http://www.worldcat.org/oclc/50227305","WorldCat Record")</f>
        <v>WorldCat Record</v>
      </c>
      <c r="AX6072" s="3" t="s">
        <v>58401</v>
      </c>
      <c r="AY6072" s="3" t="s">
        <v>58410</v>
      </c>
      <c r="AZ6072" s="3" t="s">
        <v>58411</v>
      </c>
      <c r="BA6072" s="3" t="s">
        <v>58411</v>
      </c>
      <c r="BB6072" s="3" t="s">
        <v>58412</v>
      </c>
      <c r="BC6072" s="3" t="s">
        <v>142</v>
      </c>
      <c r="BD6072" s="3" t="s">
        <v>68</v>
      </c>
      <c r="BE6072" s="3" t="s">
        <v>58413</v>
      </c>
      <c r="BF6072" s="3" t="s">
        <v>58412</v>
      </c>
      <c r="BG6072" s="3" t="s">
        <v>58414</v>
      </c>
    </row>
    <row r="6073" spans="1:59" ht="57" x14ac:dyDescent="0.45">
      <c r="A6073" s="2" t="s">
        <v>59</v>
      </c>
      <c r="B6073" s="2" t="s">
        <v>60</v>
      </c>
      <c r="C6073" s="2" t="s">
        <v>58415</v>
      </c>
      <c r="D6073" s="2" t="s">
        <v>58416</v>
      </c>
      <c r="E6073" s="2" t="s">
        <v>58417</v>
      </c>
      <c r="G6073" s="3" t="s">
        <v>62</v>
      </c>
      <c r="I6073" s="3" t="s">
        <v>62</v>
      </c>
      <c r="J6073" s="3" t="s">
        <v>62</v>
      </c>
      <c r="K6073" s="3" t="s">
        <v>63</v>
      </c>
      <c r="L6073" s="2" t="s">
        <v>58418</v>
      </c>
      <c r="M6073" s="2" t="s">
        <v>58419</v>
      </c>
      <c r="N6073" s="3" t="s">
        <v>807</v>
      </c>
      <c r="P6073" s="3" t="s">
        <v>65</v>
      </c>
      <c r="Q6073" s="2" t="s">
        <v>7366</v>
      </c>
      <c r="R6073" s="3" t="s">
        <v>66</v>
      </c>
      <c r="S6073" s="4">
        <v>48</v>
      </c>
      <c r="T6073" s="4">
        <v>48</v>
      </c>
      <c r="U6073" s="5" t="s">
        <v>7484</v>
      </c>
      <c r="V6073" s="5" t="s">
        <v>7484</v>
      </c>
      <c r="W6073" s="5" t="s">
        <v>67</v>
      </c>
      <c r="X6073" s="5" t="s">
        <v>67</v>
      </c>
      <c r="Y6073" s="4">
        <v>347</v>
      </c>
      <c r="Z6073" s="4">
        <v>22</v>
      </c>
      <c r="AA6073" s="4">
        <v>33</v>
      </c>
      <c r="AB6073" s="4">
        <v>2</v>
      </c>
      <c r="AC6073" s="4">
        <v>10</v>
      </c>
      <c r="AD6073" s="4">
        <v>79</v>
      </c>
      <c r="AE6073" s="4">
        <v>88</v>
      </c>
      <c r="AF6073" s="4">
        <v>1</v>
      </c>
      <c r="AG6073" s="4">
        <v>6</v>
      </c>
      <c r="AH6073" s="4">
        <v>69</v>
      </c>
      <c r="AI6073" s="4">
        <v>73</v>
      </c>
      <c r="AJ6073" s="4">
        <v>15</v>
      </c>
      <c r="AK6073" s="4">
        <v>21</v>
      </c>
      <c r="AL6073" s="4">
        <v>37</v>
      </c>
      <c r="AM6073" s="4">
        <v>37</v>
      </c>
      <c r="AN6073" s="4">
        <v>0</v>
      </c>
      <c r="AO6073" s="4">
        <v>0</v>
      </c>
      <c r="AP6073" s="4">
        <v>19</v>
      </c>
      <c r="AQ6073" s="4">
        <v>26</v>
      </c>
      <c r="AR6073" s="3" t="s">
        <v>62</v>
      </c>
      <c r="AS6073" s="3" t="s">
        <v>62</v>
      </c>
      <c r="AT6073" s="3" t="s">
        <v>61</v>
      </c>
      <c r="AU6073" s="6" t="str">
        <f>HYPERLINK("http://catalog.hathitrust.org/Record/007109494","HathiTrust Record")</f>
        <v>HathiTrust Record</v>
      </c>
      <c r="AV6073" s="6" t="str">
        <f>HYPERLINK("http://mcgill.on.worldcat.org/oclc/22592954","Catalog Record")</f>
        <v>Catalog Record</v>
      </c>
      <c r="AW6073" s="6" t="str">
        <f>HYPERLINK("http://www.worldcat.org/oclc/22592954","WorldCat Record")</f>
        <v>WorldCat Record</v>
      </c>
      <c r="AX6073" s="3" t="s">
        <v>58420</v>
      </c>
      <c r="AY6073" s="3" t="s">
        <v>58421</v>
      </c>
      <c r="AZ6073" s="3" t="s">
        <v>58422</v>
      </c>
      <c r="BA6073" s="3" t="s">
        <v>58422</v>
      </c>
      <c r="BB6073" s="3" t="s">
        <v>58423</v>
      </c>
      <c r="BC6073" s="3" t="s">
        <v>142</v>
      </c>
      <c r="BD6073" s="3" t="s">
        <v>68</v>
      </c>
      <c r="BE6073" s="3" t="s">
        <v>58424</v>
      </c>
      <c r="BF6073" s="3" t="s">
        <v>58423</v>
      </c>
      <c r="BG6073" s="3" t="s">
        <v>58425</v>
      </c>
    </row>
    <row r="6074" spans="1:59" ht="57" x14ac:dyDescent="0.45">
      <c r="A6074" s="2" t="s">
        <v>59</v>
      </c>
      <c r="B6074" s="2" t="s">
        <v>60</v>
      </c>
      <c r="C6074" s="2" t="s">
        <v>58426</v>
      </c>
      <c r="D6074" s="2" t="s">
        <v>58427</v>
      </c>
      <c r="E6074" s="2" t="s">
        <v>58428</v>
      </c>
      <c r="G6074" s="3" t="s">
        <v>62</v>
      </c>
      <c r="I6074" s="3" t="s">
        <v>62</v>
      </c>
      <c r="J6074" s="3" t="s">
        <v>62</v>
      </c>
      <c r="K6074" s="3" t="s">
        <v>63</v>
      </c>
      <c r="L6074" s="2" t="s">
        <v>58429</v>
      </c>
      <c r="M6074" s="2" t="s">
        <v>58430</v>
      </c>
      <c r="N6074" s="3" t="s">
        <v>894</v>
      </c>
      <c r="O6074" s="2" t="s">
        <v>11166</v>
      </c>
      <c r="P6074" s="3" t="s">
        <v>65</v>
      </c>
      <c r="R6074" s="3" t="s">
        <v>66</v>
      </c>
      <c r="S6074" s="4">
        <v>10</v>
      </c>
      <c r="T6074" s="4">
        <v>10</v>
      </c>
      <c r="U6074" s="5" t="s">
        <v>14909</v>
      </c>
      <c r="V6074" s="5" t="s">
        <v>14909</v>
      </c>
      <c r="W6074" s="5" t="s">
        <v>67</v>
      </c>
      <c r="X6074" s="5" t="s">
        <v>67</v>
      </c>
      <c r="Y6074" s="4">
        <v>981</v>
      </c>
      <c r="Z6074" s="4">
        <v>34</v>
      </c>
      <c r="AA6074" s="4">
        <v>58</v>
      </c>
      <c r="AB6074" s="4">
        <v>2</v>
      </c>
      <c r="AC6074" s="4">
        <v>9</v>
      </c>
      <c r="AD6074" s="4">
        <v>106</v>
      </c>
      <c r="AE6074" s="4">
        <v>121</v>
      </c>
      <c r="AF6074" s="4">
        <v>1</v>
      </c>
      <c r="AG6074" s="4">
        <v>6</v>
      </c>
      <c r="AH6074" s="4">
        <v>88</v>
      </c>
      <c r="AI6074" s="4">
        <v>95</v>
      </c>
      <c r="AJ6074" s="4">
        <v>19</v>
      </c>
      <c r="AK6074" s="4">
        <v>25</v>
      </c>
      <c r="AL6074" s="4">
        <v>47</v>
      </c>
      <c r="AM6074" s="4">
        <v>51</v>
      </c>
      <c r="AN6074" s="4">
        <v>0</v>
      </c>
      <c r="AO6074" s="4">
        <v>0</v>
      </c>
      <c r="AP6074" s="4">
        <v>23</v>
      </c>
      <c r="AQ6074" s="4">
        <v>32</v>
      </c>
      <c r="AR6074" s="3" t="s">
        <v>62</v>
      </c>
      <c r="AS6074" s="3" t="s">
        <v>62</v>
      </c>
      <c r="AT6074" s="3" t="s">
        <v>62</v>
      </c>
      <c r="AV6074" s="6" t="str">
        <f>HYPERLINK("http://mcgill.on.worldcat.org/oclc/706020960","Catalog Record")</f>
        <v>Catalog Record</v>
      </c>
      <c r="AW6074" s="6" t="str">
        <f>HYPERLINK("http://www.worldcat.org/oclc/706020960","WorldCat Record")</f>
        <v>WorldCat Record</v>
      </c>
      <c r="AX6074" s="3" t="s">
        <v>58431</v>
      </c>
      <c r="AY6074" s="3" t="s">
        <v>58432</v>
      </c>
      <c r="AZ6074" s="3" t="s">
        <v>58433</v>
      </c>
      <c r="BA6074" s="3" t="s">
        <v>58433</v>
      </c>
      <c r="BB6074" s="3" t="s">
        <v>58434</v>
      </c>
      <c r="BC6074" s="3" t="s">
        <v>142</v>
      </c>
      <c r="BD6074" s="3" t="s">
        <v>68</v>
      </c>
      <c r="BE6074" s="3" t="s">
        <v>58435</v>
      </c>
      <c r="BF6074" s="3" t="s">
        <v>58434</v>
      </c>
      <c r="BG6074" s="3" t="s">
        <v>58436</v>
      </c>
    </row>
    <row r="6075" spans="1:59" ht="71.25" x14ac:dyDescent="0.45">
      <c r="A6075" s="2" t="s">
        <v>59</v>
      </c>
      <c r="B6075" s="2" t="s">
        <v>60</v>
      </c>
      <c r="C6075" s="2" t="s">
        <v>58437</v>
      </c>
      <c r="D6075" s="2" t="s">
        <v>58438</v>
      </c>
      <c r="E6075" s="2" t="s">
        <v>58439</v>
      </c>
      <c r="G6075" s="3" t="s">
        <v>62</v>
      </c>
      <c r="I6075" s="3" t="s">
        <v>62</v>
      </c>
      <c r="J6075" s="3" t="s">
        <v>62</v>
      </c>
      <c r="K6075" s="3" t="s">
        <v>63</v>
      </c>
      <c r="L6075" s="2" t="s">
        <v>58440</v>
      </c>
      <c r="M6075" s="2" t="s">
        <v>58441</v>
      </c>
      <c r="N6075" s="3" t="s">
        <v>820</v>
      </c>
      <c r="P6075" s="3" t="s">
        <v>110</v>
      </c>
      <c r="Q6075" s="2" t="s">
        <v>58442</v>
      </c>
      <c r="R6075" s="3" t="s">
        <v>66</v>
      </c>
      <c r="S6075" s="4">
        <v>12</v>
      </c>
      <c r="T6075" s="4">
        <v>12</v>
      </c>
      <c r="U6075" s="5" t="s">
        <v>6117</v>
      </c>
      <c r="V6075" s="5" t="s">
        <v>6117</v>
      </c>
      <c r="W6075" s="5" t="s">
        <v>67</v>
      </c>
      <c r="X6075" s="5" t="s">
        <v>67</v>
      </c>
      <c r="Y6075" s="4">
        <v>33</v>
      </c>
      <c r="Z6075" s="4">
        <v>6</v>
      </c>
      <c r="AA6075" s="4">
        <v>13</v>
      </c>
      <c r="AB6075" s="4">
        <v>2</v>
      </c>
      <c r="AC6075" s="4">
        <v>7</v>
      </c>
      <c r="AD6075" s="4">
        <v>13</v>
      </c>
      <c r="AE6075" s="4">
        <v>19</v>
      </c>
      <c r="AF6075" s="4">
        <v>0</v>
      </c>
      <c r="AG6075" s="4">
        <v>4</v>
      </c>
      <c r="AH6075" s="4">
        <v>11</v>
      </c>
      <c r="AI6075" s="4">
        <v>13</v>
      </c>
      <c r="AJ6075" s="4">
        <v>2</v>
      </c>
      <c r="AK6075" s="4">
        <v>7</v>
      </c>
      <c r="AL6075" s="4">
        <v>9</v>
      </c>
      <c r="AM6075" s="4">
        <v>9</v>
      </c>
      <c r="AN6075" s="4">
        <v>0</v>
      </c>
      <c r="AO6075" s="4">
        <v>0</v>
      </c>
      <c r="AP6075" s="4">
        <v>3</v>
      </c>
      <c r="AQ6075" s="4">
        <v>8</v>
      </c>
      <c r="AR6075" s="3" t="s">
        <v>62</v>
      </c>
      <c r="AS6075" s="3" t="s">
        <v>62</v>
      </c>
      <c r="AT6075" s="3" t="s">
        <v>62</v>
      </c>
      <c r="AV6075" s="6" t="str">
        <f>HYPERLINK("http://mcgill.on.worldcat.org/oclc/436026315","Catalog Record")</f>
        <v>Catalog Record</v>
      </c>
      <c r="AW6075" s="6" t="str">
        <f>HYPERLINK("http://www.worldcat.org/oclc/436026315","WorldCat Record")</f>
        <v>WorldCat Record</v>
      </c>
      <c r="AX6075" s="3" t="s">
        <v>58443</v>
      </c>
      <c r="AY6075" s="3" t="s">
        <v>58444</v>
      </c>
      <c r="AZ6075" s="3" t="s">
        <v>58445</v>
      </c>
      <c r="BA6075" s="3" t="s">
        <v>58445</v>
      </c>
      <c r="BB6075" s="3" t="s">
        <v>58446</v>
      </c>
      <c r="BC6075" s="3" t="s">
        <v>142</v>
      </c>
      <c r="BD6075" s="3" t="s">
        <v>68</v>
      </c>
      <c r="BE6075" s="3" t="s">
        <v>58447</v>
      </c>
      <c r="BF6075" s="3" t="s">
        <v>58446</v>
      </c>
      <c r="BG6075" s="3" t="s">
        <v>58448</v>
      </c>
    </row>
    <row r="6076" spans="1:59" ht="57" x14ac:dyDescent="0.45">
      <c r="A6076" s="2" t="s">
        <v>59</v>
      </c>
      <c r="B6076" s="2" t="s">
        <v>60</v>
      </c>
      <c r="C6076" s="2" t="s">
        <v>58449</v>
      </c>
      <c r="D6076" s="2" t="s">
        <v>58450</v>
      </c>
      <c r="E6076" s="2" t="s">
        <v>58451</v>
      </c>
      <c r="G6076" s="3" t="s">
        <v>62</v>
      </c>
      <c r="I6076" s="3" t="s">
        <v>62</v>
      </c>
      <c r="J6076" s="3" t="s">
        <v>62</v>
      </c>
      <c r="K6076" s="3" t="s">
        <v>63</v>
      </c>
      <c r="M6076" s="2" t="s">
        <v>58452</v>
      </c>
      <c r="N6076" s="3" t="s">
        <v>894</v>
      </c>
      <c r="P6076" s="3" t="s">
        <v>65</v>
      </c>
      <c r="Q6076" s="2" t="s">
        <v>58453</v>
      </c>
      <c r="R6076" s="3" t="s">
        <v>66</v>
      </c>
      <c r="S6076" s="4">
        <v>2</v>
      </c>
      <c r="T6076" s="4">
        <v>2</v>
      </c>
      <c r="U6076" s="5" t="s">
        <v>58454</v>
      </c>
      <c r="V6076" s="5" t="s">
        <v>58454</v>
      </c>
      <c r="W6076" s="5" t="s">
        <v>67</v>
      </c>
      <c r="X6076" s="5" t="s">
        <v>67</v>
      </c>
      <c r="Y6076" s="4">
        <v>21</v>
      </c>
      <c r="Z6076" s="4">
        <v>4</v>
      </c>
      <c r="AA6076" s="4">
        <v>20</v>
      </c>
      <c r="AB6076" s="4">
        <v>1</v>
      </c>
      <c r="AC6076" s="4">
        <v>2</v>
      </c>
      <c r="AD6076" s="4">
        <v>8</v>
      </c>
      <c r="AE6076" s="4">
        <v>44</v>
      </c>
      <c r="AF6076" s="4">
        <v>0</v>
      </c>
      <c r="AG6076" s="4">
        <v>0</v>
      </c>
      <c r="AH6076" s="4">
        <v>8</v>
      </c>
      <c r="AI6076" s="4">
        <v>34</v>
      </c>
      <c r="AJ6076" s="4">
        <v>2</v>
      </c>
      <c r="AK6076" s="4">
        <v>6</v>
      </c>
      <c r="AL6076" s="4">
        <v>4</v>
      </c>
      <c r="AM6076" s="4">
        <v>18</v>
      </c>
      <c r="AN6076" s="4">
        <v>0</v>
      </c>
      <c r="AO6076" s="4">
        <v>0</v>
      </c>
      <c r="AP6076" s="4">
        <v>2</v>
      </c>
      <c r="AQ6076" s="4">
        <v>12</v>
      </c>
      <c r="AR6076" s="3" t="s">
        <v>62</v>
      </c>
      <c r="AS6076" s="3" t="s">
        <v>62</v>
      </c>
      <c r="AT6076" s="3" t="s">
        <v>62</v>
      </c>
      <c r="AV6076" s="6" t="str">
        <f>HYPERLINK("http://mcgill.on.worldcat.org/oclc/712359881","Catalog Record")</f>
        <v>Catalog Record</v>
      </c>
      <c r="AW6076" s="6" t="str">
        <f>HYPERLINK("http://www.worldcat.org/oclc/712359881","WorldCat Record")</f>
        <v>WorldCat Record</v>
      </c>
      <c r="AX6076" s="3" t="s">
        <v>58455</v>
      </c>
      <c r="AY6076" s="3" t="s">
        <v>58456</v>
      </c>
      <c r="AZ6076" s="3" t="s">
        <v>58457</v>
      </c>
      <c r="BA6076" s="3" t="s">
        <v>58457</v>
      </c>
      <c r="BB6076" s="3" t="s">
        <v>58458</v>
      </c>
      <c r="BC6076" s="3" t="s">
        <v>142</v>
      </c>
      <c r="BD6076" s="3" t="s">
        <v>68</v>
      </c>
      <c r="BE6076" s="3" t="s">
        <v>58459</v>
      </c>
      <c r="BF6076" s="3" t="s">
        <v>58458</v>
      </c>
      <c r="BG6076" s="3" t="s">
        <v>58460</v>
      </c>
    </row>
    <row r="6077" spans="1:59" ht="57" x14ac:dyDescent="0.45">
      <c r="A6077" s="2" t="s">
        <v>59</v>
      </c>
      <c r="B6077" s="2" t="s">
        <v>60</v>
      </c>
      <c r="C6077" s="2" t="s">
        <v>58461</v>
      </c>
      <c r="D6077" s="2" t="s">
        <v>58462</v>
      </c>
      <c r="E6077" s="2" t="s">
        <v>58463</v>
      </c>
      <c r="G6077" s="3" t="s">
        <v>62</v>
      </c>
      <c r="I6077" s="3" t="s">
        <v>62</v>
      </c>
      <c r="J6077" s="3" t="s">
        <v>62</v>
      </c>
      <c r="K6077" s="3" t="s">
        <v>63</v>
      </c>
      <c r="M6077" s="2" t="s">
        <v>20773</v>
      </c>
      <c r="N6077" s="3" t="s">
        <v>820</v>
      </c>
      <c r="P6077" s="3" t="s">
        <v>65</v>
      </c>
      <c r="Q6077" s="2" t="s">
        <v>58464</v>
      </c>
      <c r="R6077" s="3" t="s">
        <v>66</v>
      </c>
      <c r="S6077" s="4">
        <v>16</v>
      </c>
      <c r="T6077" s="4">
        <v>16</v>
      </c>
      <c r="U6077" s="5" t="s">
        <v>35662</v>
      </c>
      <c r="V6077" s="5" t="s">
        <v>35662</v>
      </c>
      <c r="W6077" s="5" t="s">
        <v>67</v>
      </c>
      <c r="X6077" s="5" t="s">
        <v>67</v>
      </c>
      <c r="Y6077" s="4">
        <v>119</v>
      </c>
      <c r="Z6077" s="4">
        <v>14</v>
      </c>
      <c r="AA6077" s="4">
        <v>97</v>
      </c>
      <c r="AB6077" s="4">
        <v>2</v>
      </c>
      <c r="AC6077" s="4">
        <v>17</v>
      </c>
      <c r="AD6077" s="4">
        <v>38</v>
      </c>
      <c r="AE6077" s="4">
        <v>111</v>
      </c>
      <c r="AF6077" s="4">
        <v>1</v>
      </c>
      <c r="AG6077" s="4">
        <v>8</v>
      </c>
      <c r="AH6077" s="4">
        <v>33</v>
      </c>
      <c r="AI6077" s="4">
        <v>76</v>
      </c>
      <c r="AJ6077" s="4">
        <v>12</v>
      </c>
      <c r="AK6077" s="4">
        <v>24</v>
      </c>
      <c r="AL6077" s="4">
        <v>20</v>
      </c>
      <c r="AM6077" s="4">
        <v>39</v>
      </c>
      <c r="AN6077" s="4">
        <v>0</v>
      </c>
      <c r="AO6077" s="4">
        <v>0</v>
      </c>
      <c r="AP6077" s="4">
        <v>12</v>
      </c>
      <c r="AQ6077" s="4">
        <v>45</v>
      </c>
      <c r="AR6077" s="3" t="s">
        <v>62</v>
      </c>
      <c r="AS6077" s="3" t="s">
        <v>62</v>
      </c>
      <c r="AT6077" s="3" t="s">
        <v>62</v>
      </c>
      <c r="AV6077" s="6" t="str">
        <f>HYPERLINK("http://mcgill.on.worldcat.org/oclc/181335840","Catalog Record")</f>
        <v>Catalog Record</v>
      </c>
      <c r="AW6077" s="6" t="str">
        <f>HYPERLINK("http://www.worldcat.org/oclc/181335840","WorldCat Record")</f>
        <v>WorldCat Record</v>
      </c>
      <c r="AX6077" s="3" t="s">
        <v>58465</v>
      </c>
      <c r="AY6077" s="3" t="s">
        <v>58466</v>
      </c>
      <c r="AZ6077" s="3" t="s">
        <v>58467</v>
      </c>
      <c r="BA6077" s="3" t="s">
        <v>58467</v>
      </c>
      <c r="BB6077" s="3" t="s">
        <v>58468</v>
      </c>
      <c r="BC6077" s="3" t="s">
        <v>142</v>
      </c>
      <c r="BD6077" s="3" t="s">
        <v>68</v>
      </c>
      <c r="BE6077" s="3" t="s">
        <v>58469</v>
      </c>
      <c r="BF6077" s="3" t="s">
        <v>58468</v>
      </c>
      <c r="BG6077" s="3" t="s">
        <v>58470</v>
      </c>
    </row>
    <row r="6078" spans="1:59" ht="57" x14ac:dyDescent="0.45">
      <c r="A6078" s="2" t="s">
        <v>59</v>
      </c>
      <c r="B6078" s="2" t="s">
        <v>60</v>
      </c>
      <c r="C6078" s="2" t="s">
        <v>58471</v>
      </c>
      <c r="D6078" s="2" t="s">
        <v>58472</v>
      </c>
      <c r="E6078" s="2" t="s">
        <v>58473</v>
      </c>
      <c r="G6078" s="3" t="s">
        <v>62</v>
      </c>
      <c r="I6078" s="3" t="s">
        <v>62</v>
      </c>
      <c r="J6078" s="3" t="s">
        <v>62</v>
      </c>
      <c r="K6078" s="3" t="s">
        <v>63</v>
      </c>
      <c r="L6078" s="2" t="s">
        <v>58474</v>
      </c>
      <c r="M6078" s="2" t="s">
        <v>21345</v>
      </c>
      <c r="N6078" s="3" t="s">
        <v>894</v>
      </c>
      <c r="P6078" s="3" t="s">
        <v>65</v>
      </c>
      <c r="Q6078" s="2" t="s">
        <v>48946</v>
      </c>
      <c r="R6078" s="3" t="s">
        <v>66</v>
      </c>
      <c r="S6078" s="4">
        <v>8</v>
      </c>
      <c r="T6078" s="4">
        <v>8</v>
      </c>
      <c r="U6078" s="5" t="s">
        <v>23761</v>
      </c>
      <c r="V6078" s="5" t="s">
        <v>23761</v>
      </c>
      <c r="W6078" s="5" t="s">
        <v>67</v>
      </c>
      <c r="X6078" s="5" t="s">
        <v>67</v>
      </c>
      <c r="Y6078" s="4">
        <v>180</v>
      </c>
      <c r="Z6078" s="4">
        <v>14</v>
      </c>
      <c r="AA6078" s="4">
        <v>84</v>
      </c>
      <c r="AB6078" s="4">
        <v>2</v>
      </c>
      <c r="AC6078" s="4">
        <v>15</v>
      </c>
      <c r="AD6078" s="4">
        <v>65</v>
      </c>
      <c r="AE6078" s="4">
        <v>118</v>
      </c>
      <c r="AF6078" s="4">
        <v>1</v>
      </c>
      <c r="AG6078" s="4">
        <v>8</v>
      </c>
      <c r="AH6078" s="4">
        <v>61</v>
      </c>
      <c r="AI6078" s="4">
        <v>86</v>
      </c>
      <c r="AJ6078" s="4">
        <v>11</v>
      </c>
      <c r="AK6078" s="4">
        <v>21</v>
      </c>
      <c r="AL6078" s="4">
        <v>36</v>
      </c>
      <c r="AM6078" s="4">
        <v>47</v>
      </c>
      <c r="AN6078" s="4">
        <v>0</v>
      </c>
      <c r="AO6078" s="4">
        <v>0</v>
      </c>
      <c r="AP6078" s="4">
        <v>12</v>
      </c>
      <c r="AQ6078" s="4">
        <v>42</v>
      </c>
      <c r="AR6078" s="3" t="s">
        <v>62</v>
      </c>
      <c r="AS6078" s="3" t="s">
        <v>62</v>
      </c>
      <c r="AT6078" s="3" t="s">
        <v>62</v>
      </c>
      <c r="AV6078" s="6" t="str">
        <f>HYPERLINK("http://mcgill.on.worldcat.org/oclc/694396596","Catalog Record")</f>
        <v>Catalog Record</v>
      </c>
      <c r="AW6078" s="6" t="str">
        <f>HYPERLINK("http://www.worldcat.org/oclc/694396596","WorldCat Record")</f>
        <v>WorldCat Record</v>
      </c>
      <c r="AX6078" s="3" t="s">
        <v>58475</v>
      </c>
      <c r="AY6078" s="3" t="s">
        <v>58476</v>
      </c>
      <c r="AZ6078" s="3" t="s">
        <v>58477</v>
      </c>
      <c r="BA6078" s="3" t="s">
        <v>58477</v>
      </c>
      <c r="BB6078" s="3" t="s">
        <v>58478</v>
      </c>
      <c r="BC6078" s="3" t="s">
        <v>142</v>
      </c>
      <c r="BD6078" s="3" t="s">
        <v>68</v>
      </c>
      <c r="BE6078" s="3" t="s">
        <v>58479</v>
      </c>
      <c r="BF6078" s="3" t="s">
        <v>58478</v>
      </c>
      <c r="BG6078" s="3" t="s">
        <v>58480</v>
      </c>
    </row>
    <row r="6079" spans="1:59" ht="57" x14ac:dyDescent="0.45">
      <c r="A6079" s="2" t="s">
        <v>59</v>
      </c>
      <c r="B6079" s="2" t="s">
        <v>60</v>
      </c>
      <c r="C6079" s="2" t="s">
        <v>58481</v>
      </c>
      <c r="D6079" s="2" t="s">
        <v>58482</v>
      </c>
      <c r="E6079" s="2" t="s">
        <v>58483</v>
      </c>
      <c r="G6079" s="3" t="s">
        <v>62</v>
      </c>
      <c r="I6079" s="3" t="s">
        <v>62</v>
      </c>
      <c r="J6079" s="3" t="s">
        <v>62</v>
      </c>
      <c r="K6079" s="3" t="s">
        <v>63</v>
      </c>
      <c r="M6079" s="2" t="s">
        <v>47790</v>
      </c>
      <c r="N6079" s="3" t="s">
        <v>5180</v>
      </c>
      <c r="P6079" s="3" t="s">
        <v>65</v>
      </c>
      <c r="Q6079" s="2" t="s">
        <v>58484</v>
      </c>
      <c r="R6079" s="3" t="s">
        <v>66</v>
      </c>
      <c r="S6079" s="4">
        <v>2</v>
      </c>
      <c r="T6079" s="4">
        <v>2</v>
      </c>
      <c r="U6079" s="5" t="s">
        <v>13146</v>
      </c>
      <c r="V6079" s="5" t="s">
        <v>13146</v>
      </c>
      <c r="W6079" s="5" t="s">
        <v>67</v>
      </c>
      <c r="X6079" s="5" t="s">
        <v>67</v>
      </c>
      <c r="Y6079" s="4">
        <v>31</v>
      </c>
      <c r="Z6079" s="4">
        <v>2</v>
      </c>
      <c r="AA6079" s="4">
        <v>3</v>
      </c>
      <c r="AB6079" s="4">
        <v>1</v>
      </c>
      <c r="AC6079" s="4">
        <v>2</v>
      </c>
      <c r="AD6079" s="4">
        <v>17</v>
      </c>
      <c r="AE6079" s="4">
        <v>18</v>
      </c>
      <c r="AF6079" s="4">
        <v>0</v>
      </c>
      <c r="AG6079" s="4">
        <v>0</v>
      </c>
      <c r="AH6079" s="4">
        <v>17</v>
      </c>
      <c r="AI6079" s="4">
        <v>18</v>
      </c>
      <c r="AJ6079" s="4">
        <v>1</v>
      </c>
      <c r="AK6079" s="4">
        <v>1</v>
      </c>
      <c r="AL6079" s="4">
        <v>12</v>
      </c>
      <c r="AM6079" s="4">
        <v>12</v>
      </c>
      <c r="AN6079" s="4">
        <v>0</v>
      </c>
      <c r="AO6079" s="4">
        <v>0</v>
      </c>
      <c r="AP6079" s="4">
        <v>1</v>
      </c>
      <c r="AQ6079" s="4">
        <v>1</v>
      </c>
      <c r="AR6079" s="3" t="s">
        <v>62</v>
      </c>
      <c r="AS6079" s="3" t="s">
        <v>62</v>
      </c>
      <c r="AT6079" s="3" t="s">
        <v>62</v>
      </c>
      <c r="AV6079" s="6" t="str">
        <f>HYPERLINK("http://mcgill.on.worldcat.org/oclc/1038232562","Catalog Record")</f>
        <v>Catalog Record</v>
      </c>
      <c r="AW6079" s="6" t="str">
        <f>HYPERLINK("http://www.worldcat.org/oclc/1038232562","WorldCat Record")</f>
        <v>WorldCat Record</v>
      </c>
      <c r="AX6079" s="3" t="s">
        <v>58485</v>
      </c>
      <c r="AY6079" s="3" t="s">
        <v>58486</v>
      </c>
      <c r="AZ6079" s="3" t="s">
        <v>58487</v>
      </c>
      <c r="BA6079" s="3" t="s">
        <v>58487</v>
      </c>
      <c r="BB6079" s="3" t="s">
        <v>58488</v>
      </c>
      <c r="BC6079" s="3" t="s">
        <v>142</v>
      </c>
      <c r="BD6079" s="3" t="s">
        <v>68</v>
      </c>
      <c r="BE6079" s="3" t="s">
        <v>58489</v>
      </c>
      <c r="BF6079" s="3" t="s">
        <v>58488</v>
      </c>
      <c r="BG6079" s="3" t="s">
        <v>58490</v>
      </c>
    </row>
    <row r="6080" spans="1:59" ht="57" x14ac:dyDescent="0.45">
      <c r="A6080" s="2" t="s">
        <v>59</v>
      </c>
      <c r="B6080" s="2" t="s">
        <v>60</v>
      </c>
      <c r="C6080" s="2" t="s">
        <v>58491</v>
      </c>
      <c r="D6080" s="2" t="s">
        <v>58492</v>
      </c>
      <c r="E6080" s="2" t="s">
        <v>58493</v>
      </c>
      <c r="G6080" s="3" t="s">
        <v>62</v>
      </c>
      <c r="I6080" s="3" t="s">
        <v>62</v>
      </c>
      <c r="J6080" s="3" t="s">
        <v>62</v>
      </c>
      <c r="K6080" s="3" t="s">
        <v>63</v>
      </c>
      <c r="L6080" s="2" t="s">
        <v>58494</v>
      </c>
      <c r="M6080" s="2" t="s">
        <v>58495</v>
      </c>
      <c r="N6080" s="3" t="s">
        <v>125</v>
      </c>
      <c r="P6080" s="3" t="s">
        <v>110</v>
      </c>
      <c r="Q6080" s="2" t="s">
        <v>58496</v>
      </c>
      <c r="R6080" s="3" t="s">
        <v>66</v>
      </c>
      <c r="S6080" s="4">
        <v>89</v>
      </c>
      <c r="T6080" s="4">
        <v>89</v>
      </c>
      <c r="U6080" s="5" t="s">
        <v>6707</v>
      </c>
      <c r="V6080" s="5" t="s">
        <v>6707</v>
      </c>
      <c r="W6080" s="5" t="s">
        <v>67</v>
      </c>
      <c r="X6080" s="5" t="s">
        <v>67</v>
      </c>
      <c r="Y6080" s="4">
        <v>34</v>
      </c>
      <c r="Z6080" s="4">
        <v>21</v>
      </c>
      <c r="AA6080" s="4">
        <v>40</v>
      </c>
      <c r="AB6080" s="4">
        <v>9</v>
      </c>
      <c r="AC6080" s="4">
        <v>12</v>
      </c>
      <c r="AD6080" s="4">
        <v>17</v>
      </c>
      <c r="AE6080" s="4">
        <v>42</v>
      </c>
      <c r="AF6080" s="4">
        <v>4</v>
      </c>
      <c r="AG6080" s="4">
        <v>7</v>
      </c>
      <c r="AH6080" s="4">
        <v>9</v>
      </c>
      <c r="AI6080" s="4">
        <v>21</v>
      </c>
      <c r="AJ6080" s="4">
        <v>11</v>
      </c>
      <c r="AK6080" s="4">
        <v>23</v>
      </c>
      <c r="AL6080" s="4">
        <v>4</v>
      </c>
      <c r="AM6080" s="4">
        <v>8</v>
      </c>
      <c r="AN6080" s="4">
        <v>0</v>
      </c>
      <c r="AO6080" s="4">
        <v>0</v>
      </c>
      <c r="AP6080" s="4">
        <v>12</v>
      </c>
      <c r="AQ6080" s="4">
        <v>31</v>
      </c>
      <c r="AR6080" s="3" t="s">
        <v>61</v>
      </c>
      <c r="AS6080" s="3" t="s">
        <v>62</v>
      </c>
      <c r="AT6080" s="3" t="s">
        <v>61</v>
      </c>
      <c r="AU6080" s="6" t="str">
        <f>HYPERLINK("http://catalog.hathitrust.org/Record/006223543","HathiTrust Record")</f>
        <v>HathiTrust Record</v>
      </c>
      <c r="AV6080" s="6" t="str">
        <f>HYPERLINK("http://mcgill.on.worldcat.org/oclc/21449264","Catalog Record")</f>
        <v>Catalog Record</v>
      </c>
      <c r="AW6080" s="6" t="str">
        <f>HYPERLINK("http://www.worldcat.org/oclc/21449264","WorldCat Record")</f>
        <v>WorldCat Record</v>
      </c>
      <c r="AX6080" s="3" t="s">
        <v>58497</v>
      </c>
      <c r="AY6080" s="3" t="s">
        <v>58498</v>
      </c>
      <c r="AZ6080" s="3" t="s">
        <v>58499</v>
      </c>
      <c r="BA6080" s="3" t="s">
        <v>58499</v>
      </c>
      <c r="BB6080" s="3" t="s">
        <v>58500</v>
      </c>
      <c r="BC6080" s="3" t="s">
        <v>142</v>
      </c>
      <c r="BD6080" s="3" t="s">
        <v>308</v>
      </c>
      <c r="BE6080" s="3" t="s">
        <v>58501</v>
      </c>
      <c r="BF6080" s="3" t="s">
        <v>58500</v>
      </c>
      <c r="BG6080" s="3" t="s">
        <v>58502</v>
      </c>
    </row>
    <row r="6081" spans="1:59" ht="57" x14ac:dyDescent="0.45">
      <c r="A6081" s="2" t="s">
        <v>59</v>
      </c>
      <c r="B6081" s="2" t="s">
        <v>60</v>
      </c>
      <c r="C6081" s="2" t="s">
        <v>58503</v>
      </c>
      <c r="D6081" s="2" t="s">
        <v>58504</v>
      </c>
      <c r="E6081" s="2" t="s">
        <v>58505</v>
      </c>
      <c r="G6081" s="3" t="s">
        <v>62</v>
      </c>
      <c r="I6081" s="3" t="s">
        <v>62</v>
      </c>
      <c r="J6081" s="3" t="s">
        <v>62</v>
      </c>
      <c r="K6081" s="3" t="s">
        <v>63</v>
      </c>
      <c r="L6081" s="2" t="s">
        <v>58494</v>
      </c>
      <c r="M6081" s="2" t="s">
        <v>58506</v>
      </c>
      <c r="N6081" s="3" t="s">
        <v>1478</v>
      </c>
      <c r="P6081" s="3" t="s">
        <v>65</v>
      </c>
      <c r="Q6081" s="2" t="s">
        <v>58507</v>
      </c>
      <c r="R6081" s="3" t="s">
        <v>66</v>
      </c>
      <c r="S6081" s="4">
        <v>45</v>
      </c>
      <c r="T6081" s="4">
        <v>45</v>
      </c>
      <c r="U6081" s="5" t="s">
        <v>31035</v>
      </c>
      <c r="V6081" s="5" t="s">
        <v>31035</v>
      </c>
      <c r="W6081" s="5" t="s">
        <v>67</v>
      </c>
      <c r="X6081" s="5" t="s">
        <v>67</v>
      </c>
      <c r="Y6081" s="4">
        <v>179</v>
      </c>
      <c r="Z6081" s="4">
        <v>27</v>
      </c>
      <c r="AA6081" s="4">
        <v>30</v>
      </c>
      <c r="AB6081" s="4">
        <v>2</v>
      </c>
      <c r="AC6081" s="4">
        <v>5</v>
      </c>
      <c r="AD6081" s="4">
        <v>90</v>
      </c>
      <c r="AE6081" s="4">
        <v>92</v>
      </c>
      <c r="AF6081" s="4">
        <v>1</v>
      </c>
      <c r="AG6081" s="4">
        <v>3</v>
      </c>
      <c r="AH6081" s="4">
        <v>74</v>
      </c>
      <c r="AI6081" s="4">
        <v>75</v>
      </c>
      <c r="AJ6081" s="4">
        <v>16</v>
      </c>
      <c r="AK6081" s="4">
        <v>18</v>
      </c>
      <c r="AL6081" s="4">
        <v>40</v>
      </c>
      <c r="AM6081" s="4">
        <v>40</v>
      </c>
      <c r="AN6081" s="4">
        <v>0</v>
      </c>
      <c r="AO6081" s="4">
        <v>0</v>
      </c>
      <c r="AP6081" s="4">
        <v>22</v>
      </c>
      <c r="AQ6081" s="4">
        <v>23</v>
      </c>
      <c r="AR6081" s="3" t="s">
        <v>61</v>
      </c>
      <c r="AS6081" s="3" t="s">
        <v>62</v>
      </c>
      <c r="AT6081" s="3" t="s">
        <v>61</v>
      </c>
      <c r="AU6081" s="6" t="str">
        <f>HYPERLINK("http://catalog.hathitrust.org/Record/003118684","HathiTrust Record")</f>
        <v>HathiTrust Record</v>
      </c>
      <c r="AV6081" s="6" t="str">
        <f>HYPERLINK("http://mcgill.on.worldcat.org/oclc/36330723","Catalog Record")</f>
        <v>Catalog Record</v>
      </c>
      <c r="AW6081" s="6" t="str">
        <f>HYPERLINK("http://www.worldcat.org/oclc/36330723","WorldCat Record")</f>
        <v>WorldCat Record</v>
      </c>
      <c r="AX6081" s="3" t="s">
        <v>58508</v>
      </c>
      <c r="AY6081" s="3" t="s">
        <v>58509</v>
      </c>
      <c r="AZ6081" s="3" t="s">
        <v>58510</v>
      </c>
      <c r="BA6081" s="3" t="s">
        <v>58510</v>
      </c>
      <c r="BB6081" s="3" t="s">
        <v>58511</v>
      </c>
      <c r="BC6081" s="3" t="s">
        <v>142</v>
      </c>
      <c r="BD6081" s="3" t="s">
        <v>68</v>
      </c>
      <c r="BE6081" s="3" t="s">
        <v>58512</v>
      </c>
      <c r="BF6081" s="3" t="s">
        <v>58511</v>
      </c>
      <c r="BG6081" s="3" t="s">
        <v>58513</v>
      </c>
    </row>
    <row r="6082" spans="1:59" ht="57" x14ac:dyDescent="0.45">
      <c r="A6082" s="2" t="s">
        <v>59</v>
      </c>
      <c r="B6082" s="2" t="s">
        <v>60</v>
      </c>
      <c r="C6082" s="2" t="s">
        <v>58514</v>
      </c>
      <c r="D6082" s="2" t="s">
        <v>58515</v>
      </c>
      <c r="E6082" s="2" t="s">
        <v>58516</v>
      </c>
      <c r="G6082" s="3" t="s">
        <v>62</v>
      </c>
      <c r="I6082" s="3" t="s">
        <v>61</v>
      </c>
      <c r="J6082" s="3" t="s">
        <v>62</v>
      </c>
      <c r="K6082" s="3" t="s">
        <v>63</v>
      </c>
      <c r="L6082" s="2" t="s">
        <v>58517</v>
      </c>
      <c r="M6082" s="2" t="s">
        <v>37017</v>
      </c>
      <c r="N6082" s="3" t="s">
        <v>1437</v>
      </c>
      <c r="P6082" s="3" t="s">
        <v>65</v>
      </c>
      <c r="Q6082" s="2" t="s">
        <v>7366</v>
      </c>
      <c r="R6082" s="3" t="s">
        <v>66</v>
      </c>
      <c r="S6082" s="4">
        <v>18</v>
      </c>
      <c r="T6082" s="4">
        <v>24</v>
      </c>
      <c r="U6082" s="5" t="s">
        <v>17381</v>
      </c>
      <c r="V6082" s="5" t="s">
        <v>17381</v>
      </c>
      <c r="W6082" s="5" t="s">
        <v>67</v>
      </c>
      <c r="X6082" s="5" t="s">
        <v>67</v>
      </c>
      <c r="Y6082" s="4">
        <v>263</v>
      </c>
      <c r="Z6082" s="4">
        <v>17</v>
      </c>
      <c r="AA6082" s="4">
        <v>24</v>
      </c>
      <c r="AB6082" s="4">
        <v>2</v>
      </c>
      <c r="AC6082" s="4">
        <v>9</v>
      </c>
      <c r="AD6082" s="4">
        <v>74</v>
      </c>
      <c r="AE6082" s="4">
        <v>80</v>
      </c>
      <c r="AF6082" s="4">
        <v>1</v>
      </c>
      <c r="AG6082" s="4">
        <v>5</v>
      </c>
      <c r="AH6082" s="4">
        <v>68</v>
      </c>
      <c r="AI6082" s="4">
        <v>71</v>
      </c>
      <c r="AJ6082" s="4">
        <v>12</v>
      </c>
      <c r="AK6082" s="4">
        <v>15</v>
      </c>
      <c r="AL6082" s="4">
        <v>40</v>
      </c>
      <c r="AM6082" s="4">
        <v>41</v>
      </c>
      <c r="AN6082" s="4">
        <v>0</v>
      </c>
      <c r="AO6082" s="4">
        <v>0</v>
      </c>
      <c r="AP6082" s="4">
        <v>14</v>
      </c>
      <c r="AQ6082" s="4">
        <v>17</v>
      </c>
      <c r="AR6082" s="3" t="s">
        <v>62</v>
      </c>
      <c r="AS6082" s="3" t="s">
        <v>62</v>
      </c>
      <c r="AT6082" s="3" t="s">
        <v>61</v>
      </c>
      <c r="AU6082" s="6" t="str">
        <f>HYPERLINK("http://catalog.hathitrust.org/Record/004271013","HathiTrust Record")</f>
        <v>HathiTrust Record</v>
      </c>
      <c r="AV6082" s="6" t="str">
        <f>HYPERLINK("http://mcgill.on.worldcat.org/oclc/37432793","Catalog Record")</f>
        <v>Catalog Record</v>
      </c>
      <c r="AW6082" s="6" t="str">
        <f>HYPERLINK("http://www.worldcat.org/oclc/37432793","WorldCat Record")</f>
        <v>WorldCat Record</v>
      </c>
      <c r="AX6082" s="3" t="s">
        <v>58518</v>
      </c>
      <c r="AY6082" s="3" t="s">
        <v>58519</v>
      </c>
      <c r="AZ6082" s="3" t="s">
        <v>58520</v>
      </c>
      <c r="BA6082" s="3" t="s">
        <v>58520</v>
      </c>
      <c r="BB6082" s="3" t="s">
        <v>58521</v>
      </c>
      <c r="BC6082" s="3" t="s">
        <v>142</v>
      </c>
      <c r="BD6082" s="3" t="s">
        <v>68</v>
      </c>
      <c r="BE6082" s="3" t="s">
        <v>58522</v>
      </c>
      <c r="BF6082" s="3" t="s">
        <v>58521</v>
      </c>
      <c r="BG6082" s="3" t="s">
        <v>58523</v>
      </c>
    </row>
    <row r="6083" spans="1:59" ht="57" x14ac:dyDescent="0.45">
      <c r="A6083" s="2" t="s">
        <v>59</v>
      </c>
      <c r="B6083" s="2" t="s">
        <v>60</v>
      </c>
      <c r="C6083" s="2" t="s">
        <v>58514</v>
      </c>
      <c r="D6083" s="2" t="s">
        <v>58515</v>
      </c>
      <c r="E6083" s="2" t="s">
        <v>58516</v>
      </c>
      <c r="G6083" s="3" t="s">
        <v>62</v>
      </c>
      <c r="I6083" s="3" t="s">
        <v>61</v>
      </c>
      <c r="J6083" s="3" t="s">
        <v>62</v>
      </c>
      <c r="K6083" s="3" t="s">
        <v>63</v>
      </c>
      <c r="L6083" s="2" t="s">
        <v>58517</v>
      </c>
      <c r="M6083" s="2" t="s">
        <v>37017</v>
      </c>
      <c r="N6083" s="3" t="s">
        <v>1437</v>
      </c>
      <c r="P6083" s="3" t="s">
        <v>65</v>
      </c>
      <c r="Q6083" s="2" t="s">
        <v>7366</v>
      </c>
      <c r="R6083" s="3" t="s">
        <v>66</v>
      </c>
      <c r="S6083" s="4">
        <v>6</v>
      </c>
      <c r="T6083" s="4">
        <v>24</v>
      </c>
      <c r="U6083" s="5" t="s">
        <v>58524</v>
      </c>
      <c r="V6083" s="5" t="s">
        <v>17381</v>
      </c>
      <c r="W6083" s="5" t="s">
        <v>67</v>
      </c>
      <c r="X6083" s="5" t="s">
        <v>67</v>
      </c>
      <c r="Y6083" s="4">
        <v>263</v>
      </c>
      <c r="Z6083" s="4">
        <v>17</v>
      </c>
      <c r="AA6083" s="4">
        <v>24</v>
      </c>
      <c r="AB6083" s="4">
        <v>2</v>
      </c>
      <c r="AC6083" s="4">
        <v>9</v>
      </c>
      <c r="AD6083" s="4">
        <v>74</v>
      </c>
      <c r="AE6083" s="4">
        <v>80</v>
      </c>
      <c r="AF6083" s="4">
        <v>1</v>
      </c>
      <c r="AG6083" s="4">
        <v>5</v>
      </c>
      <c r="AH6083" s="4">
        <v>68</v>
      </c>
      <c r="AI6083" s="4">
        <v>71</v>
      </c>
      <c r="AJ6083" s="4">
        <v>12</v>
      </c>
      <c r="AK6083" s="4">
        <v>15</v>
      </c>
      <c r="AL6083" s="4">
        <v>40</v>
      </c>
      <c r="AM6083" s="4">
        <v>41</v>
      </c>
      <c r="AN6083" s="4">
        <v>0</v>
      </c>
      <c r="AO6083" s="4">
        <v>0</v>
      </c>
      <c r="AP6083" s="4">
        <v>14</v>
      </c>
      <c r="AQ6083" s="4">
        <v>17</v>
      </c>
      <c r="AR6083" s="3" t="s">
        <v>62</v>
      </c>
      <c r="AS6083" s="3" t="s">
        <v>62</v>
      </c>
      <c r="AT6083" s="3" t="s">
        <v>61</v>
      </c>
      <c r="AU6083" s="6" t="str">
        <f>HYPERLINK("http://catalog.hathitrust.org/Record/004271013","HathiTrust Record")</f>
        <v>HathiTrust Record</v>
      </c>
      <c r="AV6083" s="6" t="str">
        <f>HYPERLINK("http://mcgill.on.worldcat.org/oclc/37432793","Catalog Record")</f>
        <v>Catalog Record</v>
      </c>
      <c r="AW6083" s="6" t="str">
        <f>HYPERLINK("http://www.worldcat.org/oclc/37432793","WorldCat Record")</f>
        <v>WorldCat Record</v>
      </c>
      <c r="AX6083" s="3" t="s">
        <v>58518</v>
      </c>
      <c r="AY6083" s="3" t="s">
        <v>58519</v>
      </c>
      <c r="AZ6083" s="3" t="s">
        <v>58520</v>
      </c>
      <c r="BA6083" s="3" t="s">
        <v>58520</v>
      </c>
      <c r="BB6083" s="3" t="s">
        <v>58525</v>
      </c>
      <c r="BC6083" s="3" t="s">
        <v>142</v>
      </c>
      <c r="BD6083" s="3" t="s">
        <v>68</v>
      </c>
      <c r="BE6083" s="3" t="s">
        <v>58522</v>
      </c>
      <c r="BF6083" s="3" t="s">
        <v>58525</v>
      </c>
      <c r="BG6083" s="3" t="s">
        <v>58526</v>
      </c>
    </row>
    <row r="6084" spans="1:59" ht="57" x14ac:dyDescent="0.45">
      <c r="A6084" s="2" t="s">
        <v>59</v>
      </c>
      <c r="B6084" s="2" t="s">
        <v>60</v>
      </c>
      <c r="C6084" s="2" t="s">
        <v>58527</v>
      </c>
      <c r="D6084" s="2" t="s">
        <v>58528</v>
      </c>
      <c r="E6084" s="2" t="s">
        <v>58529</v>
      </c>
      <c r="G6084" s="3" t="s">
        <v>62</v>
      </c>
      <c r="I6084" s="3" t="s">
        <v>62</v>
      </c>
      <c r="J6084" s="3" t="s">
        <v>62</v>
      </c>
      <c r="K6084" s="3" t="s">
        <v>63</v>
      </c>
      <c r="M6084" s="2" t="s">
        <v>58530</v>
      </c>
      <c r="N6084" s="3" t="s">
        <v>958</v>
      </c>
      <c r="P6084" s="3" t="s">
        <v>65</v>
      </c>
      <c r="R6084" s="3" t="s">
        <v>66</v>
      </c>
      <c r="S6084" s="4">
        <v>1</v>
      </c>
      <c r="T6084" s="4">
        <v>1</v>
      </c>
      <c r="U6084" s="5" t="s">
        <v>18697</v>
      </c>
      <c r="V6084" s="5" t="s">
        <v>18697</v>
      </c>
      <c r="W6084" s="5" t="s">
        <v>67</v>
      </c>
      <c r="X6084" s="5" t="s">
        <v>67</v>
      </c>
      <c r="Y6084" s="4">
        <v>6</v>
      </c>
      <c r="Z6084" s="4">
        <v>1</v>
      </c>
      <c r="AA6084" s="4">
        <v>2</v>
      </c>
      <c r="AB6084" s="4">
        <v>1</v>
      </c>
      <c r="AC6084" s="4">
        <v>1</v>
      </c>
      <c r="AD6084" s="4">
        <v>1</v>
      </c>
      <c r="AE6084" s="4">
        <v>18</v>
      </c>
      <c r="AF6084" s="4">
        <v>0</v>
      </c>
      <c r="AG6084" s="4">
        <v>0</v>
      </c>
      <c r="AH6084" s="4">
        <v>1</v>
      </c>
      <c r="AI6084" s="4">
        <v>16</v>
      </c>
      <c r="AJ6084" s="4">
        <v>0</v>
      </c>
      <c r="AK6084" s="4">
        <v>1</v>
      </c>
      <c r="AL6084" s="4">
        <v>0</v>
      </c>
      <c r="AM6084" s="4">
        <v>14</v>
      </c>
      <c r="AN6084" s="4">
        <v>0</v>
      </c>
      <c r="AO6084" s="4">
        <v>0</v>
      </c>
      <c r="AP6084" s="4">
        <v>0</v>
      </c>
      <c r="AQ6084" s="4">
        <v>1</v>
      </c>
      <c r="AR6084" s="3" t="s">
        <v>62</v>
      </c>
      <c r="AS6084" s="3" t="s">
        <v>62</v>
      </c>
      <c r="AT6084" s="3" t="s">
        <v>62</v>
      </c>
      <c r="AV6084" s="6" t="str">
        <f>HYPERLINK("http://mcgill.on.worldcat.org/oclc/54308540","Catalog Record")</f>
        <v>Catalog Record</v>
      </c>
      <c r="AW6084" s="6" t="str">
        <f>HYPERLINK("http://www.worldcat.org/oclc/54308540","WorldCat Record")</f>
        <v>WorldCat Record</v>
      </c>
      <c r="AX6084" s="3" t="s">
        <v>58531</v>
      </c>
      <c r="AY6084" s="3" t="s">
        <v>58532</v>
      </c>
      <c r="AZ6084" s="3" t="s">
        <v>58533</v>
      </c>
      <c r="BA6084" s="3" t="s">
        <v>58533</v>
      </c>
      <c r="BB6084" s="3" t="s">
        <v>58534</v>
      </c>
      <c r="BC6084" s="3" t="s">
        <v>142</v>
      </c>
      <c r="BD6084" s="3" t="s">
        <v>68</v>
      </c>
      <c r="BE6084" s="3" t="s">
        <v>58535</v>
      </c>
      <c r="BF6084" s="3" t="s">
        <v>58534</v>
      </c>
      <c r="BG6084" s="3" t="s">
        <v>58536</v>
      </c>
    </row>
    <row r="6085" spans="1:59" ht="99.75" x14ac:dyDescent="0.45">
      <c r="A6085" s="2" t="s">
        <v>59</v>
      </c>
      <c r="B6085" s="2" t="s">
        <v>60</v>
      </c>
      <c r="C6085" s="2" t="s">
        <v>58537</v>
      </c>
      <c r="D6085" s="2" t="s">
        <v>58538</v>
      </c>
      <c r="E6085" s="2" t="s">
        <v>58539</v>
      </c>
      <c r="G6085" s="3" t="s">
        <v>62</v>
      </c>
      <c r="I6085" s="3" t="s">
        <v>62</v>
      </c>
      <c r="J6085" s="3" t="s">
        <v>62</v>
      </c>
      <c r="K6085" s="3" t="s">
        <v>63</v>
      </c>
      <c r="M6085" s="2" t="s">
        <v>58540</v>
      </c>
      <c r="N6085" s="3" t="s">
        <v>1155</v>
      </c>
      <c r="O6085" s="2" t="s">
        <v>168</v>
      </c>
      <c r="P6085" s="3" t="s">
        <v>65</v>
      </c>
      <c r="R6085" s="3" t="s">
        <v>66</v>
      </c>
      <c r="S6085" s="4">
        <v>1</v>
      </c>
      <c r="T6085" s="4">
        <v>1</v>
      </c>
      <c r="U6085" s="5" t="s">
        <v>3424</v>
      </c>
      <c r="V6085" s="5" t="s">
        <v>3424</v>
      </c>
      <c r="W6085" s="5" t="s">
        <v>67</v>
      </c>
      <c r="X6085" s="5" t="s">
        <v>67</v>
      </c>
      <c r="Y6085" s="4">
        <v>10</v>
      </c>
      <c r="Z6085" s="4">
        <v>7</v>
      </c>
      <c r="AA6085" s="4">
        <v>7</v>
      </c>
      <c r="AB6085" s="4">
        <v>1</v>
      </c>
      <c r="AC6085" s="4">
        <v>1</v>
      </c>
      <c r="AD6085" s="4">
        <v>5</v>
      </c>
      <c r="AE6085" s="4">
        <v>5</v>
      </c>
      <c r="AF6085" s="4">
        <v>0</v>
      </c>
      <c r="AG6085" s="4">
        <v>0</v>
      </c>
      <c r="AH6085" s="4">
        <v>5</v>
      </c>
      <c r="AI6085" s="4">
        <v>5</v>
      </c>
      <c r="AJ6085" s="4">
        <v>4</v>
      </c>
      <c r="AK6085" s="4">
        <v>4</v>
      </c>
      <c r="AL6085" s="4">
        <v>1</v>
      </c>
      <c r="AM6085" s="4">
        <v>1</v>
      </c>
      <c r="AN6085" s="4">
        <v>0</v>
      </c>
      <c r="AO6085" s="4">
        <v>0</v>
      </c>
      <c r="AP6085" s="4">
        <v>5</v>
      </c>
      <c r="AQ6085" s="4">
        <v>5</v>
      </c>
      <c r="AR6085" s="3" t="s">
        <v>62</v>
      </c>
      <c r="AS6085" s="3" t="s">
        <v>62</v>
      </c>
      <c r="AT6085" s="3" t="s">
        <v>62</v>
      </c>
      <c r="AV6085" s="6" t="str">
        <f>HYPERLINK("http://mcgill.on.worldcat.org/oclc/824353453","Catalog Record")</f>
        <v>Catalog Record</v>
      </c>
      <c r="AW6085" s="6" t="str">
        <f>HYPERLINK("http://www.worldcat.org/oclc/824353453","WorldCat Record")</f>
        <v>WorldCat Record</v>
      </c>
      <c r="AX6085" s="3" t="s">
        <v>58541</v>
      </c>
      <c r="AY6085" s="3" t="s">
        <v>58542</v>
      </c>
      <c r="AZ6085" s="3" t="s">
        <v>58543</v>
      </c>
      <c r="BA6085" s="3" t="s">
        <v>58543</v>
      </c>
      <c r="BB6085" s="3" t="s">
        <v>58544</v>
      </c>
      <c r="BC6085" s="3" t="s">
        <v>142</v>
      </c>
      <c r="BD6085" s="3" t="s">
        <v>68</v>
      </c>
      <c r="BE6085" s="3" t="s">
        <v>58545</v>
      </c>
      <c r="BF6085" s="3" t="s">
        <v>58544</v>
      </c>
      <c r="BG6085" s="3" t="s">
        <v>58546</v>
      </c>
    </row>
    <row r="6086" spans="1:59" ht="57" x14ac:dyDescent="0.45">
      <c r="A6086" s="2" t="s">
        <v>59</v>
      </c>
      <c r="B6086" s="2" t="s">
        <v>60</v>
      </c>
      <c r="C6086" s="2" t="s">
        <v>58547</v>
      </c>
      <c r="D6086" s="2" t="s">
        <v>58548</v>
      </c>
      <c r="E6086" s="2" t="s">
        <v>58549</v>
      </c>
      <c r="G6086" s="3" t="s">
        <v>62</v>
      </c>
      <c r="I6086" s="3" t="s">
        <v>62</v>
      </c>
      <c r="J6086" s="3" t="s">
        <v>62</v>
      </c>
      <c r="K6086" s="3" t="s">
        <v>63</v>
      </c>
      <c r="M6086" s="2" t="s">
        <v>58550</v>
      </c>
      <c r="N6086" s="3" t="s">
        <v>1059</v>
      </c>
      <c r="P6086" s="3" t="s">
        <v>65</v>
      </c>
      <c r="Q6086" s="2" t="s">
        <v>58551</v>
      </c>
      <c r="R6086" s="3" t="s">
        <v>66</v>
      </c>
      <c r="S6086" s="4">
        <v>9</v>
      </c>
      <c r="T6086" s="4">
        <v>9</v>
      </c>
      <c r="U6086" s="5" t="s">
        <v>42646</v>
      </c>
      <c r="V6086" s="5" t="s">
        <v>42646</v>
      </c>
      <c r="W6086" s="5" t="s">
        <v>67</v>
      </c>
      <c r="X6086" s="5" t="s">
        <v>67</v>
      </c>
      <c r="Y6086" s="4">
        <v>73</v>
      </c>
      <c r="Z6086" s="4">
        <v>21</v>
      </c>
      <c r="AA6086" s="4">
        <v>92</v>
      </c>
      <c r="AB6086" s="4">
        <v>2</v>
      </c>
      <c r="AC6086" s="4">
        <v>21</v>
      </c>
      <c r="AD6086" s="4">
        <v>31</v>
      </c>
      <c r="AE6086" s="4">
        <v>118</v>
      </c>
      <c r="AF6086" s="4">
        <v>1</v>
      </c>
      <c r="AG6086" s="4">
        <v>9</v>
      </c>
      <c r="AH6086" s="4">
        <v>23</v>
      </c>
      <c r="AI6086" s="4">
        <v>73</v>
      </c>
      <c r="AJ6086" s="4">
        <v>16</v>
      </c>
      <c r="AK6086" s="4">
        <v>27</v>
      </c>
      <c r="AL6086" s="4">
        <v>11</v>
      </c>
      <c r="AM6086" s="4">
        <v>36</v>
      </c>
      <c r="AN6086" s="4">
        <v>0</v>
      </c>
      <c r="AO6086" s="4">
        <v>0</v>
      </c>
      <c r="AP6086" s="4">
        <v>16</v>
      </c>
      <c r="AQ6086" s="4">
        <v>54</v>
      </c>
      <c r="AR6086" s="3" t="s">
        <v>61</v>
      </c>
      <c r="AS6086" s="3" t="s">
        <v>62</v>
      </c>
      <c r="AT6086" s="3" t="s">
        <v>62</v>
      </c>
      <c r="AV6086" s="6" t="str">
        <f>HYPERLINK("http://mcgill.on.worldcat.org/oclc/69186620","Catalog Record")</f>
        <v>Catalog Record</v>
      </c>
      <c r="AW6086" s="6" t="str">
        <f>HYPERLINK("http://www.worldcat.org/oclc/69186620","WorldCat Record")</f>
        <v>WorldCat Record</v>
      </c>
      <c r="AX6086" s="3" t="s">
        <v>58552</v>
      </c>
      <c r="AY6086" s="3" t="s">
        <v>58553</v>
      </c>
      <c r="AZ6086" s="3" t="s">
        <v>58554</v>
      </c>
      <c r="BA6086" s="3" t="s">
        <v>58554</v>
      </c>
      <c r="BB6086" s="3" t="s">
        <v>58555</v>
      </c>
      <c r="BC6086" s="3" t="s">
        <v>142</v>
      </c>
      <c r="BD6086" s="3" t="s">
        <v>68</v>
      </c>
      <c r="BE6086" s="3" t="s">
        <v>58556</v>
      </c>
      <c r="BF6086" s="3" t="s">
        <v>58555</v>
      </c>
      <c r="BG6086" s="3" t="s">
        <v>58557</v>
      </c>
    </row>
    <row r="6087" spans="1:59" ht="57" x14ac:dyDescent="0.45">
      <c r="A6087" s="2" t="s">
        <v>59</v>
      </c>
      <c r="B6087" s="2" t="s">
        <v>60</v>
      </c>
      <c r="C6087" s="2" t="s">
        <v>58558</v>
      </c>
      <c r="D6087" s="2" t="s">
        <v>58559</v>
      </c>
      <c r="E6087" s="2" t="s">
        <v>58560</v>
      </c>
      <c r="G6087" s="3" t="s">
        <v>62</v>
      </c>
      <c r="I6087" s="3" t="s">
        <v>62</v>
      </c>
      <c r="J6087" s="3" t="s">
        <v>62</v>
      </c>
      <c r="K6087" s="3" t="s">
        <v>63</v>
      </c>
      <c r="L6087" s="2" t="s">
        <v>58561</v>
      </c>
      <c r="M6087" s="2" t="s">
        <v>58562</v>
      </c>
      <c r="N6087" s="3" t="s">
        <v>1155</v>
      </c>
      <c r="P6087" s="3" t="s">
        <v>110</v>
      </c>
      <c r="Q6087" s="2" t="s">
        <v>58563</v>
      </c>
      <c r="R6087" s="3" t="s">
        <v>66</v>
      </c>
      <c r="S6087" s="4">
        <v>6</v>
      </c>
      <c r="T6087" s="4">
        <v>6</v>
      </c>
      <c r="U6087" s="5" t="s">
        <v>17827</v>
      </c>
      <c r="V6087" s="5" t="s">
        <v>17827</v>
      </c>
      <c r="W6087" s="5" t="s">
        <v>67</v>
      </c>
      <c r="X6087" s="5" t="s">
        <v>67</v>
      </c>
      <c r="Y6087" s="4">
        <v>13</v>
      </c>
      <c r="Z6087" s="4">
        <v>5</v>
      </c>
      <c r="AA6087" s="4">
        <v>12</v>
      </c>
      <c r="AB6087" s="4">
        <v>2</v>
      </c>
      <c r="AC6087" s="4">
        <v>7</v>
      </c>
      <c r="AD6087" s="4">
        <v>10</v>
      </c>
      <c r="AE6087" s="4">
        <v>16</v>
      </c>
      <c r="AF6087" s="4">
        <v>1</v>
      </c>
      <c r="AG6087" s="4">
        <v>5</v>
      </c>
      <c r="AH6087" s="4">
        <v>9</v>
      </c>
      <c r="AI6087" s="4">
        <v>11</v>
      </c>
      <c r="AJ6087" s="4">
        <v>4</v>
      </c>
      <c r="AK6087" s="4">
        <v>9</v>
      </c>
      <c r="AL6087" s="4">
        <v>6</v>
      </c>
      <c r="AM6087" s="4">
        <v>6</v>
      </c>
      <c r="AN6087" s="4">
        <v>0</v>
      </c>
      <c r="AO6087" s="4">
        <v>0</v>
      </c>
      <c r="AP6087" s="4">
        <v>4</v>
      </c>
      <c r="AQ6087" s="4">
        <v>9</v>
      </c>
      <c r="AR6087" s="3" t="s">
        <v>62</v>
      </c>
      <c r="AS6087" s="3" t="s">
        <v>62</v>
      </c>
      <c r="AT6087" s="3" t="s">
        <v>61</v>
      </c>
      <c r="AU6087" s="6" t="str">
        <f>HYPERLINK("http://catalog.hathitrust.org/Record/102466220","HathiTrust Record")</f>
        <v>HathiTrust Record</v>
      </c>
      <c r="AV6087" s="6" t="str">
        <f>HYPERLINK("http://mcgill.on.worldcat.org/oclc/811421822","Catalog Record")</f>
        <v>Catalog Record</v>
      </c>
      <c r="AW6087" s="6" t="str">
        <f>HYPERLINK("http://www.worldcat.org/oclc/811421822","WorldCat Record")</f>
        <v>WorldCat Record</v>
      </c>
      <c r="AX6087" s="3" t="s">
        <v>58564</v>
      </c>
      <c r="AY6087" s="3" t="s">
        <v>58565</v>
      </c>
      <c r="AZ6087" s="3" t="s">
        <v>58566</v>
      </c>
      <c r="BA6087" s="3" t="s">
        <v>58566</v>
      </c>
      <c r="BB6087" s="3" t="s">
        <v>58567</v>
      </c>
      <c r="BC6087" s="3" t="s">
        <v>142</v>
      </c>
      <c r="BD6087" s="3" t="s">
        <v>68</v>
      </c>
      <c r="BE6087" s="3" t="s">
        <v>58568</v>
      </c>
      <c r="BF6087" s="3" t="s">
        <v>58567</v>
      </c>
      <c r="BG6087" s="3" t="s">
        <v>58569</v>
      </c>
    </row>
    <row r="6088" spans="1:59" ht="57" x14ac:dyDescent="0.45">
      <c r="A6088" s="2" t="s">
        <v>59</v>
      </c>
      <c r="B6088" s="2" t="s">
        <v>60</v>
      </c>
      <c r="C6088" s="2" t="s">
        <v>58570</v>
      </c>
      <c r="D6088" s="2" t="s">
        <v>58571</v>
      </c>
      <c r="E6088" s="2" t="s">
        <v>58572</v>
      </c>
      <c r="G6088" s="3" t="s">
        <v>62</v>
      </c>
      <c r="I6088" s="3" t="s">
        <v>62</v>
      </c>
      <c r="J6088" s="3" t="s">
        <v>62</v>
      </c>
      <c r="K6088" s="3" t="s">
        <v>63</v>
      </c>
      <c r="L6088" s="2" t="s">
        <v>58573</v>
      </c>
      <c r="M6088" s="2" t="s">
        <v>58574</v>
      </c>
      <c r="N6088" s="3" t="s">
        <v>1155</v>
      </c>
      <c r="O6088" s="2" t="s">
        <v>37323</v>
      </c>
      <c r="P6088" s="3" t="s">
        <v>182</v>
      </c>
      <c r="Q6088" s="2" t="s">
        <v>58575</v>
      </c>
      <c r="R6088" s="3" t="s">
        <v>66</v>
      </c>
      <c r="S6088" s="4">
        <v>0</v>
      </c>
      <c r="T6088" s="4">
        <v>0</v>
      </c>
      <c r="W6088" s="5" t="s">
        <v>67</v>
      </c>
      <c r="X6088" s="5" t="s">
        <v>67</v>
      </c>
      <c r="Y6088" s="4">
        <v>8</v>
      </c>
      <c r="Z6088" s="4">
        <v>1</v>
      </c>
      <c r="AA6088" s="4">
        <v>1</v>
      </c>
      <c r="AB6088" s="4">
        <v>1</v>
      </c>
      <c r="AC6088" s="4">
        <v>1</v>
      </c>
      <c r="AD6088" s="4">
        <v>3</v>
      </c>
      <c r="AE6088" s="4">
        <v>3</v>
      </c>
      <c r="AF6088" s="4">
        <v>0</v>
      </c>
      <c r="AG6088" s="4">
        <v>0</v>
      </c>
      <c r="AH6088" s="4">
        <v>3</v>
      </c>
      <c r="AI6088" s="4">
        <v>3</v>
      </c>
      <c r="AJ6088" s="4">
        <v>0</v>
      </c>
      <c r="AK6088" s="4">
        <v>0</v>
      </c>
      <c r="AL6088" s="4">
        <v>2</v>
      </c>
      <c r="AM6088" s="4">
        <v>2</v>
      </c>
      <c r="AN6088" s="4">
        <v>0</v>
      </c>
      <c r="AO6088" s="4">
        <v>0</v>
      </c>
      <c r="AP6088" s="4">
        <v>0</v>
      </c>
      <c r="AQ6088" s="4">
        <v>0</v>
      </c>
      <c r="AR6088" s="3" t="s">
        <v>62</v>
      </c>
      <c r="AS6088" s="3" t="s">
        <v>62</v>
      </c>
      <c r="AT6088" s="3" t="s">
        <v>62</v>
      </c>
      <c r="AV6088" s="6" t="str">
        <f>HYPERLINK("http://mcgill.on.worldcat.org/oclc/828409985","Catalog Record")</f>
        <v>Catalog Record</v>
      </c>
      <c r="AW6088" s="6" t="str">
        <f>HYPERLINK("http://www.worldcat.org/oclc/828409985","WorldCat Record")</f>
        <v>WorldCat Record</v>
      </c>
      <c r="AX6088" s="3" t="s">
        <v>58576</v>
      </c>
      <c r="AY6088" s="3" t="s">
        <v>58577</v>
      </c>
      <c r="AZ6088" s="3" t="s">
        <v>58578</v>
      </c>
      <c r="BA6088" s="3" t="s">
        <v>58578</v>
      </c>
      <c r="BB6088" s="3" t="s">
        <v>58579</v>
      </c>
      <c r="BC6088" s="3" t="s">
        <v>142</v>
      </c>
      <c r="BD6088" s="3" t="s">
        <v>68</v>
      </c>
      <c r="BE6088" s="3" t="s">
        <v>58580</v>
      </c>
      <c r="BF6088" s="3" t="s">
        <v>58579</v>
      </c>
      <c r="BG6088" s="3" t="s">
        <v>58581</v>
      </c>
    </row>
    <row r="6089" spans="1:59" ht="57" x14ac:dyDescent="0.45">
      <c r="A6089" s="2" t="s">
        <v>59</v>
      </c>
      <c r="B6089" s="2" t="s">
        <v>60</v>
      </c>
      <c r="C6089" s="2" t="s">
        <v>58582</v>
      </c>
      <c r="D6089" s="2" t="s">
        <v>58583</v>
      </c>
      <c r="E6089" s="2" t="s">
        <v>58584</v>
      </c>
      <c r="G6089" s="3" t="s">
        <v>62</v>
      </c>
      <c r="I6089" s="3" t="s">
        <v>62</v>
      </c>
      <c r="J6089" s="3" t="s">
        <v>62</v>
      </c>
      <c r="K6089" s="3" t="s">
        <v>63</v>
      </c>
      <c r="L6089" s="2" t="s">
        <v>58585</v>
      </c>
      <c r="M6089" s="2" t="s">
        <v>58586</v>
      </c>
      <c r="N6089" s="3" t="s">
        <v>970</v>
      </c>
      <c r="P6089" s="3" t="s">
        <v>65</v>
      </c>
      <c r="Q6089" s="2" t="s">
        <v>58587</v>
      </c>
      <c r="R6089" s="3" t="s">
        <v>66</v>
      </c>
      <c r="S6089" s="4">
        <v>17</v>
      </c>
      <c r="T6089" s="4">
        <v>17</v>
      </c>
      <c r="U6089" s="5" t="s">
        <v>17827</v>
      </c>
      <c r="V6089" s="5" t="s">
        <v>17827</v>
      </c>
      <c r="W6089" s="5" t="s">
        <v>67</v>
      </c>
      <c r="X6089" s="5" t="s">
        <v>67</v>
      </c>
      <c r="Y6089" s="4">
        <v>128</v>
      </c>
      <c r="Z6089" s="4">
        <v>9</v>
      </c>
      <c r="AA6089" s="4">
        <v>70</v>
      </c>
      <c r="AB6089" s="4">
        <v>2</v>
      </c>
      <c r="AC6089" s="4">
        <v>15</v>
      </c>
      <c r="AD6089" s="4">
        <v>34</v>
      </c>
      <c r="AE6089" s="4">
        <v>103</v>
      </c>
      <c r="AF6089" s="4">
        <v>1</v>
      </c>
      <c r="AG6089" s="4">
        <v>8</v>
      </c>
      <c r="AH6089" s="4">
        <v>30</v>
      </c>
      <c r="AI6089" s="4">
        <v>73</v>
      </c>
      <c r="AJ6089" s="4">
        <v>7</v>
      </c>
      <c r="AK6089" s="4">
        <v>20</v>
      </c>
      <c r="AL6089" s="4">
        <v>22</v>
      </c>
      <c r="AM6089" s="4">
        <v>40</v>
      </c>
      <c r="AN6089" s="4">
        <v>0</v>
      </c>
      <c r="AO6089" s="4">
        <v>0</v>
      </c>
      <c r="AP6089" s="4">
        <v>7</v>
      </c>
      <c r="AQ6089" s="4">
        <v>36</v>
      </c>
      <c r="AR6089" s="3" t="s">
        <v>62</v>
      </c>
      <c r="AS6089" s="3" t="s">
        <v>62</v>
      </c>
      <c r="AT6089" s="3" t="s">
        <v>61</v>
      </c>
      <c r="AU6089" s="6" t="str">
        <f>HYPERLINK("http://catalog.hathitrust.org/Record/007014939","HathiTrust Record")</f>
        <v>HathiTrust Record</v>
      </c>
      <c r="AV6089" s="6" t="str">
        <f>HYPERLINK("http://mcgill.on.worldcat.org/oclc/46642185","Catalog Record")</f>
        <v>Catalog Record</v>
      </c>
      <c r="AW6089" s="6" t="str">
        <f>HYPERLINK("http://www.worldcat.org/oclc/46642185","WorldCat Record")</f>
        <v>WorldCat Record</v>
      </c>
      <c r="AX6089" s="3" t="s">
        <v>58588</v>
      </c>
      <c r="AY6089" s="3" t="s">
        <v>58589</v>
      </c>
      <c r="AZ6089" s="3" t="s">
        <v>58590</v>
      </c>
      <c r="BA6089" s="3" t="s">
        <v>58590</v>
      </c>
      <c r="BB6089" s="3" t="s">
        <v>58591</v>
      </c>
      <c r="BC6089" s="3" t="s">
        <v>142</v>
      </c>
      <c r="BD6089" s="3" t="s">
        <v>68</v>
      </c>
      <c r="BE6089" s="3" t="s">
        <v>58592</v>
      </c>
      <c r="BF6089" s="3" t="s">
        <v>58591</v>
      </c>
      <c r="BG6089" s="3" t="s">
        <v>58593</v>
      </c>
    </row>
    <row r="6090" spans="1:59" ht="57" x14ac:dyDescent="0.45">
      <c r="A6090" s="2" t="s">
        <v>59</v>
      </c>
      <c r="B6090" s="2" t="s">
        <v>60</v>
      </c>
      <c r="C6090" s="2" t="s">
        <v>58594</v>
      </c>
      <c r="D6090" s="2" t="s">
        <v>58595</v>
      </c>
      <c r="E6090" s="2" t="s">
        <v>58596</v>
      </c>
      <c r="G6090" s="3" t="s">
        <v>62</v>
      </c>
      <c r="I6090" s="3" t="s">
        <v>62</v>
      </c>
      <c r="J6090" s="3" t="s">
        <v>62</v>
      </c>
      <c r="K6090" s="3" t="s">
        <v>63</v>
      </c>
      <c r="L6090" s="2" t="s">
        <v>58597</v>
      </c>
      <c r="M6090" s="2" t="s">
        <v>49314</v>
      </c>
      <c r="N6090" s="3" t="s">
        <v>894</v>
      </c>
      <c r="P6090" s="3" t="s">
        <v>65</v>
      </c>
      <c r="R6090" s="3" t="s">
        <v>66</v>
      </c>
      <c r="S6090" s="4">
        <v>0</v>
      </c>
      <c r="T6090" s="4">
        <v>0</v>
      </c>
      <c r="W6090" s="5" t="s">
        <v>67</v>
      </c>
      <c r="X6090" s="5" t="s">
        <v>67</v>
      </c>
      <c r="Y6090" s="4">
        <v>29</v>
      </c>
      <c r="Z6090" s="4">
        <v>6</v>
      </c>
      <c r="AA6090" s="4">
        <v>6</v>
      </c>
      <c r="AB6090" s="4">
        <v>1</v>
      </c>
      <c r="AC6090" s="4">
        <v>1</v>
      </c>
      <c r="AD6090" s="4">
        <v>12</v>
      </c>
      <c r="AE6090" s="4">
        <v>12</v>
      </c>
      <c r="AF6090" s="4">
        <v>0</v>
      </c>
      <c r="AG6090" s="4">
        <v>0</v>
      </c>
      <c r="AH6090" s="4">
        <v>11</v>
      </c>
      <c r="AI6090" s="4">
        <v>11</v>
      </c>
      <c r="AJ6090" s="4">
        <v>4</v>
      </c>
      <c r="AK6090" s="4">
        <v>4</v>
      </c>
      <c r="AL6090" s="4">
        <v>5</v>
      </c>
      <c r="AM6090" s="4">
        <v>5</v>
      </c>
      <c r="AN6090" s="4">
        <v>0</v>
      </c>
      <c r="AO6090" s="4">
        <v>0</v>
      </c>
      <c r="AP6090" s="4">
        <v>5</v>
      </c>
      <c r="AQ6090" s="4">
        <v>5</v>
      </c>
      <c r="AR6090" s="3" t="s">
        <v>62</v>
      </c>
      <c r="AS6090" s="3" t="s">
        <v>62</v>
      </c>
      <c r="AT6090" s="3" t="s">
        <v>62</v>
      </c>
      <c r="AV6090" s="6" t="str">
        <f>HYPERLINK("http://mcgill.on.worldcat.org/oclc/712781009","Catalog Record")</f>
        <v>Catalog Record</v>
      </c>
      <c r="AW6090" s="6" t="str">
        <f>HYPERLINK("http://www.worldcat.org/oclc/712781009","WorldCat Record")</f>
        <v>WorldCat Record</v>
      </c>
      <c r="AX6090" s="3" t="s">
        <v>58598</v>
      </c>
      <c r="AY6090" s="3" t="s">
        <v>58599</v>
      </c>
      <c r="AZ6090" s="3" t="s">
        <v>58600</v>
      </c>
      <c r="BA6090" s="3" t="s">
        <v>58600</v>
      </c>
      <c r="BB6090" s="3" t="s">
        <v>58601</v>
      </c>
      <c r="BC6090" s="3" t="s">
        <v>142</v>
      </c>
      <c r="BD6090" s="3" t="s">
        <v>68</v>
      </c>
      <c r="BE6090" s="3" t="s">
        <v>58602</v>
      </c>
      <c r="BF6090" s="3" t="s">
        <v>58601</v>
      </c>
      <c r="BG6090" s="3" t="s">
        <v>58603</v>
      </c>
    </row>
    <row r="6091" spans="1:59" ht="57" x14ac:dyDescent="0.45">
      <c r="A6091" s="2" t="s">
        <v>59</v>
      </c>
      <c r="B6091" s="2" t="s">
        <v>60</v>
      </c>
      <c r="C6091" s="2" t="s">
        <v>58604</v>
      </c>
      <c r="D6091" s="2" t="s">
        <v>58605</v>
      </c>
      <c r="E6091" s="2" t="s">
        <v>58606</v>
      </c>
      <c r="G6091" s="3" t="s">
        <v>62</v>
      </c>
      <c r="I6091" s="3" t="s">
        <v>62</v>
      </c>
      <c r="J6091" s="3" t="s">
        <v>62</v>
      </c>
      <c r="K6091" s="3" t="s">
        <v>63</v>
      </c>
      <c r="L6091" s="2" t="s">
        <v>58607</v>
      </c>
      <c r="M6091" s="2" t="s">
        <v>49314</v>
      </c>
      <c r="N6091" s="3" t="s">
        <v>894</v>
      </c>
      <c r="P6091" s="3" t="s">
        <v>65</v>
      </c>
      <c r="R6091" s="3" t="s">
        <v>66</v>
      </c>
      <c r="S6091" s="4">
        <v>1</v>
      </c>
      <c r="T6091" s="4">
        <v>1</v>
      </c>
      <c r="U6091" s="5" t="s">
        <v>53283</v>
      </c>
      <c r="V6091" s="5" t="s">
        <v>53283</v>
      </c>
      <c r="W6091" s="5" t="s">
        <v>67</v>
      </c>
      <c r="X6091" s="5" t="s">
        <v>67</v>
      </c>
      <c r="Y6091" s="4">
        <v>33</v>
      </c>
      <c r="Z6091" s="4">
        <v>6</v>
      </c>
      <c r="AA6091" s="4">
        <v>35</v>
      </c>
      <c r="AB6091" s="4">
        <v>1</v>
      </c>
      <c r="AC6091" s="4">
        <v>8</v>
      </c>
      <c r="AD6091" s="4">
        <v>15</v>
      </c>
      <c r="AE6091" s="4">
        <v>30</v>
      </c>
      <c r="AF6091" s="4">
        <v>0</v>
      </c>
      <c r="AG6091" s="4">
        <v>2</v>
      </c>
      <c r="AH6091" s="4">
        <v>14</v>
      </c>
      <c r="AI6091" s="4">
        <v>20</v>
      </c>
      <c r="AJ6091" s="4">
        <v>4</v>
      </c>
      <c r="AK6091" s="4">
        <v>6</v>
      </c>
      <c r="AL6091" s="4">
        <v>6</v>
      </c>
      <c r="AM6091" s="4">
        <v>11</v>
      </c>
      <c r="AN6091" s="4">
        <v>0</v>
      </c>
      <c r="AO6091" s="4">
        <v>0</v>
      </c>
      <c r="AP6091" s="4">
        <v>5</v>
      </c>
      <c r="AQ6091" s="4">
        <v>13</v>
      </c>
      <c r="AR6091" s="3" t="s">
        <v>62</v>
      </c>
      <c r="AS6091" s="3" t="s">
        <v>62</v>
      </c>
      <c r="AT6091" s="3" t="s">
        <v>62</v>
      </c>
      <c r="AV6091" s="6" t="str">
        <f>HYPERLINK("http://mcgill.on.worldcat.org/oclc/699010255","Catalog Record")</f>
        <v>Catalog Record</v>
      </c>
      <c r="AW6091" s="6" t="str">
        <f>HYPERLINK("http://www.worldcat.org/oclc/699010255","WorldCat Record")</f>
        <v>WorldCat Record</v>
      </c>
      <c r="AX6091" s="3" t="s">
        <v>58608</v>
      </c>
      <c r="AY6091" s="3" t="s">
        <v>58609</v>
      </c>
      <c r="AZ6091" s="3" t="s">
        <v>58610</v>
      </c>
      <c r="BA6091" s="3" t="s">
        <v>58610</v>
      </c>
      <c r="BB6091" s="3" t="s">
        <v>58611</v>
      </c>
      <c r="BC6091" s="3" t="s">
        <v>142</v>
      </c>
      <c r="BD6091" s="3" t="s">
        <v>68</v>
      </c>
      <c r="BE6091" s="3" t="s">
        <v>58612</v>
      </c>
      <c r="BF6091" s="3" t="s">
        <v>58611</v>
      </c>
      <c r="BG6091" s="3" t="s">
        <v>58613</v>
      </c>
    </row>
    <row r="6092" spans="1:59" ht="57" x14ac:dyDescent="0.45">
      <c r="A6092" s="2" t="s">
        <v>59</v>
      </c>
      <c r="B6092" s="2" t="s">
        <v>60</v>
      </c>
      <c r="C6092" s="2" t="s">
        <v>58614</v>
      </c>
      <c r="D6092" s="2" t="s">
        <v>58615</v>
      </c>
      <c r="E6092" s="2" t="s">
        <v>58616</v>
      </c>
      <c r="G6092" s="3" t="s">
        <v>62</v>
      </c>
      <c r="I6092" s="3" t="s">
        <v>62</v>
      </c>
      <c r="J6092" s="3" t="s">
        <v>62</v>
      </c>
      <c r="K6092" s="3" t="s">
        <v>63</v>
      </c>
      <c r="M6092" s="2" t="s">
        <v>58617</v>
      </c>
      <c r="N6092" s="3" t="s">
        <v>894</v>
      </c>
      <c r="P6092" s="3" t="s">
        <v>65</v>
      </c>
      <c r="R6092" s="3" t="s">
        <v>66</v>
      </c>
      <c r="S6092" s="4">
        <v>3</v>
      </c>
      <c r="T6092" s="4">
        <v>3</v>
      </c>
      <c r="U6092" s="5" t="s">
        <v>372</v>
      </c>
      <c r="V6092" s="5" t="s">
        <v>372</v>
      </c>
      <c r="W6092" s="5" t="s">
        <v>67</v>
      </c>
      <c r="X6092" s="5" t="s">
        <v>67</v>
      </c>
      <c r="Y6092" s="4">
        <v>67</v>
      </c>
      <c r="Z6092" s="4">
        <v>9</v>
      </c>
      <c r="AA6092" s="4">
        <v>15</v>
      </c>
      <c r="AB6092" s="4">
        <v>2</v>
      </c>
      <c r="AC6092" s="4">
        <v>7</v>
      </c>
      <c r="AD6092" s="4">
        <v>28</v>
      </c>
      <c r="AE6092" s="4">
        <v>33</v>
      </c>
      <c r="AF6092" s="4">
        <v>1</v>
      </c>
      <c r="AG6092" s="4">
        <v>3</v>
      </c>
      <c r="AH6092" s="4">
        <v>25</v>
      </c>
      <c r="AI6092" s="4">
        <v>28</v>
      </c>
      <c r="AJ6092" s="4">
        <v>7</v>
      </c>
      <c r="AK6092" s="4">
        <v>9</v>
      </c>
      <c r="AL6092" s="4">
        <v>17</v>
      </c>
      <c r="AM6092" s="4">
        <v>18</v>
      </c>
      <c r="AN6092" s="4">
        <v>0</v>
      </c>
      <c r="AO6092" s="4">
        <v>0</v>
      </c>
      <c r="AP6092" s="4">
        <v>7</v>
      </c>
      <c r="AQ6092" s="4">
        <v>9</v>
      </c>
      <c r="AR6092" s="3" t="s">
        <v>62</v>
      </c>
      <c r="AS6092" s="3" t="s">
        <v>62</v>
      </c>
      <c r="AT6092" s="3" t="s">
        <v>62</v>
      </c>
      <c r="AV6092" s="6" t="str">
        <f>HYPERLINK("http://mcgill.on.worldcat.org/oclc/711989045","Catalog Record")</f>
        <v>Catalog Record</v>
      </c>
      <c r="AW6092" s="6" t="str">
        <f>HYPERLINK("http://www.worldcat.org/oclc/711989045","WorldCat Record")</f>
        <v>WorldCat Record</v>
      </c>
      <c r="AX6092" s="3" t="s">
        <v>58618</v>
      </c>
      <c r="AY6092" s="3" t="s">
        <v>58619</v>
      </c>
      <c r="AZ6092" s="3" t="s">
        <v>58620</v>
      </c>
      <c r="BA6092" s="3" t="s">
        <v>58620</v>
      </c>
      <c r="BB6092" s="3" t="s">
        <v>58621</v>
      </c>
      <c r="BC6092" s="3" t="s">
        <v>142</v>
      </c>
      <c r="BD6092" s="3" t="s">
        <v>68</v>
      </c>
      <c r="BE6092" s="3" t="s">
        <v>58622</v>
      </c>
      <c r="BF6092" s="3" t="s">
        <v>58621</v>
      </c>
      <c r="BG6092" s="3" t="s">
        <v>58623</v>
      </c>
    </row>
    <row r="6093" spans="1:59" ht="57" x14ac:dyDescent="0.45">
      <c r="A6093" s="2" t="s">
        <v>59</v>
      </c>
      <c r="B6093" s="2" t="s">
        <v>60</v>
      </c>
      <c r="C6093" s="2" t="s">
        <v>58624</v>
      </c>
      <c r="D6093" s="2" t="s">
        <v>58625</v>
      </c>
      <c r="E6093" s="2" t="s">
        <v>58626</v>
      </c>
      <c r="G6093" s="3" t="s">
        <v>62</v>
      </c>
      <c r="I6093" s="3" t="s">
        <v>62</v>
      </c>
      <c r="J6093" s="3" t="s">
        <v>62</v>
      </c>
      <c r="K6093" s="3" t="s">
        <v>63</v>
      </c>
      <c r="M6093" s="2" t="s">
        <v>58627</v>
      </c>
      <c r="N6093" s="3" t="s">
        <v>1239</v>
      </c>
      <c r="P6093" s="3" t="s">
        <v>65</v>
      </c>
      <c r="Q6093" s="2" t="s">
        <v>58628</v>
      </c>
      <c r="R6093" s="3" t="s">
        <v>66</v>
      </c>
      <c r="S6093" s="4">
        <v>27</v>
      </c>
      <c r="T6093" s="4">
        <v>27</v>
      </c>
      <c r="U6093" s="5" t="s">
        <v>58629</v>
      </c>
      <c r="V6093" s="5" t="s">
        <v>58629</v>
      </c>
      <c r="W6093" s="5" t="s">
        <v>67</v>
      </c>
      <c r="X6093" s="5" t="s">
        <v>67</v>
      </c>
      <c r="Y6093" s="4">
        <v>804</v>
      </c>
      <c r="Z6093" s="4">
        <v>40</v>
      </c>
      <c r="AA6093" s="4">
        <v>47</v>
      </c>
      <c r="AB6093" s="4">
        <v>3</v>
      </c>
      <c r="AC6093" s="4">
        <v>10</v>
      </c>
      <c r="AD6093" s="4">
        <v>130</v>
      </c>
      <c r="AE6093" s="4">
        <v>135</v>
      </c>
      <c r="AF6093" s="4">
        <v>2</v>
      </c>
      <c r="AG6093" s="4">
        <v>7</v>
      </c>
      <c r="AH6093" s="4">
        <v>109</v>
      </c>
      <c r="AI6093" s="4">
        <v>110</v>
      </c>
      <c r="AJ6093" s="4">
        <v>19</v>
      </c>
      <c r="AK6093" s="4">
        <v>23</v>
      </c>
      <c r="AL6093" s="4">
        <v>57</v>
      </c>
      <c r="AM6093" s="4">
        <v>57</v>
      </c>
      <c r="AN6093" s="4">
        <v>0</v>
      </c>
      <c r="AO6093" s="4">
        <v>0</v>
      </c>
      <c r="AP6093" s="4">
        <v>30</v>
      </c>
      <c r="AQ6093" s="4">
        <v>34</v>
      </c>
      <c r="AR6093" s="3" t="s">
        <v>62</v>
      </c>
      <c r="AS6093" s="3" t="s">
        <v>62</v>
      </c>
      <c r="AT6093" s="3" t="s">
        <v>62</v>
      </c>
      <c r="AV6093" s="6" t="str">
        <f>HYPERLINK("http://mcgill.on.worldcat.org/oclc/19129859","Catalog Record")</f>
        <v>Catalog Record</v>
      </c>
      <c r="AW6093" s="6" t="str">
        <f>HYPERLINK("http://www.worldcat.org/oclc/19129859","WorldCat Record")</f>
        <v>WorldCat Record</v>
      </c>
      <c r="AX6093" s="3" t="s">
        <v>58630</v>
      </c>
      <c r="AY6093" s="3" t="s">
        <v>58631</v>
      </c>
      <c r="AZ6093" s="3" t="s">
        <v>58632</v>
      </c>
      <c r="BA6093" s="3" t="s">
        <v>58632</v>
      </c>
      <c r="BB6093" s="3" t="s">
        <v>58633</v>
      </c>
      <c r="BC6093" s="3" t="s">
        <v>142</v>
      </c>
      <c r="BD6093" s="3" t="s">
        <v>68</v>
      </c>
      <c r="BE6093" s="3" t="s">
        <v>58634</v>
      </c>
      <c r="BF6093" s="3" t="s">
        <v>58633</v>
      </c>
      <c r="BG6093" s="3" t="s">
        <v>58635</v>
      </c>
    </row>
    <row r="6094" spans="1:59" ht="57" x14ac:dyDescent="0.45">
      <c r="A6094" s="2" t="s">
        <v>59</v>
      </c>
      <c r="B6094" s="2" t="s">
        <v>60</v>
      </c>
      <c r="C6094" s="2" t="s">
        <v>58636</v>
      </c>
      <c r="D6094" s="2" t="s">
        <v>58637</v>
      </c>
      <c r="E6094" s="2" t="s">
        <v>58638</v>
      </c>
      <c r="G6094" s="3" t="s">
        <v>62</v>
      </c>
      <c r="I6094" s="3" t="s">
        <v>62</v>
      </c>
      <c r="J6094" s="3" t="s">
        <v>62</v>
      </c>
      <c r="K6094" s="3" t="s">
        <v>63</v>
      </c>
      <c r="M6094" s="2" t="s">
        <v>58639</v>
      </c>
      <c r="N6094" s="3" t="s">
        <v>820</v>
      </c>
      <c r="P6094" s="3" t="s">
        <v>65</v>
      </c>
      <c r="R6094" s="3" t="s">
        <v>66</v>
      </c>
      <c r="S6094" s="4">
        <v>3</v>
      </c>
      <c r="T6094" s="4">
        <v>3</v>
      </c>
      <c r="U6094" s="5" t="s">
        <v>12474</v>
      </c>
      <c r="V6094" s="5" t="s">
        <v>12474</v>
      </c>
      <c r="W6094" s="5" t="s">
        <v>67</v>
      </c>
      <c r="X6094" s="5" t="s">
        <v>67</v>
      </c>
      <c r="Y6094" s="4">
        <v>48</v>
      </c>
      <c r="Z6094" s="4">
        <v>4</v>
      </c>
      <c r="AA6094" s="4">
        <v>5</v>
      </c>
      <c r="AB6094" s="4">
        <v>2</v>
      </c>
      <c r="AC6094" s="4">
        <v>3</v>
      </c>
      <c r="AD6094" s="4">
        <v>17</v>
      </c>
      <c r="AE6094" s="4">
        <v>18</v>
      </c>
      <c r="AF6094" s="4">
        <v>1</v>
      </c>
      <c r="AG6094" s="4">
        <v>2</v>
      </c>
      <c r="AH6094" s="4">
        <v>16</v>
      </c>
      <c r="AI6094" s="4">
        <v>17</v>
      </c>
      <c r="AJ6094" s="4">
        <v>3</v>
      </c>
      <c r="AK6094" s="4">
        <v>4</v>
      </c>
      <c r="AL6094" s="4">
        <v>13</v>
      </c>
      <c r="AM6094" s="4">
        <v>13</v>
      </c>
      <c r="AN6094" s="4">
        <v>0</v>
      </c>
      <c r="AO6094" s="4">
        <v>0</v>
      </c>
      <c r="AP6094" s="4">
        <v>3</v>
      </c>
      <c r="AQ6094" s="4">
        <v>4</v>
      </c>
      <c r="AR6094" s="3" t="s">
        <v>62</v>
      </c>
      <c r="AS6094" s="3" t="s">
        <v>62</v>
      </c>
      <c r="AT6094" s="3" t="s">
        <v>62</v>
      </c>
      <c r="AV6094" s="6" t="str">
        <f>HYPERLINK("http://mcgill.on.worldcat.org/oclc/239844255","Catalog Record")</f>
        <v>Catalog Record</v>
      </c>
      <c r="AW6094" s="6" t="str">
        <f>HYPERLINK("http://www.worldcat.org/oclc/239844255","WorldCat Record")</f>
        <v>WorldCat Record</v>
      </c>
      <c r="AX6094" s="3" t="s">
        <v>58640</v>
      </c>
      <c r="AY6094" s="3" t="s">
        <v>58641</v>
      </c>
      <c r="AZ6094" s="3" t="s">
        <v>58642</v>
      </c>
      <c r="BA6094" s="3" t="s">
        <v>58642</v>
      </c>
      <c r="BB6094" s="3" t="s">
        <v>58643</v>
      </c>
      <c r="BC6094" s="3" t="s">
        <v>142</v>
      </c>
      <c r="BD6094" s="3" t="s">
        <v>68</v>
      </c>
      <c r="BE6094" s="3" t="s">
        <v>58644</v>
      </c>
      <c r="BF6094" s="3" t="s">
        <v>58643</v>
      </c>
      <c r="BG6094" s="3" t="s">
        <v>58645</v>
      </c>
    </row>
    <row r="6095" spans="1:59" ht="57" x14ac:dyDescent="0.45">
      <c r="A6095" s="2" t="s">
        <v>59</v>
      </c>
      <c r="B6095" s="2" t="s">
        <v>60</v>
      </c>
      <c r="C6095" s="2" t="s">
        <v>58636</v>
      </c>
      <c r="D6095" s="2" t="s">
        <v>58637</v>
      </c>
      <c r="E6095" s="2" t="s">
        <v>58646</v>
      </c>
      <c r="G6095" s="3" t="s">
        <v>62</v>
      </c>
      <c r="I6095" s="3" t="s">
        <v>62</v>
      </c>
      <c r="J6095" s="3" t="s">
        <v>62</v>
      </c>
      <c r="K6095" s="3" t="s">
        <v>63</v>
      </c>
      <c r="M6095" s="2" t="s">
        <v>58639</v>
      </c>
      <c r="N6095" s="3" t="s">
        <v>820</v>
      </c>
      <c r="P6095" s="3" t="s">
        <v>65</v>
      </c>
      <c r="R6095" s="3" t="s">
        <v>66</v>
      </c>
      <c r="S6095" s="4">
        <v>3</v>
      </c>
      <c r="T6095" s="4">
        <v>3</v>
      </c>
      <c r="U6095" s="5" t="s">
        <v>3186</v>
      </c>
      <c r="V6095" s="5" t="s">
        <v>3186</v>
      </c>
      <c r="W6095" s="5" t="s">
        <v>67</v>
      </c>
      <c r="X6095" s="5" t="s">
        <v>67</v>
      </c>
      <c r="Y6095" s="4">
        <v>38</v>
      </c>
      <c r="Z6095" s="4">
        <v>7</v>
      </c>
      <c r="AA6095" s="4">
        <v>80</v>
      </c>
      <c r="AB6095" s="4">
        <v>1</v>
      </c>
      <c r="AC6095" s="4">
        <v>14</v>
      </c>
      <c r="AD6095" s="4">
        <v>22</v>
      </c>
      <c r="AE6095" s="4">
        <v>87</v>
      </c>
      <c r="AF6095" s="4">
        <v>0</v>
      </c>
      <c r="AG6095" s="4">
        <v>8</v>
      </c>
      <c r="AH6095" s="4">
        <v>22</v>
      </c>
      <c r="AI6095" s="4">
        <v>57</v>
      </c>
      <c r="AJ6095" s="4">
        <v>5</v>
      </c>
      <c r="AK6095" s="4">
        <v>19</v>
      </c>
      <c r="AL6095" s="4">
        <v>15</v>
      </c>
      <c r="AM6095" s="4">
        <v>29</v>
      </c>
      <c r="AN6095" s="4">
        <v>0</v>
      </c>
      <c r="AO6095" s="4">
        <v>0</v>
      </c>
      <c r="AP6095" s="4">
        <v>5</v>
      </c>
      <c r="AQ6095" s="4">
        <v>39</v>
      </c>
      <c r="AR6095" s="3" t="s">
        <v>62</v>
      </c>
      <c r="AS6095" s="3" t="s">
        <v>62</v>
      </c>
      <c r="AT6095" s="3" t="s">
        <v>62</v>
      </c>
      <c r="AV6095" s="6" t="str">
        <f>HYPERLINK("http://mcgill.on.worldcat.org/oclc/191245070","Catalog Record")</f>
        <v>Catalog Record</v>
      </c>
      <c r="AW6095" s="6" t="str">
        <f>HYPERLINK("http://www.worldcat.org/oclc/191245070","WorldCat Record")</f>
        <v>WorldCat Record</v>
      </c>
      <c r="AX6095" s="3" t="s">
        <v>58647</v>
      </c>
      <c r="AY6095" s="3" t="s">
        <v>58648</v>
      </c>
      <c r="AZ6095" s="3" t="s">
        <v>58649</v>
      </c>
      <c r="BA6095" s="3" t="s">
        <v>58649</v>
      </c>
      <c r="BB6095" s="3" t="s">
        <v>58650</v>
      </c>
      <c r="BC6095" s="3" t="s">
        <v>142</v>
      </c>
      <c r="BD6095" s="3" t="s">
        <v>68</v>
      </c>
      <c r="BE6095" s="3" t="s">
        <v>58651</v>
      </c>
      <c r="BF6095" s="3" t="s">
        <v>58650</v>
      </c>
      <c r="BG6095" s="3" t="s">
        <v>58652</v>
      </c>
    </row>
    <row r="6096" spans="1:59" ht="57" x14ac:dyDescent="0.45">
      <c r="A6096" s="2" t="s">
        <v>59</v>
      </c>
      <c r="B6096" s="2" t="s">
        <v>60</v>
      </c>
      <c r="C6096" s="2" t="s">
        <v>58653</v>
      </c>
      <c r="D6096" s="2" t="s">
        <v>58654</v>
      </c>
      <c r="E6096" s="2" t="s">
        <v>58655</v>
      </c>
      <c r="G6096" s="3" t="s">
        <v>62</v>
      </c>
      <c r="I6096" s="3" t="s">
        <v>62</v>
      </c>
      <c r="J6096" s="3" t="s">
        <v>62</v>
      </c>
      <c r="K6096" s="3" t="s">
        <v>63</v>
      </c>
      <c r="M6096" s="2" t="s">
        <v>58656</v>
      </c>
      <c r="N6096" s="3" t="s">
        <v>1155</v>
      </c>
      <c r="P6096" s="3" t="s">
        <v>182</v>
      </c>
      <c r="Q6096" s="2" t="s">
        <v>58657</v>
      </c>
      <c r="R6096" s="3" t="s">
        <v>66</v>
      </c>
      <c r="S6096" s="4">
        <v>1</v>
      </c>
      <c r="T6096" s="4">
        <v>1</v>
      </c>
      <c r="U6096" s="5" t="s">
        <v>58658</v>
      </c>
      <c r="V6096" s="5" t="s">
        <v>58658</v>
      </c>
      <c r="W6096" s="5" t="s">
        <v>67</v>
      </c>
      <c r="X6096" s="5" t="s">
        <v>67</v>
      </c>
      <c r="Y6096" s="4">
        <v>3</v>
      </c>
      <c r="Z6096" s="4">
        <v>1</v>
      </c>
      <c r="AA6096" s="4">
        <v>1</v>
      </c>
      <c r="AB6096" s="4">
        <v>1</v>
      </c>
      <c r="AC6096" s="4">
        <v>1</v>
      </c>
      <c r="AD6096" s="4">
        <v>0</v>
      </c>
      <c r="AE6096" s="4">
        <v>1</v>
      </c>
      <c r="AF6096" s="4">
        <v>0</v>
      </c>
      <c r="AG6096" s="4">
        <v>0</v>
      </c>
      <c r="AH6096" s="4">
        <v>0</v>
      </c>
      <c r="AI6096" s="4">
        <v>1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3" t="s">
        <v>62</v>
      </c>
      <c r="AS6096" s="3" t="s">
        <v>62</v>
      </c>
      <c r="AT6096" s="3" t="s">
        <v>62</v>
      </c>
      <c r="AV6096" s="6" t="str">
        <f>HYPERLINK("http://mcgill.on.worldcat.org/oclc/773669105","Catalog Record")</f>
        <v>Catalog Record</v>
      </c>
      <c r="AW6096" s="6" t="str">
        <f>HYPERLINK("http://www.worldcat.org/oclc/773669105","WorldCat Record")</f>
        <v>WorldCat Record</v>
      </c>
      <c r="AX6096" s="3" t="s">
        <v>58659</v>
      </c>
      <c r="AY6096" s="3" t="s">
        <v>58660</v>
      </c>
      <c r="AZ6096" s="3" t="s">
        <v>58661</v>
      </c>
      <c r="BA6096" s="3" t="s">
        <v>58661</v>
      </c>
      <c r="BB6096" s="3" t="s">
        <v>58662</v>
      </c>
      <c r="BC6096" s="3" t="s">
        <v>142</v>
      </c>
      <c r="BD6096" s="3" t="s">
        <v>68</v>
      </c>
      <c r="BE6096" s="3" t="s">
        <v>58663</v>
      </c>
      <c r="BF6096" s="3" t="s">
        <v>58662</v>
      </c>
      <c r="BG6096" s="3" t="s">
        <v>58664</v>
      </c>
    </row>
    <row r="6097" spans="1:59" ht="57" x14ac:dyDescent="0.45">
      <c r="A6097" s="2" t="s">
        <v>59</v>
      </c>
      <c r="B6097" s="2" t="s">
        <v>60</v>
      </c>
      <c r="C6097" s="2" t="s">
        <v>58665</v>
      </c>
      <c r="D6097" s="2" t="s">
        <v>58666</v>
      </c>
      <c r="E6097" s="2" t="s">
        <v>58667</v>
      </c>
      <c r="G6097" s="3" t="s">
        <v>62</v>
      </c>
      <c r="I6097" s="3" t="s">
        <v>62</v>
      </c>
      <c r="J6097" s="3" t="s">
        <v>62</v>
      </c>
      <c r="K6097" s="3" t="s">
        <v>63</v>
      </c>
      <c r="M6097" s="2" t="s">
        <v>58668</v>
      </c>
      <c r="N6097" s="3" t="s">
        <v>894</v>
      </c>
      <c r="P6097" s="3" t="s">
        <v>110</v>
      </c>
      <c r="Q6097" s="2" t="s">
        <v>58669</v>
      </c>
      <c r="R6097" s="3" t="s">
        <v>66</v>
      </c>
      <c r="S6097" s="4">
        <v>2</v>
      </c>
      <c r="T6097" s="4">
        <v>2</v>
      </c>
      <c r="U6097" s="5" t="s">
        <v>40030</v>
      </c>
      <c r="V6097" s="5" t="s">
        <v>40030</v>
      </c>
      <c r="W6097" s="5" t="s">
        <v>67</v>
      </c>
      <c r="X6097" s="5" t="s">
        <v>67</v>
      </c>
      <c r="Y6097" s="4">
        <v>10</v>
      </c>
      <c r="Z6097" s="4">
        <v>4</v>
      </c>
      <c r="AA6097" s="4">
        <v>13</v>
      </c>
      <c r="AB6097" s="4">
        <v>2</v>
      </c>
      <c r="AC6097" s="4">
        <v>9</v>
      </c>
      <c r="AD6097" s="4">
        <v>6</v>
      </c>
      <c r="AE6097" s="4">
        <v>18</v>
      </c>
      <c r="AF6097" s="4">
        <v>1</v>
      </c>
      <c r="AG6097" s="4">
        <v>6</v>
      </c>
      <c r="AH6097" s="4">
        <v>5</v>
      </c>
      <c r="AI6097" s="4">
        <v>13</v>
      </c>
      <c r="AJ6097" s="4">
        <v>2</v>
      </c>
      <c r="AK6097" s="4">
        <v>8</v>
      </c>
      <c r="AL6097" s="4">
        <v>4</v>
      </c>
      <c r="AM6097" s="4">
        <v>9</v>
      </c>
      <c r="AN6097" s="4">
        <v>0</v>
      </c>
      <c r="AO6097" s="4">
        <v>0</v>
      </c>
      <c r="AP6097" s="4">
        <v>2</v>
      </c>
      <c r="AQ6097" s="4">
        <v>8</v>
      </c>
      <c r="AR6097" s="3" t="s">
        <v>62</v>
      </c>
      <c r="AS6097" s="3" t="s">
        <v>62</v>
      </c>
      <c r="AT6097" s="3" t="s">
        <v>62</v>
      </c>
      <c r="AV6097" s="6" t="str">
        <f>HYPERLINK("http://mcgill.on.worldcat.org/oclc/746316389","Catalog Record")</f>
        <v>Catalog Record</v>
      </c>
      <c r="AW6097" s="6" t="str">
        <f>HYPERLINK("http://www.worldcat.org/oclc/746316389","WorldCat Record")</f>
        <v>WorldCat Record</v>
      </c>
      <c r="AX6097" s="3" t="s">
        <v>58670</v>
      </c>
      <c r="AY6097" s="3" t="s">
        <v>58671</v>
      </c>
      <c r="AZ6097" s="3" t="s">
        <v>58672</v>
      </c>
      <c r="BA6097" s="3" t="s">
        <v>58672</v>
      </c>
      <c r="BB6097" s="3" t="s">
        <v>58673</v>
      </c>
      <c r="BC6097" s="3" t="s">
        <v>142</v>
      </c>
      <c r="BD6097" s="3" t="s">
        <v>68</v>
      </c>
      <c r="BE6097" s="3" t="s">
        <v>58674</v>
      </c>
      <c r="BF6097" s="3" t="s">
        <v>58673</v>
      </c>
      <c r="BG6097" s="3" t="s">
        <v>58675</v>
      </c>
    </row>
    <row r="6098" spans="1:59" ht="57" x14ac:dyDescent="0.45">
      <c r="A6098" s="2" t="s">
        <v>59</v>
      </c>
      <c r="B6098" s="2" t="s">
        <v>60</v>
      </c>
      <c r="C6098" s="2" t="s">
        <v>58676</v>
      </c>
      <c r="D6098" s="2" t="s">
        <v>58677</v>
      </c>
      <c r="E6098" s="2" t="s">
        <v>58678</v>
      </c>
      <c r="G6098" s="3" t="s">
        <v>62</v>
      </c>
      <c r="I6098" s="3" t="s">
        <v>62</v>
      </c>
      <c r="J6098" s="3" t="s">
        <v>62</v>
      </c>
      <c r="K6098" s="3" t="s">
        <v>63</v>
      </c>
      <c r="M6098" s="2" t="s">
        <v>58679</v>
      </c>
      <c r="N6098" s="3" t="s">
        <v>116</v>
      </c>
      <c r="O6098" s="2" t="s">
        <v>10948</v>
      </c>
      <c r="P6098" s="3" t="s">
        <v>110</v>
      </c>
      <c r="R6098" s="3" t="s">
        <v>66</v>
      </c>
      <c r="S6098" s="4">
        <v>0</v>
      </c>
      <c r="T6098" s="4">
        <v>0</v>
      </c>
      <c r="W6098" s="5" t="s">
        <v>67</v>
      </c>
      <c r="X6098" s="5" t="s">
        <v>67</v>
      </c>
      <c r="Y6098" s="4">
        <v>12</v>
      </c>
      <c r="Z6098" s="4">
        <v>3</v>
      </c>
      <c r="AA6098" s="4">
        <v>6</v>
      </c>
      <c r="AB6098" s="4">
        <v>1</v>
      </c>
      <c r="AC6098" s="4">
        <v>4</v>
      </c>
      <c r="AD6098" s="4">
        <v>6</v>
      </c>
      <c r="AE6098" s="4">
        <v>8</v>
      </c>
      <c r="AF6098" s="4">
        <v>0</v>
      </c>
      <c r="AG6098" s="4">
        <v>2</v>
      </c>
      <c r="AH6098" s="4">
        <v>5</v>
      </c>
      <c r="AI6098" s="4">
        <v>6</v>
      </c>
      <c r="AJ6098" s="4">
        <v>1</v>
      </c>
      <c r="AK6098" s="4">
        <v>3</v>
      </c>
      <c r="AL6098" s="4">
        <v>5</v>
      </c>
      <c r="AM6098" s="4">
        <v>5</v>
      </c>
      <c r="AN6098" s="4">
        <v>0</v>
      </c>
      <c r="AO6098" s="4">
        <v>0</v>
      </c>
      <c r="AP6098" s="4">
        <v>1</v>
      </c>
      <c r="AQ6098" s="4">
        <v>2</v>
      </c>
      <c r="AR6098" s="3" t="s">
        <v>62</v>
      </c>
      <c r="AS6098" s="3" t="s">
        <v>62</v>
      </c>
      <c r="AT6098" s="3" t="s">
        <v>62</v>
      </c>
      <c r="AV6098" s="6" t="str">
        <f>HYPERLINK("http://mcgill.on.worldcat.org/oclc/858320005","Catalog Record")</f>
        <v>Catalog Record</v>
      </c>
      <c r="AW6098" s="6" t="str">
        <f>HYPERLINK("http://www.worldcat.org/oclc/858320005","WorldCat Record")</f>
        <v>WorldCat Record</v>
      </c>
      <c r="AX6098" s="3" t="s">
        <v>58680</v>
      </c>
      <c r="AY6098" s="3" t="s">
        <v>58681</v>
      </c>
      <c r="AZ6098" s="3" t="s">
        <v>58682</v>
      </c>
      <c r="BA6098" s="3" t="s">
        <v>58682</v>
      </c>
      <c r="BB6098" s="3" t="s">
        <v>58683</v>
      </c>
      <c r="BC6098" s="3" t="s">
        <v>142</v>
      </c>
      <c r="BD6098" s="3" t="s">
        <v>68</v>
      </c>
      <c r="BE6098" s="3" t="s">
        <v>58684</v>
      </c>
      <c r="BF6098" s="3" t="s">
        <v>58683</v>
      </c>
      <c r="BG6098" s="3" t="s">
        <v>58685</v>
      </c>
    </row>
    <row r="6099" spans="1:59" ht="57" x14ac:dyDescent="0.45">
      <c r="A6099" s="2" t="s">
        <v>59</v>
      </c>
      <c r="B6099" s="2" t="s">
        <v>60</v>
      </c>
      <c r="C6099" s="2" t="s">
        <v>58686</v>
      </c>
      <c r="D6099" s="2" t="s">
        <v>58687</v>
      </c>
      <c r="E6099" s="2" t="s">
        <v>58688</v>
      </c>
      <c r="G6099" s="3" t="s">
        <v>62</v>
      </c>
      <c r="I6099" s="3" t="s">
        <v>62</v>
      </c>
      <c r="J6099" s="3" t="s">
        <v>62</v>
      </c>
      <c r="K6099" s="3" t="s">
        <v>63</v>
      </c>
      <c r="M6099" s="2" t="s">
        <v>58689</v>
      </c>
      <c r="N6099" s="3" t="s">
        <v>529</v>
      </c>
      <c r="P6099" s="3" t="s">
        <v>65</v>
      </c>
      <c r="R6099" s="3" t="s">
        <v>66</v>
      </c>
      <c r="S6099" s="4">
        <v>77</v>
      </c>
      <c r="T6099" s="4">
        <v>77</v>
      </c>
      <c r="U6099" s="5" t="s">
        <v>58690</v>
      </c>
      <c r="V6099" s="5" t="s">
        <v>58690</v>
      </c>
      <c r="W6099" s="5" t="s">
        <v>67</v>
      </c>
      <c r="X6099" s="5" t="s">
        <v>67</v>
      </c>
      <c r="Y6099" s="4">
        <v>441</v>
      </c>
      <c r="Z6099" s="4">
        <v>28</v>
      </c>
      <c r="AA6099" s="4">
        <v>32</v>
      </c>
      <c r="AB6099" s="4">
        <v>2</v>
      </c>
      <c r="AC6099" s="4">
        <v>6</v>
      </c>
      <c r="AD6099" s="4">
        <v>123</v>
      </c>
      <c r="AE6099" s="4">
        <v>127</v>
      </c>
      <c r="AF6099" s="4">
        <v>1</v>
      </c>
      <c r="AG6099" s="4">
        <v>5</v>
      </c>
      <c r="AH6099" s="4">
        <v>107</v>
      </c>
      <c r="AI6099" s="4">
        <v>108</v>
      </c>
      <c r="AJ6099" s="4">
        <v>21</v>
      </c>
      <c r="AK6099" s="4">
        <v>24</v>
      </c>
      <c r="AL6099" s="4">
        <v>57</v>
      </c>
      <c r="AM6099" s="4">
        <v>57</v>
      </c>
      <c r="AN6099" s="4">
        <v>0</v>
      </c>
      <c r="AO6099" s="4">
        <v>0</v>
      </c>
      <c r="AP6099" s="4">
        <v>25</v>
      </c>
      <c r="AQ6099" s="4">
        <v>28</v>
      </c>
      <c r="AR6099" s="3" t="s">
        <v>62</v>
      </c>
      <c r="AS6099" s="3" t="s">
        <v>62</v>
      </c>
      <c r="AT6099" s="3" t="s">
        <v>61</v>
      </c>
      <c r="AU6099" s="6" t="str">
        <f>HYPERLINK("http://catalog.hathitrust.org/Record/000567966","HathiTrust Record")</f>
        <v>HathiTrust Record</v>
      </c>
      <c r="AV6099" s="6" t="str">
        <f>HYPERLINK("http://mcgill.on.worldcat.org/oclc/10996116","Catalog Record")</f>
        <v>Catalog Record</v>
      </c>
      <c r="AW6099" s="6" t="str">
        <f>HYPERLINK("http://www.worldcat.org/oclc/10996116","WorldCat Record")</f>
        <v>WorldCat Record</v>
      </c>
      <c r="AX6099" s="3" t="s">
        <v>58691</v>
      </c>
      <c r="AY6099" s="3" t="s">
        <v>58692</v>
      </c>
      <c r="AZ6099" s="3" t="s">
        <v>58693</v>
      </c>
      <c r="BA6099" s="3" t="s">
        <v>58693</v>
      </c>
      <c r="BB6099" s="3" t="s">
        <v>58694</v>
      </c>
      <c r="BC6099" s="3" t="s">
        <v>142</v>
      </c>
      <c r="BD6099" s="3" t="s">
        <v>68</v>
      </c>
      <c r="BE6099" s="3" t="s">
        <v>58695</v>
      </c>
      <c r="BF6099" s="3" t="s">
        <v>58694</v>
      </c>
      <c r="BG6099" s="3" t="s">
        <v>58696</v>
      </c>
    </row>
    <row r="6100" spans="1:59" ht="57" x14ac:dyDescent="0.45">
      <c r="A6100" s="2" t="s">
        <v>59</v>
      </c>
      <c r="B6100" s="2" t="s">
        <v>60</v>
      </c>
      <c r="C6100" s="2" t="s">
        <v>58697</v>
      </c>
      <c r="D6100" s="2" t="s">
        <v>58698</v>
      </c>
      <c r="E6100" s="2" t="s">
        <v>58699</v>
      </c>
      <c r="G6100" s="3" t="s">
        <v>62</v>
      </c>
      <c r="I6100" s="3" t="s">
        <v>62</v>
      </c>
      <c r="J6100" s="3" t="s">
        <v>62</v>
      </c>
      <c r="K6100" s="3" t="s">
        <v>63</v>
      </c>
      <c r="L6100" s="2" t="s">
        <v>28636</v>
      </c>
      <c r="M6100" s="2" t="s">
        <v>58700</v>
      </c>
      <c r="N6100" s="3" t="s">
        <v>1097</v>
      </c>
      <c r="P6100" s="3" t="s">
        <v>65</v>
      </c>
      <c r="R6100" s="3" t="s">
        <v>66</v>
      </c>
      <c r="S6100" s="4">
        <v>30</v>
      </c>
      <c r="T6100" s="4">
        <v>30</v>
      </c>
      <c r="U6100" s="5" t="s">
        <v>32248</v>
      </c>
      <c r="V6100" s="5" t="s">
        <v>32248</v>
      </c>
      <c r="W6100" s="5" t="s">
        <v>67</v>
      </c>
      <c r="X6100" s="5" t="s">
        <v>67</v>
      </c>
      <c r="Y6100" s="4">
        <v>74</v>
      </c>
      <c r="Z6100" s="4">
        <v>7</v>
      </c>
      <c r="AA6100" s="4">
        <v>23</v>
      </c>
      <c r="AB6100" s="4">
        <v>1</v>
      </c>
      <c r="AC6100" s="4">
        <v>3</v>
      </c>
      <c r="AD6100" s="4">
        <v>14</v>
      </c>
      <c r="AE6100" s="4">
        <v>63</v>
      </c>
      <c r="AF6100" s="4">
        <v>0</v>
      </c>
      <c r="AG6100" s="4">
        <v>2</v>
      </c>
      <c r="AH6100" s="4">
        <v>13</v>
      </c>
      <c r="AI6100" s="4">
        <v>54</v>
      </c>
      <c r="AJ6100" s="4">
        <v>4</v>
      </c>
      <c r="AK6100" s="4">
        <v>15</v>
      </c>
      <c r="AL6100" s="4">
        <v>5</v>
      </c>
      <c r="AM6100" s="4">
        <v>32</v>
      </c>
      <c r="AN6100" s="4">
        <v>0</v>
      </c>
      <c r="AO6100" s="4">
        <v>0</v>
      </c>
      <c r="AP6100" s="4">
        <v>4</v>
      </c>
      <c r="AQ6100" s="4">
        <v>17</v>
      </c>
      <c r="AR6100" s="3" t="s">
        <v>62</v>
      </c>
      <c r="AS6100" s="3" t="s">
        <v>62</v>
      </c>
      <c r="AT6100" s="3" t="s">
        <v>62</v>
      </c>
      <c r="AV6100" s="6" t="str">
        <f>HYPERLINK("http://mcgill.on.worldcat.org/oclc/62223907","Catalog Record")</f>
        <v>Catalog Record</v>
      </c>
      <c r="AW6100" s="6" t="str">
        <f>HYPERLINK("http://www.worldcat.org/oclc/62223907","WorldCat Record")</f>
        <v>WorldCat Record</v>
      </c>
      <c r="AX6100" s="3" t="s">
        <v>58701</v>
      </c>
      <c r="AY6100" s="3" t="s">
        <v>58702</v>
      </c>
      <c r="AZ6100" s="3" t="s">
        <v>58703</v>
      </c>
      <c r="BA6100" s="3" t="s">
        <v>58703</v>
      </c>
      <c r="BB6100" s="3" t="s">
        <v>58704</v>
      </c>
      <c r="BC6100" s="3" t="s">
        <v>142</v>
      </c>
      <c r="BD6100" s="3" t="s">
        <v>68</v>
      </c>
      <c r="BE6100" s="3" t="s">
        <v>58705</v>
      </c>
      <c r="BF6100" s="3" t="s">
        <v>58704</v>
      </c>
      <c r="BG6100" s="3" t="s">
        <v>58706</v>
      </c>
    </row>
    <row r="6101" spans="1:59" ht="57" x14ac:dyDescent="0.45">
      <c r="A6101" s="2" t="s">
        <v>59</v>
      </c>
      <c r="B6101" s="2" t="s">
        <v>60</v>
      </c>
      <c r="C6101" s="2" t="s">
        <v>58707</v>
      </c>
      <c r="D6101" s="2" t="s">
        <v>58708</v>
      </c>
      <c r="E6101" s="2" t="s">
        <v>58709</v>
      </c>
      <c r="G6101" s="3" t="s">
        <v>62</v>
      </c>
      <c r="I6101" s="3" t="s">
        <v>62</v>
      </c>
      <c r="J6101" s="3" t="s">
        <v>62</v>
      </c>
      <c r="K6101" s="3" t="s">
        <v>63</v>
      </c>
      <c r="M6101" s="2" t="s">
        <v>58710</v>
      </c>
      <c r="N6101" s="3" t="s">
        <v>894</v>
      </c>
      <c r="P6101" s="3" t="s">
        <v>110</v>
      </c>
      <c r="Q6101" s="2" t="s">
        <v>58711</v>
      </c>
      <c r="R6101" s="3" t="s">
        <v>66</v>
      </c>
      <c r="S6101" s="4">
        <v>0</v>
      </c>
      <c r="T6101" s="4">
        <v>0</v>
      </c>
      <c r="W6101" s="5" t="s">
        <v>67</v>
      </c>
      <c r="X6101" s="5" t="s">
        <v>67</v>
      </c>
      <c r="Y6101" s="4">
        <v>20</v>
      </c>
      <c r="Z6101" s="4">
        <v>6</v>
      </c>
      <c r="AA6101" s="4">
        <v>9</v>
      </c>
      <c r="AB6101" s="4">
        <v>2</v>
      </c>
      <c r="AC6101" s="4">
        <v>3</v>
      </c>
      <c r="AD6101" s="4">
        <v>10</v>
      </c>
      <c r="AE6101" s="4">
        <v>13</v>
      </c>
      <c r="AF6101" s="4">
        <v>1</v>
      </c>
      <c r="AG6101" s="4">
        <v>2</v>
      </c>
      <c r="AH6101" s="4">
        <v>8</v>
      </c>
      <c r="AI6101" s="4">
        <v>10</v>
      </c>
      <c r="AJ6101" s="4">
        <v>4</v>
      </c>
      <c r="AK6101" s="4">
        <v>6</v>
      </c>
      <c r="AL6101" s="4">
        <v>7</v>
      </c>
      <c r="AM6101" s="4">
        <v>7</v>
      </c>
      <c r="AN6101" s="4">
        <v>0</v>
      </c>
      <c r="AO6101" s="4">
        <v>0</v>
      </c>
      <c r="AP6101" s="4">
        <v>4</v>
      </c>
      <c r="AQ6101" s="4">
        <v>7</v>
      </c>
      <c r="AR6101" s="3" t="s">
        <v>62</v>
      </c>
      <c r="AS6101" s="3" t="s">
        <v>62</v>
      </c>
      <c r="AT6101" s="3" t="s">
        <v>62</v>
      </c>
      <c r="AV6101" s="6" t="str">
        <f>HYPERLINK("http://mcgill.on.worldcat.org/oclc/710790955","Catalog Record")</f>
        <v>Catalog Record</v>
      </c>
      <c r="AW6101" s="6" t="str">
        <f>HYPERLINK("http://www.worldcat.org/oclc/710790955","WorldCat Record")</f>
        <v>WorldCat Record</v>
      </c>
      <c r="AX6101" s="3" t="s">
        <v>58712</v>
      </c>
      <c r="AY6101" s="3" t="s">
        <v>58713</v>
      </c>
      <c r="AZ6101" s="3" t="s">
        <v>58714</v>
      </c>
      <c r="BA6101" s="3" t="s">
        <v>58714</v>
      </c>
      <c r="BB6101" s="3" t="s">
        <v>58715</v>
      </c>
      <c r="BC6101" s="3" t="s">
        <v>142</v>
      </c>
      <c r="BD6101" s="3" t="s">
        <v>68</v>
      </c>
      <c r="BE6101" s="3" t="s">
        <v>58716</v>
      </c>
      <c r="BF6101" s="3" t="s">
        <v>58715</v>
      </c>
      <c r="BG6101" s="3" t="s">
        <v>58717</v>
      </c>
    </row>
    <row r="6102" spans="1:59" ht="71.25" x14ac:dyDescent="0.45">
      <c r="A6102" s="2" t="s">
        <v>59</v>
      </c>
      <c r="B6102" s="2" t="s">
        <v>60</v>
      </c>
      <c r="C6102" s="2" t="s">
        <v>58718</v>
      </c>
      <c r="D6102" s="2" t="s">
        <v>58719</v>
      </c>
      <c r="E6102" s="2" t="s">
        <v>58720</v>
      </c>
      <c r="G6102" s="3" t="s">
        <v>62</v>
      </c>
      <c r="I6102" s="3" t="s">
        <v>62</v>
      </c>
      <c r="J6102" s="3" t="s">
        <v>62</v>
      </c>
      <c r="K6102" s="3" t="s">
        <v>63</v>
      </c>
      <c r="M6102" s="2" t="s">
        <v>29225</v>
      </c>
      <c r="N6102" s="3" t="s">
        <v>149</v>
      </c>
      <c r="P6102" s="3" t="s">
        <v>65</v>
      </c>
      <c r="Q6102" s="2" t="s">
        <v>58721</v>
      </c>
      <c r="R6102" s="3" t="s">
        <v>66</v>
      </c>
      <c r="S6102" s="4">
        <v>2</v>
      </c>
      <c r="T6102" s="4">
        <v>2</v>
      </c>
      <c r="W6102" s="5" t="s">
        <v>67</v>
      </c>
      <c r="X6102" s="5" t="s">
        <v>67</v>
      </c>
      <c r="Y6102" s="4">
        <v>49</v>
      </c>
      <c r="Z6102" s="4">
        <v>7</v>
      </c>
      <c r="AA6102" s="4">
        <v>36</v>
      </c>
      <c r="AB6102" s="4">
        <v>2</v>
      </c>
      <c r="AC6102" s="4">
        <v>10</v>
      </c>
      <c r="AD6102" s="4">
        <v>24</v>
      </c>
      <c r="AE6102" s="4">
        <v>38</v>
      </c>
      <c r="AF6102" s="4">
        <v>1</v>
      </c>
      <c r="AG6102" s="4">
        <v>4</v>
      </c>
      <c r="AH6102" s="4">
        <v>23</v>
      </c>
      <c r="AI6102" s="4">
        <v>28</v>
      </c>
      <c r="AJ6102" s="4">
        <v>5</v>
      </c>
      <c r="AK6102" s="4">
        <v>7</v>
      </c>
      <c r="AL6102" s="4">
        <v>14</v>
      </c>
      <c r="AM6102" s="4">
        <v>18</v>
      </c>
      <c r="AN6102" s="4">
        <v>0</v>
      </c>
      <c r="AO6102" s="4">
        <v>0</v>
      </c>
      <c r="AP6102" s="4">
        <v>5</v>
      </c>
      <c r="AQ6102" s="4">
        <v>13</v>
      </c>
      <c r="AR6102" s="3" t="s">
        <v>62</v>
      </c>
      <c r="AS6102" s="3" t="s">
        <v>62</v>
      </c>
      <c r="AT6102" s="3" t="s">
        <v>62</v>
      </c>
      <c r="AV6102" s="6" t="str">
        <f>HYPERLINK("http://mcgill.on.worldcat.org/oclc/666406558","Catalog Record")</f>
        <v>Catalog Record</v>
      </c>
      <c r="AW6102" s="6" t="str">
        <f>HYPERLINK("http://www.worldcat.org/oclc/666406558","WorldCat Record")</f>
        <v>WorldCat Record</v>
      </c>
      <c r="AX6102" s="3" t="s">
        <v>58722</v>
      </c>
      <c r="AY6102" s="3" t="s">
        <v>58723</v>
      </c>
      <c r="AZ6102" s="3" t="s">
        <v>58724</v>
      </c>
      <c r="BA6102" s="3" t="s">
        <v>58724</v>
      </c>
      <c r="BB6102" s="3" t="s">
        <v>58725</v>
      </c>
      <c r="BC6102" s="3" t="s">
        <v>142</v>
      </c>
      <c r="BD6102" s="3" t="s">
        <v>308</v>
      </c>
      <c r="BE6102" s="3" t="s">
        <v>58726</v>
      </c>
      <c r="BF6102" s="3" t="s">
        <v>58725</v>
      </c>
      <c r="BG6102" s="3" t="s">
        <v>58727</v>
      </c>
    </row>
    <row r="6103" spans="1:59" ht="57" x14ac:dyDescent="0.45">
      <c r="A6103" s="2" t="s">
        <v>59</v>
      </c>
      <c r="B6103" s="2" t="s">
        <v>60</v>
      </c>
      <c r="C6103" s="2" t="s">
        <v>58728</v>
      </c>
      <c r="D6103" s="2" t="s">
        <v>58729</v>
      </c>
      <c r="E6103" s="2" t="s">
        <v>58730</v>
      </c>
      <c r="G6103" s="3" t="s">
        <v>62</v>
      </c>
      <c r="I6103" s="3" t="s">
        <v>62</v>
      </c>
      <c r="J6103" s="3" t="s">
        <v>62</v>
      </c>
      <c r="K6103" s="3" t="s">
        <v>63</v>
      </c>
      <c r="L6103" s="2" t="s">
        <v>58731</v>
      </c>
      <c r="M6103" s="2" t="s">
        <v>58732</v>
      </c>
      <c r="N6103" s="3" t="s">
        <v>807</v>
      </c>
      <c r="P6103" s="3" t="s">
        <v>110</v>
      </c>
      <c r="Q6103" s="2" t="s">
        <v>29070</v>
      </c>
      <c r="R6103" s="3" t="s">
        <v>66</v>
      </c>
      <c r="S6103" s="4">
        <v>45</v>
      </c>
      <c r="T6103" s="4">
        <v>45</v>
      </c>
      <c r="U6103" s="5" t="s">
        <v>58733</v>
      </c>
      <c r="V6103" s="5" t="s">
        <v>58733</v>
      </c>
      <c r="W6103" s="5" t="s">
        <v>67</v>
      </c>
      <c r="X6103" s="5" t="s">
        <v>67</v>
      </c>
      <c r="Y6103" s="4">
        <v>21</v>
      </c>
      <c r="Z6103" s="4">
        <v>13</v>
      </c>
      <c r="AA6103" s="4">
        <v>31</v>
      </c>
      <c r="AB6103" s="4">
        <v>2</v>
      </c>
      <c r="AC6103" s="4">
        <v>9</v>
      </c>
      <c r="AD6103" s="4">
        <v>12</v>
      </c>
      <c r="AE6103" s="4">
        <v>30</v>
      </c>
      <c r="AF6103" s="4">
        <v>1</v>
      </c>
      <c r="AG6103" s="4">
        <v>6</v>
      </c>
      <c r="AH6103" s="4">
        <v>5</v>
      </c>
      <c r="AI6103" s="4">
        <v>13</v>
      </c>
      <c r="AJ6103" s="4">
        <v>9</v>
      </c>
      <c r="AK6103" s="4">
        <v>20</v>
      </c>
      <c r="AL6103" s="4">
        <v>2</v>
      </c>
      <c r="AM6103" s="4">
        <v>5</v>
      </c>
      <c r="AN6103" s="4">
        <v>0</v>
      </c>
      <c r="AO6103" s="4">
        <v>0</v>
      </c>
      <c r="AP6103" s="4">
        <v>10</v>
      </c>
      <c r="AQ6103" s="4">
        <v>24</v>
      </c>
      <c r="AR6103" s="3" t="s">
        <v>61</v>
      </c>
      <c r="AS6103" s="3" t="s">
        <v>62</v>
      </c>
      <c r="AT6103" s="3" t="s">
        <v>62</v>
      </c>
      <c r="AV6103" s="6" t="str">
        <f>HYPERLINK("http://mcgill.on.worldcat.org/oclc/220975613","Catalog Record")</f>
        <v>Catalog Record</v>
      </c>
      <c r="AW6103" s="6" t="str">
        <f>HYPERLINK("http://www.worldcat.org/oclc/220975613","WorldCat Record")</f>
        <v>WorldCat Record</v>
      </c>
      <c r="AX6103" s="3" t="s">
        <v>58734</v>
      </c>
      <c r="AY6103" s="3" t="s">
        <v>58735</v>
      </c>
      <c r="AZ6103" s="3" t="s">
        <v>58736</v>
      </c>
      <c r="BA6103" s="3" t="s">
        <v>58736</v>
      </c>
      <c r="BB6103" s="3" t="s">
        <v>58737</v>
      </c>
      <c r="BC6103" s="3" t="s">
        <v>142</v>
      </c>
      <c r="BD6103" s="3" t="s">
        <v>68</v>
      </c>
      <c r="BE6103" s="3" t="s">
        <v>58738</v>
      </c>
      <c r="BF6103" s="3" t="s">
        <v>58737</v>
      </c>
      <c r="BG6103" s="3" t="s">
        <v>58739</v>
      </c>
    </row>
    <row r="6104" spans="1:59" ht="71.25" x14ac:dyDescent="0.45">
      <c r="A6104" s="2" t="s">
        <v>59</v>
      </c>
      <c r="B6104" s="2" t="s">
        <v>60</v>
      </c>
      <c r="C6104" s="2" t="s">
        <v>58740</v>
      </c>
      <c r="D6104" s="2" t="s">
        <v>58741</v>
      </c>
      <c r="E6104" s="2" t="s">
        <v>58742</v>
      </c>
      <c r="G6104" s="3" t="s">
        <v>62</v>
      </c>
      <c r="I6104" s="3" t="s">
        <v>62</v>
      </c>
      <c r="J6104" s="3" t="s">
        <v>62</v>
      </c>
      <c r="K6104" s="3" t="s">
        <v>63</v>
      </c>
      <c r="L6104" s="2" t="s">
        <v>58743</v>
      </c>
      <c r="M6104" s="2" t="s">
        <v>58744</v>
      </c>
      <c r="N6104" s="3" t="s">
        <v>1239</v>
      </c>
      <c r="O6104" s="2" t="s">
        <v>58745</v>
      </c>
      <c r="P6104" s="3" t="s">
        <v>326</v>
      </c>
      <c r="Q6104" s="2" t="s">
        <v>58746</v>
      </c>
      <c r="R6104" s="3" t="s">
        <v>66</v>
      </c>
      <c r="S6104" s="4">
        <v>13</v>
      </c>
      <c r="T6104" s="4">
        <v>13</v>
      </c>
      <c r="U6104" s="5" t="s">
        <v>58747</v>
      </c>
      <c r="V6104" s="5" t="s">
        <v>58747</v>
      </c>
      <c r="W6104" s="5" t="s">
        <v>67</v>
      </c>
      <c r="X6104" s="5" t="s">
        <v>67</v>
      </c>
      <c r="Y6104" s="4">
        <v>40</v>
      </c>
      <c r="Z6104" s="4">
        <v>3</v>
      </c>
      <c r="AA6104" s="4">
        <v>14</v>
      </c>
      <c r="AB6104" s="4">
        <v>1</v>
      </c>
      <c r="AC6104" s="4">
        <v>2</v>
      </c>
      <c r="AD6104" s="4">
        <v>4</v>
      </c>
      <c r="AE6104" s="4">
        <v>83</v>
      </c>
      <c r="AF6104" s="4">
        <v>0</v>
      </c>
      <c r="AG6104" s="4">
        <v>1</v>
      </c>
      <c r="AH6104" s="4">
        <v>2</v>
      </c>
      <c r="AI6104" s="4">
        <v>75</v>
      </c>
      <c r="AJ6104" s="4">
        <v>1</v>
      </c>
      <c r="AK6104" s="4">
        <v>10</v>
      </c>
      <c r="AL6104" s="4">
        <v>1</v>
      </c>
      <c r="AM6104" s="4">
        <v>48</v>
      </c>
      <c r="AN6104" s="4">
        <v>0</v>
      </c>
      <c r="AO6104" s="4">
        <v>0</v>
      </c>
      <c r="AP6104" s="4">
        <v>2</v>
      </c>
      <c r="AQ6104" s="4">
        <v>12</v>
      </c>
      <c r="AR6104" s="3" t="s">
        <v>62</v>
      </c>
      <c r="AS6104" s="3" t="s">
        <v>62</v>
      </c>
      <c r="AT6104" s="3" t="s">
        <v>61</v>
      </c>
      <c r="AU6104" s="6" t="str">
        <f>HYPERLINK("http://catalog.hathitrust.org/Record/000318488","HathiTrust Record")</f>
        <v>HathiTrust Record</v>
      </c>
      <c r="AV6104" s="6" t="str">
        <f>HYPERLINK("http://mcgill.on.worldcat.org/oclc/24479098","Catalog Record")</f>
        <v>Catalog Record</v>
      </c>
      <c r="AW6104" s="6" t="str">
        <f>HYPERLINK("http://www.worldcat.org/oclc/24479098","WorldCat Record")</f>
        <v>WorldCat Record</v>
      </c>
      <c r="AX6104" s="3" t="s">
        <v>58748</v>
      </c>
      <c r="AY6104" s="3" t="s">
        <v>58749</v>
      </c>
      <c r="AZ6104" s="3" t="s">
        <v>58750</v>
      </c>
      <c r="BA6104" s="3" t="s">
        <v>58750</v>
      </c>
      <c r="BB6104" s="3" t="s">
        <v>58751</v>
      </c>
      <c r="BC6104" s="3" t="s">
        <v>142</v>
      </c>
      <c r="BD6104" s="3" t="s">
        <v>68</v>
      </c>
      <c r="BE6104" s="3" t="s">
        <v>58752</v>
      </c>
      <c r="BF6104" s="3" t="s">
        <v>58751</v>
      </c>
      <c r="BG6104" s="3" t="s">
        <v>58753</v>
      </c>
    </row>
    <row r="6105" spans="1:59" ht="57" x14ac:dyDescent="0.45">
      <c r="A6105" s="2" t="s">
        <v>59</v>
      </c>
      <c r="B6105" s="2" t="s">
        <v>60</v>
      </c>
      <c r="C6105" s="2" t="s">
        <v>58754</v>
      </c>
      <c r="D6105" s="2" t="s">
        <v>58755</v>
      </c>
      <c r="E6105" s="2" t="s">
        <v>58756</v>
      </c>
      <c r="F6105" s="3" t="s">
        <v>87</v>
      </c>
      <c r="G6105" s="3" t="s">
        <v>61</v>
      </c>
      <c r="I6105" s="3" t="s">
        <v>62</v>
      </c>
      <c r="J6105" s="3" t="s">
        <v>62</v>
      </c>
      <c r="K6105" s="3" t="s">
        <v>63</v>
      </c>
      <c r="L6105" s="2" t="s">
        <v>58743</v>
      </c>
      <c r="M6105" s="2" t="s">
        <v>58757</v>
      </c>
      <c r="N6105" s="3" t="s">
        <v>157</v>
      </c>
      <c r="P6105" s="3" t="s">
        <v>326</v>
      </c>
      <c r="Q6105" s="2" t="s">
        <v>58758</v>
      </c>
      <c r="R6105" s="3" t="s">
        <v>66</v>
      </c>
      <c r="S6105" s="4">
        <v>37</v>
      </c>
      <c r="T6105" s="4">
        <v>68</v>
      </c>
      <c r="U6105" s="5" t="s">
        <v>58747</v>
      </c>
      <c r="V6105" s="5" t="s">
        <v>58747</v>
      </c>
      <c r="W6105" s="5" t="s">
        <v>67</v>
      </c>
      <c r="X6105" s="5" t="s">
        <v>67</v>
      </c>
      <c r="Y6105" s="4">
        <v>147</v>
      </c>
      <c r="Z6105" s="4">
        <v>9</v>
      </c>
      <c r="AA6105" s="4">
        <v>10</v>
      </c>
      <c r="AB6105" s="4">
        <v>1</v>
      </c>
      <c r="AC6105" s="4">
        <v>1</v>
      </c>
      <c r="AD6105" s="4">
        <v>66</v>
      </c>
      <c r="AE6105" s="4">
        <v>67</v>
      </c>
      <c r="AF6105" s="4">
        <v>0</v>
      </c>
      <c r="AG6105" s="4">
        <v>0</v>
      </c>
      <c r="AH6105" s="4">
        <v>63</v>
      </c>
      <c r="AI6105" s="4">
        <v>63</v>
      </c>
      <c r="AJ6105" s="4">
        <v>6</v>
      </c>
      <c r="AK6105" s="4">
        <v>6</v>
      </c>
      <c r="AL6105" s="4">
        <v>39</v>
      </c>
      <c r="AM6105" s="4">
        <v>39</v>
      </c>
      <c r="AN6105" s="4">
        <v>0</v>
      </c>
      <c r="AO6105" s="4">
        <v>0</v>
      </c>
      <c r="AP6105" s="4">
        <v>7</v>
      </c>
      <c r="AQ6105" s="4">
        <v>8</v>
      </c>
      <c r="AR6105" s="3" t="s">
        <v>62</v>
      </c>
      <c r="AS6105" s="3" t="s">
        <v>62</v>
      </c>
      <c r="AT6105" s="3" t="s">
        <v>61</v>
      </c>
      <c r="AU6105" s="6" t="str">
        <f>HYPERLINK("http://catalog.hathitrust.org/Record/000102202","HathiTrust Record")</f>
        <v>HathiTrust Record</v>
      </c>
      <c r="AV6105" s="6" t="str">
        <f>HYPERLINK("http://mcgill.on.worldcat.org/oclc/9280755","Catalog Record")</f>
        <v>Catalog Record</v>
      </c>
      <c r="AW6105" s="6" t="str">
        <f>HYPERLINK("http://www.worldcat.org/oclc/9280755","WorldCat Record")</f>
        <v>WorldCat Record</v>
      </c>
      <c r="AX6105" s="3" t="s">
        <v>58759</v>
      </c>
      <c r="AY6105" s="3" t="s">
        <v>58760</v>
      </c>
      <c r="AZ6105" s="3" t="s">
        <v>58761</v>
      </c>
      <c r="BA6105" s="3" t="s">
        <v>58761</v>
      </c>
      <c r="BB6105" s="3" t="s">
        <v>58762</v>
      </c>
      <c r="BC6105" s="3" t="s">
        <v>142</v>
      </c>
      <c r="BD6105" s="3" t="s">
        <v>68</v>
      </c>
      <c r="BE6105" s="3" t="s">
        <v>58763</v>
      </c>
      <c r="BF6105" s="3" t="s">
        <v>58762</v>
      </c>
      <c r="BG6105" s="3" t="s">
        <v>58764</v>
      </c>
    </row>
    <row r="6106" spans="1:59" ht="57" x14ac:dyDescent="0.45">
      <c r="A6106" s="2" t="s">
        <v>59</v>
      </c>
      <c r="B6106" s="2" t="s">
        <v>60</v>
      </c>
      <c r="C6106" s="2" t="s">
        <v>58754</v>
      </c>
      <c r="D6106" s="2" t="s">
        <v>58755</v>
      </c>
      <c r="E6106" s="2" t="s">
        <v>58756</v>
      </c>
      <c r="F6106" s="3" t="s">
        <v>90</v>
      </c>
      <c r="G6106" s="3" t="s">
        <v>61</v>
      </c>
      <c r="I6106" s="3" t="s">
        <v>62</v>
      </c>
      <c r="J6106" s="3" t="s">
        <v>62</v>
      </c>
      <c r="K6106" s="3" t="s">
        <v>63</v>
      </c>
      <c r="L6106" s="2" t="s">
        <v>58743</v>
      </c>
      <c r="M6106" s="2" t="s">
        <v>58757</v>
      </c>
      <c r="N6106" s="3" t="s">
        <v>157</v>
      </c>
      <c r="P6106" s="3" t="s">
        <v>326</v>
      </c>
      <c r="Q6106" s="2" t="s">
        <v>58758</v>
      </c>
      <c r="R6106" s="3" t="s">
        <v>66</v>
      </c>
      <c r="S6106" s="4">
        <v>31</v>
      </c>
      <c r="T6106" s="4">
        <v>68</v>
      </c>
      <c r="U6106" s="5" t="s">
        <v>58747</v>
      </c>
      <c r="V6106" s="5" t="s">
        <v>58747</v>
      </c>
      <c r="W6106" s="5" t="s">
        <v>67</v>
      </c>
      <c r="X6106" s="5" t="s">
        <v>67</v>
      </c>
      <c r="Y6106" s="4">
        <v>147</v>
      </c>
      <c r="Z6106" s="4">
        <v>9</v>
      </c>
      <c r="AA6106" s="4">
        <v>10</v>
      </c>
      <c r="AB6106" s="4">
        <v>1</v>
      </c>
      <c r="AC6106" s="4">
        <v>1</v>
      </c>
      <c r="AD6106" s="4">
        <v>66</v>
      </c>
      <c r="AE6106" s="4">
        <v>67</v>
      </c>
      <c r="AF6106" s="4">
        <v>0</v>
      </c>
      <c r="AG6106" s="4">
        <v>0</v>
      </c>
      <c r="AH6106" s="4">
        <v>63</v>
      </c>
      <c r="AI6106" s="4">
        <v>63</v>
      </c>
      <c r="AJ6106" s="4">
        <v>6</v>
      </c>
      <c r="AK6106" s="4">
        <v>6</v>
      </c>
      <c r="AL6106" s="4">
        <v>39</v>
      </c>
      <c r="AM6106" s="4">
        <v>39</v>
      </c>
      <c r="AN6106" s="4">
        <v>0</v>
      </c>
      <c r="AO6106" s="4">
        <v>0</v>
      </c>
      <c r="AP6106" s="4">
        <v>7</v>
      </c>
      <c r="AQ6106" s="4">
        <v>8</v>
      </c>
      <c r="AR6106" s="3" t="s">
        <v>62</v>
      </c>
      <c r="AS6106" s="3" t="s">
        <v>62</v>
      </c>
      <c r="AT6106" s="3" t="s">
        <v>61</v>
      </c>
      <c r="AU6106" s="6" t="str">
        <f>HYPERLINK("http://catalog.hathitrust.org/Record/000102202","HathiTrust Record")</f>
        <v>HathiTrust Record</v>
      </c>
      <c r="AV6106" s="6" t="str">
        <f>HYPERLINK("http://mcgill.on.worldcat.org/oclc/9280755","Catalog Record")</f>
        <v>Catalog Record</v>
      </c>
      <c r="AW6106" s="6" t="str">
        <f>HYPERLINK("http://www.worldcat.org/oclc/9280755","WorldCat Record")</f>
        <v>WorldCat Record</v>
      </c>
      <c r="AX6106" s="3" t="s">
        <v>58759</v>
      </c>
      <c r="AY6106" s="3" t="s">
        <v>58760</v>
      </c>
      <c r="AZ6106" s="3" t="s">
        <v>58761</v>
      </c>
      <c r="BA6106" s="3" t="s">
        <v>58761</v>
      </c>
      <c r="BB6106" s="3" t="s">
        <v>58765</v>
      </c>
      <c r="BC6106" s="3" t="s">
        <v>142</v>
      </c>
      <c r="BD6106" s="3" t="s">
        <v>68</v>
      </c>
      <c r="BE6106" s="3" t="s">
        <v>58763</v>
      </c>
      <c r="BF6106" s="3" t="s">
        <v>58765</v>
      </c>
      <c r="BG6106" s="3" t="s">
        <v>58766</v>
      </c>
    </row>
    <row r="6107" spans="1:59" ht="57" x14ac:dyDescent="0.45">
      <c r="A6107" s="2" t="s">
        <v>59</v>
      </c>
      <c r="B6107" s="2" t="s">
        <v>60</v>
      </c>
      <c r="C6107" s="2" t="s">
        <v>58767</v>
      </c>
      <c r="D6107" s="2" t="s">
        <v>58768</v>
      </c>
      <c r="E6107" s="2" t="s">
        <v>58769</v>
      </c>
      <c r="G6107" s="3" t="s">
        <v>62</v>
      </c>
      <c r="I6107" s="3" t="s">
        <v>62</v>
      </c>
      <c r="J6107" s="3" t="s">
        <v>61</v>
      </c>
      <c r="K6107" s="3" t="s">
        <v>63</v>
      </c>
      <c r="L6107" s="2" t="s">
        <v>58770</v>
      </c>
      <c r="M6107" s="2" t="s">
        <v>19986</v>
      </c>
      <c r="N6107" s="3" t="s">
        <v>542</v>
      </c>
      <c r="O6107" s="2" t="s">
        <v>45223</v>
      </c>
      <c r="P6107" s="3" t="s">
        <v>65</v>
      </c>
      <c r="Q6107" s="2" t="s">
        <v>58771</v>
      </c>
      <c r="R6107" s="3" t="s">
        <v>66</v>
      </c>
      <c r="S6107" s="4">
        <v>16</v>
      </c>
      <c r="T6107" s="4">
        <v>16</v>
      </c>
      <c r="U6107" s="5" t="s">
        <v>16749</v>
      </c>
      <c r="V6107" s="5" t="s">
        <v>16749</v>
      </c>
      <c r="W6107" s="5" t="s">
        <v>67</v>
      </c>
      <c r="X6107" s="5" t="s">
        <v>67</v>
      </c>
      <c r="Y6107" s="4">
        <v>241</v>
      </c>
      <c r="Z6107" s="4">
        <v>22</v>
      </c>
      <c r="AA6107" s="4">
        <v>85</v>
      </c>
      <c r="AB6107" s="4">
        <v>2</v>
      </c>
      <c r="AC6107" s="4">
        <v>14</v>
      </c>
      <c r="AD6107" s="4">
        <v>72</v>
      </c>
      <c r="AE6107" s="4">
        <v>140</v>
      </c>
      <c r="AF6107" s="4">
        <v>1</v>
      </c>
      <c r="AG6107" s="4">
        <v>8</v>
      </c>
      <c r="AH6107" s="4">
        <v>57</v>
      </c>
      <c r="AI6107" s="4">
        <v>102</v>
      </c>
      <c r="AJ6107" s="4">
        <v>17</v>
      </c>
      <c r="AK6107" s="4">
        <v>27</v>
      </c>
      <c r="AL6107" s="4">
        <v>38</v>
      </c>
      <c r="AM6107" s="4">
        <v>55</v>
      </c>
      <c r="AN6107" s="4">
        <v>0</v>
      </c>
      <c r="AO6107" s="4">
        <v>0</v>
      </c>
      <c r="AP6107" s="4">
        <v>21</v>
      </c>
      <c r="AQ6107" s="4">
        <v>48</v>
      </c>
      <c r="AR6107" s="3" t="s">
        <v>62</v>
      </c>
      <c r="AS6107" s="3" t="s">
        <v>62</v>
      </c>
      <c r="AT6107" s="3" t="s">
        <v>62</v>
      </c>
      <c r="AV6107" s="6" t="str">
        <f>HYPERLINK("http://mcgill.on.worldcat.org/oclc/46785336","Catalog Record")</f>
        <v>Catalog Record</v>
      </c>
      <c r="AW6107" s="6" t="str">
        <f>HYPERLINK("http://www.worldcat.org/oclc/46785336","WorldCat Record")</f>
        <v>WorldCat Record</v>
      </c>
      <c r="AX6107" s="3" t="s">
        <v>58772</v>
      </c>
      <c r="AY6107" s="3" t="s">
        <v>58773</v>
      </c>
      <c r="AZ6107" s="3" t="s">
        <v>58774</v>
      </c>
      <c r="BA6107" s="3" t="s">
        <v>58774</v>
      </c>
      <c r="BB6107" s="3" t="s">
        <v>58775</v>
      </c>
      <c r="BC6107" s="3" t="s">
        <v>142</v>
      </c>
      <c r="BD6107" s="3" t="s">
        <v>68</v>
      </c>
      <c r="BE6107" s="3" t="s">
        <v>58776</v>
      </c>
      <c r="BF6107" s="3" t="s">
        <v>58775</v>
      </c>
      <c r="BG6107" s="3" t="s">
        <v>58777</v>
      </c>
    </row>
    <row r="6108" spans="1:59" ht="85.5" x14ac:dyDescent="0.45">
      <c r="A6108" s="2" t="s">
        <v>59</v>
      </c>
      <c r="B6108" s="2" t="s">
        <v>60</v>
      </c>
      <c r="C6108" s="2" t="s">
        <v>58778</v>
      </c>
      <c r="D6108" s="2" t="s">
        <v>58779</v>
      </c>
      <c r="E6108" s="2" t="s">
        <v>58780</v>
      </c>
      <c r="G6108" s="3" t="s">
        <v>62</v>
      </c>
      <c r="I6108" s="3" t="s">
        <v>62</v>
      </c>
      <c r="J6108" s="3" t="s">
        <v>62</v>
      </c>
      <c r="K6108" s="3" t="s">
        <v>63</v>
      </c>
      <c r="M6108" s="2" t="s">
        <v>58781</v>
      </c>
      <c r="N6108" s="3" t="s">
        <v>958</v>
      </c>
      <c r="P6108" s="3" t="s">
        <v>110</v>
      </c>
      <c r="Q6108" s="2" t="s">
        <v>58782</v>
      </c>
      <c r="R6108" s="3" t="s">
        <v>66</v>
      </c>
      <c r="S6108" s="4">
        <v>5</v>
      </c>
      <c r="T6108" s="4">
        <v>5</v>
      </c>
      <c r="U6108" s="5" t="s">
        <v>11817</v>
      </c>
      <c r="V6108" s="5" t="s">
        <v>11817</v>
      </c>
      <c r="W6108" s="5" t="s">
        <v>67</v>
      </c>
      <c r="X6108" s="5" t="s">
        <v>67</v>
      </c>
      <c r="Y6108" s="4">
        <v>48</v>
      </c>
      <c r="Z6108" s="4">
        <v>5</v>
      </c>
      <c r="AA6108" s="4">
        <v>9</v>
      </c>
      <c r="AB6108" s="4">
        <v>2</v>
      </c>
      <c r="AC6108" s="4">
        <v>5</v>
      </c>
      <c r="AD6108" s="4">
        <v>25</v>
      </c>
      <c r="AE6108" s="4">
        <v>29</v>
      </c>
      <c r="AF6108" s="4">
        <v>1</v>
      </c>
      <c r="AG6108" s="4">
        <v>4</v>
      </c>
      <c r="AH6108" s="4">
        <v>23</v>
      </c>
      <c r="AI6108" s="4">
        <v>25</v>
      </c>
      <c r="AJ6108" s="4">
        <v>3</v>
      </c>
      <c r="AK6108" s="4">
        <v>7</v>
      </c>
      <c r="AL6108" s="4">
        <v>19</v>
      </c>
      <c r="AM6108" s="4">
        <v>19</v>
      </c>
      <c r="AN6108" s="4">
        <v>0</v>
      </c>
      <c r="AO6108" s="4">
        <v>0</v>
      </c>
      <c r="AP6108" s="4">
        <v>3</v>
      </c>
      <c r="AQ6108" s="4">
        <v>6</v>
      </c>
      <c r="AR6108" s="3" t="s">
        <v>62</v>
      </c>
      <c r="AS6108" s="3" t="s">
        <v>62</v>
      </c>
      <c r="AT6108" s="3" t="s">
        <v>61</v>
      </c>
      <c r="AU6108" s="6" t="str">
        <f>HYPERLINK("http://catalog.hathitrust.org/Record/003071486","HathiTrust Record")</f>
        <v>HathiTrust Record</v>
      </c>
      <c r="AV6108" s="6" t="str">
        <f>HYPERLINK("http://mcgill.on.worldcat.org/oclc/33937808","Catalog Record")</f>
        <v>Catalog Record</v>
      </c>
      <c r="AW6108" s="6" t="str">
        <f>HYPERLINK("http://www.worldcat.org/oclc/33937808","WorldCat Record")</f>
        <v>WorldCat Record</v>
      </c>
      <c r="AX6108" s="3" t="s">
        <v>58783</v>
      </c>
      <c r="AY6108" s="3" t="s">
        <v>58784</v>
      </c>
      <c r="AZ6108" s="3" t="s">
        <v>58785</v>
      </c>
      <c r="BA6108" s="3" t="s">
        <v>58785</v>
      </c>
      <c r="BB6108" s="3" t="s">
        <v>58786</v>
      </c>
      <c r="BC6108" s="3" t="s">
        <v>142</v>
      </c>
      <c r="BD6108" s="3" t="s">
        <v>68</v>
      </c>
      <c r="BE6108" s="3" t="s">
        <v>58787</v>
      </c>
      <c r="BF6108" s="3" t="s">
        <v>58786</v>
      </c>
      <c r="BG6108" s="3" t="s">
        <v>58788</v>
      </c>
    </row>
    <row r="6109" spans="1:59" ht="57" x14ac:dyDescent="0.45">
      <c r="A6109" s="2" t="s">
        <v>59</v>
      </c>
      <c r="B6109" s="2" t="s">
        <v>60</v>
      </c>
      <c r="C6109" s="2" t="s">
        <v>58789</v>
      </c>
      <c r="D6109" s="2" t="s">
        <v>58790</v>
      </c>
      <c r="E6109" s="2" t="s">
        <v>58791</v>
      </c>
      <c r="G6109" s="3" t="s">
        <v>62</v>
      </c>
      <c r="I6109" s="3" t="s">
        <v>62</v>
      </c>
      <c r="J6109" s="3" t="s">
        <v>62</v>
      </c>
      <c r="K6109" s="3" t="s">
        <v>63</v>
      </c>
      <c r="L6109" s="2" t="s">
        <v>58792</v>
      </c>
      <c r="M6109" s="2" t="s">
        <v>58793</v>
      </c>
      <c r="N6109" s="3" t="s">
        <v>1855</v>
      </c>
      <c r="O6109" s="2" t="s">
        <v>58794</v>
      </c>
      <c r="P6109" s="3" t="s">
        <v>110</v>
      </c>
      <c r="Q6109" s="2" t="s">
        <v>10949</v>
      </c>
      <c r="R6109" s="3" t="s">
        <v>66</v>
      </c>
      <c r="S6109" s="4">
        <v>5</v>
      </c>
      <c r="T6109" s="4">
        <v>5</v>
      </c>
      <c r="U6109" s="5" t="s">
        <v>58795</v>
      </c>
      <c r="V6109" s="5" t="s">
        <v>58795</v>
      </c>
      <c r="W6109" s="5" t="s">
        <v>67</v>
      </c>
      <c r="X6109" s="5" t="s">
        <v>67</v>
      </c>
      <c r="Y6109" s="4">
        <v>34</v>
      </c>
      <c r="Z6109" s="4">
        <v>8</v>
      </c>
      <c r="AA6109" s="4">
        <v>22</v>
      </c>
      <c r="AB6109" s="4">
        <v>2</v>
      </c>
      <c r="AC6109" s="4">
        <v>10</v>
      </c>
      <c r="AD6109" s="4">
        <v>16</v>
      </c>
      <c r="AE6109" s="4">
        <v>25</v>
      </c>
      <c r="AF6109" s="4">
        <v>1</v>
      </c>
      <c r="AG6109" s="4">
        <v>5</v>
      </c>
      <c r="AH6109" s="4">
        <v>11</v>
      </c>
      <c r="AI6109" s="4">
        <v>15</v>
      </c>
      <c r="AJ6109" s="4">
        <v>4</v>
      </c>
      <c r="AK6109" s="4">
        <v>11</v>
      </c>
      <c r="AL6109" s="4">
        <v>6</v>
      </c>
      <c r="AM6109" s="4">
        <v>7</v>
      </c>
      <c r="AN6109" s="4">
        <v>0</v>
      </c>
      <c r="AO6109" s="4">
        <v>0</v>
      </c>
      <c r="AP6109" s="4">
        <v>6</v>
      </c>
      <c r="AQ6109" s="4">
        <v>14</v>
      </c>
      <c r="AR6109" s="3" t="s">
        <v>62</v>
      </c>
      <c r="AS6109" s="3" t="s">
        <v>62</v>
      </c>
      <c r="AT6109" s="3" t="s">
        <v>62</v>
      </c>
      <c r="AV6109" s="6" t="str">
        <f>HYPERLINK("http://mcgill.on.worldcat.org/oclc/57464866","Catalog Record")</f>
        <v>Catalog Record</v>
      </c>
      <c r="AW6109" s="6" t="str">
        <f>HYPERLINK("http://www.worldcat.org/oclc/57464866","WorldCat Record")</f>
        <v>WorldCat Record</v>
      </c>
      <c r="AX6109" s="3" t="s">
        <v>58796</v>
      </c>
      <c r="AY6109" s="3" t="s">
        <v>58797</v>
      </c>
      <c r="AZ6109" s="3" t="s">
        <v>58798</v>
      </c>
      <c r="BA6109" s="3" t="s">
        <v>58798</v>
      </c>
      <c r="BB6109" s="3" t="s">
        <v>58799</v>
      </c>
      <c r="BC6109" s="3" t="s">
        <v>142</v>
      </c>
      <c r="BD6109" s="3" t="s">
        <v>68</v>
      </c>
      <c r="BE6109" s="3" t="s">
        <v>58800</v>
      </c>
      <c r="BF6109" s="3" t="s">
        <v>58799</v>
      </c>
      <c r="BG6109" s="3" t="s">
        <v>58801</v>
      </c>
    </row>
    <row r="6110" spans="1:59" ht="57" x14ac:dyDescent="0.45">
      <c r="A6110" s="2" t="s">
        <v>59</v>
      </c>
      <c r="B6110" s="2" t="s">
        <v>60</v>
      </c>
      <c r="C6110" s="2" t="s">
        <v>58802</v>
      </c>
      <c r="D6110" s="2" t="s">
        <v>58803</v>
      </c>
      <c r="E6110" s="2" t="s">
        <v>58804</v>
      </c>
      <c r="G6110" s="3" t="s">
        <v>62</v>
      </c>
      <c r="I6110" s="3" t="s">
        <v>62</v>
      </c>
      <c r="J6110" s="3" t="s">
        <v>62</v>
      </c>
      <c r="K6110" s="3" t="s">
        <v>63</v>
      </c>
      <c r="L6110" s="2" t="s">
        <v>58805</v>
      </c>
      <c r="M6110" s="2" t="s">
        <v>58806</v>
      </c>
      <c r="N6110" s="3" t="s">
        <v>149</v>
      </c>
      <c r="P6110" s="3" t="s">
        <v>182</v>
      </c>
      <c r="Q6110" s="2" t="s">
        <v>58807</v>
      </c>
      <c r="R6110" s="3" t="s">
        <v>66</v>
      </c>
      <c r="S6110" s="4">
        <v>1</v>
      </c>
      <c r="T6110" s="4">
        <v>1</v>
      </c>
      <c r="U6110" s="5" t="s">
        <v>58658</v>
      </c>
      <c r="V6110" s="5" t="s">
        <v>58658</v>
      </c>
      <c r="W6110" s="5" t="s">
        <v>67</v>
      </c>
      <c r="X6110" s="5" t="s">
        <v>67</v>
      </c>
      <c r="Y6110" s="4">
        <v>6</v>
      </c>
      <c r="Z6110" s="4">
        <v>1</v>
      </c>
      <c r="AA6110" s="4">
        <v>1</v>
      </c>
      <c r="AB6110" s="4">
        <v>1</v>
      </c>
      <c r="AC6110" s="4">
        <v>1</v>
      </c>
      <c r="AD6110" s="4">
        <v>4</v>
      </c>
      <c r="AE6110" s="4">
        <v>4</v>
      </c>
      <c r="AF6110" s="4">
        <v>0</v>
      </c>
      <c r="AG6110" s="4">
        <v>0</v>
      </c>
      <c r="AH6110" s="4">
        <v>4</v>
      </c>
      <c r="AI6110" s="4">
        <v>4</v>
      </c>
      <c r="AJ6110" s="4">
        <v>0</v>
      </c>
      <c r="AK6110" s="4">
        <v>0</v>
      </c>
      <c r="AL6110" s="4">
        <v>3</v>
      </c>
      <c r="AM6110" s="4">
        <v>3</v>
      </c>
      <c r="AN6110" s="4">
        <v>0</v>
      </c>
      <c r="AO6110" s="4">
        <v>0</v>
      </c>
      <c r="AP6110" s="4">
        <v>0</v>
      </c>
      <c r="AQ6110" s="4">
        <v>0</v>
      </c>
      <c r="AR6110" s="3" t="s">
        <v>62</v>
      </c>
      <c r="AS6110" s="3" t="s">
        <v>62</v>
      </c>
      <c r="AT6110" s="3" t="s">
        <v>62</v>
      </c>
      <c r="AV6110" s="6" t="str">
        <f>HYPERLINK("http://mcgill.on.worldcat.org/oclc/704509919","Catalog Record")</f>
        <v>Catalog Record</v>
      </c>
      <c r="AW6110" s="6" t="str">
        <f>HYPERLINK("http://www.worldcat.org/oclc/704509919","WorldCat Record")</f>
        <v>WorldCat Record</v>
      </c>
      <c r="AX6110" s="3" t="s">
        <v>58808</v>
      </c>
      <c r="AY6110" s="3" t="s">
        <v>58809</v>
      </c>
      <c r="AZ6110" s="3" t="s">
        <v>58810</v>
      </c>
      <c r="BA6110" s="3" t="s">
        <v>58810</v>
      </c>
      <c r="BB6110" s="3" t="s">
        <v>58811</v>
      </c>
      <c r="BC6110" s="3" t="s">
        <v>142</v>
      </c>
      <c r="BD6110" s="3" t="s">
        <v>68</v>
      </c>
      <c r="BF6110" s="3" t="s">
        <v>58811</v>
      </c>
      <c r="BG6110" s="3" t="s">
        <v>58812</v>
      </c>
    </row>
    <row r="6111" spans="1:59" ht="57" x14ac:dyDescent="0.45">
      <c r="A6111" s="2" t="s">
        <v>59</v>
      </c>
      <c r="B6111" s="2" t="s">
        <v>60</v>
      </c>
      <c r="C6111" s="2" t="s">
        <v>58813</v>
      </c>
      <c r="D6111" s="2" t="s">
        <v>58814</v>
      </c>
      <c r="E6111" s="2" t="s">
        <v>58815</v>
      </c>
      <c r="G6111" s="3" t="s">
        <v>62</v>
      </c>
      <c r="I6111" s="3" t="s">
        <v>62</v>
      </c>
      <c r="J6111" s="3" t="s">
        <v>62</v>
      </c>
      <c r="K6111" s="3" t="s">
        <v>63</v>
      </c>
      <c r="L6111" s="2" t="s">
        <v>58816</v>
      </c>
      <c r="M6111" s="2" t="s">
        <v>2786</v>
      </c>
      <c r="N6111" s="3" t="s">
        <v>945</v>
      </c>
      <c r="P6111" s="3" t="s">
        <v>65</v>
      </c>
      <c r="Q6111" s="2" t="s">
        <v>58817</v>
      </c>
      <c r="R6111" s="3" t="s">
        <v>66</v>
      </c>
      <c r="S6111" s="4">
        <v>12</v>
      </c>
      <c r="T6111" s="4">
        <v>12</v>
      </c>
      <c r="U6111" s="5" t="s">
        <v>17428</v>
      </c>
      <c r="V6111" s="5" t="s">
        <v>17428</v>
      </c>
      <c r="W6111" s="5" t="s">
        <v>67</v>
      </c>
      <c r="X6111" s="5" t="s">
        <v>67</v>
      </c>
      <c r="Y6111" s="4">
        <v>132</v>
      </c>
      <c r="Z6111" s="4">
        <v>13</v>
      </c>
      <c r="AA6111" s="4">
        <v>102</v>
      </c>
      <c r="AB6111" s="4">
        <v>2</v>
      </c>
      <c r="AC6111" s="4">
        <v>17</v>
      </c>
      <c r="AD6111" s="4">
        <v>38</v>
      </c>
      <c r="AE6111" s="4">
        <v>118</v>
      </c>
      <c r="AF6111" s="4">
        <v>1</v>
      </c>
      <c r="AG6111" s="4">
        <v>8</v>
      </c>
      <c r="AH6111" s="4">
        <v>32</v>
      </c>
      <c r="AI6111" s="4">
        <v>80</v>
      </c>
      <c r="AJ6111" s="4">
        <v>9</v>
      </c>
      <c r="AK6111" s="4">
        <v>22</v>
      </c>
      <c r="AL6111" s="4">
        <v>21</v>
      </c>
      <c r="AM6111" s="4">
        <v>40</v>
      </c>
      <c r="AN6111" s="4">
        <v>0</v>
      </c>
      <c r="AO6111" s="4">
        <v>0</v>
      </c>
      <c r="AP6111" s="4">
        <v>11</v>
      </c>
      <c r="AQ6111" s="4">
        <v>45</v>
      </c>
      <c r="AR6111" s="3" t="s">
        <v>62</v>
      </c>
      <c r="AS6111" s="3" t="s">
        <v>62</v>
      </c>
      <c r="AT6111" s="3" t="s">
        <v>62</v>
      </c>
      <c r="AV6111" s="6" t="str">
        <f>HYPERLINK("http://mcgill.on.worldcat.org/oclc/45157483","Catalog Record")</f>
        <v>Catalog Record</v>
      </c>
      <c r="AW6111" s="6" t="str">
        <f>HYPERLINK("http://www.worldcat.org/oclc/45157483","WorldCat Record")</f>
        <v>WorldCat Record</v>
      </c>
      <c r="AX6111" s="3" t="s">
        <v>58818</v>
      </c>
      <c r="AY6111" s="3" t="s">
        <v>58819</v>
      </c>
      <c r="AZ6111" s="3" t="s">
        <v>58820</v>
      </c>
      <c r="BA6111" s="3" t="s">
        <v>58820</v>
      </c>
      <c r="BB6111" s="3" t="s">
        <v>58821</v>
      </c>
      <c r="BC6111" s="3" t="s">
        <v>142</v>
      </c>
      <c r="BD6111" s="3" t="s">
        <v>68</v>
      </c>
      <c r="BE6111" s="3" t="s">
        <v>58822</v>
      </c>
      <c r="BF6111" s="3" t="s">
        <v>58821</v>
      </c>
      <c r="BG6111" s="3" t="s">
        <v>58823</v>
      </c>
    </row>
    <row r="6112" spans="1:59" ht="57" x14ac:dyDescent="0.45">
      <c r="A6112" s="2" t="s">
        <v>59</v>
      </c>
      <c r="B6112" s="2" t="s">
        <v>60</v>
      </c>
      <c r="C6112" s="2" t="s">
        <v>58824</v>
      </c>
      <c r="D6112" s="2" t="s">
        <v>58825</v>
      </c>
      <c r="E6112" s="2" t="s">
        <v>58826</v>
      </c>
      <c r="G6112" s="3" t="s">
        <v>62</v>
      </c>
      <c r="I6112" s="3" t="s">
        <v>62</v>
      </c>
      <c r="J6112" s="3" t="s">
        <v>62</v>
      </c>
      <c r="K6112" s="3" t="s">
        <v>63</v>
      </c>
      <c r="M6112" s="2" t="s">
        <v>58827</v>
      </c>
      <c r="N6112" s="3" t="s">
        <v>1059</v>
      </c>
      <c r="O6112" s="2" t="s">
        <v>58828</v>
      </c>
      <c r="P6112" s="3" t="s">
        <v>326</v>
      </c>
      <c r="Q6112" s="2" t="s">
        <v>58829</v>
      </c>
      <c r="R6112" s="3" t="s">
        <v>66</v>
      </c>
      <c r="S6112" s="4">
        <v>2</v>
      </c>
      <c r="T6112" s="4">
        <v>2</v>
      </c>
      <c r="U6112" s="5" t="s">
        <v>328</v>
      </c>
      <c r="V6112" s="5" t="s">
        <v>328</v>
      </c>
      <c r="W6112" s="5" t="s">
        <v>67</v>
      </c>
      <c r="X6112" s="5" t="s">
        <v>67</v>
      </c>
      <c r="Y6112" s="4">
        <v>29</v>
      </c>
      <c r="Z6112" s="4">
        <v>3</v>
      </c>
      <c r="AA6112" s="4">
        <v>3</v>
      </c>
      <c r="AB6112" s="4">
        <v>1</v>
      </c>
      <c r="AC6112" s="4">
        <v>1</v>
      </c>
      <c r="AD6112" s="4">
        <v>8</v>
      </c>
      <c r="AE6112" s="4">
        <v>8</v>
      </c>
      <c r="AF6112" s="4">
        <v>0</v>
      </c>
      <c r="AG6112" s="4">
        <v>0</v>
      </c>
      <c r="AH6112" s="4">
        <v>8</v>
      </c>
      <c r="AI6112" s="4">
        <v>8</v>
      </c>
      <c r="AJ6112" s="4">
        <v>1</v>
      </c>
      <c r="AK6112" s="4">
        <v>1</v>
      </c>
      <c r="AL6112" s="4">
        <v>6</v>
      </c>
      <c r="AM6112" s="4">
        <v>6</v>
      </c>
      <c r="AN6112" s="4">
        <v>0</v>
      </c>
      <c r="AO6112" s="4">
        <v>0</v>
      </c>
      <c r="AP6112" s="4">
        <v>1</v>
      </c>
      <c r="AQ6112" s="4">
        <v>1</v>
      </c>
      <c r="AR6112" s="3" t="s">
        <v>62</v>
      </c>
      <c r="AS6112" s="3" t="s">
        <v>62</v>
      </c>
      <c r="AT6112" s="3" t="s">
        <v>62</v>
      </c>
      <c r="AV6112" s="6" t="str">
        <f>HYPERLINK("http://mcgill.on.worldcat.org/oclc/70767250","Catalog Record")</f>
        <v>Catalog Record</v>
      </c>
      <c r="AW6112" s="6" t="str">
        <f>HYPERLINK("http://www.worldcat.org/oclc/70767250","WorldCat Record")</f>
        <v>WorldCat Record</v>
      </c>
      <c r="AX6112" s="3" t="s">
        <v>58830</v>
      </c>
      <c r="AY6112" s="3" t="s">
        <v>58831</v>
      </c>
      <c r="AZ6112" s="3" t="s">
        <v>58832</v>
      </c>
      <c r="BA6112" s="3" t="s">
        <v>58832</v>
      </c>
      <c r="BB6112" s="3" t="s">
        <v>58833</v>
      </c>
      <c r="BC6112" s="3" t="s">
        <v>142</v>
      </c>
      <c r="BD6112" s="3" t="s">
        <v>68</v>
      </c>
      <c r="BE6112" s="3" t="s">
        <v>58834</v>
      </c>
      <c r="BF6112" s="3" t="s">
        <v>58833</v>
      </c>
      <c r="BG6112" s="3" t="s">
        <v>58835</v>
      </c>
    </row>
    <row r="6113" spans="1:59" ht="57" x14ac:dyDescent="0.45">
      <c r="A6113" s="2" t="s">
        <v>59</v>
      </c>
      <c r="B6113" s="2" t="s">
        <v>60</v>
      </c>
      <c r="C6113" s="2" t="s">
        <v>58836</v>
      </c>
      <c r="D6113" s="2" t="s">
        <v>58837</v>
      </c>
      <c r="E6113" s="2" t="s">
        <v>58838</v>
      </c>
      <c r="G6113" s="3" t="s">
        <v>62</v>
      </c>
      <c r="I6113" s="3" t="s">
        <v>62</v>
      </c>
      <c r="J6113" s="3" t="s">
        <v>62</v>
      </c>
      <c r="K6113" s="3" t="s">
        <v>63</v>
      </c>
      <c r="L6113" s="2" t="s">
        <v>57828</v>
      </c>
      <c r="M6113" s="2" t="s">
        <v>58839</v>
      </c>
      <c r="N6113" s="3" t="s">
        <v>820</v>
      </c>
      <c r="P6113" s="3" t="s">
        <v>110</v>
      </c>
      <c r="Q6113" s="2" t="s">
        <v>58366</v>
      </c>
      <c r="R6113" s="3" t="s">
        <v>66</v>
      </c>
      <c r="S6113" s="4">
        <v>15</v>
      </c>
      <c r="T6113" s="4">
        <v>15</v>
      </c>
      <c r="U6113" s="5" t="s">
        <v>1241</v>
      </c>
      <c r="V6113" s="5" t="s">
        <v>1241</v>
      </c>
      <c r="W6113" s="5" t="s">
        <v>67</v>
      </c>
      <c r="X6113" s="5" t="s">
        <v>67</v>
      </c>
      <c r="Y6113" s="4">
        <v>29</v>
      </c>
      <c r="Z6113" s="4">
        <v>6</v>
      </c>
      <c r="AA6113" s="4">
        <v>25</v>
      </c>
      <c r="AB6113" s="4">
        <v>2</v>
      </c>
      <c r="AC6113" s="4">
        <v>16</v>
      </c>
      <c r="AD6113" s="4">
        <v>9</v>
      </c>
      <c r="AE6113" s="4">
        <v>18</v>
      </c>
      <c r="AF6113" s="4">
        <v>1</v>
      </c>
      <c r="AG6113" s="4">
        <v>6</v>
      </c>
      <c r="AH6113" s="4">
        <v>6</v>
      </c>
      <c r="AI6113" s="4">
        <v>9</v>
      </c>
      <c r="AJ6113" s="4">
        <v>4</v>
      </c>
      <c r="AK6113" s="4">
        <v>11</v>
      </c>
      <c r="AL6113" s="4">
        <v>4</v>
      </c>
      <c r="AM6113" s="4">
        <v>4</v>
      </c>
      <c r="AN6113" s="4">
        <v>0</v>
      </c>
      <c r="AO6113" s="4">
        <v>0</v>
      </c>
      <c r="AP6113" s="4">
        <v>4</v>
      </c>
      <c r="AQ6113" s="4">
        <v>12</v>
      </c>
      <c r="AR6113" s="3" t="s">
        <v>62</v>
      </c>
      <c r="AS6113" s="3" t="s">
        <v>62</v>
      </c>
      <c r="AT6113" s="3" t="s">
        <v>62</v>
      </c>
      <c r="AV6113" s="6" t="str">
        <f>HYPERLINK("http://mcgill.on.worldcat.org/oclc/272560958","Catalog Record")</f>
        <v>Catalog Record</v>
      </c>
      <c r="AW6113" s="6" t="str">
        <f>HYPERLINK("http://www.worldcat.org/oclc/272560958","WorldCat Record")</f>
        <v>WorldCat Record</v>
      </c>
      <c r="AX6113" s="3" t="s">
        <v>58840</v>
      </c>
      <c r="AY6113" s="3" t="s">
        <v>58841</v>
      </c>
      <c r="AZ6113" s="3" t="s">
        <v>58842</v>
      </c>
      <c r="BA6113" s="3" t="s">
        <v>58842</v>
      </c>
      <c r="BB6113" s="3" t="s">
        <v>58843</v>
      </c>
      <c r="BC6113" s="3" t="s">
        <v>142</v>
      </c>
      <c r="BD6113" s="3" t="s">
        <v>68</v>
      </c>
      <c r="BE6113" s="3" t="s">
        <v>58844</v>
      </c>
      <c r="BF6113" s="3" t="s">
        <v>58843</v>
      </c>
      <c r="BG6113" s="3" t="s">
        <v>58845</v>
      </c>
    </row>
    <row r="6114" spans="1:59" ht="57" x14ac:dyDescent="0.45">
      <c r="A6114" s="2" t="s">
        <v>59</v>
      </c>
      <c r="B6114" s="2" t="s">
        <v>60</v>
      </c>
      <c r="C6114" s="2" t="s">
        <v>58846</v>
      </c>
      <c r="D6114" s="2" t="s">
        <v>58847</v>
      </c>
      <c r="E6114" s="2" t="s">
        <v>58848</v>
      </c>
      <c r="G6114" s="3" t="s">
        <v>62</v>
      </c>
      <c r="I6114" s="3" t="s">
        <v>62</v>
      </c>
      <c r="J6114" s="3" t="s">
        <v>62</v>
      </c>
      <c r="K6114" s="3" t="s">
        <v>63</v>
      </c>
      <c r="L6114" s="2" t="s">
        <v>57828</v>
      </c>
      <c r="M6114" s="2" t="s">
        <v>58839</v>
      </c>
      <c r="N6114" s="3" t="s">
        <v>820</v>
      </c>
      <c r="P6114" s="3" t="s">
        <v>110</v>
      </c>
      <c r="Q6114" s="2" t="s">
        <v>58366</v>
      </c>
      <c r="R6114" s="3" t="s">
        <v>66</v>
      </c>
      <c r="S6114" s="4">
        <v>8</v>
      </c>
      <c r="T6114" s="4">
        <v>8</v>
      </c>
      <c r="U6114" s="5" t="s">
        <v>42646</v>
      </c>
      <c r="V6114" s="5" t="s">
        <v>42646</v>
      </c>
      <c r="W6114" s="5" t="s">
        <v>67</v>
      </c>
      <c r="X6114" s="5" t="s">
        <v>67</v>
      </c>
      <c r="Y6114" s="4">
        <v>19</v>
      </c>
      <c r="Z6114" s="4">
        <v>6</v>
      </c>
      <c r="AA6114" s="4">
        <v>17</v>
      </c>
      <c r="AB6114" s="4">
        <v>2</v>
      </c>
      <c r="AC6114" s="4">
        <v>9</v>
      </c>
      <c r="AD6114" s="4">
        <v>8</v>
      </c>
      <c r="AE6114" s="4">
        <v>16</v>
      </c>
      <c r="AF6114" s="4">
        <v>1</v>
      </c>
      <c r="AG6114" s="4">
        <v>6</v>
      </c>
      <c r="AH6114" s="4">
        <v>5</v>
      </c>
      <c r="AI6114" s="4">
        <v>8</v>
      </c>
      <c r="AJ6114" s="4">
        <v>4</v>
      </c>
      <c r="AK6114" s="4">
        <v>10</v>
      </c>
      <c r="AL6114" s="4">
        <v>2</v>
      </c>
      <c r="AM6114" s="4">
        <v>2</v>
      </c>
      <c r="AN6114" s="4">
        <v>0</v>
      </c>
      <c r="AO6114" s="4">
        <v>0</v>
      </c>
      <c r="AP6114" s="4">
        <v>4</v>
      </c>
      <c r="AQ6114" s="4">
        <v>11</v>
      </c>
      <c r="AR6114" s="3" t="s">
        <v>62</v>
      </c>
      <c r="AS6114" s="3" t="s">
        <v>62</v>
      </c>
      <c r="AT6114" s="3" t="s">
        <v>62</v>
      </c>
      <c r="AV6114" s="6" t="str">
        <f>HYPERLINK("http://mcgill.on.worldcat.org/oclc/272560954","Catalog Record")</f>
        <v>Catalog Record</v>
      </c>
      <c r="AW6114" s="6" t="str">
        <f>HYPERLINK("http://www.worldcat.org/oclc/272560954","WorldCat Record")</f>
        <v>WorldCat Record</v>
      </c>
      <c r="AX6114" s="3" t="s">
        <v>58849</v>
      </c>
      <c r="AY6114" s="3" t="s">
        <v>58850</v>
      </c>
      <c r="AZ6114" s="3" t="s">
        <v>58851</v>
      </c>
      <c r="BA6114" s="3" t="s">
        <v>58851</v>
      </c>
      <c r="BB6114" s="3" t="s">
        <v>58852</v>
      </c>
      <c r="BC6114" s="3" t="s">
        <v>142</v>
      </c>
      <c r="BD6114" s="3" t="s">
        <v>68</v>
      </c>
      <c r="BE6114" s="3" t="s">
        <v>58853</v>
      </c>
      <c r="BF6114" s="3" t="s">
        <v>58852</v>
      </c>
      <c r="BG6114" s="3" t="s">
        <v>58854</v>
      </c>
    </row>
    <row r="6115" spans="1:59" ht="57" x14ac:dyDescent="0.45">
      <c r="A6115" s="2" t="s">
        <v>59</v>
      </c>
      <c r="B6115" s="2" t="s">
        <v>60</v>
      </c>
      <c r="C6115" s="2" t="s">
        <v>58855</v>
      </c>
      <c r="D6115" s="2" t="s">
        <v>58856</v>
      </c>
      <c r="E6115" s="2" t="s">
        <v>58857</v>
      </c>
      <c r="G6115" s="3" t="s">
        <v>62</v>
      </c>
      <c r="I6115" s="3" t="s">
        <v>62</v>
      </c>
      <c r="J6115" s="3" t="s">
        <v>62</v>
      </c>
      <c r="K6115" s="3" t="s">
        <v>63</v>
      </c>
      <c r="L6115" s="2" t="s">
        <v>57828</v>
      </c>
      <c r="M6115" s="2" t="s">
        <v>58858</v>
      </c>
      <c r="N6115" s="3" t="s">
        <v>820</v>
      </c>
      <c r="P6115" s="3" t="s">
        <v>110</v>
      </c>
      <c r="Q6115" s="2" t="s">
        <v>58859</v>
      </c>
      <c r="R6115" s="3" t="s">
        <v>66</v>
      </c>
      <c r="S6115" s="4">
        <v>5</v>
      </c>
      <c r="T6115" s="4">
        <v>5</v>
      </c>
      <c r="U6115" s="5" t="s">
        <v>19964</v>
      </c>
      <c r="V6115" s="5" t="s">
        <v>19964</v>
      </c>
      <c r="W6115" s="5" t="s">
        <v>67</v>
      </c>
      <c r="X6115" s="5" t="s">
        <v>67</v>
      </c>
      <c r="Y6115" s="4">
        <v>7</v>
      </c>
      <c r="Z6115" s="4">
        <v>2</v>
      </c>
      <c r="AA6115" s="4">
        <v>6</v>
      </c>
      <c r="AB6115" s="4">
        <v>1</v>
      </c>
      <c r="AC6115" s="4">
        <v>4</v>
      </c>
      <c r="AD6115" s="4">
        <v>2</v>
      </c>
      <c r="AE6115" s="4">
        <v>6</v>
      </c>
      <c r="AF6115" s="4">
        <v>0</v>
      </c>
      <c r="AG6115" s="4">
        <v>3</v>
      </c>
      <c r="AH6115" s="4">
        <v>2</v>
      </c>
      <c r="AI6115" s="4">
        <v>4</v>
      </c>
      <c r="AJ6115" s="4">
        <v>1</v>
      </c>
      <c r="AK6115" s="4">
        <v>4</v>
      </c>
      <c r="AL6115" s="4">
        <v>1</v>
      </c>
      <c r="AM6115" s="4">
        <v>1</v>
      </c>
      <c r="AN6115" s="4">
        <v>0</v>
      </c>
      <c r="AO6115" s="4">
        <v>0</v>
      </c>
      <c r="AP6115" s="4">
        <v>1</v>
      </c>
      <c r="AQ6115" s="4">
        <v>4</v>
      </c>
      <c r="AR6115" s="3" t="s">
        <v>62</v>
      </c>
      <c r="AS6115" s="3" t="s">
        <v>62</v>
      </c>
      <c r="AT6115" s="3" t="s">
        <v>62</v>
      </c>
      <c r="AV6115" s="6" t="str">
        <f>HYPERLINK("http://mcgill.on.worldcat.org/oclc/457290735","Catalog Record")</f>
        <v>Catalog Record</v>
      </c>
      <c r="AW6115" s="6" t="str">
        <f>HYPERLINK("http://www.worldcat.org/oclc/457290735","WorldCat Record")</f>
        <v>WorldCat Record</v>
      </c>
      <c r="AX6115" s="3" t="s">
        <v>58860</v>
      </c>
      <c r="AY6115" s="3" t="s">
        <v>58861</v>
      </c>
      <c r="AZ6115" s="3" t="s">
        <v>58862</v>
      </c>
      <c r="BA6115" s="3" t="s">
        <v>58862</v>
      </c>
      <c r="BB6115" s="3" t="s">
        <v>58863</v>
      </c>
      <c r="BC6115" s="3" t="s">
        <v>142</v>
      </c>
      <c r="BD6115" s="3" t="s">
        <v>68</v>
      </c>
      <c r="BE6115" s="3" t="s">
        <v>58864</v>
      </c>
      <c r="BF6115" s="3" t="s">
        <v>58863</v>
      </c>
      <c r="BG6115" s="3" t="s">
        <v>58865</v>
      </c>
    </row>
    <row r="6116" spans="1:59" ht="57" x14ac:dyDescent="0.45">
      <c r="A6116" s="2" t="s">
        <v>59</v>
      </c>
      <c r="B6116" s="2" t="s">
        <v>60</v>
      </c>
      <c r="C6116" s="2" t="s">
        <v>58866</v>
      </c>
      <c r="D6116" s="2" t="s">
        <v>58867</v>
      </c>
      <c r="E6116" s="2" t="s">
        <v>58868</v>
      </c>
      <c r="G6116" s="3" t="s">
        <v>62</v>
      </c>
      <c r="I6116" s="3" t="s">
        <v>62</v>
      </c>
      <c r="J6116" s="3" t="s">
        <v>62</v>
      </c>
      <c r="K6116" s="3" t="s">
        <v>63</v>
      </c>
      <c r="L6116" s="2" t="s">
        <v>58869</v>
      </c>
      <c r="M6116" s="2" t="s">
        <v>58870</v>
      </c>
      <c r="N6116" s="3" t="s">
        <v>945</v>
      </c>
      <c r="P6116" s="3" t="s">
        <v>65</v>
      </c>
      <c r="Q6116" s="2" t="s">
        <v>7123</v>
      </c>
      <c r="R6116" s="3" t="s">
        <v>66</v>
      </c>
      <c r="S6116" s="4">
        <v>2</v>
      </c>
      <c r="T6116" s="4">
        <v>2</v>
      </c>
      <c r="U6116" s="5" t="s">
        <v>12692</v>
      </c>
      <c r="V6116" s="5" t="s">
        <v>12692</v>
      </c>
      <c r="W6116" s="5" t="s">
        <v>67</v>
      </c>
      <c r="X6116" s="5" t="s">
        <v>67</v>
      </c>
      <c r="Y6116" s="4">
        <v>175</v>
      </c>
      <c r="Z6116" s="4">
        <v>13</v>
      </c>
      <c r="AA6116" s="4">
        <v>19</v>
      </c>
      <c r="AB6116" s="4">
        <v>1</v>
      </c>
      <c r="AC6116" s="4">
        <v>5</v>
      </c>
      <c r="AD6116" s="4">
        <v>53</v>
      </c>
      <c r="AE6116" s="4">
        <v>59</v>
      </c>
      <c r="AF6116" s="4">
        <v>0</v>
      </c>
      <c r="AG6116" s="4">
        <v>2</v>
      </c>
      <c r="AH6116" s="4">
        <v>49</v>
      </c>
      <c r="AI6116" s="4">
        <v>52</v>
      </c>
      <c r="AJ6116" s="4">
        <v>10</v>
      </c>
      <c r="AK6116" s="4">
        <v>13</v>
      </c>
      <c r="AL6116" s="4">
        <v>28</v>
      </c>
      <c r="AM6116" s="4">
        <v>30</v>
      </c>
      <c r="AN6116" s="4">
        <v>0</v>
      </c>
      <c r="AO6116" s="4">
        <v>0</v>
      </c>
      <c r="AP6116" s="4">
        <v>11</v>
      </c>
      <c r="AQ6116" s="4">
        <v>14</v>
      </c>
      <c r="AR6116" s="3" t="s">
        <v>62</v>
      </c>
      <c r="AS6116" s="3" t="s">
        <v>62</v>
      </c>
      <c r="AT6116" s="3" t="s">
        <v>61</v>
      </c>
      <c r="AU6116" s="6" t="str">
        <f>HYPERLINK("http://catalog.hathitrust.org/Record/005660012","HathiTrust Record")</f>
        <v>HathiTrust Record</v>
      </c>
      <c r="AV6116" s="6" t="str">
        <f>HYPERLINK("http://mcgill.on.worldcat.org/oclc/148905194","Catalog Record")</f>
        <v>Catalog Record</v>
      </c>
      <c r="AW6116" s="6" t="str">
        <f>HYPERLINK("http://www.worldcat.org/oclc/148905194","WorldCat Record")</f>
        <v>WorldCat Record</v>
      </c>
      <c r="AX6116" s="3" t="s">
        <v>58871</v>
      </c>
      <c r="AY6116" s="3" t="s">
        <v>58872</v>
      </c>
      <c r="AZ6116" s="3" t="s">
        <v>58873</v>
      </c>
      <c r="BA6116" s="3" t="s">
        <v>58873</v>
      </c>
      <c r="BB6116" s="3" t="s">
        <v>58874</v>
      </c>
      <c r="BC6116" s="3" t="s">
        <v>142</v>
      </c>
      <c r="BD6116" s="3" t="s">
        <v>68</v>
      </c>
      <c r="BE6116" s="3" t="s">
        <v>58875</v>
      </c>
      <c r="BF6116" s="3" t="s">
        <v>58874</v>
      </c>
      <c r="BG6116" s="3" t="s">
        <v>58876</v>
      </c>
    </row>
    <row r="6117" spans="1:59" ht="57" x14ac:dyDescent="0.45">
      <c r="A6117" s="2" t="s">
        <v>59</v>
      </c>
      <c r="B6117" s="2" t="s">
        <v>60</v>
      </c>
      <c r="C6117" s="2" t="s">
        <v>58877</v>
      </c>
      <c r="D6117" s="2" t="s">
        <v>58878</v>
      </c>
      <c r="E6117" s="2" t="s">
        <v>58879</v>
      </c>
      <c r="G6117" s="3" t="s">
        <v>62</v>
      </c>
      <c r="I6117" s="3" t="s">
        <v>62</v>
      </c>
      <c r="J6117" s="3" t="s">
        <v>62</v>
      </c>
      <c r="K6117" s="3" t="s">
        <v>63</v>
      </c>
      <c r="M6117" s="2" t="s">
        <v>58880</v>
      </c>
      <c r="N6117" s="3" t="s">
        <v>167</v>
      </c>
      <c r="O6117" s="2" t="s">
        <v>58881</v>
      </c>
      <c r="P6117" s="3" t="s">
        <v>65</v>
      </c>
      <c r="Q6117" s="2" t="s">
        <v>58882</v>
      </c>
      <c r="R6117" s="3" t="s">
        <v>66</v>
      </c>
      <c r="S6117" s="4">
        <v>2</v>
      </c>
      <c r="T6117" s="4">
        <v>2</v>
      </c>
      <c r="U6117" s="5" t="s">
        <v>23761</v>
      </c>
      <c r="V6117" s="5" t="s">
        <v>23761</v>
      </c>
      <c r="W6117" s="5" t="s">
        <v>67</v>
      </c>
      <c r="X6117" s="5" t="s">
        <v>67</v>
      </c>
      <c r="Y6117" s="4">
        <v>16</v>
      </c>
      <c r="Z6117" s="4">
        <v>2</v>
      </c>
      <c r="AA6117" s="4">
        <v>2</v>
      </c>
      <c r="AB6117" s="4">
        <v>2</v>
      </c>
      <c r="AC6117" s="4">
        <v>2</v>
      </c>
      <c r="AD6117" s="4">
        <v>2</v>
      </c>
      <c r="AE6117" s="4">
        <v>2</v>
      </c>
      <c r="AF6117" s="4">
        <v>0</v>
      </c>
      <c r="AG6117" s="4">
        <v>0</v>
      </c>
      <c r="AH6117" s="4">
        <v>2</v>
      </c>
      <c r="AI6117" s="4">
        <v>2</v>
      </c>
      <c r="AJ6117" s="4">
        <v>0</v>
      </c>
      <c r="AK6117" s="4">
        <v>0</v>
      </c>
      <c r="AL6117" s="4">
        <v>2</v>
      </c>
      <c r="AM6117" s="4">
        <v>2</v>
      </c>
      <c r="AN6117" s="4">
        <v>0</v>
      </c>
      <c r="AO6117" s="4">
        <v>0</v>
      </c>
      <c r="AP6117" s="4">
        <v>0</v>
      </c>
      <c r="AQ6117" s="4">
        <v>0</v>
      </c>
      <c r="AR6117" s="3" t="s">
        <v>62</v>
      </c>
      <c r="AS6117" s="3" t="s">
        <v>62</v>
      </c>
      <c r="AT6117" s="3" t="s">
        <v>62</v>
      </c>
      <c r="AV6117" s="6" t="str">
        <f>HYPERLINK("http://mcgill.on.worldcat.org/oclc/46821285","Catalog Record")</f>
        <v>Catalog Record</v>
      </c>
      <c r="AW6117" s="6" t="str">
        <f>HYPERLINK("http://www.worldcat.org/oclc/46821285","WorldCat Record")</f>
        <v>WorldCat Record</v>
      </c>
      <c r="AX6117" s="3" t="s">
        <v>58883</v>
      </c>
      <c r="AY6117" s="3" t="s">
        <v>58884</v>
      </c>
      <c r="AZ6117" s="3" t="s">
        <v>58885</v>
      </c>
      <c r="BA6117" s="3" t="s">
        <v>58885</v>
      </c>
      <c r="BB6117" s="3" t="s">
        <v>58886</v>
      </c>
      <c r="BC6117" s="3" t="s">
        <v>58887</v>
      </c>
      <c r="BD6117" s="3" t="s">
        <v>68</v>
      </c>
      <c r="BE6117" s="3" t="s">
        <v>58888</v>
      </c>
      <c r="BF6117" s="3" t="s">
        <v>58886</v>
      </c>
      <c r="BG6117" s="3" t="s">
        <v>58889</v>
      </c>
    </row>
    <row r="6118" spans="1:59" ht="57" x14ac:dyDescent="0.45">
      <c r="A6118" s="2" t="s">
        <v>59</v>
      </c>
      <c r="B6118" s="2" t="s">
        <v>60</v>
      </c>
      <c r="C6118" s="2" t="s">
        <v>58890</v>
      </c>
      <c r="D6118" s="2" t="s">
        <v>58891</v>
      </c>
      <c r="E6118" s="2" t="s">
        <v>58892</v>
      </c>
      <c r="G6118" s="3" t="s">
        <v>62</v>
      </c>
      <c r="I6118" s="3" t="s">
        <v>62</v>
      </c>
      <c r="J6118" s="3" t="s">
        <v>62</v>
      </c>
      <c r="K6118" s="3" t="s">
        <v>63</v>
      </c>
      <c r="L6118" s="2" t="s">
        <v>58893</v>
      </c>
      <c r="M6118" s="2" t="s">
        <v>58894</v>
      </c>
      <c r="N6118" s="3" t="s">
        <v>1253</v>
      </c>
      <c r="P6118" s="3" t="s">
        <v>65</v>
      </c>
      <c r="R6118" s="3" t="s">
        <v>66</v>
      </c>
      <c r="S6118" s="4">
        <v>21</v>
      </c>
      <c r="T6118" s="4">
        <v>21</v>
      </c>
      <c r="U6118" s="5" t="s">
        <v>18463</v>
      </c>
      <c r="V6118" s="5" t="s">
        <v>18463</v>
      </c>
      <c r="W6118" s="5" t="s">
        <v>67</v>
      </c>
      <c r="X6118" s="5" t="s">
        <v>67</v>
      </c>
      <c r="Y6118" s="4">
        <v>580</v>
      </c>
      <c r="Z6118" s="4">
        <v>36</v>
      </c>
      <c r="AA6118" s="4">
        <v>40</v>
      </c>
      <c r="AB6118" s="4">
        <v>1</v>
      </c>
      <c r="AC6118" s="4">
        <v>4</v>
      </c>
      <c r="AD6118" s="4">
        <v>109</v>
      </c>
      <c r="AE6118" s="4">
        <v>112</v>
      </c>
      <c r="AF6118" s="4">
        <v>0</v>
      </c>
      <c r="AG6118" s="4">
        <v>2</v>
      </c>
      <c r="AH6118" s="4">
        <v>94</v>
      </c>
      <c r="AI6118" s="4">
        <v>94</v>
      </c>
      <c r="AJ6118" s="4">
        <v>14</v>
      </c>
      <c r="AK6118" s="4">
        <v>16</v>
      </c>
      <c r="AL6118" s="4">
        <v>52</v>
      </c>
      <c r="AM6118" s="4">
        <v>52</v>
      </c>
      <c r="AN6118" s="4">
        <v>0</v>
      </c>
      <c r="AO6118" s="4">
        <v>0</v>
      </c>
      <c r="AP6118" s="4">
        <v>21</v>
      </c>
      <c r="AQ6118" s="4">
        <v>23</v>
      </c>
      <c r="AR6118" s="3" t="s">
        <v>62</v>
      </c>
      <c r="AS6118" s="3" t="s">
        <v>62</v>
      </c>
      <c r="AT6118" s="3" t="s">
        <v>62</v>
      </c>
      <c r="AV6118" s="6" t="str">
        <f>HYPERLINK("http://mcgill.on.worldcat.org/oclc/36225295","Catalog Record")</f>
        <v>Catalog Record</v>
      </c>
      <c r="AW6118" s="6" t="str">
        <f>HYPERLINK("http://www.worldcat.org/oclc/36225295","WorldCat Record")</f>
        <v>WorldCat Record</v>
      </c>
      <c r="AX6118" s="3" t="s">
        <v>58895</v>
      </c>
      <c r="AY6118" s="3" t="s">
        <v>58896</v>
      </c>
      <c r="AZ6118" s="3" t="s">
        <v>58897</v>
      </c>
      <c r="BA6118" s="3" t="s">
        <v>58897</v>
      </c>
      <c r="BB6118" s="3" t="s">
        <v>58898</v>
      </c>
      <c r="BC6118" s="3" t="s">
        <v>142</v>
      </c>
      <c r="BD6118" s="3" t="s">
        <v>68</v>
      </c>
      <c r="BE6118" s="3" t="s">
        <v>58899</v>
      </c>
      <c r="BF6118" s="3" t="s">
        <v>58898</v>
      </c>
      <c r="BG6118" s="3" t="s">
        <v>58900</v>
      </c>
    </row>
    <row r="6119" spans="1:59" ht="57" x14ac:dyDescent="0.45">
      <c r="A6119" s="2" t="s">
        <v>59</v>
      </c>
      <c r="B6119" s="2" t="s">
        <v>60</v>
      </c>
      <c r="C6119" s="2" t="s">
        <v>58901</v>
      </c>
      <c r="D6119" s="2" t="s">
        <v>58902</v>
      </c>
      <c r="E6119" s="2" t="s">
        <v>58903</v>
      </c>
      <c r="G6119" s="3" t="s">
        <v>62</v>
      </c>
      <c r="I6119" s="3" t="s">
        <v>62</v>
      </c>
      <c r="J6119" s="3" t="s">
        <v>62</v>
      </c>
      <c r="K6119" s="3" t="s">
        <v>63</v>
      </c>
      <c r="L6119" s="2" t="s">
        <v>58904</v>
      </c>
      <c r="M6119" s="2" t="s">
        <v>38466</v>
      </c>
      <c r="N6119" s="3" t="s">
        <v>1465</v>
      </c>
      <c r="P6119" s="3" t="s">
        <v>65</v>
      </c>
      <c r="Q6119" s="2" t="s">
        <v>2549</v>
      </c>
      <c r="R6119" s="3" t="s">
        <v>66</v>
      </c>
      <c r="S6119" s="4">
        <v>11</v>
      </c>
      <c r="T6119" s="4">
        <v>11</v>
      </c>
      <c r="U6119" s="5" t="s">
        <v>58342</v>
      </c>
      <c r="V6119" s="5" t="s">
        <v>58342</v>
      </c>
      <c r="W6119" s="5" t="s">
        <v>67</v>
      </c>
      <c r="X6119" s="5" t="s">
        <v>67</v>
      </c>
      <c r="Y6119" s="4">
        <v>112</v>
      </c>
      <c r="Z6119" s="4">
        <v>7</v>
      </c>
      <c r="AA6119" s="4">
        <v>18</v>
      </c>
      <c r="AB6119" s="4">
        <v>3</v>
      </c>
      <c r="AC6119" s="4">
        <v>9</v>
      </c>
      <c r="AD6119" s="4">
        <v>22</v>
      </c>
      <c r="AE6119" s="4">
        <v>59</v>
      </c>
      <c r="AF6119" s="4">
        <v>1</v>
      </c>
      <c r="AG6119" s="4">
        <v>4</v>
      </c>
      <c r="AH6119" s="4">
        <v>20</v>
      </c>
      <c r="AI6119" s="4">
        <v>51</v>
      </c>
      <c r="AJ6119" s="4">
        <v>5</v>
      </c>
      <c r="AK6119" s="4">
        <v>10</v>
      </c>
      <c r="AL6119" s="4">
        <v>13</v>
      </c>
      <c r="AM6119" s="4">
        <v>32</v>
      </c>
      <c r="AN6119" s="4">
        <v>0</v>
      </c>
      <c r="AO6119" s="4">
        <v>0</v>
      </c>
      <c r="AP6119" s="4">
        <v>5</v>
      </c>
      <c r="AQ6119" s="4">
        <v>12</v>
      </c>
      <c r="AR6119" s="3" t="s">
        <v>62</v>
      </c>
      <c r="AS6119" s="3" t="s">
        <v>62</v>
      </c>
      <c r="AT6119" s="3" t="s">
        <v>62</v>
      </c>
      <c r="AV6119" s="6" t="str">
        <f>HYPERLINK("http://mcgill.on.worldcat.org/oclc/317252729","Catalog Record")</f>
        <v>Catalog Record</v>
      </c>
      <c r="AW6119" s="6" t="str">
        <f>HYPERLINK("http://www.worldcat.org/oclc/317252729","WorldCat Record")</f>
        <v>WorldCat Record</v>
      </c>
      <c r="AX6119" s="3" t="s">
        <v>58905</v>
      </c>
      <c r="AY6119" s="3" t="s">
        <v>58906</v>
      </c>
      <c r="AZ6119" s="3" t="s">
        <v>58907</v>
      </c>
      <c r="BA6119" s="3" t="s">
        <v>58907</v>
      </c>
      <c r="BB6119" s="3" t="s">
        <v>58908</v>
      </c>
      <c r="BC6119" s="3" t="s">
        <v>142</v>
      </c>
      <c r="BD6119" s="3" t="s">
        <v>68</v>
      </c>
      <c r="BE6119" s="3" t="s">
        <v>58909</v>
      </c>
      <c r="BF6119" s="3" t="s">
        <v>58908</v>
      </c>
      <c r="BG6119" s="3" t="s">
        <v>58910</v>
      </c>
    </row>
    <row r="6120" spans="1:59" ht="57" x14ac:dyDescent="0.45">
      <c r="A6120" s="2" t="s">
        <v>59</v>
      </c>
      <c r="B6120" s="2" t="s">
        <v>60</v>
      </c>
      <c r="C6120" s="2" t="s">
        <v>58911</v>
      </c>
      <c r="D6120" s="2" t="s">
        <v>58912</v>
      </c>
      <c r="E6120" s="2" t="s">
        <v>58913</v>
      </c>
      <c r="G6120" s="3" t="s">
        <v>62</v>
      </c>
      <c r="I6120" s="3" t="s">
        <v>62</v>
      </c>
      <c r="J6120" s="3" t="s">
        <v>62</v>
      </c>
      <c r="K6120" s="3" t="s">
        <v>63</v>
      </c>
      <c r="L6120" s="2" t="s">
        <v>58914</v>
      </c>
      <c r="M6120" s="2" t="s">
        <v>56136</v>
      </c>
      <c r="N6120" s="3" t="s">
        <v>1688</v>
      </c>
      <c r="P6120" s="3" t="s">
        <v>110</v>
      </c>
      <c r="Q6120" s="2" t="s">
        <v>58915</v>
      </c>
      <c r="R6120" s="3" t="s">
        <v>66</v>
      </c>
      <c r="S6120" s="4">
        <v>4</v>
      </c>
      <c r="T6120" s="4">
        <v>4</v>
      </c>
      <c r="U6120" s="5" t="s">
        <v>12896</v>
      </c>
      <c r="V6120" s="5" t="s">
        <v>12896</v>
      </c>
      <c r="W6120" s="5" t="s">
        <v>67</v>
      </c>
      <c r="X6120" s="5" t="s">
        <v>67</v>
      </c>
      <c r="Y6120" s="4">
        <v>32</v>
      </c>
      <c r="Z6120" s="4">
        <v>4</v>
      </c>
      <c r="AA6120" s="4">
        <v>10</v>
      </c>
      <c r="AB6120" s="4">
        <v>1</v>
      </c>
      <c r="AC6120" s="4">
        <v>6</v>
      </c>
      <c r="AD6120" s="4">
        <v>17</v>
      </c>
      <c r="AE6120" s="4">
        <v>22</v>
      </c>
      <c r="AF6120" s="4">
        <v>0</v>
      </c>
      <c r="AG6120" s="4">
        <v>4</v>
      </c>
      <c r="AH6120" s="4">
        <v>15</v>
      </c>
      <c r="AI6120" s="4">
        <v>17</v>
      </c>
      <c r="AJ6120" s="4">
        <v>3</v>
      </c>
      <c r="AK6120" s="4">
        <v>7</v>
      </c>
      <c r="AL6120" s="4">
        <v>10</v>
      </c>
      <c r="AM6120" s="4">
        <v>10</v>
      </c>
      <c r="AN6120" s="4">
        <v>0</v>
      </c>
      <c r="AO6120" s="4">
        <v>0</v>
      </c>
      <c r="AP6120" s="4">
        <v>3</v>
      </c>
      <c r="AQ6120" s="4">
        <v>7</v>
      </c>
      <c r="AR6120" s="3" t="s">
        <v>62</v>
      </c>
      <c r="AS6120" s="3" t="s">
        <v>62</v>
      </c>
      <c r="AT6120" s="3" t="s">
        <v>62</v>
      </c>
      <c r="AV6120" s="6" t="str">
        <f>HYPERLINK("http://mcgill.on.worldcat.org/oclc/877916316","Catalog Record")</f>
        <v>Catalog Record</v>
      </c>
      <c r="AW6120" s="6" t="str">
        <f>HYPERLINK("http://www.worldcat.org/oclc/877916316","WorldCat Record")</f>
        <v>WorldCat Record</v>
      </c>
      <c r="AX6120" s="3" t="s">
        <v>58916</v>
      </c>
      <c r="AY6120" s="3" t="s">
        <v>58917</v>
      </c>
      <c r="AZ6120" s="3" t="s">
        <v>58918</v>
      </c>
      <c r="BA6120" s="3" t="s">
        <v>58918</v>
      </c>
      <c r="BB6120" s="3" t="s">
        <v>58919</v>
      </c>
      <c r="BC6120" s="3" t="s">
        <v>142</v>
      </c>
      <c r="BD6120" s="3" t="s">
        <v>68</v>
      </c>
      <c r="BE6120" s="3" t="s">
        <v>58920</v>
      </c>
      <c r="BF6120" s="3" t="s">
        <v>58919</v>
      </c>
      <c r="BG6120" s="3" t="s">
        <v>58921</v>
      </c>
    </row>
    <row r="6121" spans="1:59" ht="57" x14ac:dyDescent="0.45">
      <c r="A6121" s="2" t="s">
        <v>59</v>
      </c>
      <c r="B6121" s="2" t="s">
        <v>60</v>
      </c>
      <c r="C6121" s="2" t="s">
        <v>58922</v>
      </c>
      <c r="D6121" s="2" t="s">
        <v>58923</v>
      </c>
      <c r="E6121" s="2" t="s">
        <v>58924</v>
      </c>
      <c r="G6121" s="3" t="s">
        <v>62</v>
      </c>
      <c r="I6121" s="3" t="s">
        <v>62</v>
      </c>
      <c r="J6121" s="3" t="s">
        <v>62</v>
      </c>
      <c r="K6121" s="3" t="s">
        <v>63</v>
      </c>
      <c r="L6121" s="2" t="s">
        <v>58925</v>
      </c>
      <c r="M6121" s="2" t="s">
        <v>58926</v>
      </c>
      <c r="N6121" s="3" t="s">
        <v>125</v>
      </c>
      <c r="P6121" s="3" t="s">
        <v>110</v>
      </c>
      <c r="Q6121" s="2" t="s">
        <v>58927</v>
      </c>
      <c r="R6121" s="3" t="s">
        <v>66</v>
      </c>
      <c r="S6121" s="4">
        <v>28</v>
      </c>
      <c r="T6121" s="4">
        <v>28</v>
      </c>
      <c r="U6121" s="5" t="s">
        <v>58733</v>
      </c>
      <c r="V6121" s="5" t="s">
        <v>58733</v>
      </c>
      <c r="W6121" s="5" t="s">
        <v>67</v>
      </c>
      <c r="X6121" s="5" t="s">
        <v>67</v>
      </c>
      <c r="Y6121" s="4">
        <v>74</v>
      </c>
      <c r="Z6121" s="4">
        <v>11</v>
      </c>
      <c r="AA6121" s="4">
        <v>17</v>
      </c>
      <c r="AB6121" s="4">
        <v>3</v>
      </c>
      <c r="AC6121" s="4">
        <v>8</v>
      </c>
      <c r="AD6121" s="4">
        <v>30</v>
      </c>
      <c r="AE6121" s="4">
        <v>36</v>
      </c>
      <c r="AF6121" s="4">
        <v>1</v>
      </c>
      <c r="AG6121" s="4">
        <v>6</v>
      </c>
      <c r="AH6121" s="4">
        <v>24</v>
      </c>
      <c r="AI6121" s="4">
        <v>26</v>
      </c>
      <c r="AJ6121" s="4">
        <v>8</v>
      </c>
      <c r="AK6121" s="4">
        <v>13</v>
      </c>
      <c r="AL6121" s="4">
        <v>17</v>
      </c>
      <c r="AM6121" s="4">
        <v>17</v>
      </c>
      <c r="AN6121" s="4">
        <v>0</v>
      </c>
      <c r="AO6121" s="4">
        <v>0</v>
      </c>
      <c r="AP6121" s="4">
        <v>9</v>
      </c>
      <c r="AQ6121" s="4">
        <v>14</v>
      </c>
      <c r="AR6121" s="3" t="s">
        <v>62</v>
      </c>
      <c r="AS6121" s="3" t="s">
        <v>62</v>
      </c>
      <c r="AT6121" s="3" t="s">
        <v>62</v>
      </c>
      <c r="AV6121" s="6" t="str">
        <f>HYPERLINK("http://mcgill.on.worldcat.org/oclc/22294389","Catalog Record")</f>
        <v>Catalog Record</v>
      </c>
      <c r="AW6121" s="6" t="str">
        <f>HYPERLINK("http://www.worldcat.org/oclc/22294389","WorldCat Record")</f>
        <v>WorldCat Record</v>
      </c>
      <c r="AX6121" s="3" t="s">
        <v>58928</v>
      </c>
      <c r="AY6121" s="3" t="s">
        <v>58929</v>
      </c>
      <c r="AZ6121" s="3" t="s">
        <v>58930</v>
      </c>
      <c r="BA6121" s="3" t="s">
        <v>58930</v>
      </c>
      <c r="BB6121" s="3" t="s">
        <v>58931</v>
      </c>
      <c r="BC6121" s="3" t="s">
        <v>142</v>
      </c>
      <c r="BD6121" s="3" t="s">
        <v>68</v>
      </c>
      <c r="BE6121" s="3" t="s">
        <v>58932</v>
      </c>
      <c r="BF6121" s="3" t="s">
        <v>58931</v>
      </c>
      <c r="BG6121" s="3" t="s">
        <v>58933</v>
      </c>
    </row>
    <row r="6122" spans="1:59" ht="57" x14ac:dyDescent="0.45">
      <c r="A6122" s="2" t="s">
        <v>59</v>
      </c>
      <c r="B6122" s="2" t="s">
        <v>60</v>
      </c>
      <c r="C6122" s="2" t="s">
        <v>58934</v>
      </c>
      <c r="D6122" s="2" t="s">
        <v>58935</v>
      </c>
      <c r="E6122" s="2" t="s">
        <v>58936</v>
      </c>
      <c r="G6122" s="3" t="s">
        <v>62</v>
      </c>
      <c r="I6122" s="3" t="s">
        <v>62</v>
      </c>
      <c r="J6122" s="3" t="s">
        <v>62</v>
      </c>
      <c r="K6122" s="3" t="s">
        <v>63</v>
      </c>
      <c r="L6122" s="2" t="s">
        <v>58925</v>
      </c>
      <c r="M6122" s="2" t="s">
        <v>58937</v>
      </c>
      <c r="N6122" s="3" t="s">
        <v>542</v>
      </c>
      <c r="P6122" s="3" t="s">
        <v>326</v>
      </c>
      <c r="Q6122" s="2" t="s">
        <v>51567</v>
      </c>
      <c r="R6122" s="3" t="s">
        <v>66</v>
      </c>
      <c r="S6122" s="4">
        <v>18</v>
      </c>
      <c r="T6122" s="4">
        <v>18</v>
      </c>
      <c r="U6122" s="5" t="s">
        <v>19976</v>
      </c>
      <c r="V6122" s="5" t="s">
        <v>19976</v>
      </c>
      <c r="W6122" s="5" t="s">
        <v>67</v>
      </c>
      <c r="X6122" s="5" t="s">
        <v>67</v>
      </c>
      <c r="Y6122" s="4">
        <v>52</v>
      </c>
      <c r="Z6122" s="4">
        <v>4</v>
      </c>
      <c r="AA6122" s="4">
        <v>7</v>
      </c>
      <c r="AB6122" s="4">
        <v>1</v>
      </c>
      <c r="AC6122" s="4">
        <v>3</v>
      </c>
      <c r="AD6122" s="4">
        <v>16</v>
      </c>
      <c r="AE6122" s="4">
        <v>26</v>
      </c>
      <c r="AF6122" s="4">
        <v>0</v>
      </c>
      <c r="AG6122" s="4">
        <v>2</v>
      </c>
      <c r="AH6122" s="4">
        <v>16</v>
      </c>
      <c r="AI6122" s="4">
        <v>24</v>
      </c>
      <c r="AJ6122" s="4">
        <v>3</v>
      </c>
      <c r="AK6122" s="4">
        <v>6</v>
      </c>
      <c r="AL6122" s="4">
        <v>10</v>
      </c>
      <c r="AM6122" s="4">
        <v>15</v>
      </c>
      <c r="AN6122" s="4">
        <v>0</v>
      </c>
      <c r="AO6122" s="4">
        <v>0</v>
      </c>
      <c r="AP6122" s="4">
        <v>3</v>
      </c>
      <c r="AQ6122" s="4">
        <v>5</v>
      </c>
      <c r="AR6122" s="3" t="s">
        <v>62</v>
      </c>
      <c r="AS6122" s="3" t="s">
        <v>62</v>
      </c>
      <c r="AT6122" s="3" t="s">
        <v>62</v>
      </c>
      <c r="AV6122" s="6" t="str">
        <f>HYPERLINK("http://mcgill.on.worldcat.org/oclc/49318991","Catalog Record")</f>
        <v>Catalog Record</v>
      </c>
      <c r="AW6122" s="6" t="str">
        <f>HYPERLINK("http://www.worldcat.org/oclc/49318991","WorldCat Record")</f>
        <v>WorldCat Record</v>
      </c>
      <c r="AX6122" s="3" t="s">
        <v>58938</v>
      </c>
      <c r="AY6122" s="3" t="s">
        <v>58939</v>
      </c>
      <c r="AZ6122" s="3" t="s">
        <v>58940</v>
      </c>
      <c r="BA6122" s="3" t="s">
        <v>58940</v>
      </c>
      <c r="BB6122" s="3" t="s">
        <v>58941</v>
      </c>
      <c r="BC6122" s="3" t="s">
        <v>142</v>
      </c>
      <c r="BD6122" s="3" t="s">
        <v>68</v>
      </c>
      <c r="BE6122" s="3" t="s">
        <v>58942</v>
      </c>
      <c r="BF6122" s="3" t="s">
        <v>58941</v>
      </c>
      <c r="BG6122" s="3" t="s">
        <v>58943</v>
      </c>
    </row>
    <row r="6123" spans="1:59" ht="57" x14ac:dyDescent="0.45">
      <c r="A6123" s="2" t="s">
        <v>59</v>
      </c>
      <c r="B6123" s="2" t="s">
        <v>60</v>
      </c>
      <c r="C6123" s="2" t="s">
        <v>58944</v>
      </c>
      <c r="D6123" s="2" t="s">
        <v>58945</v>
      </c>
      <c r="E6123" s="2" t="s">
        <v>58946</v>
      </c>
      <c r="G6123" s="3" t="s">
        <v>62</v>
      </c>
      <c r="H6123" s="3" t="s">
        <v>3960</v>
      </c>
      <c r="I6123" s="3" t="s">
        <v>62</v>
      </c>
      <c r="J6123" s="3" t="s">
        <v>62</v>
      </c>
      <c r="K6123" s="3" t="s">
        <v>63</v>
      </c>
      <c r="L6123" s="2" t="s">
        <v>58947</v>
      </c>
      <c r="M6123" s="2" t="s">
        <v>47711</v>
      </c>
      <c r="N6123" s="3" t="s">
        <v>894</v>
      </c>
      <c r="P6123" s="3" t="s">
        <v>65</v>
      </c>
      <c r="Q6123" s="2" t="s">
        <v>58948</v>
      </c>
      <c r="R6123" s="3" t="s">
        <v>66</v>
      </c>
      <c r="S6123" s="4">
        <v>0</v>
      </c>
      <c r="T6123" s="4">
        <v>0</v>
      </c>
      <c r="W6123" s="5" t="s">
        <v>15705</v>
      </c>
      <c r="X6123" s="5" t="s">
        <v>15705</v>
      </c>
      <c r="Y6123" s="4">
        <v>125</v>
      </c>
      <c r="Z6123" s="4">
        <v>8</v>
      </c>
      <c r="AA6123" s="4">
        <v>97</v>
      </c>
      <c r="AB6123" s="4">
        <v>1</v>
      </c>
      <c r="AC6123" s="4">
        <v>21</v>
      </c>
      <c r="AD6123" s="4">
        <v>55</v>
      </c>
      <c r="AE6123" s="4">
        <v>126</v>
      </c>
      <c r="AF6123" s="4">
        <v>0</v>
      </c>
      <c r="AG6123" s="4">
        <v>8</v>
      </c>
      <c r="AH6123" s="4">
        <v>53</v>
      </c>
      <c r="AI6123" s="4">
        <v>89</v>
      </c>
      <c r="AJ6123" s="4">
        <v>6</v>
      </c>
      <c r="AK6123" s="4">
        <v>23</v>
      </c>
      <c r="AL6123" s="4">
        <v>32</v>
      </c>
      <c r="AM6123" s="4">
        <v>49</v>
      </c>
      <c r="AN6123" s="4">
        <v>0</v>
      </c>
      <c r="AO6123" s="4">
        <v>0</v>
      </c>
      <c r="AP6123" s="4">
        <v>6</v>
      </c>
      <c r="AQ6123" s="4">
        <v>46</v>
      </c>
      <c r="AR6123" s="3" t="s">
        <v>62</v>
      </c>
      <c r="AS6123" s="3" t="s">
        <v>62</v>
      </c>
      <c r="AT6123" s="3" t="s">
        <v>62</v>
      </c>
      <c r="AV6123" s="6" t="str">
        <f>HYPERLINK("http://mcgill.on.worldcat.org/oclc/702357875","Catalog Record")</f>
        <v>Catalog Record</v>
      </c>
      <c r="AW6123" s="6" t="str">
        <f>HYPERLINK("http://www.worldcat.org/oclc/702357875","WorldCat Record")</f>
        <v>WorldCat Record</v>
      </c>
      <c r="AX6123" s="3" t="s">
        <v>58949</v>
      </c>
      <c r="AY6123" s="3" t="s">
        <v>58950</v>
      </c>
      <c r="AZ6123" s="3" t="s">
        <v>58951</v>
      </c>
      <c r="BA6123" s="3" t="s">
        <v>58951</v>
      </c>
      <c r="BB6123" s="3" t="s">
        <v>58952</v>
      </c>
      <c r="BC6123" s="3" t="s">
        <v>142</v>
      </c>
      <c r="BD6123" s="3" t="s">
        <v>68</v>
      </c>
      <c r="BE6123" s="3" t="s">
        <v>58953</v>
      </c>
      <c r="BF6123" s="3" t="s">
        <v>58952</v>
      </c>
      <c r="BG6123" s="3" t="s">
        <v>58954</v>
      </c>
    </row>
    <row r="6124" spans="1:59" ht="57" x14ac:dyDescent="0.45">
      <c r="A6124" s="2" t="s">
        <v>59</v>
      </c>
      <c r="B6124" s="2" t="s">
        <v>60</v>
      </c>
      <c r="C6124" s="2" t="s">
        <v>58955</v>
      </c>
      <c r="D6124" s="2" t="s">
        <v>58956</v>
      </c>
      <c r="E6124" s="2" t="s">
        <v>58957</v>
      </c>
      <c r="G6124" s="3" t="s">
        <v>62</v>
      </c>
      <c r="I6124" s="3" t="s">
        <v>62</v>
      </c>
      <c r="J6124" s="3" t="s">
        <v>62</v>
      </c>
      <c r="K6124" s="3" t="s">
        <v>63</v>
      </c>
      <c r="M6124" s="2" t="s">
        <v>6056</v>
      </c>
      <c r="N6124" s="3" t="s">
        <v>945</v>
      </c>
      <c r="P6124" s="3" t="s">
        <v>65</v>
      </c>
      <c r="Q6124" s="2" t="s">
        <v>58958</v>
      </c>
      <c r="R6124" s="3" t="s">
        <v>66</v>
      </c>
      <c r="S6124" s="4">
        <v>10</v>
      </c>
      <c r="T6124" s="4">
        <v>10</v>
      </c>
      <c r="U6124" s="5" t="s">
        <v>13746</v>
      </c>
      <c r="V6124" s="5" t="s">
        <v>13746</v>
      </c>
      <c r="W6124" s="5" t="s">
        <v>67</v>
      </c>
      <c r="X6124" s="5" t="s">
        <v>67</v>
      </c>
      <c r="Y6124" s="4">
        <v>95</v>
      </c>
      <c r="Z6124" s="4">
        <v>10</v>
      </c>
      <c r="AA6124" s="4">
        <v>96</v>
      </c>
      <c r="AB6124" s="4">
        <v>2</v>
      </c>
      <c r="AC6124" s="4">
        <v>17</v>
      </c>
      <c r="AD6124" s="4">
        <v>34</v>
      </c>
      <c r="AE6124" s="4">
        <v>118</v>
      </c>
      <c r="AF6124" s="4">
        <v>1</v>
      </c>
      <c r="AG6124" s="4">
        <v>8</v>
      </c>
      <c r="AH6124" s="4">
        <v>30</v>
      </c>
      <c r="AI6124" s="4">
        <v>81</v>
      </c>
      <c r="AJ6124" s="4">
        <v>6</v>
      </c>
      <c r="AK6124" s="4">
        <v>21</v>
      </c>
      <c r="AL6124" s="4">
        <v>20</v>
      </c>
      <c r="AM6124" s="4">
        <v>42</v>
      </c>
      <c r="AN6124" s="4">
        <v>0</v>
      </c>
      <c r="AO6124" s="4">
        <v>0</v>
      </c>
      <c r="AP6124" s="4">
        <v>7</v>
      </c>
      <c r="AQ6124" s="4">
        <v>43</v>
      </c>
      <c r="AR6124" s="3" t="s">
        <v>62</v>
      </c>
      <c r="AS6124" s="3" t="s">
        <v>62</v>
      </c>
      <c r="AT6124" s="3" t="s">
        <v>62</v>
      </c>
      <c r="AV6124" s="6" t="str">
        <f>HYPERLINK("http://mcgill.on.worldcat.org/oclc/85830869","Catalog Record")</f>
        <v>Catalog Record</v>
      </c>
      <c r="AW6124" s="6" t="str">
        <f>HYPERLINK("http://www.worldcat.org/oclc/85830869","WorldCat Record")</f>
        <v>WorldCat Record</v>
      </c>
      <c r="AX6124" s="3" t="s">
        <v>58959</v>
      </c>
      <c r="AY6124" s="3" t="s">
        <v>58960</v>
      </c>
      <c r="AZ6124" s="3" t="s">
        <v>58961</v>
      </c>
      <c r="BA6124" s="3" t="s">
        <v>58961</v>
      </c>
      <c r="BB6124" s="3" t="s">
        <v>58962</v>
      </c>
      <c r="BC6124" s="3" t="s">
        <v>142</v>
      </c>
      <c r="BD6124" s="3" t="s">
        <v>68</v>
      </c>
      <c r="BE6124" s="3" t="s">
        <v>58963</v>
      </c>
      <c r="BF6124" s="3" t="s">
        <v>58962</v>
      </c>
      <c r="BG6124" s="3" t="s">
        <v>58964</v>
      </c>
    </row>
    <row r="6125" spans="1:59" ht="57" x14ac:dyDescent="0.45">
      <c r="A6125" s="2" t="s">
        <v>59</v>
      </c>
      <c r="B6125" s="2" t="s">
        <v>60</v>
      </c>
      <c r="C6125" s="2" t="s">
        <v>58965</v>
      </c>
      <c r="D6125" s="2" t="s">
        <v>58966</v>
      </c>
      <c r="E6125" s="2" t="s">
        <v>58967</v>
      </c>
      <c r="G6125" s="3" t="s">
        <v>62</v>
      </c>
      <c r="I6125" s="3" t="s">
        <v>62</v>
      </c>
      <c r="J6125" s="3" t="s">
        <v>62</v>
      </c>
      <c r="K6125" s="3" t="s">
        <v>63</v>
      </c>
      <c r="M6125" s="2" t="s">
        <v>58968</v>
      </c>
      <c r="N6125" s="3" t="s">
        <v>116</v>
      </c>
      <c r="P6125" s="3" t="s">
        <v>65</v>
      </c>
      <c r="Q6125" s="2" t="s">
        <v>58969</v>
      </c>
      <c r="R6125" s="3" t="s">
        <v>66</v>
      </c>
      <c r="S6125" s="4">
        <v>2</v>
      </c>
      <c r="T6125" s="4">
        <v>2</v>
      </c>
      <c r="U6125" s="5" t="s">
        <v>34673</v>
      </c>
      <c r="V6125" s="5" t="s">
        <v>34673</v>
      </c>
      <c r="W6125" s="5" t="s">
        <v>67</v>
      </c>
      <c r="X6125" s="5" t="s">
        <v>67</v>
      </c>
      <c r="Y6125" s="4">
        <v>29</v>
      </c>
      <c r="Z6125" s="4">
        <v>3</v>
      </c>
      <c r="AA6125" s="4">
        <v>3</v>
      </c>
      <c r="AB6125" s="4">
        <v>1</v>
      </c>
      <c r="AC6125" s="4">
        <v>1</v>
      </c>
      <c r="AD6125" s="4">
        <v>14</v>
      </c>
      <c r="AE6125" s="4">
        <v>14</v>
      </c>
      <c r="AF6125" s="4">
        <v>0</v>
      </c>
      <c r="AG6125" s="4">
        <v>0</v>
      </c>
      <c r="AH6125" s="4">
        <v>14</v>
      </c>
      <c r="AI6125" s="4">
        <v>14</v>
      </c>
      <c r="AJ6125" s="4">
        <v>2</v>
      </c>
      <c r="AK6125" s="4">
        <v>2</v>
      </c>
      <c r="AL6125" s="4">
        <v>8</v>
      </c>
      <c r="AM6125" s="4">
        <v>8</v>
      </c>
      <c r="AN6125" s="4">
        <v>0</v>
      </c>
      <c r="AO6125" s="4">
        <v>0</v>
      </c>
      <c r="AP6125" s="4">
        <v>2</v>
      </c>
      <c r="AQ6125" s="4">
        <v>2</v>
      </c>
      <c r="AR6125" s="3" t="s">
        <v>62</v>
      </c>
      <c r="AS6125" s="3" t="s">
        <v>62</v>
      </c>
      <c r="AT6125" s="3" t="s">
        <v>62</v>
      </c>
      <c r="AV6125" s="6" t="str">
        <f>HYPERLINK("http://mcgill.on.worldcat.org/oclc/852787711","Catalog Record")</f>
        <v>Catalog Record</v>
      </c>
      <c r="AW6125" s="6" t="str">
        <f>HYPERLINK("http://www.worldcat.org/oclc/852787711","WorldCat Record")</f>
        <v>WorldCat Record</v>
      </c>
      <c r="AX6125" s="3" t="s">
        <v>58970</v>
      </c>
      <c r="AY6125" s="3" t="s">
        <v>58971</v>
      </c>
      <c r="AZ6125" s="3" t="s">
        <v>58972</v>
      </c>
      <c r="BA6125" s="3" t="s">
        <v>58972</v>
      </c>
      <c r="BB6125" s="3" t="s">
        <v>58973</v>
      </c>
      <c r="BC6125" s="3" t="s">
        <v>142</v>
      </c>
      <c r="BD6125" s="3" t="s">
        <v>68</v>
      </c>
      <c r="BE6125" s="3" t="s">
        <v>58974</v>
      </c>
      <c r="BF6125" s="3" t="s">
        <v>58973</v>
      </c>
      <c r="BG6125" s="3" t="s">
        <v>58975</v>
      </c>
    </row>
    <row r="6126" spans="1:59" ht="71.25" x14ac:dyDescent="0.45">
      <c r="A6126" s="2" t="s">
        <v>59</v>
      </c>
      <c r="B6126" s="2" t="s">
        <v>60</v>
      </c>
      <c r="C6126" s="2" t="s">
        <v>58976</v>
      </c>
      <c r="D6126" s="2" t="s">
        <v>58977</v>
      </c>
      <c r="E6126" s="2" t="s">
        <v>58978</v>
      </c>
      <c r="G6126" s="3" t="s">
        <v>62</v>
      </c>
      <c r="I6126" s="3" t="s">
        <v>62</v>
      </c>
      <c r="J6126" s="3" t="s">
        <v>62</v>
      </c>
      <c r="K6126" s="3" t="s">
        <v>63</v>
      </c>
      <c r="M6126" s="2" t="s">
        <v>2871</v>
      </c>
      <c r="N6126" s="3" t="s">
        <v>149</v>
      </c>
      <c r="P6126" s="3" t="s">
        <v>65</v>
      </c>
      <c r="R6126" s="3" t="s">
        <v>66</v>
      </c>
      <c r="S6126" s="4">
        <v>0</v>
      </c>
      <c r="T6126" s="4">
        <v>0</v>
      </c>
      <c r="W6126" s="5" t="s">
        <v>67</v>
      </c>
      <c r="X6126" s="5" t="s">
        <v>67</v>
      </c>
      <c r="Y6126" s="4">
        <v>49</v>
      </c>
      <c r="Z6126" s="4">
        <v>5</v>
      </c>
      <c r="AA6126" s="4">
        <v>71</v>
      </c>
      <c r="AB6126" s="4">
        <v>1</v>
      </c>
      <c r="AC6126" s="4">
        <v>14</v>
      </c>
      <c r="AD6126" s="4">
        <v>21</v>
      </c>
      <c r="AE6126" s="4">
        <v>87</v>
      </c>
      <c r="AF6126" s="4">
        <v>0</v>
      </c>
      <c r="AG6126" s="4">
        <v>8</v>
      </c>
      <c r="AH6126" s="4">
        <v>21</v>
      </c>
      <c r="AI6126" s="4">
        <v>57</v>
      </c>
      <c r="AJ6126" s="4">
        <v>4</v>
      </c>
      <c r="AK6126" s="4">
        <v>16</v>
      </c>
      <c r="AL6126" s="4">
        <v>14</v>
      </c>
      <c r="AM6126" s="4">
        <v>32</v>
      </c>
      <c r="AN6126" s="4">
        <v>0</v>
      </c>
      <c r="AO6126" s="4">
        <v>0</v>
      </c>
      <c r="AP6126" s="4">
        <v>4</v>
      </c>
      <c r="AQ6126" s="4">
        <v>36</v>
      </c>
      <c r="AR6126" s="3" t="s">
        <v>62</v>
      </c>
      <c r="AS6126" s="3" t="s">
        <v>62</v>
      </c>
      <c r="AT6126" s="3" t="s">
        <v>62</v>
      </c>
      <c r="AV6126" s="6" t="str">
        <f>HYPERLINK("http://mcgill.on.worldcat.org/oclc/636921434","Catalog Record")</f>
        <v>Catalog Record</v>
      </c>
      <c r="AW6126" s="6" t="str">
        <f>HYPERLINK("http://www.worldcat.org/oclc/636921434","WorldCat Record")</f>
        <v>WorldCat Record</v>
      </c>
      <c r="AX6126" s="3" t="s">
        <v>58979</v>
      </c>
      <c r="AY6126" s="3" t="s">
        <v>58980</v>
      </c>
      <c r="AZ6126" s="3" t="s">
        <v>58981</v>
      </c>
      <c r="BA6126" s="3" t="s">
        <v>58981</v>
      </c>
      <c r="BB6126" s="3" t="s">
        <v>58982</v>
      </c>
      <c r="BC6126" s="3" t="s">
        <v>142</v>
      </c>
      <c r="BD6126" s="3" t="s">
        <v>68</v>
      </c>
      <c r="BE6126" s="3" t="s">
        <v>58983</v>
      </c>
      <c r="BF6126" s="3" t="s">
        <v>58982</v>
      </c>
      <c r="BG6126" s="3" t="s">
        <v>58984</v>
      </c>
    </row>
    <row r="6127" spans="1:59" ht="57" x14ac:dyDescent="0.45">
      <c r="A6127" s="2" t="s">
        <v>59</v>
      </c>
      <c r="B6127" s="2" t="s">
        <v>60</v>
      </c>
      <c r="C6127" s="2" t="s">
        <v>58985</v>
      </c>
      <c r="D6127" s="2" t="s">
        <v>58986</v>
      </c>
      <c r="E6127" s="2" t="s">
        <v>58987</v>
      </c>
      <c r="G6127" s="3" t="s">
        <v>62</v>
      </c>
      <c r="I6127" s="3" t="s">
        <v>62</v>
      </c>
      <c r="J6127" s="3" t="s">
        <v>62</v>
      </c>
      <c r="K6127" s="3" t="s">
        <v>63</v>
      </c>
      <c r="M6127" s="2" t="s">
        <v>969</v>
      </c>
      <c r="N6127" s="3" t="s">
        <v>970</v>
      </c>
      <c r="P6127" s="3" t="s">
        <v>65</v>
      </c>
      <c r="Q6127" s="2" t="s">
        <v>58988</v>
      </c>
      <c r="R6127" s="3" t="s">
        <v>66</v>
      </c>
      <c r="S6127" s="4">
        <v>9</v>
      </c>
      <c r="T6127" s="4">
        <v>9</v>
      </c>
      <c r="U6127" s="5" t="s">
        <v>4940</v>
      </c>
      <c r="V6127" s="5" t="s">
        <v>4940</v>
      </c>
      <c r="W6127" s="5" t="s">
        <v>67</v>
      </c>
      <c r="X6127" s="5" t="s">
        <v>67</v>
      </c>
      <c r="Y6127" s="4">
        <v>216</v>
      </c>
      <c r="Z6127" s="4">
        <v>10</v>
      </c>
      <c r="AA6127" s="4">
        <v>13</v>
      </c>
      <c r="AB6127" s="4">
        <v>1</v>
      </c>
      <c r="AC6127" s="4">
        <v>3</v>
      </c>
      <c r="AD6127" s="4">
        <v>46</v>
      </c>
      <c r="AE6127" s="4">
        <v>51</v>
      </c>
      <c r="AF6127" s="4">
        <v>0</v>
      </c>
      <c r="AG6127" s="4">
        <v>2</v>
      </c>
      <c r="AH6127" s="4">
        <v>44</v>
      </c>
      <c r="AI6127" s="4">
        <v>47</v>
      </c>
      <c r="AJ6127" s="4">
        <v>8</v>
      </c>
      <c r="AK6127" s="4">
        <v>10</v>
      </c>
      <c r="AL6127" s="4">
        <v>29</v>
      </c>
      <c r="AM6127" s="4">
        <v>31</v>
      </c>
      <c r="AN6127" s="4">
        <v>0</v>
      </c>
      <c r="AO6127" s="4">
        <v>0</v>
      </c>
      <c r="AP6127" s="4">
        <v>8</v>
      </c>
      <c r="AQ6127" s="4">
        <v>10</v>
      </c>
      <c r="AR6127" s="3" t="s">
        <v>62</v>
      </c>
      <c r="AS6127" s="3" t="s">
        <v>62</v>
      </c>
      <c r="AT6127" s="3" t="s">
        <v>62</v>
      </c>
      <c r="AV6127" s="6" t="str">
        <f>HYPERLINK("http://mcgill.on.worldcat.org/oclc/47971833","Catalog Record")</f>
        <v>Catalog Record</v>
      </c>
      <c r="AW6127" s="6" t="str">
        <f>HYPERLINK("http://www.worldcat.org/oclc/47971833","WorldCat Record")</f>
        <v>WorldCat Record</v>
      </c>
      <c r="AX6127" s="3" t="s">
        <v>58989</v>
      </c>
      <c r="AY6127" s="3" t="s">
        <v>58990</v>
      </c>
      <c r="AZ6127" s="3" t="s">
        <v>58991</v>
      </c>
      <c r="BA6127" s="3" t="s">
        <v>58991</v>
      </c>
      <c r="BB6127" s="3" t="s">
        <v>58992</v>
      </c>
      <c r="BC6127" s="3" t="s">
        <v>142</v>
      </c>
      <c r="BD6127" s="3" t="s">
        <v>68</v>
      </c>
      <c r="BE6127" s="3" t="s">
        <v>58993</v>
      </c>
      <c r="BF6127" s="3" t="s">
        <v>58992</v>
      </c>
      <c r="BG6127" s="3" t="s">
        <v>58994</v>
      </c>
    </row>
    <row r="6128" spans="1:59" ht="57" x14ac:dyDescent="0.45">
      <c r="A6128" s="2" t="s">
        <v>59</v>
      </c>
      <c r="B6128" s="2" t="s">
        <v>60</v>
      </c>
      <c r="C6128" s="2" t="s">
        <v>58995</v>
      </c>
      <c r="D6128" s="2" t="s">
        <v>58996</v>
      </c>
      <c r="E6128" s="2" t="s">
        <v>58997</v>
      </c>
      <c r="G6128" s="3" t="s">
        <v>62</v>
      </c>
      <c r="I6128" s="3" t="s">
        <v>62</v>
      </c>
      <c r="J6128" s="3" t="s">
        <v>62</v>
      </c>
      <c r="K6128" s="3" t="s">
        <v>63</v>
      </c>
      <c r="L6128" s="2" t="s">
        <v>58998</v>
      </c>
      <c r="M6128" s="2" t="s">
        <v>58999</v>
      </c>
      <c r="N6128" s="3" t="s">
        <v>116</v>
      </c>
      <c r="O6128" s="2" t="s">
        <v>3280</v>
      </c>
      <c r="P6128" s="3" t="s">
        <v>65</v>
      </c>
      <c r="Q6128" s="2" t="s">
        <v>59000</v>
      </c>
      <c r="R6128" s="3" t="s">
        <v>66</v>
      </c>
      <c r="S6128" s="4">
        <v>1</v>
      </c>
      <c r="T6128" s="4">
        <v>1</v>
      </c>
      <c r="W6128" s="5" t="s">
        <v>2846</v>
      </c>
      <c r="X6128" s="5" t="s">
        <v>2846</v>
      </c>
      <c r="Y6128" s="4">
        <v>20</v>
      </c>
      <c r="Z6128" s="4">
        <v>1</v>
      </c>
      <c r="AA6128" s="4">
        <v>3</v>
      </c>
      <c r="AB6128" s="4">
        <v>1</v>
      </c>
      <c r="AC6128" s="4">
        <v>3</v>
      </c>
      <c r="AD6128" s="4">
        <v>8</v>
      </c>
      <c r="AE6128" s="4">
        <v>10</v>
      </c>
      <c r="AF6128" s="4">
        <v>0</v>
      </c>
      <c r="AG6128" s="4">
        <v>1</v>
      </c>
      <c r="AH6128" s="4">
        <v>8</v>
      </c>
      <c r="AI6128" s="4">
        <v>9</v>
      </c>
      <c r="AJ6128" s="4">
        <v>0</v>
      </c>
      <c r="AK6128" s="4">
        <v>1</v>
      </c>
      <c r="AL6128" s="4">
        <v>4</v>
      </c>
      <c r="AM6128" s="4">
        <v>5</v>
      </c>
      <c r="AN6128" s="4">
        <v>0</v>
      </c>
      <c r="AO6128" s="4">
        <v>0</v>
      </c>
      <c r="AP6128" s="4">
        <v>0</v>
      </c>
      <c r="AQ6128" s="4">
        <v>0</v>
      </c>
      <c r="AR6128" s="3" t="s">
        <v>62</v>
      </c>
      <c r="AS6128" s="3" t="s">
        <v>62</v>
      </c>
      <c r="AT6128" s="3" t="s">
        <v>62</v>
      </c>
      <c r="AV6128" s="6" t="str">
        <f>HYPERLINK("http://mcgill.on.worldcat.org/oclc/843539931","Catalog Record")</f>
        <v>Catalog Record</v>
      </c>
      <c r="AW6128" s="6" t="str">
        <f>HYPERLINK("http://www.worldcat.org/oclc/843539931","WorldCat Record")</f>
        <v>WorldCat Record</v>
      </c>
      <c r="AX6128" s="3" t="s">
        <v>59001</v>
      </c>
      <c r="AY6128" s="3" t="s">
        <v>59002</v>
      </c>
      <c r="AZ6128" s="3" t="s">
        <v>59003</v>
      </c>
      <c r="BA6128" s="3" t="s">
        <v>59003</v>
      </c>
      <c r="BB6128" s="3" t="s">
        <v>59004</v>
      </c>
      <c r="BC6128" s="3" t="s">
        <v>142</v>
      </c>
      <c r="BD6128" s="3" t="s">
        <v>308</v>
      </c>
      <c r="BE6128" s="3" t="s">
        <v>59005</v>
      </c>
      <c r="BF6128" s="3" t="s">
        <v>59004</v>
      </c>
      <c r="BG6128" s="3" t="s">
        <v>59006</v>
      </c>
    </row>
    <row r="6129" spans="1:59" ht="57" x14ac:dyDescent="0.45">
      <c r="A6129" s="2" t="s">
        <v>59</v>
      </c>
      <c r="B6129" s="2" t="s">
        <v>60</v>
      </c>
      <c r="C6129" s="2" t="s">
        <v>59007</v>
      </c>
      <c r="D6129" s="2" t="s">
        <v>59008</v>
      </c>
      <c r="E6129" s="2" t="s">
        <v>59009</v>
      </c>
      <c r="G6129" s="3" t="s">
        <v>62</v>
      </c>
      <c r="I6129" s="3" t="s">
        <v>62</v>
      </c>
      <c r="J6129" s="3" t="s">
        <v>62</v>
      </c>
      <c r="K6129" s="3" t="s">
        <v>63</v>
      </c>
      <c r="M6129" s="2" t="s">
        <v>59010</v>
      </c>
      <c r="N6129" s="3" t="s">
        <v>555</v>
      </c>
      <c r="P6129" s="3" t="s">
        <v>4829</v>
      </c>
      <c r="R6129" s="3" t="s">
        <v>66</v>
      </c>
      <c r="S6129" s="4">
        <v>2</v>
      </c>
      <c r="T6129" s="4">
        <v>2</v>
      </c>
      <c r="U6129" s="5" t="s">
        <v>33227</v>
      </c>
      <c r="V6129" s="5" t="s">
        <v>33227</v>
      </c>
      <c r="W6129" s="5" t="s">
        <v>67</v>
      </c>
      <c r="X6129" s="5" t="s">
        <v>67</v>
      </c>
      <c r="Y6129" s="4">
        <v>41</v>
      </c>
      <c r="Z6129" s="4">
        <v>4</v>
      </c>
      <c r="AA6129" s="4">
        <v>7</v>
      </c>
      <c r="AB6129" s="4">
        <v>1</v>
      </c>
      <c r="AC6129" s="4">
        <v>1</v>
      </c>
      <c r="AD6129" s="4">
        <v>31</v>
      </c>
      <c r="AE6129" s="4">
        <v>33</v>
      </c>
      <c r="AF6129" s="4">
        <v>0</v>
      </c>
      <c r="AG6129" s="4">
        <v>0</v>
      </c>
      <c r="AH6129" s="4">
        <v>29</v>
      </c>
      <c r="AI6129" s="4">
        <v>31</v>
      </c>
      <c r="AJ6129" s="4">
        <v>3</v>
      </c>
      <c r="AK6129" s="4">
        <v>5</v>
      </c>
      <c r="AL6129" s="4">
        <v>23</v>
      </c>
      <c r="AM6129" s="4">
        <v>24</v>
      </c>
      <c r="AN6129" s="4">
        <v>0</v>
      </c>
      <c r="AO6129" s="4">
        <v>0</v>
      </c>
      <c r="AP6129" s="4">
        <v>3</v>
      </c>
      <c r="AQ6129" s="4">
        <v>5</v>
      </c>
      <c r="AR6129" s="3" t="s">
        <v>62</v>
      </c>
      <c r="AS6129" s="3" t="s">
        <v>62</v>
      </c>
      <c r="AT6129" s="3" t="s">
        <v>61</v>
      </c>
      <c r="AU6129" s="6" t="str">
        <f>HYPERLINK("http://catalog.hathitrust.org/Record/001436191","HathiTrust Record")</f>
        <v>HathiTrust Record</v>
      </c>
      <c r="AV6129" s="6" t="str">
        <f>HYPERLINK("http://mcgill.on.worldcat.org/oclc/6750098","Catalog Record")</f>
        <v>Catalog Record</v>
      </c>
      <c r="AW6129" s="6" t="str">
        <f>HYPERLINK("http://www.worldcat.org/oclc/6750098","WorldCat Record")</f>
        <v>WorldCat Record</v>
      </c>
      <c r="AX6129" s="3" t="s">
        <v>59011</v>
      </c>
      <c r="AY6129" s="3" t="s">
        <v>59012</v>
      </c>
      <c r="AZ6129" s="3" t="s">
        <v>59013</v>
      </c>
      <c r="BA6129" s="3" t="s">
        <v>59013</v>
      </c>
      <c r="BB6129" s="3" t="s">
        <v>59014</v>
      </c>
      <c r="BC6129" s="3" t="s">
        <v>142</v>
      </c>
      <c r="BD6129" s="3" t="s">
        <v>68</v>
      </c>
      <c r="BF6129" s="3" t="s">
        <v>59014</v>
      </c>
      <c r="BG6129" s="3" t="s">
        <v>59015</v>
      </c>
    </row>
    <row r="6130" spans="1:59" ht="57" x14ac:dyDescent="0.45">
      <c r="A6130" s="2" t="s">
        <v>59</v>
      </c>
      <c r="B6130" s="2" t="s">
        <v>60</v>
      </c>
      <c r="C6130" s="2" t="s">
        <v>59016</v>
      </c>
      <c r="D6130" s="2" t="s">
        <v>59017</v>
      </c>
      <c r="E6130" s="2" t="s">
        <v>59018</v>
      </c>
      <c r="G6130" s="3" t="s">
        <v>62</v>
      </c>
      <c r="I6130" s="3" t="s">
        <v>62</v>
      </c>
      <c r="J6130" s="3" t="s">
        <v>62</v>
      </c>
      <c r="K6130" s="3" t="s">
        <v>63</v>
      </c>
      <c r="L6130" s="2" t="s">
        <v>59019</v>
      </c>
      <c r="M6130" s="2" t="s">
        <v>59020</v>
      </c>
      <c r="N6130" s="3" t="s">
        <v>117</v>
      </c>
      <c r="P6130" s="3" t="s">
        <v>4829</v>
      </c>
      <c r="R6130" s="3" t="s">
        <v>66</v>
      </c>
      <c r="S6130" s="4">
        <v>7</v>
      </c>
      <c r="T6130" s="4">
        <v>7</v>
      </c>
      <c r="U6130" s="5" t="s">
        <v>33227</v>
      </c>
      <c r="V6130" s="5" t="s">
        <v>33227</v>
      </c>
      <c r="W6130" s="5" t="s">
        <v>67</v>
      </c>
      <c r="X6130" s="5" t="s">
        <v>67</v>
      </c>
      <c r="Y6130" s="4">
        <v>50</v>
      </c>
      <c r="Z6130" s="4">
        <v>5</v>
      </c>
      <c r="AA6130" s="4">
        <v>5</v>
      </c>
      <c r="AB6130" s="4">
        <v>1</v>
      </c>
      <c r="AC6130" s="4">
        <v>1</v>
      </c>
      <c r="AD6130" s="4">
        <v>33</v>
      </c>
      <c r="AE6130" s="4">
        <v>34</v>
      </c>
      <c r="AF6130" s="4">
        <v>0</v>
      </c>
      <c r="AG6130" s="4">
        <v>0</v>
      </c>
      <c r="AH6130" s="4">
        <v>30</v>
      </c>
      <c r="AI6130" s="4">
        <v>31</v>
      </c>
      <c r="AJ6130" s="4">
        <v>3</v>
      </c>
      <c r="AK6130" s="4">
        <v>3</v>
      </c>
      <c r="AL6130" s="4">
        <v>25</v>
      </c>
      <c r="AM6130" s="4">
        <v>26</v>
      </c>
      <c r="AN6130" s="4">
        <v>0</v>
      </c>
      <c r="AO6130" s="4">
        <v>0</v>
      </c>
      <c r="AP6130" s="4">
        <v>3</v>
      </c>
      <c r="AQ6130" s="4">
        <v>3</v>
      </c>
      <c r="AR6130" s="3" t="s">
        <v>62</v>
      </c>
      <c r="AS6130" s="3" t="s">
        <v>62</v>
      </c>
      <c r="AT6130" s="3" t="s">
        <v>61</v>
      </c>
      <c r="AU6130" s="6" t="str">
        <f>HYPERLINK("http://catalog.hathitrust.org/Record/000285468","HathiTrust Record")</f>
        <v>HathiTrust Record</v>
      </c>
      <c r="AV6130" s="6" t="str">
        <f>HYPERLINK("http://mcgill.on.worldcat.org/oclc/7796256","Catalog Record")</f>
        <v>Catalog Record</v>
      </c>
      <c r="AW6130" s="6" t="str">
        <f>HYPERLINK("http://www.worldcat.org/oclc/7796256","WorldCat Record")</f>
        <v>WorldCat Record</v>
      </c>
      <c r="AX6130" s="3" t="s">
        <v>59021</v>
      </c>
      <c r="AY6130" s="3" t="s">
        <v>59022</v>
      </c>
      <c r="AZ6130" s="3" t="s">
        <v>59023</v>
      </c>
      <c r="BA6130" s="3" t="s">
        <v>59023</v>
      </c>
      <c r="BB6130" s="3" t="s">
        <v>59024</v>
      </c>
      <c r="BC6130" s="3" t="s">
        <v>142</v>
      </c>
      <c r="BD6130" s="3" t="s">
        <v>68</v>
      </c>
      <c r="BF6130" s="3" t="s">
        <v>59024</v>
      </c>
      <c r="BG6130" s="3" t="s">
        <v>59025</v>
      </c>
    </row>
    <row r="6131" spans="1:59" ht="57" x14ac:dyDescent="0.45">
      <c r="A6131" s="2" t="s">
        <v>59</v>
      </c>
      <c r="B6131" s="2" t="s">
        <v>60</v>
      </c>
      <c r="C6131" s="2" t="s">
        <v>59026</v>
      </c>
      <c r="D6131" s="2" t="s">
        <v>59027</v>
      </c>
      <c r="E6131" s="2" t="s">
        <v>59028</v>
      </c>
      <c r="G6131" s="3" t="s">
        <v>62</v>
      </c>
      <c r="I6131" s="3" t="s">
        <v>62</v>
      </c>
      <c r="J6131" s="3" t="s">
        <v>61</v>
      </c>
      <c r="K6131" s="3" t="s">
        <v>63</v>
      </c>
      <c r="L6131" s="2" t="s">
        <v>59029</v>
      </c>
      <c r="M6131" s="2" t="s">
        <v>59030</v>
      </c>
      <c r="N6131" s="3" t="s">
        <v>1604</v>
      </c>
      <c r="P6131" s="3" t="s">
        <v>110</v>
      </c>
      <c r="Q6131" s="2" t="s">
        <v>59031</v>
      </c>
      <c r="R6131" s="3" t="s">
        <v>66</v>
      </c>
      <c r="S6131" s="4">
        <v>12</v>
      </c>
      <c r="T6131" s="4">
        <v>12</v>
      </c>
      <c r="U6131" s="5" t="s">
        <v>31633</v>
      </c>
      <c r="V6131" s="5" t="s">
        <v>31633</v>
      </c>
      <c r="W6131" s="5" t="s">
        <v>67</v>
      </c>
      <c r="X6131" s="5" t="s">
        <v>67</v>
      </c>
      <c r="Y6131" s="4">
        <v>42</v>
      </c>
      <c r="Z6131" s="4">
        <v>5</v>
      </c>
      <c r="AA6131" s="4">
        <v>35</v>
      </c>
      <c r="AB6131" s="4">
        <v>2</v>
      </c>
      <c r="AC6131" s="4">
        <v>11</v>
      </c>
      <c r="AD6131" s="4">
        <v>8</v>
      </c>
      <c r="AE6131" s="4">
        <v>50</v>
      </c>
      <c r="AF6131" s="4">
        <v>0</v>
      </c>
      <c r="AG6131" s="4">
        <v>7</v>
      </c>
      <c r="AH6131" s="4">
        <v>6</v>
      </c>
      <c r="AI6131" s="4">
        <v>33</v>
      </c>
      <c r="AJ6131" s="4">
        <v>2</v>
      </c>
      <c r="AK6131" s="4">
        <v>20</v>
      </c>
      <c r="AL6131" s="4">
        <v>4</v>
      </c>
      <c r="AM6131" s="4">
        <v>16</v>
      </c>
      <c r="AN6131" s="4">
        <v>0</v>
      </c>
      <c r="AO6131" s="4">
        <v>0</v>
      </c>
      <c r="AP6131" s="4">
        <v>3</v>
      </c>
      <c r="AQ6131" s="4">
        <v>26</v>
      </c>
      <c r="AR6131" s="3" t="s">
        <v>62</v>
      </c>
      <c r="AS6131" s="3" t="s">
        <v>62</v>
      </c>
      <c r="AT6131" s="3" t="s">
        <v>62</v>
      </c>
      <c r="AV6131" s="6" t="str">
        <f>HYPERLINK("http://mcgill.on.worldcat.org/oclc/37024059","Catalog Record")</f>
        <v>Catalog Record</v>
      </c>
      <c r="AW6131" s="6" t="str">
        <f>HYPERLINK("http://www.worldcat.org/oclc/37024059","WorldCat Record")</f>
        <v>WorldCat Record</v>
      </c>
      <c r="AX6131" s="3" t="s">
        <v>59032</v>
      </c>
      <c r="AY6131" s="3" t="s">
        <v>59033</v>
      </c>
      <c r="AZ6131" s="3" t="s">
        <v>59034</v>
      </c>
      <c r="BA6131" s="3" t="s">
        <v>59034</v>
      </c>
      <c r="BB6131" s="3" t="s">
        <v>59035</v>
      </c>
      <c r="BC6131" s="3" t="s">
        <v>142</v>
      </c>
      <c r="BD6131" s="3" t="s">
        <v>68</v>
      </c>
      <c r="BE6131" s="3" t="s">
        <v>59036</v>
      </c>
      <c r="BF6131" s="3" t="s">
        <v>59035</v>
      </c>
      <c r="BG6131" s="3" t="s">
        <v>59037</v>
      </c>
    </row>
    <row r="6132" spans="1:59" ht="57" x14ac:dyDescent="0.45">
      <c r="A6132" s="2" t="s">
        <v>59</v>
      </c>
      <c r="B6132" s="2" t="s">
        <v>60</v>
      </c>
      <c r="C6132" s="2" t="s">
        <v>59038</v>
      </c>
      <c r="D6132" s="2" t="s">
        <v>59039</v>
      </c>
      <c r="E6132" s="2" t="s">
        <v>59028</v>
      </c>
      <c r="G6132" s="3" t="s">
        <v>62</v>
      </c>
      <c r="I6132" s="3" t="s">
        <v>62</v>
      </c>
      <c r="J6132" s="3" t="s">
        <v>61</v>
      </c>
      <c r="K6132" s="3" t="s">
        <v>63</v>
      </c>
      <c r="L6132" s="2" t="s">
        <v>59029</v>
      </c>
      <c r="M6132" s="2" t="s">
        <v>59040</v>
      </c>
      <c r="N6132" s="3" t="s">
        <v>480</v>
      </c>
      <c r="P6132" s="3" t="s">
        <v>110</v>
      </c>
      <c r="Q6132" s="2" t="s">
        <v>59041</v>
      </c>
      <c r="R6132" s="3" t="s">
        <v>66</v>
      </c>
      <c r="S6132" s="4">
        <v>39</v>
      </c>
      <c r="T6132" s="4">
        <v>39</v>
      </c>
      <c r="U6132" s="5" t="s">
        <v>8270</v>
      </c>
      <c r="V6132" s="5" t="s">
        <v>8270</v>
      </c>
      <c r="W6132" s="5" t="s">
        <v>67</v>
      </c>
      <c r="X6132" s="5" t="s">
        <v>67</v>
      </c>
      <c r="Y6132" s="4">
        <v>113</v>
      </c>
      <c r="Z6132" s="4">
        <v>20</v>
      </c>
      <c r="AA6132" s="4">
        <v>35</v>
      </c>
      <c r="AB6132" s="4">
        <v>3</v>
      </c>
      <c r="AC6132" s="4">
        <v>11</v>
      </c>
      <c r="AD6132" s="4">
        <v>36</v>
      </c>
      <c r="AE6132" s="4">
        <v>50</v>
      </c>
      <c r="AF6132" s="4">
        <v>2</v>
      </c>
      <c r="AG6132" s="4">
        <v>7</v>
      </c>
      <c r="AH6132" s="4">
        <v>26</v>
      </c>
      <c r="AI6132" s="4">
        <v>33</v>
      </c>
      <c r="AJ6132" s="4">
        <v>13</v>
      </c>
      <c r="AK6132" s="4">
        <v>20</v>
      </c>
      <c r="AL6132" s="4">
        <v>12</v>
      </c>
      <c r="AM6132" s="4">
        <v>16</v>
      </c>
      <c r="AN6132" s="4">
        <v>0</v>
      </c>
      <c r="AO6132" s="4">
        <v>0</v>
      </c>
      <c r="AP6132" s="4">
        <v>17</v>
      </c>
      <c r="AQ6132" s="4">
        <v>26</v>
      </c>
      <c r="AR6132" s="3" t="s">
        <v>62</v>
      </c>
      <c r="AS6132" s="3" t="s">
        <v>62</v>
      </c>
      <c r="AT6132" s="3" t="s">
        <v>61</v>
      </c>
      <c r="AU6132" s="6" t="str">
        <f>HYPERLINK("http://catalog.hathitrust.org/Record/007106598","HathiTrust Record")</f>
        <v>HathiTrust Record</v>
      </c>
      <c r="AV6132" s="6" t="str">
        <f>HYPERLINK("http://mcgill.on.worldcat.org/oclc/6280835","Catalog Record")</f>
        <v>Catalog Record</v>
      </c>
      <c r="AW6132" s="6" t="str">
        <f>HYPERLINK("http://www.worldcat.org/oclc/6280835","WorldCat Record")</f>
        <v>WorldCat Record</v>
      </c>
      <c r="AX6132" s="3" t="s">
        <v>59032</v>
      </c>
      <c r="AY6132" s="3" t="s">
        <v>59042</v>
      </c>
      <c r="AZ6132" s="3" t="s">
        <v>59043</v>
      </c>
      <c r="BA6132" s="3" t="s">
        <v>59043</v>
      </c>
      <c r="BB6132" s="3" t="s">
        <v>59044</v>
      </c>
      <c r="BC6132" s="3" t="s">
        <v>142</v>
      </c>
      <c r="BD6132" s="3" t="s">
        <v>68</v>
      </c>
      <c r="BE6132" s="3" t="s">
        <v>59045</v>
      </c>
      <c r="BF6132" s="3" t="s">
        <v>59044</v>
      </c>
      <c r="BG6132" s="3" t="s">
        <v>59046</v>
      </c>
    </row>
    <row r="6133" spans="1:59" ht="57" x14ac:dyDescent="0.45">
      <c r="A6133" s="2" t="s">
        <v>59</v>
      </c>
      <c r="B6133" s="2" t="s">
        <v>60</v>
      </c>
      <c r="C6133" s="2" t="s">
        <v>59047</v>
      </c>
      <c r="D6133" s="2" t="s">
        <v>59048</v>
      </c>
      <c r="E6133" s="2" t="s">
        <v>59049</v>
      </c>
      <c r="G6133" s="3" t="s">
        <v>62</v>
      </c>
      <c r="I6133" s="3" t="s">
        <v>62</v>
      </c>
      <c r="J6133" s="3" t="s">
        <v>62</v>
      </c>
      <c r="K6133" s="3" t="s">
        <v>63</v>
      </c>
      <c r="L6133" s="2" t="s">
        <v>59050</v>
      </c>
      <c r="M6133" s="2" t="s">
        <v>59051</v>
      </c>
      <c r="N6133" s="3" t="s">
        <v>2107</v>
      </c>
      <c r="P6133" s="3" t="s">
        <v>65</v>
      </c>
      <c r="R6133" s="3" t="s">
        <v>66</v>
      </c>
      <c r="S6133" s="4">
        <v>21</v>
      </c>
      <c r="T6133" s="4">
        <v>21</v>
      </c>
      <c r="U6133" s="5" t="s">
        <v>4176</v>
      </c>
      <c r="V6133" s="5" t="s">
        <v>4176</v>
      </c>
      <c r="W6133" s="5" t="s">
        <v>67</v>
      </c>
      <c r="X6133" s="5" t="s">
        <v>67</v>
      </c>
      <c r="Y6133" s="4">
        <v>546</v>
      </c>
      <c r="Z6133" s="4">
        <v>34</v>
      </c>
      <c r="AA6133" s="4">
        <v>44</v>
      </c>
      <c r="AB6133" s="4">
        <v>2</v>
      </c>
      <c r="AC6133" s="4">
        <v>7</v>
      </c>
      <c r="AD6133" s="4">
        <v>106</v>
      </c>
      <c r="AE6133" s="4">
        <v>121</v>
      </c>
      <c r="AF6133" s="4">
        <v>1</v>
      </c>
      <c r="AG6133" s="4">
        <v>5</v>
      </c>
      <c r="AH6133" s="4">
        <v>88</v>
      </c>
      <c r="AI6133" s="4">
        <v>97</v>
      </c>
      <c r="AJ6133" s="4">
        <v>17</v>
      </c>
      <c r="AK6133" s="4">
        <v>21</v>
      </c>
      <c r="AL6133" s="4">
        <v>47</v>
      </c>
      <c r="AM6133" s="4">
        <v>49</v>
      </c>
      <c r="AN6133" s="4">
        <v>0</v>
      </c>
      <c r="AO6133" s="4">
        <v>0</v>
      </c>
      <c r="AP6133" s="4">
        <v>27</v>
      </c>
      <c r="AQ6133" s="4">
        <v>33</v>
      </c>
      <c r="AR6133" s="3" t="s">
        <v>62</v>
      </c>
      <c r="AS6133" s="3" t="s">
        <v>62</v>
      </c>
      <c r="AT6133" s="3" t="s">
        <v>61</v>
      </c>
      <c r="AU6133" s="6" t="str">
        <f>HYPERLINK("http://catalog.hathitrust.org/Record/000609511","HathiTrust Record")</f>
        <v>HathiTrust Record</v>
      </c>
      <c r="AV6133" s="6" t="str">
        <f>HYPERLINK("http://mcgill.on.worldcat.org/oclc/11091449","Catalog Record")</f>
        <v>Catalog Record</v>
      </c>
      <c r="AW6133" s="6" t="str">
        <f>HYPERLINK("http://www.worldcat.org/oclc/11091449","WorldCat Record")</f>
        <v>WorldCat Record</v>
      </c>
      <c r="AX6133" s="3" t="s">
        <v>59052</v>
      </c>
      <c r="AY6133" s="3" t="s">
        <v>59053</v>
      </c>
      <c r="AZ6133" s="3" t="s">
        <v>59054</v>
      </c>
      <c r="BA6133" s="3" t="s">
        <v>59054</v>
      </c>
      <c r="BB6133" s="3" t="s">
        <v>59055</v>
      </c>
      <c r="BC6133" s="3" t="s">
        <v>142</v>
      </c>
      <c r="BD6133" s="3" t="s">
        <v>68</v>
      </c>
      <c r="BE6133" s="3" t="s">
        <v>59056</v>
      </c>
      <c r="BF6133" s="3" t="s">
        <v>59055</v>
      </c>
      <c r="BG6133" s="3" t="s">
        <v>59057</v>
      </c>
    </row>
    <row r="6134" spans="1:59" ht="57" x14ac:dyDescent="0.45">
      <c r="A6134" s="2" t="s">
        <v>59</v>
      </c>
      <c r="B6134" s="2" t="s">
        <v>60</v>
      </c>
      <c r="C6134" s="2" t="s">
        <v>59058</v>
      </c>
      <c r="D6134" s="2" t="s">
        <v>59059</v>
      </c>
      <c r="E6134" s="2" t="s">
        <v>59060</v>
      </c>
      <c r="G6134" s="3" t="s">
        <v>62</v>
      </c>
      <c r="I6134" s="3" t="s">
        <v>62</v>
      </c>
      <c r="J6134" s="3" t="s">
        <v>62</v>
      </c>
      <c r="K6134" s="3" t="s">
        <v>63</v>
      </c>
      <c r="L6134" s="2" t="s">
        <v>59061</v>
      </c>
      <c r="M6134" s="2" t="s">
        <v>59062</v>
      </c>
      <c r="N6134" s="3" t="s">
        <v>918</v>
      </c>
      <c r="P6134" s="3" t="s">
        <v>65</v>
      </c>
      <c r="R6134" s="3" t="s">
        <v>66</v>
      </c>
      <c r="S6134" s="4">
        <v>8</v>
      </c>
      <c r="T6134" s="4">
        <v>8</v>
      </c>
      <c r="U6134" s="5" t="s">
        <v>38630</v>
      </c>
      <c r="V6134" s="5" t="s">
        <v>38630</v>
      </c>
      <c r="W6134" s="5" t="s">
        <v>67</v>
      </c>
      <c r="X6134" s="5" t="s">
        <v>67</v>
      </c>
      <c r="Y6134" s="4">
        <v>91</v>
      </c>
      <c r="Z6134" s="4">
        <v>4</v>
      </c>
      <c r="AA6134" s="4">
        <v>69</v>
      </c>
      <c r="AB6134" s="4">
        <v>1</v>
      </c>
      <c r="AC6134" s="4">
        <v>15</v>
      </c>
      <c r="AD6134" s="4">
        <v>19</v>
      </c>
      <c r="AE6134" s="4">
        <v>95</v>
      </c>
      <c r="AF6134" s="4">
        <v>0</v>
      </c>
      <c r="AG6134" s="4">
        <v>8</v>
      </c>
      <c r="AH6134" s="4">
        <v>17</v>
      </c>
      <c r="AI6134" s="4">
        <v>64</v>
      </c>
      <c r="AJ6134" s="4">
        <v>2</v>
      </c>
      <c r="AK6134" s="4">
        <v>19</v>
      </c>
      <c r="AL6134" s="4">
        <v>14</v>
      </c>
      <c r="AM6134" s="4">
        <v>36</v>
      </c>
      <c r="AN6134" s="4">
        <v>0</v>
      </c>
      <c r="AO6134" s="4">
        <v>0</v>
      </c>
      <c r="AP6134" s="4">
        <v>2</v>
      </c>
      <c r="AQ6134" s="4">
        <v>35</v>
      </c>
      <c r="AR6134" s="3" t="s">
        <v>62</v>
      </c>
      <c r="AS6134" s="3" t="s">
        <v>62</v>
      </c>
      <c r="AT6134" s="3" t="s">
        <v>62</v>
      </c>
      <c r="AV6134" s="6" t="str">
        <f>HYPERLINK("http://mcgill.on.worldcat.org/oclc/51389060","Catalog Record")</f>
        <v>Catalog Record</v>
      </c>
      <c r="AW6134" s="6" t="str">
        <f>HYPERLINK("http://www.worldcat.org/oclc/51389060","WorldCat Record")</f>
        <v>WorldCat Record</v>
      </c>
      <c r="AX6134" s="3" t="s">
        <v>59063</v>
      </c>
      <c r="AY6134" s="3" t="s">
        <v>59064</v>
      </c>
      <c r="AZ6134" s="3" t="s">
        <v>59065</v>
      </c>
      <c r="BA6134" s="3" t="s">
        <v>59065</v>
      </c>
      <c r="BB6134" s="3" t="s">
        <v>59066</v>
      </c>
      <c r="BC6134" s="3" t="s">
        <v>142</v>
      </c>
      <c r="BD6134" s="3" t="s">
        <v>68</v>
      </c>
      <c r="BE6134" s="3" t="s">
        <v>59067</v>
      </c>
      <c r="BF6134" s="3" t="s">
        <v>59066</v>
      </c>
      <c r="BG6134" s="3" t="s">
        <v>59068</v>
      </c>
    </row>
    <row r="6135" spans="1:59" ht="57" x14ac:dyDescent="0.45">
      <c r="A6135" s="2" t="s">
        <v>59</v>
      </c>
      <c r="B6135" s="2" t="s">
        <v>60</v>
      </c>
      <c r="C6135" s="2" t="s">
        <v>59069</v>
      </c>
      <c r="D6135" s="2" t="s">
        <v>59070</v>
      </c>
      <c r="E6135" s="2" t="s">
        <v>59071</v>
      </c>
      <c r="G6135" s="3" t="s">
        <v>62</v>
      </c>
      <c r="I6135" s="3" t="s">
        <v>62</v>
      </c>
      <c r="J6135" s="3" t="s">
        <v>62</v>
      </c>
      <c r="K6135" s="3" t="s">
        <v>63</v>
      </c>
      <c r="M6135" s="2" t="s">
        <v>59072</v>
      </c>
      <c r="N6135" s="3" t="s">
        <v>807</v>
      </c>
      <c r="P6135" s="3" t="s">
        <v>110</v>
      </c>
      <c r="Q6135" s="2" t="s">
        <v>59073</v>
      </c>
      <c r="R6135" s="3" t="s">
        <v>66</v>
      </c>
      <c r="S6135" s="4">
        <v>35</v>
      </c>
      <c r="T6135" s="4">
        <v>35</v>
      </c>
      <c r="U6135" s="5" t="s">
        <v>31223</v>
      </c>
      <c r="V6135" s="5" t="s">
        <v>31223</v>
      </c>
      <c r="W6135" s="5" t="s">
        <v>67</v>
      </c>
      <c r="X6135" s="5" t="s">
        <v>67</v>
      </c>
      <c r="Y6135" s="4">
        <v>71</v>
      </c>
      <c r="Z6135" s="4">
        <v>12</v>
      </c>
      <c r="AA6135" s="4">
        <v>12</v>
      </c>
      <c r="AB6135" s="4">
        <v>2</v>
      </c>
      <c r="AC6135" s="4">
        <v>2</v>
      </c>
      <c r="AD6135" s="4">
        <v>31</v>
      </c>
      <c r="AE6135" s="4">
        <v>31</v>
      </c>
      <c r="AF6135" s="4">
        <v>1</v>
      </c>
      <c r="AG6135" s="4">
        <v>1</v>
      </c>
      <c r="AH6135" s="4">
        <v>25</v>
      </c>
      <c r="AI6135" s="4">
        <v>25</v>
      </c>
      <c r="AJ6135" s="4">
        <v>9</v>
      </c>
      <c r="AK6135" s="4">
        <v>9</v>
      </c>
      <c r="AL6135" s="4">
        <v>19</v>
      </c>
      <c r="AM6135" s="4">
        <v>19</v>
      </c>
      <c r="AN6135" s="4">
        <v>0</v>
      </c>
      <c r="AO6135" s="4">
        <v>0</v>
      </c>
      <c r="AP6135" s="4">
        <v>10</v>
      </c>
      <c r="AQ6135" s="4">
        <v>10</v>
      </c>
      <c r="AR6135" s="3" t="s">
        <v>62</v>
      </c>
      <c r="AS6135" s="3" t="s">
        <v>62</v>
      </c>
      <c r="AT6135" s="3" t="s">
        <v>62</v>
      </c>
      <c r="AV6135" s="6" t="str">
        <f>HYPERLINK("http://mcgill.on.worldcat.org/oclc/26724204","Catalog Record")</f>
        <v>Catalog Record</v>
      </c>
      <c r="AW6135" s="6" t="str">
        <f>HYPERLINK("http://www.worldcat.org/oclc/26724204","WorldCat Record")</f>
        <v>WorldCat Record</v>
      </c>
      <c r="AX6135" s="3" t="s">
        <v>59074</v>
      </c>
      <c r="AY6135" s="3" t="s">
        <v>59075</v>
      </c>
      <c r="AZ6135" s="3" t="s">
        <v>59076</v>
      </c>
      <c r="BA6135" s="3" t="s">
        <v>59076</v>
      </c>
      <c r="BB6135" s="3" t="s">
        <v>59077</v>
      </c>
      <c r="BC6135" s="3" t="s">
        <v>142</v>
      </c>
      <c r="BD6135" s="3" t="s">
        <v>68</v>
      </c>
      <c r="BE6135" s="3" t="s">
        <v>59078</v>
      </c>
      <c r="BF6135" s="3" t="s">
        <v>59077</v>
      </c>
      <c r="BG6135" s="3" t="s">
        <v>59079</v>
      </c>
    </row>
    <row r="6136" spans="1:59" ht="57" x14ac:dyDescent="0.45">
      <c r="A6136" s="2" t="s">
        <v>59</v>
      </c>
      <c r="B6136" s="2" t="s">
        <v>60</v>
      </c>
      <c r="C6136" s="2" t="s">
        <v>59080</v>
      </c>
      <c r="D6136" s="2" t="s">
        <v>59081</v>
      </c>
      <c r="E6136" s="2" t="s">
        <v>59082</v>
      </c>
      <c r="G6136" s="3" t="s">
        <v>62</v>
      </c>
      <c r="I6136" s="3" t="s">
        <v>62</v>
      </c>
      <c r="J6136" s="3" t="s">
        <v>62</v>
      </c>
      <c r="K6136" s="3" t="s">
        <v>63</v>
      </c>
      <c r="L6136" s="2" t="s">
        <v>59083</v>
      </c>
      <c r="M6136" s="2" t="s">
        <v>59084</v>
      </c>
      <c r="N6136" s="3" t="s">
        <v>529</v>
      </c>
      <c r="P6136" s="3" t="s">
        <v>4829</v>
      </c>
      <c r="R6136" s="3" t="s">
        <v>66</v>
      </c>
      <c r="S6136" s="4">
        <v>5</v>
      </c>
      <c r="T6136" s="4">
        <v>5</v>
      </c>
      <c r="U6136" s="5" t="s">
        <v>33227</v>
      </c>
      <c r="V6136" s="5" t="s">
        <v>33227</v>
      </c>
      <c r="W6136" s="5" t="s">
        <v>67</v>
      </c>
      <c r="X6136" s="5" t="s">
        <v>67</v>
      </c>
      <c r="Y6136" s="4">
        <v>16</v>
      </c>
      <c r="Z6136" s="4">
        <v>5</v>
      </c>
      <c r="AA6136" s="4">
        <v>5</v>
      </c>
      <c r="AB6136" s="4">
        <v>2</v>
      </c>
      <c r="AC6136" s="4">
        <v>2</v>
      </c>
      <c r="AD6136" s="4">
        <v>10</v>
      </c>
      <c r="AE6136" s="4">
        <v>10</v>
      </c>
      <c r="AF6136" s="4">
        <v>0</v>
      </c>
      <c r="AG6136" s="4">
        <v>0</v>
      </c>
      <c r="AH6136" s="4">
        <v>10</v>
      </c>
      <c r="AI6136" s="4">
        <v>10</v>
      </c>
      <c r="AJ6136" s="4">
        <v>3</v>
      </c>
      <c r="AK6136" s="4">
        <v>3</v>
      </c>
      <c r="AL6136" s="4">
        <v>7</v>
      </c>
      <c r="AM6136" s="4">
        <v>7</v>
      </c>
      <c r="AN6136" s="4">
        <v>0</v>
      </c>
      <c r="AO6136" s="4">
        <v>0</v>
      </c>
      <c r="AP6136" s="4">
        <v>3</v>
      </c>
      <c r="AQ6136" s="4">
        <v>3</v>
      </c>
      <c r="AR6136" s="3" t="s">
        <v>62</v>
      </c>
      <c r="AS6136" s="3" t="s">
        <v>62</v>
      </c>
      <c r="AT6136" s="3" t="s">
        <v>62</v>
      </c>
      <c r="AV6136" s="6" t="str">
        <f>HYPERLINK("http://mcgill.on.worldcat.org/oclc/14120178","Catalog Record")</f>
        <v>Catalog Record</v>
      </c>
      <c r="AW6136" s="6" t="str">
        <f>HYPERLINK("http://www.worldcat.org/oclc/14120178","WorldCat Record")</f>
        <v>WorldCat Record</v>
      </c>
      <c r="AX6136" s="3" t="s">
        <v>59085</v>
      </c>
      <c r="AY6136" s="3" t="s">
        <v>59086</v>
      </c>
      <c r="AZ6136" s="3" t="s">
        <v>59087</v>
      </c>
      <c r="BA6136" s="3" t="s">
        <v>59087</v>
      </c>
      <c r="BB6136" s="3" t="s">
        <v>59088</v>
      </c>
      <c r="BC6136" s="3" t="s">
        <v>142</v>
      </c>
      <c r="BD6136" s="3" t="s">
        <v>68</v>
      </c>
      <c r="BF6136" s="3" t="s">
        <v>59088</v>
      </c>
      <c r="BG6136" s="3" t="s">
        <v>59089</v>
      </c>
    </row>
    <row r="6137" spans="1:59" ht="99.75" x14ac:dyDescent="0.45">
      <c r="A6137" s="2" t="s">
        <v>59</v>
      </c>
      <c r="B6137" s="2" t="s">
        <v>60</v>
      </c>
      <c r="C6137" s="2" t="s">
        <v>59090</v>
      </c>
      <c r="D6137" s="2" t="s">
        <v>59091</v>
      </c>
      <c r="E6137" s="2" t="s">
        <v>59092</v>
      </c>
      <c r="G6137" s="3" t="s">
        <v>62</v>
      </c>
      <c r="I6137" s="3" t="s">
        <v>62</v>
      </c>
      <c r="J6137" s="3" t="s">
        <v>62</v>
      </c>
      <c r="K6137" s="3" t="s">
        <v>63</v>
      </c>
      <c r="M6137" s="2" t="s">
        <v>59093</v>
      </c>
      <c r="N6137" s="3" t="s">
        <v>1688</v>
      </c>
      <c r="P6137" s="3" t="s">
        <v>182</v>
      </c>
      <c r="Q6137" s="2" t="s">
        <v>59094</v>
      </c>
      <c r="R6137" s="3" t="s">
        <v>66</v>
      </c>
      <c r="S6137" s="4">
        <v>0</v>
      </c>
      <c r="T6137" s="4">
        <v>0</v>
      </c>
      <c r="W6137" s="5" t="s">
        <v>67</v>
      </c>
      <c r="X6137" s="5" t="s">
        <v>67</v>
      </c>
      <c r="Y6137" s="4">
        <v>1</v>
      </c>
      <c r="Z6137" s="4">
        <v>1</v>
      </c>
      <c r="AA6137" s="4">
        <v>3</v>
      </c>
      <c r="AB6137" s="4">
        <v>1</v>
      </c>
      <c r="AC6137" s="4">
        <v>3</v>
      </c>
      <c r="AD6137" s="4">
        <v>0</v>
      </c>
      <c r="AE6137" s="4">
        <v>1</v>
      </c>
      <c r="AF6137" s="4">
        <v>0</v>
      </c>
      <c r="AG6137" s="4">
        <v>1</v>
      </c>
      <c r="AH6137" s="4">
        <v>0</v>
      </c>
      <c r="AI6137" s="4">
        <v>0</v>
      </c>
      <c r="AJ6137" s="4">
        <v>0</v>
      </c>
      <c r="AK6137" s="4">
        <v>1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3" t="s">
        <v>62</v>
      </c>
      <c r="AS6137" s="3" t="s">
        <v>62</v>
      </c>
      <c r="AT6137" s="3" t="s">
        <v>62</v>
      </c>
      <c r="AV6137" s="6" t="str">
        <f>HYPERLINK("http://mcgill.on.worldcat.org/oclc/900007156","Catalog Record")</f>
        <v>Catalog Record</v>
      </c>
      <c r="AW6137" s="6" t="str">
        <f>HYPERLINK("http://www.worldcat.org/oclc/900007156","WorldCat Record")</f>
        <v>WorldCat Record</v>
      </c>
      <c r="AX6137" s="3" t="s">
        <v>59095</v>
      </c>
      <c r="AY6137" s="3" t="s">
        <v>59096</v>
      </c>
      <c r="AZ6137" s="3" t="s">
        <v>59097</v>
      </c>
      <c r="BA6137" s="3" t="s">
        <v>59097</v>
      </c>
      <c r="BB6137" s="3" t="s">
        <v>59098</v>
      </c>
      <c r="BC6137" s="3" t="s">
        <v>142</v>
      </c>
      <c r="BD6137" s="3" t="s">
        <v>68</v>
      </c>
      <c r="BE6137" s="3" t="s">
        <v>59099</v>
      </c>
      <c r="BF6137" s="3" t="s">
        <v>59098</v>
      </c>
      <c r="BG6137" s="3" t="s">
        <v>59100</v>
      </c>
    </row>
    <row r="6138" spans="1:59" ht="57" x14ac:dyDescent="0.45">
      <c r="A6138" s="2" t="s">
        <v>59</v>
      </c>
      <c r="B6138" s="2" t="s">
        <v>60</v>
      </c>
      <c r="C6138" s="2" t="s">
        <v>59101</v>
      </c>
      <c r="D6138" s="2" t="s">
        <v>59102</v>
      </c>
      <c r="E6138" s="2" t="s">
        <v>59103</v>
      </c>
      <c r="G6138" s="3" t="s">
        <v>62</v>
      </c>
      <c r="I6138" s="3" t="s">
        <v>62</v>
      </c>
      <c r="J6138" s="3" t="s">
        <v>62</v>
      </c>
      <c r="K6138" s="3" t="s">
        <v>63</v>
      </c>
      <c r="L6138" s="2" t="s">
        <v>59104</v>
      </c>
      <c r="M6138" s="2" t="s">
        <v>59105</v>
      </c>
      <c r="N6138" s="3" t="s">
        <v>149</v>
      </c>
      <c r="P6138" s="3" t="s">
        <v>65</v>
      </c>
      <c r="Q6138" s="2" t="s">
        <v>59106</v>
      </c>
      <c r="R6138" s="3" t="s">
        <v>66</v>
      </c>
      <c r="S6138" s="4">
        <v>1</v>
      </c>
      <c r="T6138" s="4">
        <v>1</v>
      </c>
      <c r="U6138" s="5" t="s">
        <v>53283</v>
      </c>
      <c r="V6138" s="5" t="s">
        <v>53283</v>
      </c>
      <c r="W6138" s="5" t="s">
        <v>67</v>
      </c>
      <c r="X6138" s="5" t="s">
        <v>67</v>
      </c>
      <c r="Y6138" s="4">
        <v>60</v>
      </c>
      <c r="Z6138" s="4">
        <v>9</v>
      </c>
      <c r="AA6138" s="4">
        <v>35</v>
      </c>
      <c r="AB6138" s="4">
        <v>2</v>
      </c>
      <c r="AC6138" s="4">
        <v>10</v>
      </c>
      <c r="AD6138" s="4">
        <v>28</v>
      </c>
      <c r="AE6138" s="4">
        <v>40</v>
      </c>
      <c r="AF6138" s="4">
        <v>1</v>
      </c>
      <c r="AG6138" s="4">
        <v>4</v>
      </c>
      <c r="AH6138" s="4">
        <v>27</v>
      </c>
      <c r="AI6138" s="4">
        <v>32</v>
      </c>
      <c r="AJ6138" s="4">
        <v>6</v>
      </c>
      <c r="AK6138" s="4">
        <v>8</v>
      </c>
      <c r="AL6138" s="4">
        <v>19</v>
      </c>
      <c r="AM6138" s="4">
        <v>22</v>
      </c>
      <c r="AN6138" s="4">
        <v>0</v>
      </c>
      <c r="AO6138" s="4">
        <v>0</v>
      </c>
      <c r="AP6138" s="4">
        <v>6</v>
      </c>
      <c r="AQ6138" s="4">
        <v>13</v>
      </c>
      <c r="AR6138" s="3" t="s">
        <v>62</v>
      </c>
      <c r="AS6138" s="3" t="s">
        <v>62</v>
      </c>
      <c r="AT6138" s="3" t="s">
        <v>62</v>
      </c>
      <c r="AV6138" s="6" t="str">
        <f>HYPERLINK("http://mcgill.on.worldcat.org/oclc/656158837","Catalog Record")</f>
        <v>Catalog Record</v>
      </c>
      <c r="AW6138" s="6" t="str">
        <f>HYPERLINK("http://www.worldcat.org/oclc/656158837","WorldCat Record")</f>
        <v>WorldCat Record</v>
      </c>
      <c r="AX6138" s="3" t="s">
        <v>59107</v>
      </c>
      <c r="AY6138" s="3" t="s">
        <v>59108</v>
      </c>
      <c r="AZ6138" s="3" t="s">
        <v>59109</v>
      </c>
      <c r="BA6138" s="3" t="s">
        <v>59109</v>
      </c>
      <c r="BB6138" s="3" t="s">
        <v>59110</v>
      </c>
      <c r="BC6138" s="3" t="s">
        <v>142</v>
      </c>
      <c r="BD6138" s="3" t="s">
        <v>68</v>
      </c>
      <c r="BE6138" s="3" t="s">
        <v>59111</v>
      </c>
      <c r="BF6138" s="3" t="s">
        <v>59110</v>
      </c>
      <c r="BG6138" s="3" t="s">
        <v>59112</v>
      </c>
    </row>
    <row r="6139" spans="1:59" ht="57" x14ac:dyDescent="0.45">
      <c r="A6139" s="2" t="s">
        <v>59</v>
      </c>
      <c r="B6139" s="2" t="s">
        <v>60</v>
      </c>
      <c r="C6139" s="2" t="s">
        <v>59113</v>
      </c>
      <c r="D6139" s="2" t="s">
        <v>59114</v>
      </c>
      <c r="E6139" s="2" t="s">
        <v>59115</v>
      </c>
      <c r="G6139" s="3" t="s">
        <v>62</v>
      </c>
      <c r="I6139" s="3" t="s">
        <v>62</v>
      </c>
      <c r="J6139" s="3" t="s">
        <v>62</v>
      </c>
      <c r="K6139" s="3" t="s">
        <v>63</v>
      </c>
      <c r="M6139" s="2" t="s">
        <v>59116</v>
      </c>
      <c r="N6139" s="3" t="s">
        <v>918</v>
      </c>
      <c r="P6139" s="3" t="s">
        <v>65</v>
      </c>
      <c r="Q6139" s="2" t="s">
        <v>59117</v>
      </c>
      <c r="R6139" s="3" t="s">
        <v>66</v>
      </c>
      <c r="S6139" s="4">
        <v>8</v>
      </c>
      <c r="T6139" s="4">
        <v>8</v>
      </c>
      <c r="U6139" s="5" t="s">
        <v>998</v>
      </c>
      <c r="V6139" s="5" t="s">
        <v>998</v>
      </c>
      <c r="W6139" s="5" t="s">
        <v>67</v>
      </c>
      <c r="X6139" s="5" t="s">
        <v>67</v>
      </c>
      <c r="Y6139" s="4">
        <v>67</v>
      </c>
      <c r="Z6139" s="4">
        <v>6</v>
      </c>
      <c r="AA6139" s="4">
        <v>8</v>
      </c>
      <c r="AB6139" s="4">
        <v>1</v>
      </c>
      <c r="AC6139" s="4">
        <v>3</v>
      </c>
      <c r="AD6139" s="4">
        <v>36</v>
      </c>
      <c r="AE6139" s="4">
        <v>37</v>
      </c>
      <c r="AF6139" s="4">
        <v>0</v>
      </c>
      <c r="AG6139" s="4">
        <v>1</v>
      </c>
      <c r="AH6139" s="4">
        <v>34</v>
      </c>
      <c r="AI6139" s="4">
        <v>35</v>
      </c>
      <c r="AJ6139" s="4">
        <v>4</v>
      </c>
      <c r="AK6139" s="4">
        <v>5</v>
      </c>
      <c r="AL6139" s="4">
        <v>24</v>
      </c>
      <c r="AM6139" s="4">
        <v>24</v>
      </c>
      <c r="AN6139" s="4">
        <v>0</v>
      </c>
      <c r="AO6139" s="4">
        <v>0</v>
      </c>
      <c r="AP6139" s="4">
        <v>4</v>
      </c>
      <c r="AQ6139" s="4">
        <v>5</v>
      </c>
      <c r="AR6139" s="3" t="s">
        <v>62</v>
      </c>
      <c r="AS6139" s="3" t="s">
        <v>62</v>
      </c>
      <c r="AT6139" s="3" t="s">
        <v>61</v>
      </c>
      <c r="AU6139" s="6" t="str">
        <f>HYPERLINK("http://catalog.hathitrust.org/Record/004976470","HathiTrust Record")</f>
        <v>HathiTrust Record</v>
      </c>
      <c r="AV6139" s="6" t="str">
        <f>HYPERLINK("http://mcgill.on.worldcat.org/oclc/54376088","Catalog Record")</f>
        <v>Catalog Record</v>
      </c>
      <c r="AW6139" s="6" t="str">
        <f>HYPERLINK("http://www.worldcat.org/oclc/54376088","WorldCat Record")</f>
        <v>WorldCat Record</v>
      </c>
      <c r="AX6139" s="3" t="s">
        <v>59118</v>
      </c>
      <c r="AY6139" s="3" t="s">
        <v>59119</v>
      </c>
      <c r="AZ6139" s="3" t="s">
        <v>59120</v>
      </c>
      <c r="BA6139" s="3" t="s">
        <v>59120</v>
      </c>
      <c r="BB6139" s="3" t="s">
        <v>59121</v>
      </c>
      <c r="BC6139" s="3" t="s">
        <v>142</v>
      </c>
      <c r="BD6139" s="3" t="s">
        <v>68</v>
      </c>
      <c r="BE6139" s="3" t="s">
        <v>59122</v>
      </c>
      <c r="BF6139" s="3" t="s">
        <v>59121</v>
      </c>
      <c r="BG6139" s="3" t="s">
        <v>59123</v>
      </c>
    </row>
    <row r="6140" spans="1:59" ht="57" x14ac:dyDescent="0.45">
      <c r="A6140" s="2" t="s">
        <v>59</v>
      </c>
      <c r="B6140" s="2" t="s">
        <v>60</v>
      </c>
      <c r="C6140" s="2" t="s">
        <v>59124</v>
      </c>
      <c r="D6140" s="2" t="s">
        <v>59125</v>
      </c>
      <c r="E6140" s="2" t="s">
        <v>59126</v>
      </c>
      <c r="G6140" s="3" t="s">
        <v>62</v>
      </c>
      <c r="I6140" s="3" t="s">
        <v>62</v>
      </c>
      <c r="J6140" s="3" t="s">
        <v>62</v>
      </c>
      <c r="K6140" s="3" t="s">
        <v>63</v>
      </c>
      <c r="M6140" s="2" t="s">
        <v>59127</v>
      </c>
      <c r="N6140" s="3" t="s">
        <v>1465</v>
      </c>
      <c r="P6140" s="3" t="s">
        <v>65</v>
      </c>
      <c r="Q6140" s="2" t="s">
        <v>59128</v>
      </c>
      <c r="R6140" s="3" t="s">
        <v>66</v>
      </c>
      <c r="S6140" s="4">
        <v>6</v>
      </c>
      <c r="T6140" s="4">
        <v>6</v>
      </c>
      <c r="U6140" s="5" t="s">
        <v>28438</v>
      </c>
      <c r="V6140" s="5" t="s">
        <v>28438</v>
      </c>
      <c r="W6140" s="5" t="s">
        <v>67</v>
      </c>
      <c r="X6140" s="5" t="s">
        <v>67</v>
      </c>
      <c r="Y6140" s="4">
        <v>4</v>
      </c>
      <c r="Z6140" s="4">
        <v>3</v>
      </c>
      <c r="AA6140" s="4">
        <v>5</v>
      </c>
      <c r="AB6140" s="4">
        <v>1</v>
      </c>
      <c r="AC6140" s="4">
        <v>1</v>
      </c>
      <c r="AD6140" s="4">
        <v>1</v>
      </c>
      <c r="AE6140" s="4">
        <v>28</v>
      </c>
      <c r="AF6140" s="4">
        <v>0</v>
      </c>
      <c r="AG6140" s="4">
        <v>0</v>
      </c>
      <c r="AH6140" s="4">
        <v>1</v>
      </c>
      <c r="AI6140" s="4">
        <v>28</v>
      </c>
      <c r="AJ6140" s="4">
        <v>1</v>
      </c>
      <c r="AK6140" s="4">
        <v>3</v>
      </c>
      <c r="AL6140" s="4">
        <v>1</v>
      </c>
      <c r="AM6140" s="4">
        <v>19</v>
      </c>
      <c r="AN6140" s="4">
        <v>0</v>
      </c>
      <c r="AO6140" s="4">
        <v>0</v>
      </c>
      <c r="AP6140" s="4">
        <v>1</v>
      </c>
      <c r="AQ6140" s="4">
        <v>3</v>
      </c>
      <c r="AR6140" s="3" t="s">
        <v>62</v>
      </c>
      <c r="AS6140" s="3" t="s">
        <v>62</v>
      </c>
      <c r="AT6140" s="3" t="s">
        <v>62</v>
      </c>
      <c r="AV6140" s="6" t="str">
        <f>HYPERLINK("http://mcgill.on.worldcat.org/oclc/559757430","Catalog Record")</f>
        <v>Catalog Record</v>
      </c>
      <c r="AW6140" s="6" t="str">
        <f>HYPERLINK("http://www.worldcat.org/oclc/559757430","WorldCat Record")</f>
        <v>WorldCat Record</v>
      </c>
      <c r="AX6140" s="3" t="s">
        <v>59129</v>
      </c>
      <c r="AY6140" s="3" t="s">
        <v>59130</v>
      </c>
      <c r="AZ6140" s="3" t="s">
        <v>59131</v>
      </c>
      <c r="BA6140" s="3" t="s">
        <v>59131</v>
      </c>
      <c r="BB6140" s="3" t="s">
        <v>59132</v>
      </c>
      <c r="BC6140" s="3" t="s">
        <v>142</v>
      </c>
      <c r="BD6140" s="3" t="s">
        <v>68</v>
      </c>
      <c r="BE6140" s="3" t="s">
        <v>59133</v>
      </c>
      <c r="BF6140" s="3" t="s">
        <v>59132</v>
      </c>
      <c r="BG6140" s="3" t="s">
        <v>59134</v>
      </c>
    </row>
    <row r="6141" spans="1:59" ht="57" x14ac:dyDescent="0.45">
      <c r="A6141" s="2" t="s">
        <v>59</v>
      </c>
      <c r="B6141" s="2" t="s">
        <v>60</v>
      </c>
      <c r="C6141" s="2" t="s">
        <v>59135</v>
      </c>
      <c r="D6141" s="2" t="s">
        <v>59136</v>
      </c>
      <c r="E6141" s="2" t="s">
        <v>59137</v>
      </c>
      <c r="G6141" s="3" t="s">
        <v>62</v>
      </c>
      <c r="I6141" s="3" t="s">
        <v>62</v>
      </c>
      <c r="J6141" s="3" t="s">
        <v>62</v>
      </c>
      <c r="K6141" s="3" t="s">
        <v>63</v>
      </c>
      <c r="M6141" s="2" t="s">
        <v>59138</v>
      </c>
      <c r="N6141" s="3" t="s">
        <v>1604</v>
      </c>
      <c r="P6141" s="3" t="s">
        <v>65</v>
      </c>
      <c r="Q6141" s="2" t="s">
        <v>59139</v>
      </c>
      <c r="R6141" s="3" t="s">
        <v>66</v>
      </c>
      <c r="S6141" s="4">
        <v>26</v>
      </c>
      <c r="T6141" s="4">
        <v>26</v>
      </c>
      <c r="U6141" s="5" t="s">
        <v>59140</v>
      </c>
      <c r="V6141" s="5" t="s">
        <v>59140</v>
      </c>
      <c r="W6141" s="5" t="s">
        <v>67</v>
      </c>
      <c r="X6141" s="5" t="s">
        <v>67</v>
      </c>
      <c r="Y6141" s="4">
        <v>166</v>
      </c>
      <c r="Z6141" s="4">
        <v>12</v>
      </c>
      <c r="AA6141" s="4">
        <v>15</v>
      </c>
      <c r="AB6141" s="4">
        <v>2</v>
      </c>
      <c r="AC6141" s="4">
        <v>3</v>
      </c>
      <c r="AD6141" s="4">
        <v>71</v>
      </c>
      <c r="AE6141" s="4">
        <v>74</v>
      </c>
      <c r="AF6141" s="4">
        <v>1</v>
      </c>
      <c r="AG6141" s="4">
        <v>2</v>
      </c>
      <c r="AH6141" s="4">
        <v>66</v>
      </c>
      <c r="AI6141" s="4">
        <v>67</v>
      </c>
      <c r="AJ6141" s="4">
        <v>7</v>
      </c>
      <c r="AK6141" s="4">
        <v>9</v>
      </c>
      <c r="AL6141" s="4">
        <v>39</v>
      </c>
      <c r="AM6141" s="4">
        <v>39</v>
      </c>
      <c r="AN6141" s="4">
        <v>0</v>
      </c>
      <c r="AO6141" s="4">
        <v>0</v>
      </c>
      <c r="AP6141" s="4">
        <v>9</v>
      </c>
      <c r="AQ6141" s="4">
        <v>11</v>
      </c>
      <c r="AR6141" s="3" t="s">
        <v>62</v>
      </c>
      <c r="AS6141" s="3" t="s">
        <v>62</v>
      </c>
      <c r="AT6141" s="3" t="s">
        <v>61</v>
      </c>
      <c r="AU6141" s="6" t="str">
        <f>HYPERLINK("http://catalog.hathitrust.org/Record/007129948","HathiTrust Record")</f>
        <v>HathiTrust Record</v>
      </c>
      <c r="AV6141" s="6" t="str">
        <f>HYPERLINK("http://mcgill.on.worldcat.org/oclc/31117139","Catalog Record")</f>
        <v>Catalog Record</v>
      </c>
      <c r="AW6141" s="6" t="str">
        <f>HYPERLINK("http://www.worldcat.org/oclc/31117139","WorldCat Record")</f>
        <v>WorldCat Record</v>
      </c>
      <c r="AX6141" s="3" t="s">
        <v>59141</v>
      </c>
      <c r="AY6141" s="3" t="s">
        <v>59142</v>
      </c>
      <c r="AZ6141" s="3" t="s">
        <v>59143</v>
      </c>
      <c r="BA6141" s="3" t="s">
        <v>59143</v>
      </c>
      <c r="BB6141" s="3" t="s">
        <v>59144</v>
      </c>
      <c r="BC6141" s="3" t="s">
        <v>142</v>
      </c>
      <c r="BD6141" s="3" t="s">
        <v>68</v>
      </c>
      <c r="BE6141" s="3" t="s">
        <v>59145</v>
      </c>
      <c r="BF6141" s="3" t="s">
        <v>59144</v>
      </c>
      <c r="BG6141" s="3" t="s">
        <v>59146</v>
      </c>
    </row>
    <row r="6142" spans="1:59" ht="57" x14ac:dyDescent="0.45">
      <c r="A6142" s="2" t="s">
        <v>59</v>
      </c>
      <c r="B6142" s="2" t="s">
        <v>60</v>
      </c>
      <c r="C6142" s="2" t="s">
        <v>59147</v>
      </c>
      <c r="D6142" s="2" t="s">
        <v>59148</v>
      </c>
      <c r="E6142" s="2" t="s">
        <v>59149</v>
      </c>
      <c r="G6142" s="3" t="s">
        <v>62</v>
      </c>
      <c r="I6142" s="3" t="s">
        <v>62</v>
      </c>
      <c r="J6142" s="3" t="s">
        <v>62</v>
      </c>
      <c r="K6142" s="3" t="s">
        <v>63</v>
      </c>
      <c r="M6142" s="2" t="s">
        <v>59150</v>
      </c>
      <c r="N6142" s="3" t="s">
        <v>1239</v>
      </c>
      <c r="P6142" s="3" t="s">
        <v>65</v>
      </c>
      <c r="Q6142" s="2" t="s">
        <v>59151</v>
      </c>
      <c r="R6142" s="3" t="s">
        <v>66</v>
      </c>
      <c r="S6142" s="4">
        <v>37</v>
      </c>
      <c r="T6142" s="4">
        <v>37</v>
      </c>
      <c r="U6142" s="5" t="s">
        <v>45887</v>
      </c>
      <c r="V6142" s="5" t="s">
        <v>45887</v>
      </c>
      <c r="W6142" s="5" t="s">
        <v>67</v>
      </c>
      <c r="X6142" s="5" t="s">
        <v>67</v>
      </c>
      <c r="Y6142" s="4">
        <v>318</v>
      </c>
      <c r="Z6142" s="4">
        <v>22</v>
      </c>
      <c r="AA6142" s="4">
        <v>25</v>
      </c>
      <c r="AB6142" s="4">
        <v>2</v>
      </c>
      <c r="AC6142" s="4">
        <v>5</v>
      </c>
      <c r="AD6142" s="4">
        <v>95</v>
      </c>
      <c r="AE6142" s="4">
        <v>98</v>
      </c>
      <c r="AF6142" s="4">
        <v>1</v>
      </c>
      <c r="AG6142" s="4">
        <v>4</v>
      </c>
      <c r="AH6142" s="4">
        <v>86</v>
      </c>
      <c r="AI6142" s="4">
        <v>87</v>
      </c>
      <c r="AJ6142" s="4">
        <v>15</v>
      </c>
      <c r="AK6142" s="4">
        <v>18</v>
      </c>
      <c r="AL6142" s="4">
        <v>44</v>
      </c>
      <c r="AM6142" s="4">
        <v>44</v>
      </c>
      <c r="AN6142" s="4">
        <v>0</v>
      </c>
      <c r="AO6142" s="4">
        <v>0</v>
      </c>
      <c r="AP6142" s="4">
        <v>18</v>
      </c>
      <c r="AQ6142" s="4">
        <v>20</v>
      </c>
      <c r="AR6142" s="3" t="s">
        <v>62</v>
      </c>
      <c r="AS6142" s="3" t="s">
        <v>62</v>
      </c>
      <c r="AT6142" s="3" t="s">
        <v>61</v>
      </c>
      <c r="AU6142" s="6" t="str">
        <f>HYPERLINK("http://catalog.hathitrust.org/Record/003117761","HathiTrust Record")</f>
        <v>HathiTrust Record</v>
      </c>
      <c r="AV6142" s="6" t="str">
        <f>HYPERLINK("http://mcgill.on.worldcat.org/oclc/19267029","Catalog Record")</f>
        <v>Catalog Record</v>
      </c>
      <c r="AW6142" s="6" t="str">
        <f>HYPERLINK("http://www.worldcat.org/oclc/19267029","WorldCat Record")</f>
        <v>WorldCat Record</v>
      </c>
      <c r="AX6142" s="3" t="s">
        <v>59152</v>
      </c>
      <c r="AY6142" s="3" t="s">
        <v>59153</v>
      </c>
      <c r="AZ6142" s="3" t="s">
        <v>59154</v>
      </c>
      <c r="BA6142" s="3" t="s">
        <v>59154</v>
      </c>
      <c r="BB6142" s="3" t="s">
        <v>59155</v>
      </c>
      <c r="BC6142" s="3" t="s">
        <v>142</v>
      </c>
      <c r="BD6142" s="3" t="s">
        <v>68</v>
      </c>
      <c r="BE6142" s="3" t="s">
        <v>59156</v>
      </c>
      <c r="BF6142" s="3" t="s">
        <v>59155</v>
      </c>
      <c r="BG6142" s="3" t="s">
        <v>59157</v>
      </c>
    </row>
    <row r="6143" spans="1:59" ht="57" x14ac:dyDescent="0.45">
      <c r="A6143" s="2" t="s">
        <v>59</v>
      </c>
      <c r="B6143" s="2" t="s">
        <v>60</v>
      </c>
      <c r="C6143" s="2" t="s">
        <v>59158</v>
      </c>
      <c r="D6143" s="2" t="s">
        <v>59159</v>
      </c>
      <c r="E6143" s="2" t="s">
        <v>59160</v>
      </c>
      <c r="G6143" s="3" t="s">
        <v>62</v>
      </c>
      <c r="I6143" s="3" t="s">
        <v>62</v>
      </c>
      <c r="J6143" s="3" t="s">
        <v>62</v>
      </c>
      <c r="K6143" s="3" t="s">
        <v>63</v>
      </c>
      <c r="M6143" s="2" t="s">
        <v>7877</v>
      </c>
      <c r="N6143" s="3" t="s">
        <v>1465</v>
      </c>
      <c r="P6143" s="3" t="s">
        <v>65</v>
      </c>
      <c r="Q6143" s="2" t="s">
        <v>59161</v>
      </c>
      <c r="R6143" s="3" t="s">
        <v>66</v>
      </c>
      <c r="S6143" s="4">
        <v>1</v>
      </c>
      <c r="T6143" s="4">
        <v>1</v>
      </c>
      <c r="U6143" s="5" t="s">
        <v>3186</v>
      </c>
      <c r="V6143" s="5" t="s">
        <v>3186</v>
      </c>
      <c r="W6143" s="5" t="s">
        <v>67</v>
      </c>
      <c r="X6143" s="5" t="s">
        <v>67</v>
      </c>
      <c r="Y6143" s="4">
        <v>76</v>
      </c>
      <c r="Z6143" s="4">
        <v>6</v>
      </c>
      <c r="AA6143" s="4">
        <v>95</v>
      </c>
      <c r="AB6143" s="4">
        <v>2</v>
      </c>
      <c r="AC6143" s="4">
        <v>17</v>
      </c>
      <c r="AD6143" s="4">
        <v>30</v>
      </c>
      <c r="AE6143" s="4">
        <v>111</v>
      </c>
      <c r="AF6143" s="4">
        <v>1</v>
      </c>
      <c r="AG6143" s="4">
        <v>8</v>
      </c>
      <c r="AH6143" s="4">
        <v>29</v>
      </c>
      <c r="AI6143" s="4">
        <v>74</v>
      </c>
      <c r="AJ6143" s="4">
        <v>5</v>
      </c>
      <c r="AK6143" s="4">
        <v>20</v>
      </c>
      <c r="AL6143" s="4">
        <v>21</v>
      </c>
      <c r="AM6143" s="4">
        <v>40</v>
      </c>
      <c r="AN6143" s="4">
        <v>0</v>
      </c>
      <c r="AO6143" s="4">
        <v>0</v>
      </c>
      <c r="AP6143" s="4">
        <v>5</v>
      </c>
      <c r="AQ6143" s="4">
        <v>42</v>
      </c>
      <c r="AR6143" s="3" t="s">
        <v>62</v>
      </c>
      <c r="AS6143" s="3" t="s">
        <v>62</v>
      </c>
      <c r="AT6143" s="3" t="s">
        <v>62</v>
      </c>
      <c r="AV6143" s="6" t="str">
        <f>HYPERLINK("http://mcgill.on.worldcat.org/oclc/427645038","Catalog Record")</f>
        <v>Catalog Record</v>
      </c>
      <c r="AW6143" s="6" t="str">
        <f>HYPERLINK("http://www.worldcat.org/oclc/427645038","WorldCat Record")</f>
        <v>WorldCat Record</v>
      </c>
      <c r="AX6143" s="3" t="s">
        <v>59162</v>
      </c>
      <c r="AY6143" s="3" t="s">
        <v>59163</v>
      </c>
      <c r="AZ6143" s="3" t="s">
        <v>59164</v>
      </c>
      <c r="BA6143" s="3" t="s">
        <v>59164</v>
      </c>
      <c r="BB6143" s="3" t="s">
        <v>59165</v>
      </c>
      <c r="BC6143" s="3" t="s">
        <v>142</v>
      </c>
      <c r="BD6143" s="3" t="s">
        <v>68</v>
      </c>
      <c r="BE6143" s="3" t="s">
        <v>59166</v>
      </c>
      <c r="BF6143" s="3" t="s">
        <v>59165</v>
      </c>
      <c r="BG6143" s="3" t="s">
        <v>59167</v>
      </c>
    </row>
    <row r="6144" spans="1:59" ht="57" x14ac:dyDescent="0.45">
      <c r="A6144" s="2" t="s">
        <v>59</v>
      </c>
      <c r="B6144" s="2" t="s">
        <v>60</v>
      </c>
      <c r="C6144" s="2" t="s">
        <v>59168</v>
      </c>
      <c r="D6144" s="2" t="s">
        <v>59169</v>
      </c>
      <c r="E6144" s="2" t="s">
        <v>59170</v>
      </c>
      <c r="G6144" s="3" t="s">
        <v>62</v>
      </c>
      <c r="I6144" s="3" t="s">
        <v>62</v>
      </c>
      <c r="J6144" s="3" t="s">
        <v>62</v>
      </c>
      <c r="K6144" s="3" t="s">
        <v>63</v>
      </c>
      <c r="L6144" s="2" t="s">
        <v>59171</v>
      </c>
      <c r="M6144" s="2" t="s">
        <v>59172</v>
      </c>
      <c r="N6144" s="3" t="s">
        <v>117</v>
      </c>
      <c r="P6144" s="3" t="s">
        <v>4829</v>
      </c>
      <c r="R6144" s="3" t="s">
        <v>66</v>
      </c>
      <c r="S6144" s="4">
        <v>7</v>
      </c>
      <c r="T6144" s="4">
        <v>7</v>
      </c>
      <c r="U6144" s="5" t="s">
        <v>33227</v>
      </c>
      <c r="V6144" s="5" t="s">
        <v>33227</v>
      </c>
      <c r="W6144" s="5" t="s">
        <v>67</v>
      </c>
      <c r="X6144" s="5" t="s">
        <v>67</v>
      </c>
      <c r="Y6144" s="4">
        <v>29</v>
      </c>
      <c r="Z6144" s="4">
        <v>5</v>
      </c>
      <c r="AA6144" s="4">
        <v>5</v>
      </c>
      <c r="AB6144" s="4">
        <v>1</v>
      </c>
      <c r="AC6144" s="4">
        <v>1</v>
      </c>
      <c r="AD6144" s="4">
        <v>22</v>
      </c>
      <c r="AE6144" s="4">
        <v>34</v>
      </c>
      <c r="AF6144" s="4">
        <v>0</v>
      </c>
      <c r="AG6144" s="4">
        <v>0</v>
      </c>
      <c r="AH6144" s="4">
        <v>20</v>
      </c>
      <c r="AI6144" s="4">
        <v>31</v>
      </c>
      <c r="AJ6144" s="4">
        <v>3</v>
      </c>
      <c r="AK6144" s="4">
        <v>3</v>
      </c>
      <c r="AL6144" s="4">
        <v>16</v>
      </c>
      <c r="AM6144" s="4">
        <v>25</v>
      </c>
      <c r="AN6144" s="4">
        <v>0</v>
      </c>
      <c r="AO6144" s="4">
        <v>0</v>
      </c>
      <c r="AP6144" s="4">
        <v>3</v>
      </c>
      <c r="AQ6144" s="4">
        <v>3</v>
      </c>
      <c r="AR6144" s="3" t="s">
        <v>62</v>
      </c>
      <c r="AS6144" s="3" t="s">
        <v>62</v>
      </c>
      <c r="AT6144" s="3" t="s">
        <v>62</v>
      </c>
      <c r="AV6144" s="6" t="str">
        <f>HYPERLINK("http://mcgill.on.worldcat.org/oclc/8353855","Catalog Record")</f>
        <v>Catalog Record</v>
      </c>
      <c r="AW6144" s="6" t="str">
        <f>HYPERLINK("http://www.worldcat.org/oclc/8353855","WorldCat Record")</f>
        <v>WorldCat Record</v>
      </c>
      <c r="AX6144" s="3" t="s">
        <v>59173</v>
      </c>
      <c r="AY6144" s="3" t="s">
        <v>59174</v>
      </c>
      <c r="AZ6144" s="3" t="s">
        <v>59175</v>
      </c>
      <c r="BA6144" s="3" t="s">
        <v>59175</v>
      </c>
      <c r="BB6144" s="3" t="s">
        <v>59176</v>
      </c>
      <c r="BC6144" s="3" t="s">
        <v>142</v>
      </c>
      <c r="BD6144" s="3" t="s">
        <v>68</v>
      </c>
      <c r="BF6144" s="3" t="s">
        <v>59176</v>
      </c>
      <c r="BG6144" s="3" t="s">
        <v>59177</v>
      </c>
    </row>
    <row r="6145" spans="1:59" ht="57" x14ac:dyDescent="0.45">
      <c r="A6145" s="2" t="s">
        <v>59</v>
      </c>
      <c r="B6145" s="2" t="s">
        <v>60</v>
      </c>
      <c r="C6145" s="2" t="s">
        <v>59178</v>
      </c>
      <c r="D6145" s="2" t="s">
        <v>59179</v>
      </c>
      <c r="E6145" s="2" t="s">
        <v>59180</v>
      </c>
      <c r="G6145" s="3" t="s">
        <v>62</v>
      </c>
      <c r="I6145" s="3" t="s">
        <v>62</v>
      </c>
      <c r="J6145" s="3" t="s">
        <v>62</v>
      </c>
      <c r="K6145" s="3" t="s">
        <v>63</v>
      </c>
      <c r="L6145" s="2" t="s">
        <v>59181</v>
      </c>
      <c r="M6145" s="2" t="s">
        <v>59182</v>
      </c>
      <c r="N6145" s="3" t="s">
        <v>16907</v>
      </c>
      <c r="P6145" s="3" t="s">
        <v>4829</v>
      </c>
      <c r="R6145" s="3" t="s">
        <v>66</v>
      </c>
      <c r="S6145" s="4">
        <v>3</v>
      </c>
      <c r="T6145" s="4">
        <v>3</v>
      </c>
      <c r="U6145" s="5" t="s">
        <v>33227</v>
      </c>
      <c r="V6145" s="5" t="s">
        <v>33227</v>
      </c>
      <c r="W6145" s="5" t="s">
        <v>67</v>
      </c>
      <c r="X6145" s="5" t="s">
        <v>67</v>
      </c>
      <c r="Y6145" s="4">
        <v>39</v>
      </c>
      <c r="Z6145" s="4">
        <v>5</v>
      </c>
      <c r="AA6145" s="4">
        <v>5</v>
      </c>
      <c r="AB6145" s="4">
        <v>1</v>
      </c>
      <c r="AC6145" s="4">
        <v>1</v>
      </c>
      <c r="AD6145" s="4">
        <v>31</v>
      </c>
      <c r="AE6145" s="4">
        <v>31</v>
      </c>
      <c r="AF6145" s="4">
        <v>0</v>
      </c>
      <c r="AG6145" s="4">
        <v>0</v>
      </c>
      <c r="AH6145" s="4">
        <v>29</v>
      </c>
      <c r="AI6145" s="4">
        <v>29</v>
      </c>
      <c r="AJ6145" s="4">
        <v>4</v>
      </c>
      <c r="AK6145" s="4">
        <v>4</v>
      </c>
      <c r="AL6145" s="4">
        <v>18</v>
      </c>
      <c r="AM6145" s="4">
        <v>18</v>
      </c>
      <c r="AN6145" s="4">
        <v>0</v>
      </c>
      <c r="AO6145" s="4">
        <v>0</v>
      </c>
      <c r="AP6145" s="4">
        <v>4</v>
      </c>
      <c r="AQ6145" s="4">
        <v>4</v>
      </c>
      <c r="AR6145" s="3" t="s">
        <v>62</v>
      </c>
      <c r="AS6145" s="3" t="s">
        <v>62</v>
      </c>
      <c r="AT6145" s="3" t="s">
        <v>61</v>
      </c>
      <c r="AU6145" s="6" t="str">
        <f>HYPERLINK("http://catalog.hathitrust.org/Record/001899539","HathiTrust Record")</f>
        <v>HathiTrust Record</v>
      </c>
      <c r="AV6145" s="6" t="str">
        <f>HYPERLINK("http://mcgill.on.worldcat.org/oclc/13630930","Catalog Record")</f>
        <v>Catalog Record</v>
      </c>
      <c r="AW6145" s="6" t="str">
        <f>HYPERLINK("http://www.worldcat.org/oclc/13630930","WorldCat Record")</f>
        <v>WorldCat Record</v>
      </c>
      <c r="AX6145" s="3" t="s">
        <v>59183</v>
      </c>
      <c r="AY6145" s="3" t="s">
        <v>59184</v>
      </c>
      <c r="AZ6145" s="3" t="s">
        <v>59185</v>
      </c>
      <c r="BA6145" s="3" t="s">
        <v>59185</v>
      </c>
      <c r="BB6145" s="3" t="s">
        <v>59186</v>
      </c>
      <c r="BC6145" s="3" t="s">
        <v>142</v>
      </c>
      <c r="BD6145" s="3" t="s">
        <v>68</v>
      </c>
      <c r="BF6145" s="3" t="s">
        <v>59186</v>
      </c>
      <c r="BG6145" s="3" t="s">
        <v>59187</v>
      </c>
    </row>
    <row r="6146" spans="1:59" ht="57" x14ac:dyDescent="0.45">
      <c r="A6146" s="2" t="s">
        <v>59</v>
      </c>
      <c r="B6146" s="2" t="s">
        <v>60</v>
      </c>
      <c r="C6146" s="2" t="s">
        <v>59188</v>
      </c>
      <c r="D6146" s="2" t="s">
        <v>59189</v>
      </c>
      <c r="E6146" s="2" t="s">
        <v>59190</v>
      </c>
      <c r="G6146" s="3" t="s">
        <v>62</v>
      </c>
      <c r="I6146" s="3" t="s">
        <v>61</v>
      </c>
      <c r="J6146" s="3" t="s">
        <v>62</v>
      </c>
      <c r="K6146" s="3" t="s">
        <v>63</v>
      </c>
      <c r="L6146" s="2" t="s">
        <v>59191</v>
      </c>
      <c r="M6146" s="2" t="s">
        <v>59192</v>
      </c>
      <c r="N6146" s="3" t="s">
        <v>1073</v>
      </c>
      <c r="P6146" s="3" t="s">
        <v>110</v>
      </c>
      <c r="Q6146" s="2" t="s">
        <v>59193</v>
      </c>
      <c r="R6146" s="3" t="s">
        <v>66</v>
      </c>
      <c r="S6146" s="4">
        <v>51</v>
      </c>
      <c r="T6146" s="4">
        <v>51</v>
      </c>
      <c r="U6146" s="5" t="s">
        <v>38607</v>
      </c>
      <c r="V6146" s="5" t="s">
        <v>38607</v>
      </c>
      <c r="W6146" s="5" t="s">
        <v>67</v>
      </c>
      <c r="X6146" s="5" t="s">
        <v>67</v>
      </c>
      <c r="Y6146" s="4">
        <v>107</v>
      </c>
      <c r="Z6146" s="4">
        <v>19</v>
      </c>
      <c r="AA6146" s="4">
        <v>29</v>
      </c>
      <c r="AB6146" s="4">
        <v>4</v>
      </c>
      <c r="AC6146" s="4">
        <v>10</v>
      </c>
      <c r="AD6146" s="4">
        <v>39</v>
      </c>
      <c r="AE6146" s="4">
        <v>46</v>
      </c>
      <c r="AF6146" s="4">
        <v>2</v>
      </c>
      <c r="AG6146" s="4">
        <v>6</v>
      </c>
      <c r="AH6146" s="4">
        <v>30</v>
      </c>
      <c r="AI6146" s="4">
        <v>33</v>
      </c>
      <c r="AJ6146" s="4">
        <v>12</v>
      </c>
      <c r="AK6146" s="4">
        <v>17</v>
      </c>
      <c r="AL6146" s="4">
        <v>16</v>
      </c>
      <c r="AM6146" s="4">
        <v>16</v>
      </c>
      <c r="AN6146" s="4">
        <v>0</v>
      </c>
      <c r="AO6146" s="4">
        <v>0</v>
      </c>
      <c r="AP6146" s="4">
        <v>15</v>
      </c>
      <c r="AQ6146" s="4">
        <v>21</v>
      </c>
      <c r="AR6146" s="3" t="s">
        <v>62</v>
      </c>
      <c r="AS6146" s="3" t="s">
        <v>62</v>
      </c>
      <c r="AT6146" s="3" t="s">
        <v>61</v>
      </c>
      <c r="AU6146" s="6" t="str">
        <f>HYPERLINK("http://catalog.hathitrust.org/Record/000130571","HathiTrust Record")</f>
        <v>HathiTrust Record</v>
      </c>
      <c r="AV6146" s="6" t="str">
        <f>HYPERLINK("http://mcgill.on.worldcat.org/oclc/2647976","Catalog Record")</f>
        <v>Catalog Record</v>
      </c>
      <c r="AW6146" s="6" t="str">
        <f>HYPERLINK("http://www.worldcat.org/oclc/2647976","WorldCat Record")</f>
        <v>WorldCat Record</v>
      </c>
      <c r="AX6146" s="3" t="s">
        <v>59194</v>
      </c>
      <c r="AY6146" s="3" t="s">
        <v>59195</v>
      </c>
      <c r="AZ6146" s="3" t="s">
        <v>59196</v>
      </c>
      <c r="BA6146" s="3" t="s">
        <v>59196</v>
      </c>
      <c r="BB6146" s="3" t="s">
        <v>59197</v>
      </c>
      <c r="BC6146" s="3" t="s">
        <v>142</v>
      </c>
      <c r="BD6146" s="3" t="s">
        <v>68</v>
      </c>
      <c r="BE6146" s="3" t="s">
        <v>59198</v>
      </c>
      <c r="BF6146" s="3" t="s">
        <v>59197</v>
      </c>
      <c r="BG6146" s="3" t="s">
        <v>59199</v>
      </c>
    </row>
    <row r="6147" spans="1:59" ht="57" x14ac:dyDescent="0.45">
      <c r="A6147" s="2" t="s">
        <v>59</v>
      </c>
      <c r="B6147" s="2" t="s">
        <v>60</v>
      </c>
      <c r="C6147" s="2" t="s">
        <v>59188</v>
      </c>
      <c r="D6147" s="2" t="s">
        <v>59189</v>
      </c>
      <c r="E6147" s="2" t="s">
        <v>59190</v>
      </c>
      <c r="G6147" s="3" t="s">
        <v>62</v>
      </c>
      <c r="I6147" s="3" t="s">
        <v>61</v>
      </c>
      <c r="J6147" s="3" t="s">
        <v>62</v>
      </c>
      <c r="K6147" s="3" t="s">
        <v>63</v>
      </c>
      <c r="L6147" s="2" t="s">
        <v>59191</v>
      </c>
      <c r="M6147" s="2" t="s">
        <v>59192</v>
      </c>
      <c r="N6147" s="3" t="s">
        <v>1073</v>
      </c>
      <c r="P6147" s="3" t="s">
        <v>110</v>
      </c>
      <c r="Q6147" s="2" t="s">
        <v>59193</v>
      </c>
      <c r="R6147" s="3" t="s">
        <v>66</v>
      </c>
      <c r="S6147" s="4">
        <v>0</v>
      </c>
      <c r="T6147" s="4">
        <v>51</v>
      </c>
      <c r="V6147" s="5" t="s">
        <v>38607</v>
      </c>
      <c r="W6147" s="5" t="s">
        <v>67</v>
      </c>
      <c r="X6147" s="5" t="s">
        <v>67</v>
      </c>
      <c r="Y6147" s="4">
        <v>107</v>
      </c>
      <c r="Z6147" s="4">
        <v>19</v>
      </c>
      <c r="AA6147" s="4">
        <v>29</v>
      </c>
      <c r="AB6147" s="4">
        <v>4</v>
      </c>
      <c r="AC6147" s="4">
        <v>10</v>
      </c>
      <c r="AD6147" s="4">
        <v>39</v>
      </c>
      <c r="AE6147" s="4">
        <v>46</v>
      </c>
      <c r="AF6147" s="4">
        <v>2</v>
      </c>
      <c r="AG6147" s="4">
        <v>6</v>
      </c>
      <c r="AH6147" s="4">
        <v>30</v>
      </c>
      <c r="AI6147" s="4">
        <v>33</v>
      </c>
      <c r="AJ6147" s="4">
        <v>12</v>
      </c>
      <c r="AK6147" s="4">
        <v>17</v>
      </c>
      <c r="AL6147" s="4">
        <v>16</v>
      </c>
      <c r="AM6147" s="4">
        <v>16</v>
      </c>
      <c r="AN6147" s="4">
        <v>0</v>
      </c>
      <c r="AO6147" s="4">
        <v>0</v>
      </c>
      <c r="AP6147" s="4">
        <v>15</v>
      </c>
      <c r="AQ6147" s="4">
        <v>21</v>
      </c>
      <c r="AR6147" s="3" t="s">
        <v>62</v>
      </c>
      <c r="AS6147" s="3" t="s">
        <v>62</v>
      </c>
      <c r="AT6147" s="3" t="s">
        <v>61</v>
      </c>
      <c r="AU6147" s="6" t="str">
        <f>HYPERLINK("http://catalog.hathitrust.org/Record/000130571","HathiTrust Record")</f>
        <v>HathiTrust Record</v>
      </c>
      <c r="AV6147" s="6" t="str">
        <f>HYPERLINK("http://mcgill.on.worldcat.org/oclc/2647976","Catalog Record")</f>
        <v>Catalog Record</v>
      </c>
      <c r="AW6147" s="6" t="str">
        <f>HYPERLINK("http://www.worldcat.org/oclc/2647976","WorldCat Record")</f>
        <v>WorldCat Record</v>
      </c>
      <c r="AX6147" s="3" t="s">
        <v>59194</v>
      </c>
      <c r="AY6147" s="3" t="s">
        <v>59195</v>
      </c>
      <c r="AZ6147" s="3" t="s">
        <v>59196</v>
      </c>
      <c r="BA6147" s="3" t="s">
        <v>59196</v>
      </c>
      <c r="BB6147" s="3" t="s">
        <v>59200</v>
      </c>
      <c r="BC6147" s="3" t="s">
        <v>142</v>
      </c>
      <c r="BD6147" s="3" t="s">
        <v>68</v>
      </c>
      <c r="BE6147" s="3" t="s">
        <v>59198</v>
      </c>
      <c r="BF6147" s="3" t="s">
        <v>59200</v>
      </c>
      <c r="BG6147" s="3" t="s">
        <v>59201</v>
      </c>
    </row>
    <row r="6148" spans="1:59" ht="57" x14ac:dyDescent="0.45">
      <c r="A6148" s="2" t="s">
        <v>59</v>
      </c>
      <c r="B6148" s="2" t="s">
        <v>60</v>
      </c>
      <c r="C6148" s="2" t="s">
        <v>59202</v>
      </c>
      <c r="D6148" s="2" t="s">
        <v>59203</v>
      </c>
      <c r="E6148" s="2" t="s">
        <v>59204</v>
      </c>
      <c r="G6148" s="3" t="s">
        <v>62</v>
      </c>
      <c r="I6148" s="3" t="s">
        <v>61</v>
      </c>
      <c r="J6148" s="3" t="s">
        <v>62</v>
      </c>
      <c r="K6148" s="3" t="s">
        <v>63</v>
      </c>
      <c r="L6148" s="2" t="s">
        <v>59191</v>
      </c>
      <c r="M6148" s="2" t="s">
        <v>59205</v>
      </c>
      <c r="N6148" s="3" t="s">
        <v>72</v>
      </c>
      <c r="P6148" s="3" t="s">
        <v>110</v>
      </c>
      <c r="Q6148" s="2" t="s">
        <v>59206</v>
      </c>
      <c r="R6148" s="3" t="s">
        <v>66</v>
      </c>
      <c r="S6148" s="4">
        <v>35</v>
      </c>
      <c r="T6148" s="4">
        <v>138</v>
      </c>
      <c r="U6148" s="5" t="s">
        <v>59207</v>
      </c>
      <c r="V6148" s="5" t="s">
        <v>58733</v>
      </c>
      <c r="W6148" s="5" t="s">
        <v>67</v>
      </c>
      <c r="X6148" s="5" t="s">
        <v>67</v>
      </c>
      <c r="Y6148" s="4">
        <v>260</v>
      </c>
      <c r="Z6148" s="4">
        <v>25</v>
      </c>
      <c r="AA6148" s="4">
        <v>42</v>
      </c>
      <c r="AB6148" s="4">
        <v>3</v>
      </c>
      <c r="AC6148" s="4">
        <v>11</v>
      </c>
      <c r="AD6148" s="4">
        <v>94</v>
      </c>
      <c r="AE6148" s="4">
        <v>110</v>
      </c>
      <c r="AF6148" s="4">
        <v>1</v>
      </c>
      <c r="AG6148" s="4">
        <v>6</v>
      </c>
      <c r="AH6148" s="4">
        <v>78</v>
      </c>
      <c r="AI6148" s="4">
        <v>86</v>
      </c>
      <c r="AJ6148" s="4">
        <v>17</v>
      </c>
      <c r="AK6148" s="4">
        <v>24</v>
      </c>
      <c r="AL6148" s="4">
        <v>47</v>
      </c>
      <c r="AM6148" s="4">
        <v>50</v>
      </c>
      <c r="AN6148" s="4">
        <v>0</v>
      </c>
      <c r="AO6148" s="4">
        <v>0</v>
      </c>
      <c r="AP6148" s="4">
        <v>20</v>
      </c>
      <c r="AQ6148" s="4">
        <v>30</v>
      </c>
      <c r="AR6148" s="3" t="s">
        <v>62</v>
      </c>
      <c r="AS6148" s="3" t="s">
        <v>62</v>
      </c>
      <c r="AT6148" s="3" t="s">
        <v>61</v>
      </c>
      <c r="AU6148" s="6" t="str">
        <f>HYPERLINK("http://catalog.hathitrust.org/Record/001436226","HathiTrust Record")</f>
        <v>HathiTrust Record</v>
      </c>
      <c r="AV6148" s="6" t="str">
        <f>HYPERLINK("http://mcgill.on.worldcat.org/oclc/849975","Catalog Record")</f>
        <v>Catalog Record</v>
      </c>
      <c r="AW6148" s="6" t="str">
        <f>HYPERLINK("http://www.worldcat.org/oclc/849975","WorldCat Record")</f>
        <v>WorldCat Record</v>
      </c>
      <c r="AX6148" s="3" t="s">
        <v>59208</v>
      </c>
      <c r="AY6148" s="3" t="s">
        <v>59209</v>
      </c>
      <c r="AZ6148" s="3" t="s">
        <v>59210</v>
      </c>
      <c r="BA6148" s="3" t="s">
        <v>59210</v>
      </c>
      <c r="BB6148" s="3" t="s">
        <v>59211</v>
      </c>
      <c r="BC6148" s="3" t="s">
        <v>142</v>
      </c>
      <c r="BD6148" s="3" t="s">
        <v>68</v>
      </c>
      <c r="BF6148" s="3" t="s">
        <v>59211</v>
      </c>
      <c r="BG6148" s="3" t="s">
        <v>59212</v>
      </c>
    </row>
    <row r="6149" spans="1:59" ht="57" x14ac:dyDescent="0.45">
      <c r="A6149" s="2" t="s">
        <v>59</v>
      </c>
      <c r="B6149" s="2" t="s">
        <v>60</v>
      </c>
      <c r="C6149" s="2" t="s">
        <v>59202</v>
      </c>
      <c r="D6149" s="2" t="s">
        <v>59203</v>
      </c>
      <c r="E6149" s="2" t="s">
        <v>59204</v>
      </c>
      <c r="G6149" s="3" t="s">
        <v>62</v>
      </c>
      <c r="I6149" s="3" t="s">
        <v>61</v>
      </c>
      <c r="J6149" s="3" t="s">
        <v>62</v>
      </c>
      <c r="K6149" s="3" t="s">
        <v>63</v>
      </c>
      <c r="L6149" s="2" t="s">
        <v>59191</v>
      </c>
      <c r="M6149" s="2" t="s">
        <v>59205</v>
      </c>
      <c r="N6149" s="3" t="s">
        <v>72</v>
      </c>
      <c r="P6149" s="3" t="s">
        <v>110</v>
      </c>
      <c r="Q6149" s="2" t="s">
        <v>59206</v>
      </c>
      <c r="R6149" s="3" t="s">
        <v>66</v>
      </c>
      <c r="S6149" s="4">
        <v>39</v>
      </c>
      <c r="T6149" s="4">
        <v>138</v>
      </c>
      <c r="U6149" s="5" t="s">
        <v>58733</v>
      </c>
      <c r="V6149" s="5" t="s">
        <v>58733</v>
      </c>
      <c r="W6149" s="5" t="s">
        <v>67</v>
      </c>
      <c r="X6149" s="5" t="s">
        <v>67</v>
      </c>
      <c r="Y6149" s="4">
        <v>260</v>
      </c>
      <c r="Z6149" s="4">
        <v>25</v>
      </c>
      <c r="AA6149" s="4">
        <v>42</v>
      </c>
      <c r="AB6149" s="4">
        <v>3</v>
      </c>
      <c r="AC6149" s="4">
        <v>11</v>
      </c>
      <c r="AD6149" s="4">
        <v>94</v>
      </c>
      <c r="AE6149" s="4">
        <v>110</v>
      </c>
      <c r="AF6149" s="4">
        <v>1</v>
      </c>
      <c r="AG6149" s="4">
        <v>6</v>
      </c>
      <c r="AH6149" s="4">
        <v>78</v>
      </c>
      <c r="AI6149" s="4">
        <v>86</v>
      </c>
      <c r="AJ6149" s="4">
        <v>17</v>
      </c>
      <c r="AK6149" s="4">
        <v>24</v>
      </c>
      <c r="AL6149" s="4">
        <v>47</v>
      </c>
      <c r="AM6149" s="4">
        <v>50</v>
      </c>
      <c r="AN6149" s="4">
        <v>0</v>
      </c>
      <c r="AO6149" s="4">
        <v>0</v>
      </c>
      <c r="AP6149" s="4">
        <v>20</v>
      </c>
      <c r="AQ6149" s="4">
        <v>30</v>
      </c>
      <c r="AR6149" s="3" t="s">
        <v>62</v>
      </c>
      <c r="AS6149" s="3" t="s">
        <v>62</v>
      </c>
      <c r="AT6149" s="3" t="s">
        <v>61</v>
      </c>
      <c r="AU6149" s="6" t="str">
        <f>HYPERLINK("http://catalog.hathitrust.org/Record/001436226","HathiTrust Record")</f>
        <v>HathiTrust Record</v>
      </c>
      <c r="AV6149" s="6" t="str">
        <f>HYPERLINK("http://mcgill.on.worldcat.org/oclc/849975","Catalog Record")</f>
        <v>Catalog Record</v>
      </c>
      <c r="AW6149" s="6" t="str">
        <f>HYPERLINK("http://www.worldcat.org/oclc/849975","WorldCat Record")</f>
        <v>WorldCat Record</v>
      </c>
      <c r="AX6149" s="3" t="s">
        <v>59208</v>
      </c>
      <c r="AY6149" s="3" t="s">
        <v>59209</v>
      </c>
      <c r="AZ6149" s="3" t="s">
        <v>59210</v>
      </c>
      <c r="BA6149" s="3" t="s">
        <v>59210</v>
      </c>
      <c r="BB6149" s="3" t="s">
        <v>59213</v>
      </c>
      <c r="BC6149" s="3" t="s">
        <v>142</v>
      </c>
      <c r="BD6149" s="3" t="s">
        <v>68</v>
      </c>
      <c r="BF6149" s="3" t="s">
        <v>59213</v>
      </c>
      <c r="BG6149" s="3" t="s">
        <v>59214</v>
      </c>
    </row>
    <row r="6150" spans="1:59" ht="57" x14ac:dyDescent="0.45">
      <c r="A6150" s="2" t="s">
        <v>59</v>
      </c>
      <c r="B6150" s="2" t="s">
        <v>60</v>
      </c>
      <c r="C6150" s="2" t="s">
        <v>59202</v>
      </c>
      <c r="D6150" s="2" t="s">
        <v>59203</v>
      </c>
      <c r="E6150" s="2" t="s">
        <v>59204</v>
      </c>
      <c r="G6150" s="3" t="s">
        <v>62</v>
      </c>
      <c r="I6150" s="3" t="s">
        <v>61</v>
      </c>
      <c r="J6150" s="3" t="s">
        <v>62</v>
      </c>
      <c r="K6150" s="3" t="s">
        <v>63</v>
      </c>
      <c r="L6150" s="2" t="s">
        <v>59191</v>
      </c>
      <c r="M6150" s="2" t="s">
        <v>59205</v>
      </c>
      <c r="N6150" s="3" t="s">
        <v>72</v>
      </c>
      <c r="P6150" s="3" t="s">
        <v>110</v>
      </c>
      <c r="Q6150" s="2" t="s">
        <v>59206</v>
      </c>
      <c r="R6150" s="3" t="s">
        <v>66</v>
      </c>
      <c r="S6150" s="4">
        <v>37</v>
      </c>
      <c r="T6150" s="4">
        <v>138</v>
      </c>
      <c r="U6150" s="5" t="s">
        <v>51745</v>
      </c>
      <c r="V6150" s="5" t="s">
        <v>58733</v>
      </c>
      <c r="W6150" s="5" t="s">
        <v>67</v>
      </c>
      <c r="X6150" s="5" t="s">
        <v>67</v>
      </c>
      <c r="Y6150" s="4">
        <v>260</v>
      </c>
      <c r="Z6150" s="4">
        <v>25</v>
      </c>
      <c r="AA6150" s="4">
        <v>42</v>
      </c>
      <c r="AB6150" s="4">
        <v>3</v>
      </c>
      <c r="AC6150" s="4">
        <v>11</v>
      </c>
      <c r="AD6150" s="4">
        <v>94</v>
      </c>
      <c r="AE6150" s="4">
        <v>110</v>
      </c>
      <c r="AF6150" s="4">
        <v>1</v>
      </c>
      <c r="AG6150" s="4">
        <v>6</v>
      </c>
      <c r="AH6150" s="4">
        <v>78</v>
      </c>
      <c r="AI6150" s="4">
        <v>86</v>
      </c>
      <c r="AJ6150" s="4">
        <v>17</v>
      </c>
      <c r="AK6150" s="4">
        <v>24</v>
      </c>
      <c r="AL6150" s="4">
        <v>47</v>
      </c>
      <c r="AM6150" s="4">
        <v>50</v>
      </c>
      <c r="AN6150" s="4">
        <v>0</v>
      </c>
      <c r="AO6150" s="4">
        <v>0</v>
      </c>
      <c r="AP6150" s="4">
        <v>20</v>
      </c>
      <c r="AQ6150" s="4">
        <v>30</v>
      </c>
      <c r="AR6150" s="3" t="s">
        <v>62</v>
      </c>
      <c r="AS6150" s="3" t="s">
        <v>62</v>
      </c>
      <c r="AT6150" s="3" t="s">
        <v>61</v>
      </c>
      <c r="AU6150" s="6" t="str">
        <f>HYPERLINK("http://catalog.hathitrust.org/Record/001436226","HathiTrust Record")</f>
        <v>HathiTrust Record</v>
      </c>
      <c r="AV6150" s="6" t="str">
        <f>HYPERLINK("http://mcgill.on.worldcat.org/oclc/849975","Catalog Record")</f>
        <v>Catalog Record</v>
      </c>
      <c r="AW6150" s="6" t="str">
        <f>HYPERLINK("http://www.worldcat.org/oclc/849975","WorldCat Record")</f>
        <v>WorldCat Record</v>
      </c>
      <c r="AX6150" s="3" t="s">
        <v>59208</v>
      </c>
      <c r="AY6150" s="3" t="s">
        <v>59209</v>
      </c>
      <c r="AZ6150" s="3" t="s">
        <v>59210</v>
      </c>
      <c r="BA6150" s="3" t="s">
        <v>59210</v>
      </c>
      <c r="BB6150" s="3" t="s">
        <v>59215</v>
      </c>
      <c r="BC6150" s="3" t="s">
        <v>142</v>
      </c>
      <c r="BD6150" s="3" t="s">
        <v>308</v>
      </c>
      <c r="BF6150" s="3" t="s">
        <v>59215</v>
      </c>
      <c r="BG6150" s="3" t="s">
        <v>59216</v>
      </c>
    </row>
    <row r="6151" spans="1:59" ht="57" x14ac:dyDescent="0.45">
      <c r="A6151" s="2" t="s">
        <v>59</v>
      </c>
      <c r="B6151" s="2" t="s">
        <v>60</v>
      </c>
      <c r="C6151" s="2" t="s">
        <v>59202</v>
      </c>
      <c r="D6151" s="2" t="s">
        <v>59203</v>
      </c>
      <c r="E6151" s="2" t="s">
        <v>59204</v>
      </c>
      <c r="G6151" s="3" t="s">
        <v>62</v>
      </c>
      <c r="I6151" s="3" t="s">
        <v>61</v>
      </c>
      <c r="J6151" s="3" t="s">
        <v>62</v>
      </c>
      <c r="K6151" s="3" t="s">
        <v>63</v>
      </c>
      <c r="L6151" s="2" t="s">
        <v>59191</v>
      </c>
      <c r="M6151" s="2" t="s">
        <v>59205</v>
      </c>
      <c r="N6151" s="3" t="s">
        <v>72</v>
      </c>
      <c r="P6151" s="3" t="s">
        <v>110</v>
      </c>
      <c r="Q6151" s="2" t="s">
        <v>59206</v>
      </c>
      <c r="R6151" s="3" t="s">
        <v>66</v>
      </c>
      <c r="S6151" s="4">
        <v>27</v>
      </c>
      <c r="T6151" s="4">
        <v>138</v>
      </c>
      <c r="U6151" s="5" t="s">
        <v>59217</v>
      </c>
      <c r="V6151" s="5" t="s">
        <v>58733</v>
      </c>
      <c r="W6151" s="5" t="s">
        <v>67</v>
      </c>
      <c r="X6151" s="5" t="s">
        <v>67</v>
      </c>
      <c r="Y6151" s="4">
        <v>260</v>
      </c>
      <c r="Z6151" s="4">
        <v>25</v>
      </c>
      <c r="AA6151" s="4">
        <v>42</v>
      </c>
      <c r="AB6151" s="4">
        <v>3</v>
      </c>
      <c r="AC6151" s="4">
        <v>11</v>
      </c>
      <c r="AD6151" s="4">
        <v>94</v>
      </c>
      <c r="AE6151" s="4">
        <v>110</v>
      </c>
      <c r="AF6151" s="4">
        <v>1</v>
      </c>
      <c r="AG6151" s="4">
        <v>6</v>
      </c>
      <c r="AH6151" s="4">
        <v>78</v>
      </c>
      <c r="AI6151" s="4">
        <v>86</v>
      </c>
      <c r="AJ6151" s="4">
        <v>17</v>
      </c>
      <c r="AK6151" s="4">
        <v>24</v>
      </c>
      <c r="AL6151" s="4">
        <v>47</v>
      </c>
      <c r="AM6151" s="4">
        <v>50</v>
      </c>
      <c r="AN6151" s="4">
        <v>0</v>
      </c>
      <c r="AO6151" s="4">
        <v>0</v>
      </c>
      <c r="AP6151" s="4">
        <v>20</v>
      </c>
      <c r="AQ6151" s="4">
        <v>30</v>
      </c>
      <c r="AR6151" s="3" t="s">
        <v>62</v>
      </c>
      <c r="AS6151" s="3" t="s">
        <v>62</v>
      </c>
      <c r="AT6151" s="3" t="s">
        <v>61</v>
      </c>
      <c r="AU6151" s="6" t="str">
        <f>HYPERLINK("http://catalog.hathitrust.org/Record/001436226","HathiTrust Record")</f>
        <v>HathiTrust Record</v>
      </c>
      <c r="AV6151" s="6" t="str">
        <f>HYPERLINK("http://mcgill.on.worldcat.org/oclc/849975","Catalog Record")</f>
        <v>Catalog Record</v>
      </c>
      <c r="AW6151" s="6" t="str">
        <f>HYPERLINK("http://www.worldcat.org/oclc/849975","WorldCat Record")</f>
        <v>WorldCat Record</v>
      </c>
      <c r="AX6151" s="3" t="s">
        <v>59208</v>
      </c>
      <c r="AY6151" s="3" t="s">
        <v>59209</v>
      </c>
      <c r="AZ6151" s="3" t="s">
        <v>59210</v>
      </c>
      <c r="BA6151" s="3" t="s">
        <v>59210</v>
      </c>
      <c r="BB6151" s="3" t="s">
        <v>59218</v>
      </c>
      <c r="BC6151" s="3" t="s">
        <v>142</v>
      </c>
      <c r="BD6151" s="3" t="s">
        <v>68</v>
      </c>
      <c r="BF6151" s="3" t="s">
        <v>59218</v>
      </c>
      <c r="BG6151" s="3" t="s">
        <v>59219</v>
      </c>
    </row>
    <row r="6152" spans="1:59" ht="57" x14ac:dyDescent="0.45">
      <c r="A6152" s="2" t="s">
        <v>59</v>
      </c>
      <c r="B6152" s="2" t="s">
        <v>60</v>
      </c>
      <c r="C6152" s="2" t="s">
        <v>59220</v>
      </c>
      <c r="D6152" s="2" t="s">
        <v>59221</v>
      </c>
      <c r="E6152" s="2" t="s">
        <v>59222</v>
      </c>
      <c r="G6152" s="3" t="s">
        <v>62</v>
      </c>
      <c r="I6152" s="3" t="s">
        <v>62</v>
      </c>
      <c r="J6152" s="3" t="s">
        <v>62</v>
      </c>
      <c r="K6152" s="3" t="s">
        <v>63</v>
      </c>
      <c r="L6152" s="2" t="s">
        <v>59223</v>
      </c>
      <c r="M6152" s="2" t="s">
        <v>47181</v>
      </c>
      <c r="N6152" s="3" t="s">
        <v>1155</v>
      </c>
      <c r="P6152" s="3" t="s">
        <v>65</v>
      </c>
      <c r="R6152" s="3" t="s">
        <v>66</v>
      </c>
      <c r="S6152" s="4">
        <v>1</v>
      </c>
      <c r="T6152" s="4">
        <v>1</v>
      </c>
      <c r="U6152" s="5" t="s">
        <v>55775</v>
      </c>
      <c r="V6152" s="5" t="s">
        <v>55775</v>
      </c>
      <c r="W6152" s="5" t="s">
        <v>67</v>
      </c>
      <c r="X6152" s="5" t="s">
        <v>67</v>
      </c>
      <c r="Y6152" s="4">
        <v>137</v>
      </c>
      <c r="Z6152" s="4">
        <v>14</v>
      </c>
      <c r="AA6152" s="4">
        <v>80</v>
      </c>
      <c r="AB6152" s="4">
        <v>2</v>
      </c>
      <c r="AC6152" s="4">
        <v>16</v>
      </c>
      <c r="AD6152" s="4">
        <v>48</v>
      </c>
      <c r="AE6152" s="4">
        <v>118</v>
      </c>
      <c r="AF6152" s="4">
        <v>1</v>
      </c>
      <c r="AG6152" s="4">
        <v>8</v>
      </c>
      <c r="AH6152" s="4">
        <v>43</v>
      </c>
      <c r="AI6152" s="4">
        <v>84</v>
      </c>
      <c r="AJ6152" s="4">
        <v>9</v>
      </c>
      <c r="AK6152" s="4">
        <v>21</v>
      </c>
      <c r="AL6152" s="4">
        <v>26</v>
      </c>
      <c r="AM6152" s="4">
        <v>45</v>
      </c>
      <c r="AN6152" s="4">
        <v>0</v>
      </c>
      <c r="AO6152" s="4">
        <v>0</v>
      </c>
      <c r="AP6152" s="4">
        <v>11</v>
      </c>
      <c r="AQ6152" s="4">
        <v>42</v>
      </c>
      <c r="AR6152" s="3" t="s">
        <v>62</v>
      </c>
      <c r="AS6152" s="3" t="s">
        <v>62</v>
      </c>
      <c r="AT6152" s="3" t="s">
        <v>62</v>
      </c>
      <c r="AV6152" s="6" t="str">
        <f>HYPERLINK("http://mcgill.on.worldcat.org/oclc/730403876","Catalog Record")</f>
        <v>Catalog Record</v>
      </c>
      <c r="AW6152" s="6" t="str">
        <f>HYPERLINK("http://www.worldcat.org/oclc/730403876","WorldCat Record")</f>
        <v>WorldCat Record</v>
      </c>
      <c r="AX6152" s="3" t="s">
        <v>59224</v>
      </c>
      <c r="AY6152" s="3" t="s">
        <v>59225</v>
      </c>
      <c r="AZ6152" s="3" t="s">
        <v>59226</v>
      </c>
      <c r="BA6152" s="3" t="s">
        <v>59226</v>
      </c>
      <c r="BB6152" s="3" t="s">
        <v>59227</v>
      </c>
      <c r="BC6152" s="3" t="s">
        <v>142</v>
      </c>
      <c r="BD6152" s="3" t="s">
        <v>68</v>
      </c>
      <c r="BE6152" s="3" t="s">
        <v>59228</v>
      </c>
      <c r="BF6152" s="3" t="s">
        <v>59227</v>
      </c>
      <c r="BG6152" s="3" t="s">
        <v>59229</v>
      </c>
    </row>
    <row r="6153" spans="1:59" ht="57" x14ac:dyDescent="0.45">
      <c r="A6153" s="2" t="s">
        <v>59</v>
      </c>
      <c r="B6153" s="2" t="s">
        <v>60</v>
      </c>
      <c r="C6153" s="2" t="s">
        <v>59230</v>
      </c>
      <c r="D6153" s="2" t="s">
        <v>59231</v>
      </c>
      <c r="E6153" s="2" t="s">
        <v>59232</v>
      </c>
      <c r="G6153" s="3" t="s">
        <v>62</v>
      </c>
      <c r="I6153" s="3" t="s">
        <v>62</v>
      </c>
      <c r="J6153" s="3" t="s">
        <v>61</v>
      </c>
      <c r="K6153" s="3" t="s">
        <v>63</v>
      </c>
      <c r="L6153" s="2" t="s">
        <v>59223</v>
      </c>
      <c r="M6153" s="2" t="s">
        <v>13812</v>
      </c>
      <c r="N6153" s="3" t="s">
        <v>542</v>
      </c>
      <c r="P6153" s="3" t="s">
        <v>65</v>
      </c>
      <c r="R6153" s="3" t="s">
        <v>66</v>
      </c>
      <c r="S6153" s="4">
        <v>31</v>
      </c>
      <c r="T6153" s="4">
        <v>31</v>
      </c>
      <c r="U6153" s="5" t="s">
        <v>12520</v>
      </c>
      <c r="V6153" s="5" t="s">
        <v>12520</v>
      </c>
      <c r="W6153" s="5" t="s">
        <v>67</v>
      </c>
      <c r="X6153" s="5" t="s">
        <v>67</v>
      </c>
      <c r="Y6153" s="4">
        <v>303</v>
      </c>
      <c r="Z6153" s="4">
        <v>20</v>
      </c>
      <c r="AA6153" s="4">
        <v>41</v>
      </c>
      <c r="AB6153" s="4">
        <v>2</v>
      </c>
      <c r="AC6153" s="4">
        <v>11</v>
      </c>
      <c r="AD6153" s="4">
        <v>70</v>
      </c>
      <c r="AE6153" s="4">
        <v>113</v>
      </c>
      <c r="AF6153" s="4">
        <v>1</v>
      </c>
      <c r="AG6153" s="4">
        <v>6</v>
      </c>
      <c r="AH6153" s="4">
        <v>63</v>
      </c>
      <c r="AI6153" s="4">
        <v>94</v>
      </c>
      <c r="AJ6153" s="4">
        <v>14</v>
      </c>
      <c r="AK6153" s="4">
        <v>24</v>
      </c>
      <c r="AL6153" s="4">
        <v>36</v>
      </c>
      <c r="AM6153" s="4">
        <v>51</v>
      </c>
      <c r="AN6153" s="4">
        <v>0</v>
      </c>
      <c r="AO6153" s="4">
        <v>0</v>
      </c>
      <c r="AP6153" s="4">
        <v>15</v>
      </c>
      <c r="AQ6153" s="4">
        <v>29</v>
      </c>
      <c r="AR6153" s="3" t="s">
        <v>62</v>
      </c>
      <c r="AS6153" s="3" t="s">
        <v>62</v>
      </c>
      <c r="AT6153" s="3" t="s">
        <v>62</v>
      </c>
      <c r="AV6153" s="6" t="str">
        <f>HYPERLINK("http://mcgill.on.worldcat.org/oclc/45137466","Catalog Record")</f>
        <v>Catalog Record</v>
      </c>
      <c r="AW6153" s="6" t="str">
        <f>HYPERLINK("http://www.worldcat.org/oclc/45137466","WorldCat Record")</f>
        <v>WorldCat Record</v>
      </c>
      <c r="AX6153" s="3" t="s">
        <v>59233</v>
      </c>
      <c r="AY6153" s="3" t="s">
        <v>59234</v>
      </c>
      <c r="AZ6153" s="3" t="s">
        <v>59235</v>
      </c>
      <c r="BA6153" s="3" t="s">
        <v>59235</v>
      </c>
      <c r="BB6153" s="3" t="s">
        <v>59236</v>
      </c>
      <c r="BC6153" s="3" t="s">
        <v>142</v>
      </c>
      <c r="BD6153" s="3" t="s">
        <v>68</v>
      </c>
      <c r="BE6153" s="3" t="s">
        <v>59237</v>
      </c>
      <c r="BF6153" s="3" t="s">
        <v>59236</v>
      </c>
      <c r="BG6153" s="3" t="s">
        <v>59238</v>
      </c>
    </row>
    <row r="6154" spans="1:59" ht="57" x14ac:dyDescent="0.45">
      <c r="A6154" s="2" t="s">
        <v>59</v>
      </c>
      <c r="B6154" s="2" t="s">
        <v>60</v>
      </c>
      <c r="C6154" s="2" t="s">
        <v>59239</v>
      </c>
      <c r="D6154" s="2" t="s">
        <v>59240</v>
      </c>
      <c r="E6154" s="2" t="s">
        <v>59232</v>
      </c>
      <c r="G6154" s="3" t="s">
        <v>62</v>
      </c>
      <c r="I6154" s="3" t="s">
        <v>62</v>
      </c>
      <c r="J6154" s="3" t="s">
        <v>61</v>
      </c>
      <c r="K6154" s="3" t="s">
        <v>63</v>
      </c>
      <c r="L6154" s="2" t="s">
        <v>59223</v>
      </c>
      <c r="M6154" s="2" t="s">
        <v>1841</v>
      </c>
      <c r="N6154" s="3" t="s">
        <v>820</v>
      </c>
      <c r="O6154" s="2" t="s">
        <v>933</v>
      </c>
      <c r="P6154" s="3" t="s">
        <v>65</v>
      </c>
      <c r="R6154" s="3" t="s">
        <v>66</v>
      </c>
      <c r="S6154" s="4">
        <v>22</v>
      </c>
      <c r="T6154" s="4">
        <v>22</v>
      </c>
      <c r="U6154" s="5" t="s">
        <v>26803</v>
      </c>
      <c r="V6154" s="5" t="s">
        <v>26803</v>
      </c>
      <c r="W6154" s="5" t="s">
        <v>67</v>
      </c>
      <c r="X6154" s="5" t="s">
        <v>67</v>
      </c>
      <c r="Y6154" s="4">
        <v>206</v>
      </c>
      <c r="Z6154" s="4">
        <v>13</v>
      </c>
      <c r="AA6154" s="4">
        <v>41</v>
      </c>
      <c r="AB6154" s="4">
        <v>2</v>
      </c>
      <c r="AC6154" s="4">
        <v>11</v>
      </c>
      <c r="AD6154" s="4">
        <v>43</v>
      </c>
      <c r="AE6154" s="4">
        <v>113</v>
      </c>
      <c r="AF6154" s="4">
        <v>1</v>
      </c>
      <c r="AG6154" s="4">
        <v>6</v>
      </c>
      <c r="AH6154" s="4">
        <v>38</v>
      </c>
      <c r="AI6154" s="4">
        <v>94</v>
      </c>
      <c r="AJ6154" s="4">
        <v>9</v>
      </c>
      <c r="AK6154" s="4">
        <v>24</v>
      </c>
      <c r="AL6154" s="4">
        <v>21</v>
      </c>
      <c r="AM6154" s="4">
        <v>51</v>
      </c>
      <c r="AN6154" s="4">
        <v>0</v>
      </c>
      <c r="AO6154" s="4">
        <v>0</v>
      </c>
      <c r="AP6154" s="4">
        <v>11</v>
      </c>
      <c r="AQ6154" s="4">
        <v>29</v>
      </c>
      <c r="AR6154" s="3" t="s">
        <v>62</v>
      </c>
      <c r="AS6154" s="3" t="s">
        <v>62</v>
      </c>
      <c r="AT6154" s="3" t="s">
        <v>62</v>
      </c>
      <c r="AV6154" s="6" t="str">
        <f>HYPERLINK("http://mcgill.on.worldcat.org/oclc/229467413","Catalog Record")</f>
        <v>Catalog Record</v>
      </c>
      <c r="AW6154" s="6" t="str">
        <f>HYPERLINK("http://www.worldcat.org/oclc/229467413","WorldCat Record")</f>
        <v>WorldCat Record</v>
      </c>
      <c r="AX6154" s="3" t="s">
        <v>59233</v>
      </c>
      <c r="AY6154" s="3" t="s">
        <v>59241</v>
      </c>
      <c r="AZ6154" s="3" t="s">
        <v>59242</v>
      </c>
      <c r="BA6154" s="3" t="s">
        <v>59242</v>
      </c>
      <c r="BB6154" s="3" t="s">
        <v>59243</v>
      </c>
      <c r="BC6154" s="3" t="s">
        <v>142</v>
      </c>
      <c r="BD6154" s="3" t="s">
        <v>308</v>
      </c>
      <c r="BE6154" s="3" t="s">
        <v>59244</v>
      </c>
      <c r="BF6154" s="3" t="s">
        <v>59243</v>
      </c>
      <c r="BG6154" s="3" t="s">
        <v>59245</v>
      </c>
    </row>
    <row r="6155" spans="1:59" ht="57" x14ac:dyDescent="0.45">
      <c r="A6155" s="2" t="s">
        <v>59</v>
      </c>
      <c r="B6155" s="2" t="s">
        <v>60</v>
      </c>
      <c r="C6155" s="2" t="s">
        <v>59246</v>
      </c>
      <c r="D6155" s="2" t="s">
        <v>59247</v>
      </c>
      <c r="E6155" s="2" t="s">
        <v>59232</v>
      </c>
      <c r="G6155" s="3" t="s">
        <v>62</v>
      </c>
      <c r="I6155" s="3" t="s">
        <v>62</v>
      </c>
      <c r="J6155" s="3" t="s">
        <v>61</v>
      </c>
      <c r="K6155" s="3" t="s">
        <v>63</v>
      </c>
      <c r="L6155" s="2" t="s">
        <v>59223</v>
      </c>
      <c r="M6155" s="2" t="s">
        <v>5879</v>
      </c>
      <c r="N6155" s="3" t="s">
        <v>1155</v>
      </c>
      <c r="O6155" s="2" t="s">
        <v>906</v>
      </c>
      <c r="P6155" s="3" t="s">
        <v>65</v>
      </c>
      <c r="R6155" s="3" t="s">
        <v>66</v>
      </c>
      <c r="S6155" s="4">
        <v>17</v>
      </c>
      <c r="T6155" s="4">
        <v>17</v>
      </c>
      <c r="U6155" s="5" t="s">
        <v>59248</v>
      </c>
      <c r="V6155" s="5" t="s">
        <v>59248</v>
      </c>
      <c r="W6155" s="5" t="s">
        <v>67</v>
      </c>
      <c r="X6155" s="5" t="s">
        <v>67</v>
      </c>
      <c r="Y6155" s="4">
        <v>195</v>
      </c>
      <c r="Z6155" s="4">
        <v>15</v>
      </c>
      <c r="AA6155" s="4">
        <v>41</v>
      </c>
      <c r="AB6155" s="4">
        <v>2</v>
      </c>
      <c r="AC6155" s="4">
        <v>11</v>
      </c>
      <c r="AD6155" s="4">
        <v>37</v>
      </c>
      <c r="AE6155" s="4">
        <v>113</v>
      </c>
      <c r="AF6155" s="4">
        <v>1</v>
      </c>
      <c r="AG6155" s="4">
        <v>6</v>
      </c>
      <c r="AH6155" s="4">
        <v>33</v>
      </c>
      <c r="AI6155" s="4">
        <v>94</v>
      </c>
      <c r="AJ6155" s="4">
        <v>10</v>
      </c>
      <c r="AK6155" s="4">
        <v>24</v>
      </c>
      <c r="AL6155" s="4">
        <v>16</v>
      </c>
      <c r="AM6155" s="4">
        <v>51</v>
      </c>
      <c r="AN6155" s="4">
        <v>0</v>
      </c>
      <c r="AO6155" s="4">
        <v>0</v>
      </c>
      <c r="AP6155" s="4">
        <v>11</v>
      </c>
      <c r="AQ6155" s="4">
        <v>29</v>
      </c>
      <c r="AR6155" s="3" t="s">
        <v>62</v>
      </c>
      <c r="AS6155" s="3" t="s">
        <v>62</v>
      </c>
      <c r="AT6155" s="3" t="s">
        <v>62</v>
      </c>
      <c r="AV6155" s="6" t="str">
        <f>HYPERLINK("http://mcgill.on.worldcat.org/oclc/757147295","Catalog Record")</f>
        <v>Catalog Record</v>
      </c>
      <c r="AW6155" s="6" t="str">
        <f>HYPERLINK("http://www.worldcat.org/oclc/757147295","WorldCat Record")</f>
        <v>WorldCat Record</v>
      </c>
      <c r="AX6155" s="3" t="s">
        <v>59233</v>
      </c>
      <c r="AY6155" s="3" t="s">
        <v>59249</v>
      </c>
      <c r="AZ6155" s="3" t="s">
        <v>59250</v>
      </c>
      <c r="BA6155" s="3" t="s">
        <v>59250</v>
      </c>
      <c r="BB6155" s="3" t="s">
        <v>59251</v>
      </c>
      <c r="BC6155" s="3" t="s">
        <v>142</v>
      </c>
      <c r="BD6155" s="3" t="s">
        <v>68</v>
      </c>
      <c r="BE6155" s="3" t="s">
        <v>59252</v>
      </c>
      <c r="BF6155" s="3" t="s">
        <v>59251</v>
      </c>
      <c r="BG6155" s="3" t="s">
        <v>59253</v>
      </c>
    </row>
    <row r="6156" spans="1:59" ht="57" x14ac:dyDescent="0.45">
      <c r="A6156" s="2" t="s">
        <v>59</v>
      </c>
      <c r="B6156" s="2" t="s">
        <v>60</v>
      </c>
      <c r="C6156" s="2" t="s">
        <v>59254</v>
      </c>
      <c r="D6156" s="2" t="s">
        <v>59255</v>
      </c>
      <c r="E6156" s="2" t="s">
        <v>59256</v>
      </c>
      <c r="G6156" s="3" t="s">
        <v>62</v>
      </c>
      <c r="I6156" s="3" t="s">
        <v>62</v>
      </c>
      <c r="J6156" s="3" t="s">
        <v>62</v>
      </c>
      <c r="K6156" s="3" t="s">
        <v>63</v>
      </c>
      <c r="L6156" s="2" t="s">
        <v>59191</v>
      </c>
      <c r="M6156" s="2" t="s">
        <v>59257</v>
      </c>
      <c r="N6156" s="3" t="s">
        <v>59258</v>
      </c>
      <c r="P6156" s="3" t="s">
        <v>110</v>
      </c>
      <c r="R6156" s="3" t="s">
        <v>66</v>
      </c>
      <c r="S6156" s="4">
        <v>83</v>
      </c>
      <c r="T6156" s="4">
        <v>83</v>
      </c>
      <c r="U6156" s="5" t="s">
        <v>9189</v>
      </c>
      <c r="V6156" s="5" t="s">
        <v>9189</v>
      </c>
      <c r="W6156" s="5" t="s">
        <v>67</v>
      </c>
      <c r="X6156" s="5" t="s">
        <v>67</v>
      </c>
      <c r="Y6156" s="4">
        <v>89</v>
      </c>
      <c r="Z6156" s="4">
        <v>13</v>
      </c>
      <c r="AA6156" s="4">
        <v>24</v>
      </c>
      <c r="AB6156" s="4">
        <v>1</v>
      </c>
      <c r="AC6156" s="4">
        <v>7</v>
      </c>
      <c r="AD6156" s="4">
        <v>42</v>
      </c>
      <c r="AE6156" s="4">
        <v>59</v>
      </c>
      <c r="AF6156" s="4">
        <v>0</v>
      </c>
      <c r="AG6156" s="4">
        <v>5</v>
      </c>
      <c r="AH6156" s="4">
        <v>36</v>
      </c>
      <c r="AI6156" s="4">
        <v>46</v>
      </c>
      <c r="AJ6156" s="4">
        <v>9</v>
      </c>
      <c r="AK6156" s="4">
        <v>16</v>
      </c>
      <c r="AL6156" s="4">
        <v>24</v>
      </c>
      <c r="AM6156" s="4">
        <v>30</v>
      </c>
      <c r="AN6156" s="4">
        <v>0</v>
      </c>
      <c r="AO6156" s="4">
        <v>0</v>
      </c>
      <c r="AP6156" s="4">
        <v>9</v>
      </c>
      <c r="AQ6156" s="4">
        <v>17</v>
      </c>
      <c r="AR6156" s="3" t="s">
        <v>62</v>
      </c>
      <c r="AS6156" s="3" t="s">
        <v>62</v>
      </c>
      <c r="AT6156" s="3" t="s">
        <v>61</v>
      </c>
      <c r="AU6156" s="6" t="str">
        <f>HYPERLINK("http://catalog.hathitrust.org/Record/001899549","HathiTrust Record")</f>
        <v>HathiTrust Record</v>
      </c>
      <c r="AV6156" s="6" t="str">
        <f>HYPERLINK("http://mcgill.on.worldcat.org/oclc/413478","Catalog Record")</f>
        <v>Catalog Record</v>
      </c>
      <c r="AW6156" s="6" t="str">
        <f>HYPERLINK("http://www.worldcat.org/oclc/413478","WorldCat Record")</f>
        <v>WorldCat Record</v>
      </c>
      <c r="AX6156" s="3" t="s">
        <v>59259</v>
      </c>
      <c r="AY6156" s="3" t="s">
        <v>59260</v>
      </c>
      <c r="AZ6156" s="3" t="s">
        <v>59261</v>
      </c>
      <c r="BA6156" s="3" t="s">
        <v>59261</v>
      </c>
      <c r="BB6156" s="3" t="s">
        <v>59262</v>
      </c>
      <c r="BC6156" s="3" t="s">
        <v>142</v>
      </c>
      <c r="BD6156" s="3" t="s">
        <v>68</v>
      </c>
      <c r="BE6156" s="3" t="s">
        <v>59263</v>
      </c>
      <c r="BF6156" s="3" t="s">
        <v>59262</v>
      </c>
      <c r="BG6156" s="3" t="s">
        <v>59264</v>
      </c>
    </row>
    <row r="6157" spans="1:59" ht="57" x14ac:dyDescent="0.45">
      <c r="A6157" s="2" t="s">
        <v>59</v>
      </c>
      <c r="B6157" s="2" t="s">
        <v>60</v>
      </c>
      <c r="C6157" s="2" t="s">
        <v>59265</v>
      </c>
      <c r="D6157" s="2" t="s">
        <v>59266</v>
      </c>
      <c r="E6157" s="2" t="s">
        <v>59267</v>
      </c>
      <c r="G6157" s="3" t="s">
        <v>62</v>
      </c>
      <c r="I6157" s="3" t="s">
        <v>62</v>
      </c>
      <c r="J6157" s="3" t="s">
        <v>62</v>
      </c>
      <c r="K6157" s="3" t="s">
        <v>63</v>
      </c>
      <c r="M6157" s="2" t="s">
        <v>59268</v>
      </c>
      <c r="N6157" s="3" t="s">
        <v>1855</v>
      </c>
      <c r="P6157" s="3" t="s">
        <v>65</v>
      </c>
      <c r="Q6157" s="2" t="s">
        <v>58330</v>
      </c>
      <c r="R6157" s="3" t="s">
        <v>66</v>
      </c>
      <c r="S6157" s="4">
        <v>44</v>
      </c>
      <c r="T6157" s="4">
        <v>44</v>
      </c>
      <c r="U6157" s="5" t="s">
        <v>613</v>
      </c>
      <c r="V6157" s="5" t="s">
        <v>613</v>
      </c>
      <c r="W6157" s="5" t="s">
        <v>67</v>
      </c>
      <c r="X6157" s="5" t="s">
        <v>67</v>
      </c>
      <c r="Y6157" s="4">
        <v>393</v>
      </c>
      <c r="Z6157" s="4">
        <v>27</v>
      </c>
      <c r="AA6157" s="4">
        <v>96</v>
      </c>
      <c r="AB6157" s="4">
        <v>2</v>
      </c>
      <c r="AC6157" s="4">
        <v>16</v>
      </c>
      <c r="AD6157" s="4">
        <v>117</v>
      </c>
      <c r="AE6157" s="4">
        <v>155</v>
      </c>
      <c r="AF6157" s="4">
        <v>1</v>
      </c>
      <c r="AG6157" s="4">
        <v>8</v>
      </c>
      <c r="AH6157" s="4">
        <v>101</v>
      </c>
      <c r="AI6157" s="4">
        <v>113</v>
      </c>
      <c r="AJ6157" s="4">
        <v>19</v>
      </c>
      <c r="AK6157" s="4">
        <v>27</v>
      </c>
      <c r="AL6157" s="4">
        <v>55</v>
      </c>
      <c r="AM6157" s="4">
        <v>62</v>
      </c>
      <c r="AN6157" s="4">
        <v>0</v>
      </c>
      <c r="AO6157" s="4">
        <v>0</v>
      </c>
      <c r="AP6157" s="4">
        <v>24</v>
      </c>
      <c r="AQ6157" s="4">
        <v>50</v>
      </c>
      <c r="AR6157" s="3" t="s">
        <v>62</v>
      </c>
      <c r="AS6157" s="3" t="s">
        <v>62</v>
      </c>
      <c r="AT6157" s="3" t="s">
        <v>62</v>
      </c>
      <c r="AV6157" s="6" t="str">
        <f>HYPERLINK("http://mcgill.on.worldcat.org/oclc/56793546","Catalog Record")</f>
        <v>Catalog Record</v>
      </c>
      <c r="AW6157" s="6" t="str">
        <f>HYPERLINK("http://www.worldcat.org/oclc/56793546","WorldCat Record")</f>
        <v>WorldCat Record</v>
      </c>
      <c r="AX6157" s="3" t="s">
        <v>59269</v>
      </c>
      <c r="AY6157" s="3" t="s">
        <v>59270</v>
      </c>
      <c r="AZ6157" s="3" t="s">
        <v>59271</v>
      </c>
      <c r="BA6157" s="3" t="s">
        <v>59271</v>
      </c>
      <c r="BB6157" s="3" t="s">
        <v>59272</v>
      </c>
      <c r="BC6157" s="3" t="s">
        <v>142</v>
      </c>
      <c r="BD6157" s="3" t="s">
        <v>308</v>
      </c>
      <c r="BE6157" s="3" t="s">
        <v>59273</v>
      </c>
      <c r="BF6157" s="3" t="s">
        <v>59272</v>
      </c>
      <c r="BG6157" s="3" t="s">
        <v>59274</v>
      </c>
    </row>
    <row r="6158" spans="1:59" ht="57" x14ac:dyDescent="0.45">
      <c r="A6158" s="2" t="s">
        <v>59</v>
      </c>
      <c r="B6158" s="2" t="s">
        <v>60</v>
      </c>
      <c r="C6158" s="2" t="s">
        <v>59275</v>
      </c>
      <c r="D6158" s="2" t="s">
        <v>59276</v>
      </c>
      <c r="E6158" s="2" t="s">
        <v>59277</v>
      </c>
      <c r="G6158" s="3" t="s">
        <v>62</v>
      </c>
      <c r="I6158" s="3" t="s">
        <v>62</v>
      </c>
      <c r="J6158" s="3" t="s">
        <v>62</v>
      </c>
      <c r="K6158" s="3" t="s">
        <v>63</v>
      </c>
      <c r="L6158" s="2" t="s">
        <v>59278</v>
      </c>
      <c r="M6158" s="2" t="s">
        <v>59279</v>
      </c>
      <c r="N6158" s="3" t="s">
        <v>84</v>
      </c>
      <c r="P6158" s="3" t="s">
        <v>65</v>
      </c>
      <c r="Q6158" s="2" t="s">
        <v>59280</v>
      </c>
      <c r="R6158" s="3" t="s">
        <v>66</v>
      </c>
      <c r="S6158" s="4">
        <v>18</v>
      </c>
      <c r="T6158" s="4">
        <v>18</v>
      </c>
      <c r="U6158" s="5" t="s">
        <v>32506</v>
      </c>
      <c r="V6158" s="5" t="s">
        <v>32506</v>
      </c>
      <c r="W6158" s="5" t="s">
        <v>67</v>
      </c>
      <c r="X6158" s="5" t="s">
        <v>67</v>
      </c>
      <c r="Y6158" s="4">
        <v>253</v>
      </c>
      <c r="Z6158" s="4">
        <v>20</v>
      </c>
      <c r="AA6158" s="4">
        <v>24</v>
      </c>
      <c r="AB6158" s="4">
        <v>4</v>
      </c>
      <c r="AC6158" s="4">
        <v>7</v>
      </c>
      <c r="AD6158" s="4">
        <v>97</v>
      </c>
      <c r="AE6158" s="4">
        <v>112</v>
      </c>
      <c r="AF6158" s="4">
        <v>2</v>
      </c>
      <c r="AG6158" s="4">
        <v>4</v>
      </c>
      <c r="AH6158" s="4">
        <v>86</v>
      </c>
      <c r="AI6158" s="4">
        <v>98</v>
      </c>
      <c r="AJ6158" s="4">
        <v>16</v>
      </c>
      <c r="AK6158" s="4">
        <v>17</v>
      </c>
      <c r="AL6158" s="4">
        <v>46</v>
      </c>
      <c r="AM6158" s="4">
        <v>52</v>
      </c>
      <c r="AN6158" s="4">
        <v>0</v>
      </c>
      <c r="AO6158" s="4">
        <v>0</v>
      </c>
      <c r="AP6158" s="4">
        <v>17</v>
      </c>
      <c r="AQ6158" s="4">
        <v>19</v>
      </c>
      <c r="AR6158" s="3" t="s">
        <v>62</v>
      </c>
      <c r="AS6158" s="3" t="s">
        <v>62</v>
      </c>
      <c r="AT6158" s="3" t="s">
        <v>61</v>
      </c>
      <c r="AU6158" s="6" t="str">
        <f>HYPERLINK("http://catalog.hathitrust.org/Record/002607897","HathiTrust Record")</f>
        <v>HathiTrust Record</v>
      </c>
      <c r="AV6158" s="6" t="str">
        <f>HYPERLINK("http://mcgill.on.worldcat.org/oclc/25411724","Catalog Record")</f>
        <v>Catalog Record</v>
      </c>
      <c r="AW6158" s="6" t="str">
        <f>HYPERLINK("http://www.worldcat.org/oclc/25411724","WorldCat Record")</f>
        <v>WorldCat Record</v>
      </c>
      <c r="AX6158" s="3" t="s">
        <v>59281</v>
      </c>
      <c r="AY6158" s="3" t="s">
        <v>59282</v>
      </c>
      <c r="AZ6158" s="3" t="s">
        <v>59283</v>
      </c>
      <c r="BA6158" s="3" t="s">
        <v>59283</v>
      </c>
      <c r="BB6158" s="3" t="s">
        <v>59284</v>
      </c>
      <c r="BC6158" s="3" t="s">
        <v>142</v>
      </c>
      <c r="BD6158" s="3" t="s">
        <v>68</v>
      </c>
      <c r="BE6158" s="3" t="s">
        <v>59285</v>
      </c>
      <c r="BF6158" s="3" t="s">
        <v>59284</v>
      </c>
      <c r="BG6158" s="3" t="s">
        <v>59286</v>
      </c>
    </row>
    <row r="6159" spans="1:59" ht="57" x14ac:dyDescent="0.45">
      <c r="A6159" s="2" t="s">
        <v>59</v>
      </c>
      <c r="B6159" s="2" t="s">
        <v>60</v>
      </c>
      <c r="C6159" s="2" t="s">
        <v>59287</v>
      </c>
      <c r="D6159" s="2" t="s">
        <v>59288</v>
      </c>
      <c r="E6159" s="2" t="s">
        <v>59289</v>
      </c>
      <c r="G6159" s="3" t="s">
        <v>62</v>
      </c>
      <c r="I6159" s="3" t="s">
        <v>62</v>
      </c>
      <c r="J6159" s="3" t="s">
        <v>62</v>
      </c>
      <c r="K6159" s="3" t="s">
        <v>63</v>
      </c>
      <c r="L6159" s="2" t="s">
        <v>59290</v>
      </c>
      <c r="M6159" s="2" t="s">
        <v>59291</v>
      </c>
      <c r="N6159" s="3" t="s">
        <v>2417</v>
      </c>
      <c r="P6159" s="3" t="s">
        <v>65</v>
      </c>
      <c r="Q6159" s="2" t="s">
        <v>59292</v>
      </c>
      <c r="R6159" s="3" t="s">
        <v>66</v>
      </c>
      <c r="S6159" s="4">
        <v>15</v>
      </c>
      <c r="T6159" s="4">
        <v>15</v>
      </c>
      <c r="U6159" s="5" t="s">
        <v>38630</v>
      </c>
      <c r="V6159" s="5" t="s">
        <v>38630</v>
      </c>
      <c r="W6159" s="5" t="s">
        <v>67</v>
      </c>
      <c r="X6159" s="5" t="s">
        <v>67</v>
      </c>
      <c r="Y6159" s="4">
        <v>301</v>
      </c>
      <c r="Z6159" s="4">
        <v>25</v>
      </c>
      <c r="AA6159" s="4">
        <v>30</v>
      </c>
      <c r="AB6159" s="4">
        <v>4</v>
      </c>
      <c r="AC6159" s="4">
        <v>7</v>
      </c>
      <c r="AD6159" s="4">
        <v>77</v>
      </c>
      <c r="AE6159" s="4">
        <v>80</v>
      </c>
      <c r="AF6159" s="4">
        <v>2</v>
      </c>
      <c r="AG6159" s="4">
        <v>5</v>
      </c>
      <c r="AH6159" s="4">
        <v>66</v>
      </c>
      <c r="AI6159" s="4">
        <v>67</v>
      </c>
      <c r="AJ6159" s="4">
        <v>16</v>
      </c>
      <c r="AK6159" s="4">
        <v>19</v>
      </c>
      <c r="AL6159" s="4">
        <v>33</v>
      </c>
      <c r="AM6159" s="4">
        <v>33</v>
      </c>
      <c r="AN6159" s="4">
        <v>0</v>
      </c>
      <c r="AO6159" s="4">
        <v>0</v>
      </c>
      <c r="AP6159" s="4">
        <v>21</v>
      </c>
      <c r="AQ6159" s="4">
        <v>23</v>
      </c>
      <c r="AR6159" s="3" t="s">
        <v>62</v>
      </c>
      <c r="AS6159" s="3" t="s">
        <v>62</v>
      </c>
      <c r="AT6159" s="3" t="s">
        <v>61</v>
      </c>
      <c r="AU6159" s="6" t="str">
        <f>HYPERLINK("http://catalog.hathitrust.org/Record/000927807","HathiTrust Record")</f>
        <v>HathiTrust Record</v>
      </c>
      <c r="AV6159" s="6" t="str">
        <f>HYPERLINK("http://mcgill.on.worldcat.org/oclc/15052999","Catalog Record")</f>
        <v>Catalog Record</v>
      </c>
      <c r="AW6159" s="6" t="str">
        <f>HYPERLINK("http://www.worldcat.org/oclc/15052999","WorldCat Record")</f>
        <v>WorldCat Record</v>
      </c>
      <c r="AX6159" s="3" t="s">
        <v>59293</v>
      </c>
      <c r="AY6159" s="3" t="s">
        <v>59294</v>
      </c>
      <c r="AZ6159" s="3" t="s">
        <v>59295</v>
      </c>
      <c r="BA6159" s="3" t="s">
        <v>59295</v>
      </c>
      <c r="BB6159" s="3" t="s">
        <v>59296</v>
      </c>
      <c r="BC6159" s="3" t="s">
        <v>142</v>
      </c>
      <c r="BD6159" s="3" t="s">
        <v>68</v>
      </c>
      <c r="BE6159" s="3" t="s">
        <v>59297</v>
      </c>
      <c r="BF6159" s="3" t="s">
        <v>59296</v>
      </c>
      <c r="BG6159" s="3" t="s">
        <v>59298</v>
      </c>
    </row>
    <row r="6160" spans="1:59" ht="57" x14ac:dyDescent="0.45">
      <c r="A6160" s="2" t="s">
        <v>59</v>
      </c>
      <c r="B6160" s="2" t="s">
        <v>60</v>
      </c>
      <c r="C6160" s="2" t="s">
        <v>59299</v>
      </c>
      <c r="D6160" s="2" t="s">
        <v>59300</v>
      </c>
      <c r="E6160" s="2" t="s">
        <v>59301</v>
      </c>
      <c r="G6160" s="3" t="s">
        <v>62</v>
      </c>
      <c r="I6160" s="3" t="s">
        <v>61</v>
      </c>
      <c r="J6160" s="3" t="s">
        <v>62</v>
      </c>
      <c r="K6160" s="3" t="s">
        <v>63</v>
      </c>
      <c r="L6160" s="2" t="s">
        <v>50346</v>
      </c>
      <c r="M6160" s="2" t="s">
        <v>59302</v>
      </c>
      <c r="N6160" s="3" t="s">
        <v>135</v>
      </c>
      <c r="P6160" s="3" t="s">
        <v>65</v>
      </c>
      <c r="R6160" s="3" t="s">
        <v>66</v>
      </c>
      <c r="S6160" s="4">
        <v>38</v>
      </c>
      <c r="T6160" s="4">
        <v>38</v>
      </c>
      <c r="U6160" s="5" t="s">
        <v>15621</v>
      </c>
      <c r="V6160" s="5" t="s">
        <v>15621</v>
      </c>
      <c r="W6160" s="5" t="s">
        <v>67</v>
      </c>
      <c r="X6160" s="5" t="s">
        <v>67</v>
      </c>
      <c r="Y6160" s="4">
        <v>744</v>
      </c>
      <c r="Z6160" s="4">
        <v>44</v>
      </c>
      <c r="AA6160" s="4">
        <v>56</v>
      </c>
      <c r="AB6160" s="4">
        <v>2</v>
      </c>
      <c r="AC6160" s="4">
        <v>9</v>
      </c>
      <c r="AD6160" s="4">
        <v>118</v>
      </c>
      <c r="AE6160" s="4">
        <v>129</v>
      </c>
      <c r="AF6160" s="4">
        <v>0</v>
      </c>
      <c r="AG6160" s="4">
        <v>5</v>
      </c>
      <c r="AH6160" s="4">
        <v>100</v>
      </c>
      <c r="AI6160" s="4">
        <v>104</v>
      </c>
      <c r="AJ6160" s="4">
        <v>19</v>
      </c>
      <c r="AK6160" s="4">
        <v>23</v>
      </c>
      <c r="AL6160" s="4">
        <v>55</v>
      </c>
      <c r="AM6160" s="4">
        <v>56</v>
      </c>
      <c r="AN6160" s="4">
        <v>0</v>
      </c>
      <c r="AO6160" s="4">
        <v>0</v>
      </c>
      <c r="AP6160" s="4">
        <v>25</v>
      </c>
      <c r="AQ6160" s="4">
        <v>32</v>
      </c>
      <c r="AR6160" s="3" t="s">
        <v>62</v>
      </c>
      <c r="AS6160" s="3" t="s">
        <v>62</v>
      </c>
      <c r="AT6160" s="3" t="s">
        <v>61</v>
      </c>
      <c r="AU6160" s="6" t="str">
        <f>HYPERLINK("http://catalog.hathitrust.org/Record/001436237","HathiTrust Record")</f>
        <v>HathiTrust Record</v>
      </c>
      <c r="AV6160" s="6" t="str">
        <f>HYPERLINK("http://mcgill.on.worldcat.org/oclc/778941","Catalog Record")</f>
        <v>Catalog Record</v>
      </c>
      <c r="AW6160" s="6" t="str">
        <f>HYPERLINK("http://www.worldcat.org/oclc/778941","WorldCat Record")</f>
        <v>WorldCat Record</v>
      </c>
      <c r="AX6160" s="3" t="s">
        <v>59303</v>
      </c>
      <c r="AY6160" s="3" t="s">
        <v>59304</v>
      </c>
      <c r="AZ6160" s="3" t="s">
        <v>59305</v>
      </c>
      <c r="BA6160" s="3" t="s">
        <v>59305</v>
      </c>
      <c r="BB6160" s="3" t="s">
        <v>59306</v>
      </c>
      <c r="BC6160" s="3" t="s">
        <v>142</v>
      </c>
      <c r="BD6160" s="3" t="s">
        <v>68</v>
      </c>
      <c r="BF6160" s="3" t="s">
        <v>59306</v>
      </c>
      <c r="BG6160" s="3" t="s">
        <v>59307</v>
      </c>
    </row>
    <row r="6161" spans="1:59" ht="71.25" x14ac:dyDescent="0.45">
      <c r="A6161" s="2" t="s">
        <v>59</v>
      </c>
      <c r="B6161" s="2" t="s">
        <v>60</v>
      </c>
      <c r="C6161" s="2" t="s">
        <v>59308</v>
      </c>
      <c r="D6161" s="2" t="s">
        <v>59309</v>
      </c>
      <c r="E6161" s="2" t="s">
        <v>59310</v>
      </c>
      <c r="G6161" s="3" t="s">
        <v>62</v>
      </c>
      <c r="I6161" s="3" t="s">
        <v>62</v>
      </c>
      <c r="J6161" s="3" t="s">
        <v>61</v>
      </c>
      <c r="K6161" s="3" t="s">
        <v>63</v>
      </c>
      <c r="L6161" s="2" t="s">
        <v>59311</v>
      </c>
      <c r="M6161" s="2" t="s">
        <v>50840</v>
      </c>
      <c r="N6161" s="3" t="s">
        <v>1855</v>
      </c>
      <c r="O6161" s="2" t="s">
        <v>933</v>
      </c>
      <c r="P6161" s="3" t="s">
        <v>65</v>
      </c>
      <c r="Q6161" s="2" t="s">
        <v>59312</v>
      </c>
      <c r="R6161" s="3" t="s">
        <v>66</v>
      </c>
      <c r="S6161" s="4">
        <v>9</v>
      </c>
      <c r="T6161" s="4">
        <v>9</v>
      </c>
      <c r="U6161" s="5" t="s">
        <v>32506</v>
      </c>
      <c r="V6161" s="5" t="s">
        <v>32506</v>
      </c>
      <c r="W6161" s="5" t="s">
        <v>67</v>
      </c>
      <c r="X6161" s="5" t="s">
        <v>67</v>
      </c>
      <c r="Y6161" s="4">
        <v>112</v>
      </c>
      <c r="Z6161" s="4">
        <v>3</v>
      </c>
      <c r="AA6161" s="4">
        <v>20</v>
      </c>
      <c r="AB6161" s="4">
        <v>1</v>
      </c>
      <c r="AC6161" s="4">
        <v>7</v>
      </c>
      <c r="AD6161" s="4">
        <v>30</v>
      </c>
      <c r="AE6161" s="4">
        <v>72</v>
      </c>
      <c r="AF6161" s="4">
        <v>0</v>
      </c>
      <c r="AG6161" s="4">
        <v>5</v>
      </c>
      <c r="AH6161" s="4">
        <v>30</v>
      </c>
      <c r="AI6161" s="4">
        <v>65</v>
      </c>
      <c r="AJ6161" s="4">
        <v>2</v>
      </c>
      <c r="AK6161" s="4">
        <v>14</v>
      </c>
      <c r="AL6161" s="4">
        <v>20</v>
      </c>
      <c r="AM6161" s="4">
        <v>42</v>
      </c>
      <c r="AN6161" s="4">
        <v>0</v>
      </c>
      <c r="AO6161" s="4">
        <v>0</v>
      </c>
      <c r="AP6161" s="4">
        <v>2</v>
      </c>
      <c r="AQ6161" s="4">
        <v>15</v>
      </c>
      <c r="AR6161" s="3" t="s">
        <v>62</v>
      </c>
      <c r="AS6161" s="3" t="s">
        <v>62</v>
      </c>
      <c r="AT6161" s="3" t="s">
        <v>62</v>
      </c>
      <c r="AV6161" s="6" t="str">
        <f>HYPERLINK("http://mcgill.on.worldcat.org/oclc/63198105","Catalog Record")</f>
        <v>Catalog Record</v>
      </c>
      <c r="AW6161" s="6" t="str">
        <f>HYPERLINK("http://www.worldcat.org/oclc/63198105","WorldCat Record")</f>
        <v>WorldCat Record</v>
      </c>
      <c r="AX6161" s="3" t="s">
        <v>59313</v>
      </c>
      <c r="AY6161" s="3" t="s">
        <v>59314</v>
      </c>
      <c r="AZ6161" s="3" t="s">
        <v>59315</v>
      </c>
      <c r="BA6161" s="3" t="s">
        <v>59315</v>
      </c>
      <c r="BB6161" s="3" t="s">
        <v>59316</v>
      </c>
      <c r="BC6161" s="3" t="s">
        <v>142</v>
      </c>
      <c r="BD6161" s="3" t="s">
        <v>68</v>
      </c>
      <c r="BE6161" s="3" t="s">
        <v>59317</v>
      </c>
      <c r="BF6161" s="3" t="s">
        <v>59316</v>
      </c>
      <c r="BG6161" s="3" t="s">
        <v>59318</v>
      </c>
    </row>
    <row r="6162" spans="1:59" ht="57" x14ac:dyDescent="0.45">
      <c r="A6162" s="2" t="s">
        <v>59</v>
      </c>
      <c r="B6162" s="2" t="s">
        <v>60</v>
      </c>
      <c r="C6162" s="2" t="s">
        <v>59319</v>
      </c>
      <c r="D6162" s="2" t="s">
        <v>59320</v>
      </c>
      <c r="E6162" s="2" t="s">
        <v>59321</v>
      </c>
      <c r="G6162" s="3" t="s">
        <v>62</v>
      </c>
      <c r="I6162" s="3" t="s">
        <v>62</v>
      </c>
      <c r="J6162" s="3" t="s">
        <v>62</v>
      </c>
      <c r="K6162" s="3" t="s">
        <v>63</v>
      </c>
      <c r="L6162" s="2" t="s">
        <v>59322</v>
      </c>
      <c r="M6162" s="2" t="s">
        <v>59323</v>
      </c>
      <c r="N6162" s="3" t="s">
        <v>894</v>
      </c>
      <c r="P6162" s="3" t="s">
        <v>65</v>
      </c>
      <c r="R6162" s="3" t="s">
        <v>66</v>
      </c>
      <c r="S6162" s="4">
        <v>1</v>
      </c>
      <c r="T6162" s="4">
        <v>1</v>
      </c>
      <c r="U6162" s="5" t="s">
        <v>59324</v>
      </c>
      <c r="V6162" s="5" t="s">
        <v>59324</v>
      </c>
      <c r="W6162" s="5" t="s">
        <v>67</v>
      </c>
      <c r="X6162" s="5" t="s">
        <v>67</v>
      </c>
      <c r="Y6162" s="4">
        <v>121</v>
      </c>
      <c r="Z6162" s="4">
        <v>12</v>
      </c>
      <c r="AA6162" s="4">
        <v>26</v>
      </c>
      <c r="AB6162" s="4">
        <v>1</v>
      </c>
      <c r="AC6162" s="4">
        <v>3</v>
      </c>
      <c r="AD6162" s="4">
        <v>65</v>
      </c>
      <c r="AE6162" s="4">
        <v>85</v>
      </c>
      <c r="AF6162" s="4">
        <v>0</v>
      </c>
      <c r="AG6162" s="4">
        <v>0</v>
      </c>
      <c r="AH6162" s="4">
        <v>62</v>
      </c>
      <c r="AI6162" s="4">
        <v>74</v>
      </c>
      <c r="AJ6162" s="4">
        <v>9</v>
      </c>
      <c r="AK6162" s="4">
        <v>10</v>
      </c>
      <c r="AL6162" s="4">
        <v>35</v>
      </c>
      <c r="AM6162" s="4">
        <v>42</v>
      </c>
      <c r="AN6162" s="4">
        <v>0</v>
      </c>
      <c r="AO6162" s="4">
        <v>0</v>
      </c>
      <c r="AP6162" s="4">
        <v>9</v>
      </c>
      <c r="AQ6162" s="4">
        <v>17</v>
      </c>
      <c r="AR6162" s="3" t="s">
        <v>62</v>
      </c>
      <c r="AS6162" s="3" t="s">
        <v>62</v>
      </c>
      <c r="AT6162" s="3" t="s">
        <v>62</v>
      </c>
      <c r="AV6162" s="6" t="str">
        <f>HYPERLINK("http://mcgill.on.worldcat.org/oclc/698328003","Catalog Record")</f>
        <v>Catalog Record</v>
      </c>
      <c r="AW6162" s="6" t="str">
        <f>HYPERLINK("http://www.worldcat.org/oclc/698328003","WorldCat Record")</f>
        <v>WorldCat Record</v>
      </c>
      <c r="AX6162" s="3" t="s">
        <v>59325</v>
      </c>
      <c r="AY6162" s="3" t="s">
        <v>59326</v>
      </c>
      <c r="AZ6162" s="3" t="s">
        <v>59327</v>
      </c>
      <c r="BA6162" s="3" t="s">
        <v>59327</v>
      </c>
      <c r="BB6162" s="3" t="s">
        <v>59328</v>
      </c>
      <c r="BC6162" s="3" t="s">
        <v>142</v>
      </c>
      <c r="BD6162" s="3" t="s">
        <v>68</v>
      </c>
      <c r="BE6162" s="3" t="s">
        <v>59329</v>
      </c>
      <c r="BF6162" s="3" t="s">
        <v>59328</v>
      </c>
      <c r="BG6162" s="3" t="s">
        <v>59330</v>
      </c>
    </row>
    <row r="6163" spans="1:59" ht="57" x14ac:dyDescent="0.45">
      <c r="A6163" s="2" t="s">
        <v>59</v>
      </c>
      <c r="B6163" s="2" t="s">
        <v>60</v>
      </c>
      <c r="C6163" s="2" t="s">
        <v>59331</v>
      </c>
      <c r="D6163" s="2" t="s">
        <v>59332</v>
      </c>
      <c r="E6163" s="2" t="s">
        <v>59333</v>
      </c>
      <c r="G6163" s="3" t="s">
        <v>62</v>
      </c>
      <c r="I6163" s="3" t="s">
        <v>62</v>
      </c>
      <c r="J6163" s="3" t="s">
        <v>62</v>
      </c>
      <c r="K6163" s="3" t="s">
        <v>63</v>
      </c>
      <c r="L6163" s="2" t="s">
        <v>59334</v>
      </c>
      <c r="M6163" s="2" t="s">
        <v>59335</v>
      </c>
      <c r="N6163" s="3" t="s">
        <v>894</v>
      </c>
      <c r="O6163" s="2" t="s">
        <v>59336</v>
      </c>
      <c r="P6163" s="3" t="s">
        <v>182</v>
      </c>
      <c r="R6163" s="3" t="s">
        <v>66</v>
      </c>
      <c r="S6163" s="4">
        <v>2</v>
      </c>
      <c r="T6163" s="4">
        <v>2</v>
      </c>
      <c r="U6163" s="5" t="s">
        <v>5802</v>
      </c>
      <c r="V6163" s="5" t="s">
        <v>5802</v>
      </c>
      <c r="W6163" s="5" t="s">
        <v>67</v>
      </c>
      <c r="X6163" s="5" t="s">
        <v>67</v>
      </c>
      <c r="Y6163" s="4">
        <v>15</v>
      </c>
      <c r="Z6163" s="4">
        <v>1</v>
      </c>
      <c r="AA6163" s="4">
        <v>4</v>
      </c>
      <c r="AB6163" s="4">
        <v>1</v>
      </c>
      <c r="AC6163" s="4">
        <v>3</v>
      </c>
      <c r="AD6163" s="4">
        <v>3</v>
      </c>
      <c r="AE6163" s="4">
        <v>9</v>
      </c>
      <c r="AF6163" s="4">
        <v>0</v>
      </c>
      <c r="AG6163" s="4">
        <v>1</v>
      </c>
      <c r="AH6163" s="4">
        <v>3</v>
      </c>
      <c r="AI6163" s="4">
        <v>7</v>
      </c>
      <c r="AJ6163" s="4">
        <v>0</v>
      </c>
      <c r="AK6163" s="4">
        <v>2</v>
      </c>
      <c r="AL6163" s="4">
        <v>2</v>
      </c>
      <c r="AM6163" s="4">
        <v>6</v>
      </c>
      <c r="AN6163" s="4">
        <v>0</v>
      </c>
      <c r="AO6163" s="4">
        <v>0</v>
      </c>
      <c r="AP6163" s="4">
        <v>0</v>
      </c>
      <c r="AQ6163" s="4">
        <v>1</v>
      </c>
      <c r="AR6163" s="3" t="s">
        <v>62</v>
      </c>
      <c r="AS6163" s="3" t="s">
        <v>62</v>
      </c>
      <c r="AT6163" s="3" t="s">
        <v>62</v>
      </c>
      <c r="AV6163" s="6" t="str">
        <f>HYPERLINK("http://mcgill.on.worldcat.org/oclc/768397138","Catalog Record")</f>
        <v>Catalog Record</v>
      </c>
      <c r="AW6163" s="6" t="str">
        <f>HYPERLINK("http://www.worldcat.org/oclc/768397138","WorldCat Record")</f>
        <v>WorldCat Record</v>
      </c>
      <c r="AX6163" s="3" t="s">
        <v>59337</v>
      </c>
      <c r="AY6163" s="3" t="s">
        <v>59338</v>
      </c>
      <c r="AZ6163" s="3" t="s">
        <v>59339</v>
      </c>
      <c r="BA6163" s="3" t="s">
        <v>59339</v>
      </c>
      <c r="BB6163" s="3" t="s">
        <v>59340</v>
      </c>
      <c r="BC6163" s="3" t="s">
        <v>142</v>
      </c>
      <c r="BD6163" s="3" t="s">
        <v>68</v>
      </c>
      <c r="BE6163" s="3" t="s">
        <v>59341</v>
      </c>
      <c r="BF6163" s="3" t="s">
        <v>59340</v>
      </c>
      <c r="BG6163" s="3" t="s">
        <v>59342</v>
      </c>
    </row>
    <row r="6164" spans="1:59" ht="57" x14ac:dyDescent="0.45">
      <c r="A6164" s="2" t="s">
        <v>59</v>
      </c>
      <c r="B6164" s="2" t="s">
        <v>60</v>
      </c>
      <c r="C6164" s="2" t="s">
        <v>59343</v>
      </c>
      <c r="D6164" s="2" t="s">
        <v>59344</v>
      </c>
      <c r="E6164" s="2" t="s">
        <v>59345</v>
      </c>
      <c r="G6164" s="3" t="s">
        <v>62</v>
      </c>
      <c r="I6164" s="3" t="s">
        <v>62</v>
      </c>
      <c r="J6164" s="3" t="s">
        <v>62</v>
      </c>
      <c r="K6164" s="3" t="s">
        <v>63</v>
      </c>
      <c r="M6164" s="2" t="s">
        <v>9187</v>
      </c>
      <c r="N6164" s="3" t="s">
        <v>894</v>
      </c>
      <c r="P6164" s="3" t="s">
        <v>65</v>
      </c>
      <c r="Q6164" s="2" t="s">
        <v>3949</v>
      </c>
      <c r="R6164" s="3" t="s">
        <v>66</v>
      </c>
      <c r="S6164" s="4">
        <v>12</v>
      </c>
      <c r="T6164" s="4">
        <v>12</v>
      </c>
      <c r="U6164" s="5" t="s">
        <v>51054</v>
      </c>
      <c r="V6164" s="5" t="s">
        <v>51054</v>
      </c>
      <c r="W6164" s="5" t="s">
        <v>67</v>
      </c>
      <c r="X6164" s="5" t="s">
        <v>67</v>
      </c>
      <c r="Y6164" s="4">
        <v>214</v>
      </c>
      <c r="Z6164" s="4">
        <v>20</v>
      </c>
      <c r="AA6164" s="4">
        <v>27</v>
      </c>
      <c r="AB6164" s="4">
        <v>2</v>
      </c>
      <c r="AC6164" s="4">
        <v>5</v>
      </c>
      <c r="AD6164" s="4">
        <v>75</v>
      </c>
      <c r="AE6164" s="4">
        <v>86</v>
      </c>
      <c r="AF6164" s="4">
        <v>1</v>
      </c>
      <c r="AG6164" s="4">
        <v>4</v>
      </c>
      <c r="AH6164" s="4">
        <v>69</v>
      </c>
      <c r="AI6164" s="4">
        <v>74</v>
      </c>
      <c r="AJ6164" s="4">
        <v>13</v>
      </c>
      <c r="AK6164" s="4">
        <v>17</v>
      </c>
      <c r="AL6164" s="4">
        <v>38</v>
      </c>
      <c r="AM6164" s="4">
        <v>43</v>
      </c>
      <c r="AN6164" s="4">
        <v>0</v>
      </c>
      <c r="AO6164" s="4">
        <v>0</v>
      </c>
      <c r="AP6164" s="4">
        <v>16</v>
      </c>
      <c r="AQ6164" s="4">
        <v>21</v>
      </c>
      <c r="AR6164" s="3" t="s">
        <v>62</v>
      </c>
      <c r="AS6164" s="3" t="s">
        <v>62</v>
      </c>
      <c r="AT6164" s="3" t="s">
        <v>62</v>
      </c>
      <c r="AV6164" s="6" t="str">
        <f>HYPERLINK("http://mcgill.on.worldcat.org/oclc/648932733","Catalog Record")</f>
        <v>Catalog Record</v>
      </c>
      <c r="AW6164" s="6" t="str">
        <f>HYPERLINK("http://www.worldcat.org/oclc/648932733","WorldCat Record")</f>
        <v>WorldCat Record</v>
      </c>
      <c r="AX6164" s="3" t="s">
        <v>59346</v>
      </c>
      <c r="AY6164" s="3" t="s">
        <v>59347</v>
      </c>
      <c r="AZ6164" s="3" t="s">
        <v>59348</v>
      </c>
      <c r="BA6164" s="3" t="s">
        <v>59348</v>
      </c>
      <c r="BB6164" s="3" t="s">
        <v>59349</v>
      </c>
      <c r="BC6164" s="3" t="s">
        <v>142</v>
      </c>
      <c r="BD6164" s="3" t="s">
        <v>308</v>
      </c>
      <c r="BE6164" s="3" t="s">
        <v>59350</v>
      </c>
      <c r="BF6164" s="3" t="s">
        <v>59349</v>
      </c>
      <c r="BG6164" s="3" t="s">
        <v>59351</v>
      </c>
    </row>
    <row r="6165" spans="1:59" ht="57" x14ac:dyDescent="0.45">
      <c r="A6165" s="2" t="s">
        <v>59</v>
      </c>
      <c r="B6165" s="2" t="s">
        <v>60</v>
      </c>
      <c r="C6165" s="2" t="s">
        <v>59352</v>
      </c>
      <c r="D6165" s="2" t="s">
        <v>59353</v>
      </c>
      <c r="E6165" s="2" t="s">
        <v>59354</v>
      </c>
      <c r="G6165" s="3" t="s">
        <v>62</v>
      </c>
      <c r="I6165" s="3" t="s">
        <v>62</v>
      </c>
      <c r="J6165" s="3" t="s">
        <v>61</v>
      </c>
      <c r="K6165" s="3" t="s">
        <v>63</v>
      </c>
      <c r="L6165" s="2" t="s">
        <v>59355</v>
      </c>
      <c r="M6165" s="2" t="s">
        <v>59356</v>
      </c>
      <c r="N6165" s="3" t="s">
        <v>1155</v>
      </c>
      <c r="O6165" s="2" t="s">
        <v>59357</v>
      </c>
      <c r="P6165" s="3" t="s">
        <v>110</v>
      </c>
      <c r="Q6165" s="2" t="s">
        <v>59358</v>
      </c>
      <c r="R6165" s="3" t="s">
        <v>66</v>
      </c>
      <c r="S6165" s="4">
        <v>0</v>
      </c>
      <c r="T6165" s="4">
        <v>0</v>
      </c>
      <c r="W6165" s="5" t="s">
        <v>67</v>
      </c>
      <c r="X6165" s="5" t="s">
        <v>67</v>
      </c>
      <c r="Y6165" s="4">
        <v>4</v>
      </c>
      <c r="Z6165" s="4">
        <v>3</v>
      </c>
      <c r="AA6165" s="4">
        <v>26</v>
      </c>
      <c r="AB6165" s="4">
        <v>2</v>
      </c>
      <c r="AC6165" s="4">
        <v>15</v>
      </c>
      <c r="AD6165" s="4">
        <v>0</v>
      </c>
      <c r="AE6165" s="4">
        <v>19</v>
      </c>
      <c r="AF6165" s="4">
        <v>0</v>
      </c>
      <c r="AG6165" s="4">
        <v>6</v>
      </c>
      <c r="AH6165" s="4">
        <v>0</v>
      </c>
      <c r="AI6165" s="4">
        <v>12</v>
      </c>
      <c r="AJ6165" s="4">
        <v>0</v>
      </c>
      <c r="AK6165" s="4">
        <v>10</v>
      </c>
      <c r="AL6165" s="4">
        <v>0</v>
      </c>
      <c r="AM6165" s="4">
        <v>5</v>
      </c>
      <c r="AN6165" s="4">
        <v>0</v>
      </c>
      <c r="AO6165" s="4">
        <v>0</v>
      </c>
      <c r="AP6165" s="4">
        <v>0</v>
      </c>
      <c r="AQ6165" s="4">
        <v>12</v>
      </c>
      <c r="AR6165" s="3" t="s">
        <v>62</v>
      </c>
      <c r="AS6165" s="3" t="s">
        <v>62</v>
      </c>
      <c r="AT6165" s="3" t="s">
        <v>62</v>
      </c>
      <c r="AV6165" s="6" t="str">
        <f>HYPERLINK("http://mcgill.on.worldcat.org/oclc/894346947","Catalog Record")</f>
        <v>Catalog Record</v>
      </c>
      <c r="AW6165" s="6" t="str">
        <f>HYPERLINK("http://www.worldcat.org/oclc/894346947","WorldCat Record")</f>
        <v>WorldCat Record</v>
      </c>
      <c r="AX6165" s="3" t="s">
        <v>59359</v>
      </c>
      <c r="AY6165" s="3" t="s">
        <v>59360</v>
      </c>
      <c r="AZ6165" s="3" t="s">
        <v>59361</v>
      </c>
      <c r="BA6165" s="3" t="s">
        <v>59361</v>
      </c>
      <c r="BB6165" s="3" t="s">
        <v>59362</v>
      </c>
      <c r="BC6165" s="3" t="s">
        <v>142</v>
      </c>
      <c r="BD6165" s="3" t="s">
        <v>68</v>
      </c>
      <c r="BE6165" s="3" t="s">
        <v>59363</v>
      </c>
      <c r="BF6165" s="3" t="s">
        <v>59362</v>
      </c>
      <c r="BG6165" s="3" t="s">
        <v>59364</v>
      </c>
    </row>
    <row r="6166" spans="1:59" ht="57" x14ac:dyDescent="0.45">
      <c r="A6166" s="2" t="s">
        <v>59</v>
      </c>
      <c r="B6166" s="2" t="s">
        <v>60</v>
      </c>
      <c r="C6166" s="2" t="s">
        <v>59365</v>
      </c>
      <c r="D6166" s="2" t="s">
        <v>59366</v>
      </c>
      <c r="E6166" s="2" t="s">
        <v>59354</v>
      </c>
      <c r="G6166" s="3" t="s">
        <v>62</v>
      </c>
      <c r="I6166" s="3" t="s">
        <v>62</v>
      </c>
      <c r="J6166" s="3" t="s">
        <v>61</v>
      </c>
      <c r="K6166" s="3" t="s">
        <v>63</v>
      </c>
      <c r="L6166" s="2" t="s">
        <v>59367</v>
      </c>
      <c r="M6166" s="2" t="s">
        <v>36123</v>
      </c>
      <c r="N6166" s="3" t="s">
        <v>208</v>
      </c>
      <c r="O6166" s="2" t="s">
        <v>59368</v>
      </c>
      <c r="P6166" s="3" t="s">
        <v>110</v>
      </c>
      <c r="Q6166" s="2" t="s">
        <v>59369</v>
      </c>
      <c r="R6166" s="3" t="s">
        <v>66</v>
      </c>
      <c r="S6166" s="4">
        <v>0</v>
      </c>
      <c r="T6166" s="4">
        <v>0</v>
      </c>
      <c r="W6166" s="5" t="s">
        <v>67</v>
      </c>
      <c r="X6166" s="5" t="s">
        <v>67</v>
      </c>
      <c r="Y6166" s="4">
        <v>3</v>
      </c>
      <c r="Z6166" s="4">
        <v>1</v>
      </c>
      <c r="AA6166" s="4">
        <v>26</v>
      </c>
      <c r="AB6166" s="4">
        <v>1</v>
      </c>
      <c r="AC6166" s="4">
        <v>15</v>
      </c>
      <c r="AD6166" s="4">
        <v>1</v>
      </c>
      <c r="AE6166" s="4">
        <v>19</v>
      </c>
      <c r="AF6166" s="4">
        <v>0</v>
      </c>
      <c r="AG6166" s="4">
        <v>6</v>
      </c>
      <c r="AH6166" s="4">
        <v>1</v>
      </c>
      <c r="AI6166" s="4">
        <v>12</v>
      </c>
      <c r="AJ6166" s="4">
        <v>0</v>
      </c>
      <c r="AK6166" s="4">
        <v>10</v>
      </c>
      <c r="AL6166" s="4">
        <v>0</v>
      </c>
      <c r="AM6166" s="4">
        <v>5</v>
      </c>
      <c r="AN6166" s="4">
        <v>0</v>
      </c>
      <c r="AO6166" s="4">
        <v>0</v>
      </c>
      <c r="AP6166" s="4">
        <v>0</v>
      </c>
      <c r="AQ6166" s="4">
        <v>12</v>
      </c>
      <c r="AR6166" s="3" t="s">
        <v>62</v>
      </c>
      <c r="AS6166" s="3" t="s">
        <v>62</v>
      </c>
      <c r="AT6166" s="3" t="s">
        <v>62</v>
      </c>
      <c r="AV6166" s="6" t="str">
        <f>HYPERLINK("http://mcgill.on.worldcat.org/oclc/950056297","Catalog Record")</f>
        <v>Catalog Record</v>
      </c>
      <c r="AW6166" s="6" t="str">
        <f>HYPERLINK("http://www.worldcat.org/oclc/950056297","WorldCat Record")</f>
        <v>WorldCat Record</v>
      </c>
      <c r="AX6166" s="3" t="s">
        <v>59359</v>
      </c>
      <c r="AY6166" s="3" t="s">
        <v>59370</v>
      </c>
      <c r="AZ6166" s="3" t="s">
        <v>59371</v>
      </c>
      <c r="BA6166" s="3" t="s">
        <v>59371</v>
      </c>
      <c r="BB6166" s="3" t="s">
        <v>59372</v>
      </c>
      <c r="BC6166" s="3" t="s">
        <v>142</v>
      </c>
      <c r="BD6166" s="3" t="s">
        <v>68</v>
      </c>
      <c r="BE6166" s="3" t="s">
        <v>59373</v>
      </c>
      <c r="BF6166" s="3" t="s">
        <v>59372</v>
      </c>
      <c r="BG6166" s="3" t="s">
        <v>59374</v>
      </c>
    </row>
    <row r="6167" spans="1:59" ht="128.25" x14ac:dyDescent="0.45">
      <c r="A6167" s="2" t="s">
        <v>59</v>
      </c>
      <c r="B6167" s="2" t="s">
        <v>60</v>
      </c>
      <c r="C6167" s="2" t="s">
        <v>59375</v>
      </c>
      <c r="D6167" s="2" t="s">
        <v>59376</v>
      </c>
      <c r="E6167" s="2" t="s">
        <v>59377</v>
      </c>
      <c r="G6167" s="3" t="s">
        <v>62</v>
      </c>
      <c r="I6167" s="3" t="s">
        <v>62</v>
      </c>
      <c r="J6167" s="3" t="s">
        <v>62</v>
      </c>
      <c r="K6167" s="3" t="s">
        <v>63</v>
      </c>
      <c r="L6167" s="2" t="s">
        <v>59378</v>
      </c>
      <c r="M6167" s="2" t="s">
        <v>59379</v>
      </c>
      <c r="N6167" s="3" t="s">
        <v>894</v>
      </c>
      <c r="P6167" s="3" t="s">
        <v>110</v>
      </c>
      <c r="Q6167" s="2" t="s">
        <v>59380</v>
      </c>
      <c r="R6167" s="3" t="s">
        <v>66</v>
      </c>
      <c r="S6167" s="4">
        <v>0</v>
      </c>
      <c r="T6167" s="4">
        <v>0</v>
      </c>
      <c r="W6167" s="5" t="s">
        <v>67</v>
      </c>
      <c r="X6167" s="5" t="s">
        <v>67</v>
      </c>
      <c r="Y6167" s="4">
        <v>16</v>
      </c>
      <c r="Z6167" s="4">
        <v>2</v>
      </c>
      <c r="AA6167" s="4">
        <v>6</v>
      </c>
      <c r="AB6167" s="4">
        <v>1</v>
      </c>
      <c r="AC6167" s="4">
        <v>4</v>
      </c>
      <c r="AD6167" s="4">
        <v>9</v>
      </c>
      <c r="AE6167" s="4">
        <v>12</v>
      </c>
      <c r="AF6167" s="4">
        <v>0</v>
      </c>
      <c r="AG6167" s="4">
        <v>2</v>
      </c>
      <c r="AH6167" s="4">
        <v>8</v>
      </c>
      <c r="AI6167" s="4">
        <v>10</v>
      </c>
      <c r="AJ6167" s="4">
        <v>1</v>
      </c>
      <c r="AK6167" s="4">
        <v>4</v>
      </c>
      <c r="AL6167" s="4">
        <v>7</v>
      </c>
      <c r="AM6167" s="4">
        <v>7</v>
      </c>
      <c r="AN6167" s="4">
        <v>0</v>
      </c>
      <c r="AO6167" s="4">
        <v>0</v>
      </c>
      <c r="AP6167" s="4">
        <v>1</v>
      </c>
      <c r="AQ6167" s="4">
        <v>3</v>
      </c>
      <c r="AR6167" s="3" t="s">
        <v>62</v>
      </c>
      <c r="AS6167" s="3" t="s">
        <v>62</v>
      </c>
      <c r="AT6167" s="3" t="s">
        <v>62</v>
      </c>
      <c r="AV6167" s="6" t="str">
        <f>HYPERLINK("http://mcgill.on.worldcat.org/oclc/732330310","Catalog Record")</f>
        <v>Catalog Record</v>
      </c>
      <c r="AW6167" s="6" t="str">
        <f>HYPERLINK("http://www.worldcat.org/oclc/732330310","WorldCat Record")</f>
        <v>WorldCat Record</v>
      </c>
      <c r="AX6167" s="3" t="s">
        <v>59381</v>
      </c>
      <c r="AY6167" s="3" t="s">
        <v>59382</v>
      </c>
      <c r="AZ6167" s="3" t="s">
        <v>59383</v>
      </c>
      <c r="BA6167" s="3" t="s">
        <v>59383</v>
      </c>
      <c r="BB6167" s="3" t="s">
        <v>59384</v>
      </c>
      <c r="BC6167" s="3" t="s">
        <v>142</v>
      </c>
      <c r="BD6167" s="3" t="s">
        <v>68</v>
      </c>
      <c r="BE6167" s="3" t="s">
        <v>59385</v>
      </c>
      <c r="BF6167" s="3" t="s">
        <v>59384</v>
      </c>
      <c r="BG6167" s="3" t="s">
        <v>59386</v>
      </c>
    </row>
    <row r="6168" spans="1:59" ht="57" x14ac:dyDescent="0.45">
      <c r="A6168" s="2" t="s">
        <v>59</v>
      </c>
      <c r="B6168" s="2" t="s">
        <v>60</v>
      </c>
      <c r="C6168" s="2" t="s">
        <v>59387</v>
      </c>
      <c r="D6168" s="2" t="s">
        <v>59388</v>
      </c>
      <c r="E6168" s="2" t="s">
        <v>59389</v>
      </c>
      <c r="G6168" s="3" t="s">
        <v>62</v>
      </c>
      <c r="I6168" s="3" t="s">
        <v>62</v>
      </c>
      <c r="J6168" s="3" t="s">
        <v>62</v>
      </c>
      <c r="K6168" s="3" t="s">
        <v>63</v>
      </c>
      <c r="L6168" s="2" t="s">
        <v>59390</v>
      </c>
      <c r="M6168" s="2" t="s">
        <v>59391</v>
      </c>
      <c r="N6168" s="3" t="s">
        <v>583</v>
      </c>
      <c r="P6168" s="3" t="s">
        <v>110</v>
      </c>
      <c r="R6168" s="3" t="s">
        <v>66</v>
      </c>
      <c r="S6168" s="4">
        <v>18</v>
      </c>
      <c r="T6168" s="4">
        <v>18</v>
      </c>
      <c r="U6168" s="5" t="s">
        <v>4187</v>
      </c>
      <c r="V6168" s="5" t="s">
        <v>4187</v>
      </c>
      <c r="W6168" s="5" t="s">
        <v>67</v>
      </c>
      <c r="X6168" s="5" t="s">
        <v>67</v>
      </c>
      <c r="Y6168" s="4">
        <v>11</v>
      </c>
      <c r="Z6168" s="4">
        <v>4</v>
      </c>
      <c r="AA6168" s="4">
        <v>33</v>
      </c>
      <c r="AB6168" s="4">
        <v>2</v>
      </c>
      <c r="AC6168" s="4">
        <v>9</v>
      </c>
      <c r="AD6168" s="4">
        <v>6</v>
      </c>
      <c r="AE6168" s="4">
        <v>61</v>
      </c>
      <c r="AF6168" s="4">
        <v>1</v>
      </c>
      <c r="AG6168" s="4">
        <v>6</v>
      </c>
      <c r="AH6168" s="4">
        <v>5</v>
      </c>
      <c r="AI6168" s="4">
        <v>45</v>
      </c>
      <c r="AJ6168" s="4">
        <v>2</v>
      </c>
      <c r="AK6168" s="4">
        <v>22</v>
      </c>
      <c r="AL6168" s="4">
        <v>5</v>
      </c>
      <c r="AM6168" s="4">
        <v>27</v>
      </c>
      <c r="AN6168" s="4">
        <v>0</v>
      </c>
      <c r="AO6168" s="4">
        <v>0</v>
      </c>
      <c r="AP6168" s="4">
        <v>2</v>
      </c>
      <c r="AQ6168" s="4">
        <v>26</v>
      </c>
      <c r="AR6168" s="3" t="s">
        <v>62</v>
      </c>
      <c r="AS6168" s="3" t="s">
        <v>62</v>
      </c>
      <c r="AT6168" s="3" t="s">
        <v>61</v>
      </c>
      <c r="AU6168" s="6" t="str">
        <f>HYPERLINK("http://catalog.hathitrust.org/Record/000744337","HathiTrust Record")</f>
        <v>HathiTrust Record</v>
      </c>
      <c r="AV6168" s="6" t="str">
        <f>HYPERLINK("http://mcgill.on.worldcat.org/oclc/13606032","Catalog Record")</f>
        <v>Catalog Record</v>
      </c>
      <c r="AW6168" s="6" t="str">
        <f>HYPERLINK("http://www.worldcat.org/oclc/13606032","WorldCat Record")</f>
        <v>WorldCat Record</v>
      </c>
      <c r="AX6168" s="3" t="s">
        <v>59392</v>
      </c>
      <c r="AY6168" s="3" t="s">
        <v>59393</v>
      </c>
      <c r="AZ6168" s="3" t="s">
        <v>59394</v>
      </c>
      <c r="BA6168" s="3" t="s">
        <v>59394</v>
      </c>
      <c r="BB6168" s="3" t="s">
        <v>59395</v>
      </c>
      <c r="BC6168" s="3" t="s">
        <v>142</v>
      </c>
      <c r="BD6168" s="3" t="s">
        <v>68</v>
      </c>
      <c r="BE6168" s="3" t="s">
        <v>59396</v>
      </c>
      <c r="BF6168" s="3" t="s">
        <v>59395</v>
      </c>
      <c r="BG6168" s="3" t="s">
        <v>59397</v>
      </c>
    </row>
    <row r="6169" spans="1:59" ht="57" x14ac:dyDescent="0.45">
      <c r="A6169" s="2" t="s">
        <v>59</v>
      </c>
      <c r="B6169" s="2" t="s">
        <v>60</v>
      </c>
      <c r="C6169" s="2" t="s">
        <v>59398</v>
      </c>
      <c r="D6169" s="2" t="s">
        <v>59399</v>
      </c>
      <c r="E6169" s="2" t="s">
        <v>59400</v>
      </c>
      <c r="G6169" s="3" t="s">
        <v>62</v>
      </c>
      <c r="I6169" s="3" t="s">
        <v>62</v>
      </c>
      <c r="J6169" s="3" t="s">
        <v>62</v>
      </c>
      <c r="K6169" s="3" t="s">
        <v>63</v>
      </c>
      <c r="M6169" s="2" t="s">
        <v>59401</v>
      </c>
      <c r="N6169" s="3" t="s">
        <v>542</v>
      </c>
      <c r="P6169" s="3" t="s">
        <v>65</v>
      </c>
      <c r="Q6169" s="2" t="s">
        <v>59402</v>
      </c>
      <c r="R6169" s="3" t="s">
        <v>66</v>
      </c>
      <c r="S6169" s="4">
        <v>17</v>
      </c>
      <c r="T6169" s="4">
        <v>17</v>
      </c>
      <c r="U6169" s="5" t="s">
        <v>5838</v>
      </c>
      <c r="V6169" s="5" t="s">
        <v>5838</v>
      </c>
      <c r="W6169" s="5" t="s">
        <v>67</v>
      </c>
      <c r="X6169" s="5" t="s">
        <v>67</v>
      </c>
      <c r="Y6169" s="4">
        <v>292</v>
      </c>
      <c r="Z6169" s="4">
        <v>25</v>
      </c>
      <c r="AA6169" s="4">
        <v>63</v>
      </c>
      <c r="AB6169" s="4">
        <v>3</v>
      </c>
      <c r="AC6169" s="4">
        <v>12</v>
      </c>
      <c r="AD6169" s="4">
        <v>94</v>
      </c>
      <c r="AE6169" s="4">
        <v>114</v>
      </c>
      <c r="AF6169" s="4">
        <v>1</v>
      </c>
      <c r="AG6169" s="4">
        <v>5</v>
      </c>
      <c r="AH6169" s="4">
        <v>82</v>
      </c>
      <c r="AI6169" s="4">
        <v>88</v>
      </c>
      <c r="AJ6169" s="4">
        <v>15</v>
      </c>
      <c r="AK6169" s="4">
        <v>22</v>
      </c>
      <c r="AL6169" s="4">
        <v>48</v>
      </c>
      <c r="AM6169" s="4">
        <v>50</v>
      </c>
      <c r="AN6169" s="4">
        <v>5</v>
      </c>
      <c r="AO6169" s="4">
        <v>5</v>
      </c>
      <c r="AP6169" s="4">
        <v>17</v>
      </c>
      <c r="AQ6169" s="4">
        <v>32</v>
      </c>
      <c r="AR6169" s="3" t="s">
        <v>62</v>
      </c>
      <c r="AS6169" s="3" t="s">
        <v>62</v>
      </c>
      <c r="AT6169" s="3" t="s">
        <v>61</v>
      </c>
      <c r="AU6169" s="6" t="str">
        <f>HYPERLINK("http://catalog.hathitrust.org/Record/003577373","HathiTrust Record")</f>
        <v>HathiTrust Record</v>
      </c>
      <c r="AV6169" s="6" t="str">
        <f>HYPERLINK("http://mcgill.on.worldcat.org/oclc/47634910","Catalog Record")</f>
        <v>Catalog Record</v>
      </c>
      <c r="AW6169" s="6" t="str">
        <f>HYPERLINK("http://www.worldcat.org/oclc/47634910","WorldCat Record")</f>
        <v>WorldCat Record</v>
      </c>
      <c r="AX6169" s="3" t="s">
        <v>59403</v>
      </c>
      <c r="AY6169" s="3" t="s">
        <v>59404</v>
      </c>
      <c r="AZ6169" s="3" t="s">
        <v>59405</v>
      </c>
      <c r="BA6169" s="3" t="s">
        <v>59405</v>
      </c>
      <c r="BB6169" s="3" t="s">
        <v>59406</v>
      </c>
      <c r="BC6169" s="3" t="s">
        <v>142</v>
      </c>
      <c r="BD6169" s="3" t="s">
        <v>68</v>
      </c>
      <c r="BE6169" s="3" t="s">
        <v>59407</v>
      </c>
      <c r="BF6169" s="3" t="s">
        <v>59406</v>
      </c>
      <c r="BG6169" s="3" t="s">
        <v>59408</v>
      </c>
    </row>
    <row r="6170" spans="1:59" ht="57" x14ac:dyDescent="0.45">
      <c r="A6170" s="2" t="s">
        <v>59</v>
      </c>
      <c r="B6170" s="2" t="s">
        <v>60</v>
      </c>
      <c r="C6170" s="2" t="s">
        <v>59409</v>
      </c>
      <c r="D6170" s="2" t="s">
        <v>59410</v>
      </c>
      <c r="E6170" s="2" t="s">
        <v>59411</v>
      </c>
      <c r="G6170" s="3" t="s">
        <v>62</v>
      </c>
      <c r="I6170" s="3" t="s">
        <v>62</v>
      </c>
      <c r="J6170" s="3" t="s">
        <v>62</v>
      </c>
      <c r="K6170" s="3" t="s">
        <v>63</v>
      </c>
      <c r="L6170" s="2" t="s">
        <v>59412</v>
      </c>
      <c r="M6170" s="2" t="s">
        <v>24809</v>
      </c>
      <c r="N6170" s="3" t="s">
        <v>1688</v>
      </c>
      <c r="O6170" s="2" t="s">
        <v>3280</v>
      </c>
      <c r="P6170" s="3" t="s">
        <v>65</v>
      </c>
      <c r="R6170" s="3" t="s">
        <v>66</v>
      </c>
      <c r="S6170" s="4">
        <v>7</v>
      </c>
      <c r="T6170" s="4">
        <v>7</v>
      </c>
      <c r="U6170" s="5" t="s">
        <v>59248</v>
      </c>
      <c r="V6170" s="5" t="s">
        <v>59248</v>
      </c>
      <c r="W6170" s="5" t="s">
        <v>67</v>
      </c>
      <c r="X6170" s="5" t="s">
        <v>67</v>
      </c>
      <c r="Y6170" s="4">
        <v>86</v>
      </c>
      <c r="Z6170" s="4">
        <v>7</v>
      </c>
      <c r="AA6170" s="4">
        <v>30</v>
      </c>
      <c r="AB6170" s="4">
        <v>2</v>
      </c>
      <c r="AC6170" s="4">
        <v>12</v>
      </c>
      <c r="AD6170" s="4">
        <v>19</v>
      </c>
      <c r="AE6170" s="4">
        <v>64</v>
      </c>
      <c r="AF6170" s="4">
        <v>0</v>
      </c>
      <c r="AG6170" s="4">
        <v>5</v>
      </c>
      <c r="AH6170" s="4">
        <v>18</v>
      </c>
      <c r="AI6170" s="4">
        <v>55</v>
      </c>
      <c r="AJ6170" s="4">
        <v>3</v>
      </c>
      <c r="AK6170" s="4">
        <v>17</v>
      </c>
      <c r="AL6170" s="4">
        <v>13</v>
      </c>
      <c r="AM6170" s="4">
        <v>32</v>
      </c>
      <c r="AN6170" s="4">
        <v>0</v>
      </c>
      <c r="AO6170" s="4">
        <v>0</v>
      </c>
      <c r="AP6170" s="4">
        <v>3</v>
      </c>
      <c r="AQ6170" s="4">
        <v>18</v>
      </c>
      <c r="AR6170" s="3" t="s">
        <v>62</v>
      </c>
      <c r="AS6170" s="3" t="s">
        <v>62</v>
      </c>
      <c r="AT6170" s="3" t="s">
        <v>62</v>
      </c>
      <c r="AV6170" s="6" t="str">
        <f>HYPERLINK("http://mcgill.on.worldcat.org/oclc/848267946","Catalog Record")</f>
        <v>Catalog Record</v>
      </c>
      <c r="AW6170" s="6" t="str">
        <f>HYPERLINK("http://www.worldcat.org/oclc/848267946","WorldCat Record")</f>
        <v>WorldCat Record</v>
      </c>
      <c r="AX6170" s="3" t="s">
        <v>59413</v>
      </c>
      <c r="AY6170" s="3" t="s">
        <v>59414</v>
      </c>
      <c r="AZ6170" s="3" t="s">
        <v>59415</v>
      </c>
      <c r="BA6170" s="3" t="s">
        <v>59415</v>
      </c>
      <c r="BB6170" s="3" t="s">
        <v>59416</v>
      </c>
      <c r="BC6170" s="3" t="s">
        <v>142</v>
      </c>
      <c r="BD6170" s="3" t="s">
        <v>68</v>
      </c>
      <c r="BE6170" s="3" t="s">
        <v>59417</v>
      </c>
      <c r="BF6170" s="3" t="s">
        <v>59416</v>
      </c>
      <c r="BG6170" s="3" t="s">
        <v>59418</v>
      </c>
    </row>
    <row r="6171" spans="1:59" ht="57" x14ac:dyDescent="0.45">
      <c r="A6171" s="2" t="s">
        <v>59</v>
      </c>
      <c r="B6171" s="2" t="s">
        <v>60</v>
      </c>
      <c r="C6171" s="2" t="s">
        <v>59419</v>
      </c>
      <c r="D6171" s="2" t="s">
        <v>59420</v>
      </c>
      <c r="E6171" s="2" t="s">
        <v>59421</v>
      </c>
      <c r="G6171" s="3" t="s">
        <v>62</v>
      </c>
      <c r="I6171" s="3" t="s">
        <v>62</v>
      </c>
      <c r="J6171" s="3" t="s">
        <v>62</v>
      </c>
      <c r="K6171" s="3" t="s">
        <v>63</v>
      </c>
      <c r="L6171" s="2" t="s">
        <v>59422</v>
      </c>
      <c r="M6171" s="2" t="s">
        <v>59423</v>
      </c>
      <c r="N6171" s="3" t="s">
        <v>1097</v>
      </c>
      <c r="P6171" s="3" t="s">
        <v>65</v>
      </c>
      <c r="Q6171" s="2" t="s">
        <v>59424</v>
      </c>
      <c r="R6171" s="3" t="s">
        <v>66</v>
      </c>
      <c r="S6171" s="4">
        <v>14</v>
      </c>
      <c r="T6171" s="4">
        <v>14</v>
      </c>
      <c r="U6171" s="5" t="s">
        <v>3232</v>
      </c>
      <c r="V6171" s="5" t="s">
        <v>3232</v>
      </c>
      <c r="W6171" s="5" t="s">
        <v>67</v>
      </c>
      <c r="X6171" s="5" t="s">
        <v>67</v>
      </c>
      <c r="Y6171" s="4">
        <v>114</v>
      </c>
      <c r="Z6171" s="4">
        <v>10</v>
      </c>
      <c r="AA6171" s="4">
        <v>95</v>
      </c>
      <c r="AB6171" s="4">
        <v>2</v>
      </c>
      <c r="AC6171" s="4">
        <v>17</v>
      </c>
      <c r="AD6171" s="4">
        <v>45</v>
      </c>
      <c r="AE6171" s="4">
        <v>115</v>
      </c>
      <c r="AF6171" s="4">
        <v>1</v>
      </c>
      <c r="AG6171" s="4">
        <v>8</v>
      </c>
      <c r="AH6171" s="4">
        <v>40</v>
      </c>
      <c r="AI6171" s="4">
        <v>79</v>
      </c>
      <c r="AJ6171" s="4">
        <v>8</v>
      </c>
      <c r="AK6171" s="4">
        <v>20</v>
      </c>
      <c r="AL6171" s="4">
        <v>23</v>
      </c>
      <c r="AM6171" s="4">
        <v>42</v>
      </c>
      <c r="AN6171" s="4">
        <v>0</v>
      </c>
      <c r="AO6171" s="4">
        <v>0</v>
      </c>
      <c r="AP6171" s="4">
        <v>8</v>
      </c>
      <c r="AQ6171" s="4">
        <v>41</v>
      </c>
      <c r="AR6171" s="3" t="s">
        <v>62</v>
      </c>
      <c r="AS6171" s="3" t="s">
        <v>62</v>
      </c>
      <c r="AT6171" s="3" t="s">
        <v>62</v>
      </c>
      <c r="AV6171" s="6" t="str">
        <f>HYPERLINK("http://mcgill.on.worldcat.org/oclc/54350155","Catalog Record")</f>
        <v>Catalog Record</v>
      </c>
      <c r="AW6171" s="6" t="str">
        <f>HYPERLINK("http://www.worldcat.org/oclc/54350155","WorldCat Record")</f>
        <v>WorldCat Record</v>
      </c>
      <c r="AX6171" s="3" t="s">
        <v>59425</v>
      </c>
      <c r="AY6171" s="3" t="s">
        <v>59426</v>
      </c>
      <c r="AZ6171" s="3" t="s">
        <v>59427</v>
      </c>
      <c r="BA6171" s="3" t="s">
        <v>59427</v>
      </c>
      <c r="BB6171" s="3" t="s">
        <v>59428</v>
      </c>
      <c r="BC6171" s="3" t="s">
        <v>142</v>
      </c>
      <c r="BD6171" s="3" t="s">
        <v>308</v>
      </c>
      <c r="BE6171" s="3" t="s">
        <v>59429</v>
      </c>
      <c r="BF6171" s="3" t="s">
        <v>59428</v>
      </c>
      <c r="BG6171" s="3" t="s">
        <v>59430</v>
      </c>
    </row>
    <row r="6172" spans="1:59" ht="57" x14ac:dyDescent="0.45">
      <c r="A6172" s="2" t="s">
        <v>59</v>
      </c>
      <c r="B6172" s="2" t="s">
        <v>60</v>
      </c>
      <c r="C6172" s="2" t="s">
        <v>59431</v>
      </c>
      <c r="D6172" s="2" t="s">
        <v>59432</v>
      </c>
      <c r="E6172" s="2" t="s">
        <v>59433</v>
      </c>
      <c r="G6172" s="3" t="s">
        <v>62</v>
      </c>
      <c r="I6172" s="3" t="s">
        <v>62</v>
      </c>
      <c r="J6172" s="3" t="s">
        <v>62</v>
      </c>
      <c r="K6172" s="3" t="s">
        <v>63</v>
      </c>
      <c r="M6172" s="2" t="s">
        <v>59434</v>
      </c>
      <c r="N6172" s="3" t="s">
        <v>1059</v>
      </c>
      <c r="P6172" s="3" t="s">
        <v>110</v>
      </c>
      <c r="Q6172" s="2" t="s">
        <v>59435</v>
      </c>
      <c r="R6172" s="3" t="s">
        <v>66</v>
      </c>
      <c r="S6172" s="4">
        <v>13</v>
      </c>
      <c r="T6172" s="4">
        <v>13</v>
      </c>
      <c r="U6172" s="5" t="s">
        <v>4187</v>
      </c>
      <c r="V6172" s="5" t="s">
        <v>4187</v>
      </c>
      <c r="W6172" s="5" t="s">
        <v>67</v>
      </c>
      <c r="X6172" s="5" t="s">
        <v>67</v>
      </c>
      <c r="Y6172" s="4">
        <v>23</v>
      </c>
      <c r="Z6172" s="4">
        <v>1</v>
      </c>
      <c r="AA6172" s="4">
        <v>7</v>
      </c>
      <c r="AB6172" s="4">
        <v>1</v>
      </c>
      <c r="AC6172" s="4">
        <v>5</v>
      </c>
      <c r="AD6172" s="4">
        <v>8</v>
      </c>
      <c r="AE6172" s="4">
        <v>15</v>
      </c>
      <c r="AF6172" s="4">
        <v>0</v>
      </c>
      <c r="AG6172" s="4">
        <v>4</v>
      </c>
      <c r="AH6172" s="4">
        <v>8</v>
      </c>
      <c r="AI6172" s="4">
        <v>11</v>
      </c>
      <c r="AJ6172" s="4">
        <v>0</v>
      </c>
      <c r="AK6172" s="4">
        <v>4</v>
      </c>
      <c r="AL6172" s="4">
        <v>6</v>
      </c>
      <c r="AM6172" s="4">
        <v>7</v>
      </c>
      <c r="AN6172" s="4">
        <v>5</v>
      </c>
      <c r="AO6172" s="4">
        <v>5</v>
      </c>
      <c r="AP6172" s="4">
        <v>0</v>
      </c>
      <c r="AQ6172" s="4">
        <v>5</v>
      </c>
      <c r="AR6172" s="3" t="s">
        <v>62</v>
      </c>
      <c r="AS6172" s="3" t="s">
        <v>62</v>
      </c>
      <c r="AT6172" s="3" t="s">
        <v>61</v>
      </c>
      <c r="AU6172" s="6" t="str">
        <f>HYPERLINK("http://catalog.hathitrust.org/Record/102178447","HathiTrust Record")</f>
        <v>HathiTrust Record</v>
      </c>
      <c r="AV6172" s="6" t="str">
        <f>HYPERLINK("http://mcgill.on.worldcat.org/oclc/122328452","Catalog Record")</f>
        <v>Catalog Record</v>
      </c>
      <c r="AW6172" s="6" t="str">
        <f>HYPERLINK("http://www.worldcat.org/oclc/122328452","WorldCat Record")</f>
        <v>WorldCat Record</v>
      </c>
      <c r="AX6172" s="3" t="s">
        <v>59436</v>
      </c>
      <c r="AY6172" s="3" t="s">
        <v>59437</v>
      </c>
      <c r="AZ6172" s="3" t="s">
        <v>59438</v>
      </c>
      <c r="BA6172" s="3" t="s">
        <v>59438</v>
      </c>
      <c r="BB6172" s="3" t="s">
        <v>59439</v>
      </c>
      <c r="BC6172" s="3" t="s">
        <v>142</v>
      </c>
      <c r="BD6172" s="3" t="s">
        <v>68</v>
      </c>
      <c r="BE6172" s="3" t="s">
        <v>59440</v>
      </c>
      <c r="BF6172" s="3" t="s">
        <v>59439</v>
      </c>
      <c r="BG6172" s="3" t="s">
        <v>59441</v>
      </c>
    </row>
    <row r="6173" spans="1:59" ht="57" x14ac:dyDescent="0.45">
      <c r="A6173" s="2" t="s">
        <v>59</v>
      </c>
      <c r="B6173" s="2" t="s">
        <v>60</v>
      </c>
      <c r="C6173" s="2" t="s">
        <v>59442</v>
      </c>
      <c r="D6173" s="2" t="s">
        <v>59443</v>
      </c>
      <c r="E6173" s="2" t="s">
        <v>59444</v>
      </c>
      <c r="G6173" s="3" t="s">
        <v>62</v>
      </c>
      <c r="I6173" s="3" t="s">
        <v>62</v>
      </c>
      <c r="J6173" s="3" t="s">
        <v>62</v>
      </c>
      <c r="K6173" s="3" t="s">
        <v>63</v>
      </c>
      <c r="L6173" s="2" t="s">
        <v>59445</v>
      </c>
      <c r="M6173" s="2" t="s">
        <v>59446</v>
      </c>
      <c r="N6173" s="3" t="s">
        <v>1855</v>
      </c>
      <c r="P6173" s="3" t="s">
        <v>65</v>
      </c>
      <c r="R6173" s="3" t="s">
        <v>66</v>
      </c>
      <c r="S6173" s="4">
        <v>14</v>
      </c>
      <c r="T6173" s="4">
        <v>14</v>
      </c>
      <c r="U6173" s="5" t="s">
        <v>59447</v>
      </c>
      <c r="V6173" s="5" t="s">
        <v>59447</v>
      </c>
      <c r="W6173" s="5" t="s">
        <v>67</v>
      </c>
      <c r="X6173" s="5" t="s">
        <v>67</v>
      </c>
      <c r="Y6173" s="4">
        <v>459</v>
      </c>
      <c r="Z6173" s="4">
        <v>22</v>
      </c>
      <c r="AA6173" s="4">
        <v>23</v>
      </c>
      <c r="AB6173" s="4">
        <v>3</v>
      </c>
      <c r="AC6173" s="4">
        <v>4</v>
      </c>
      <c r="AD6173" s="4">
        <v>99</v>
      </c>
      <c r="AE6173" s="4">
        <v>100</v>
      </c>
      <c r="AF6173" s="4">
        <v>1</v>
      </c>
      <c r="AG6173" s="4">
        <v>2</v>
      </c>
      <c r="AH6173" s="4">
        <v>92</v>
      </c>
      <c r="AI6173" s="4">
        <v>92</v>
      </c>
      <c r="AJ6173" s="4">
        <v>10</v>
      </c>
      <c r="AK6173" s="4">
        <v>11</v>
      </c>
      <c r="AL6173" s="4">
        <v>51</v>
      </c>
      <c r="AM6173" s="4">
        <v>51</v>
      </c>
      <c r="AN6173" s="4">
        <v>0</v>
      </c>
      <c r="AO6173" s="4">
        <v>0</v>
      </c>
      <c r="AP6173" s="4">
        <v>12</v>
      </c>
      <c r="AQ6173" s="4">
        <v>12</v>
      </c>
      <c r="AR6173" s="3" t="s">
        <v>62</v>
      </c>
      <c r="AS6173" s="3" t="s">
        <v>62</v>
      </c>
      <c r="AT6173" s="3" t="s">
        <v>62</v>
      </c>
      <c r="AV6173" s="6" t="str">
        <f>HYPERLINK("http://mcgill.on.worldcat.org/oclc/57201935","Catalog Record")</f>
        <v>Catalog Record</v>
      </c>
      <c r="AW6173" s="6" t="str">
        <f>HYPERLINK("http://www.worldcat.org/oclc/57201935","WorldCat Record")</f>
        <v>WorldCat Record</v>
      </c>
      <c r="AX6173" s="3" t="s">
        <v>59448</v>
      </c>
      <c r="AY6173" s="3" t="s">
        <v>59449</v>
      </c>
      <c r="AZ6173" s="3" t="s">
        <v>59450</v>
      </c>
      <c r="BA6173" s="3" t="s">
        <v>59450</v>
      </c>
      <c r="BB6173" s="3" t="s">
        <v>59451</v>
      </c>
      <c r="BC6173" s="3" t="s">
        <v>142</v>
      </c>
      <c r="BD6173" s="3" t="s">
        <v>68</v>
      </c>
      <c r="BE6173" s="3" t="s">
        <v>59452</v>
      </c>
      <c r="BF6173" s="3" t="s">
        <v>59451</v>
      </c>
      <c r="BG6173" s="3" t="s">
        <v>59453</v>
      </c>
    </row>
    <row r="6174" spans="1:59" ht="57" x14ac:dyDescent="0.45">
      <c r="A6174" s="2" t="s">
        <v>59</v>
      </c>
      <c r="B6174" s="2" t="s">
        <v>60</v>
      </c>
      <c r="C6174" s="2" t="s">
        <v>59454</v>
      </c>
      <c r="D6174" s="2" t="s">
        <v>59455</v>
      </c>
      <c r="E6174" s="2" t="s">
        <v>59456</v>
      </c>
      <c r="G6174" s="3" t="s">
        <v>62</v>
      </c>
      <c r="I6174" s="3" t="s">
        <v>62</v>
      </c>
      <c r="J6174" s="3" t="s">
        <v>62</v>
      </c>
      <c r="K6174" s="3" t="s">
        <v>63</v>
      </c>
      <c r="M6174" s="2" t="s">
        <v>14372</v>
      </c>
      <c r="N6174" s="3" t="s">
        <v>84</v>
      </c>
      <c r="P6174" s="3" t="s">
        <v>65</v>
      </c>
      <c r="R6174" s="3" t="s">
        <v>66</v>
      </c>
      <c r="S6174" s="4">
        <v>100</v>
      </c>
      <c r="T6174" s="4">
        <v>100</v>
      </c>
      <c r="U6174" s="5" t="s">
        <v>11022</v>
      </c>
      <c r="V6174" s="5" t="s">
        <v>11022</v>
      </c>
      <c r="W6174" s="5" t="s">
        <v>67</v>
      </c>
      <c r="X6174" s="5" t="s">
        <v>67</v>
      </c>
      <c r="Y6174" s="4">
        <v>368</v>
      </c>
      <c r="Z6174" s="4">
        <v>27</v>
      </c>
      <c r="AA6174" s="4">
        <v>33</v>
      </c>
      <c r="AB6174" s="4">
        <v>3</v>
      </c>
      <c r="AC6174" s="4">
        <v>9</v>
      </c>
      <c r="AD6174" s="4">
        <v>105</v>
      </c>
      <c r="AE6174" s="4">
        <v>109</v>
      </c>
      <c r="AF6174" s="4">
        <v>2</v>
      </c>
      <c r="AG6174" s="4">
        <v>5</v>
      </c>
      <c r="AH6174" s="4">
        <v>87</v>
      </c>
      <c r="AI6174" s="4">
        <v>89</v>
      </c>
      <c r="AJ6174" s="4">
        <v>18</v>
      </c>
      <c r="AK6174" s="4">
        <v>21</v>
      </c>
      <c r="AL6174" s="4">
        <v>56</v>
      </c>
      <c r="AM6174" s="4">
        <v>56</v>
      </c>
      <c r="AN6174" s="4">
        <v>0</v>
      </c>
      <c r="AO6174" s="4">
        <v>0</v>
      </c>
      <c r="AP6174" s="4">
        <v>24</v>
      </c>
      <c r="AQ6174" s="4">
        <v>26</v>
      </c>
      <c r="AR6174" s="3" t="s">
        <v>62</v>
      </c>
      <c r="AS6174" s="3" t="s">
        <v>62</v>
      </c>
      <c r="AT6174" s="3" t="s">
        <v>61</v>
      </c>
      <c r="AU6174" s="6" t="str">
        <f>HYPERLINK("http://catalog.hathitrust.org/Record/004520171","HathiTrust Record")</f>
        <v>HathiTrust Record</v>
      </c>
      <c r="AV6174" s="6" t="str">
        <f>HYPERLINK("http://mcgill.on.worldcat.org/oclc/24430299","Catalog Record")</f>
        <v>Catalog Record</v>
      </c>
      <c r="AW6174" s="6" t="str">
        <f>HYPERLINK("http://www.worldcat.org/oclc/24430299","WorldCat Record")</f>
        <v>WorldCat Record</v>
      </c>
      <c r="AX6174" s="3" t="s">
        <v>59457</v>
      </c>
      <c r="AY6174" s="3" t="s">
        <v>59458</v>
      </c>
      <c r="AZ6174" s="3" t="s">
        <v>59459</v>
      </c>
      <c r="BA6174" s="3" t="s">
        <v>59459</v>
      </c>
      <c r="BB6174" s="3" t="s">
        <v>59460</v>
      </c>
      <c r="BC6174" s="3" t="s">
        <v>142</v>
      </c>
      <c r="BD6174" s="3" t="s">
        <v>68</v>
      </c>
      <c r="BE6174" s="3" t="s">
        <v>59461</v>
      </c>
      <c r="BF6174" s="3" t="s">
        <v>59460</v>
      </c>
      <c r="BG6174" s="3" t="s">
        <v>59462</v>
      </c>
    </row>
    <row r="6175" spans="1:59" ht="57" x14ac:dyDescent="0.45">
      <c r="A6175" s="2" t="s">
        <v>59</v>
      </c>
      <c r="B6175" s="2" t="s">
        <v>60</v>
      </c>
      <c r="C6175" s="2" t="s">
        <v>59463</v>
      </c>
      <c r="D6175" s="2" t="s">
        <v>59464</v>
      </c>
      <c r="E6175" s="2" t="s">
        <v>59465</v>
      </c>
      <c r="G6175" s="3" t="s">
        <v>62</v>
      </c>
      <c r="I6175" s="3" t="s">
        <v>62</v>
      </c>
      <c r="J6175" s="3" t="s">
        <v>62</v>
      </c>
      <c r="K6175" s="3" t="s">
        <v>63</v>
      </c>
      <c r="L6175" s="2" t="s">
        <v>59466</v>
      </c>
      <c r="M6175" s="2" t="s">
        <v>59467</v>
      </c>
      <c r="N6175" s="3" t="s">
        <v>1224</v>
      </c>
      <c r="P6175" s="3" t="s">
        <v>4829</v>
      </c>
      <c r="R6175" s="3" t="s">
        <v>66</v>
      </c>
      <c r="S6175" s="4">
        <v>1</v>
      </c>
      <c r="T6175" s="4">
        <v>1</v>
      </c>
      <c r="U6175" s="5" t="s">
        <v>33227</v>
      </c>
      <c r="V6175" s="5" t="s">
        <v>33227</v>
      </c>
      <c r="W6175" s="5" t="s">
        <v>67</v>
      </c>
      <c r="X6175" s="5" t="s">
        <v>67</v>
      </c>
      <c r="Y6175" s="4">
        <v>31</v>
      </c>
      <c r="Z6175" s="4">
        <v>3</v>
      </c>
      <c r="AA6175" s="4">
        <v>3</v>
      </c>
      <c r="AB6175" s="4">
        <v>1</v>
      </c>
      <c r="AC6175" s="4">
        <v>1</v>
      </c>
      <c r="AD6175" s="4">
        <v>23</v>
      </c>
      <c r="AE6175" s="4">
        <v>23</v>
      </c>
      <c r="AF6175" s="4">
        <v>0</v>
      </c>
      <c r="AG6175" s="4">
        <v>0</v>
      </c>
      <c r="AH6175" s="4">
        <v>21</v>
      </c>
      <c r="AI6175" s="4">
        <v>21</v>
      </c>
      <c r="AJ6175" s="4">
        <v>2</v>
      </c>
      <c r="AK6175" s="4">
        <v>2</v>
      </c>
      <c r="AL6175" s="4">
        <v>17</v>
      </c>
      <c r="AM6175" s="4">
        <v>17</v>
      </c>
      <c r="AN6175" s="4">
        <v>0</v>
      </c>
      <c r="AO6175" s="4">
        <v>0</v>
      </c>
      <c r="AP6175" s="4">
        <v>2</v>
      </c>
      <c r="AQ6175" s="4">
        <v>2</v>
      </c>
      <c r="AR6175" s="3" t="s">
        <v>62</v>
      </c>
      <c r="AS6175" s="3" t="s">
        <v>62</v>
      </c>
      <c r="AT6175" s="3" t="s">
        <v>61</v>
      </c>
      <c r="AU6175" s="6" t="str">
        <f>HYPERLINK("http://catalog.hathitrust.org/Record/001899597","HathiTrust Record")</f>
        <v>HathiTrust Record</v>
      </c>
      <c r="AV6175" s="6" t="str">
        <f>HYPERLINK("http://mcgill.on.worldcat.org/oclc/4024658","Catalog Record")</f>
        <v>Catalog Record</v>
      </c>
      <c r="AW6175" s="6" t="str">
        <f>HYPERLINK("http://www.worldcat.org/oclc/4024658","WorldCat Record")</f>
        <v>WorldCat Record</v>
      </c>
      <c r="AX6175" s="3" t="s">
        <v>59468</v>
      </c>
      <c r="AY6175" s="3" t="s">
        <v>59469</v>
      </c>
      <c r="AZ6175" s="3" t="s">
        <v>59470</v>
      </c>
      <c r="BA6175" s="3" t="s">
        <v>59470</v>
      </c>
      <c r="BB6175" s="3" t="s">
        <v>59471</v>
      </c>
      <c r="BC6175" s="3" t="s">
        <v>142</v>
      </c>
      <c r="BD6175" s="3" t="s">
        <v>68</v>
      </c>
      <c r="BF6175" s="3" t="s">
        <v>59471</v>
      </c>
      <c r="BG6175" s="3" t="s">
        <v>59472</v>
      </c>
    </row>
    <row r="6176" spans="1:59" ht="57" x14ac:dyDescent="0.45">
      <c r="A6176" s="2" t="s">
        <v>59</v>
      </c>
      <c r="B6176" s="2" t="s">
        <v>60</v>
      </c>
      <c r="C6176" s="2" t="s">
        <v>59473</v>
      </c>
      <c r="D6176" s="2" t="s">
        <v>59474</v>
      </c>
      <c r="E6176" s="2" t="s">
        <v>59475</v>
      </c>
      <c r="G6176" s="3" t="s">
        <v>62</v>
      </c>
      <c r="I6176" s="3" t="s">
        <v>61</v>
      </c>
      <c r="J6176" s="3" t="s">
        <v>62</v>
      </c>
      <c r="K6176" s="3" t="s">
        <v>63</v>
      </c>
      <c r="L6176" s="2" t="s">
        <v>59476</v>
      </c>
      <c r="M6176" s="2" t="s">
        <v>6523</v>
      </c>
      <c r="N6176" s="3" t="s">
        <v>1059</v>
      </c>
      <c r="P6176" s="3" t="s">
        <v>65</v>
      </c>
      <c r="Q6176" s="2" t="s">
        <v>59477</v>
      </c>
      <c r="R6176" s="3" t="s">
        <v>66</v>
      </c>
      <c r="S6176" s="4">
        <v>15</v>
      </c>
      <c r="T6176" s="4">
        <v>34</v>
      </c>
      <c r="U6176" s="5" t="s">
        <v>59478</v>
      </c>
      <c r="V6176" s="5" t="s">
        <v>59478</v>
      </c>
      <c r="W6176" s="5" t="s">
        <v>67</v>
      </c>
      <c r="X6176" s="5" t="s">
        <v>67</v>
      </c>
      <c r="Y6176" s="4">
        <v>300</v>
      </c>
      <c r="Z6176" s="4">
        <v>23</v>
      </c>
      <c r="AA6176" s="4">
        <v>69</v>
      </c>
      <c r="AB6176" s="4">
        <v>1</v>
      </c>
      <c r="AC6176" s="4">
        <v>17</v>
      </c>
      <c r="AD6176" s="4">
        <v>77</v>
      </c>
      <c r="AE6176" s="4">
        <v>116</v>
      </c>
      <c r="AF6176" s="4">
        <v>0</v>
      </c>
      <c r="AG6176" s="4">
        <v>8</v>
      </c>
      <c r="AH6176" s="4">
        <v>71</v>
      </c>
      <c r="AI6176" s="4">
        <v>76</v>
      </c>
      <c r="AJ6176" s="4">
        <v>13</v>
      </c>
      <c r="AK6176" s="4">
        <v>25</v>
      </c>
      <c r="AL6176" s="4">
        <v>40</v>
      </c>
      <c r="AM6176" s="4">
        <v>41</v>
      </c>
      <c r="AN6176" s="4">
        <v>0</v>
      </c>
      <c r="AO6176" s="4">
        <v>0</v>
      </c>
      <c r="AP6176" s="4">
        <v>15</v>
      </c>
      <c r="AQ6176" s="4">
        <v>50</v>
      </c>
      <c r="AR6176" s="3" t="s">
        <v>62</v>
      </c>
      <c r="AS6176" s="3" t="s">
        <v>62</v>
      </c>
      <c r="AT6176" s="3" t="s">
        <v>62</v>
      </c>
      <c r="AV6176" s="6" t="str">
        <f>HYPERLINK("http://mcgill.on.worldcat.org/oclc/67945106","Catalog Record")</f>
        <v>Catalog Record</v>
      </c>
      <c r="AW6176" s="6" t="str">
        <f>HYPERLINK("http://www.worldcat.org/oclc/67945106","WorldCat Record")</f>
        <v>WorldCat Record</v>
      </c>
      <c r="AX6176" s="3" t="s">
        <v>59479</v>
      </c>
      <c r="AY6176" s="3" t="s">
        <v>59480</v>
      </c>
      <c r="AZ6176" s="3" t="s">
        <v>59481</v>
      </c>
      <c r="BA6176" s="3" t="s">
        <v>59481</v>
      </c>
      <c r="BB6176" s="3" t="s">
        <v>59482</v>
      </c>
      <c r="BC6176" s="3" t="s">
        <v>142</v>
      </c>
      <c r="BD6176" s="3" t="s">
        <v>68</v>
      </c>
      <c r="BE6176" s="3" t="s">
        <v>59483</v>
      </c>
      <c r="BF6176" s="3" t="s">
        <v>59482</v>
      </c>
      <c r="BG6176" s="3" t="s">
        <v>59484</v>
      </c>
    </row>
    <row r="6177" spans="1:59" ht="57" x14ac:dyDescent="0.45">
      <c r="A6177" s="2" t="s">
        <v>59</v>
      </c>
      <c r="B6177" s="2" t="s">
        <v>60</v>
      </c>
      <c r="C6177" s="2" t="s">
        <v>59473</v>
      </c>
      <c r="D6177" s="2" t="s">
        <v>59474</v>
      </c>
      <c r="E6177" s="2" t="s">
        <v>59475</v>
      </c>
      <c r="G6177" s="3" t="s">
        <v>62</v>
      </c>
      <c r="I6177" s="3" t="s">
        <v>61</v>
      </c>
      <c r="J6177" s="3" t="s">
        <v>62</v>
      </c>
      <c r="K6177" s="3" t="s">
        <v>63</v>
      </c>
      <c r="L6177" s="2" t="s">
        <v>59476</v>
      </c>
      <c r="M6177" s="2" t="s">
        <v>6523</v>
      </c>
      <c r="N6177" s="3" t="s">
        <v>1059</v>
      </c>
      <c r="P6177" s="3" t="s">
        <v>65</v>
      </c>
      <c r="Q6177" s="2" t="s">
        <v>59477</v>
      </c>
      <c r="R6177" s="3" t="s">
        <v>66</v>
      </c>
      <c r="S6177" s="4">
        <v>19</v>
      </c>
      <c r="T6177" s="4">
        <v>34</v>
      </c>
      <c r="U6177" s="5" t="s">
        <v>128</v>
      </c>
      <c r="V6177" s="5" t="s">
        <v>59478</v>
      </c>
      <c r="W6177" s="5" t="s">
        <v>67</v>
      </c>
      <c r="X6177" s="5" t="s">
        <v>67</v>
      </c>
      <c r="Y6177" s="4">
        <v>300</v>
      </c>
      <c r="Z6177" s="4">
        <v>23</v>
      </c>
      <c r="AA6177" s="4">
        <v>69</v>
      </c>
      <c r="AB6177" s="4">
        <v>1</v>
      </c>
      <c r="AC6177" s="4">
        <v>17</v>
      </c>
      <c r="AD6177" s="4">
        <v>77</v>
      </c>
      <c r="AE6177" s="4">
        <v>116</v>
      </c>
      <c r="AF6177" s="4">
        <v>0</v>
      </c>
      <c r="AG6177" s="4">
        <v>8</v>
      </c>
      <c r="AH6177" s="4">
        <v>71</v>
      </c>
      <c r="AI6177" s="4">
        <v>76</v>
      </c>
      <c r="AJ6177" s="4">
        <v>13</v>
      </c>
      <c r="AK6177" s="4">
        <v>25</v>
      </c>
      <c r="AL6177" s="4">
        <v>40</v>
      </c>
      <c r="AM6177" s="4">
        <v>41</v>
      </c>
      <c r="AN6177" s="4">
        <v>0</v>
      </c>
      <c r="AO6177" s="4">
        <v>0</v>
      </c>
      <c r="AP6177" s="4">
        <v>15</v>
      </c>
      <c r="AQ6177" s="4">
        <v>50</v>
      </c>
      <c r="AR6177" s="3" t="s">
        <v>62</v>
      </c>
      <c r="AS6177" s="3" t="s">
        <v>62</v>
      </c>
      <c r="AT6177" s="3" t="s">
        <v>62</v>
      </c>
      <c r="AV6177" s="6" t="str">
        <f>HYPERLINK("http://mcgill.on.worldcat.org/oclc/67945106","Catalog Record")</f>
        <v>Catalog Record</v>
      </c>
      <c r="AW6177" s="6" t="str">
        <f>HYPERLINK("http://www.worldcat.org/oclc/67945106","WorldCat Record")</f>
        <v>WorldCat Record</v>
      </c>
      <c r="AX6177" s="3" t="s">
        <v>59479</v>
      </c>
      <c r="AY6177" s="3" t="s">
        <v>59480</v>
      </c>
      <c r="AZ6177" s="3" t="s">
        <v>59481</v>
      </c>
      <c r="BA6177" s="3" t="s">
        <v>59481</v>
      </c>
      <c r="BB6177" s="3" t="s">
        <v>59485</v>
      </c>
      <c r="BC6177" s="3" t="s">
        <v>142</v>
      </c>
      <c r="BD6177" s="3" t="s">
        <v>308</v>
      </c>
      <c r="BE6177" s="3" t="s">
        <v>59483</v>
      </c>
      <c r="BF6177" s="3" t="s">
        <v>59485</v>
      </c>
      <c r="BG6177" s="3" t="s">
        <v>59486</v>
      </c>
    </row>
    <row r="6178" spans="1:59" ht="57" x14ac:dyDescent="0.45">
      <c r="A6178" s="2" t="s">
        <v>59</v>
      </c>
      <c r="B6178" s="2" t="s">
        <v>60</v>
      </c>
      <c r="C6178" s="2" t="s">
        <v>59487</v>
      </c>
      <c r="D6178" s="2" t="s">
        <v>59488</v>
      </c>
      <c r="E6178" s="2" t="s">
        <v>59489</v>
      </c>
      <c r="G6178" s="3" t="s">
        <v>62</v>
      </c>
      <c r="I6178" s="3" t="s">
        <v>62</v>
      </c>
      <c r="J6178" s="3" t="s">
        <v>62</v>
      </c>
      <c r="K6178" s="3" t="s">
        <v>63</v>
      </c>
      <c r="L6178" s="2" t="s">
        <v>30196</v>
      </c>
      <c r="M6178" s="2" t="s">
        <v>3679</v>
      </c>
      <c r="N6178" s="3" t="s">
        <v>918</v>
      </c>
      <c r="O6178" s="2" t="s">
        <v>933</v>
      </c>
      <c r="P6178" s="3" t="s">
        <v>65</v>
      </c>
      <c r="R6178" s="3" t="s">
        <v>66</v>
      </c>
      <c r="S6178" s="4">
        <v>18</v>
      </c>
      <c r="T6178" s="4">
        <v>18</v>
      </c>
      <c r="U6178" s="5" t="s">
        <v>23761</v>
      </c>
      <c r="V6178" s="5" t="s">
        <v>23761</v>
      </c>
      <c r="W6178" s="5" t="s">
        <v>67</v>
      </c>
      <c r="X6178" s="5" t="s">
        <v>67</v>
      </c>
      <c r="Y6178" s="4">
        <v>264</v>
      </c>
      <c r="Z6178" s="4">
        <v>13</v>
      </c>
      <c r="AA6178" s="4">
        <v>101</v>
      </c>
      <c r="AB6178" s="4">
        <v>2</v>
      </c>
      <c r="AC6178" s="4">
        <v>20</v>
      </c>
      <c r="AD6178" s="4">
        <v>43</v>
      </c>
      <c r="AE6178" s="4">
        <v>133</v>
      </c>
      <c r="AF6178" s="4">
        <v>1</v>
      </c>
      <c r="AG6178" s="4">
        <v>9</v>
      </c>
      <c r="AH6178" s="4">
        <v>38</v>
      </c>
      <c r="AI6178" s="4">
        <v>86</v>
      </c>
      <c r="AJ6178" s="4">
        <v>10</v>
      </c>
      <c r="AK6178" s="4">
        <v>26</v>
      </c>
      <c r="AL6178" s="4">
        <v>21</v>
      </c>
      <c r="AM6178" s="4">
        <v>43</v>
      </c>
      <c r="AN6178" s="4">
        <v>0</v>
      </c>
      <c r="AO6178" s="4">
        <v>0</v>
      </c>
      <c r="AP6178" s="4">
        <v>11</v>
      </c>
      <c r="AQ6178" s="4">
        <v>55</v>
      </c>
      <c r="AR6178" s="3" t="s">
        <v>62</v>
      </c>
      <c r="AS6178" s="3" t="s">
        <v>62</v>
      </c>
      <c r="AT6178" s="3" t="s">
        <v>62</v>
      </c>
      <c r="AV6178" s="6" t="str">
        <f>HYPERLINK("http://mcgill.on.worldcat.org/oclc/51871264","Catalog Record")</f>
        <v>Catalog Record</v>
      </c>
      <c r="AW6178" s="6" t="str">
        <f>HYPERLINK("http://www.worldcat.org/oclc/51871264","WorldCat Record")</f>
        <v>WorldCat Record</v>
      </c>
      <c r="AX6178" s="3" t="s">
        <v>59490</v>
      </c>
      <c r="AY6178" s="3" t="s">
        <v>59491</v>
      </c>
      <c r="AZ6178" s="3" t="s">
        <v>59492</v>
      </c>
      <c r="BA6178" s="3" t="s">
        <v>59492</v>
      </c>
      <c r="BB6178" s="3" t="s">
        <v>59493</v>
      </c>
      <c r="BC6178" s="3" t="s">
        <v>142</v>
      </c>
      <c r="BD6178" s="3" t="s">
        <v>3549</v>
      </c>
      <c r="BE6178" s="3" t="s">
        <v>59494</v>
      </c>
      <c r="BF6178" s="3" t="s">
        <v>59493</v>
      </c>
      <c r="BG6178" s="3" t="s">
        <v>59495</v>
      </c>
    </row>
    <row r="6179" spans="1:59" ht="57" x14ac:dyDescent="0.45">
      <c r="A6179" s="2" t="s">
        <v>59</v>
      </c>
      <c r="B6179" s="2" t="s">
        <v>60</v>
      </c>
      <c r="C6179" s="2" t="s">
        <v>59496</v>
      </c>
      <c r="D6179" s="2" t="s">
        <v>59497</v>
      </c>
      <c r="E6179" s="2" t="s">
        <v>59498</v>
      </c>
      <c r="G6179" s="3" t="s">
        <v>62</v>
      </c>
      <c r="I6179" s="3" t="s">
        <v>62</v>
      </c>
      <c r="J6179" s="3" t="s">
        <v>62</v>
      </c>
      <c r="K6179" s="3" t="s">
        <v>63</v>
      </c>
      <c r="L6179" s="2" t="s">
        <v>30196</v>
      </c>
      <c r="M6179" s="2" t="s">
        <v>59499</v>
      </c>
      <c r="N6179" s="3" t="s">
        <v>1253</v>
      </c>
      <c r="P6179" s="3" t="s">
        <v>65</v>
      </c>
      <c r="Q6179" s="2" t="s">
        <v>59500</v>
      </c>
      <c r="R6179" s="3" t="s">
        <v>66</v>
      </c>
      <c r="S6179" s="4">
        <v>10</v>
      </c>
      <c r="T6179" s="4">
        <v>10</v>
      </c>
      <c r="U6179" s="5" t="s">
        <v>3294</v>
      </c>
      <c r="V6179" s="5" t="s">
        <v>3294</v>
      </c>
      <c r="W6179" s="5" t="s">
        <v>67</v>
      </c>
      <c r="X6179" s="5" t="s">
        <v>67</v>
      </c>
      <c r="Y6179" s="4">
        <v>156</v>
      </c>
      <c r="Z6179" s="4">
        <v>12</v>
      </c>
      <c r="AA6179" s="4">
        <v>18</v>
      </c>
      <c r="AB6179" s="4">
        <v>2</v>
      </c>
      <c r="AC6179" s="4">
        <v>6</v>
      </c>
      <c r="AD6179" s="4">
        <v>48</v>
      </c>
      <c r="AE6179" s="4">
        <v>53</v>
      </c>
      <c r="AF6179" s="4">
        <v>1</v>
      </c>
      <c r="AG6179" s="4">
        <v>3</v>
      </c>
      <c r="AH6179" s="4">
        <v>43</v>
      </c>
      <c r="AI6179" s="4">
        <v>45</v>
      </c>
      <c r="AJ6179" s="4">
        <v>10</v>
      </c>
      <c r="AK6179" s="4">
        <v>11</v>
      </c>
      <c r="AL6179" s="4">
        <v>30</v>
      </c>
      <c r="AM6179" s="4">
        <v>31</v>
      </c>
      <c r="AN6179" s="4">
        <v>0</v>
      </c>
      <c r="AO6179" s="4">
        <v>0</v>
      </c>
      <c r="AP6179" s="4">
        <v>10</v>
      </c>
      <c r="AQ6179" s="4">
        <v>12</v>
      </c>
      <c r="AR6179" s="3" t="s">
        <v>62</v>
      </c>
      <c r="AS6179" s="3" t="s">
        <v>62</v>
      </c>
      <c r="AT6179" s="3" t="s">
        <v>61</v>
      </c>
      <c r="AU6179" s="6" t="str">
        <f>HYPERLINK("http://catalog.hathitrust.org/Record/004269635","HathiTrust Record")</f>
        <v>HathiTrust Record</v>
      </c>
      <c r="AV6179" s="6" t="str">
        <f>HYPERLINK("http://mcgill.on.worldcat.org/oclc/38314767","Catalog Record")</f>
        <v>Catalog Record</v>
      </c>
      <c r="AW6179" s="6" t="str">
        <f>HYPERLINK("http://www.worldcat.org/oclc/38314767","WorldCat Record")</f>
        <v>WorldCat Record</v>
      </c>
      <c r="AX6179" s="3" t="s">
        <v>59501</v>
      </c>
      <c r="AY6179" s="3" t="s">
        <v>59502</v>
      </c>
      <c r="AZ6179" s="3" t="s">
        <v>59503</v>
      </c>
      <c r="BA6179" s="3" t="s">
        <v>59503</v>
      </c>
      <c r="BB6179" s="3" t="s">
        <v>59504</v>
      </c>
      <c r="BC6179" s="3" t="s">
        <v>142</v>
      </c>
      <c r="BD6179" s="3" t="s">
        <v>68</v>
      </c>
      <c r="BE6179" s="3" t="s">
        <v>59505</v>
      </c>
      <c r="BF6179" s="3" t="s">
        <v>59504</v>
      </c>
      <c r="BG6179" s="3" t="s">
        <v>59506</v>
      </c>
    </row>
    <row r="6180" spans="1:59" ht="57" x14ac:dyDescent="0.45">
      <c r="A6180" s="2" t="s">
        <v>59</v>
      </c>
      <c r="B6180" s="2" t="s">
        <v>60</v>
      </c>
      <c r="C6180" s="2" t="s">
        <v>59507</v>
      </c>
      <c r="D6180" s="2" t="s">
        <v>59508</v>
      </c>
      <c r="E6180" s="2" t="s">
        <v>59509</v>
      </c>
      <c r="G6180" s="3" t="s">
        <v>62</v>
      </c>
      <c r="I6180" s="3" t="s">
        <v>62</v>
      </c>
      <c r="J6180" s="3" t="s">
        <v>62</v>
      </c>
      <c r="K6180" s="3" t="s">
        <v>63</v>
      </c>
      <c r="L6180" s="2" t="s">
        <v>59510</v>
      </c>
      <c r="M6180" s="2" t="s">
        <v>59511</v>
      </c>
      <c r="N6180" s="3" t="s">
        <v>1465</v>
      </c>
      <c r="P6180" s="3" t="s">
        <v>65</v>
      </c>
      <c r="Q6180" s="2" t="s">
        <v>58153</v>
      </c>
      <c r="R6180" s="3" t="s">
        <v>66</v>
      </c>
      <c r="S6180" s="4">
        <v>1</v>
      </c>
      <c r="T6180" s="4">
        <v>1</v>
      </c>
      <c r="U6180" s="5" t="s">
        <v>4805</v>
      </c>
      <c r="V6180" s="5" t="s">
        <v>4805</v>
      </c>
      <c r="W6180" s="5" t="s">
        <v>67</v>
      </c>
      <c r="X6180" s="5" t="s">
        <v>67</v>
      </c>
      <c r="Y6180" s="4">
        <v>28</v>
      </c>
      <c r="Z6180" s="4">
        <v>10</v>
      </c>
      <c r="AA6180" s="4">
        <v>10</v>
      </c>
      <c r="AB6180" s="4">
        <v>3</v>
      </c>
      <c r="AC6180" s="4">
        <v>3</v>
      </c>
      <c r="AD6180" s="4">
        <v>14</v>
      </c>
      <c r="AE6180" s="4">
        <v>14</v>
      </c>
      <c r="AF6180" s="4">
        <v>1</v>
      </c>
      <c r="AG6180" s="4">
        <v>1</v>
      </c>
      <c r="AH6180" s="4">
        <v>10</v>
      </c>
      <c r="AI6180" s="4">
        <v>10</v>
      </c>
      <c r="AJ6180" s="4">
        <v>7</v>
      </c>
      <c r="AK6180" s="4">
        <v>7</v>
      </c>
      <c r="AL6180" s="4">
        <v>5</v>
      </c>
      <c r="AM6180" s="4">
        <v>5</v>
      </c>
      <c r="AN6180" s="4">
        <v>0</v>
      </c>
      <c r="AO6180" s="4">
        <v>0</v>
      </c>
      <c r="AP6180" s="4">
        <v>7</v>
      </c>
      <c r="AQ6180" s="4">
        <v>7</v>
      </c>
      <c r="AR6180" s="3" t="s">
        <v>61</v>
      </c>
      <c r="AS6180" s="3" t="s">
        <v>62</v>
      </c>
      <c r="AT6180" s="3" t="s">
        <v>62</v>
      </c>
      <c r="AV6180" s="6" t="str">
        <f>HYPERLINK("http://mcgill.on.worldcat.org/oclc/319932160","Catalog Record")</f>
        <v>Catalog Record</v>
      </c>
      <c r="AW6180" s="6" t="str">
        <f>HYPERLINK("http://www.worldcat.org/oclc/319932160","WorldCat Record")</f>
        <v>WorldCat Record</v>
      </c>
      <c r="AX6180" s="3" t="s">
        <v>59512</v>
      </c>
      <c r="AY6180" s="3" t="s">
        <v>59513</v>
      </c>
      <c r="AZ6180" s="3" t="s">
        <v>59514</v>
      </c>
      <c r="BA6180" s="3" t="s">
        <v>59514</v>
      </c>
      <c r="BB6180" s="3" t="s">
        <v>59515</v>
      </c>
      <c r="BC6180" s="3" t="s">
        <v>142</v>
      </c>
      <c r="BD6180" s="3" t="s">
        <v>68</v>
      </c>
      <c r="BE6180" s="3" t="s">
        <v>59516</v>
      </c>
      <c r="BF6180" s="3" t="s">
        <v>59515</v>
      </c>
      <c r="BG6180" s="3" t="s">
        <v>59517</v>
      </c>
    </row>
    <row r="6181" spans="1:59" ht="57" x14ac:dyDescent="0.45">
      <c r="A6181" s="2" t="s">
        <v>59</v>
      </c>
      <c r="B6181" s="2" t="s">
        <v>60</v>
      </c>
      <c r="C6181" s="2" t="s">
        <v>59518</v>
      </c>
      <c r="D6181" s="2" t="s">
        <v>59519</v>
      </c>
      <c r="E6181" s="2" t="s">
        <v>59520</v>
      </c>
      <c r="G6181" s="3" t="s">
        <v>62</v>
      </c>
      <c r="I6181" s="3" t="s">
        <v>62</v>
      </c>
      <c r="J6181" s="3" t="s">
        <v>62</v>
      </c>
      <c r="K6181" s="3" t="s">
        <v>63</v>
      </c>
      <c r="L6181" s="2" t="s">
        <v>59521</v>
      </c>
      <c r="M6181" s="2" t="s">
        <v>59522</v>
      </c>
      <c r="N6181" s="3" t="s">
        <v>1855</v>
      </c>
      <c r="P6181" s="3" t="s">
        <v>326</v>
      </c>
      <c r="R6181" s="3" t="s">
        <v>66</v>
      </c>
      <c r="S6181" s="4">
        <v>3</v>
      </c>
      <c r="T6181" s="4">
        <v>3</v>
      </c>
      <c r="U6181" s="5" t="s">
        <v>2294</v>
      </c>
      <c r="V6181" s="5" t="s">
        <v>2294</v>
      </c>
      <c r="W6181" s="5" t="s">
        <v>67</v>
      </c>
      <c r="X6181" s="5" t="s">
        <v>67</v>
      </c>
      <c r="Y6181" s="4">
        <v>24</v>
      </c>
      <c r="Z6181" s="4">
        <v>3</v>
      </c>
      <c r="AA6181" s="4">
        <v>3</v>
      </c>
      <c r="AB6181" s="4">
        <v>1</v>
      </c>
      <c r="AC6181" s="4">
        <v>1</v>
      </c>
      <c r="AD6181" s="4">
        <v>18</v>
      </c>
      <c r="AE6181" s="4">
        <v>18</v>
      </c>
      <c r="AF6181" s="4">
        <v>0</v>
      </c>
      <c r="AG6181" s="4">
        <v>0</v>
      </c>
      <c r="AH6181" s="4">
        <v>18</v>
      </c>
      <c r="AI6181" s="4">
        <v>18</v>
      </c>
      <c r="AJ6181" s="4">
        <v>2</v>
      </c>
      <c r="AK6181" s="4">
        <v>2</v>
      </c>
      <c r="AL6181" s="4">
        <v>13</v>
      </c>
      <c r="AM6181" s="4">
        <v>13</v>
      </c>
      <c r="AN6181" s="4">
        <v>0</v>
      </c>
      <c r="AO6181" s="4">
        <v>0</v>
      </c>
      <c r="AP6181" s="4">
        <v>2</v>
      </c>
      <c r="AQ6181" s="4">
        <v>2</v>
      </c>
      <c r="AR6181" s="3" t="s">
        <v>62</v>
      </c>
      <c r="AS6181" s="3" t="s">
        <v>62</v>
      </c>
      <c r="AT6181" s="3" t="s">
        <v>61</v>
      </c>
      <c r="AU6181" s="6" t="str">
        <f>HYPERLINK("http://catalog.hathitrust.org/Record/101004168","HathiTrust Record")</f>
        <v>HathiTrust Record</v>
      </c>
      <c r="AV6181" s="6" t="str">
        <f>HYPERLINK("http://mcgill.on.worldcat.org/oclc/64552857","Catalog Record")</f>
        <v>Catalog Record</v>
      </c>
      <c r="AW6181" s="6" t="str">
        <f>HYPERLINK("http://www.worldcat.org/oclc/64552857","WorldCat Record")</f>
        <v>WorldCat Record</v>
      </c>
      <c r="AX6181" s="3" t="s">
        <v>59523</v>
      </c>
      <c r="AY6181" s="3" t="s">
        <v>59524</v>
      </c>
      <c r="AZ6181" s="3" t="s">
        <v>59525</v>
      </c>
      <c r="BA6181" s="3" t="s">
        <v>59525</v>
      </c>
      <c r="BB6181" s="3" t="s">
        <v>59526</v>
      </c>
      <c r="BC6181" s="3" t="s">
        <v>142</v>
      </c>
      <c r="BD6181" s="3" t="s">
        <v>68</v>
      </c>
      <c r="BE6181" s="3" t="s">
        <v>59527</v>
      </c>
      <c r="BF6181" s="3" t="s">
        <v>59526</v>
      </c>
      <c r="BG6181" s="3" t="s">
        <v>59528</v>
      </c>
    </row>
    <row r="6182" spans="1:59" ht="71.25" x14ac:dyDescent="0.45">
      <c r="A6182" s="2" t="s">
        <v>59</v>
      </c>
      <c r="B6182" s="2" t="s">
        <v>60</v>
      </c>
      <c r="C6182" s="2" t="s">
        <v>59529</v>
      </c>
      <c r="D6182" s="2" t="s">
        <v>59530</v>
      </c>
      <c r="E6182" s="2" t="s">
        <v>59531</v>
      </c>
      <c r="F6182" s="3" t="s">
        <v>59532</v>
      </c>
      <c r="G6182" s="3" t="s">
        <v>62</v>
      </c>
      <c r="I6182" s="3" t="s">
        <v>62</v>
      </c>
      <c r="J6182" s="3" t="s">
        <v>62</v>
      </c>
      <c r="K6182" s="3" t="s">
        <v>63</v>
      </c>
      <c r="L6182" s="2" t="s">
        <v>59533</v>
      </c>
      <c r="M6182" s="2" t="s">
        <v>59534</v>
      </c>
      <c r="N6182" s="3" t="s">
        <v>945</v>
      </c>
      <c r="P6182" s="3" t="s">
        <v>110</v>
      </c>
      <c r="R6182" s="3" t="s">
        <v>66</v>
      </c>
      <c r="S6182" s="4">
        <v>5</v>
      </c>
      <c r="T6182" s="4">
        <v>5</v>
      </c>
      <c r="U6182" s="5" t="s">
        <v>13377</v>
      </c>
      <c r="V6182" s="5" t="s">
        <v>13377</v>
      </c>
      <c r="W6182" s="5" t="s">
        <v>67</v>
      </c>
      <c r="X6182" s="5" t="s">
        <v>67</v>
      </c>
      <c r="Y6182" s="4">
        <v>2</v>
      </c>
      <c r="Z6182" s="4">
        <v>2</v>
      </c>
      <c r="AA6182" s="4">
        <v>19</v>
      </c>
      <c r="AB6182" s="4">
        <v>2</v>
      </c>
      <c r="AC6182" s="4">
        <v>10</v>
      </c>
      <c r="AD6182" s="4">
        <v>1</v>
      </c>
      <c r="AE6182" s="4">
        <v>14</v>
      </c>
      <c r="AF6182" s="4">
        <v>1</v>
      </c>
      <c r="AG6182" s="4">
        <v>6</v>
      </c>
      <c r="AH6182" s="4">
        <v>0</v>
      </c>
      <c r="AI6182" s="4">
        <v>5</v>
      </c>
      <c r="AJ6182" s="4">
        <v>1</v>
      </c>
      <c r="AK6182" s="4">
        <v>11</v>
      </c>
      <c r="AL6182" s="4">
        <v>0</v>
      </c>
      <c r="AM6182" s="4">
        <v>0</v>
      </c>
      <c r="AN6182" s="4">
        <v>0</v>
      </c>
      <c r="AO6182" s="4">
        <v>0</v>
      </c>
      <c r="AP6182" s="4">
        <v>1</v>
      </c>
      <c r="AQ6182" s="4">
        <v>12</v>
      </c>
      <c r="AR6182" s="3" t="s">
        <v>61</v>
      </c>
      <c r="AS6182" s="3" t="s">
        <v>62</v>
      </c>
      <c r="AT6182" s="3" t="s">
        <v>62</v>
      </c>
      <c r="AV6182" s="6" t="str">
        <f>HYPERLINK("http://mcgill.on.worldcat.org/oclc/253846605","Catalog Record")</f>
        <v>Catalog Record</v>
      </c>
      <c r="AW6182" s="6" t="str">
        <f>HYPERLINK("http://www.worldcat.org/oclc/253846605","WorldCat Record")</f>
        <v>WorldCat Record</v>
      </c>
      <c r="AX6182" s="3" t="s">
        <v>59535</v>
      </c>
      <c r="AY6182" s="3" t="s">
        <v>59536</v>
      </c>
      <c r="AZ6182" s="3" t="s">
        <v>59537</v>
      </c>
      <c r="BA6182" s="3" t="s">
        <v>59537</v>
      </c>
      <c r="BB6182" s="3" t="s">
        <v>59538</v>
      </c>
      <c r="BC6182" s="3" t="s">
        <v>142</v>
      </c>
      <c r="BD6182" s="3" t="s">
        <v>68</v>
      </c>
      <c r="BE6182" s="3" t="s">
        <v>59539</v>
      </c>
      <c r="BF6182" s="3" t="s">
        <v>59538</v>
      </c>
      <c r="BG6182" s="3" t="s">
        <v>59540</v>
      </c>
    </row>
    <row r="6183" spans="1:59" ht="57" x14ac:dyDescent="0.45">
      <c r="A6183" s="2" t="s">
        <v>927</v>
      </c>
      <c r="B6183" s="2" t="s">
        <v>928</v>
      </c>
      <c r="C6183" s="2" t="s">
        <v>59541</v>
      </c>
      <c r="D6183" s="2" t="s">
        <v>59542</v>
      </c>
      <c r="E6183" s="2" t="s">
        <v>59543</v>
      </c>
      <c r="G6183" s="3" t="s">
        <v>62</v>
      </c>
      <c r="I6183" s="3" t="s">
        <v>62</v>
      </c>
      <c r="J6183" s="3" t="s">
        <v>62</v>
      </c>
      <c r="K6183" s="3" t="s">
        <v>63</v>
      </c>
      <c r="M6183" s="2" t="s">
        <v>1829</v>
      </c>
      <c r="N6183" s="3" t="s">
        <v>1437</v>
      </c>
      <c r="P6183" s="3" t="s">
        <v>65</v>
      </c>
      <c r="R6183" s="3" t="s">
        <v>66</v>
      </c>
      <c r="S6183" s="4">
        <v>2</v>
      </c>
      <c r="T6183" s="4">
        <v>2</v>
      </c>
      <c r="U6183" s="5" t="s">
        <v>2966</v>
      </c>
      <c r="V6183" s="5" t="s">
        <v>2966</v>
      </c>
      <c r="W6183" s="5" t="s">
        <v>67</v>
      </c>
      <c r="X6183" s="5" t="s">
        <v>67</v>
      </c>
      <c r="Y6183" s="4">
        <v>370</v>
      </c>
      <c r="Z6183" s="4">
        <v>21</v>
      </c>
      <c r="AA6183" s="4">
        <v>104</v>
      </c>
      <c r="AB6183" s="4">
        <v>3</v>
      </c>
      <c r="AC6183" s="4">
        <v>21</v>
      </c>
      <c r="AD6183" s="4">
        <v>92</v>
      </c>
      <c r="AE6183" s="4">
        <v>154</v>
      </c>
      <c r="AF6183" s="4">
        <v>2</v>
      </c>
      <c r="AG6183" s="4">
        <v>9</v>
      </c>
      <c r="AH6183" s="4">
        <v>81</v>
      </c>
      <c r="AI6183" s="4">
        <v>107</v>
      </c>
      <c r="AJ6183" s="4">
        <v>14</v>
      </c>
      <c r="AK6183" s="4">
        <v>27</v>
      </c>
      <c r="AL6183" s="4">
        <v>47</v>
      </c>
      <c r="AM6183" s="4">
        <v>55</v>
      </c>
      <c r="AN6183" s="4">
        <v>0</v>
      </c>
      <c r="AO6183" s="4">
        <v>0</v>
      </c>
      <c r="AP6183" s="4">
        <v>17</v>
      </c>
      <c r="AQ6183" s="4">
        <v>56</v>
      </c>
      <c r="AR6183" s="3" t="s">
        <v>62</v>
      </c>
      <c r="AS6183" s="3" t="s">
        <v>62</v>
      </c>
      <c r="AT6183" s="3" t="s">
        <v>62</v>
      </c>
      <c r="AV6183" s="6" t="str">
        <f>HYPERLINK("http://mcgill.on.worldcat.org/oclc/35758187","Catalog Record")</f>
        <v>Catalog Record</v>
      </c>
      <c r="AW6183" s="6" t="str">
        <f>HYPERLINK("http://www.worldcat.org/oclc/35758187","WorldCat Record")</f>
        <v>WorldCat Record</v>
      </c>
      <c r="AX6183" s="3" t="s">
        <v>59544</v>
      </c>
      <c r="AY6183" s="3" t="s">
        <v>59545</v>
      </c>
      <c r="AZ6183" s="3" t="s">
        <v>59546</v>
      </c>
      <c r="BA6183" s="3" t="s">
        <v>59546</v>
      </c>
      <c r="BB6183" s="3" t="s">
        <v>59547</v>
      </c>
      <c r="BC6183" s="3" t="s">
        <v>142</v>
      </c>
      <c r="BD6183" s="3" t="s">
        <v>68</v>
      </c>
      <c r="BE6183" s="3" t="s">
        <v>59548</v>
      </c>
      <c r="BF6183" s="3" t="s">
        <v>59547</v>
      </c>
      <c r="BG6183" s="3" t="s">
        <v>59549</v>
      </c>
    </row>
    <row r="6184" spans="1:59" ht="57" x14ac:dyDescent="0.45">
      <c r="A6184" s="2" t="s">
        <v>59</v>
      </c>
      <c r="B6184" s="2" t="s">
        <v>60</v>
      </c>
      <c r="C6184" s="2" t="s">
        <v>59550</v>
      </c>
      <c r="D6184" s="2" t="s">
        <v>59551</v>
      </c>
      <c r="E6184" s="2" t="s">
        <v>59552</v>
      </c>
      <c r="G6184" s="3" t="s">
        <v>62</v>
      </c>
      <c r="I6184" s="3" t="s">
        <v>62</v>
      </c>
      <c r="J6184" s="3" t="s">
        <v>62</v>
      </c>
      <c r="K6184" s="3" t="s">
        <v>63</v>
      </c>
      <c r="M6184" s="2" t="s">
        <v>20575</v>
      </c>
      <c r="N6184" s="3" t="s">
        <v>1465</v>
      </c>
      <c r="P6184" s="3" t="s">
        <v>65</v>
      </c>
      <c r="Q6184" s="2" t="s">
        <v>24648</v>
      </c>
      <c r="R6184" s="3" t="s">
        <v>66</v>
      </c>
      <c r="S6184" s="4">
        <v>17</v>
      </c>
      <c r="T6184" s="4">
        <v>17</v>
      </c>
      <c r="U6184" s="5" t="s">
        <v>14183</v>
      </c>
      <c r="V6184" s="5" t="s">
        <v>14183</v>
      </c>
      <c r="W6184" s="5" t="s">
        <v>67</v>
      </c>
      <c r="X6184" s="5" t="s">
        <v>67</v>
      </c>
      <c r="Y6184" s="4">
        <v>221</v>
      </c>
      <c r="Z6184" s="4">
        <v>17</v>
      </c>
      <c r="AA6184" s="4">
        <v>26</v>
      </c>
      <c r="AB6184" s="4">
        <v>3</v>
      </c>
      <c r="AC6184" s="4">
        <v>10</v>
      </c>
      <c r="AD6184" s="4">
        <v>72</v>
      </c>
      <c r="AE6184" s="4">
        <v>82</v>
      </c>
      <c r="AF6184" s="4">
        <v>1</v>
      </c>
      <c r="AG6184" s="4">
        <v>5</v>
      </c>
      <c r="AH6184" s="4">
        <v>65</v>
      </c>
      <c r="AI6184" s="4">
        <v>71</v>
      </c>
      <c r="AJ6184" s="4">
        <v>12</v>
      </c>
      <c r="AK6184" s="4">
        <v>15</v>
      </c>
      <c r="AL6184" s="4">
        <v>40</v>
      </c>
      <c r="AM6184" s="4">
        <v>43</v>
      </c>
      <c r="AN6184" s="4">
        <v>0</v>
      </c>
      <c r="AO6184" s="4">
        <v>0</v>
      </c>
      <c r="AP6184" s="4">
        <v>13</v>
      </c>
      <c r="AQ6184" s="4">
        <v>17</v>
      </c>
      <c r="AR6184" s="3" t="s">
        <v>62</v>
      </c>
      <c r="AS6184" s="3" t="s">
        <v>62</v>
      </c>
      <c r="AT6184" s="3" t="s">
        <v>62</v>
      </c>
      <c r="AV6184" s="6" t="str">
        <f>HYPERLINK("http://mcgill.on.worldcat.org/oclc/263409112","Catalog Record")</f>
        <v>Catalog Record</v>
      </c>
      <c r="AW6184" s="6" t="str">
        <f>HYPERLINK("http://www.worldcat.org/oclc/263409112","WorldCat Record")</f>
        <v>WorldCat Record</v>
      </c>
      <c r="AX6184" s="3" t="s">
        <v>59553</v>
      </c>
      <c r="AY6184" s="3" t="s">
        <v>59554</v>
      </c>
      <c r="AZ6184" s="3" t="s">
        <v>59555</v>
      </c>
      <c r="BA6184" s="3" t="s">
        <v>59555</v>
      </c>
      <c r="BB6184" s="3" t="s">
        <v>59556</v>
      </c>
      <c r="BC6184" s="3" t="s">
        <v>142</v>
      </c>
      <c r="BD6184" s="3" t="s">
        <v>68</v>
      </c>
      <c r="BE6184" s="3" t="s">
        <v>59557</v>
      </c>
      <c r="BF6184" s="3" t="s">
        <v>59556</v>
      </c>
      <c r="BG6184" s="3" t="s">
        <v>59558</v>
      </c>
    </row>
    <row r="6185" spans="1:59" ht="85.5" x14ac:dyDescent="0.45">
      <c r="A6185" s="2" t="s">
        <v>59</v>
      </c>
      <c r="B6185" s="2" t="s">
        <v>5257</v>
      </c>
      <c r="C6185" s="2" t="s">
        <v>59559</v>
      </c>
      <c r="D6185" s="2" t="s">
        <v>59560</v>
      </c>
      <c r="E6185" s="2" t="s">
        <v>59561</v>
      </c>
      <c r="G6185" s="3" t="s">
        <v>62</v>
      </c>
      <c r="I6185" s="3" t="s">
        <v>62</v>
      </c>
      <c r="J6185" s="3" t="s">
        <v>62</v>
      </c>
      <c r="K6185" s="3" t="s">
        <v>63</v>
      </c>
      <c r="L6185" s="2" t="s">
        <v>59562</v>
      </c>
      <c r="M6185" s="2" t="s">
        <v>22293</v>
      </c>
      <c r="N6185" s="3" t="s">
        <v>894</v>
      </c>
      <c r="P6185" s="3" t="s">
        <v>65</v>
      </c>
      <c r="R6185" s="3" t="s">
        <v>66</v>
      </c>
      <c r="S6185" s="4">
        <v>0</v>
      </c>
      <c r="T6185" s="4">
        <v>0</v>
      </c>
      <c r="W6185" s="5" t="s">
        <v>67</v>
      </c>
      <c r="X6185" s="5" t="s">
        <v>67</v>
      </c>
      <c r="Y6185" s="4">
        <v>70</v>
      </c>
      <c r="Z6185" s="4">
        <v>9</v>
      </c>
      <c r="AA6185" s="4">
        <v>16</v>
      </c>
      <c r="AB6185" s="4">
        <v>1</v>
      </c>
      <c r="AC6185" s="4">
        <v>4</v>
      </c>
      <c r="AD6185" s="4">
        <v>21</v>
      </c>
      <c r="AE6185" s="4">
        <v>28</v>
      </c>
      <c r="AF6185" s="4">
        <v>0</v>
      </c>
      <c r="AG6185" s="4">
        <v>1</v>
      </c>
      <c r="AH6185" s="4">
        <v>20</v>
      </c>
      <c r="AI6185" s="4">
        <v>24</v>
      </c>
      <c r="AJ6185" s="4">
        <v>7</v>
      </c>
      <c r="AK6185" s="4">
        <v>9</v>
      </c>
      <c r="AL6185" s="4">
        <v>8</v>
      </c>
      <c r="AM6185" s="4">
        <v>11</v>
      </c>
      <c r="AN6185" s="4">
        <v>0</v>
      </c>
      <c r="AO6185" s="4">
        <v>0</v>
      </c>
      <c r="AP6185" s="4">
        <v>7</v>
      </c>
      <c r="AQ6185" s="4">
        <v>9</v>
      </c>
      <c r="AR6185" s="3" t="s">
        <v>62</v>
      </c>
      <c r="AS6185" s="3" t="s">
        <v>62</v>
      </c>
      <c r="AT6185" s="3" t="s">
        <v>62</v>
      </c>
      <c r="AV6185" s="6" t="str">
        <f>HYPERLINK("http://mcgill.on.worldcat.org/oclc/669751251","Catalog Record")</f>
        <v>Catalog Record</v>
      </c>
      <c r="AW6185" s="6" t="str">
        <f>HYPERLINK("http://www.worldcat.org/oclc/669751251","WorldCat Record")</f>
        <v>WorldCat Record</v>
      </c>
      <c r="AX6185" s="3" t="s">
        <v>59563</v>
      </c>
      <c r="AY6185" s="3" t="s">
        <v>59564</v>
      </c>
      <c r="AZ6185" s="3" t="s">
        <v>59565</v>
      </c>
      <c r="BA6185" s="3" t="s">
        <v>59565</v>
      </c>
      <c r="BB6185" s="3" t="s">
        <v>59566</v>
      </c>
      <c r="BC6185" s="3" t="s">
        <v>142</v>
      </c>
      <c r="BD6185" s="3" t="s">
        <v>68</v>
      </c>
      <c r="BE6185" s="3" t="s">
        <v>59567</v>
      </c>
      <c r="BF6185" s="3" t="s">
        <v>59566</v>
      </c>
      <c r="BG6185" s="3" t="s">
        <v>59568</v>
      </c>
    </row>
    <row r="6186" spans="1:59" ht="57" x14ac:dyDescent="0.45">
      <c r="A6186" s="2" t="s">
        <v>59</v>
      </c>
      <c r="B6186" s="2" t="s">
        <v>60</v>
      </c>
      <c r="C6186" s="2" t="s">
        <v>59569</v>
      </c>
      <c r="D6186" s="2" t="s">
        <v>59570</v>
      </c>
      <c r="E6186" s="2" t="s">
        <v>59571</v>
      </c>
      <c r="G6186" s="3" t="s">
        <v>62</v>
      </c>
      <c r="I6186" s="3" t="s">
        <v>62</v>
      </c>
      <c r="J6186" s="3" t="s">
        <v>62</v>
      </c>
      <c r="K6186" s="3" t="s">
        <v>63</v>
      </c>
      <c r="L6186" s="2" t="s">
        <v>59572</v>
      </c>
      <c r="M6186" s="2" t="s">
        <v>59573</v>
      </c>
      <c r="N6186" s="3" t="s">
        <v>116</v>
      </c>
      <c r="P6186" s="3" t="s">
        <v>65</v>
      </c>
      <c r="R6186" s="3" t="s">
        <v>66</v>
      </c>
      <c r="S6186" s="4">
        <v>5</v>
      </c>
      <c r="T6186" s="4">
        <v>5</v>
      </c>
      <c r="U6186" s="5" t="s">
        <v>59574</v>
      </c>
      <c r="V6186" s="5" t="s">
        <v>59574</v>
      </c>
      <c r="W6186" s="5" t="s">
        <v>67</v>
      </c>
      <c r="X6186" s="5" t="s">
        <v>67</v>
      </c>
      <c r="Y6186" s="4">
        <v>95</v>
      </c>
      <c r="Z6186" s="4">
        <v>8</v>
      </c>
      <c r="AA6186" s="4">
        <v>21</v>
      </c>
      <c r="AB6186" s="4">
        <v>2</v>
      </c>
      <c r="AC6186" s="4">
        <v>10</v>
      </c>
      <c r="AD6186" s="4">
        <v>31</v>
      </c>
      <c r="AE6186" s="4">
        <v>57</v>
      </c>
      <c r="AF6186" s="4">
        <v>1</v>
      </c>
      <c r="AG6186" s="4">
        <v>5</v>
      </c>
      <c r="AH6186" s="4">
        <v>30</v>
      </c>
      <c r="AI6186" s="4">
        <v>50</v>
      </c>
      <c r="AJ6186" s="4">
        <v>6</v>
      </c>
      <c r="AK6186" s="4">
        <v>12</v>
      </c>
      <c r="AL6186" s="4">
        <v>20</v>
      </c>
      <c r="AM6186" s="4">
        <v>31</v>
      </c>
      <c r="AN6186" s="4">
        <v>0</v>
      </c>
      <c r="AO6186" s="4">
        <v>0</v>
      </c>
      <c r="AP6186" s="4">
        <v>6</v>
      </c>
      <c r="AQ6186" s="4">
        <v>14</v>
      </c>
      <c r="AR6186" s="3" t="s">
        <v>62</v>
      </c>
      <c r="AS6186" s="3" t="s">
        <v>62</v>
      </c>
      <c r="AT6186" s="3" t="s">
        <v>62</v>
      </c>
      <c r="AV6186" s="6" t="str">
        <f>HYPERLINK("http://mcgill.on.worldcat.org/oclc/861335139","Catalog Record")</f>
        <v>Catalog Record</v>
      </c>
      <c r="AW6186" s="6" t="str">
        <f>HYPERLINK("http://www.worldcat.org/oclc/861335139","WorldCat Record")</f>
        <v>WorldCat Record</v>
      </c>
      <c r="AX6186" s="3" t="s">
        <v>59575</v>
      </c>
      <c r="AY6186" s="3" t="s">
        <v>59576</v>
      </c>
      <c r="AZ6186" s="3" t="s">
        <v>59577</v>
      </c>
      <c r="BA6186" s="3" t="s">
        <v>59577</v>
      </c>
      <c r="BB6186" s="3" t="s">
        <v>59578</v>
      </c>
      <c r="BC6186" s="3" t="s">
        <v>142</v>
      </c>
      <c r="BD6186" s="3" t="s">
        <v>68</v>
      </c>
      <c r="BE6186" s="3" t="s">
        <v>59579</v>
      </c>
      <c r="BF6186" s="3" t="s">
        <v>59578</v>
      </c>
      <c r="BG6186" s="3" t="s">
        <v>59580</v>
      </c>
    </row>
    <row r="6187" spans="1:59" ht="57" x14ac:dyDescent="0.45">
      <c r="A6187" s="2" t="s">
        <v>59</v>
      </c>
      <c r="B6187" s="2" t="s">
        <v>60</v>
      </c>
      <c r="C6187" s="2" t="s">
        <v>59581</v>
      </c>
      <c r="D6187" s="2" t="s">
        <v>59582</v>
      </c>
      <c r="E6187" s="2" t="s">
        <v>59583</v>
      </c>
      <c r="G6187" s="3" t="s">
        <v>62</v>
      </c>
      <c r="I6187" s="3" t="s">
        <v>62</v>
      </c>
      <c r="J6187" s="3" t="s">
        <v>61</v>
      </c>
      <c r="K6187" s="3" t="s">
        <v>63</v>
      </c>
      <c r="L6187" s="2" t="s">
        <v>59584</v>
      </c>
      <c r="M6187" s="2" t="s">
        <v>59585</v>
      </c>
      <c r="N6187" s="3" t="s">
        <v>542</v>
      </c>
      <c r="O6187" s="2" t="s">
        <v>59586</v>
      </c>
      <c r="P6187" s="3" t="s">
        <v>110</v>
      </c>
      <c r="Q6187" s="2" t="s">
        <v>59587</v>
      </c>
      <c r="R6187" s="3" t="s">
        <v>66</v>
      </c>
      <c r="S6187" s="4">
        <v>5</v>
      </c>
      <c r="T6187" s="4">
        <v>5</v>
      </c>
      <c r="U6187" s="5" t="s">
        <v>1451</v>
      </c>
      <c r="V6187" s="5" t="s">
        <v>1451</v>
      </c>
      <c r="W6187" s="5" t="s">
        <v>67</v>
      </c>
      <c r="X6187" s="5" t="s">
        <v>67</v>
      </c>
      <c r="Y6187" s="4">
        <v>50</v>
      </c>
      <c r="Z6187" s="4">
        <v>6</v>
      </c>
      <c r="AA6187" s="4">
        <v>27</v>
      </c>
      <c r="AB6187" s="4">
        <v>4</v>
      </c>
      <c r="AC6187" s="4">
        <v>10</v>
      </c>
      <c r="AD6187" s="4">
        <v>4</v>
      </c>
      <c r="AE6187" s="4">
        <v>48</v>
      </c>
      <c r="AF6187" s="4">
        <v>2</v>
      </c>
      <c r="AG6187" s="4">
        <v>5</v>
      </c>
      <c r="AH6187" s="4">
        <v>2</v>
      </c>
      <c r="AI6187" s="4">
        <v>35</v>
      </c>
      <c r="AJ6187" s="4">
        <v>3</v>
      </c>
      <c r="AK6187" s="4">
        <v>13</v>
      </c>
      <c r="AL6187" s="4">
        <v>0</v>
      </c>
      <c r="AM6187" s="4">
        <v>23</v>
      </c>
      <c r="AN6187" s="4">
        <v>0</v>
      </c>
      <c r="AO6187" s="4">
        <v>0</v>
      </c>
      <c r="AP6187" s="4">
        <v>4</v>
      </c>
      <c r="AQ6187" s="4">
        <v>18</v>
      </c>
      <c r="AR6187" s="3" t="s">
        <v>62</v>
      </c>
      <c r="AS6187" s="3" t="s">
        <v>62</v>
      </c>
      <c r="AT6187" s="3" t="s">
        <v>62</v>
      </c>
      <c r="AV6187" s="6" t="str">
        <f>HYPERLINK("http://mcgill.on.worldcat.org/oclc/50235853","Catalog Record")</f>
        <v>Catalog Record</v>
      </c>
      <c r="AW6187" s="6" t="str">
        <f>HYPERLINK("http://www.worldcat.org/oclc/50235853","WorldCat Record")</f>
        <v>WorldCat Record</v>
      </c>
      <c r="AX6187" s="3" t="s">
        <v>59588</v>
      </c>
      <c r="AY6187" s="3" t="s">
        <v>59589</v>
      </c>
      <c r="AZ6187" s="3" t="s">
        <v>59590</v>
      </c>
      <c r="BA6187" s="3" t="s">
        <v>59590</v>
      </c>
      <c r="BB6187" s="3" t="s">
        <v>59591</v>
      </c>
      <c r="BC6187" s="3" t="s">
        <v>142</v>
      </c>
      <c r="BD6187" s="3" t="s">
        <v>68</v>
      </c>
      <c r="BE6187" s="3" t="s">
        <v>59592</v>
      </c>
      <c r="BF6187" s="3" t="s">
        <v>59591</v>
      </c>
      <c r="BG6187" s="3" t="s">
        <v>59593</v>
      </c>
    </row>
    <row r="6188" spans="1:59" ht="57" x14ac:dyDescent="0.45">
      <c r="A6188" s="2" t="s">
        <v>59</v>
      </c>
      <c r="B6188" s="2" t="s">
        <v>60</v>
      </c>
      <c r="C6188" s="2" t="s">
        <v>59594</v>
      </c>
      <c r="D6188" s="2" t="s">
        <v>59595</v>
      </c>
      <c r="E6188" s="2" t="s">
        <v>59596</v>
      </c>
      <c r="G6188" s="3" t="s">
        <v>62</v>
      </c>
      <c r="I6188" s="3" t="s">
        <v>62</v>
      </c>
      <c r="J6188" s="3" t="s">
        <v>62</v>
      </c>
      <c r="K6188" s="3" t="s">
        <v>63</v>
      </c>
      <c r="L6188" s="2" t="s">
        <v>59597</v>
      </c>
      <c r="M6188" s="2" t="s">
        <v>59598</v>
      </c>
      <c r="N6188" s="3" t="s">
        <v>2417</v>
      </c>
      <c r="P6188" s="3" t="s">
        <v>65</v>
      </c>
      <c r="R6188" s="3" t="s">
        <v>66</v>
      </c>
      <c r="S6188" s="4">
        <v>59</v>
      </c>
      <c r="T6188" s="4">
        <v>59</v>
      </c>
      <c r="U6188" s="5" t="s">
        <v>24477</v>
      </c>
      <c r="V6188" s="5" t="s">
        <v>24477</v>
      </c>
      <c r="W6188" s="5" t="s">
        <v>67</v>
      </c>
      <c r="X6188" s="5" t="s">
        <v>67</v>
      </c>
      <c r="Y6188" s="4">
        <v>248</v>
      </c>
      <c r="Z6188" s="4">
        <v>21</v>
      </c>
      <c r="AA6188" s="4">
        <v>101</v>
      </c>
      <c r="AB6188" s="4">
        <v>3</v>
      </c>
      <c r="AC6188" s="4">
        <v>17</v>
      </c>
      <c r="AD6188" s="4">
        <v>84</v>
      </c>
      <c r="AE6188" s="4">
        <v>137</v>
      </c>
      <c r="AF6188" s="4">
        <v>2</v>
      </c>
      <c r="AG6188" s="4">
        <v>8</v>
      </c>
      <c r="AH6188" s="4">
        <v>72</v>
      </c>
      <c r="AI6188" s="4">
        <v>97</v>
      </c>
      <c r="AJ6188" s="4">
        <v>14</v>
      </c>
      <c r="AK6188" s="4">
        <v>25</v>
      </c>
      <c r="AL6188" s="4">
        <v>39</v>
      </c>
      <c r="AM6188" s="4">
        <v>51</v>
      </c>
      <c r="AN6188" s="4">
        <v>0</v>
      </c>
      <c r="AO6188" s="4">
        <v>0</v>
      </c>
      <c r="AP6188" s="4">
        <v>19</v>
      </c>
      <c r="AQ6188" s="4">
        <v>49</v>
      </c>
      <c r="AR6188" s="3" t="s">
        <v>62</v>
      </c>
      <c r="AS6188" s="3" t="s">
        <v>62</v>
      </c>
      <c r="AT6188" s="3" t="s">
        <v>61</v>
      </c>
      <c r="AU6188" s="6" t="str">
        <f>HYPERLINK("http://catalog.hathitrust.org/Record/004495954","HathiTrust Record")</f>
        <v>HathiTrust Record</v>
      </c>
      <c r="AV6188" s="6" t="str">
        <f>HYPERLINK("http://mcgill.on.worldcat.org/oclc/18557448","Catalog Record")</f>
        <v>Catalog Record</v>
      </c>
      <c r="AW6188" s="6" t="str">
        <f>HYPERLINK("http://www.worldcat.org/oclc/18557448","WorldCat Record")</f>
        <v>WorldCat Record</v>
      </c>
      <c r="AX6188" s="3" t="s">
        <v>59599</v>
      </c>
      <c r="AY6188" s="3" t="s">
        <v>59600</v>
      </c>
      <c r="AZ6188" s="3" t="s">
        <v>59601</v>
      </c>
      <c r="BA6188" s="3" t="s">
        <v>59601</v>
      </c>
      <c r="BB6188" s="3" t="s">
        <v>59602</v>
      </c>
      <c r="BC6188" s="3" t="s">
        <v>104</v>
      </c>
      <c r="BD6188" s="3" t="s">
        <v>68</v>
      </c>
      <c r="BE6188" s="3" t="s">
        <v>59603</v>
      </c>
      <c r="BF6188" s="3" t="s">
        <v>59602</v>
      </c>
      <c r="BG6188" s="3" t="s">
        <v>59604</v>
      </c>
    </row>
    <row r="6189" spans="1:59" ht="71.25" x14ac:dyDescent="0.45">
      <c r="A6189" s="2" t="s">
        <v>59</v>
      </c>
      <c r="B6189" s="2" t="s">
        <v>60</v>
      </c>
      <c r="C6189" s="2" t="s">
        <v>59605</v>
      </c>
      <c r="D6189" s="2" t="s">
        <v>59606</v>
      </c>
      <c r="E6189" s="2" t="s">
        <v>59607</v>
      </c>
      <c r="F6189" s="3" t="s">
        <v>90</v>
      </c>
      <c r="G6189" s="3" t="s">
        <v>61</v>
      </c>
      <c r="I6189" s="3" t="s">
        <v>62</v>
      </c>
      <c r="J6189" s="3" t="s">
        <v>62</v>
      </c>
      <c r="K6189" s="3" t="s">
        <v>63</v>
      </c>
      <c r="L6189" s="2" t="s">
        <v>59608</v>
      </c>
      <c r="M6189" s="2" t="s">
        <v>59609</v>
      </c>
      <c r="N6189" s="3" t="s">
        <v>894</v>
      </c>
      <c r="P6189" s="3" t="s">
        <v>182</v>
      </c>
      <c r="Q6189" s="2" t="s">
        <v>59610</v>
      </c>
      <c r="R6189" s="3" t="s">
        <v>66</v>
      </c>
      <c r="S6189" s="4">
        <v>0</v>
      </c>
      <c r="T6189" s="4">
        <v>1</v>
      </c>
      <c r="V6189" s="5" t="s">
        <v>58658</v>
      </c>
      <c r="W6189" s="5" t="s">
        <v>67</v>
      </c>
      <c r="X6189" s="5" t="s">
        <v>67</v>
      </c>
      <c r="Y6189" s="4">
        <v>27</v>
      </c>
      <c r="Z6189" s="4">
        <v>3</v>
      </c>
      <c r="AA6189" s="4">
        <v>3</v>
      </c>
      <c r="AB6189" s="4">
        <v>1</v>
      </c>
      <c r="AC6189" s="4">
        <v>1</v>
      </c>
      <c r="AD6189" s="4">
        <v>12</v>
      </c>
      <c r="AE6189" s="4">
        <v>12</v>
      </c>
      <c r="AF6189" s="4">
        <v>0</v>
      </c>
      <c r="AG6189" s="4">
        <v>0</v>
      </c>
      <c r="AH6189" s="4">
        <v>11</v>
      </c>
      <c r="AI6189" s="4">
        <v>11</v>
      </c>
      <c r="AJ6189" s="4">
        <v>1</v>
      </c>
      <c r="AK6189" s="4">
        <v>1</v>
      </c>
      <c r="AL6189" s="4">
        <v>10</v>
      </c>
      <c r="AM6189" s="4">
        <v>10</v>
      </c>
      <c r="AN6189" s="4">
        <v>0</v>
      </c>
      <c r="AO6189" s="4">
        <v>0</v>
      </c>
      <c r="AP6189" s="4">
        <v>1</v>
      </c>
      <c r="AQ6189" s="4">
        <v>1</v>
      </c>
      <c r="AR6189" s="3" t="s">
        <v>62</v>
      </c>
      <c r="AS6189" s="3" t="s">
        <v>62</v>
      </c>
      <c r="AT6189" s="3" t="s">
        <v>61</v>
      </c>
      <c r="AU6189" s="6" t="str">
        <f>HYPERLINK("http://catalog.hathitrust.org/Record/011387708","HathiTrust Record")</f>
        <v>HathiTrust Record</v>
      </c>
      <c r="AV6189" s="6" t="str">
        <f>HYPERLINK("http://mcgill.on.worldcat.org/oclc/770602104","Catalog Record")</f>
        <v>Catalog Record</v>
      </c>
      <c r="AW6189" s="6" t="str">
        <f>HYPERLINK("http://www.worldcat.org/oclc/770602104","WorldCat Record")</f>
        <v>WorldCat Record</v>
      </c>
      <c r="AX6189" s="3" t="s">
        <v>59611</v>
      </c>
      <c r="AY6189" s="3" t="s">
        <v>59612</v>
      </c>
      <c r="AZ6189" s="3" t="s">
        <v>59613</v>
      </c>
      <c r="BA6189" s="3" t="s">
        <v>59613</v>
      </c>
      <c r="BB6189" s="3" t="s">
        <v>59614</v>
      </c>
      <c r="BC6189" s="3" t="s">
        <v>142</v>
      </c>
      <c r="BD6189" s="3" t="s">
        <v>68</v>
      </c>
      <c r="BE6189" s="3" t="s">
        <v>59615</v>
      </c>
      <c r="BF6189" s="3" t="s">
        <v>59614</v>
      </c>
      <c r="BG6189" s="3" t="s">
        <v>59616</v>
      </c>
    </row>
    <row r="6190" spans="1:59" ht="71.25" x14ac:dyDescent="0.45">
      <c r="A6190" s="2" t="s">
        <v>59</v>
      </c>
      <c r="B6190" s="2" t="s">
        <v>60</v>
      </c>
      <c r="C6190" s="2" t="s">
        <v>59605</v>
      </c>
      <c r="D6190" s="2" t="s">
        <v>59606</v>
      </c>
      <c r="E6190" s="2" t="s">
        <v>59607</v>
      </c>
      <c r="F6190" s="3" t="s">
        <v>87</v>
      </c>
      <c r="G6190" s="3" t="s">
        <v>61</v>
      </c>
      <c r="I6190" s="3" t="s">
        <v>62</v>
      </c>
      <c r="J6190" s="3" t="s">
        <v>62</v>
      </c>
      <c r="K6190" s="3" t="s">
        <v>63</v>
      </c>
      <c r="L6190" s="2" t="s">
        <v>59608</v>
      </c>
      <c r="M6190" s="2" t="s">
        <v>59609</v>
      </c>
      <c r="N6190" s="3" t="s">
        <v>894</v>
      </c>
      <c r="P6190" s="3" t="s">
        <v>182</v>
      </c>
      <c r="Q6190" s="2" t="s">
        <v>59610</v>
      </c>
      <c r="R6190" s="3" t="s">
        <v>66</v>
      </c>
      <c r="S6190" s="4">
        <v>1</v>
      </c>
      <c r="T6190" s="4">
        <v>1</v>
      </c>
      <c r="U6190" s="5" t="s">
        <v>58658</v>
      </c>
      <c r="V6190" s="5" t="s">
        <v>58658</v>
      </c>
      <c r="W6190" s="5" t="s">
        <v>67</v>
      </c>
      <c r="X6190" s="5" t="s">
        <v>67</v>
      </c>
      <c r="Y6190" s="4">
        <v>27</v>
      </c>
      <c r="Z6190" s="4">
        <v>3</v>
      </c>
      <c r="AA6190" s="4">
        <v>3</v>
      </c>
      <c r="AB6190" s="4">
        <v>1</v>
      </c>
      <c r="AC6190" s="4">
        <v>1</v>
      </c>
      <c r="AD6190" s="4">
        <v>12</v>
      </c>
      <c r="AE6190" s="4">
        <v>12</v>
      </c>
      <c r="AF6190" s="4">
        <v>0</v>
      </c>
      <c r="AG6190" s="4">
        <v>0</v>
      </c>
      <c r="AH6190" s="4">
        <v>11</v>
      </c>
      <c r="AI6190" s="4">
        <v>11</v>
      </c>
      <c r="AJ6190" s="4">
        <v>1</v>
      </c>
      <c r="AK6190" s="4">
        <v>1</v>
      </c>
      <c r="AL6190" s="4">
        <v>10</v>
      </c>
      <c r="AM6190" s="4">
        <v>10</v>
      </c>
      <c r="AN6190" s="4">
        <v>0</v>
      </c>
      <c r="AO6190" s="4">
        <v>0</v>
      </c>
      <c r="AP6190" s="4">
        <v>1</v>
      </c>
      <c r="AQ6190" s="4">
        <v>1</v>
      </c>
      <c r="AR6190" s="3" t="s">
        <v>62</v>
      </c>
      <c r="AS6190" s="3" t="s">
        <v>62</v>
      </c>
      <c r="AT6190" s="3" t="s">
        <v>61</v>
      </c>
      <c r="AU6190" s="6" t="str">
        <f>HYPERLINK("http://catalog.hathitrust.org/Record/011387708","HathiTrust Record")</f>
        <v>HathiTrust Record</v>
      </c>
      <c r="AV6190" s="6" t="str">
        <f>HYPERLINK("http://mcgill.on.worldcat.org/oclc/770602104","Catalog Record")</f>
        <v>Catalog Record</v>
      </c>
      <c r="AW6190" s="6" t="str">
        <f>HYPERLINK("http://www.worldcat.org/oclc/770602104","WorldCat Record")</f>
        <v>WorldCat Record</v>
      </c>
      <c r="AX6190" s="3" t="s">
        <v>59611</v>
      </c>
      <c r="AY6190" s="3" t="s">
        <v>59612</v>
      </c>
      <c r="AZ6190" s="3" t="s">
        <v>59613</v>
      </c>
      <c r="BA6190" s="3" t="s">
        <v>59613</v>
      </c>
      <c r="BB6190" s="3" t="s">
        <v>59617</v>
      </c>
      <c r="BC6190" s="3" t="s">
        <v>142</v>
      </c>
      <c r="BD6190" s="3" t="s">
        <v>68</v>
      </c>
      <c r="BE6190" s="3" t="s">
        <v>59615</v>
      </c>
      <c r="BF6190" s="3" t="s">
        <v>59617</v>
      </c>
      <c r="BG6190" s="3" t="s">
        <v>59618</v>
      </c>
    </row>
    <row r="6191" spans="1:59" ht="57" x14ac:dyDescent="0.45">
      <c r="A6191" s="2" t="s">
        <v>59</v>
      </c>
      <c r="B6191" s="2" t="s">
        <v>60</v>
      </c>
      <c r="C6191" s="2" t="s">
        <v>59619</v>
      </c>
      <c r="D6191" s="2" t="s">
        <v>59620</v>
      </c>
      <c r="E6191" s="2" t="s">
        <v>59621</v>
      </c>
      <c r="G6191" s="3" t="s">
        <v>62</v>
      </c>
      <c r="I6191" s="3" t="s">
        <v>61</v>
      </c>
      <c r="J6191" s="3" t="s">
        <v>61</v>
      </c>
      <c r="K6191" s="3" t="s">
        <v>63</v>
      </c>
      <c r="L6191" s="2" t="s">
        <v>6862</v>
      </c>
      <c r="M6191" s="2" t="s">
        <v>59622</v>
      </c>
      <c r="N6191" s="3" t="s">
        <v>495</v>
      </c>
      <c r="P6191" s="3" t="s">
        <v>65</v>
      </c>
      <c r="R6191" s="3" t="s">
        <v>66</v>
      </c>
      <c r="S6191" s="4">
        <v>46</v>
      </c>
      <c r="T6191" s="4">
        <v>163</v>
      </c>
      <c r="U6191" s="5" t="s">
        <v>24983</v>
      </c>
      <c r="V6191" s="5" t="s">
        <v>24983</v>
      </c>
      <c r="W6191" s="5" t="s">
        <v>67</v>
      </c>
      <c r="X6191" s="5" t="s">
        <v>67</v>
      </c>
      <c r="Y6191" s="4">
        <v>685</v>
      </c>
      <c r="Z6191" s="4">
        <v>25</v>
      </c>
      <c r="AA6191" s="4">
        <v>85</v>
      </c>
      <c r="AB6191" s="4">
        <v>3</v>
      </c>
      <c r="AC6191" s="4">
        <v>14</v>
      </c>
      <c r="AD6191" s="4">
        <v>77</v>
      </c>
      <c r="AE6191" s="4">
        <v>159</v>
      </c>
      <c r="AF6191" s="4">
        <v>1</v>
      </c>
      <c r="AG6191" s="4">
        <v>7</v>
      </c>
      <c r="AH6191" s="4">
        <v>61</v>
      </c>
      <c r="AI6191" s="4">
        <v>115</v>
      </c>
      <c r="AJ6191" s="4">
        <v>8</v>
      </c>
      <c r="AK6191" s="4">
        <v>28</v>
      </c>
      <c r="AL6191" s="4">
        <v>33</v>
      </c>
      <c r="AM6191" s="4">
        <v>61</v>
      </c>
      <c r="AN6191" s="4">
        <v>0</v>
      </c>
      <c r="AO6191" s="4">
        <v>0</v>
      </c>
      <c r="AP6191" s="4">
        <v>19</v>
      </c>
      <c r="AQ6191" s="4">
        <v>51</v>
      </c>
      <c r="AR6191" s="3" t="s">
        <v>62</v>
      </c>
      <c r="AS6191" s="3" t="s">
        <v>62</v>
      </c>
      <c r="AT6191" s="3" t="s">
        <v>61</v>
      </c>
      <c r="AU6191" s="6" t="str">
        <f>HYPERLINK("http://catalog.hathitrust.org/Record/007112715","HathiTrust Record")</f>
        <v>HathiTrust Record</v>
      </c>
      <c r="AV6191" s="6" t="str">
        <f>HYPERLINK("http://mcgill.on.worldcat.org/oclc/1531585","Catalog Record")</f>
        <v>Catalog Record</v>
      </c>
      <c r="AW6191" s="6" t="str">
        <f>HYPERLINK("http://www.worldcat.org/oclc/1531585","WorldCat Record")</f>
        <v>WorldCat Record</v>
      </c>
      <c r="AX6191" s="3" t="s">
        <v>59623</v>
      </c>
      <c r="AY6191" s="3" t="s">
        <v>59624</v>
      </c>
      <c r="AZ6191" s="3" t="s">
        <v>59625</v>
      </c>
      <c r="BA6191" s="3" t="s">
        <v>59625</v>
      </c>
      <c r="BB6191" s="3" t="s">
        <v>59626</v>
      </c>
      <c r="BC6191" s="3" t="s">
        <v>142</v>
      </c>
      <c r="BD6191" s="3" t="s">
        <v>68</v>
      </c>
      <c r="BE6191" s="3" t="s">
        <v>59627</v>
      </c>
      <c r="BF6191" s="3" t="s">
        <v>59626</v>
      </c>
      <c r="BG6191" s="3" t="s">
        <v>59628</v>
      </c>
    </row>
    <row r="6192" spans="1:59" ht="57" x14ac:dyDescent="0.45">
      <c r="A6192" s="2" t="s">
        <v>59</v>
      </c>
      <c r="B6192" s="2" t="s">
        <v>60</v>
      </c>
      <c r="C6192" s="2" t="s">
        <v>59619</v>
      </c>
      <c r="D6192" s="2" t="s">
        <v>59620</v>
      </c>
      <c r="E6192" s="2" t="s">
        <v>59621</v>
      </c>
      <c r="G6192" s="3" t="s">
        <v>62</v>
      </c>
      <c r="I6192" s="3" t="s">
        <v>61</v>
      </c>
      <c r="J6192" s="3" t="s">
        <v>61</v>
      </c>
      <c r="K6192" s="3" t="s">
        <v>63</v>
      </c>
      <c r="L6192" s="2" t="s">
        <v>6862</v>
      </c>
      <c r="M6192" s="2" t="s">
        <v>59622</v>
      </c>
      <c r="N6192" s="3" t="s">
        <v>495</v>
      </c>
      <c r="P6192" s="3" t="s">
        <v>65</v>
      </c>
      <c r="R6192" s="3" t="s">
        <v>66</v>
      </c>
      <c r="S6192" s="4">
        <v>64</v>
      </c>
      <c r="T6192" s="4">
        <v>163</v>
      </c>
      <c r="U6192" s="5" t="s">
        <v>32674</v>
      </c>
      <c r="V6192" s="5" t="s">
        <v>24983</v>
      </c>
      <c r="W6192" s="5" t="s">
        <v>67</v>
      </c>
      <c r="X6192" s="5" t="s">
        <v>67</v>
      </c>
      <c r="Y6192" s="4">
        <v>685</v>
      </c>
      <c r="Z6192" s="4">
        <v>25</v>
      </c>
      <c r="AA6192" s="4">
        <v>85</v>
      </c>
      <c r="AB6192" s="4">
        <v>3</v>
      </c>
      <c r="AC6192" s="4">
        <v>14</v>
      </c>
      <c r="AD6192" s="4">
        <v>77</v>
      </c>
      <c r="AE6192" s="4">
        <v>159</v>
      </c>
      <c r="AF6192" s="4">
        <v>1</v>
      </c>
      <c r="AG6192" s="4">
        <v>7</v>
      </c>
      <c r="AH6192" s="4">
        <v>61</v>
      </c>
      <c r="AI6192" s="4">
        <v>115</v>
      </c>
      <c r="AJ6192" s="4">
        <v>8</v>
      </c>
      <c r="AK6192" s="4">
        <v>28</v>
      </c>
      <c r="AL6192" s="4">
        <v>33</v>
      </c>
      <c r="AM6192" s="4">
        <v>61</v>
      </c>
      <c r="AN6192" s="4">
        <v>0</v>
      </c>
      <c r="AO6192" s="4">
        <v>0</v>
      </c>
      <c r="AP6192" s="4">
        <v>19</v>
      </c>
      <c r="AQ6192" s="4">
        <v>51</v>
      </c>
      <c r="AR6192" s="3" t="s">
        <v>62</v>
      </c>
      <c r="AS6192" s="3" t="s">
        <v>62</v>
      </c>
      <c r="AT6192" s="3" t="s">
        <v>61</v>
      </c>
      <c r="AU6192" s="6" t="str">
        <f>HYPERLINK("http://catalog.hathitrust.org/Record/007112715","HathiTrust Record")</f>
        <v>HathiTrust Record</v>
      </c>
      <c r="AV6192" s="6" t="str">
        <f>HYPERLINK("http://mcgill.on.worldcat.org/oclc/1531585","Catalog Record")</f>
        <v>Catalog Record</v>
      </c>
      <c r="AW6192" s="6" t="str">
        <f>HYPERLINK("http://www.worldcat.org/oclc/1531585","WorldCat Record")</f>
        <v>WorldCat Record</v>
      </c>
      <c r="AX6192" s="3" t="s">
        <v>59623</v>
      </c>
      <c r="AY6192" s="3" t="s">
        <v>59624</v>
      </c>
      <c r="AZ6192" s="3" t="s">
        <v>59625</v>
      </c>
      <c r="BA6192" s="3" t="s">
        <v>59625</v>
      </c>
      <c r="BB6192" s="3" t="s">
        <v>59629</v>
      </c>
      <c r="BC6192" s="3" t="s">
        <v>142</v>
      </c>
      <c r="BD6192" s="3" t="s">
        <v>308</v>
      </c>
      <c r="BE6192" s="3" t="s">
        <v>59627</v>
      </c>
      <c r="BF6192" s="3" t="s">
        <v>59629</v>
      </c>
      <c r="BG6192" s="3" t="s">
        <v>59630</v>
      </c>
    </row>
    <row r="6193" spans="1:59" ht="57" x14ac:dyDescent="0.45">
      <c r="A6193" s="2" t="s">
        <v>59</v>
      </c>
      <c r="B6193" s="2" t="s">
        <v>60</v>
      </c>
      <c r="C6193" s="2" t="s">
        <v>59619</v>
      </c>
      <c r="D6193" s="2" t="s">
        <v>59620</v>
      </c>
      <c r="E6193" s="2" t="s">
        <v>59621</v>
      </c>
      <c r="G6193" s="3" t="s">
        <v>62</v>
      </c>
      <c r="I6193" s="3" t="s">
        <v>61</v>
      </c>
      <c r="J6193" s="3" t="s">
        <v>61</v>
      </c>
      <c r="K6193" s="3" t="s">
        <v>63</v>
      </c>
      <c r="L6193" s="2" t="s">
        <v>6862</v>
      </c>
      <c r="M6193" s="2" t="s">
        <v>59622</v>
      </c>
      <c r="N6193" s="3" t="s">
        <v>495</v>
      </c>
      <c r="P6193" s="3" t="s">
        <v>65</v>
      </c>
      <c r="R6193" s="3" t="s">
        <v>66</v>
      </c>
      <c r="S6193" s="4">
        <v>53</v>
      </c>
      <c r="T6193" s="4">
        <v>163</v>
      </c>
      <c r="U6193" s="5" t="s">
        <v>6164</v>
      </c>
      <c r="V6193" s="5" t="s">
        <v>24983</v>
      </c>
      <c r="W6193" s="5" t="s">
        <v>67</v>
      </c>
      <c r="X6193" s="5" t="s">
        <v>67</v>
      </c>
      <c r="Y6193" s="4">
        <v>685</v>
      </c>
      <c r="Z6193" s="4">
        <v>25</v>
      </c>
      <c r="AA6193" s="4">
        <v>85</v>
      </c>
      <c r="AB6193" s="4">
        <v>3</v>
      </c>
      <c r="AC6193" s="4">
        <v>14</v>
      </c>
      <c r="AD6193" s="4">
        <v>77</v>
      </c>
      <c r="AE6193" s="4">
        <v>159</v>
      </c>
      <c r="AF6193" s="4">
        <v>1</v>
      </c>
      <c r="AG6193" s="4">
        <v>7</v>
      </c>
      <c r="AH6193" s="4">
        <v>61</v>
      </c>
      <c r="AI6193" s="4">
        <v>115</v>
      </c>
      <c r="AJ6193" s="4">
        <v>8</v>
      </c>
      <c r="AK6193" s="4">
        <v>28</v>
      </c>
      <c r="AL6193" s="4">
        <v>33</v>
      </c>
      <c r="AM6193" s="4">
        <v>61</v>
      </c>
      <c r="AN6193" s="4">
        <v>0</v>
      </c>
      <c r="AO6193" s="4">
        <v>0</v>
      </c>
      <c r="AP6193" s="4">
        <v>19</v>
      </c>
      <c r="AQ6193" s="4">
        <v>51</v>
      </c>
      <c r="AR6193" s="3" t="s">
        <v>62</v>
      </c>
      <c r="AS6193" s="3" t="s">
        <v>62</v>
      </c>
      <c r="AT6193" s="3" t="s">
        <v>61</v>
      </c>
      <c r="AU6193" s="6" t="str">
        <f>HYPERLINK("http://catalog.hathitrust.org/Record/007112715","HathiTrust Record")</f>
        <v>HathiTrust Record</v>
      </c>
      <c r="AV6193" s="6" t="str">
        <f>HYPERLINK("http://mcgill.on.worldcat.org/oclc/1531585","Catalog Record")</f>
        <v>Catalog Record</v>
      </c>
      <c r="AW6193" s="6" t="str">
        <f>HYPERLINK("http://www.worldcat.org/oclc/1531585","WorldCat Record")</f>
        <v>WorldCat Record</v>
      </c>
      <c r="AX6193" s="3" t="s">
        <v>59623</v>
      </c>
      <c r="AY6193" s="3" t="s">
        <v>59624</v>
      </c>
      <c r="AZ6193" s="3" t="s">
        <v>59625</v>
      </c>
      <c r="BA6193" s="3" t="s">
        <v>59625</v>
      </c>
      <c r="BB6193" s="3" t="s">
        <v>59631</v>
      </c>
      <c r="BC6193" s="3" t="s">
        <v>142</v>
      </c>
      <c r="BD6193" s="3" t="s">
        <v>68</v>
      </c>
      <c r="BE6193" s="3" t="s">
        <v>59627</v>
      </c>
      <c r="BF6193" s="3" t="s">
        <v>59631</v>
      </c>
      <c r="BG6193" s="3" t="s">
        <v>59632</v>
      </c>
    </row>
    <row r="6194" spans="1:59" ht="57" x14ac:dyDescent="0.45">
      <c r="A6194" s="2" t="s">
        <v>59</v>
      </c>
      <c r="B6194" s="2" t="s">
        <v>60</v>
      </c>
      <c r="C6194" s="2" t="s">
        <v>59633</v>
      </c>
      <c r="D6194" s="2" t="s">
        <v>59634</v>
      </c>
      <c r="E6194" s="2" t="s">
        <v>59621</v>
      </c>
      <c r="G6194" s="3" t="s">
        <v>62</v>
      </c>
      <c r="I6194" s="3" t="s">
        <v>62</v>
      </c>
      <c r="J6194" s="3" t="s">
        <v>61</v>
      </c>
      <c r="K6194" s="3" t="s">
        <v>63</v>
      </c>
      <c r="L6194" s="2" t="s">
        <v>6862</v>
      </c>
      <c r="M6194" s="2" t="s">
        <v>59635</v>
      </c>
      <c r="N6194" s="3" t="s">
        <v>84</v>
      </c>
      <c r="O6194" s="2" t="s">
        <v>933</v>
      </c>
      <c r="P6194" s="3" t="s">
        <v>65</v>
      </c>
      <c r="R6194" s="3" t="s">
        <v>66</v>
      </c>
      <c r="S6194" s="4">
        <v>116</v>
      </c>
      <c r="T6194" s="4">
        <v>116</v>
      </c>
      <c r="U6194" s="5" t="s">
        <v>59636</v>
      </c>
      <c r="V6194" s="5" t="s">
        <v>59636</v>
      </c>
      <c r="W6194" s="5" t="s">
        <v>67</v>
      </c>
      <c r="X6194" s="5" t="s">
        <v>67</v>
      </c>
      <c r="Y6194" s="4">
        <v>341</v>
      </c>
      <c r="Z6194" s="4">
        <v>26</v>
      </c>
      <c r="AA6194" s="4">
        <v>85</v>
      </c>
      <c r="AB6194" s="4">
        <v>3</v>
      </c>
      <c r="AC6194" s="4">
        <v>14</v>
      </c>
      <c r="AD6194" s="4">
        <v>90</v>
      </c>
      <c r="AE6194" s="4">
        <v>159</v>
      </c>
      <c r="AF6194" s="4">
        <v>2</v>
      </c>
      <c r="AG6194" s="4">
        <v>7</v>
      </c>
      <c r="AH6194" s="4">
        <v>74</v>
      </c>
      <c r="AI6194" s="4">
        <v>115</v>
      </c>
      <c r="AJ6194" s="4">
        <v>13</v>
      </c>
      <c r="AK6194" s="4">
        <v>28</v>
      </c>
      <c r="AL6194" s="4">
        <v>40</v>
      </c>
      <c r="AM6194" s="4">
        <v>61</v>
      </c>
      <c r="AN6194" s="4">
        <v>0</v>
      </c>
      <c r="AO6194" s="4">
        <v>0</v>
      </c>
      <c r="AP6194" s="4">
        <v>21</v>
      </c>
      <c r="AQ6194" s="4">
        <v>51</v>
      </c>
      <c r="AR6194" s="3" t="s">
        <v>62</v>
      </c>
      <c r="AS6194" s="3" t="s">
        <v>62</v>
      </c>
      <c r="AT6194" s="3" t="s">
        <v>61</v>
      </c>
      <c r="AU6194" s="6" t="str">
        <f>HYPERLINK("http://catalog.hathitrust.org/Record/002645152","HathiTrust Record")</f>
        <v>HathiTrust Record</v>
      </c>
      <c r="AV6194" s="6" t="str">
        <f>HYPERLINK("http://mcgill.on.worldcat.org/oclc/25748291","Catalog Record")</f>
        <v>Catalog Record</v>
      </c>
      <c r="AW6194" s="6" t="str">
        <f>HYPERLINK("http://www.worldcat.org/oclc/25748291","WorldCat Record")</f>
        <v>WorldCat Record</v>
      </c>
      <c r="AX6194" s="3" t="s">
        <v>59623</v>
      </c>
      <c r="AY6194" s="3" t="s">
        <v>59637</v>
      </c>
      <c r="AZ6194" s="3" t="s">
        <v>59638</v>
      </c>
      <c r="BA6194" s="3" t="s">
        <v>59638</v>
      </c>
      <c r="BB6194" s="3" t="s">
        <v>59639</v>
      </c>
      <c r="BC6194" s="3" t="s">
        <v>142</v>
      </c>
      <c r="BD6194" s="3" t="s">
        <v>68</v>
      </c>
      <c r="BE6194" s="3" t="s">
        <v>59640</v>
      </c>
      <c r="BF6194" s="3" t="s">
        <v>59639</v>
      </c>
      <c r="BG6194" s="3" t="s">
        <v>59641</v>
      </c>
    </row>
    <row r="6195" spans="1:59" ht="57" x14ac:dyDescent="0.45">
      <c r="A6195" s="2" t="s">
        <v>59</v>
      </c>
      <c r="B6195" s="2" t="s">
        <v>60</v>
      </c>
      <c r="C6195" s="2" t="s">
        <v>59642</v>
      </c>
      <c r="D6195" s="2" t="s">
        <v>59643</v>
      </c>
      <c r="E6195" s="2" t="s">
        <v>59621</v>
      </c>
      <c r="G6195" s="3" t="s">
        <v>62</v>
      </c>
      <c r="I6195" s="3" t="s">
        <v>62</v>
      </c>
      <c r="J6195" s="3" t="s">
        <v>61</v>
      </c>
      <c r="K6195" s="3" t="s">
        <v>63</v>
      </c>
      <c r="L6195" s="2" t="s">
        <v>6862</v>
      </c>
      <c r="M6195" s="2" t="s">
        <v>2548</v>
      </c>
      <c r="N6195" s="3" t="s">
        <v>1437</v>
      </c>
      <c r="O6195" s="2" t="s">
        <v>906</v>
      </c>
      <c r="P6195" s="3" t="s">
        <v>65</v>
      </c>
      <c r="R6195" s="3" t="s">
        <v>66</v>
      </c>
      <c r="S6195" s="4">
        <v>20</v>
      </c>
      <c r="T6195" s="4">
        <v>20</v>
      </c>
      <c r="U6195" s="5" t="s">
        <v>544</v>
      </c>
      <c r="V6195" s="5" t="s">
        <v>544</v>
      </c>
      <c r="W6195" s="5" t="s">
        <v>67</v>
      </c>
      <c r="X6195" s="5" t="s">
        <v>67</v>
      </c>
      <c r="Y6195" s="4">
        <v>410</v>
      </c>
      <c r="Z6195" s="4">
        <v>17</v>
      </c>
      <c r="AA6195" s="4">
        <v>85</v>
      </c>
      <c r="AB6195" s="4">
        <v>2</v>
      </c>
      <c r="AC6195" s="4">
        <v>14</v>
      </c>
      <c r="AD6195" s="4">
        <v>87</v>
      </c>
      <c r="AE6195" s="4">
        <v>159</v>
      </c>
      <c r="AF6195" s="4">
        <v>1</v>
      </c>
      <c r="AG6195" s="4">
        <v>7</v>
      </c>
      <c r="AH6195" s="4">
        <v>79</v>
      </c>
      <c r="AI6195" s="4">
        <v>115</v>
      </c>
      <c r="AJ6195" s="4">
        <v>9</v>
      </c>
      <c r="AK6195" s="4">
        <v>28</v>
      </c>
      <c r="AL6195" s="4">
        <v>49</v>
      </c>
      <c r="AM6195" s="4">
        <v>61</v>
      </c>
      <c r="AN6195" s="4">
        <v>0</v>
      </c>
      <c r="AO6195" s="4">
        <v>0</v>
      </c>
      <c r="AP6195" s="4">
        <v>11</v>
      </c>
      <c r="AQ6195" s="4">
        <v>51</v>
      </c>
      <c r="AR6195" s="3" t="s">
        <v>62</v>
      </c>
      <c r="AS6195" s="3" t="s">
        <v>62</v>
      </c>
      <c r="AT6195" s="3" t="s">
        <v>62</v>
      </c>
      <c r="AV6195" s="6" t="str">
        <f>HYPERLINK("http://mcgill.on.worldcat.org/oclc/37862620","Catalog Record")</f>
        <v>Catalog Record</v>
      </c>
      <c r="AW6195" s="6" t="str">
        <f>HYPERLINK("http://www.worldcat.org/oclc/37862620","WorldCat Record")</f>
        <v>WorldCat Record</v>
      </c>
      <c r="AX6195" s="3" t="s">
        <v>59623</v>
      </c>
      <c r="AY6195" s="3" t="s">
        <v>59644</v>
      </c>
      <c r="AZ6195" s="3" t="s">
        <v>59645</v>
      </c>
      <c r="BA6195" s="3" t="s">
        <v>59645</v>
      </c>
      <c r="BB6195" s="3" t="s">
        <v>59646</v>
      </c>
      <c r="BC6195" s="3" t="s">
        <v>142</v>
      </c>
      <c r="BD6195" s="3" t="s">
        <v>68</v>
      </c>
      <c r="BE6195" s="3" t="s">
        <v>59647</v>
      </c>
      <c r="BF6195" s="3" t="s">
        <v>59646</v>
      </c>
      <c r="BG6195" s="3" t="s">
        <v>59648</v>
      </c>
    </row>
    <row r="6196" spans="1:59" ht="57" x14ac:dyDescent="0.45">
      <c r="A6196" s="2" t="s">
        <v>59</v>
      </c>
      <c r="B6196" s="2" t="s">
        <v>60</v>
      </c>
      <c r="C6196" s="2" t="s">
        <v>59649</v>
      </c>
      <c r="D6196" s="2" t="s">
        <v>59650</v>
      </c>
      <c r="E6196" s="2" t="s">
        <v>59651</v>
      </c>
      <c r="G6196" s="3" t="s">
        <v>62</v>
      </c>
      <c r="I6196" s="3" t="s">
        <v>62</v>
      </c>
      <c r="J6196" s="3" t="s">
        <v>61</v>
      </c>
      <c r="K6196" s="3" t="s">
        <v>63</v>
      </c>
      <c r="L6196" s="2" t="s">
        <v>6862</v>
      </c>
      <c r="M6196" s="2" t="s">
        <v>59652</v>
      </c>
      <c r="N6196" s="3" t="s">
        <v>583</v>
      </c>
      <c r="P6196" s="3" t="s">
        <v>110</v>
      </c>
      <c r="R6196" s="3" t="s">
        <v>66</v>
      </c>
      <c r="S6196" s="4">
        <v>52</v>
      </c>
      <c r="T6196" s="4">
        <v>52</v>
      </c>
      <c r="U6196" s="5" t="s">
        <v>37312</v>
      </c>
      <c r="V6196" s="5" t="s">
        <v>37312</v>
      </c>
      <c r="W6196" s="5" t="s">
        <v>67</v>
      </c>
      <c r="X6196" s="5" t="s">
        <v>67</v>
      </c>
      <c r="Y6196" s="4">
        <v>31</v>
      </c>
      <c r="Z6196" s="4">
        <v>5</v>
      </c>
      <c r="AA6196" s="4">
        <v>17</v>
      </c>
      <c r="AB6196" s="4">
        <v>2</v>
      </c>
      <c r="AC6196" s="4">
        <v>9</v>
      </c>
      <c r="AD6196" s="4">
        <v>6</v>
      </c>
      <c r="AE6196" s="4">
        <v>16</v>
      </c>
      <c r="AF6196" s="4">
        <v>0</v>
      </c>
      <c r="AG6196" s="4">
        <v>5</v>
      </c>
      <c r="AH6196" s="4">
        <v>5</v>
      </c>
      <c r="AI6196" s="4">
        <v>8</v>
      </c>
      <c r="AJ6196" s="4">
        <v>3</v>
      </c>
      <c r="AK6196" s="4">
        <v>8</v>
      </c>
      <c r="AL6196" s="4">
        <v>3</v>
      </c>
      <c r="AM6196" s="4">
        <v>5</v>
      </c>
      <c r="AN6196" s="4">
        <v>0</v>
      </c>
      <c r="AO6196" s="4">
        <v>0</v>
      </c>
      <c r="AP6196" s="4">
        <v>3</v>
      </c>
      <c r="AQ6196" s="4">
        <v>10</v>
      </c>
      <c r="AR6196" s="3" t="s">
        <v>62</v>
      </c>
      <c r="AS6196" s="3" t="s">
        <v>62</v>
      </c>
      <c r="AT6196" s="3" t="s">
        <v>62</v>
      </c>
      <c r="AV6196" s="6" t="str">
        <f>HYPERLINK("http://mcgill.on.worldcat.org/oclc/5322049","Catalog Record")</f>
        <v>Catalog Record</v>
      </c>
      <c r="AW6196" s="6" t="str">
        <f>HYPERLINK("http://www.worldcat.org/oclc/5322049","WorldCat Record")</f>
        <v>WorldCat Record</v>
      </c>
      <c r="AX6196" s="3" t="s">
        <v>59653</v>
      </c>
      <c r="AY6196" s="3" t="s">
        <v>59654</v>
      </c>
      <c r="AZ6196" s="3" t="s">
        <v>59655</v>
      </c>
      <c r="BA6196" s="3" t="s">
        <v>59655</v>
      </c>
      <c r="BB6196" s="3" t="s">
        <v>59656</v>
      </c>
      <c r="BC6196" s="3" t="s">
        <v>142</v>
      </c>
      <c r="BD6196" s="3" t="s">
        <v>68</v>
      </c>
      <c r="BF6196" s="3" t="s">
        <v>59656</v>
      </c>
      <c r="BG6196" s="3" t="s">
        <v>59657</v>
      </c>
    </row>
    <row r="6197" spans="1:59" ht="57" x14ac:dyDescent="0.45">
      <c r="A6197" s="2" t="s">
        <v>59</v>
      </c>
      <c r="B6197" s="2" t="s">
        <v>60</v>
      </c>
      <c r="C6197" s="2" t="s">
        <v>59658</v>
      </c>
      <c r="D6197" s="2" t="s">
        <v>59659</v>
      </c>
      <c r="E6197" s="2" t="s">
        <v>59660</v>
      </c>
      <c r="G6197" s="3" t="s">
        <v>62</v>
      </c>
      <c r="I6197" s="3" t="s">
        <v>62</v>
      </c>
      <c r="J6197" s="3" t="s">
        <v>61</v>
      </c>
      <c r="K6197" s="3" t="s">
        <v>63</v>
      </c>
      <c r="L6197" s="2" t="s">
        <v>6862</v>
      </c>
      <c r="M6197" s="2" t="s">
        <v>59661</v>
      </c>
      <c r="N6197" s="3" t="s">
        <v>1437</v>
      </c>
      <c r="P6197" s="3" t="s">
        <v>110</v>
      </c>
      <c r="R6197" s="3" t="s">
        <v>66</v>
      </c>
      <c r="S6197" s="4">
        <v>3</v>
      </c>
      <c r="T6197" s="4">
        <v>3</v>
      </c>
      <c r="U6197" s="5" t="s">
        <v>32962</v>
      </c>
      <c r="V6197" s="5" t="s">
        <v>32962</v>
      </c>
      <c r="W6197" s="5" t="s">
        <v>67</v>
      </c>
      <c r="X6197" s="5" t="s">
        <v>67</v>
      </c>
      <c r="Y6197" s="4">
        <v>6</v>
      </c>
      <c r="Z6197" s="4">
        <v>2</v>
      </c>
      <c r="AA6197" s="4">
        <v>17</v>
      </c>
      <c r="AB6197" s="4">
        <v>1</v>
      </c>
      <c r="AC6197" s="4">
        <v>9</v>
      </c>
      <c r="AD6197" s="4">
        <v>1</v>
      </c>
      <c r="AE6197" s="4">
        <v>16</v>
      </c>
      <c r="AF6197" s="4">
        <v>0</v>
      </c>
      <c r="AG6197" s="4">
        <v>5</v>
      </c>
      <c r="AH6197" s="4">
        <v>1</v>
      </c>
      <c r="AI6197" s="4">
        <v>8</v>
      </c>
      <c r="AJ6197" s="4">
        <v>0</v>
      </c>
      <c r="AK6197" s="4">
        <v>8</v>
      </c>
      <c r="AL6197" s="4">
        <v>1</v>
      </c>
      <c r="AM6197" s="4">
        <v>5</v>
      </c>
      <c r="AN6197" s="4">
        <v>0</v>
      </c>
      <c r="AO6197" s="4">
        <v>0</v>
      </c>
      <c r="AP6197" s="4">
        <v>0</v>
      </c>
      <c r="AQ6197" s="4">
        <v>10</v>
      </c>
      <c r="AR6197" s="3" t="s">
        <v>62</v>
      </c>
      <c r="AS6197" s="3" t="s">
        <v>62</v>
      </c>
      <c r="AT6197" s="3" t="s">
        <v>62</v>
      </c>
      <c r="AV6197" s="6" t="str">
        <f>HYPERLINK("http://mcgill.on.worldcat.org/oclc/51567467","Catalog Record")</f>
        <v>Catalog Record</v>
      </c>
      <c r="AW6197" s="6" t="str">
        <f>HYPERLINK("http://www.worldcat.org/oclc/51567467","WorldCat Record")</f>
        <v>WorldCat Record</v>
      </c>
      <c r="AX6197" s="3" t="s">
        <v>59653</v>
      </c>
      <c r="AY6197" s="3" t="s">
        <v>59662</v>
      </c>
      <c r="AZ6197" s="3" t="s">
        <v>59663</v>
      </c>
      <c r="BA6197" s="3" t="s">
        <v>59663</v>
      </c>
      <c r="BB6197" s="3" t="s">
        <v>59664</v>
      </c>
      <c r="BC6197" s="3" t="s">
        <v>142</v>
      </c>
      <c r="BD6197" s="3" t="s">
        <v>68</v>
      </c>
      <c r="BE6197" s="3" t="s">
        <v>59665</v>
      </c>
      <c r="BF6197" s="3" t="s">
        <v>59664</v>
      </c>
      <c r="BG6197" s="3" t="s">
        <v>59666</v>
      </c>
    </row>
    <row r="6198" spans="1:59" ht="57" x14ac:dyDescent="0.45">
      <c r="A6198" s="2" t="s">
        <v>59</v>
      </c>
      <c r="B6198" s="2" t="s">
        <v>60</v>
      </c>
      <c r="C6198" s="2" t="s">
        <v>59667</v>
      </c>
      <c r="D6198" s="2" t="s">
        <v>59668</v>
      </c>
      <c r="E6198" s="2" t="s">
        <v>59669</v>
      </c>
      <c r="G6198" s="3" t="s">
        <v>62</v>
      </c>
      <c r="I6198" s="3" t="s">
        <v>62</v>
      </c>
      <c r="J6198" s="3" t="s">
        <v>62</v>
      </c>
      <c r="K6198" s="3" t="s">
        <v>63</v>
      </c>
      <c r="M6198" s="2" t="s">
        <v>59670</v>
      </c>
      <c r="N6198" s="3" t="s">
        <v>542</v>
      </c>
      <c r="P6198" s="3" t="s">
        <v>65</v>
      </c>
      <c r="Q6198" s="2" t="s">
        <v>59671</v>
      </c>
      <c r="R6198" s="3" t="s">
        <v>66</v>
      </c>
      <c r="S6198" s="4">
        <v>16</v>
      </c>
      <c r="T6198" s="4">
        <v>16</v>
      </c>
      <c r="U6198" s="5" t="s">
        <v>23257</v>
      </c>
      <c r="V6198" s="5" t="s">
        <v>23257</v>
      </c>
      <c r="W6198" s="5" t="s">
        <v>67</v>
      </c>
      <c r="X6198" s="5" t="s">
        <v>67</v>
      </c>
      <c r="Y6198" s="4">
        <v>53</v>
      </c>
      <c r="Z6198" s="4">
        <v>5</v>
      </c>
      <c r="AA6198" s="4">
        <v>5</v>
      </c>
      <c r="AB6198" s="4">
        <v>1</v>
      </c>
      <c r="AC6198" s="4">
        <v>1</v>
      </c>
      <c r="AD6198" s="4">
        <v>17</v>
      </c>
      <c r="AE6198" s="4">
        <v>17</v>
      </c>
      <c r="AF6198" s="4">
        <v>0</v>
      </c>
      <c r="AG6198" s="4">
        <v>0</v>
      </c>
      <c r="AH6198" s="4">
        <v>16</v>
      </c>
      <c r="AI6198" s="4">
        <v>16</v>
      </c>
      <c r="AJ6198" s="4">
        <v>3</v>
      </c>
      <c r="AK6198" s="4">
        <v>3</v>
      </c>
      <c r="AL6198" s="4">
        <v>13</v>
      </c>
      <c r="AM6198" s="4">
        <v>13</v>
      </c>
      <c r="AN6198" s="4">
        <v>0</v>
      </c>
      <c r="AO6198" s="4">
        <v>0</v>
      </c>
      <c r="AP6198" s="4">
        <v>3</v>
      </c>
      <c r="AQ6198" s="4">
        <v>3</v>
      </c>
      <c r="AR6198" s="3" t="s">
        <v>62</v>
      </c>
      <c r="AS6198" s="3" t="s">
        <v>62</v>
      </c>
      <c r="AT6198" s="3" t="s">
        <v>62</v>
      </c>
      <c r="AV6198" s="6" t="str">
        <f>HYPERLINK("http://mcgill.on.worldcat.org/oclc/49758347","Catalog Record")</f>
        <v>Catalog Record</v>
      </c>
      <c r="AW6198" s="6" t="str">
        <f>HYPERLINK("http://www.worldcat.org/oclc/49758347","WorldCat Record")</f>
        <v>WorldCat Record</v>
      </c>
      <c r="AX6198" s="3" t="s">
        <v>59672</v>
      </c>
      <c r="AY6198" s="3" t="s">
        <v>59673</v>
      </c>
      <c r="AZ6198" s="3" t="s">
        <v>59674</v>
      </c>
      <c r="BA6198" s="3" t="s">
        <v>59674</v>
      </c>
      <c r="BB6198" s="3" t="s">
        <v>59675</v>
      </c>
      <c r="BC6198" s="3" t="s">
        <v>142</v>
      </c>
      <c r="BD6198" s="3" t="s">
        <v>68</v>
      </c>
      <c r="BE6198" s="3" t="s">
        <v>59676</v>
      </c>
      <c r="BF6198" s="3" t="s">
        <v>59675</v>
      </c>
      <c r="BG6198" s="3" t="s">
        <v>59677</v>
      </c>
    </row>
    <row r="6199" spans="1:59" ht="57" x14ac:dyDescent="0.45">
      <c r="A6199" s="2" t="s">
        <v>59</v>
      </c>
      <c r="B6199" s="2" t="s">
        <v>60</v>
      </c>
      <c r="C6199" s="2" t="s">
        <v>59678</v>
      </c>
      <c r="D6199" s="2" t="s">
        <v>59679</v>
      </c>
      <c r="E6199" s="2" t="s">
        <v>59680</v>
      </c>
      <c r="G6199" s="3" t="s">
        <v>62</v>
      </c>
      <c r="I6199" s="3" t="s">
        <v>62</v>
      </c>
      <c r="J6199" s="3" t="s">
        <v>62</v>
      </c>
      <c r="K6199" s="3" t="s">
        <v>63</v>
      </c>
      <c r="L6199" s="2" t="s">
        <v>59681</v>
      </c>
      <c r="M6199" s="2" t="s">
        <v>59682</v>
      </c>
      <c r="N6199" s="3" t="s">
        <v>625</v>
      </c>
      <c r="P6199" s="3" t="s">
        <v>110</v>
      </c>
      <c r="Q6199" s="2" t="s">
        <v>59683</v>
      </c>
      <c r="R6199" s="3" t="s">
        <v>66</v>
      </c>
      <c r="S6199" s="4">
        <v>9</v>
      </c>
      <c r="T6199" s="4">
        <v>9</v>
      </c>
      <c r="U6199" s="5" t="s">
        <v>13377</v>
      </c>
      <c r="V6199" s="5" t="s">
        <v>13377</v>
      </c>
      <c r="W6199" s="5" t="s">
        <v>67</v>
      </c>
      <c r="X6199" s="5" t="s">
        <v>67</v>
      </c>
      <c r="Y6199" s="4">
        <v>52</v>
      </c>
      <c r="Z6199" s="4">
        <v>21</v>
      </c>
      <c r="AA6199" s="4">
        <v>39</v>
      </c>
      <c r="AB6199" s="4">
        <v>2</v>
      </c>
      <c r="AC6199" s="4">
        <v>10</v>
      </c>
      <c r="AD6199" s="4">
        <v>27</v>
      </c>
      <c r="AE6199" s="4">
        <v>38</v>
      </c>
      <c r="AF6199" s="4">
        <v>1</v>
      </c>
      <c r="AG6199" s="4">
        <v>6</v>
      </c>
      <c r="AH6199" s="4">
        <v>15</v>
      </c>
      <c r="AI6199" s="4">
        <v>18</v>
      </c>
      <c r="AJ6199" s="4">
        <v>12</v>
      </c>
      <c r="AK6199" s="4">
        <v>20</v>
      </c>
      <c r="AL6199" s="4">
        <v>6</v>
      </c>
      <c r="AM6199" s="4">
        <v>7</v>
      </c>
      <c r="AN6199" s="4">
        <v>0</v>
      </c>
      <c r="AO6199" s="4">
        <v>0</v>
      </c>
      <c r="AP6199" s="4">
        <v>17</v>
      </c>
      <c r="AQ6199" s="4">
        <v>27</v>
      </c>
      <c r="AR6199" s="3" t="s">
        <v>61</v>
      </c>
      <c r="AS6199" s="3" t="s">
        <v>62</v>
      </c>
      <c r="AT6199" s="3" t="s">
        <v>62</v>
      </c>
      <c r="AV6199" s="6" t="str">
        <f>HYPERLINK("http://mcgill.on.worldcat.org/oclc/19745980","Catalog Record")</f>
        <v>Catalog Record</v>
      </c>
      <c r="AW6199" s="6" t="str">
        <f>HYPERLINK("http://www.worldcat.org/oclc/19745980","WorldCat Record")</f>
        <v>WorldCat Record</v>
      </c>
      <c r="AX6199" s="3" t="s">
        <v>59684</v>
      </c>
      <c r="AY6199" s="3" t="s">
        <v>59685</v>
      </c>
      <c r="AZ6199" s="3" t="s">
        <v>59686</v>
      </c>
      <c r="BA6199" s="3" t="s">
        <v>59686</v>
      </c>
      <c r="BB6199" s="3" t="s">
        <v>59687</v>
      </c>
      <c r="BC6199" s="3" t="s">
        <v>142</v>
      </c>
      <c r="BD6199" s="3" t="s">
        <v>68</v>
      </c>
      <c r="BE6199" s="3" t="s">
        <v>59688</v>
      </c>
      <c r="BF6199" s="3" t="s">
        <v>59687</v>
      </c>
      <c r="BG6199" s="3" t="s">
        <v>59689</v>
      </c>
    </row>
    <row r="6200" spans="1:59" ht="57" x14ac:dyDescent="0.45">
      <c r="A6200" s="2" t="s">
        <v>59</v>
      </c>
      <c r="B6200" s="2" t="s">
        <v>60</v>
      </c>
      <c r="C6200" s="2" t="s">
        <v>59690</v>
      </c>
      <c r="D6200" s="2" t="s">
        <v>59691</v>
      </c>
      <c r="E6200" s="2" t="s">
        <v>59692</v>
      </c>
      <c r="G6200" s="3" t="s">
        <v>62</v>
      </c>
      <c r="I6200" s="3" t="s">
        <v>62</v>
      </c>
      <c r="J6200" s="3" t="s">
        <v>62</v>
      </c>
      <c r="K6200" s="3" t="s">
        <v>63</v>
      </c>
      <c r="M6200" s="2" t="s">
        <v>42593</v>
      </c>
      <c r="N6200" s="3" t="s">
        <v>1059</v>
      </c>
      <c r="P6200" s="3" t="s">
        <v>65</v>
      </c>
      <c r="R6200" s="3" t="s">
        <v>66</v>
      </c>
      <c r="S6200" s="4">
        <v>16</v>
      </c>
      <c r="T6200" s="4">
        <v>16</v>
      </c>
      <c r="U6200" s="5" t="s">
        <v>26706</v>
      </c>
      <c r="V6200" s="5" t="s">
        <v>26706</v>
      </c>
      <c r="W6200" s="5" t="s">
        <v>67</v>
      </c>
      <c r="X6200" s="5" t="s">
        <v>67</v>
      </c>
      <c r="Y6200" s="4">
        <v>214</v>
      </c>
      <c r="Z6200" s="4">
        <v>20</v>
      </c>
      <c r="AA6200" s="4">
        <v>111</v>
      </c>
      <c r="AB6200" s="4">
        <v>3</v>
      </c>
      <c r="AC6200" s="4">
        <v>21</v>
      </c>
      <c r="AD6200" s="4">
        <v>65</v>
      </c>
      <c r="AE6200" s="4">
        <v>136</v>
      </c>
      <c r="AF6200" s="4">
        <v>2</v>
      </c>
      <c r="AG6200" s="4">
        <v>9</v>
      </c>
      <c r="AH6200" s="4">
        <v>58</v>
      </c>
      <c r="AI6200" s="4">
        <v>89</v>
      </c>
      <c r="AJ6200" s="4">
        <v>15</v>
      </c>
      <c r="AK6200" s="4">
        <v>27</v>
      </c>
      <c r="AL6200" s="4">
        <v>31</v>
      </c>
      <c r="AM6200" s="4">
        <v>45</v>
      </c>
      <c r="AN6200" s="4">
        <v>0</v>
      </c>
      <c r="AO6200" s="4">
        <v>0</v>
      </c>
      <c r="AP6200" s="4">
        <v>17</v>
      </c>
      <c r="AQ6200" s="4">
        <v>56</v>
      </c>
      <c r="AR6200" s="3" t="s">
        <v>62</v>
      </c>
      <c r="AS6200" s="3" t="s">
        <v>62</v>
      </c>
      <c r="AT6200" s="3" t="s">
        <v>61</v>
      </c>
      <c r="AU6200" s="6" t="str">
        <f>HYPERLINK("http://catalog.hathitrust.org/Record/005399747","HathiTrust Record")</f>
        <v>HathiTrust Record</v>
      </c>
      <c r="AV6200" s="6" t="str">
        <f>HYPERLINK("http://mcgill.on.worldcat.org/oclc/68770237","Catalog Record")</f>
        <v>Catalog Record</v>
      </c>
      <c r="AW6200" s="6" t="str">
        <f>HYPERLINK("http://www.worldcat.org/oclc/68770237","WorldCat Record")</f>
        <v>WorldCat Record</v>
      </c>
      <c r="AX6200" s="3" t="s">
        <v>59693</v>
      </c>
      <c r="AY6200" s="3" t="s">
        <v>59694</v>
      </c>
      <c r="AZ6200" s="3" t="s">
        <v>59695</v>
      </c>
      <c r="BA6200" s="3" t="s">
        <v>59695</v>
      </c>
      <c r="BB6200" s="3" t="s">
        <v>59696</v>
      </c>
      <c r="BC6200" s="3" t="s">
        <v>142</v>
      </c>
      <c r="BD6200" s="3" t="s">
        <v>68</v>
      </c>
      <c r="BE6200" s="3" t="s">
        <v>59697</v>
      </c>
      <c r="BF6200" s="3" t="s">
        <v>59696</v>
      </c>
      <c r="BG6200" s="3" t="s">
        <v>59698</v>
      </c>
    </row>
    <row r="6201" spans="1:59" ht="57" x14ac:dyDescent="0.45">
      <c r="A6201" s="2" t="s">
        <v>59</v>
      </c>
      <c r="B6201" s="2" t="s">
        <v>60</v>
      </c>
      <c r="C6201" s="2" t="s">
        <v>59699</v>
      </c>
      <c r="D6201" s="2" t="s">
        <v>59700</v>
      </c>
      <c r="E6201" s="2" t="s">
        <v>59701</v>
      </c>
      <c r="F6201" s="3" t="s">
        <v>59702</v>
      </c>
      <c r="G6201" s="3" t="s">
        <v>61</v>
      </c>
      <c r="I6201" s="3" t="s">
        <v>62</v>
      </c>
      <c r="J6201" s="3" t="s">
        <v>62</v>
      </c>
      <c r="K6201" s="3" t="s">
        <v>63</v>
      </c>
      <c r="M6201" s="2" t="s">
        <v>59703</v>
      </c>
      <c r="N6201" s="3" t="s">
        <v>1855</v>
      </c>
      <c r="P6201" s="3" t="s">
        <v>110</v>
      </c>
      <c r="Q6201" s="2" t="s">
        <v>59704</v>
      </c>
      <c r="R6201" s="3" t="s">
        <v>66</v>
      </c>
      <c r="S6201" s="4">
        <v>3</v>
      </c>
      <c r="T6201" s="4">
        <v>12</v>
      </c>
      <c r="U6201" s="5" t="s">
        <v>13377</v>
      </c>
      <c r="V6201" s="5" t="s">
        <v>13377</v>
      </c>
      <c r="W6201" s="5" t="s">
        <v>67</v>
      </c>
      <c r="X6201" s="5" t="s">
        <v>67</v>
      </c>
      <c r="Y6201" s="4">
        <v>23</v>
      </c>
      <c r="Z6201" s="4">
        <v>7</v>
      </c>
      <c r="AA6201" s="4">
        <v>12</v>
      </c>
      <c r="AB6201" s="4">
        <v>2</v>
      </c>
      <c r="AC6201" s="4">
        <v>6</v>
      </c>
      <c r="AD6201" s="4">
        <v>12</v>
      </c>
      <c r="AE6201" s="4">
        <v>17</v>
      </c>
      <c r="AF6201" s="4">
        <v>0</v>
      </c>
      <c r="AG6201" s="4">
        <v>4</v>
      </c>
      <c r="AH6201" s="4">
        <v>12</v>
      </c>
      <c r="AI6201" s="4">
        <v>14</v>
      </c>
      <c r="AJ6201" s="4">
        <v>4</v>
      </c>
      <c r="AK6201" s="4">
        <v>8</v>
      </c>
      <c r="AL6201" s="4">
        <v>8</v>
      </c>
      <c r="AM6201" s="4">
        <v>8</v>
      </c>
      <c r="AN6201" s="4">
        <v>0</v>
      </c>
      <c r="AO6201" s="4">
        <v>0</v>
      </c>
      <c r="AP6201" s="4">
        <v>4</v>
      </c>
      <c r="AQ6201" s="4">
        <v>8</v>
      </c>
      <c r="AR6201" s="3" t="s">
        <v>62</v>
      </c>
      <c r="AS6201" s="3" t="s">
        <v>62</v>
      </c>
      <c r="AT6201" s="3" t="s">
        <v>62</v>
      </c>
      <c r="AV6201" s="6" t="str">
        <f>HYPERLINK("http://mcgill.on.worldcat.org/oclc/62864426","Catalog Record")</f>
        <v>Catalog Record</v>
      </c>
      <c r="AW6201" s="6" t="str">
        <f>HYPERLINK("http://www.worldcat.org/oclc/62864426","WorldCat Record")</f>
        <v>WorldCat Record</v>
      </c>
      <c r="AX6201" s="3" t="s">
        <v>59705</v>
      </c>
      <c r="AY6201" s="3" t="s">
        <v>59706</v>
      </c>
      <c r="AZ6201" s="3" t="s">
        <v>59707</v>
      </c>
      <c r="BA6201" s="3" t="s">
        <v>59707</v>
      </c>
      <c r="BB6201" s="3" t="s">
        <v>59708</v>
      </c>
      <c r="BC6201" s="3" t="s">
        <v>142</v>
      </c>
      <c r="BD6201" s="3" t="s">
        <v>68</v>
      </c>
      <c r="BE6201" s="3" t="s">
        <v>59709</v>
      </c>
      <c r="BF6201" s="3" t="s">
        <v>59708</v>
      </c>
      <c r="BG6201" s="3" t="s">
        <v>59710</v>
      </c>
    </row>
    <row r="6202" spans="1:59" ht="57" x14ac:dyDescent="0.45">
      <c r="A6202" s="2" t="s">
        <v>59</v>
      </c>
      <c r="B6202" s="2" t="s">
        <v>60</v>
      </c>
      <c r="C6202" s="2" t="s">
        <v>59699</v>
      </c>
      <c r="D6202" s="2" t="s">
        <v>59700</v>
      </c>
      <c r="E6202" s="2" t="s">
        <v>59701</v>
      </c>
      <c r="F6202" s="3" t="s">
        <v>47616</v>
      </c>
      <c r="G6202" s="3" t="s">
        <v>61</v>
      </c>
      <c r="I6202" s="3" t="s">
        <v>62</v>
      </c>
      <c r="J6202" s="3" t="s">
        <v>62</v>
      </c>
      <c r="K6202" s="3" t="s">
        <v>63</v>
      </c>
      <c r="M6202" s="2" t="s">
        <v>59703</v>
      </c>
      <c r="N6202" s="3" t="s">
        <v>1855</v>
      </c>
      <c r="P6202" s="3" t="s">
        <v>110</v>
      </c>
      <c r="Q6202" s="2" t="s">
        <v>59704</v>
      </c>
      <c r="R6202" s="3" t="s">
        <v>66</v>
      </c>
      <c r="S6202" s="4">
        <v>6</v>
      </c>
      <c r="T6202" s="4">
        <v>12</v>
      </c>
      <c r="U6202" s="5" t="s">
        <v>55775</v>
      </c>
      <c r="V6202" s="5" t="s">
        <v>13377</v>
      </c>
      <c r="W6202" s="5" t="s">
        <v>67</v>
      </c>
      <c r="X6202" s="5" t="s">
        <v>67</v>
      </c>
      <c r="Y6202" s="4">
        <v>23</v>
      </c>
      <c r="Z6202" s="4">
        <v>7</v>
      </c>
      <c r="AA6202" s="4">
        <v>12</v>
      </c>
      <c r="AB6202" s="4">
        <v>2</v>
      </c>
      <c r="AC6202" s="4">
        <v>6</v>
      </c>
      <c r="AD6202" s="4">
        <v>12</v>
      </c>
      <c r="AE6202" s="4">
        <v>17</v>
      </c>
      <c r="AF6202" s="4">
        <v>0</v>
      </c>
      <c r="AG6202" s="4">
        <v>4</v>
      </c>
      <c r="AH6202" s="4">
        <v>12</v>
      </c>
      <c r="AI6202" s="4">
        <v>14</v>
      </c>
      <c r="AJ6202" s="4">
        <v>4</v>
      </c>
      <c r="AK6202" s="4">
        <v>8</v>
      </c>
      <c r="AL6202" s="4">
        <v>8</v>
      </c>
      <c r="AM6202" s="4">
        <v>8</v>
      </c>
      <c r="AN6202" s="4">
        <v>0</v>
      </c>
      <c r="AO6202" s="4">
        <v>0</v>
      </c>
      <c r="AP6202" s="4">
        <v>4</v>
      </c>
      <c r="AQ6202" s="4">
        <v>8</v>
      </c>
      <c r="AR6202" s="3" t="s">
        <v>62</v>
      </c>
      <c r="AS6202" s="3" t="s">
        <v>62</v>
      </c>
      <c r="AT6202" s="3" t="s">
        <v>62</v>
      </c>
      <c r="AV6202" s="6" t="str">
        <f>HYPERLINK("http://mcgill.on.worldcat.org/oclc/62864426","Catalog Record")</f>
        <v>Catalog Record</v>
      </c>
      <c r="AW6202" s="6" t="str">
        <f>HYPERLINK("http://www.worldcat.org/oclc/62864426","WorldCat Record")</f>
        <v>WorldCat Record</v>
      </c>
      <c r="AX6202" s="3" t="s">
        <v>59705</v>
      </c>
      <c r="AY6202" s="3" t="s">
        <v>59706</v>
      </c>
      <c r="AZ6202" s="3" t="s">
        <v>59707</v>
      </c>
      <c r="BA6202" s="3" t="s">
        <v>59707</v>
      </c>
      <c r="BB6202" s="3" t="s">
        <v>59711</v>
      </c>
      <c r="BC6202" s="3" t="s">
        <v>142</v>
      </c>
      <c r="BD6202" s="3" t="s">
        <v>68</v>
      </c>
      <c r="BE6202" s="3" t="s">
        <v>59709</v>
      </c>
      <c r="BF6202" s="3" t="s">
        <v>59711</v>
      </c>
      <c r="BG6202" s="3" t="s">
        <v>59712</v>
      </c>
    </row>
    <row r="6203" spans="1:59" ht="57" x14ac:dyDescent="0.45">
      <c r="A6203" s="2" t="s">
        <v>59</v>
      </c>
      <c r="B6203" s="2" t="s">
        <v>60</v>
      </c>
      <c r="C6203" s="2" t="s">
        <v>59699</v>
      </c>
      <c r="D6203" s="2" t="s">
        <v>59700</v>
      </c>
      <c r="E6203" s="2" t="s">
        <v>59701</v>
      </c>
      <c r="F6203" s="3" t="s">
        <v>47606</v>
      </c>
      <c r="G6203" s="3" t="s">
        <v>61</v>
      </c>
      <c r="I6203" s="3" t="s">
        <v>62</v>
      </c>
      <c r="J6203" s="3" t="s">
        <v>62</v>
      </c>
      <c r="K6203" s="3" t="s">
        <v>63</v>
      </c>
      <c r="M6203" s="2" t="s">
        <v>59703</v>
      </c>
      <c r="N6203" s="3" t="s">
        <v>1855</v>
      </c>
      <c r="P6203" s="3" t="s">
        <v>110</v>
      </c>
      <c r="Q6203" s="2" t="s">
        <v>59704</v>
      </c>
      <c r="R6203" s="3" t="s">
        <v>66</v>
      </c>
      <c r="S6203" s="4">
        <v>3</v>
      </c>
      <c r="T6203" s="4">
        <v>12</v>
      </c>
      <c r="U6203" s="5" t="s">
        <v>59713</v>
      </c>
      <c r="V6203" s="5" t="s">
        <v>13377</v>
      </c>
      <c r="W6203" s="5" t="s">
        <v>67</v>
      </c>
      <c r="X6203" s="5" t="s">
        <v>67</v>
      </c>
      <c r="Y6203" s="4">
        <v>23</v>
      </c>
      <c r="Z6203" s="4">
        <v>7</v>
      </c>
      <c r="AA6203" s="4">
        <v>12</v>
      </c>
      <c r="AB6203" s="4">
        <v>2</v>
      </c>
      <c r="AC6203" s="4">
        <v>6</v>
      </c>
      <c r="AD6203" s="4">
        <v>12</v>
      </c>
      <c r="AE6203" s="4">
        <v>17</v>
      </c>
      <c r="AF6203" s="4">
        <v>0</v>
      </c>
      <c r="AG6203" s="4">
        <v>4</v>
      </c>
      <c r="AH6203" s="4">
        <v>12</v>
      </c>
      <c r="AI6203" s="4">
        <v>14</v>
      </c>
      <c r="AJ6203" s="4">
        <v>4</v>
      </c>
      <c r="AK6203" s="4">
        <v>8</v>
      </c>
      <c r="AL6203" s="4">
        <v>8</v>
      </c>
      <c r="AM6203" s="4">
        <v>8</v>
      </c>
      <c r="AN6203" s="4">
        <v>0</v>
      </c>
      <c r="AO6203" s="4">
        <v>0</v>
      </c>
      <c r="AP6203" s="4">
        <v>4</v>
      </c>
      <c r="AQ6203" s="4">
        <v>8</v>
      </c>
      <c r="AR6203" s="3" t="s">
        <v>62</v>
      </c>
      <c r="AS6203" s="3" t="s">
        <v>62</v>
      </c>
      <c r="AT6203" s="3" t="s">
        <v>62</v>
      </c>
      <c r="AV6203" s="6" t="str">
        <f>HYPERLINK("http://mcgill.on.worldcat.org/oclc/62864426","Catalog Record")</f>
        <v>Catalog Record</v>
      </c>
      <c r="AW6203" s="6" t="str">
        <f>HYPERLINK("http://www.worldcat.org/oclc/62864426","WorldCat Record")</f>
        <v>WorldCat Record</v>
      </c>
      <c r="AX6203" s="3" t="s">
        <v>59705</v>
      </c>
      <c r="AY6203" s="3" t="s">
        <v>59706</v>
      </c>
      <c r="AZ6203" s="3" t="s">
        <v>59707</v>
      </c>
      <c r="BA6203" s="3" t="s">
        <v>59707</v>
      </c>
      <c r="BB6203" s="3" t="s">
        <v>59714</v>
      </c>
      <c r="BC6203" s="3" t="s">
        <v>142</v>
      </c>
      <c r="BD6203" s="3" t="s">
        <v>68</v>
      </c>
      <c r="BE6203" s="3" t="s">
        <v>59709</v>
      </c>
      <c r="BF6203" s="3" t="s">
        <v>59714</v>
      </c>
      <c r="BG6203" s="3" t="s">
        <v>59715</v>
      </c>
    </row>
    <row r="6204" spans="1:59" ht="57" x14ac:dyDescent="0.45">
      <c r="A6204" s="2" t="s">
        <v>59</v>
      </c>
      <c r="B6204" s="2" t="s">
        <v>60</v>
      </c>
      <c r="C6204" s="2" t="s">
        <v>59716</v>
      </c>
      <c r="D6204" s="2" t="s">
        <v>59717</v>
      </c>
      <c r="E6204" s="2" t="s">
        <v>59718</v>
      </c>
      <c r="G6204" s="3" t="s">
        <v>62</v>
      </c>
      <c r="I6204" s="3" t="s">
        <v>62</v>
      </c>
      <c r="J6204" s="3" t="s">
        <v>62</v>
      </c>
      <c r="K6204" s="3" t="s">
        <v>63</v>
      </c>
      <c r="M6204" s="2" t="s">
        <v>35289</v>
      </c>
      <c r="N6204" s="3" t="s">
        <v>84</v>
      </c>
      <c r="P6204" s="3" t="s">
        <v>65</v>
      </c>
      <c r="R6204" s="3" t="s">
        <v>66</v>
      </c>
      <c r="S6204" s="4">
        <v>92</v>
      </c>
      <c r="T6204" s="4">
        <v>92</v>
      </c>
      <c r="U6204" s="5" t="s">
        <v>10764</v>
      </c>
      <c r="V6204" s="5" t="s">
        <v>10764</v>
      </c>
      <c r="W6204" s="5" t="s">
        <v>67</v>
      </c>
      <c r="X6204" s="5" t="s">
        <v>67</v>
      </c>
      <c r="Y6204" s="4">
        <v>554</v>
      </c>
      <c r="Z6204" s="4">
        <v>38</v>
      </c>
      <c r="AA6204" s="4">
        <v>43</v>
      </c>
      <c r="AB6204" s="4">
        <v>4</v>
      </c>
      <c r="AC6204" s="4">
        <v>8</v>
      </c>
      <c r="AD6204" s="4">
        <v>117</v>
      </c>
      <c r="AE6204" s="4">
        <v>121</v>
      </c>
      <c r="AF6204" s="4">
        <v>1</v>
      </c>
      <c r="AG6204" s="4">
        <v>4</v>
      </c>
      <c r="AH6204" s="4">
        <v>97</v>
      </c>
      <c r="AI6204" s="4">
        <v>98</v>
      </c>
      <c r="AJ6204" s="4">
        <v>18</v>
      </c>
      <c r="AK6204" s="4">
        <v>21</v>
      </c>
      <c r="AL6204" s="4">
        <v>53</v>
      </c>
      <c r="AM6204" s="4">
        <v>53</v>
      </c>
      <c r="AN6204" s="4">
        <v>0</v>
      </c>
      <c r="AO6204" s="4">
        <v>0</v>
      </c>
      <c r="AP6204" s="4">
        <v>29</v>
      </c>
      <c r="AQ6204" s="4">
        <v>32</v>
      </c>
      <c r="AR6204" s="3" t="s">
        <v>62</v>
      </c>
      <c r="AS6204" s="3" t="s">
        <v>62</v>
      </c>
      <c r="AT6204" s="3" t="s">
        <v>62</v>
      </c>
      <c r="AV6204" s="6" t="str">
        <f>HYPERLINK("http://mcgill.on.worldcat.org/oclc/24009413","Catalog Record")</f>
        <v>Catalog Record</v>
      </c>
      <c r="AW6204" s="6" t="str">
        <f>HYPERLINK("http://www.worldcat.org/oclc/24009413","WorldCat Record")</f>
        <v>WorldCat Record</v>
      </c>
      <c r="AX6204" s="3" t="s">
        <v>59719</v>
      </c>
      <c r="AY6204" s="3" t="s">
        <v>59720</v>
      </c>
      <c r="AZ6204" s="3" t="s">
        <v>59721</v>
      </c>
      <c r="BA6204" s="3" t="s">
        <v>59721</v>
      </c>
      <c r="BB6204" s="3" t="s">
        <v>59722</v>
      </c>
      <c r="BC6204" s="3" t="s">
        <v>142</v>
      </c>
      <c r="BD6204" s="3" t="s">
        <v>68</v>
      </c>
      <c r="BE6204" s="3" t="s">
        <v>59723</v>
      </c>
      <c r="BF6204" s="3" t="s">
        <v>59722</v>
      </c>
      <c r="BG6204" s="3" t="s">
        <v>59724</v>
      </c>
    </row>
    <row r="6205" spans="1:59" ht="85.5" x14ac:dyDescent="0.45">
      <c r="A6205" s="2" t="s">
        <v>59</v>
      </c>
      <c r="B6205" s="2" t="s">
        <v>60</v>
      </c>
      <c r="C6205" s="2" t="s">
        <v>59725</v>
      </c>
      <c r="D6205" s="2" t="s">
        <v>59726</v>
      </c>
      <c r="E6205" s="2" t="s">
        <v>59727</v>
      </c>
      <c r="G6205" s="3" t="s">
        <v>62</v>
      </c>
      <c r="I6205" s="3" t="s">
        <v>62</v>
      </c>
      <c r="J6205" s="3" t="s">
        <v>62</v>
      </c>
      <c r="K6205" s="3" t="s">
        <v>63</v>
      </c>
      <c r="M6205" s="2" t="s">
        <v>59728</v>
      </c>
      <c r="N6205" s="3" t="s">
        <v>1437</v>
      </c>
      <c r="P6205" s="3" t="s">
        <v>110</v>
      </c>
      <c r="Q6205" s="2" t="s">
        <v>59729</v>
      </c>
      <c r="R6205" s="3" t="s">
        <v>66</v>
      </c>
      <c r="S6205" s="4">
        <v>9</v>
      </c>
      <c r="T6205" s="4">
        <v>9</v>
      </c>
      <c r="U6205" s="5" t="s">
        <v>6968</v>
      </c>
      <c r="V6205" s="5" t="s">
        <v>6968</v>
      </c>
      <c r="W6205" s="5" t="s">
        <v>67</v>
      </c>
      <c r="X6205" s="5" t="s">
        <v>67</v>
      </c>
      <c r="Y6205" s="4">
        <v>124</v>
      </c>
      <c r="Z6205" s="4">
        <v>8</v>
      </c>
      <c r="AA6205" s="4">
        <v>19</v>
      </c>
      <c r="AB6205" s="4">
        <v>3</v>
      </c>
      <c r="AC6205" s="4">
        <v>9</v>
      </c>
      <c r="AD6205" s="4">
        <v>31</v>
      </c>
      <c r="AE6205" s="4">
        <v>42</v>
      </c>
      <c r="AF6205" s="4">
        <v>0</v>
      </c>
      <c r="AG6205" s="4">
        <v>5</v>
      </c>
      <c r="AH6205" s="4">
        <v>28</v>
      </c>
      <c r="AI6205" s="4">
        <v>34</v>
      </c>
      <c r="AJ6205" s="4">
        <v>5</v>
      </c>
      <c r="AK6205" s="4">
        <v>14</v>
      </c>
      <c r="AL6205" s="4">
        <v>20</v>
      </c>
      <c r="AM6205" s="4">
        <v>22</v>
      </c>
      <c r="AN6205" s="4">
        <v>0</v>
      </c>
      <c r="AO6205" s="4">
        <v>0</v>
      </c>
      <c r="AP6205" s="4">
        <v>5</v>
      </c>
      <c r="AQ6205" s="4">
        <v>13</v>
      </c>
      <c r="AR6205" s="3" t="s">
        <v>62</v>
      </c>
      <c r="AS6205" s="3" t="s">
        <v>62</v>
      </c>
      <c r="AT6205" s="3" t="s">
        <v>61</v>
      </c>
      <c r="AU6205" s="6" t="str">
        <f>HYPERLINK("http://catalog.hathitrust.org/Record/004017618","HathiTrust Record")</f>
        <v>HathiTrust Record</v>
      </c>
      <c r="AV6205" s="6" t="str">
        <f>HYPERLINK("http://mcgill.on.worldcat.org/oclc/40069291","Catalog Record")</f>
        <v>Catalog Record</v>
      </c>
      <c r="AW6205" s="6" t="str">
        <f>HYPERLINK("http://www.worldcat.org/oclc/40069291","WorldCat Record")</f>
        <v>WorldCat Record</v>
      </c>
      <c r="AX6205" s="3" t="s">
        <v>59730</v>
      </c>
      <c r="AY6205" s="3" t="s">
        <v>59731</v>
      </c>
      <c r="AZ6205" s="3" t="s">
        <v>59732</v>
      </c>
      <c r="BA6205" s="3" t="s">
        <v>59732</v>
      </c>
      <c r="BB6205" s="3" t="s">
        <v>59733</v>
      </c>
      <c r="BC6205" s="3" t="s">
        <v>142</v>
      </c>
      <c r="BD6205" s="3" t="s">
        <v>68</v>
      </c>
      <c r="BE6205" s="3" t="s">
        <v>59734</v>
      </c>
      <c r="BF6205" s="3" t="s">
        <v>59733</v>
      </c>
      <c r="BG6205" s="3" t="s">
        <v>59735</v>
      </c>
    </row>
    <row r="6206" spans="1:59" ht="57" x14ac:dyDescent="0.45">
      <c r="A6206" s="2" t="s">
        <v>59</v>
      </c>
      <c r="B6206" s="2" t="s">
        <v>60</v>
      </c>
      <c r="C6206" s="2" t="s">
        <v>59736</v>
      </c>
      <c r="D6206" s="2" t="s">
        <v>59737</v>
      </c>
      <c r="E6206" s="2" t="s">
        <v>59738</v>
      </c>
      <c r="G6206" s="3" t="s">
        <v>62</v>
      </c>
      <c r="I6206" s="3" t="s">
        <v>62</v>
      </c>
      <c r="J6206" s="3" t="s">
        <v>62</v>
      </c>
      <c r="K6206" s="3" t="s">
        <v>63</v>
      </c>
      <c r="M6206" s="2" t="s">
        <v>59739</v>
      </c>
      <c r="N6206" s="3" t="s">
        <v>894</v>
      </c>
      <c r="P6206" s="3" t="s">
        <v>110</v>
      </c>
      <c r="R6206" s="3" t="s">
        <v>66</v>
      </c>
      <c r="S6206" s="4">
        <v>1</v>
      </c>
      <c r="T6206" s="4">
        <v>1</v>
      </c>
      <c r="U6206" s="5" t="s">
        <v>59740</v>
      </c>
      <c r="V6206" s="5" t="s">
        <v>59740</v>
      </c>
      <c r="W6206" s="5" t="s">
        <v>67</v>
      </c>
      <c r="X6206" s="5" t="s">
        <v>67</v>
      </c>
      <c r="Y6206" s="4">
        <v>10</v>
      </c>
      <c r="Z6206" s="4">
        <v>3</v>
      </c>
      <c r="AA6206" s="4">
        <v>3</v>
      </c>
      <c r="AB6206" s="4">
        <v>2</v>
      </c>
      <c r="AC6206" s="4">
        <v>2</v>
      </c>
      <c r="AD6206" s="4">
        <v>6</v>
      </c>
      <c r="AE6206" s="4">
        <v>6</v>
      </c>
      <c r="AF6206" s="4">
        <v>1</v>
      </c>
      <c r="AG6206" s="4">
        <v>1</v>
      </c>
      <c r="AH6206" s="4">
        <v>5</v>
      </c>
      <c r="AI6206" s="4">
        <v>5</v>
      </c>
      <c r="AJ6206" s="4">
        <v>2</v>
      </c>
      <c r="AK6206" s="4">
        <v>2</v>
      </c>
      <c r="AL6206" s="4">
        <v>3</v>
      </c>
      <c r="AM6206" s="4">
        <v>3</v>
      </c>
      <c r="AN6206" s="4">
        <v>0</v>
      </c>
      <c r="AO6206" s="4">
        <v>0</v>
      </c>
      <c r="AP6206" s="4">
        <v>2</v>
      </c>
      <c r="AQ6206" s="4">
        <v>2</v>
      </c>
      <c r="AR6206" s="3" t="s">
        <v>62</v>
      </c>
      <c r="AS6206" s="3" t="s">
        <v>62</v>
      </c>
      <c r="AT6206" s="3" t="s">
        <v>62</v>
      </c>
      <c r="AV6206" s="6" t="str">
        <f>HYPERLINK("http://mcgill.on.worldcat.org/oclc/774857225","Catalog Record")</f>
        <v>Catalog Record</v>
      </c>
      <c r="AW6206" s="6" t="str">
        <f>HYPERLINK("http://www.worldcat.org/oclc/774857225","WorldCat Record")</f>
        <v>WorldCat Record</v>
      </c>
      <c r="AX6206" s="3" t="s">
        <v>59741</v>
      </c>
      <c r="AY6206" s="3" t="s">
        <v>59742</v>
      </c>
      <c r="AZ6206" s="3" t="s">
        <v>59743</v>
      </c>
      <c r="BA6206" s="3" t="s">
        <v>59743</v>
      </c>
      <c r="BB6206" s="3" t="s">
        <v>59744</v>
      </c>
      <c r="BC6206" s="3" t="s">
        <v>142</v>
      </c>
      <c r="BD6206" s="3" t="s">
        <v>68</v>
      </c>
      <c r="BE6206" s="3" t="s">
        <v>59745</v>
      </c>
      <c r="BF6206" s="3" t="s">
        <v>59744</v>
      </c>
      <c r="BG6206" s="3" t="s">
        <v>59746</v>
      </c>
    </row>
    <row r="6207" spans="1:59" ht="85.5" x14ac:dyDescent="0.45">
      <c r="A6207" s="2" t="s">
        <v>59</v>
      </c>
      <c r="B6207" s="2" t="s">
        <v>60</v>
      </c>
      <c r="C6207" s="2" t="s">
        <v>59747</v>
      </c>
      <c r="D6207" s="2" t="s">
        <v>59748</v>
      </c>
      <c r="E6207" s="2" t="s">
        <v>59749</v>
      </c>
      <c r="G6207" s="3" t="s">
        <v>62</v>
      </c>
      <c r="I6207" s="3" t="s">
        <v>62</v>
      </c>
      <c r="J6207" s="3" t="s">
        <v>62</v>
      </c>
      <c r="K6207" s="3" t="s">
        <v>63</v>
      </c>
      <c r="M6207" s="2" t="s">
        <v>59750</v>
      </c>
      <c r="N6207" s="3" t="s">
        <v>807</v>
      </c>
      <c r="P6207" s="3" t="s">
        <v>110</v>
      </c>
      <c r="Q6207" s="2" t="s">
        <v>59751</v>
      </c>
      <c r="R6207" s="3" t="s">
        <v>66</v>
      </c>
      <c r="S6207" s="4">
        <v>12</v>
      </c>
      <c r="T6207" s="4">
        <v>12</v>
      </c>
      <c r="U6207" s="5" t="s">
        <v>31223</v>
      </c>
      <c r="V6207" s="5" t="s">
        <v>31223</v>
      </c>
      <c r="W6207" s="5" t="s">
        <v>67</v>
      </c>
      <c r="X6207" s="5" t="s">
        <v>67</v>
      </c>
      <c r="Y6207" s="4">
        <v>43</v>
      </c>
      <c r="Z6207" s="4">
        <v>9</v>
      </c>
      <c r="AA6207" s="4">
        <v>18</v>
      </c>
      <c r="AB6207" s="4">
        <v>2</v>
      </c>
      <c r="AC6207" s="4">
        <v>8</v>
      </c>
      <c r="AD6207" s="4">
        <v>26</v>
      </c>
      <c r="AE6207" s="4">
        <v>36</v>
      </c>
      <c r="AF6207" s="4">
        <v>1</v>
      </c>
      <c r="AG6207" s="4">
        <v>5</v>
      </c>
      <c r="AH6207" s="4">
        <v>20</v>
      </c>
      <c r="AI6207" s="4">
        <v>26</v>
      </c>
      <c r="AJ6207" s="4">
        <v>7</v>
      </c>
      <c r="AK6207" s="4">
        <v>12</v>
      </c>
      <c r="AL6207" s="4">
        <v>13</v>
      </c>
      <c r="AM6207" s="4">
        <v>15</v>
      </c>
      <c r="AN6207" s="4">
        <v>0</v>
      </c>
      <c r="AO6207" s="4">
        <v>0</v>
      </c>
      <c r="AP6207" s="4">
        <v>8</v>
      </c>
      <c r="AQ6207" s="4">
        <v>14</v>
      </c>
      <c r="AR6207" s="3" t="s">
        <v>62</v>
      </c>
      <c r="AS6207" s="3" t="s">
        <v>62</v>
      </c>
      <c r="AT6207" s="3" t="s">
        <v>61</v>
      </c>
      <c r="AU6207" s="6" t="str">
        <f>HYPERLINK("http://catalog.hathitrust.org/Record/006720476","HathiTrust Record")</f>
        <v>HathiTrust Record</v>
      </c>
      <c r="AV6207" s="6" t="str">
        <f>HYPERLINK("http://mcgill.on.worldcat.org/oclc/26858007","Catalog Record")</f>
        <v>Catalog Record</v>
      </c>
      <c r="AW6207" s="6" t="str">
        <f>HYPERLINK("http://www.worldcat.org/oclc/26858007","WorldCat Record")</f>
        <v>WorldCat Record</v>
      </c>
      <c r="AX6207" s="3" t="s">
        <v>59752</v>
      </c>
      <c r="AY6207" s="3" t="s">
        <v>59753</v>
      </c>
      <c r="AZ6207" s="3" t="s">
        <v>59754</v>
      </c>
      <c r="BA6207" s="3" t="s">
        <v>59754</v>
      </c>
      <c r="BB6207" s="3" t="s">
        <v>59755</v>
      </c>
      <c r="BC6207" s="3" t="s">
        <v>142</v>
      </c>
      <c r="BD6207" s="3" t="s">
        <v>68</v>
      </c>
      <c r="BE6207" s="3" t="s">
        <v>59756</v>
      </c>
      <c r="BF6207" s="3" t="s">
        <v>59755</v>
      </c>
      <c r="BG6207" s="3" t="s">
        <v>59757</v>
      </c>
    </row>
    <row r="6208" spans="1:59" ht="57" x14ac:dyDescent="0.45">
      <c r="A6208" s="2" t="s">
        <v>59</v>
      </c>
      <c r="B6208" s="2" t="s">
        <v>60</v>
      </c>
      <c r="C6208" s="2" t="s">
        <v>59758</v>
      </c>
      <c r="D6208" s="2" t="s">
        <v>59759</v>
      </c>
      <c r="E6208" s="2" t="s">
        <v>59760</v>
      </c>
      <c r="G6208" s="3" t="s">
        <v>62</v>
      </c>
      <c r="I6208" s="3" t="s">
        <v>62</v>
      </c>
      <c r="J6208" s="3" t="s">
        <v>62</v>
      </c>
      <c r="K6208" s="3" t="s">
        <v>63</v>
      </c>
      <c r="M6208" s="2" t="s">
        <v>59761</v>
      </c>
      <c r="N6208" s="3" t="s">
        <v>149</v>
      </c>
      <c r="P6208" s="3" t="s">
        <v>110</v>
      </c>
      <c r="Q6208" s="2" t="s">
        <v>59762</v>
      </c>
      <c r="R6208" s="3" t="s">
        <v>66</v>
      </c>
      <c r="S6208" s="4">
        <v>1</v>
      </c>
      <c r="T6208" s="4">
        <v>1</v>
      </c>
      <c r="U6208" s="5" t="s">
        <v>59763</v>
      </c>
      <c r="V6208" s="5" t="s">
        <v>59763</v>
      </c>
      <c r="W6208" s="5" t="s">
        <v>67</v>
      </c>
      <c r="X6208" s="5" t="s">
        <v>67</v>
      </c>
      <c r="Y6208" s="4">
        <v>20</v>
      </c>
      <c r="Z6208" s="4">
        <v>5</v>
      </c>
      <c r="AA6208" s="4">
        <v>8</v>
      </c>
      <c r="AB6208" s="4">
        <v>2</v>
      </c>
      <c r="AC6208" s="4">
        <v>4</v>
      </c>
      <c r="AD6208" s="4">
        <v>13</v>
      </c>
      <c r="AE6208" s="4">
        <v>16</v>
      </c>
      <c r="AF6208" s="4">
        <v>1</v>
      </c>
      <c r="AG6208" s="4">
        <v>3</v>
      </c>
      <c r="AH6208" s="4">
        <v>11</v>
      </c>
      <c r="AI6208" s="4">
        <v>13</v>
      </c>
      <c r="AJ6208" s="4">
        <v>3</v>
      </c>
      <c r="AK6208" s="4">
        <v>6</v>
      </c>
      <c r="AL6208" s="4">
        <v>10</v>
      </c>
      <c r="AM6208" s="4">
        <v>10</v>
      </c>
      <c r="AN6208" s="4">
        <v>0</v>
      </c>
      <c r="AO6208" s="4">
        <v>0</v>
      </c>
      <c r="AP6208" s="4">
        <v>3</v>
      </c>
      <c r="AQ6208" s="4">
        <v>5</v>
      </c>
      <c r="AR6208" s="3" t="s">
        <v>62</v>
      </c>
      <c r="AS6208" s="3" t="s">
        <v>62</v>
      </c>
      <c r="AT6208" s="3" t="s">
        <v>61</v>
      </c>
      <c r="AU6208" s="6" t="str">
        <f>HYPERLINK("http://catalog.hathitrust.org/Record/102567303","HathiTrust Record")</f>
        <v>HathiTrust Record</v>
      </c>
      <c r="AV6208" s="6" t="str">
        <f>HYPERLINK("http://mcgill.on.worldcat.org/oclc/663385043","Catalog Record")</f>
        <v>Catalog Record</v>
      </c>
      <c r="AW6208" s="6" t="str">
        <f>HYPERLINK("http://www.worldcat.org/oclc/663385043","WorldCat Record")</f>
        <v>WorldCat Record</v>
      </c>
      <c r="AX6208" s="3" t="s">
        <v>59764</v>
      </c>
      <c r="AY6208" s="3" t="s">
        <v>59765</v>
      </c>
      <c r="AZ6208" s="3" t="s">
        <v>59766</v>
      </c>
      <c r="BA6208" s="3" t="s">
        <v>59766</v>
      </c>
      <c r="BB6208" s="3" t="s">
        <v>59767</v>
      </c>
      <c r="BC6208" s="3" t="s">
        <v>142</v>
      </c>
      <c r="BD6208" s="3" t="s">
        <v>68</v>
      </c>
      <c r="BE6208" s="3" t="s">
        <v>59768</v>
      </c>
      <c r="BF6208" s="3" t="s">
        <v>59767</v>
      </c>
      <c r="BG6208" s="3" t="s">
        <v>59769</v>
      </c>
    </row>
    <row r="6209" spans="1:59" ht="57" x14ac:dyDescent="0.45">
      <c r="A6209" s="2" t="s">
        <v>59</v>
      </c>
      <c r="B6209" s="2" t="s">
        <v>60</v>
      </c>
      <c r="C6209" s="2" t="s">
        <v>59770</v>
      </c>
      <c r="D6209" s="2" t="s">
        <v>59771</v>
      </c>
      <c r="E6209" s="2" t="s">
        <v>59772</v>
      </c>
      <c r="G6209" s="3" t="s">
        <v>62</v>
      </c>
      <c r="I6209" s="3" t="s">
        <v>62</v>
      </c>
      <c r="J6209" s="3" t="s">
        <v>62</v>
      </c>
      <c r="K6209" s="3" t="s">
        <v>63</v>
      </c>
      <c r="M6209" s="2" t="s">
        <v>59773</v>
      </c>
      <c r="N6209" s="3" t="s">
        <v>1688</v>
      </c>
      <c r="P6209" s="3" t="s">
        <v>182</v>
      </c>
      <c r="Q6209" s="2" t="s">
        <v>59774</v>
      </c>
      <c r="R6209" s="3" t="s">
        <v>66</v>
      </c>
      <c r="S6209" s="4">
        <v>0</v>
      </c>
      <c r="T6209" s="4">
        <v>0</v>
      </c>
      <c r="W6209" s="5" t="s">
        <v>67</v>
      </c>
      <c r="X6209" s="5" t="s">
        <v>67</v>
      </c>
      <c r="Y6209" s="4">
        <v>14</v>
      </c>
      <c r="Z6209" s="4">
        <v>1</v>
      </c>
      <c r="AA6209" s="4">
        <v>1</v>
      </c>
      <c r="AB6209" s="4">
        <v>1</v>
      </c>
      <c r="AC6209" s="4">
        <v>1</v>
      </c>
      <c r="AD6209" s="4">
        <v>6</v>
      </c>
      <c r="AE6209" s="4">
        <v>6</v>
      </c>
      <c r="AF6209" s="4">
        <v>0</v>
      </c>
      <c r="AG6209" s="4">
        <v>0</v>
      </c>
      <c r="AH6209" s="4">
        <v>5</v>
      </c>
      <c r="AI6209" s="4">
        <v>5</v>
      </c>
      <c r="AJ6209" s="4">
        <v>0</v>
      </c>
      <c r="AK6209" s="4">
        <v>0</v>
      </c>
      <c r="AL6209" s="4">
        <v>3</v>
      </c>
      <c r="AM6209" s="4">
        <v>3</v>
      </c>
      <c r="AN6209" s="4">
        <v>0</v>
      </c>
      <c r="AO6209" s="4">
        <v>0</v>
      </c>
      <c r="AP6209" s="4">
        <v>0</v>
      </c>
      <c r="AQ6209" s="4">
        <v>0</v>
      </c>
      <c r="AR6209" s="3" t="s">
        <v>62</v>
      </c>
      <c r="AS6209" s="3" t="s">
        <v>62</v>
      </c>
      <c r="AT6209" s="3" t="s">
        <v>62</v>
      </c>
      <c r="AV6209" s="6" t="str">
        <f>HYPERLINK("http://mcgill.on.worldcat.org/oclc/904251430","Catalog Record")</f>
        <v>Catalog Record</v>
      </c>
      <c r="AW6209" s="6" t="str">
        <f>HYPERLINK("http://www.worldcat.org/oclc/904251430","WorldCat Record")</f>
        <v>WorldCat Record</v>
      </c>
      <c r="AX6209" s="3" t="s">
        <v>59775</v>
      </c>
      <c r="AY6209" s="3" t="s">
        <v>59776</v>
      </c>
      <c r="AZ6209" s="3" t="s">
        <v>59777</v>
      </c>
      <c r="BA6209" s="3" t="s">
        <v>59777</v>
      </c>
      <c r="BB6209" s="3" t="s">
        <v>59778</v>
      </c>
      <c r="BC6209" s="3" t="s">
        <v>142</v>
      </c>
      <c r="BD6209" s="3" t="s">
        <v>68</v>
      </c>
      <c r="BE6209" s="3" t="s">
        <v>59779</v>
      </c>
      <c r="BF6209" s="3" t="s">
        <v>59778</v>
      </c>
      <c r="BG6209" s="3" t="s">
        <v>59780</v>
      </c>
    </row>
    <row r="6210" spans="1:59" ht="57" x14ac:dyDescent="0.45">
      <c r="A6210" s="2" t="s">
        <v>59</v>
      </c>
      <c r="B6210" s="2" t="s">
        <v>60</v>
      </c>
      <c r="C6210" s="2" t="s">
        <v>59781</v>
      </c>
      <c r="D6210" s="2" t="s">
        <v>59782</v>
      </c>
      <c r="E6210" s="2" t="s">
        <v>59783</v>
      </c>
      <c r="G6210" s="3" t="s">
        <v>62</v>
      </c>
      <c r="I6210" s="3" t="s">
        <v>62</v>
      </c>
      <c r="J6210" s="3" t="s">
        <v>62</v>
      </c>
      <c r="K6210" s="3" t="s">
        <v>63</v>
      </c>
      <c r="M6210" s="2" t="s">
        <v>59784</v>
      </c>
      <c r="N6210" s="3" t="s">
        <v>1465</v>
      </c>
      <c r="P6210" s="3" t="s">
        <v>65</v>
      </c>
      <c r="R6210" s="3" t="s">
        <v>66</v>
      </c>
      <c r="S6210" s="4">
        <v>9</v>
      </c>
      <c r="T6210" s="4">
        <v>9</v>
      </c>
      <c r="U6210" s="5" t="s">
        <v>46580</v>
      </c>
      <c r="V6210" s="5" t="s">
        <v>46580</v>
      </c>
      <c r="W6210" s="5" t="s">
        <v>67</v>
      </c>
      <c r="X6210" s="5" t="s">
        <v>67</v>
      </c>
      <c r="Y6210" s="4">
        <v>131</v>
      </c>
      <c r="Z6210" s="4">
        <v>11</v>
      </c>
      <c r="AA6210" s="4">
        <v>12</v>
      </c>
      <c r="AB6210" s="4">
        <v>2</v>
      </c>
      <c r="AC6210" s="4">
        <v>2</v>
      </c>
      <c r="AD6210" s="4">
        <v>53</v>
      </c>
      <c r="AE6210" s="4">
        <v>54</v>
      </c>
      <c r="AF6210" s="4">
        <v>0</v>
      </c>
      <c r="AG6210" s="4">
        <v>0</v>
      </c>
      <c r="AH6210" s="4">
        <v>50</v>
      </c>
      <c r="AI6210" s="4">
        <v>50</v>
      </c>
      <c r="AJ6210" s="4">
        <v>7</v>
      </c>
      <c r="AK6210" s="4">
        <v>7</v>
      </c>
      <c r="AL6210" s="4">
        <v>29</v>
      </c>
      <c r="AM6210" s="4">
        <v>29</v>
      </c>
      <c r="AN6210" s="4">
        <v>1</v>
      </c>
      <c r="AO6210" s="4">
        <v>1</v>
      </c>
      <c r="AP6210" s="4">
        <v>8</v>
      </c>
      <c r="AQ6210" s="4">
        <v>9</v>
      </c>
      <c r="AR6210" s="3" t="s">
        <v>62</v>
      </c>
      <c r="AS6210" s="3" t="s">
        <v>62</v>
      </c>
      <c r="AT6210" s="3" t="s">
        <v>61</v>
      </c>
      <c r="AU6210" s="6" t="str">
        <f>HYPERLINK("http://catalog.hathitrust.org/Record/006777790","HathiTrust Record")</f>
        <v>HathiTrust Record</v>
      </c>
      <c r="AV6210" s="6" t="str">
        <f>HYPERLINK("http://mcgill.on.worldcat.org/oclc/299241616","Catalog Record")</f>
        <v>Catalog Record</v>
      </c>
      <c r="AW6210" s="6" t="str">
        <f>HYPERLINK("http://www.worldcat.org/oclc/299241616","WorldCat Record")</f>
        <v>WorldCat Record</v>
      </c>
      <c r="AX6210" s="3" t="s">
        <v>59785</v>
      </c>
      <c r="AY6210" s="3" t="s">
        <v>59786</v>
      </c>
      <c r="AZ6210" s="3" t="s">
        <v>59787</v>
      </c>
      <c r="BA6210" s="3" t="s">
        <v>59787</v>
      </c>
      <c r="BB6210" s="3" t="s">
        <v>59788</v>
      </c>
      <c r="BC6210" s="3" t="s">
        <v>142</v>
      </c>
      <c r="BD6210" s="3" t="s">
        <v>68</v>
      </c>
      <c r="BE6210" s="3" t="s">
        <v>59789</v>
      </c>
      <c r="BF6210" s="3" t="s">
        <v>59788</v>
      </c>
      <c r="BG6210" s="3" t="s">
        <v>59790</v>
      </c>
    </row>
    <row r="6211" spans="1:59" ht="57" x14ac:dyDescent="0.45">
      <c r="A6211" s="2" t="s">
        <v>59</v>
      </c>
      <c r="B6211" s="2" t="s">
        <v>60</v>
      </c>
      <c r="C6211" s="2" t="s">
        <v>59791</v>
      </c>
      <c r="D6211" s="2" t="s">
        <v>59792</v>
      </c>
      <c r="E6211" s="2" t="s">
        <v>59793</v>
      </c>
      <c r="G6211" s="3" t="s">
        <v>62</v>
      </c>
      <c r="I6211" s="3" t="s">
        <v>62</v>
      </c>
      <c r="J6211" s="3" t="s">
        <v>62</v>
      </c>
      <c r="K6211" s="3" t="s">
        <v>63</v>
      </c>
      <c r="M6211" s="2" t="s">
        <v>59794</v>
      </c>
      <c r="N6211" s="3" t="s">
        <v>894</v>
      </c>
      <c r="P6211" s="3" t="s">
        <v>65</v>
      </c>
      <c r="Q6211" s="2" t="s">
        <v>59795</v>
      </c>
      <c r="R6211" s="3" t="s">
        <v>66</v>
      </c>
      <c r="S6211" s="4">
        <v>3</v>
      </c>
      <c r="T6211" s="4">
        <v>3</v>
      </c>
      <c r="U6211" s="5" t="s">
        <v>11178</v>
      </c>
      <c r="V6211" s="5" t="s">
        <v>11178</v>
      </c>
      <c r="W6211" s="5" t="s">
        <v>67</v>
      </c>
      <c r="X6211" s="5" t="s">
        <v>67</v>
      </c>
      <c r="Y6211" s="4">
        <v>72</v>
      </c>
      <c r="Z6211" s="4">
        <v>12</v>
      </c>
      <c r="AA6211" s="4">
        <v>44</v>
      </c>
      <c r="AB6211" s="4">
        <v>1</v>
      </c>
      <c r="AC6211" s="4">
        <v>11</v>
      </c>
      <c r="AD6211" s="4">
        <v>33</v>
      </c>
      <c r="AE6211" s="4">
        <v>48</v>
      </c>
      <c r="AF6211" s="4">
        <v>0</v>
      </c>
      <c r="AG6211" s="4">
        <v>4</v>
      </c>
      <c r="AH6211" s="4">
        <v>32</v>
      </c>
      <c r="AI6211" s="4">
        <v>37</v>
      </c>
      <c r="AJ6211" s="4">
        <v>7</v>
      </c>
      <c r="AK6211" s="4">
        <v>10</v>
      </c>
      <c r="AL6211" s="4">
        <v>22</v>
      </c>
      <c r="AM6211" s="4">
        <v>25</v>
      </c>
      <c r="AN6211" s="4">
        <v>0</v>
      </c>
      <c r="AO6211" s="4">
        <v>0</v>
      </c>
      <c r="AP6211" s="4">
        <v>8</v>
      </c>
      <c r="AQ6211" s="4">
        <v>18</v>
      </c>
      <c r="AR6211" s="3" t="s">
        <v>62</v>
      </c>
      <c r="AS6211" s="3" t="s">
        <v>62</v>
      </c>
      <c r="AT6211" s="3" t="s">
        <v>62</v>
      </c>
      <c r="AV6211" s="6" t="str">
        <f>HYPERLINK("http://mcgill.on.worldcat.org/oclc/695032990","Catalog Record")</f>
        <v>Catalog Record</v>
      </c>
      <c r="AW6211" s="6" t="str">
        <f>HYPERLINK("http://www.worldcat.org/oclc/695032990","WorldCat Record")</f>
        <v>WorldCat Record</v>
      </c>
      <c r="AX6211" s="3" t="s">
        <v>59796</v>
      </c>
      <c r="AY6211" s="3" t="s">
        <v>59797</v>
      </c>
      <c r="AZ6211" s="3" t="s">
        <v>59798</v>
      </c>
      <c r="BA6211" s="3" t="s">
        <v>59798</v>
      </c>
      <c r="BB6211" s="3" t="s">
        <v>59799</v>
      </c>
      <c r="BC6211" s="3" t="s">
        <v>142</v>
      </c>
      <c r="BD6211" s="3" t="s">
        <v>68</v>
      </c>
      <c r="BE6211" s="3" t="s">
        <v>59800</v>
      </c>
      <c r="BF6211" s="3" t="s">
        <v>59799</v>
      </c>
      <c r="BG6211" s="3" t="s">
        <v>59801</v>
      </c>
    </row>
    <row r="6212" spans="1:59" ht="57" x14ac:dyDescent="0.45">
      <c r="A6212" s="2" t="s">
        <v>59</v>
      </c>
      <c r="B6212" s="2" t="s">
        <v>60</v>
      </c>
      <c r="C6212" s="2" t="s">
        <v>59802</v>
      </c>
      <c r="D6212" s="2" t="s">
        <v>59803</v>
      </c>
      <c r="E6212" s="2" t="s">
        <v>59804</v>
      </c>
      <c r="F6212" s="3" t="s">
        <v>90</v>
      </c>
      <c r="G6212" s="3" t="s">
        <v>61</v>
      </c>
      <c r="I6212" s="3" t="s">
        <v>62</v>
      </c>
      <c r="J6212" s="3" t="s">
        <v>62</v>
      </c>
      <c r="K6212" s="3" t="s">
        <v>63</v>
      </c>
      <c r="M6212" s="2" t="s">
        <v>59805</v>
      </c>
      <c r="N6212" s="3" t="s">
        <v>1059</v>
      </c>
      <c r="P6212" s="3" t="s">
        <v>65</v>
      </c>
      <c r="R6212" s="3" t="s">
        <v>66</v>
      </c>
      <c r="S6212" s="4">
        <v>9</v>
      </c>
      <c r="T6212" s="4">
        <v>22</v>
      </c>
      <c r="U6212" s="5" t="s">
        <v>59806</v>
      </c>
      <c r="V6212" s="5" t="s">
        <v>31414</v>
      </c>
      <c r="W6212" s="5" t="s">
        <v>67</v>
      </c>
      <c r="X6212" s="5" t="s">
        <v>67</v>
      </c>
      <c r="Y6212" s="4">
        <v>99</v>
      </c>
      <c r="Z6212" s="4">
        <v>7</v>
      </c>
      <c r="AA6212" s="4">
        <v>12</v>
      </c>
      <c r="AB6212" s="4">
        <v>2</v>
      </c>
      <c r="AC6212" s="4">
        <v>5</v>
      </c>
      <c r="AD6212" s="4">
        <v>30</v>
      </c>
      <c r="AE6212" s="4">
        <v>36</v>
      </c>
      <c r="AF6212" s="4">
        <v>1</v>
      </c>
      <c r="AG6212" s="4">
        <v>3</v>
      </c>
      <c r="AH6212" s="4">
        <v>28</v>
      </c>
      <c r="AI6212" s="4">
        <v>30</v>
      </c>
      <c r="AJ6212" s="4">
        <v>5</v>
      </c>
      <c r="AK6212" s="4">
        <v>7</v>
      </c>
      <c r="AL6212" s="4">
        <v>20</v>
      </c>
      <c r="AM6212" s="4">
        <v>22</v>
      </c>
      <c r="AN6212" s="4">
        <v>0</v>
      </c>
      <c r="AO6212" s="4">
        <v>0</v>
      </c>
      <c r="AP6212" s="4">
        <v>5</v>
      </c>
      <c r="AQ6212" s="4">
        <v>8</v>
      </c>
      <c r="AR6212" s="3" t="s">
        <v>62</v>
      </c>
      <c r="AS6212" s="3" t="s">
        <v>62</v>
      </c>
      <c r="AT6212" s="3" t="s">
        <v>61</v>
      </c>
      <c r="AU6212" s="6" t="str">
        <f>HYPERLINK("http://catalog.hathitrust.org/Record/005248095","HathiTrust Record")</f>
        <v>HathiTrust Record</v>
      </c>
      <c r="AV6212" s="6" t="str">
        <f>HYPERLINK("http://mcgill.on.worldcat.org/oclc/67346101","Catalog Record")</f>
        <v>Catalog Record</v>
      </c>
      <c r="AW6212" s="6" t="str">
        <f>HYPERLINK("http://www.worldcat.org/oclc/67346101","WorldCat Record")</f>
        <v>WorldCat Record</v>
      </c>
      <c r="AX6212" s="3" t="s">
        <v>59807</v>
      </c>
      <c r="AY6212" s="3" t="s">
        <v>59808</v>
      </c>
      <c r="AZ6212" s="3" t="s">
        <v>59809</v>
      </c>
      <c r="BA6212" s="3" t="s">
        <v>59809</v>
      </c>
      <c r="BB6212" s="3" t="s">
        <v>59810</v>
      </c>
      <c r="BC6212" s="3" t="s">
        <v>142</v>
      </c>
      <c r="BD6212" s="3" t="s">
        <v>68</v>
      </c>
      <c r="BE6212" s="3" t="s">
        <v>59811</v>
      </c>
      <c r="BF6212" s="3" t="s">
        <v>59810</v>
      </c>
      <c r="BG6212" s="3" t="s">
        <v>59812</v>
      </c>
    </row>
    <row r="6213" spans="1:59" ht="57" x14ac:dyDescent="0.45">
      <c r="A6213" s="2" t="s">
        <v>59</v>
      </c>
      <c r="B6213" s="2" t="s">
        <v>60</v>
      </c>
      <c r="C6213" s="2" t="s">
        <v>59802</v>
      </c>
      <c r="D6213" s="2" t="s">
        <v>59803</v>
      </c>
      <c r="E6213" s="2" t="s">
        <v>59804</v>
      </c>
      <c r="F6213" s="3" t="s">
        <v>87</v>
      </c>
      <c r="G6213" s="3" t="s">
        <v>61</v>
      </c>
      <c r="I6213" s="3" t="s">
        <v>62</v>
      </c>
      <c r="J6213" s="3" t="s">
        <v>62</v>
      </c>
      <c r="K6213" s="3" t="s">
        <v>63</v>
      </c>
      <c r="M6213" s="2" t="s">
        <v>59805</v>
      </c>
      <c r="N6213" s="3" t="s">
        <v>1059</v>
      </c>
      <c r="P6213" s="3" t="s">
        <v>65</v>
      </c>
      <c r="R6213" s="3" t="s">
        <v>66</v>
      </c>
      <c r="S6213" s="4">
        <v>13</v>
      </c>
      <c r="T6213" s="4">
        <v>22</v>
      </c>
      <c r="U6213" s="5" t="s">
        <v>31414</v>
      </c>
      <c r="V6213" s="5" t="s">
        <v>31414</v>
      </c>
      <c r="W6213" s="5" t="s">
        <v>67</v>
      </c>
      <c r="X6213" s="5" t="s">
        <v>67</v>
      </c>
      <c r="Y6213" s="4">
        <v>99</v>
      </c>
      <c r="Z6213" s="4">
        <v>7</v>
      </c>
      <c r="AA6213" s="4">
        <v>12</v>
      </c>
      <c r="AB6213" s="4">
        <v>2</v>
      </c>
      <c r="AC6213" s="4">
        <v>5</v>
      </c>
      <c r="AD6213" s="4">
        <v>30</v>
      </c>
      <c r="AE6213" s="4">
        <v>36</v>
      </c>
      <c r="AF6213" s="4">
        <v>1</v>
      </c>
      <c r="AG6213" s="4">
        <v>3</v>
      </c>
      <c r="AH6213" s="4">
        <v>28</v>
      </c>
      <c r="AI6213" s="4">
        <v>30</v>
      </c>
      <c r="AJ6213" s="4">
        <v>5</v>
      </c>
      <c r="AK6213" s="4">
        <v>7</v>
      </c>
      <c r="AL6213" s="4">
        <v>20</v>
      </c>
      <c r="AM6213" s="4">
        <v>22</v>
      </c>
      <c r="AN6213" s="4">
        <v>0</v>
      </c>
      <c r="AO6213" s="4">
        <v>0</v>
      </c>
      <c r="AP6213" s="4">
        <v>5</v>
      </c>
      <c r="AQ6213" s="4">
        <v>8</v>
      </c>
      <c r="AR6213" s="3" t="s">
        <v>62</v>
      </c>
      <c r="AS6213" s="3" t="s">
        <v>62</v>
      </c>
      <c r="AT6213" s="3" t="s">
        <v>61</v>
      </c>
      <c r="AU6213" s="6" t="str">
        <f>HYPERLINK("http://catalog.hathitrust.org/Record/005248095","HathiTrust Record")</f>
        <v>HathiTrust Record</v>
      </c>
      <c r="AV6213" s="6" t="str">
        <f>HYPERLINK("http://mcgill.on.worldcat.org/oclc/67346101","Catalog Record")</f>
        <v>Catalog Record</v>
      </c>
      <c r="AW6213" s="6" t="str">
        <f>HYPERLINK("http://www.worldcat.org/oclc/67346101","WorldCat Record")</f>
        <v>WorldCat Record</v>
      </c>
      <c r="AX6213" s="3" t="s">
        <v>59807</v>
      </c>
      <c r="AY6213" s="3" t="s">
        <v>59808</v>
      </c>
      <c r="AZ6213" s="3" t="s">
        <v>59809</v>
      </c>
      <c r="BA6213" s="3" t="s">
        <v>59809</v>
      </c>
      <c r="BB6213" s="3" t="s">
        <v>59813</v>
      </c>
      <c r="BC6213" s="3" t="s">
        <v>142</v>
      </c>
      <c r="BD6213" s="3" t="s">
        <v>68</v>
      </c>
      <c r="BE6213" s="3" t="s">
        <v>59811</v>
      </c>
      <c r="BF6213" s="3" t="s">
        <v>59813</v>
      </c>
      <c r="BG6213" s="3" t="s">
        <v>59814</v>
      </c>
    </row>
    <row r="6214" spans="1:59" ht="57" x14ac:dyDescent="0.45">
      <c r="A6214" s="2" t="s">
        <v>59</v>
      </c>
      <c r="B6214" s="2" t="s">
        <v>60</v>
      </c>
      <c r="C6214" s="2" t="s">
        <v>59815</v>
      </c>
      <c r="D6214" s="2" t="s">
        <v>59816</v>
      </c>
      <c r="E6214" s="2" t="s">
        <v>59817</v>
      </c>
      <c r="G6214" s="3" t="s">
        <v>62</v>
      </c>
      <c r="I6214" s="3" t="s">
        <v>62</v>
      </c>
      <c r="J6214" s="3" t="s">
        <v>62</v>
      </c>
      <c r="K6214" s="3" t="s">
        <v>63</v>
      </c>
      <c r="M6214" s="2" t="s">
        <v>59818</v>
      </c>
      <c r="N6214" s="3" t="s">
        <v>1465</v>
      </c>
      <c r="P6214" s="3" t="s">
        <v>110</v>
      </c>
      <c r="Q6214" s="2" t="s">
        <v>33691</v>
      </c>
      <c r="R6214" s="3" t="s">
        <v>66</v>
      </c>
      <c r="S6214" s="4">
        <v>3</v>
      </c>
      <c r="T6214" s="4">
        <v>3</v>
      </c>
      <c r="U6214" s="5" t="s">
        <v>1451</v>
      </c>
      <c r="V6214" s="5" t="s">
        <v>1451</v>
      </c>
      <c r="W6214" s="5" t="s">
        <v>67</v>
      </c>
      <c r="X6214" s="5" t="s">
        <v>67</v>
      </c>
      <c r="Y6214" s="4">
        <v>26</v>
      </c>
      <c r="Z6214" s="4">
        <v>5</v>
      </c>
      <c r="AA6214" s="4">
        <v>10</v>
      </c>
      <c r="AB6214" s="4">
        <v>1</v>
      </c>
      <c r="AC6214" s="4">
        <v>5</v>
      </c>
      <c r="AD6214" s="4">
        <v>13</v>
      </c>
      <c r="AE6214" s="4">
        <v>17</v>
      </c>
      <c r="AF6214" s="4">
        <v>0</v>
      </c>
      <c r="AG6214" s="4">
        <v>3</v>
      </c>
      <c r="AH6214" s="4">
        <v>12</v>
      </c>
      <c r="AI6214" s="4">
        <v>14</v>
      </c>
      <c r="AJ6214" s="4">
        <v>3</v>
      </c>
      <c r="AK6214" s="4">
        <v>6</v>
      </c>
      <c r="AL6214" s="4">
        <v>10</v>
      </c>
      <c r="AM6214" s="4">
        <v>10</v>
      </c>
      <c r="AN6214" s="4">
        <v>0</v>
      </c>
      <c r="AO6214" s="4">
        <v>0</v>
      </c>
      <c r="AP6214" s="4">
        <v>3</v>
      </c>
      <c r="AQ6214" s="4">
        <v>6</v>
      </c>
      <c r="AR6214" s="3" t="s">
        <v>62</v>
      </c>
      <c r="AS6214" s="3" t="s">
        <v>62</v>
      </c>
      <c r="AT6214" s="3" t="s">
        <v>62</v>
      </c>
      <c r="AV6214" s="6" t="str">
        <f>HYPERLINK("http://mcgill.on.worldcat.org/oclc/517265035","Catalog Record")</f>
        <v>Catalog Record</v>
      </c>
      <c r="AW6214" s="6" t="str">
        <f>HYPERLINK("http://www.worldcat.org/oclc/517265035","WorldCat Record")</f>
        <v>WorldCat Record</v>
      </c>
      <c r="AX6214" s="3" t="s">
        <v>59819</v>
      </c>
      <c r="AY6214" s="3" t="s">
        <v>59820</v>
      </c>
      <c r="AZ6214" s="3" t="s">
        <v>59821</v>
      </c>
      <c r="BA6214" s="3" t="s">
        <v>59821</v>
      </c>
      <c r="BB6214" s="3" t="s">
        <v>59822</v>
      </c>
      <c r="BC6214" s="3" t="s">
        <v>142</v>
      </c>
      <c r="BD6214" s="3" t="s">
        <v>68</v>
      </c>
      <c r="BE6214" s="3" t="s">
        <v>59823</v>
      </c>
      <c r="BF6214" s="3" t="s">
        <v>59822</v>
      </c>
      <c r="BG6214" s="3" t="s">
        <v>59824</v>
      </c>
    </row>
    <row r="6215" spans="1:59" ht="57" x14ac:dyDescent="0.45">
      <c r="A6215" s="2" t="s">
        <v>59</v>
      </c>
      <c r="B6215" s="2" t="s">
        <v>60</v>
      </c>
      <c r="C6215" s="2" t="s">
        <v>59825</v>
      </c>
      <c r="D6215" s="2" t="s">
        <v>59826</v>
      </c>
      <c r="E6215" s="2" t="s">
        <v>59827</v>
      </c>
      <c r="G6215" s="3" t="s">
        <v>62</v>
      </c>
      <c r="I6215" s="3" t="s">
        <v>62</v>
      </c>
      <c r="J6215" s="3" t="s">
        <v>62</v>
      </c>
      <c r="K6215" s="3" t="s">
        <v>63</v>
      </c>
      <c r="M6215" s="2" t="s">
        <v>59828</v>
      </c>
      <c r="N6215" s="3" t="s">
        <v>894</v>
      </c>
      <c r="P6215" s="3" t="s">
        <v>110</v>
      </c>
      <c r="Q6215" s="2" t="s">
        <v>59829</v>
      </c>
      <c r="R6215" s="3" t="s">
        <v>66</v>
      </c>
      <c r="S6215" s="4">
        <v>1</v>
      </c>
      <c r="T6215" s="4">
        <v>1</v>
      </c>
      <c r="U6215" s="5" t="s">
        <v>37533</v>
      </c>
      <c r="V6215" s="5" t="s">
        <v>37533</v>
      </c>
      <c r="W6215" s="5" t="s">
        <v>67</v>
      </c>
      <c r="X6215" s="5" t="s">
        <v>67</v>
      </c>
      <c r="Y6215" s="4">
        <v>6</v>
      </c>
      <c r="Z6215" s="4">
        <v>1</v>
      </c>
      <c r="AA6215" s="4">
        <v>1</v>
      </c>
      <c r="AB6215" s="4">
        <v>1</v>
      </c>
      <c r="AC6215" s="4">
        <v>1</v>
      </c>
      <c r="AD6215" s="4">
        <v>3</v>
      </c>
      <c r="AE6215" s="4">
        <v>3</v>
      </c>
      <c r="AF6215" s="4">
        <v>0</v>
      </c>
      <c r="AG6215" s="4">
        <v>0</v>
      </c>
      <c r="AH6215" s="4">
        <v>3</v>
      </c>
      <c r="AI6215" s="4">
        <v>3</v>
      </c>
      <c r="AJ6215" s="4">
        <v>0</v>
      </c>
      <c r="AK6215" s="4">
        <v>0</v>
      </c>
      <c r="AL6215" s="4">
        <v>3</v>
      </c>
      <c r="AM6215" s="4">
        <v>3</v>
      </c>
      <c r="AN6215" s="4">
        <v>0</v>
      </c>
      <c r="AO6215" s="4">
        <v>0</v>
      </c>
      <c r="AP6215" s="4">
        <v>0</v>
      </c>
      <c r="AQ6215" s="4">
        <v>0</v>
      </c>
      <c r="AR6215" s="3" t="s">
        <v>62</v>
      </c>
      <c r="AS6215" s="3" t="s">
        <v>62</v>
      </c>
      <c r="AT6215" s="3" t="s">
        <v>62</v>
      </c>
      <c r="AV6215" s="6" t="str">
        <f>HYPERLINK("http://mcgill.on.worldcat.org/oclc/726820246","Catalog Record")</f>
        <v>Catalog Record</v>
      </c>
      <c r="AW6215" s="6" t="str">
        <f>HYPERLINK("http://www.worldcat.org/oclc/726820246","WorldCat Record")</f>
        <v>WorldCat Record</v>
      </c>
      <c r="AX6215" s="3" t="s">
        <v>59830</v>
      </c>
      <c r="AY6215" s="3" t="s">
        <v>59831</v>
      </c>
      <c r="AZ6215" s="3" t="s">
        <v>59832</v>
      </c>
      <c r="BA6215" s="3" t="s">
        <v>59832</v>
      </c>
      <c r="BB6215" s="3" t="s">
        <v>59833</v>
      </c>
      <c r="BC6215" s="3" t="s">
        <v>142</v>
      </c>
      <c r="BD6215" s="3" t="s">
        <v>68</v>
      </c>
      <c r="BE6215" s="3" t="s">
        <v>59834</v>
      </c>
      <c r="BF6215" s="3" t="s">
        <v>59833</v>
      </c>
      <c r="BG6215" s="3" t="s">
        <v>59835</v>
      </c>
    </row>
    <row r="6216" spans="1:59" ht="57" x14ac:dyDescent="0.45">
      <c r="A6216" s="2" t="s">
        <v>59</v>
      </c>
      <c r="B6216" s="2" t="s">
        <v>60</v>
      </c>
      <c r="C6216" s="2" t="s">
        <v>59836</v>
      </c>
      <c r="D6216" s="2" t="s">
        <v>59837</v>
      </c>
      <c r="E6216" s="2" t="s">
        <v>59838</v>
      </c>
      <c r="G6216" s="3" t="s">
        <v>62</v>
      </c>
      <c r="I6216" s="3" t="s">
        <v>62</v>
      </c>
      <c r="J6216" s="3" t="s">
        <v>62</v>
      </c>
      <c r="K6216" s="3" t="s">
        <v>63</v>
      </c>
      <c r="M6216" s="2" t="s">
        <v>3459</v>
      </c>
      <c r="N6216" s="3" t="s">
        <v>1918</v>
      </c>
      <c r="P6216" s="3" t="s">
        <v>110</v>
      </c>
      <c r="Q6216" s="2" t="s">
        <v>59839</v>
      </c>
      <c r="R6216" s="3" t="s">
        <v>66</v>
      </c>
      <c r="S6216" s="4">
        <v>0</v>
      </c>
      <c r="T6216" s="4">
        <v>0</v>
      </c>
      <c r="W6216" s="5" t="s">
        <v>67</v>
      </c>
      <c r="X6216" s="5" t="s">
        <v>67</v>
      </c>
      <c r="Y6216" s="4">
        <v>5</v>
      </c>
      <c r="Z6216" s="4">
        <v>1</v>
      </c>
      <c r="AA6216" s="4">
        <v>7</v>
      </c>
      <c r="AB6216" s="4">
        <v>1</v>
      </c>
      <c r="AC6216" s="4">
        <v>6</v>
      </c>
      <c r="AD6216" s="4">
        <v>3</v>
      </c>
      <c r="AE6216" s="4">
        <v>6</v>
      </c>
      <c r="AF6216" s="4">
        <v>0</v>
      </c>
      <c r="AG6216" s="4">
        <v>2</v>
      </c>
      <c r="AH6216" s="4">
        <v>3</v>
      </c>
      <c r="AI6216" s="4">
        <v>4</v>
      </c>
      <c r="AJ6216" s="4">
        <v>0</v>
      </c>
      <c r="AK6216" s="4">
        <v>2</v>
      </c>
      <c r="AL6216" s="4">
        <v>3</v>
      </c>
      <c r="AM6216" s="4">
        <v>3</v>
      </c>
      <c r="AN6216" s="4">
        <v>0</v>
      </c>
      <c r="AO6216" s="4">
        <v>0</v>
      </c>
      <c r="AP6216" s="4">
        <v>0</v>
      </c>
      <c r="AQ6216" s="4">
        <v>3</v>
      </c>
      <c r="AR6216" s="3" t="s">
        <v>62</v>
      </c>
      <c r="AS6216" s="3" t="s">
        <v>62</v>
      </c>
      <c r="AT6216" s="3" t="s">
        <v>62</v>
      </c>
      <c r="AV6216" s="6" t="str">
        <f>HYPERLINK("http://mcgill.on.worldcat.org/oclc/1026414542","Catalog Record")</f>
        <v>Catalog Record</v>
      </c>
      <c r="AW6216" s="6" t="str">
        <f>HYPERLINK("http://www.worldcat.org/oclc/1026414542","WorldCat Record")</f>
        <v>WorldCat Record</v>
      </c>
      <c r="AX6216" s="3" t="s">
        <v>59840</v>
      </c>
      <c r="AY6216" s="3" t="s">
        <v>59841</v>
      </c>
      <c r="AZ6216" s="3" t="s">
        <v>59842</v>
      </c>
      <c r="BA6216" s="3" t="s">
        <v>59842</v>
      </c>
      <c r="BB6216" s="3" t="s">
        <v>59843</v>
      </c>
      <c r="BC6216" s="3" t="s">
        <v>142</v>
      </c>
      <c r="BD6216" s="3" t="s">
        <v>68</v>
      </c>
      <c r="BE6216" s="3" t="s">
        <v>59844</v>
      </c>
      <c r="BF6216" s="3" t="s">
        <v>59843</v>
      </c>
      <c r="BG6216" s="3" t="s">
        <v>59845</v>
      </c>
    </row>
    <row r="6217" spans="1:59" ht="57" x14ac:dyDescent="0.45">
      <c r="A6217" s="2" t="s">
        <v>59</v>
      </c>
      <c r="B6217" s="2" t="s">
        <v>60</v>
      </c>
      <c r="C6217" s="2" t="s">
        <v>59846</v>
      </c>
      <c r="D6217" s="2" t="s">
        <v>59847</v>
      </c>
      <c r="E6217" s="2" t="s">
        <v>59848</v>
      </c>
      <c r="G6217" s="3" t="s">
        <v>62</v>
      </c>
      <c r="I6217" s="3" t="s">
        <v>62</v>
      </c>
      <c r="J6217" s="3" t="s">
        <v>62</v>
      </c>
      <c r="K6217" s="3" t="s">
        <v>63</v>
      </c>
      <c r="M6217" s="2" t="s">
        <v>59849</v>
      </c>
      <c r="N6217" s="3" t="s">
        <v>1155</v>
      </c>
      <c r="P6217" s="3" t="s">
        <v>110</v>
      </c>
      <c r="Q6217" s="2" t="s">
        <v>59850</v>
      </c>
      <c r="R6217" s="3" t="s">
        <v>66</v>
      </c>
      <c r="S6217" s="4">
        <v>3</v>
      </c>
      <c r="T6217" s="4">
        <v>3</v>
      </c>
      <c r="U6217" s="5" t="s">
        <v>26468</v>
      </c>
      <c r="V6217" s="5" t="s">
        <v>26468</v>
      </c>
      <c r="W6217" s="5" t="s">
        <v>67</v>
      </c>
      <c r="X6217" s="5" t="s">
        <v>67</v>
      </c>
      <c r="Y6217" s="4">
        <v>26</v>
      </c>
      <c r="Z6217" s="4">
        <v>5</v>
      </c>
      <c r="AA6217" s="4">
        <v>13</v>
      </c>
      <c r="AB6217" s="4">
        <v>2</v>
      </c>
      <c r="AC6217" s="4">
        <v>9</v>
      </c>
      <c r="AD6217" s="4">
        <v>14</v>
      </c>
      <c r="AE6217" s="4">
        <v>20</v>
      </c>
      <c r="AF6217" s="4">
        <v>1</v>
      </c>
      <c r="AG6217" s="4">
        <v>6</v>
      </c>
      <c r="AH6217" s="4">
        <v>12</v>
      </c>
      <c r="AI6217" s="4">
        <v>14</v>
      </c>
      <c r="AJ6217" s="4">
        <v>4</v>
      </c>
      <c r="AK6217" s="4">
        <v>9</v>
      </c>
      <c r="AL6217" s="4">
        <v>9</v>
      </c>
      <c r="AM6217" s="4">
        <v>9</v>
      </c>
      <c r="AN6217" s="4">
        <v>5</v>
      </c>
      <c r="AO6217" s="4">
        <v>5</v>
      </c>
      <c r="AP6217" s="4">
        <v>4</v>
      </c>
      <c r="AQ6217" s="4">
        <v>9</v>
      </c>
      <c r="AR6217" s="3" t="s">
        <v>62</v>
      </c>
      <c r="AS6217" s="3" t="s">
        <v>62</v>
      </c>
      <c r="AT6217" s="3" t="s">
        <v>61</v>
      </c>
      <c r="AU6217" s="6" t="str">
        <f>HYPERLINK("http://catalog.hathitrust.org/Record/102178475","HathiTrust Record")</f>
        <v>HathiTrust Record</v>
      </c>
      <c r="AV6217" s="6" t="str">
        <f>HYPERLINK("http://mcgill.on.worldcat.org/oclc/820122423","Catalog Record")</f>
        <v>Catalog Record</v>
      </c>
      <c r="AW6217" s="6" t="str">
        <f>HYPERLINK("http://www.worldcat.org/oclc/820122423","WorldCat Record")</f>
        <v>WorldCat Record</v>
      </c>
      <c r="AX6217" s="3" t="s">
        <v>59851</v>
      </c>
      <c r="AY6217" s="3" t="s">
        <v>59852</v>
      </c>
      <c r="AZ6217" s="3" t="s">
        <v>59853</v>
      </c>
      <c r="BA6217" s="3" t="s">
        <v>59853</v>
      </c>
      <c r="BB6217" s="3" t="s">
        <v>59854</v>
      </c>
      <c r="BC6217" s="3" t="s">
        <v>142</v>
      </c>
      <c r="BD6217" s="3" t="s">
        <v>68</v>
      </c>
      <c r="BE6217" s="3" t="s">
        <v>59855</v>
      </c>
      <c r="BF6217" s="3" t="s">
        <v>59854</v>
      </c>
      <c r="BG6217" s="3" t="s">
        <v>59856</v>
      </c>
    </row>
    <row r="6218" spans="1:59" ht="57" x14ac:dyDescent="0.45">
      <c r="A6218" s="2" t="s">
        <v>59</v>
      </c>
      <c r="B6218" s="2" t="s">
        <v>60</v>
      </c>
      <c r="C6218" s="2" t="s">
        <v>59857</v>
      </c>
      <c r="D6218" s="2" t="s">
        <v>59858</v>
      </c>
      <c r="E6218" s="2" t="s">
        <v>59859</v>
      </c>
      <c r="G6218" s="3" t="s">
        <v>62</v>
      </c>
      <c r="I6218" s="3" t="s">
        <v>62</v>
      </c>
      <c r="J6218" s="3" t="s">
        <v>62</v>
      </c>
      <c r="K6218" s="3" t="s">
        <v>63</v>
      </c>
      <c r="M6218" s="2" t="s">
        <v>14372</v>
      </c>
      <c r="N6218" s="3" t="s">
        <v>84</v>
      </c>
      <c r="P6218" s="3" t="s">
        <v>65</v>
      </c>
      <c r="Q6218" s="2" t="s">
        <v>59860</v>
      </c>
      <c r="R6218" s="3" t="s">
        <v>66</v>
      </c>
      <c r="S6218" s="4">
        <v>63</v>
      </c>
      <c r="T6218" s="4">
        <v>63</v>
      </c>
      <c r="U6218" s="5" t="s">
        <v>13746</v>
      </c>
      <c r="V6218" s="5" t="s">
        <v>13746</v>
      </c>
      <c r="W6218" s="5" t="s">
        <v>67</v>
      </c>
      <c r="X6218" s="5" t="s">
        <v>67</v>
      </c>
      <c r="Y6218" s="4">
        <v>285</v>
      </c>
      <c r="Z6218" s="4">
        <v>16</v>
      </c>
      <c r="AA6218" s="4">
        <v>120</v>
      </c>
      <c r="AB6218" s="4">
        <v>3</v>
      </c>
      <c r="AC6218" s="4">
        <v>23</v>
      </c>
      <c r="AD6218" s="4">
        <v>69</v>
      </c>
      <c r="AE6218" s="4">
        <v>135</v>
      </c>
      <c r="AF6218" s="4">
        <v>2</v>
      </c>
      <c r="AG6218" s="4">
        <v>9</v>
      </c>
      <c r="AH6218" s="4">
        <v>60</v>
      </c>
      <c r="AI6218" s="4">
        <v>87</v>
      </c>
      <c r="AJ6218" s="4">
        <v>10</v>
      </c>
      <c r="AK6218" s="4">
        <v>27</v>
      </c>
      <c r="AL6218" s="4">
        <v>36</v>
      </c>
      <c r="AM6218" s="4">
        <v>44</v>
      </c>
      <c r="AN6218" s="4">
        <v>0</v>
      </c>
      <c r="AO6218" s="4">
        <v>0</v>
      </c>
      <c r="AP6218" s="4">
        <v>14</v>
      </c>
      <c r="AQ6218" s="4">
        <v>57</v>
      </c>
      <c r="AR6218" s="3" t="s">
        <v>62</v>
      </c>
      <c r="AS6218" s="3" t="s">
        <v>62</v>
      </c>
      <c r="AT6218" s="3" t="s">
        <v>62</v>
      </c>
      <c r="AV6218" s="6" t="str">
        <f>HYPERLINK("http://mcgill.on.worldcat.org/oclc/25371779","Catalog Record")</f>
        <v>Catalog Record</v>
      </c>
      <c r="AW6218" s="6" t="str">
        <f>HYPERLINK("http://www.worldcat.org/oclc/25371779","WorldCat Record")</f>
        <v>WorldCat Record</v>
      </c>
      <c r="AX6218" s="3" t="s">
        <v>59861</v>
      </c>
      <c r="AY6218" s="3" t="s">
        <v>59862</v>
      </c>
      <c r="AZ6218" s="3" t="s">
        <v>59863</v>
      </c>
      <c r="BA6218" s="3" t="s">
        <v>59863</v>
      </c>
      <c r="BB6218" s="3" t="s">
        <v>59864</v>
      </c>
      <c r="BC6218" s="3" t="s">
        <v>142</v>
      </c>
      <c r="BD6218" s="3" t="s">
        <v>68</v>
      </c>
      <c r="BE6218" s="3" t="s">
        <v>59865</v>
      </c>
      <c r="BF6218" s="3" t="s">
        <v>59864</v>
      </c>
      <c r="BG6218" s="3" t="s">
        <v>59866</v>
      </c>
    </row>
    <row r="6219" spans="1:59" ht="57" x14ac:dyDescent="0.45">
      <c r="A6219" s="2" t="s">
        <v>59</v>
      </c>
      <c r="B6219" s="2" t="s">
        <v>60</v>
      </c>
      <c r="C6219" s="2" t="s">
        <v>59867</v>
      </c>
      <c r="D6219" s="2" t="s">
        <v>59868</v>
      </c>
      <c r="E6219" s="2" t="s">
        <v>59869</v>
      </c>
      <c r="G6219" s="3" t="s">
        <v>62</v>
      </c>
      <c r="I6219" s="3" t="s">
        <v>62</v>
      </c>
      <c r="J6219" s="3" t="s">
        <v>62</v>
      </c>
      <c r="K6219" s="3" t="s">
        <v>63</v>
      </c>
      <c r="M6219" s="2" t="s">
        <v>59870</v>
      </c>
      <c r="N6219" s="3" t="s">
        <v>542</v>
      </c>
      <c r="P6219" s="3" t="s">
        <v>65</v>
      </c>
      <c r="R6219" s="3" t="s">
        <v>66</v>
      </c>
      <c r="S6219" s="4">
        <v>1</v>
      </c>
      <c r="T6219" s="4">
        <v>1</v>
      </c>
      <c r="U6219" s="5" t="s">
        <v>32026</v>
      </c>
      <c r="V6219" s="5" t="s">
        <v>32026</v>
      </c>
      <c r="W6219" s="5" t="s">
        <v>67</v>
      </c>
      <c r="X6219" s="5" t="s">
        <v>67</v>
      </c>
      <c r="Y6219" s="4">
        <v>23</v>
      </c>
      <c r="Z6219" s="4">
        <v>1</v>
      </c>
      <c r="AA6219" s="4">
        <v>1</v>
      </c>
      <c r="AB6219" s="4">
        <v>1</v>
      </c>
      <c r="AC6219" s="4">
        <v>1</v>
      </c>
      <c r="AD6219" s="4">
        <v>4</v>
      </c>
      <c r="AE6219" s="4">
        <v>4</v>
      </c>
      <c r="AF6219" s="4">
        <v>0</v>
      </c>
      <c r="AG6219" s="4">
        <v>0</v>
      </c>
      <c r="AH6219" s="4">
        <v>4</v>
      </c>
      <c r="AI6219" s="4">
        <v>4</v>
      </c>
      <c r="AJ6219" s="4">
        <v>0</v>
      </c>
      <c r="AK6219" s="4">
        <v>0</v>
      </c>
      <c r="AL6219" s="4">
        <v>2</v>
      </c>
      <c r="AM6219" s="4">
        <v>2</v>
      </c>
      <c r="AN6219" s="4">
        <v>0</v>
      </c>
      <c r="AO6219" s="4">
        <v>0</v>
      </c>
      <c r="AP6219" s="4">
        <v>0</v>
      </c>
      <c r="AQ6219" s="4">
        <v>0</v>
      </c>
      <c r="AR6219" s="3" t="s">
        <v>62</v>
      </c>
      <c r="AS6219" s="3" t="s">
        <v>62</v>
      </c>
      <c r="AT6219" s="3" t="s">
        <v>61</v>
      </c>
      <c r="AU6219" s="6" t="str">
        <f>HYPERLINK("http://catalog.hathitrust.org/Record/008545937","HathiTrust Record")</f>
        <v>HathiTrust Record</v>
      </c>
      <c r="AV6219" s="6" t="str">
        <f>HYPERLINK("http://mcgill.on.worldcat.org/oclc/47913891","Catalog Record")</f>
        <v>Catalog Record</v>
      </c>
      <c r="AW6219" s="6" t="str">
        <f>HYPERLINK("http://www.worldcat.org/oclc/47913891","WorldCat Record")</f>
        <v>WorldCat Record</v>
      </c>
      <c r="AX6219" s="3" t="s">
        <v>59871</v>
      </c>
      <c r="AY6219" s="3" t="s">
        <v>59872</v>
      </c>
      <c r="AZ6219" s="3" t="s">
        <v>59873</v>
      </c>
      <c r="BA6219" s="3" t="s">
        <v>59873</v>
      </c>
      <c r="BB6219" s="3" t="s">
        <v>59874</v>
      </c>
      <c r="BC6219" s="3" t="s">
        <v>142</v>
      </c>
      <c r="BD6219" s="3" t="s">
        <v>68</v>
      </c>
      <c r="BF6219" s="3" t="s">
        <v>59874</v>
      </c>
      <c r="BG6219" s="3" t="s">
        <v>59875</v>
      </c>
    </row>
    <row r="6220" spans="1:59" ht="57" x14ac:dyDescent="0.45">
      <c r="A6220" s="2" t="s">
        <v>59</v>
      </c>
      <c r="B6220" s="2" t="s">
        <v>60</v>
      </c>
      <c r="C6220" s="2" t="s">
        <v>59876</v>
      </c>
      <c r="D6220" s="2" t="s">
        <v>59877</v>
      </c>
      <c r="E6220" s="2" t="s">
        <v>59878</v>
      </c>
      <c r="G6220" s="3" t="s">
        <v>62</v>
      </c>
      <c r="I6220" s="3" t="s">
        <v>62</v>
      </c>
      <c r="J6220" s="3" t="s">
        <v>62</v>
      </c>
      <c r="K6220" s="3" t="s">
        <v>63</v>
      </c>
      <c r="M6220" s="2" t="s">
        <v>1781</v>
      </c>
      <c r="N6220" s="3" t="s">
        <v>149</v>
      </c>
      <c r="P6220" s="3" t="s">
        <v>65</v>
      </c>
      <c r="Q6220" s="2" t="s">
        <v>59879</v>
      </c>
      <c r="R6220" s="3" t="s">
        <v>66</v>
      </c>
      <c r="S6220" s="4">
        <v>2</v>
      </c>
      <c r="T6220" s="4">
        <v>2</v>
      </c>
      <c r="U6220" s="5" t="s">
        <v>22961</v>
      </c>
      <c r="V6220" s="5" t="s">
        <v>22961</v>
      </c>
      <c r="W6220" s="5" t="s">
        <v>67</v>
      </c>
      <c r="X6220" s="5" t="s">
        <v>67</v>
      </c>
      <c r="Y6220" s="4">
        <v>80</v>
      </c>
      <c r="Z6220" s="4">
        <v>4</v>
      </c>
      <c r="AA6220" s="4">
        <v>85</v>
      </c>
      <c r="AB6220" s="4">
        <v>1</v>
      </c>
      <c r="AC6220" s="4">
        <v>18</v>
      </c>
      <c r="AD6220" s="4">
        <v>30</v>
      </c>
      <c r="AE6220" s="4">
        <v>106</v>
      </c>
      <c r="AF6220" s="4">
        <v>0</v>
      </c>
      <c r="AG6220" s="4">
        <v>8</v>
      </c>
      <c r="AH6220" s="4">
        <v>29</v>
      </c>
      <c r="AI6220" s="4">
        <v>74</v>
      </c>
      <c r="AJ6220" s="4">
        <v>3</v>
      </c>
      <c r="AK6220" s="4">
        <v>18</v>
      </c>
      <c r="AL6220" s="4">
        <v>21</v>
      </c>
      <c r="AM6220" s="4">
        <v>39</v>
      </c>
      <c r="AN6220" s="4">
        <v>0</v>
      </c>
      <c r="AO6220" s="4">
        <v>0</v>
      </c>
      <c r="AP6220" s="4">
        <v>3</v>
      </c>
      <c r="AQ6220" s="4">
        <v>39</v>
      </c>
      <c r="AR6220" s="3" t="s">
        <v>62</v>
      </c>
      <c r="AS6220" s="3" t="s">
        <v>62</v>
      </c>
      <c r="AT6220" s="3" t="s">
        <v>62</v>
      </c>
      <c r="AV6220" s="6" t="str">
        <f>HYPERLINK("http://mcgill.on.worldcat.org/oclc/496962172","Catalog Record")</f>
        <v>Catalog Record</v>
      </c>
      <c r="AW6220" s="6" t="str">
        <f>HYPERLINK("http://www.worldcat.org/oclc/496962172","WorldCat Record")</f>
        <v>WorldCat Record</v>
      </c>
      <c r="AX6220" s="3" t="s">
        <v>59880</v>
      </c>
      <c r="AY6220" s="3" t="s">
        <v>59881</v>
      </c>
      <c r="AZ6220" s="3" t="s">
        <v>59882</v>
      </c>
      <c r="BA6220" s="3" t="s">
        <v>59882</v>
      </c>
      <c r="BB6220" s="3" t="s">
        <v>59883</v>
      </c>
      <c r="BC6220" s="3" t="s">
        <v>142</v>
      </c>
      <c r="BD6220" s="3" t="s">
        <v>68</v>
      </c>
      <c r="BE6220" s="3" t="s">
        <v>59884</v>
      </c>
      <c r="BF6220" s="3" t="s">
        <v>59883</v>
      </c>
      <c r="BG6220" s="3" t="s">
        <v>59885</v>
      </c>
    </row>
    <row r="6221" spans="1:59" ht="57" x14ac:dyDescent="0.45">
      <c r="A6221" s="2" t="s">
        <v>59</v>
      </c>
      <c r="B6221" s="2" t="s">
        <v>60</v>
      </c>
      <c r="C6221" s="2" t="s">
        <v>59886</v>
      </c>
      <c r="D6221" s="2" t="s">
        <v>59887</v>
      </c>
      <c r="E6221" s="2" t="s">
        <v>59888</v>
      </c>
      <c r="G6221" s="3" t="s">
        <v>62</v>
      </c>
      <c r="I6221" s="3" t="s">
        <v>62</v>
      </c>
      <c r="J6221" s="3" t="s">
        <v>62</v>
      </c>
      <c r="K6221" s="3" t="s">
        <v>63</v>
      </c>
      <c r="M6221" s="2" t="s">
        <v>1781</v>
      </c>
      <c r="N6221" s="3" t="s">
        <v>149</v>
      </c>
      <c r="P6221" s="3" t="s">
        <v>65</v>
      </c>
      <c r="Q6221" s="2" t="s">
        <v>59889</v>
      </c>
      <c r="R6221" s="3" t="s">
        <v>66</v>
      </c>
      <c r="S6221" s="4">
        <v>1</v>
      </c>
      <c r="T6221" s="4">
        <v>1</v>
      </c>
      <c r="U6221" s="5" t="s">
        <v>59890</v>
      </c>
      <c r="V6221" s="5" t="s">
        <v>59890</v>
      </c>
      <c r="W6221" s="5" t="s">
        <v>67</v>
      </c>
      <c r="X6221" s="5" t="s">
        <v>67</v>
      </c>
      <c r="Y6221" s="4">
        <v>40</v>
      </c>
      <c r="Z6221" s="4">
        <v>7</v>
      </c>
      <c r="AA6221" s="4">
        <v>13</v>
      </c>
      <c r="AB6221" s="4">
        <v>1</v>
      </c>
      <c r="AC6221" s="4">
        <v>2</v>
      </c>
      <c r="AD6221" s="4">
        <v>17</v>
      </c>
      <c r="AE6221" s="4">
        <v>22</v>
      </c>
      <c r="AF6221" s="4">
        <v>0</v>
      </c>
      <c r="AG6221" s="4">
        <v>1</v>
      </c>
      <c r="AH6221" s="4">
        <v>15</v>
      </c>
      <c r="AI6221" s="4">
        <v>17</v>
      </c>
      <c r="AJ6221" s="4">
        <v>5</v>
      </c>
      <c r="AK6221" s="4">
        <v>8</v>
      </c>
      <c r="AL6221" s="4">
        <v>6</v>
      </c>
      <c r="AM6221" s="4">
        <v>6</v>
      </c>
      <c r="AN6221" s="4">
        <v>0</v>
      </c>
      <c r="AO6221" s="4">
        <v>0</v>
      </c>
      <c r="AP6221" s="4">
        <v>5</v>
      </c>
      <c r="AQ6221" s="4">
        <v>9</v>
      </c>
      <c r="AR6221" s="3" t="s">
        <v>62</v>
      </c>
      <c r="AS6221" s="3" t="s">
        <v>62</v>
      </c>
      <c r="AT6221" s="3" t="s">
        <v>62</v>
      </c>
      <c r="AV6221" s="6" t="str">
        <f>HYPERLINK("http://mcgill.on.worldcat.org/oclc/698477027","Catalog Record")</f>
        <v>Catalog Record</v>
      </c>
      <c r="AW6221" s="6" t="str">
        <f>HYPERLINK("http://www.worldcat.org/oclc/698477027","WorldCat Record")</f>
        <v>WorldCat Record</v>
      </c>
      <c r="AX6221" s="3" t="s">
        <v>59891</v>
      </c>
      <c r="AY6221" s="3" t="s">
        <v>59892</v>
      </c>
      <c r="AZ6221" s="3" t="s">
        <v>59893</v>
      </c>
      <c r="BA6221" s="3" t="s">
        <v>59893</v>
      </c>
      <c r="BB6221" s="3" t="s">
        <v>59894</v>
      </c>
      <c r="BC6221" s="3" t="s">
        <v>142</v>
      </c>
      <c r="BD6221" s="3" t="s">
        <v>68</v>
      </c>
      <c r="BE6221" s="3" t="s">
        <v>59895</v>
      </c>
      <c r="BF6221" s="3" t="s">
        <v>59894</v>
      </c>
      <c r="BG6221" s="3" t="s">
        <v>59896</v>
      </c>
    </row>
    <row r="6222" spans="1:59" ht="57" x14ac:dyDescent="0.45">
      <c r="A6222" s="2" t="s">
        <v>59</v>
      </c>
      <c r="B6222" s="2" t="s">
        <v>60</v>
      </c>
      <c r="C6222" s="2" t="s">
        <v>59897</v>
      </c>
      <c r="D6222" s="2" t="s">
        <v>59898</v>
      </c>
      <c r="E6222" s="2" t="s">
        <v>59899</v>
      </c>
      <c r="G6222" s="3" t="s">
        <v>62</v>
      </c>
      <c r="I6222" s="3" t="s">
        <v>62</v>
      </c>
      <c r="J6222" s="3" t="s">
        <v>62</v>
      </c>
      <c r="K6222" s="3" t="s">
        <v>63</v>
      </c>
      <c r="M6222" s="2" t="s">
        <v>59900</v>
      </c>
      <c r="N6222" s="3" t="s">
        <v>820</v>
      </c>
      <c r="P6222" s="3" t="s">
        <v>110</v>
      </c>
      <c r="Q6222" s="2" t="s">
        <v>59901</v>
      </c>
      <c r="R6222" s="3" t="s">
        <v>66</v>
      </c>
      <c r="S6222" s="4">
        <v>6</v>
      </c>
      <c r="T6222" s="4">
        <v>6</v>
      </c>
      <c r="U6222" s="5" t="s">
        <v>24983</v>
      </c>
      <c r="V6222" s="5" t="s">
        <v>24983</v>
      </c>
      <c r="W6222" s="5" t="s">
        <v>67</v>
      </c>
      <c r="X6222" s="5" t="s">
        <v>67</v>
      </c>
      <c r="Y6222" s="4">
        <v>22</v>
      </c>
      <c r="Z6222" s="4">
        <v>2</v>
      </c>
      <c r="AA6222" s="4">
        <v>8</v>
      </c>
      <c r="AB6222" s="4">
        <v>1</v>
      </c>
      <c r="AC6222" s="4">
        <v>6</v>
      </c>
      <c r="AD6222" s="4">
        <v>6</v>
      </c>
      <c r="AE6222" s="4">
        <v>10</v>
      </c>
      <c r="AF6222" s="4">
        <v>0</v>
      </c>
      <c r="AG6222" s="4">
        <v>3</v>
      </c>
      <c r="AH6222" s="4">
        <v>6</v>
      </c>
      <c r="AI6222" s="4">
        <v>8</v>
      </c>
      <c r="AJ6222" s="4">
        <v>1</v>
      </c>
      <c r="AK6222" s="4">
        <v>4</v>
      </c>
      <c r="AL6222" s="4">
        <v>5</v>
      </c>
      <c r="AM6222" s="4">
        <v>5</v>
      </c>
      <c r="AN6222" s="4">
        <v>0</v>
      </c>
      <c r="AO6222" s="4">
        <v>0</v>
      </c>
      <c r="AP6222" s="4">
        <v>1</v>
      </c>
      <c r="AQ6222" s="4">
        <v>4</v>
      </c>
      <c r="AR6222" s="3" t="s">
        <v>62</v>
      </c>
      <c r="AS6222" s="3" t="s">
        <v>62</v>
      </c>
      <c r="AT6222" s="3" t="s">
        <v>61</v>
      </c>
      <c r="AU6222" s="6" t="str">
        <f>HYPERLINK("http://catalog.hathitrust.org/Record/005866730","HathiTrust Record")</f>
        <v>HathiTrust Record</v>
      </c>
      <c r="AV6222" s="6" t="str">
        <f>HYPERLINK("http://mcgill.on.worldcat.org/oclc/236331875","Catalog Record")</f>
        <v>Catalog Record</v>
      </c>
      <c r="AW6222" s="6" t="str">
        <f>HYPERLINK("http://www.worldcat.org/oclc/236331875","WorldCat Record")</f>
        <v>WorldCat Record</v>
      </c>
      <c r="AX6222" s="3" t="s">
        <v>59902</v>
      </c>
      <c r="AY6222" s="3" t="s">
        <v>59903</v>
      </c>
      <c r="AZ6222" s="3" t="s">
        <v>59904</v>
      </c>
      <c r="BA6222" s="3" t="s">
        <v>59904</v>
      </c>
      <c r="BB6222" s="3" t="s">
        <v>59905</v>
      </c>
      <c r="BC6222" s="3" t="s">
        <v>142</v>
      </c>
      <c r="BD6222" s="3" t="s">
        <v>68</v>
      </c>
      <c r="BE6222" s="3" t="s">
        <v>59906</v>
      </c>
      <c r="BF6222" s="3" t="s">
        <v>59905</v>
      </c>
      <c r="BG6222" s="3" t="s">
        <v>59907</v>
      </c>
    </row>
    <row r="6223" spans="1:59" ht="57" x14ac:dyDescent="0.45">
      <c r="A6223" s="2" t="s">
        <v>59</v>
      </c>
      <c r="B6223" s="2" t="s">
        <v>60</v>
      </c>
      <c r="C6223" s="2" t="s">
        <v>59908</v>
      </c>
      <c r="D6223" s="2" t="s">
        <v>59909</v>
      </c>
      <c r="E6223" s="2" t="s">
        <v>59910</v>
      </c>
      <c r="F6223" s="3" t="s">
        <v>86</v>
      </c>
      <c r="G6223" s="3" t="s">
        <v>61</v>
      </c>
      <c r="I6223" s="3" t="s">
        <v>62</v>
      </c>
      <c r="J6223" s="3" t="s">
        <v>62</v>
      </c>
      <c r="K6223" s="3" t="s">
        <v>63</v>
      </c>
      <c r="M6223" s="2" t="s">
        <v>59911</v>
      </c>
      <c r="N6223" s="3" t="s">
        <v>1465</v>
      </c>
      <c r="P6223" s="3" t="s">
        <v>65</v>
      </c>
      <c r="Q6223" s="2" t="s">
        <v>33186</v>
      </c>
      <c r="R6223" s="3" t="s">
        <v>66</v>
      </c>
      <c r="S6223" s="4">
        <v>5</v>
      </c>
      <c r="T6223" s="4">
        <v>23</v>
      </c>
      <c r="U6223" s="5" t="s">
        <v>59912</v>
      </c>
      <c r="V6223" s="5" t="s">
        <v>59912</v>
      </c>
      <c r="W6223" s="5" t="s">
        <v>67</v>
      </c>
      <c r="X6223" s="5" t="s">
        <v>67</v>
      </c>
      <c r="Y6223" s="4">
        <v>75</v>
      </c>
      <c r="Z6223" s="4">
        <v>3</v>
      </c>
      <c r="AA6223" s="4">
        <v>4</v>
      </c>
      <c r="AB6223" s="4">
        <v>1</v>
      </c>
      <c r="AC6223" s="4">
        <v>2</v>
      </c>
      <c r="AD6223" s="4">
        <v>13</v>
      </c>
      <c r="AE6223" s="4">
        <v>15</v>
      </c>
      <c r="AF6223" s="4">
        <v>0</v>
      </c>
      <c r="AG6223" s="4">
        <v>1</v>
      </c>
      <c r="AH6223" s="4">
        <v>12</v>
      </c>
      <c r="AI6223" s="4">
        <v>13</v>
      </c>
      <c r="AJ6223" s="4">
        <v>2</v>
      </c>
      <c r="AK6223" s="4">
        <v>3</v>
      </c>
      <c r="AL6223" s="4">
        <v>7</v>
      </c>
      <c r="AM6223" s="4">
        <v>8</v>
      </c>
      <c r="AN6223" s="4">
        <v>0</v>
      </c>
      <c r="AO6223" s="4">
        <v>0</v>
      </c>
      <c r="AP6223" s="4">
        <v>2</v>
      </c>
      <c r="AQ6223" s="4">
        <v>2</v>
      </c>
      <c r="AR6223" s="3" t="s">
        <v>62</v>
      </c>
      <c r="AS6223" s="3" t="s">
        <v>62</v>
      </c>
      <c r="AT6223" s="3" t="s">
        <v>62</v>
      </c>
      <c r="AV6223" s="6" t="str">
        <f>HYPERLINK("http://mcgill.on.worldcat.org/oclc/176920763","Catalog Record")</f>
        <v>Catalog Record</v>
      </c>
      <c r="AW6223" s="6" t="str">
        <f>HYPERLINK("http://www.worldcat.org/oclc/176920763","WorldCat Record")</f>
        <v>WorldCat Record</v>
      </c>
      <c r="AX6223" s="3" t="s">
        <v>59913</v>
      </c>
      <c r="AY6223" s="3" t="s">
        <v>59914</v>
      </c>
      <c r="AZ6223" s="3" t="s">
        <v>59915</v>
      </c>
      <c r="BA6223" s="3" t="s">
        <v>59915</v>
      </c>
      <c r="BB6223" s="3" t="s">
        <v>59916</v>
      </c>
      <c r="BC6223" s="3" t="s">
        <v>142</v>
      </c>
      <c r="BD6223" s="3" t="s">
        <v>308</v>
      </c>
      <c r="BE6223" s="3" t="s">
        <v>59917</v>
      </c>
      <c r="BF6223" s="3" t="s">
        <v>59916</v>
      </c>
      <c r="BG6223" s="3" t="s">
        <v>59918</v>
      </c>
    </row>
    <row r="6224" spans="1:59" ht="57" x14ac:dyDescent="0.45">
      <c r="A6224" s="2" t="s">
        <v>59</v>
      </c>
      <c r="B6224" s="2" t="s">
        <v>60</v>
      </c>
      <c r="C6224" s="2" t="s">
        <v>59908</v>
      </c>
      <c r="D6224" s="2" t="s">
        <v>59909</v>
      </c>
      <c r="E6224" s="2" t="s">
        <v>59910</v>
      </c>
      <c r="F6224" s="3" t="s">
        <v>90</v>
      </c>
      <c r="G6224" s="3" t="s">
        <v>61</v>
      </c>
      <c r="I6224" s="3" t="s">
        <v>62</v>
      </c>
      <c r="J6224" s="3" t="s">
        <v>62</v>
      </c>
      <c r="K6224" s="3" t="s">
        <v>63</v>
      </c>
      <c r="M6224" s="2" t="s">
        <v>59911</v>
      </c>
      <c r="N6224" s="3" t="s">
        <v>1465</v>
      </c>
      <c r="P6224" s="3" t="s">
        <v>65</v>
      </c>
      <c r="Q6224" s="2" t="s">
        <v>33186</v>
      </c>
      <c r="R6224" s="3" t="s">
        <v>66</v>
      </c>
      <c r="S6224" s="4">
        <v>4</v>
      </c>
      <c r="T6224" s="4">
        <v>23</v>
      </c>
      <c r="U6224" s="5" t="s">
        <v>59912</v>
      </c>
      <c r="V6224" s="5" t="s">
        <v>59912</v>
      </c>
      <c r="W6224" s="5" t="s">
        <v>67</v>
      </c>
      <c r="X6224" s="5" t="s">
        <v>67</v>
      </c>
      <c r="Y6224" s="4">
        <v>75</v>
      </c>
      <c r="Z6224" s="4">
        <v>3</v>
      </c>
      <c r="AA6224" s="4">
        <v>4</v>
      </c>
      <c r="AB6224" s="4">
        <v>1</v>
      </c>
      <c r="AC6224" s="4">
        <v>2</v>
      </c>
      <c r="AD6224" s="4">
        <v>13</v>
      </c>
      <c r="AE6224" s="4">
        <v>15</v>
      </c>
      <c r="AF6224" s="4">
        <v>0</v>
      </c>
      <c r="AG6224" s="4">
        <v>1</v>
      </c>
      <c r="AH6224" s="4">
        <v>12</v>
      </c>
      <c r="AI6224" s="4">
        <v>13</v>
      </c>
      <c r="AJ6224" s="4">
        <v>2</v>
      </c>
      <c r="AK6224" s="4">
        <v>3</v>
      </c>
      <c r="AL6224" s="4">
        <v>7</v>
      </c>
      <c r="AM6224" s="4">
        <v>8</v>
      </c>
      <c r="AN6224" s="4">
        <v>0</v>
      </c>
      <c r="AO6224" s="4">
        <v>0</v>
      </c>
      <c r="AP6224" s="4">
        <v>2</v>
      </c>
      <c r="AQ6224" s="4">
        <v>2</v>
      </c>
      <c r="AR6224" s="3" t="s">
        <v>62</v>
      </c>
      <c r="AS6224" s="3" t="s">
        <v>62</v>
      </c>
      <c r="AT6224" s="3" t="s">
        <v>62</v>
      </c>
      <c r="AV6224" s="6" t="str">
        <f>HYPERLINK("http://mcgill.on.worldcat.org/oclc/176920763","Catalog Record")</f>
        <v>Catalog Record</v>
      </c>
      <c r="AW6224" s="6" t="str">
        <f>HYPERLINK("http://www.worldcat.org/oclc/176920763","WorldCat Record")</f>
        <v>WorldCat Record</v>
      </c>
      <c r="AX6224" s="3" t="s">
        <v>59913</v>
      </c>
      <c r="AY6224" s="3" t="s">
        <v>59914</v>
      </c>
      <c r="AZ6224" s="3" t="s">
        <v>59915</v>
      </c>
      <c r="BA6224" s="3" t="s">
        <v>59915</v>
      </c>
      <c r="BB6224" s="3" t="s">
        <v>59919</v>
      </c>
      <c r="BC6224" s="3" t="s">
        <v>142</v>
      </c>
      <c r="BD6224" s="3" t="s">
        <v>308</v>
      </c>
      <c r="BE6224" s="3" t="s">
        <v>59917</v>
      </c>
      <c r="BF6224" s="3" t="s">
        <v>59919</v>
      </c>
      <c r="BG6224" s="3" t="s">
        <v>59920</v>
      </c>
    </row>
    <row r="6225" spans="1:59" ht="57" x14ac:dyDescent="0.45">
      <c r="A6225" s="2" t="s">
        <v>59</v>
      </c>
      <c r="B6225" s="2" t="s">
        <v>60</v>
      </c>
      <c r="C6225" s="2" t="s">
        <v>59908</v>
      </c>
      <c r="D6225" s="2" t="s">
        <v>59909</v>
      </c>
      <c r="E6225" s="2" t="s">
        <v>59910</v>
      </c>
      <c r="F6225" s="3" t="s">
        <v>88</v>
      </c>
      <c r="G6225" s="3" t="s">
        <v>61</v>
      </c>
      <c r="I6225" s="3" t="s">
        <v>62</v>
      </c>
      <c r="J6225" s="3" t="s">
        <v>62</v>
      </c>
      <c r="K6225" s="3" t="s">
        <v>63</v>
      </c>
      <c r="M6225" s="2" t="s">
        <v>59911</v>
      </c>
      <c r="N6225" s="3" t="s">
        <v>1465</v>
      </c>
      <c r="P6225" s="3" t="s">
        <v>65</v>
      </c>
      <c r="Q6225" s="2" t="s">
        <v>33186</v>
      </c>
      <c r="R6225" s="3" t="s">
        <v>66</v>
      </c>
      <c r="S6225" s="4">
        <v>6</v>
      </c>
      <c r="T6225" s="4">
        <v>23</v>
      </c>
      <c r="U6225" s="5" t="s">
        <v>59912</v>
      </c>
      <c r="V6225" s="5" t="s">
        <v>59912</v>
      </c>
      <c r="W6225" s="5" t="s">
        <v>67</v>
      </c>
      <c r="X6225" s="5" t="s">
        <v>67</v>
      </c>
      <c r="Y6225" s="4">
        <v>75</v>
      </c>
      <c r="Z6225" s="4">
        <v>3</v>
      </c>
      <c r="AA6225" s="4">
        <v>4</v>
      </c>
      <c r="AB6225" s="4">
        <v>1</v>
      </c>
      <c r="AC6225" s="4">
        <v>2</v>
      </c>
      <c r="AD6225" s="4">
        <v>13</v>
      </c>
      <c r="AE6225" s="4">
        <v>15</v>
      </c>
      <c r="AF6225" s="4">
        <v>0</v>
      </c>
      <c r="AG6225" s="4">
        <v>1</v>
      </c>
      <c r="AH6225" s="4">
        <v>12</v>
      </c>
      <c r="AI6225" s="4">
        <v>13</v>
      </c>
      <c r="AJ6225" s="4">
        <v>2</v>
      </c>
      <c r="AK6225" s="4">
        <v>3</v>
      </c>
      <c r="AL6225" s="4">
        <v>7</v>
      </c>
      <c r="AM6225" s="4">
        <v>8</v>
      </c>
      <c r="AN6225" s="4">
        <v>0</v>
      </c>
      <c r="AO6225" s="4">
        <v>0</v>
      </c>
      <c r="AP6225" s="4">
        <v>2</v>
      </c>
      <c r="AQ6225" s="4">
        <v>2</v>
      </c>
      <c r="AR6225" s="3" t="s">
        <v>62</v>
      </c>
      <c r="AS6225" s="3" t="s">
        <v>62</v>
      </c>
      <c r="AT6225" s="3" t="s">
        <v>62</v>
      </c>
      <c r="AV6225" s="6" t="str">
        <f>HYPERLINK("http://mcgill.on.worldcat.org/oclc/176920763","Catalog Record")</f>
        <v>Catalog Record</v>
      </c>
      <c r="AW6225" s="6" t="str">
        <f>HYPERLINK("http://www.worldcat.org/oclc/176920763","WorldCat Record")</f>
        <v>WorldCat Record</v>
      </c>
      <c r="AX6225" s="3" t="s">
        <v>59913</v>
      </c>
      <c r="AY6225" s="3" t="s">
        <v>59914</v>
      </c>
      <c r="AZ6225" s="3" t="s">
        <v>59915</v>
      </c>
      <c r="BA6225" s="3" t="s">
        <v>59915</v>
      </c>
      <c r="BB6225" s="3" t="s">
        <v>59921</v>
      </c>
      <c r="BC6225" s="3" t="s">
        <v>142</v>
      </c>
      <c r="BD6225" s="3" t="s">
        <v>308</v>
      </c>
      <c r="BE6225" s="3" t="s">
        <v>59917</v>
      </c>
      <c r="BF6225" s="3" t="s">
        <v>59921</v>
      </c>
      <c r="BG6225" s="3" t="s">
        <v>59922</v>
      </c>
    </row>
    <row r="6226" spans="1:59" ht="57" x14ac:dyDescent="0.45">
      <c r="A6226" s="2" t="s">
        <v>59</v>
      </c>
      <c r="B6226" s="2" t="s">
        <v>60</v>
      </c>
      <c r="C6226" s="2" t="s">
        <v>59908</v>
      </c>
      <c r="D6226" s="2" t="s">
        <v>59909</v>
      </c>
      <c r="E6226" s="2" t="s">
        <v>59910</v>
      </c>
      <c r="F6226" s="3" t="s">
        <v>87</v>
      </c>
      <c r="G6226" s="3" t="s">
        <v>61</v>
      </c>
      <c r="I6226" s="3" t="s">
        <v>62</v>
      </c>
      <c r="J6226" s="3" t="s">
        <v>62</v>
      </c>
      <c r="K6226" s="3" t="s">
        <v>63</v>
      </c>
      <c r="M6226" s="2" t="s">
        <v>59911</v>
      </c>
      <c r="N6226" s="3" t="s">
        <v>1465</v>
      </c>
      <c r="P6226" s="3" t="s">
        <v>65</v>
      </c>
      <c r="Q6226" s="2" t="s">
        <v>33186</v>
      </c>
      <c r="R6226" s="3" t="s">
        <v>66</v>
      </c>
      <c r="S6226" s="4">
        <v>8</v>
      </c>
      <c r="T6226" s="4">
        <v>23</v>
      </c>
      <c r="U6226" s="5" t="s">
        <v>59912</v>
      </c>
      <c r="V6226" s="5" t="s">
        <v>59912</v>
      </c>
      <c r="W6226" s="5" t="s">
        <v>67</v>
      </c>
      <c r="X6226" s="5" t="s">
        <v>67</v>
      </c>
      <c r="Y6226" s="4">
        <v>75</v>
      </c>
      <c r="Z6226" s="4">
        <v>3</v>
      </c>
      <c r="AA6226" s="4">
        <v>4</v>
      </c>
      <c r="AB6226" s="4">
        <v>1</v>
      </c>
      <c r="AC6226" s="4">
        <v>2</v>
      </c>
      <c r="AD6226" s="4">
        <v>13</v>
      </c>
      <c r="AE6226" s="4">
        <v>15</v>
      </c>
      <c r="AF6226" s="4">
        <v>0</v>
      </c>
      <c r="AG6226" s="4">
        <v>1</v>
      </c>
      <c r="AH6226" s="4">
        <v>12</v>
      </c>
      <c r="AI6226" s="4">
        <v>13</v>
      </c>
      <c r="AJ6226" s="4">
        <v>2</v>
      </c>
      <c r="AK6226" s="4">
        <v>3</v>
      </c>
      <c r="AL6226" s="4">
        <v>7</v>
      </c>
      <c r="AM6226" s="4">
        <v>8</v>
      </c>
      <c r="AN6226" s="4">
        <v>0</v>
      </c>
      <c r="AO6226" s="4">
        <v>0</v>
      </c>
      <c r="AP6226" s="4">
        <v>2</v>
      </c>
      <c r="AQ6226" s="4">
        <v>2</v>
      </c>
      <c r="AR6226" s="3" t="s">
        <v>62</v>
      </c>
      <c r="AS6226" s="3" t="s">
        <v>62</v>
      </c>
      <c r="AT6226" s="3" t="s">
        <v>62</v>
      </c>
      <c r="AV6226" s="6" t="str">
        <f>HYPERLINK("http://mcgill.on.worldcat.org/oclc/176920763","Catalog Record")</f>
        <v>Catalog Record</v>
      </c>
      <c r="AW6226" s="6" t="str">
        <f>HYPERLINK("http://www.worldcat.org/oclc/176920763","WorldCat Record")</f>
        <v>WorldCat Record</v>
      </c>
      <c r="AX6226" s="3" t="s">
        <v>59913</v>
      </c>
      <c r="AY6226" s="3" t="s">
        <v>59914</v>
      </c>
      <c r="AZ6226" s="3" t="s">
        <v>59915</v>
      </c>
      <c r="BA6226" s="3" t="s">
        <v>59915</v>
      </c>
      <c r="BB6226" s="3" t="s">
        <v>59923</v>
      </c>
      <c r="BC6226" s="3" t="s">
        <v>142</v>
      </c>
      <c r="BD6226" s="3" t="s">
        <v>308</v>
      </c>
      <c r="BE6226" s="3" t="s">
        <v>59917</v>
      </c>
      <c r="BF6226" s="3" t="s">
        <v>59923</v>
      </c>
      <c r="BG6226" s="3" t="s">
        <v>59924</v>
      </c>
    </row>
    <row r="6227" spans="1:59" ht="57" x14ac:dyDescent="0.45">
      <c r="A6227" s="2" t="s">
        <v>59</v>
      </c>
      <c r="B6227" s="2" t="s">
        <v>60</v>
      </c>
      <c r="C6227" s="2" t="s">
        <v>59925</v>
      </c>
      <c r="D6227" s="2" t="s">
        <v>59926</v>
      </c>
      <c r="E6227" s="2" t="s">
        <v>59927</v>
      </c>
      <c r="G6227" s="3" t="s">
        <v>62</v>
      </c>
      <c r="I6227" s="3" t="s">
        <v>62</v>
      </c>
      <c r="J6227" s="3" t="s">
        <v>62</v>
      </c>
      <c r="K6227" s="3" t="s">
        <v>63</v>
      </c>
      <c r="M6227" s="2" t="s">
        <v>37690</v>
      </c>
      <c r="N6227" s="3" t="s">
        <v>1604</v>
      </c>
      <c r="P6227" s="3" t="s">
        <v>65</v>
      </c>
      <c r="Q6227" s="2" t="s">
        <v>59928</v>
      </c>
      <c r="R6227" s="3" t="s">
        <v>66</v>
      </c>
      <c r="S6227" s="4">
        <v>28</v>
      </c>
      <c r="T6227" s="4">
        <v>28</v>
      </c>
      <c r="U6227" s="5" t="s">
        <v>7484</v>
      </c>
      <c r="V6227" s="5" t="s">
        <v>7484</v>
      </c>
      <c r="W6227" s="5" t="s">
        <v>67</v>
      </c>
      <c r="X6227" s="5" t="s">
        <v>67</v>
      </c>
      <c r="Y6227" s="4">
        <v>158</v>
      </c>
      <c r="Z6227" s="4">
        <v>12</v>
      </c>
      <c r="AA6227" s="4">
        <v>96</v>
      </c>
      <c r="AB6227" s="4">
        <v>2</v>
      </c>
      <c r="AC6227" s="4">
        <v>18</v>
      </c>
      <c r="AD6227" s="4">
        <v>57</v>
      </c>
      <c r="AE6227" s="4">
        <v>119</v>
      </c>
      <c r="AF6227" s="4">
        <v>1</v>
      </c>
      <c r="AG6227" s="4">
        <v>8</v>
      </c>
      <c r="AH6227" s="4">
        <v>50</v>
      </c>
      <c r="AI6227" s="4">
        <v>82</v>
      </c>
      <c r="AJ6227" s="4">
        <v>9</v>
      </c>
      <c r="AK6227" s="4">
        <v>22</v>
      </c>
      <c r="AL6227" s="4">
        <v>31</v>
      </c>
      <c r="AM6227" s="4">
        <v>45</v>
      </c>
      <c r="AN6227" s="4">
        <v>0</v>
      </c>
      <c r="AO6227" s="4">
        <v>0</v>
      </c>
      <c r="AP6227" s="4">
        <v>10</v>
      </c>
      <c r="AQ6227" s="4">
        <v>44</v>
      </c>
      <c r="AR6227" s="3" t="s">
        <v>62</v>
      </c>
      <c r="AS6227" s="3" t="s">
        <v>62</v>
      </c>
      <c r="AT6227" s="3" t="s">
        <v>61</v>
      </c>
      <c r="AU6227" s="6" t="str">
        <f>HYPERLINK("http://catalog.hathitrust.org/Record/002906635","HathiTrust Record")</f>
        <v>HathiTrust Record</v>
      </c>
      <c r="AV6227" s="6" t="str">
        <f>HYPERLINK("http://mcgill.on.worldcat.org/oclc/29359529","Catalog Record")</f>
        <v>Catalog Record</v>
      </c>
      <c r="AW6227" s="6" t="str">
        <f>HYPERLINK("http://www.worldcat.org/oclc/29359529","WorldCat Record")</f>
        <v>WorldCat Record</v>
      </c>
      <c r="AX6227" s="3" t="s">
        <v>59929</v>
      </c>
      <c r="AY6227" s="3" t="s">
        <v>59930</v>
      </c>
      <c r="AZ6227" s="3" t="s">
        <v>59931</v>
      </c>
      <c r="BA6227" s="3" t="s">
        <v>59931</v>
      </c>
      <c r="BB6227" s="3" t="s">
        <v>59932</v>
      </c>
      <c r="BC6227" s="3" t="s">
        <v>142</v>
      </c>
      <c r="BD6227" s="3" t="s">
        <v>68</v>
      </c>
      <c r="BE6227" s="3" t="s">
        <v>59933</v>
      </c>
      <c r="BF6227" s="3" t="s">
        <v>59932</v>
      </c>
      <c r="BG6227" s="3" t="s">
        <v>59934</v>
      </c>
    </row>
    <row r="6228" spans="1:59" ht="57" x14ac:dyDescent="0.45">
      <c r="A6228" s="2" t="s">
        <v>59</v>
      </c>
      <c r="B6228" s="2" t="s">
        <v>60</v>
      </c>
      <c r="C6228" s="2" t="s">
        <v>59935</v>
      </c>
      <c r="D6228" s="2" t="s">
        <v>59936</v>
      </c>
      <c r="E6228" s="2" t="s">
        <v>59937</v>
      </c>
      <c r="G6228" s="3" t="s">
        <v>62</v>
      </c>
      <c r="I6228" s="3" t="s">
        <v>61</v>
      </c>
      <c r="J6228" s="3" t="s">
        <v>61</v>
      </c>
      <c r="K6228" s="3" t="s">
        <v>63</v>
      </c>
      <c r="M6228" s="2" t="s">
        <v>11718</v>
      </c>
      <c r="N6228" s="3" t="s">
        <v>1212</v>
      </c>
      <c r="P6228" s="3" t="s">
        <v>65</v>
      </c>
      <c r="R6228" s="3" t="s">
        <v>66</v>
      </c>
      <c r="S6228" s="4">
        <v>20</v>
      </c>
      <c r="T6228" s="4">
        <v>107</v>
      </c>
      <c r="U6228" s="5" t="s">
        <v>38630</v>
      </c>
      <c r="V6228" s="5" t="s">
        <v>13746</v>
      </c>
      <c r="W6228" s="5" t="s">
        <v>67</v>
      </c>
      <c r="X6228" s="5" t="s">
        <v>67</v>
      </c>
      <c r="Y6228" s="4">
        <v>323</v>
      </c>
      <c r="Z6228" s="4">
        <v>15</v>
      </c>
      <c r="AA6228" s="4">
        <v>57</v>
      </c>
      <c r="AB6228" s="4">
        <v>2</v>
      </c>
      <c r="AC6228" s="4">
        <v>12</v>
      </c>
      <c r="AD6228" s="4">
        <v>71</v>
      </c>
      <c r="AE6228" s="4">
        <v>135</v>
      </c>
      <c r="AF6228" s="4">
        <v>1</v>
      </c>
      <c r="AG6228" s="4">
        <v>6</v>
      </c>
      <c r="AH6228" s="4">
        <v>65</v>
      </c>
      <c r="AI6228" s="4">
        <v>104</v>
      </c>
      <c r="AJ6228" s="4">
        <v>11</v>
      </c>
      <c r="AK6228" s="4">
        <v>25</v>
      </c>
      <c r="AL6228" s="4">
        <v>38</v>
      </c>
      <c r="AM6228" s="4">
        <v>58</v>
      </c>
      <c r="AN6228" s="4">
        <v>0</v>
      </c>
      <c r="AO6228" s="4">
        <v>0</v>
      </c>
      <c r="AP6228" s="4">
        <v>11</v>
      </c>
      <c r="AQ6228" s="4">
        <v>40</v>
      </c>
      <c r="AR6228" s="3" t="s">
        <v>62</v>
      </c>
      <c r="AS6228" s="3" t="s">
        <v>62</v>
      </c>
      <c r="AT6228" s="3" t="s">
        <v>62</v>
      </c>
      <c r="AV6228" s="6" t="str">
        <f>HYPERLINK("http://mcgill.on.worldcat.org/oclc/41580609","Catalog Record")</f>
        <v>Catalog Record</v>
      </c>
      <c r="AW6228" s="6" t="str">
        <f>HYPERLINK("http://www.worldcat.org/oclc/41580609","WorldCat Record")</f>
        <v>WorldCat Record</v>
      </c>
      <c r="AX6228" s="3" t="s">
        <v>59938</v>
      </c>
      <c r="AY6228" s="3" t="s">
        <v>59939</v>
      </c>
      <c r="AZ6228" s="3" t="s">
        <v>59940</v>
      </c>
      <c r="BA6228" s="3" t="s">
        <v>59940</v>
      </c>
      <c r="BB6228" s="3" t="s">
        <v>59941</v>
      </c>
      <c r="BC6228" s="3" t="s">
        <v>142</v>
      </c>
      <c r="BD6228" s="3" t="s">
        <v>68</v>
      </c>
      <c r="BE6228" s="3" t="s">
        <v>59942</v>
      </c>
      <c r="BF6228" s="3" t="s">
        <v>59941</v>
      </c>
      <c r="BG6228" s="3" t="s">
        <v>59943</v>
      </c>
    </row>
    <row r="6229" spans="1:59" ht="57" x14ac:dyDescent="0.45">
      <c r="A6229" s="2" t="s">
        <v>59</v>
      </c>
      <c r="B6229" s="2" t="s">
        <v>60</v>
      </c>
      <c r="C6229" s="2" t="s">
        <v>59935</v>
      </c>
      <c r="D6229" s="2" t="s">
        <v>59936</v>
      </c>
      <c r="E6229" s="2" t="s">
        <v>59937</v>
      </c>
      <c r="G6229" s="3" t="s">
        <v>62</v>
      </c>
      <c r="I6229" s="3" t="s">
        <v>61</v>
      </c>
      <c r="J6229" s="3" t="s">
        <v>61</v>
      </c>
      <c r="K6229" s="3" t="s">
        <v>63</v>
      </c>
      <c r="M6229" s="2" t="s">
        <v>11718</v>
      </c>
      <c r="N6229" s="3" t="s">
        <v>1212</v>
      </c>
      <c r="P6229" s="3" t="s">
        <v>65</v>
      </c>
      <c r="R6229" s="3" t="s">
        <v>66</v>
      </c>
      <c r="S6229" s="4">
        <v>87</v>
      </c>
      <c r="T6229" s="4">
        <v>107</v>
      </c>
      <c r="U6229" s="5" t="s">
        <v>13746</v>
      </c>
      <c r="V6229" s="5" t="s">
        <v>13746</v>
      </c>
      <c r="W6229" s="5" t="s">
        <v>67</v>
      </c>
      <c r="X6229" s="5" t="s">
        <v>67</v>
      </c>
      <c r="Y6229" s="4">
        <v>323</v>
      </c>
      <c r="Z6229" s="4">
        <v>15</v>
      </c>
      <c r="AA6229" s="4">
        <v>57</v>
      </c>
      <c r="AB6229" s="4">
        <v>2</v>
      </c>
      <c r="AC6229" s="4">
        <v>12</v>
      </c>
      <c r="AD6229" s="4">
        <v>71</v>
      </c>
      <c r="AE6229" s="4">
        <v>135</v>
      </c>
      <c r="AF6229" s="4">
        <v>1</v>
      </c>
      <c r="AG6229" s="4">
        <v>6</v>
      </c>
      <c r="AH6229" s="4">
        <v>65</v>
      </c>
      <c r="AI6229" s="4">
        <v>104</v>
      </c>
      <c r="AJ6229" s="4">
        <v>11</v>
      </c>
      <c r="AK6229" s="4">
        <v>25</v>
      </c>
      <c r="AL6229" s="4">
        <v>38</v>
      </c>
      <c r="AM6229" s="4">
        <v>58</v>
      </c>
      <c r="AN6229" s="4">
        <v>0</v>
      </c>
      <c r="AO6229" s="4">
        <v>0</v>
      </c>
      <c r="AP6229" s="4">
        <v>11</v>
      </c>
      <c r="AQ6229" s="4">
        <v>40</v>
      </c>
      <c r="AR6229" s="3" t="s">
        <v>62</v>
      </c>
      <c r="AS6229" s="3" t="s">
        <v>62</v>
      </c>
      <c r="AT6229" s="3" t="s">
        <v>62</v>
      </c>
      <c r="AV6229" s="6" t="str">
        <f>HYPERLINK("http://mcgill.on.worldcat.org/oclc/41580609","Catalog Record")</f>
        <v>Catalog Record</v>
      </c>
      <c r="AW6229" s="6" t="str">
        <f>HYPERLINK("http://www.worldcat.org/oclc/41580609","WorldCat Record")</f>
        <v>WorldCat Record</v>
      </c>
      <c r="AX6229" s="3" t="s">
        <v>59938</v>
      </c>
      <c r="AY6229" s="3" t="s">
        <v>59939</v>
      </c>
      <c r="AZ6229" s="3" t="s">
        <v>59940</v>
      </c>
      <c r="BA6229" s="3" t="s">
        <v>59940</v>
      </c>
      <c r="BB6229" s="3" t="s">
        <v>59944</v>
      </c>
      <c r="BC6229" s="3" t="s">
        <v>142</v>
      </c>
      <c r="BD6229" s="3" t="s">
        <v>68</v>
      </c>
      <c r="BE6229" s="3" t="s">
        <v>59942</v>
      </c>
      <c r="BF6229" s="3" t="s">
        <v>59944</v>
      </c>
      <c r="BG6229" s="3" t="s">
        <v>59945</v>
      </c>
    </row>
    <row r="6230" spans="1:59" ht="57" x14ac:dyDescent="0.45">
      <c r="A6230" s="2" t="s">
        <v>59</v>
      </c>
      <c r="B6230" s="2" t="s">
        <v>60</v>
      </c>
      <c r="C6230" s="2" t="s">
        <v>59946</v>
      </c>
      <c r="D6230" s="2" t="s">
        <v>59947</v>
      </c>
      <c r="E6230" s="2" t="s">
        <v>59948</v>
      </c>
      <c r="G6230" s="3" t="s">
        <v>62</v>
      </c>
      <c r="I6230" s="3" t="s">
        <v>62</v>
      </c>
      <c r="J6230" s="3" t="s">
        <v>61</v>
      </c>
      <c r="K6230" s="3" t="s">
        <v>63</v>
      </c>
      <c r="M6230" s="2" t="s">
        <v>17826</v>
      </c>
      <c r="N6230" s="3" t="s">
        <v>1097</v>
      </c>
      <c r="O6230" s="2" t="s">
        <v>933</v>
      </c>
      <c r="P6230" s="3" t="s">
        <v>65</v>
      </c>
      <c r="R6230" s="3" t="s">
        <v>66</v>
      </c>
      <c r="S6230" s="4">
        <v>38</v>
      </c>
      <c r="T6230" s="4">
        <v>38</v>
      </c>
      <c r="U6230" s="5" t="s">
        <v>37790</v>
      </c>
      <c r="V6230" s="5" t="s">
        <v>37790</v>
      </c>
      <c r="W6230" s="5" t="s">
        <v>67</v>
      </c>
      <c r="X6230" s="5" t="s">
        <v>67</v>
      </c>
      <c r="Y6230" s="4">
        <v>322</v>
      </c>
      <c r="Z6230" s="4">
        <v>19</v>
      </c>
      <c r="AA6230" s="4">
        <v>57</v>
      </c>
      <c r="AB6230" s="4">
        <v>5</v>
      </c>
      <c r="AC6230" s="4">
        <v>12</v>
      </c>
      <c r="AD6230" s="4">
        <v>69</v>
      </c>
      <c r="AE6230" s="4">
        <v>135</v>
      </c>
      <c r="AF6230" s="4">
        <v>2</v>
      </c>
      <c r="AG6230" s="4">
        <v>6</v>
      </c>
      <c r="AH6230" s="4">
        <v>61</v>
      </c>
      <c r="AI6230" s="4">
        <v>104</v>
      </c>
      <c r="AJ6230" s="4">
        <v>12</v>
      </c>
      <c r="AK6230" s="4">
        <v>25</v>
      </c>
      <c r="AL6230" s="4">
        <v>37</v>
      </c>
      <c r="AM6230" s="4">
        <v>58</v>
      </c>
      <c r="AN6230" s="4">
        <v>0</v>
      </c>
      <c r="AO6230" s="4">
        <v>0</v>
      </c>
      <c r="AP6230" s="4">
        <v>14</v>
      </c>
      <c r="AQ6230" s="4">
        <v>40</v>
      </c>
      <c r="AR6230" s="3" t="s">
        <v>62</v>
      </c>
      <c r="AS6230" s="3" t="s">
        <v>62</v>
      </c>
      <c r="AT6230" s="3" t="s">
        <v>62</v>
      </c>
      <c r="AV6230" s="6" t="str">
        <f>HYPERLINK("http://mcgill.on.worldcat.org/oclc/53215780","Catalog Record")</f>
        <v>Catalog Record</v>
      </c>
      <c r="AW6230" s="6" t="str">
        <f>HYPERLINK("http://www.worldcat.org/oclc/53215780","WorldCat Record")</f>
        <v>WorldCat Record</v>
      </c>
      <c r="AX6230" s="3" t="s">
        <v>59938</v>
      </c>
      <c r="AY6230" s="3" t="s">
        <v>59949</v>
      </c>
      <c r="AZ6230" s="3" t="s">
        <v>59950</v>
      </c>
      <c r="BA6230" s="3" t="s">
        <v>59950</v>
      </c>
      <c r="BB6230" s="3" t="s">
        <v>59951</v>
      </c>
      <c r="BC6230" s="3" t="s">
        <v>142</v>
      </c>
      <c r="BD6230" s="3" t="s">
        <v>308</v>
      </c>
      <c r="BE6230" s="3" t="s">
        <v>59952</v>
      </c>
      <c r="BF6230" s="3" t="s">
        <v>59951</v>
      </c>
      <c r="BG6230" s="3" t="s">
        <v>59953</v>
      </c>
    </row>
    <row r="6231" spans="1:59" ht="57" x14ac:dyDescent="0.45">
      <c r="A6231" s="2" t="s">
        <v>59</v>
      </c>
      <c r="B6231" s="2" t="s">
        <v>60</v>
      </c>
      <c r="C6231" s="2" t="s">
        <v>59954</v>
      </c>
      <c r="D6231" s="2" t="s">
        <v>59955</v>
      </c>
      <c r="E6231" s="2" t="s">
        <v>59956</v>
      </c>
      <c r="G6231" s="3" t="s">
        <v>62</v>
      </c>
      <c r="I6231" s="3" t="s">
        <v>62</v>
      </c>
      <c r="J6231" s="3" t="s">
        <v>62</v>
      </c>
      <c r="K6231" s="3" t="s">
        <v>63</v>
      </c>
      <c r="M6231" s="2" t="s">
        <v>1781</v>
      </c>
      <c r="N6231" s="3" t="s">
        <v>149</v>
      </c>
      <c r="P6231" s="3" t="s">
        <v>65</v>
      </c>
      <c r="Q6231" s="2" t="s">
        <v>59957</v>
      </c>
      <c r="R6231" s="3" t="s">
        <v>66</v>
      </c>
      <c r="S6231" s="4">
        <v>2</v>
      </c>
      <c r="T6231" s="4">
        <v>2</v>
      </c>
      <c r="U6231" s="5" t="s">
        <v>7177</v>
      </c>
      <c r="V6231" s="5" t="s">
        <v>7177</v>
      </c>
      <c r="W6231" s="5" t="s">
        <v>67</v>
      </c>
      <c r="X6231" s="5" t="s">
        <v>67</v>
      </c>
      <c r="Y6231" s="4">
        <v>152</v>
      </c>
      <c r="Z6231" s="4">
        <v>15</v>
      </c>
      <c r="AA6231" s="4">
        <v>94</v>
      </c>
      <c r="AB6231" s="4">
        <v>3</v>
      </c>
      <c r="AC6231" s="4">
        <v>18</v>
      </c>
      <c r="AD6231" s="4">
        <v>57</v>
      </c>
      <c r="AE6231" s="4">
        <v>125</v>
      </c>
      <c r="AF6231" s="4">
        <v>1</v>
      </c>
      <c r="AG6231" s="4">
        <v>8</v>
      </c>
      <c r="AH6231" s="4">
        <v>53</v>
      </c>
      <c r="AI6231" s="4">
        <v>89</v>
      </c>
      <c r="AJ6231" s="4">
        <v>11</v>
      </c>
      <c r="AK6231" s="4">
        <v>25</v>
      </c>
      <c r="AL6231" s="4">
        <v>32</v>
      </c>
      <c r="AM6231" s="4">
        <v>47</v>
      </c>
      <c r="AN6231" s="4">
        <v>0</v>
      </c>
      <c r="AO6231" s="4">
        <v>0</v>
      </c>
      <c r="AP6231" s="4">
        <v>11</v>
      </c>
      <c r="AQ6231" s="4">
        <v>46</v>
      </c>
      <c r="AR6231" s="3" t="s">
        <v>62</v>
      </c>
      <c r="AS6231" s="3" t="s">
        <v>62</v>
      </c>
      <c r="AT6231" s="3" t="s">
        <v>62</v>
      </c>
      <c r="AV6231" s="6" t="str">
        <f>HYPERLINK("http://mcgill.on.worldcat.org/oclc/466343687","Catalog Record")</f>
        <v>Catalog Record</v>
      </c>
      <c r="AW6231" s="6" t="str">
        <f>HYPERLINK("http://www.worldcat.org/oclc/466343687","WorldCat Record")</f>
        <v>WorldCat Record</v>
      </c>
      <c r="AX6231" s="3" t="s">
        <v>59958</v>
      </c>
      <c r="AY6231" s="3" t="s">
        <v>59959</v>
      </c>
      <c r="AZ6231" s="3" t="s">
        <v>59960</v>
      </c>
      <c r="BA6231" s="3" t="s">
        <v>59960</v>
      </c>
      <c r="BB6231" s="3" t="s">
        <v>59961</v>
      </c>
      <c r="BC6231" s="3" t="s">
        <v>142</v>
      </c>
      <c r="BD6231" s="3" t="s">
        <v>68</v>
      </c>
      <c r="BE6231" s="3" t="s">
        <v>59962</v>
      </c>
      <c r="BF6231" s="3" t="s">
        <v>59961</v>
      </c>
      <c r="BG6231" s="3" t="s">
        <v>59963</v>
      </c>
    </row>
    <row r="6232" spans="1:59" ht="57" x14ac:dyDescent="0.45">
      <c r="A6232" s="2" t="s">
        <v>59</v>
      </c>
      <c r="B6232" s="2" t="s">
        <v>60</v>
      </c>
      <c r="C6232" s="2" t="s">
        <v>59964</v>
      </c>
      <c r="D6232" s="2" t="s">
        <v>59965</v>
      </c>
      <c r="E6232" s="2" t="s">
        <v>59966</v>
      </c>
      <c r="G6232" s="3" t="s">
        <v>62</v>
      </c>
      <c r="I6232" s="3" t="s">
        <v>62</v>
      </c>
      <c r="J6232" s="3" t="s">
        <v>62</v>
      </c>
      <c r="K6232" s="3" t="s">
        <v>63</v>
      </c>
      <c r="M6232" s="2" t="s">
        <v>59967</v>
      </c>
      <c r="N6232" s="3" t="s">
        <v>1253</v>
      </c>
      <c r="P6232" s="3" t="s">
        <v>65</v>
      </c>
      <c r="Q6232" s="2" t="s">
        <v>59968</v>
      </c>
      <c r="R6232" s="3" t="s">
        <v>66</v>
      </c>
      <c r="S6232" s="4">
        <v>28</v>
      </c>
      <c r="T6232" s="4">
        <v>28</v>
      </c>
      <c r="U6232" s="5" t="s">
        <v>34673</v>
      </c>
      <c r="V6232" s="5" t="s">
        <v>34673</v>
      </c>
      <c r="W6232" s="5" t="s">
        <v>67</v>
      </c>
      <c r="X6232" s="5" t="s">
        <v>67</v>
      </c>
      <c r="Y6232" s="4">
        <v>277</v>
      </c>
      <c r="Z6232" s="4">
        <v>19</v>
      </c>
      <c r="AA6232" s="4">
        <v>21</v>
      </c>
      <c r="AB6232" s="4">
        <v>2</v>
      </c>
      <c r="AC6232" s="4">
        <v>4</v>
      </c>
      <c r="AD6232" s="4">
        <v>87</v>
      </c>
      <c r="AE6232" s="4">
        <v>89</v>
      </c>
      <c r="AF6232" s="4">
        <v>1</v>
      </c>
      <c r="AG6232" s="4">
        <v>3</v>
      </c>
      <c r="AH6232" s="4">
        <v>78</v>
      </c>
      <c r="AI6232" s="4">
        <v>79</v>
      </c>
      <c r="AJ6232" s="4">
        <v>12</v>
      </c>
      <c r="AK6232" s="4">
        <v>14</v>
      </c>
      <c r="AL6232" s="4">
        <v>47</v>
      </c>
      <c r="AM6232" s="4">
        <v>47</v>
      </c>
      <c r="AN6232" s="4">
        <v>0</v>
      </c>
      <c r="AO6232" s="4">
        <v>0</v>
      </c>
      <c r="AP6232" s="4">
        <v>14</v>
      </c>
      <c r="AQ6232" s="4">
        <v>15</v>
      </c>
      <c r="AR6232" s="3" t="s">
        <v>62</v>
      </c>
      <c r="AS6232" s="3" t="s">
        <v>62</v>
      </c>
      <c r="AT6232" s="3" t="s">
        <v>61</v>
      </c>
      <c r="AU6232" s="6" t="str">
        <f>HYPERLINK("http://catalog.hathitrust.org/Record/003191252","HathiTrust Record")</f>
        <v>HathiTrust Record</v>
      </c>
      <c r="AV6232" s="6" t="str">
        <f>HYPERLINK("http://mcgill.on.worldcat.org/oclc/36630103","Catalog Record")</f>
        <v>Catalog Record</v>
      </c>
      <c r="AW6232" s="6" t="str">
        <f>HYPERLINK("http://www.worldcat.org/oclc/36630103","WorldCat Record")</f>
        <v>WorldCat Record</v>
      </c>
      <c r="AX6232" s="3" t="s">
        <v>59969</v>
      </c>
      <c r="AY6232" s="3" t="s">
        <v>59970</v>
      </c>
      <c r="AZ6232" s="3" t="s">
        <v>59971</v>
      </c>
      <c r="BA6232" s="3" t="s">
        <v>59971</v>
      </c>
      <c r="BB6232" s="3" t="s">
        <v>59972</v>
      </c>
      <c r="BC6232" s="3" t="s">
        <v>142</v>
      </c>
      <c r="BD6232" s="3" t="s">
        <v>68</v>
      </c>
      <c r="BE6232" s="3" t="s">
        <v>59973</v>
      </c>
      <c r="BF6232" s="3" t="s">
        <v>59972</v>
      </c>
      <c r="BG6232" s="3" t="s">
        <v>59974</v>
      </c>
    </row>
    <row r="6233" spans="1:59" ht="57" x14ac:dyDescent="0.45">
      <c r="A6233" s="2" t="s">
        <v>59</v>
      </c>
      <c r="B6233" s="2" t="s">
        <v>60</v>
      </c>
      <c r="C6233" s="2" t="s">
        <v>59975</v>
      </c>
      <c r="D6233" s="2" t="s">
        <v>59976</v>
      </c>
      <c r="E6233" s="2" t="s">
        <v>59977</v>
      </c>
      <c r="G6233" s="3" t="s">
        <v>62</v>
      </c>
      <c r="I6233" s="3" t="s">
        <v>62</v>
      </c>
      <c r="J6233" s="3" t="s">
        <v>62</v>
      </c>
      <c r="K6233" s="3" t="s">
        <v>63</v>
      </c>
      <c r="M6233" s="2" t="s">
        <v>39408</v>
      </c>
      <c r="N6233" s="3" t="s">
        <v>1059</v>
      </c>
      <c r="P6233" s="3" t="s">
        <v>65</v>
      </c>
      <c r="R6233" s="3" t="s">
        <v>66</v>
      </c>
      <c r="S6233" s="4">
        <v>23</v>
      </c>
      <c r="T6233" s="4">
        <v>23</v>
      </c>
      <c r="U6233" s="5" t="s">
        <v>24477</v>
      </c>
      <c r="V6233" s="5" t="s">
        <v>24477</v>
      </c>
      <c r="W6233" s="5" t="s">
        <v>67</v>
      </c>
      <c r="X6233" s="5" t="s">
        <v>67</v>
      </c>
      <c r="Y6233" s="4">
        <v>167</v>
      </c>
      <c r="Z6233" s="4">
        <v>13</v>
      </c>
      <c r="AA6233" s="4">
        <v>90</v>
      </c>
      <c r="AB6233" s="4">
        <v>2</v>
      </c>
      <c r="AC6233" s="4">
        <v>17</v>
      </c>
      <c r="AD6233" s="4">
        <v>59</v>
      </c>
      <c r="AE6233" s="4">
        <v>115</v>
      </c>
      <c r="AF6233" s="4">
        <v>1</v>
      </c>
      <c r="AG6233" s="4">
        <v>8</v>
      </c>
      <c r="AH6233" s="4">
        <v>53</v>
      </c>
      <c r="AI6233" s="4">
        <v>82</v>
      </c>
      <c r="AJ6233" s="4">
        <v>10</v>
      </c>
      <c r="AK6233" s="4">
        <v>19</v>
      </c>
      <c r="AL6233" s="4">
        <v>33</v>
      </c>
      <c r="AM6233" s="4">
        <v>46</v>
      </c>
      <c r="AN6233" s="4">
        <v>0</v>
      </c>
      <c r="AO6233" s="4">
        <v>0</v>
      </c>
      <c r="AP6233" s="4">
        <v>11</v>
      </c>
      <c r="AQ6233" s="4">
        <v>41</v>
      </c>
      <c r="AR6233" s="3" t="s">
        <v>62</v>
      </c>
      <c r="AS6233" s="3" t="s">
        <v>62</v>
      </c>
      <c r="AT6233" s="3" t="s">
        <v>62</v>
      </c>
      <c r="AV6233" s="6" t="str">
        <f>HYPERLINK("http://mcgill.on.worldcat.org/oclc/61757480","Catalog Record")</f>
        <v>Catalog Record</v>
      </c>
      <c r="AW6233" s="6" t="str">
        <f>HYPERLINK("http://www.worldcat.org/oclc/61757480","WorldCat Record")</f>
        <v>WorldCat Record</v>
      </c>
      <c r="AX6233" s="3" t="s">
        <v>59978</v>
      </c>
      <c r="AY6233" s="3" t="s">
        <v>59979</v>
      </c>
      <c r="AZ6233" s="3" t="s">
        <v>59980</v>
      </c>
      <c r="BA6233" s="3" t="s">
        <v>59980</v>
      </c>
      <c r="BB6233" s="3" t="s">
        <v>59981</v>
      </c>
      <c r="BC6233" s="3" t="s">
        <v>142</v>
      </c>
      <c r="BD6233" s="3" t="s">
        <v>68</v>
      </c>
      <c r="BE6233" s="3" t="s">
        <v>59982</v>
      </c>
      <c r="BF6233" s="3" t="s">
        <v>59981</v>
      </c>
      <c r="BG6233" s="3" t="s">
        <v>59983</v>
      </c>
    </row>
    <row r="6234" spans="1:59" ht="57" x14ac:dyDescent="0.45">
      <c r="A6234" s="2" t="s">
        <v>59</v>
      </c>
      <c r="B6234" s="2" t="s">
        <v>60</v>
      </c>
      <c r="C6234" s="2" t="s">
        <v>59984</v>
      </c>
      <c r="D6234" s="2" t="s">
        <v>59985</v>
      </c>
      <c r="E6234" s="2" t="s">
        <v>59986</v>
      </c>
      <c r="G6234" s="3" t="s">
        <v>62</v>
      </c>
      <c r="I6234" s="3" t="s">
        <v>62</v>
      </c>
      <c r="J6234" s="3" t="s">
        <v>62</v>
      </c>
      <c r="K6234" s="3" t="s">
        <v>63</v>
      </c>
      <c r="L6234" s="2" t="s">
        <v>59987</v>
      </c>
      <c r="M6234" s="2" t="s">
        <v>59988</v>
      </c>
      <c r="N6234" s="3" t="s">
        <v>945</v>
      </c>
      <c r="P6234" s="3" t="s">
        <v>65</v>
      </c>
      <c r="R6234" s="3" t="s">
        <v>66</v>
      </c>
      <c r="S6234" s="4">
        <v>18</v>
      </c>
      <c r="T6234" s="4">
        <v>18</v>
      </c>
      <c r="U6234" s="5" t="s">
        <v>6838</v>
      </c>
      <c r="V6234" s="5" t="s">
        <v>6838</v>
      </c>
      <c r="W6234" s="5" t="s">
        <v>67</v>
      </c>
      <c r="X6234" s="5" t="s">
        <v>67</v>
      </c>
      <c r="Y6234" s="4">
        <v>100</v>
      </c>
      <c r="Z6234" s="4">
        <v>9</v>
      </c>
      <c r="AA6234" s="4">
        <v>13</v>
      </c>
      <c r="AB6234" s="4">
        <v>2</v>
      </c>
      <c r="AC6234" s="4">
        <v>6</v>
      </c>
      <c r="AD6234" s="4">
        <v>28</v>
      </c>
      <c r="AE6234" s="4">
        <v>32</v>
      </c>
      <c r="AF6234" s="4">
        <v>1</v>
      </c>
      <c r="AG6234" s="4">
        <v>2</v>
      </c>
      <c r="AH6234" s="4">
        <v>25</v>
      </c>
      <c r="AI6234" s="4">
        <v>28</v>
      </c>
      <c r="AJ6234" s="4">
        <v>7</v>
      </c>
      <c r="AK6234" s="4">
        <v>8</v>
      </c>
      <c r="AL6234" s="4">
        <v>15</v>
      </c>
      <c r="AM6234" s="4">
        <v>17</v>
      </c>
      <c r="AN6234" s="4">
        <v>0</v>
      </c>
      <c r="AO6234" s="4">
        <v>0</v>
      </c>
      <c r="AP6234" s="4">
        <v>7</v>
      </c>
      <c r="AQ6234" s="4">
        <v>7</v>
      </c>
      <c r="AR6234" s="3" t="s">
        <v>62</v>
      </c>
      <c r="AS6234" s="3" t="s">
        <v>62</v>
      </c>
      <c r="AT6234" s="3" t="s">
        <v>62</v>
      </c>
      <c r="AV6234" s="6" t="str">
        <f>HYPERLINK("http://mcgill.on.worldcat.org/oclc/123955065","Catalog Record")</f>
        <v>Catalog Record</v>
      </c>
      <c r="AW6234" s="6" t="str">
        <f>HYPERLINK("http://www.worldcat.org/oclc/123955065","WorldCat Record")</f>
        <v>WorldCat Record</v>
      </c>
      <c r="AX6234" s="3" t="s">
        <v>59989</v>
      </c>
      <c r="AY6234" s="3" t="s">
        <v>59990</v>
      </c>
      <c r="AZ6234" s="3" t="s">
        <v>59991</v>
      </c>
      <c r="BA6234" s="3" t="s">
        <v>59991</v>
      </c>
      <c r="BB6234" s="3" t="s">
        <v>59992</v>
      </c>
      <c r="BC6234" s="3" t="s">
        <v>142</v>
      </c>
      <c r="BD6234" s="3" t="s">
        <v>68</v>
      </c>
      <c r="BE6234" s="3" t="s">
        <v>59993</v>
      </c>
      <c r="BF6234" s="3" t="s">
        <v>59992</v>
      </c>
      <c r="BG6234" s="3" t="s">
        <v>59994</v>
      </c>
    </row>
    <row r="6235" spans="1:59" ht="71.25" x14ac:dyDescent="0.45">
      <c r="A6235" s="2" t="s">
        <v>59</v>
      </c>
      <c r="B6235" s="2" t="s">
        <v>60</v>
      </c>
      <c r="C6235" s="2" t="s">
        <v>59995</v>
      </c>
      <c r="D6235" s="2" t="s">
        <v>59996</v>
      </c>
      <c r="E6235" s="2" t="s">
        <v>59997</v>
      </c>
      <c r="G6235" s="3" t="s">
        <v>62</v>
      </c>
      <c r="I6235" s="3" t="s">
        <v>62</v>
      </c>
      <c r="J6235" s="3" t="s">
        <v>62</v>
      </c>
      <c r="K6235" s="3" t="s">
        <v>63</v>
      </c>
      <c r="M6235" s="2" t="s">
        <v>56938</v>
      </c>
      <c r="N6235" s="3" t="s">
        <v>894</v>
      </c>
      <c r="P6235" s="3" t="s">
        <v>326</v>
      </c>
      <c r="Q6235" s="2" t="s">
        <v>59998</v>
      </c>
      <c r="R6235" s="3" t="s">
        <v>66</v>
      </c>
      <c r="S6235" s="4">
        <v>1</v>
      </c>
      <c r="T6235" s="4">
        <v>1</v>
      </c>
      <c r="U6235" s="5" t="s">
        <v>59999</v>
      </c>
      <c r="V6235" s="5" t="s">
        <v>59999</v>
      </c>
      <c r="W6235" s="5" t="s">
        <v>67</v>
      </c>
      <c r="X6235" s="5" t="s">
        <v>67</v>
      </c>
      <c r="Y6235" s="4">
        <v>86</v>
      </c>
      <c r="Z6235" s="4">
        <v>8</v>
      </c>
      <c r="AA6235" s="4">
        <v>12</v>
      </c>
      <c r="AB6235" s="4">
        <v>1</v>
      </c>
      <c r="AC6235" s="4">
        <v>5</v>
      </c>
      <c r="AD6235" s="4">
        <v>43</v>
      </c>
      <c r="AE6235" s="4">
        <v>50</v>
      </c>
      <c r="AF6235" s="4">
        <v>0</v>
      </c>
      <c r="AG6235" s="4">
        <v>1</v>
      </c>
      <c r="AH6235" s="4">
        <v>41</v>
      </c>
      <c r="AI6235" s="4">
        <v>47</v>
      </c>
      <c r="AJ6235" s="4">
        <v>6</v>
      </c>
      <c r="AK6235" s="4">
        <v>7</v>
      </c>
      <c r="AL6235" s="4">
        <v>30</v>
      </c>
      <c r="AM6235" s="4">
        <v>32</v>
      </c>
      <c r="AN6235" s="4">
        <v>0</v>
      </c>
      <c r="AO6235" s="4">
        <v>0</v>
      </c>
      <c r="AP6235" s="4">
        <v>6</v>
      </c>
      <c r="AQ6235" s="4">
        <v>6</v>
      </c>
      <c r="AR6235" s="3" t="s">
        <v>62</v>
      </c>
      <c r="AS6235" s="3" t="s">
        <v>62</v>
      </c>
      <c r="AT6235" s="3" t="s">
        <v>61</v>
      </c>
      <c r="AU6235" s="6" t="str">
        <f>HYPERLINK("http://catalog.hathitrust.org/Record/102576362","HathiTrust Record")</f>
        <v>HathiTrust Record</v>
      </c>
      <c r="AV6235" s="6" t="str">
        <f>HYPERLINK("http://mcgill.on.worldcat.org/oclc/756578942","Catalog Record")</f>
        <v>Catalog Record</v>
      </c>
      <c r="AW6235" s="6" t="str">
        <f>HYPERLINK("http://www.worldcat.org/oclc/756578942","WorldCat Record")</f>
        <v>WorldCat Record</v>
      </c>
      <c r="AX6235" s="3" t="s">
        <v>60000</v>
      </c>
      <c r="AY6235" s="3" t="s">
        <v>60001</v>
      </c>
      <c r="AZ6235" s="3" t="s">
        <v>60002</v>
      </c>
      <c r="BA6235" s="3" t="s">
        <v>60002</v>
      </c>
      <c r="BB6235" s="3" t="s">
        <v>60003</v>
      </c>
      <c r="BC6235" s="3" t="s">
        <v>142</v>
      </c>
      <c r="BD6235" s="3" t="s">
        <v>68</v>
      </c>
      <c r="BE6235" s="3" t="s">
        <v>60004</v>
      </c>
      <c r="BF6235" s="3" t="s">
        <v>60003</v>
      </c>
      <c r="BG6235" s="3" t="s">
        <v>60005</v>
      </c>
    </row>
    <row r="6236" spans="1:59" ht="57" x14ac:dyDescent="0.45">
      <c r="A6236" s="2" t="s">
        <v>59</v>
      </c>
      <c r="B6236" s="2" t="s">
        <v>60</v>
      </c>
      <c r="C6236" s="2" t="s">
        <v>60006</v>
      </c>
      <c r="D6236" s="2" t="s">
        <v>60007</v>
      </c>
      <c r="E6236" s="2" t="s">
        <v>60008</v>
      </c>
      <c r="G6236" s="3" t="s">
        <v>62</v>
      </c>
      <c r="I6236" s="3" t="s">
        <v>62</v>
      </c>
      <c r="J6236" s="3" t="s">
        <v>62</v>
      </c>
      <c r="K6236" s="3" t="s">
        <v>63</v>
      </c>
      <c r="L6236" s="2" t="s">
        <v>60009</v>
      </c>
      <c r="M6236" s="2" t="s">
        <v>60010</v>
      </c>
      <c r="N6236" s="3" t="s">
        <v>122</v>
      </c>
      <c r="P6236" s="3" t="s">
        <v>326</v>
      </c>
      <c r="R6236" s="3" t="s">
        <v>66</v>
      </c>
      <c r="S6236" s="4">
        <v>65</v>
      </c>
      <c r="T6236" s="4">
        <v>65</v>
      </c>
      <c r="U6236" s="5" t="s">
        <v>26355</v>
      </c>
      <c r="V6236" s="5" t="s">
        <v>26355</v>
      </c>
      <c r="W6236" s="5" t="s">
        <v>67</v>
      </c>
      <c r="X6236" s="5" t="s">
        <v>67</v>
      </c>
      <c r="Y6236" s="4">
        <v>287</v>
      </c>
      <c r="Z6236" s="4">
        <v>18</v>
      </c>
      <c r="AA6236" s="4">
        <v>23</v>
      </c>
      <c r="AB6236" s="4">
        <v>1</v>
      </c>
      <c r="AC6236" s="4">
        <v>4</v>
      </c>
      <c r="AD6236" s="4">
        <v>75</v>
      </c>
      <c r="AE6236" s="4">
        <v>80</v>
      </c>
      <c r="AF6236" s="4">
        <v>0</v>
      </c>
      <c r="AG6236" s="4">
        <v>3</v>
      </c>
      <c r="AH6236" s="4">
        <v>67</v>
      </c>
      <c r="AI6236" s="4">
        <v>70</v>
      </c>
      <c r="AJ6236" s="4">
        <v>15</v>
      </c>
      <c r="AK6236" s="4">
        <v>18</v>
      </c>
      <c r="AL6236" s="4">
        <v>31</v>
      </c>
      <c r="AM6236" s="4">
        <v>32</v>
      </c>
      <c r="AN6236" s="4">
        <v>0</v>
      </c>
      <c r="AO6236" s="4">
        <v>0</v>
      </c>
      <c r="AP6236" s="4">
        <v>16</v>
      </c>
      <c r="AQ6236" s="4">
        <v>19</v>
      </c>
      <c r="AR6236" s="3" t="s">
        <v>62</v>
      </c>
      <c r="AS6236" s="3" t="s">
        <v>62</v>
      </c>
      <c r="AT6236" s="3" t="s">
        <v>62</v>
      </c>
      <c r="AV6236" s="6" t="str">
        <f>HYPERLINK("http://mcgill.on.worldcat.org/oclc/3168295","Catalog Record")</f>
        <v>Catalog Record</v>
      </c>
      <c r="AW6236" s="6" t="str">
        <f>HYPERLINK("http://www.worldcat.org/oclc/3168295","WorldCat Record")</f>
        <v>WorldCat Record</v>
      </c>
      <c r="AX6236" s="3" t="s">
        <v>60011</v>
      </c>
      <c r="AY6236" s="3" t="s">
        <v>60012</v>
      </c>
      <c r="AZ6236" s="3" t="s">
        <v>60013</v>
      </c>
      <c r="BA6236" s="3" t="s">
        <v>60013</v>
      </c>
      <c r="BB6236" s="3" t="s">
        <v>60014</v>
      </c>
      <c r="BC6236" s="3" t="s">
        <v>142</v>
      </c>
      <c r="BD6236" s="3" t="s">
        <v>68</v>
      </c>
      <c r="BE6236" s="3" t="s">
        <v>60015</v>
      </c>
      <c r="BF6236" s="3" t="s">
        <v>60014</v>
      </c>
      <c r="BG6236" s="3" t="s">
        <v>60016</v>
      </c>
    </row>
    <row r="6237" spans="1:59" ht="57" x14ac:dyDescent="0.45">
      <c r="A6237" s="2" t="s">
        <v>59</v>
      </c>
      <c r="B6237" s="2" t="s">
        <v>60</v>
      </c>
      <c r="C6237" s="2" t="s">
        <v>60017</v>
      </c>
      <c r="D6237" s="2" t="s">
        <v>60018</v>
      </c>
      <c r="E6237" s="2" t="s">
        <v>60019</v>
      </c>
      <c r="G6237" s="3" t="s">
        <v>62</v>
      </c>
      <c r="I6237" s="3" t="s">
        <v>62</v>
      </c>
      <c r="J6237" s="3" t="s">
        <v>62</v>
      </c>
      <c r="K6237" s="3" t="s">
        <v>63</v>
      </c>
      <c r="L6237" s="2" t="s">
        <v>60020</v>
      </c>
      <c r="M6237" s="2" t="s">
        <v>60021</v>
      </c>
      <c r="N6237" s="3" t="s">
        <v>117</v>
      </c>
      <c r="P6237" s="3" t="s">
        <v>4829</v>
      </c>
      <c r="R6237" s="3" t="s">
        <v>66</v>
      </c>
      <c r="S6237" s="4">
        <v>8</v>
      </c>
      <c r="T6237" s="4">
        <v>8</v>
      </c>
      <c r="U6237" s="5" t="s">
        <v>8714</v>
      </c>
      <c r="V6237" s="5" t="s">
        <v>8714</v>
      </c>
      <c r="W6237" s="5" t="s">
        <v>67</v>
      </c>
      <c r="X6237" s="5" t="s">
        <v>67</v>
      </c>
      <c r="Y6237" s="4">
        <v>33</v>
      </c>
      <c r="Z6237" s="4">
        <v>5</v>
      </c>
      <c r="AA6237" s="4">
        <v>5</v>
      </c>
      <c r="AB6237" s="4">
        <v>1</v>
      </c>
      <c r="AC6237" s="4">
        <v>1</v>
      </c>
      <c r="AD6237" s="4">
        <v>19</v>
      </c>
      <c r="AE6237" s="4">
        <v>23</v>
      </c>
      <c r="AF6237" s="4">
        <v>0</v>
      </c>
      <c r="AG6237" s="4">
        <v>0</v>
      </c>
      <c r="AH6237" s="4">
        <v>18</v>
      </c>
      <c r="AI6237" s="4">
        <v>22</v>
      </c>
      <c r="AJ6237" s="4">
        <v>3</v>
      </c>
      <c r="AK6237" s="4">
        <v>3</v>
      </c>
      <c r="AL6237" s="4">
        <v>11</v>
      </c>
      <c r="AM6237" s="4">
        <v>14</v>
      </c>
      <c r="AN6237" s="4">
        <v>0</v>
      </c>
      <c r="AO6237" s="4">
        <v>0</v>
      </c>
      <c r="AP6237" s="4">
        <v>3</v>
      </c>
      <c r="AQ6237" s="4">
        <v>3</v>
      </c>
      <c r="AR6237" s="3" t="s">
        <v>62</v>
      </c>
      <c r="AS6237" s="3" t="s">
        <v>62</v>
      </c>
      <c r="AT6237" s="3" t="s">
        <v>61</v>
      </c>
      <c r="AU6237" s="6" t="str">
        <f>HYPERLINK("http://catalog.hathitrust.org/Record/000730323","HathiTrust Record")</f>
        <v>HathiTrust Record</v>
      </c>
      <c r="AV6237" s="6" t="str">
        <f>HYPERLINK("http://mcgill.on.worldcat.org/oclc/7203779","Catalog Record")</f>
        <v>Catalog Record</v>
      </c>
      <c r="AW6237" s="6" t="str">
        <f>HYPERLINK("http://www.worldcat.org/oclc/7203779","WorldCat Record")</f>
        <v>WorldCat Record</v>
      </c>
      <c r="AX6237" s="3" t="s">
        <v>60022</v>
      </c>
      <c r="AY6237" s="3" t="s">
        <v>60023</v>
      </c>
      <c r="AZ6237" s="3" t="s">
        <v>60024</v>
      </c>
      <c r="BA6237" s="3" t="s">
        <v>60024</v>
      </c>
      <c r="BB6237" s="3" t="s">
        <v>60025</v>
      </c>
      <c r="BC6237" s="3" t="s">
        <v>142</v>
      </c>
      <c r="BD6237" s="3" t="s">
        <v>68</v>
      </c>
      <c r="BF6237" s="3" t="s">
        <v>60025</v>
      </c>
      <c r="BG6237" s="3" t="s">
        <v>60026</v>
      </c>
    </row>
    <row r="6238" spans="1:59" ht="57" x14ac:dyDescent="0.45">
      <c r="A6238" s="2" t="s">
        <v>59</v>
      </c>
      <c r="B6238" s="2" t="s">
        <v>60</v>
      </c>
      <c r="C6238" s="2" t="s">
        <v>60027</v>
      </c>
      <c r="D6238" s="2" t="s">
        <v>60028</v>
      </c>
      <c r="E6238" s="2" t="s">
        <v>60029</v>
      </c>
      <c r="G6238" s="3" t="s">
        <v>62</v>
      </c>
      <c r="I6238" s="3" t="s">
        <v>62</v>
      </c>
      <c r="J6238" s="3" t="s">
        <v>62</v>
      </c>
      <c r="K6238" s="3" t="s">
        <v>63</v>
      </c>
      <c r="M6238" s="2" t="s">
        <v>60030</v>
      </c>
      <c r="N6238" s="3" t="s">
        <v>970</v>
      </c>
      <c r="O6238" s="2" t="s">
        <v>933</v>
      </c>
      <c r="P6238" s="3" t="s">
        <v>65</v>
      </c>
      <c r="R6238" s="3" t="s">
        <v>66</v>
      </c>
      <c r="S6238" s="4">
        <v>12</v>
      </c>
      <c r="T6238" s="4">
        <v>12</v>
      </c>
      <c r="U6238" s="5" t="s">
        <v>24342</v>
      </c>
      <c r="V6238" s="5" t="s">
        <v>24342</v>
      </c>
      <c r="W6238" s="5" t="s">
        <v>67</v>
      </c>
      <c r="X6238" s="5" t="s">
        <v>67</v>
      </c>
      <c r="Y6238" s="4">
        <v>131</v>
      </c>
      <c r="Z6238" s="4">
        <v>7</v>
      </c>
      <c r="AA6238" s="4">
        <v>25</v>
      </c>
      <c r="AB6238" s="4">
        <v>1</v>
      </c>
      <c r="AC6238" s="4">
        <v>9</v>
      </c>
      <c r="AD6238" s="4">
        <v>34</v>
      </c>
      <c r="AE6238" s="4">
        <v>66</v>
      </c>
      <c r="AF6238" s="4">
        <v>0</v>
      </c>
      <c r="AG6238" s="4">
        <v>5</v>
      </c>
      <c r="AH6238" s="4">
        <v>30</v>
      </c>
      <c r="AI6238" s="4">
        <v>52</v>
      </c>
      <c r="AJ6238" s="4">
        <v>5</v>
      </c>
      <c r="AK6238" s="4">
        <v>14</v>
      </c>
      <c r="AL6238" s="4">
        <v>21</v>
      </c>
      <c r="AM6238" s="4">
        <v>34</v>
      </c>
      <c r="AN6238" s="4">
        <v>0</v>
      </c>
      <c r="AO6238" s="4">
        <v>0</v>
      </c>
      <c r="AP6238" s="4">
        <v>6</v>
      </c>
      <c r="AQ6238" s="4">
        <v>19</v>
      </c>
      <c r="AR6238" s="3" t="s">
        <v>62</v>
      </c>
      <c r="AS6238" s="3" t="s">
        <v>62</v>
      </c>
      <c r="AT6238" s="3" t="s">
        <v>61</v>
      </c>
      <c r="AU6238" s="6" t="str">
        <f>HYPERLINK("http://catalog.hathitrust.org/Record/004269619","HathiTrust Record")</f>
        <v>HathiTrust Record</v>
      </c>
      <c r="AV6238" s="6" t="str">
        <f>HYPERLINK("http://mcgill.on.worldcat.org/oclc/46320988","Catalog Record")</f>
        <v>Catalog Record</v>
      </c>
      <c r="AW6238" s="6" t="str">
        <f>HYPERLINK("http://www.worldcat.org/oclc/46320988","WorldCat Record")</f>
        <v>WorldCat Record</v>
      </c>
      <c r="AX6238" s="3" t="s">
        <v>60031</v>
      </c>
      <c r="AY6238" s="3" t="s">
        <v>60032</v>
      </c>
      <c r="AZ6238" s="3" t="s">
        <v>60033</v>
      </c>
      <c r="BA6238" s="3" t="s">
        <v>60033</v>
      </c>
      <c r="BB6238" s="3" t="s">
        <v>60034</v>
      </c>
      <c r="BC6238" s="3" t="s">
        <v>142</v>
      </c>
      <c r="BD6238" s="3" t="s">
        <v>68</v>
      </c>
      <c r="BE6238" s="3" t="s">
        <v>60035</v>
      </c>
      <c r="BF6238" s="3" t="s">
        <v>60034</v>
      </c>
      <c r="BG6238" s="3" t="s">
        <v>60036</v>
      </c>
    </row>
    <row r="6239" spans="1:59" ht="57" x14ac:dyDescent="0.45">
      <c r="A6239" s="2" t="s">
        <v>59</v>
      </c>
      <c r="B6239" s="2" t="s">
        <v>60</v>
      </c>
      <c r="C6239" s="2" t="s">
        <v>60037</v>
      </c>
      <c r="D6239" s="2" t="s">
        <v>60038</v>
      </c>
      <c r="E6239" s="2" t="s">
        <v>60039</v>
      </c>
      <c r="G6239" s="3" t="s">
        <v>62</v>
      </c>
      <c r="I6239" s="3" t="s">
        <v>62</v>
      </c>
      <c r="J6239" s="3" t="s">
        <v>62</v>
      </c>
      <c r="K6239" s="3" t="s">
        <v>63</v>
      </c>
      <c r="L6239" s="2" t="s">
        <v>60040</v>
      </c>
      <c r="M6239" s="2" t="s">
        <v>60041</v>
      </c>
      <c r="N6239" s="3" t="s">
        <v>157</v>
      </c>
      <c r="P6239" s="3" t="s">
        <v>65</v>
      </c>
      <c r="Q6239" s="2" t="s">
        <v>60042</v>
      </c>
      <c r="R6239" s="3" t="s">
        <v>66</v>
      </c>
      <c r="S6239" s="4">
        <v>22</v>
      </c>
      <c r="T6239" s="4">
        <v>22</v>
      </c>
      <c r="U6239" s="5" t="s">
        <v>8714</v>
      </c>
      <c r="V6239" s="5" t="s">
        <v>8714</v>
      </c>
      <c r="W6239" s="5" t="s">
        <v>67</v>
      </c>
      <c r="X6239" s="5" t="s">
        <v>67</v>
      </c>
      <c r="Y6239" s="4">
        <v>278</v>
      </c>
      <c r="Z6239" s="4">
        <v>24</v>
      </c>
      <c r="AA6239" s="4">
        <v>31</v>
      </c>
      <c r="AB6239" s="4">
        <v>2</v>
      </c>
      <c r="AC6239" s="4">
        <v>6</v>
      </c>
      <c r="AD6239" s="4">
        <v>95</v>
      </c>
      <c r="AE6239" s="4">
        <v>101</v>
      </c>
      <c r="AF6239" s="4">
        <v>1</v>
      </c>
      <c r="AG6239" s="4">
        <v>5</v>
      </c>
      <c r="AH6239" s="4">
        <v>83</v>
      </c>
      <c r="AI6239" s="4">
        <v>85</v>
      </c>
      <c r="AJ6239" s="4">
        <v>17</v>
      </c>
      <c r="AK6239" s="4">
        <v>22</v>
      </c>
      <c r="AL6239" s="4">
        <v>47</v>
      </c>
      <c r="AM6239" s="4">
        <v>47</v>
      </c>
      <c r="AN6239" s="4">
        <v>0</v>
      </c>
      <c r="AO6239" s="4">
        <v>0</v>
      </c>
      <c r="AP6239" s="4">
        <v>20</v>
      </c>
      <c r="AQ6239" s="4">
        <v>25</v>
      </c>
      <c r="AR6239" s="3" t="s">
        <v>62</v>
      </c>
      <c r="AS6239" s="3" t="s">
        <v>62</v>
      </c>
      <c r="AT6239" s="3" t="s">
        <v>61</v>
      </c>
      <c r="AU6239" s="6" t="str">
        <f>HYPERLINK("http://catalog.hathitrust.org/Record/000464362","HathiTrust Record")</f>
        <v>HathiTrust Record</v>
      </c>
      <c r="AV6239" s="6" t="str">
        <f>HYPERLINK("http://mcgill.on.worldcat.org/oclc/8891520","Catalog Record")</f>
        <v>Catalog Record</v>
      </c>
      <c r="AW6239" s="6" t="str">
        <f>HYPERLINK("http://www.worldcat.org/oclc/8891520","WorldCat Record")</f>
        <v>WorldCat Record</v>
      </c>
      <c r="AX6239" s="3" t="s">
        <v>60043</v>
      </c>
      <c r="AY6239" s="3" t="s">
        <v>60044</v>
      </c>
      <c r="AZ6239" s="3" t="s">
        <v>60045</v>
      </c>
      <c r="BA6239" s="3" t="s">
        <v>60045</v>
      </c>
      <c r="BB6239" s="3" t="s">
        <v>60046</v>
      </c>
      <c r="BC6239" s="3" t="s">
        <v>142</v>
      </c>
      <c r="BD6239" s="3" t="s">
        <v>68</v>
      </c>
      <c r="BE6239" s="3" t="s">
        <v>60047</v>
      </c>
      <c r="BF6239" s="3" t="s">
        <v>60046</v>
      </c>
      <c r="BG6239" s="3" t="s">
        <v>60048</v>
      </c>
    </row>
    <row r="6240" spans="1:59" ht="57" x14ac:dyDescent="0.45">
      <c r="A6240" s="2" t="s">
        <v>59</v>
      </c>
      <c r="B6240" s="2" t="s">
        <v>60</v>
      </c>
      <c r="C6240" s="2" t="s">
        <v>60049</v>
      </c>
      <c r="D6240" s="2" t="s">
        <v>60050</v>
      </c>
      <c r="E6240" s="2" t="s">
        <v>60051</v>
      </c>
      <c r="G6240" s="3" t="s">
        <v>62</v>
      </c>
      <c r="I6240" s="3" t="s">
        <v>62</v>
      </c>
      <c r="J6240" s="3" t="s">
        <v>62</v>
      </c>
      <c r="K6240" s="3" t="s">
        <v>63</v>
      </c>
      <c r="L6240" s="2" t="s">
        <v>60052</v>
      </c>
      <c r="M6240" s="2" t="s">
        <v>60053</v>
      </c>
      <c r="N6240" s="3" t="s">
        <v>116</v>
      </c>
      <c r="P6240" s="3" t="s">
        <v>326</v>
      </c>
      <c r="R6240" s="3" t="s">
        <v>66</v>
      </c>
      <c r="S6240" s="4">
        <v>0</v>
      </c>
      <c r="T6240" s="4">
        <v>0</v>
      </c>
      <c r="W6240" s="5" t="s">
        <v>67</v>
      </c>
      <c r="X6240" s="5" t="s">
        <v>67</v>
      </c>
      <c r="Y6240" s="4">
        <v>6</v>
      </c>
      <c r="Z6240" s="4">
        <v>1</v>
      </c>
      <c r="AA6240" s="4">
        <v>1</v>
      </c>
      <c r="AB6240" s="4">
        <v>1</v>
      </c>
      <c r="AC6240" s="4">
        <v>1</v>
      </c>
      <c r="AD6240" s="4">
        <v>3</v>
      </c>
      <c r="AE6240" s="4">
        <v>3</v>
      </c>
      <c r="AF6240" s="4">
        <v>0</v>
      </c>
      <c r="AG6240" s="4">
        <v>0</v>
      </c>
      <c r="AH6240" s="4">
        <v>3</v>
      </c>
      <c r="AI6240" s="4">
        <v>3</v>
      </c>
      <c r="AJ6240" s="4">
        <v>0</v>
      </c>
      <c r="AK6240" s="4">
        <v>0</v>
      </c>
      <c r="AL6240" s="4">
        <v>2</v>
      </c>
      <c r="AM6240" s="4">
        <v>2</v>
      </c>
      <c r="AN6240" s="4">
        <v>0</v>
      </c>
      <c r="AO6240" s="4">
        <v>0</v>
      </c>
      <c r="AP6240" s="4">
        <v>0</v>
      </c>
      <c r="AQ6240" s="4">
        <v>0</v>
      </c>
      <c r="AR6240" s="3" t="s">
        <v>62</v>
      </c>
      <c r="AS6240" s="3" t="s">
        <v>62</v>
      </c>
      <c r="AT6240" s="3" t="s">
        <v>62</v>
      </c>
      <c r="AV6240" s="6" t="str">
        <f>HYPERLINK("http://mcgill.on.worldcat.org/oclc/893105006","Catalog Record")</f>
        <v>Catalog Record</v>
      </c>
      <c r="AW6240" s="6" t="str">
        <f>HYPERLINK("http://www.worldcat.org/oclc/893105006","WorldCat Record")</f>
        <v>WorldCat Record</v>
      </c>
      <c r="AX6240" s="3" t="s">
        <v>60054</v>
      </c>
      <c r="AY6240" s="3" t="s">
        <v>60055</v>
      </c>
      <c r="AZ6240" s="3" t="s">
        <v>60056</v>
      </c>
      <c r="BA6240" s="3" t="s">
        <v>60056</v>
      </c>
      <c r="BB6240" s="3" t="s">
        <v>60057</v>
      </c>
      <c r="BC6240" s="3" t="s">
        <v>142</v>
      </c>
      <c r="BD6240" s="3" t="s">
        <v>68</v>
      </c>
      <c r="BE6240" s="3" t="s">
        <v>60058</v>
      </c>
      <c r="BF6240" s="3" t="s">
        <v>60057</v>
      </c>
      <c r="BG6240" s="3" t="s">
        <v>60059</v>
      </c>
    </row>
    <row r="6241" spans="1:59" ht="57" x14ac:dyDescent="0.45">
      <c r="A6241" s="2" t="s">
        <v>59</v>
      </c>
      <c r="B6241" s="2" t="s">
        <v>60</v>
      </c>
      <c r="C6241" s="2" t="s">
        <v>60060</v>
      </c>
      <c r="D6241" s="2" t="s">
        <v>60061</v>
      </c>
      <c r="E6241" s="2" t="s">
        <v>60062</v>
      </c>
      <c r="G6241" s="3" t="s">
        <v>62</v>
      </c>
      <c r="I6241" s="3" t="s">
        <v>62</v>
      </c>
      <c r="J6241" s="3" t="s">
        <v>62</v>
      </c>
      <c r="K6241" s="3" t="s">
        <v>63</v>
      </c>
      <c r="M6241" s="2" t="s">
        <v>60063</v>
      </c>
      <c r="N6241" s="3" t="s">
        <v>1155</v>
      </c>
      <c r="P6241" s="3" t="s">
        <v>65</v>
      </c>
      <c r="Q6241" s="2" t="s">
        <v>60064</v>
      </c>
      <c r="R6241" s="3" t="s">
        <v>66</v>
      </c>
      <c r="S6241" s="4">
        <v>1</v>
      </c>
      <c r="T6241" s="4">
        <v>1</v>
      </c>
      <c r="U6241" s="5" t="s">
        <v>58658</v>
      </c>
      <c r="V6241" s="5" t="s">
        <v>58658</v>
      </c>
      <c r="W6241" s="5" t="s">
        <v>67</v>
      </c>
      <c r="X6241" s="5" t="s">
        <v>67</v>
      </c>
      <c r="Y6241" s="4">
        <v>48</v>
      </c>
      <c r="Z6241" s="4">
        <v>6</v>
      </c>
      <c r="AA6241" s="4">
        <v>12</v>
      </c>
      <c r="AB6241" s="4">
        <v>2</v>
      </c>
      <c r="AC6241" s="4">
        <v>7</v>
      </c>
      <c r="AD6241" s="4">
        <v>16</v>
      </c>
      <c r="AE6241" s="4">
        <v>21</v>
      </c>
      <c r="AF6241" s="4">
        <v>1</v>
      </c>
      <c r="AG6241" s="4">
        <v>4</v>
      </c>
      <c r="AH6241" s="4">
        <v>14</v>
      </c>
      <c r="AI6241" s="4">
        <v>16</v>
      </c>
      <c r="AJ6241" s="4">
        <v>5</v>
      </c>
      <c r="AK6241" s="4">
        <v>7</v>
      </c>
      <c r="AL6241" s="4">
        <v>9</v>
      </c>
      <c r="AM6241" s="4">
        <v>9</v>
      </c>
      <c r="AN6241" s="4">
        <v>0</v>
      </c>
      <c r="AO6241" s="4">
        <v>0</v>
      </c>
      <c r="AP6241" s="4">
        <v>5</v>
      </c>
      <c r="AQ6241" s="4">
        <v>8</v>
      </c>
      <c r="AR6241" s="3" t="s">
        <v>62</v>
      </c>
      <c r="AS6241" s="3" t="s">
        <v>62</v>
      </c>
      <c r="AT6241" s="3" t="s">
        <v>62</v>
      </c>
      <c r="AV6241" s="6" t="str">
        <f>HYPERLINK("http://mcgill.on.worldcat.org/oclc/823742186","Catalog Record")</f>
        <v>Catalog Record</v>
      </c>
      <c r="AW6241" s="6" t="str">
        <f>HYPERLINK("http://www.worldcat.org/oclc/823742186","WorldCat Record")</f>
        <v>WorldCat Record</v>
      </c>
      <c r="AX6241" s="3" t="s">
        <v>60065</v>
      </c>
      <c r="AY6241" s="3" t="s">
        <v>60066</v>
      </c>
      <c r="AZ6241" s="3" t="s">
        <v>60067</v>
      </c>
      <c r="BA6241" s="3" t="s">
        <v>60067</v>
      </c>
      <c r="BB6241" s="3" t="s">
        <v>60068</v>
      </c>
      <c r="BC6241" s="3" t="s">
        <v>142</v>
      </c>
      <c r="BD6241" s="3" t="s">
        <v>68</v>
      </c>
      <c r="BE6241" s="3" t="s">
        <v>60069</v>
      </c>
      <c r="BF6241" s="3" t="s">
        <v>60068</v>
      </c>
      <c r="BG6241" s="3" t="s">
        <v>60070</v>
      </c>
    </row>
    <row r="6242" spans="1:59" ht="57" x14ac:dyDescent="0.45">
      <c r="A6242" s="2" t="s">
        <v>59</v>
      </c>
      <c r="B6242" s="2" t="s">
        <v>60</v>
      </c>
      <c r="C6242" s="2" t="s">
        <v>60071</v>
      </c>
      <c r="D6242" s="2" t="s">
        <v>60072</v>
      </c>
      <c r="E6242" s="2" t="s">
        <v>60073</v>
      </c>
      <c r="G6242" s="3" t="s">
        <v>62</v>
      </c>
      <c r="I6242" s="3" t="s">
        <v>62</v>
      </c>
      <c r="J6242" s="3" t="s">
        <v>62</v>
      </c>
      <c r="K6242" s="3" t="s">
        <v>63</v>
      </c>
      <c r="M6242" s="2" t="s">
        <v>59794</v>
      </c>
      <c r="N6242" s="3" t="s">
        <v>894</v>
      </c>
      <c r="P6242" s="3" t="s">
        <v>65</v>
      </c>
      <c r="R6242" s="3" t="s">
        <v>66</v>
      </c>
      <c r="S6242" s="4">
        <v>0</v>
      </c>
      <c r="T6242" s="4">
        <v>0</v>
      </c>
      <c r="W6242" s="5" t="s">
        <v>67</v>
      </c>
      <c r="X6242" s="5" t="s">
        <v>67</v>
      </c>
      <c r="Y6242" s="4">
        <v>52</v>
      </c>
      <c r="Z6242" s="4">
        <v>8</v>
      </c>
      <c r="AA6242" s="4">
        <v>46</v>
      </c>
      <c r="AB6242" s="4">
        <v>1</v>
      </c>
      <c r="AC6242" s="4">
        <v>13</v>
      </c>
      <c r="AD6242" s="4">
        <v>18</v>
      </c>
      <c r="AE6242" s="4">
        <v>42</v>
      </c>
      <c r="AF6242" s="4">
        <v>0</v>
      </c>
      <c r="AG6242" s="4">
        <v>6</v>
      </c>
      <c r="AH6242" s="4">
        <v>17</v>
      </c>
      <c r="AI6242" s="4">
        <v>28</v>
      </c>
      <c r="AJ6242" s="4">
        <v>5</v>
      </c>
      <c r="AK6242" s="4">
        <v>14</v>
      </c>
      <c r="AL6242" s="4">
        <v>9</v>
      </c>
      <c r="AM6242" s="4">
        <v>16</v>
      </c>
      <c r="AN6242" s="4">
        <v>0</v>
      </c>
      <c r="AO6242" s="4">
        <v>0</v>
      </c>
      <c r="AP6242" s="4">
        <v>6</v>
      </c>
      <c r="AQ6242" s="4">
        <v>21</v>
      </c>
      <c r="AR6242" s="3" t="s">
        <v>62</v>
      </c>
      <c r="AS6242" s="3" t="s">
        <v>62</v>
      </c>
      <c r="AT6242" s="3" t="s">
        <v>62</v>
      </c>
      <c r="AV6242" s="6" t="str">
        <f>HYPERLINK("http://mcgill.on.worldcat.org/oclc/697036792","Catalog Record")</f>
        <v>Catalog Record</v>
      </c>
      <c r="AW6242" s="6" t="str">
        <f>HYPERLINK("http://www.worldcat.org/oclc/697036792","WorldCat Record")</f>
        <v>WorldCat Record</v>
      </c>
      <c r="AX6242" s="3" t="s">
        <v>60074</v>
      </c>
      <c r="AY6242" s="3" t="s">
        <v>60075</v>
      </c>
      <c r="AZ6242" s="3" t="s">
        <v>60076</v>
      </c>
      <c r="BA6242" s="3" t="s">
        <v>60076</v>
      </c>
      <c r="BB6242" s="3" t="s">
        <v>60077</v>
      </c>
      <c r="BC6242" s="3" t="s">
        <v>142</v>
      </c>
      <c r="BD6242" s="3" t="s">
        <v>68</v>
      </c>
      <c r="BE6242" s="3" t="s">
        <v>60078</v>
      </c>
      <c r="BF6242" s="3" t="s">
        <v>60077</v>
      </c>
      <c r="BG6242" s="3" t="s">
        <v>60079</v>
      </c>
    </row>
    <row r="6243" spans="1:59" ht="57" x14ac:dyDescent="0.45">
      <c r="A6243" s="2" t="s">
        <v>59</v>
      </c>
      <c r="B6243" s="2" t="s">
        <v>60</v>
      </c>
      <c r="C6243" s="2" t="s">
        <v>60080</v>
      </c>
      <c r="D6243" s="2" t="s">
        <v>60081</v>
      </c>
      <c r="E6243" s="2" t="s">
        <v>60082</v>
      </c>
      <c r="G6243" s="3" t="s">
        <v>62</v>
      </c>
      <c r="I6243" s="3" t="s">
        <v>62</v>
      </c>
      <c r="J6243" s="3" t="s">
        <v>62</v>
      </c>
      <c r="K6243" s="3" t="s">
        <v>63</v>
      </c>
      <c r="M6243" s="2" t="s">
        <v>60083</v>
      </c>
      <c r="N6243" s="3" t="s">
        <v>1155</v>
      </c>
      <c r="P6243" s="3" t="s">
        <v>110</v>
      </c>
      <c r="Q6243" s="2" t="s">
        <v>60084</v>
      </c>
      <c r="R6243" s="3" t="s">
        <v>66</v>
      </c>
      <c r="S6243" s="4">
        <v>1</v>
      </c>
      <c r="T6243" s="4">
        <v>1</v>
      </c>
      <c r="U6243" s="5" t="s">
        <v>684</v>
      </c>
      <c r="V6243" s="5" t="s">
        <v>684</v>
      </c>
      <c r="W6243" s="5" t="s">
        <v>67</v>
      </c>
      <c r="X6243" s="5" t="s">
        <v>67</v>
      </c>
      <c r="Y6243" s="4">
        <v>12</v>
      </c>
      <c r="Z6243" s="4">
        <v>3</v>
      </c>
      <c r="AA6243" s="4">
        <v>5</v>
      </c>
      <c r="AB6243" s="4">
        <v>1</v>
      </c>
      <c r="AC6243" s="4">
        <v>2</v>
      </c>
      <c r="AD6243" s="4">
        <v>6</v>
      </c>
      <c r="AE6243" s="4">
        <v>8</v>
      </c>
      <c r="AF6243" s="4">
        <v>0</v>
      </c>
      <c r="AG6243" s="4">
        <v>1</v>
      </c>
      <c r="AH6243" s="4">
        <v>5</v>
      </c>
      <c r="AI6243" s="4">
        <v>7</v>
      </c>
      <c r="AJ6243" s="4">
        <v>1</v>
      </c>
      <c r="AK6243" s="4">
        <v>3</v>
      </c>
      <c r="AL6243" s="4">
        <v>6</v>
      </c>
      <c r="AM6243" s="4">
        <v>6</v>
      </c>
      <c r="AN6243" s="4">
        <v>0</v>
      </c>
      <c r="AO6243" s="4">
        <v>0</v>
      </c>
      <c r="AP6243" s="4">
        <v>1</v>
      </c>
      <c r="AQ6243" s="4">
        <v>3</v>
      </c>
      <c r="AR6243" s="3" t="s">
        <v>62</v>
      </c>
      <c r="AS6243" s="3" t="s">
        <v>62</v>
      </c>
      <c r="AT6243" s="3" t="s">
        <v>62</v>
      </c>
      <c r="AV6243" s="6" t="str">
        <f>HYPERLINK("http://mcgill.on.worldcat.org/oclc/823280653","Catalog Record")</f>
        <v>Catalog Record</v>
      </c>
      <c r="AW6243" s="6" t="str">
        <f>HYPERLINK("http://www.worldcat.org/oclc/823280653","WorldCat Record")</f>
        <v>WorldCat Record</v>
      </c>
      <c r="AX6243" s="3" t="s">
        <v>60085</v>
      </c>
      <c r="AY6243" s="3" t="s">
        <v>60086</v>
      </c>
      <c r="AZ6243" s="3" t="s">
        <v>60087</v>
      </c>
      <c r="BA6243" s="3" t="s">
        <v>60087</v>
      </c>
      <c r="BB6243" s="3" t="s">
        <v>60088</v>
      </c>
      <c r="BC6243" s="3" t="s">
        <v>142</v>
      </c>
      <c r="BD6243" s="3" t="s">
        <v>68</v>
      </c>
      <c r="BE6243" s="3" t="s">
        <v>60089</v>
      </c>
      <c r="BF6243" s="3" t="s">
        <v>60088</v>
      </c>
      <c r="BG6243" s="3" t="s">
        <v>60090</v>
      </c>
    </row>
    <row r="6244" spans="1:59" ht="57" x14ac:dyDescent="0.45">
      <c r="A6244" s="2" t="s">
        <v>59</v>
      </c>
      <c r="B6244" s="2" t="s">
        <v>60</v>
      </c>
      <c r="C6244" s="2" t="s">
        <v>60091</v>
      </c>
      <c r="D6244" s="2" t="s">
        <v>60092</v>
      </c>
      <c r="E6244" s="2" t="s">
        <v>60093</v>
      </c>
      <c r="G6244" s="3" t="s">
        <v>62</v>
      </c>
      <c r="I6244" s="3" t="s">
        <v>62</v>
      </c>
      <c r="J6244" s="3" t="s">
        <v>62</v>
      </c>
      <c r="K6244" s="3" t="s">
        <v>63</v>
      </c>
      <c r="L6244" s="2" t="s">
        <v>58340</v>
      </c>
      <c r="M6244" s="2" t="s">
        <v>6523</v>
      </c>
      <c r="N6244" s="3" t="s">
        <v>1059</v>
      </c>
      <c r="P6244" s="3" t="s">
        <v>65</v>
      </c>
      <c r="R6244" s="3" t="s">
        <v>66</v>
      </c>
      <c r="S6244" s="4">
        <v>15</v>
      </c>
      <c r="T6244" s="4">
        <v>15</v>
      </c>
      <c r="U6244" s="5" t="s">
        <v>17272</v>
      </c>
      <c r="V6244" s="5" t="s">
        <v>17272</v>
      </c>
      <c r="W6244" s="5" t="s">
        <v>67</v>
      </c>
      <c r="X6244" s="5" t="s">
        <v>67</v>
      </c>
      <c r="Y6244" s="4">
        <v>241</v>
      </c>
      <c r="Z6244" s="4">
        <v>14</v>
      </c>
      <c r="AA6244" s="4">
        <v>63</v>
      </c>
      <c r="AB6244" s="4">
        <v>2</v>
      </c>
      <c r="AC6244" s="4">
        <v>18</v>
      </c>
      <c r="AD6244" s="4">
        <v>68</v>
      </c>
      <c r="AE6244" s="4">
        <v>109</v>
      </c>
      <c r="AF6244" s="4">
        <v>1</v>
      </c>
      <c r="AG6244" s="4">
        <v>8</v>
      </c>
      <c r="AH6244" s="4">
        <v>63</v>
      </c>
      <c r="AI6244" s="4">
        <v>70</v>
      </c>
      <c r="AJ6244" s="4">
        <v>12</v>
      </c>
      <c r="AK6244" s="4">
        <v>24</v>
      </c>
      <c r="AL6244" s="4">
        <v>37</v>
      </c>
      <c r="AM6244" s="4">
        <v>39</v>
      </c>
      <c r="AN6244" s="4">
        <v>0</v>
      </c>
      <c r="AO6244" s="4">
        <v>0</v>
      </c>
      <c r="AP6244" s="4">
        <v>12</v>
      </c>
      <c r="AQ6244" s="4">
        <v>48</v>
      </c>
      <c r="AR6244" s="3" t="s">
        <v>62</v>
      </c>
      <c r="AS6244" s="3" t="s">
        <v>62</v>
      </c>
      <c r="AT6244" s="3" t="s">
        <v>62</v>
      </c>
      <c r="AV6244" s="6" t="str">
        <f>HYPERLINK("http://mcgill.on.worldcat.org/oclc/61309350","Catalog Record")</f>
        <v>Catalog Record</v>
      </c>
      <c r="AW6244" s="6" t="str">
        <f>HYPERLINK("http://www.worldcat.org/oclc/61309350","WorldCat Record")</f>
        <v>WorldCat Record</v>
      </c>
      <c r="AX6244" s="3" t="s">
        <v>60094</v>
      </c>
      <c r="AY6244" s="3" t="s">
        <v>60095</v>
      </c>
      <c r="AZ6244" s="3" t="s">
        <v>60096</v>
      </c>
      <c r="BA6244" s="3" t="s">
        <v>60096</v>
      </c>
      <c r="BB6244" s="3" t="s">
        <v>60097</v>
      </c>
      <c r="BC6244" s="3" t="s">
        <v>142</v>
      </c>
      <c r="BD6244" s="3" t="s">
        <v>68</v>
      </c>
      <c r="BE6244" s="3" t="s">
        <v>60098</v>
      </c>
      <c r="BF6244" s="3" t="s">
        <v>60097</v>
      </c>
      <c r="BG6244" s="3" t="s">
        <v>60099</v>
      </c>
    </row>
    <row r="6245" spans="1:59" ht="57" x14ac:dyDescent="0.45">
      <c r="A6245" s="2" t="s">
        <v>59</v>
      </c>
      <c r="B6245" s="2" t="s">
        <v>60</v>
      </c>
      <c r="C6245" s="2" t="s">
        <v>60100</v>
      </c>
      <c r="D6245" s="2" t="s">
        <v>60101</v>
      </c>
      <c r="E6245" s="2" t="s">
        <v>60102</v>
      </c>
      <c r="G6245" s="3" t="s">
        <v>62</v>
      </c>
      <c r="I6245" s="3" t="s">
        <v>62</v>
      </c>
      <c r="J6245" s="3" t="s">
        <v>61</v>
      </c>
      <c r="K6245" s="3" t="s">
        <v>63</v>
      </c>
      <c r="L6245" s="2" t="s">
        <v>60103</v>
      </c>
      <c r="M6245" s="2" t="s">
        <v>60104</v>
      </c>
      <c r="N6245" s="3" t="s">
        <v>1155</v>
      </c>
      <c r="O6245" s="2" t="s">
        <v>60105</v>
      </c>
      <c r="P6245" s="3" t="s">
        <v>110</v>
      </c>
      <c r="Q6245" s="2" t="s">
        <v>60106</v>
      </c>
      <c r="R6245" s="3" t="s">
        <v>66</v>
      </c>
      <c r="S6245" s="4">
        <v>1</v>
      </c>
      <c r="T6245" s="4">
        <v>1</v>
      </c>
      <c r="U6245" s="5" t="s">
        <v>328</v>
      </c>
      <c r="V6245" s="5" t="s">
        <v>328</v>
      </c>
      <c r="W6245" s="5" t="s">
        <v>67</v>
      </c>
      <c r="X6245" s="5" t="s">
        <v>67</v>
      </c>
      <c r="Y6245" s="4">
        <v>21</v>
      </c>
      <c r="Z6245" s="4">
        <v>17</v>
      </c>
      <c r="AA6245" s="4">
        <v>71</v>
      </c>
      <c r="AB6245" s="4">
        <v>10</v>
      </c>
      <c r="AC6245" s="4">
        <v>23</v>
      </c>
      <c r="AD6245" s="4">
        <v>12</v>
      </c>
      <c r="AE6245" s="4">
        <v>59</v>
      </c>
      <c r="AF6245" s="4">
        <v>4</v>
      </c>
      <c r="AG6245" s="4">
        <v>7</v>
      </c>
      <c r="AH6245" s="4">
        <v>4</v>
      </c>
      <c r="AI6245" s="4">
        <v>29</v>
      </c>
      <c r="AJ6245" s="4">
        <v>8</v>
      </c>
      <c r="AK6245" s="4">
        <v>21</v>
      </c>
      <c r="AL6245" s="4">
        <v>1</v>
      </c>
      <c r="AM6245" s="4">
        <v>16</v>
      </c>
      <c r="AN6245" s="4">
        <v>0</v>
      </c>
      <c r="AO6245" s="4">
        <v>0</v>
      </c>
      <c r="AP6245" s="4">
        <v>9</v>
      </c>
      <c r="AQ6245" s="4">
        <v>35</v>
      </c>
      <c r="AR6245" s="3" t="s">
        <v>61</v>
      </c>
      <c r="AS6245" s="3" t="s">
        <v>62</v>
      </c>
      <c r="AT6245" s="3" t="s">
        <v>62</v>
      </c>
      <c r="AV6245" s="6" t="str">
        <f>HYPERLINK("http://mcgill.on.worldcat.org/oclc/766389930","Catalog Record")</f>
        <v>Catalog Record</v>
      </c>
      <c r="AW6245" s="6" t="str">
        <f>HYPERLINK("http://www.worldcat.org/oclc/766389930","WorldCat Record")</f>
        <v>WorldCat Record</v>
      </c>
      <c r="AX6245" s="3" t="s">
        <v>60107</v>
      </c>
      <c r="AY6245" s="3" t="s">
        <v>60108</v>
      </c>
      <c r="AZ6245" s="3" t="s">
        <v>60109</v>
      </c>
      <c r="BA6245" s="3" t="s">
        <v>60109</v>
      </c>
      <c r="BB6245" s="3" t="s">
        <v>60110</v>
      </c>
      <c r="BC6245" s="3" t="s">
        <v>142</v>
      </c>
      <c r="BD6245" s="3" t="s">
        <v>68</v>
      </c>
      <c r="BE6245" s="3" t="s">
        <v>60111</v>
      </c>
      <c r="BF6245" s="3" t="s">
        <v>60110</v>
      </c>
      <c r="BG6245" s="3" t="s">
        <v>60112</v>
      </c>
    </row>
    <row r="6246" spans="1:59" ht="57" x14ac:dyDescent="0.45">
      <c r="A6246" s="2" t="s">
        <v>59</v>
      </c>
      <c r="B6246" s="2" t="s">
        <v>60</v>
      </c>
      <c r="C6246" s="2" t="s">
        <v>60113</v>
      </c>
      <c r="D6246" s="2" t="s">
        <v>60114</v>
      </c>
      <c r="E6246" s="2" t="s">
        <v>60115</v>
      </c>
      <c r="G6246" s="3" t="s">
        <v>62</v>
      </c>
      <c r="I6246" s="3" t="s">
        <v>62</v>
      </c>
      <c r="J6246" s="3" t="s">
        <v>62</v>
      </c>
      <c r="K6246" s="3" t="s">
        <v>63</v>
      </c>
      <c r="L6246" s="2" t="s">
        <v>60116</v>
      </c>
      <c r="M6246" s="2" t="s">
        <v>60117</v>
      </c>
      <c r="N6246" s="3" t="s">
        <v>958</v>
      </c>
      <c r="P6246" s="3" t="s">
        <v>65</v>
      </c>
      <c r="R6246" s="3" t="s">
        <v>66</v>
      </c>
      <c r="S6246" s="4">
        <v>17</v>
      </c>
      <c r="T6246" s="4">
        <v>17</v>
      </c>
      <c r="U6246" s="5" t="s">
        <v>9867</v>
      </c>
      <c r="V6246" s="5" t="s">
        <v>9867</v>
      </c>
      <c r="W6246" s="5" t="s">
        <v>67</v>
      </c>
      <c r="X6246" s="5" t="s">
        <v>67</v>
      </c>
      <c r="Y6246" s="4">
        <v>238</v>
      </c>
      <c r="Z6246" s="4">
        <v>12</v>
      </c>
      <c r="AA6246" s="4">
        <v>17</v>
      </c>
      <c r="AB6246" s="4">
        <v>2</v>
      </c>
      <c r="AC6246" s="4">
        <v>4</v>
      </c>
      <c r="AD6246" s="4">
        <v>95</v>
      </c>
      <c r="AE6246" s="4">
        <v>100</v>
      </c>
      <c r="AF6246" s="4">
        <v>1</v>
      </c>
      <c r="AG6246" s="4">
        <v>3</v>
      </c>
      <c r="AH6246" s="4">
        <v>88</v>
      </c>
      <c r="AI6246" s="4">
        <v>89</v>
      </c>
      <c r="AJ6246" s="4">
        <v>8</v>
      </c>
      <c r="AK6246" s="4">
        <v>12</v>
      </c>
      <c r="AL6246" s="4">
        <v>51</v>
      </c>
      <c r="AM6246" s="4">
        <v>52</v>
      </c>
      <c r="AN6246" s="4">
        <v>0</v>
      </c>
      <c r="AO6246" s="4">
        <v>0</v>
      </c>
      <c r="AP6246" s="4">
        <v>10</v>
      </c>
      <c r="AQ6246" s="4">
        <v>13</v>
      </c>
      <c r="AR6246" s="3" t="s">
        <v>62</v>
      </c>
      <c r="AS6246" s="3" t="s">
        <v>62</v>
      </c>
      <c r="AT6246" s="3" t="s">
        <v>61</v>
      </c>
      <c r="AU6246" s="6" t="str">
        <f>HYPERLINK("http://catalog.hathitrust.org/Record/003114600","HathiTrust Record")</f>
        <v>HathiTrust Record</v>
      </c>
      <c r="AV6246" s="6" t="str">
        <f>HYPERLINK("http://mcgill.on.worldcat.org/oclc/31866854","Catalog Record")</f>
        <v>Catalog Record</v>
      </c>
      <c r="AW6246" s="6" t="str">
        <f>HYPERLINK("http://www.worldcat.org/oclc/31866854","WorldCat Record")</f>
        <v>WorldCat Record</v>
      </c>
      <c r="AX6246" s="3" t="s">
        <v>60118</v>
      </c>
      <c r="AY6246" s="3" t="s">
        <v>60119</v>
      </c>
      <c r="AZ6246" s="3" t="s">
        <v>60120</v>
      </c>
      <c r="BA6246" s="3" t="s">
        <v>60120</v>
      </c>
      <c r="BB6246" s="3" t="s">
        <v>60121</v>
      </c>
      <c r="BC6246" s="3" t="s">
        <v>142</v>
      </c>
      <c r="BD6246" s="3" t="s">
        <v>68</v>
      </c>
      <c r="BE6246" s="3" t="s">
        <v>60122</v>
      </c>
      <c r="BF6246" s="3" t="s">
        <v>60121</v>
      </c>
      <c r="BG6246" s="3" t="s">
        <v>60123</v>
      </c>
    </row>
    <row r="6247" spans="1:59" ht="57" x14ac:dyDescent="0.45">
      <c r="A6247" s="2" t="s">
        <v>59</v>
      </c>
      <c r="B6247" s="2" t="s">
        <v>60</v>
      </c>
      <c r="C6247" s="2" t="s">
        <v>60124</v>
      </c>
      <c r="D6247" s="2" t="s">
        <v>60125</v>
      </c>
      <c r="E6247" s="2" t="s">
        <v>60126</v>
      </c>
      <c r="G6247" s="3" t="s">
        <v>62</v>
      </c>
      <c r="I6247" s="3" t="s">
        <v>62</v>
      </c>
      <c r="J6247" s="3" t="s">
        <v>62</v>
      </c>
      <c r="K6247" s="3" t="s">
        <v>63</v>
      </c>
      <c r="L6247" s="2" t="s">
        <v>58440</v>
      </c>
      <c r="M6247" s="2" t="s">
        <v>60127</v>
      </c>
      <c r="N6247" s="3" t="s">
        <v>167</v>
      </c>
      <c r="O6247" s="2" t="s">
        <v>60128</v>
      </c>
      <c r="P6247" s="3" t="s">
        <v>110</v>
      </c>
      <c r="Q6247" s="2" t="s">
        <v>60129</v>
      </c>
      <c r="R6247" s="3" t="s">
        <v>66</v>
      </c>
      <c r="S6247" s="4">
        <v>26</v>
      </c>
      <c r="T6247" s="4">
        <v>26</v>
      </c>
      <c r="U6247" s="5" t="s">
        <v>3388</v>
      </c>
      <c r="V6247" s="5" t="s">
        <v>3388</v>
      </c>
      <c r="W6247" s="5" t="s">
        <v>67</v>
      </c>
      <c r="X6247" s="5" t="s">
        <v>67</v>
      </c>
      <c r="Y6247" s="4">
        <v>53</v>
      </c>
      <c r="Z6247" s="4">
        <v>8</v>
      </c>
      <c r="AA6247" s="4">
        <v>20</v>
      </c>
      <c r="AB6247" s="4">
        <v>3</v>
      </c>
      <c r="AC6247" s="4">
        <v>10</v>
      </c>
      <c r="AD6247" s="4">
        <v>18</v>
      </c>
      <c r="AE6247" s="4">
        <v>31</v>
      </c>
      <c r="AF6247" s="4">
        <v>0</v>
      </c>
      <c r="AG6247" s="4">
        <v>6</v>
      </c>
      <c r="AH6247" s="4">
        <v>17</v>
      </c>
      <c r="AI6247" s="4">
        <v>24</v>
      </c>
      <c r="AJ6247" s="4">
        <v>4</v>
      </c>
      <c r="AK6247" s="4">
        <v>12</v>
      </c>
      <c r="AL6247" s="4">
        <v>10</v>
      </c>
      <c r="AM6247" s="4">
        <v>14</v>
      </c>
      <c r="AN6247" s="4">
        <v>0</v>
      </c>
      <c r="AO6247" s="4">
        <v>0</v>
      </c>
      <c r="AP6247" s="4">
        <v>4</v>
      </c>
      <c r="AQ6247" s="4">
        <v>13</v>
      </c>
      <c r="AR6247" s="3" t="s">
        <v>62</v>
      </c>
      <c r="AS6247" s="3" t="s">
        <v>62</v>
      </c>
      <c r="AT6247" s="3" t="s">
        <v>61</v>
      </c>
      <c r="AU6247" s="6" t="str">
        <f>HYPERLINK("http://catalog.hathitrust.org/Record/007014941","HathiTrust Record")</f>
        <v>HathiTrust Record</v>
      </c>
      <c r="AV6247" s="6" t="str">
        <f>HYPERLINK("http://mcgill.on.worldcat.org/oclc/43165120","Catalog Record")</f>
        <v>Catalog Record</v>
      </c>
      <c r="AW6247" s="6" t="str">
        <f>HYPERLINK("http://www.worldcat.org/oclc/43165120","WorldCat Record")</f>
        <v>WorldCat Record</v>
      </c>
      <c r="AX6247" s="3" t="s">
        <v>60130</v>
      </c>
      <c r="AY6247" s="3" t="s">
        <v>60131</v>
      </c>
      <c r="AZ6247" s="3" t="s">
        <v>60132</v>
      </c>
      <c r="BA6247" s="3" t="s">
        <v>60132</v>
      </c>
      <c r="BB6247" s="3" t="s">
        <v>60133</v>
      </c>
      <c r="BC6247" s="3" t="s">
        <v>142</v>
      </c>
      <c r="BD6247" s="3" t="s">
        <v>68</v>
      </c>
      <c r="BE6247" s="3" t="s">
        <v>60134</v>
      </c>
      <c r="BF6247" s="3" t="s">
        <v>60133</v>
      </c>
      <c r="BG6247" s="3" t="s">
        <v>60135</v>
      </c>
    </row>
    <row r="6248" spans="1:59" ht="57" x14ac:dyDescent="0.45">
      <c r="A6248" s="2" t="s">
        <v>59</v>
      </c>
      <c r="B6248" s="2" t="s">
        <v>60</v>
      </c>
      <c r="C6248" s="2" t="s">
        <v>60136</v>
      </c>
      <c r="D6248" s="2" t="s">
        <v>60137</v>
      </c>
      <c r="E6248" s="2" t="s">
        <v>60138</v>
      </c>
      <c r="G6248" s="3" t="s">
        <v>62</v>
      </c>
      <c r="I6248" s="3" t="s">
        <v>61</v>
      </c>
      <c r="J6248" s="3" t="s">
        <v>62</v>
      </c>
      <c r="K6248" s="3" t="s">
        <v>63</v>
      </c>
      <c r="M6248" s="2" t="s">
        <v>60139</v>
      </c>
      <c r="N6248" s="3" t="s">
        <v>958</v>
      </c>
      <c r="P6248" s="3" t="s">
        <v>65</v>
      </c>
      <c r="Q6248" s="2" t="s">
        <v>54732</v>
      </c>
      <c r="R6248" s="3" t="s">
        <v>66</v>
      </c>
      <c r="S6248" s="4">
        <v>15</v>
      </c>
      <c r="T6248" s="4">
        <v>68</v>
      </c>
      <c r="U6248" s="5" t="s">
        <v>60140</v>
      </c>
      <c r="V6248" s="5" t="s">
        <v>42646</v>
      </c>
      <c r="W6248" s="5" t="s">
        <v>67</v>
      </c>
      <c r="X6248" s="5" t="s">
        <v>67</v>
      </c>
      <c r="Y6248" s="4">
        <v>384</v>
      </c>
      <c r="Z6248" s="4">
        <v>20</v>
      </c>
      <c r="AA6248" s="4">
        <v>26</v>
      </c>
      <c r="AB6248" s="4">
        <v>2</v>
      </c>
      <c r="AC6248" s="4">
        <v>6</v>
      </c>
      <c r="AD6248" s="4">
        <v>105</v>
      </c>
      <c r="AE6248" s="4">
        <v>112</v>
      </c>
      <c r="AF6248" s="4">
        <v>1</v>
      </c>
      <c r="AG6248" s="4">
        <v>4</v>
      </c>
      <c r="AH6248" s="4">
        <v>95</v>
      </c>
      <c r="AI6248" s="4">
        <v>99</v>
      </c>
      <c r="AJ6248" s="4">
        <v>15</v>
      </c>
      <c r="AK6248" s="4">
        <v>19</v>
      </c>
      <c r="AL6248" s="4">
        <v>53</v>
      </c>
      <c r="AM6248" s="4">
        <v>55</v>
      </c>
      <c r="AN6248" s="4">
        <v>0</v>
      </c>
      <c r="AO6248" s="4">
        <v>0</v>
      </c>
      <c r="AP6248" s="4">
        <v>16</v>
      </c>
      <c r="AQ6248" s="4">
        <v>20</v>
      </c>
      <c r="AR6248" s="3" t="s">
        <v>62</v>
      </c>
      <c r="AS6248" s="3" t="s">
        <v>62</v>
      </c>
      <c r="AT6248" s="3" t="s">
        <v>61</v>
      </c>
      <c r="AU6248" s="6" t="str">
        <f>HYPERLINK("http://catalog.hathitrust.org/Record/003061400","HathiTrust Record")</f>
        <v>HathiTrust Record</v>
      </c>
      <c r="AV6248" s="6" t="str">
        <f>HYPERLINK("http://mcgill.on.worldcat.org/oclc/31436589","Catalog Record")</f>
        <v>Catalog Record</v>
      </c>
      <c r="AW6248" s="6" t="str">
        <f>HYPERLINK("http://www.worldcat.org/oclc/31436589","WorldCat Record")</f>
        <v>WorldCat Record</v>
      </c>
      <c r="AX6248" s="3" t="s">
        <v>60141</v>
      </c>
      <c r="AY6248" s="3" t="s">
        <v>60142</v>
      </c>
      <c r="AZ6248" s="3" t="s">
        <v>60143</v>
      </c>
      <c r="BA6248" s="3" t="s">
        <v>60143</v>
      </c>
      <c r="BB6248" s="3" t="s">
        <v>60144</v>
      </c>
      <c r="BC6248" s="3" t="s">
        <v>142</v>
      </c>
      <c r="BD6248" s="3" t="s">
        <v>68</v>
      </c>
      <c r="BE6248" s="3" t="s">
        <v>60145</v>
      </c>
      <c r="BF6248" s="3" t="s">
        <v>60144</v>
      </c>
      <c r="BG6248" s="3" t="s">
        <v>60146</v>
      </c>
    </row>
    <row r="6249" spans="1:59" ht="57" x14ac:dyDescent="0.45">
      <c r="A6249" s="2" t="s">
        <v>59</v>
      </c>
      <c r="B6249" s="2" t="s">
        <v>60</v>
      </c>
      <c r="C6249" s="2" t="s">
        <v>60136</v>
      </c>
      <c r="D6249" s="2" t="s">
        <v>60137</v>
      </c>
      <c r="E6249" s="2" t="s">
        <v>60138</v>
      </c>
      <c r="G6249" s="3" t="s">
        <v>62</v>
      </c>
      <c r="I6249" s="3" t="s">
        <v>61</v>
      </c>
      <c r="J6249" s="3" t="s">
        <v>62</v>
      </c>
      <c r="K6249" s="3" t="s">
        <v>63</v>
      </c>
      <c r="M6249" s="2" t="s">
        <v>60139</v>
      </c>
      <c r="N6249" s="3" t="s">
        <v>958</v>
      </c>
      <c r="P6249" s="3" t="s">
        <v>65</v>
      </c>
      <c r="Q6249" s="2" t="s">
        <v>54732</v>
      </c>
      <c r="R6249" s="3" t="s">
        <v>66</v>
      </c>
      <c r="S6249" s="4">
        <v>53</v>
      </c>
      <c r="T6249" s="4">
        <v>68</v>
      </c>
      <c r="U6249" s="5" t="s">
        <v>42646</v>
      </c>
      <c r="V6249" s="5" t="s">
        <v>42646</v>
      </c>
      <c r="W6249" s="5" t="s">
        <v>67</v>
      </c>
      <c r="X6249" s="5" t="s">
        <v>67</v>
      </c>
      <c r="Y6249" s="4">
        <v>384</v>
      </c>
      <c r="Z6249" s="4">
        <v>20</v>
      </c>
      <c r="AA6249" s="4">
        <v>26</v>
      </c>
      <c r="AB6249" s="4">
        <v>2</v>
      </c>
      <c r="AC6249" s="4">
        <v>6</v>
      </c>
      <c r="AD6249" s="4">
        <v>105</v>
      </c>
      <c r="AE6249" s="4">
        <v>112</v>
      </c>
      <c r="AF6249" s="4">
        <v>1</v>
      </c>
      <c r="AG6249" s="4">
        <v>4</v>
      </c>
      <c r="AH6249" s="4">
        <v>95</v>
      </c>
      <c r="AI6249" s="4">
        <v>99</v>
      </c>
      <c r="AJ6249" s="4">
        <v>15</v>
      </c>
      <c r="AK6249" s="4">
        <v>19</v>
      </c>
      <c r="AL6249" s="4">
        <v>53</v>
      </c>
      <c r="AM6249" s="4">
        <v>55</v>
      </c>
      <c r="AN6249" s="4">
        <v>0</v>
      </c>
      <c r="AO6249" s="4">
        <v>0</v>
      </c>
      <c r="AP6249" s="4">
        <v>16</v>
      </c>
      <c r="AQ6249" s="4">
        <v>20</v>
      </c>
      <c r="AR6249" s="3" t="s">
        <v>62</v>
      </c>
      <c r="AS6249" s="3" t="s">
        <v>62</v>
      </c>
      <c r="AT6249" s="3" t="s">
        <v>61</v>
      </c>
      <c r="AU6249" s="6" t="str">
        <f>HYPERLINK("http://catalog.hathitrust.org/Record/003061400","HathiTrust Record")</f>
        <v>HathiTrust Record</v>
      </c>
      <c r="AV6249" s="6" t="str">
        <f>HYPERLINK("http://mcgill.on.worldcat.org/oclc/31436589","Catalog Record")</f>
        <v>Catalog Record</v>
      </c>
      <c r="AW6249" s="6" t="str">
        <f>HYPERLINK("http://www.worldcat.org/oclc/31436589","WorldCat Record")</f>
        <v>WorldCat Record</v>
      </c>
      <c r="AX6249" s="3" t="s">
        <v>60141</v>
      </c>
      <c r="AY6249" s="3" t="s">
        <v>60142</v>
      </c>
      <c r="AZ6249" s="3" t="s">
        <v>60143</v>
      </c>
      <c r="BA6249" s="3" t="s">
        <v>60143</v>
      </c>
      <c r="BB6249" s="3" t="s">
        <v>60147</v>
      </c>
      <c r="BC6249" s="3" t="s">
        <v>142</v>
      </c>
      <c r="BD6249" s="3" t="s">
        <v>68</v>
      </c>
      <c r="BE6249" s="3" t="s">
        <v>60145</v>
      </c>
      <c r="BF6249" s="3" t="s">
        <v>60147</v>
      </c>
      <c r="BG6249" s="3" t="s">
        <v>60148</v>
      </c>
    </row>
    <row r="6250" spans="1:59" ht="57" x14ac:dyDescent="0.45">
      <c r="A6250" s="2" t="s">
        <v>59</v>
      </c>
      <c r="B6250" s="2" t="s">
        <v>60</v>
      </c>
      <c r="C6250" s="2" t="s">
        <v>60149</v>
      </c>
      <c r="D6250" s="2" t="s">
        <v>60150</v>
      </c>
      <c r="E6250" s="2" t="s">
        <v>60151</v>
      </c>
      <c r="G6250" s="3" t="s">
        <v>62</v>
      </c>
      <c r="I6250" s="3" t="s">
        <v>62</v>
      </c>
      <c r="J6250" s="3" t="s">
        <v>62</v>
      </c>
      <c r="K6250" s="3" t="s">
        <v>63</v>
      </c>
      <c r="L6250" s="2" t="s">
        <v>58474</v>
      </c>
      <c r="M6250" s="2" t="s">
        <v>60152</v>
      </c>
      <c r="N6250" s="3" t="s">
        <v>1059</v>
      </c>
      <c r="P6250" s="3" t="s">
        <v>65</v>
      </c>
      <c r="Q6250" s="2" t="s">
        <v>60153</v>
      </c>
      <c r="R6250" s="3" t="s">
        <v>66</v>
      </c>
      <c r="S6250" s="4">
        <v>6</v>
      </c>
      <c r="T6250" s="4">
        <v>6</v>
      </c>
      <c r="U6250" s="5" t="s">
        <v>3611</v>
      </c>
      <c r="V6250" s="5" t="s">
        <v>3611</v>
      </c>
      <c r="W6250" s="5" t="s">
        <v>67</v>
      </c>
      <c r="X6250" s="5" t="s">
        <v>67</v>
      </c>
      <c r="Y6250" s="4">
        <v>123</v>
      </c>
      <c r="Z6250" s="4">
        <v>14</v>
      </c>
      <c r="AA6250" s="4">
        <v>21</v>
      </c>
      <c r="AB6250" s="4">
        <v>2</v>
      </c>
      <c r="AC6250" s="4">
        <v>8</v>
      </c>
      <c r="AD6250" s="4">
        <v>39</v>
      </c>
      <c r="AE6250" s="4">
        <v>46</v>
      </c>
      <c r="AF6250" s="4">
        <v>1</v>
      </c>
      <c r="AG6250" s="4">
        <v>4</v>
      </c>
      <c r="AH6250" s="4">
        <v>34</v>
      </c>
      <c r="AI6250" s="4">
        <v>38</v>
      </c>
      <c r="AJ6250" s="4">
        <v>11</v>
      </c>
      <c r="AK6250" s="4">
        <v>13</v>
      </c>
      <c r="AL6250" s="4">
        <v>22</v>
      </c>
      <c r="AM6250" s="4">
        <v>24</v>
      </c>
      <c r="AN6250" s="4">
        <v>0</v>
      </c>
      <c r="AO6250" s="4">
        <v>0</v>
      </c>
      <c r="AP6250" s="4">
        <v>12</v>
      </c>
      <c r="AQ6250" s="4">
        <v>15</v>
      </c>
      <c r="AR6250" s="3" t="s">
        <v>62</v>
      </c>
      <c r="AS6250" s="3" t="s">
        <v>62</v>
      </c>
      <c r="AT6250" s="3" t="s">
        <v>62</v>
      </c>
      <c r="AV6250" s="6" t="str">
        <f>HYPERLINK("http://mcgill.on.worldcat.org/oclc/70687430","Catalog Record")</f>
        <v>Catalog Record</v>
      </c>
      <c r="AW6250" s="6" t="str">
        <f>HYPERLINK("http://www.worldcat.org/oclc/70687430","WorldCat Record")</f>
        <v>WorldCat Record</v>
      </c>
      <c r="AX6250" s="3" t="s">
        <v>60154</v>
      </c>
      <c r="AY6250" s="3" t="s">
        <v>60155</v>
      </c>
      <c r="AZ6250" s="3" t="s">
        <v>60156</v>
      </c>
      <c r="BA6250" s="3" t="s">
        <v>60156</v>
      </c>
      <c r="BB6250" s="3" t="s">
        <v>60157</v>
      </c>
      <c r="BC6250" s="3" t="s">
        <v>142</v>
      </c>
      <c r="BD6250" s="3" t="s">
        <v>68</v>
      </c>
      <c r="BE6250" s="3" t="s">
        <v>60158</v>
      </c>
      <c r="BF6250" s="3" t="s">
        <v>60157</v>
      </c>
      <c r="BG6250" s="3" t="s">
        <v>60159</v>
      </c>
    </row>
    <row r="6251" spans="1:59" ht="57" x14ac:dyDescent="0.45">
      <c r="A6251" s="2" t="s">
        <v>59</v>
      </c>
      <c r="B6251" s="2" t="s">
        <v>60</v>
      </c>
      <c r="C6251" s="2" t="s">
        <v>60160</v>
      </c>
      <c r="D6251" s="2" t="s">
        <v>60161</v>
      </c>
      <c r="E6251" s="2" t="s">
        <v>60162</v>
      </c>
      <c r="G6251" s="3" t="s">
        <v>62</v>
      </c>
      <c r="I6251" s="3" t="s">
        <v>62</v>
      </c>
      <c r="J6251" s="3" t="s">
        <v>62</v>
      </c>
      <c r="K6251" s="3" t="s">
        <v>63</v>
      </c>
      <c r="L6251" s="2" t="s">
        <v>60163</v>
      </c>
      <c r="M6251" s="2" t="s">
        <v>60164</v>
      </c>
      <c r="N6251" s="3" t="s">
        <v>116</v>
      </c>
      <c r="P6251" s="3" t="s">
        <v>65</v>
      </c>
      <c r="R6251" s="3" t="s">
        <v>66</v>
      </c>
      <c r="S6251" s="4">
        <v>1</v>
      </c>
      <c r="T6251" s="4">
        <v>1</v>
      </c>
      <c r="U6251" s="5" t="s">
        <v>60165</v>
      </c>
      <c r="V6251" s="5" t="s">
        <v>60165</v>
      </c>
      <c r="W6251" s="5" t="s">
        <v>67</v>
      </c>
      <c r="X6251" s="5" t="s">
        <v>67</v>
      </c>
      <c r="Y6251" s="4">
        <v>84</v>
      </c>
      <c r="Z6251" s="4">
        <v>5</v>
      </c>
      <c r="AA6251" s="4">
        <v>5</v>
      </c>
      <c r="AB6251" s="4">
        <v>1</v>
      </c>
      <c r="AC6251" s="4">
        <v>1</v>
      </c>
      <c r="AD6251" s="4">
        <v>43</v>
      </c>
      <c r="AE6251" s="4">
        <v>43</v>
      </c>
      <c r="AF6251" s="4">
        <v>0</v>
      </c>
      <c r="AG6251" s="4">
        <v>0</v>
      </c>
      <c r="AH6251" s="4">
        <v>42</v>
      </c>
      <c r="AI6251" s="4">
        <v>42</v>
      </c>
      <c r="AJ6251" s="4">
        <v>3</v>
      </c>
      <c r="AK6251" s="4">
        <v>3</v>
      </c>
      <c r="AL6251" s="4">
        <v>28</v>
      </c>
      <c r="AM6251" s="4">
        <v>28</v>
      </c>
      <c r="AN6251" s="4">
        <v>0</v>
      </c>
      <c r="AO6251" s="4">
        <v>0</v>
      </c>
      <c r="AP6251" s="4">
        <v>3</v>
      </c>
      <c r="AQ6251" s="4">
        <v>3</v>
      </c>
      <c r="AR6251" s="3" t="s">
        <v>62</v>
      </c>
      <c r="AS6251" s="3" t="s">
        <v>62</v>
      </c>
      <c r="AT6251" s="3" t="s">
        <v>62</v>
      </c>
      <c r="AV6251" s="6" t="str">
        <f>HYPERLINK("http://mcgill.on.worldcat.org/oclc/868199489","Catalog Record")</f>
        <v>Catalog Record</v>
      </c>
      <c r="AW6251" s="6" t="str">
        <f>HYPERLINK("http://www.worldcat.org/oclc/868199489","WorldCat Record")</f>
        <v>WorldCat Record</v>
      </c>
      <c r="AX6251" s="3" t="s">
        <v>60166</v>
      </c>
      <c r="AY6251" s="3" t="s">
        <v>60167</v>
      </c>
      <c r="AZ6251" s="3" t="s">
        <v>60168</v>
      </c>
      <c r="BA6251" s="3" t="s">
        <v>60168</v>
      </c>
      <c r="BB6251" s="3" t="s">
        <v>60169</v>
      </c>
      <c r="BC6251" s="3" t="s">
        <v>142</v>
      </c>
      <c r="BD6251" s="3" t="s">
        <v>68</v>
      </c>
      <c r="BE6251" s="3" t="s">
        <v>60170</v>
      </c>
      <c r="BF6251" s="3" t="s">
        <v>60169</v>
      </c>
      <c r="BG6251" s="3" t="s">
        <v>60171</v>
      </c>
    </row>
    <row r="6252" spans="1:59" ht="57" x14ac:dyDescent="0.45">
      <c r="A6252" s="2" t="s">
        <v>59</v>
      </c>
      <c r="B6252" s="2" t="s">
        <v>60</v>
      </c>
      <c r="C6252" s="2" t="s">
        <v>60172</v>
      </c>
      <c r="D6252" s="2" t="s">
        <v>60173</v>
      </c>
      <c r="E6252" s="2" t="s">
        <v>60174</v>
      </c>
      <c r="G6252" s="3" t="s">
        <v>62</v>
      </c>
      <c r="I6252" s="3" t="s">
        <v>62</v>
      </c>
      <c r="J6252" s="3" t="s">
        <v>62</v>
      </c>
      <c r="K6252" s="3" t="s">
        <v>63</v>
      </c>
      <c r="L6252" s="2" t="s">
        <v>60175</v>
      </c>
      <c r="M6252" s="2" t="s">
        <v>60176</v>
      </c>
      <c r="N6252" s="3" t="s">
        <v>181</v>
      </c>
      <c r="P6252" s="3" t="s">
        <v>110</v>
      </c>
      <c r="Q6252" s="2" t="s">
        <v>60177</v>
      </c>
      <c r="R6252" s="3" t="s">
        <v>66</v>
      </c>
      <c r="S6252" s="4">
        <v>3</v>
      </c>
      <c r="T6252" s="4">
        <v>3</v>
      </c>
      <c r="U6252" s="5" t="s">
        <v>20599</v>
      </c>
      <c r="V6252" s="5" t="s">
        <v>20599</v>
      </c>
      <c r="W6252" s="5" t="s">
        <v>67</v>
      </c>
      <c r="X6252" s="5" t="s">
        <v>67</v>
      </c>
      <c r="Y6252" s="4">
        <v>20</v>
      </c>
      <c r="Z6252" s="4">
        <v>4</v>
      </c>
      <c r="AA6252" s="4">
        <v>9</v>
      </c>
      <c r="AB6252" s="4">
        <v>1</v>
      </c>
      <c r="AC6252" s="4">
        <v>5</v>
      </c>
      <c r="AD6252" s="4">
        <v>9</v>
      </c>
      <c r="AE6252" s="4">
        <v>13</v>
      </c>
      <c r="AF6252" s="4">
        <v>0</v>
      </c>
      <c r="AG6252" s="4">
        <v>3</v>
      </c>
      <c r="AH6252" s="4">
        <v>6</v>
      </c>
      <c r="AI6252" s="4">
        <v>7</v>
      </c>
      <c r="AJ6252" s="4">
        <v>2</v>
      </c>
      <c r="AK6252" s="4">
        <v>5</v>
      </c>
      <c r="AL6252" s="4">
        <v>5</v>
      </c>
      <c r="AM6252" s="4">
        <v>5</v>
      </c>
      <c r="AN6252" s="4">
        <v>0</v>
      </c>
      <c r="AO6252" s="4">
        <v>0</v>
      </c>
      <c r="AP6252" s="4">
        <v>3</v>
      </c>
      <c r="AQ6252" s="4">
        <v>6</v>
      </c>
      <c r="AR6252" s="3" t="s">
        <v>62</v>
      </c>
      <c r="AS6252" s="3" t="s">
        <v>62</v>
      </c>
      <c r="AT6252" s="3" t="s">
        <v>62</v>
      </c>
      <c r="AV6252" s="6" t="str">
        <f>HYPERLINK("http://mcgill.on.worldcat.org/oclc/962818390","Catalog Record")</f>
        <v>Catalog Record</v>
      </c>
      <c r="AW6252" s="6" t="str">
        <f>HYPERLINK("http://www.worldcat.org/oclc/962818390","WorldCat Record")</f>
        <v>WorldCat Record</v>
      </c>
      <c r="AX6252" s="3" t="s">
        <v>60178</v>
      </c>
      <c r="AY6252" s="3" t="s">
        <v>60179</v>
      </c>
      <c r="AZ6252" s="3" t="s">
        <v>60180</v>
      </c>
      <c r="BA6252" s="3" t="s">
        <v>60180</v>
      </c>
      <c r="BB6252" s="3" t="s">
        <v>60181</v>
      </c>
      <c r="BC6252" s="3" t="s">
        <v>142</v>
      </c>
      <c r="BD6252" s="3" t="s">
        <v>68</v>
      </c>
      <c r="BE6252" s="3" t="s">
        <v>60182</v>
      </c>
      <c r="BF6252" s="3" t="s">
        <v>60181</v>
      </c>
      <c r="BG6252" s="3" t="s">
        <v>60183</v>
      </c>
    </row>
    <row r="6253" spans="1:59" ht="57" x14ac:dyDescent="0.45">
      <c r="A6253" s="2" t="s">
        <v>927</v>
      </c>
      <c r="B6253" s="2" t="s">
        <v>928</v>
      </c>
      <c r="C6253" s="2" t="s">
        <v>60184</v>
      </c>
      <c r="D6253" s="2" t="s">
        <v>60185</v>
      </c>
      <c r="E6253" s="2" t="s">
        <v>60186</v>
      </c>
      <c r="G6253" s="3" t="s">
        <v>62</v>
      </c>
      <c r="I6253" s="3" t="s">
        <v>62</v>
      </c>
      <c r="J6253" s="3" t="s">
        <v>62</v>
      </c>
      <c r="K6253" s="3" t="s">
        <v>63</v>
      </c>
      <c r="L6253" s="2" t="s">
        <v>60187</v>
      </c>
      <c r="M6253" s="2" t="s">
        <v>60188</v>
      </c>
      <c r="N6253" s="3" t="s">
        <v>1097</v>
      </c>
      <c r="P6253" s="3" t="s">
        <v>65</v>
      </c>
      <c r="R6253" s="3" t="s">
        <v>66</v>
      </c>
      <c r="S6253" s="4">
        <v>2</v>
      </c>
      <c r="T6253" s="4">
        <v>2</v>
      </c>
      <c r="U6253" s="5" t="s">
        <v>23761</v>
      </c>
      <c r="V6253" s="5" t="s">
        <v>23761</v>
      </c>
      <c r="W6253" s="5" t="s">
        <v>67</v>
      </c>
      <c r="X6253" s="5" t="s">
        <v>67</v>
      </c>
      <c r="Y6253" s="4">
        <v>113</v>
      </c>
      <c r="Z6253" s="4">
        <v>8</v>
      </c>
      <c r="AA6253" s="4">
        <v>11</v>
      </c>
      <c r="AB6253" s="4">
        <v>2</v>
      </c>
      <c r="AC6253" s="4">
        <v>5</v>
      </c>
      <c r="AD6253" s="4">
        <v>33</v>
      </c>
      <c r="AE6253" s="4">
        <v>35</v>
      </c>
      <c r="AF6253" s="4">
        <v>1</v>
      </c>
      <c r="AG6253" s="4">
        <v>3</v>
      </c>
      <c r="AH6253" s="4">
        <v>29</v>
      </c>
      <c r="AI6253" s="4">
        <v>30</v>
      </c>
      <c r="AJ6253" s="4">
        <v>5</v>
      </c>
      <c r="AK6253" s="4">
        <v>7</v>
      </c>
      <c r="AL6253" s="4">
        <v>18</v>
      </c>
      <c r="AM6253" s="4">
        <v>18</v>
      </c>
      <c r="AN6253" s="4">
        <v>0</v>
      </c>
      <c r="AO6253" s="4">
        <v>0</v>
      </c>
      <c r="AP6253" s="4">
        <v>6</v>
      </c>
      <c r="AQ6253" s="4">
        <v>7</v>
      </c>
      <c r="AR6253" s="3" t="s">
        <v>62</v>
      </c>
      <c r="AS6253" s="3" t="s">
        <v>62</v>
      </c>
      <c r="AT6253" s="3" t="s">
        <v>61</v>
      </c>
      <c r="AU6253" s="6" t="str">
        <f>HYPERLINK("http://catalog.hathitrust.org/Record/004913483","HathiTrust Record")</f>
        <v>HathiTrust Record</v>
      </c>
      <c r="AV6253" s="6" t="str">
        <f>HYPERLINK("http://mcgill.on.worldcat.org/oclc/56494448","Catalog Record")</f>
        <v>Catalog Record</v>
      </c>
      <c r="AW6253" s="6" t="str">
        <f>HYPERLINK("http://www.worldcat.org/oclc/56494448","WorldCat Record")</f>
        <v>WorldCat Record</v>
      </c>
      <c r="AX6253" s="3" t="s">
        <v>60189</v>
      </c>
      <c r="AY6253" s="3" t="s">
        <v>60190</v>
      </c>
      <c r="AZ6253" s="3" t="s">
        <v>60191</v>
      </c>
      <c r="BA6253" s="3" t="s">
        <v>60191</v>
      </c>
      <c r="BB6253" s="3" t="s">
        <v>60192</v>
      </c>
      <c r="BC6253" s="3" t="s">
        <v>142</v>
      </c>
      <c r="BD6253" s="3" t="s">
        <v>68</v>
      </c>
      <c r="BE6253" s="3" t="s">
        <v>60193</v>
      </c>
      <c r="BF6253" s="3" t="s">
        <v>60192</v>
      </c>
      <c r="BG6253" s="3" t="s">
        <v>60194</v>
      </c>
    </row>
    <row r="6254" spans="1:59" ht="57" x14ac:dyDescent="0.45">
      <c r="A6254" s="2" t="s">
        <v>59</v>
      </c>
      <c r="B6254" s="2" t="s">
        <v>60</v>
      </c>
      <c r="C6254" s="2" t="s">
        <v>60195</v>
      </c>
      <c r="D6254" s="2" t="s">
        <v>60196</v>
      </c>
      <c r="E6254" s="2" t="s">
        <v>60197</v>
      </c>
      <c r="G6254" s="3" t="s">
        <v>62</v>
      </c>
      <c r="I6254" s="3" t="s">
        <v>62</v>
      </c>
      <c r="J6254" s="3" t="s">
        <v>62</v>
      </c>
      <c r="K6254" s="3" t="s">
        <v>63</v>
      </c>
      <c r="M6254" s="2" t="s">
        <v>21345</v>
      </c>
      <c r="N6254" s="3" t="s">
        <v>894</v>
      </c>
      <c r="P6254" s="3" t="s">
        <v>65</v>
      </c>
      <c r="Q6254" s="2" t="s">
        <v>59957</v>
      </c>
      <c r="R6254" s="3" t="s">
        <v>66</v>
      </c>
      <c r="S6254" s="4">
        <v>0</v>
      </c>
      <c r="T6254" s="4">
        <v>0</v>
      </c>
      <c r="W6254" s="5" t="s">
        <v>67</v>
      </c>
      <c r="X6254" s="5" t="s">
        <v>67</v>
      </c>
      <c r="Y6254" s="4">
        <v>111</v>
      </c>
      <c r="Z6254" s="4">
        <v>12</v>
      </c>
      <c r="AA6254" s="4">
        <v>92</v>
      </c>
      <c r="AB6254" s="4">
        <v>2</v>
      </c>
      <c r="AC6254" s="4">
        <v>18</v>
      </c>
      <c r="AD6254" s="4">
        <v>44</v>
      </c>
      <c r="AE6254" s="4">
        <v>114</v>
      </c>
      <c r="AF6254" s="4">
        <v>1</v>
      </c>
      <c r="AG6254" s="4">
        <v>8</v>
      </c>
      <c r="AH6254" s="4">
        <v>42</v>
      </c>
      <c r="AI6254" s="4">
        <v>81</v>
      </c>
      <c r="AJ6254" s="4">
        <v>8</v>
      </c>
      <c r="AK6254" s="4">
        <v>21</v>
      </c>
      <c r="AL6254" s="4">
        <v>25</v>
      </c>
      <c r="AM6254" s="4">
        <v>44</v>
      </c>
      <c r="AN6254" s="4">
        <v>0</v>
      </c>
      <c r="AO6254" s="4">
        <v>0</v>
      </c>
      <c r="AP6254" s="4">
        <v>9</v>
      </c>
      <c r="AQ6254" s="4">
        <v>42</v>
      </c>
      <c r="AR6254" s="3" t="s">
        <v>62</v>
      </c>
      <c r="AS6254" s="3" t="s">
        <v>62</v>
      </c>
      <c r="AT6254" s="3" t="s">
        <v>62</v>
      </c>
      <c r="AV6254" s="6" t="str">
        <f>HYPERLINK("http://mcgill.on.worldcat.org/oclc/589017832","Catalog Record")</f>
        <v>Catalog Record</v>
      </c>
      <c r="AW6254" s="6" t="str">
        <f>HYPERLINK("http://www.worldcat.org/oclc/589017832","WorldCat Record")</f>
        <v>WorldCat Record</v>
      </c>
      <c r="AX6254" s="3" t="s">
        <v>60198</v>
      </c>
      <c r="AY6254" s="3" t="s">
        <v>60199</v>
      </c>
      <c r="AZ6254" s="3" t="s">
        <v>60200</v>
      </c>
      <c r="BA6254" s="3" t="s">
        <v>60200</v>
      </c>
      <c r="BB6254" s="3" t="s">
        <v>60201</v>
      </c>
      <c r="BC6254" s="3" t="s">
        <v>142</v>
      </c>
      <c r="BD6254" s="3" t="s">
        <v>68</v>
      </c>
      <c r="BE6254" s="3" t="s">
        <v>60202</v>
      </c>
      <c r="BF6254" s="3" t="s">
        <v>60201</v>
      </c>
      <c r="BG6254" s="3" t="s">
        <v>60203</v>
      </c>
    </row>
    <row r="6255" spans="1:59" ht="57" x14ac:dyDescent="0.45">
      <c r="A6255" s="2" t="s">
        <v>59</v>
      </c>
      <c r="B6255" s="2" t="s">
        <v>60</v>
      </c>
      <c r="C6255" s="2" t="s">
        <v>60204</v>
      </c>
      <c r="D6255" s="2" t="s">
        <v>60205</v>
      </c>
      <c r="E6255" s="2" t="s">
        <v>60206</v>
      </c>
      <c r="F6255" s="3" t="s">
        <v>90</v>
      </c>
      <c r="G6255" s="3" t="s">
        <v>61</v>
      </c>
      <c r="I6255" s="3" t="s">
        <v>62</v>
      </c>
      <c r="J6255" s="3" t="s">
        <v>62</v>
      </c>
      <c r="K6255" s="3" t="s">
        <v>63</v>
      </c>
      <c r="M6255" s="2" t="s">
        <v>60207</v>
      </c>
      <c r="N6255" s="3" t="s">
        <v>894</v>
      </c>
      <c r="P6255" s="3" t="s">
        <v>110</v>
      </c>
      <c r="Q6255" s="2" t="s">
        <v>60208</v>
      </c>
      <c r="R6255" s="3" t="s">
        <v>66</v>
      </c>
      <c r="S6255" s="4">
        <v>1</v>
      </c>
      <c r="T6255" s="4">
        <v>3</v>
      </c>
      <c r="U6255" s="5" t="s">
        <v>60209</v>
      </c>
      <c r="V6255" s="5" t="s">
        <v>3590</v>
      </c>
      <c r="W6255" s="5" t="s">
        <v>67</v>
      </c>
      <c r="X6255" s="5" t="s">
        <v>67</v>
      </c>
      <c r="Y6255" s="4">
        <v>14</v>
      </c>
      <c r="Z6255" s="4">
        <v>3</v>
      </c>
      <c r="AA6255" s="4">
        <v>4</v>
      </c>
      <c r="AB6255" s="4">
        <v>2</v>
      </c>
      <c r="AC6255" s="4">
        <v>2</v>
      </c>
      <c r="AD6255" s="4">
        <v>10</v>
      </c>
      <c r="AE6255" s="4">
        <v>11</v>
      </c>
      <c r="AF6255" s="4">
        <v>1</v>
      </c>
      <c r="AG6255" s="4">
        <v>1</v>
      </c>
      <c r="AH6255" s="4">
        <v>7</v>
      </c>
      <c r="AI6255" s="4">
        <v>7</v>
      </c>
      <c r="AJ6255" s="4">
        <v>2</v>
      </c>
      <c r="AK6255" s="4">
        <v>2</v>
      </c>
      <c r="AL6255" s="4">
        <v>8</v>
      </c>
      <c r="AM6255" s="4">
        <v>8</v>
      </c>
      <c r="AN6255" s="4">
        <v>0</v>
      </c>
      <c r="AO6255" s="4">
        <v>0</v>
      </c>
      <c r="AP6255" s="4">
        <v>2</v>
      </c>
      <c r="AQ6255" s="4">
        <v>3</v>
      </c>
      <c r="AR6255" s="3" t="s">
        <v>62</v>
      </c>
      <c r="AS6255" s="3" t="s">
        <v>62</v>
      </c>
      <c r="AT6255" s="3" t="s">
        <v>61</v>
      </c>
      <c r="AU6255" s="6" t="str">
        <f>HYPERLINK("http://catalog.hathitrust.org/Record/102583209","HathiTrust Record")</f>
        <v>HathiTrust Record</v>
      </c>
      <c r="AV6255" s="6" t="str">
        <f>HYPERLINK("http://mcgill.on.worldcat.org/oclc/775418683","Catalog Record")</f>
        <v>Catalog Record</v>
      </c>
      <c r="AW6255" s="6" t="str">
        <f>HYPERLINK("http://www.worldcat.org/oclc/775418683","WorldCat Record")</f>
        <v>WorldCat Record</v>
      </c>
      <c r="AX6255" s="3" t="s">
        <v>60210</v>
      </c>
      <c r="AY6255" s="3" t="s">
        <v>60211</v>
      </c>
      <c r="AZ6255" s="3" t="s">
        <v>60212</v>
      </c>
      <c r="BA6255" s="3" t="s">
        <v>60212</v>
      </c>
      <c r="BB6255" s="3" t="s">
        <v>60213</v>
      </c>
      <c r="BC6255" s="3" t="s">
        <v>142</v>
      </c>
      <c r="BD6255" s="3" t="s">
        <v>68</v>
      </c>
      <c r="BE6255" s="3" t="s">
        <v>60214</v>
      </c>
      <c r="BF6255" s="3" t="s">
        <v>60213</v>
      </c>
      <c r="BG6255" s="3" t="s">
        <v>60215</v>
      </c>
    </row>
    <row r="6256" spans="1:59" ht="57" x14ac:dyDescent="0.45">
      <c r="A6256" s="2" t="s">
        <v>59</v>
      </c>
      <c r="B6256" s="2" t="s">
        <v>60</v>
      </c>
      <c r="C6256" s="2" t="s">
        <v>60204</v>
      </c>
      <c r="D6256" s="2" t="s">
        <v>60205</v>
      </c>
      <c r="E6256" s="2" t="s">
        <v>60206</v>
      </c>
      <c r="F6256" s="3" t="s">
        <v>87</v>
      </c>
      <c r="G6256" s="3" t="s">
        <v>61</v>
      </c>
      <c r="I6256" s="3" t="s">
        <v>62</v>
      </c>
      <c r="J6256" s="3" t="s">
        <v>62</v>
      </c>
      <c r="K6256" s="3" t="s">
        <v>63</v>
      </c>
      <c r="M6256" s="2" t="s">
        <v>60207</v>
      </c>
      <c r="N6256" s="3" t="s">
        <v>894</v>
      </c>
      <c r="P6256" s="3" t="s">
        <v>110</v>
      </c>
      <c r="Q6256" s="2" t="s">
        <v>60208</v>
      </c>
      <c r="R6256" s="3" t="s">
        <v>66</v>
      </c>
      <c r="S6256" s="4">
        <v>2</v>
      </c>
      <c r="T6256" s="4">
        <v>3</v>
      </c>
      <c r="U6256" s="5" t="s">
        <v>3590</v>
      </c>
      <c r="V6256" s="5" t="s">
        <v>3590</v>
      </c>
      <c r="W6256" s="5" t="s">
        <v>67</v>
      </c>
      <c r="X6256" s="5" t="s">
        <v>67</v>
      </c>
      <c r="Y6256" s="4">
        <v>14</v>
      </c>
      <c r="Z6256" s="4">
        <v>3</v>
      </c>
      <c r="AA6256" s="4">
        <v>4</v>
      </c>
      <c r="AB6256" s="4">
        <v>2</v>
      </c>
      <c r="AC6256" s="4">
        <v>2</v>
      </c>
      <c r="AD6256" s="4">
        <v>10</v>
      </c>
      <c r="AE6256" s="4">
        <v>11</v>
      </c>
      <c r="AF6256" s="4">
        <v>1</v>
      </c>
      <c r="AG6256" s="4">
        <v>1</v>
      </c>
      <c r="AH6256" s="4">
        <v>7</v>
      </c>
      <c r="AI6256" s="4">
        <v>7</v>
      </c>
      <c r="AJ6256" s="4">
        <v>2</v>
      </c>
      <c r="AK6256" s="4">
        <v>2</v>
      </c>
      <c r="AL6256" s="4">
        <v>8</v>
      </c>
      <c r="AM6256" s="4">
        <v>8</v>
      </c>
      <c r="AN6256" s="4">
        <v>0</v>
      </c>
      <c r="AO6256" s="4">
        <v>0</v>
      </c>
      <c r="AP6256" s="4">
        <v>2</v>
      </c>
      <c r="AQ6256" s="4">
        <v>3</v>
      </c>
      <c r="AR6256" s="3" t="s">
        <v>62</v>
      </c>
      <c r="AS6256" s="3" t="s">
        <v>62</v>
      </c>
      <c r="AT6256" s="3" t="s">
        <v>61</v>
      </c>
      <c r="AU6256" s="6" t="str">
        <f>HYPERLINK("http://catalog.hathitrust.org/Record/102583209","HathiTrust Record")</f>
        <v>HathiTrust Record</v>
      </c>
      <c r="AV6256" s="6" t="str">
        <f>HYPERLINK("http://mcgill.on.worldcat.org/oclc/775418683","Catalog Record")</f>
        <v>Catalog Record</v>
      </c>
      <c r="AW6256" s="6" t="str">
        <f>HYPERLINK("http://www.worldcat.org/oclc/775418683","WorldCat Record")</f>
        <v>WorldCat Record</v>
      </c>
      <c r="AX6256" s="3" t="s">
        <v>60210</v>
      </c>
      <c r="AY6256" s="3" t="s">
        <v>60211</v>
      </c>
      <c r="AZ6256" s="3" t="s">
        <v>60212</v>
      </c>
      <c r="BA6256" s="3" t="s">
        <v>60212</v>
      </c>
      <c r="BB6256" s="3" t="s">
        <v>60216</v>
      </c>
      <c r="BC6256" s="3" t="s">
        <v>142</v>
      </c>
      <c r="BD6256" s="3" t="s">
        <v>68</v>
      </c>
      <c r="BE6256" s="3" t="s">
        <v>60214</v>
      </c>
      <c r="BF6256" s="3" t="s">
        <v>60216</v>
      </c>
      <c r="BG6256" s="3" t="s">
        <v>60217</v>
      </c>
    </row>
    <row r="6257" spans="1:59" ht="57" x14ac:dyDescent="0.45">
      <c r="A6257" s="2" t="s">
        <v>59</v>
      </c>
      <c r="B6257" s="2" t="s">
        <v>60</v>
      </c>
      <c r="C6257" s="2" t="s">
        <v>60218</v>
      </c>
      <c r="D6257" s="2" t="s">
        <v>60219</v>
      </c>
      <c r="E6257" s="2" t="s">
        <v>60220</v>
      </c>
      <c r="G6257" s="3" t="s">
        <v>62</v>
      </c>
      <c r="I6257" s="3" t="s">
        <v>62</v>
      </c>
      <c r="J6257" s="3" t="s">
        <v>62</v>
      </c>
      <c r="K6257" s="3" t="s">
        <v>63</v>
      </c>
      <c r="M6257" s="2" t="s">
        <v>60221</v>
      </c>
      <c r="N6257" s="3" t="s">
        <v>894</v>
      </c>
      <c r="P6257" s="3" t="s">
        <v>65</v>
      </c>
      <c r="R6257" s="3" t="s">
        <v>66</v>
      </c>
      <c r="S6257" s="4">
        <v>0</v>
      </c>
      <c r="T6257" s="4">
        <v>0</v>
      </c>
      <c r="W6257" s="5" t="s">
        <v>67</v>
      </c>
      <c r="X6257" s="5" t="s">
        <v>67</v>
      </c>
      <c r="Y6257" s="4">
        <v>15</v>
      </c>
      <c r="Z6257" s="4">
        <v>1</v>
      </c>
      <c r="AA6257" s="4">
        <v>2</v>
      </c>
      <c r="AB6257" s="4">
        <v>1</v>
      </c>
      <c r="AC6257" s="4">
        <v>1</v>
      </c>
      <c r="AD6257" s="4">
        <v>1</v>
      </c>
      <c r="AE6257" s="4">
        <v>2</v>
      </c>
      <c r="AF6257" s="4">
        <v>0</v>
      </c>
      <c r="AG6257" s="4">
        <v>0</v>
      </c>
      <c r="AH6257" s="4">
        <v>1</v>
      </c>
      <c r="AI6257" s="4">
        <v>1</v>
      </c>
      <c r="AJ6257" s="4">
        <v>0</v>
      </c>
      <c r="AK6257" s="4">
        <v>0</v>
      </c>
      <c r="AL6257" s="4">
        <v>1</v>
      </c>
      <c r="AM6257" s="4">
        <v>1</v>
      </c>
      <c r="AN6257" s="4">
        <v>0</v>
      </c>
      <c r="AO6257" s="4">
        <v>0</v>
      </c>
      <c r="AP6257" s="4">
        <v>0</v>
      </c>
      <c r="AQ6257" s="4">
        <v>1</v>
      </c>
      <c r="AR6257" s="3" t="s">
        <v>62</v>
      </c>
      <c r="AS6257" s="3" t="s">
        <v>62</v>
      </c>
      <c r="AT6257" s="3" t="s">
        <v>62</v>
      </c>
      <c r="AV6257" s="6" t="str">
        <f>HYPERLINK("http://mcgill.on.worldcat.org/oclc/710888729","Catalog Record")</f>
        <v>Catalog Record</v>
      </c>
      <c r="AW6257" s="6" t="str">
        <f>HYPERLINK("http://www.worldcat.org/oclc/710888729","WorldCat Record")</f>
        <v>WorldCat Record</v>
      </c>
      <c r="AX6257" s="3" t="s">
        <v>60222</v>
      </c>
      <c r="AY6257" s="3" t="s">
        <v>60223</v>
      </c>
      <c r="AZ6257" s="3" t="s">
        <v>60224</v>
      </c>
      <c r="BA6257" s="3" t="s">
        <v>60224</v>
      </c>
      <c r="BB6257" s="3" t="s">
        <v>60225</v>
      </c>
      <c r="BC6257" s="3" t="s">
        <v>142</v>
      </c>
      <c r="BD6257" s="3" t="s">
        <v>68</v>
      </c>
      <c r="BE6257" s="3" t="s">
        <v>60226</v>
      </c>
      <c r="BF6257" s="3" t="s">
        <v>60225</v>
      </c>
      <c r="BG6257" s="3" t="s">
        <v>60227</v>
      </c>
    </row>
    <row r="6258" spans="1:59" ht="57" x14ac:dyDescent="0.45">
      <c r="A6258" s="2" t="s">
        <v>59</v>
      </c>
      <c r="B6258" s="2" t="s">
        <v>60</v>
      </c>
      <c r="C6258" s="2" t="s">
        <v>60228</v>
      </c>
      <c r="D6258" s="2" t="s">
        <v>60229</v>
      </c>
      <c r="E6258" s="2" t="s">
        <v>60230</v>
      </c>
      <c r="G6258" s="3" t="s">
        <v>62</v>
      </c>
      <c r="I6258" s="3" t="s">
        <v>62</v>
      </c>
      <c r="J6258" s="3" t="s">
        <v>62</v>
      </c>
      <c r="K6258" s="3" t="s">
        <v>63</v>
      </c>
      <c r="L6258" s="2" t="s">
        <v>60231</v>
      </c>
      <c r="M6258" s="2" t="s">
        <v>60232</v>
      </c>
      <c r="N6258" s="3" t="s">
        <v>945</v>
      </c>
      <c r="P6258" s="3" t="s">
        <v>65</v>
      </c>
      <c r="R6258" s="3" t="s">
        <v>66</v>
      </c>
      <c r="S6258" s="4">
        <v>7</v>
      </c>
      <c r="T6258" s="4">
        <v>7</v>
      </c>
      <c r="U6258" s="5" t="s">
        <v>13023</v>
      </c>
      <c r="V6258" s="5" t="s">
        <v>13023</v>
      </c>
      <c r="W6258" s="5" t="s">
        <v>67</v>
      </c>
      <c r="X6258" s="5" t="s">
        <v>67</v>
      </c>
      <c r="Y6258" s="4">
        <v>111</v>
      </c>
      <c r="Z6258" s="4">
        <v>14</v>
      </c>
      <c r="AA6258" s="4">
        <v>15</v>
      </c>
      <c r="AB6258" s="4">
        <v>2</v>
      </c>
      <c r="AC6258" s="4">
        <v>3</v>
      </c>
      <c r="AD6258" s="4">
        <v>55</v>
      </c>
      <c r="AE6258" s="4">
        <v>56</v>
      </c>
      <c r="AF6258" s="4">
        <v>1</v>
      </c>
      <c r="AG6258" s="4">
        <v>2</v>
      </c>
      <c r="AH6258" s="4">
        <v>52</v>
      </c>
      <c r="AI6258" s="4">
        <v>52</v>
      </c>
      <c r="AJ6258" s="4">
        <v>10</v>
      </c>
      <c r="AK6258" s="4">
        <v>10</v>
      </c>
      <c r="AL6258" s="4">
        <v>28</v>
      </c>
      <c r="AM6258" s="4">
        <v>28</v>
      </c>
      <c r="AN6258" s="4">
        <v>0</v>
      </c>
      <c r="AO6258" s="4">
        <v>0</v>
      </c>
      <c r="AP6258" s="4">
        <v>10</v>
      </c>
      <c r="AQ6258" s="4">
        <v>11</v>
      </c>
      <c r="AR6258" s="3" t="s">
        <v>62</v>
      </c>
      <c r="AS6258" s="3" t="s">
        <v>62</v>
      </c>
      <c r="AT6258" s="3" t="s">
        <v>62</v>
      </c>
      <c r="AV6258" s="6" t="str">
        <f>HYPERLINK("http://mcgill.on.worldcat.org/oclc/153578992","Catalog Record")</f>
        <v>Catalog Record</v>
      </c>
      <c r="AW6258" s="6" t="str">
        <f>HYPERLINK("http://www.worldcat.org/oclc/153578992","WorldCat Record")</f>
        <v>WorldCat Record</v>
      </c>
      <c r="AX6258" s="3" t="s">
        <v>60233</v>
      </c>
      <c r="AY6258" s="3" t="s">
        <v>60234</v>
      </c>
      <c r="AZ6258" s="3" t="s">
        <v>60235</v>
      </c>
      <c r="BA6258" s="3" t="s">
        <v>60235</v>
      </c>
      <c r="BB6258" s="3" t="s">
        <v>60236</v>
      </c>
      <c r="BC6258" s="3" t="s">
        <v>142</v>
      </c>
      <c r="BD6258" s="3" t="s">
        <v>68</v>
      </c>
      <c r="BE6258" s="3" t="s">
        <v>60237</v>
      </c>
      <c r="BF6258" s="3" t="s">
        <v>60236</v>
      </c>
      <c r="BG6258" s="3" t="s">
        <v>60238</v>
      </c>
    </row>
    <row r="6259" spans="1:59" ht="57" x14ac:dyDescent="0.45">
      <c r="A6259" s="2" t="s">
        <v>59</v>
      </c>
      <c r="B6259" s="2" t="s">
        <v>60</v>
      </c>
      <c r="C6259" s="2" t="s">
        <v>60239</v>
      </c>
      <c r="D6259" s="2" t="s">
        <v>60240</v>
      </c>
      <c r="E6259" s="2" t="s">
        <v>60241</v>
      </c>
      <c r="G6259" s="3" t="s">
        <v>62</v>
      </c>
      <c r="I6259" s="3" t="s">
        <v>62</v>
      </c>
      <c r="J6259" s="3" t="s">
        <v>62</v>
      </c>
      <c r="K6259" s="3" t="s">
        <v>63</v>
      </c>
      <c r="M6259" s="2" t="s">
        <v>34039</v>
      </c>
      <c r="N6259" s="3" t="s">
        <v>116</v>
      </c>
      <c r="P6259" s="3" t="s">
        <v>110</v>
      </c>
      <c r="Q6259" s="2" t="s">
        <v>60242</v>
      </c>
      <c r="R6259" s="3" t="s">
        <v>66</v>
      </c>
      <c r="S6259" s="4">
        <v>6</v>
      </c>
      <c r="T6259" s="4">
        <v>6</v>
      </c>
      <c r="U6259" s="5" t="s">
        <v>60243</v>
      </c>
      <c r="V6259" s="5" t="s">
        <v>60243</v>
      </c>
      <c r="W6259" s="5" t="s">
        <v>67</v>
      </c>
      <c r="X6259" s="5" t="s">
        <v>67</v>
      </c>
      <c r="Y6259" s="4">
        <v>21</v>
      </c>
      <c r="Z6259" s="4">
        <v>4</v>
      </c>
      <c r="AA6259" s="4">
        <v>6</v>
      </c>
      <c r="AB6259" s="4">
        <v>2</v>
      </c>
      <c r="AC6259" s="4">
        <v>4</v>
      </c>
      <c r="AD6259" s="4">
        <v>11</v>
      </c>
      <c r="AE6259" s="4">
        <v>12</v>
      </c>
      <c r="AF6259" s="4">
        <v>1</v>
      </c>
      <c r="AG6259" s="4">
        <v>2</v>
      </c>
      <c r="AH6259" s="4">
        <v>9</v>
      </c>
      <c r="AI6259" s="4">
        <v>9</v>
      </c>
      <c r="AJ6259" s="4">
        <v>2</v>
      </c>
      <c r="AK6259" s="4">
        <v>2</v>
      </c>
      <c r="AL6259" s="4">
        <v>9</v>
      </c>
      <c r="AM6259" s="4">
        <v>9</v>
      </c>
      <c r="AN6259" s="4">
        <v>0</v>
      </c>
      <c r="AO6259" s="4">
        <v>0</v>
      </c>
      <c r="AP6259" s="4">
        <v>2</v>
      </c>
      <c r="AQ6259" s="4">
        <v>3</v>
      </c>
      <c r="AR6259" s="3" t="s">
        <v>62</v>
      </c>
      <c r="AS6259" s="3" t="s">
        <v>62</v>
      </c>
      <c r="AT6259" s="3" t="s">
        <v>62</v>
      </c>
      <c r="AV6259" s="6" t="str">
        <f>HYPERLINK("http://mcgill.on.worldcat.org/oclc/864819289","Catalog Record")</f>
        <v>Catalog Record</v>
      </c>
      <c r="AW6259" s="6" t="str">
        <f>HYPERLINK("http://www.worldcat.org/oclc/864819289","WorldCat Record")</f>
        <v>WorldCat Record</v>
      </c>
      <c r="AX6259" s="3" t="s">
        <v>60244</v>
      </c>
      <c r="AY6259" s="3" t="s">
        <v>60245</v>
      </c>
      <c r="AZ6259" s="3" t="s">
        <v>60246</v>
      </c>
      <c r="BA6259" s="3" t="s">
        <v>60246</v>
      </c>
      <c r="BB6259" s="3" t="s">
        <v>60247</v>
      </c>
      <c r="BC6259" s="3" t="s">
        <v>142</v>
      </c>
      <c r="BD6259" s="3" t="s">
        <v>68</v>
      </c>
      <c r="BE6259" s="3" t="s">
        <v>60248</v>
      </c>
      <c r="BF6259" s="3" t="s">
        <v>60247</v>
      </c>
      <c r="BG6259" s="3" t="s">
        <v>60249</v>
      </c>
    </row>
    <row r="6260" spans="1:59" ht="57" x14ac:dyDescent="0.45">
      <c r="A6260" s="2" t="s">
        <v>59</v>
      </c>
      <c r="B6260" s="2" t="s">
        <v>60</v>
      </c>
      <c r="C6260" s="2" t="s">
        <v>60250</v>
      </c>
      <c r="D6260" s="2" t="s">
        <v>60251</v>
      </c>
      <c r="E6260" s="2" t="s">
        <v>60252</v>
      </c>
      <c r="G6260" s="3" t="s">
        <v>62</v>
      </c>
      <c r="I6260" s="3" t="s">
        <v>62</v>
      </c>
      <c r="J6260" s="3" t="s">
        <v>62</v>
      </c>
      <c r="K6260" s="3" t="s">
        <v>63</v>
      </c>
      <c r="L6260" s="2" t="s">
        <v>60253</v>
      </c>
      <c r="M6260" s="2" t="s">
        <v>60254</v>
      </c>
      <c r="N6260" s="3" t="s">
        <v>106</v>
      </c>
      <c r="P6260" s="3" t="s">
        <v>110</v>
      </c>
      <c r="Q6260" s="2" t="s">
        <v>60255</v>
      </c>
      <c r="R6260" s="3" t="s">
        <v>66</v>
      </c>
      <c r="S6260" s="4">
        <v>4</v>
      </c>
      <c r="T6260" s="4">
        <v>4</v>
      </c>
      <c r="U6260" s="5" t="s">
        <v>8270</v>
      </c>
      <c r="V6260" s="5" t="s">
        <v>8270</v>
      </c>
      <c r="W6260" s="5" t="s">
        <v>67</v>
      </c>
      <c r="X6260" s="5" t="s">
        <v>67</v>
      </c>
      <c r="Y6260" s="4">
        <v>56</v>
      </c>
      <c r="Z6260" s="4">
        <v>29</v>
      </c>
      <c r="AA6260" s="4">
        <v>48</v>
      </c>
      <c r="AB6260" s="4">
        <v>2</v>
      </c>
      <c r="AC6260" s="4">
        <v>10</v>
      </c>
      <c r="AD6260" s="4">
        <v>38</v>
      </c>
      <c r="AE6260" s="4">
        <v>48</v>
      </c>
      <c r="AF6260" s="4">
        <v>0</v>
      </c>
      <c r="AG6260" s="4">
        <v>6</v>
      </c>
      <c r="AH6260" s="4">
        <v>21</v>
      </c>
      <c r="AI6260" s="4">
        <v>25</v>
      </c>
      <c r="AJ6260" s="4">
        <v>15</v>
      </c>
      <c r="AK6260" s="4">
        <v>23</v>
      </c>
      <c r="AL6260" s="4">
        <v>9</v>
      </c>
      <c r="AM6260" s="4">
        <v>10</v>
      </c>
      <c r="AN6260" s="4">
        <v>0</v>
      </c>
      <c r="AO6260" s="4">
        <v>0</v>
      </c>
      <c r="AP6260" s="4">
        <v>23</v>
      </c>
      <c r="AQ6260" s="4">
        <v>32</v>
      </c>
      <c r="AR6260" s="3" t="s">
        <v>61</v>
      </c>
      <c r="AS6260" s="3" t="s">
        <v>62</v>
      </c>
      <c r="AT6260" s="3" t="s">
        <v>61</v>
      </c>
      <c r="AU6260" s="6" t="str">
        <f>HYPERLINK("http://catalog.hathitrust.org/Record/007103112","HathiTrust Record")</f>
        <v>HathiTrust Record</v>
      </c>
      <c r="AV6260" s="6" t="str">
        <f>HYPERLINK("http://mcgill.on.worldcat.org/oclc/11259985","Catalog Record")</f>
        <v>Catalog Record</v>
      </c>
      <c r="AW6260" s="6" t="str">
        <f>HYPERLINK("http://www.worldcat.org/oclc/11259985","WorldCat Record")</f>
        <v>WorldCat Record</v>
      </c>
      <c r="AX6260" s="3" t="s">
        <v>60256</v>
      </c>
      <c r="AY6260" s="3" t="s">
        <v>60257</v>
      </c>
      <c r="AZ6260" s="3" t="s">
        <v>60258</v>
      </c>
      <c r="BA6260" s="3" t="s">
        <v>60258</v>
      </c>
      <c r="BB6260" s="3" t="s">
        <v>60259</v>
      </c>
      <c r="BC6260" s="3" t="s">
        <v>142</v>
      </c>
      <c r="BD6260" s="3" t="s">
        <v>68</v>
      </c>
      <c r="BE6260" s="3" t="s">
        <v>60260</v>
      </c>
      <c r="BF6260" s="3" t="s">
        <v>60259</v>
      </c>
      <c r="BG6260" s="3" t="s">
        <v>60261</v>
      </c>
    </row>
    <row r="6261" spans="1:59" ht="57" x14ac:dyDescent="0.45">
      <c r="A6261" s="2" t="s">
        <v>59</v>
      </c>
      <c r="B6261" s="2" t="s">
        <v>60</v>
      </c>
      <c r="C6261" s="2" t="s">
        <v>60262</v>
      </c>
      <c r="D6261" s="2" t="s">
        <v>60263</v>
      </c>
      <c r="E6261" s="2" t="s">
        <v>60264</v>
      </c>
      <c r="G6261" s="3" t="s">
        <v>62</v>
      </c>
      <c r="I6261" s="3" t="s">
        <v>62</v>
      </c>
      <c r="J6261" s="3" t="s">
        <v>62</v>
      </c>
      <c r="K6261" s="3" t="s">
        <v>63</v>
      </c>
      <c r="L6261" s="2" t="s">
        <v>60265</v>
      </c>
      <c r="M6261" s="2" t="s">
        <v>60266</v>
      </c>
      <c r="N6261" s="3" t="s">
        <v>945</v>
      </c>
      <c r="P6261" s="3" t="s">
        <v>110</v>
      </c>
      <c r="R6261" s="3" t="s">
        <v>66</v>
      </c>
      <c r="S6261" s="4">
        <v>7</v>
      </c>
      <c r="T6261" s="4">
        <v>7</v>
      </c>
      <c r="U6261" s="5" t="s">
        <v>16011</v>
      </c>
      <c r="V6261" s="5" t="s">
        <v>16011</v>
      </c>
      <c r="W6261" s="5" t="s">
        <v>67</v>
      </c>
      <c r="X6261" s="5" t="s">
        <v>67</v>
      </c>
      <c r="Y6261" s="4">
        <v>19</v>
      </c>
      <c r="Z6261" s="4">
        <v>1</v>
      </c>
      <c r="AA6261" s="4">
        <v>10</v>
      </c>
      <c r="AB6261" s="4">
        <v>1</v>
      </c>
      <c r="AC6261" s="4">
        <v>6</v>
      </c>
      <c r="AD6261" s="4">
        <v>7</v>
      </c>
      <c r="AE6261" s="4">
        <v>15</v>
      </c>
      <c r="AF6261" s="4">
        <v>0</v>
      </c>
      <c r="AG6261" s="4">
        <v>4</v>
      </c>
      <c r="AH6261" s="4">
        <v>7</v>
      </c>
      <c r="AI6261" s="4">
        <v>11</v>
      </c>
      <c r="AJ6261" s="4">
        <v>0</v>
      </c>
      <c r="AK6261" s="4">
        <v>6</v>
      </c>
      <c r="AL6261" s="4">
        <v>5</v>
      </c>
      <c r="AM6261" s="4">
        <v>5</v>
      </c>
      <c r="AN6261" s="4">
        <v>0</v>
      </c>
      <c r="AO6261" s="4">
        <v>0</v>
      </c>
      <c r="AP6261" s="4">
        <v>0</v>
      </c>
      <c r="AQ6261" s="4">
        <v>7</v>
      </c>
      <c r="AR6261" s="3" t="s">
        <v>62</v>
      </c>
      <c r="AS6261" s="3" t="s">
        <v>62</v>
      </c>
      <c r="AT6261" s="3" t="s">
        <v>62</v>
      </c>
      <c r="AV6261" s="6" t="str">
        <f>HYPERLINK("http://mcgill.on.worldcat.org/oclc/159955714","Catalog Record")</f>
        <v>Catalog Record</v>
      </c>
      <c r="AW6261" s="6" t="str">
        <f>HYPERLINK("http://www.worldcat.org/oclc/159955714","WorldCat Record")</f>
        <v>WorldCat Record</v>
      </c>
      <c r="AX6261" s="3" t="s">
        <v>60267</v>
      </c>
      <c r="AY6261" s="3" t="s">
        <v>60268</v>
      </c>
      <c r="AZ6261" s="3" t="s">
        <v>60269</v>
      </c>
      <c r="BA6261" s="3" t="s">
        <v>60269</v>
      </c>
      <c r="BB6261" s="3" t="s">
        <v>60270</v>
      </c>
      <c r="BC6261" s="3" t="s">
        <v>142</v>
      </c>
      <c r="BD6261" s="3" t="s">
        <v>68</v>
      </c>
      <c r="BE6261" s="3" t="s">
        <v>60271</v>
      </c>
      <c r="BF6261" s="3" t="s">
        <v>60270</v>
      </c>
      <c r="BG6261" s="3" t="s">
        <v>60272</v>
      </c>
    </row>
    <row r="6262" spans="1:59" ht="57" x14ac:dyDescent="0.45">
      <c r="A6262" s="2" t="s">
        <v>59</v>
      </c>
      <c r="B6262" s="2" t="s">
        <v>60</v>
      </c>
      <c r="C6262" s="2" t="s">
        <v>60273</v>
      </c>
      <c r="D6262" s="2" t="s">
        <v>60274</v>
      </c>
      <c r="E6262" s="2" t="s">
        <v>60275</v>
      </c>
      <c r="G6262" s="3" t="s">
        <v>62</v>
      </c>
      <c r="I6262" s="3" t="s">
        <v>62</v>
      </c>
      <c r="J6262" s="3" t="s">
        <v>62</v>
      </c>
      <c r="K6262" s="3" t="s">
        <v>63</v>
      </c>
      <c r="L6262" s="2" t="s">
        <v>58743</v>
      </c>
      <c r="M6262" s="2" t="s">
        <v>60276</v>
      </c>
      <c r="N6262" s="3" t="s">
        <v>1097</v>
      </c>
      <c r="P6262" s="3" t="s">
        <v>326</v>
      </c>
      <c r="Q6262" s="2" t="s">
        <v>60277</v>
      </c>
      <c r="R6262" s="3" t="s">
        <v>66</v>
      </c>
      <c r="S6262" s="4">
        <v>7</v>
      </c>
      <c r="T6262" s="4">
        <v>7</v>
      </c>
      <c r="U6262" s="5" t="s">
        <v>2294</v>
      </c>
      <c r="V6262" s="5" t="s">
        <v>2294</v>
      </c>
      <c r="W6262" s="5" t="s">
        <v>67</v>
      </c>
      <c r="X6262" s="5" t="s">
        <v>67</v>
      </c>
      <c r="Y6262" s="4">
        <v>46</v>
      </c>
      <c r="Z6262" s="4">
        <v>3</v>
      </c>
      <c r="AA6262" s="4">
        <v>6</v>
      </c>
      <c r="AB6262" s="4">
        <v>1</v>
      </c>
      <c r="AC6262" s="4">
        <v>1</v>
      </c>
      <c r="AD6262" s="4">
        <v>23</v>
      </c>
      <c r="AE6262" s="4">
        <v>35</v>
      </c>
      <c r="AF6262" s="4">
        <v>0</v>
      </c>
      <c r="AG6262" s="4">
        <v>0</v>
      </c>
      <c r="AH6262" s="4">
        <v>22</v>
      </c>
      <c r="AI6262" s="4">
        <v>32</v>
      </c>
      <c r="AJ6262" s="4">
        <v>1</v>
      </c>
      <c r="AK6262" s="4">
        <v>4</v>
      </c>
      <c r="AL6262" s="4">
        <v>20</v>
      </c>
      <c r="AM6262" s="4">
        <v>26</v>
      </c>
      <c r="AN6262" s="4">
        <v>0</v>
      </c>
      <c r="AO6262" s="4">
        <v>0</v>
      </c>
      <c r="AP6262" s="4">
        <v>1</v>
      </c>
      <c r="AQ6262" s="4">
        <v>4</v>
      </c>
      <c r="AR6262" s="3" t="s">
        <v>62</v>
      </c>
      <c r="AS6262" s="3" t="s">
        <v>62</v>
      </c>
      <c r="AT6262" s="3" t="s">
        <v>61</v>
      </c>
      <c r="AU6262" s="6" t="str">
        <f>HYPERLINK("http://catalog.hathitrust.org/Record/004742799","HathiTrust Record")</f>
        <v>HathiTrust Record</v>
      </c>
      <c r="AV6262" s="6" t="str">
        <f>HYPERLINK("http://mcgill.on.worldcat.org/oclc/55509649","Catalog Record")</f>
        <v>Catalog Record</v>
      </c>
      <c r="AW6262" s="6" t="str">
        <f>HYPERLINK("http://www.worldcat.org/oclc/55509649","WorldCat Record")</f>
        <v>WorldCat Record</v>
      </c>
      <c r="AX6262" s="3" t="s">
        <v>60278</v>
      </c>
      <c r="AY6262" s="3" t="s">
        <v>60279</v>
      </c>
      <c r="AZ6262" s="3" t="s">
        <v>60280</v>
      </c>
      <c r="BA6262" s="3" t="s">
        <v>60280</v>
      </c>
      <c r="BB6262" s="3" t="s">
        <v>60281</v>
      </c>
      <c r="BC6262" s="3" t="s">
        <v>142</v>
      </c>
      <c r="BD6262" s="3" t="s">
        <v>68</v>
      </c>
      <c r="BE6262" s="3" t="s">
        <v>60282</v>
      </c>
      <c r="BF6262" s="3" t="s">
        <v>60281</v>
      </c>
      <c r="BG6262" s="3" t="s">
        <v>60283</v>
      </c>
    </row>
    <row r="6263" spans="1:59" ht="57" x14ac:dyDescent="0.45">
      <c r="A6263" s="2" t="s">
        <v>59</v>
      </c>
      <c r="B6263" s="2" t="s">
        <v>60</v>
      </c>
      <c r="C6263" s="2" t="s">
        <v>60284</v>
      </c>
      <c r="D6263" s="2" t="s">
        <v>60285</v>
      </c>
      <c r="E6263" s="2" t="s">
        <v>60286</v>
      </c>
      <c r="G6263" s="3" t="s">
        <v>62</v>
      </c>
      <c r="I6263" s="3" t="s">
        <v>62</v>
      </c>
      <c r="J6263" s="3" t="s">
        <v>62</v>
      </c>
      <c r="K6263" s="3" t="s">
        <v>63</v>
      </c>
      <c r="L6263" s="2" t="s">
        <v>60287</v>
      </c>
      <c r="M6263" s="2" t="s">
        <v>60288</v>
      </c>
      <c r="N6263" s="3" t="s">
        <v>1155</v>
      </c>
      <c r="P6263" s="3" t="s">
        <v>110</v>
      </c>
      <c r="Q6263" s="2" t="s">
        <v>60289</v>
      </c>
      <c r="R6263" s="3" t="s">
        <v>66</v>
      </c>
      <c r="S6263" s="4">
        <v>0</v>
      </c>
      <c r="T6263" s="4">
        <v>0</v>
      </c>
      <c r="W6263" s="5" t="s">
        <v>67</v>
      </c>
      <c r="X6263" s="5" t="s">
        <v>67</v>
      </c>
      <c r="Y6263" s="4">
        <v>8</v>
      </c>
      <c r="Z6263" s="4">
        <v>1</v>
      </c>
      <c r="AA6263" s="4">
        <v>7</v>
      </c>
      <c r="AB6263" s="4">
        <v>1</v>
      </c>
      <c r="AC6263" s="4">
        <v>5</v>
      </c>
      <c r="AD6263" s="4">
        <v>4</v>
      </c>
      <c r="AE6263" s="4">
        <v>8</v>
      </c>
      <c r="AF6263" s="4">
        <v>0</v>
      </c>
      <c r="AG6263" s="4">
        <v>3</v>
      </c>
      <c r="AH6263" s="4">
        <v>4</v>
      </c>
      <c r="AI6263" s="4">
        <v>6</v>
      </c>
      <c r="AJ6263" s="4">
        <v>0</v>
      </c>
      <c r="AK6263" s="4">
        <v>3</v>
      </c>
      <c r="AL6263" s="4">
        <v>4</v>
      </c>
      <c r="AM6263" s="4">
        <v>5</v>
      </c>
      <c r="AN6263" s="4">
        <v>0</v>
      </c>
      <c r="AO6263" s="4">
        <v>0</v>
      </c>
      <c r="AP6263" s="4">
        <v>0</v>
      </c>
      <c r="AQ6263" s="4">
        <v>3</v>
      </c>
      <c r="AR6263" s="3" t="s">
        <v>62</v>
      </c>
      <c r="AS6263" s="3" t="s">
        <v>62</v>
      </c>
      <c r="AT6263" s="3" t="s">
        <v>62</v>
      </c>
      <c r="AV6263" s="6" t="str">
        <f>HYPERLINK("http://mcgill.on.worldcat.org/oclc/828410833","Catalog Record")</f>
        <v>Catalog Record</v>
      </c>
      <c r="AW6263" s="6" t="str">
        <f>HYPERLINK("http://www.worldcat.org/oclc/828410833","WorldCat Record")</f>
        <v>WorldCat Record</v>
      </c>
      <c r="AX6263" s="3" t="s">
        <v>60290</v>
      </c>
      <c r="AY6263" s="3" t="s">
        <v>60291</v>
      </c>
      <c r="AZ6263" s="3" t="s">
        <v>60292</v>
      </c>
      <c r="BA6263" s="3" t="s">
        <v>60292</v>
      </c>
      <c r="BB6263" s="3" t="s">
        <v>60293</v>
      </c>
      <c r="BC6263" s="3" t="s">
        <v>142</v>
      </c>
      <c r="BD6263" s="3" t="s">
        <v>68</v>
      </c>
      <c r="BE6263" s="3" t="s">
        <v>60294</v>
      </c>
      <c r="BF6263" s="3" t="s">
        <v>60293</v>
      </c>
      <c r="BG6263" s="3" t="s">
        <v>60295</v>
      </c>
    </row>
    <row r="6264" spans="1:59" ht="57" x14ac:dyDescent="0.45">
      <c r="A6264" s="2" t="s">
        <v>59</v>
      </c>
      <c r="B6264" s="2" t="s">
        <v>60</v>
      </c>
      <c r="C6264" s="2" t="s">
        <v>60296</v>
      </c>
      <c r="D6264" s="2" t="s">
        <v>60297</v>
      </c>
      <c r="E6264" s="2" t="s">
        <v>60298</v>
      </c>
      <c r="G6264" s="3" t="s">
        <v>62</v>
      </c>
      <c r="I6264" s="3" t="s">
        <v>62</v>
      </c>
      <c r="J6264" s="3" t="s">
        <v>62</v>
      </c>
      <c r="K6264" s="3" t="s">
        <v>63</v>
      </c>
      <c r="M6264" s="2" t="s">
        <v>60299</v>
      </c>
      <c r="N6264" s="3" t="s">
        <v>945</v>
      </c>
      <c r="P6264" s="3" t="s">
        <v>326</v>
      </c>
      <c r="Q6264" s="2" t="s">
        <v>60300</v>
      </c>
      <c r="R6264" s="3" t="s">
        <v>66</v>
      </c>
      <c r="S6264" s="4">
        <v>1</v>
      </c>
      <c r="T6264" s="4">
        <v>1</v>
      </c>
      <c r="U6264" s="5" t="s">
        <v>20968</v>
      </c>
      <c r="V6264" s="5" t="s">
        <v>20968</v>
      </c>
      <c r="W6264" s="5" t="s">
        <v>67</v>
      </c>
      <c r="X6264" s="5" t="s">
        <v>67</v>
      </c>
      <c r="Y6264" s="4">
        <v>20</v>
      </c>
      <c r="Z6264" s="4">
        <v>4</v>
      </c>
      <c r="AA6264" s="4">
        <v>5</v>
      </c>
      <c r="AB6264" s="4">
        <v>1</v>
      </c>
      <c r="AC6264" s="4">
        <v>2</v>
      </c>
      <c r="AD6264" s="4">
        <v>6</v>
      </c>
      <c r="AE6264" s="4">
        <v>7</v>
      </c>
      <c r="AF6264" s="4">
        <v>0</v>
      </c>
      <c r="AG6264" s="4">
        <v>1</v>
      </c>
      <c r="AH6264" s="4">
        <v>5</v>
      </c>
      <c r="AI6264" s="4">
        <v>5</v>
      </c>
      <c r="AJ6264" s="4">
        <v>2</v>
      </c>
      <c r="AK6264" s="4">
        <v>3</v>
      </c>
      <c r="AL6264" s="4">
        <v>5</v>
      </c>
      <c r="AM6264" s="4">
        <v>5</v>
      </c>
      <c r="AN6264" s="4">
        <v>0</v>
      </c>
      <c r="AO6264" s="4">
        <v>0</v>
      </c>
      <c r="AP6264" s="4">
        <v>2</v>
      </c>
      <c r="AQ6264" s="4">
        <v>2</v>
      </c>
      <c r="AR6264" s="3" t="s">
        <v>62</v>
      </c>
      <c r="AS6264" s="3" t="s">
        <v>62</v>
      </c>
      <c r="AT6264" s="3" t="s">
        <v>62</v>
      </c>
      <c r="AV6264" s="6" t="str">
        <f>HYPERLINK("http://mcgill.on.worldcat.org/oclc/265984022","Catalog Record")</f>
        <v>Catalog Record</v>
      </c>
      <c r="AW6264" s="6" t="str">
        <f>HYPERLINK("http://www.worldcat.org/oclc/265984022","WorldCat Record")</f>
        <v>WorldCat Record</v>
      </c>
      <c r="AX6264" s="3" t="s">
        <v>60301</v>
      </c>
      <c r="AY6264" s="3" t="s">
        <v>60302</v>
      </c>
      <c r="AZ6264" s="3" t="s">
        <v>60303</v>
      </c>
      <c r="BA6264" s="3" t="s">
        <v>60303</v>
      </c>
      <c r="BB6264" s="3" t="s">
        <v>60304</v>
      </c>
      <c r="BC6264" s="3" t="s">
        <v>142</v>
      </c>
      <c r="BD6264" s="3" t="s">
        <v>68</v>
      </c>
      <c r="BE6264" s="3" t="s">
        <v>60305</v>
      </c>
      <c r="BF6264" s="3" t="s">
        <v>60304</v>
      </c>
      <c r="BG6264" s="3" t="s">
        <v>60306</v>
      </c>
    </row>
    <row r="6265" spans="1:59" ht="57" x14ac:dyDescent="0.45">
      <c r="A6265" s="2" t="s">
        <v>59</v>
      </c>
      <c r="B6265" s="2" t="s">
        <v>60</v>
      </c>
      <c r="C6265" s="2" t="s">
        <v>60307</v>
      </c>
      <c r="D6265" s="2" t="s">
        <v>60308</v>
      </c>
      <c r="E6265" s="2" t="s">
        <v>60309</v>
      </c>
      <c r="G6265" s="3" t="s">
        <v>62</v>
      </c>
      <c r="I6265" s="3" t="s">
        <v>62</v>
      </c>
      <c r="J6265" s="3" t="s">
        <v>62</v>
      </c>
      <c r="K6265" s="3" t="s">
        <v>63</v>
      </c>
      <c r="L6265" s="2" t="s">
        <v>60310</v>
      </c>
      <c r="M6265" s="2" t="s">
        <v>60311</v>
      </c>
      <c r="N6265" s="3" t="s">
        <v>807</v>
      </c>
      <c r="P6265" s="3" t="s">
        <v>110</v>
      </c>
      <c r="R6265" s="3" t="s">
        <v>66</v>
      </c>
      <c r="S6265" s="4">
        <v>17</v>
      </c>
      <c r="T6265" s="4">
        <v>17</v>
      </c>
      <c r="U6265" s="5" t="s">
        <v>60312</v>
      </c>
      <c r="V6265" s="5" t="s">
        <v>60312</v>
      </c>
      <c r="W6265" s="5" t="s">
        <v>67</v>
      </c>
      <c r="X6265" s="5" t="s">
        <v>67</v>
      </c>
      <c r="Y6265" s="4">
        <v>6</v>
      </c>
      <c r="Z6265" s="4">
        <v>4</v>
      </c>
      <c r="AA6265" s="4">
        <v>8</v>
      </c>
      <c r="AB6265" s="4">
        <v>1</v>
      </c>
      <c r="AC6265" s="4">
        <v>3</v>
      </c>
      <c r="AD6265" s="4">
        <v>2</v>
      </c>
      <c r="AE6265" s="4">
        <v>4</v>
      </c>
      <c r="AF6265" s="4">
        <v>0</v>
      </c>
      <c r="AG6265" s="4">
        <v>1</v>
      </c>
      <c r="AH6265" s="4">
        <v>1</v>
      </c>
      <c r="AI6265" s="4">
        <v>2</v>
      </c>
      <c r="AJ6265" s="4">
        <v>1</v>
      </c>
      <c r="AK6265" s="4">
        <v>3</v>
      </c>
      <c r="AL6265" s="4">
        <v>0</v>
      </c>
      <c r="AM6265" s="4">
        <v>0</v>
      </c>
      <c r="AN6265" s="4">
        <v>0</v>
      </c>
      <c r="AO6265" s="4">
        <v>0</v>
      </c>
      <c r="AP6265" s="4">
        <v>2</v>
      </c>
      <c r="AQ6265" s="4">
        <v>4</v>
      </c>
      <c r="AR6265" s="3" t="s">
        <v>62</v>
      </c>
      <c r="AS6265" s="3" t="s">
        <v>62</v>
      </c>
      <c r="AT6265" s="3" t="s">
        <v>62</v>
      </c>
      <c r="AV6265" s="6" t="str">
        <f>HYPERLINK("http://mcgill.on.worldcat.org/oclc/427974369","Catalog Record")</f>
        <v>Catalog Record</v>
      </c>
      <c r="AW6265" s="6" t="str">
        <f>HYPERLINK("http://www.worldcat.org/oclc/427974369","WorldCat Record")</f>
        <v>WorldCat Record</v>
      </c>
      <c r="AX6265" s="3" t="s">
        <v>60313</v>
      </c>
      <c r="AY6265" s="3" t="s">
        <v>60314</v>
      </c>
      <c r="AZ6265" s="3" t="s">
        <v>60315</v>
      </c>
      <c r="BA6265" s="3" t="s">
        <v>60315</v>
      </c>
      <c r="BB6265" s="3" t="s">
        <v>60316</v>
      </c>
      <c r="BC6265" s="3" t="s">
        <v>142</v>
      </c>
      <c r="BD6265" s="3" t="s">
        <v>68</v>
      </c>
      <c r="BE6265" s="3" t="s">
        <v>60317</v>
      </c>
      <c r="BF6265" s="3" t="s">
        <v>60316</v>
      </c>
      <c r="BG6265" s="3" t="s">
        <v>60318</v>
      </c>
    </row>
    <row r="6266" spans="1:59" ht="57" x14ac:dyDescent="0.45">
      <c r="A6266" s="2" t="s">
        <v>59</v>
      </c>
      <c r="B6266" s="2" t="s">
        <v>60</v>
      </c>
      <c r="C6266" s="2" t="s">
        <v>60319</v>
      </c>
      <c r="D6266" s="2" t="s">
        <v>60320</v>
      </c>
      <c r="E6266" s="2" t="s">
        <v>60321</v>
      </c>
      <c r="G6266" s="3" t="s">
        <v>62</v>
      </c>
      <c r="I6266" s="3" t="s">
        <v>62</v>
      </c>
      <c r="J6266" s="3" t="s">
        <v>62</v>
      </c>
      <c r="K6266" s="3" t="s">
        <v>63</v>
      </c>
      <c r="L6266" s="2" t="s">
        <v>60322</v>
      </c>
      <c r="M6266" s="2" t="s">
        <v>60323</v>
      </c>
      <c r="N6266" s="3" t="s">
        <v>1212</v>
      </c>
      <c r="P6266" s="3" t="s">
        <v>65</v>
      </c>
      <c r="Q6266" s="2" t="s">
        <v>60324</v>
      </c>
      <c r="R6266" s="3" t="s">
        <v>66</v>
      </c>
      <c r="S6266" s="4">
        <v>23</v>
      </c>
      <c r="T6266" s="4">
        <v>23</v>
      </c>
      <c r="U6266" s="5" t="s">
        <v>60325</v>
      </c>
      <c r="V6266" s="5" t="s">
        <v>60325</v>
      </c>
      <c r="W6266" s="5" t="s">
        <v>67</v>
      </c>
      <c r="X6266" s="5" t="s">
        <v>67</v>
      </c>
      <c r="Y6266" s="4">
        <v>252</v>
      </c>
      <c r="Z6266" s="4">
        <v>16</v>
      </c>
      <c r="AA6266" s="4">
        <v>17</v>
      </c>
      <c r="AB6266" s="4">
        <v>1</v>
      </c>
      <c r="AC6266" s="4">
        <v>2</v>
      </c>
      <c r="AD6266" s="4">
        <v>82</v>
      </c>
      <c r="AE6266" s="4">
        <v>83</v>
      </c>
      <c r="AF6266" s="4">
        <v>0</v>
      </c>
      <c r="AG6266" s="4">
        <v>1</v>
      </c>
      <c r="AH6266" s="4">
        <v>75</v>
      </c>
      <c r="AI6266" s="4">
        <v>75</v>
      </c>
      <c r="AJ6266" s="4">
        <v>12</v>
      </c>
      <c r="AK6266" s="4">
        <v>12</v>
      </c>
      <c r="AL6266" s="4">
        <v>46</v>
      </c>
      <c r="AM6266" s="4">
        <v>46</v>
      </c>
      <c r="AN6266" s="4">
        <v>0</v>
      </c>
      <c r="AO6266" s="4">
        <v>0</v>
      </c>
      <c r="AP6266" s="4">
        <v>13</v>
      </c>
      <c r="AQ6266" s="4">
        <v>14</v>
      </c>
      <c r="AR6266" s="3" t="s">
        <v>62</v>
      </c>
      <c r="AS6266" s="3" t="s">
        <v>62</v>
      </c>
      <c r="AT6266" s="3" t="s">
        <v>61</v>
      </c>
      <c r="AU6266" s="6" t="str">
        <f>HYPERLINK("http://catalog.hathitrust.org/Record/004121568","HathiTrust Record")</f>
        <v>HathiTrust Record</v>
      </c>
      <c r="AV6266" s="6" t="str">
        <f>HYPERLINK("http://mcgill.on.worldcat.org/oclc/45237513","Catalog Record")</f>
        <v>Catalog Record</v>
      </c>
      <c r="AW6266" s="6" t="str">
        <f>HYPERLINK("http://www.worldcat.org/oclc/45237513","WorldCat Record")</f>
        <v>WorldCat Record</v>
      </c>
      <c r="AX6266" s="3" t="s">
        <v>60326</v>
      </c>
      <c r="AY6266" s="3" t="s">
        <v>60327</v>
      </c>
      <c r="AZ6266" s="3" t="s">
        <v>60328</v>
      </c>
      <c r="BA6266" s="3" t="s">
        <v>60328</v>
      </c>
      <c r="BB6266" s="3" t="s">
        <v>60329</v>
      </c>
      <c r="BC6266" s="3" t="s">
        <v>142</v>
      </c>
      <c r="BD6266" s="3" t="s">
        <v>68</v>
      </c>
      <c r="BE6266" s="3" t="s">
        <v>60330</v>
      </c>
      <c r="BF6266" s="3" t="s">
        <v>60329</v>
      </c>
      <c r="BG6266" s="3" t="s">
        <v>60331</v>
      </c>
    </row>
    <row r="6267" spans="1:59" ht="57" x14ac:dyDescent="0.45">
      <c r="A6267" s="2" t="s">
        <v>59</v>
      </c>
      <c r="B6267" s="2" t="s">
        <v>60</v>
      </c>
      <c r="C6267" s="2" t="s">
        <v>60332</v>
      </c>
      <c r="D6267" s="2" t="s">
        <v>60333</v>
      </c>
      <c r="E6267" s="2" t="s">
        <v>60334</v>
      </c>
      <c r="G6267" s="3" t="s">
        <v>62</v>
      </c>
      <c r="I6267" s="3" t="s">
        <v>62</v>
      </c>
      <c r="J6267" s="3" t="s">
        <v>62</v>
      </c>
      <c r="K6267" s="3" t="s">
        <v>63</v>
      </c>
      <c r="L6267" s="2" t="s">
        <v>60335</v>
      </c>
      <c r="M6267" s="2" t="s">
        <v>60336</v>
      </c>
      <c r="N6267" s="3" t="s">
        <v>125</v>
      </c>
      <c r="P6267" s="3" t="s">
        <v>65</v>
      </c>
      <c r="Q6267" s="2" t="s">
        <v>3411</v>
      </c>
      <c r="R6267" s="3" t="s">
        <v>66</v>
      </c>
      <c r="S6267" s="4">
        <v>16</v>
      </c>
      <c r="T6267" s="4">
        <v>16</v>
      </c>
      <c r="U6267" s="5" t="s">
        <v>13023</v>
      </c>
      <c r="V6267" s="5" t="s">
        <v>13023</v>
      </c>
      <c r="W6267" s="5" t="s">
        <v>67</v>
      </c>
      <c r="X6267" s="5" t="s">
        <v>67</v>
      </c>
      <c r="Y6267" s="4">
        <v>315</v>
      </c>
      <c r="Z6267" s="4">
        <v>23</v>
      </c>
      <c r="AA6267" s="4">
        <v>33</v>
      </c>
      <c r="AB6267" s="4">
        <v>2</v>
      </c>
      <c r="AC6267" s="4">
        <v>8</v>
      </c>
      <c r="AD6267" s="4">
        <v>85</v>
      </c>
      <c r="AE6267" s="4">
        <v>97</v>
      </c>
      <c r="AF6267" s="4">
        <v>1</v>
      </c>
      <c r="AG6267" s="4">
        <v>4</v>
      </c>
      <c r="AH6267" s="4">
        <v>75</v>
      </c>
      <c r="AI6267" s="4">
        <v>80</v>
      </c>
      <c r="AJ6267" s="4">
        <v>17</v>
      </c>
      <c r="AK6267" s="4">
        <v>21</v>
      </c>
      <c r="AL6267" s="4">
        <v>40</v>
      </c>
      <c r="AM6267" s="4">
        <v>44</v>
      </c>
      <c r="AN6267" s="4">
        <v>1</v>
      </c>
      <c r="AO6267" s="4">
        <v>1</v>
      </c>
      <c r="AP6267" s="4">
        <v>20</v>
      </c>
      <c r="AQ6267" s="4">
        <v>26</v>
      </c>
      <c r="AR6267" s="3" t="s">
        <v>62</v>
      </c>
      <c r="AS6267" s="3" t="s">
        <v>62</v>
      </c>
      <c r="AT6267" s="3" t="s">
        <v>61</v>
      </c>
      <c r="AU6267" s="6" t="str">
        <f>HYPERLINK("http://catalog.hathitrust.org/Record/001949613","HathiTrust Record")</f>
        <v>HathiTrust Record</v>
      </c>
      <c r="AV6267" s="6" t="str">
        <f>HYPERLINK("http://mcgill.on.worldcat.org/oclc/19519309","Catalog Record")</f>
        <v>Catalog Record</v>
      </c>
      <c r="AW6267" s="6" t="str">
        <f>HYPERLINK("http://www.worldcat.org/oclc/19519309","WorldCat Record")</f>
        <v>WorldCat Record</v>
      </c>
      <c r="AX6267" s="3" t="s">
        <v>60337</v>
      </c>
      <c r="AY6267" s="3" t="s">
        <v>60338</v>
      </c>
      <c r="AZ6267" s="3" t="s">
        <v>60339</v>
      </c>
      <c r="BA6267" s="3" t="s">
        <v>60339</v>
      </c>
      <c r="BB6267" s="3" t="s">
        <v>60340</v>
      </c>
      <c r="BC6267" s="3" t="s">
        <v>142</v>
      </c>
      <c r="BD6267" s="3" t="s">
        <v>308</v>
      </c>
      <c r="BE6267" s="3" t="s">
        <v>60341</v>
      </c>
      <c r="BF6267" s="3" t="s">
        <v>60340</v>
      </c>
      <c r="BG6267" s="3" t="s">
        <v>60342</v>
      </c>
    </row>
    <row r="6268" spans="1:59" ht="57" x14ac:dyDescent="0.45">
      <c r="A6268" s="2" t="s">
        <v>59</v>
      </c>
      <c r="B6268" s="2" t="s">
        <v>60</v>
      </c>
      <c r="C6268" s="2" t="s">
        <v>60343</v>
      </c>
      <c r="D6268" s="2" t="s">
        <v>60344</v>
      </c>
      <c r="E6268" s="2" t="s">
        <v>60345</v>
      </c>
      <c r="G6268" s="3" t="s">
        <v>62</v>
      </c>
      <c r="I6268" s="3" t="s">
        <v>62</v>
      </c>
      <c r="J6268" s="3" t="s">
        <v>62</v>
      </c>
      <c r="K6268" s="3" t="s">
        <v>63</v>
      </c>
      <c r="L6268" s="2" t="s">
        <v>60346</v>
      </c>
      <c r="M6268" s="2" t="s">
        <v>60347</v>
      </c>
      <c r="N6268" s="3" t="s">
        <v>167</v>
      </c>
      <c r="P6268" s="3" t="s">
        <v>65</v>
      </c>
      <c r="Q6268" s="2" t="s">
        <v>60348</v>
      </c>
      <c r="R6268" s="3" t="s">
        <v>66</v>
      </c>
      <c r="S6268" s="4">
        <v>11</v>
      </c>
      <c r="T6268" s="4">
        <v>11</v>
      </c>
      <c r="U6268" s="5" t="s">
        <v>12711</v>
      </c>
      <c r="V6268" s="5" t="s">
        <v>12711</v>
      </c>
      <c r="W6268" s="5" t="s">
        <v>67</v>
      </c>
      <c r="X6268" s="5" t="s">
        <v>67</v>
      </c>
      <c r="Y6268" s="4">
        <v>111</v>
      </c>
      <c r="Z6268" s="4">
        <v>5</v>
      </c>
      <c r="AA6268" s="4">
        <v>14</v>
      </c>
      <c r="AB6268" s="4">
        <v>2</v>
      </c>
      <c r="AC6268" s="4">
        <v>8</v>
      </c>
      <c r="AD6268" s="4">
        <v>29</v>
      </c>
      <c r="AE6268" s="4">
        <v>45</v>
      </c>
      <c r="AF6268" s="4">
        <v>1</v>
      </c>
      <c r="AG6268" s="4">
        <v>4</v>
      </c>
      <c r="AH6268" s="4">
        <v>27</v>
      </c>
      <c r="AI6268" s="4">
        <v>39</v>
      </c>
      <c r="AJ6268" s="4">
        <v>4</v>
      </c>
      <c r="AK6268" s="4">
        <v>8</v>
      </c>
      <c r="AL6268" s="4">
        <v>19</v>
      </c>
      <c r="AM6268" s="4">
        <v>24</v>
      </c>
      <c r="AN6268" s="4">
        <v>0</v>
      </c>
      <c r="AO6268" s="4">
        <v>0</v>
      </c>
      <c r="AP6268" s="4">
        <v>4</v>
      </c>
      <c r="AQ6268" s="4">
        <v>9</v>
      </c>
      <c r="AR6268" s="3" t="s">
        <v>62</v>
      </c>
      <c r="AS6268" s="3" t="s">
        <v>62</v>
      </c>
      <c r="AT6268" s="3" t="s">
        <v>61</v>
      </c>
      <c r="AU6268" s="6" t="str">
        <f>HYPERLINK("http://catalog.hathitrust.org/Record/004270989","HathiTrust Record")</f>
        <v>HathiTrust Record</v>
      </c>
      <c r="AV6268" s="6" t="str">
        <f>HYPERLINK("http://mcgill.on.worldcat.org/oclc/40753416","Catalog Record")</f>
        <v>Catalog Record</v>
      </c>
      <c r="AW6268" s="6" t="str">
        <f>HYPERLINK("http://www.worldcat.org/oclc/40753416","WorldCat Record")</f>
        <v>WorldCat Record</v>
      </c>
      <c r="AX6268" s="3" t="s">
        <v>60349</v>
      </c>
      <c r="AY6268" s="3" t="s">
        <v>60350</v>
      </c>
      <c r="AZ6268" s="3" t="s">
        <v>60351</v>
      </c>
      <c r="BA6268" s="3" t="s">
        <v>60351</v>
      </c>
      <c r="BB6268" s="3" t="s">
        <v>60352</v>
      </c>
      <c r="BC6268" s="3" t="s">
        <v>142</v>
      </c>
      <c r="BD6268" s="3" t="s">
        <v>68</v>
      </c>
      <c r="BE6268" s="3" t="s">
        <v>60353</v>
      </c>
      <c r="BF6268" s="3" t="s">
        <v>60352</v>
      </c>
      <c r="BG6268" s="3" t="s">
        <v>60354</v>
      </c>
    </row>
    <row r="6269" spans="1:59" ht="57" x14ac:dyDescent="0.45">
      <c r="A6269" s="2" t="s">
        <v>59</v>
      </c>
      <c r="B6269" s="2" t="s">
        <v>60</v>
      </c>
      <c r="C6269" s="2" t="s">
        <v>60355</v>
      </c>
      <c r="D6269" s="2" t="s">
        <v>60356</v>
      </c>
      <c r="E6269" s="2" t="s">
        <v>60357</v>
      </c>
      <c r="G6269" s="3" t="s">
        <v>62</v>
      </c>
      <c r="I6269" s="3" t="s">
        <v>62</v>
      </c>
      <c r="J6269" s="3" t="s">
        <v>62</v>
      </c>
      <c r="K6269" s="3" t="s">
        <v>63</v>
      </c>
      <c r="M6269" s="2" t="s">
        <v>60358</v>
      </c>
      <c r="N6269" s="3" t="s">
        <v>116</v>
      </c>
      <c r="P6269" s="3" t="s">
        <v>326</v>
      </c>
      <c r="Q6269" s="2" t="s">
        <v>60359</v>
      </c>
      <c r="R6269" s="3" t="s">
        <v>66</v>
      </c>
      <c r="S6269" s="4">
        <v>1</v>
      </c>
      <c r="T6269" s="4">
        <v>1</v>
      </c>
      <c r="U6269" s="5" t="s">
        <v>21835</v>
      </c>
      <c r="V6269" s="5" t="s">
        <v>21835</v>
      </c>
      <c r="W6269" s="5" t="s">
        <v>67</v>
      </c>
      <c r="X6269" s="5" t="s">
        <v>67</v>
      </c>
      <c r="Y6269" s="4">
        <v>7</v>
      </c>
      <c r="Z6269" s="4">
        <v>1</v>
      </c>
      <c r="AA6269" s="4">
        <v>3</v>
      </c>
      <c r="AB6269" s="4">
        <v>1</v>
      </c>
      <c r="AC6269" s="4">
        <v>3</v>
      </c>
      <c r="AD6269" s="4">
        <v>3</v>
      </c>
      <c r="AE6269" s="4">
        <v>8</v>
      </c>
      <c r="AF6269" s="4">
        <v>0</v>
      </c>
      <c r="AG6269" s="4">
        <v>1</v>
      </c>
      <c r="AH6269" s="4">
        <v>3</v>
      </c>
      <c r="AI6269" s="4">
        <v>7</v>
      </c>
      <c r="AJ6269" s="4">
        <v>0</v>
      </c>
      <c r="AK6269" s="4">
        <v>1</v>
      </c>
      <c r="AL6269" s="4">
        <v>3</v>
      </c>
      <c r="AM6269" s="4">
        <v>3</v>
      </c>
      <c r="AN6269" s="4">
        <v>0</v>
      </c>
      <c r="AO6269" s="4">
        <v>0</v>
      </c>
      <c r="AP6269" s="4">
        <v>0</v>
      </c>
      <c r="AQ6269" s="4">
        <v>0</v>
      </c>
      <c r="AR6269" s="3" t="s">
        <v>62</v>
      </c>
      <c r="AS6269" s="3" t="s">
        <v>62</v>
      </c>
      <c r="AT6269" s="3" t="s">
        <v>62</v>
      </c>
      <c r="AV6269" s="6" t="str">
        <f>HYPERLINK("http://mcgill.on.worldcat.org/oclc/841763609","Catalog Record")</f>
        <v>Catalog Record</v>
      </c>
      <c r="AW6269" s="6" t="str">
        <f>HYPERLINK("http://www.worldcat.org/oclc/841763609","WorldCat Record")</f>
        <v>WorldCat Record</v>
      </c>
      <c r="AX6269" s="3" t="s">
        <v>60360</v>
      </c>
      <c r="AY6269" s="3" t="s">
        <v>60361</v>
      </c>
      <c r="AZ6269" s="3" t="s">
        <v>60362</v>
      </c>
      <c r="BA6269" s="3" t="s">
        <v>60362</v>
      </c>
      <c r="BB6269" s="3" t="s">
        <v>60363</v>
      </c>
      <c r="BC6269" s="3" t="s">
        <v>142</v>
      </c>
      <c r="BD6269" s="3" t="s">
        <v>68</v>
      </c>
      <c r="BE6269" s="3" t="s">
        <v>60364</v>
      </c>
      <c r="BF6269" s="3" t="s">
        <v>60363</v>
      </c>
      <c r="BG6269" s="3" t="s">
        <v>60365</v>
      </c>
    </row>
    <row r="6270" spans="1:59" ht="57" x14ac:dyDescent="0.45">
      <c r="A6270" s="2" t="s">
        <v>59</v>
      </c>
      <c r="B6270" s="2" t="s">
        <v>60</v>
      </c>
      <c r="C6270" s="2" t="s">
        <v>60366</v>
      </c>
      <c r="D6270" s="2" t="s">
        <v>60367</v>
      </c>
      <c r="E6270" s="2" t="s">
        <v>60368</v>
      </c>
      <c r="G6270" s="3" t="s">
        <v>62</v>
      </c>
      <c r="I6270" s="3" t="s">
        <v>62</v>
      </c>
      <c r="J6270" s="3" t="s">
        <v>62</v>
      </c>
      <c r="K6270" s="3" t="s">
        <v>63</v>
      </c>
      <c r="M6270" s="2" t="s">
        <v>60369</v>
      </c>
      <c r="N6270" s="3" t="s">
        <v>894</v>
      </c>
      <c r="P6270" s="3" t="s">
        <v>110</v>
      </c>
      <c r="Q6270" s="2" t="s">
        <v>60370</v>
      </c>
      <c r="R6270" s="3" t="s">
        <v>66</v>
      </c>
      <c r="S6270" s="4">
        <v>2</v>
      </c>
      <c r="T6270" s="4">
        <v>2</v>
      </c>
      <c r="U6270" s="5" t="s">
        <v>9777</v>
      </c>
      <c r="V6270" s="5" t="s">
        <v>9777</v>
      </c>
      <c r="W6270" s="5" t="s">
        <v>67</v>
      </c>
      <c r="X6270" s="5" t="s">
        <v>67</v>
      </c>
      <c r="Y6270" s="4">
        <v>9</v>
      </c>
      <c r="Z6270" s="4">
        <v>1</v>
      </c>
      <c r="AA6270" s="4">
        <v>11</v>
      </c>
      <c r="AB6270" s="4">
        <v>1</v>
      </c>
      <c r="AC6270" s="4">
        <v>8</v>
      </c>
      <c r="AD6270" s="4">
        <v>3</v>
      </c>
      <c r="AE6270" s="4">
        <v>16</v>
      </c>
      <c r="AF6270" s="4">
        <v>0</v>
      </c>
      <c r="AG6270" s="4">
        <v>6</v>
      </c>
      <c r="AH6270" s="4">
        <v>3</v>
      </c>
      <c r="AI6270" s="4">
        <v>11</v>
      </c>
      <c r="AJ6270" s="4">
        <v>0</v>
      </c>
      <c r="AK6270" s="4">
        <v>8</v>
      </c>
      <c r="AL6270" s="4">
        <v>3</v>
      </c>
      <c r="AM6270" s="4">
        <v>5</v>
      </c>
      <c r="AN6270" s="4">
        <v>0</v>
      </c>
      <c r="AO6270" s="4">
        <v>0</v>
      </c>
      <c r="AP6270" s="4">
        <v>0</v>
      </c>
      <c r="AQ6270" s="4">
        <v>8</v>
      </c>
      <c r="AR6270" s="3" t="s">
        <v>62</v>
      </c>
      <c r="AS6270" s="3" t="s">
        <v>62</v>
      </c>
      <c r="AT6270" s="3" t="s">
        <v>62</v>
      </c>
      <c r="AV6270" s="6" t="str">
        <f>HYPERLINK("http://mcgill.on.worldcat.org/oclc/703209647","Catalog Record")</f>
        <v>Catalog Record</v>
      </c>
      <c r="AW6270" s="6" t="str">
        <f>HYPERLINK("http://www.worldcat.org/oclc/703209647","WorldCat Record")</f>
        <v>WorldCat Record</v>
      </c>
      <c r="AX6270" s="3" t="s">
        <v>60371</v>
      </c>
      <c r="AY6270" s="3" t="s">
        <v>60372</v>
      </c>
      <c r="AZ6270" s="3" t="s">
        <v>60373</v>
      </c>
      <c r="BA6270" s="3" t="s">
        <v>60373</v>
      </c>
      <c r="BB6270" s="3" t="s">
        <v>60374</v>
      </c>
      <c r="BC6270" s="3" t="s">
        <v>142</v>
      </c>
      <c r="BD6270" s="3" t="s">
        <v>68</v>
      </c>
      <c r="BE6270" s="3" t="s">
        <v>60375</v>
      </c>
      <c r="BF6270" s="3" t="s">
        <v>60374</v>
      </c>
      <c r="BG6270" s="3" t="s">
        <v>60376</v>
      </c>
    </row>
    <row r="6271" spans="1:59" ht="57" x14ac:dyDescent="0.45">
      <c r="A6271" s="2" t="s">
        <v>59</v>
      </c>
      <c r="B6271" s="2" t="s">
        <v>60</v>
      </c>
      <c r="C6271" s="2" t="s">
        <v>60377</v>
      </c>
      <c r="D6271" s="2" t="s">
        <v>60378</v>
      </c>
      <c r="E6271" s="2" t="s">
        <v>60379</v>
      </c>
      <c r="G6271" s="3" t="s">
        <v>62</v>
      </c>
      <c r="I6271" s="3" t="s">
        <v>61</v>
      </c>
      <c r="J6271" s="3" t="s">
        <v>61</v>
      </c>
      <c r="K6271" s="3" t="s">
        <v>63</v>
      </c>
      <c r="L6271" s="2" t="s">
        <v>60380</v>
      </c>
      <c r="M6271" s="2" t="s">
        <v>60381</v>
      </c>
      <c r="N6271" s="3" t="s">
        <v>1437</v>
      </c>
      <c r="P6271" s="3" t="s">
        <v>110</v>
      </c>
      <c r="R6271" s="3" t="s">
        <v>66</v>
      </c>
      <c r="S6271" s="4">
        <v>7</v>
      </c>
      <c r="T6271" s="4">
        <v>44</v>
      </c>
      <c r="U6271" s="5" t="s">
        <v>60382</v>
      </c>
      <c r="V6271" s="5" t="s">
        <v>60382</v>
      </c>
      <c r="W6271" s="5" t="s">
        <v>67</v>
      </c>
      <c r="X6271" s="5" t="s">
        <v>67</v>
      </c>
      <c r="Y6271" s="4">
        <v>26</v>
      </c>
      <c r="Z6271" s="4">
        <v>19</v>
      </c>
      <c r="AA6271" s="4">
        <v>32</v>
      </c>
      <c r="AB6271" s="4">
        <v>12</v>
      </c>
      <c r="AC6271" s="4">
        <v>17</v>
      </c>
      <c r="AD6271" s="4">
        <v>11</v>
      </c>
      <c r="AE6271" s="4">
        <v>16</v>
      </c>
      <c r="AF6271" s="4">
        <v>6</v>
      </c>
      <c r="AG6271" s="4">
        <v>7</v>
      </c>
      <c r="AH6271" s="4">
        <v>4</v>
      </c>
      <c r="AI6271" s="4">
        <v>6</v>
      </c>
      <c r="AJ6271" s="4">
        <v>9</v>
      </c>
      <c r="AK6271" s="4">
        <v>10</v>
      </c>
      <c r="AL6271" s="4">
        <v>0</v>
      </c>
      <c r="AM6271" s="4">
        <v>0</v>
      </c>
      <c r="AN6271" s="4">
        <v>0</v>
      </c>
      <c r="AO6271" s="4">
        <v>0</v>
      </c>
      <c r="AP6271" s="4">
        <v>9</v>
      </c>
      <c r="AQ6271" s="4">
        <v>14</v>
      </c>
      <c r="AR6271" s="3" t="s">
        <v>61</v>
      </c>
      <c r="AS6271" s="3" t="s">
        <v>62</v>
      </c>
      <c r="AT6271" s="3" t="s">
        <v>62</v>
      </c>
      <c r="AV6271" s="6" t="str">
        <f>HYPERLINK("http://mcgill.on.worldcat.org/oclc/39905831","Catalog Record")</f>
        <v>Catalog Record</v>
      </c>
      <c r="AW6271" s="6" t="str">
        <f>HYPERLINK("http://www.worldcat.org/oclc/39905831","WorldCat Record")</f>
        <v>WorldCat Record</v>
      </c>
      <c r="AX6271" s="3" t="s">
        <v>60383</v>
      </c>
      <c r="AY6271" s="3" t="s">
        <v>60384</v>
      </c>
      <c r="AZ6271" s="3" t="s">
        <v>60385</v>
      </c>
      <c r="BA6271" s="3" t="s">
        <v>60385</v>
      </c>
      <c r="BB6271" s="3" t="s">
        <v>60386</v>
      </c>
      <c r="BC6271" s="3" t="s">
        <v>142</v>
      </c>
      <c r="BD6271" s="3" t="s">
        <v>68</v>
      </c>
      <c r="BE6271" s="3" t="s">
        <v>60387</v>
      </c>
      <c r="BF6271" s="3" t="s">
        <v>60386</v>
      </c>
      <c r="BG6271" s="3" t="s">
        <v>60388</v>
      </c>
    </row>
    <row r="6272" spans="1:59" ht="57" x14ac:dyDescent="0.45">
      <c r="A6272" s="2" t="s">
        <v>59</v>
      </c>
      <c r="B6272" s="2" t="s">
        <v>60</v>
      </c>
      <c r="C6272" s="2" t="s">
        <v>60377</v>
      </c>
      <c r="D6272" s="2" t="s">
        <v>60378</v>
      </c>
      <c r="E6272" s="2" t="s">
        <v>60379</v>
      </c>
      <c r="G6272" s="3" t="s">
        <v>62</v>
      </c>
      <c r="I6272" s="3" t="s">
        <v>61</v>
      </c>
      <c r="J6272" s="3" t="s">
        <v>61</v>
      </c>
      <c r="K6272" s="3" t="s">
        <v>63</v>
      </c>
      <c r="L6272" s="2" t="s">
        <v>60380</v>
      </c>
      <c r="M6272" s="2" t="s">
        <v>60381</v>
      </c>
      <c r="N6272" s="3" t="s">
        <v>1437</v>
      </c>
      <c r="P6272" s="3" t="s">
        <v>110</v>
      </c>
      <c r="R6272" s="3" t="s">
        <v>66</v>
      </c>
      <c r="S6272" s="4">
        <v>0</v>
      </c>
      <c r="T6272" s="4">
        <v>44</v>
      </c>
      <c r="V6272" s="5" t="s">
        <v>60382</v>
      </c>
      <c r="W6272" s="5" t="s">
        <v>67</v>
      </c>
      <c r="X6272" s="5" t="s">
        <v>67</v>
      </c>
      <c r="Y6272" s="4">
        <v>26</v>
      </c>
      <c r="Z6272" s="4">
        <v>19</v>
      </c>
      <c r="AA6272" s="4">
        <v>32</v>
      </c>
      <c r="AB6272" s="4">
        <v>12</v>
      </c>
      <c r="AC6272" s="4">
        <v>17</v>
      </c>
      <c r="AD6272" s="4">
        <v>11</v>
      </c>
      <c r="AE6272" s="4">
        <v>16</v>
      </c>
      <c r="AF6272" s="4">
        <v>6</v>
      </c>
      <c r="AG6272" s="4">
        <v>7</v>
      </c>
      <c r="AH6272" s="4">
        <v>4</v>
      </c>
      <c r="AI6272" s="4">
        <v>6</v>
      </c>
      <c r="AJ6272" s="4">
        <v>9</v>
      </c>
      <c r="AK6272" s="4">
        <v>10</v>
      </c>
      <c r="AL6272" s="4">
        <v>0</v>
      </c>
      <c r="AM6272" s="4">
        <v>0</v>
      </c>
      <c r="AN6272" s="4">
        <v>0</v>
      </c>
      <c r="AO6272" s="4">
        <v>0</v>
      </c>
      <c r="AP6272" s="4">
        <v>9</v>
      </c>
      <c r="AQ6272" s="4">
        <v>14</v>
      </c>
      <c r="AR6272" s="3" t="s">
        <v>61</v>
      </c>
      <c r="AS6272" s="3" t="s">
        <v>62</v>
      </c>
      <c r="AT6272" s="3" t="s">
        <v>62</v>
      </c>
      <c r="AV6272" s="6" t="str">
        <f>HYPERLINK("http://mcgill.on.worldcat.org/oclc/39905831","Catalog Record")</f>
        <v>Catalog Record</v>
      </c>
      <c r="AW6272" s="6" t="str">
        <f>HYPERLINK("http://www.worldcat.org/oclc/39905831","WorldCat Record")</f>
        <v>WorldCat Record</v>
      </c>
      <c r="AX6272" s="3" t="s">
        <v>60383</v>
      </c>
      <c r="AY6272" s="3" t="s">
        <v>60384</v>
      </c>
      <c r="AZ6272" s="3" t="s">
        <v>60385</v>
      </c>
      <c r="BA6272" s="3" t="s">
        <v>60385</v>
      </c>
      <c r="BB6272" s="3" t="s">
        <v>60389</v>
      </c>
      <c r="BC6272" s="3" t="s">
        <v>142</v>
      </c>
      <c r="BD6272" s="3" t="s">
        <v>68</v>
      </c>
      <c r="BE6272" s="3" t="s">
        <v>60387</v>
      </c>
      <c r="BF6272" s="3" t="s">
        <v>60389</v>
      </c>
      <c r="BG6272" s="3" t="s">
        <v>60390</v>
      </c>
    </row>
    <row r="6273" spans="1:59" ht="57" x14ac:dyDescent="0.45">
      <c r="A6273" s="2" t="s">
        <v>59</v>
      </c>
      <c r="B6273" s="2" t="s">
        <v>60</v>
      </c>
      <c r="C6273" s="2" t="s">
        <v>60377</v>
      </c>
      <c r="D6273" s="2" t="s">
        <v>60378</v>
      </c>
      <c r="E6273" s="2" t="s">
        <v>60379</v>
      </c>
      <c r="G6273" s="3" t="s">
        <v>62</v>
      </c>
      <c r="I6273" s="3" t="s">
        <v>61</v>
      </c>
      <c r="J6273" s="3" t="s">
        <v>61</v>
      </c>
      <c r="K6273" s="3" t="s">
        <v>63</v>
      </c>
      <c r="L6273" s="2" t="s">
        <v>60380</v>
      </c>
      <c r="M6273" s="2" t="s">
        <v>60381</v>
      </c>
      <c r="N6273" s="3" t="s">
        <v>1437</v>
      </c>
      <c r="P6273" s="3" t="s">
        <v>110</v>
      </c>
      <c r="R6273" s="3" t="s">
        <v>66</v>
      </c>
      <c r="S6273" s="4">
        <v>37</v>
      </c>
      <c r="T6273" s="4">
        <v>44</v>
      </c>
      <c r="U6273" s="5" t="s">
        <v>60391</v>
      </c>
      <c r="V6273" s="5" t="s">
        <v>60382</v>
      </c>
      <c r="W6273" s="5" t="s">
        <v>67</v>
      </c>
      <c r="X6273" s="5" t="s">
        <v>67</v>
      </c>
      <c r="Y6273" s="4">
        <v>26</v>
      </c>
      <c r="Z6273" s="4">
        <v>19</v>
      </c>
      <c r="AA6273" s="4">
        <v>32</v>
      </c>
      <c r="AB6273" s="4">
        <v>12</v>
      </c>
      <c r="AC6273" s="4">
        <v>17</v>
      </c>
      <c r="AD6273" s="4">
        <v>11</v>
      </c>
      <c r="AE6273" s="4">
        <v>16</v>
      </c>
      <c r="AF6273" s="4">
        <v>6</v>
      </c>
      <c r="AG6273" s="4">
        <v>7</v>
      </c>
      <c r="AH6273" s="4">
        <v>4</v>
      </c>
      <c r="AI6273" s="4">
        <v>6</v>
      </c>
      <c r="AJ6273" s="4">
        <v>9</v>
      </c>
      <c r="AK6273" s="4">
        <v>10</v>
      </c>
      <c r="AL6273" s="4">
        <v>0</v>
      </c>
      <c r="AM6273" s="4">
        <v>0</v>
      </c>
      <c r="AN6273" s="4">
        <v>0</v>
      </c>
      <c r="AO6273" s="4">
        <v>0</v>
      </c>
      <c r="AP6273" s="4">
        <v>9</v>
      </c>
      <c r="AQ6273" s="4">
        <v>14</v>
      </c>
      <c r="AR6273" s="3" t="s">
        <v>61</v>
      </c>
      <c r="AS6273" s="3" t="s">
        <v>62</v>
      </c>
      <c r="AT6273" s="3" t="s">
        <v>62</v>
      </c>
      <c r="AV6273" s="6" t="str">
        <f>HYPERLINK("http://mcgill.on.worldcat.org/oclc/39905831","Catalog Record")</f>
        <v>Catalog Record</v>
      </c>
      <c r="AW6273" s="6" t="str">
        <f>HYPERLINK("http://www.worldcat.org/oclc/39905831","WorldCat Record")</f>
        <v>WorldCat Record</v>
      </c>
      <c r="AX6273" s="3" t="s">
        <v>60383</v>
      </c>
      <c r="AY6273" s="3" t="s">
        <v>60384</v>
      </c>
      <c r="AZ6273" s="3" t="s">
        <v>60385</v>
      </c>
      <c r="BA6273" s="3" t="s">
        <v>60385</v>
      </c>
      <c r="BB6273" s="3" t="s">
        <v>60392</v>
      </c>
      <c r="BC6273" s="3" t="s">
        <v>142</v>
      </c>
      <c r="BD6273" s="3" t="s">
        <v>68</v>
      </c>
      <c r="BE6273" s="3" t="s">
        <v>60387</v>
      </c>
      <c r="BF6273" s="3" t="s">
        <v>60392</v>
      </c>
      <c r="BG6273" s="3" t="s">
        <v>60393</v>
      </c>
    </row>
    <row r="6274" spans="1:59" ht="57" x14ac:dyDescent="0.45">
      <c r="A6274" s="2" t="s">
        <v>59</v>
      </c>
      <c r="B6274" s="2" t="s">
        <v>60</v>
      </c>
      <c r="C6274" s="2" t="s">
        <v>60394</v>
      </c>
      <c r="D6274" s="2" t="s">
        <v>60395</v>
      </c>
      <c r="E6274" s="2" t="s">
        <v>60396</v>
      </c>
      <c r="G6274" s="3" t="s">
        <v>62</v>
      </c>
      <c r="I6274" s="3" t="s">
        <v>62</v>
      </c>
      <c r="J6274" s="3" t="s">
        <v>61</v>
      </c>
      <c r="K6274" s="3" t="s">
        <v>63</v>
      </c>
      <c r="L6274" s="2" t="s">
        <v>60380</v>
      </c>
      <c r="M6274" s="2" t="s">
        <v>60397</v>
      </c>
      <c r="N6274" s="3" t="s">
        <v>1465</v>
      </c>
      <c r="O6274" s="2" t="s">
        <v>60398</v>
      </c>
      <c r="P6274" s="3" t="s">
        <v>110</v>
      </c>
      <c r="R6274" s="3" t="s">
        <v>66</v>
      </c>
      <c r="S6274" s="4">
        <v>10</v>
      </c>
      <c r="T6274" s="4">
        <v>10</v>
      </c>
      <c r="U6274" s="5" t="s">
        <v>22190</v>
      </c>
      <c r="V6274" s="5" t="s">
        <v>22190</v>
      </c>
      <c r="W6274" s="5" t="s">
        <v>67</v>
      </c>
      <c r="X6274" s="5" t="s">
        <v>67</v>
      </c>
      <c r="Y6274" s="4">
        <v>16</v>
      </c>
      <c r="Z6274" s="4">
        <v>12</v>
      </c>
      <c r="AA6274" s="4">
        <v>32</v>
      </c>
      <c r="AB6274" s="4">
        <v>8</v>
      </c>
      <c r="AC6274" s="4">
        <v>17</v>
      </c>
      <c r="AD6274" s="4">
        <v>8</v>
      </c>
      <c r="AE6274" s="4">
        <v>16</v>
      </c>
      <c r="AF6274" s="4">
        <v>4</v>
      </c>
      <c r="AG6274" s="4">
        <v>7</v>
      </c>
      <c r="AH6274" s="4">
        <v>3</v>
      </c>
      <c r="AI6274" s="4">
        <v>6</v>
      </c>
      <c r="AJ6274" s="4">
        <v>6</v>
      </c>
      <c r="AK6274" s="4">
        <v>10</v>
      </c>
      <c r="AL6274" s="4">
        <v>0</v>
      </c>
      <c r="AM6274" s="4">
        <v>0</v>
      </c>
      <c r="AN6274" s="4">
        <v>0</v>
      </c>
      <c r="AO6274" s="4">
        <v>0</v>
      </c>
      <c r="AP6274" s="4">
        <v>6</v>
      </c>
      <c r="AQ6274" s="4">
        <v>14</v>
      </c>
      <c r="AR6274" s="3" t="s">
        <v>61</v>
      </c>
      <c r="AS6274" s="3" t="s">
        <v>62</v>
      </c>
      <c r="AT6274" s="3" t="s">
        <v>62</v>
      </c>
      <c r="AV6274" s="6" t="str">
        <f>HYPERLINK("http://mcgill.on.worldcat.org/oclc/289058500","Catalog Record")</f>
        <v>Catalog Record</v>
      </c>
      <c r="AW6274" s="6" t="str">
        <f>HYPERLINK("http://www.worldcat.org/oclc/289058500","WorldCat Record")</f>
        <v>WorldCat Record</v>
      </c>
      <c r="AX6274" s="3" t="s">
        <v>60383</v>
      </c>
      <c r="AY6274" s="3" t="s">
        <v>60399</v>
      </c>
      <c r="AZ6274" s="3" t="s">
        <v>60400</v>
      </c>
      <c r="BA6274" s="3" t="s">
        <v>60400</v>
      </c>
      <c r="BB6274" s="3" t="s">
        <v>60401</v>
      </c>
      <c r="BC6274" s="3" t="s">
        <v>142</v>
      </c>
      <c r="BD6274" s="3" t="s">
        <v>68</v>
      </c>
      <c r="BE6274" s="3" t="s">
        <v>60402</v>
      </c>
      <c r="BF6274" s="3" t="s">
        <v>60401</v>
      </c>
      <c r="BG6274" s="3" t="s">
        <v>60403</v>
      </c>
    </row>
    <row r="6275" spans="1:59" ht="57" x14ac:dyDescent="0.45">
      <c r="A6275" s="2" t="s">
        <v>59</v>
      </c>
      <c r="B6275" s="2" t="s">
        <v>60</v>
      </c>
      <c r="C6275" s="2" t="s">
        <v>60404</v>
      </c>
      <c r="D6275" s="2" t="s">
        <v>60405</v>
      </c>
      <c r="E6275" s="2" t="s">
        <v>60406</v>
      </c>
      <c r="G6275" s="3" t="s">
        <v>62</v>
      </c>
      <c r="I6275" s="3" t="s">
        <v>62</v>
      </c>
      <c r="J6275" s="3" t="s">
        <v>62</v>
      </c>
      <c r="K6275" s="3" t="s">
        <v>63</v>
      </c>
      <c r="M6275" s="2" t="s">
        <v>60407</v>
      </c>
      <c r="N6275" s="3" t="s">
        <v>1059</v>
      </c>
      <c r="P6275" s="3" t="s">
        <v>65</v>
      </c>
      <c r="Q6275" s="2" t="s">
        <v>60408</v>
      </c>
      <c r="R6275" s="3" t="s">
        <v>66</v>
      </c>
      <c r="S6275" s="4">
        <v>4</v>
      </c>
      <c r="T6275" s="4">
        <v>4</v>
      </c>
      <c r="U6275" s="5" t="s">
        <v>1570</v>
      </c>
      <c r="V6275" s="5" t="s">
        <v>1570</v>
      </c>
      <c r="W6275" s="5" t="s">
        <v>67</v>
      </c>
      <c r="X6275" s="5" t="s">
        <v>67</v>
      </c>
      <c r="Y6275" s="4">
        <v>64</v>
      </c>
      <c r="Z6275" s="4">
        <v>6</v>
      </c>
      <c r="AA6275" s="4">
        <v>35</v>
      </c>
      <c r="AB6275" s="4">
        <v>1</v>
      </c>
      <c r="AC6275" s="4">
        <v>9</v>
      </c>
      <c r="AD6275" s="4">
        <v>13</v>
      </c>
      <c r="AE6275" s="4">
        <v>28</v>
      </c>
      <c r="AF6275" s="4">
        <v>0</v>
      </c>
      <c r="AG6275" s="4">
        <v>3</v>
      </c>
      <c r="AH6275" s="4">
        <v>12</v>
      </c>
      <c r="AI6275" s="4">
        <v>17</v>
      </c>
      <c r="AJ6275" s="4">
        <v>4</v>
      </c>
      <c r="AK6275" s="4">
        <v>6</v>
      </c>
      <c r="AL6275" s="4">
        <v>7</v>
      </c>
      <c r="AM6275" s="4">
        <v>12</v>
      </c>
      <c r="AN6275" s="4">
        <v>0</v>
      </c>
      <c r="AO6275" s="4">
        <v>0</v>
      </c>
      <c r="AP6275" s="4">
        <v>4</v>
      </c>
      <c r="AQ6275" s="4">
        <v>13</v>
      </c>
      <c r="AR6275" s="3" t="s">
        <v>62</v>
      </c>
      <c r="AS6275" s="3" t="s">
        <v>62</v>
      </c>
      <c r="AT6275" s="3" t="s">
        <v>62</v>
      </c>
      <c r="AV6275" s="6" t="str">
        <f>HYPERLINK("http://mcgill.on.worldcat.org/oclc/75927937","Catalog Record")</f>
        <v>Catalog Record</v>
      </c>
      <c r="AW6275" s="6" t="str">
        <f>HYPERLINK("http://www.worldcat.org/oclc/75927937","WorldCat Record")</f>
        <v>WorldCat Record</v>
      </c>
      <c r="AX6275" s="3" t="s">
        <v>60409</v>
      </c>
      <c r="AY6275" s="3" t="s">
        <v>60410</v>
      </c>
      <c r="AZ6275" s="3" t="s">
        <v>60411</v>
      </c>
      <c r="BA6275" s="3" t="s">
        <v>60411</v>
      </c>
      <c r="BB6275" s="3" t="s">
        <v>60412</v>
      </c>
      <c r="BC6275" s="3" t="s">
        <v>142</v>
      </c>
      <c r="BD6275" s="3" t="s">
        <v>68</v>
      </c>
      <c r="BE6275" s="3" t="s">
        <v>60413</v>
      </c>
      <c r="BF6275" s="3" t="s">
        <v>60412</v>
      </c>
      <c r="BG6275" s="3" t="s">
        <v>60414</v>
      </c>
    </row>
    <row r="6276" spans="1:59" ht="57" x14ac:dyDescent="0.45">
      <c r="A6276" s="2" t="s">
        <v>59</v>
      </c>
      <c r="B6276" s="2" t="s">
        <v>60</v>
      </c>
      <c r="C6276" s="2" t="s">
        <v>60415</v>
      </c>
      <c r="D6276" s="2" t="s">
        <v>60416</v>
      </c>
      <c r="E6276" s="2" t="s">
        <v>60417</v>
      </c>
      <c r="G6276" s="3" t="s">
        <v>62</v>
      </c>
      <c r="I6276" s="3" t="s">
        <v>62</v>
      </c>
      <c r="J6276" s="3" t="s">
        <v>62</v>
      </c>
      <c r="K6276" s="3" t="s">
        <v>63</v>
      </c>
      <c r="M6276" s="2" t="s">
        <v>60418</v>
      </c>
      <c r="N6276" s="3" t="s">
        <v>1918</v>
      </c>
      <c r="P6276" s="3" t="s">
        <v>110</v>
      </c>
      <c r="Q6276" s="2" t="s">
        <v>60419</v>
      </c>
      <c r="R6276" s="3" t="s">
        <v>66</v>
      </c>
      <c r="S6276" s="4">
        <v>0</v>
      </c>
      <c r="T6276" s="4">
        <v>0</v>
      </c>
      <c r="W6276" s="5" t="s">
        <v>67</v>
      </c>
      <c r="X6276" s="5" t="s">
        <v>67</v>
      </c>
      <c r="Y6276" s="4">
        <v>9</v>
      </c>
      <c r="Z6276" s="4">
        <v>1</v>
      </c>
      <c r="AA6276" s="4">
        <v>4</v>
      </c>
      <c r="AB6276" s="4">
        <v>1</v>
      </c>
      <c r="AC6276" s="4">
        <v>3</v>
      </c>
      <c r="AD6276" s="4">
        <v>0</v>
      </c>
      <c r="AE6276" s="4">
        <v>2</v>
      </c>
      <c r="AF6276" s="4">
        <v>0</v>
      </c>
      <c r="AG6276" s="4">
        <v>1</v>
      </c>
      <c r="AH6276" s="4">
        <v>0</v>
      </c>
      <c r="AI6276" s="4">
        <v>1</v>
      </c>
      <c r="AJ6276" s="4">
        <v>0</v>
      </c>
      <c r="AK6276" s="4">
        <v>2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2</v>
      </c>
      <c r="AR6276" s="3" t="s">
        <v>62</v>
      </c>
      <c r="AS6276" s="3" t="s">
        <v>62</v>
      </c>
      <c r="AT6276" s="3" t="s">
        <v>62</v>
      </c>
      <c r="AV6276" s="6" t="str">
        <f>HYPERLINK("http://mcgill.on.worldcat.org/oclc/1009083226","Catalog Record")</f>
        <v>Catalog Record</v>
      </c>
      <c r="AW6276" s="6" t="str">
        <f>HYPERLINK("http://www.worldcat.org/oclc/1009083226","WorldCat Record")</f>
        <v>WorldCat Record</v>
      </c>
      <c r="AX6276" s="3" t="s">
        <v>60420</v>
      </c>
      <c r="AY6276" s="3" t="s">
        <v>60421</v>
      </c>
      <c r="AZ6276" s="3" t="s">
        <v>60422</v>
      </c>
      <c r="BA6276" s="3" t="s">
        <v>60422</v>
      </c>
      <c r="BB6276" s="3" t="s">
        <v>60423</v>
      </c>
      <c r="BC6276" s="3" t="s">
        <v>142</v>
      </c>
      <c r="BD6276" s="3" t="s">
        <v>68</v>
      </c>
      <c r="BE6276" s="3" t="s">
        <v>60424</v>
      </c>
      <c r="BF6276" s="3" t="s">
        <v>60423</v>
      </c>
      <c r="BG6276" s="3" t="s">
        <v>60425</v>
      </c>
    </row>
    <row r="6277" spans="1:59" ht="57" x14ac:dyDescent="0.45">
      <c r="A6277" s="2" t="s">
        <v>59</v>
      </c>
      <c r="B6277" s="2" t="s">
        <v>60</v>
      </c>
      <c r="C6277" s="2" t="s">
        <v>60426</v>
      </c>
      <c r="D6277" s="2" t="s">
        <v>60427</v>
      </c>
      <c r="E6277" s="2" t="s">
        <v>60428</v>
      </c>
      <c r="G6277" s="3" t="s">
        <v>62</v>
      </c>
      <c r="I6277" s="3" t="s">
        <v>62</v>
      </c>
      <c r="J6277" s="3" t="s">
        <v>62</v>
      </c>
      <c r="K6277" s="3" t="s">
        <v>63</v>
      </c>
      <c r="M6277" s="2" t="s">
        <v>60429</v>
      </c>
      <c r="N6277" s="3" t="s">
        <v>1097</v>
      </c>
      <c r="P6277" s="3" t="s">
        <v>65</v>
      </c>
      <c r="Q6277" s="2" t="s">
        <v>60430</v>
      </c>
      <c r="R6277" s="3" t="s">
        <v>66</v>
      </c>
      <c r="S6277" s="4">
        <v>6</v>
      </c>
      <c r="T6277" s="4">
        <v>6</v>
      </c>
      <c r="U6277" s="5" t="s">
        <v>17827</v>
      </c>
      <c r="V6277" s="5" t="s">
        <v>17827</v>
      </c>
      <c r="W6277" s="5" t="s">
        <v>67</v>
      </c>
      <c r="X6277" s="5" t="s">
        <v>67</v>
      </c>
      <c r="Y6277" s="4">
        <v>6</v>
      </c>
      <c r="Z6277" s="4">
        <v>1</v>
      </c>
      <c r="AA6277" s="4">
        <v>5</v>
      </c>
      <c r="AB6277" s="4">
        <v>1</v>
      </c>
      <c r="AC6277" s="4">
        <v>5</v>
      </c>
      <c r="AD6277" s="4">
        <v>0</v>
      </c>
      <c r="AE6277" s="4">
        <v>4</v>
      </c>
      <c r="AF6277" s="4">
        <v>0</v>
      </c>
      <c r="AG6277" s="4">
        <v>2</v>
      </c>
      <c r="AH6277" s="4">
        <v>0</v>
      </c>
      <c r="AI6277" s="4">
        <v>3</v>
      </c>
      <c r="AJ6277" s="4">
        <v>0</v>
      </c>
      <c r="AK6277" s="4">
        <v>2</v>
      </c>
      <c r="AL6277" s="4">
        <v>0</v>
      </c>
      <c r="AM6277" s="4">
        <v>1</v>
      </c>
      <c r="AN6277" s="4">
        <v>0</v>
      </c>
      <c r="AO6277" s="4">
        <v>0</v>
      </c>
      <c r="AP6277" s="4">
        <v>0</v>
      </c>
      <c r="AQ6277" s="4">
        <v>2</v>
      </c>
      <c r="AR6277" s="3" t="s">
        <v>62</v>
      </c>
      <c r="AS6277" s="3" t="s">
        <v>62</v>
      </c>
      <c r="AT6277" s="3" t="s">
        <v>62</v>
      </c>
      <c r="AV6277" s="6" t="str">
        <f>HYPERLINK("http://mcgill.on.worldcat.org/oclc/62730294","Catalog Record")</f>
        <v>Catalog Record</v>
      </c>
      <c r="AW6277" s="6" t="str">
        <f>HYPERLINK("http://www.worldcat.org/oclc/62730294","WorldCat Record")</f>
        <v>WorldCat Record</v>
      </c>
      <c r="AX6277" s="3" t="s">
        <v>60431</v>
      </c>
      <c r="AY6277" s="3" t="s">
        <v>60432</v>
      </c>
      <c r="AZ6277" s="3" t="s">
        <v>60433</v>
      </c>
      <c r="BA6277" s="3" t="s">
        <v>60433</v>
      </c>
      <c r="BB6277" s="3" t="s">
        <v>60434</v>
      </c>
      <c r="BC6277" s="3" t="s">
        <v>142</v>
      </c>
      <c r="BD6277" s="3" t="s">
        <v>68</v>
      </c>
      <c r="BE6277" s="3" t="s">
        <v>60435</v>
      </c>
      <c r="BF6277" s="3" t="s">
        <v>60434</v>
      </c>
      <c r="BG6277" s="3" t="s">
        <v>60436</v>
      </c>
    </row>
    <row r="6278" spans="1:59" ht="57" x14ac:dyDescent="0.45">
      <c r="A6278" s="2" t="s">
        <v>59</v>
      </c>
      <c r="B6278" s="2" t="s">
        <v>60</v>
      </c>
      <c r="C6278" s="2" t="s">
        <v>60437</v>
      </c>
      <c r="D6278" s="2" t="s">
        <v>60438</v>
      </c>
      <c r="E6278" s="2" t="s">
        <v>60439</v>
      </c>
      <c r="G6278" s="3" t="s">
        <v>62</v>
      </c>
      <c r="I6278" s="3" t="s">
        <v>62</v>
      </c>
      <c r="J6278" s="3" t="s">
        <v>62</v>
      </c>
      <c r="K6278" s="3" t="s">
        <v>63</v>
      </c>
      <c r="L6278" s="2" t="s">
        <v>60440</v>
      </c>
      <c r="M6278" s="2" t="s">
        <v>60441</v>
      </c>
      <c r="N6278" s="3" t="s">
        <v>116</v>
      </c>
      <c r="P6278" s="3" t="s">
        <v>65</v>
      </c>
      <c r="R6278" s="3" t="s">
        <v>66</v>
      </c>
      <c r="S6278" s="4">
        <v>0</v>
      </c>
      <c r="T6278" s="4">
        <v>0</v>
      </c>
      <c r="W6278" s="5" t="s">
        <v>67</v>
      </c>
      <c r="X6278" s="5" t="s">
        <v>67</v>
      </c>
      <c r="Y6278" s="4">
        <v>32</v>
      </c>
      <c r="Z6278" s="4">
        <v>4</v>
      </c>
      <c r="AA6278" s="4">
        <v>73</v>
      </c>
      <c r="AB6278" s="4">
        <v>1</v>
      </c>
      <c r="AC6278" s="4">
        <v>14</v>
      </c>
      <c r="AD6278" s="4">
        <v>16</v>
      </c>
      <c r="AE6278" s="4">
        <v>82</v>
      </c>
      <c r="AF6278" s="4">
        <v>0</v>
      </c>
      <c r="AG6278" s="4">
        <v>8</v>
      </c>
      <c r="AH6278" s="4">
        <v>15</v>
      </c>
      <c r="AI6278" s="4">
        <v>51</v>
      </c>
      <c r="AJ6278" s="4">
        <v>3</v>
      </c>
      <c r="AK6278" s="4">
        <v>17</v>
      </c>
      <c r="AL6278" s="4">
        <v>9</v>
      </c>
      <c r="AM6278" s="4">
        <v>27</v>
      </c>
      <c r="AN6278" s="4">
        <v>0</v>
      </c>
      <c r="AO6278" s="4">
        <v>0</v>
      </c>
      <c r="AP6278" s="4">
        <v>3</v>
      </c>
      <c r="AQ6278" s="4">
        <v>37</v>
      </c>
      <c r="AR6278" s="3" t="s">
        <v>62</v>
      </c>
      <c r="AS6278" s="3" t="s">
        <v>62</v>
      </c>
      <c r="AT6278" s="3" t="s">
        <v>62</v>
      </c>
      <c r="AV6278" s="6" t="str">
        <f>HYPERLINK("http://mcgill.on.worldcat.org/oclc/859560548","Catalog Record")</f>
        <v>Catalog Record</v>
      </c>
      <c r="AW6278" s="6" t="str">
        <f>HYPERLINK("http://www.worldcat.org/oclc/859560548","WorldCat Record")</f>
        <v>WorldCat Record</v>
      </c>
      <c r="AX6278" s="3" t="s">
        <v>60442</v>
      </c>
      <c r="AY6278" s="3" t="s">
        <v>60443</v>
      </c>
      <c r="AZ6278" s="3" t="s">
        <v>60444</v>
      </c>
      <c r="BA6278" s="3" t="s">
        <v>60444</v>
      </c>
      <c r="BB6278" s="3" t="s">
        <v>60445</v>
      </c>
      <c r="BC6278" s="3" t="s">
        <v>142</v>
      </c>
      <c r="BD6278" s="3" t="s">
        <v>68</v>
      </c>
      <c r="BE6278" s="3" t="s">
        <v>60446</v>
      </c>
      <c r="BF6278" s="3" t="s">
        <v>60445</v>
      </c>
      <c r="BG6278" s="3" t="s">
        <v>60447</v>
      </c>
    </row>
    <row r="6279" spans="1:59" ht="57" x14ac:dyDescent="0.45">
      <c r="A6279" s="2" t="s">
        <v>59</v>
      </c>
      <c r="B6279" s="2" t="s">
        <v>60</v>
      </c>
      <c r="C6279" s="2" t="s">
        <v>60448</v>
      </c>
      <c r="D6279" s="2" t="s">
        <v>60449</v>
      </c>
      <c r="E6279" s="2" t="s">
        <v>60450</v>
      </c>
      <c r="G6279" s="3" t="s">
        <v>62</v>
      </c>
      <c r="I6279" s="3" t="s">
        <v>62</v>
      </c>
      <c r="J6279" s="3" t="s">
        <v>62</v>
      </c>
      <c r="K6279" s="3" t="s">
        <v>63</v>
      </c>
      <c r="L6279" s="2" t="s">
        <v>37778</v>
      </c>
      <c r="M6279" s="2" t="s">
        <v>60451</v>
      </c>
      <c r="N6279" s="3" t="s">
        <v>945</v>
      </c>
      <c r="P6279" s="3" t="s">
        <v>65</v>
      </c>
      <c r="Q6279" s="2" t="s">
        <v>60452</v>
      </c>
      <c r="R6279" s="3" t="s">
        <v>66</v>
      </c>
      <c r="S6279" s="4">
        <v>5</v>
      </c>
      <c r="T6279" s="4">
        <v>5</v>
      </c>
      <c r="U6279" s="5" t="s">
        <v>60243</v>
      </c>
      <c r="V6279" s="5" t="s">
        <v>60243</v>
      </c>
      <c r="W6279" s="5" t="s">
        <v>67</v>
      </c>
      <c r="X6279" s="5" t="s">
        <v>67</v>
      </c>
      <c r="Y6279" s="4">
        <v>67</v>
      </c>
      <c r="Z6279" s="4">
        <v>12</v>
      </c>
      <c r="AA6279" s="4">
        <v>30</v>
      </c>
      <c r="AB6279" s="4">
        <v>2</v>
      </c>
      <c r="AC6279" s="4">
        <v>8</v>
      </c>
      <c r="AD6279" s="4">
        <v>28</v>
      </c>
      <c r="AE6279" s="4">
        <v>41</v>
      </c>
      <c r="AF6279" s="4">
        <v>1</v>
      </c>
      <c r="AG6279" s="4">
        <v>4</v>
      </c>
      <c r="AH6279" s="4">
        <v>26</v>
      </c>
      <c r="AI6279" s="4">
        <v>31</v>
      </c>
      <c r="AJ6279" s="4">
        <v>10</v>
      </c>
      <c r="AK6279" s="4">
        <v>12</v>
      </c>
      <c r="AL6279" s="4">
        <v>14</v>
      </c>
      <c r="AM6279" s="4">
        <v>16</v>
      </c>
      <c r="AN6279" s="4">
        <v>0</v>
      </c>
      <c r="AO6279" s="4">
        <v>0</v>
      </c>
      <c r="AP6279" s="4">
        <v>10</v>
      </c>
      <c r="AQ6279" s="4">
        <v>18</v>
      </c>
      <c r="AR6279" s="3" t="s">
        <v>62</v>
      </c>
      <c r="AS6279" s="3" t="s">
        <v>62</v>
      </c>
      <c r="AT6279" s="3" t="s">
        <v>62</v>
      </c>
      <c r="AV6279" s="6" t="str">
        <f>HYPERLINK("http://mcgill.on.worldcat.org/oclc/124026642","Catalog Record")</f>
        <v>Catalog Record</v>
      </c>
      <c r="AW6279" s="6" t="str">
        <f>HYPERLINK("http://www.worldcat.org/oclc/124026642","WorldCat Record")</f>
        <v>WorldCat Record</v>
      </c>
      <c r="AX6279" s="3" t="s">
        <v>60453</v>
      </c>
      <c r="AY6279" s="3" t="s">
        <v>60454</v>
      </c>
      <c r="AZ6279" s="3" t="s">
        <v>60455</v>
      </c>
      <c r="BA6279" s="3" t="s">
        <v>60455</v>
      </c>
      <c r="BB6279" s="3" t="s">
        <v>60456</v>
      </c>
      <c r="BC6279" s="3" t="s">
        <v>142</v>
      </c>
      <c r="BD6279" s="3" t="s">
        <v>68</v>
      </c>
      <c r="BE6279" s="3" t="s">
        <v>60457</v>
      </c>
      <c r="BF6279" s="3" t="s">
        <v>60456</v>
      </c>
      <c r="BG6279" s="3" t="s">
        <v>60458</v>
      </c>
    </row>
    <row r="6280" spans="1:59" ht="57" x14ac:dyDescent="0.45">
      <c r="A6280" s="2" t="s">
        <v>59</v>
      </c>
      <c r="B6280" s="2" t="s">
        <v>60</v>
      </c>
      <c r="C6280" s="2" t="s">
        <v>60459</v>
      </c>
      <c r="D6280" s="2" t="s">
        <v>60460</v>
      </c>
      <c r="E6280" s="2" t="s">
        <v>60461</v>
      </c>
      <c r="G6280" s="3" t="s">
        <v>62</v>
      </c>
      <c r="I6280" s="3" t="s">
        <v>62</v>
      </c>
      <c r="J6280" s="3" t="s">
        <v>62</v>
      </c>
      <c r="K6280" s="3" t="s">
        <v>63</v>
      </c>
      <c r="M6280" s="2" t="s">
        <v>60462</v>
      </c>
      <c r="N6280" s="3" t="s">
        <v>149</v>
      </c>
      <c r="P6280" s="3" t="s">
        <v>65</v>
      </c>
      <c r="Q6280" s="2" t="s">
        <v>60463</v>
      </c>
      <c r="R6280" s="3" t="s">
        <v>66</v>
      </c>
      <c r="S6280" s="4">
        <v>1</v>
      </c>
      <c r="T6280" s="4">
        <v>1</v>
      </c>
      <c r="U6280" s="5" t="s">
        <v>5274</v>
      </c>
      <c r="V6280" s="5" t="s">
        <v>5274</v>
      </c>
      <c r="W6280" s="5" t="s">
        <v>67</v>
      </c>
      <c r="X6280" s="5" t="s">
        <v>67</v>
      </c>
      <c r="Y6280" s="4">
        <v>153</v>
      </c>
      <c r="Z6280" s="4">
        <v>12</v>
      </c>
      <c r="AA6280" s="4">
        <v>41</v>
      </c>
      <c r="AB6280" s="4">
        <v>2</v>
      </c>
      <c r="AC6280" s="4">
        <v>4</v>
      </c>
      <c r="AD6280" s="4">
        <v>52</v>
      </c>
      <c r="AE6280" s="4">
        <v>83</v>
      </c>
      <c r="AF6280" s="4">
        <v>1</v>
      </c>
      <c r="AG6280" s="4">
        <v>2</v>
      </c>
      <c r="AH6280" s="4">
        <v>48</v>
      </c>
      <c r="AI6280" s="4">
        <v>68</v>
      </c>
      <c r="AJ6280" s="4">
        <v>8</v>
      </c>
      <c r="AK6280" s="4">
        <v>11</v>
      </c>
      <c r="AL6280" s="4">
        <v>27</v>
      </c>
      <c r="AM6280" s="4">
        <v>37</v>
      </c>
      <c r="AN6280" s="4">
        <v>0</v>
      </c>
      <c r="AO6280" s="4">
        <v>0</v>
      </c>
      <c r="AP6280" s="4">
        <v>10</v>
      </c>
      <c r="AQ6280" s="4">
        <v>22</v>
      </c>
      <c r="AR6280" s="3" t="s">
        <v>62</v>
      </c>
      <c r="AS6280" s="3" t="s">
        <v>62</v>
      </c>
      <c r="AT6280" s="3" t="s">
        <v>61</v>
      </c>
      <c r="AU6280" s="6" t="str">
        <f>HYPERLINK("http://catalog.hathitrust.org/Record/100800528","HathiTrust Record")</f>
        <v>HathiTrust Record</v>
      </c>
      <c r="AV6280" s="6" t="str">
        <f>HYPERLINK("http://mcgill.on.worldcat.org/oclc/640917962","Catalog Record")</f>
        <v>Catalog Record</v>
      </c>
      <c r="AW6280" s="6" t="str">
        <f>HYPERLINK("http://www.worldcat.org/oclc/640917962","WorldCat Record")</f>
        <v>WorldCat Record</v>
      </c>
      <c r="AX6280" s="3" t="s">
        <v>60464</v>
      </c>
      <c r="AY6280" s="3" t="s">
        <v>60465</v>
      </c>
      <c r="AZ6280" s="3" t="s">
        <v>60466</v>
      </c>
      <c r="BA6280" s="3" t="s">
        <v>60466</v>
      </c>
      <c r="BB6280" s="3" t="s">
        <v>60467</v>
      </c>
      <c r="BC6280" s="3" t="s">
        <v>142</v>
      </c>
      <c r="BD6280" s="3" t="s">
        <v>68</v>
      </c>
      <c r="BE6280" s="3" t="s">
        <v>60468</v>
      </c>
      <c r="BF6280" s="3" t="s">
        <v>60467</v>
      </c>
      <c r="BG6280" s="3" t="s">
        <v>60469</v>
      </c>
    </row>
    <row r="6281" spans="1:59" ht="57" x14ac:dyDescent="0.45">
      <c r="A6281" s="2" t="s">
        <v>59</v>
      </c>
      <c r="B6281" s="2" t="s">
        <v>60</v>
      </c>
      <c r="C6281" s="2" t="s">
        <v>60470</v>
      </c>
      <c r="D6281" s="2" t="s">
        <v>60471</v>
      </c>
      <c r="E6281" s="2" t="s">
        <v>60472</v>
      </c>
      <c r="G6281" s="3" t="s">
        <v>62</v>
      </c>
      <c r="I6281" s="3" t="s">
        <v>62</v>
      </c>
      <c r="J6281" s="3" t="s">
        <v>62</v>
      </c>
      <c r="K6281" s="3" t="s">
        <v>63</v>
      </c>
      <c r="M6281" s="2" t="s">
        <v>60473</v>
      </c>
      <c r="N6281" s="3" t="s">
        <v>1097</v>
      </c>
      <c r="P6281" s="3" t="s">
        <v>110</v>
      </c>
      <c r="R6281" s="3" t="s">
        <v>66</v>
      </c>
      <c r="S6281" s="4">
        <v>3</v>
      </c>
      <c r="T6281" s="4">
        <v>3</v>
      </c>
      <c r="U6281" s="5" t="s">
        <v>17827</v>
      </c>
      <c r="V6281" s="5" t="s">
        <v>17827</v>
      </c>
      <c r="W6281" s="5" t="s">
        <v>67</v>
      </c>
      <c r="X6281" s="5" t="s">
        <v>67</v>
      </c>
      <c r="Y6281" s="4">
        <v>15</v>
      </c>
      <c r="Z6281" s="4">
        <v>11</v>
      </c>
      <c r="AA6281" s="4">
        <v>13</v>
      </c>
      <c r="AB6281" s="4">
        <v>6</v>
      </c>
      <c r="AC6281" s="4">
        <v>6</v>
      </c>
      <c r="AD6281" s="4">
        <v>8</v>
      </c>
      <c r="AE6281" s="4">
        <v>11</v>
      </c>
      <c r="AF6281" s="4">
        <v>4</v>
      </c>
      <c r="AG6281" s="4">
        <v>4</v>
      </c>
      <c r="AH6281" s="4">
        <v>3</v>
      </c>
      <c r="AI6281" s="4">
        <v>6</v>
      </c>
      <c r="AJ6281" s="4">
        <v>6</v>
      </c>
      <c r="AK6281" s="4">
        <v>7</v>
      </c>
      <c r="AL6281" s="4">
        <v>0</v>
      </c>
      <c r="AM6281" s="4">
        <v>3</v>
      </c>
      <c r="AN6281" s="4">
        <v>0</v>
      </c>
      <c r="AO6281" s="4">
        <v>0</v>
      </c>
      <c r="AP6281" s="4">
        <v>6</v>
      </c>
      <c r="AQ6281" s="4">
        <v>7</v>
      </c>
      <c r="AR6281" s="3" t="s">
        <v>61</v>
      </c>
      <c r="AS6281" s="3" t="s">
        <v>62</v>
      </c>
      <c r="AT6281" s="3" t="s">
        <v>62</v>
      </c>
      <c r="AV6281" s="6" t="str">
        <f>HYPERLINK("http://mcgill.on.worldcat.org/oclc/55886223","Catalog Record")</f>
        <v>Catalog Record</v>
      </c>
      <c r="AW6281" s="6" t="str">
        <f>HYPERLINK("http://www.worldcat.org/oclc/55886223","WorldCat Record")</f>
        <v>WorldCat Record</v>
      </c>
      <c r="AX6281" s="3" t="s">
        <v>60474</v>
      </c>
      <c r="AY6281" s="3" t="s">
        <v>60475</v>
      </c>
      <c r="AZ6281" s="3" t="s">
        <v>60476</v>
      </c>
      <c r="BA6281" s="3" t="s">
        <v>60476</v>
      </c>
      <c r="BB6281" s="3" t="s">
        <v>60477</v>
      </c>
      <c r="BC6281" s="3" t="s">
        <v>142</v>
      </c>
      <c r="BD6281" s="3" t="s">
        <v>68</v>
      </c>
      <c r="BE6281" s="3" t="s">
        <v>60478</v>
      </c>
      <c r="BF6281" s="3" t="s">
        <v>60477</v>
      </c>
      <c r="BG6281" s="3" t="s">
        <v>60479</v>
      </c>
    </row>
    <row r="6282" spans="1:59" ht="57" x14ac:dyDescent="0.45">
      <c r="A6282" s="2" t="s">
        <v>59</v>
      </c>
      <c r="B6282" s="2" t="s">
        <v>60</v>
      </c>
      <c r="C6282" s="2" t="s">
        <v>60480</v>
      </c>
      <c r="D6282" s="2" t="s">
        <v>60481</v>
      </c>
      <c r="E6282" s="2" t="s">
        <v>60482</v>
      </c>
      <c r="G6282" s="3" t="s">
        <v>62</v>
      </c>
      <c r="I6282" s="3" t="s">
        <v>62</v>
      </c>
      <c r="J6282" s="3" t="s">
        <v>62</v>
      </c>
      <c r="K6282" s="3" t="s">
        <v>63</v>
      </c>
      <c r="L6282" s="2" t="s">
        <v>60483</v>
      </c>
      <c r="M6282" s="2" t="s">
        <v>60484</v>
      </c>
      <c r="N6282" s="3" t="s">
        <v>208</v>
      </c>
      <c r="P6282" s="3" t="s">
        <v>65</v>
      </c>
      <c r="Q6282" s="2" t="s">
        <v>60485</v>
      </c>
      <c r="R6282" s="3" t="s">
        <v>66</v>
      </c>
      <c r="S6282" s="4">
        <v>0</v>
      </c>
      <c r="T6282" s="4">
        <v>0</v>
      </c>
      <c r="W6282" s="5" t="s">
        <v>67</v>
      </c>
      <c r="X6282" s="5" t="s">
        <v>67</v>
      </c>
      <c r="Y6282" s="4">
        <v>19</v>
      </c>
      <c r="Z6282" s="4">
        <v>2</v>
      </c>
      <c r="AA6282" s="4">
        <v>2</v>
      </c>
      <c r="AB6282" s="4">
        <v>1</v>
      </c>
      <c r="AC6282" s="4">
        <v>1</v>
      </c>
      <c r="AD6282" s="4">
        <v>11</v>
      </c>
      <c r="AE6282" s="4">
        <v>12</v>
      </c>
      <c r="AF6282" s="4">
        <v>0</v>
      </c>
      <c r="AG6282" s="4">
        <v>0</v>
      </c>
      <c r="AH6282" s="4">
        <v>10</v>
      </c>
      <c r="AI6282" s="4">
        <v>11</v>
      </c>
      <c r="AJ6282" s="4">
        <v>1</v>
      </c>
      <c r="AK6282" s="4">
        <v>1</v>
      </c>
      <c r="AL6282" s="4">
        <v>7</v>
      </c>
      <c r="AM6282" s="4">
        <v>7</v>
      </c>
      <c r="AN6282" s="4">
        <v>0</v>
      </c>
      <c r="AO6282" s="4">
        <v>0</v>
      </c>
      <c r="AP6282" s="4">
        <v>1</v>
      </c>
      <c r="AQ6282" s="4">
        <v>1</v>
      </c>
      <c r="AR6282" s="3" t="s">
        <v>62</v>
      </c>
      <c r="AS6282" s="3" t="s">
        <v>62</v>
      </c>
      <c r="AT6282" s="3" t="s">
        <v>62</v>
      </c>
      <c r="AV6282" s="6" t="str">
        <f>HYPERLINK("http://mcgill.on.worldcat.org/oclc/951161257","Catalog Record")</f>
        <v>Catalog Record</v>
      </c>
      <c r="AW6282" s="6" t="str">
        <f>HYPERLINK("http://www.worldcat.org/oclc/951161257","WorldCat Record")</f>
        <v>WorldCat Record</v>
      </c>
      <c r="AX6282" s="3" t="s">
        <v>60486</v>
      </c>
      <c r="AY6282" s="3" t="s">
        <v>60487</v>
      </c>
      <c r="AZ6282" s="3" t="s">
        <v>60488</v>
      </c>
      <c r="BA6282" s="3" t="s">
        <v>60488</v>
      </c>
      <c r="BB6282" s="3" t="s">
        <v>60489</v>
      </c>
      <c r="BC6282" s="3" t="s">
        <v>142</v>
      </c>
      <c r="BD6282" s="3" t="s">
        <v>68</v>
      </c>
      <c r="BE6282" s="3" t="s">
        <v>60490</v>
      </c>
      <c r="BF6282" s="3" t="s">
        <v>60489</v>
      </c>
      <c r="BG6282" s="3" t="s">
        <v>60491</v>
      </c>
    </row>
    <row r="6283" spans="1:59" ht="57" x14ac:dyDescent="0.45">
      <c r="A6283" s="2" t="s">
        <v>59</v>
      </c>
      <c r="B6283" s="2" t="s">
        <v>60</v>
      </c>
      <c r="C6283" s="2" t="s">
        <v>60492</v>
      </c>
      <c r="D6283" s="2" t="s">
        <v>60493</v>
      </c>
      <c r="E6283" s="2" t="s">
        <v>60494</v>
      </c>
      <c r="G6283" s="3" t="s">
        <v>62</v>
      </c>
      <c r="I6283" s="3" t="s">
        <v>62</v>
      </c>
      <c r="J6283" s="3" t="s">
        <v>62</v>
      </c>
      <c r="K6283" s="3" t="s">
        <v>63</v>
      </c>
      <c r="L6283" s="2" t="s">
        <v>50346</v>
      </c>
      <c r="M6283" s="2" t="s">
        <v>60495</v>
      </c>
      <c r="N6283" s="3" t="s">
        <v>542</v>
      </c>
      <c r="P6283" s="3" t="s">
        <v>65</v>
      </c>
      <c r="Q6283" s="2" t="s">
        <v>60496</v>
      </c>
      <c r="R6283" s="3" t="s">
        <v>66</v>
      </c>
      <c r="S6283" s="4">
        <v>9</v>
      </c>
      <c r="T6283" s="4">
        <v>9</v>
      </c>
      <c r="U6283" s="5" t="s">
        <v>42752</v>
      </c>
      <c r="V6283" s="5" t="s">
        <v>42752</v>
      </c>
      <c r="W6283" s="5" t="s">
        <v>67</v>
      </c>
      <c r="X6283" s="5" t="s">
        <v>67</v>
      </c>
      <c r="Y6283" s="4">
        <v>176</v>
      </c>
      <c r="Z6283" s="4">
        <v>11</v>
      </c>
      <c r="AA6283" s="4">
        <v>102</v>
      </c>
      <c r="AB6283" s="4">
        <v>2</v>
      </c>
      <c r="AC6283" s="4">
        <v>18</v>
      </c>
      <c r="AD6283" s="4">
        <v>52</v>
      </c>
      <c r="AE6283" s="4">
        <v>123</v>
      </c>
      <c r="AF6283" s="4">
        <v>1</v>
      </c>
      <c r="AG6283" s="4">
        <v>8</v>
      </c>
      <c r="AH6283" s="4">
        <v>43</v>
      </c>
      <c r="AI6283" s="4">
        <v>86</v>
      </c>
      <c r="AJ6283" s="4">
        <v>8</v>
      </c>
      <c r="AK6283" s="4">
        <v>22</v>
      </c>
      <c r="AL6283" s="4">
        <v>31</v>
      </c>
      <c r="AM6283" s="4">
        <v>46</v>
      </c>
      <c r="AN6283" s="4">
        <v>0</v>
      </c>
      <c r="AO6283" s="4">
        <v>0</v>
      </c>
      <c r="AP6283" s="4">
        <v>10</v>
      </c>
      <c r="AQ6283" s="4">
        <v>43</v>
      </c>
      <c r="AR6283" s="3" t="s">
        <v>62</v>
      </c>
      <c r="AS6283" s="3" t="s">
        <v>62</v>
      </c>
      <c r="AT6283" s="3" t="s">
        <v>62</v>
      </c>
      <c r="AV6283" s="6" t="str">
        <f>HYPERLINK("http://mcgill.on.worldcat.org/oclc/47838632","Catalog Record")</f>
        <v>Catalog Record</v>
      </c>
      <c r="AW6283" s="6" t="str">
        <f>HYPERLINK("http://www.worldcat.org/oclc/47838632","WorldCat Record")</f>
        <v>WorldCat Record</v>
      </c>
      <c r="AX6283" s="3" t="s">
        <v>60497</v>
      </c>
      <c r="AY6283" s="3" t="s">
        <v>60498</v>
      </c>
      <c r="AZ6283" s="3" t="s">
        <v>60499</v>
      </c>
      <c r="BA6283" s="3" t="s">
        <v>60499</v>
      </c>
      <c r="BB6283" s="3" t="s">
        <v>60500</v>
      </c>
      <c r="BC6283" s="3" t="s">
        <v>142</v>
      </c>
      <c r="BD6283" s="3" t="s">
        <v>68</v>
      </c>
      <c r="BE6283" s="3" t="s">
        <v>60501</v>
      </c>
      <c r="BF6283" s="3" t="s">
        <v>60500</v>
      </c>
      <c r="BG6283" s="3" t="s">
        <v>60502</v>
      </c>
    </row>
    <row r="6284" spans="1:59" ht="57" x14ac:dyDescent="0.45">
      <c r="A6284" s="2" t="s">
        <v>59</v>
      </c>
      <c r="B6284" s="2" t="s">
        <v>60</v>
      </c>
      <c r="C6284" s="2" t="s">
        <v>60503</v>
      </c>
      <c r="D6284" s="2" t="s">
        <v>60504</v>
      </c>
      <c r="E6284" s="2" t="s">
        <v>60505</v>
      </c>
      <c r="G6284" s="3" t="s">
        <v>62</v>
      </c>
      <c r="I6284" s="3" t="s">
        <v>62</v>
      </c>
      <c r="J6284" s="3" t="s">
        <v>62</v>
      </c>
      <c r="K6284" s="3" t="s">
        <v>63</v>
      </c>
      <c r="L6284" s="2" t="s">
        <v>60506</v>
      </c>
      <c r="M6284" s="2" t="s">
        <v>30534</v>
      </c>
      <c r="N6284" s="3" t="s">
        <v>894</v>
      </c>
      <c r="P6284" s="3" t="s">
        <v>65</v>
      </c>
      <c r="Q6284" s="2" t="s">
        <v>60507</v>
      </c>
      <c r="R6284" s="3" t="s">
        <v>66</v>
      </c>
      <c r="S6284" s="4">
        <v>2</v>
      </c>
      <c r="T6284" s="4">
        <v>2</v>
      </c>
      <c r="U6284" s="5" t="s">
        <v>55886</v>
      </c>
      <c r="V6284" s="5" t="s">
        <v>55886</v>
      </c>
      <c r="W6284" s="5" t="s">
        <v>67</v>
      </c>
      <c r="X6284" s="5" t="s">
        <v>67</v>
      </c>
      <c r="Y6284" s="4">
        <v>41</v>
      </c>
      <c r="Z6284" s="4">
        <v>5</v>
      </c>
      <c r="AA6284" s="4">
        <v>34</v>
      </c>
      <c r="AB6284" s="4">
        <v>2</v>
      </c>
      <c r="AC6284" s="4">
        <v>10</v>
      </c>
      <c r="AD6284" s="4">
        <v>10</v>
      </c>
      <c r="AE6284" s="4">
        <v>25</v>
      </c>
      <c r="AF6284" s="4">
        <v>1</v>
      </c>
      <c r="AG6284" s="4">
        <v>4</v>
      </c>
      <c r="AH6284" s="4">
        <v>9</v>
      </c>
      <c r="AI6284" s="4">
        <v>15</v>
      </c>
      <c r="AJ6284" s="4">
        <v>4</v>
      </c>
      <c r="AK6284" s="4">
        <v>6</v>
      </c>
      <c r="AL6284" s="4">
        <v>2</v>
      </c>
      <c r="AM6284" s="4">
        <v>6</v>
      </c>
      <c r="AN6284" s="4">
        <v>0</v>
      </c>
      <c r="AO6284" s="4">
        <v>0</v>
      </c>
      <c r="AP6284" s="4">
        <v>4</v>
      </c>
      <c r="AQ6284" s="4">
        <v>13</v>
      </c>
      <c r="AR6284" s="3" t="s">
        <v>62</v>
      </c>
      <c r="AS6284" s="3" t="s">
        <v>62</v>
      </c>
      <c r="AT6284" s="3" t="s">
        <v>62</v>
      </c>
      <c r="AV6284" s="6" t="str">
        <f>HYPERLINK("http://mcgill.on.worldcat.org/oclc/709890505","Catalog Record")</f>
        <v>Catalog Record</v>
      </c>
      <c r="AW6284" s="6" t="str">
        <f>HYPERLINK("http://www.worldcat.org/oclc/709890505","WorldCat Record")</f>
        <v>WorldCat Record</v>
      </c>
      <c r="AX6284" s="3" t="s">
        <v>60508</v>
      </c>
      <c r="AY6284" s="3" t="s">
        <v>60509</v>
      </c>
      <c r="AZ6284" s="3" t="s">
        <v>60510</v>
      </c>
      <c r="BA6284" s="3" t="s">
        <v>60510</v>
      </c>
      <c r="BB6284" s="3" t="s">
        <v>60511</v>
      </c>
      <c r="BC6284" s="3" t="s">
        <v>142</v>
      </c>
      <c r="BD6284" s="3" t="s">
        <v>68</v>
      </c>
      <c r="BE6284" s="3" t="s">
        <v>60512</v>
      </c>
      <c r="BF6284" s="3" t="s">
        <v>60511</v>
      </c>
      <c r="BG6284" s="3" t="s">
        <v>60513</v>
      </c>
    </row>
    <row r="6285" spans="1:59" ht="57" x14ac:dyDescent="0.45">
      <c r="A6285" s="2" t="s">
        <v>59</v>
      </c>
      <c r="B6285" s="2" t="s">
        <v>60</v>
      </c>
      <c r="C6285" s="2" t="s">
        <v>60514</v>
      </c>
      <c r="D6285" s="2" t="s">
        <v>60515</v>
      </c>
      <c r="E6285" s="2" t="s">
        <v>60516</v>
      </c>
      <c r="G6285" s="3" t="s">
        <v>62</v>
      </c>
      <c r="I6285" s="3" t="s">
        <v>62</v>
      </c>
      <c r="J6285" s="3" t="s">
        <v>62</v>
      </c>
      <c r="K6285" s="3" t="s">
        <v>63</v>
      </c>
      <c r="L6285" s="2" t="s">
        <v>60517</v>
      </c>
      <c r="M6285" s="2" t="s">
        <v>60518</v>
      </c>
      <c r="N6285" s="3" t="s">
        <v>167</v>
      </c>
      <c r="P6285" s="3" t="s">
        <v>110</v>
      </c>
      <c r="Q6285" s="2" t="s">
        <v>60519</v>
      </c>
      <c r="R6285" s="3" t="s">
        <v>66</v>
      </c>
      <c r="S6285" s="4">
        <v>9</v>
      </c>
      <c r="T6285" s="4">
        <v>9</v>
      </c>
      <c r="U6285" s="5" t="s">
        <v>16493</v>
      </c>
      <c r="V6285" s="5" t="s">
        <v>16493</v>
      </c>
      <c r="W6285" s="5" t="s">
        <v>67</v>
      </c>
      <c r="X6285" s="5" t="s">
        <v>67</v>
      </c>
      <c r="Y6285" s="4">
        <v>45</v>
      </c>
      <c r="Z6285" s="4">
        <v>8</v>
      </c>
      <c r="AA6285" s="4">
        <v>18</v>
      </c>
      <c r="AB6285" s="4">
        <v>2</v>
      </c>
      <c r="AC6285" s="4">
        <v>9</v>
      </c>
      <c r="AD6285" s="4">
        <v>15</v>
      </c>
      <c r="AE6285" s="4">
        <v>24</v>
      </c>
      <c r="AF6285" s="4">
        <v>0</v>
      </c>
      <c r="AG6285" s="4">
        <v>6</v>
      </c>
      <c r="AH6285" s="4">
        <v>11</v>
      </c>
      <c r="AI6285" s="4">
        <v>14</v>
      </c>
      <c r="AJ6285" s="4">
        <v>4</v>
      </c>
      <c r="AK6285" s="4">
        <v>12</v>
      </c>
      <c r="AL6285" s="4">
        <v>8</v>
      </c>
      <c r="AM6285" s="4">
        <v>8</v>
      </c>
      <c r="AN6285" s="4">
        <v>0</v>
      </c>
      <c r="AO6285" s="4">
        <v>0</v>
      </c>
      <c r="AP6285" s="4">
        <v>6</v>
      </c>
      <c r="AQ6285" s="4">
        <v>14</v>
      </c>
      <c r="AR6285" s="3" t="s">
        <v>62</v>
      </c>
      <c r="AS6285" s="3" t="s">
        <v>62</v>
      </c>
      <c r="AT6285" s="3" t="s">
        <v>62</v>
      </c>
      <c r="AV6285" s="6" t="str">
        <f>HYPERLINK("http://mcgill.on.worldcat.org/oclc/58469336","Catalog Record")</f>
        <v>Catalog Record</v>
      </c>
      <c r="AW6285" s="6" t="str">
        <f>HYPERLINK("http://www.worldcat.org/oclc/58469336","WorldCat Record")</f>
        <v>WorldCat Record</v>
      </c>
      <c r="AX6285" s="3" t="s">
        <v>60520</v>
      </c>
      <c r="AY6285" s="3" t="s">
        <v>60521</v>
      </c>
      <c r="AZ6285" s="3" t="s">
        <v>60522</v>
      </c>
      <c r="BA6285" s="3" t="s">
        <v>60522</v>
      </c>
      <c r="BB6285" s="3" t="s">
        <v>60523</v>
      </c>
      <c r="BC6285" s="3" t="s">
        <v>142</v>
      </c>
      <c r="BD6285" s="3" t="s">
        <v>68</v>
      </c>
      <c r="BE6285" s="3" t="s">
        <v>60524</v>
      </c>
      <c r="BF6285" s="3" t="s">
        <v>60523</v>
      </c>
      <c r="BG6285" s="3" t="s">
        <v>60525</v>
      </c>
    </row>
    <row r="6286" spans="1:59" ht="57" x14ac:dyDescent="0.45">
      <c r="A6286" s="2" t="s">
        <v>59</v>
      </c>
      <c r="B6286" s="2" t="s">
        <v>60</v>
      </c>
      <c r="C6286" s="2" t="s">
        <v>60526</v>
      </c>
      <c r="D6286" s="2" t="s">
        <v>60527</v>
      </c>
      <c r="E6286" s="2" t="s">
        <v>60528</v>
      </c>
      <c r="G6286" s="3" t="s">
        <v>62</v>
      </c>
      <c r="I6286" s="3" t="s">
        <v>62</v>
      </c>
      <c r="J6286" s="3" t="s">
        <v>62</v>
      </c>
      <c r="K6286" s="3" t="s">
        <v>63</v>
      </c>
      <c r="L6286" s="2" t="s">
        <v>60529</v>
      </c>
      <c r="M6286" s="2" t="s">
        <v>8328</v>
      </c>
      <c r="N6286" s="3" t="s">
        <v>1465</v>
      </c>
      <c r="P6286" s="3" t="s">
        <v>65</v>
      </c>
      <c r="R6286" s="3" t="s">
        <v>66</v>
      </c>
      <c r="S6286" s="4">
        <v>5</v>
      </c>
      <c r="T6286" s="4">
        <v>5</v>
      </c>
      <c r="U6286" s="5" t="s">
        <v>9380</v>
      </c>
      <c r="V6286" s="5" t="s">
        <v>9380</v>
      </c>
      <c r="W6286" s="5" t="s">
        <v>67</v>
      </c>
      <c r="X6286" s="5" t="s">
        <v>67</v>
      </c>
      <c r="Y6286" s="4">
        <v>139</v>
      </c>
      <c r="Z6286" s="4">
        <v>14</v>
      </c>
      <c r="AA6286" s="4">
        <v>98</v>
      </c>
      <c r="AB6286" s="4">
        <v>2</v>
      </c>
      <c r="AC6286" s="4">
        <v>17</v>
      </c>
      <c r="AD6286" s="4">
        <v>45</v>
      </c>
      <c r="AE6286" s="4">
        <v>115</v>
      </c>
      <c r="AF6286" s="4">
        <v>1</v>
      </c>
      <c r="AG6286" s="4">
        <v>8</v>
      </c>
      <c r="AH6286" s="4">
        <v>39</v>
      </c>
      <c r="AI6286" s="4">
        <v>78</v>
      </c>
      <c r="AJ6286" s="4">
        <v>8</v>
      </c>
      <c r="AK6286" s="4">
        <v>21</v>
      </c>
      <c r="AL6286" s="4">
        <v>25</v>
      </c>
      <c r="AM6286" s="4">
        <v>43</v>
      </c>
      <c r="AN6286" s="4">
        <v>0</v>
      </c>
      <c r="AO6286" s="4">
        <v>0</v>
      </c>
      <c r="AP6286" s="4">
        <v>10</v>
      </c>
      <c r="AQ6286" s="4">
        <v>43</v>
      </c>
      <c r="AR6286" s="3" t="s">
        <v>62</v>
      </c>
      <c r="AS6286" s="3" t="s">
        <v>62</v>
      </c>
      <c r="AT6286" s="3" t="s">
        <v>62</v>
      </c>
      <c r="AV6286" s="6" t="str">
        <f>HYPERLINK("http://mcgill.on.worldcat.org/oclc/277203918","Catalog Record")</f>
        <v>Catalog Record</v>
      </c>
      <c r="AW6286" s="6" t="str">
        <f>HYPERLINK("http://www.worldcat.org/oclc/277203918","WorldCat Record")</f>
        <v>WorldCat Record</v>
      </c>
      <c r="AX6286" s="3" t="s">
        <v>60530</v>
      </c>
      <c r="AY6286" s="3" t="s">
        <v>60531</v>
      </c>
      <c r="AZ6286" s="3" t="s">
        <v>60532</v>
      </c>
      <c r="BA6286" s="3" t="s">
        <v>60532</v>
      </c>
      <c r="BB6286" s="3" t="s">
        <v>60533</v>
      </c>
      <c r="BC6286" s="3" t="s">
        <v>142</v>
      </c>
      <c r="BD6286" s="3" t="s">
        <v>68</v>
      </c>
      <c r="BE6286" s="3" t="s">
        <v>60534</v>
      </c>
      <c r="BF6286" s="3" t="s">
        <v>60533</v>
      </c>
      <c r="BG6286" s="3" t="s">
        <v>60535</v>
      </c>
    </row>
    <row r="6287" spans="1:59" ht="57" x14ac:dyDescent="0.45">
      <c r="A6287" s="2" t="s">
        <v>59</v>
      </c>
      <c r="B6287" s="2" t="s">
        <v>60</v>
      </c>
      <c r="C6287" s="2" t="s">
        <v>60536</v>
      </c>
      <c r="D6287" s="2" t="s">
        <v>60537</v>
      </c>
      <c r="E6287" s="2" t="s">
        <v>60538</v>
      </c>
      <c r="G6287" s="3" t="s">
        <v>62</v>
      </c>
      <c r="I6287" s="3" t="s">
        <v>62</v>
      </c>
      <c r="J6287" s="3" t="s">
        <v>62</v>
      </c>
      <c r="K6287" s="3" t="s">
        <v>63</v>
      </c>
      <c r="M6287" s="2" t="s">
        <v>996</v>
      </c>
      <c r="N6287" s="3" t="s">
        <v>167</v>
      </c>
      <c r="P6287" s="3" t="s">
        <v>65</v>
      </c>
      <c r="Q6287" s="2" t="s">
        <v>59860</v>
      </c>
      <c r="R6287" s="3" t="s">
        <v>66</v>
      </c>
      <c r="S6287" s="4">
        <v>63</v>
      </c>
      <c r="T6287" s="4">
        <v>63</v>
      </c>
      <c r="U6287" s="5" t="s">
        <v>9402</v>
      </c>
      <c r="V6287" s="5" t="s">
        <v>9402</v>
      </c>
      <c r="W6287" s="5" t="s">
        <v>67</v>
      </c>
      <c r="X6287" s="5" t="s">
        <v>67</v>
      </c>
      <c r="Y6287" s="4">
        <v>396</v>
      </c>
      <c r="Z6287" s="4">
        <v>20</v>
      </c>
      <c r="AA6287" s="4">
        <v>111</v>
      </c>
      <c r="AB6287" s="4">
        <v>2</v>
      </c>
      <c r="AC6287" s="4">
        <v>22</v>
      </c>
      <c r="AD6287" s="4">
        <v>105</v>
      </c>
      <c r="AE6287" s="4">
        <v>159</v>
      </c>
      <c r="AF6287" s="4">
        <v>1</v>
      </c>
      <c r="AG6287" s="4">
        <v>9</v>
      </c>
      <c r="AH6287" s="4">
        <v>93</v>
      </c>
      <c r="AI6287" s="4">
        <v>111</v>
      </c>
      <c r="AJ6287" s="4">
        <v>15</v>
      </c>
      <c r="AK6287" s="4">
        <v>28</v>
      </c>
      <c r="AL6287" s="4">
        <v>54</v>
      </c>
      <c r="AM6287" s="4">
        <v>58</v>
      </c>
      <c r="AN6287" s="4">
        <v>0</v>
      </c>
      <c r="AO6287" s="4">
        <v>0</v>
      </c>
      <c r="AP6287" s="4">
        <v>18</v>
      </c>
      <c r="AQ6287" s="4">
        <v>57</v>
      </c>
      <c r="AR6287" s="3" t="s">
        <v>62</v>
      </c>
      <c r="AS6287" s="3" t="s">
        <v>62</v>
      </c>
      <c r="AT6287" s="3" t="s">
        <v>62</v>
      </c>
      <c r="AV6287" s="6" t="str">
        <f>HYPERLINK("http://mcgill.on.worldcat.org/oclc/38519922","Catalog Record")</f>
        <v>Catalog Record</v>
      </c>
      <c r="AW6287" s="6" t="str">
        <f>HYPERLINK("http://www.worldcat.org/oclc/38519922","WorldCat Record")</f>
        <v>WorldCat Record</v>
      </c>
      <c r="AX6287" s="3" t="s">
        <v>60539</v>
      </c>
      <c r="AY6287" s="3" t="s">
        <v>60540</v>
      </c>
      <c r="AZ6287" s="3" t="s">
        <v>60541</v>
      </c>
      <c r="BA6287" s="3" t="s">
        <v>60541</v>
      </c>
      <c r="BB6287" s="3" t="s">
        <v>60542</v>
      </c>
      <c r="BC6287" s="3" t="s">
        <v>142</v>
      </c>
      <c r="BD6287" s="3" t="s">
        <v>68</v>
      </c>
      <c r="BE6287" s="3" t="s">
        <v>60543</v>
      </c>
      <c r="BF6287" s="3" t="s">
        <v>60542</v>
      </c>
      <c r="BG6287" s="3" t="s">
        <v>60544</v>
      </c>
    </row>
    <row r="6288" spans="1:59" ht="57" x14ac:dyDescent="0.45">
      <c r="A6288" s="2" t="s">
        <v>59</v>
      </c>
      <c r="B6288" s="2" t="s">
        <v>60</v>
      </c>
      <c r="C6288" s="2" t="s">
        <v>60545</v>
      </c>
      <c r="D6288" s="2" t="s">
        <v>60546</v>
      </c>
      <c r="E6288" s="2" t="s">
        <v>60547</v>
      </c>
      <c r="G6288" s="3" t="s">
        <v>62</v>
      </c>
      <c r="I6288" s="3" t="s">
        <v>62</v>
      </c>
      <c r="J6288" s="3" t="s">
        <v>62</v>
      </c>
      <c r="K6288" s="3" t="s">
        <v>63</v>
      </c>
      <c r="L6288" s="2" t="s">
        <v>60548</v>
      </c>
      <c r="M6288" s="2" t="s">
        <v>9988</v>
      </c>
      <c r="N6288" s="3" t="s">
        <v>1155</v>
      </c>
      <c r="P6288" s="3" t="s">
        <v>65</v>
      </c>
      <c r="R6288" s="3" t="s">
        <v>66</v>
      </c>
      <c r="S6288" s="4">
        <v>2</v>
      </c>
      <c r="T6288" s="4">
        <v>2</v>
      </c>
      <c r="U6288" s="5" t="s">
        <v>19964</v>
      </c>
      <c r="V6288" s="5" t="s">
        <v>19964</v>
      </c>
      <c r="W6288" s="5" t="s">
        <v>67</v>
      </c>
      <c r="X6288" s="5" t="s">
        <v>67</v>
      </c>
      <c r="Y6288" s="4">
        <v>61</v>
      </c>
      <c r="Z6288" s="4">
        <v>14</v>
      </c>
      <c r="AA6288" s="4">
        <v>78</v>
      </c>
      <c r="AB6288" s="4">
        <v>2</v>
      </c>
      <c r="AC6288" s="4">
        <v>15</v>
      </c>
      <c r="AD6288" s="4">
        <v>30</v>
      </c>
      <c r="AE6288" s="4">
        <v>95</v>
      </c>
      <c r="AF6288" s="4">
        <v>1</v>
      </c>
      <c r="AG6288" s="4">
        <v>8</v>
      </c>
      <c r="AH6288" s="4">
        <v>28</v>
      </c>
      <c r="AI6288" s="4">
        <v>64</v>
      </c>
      <c r="AJ6288" s="4">
        <v>12</v>
      </c>
      <c r="AK6288" s="4">
        <v>20</v>
      </c>
      <c r="AL6288" s="4">
        <v>17</v>
      </c>
      <c r="AM6288" s="4">
        <v>34</v>
      </c>
      <c r="AN6288" s="4">
        <v>0</v>
      </c>
      <c r="AO6288" s="4">
        <v>0</v>
      </c>
      <c r="AP6288" s="4">
        <v>12</v>
      </c>
      <c r="AQ6288" s="4">
        <v>41</v>
      </c>
      <c r="AR6288" s="3" t="s">
        <v>62</v>
      </c>
      <c r="AS6288" s="3" t="s">
        <v>62</v>
      </c>
      <c r="AT6288" s="3" t="s">
        <v>62</v>
      </c>
      <c r="AV6288" s="6" t="str">
        <f>HYPERLINK("http://mcgill.on.worldcat.org/oclc/779864415","Catalog Record")</f>
        <v>Catalog Record</v>
      </c>
      <c r="AW6288" s="6" t="str">
        <f>HYPERLINK("http://www.worldcat.org/oclc/779864415","WorldCat Record")</f>
        <v>WorldCat Record</v>
      </c>
      <c r="AX6288" s="3" t="s">
        <v>60549</v>
      </c>
      <c r="AY6288" s="3" t="s">
        <v>60550</v>
      </c>
      <c r="AZ6288" s="3" t="s">
        <v>60551</v>
      </c>
      <c r="BA6288" s="3" t="s">
        <v>60551</v>
      </c>
      <c r="BB6288" s="3" t="s">
        <v>60552</v>
      </c>
      <c r="BC6288" s="3" t="s">
        <v>142</v>
      </c>
      <c r="BD6288" s="3" t="s">
        <v>68</v>
      </c>
      <c r="BE6288" s="3" t="s">
        <v>60553</v>
      </c>
      <c r="BF6288" s="3" t="s">
        <v>60552</v>
      </c>
      <c r="BG6288" s="3" t="s">
        <v>60554</v>
      </c>
    </row>
    <row r="6289" spans="1:59" ht="57" x14ac:dyDescent="0.45">
      <c r="A6289" s="2" t="s">
        <v>59</v>
      </c>
      <c r="B6289" s="2" t="s">
        <v>60</v>
      </c>
      <c r="C6289" s="2" t="s">
        <v>60555</v>
      </c>
      <c r="D6289" s="2" t="s">
        <v>60556</v>
      </c>
      <c r="E6289" s="2" t="s">
        <v>60557</v>
      </c>
      <c r="G6289" s="3" t="s">
        <v>62</v>
      </c>
      <c r="I6289" s="3" t="s">
        <v>62</v>
      </c>
      <c r="J6289" s="3" t="s">
        <v>62</v>
      </c>
      <c r="K6289" s="3" t="s">
        <v>63</v>
      </c>
      <c r="L6289" s="2" t="s">
        <v>60558</v>
      </c>
      <c r="M6289" s="2" t="s">
        <v>5879</v>
      </c>
      <c r="N6289" s="3" t="s">
        <v>1155</v>
      </c>
      <c r="P6289" s="3" t="s">
        <v>65</v>
      </c>
      <c r="Q6289" s="2" t="s">
        <v>60559</v>
      </c>
      <c r="R6289" s="3" t="s">
        <v>66</v>
      </c>
      <c r="S6289" s="4">
        <v>28</v>
      </c>
      <c r="T6289" s="4">
        <v>28</v>
      </c>
      <c r="U6289" s="5" t="s">
        <v>10985</v>
      </c>
      <c r="V6289" s="5" t="s">
        <v>10985</v>
      </c>
      <c r="W6289" s="5" t="s">
        <v>67</v>
      </c>
      <c r="X6289" s="5" t="s">
        <v>67</v>
      </c>
      <c r="Y6289" s="4">
        <v>157</v>
      </c>
      <c r="Z6289" s="4">
        <v>21</v>
      </c>
      <c r="AA6289" s="4">
        <v>31</v>
      </c>
      <c r="AB6289" s="4">
        <v>2</v>
      </c>
      <c r="AC6289" s="4">
        <v>10</v>
      </c>
      <c r="AD6289" s="4">
        <v>63</v>
      </c>
      <c r="AE6289" s="4">
        <v>72</v>
      </c>
      <c r="AF6289" s="4">
        <v>1</v>
      </c>
      <c r="AG6289" s="4">
        <v>5</v>
      </c>
      <c r="AH6289" s="4">
        <v>56</v>
      </c>
      <c r="AI6289" s="4">
        <v>60</v>
      </c>
      <c r="AJ6289" s="4">
        <v>16</v>
      </c>
      <c r="AK6289" s="4">
        <v>20</v>
      </c>
      <c r="AL6289" s="4">
        <v>32</v>
      </c>
      <c r="AM6289" s="4">
        <v>34</v>
      </c>
      <c r="AN6289" s="4">
        <v>0</v>
      </c>
      <c r="AO6289" s="4">
        <v>0</v>
      </c>
      <c r="AP6289" s="4">
        <v>17</v>
      </c>
      <c r="AQ6289" s="4">
        <v>22</v>
      </c>
      <c r="AR6289" s="3" t="s">
        <v>62</v>
      </c>
      <c r="AS6289" s="3" t="s">
        <v>62</v>
      </c>
      <c r="AT6289" s="3" t="s">
        <v>62</v>
      </c>
      <c r="AV6289" s="6" t="str">
        <f>HYPERLINK("http://mcgill.on.worldcat.org/oclc/671700743","Catalog Record")</f>
        <v>Catalog Record</v>
      </c>
      <c r="AW6289" s="6" t="str">
        <f>HYPERLINK("http://www.worldcat.org/oclc/671700743","WorldCat Record")</f>
        <v>WorldCat Record</v>
      </c>
      <c r="AX6289" s="3" t="s">
        <v>60560</v>
      </c>
      <c r="AY6289" s="3" t="s">
        <v>60561</v>
      </c>
      <c r="AZ6289" s="3" t="s">
        <v>60562</v>
      </c>
      <c r="BA6289" s="3" t="s">
        <v>60562</v>
      </c>
      <c r="BB6289" s="3" t="s">
        <v>60563</v>
      </c>
      <c r="BC6289" s="3" t="s">
        <v>142</v>
      </c>
      <c r="BD6289" s="3" t="s">
        <v>68</v>
      </c>
      <c r="BE6289" s="3" t="s">
        <v>60564</v>
      </c>
      <c r="BF6289" s="3" t="s">
        <v>60563</v>
      </c>
      <c r="BG6289" s="3" t="s">
        <v>60565</v>
      </c>
    </row>
    <row r="6290" spans="1:59" ht="57" x14ac:dyDescent="0.45">
      <c r="A6290" s="2" t="s">
        <v>59</v>
      </c>
      <c r="B6290" s="2" t="s">
        <v>60</v>
      </c>
      <c r="C6290" s="2" t="s">
        <v>60566</v>
      </c>
      <c r="D6290" s="2" t="s">
        <v>60567</v>
      </c>
      <c r="E6290" s="2" t="s">
        <v>60568</v>
      </c>
      <c r="G6290" s="3" t="s">
        <v>62</v>
      </c>
      <c r="I6290" s="3" t="s">
        <v>62</v>
      </c>
      <c r="J6290" s="3" t="s">
        <v>62</v>
      </c>
      <c r="K6290" s="3" t="s">
        <v>63</v>
      </c>
      <c r="L6290" s="2" t="s">
        <v>60569</v>
      </c>
      <c r="M6290" s="2" t="s">
        <v>60570</v>
      </c>
      <c r="N6290" s="3" t="s">
        <v>116</v>
      </c>
      <c r="P6290" s="3" t="s">
        <v>110</v>
      </c>
      <c r="Q6290" s="2" t="s">
        <v>60571</v>
      </c>
      <c r="R6290" s="3" t="s">
        <v>66</v>
      </c>
      <c r="S6290" s="4">
        <v>5</v>
      </c>
      <c r="T6290" s="4">
        <v>5</v>
      </c>
      <c r="U6290" s="5" t="s">
        <v>32815</v>
      </c>
      <c r="V6290" s="5" t="s">
        <v>32815</v>
      </c>
      <c r="W6290" s="5" t="s">
        <v>67</v>
      </c>
      <c r="X6290" s="5" t="s">
        <v>67</v>
      </c>
      <c r="Y6290" s="4">
        <v>9</v>
      </c>
      <c r="Z6290" s="4">
        <v>6</v>
      </c>
      <c r="AA6290" s="4">
        <v>51</v>
      </c>
      <c r="AB6290" s="4">
        <v>2</v>
      </c>
      <c r="AC6290" s="4">
        <v>16</v>
      </c>
      <c r="AD6290" s="4">
        <v>4</v>
      </c>
      <c r="AE6290" s="4">
        <v>41</v>
      </c>
      <c r="AF6290" s="4">
        <v>0</v>
      </c>
      <c r="AG6290" s="4">
        <v>7</v>
      </c>
      <c r="AH6290" s="4">
        <v>3</v>
      </c>
      <c r="AI6290" s="4">
        <v>17</v>
      </c>
      <c r="AJ6290" s="4">
        <v>3</v>
      </c>
      <c r="AK6290" s="4">
        <v>17</v>
      </c>
      <c r="AL6290" s="4">
        <v>1</v>
      </c>
      <c r="AM6290" s="4">
        <v>6</v>
      </c>
      <c r="AN6290" s="4">
        <v>0</v>
      </c>
      <c r="AO6290" s="4">
        <v>0</v>
      </c>
      <c r="AP6290" s="4">
        <v>3</v>
      </c>
      <c r="AQ6290" s="4">
        <v>29</v>
      </c>
      <c r="AR6290" s="3" t="s">
        <v>61</v>
      </c>
      <c r="AS6290" s="3" t="s">
        <v>62</v>
      </c>
      <c r="AT6290" s="3" t="s">
        <v>62</v>
      </c>
      <c r="AV6290" s="6" t="str">
        <f>HYPERLINK("http://mcgill.on.worldcat.org/oclc/867817404","Catalog Record")</f>
        <v>Catalog Record</v>
      </c>
      <c r="AW6290" s="6" t="str">
        <f>HYPERLINK("http://www.worldcat.org/oclc/867817404","WorldCat Record")</f>
        <v>WorldCat Record</v>
      </c>
      <c r="AX6290" s="3" t="s">
        <v>60572</v>
      </c>
      <c r="AY6290" s="3" t="s">
        <v>60573</v>
      </c>
      <c r="AZ6290" s="3" t="s">
        <v>60574</v>
      </c>
      <c r="BA6290" s="3" t="s">
        <v>60574</v>
      </c>
      <c r="BB6290" s="3" t="s">
        <v>60575</v>
      </c>
      <c r="BC6290" s="3" t="s">
        <v>142</v>
      </c>
      <c r="BD6290" s="3" t="s">
        <v>68</v>
      </c>
      <c r="BE6290" s="3" t="s">
        <v>60576</v>
      </c>
      <c r="BF6290" s="3" t="s">
        <v>60575</v>
      </c>
      <c r="BG6290" s="3" t="s">
        <v>60577</v>
      </c>
    </row>
    <row r="6291" spans="1:59" ht="57" x14ac:dyDescent="0.45">
      <c r="A6291" s="2" t="s">
        <v>59</v>
      </c>
      <c r="B6291" s="2" t="s">
        <v>60</v>
      </c>
      <c r="C6291" s="2" t="s">
        <v>60578</v>
      </c>
      <c r="D6291" s="2" t="s">
        <v>60579</v>
      </c>
      <c r="E6291" s="2" t="s">
        <v>60580</v>
      </c>
      <c r="G6291" s="3" t="s">
        <v>62</v>
      </c>
      <c r="I6291" s="3" t="s">
        <v>62</v>
      </c>
      <c r="J6291" s="3" t="s">
        <v>62</v>
      </c>
      <c r="K6291" s="3" t="s">
        <v>63</v>
      </c>
      <c r="L6291" s="2" t="s">
        <v>60581</v>
      </c>
      <c r="M6291" s="2" t="s">
        <v>60582</v>
      </c>
      <c r="N6291" s="3" t="s">
        <v>945</v>
      </c>
      <c r="P6291" s="3" t="s">
        <v>65</v>
      </c>
      <c r="Q6291" s="2" t="s">
        <v>60583</v>
      </c>
      <c r="R6291" s="3" t="s">
        <v>66</v>
      </c>
      <c r="S6291" s="4">
        <v>8</v>
      </c>
      <c r="T6291" s="4">
        <v>8</v>
      </c>
      <c r="U6291" s="5" t="s">
        <v>13134</v>
      </c>
      <c r="V6291" s="5" t="s">
        <v>13134</v>
      </c>
      <c r="W6291" s="5" t="s">
        <v>67</v>
      </c>
      <c r="X6291" s="5" t="s">
        <v>67</v>
      </c>
      <c r="Y6291" s="4">
        <v>99</v>
      </c>
      <c r="Z6291" s="4">
        <v>14</v>
      </c>
      <c r="AA6291" s="4">
        <v>20</v>
      </c>
      <c r="AB6291" s="4">
        <v>2</v>
      </c>
      <c r="AC6291" s="4">
        <v>6</v>
      </c>
      <c r="AD6291" s="4">
        <v>38</v>
      </c>
      <c r="AE6291" s="4">
        <v>46</v>
      </c>
      <c r="AF6291" s="4">
        <v>1</v>
      </c>
      <c r="AG6291" s="4">
        <v>2</v>
      </c>
      <c r="AH6291" s="4">
        <v>34</v>
      </c>
      <c r="AI6291" s="4">
        <v>40</v>
      </c>
      <c r="AJ6291" s="4">
        <v>11</v>
      </c>
      <c r="AK6291" s="4">
        <v>13</v>
      </c>
      <c r="AL6291" s="4">
        <v>22</v>
      </c>
      <c r="AM6291" s="4">
        <v>25</v>
      </c>
      <c r="AN6291" s="4">
        <v>0</v>
      </c>
      <c r="AO6291" s="4">
        <v>0</v>
      </c>
      <c r="AP6291" s="4">
        <v>11</v>
      </c>
      <c r="AQ6291" s="4">
        <v>13</v>
      </c>
      <c r="AR6291" s="3" t="s">
        <v>62</v>
      </c>
      <c r="AS6291" s="3" t="s">
        <v>62</v>
      </c>
      <c r="AT6291" s="3" t="s">
        <v>62</v>
      </c>
      <c r="AV6291" s="6" t="str">
        <f>HYPERLINK("http://mcgill.on.worldcat.org/oclc/81860622","Catalog Record")</f>
        <v>Catalog Record</v>
      </c>
      <c r="AW6291" s="6" t="str">
        <f>HYPERLINK("http://www.worldcat.org/oclc/81860622","WorldCat Record")</f>
        <v>WorldCat Record</v>
      </c>
      <c r="AX6291" s="3" t="s">
        <v>60584</v>
      </c>
      <c r="AY6291" s="3" t="s">
        <v>60585</v>
      </c>
      <c r="AZ6291" s="3" t="s">
        <v>60586</v>
      </c>
      <c r="BA6291" s="3" t="s">
        <v>60586</v>
      </c>
      <c r="BB6291" s="3" t="s">
        <v>60587</v>
      </c>
      <c r="BC6291" s="3" t="s">
        <v>142</v>
      </c>
      <c r="BD6291" s="3" t="s">
        <v>68</v>
      </c>
      <c r="BE6291" s="3" t="s">
        <v>60588</v>
      </c>
      <c r="BF6291" s="3" t="s">
        <v>60587</v>
      </c>
      <c r="BG6291" s="3" t="s">
        <v>60589</v>
      </c>
    </row>
    <row r="6292" spans="1:59" ht="57" x14ac:dyDescent="0.45">
      <c r="A6292" s="2" t="s">
        <v>59</v>
      </c>
      <c r="B6292" s="2" t="s">
        <v>60</v>
      </c>
      <c r="C6292" s="2" t="s">
        <v>60590</v>
      </c>
      <c r="D6292" s="2" t="s">
        <v>60591</v>
      </c>
      <c r="E6292" s="2" t="s">
        <v>60592</v>
      </c>
      <c r="G6292" s="3" t="s">
        <v>62</v>
      </c>
      <c r="I6292" s="3" t="s">
        <v>62</v>
      </c>
      <c r="J6292" s="3" t="s">
        <v>62</v>
      </c>
      <c r="K6292" s="3" t="s">
        <v>63</v>
      </c>
      <c r="L6292" s="2" t="s">
        <v>60593</v>
      </c>
      <c r="M6292" s="2" t="s">
        <v>60594</v>
      </c>
      <c r="N6292" s="3" t="s">
        <v>1059</v>
      </c>
      <c r="P6292" s="3" t="s">
        <v>65</v>
      </c>
      <c r="Q6292" s="2" t="s">
        <v>60595</v>
      </c>
      <c r="R6292" s="3" t="s">
        <v>66</v>
      </c>
      <c r="S6292" s="4">
        <v>4</v>
      </c>
      <c r="T6292" s="4">
        <v>4</v>
      </c>
      <c r="U6292" s="5" t="s">
        <v>13134</v>
      </c>
      <c r="V6292" s="5" t="s">
        <v>13134</v>
      </c>
      <c r="W6292" s="5" t="s">
        <v>67</v>
      </c>
      <c r="X6292" s="5" t="s">
        <v>67</v>
      </c>
      <c r="Y6292" s="4">
        <v>118</v>
      </c>
      <c r="Z6292" s="4">
        <v>14</v>
      </c>
      <c r="AA6292" s="4">
        <v>96</v>
      </c>
      <c r="AB6292" s="4">
        <v>2</v>
      </c>
      <c r="AC6292" s="4">
        <v>17</v>
      </c>
      <c r="AD6292" s="4">
        <v>56</v>
      </c>
      <c r="AE6292" s="4">
        <v>120</v>
      </c>
      <c r="AF6292" s="4">
        <v>1</v>
      </c>
      <c r="AG6292" s="4">
        <v>8</v>
      </c>
      <c r="AH6292" s="4">
        <v>50</v>
      </c>
      <c r="AI6292" s="4">
        <v>84</v>
      </c>
      <c r="AJ6292" s="4">
        <v>11</v>
      </c>
      <c r="AK6292" s="4">
        <v>22</v>
      </c>
      <c r="AL6292" s="4">
        <v>36</v>
      </c>
      <c r="AM6292" s="4">
        <v>46</v>
      </c>
      <c r="AN6292" s="4">
        <v>0</v>
      </c>
      <c r="AO6292" s="4">
        <v>0</v>
      </c>
      <c r="AP6292" s="4">
        <v>11</v>
      </c>
      <c r="AQ6292" s="4">
        <v>43</v>
      </c>
      <c r="AR6292" s="3" t="s">
        <v>62</v>
      </c>
      <c r="AS6292" s="3" t="s">
        <v>62</v>
      </c>
      <c r="AT6292" s="3" t="s">
        <v>62</v>
      </c>
      <c r="AV6292" s="6" t="str">
        <f>HYPERLINK("http://mcgill.on.worldcat.org/oclc/76686274","Catalog Record")</f>
        <v>Catalog Record</v>
      </c>
      <c r="AW6292" s="6" t="str">
        <f>HYPERLINK("http://www.worldcat.org/oclc/76686274","WorldCat Record")</f>
        <v>WorldCat Record</v>
      </c>
      <c r="AX6292" s="3" t="s">
        <v>60596</v>
      </c>
      <c r="AY6292" s="3" t="s">
        <v>60597</v>
      </c>
      <c r="AZ6292" s="3" t="s">
        <v>60598</v>
      </c>
      <c r="BA6292" s="3" t="s">
        <v>60598</v>
      </c>
      <c r="BB6292" s="3" t="s">
        <v>60599</v>
      </c>
      <c r="BC6292" s="3" t="s">
        <v>142</v>
      </c>
      <c r="BD6292" s="3" t="s">
        <v>68</v>
      </c>
      <c r="BE6292" s="3" t="s">
        <v>60600</v>
      </c>
      <c r="BF6292" s="3" t="s">
        <v>60599</v>
      </c>
      <c r="BG6292" s="3" t="s">
        <v>60601</v>
      </c>
    </row>
    <row r="6293" spans="1:59" ht="99.75" x14ac:dyDescent="0.45">
      <c r="A6293" s="2" t="s">
        <v>59</v>
      </c>
      <c r="B6293" s="2" t="s">
        <v>60</v>
      </c>
      <c r="C6293" s="2" t="s">
        <v>60602</v>
      </c>
      <c r="D6293" s="2" t="s">
        <v>60603</v>
      </c>
      <c r="E6293" s="2" t="s">
        <v>60604</v>
      </c>
      <c r="G6293" s="3" t="s">
        <v>62</v>
      </c>
      <c r="I6293" s="3" t="s">
        <v>62</v>
      </c>
      <c r="J6293" s="3" t="s">
        <v>62</v>
      </c>
      <c r="K6293" s="3" t="s">
        <v>63</v>
      </c>
      <c r="M6293" s="2" t="s">
        <v>44797</v>
      </c>
      <c r="N6293" s="3" t="s">
        <v>167</v>
      </c>
      <c r="P6293" s="3" t="s">
        <v>65</v>
      </c>
      <c r="Q6293" s="2" t="s">
        <v>60605</v>
      </c>
      <c r="R6293" s="3" t="s">
        <v>66</v>
      </c>
      <c r="S6293" s="4">
        <v>64</v>
      </c>
      <c r="T6293" s="4">
        <v>64</v>
      </c>
      <c r="U6293" s="5" t="s">
        <v>37312</v>
      </c>
      <c r="V6293" s="5" t="s">
        <v>37312</v>
      </c>
      <c r="W6293" s="5" t="s">
        <v>67</v>
      </c>
      <c r="X6293" s="5" t="s">
        <v>67</v>
      </c>
      <c r="Y6293" s="4">
        <v>153</v>
      </c>
      <c r="Z6293" s="4">
        <v>14</v>
      </c>
      <c r="AA6293" s="4">
        <v>97</v>
      </c>
      <c r="AB6293" s="4">
        <v>2</v>
      </c>
      <c r="AC6293" s="4">
        <v>18</v>
      </c>
      <c r="AD6293" s="4">
        <v>57</v>
      </c>
      <c r="AE6293" s="4">
        <v>121</v>
      </c>
      <c r="AF6293" s="4">
        <v>1</v>
      </c>
      <c r="AG6293" s="4">
        <v>8</v>
      </c>
      <c r="AH6293" s="4">
        <v>51</v>
      </c>
      <c r="AI6293" s="4">
        <v>85</v>
      </c>
      <c r="AJ6293" s="4">
        <v>12</v>
      </c>
      <c r="AK6293" s="4">
        <v>24</v>
      </c>
      <c r="AL6293" s="4">
        <v>31</v>
      </c>
      <c r="AM6293" s="4">
        <v>45</v>
      </c>
      <c r="AN6293" s="4">
        <v>0</v>
      </c>
      <c r="AO6293" s="4">
        <v>0</v>
      </c>
      <c r="AP6293" s="4">
        <v>11</v>
      </c>
      <c r="AQ6293" s="4">
        <v>44</v>
      </c>
      <c r="AR6293" s="3" t="s">
        <v>62</v>
      </c>
      <c r="AS6293" s="3" t="s">
        <v>62</v>
      </c>
      <c r="AT6293" s="3" t="s">
        <v>62</v>
      </c>
      <c r="AV6293" s="6" t="str">
        <f>HYPERLINK("http://mcgill.on.worldcat.org/oclc/41431762","Catalog Record")</f>
        <v>Catalog Record</v>
      </c>
      <c r="AW6293" s="6" t="str">
        <f>HYPERLINK("http://www.worldcat.org/oclc/41431762","WorldCat Record")</f>
        <v>WorldCat Record</v>
      </c>
      <c r="AX6293" s="3" t="s">
        <v>60606</v>
      </c>
      <c r="AY6293" s="3" t="s">
        <v>60607</v>
      </c>
      <c r="AZ6293" s="3" t="s">
        <v>60608</v>
      </c>
      <c r="BA6293" s="3" t="s">
        <v>60608</v>
      </c>
      <c r="BB6293" s="3" t="s">
        <v>60609</v>
      </c>
      <c r="BC6293" s="3" t="s">
        <v>142</v>
      </c>
      <c r="BD6293" s="3" t="s">
        <v>68</v>
      </c>
      <c r="BE6293" s="3" t="s">
        <v>60610</v>
      </c>
      <c r="BF6293" s="3" t="s">
        <v>60609</v>
      </c>
      <c r="BG6293" s="3" t="s">
        <v>60611</v>
      </c>
    </row>
    <row r="6294" spans="1:59" ht="57" x14ac:dyDescent="0.45">
      <c r="A6294" s="2" t="s">
        <v>59</v>
      </c>
      <c r="B6294" s="2" t="s">
        <v>60</v>
      </c>
      <c r="C6294" s="2" t="s">
        <v>60612</v>
      </c>
      <c r="D6294" s="2" t="s">
        <v>60613</v>
      </c>
      <c r="E6294" s="2" t="s">
        <v>60614</v>
      </c>
      <c r="G6294" s="3" t="s">
        <v>62</v>
      </c>
      <c r="I6294" s="3" t="s">
        <v>62</v>
      </c>
      <c r="J6294" s="3" t="s">
        <v>62</v>
      </c>
      <c r="K6294" s="3" t="s">
        <v>63</v>
      </c>
      <c r="M6294" s="2" t="s">
        <v>35914</v>
      </c>
      <c r="N6294" s="3" t="s">
        <v>1253</v>
      </c>
      <c r="P6294" s="3" t="s">
        <v>65</v>
      </c>
      <c r="Q6294" s="2" t="s">
        <v>60615</v>
      </c>
      <c r="R6294" s="3" t="s">
        <v>66</v>
      </c>
      <c r="S6294" s="4">
        <v>14</v>
      </c>
      <c r="T6294" s="4">
        <v>14</v>
      </c>
      <c r="U6294" s="5" t="s">
        <v>19134</v>
      </c>
      <c r="V6294" s="5" t="s">
        <v>19134</v>
      </c>
      <c r="W6294" s="5" t="s">
        <v>67</v>
      </c>
      <c r="X6294" s="5" t="s">
        <v>67</v>
      </c>
      <c r="Y6294" s="4">
        <v>168</v>
      </c>
      <c r="Z6294" s="4">
        <v>11</v>
      </c>
      <c r="AA6294" s="4">
        <v>93</v>
      </c>
      <c r="AB6294" s="4">
        <v>2</v>
      </c>
      <c r="AC6294" s="4">
        <v>17</v>
      </c>
      <c r="AD6294" s="4">
        <v>64</v>
      </c>
      <c r="AE6294" s="4">
        <v>121</v>
      </c>
      <c r="AF6294" s="4">
        <v>1</v>
      </c>
      <c r="AG6294" s="4">
        <v>8</v>
      </c>
      <c r="AH6294" s="4">
        <v>59</v>
      </c>
      <c r="AI6294" s="4">
        <v>86</v>
      </c>
      <c r="AJ6294" s="4">
        <v>9</v>
      </c>
      <c r="AK6294" s="4">
        <v>21</v>
      </c>
      <c r="AL6294" s="4">
        <v>36</v>
      </c>
      <c r="AM6294" s="4">
        <v>45</v>
      </c>
      <c r="AN6294" s="4">
        <v>0</v>
      </c>
      <c r="AO6294" s="4">
        <v>0</v>
      </c>
      <c r="AP6294" s="4">
        <v>9</v>
      </c>
      <c r="AQ6294" s="4">
        <v>42</v>
      </c>
      <c r="AR6294" s="3" t="s">
        <v>62</v>
      </c>
      <c r="AS6294" s="3" t="s">
        <v>62</v>
      </c>
      <c r="AT6294" s="3" t="s">
        <v>61</v>
      </c>
      <c r="AU6294" s="6" t="str">
        <f>HYPERLINK("http://catalog.hathitrust.org/Record/004917443","HathiTrust Record")</f>
        <v>HathiTrust Record</v>
      </c>
      <c r="AV6294" s="6" t="str">
        <f>HYPERLINK("http://mcgill.on.worldcat.org/oclc/37792485","Catalog Record")</f>
        <v>Catalog Record</v>
      </c>
      <c r="AW6294" s="6" t="str">
        <f>HYPERLINK("http://www.worldcat.org/oclc/37792485","WorldCat Record")</f>
        <v>WorldCat Record</v>
      </c>
      <c r="AX6294" s="3" t="s">
        <v>60616</v>
      </c>
      <c r="AY6294" s="3" t="s">
        <v>60617</v>
      </c>
      <c r="AZ6294" s="3" t="s">
        <v>60618</v>
      </c>
      <c r="BA6294" s="3" t="s">
        <v>60618</v>
      </c>
      <c r="BB6294" s="3" t="s">
        <v>60619</v>
      </c>
      <c r="BC6294" s="3" t="s">
        <v>142</v>
      </c>
      <c r="BD6294" s="3" t="s">
        <v>68</v>
      </c>
      <c r="BE6294" s="3" t="s">
        <v>60620</v>
      </c>
      <c r="BF6294" s="3" t="s">
        <v>60619</v>
      </c>
      <c r="BG6294" s="3" t="s">
        <v>60621</v>
      </c>
    </row>
    <row r="6295" spans="1:59" ht="57" x14ac:dyDescent="0.45">
      <c r="A6295" s="2" t="s">
        <v>59</v>
      </c>
      <c r="B6295" s="2" t="s">
        <v>60</v>
      </c>
      <c r="C6295" s="2" t="s">
        <v>60622</v>
      </c>
      <c r="D6295" s="2" t="s">
        <v>60623</v>
      </c>
      <c r="E6295" s="2" t="s">
        <v>60624</v>
      </c>
      <c r="G6295" s="3" t="s">
        <v>62</v>
      </c>
      <c r="I6295" s="3" t="s">
        <v>62</v>
      </c>
      <c r="J6295" s="3" t="s">
        <v>62</v>
      </c>
      <c r="K6295" s="3" t="s">
        <v>63</v>
      </c>
      <c r="M6295" s="2" t="s">
        <v>60625</v>
      </c>
      <c r="N6295" s="3" t="s">
        <v>149</v>
      </c>
      <c r="P6295" s="3" t="s">
        <v>65</v>
      </c>
      <c r="R6295" s="3" t="s">
        <v>66</v>
      </c>
      <c r="S6295" s="4">
        <v>2</v>
      </c>
      <c r="T6295" s="4">
        <v>2</v>
      </c>
      <c r="U6295" s="5" t="s">
        <v>37909</v>
      </c>
      <c r="V6295" s="5" t="s">
        <v>37909</v>
      </c>
      <c r="W6295" s="5" t="s">
        <v>67</v>
      </c>
      <c r="X6295" s="5" t="s">
        <v>67</v>
      </c>
      <c r="Y6295" s="4">
        <v>71</v>
      </c>
      <c r="Z6295" s="4">
        <v>6</v>
      </c>
      <c r="AA6295" s="4">
        <v>12</v>
      </c>
      <c r="AB6295" s="4">
        <v>1</v>
      </c>
      <c r="AC6295" s="4">
        <v>7</v>
      </c>
      <c r="AD6295" s="4">
        <v>22</v>
      </c>
      <c r="AE6295" s="4">
        <v>27</v>
      </c>
      <c r="AF6295" s="4">
        <v>0</v>
      </c>
      <c r="AG6295" s="4">
        <v>3</v>
      </c>
      <c r="AH6295" s="4">
        <v>21</v>
      </c>
      <c r="AI6295" s="4">
        <v>24</v>
      </c>
      <c r="AJ6295" s="4">
        <v>5</v>
      </c>
      <c r="AK6295" s="4">
        <v>7</v>
      </c>
      <c r="AL6295" s="4">
        <v>10</v>
      </c>
      <c r="AM6295" s="4">
        <v>11</v>
      </c>
      <c r="AN6295" s="4">
        <v>0</v>
      </c>
      <c r="AO6295" s="4">
        <v>0</v>
      </c>
      <c r="AP6295" s="4">
        <v>5</v>
      </c>
      <c r="AQ6295" s="4">
        <v>7</v>
      </c>
      <c r="AR6295" s="3" t="s">
        <v>62</v>
      </c>
      <c r="AS6295" s="3" t="s">
        <v>62</v>
      </c>
      <c r="AT6295" s="3" t="s">
        <v>62</v>
      </c>
      <c r="AV6295" s="6" t="str">
        <f>HYPERLINK("http://mcgill.on.worldcat.org/oclc/521754210","Catalog Record")</f>
        <v>Catalog Record</v>
      </c>
      <c r="AW6295" s="6" t="str">
        <f>HYPERLINK("http://www.worldcat.org/oclc/521754210","WorldCat Record")</f>
        <v>WorldCat Record</v>
      </c>
      <c r="AX6295" s="3" t="s">
        <v>60626</v>
      </c>
      <c r="AY6295" s="3" t="s">
        <v>60627</v>
      </c>
      <c r="AZ6295" s="3" t="s">
        <v>60628</v>
      </c>
      <c r="BA6295" s="3" t="s">
        <v>60628</v>
      </c>
      <c r="BB6295" s="3" t="s">
        <v>60629</v>
      </c>
      <c r="BC6295" s="3" t="s">
        <v>142</v>
      </c>
      <c r="BD6295" s="3" t="s">
        <v>68</v>
      </c>
      <c r="BE6295" s="3" t="s">
        <v>60630</v>
      </c>
      <c r="BF6295" s="3" t="s">
        <v>60629</v>
      </c>
      <c r="BG6295" s="3" t="s">
        <v>60631</v>
      </c>
    </row>
    <row r="6296" spans="1:59" ht="57" x14ac:dyDescent="0.45">
      <c r="A6296" s="2" t="s">
        <v>59</v>
      </c>
      <c r="B6296" s="2" t="s">
        <v>60</v>
      </c>
      <c r="C6296" s="2" t="s">
        <v>60632</v>
      </c>
      <c r="D6296" s="2" t="s">
        <v>60633</v>
      </c>
      <c r="E6296" s="2" t="s">
        <v>60634</v>
      </c>
      <c r="G6296" s="3" t="s">
        <v>62</v>
      </c>
      <c r="I6296" s="3" t="s">
        <v>62</v>
      </c>
      <c r="J6296" s="3" t="s">
        <v>62</v>
      </c>
      <c r="K6296" s="3" t="s">
        <v>63</v>
      </c>
      <c r="M6296" s="2" t="s">
        <v>60635</v>
      </c>
      <c r="N6296" s="3" t="s">
        <v>167</v>
      </c>
      <c r="P6296" s="3" t="s">
        <v>65</v>
      </c>
      <c r="Q6296" s="2" t="s">
        <v>60636</v>
      </c>
      <c r="R6296" s="3" t="s">
        <v>66</v>
      </c>
      <c r="S6296" s="4">
        <v>21</v>
      </c>
      <c r="T6296" s="4">
        <v>21</v>
      </c>
      <c r="U6296" s="5" t="s">
        <v>959</v>
      </c>
      <c r="V6296" s="5" t="s">
        <v>959</v>
      </c>
      <c r="W6296" s="5" t="s">
        <v>67</v>
      </c>
      <c r="X6296" s="5" t="s">
        <v>67</v>
      </c>
      <c r="Y6296" s="4">
        <v>302</v>
      </c>
      <c r="Z6296" s="4">
        <v>17</v>
      </c>
      <c r="AA6296" s="4">
        <v>26</v>
      </c>
      <c r="AB6296" s="4">
        <v>2</v>
      </c>
      <c r="AC6296" s="4">
        <v>5</v>
      </c>
      <c r="AD6296" s="4">
        <v>100</v>
      </c>
      <c r="AE6296" s="4">
        <v>107</v>
      </c>
      <c r="AF6296" s="4">
        <v>1</v>
      </c>
      <c r="AG6296" s="4">
        <v>2</v>
      </c>
      <c r="AH6296" s="4">
        <v>91</v>
      </c>
      <c r="AI6296" s="4">
        <v>93</v>
      </c>
      <c r="AJ6296" s="4">
        <v>14</v>
      </c>
      <c r="AK6296" s="4">
        <v>16</v>
      </c>
      <c r="AL6296" s="4">
        <v>57</v>
      </c>
      <c r="AM6296" s="4">
        <v>57</v>
      </c>
      <c r="AN6296" s="4">
        <v>0</v>
      </c>
      <c r="AO6296" s="4">
        <v>0</v>
      </c>
      <c r="AP6296" s="4">
        <v>15</v>
      </c>
      <c r="AQ6296" s="4">
        <v>20</v>
      </c>
      <c r="AR6296" s="3" t="s">
        <v>62</v>
      </c>
      <c r="AS6296" s="3" t="s">
        <v>62</v>
      </c>
      <c r="AT6296" s="3" t="s">
        <v>61</v>
      </c>
      <c r="AU6296" s="6" t="str">
        <f>HYPERLINK("http://catalog.hathitrust.org/Record/004077001","HathiTrust Record")</f>
        <v>HathiTrust Record</v>
      </c>
      <c r="AV6296" s="6" t="str">
        <f>HYPERLINK("http://mcgill.on.worldcat.org/oclc/41143063","Catalog Record")</f>
        <v>Catalog Record</v>
      </c>
      <c r="AW6296" s="6" t="str">
        <f>HYPERLINK("http://www.worldcat.org/oclc/41143063","WorldCat Record")</f>
        <v>WorldCat Record</v>
      </c>
      <c r="AX6296" s="3" t="s">
        <v>60637</v>
      </c>
      <c r="AY6296" s="3" t="s">
        <v>60638</v>
      </c>
      <c r="AZ6296" s="3" t="s">
        <v>60639</v>
      </c>
      <c r="BA6296" s="3" t="s">
        <v>60639</v>
      </c>
      <c r="BB6296" s="3" t="s">
        <v>60640</v>
      </c>
      <c r="BC6296" s="3" t="s">
        <v>142</v>
      </c>
      <c r="BD6296" s="3" t="s">
        <v>68</v>
      </c>
      <c r="BE6296" s="3" t="s">
        <v>60641</v>
      </c>
      <c r="BF6296" s="3" t="s">
        <v>60640</v>
      </c>
      <c r="BG6296" s="3" t="s">
        <v>60642</v>
      </c>
    </row>
    <row r="6297" spans="1:59" ht="57" x14ac:dyDescent="0.45">
      <c r="A6297" s="2" t="s">
        <v>59</v>
      </c>
      <c r="B6297" s="2" t="s">
        <v>60</v>
      </c>
      <c r="C6297" s="2" t="s">
        <v>60643</v>
      </c>
      <c r="D6297" s="2" t="s">
        <v>60644</v>
      </c>
      <c r="E6297" s="2" t="s">
        <v>60645</v>
      </c>
      <c r="G6297" s="3" t="s">
        <v>62</v>
      </c>
      <c r="I6297" s="3" t="s">
        <v>62</v>
      </c>
      <c r="J6297" s="3" t="s">
        <v>62</v>
      </c>
      <c r="K6297" s="3" t="s">
        <v>63</v>
      </c>
      <c r="L6297" s="2" t="s">
        <v>60646</v>
      </c>
      <c r="M6297" s="2" t="s">
        <v>60647</v>
      </c>
      <c r="N6297" s="3" t="s">
        <v>958</v>
      </c>
      <c r="P6297" s="3" t="s">
        <v>65</v>
      </c>
      <c r="Q6297" s="2" t="s">
        <v>60648</v>
      </c>
      <c r="R6297" s="3" t="s">
        <v>66</v>
      </c>
      <c r="S6297" s="4">
        <v>40</v>
      </c>
      <c r="T6297" s="4">
        <v>40</v>
      </c>
      <c r="U6297" s="5" t="s">
        <v>60649</v>
      </c>
      <c r="V6297" s="5" t="s">
        <v>60649</v>
      </c>
      <c r="W6297" s="5" t="s">
        <v>67</v>
      </c>
      <c r="X6297" s="5" t="s">
        <v>67</v>
      </c>
      <c r="Y6297" s="4">
        <v>259</v>
      </c>
      <c r="Z6297" s="4">
        <v>19</v>
      </c>
      <c r="AA6297" s="4">
        <v>102</v>
      </c>
      <c r="AB6297" s="4">
        <v>2</v>
      </c>
      <c r="AC6297" s="4">
        <v>19</v>
      </c>
      <c r="AD6297" s="4">
        <v>83</v>
      </c>
      <c r="AE6297" s="4">
        <v>134</v>
      </c>
      <c r="AF6297" s="4">
        <v>1</v>
      </c>
      <c r="AG6297" s="4">
        <v>8</v>
      </c>
      <c r="AH6297" s="4">
        <v>72</v>
      </c>
      <c r="AI6297" s="4">
        <v>97</v>
      </c>
      <c r="AJ6297" s="4">
        <v>14</v>
      </c>
      <c r="AK6297" s="4">
        <v>25</v>
      </c>
      <c r="AL6297" s="4">
        <v>42</v>
      </c>
      <c r="AM6297" s="4">
        <v>52</v>
      </c>
      <c r="AN6297" s="4">
        <v>0</v>
      </c>
      <c r="AO6297" s="4">
        <v>0</v>
      </c>
      <c r="AP6297" s="4">
        <v>17</v>
      </c>
      <c r="AQ6297" s="4">
        <v>47</v>
      </c>
      <c r="AR6297" s="3" t="s">
        <v>62</v>
      </c>
      <c r="AS6297" s="3" t="s">
        <v>62</v>
      </c>
      <c r="AT6297" s="3" t="s">
        <v>61</v>
      </c>
      <c r="AU6297" s="6" t="str">
        <f>HYPERLINK("http://catalog.hathitrust.org/Record/003595109","HathiTrust Record")</f>
        <v>HathiTrust Record</v>
      </c>
      <c r="AV6297" s="6" t="str">
        <f>HYPERLINK("http://mcgill.on.worldcat.org/oclc/32166555","Catalog Record")</f>
        <v>Catalog Record</v>
      </c>
      <c r="AW6297" s="6" t="str">
        <f>HYPERLINK("http://www.worldcat.org/oclc/32166555","WorldCat Record")</f>
        <v>WorldCat Record</v>
      </c>
      <c r="AX6297" s="3" t="s">
        <v>60650</v>
      </c>
      <c r="AY6297" s="3" t="s">
        <v>60651</v>
      </c>
      <c r="AZ6297" s="3" t="s">
        <v>60652</v>
      </c>
      <c r="BA6297" s="3" t="s">
        <v>60652</v>
      </c>
      <c r="BB6297" s="3" t="s">
        <v>60653</v>
      </c>
      <c r="BC6297" s="3" t="s">
        <v>142</v>
      </c>
      <c r="BD6297" s="3" t="s">
        <v>68</v>
      </c>
      <c r="BE6297" s="3" t="s">
        <v>60654</v>
      </c>
      <c r="BF6297" s="3" t="s">
        <v>60653</v>
      </c>
      <c r="BG6297" s="3" t="s">
        <v>60655</v>
      </c>
    </row>
    <row r="6298" spans="1:59" ht="57" x14ac:dyDescent="0.45">
      <c r="A6298" s="2" t="s">
        <v>59</v>
      </c>
      <c r="B6298" s="2" t="s">
        <v>60</v>
      </c>
      <c r="C6298" s="2" t="s">
        <v>60656</v>
      </c>
      <c r="D6298" s="2" t="s">
        <v>60657</v>
      </c>
      <c r="E6298" s="2" t="s">
        <v>60658</v>
      </c>
      <c r="G6298" s="3" t="s">
        <v>62</v>
      </c>
      <c r="I6298" s="3" t="s">
        <v>62</v>
      </c>
      <c r="J6298" s="3" t="s">
        <v>62</v>
      </c>
      <c r="K6298" s="3" t="s">
        <v>63</v>
      </c>
      <c r="M6298" s="2" t="s">
        <v>60659</v>
      </c>
      <c r="N6298" s="3" t="s">
        <v>894</v>
      </c>
      <c r="P6298" s="3" t="s">
        <v>110</v>
      </c>
      <c r="Q6298" s="2" t="s">
        <v>60660</v>
      </c>
      <c r="R6298" s="3" t="s">
        <v>66</v>
      </c>
      <c r="S6298" s="4">
        <v>2</v>
      </c>
      <c r="T6298" s="4">
        <v>2</v>
      </c>
      <c r="U6298" s="5" t="s">
        <v>60209</v>
      </c>
      <c r="V6298" s="5" t="s">
        <v>60209</v>
      </c>
      <c r="W6298" s="5" t="s">
        <v>67</v>
      </c>
      <c r="X6298" s="5" t="s">
        <v>67</v>
      </c>
      <c r="Y6298" s="4">
        <v>152</v>
      </c>
      <c r="Z6298" s="4">
        <v>16</v>
      </c>
      <c r="AA6298" s="4">
        <v>22</v>
      </c>
      <c r="AB6298" s="4">
        <v>1</v>
      </c>
      <c r="AC6298" s="4">
        <v>6</v>
      </c>
      <c r="AD6298" s="4">
        <v>72</v>
      </c>
      <c r="AE6298" s="4">
        <v>77</v>
      </c>
      <c r="AF6298" s="4">
        <v>0</v>
      </c>
      <c r="AG6298" s="4">
        <v>4</v>
      </c>
      <c r="AH6298" s="4">
        <v>66</v>
      </c>
      <c r="AI6298" s="4">
        <v>68</v>
      </c>
      <c r="AJ6298" s="4">
        <v>12</v>
      </c>
      <c r="AK6298" s="4">
        <v>17</v>
      </c>
      <c r="AL6298" s="4">
        <v>36</v>
      </c>
      <c r="AM6298" s="4">
        <v>36</v>
      </c>
      <c r="AN6298" s="4">
        <v>0</v>
      </c>
      <c r="AO6298" s="4">
        <v>0</v>
      </c>
      <c r="AP6298" s="4">
        <v>14</v>
      </c>
      <c r="AQ6298" s="4">
        <v>18</v>
      </c>
      <c r="AR6298" s="3" t="s">
        <v>62</v>
      </c>
      <c r="AS6298" s="3" t="s">
        <v>62</v>
      </c>
      <c r="AT6298" s="3" t="s">
        <v>62</v>
      </c>
      <c r="AV6298" s="6" t="str">
        <f>HYPERLINK("http://mcgill.on.worldcat.org/oclc/725776014","Catalog Record")</f>
        <v>Catalog Record</v>
      </c>
      <c r="AW6298" s="6" t="str">
        <f>HYPERLINK("http://www.worldcat.org/oclc/725776014","WorldCat Record")</f>
        <v>WorldCat Record</v>
      </c>
      <c r="AX6298" s="3" t="s">
        <v>60661</v>
      </c>
      <c r="AY6298" s="3" t="s">
        <v>60662</v>
      </c>
      <c r="AZ6298" s="3" t="s">
        <v>60663</v>
      </c>
      <c r="BA6298" s="3" t="s">
        <v>60663</v>
      </c>
      <c r="BB6298" s="3" t="s">
        <v>60664</v>
      </c>
      <c r="BC6298" s="3" t="s">
        <v>142</v>
      </c>
      <c r="BD6298" s="3" t="s">
        <v>68</v>
      </c>
      <c r="BE6298" s="3" t="s">
        <v>60665</v>
      </c>
      <c r="BF6298" s="3" t="s">
        <v>60664</v>
      </c>
      <c r="BG6298" s="3" t="s">
        <v>60666</v>
      </c>
    </row>
    <row r="6299" spans="1:59" ht="57" x14ac:dyDescent="0.45">
      <c r="A6299" s="2" t="s">
        <v>59</v>
      </c>
      <c r="B6299" s="2" t="s">
        <v>60</v>
      </c>
      <c r="C6299" s="2" t="s">
        <v>60667</v>
      </c>
      <c r="D6299" s="2" t="s">
        <v>60668</v>
      </c>
      <c r="E6299" s="2" t="s">
        <v>60669</v>
      </c>
      <c r="G6299" s="3" t="s">
        <v>62</v>
      </c>
      <c r="I6299" s="3" t="s">
        <v>62</v>
      </c>
      <c r="J6299" s="3" t="s">
        <v>62</v>
      </c>
      <c r="K6299" s="3" t="s">
        <v>63</v>
      </c>
      <c r="M6299" s="2" t="s">
        <v>60670</v>
      </c>
      <c r="N6299" s="3" t="s">
        <v>1155</v>
      </c>
      <c r="P6299" s="3" t="s">
        <v>110</v>
      </c>
      <c r="Q6299" s="2" t="s">
        <v>60671</v>
      </c>
      <c r="R6299" s="3" t="s">
        <v>66</v>
      </c>
      <c r="S6299" s="4">
        <v>1</v>
      </c>
      <c r="T6299" s="4">
        <v>1</v>
      </c>
      <c r="U6299" s="5" t="s">
        <v>13218</v>
      </c>
      <c r="V6299" s="5" t="s">
        <v>13218</v>
      </c>
      <c r="W6299" s="5" t="s">
        <v>67</v>
      </c>
      <c r="X6299" s="5" t="s">
        <v>67</v>
      </c>
      <c r="Y6299" s="4">
        <v>18</v>
      </c>
      <c r="Z6299" s="4">
        <v>3</v>
      </c>
      <c r="AA6299" s="4">
        <v>3</v>
      </c>
      <c r="AB6299" s="4">
        <v>1</v>
      </c>
      <c r="AC6299" s="4">
        <v>1</v>
      </c>
      <c r="AD6299" s="4">
        <v>10</v>
      </c>
      <c r="AE6299" s="4">
        <v>10</v>
      </c>
      <c r="AF6299" s="4">
        <v>0</v>
      </c>
      <c r="AG6299" s="4">
        <v>0</v>
      </c>
      <c r="AH6299" s="4">
        <v>9</v>
      </c>
      <c r="AI6299" s="4">
        <v>9</v>
      </c>
      <c r="AJ6299" s="4">
        <v>2</v>
      </c>
      <c r="AK6299" s="4">
        <v>2</v>
      </c>
      <c r="AL6299" s="4">
        <v>8</v>
      </c>
      <c r="AM6299" s="4">
        <v>8</v>
      </c>
      <c r="AN6299" s="4">
        <v>0</v>
      </c>
      <c r="AO6299" s="4">
        <v>0</v>
      </c>
      <c r="AP6299" s="4">
        <v>2</v>
      </c>
      <c r="AQ6299" s="4">
        <v>2</v>
      </c>
      <c r="AR6299" s="3" t="s">
        <v>62</v>
      </c>
      <c r="AS6299" s="3" t="s">
        <v>62</v>
      </c>
      <c r="AT6299" s="3" t="s">
        <v>62</v>
      </c>
      <c r="AV6299" s="6" t="str">
        <f>HYPERLINK("http://mcgill.on.worldcat.org/oclc/810121182","Catalog Record")</f>
        <v>Catalog Record</v>
      </c>
      <c r="AW6299" s="6" t="str">
        <f>HYPERLINK("http://www.worldcat.org/oclc/810121182","WorldCat Record")</f>
        <v>WorldCat Record</v>
      </c>
      <c r="AX6299" s="3" t="s">
        <v>60672</v>
      </c>
      <c r="AY6299" s="3" t="s">
        <v>60673</v>
      </c>
      <c r="AZ6299" s="3" t="s">
        <v>60674</v>
      </c>
      <c r="BA6299" s="3" t="s">
        <v>60674</v>
      </c>
      <c r="BB6299" s="3" t="s">
        <v>60675</v>
      </c>
      <c r="BC6299" s="3" t="s">
        <v>142</v>
      </c>
      <c r="BD6299" s="3" t="s">
        <v>68</v>
      </c>
      <c r="BE6299" s="3" t="s">
        <v>60676</v>
      </c>
      <c r="BF6299" s="3" t="s">
        <v>60675</v>
      </c>
      <c r="BG6299" s="3" t="s">
        <v>60677</v>
      </c>
    </row>
    <row r="6300" spans="1:59" ht="57" x14ac:dyDescent="0.45">
      <c r="A6300" s="2" t="s">
        <v>59</v>
      </c>
      <c r="B6300" s="2" t="s">
        <v>60</v>
      </c>
      <c r="C6300" s="2" t="s">
        <v>60678</v>
      </c>
      <c r="D6300" s="2" t="s">
        <v>60679</v>
      </c>
      <c r="E6300" s="2" t="s">
        <v>60680</v>
      </c>
      <c r="G6300" s="3" t="s">
        <v>62</v>
      </c>
      <c r="I6300" s="3" t="s">
        <v>62</v>
      </c>
      <c r="J6300" s="3" t="s">
        <v>62</v>
      </c>
      <c r="K6300" s="3" t="s">
        <v>63</v>
      </c>
      <c r="M6300" s="2" t="s">
        <v>47767</v>
      </c>
      <c r="N6300" s="3" t="s">
        <v>181</v>
      </c>
      <c r="P6300" s="3" t="s">
        <v>65</v>
      </c>
      <c r="Q6300" s="2" t="s">
        <v>60681</v>
      </c>
      <c r="R6300" s="3" t="s">
        <v>66</v>
      </c>
      <c r="S6300" s="4">
        <v>1</v>
      </c>
      <c r="T6300" s="4">
        <v>1</v>
      </c>
      <c r="U6300" s="5" t="s">
        <v>60682</v>
      </c>
      <c r="V6300" s="5" t="s">
        <v>60682</v>
      </c>
      <c r="W6300" s="5" t="s">
        <v>67</v>
      </c>
      <c r="X6300" s="5" t="s">
        <v>67</v>
      </c>
      <c r="Y6300" s="4">
        <v>39</v>
      </c>
      <c r="Z6300" s="4">
        <v>4</v>
      </c>
      <c r="AA6300" s="4">
        <v>6</v>
      </c>
      <c r="AB6300" s="4">
        <v>1</v>
      </c>
      <c r="AC6300" s="4">
        <v>3</v>
      </c>
      <c r="AD6300" s="4">
        <v>16</v>
      </c>
      <c r="AE6300" s="4">
        <v>17</v>
      </c>
      <c r="AF6300" s="4">
        <v>0</v>
      </c>
      <c r="AG6300" s="4">
        <v>1</v>
      </c>
      <c r="AH6300" s="4">
        <v>16</v>
      </c>
      <c r="AI6300" s="4">
        <v>16</v>
      </c>
      <c r="AJ6300" s="4">
        <v>3</v>
      </c>
      <c r="AK6300" s="4">
        <v>4</v>
      </c>
      <c r="AL6300" s="4">
        <v>11</v>
      </c>
      <c r="AM6300" s="4">
        <v>11</v>
      </c>
      <c r="AN6300" s="4">
        <v>0</v>
      </c>
      <c r="AO6300" s="4">
        <v>0</v>
      </c>
      <c r="AP6300" s="4">
        <v>3</v>
      </c>
      <c r="AQ6300" s="4">
        <v>4</v>
      </c>
      <c r="AR6300" s="3" t="s">
        <v>62</v>
      </c>
      <c r="AS6300" s="3" t="s">
        <v>62</v>
      </c>
      <c r="AT6300" s="3" t="s">
        <v>62</v>
      </c>
      <c r="AV6300" s="6" t="str">
        <f>HYPERLINK("http://mcgill.on.worldcat.org/oclc/973221693","Catalog Record")</f>
        <v>Catalog Record</v>
      </c>
      <c r="AW6300" s="6" t="str">
        <f>HYPERLINK("http://www.worldcat.org/oclc/973221693","WorldCat Record")</f>
        <v>WorldCat Record</v>
      </c>
      <c r="AX6300" s="3" t="s">
        <v>60683</v>
      </c>
      <c r="AY6300" s="3" t="s">
        <v>60684</v>
      </c>
      <c r="AZ6300" s="3" t="s">
        <v>60685</v>
      </c>
      <c r="BA6300" s="3" t="s">
        <v>60685</v>
      </c>
      <c r="BB6300" s="3" t="s">
        <v>60686</v>
      </c>
      <c r="BC6300" s="3" t="s">
        <v>142</v>
      </c>
      <c r="BD6300" s="3" t="s">
        <v>68</v>
      </c>
      <c r="BE6300" s="3" t="s">
        <v>60687</v>
      </c>
      <c r="BF6300" s="3" t="s">
        <v>60686</v>
      </c>
      <c r="BG6300" s="3" t="s">
        <v>60688</v>
      </c>
    </row>
    <row r="6301" spans="1:59" ht="57" x14ac:dyDescent="0.45">
      <c r="A6301" s="2" t="s">
        <v>59</v>
      </c>
      <c r="B6301" s="2" t="s">
        <v>60</v>
      </c>
      <c r="C6301" s="2" t="s">
        <v>60689</v>
      </c>
      <c r="D6301" s="2" t="s">
        <v>60690</v>
      </c>
      <c r="E6301" s="2" t="s">
        <v>60691</v>
      </c>
      <c r="G6301" s="3" t="s">
        <v>62</v>
      </c>
      <c r="I6301" s="3" t="s">
        <v>62</v>
      </c>
      <c r="J6301" s="3" t="s">
        <v>62</v>
      </c>
      <c r="K6301" s="3" t="s">
        <v>63</v>
      </c>
      <c r="M6301" s="2" t="s">
        <v>60692</v>
      </c>
      <c r="N6301" s="3" t="s">
        <v>1059</v>
      </c>
      <c r="P6301" s="3" t="s">
        <v>65</v>
      </c>
      <c r="R6301" s="3" t="s">
        <v>66</v>
      </c>
      <c r="S6301" s="4">
        <v>22</v>
      </c>
      <c r="T6301" s="4">
        <v>22</v>
      </c>
      <c r="U6301" s="5" t="s">
        <v>24983</v>
      </c>
      <c r="V6301" s="5" t="s">
        <v>24983</v>
      </c>
      <c r="W6301" s="5" t="s">
        <v>67</v>
      </c>
      <c r="X6301" s="5" t="s">
        <v>67</v>
      </c>
      <c r="Y6301" s="4">
        <v>43</v>
      </c>
      <c r="Z6301" s="4">
        <v>5</v>
      </c>
      <c r="AA6301" s="4">
        <v>6</v>
      </c>
      <c r="AB6301" s="4">
        <v>1</v>
      </c>
      <c r="AC6301" s="4">
        <v>1</v>
      </c>
      <c r="AD6301" s="4">
        <v>22</v>
      </c>
      <c r="AE6301" s="4">
        <v>23</v>
      </c>
      <c r="AF6301" s="4">
        <v>0</v>
      </c>
      <c r="AG6301" s="4">
        <v>0</v>
      </c>
      <c r="AH6301" s="4">
        <v>22</v>
      </c>
      <c r="AI6301" s="4">
        <v>22</v>
      </c>
      <c r="AJ6301" s="4">
        <v>3</v>
      </c>
      <c r="AK6301" s="4">
        <v>3</v>
      </c>
      <c r="AL6301" s="4">
        <v>15</v>
      </c>
      <c r="AM6301" s="4">
        <v>15</v>
      </c>
      <c r="AN6301" s="4">
        <v>0</v>
      </c>
      <c r="AO6301" s="4">
        <v>0</v>
      </c>
      <c r="AP6301" s="4">
        <v>3</v>
      </c>
      <c r="AQ6301" s="4">
        <v>4</v>
      </c>
      <c r="AR6301" s="3" t="s">
        <v>62</v>
      </c>
      <c r="AS6301" s="3" t="s">
        <v>62</v>
      </c>
      <c r="AT6301" s="3" t="s">
        <v>62</v>
      </c>
      <c r="AV6301" s="6" t="str">
        <f>HYPERLINK("http://mcgill.on.worldcat.org/oclc/80968174","Catalog Record")</f>
        <v>Catalog Record</v>
      </c>
      <c r="AW6301" s="6" t="str">
        <f>HYPERLINK("http://www.worldcat.org/oclc/80968174","WorldCat Record")</f>
        <v>WorldCat Record</v>
      </c>
      <c r="AX6301" s="3" t="s">
        <v>60693</v>
      </c>
      <c r="AY6301" s="3" t="s">
        <v>60694</v>
      </c>
      <c r="AZ6301" s="3" t="s">
        <v>60695</v>
      </c>
      <c r="BA6301" s="3" t="s">
        <v>60695</v>
      </c>
      <c r="BB6301" s="3" t="s">
        <v>60696</v>
      </c>
      <c r="BC6301" s="3" t="s">
        <v>142</v>
      </c>
      <c r="BD6301" s="3" t="s">
        <v>68</v>
      </c>
      <c r="BE6301" s="3" t="s">
        <v>60697</v>
      </c>
      <c r="BF6301" s="3" t="s">
        <v>60696</v>
      </c>
      <c r="BG6301" s="3" t="s">
        <v>60698</v>
      </c>
    </row>
    <row r="6302" spans="1:59" ht="57" x14ac:dyDescent="0.45">
      <c r="A6302" s="2" t="s">
        <v>59</v>
      </c>
      <c r="B6302" s="2" t="s">
        <v>60</v>
      </c>
      <c r="C6302" s="2" t="s">
        <v>60699</v>
      </c>
      <c r="D6302" s="2" t="s">
        <v>60700</v>
      </c>
      <c r="E6302" s="2" t="s">
        <v>60701</v>
      </c>
      <c r="G6302" s="3" t="s">
        <v>62</v>
      </c>
      <c r="I6302" s="3" t="s">
        <v>62</v>
      </c>
      <c r="J6302" s="3" t="s">
        <v>62</v>
      </c>
      <c r="K6302" s="3" t="s">
        <v>63</v>
      </c>
      <c r="M6302" s="2" t="s">
        <v>60702</v>
      </c>
      <c r="N6302" s="3" t="s">
        <v>1059</v>
      </c>
      <c r="O6302" s="2" t="s">
        <v>60703</v>
      </c>
      <c r="P6302" s="3" t="s">
        <v>65</v>
      </c>
      <c r="Q6302" s="2" t="s">
        <v>60704</v>
      </c>
      <c r="R6302" s="3" t="s">
        <v>66</v>
      </c>
      <c r="S6302" s="4">
        <v>4</v>
      </c>
      <c r="T6302" s="4">
        <v>4</v>
      </c>
      <c r="U6302" s="5" t="s">
        <v>13134</v>
      </c>
      <c r="V6302" s="5" t="s">
        <v>13134</v>
      </c>
      <c r="W6302" s="5" t="s">
        <v>67</v>
      </c>
      <c r="X6302" s="5" t="s">
        <v>67</v>
      </c>
      <c r="Y6302" s="4">
        <v>47</v>
      </c>
      <c r="Z6302" s="4">
        <v>3</v>
      </c>
      <c r="AA6302" s="4">
        <v>6</v>
      </c>
      <c r="AB6302" s="4">
        <v>1</v>
      </c>
      <c r="AC6302" s="4">
        <v>2</v>
      </c>
      <c r="AD6302" s="4">
        <v>10</v>
      </c>
      <c r="AE6302" s="4">
        <v>12</v>
      </c>
      <c r="AF6302" s="4">
        <v>0</v>
      </c>
      <c r="AG6302" s="4">
        <v>1</v>
      </c>
      <c r="AH6302" s="4">
        <v>10</v>
      </c>
      <c r="AI6302" s="4">
        <v>11</v>
      </c>
      <c r="AJ6302" s="4">
        <v>2</v>
      </c>
      <c r="AK6302" s="4">
        <v>4</v>
      </c>
      <c r="AL6302" s="4">
        <v>8</v>
      </c>
      <c r="AM6302" s="4">
        <v>9</v>
      </c>
      <c r="AN6302" s="4">
        <v>0</v>
      </c>
      <c r="AO6302" s="4">
        <v>0</v>
      </c>
      <c r="AP6302" s="4">
        <v>2</v>
      </c>
      <c r="AQ6302" s="4">
        <v>3</v>
      </c>
      <c r="AR6302" s="3" t="s">
        <v>62</v>
      </c>
      <c r="AS6302" s="3" t="s">
        <v>62</v>
      </c>
      <c r="AT6302" s="3" t="s">
        <v>62</v>
      </c>
      <c r="AV6302" s="6" t="str">
        <f>HYPERLINK("http://mcgill.on.worldcat.org/oclc/70712556","Catalog Record")</f>
        <v>Catalog Record</v>
      </c>
      <c r="AW6302" s="6" t="str">
        <f>HYPERLINK("http://www.worldcat.org/oclc/70712556","WorldCat Record")</f>
        <v>WorldCat Record</v>
      </c>
      <c r="AX6302" s="3" t="s">
        <v>60705</v>
      </c>
      <c r="AY6302" s="3" t="s">
        <v>60706</v>
      </c>
      <c r="AZ6302" s="3" t="s">
        <v>60707</v>
      </c>
      <c r="BA6302" s="3" t="s">
        <v>60707</v>
      </c>
      <c r="BB6302" s="3" t="s">
        <v>60708</v>
      </c>
      <c r="BC6302" s="3" t="s">
        <v>142</v>
      </c>
      <c r="BD6302" s="3" t="s">
        <v>68</v>
      </c>
      <c r="BE6302" s="3" t="s">
        <v>60709</v>
      </c>
      <c r="BF6302" s="3" t="s">
        <v>60708</v>
      </c>
      <c r="BG6302" s="3" t="s">
        <v>60710</v>
      </c>
    </row>
    <row r="6303" spans="1:59" ht="57" x14ac:dyDescent="0.45">
      <c r="A6303" s="2" t="s">
        <v>59</v>
      </c>
      <c r="B6303" s="2" t="s">
        <v>60</v>
      </c>
      <c r="C6303" s="2" t="s">
        <v>60711</v>
      </c>
      <c r="D6303" s="2" t="s">
        <v>60712</v>
      </c>
      <c r="E6303" s="2" t="s">
        <v>60713</v>
      </c>
      <c r="G6303" s="3" t="s">
        <v>62</v>
      </c>
      <c r="I6303" s="3" t="s">
        <v>62</v>
      </c>
      <c r="J6303" s="3" t="s">
        <v>62</v>
      </c>
      <c r="K6303" s="3" t="s">
        <v>63</v>
      </c>
      <c r="M6303" s="2" t="s">
        <v>60714</v>
      </c>
      <c r="N6303" s="3" t="s">
        <v>894</v>
      </c>
      <c r="P6303" s="3" t="s">
        <v>65</v>
      </c>
      <c r="Q6303" s="2" t="s">
        <v>58551</v>
      </c>
      <c r="R6303" s="3" t="s">
        <v>66</v>
      </c>
      <c r="S6303" s="4">
        <v>8</v>
      </c>
      <c r="T6303" s="4">
        <v>8</v>
      </c>
      <c r="U6303" s="5" t="s">
        <v>3449</v>
      </c>
      <c r="V6303" s="5" t="s">
        <v>3449</v>
      </c>
      <c r="W6303" s="5" t="s">
        <v>67</v>
      </c>
      <c r="X6303" s="5" t="s">
        <v>67</v>
      </c>
      <c r="Y6303" s="4">
        <v>176</v>
      </c>
      <c r="Z6303" s="4">
        <v>31</v>
      </c>
      <c r="AA6303" s="4">
        <v>94</v>
      </c>
      <c r="AB6303" s="4">
        <v>2</v>
      </c>
      <c r="AC6303" s="4">
        <v>16</v>
      </c>
      <c r="AD6303" s="4">
        <v>79</v>
      </c>
      <c r="AE6303" s="4">
        <v>125</v>
      </c>
      <c r="AF6303" s="4">
        <v>1</v>
      </c>
      <c r="AG6303" s="4">
        <v>8</v>
      </c>
      <c r="AH6303" s="4">
        <v>65</v>
      </c>
      <c r="AI6303" s="4">
        <v>85</v>
      </c>
      <c r="AJ6303" s="4">
        <v>19</v>
      </c>
      <c r="AK6303" s="4">
        <v>27</v>
      </c>
      <c r="AL6303" s="4">
        <v>40</v>
      </c>
      <c r="AM6303" s="4">
        <v>50</v>
      </c>
      <c r="AN6303" s="4">
        <v>0</v>
      </c>
      <c r="AO6303" s="4">
        <v>0</v>
      </c>
      <c r="AP6303" s="4">
        <v>23</v>
      </c>
      <c r="AQ6303" s="4">
        <v>50</v>
      </c>
      <c r="AR6303" s="3" t="s">
        <v>61</v>
      </c>
      <c r="AS6303" s="3" t="s">
        <v>62</v>
      </c>
      <c r="AT6303" s="3" t="s">
        <v>62</v>
      </c>
      <c r="AV6303" s="6" t="str">
        <f>HYPERLINK("http://mcgill.on.worldcat.org/oclc/667805485","Catalog Record")</f>
        <v>Catalog Record</v>
      </c>
      <c r="AW6303" s="6" t="str">
        <f>HYPERLINK("http://www.worldcat.org/oclc/667805485","WorldCat Record")</f>
        <v>WorldCat Record</v>
      </c>
      <c r="AX6303" s="3" t="s">
        <v>60715</v>
      </c>
      <c r="AY6303" s="3" t="s">
        <v>60716</v>
      </c>
      <c r="AZ6303" s="3" t="s">
        <v>60717</v>
      </c>
      <c r="BA6303" s="3" t="s">
        <v>60717</v>
      </c>
      <c r="BB6303" s="3" t="s">
        <v>60718</v>
      </c>
      <c r="BC6303" s="3" t="s">
        <v>142</v>
      </c>
      <c r="BD6303" s="3" t="s">
        <v>68</v>
      </c>
      <c r="BE6303" s="3" t="s">
        <v>60719</v>
      </c>
      <c r="BF6303" s="3" t="s">
        <v>60718</v>
      </c>
      <c r="BG6303" s="3" t="s">
        <v>60720</v>
      </c>
    </row>
    <row r="6304" spans="1:59" ht="57" x14ac:dyDescent="0.45">
      <c r="A6304" s="2" t="s">
        <v>59</v>
      </c>
      <c r="B6304" s="2" t="s">
        <v>60</v>
      </c>
      <c r="C6304" s="2" t="s">
        <v>60721</v>
      </c>
      <c r="D6304" s="2" t="s">
        <v>60722</v>
      </c>
      <c r="E6304" s="2" t="s">
        <v>60723</v>
      </c>
      <c r="G6304" s="3" t="s">
        <v>62</v>
      </c>
      <c r="I6304" s="3" t="s">
        <v>62</v>
      </c>
      <c r="J6304" s="3" t="s">
        <v>62</v>
      </c>
      <c r="K6304" s="3" t="s">
        <v>63</v>
      </c>
      <c r="M6304" s="2" t="s">
        <v>3925</v>
      </c>
      <c r="N6304" s="3" t="s">
        <v>149</v>
      </c>
      <c r="P6304" s="3" t="s">
        <v>65</v>
      </c>
      <c r="Q6304" s="2" t="s">
        <v>60724</v>
      </c>
      <c r="R6304" s="3" t="s">
        <v>66</v>
      </c>
      <c r="S6304" s="4">
        <v>4</v>
      </c>
      <c r="T6304" s="4">
        <v>4</v>
      </c>
      <c r="U6304" s="5" t="s">
        <v>27350</v>
      </c>
      <c r="V6304" s="5" t="s">
        <v>27350</v>
      </c>
      <c r="W6304" s="5" t="s">
        <v>67</v>
      </c>
      <c r="X6304" s="5" t="s">
        <v>67</v>
      </c>
      <c r="Y6304" s="4">
        <v>110</v>
      </c>
      <c r="Z6304" s="4">
        <v>12</v>
      </c>
      <c r="AA6304" s="4">
        <v>96</v>
      </c>
      <c r="AB6304" s="4">
        <v>2</v>
      </c>
      <c r="AC6304" s="4">
        <v>17</v>
      </c>
      <c r="AD6304" s="4">
        <v>35</v>
      </c>
      <c r="AE6304" s="4">
        <v>111</v>
      </c>
      <c r="AF6304" s="4">
        <v>1</v>
      </c>
      <c r="AG6304" s="4">
        <v>8</v>
      </c>
      <c r="AH6304" s="4">
        <v>33</v>
      </c>
      <c r="AI6304" s="4">
        <v>77</v>
      </c>
      <c r="AJ6304" s="4">
        <v>10</v>
      </c>
      <c r="AK6304" s="4">
        <v>22</v>
      </c>
      <c r="AL6304" s="4">
        <v>19</v>
      </c>
      <c r="AM6304" s="4">
        <v>39</v>
      </c>
      <c r="AN6304" s="4">
        <v>0</v>
      </c>
      <c r="AO6304" s="4">
        <v>0</v>
      </c>
      <c r="AP6304" s="4">
        <v>10</v>
      </c>
      <c r="AQ6304" s="4">
        <v>43</v>
      </c>
      <c r="AR6304" s="3" t="s">
        <v>62</v>
      </c>
      <c r="AS6304" s="3" t="s">
        <v>62</v>
      </c>
      <c r="AT6304" s="3" t="s">
        <v>62</v>
      </c>
      <c r="AV6304" s="6" t="str">
        <f>HYPERLINK("http://mcgill.on.worldcat.org/oclc/553371009","Catalog Record")</f>
        <v>Catalog Record</v>
      </c>
      <c r="AW6304" s="6" t="str">
        <f>HYPERLINK("http://www.worldcat.org/oclc/553371009","WorldCat Record")</f>
        <v>WorldCat Record</v>
      </c>
      <c r="AX6304" s="3" t="s">
        <v>60725</v>
      </c>
      <c r="AY6304" s="3" t="s">
        <v>60726</v>
      </c>
      <c r="AZ6304" s="3" t="s">
        <v>60727</v>
      </c>
      <c r="BA6304" s="3" t="s">
        <v>60727</v>
      </c>
      <c r="BB6304" s="3" t="s">
        <v>60728</v>
      </c>
      <c r="BC6304" s="3" t="s">
        <v>142</v>
      </c>
      <c r="BD6304" s="3" t="s">
        <v>68</v>
      </c>
      <c r="BE6304" s="3" t="s">
        <v>60729</v>
      </c>
      <c r="BF6304" s="3" t="s">
        <v>60728</v>
      </c>
      <c r="BG6304" s="3" t="s">
        <v>60730</v>
      </c>
    </row>
    <row r="6305" spans="1:59" ht="57" x14ac:dyDescent="0.45">
      <c r="A6305" s="2" t="s">
        <v>59</v>
      </c>
      <c r="B6305" s="2" t="s">
        <v>60</v>
      </c>
      <c r="C6305" s="2" t="s">
        <v>60731</v>
      </c>
      <c r="D6305" s="2" t="s">
        <v>60732</v>
      </c>
      <c r="E6305" s="2" t="s">
        <v>60733</v>
      </c>
      <c r="G6305" s="3" t="s">
        <v>62</v>
      </c>
      <c r="I6305" s="3" t="s">
        <v>62</v>
      </c>
      <c r="J6305" s="3" t="s">
        <v>62</v>
      </c>
      <c r="K6305" s="3" t="s">
        <v>63</v>
      </c>
      <c r="M6305" s="2" t="s">
        <v>50029</v>
      </c>
      <c r="N6305" s="3" t="s">
        <v>1855</v>
      </c>
      <c r="P6305" s="3" t="s">
        <v>65</v>
      </c>
      <c r="Q6305" s="2" t="s">
        <v>60734</v>
      </c>
      <c r="R6305" s="3" t="s">
        <v>66</v>
      </c>
      <c r="S6305" s="4">
        <v>15</v>
      </c>
      <c r="T6305" s="4">
        <v>15</v>
      </c>
      <c r="U6305" s="5" t="s">
        <v>50798</v>
      </c>
      <c r="V6305" s="5" t="s">
        <v>50798</v>
      </c>
      <c r="W6305" s="5" t="s">
        <v>67</v>
      </c>
      <c r="X6305" s="5" t="s">
        <v>67</v>
      </c>
      <c r="Y6305" s="4">
        <v>122</v>
      </c>
      <c r="Z6305" s="4">
        <v>10</v>
      </c>
      <c r="AA6305" s="4">
        <v>96</v>
      </c>
      <c r="AB6305" s="4">
        <v>2</v>
      </c>
      <c r="AC6305" s="4">
        <v>17</v>
      </c>
      <c r="AD6305" s="4">
        <v>44</v>
      </c>
      <c r="AE6305" s="4">
        <v>109</v>
      </c>
      <c r="AF6305" s="4">
        <v>1</v>
      </c>
      <c r="AG6305" s="4">
        <v>8</v>
      </c>
      <c r="AH6305" s="4">
        <v>41</v>
      </c>
      <c r="AI6305" s="4">
        <v>75</v>
      </c>
      <c r="AJ6305" s="4">
        <v>8</v>
      </c>
      <c r="AK6305" s="4">
        <v>21</v>
      </c>
      <c r="AL6305" s="4">
        <v>26</v>
      </c>
      <c r="AM6305" s="4">
        <v>39</v>
      </c>
      <c r="AN6305" s="4">
        <v>0</v>
      </c>
      <c r="AO6305" s="4">
        <v>0</v>
      </c>
      <c r="AP6305" s="4">
        <v>8</v>
      </c>
      <c r="AQ6305" s="4">
        <v>42</v>
      </c>
      <c r="AR6305" s="3" t="s">
        <v>62</v>
      </c>
      <c r="AS6305" s="3" t="s">
        <v>62</v>
      </c>
      <c r="AT6305" s="3" t="s">
        <v>62</v>
      </c>
      <c r="AV6305" s="6" t="str">
        <f>HYPERLINK("http://mcgill.on.worldcat.org/oclc/57243427","Catalog Record")</f>
        <v>Catalog Record</v>
      </c>
      <c r="AW6305" s="6" t="str">
        <f>HYPERLINK("http://www.worldcat.org/oclc/57243427","WorldCat Record")</f>
        <v>WorldCat Record</v>
      </c>
      <c r="AX6305" s="3" t="s">
        <v>60735</v>
      </c>
      <c r="AY6305" s="3" t="s">
        <v>60736</v>
      </c>
      <c r="AZ6305" s="3" t="s">
        <v>60737</v>
      </c>
      <c r="BA6305" s="3" t="s">
        <v>60737</v>
      </c>
      <c r="BB6305" s="3" t="s">
        <v>60738</v>
      </c>
      <c r="BC6305" s="3" t="s">
        <v>142</v>
      </c>
      <c r="BD6305" s="3" t="s">
        <v>68</v>
      </c>
      <c r="BE6305" s="3" t="s">
        <v>60739</v>
      </c>
      <c r="BF6305" s="3" t="s">
        <v>60738</v>
      </c>
      <c r="BG6305" s="3" t="s">
        <v>60740</v>
      </c>
    </row>
    <row r="6306" spans="1:59" ht="57" x14ac:dyDescent="0.45">
      <c r="A6306" s="2" t="s">
        <v>59</v>
      </c>
      <c r="B6306" s="2" t="s">
        <v>60</v>
      </c>
      <c r="C6306" s="2" t="s">
        <v>60741</v>
      </c>
      <c r="D6306" s="2" t="s">
        <v>60742</v>
      </c>
      <c r="E6306" s="2" t="s">
        <v>60743</v>
      </c>
      <c r="G6306" s="3" t="s">
        <v>62</v>
      </c>
      <c r="I6306" s="3" t="s">
        <v>62</v>
      </c>
      <c r="J6306" s="3" t="s">
        <v>62</v>
      </c>
      <c r="K6306" s="3" t="s">
        <v>63</v>
      </c>
      <c r="M6306" s="2" t="s">
        <v>8226</v>
      </c>
      <c r="N6306" s="3" t="s">
        <v>1855</v>
      </c>
      <c r="P6306" s="3" t="s">
        <v>65</v>
      </c>
      <c r="Q6306" s="2" t="s">
        <v>60744</v>
      </c>
      <c r="R6306" s="3" t="s">
        <v>66</v>
      </c>
      <c r="S6306" s="4">
        <v>17</v>
      </c>
      <c r="T6306" s="4">
        <v>17</v>
      </c>
      <c r="U6306" s="5" t="s">
        <v>9777</v>
      </c>
      <c r="V6306" s="5" t="s">
        <v>9777</v>
      </c>
      <c r="W6306" s="5" t="s">
        <v>67</v>
      </c>
      <c r="X6306" s="5" t="s">
        <v>67</v>
      </c>
      <c r="Y6306" s="4">
        <v>159</v>
      </c>
      <c r="Z6306" s="4">
        <v>13</v>
      </c>
      <c r="AA6306" s="4">
        <v>74</v>
      </c>
      <c r="AB6306" s="4">
        <v>2</v>
      </c>
      <c r="AC6306" s="4">
        <v>14</v>
      </c>
      <c r="AD6306" s="4">
        <v>46</v>
      </c>
      <c r="AE6306" s="4">
        <v>96</v>
      </c>
      <c r="AF6306" s="4">
        <v>1</v>
      </c>
      <c r="AG6306" s="4">
        <v>8</v>
      </c>
      <c r="AH6306" s="4">
        <v>42</v>
      </c>
      <c r="AI6306" s="4">
        <v>67</v>
      </c>
      <c r="AJ6306" s="4">
        <v>8</v>
      </c>
      <c r="AK6306" s="4">
        <v>18</v>
      </c>
      <c r="AL6306" s="4">
        <v>24</v>
      </c>
      <c r="AM6306" s="4">
        <v>33</v>
      </c>
      <c r="AN6306" s="4">
        <v>0</v>
      </c>
      <c r="AO6306" s="4">
        <v>0</v>
      </c>
      <c r="AP6306" s="4">
        <v>9</v>
      </c>
      <c r="AQ6306" s="4">
        <v>37</v>
      </c>
      <c r="AR6306" s="3" t="s">
        <v>62</v>
      </c>
      <c r="AS6306" s="3" t="s">
        <v>62</v>
      </c>
      <c r="AT6306" s="3" t="s">
        <v>61</v>
      </c>
      <c r="AU6306" s="6" t="str">
        <f>HYPERLINK("http://catalog.hathitrust.org/Record/005066964","HathiTrust Record")</f>
        <v>HathiTrust Record</v>
      </c>
      <c r="AV6306" s="6" t="str">
        <f>HYPERLINK("http://mcgill.on.worldcat.org/oclc/56599797","Catalog Record")</f>
        <v>Catalog Record</v>
      </c>
      <c r="AW6306" s="6" t="str">
        <f>HYPERLINK("http://www.worldcat.org/oclc/56599797","WorldCat Record")</f>
        <v>WorldCat Record</v>
      </c>
      <c r="AX6306" s="3" t="s">
        <v>60745</v>
      </c>
      <c r="AY6306" s="3" t="s">
        <v>60746</v>
      </c>
      <c r="AZ6306" s="3" t="s">
        <v>60747</v>
      </c>
      <c r="BA6306" s="3" t="s">
        <v>60747</v>
      </c>
      <c r="BB6306" s="3" t="s">
        <v>60748</v>
      </c>
      <c r="BC6306" s="3" t="s">
        <v>142</v>
      </c>
      <c r="BD6306" s="3" t="s">
        <v>68</v>
      </c>
      <c r="BE6306" s="3" t="s">
        <v>60749</v>
      </c>
      <c r="BF6306" s="3" t="s">
        <v>60748</v>
      </c>
      <c r="BG6306" s="3" t="s">
        <v>60750</v>
      </c>
    </row>
    <row r="6307" spans="1:59" ht="57" x14ac:dyDescent="0.45">
      <c r="A6307" s="2" t="s">
        <v>59</v>
      </c>
      <c r="B6307" s="2" t="s">
        <v>60</v>
      </c>
      <c r="C6307" s="2" t="s">
        <v>60751</v>
      </c>
      <c r="D6307" s="2" t="s">
        <v>60752</v>
      </c>
      <c r="E6307" s="2" t="s">
        <v>60753</v>
      </c>
      <c r="G6307" s="3" t="s">
        <v>62</v>
      </c>
      <c r="I6307" s="3" t="s">
        <v>62</v>
      </c>
      <c r="J6307" s="3" t="s">
        <v>62</v>
      </c>
      <c r="K6307" s="3" t="s">
        <v>63</v>
      </c>
      <c r="M6307" s="2" t="s">
        <v>60754</v>
      </c>
      <c r="N6307" s="3" t="s">
        <v>1059</v>
      </c>
      <c r="P6307" s="3" t="s">
        <v>65</v>
      </c>
      <c r="Q6307" s="2" t="s">
        <v>60755</v>
      </c>
      <c r="R6307" s="3" t="s">
        <v>66</v>
      </c>
      <c r="S6307" s="4">
        <v>8</v>
      </c>
      <c r="T6307" s="4">
        <v>8</v>
      </c>
      <c r="U6307" s="5" t="s">
        <v>7890</v>
      </c>
      <c r="V6307" s="5" t="s">
        <v>7890</v>
      </c>
      <c r="W6307" s="5" t="s">
        <v>67</v>
      </c>
      <c r="X6307" s="5" t="s">
        <v>67</v>
      </c>
      <c r="Y6307" s="4">
        <v>138</v>
      </c>
      <c r="Z6307" s="4">
        <v>14</v>
      </c>
      <c r="AA6307" s="4">
        <v>16</v>
      </c>
      <c r="AB6307" s="4">
        <v>2</v>
      </c>
      <c r="AC6307" s="4">
        <v>2</v>
      </c>
      <c r="AD6307" s="4">
        <v>63</v>
      </c>
      <c r="AE6307" s="4">
        <v>67</v>
      </c>
      <c r="AF6307" s="4">
        <v>1</v>
      </c>
      <c r="AG6307" s="4">
        <v>1</v>
      </c>
      <c r="AH6307" s="4">
        <v>58</v>
      </c>
      <c r="AI6307" s="4">
        <v>61</v>
      </c>
      <c r="AJ6307" s="4">
        <v>12</v>
      </c>
      <c r="AK6307" s="4">
        <v>12</v>
      </c>
      <c r="AL6307" s="4">
        <v>35</v>
      </c>
      <c r="AM6307" s="4">
        <v>36</v>
      </c>
      <c r="AN6307" s="4">
        <v>0</v>
      </c>
      <c r="AO6307" s="4">
        <v>0</v>
      </c>
      <c r="AP6307" s="4">
        <v>12</v>
      </c>
      <c r="AQ6307" s="4">
        <v>13</v>
      </c>
      <c r="AR6307" s="3" t="s">
        <v>62</v>
      </c>
      <c r="AS6307" s="3" t="s">
        <v>62</v>
      </c>
      <c r="AT6307" s="3" t="s">
        <v>62</v>
      </c>
      <c r="AV6307" s="6" t="str">
        <f>HYPERLINK("http://mcgill.on.worldcat.org/oclc/63401898","Catalog Record")</f>
        <v>Catalog Record</v>
      </c>
      <c r="AW6307" s="6" t="str">
        <f>HYPERLINK("http://www.worldcat.org/oclc/63401898","WorldCat Record")</f>
        <v>WorldCat Record</v>
      </c>
      <c r="AX6307" s="3" t="s">
        <v>60756</v>
      </c>
      <c r="AY6307" s="3" t="s">
        <v>60757</v>
      </c>
      <c r="AZ6307" s="3" t="s">
        <v>60758</v>
      </c>
      <c r="BA6307" s="3" t="s">
        <v>60758</v>
      </c>
      <c r="BB6307" s="3" t="s">
        <v>60759</v>
      </c>
      <c r="BC6307" s="3" t="s">
        <v>142</v>
      </c>
      <c r="BD6307" s="3" t="s">
        <v>68</v>
      </c>
      <c r="BE6307" s="3" t="s">
        <v>60760</v>
      </c>
      <c r="BF6307" s="3" t="s">
        <v>60759</v>
      </c>
      <c r="BG6307" s="3" t="s">
        <v>60761</v>
      </c>
    </row>
    <row r="6308" spans="1:59" ht="57" x14ac:dyDescent="0.45">
      <c r="A6308" s="2" t="s">
        <v>59</v>
      </c>
      <c r="B6308" s="2" t="s">
        <v>60</v>
      </c>
      <c r="C6308" s="2" t="s">
        <v>60762</v>
      </c>
      <c r="D6308" s="2" t="s">
        <v>60763</v>
      </c>
      <c r="E6308" s="2" t="s">
        <v>60764</v>
      </c>
      <c r="G6308" s="3" t="s">
        <v>62</v>
      </c>
      <c r="I6308" s="3" t="s">
        <v>62</v>
      </c>
      <c r="J6308" s="3" t="s">
        <v>62</v>
      </c>
      <c r="K6308" s="3" t="s">
        <v>63</v>
      </c>
      <c r="M6308" s="2" t="s">
        <v>60765</v>
      </c>
      <c r="N6308" s="3" t="s">
        <v>149</v>
      </c>
      <c r="P6308" s="3" t="s">
        <v>65</v>
      </c>
      <c r="R6308" s="3" t="s">
        <v>66</v>
      </c>
      <c r="S6308" s="4">
        <v>8</v>
      </c>
      <c r="T6308" s="4">
        <v>8</v>
      </c>
      <c r="U6308" s="5" t="s">
        <v>3232</v>
      </c>
      <c r="V6308" s="5" t="s">
        <v>3232</v>
      </c>
      <c r="W6308" s="5" t="s">
        <v>67</v>
      </c>
      <c r="X6308" s="5" t="s">
        <v>67</v>
      </c>
      <c r="Y6308" s="4">
        <v>237</v>
      </c>
      <c r="Z6308" s="4">
        <v>14</v>
      </c>
      <c r="AA6308" s="4">
        <v>71</v>
      </c>
      <c r="AB6308" s="4">
        <v>1</v>
      </c>
      <c r="AC6308" s="4">
        <v>15</v>
      </c>
      <c r="AD6308" s="4">
        <v>77</v>
      </c>
      <c r="AE6308" s="4">
        <v>117</v>
      </c>
      <c r="AF6308" s="4">
        <v>0</v>
      </c>
      <c r="AG6308" s="4">
        <v>8</v>
      </c>
      <c r="AH6308" s="4">
        <v>71</v>
      </c>
      <c r="AI6308" s="4">
        <v>88</v>
      </c>
      <c r="AJ6308" s="4">
        <v>9</v>
      </c>
      <c r="AK6308" s="4">
        <v>19</v>
      </c>
      <c r="AL6308" s="4">
        <v>42</v>
      </c>
      <c r="AM6308" s="4">
        <v>48</v>
      </c>
      <c r="AN6308" s="4">
        <v>5</v>
      </c>
      <c r="AO6308" s="4">
        <v>5</v>
      </c>
      <c r="AP6308" s="4">
        <v>11</v>
      </c>
      <c r="AQ6308" s="4">
        <v>36</v>
      </c>
      <c r="AR6308" s="3" t="s">
        <v>62</v>
      </c>
      <c r="AS6308" s="3" t="s">
        <v>62</v>
      </c>
      <c r="AT6308" s="3" t="s">
        <v>61</v>
      </c>
      <c r="AU6308" s="6" t="str">
        <f>HYPERLINK("http://catalog.hathitrust.org/Record/011244613","HathiTrust Record")</f>
        <v>HathiTrust Record</v>
      </c>
      <c r="AV6308" s="6" t="str">
        <f>HYPERLINK("http://mcgill.on.worldcat.org/oclc/475454085","Catalog Record")</f>
        <v>Catalog Record</v>
      </c>
      <c r="AW6308" s="6" t="str">
        <f>HYPERLINK("http://www.worldcat.org/oclc/475454085","WorldCat Record")</f>
        <v>WorldCat Record</v>
      </c>
      <c r="AX6308" s="3" t="s">
        <v>60766</v>
      </c>
      <c r="AY6308" s="3" t="s">
        <v>60767</v>
      </c>
      <c r="AZ6308" s="3" t="s">
        <v>60768</v>
      </c>
      <c r="BA6308" s="3" t="s">
        <v>60768</v>
      </c>
      <c r="BB6308" s="3" t="s">
        <v>60769</v>
      </c>
      <c r="BC6308" s="3" t="s">
        <v>142</v>
      </c>
      <c r="BD6308" s="3" t="s">
        <v>308</v>
      </c>
      <c r="BE6308" s="3" t="s">
        <v>60770</v>
      </c>
      <c r="BF6308" s="3" t="s">
        <v>60769</v>
      </c>
      <c r="BG6308" s="3" t="s">
        <v>60771</v>
      </c>
    </row>
    <row r="6309" spans="1:59" ht="57" x14ac:dyDescent="0.45">
      <c r="A6309" s="2" t="s">
        <v>59</v>
      </c>
      <c r="B6309" s="2" t="s">
        <v>60</v>
      </c>
      <c r="C6309" s="2" t="s">
        <v>60772</v>
      </c>
      <c r="D6309" s="2" t="s">
        <v>60773</v>
      </c>
      <c r="E6309" s="2" t="s">
        <v>60774</v>
      </c>
      <c r="G6309" s="3" t="s">
        <v>62</v>
      </c>
      <c r="I6309" s="3" t="s">
        <v>62</v>
      </c>
      <c r="J6309" s="3" t="s">
        <v>62</v>
      </c>
      <c r="K6309" s="3" t="s">
        <v>63</v>
      </c>
      <c r="M6309" s="2" t="s">
        <v>60775</v>
      </c>
      <c r="N6309" s="3" t="s">
        <v>918</v>
      </c>
      <c r="P6309" s="3" t="s">
        <v>65</v>
      </c>
      <c r="Q6309" s="2" t="s">
        <v>60776</v>
      </c>
      <c r="R6309" s="3" t="s">
        <v>66</v>
      </c>
      <c r="S6309" s="4">
        <v>22</v>
      </c>
      <c r="T6309" s="4">
        <v>22</v>
      </c>
      <c r="U6309" s="5" t="s">
        <v>43001</v>
      </c>
      <c r="V6309" s="5" t="s">
        <v>43001</v>
      </c>
      <c r="W6309" s="5" t="s">
        <v>67</v>
      </c>
      <c r="X6309" s="5" t="s">
        <v>67</v>
      </c>
      <c r="Y6309" s="4">
        <v>100</v>
      </c>
      <c r="Z6309" s="4">
        <v>10</v>
      </c>
      <c r="AA6309" s="4">
        <v>13</v>
      </c>
      <c r="AB6309" s="4">
        <v>1</v>
      </c>
      <c r="AC6309" s="4">
        <v>4</v>
      </c>
      <c r="AD6309" s="4">
        <v>38</v>
      </c>
      <c r="AE6309" s="4">
        <v>40</v>
      </c>
      <c r="AF6309" s="4">
        <v>0</v>
      </c>
      <c r="AG6309" s="4">
        <v>2</v>
      </c>
      <c r="AH6309" s="4">
        <v>32</v>
      </c>
      <c r="AI6309" s="4">
        <v>32</v>
      </c>
      <c r="AJ6309" s="4">
        <v>7</v>
      </c>
      <c r="AK6309" s="4">
        <v>8</v>
      </c>
      <c r="AL6309" s="4">
        <v>24</v>
      </c>
      <c r="AM6309" s="4">
        <v>24</v>
      </c>
      <c r="AN6309" s="4">
        <v>0</v>
      </c>
      <c r="AO6309" s="4">
        <v>0</v>
      </c>
      <c r="AP6309" s="4">
        <v>8</v>
      </c>
      <c r="AQ6309" s="4">
        <v>9</v>
      </c>
      <c r="AR6309" s="3" t="s">
        <v>62</v>
      </c>
      <c r="AS6309" s="3" t="s">
        <v>62</v>
      </c>
      <c r="AT6309" s="3" t="s">
        <v>62</v>
      </c>
      <c r="AV6309" s="6" t="str">
        <f>HYPERLINK("http://mcgill.on.worldcat.org/oclc/53805633","Catalog Record")</f>
        <v>Catalog Record</v>
      </c>
      <c r="AW6309" s="6" t="str">
        <f>HYPERLINK("http://www.worldcat.org/oclc/53805633","WorldCat Record")</f>
        <v>WorldCat Record</v>
      </c>
      <c r="AX6309" s="3" t="s">
        <v>60777</v>
      </c>
      <c r="AY6309" s="3" t="s">
        <v>60778</v>
      </c>
      <c r="AZ6309" s="3" t="s">
        <v>60779</v>
      </c>
      <c r="BA6309" s="3" t="s">
        <v>60779</v>
      </c>
      <c r="BB6309" s="3" t="s">
        <v>60780</v>
      </c>
      <c r="BC6309" s="3" t="s">
        <v>142</v>
      </c>
      <c r="BD6309" s="3" t="s">
        <v>68</v>
      </c>
      <c r="BE6309" s="3" t="s">
        <v>60781</v>
      </c>
      <c r="BF6309" s="3" t="s">
        <v>60780</v>
      </c>
      <c r="BG6309" s="3" t="s">
        <v>60782</v>
      </c>
    </row>
    <row r="6310" spans="1:59" ht="57" x14ac:dyDescent="0.45">
      <c r="A6310" s="2" t="s">
        <v>59</v>
      </c>
      <c r="B6310" s="2" t="s">
        <v>60</v>
      </c>
      <c r="C6310" s="2" t="s">
        <v>60783</v>
      </c>
      <c r="D6310" s="2" t="s">
        <v>60784</v>
      </c>
      <c r="E6310" s="2" t="s">
        <v>60785</v>
      </c>
      <c r="G6310" s="3" t="s">
        <v>62</v>
      </c>
      <c r="I6310" s="3" t="s">
        <v>62</v>
      </c>
      <c r="J6310" s="3" t="s">
        <v>62</v>
      </c>
      <c r="K6310" s="3" t="s">
        <v>63</v>
      </c>
      <c r="M6310" s="2" t="s">
        <v>60786</v>
      </c>
      <c r="N6310" s="3" t="s">
        <v>1465</v>
      </c>
      <c r="P6310" s="3" t="s">
        <v>65</v>
      </c>
      <c r="R6310" s="3" t="s">
        <v>66</v>
      </c>
      <c r="S6310" s="4">
        <v>4</v>
      </c>
      <c r="T6310" s="4">
        <v>4</v>
      </c>
      <c r="U6310" s="5" t="s">
        <v>20929</v>
      </c>
      <c r="V6310" s="5" t="s">
        <v>20929</v>
      </c>
      <c r="W6310" s="5" t="s">
        <v>67</v>
      </c>
      <c r="X6310" s="5" t="s">
        <v>67</v>
      </c>
      <c r="Y6310" s="4">
        <v>86</v>
      </c>
      <c r="Z6310" s="4">
        <v>13</v>
      </c>
      <c r="AA6310" s="4">
        <v>20</v>
      </c>
      <c r="AB6310" s="4">
        <v>3</v>
      </c>
      <c r="AC6310" s="4">
        <v>9</v>
      </c>
      <c r="AD6310" s="4">
        <v>28</v>
      </c>
      <c r="AE6310" s="4">
        <v>35</v>
      </c>
      <c r="AF6310" s="4">
        <v>1</v>
      </c>
      <c r="AG6310" s="4">
        <v>4</v>
      </c>
      <c r="AH6310" s="4">
        <v>25</v>
      </c>
      <c r="AI6310" s="4">
        <v>29</v>
      </c>
      <c r="AJ6310" s="4">
        <v>10</v>
      </c>
      <c r="AK6310" s="4">
        <v>12</v>
      </c>
      <c r="AL6310" s="4">
        <v>14</v>
      </c>
      <c r="AM6310" s="4">
        <v>16</v>
      </c>
      <c r="AN6310" s="4">
        <v>0</v>
      </c>
      <c r="AO6310" s="4">
        <v>0</v>
      </c>
      <c r="AP6310" s="4">
        <v>10</v>
      </c>
      <c r="AQ6310" s="4">
        <v>13</v>
      </c>
      <c r="AR6310" s="3" t="s">
        <v>62</v>
      </c>
      <c r="AS6310" s="3" t="s">
        <v>62</v>
      </c>
      <c r="AT6310" s="3" t="s">
        <v>62</v>
      </c>
      <c r="AV6310" s="6" t="str">
        <f>HYPERLINK("http://mcgill.on.worldcat.org/oclc/294998693","Catalog Record")</f>
        <v>Catalog Record</v>
      </c>
      <c r="AW6310" s="6" t="str">
        <f>HYPERLINK("http://www.worldcat.org/oclc/294998693","WorldCat Record")</f>
        <v>WorldCat Record</v>
      </c>
      <c r="AX6310" s="3" t="s">
        <v>60787</v>
      </c>
      <c r="AY6310" s="3" t="s">
        <v>60788</v>
      </c>
      <c r="AZ6310" s="3" t="s">
        <v>60789</v>
      </c>
      <c r="BA6310" s="3" t="s">
        <v>60789</v>
      </c>
      <c r="BB6310" s="3" t="s">
        <v>60790</v>
      </c>
      <c r="BC6310" s="3" t="s">
        <v>142</v>
      </c>
      <c r="BD6310" s="3" t="s">
        <v>68</v>
      </c>
      <c r="BE6310" s="3" t="s">
        <v>60791</v>
      </c>
      <c r="BF6310" s="3" t="s">
        <v>60790</v>
      </c>
      <c r="BG6310" s="3" t="s">
        <v>60792</v>
      </c>
    </row>
    <row r="6311" spans="1:59" ht="57" x14ac:dyDescent="0.45">
      <c r="A6311" s="2" t="s">
        <v>59</v>
      </c>
      <c r="B6311" s="2" t="s">
        <v>60</v>
      </c>
      <c r="C6311" s="2" t="s">
        <v>60793</v>
      </c>
      <c r="D6311" s="2" t="s">
        <v>60794</v>
      </c>
      <c r="E6311" s="2" t="s">
        <v>60795</v>
      </c>
      <c r="G6311" s="3" t="s">
        <v>62</v>
      </c>
      <c r="I6311" s="3" t="s">
        <v>62</v>
      </c>
      <c r="J6311" s="3" t="s">
        <v>62</v>
      </c>
      <c r="K6311" s="3" t="s">
        <v>63</v>
      </c>
      <c r="M6311" s="2" t="s">
        <v>60796</v>
      </c>
      <c r="N6311" s="3" t="s">
        <v>1059</v>
      </c>
      <c r="P6311" s="3" t="s">
        <v>65</v>
      </c>
      <c r="Q6311" s="2" t="s">
        <v>60797</v>
      </c>
      <c r="R6311" s="3" t="s">
        <v>66</v>
      </c>
      <c r="S6311" s="4">
        <v>11</v>
      </c>
      <c r="T6311" s="4">
        <v>11</v>
      </c>
      <c r="U6311" s="5" t="s">
        <v>733</v>
      </c>
      <c r="V6311" s="5" t="s">
        <v>733</v>
      </c>
      <c r="W6311" s="5" t="s">
        <v>67</v>
      </c>
      <c r="X6311" s="5" t="s">
        <v>67</v>
      </c>
      <c r="Y6311" s="4">
        <v>119</v>
      </c>
      <c r="Z6311" s="4">
        <v>13</v>
      </c>
      <c r="AA6311" s="4">
        <v>99</v>
      </c>
      <c r="AB6311" s="4">
        <v>2</v>
      </c>
      <c r="AC6311" s="4">
        <v>17</v>
      </c>
      <c r="AD6311" s="4">
        <v>50</v>
      </c>
      <c r="AE6311" s="4">
        <v>116</v>
      </c>
      <c r="AF6311" s="4">
        <v>1</v>
      </c>
      <c r="AG6311" s="4">
        <v>8</v>
      </c>
      <c r="AH6311" s="4">
        <v>45</v>
      </c>
      <c r="AI6311" s="4">
        <v>79</v>
      </c>
      <c r="AJ6311" s="4">
        <v>8</v>
      </c>
      <c r="AK6311" s="4">
        <v>22</v>
      </c>
      <c r="AL6311" s="4">
        <v>33</v>
      </c>
      <c r="AM6311" s="4">
        <v>45</v>
      </c>
      <c r="AN6311" s="4">
        <v>0</v>
      </c>
      <c r="AO6311" s="4">
        <v>0</v>
      </c>
      <c r="AP6311" s="4">
        <v>10</v>
      </c>
      <c r="AQ6311" s="4">
        <v>45</v>
      </c>
      <c r="AR6311" s="3" t="s">
        <v>62</v>
      </c>
      <c r="AS6311" s="3" t="s">
        <v>62</v>
      </c>
      <c r="AT6311" s="3" t="s">
        <v>62</v>
      </c>
      <c r="AV6311" s="6" t="str">
        <f>HYPERLINK("http://mcgill.on.worldcat.org/oclc/63514433","Catalog Record")</f>
        <v>Catalog Record</v>
      </c>
      <c r="AW6311" s="6" t="str">
        <f>HYPERLINK("http://www.worldcat.org/oclc/63514433","WorldCat Record")</f>
        <v>WorldCat Record</v>
      </c>
      <c r="AX6311" s="3" t="s">
        <v>60798</v>
      </c>
      <c r="AY6311" s="3" t="s">
        <v>60799</v>
      </c>
      <c r="AZ6311" s="3" t="s">
        <v>60800</v>
      </c>
      <c r="BA6311" s="3" t="s">
        <v>60800</v>
      </c>
      <c r="BB6311" s="3" t="s">
        <v>60801</v>
      </c>
      <c r="BC6311" s="3" t="s">
        <v>142</v>
      </c>
      <c r="BD6311" s="3" t="s">
        <v>68</v>
      </c>
      <c r="BE6311" s="3" t="s">
        <v>60802</v>
      </c>
      <c r="BF6311" s="3" t="s">
        <v>60801</v>
      </c>
      <c r="BG6311" s="3" t="s">
        <v>60803</v>
      </c>
    </row>
    <row r="6312" spans="1:59" ht="57" x14ac:dyDescent="0.45">
      <c r="A6312" s="2" t="s">
        <v>59</v>
      </c>
      <c r="B6312" s="2" t="s">
        <v>60</v>
      </c>
      <c r="C6312" s="2" t="s">
        <v>60804</v>
      </c>
      <c r="D6312" s="2" t="s">
        <v>60805</v>
      </c>
      <c r="E6312" s="2" t="s">
        <v>60806</v>
      </c>
      <c r="G6312" s="3" t="s">
        <v>62</v>
      </c>
      <c r="I6312" s="3" t="s">
        <v>62</v>
      </c>
      <c r="J6312" s="3" t="s">
        <v>62</v>
      </c>
      <c r="K6312" s="3" t="s">
        <v>63</v>
      </c>
      <c r="L6312" s="2" t="s">
        <v>60807</v>
      </c>
      <c r="M6312" s="2" t="s">
        <v>1829</v>
      </c>
      <c r="N6312" s="3" t="s">
        <v>1437</v>
      </c>
      <c r="P6312" s="3" t="s">
        <v>65</v>
      </c>
      <c r="R6312" s="3" t="s">
        <v>66</v>
      </c>
      <c r="S6312" s="4">
        <v>89</v>
      </c>
      <c r="T6312" s="4">
        <v>89</v>
      </c>
      <c r="U6312" s="5" t="s">
        <v>39557</v>
      </c>
      <c r="V6312" s="5" t="s">
        <v>39557</v>
      </c>
      <c r="W6312" s="5" t="s">
        <v>67</v>
      </c>
      <c r="X6312" s="5" t="s">
        <v>67</v>
      </c>
      <c r="Y6312" s="4">
        <v>477</v>
      </c>
      <c r="Z6312" s="4">
        <v>26</v>
      </c>
      <c r="AA6312" s="4">
        <v>122</v>
      </c>
      <c r="AB6312" s="4">
        <v>2</v>
      </c>
      <c r="AC6312" s="4">
        <v>22</v>
      </c>
      <c r="AD6312" s="4">
        <v>107</v>
      </c>
      <c r="AE6312" s="4">
        <v>155</v>
      </c>
      <c r="AF6312" s="4">
        <v>1</v>
      </c>
      <c r="AG6312" s="4">
        <v>9</v>
      </c>
      <c r="AH6312" s="4">
        <v>92</v>
      </c>
      <c r="AI6312" s="4">
        <v>106</v>
      </c>
      <c r="AJ6312" s="4">
        <v>16</v>
      </c>
      <c r="AK6312" s="4">
        <v>27</v>
      </c>
      <c r="AL6312" s="4">
        <v>50</v>
      </c>
      <c r="AM6312" s="4">
        <v>55</v>
      </c>
      <c r="AN6312" s="4">
        <v>0</v>
      </c>
      <c r="AO6312" s="4">
        <v>0</v>
      </c>
      <c r="AP6312" s="4">
        <v>21</v>
      </c>
      <c r="AQ6312" s="4">
        <v>57</v>
      </c>
      <c r="AR6312" s="3" t="s">
        <v>62</v>
      </c>
      <c r="AS6312" s="3" t="s">
        <v>62</v>
      </c>
      <c r="AT6312" s="3" t="s">
        <v>62</v>
      </c>
      <c r="AV6312" s="6" t="str">
        <f>HYPERLINK("http://mcgill.on.worldcat.org/oclc/38295174","Catalog Record")</f>
        <v>Catalog Record</v>
      </c>
      <c r="AW6312" s="6" t="str">
        <f>HYPERLINK("http://www.worldcat.org/oclc/38295174","WorldCat Record")</f>
        <v>WorldCat Record</v>
      </c>
      <c r="AX6312" s="3" t="s">
        <v>60808</v>
      </c>
      <c r="AY6312" s="3" t="s">
        <v>60809</v>
      </c>
      <c r="AZ6312" s="3" t="s">
        <v>60810</v>
      </c>
      <c r="BA6312" s="3" t="s">
        <v>60810</v>
      </c>
      <c r="BB6312" s="3" t="s">
        <v>60811</v>
      </c>
      <c r="BC6312" s="3" t="s">
        <v>142</v>
      </c>
      <c r="BD6312" s="3" t="s">
        <v>308</v>
      </c>
      <c r="BE6312" s="3" t="s">
        <v>60812</v>
      </c>
      <c r="BF6312" s="3" t="s">
        <v>60811</v>
      </c>
      <c r="BG6312" s="3" t="s">
        <v>60813</v>
      </c>
    </row>
    <row r="6313" spans="1:59" ht="57" x14ac:dyDescent="0.45">
      <c r="A6313" s="2" t="s">
        <v>59</v>
      </c>
      <c r="B6313" s="2" t="s">
        <v>60</v>
      </c>
      <c r="C6313" s="2" t="s">
        <v>60814</v>
      </c>
      <c r="D6313" s="2" t="s">
        <v>60815</v>
      </c>
      <c r="E6313" s="2" t="s">
        <v>60816</v>
      </c>
      <c r="G6313" s="3" t="s">
        <v>62</v>
      </c>
      <c r="I6313" s="3" t="s">
        <v>62</v>
      </c>
      <c r="J6313" s="3" t="s">
        <v>61</v>
      </c>
      <c r="K6313" s="3" t="s">
        <v>63</v>
      </c>
      <c r="L6313" s="2" t="s">
        <v>60807</v>
      </c>
      <c r="M6313" s="2" t="s">
        <v>31234</v>
      </c>
      <c r="N6313" s="3" t="s">
        <v>958</v>
      </c>
      <c r="P6313" s="3" t="s">
        <v>65</v>
      </c>
      <c r="Q6313" s="2" t="s">
        <v>59860</v>
      </c>
      <c r="R6313" s="3" t="s">
        <v>66</v>
      </c>
      <c r="S6313" s="4">
        <v>92</v>
      </c>
      <c r="T6313" s="4">
        <v>92</v>
      </c>
      <c r="U6313" s="5" t="s">
        <v>21690</v>
      </c>
      <c r="V6313" s="5" t="s">
        <v>21690</v>
      </c>
      <c r="W6313" s="5" t="s">
        <v>67</v>
      </c>
      <c r="X6313" s="5" t="s">
        <v>67</v>
      </c>
      <c r="Y6313" s="4">
        <v>404</v>
      </c>
      <c r="Z6313" s="4">
        <v>18</v>
      </c>
      <c r="AA6313" s="4">
        <v>100</v>
      </c>
      <c r="AB6313" s="4">
        <v>1</v>
      </c>
      <c r="AC6313" s="4">
        <v>21</v>
      </c>
      <c r="AD6313" s="4">
        <v>100</v>
      </c>
      <c r="AE6313" s="4">
        <v>145</v>
      </c>
      <c r="AF6313" s="4">
        <v>0</v>
      </c>
      <c r="AG6313" s="4">
        <v>9</v>
      </c>
      <c r="AH6313" s="4">
        <v>91</v>
      </c>
      <c r="AI6313" s="4">
        <v>104</v>
      </c>
      <c r="AJ6313" s="4">
        <v>13</v>
      </c>
      <c r="AK6313" s="4">
        <v>28</v>
      </c>
      <c r="AL6313" s="4">
        <v>52</v>
      </c>
      <c r="AM6313" s="4">
        <v>54</v>
      </c>
      <c r="AN6313" s="4">
        <v>0</v>
      </c>
      <c r="AO6313" s="4">
        <v>0</v>
      </c>
      <c r="AP6313" s="4">
        <v>15</v>
      </c>
      <c r="AQ6313" s="4">
        <v>50</v>
      </c>
      <c r="AR6313" s="3" t="s">
        <v>62</v>
      </c>
      <c r="AS6313" s="3" t="s">
        <v>62</v>
      </c>
      <c r="AT6313" s="3" t="s">
        <v>62</v>
      </c>
      <c r="AV6313" s="6" t="str">
        <f>HYPERLINK("http://mcgill.on.worldcat.org/oclc/30028589","Catalog Record")</f>
        <v>Catalog Record</v>
      </c>
      <c r="AW6313" s="6" t="str">
        <f>HYPERLINK("http://www.worldcat.org/oclc/30028589","WorldCat Record")</f>
        <v>WorldCat Record</v>
      </c>
      <c r="AX6313" s="3" t="s">
        <v>60817</v>
      </c>
      <c r="AY6313" s="3" t="s">
        <v>60818</v>
      </c>
      <c r="AZ6313" s="3" t="s">
        <v>60819</v>
      </c>
      <c r="BA6313" s="3" t="s">
        <v>60819</v>
      </c>
      <c r="BB6313" s="3" t="s">
        <v>60820</v>
      </c>
      <c r="BC6313" s="3" t="s">
        <v>142</v>
      </c>
      <c r="BD6313" s="3" t="s">
        <v>68</v>
      </c>
      <c r="BE6313" s="3" t="s">
        <v>60821</v>
      </c>
      <c r="BF6313" s="3" t="s">
        <v>60820</v>
      </c>
      <c r="BG6313" s="3" t="s">
        <v>60822</v>
      </c>
    </row>
    <row r="6314" spans="1:59" ht="57" x14ac:dyDescent="0.45">
      <c r="A6314" s="2" t="s">
        <v>59</v>
      </c>
      <c r="B6314" s="2" t="s">
        <v>60</v>
      </c>
      <c r="C6314" s="2" t="s">
        <v>60823</v>
      </c>
      <c r="D6314" s="2" t="s">
        <v>60824</v>
      </c>
      <c r="E6314" s="2" t="s">
        <v>60816</v>
      </c>
      <c r="G6314" s="3" t="s">
        <v>62</v>
      </c>
      <c r="I6314" s="3" t="s">
        <v>62</v>
      </c>
      <c r="J6314" s="3" t="s">
        <v>61</v>
      </c>
      <c r="K6314" s="3" t="s">
        <v>63</v>
      </c>
      <c r="L6314" s="2" t="s">
        <v>60807</v>
      </c>
      <c r="M6314" s="2" t="s">
        <v>1841</v>
      </c>
      <c r="N6314" s="3" t="s">
        <v>820</v>
      </c>
      <c r="O6314" s="2" t="s">
        <v>933</v>
      </c>
      <c r="P6314" s="3" t="s">
        <v>65</v>
      </c>
      <c r="R6314" s="3" t="s">
        <v>66</v>
      </c>
      <c r="S6314" s="4">
        <v>40</v>
      </c>
      <c r="T6314" s="4">
        <v>40</v>
      </c>
      <c r="U6314" s="5" t="s">
        <v>42752</v>
      </c>
      <c r="V6314" s="5" t="s">
        <v>42752</v>
      </c>
      <c r="W6314" s="5" t="s">
        <v>67</v>
      </c>
      <c r="X6314" s="5" t="s">
        <v>67</v>
      </c>
      <c r="Y6314" s="4">
        <v>353</v>
      </c>
      <c r="Z6314" s="4">
        <v>22</v>
      </c>
      <c r="AA6314" s="4">
        <v>100</v>
      </c>
      <c r="AB6314" s="4">
        <v>1</v>
      </c>
      <c r="AC6314" s="4">
        <v>21</v>
      </c>
      <c r="AD6314" s="4">
        <v>78</v>
      </c>
      <c r="AE6314" s="4">
        <v>145</v>
      </c>
      <c r="AF6314" s="4">
        <v>0</v>
      </c>
      <c r="AG6314" s="4">
        <v>9</v>
      </c>
      <c r="AH6314" s="4">
        <v>69</v>
      </c>
      <c r="AI6314" s="4">
        <v>104</v>
      </c>
      <c r="AJ6314" s="4">
        <v>16</v>
      </c>
      <c r="AK6314" s="4">
        <v>28</v>
      </c>
      <c r="AL6314" s="4">
        <v>38</v>
      </c>
      <c r="AM6314" s="4">
        <v>54</v>
      </c>
      <c r="AN6314" s="4">
        <v>0</v>
      </c>
      <c r="AO6314" s="4">
        <v>0</v>
      </c>
      <c r="AP6314" s="4">
        <v>19</v>
      </c>
      <c r="AQ6314" s="4">
        <v>50</v>
      </c>
      <c r="AR6314" s="3" t="s">
        <v>62</v>
      </c>
      <c r="AS6314" s="3" t="s">
        <v>62</v>
      </c>
      <c r="AT6314" s="3" t="s">
        <v>62</v>
      </c>
      <c r="AV6314" s="6" t="str">
        <f>HYPERLINK("http://mcgill.on.worldcat.org/oclc/169874932","Catalog Record")</f>
        <v>Catalog Record</v>
      </c>
      <c r="AW6314" s="6" t="str">
        <f>HYPERLINK("http://www.worldcat.org/oclc/169874932","WorldCat Record")</f>
        <v>WorldCat Record</v>
      </c>
      <c r="AX6314" s="3" t="s">
        <v>60817</v>
      </c>
      <c r="AY6314" s="3" t="s">
        <v>60825</v>
      </c>
      <c r="AZ6314" s="3" t="s">
        <v>60826</v>
      </c>
      <c r="BA6314" s="3" t="s">
        <v>60826</v>
      </c>
      <c r="BB6314" s="3" t="s">
        <v>60827</v>
      </c>
      <c r="BC6314" s="3" t="s">
        <v>142</v>
      </c>
      <c r="BD6314" s="3" t="s">
        <v>308</v>
      </c>
      <c r="BE6314" s="3" t="s">
        <v>60828</v>
      </c>
      <c r="BF6314" s="3" t="s">
        <v>60827</v>
      </c>
      <c r="BG6314" s="3" t="s">
        <v>60829</v>
      </c>
    </row>
    <row r="6315" spans="1:59" ht="57" x14ac:dyDescent="0.45">
      <c r="A6315" s="2" t="s">
        <v>59</v>
      </c>
      <c r="B6315" s="2" t="s">
        <v>60</v>
      </c>
      <c r="C6315" s="2" t="s">
        <v>60830</v>
      </c>
      <c r="D6315" s="2" t="s">
        <v>60831</v>
      </c>
      <c r="E6315" s="2" t="s">
        <v>60832</v>
      </c>
      <c r="G6315" s="3" t="s">
        <v>62</v>
      </c>
      <c r="I6315" s="3" t="s">
        <v>62</v>
      </c>
      <c r="J6315" s="3" t="s">
        <v>62</v>
      </c>
      <c r="K6315" s="3" t="s">
        <v>63</v>
      </c>
      <c r="L6315" s="2" t="s">
        <v>60833</v>
      </c>
      <c r="M6315" s="2" t="s">
        <v>60834</v>
      </c>
      <c r="N6315" s="3" t="s">
        <v>945</v>
      </c>
      <c r="P6315" s="3" t="s">
        <v>326</v>
      </c>
      <c r="Q6315" s="2" t="s">
        <v>60835</v>
      </c>
      <c r="R6315" s="3" t="s">
        <v>66</v>
      </c>
      <c r="S6315" s="4">
        <v>3</v>
      </c>
      <c r="T6315" s="4">
        <v>3</v>
      </c>
      <c r="U6315" s="5" t="s">
        <v>328</v>
      </c>
      <c r="V6315" s="5" t="s">
        <v>328</v>
      </c>
      <c r="W6315" s="5" t="s">
        <v>67</v>
      </c>
      <c r="X6315" s="5" t="s">
        <v>67</v>
      </c>
      <c r="Y6315" s="4">
        <v>28</v>
      </c>
      <c r="Z6315" s="4">
        <v>7</v>
      </c>
      <c r="AA6315" s="4">
        <v>8</v>
      </c>
      <c r="AB6315" s="4">
        <v>1</v>
      </c>
      <c r="AC6315" s="4">
        <v>2</v>
      </c>
      <c r="AD6315" s="4">
        <v>11</v>
      </c>
      <c r="AE6315" s="4">
        <v>12</v>
      </c>
      <c r="AF6315" s="4">
        <v>0</v>
      </c>
      <c r="AG6315" s="4">
        <v>1</v>
      </c>
      <c r="AH6315" s="4">
        <v>9</v>
      </c>
      <c r="AI6315" s="4">
        <v>9</v>
      </c>
      <c r="AJ6315" s="4">
        <v>4</v>
      </c>
      <c r="AK6315" s="4">
        <v>5</v>
      </c>
      <c r="AL6315" s="4">
        <v>6</v>
      </c>
      <c r="AM6315" s="4">
        <v>6</v>
      </c>
      <c r="AN6315" s="4">
        <v>0</v>
      </c>
      <c r="AO6315" s="4">
        <v>0</v>
      </c>
      <c r="AP6315" s="4">
        <v>5</v>
      </c>
      <c r="AQ6315" s="4">
        <v>5</v>
      </c>
      <c r="AR6315" s="3" t="s">
        <v>62</v>
      </c>
      <c r="AS6315" s="3" t="s">
        <v>62</v>
      </c>
      <c r="AT6315" s="3" t="s">
        <v>62</v>
      </c>
      <c r="AV6315" s="6" t="str">
        <f>HYPERLINK("http://mcgill.on.worldcat.org/oclc/173842749","Catalog Record")</f>
        <v>Catalog Record</v>
      </c>
      <c r="AW6315" s="6" t="str">
        <f>HYPERLINK("http://www.worldcat.org/oclc/173842749","WorldCat Record")</f>
        <v>WorldCat Record</v>
      </c>
      <c r="AX6315" s="3" t="s">
        <v>60836</v>
      </c>
      <c r="AY6315" s="3" t="s">
        <v>60837</v>
      </c>
      <c r="AZ6315" s="3" t="s">
        <v>60838</v>
      </c>
      <c r="BA6315" s="3" t="s">
        <v>60838</v>
      </c>
      <c r="BB6315" s="3" t="s">
        <v>60839</v>
      </c>
      <c r="BC6315" s="3" t="s">
        <v>142</v>
      </c>
      <c r="BD6315" s="3" t="s">
        <v>68</v>
      </c>
      <c r="BE6315" s="3" t="s">
        <v>60840</v>
      </c>
      <c r="BF6315" s="3" t="s">
        <v>60839</v>
      </c>
      <c r="BG6315" s="3" t="s">
        <v>60841</v>
      </c>
    </row>
    <row r="6316" spans="1:59" ht="57" x14ac:dyDescent="0.45">
      <c r="A6316" s="2" t="s">
        <v>59</v>
      </c>
      <c r="B6316" s="2" t="s">
        <v>60</v>
      </c>
      <c r="C6316" s="2" t="s">
        <v>60842</v>
      </c>
      <c r="D6316" s="2" t="s">
        <v>60843</v>
      </c>
      <c r="E6316" s="2" t="s">
        <v>60844</v>
      </c>
      <c r="G6316" s="3" t="s">
        <v>62</v>
      </c>
      <c r="I6316" s="3" t="s">
        <v>62</v>
      </c>
      <c r="J6316" s="3" t="s">
        <v>62</v>
      </c>
      <c r="K6316" s="3" t="s">
        <v>63</v>
      </c>
      <c r="L6316" s="2" t="s">
        <v>60845</v>
      </c>
      <c r="M6316" s="2" t="s">
        <v>60846</v>
      </c>
      <c r="N6316" s="3" t="s">
        <v>1253</v>
      </c>
      <c r="P6316" s="3" t="s">
        <v>65</v>
      </c>
      <c r="Q6316" s="2" t="s">
        <v>60847</v>
      </c>
      <c r="R6316" s="3" t="s">
        <v>66</v>
      </c>
      <c r="S6316" s="4">
        <v>56</v>
      </c>
      <c r="T6316" s="4">
        <v>56</v>
      </c>
      <c r="U6316" s="5" t="s">
        <v>32045</v>
      </c>
      <c r="V6316" s="5" t="s">
        <v>32045</v>
      </c>
      <c r="W6316" s="5" t="s">
        <v>67</v>
      </c>
      <c r="X6316" s="5" t="s">
        <v>67</v>
      </c>
      <c r="Y6316" s="4">
        <v>253</v>
      </c>
      <c r="Z6316" s="4">
        <v>19</v>
      </c>
      <c r="AA6316" s="4">
        <v>102</v>
      </c>
      <c r="AB6316" s="4">
        <v>2</v>
      </c>
      <c r="AC6316" s="4">
        <v>20</v>
      </c>
      <c r="AD6316" s="4">
        <v>96</v>
      </c>
      <c r="AE6316" s="4">
        <v>145</v>
      </c>
      <c r="AF6316" s="4">
        <v>1</v>
      </c>
      <c r="AG6316" s="4">
        <v>8</v>
      </c>
      <c r="AH6316" s="4">
        <v>81</v>
      </c>
      <c r="AI6316" s="4">
        <v>98</v>
      </c>
      <c r="AJ6316" s="4">
        <v>14</v>
      </c>
      <c r="AK6316" s="4">
        <v>26</v>
      </c>
      <c r="AL6316" s="4">
        <v>47</v>
      </c>
      <c r="AM6316" s="4">
        <v>53</v>
      </c>
      <c r="AN6316" s="4">
        <v>0</v>
      </c>
      <c r="AO6316" s="4">
        <v>0</v>
      </c>
      <c r="AP6316" s="4">
        <v>17</v>
      </c>
      <c r="AQ6316" s="4">
        <v>52</v>
      </c>
      <c r="AR6316" s="3" t="s">
        <v>62</v>
      </c>
      <c r="AS6316" s="3" t="s">
        <v>62</v>
      </c>
      <c r="AT6316" s="3" t="s">
        <v>61</v>
      </c>
      <c r="AU6316" s="6" t="str">
        <f>HYPERLINK("http://catalog.hathitrust.org/Record/003976675","HathiTrust Record")</f>
        <v>HathiTrust Record</v>
      </c>
      <c r="AV6316" s="6" t="str">
        <f>HYPERLINK("http://mcgill.on.worldcat.org/oclc/37197535","Catalog Record")</f>
        <v>Catalog Record</v>
      </c>
      <c r="AW6316" s="6" t="str">
        <f>HYPERLINK("http://www.worldcat.org/oclc/37197535","WorldCat Record")</f>
        <v>WorldCat Record</v>
      </c>
      <c r="AX6316" s="3" t="s">
        <v>60848</v>
      </c>
      <c r="AY6316" s="3" t="s">
        <v>60849</v>
      </c>
      <c r="AZ6316" s="3" t="s">
        <v>60850</v>
      </c>
      <c r="BA6316" s="3" t="s">
        <v>60850</v>
      </c>
      <c r="BB6316" s="3" t="s">
        <v>60851</v>
      </c>
      <c r="BC6316" s="3" t="s">
        <v>142</v>
      </c>
      <c r="BD6316" s="3" t="s">
        <v>68</v>
      </c>
      <c r="BE6316" s="3" t="s">
        <v>60852</v>
      </c>
      <c r="BF6316" s="3" t="s">
        <v>60851</v>
      </c>
      <c r="BG6316" s="3" t="s">
        <v>60853</v>
      </c>
    </row>
    <row r="6317" spans="1:59" ht="57" x14ac:dyDescent="0.45">
      <c r="A6317" s="2" t="s">
        <v>59</v>
      </c>
      <c r="B6317" s="2" t="s">
        <v>60</v>
      </c>
      <c r="C6317" s="2" t="s">
        <v>60854</v>
      </c>
      <c r="D6317" s="2" t="s">
        <v>60855</v>
      </c>
      <c r="E6317" s="2" t="s">
        <v>60856</v>
      </c>
      <c r="G6317" s="3" t="s">
        <v>62</v>
      </c>
      <c r="I6317" s="3" t="s">
        <v>62</v>
      </c>
      <c r="J6317" s="3" t="s">
        <v>62</v>
      </c>
      <c r="K6317" s="3" t="s">
        <v>63</v>
      </c>
      <c r="L6317" s="2" t="s">
        <v>60857</v>
      </c>
      <c r="M6317" s="2" t="s">
        <v>60858</v>
      </c>
      <c r="N6317" s="3" t="s">
        <v>116</v>
      </c>
      <c r="P6317" s="3" t="s">
        <v>65</v>
      </c>
      <c r="R6317" s="3" t="s">
        <v>66</v>
      </c>
      <c r="S6317" s="4">
        <v>0</v>
      </c>
      <c r="T6317" s="4">
        <v>0</v>
      </c>
      <c r="W6317" s="5" t="s">
        <v>67</v>
      </c>
      <c r="X6317" s="5" t="s">
        <v>67</v>
      </c>
      <c r="Y6317" s="4">
        <v>18</v>
      </c>
      <c r="Z6317" s="4">
        <v>3</v>
      </c>
      <c r="AA6317" s="4">
        <v>23</v>
      </c>
      <c r="AB6317" s="4">
        <v>1</v>
      </c>
      <c r="AC6317" s="4">
        <v>7</v>
      </c>
      <c r="AD6317" s="4">
        <v>9</v>
      </c>
      <c r="AE6317" s="4">
        <v>24</v>
      </c>
      <c r="AF6317" s="4">
        <v>0</v>
      </c>
      <c r="AG6317" s="4">
        <v>3</v>
      </c>
      <c r="AH6317" s="4">
        <v>9</v>
      </c>
      <c r="AI6317" s="4">
        <v>17</v>
      </c>
      <c r="AJ6317" s="4">
        <v>2</v>
      </c>
      <c r="AK6317" s="4">
        <v>7</v>
      </c>
      <c r="AL6317" s="4">
        <v>5</v>
      </c>
      <c r="AM6317" s="4">
        <v>7</v>
      </c>
      <c r="AN6317" s="4">
        <v>0</v>
      </c>
      <c r="AO6317" s="4">
        <v>0</v>
      </c>
      <c r="AP6317" s="4">
        <v>2</v>
      </c>
      <c r="AQ6317" s="4">
        <v>11</v>
      </c>
      <c r="AR6317" s="3" t="s">
        <v>62</v>
      </c>
      <c r="AS6317" s="3" t="s">
        <v>62</v>
      </c>
      <c r="AT6317" s="3" t="s">
        <v>62</v>
      </c>
      <c r="AV6317" s="6" t="str">
        <f>HYPERLINK("http://mcgill.on.worldcat.org/oclc/854980353","Catalog Record")</f>
        <v>Catalog Record</v>
      </c>
      <c r="AW6317" s="6" t="str">
        <f>HYPERLINK("http://www.worldcat.org/oclc/854980353","WorldCat Record")</f>
        <v>WorldCat Record</v>
      </c>
      <c r="AX6317" s="3" t="s">
        <v>60859</v>
      </c>
      <c r="AY6317" s="3" t="s">
        <v>60860</v>
      </c>
      <c r="AZ6317" s="3" t="s">
        <v>60861</v>
      </c>
      <c r="BA6317" s="3" t="s">
        <v>60861</v>
      </c>
      <c r="BB6317" s="3" t="s">
        <v>60862</v>
      </c>
      <c r="BC6317" s="3" t="s">
        <v>142</v>
      </c>
      <c r="BD6317" s="3" t="s">
        <v>68</v>
      </c>
      <c r="BE6317" s="3" t="s">
        <v>60863</v>
      </c>
      <c r="BF6317" s="3" t="s">
        <v>60862</v>
      </c>
      <c r="BG6317" s="3" t="s">
        <v>60864</v>
      </c>
    </row>
    <row r="6318" spans="1:59" ht="71.25" x14ac:dyDescent="0.45">
      <c r="A6318" s="2" t="s">
        <v>59</v>
      </c>
      <c r="B6318" s="2" t="s">
        <v>60</v>
      </c>
      <c r="C6318" s="2" t="s">
        <v>60865</v>
      </c>
      <c r="D6318" s="2" t="s">
        <v>60866</v>
      </c>
      <c r="E6318" s="2" t="s">
        <v>60867</v>
      </c>
      <c r="G6318" s="3" t="s">
        <v>62</v>
      </c>
      <c r="I6318" s="3" t="s">
        <v>62</v>
      </c>
      <c r="J6318" s="3" t="s">
        <v>61</v>
      </c>
      <c r="K6318" s="3" t="s">
        <v>63</v>
      </c>
      <c r="L6318" s="2" t="s">
        <v>58247</v>
      </c>
      <c r="M6318" s="2" t="s">
        <v>60868</v>
      </c>
      <c r="N6318" s="3" t="s">
        <v>2107</v>
      </c>
      <c r="P6318" s="3" t="s">
        <v>110</v>
      </c>
      <c r="Q6318" s="2" t="s">
        <v>60869</v>
      </c>
      <c r="R6318" s="3" t="s">
        <v>66</v>
      </c>
      <c r="S6318" s="4">
        <v>53</v>
      </c>
      <c r="T6318" s="4">
        <v>53</v>
      </c>
      <c r="U6318" s="5" t="s">
        <v>37909</v>
      </c>
      <c r="V6318" s="5" t="s">
        <v>37909</v>
      </c>
      <c r="W6318" s="5" t="s">
        <v>67</v>
      </c>
      <c r="X6318" s="5" t="s">
        <v>67</v>
      </c>
      <c r="Y6318" s="4">
        <v>21</v>
      </c>
      <c r="Z6318" s="4">
        <v>6</v>
      </c>
      <c r="AA6318" s="4">
        <v>43</v>
      </c>
      <c r="AB6318" s="4">
        <v>3</v>
      </c>
      <c r="AC6318" s="4">
        <v>11</v>
      </c>
      <c r="AD6318" s="4">
        <v>6</v>
      </c>
      <c r="AE6318" s="4">
        <v>71</v>
      </c>
      <c r="AF6318" s="4">
        <v>2</v>
      </c>
      <c r="AG6318" s="4">
        <v>6</v>
      </c>
      <c r="AH6318" s="4">
        <v>2</v>
      </c>
      <c r="AI6318" s="4">
        <v>48</v>
      </c>
      <c r="AJ6318" s="4">
        <v>4</v>
      </c>
      <c r="AK6318" s="4">
        <v>23</v>
      </c>
      <c r="AL6318" s="4">
        <v>2</v>
      </c>
      <c r="AM6318" s="4">
        <v>28</v>
      </c>
      <c r="AN6318" s="4">
        <v>0</v>
      </c>
      <c r="AO6318" s="4">
        <v>0</v>
      </c>
      <c r="AP6318" s="4">
        <v>2</v>
      </c>
      <c r="AQ6318" s="4">
        <v>30</v>
      </c>
      <c r="AR6318" s="3" t="s">
        <v>61</v>
      </c>
      <c r="AS6318" s="3" t="s">
        <v>62</v>
      </c>
      <c r="AT6318" s="3" t="s">
        <v>62</v>
      </c>
      <c r="AV6318" s="6" t="str">
        <f>HYPERLINK("http://mcgill.on.worldcat.org/oclc/20352894","Catalog Record")</f>
        <v>Catalog Record</v>
      </c>
      <c r="AW6318" s="6" t="str">
        <f>HYPERLINK("http://www.worldcat.org/oclc/20352894","WorldCat Record")</f>
        <v>WorldCat Record</v>
      </c>
      <c r="AX6318" s="3" t="s">
        <v>60870</v>
      </c>
      <c r="AY6318" s="3" t="s">
        <v>60871</v>
      </c>
      <c r="AZ6318" s="3" t="s">
        <v>60872</v>
      </c>
      <c r="BA6318" s="3" t="s">
        <v>60872</v>
      </c>
      <c r="BB6318" s="3" t="s">
        <v>60873</v>
      </c>
      <c r="BC6318" s="3" t="s">
        <v>142</v>
      </c>
      <c r="BD6318" s="3" t="s">
        <v>68</v>
      </c>
      <c r="BF6318" s="3" t="s">
        <v>60873</v>
      </c>
      <c r="BG6318" s="3" t="s">
        <v>60874</v>
      </c>
    </row>
    <row r="6319" spans="1:59" ht="57" x14ac:dyDescent="0.45">
      <c r="A6319" s="2" t="s">
        <v>59</v>
      </c>
      <c r="B6319" s="2" t="s">
        <v>60</v>
      </c>
      <c r="C6319" s="2" t="s">
        <v>60875</v>
      </c>
      <c r="D6319" s="2" t="s">
        <v>60876</v>
      </c>
      <c r="E6319" s="2" t="s">
        <v>60877</v>
      </c>
      <c r="G6319" s="3" t="s">
        <v>62</v>
      </c>
      <c r="I6319" s="3" t="s">
        <v>62</v>
      </c>
      <c r="J6319" s="3" t="s">
        <v>61</v>
      </c>
      <c r="K6319" s="3" t="s">
        <v>63</v>
      </c>
      <c r="L6319" s="2" t="s">
        <v>58247</v>
      </c>
      <c r="M6319" s="2" t="s">
        <v>60878</v>
      </c>
      <c r="N6319" s="3" t="s">
        <v>117</v>
      </c>
      <c r="P6319" s="3" t="s">
        <v>110</v>
      </c>
      <c r="Q6319" s="2" t="s">
        <v>60879</v>
      </c>
      <c r="R6319" s="3" t="s">
        <v>66</v>
      </c>
      <c r="S6319" s="4">
        <v>22</v>
      </c>
      <c r="T6319" s="4">
        <v>22</v>
      </c>
      <c r="U6319" s="5" t="s">
        <v>37909</v>
      </c>
      <c r="V6319" s="5" t="s">
        <v>37909</v>
      </c>
      <c r="W6319" s="5" t="s">
        <v>67</v>
      </c>
      <c r="X6319" s="5" t="s">
        <v>67</v>
      </c>
      <c r="Y6319" s="4">
        <v>7</v>
      </c>
      <c r="Z6319" s="4">
        <v>6</v>
      </c>
      <c r="AA6319" s="4">
        <v>43</v>
      </c>
      <c r="AB6319" s="4">
        <v>2</v>
      </c>
      <c r="AC6319" s="4">
        <v>11</v>
      </c>
      <c r="AD6319" s="4">
        <v>2</v>
      </c>
      <c r="AE6319" s="4">
        <v>71</v>
      </c>
      <c r="AF6319" s="4">
        <v>0</v>
      </c>
      <c r="AG6319" s="4">
        <v>6</v>
      </c>
      <c r="AH6319" s="4">
        <v>0</v>
      </c>
      <c r="AI6319" s="4">
        <v>48</v>
      </c>
      <c r="AJ6319" s="4">
        <v>2</v>
      </c>
      <c r="AK6319" s="4">
        <v>23</v>
      </c>
      <c r="AL6319" s="4">
        <v>0</v>
      </c>
      <c r="AM6319" s="4">
        <v>28</v>
      </c>
      <c r="AN6319" s="4">
        <v>0</v>
      </c>
      <c r="AO6319" s="4">
        <v>0</v>
      </c>
      <c r="AP6319" s="4">
        <v>1</v>
      </c>
      <c r="AQ6319" s="4">
        <v>30</v>
      </c>
      <c r="AR6319" s="3" t="s">
        <v>61</v>
      </c>
      <c r="AS6319" s="3" t="s">
        <v>62</v>
      </c>
      <c r="AT6319" s="3" t="s">
        <v>62</v>
      </c>
      <c r="AV6319" s="6" t="str">
        <f>HYPERLINK("http://mcgill.on.worldcat.org/oclc/15906861","Catalog Record")</f>
        <v>Catalog Record</v>
      </c>
      <c r="AW6319" s="6" t="str">
        <f>HYPERLINK("http://www.worldcat.org/oclc/15906861","WorldCat Record")</f>
        <v>WorldCat Record</v>
      </c>
      <c r="AX6319" s="3" t="s">
        <v>60870</v>
      </c>
      <c r="AY6319" s="3" t="s">
        <v>60880</v>
      </c>
      <c r="AZ6319" s="3" t="s">
        <v>60881</v>
      </c>
      <c r="BA6319" s="3" t="s">
        <v>60881</v>
      </c>
      <c r="BB6319" s="3" t="s">
        <v>60882</v>
      </c>
      <c r="BC6319" s="3" t="s">
        <v>142</v>
      </c>
      <c r="BD6319" s="3" t="s">
        <v>68</v>
      </c>
      <c r="BE6319" s="3" t="s">
        <v>60883</v>
      </c>
      <c r="BF6319" s="3" t="s">
        <v>60882</v>
      </c>
      <c r="BG6319" s="3" t="s">
        <v>60884</v>
      </c>
    </row>
    <row r="6320" spans="1:59" ht="57" x14ac:dyDescent="0.45">
      <c r="A6320" s="2" t="s">
        <v>59</v>
      </c>
      <c r="B6320" s="2" t="s">
        <v>60</v>
      </c>
      <c r="C6320" s="2" t="s">
        <v>60885</v>
      </c>
      <c r="D6320" s="2" t="s">
        <v>60886</v>
      </c>
      <c r="E6320" s="2" t="s">
        <v>60887</v>
      </c>
      <c r="G6320" s="3" t="s">
        <v>62</v>
      </c>
      <c r="I6320" s="3" t="s">
        <v>62</v>
      </c>
      <c r="J6320" s="3" t="s">
        <v>62</v>
      </c>
      <c r="K6320" s="3" t="s">
        <v>63</v>
      </c>
      <c r="L6320" s="2" t="s">
        <v>58247</v>
      </c>
      <c r="M6320" s="2" t="s">
        <v>60888</v>
      </c>
      <c r="N6320" s="3" t="s">
        <v>1855</v>
      </c>
      <c r="P6320" s="3" t="s">
        <v>110</v>
      </c>
      <c r="Q6320" s="2" t="s">
        <v>60889</v>
      </c>
      <c r="R6320" s="3" t="s">
        <v>66</v>
      </c>
      <c r="S6320" s="4">
        <v>6</v>
      </c>
      <c r="T6320" s="4">
        <v>6</v>
      </c>
      <c r="U6320" s="5" t="s">
        <v>37909</v>
      </c>
      <c r="V6320" s="5" t="s">
        <v>37909</v>
      </c>
      <c r="W6320" s="5" t="s">
        <v>67</v>
      </c>
      <c r="X6320" s="5" t="s">
        <v>67</v>
      </c>
      <c r="Y6320" s="4">
        <v>30</v>
      </c>
      <c r="Z6320" s="4">
        <v>19</v>
      </c>
      <c r="AA6320" s="4">
        <v>22</v>
      </c>
      <c r="AB6320" s="4">
        <v>12</v>
      </c>
      <c r="AC6320" s="4">
        <v>13</v>
      </c>
      <c r="AD6320" s="4">
        <v>14</v>
      </c>
      <c r="AE6320" s="4">
        <v>16</v>
      </c>
      <c r="AF6320" s="4">
        <v>6</v>
      </c>
      <c r="AG6320" s="4">
        <v>6</v>
      </c>
      <c r="AH6320" s="4">
        <v>5</v>
      </c>
      <c r="AI6320" s="4">
        <v>5</v>
      </c>
      <c r="AJ6320" s="4">
        <v>11</v>
      </c>
      <c r="AK6320" s="4">
        <v>11</v>
      </c>
      <c r="AL6320" s="4">
        <v>1</v>
      </c>
      <c r="AM6320" s="4">
        <v>1</v>
      </c>
      <c r="AN6320" s="4">
        <v>0</v>
      </c>
      <c r="AO6320" s="4">
        <v>0</v>
      </c>
      <c r="AP6320" s="4">
        <v>11</v>
      </c>
      <c r="AQ6320" s="4">
        <v>13</v>
      </c>
      <c r="AR6320" s="3" t="s">
        <v>62</v>
      </c>
      <c r="AS6320" s="3" t="s">
        <v>62</v>
      </c>
      <c r="AT6320" s="3" t="s">
        <v>62</v>
      </c>
      <c r="AV6320" s="6" t="str">
        <f>HYPERLINK("http://mcgill.on.worldcat.org/oclc/56964190","Catalog Record")</f>
        <v>Catalog Record</v>
      </c>
      <c r="AW6320" s="6" t="str">
        <f>HYPERLINK("http://www.worldcat.org/oclc/56964190","WorldCat Record")</f>
        <v>WorldCat Record</v>
      </c>
      <c r="AX6320" s="3" t="s">
        <v>60890</v>
      </c>
      <c r="AY6320" s="3" t="s">
        <v>60891</v>
      </c>
      <c r="AZ6320" s="3" t="s">
        <v>60892</v>
      </c>
      <c r="BA6320" s="3" t="s">
        <v>60892</v>
      </c>
      <c r="BB6320" s="3" t="s">
        <v>60893</v>
      </c>
      <c r="BC6320" s="3" t="s">
        <v>142</v>
      </c>
      <c r="BD6320" s="3" t="s">
        <v>68</v>
      </c>
      <c r="BE6320" s="3" t="s">
        <v>60894</v>
      </c>
      <c r="BF6320" s="3" t="s">
        <v>60893</v>
      </c>
      <c r="BG6320" s="3" t="s">
        <v>60895</v>
      </c>
    </row>
    <row r="6321" spans="1:59" ht="57" x14ac:dyDescent="0.45">
      <c r="A6321" s="2" t="s">
        <v>59</v>
      </c>
      <c r="B6321" s="2" t="s">
        <v>60</v>
      </c>
      <c r="C6321" s="2" t="s">
        <v>60896</v>
      </c>
      <c r="D6321" s="2" t="s">
        <v>60897</v>
      </c>
      <c r="E6321" s="2" t="s">
        <v>60898</v>
      </c>
      <c r="G6321" s="3" t="s">
        <v>62</v>
      </c>
      <c r="I6321" s="3" t="s">
        <v>62</v>
      </c>
      <c r="J6321" s="3" t="s">
        <v>62</v>
      </c>
      <c r="K6321" s="3" t="s">
        <v>63</v>
      </c>
      <c r="L6321" s="2" t="s">
        <v>60899</v>
      </c>
      <c r="M6321" s="2" t="s">
        <v>60900</v>
      </c>
      <c r="N6321" s="3" t="s">
        <v>5180</v>
      </c>
      <c r="P6321" s="3" t="s">
        <v>65</v>
      </c>
      <c r="Q6321" s="2" t="s">
        <v>60901</v>
      </c>
      <c r="R6321" s="3" t="s">
        <v>66</v>
      </c>
      <c r="S6321" s="4">
        <v>1</v>
      </c>
      <c r="T6321" s="4">
        <v>1</v>
      </c>
      <c r="W6321" s="5" t="s">
        <v>3449</v>
      </c>
      <c r="X6321" s="5" t="s">
        <v>3449</v>
      </c>
      <c r="Y6321" s="4">
        <v>5</v>
      </c>
      <c r="Z6321" s="4">
        <v>2</v>
      </c>
      <c r="AA6321" s="4">
        <v>5</v>
      </c>
      <c r="AB6321" s="4">
        <v>1</v>
      </c>
      <c r="AC6321" s="4">
        <v>4</v>
      </c>
      <c r="AD6321" s="4">
        <v>1</v>
      </c>
      <c r="AE6321" s="4">
        <v>2</v>
      </c>
      <c r="AF6321" s="4">
        <v>0</v>
      </c>
      <c r="AG6321" s="4">
        <v>1</v>
      </c>
      <c r="AH6321" s="4">
        <v>1</v>
      </c>
      <c r="AI6321" s="4">
        <v>1</v>
      </c>
      <c r="AJ6321" s="4">
        <v>1</v>
      </c>
      <c r="AK6321" s="4">
        <v>1</v>
      </c>
      <c r="AL6321" s="4">
        <v>0</v>
      </c>
      <c r="AM6321" s="4">
        <v>0</v>
      </c>
      <c r="AN6321" s="4">
        <v>0</v>
      </c>
      <c r="AO6321" s="4">
        <v>0</v>
      </c>
      <c r="AP6321" s="4">
        <v>1</v>
      </c>
      <c r="AQ6321" s="4">
        <v>2</v>
      </c>
      <c r="AR6321" s="3" t="s">
        <v>62</v>
      </c>
      <c r="AS6321" s="3" t="s">
        <v>62</v>
      </c>
      <c r="AT6321" s="3" t="s">
        <v>62</v>
      </c>
      <c r="AV6321" s="6" t="str">
        <f>HYPERLINK("http://mcgill.on.worldcat.org/oclc/1039951140","Catalog Record")</f>
        <v>Catalog Record</v>
      </c>
      <c r="AW6321" s="6" t="str">
        <f>HYPERLINK("http://www.worldcat.org/oclc/1039951140","WorldCat Record")</f>
        <v>WorldCat Record</v>
      </c>
      <c r="AX6321" s="3" t="s">
        <v>60902</v>
      </c>
      <c r="AY6321" s="3" t="s">
        <v>60903</v>
      </c>
      <c r="AZ6321" s="3" t="s">
        <v>60904</v>
      </c>
      <c r="BA6321" s="3" t="s">
        <v>60904</v>
      </c>
      <c r="BB6321" s="3" t="s">
        <v>60905</v>
      </c>
      <c r="BC6321" s="3" t="s">
        <v>142</v>
      </c>
      <c r="BD6321" s="3" t="s">
        <v>308</v>
      </c>
      <c r="BE6321" s="3" t="s">
        <v>60906</v>
      </c>
      <c r="BF6321" s="3" t="s">
        <v>60905</v>
      </c>
      <c r="BG6321" s="3" t="s">
        <v>60907</v>
      </c>
    </row>
    <row r="6322" spans="1:59" ht="57" x14ac:dyDescent="0.45">
      <c r="A6322" s="2" t="s">
        <v>59</v>
      </c>
      <c r="B6322" s="2" t="s">
        <v>60</v>
      </c>
      <c r="C6322" s="2" t="s">
        <v>60908</v>
      </c>
      <c r="D6322" s="2" t="s">
        <v>60909</v>
      </c>
      <c r="E6322" s="2" t="s">
        <v>60910</v>
      </c>
      <c r="G6322" s="3" t="s">
        <v>62</v>
      </c>
      <c r="I6322" s="3" t="s">
        <v>62</v>
      </c>
      <c r="J6322" s="3" t="s">
        <v>62</v>
      </c>
      <c r="K6322" s="3" t="s">
        <v>63</v>
      </c>
      <c r="M6322" s="2" t="s">
        <v>60911</v>
      </c>
      <c r="N6322" s="3" t="s">
        <v>1437</v>
      </c>
      <c r="P6322" s="3" t="s">
        <v>110</v>
      </c>
      <c r="Q6322" s="2" t="s">
        <v>60912</v>
      </c>
      <c r="R6322" s="3" t="s">
        <v>66</v>
      </c>
      <c r="S6322" s="4">
        <v>12</v>
      </c>
      <c r="T6322" s="4">
        <v>12</v>
      </c>
      <c r="U6322" s="5" t="s">
        <v>4187</v>
      </c>
      <c r="V6322" s="5" t="s">
        <v>4187</v>
      </c>
      <c r="W6322" s="5" t="s">
        <v>67</v>
      </c>
      <c r="X6322" s="5" t="s">
        <v>67</v>
      </c>
      <c r="Y6322" s="4">
        <v>59</v>
      </c>
      <c r="Z6322" s="4">
        <v>30</v>
      </c>
      <c r="AA6322" s="4">
        <v>99</v>
      </c>
      <c r="AB6322" s="4">
        <v>11</v>
      </c>
      <c r="AC6322" s="4">
        <v>23</v>
      </c>
      <c r="AD6322" s="4">
        <v>31</v>
      </c>
      <c r="AE6322" s="4">
        <v>121</v>
      </c>
      <c r="AF6322" s="4">
        <v>6</v>
      </c>
      <c r="AG6322" s="4">
        <v>9</v>
      </c>
      <c r="AH6322" s="4">
        <v>18</v>
      </c>
      <c r="AI6322" s="4">
        <v>71</v>
      </c>
      <c r="AJ6322" s="4">
        <v>18</v>
      </c>
      <c r="AK6322" s="4">
        <v>29</v>
      </c>
      <c r="AL6322" s="4">
        <v>9</v>
      </c>
      <c r="AM6322" s="4">
        <v>37</v>
      </c>
      <c r="AN6322" s="4">
        <v>0</v>
      </c>
      <c r="AO6322" s="4">
        <v>0</v>
      </c>
      <c r="AP6322" s="4">
        <v>19</v>
      </c>
      <c r="AQ6322" s="4">
        <v>58</v>
      </c>
      <c r="AR6322" s="3" t="s">
        <v>61</v>
      </c>
      <c r="AS6322" s="3" t="s">
        <v>62</v>
      </c>
      <c r="AT6322" s="3" t="s">
        <v>61</v>
      </c>
      <c r="AU6322" s="6" t="str">
        <f>HYPERLINK("http://catalog.hathitrust.org/Record/004045589","HathiTrust Record")</f>
        <v>HathiTrust Record</v>
      </c>
      <c r="AV6322" s="6" t="str">
        <f>HYPERLINK("http://mcgill.on.worldcat.org/oclc/39679076","Catalog Record")</f>
        <v>Catalog Record</v>
      </c>
      <c r="AW6322" s="6" t="str">
        <f>HYPERLINK("http://www.worldcat.org/oclc/39679076","WorldCat Record")</f>
        <v>WorldCat Record</v>
      </c>
      <c r="AX6322" s="3" t="s">
        <v>60913</v>
      </c>
      <c r="AY6322" s="3" t="s">
        <v>60914</v>
      </c>
      <c r="AZ6322" s="3" t="s">
        <v>60915</v>
      </c>
      <c r="BA6322" s="3" t="s">
        <v>60915</v>
      </c>
      <c r="BB6322" s="3" t="s">
        <v>60916</v>
      </c>
      <c r="BC6322" s="3" t="s">
        <v>142</v>
      </c>
      <c r="BD6322" s="3" t="s">
        <v>68</v>
      </c>
      <c r="BE6322" s="3" t="s">
        <v>60917</v>
      </c>
      <c r="BF6322" s="3" t="s">
        <v>60916</v>
      </c>
      <c r="BG6322" s="3" t="s">
        <v>60918</v>
      </c>
    </row>
    <row r="6323" spans="1:59" ht="57" x14ac:dyDescent="0.45">
      <c r="A6323" s="2" t="s">
        <v>59</v>
      </c>
      <c r="B6323" s="2" t="s">
        <v>60</v>
      </c>
      <c r="C6323" s="2" t="s">
        <v>60919</v>
      </c>
      <c r="D6323" s="2" t="s">
        <v>60920</v>
      </c>
      <c r="E6323" s="2" t="s">
        <v>60921</v>
      </c>
      <c r="G6323" s="3" t="s">
        <v>62</v>
      </c>
      <c r="I6323" s="3" t="s">
        <v>62</v>
      </c>
      <c r="J6323" s="3" t="s">
        <v>62</v>
      </c>
      <c r="K6323" s="3" t="s">
        <v>63</v>
      </c>
      <c r="L6323" s="2" t="s">
        <v>60922</v>
      </c>
      <c r="M6323" s="2" t="s">
        <v>26975</v>
      </c>
      <c r="N6323" s="3" t="s">
        <v>116</v>
      </c>
      <c r="P6323" s="3" t="s">
        <v>65</v>
      </c>
      <c r="R6323" s="3" t="s">
        <v>66</v>
      </c>
      <c r="S6323" s="4">
        <v>4</v>
      </c>
      <c r="T6323" s="4">
        <v>4</v>
      </c>
      <c r="U6323" s="5" t="s">
        <v>8191</v>
      </c>
      <c r="V6323" s="5" t="s">
        <v>8191</v>
      </c>
      <c r="W6323" s="5" t="s">
        <v>67</v>
      </c>
      <c r="X6323" s="5" t="s">
        <v>67</v>
      </c>
      <c r="Y6323" s="4">
        <v>69</v>
      </c>
      <c r="Z6323" s="4">
        <v>4</v>
      </c>
      <c r="AA6323" s="4">
        <v>73</v>
      </c>
      <c r="AB6323" s="4">
        <v>1</v>
      </c>
      <c r="AC6323" s="4">
        <v>16</v>
      </c>
      <c r="AD6323" s="4">
        <v>10</v>
      </c>
      <c r="AE6323" s="4">
        <v>91</v>
      </c>
      <c r="AF6323" s="4">
        <v>0</v>
      </c>
      <c r="AG6323" s="4">
        <v>8</v>
      </c>
      <c r="AH6323" s="4">
        <v>9</v>
      </c>
      <c r="AI6323" s="4">
        <v>60</v>
      </c>
      <c r="AJ6323" s="4">
        <v>3</v>
      </c>
      <c r="AK6323" s="4">
        <v>18</v>
      </c>
      <c r="AL6323" s="4">
        <v>4</v>
      </c>
      <c r="AM6323" s="4">
        <v>27</v>
      </c>
      <c r="AN6323" s="4">
        <v>0</v>
      </c>
      <c r="AO6323" s="4">
        <v>0</v>
      </c>
      <c r="AP6323" s="4">
        <v>3</v>
      </c>
      <c r="AQ6323" s="4">
        <v>37</v>
      </c>
      <c r="AR6323" s="3" t="s">
        <v>62</v>
      </c>
      <c r="AS6323" s="3" t="s">
        <v>62</v>
      </c>
      <c r="AT6323" s="3" t="s">
        <v>62</v>
      </c>
      <c r="AV6323" s="6" t="str">
        <f>HYPERLINK("http://mcgill.on.worldcat.org/oclc/820349417","Catalog Record")</f>
        <v>Catalog Record</v>
      </c>
      <c r="AW6323" s="6" t="str">
        <f>HYPERLINK("http://www.worldcat.org/oclc/820349417","WorldCat Record")</f>
        <v>WorldCat Record</v>
      </c>
      <c r="AX6323" s="3" t="s">
        <v>60923</v>
      </c>
      <c r="AY6323" s="3" t="s">
        <v>60924</v>
      </c>
      <c r="AZ6323" s="3" t="s">
        <v>60925</v>
      </c>
      <c r="BA6323" s="3" t="s">
        <v>60925</v>
      </c>
      <c r="BB6323" s="3" t="s">
        <v>60926</v>
      </c>
      <c r="BC6323" s="3" t="s">
        <v>142</v>
      </c>
      <c r="BD6323" s="3" t="s">
        <v>68</v>
      </c>
      <c r="BE6323" s="3" t="s">
        <v>60927</v>
      </c>
      <c r="BF6323" s="3" t="s">
        <v>60926</v>
      </c>
      <c r="BG6323" s="3" t="s">
        <v>60928</v>
      </c>
    </row>
    <row r="6324" spans="1:59" ht="57" x14ac:dyDescent="0.45">
      <c r="A6324" s="2" t="s">
        <v>59</v>
      </c>
      <c r="B6324" s="2" t="s">
        <v>60</v>
      </c>
      <c r="C6324" s="2" t="s">
        <v>60929</v>
      </c>
      <c r="D6324" s="2" t="s">
        <v>60930</v>
      </c>
      <c r="E6324" s="2" t="s">
        <v>60931</v>
      </c>
      <c r="G6324" s="3" t="s">
        <v>62</v>
      </c>
      <c r="I6324" s="3" t="s">
        <v>62</v>
      </c>
      <c r="J6324" s="3" t="s">
        <v>62</v>
      </c>
      <c r="K6324" s="3" t="s">
        <v>63</v>
      </c>
      <c r="M6324" s="2" t="s">
        <v>60932</v>
      </c>
      <c r="N6324" s="3" t="s">
        <v>1155</v>
      </c>
      <c r="P6324" s="3" t="s">
        <v>65</v>
      </c>
      <c r="Q6324" s="2" t="s">
        <v>60933</v>
      </c>
      <c r="R6324" s="3" t="s">
        <v>66</v>
      </c>
      <c r="S6324" s="4">
        <v>0</v>
      </c>
      <c r="T6324" s="4">
        <v>0</v>
      </c>
      <c r="W6324" s="5" t="s">
        <v>67</v>
      </c>
      <c r="X6324" s="5" t="s">
        <v>67</v>
      </c>
      <c r="Y6324" s="4">
        <v>73</v>
      </c>
      <c r="Z6324" s="4">
        <v>9</v>
      </c>
      <c r="AA6324" s="4">
        <v>77</v>
      </c>
      <c r="AB6324" s="4">
        <v>2</v>
      </c>
      <c r="AC6324" s="4">
        <v>16</v>
      </c>
      <c r="AD6324" s="4">
        <v>25</v>
      </c>
      <c r="AE6324" s="4">
        <v>99</v>
      </c>
      <c r="AF6324" s="4">
        <v>1</v>
      </c>
      <c r="AG6324" s="4">
        <v>8</v>
      </c>
      <c r="AH6324" s="4">
        <v>23</v>
      </c>
      <c r="AI6324" s="4">
        <v>70</v>
      </c>
      <c r="AJ6324" s="4">
        <v>7</v>
      </c>
      <c r="AK6324" s="4">
        <v>20</v>
      </c>
      <c r="AL6324" s="4">
        <v>15</v>
      </c>
      <c r="AM6324" s="4">
        <v>37</v>
      </c>
      <c r="AN6324" s="4">
        <v>0</v>
      </c>
      <c r="AO6324" s="4">
        <v>0</v>
      </c>
      <c r="AP6324" s="4">
        <v>7</v>
      </c>
      <c r="AQ6324" s="4">
        <v>37</v>
      </c>
      <c r="AR6324" s="3" t="s">
        <v>62</v>
      </c>
      <c r="AS6324" s="3" t="s">
        <v>62</v>
      </c>
      <c r="AT6324" s="3" t="s">
        <v>62</v>
      </c>
      <c r="AV6324" s="6" t="str">
        <f>HYPERLINK("http://mcgill.on.worldcat.org/oclc/757480983","Catalog Record")</f>
        <v>Catalog Record</v>
      </c>
      <c r="AW6324" s="6" t="str">
        <f>HYPERLINK("http://www.worldcat.org/oclc/757480983","WorldCat Record")</f>
        <v>WorldCat Record</v>
      </c>
      <c r="AX6324" s="3" t="s">
        <v>60934</v>
      </c>
      <c r="AY6324" s="3" t="s">
        <v>60935</v>
      </c>
      <c r="AZ6324" s="3" t="s">
        <v>60936</v>
      </c>
      <c r="BA6324" s="3" t="s">
        <v>60936</v>
      </c>
      <c r="BB6324" s="3" t="s">
        <v>60937</v>
      </c>
      <c r="BC6324" s="3" t="s">
        <v>142</v>
      </c>
      <c r="BD6324" s="3" t="s">
        <v>68</v>
      </c>
      <c r="BE6324" s="3" t="s">
        <v>60938</v>
      </c>
      <c r="BF6324" s="3" t="s">
        <v>60937</v>
      </c>
      <c r="BG6324" s="3" t="s">
        <v>60939</v>
      </c>
    </row>
    <row r="6325" spans="1:59" ht="57" x14ac:dyDescent="0.45">
      <c r="A6325" s="2" t="s">
        <v>59</v>
      </c>
      <c r="B6325" s="2" t="s">
        <v>60</v>
      </c>
      <c r="C6325" s="2" t="s">
        <v>60940</v>
      </c>
      <c r="D6325" s="2" t="s">
        <v>60941</v>
      </c>
      <c r="E6325" s="2" t="s">
        <v>60942</v>
      </c>
      <c r="G6325" s="3" t="s">
        <v>62</v>
      </c>
      <c r="I6325" s="3" t="s">
        <v>62</v>
      </c>
      <c r="J6325" s="3" t="s">
        <v>62</v>
      </c>
      <c r="K6325" s="3" t="s">
        <v>63</v>
      </c>
      <c r="L6325" s="2" t="s">
        <v>60335</v>
      </c>
      <c r="M6325" s="2" t="s">
        <v>60943</v>
      </c>
      <c r="N6325" s="3" t="s">
        <v>1155</v>
      </c>
      <c r="O6325" s="2" t="s">
        <v>933</v>
      </c>
      <c r="P6325" s="3" t="s">
        <v>65</v>
      </c>
      <c r="Q6325" s="2" t="s">
        <v>60944</v>
      </c>
      <c r="R6325" s="3" t="s">
        <v>66</v>
      </c>
      <c r="S6325" s="4">
        <v>1</v>
      </c>
      <c r="T6325" s="4">
        <v>1</v>
      </c>
      <c r="U6325" s="5" t="s">
        <v>8397</v>
      </c>
      <c r="V6325" s="5" t="s">
        <v>8397</v>
      </c>
      <c r="W6325" s="5" t="s">
        <v>67</v>
      </c>
      <c r="X6325" s="5" t="s">
        <v>67</v>
      </c>
      <c r="Y6325" s="4">
        <v>38</v>
      </c>
      <c r="Z6325" s="4">
        <v>4</v>
      </c>
      <c r="AA6325" s="4">
        <v>4</v>
      </c>
      <c r="AB6325" s="4">
        <v>1</v>
      </c>
      <c r="AC6325" s="4">
        <v>1</v>
      </c>
      <c r="AD6325" s="4">
        <v>15</v>
      </c>
      <c r="AE6325" s="4">
        <v>15</v>
      </c>
      <c r="AF6325" s="4">
        <v>0</v>
      </c>
      <c r="AG6325" s="4">
        <v>0</v>
      </c>
      <c r="AH6325" s="4">
        <v>14</v>
      </c>
      <c r="AI6325" s="4">
        <v>14</v>
      </c>
      <c r="AJ6325" s="4">
        <v>3</v>
      </c>
      <c r="AK6325" s="4">
        <v>3</v>
      </c>
      <c r="AL6325" s="4">
        <v>9</v>
      </c>
      <c r="AM6325" s="4">
        <v>9</v>
      </c>
      <c r="AN6325" s="4">
        <v>0</v>
      </c>
      <c r="AO6325" s="4">
        <v>0</v>
      </c>
      <c r="AP6325" s="4">
        <v>3</v>
      </c>
      <c r="AQ6325" s="4">
        <v>3</v>
      </c>
      <c r="AR6325" s="3" t="s">
        <v>62</v>
      </c>
      <c r="AS6325" s="3" t="s">
        <v>62</v>
      </c>
      <c r="AT6325" s="3" t="s">
        <v>62</v>
      </c>
      <c r="AV6325" s="6" t="str">
        <f>HYPERLINK("http://mcgill.on.worldcat.org/oclc/801681549","Catalog Record")</f>
        <v>Catalog Record</v>
      </c>
      <c r="AW6325" s="6" t="str">
        <f>HYPERLINK("http://www.worldcat.org/oclc/801681549","WorldCat Record")</f>
        <v>WorldCat Record</v>
      </c>
      <c r="AX6325" s="3" t="s">
        <v>60945</v>
      </c>
      <c r="AY6325" s="3" t="s">
        <v>60946</v>
      </c>
      <c r="AZ6325" s="3" t="s">
        <v>60947</v>
      </c>
      <c r="BA6325" s="3" t="s">
        <v>60947</v>
      </c>
      <c r="BB6325" s="3" t="s">
        <v>60948</v>
      </c>
      <c r="BC6325" s="3" t="s">
        <v>142</v>
      </c>
      <c r="BD6325" s="3" t="s">
        <v>68</v>
      </c>
      <c r="BE6325" s="3" t="s">
        <v>60949</v>
      </c>
      <c r="BF6325" s="3" t="s">
        <v>60948</v>
      </c>
      <c r="BG6325" s="3" t="s">
        <v>60950</v>
      </c>
    </row>
    <row r="6326" spans="1:59" ht="57" x14ac:dyDescent="0.45">
      <c r="A6326" s="2" t="s">
        <v>59</v>
      </c>
      <c r="B6326" s="2" t="s">
        <v>60</v>
      </c>
      <c r="C6326" s="2" t="s">
        <v>60951</v>
      </c>
      <c r="D6326" s="2" t="s">
        <v>60952</v>
      </c>
      <c r="E6326" s="2" t="s">
        <v>60953</v>
      </c>
      <c r="G6326" s="3" t="s">
        <v>62</v>
      </c>
      <c r="I6326" s="3" t="s">
        <v>62</v>
      </c>
      <c r="J6326" s="3" t="s">
        <v>62</v>
      </c>
      <c r="K6326" s="3" t="s">
        <v>63</v>
      </c>
      <c r="L6326" s="2" t="s">
        <v>60954</v>
      </c>
      <c r="M6326" s="2" t="s">
        <v>56038</v>
      </c>
      <c r="N6326" s="3" t="s">
        <v>1155</v>
      </c>
      <c r="P6326" s="3" t="s">
        <v>110</v>
      </c>
      <c r="Q6326" s="2" t="s">
        <v>60955</v>
      </c>
      <c r="R6326" s="3" t="s">
        <v>66</v>
      </c>
      <c r="S6326" s="4">
        <v>0</v>
      </c>
      <c r="T6326" s="4">
        <v>0</v>
      </c>
      <c r="W6326" s="5" t="s">
        <v>67</v>
      </c>
      <c r="X6326" s="5" t="s">
        <v>67</v>
      </c>
      <c r="Y6326" s="4">
        <v>5</v>
      </c>
      <c r="Z6326" s="4">
        <v>2</v>
      </c>
      <c r="AA6326" s="4">
        <v>5</v>
      </c>
      <c r="AB6326" s="4">
        <v>1</v>
      </c>
      <c r="AC6326" s="4">
        <v>3</v>
      </c>
      <c r="AD6326" s="4">
        <v>2</v>
      </c>
      <c r="AE6326" s="4">
        <v>4</v>
      </c>
      <c r="AF6326" s="4">
        <v>0</v>
      </c>
      <c r="AG6326" s="4">
        <v>1</v>
      </c>
      <c r="AH6326" s="4">
        <v>2</v>
      </c>
      <c r="AI6326" s="4">
        <v>3</v>
      </c>
      <c r="AJ6326" s="4">
        <v>1</v>
      </c>
      <c r="AK6326" s="4">
        <v>3</v>
      </c>
      <c r="AL6326" s="4">
        <v>1</v>
      </c>
      <c r="AM6326" s="4">
        <v>1</v>
      </c>
      <c r="AN6326" s="4">
        <v>0</v>
      </c>
      <c r="AO6326" s="4">
        <v>0</v>
      </c>
      <c r="AP6326" s="4">
        <v>1</v>
      </c>
      <c r="AQ6326" s="4">
        <v>3</v>
      </c>
      <c r="AR6326" s="3" t="s">
        <v>62</v>
      </c>
      <c r="AS6326" s="3" t="s">
        <v>62</v>
      </c>
      <c r="AT6326" s="3" t="s">
        <v>62</v>
      </c>
      <c r="AV6326" s="6" t="str">
        <f>HYPERLINK("http://mcgill.on.worldcat.org/oclc/831310759","Catalog Record")</f>
        <v>Catalog Record</v>
      </c>
      <c r="AW6326" s="6" t="str">
        <f>HYPERLINK("http://www.worldcat.org/oclc/831310759","WorldCat Record")</f>
        <v>WorldCat Record</v>
      </c>
      <c r="AX6326" s="3" t="s">
        <v>60956</v>
      </c>
      <c r="AY6326" s="3" t="s">
        <v>60957</v>
      </c>
      <c r="AZ6326" s="3" t="s">
        <v>60958</v>
      </c>
      <c r="BA6326" s="3" t="s">
        <v>60958</v>
      </c>
      <c r="BB6326" s="3" t="s">
        <v>60959</v>
      </c>
      <c r="BC6326" s="3" t="s">
        <v>142</v>
      </c>
      <c r="BD6326" s="3" t="s">
        <v>68</v>
      </c>
      <c r="BE6326" s="3" t="s">
        <v>60960</v>
      </c>
      <c r="BF6326" s="3" t="s">
        <v>60959</v>
      </c>
      <c r="BG6326" s="3" t="s">
        <v>60961</v>
      </c>
    </row>
    <row r="6327" spans="1:59" ht="57" x14ac:dyDescent="0.45">
      <c r="A6327" s="2" t="s">
        <v>59</v>
      </c>
      <c r="B6327" s="2" t="s">
        <v>60</v>
      </c>
      <c r="C6327" s="2" t="s">
        <v>60962</v>
      </c>
      <c r="D6327" s="2" t="s">
        <v>60963</v>
      </c>
      <c r="E6327" s="2" t="s">
        <v>60964</v>
      </c>
      <c r="G6327" s="3" t="s">
        <v>62</v>
      </c>
      <c r="I6327" s="3" t="s">
        <v>62</v>
      </c>
      <c r="J6327" s="3" t="s">
        <v>62</v>
      </c>
      <c r="K6327" s="3" t="s">
        <v>63</v>
      </c>
      <c r="M6327" s="2" t="s">
        <v>60965</v>
      </c>
      <c r="N6327" s="3" t="s">
        <v>1465</v>
      </c>
      <c r="P6327" s="3" t="s">
        <v>182</v>
      </c>
      <c r="R6327" s="3" t="s">
        <v>66</v>
      </c>
      <c r="S6327" s="4">
        <v>1</v>
      </c>
      <c r="T6327" s="4">
        <v>1</v>
      </c>
      <c r="U6327" s="5" t="s">
        <v>14133</v>
      </c>
      <c r="V6327" s="5" t="s">
        <v>14133</v>
      </c>
      <c r="W6327" s="5" t="s">
        <v>67</v>
      </c>
      <c r="X6327" s="5" t="s">
        <v>67</v>
      </c>
      <c r="Y6327" s="4">
        <v>9</v>
      </c>
      <c r="Z6327" s="4">
        <v>1</v>
      </c>
      <c r="AA6327" s="4">
        <v>1</v>
      </c>
      <c r="AB6327" s="4">
        <v>1</v>
      </c>
      <c r="AC6327" s="4">
        <v>1</v>
      </c>
      <c r="AD6327" s="4">
        <v>3</v>
      </c>
      <c r="AE6327" s="4">
        <v>3</v>
      </c>
      <c r="AF6327" s="4">
        <v>0</v>
      </c>
      <c r="AG6327" s="4">
        <v>0</v>
      </c>
      <c r="AH6327" s="4">
        <v>3</v>
      </c>
      <c r="AI6327" s="4">
        <v>3</v>
      </c>
      <c r="AJ6327" s="4">
        <v>0</v>
      </c>
      <c r="AK6327" s="4">
        <v>0</v>
      </c>
      <c r="AL6327" s="4">
        <v>3</v>
      </c>
      <c r="AM6327" s="4">
        <v>3</v>
      </c>
      <c r="AN6327" s="4">
        <v>0</v>
      </c>
      <c r="AO6327" s="4">
        <v>0</v>
      </c>
      <c r="AP6327" s="4">
        <v>0</v>
      </c>
      <c r="AQ6327" s="4">
        <v>0</v>
      </c>
      <c r="AR6327" s="3" t="s">
        <v>62</v>
      </c>
      <c r="AS6327" s="3" t="s">
        <v>62</v>
      </c>
      <c r="AT6327" s="3" t="s">
        <v>62</v>
      </c>
      <c r="AV6327" s="6" t="str">
        <f>HYPERLINK("http://mcgill.on.worldcat.org/oclc/707960008","Catalog Record")</f>
        <v>Catalog Record</v>
      </c>
      <c r="AW6327" s="6" t="str">
        <f>HYPERLINK("http://www.worldcat.org/oclc/707960008","WorldCat Record")</f>
        <v>WorldCat Record</v>
      </c>
      <c r="AX6327" s="3" t="s">
        <v>60966</v>
      </c>
      <c r="AY6327" s="3" t="s">
        <v>60967</v>
      </c>
      <c r="AZ6327" s="3" t="s">
        <v>60968</v>
      </c>
      <c r="BA6327" s="3" t="s">
        <v>60968</v>
      </c>
      <c r="BB6327" s="3" t="s">
        <v>60969</v>
      </c>
      <c r="BC6327" s="3" t="s">
        <v>142</v>
      </c>
      <c r="BD6327" s="3" t="s">
        <v>68</v>
      </c>
      <c r="BE6327" s="3" t="s">
        <v>60970</v>
      </c>
      <c r="BF6327" s="3" t="s">
        <v>60969</v>
      </c>
      <c r="BG6327" s="3" t="s">
        <v>60971</v>
      </c>
    </row>
    <row r="6328" spans="1:59" ht="57" x14ac:dyDescent="0.45">
      <c r="A6328" s="2" t="s">
        <v>59</v>
      </c>
      <c r="B6328" s="2" t="s">
        <v>60</v>
      </c>
      <c r="C6328" s="2" t="s">
        <v>60972</v>
      </c>
      <c r="D6328" s="2" t="s">
        <v>60973</v>
      </c>
      <c r="E6328" s="2" t="s">
        <v>60974</v>
      </c>
      <c r="G6328" s="3" t="s">
        <v>62</v>
      </c>
      <c r="I6328" s="3" t="s">
        <v>62</v>
      </c>
      <c r="J6328" s="3" t="s">
        <v>62</v>
      </c>
      <c r="K6328" s="3" t="s">
        <v>63</v>
      </c>
      <c r="M6328" s="2" t="s">
        <v>37704</v>
      </c>
      <c r="N6328" s="3" t="s">
        <v>149</v>
      </c>
      <c r="P6328" s="3" t="s">
        <v>65</v>
      </c>
      <c r="Q6328" s="2" t="s">
        <v>60975</v>
      </c>
      <c r="R6328" s="3" t="s">
        <v>66</v>
      </c>
      <c r="S6328" s="4">
        <v>1</v>
      </c>
      <c r="T6328" s="4">
        <v>1</v>
      </c>
      <c r="U6328" s="5" t="s">
        <v>60976</v>
      </c>
      <c r="V6328" s="5" t="s">
        <v>60976</v>
      </c>
      <c r="W6328" s="5" t="s">
        <v>67</v>
      </c>
      <c r="X6328" s="5" t="s">
        <v>67</v>
      </c>
      <c r="Y6328" s="4">
        <v>57</v>
      </c>
      <c r="Z6328" s="4">
        <v>6</v>
      </c>
      <c r="AA6328" s="4">
        <v>36</v>
      </c>
      <c r="AB6328" s="4">
        <v>2</v>
      </c>
      <c r="AC6328" s="4">
        <v>10</v>
      </c>
      <c r="AD6328" s="4">
        <v>16</v>
      </c>
      <c r="AE6328" s="4">
        <v>33</v>
      </c>
      <c r="AF6328" s="4">
        <v>1</v>
      </c>
      <c r="AG6328" s="4">
        <v>4</v>
      </c>
      <c r="AH6328" s="4">
        <v>13</v>
      </c>
      <c r="AI6328" s="4">
        <v>19</v>
      </c>
      <c r="AJ6328" s="4">
        <v>5</v>
      </c>
      <c r="AK6328" s="4">
        <v>8</v>
      </c>
      <c r="AL6328" s="4">
        <v>8</v>
      </c>
      <c r="AM6328" s="4">
        <v>13</v>
      </c>
      <c r="AN6328" s="4">
        <v>0</v>
      </c>
      <c r="AO6328" s="4">
        <v>0</v>
      </c>
      <c r="AP6328" s="4">
        <v>5</v>
      </c>
      <c r="AQ6328" s="4">
        <v>15</v>
      </c>
      <c r="AR6328" s="3" t="s">
        <v>62</v>
      </c>
      <c r="AS6328" s="3" t="s">
        <v>62</v>
      </c>
      <c r="AT6328" s="3" t="s">
        <v>62</v>
      </c>
      <c r="AV6328" s="6" t="str">
        <f>HYPERLINK("http://mcgill.on.worldcat.org/oclc/502675077","Catalog Record")</f>
        <v>Catalog Record</v>
      </c>
      <c r="AW6328" s="6" t="str">
        <f>HYPERLINK("http://www.worldcat.org/oclc/502675077","WorldCat Record")</f>
        <v>WorldCat Record</v>
      </c>
      <c r="AX6328" s="3" t="s">
        <v>60977</v>
      </c>
      <c r="AY6328" s="3" t="s">
        <v>60978</v>
      </c>
      <c r="AZ6328" s="3" t="s">
        <v>60979</v>
      </c>
      <c r="BA6328" s="3" t="s">
        <v>60979</v>
      </c>
      <c r="BB6328" s="3" t="s">
        <v>60980</v>
      </c>
      <c r="BC6328" s="3" t="s">
        <v>142</v>
      </c>
      <c r="BD6328" s="3" t="s">
        <v>68</v>
      </c>
      <c r="BE6328" s="3" t="s">
        <v>60981</v>
      </c>
      <c r="BF6328" s="3" t="s">
        <v>60980</v>
      </c>
      <c r="BG6328" s="3" t="s">
        <v>60982</v>
      </c>
    </row>
    <row r="6329" spans="1:59" ht="57" x14ac:dyDescent="0.45">
      <c r="A6329" s="2" t="s">
        <v>59</v>
      </c>
      <c r="B6329" s="2" t="s">
        <v>60</v>
      </c>
      <c r="C6329" s="2" t="s">
        <v>60983</v>
      </c>
      <c r="D6329" s="2" t="s">
        <v>60984</v>
      </c>
      <c r="E6329" s="2" t="s">
        <v>60985</v>
      </c>
      <c r="G6329" s="3" t="s">
        <v>62</v>
      </c>
      <c r="I6329" s="3" t="s">
        <v>62</v>
      </c>
      <c r="J6329" s="3" t="s">
        <v>62</v>
      </c>
      <c r="K6329" s="3" t="s">
        <v>63</v>
      </c>
      <c r="M6329" s="2" t="s">
        <v>53558</v>
      </c>
      <c r="N6329" s="3" t="s">
        <v>1855</v>
      </c>
      <c r="P6329" s="3" t="s">
        <v>65</v>
      </c>
      <c r="Q6329" s="2" t="s">
        <v>60986</v>
      </c>
      <c r="R6329" s="3" t="s">
        <v>66</v>
      </c>
      <c r="S6329" s="4">
        <v>4</v>
      </c>
      <c r="T6329" s="4">
        <v>4</v>
      </c>
      <c r="U6329" s="5" t="s">
        <v>13218</v>
      </c>
      <c r="V6329" s="5" t="s">
        <v>13218</v>
      </c>
      <c r="W6329" s="5" t="s">
        <v>67</v>
      </c>
      <c r="X6329" s="5" t="s">
        <v>67</v>
      </c>
      <c r="Y6329" s="4">
        <v>42</v>
      </c>
      <c r="Z6329" s="4">
        <v>3</v>
      </c>
      <c r="AA6329" s="4">
        <v>99</v>
      </c>
      <c r="AB6329" s="4">
        <v>1</v>
      </c>
      <c r="AC6329" s="4">
        <v>17</v>
      </c>
      <c r="AD6329" s="4">
        <v>13</v>
      </c>
      <c r="AE6329" s="4">
        <v>109</v>
      </c>
      <c r="AF6329" s="4">
        <v>0</v>
      </c>
      <c r="AG6329" s="4">
        <v>8</v>
      </c>
      <c r="AH6329" s="4">
        <v>13</v>
      </c>
      <c r="AI6329" s="4">
        <v>74</v>
      </c>
      <c r="AJ6329" s="4">
        <v>1</v>
      </c>
      <c r="AK6329" s="4">
        <v>20</v>
      </c>
      <c r="AL6329" s="4">
        <v>9</v>
      </c>
      <c r="AM6329" s="4">
        <v>37</v>
      </c>
      <c r="AN6329" s="4">
        <v>0</v>
      </c>
      <c r="AO6329" s="4">
        <v>0</v>
      </c>
      <c r="AP6329" s="4">
        <v>1</v>
      </c>
      <c r="AQ6329" s="4">
        <v>41</v>
      </c>
      <c r="AR6329" s="3" t="s">
        <v>62</v>
      </c>
      <c r="AS6329" s="3" t="s">
        <v>62</v>
      </c>
      <c r="AT6329" s="3" t="s">
        <v>62</v>
      </c>
      <c r="AV6329" s="6" t="str">
        <f>HYPERLINK("http://mcgill.on.worldcat.org/oclc/60373740","Catalog Record")</f>
        <v>Catalog Record</v>
      </c>
      <c r="AW6329" s="6" t="str">
        <f>HYPERLINK("http://www.worldcat.org/oclc/60373740","WorldCat Record")</f>
        <v>WorldCat Record</v>
      </c>
      <c r="AX6329" s="3" t="s">
        <v>60987</v>
      </c>
      <c r="AY6329" s="3" t="s">
        <v>60988</v>
      </c>
      <c r="AZ6329" s="3" t="s">
        <v>60989</v>
      </c>
      <c r="BA6329" s="3" t="s">
        <v>60989</v>
      </c>
      <c r="BB6329" s="3" t="s">
        <v>60990</v>
      </c>
      <c r="BC6329" s="3" t="s">
        <v>142</v>
      </c>
      <c r="BD6329" s="3" t="s">
        <v>68</v>
      </c>
      <c r="BE6329" s="3" t="s">
        <v>60991</v>
      </c>
      <c r="BF6329" s="3" t="s">
        <v>60990</v>
      </c>
      <c r="BG6329" s="3" t="s">
        <v>60992</v>
      </c>
    </row>
    <row r="6330" spans="1:59" ht="57" x14ac:dyDescent="0.45">
      <c r="A6330" s="2" t="s">
        <v>59</v>
      </c>
      <c r="B6330" s="2" t="s">
        <v>60</v>
      </c>
      <c r="C6330" s="2" t="s">
        <v>60993</v>
      </c>
      <c r="D6330" s="2" t="s">
        <v>60994</v>
      </c>
      <c r="E6330" s="2" t="s">
        <v>60995</v>
      </c>
      <c r="G6330" s="3" t="s">
        <v>62</v>
      </c>
      <c r="I6330" s="3" t="s">
        <v>62</v>
      </c>
      <c r="J6330" s="3" t="s">
        <v>62</v>
      </c>
      <c r="K6330" s="3" t="s">
        <v>63</v>
      </c>
      <c r="M6330" s="2" t="s">
        <v>60996</v>
      </c>
      <c r="N6330" s="3" t="s">
        <v>116</v>
      </c>
      <c r="P6330" s="3" t="s">
        <v>65</v>
      </c>
      <c r="Q6330" s="2" t="s">
        <v>60997</v>
      </c>
      <c r="R6330" s="3" t="s">
        <v>66</v>
      </c>
      <c r="S6330" s="4">
        <v>0</v>
      </c>
      <c r="T6330" s="4">
        <v>0</v>
      </c>
      <c r="W6330" s="5" t="s">
        <v>67</v>
      </c>
      <c r="X6330" s="5" t="s">
        <v>67</v>
      </c>
      <c r="Y6330" s="4">
        <v>6</v>
      </c>
      <c r="Z6330" s="4">
        <v>1</v>
      </c>
      <c r="AA6330" s="4">
        <v>1</v>
      </c>
      <c r="AB6330" s="4">
        <v>1</v>
      </c>
      <c r="AC6330" s="4">
        <v>1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3" t="s">
        <v>62</v>
      </c>
      <c r="AS6330" s="3" t="s">
        <v>62</v>
      </c>
      <c r="AT6330" s="3" t="s">
        <v>62</v>
      </c>
      <c r="AV6330" s="6" t="str">
        <f>HYPERLINK("http://mcgill.on.worldcat.org/oclc/865169574","Catalog Record")</f>
        <v>Catalog Record</v>
      </c>
      <c r="AW6330" s="6" t="str">
        <f>HYPERLINK("http://www.worldcat.org/oclc/865169574","WorldCat Record")</f>
        <v>WorldCat Record</v>
      </c>
      <c r="AX6330" s="3" t="s">
        <v>60998</v>
      </c>
      <c r="AY6330" s="3" t="s">
        <v>60999</v>
      </c>
      <c r="AZ6330" s="3" t="s">
        <v>61000</v>
      </c>
      <c r="BA6330" s="3" t="s">
        <v>61000</v>
      </c>
      <c r="BB6330" s="3" t="s">
        <v>61001</v>
      </c>
      <c r="BC6330" s="3" t="s">
        <v>142</v>
      </c>
      <c r="BD6330" s="3" t="s">
        <v>68</v>
      </c>
      <c r="BE6330" s="3" t="s">
        <v>61002</v>
      </c>
      <c r="BF6330" s="3" t="s">
        <v>61001</v>
      </c>
      <c r="BG6330" s="3" t="s">
        <v>61003</v>
      </c>
    </row>
    <row r="6331" spans="1:59" ht="57" x14ac:dyDescent="0.45">
      <c r="A6331" s="2" t="s">
        <v>59</v>
      </c>
      <c r="B6331" s="2" t="s">
        <v>60</v>
      </c>
      <c r="C6331" s="2" t="s">
        <v>61004</v>
      </c>
      <c r="D6331" s="2" t="s">
        <v>61005</v>
      </c>
      <c r="E6331" s="2" t="s">
        <v>61006</v>
      </c>
      <c r="G6331" s="3" t="s">
        <v>62</v>
      </c>
      <c r="I6331" s="3" t="s">
        <v>62</v>
      </c>
      <c r="J6331" s="3" t="s">
        <v>62</v>
      </c>
      <c r="K6331" s="3" t="s">
        <v>63</v>
      </c>
      <c r="L6331" s="2" t="s">
        <v>61007</v>
      </c>
      <c r="M6331" s="2" t="s">
        <v>61008</v>
      </c>
      <c r="N6331" s="3" t="s">
        <v>970</v>
      </c>
      <c r="P6331" s="3" t="s">
        <v>65</v>
      </c>
      <c r="R6331" s="3" t="s">
        <v>66</v>
      </c>
      <c r="S6331" s="4">
        <v>6</v>
      </c>
      <c r="T6331" s="4">
        <v>6</v>
      </c>
      <c r="U6331" s="5" t="s">
        <v>59574</v>
      </c>
      <c r="V6331" s="5" t="s">
        <v>59574</v>
      </c>
      <c r="W6331" s="5" t="s">
        <v>67</v>
      </c>
      <c r="X6331" s="5" t="s">
        <v>67</v>
      </c>
      <c r="Y6331" s="4">
        <v>125</v>
      </c>
      <c r="Z6331" s="4">
        <v>7</v>
      </c>
      <c r="AA6331" s="4">
        <v>69</v>
      </c>
      <c r="AB6331" s="4">
        <v>2</v>
      </c>
      <c r="AC6331" s="4">
        <v>16</v>
      </c>
      <c r="AD6331" s="4">
        <v>19</v>
      </c>
      <c r="AE6331" s="4">
        <v>92</v>
      </c>
      <c r="AF6331" s="4">
        <v>1</v>
      </c>
      <c r="AG6331" s="4">
        <v>8</v>
      </c>
      <c r="AH6331" s="4">
        <v>15</v>
      </c>
      <c r="AI6331" s="4">
        <v>62</v>
      </c>
      <c r="AJ6331" s="4">
        <v>6</v>
      </c>
      <c r="AK6331" s="4">
        <v>19</v>
      </c>
      <c r="AL6331" s="4">
        <v>9</v>
      </c>
      <c r="AM6331" s="4">
        <v>30</v>
      </c>
      <c r="AN6331" s="4">
        <v>0</v>
      </c>
      <c r="AO6331" s="4">
        <v>0</v>
      </c>
      <c r="AP6331" s="4">
        <v>6</v>
      </c>
      <c r="AQ6331" s="4">
        <v>35</v>
      </c>
      <c r="AR6331" s="3" t="s">
        <v>62</v>
      </c>
      <c r="AS6331" s="3" t="s">
        <v>62</v>
      </c>
      <c r="AT6331" s="3" t="s">
        <v>61</v>
      </c>
      <c r="AU6331" s="6" t="str">
        <f>HYPERLINK("http://catalog.hathitrust.org/Record/004269620","HathiTrust Record")</f>
        <v>HathiTrust Record</v>
      </c>
      <c r="AV6331" s="6" t="str">
        <f>HYPERLINK("http://mcgill.on.worldcat.org/oclc/48773905","Catalog Record")</f>
        <v>Catalog Record</v>
      </c>
      <c r="AW6331" s="6" t="str">
        <f>HYPERLINK("http://www.worldcat.org/oclc/48773905","WorldCat Record")</f>
        <v>WorldCat Record</v>
      </c>
      <c r="AX6331" s="3" t="s">
        <v>61009</v>
      </c>
      <c r="AY6331" s="3" t="s">
        <v>61010</v>
      </c>
      <c r="AZ6331" s="3" t="s">
        <v>61011</v>
      </c>
      <c r="BA6331" s="3" t="s">
        <v>61011</v>
      </c>
      <c r="BB6331" s="3" t="s">
        <v>61012</v>
      </c>
      <c r="BC6331" s="3" t="s">
        <v>142</v>
      </c>
      <c r="BD6331" s="3" t="s">
        <v>68</v>
      </c>
      <c r="BE6331" s="3" t="s">
        <v>61013</v>
      </c>
      <c r="BF6331" s="3" t="s">
        <v>61012</v>
      </c>
      <c r="BG6331" s="3" t="s">
        <v>61014</v>
      </c>
    </row>
    <row r="6332" spans="1:59" ht="57" x14ac:dyDescent="0.45">
      <c r="A6332" s="2" t="s">
        <v>59</v>
      </c>
      <c r="B6332" s="2" t="s">
        <v>60</v>
      </c>
      <c r="C6332" s="2" t="s">
        <v>61015</v>
      </c>
      <c r="D6332" s="2" t="s">
        <v>61016</v>
      </c>
      <c r="E6332" s="2" t="s">
        <v>61017</v>
      </c>
      <c r="F6332" s="3" t="s">
        <v>9832</v>
      </c>
      <c r="G6332" s="3" t="s">
        <v>62</v>
      </c>
      <c r="I6332" s="3" t="s">
        <v>62</v>
      </c>
      <c r="J6332" s="3" t="s">
        <v>62</v>
      </c>
      <c r="K6332" s="3" t="s">
        <v>63</v>
      </c>
      <c r="L6332" s="2" t="s">
        <v>61018</v>
      </c>
      <c r="M6332" s="2" t="s">
        <v>61019</v>
      </c>
      <c r="N6332" s="3" t="s">
        <v>1155</v>
      </c>
      <c r="P6332" s="3" t="s">
        <v>65</v>
      </c>
      <c r="Q6332" s="2" t="s">
        <v>61020</v>
      </c>
      <c r="R6332" s="3" t="s">
        <v>66</v>
      </c>
      <c r="S6332" s="4">
        <v>2</v>
      </c>
      <c r="T6332" s="4">
        <v>2</v>
      </c>
      <c r="U6332" s="5" t="s">
        <v>61021</v>
      </c>
      <c r="V6332" s="5" t="s">
        <v>61021</v>
      </c>
      <c r="W6332" s="5" t="s">
        <v>67</v>
      </c>
      <c r="X6332" s="5" t="s">
        <v>67</v>
      </c>
      <c r="Y6332" s="4">
        <v>51</v>
      </c>
      <c r="Z6332" s="4">
        <v>5</v>
      </c>
      <c r="AA6332" s="4">
        <v>13</v>
      </c>
      <c r="AB6332" s="4">
        <v>2</v>
      </c>
      <c r="AC6332" s="4">
        <v>9</v>
      </c>
      <c r="AD6332" s="4">
        <v>10</v>
      </c>
      <c r="AE6332" s="4">
        <v>16</v>
      </c>
      <c r="AF6332" s="4">
        <v>1</v>
      </c>
      <c r="AG6332" s="4">
        <v>4</v>
      </c>
      <c r="AH6332" s="4">
        <v>8</v>
      </c>
      <c r="AI6332" s="4">
        <v>11</v>
      </c>
      <c r="AJ6332" s="4">
        <v>4</v>
      </c>
      <c r="AK6332" s="4">
        <v>6</v>
      </c>
      <c r="AL6332" s="4">
        <v>3</v>
      </c>
      <c r="AM6332" s="4">
        <v>4</v>
      </c>
      <c r="AN6332" s="4">
        <v>0</v>
      </c>
      <c r="AO6332" s="4">
        <v>0</v>
      </c>
      <c r="AP6332" s="4">
        <v>4</v>
      </c>
      <c r="AQ6332" s="4">
        <v>7</v>
      </c>
      <c r="AR6332" s="3" t="s">
        <v>62</v>
      </c>
      <c r="AS6332" s="3" t="s">
        <v>62</v>
      </c>
      <c r="AT6332" s="3" t="s">
        <v>62</v>
      </c>
      <c r="AV6332" s="6" t="str">
        <f>HYPERLINK("http://mcgill.on.worldcat.org/oclc/753915102","Catalog Record")</f>
        <v>Catalog Record</v>
      </c>
      <c r="AW6332" s="6" t="str">
        <f>HYPERLINK("http://www.worldcat.org/oclc/753915102","WorldCat Record")</f>
        <v>WorldCat Record</v>
      </c>
      <c r="AX6332" s="3" t="s">
        <v>61022</v>
      </c>
      <c r="AY6332" s="3" t="s">
        <v>61023</v>
      </c>
      <c r="AZ6332" s="3" t="s">
        <v>61024</v>
      </c>
      <c r="BA6332" s="3" t="s">
        <v>61024</v>
      </c>
      <c r="BB6332" s="3" t="s">
        <v>61025</v>
      </c>
      <c r="BC6332" s="3" t="s">
        <v>142</v>
      </c>
      <c r="BD6332" s="3" t="s">
        <v>68</v>
      </c>
      <c r="BE6332" s="3" t="s">
        <v>61026</v>
      </c>
      <c r="BF6332" s="3" t="s">
        <v>61025</v>
      </c>
      <c r="BG6332" s="3" t="s">
        <v>61027</v>
      </c>
    </row>
    <row r="6333" spans="1:59" ht="57" x14ac:dyDescent="0.45">
      <c r="A6333" s="2" t="s">
        <v>59</v>
      </c>
      <c r="B6333" s="2" t="s">
        <v>60</v>
      </c>
      <c r="C6333" s="2" t="s">
        <v>61028</v>
      </c>
      <c r="D6333" s="2" t="s">
        <v>61029</v>
      </c>
      <c r="E6333" s="2" t="s">
        <v>61030</v>
      </c>
      <c r="G6333" s="3" t="s">
        <v>62</v>
      </c>
      <c r="I6333" s="3" t="s">
        <v>62</v>
      </c>
      <c r="J6333" s="3" t="s">
        <v>62</v>
      </c>
      <c r="K6333" s="3" t="s">
        <v>63</v>
      </c>
      <c r="L6333" s="2" t="s">
        <v>61031</v>
      </c>
      <c r="M6333" s="2" t="s">
        <v>61032</v>
      </c>
      <c r="N6333" s="3" t="s">
        <v>820</v>
      </c>
      <c r="P6333" s="3" t="s">
        <v>65</v>
      </c>
      <c r="R6333" s="3" t="s">
        <v>66</v>
      </c>
      <c r="S6333" s="4">
        <v>19</v>
      </c>
      <c r="T6333" s="4">
        <v>19</v>
      </c>
      <c r="U6333" s="5" t="s">
        <v>31414</v>
      </c>
      <c r="V6333" s="5" t="s">
        <v>31414</v>
      </c>
      <c r="W6333" s="5" t="s">
        <v>67</v>
      </c>
      <c r="X6333" s="5" t="s">
        <v>67</v>
      </c>
      <c r="Y6333" s="4">
        <v>96</v>
      </c>
      <c r="Z6333" s="4">
        <v>11</v>
      </c>
      <c r="AA6333" s="4">
        <v>17</v>
      </c>
      <c r="AB6333" s="4">
        <v>2</v>
      </c>
      <c r="AC6333" s="4">
        <v>7</v>
      </c>
      <c r="AD6333" s="4">
        <v>39</v>
      </c>
      <c r="AE6333" s="4">
        <v>46</v>
      </c>
      <c r="AF6333" s="4">
        <v>1</v>
      </c>
      <c r="AG6333" s="4">
        <v>3</v>
      </c>
      <c r="AH6333" s="4">
        <v>36</v>
      </c>
      <c r="AI6333" s="4">
        <v>40</v>
      </c>
      <c r="AJ6333" s="4">
        <v>8</v>
      </c>
      <c r="AK6333" s="4">
        <v>9</v>
      </c>
      <c r="AL6333" s="4">
        <v>22</v>
      </c>
      <c r="AM6333" s="4">
        <v>24</v>
      </c>
      <c r="AN6333" s="4">
        <v>0</v>
      </c>
      <c r="AO6333" s="4">
        <v>0</v>
      </c>
      <c r="AP6333" s="4">
        <v>9</v>
      </c>
      <c r="AQ6333" s="4">
        <v>11</v>
      </c>
      <c r="AR6333" s="3" t="s">
        <v>62</v>
      </c>
      <c r="AS6333" s="3" t="s">
        <v>62</v>
      </c>
      <c r="AT6333" s="3" t="s">
        <v>62</v>
      </c>
      <c r="AV6333" s="6" t="str">
        <f>HYPERLINK("http://mcgill.on.worldcat.org/oclc/173367820","Catalog Record")</f>
        <v>Catalog Record</v>
      </c>
      <c r="AW6333" s="6" t="str">
        <f>HYPERLINK("http://www.worldcat.org/oclc/173367820","WorldCat Record")</f>
        <v>WorldCat Record</v>
      </c>
      <c r="AX6333" s="3" t="s">
        <v>61033</v>
      </c>
      <c r="AY6333" s="3" t="s">
        <v>61034</v>
      </c>
      <c r="AZ6333" s="3" t="s">
        <v>61035</v>
      </c>
      <c r="BA6333" s="3" t="s">
        <v>61035</v>
      </c>
      <c r="BB6333" s="3" t="s">
        <v>61036</v>
      </c>
      <c r="BC6333" s="3" t="s">
        <v>142</v>
      </c>
      <c r="BD6333" s="3" t="s">
        <v>308</v>
      </c>
      <c r="BE6333" s="3" t="s">
        <v>61037</v>
      </c>
      <c r="BF6333" s="3" t="s">
        <v>61036</v>
      </c>
      <c r="BG6333" s="3" t="s">
        <v>61038</v>
      </c>
    </row>
    <row r="6334" spans="1:59" ht="57" x14ac:dyDescent="0.45">
      <c r="A6334" s="2" t="s">
        <v>59</v>
      </c>
      <c r="B6334" s="2" t="s">
        <v>60</v>
      </c>
      <c r="C6334" s="2" t="s">
        <v>61039</v>
      </c>
      <c r="D6334" s="2" t="s">
        <v>61040</v>
      </c>
      <c r="E6334" s="2" t="s">
        <v>61041</v>
      </c>
      <c r="G6334" s="3" t="s">
        <v>62</v>
      </c>
      <c r="I6334" s="3" t="s">
        <v>62</v>
      </c>
      <c r="J6334" s="3" t="s">
        <v>62</v>
      </c>
      <c r="K6334" s="3" t="s">
        <v>63</v>
      </c>
      <c r="L6334" s="2" t="s">
        <v>61042</v>
      </c>
      <c r="M6334" s="2" t="s">
        <v>61043</v>
      </c>
      <c r="N6334" s="3" t="s">
        <v>1155</v>
      </c>
      <c r="P6334" s="3" t="s">
        <v>65</v>
      </c>
      <c r="Q6334" s="2" t="s">
        <v>61044</v>
      </c>
      <c r="R6334" s="3" t="s">
        <v>66</v>
      </c>
      <c r="S6334" s="4">
        <v>1</v>
      </c>
      <c r="T6334" s="4">
        <v>1</v>
      </c>
      <c r="U6334" s="5" t="s">
        <v>7484</v>
      </c>
      <c r="V6334" s="5" t="s">
        <v>7484</v>
      </c>
      <c r="W6334" s="5" t="s">
        <v>67</v>
      </c>
      <c r="X6334" s="5" t="s">
        <v>67</v>
      </c>
      <c r="Y6334" s="4">
        <v>139</v>
      </c>
      <c r="Z6334" s="4">
        <v>10</v>
      </c>
      <c r="AA6334" s="4">
        <v>78</v>
      </c>
      <c r="AB6334" s="4">
        <v>1</v>
      </c>
      <c r="AC6334" s="4">
        <v>14</v>
      </c>
      <c r="AD6334" s="4">
        <v>63</v>
      </c>
      <c r="AE6334" s="4">
        <v>126</v>
      </c>
      <c r="AF6334" s="4">
        <v>0</v>
      </c>
      <c r="AG6334" s="4">
        <v>8</v>
      </c>
      <c r="AH6334" s="4">
        <v>60</v>
      </c>
      <c r="AI6334" s="4">
        <v>92</v>
      </c>
      <c r="AJ6334" s="4">
        <v>8</v>
      </c>
      <c r="AK6334" s="4">
        <v>21</v>
      </c>
      <c r="AL6334" s="4">
        <v>38</v>
      </c>
      <c r="AM6334" s="4">
        <v>50</v>
      </c>
      <c r="AN6334" s="4">
        <v>0</v>
      </c>
      <c r="AO6334" s="4">
        <v>0</v>
      </c>
      <c r="AP6334" s="4">
        <v>8</v>
      </c>
      <c r="AQ6334" s="4">
        <v>41</v>
      </c>
      <c r="AR6334" s="3" t="s">
        <v>62</v>
      </c>
      <c r="AS6334" s="3" t="s">
        <v>62</v>
      </c>
      <c r="AT6334" s="3" t="s">
        <v>62</v>
      </c>
      <c r="AV6334" s="6" t="str">
        <f>HYPERLINK("http://mcgill.on.worldcat.org/oclc/712780969","Catalog Record")</f>
        <v>Catalog Record</v>
      </c>
      <c r="AW6334" s="6" t="str">
        <f>HYPERLINK("http://www.worldcat.org/oclc/712780969","WorldCat Record")</f>
        <v>WorldCat Record</v>
      </c>
      <c r="AX6334" s="3" t="s">
        <v>61045</v>
      </c>
      <c r="AY6334" s="3" t="s">
        <v>61046</v>
      </c>
      <c r="AZ6334" s="3" t="s">
        <v>61047</v>
      </c>
      <c r="BA6334" s="3" t="s">
        <v>61047</v>
      </c>
      <c r="BB6334" s="3" t="s">
        <v>61048</v>
      </c>
      <c r="BC6334" s="3" t="s">
        <v>142</v>
      </c>
      <c r="BD6334" s="3" t="s">
        <v>68</v>
      </c>
      <c r="BE6334" s="3" t="s">
        <v>61049</v>
      </c>
      <c r="BF6334" s="3" t="s">
        <v>61048</v>
      </c>
      <c r="BG6334" s="3" t="s">
        <v>61050</v>
      </c>
    </row>
    <row r="6335" spans="1:59" ht="57" x14ac:dyDescent="0.45">
      <c r="A6335" s="2" t="s">
        <v>59</v>
      </c>
      <c r="B6335" s="2" t="s">
        <v>60</v>
      </c>
      <c r="C6335" s="2" t="s">
        <v>61051</v>
      </c>
      <c r="D6335" s="2" t="s">
        <v>61052</v>
      </c>
      <c r="E6335" s="2" t="s">
        <v>61053</v>
      </c>
      <c r="G6335" s="3" t="s">
        <v>62</v>
      </c>
      <c r="I6335" s="3" t="s">
        <v>62</v>
      </c>
      <c r="J6335" s="3" t="s">
        <v>62</v>
      </c>
      <c r="K6335" s="3" t="s">
        <v>63</v>
      </c>
      <c r="L6335" s="2" t="s">
        <v>61054</v>
      </c>
      <c r="M6335" s="2" t="s">
        <v>61055</v>
      </c>
      <c r="N6335" s="3" t="s">
        <v>1855</v>
      </c>
      <c r="P6335" s="3" t="s">
        <v>110</v>
      </c>
      <c r="Q6335" s="2" t="s">
        <v>61056</v>
      </c>
      <c r="R6335" s="3" t="s">
        <v>66</v>
      </c>
      <c r="S6335" s="4">
        <v>14</v>
      </c>
      <c r="T6335" s="4">
        <v>14</v>
      </c>
      <c r="U6335" s="5" t="s">
        <v>3388</v>
      </c>
      <c r="V6335" s="5" t="s">
        <v>3388</v>
      </c>
      <c r="W6335" s="5" t="s">
        <v>67</v>
      </c>
      <c r="X6335" s="5" t="s">
        <v>67</v>
      </c>
      <c r="Y6335" s="4">
        <v>13</v>
      </c>
      <c r="Z6335" s="4">
        <v>12</v>
      </c>
      <c r="AA6335" s="4">
        <v>29</v>
      </c>
      <c r="AB6335" s="4">
        <v>2</v>
      </c>
      <c r="AC6335" s="4">
        <v>11</v>
      </c>
      <c r="AD6335" s="4">
        <v>9</v>
      </c>
      <c r="AE6335" s="4">
        <v>21</v>
      </c>
      <c r="AF6335" s="4">
        <v>0</v>
      </c>
      <c r="AG6335" s="4">
        <v>6</v>
      </c>
      <c r="AH6335" s="4">
        <v>7</v>
      </c>
      <c r="AI6335" s="4">
        <v>10</v>
      </c>
      <c r="AJ6335" s="4">
        <v>8</v>
      </c>
      <c r="AK6335" s="4">
        <v>17</v>
      </c>
      <c r="AL6335" s="4">
        <v>1</v>
      </c>
      <c r="AM6335" s="4">
        <v>1</v>
      </c>
      <c r="AN6335" s="4">
        <v>0</v>
      </c>
      <c r="AO6335" s="4">
        <v>0</v>
      </c>
      <c r="AP6335" s="4">
        <v>9</v>
      </c>
      <c r="AQ6335" s="4">
        <v>19</v>
      </c>
      <c r="AR6335" s="3" t="s">
        <v>61</v>
      </c>
      <c r="AS6335" s="3" t="s">
        <v>62</v>
      </c>
      <c r="AT6335" s="3" t="s">
        <v>62</v>
      </c>
      <c r="AV6335" s="6" t="str">
        <f>HYPERLINK("http://mcgill.on.worldcat.org/oclc/68418847","Catalog Record")</f>
        <v>Catalog Record</v>
      </c>
      <c r="AW6335" s="6" t="str">
        <f>HYPERLINK("http://www.worldcat.org/oclc/68418847","WorldCat Record")</f>
        <v>WorldCat Record</v>
      </c>
      <c r="AX6335" s="3" t="s">
        <v>61057</v>
      </c>
      <c r="AY6335" s="3" t="s">
        <v>61058</v>
      </c>
      <c r="AZ6335" s="3" t="s">
        <v>61059</v>
      </c>
      <c r="BA6335" s="3" t="s">
        <v>61059</v>
      </c>
      <c r="BB6335" s="3" t="s">
        <v>61060</v>
      </c>
      <c r="BC6335" s="3" t="s">
        <v>142</v>
      </c>
      <c r="BD6335" s="3" t="s">
        <v>68</v>
      </c>
      <c r="BE6335" s="3" t="s">
        <v>61061</v>
      </c>
      <c r="BF6335" s="3" t="s">
        <v>61060</v>
      </c>
      <c r="BG6335" s="3" t="s">
        <v>61062</v>
      </c>
    </row>
    <row r="6336" spans="1:59" ht="57" x14ac:dyDescent="0.45">
      <c r="A6336" s="2" t="s">
        <v>59</v>
      </c>
      <c r="B6336" s="2" t="s">
        <v>60</v>
      </c>
      <c r="C6336" s="2" t="s">
        <v>61063</v>
      </c>
      <c r="D6336" s="2" t="s">
        <v>61064</v>
      </c>
      <c r="E6336" s="2" t="s">
        <v>61065</v>
      </c>
      <c r="G6336" s="3" t="s">
        <v>62</v>
      </c>
      <c r="I6336" s="3" t="s">
        <v>62</v>
      </c>
      <c r="J6336" s="3" t="s">
        <v>62</v>
      </c>
      <c r="K6336" s="3" t="s">
        <v>63</v>
      </c>
      <c r="L6336" s="2" t="s">
        <v>61066</v>
      </c>
      <c r="M6336" s="2" t="s">
        <v>61067</v>
      </c>
      <c r="N6336" s="3" t="s">
        <v>208</v>
      </c>
      <c r="P6336" s="3" t="s">
        <v>110</v>
      </c>
      <c r="Q6336" s="2" t="s">
        <v>61068</v>
      </c>
      <c r="R6336" s="3" t="s">
        <v>66</v>
      </c>
      <c r="S6336" s="4">
        <v>6</v>
      </c>
      <c r="T6336" s="4">
        <v>6</v>
      </c>
      <c r="U6336" s="5" t="s">
        <v>8982</v>
      </c>
      <c r="V6336" s="5" t="s">
        <v>8982</v>
      </c>
      <c r="W6336" s="5" t="s">
        <v>67</v>
      </c>
      <c r="X6336" s="5" t="s">
        <v>67</v>
      </c>
      <c r="Y6336" s="4">
        <v>24</v>
      </c>
      <c r="Z6336" s="4">
        <v>13</v>
      </c>
      <c r="AA6336" s="4">
        <v>90</v>
      </c>
      <c r="AB6336" s="4">
        <v>2</v>
      </c>
      <c r="AC6336" s="4">
        <v>18</v>
      </c>
      <c r="AD6336" s="4">
        <v>16</v>
      </c>
      <c r="AE6336" s="4">
        <v>89</v>
      </c>
      <c r="AF6336" s="4">
        <v>1</v>
      </c>
      <c r="AG6336" s="4">
        <v>8</v>
      </c>
      <c r="AH6336" s="4">
        <v>8</v>
      </c>
      <c r="AI6336" s="4">
        <v>49</v>
      </c>
      <c r="AJ6336" s="4">
        <v>7</v>
      </c>
      <c r="AK6336" s="4">
        <v>22</v>
      </c>
      <c r="AL6336" s="4">
        <v>5</v>
      </c>
      <c r="AM6336" s="4">
        <v>23</v>
      </c>
      <c r="AN6336" s="4">
        <v>0</v>
      </c>
      <c r="AO6336" s="4">
        <v>0</v>
      </c>
      <c r="AP6336" s="4">
        <v>11</v>
      </c>
      <c r="AQ6336" s="4">
        <v>48</v>
      </c>
      <c r="AR6336" s="3" t="s">
        <v>61</v>
      </c>
      <c r="AS6336" s="3" t="s">
        <v>62</v>
      </c>
      <c r="AT6336" s="3" t="s">
        <v>62</v>
      </c>
      <c r="AV6336" s="6" t="str">
        <f>HYPERLINK("http://mcgill.on.worldcat.org/oclc/911834245","Catalog Record")</f>
        <v>Catalog Record</v>
      </c>
      <c r="AW6336" s="6" t="str">
        <f>HYPERLINK("http://www.worldcat.org/oclc/911834245","WorldCat Record")</f>
        <v>WorldCat Record</v>
      </c>
      <c r="AX6336" s="3" t="s">
        <v>61069</v>
      </c>
      <c r="AY6336" s="3" t="s">
        <v>61070</v>
      </c>
      <c r="AZ6336" s="3" t="s">
        <v>61071</v>
      </c>
      <c r="BA6336" s="3" t="s">
        <v>61071</v>
      </c>
      <c r="BB6336" s="3" t="s">
        <v>61072</v>
      </c>
      <c r="BC6336" s="3" t="s">
        <v>142</v>
      </c>
      <c r="BD6336" s="3" t="s">
        <v>68</v>
      </c>
      <c r="BE6336" s="3" t="s">
        <v>61073</v>
      </c>
      <c r="BF6336" s="3" t="s">
        <v>61072</v>
      </c>
      <c r="BG6336" s="3" t="s">
        <v>61074</v>
      </c>
    </row>
    <row r="6337" spans="1:59" ht="71.25" x14ac:dyDescent="0.45">
      <c r="A6337" s="2" t="s">
        <v>59</v>
      </c>
      <c r="B6337" s="2" t="s">
        <v>60</v>
      </c>
      <c r="C6337" s="2" t="s">
        <v>61075</v>
      </c>
      <c r="D6337" s="2" t="s">
        <v>61076</v>
      </c>
      <c r="E6337" s="2" t="s">
        <v>61077</v>
      </c>
      <c r="G6337" s="3" t="s">
        <v>62</v>
      </c>
      <c r="I6337" s="3" t="s">
        <v>62</v>
      </c>
      <c r="J6337" s="3" t="s">
        <v>62</v>
      </c>
      <c r="K6337" s="3" t="s">
        <v>63</v>
      </c>
      <c r="M6337" s="2" t="s">
        <v>61078</v>
      </c>
      <c r="N6337" s="3" t="s">
        <v>820</v>
      </c>
      <c r="P6337" s="3" t="s">
        <v>110</v>
      </c>
      <c r="Q6337" s="2" t="s">
        <v>61079</v>
      </c>
      <c r="R6337" s="3" t="s">
        <v>66</v>
      </c>
      <c r="S6337" s="4">
        <v>23</v>
      </c>
      <c r="T6337" s="4">
        <v>23</v>
      </c>
      <c r="U6337" s="5" t="s">
        <v>21665</v>
      </c>
      <c r="V6337" s="5" t="s">
        <v>21665</v>
      </c>
      <c r="W6337" s="5" t="s">
        <v>67</v>
      </c>
      <c r="X6337" s="5" t="s">
        <v>67</v>
      </c>
      <c r="Y6337" s="4">
        <v>14</v>
      </c>
      <c r="Z6337" s="4">
        <v>13</v>
      </c>
      <c r="AA6337" s="4">
        <v>13</v>
      </c>
      <c r="AB6337" s="4">
        <v>8</v>
      </c>
      <c r="AC6337" s="4">
        <v>8</v>
      </c>
      <c r="AD6337" s="4">
        <v>10</v>
      </c>
      <c r="AE6337" s="4">
        <v>10</v>
      </c>
      <c r="AF6337" s="4">
        <v>5</v>
      </c>
      <c r="AG6337" s="4">
        <v>5</v>
      </c>
      <c r="AH6337" s="4">
        <v>4</v>
      </c>
      <c r="AI6337" s="4">
        <v>4</v>
      </c>
      <c r="AJ6337" s="4">
        <v>8</v>
      </c>
      <c r="AK6337" s="4">
        <v>8</v>
      </c>
      <c r="AL6337" s="4">
        <v>0</v>
      </c>
      <c r="AM6337" s="4">
        <v>0</v>
      </c>
      <c r="AN6337" s="4">
        <v>0</v>
      </c>
      <c r="AO6337" s="4">
        <v>0</v>
      </c>
      <c r="AP6337" s="4">
        <v>8</v>
      </c>
      <c r="AQ6337" s="4">
        <v>8</v>
      </c>
      <c r="AR6337" s="3" t="s">
        <v>61</v>
      </c>
      <c r="AS6337" s="3" t="s">
        <v>62</v>
      </c>
      <c r="AT6337" s="3" t="s">
        <v>62</v>
      </c>
      <c r="AV6337" s="6" t="str">
        <f>HYPERLINK("http://mcgill.on.worldcat.org/oclc/259599182","Catalog Record")</f>
        <v>Catalog Record</v>
      </c>
      <c r="AW6337" s="6" t="str">
        <f>HYPERLINK("http://www.worldcat.org/oclc/259599182","WorldCat Record")</f>
        <v>WorldCat Record</v>
      </c>
      <c r="AX6337" s="3" t="s">
        <v>61080</v>
      </c>
      <c r="AY6337" s="3" t="s">
        <v>61081</v>
      </c>
      <c r="AZ6337" s="3" t="s">
        <v>61082</v>
      </c>
      <c r="BA6337" s="3" t="s">
        <v>61082</v>
      </c>
      <c r="BB6337" s="3" t="s">
        <v>61083</v>
      </c>
      <c r="BC6337" s="3" t="s">
        <v>142</v>
      </c>
      <c r="BD6337" s="3" t="s">
        <v>68</v>
      </c>
      <c r="BE6337" s="3" t="s">
        <v>61084</v>
      </c>
      <c r="BF6337" s="3" t="s">
        <v>61083</v>
      </c>
      <c r="BG6337" s="3" t="s">
        <v>61085</v>
      </c>
    </row>
    <row r="6338" spans="1:59" ht="57" x14ac:dyDescent="0.45">
      <c r="A6338" s="2" t="s">
        <v>59</v>
      </c>
      <c r="B6338" s="2" t="s">
        <v>20606</v>
      </c>
      <c r="C6338" s="2" t="s">
        <v>61086</v>
      </c>
      <c r="D6338" s="2" t="s">
        <v>61087</v>
      </c>
      <c r="E6338" s="2" t="s">
        <v>61088</v>
      </c>
      <c r="G6338" s="3" t="s">
        <v>62</v>
      </c>
      <c r="I6338" s="3" t="s">
        <v>62</v>
      </c>
      <c r="J6338" s="3" t="s">
        <v>62</v>
      </c>
      <c r="K6338" s="3" t="s">
        <v>63</v>
      </c>
      <c r="M6338" s="2" t="s">
        <v>61089</v>
      </c>
      <c r="N6338" s="3" t="s">
        <v>1688</v>
      </c>
      <c r="P6338" s="3" t="s">
        <v>65</v>
      </c>
      <c r="R6338" s="3" t="s">
        <v>66</v>
      </c>
      <c r="S6338" s="4">
        <v>9</v>
      </c>
      <c r="T6338" s="4">
        <v>9</v>
      </c>
      <c r="U6338" s="5" t="s">
        <v>61090</v>
      </c>
      <c r="V6338" s="5" t="s">
        <v>61090</v>
      </c>
      <c r="W6338" s="5" t="s">
        <v>67</v>
      </c>
      <c r="X6338" s="5" t="s">
        <v>67</v>
      </c>
      <c r="Y6338" s="4">
        <v>99</v>
      </c>
      <c r="Z6338" s="4">
        <v>27</v>
      </c>
      <c r="AA6338" s="4">
        <v>124</v>
      </c>
      <c r="AB6338" s="4">
        <v>2</v>
      </c>
      <c r="AC6338" s="4">
        <v>20</v>
      </c>
      <c r="AD6338" s="4">
        <v>57</v>
      </c>
      <c r="AE6338" s="4">
        <v>123</v>
      </c>
      <c r="AF6338" s="4">
        <v>1</v>
      </c>
      <c r="AG6338" s="4">
        <v>9</v>
      </c>
      <c r="AH6338" s="4">
        <v>44</v>
      </c>
      <c r="AI6338" s="4">
        <v>79</v>
      </c>
      <c r="AJ6338" s="4">
        <v>14</v>
      </c>
      <c r="AK6338" s="4">
        <v>26</v>
      </c>
      <c r="AL6338" s="4">
        <v>26</v>
      </c>
      <c r="AM6338" s="4">
        <v>45</v>
      </c>
      <c r="AN6338" s="4">
        <v>0</v>
      </c>
      <c r="AO6338" s="4">
        <v>0</v>
      </c>
      <c r="AP6338" s="4">
        <v>19</v>
      </c>
      <c r="AQ6338" s="4">
        <v>51</v>
      </c>
      <c r="AR6338" s="3" t="s">
        <v>61</v>
      </c>
      <c r="AS6338" s="3" t="s">
        <v>62</v>
      </c>
      <c r="AT6338" s="3" t="s">
        <v>62</v>
      </c>
      <c r="AV6338" s="6" t="str">
        <f>HYPERLINK("http://mcgill.on.worldcat.org/oclc/864505079","Catalog Record")</f>
        <v>Catalog Record</v>
      </c>
      <c r="AW6338" s="6" t="str">
        <f>HYPERLINK("http://www.worldcat.org/oclc/864505079","WorldCat Record")</f>
        <v>WorldCat Record</v>
      </c>
      <c r="AX6338" s="3" t="s">
        <v>61091</v>
      </c>
      <c r="AY6338" s="3" t="s">
        <v>61092</v>
      </c>
      <c r="AZ6338" s="3" t="s">
        <v>61093</v>
      </c>
      <c r="BA6338" s="3" t="s">
        <v>61093</v>
      </c>
      <c r="BB6338" s="3" t="s">
        <v>61094</v>
      </c>
      <c r="BC6338" s="3" t="s">
        <v>142</v>
      </c>
      <c r="BD6338" s="3" t="s">
        <v>308</v>
      </c>
      <c r="BE6338" s="3" t="s">
        <v>61095</v>
      </c>
      <c r="BF6338" s="3" t="s">
        <v>61094</v>
      </c>
      <c r="BG6338" s="3" t="s">
        <v>61096</v>
      </c>
    </row>
    <row r="6339" spans="1:59" ht="71.25" x14ac:dyDescent="0.45">
      <c r="A6339" s="2" t="s">
        <v>59</v>
      </c>
      <c r="B6339" s="2" t="s">
        <v>60</v>
      </c>
      <c r="C6339" s="2" t="s">
        <v>61097</v>
      </c>
      <c r="D6339" s="2" t="s">
        <v>61098</v>
      </c>
      <c r="E6339" s="2" t="s">
        <v>61099</v>
      </c>
      <c r="G6339" s="3" t="s">
        <v>62</v>
      </c>
      <c r="I6339" s="3" t="s">
        <v>62</v>
      </c>
      <c r="J6339" s="3" t="s">
        <v>62</v>
      </c>
      <c r="K6339" s="3" t="s">
        <v>63</v>
      </c>
      <c r="M6339" s="2" t="s">
        <v>61100</v>
      </c>
      <c r="N6339" s="3" t="s">
        <v>149</v>
      </c>
      <c r="P6339" s="3" t="s">
        <v>110</v>
      </c>
      <c r="R6339" s="3" t="s">
        <v>66</v>
      </c>
      <c r="S6339" s="4">
        <v>3</v>
      </c>
      <c r="T6339" s="4">
        <v>3</v>
      </c>
      <c r="U6339" s="5" t="s">
        <v>61101</v>
      </c>
      <c r="V6339" s="5" t="s">
        <v>61101</v>
      </c>
      <c r="W6339" s="5" t="s">
        <v>67</v>
      </c>
      <c r="X6339" s="5" t="s">
        <v>67</v>
      </c>
      <c r="Y6339" s="4">
        <v>11</v>
      </c>
      <c r="Z6339" s="4">
        <v>3</v>
      </c>
      <c r="AA6339" s="4">
        <v>6</v>
      </c>
      <c r="AB6339" s="4">
        <v>1</v>
      </c>
      <c r="AC6339" s="4">
        <v>3</v>
      </c>
      <c r="AD6339" s="4">
        <v>4</v>
      </c>
      <c r="AE6339" s="4">
        <v>6</v>
      </c>
      <c r="AF6339" s="4">
        <v>0</v>
      </c>
      <c r="AG6339" s="4">
        <v>1</v>
      </c>
      <c r="AH6339" s="4">
        <v>4</v>
      </c>
      <c r="AI6339" s="4">
        <v>5</v>
      </c>
      <c r="AJ6339" s="4">
        <v>1</v>
      </c>
      <c r="AK6339" s="4">
        <v>3</v>
      </c>
      <c r="AL6339" s="4">
        <v>3</v>
      </c>
      <c r="AM6339" s="4">
        <v>3</v>
      </c>
      <c r="AN6339" s="4">
        <v>0</v>
      </c>
      <c r="AO6339" s="4">
        <v>0</v>
      </c>
      <c r="AP6339" s="4">
        <v>1</v>
      </c>
      <c r="AQ6339" s="4">
        <v>2</v>
      </c>
      <c r="AR6339" s="3" t="s">
        <v>62</v>
      </c>
      <c r="AS6339" s="3" t="s">
        <v>62</v>
      </c>
      <c r="AT6339" s="3" t="s">
        <v>62</v>
      </c>
      <c r="AV6339" s="6" t="str">
        <f>HYPERLINK("http://mcgill.on.worldcat.org/oclc/726820343","Catalog Record")</f>
        <v>Catalog Record</v>
      </c>
      <c r="AW6339" s="6" t="str">
        <f>HYPERLINK("http://www.worldcat.org/oclc/726820343","WorldCat Record")</f>
        <v>WorldCat Record</v>
      </c>
      <c r="AX6339" s="3" t="s">
        <v>61102</v>
      </c>
      <c r="AY6339" s="3" t="s">
        <v>61103</v>
      </c>
      <c r="AZ6339" s="3" t="s">
        <v>61104</v>
      </c>
      <c r="BA6339" s="3" t="s">
        <v>61104</v>
      </c>
      <c r="BB6339" s="3" t="s">
        <v>61105</v>
      </c>
      <c r="BC6339" s="3" t="s">
        <v>142</v>
      </c>
      <c r="BD6339" s="3" t="s">
        <v>68</v>
      </c>
      <c r="BE6339" s="3" t="s">
        <v>61106</v>
      </c>
      <c r="BF6339" s="3" t="s">
        <v>61105</v>
      </c>
      <c r="BG6339" s="3" t="s">
        <v>61107</v>
      </c>
    </row>
    <row r="6340" spans="1:59" ht="57" x14ac:dyDescent="0.45">
      <c r="A6340" s="2" t="s">
        <v>59</v>
      </c>
      <c r="B6340" s="2" t="s">
        <v>60</v>
      </c>
      <c r="C6340" s="2" t="s">
        <v>61108</v>
      </c>
      <c r="D6340" s="2" t="s">
        <v>61109</v>
      </c>
      <c r="E6340" s="2" t="s">
        <v>61110</v>
      </c>
      <c r="G6340" s="3" t="s">
        <v>62</v>
      </c>
      <c r="I6340" s="3" t="s">
        <v>62</v>
      </c>
      <c r="J6340" s="3" t="s">
        <v>62</v>
      </c>
      <c r="K6340" s="3" t="s">
        <v>63</v>
      </c>
      <c r="M6340" s="2" t="s">
        <v>61111</v>
      </c>
      <c r="N6340" s="3" t="s">
        <v>181</v>
      </c>
      <c r="P6340" s="3" t="s">
        <v>65</v>
      </c>
      <c r="R6340" s="3" t="s">
        <v>66</v>
      </c>
      <c r="S6340" s="4">
        <v>1</v>
      </c>
      <c r="T6340" s="4">
        <v>1</v>
      </c>
      <c r="U6340" s="5" t="s">
        <v>5274</v>
      </c>
      <c r="V6340" s="5" t="s">
        <v>5274</v>
      </c>
      <c r="W6340" s="5" t="s">
        <v>67</v>
      </c>
      <c r="X6340" s="5" t="s">
        <v>67</v>
      </c>
      <c r="Y6340" s="4">
        <v>93</v>
      </c>
      <c r="Z6340" s="4">
        <v>7</v>
      </c>
      <c r="AA6340" s="4">
        <v>52</v>
      </c>
      <c r="AB6340" s="4">
        <v>1</v>
      </c>
      <c r="AC6340" s="4">
        <v>5</v>
      </c>
      <c r="AD6340" s="4">
        <v>46</v>
      </c>
      <c r="AE6340" s="4">
        <v>89</v>
      </c>
      <c r="AF6340" s="4">
        <v>0</v>
      </c>
      <c r="AG6340" s="4">
        <v>1</v>
      </c>
      <c r="AH6340" s="4">
        <v>45</v>
      </c>
      <c r="AI6340" s="4">
        <v>70</v>
      </c>
      <c r="AJ6340" s="4">
        <v>5</v>
      </c>
      <c r="AK6340" s="4">
        <v>13</v>
      </c>
      <c r="AL6340" s="4">
        <v>31</v>
      </c>
      <c r="AM6340" s="4">
        <v>43</v>
      </c>
      <c r="AN6340" s="4">
        <v>0</v>
      </c>
      <c r="AO6340" s="4">
        <v>0</v>
      </c>
      <c r="AP6340" s="4">
        <v>5</v>
      </c>
      <c r="AQ6340" s="4">
        <v>23</v>
      </c>
      <c r="AR6340" s="3" t="s">
        <v>62</v>
      </c>
      <c r="AS6340" s="3" t="s">
        <v>62</v>
      </c>
      <c r="AT6340" s="3" t="s">
        <v>62</v>
      </c>
      <c r="AV6340" s="6" t="str">
        <f>HYPERLINK("http://mcgill.on.worldcat.org/oclc/918590883","Catalog Record")</f>
        <v>Catalog Record</v>
      </c>
      <c r="AW6340" s="6" t="str">
        <f>HYPERLINK("http://www.worldcat.org/oclc/918590883","WorldCat Record")</f>
        <v>WorldCat Record</v>
      </c>
      <c r="AX6340" s="3" t="s">
        <v>61112</v>
      </c>
      <c r="AY6340" s="3" t="s">
        <v>61113</v>
      </c>
      <c r="AZ6340" s="3" t="s">
        <v>61114</v>
      </c>
      <c r="BA6340" s="3" t="s">
        <v>61114</v>
      </c>
      <c r="BB6340" s="3" t="s">
        <v>61115</v>
      </c>
      <c r="BC6340" s="3" t="s">
        <v>142</v>
      </c>
      <c r="BD6340" s="3" t="s">
        <v>68</v>
      </c>
      <c r="BE6340" s="3" t="s">
        <v>61116</v>
      </c>
      <c r="BF6340" s="3" t="s">
        <v>61115</v>
      </c>
      <c r="BG6340" s="3" t="s">
        <v>61117</v>
      </c>
    </row>
    <row r="6341" spans="1:59" ht="57" x14ac:dyDescent="0.45">
      <c r="A6341" s="2" t="s">
        <v>59</v>
      </c>
      <c r="B6341" s="2" t="s">
        <v>60</v>
      </c>
      <c r="C6341" s="2" t="s">
        <v>61118</v>
      </c>
      <c r="D6341" s="2" t="s">
        <v>61119</v>
      </c>
      <c r="E6341" s="2" t="s">
        <v>61120</v>
      </c>
      <c r="G6341" s="3" t="s">
        <v>62</v>
      </c>
      <c r="I6341" s="3" t="s">
        <v>62</v>
      </c>
      <c r="J6341" s="3" t="s">
        <v>62</v>
      </c>
      <c r="K6341" s="3" t="s">
        <v>63</v>
      </c>
      <c r="M6341" s="2" t="s">
        <v>61121</v>
      </c>
      <c r="N6341" s="3" t="s">
        <v>1688</v>
      </c>
      <c r="P6341" s="3" t="s">
        <v>65</v>
      </c>
      <c r="Q6341" s="2" t="s">
        <v>61122</v>
      </c>
      <c r="R6341" s="3" t="s">
        <v>66</v>
      </c>
      <c r="S6341" s="4">
        <v>4</v>
      </c>
      <c r="T6341" s="4">
        <v>4</v>
      </c>
      <c r="U6341" s="5" t="s">
        <v>7025</v>
      </c>
      <c r="V6341" s="5" t="s">
        <v>7025</v>
      </c>
      <c r="W6341" s="5" t="s">
        <v>67</v>
      </c>
      <c r="X6341" s="5" t="s">
        <v>67</v>
      </c>
      <c r="Y6341" s="4">
        <v>89</v>
      </c>
      <c r="Z6341" s="4">
        <v>6</v>
      </c>
      <c r="AA6341" s="4">
        <v>74</v>
      </c>
      <c r="AB6341" s="4">
        <v>1</v>
      </c>
      <c r="AC6341" s="4">
        <v>14</v>
      </c>
      <c r="AD6341" s="4">
        <v>38</v>
      </c>
      <c r="AE6341" s="4">
        <v>97</v>
      </c>
      <c r="AF6341" s="4">
        <v>0</v>
      </c>
      <c r="AG6341" s="4">
        <v>8</v>
      </c>
      <c r="AH6341" s="4">
        <v>37</v>
      </c>
      <c r="AI6341" s="4">
        <v>67</v>
      </c>
      <c r="AJ6341" s="4">
        <v>4</v>
      </c>
      <c r="AK6341" s="4">
        <v>18</v>
      </c>
      <c r="AL6341" s="4">
        <v>26</v>
      </c>
      <c r="AM6341" s="4">
        <v>38</v>
      </c>
      <c r="AN6341" s="4">
        <v>0</v>
      </c>
      <c r="AO6341" s="4">
        <v>0</v>
      </c>
      <c r="AP6341" s="4">
        <v>4</v>
      </c>
      <c r="AQ6341" s="4">
        <v>38</v>
      </c>
      <c r="AR6341" s="3" t="s">
        <v>62</v>
      </c>
      <c r="AS6341" s="3" t="s">
        <v>62</v>
      </c>
      <c r="AT6341" s="3" t="s">
        <v>62</v>
      </c>
      <c r="AV6341" s="6" t="str">
        <f>HYPERLINK("http://mcgill.on.worldcat.org/oclc/881720325","Catalog Record")</f>
        <v>Catalog Record</v>
      </c>
      <c r="AW6341" s="6" t="str">
        <f>HYPERLINK("http://www.worldcat.org/oclc/881720325","WorldCat Record")</f>
        <v>WorldCat Record</v>
      </c>
      <c r="AX6341" s="3" t="s">
        <v>61123</v>
      </c>
      <c r="AY6341" s="3" t="s">
        <v>61124</v>
      </c>
      <c r="AZ6341" s="3" t="s">
        <v>61125</v>
      </c>
      <c r="BA6341" s="3" t="s">
        <v>61125</v>
      </c>
      <c r="BB6341" s="3" t="s">
        <v>61126</v>
      </c>
      <c r="BC6341" s="3" t="s">
        <v>142</v>
      </c>
      <c r="BD6341" s="3" t="s">
        <v>68</v>
      </c>
      <c r="BE6341" s="3" t="s">
        <v>61127</v>
      </c>
      <c r="BF6341" s="3" t="s">
        <v>61126</v>
      </c>
      <c r="BG6341" s="3" t="s">
        <v>61128</v>
      </c>
    </row>
    <row r="6342" spans="1:59" ht="57" x14ac:dyDescent="0.45">
      <c r="A6342" s="2" t="s">
        <v>59</v>
      </c>
      <c r="B6342" s="2" t="s">
        <v>60</v>
      </c>
      <c r="C6342" s="2" t="s">
        <v>61129</v>
      </c>
      <c r="D6342" s="2" t="s">
        <v>61130</v>
      </c>
      <c r="E6342" s="2" t="s">
        <v>61131</v>
      </c>
      <c r="G6342" s="3" t="s">
        <v>62</v>
      </c>
      <c r="I6342" s="3" t="s">
        <v>62</v>
      </c>
      <c r="J6342" s="3" t="s">
        <v>62</v>
      </c>
      <c r="K6342" s="3" t="s">
        <v>63</v>
      </c>
      <c r="M6342" s="2" t="s">
        <v>3135</v>
      </c>
      <c r="N6342" s="3" t="s">
        <v>945</v>
      </c>
      <c r="P6342" s="3" t="s">
        <v>65</v>
      </c>
      <c r="R6342" s="3" t="s">
        <v>66</v>
      </c>
      <c r="S6342" s="4">
        <v>30</v>
      </c>
      <c r="T6342" s="4">
        <v>30</v>
      </c>
      <c r="U6342" s="5" t="s">
        <v>4105</v>
      </c>
      <c r="V6342" s="5" t="s">
        <v>4105</v>
      </c>
      <c r="W6342" s="5" t="s">
        <v>67</v>
      </c>
      <c r="X6342" s="5" t="s">
        <v>67</v>
      </c>
      <c r="Y6342" s="4">
        <v>230</v>
      </c>
      <c r="Z6342" s="4">
        <v>14</v>
      </c>
      <c r="AA6342" s="4">
        <v>82</v>
      </c>
      <c r="AB6342" s="4">
        <v>2</v>
      </c>
      <c r="AC6342" s="4">
        <v>14</v>
      </c>
      <c r="AD6342" s="4">
        <v>89</v>
      </c>
      <c r="AE6342" s="4">
        <v>131</v>
      </c>
      <c r="AF6342" s="4">
        <v>1</v>
      </c>
      <c r="AG6342" s="4">
        <v>8</v>
      </c>
      <c r="AH6342" s="4">
        <v>81</v>
      </c>
      <c r="AI6342" s="4">
        <v>95</v>
      </c>
      <c r="AJ6342" s="4">
        <v>12</v>
      </c>
      <c r="AK6342" s="4">
        <v>25</v>
      </c>
      <c r="AL6342" s="4">
        <v>48</v>
      </c>
      <c r="AM6342" s="4">
        <v>53</v>
      </c>
      <c r="AN6342" s="4">
        <v>0</v>
      </c>
      <c r="AO6342" s="4">
        <v>0</v>
      </c>
      <c r="AP6342" s="4">
        <v>12</v>
      </c>
      <c r="AQ6342" s="4">
        <v>44</v>
      </c>
      <c r="AR6342" s="3" t="s">
        <v>62</v>
      </c>
      <c r="AS6342" s="3" t="s">
        <v>62</v>
      </c>
      <c r="AT6342" s="3" t="s">
        <v>62</v>
      </c>
      <c r="AV6342" s="6" t="str">
        <f>HYPERLINK("http://mcgill.on.worldcat.org/oclc/76935903","Catalog Record")</f>
        <v>Catalog Record</v>
      </c>
      <c r="AW6342" s="6" t="str">
        <f>HYPERLINK("http://www.worldcat.org/oclc/76935903","WorldCat Record")</f>
        <v>WorldCat Record</v>
      </c>
      <c r="AX6342" s="3" t="s">
        <v>61132</v>
      </c>
      <c r="AY6342" s="3" t="s">
        <v>61133</v>
      </c>
      <c r="AZ6342" s="3" t="s">
        <v>61134</v>
      </c>
      <c r="BA6342" s="3" t="s">
        <v>61134</v>
      </c>
      <c r="BB6342" s="3" t="s">
        <v>61135</v>
      </c>
      <c r="BC6342" s="3" t="s">
        <v>142</v>
      </c>
      <c r="BD6342" s="3" t="s">
        <v>68</v>
      </c>
      <c r="BE6342" s="3" t="s">
        <v>61136</v>
      </c>
      <c r="BF6342" s="3" t="s">
        <v>61135</v>
      </c>
      <c r="BG6342" s="3" t="s">
        <v>61137</v>
      </c>
    </row>
    <row r="6343" spans="1:59" ht="57" x14ac:dyDescent="0.45">
      <c r="A6343" s="2" t="s">
        <v>59</v>
      </c>
      <c r="B6343" s="2" t="s">
        <v>60</v>
      </c>
      <c r="C6343" s="2" t="s">
        <v>61138</v>
      </c>
      <c r="D6343" s="2" t="s">
        <v>61139</v>
      </c>
      <c r="E6343" s="2" t="s">
        <v>61140</v>
      </c>
      <c r="G6343" s="3" t="s">
        <v>62</v>
      </c>
      <c r="I6343" s="3" t="s">
        <v>62</v>
      </c>
      <c r="J6343" s="3" t="s">
        <v>62</v>
      </c>
      <c r="K6343" s="3" t="s">
        <v>63</v>
      </c>
      <c r="M6343" s="2" t="s">
        <v>61141</v>
      </c>
      <c r="N6343" s="3" t="s">
        <v>149</v>
      </c>
      <c r="P6343" s="3" t="s">
        <v>65</v>
      </c>
      <c r="Q6343" s="2" t="s">
        <v>61142</v>
      </c>
      <c r="R6343" s="3" t="s">
        <v>66</v>
      </c>
      <c r="S6343" s="4">
        <v>6</v>
      </c>
      <c r="T6343" s="4">
        <v>6</v>
      </c>
      <c r="U6343" s="5" t="s">
        <v>7233</v>
      </c>
      <c r="V6343" s="5" t="s">
        <v>7233</v>
      </c>
      <c r="W6343" s="5" t="s">
        <v>67</v>
      </c>
      <c r="X6343" s="5" t="s">
        <v>67</v>
      </c>
      <c r="Y6343" s="4">
        <v>97</v>
      </c>
      <c r="Z6343" s="4">
        <v>9</v>
      </c>
      <c r="AA6343" s="4">
        <v>90</v>
      </c>
      <c r="AB6343" s="4">
        <v>2</v>
      </c>
      <c r="AC6343" s="4">
        <v>17</v>
      </c>
      <c r="AD6343" s="4">
        <v>47</v>
      </c>
      <c r="AE6343" s="4">
        <v>103</v>
      </c>
      <c r="AF6343" s="4">
        <v>1</v>
      </c>
      <c r="AG6343" s="4">
        <v>8</v>
      </c>
      <c r="AH6343" s="4">
        <v>44</v>
      </c>
      <c r="AI6343" s="4">
        <v>70</v>
      </c>
      <c r="AJ6343" s="4">
        <v>7</v>
      </c>
      <c r="AK6343" s="4">
        <v>19</v>
      </c>
      <c r="AL6343" s="4">
        <v>27</v>
      </c>
      <c r="AM6343" s="4">
        <v>36</v>
      </c>
      <c r="AN6343" s="4">
        <v>0</v>
      </c>
      <c r="AO6343" s="4">
        <v>0</v>
      </c>
      <c r="AP6343" s="4">
        <v>7</v>
      </c>
      <c r="AQ6343" s="4">
        <v>40</v>
      </c>
      <c r="AR6343" s="3" t="s">
        <v>62</v>
      </c>
      <c r="AS6343" s="3" t="s">
        <v>62</v>
      </c>
      <c r="AT6343" s="3" t="s">
        <v>62</v>
      </c>
      <c r="AV6343" s="6" t="str">
        <f>HYPERLINK("http://mcgill.on.worldcat.org/oclc/608105682","Catalog Record")</f>
        <v>Catalog Record</v>
      </c>
      <c r="AW6343" s="6" t="str">
        <f>HYPERLINK("http://www.worldcat.org/oclc/608105682","WorldCat Record")</f>
        <v>WorldCat Record</v>
      </c>
      <c r="AX6343" s="3" t="s">
        <v>61143</v>
      </c>
      <c r="AY6343" s="3" t="s">
        <v>61144</v>
      </c>
      <c r="AZ6343" s="3" t="s">
        <v>61145</v>
      </c>
      <c r="BA6343" s="3" t="s">
        <v>61145</v>
      </c>
      <c r="BB6343" s="3" t="s">
        <v>61146</v>
      </c>
      <c r="BC6343" s="3" t="s">
        <v>142</v>
      </c>
      <c r="BD6343" s="3" t="s">
        <v>68</v>
      </c>
      <c r="BE6343" s="3" t="s">
        <v>61147</v>
      </c>
      <c r="BF6343" s="3" t="s">
        <v>61146</v>
      </c>
      <c r="BG6343" s="3" t="s">
        <v>61148</v>
      </c>
    </row>
    <row r="6344" spans="1:59" ht="85.5" x14ac:dyDescent="0.45">
      <c r="A6344" s="2" t="s">
        <v>59</v>
      </c>
      <c r="B6344" s="2" t="s">
        <v>60</v>
      </c>
      <c r="C6344" s="2" t="s">
        <v>61149</v>
      </c>
      <c r="D6344" s="2" t="s">
        <v>61150</v>
      </c>
      <c r="E6344" s="2" t="s">
        <v>61151</v>
      </c>
      <c r="G6344" s="3" t="s">
        <v>62</v>
      </c>
      <c r="I6344" s="3" t="s">
        <v>62</v>
      </c>
      <c r="J6344" s="3" t="s">
        <v>62</v>
      </c>
      <c r="K6344" s="3" t="s">
        <v>63</v>
      </c>
      <c r="M6344" s="2" t="s">
        <v>61152</v>
      </c>
      <c r="N6344" s="3" t="s">
        <v>1155</v>
      </c>
      <c r="P6344" s="3" t="s">
        <v>110</v>
      </c>
      <c r="Q6344" s="2" t="s">
        <v>61153</v>
      </c>
      <c r="R6344" s="3" t="s">
        <v>66</v>
      </c>
      <c r="S6344" s="4">
        <v>0</v>
      </c>
      <c r="T6344" s="4">
        <v>0</v>
      </c>
      <c r="W6344" s="5" t="s">
        <v>67</v>
      </c>
      <c r="X6344" s="5" t="s">
        <v>67</v>
      </c>
      <c r="Y6344" s="4">
        <v>39</v>
      </c>
      <c r="Z6344" s="4">
        <v>6</v>
      </c>
      <c r="AA6344" s="4">
        <v>10</v>
      </c>
      <c r="AB6344" s="4">
        <v>1</v>
      </c>
      <c r="AC6344" s="4">
        <v>4</v>
      </c>
      <c r="AD6344" s="4">
        <v>26</v>
      </c>
      <c r="AE6344" s="4">
        <v>29</v>
      </c>
      <c r="AF6344" s="4">
        <v>0</v>
      </c>
      <c r="AG6344" s="4">
        <v>2</v>
      </c>
      <c r="AH6344" s="4">
        <v>24</v>
      </c>
      <c r="AI6344" s="4">
        <v>26</v>
      </c>
      <c r="AJ6344" s="4">
        <v>4</v>
      </c>
      <c r="AK6344" s="4">
        <v>7</v>
      </c>
      <c r="AL6344" s="4">
        <v>20</v>
      </c>
      <c r="AM6344" s="4">
        <v>20</v>
      </c>
      <c r="AN6344" s="4">
        <v>0</v>
      </c>
      <c r="AO6344" s="4">
        <v>0</v>
      </c>
      <c r="AP6344" s="4">
        <v>4</v>
      </c>
      <c r="AQ6344" s="4">
        <v>6</v>
      </c>
      <c r="AR6344" s="3" t="s">
        <v>62</v>
      </c>
      <c r="AS6344" s="3" t="s">
        <v>62</v>
      </c>
      <c r="AT6344" s="3" t="s">
        <v>62</v>
      </c>
      <c r="AV6344" s="6" t="str">
        <f>HYPERLINK("http://mcgill.on.worldcat.org/oclc/795007786","Catalog Record")</f>
        <v>Catalog Record</v>
      </c>
      <c r="AW6344" s="6" t="str">
        <f>HYPERLINK("http://www.worldcat.org/oclc/795007786","WorldCat Record")</f>
        <v>WorldCat Record</v>
      </c>
      <c r="AX6344" s="3" t="s">
        <v>61154</v>
      </c>
      <c r="AY6344" s="3" t="s">
        <v>61155</v>
      </c>
      <c r="AZ6344" s="3" t="s">
        <v>61156</v>
      </c>
      <c r="BA6344" s="3" t="s">
        <v>61156</v>
      </c>
      <c r="BB6344" s="3" t="s">
        <v>61157</v>
      </c>
      <c r="BC6344" s="3" t="s">
        <v>142</v>
      </c>
      <c r="BD6344" s="3" t="s">
        <v>68</v>
      </c>
      <c r="BE6344" s="3" t="s">
        <v>61158</v>
      </c>
      <c r="BF6344" s="3" t="s">
        <v>61157</v>
      </c>
      <c r="BG6344" s="3" t="s">
        <v>61159</v>
      </c>
    </row>
    <row r="6345" spans="1:59" ht="85.5" x14ac:dyDescent="0.45">
      <c r="A6345" s="2" t="s">
        <v>59</v>
      </c>
      <c r="B6345" s="2" t="s">
        <v>60</v>
      </c>
      <c r="C6345" s="2" t="s">
        <v>61160</v>
      </c>
      <c r="D6345" s="2" t="s">
        <v>61161</v>
      </c>
      <c r="E6345" s="2" t="s">
        <v>61162</v>
      </c>
      <c r="G6345" s="3" t="s">
        <v>62</v>
      </c>
      <c r="I6345" s="3" t="s">
        <v>62</v>
      </c>
      <c r="J6345" s="3" t="s">
        <v>62</v>
      </c>
      <c r="K6345" s="3" t="s">
        <v>63</v>
      </c>
      <c r="M6345" s="2" t="s">
        <v>61163</v>
      </c>
      <c r="N6345" s="3" t="s">
        <v>1097</v>
      </c>
      <c r="P6345" s="3" t="s">
        <v>110</v>
      </c>
      <c r="R6345" s="3" t="s">
        <v>66</v>
      </c>
      <c r="S6345" s="4">
        <v>4</v>
      </c>
      <c r="T6345" s="4">
        <v>4</v>
      </c>
      <c r="U6345" s="5" t="s">
        <v>34673</v>
      </c>
      <c r="V6345" s="5" t="s">
        <v>34673</v>
      </c>
      <c r="W6345" s="5" t="s">
        <v>67</v>
      </c>
      <c r="X6345" s="5" t="s">
        <v>67</v>
      </c>
      <c r="Y6345" s="4">
        <v>80</v>
      </c>
      <c r="Z6345" s="4">
        <v>6</v>
      </c>
      <c r="AA6345" s="4">
        <v>9</v>
      </c>
      <c r="AB6345" s="4">
        <v>1</v>
      </c>
      <c r="AC6345" s="4">
        <v>3</v>
      </c>
      <c r="AD6345" s="4">
        <v>41</v>
      </c>
      <c r="AE6345" s="4">
        <v>44</v>
      </c>
      <c r="AF6345" s="4">
        <v>0</v>
      </c>
      <c r="AG6345" s="4">
        <v>2</v>
      </c>
      <c r="AH6345" s="4">
        <v>38</v>
      </c>
      <c r="AI6345" s="4">
        <v>40</v>
      </c>
      <c r="AJ6345" s="4">
        <v>4</v>
      </c>
      <c r="AK6345" s="4">
        <v>7</v>
      </c>
      <c r="AL6345" s="4">
        <v>30</v>
      </c>
      <c r="AM6345" s="4">
        <v>30</v>
      </c>
      <c r="AN6345" s="4">
        <v>0</v>
      </c>
      <c r="AO6345" s="4">
        <v>0</v>
      </c>
      <c r="AP6345" s="4">
        <v>4</v>
      </c>
      <c r="AQ6345" s="4">
        <v>6</v>
      </c>
      <c r="AR6345" s="3" t="s">
        <v>62</v>
      </c>
      <c r="AS6345" s="3" t="s">
        <v>62</v>
      </c>
      <c r="AT6345" s="3" t="s">
        <v>61</v>
      </c>
      <c r="AU6345" s="6" t="str">
        <f>HYPERLINK("http://catalog.hathitrust.org/Record/004364344","HathiTrust Record")</f>
        <v>HathiTrust Record</v>
      </c>
      <c r="AV6345" s="6" t="str">
        <f>HYPERLINK("http://mcgill.on.worldcat.org/oclc/54007982","Catalog Record")</f>
        <v>Catalog Record</v>
      </c>
      <c r="AW6345" s="6" t="str">
        <f>HYPERLINK("http://www.worldcat.org/oclc/54007982","WorldCat Record")</f>
        <v>WorldCat Record</v>
      </c>
      <c r="AX6345" s="3" t="s">
        <v>61164</v>
      </c>
      <c r="AY6345" s="3" t="s">
        <v>61165</v>
      </c>
      <c r="AZ6345" s="3" t="s">
        <v>61166</v>
      </c>
      <c r="BA6345" s="3" t="s">
        <v>61166</v>
      </c>
      <c r="BB6345" s="3" t="s">
        <v>61167</v>
      </c>
      <c r="BC6345" s="3" t="s">
        <v>142</v>
      </c>
      <c r="BD6345" s="3" t="s">
        <v>68</v>
      </c>
      <c r="BE6345" s="3" t="s">
        <v>61168</v>
      </c>
      <c r="BF6345" s="3" t="s">
        <v>61167</v>
      </c>
      <c r="BG6345" s="3" t="s">
        <v>61169</v>
      </c>
    </row>
    <row r="6346" spans="1:59" ht="57" x14ac:dyDescent="0.45">
      <c r="A6346" s="2" t="s">
        <v>59</v>
      </c>
      <c r="B6346" s="2" t="s">
        <v>60</v>
      </c>
      <c r="C6346" s="2" t="s">
        <v>61170</v>
      </c>
      <c r="D6346" s="2" t="s">
        <v>61171</v>
      </c>
      <c r="E6346" s="2" t="s">
        <v>61172</v>
      </c>
      <c r="G6346" s="3" t="s">
        <v>62</v>
      </c>
      <c r="I6346" s="3" t="s">
        <v>62</v>
      </c>
      <c r="J6346" s="3" t="s">
        <v>62</v>
      </c>
      <c r="K6346" s="3" t="s">
        <v>63</v>
      </c>
      <c r="M6346" s="2" t="s">
        <v>6999</v>
      </c>
      <c r="N6346" s="3" t="s">
        <v>149</v>
      </c>
      <c r="P6346" s="3" t="s">
        <v>65</v>
      </c>
      <c r="R6346" s="3" t="s">
        <v>66</v>
      </c>
      <c r="S6346" s="4">
        <v>6</v>
      </c>
      <c r="T6346" s="4">
        <v>6</v>
      </c>
      <c r="U6346" s="5" t="s">
        <v>18392</v>
      </c>
      <c r="V6346" s="5" t="s">
        <v>18392</v>
      </c>
      <c r="W6346" s="5" t="s">
        <v>67</v>
      </c>
      <c r="X6346" s="5" t="s">
        <v>67</v>
      </c>
      <c r="Y6346" s="4">
        <v>166</v>
      </c>
      <c r="Z6346" s="4">
        <v>13</v>
      </c>
      <c r="AA6346" s="4">
        <v>21</v>
      </c>
      <c r="AB6346" s="4">
        <v>1</v>
      </c>
      <c r="AC6346" s="4">
        <v>6</v>
      </c>
      <c r="AD6346" s="4">
        <v>66</v>
      </c>
      <c r="AE6346" s="4">
        <v>75</v>
      </c>
      <c r="AF6346" s="4">
        <v>0</v>
      </c>
      <c r="AG6346" s="4">
        <v>3</v>
      </c>
      <c r="AH6346" s="4">
        <v>61</v>
      </c>
      <c r="AI6346" s="4">
        <v>66</v>
      </c>
      <c r="AJ6346" s="4">
        <v>9</v>
      </c>
      <c r="AK6346" s="4">
        <v>12</v>
      </c>
      <c r="AL6346" s="4">
        <v>37</v>
      </c>
      <c r="AM6346" s="4">
        <v>40</v>
      </c>
      <c r="AN6346" s="4">
        <v>0</v>
      </c>
      <c r="AO6346" s="4">
        <v>0</v>
      </c>
      <c r="AP6346" s="4">
        <v>11</v>
      </c>
      <c r="AQ6346" s="4">
        <v>15</v>
      </c>
      <c r="AR6346" s="3" t="s">
        <v>62</v>
      </c>
      <c r="AS6346" s="3" t="s">
        <v>62</v>
      </c>
      <c r="AT6346" s="3" t="s">
        <v>62</v>
      </c>
      <c r="AV6346" s="6" t="str">
        <f>HYPERLINK("http://mcgill.on.worldcat.org/oclc/540108968","Catalog Record")</f>
        <v>Catalog Record</v>
      </c>
      <c r="AW6346" s="6" t="str">
        <f>HYPERLINK("http://www.worldcat.org/oclc/540108968","WorldCat Record")</f>
        <v>WorldCat Record</v>
      </c>
      <c r="AX6346" s="3" t="s">
        <v>61173</v>
      </c>
      <c r="AY6346" s="3" t="s">
        <v>61174</v>
      </c>
      <c r="AZ6346" s="3" t="s">
        <v>61175</v>
      </c>
      <c r="BA6346" s="3" t="s">
        <v>61175</v>
      </c>
      <c r="BB6346" s="3" t="s">
        <v>61176</v>
      </c>
      <c r="BC6346" s="3" t="s">
        <v>142</v>
      </c>
      <c r="BD6346" s="3" t="s">
        <v>68</v>
      </c>
      <c r="BE6346" s="3" t="s">
        <v>61177</v>
      </c>
      <c r="BF6346" s="3" t="s">
        <v>61176</v>
      </c>
      <c r="BG6346" s="3" t="s">
        <v>61178</v>
      </c>
    </row>
    <row r="6347" spans="1:59" ht="57" x14ac:dyDescent="0.45">
      <c r="A6347" s="2" t="s">
        <v>59</v>
      </c>
      <c r="B6347" s="2" t="s">
        <v>60</v>
      </c>
      <c r="C6347" s="2" t="s">
        <v>61179</v>
      </c>
      <c r="D6347" s="2" t="s">
        <v>61180</v>
      </c>
      <c r="E6347" s="2" t="s">
        <v>61181</v>
      </c>
      <c r="G6347" s="3" t="s">
        <v>62</v>
      </c>
      <c r="I6347" s="3" t="s">
        <v>62</v>
      </c>
      <c r="J6347" s="3" t="s">
        <v>62</v>
      </c>
      <c r="K6347" s="3" t="s">
        <v>63</v>
      </c>
      <c r="M6347" s="2" t="s">
        <v>61182</v>
      </c>
      <c r="N6347" s="3" t="s">
        <v>1097</v>
      </c>
      <c r="P6347" s="3" t="s">
        <v>110</v>
      </c>
      <c r="Q6347" s="2" t="s">
        <v>58153</v>
      </c>
      <c r="R6347" s="3" t="s">
        <v>66</v>
      </c>
      <c r="S6347" s="4">
        <v>6</v>
      </c>
      <c r="T6347" s="4">
        <v>6</v>
      </c>
      <c r="U6347" s="5" t="s">
        <v>8191</v>
      </c>
      <c r="V6347" s="5" t="s">
        <v>8191</v>
      </c>
      <c r="W6347" s="5" t="s">
        <v>67</v>
      </c>
      <c r="X6347" s="5" t="s">
        <v>67</v>
      </c>
      <c r="Y6347" s="4">
        <v>35</v>
      </c>
      <c r="Z6347" s="4">
        <v>17</v>
      </c>
      <c r="AA6347" s="4">
        <v>82</v>
      </c>
      <c r="AB6347" s="4">
        <v>8</v>
      </c>
      <c r="AC6347" s="4">
        <v>20</v>
      </c>
      <c r="AD6347" s="4">
        <v>21</v>
      </c>
      <c r="AE6347" s="4">
        <v>82</v>
      </c>
      <c r="AF6347" s="4">
        <v>4</v>
      </c>
      <c r="AG6347" s="4">
        <v>9</v>
      </c>
      <c r="AH6347" s="4">
        <v>13</v>
      </c>
      <c r="AI6347" s="4">
        <v>37</v>
      </c>
      <c r="AJ6347" s="4">
        <v>11</v>
      </c>
      <c r="AK6347" s="4">
        <v>26</v>
      </c>
      <c r="AL6347" s="4">
        <v>7</v>
      </c>
      <c r="AM6347" s="4">
        <v>19</v>
      </c>
      <c r="AN6347" s="4">
        <v>0</v>
      </c>
      <c r="AO6347" s="4">
        <v>0</v>
      </c>
      <c r="AP6347" s="4">
        <v>12</v>
      </c>
      <c r="AQ6347" s="4">
        <v>52</v>
      </c>
      <c r="AR6347" s="3" t="s">
        <v>61</v>
      </c>
      <c r="AS6347" s="3" t="s">
        <v>62</v>
      </c>
      <c r="AT6347" s="3" t="s">
        <v>62</v>
      </c>
      <c r="AV6347" s="6" t="str">
        <f>HYPERLINK("http://mcgill.on.worldcat.org/oclc/56065798","Catalog Record")</f>
        <v>Catalog Record</v>
      </c>
      <c r="AW6347" s="6" t="str">
        <f>HYPERLINK("http://www.worldcat.org/oclc/56065798","WorldCat Record")</f>
        <v>WorldCat Record</v>
      </c>
      <c r="AX6347" s="3" t="s">
        <v>61183</v>
      </c>
      <c r="AY6347" s="3" t="s">
        <v>61184</v>
      </c>
      <c r="AZ6347" s="3" t="s">
        <v>61185</v>
      </c>
      <c r="BA6347" s="3" t="s">
        <v>61185</v>
      </c>
      <c r="BB6347" s="3" t="s">
        <v>61186</v>
      </c>
      <c r="BC6347" s="3" t="s">
        <v>142</v>
      </c>
      <c r="BD6347" s="3" t="s">
        <v>68</v>
      </c>
      <c r="BE6347" s="3" t="s">
        <v>61187</v>
      </c>
      <c r="BF6347" s="3" t="s">
        <v>61186</v>
      </c>
      <c r="BG6347" s="3" t="s">
        <v>61188</v>
      </c>
    </row>
    <row r="6348" spans="1:59" ht="57" x14ac:dyDescent="0.45">
      <c r="A6348" s="2" t="s">
        <v>59</v>
      </c>
      <c r="B6348" s="2" t="s">
        <v>60</v>
      </c>
      <c r="C6348" s="2" t="s">
        <v>61189</v>
      </c>
      <c r="D6348" s="2" t="s">
        <v>61190</v>
      </c>
      <c r="E6348" s="2" t="s">
        <v>61191</v>
      </c>
      <c r="G6348" s="3" t="s">
        <v>62</v>
      </c>
      <c r="I6348" s="3" t="s">
        <v>62</v>
      </c>
      <c r="J6348" s="3" t="s">
        <v>62</v>
      </c>
      <c r="K6348" s="3" t="s">
        <v>63</v>
      </c>
      <c r="L6348" s="2" t="s">
        <v>61192</v>
      </c>
      <c r="M6348" s="2" t="s">
        <v>61193</v>
      </c>
      <c r="N6348" s="3" t="s">
        <v>945</v>
      </c>
      <c r="P6348" s="3" t="s">
        <v>110</v>
      </c>
      <c r="Q6348" s="2" t="s">
        <v>60208</v>
      </c>
      <c r="R6348" s="3" t="s">
        <v>66</v>
      </c>
      <c r="S6348" s="4">
        <v>12</v>
      </c>
      <c r="T6348" s="4">
        <v>12</v>
      </c>
      <c r="U6348" s="5" t="s">
        <v>10009</v>
      </c>
      <c r="V6348" s="5" t="s">
        <v>10009</v>
      </c>
      <c r="W6348" s="5" t="s">
        <v>67</v>
      </c>
      <c r="X6348" s="5" t="s">
        <v>67</v>
      </c>
      <c r="Y6348" s="4">
        <v>45</v>
      </c>
      <c r="Z6348" s="4">
        <v>5</v>
      </c>
      <c r="AA6348" s="4">
        <v>9</v>
      </c>
      <c r="AB6348" s="4">
        <v>2</v>
      </c>
      <c r="AC6348" s="4">
        <v>4</v>
      </c>
      <c r="AD6348" s="4">
        <v>29</v>
      </c>
      <c r="AE6348" s="4">
        <v>33</v>
      </c>
      <c r="AF6348" s="4">
        <v>1</v>
      </c>
      <c r="AG6348" s="4">
        <v>3</v>
      </c>
      <c r="AH6348" s="4">
        <v>26</v>
      </c>
      <c r="AI6348" s="4">
        <v>27</v>
      </c>
      <c r="AJ6348" s="4">
        <v>4</v>
      </c>
      <c r="AK6348" s="4">
        <v>7</v>
      </c>
      <c r="AL6348" s="4">
        <v>19</v>
      </c>
      <c r="AM6348" s="4">
        <v>19</v>
      </c>
      <c r="AN6348" s="4">
        <v>0</v>
      </c>
      <c r="AO6348" s="4">
        <v>0</v>
      </c>
      <c r="AP6348" s="4">
        <v>4</v>
      </c>
      <c r="AQ6348" s="4">
        <v>7</v>
      </c>
      <c r="AR6348" s="3" t="s">
        <v>62</v>
      </c>
      <c r="AS6348" s="3" t="s">
        <v>62</v>
      </c>
      <c r="AT6348" s="3" t="s">
        <v>61</v>
      </c>
      <c r="AU6348" s="6" t="str">
        <f>HYPERLINK("http://catalog.hathitrust.org/Record/005560827","HathiTrust Record")</f>
        <v>HathiTrust Record</v>
      </c>
      <c r="AV6348" s="6" t="str">
        <f>HYPERLINK("http://mcgill.on.worldcat.org/oclc/123176122","Catalog Record")</f>
        <v>Catalog Record</v>
      </c>
      <c r="AW6348" s="6" t="str">
        <f>HYPERLINK("http://www.worldcat.org/oclc/123176122","WorldCat Record")</f>
        <v>WorldCat Record</v>
      </c>
      <c r="AX6348" s="3" t="s">
        <v>61194</v>
      </c>
      <c r="AY6348" s="3" t="s">
        <v>61195</v>
      </c>
      <c r="AZ6348" s="3" t="s">
        <v>61196</v>
      </c>
      <c r="BA6348" s="3" t="s">
        <v>61196</v>
      </c>
      <c r="BB6348" s="3" t="s">
        <v>61197</v>
      </c>
      <c r="BC6348" s="3" t="s">
        <v>142</v>
      </c>
      <c r="BD6348" s="3" t="s">
        <v>8544</v>
      </c>
      <c r="BE6348" s="3" t="s">
        <v>61198</v>
      </c>
      <c r="BF6348" s="3" t="s">
        <v>61197</v>
      </c>
      <c r="BG6348" s="3" t="s">
        <v>61199</v>
      </c>
    </row>
    <row r="6349" spans="1:59" ht="57" x14ac:dyDescent="0.45">
      <c r="A6349" s="2" t="s">
        <v>59</v>
      </c>
      <c r="B6349" s="2" t="s">
        <v>60</v>
      </c>
      <c r="C6349" s="2" t="s">
        <v>61200</v>
      </c>
      <c r="D6349" s="2" t="s">
        <v>61201</v>
      </c>
      <c r="E6349" s="2" t="s">
        <v>61202</v>
      </c>
      <c r="G6349" s="3" t="s">
        <v>62</v>
      </c>
      <c r="I6349" s="3" t="s">
        <v>62</v>
      </c>
      <c r="J6349" s="3" t="s">
        <v>62</v>
      </c>
      <c r="K6349" s="3" t="s">
        <v>63</v>
      </c>
      <c r="L6349" s="2" t="s">
        <v>61203</v>
      </c>
      <c r="M6349" s="2" t="s">
        <v>61204</v>
      </c>
      <c r="N6349" s="3" t="s">
        <v>1155</v>
      </c>
      <c r="P6349" s="3" t="s">
        <v>110</v>
      </c>
      <c r="Q6349" s="2" t="s">
        <v>61205</v>
      </c>
      <c r="R6349" s="3" t="s">
        <v>66</v>
      </c>
      <c r="S6349" s="4">
        <v>2</v>
      </c>
      <c r="T6349" s="4">
        <v>2</v>
      </c>
      <c r="U6349" s="5" t="s">
        <v>3545</v>
      </c>
      <c r="V6349" s="5" t="s">
        <v>3545</v>
      </c>
      <c r="W6349" s="5" t="s">
        <v>67</v>
      </c>
      <c r="X6349" s="5" t="s">
        <v>67</v>
      </c>
      <c r="Y6349" s="4">
        <v>4</v>
      </c>
      <c r="Z6349" s="4">
        <v>2</v>
      </c>
      <c r="AA6349" s="4">
        <v>10</v>
      </c>
      <c r="AB6349" s="4">
        <v>1</v>
      </c>
      <c r="AC6349" s="4">
        <v>7</v>
      </c>
      <c r="AD6349" s="4">
        <v>1</v>
      </c>
      <c r="AE6349" s="4">
        <v>7</v>
      </c>
      <c r="AF6349" s="4">
        <v>0</v>
      </c>
      <c r="AG6349" s="4">
        <v>4</v>
      </c>
      <c r="AH6349" s="4">
        <v>1</v>
      </c>
      <c r="AI6349" s="4">
        <v>4</v>
      </c>
      <c r="AJ6349" s="4">
        <v>1</v>
      </c>
      <c r="AK6349" s="4">
        <v>6</v>
      </c>
      <c r="AL6349" s="4">
        <v>0</v>
      </c>
      <c r="AM6349" s="4">
        <v>0</v>
      </c>
      <c r="AN6349" s="4">
        <v>0</v>
      </c>
      <c r="AO6349" s="4">
        <v>0</v>
      </c>
      <c r="AP6349" s="4">
        <v>1</v>
      </c>
      <c r="AQ6349" s="4">
        <v>7</v>
      </c>
      <c r="AR6349" s="3" t="s">
        <v>62</v>
      </c>
      <c r="AS6349" s="3" t="s">
        <v>62</v>
      </c>
      <c r="AT6349" s="3" t="s">
        <v>62</v>
      </c>
      <c r="AV6349" s="6" t="str">
        <f>HYPERLINK("http://mcgill.on.worldcat.org/oclc/779875254","Catalog Record")</f>
        <v>Catalog Record</v>
      </c>
      <c r="AW6349" s="6" t="str">
        <f>HYPERLINK("http://www.worldcat.org/oclc/779875254","WorldCat Record")</f>
        <v>WorldCat Record</v>
      </c>
      <c r="AX6349" s="3" t="s">
        <v>61206</v>
      </c>
      <c r="AY6349" s="3" t="s">
        <v>61207</v>
      </c>
      <c r="AZ6349" s="3" t="s">
        <v>61208</v>
      </c>
      <c r="BA6349" s="3" t="s">
        <v>61208</v>
      </c>
      <c r="BB6349" s="3" t="s">
        <v>61209</v>
      </c>
      <c r="BC6349" s="3" t="s">
        <v>142</v>
      </c>
      <c r="BD6349" s="3" t="s">
        <v>68</v>
      </c>
      <c r="BE6349" s="3" t="s">
        <v>61210</v>
      </c>
      <c r="BF6349" s="3" t="s">
        <v>61209</v>
      </c>
      <c r="BG6349" s="3" t="s">
        <v>61211</v>
      </c>
    </row>
    <row r="6350" spans="1:59" ht="57" x14ac:dyDescent="0.45">
      <c r="A6350" s="2" t="s">
        <v>59</v>
      </c>
      <c r="B6350" s="2" t="s">
        <v>60</v>
      </c>
      <c r="C6350" s="2" t="s">
        <v>61212</v>
      </c>
      <c r="D6350" s="2" t="s">
        <v>61213</v>
      </c>
      <c r="E6350" s="2" t="s">
        <v>61214</v>
      </c>
      <c r="F6350" s="3" t="s">
        <v>86</v>
      </c>
      <c r="G6350" s="3" t="s">
        <v>61</v>
      </c>
      <c r="I6350" s="3" t="s">
        <v>62</v>
      </c>
      <c r="J6350" s="3" t="s">
        <v>62</v>
      </c>
      <c r="K6350" s="3" t="s">
        <v>63</v>
      </c>
      <c r="M6350" s="2" t="s">
        <v>61215</v>
      </c>
      <c r="N6350" s="3" t="s">
        <v>1155</v>
      </c>
      <c r="P6350" s="3" t="s">
        <v>110</v>
      </c>
      <c r="R6350" s="3" t="s">
        <v>66</v>
      </c>
      <c r="S6350" s="4">
        <v>6</v>
      </c>
      <c r="T6350" s="4">
        <v>6</v>
      </c>
      <c r="U6350" s="5" t="s">
        <v>16493</v>
      </c>
      <c r="V6350" s="5" t="s">
        <v>16493</v>
      </c>
      <c r="W6350" s="5" t="s">
        <v>67</v>
      </c>
      <c r="X6350" s="5" t="s">
        <v>67</v>
      </c>
      <c r="Y6350" s="4">
        <v>72</v>
      </c>
      <c r="Z6350" s="4">
        <v>13</v>
      </c>
      <c r="AA6350" s="4">
        <v>14</v>
      </c>
      <c r="AB6350" s="4">
        <v>2</v>
      </c>
      <c r="AC6350" s="4">
        <v>2</v>
      </c>
      <c r="AD6350" s="4">
        <v>45</v>
      </c>
      <c r="AE6350" s="4">
        <v>46</v>
      </c>
      <c r="AF6350" s="4">
        <v>1</v>
      </c>
      <c r="AG6350" s="4">
        <v>1</v>
      </c>
      <c r="AH6350" s="4">
        <v>39</v>
      </c>
      <c r="AI6350" s="4">
        <v>40</v>
      </c>
      <c r="AJ6350" s="4">
        <v>10</v>
      </c>
      <c r="AK6350" s="4">
        <v>11</v>
      </c>
      <c r="AL6350" s="4">
        <v>28</v>
      </c>
      <c r="AM6350" s="4">
        <v>28</v>
      </c>
      <c r="AN6350" s="4">
        <v>0</v>
      </c>
      <c r="AO6350" s="4">
        <v>0</v>
      </c>
      <c r="AP6350" s="4">
        <v>11</v>
      </c>
      <c r="AQ6350" s="4">
        <v>12</v>
      </c>
      <c r="AR6350" s="3" t="s">
        <v>62</v>
      </c>
      <c r="AS6350" s="3" t="s">
        <v>62</v>
      </c>
      <c r="AT6350" s="3" t="s">
        <v>62</v>
      </c>
      <c r="AV6350" s="6" t="str">
        <f>HYPERLINK("http://mcgill.on.worldcat.org/oclc/814302895","Catalog Record")</f>
        <v>Catalog Record</v>
      </c>
      <c r="AW6350" s="6" t="str">
        <f>HYPERLINK("http://www.worldcat.org/oclc/814302895","WorldCat Record")</f>
        <v>WorldCat Record</v>
      </c>
      <c r="AX6350" s="3" t="s">
        <v>61216</v>
      </c>
      <c r="AY6350" s="3" t="s">
        <v>61217</v>
      </c>
      <c r="AZ6350" s="3" t="s">
        <v>61218</v>
      </c>
      <c r="BA6350" s="3" t="s">
        <v>61218</v>
      </c>
      <c r="BB6350" s="3" t="s">
        <v>61219</v>
      </c>
      <c r="BC6350" s="3" t="s">
        <v>142</v>
      </c>
      <c r="BD6350" s="3" t="s">
        <v>68</v>
      </c>
      <c r="BE6350" s="3" t="s">
        <v>61220</v>
      </c>
      <c r="BF6350" s="3" t="s">
        <v>61219</v>
      </c>
      <c r="BG6350" s="3" t="s">
        <v>61221</v>
      </c>
    </row>
    <row r="6351" spans="1:59" ht="57" x14ac:dyDescent="0.45">
      <c r="A6351" s="2" t="s">
        <v>59</v>
      </c>
      <c r="B6351" s="2" t="s">
        <v>60</v>
      </c>
      <c r="C6351" s="2" t="s">
        <v>61222</v>
      </c>
      <c r="D6351" s="2" t="s">
        <v>61223</v>
      </c>
      <c r="E6351" s="2" t="s">
        <v>61224</v>
      </c>
      <c r="G6351" s="3" t="s">
        <v>62</v>
      </c>
      <c r="I6351" s="3" t="s">
        <v>62</v>
      </c>
      <c r="J6351" s="3" t="s">
        <v>62</v>
      </c>
      <c r="K6351" s="3" t="s">
        <v>63</v>
      </c>
      <c r="L6351" s="2" t="s">
        <v>61225</v>
      </c>
      <c r="M6351" s="2" t="s">
        <v>61226</v>
      </c>
      <c r="N6351" s="3" t="s">
        <v>1155</v>
      </c>
      <c r="P6351" s="3" t="s">
        <v>110</v>
      </c>
      <c r="R6351" s="3" t="s">
        <v>66</v>
      </c>
      <c r="S6351" s="4">
        <v>1</v>
      </c>
      <c r="T6351" s="4">
        <v>1</v>
      </c>
      <c r="U6351" s="5" t="s">
        <v>19943</v>
      </c>
      <c r="V6351" s="5" t="s">
        <v>19943</v>
      </c>
      <c r="W6351" s="5" t="s">
        <v>67</v>
      </c>
      <c r="X6351" s="5" t="s">
        <v>67</v>
      </c>
      <c r="Y6351" s="4">
        <v>14</v>
      </c>
      <c r="Z6351" s="4">
        <v>5</v>
      </c>
      <c r="AA6351" s="4">
        <v>9</v>
      </c>
      <c r="AB6351" s="4">
        <v>2</v>
      </c>
      <c r="AC6351" s="4">
        <v>5</v>
      </c>
      <c r="AD6351" s="4">
        <v>8</v>
      </c>
      <c r="AE6351" s="4">
        <v>12</v>
      </c>
      <c r="AF6351" s="4">
        <v>1</v>
      </c>
      <c r="AG6351" s="4">
        <v>3</v>
      </c>
      <c r="AH6351" s="4">
        <v>6</v>
      </c>
      <c r="AI6351" s="4">
        <v>8</v>
      </c>
      <c r="AJ6351" s="4">
        <v>3</v>
      </c>
      <c r="AK6351" s="4">
        <v>5</v>
      </c>
      <c r="AL6351" s="4">
        <v>6</v>
      </c>
      <c r="AM6351" s="4">
        <v>7</v>
      </c>
      <c r="AN6351" s="4">
        <v>0</v>
      </c>
      <c r="AO6351" s="4">
        <v>0</v>
      </c>
      <c r="AP6351" s="4">
        <v>3</v>
      </c>
      <c r="AQ6351" s="4">
        <v>5</v>
      </c>
      <c r="AR6351" s="3" t="s">
        <v>62</v>
      </c>
      <c r="AS6351" s="3" t="s">
        <v>62</v>
      </c>
      <c r="AT6351" s="3" t="s">
        <v>62</v>
      </c>
      <c r="AV6351" s="6" t="str">
        <f>HYPERLINK("http://mcgill.on.worldcat.org/oclc/827472900","Catalog Record")</f>
        <v>Catalog Record</v>
      </c>
      <c r="AW6351" s="6" t="str">
        <f>HYPERLINK("http://www.worldcat.org/oclc/827472900","WorldCat Record")</f>
        <v>WorldCat Record</v>
      </c>
      <c r="AX6351" s="3" t="s">
        <v>61227</v>
      </c>
      <c r="AY6351" s="3" t="s">
        <v>61228</v>
      </c>
      <c r="AZ6351" s="3" t="s">
        <v>61229</v>
      </c>
      <c r="BA6351" s="3" t="s">
        <v>61229</v>
      </c>
      <c r="BB6351" s="3" t="s">
        <v>61230</v>
      </c>
      <c r="BC6351" s="3" t="s">
        <v>142</v>
      </c>
      <c r="BD6351" s="3" t="s">
        <v>68</v>
      </c>
      <c r="BE6351" s="3" t="s">
        <v>61231</v>
      </c>
      <c r="BF6351" s="3" t="s">
        <v>61230</v>
      </c>
      <c r="BG6351" s="3" t="s">
        <v>61232</v>
      </c>
    </row>
    <row r="6352" spans="1:59" ht="57" x14ac:dyDescent="0.45">
      <c r="A6352" s="2" t="s">
        <v>59</v>
      </c>
      <c r="B6352" s="2" t="s">
        <v>60</v>
      </c>
      <c r="C6352" s="2" t="s">
        <v>61233</v>
      </c>
      <c r="D6352" s="2" t="s">
        <v>61234</v>
      </c>
      <c r="E6352" s="2" t="s">
        <v>61235</v>
      </c>
      <c r="G6352" s="3" t="s">
        <v>62</v>
      </c>
      <c r="I6352" s="3" t="s">
        <v>62</v>
      </c>
      <c r="J6352" s="3" t="s">
        <v>62</v>
      </c>
      <c r="K6352" s="3" t="s">
        <v>63</v>
      </c>
      <c r="M6352" s="2" t="s">
        <v>61236</v>
      </c>
      <c r="N6352" s="3" t="s">
        <v>820</v>
      </c>
      <c r="P6352" s="3" t="s">
        <v>110</v>
      </c>
      <c r="Q6352" s="2" t="s">
        <v>61237</v>
      </c>
      <c r="R6352" s="3" t="s">
        <v>66</v>
      </c>
      <c r="S6352" s="4">
        <v>7</v>
      </c>
      <c r="T6352" s="4">
        <v>7</v>
      </c>
      <c r="U6352" s="5" t="s">
        <v>26468</v>
      </c>
      <c r="V6352" s="5" t="s">
        <v>26468</v>
      </c>
      <c r="W6352" s="5" t="s">
        <v>67</v>
      </c>
      <c r="X6352" s="5" t="s">
        <v>67</v>
      </c>
      <c r="Y6352" s="4">
        <v>56</v>
      </c>
      <c r="Z6352" s="4">
        <v>8</v>
      </c>
      <c r="AA6352" s="4">
        <v>15</v>
      </c>
      <c r="AB6352" s="4">
        <v>2</v>
      </c>
      <c r="AC6352" s="4">
        <v>8</v>
      </c>
      <c r="AD6352" s="4">
        <v>26</v>
      </c>
      <c r="AE6352" s="4">
        <v>33</v>
      </c>
      <c r="AF6352" s="4">
        <v>0</v>
      </c>
      <c r="AG6352" s="4">
        <v>5</v>
      </c>
      <c r="AH6352" s="4">
        <v>24</v>
      </c>
      <c r="AI6352" s="4">
        <v>27</v>
      </c>
      <c r="AJ6352" s="4">
        <v>5</v>
      </c>
      <c r="AK6352" s="4">
        <v>10</v>
      </c>
      <c r="AL6352" s="4">
        <v>19</v>
      </c>
      <c r="AM6352" s="4">
        <v>19</v>
      </c>
      <c r="AN6352" s="4">
        <v>0</v>
      </c>
      <c r="AO6352" s="4">
        <v>0</v>
      </c>
      <c r="AP6352" s="4">
        <v>5</v>
      </c>
      <c r="AQ6352" s="4">
        <v>10</v>
      </c>
      <c r="AR6352" s="3" t="s">
        <v>62</v>
      </c>
      <c r="AS6352" s="3" t="s">
        <v>62</v>
      </c>
      <c r="AT6352" s="3" t="s">
        <v>62</v>
      </c>
      <c r="AV6352" s="6" t="str">
        <f>HYPERLINK("http://mcgill.on.worldcat.org/oclc/259255645","Catalog Record")</f>
        <v>Catalog Record</v>
      </c>
      <c r="AW6352" s="6" t="str">
        <f>HYPERLINK("http://www.worldcat.org/oclc/259255645","WorldCat Record")</f>
        <v>WorldCat Record</v>
      </c>
      <c r="AX6352" s="3" t="s">
        <v>61238</v>
      </c>
      <c r="AY6352" s="3" t="s">
        <v>61239</v>
      </c>
      <c r="AZ6352" s="3" t="s">
        <v>61240</v>
      </c>
      <c r="BA6352" s="3" t="s">
        <v>61240</v>
      </c>
      <c r="BB6352" s="3" t="s">
        <v>61241</v>
      </c>
      <c r="BC6352" s="3" t="s">
        <v>142</v>
      </c>
      <c r="BD6352" s="3" t="s">
        <v>68</v>
      </c>
      <c r="BE6352" s="3" t="s">
        <v>61242</v>
      </c>
      <c r="BF6352" s="3" t="s">
        <v>61241</v>
      </c>
      <c r="BG6352" s="3" t="s">
        <v>61243</v>
      </c>
    </row>
    <row r="6353" spans="1:59" ht="57" x14ac:dyDescent="0.45">
      <c r="A6353" s="2" t="s">
        <v>59</v>
      </c>
      <c r="B6353" s="2" t="s">
        <v>60</v>
      </c>
      <c r="C6353" s="2" t="s">
        <v>61244</v>
      </c>
      <c r="D6353" s="2" t="s">
        <v>61245</v>
      </c>
      <c r="E6353" s="2" t="s">
        <v>61246</v>
      </c>
      <c r="G6353" s="3" t="s">
        <v>62</v>
      </c>
      <c r="I6353" s="3" t="s">
        <v>61</v>
      </c>
      <c r="J6353" s="3" t="s">
        <v>61</v>
      </c>
      <c r="K6353" s="3" t="s">
        <v>63</v>
      </c>
      <c r="L6353" s="2" t="s">
        <v>58440</v>
      </c>
      <c r="M6353" s="2" t="s">
        <v>61247</v>
      </c>
      <c r="N6353" s="3" t="s">
        <v>2107</v>
      </c>
      <c r="P6353" s="3" t="s">
        <v>110</v>
      </c>
      <c r="Q6353" s="2" t="s">
        <v>61248</v>
      </c>
      <c r="R6353" s="3" t="s">
        <v>66</v>
      </c>
      <c r="S6353" s="4">
        <v>28</v>
      </c>
      <c r="T6353" s="4">
        <v>103</v>
      </c>
      <c r="U6353" s="5" t="s">
        <v>45333</v>
      </c>
      <c r="V6353" s="5" t="s">
        <v>13134</v>
      </c>
      <c r="W6353" s="5" t="s">
        <v>67</v>
      </c>
      <c r="X6353" s="5" t="s">
        <v>67</v>
      </c>
      <c r="Y6353" s="4">
        <v>87</v>
      </c>
      <c r="Z6353" s="4">
        <v>10</v>
      </c>
      <c r="AA6353" s="4">
        <v>17</v>
      </c>
      <c r="AB6353" s="4">
        <v>2</v>
      </c>
      <c r="AC6353" s="4">
        <v>7</v>
      </c>
      <c r="AD6353" s="4">
        <v>35</v>
      </c>
      <c r="AE6353" s="4">
        <v>42</v>
      </c>
      <c r="AF6353" s="4">
        <v>1</v>
      </c>
      <c r="AG6353" s="4">
        <v>4</v>
      </c>
      <c r="AH6353" s="4">
        <v>29</v>
      </c>
      <c r="AI6353" s="4">
        <v>33</v>
      </c>
      <c r="AJ6353" s="4">
        <v>7</v>
      </c>
      <c r="AK6353" s="4">
        <v>11</v>
      </c>
      <c r="AL6353" s="4">
        <v>22</v>
      </c>
      <c r="AM6353" s="4">
        <v>23</v>
      </c>
      <c r="AN6353" s="4">
        <v>0</v>
      </c>
      <c r="AO6353" s="4">
        <v>0</v>
      </c>
      <c r="AP6353" s="4">
        <v>8</v>
      </c>
      <c r="AQ6353" s="4">
        <v>13</v>
      </c>
      <c r="AR6353" s="3" t="s">
        <v>62</v>
      </c>
      <c r="AS6353" s="3" t="s">
        <v>62</v>
      </c>
      <c r="AT6353" s="3" t="s">
        <v>61</v>
      </c>
      <c r="AU6353" s="6" t="str">
        <f>HYPERLINK("http://catalog.hathitrust.org/Record/000330894","HathiTrust Record")</f>
        <v>HathiTrust Record</v>
      </c>
      <c r="AV6353" s="6" t="str">
        <f>HYPERLINK("http://mcgill.on.worldcat.org/oclc/11037743","Catalog Record")</f>
        <v>Catalog Record</v>
      </c>
      <c r="AW6353" s="6" t="str">
        <f>HYPERLINK("http://www.worldcat.org/oclc/11037743","WorldCat Record")</f>
        <v>WorldCat Record</v>
      </c>
      <c r="AX6353" s="3" t="s">
        <v>61249</v>
      </c>
      <c r="AY6353" s="3" t="s">
        <v>61250</v>
      </c>
      <c r="AZ6353" s="3" t="s">
        <v>61251</v>
      </c>
      <c r="BA6353" s="3" t="s">
        <v>61251</v>
      </c>
      <c r="BB6353" s="3" t="s">
        <v>61252</v>
      </c>
      <c r="BC6353" s="3" t="s">
        <v>142</v>
      </c>
      <c r="BD6353" s="3" t="s">
        <v>308</v>
      </c>
      <c r="BE6353" s="3" t="s">
        <v>61253</v>
      </c>
      <c r="BF6353" s="3" t="s">
        <v>61252</v>
      </c>
      <c r="BG6353" s="3" t="s">
        <v>61254</v>
      </c>
    </row>
    <row r="6354" spans="1:59" ht="57" x14ac:dyDescent="0.45">
      <c r="A6354" s="2" t="s">
        <v>59</v>
      </c>
      <c r="B6354" s="2" t="s">
        <v>60</v>
      </c>
      <c r="C6354" s="2" t="s">
        <v>61244</v>
      </c>
      <c r="D6354" s="2" t="s">
        <v>61245</v>
      </c>
      <c r="E6354" s="2" t="s">
        <v>61246</v>
      </c>
      <c r="G6354" s="3" t="s">
        <v>62</v>
      </c>
      <c r="I6354" s="3" t="s">
        <v>61</v>
      </c>
      <c r="J6354" s="3" t="s">
        <v>61</v>
      </c>
      <c r="K6354" s="3" t="s">
        <v>63</v>
      </c>
      <c r="L6354" s="2" t="s">
        <v>58440</v>
      </c>
      <c r="M6354" s="2" t="s">
        <v>61247</v>
      </c>
      <c r="N6354" s="3" t="s">
        <v>2107</v>
      </c>
      <c r="P6354" s="3" t="s">
        <v>110</v>
      </c>
      <c r="Q6354" s="2" t="s">
        <v>61248</v>
      </c>
      <c r="R6354" s="3" t="s">
        <v>66</v>
      </c>
      <c r="S6354" s="4">
        <v>75</v>
      </c>
      <c r="T6354" s="4">
        <v>103</v>
      </c>
      <c r="U6354" s="5" t="s">
        <v>13134</v>
      </c>
      <c r="V6354" s="5" t="s">
        <v>13134</v>
      </c>
      <c r="W6354" s="5" t="s">
        <v>67</v>
      </c>
      <c r="X6354" s="5" t="s">
        <v>67</v>
      </c>
      <c r="Y6354" s="4">
        <v>87</v>
      </c>
      <c r="Z6354" s="4">
        <v>10</v>
      </c>
      <c r="AA6354" s="4">
        <v>17</v>
      </c>
      <c r="AB6354" s="4">
        <v>2</v>
      </c>
      <c r="AC6354" s="4">
        <v>7</v>
      </c>
      <c r="AD6354" s="4">
        <v>35</v>
      </c>
      <c r="AE6354" s="4">
        <v>42</v>
      </c>
      <c r="AF6354" s="4">
        <v>1</v>
      </c>
      <c r="AG6354" s="4">
        <v>4</v>
      </c>
      <c r="AH6354" s="4">
        <v>29</v>
      </c>
      <c r="AI6354" s="4">
        <v>33</v>
      </c>
      <c r="AJ6354" s="4">
        <v>7</v>
      </c>
      <c r="AK6354" s="4">
        <v>11</v>
      </c>
      <c r="AL6354" s="4">
        <v>22</v>
      </c>
      <c r="AM6354" s="4">
        <v>23</v>
      </c>
      <c r="AN6354" s="4">
        <v>0</v>
      </c>
      <c r="AO6354" s="4">
        <v>0</v>
      </c>
      <c r="AP6354" s="4">
        <v>8</v>
      </c>
      <c r="AQ6354" s="4">
        <v>13</v>
      </c>
      <c r="AR6354" s="3" t="s">
        <v>62</v>
      </c>
      <c r="AS6354" s="3" t="s">
        <v>62</v>
      </c>
      <c r="AT6354" s="3" t="s">
        <v>61</v>
      </c>
      <c r="AU6354" s="6" t="str">
        <f>HYPERLINK("http://catalog.hathitrust.org/Record/000330894","HathiTrust Record")</f>
        <v>HathiTrust Record</v>
      </c>
      <c r="AV6354" s="6" t="str">
        <f>HYPERLINK("http://mcgill.on.worldcat.org/oclc/11037743","Catalog Record")</f>
        <v>Catalog Record</v>
      </c>
      <c r="AW6354" s="6" t="str">
        <f>HYPERLINK("http://www.worldcat.org/oclc/11037743","WorldCat Record")</f>
        <v>WorldCat Record</v>
      </c>
      <c r="AX6354" s="3" t="s">
        <v>61249</v>
      </c>
      <c r="AY6354" s="3" t="s">
        <v>61250</v>
      </c>
      <c r="AZ6354" s="3" t="s">
        <v>61251</v>
      </c>
      <c r="BA6354" s="3" t="s">
        <v>61251</v>
      </c>
      <c r="BB6354" s="3" t="s">
        <v>61255</v>
      </c>
      <c r="BC6354" s="3" t="s">
        <v>142</v>
      </c>
      <c r="BD6354" s="3" t="s">
        <v>68</v>
      </c>
      <c r="BE6354" s="3" t="s">
        <v>61253</v>
      </c>
      <c r="BF6354" s="3" t="s">
        <v>61255</v>
      </c>
      <c r="BG6354" s="3" t="s">
        <v>61256</v>
      </c>
    </row>
    <row r="6355" spans="1:59" ht="57" x14ac:dyDescent="0.45">
      <c r="A6355" s="2" t="s">
        <v>59</v>
      </c>
      <c r="B6355" s="2" t="s">
        <v>60</v>
      </c>
      <c r="C6355" s="2" t="s">
        <v>61257</v>
      </c>
      <c r="D6355" s="2" t="s">
        <v>61258</v>
      </c>
      <c r="E6355" s="2" t="s">
        <v>61246</v>
      </c>
      <c r="G6355" s="3" t="s">
        <v>62</v>
      </c>
      <c r="I6355" s="3" t="s">
        <v>62</v>
      </c>
      <c r="J6355" s="3" t="s">
        <v>61</v>
      </c>
      <c r="K6355" s="3" t="s">
        <v>63</v>
      </c>
      <c r="L6355" s="2" t="s">
        <v>58440</v>
      </c>
      <c r="M6355" s="2" t="s">
        <v>61259</v>
      </c>
      <c r="N6355" s="3" t="s">
        <v>958</v>
      </c>
      <c r="P6355" s="3" t="s">
        <v>110</v>
      </c>
      <c r="Q6355" s="2" t="s">
        <v>61260</v>
      </c>
      <c r="R6355" s="3" t="s">
        <v>66</v>
      </c>
      <c r="S6355" s="4">
        <v>30</v>
      </c>
      <c r="T6355" s="4">
        <v>30</v>
      </c>
      <c r="U6355" s="5" t="s">
        <v>6824</v>
      </c>
      <c r="V6355" s="5" t="s">
        <v>6824</v>
      </c>
      <c r="W6355" s="5" t="s">
        <v>67</v>
      </c>
      <c r="X6355" s="5" t="s">
        <v>67</v>
      </c>
      <c r="Y6355" s="4">
        <v>10</v>
      </c>
      <c r="Z6355" s="4">
        <v>2</v>
      </c>
      <c r="AA6355" s="4">
        <v>17</v>
      </c>
      <c r="AB6355" s="4">
        <v>1</v>
      </c>
      <c r="AC6355" s="4">
        <v>7</v>
      </c>
      <c r="AD6355" s="4">
        <v>1</v>
      </c>
      <c r="AE6355" s="4">
        <v>42</v>
      </c>
      <c r="AF6355" s="4">
        <v>0</v>
      </c>
      <c r="AG6355" s="4">
        <v>4</v>
      </c>
      <c r="AH6355" s="4">
        <v>1</v>
      </c>
      <c r="AI6355" s="4">
        <v>33</v>
      </c>
      <c r="AJ6355" s="4">
        <v>1</v>
      </c>
      <c r="AK6355" s="4">
        <v>11</v>
      </c>
      <c r="AL6355" s="4">
        <v>0</v>
      </c>
      <c r="AM6355" s="4">
        <v>23</v>
      </c>
      <c r="AN6355" s="4">
        <v>0</v>
      </c>
      <c r="AO6355" s="4">
        <v>0</v>
      </c>
      <c r="AP6355" s="4">
        <v>1</v>
      </c>
      <c r="AQ6355" s="4">
        <v>13</v>
      </c>
      <c r="AR6355" s="3" t="s">
        <v>62</v>
      </c>
      <c r="AS6355" s="3" t="s">
        <v>62</v>
      </c>
      <c r="AT6355" s="3" t="s">
        <v>62</v>
      </c>
      <c r="AV6355" s="6" t="str">
        <f>HYPERLINK("http://mcgill.on.worldcat.org/oclc/61242816","Catalog Record")</f>
        <v>Catalog Record</v>
      </c>
      <c r="AW6355" s="6" t="str">
        <f>HYPERLINK("http://www.worldcat.org/oclc/61242816","WorldCat Record")</f>
        <v>WorldCat Record</v>
      </c>
      <c r="AX6355" s="3" t="s">
        <v>61249</v>
      </c>
      <c r="AY6355" s="3" t="s">
        <v>61261</v>
      </c>
      <c r="AZ6355" s="3" t="s">
        <v>61262</v>
      </c>
      <c r="BA6355" s="3" t="s">
        <v>61262</v>
      </c>
      <c r="BB6355" s="3" t="s">
        <v>61263</v>
      </c>
      <c r="BC6355" s="3" t="s">
        <v>142</v>
      </c>
      <c r="BD6355" s="3" t="s">
        <v>68</v>
      </c>
      <c r="BE6355" s="3" t="s">
        <v>61264</v>
      </c>
      <c r="BF6355" s="3" t="s">
        <v>61263</v>
      </c>
      <c r="BG6355" s="3" t="s">
        <v>61265</v>
      </c>
    </row>
    <row r="6356" spans="1:59" ht="57" x14ac:dyDescent="0.45">
      <c r="A6356" s="2" t="s">
        <v>59</v>
      </c>
      <c r="B6356" s="2" t="s">
        <v>60</v>
      </c>
      <c r="C6356" s="2" t="s">
        <v>61266</v>
      </c>
      <c r="D6356" s="2" t="s">
        <v>61267</v>
      </c>
      <c r="E6356" s="2" t="s">
        <v>61268</v>
      </c>
      <c r="G6356" s="3" t="s">
        <v>62</v>
      </c>
      <c r="I6356" s="3" t="s">
        <v>62</v>
      </c>
      <c r="J6356" s="3" t="s">
        <v>62</v>
      </c>
      <c r="K6356" s="3" t="s">
        <v>63</v>
      </c>
      <c r="L6356" s="2" t="s">
        <v>58440</v>
      </c>
      <c r="M6356" s="2" t="s">
        <v>61269</v>
      </c>
      <c r="N6356" s="3" t="s">
        <v>84</v>
      </c>
      <c r="P6356" s="3" t="s">
        <v>65</v>
      </c>
      <c r="Q6356" s="2" t="s">
        <v>61270</v>
      </c>
      <c r="R6356" s="3" t="s">
        <v>66</v>
      </c>
      <c r="S6356" s="4">
        <v>51</v>
      </c>
      <c r="T6356" s="4">
        <v>51</v>
      </c>
      <c r="U6356" s="5" t="s">
        <v>61271</v>
      </c>
      <c r="V6356" s="5" t="s">
        <v>61271</v>
      </c>
      <c r="W6356" s="5" t="s">
        <v>67</v>
      </c>
      <c r="X6356" s="5" t="s">
        <v>67</v>
      </c>
      <c r="Y6356" s="4">
        <v>337</v>
      </c>
      <c r="Z6356" s="4">
        <v>22</v>
      </c>
      <c r="AA6356" s="4">
        <v>92</v>
      </c>
      <c r="AB6356" s="4">
        <v>1</v>
      </c>
      <c r="AC6356" s="4">
        <v>17</v>
      </c>
      <c r="AD6356" s="4">
        <v>99</v>
      </c>
      <c r="AE6356" s="4">
        <v>138</v>
      </c>
      <c r="AF6356" s="4">
        <v>0</v>
      </c>
      <c r="AG6356" s="4">
        <v>8</v>
      </c>
      <c r="AH6356" s="4">
        <v>88</v>
      </c>
      <c r="AI6356" s="4">
        <v>102</v>
      </c>
      <c r="AJ6356" s="4">
        <v>14</v>
      </c>
      <c r="AK6356" s="4">
        <v>25</v>
      </c>
      <c r="AL6356" s="4">
        <v>52</v>
      </c>
      <c r="AM6356" s="4">
        <v>56</v>
      </c>
      <c r="AN6356" s="4">
        <v>0</v>
      </c>
      <c r="AO6356" s="4">
        <v>0</v>
      </c>
      <c r="AP6356" s="4">
        <v>18</v>
      </c>
      <c r="AQ6356" s="4">
        <v>46</v>
      </c>
      <c r="AR6356" s="3" t="s">
        <v>62</v>
      </c>
      <c r="AS6356" s="3" t="s">
        <v>62</v>
      </c>
      <c r="AT6356" s="3" t="s">
        <v>62</v>
      </c>
      <c r="AV6356" s="6" t="str">
        <f>HYPERLINK("http://mcgill.on.worldcat.org/oclc/23015842","Catalog Record")</f>
        <v>Catalog Record</v>
      </c>
      <c r="AW6356" s="6" t="str">
        <f>HYPERLINK("http://www.worldcat.org/oclc/23015842","WorldCat Record")</f>
        <v>WorldCat Record</v>
      </c>
      <c r="AX6356" s="3" t="s">
        <v>61272</v>
      </c>
      <c r="AY6356" s="3" t="s">
        <v>61273</v>
      </c>
      <c r="AZ6356" s="3" t="s">
        <v>61274</v>
      </c>
      <c r="BA6356" s="3" t="s">
        <v>61274</v>
      </c>
      <c r="BB6356" s="3" t="s">
        <v>61275</v>
      </c>
      <c r="BC6356" s="3" t="s">
        <v>142</v>
      </c>
      <c r="BD6356" s="3" t="s">
        <v>308</v>
      </c>
      <c r="BE6356" s="3" t="s">
        <v>61276</v>
      </c>
      <c r="BF6356" s="3" t="s">
        <v>61275</v>
      </c>
      <c r="BG6356" s="3" t="s">
        <v>61277</v>
      </c>
    </row>
    <row r="6357" spans="1:59" ht="57" x14ac:dyDescent="0.45">
      <c r="A6357" s="2" t="s">
        <v>59</v>
      </c>
      <c r="B6357" s="2" t="s">
        <v>60</v>
      </c>
      <c r="C6357" s="2" t="s">
        <v>61278</v>
      </c>
      <c r="D6357" s="2" t="s">
        <v>61279</v>
      </c>
      <c r="E6357" s="2" t="s">
        <v>61280</v>
      </c>
      <c r="G6357" s="3" t="s">
        <v>62</v>
      </c>
      <c r="I6357" s="3" t="s">
        <v>62</v>
      </c>
      <c r="J6357" s="3" t="s">
        <v>62</v>
      </c>
      <c r="K6357" s="3" t="s">
        <v>63</v>
      </c>
      <c r="M6357" s="2" t="s">
        <v>61281</v>
      </c>
      <c r="N6357" s="3" t="s">
        <v>820</v>
      </c>
      <c r="O6357" s="2" t="s">
        <v>12448</v>
      </c>
      <c r="P6357" s="3" t="s">
        <v>114</v>
      </c>
      <c r="Q6357" s="2" t="s">
        <v>61282</v>
      </c>
      <c r="R6357" s="3" t="s">
        <v>66</v>
      </c>
      <c r="S6357" s="4">
        <v>5</v>
      </c>
      <c r="T6357" s="4">
        <v>5</v>
      </c>
      <c r="U6357" s="5" t="s">
        <v>10693</v>
      </c>
      <c r="V6357" s="5" t="s">
        <v>10693</v>
      </c>
      <c r="W6357" s="5" t="s">
        <v>67</v>
      </c>
      <c r="X6357" s="5" t="s">
        <v>67</v>
      </c>
      <c r="Y6357" s="4">
        <v>33</v>
      </c>
      <c r="Z6357" s="4">
        <v>4</v>
      </c>
      <c r="AA6357" s="4">
        <v>4</v>
      </c>
      <c r="AB6357" s="4">
        <v>2</v>
      </c>
      <c r="AC6357" s="4">
        <v>2</v>
      </c>
      <c r="AD6357" s="4">
        <v>12</v>
      </c>
      <c r="AE6357" s="4">
        <v>12</v>
      </c>
      <c r="AF6357" s="4">
        <v>0</v>
      </c>
      <c r="AG6357" s="4">
        <v>0</v>
      </c>
      <c r="AH6357" s="4">
        <v>12</v>
      </c>
      <c r="AI6357" s="4">
        <v>12</v>
      </c>
      <c r="AJ6357" s="4">
        <v>1</v>
      </c>
      <c r="AK6357" s="4">
        <v>1</v>
      </c>
      <c r="AL6357" s="4">
        <v>10</v>
      </c>
      <c r="AM6357" s="4">
        <v>10</v>
      </c>
      <c r="AN6357" s="4">
        <v>0</v>
      </c>
      <c r="AO6357" s="4">
        <v>0</v>
      </c>
      <c r="AP6357" s="4">
        <v>1</v>
      </c>
      <c r="AQ6357" s="4">
        <v>1</v>
      </c>
      <c r="AR6357" s="3" t="s">
        <v>62</v>
      </c>
      <c r="AS6357" s="3" t="s">
        <v>62</v>
      </c>
      <c r="AT6357" s="3" t="s">
        <v>62</v>
      </c>
      <c r="AV6357" s="6" t="str">
        <f>HYPERLINK("http://mcgill.on.worldcat.org/oclc/272561078","Catalog Record")</f>
        <v>Catalog Record</v>
      </c>
      <c r="AW6357" s="6" t="str">
        <f>HYPERLINK("http://www.worldcat.org/oclc/272561078","WorldCat Record")</f>
        <v>WorldCat Record</v>
      </c>
      <c r="AX6357" s="3" t="s">
        <v>61283</v>
      </c>
      <c r="AY6357" s="3" t="s">
        <v>61284</v>
      </c>
      <c r="AZ6357" s="3" t="s">
        <v>61285</v>
      </c>
      <c r="BA6357" s="3" t="s">
        <v>61285</v>
      </c>
      <c r="BB6357" s="3" t="s">
        <v>61286</v>
      </c>
      <c r="BC6357" s="3" t="s">
        <v>142</v>
      </c>
      <c r="BD6357" s="3" t="s">
        <v>68</v>
      </c>
      <c r="BE6357" s="3" t="s">
        <v>61287</v>
      </c>
      <c r="BF6357" s="3" t="s">
        <v>61286</v>
      </c>
      <c r="BG6357" s="3" t="s">
        <v>61288</v>
      </c>
    </row>
    <row r="6358" spans="1:59" ht="57" x14ac:dyDescent="0.45">
      <c r="A6358" s="2" t="s">
        <v>59</v>
      </c>
      <c r="B6358" s="2" t="s">
        <v>60</v>
      </c>
      <c r="C6358" s="2" t="s">
        <v>61289</v>
      </c>
      <c r="D6358" s="2" t="s">
        <v>61290</v>
      </c>
      <c r="E6358" s="2" t="s">
        <v>61291</v>
      </c>
      <c r="G6358" s="3" t="s">
        <v>62</v>
      </c>
      <c r="I6358" s="3" t="s">
        <v>62</v>
      </c>
      <c r="J6358" s="3" t="s">
        <v>62</v>
      </c>
      <c r="K6358" s="3" t="s">
        <v>63</v>
      </c>
      <c r="L6358" s="2" t="s">
        <v>61292</v>
      </c>
      <c r="M6358" s="2" t="s">
        <v>33777</v>
      </c>
      <c r="N6358" s="3" t="s">
        <v>208</v>
      </c>
      <c r="P6358" s="3" t="s">
        <v>65</v>
      </c>
      <c r="R6358" s="3" t="s">
        <v>66</v>
      </c>
      <c r="S6358" s="4">
        <v>2</v>
      </c>
      <c r="T6358" s="4">
        <v>2</v>
      </c>
      <c r="U6358" s="5" t="s">
        <v>5570</v>
      </c>
      <c r="V6358" s="5" t="s">
        <v>5570</v>
      </c>
      <c r="W6358" s="5" t="s">
        <v>67</v>
      </c>
      <c r="X6358" s="5" t="s">
        <v>67</v>
      </c>
      <c r="Y6358" s="4">
        <v>107</v>
      </c>
      <c r="Z6358" s="4">
        <v>9</v>
      </c>
      <c r="AA6358" s="4">
        <v>43</v>
      </c>
      <c r="AB6358" s="4">
        <v>1</v>
      </c>
      <c r="AC6358" s="4">
        <v>5</v>
      </c>
      <c r="AD6358" s="4">
        <v>52</v>
      </c>
      <c r="AE6358" s="4">
        <v>73</v>
      </c>
      <c r="AF6358" s="4">
        <v>0</v>
      </c>
      <c r="AG6358" s="4">
        <v>2</v>
      </c>
      <c r="AH6358" s="4">
        <v>49</v>
      </c>
      <c r="AI6358" s="4">
        <v>61</v>
      </c>
      <c r="AJ6358" s="4">
        <v>5</v>
      </c>
      <c r="AK6358" s="4">
        <v>12</v>
      </c>
      <c r="AL6358" s="4">
        <v>33</v>
      </c>
      <c r="AM6358" s="4">
        <v>38</v>
      </c>
      <c r="AN6358" s="4">
        <v>0</v>
      </c>
      <c r="AO6358" s="4">
        <v>0</v>
      </c>
      <c r="AP6358" s="4">
        <v>6</v>
      </c>
      <c r="AQ6358" s="4">
        <v>17</v>
      </c>
      <c r="AR6358" s="3" t="s">
        <v>62</v>
      </c>
      <c r="AS6358" s="3" t="s">
        <v>62</v>
      </c>
      <c r="AT6358" s="3" t="s">
        <v>62</v>
      </c>
      <c r="AV6358" s="6" t="str">
        <f>HYPERLINK("http://mcgill.on.worldcat.org/oclc/876370827","Catalog Record")</f>
        <v>Catalog Record</v>
      </c>
      <c r="AW6358" s="6" t="str">
        <f>HYPERLINK("http://www.worldcat.org/oclc/876370827","WorldCat Record")</f>
        <v>WorldCat Record</v>
      </c>
      <c r="AX6358" s="3" t="s">
        <v>61293</v>
      </c>
      <c r="AY6358" s="3" t="s">
        <v>61294</v>
      </c>
      <c r="AZ6358" s="3" t="s">
        <v>61295</v>
      </c>
      <c r="BA6358" s="3" t="s">
        <v>61295</v>
      </c>
      <c r="BB6358" s="3" t="s">
        <v>61296</v>
      </c>
      <c r="BC6358" s="3" t="s">
        <v>142</v>
      </c>
      <c r="BD6358" s="3" t="s">
        <v>68</v>
      </c>
      <c r="BE6358" s="3" t="s">
        <v>61297</v>
      </c>
      <c r="BF6358" s="3" t="s">
        <v>61296</v>
      </c>
      <c r="BG6358" s="3" t="s">
        <v>61298</v>
      </c>
    </row>
    <row r="6359" spans="1:59" ht="71.25" x14ac:dyDescent="0.45">
      <c r="A6359" s="2" t="s">
        <v>59</v>
      </c>
      <c r="B6359" s="2" t="s">
        <v>60</v>
      </c>
      <c r="C6359" s="2" t="s">
        <v>61299</v>
      </c>
      <c r="D6359" s="2" t="s">
        <v>61300</v>
      </c>
      <c r="E6359" s="2" t="s">
        <v>61301</v>
      </c>
      <c r="G6359" s="3" t="s">
        <v>62</v>
      </c>
      <c r="I6359" s="3" t="s">
        <v>62</v>
      </c>
      <c r="J6359" s="3" t="s">
        <v>62</v>
      </c>
      <c r="K6359" s="3" t="s">
        <v>63</v>
      </c>
      <c r="M6359" s="2" t="s">
        <v>26906</v>
      </c>
      <c r="N6359" s="3" t="s">
        <v>208</v>
      </c>
      <c r="P6359" s="3" t="s">
        <v>65</v>
      </c>
      <c r="Q6359" s="2" t="s">
        <v>61302</v>
      </c>
      <c r="R6359" s="3" t="s">
        <v>66</v>
      </c>
      <c r="S6359" s="4">
        <v>0</v>
      </c>
      <c r="T6359" s="4">
        <v>0</v>
      </c>
      <c r="W6359" s="5" t="s">
        <v>67</v>
      </c>
      <c r="X6359" s="5" t="s">
        <v>67</v>
      </c>
      <c r="Y6359" s="4">
        <v>80</v>
      </c>
      <c r="Z6359" s="4">
        <v>6</v>
      </c>
      <c r="AA6359" s="4">
        <v>16</v>
      </c>
      <c r="AB6359" s="4">
        <v>1</v>
      </c>
      <c r="AC6359" s="4">
        <v>6</v>
      </c>
      <c r="AD6359" s="4">
        <v>41</v>
      </c>
      <c r="AE6359" s="4">
        <v>50</v>
      </c>
      <c r="AF6359" s="4">
        <v>0</v>
      </c>
      <c r="AG6359" s="4">
        <v>2</v>
      </c>
      <c r="AH6359" s="4">
        <v>39</v>
      </c>
      <c r="AI6359" s="4">
        <v>44</v>
      </c>
      <c r="AJ6359" s="4">
        <v>4</v>
      </c>
      <c r="AK6359" s="4">
        <v>10</v>
      </c>
      <c r="AL6359" s="4">
        <v>25</v>
      </c>
      <c r="AM6359" s="4">
        <v>25</v>
      </c>
      <c r="AN6359" s="4">
        <v>0</v>
      </c>
      <c r="AO6359" s="4">
        <v>0</v>
      </c>
      <c r="AP6359" s="4">
        <v>4</v>
      </c>
      <c r="AQ6359" s="4">
        <v>10</v>
      </c>
      <c r="AR6359" s="3" t="s">
        <v>62</v>
      </c>
      <c r="AS6359" s="3" t="s">
        <v>62</v>
      </c>
      <c r="AT6359" s="3" t="s">
        <v>62</v>
      </c>
      <c r="AV6359" s="6" t="str">
        <f>HYPERLINK("http://mcgill.on.worldcat.org/oclc/884439979","Catalog Record")</f>
        <v>Catalog Record</v>
      </c>
      <c r="AW6359" s="6" t="str">
        <f>HYPERLINK("http://www.worldcat.org/oclc/884439979","WorldCat Record")</f>
        <v>WorldCat Record</v>
      </c>
      <c r="AX6359" s="3" t="s">
        <v>61303</v>
      </c>
      <c r="AY6359" s="3" t="s">
        <v>61304</v>
      </c>
      <c r="AZ6359" s="3" t="s">
        <v>61305</v>
      </c>
      <c r="BA6359" s="3" t="s">
        <v>61305</v>
      </c>
      <c r="BB6359" s="3" t="s">
        <v>61306</v>
      </c>
      <c r="BC6359" s="3" t="s">
        <v>142</v>
      </c>
      <c r="BD6359" s="3" t="s">
        <v>68</v>
      </c>
      <c r="BE6359" s="3" t="s">
        <v>61307</v>
      </c>
      <c r="BF6359" s="3" t="s">
        <v>61306</v>
      </c>
      <c r="BG6359" s="3" t="s">
        <v>61308</v>
      </c>
    </row>
    <row r="6360" spans="1:59" ht="57" x14ac:dyDescent="0.45">
      <c r="A6360" s="2" t="s">
        <v>59</v>
      </c>
      <c r="B6360" s="2" t="s">
        <v>60</v>
      </c>
      <c r="C6360" s="2" t="s">
        <v>61309</v>
      </c>
      <c r="D6360" s="2" t="s">
        <v>61310</v>
      </c>
      <c r="E6360" s="2" t="s">
        <v>61311</v>
      </c>
      <c r="G6360" s="3" t="s">
        <v>62</v>
      </c>
      <c r="I6360" s="3" t="s">
        <v>62</v>
      </c>
      <c r="J6360" s="3" t="s">
        <v>62</v>
      </c>
      <c r="K6360" s="3" t="s">
        <v>63</v>
      </c>
      <c r="L6360" s="2" t="s">
        <v>61312</v>
      </c>
      <c r="M6360" s="2" t="s">
        <v>61313</v>
      </c>
      <c r="N6360" s="3" t="s">
        <v>1155</v>
      </c>
      <c r="P6360" s="3" t="s">
        <v>65</v>
      </c>
      <c r="Q6360" s="2" t="s">
        <v>61314</v>
      </c>
      <c r="R6360" s="3" t="s">
        <v>66</v>
      </c>
      <c r="S6360" s="4">
        <v>0</v>
      </c>
      <c r="T6360" s="4">
        <v>0</v>
      </c>
      <c r="W6360" s="5" t="s">
        <v>67</v>
      </c>
      <c r="X6360" s="5" t="s">
        <v>67</v>
      </c>
      <c r="Y6360" s="4">
        <v>57</v>
      </c>
      <c r="Z6360" s="4">
        <v>5</v>
      </c>
      <c r="AA6360" s="4">
        <v>27</v>
      </c>
      <c r="AB6360" s="4">
        <v>1</v>
      </c>
      <c r="AC6360" s="4">
        <v>8</v>
      </c>
      <c r="AD6360" s="4">
        <v>21</v>
      </c>
      <c r="AE6360" s="4">
        <v>32</v>
      </c>
      <c r="AF6360" s="4">
        <v>0</v>
      </c>
      <c r="AG6360" s="4">
        <v>1</v>
      </c>
      <c r="AH6360" s="4">
        <v>20</v>
      </c>
      <c r="AI6360" s="4">
        <v>25</v>
      </c>
      <c r="AJ6360" s="4">
        <v>4</v>
      </c>
      <c r="AK6360" s="4">
        <v>6</v>
      </c>
      <c r="AL6360" s="4">
        <v>11</v>
      </c>
      <c r="AM6360" s="4">
        <v>14</v>
      </c>
      <c r="AN6360" s="4">
        <v>0</v>
      </c>
      <c r="AO6360" s="4">
        <v>0</v>
      </c>
      <c r="AP6360" s="4">
        <v>4</v>
      </c>
      <c r="AQ6360" s="4">
        <v>10</v>
      </c>
      <c r="AR6360" s="3" t="s">
        <v>62</v>
      </c>
      <c r="AS6360" s="3" t="s">
        <v>62</v>
      </c>
      <c r="AT6360" s="3" t="s">
        <v>62</v>
      </c>
      <c r="AV6360" s="6" t="str">
        <f>HYPERLINK("http://mcgill.on.worldcat.org/oclc/795354452","Catalog Record")</f>
        <v>Catalog Record</v>
      </c>
      <c r="AW6360" s="6" t="str">
        <f>HYPERLINK("http://www.worldcat.org/oclc/795354452","WorldCat Record")</f>
        <v>WorldCat Record</v>
      </c>
      <c r="AX6360" s="3" t="s">
        <v>61315</v>
      </c>
      <c r="AY6360" s="3" t="s">
        <v>61316</v>
      </c>
      <c r="AZ6360" s="3" t="s">
        <v>61317</v>
      </c>
      <c r="BA6360" s="3" t="s">
        <v>61317</v>
      </c>
      <c r="BB6360" s="3" t="s">
        <v>61318</v>
      </c>
      <c r="BC6360" s="3" t="s">
        <v>142</v>
      </c>
      <c r="BD6360" s="3" t="s">
        <v>68</v>
      </c>
      <c r="BE6360" s="3" t="s">
        <v>61319</v>
      </c>
      <c r="BF6360" s="3" t="s">
        <v>61318</v>
      </c>
      <c r="BG6360" s="3" t="s">
        <v>61320</v>
      </c>
    </row>
    <row r="6361" spans="1:59" ht="57" x14ac:dyDescent="0.45">
      <c r="A6361" s="2" t="s">
        <v>59</v>
      </c>
      <c r="B6361" s="2" t="s">
        <v>60</v>
      </c>
      <c r="C6361" s="2" t="s">
        <v>61321</v>
      </c>
      <c r="D6361" s="2" t="s">
        <v>61322</v>
      </c>
      <c r="E6361" s="2" t="s">
        <v>61323</v>
      </c>
      <c r="G6361" s="3" t="s">
        <v>62</v>
      </c>
      <c r="I6361" s="3" t="s">
        <v>62</v>
      </c>
      <c r="J6361" s="3" t="s">
        <v>62</v>
      </c>
      <c r="K6361" s="3" t="s">
        <v>63</v>
      </c>
      <c r="M6361" s="2" t="s">
        <v>61324</v>
      </c>
      <c r="N6361" s="3" t="s">
        <v>1253</v>
      </c>
      <c r="O6361" s="2" t="s">
        <v>168</v>
      </c>
      <c r="P6361" s="3" t="s">
        <v>65</v>
      </c>
      <c r="R6361" s="3" t="s">
        <v>66</v>
      </c>
      <c r="S6361" s="4">
        <v>14</v>
      </c>
      <c r="T6361" s="4">
        <v>14</v>
      </c>
      <c r="U6361" s="5" t="s">
        <v>6949</v>
      </c>
      <c r="V6361" s="5" t="s">
        <v>6949</v>
      </c>
      <c r="W6361" s="5" t="s">
        <v>67</v>
      </c>
      <c r="X6361" s="5" t="s">
        <v>67</v>
      </c>
      <c r="Y6361" s="4">
        <v>58</v>
      </c>
      <c r="Z6361" s="4">
        <v>11</v>
      </c>
      <c r="AA6361" s="4">
        <v>15</v>
      </c>
      <c r="AB6361" s="4">
        <v>2</v>
      </c>
      <c r="AC6361" s="4">
        <v>4</v>
      </c>
      <c r="AD6361" s="4">
        <v>25</v>
      </c>
      <c r="AE6361" s="4">
        <v>32</v>
      </c>
      <c r="AF6361" s="4">
        <v>1</v>
      </c>
      <c r="AG6361" s="4">
        <v>3</v>
      </c>
      <c r="AH6361" s="4">
        <v>23</v>
      </c>
      <c r="AI6361" s="4">
        <v>25</v>
      </c>
      <c r="AJ6361" s="4">
        <v>9</v>
      </c>
      <c r="AK6361" s="4">
        <v>13</v>
      </c>
      <c r="AL6361" s="4">
        <v>13</v>
      </c>
      <c r="AM6361" s="4">
        <v>15</v>
      </c>
      <c r="AN6361" s="4">
        <v>0</v>
      </c>
      <c r="AO6361" s="4">
        <v>0</v>
      </c>
      <c r="AP6361" s="4">
        <v>9</v>
      </c>
      <c r="AQ6361" s="4">
        <v>11</v>
      </c>
      <c r="AR6361" s="3" t="s">
        <v>62</v>
      </c>
      <c r="AS6361" s="3" t="s">
        <v>62</v>
      </c>
      <c r="AT6361" s="3" t="s">
        <v>62</v>
      </c>
      <c r="AV6361" s="6" t="str">
        <f>HYPERLINK("http://mcgill.on.worldcat.org/oclc/37770059","Catalog Record")</f>
        <v>Catalog Record</v>
      </c>
      <c r="AW6361" s="6" t="str">
        <f>HYPERLINK("http://www.worldcat.org/oclc/37770059","WorldCat Record")</f>
        <v>WorldCat Record</v>
      </c>
      <c r="AX6361" s="3" t="s">
        <v>61325</v>
      </c>
      <c r="AY6361" s="3" t="s">
        <v>61326</v>
      </c>
      <c r="AZ6361" s="3" t="s">
        <v>61327</v>
      </c>
      <c r="BA6361" s="3" t="s">
        <v>61327</v>
      </c>
      <c r="BB6361" s="3" t="s">
        <v>61328</v>
      </c>
      <c r="BC6361" s="3" t="s">
        <v>142</v>
      </c>
      <c r="BD6361" s="3" t="s">
        <v>68</v>
      </c>
      <c r="BE6361" s="3" t="s">
        <v>61329</v>
      </c>
      <c r="BF6361" s="3" t="s">
        <v>61328</v>
      </c>
      <c r="BG6361" s="3" t="s">
        <v>61330</v>
      </c>
    </row>
    <row r="6362" spans="1:59" ht="57" x14ac:dyDescent="0.45">
      <c r="A6362" s="2" t="s">
        <v>59</v>
      </c>
      <c r="B6362" s="2" t="s">
        <v>60</v>
      </c>
      <c r="C6362" s="2" t="s">
        <v>61331</v>
      </c>
      <c r="D6362" s="2" t="s">
        <v>61332</v>
      </c>
      <c r="E6362" s="2" t="s">
        <v>61333</v>
      </c>
      <c r="G6362" s="3" t="s">
        <v>62</v>
      </c>
      <c r="I6362" s="3" t="s">
        <v>62</v>
      </c>
      <c r="J6362" s="3" t="s">
        <v>62</v>
      </c>
      <c r="K6362" s="3" t="s">
        <v>63</v>
      </c>
      <c r="M6362" s="2" t="s">
        <v>61334</v>
      </c>
      <c r="N6362" s="3" t="s">
        <v>208</v>
      </c>
      <c r="P6362" s="3" t="s">
        <v>182</v>
      </c>
      <c r="Q6362" s="2" t="s">
        <v>61335</v>
      </c>
      <c r="R6362" s="3" t="s">
        <v>66</v>
      </c>
      <c r="S6362" s="4">
        <v>1</v>
      </c>
      <c r="T6362" s="4">
        <v>1</v>
      </c>
      <c r="U6362" s="5" t="s">
        <v>1255</v>
      </c>
      <c r="V6362" s="5" t="s">
        <v>1255</v>
      </c>
      <c r="W6362" s="5" t="s">
        <v>67</v>
      </c>
      <c r="X6362" s="5" t="s">
        <v>67</v>
      </c>
      <c r="Y6362" s="4">
        <v>26</v>
      </c>
      <c r="Z6362" s="4">
        <v>2</v>
      </c>
      <c r="AA6362" s="4">
        <v>2</v>
      </c>
      <c r="AB6362" s="4">
        <v>1</v>
      </c>
      <c r="AC6362" s="4">
        <v>1</v>
      </c>
      <c r="AD6362" s="4">
        <v>13</v>
      </c>
      <c r="AE6362" s="4">
        <v>13</v>
      </c>
      <c r="AF6362" s="4">
        <v>0</v>
      </c>
      <c r="AG6362" s="4">
        <v>0</v>
      </c>
      <c r="AH6362" s="4">
        <v>13</v>
      </c>
      <c r="AI6362" s="4">
        <v>13</v>
      </c>
      <c r="AJ6362" s="4">
        <v>1</v>
      </c>
      <c r="AK6362" s="4">
        <v>1</v>
      </c>
      <c r="AL6362" s="4">
        <v>7</v>
      </c>
      <c r="AM6362" s="4">
        <v>7</v>
      </c>
      <c r="AN6362" s="4">
        <v>0</v>
      </c>
      <c r="AO6362" s="4">
        <v>0</v>
      </c>
      <c r="AP6362" s="4">
        <v>1</v>
      </c>
      <c r="AQ6362" s="4">
        <v>1</v>
      </c>
      <c r="AR6362" s="3" t="s">
        <v>62</v>
      </c>
      <c r="AS6362" s="3" t="s">
        <v>62</v>
      </c>
      <c r="AT6362" s="3" t="s">
        <v>62</v>
      </c>
      <c r="AV6362" s="6" t="str">
        <f>HYPERLINK("http://mcgill.on.worldcat.org/oclc/906626896","Catalog Record")</f>
        <v>Catalog Record</v>
      </c>
      <c r="AW6362" s="6" t="str">
        <f>HYPERLINK("http://www.worldcat.org/oclc/906626896","WorldCat Record")</f>
        <v>WorldCat Record</v>
      </c>
      <c r="AX6362" s="3" t="s">
        <v>61336</v>
      </c>
      <c r="AY6362" s="3" t="s">
        <v>61337</v>
      </c>
      <c r="AZ6362" s="3" t="s">
        <v>61338</v>
      </c>
      <c r="BA6362" s="3" t="s">
        <v>61338</v>
      </c>
      <c r="BB6362" s="3" t="s">
        <v>61339</v>
      </c>
      <c r="BC6362" s="3" t="s">
        <v>142</v>
      </c>
      <c r="BD6362" s="3" t="s">
        <v>68</v>
      </c>
      <c r="BE6362" s="3" t="s">
        <v>61340</v>
      </c>
      <c r="BF6362" s="3" t="s">
        <v>61339</v>
      </c>
      <c r="BG6362" s="3" t="s">
        <v>61341</v>
      </c>
    </row>
    <row r="6363" spans="1:59" ht="57" x14ac:dyDescent="0.45">
      <c r="A6363" s="2" t="s">
        <v>59</v>
      </c>
      <c r="B6363" s="2" t="s">
        <v>60</v>
      </c>
      <c r="C6363" s="2" t="s">
        <v>61342</v>
      </c>
      <c r="D6363" s="2" t="s">
        <v>61343</v>
      </c>
      <c r="E6363" s="2" t="s">
        <v>61344</v>
      </c>
      <c r="G6363" s="3" t="s">
        <v>62</v>
      </c>
      <c r="I6363" s="3" t="s">
        <v>62</v>
      </c>
      <c r="J6363" s="3" t="s">
        <v>62</v>
      </c>
      <c r="K6363" s="3" t="s">
        <v>63</v>
      </c>
      <c r="M6363" s="2" t="s">
        <v>61345</v>
      </c>
      <c r="N6363" s="3" t="s">
        <v>149</v>
      </c>
      <c r="P6363" s="3" t="s">
        <v>182</v>
      </c>
      <c r="Q6363" s="2" t="s">
        <v>61346</v>
      </c>
      <c r="R6363" s="3" t="s">
        <v>66</v>
      </c>
      <c r="S6363" s="4">
        <v>0</v>
      </c>
      <c r="T6363" s="4">
        <v>0</v>
      </c>
      <c r="W6363" s="5" t="s">
        <v>67</v>
      </c>
      <c r="X6363" s="5" t="s">
        <v>67</v>
      </c>
      <c r="Y6363" s="4">
        <v>11</v>
      </c>
      <c r="Z6363" s="4">
        <v>1</v>
      </c>
      <c r="AA6363" s="4">
        <v>1</v>
      </c>
      <c r="AB6363" s="4">
        <v>1</v>
      </c>
      <c r="AC6363" s="4">
        <v>1</v>
      </c>
      <c r="AD6363" s="4">
        <v>6</v>
      </c>
      <c r="AE6363" s="4">
        <v>6</v>
      </c>
      <c r="AF6363" s="4">
        <v>0</v>
      </c>
      <c r="AG6363" s="4">
        <v>0</v>
      </c>
      <c r="AH6363" s="4">
        <v>5</v>
      </c>
      <c r="AI6363" s="4">
        <v>5</v>
      </c>
      <c r="AJ6363" s="4">
        <v>0</v>
      </c>
      <c r="AK6363" s="4">
        <v>0</v>
      </c>
      <c r="AL6363" s="4">
        <v>4</v>
      </c>
      <c r="AM6363" s="4">
        <v>4</v>
      </c>
      <c r="AN6363" s="4">
        <v>0</v>
      </c>
      <c r="AO6363" s="4">
        <v>0</v>
      </c>
      <c r="AP6363" s="4">
        <v>0</v>
      </c>
      <c r="AQ6363" s="4">
        <v>0</v>
      </c>
      <c r="AR6363" s="3" t="s">
        <v>62</v>
      </c>
      <c r="AS6363" s="3" t="s">
        <v>62</v>
      </c>
      <c r="AT6363" s="3" t="s">
        <v>62</v>
      </c>
      <c r="AV6363" s="6" t="str">
        <f>HYPERLINK("http://mcgill.on.worldcat.org/oclc/701797088","Catalog Record")</f>
        <v>Catalog Record</v>
      </c>
      <c r="AW6363" s="6" t="str">
        <f>HYPERLINK("http://www.worldcat.org/oclc/701797088","WorldCat Record")</f>
        <v>WorldCat Record</v>
      </c>
      <c r="AX6363" s="3" t="s">
        <v>61347</v>
      </c>
      <c r="AY6363" s="3" t="s">
        <v>61348</v>
      </c>
      <c r="AZ6363" s="3" t="s">
        <v>61349</v>
      </c>
      <c r="BA6363" s="3" t="s">
        <v>61349</v>
      </c>
      <c r="BB6363" s="3" t="s">
        <v>61350</v>
      </c>
      <c r="BC6363" s="3" t="s">
        <v>142</v>
      </c>
      <c r="BD6363" s="3" t="s">
        <v>68</v>
      </c>
      <c r="BE6363" s="3" t="s">
        <v>61351</v>
      </c>
      <c r="BF6363" s="3" t="s">
        <v>61350</v>
      </c>
      <c r="BG6363" s="3" t="s">
        <v>61352</v>
      </c>
    </row>
    <row r="6364" spans="1:59" ht="57" x14ac:dyDescent="0.45">
      <c r="A6364" s="2" t="s">
        <v>59</v>
      </c>
      <c r="B6364" s="2" t="s">
        <v>60</v>
      </c>
      <c r="C6364" s="2" t="s">
        <v>61353</v>
      </c>
      <c r="D6364" s="2" t="s">
        <v>61354</v>
      </c>
      <c r="E6364" s="2" t="s">
        <v>61355</v>
      </c>
      <c r="G6364" s="3" t="s">
        <v>62</v>
      </c>
      <c r="I6364" s="3" t="s">
        <v>62</v>
      </c>
      <c r="J6364" s="3" t="s">
        <v>62</v>
      </c>
      <c r="K6364" s="3" t="s">
        <v>63</v>
      </c>
      <c r="M6364" s="2" t="s">
        <v>61356</v>
      </c>
      <c r="N6364" s="3" t="s">
        <v>894</v>
      </c>
      <c r="O6364" s="2" t="s">
        <v>61357</v>
      </c>
      <c r="P6364" s="3" t="s">
        <v>182</v>
      </c>
      <c r="Q6364" s="2" t="s">
        <v>61358</v>
      </c>
      <c r="R6364" s="3" t="s">
        <v>66</v>
      </c>
      <c r="S6364" s="4">
        <v>0</v>
      </c>
      <c r="T6364" s="4">
        <v>0</v>
      </c>
      <c r="W6364" s="5" t="s">
        <v>67</v>
      </c>
      <c r="X6364" s="5" t="s">
        <v>67</v>
      </c>
      <c r="Y6364" s="4">
        <v>7</v>
      </c>
      <c r="Z6364" s="4">
        <v>1</v>
      </c>
      <c r="AA6364" s="4">
        <v>3</v>
      </c>
      <c r="AB6364" s="4">
        <v>1</v>
      </c>
      <c r="AC6364" s="4">
        <v>3</v>
      </c>
      <c r="AD6364" s="4">
        <v>4</v>
      </c>
      <c r="AE6364" s="4">
        <v>5</v>
      </c>
      <c r="AF6364" s="4">
        <v>0</v>
      </c>
      <c r="AG6364" s="4">
        <v>1</v>
      </c>
      <c r="AH6364" s="4">
        <v>4</v>
      </c>
      <c r="AI6364" s="4">
        <v>4</v>
      </c>
      <c r="AJ6364" s="4">
        <v>0</v>
      </c>
      <c r="AK6364" s="4">
        <v>1</v>
      </c>
      <c r="AL6364" s="4">
        <v>3</v>
      </c>
      <c r="AM6364" s="4">
        <v>3</v>
      </c>
      <c r="AN6364" s="4">
        <v>0</v>
      </c>
      <c r="AO6364" s="4">
        <v>0</v>
      </c>
      <c r="AP6364" s="4">
        <v>0</v>
      </c>
      <c r="AQ6364" s="4">
        <v>0</v>
      </c>
      <c r="AR6364" s="3" t="s">
        <v>62</v>
      </c>
      <c r="AS6364" s="3" t="s">
        <v>62</v>
      </c>
      <c r="AT6364" s="3" t="s">
        <v>62</v>
      </c>
      <c r="AV6364" s="6" t="str">
        <f>HYPERLINK("http://mcgill.on.worldcat.org/oclc/732280242","Catalog Record")</f>
        <v>Catalog Record</v>
      </c>
      <c r="AW6364" s="6" t="str">
        <f>HYPERLINK("http://www.worldcat.org/oclc/732280242","WorldCat Record")</f>
        <v>WorldCat Record</v>
      </c>
      <c r="AX6364" s="3" t="s">
        <v>61359</v>
      </c>
      <c r="AY6364" s="3" t="s">
        <v>61360</v>
      </c>
      <c r="AZ6364" s="3" t="s">
        <v>61361</v>
      </c>
      <c r="BA6364" s="3" t="s">
        <v>61361</v>
      </c>
      <c r="BB6364" s="3" t="s">
        <v>61362</v>
      </c>
      <c r="BC6364" s="3" t="s">
        <v>142</v>
      </c>
      <c r="BD6364" s="3" t="s">
        <v>68</v>
      </c>
      <c r="BE6364" s="3" t="s">
        <v>61363</v>
      </c>
      <c r="BF6364" s="3" t="s">
        <v>61362</v>
      </c>
      <c r="BG6364" s="3" t="s">
        <v>61364</v>
      </c>
    </row>
    <row r="6365" spans="1:59" ht="57" x14ac:dyDescent="0.45">
      <c r="A6365" s="2" t="s">
        <v>59</v>
      </c>
      <c r="B6365" s="2" t="s">
        <v>60</v>
      </c>
      <c r="C6365" s="2" t="s">
        <v>61365</v>
      </c>
      <c r="D6365" s="2" t="s">
        <v>61366</v>
      </c>
      <c r="E6365" s="2" t="s">
        <v>61367</v>
      </c>
      <c r="G6365" s="3" t="s">
        <v>62</v>
      </c>
      <c r="I6365" s="3" t="s">
        <v>62</v>
      </c>
      <c r="J6365" s="3" t="s">
        <v>62</v>
      </c>
      <c r="K6365" s="3" t="s">
        <v>63</v>
      </c>
      <c r="M6365" s="2" t="s">
        <v>61368</v>
      </c>
      <c r="N6365" s="3" t="s">
        <v>807</v>
      </c>
      <c r="P6365" s="3" t="s">
        <v>65</v>
      </c>
      <c r="Q6365" s="2" t="s">
        <v>61369</v>
      </c>
      <c r="R6365" s="3" t="s">
        <v>66</v>
      </c>
      <c r="S6365" s="4">
        <v>17</v>
      </c>
      <c r="T6365" s="4">
        <v>17</v>
      </c>
      <c r="U6365" s="5" t="s">
        <v>33205</v>
      </c>
      <c r="V6365" s="5" t="s">
        <v>33205</v>
      </c>
      <c r="W6365" s="5" t="s">
        <v>67</v>
      </c>
      <c r="X6365" s="5" t="s">
        <v>67</v>
      </c>
      <c r="Y6365" s="4">
        <v>30</v>
      </c>
      <c r="Z6365" s="4">
        <v>4</v>
      </c>
      <c r="AA6365" s="4">
        <v>4</v>
      </c>
      <c r="AB6365" s="4">
        <v>2</v>
      </c>
      <c r="AC6365" s="4">
        <v>2</v>
      </c>
      <c r="AD6365" s="4">
        <v>16</v>
      </c>
      <c r="AE6365" s="4">
        <v>26</v>
      </c>
      <c r="AF6365" s="4">
        <v>1</v>
      </c>
      <c r="AG6365" s="4">
        <v>1</v>
      </c>
      <c r="AH6365" s="4">
        <v>14</v>
      </c>
      <c r="AI6365" s="4">
        <v>24</v>
      </c>
      <c r="AJ6365" s="4">
        <v>3</v>
      </c>
      <c r="AK6365" s="4">
        <v>3</v>
      </c>
      <c r="AL6365" s="4">
        <v>12</v>
      </c>
      <c r="AM6365" s="4">
        <v>21</v>
      </c>
      <c r="AN6365" s="4">
        <v>0</v>
      </c>
      <c r="AO6365" s="4">
        <v>0</v>
      </c>
      <c r="AP6365" s="4">
        <v>3</v>
      </c>
      <c r="AQ6365" s="4">
        <v>3</v>
      </c>
      <c r="AR6365" s="3" t="s">
        <v>62</v>
      </c>
      <c r="AS6365" s="3" t="s">
        <v>62</v>
      </c>
      <c r="AT6365" s="3" t="s">
        <v>62</v>
      </c>
      <c r="AV6365" s="6" t="str">
        <f>HYPERLINK("http://mcgill.on.worldcat.org/oclc/25395610","Catalog Record")</f>
        <v>Catalog Record</v>
      </c>
      <c r="AW6365" s="6" t="str">
        <f>HYPERLINK("http://www.worldcat.org/oclc/25395610","WorldCat Record")</f>
        <v>WorldCat Record</v>
      </c>
      <c r="AX6365" s="3" t="s">
        <v>61370</v>
      </c>
      <c r="AY6365" s="3" t="s">
        <v>61371</v>
      </c>
      <c r="AZ6365" s="3" t="s">
        <v>61372</v>
      </c>
      <c r="BA6365" s="3" t="s">
        <v>61372</v>
      </c>
      <c r="BB6365" s="3" t="s">
        <v>61373</v>
      </c>
      <c r="BC6365" s="3" t="s">
        <v>142</v>
      </c>
      <c r="BD6365" s="3" t="s">
        <v>68</v>
      </c>
      <c r="BF6365" s="3" t="s">
        <v>61373</v>
      </c>
      <c r="BG6365" s="3" t="s">
        <v>61374</v>
      </c>
    </row>
    <row r="6366" spans="1:59" ht="57" x14ac:dyDescent="0.45">
      <c r="A6366" s="2" t="s">
        <v>59</v>
      </c>
      <c r="B6366" s="2" t="s">
        <v>60</v>
      </c>
      <c r="C6366" s="2" t="s">
        <v>61375</v>
      </c>
      <c r="D6366" s="2" t="s">
        <v>61376</v>
      </c>
      <c r="E6366" s="2" t="s">
        <v>61377</v>
      </c>
      <c r="G6366" s="3" t="s">
        <v>62</v>
      </c>
      <c r="I6366" s="3" t="s">
        <v>62</v>
      </c>
      <c r="J6366" s="3" t="s">
        <v>62</v>
      </c>
      <c r="K6366" s="3" t="s">
        <v>63</v>
      </c>
      <c r="M6366" s="2" t="s">
        <v>61378</v>
      </c>
      <c r="N6366" s="3" t="s">
        <v>820</v>
      </c>
      <c r="P6366" s="3" t="s">
        <v>326</v>
      </c>
      <c r="Q6366" s="2" t="s">
        <v>61379</v>
      </c>
      <c r="R6366" s="3" t="s">
        <v>66</v>
      </c>
      <c r="S6366" s="4">
        <v>4</v>
      </c>
      <c r="T6366" s="4">
        <v>4</v>
      </c>
      <c r="U6366" s="5" t="s">
        <v>24127</v>
      </c>
      <c r="V6366" s="5" t="s">
        <v>24127</v>
      </c>
      <c r="W6366" s="5" t="s">
        <v>67</v>
      </c>
      <c r="X6366" s="5" t="s">
        <v>67</v>
      </c>
      <c r="Y6366" s="4">
        <v>91</v>
      </c>
      <c r="Z6366" s="4">
        <v>13</v>
      </c>
      <c r="AA6366" s="4">
        <v>15</v>
      </c>
      <c r="AB6366" s="4">
        <v>2</v>
      </c>
      <c r="AC6366" s="4">
        <v>4</v>
      </c>
      <c r="AD6366" s="4">
        <v>45</v>
      </c>
      <c r="AE6366" s="4">
        <v>49</v>
      </c>
      <c r="AF6366" s="4">
        <v>1</v>
      </c>
      <c r="AG6366" s="4">
        <v>2</v>
      </c>
      <c r="AH6366" s="4">
        <v>41</v>
      </c>
      <c r="AI6366" s="4">
        <v>44</v>
      </c>
      <c r="AJ6366" s="4">
        <v>10</v>
      </c>
      <c r="AK6366" s="4">
        <v>11</v>
      </c>
      <c r="AL6366" s="4">
        <v>27</v>
      </c>
      <c r="AM6366" s="4">
        <v>28</v>
      </c>
      <c r="AN6366" s="4">
        <v>0</v>
      </c>
      <c r="AO6366" s="4">
        <v>0</v>
      </c>
      <c r="AP6366" s="4">
        <v>11</v>
      </c>
      <c r="AQ6366" s="4">
        <v>11</v>
      </c>
      <c r="AR6366" s="3" t="s">
        <v>62</v>
      </c>
      <c r="AS6366" s="3" t="s">
        <v>62</v>
      </c>
      <c r="AT6366" s="3" t="s">
        <v>62</v>
      </c>
      <c r="AV6366" s="6" t="str">
        <f>HYPERLINK("http://mcgill.on.worldcat.org/oclc/230809508","Catalog Record")</f>
        <v>Catalog Record</v>
      </c>
      <c r="AW6366" s="6" t="str">
        <f>HYPERLINK("http://www.worldcat.org/oclc/230809508","WorldCat Record")</f>
        <v>WorldCat Record</v>
      </c>
      <c r="AX6366" s="3" t="s">
        <v>61380</v>
      </c>
      <c r="AY6366" s="3" t="s">
        <v>61381</v>
      </c>
      <c r="AZ6366" s="3" t="s">
        <v>61382</v>
      </c>
      <c r="BA6366" s="3" t="s">
        <v>61382</v>
      </c>
      <c r="BB6366" s="3" t="s">
        <v>61383</v>
      </c>
      <c r="BC6366" s="3" t="s">
        <v>142</v>
      </c>
      <c r="BD6366" s="3" t="s">
        <v>68</v>
      </c>
      <c r="BE6366" s="3" t="s">
        <v>61384</v>
      </c>
      <c r="BF6366" s="3" t="s">
        <v>61383</v>
      </c>
      <c r="BG6366" s="3" t="s">
        <v>61385</v>
      </c>
    </row>
    <row r="6367" spans="1:59" ht="57" x14ac:dyDescent="0.45">
      <c r="A6367" s="2" t="s">
        <v>59</v>
      </c>
      <c r="B6367" s="2" t="s">
        <v>60</v>
      </c>
      <c r="C6367" s="2" t="s">
        <v>61386</v>
      </c>
      <c r="D6367" s="2" t="s">
        <v>61387</v>
      </c>
      <c r="E6367" s="2" t="s">
        <v>61388</v>
      </c>
      <c r="G6367" s="3" t="s">
        <v>62</v>
      </c>
      <c r="I6367" s="3" t="s">
        <v>62</v>
      </c>
      <c r="J6367" s="3" t="s">
        <v>62</v>
      </c>
      <c r="K6367" s="3" t="s">
        <v>63</v>
      </c>
      <c r="L6367" s="2" t="s">
        <v>58770</v>
      </c>
      <c r="M6367" s="2" t="s">
        <v>61389</v>
      </c>
      <c r="N6367" s="3" t="s">
        <v>945</v>
      </c>
      <c r="P6367" s="3" t="s">
        <v>65</v>
      </c>
      <c r="R6367" s="3" t="s">
        <v>66</v>
      </c>
      <c r="S6367" s="4">
        <v>15</v>
      </c>
      <c r="T6367" s="4">
        <v>15</v>
      </c>
      <c r="U6367" s="5" t="s">
        <v>11022</v>
      </c>
      <c r="V6367" s="5" t="s">
        <v>11022</v>
      </c>
      <c r="W6367" s="5" t="s">
        <v>67</v>
      </c>
      <c r="X6367" s="5" t="s">
        <v>67</v>
      </c>
      <c r="Y6367" s="4">
        <v>192</v>
      </c>
      <c r="Z6367" s="4">
        <v>5</v>
      </c>
      <c r="AA6367" s="4">
        <v>77</v>
      </c>
      <c r="AB6367" s="4">
        <v>1</v>
      </c>
      <c r="AC6367" s="4">
        <v>15</v>
      </c>
      <c r="AD6367" s="4">
        <v>66</v>
      </c>
      <c r="AE6367" s="4">
        <v>126</v>
      </c>
      <c r="AF6367" s="4">
        <v>0</v>
      </c>
      <c r="AG6367" s="4">
        <v>8</v>
      </c>
      <c r="AH6367" s="4">
        <v>65</v>
      </c>
      <c r="AI6367" s="4">
        <v>95</v>
      </c>
      <c r="AJ6367" s="4">
        <v>4</v>
      </c>
      <c r="AK6367" s="4">
        <v>22</v>
      </c>
      <c r="AL6367" s="4">
        <v>35</v>
      </c>
      <c r="AM6367" s="4">
        <v>46</v>
      </c>
      <c r="AN6367" s="4">
        <v>0</v>
      </c>
      <c r="AO6367" s="4">
        <v>0</v>
      </c>
      <c r="AP6367" s="4">
        <v>4</v>
      </c>
      <c r="AQ6367" s="4">
        <v>42</v>
      </c>
      <c r="AR6367" s="3" t="s">
        <v>62</v>
      </c>
      <c r="AS6367" s="3" t="s">
        <v>62</v>
      </c>
      <c r="AT6367" s="3" t="s">
        <v>62</v>
      </c>
      <c r="AV6367" s="6" t="str">
        <f>HYPERLINK("http://mcgill.on.worldcat.org/oclc/141187901","Catalog Record")</f>
        <v>Catalog Record</v>
      </c>
      <c r="AW6367" s="6" t="str">
        <f>HYPERLINK("http://www.worldcat.org/oclc/141187901","WorldCat Record")</f>
        <v>WorldCat Record</v>
      </c>
      <c r="AX6367" s="3" t="s">
        <v>61390</v>
      </c>
      <c r="AY6367" s="3" t="s">
        <v>61391</v>
      </c>
      <c r="AZ6367" s="3" t="s">
        <v>61392</v>
      </c>
      <c r="BA6367" s="3" t="s">
        <v>61392</v>
      </c>
      <c r="BB6367" s="3" t="s">
        <v>61393</v>
      </c>
      <c r="BC6367" s="3" t="s">
        <v>142</v>
      </c>
      <c r="BD6367" s="3" t="s">
        <v>308</v>
      </c>
      <c r="BE6367" s="3" t="s">
        <v>61394</v>
      </c>
      <c r="BF6367" s="3" t="s">
        <v>61393</v>
      </c>
      <c r="BG6367" s="3" t="s">
        <v>61395</v>
      </c>
    </row>
    <row r="6368" spans="1:59" ht="57" x14ac:dyDescent="0.45">
      <c r="A6368" s="2" t="s">
        <v>59</v>
      </c>
      <c r="B6368" s="2" t="s">
        <v>60</v>
      </c>
      <c r="C6368" s="2" t="s">
        <v>61396</v>
      </c>
      <c r="D6368" s="2" t="s">
        <v>61397</v>
      </c>
      <c r="E6368" s="2" t="s">
        <v>61398</v>
      </c>
      <c r="G6368" s="3" t="s">
        <v>62</v>
      </c>
      <c r="I6368" s="3" t="s">
        <v>61</v>
      </c>
      <c r="J6368" s="3" t="s">
        <v>62</v>
      </c>
      <c r="K6368" s="3" t="s">
        <v>63</v>
      </c>
      <c r="M6368" s="2" t="s">
        <v>61399</v>
      </c>
      <c r="N6368" s="3" t="s">
        <v>1604</v>
      </c>
      <c r="P6368" s="3" t="s">
        <v>65</v>
      </c>
      <c r="Q6368" s="2" t="s">
        <v>61400</v>
      </c>
      <c r="R6368" s="3" t="s">
        <v>66</v>
      </c>
      <c r="S6368" s="4">
        <v>2</v>
      </c>
      <c r="T6368" s="4">
        <v>16</v>
      </c>
      <c r="U6368" s="5" t="s">
        <v>37312</v>
      </c>
      <c r="V6368" s="5" t="s">
        <v>37312</v>
      </c>
      <c r="W6368" s="5" t="s">
        <v>67</v>
      </c>
      <c r="X6368" s="5" t="s">
        <v>67</v>
      </c>
      <c r="Y6368" s="4">
        <v>172</v>
      </c>
      <c r="Z6368" s="4">
        <v>15</v>
      </c>
      <c r="AA6368" s="4">
        <v>16</v>
      </c>
      <c r="AB6368" s="4">
        <v>1</v>
      </c>
      <c r="AC6368" s="4">
        <v>2</v>
      </c>
      <c r="AD6368" s="4">
        <v>62</v>
      </c>
      <c r="AE6368" s="4">
        <v>63</v>
      </c>
      <c r="AF6368" s="4">
        <v>0</v>
      </c>
      <c r="AG6368" s="4">
        <v>1</v>
      </c>
      <c r="AH6368" s="4">
        <v>57</v>
      </c>
      <c r="AI6368" s="4">
        <v>57</v>
      </c>
      <c r="AJ6368" s="4">
        <v>10</v>
      </c>
      <c r="AK6368" s="4">
        <v>11</v>
      </c>
      <c r="AL6368" s="4">
        <v>31</v>
      </c>
      <c r="AM6368" s="4">
        <v>31</v>
      </c>
      <c r="AN6368" s="4">
        <v>0</v>
      </c>
      <c r="AO6368" s="4">
        <v>0</v>
      </c>
      <c r="AP6368" s="4">
        <v>11</v>
      </c>
      <c r="AQ6368" s="4">
        <v>11</v>
      </c>
      <c r="AR6368" s="3" t="s">
        <v>62</v>
      </c>
      <c r="AS6368" s="3" t="s">
        <v>62</v>
      </c>
      <c r="AT6368" s="3" t="s">
        <v>61</v>
      </c>
      <c r="AU6368" s="6" t="str">
        <f>HYPERLINK("http://catalog.hathitrust.org/Record/002951581","HathiTrust Record")</f>
        <v>HathiTrust Record</v>
      </c>
      <c r="AV6368" s="6" t="str">
        <f>HYPERLINK("http://mcgill.on.worldcat.org/oclc/29908641","Catalog Record")</f>
        <v>Catalog Record</v>
      </c>
      <c r="AW6368" s="6" t="str">
        <f>HYPERLINK("http://www.worldcat.org/oclc/29908641","WorldCat Record")</f>
        <v>WorldCat Record</v>
      </c>
      <c r="AX6368" s="3" t="s">
        <v>61401</v>
      </c>
      <c r="AY6368" s="3" t="s">
        <v>61402</v>
      </c>
      <c r="AZ6368" s="3" t="s">
        <v>61403</v>
      </c>
      <c r="BA6368" s="3" t="s">
        <v>61403</v>
      </c>
      <c r="BB6368" s="3" t="s">
        <v>61404</v>
      </c>
      <c r="BC6368" s="3" t="s">
        <v>142</v>
      </c>
      <c r="BD6368" s="3" t="s">
        <v>68</v>
      </c>
      <c r="BE6368" s="3" t="s">
        <v>61405</v>
      </c>
      <c r="BF6368" s="3" t="s">
        <v>61404</v>
      </c>
      <c r="BG6368" s="3" t="s">
        <v>61406</v>
      </c>
    </row>
    <row r="6369" spans="1:59" ht="57" x14ac:dyDescent="0.45">
      <c r="A6369" s="2" t="s">
        <v>59</v>
      </c>
      <c r="B6369" s="2" t="s">
        <v>60</v>
      </c>
      <c r="C6369" s="2" t="s">
        <v>61396</v>
      </c>
      <c r="D6369" s="2" t="s">
        <v>61397</v>
      </c>
      <c r="E6369" s="2" t="s">
        <v>61398</v>
      </c>
      <c r="G6369" s="3" t="s">
        <v>62</v>
      </c>
      <c r="I6369" s="3" t="s">
        <v>61</v>
      </c>
      <c r="J6369" s="3" t="s">
        <v>62</v>
      </c>
      <c r="K6369" s="3" t="s">
        <v>63</v>
      </c>
      <c r="M6369" s="2" t="s">
        <v>61399</v>
      </c>
      <c r="N6369" s="3" t="s">
        <v>1604</v>
      </c>
      <c r="P6369" s="3" t="s">
        <v>65</v>
      </c>
      <c r="Q6369" s="2" t="s">
        <v>61400</v>
      </c>
      <c r="R6369" s="3" t="s">
        <v>66</v>
      </c>
      <c r="S6369" s="4">
        <v>14</v>
      </c>
      <c r="T6369" s="4">
        <v>16</v>
      </c>
      <c r="U6369" s="5" t="s">
        <v>61407</v>
      </c>
      <c r="V6369" s="5" t="s">
        <v>37312</v>
      </c>
      <c r="W6369" s="5" t="s">
        <v>67</v>
      </c>
      <c r="X6369" s="5" t="s">
        <v>67</v>
      </c>
      <c r="Y6369" s="4">
        <v>172</v>
      </c>
      <c r="Z6369" s="4">
        <v>15</v>
      </c>
      <c r="AA6369" s="4">
        <v>16</v>
      </c>
      <c r="AB6369" s="4">
        <v>1</v>
      </c>
      <c r="AC6369" s="4">
        <v>2</v>
      </c>
      <c r="AD6369" s="4">
        <v>62</v>
      </c>
      <c r="AE6369" s="4">
        <v>63</v>
      </c>
      <c r="AF6369" s="4">
        <v>0</v>
      </c>
      <c r="AG6369" s="4">
        <v>1</v>
      </c>
      <c r="AH6369" s="4">
        <v>57</v>
      </c>
      <c r="AI6369" s="4">
        <v>57</v>
      </c>
      <c r="AJ6369" s="4">
        <v>10</v>
      </c>
      <c r="AK6369" s="4">
        <v>11</v>
      </c>
      <c r="AL6369" s="4">
        <v>31</v>
      </c>
      <c r="AM6369" s="4">
        <v>31</v>
      </c>
      <c r="AN6369" s="4">
        <v>0</v>
      </c>
      <c r="AO6369" s="4">
        <v>0</v>
      </c>
      <c r="AP6369" s="4">
        <v>11</v>
      </c>
      <c r="AQ6369" s="4">
        <v>11</v>
      </c>
      <c r="AR6369" s="3" t="s">
        <v>62</v>
      </c>
      <c r="AS6369" s="3" t="s">
        <v>62</v>
      </c>
      <c r="AT6369" s="3" t="s">
        <v>61</v>
      </c>
      <c r="AU6369" s="6" t="str">
        <f>HYPERLINK("http://catalog.hathitrust.org/Record/002951581","HathiTrust Record")</f>
        <v>HathiTrust Record</v>
      </c>
      <c r="AV6369" s="6" t="str">
        <f>HYPERLINK("http://mcgill.on.worldcat.org/oclc/29908641","Catalog Record")</f>
        <v>Catalog Record</v>
      </c>
      <c r="AW6369" s="6" t="str">
        <f>HYPERLINK("http://www.worldcat.org/oclc/29908641","WorldCat Record")</f>
        <v>WorldCat Record</v>
      </c>
      <c r="AX6369" s="3" t="s">
        <v>61401</v>
      </c>
      <c r="AY6369" s="3" t="s">
        <v>61402</v>
      </c>
      <c r="AZ6369" s="3" t="s">
        <v>61403</v>
      </c>
      <c r="BA6369" s="3" t="s">
        <v>61403</v>
      </c>
      <c r="BB6369" s="3" t="s">
        <v>61408</v>
      </c>
      <c r="BC6369" s="3" t="s">
        <v>142</v>
      </c>
      <c r="BD6369" s="3" t="s">
        <v>68</v>
      </c>
      <c r="BE6369" s="3" t="s">
        <v>61405</v>
      </c>
      <c r="BF6369" s="3" t="s">
        <v>61408</v>
      </c>
      <c r="BG6369" s="3" t="s">
        <v>61409</v>
      </c>
    </row>
    <row r="6370" spans="1:59" ht="57" x14ac:dyDescent="0.45">
      <c r="A6370" s="2" t="s">
        <v>59</v>
      </c>
      <c r="B6370" s="2" t="s">
        <v>60</v>
      </c>
      <c r="C6370" s="2" t="s">
        <v>61410</v>
      </c>
      <c r="D6370" s="2" t="s">
        <v>61411</v>
      </c>
      <c r="E6370" s="2" t="s">
        <v>61412</v>
      </c>
      <c r="G6370" s="3" t="s">
        <v>62</v>
      </c>
      <c r="I6370" s="3" t="s">
        <v>62</v>
      </c>
      <c r="J6370" s="3" t="s">
        <v>62</v>
      </c>
      <c r="K6370" s="3" t="s">
        <v>63</v>
      </c>
      <c r="M6370" s="2" t="s">
        <v>61413</v>
      </c>
      <c r="N6370" s="3" t="s">
        <v>167</v>
      </c>
      <c r="P6370" s="3" t="s">
        <v>326</v>
      </c>
      <c r="R6370" s="3" t="s">
        <v>66</v>
      </c>
      <c r="S6370" s="4">
        <v>1</v>
      </c>
      <c r="T6370" s="4">
        <v>1</v>
      </c>
      <c r="U6370" s="5" t="s">
        <v>1255</v>
      </c>
      <c r="V6370" s="5" t="s">
        <v>1255</v>
      </c>
      <c r="W6370" s="5" t="s">
        <v>67</v>
      </c>
      <c r="X6370" s="5" t="s">
        <v>67</v>
      </c>
      <c r="Y6370" s="4">
        <v>34</v>
      </c>
      <c r="Z6370" s="4">
        <v>4</v>
      </c>
      <c r="AA6370" s="4">
        <v>4</v>
      </c>
      <c r="AB6370" s="4">
        <v>1</v>
      </c>
      <c r="AC6370" s="4">
        <v>1</v>
      </c>
      <c r="AD6370" s="4">
        <v>19</v>
      </c>
      <c r="AE6370" s="4">
        <v>20</v>
      </c>
      <c r="AF6370" s="4">
        <v>0</v>
      </c>
      <c r="AG6370" s="4">
        <v>0</v>
      </c>
      <c r="AH6370" s="4">
        <v>19</v>
      </c>
      <c r="AI6370" s="4">
        <v>20</v>
      </c>
      <c r="AJ6370" s="4">
        <v>2</v>
      </c>
      <c r="AK6370" s="4">
        <v>2</v>
      </c>
      <c r="AL6370" s="4">
        <v>13</v>
      </c>
      <c r="AM6370" s="4">
        <v>14</v>
      </c>
      <c r="AN6370" s="4">
        <v>0</v>
      </c>
      <c r="AO6370" s="4">
        <v>0</v>
      </c>
      <c r="AP6370" s="4">
        <v>2</v>
      </c>
      <c r="AQ6370" s="4">
        <v>2</v>
      </c>
      <c r="AR6370" s="3" t="s">
        <v>62</v>
      </c>
      <c r="AS6370" s="3" t="s">
        <v>62</v>
      </c>
      <c r="AT6370" s="3" t="s">
        <v>61</v>
      </c>
      <c r="AU6370" s="6" t="str">
        <f>HYPERLINK("http://catalog.hathitrust.org/Record/003518482","HathiTrust Record")</f>
        <v>HathiTrust Record</v>
      </c>
      <c r="AV6370" s="6" t="str">
        <f>HYPERLINK("http://mcgill.on.worldcat.org/oclc/41459104","Catalog Record")</f>
        <v>Catalog Record</v>
      </c>
      <c r="AW6370" s="6" t="str">
        <f>HYPERLINK("http://www.worldcat.org/oclc/41459104","WorldCat Record")</f>
        <v>WorldCat Record</v>
      </c>
      <c r="AX6370" s="3" t="s">
        <v>61414</v>
      </c>
      <c r="AY6370" s="3" t="s">
        <v>61415</v>
      </c>
      <c r="AZ6370" s="3" t="s">
        <v>61416</v>
      </c>
      <c r="BA6370" s="3" t="s">
        <v>61416</v>
      </c>
      <c r="BB6370" s="3" t="s">
        <v>61417</v>
      </c>
      <c r="BC6370" s="3" t="s">
        <v>142</v>
      </c>
      <c r="BD6370" s="3" t="s">
        <v>68</v>
      </c>
      <c r="BE6370" s="3" t="s">
        <v>61418</v>
      </c>
      <c r="BF6370" s="3" t="s">
        <v>61417</v>
      </c>
      <c r="BG6370" s="3" t="s">
        <v>61419</v>
      </c>
    </row>
    <row r="6371" spans="1:59" ht="57" x14ac:dyDescent="0.45">
      <c r="A6371" s="2" t="s">
        <v>59</v>
      </c>
      <c r="B6371" s="2" t="s">
        <v>60</v>
      </c>
      <c r="C6371" s="2" t="s">
        <v>61420</v>
      </c>
      <c r="D6371" s="2" t="s">
        <v>61421</v>
      </c>
      <c r="E6371" s="2" t="s">
        <v>61422</v>
      </c>
      <c r="G6371" s="3" t="s">
        <v>62</v>
      </c>
      <c r="I6371" s="3" t="s">
        <v>62</v>
      </c>
      <c r="J6371" s="3" t="s">
        <v>62</v>
      </c>
      <c r="K6371" s="3" t="s">
        <v>63</v>
      </c>
      <c r="L6371" s="2" t="s">
        <v>61423</v>
      </c>
      <c r="M6371" s="2" t="s">
        <v>61424</v>
      </c>
      <c r="N6371" s="3" t="s">
        <v>1604</v>
      </c>
      <c r="P6371" s="3" t="s">
        <v>65</v>
      </c>
      <c r="R6371" s="3" t="s">
        <v>66</v>
      </c>
      <c r="S6371" s="4">
        <v>25</v>
      </c>
      <c r="T6371" s="4">
        <v>25</v>
      </c>
      <c r="U6371" s="5" t="s">
        <v>31035</v>
      </c>
      <c r="V6371" s="5" t="s">
        <v>31035</v>
      </c>
      <c r="W6371" s="5" t="s">
        <v>67</v>
      </c>
      <c r="X6371" s="5" t="s">
        <v>67</v>
      </c>
      <c r="Y6371" s="4">
        <v>644</v>
      </c>
      <c r="Z6371" s="4">
        <v>33</v>
      </c>
      <c r="AA6371" s="4">
        <v>108</v>
      </c>
      <c r="AB6371" s="4">
        <v>2</v>
      </c>
      <c r="AC6371" s="4">
        <v>18</v>
      </c>
      <c r="AD6371" s="4">
        <v>120</v>
      </c>
      <c r="AE6371" s="4">
        <v>150</v>
      </c>
      <c r="AF6371" s="4">
        <v>1</v>
      </c>
      <c r="AG6371" s="4">
        <v>8</v>
      </c>
      <c r="AH6371" s="4">
        <v>104</v>
      </c>
      <c r="AI6371" s="4">
        <v>112</v>
      </c>
      <c r="AJ6371" s="4">
        <v>15</v>
      </c>
      <c r="AK6371" s="4">
        <v>23</v>
      </c>
      <c r="AL6371" s="4">
        <v>55</v>
      </c>
      <c r="AM6371" s="4">
        <v>57</v>
      </c>
      <c r="AN6371" s="4">
        <v>0</v>
      </c>
      <c r="AO6371" s="4">
        <v>0</v>
      </c>
      <c r="AP6371" s="4">
        <v>22</v>
      </c>
      <c r="AQ6371" s="4">
        <v>46</v>
      </c>
      <c r="AR6371" s="3" t="s">
        <v>62</v>
      </c>
      <c r="AS6371" s="3" t="s">
        <v>62</v>
      </c>
      <c r="AT6371" s="3" t="s">
        <v>62</v>
      </c>
      <c r="AV6371" s="6" t="str">
        <f>HYPERLINK("http://mcgill.on.worldcat.org/oclc/28150669","Catalog Record")</f>
        <v>Catalog Record</v>
      </c>
      <c r="AW6371" s="6" t="str">
        <f>HYPERLINK("http://www.worldcat.org/oclc/28150669","WorldCat Record")</f>
        <v>WorldCat Record</v>
      </c>
      <c r="AX6371" s="3" t="s">
        <v>61425</v>
      </c>
      <c r="AY6371" s="3" t="s">
        <v>61426</v>
      </c>
      <c r="AZ6371" s="3" t="s">
        <v>61427</v>
      </c>
      <c r="BA6371" s="3" t="s">
        <v>61427</v>
      </c>
      <c r="BB6371" s="3" t="s">
        <v>61428</v>
      </c>
      <c r="BC6371" s="3" t="s">
        <v>142</v>
      </c>
      <c r="BD6371" s="3" t="s">
        <v>68</v>
      </c>
      <c r="BE6371" s="3" t="s">
        <v>61429</v>
      </c>
      <c r="BF6371" s="3" t="s">
        <v>61428</v>
      </c>
      <c r="BG6371" s="3" t="s">
        <v>61430</v>
      </c>
    </row>
    <row r="6372" spans="1:59" ht="57" x14ac:dyDescent="0.45">
      <c r="A6372" s="2" t="s">
        <v>59</v>
      </c>
      <c r="B6372" s="2" t="s">
        <v>60</v>
      </c>
      <c r="C6372" s="2" t="s">
        <v>61431</v>
      </c>
      <c r="D6372" s="2" t="s">
        <v>61432</v>
      </c>
      <c r="E6372" s="2" t="s">
        <v>61433</v>
      </c>
      <c r="G6372" s="3" t="s">
        <v>62</v>
      </c>
      <c r="I6372" s="3" t="s">
        <v>62</v>
      </c>
      <c r="J6372" s="3" t="s">
        <v>62</v>
      </c>
      <c r="K6372" s="3" t="s">
        <v>63</v>
      </c>
      <c r="M6372" s="2" t="s">
        <v>61434</v>
      </c>
      <c r="N6372" s="3" t="s">
        <v>1855</v>
      </c>
      <c r="P6372" s="3" t="s">
        <v>110</v>
      </c>
      <c r="Q6372" s="2" t="s">
        <v>61435</v>
      </c>
      <c r="R6372" s="3" t="s">
        <v>66</v>
      </c>
      <c r="S6372" s="4">
        <v>13</v>
      </c>
      <c r="T6372" s="4">
        <v>13</v>
      </c>
      <c r="U6372" s="5" t="s">
        <v>47697</v>
      </c>
      <c r="V6372" s="5" t="s">
        <v>47697</v>
      </c>
      <c r="W6372" s="5" t="s">
        <v>67</v>
      </c>
      <c r="X6372" s="5" t="s">
        <v>67</v>
      </c>
      <c r="Y6372" s="4">
        <v>32</v>
      </c>
      <c r="Z6372" s="4">
        <v>23</v>
      </c>
      <c r="AA6372" s="4">
        <v>29</v>
      </c>
      <c r="AB6372" s="4">
        <v>11</v>
      </c>
      <c r="AC6372" s="4">
        <v>12</v>
      </c>
      <c r="AD6372" s="4">
        <v>19</v>
      </c>
      <c r="AE6372" s="4">
        <v>26</v>
      </c>
      <c r="AF6372" s="4">
        <v>6</v>
      </c>
      <c r="AG6372" s="4">
        <v>6</v>
      </c>
      <c r="AH6372" s="4">
        <v>11</v>
      </c>
      <c r="AI6372" s="4">
        <v>16</v>
      </c>
      <c r="AJ6372" s="4">
        <v>13</v>
      </c>
      <c r="AK6372" s="4">
        <v>16</v>
      </c>
      <c r="AL6372" s="4">
        <v>3</v>
      </c>
      <c r="AM6372" s="4">
        <v>6</v>
      </c>
      <c r="AN6372" s="4">
        <v>0</v>
      </c>
      <c r="AO6372" s="4">
        <v>0</v>
      </c>
      <c r="AP6372" s="4">
        <v>13</v>
      </c>
      <c r="AQ6372" s="4">
        <v>17</v>
      </c>
      <c r="AR6372" s="3" t="s">
        <v>61</v>
      </c>
      <c r="AS6372" s="3" t="s">
        <v>62</v>
      </c>
      <c r="AT6372" s="3" t="s">
        <v>62</v>
      </c>
      <c r="AV6372" s="6" t="str">
        <f>HYPERLINK("http://mcgill.on.worldcat.org/oclc/61755594","Catalog Record")</f>
        <v>Catalog Record</v>
      </c>
      <c r="AW6372" s="6" t="str">
        <f>HYPERLINK("http://www.worldcat.org/oclc/61755594","WorldCat Record")</f>
        <v>WorldCat Record</v>
      </c>
      <c r="AX6372" s="3" t="s">
        <v>61436</v>
      </c>
      <c r="AY6372" s="3" t="s">
        <v>61437</v>
      </c>
      <c r="AZ6372" s="3" t="s">
        <v>61438</v>
      </c>
      <c r="BA6372" s="3" t="s">
        <v>61438</v>
      </c>
      <c r="BB6372" s="3" t="s">
        <v>61439</v>
      </c>
      <c r="BC6372" s="3" t="s">
        <v>142</v>
      </c>
      <c r="BD6372" s="3" t="s">
        <v>68</v>
      </c>
      <c r="BE6372" s="3" t="s">
        <v>61440</v>
      </c>
      <c r="BF6372" s="3" t="s">
        <v>61439</v>
      </c>
      <c r="BG6372" s="3" t="s">
        <v>61441</v>
      </c>
    </row>
    <row r="6373" spans="1:59" ht="57" x14ac:dyDescent="0.45">
      <c r="A6373" s="2" t="s">
        <v>59</v>
      </c>
      <c r="B6373" s="2" t="s">
        <v>60</v>
      </c>
      <c r="C6373" s="2" t="s">
        <v>61442</v>
      </c>
      <c r="D6373" s="2" t="s">
        <v>61443</v>
      </c>
      <c r="E6373" s="2" t="s">
        <v>61444</v>
      </c>
      <c r="G6373" s="3" t="s">
        <v>62</v>
      </c>
      <c r="I6373" s="3" t="s">
        <v>62</v>
      </c>
      <c r="J6373" s="3" t="s">
        <v>62</v>
      </c>
      <c r="K6373" s="3" t="s">
        <v>63</v>
      </c>
      <c r="M6373" s="2" t="s">
        <v>61445</v>
      </c>
      <c r="N6373" s="3" t="s">
        <v>970</v>
      </c>
      <c r="P6373" s="3" t="s">
        <v>110</v>
      </c>
      <c r="Q6373" s="2" t="s">
        <v>58153</v>
      </c>
      <c r="R6373" s="3" t="s">
        <v>66</v>
      </c>
      <c r="S6373" s="4">
        <v>15</v>
      </c>
      <c r="T6373" s="4">
        <v>15</v>
      </c>
      <c r="U6373" s="5" t="s">
        <v>10863</v>
      </c>
      <c r="V6373" s="5" t="s">
        <v>10863</v>
      </c>
      <c r="W6373" s="5" t="s">
        <v>67</v>
      </c>
      <c r="X6373" s="5" t="s">
        <v>67</v>
      </c>
      <c r="Y6373" s="4">
        <v>70</v>
      </c>
      <c r="Z6373" s="4">
        <v>15</v>
      </c>
      <c r="AA6373" s="4">
        <v>76</v>
      </c>
      <c r="AB6373" s="4">
        <v>6</v>
      </c>
      <c r="AC6373" s="4">
        <v>20</v>
      </c>
      <c r="AD6373" s="4">
        <v>20</v>
      </c>
      <c r="AE6373" s="4">
        <v>76</v>
      </c>
      <c r="AF6373" s="4">
        <v>4</v>
      </c>
      <c r="AG6373" s="4">
        <v>9</v>
      </c>
      <c r="AH6373" s="4">
        <v>14</v>
      </c>
      <c r="AI6373" s="4">
        <v>35</v>
      </c>
      <c r="AJ6373" s="4">
        <v>10</v>
      </c>
      <c r="AK6373" s="4">
        <v>22</v>
      </c>
      <c r="AL6373" s="4">
        <v>8</v>
      </c>
      <c r="AM6373" s="4">
        <v>20</v>
      </c>
      <c r="AN6373" s="4">
        <v>0</v>
      </c>
      <c r="AO6373" s="4">
        <v>0</v>
      </c>
      <c r="AP6373" s="4">
        <v>11</v>
      </c>
      <c r="AQ6373" s="4">
        <v>47</v>
      </c>
      <c r="AR6373" s="3" t="s">
        <v>62</v>
      </c>
      <c r="AS6373" s="3" t="s">
        <v>62</v>
      </c>
      <c r="AT6373" s="3" t="s">
        <v>61</v>
      </c>
      <c r="AU6373" s="6" t="str">
        <f>HYPERLINK("http://catalog.hathitrust.org/Record/004309609","HathiTrust Record")</f>
        <v>HathiTrust Record</v>
      </c>
      <c r="AV6373" s="6" t="str">
        <f>HYPERLINK("http://mcgill.on.worldcat.org/oclc/49843891","Catalog Record")</f>
        <v>Catalog Record</v>
      </c>
      <c r="AW6373" s="6" t="str">
        <f>HYPERLINK("http://www.worldcat.org/oclc/49843891","WorldCat Record")</f>
        <v>WorldCat Record</v>
      </c>
      <c r="AX6373" s="3" t="s">
        <v>61446</v>
      </c>
      <c r="AY6373" s="3" t="s">
        <v>61447</v>
      </c>
      <c r="AZ6373" s="3" t="s">
        <v>61448</v>
      </c>
      <c r="BA6373" s="3" t="s">
        <v>61448</v>
      </c>
      <c r="BB6373" s="3" t="s">
        <v>61449</v>
      </c>
      <c r="BC6373" s="3" t="s">
        <v>142</v>
      </c>
      <c r="BD6373" s="3" t="s">
        <v>68</v>
      </c>
      <c r="BE6373" s="3" t="s">
        <v>61450</v>
      </c>
      <c r="BF6373" s="3" t="s">
        <v>61449</v>
      </c>
      <c r="BG6373" s="3" t="s">
        <v>61451</v>
      </c>
    </row>
    <row r="6374" spans="1:59" ht="57" x14ac:dyDescent="0.45">
      <c r="A6374" s="2" t="s">
        <v>59</v>
      </c>
      <c r="B6374" s="2" t="s">
        <v>60</v>
      </c>
      <c r="C6374" s="2" t="s">
        <v>61452</v>
      </c>
      <c r="D6374" s="2" t="s">
        <v>61453</v>
      </c>
      <c r="E6374" s="2" t="s">
        <v>61454</v>
      </c>
      <c r="G6374" s="3" t="s">
        <v>62</v>
      </c>
      <c r="I6374" s="3" t="s">
        <v>62</v>
      </c>
      <c r="J6374" s="3" t="s">
        <v>62</v>
      </c>
      <c r="K6374" s="3" t="s">
        <v>63</v>
      </c>
      <c r="M6374" s="2" t="s">
        <v>61455</v>
      </c>
      <c r="N6374" s="3" t="s">
        <v>1059</v>
      </c>
      <c r="P6374" s="3" t="s">
        <v>65</v>
      </c>
      <c r="R6374" s="3" t="s">
        <v>66</v>
      </c>
      <c r="S6374" s="4">
        <v>17</v>
      </c>
      <c r="T6374" s="4">
        <v>17</v>
      </c>
      <c r="U6374" s="5" t="s">
        <v>24342</v>
      </c>
      <c r="V6374" s="5" t="s">
        <v>24342</v>
      </c>
      <c r="W6374" s="5" t="s">
        <v>67</v>
      </c>
      <c r="X6374" s="5" t="s">
        <v>67</v>
      </c>
      <c r="Y6374" s="4">
        <v>106</v>
      </c>
      <c r="Z6374" s="4">
        <v>29</v>
      </c>
      <c r="AA6374" s="4">
        <v>129</v>
      </c>
      <c r="AB6374" s="4">
        <v>2</v>
      </c>
      <c r="AC6374" s="4">
        <v>24</v>
      </c>
      <c r="AD6374" s="4">
        <v>65</v>
      </c>
      <c r="AE6374" s="4">
        <v>136</v>
      </c>
      <c r="AF6374" s="4">
        <v>1</v>
      </c>
      <c r="AG6374" s="4">
        <v>9</v>
      </c>
      <c r="AH6374" s="4">
        <v>52</v>
      </c>
      <c r="AI6374" s="4">
        <v>88</v>
      </c>
      <c r="AJ6374" s="4">
        <v>21</v>
      </c>
      <c r="AK6374" s="4">
        <v>28</v>
      </c>
      <c r="AL6374" s="4">
        <v>26</v>
      </c>
      <c r="AM6374" s="4">
        <v>44</v>
      </c>
      <c r="AN6374" s="4">
        <v>0</v>
      </c>
      <c r="AO6374" s="4">
        <v>0</v>
      </c>
      <c r="AP6374" s="4">
        <v>22</v>
      </c>
      <c r="AQ6374" s="4">
        <v>56</v>
      </c>
      <c r="AR6374" s="3" t="s">
        <v>61</v>
      </c>
      <c r="AS6374" s="3" t="s">
        <v>62</v>
      </c>
      <c r="AT6374" s="3" t="s">
        <v>61</v>
      </c>
      <c r="AU6374" s="6" t="str">
        <f>HYPERLINK("http://catalog.hathitrust.org/Record/005225782","HathiTrust Record")</f>
        <v>HathiTrust Record</v>
      </c>
      <c r="AV6374" s="6" t="str">
        <f>HYPERLINK("http://mcgill.on.worldcat.org/oclc/65943639","Catalog Record")</f>
        <v>Catalog Record</v>
      </c>
      <c r="AW6374" s="6" t="str">
        <f>HYPERLINK("http://www.worldcat.org/oclc/65943639","WorldCat Record")</f>
        <v>WorldCat Record</v>
      </c>
      <c r="AX6374" s="3" t="s">
        <v>61456</v>
      </c>
      <c r="AY6374" s="3" t="s">
        <v>61457</v>
      </c>
      <c r="AZ6374" s="3" t="s">
        <v>61458</v>
      </c>
      <c r="BA6374" s="3" t="s">
        <v>61458</v>
      </c>
      <c r="BB6374" s="3" t="s">
        <v>61459</v>
      </c>
      <c r="BC6374" s="3" t="s">
        <v>142</v>
      </c>
      <c r="BD6374" s="3" t="s">
        <v>68</v>
      </c>
      <c r="BE6374" s="3" t="s">
        <v>61460</v>
      </c>
      <c r="BF6374" s="3" t="s">
        <v>61459</v>
      </c>
      <c r="BG6374" s="3" t="s">
        <v>61461</v>
      </c>
    </row>
    <row r="6375" spans="1:59" ht="57" x14ac:dyDescent="0.45">
      <c r="A6375" s="2" t="s">
        <v>59</v>
      </c>
      <c r="B6375" s="2" t="s">
        <v>60</v>
      </c>
      <c r="C6375" s="2" t="s">
        <v>61462</v>
      </c>
      <c r="D6375" s="2" t="s">
        <v>61463</v>
      </c>
      <c r="E6375" s="2" t="s">
        <v>61464</v>
      </c>
      <c r="G6375" s="3" t="s">
        <v>62</v>
      </c>
      <c r="I6375" s="3" t="s">
        <v>62</v>
      </c>
      <c r="J6375" s="3" t="s">
        <v>62</v>
      </c>
      <c r="K6375" s="3" t="s">
        <v>63</v>
      </c>
      <c r="L6375" s="2" t="s">
        <v>61465</v>
      </c>
      <c r="M6375" s="2" t="s">
        <v>61466</v>
      </c>
      <c r="N6375" s="3" t="s">
        <v>149</v>
      </c>
      <c r="O6375" s="2" t="s">
        <v>43055</v>
      </c>
      <c r="P6375" s="3" t="s">
        <v>182</v>
      </c>
      <c r="Q6375" s="2" t="s">
        <v>61467</v>
      </c>
      <c r="R6375" s="3" t="s">
        <v>66</v>
      </c>
      <c r="S6375" s="4">
        <v>0</v>
      </c>
      <c r="T6375" s="4">
        <v>0</v>
      </c>
      <c r="W6375" s="5" t="s">
        <v>67</v>
      </c>
      <c r="X6375" s="5" t="s">
        <v>67</v>
      </c>
      <c r="Y6375" s="4">
        <v>39</v>
      </c>
      <c r="Z6375" s="4">
        <v>2</v>
      </c>
      <c r="AA6375" s="4">
        <v>2</v>
      </c>
      <c r="AB6375" s="4">
        <v>1</v>
      </c>
      <c r="AC6375" s="4">
        <v>1</v>
      </c>
      <c r="AD6375" s="4">
        <v>30</v>
      </c>
      <c r="AE6375" s="4">
        <v>30</v>
      </c>
      <c r="AF6375" s="4">
        <v>0</v>
      </c>
      <c r="AG6375" s="4">
        <v>0</v>
      </c>
      <c r="AH6375" s="4">
        <v>29</v>
      </c>
      <c r="AI6375" s="4">
        <v>29</v>
      </c>
      <c r="AJ6375" s="4">
        <v>1</v>
      </c>
      <c r="AK6375" s="4">
        <v>1</v>
      </c>
      <c r="AL6375" s="4">
        <v>25</v>
      </c>
      <c r="AM6375" s="4">
        <v>25</v>
      </c>
      <c r="AN6375" s="4">
        <v>0</v>
      </c>
      <c r="AO6375" s="4">
        <v>0</v>
      </c>
      <c r="AP6375" s="4">
        <v>1</v>
      </c>
      <c r="AQ6375" s="4">
        <v>1</v>
      </c>
      <c r="AR6375" s="3" t="s">
        <v>62</v>
      </c>
      <c r="AS6375" s="3" t="s">
        <v>62</v>
      </c>
      <c r="AT6375" s="3" t="s">
        <v>62</v>
      </c>
      <c r="AV6375" s="6" t="str">
        <f>HYPERLINK("http://mcgill.on.worldcat.org/oclc/666211355","Catalog Record")</f>
        <v>Catalog Record</v>
      </c>
      <c r="AW6375" s="6" t="str">
        <f>HYPERLINK("http://www.worldcat.org/oclc/666211355","WorldCat Record")</f>
        <v>WorldCat Record</v>
      </c>
      <c r="AX6375" s="3" t="s">
        <v>61468</v>
      </c>
      <c r="AY6375" s="3" t="s">
        <v>61469</v>
      </c>
      <c r="AZ6375" s="3" t="s">
        <v>61470</v>
      </c>
      <c r="BA6375" s="3" t="s">
        <v>61470</v>
      </c>
      <c r="BB6375" s="3" t="s">
        <v>61471</v>
      </c>
      <c r="BC6375" s="3" t="s">
        <v>142</v>
      </c>
      <c r="BD6375" s="3" t="s">
        <v>68</v>
      </c>
      <c r="BE6375" s="3" t="s">
        <v>61472</v>
      </c>
      <c r="BF6375" s="3" t="s">
        <v>61471</v>
      </c>
      <c r="BG6375" s="3" t="s">
        <v>61473</v>
      </c>
    </row>
    <row r="6376" spans="1:59" ht="57" x14ac:dyDescent="0.45">
      <c r="A6376" s="2" t="s">
        <v>59</v>
      </c>
      <c r="B6376" s="2" t="s">
        <v>60</v>
      </c>
      <c r="C6376" s="2" t="s">
        <v>61474</v>
      </c>
      <c r="D6376" s="2" t="s">
        <v>61475</v>
      </c>
      <c r="E6376" s="2" t="s">
        <v>61476</v>
      </c>
      <c r="G6376" s="3" t="s">
        <v>62</v>
      </c>
      <c r="I6376" s="3" t="s">
        <v>62</v>
      </c>
      <c r="J6376" s="3" t="s">
        <v>62</v>
      </c>
      <c r="K6376" s="3" t="s">
        <v>63</v>
      </c>
      <c r="L6376" s="2" t="s">
        <v>61477</v>
      </c>
      <c r="M6376" s="2" t="s">
        <v>61478</v>
      </c>
      <c r="N6376" s="3" t="s">
        <v>181</v>
      </c>
      <c r="P6376" s="3" t="s">
        <v>65</v>
      </c>
      <c r="Q6376" s="2" t="s">
        <v>61479</v>
      </c>
      <c r="R6376" s="3" t="s">
        <v>66</v>
      </c>
      <c r="S6376" s="4">
        <v>0</v>
      </c>
      <c r="T6376" s="4">
        <v>0</v>
      </c>
      <c r="W6376" s="5" t="s">
        <v>67</v>
      </c>
      <c r="X6376" s="5" t="s">
        <v>67</v>
      </c>
      <c r="Y6376" s="4">
        <v>63</v>
      </c>
      <c r="Z6376" s="4">
        <v>4</v>
      </c>
      <c r="AA6376" s="4">
        <v>74</v>
      </c>
      <c r="AB6376" s="4">
        <v>1</v>
      </c>
      <c r="AC6376" s="4">
        <v>15</v>
      </c>
      <c r="AD6376" s="4">
        <v>38</v>
      </c>
      <c r="AE6376" s="4">
        <v>102</v>
      </c>
      <c r="AF6376" s="4">
        <v>0</v>
      </c>
      <c r="AG6376" s="4">
        <v>8</v>
      </c>
      <c r="AH6376" s="4">
        <v>37</v>
      </c>
      <c r="AI6376" s="4">
        <v>71</v>
      </c>
      <c r="AJ6376" s="4">
        <v>2</v>
      </c>
      <c r="AK6376" s="4">
        <v>18</v>
      </c>
      <c r="AL6376" s="4">
        <v>27</v>
      </c>
      <c r="AM6376" s="4">
        <v>41</v>
      </c>
      <c r="AN6376" s="4">
        <v>0</v>
      </c>
      <c r="AO6376" s="4">
        <v>0</v>
      </c>
      <c r="AP6376" s="4">
        <v>2</v>
      </c>
      <c r="AQ6376" s="4">
        <v>37</v>
      </c>
      <c r="AR6376" s="3" t="s">
        <v>62</v>
      </c>
      <c r="AS6376" s="3" t="s">
        <v>62</v>
      </c>
      <c r="AT6376" s="3" t="s">
        <v>62</v>
      </c>
      <c r="AV6376" s="6" t="str">
        <f>HYPERLINK("http://mcgill.on.worldcat.org/oclc/945950340","Catalog Record")</f>
        <v>Catalog Record</v>
      </c>
      <c r="AW6376" s="6" t="str">
        <f>HYPERLINK("http://www.worldcat.org/oclc/945950340","WorldCat Record")</f>
        <v>WorldCat Record</v>
      </c>
      <c r="AX6376" s="3" t="s">
        <v>61480</v>
      </c>
      <c r="AY6376" s="3" t="s">
        <v>61481</v>
      </c>
      <c r="AZ6376" s="3" t="s">
        <v>61482</v>
      </c>
      <c r="BA6376" s="3" t="s">
        <v>61482</v>
      </c>
      <c r="BB6376" s="3" t="s">
        <v>61483</v>
      </c>
      <c r="BC6376" s="3" t="s">
        <v>142</v>
      </c>
      <c r="BD6376" s="3" t="s">
        <v>68</v>
      </c>
      <c r="BE6376" s="3" t="s">
        <v>61484</v>
      </c>
      <c r="BF6376" s="3" t="s">
        <v>61483</v>
      </c>
      <c r="BG6376" s="3" t="s">
        <v>61485</v>
      </c>
    </row>
    <row r="6377" spans="1:59" ht="57" x14ac:dyDescent="0.45">
      <c r="A6377" s="2" t="s">
        <v>59</v>
      </c>
      <c r="B6377" s="2" t="s">
        <v>60</v>
      </c>
      <c r="C6377" s="2" t="s">
        <v>61486</v>
      </c>
      <c r="D6377" s="2" t="s">
        <v>61487</v>
      </c>
      <c r="E6377" s="2" t="s">
        <v>61488</v>
      </c>
      <c r="G6377" s="3" t="s">
        <v>62</v>
      </c>
      <c r="I6377" s="3" t="s">
        <v>62</v>
      </c>
      <c r="J6377" s="3" t="s">
        <v>62</v>
      </c>
      <c r="K6377" s="3" t="s">
        <v>63</v>
      </c>
      <c r="M6377" s="2" t="s">
        <v>61489</v>
      </c>
      <c r="N6377" s="3" t="s">
        <v>1097</v>
      </c>
      <c r="P6377" s="3" t="s">
        <v>110</v>
      </c>
      <c r="Q6377" s="2" t="s">
        <v>61490</v>
      </c>
      <c r="R6377" s="3" t="s">
        <v>66</v>
      </c>
      <c r="S6377" s="4">
        <v>6</v>
      </c>
      <c r="T6377" s="4">
        <v>6</v>
      </c>
      <c r="U6377" s="5" t="s">
        <v>32248</v>
      </c>
      <c r="V6377" s="5" t="s">
        <v>32248</v>
      </c>
      <c r="W6377" s="5" t="s">
        <v>67</v>
      </c>
      <c r="X6377" s="5" t="s">
        <v>67</v>
      </c>
      <c r="Y6377" s="4">
        <v>48</v>
      </c>
      <c r="Z6377" s="4">
        <v>5</v>
      </c>
      <c r="AA6377" s="4">
        <v>5</v>
      </c>
      <c r="AB6377" s="4">
        <v>2</v>
      </c>
      <c r="AC6377" s="4">
        <v>2</v>
      </c>
      <c r="AD6377" s="4">
        <v>28</v>
      </c>
      <c r="AE6377" s="4">
        <v>28</v>
      </c>
      <c r="AF6377" s="4">
        <v>0</v>
      </c>
      <c r="AG6377" s="4">
        <v>0</v>
      </c>
      <c r="AH6377" s="4">
        <v>27</v>
      </c>
      <c r="AI6377" s="4">
        <v>27</v>
      </c>
      <c r="AJ6377" s="4">
        <v>2</v>
      </c>
      <c r="AK6377" s="4">
        <v>2</v>
      </c>
      <c r="AL6377" s="4">
        <v>23</v>
      </c>
      <c r="AM6377" s="4">
        <v>23</v>
      </c>
      <c r="AN6377" s="4">
        <v>0</v>
      </c>
      <c r="AO6377" s="4">
        <v>0</v>
      </c>
      <c r="AP6377" s="4">
        <v>2</v>
      </c>
      <c r="AQ6377" s="4">
        <v>2</v>
      </c>
      <c r="AR6377" s="3" t="s">
        <v>62</v>
      </c>
      <c r="AS6377" s="3" t="s">
        <v>62</v>
      </c>
      <c r="AT6377" s="3" t="s">
        <v>62</v>
      </c>
      <c r="AV6377" s="6" t="str">
        <f>HYPERLINK("http://mcgill.on.worldcat.org/oclc/55737402","Catalog Record")</f>
        <v>Catalog Record</v>
      </c>
      <c r="AW6377" s="6" t="str">
        <f>HYPERLINK("http://www.worldcat.org/oclc/55737402","WorldCat Record")</f>
        <v>WorldCat Record</v>
      </c>
      <c r="AX6377" s="3" t="s">
        <v>61491</v>
      </c>
      <c r="AY6377" s="3" t="s">
        <v>61492</v>
      </c>
      <c r="AZ6377" s="3" t="s">
        <v>61493</v>
      </c>
      <c r="BA6377" s="3" t="s">
        <v>61493</v>
      </c>
      <c r="BB6377" s="3" t="s">
        <v>61494</v>
      </c>
      <c r="BC6377" s="3" t="s">
        <v>142</v>
      </c>
      <c r="BD6377" s="3" t="s">
        <v>68</v>
      </c>
      <c r="BE6377" s="3" t="s">
        <v>61495</v>
      </c>
      <c r="BF6377" s="3" t="s">
        <v>61494</v>
      </c>
      <c r="BG6377" s="3" t="s">
        <v>61496</v>
      </c>
    </row>
    <row r="6378" spans="1:59" ht="114" x14ac:dyDescent="0.45">
      <c r="A6378" s="2" t="s">
        <v>59</v>
      </c>
      <c r="B6378" s="2" t="s">
        <v>690</v>
      </c>
      <c r="C6378" s="2" t="s">
        <v>61497</v>
      </c>
      <c r="D6378" s="2" t="s">
        <v>61498</v>
      </c>
      <c r="E6378" s="2" t="s">
        <v>61499</v>
      </c>
      <c r="F6378" s="3" t="s">
        <v>6097</v>
      </c>
      <c r="G6378" s="3" t="s">
        <v>61</v>
      </c>
      <c r="I6378" s="3" t="s">
        <v>62</v>
      </c>
      <c r="J6378" s="3" t="s">
        <v>62</v>
      </c>
      <c r="K6378" s="3" t="s">
        <v>63</v>
      </c>
      <c r="L6378" s="2" t="s">
        <v>61500</v>
      </c>
      <c r="M6378" s="2" t="s">
        <v>61501</v>
      </c>
      <c r="N6378" s="3" t="s">
        <v>1097</v>
      </c>
      <c r="O6378" s="2" t="s">
        <v>696</v>
      </c>
      <c r="P6378" s="3" t="s">
        <v>697</v>
      </c>
      <c r="R6378" s="3" t="s">
        <v>66</v>
      </c>
      <c r="S6378" s="4">
        <v>2</v>
      </c>
      <c r="T6378" s="4">
        <v>8</v>
      </c>
      <c r="U6378" s="5" t="s">
        <v>61502</v>
      </c>
      <c r="V6378" s="5" t="s">
        <v>12942</v>
      </c>
      <c r="W6378" s="5" t="s">
        <v>67</v>
      </c>
      <c r="X6378" s="5" t="s">
        <v>67</v>
      </c>
      <c r="Y6378" s="4">
        <v>17</v>
      </c>
      <c r="Z6378" s="4">
        <v>1</v>
      </c>
      <c r="AA6378" s="4">
        <v>2</v>
      </c>
      <c r="AB6378" s="4">
        <v>1</v>
      </c>
      <c r="AC6378" s="4">
        <v>1</v>
      </c>
      <c r="AD6378" s="4">
        <v>12</v>
      </c>
      <c r="AE6378" s="4">
        <v>17</v>
      </c>
      <c r="AF6378" s="4">
        <v>0</v>
      </c>
      <c r="AG6378" s="4">
        <v>0</v>
      </c>
      <c r="AH6378" s="4">
        <v>11</v>
      </c>
      <c r="AI6378" s="4">
        <v>16</v>
      </c>
      <c r="AJ6378" s="4">
        <v>0</v>
      </c>
      <c r="AK6378" s="4">
        <v>1</v>
      </c>
      <c r="AL6378" s="4">
        <v>11</v>
      </c>
      <c r="AM6378" s="4">
        <v>14</v>
      </c>
      <c r="AN6378" s="4">
        <v>0</v>
      </c>
      <c r="AO6378" s="4">
        <v>0</v>
      </c>
      <c r="AP6378" s="4">
        <v>0</v>
      </c>
      <c r="AQ6378" s="4">
        <v>1</v>
      </c>
      <c r="AR6378" s="3" t="s">
        <v>62</v>
      </c>
      <c r="AS6378" s="3" t="s">
        <v>62</v>
      </c>
      <c r="AT6378" s="3" t="s">
        <v>61</v>
      </c>
      <c r="AU6378" s="6" t="str">
        <f t="shared" ref="AU6378:AU6387" si="53">HYPERLINK("http://catalog.hathitrust.org/Record/005055830","HathiTrust Record")</f>
        <v>HathiTrust Record</v>
      </c>
      <c r="AV6378" s="6" t="str">
        <f t="shared" ref="AV6378:AV6387" si="54">HYPERLINK("http://mcgill.on.worldcat.org/oclc/56337398","Catalog Record")</f>
        <v>Catalog Record</v>
      </c>
      <c r="AW6378" s="6" t="str">
        <f t="shared" ref="AW6378:AW6387" si="55">HYPERLINK("http://www.worldcat.org/oclc/56337398","WorldCat Record")</f>
        <v>WorldCat Record</v>
      </c>
      <c r="AX6378" s="3" t="s">
        <v>61503</v>
      </c>
      <c r="AY6378" s="3" t="s">
        <v>61504</v>
      </c>
      <c r="AZ6378" s="3" t="s">
        <v>61505</v>
      </c>
      <c r="BA6378" s="3" t="s">
        <v>61505</v>
      </c>
      <c r="BB6378" s="3" t="s">
        <v>61506</v>
      </c>
      <c r="BC6378" s="3" t="s">
        <v>142</v>
      </c>
      <c r="BD6378" s="3" t="s">
        <v>68</v>
      </c>
      <c r="BE6378" s="3" t="s">
        <v>61507</v>
      </c>
      <c r="BF6378" s="3" t="s">
        <v>61506</v>
      </c>
      <c r="BG6378" s="3" t="s">
        <v>61508</v>
      </c>
    </row>
    <row r="6379" spans="1:59" ht="114" x14ac:dyDescent="0.45">
      <c r="A6379" s="2" t="s">
        <v>59</v>
      </c>
      <c r="B6379" s="2" t="s">
        <v>690</v>
      </c>
      <c r="C6379" s="2" t="s">
        <v>61497</v>
      </c>
      <c r="D6379" s="2" t="s">
        <v>61498</v>
      </c>
      <c r="E6379" s="2" t="s">
        <v>61499</v>
      </c>
      <c r="F6379" s="3" t="s">
        <v>83</v>
      </c>
      <c r="G6379" s="3" t="s">
        <v>61</v>
      </c>
      <c r="I6379" s="3" t="s">
        <v>62</v>
      </c>
      <c r="J6379" s="3" t="s">
        <v>62</v>
      </c>
      <c r="K6379" s="3" t="s">
        <v>63</v>
      </c>
      <c r="L6379" s="2" t="s">
        <v>61500</v>
      </c>
      <c r="M6379" s="2" t="s">
        <v>61501</v>
      </c>
      <c r="N6379" s="3" t="s">
        <v>1097</v>
      </c>
      <c r="O6379" s="2" t="s">
        <v>696</v>
      </c>
      <c r="P6379" s="3" t="s">
        <v>697</v>
      </c>
      <c r="R6379" s="3" t="s">
        <v>66</v>
      </c>
      <c r="S6379" s="4">
        <v>1</v>
      </c>
      <c r="T6379" s="4">
        <v>8</v>
      </c>
      <c r="U6379" s="5" t="s">
        <v>12942</v>
      </c>
      <c r="V6379" s="5" t="s">
        <v>12942</v>
      </c>
      <c r="W6379" s="5" t="s">
        <v>67</v>
      </c>
      <c r="X6379" s="5" t="s">
        <v>67</v>
      </c>
      <c r="Y6379" s="4">
        <v>17</v>
      </c>
      <c r="Z6379" s="4">
        <v>1</v>
      </c>
      <c r="AA6379" s="4">
        <v>2</v>
      </c>
      <c r="AB6379" s="4">
        <v>1</v>
      </c>
      <c r="AC6379" s="4">
        <v>1</v>
      </c>
      <c r="AD6379" s="4">
        <v>12</v>
      </c>
      <c r="AE6379" s="4">
        <v>17</v>
      </c>
      <c r="AF6379" s="4">
        <v>0</v>
      </c>
      <c r="AG6379" s="4">
        <v>0</v>
      </c>
      <c r="AH6379" s="4">
        <v>11</v>
      </c>
      <c r="AI6379" s="4">
        <v>16</v>
      </c>
      <c r="AJ6379" s="4">
        <v>0</v>
      </c>
      <c r="AK6379" s="4">
        <v>1</v>
      </c>
      <c r="AL6379" s="4">
        <v>11</v>
      </c>
      <c r="AM6379" s="4">
        <v>14</v>
      </c>
      <c r="AN6379" s="4">
        <v>0</v>
      </c>
      <c r="AO6379" s="4">
        <v>0</v>
      </c>
      <c r="AP6379" s="4">
        <v>0</v>
      </c>
      <c r="AQ6379" s="4">
        <v>1</v>
      </c>
      <c r="AR6379" s="3" t="s">
        <v>62</v>
      </c>
      <c r="AS6379" s="3" t="s">
        <v>62</v>
      </c>
      <c r="AT6379" s="3" t="s">
        <v>61</v>
      </c>
      <c r="AU6379" s="6" t="str">
        <f t="shared" si="53"/>
        <v>HathiTrust Record</v>
      </c>
      <c r="AV6379" s="6" t="str">
        <f t="shared" si="54"/>
        <v>Catalog Record</v>
      </c>
      <c r="AW6379" s="6" t="str">
        <f t="shared" si="55"/>
        <v>WorldCat Record</v>
      </c>
      <c r="AX6379" s="3" t="s">
        <v>61503</v>
      </c>
      <c r="AY6379" s="3" t="s">
        <v>61504</v>
      </c>
      <c r="AZ6379" s="3" t="s">
        <v>61505</v>
      </c>
      <c r="BA6379" s="3" t="s">
        <v>61505</v>
      </c>
      <c r="BB6379" s="3" t="s">
        <v>61509</v>
      </c>
      <c r="BC6379" s="3" t="s">
        <v>142</v>
      </c>
      <c r="BD6379" s="3" t="s">
        <v>68</v>
      </c>
      <c r="BE6379" s="3" t="s">
        <v>61507</v>
      </c>
      <c r="BF6379" s="3" t="s">
        <v>61509</v>
      </c>
      <c r="BG6379" s="3" t="s">
        <v>61510</v>
      </c>
    </row>
    <row r="6380" spans="1:59" ht="114" x14ac:dyDescent="0.45">
      <c r="A6380" s="2" t="s">
        <v>59</v>
      </c>
      <c r="B6380" s="2" t="s">
        <v>690</v>
      </c>
      <c r="C6380" s="2" t="s">
        <v>61497</v>
      </c>
      <c r="D6380" s="2" t="s">
        <v>61498</v>
      </c>
      <c r="E6380" s="2" t="s">
        <v>61499</v>
      </c>
      <c r="F6380" s="3" t="s">
        <v>90</v>
      </c>
      <c r="G6380" s="3" t="s">
        <v>61</v>
      </c>
      <c r="I6380" s="3" t="s">
        <v>62</v>
      </c>
      <c r="J6380" s="3" t="s">
        <v>62</v>
      </c>
      <c r="K6380" s="3" t="s">
        <v>63</v>
      </c>
      <c r="L6380" s="2" t="s">
        <v>61500</v>
      </c>
      <c r="M6380" s="2" t="s">
        <v>61501</v>
      </c>
      <c r="N6380" s="3" t="s">
        <v>1097</v>
      </c>
      <c r="O6380" s="2" t="s">
        <v>696</v>
      </c>
      <c r="P6380" s="3" t="s">
        <v>697</v>
      </c>
      <c r="R6380" s="3" t="s">
        <v>66</v>
      </c>
      <c r="S6380" s="4">
        <v>0</v>
      </c>
      <c r="T6380" s="4">
        <v>8</v>
      </c>
      <c r="V6380" s="5" t="s">
        <v>12942</v>
      </c>
      <c r="W6380" s="5" t="s">
        <v>67</v>
      </c>
      <c r="X6380" s="5" t="s">
        <v>67</v>
      </c>
      <c r="Y6380" s="4">
        <v>17</v>
      </c>
      <c r="Z6380" s="4">
        <v>1</v>
      </c>
      <c r="AA6380" s="4">
        <v>2</v>
      </c>
      <c r="AB6380" s="4">
        <v>1</v>
      </c>
      <c r="AC6380" s="4">
        <v>1</v>
      </c>
      <c r="AD6380" s="4">
        <v>12</v>
      </c>
      <c r="AE6380" s="4">
        <v>17</v>
      </c>
      <c r="AF6380" s="4">
        <v>0</v>
      </c>
      <c r="AG6380" s="4">
        <v>0</v>
      </c>
      <c r="AH6380" s="4">
        <v>11</v>
      </c>
      <c r="AI6380" s="4">
        <v>16</v>
      </c>
      <c r="AJ6380" s="4">
        <v>0</v>
      </c>
      <c r="AK6380" s="4">
        <v>1</v>
      </c>
      <c r="AL6380" s="4">
        <v>11</v>
      </c>
      <c r="AM6380" s="4">
        <v>14</v>
      </c>
      <c r="AN6380" s="4">
        <v>0</v>
      </c>
      <c r="AO6380" s="4">
        <v>0</v>
      </c>
      <c r="AP6380" s="4">
        <v>0</v>
      </c>
      <c r="AQ6380" s="4">
        <v>1</v>
      </c>
      <c r="AR6380" s="3" t="s">
        <v>62</v>
      </c>
      <c r="AS6380" s="3" t="s">
        <v>62</v>
      </c>
      <c r="AT6380" s="3" t="s">
        <v>61</v>
      </c>
      <c r="AU6380" s="6" t="str">
        <f t="shared" si="53"/>
        <v>HathiTrust Record</v>
      </c>
      <c r="AV6380" s="6" t="str">
        <f t="shared" si="54"/>
        <v>Catalog Record</v>
      </c>
      <c r="AW6380" s="6" t="str">
        <f t="shared" si="55"/>
        <v>WorldCat Record</v>
      </c>
      <c r="AX6380" s="3" t="s">
        <v>61503</v>
      </c>
      <c r="AY6380" s="3" t="s">
        <v>61504</v>
      </c>
      <c r="AZ6380" s="3" t="s">
        <v>61505</v>
      </c>
      <c r="BA6380" s="3" t="s">
        <v>61505</v>
      </c>
      <c r="BB6380" s="3" t="s">
        <v>61511</v>
      </c>
      <c r="BC6380" s="3" t="s">
        <v>142</v>
      </c>
      <c r="BD6380" s="3" t="s">
        <v>68</v>
      </c>
      <c r="BE6380" s="3" t="s">
        <v>61507</v>
      </c>
      <c r="BF6380" s="3" t="s">
        <v>61511</v>
      </c>
      <c r="BG6380" s="3" t="s">
        <v>61512</v>
      </c>
    </row>
    <row r="6381" spans="1:59" ht="114" x14ac:dyDescent="0.45">
      <c r="A6381" s="2" t="s">
        <v>59</v>
      </c>
      <c r="B6381" s="2" t="s">
        <v>690</v>
      </c>
      <c r="C6381" s="2" t="s">
        <v>61497</v>
      </c>
      <c r="D6381" s="2" t="s">
        <v>61498</v>
      </c>
      <c r="E6381" s="2" t="s">
        <v>61499</v>
      </c>
      <c r="F6381" s="3" t="s">
        <v>6090</v>
      </c>
      <c r="G6381" s="3" t="s">
        <v>61</v>
      </c>
      <c r="I6381" s="3" t="s">
        <v>62</v>
      </c>
      <c r="J6381" s="3" t="s">
        <v>62</v>
      </c>
      <c r="K6381" s="3" t="s">
        <v>63</v>
      </c>
      <c r="L6381" s="2" t="s">
        <v>61500</v>
      </c>
      <c r="M6381" s="2" t="s">
        <v>61501</v>
      </c>
      <c r="N6381" s="3" t="s">
        <v>1097</v>
      </c>
      <c r="O6381" s="2" t="s">
        <v>696</v>
      </c>
      <c r="P6381" s="3" t="s">
        <v>697</v>
      </c>
      <c r="R6381" s="3" t="s">
        <v>66</v>
      </c>
      <c r="S6381" s="4">
        <v>0</v>
      </c>
      <c r="T6381" s="4">
        <v>8</v>
      </c>
      <c r="V6381" s="5" t="s">
        <v>12942</v>
      </c>
      <c r="W6381" s="5" t="s">
        <v>67</v>
      </c>
      <c r="X6381" s="5" t="s">
        <v>67</v>
      </c>
      <c r="Y6381" s="4">
        <v>17</v>
      </c>
      <c r="Z6381" s="4">
        <v>1</v>
      </c>
      <c r="AA6381" s="4">
        <v>2</v>
      </c>
      <c r="AB6381" s="4">
        <v>1</v>
      </c>
      <c r="AC6381" s="4">
        <v>1</v>
      </c>
      <c r="AD6381" s="4">
        <v>12</v>
      </c>
      <c r="AE6381" s="4">
        <v>17</v>
      </c>
      <c r="AF6381" s="4">
        <v>0</v>
      </c>
      <c r="AG6381" s="4">
        <v>0</v>
      </c>
      <c r="AH6381" s="4">
        <v>11</v>
      </c>
      <c r="AI6381" s="4">
        <v>16</v>
      </c>
      <c r="AJ6381" s="4">
        <v>0</v>
      </c>
      <c r="AK6381" s="4">
        <v>1</v>
      </c>
      <c r="AL6381" s="4">
        <v>11</v>
      </c>
      <c r="AM6381" s="4">
        <v>14</v>
      </c>
      <c r="AN6381" s="4">
        <v>0</v>
      </c>
      <c r="AO6381" s="4">
        <v>0</v>
      </c>
      <c r="AP6381" s="4">
        <v>0</v>
      </c>
      <c r="AQ6381" s="4">
        <v>1</v>
      </c>
      <c r="AR6381" s="3" t="s">
        <v>62</v>
      </c>
      <c r="AS6381" s="3" t="s">
        <v>62</v>
      </c>
      <c r="AT6381" s="3" t="s">
        <v>61</v>
      </c>
      <c r="AU6381" s="6" t="str">
        <f t="shared" si="53"/>
        <v>HathiTrust Record</v>
      </c>
      <c r="AV6381" s="6" t="str">
        <f t="shared" si="54"/>
        <v>Catalog Record</v>
      </c>
      <c r="AW6381" s="6" t="str">
        <f t="shared" si="55"/>
        <v>WorldCat Record</v>
      </c>
      <c r="AX6381" s="3" t="s">
        <v>61503</v>
      </c>
      <c r="AY6381" s="3" t="s">
        <v>61504</v>
      </c>
      <c r="AZ6381" s="3" t="s">
        <v>61505</v>
      </c>
      <c r="BA6381" s="3" t="s">
        <v>61505</v>
      </c>
      <c r="BB6381" s="3" t="s">
        <v>61513</v>
      </c>
      <c r="BC6381" s="3" t="s">
        <v>142</v>
      </c>
      <c r="BD6381" s="3" t="s">
        <v>68</v>
      </c>
      <c r="BE6381" s="3" t="s">
        <v>61507</v>
      </c>
      <c r="BF6381" s="3" t="s">
        <v>61513</v>
      </c>
      <c r="BG6381" s="3" t="s">
        <v>61514</v>
      </c>
    </row>
    <row r="6382" spans="1:59" ht="114" x14ac:dyDescent="0.45">
      <c r="A6382" s="2" t="s">
        <v>59</v>
      </c>
      <c r="B6382" s="2" t="s">
        <v>690</v>
      </c>
      <c r="C6382" s="2" t="s">
        <v>61497</v>
      </c>
      <c r="D6382" s="2" t="s">
        <v>61498</v>
      </c>
      <c r="E6382" s="2" t="s">
        <v>61499</v>
      </c>
      <c r="F6382" s="3" t="s">
        <v>6120</v>
      </c>
      <c r="G6382" s="3" t="s">
        <v>61</v>
      </c>
      <c r="I6382" s="3" t="s">
        <v>62</v>
      </c>
      <c r="J6382" s="3" t="s">
        <v>62</v>
      </c>
      <c r="K6382" s="3" t="s">
        <v>63</v>
      </c>
      <c r="L6382" s="2" t="s">
        <v>61500</v>
      </c>
      <c r="M6382" s="2" t="s">
        <v>61501</v>
      </c>
      <c r="N6382" s="3" t="s">
        <v>1097</v>
      </c>
      <c r="O6382" s="2" t="s">
        <v>696</v>
      </c>
      <c r="P6382" s="3" t="s">
        <v>697</v>
      </c>
      <c r="R6382" s="3" t="s">
        <v>66</v>
      </c>
      <c r="S6382" s="4">
        <v>3</v>
      </c>
      <c r="T6382" s="4">
        <v>8</v>
      </c>
      <c r="U6382" s="5" t="s">
        <v>61515</v>
      </c>
      <c r="V6382" s="5" t="s">
        <v>12942</v>
      </c>
      <c r="W6382" s="5" t="s">
        <v>67</v>
      </c>
      <c r="X6382" s="5" t="s">
        <v>67</v>
      </c>
      <c r="Y6382" s="4">
        <v>17</v>
      </c>
      <c r="Z6382" s="4">
        <v>1</v>
      </c>
      <c r="AA6382" s="4">
        <v>2</v>
      </c>
      <c r="AB6382" s="4">
        <v>1</v>
      </c>
      <c r="AC6382" s="4">
        <v>1</v>
      </c>
      <c r="AD6382" s="4">
        <v>12</v>
      </c>
      <c r="AE6382" s="4">
        <v>17</v>
      </c>
      <c r="AF6382" s="4">
        <v>0</v>
      </c>
      <c r="AG6382" s="4">
        <v>0</v>
      </c>
      <c r="AH6382" s="4">
        <v>11</v>
      </c>
      <c r="AI6382" s="4">
        <v>16</v>
      </c>
      <c r="AJ6382" s="4">
        <v>0</v>
      </c>
      <c r="AK6382" s="4">
        <v>1</v>
      </c>
      <c r="AL6382" s="4">
        <v>11</v>
      </c>
      <c r="AM6382" s="4">
        <v>14</v>
      </c>
      <c r="AN6382" s="4">
        <v>0</v>
      </c>
      <c r="AO6382" s="4">
        <v>0</v>
      </c>
      <c r="AP6382" s="4">
        <v>0</v>
      </c>
      <c r="AQ6382" s="4">
        <v>1</v>
      </c>
      <c r="AR6382" s="3" t="s">
        <v>62</v>
      </c>
      <c r="AS6382" s="3" t="s">
        <v>62</v>
      </c>
      <c r="AT6382" s="3" t="s">
        <v>61</v>
      </c>
      <c r="AU6382" s="6" t="str">
        <f t="shared" si="53"/>
        <v>HathiTrust Record</v>
      </c>
      <c r="AV6382" s="6" t="str">
        <f t="shared" si="54"/>
        <v>Catalog Record</v>
      </c>
      <c r="AW6382" s="6" t="str">
        <f t="shared" si="55"/>
        <v>WorldCat Record</v>
      </c>
      <c r="AX6382" s="3" t="s">
        <v>61503</v>
      </c>
      <c r="AY6382" s="3" t="s">
        <v>61504</v>
      </c>
      <c r="AZ6382" s="3" t="s">
        <v>61505</v>
      </c>
      <c r="BA6382" s="3" t="s">
        <v>61505</v>
      </c>
      <c r="BB6382" s="3" t="s">
        <v>61516</v>
      </c>
      <c r="BC6382" s="3" t="s">
        <v>142</v>
      </c>
      <c r="BD6382" s="3" t="s">
        <v>68</v>
      </c>
      <c r="BE6382" s="3" t="s">
        <v>61507</v>
      </c>
      <c r="BF6382" s="3" t="s">
        <v>61516</v>
      </c>
      <c r="BG6382" s="3" t="s">
        <v>61517</v>
      </c>
    </row>
    <row r="6383" spans="1:59" ht="114" x14ac:dyDescent="0.45">
      <c r="A6383" s="2" t="s">
        <v>59</v>
      </c>
      <c r="B6383" s="2" t="s">
        <v>690</v>
      </c>
      <c r="C6383" s="2" t="s">
        <v>61497</v>
      </c>
      <c r="D6383" s="2" t="s">
        <v>61498</v>
      </c>
      <c r="E6383" s="2" t="s">
        <v>61499</v>
      </c>
      <c r="F6383" s="3" t="s">
        <v>88</v>
      </c>
      <c r="G6383" s="3" t="s">
        <v>61</v>
      </c>
      <c r="I6383" s="3" t="s">
        <v>62</v>
      </c>
      <c r="J6383" s="3" t="s">
        <v>62</v>
      </c>
      <c r="K6383" s="3" t="s">
        <v>63</v>
      </c>
      <c r="L6383" s="2" t="s">
        <v>61500</v>
      </c>
      <c r="M6383" s="2" t="s">
        <v>61501</v>
      </c>
      <c r="N6383" s="3" t="s">
        <v>1097</v>
      </c>
      <c r="O6383" s="2" t="s">
        <v>696</v>
      </c>
      <c r="P6383" s="3" t="s">
        <v>697</v>
      </c>
      <c r="R6383" s="3" t="s">
        <v>66</v>
      </c>
      <c r="S6383" s="4">
        <v>0</v>
      </c>
      <c r="T6383" s="4">
        <v>8</v>
      </c>
      <c r="V6383" s="5" t="s">
        <v>12942</v>
      </c>
      <c r="W6383" s="5" t="s">
        <v>67</v>
      </c>
      <c r="X6383" s="5" t="s">
        <v>67</v>
      </c>
      <c r="Y6383" s="4">
        <v>17</v>
      </c>
      <c r="Z6383" s="4">
        <v>1</v>
      </c>
      <c r="AA6383" s="4">
        <v>2</v>
      </c>
      <c r="AB6383" s="4">
        <v>1</v>
      </c>
      <c r="AC6383" s="4">
        <v>1</v>
      </c>
      <c r="AD6383" s="4">
        <v>12</v>
      </c>
      <c r="AE6383" s="4">
        <v>17</v>
      </c>
      <c r="AF6383" s="4">
        <v>0</v>
      </c>
      <c r="AG6383" s="4">
        <v>0</v>
      </c>
      <c r="AH6383" s="4">
        <v>11</v>
      </c>
      <c r="AI6383" s="4">
        <v>16</v>
      </c>
      <c r="AJ6383" s="4">
        <v>0</v>
      </c>
      <c r="AK6383" s="4">
        <v>1</v>
      </c>
      <c r="AL6383" s="4">
        <v>11</v>
      </c>
      <c r="AM6383" s="4">
        <v>14</v>
      </c>
      <c r="AN6383" s="4">
        <v>0</v>
      </c>
      <c r="AO6383" s="4">
        <v>0</v>
      </c>
      <c r="AP6383" s="4">
        <v>0</v>
      </c>
      <c r="AQ6383" s="4">
        <v>1</v>
      </c>
      <c r="AR6383" s="3" t="s">
        <v>62</v>
      </c>
      <c r="AS6383" s="3" t="s">
        <v>62</v>
      </c>
      <c r="AT6383" s="3" t="s">
        <v>61</v>
      </c>
      <c r="AU6383" s="6" t="str">
        <f t="shared" si="53"/>
        <v>HathiTrust Record</v>
      </c>
      <c r="AV6383" s="6" t="str">
        <f t="shared" si="54"/>
        <v>Catalog Record</v>
      </c>
      <c r="AW6383" s="6" t="str">
        <f t="shared" si="55"/>
        <v>WorldCat Record</v>
      </c>
      <c r="AX6383" s="3" t="s">
        <v>61503</v>
      </c>
      <c r="AY6383" s="3" t="s">
        <v>61504</v>
      </c>
      <c r="AZ6383" s="3" t="s">
        <v>61505</v>
      </c>
      <c r="BA6383" s="3" t="s">
        <v>61505</v>
      </c>
      <c r="BB6383" s="3" t="s">
        <v>61518</v>
      </c>
      <c r="BC6383" s="3" t="s">
        <v>142</v>
      </c>
      <c r="BD6383" s="3" t="s">
        <v>68</v>
      </c>
      <c r="BE6383" s="3" t="s">
        <v>61507</v>
      </c>
      <c r="BF6383" s="3" t="s">
        <v>61518</v>
      </c>
      <c r="BG6383" s="3" t="s">
        <v>61519</v>
      </c>
    </row>
    <row r="6384" spans="1:59" ht="114" x14ac:dyDescent="0.45">
      <c r="A6384" s="2" t="s">
        <v>59</v>
      </c>
      <c r="B6384" s="2" t="s">
        <v>690</v>
      </c>
      <c r="C6384" s="2" t="s">
        <v>61497</v>
      </c>
      <c r="D6384" s="2" t="s">
        <v>61498</v>
      </c>
      <c r="E6384" s="2" t="s">
        <v>61499</v>
      </c>
      <c r="F6384" s="3" t="s">
        <v>89</v>
      </c>
      <c r="G6384" s="3" t="s">
        <v>61</v>
      </c>
      <c r="I6384" s="3" t="s">
        <v>62</v>
      </c>
      <c r="J6384" s="3" t="s">
        <v>62</v>
      </c>
      <c r="K6384" s="3" t="s">
        <v>63</v>
      </c>
      <c r="L6384" s="2" t="s">
        <v>61500</v>
      </c>
      <c r="M6384" s="2" t="s">
        <v>61501</v>
      </c>
      <c r="N6384" s="3" t="s">
        <v>1097</v>
      </c>
      <c r="O6384" s="2" t="s">
        <v>696</v>
      </c>
      <c r="P6384" s="3" t="s">
        <v>697</v>
      </c>
      <c r="R6384" s="3" t="s">
        <v>66</v>
      </c>
      <c r="S6384" s="4">
        <v>2</v>
      </c>
      <c r="T6384" s="4">
        <v>8</v>
      </c>
      <c r="U6384" s="5" t="s">
        <v>61520</v>
      </c>
      <c r="V6384" s="5" t="s">
        <v>12942</v>
      </c>
      <c r="W6384" s="5" t="s">
        <v>67</v>
      </c>
      <c r="X6384" s="5" t="s">
        <v>67</v>
      </c>
      <c r="Y6384" s="4">
        <v>17</v>
      </c>
      <c r="Z6384" s="4">
        <v>1</v>
      </c>
      <c r="AA6384" s="4">
        <v>2</v>
      </c>
      <c r="AB6384" s="4">
        <v>1</v>
      </c>
      <c r="AC6384" s="4">
        <v>1</v>
      </c>
      <c r="AD6384" s="4">
        <v>12</v>
      </c>
      <c r="AE6384" s="4">
        <v>17</v>
      </c>
      <c r="AF6384" s="4">
        <v>0</v>
      </c>
      <c r="AG6384" s="4">
        <v>0</v>
      </c>
      <c r="AH6384" s="4">
        <v>11</v>
      </c>
      <c r="AI6384" s="4">
        <v>16</v>
      </c>
      <c r="AJ6384" s="4">
        <v>0</v>
      </c>
      <c r="AK6384" s="4">
        <v>1</v>
      </c>
      <c r="AL6384" s="4">
        <v>11</v>
      </c>
      <c r="AM6384" s="4">
        <v>14</v>
      </c>
      <c r="AN6384" s="4">
        <v>0</v>
      </c>
      <c r="AO6384" s="4">
        <v>0</v>
      </c>
      <c r="AP6384" s="4">
        <v>0</v>
      </c>
      <c r="AQ6384" s="4">
        <v>1</v>
      </c>
      <c r="AR6384" s="3" t="s">
        <v>62</v>
      </c>
      <c r="AS6384" s="3" t="s">
        <v>62</v>
      </c>
      <c r="AT6384" s="3" t="s">
        <v>61</v>
      </c>
      <c r="AU6384" s="6" t="str">
        <f t="shared" si="53"/>
        <v>HathiTrust Record</v>
      </c>
      <c r="AV6384" s="6" t="str">
        <f t="shared" si="54"/>
        <v>Catalog Record</v>
      </c>
      <c r="AW6384" s="6" t="str">
        <f t="shared" si="55"/>
        <v>WorldCat Record</v>
      </c>
      <c r="AX6384" s="3" t="s">
        <v>61503</v>
      </c>
      <c r="AY6384" s="3" t="s">
        <v>61504</v>
      </c>
      <c r="AZ6384" s="3" t="s">
        <v>61505</v>
      </c>
      <c r="BA6384" s="3" t="s">
        <v>61505</v>
      </c>
      <c r="BB6384" s="3" t="s">
        <v>61521</v>
      </c>
      <c r="BC6384" s="3" t="s">
        <v>142</v>
      </c>
      <c r="BD6384" s="3" t="s">
        <v>68</v>
      </c>
      <c r="BE6384" s="3" t="s">
        <v>61507</v>
      </c>
      <c r="BF6384" s="3" t="s">
        <v>61521</v>
      </c>
      <c r="BG6384" s="3" t="s">
        <v>61522</v>
      </c>
    </row>
    <row r="6385" spans="1:59" ht="114" x14ac:dyDescent="0.45">
      <c r="A6385" s="2" t="s">
        <v>59</v>
      </c>
      <c r="B6385" s="2" t="s">
        <v>690</v>
      </c>
      <c r="C6385" s="2" t="s">
        <v>61497</v>
      </c>
      <c r="D6385" s="2" t="s">
        <v>61498</v>
      </c>
      <c r="E6385" s="2" t="s">
        <v>61499</v>
      </c>
      <c r="F6385" s="3" t="s">
        <v>87</v>
      </c>
      <c r="G6385" s="3" t="s">
        <v>61</v>
      </c>
      <c r="I6385" s="3" t="s">
        <v>62</v>
      </c>
      <c r="J6385" s="3" t="s">
        <v>62</v>
      </c>
      <c r="K6385" s="3" t="s">
        <v>63</v>
      </c>
      <c r="L6385" s="2" t="s">
        <v>61500</v>
      </c>
      <c r="M6385" s="2" t="s">
        <v>61501</v>
      </c>
      <c r="N6385" s="3" t="s">
        <v>1097</v>
      </c>
      <c r="O6385" s="2" t="s">
        <v>696</v>
      </c>
      <c r="P6385" s="3" t="s">
        <v>697</v>
      </c>
      <c r="R6385" s="3" t="s">
        <v>66</v>
      </c>
      <c r="S6385" s="4">
        <v>0</v>
      </c>
      <c r="T6385" s="4">
        <v>8</v>
      </c>
      <c r="V6385" s="5" t="s">
        <v>12942</v>
      </c>
      <c r="W6385" s="5" t="s">
        <v>67</v>
      </c>
      <c r="X6385" s="5" t="s">
        <v>67</v>
      </c>
      <c r="Y6385" s="4">
        <v>17</v>
      </c>
      <c r="Z6385" s="4">
        <v>1</v>
      </c>
      <c r="AA6385" s="4">
        <v>2</v>
      </c>
      <c r="AB6385" s="4">
        <v>1</v>
      </c>
      <c r="AC6385" s="4">
        <v>1</v>
      </c>
      <c r="AD6385" s="4">
        <v>12</v>
      </c>
      <c r="AE6385" s="4">
        <v>17</v>
      </c>
      <c r="AF6385" s="4">
        <v>0</v>
      </c>
      <c r="AG6385" s="4">
        <v>0</v>
      </c>
      <c r="AH6385" s="4">
        <v>11</v>
      </c>
      <c r="AI6385" s="4">
        <v>16</v>
      </c>
      <c r="AJ6385" s="4">
        <v>0</v>
      </c>
      <c r="AK6385" s="4">
        <v>1</v>
      </c>
      <c r="AL6385" s="4">
        <v>11</v>
      </c>
      <c r="AM6385" s="4">
        <v>14</v>
      </c>
      <c r="AN6385" s="4">
        <v>0</v>
      </c>
      <c r="AO6385" s="4">
        <v>0</v>
      </c>
      <c r="AP6385" s="4">
        <v>0</v>
      </c>
      <c r="AQ6385" s="4">
        <v>1</v>
      </c>
      <c r="AR6385" s="3" t="s">
        <v>62</v>
      </c>
      <c r="AS6385" s="3" t="s">
        <v>62</v>
      </c>
      <c r="AT6385" s="3" t="s">
        <v>61</v>
      </c>
      <c r="AU6385" s="6" t="str">
        <f t="shared" si="53"/>
        <v>HathiTrust Record</v>
      </c>
      <c r="AV6385" s="6" t="str">
        <f t="shared" si="54"/>
        <v>Catalog Record</v>
      </c>
      <c r="AW6385" s="6" t="str">
        <f t="shared" si="55"/>
        <v>WorldCat Record</v>
      </c>
      <c r="AX6385" s="3" t="s">
        <v>61503</v>
      </c>
      <c r="AY6385" s="3" t="s">
        <v>61504</v>
      </c>
      <c r="AZ6385" s="3" t="s">
        <v>61505</v>
      </c>
      <c r="BA6385" s="3" t="s">
        <v>61505</v>
      </c>
      <c r="BB6385" s="3" t="s">
        <v>61523</v>
      </c>
      <c r="BC6385" s="3" t="s">
        <v>142</v>
      </c>
      <c r="BD6385" s="3" t="s">
        <v>68</v>
      </c>
      <c r="BE6385" s="3" t="s">
        <v>61507</v>
      </c>
      <c r="BF6385" s="3" t="s">
        <v>61523</v>
      </c>
      <c r="BG6385" s="3" t="s">
        <v>61524</v>
      </c>
    </row>
    <row r="6386" spans="1:59" ht="114" x14ac:dyDescent="0.45">
      <c r="A6386" s="2" t="s">
        <v>59</v>
      </c>
      <c r="B6386" s="2" t="s">
        <v>690</v>
      </c>
      <c r="C6386" s="2" t="s">
        <v>61497</v>
      </c>
      <c r="D6386" s="2" t="s">
        <v>61498</v>
      </c>
      <c r="E6386" s="2" t="s">
        <v>61499</v>
      </c>
      <c r="F6386" s="3" t="s">
        <v>6125</v>
      </c>
      <c r="G6386" s="3" t="s">
        <v>61</v>
      </c>
      <c r="I6386" s="3" t="s">
        <v>62</v>
      </c>
      <c r="J6386" s="3" t="s">
        <v>62</v>
      </c>
      <c r="K6386" s="3" t="s">
        <v>63</v>
      </c>
      <c r="L6386" s="2" t="s">
        <v>61500</v>
      </c>
      <c r="M6386" s="2" t="s">
        <v>61501</v>
      </c>
      <c r="N6386" s="3" t="s">
        <v>1097</v>
      </c>
      <c r="O6386" s="2" t="s">
        <v>696</v>
      </c>
      <c r="P6386" s="3" t="s">
        <v>697</v>
      </c>
      <c r="R6386" s="3" t="s">
        <v>66</v>
      </c>
      <c r="S6386" s="4">
        <v>0</v>
      </c>
      <c r="T6386" s="4">
        <v>8</v>
      </c>
      <c r="V6386" s="5" t="s">
        <v>12942</v>
      </c>
      <c r="W6386" s="5" t="s">
        <v>67</v>
      </c>
      <c r="X6386" s="5" t="s">
        <v>67</v>
      </c>
      <c r="Y6386" s="4">
        <v>17</v>
      </c>
      <c r="Z6386" s="4">
        <v>1</v>
      </c>
      <c r="AA6386" s="4">
        <v>2</v>
      </c>
      <c r="AB6386" s="4">
        <v>1</v>
      </c>
      <c r="AC6386" s="4">
        <v>1</v>
      </c>
      <c r="AD6386" s="4">
        <v>12</v>
      </c>
      <c r="AE6386" s="4">
        <v>17</v>
      </c>
      <c r="AF6386" s="4">
        <v>0</v>
      </c>
      <c r="AG6386" s="4">
        <v>0</v>
      </c>
      <c r="AH6386" s="4">
        <v>11</v>
      </c>
      <c r="AI6386" s="4">
        <v>16</v>
      </c>
      <c r="AJ6386" s="4">
        <v>0</v>
      </c>
      <c r="AK6386" s="4">
        <v>1</v>
      </c>
      <c r="AL6386" s="4">
        <v>11</v>
      </c>
      <c r="AM6386" s="4">
        <v>14</v>
      </c>
      <c r="AN6386" s="4">
        <v>0</v>
      </c>
      <c r="AO6386" s="4">
        <v>0</v>
      </c>
      <c r="AP6386" s="4">
        <v>0</v>
      </c>
      <c r="AQ6386" s="4">
        <v>1</v>
      </c>
      <c r="AR6386" s="3" t="s">
        <v>62</v>
      </c>
      <c r="AS6386" s="3" t="s">
        <v>62</v>
      </c>
      <c r="AT6386" s="3" t="s">
        <v>61</v>
      </c>
      <c r="AU6386" s="6" t="str">
        <f t="shared" si="53"/>
        <v>HathiTrust Record</v>
      </c>
      <c r="AV6386" s="6" t="str">
        <f t="shared" si="54"/>
        <v>Catalog Record</v>
      </c>
      <c r="AW6386" s="6" t="str">
        <f t="shared" si="55"/>
        <v>WorldCat Record</v>
      </c>
      <c r="AX6386" s="3" t="s">
        <v>61503</v>
      </c>
      <c r="AY6386" s="3" t="s">
        <v>61504</v>
      </c>
      <c r="AZ6386" s="3" t="s">
        <v>61505</v>
      </c>
      <c r="BA6386" s="3" t="s">
        <v>61505</v>
      </c>
      <c r="BB6386" s="3" t="s">
        <v>61525</v>
      </c>
      <c r="BC6386" s="3" t="s">
        <v>142</v>
      </c>
      <c r="BD6386" s="3" t="s">
        <v>68</v>
      </c>
      <c r="BE6386" s="3" t="s">
        <v>61507</v>
      </c>
      <c r="BF6386" s="3" t="s">
        <v>61525</v>
      </c>
      <c r="BG6386" s="3" t="s">
        <v>61526</v>
      </c>
    </row>
    <row r="6387" spans="1:59" ht="114" x14ac:dyDescent="0.45">
      <c r="A6387" s="2" t="s">
        <v>59</v>
      </c>
      <c r="B6387" s="2" t="s">
        <v>690</v>
      </c>
      <c r="C6387" s="2" t="s">
        <v>61497</v>
      </c>
      <c r="D6387" s="2" t="s">
        <v>61498</v>
      </c>
      <c r="E6387" s="2" t="s">
        <v>61499</v>
      </c>
      <c r="F6387" s="3" t="s">
        <v>86</v>
      </c>
      <c r="G6387" s="3" t="s">
        <v>61</v>
      </c>
      <c r="I6387" s="3" t="s">
        <v>62</v>
      </c>
      <c r="J6387" s="3" t="s">
        <v>62</v>
      </c>
      <c r="K6387" s="3" t="s">
        <v>63</v>
      </c>
      <c r="L6387" s="2" t="s">
        <v>61500</v>
      </c>
      <c r="M6387" s="2" t="s">
        <v>61501</v>
      </c>
      <c r="N6387" s="3" t="s">
        <v>1097</v>
      </c>
      <c r="O6387" s="2" t="s">
        <v>696</v>
      </c>
      <c r="P6387" s="3" t="s">
        <v>697</v>
      </c>
      <c r="R6387" s="3" t="s">
        <v>66</v>
      </c>
      <c r="S6387" s="4">
        <v>0</v>
      </c>
      <c r="T6387" s="4">
        <v>8</v>
      </c>
      <c r="V6387" s="5" t="s">
        <v>12942</v>
      </c>
      <c r="W6387" s="5" t="s">
        <v>67</v>
      </c>
      <c r="X6387" s="5" t="s">
        <v>67</v>
      </c>
      <c r="Y6387" s="4">
        <v>17</v>
      </c>
      <c r="Z6387" s="4">
        <v>1</v>
      </c>
      <c r="AA6387" s="4">
        <v>2</v>
      </c>
      <c r="AB6387" s="4">
        <v>1</v>
      </c>
      <c r="AC6387" s="4">
        <v>1</v>
      </c>
      <c r="AD6387" s="4">
        <v>12</v>
      </c>
      <c r="AE6387" s="4">
        <v>17</v>
      </c>
      <c r="AF6387" s="4">
        <v>0</v>
      </c>
      <c r="AG6387" s="4">
        <v>0</v>
      </c>
      <c r="AH6387" s="4">
        <v>11</v>
      </c>
      <c r="AI6387" s="4">
        <v>16</v>
      </c>
      <c r="AJ6387" s="4">
        <v>0</v>
      </c>
      <c r="AK6387" s="4">
        <v>1</v>
      </c>
      <c r="AL6387" s="4">
        <v>11</v>
      </c>
      <c r="AM6387" s="4">
        <v>14</v>
      </c>
      <c r="AN6387" s="4">
        <v>0</v>
      </c>
      <c r="AO6387" s="4">
        <v>0</v>
      </c>
      <c r="AP6387" s="4">
        <v>0</v>
      </c>
      <c r="AQ6387" s="4">
        <v>1</v>
      </c>
      <c r="AR6387" s="3" t="s">
        <v>62</v>
      </c>
      <c r="AS6387" s="3" t="s">
        <v>62</v>
      </c>
      <c r="AT6387" s="3" t="s">
        <v>61</v>
      </c>
      <c r="AU6387" s="6" t="str">
        <f t="shared" si="53"/>
        <v>HathiTrust Record</v>
      </c>
      <c r="AV6387" s="6" t="str">
        <f t="shared" si="54"/>
        <v>Catalog Record</v>
      </c>
      <c r="AW6387" s="6" t="str">
        <f t="shared" si="55"/>
        <v>WorldCat Record</v>
      </c>
      <c r="AX6387" s="3" t="s">
        <v>61503</v>
      </c>
      <c r="AY6387" s="3" t="s">
        <v>61504</v>
      </c>
      <c r="AZ6387" s="3" t="s">
        <v>61505</v>
      </c>
      <c r="BA6387" s="3" t="s">
        <v>61505</v>
      </c>
      <c r="BB6387" s="3" t="s">
        <v>61527</v>
      </c>
      <c r="BC6387" s="3" t="s">
        <v>142</v>
      </c>
      <c r="BD6387" s="3" t="s">
        <v>68</v>
      </c>
      <c r="BE6387" s="3" t="s">
        <v>61507</v>
      </c>
      <c r="BF6387" s="3" t="s">
        <v>61527</v>
      </c>
      <c r="BG6387" s="3" t="s">
        <v>61528</v>
      </c>
    </row>
    <row r="6388" spans="1:59" ht="57" x14ac:dyDescent="0.45">
      <c r="A6388" s="2" t="s">
        <v>59</v>
      </c>
      <c r="B6388" s="2" t="s">
        <v>60</v>
      </c>
      <c r="C6388" s="2" t="s">
        <v>61529</v>
      </c>
      <c r="D6388" s="2" t="s">
        <v>61530</v>
      </c>
      <c r="E6388" s="2" t="s">
        <v>61531</v>
      </c>
      <c r="F6388" s="3" t="s">
        <v>61532</v>
      </c>
      <c r="G6388" s="3" t="s">
        <v>62</v>
      </c>
      <c r="I6388" s="3" t="s">
        <v>62</v>
      </c>
      <c r="J6388" s="3" t="s">
        <v>62</v>
      </c>
      <c r="K6388" s="3" t="s">
        <v>63</v>
      </c>
      <c r="L6388" s="2" t="s">
        <v>61533</v>
      </c>
      <c r="M6388" s="2" t="s">
        <v>61534</v>
      </c>
      <c r="N6388" s="3" t="s">
        <v>116</v>
      </c>
      <c r="P6388" s="3" t="s">
        <v>65</v>
      </c>
      <c r="Q6388" s="2" t="s">
        <v>61535</v>
      </c>
      <c r="R6388" s="3" t="s">
        <v>66</v>
      </c>
      <c r="S6388" s="4">
        <v>0</v>
      </c>
      <c r="T6388" s="4">
        <v>0</v>
      </c>
      <c r="W6388" s="5" t="s">
        <v>67</v>
      </c>
      <c r="X6388" s="5" t="s">
        <v>67</v>
      </c>
      <c r="Y6388" s="4">
        <v>31</v>
      </c>
      <c r="Z6388" s="4">
        <v>2</v>
      </c>
      <c r="AA6388" s="4">
        <v>4</v>
      </c>
      <c r="AB6388" s="4">
        <v>1</v>
      </c>
      <c r="AC6388" s="4">
        <v>3</v>
      </c>
      <c r="AD6388" s="4">
        <v>16</v>
      </c>
      <c r="AE6388" s="4">
        <v>17</v>
      </c>
      <c r="AF6388" s="4">
        <v>0</v>
      </c>
      <c r="AG6388" s="4">
        <v>1</v>
      </c>
      <c r="AH6388" s="4">
        <v>15</v>
      </c>
      <c r="AI6388" s="4">
        <v>15</v>
      </c>
      <c r="AJ6388" s="4">
        <v>1</v>
      </c>
      <c r="AK6388" s="4">
        <v>2</v>
      </c>
      <c r="AL6388" s="4">
        <v>12</v>
      </c>
      <c r="AM6388" s="4">
        <v>12</v>
      </c>
      <c r="AN6388" s="4">
        <v>0</v>
      </c>
      <c r="AO6388" s="4">
        <v>0</v>
      </c>
      <c r="AP6388" s="4">
        <v>1</v>
      </c>
      <c r="AQ6388" s="4">
        <v>1</v>
      </c>
      <c r="AR6388" s="3" t="s">
        <v>62</v>
      </c>
      <c r="AS6388" s="3" t="s">
        <v>62</v>
      </c>
      <c r="AT6388" s="3" t="s">
        <v>62</v>
      </c>
      <c r="AV6388" s="6" t="str">
        <f>HYPERLINK("http://mcgill.on.worldcat.org/oclc/847541735","Catalog Record")</f>
        <v>Catalog Record</v>
      </c>
      <c r="AW6388" s="6" t="str">
        <f>HYPERLINK("http://www.worldcat.org/oclc/847541735","WorldCat Record")</f>
        <v>WorldCat Record</v>
      </c>
      <c r="AX6388" s="3" t="s">
        <v>61536</v>
      </c>
      <c r="AY6388" s="3" t="s">
        <v>61537</v>
      </c>
      <c r="AZ6388" s="3" t="s">
        <v>61538</v>
      </c>
      <c r="BA6388" s="3" t="s">
        <v>61538</v>
      </c>
      <c r="BB6388" s="3" t="s">
        <v>61539</v>
      </c>
      <c r="BC6388" s="3" t="s">
        <v>142</v>
      </c>
      <c r="BD6388" s="3" t="s">
        <v>68</v>
      </c>
      <c r="BE6388" s="3" t="s">
        <v>61540</v>
      </c>
      <c r="BF6388" s="3" t="s">
        <v>61539</v>
      </c>
      <c r="BG6388" s="3" t="s">
        <v>61541</v>
      </c>
    </row>
    <row r="6389" spans="1:59" ht="57" x14ac:dyDescent="0.45">
      <c r="A6389" s="2" t="s">
        <v>59</v>
      </c>
      <c r="B6389" s="2" t="s">
        <v>60</v>
      </c>
      <c r="C6389" s="2" t="s">
        <v>61542</v>
      </c>
      <c r="D6389" s="2" t="s">
        <v>61543</v>
      </c>
      <c r="E6389" s="2" t="s">
        <v>61544</v>
      </c>
      <c r="G6389" s="3" t="s">
        <v>62</v>
      </c>
      <c r="I6389" s="3" t="s">
        <v>62</v>
      </c>
      <c r="J6389" s="3" t="s">
        <v>62</v>
      </c>
      <c r="K6389" s="3" t="s">
        <v>63</v>
      </c>
      <c r="L6389" s="2" t="s">
        <v>61545</v>
      </c>
      <c r="M6389" s="2" t="s">
        <v>61546</v>
      </c>
      <c r="N6389" s="3" t="s">
        <v>1155</v>
      </c>
      <c r="P6389" s="3" t="s">
        <v>65</v>
      </c>
      <c r="Q6389" s="2" t="s">
        <v>61547</v>
      </c>
      <c r="R6389" s="3" t="s">
        <v>66</v>
      </c>
      <c r="S6389" s="4">
        <v>1</v>
      </c>
      <c r="T6389" s="4">
        <v>1</v>
      </c>
      <c r="U6389" s="5" t="s">
        <v>61548</v>
      </c>
      <c r="V6389" s="5" t="s">
        <v>61548</v>
      </c>
      <c r="W6389" s="5" t="s">
        <v>67</v>
      </c>
      <c r="X6389" s="5" t="s">
        <v>67</v>
      </c>
      <c r="Y6389" s="4">
        <v>23</v>
      </c>
      <c r="Z6389" s="4">
        <v>12</v>
      </c>
      <c r="AA6389" s="4">
        <v>13</v>
      </c>
      <c r="AB6389" s="4">
        <v>1</v>
      </c>
      <c r="AC6389" s="4">
        <v>1</v>
      </c>
      <c r="AD6389" s="4">
        <v>14</v>
      </c>
      <c r="AE6389" s="4">
        <v>15</v>
      </c>
      <c r="AF6389" s="4">
        <v>0</v>
      </c>
      <c r="AG6389" s="4">
        <v>0</v>
      </c>
      <c r="AH6389" s="4">
        <v>11</v>
      </c>
      <c r="AI6389" s="4">
        <v>11</v>
      </c>
      <c r="AJ6389" s="4">
        <v>9</v>
      </c>
      <c r="AK6389" s="4">
        <v>9</v>
      </c>
      <c r="AL6389" s="4">
        <v>4</v>
      </c>
      <c r="AM6389" s="4">
        <v>4</v>
      </c>
      <c r="AN6389" s="4">
        <v>0</v>
      </c>
      <c r="AO6389" s="4">
        <v>0</v>
      </c>
      <c r="AP6389" s="4">
        <v>9</v>
      </c>
      <c r="AQ6389" s="4">
        <v>10</v>
      </c>
      <c r="AR6389" s="3" t="s">
        <v>62</v>
      </c>
      <c r="AS6389" s="3" t="s">
        <v>62</v>
      </c>
      <c r="AT6389" s="3" t="s">
        <v>62</v>
      </c>
      <c r="AV6389" s="6" t="str">
        <f>HYPERLINK("http://mcgill.on.worldcat.org/oclc/816765112","Catalog Record")</f>
        <v>Catalog Record</v>
      </c>
      <c r="AW6389" s="6" t="str">
        <f>HYPERLINK("http://www.worldcat.org/oclc/816765112","WorldCat Record")</f>
        <v>WorldCat Record</v>
      </c>
      <c r="AX6389" s="3" t="s">
        <v>61549</v>
      </c>
      <c r="AY6389" s="3" t="s">
        <v>61550</v>
      </c>
      <c r="AZ6389" s="3" t="s">
        <v>61551</v>
      </c>
      <c r="BA6389" s="3" t="s">
        <v>61551</v>
      </c>
      <c r="BB6389" s="3" t="s">
        <v>61552</v>
      </c>
      <c r="BC6389" s="3" t="s">
        <v>142</v>
      </c>
      <c r="BD6389" s="3" t="s">
        <v>68</v>
      </c>
      <c r="BE6389" s="3" t="s">
        <v>61553</v>
      </c>
      <c r="BF6389" s="3" t="s">
        <v>61552</v>
      </c>
      <c r="BG6389" s="3" t="s">
        <v>61554</v>
      </c>
    </row>
    <row r="6390" spans="1:59" ht="57" x14ac:dyDescent="0.45">
      <c r="A6390" s="2" t="s">
        <v>59</v>
      </c>
      <c r="B6390" s="2" t="s">
        <v>60</v>
      </c>
      <c r="C6390" s="2" t="s">
        <v>61555</v>
      </c>
      <c r="D6390" s="2" t="s">
        <v>61556</v>
      </c>
      <c r="E6390" s="2" t="s">
        <v>61557</v>
      </c>
      <c r="G6390" s="3" t="s">
        <v>62</v>
      </c>
      <c r="I6390" s="3" t="s">
        <v>62</v>
      </c>
      <c r="J6390" s="3" t="s">
        <v>62</v>
      </c>
      <c r="K6390" s="3" t="s">
        <v>63</v>
      </c>
      <c r="L6390" s="2" t="s">
        <v>61558</v>
      </c>
      <c r="M6390" s="2" t="s">
        <v>58839</v>
      </c>
      <c r="N6390" s="3" t="s">
        <v>820</v>
      </c>
      <c r="P6390" s="3" t="s">
        <v>110</v>
      </c>
      <c r="Q6390" s="2" t="s">
        <v>58366</v>
      </c>
      <c r="R6390" s="3" t="s">
        <v>66</v>
      </c>
      <c r="S6390" s="4">
        <v>10</v>
      </c>
      <c r="T6390" s="4">
        <v>10</v>
      </c>
      <c r="U6390" s="5" t="s">
        <v>23530</v>
      </c>
      <c r="V6390" s="5" t="s">
        <v>23530</v>
      </c>
      <c r="W6390" s="5" t="s">
        <v>67</v>
      </c>
      <c r="X6390" s="5" t="s">
        <v>67</v>
      </c>
      <c r="Y6390" s="4">
        <v>29</v>
      </c>
      <c r="Z6390" s="4">
        <v>5</v>
      </c>
      <c r="AA6390" s="4">
        <v>20</v>
      </c>
      <c r="AB6390" s="4">
        <v>2</v>
      </c>
      <c r="AC6390" s="4">
        <v>12</v>
      </c>
      <c r="AD6390" s="4">
        <v>7</v>
      </c>
      <c r="AE6390" s="4">
        <v>16</v>
      </c>
      <c r="AF6390" s="4">
        <v>1</v>
      </c>
      <c r="AG6390" s="4">
        <v>6</v>
      </c>
      <c r="AH6390" s="4">
        <v>6</v>
      </c>
      <c r="AI6390" s="4">
        <v>9</v>
      </c>
      <c r="AJ6390" s="4">
        <v>3</v>
      </c>
      <c r="AK6390" s="4">
        <v>10</v>
      </c>
      <c r="AL6390" s="4">
        <v>3</v>
      </c>
      <c r="AM6390" s="4">
        <v>3</v>
      </c>
      <c r="AN6390" s="4">
        <v>0</v>
      </c>
      <c r="AO6390" s="4">
        <v>0</v>
      </c>
      <c r="AP6390" s="4">
        <v>3</v>
      </c>
      <c r="AQ6390" s="4">
        <v>11</v>
      </c>
      <c r="AR6390" s="3" t="s">
        <v>62</v>
      </c>
      <c r="AS6390" s="3" t="s">
        <v>62</v>
      </c>
      <c r="AT6390" s="3" t="s">
        <v>62</v>
      </c>
      <c r="AV6390" s="6" t="str">
        <f>HYPERLINK("http://mcgill.on.worldcat.org/oclc/272561368","Catalog Record")</f>
        <v>Catalog Record</v>
      </c>
      <c r="AW6390" s="6" t="str">
        <f>HYPERLINK("http://www.worldcat.org/oclc/272561368","WorldCat Record")</f>
        <v>WorldCat Record</v>
      </c>
      <c r="AX6390" s="3" t="s">
        <v>61559</v>
      </c>
      <c r="AY6390" s="3" t="s">
        <v>61560</v>
      </c>
      <c r="AZ6390" s="3" t="s">
        <v>61561</v>
      </c>
      <c r="BA6390" s="3" t="s">
        <v>61561</v>
      </c>
      <c r="BB6390" s="3" t="s">
        <v>61562</v>
      </c>
      <c r="BC6390" s="3" t="s">
        <v>142</v>
      </c>
      <c r="BD6390" s="3" t="s">
        <v>68</v>
      </c>
      <c r="BE6390" s="3" t="s">
        <v>61563</v>
      </c>
      <c r="BF6390" s="3" t="s">
        <v>61562</v>
      </c>
      <c r="BG6390" s="3" t="s">
        <v>61564</v>
      </c>
    </row>
    <row r="6391" spans="1:59" ht="57" x14ac:dyDescent="0.45">
      <c r="A6391" s="2" t="s">
        <v>59</v>
      </c>
      <c r="B6391" s="2" t="s">
        <v>60</v>
      </c>
      <c r="C6391" s="2" t="s">
        <v>61565</v>
      </c>
      <c r="D6391" s="2" t="s">
        <v>61566</v>
      </c>
      <c r="E6391" s="2" t="s">
        <v>61567</v>
      </c>
      <c r="G6391" s="3" t="s">
        <v>62</v>
      </c>
      <c r="I6391" s="3" t="s">
        <v>62</v>
      </c>
      <c r="J6391" s="3" t="s">
        <v>62</v>
      </c>
      <c r="K6391" s="3" t="s">
        <v>63</v>
      </c>
      <c r="M6391" s="2" t="s">
        <v>61568</v>
      </c>
      <c r="N6391" s="3" t="s">
        <v>116</v>
      </c>
      <c r="P6391" s="3" t="s">
        <v>65</v>
      </c>
      <c r="Q6391" s="2" t="s">
        <v>61569</v>
      </c>
      <c r="R6391" s="3" t="s">
        <v>66</v>
      </c>
      <c r="S6391" s="4">
        <v>0</v>
      </c>
      <c r="T6391" s="4">
        <v>0</v>
      </c>
      <c r="W6391" s="5" t="s">
        <v>67</v>
      </c>
      <c r="X6391" s="5" t="s">
        <v>67</v>
      </c>
      <c r="Y6391" s="4">
        <v>37</v>
      </c>
      <c r="Z6391" s="4">
        <v>6</v>
      </c>
      <c r="AA6391" s="4">
        <v>24</v>
      </c>
      <c r="AB6391" s="4">
        <v>2</v>
      </c>
      <c r="AC6391" s="4">
        <v>8</v>
      </c>
      <c r="AD6391" s="4">
        <v>17</v>
      </c>
      <c r="AE6391" s="4">
        <v>33</v>
      </c>
      <c r="AF6391" s="4">
        <v>1</v>
      </c>
      <c r="AG6391" s="4">
        <v>4</v>
      </c>
      <c r="AH6391" s="4">
        <v>15</v>
      </c>
      <c r="AI6391" s="4">
        <v>24</v>
      </c>
      <c r="AJ6391" s="4">
        <v>5</v>
      </c>
      <c r="AK6391" s="4">
        <v>8</v>
      </c>
      <c r="AL6391" s="4">
        <v>8</v>
      </c>
      <c r="AM6391" s="4">
        <v>12</v>
      </c>
      <c r="AN6391" s="4">
        <v>0</v>
      </c>
      <c r="AO6391" s="4">
        <v>0</v>
      </c>
      <c r="AP6391" s="4">
        <v>5</v>
      </c>
      <c r="AQ6391" s="4">
        <v>13</v>
      </c>
      <c r="AR6391" s="3" t="s">
        <v>62</v>
      </c>
      <c r="AS6391" s="3" t="s">
        <v>62</v>
      </c>
      <c r="AT6391" s="3" t="s">
        <v>62</v>
      </c>
      <c r="AV6391" s="6" t="str">
        <f>HYPERLINK("http://mcgill.on.worldcat.org/oclc/829097407","Catalog Record")</f>
        <v>Catalog Record</v>
      </c>
      <c r="AW6391" s="6" t="str">
        <f>HYPERLINK("http://www.worldcat.org/oclc/829097407","WorldCat Record")</f>
        <v>WorldCat Record</v>
      </c>
      <c r="AX6391" s="3" t="s">
        <v>61570</v>
      </c>
      <c r="AY6391" s="3" t="s">
        <v>61571</v>
      </c>
      <c r="AZ6391" s="3" t="s">
        <v>61572</v>
      </c>
      <c r="BA6391" s="3" t="s">
        <v>61572</v>
      </c>
      <c r="BB6391" s="3" t="s">
        <v>61573</v>
      </c>
      <c r="BC6391" s="3" t="s">
        <v>142</v>
      </c>
      <c r="BD6391" s="3" t="s">
        <v>68</v>
      </c>
      <c r="BE6391" s="3" t="s">
        <v>61574</v>
      </c>
      <c r="BF6391" s="3" t="s">
        <v>61573</v>
      </c>
      <c r="BG6391" s="3" t="s">
        <v>61575</v>
      </c>
    </row>
    <row r="6392" spans="1:59" ht="57" x14ac:dyDescent="0.45">
      <c r="A6392" s="2" t="s">
        <v>59</v>
      </c>
      <c r="B6392" s="2" t="s">
        <v>60</v>
      </c>
      <c r="C6392" s="2" t="s">
        <v>61576</v>
      </c>
      <c r="D6392" s="2" t="s">
        <v>61577</v>
      </c>
      <c r="E6392" s="2" t="s">
        <v>61578</v>
      </c>
      <c r="G6392" s="3" t="s">
        <v>62</v>
      </c>
      <c r="I6392" s="3" t="s">
        <v>62</v>
      </c>
      <c r="J6392" s="3" t="s">
        <v>62</v>
      </c>
      <c r="K6392" s="3" t="s">
        <v>63</v>
      </c>
      <c r="L6392" s="2" t="s">
        <v>61579</v>
      </c>
      <c r="M6392" s="2" t="s">
        <v>26950</v>
      </c>
      <c r="N6392" s="3" t="s">
        <v>116</v>
      </c>
      <c r="P6392" s="3" t="s">
        <v>65</v>
      </c>
      <c r="Q6392" s="2" t="s">
        <v>60997</v>
      </c>
      <c r="R6392" s="3" t="s">
        <v>66</v>
      </c>
      <c r="S6392" s="4">
        <v>2</v>
      </c>
      <c r="T6392" s="4">
        <v>2</v>
      </c>
      <c r="U6392" s="5" t="s">
        <v>4852</v>
      </c>
      <c r="V6392" s="5" t="s">
        <v>4852</v>
      </c>
      <c r="W6392" s="5" t="s">
        <v>67</v>
      </c>
      <c r="X6392" s="5" t="s">
        <v>67</v>
      </c>
      <c r="Y6392" s="4">
        <v>93</v>
      </c>
      <c r="Z6392" s="4">
        <v>12</v>
      </c>
      <c r="AA6392" s="4">
        <v>20</v>
      </c>
      <c r="AB6392" s="4">
        <v>2</v>
      </c>
      <c r="AC6392" s="4">
        <v>8</v>
      </c>
      <c r="AD6392" s="4">
        <v>33</v>
      </c>
      <c r="AE6392" s="4">
        <v>48</v>
      </c>
      <c r="AF6392" s="4">
        <v>1</v>
      </c>
      <c r="AG6392" s="4">
        <v>4</v>
      </c>
      <c r="AH6392" s="4">
        <v>29</v>
      </c>
      <c r="AI6392" s="4">
        <v>39</v>
      </c>
      <c r="AJ6392" s="4">
        <v>9</v>
      </c>
      <c r="AK6392" s="4">
        <v>11</v>
      </c>
      <c r="AL6392" s="4">
        <v>18</v>
      </c>
      <c r="AM6392" s="4">
        <v>25</v>
      </c>
      <c r="AN6392" s="4">
        <v>0</v>
      </c>
      <c r="AO6392" s="4">
        <v>0</v>
      </c>
      <c r="AP6392" s="4">
        <v>10</v>
      </c>
      <c r="AQ6392" s="4">
        <v>13</v>
      </c>
      <c r="AR6392" s="3" t="s">
        <v>62</v>
      </c>
      <c r="AS6392" s="3" t="s">
        <v>62</v>
      </c>
      <c r="AT6392" s="3" t="s">
        <v>62</v>
      </c>
      <c r="AV6392" s="6" t="str">
        <f>HYPERLINK("http://mcgill.on.worldcat.org/oclc/757480992","Catalog Record")</f>
        <v>Catalog Record</v>
      </c>
      <c r="AW6392" s="6" t="str">
        <f>HYPERLINK("http://www.worldcat.org/oclc/757480992","WorldCat Record")</f>
        <v>WorldCat Record</v>
      </c>
      <c r="AX6392" s="3" t="s">
        <v>61580</v>
      </c>
      <c r="AY6392" s="3" t="s">
        <v>61581</v>
      </c>
      <c r="AZ6392" s="3" t="s">
        <v>61582</v>
      </c>
      <c r="BA6392" s="3" t="s">
        <v>61582</v>
      </c>
      <c r="BB6392" s="3" t="s">
        <v>61583</v>
      </c>
      <c r="BC6392" s="3" t="s">
        <v>142</v>
      </c>
      <c r="BD6392" s="3" t="s">
        <v>68</v>
      </c>
      <c r="BE6392" s="3" t="s">
        <v>61584</v>
      </c>
      <c r="BF6392" s="3" t="s">
        <v>61583</v>
      </c>
      <c r="BG6392" s="3" t="s">
        <v>61585</v>
      </c>
    </row>
    <row r="6393" spans="1:59" ht="57" x14ac:dyDescent="0.45">
      <c r="A6393" s="2" t="s">
        <v>59</v>
      </c>
      <c r="B6393" s="2" t="s">
        <v>60</v>
      </c>
      <c r="C6393" s="2" t="s">
        <v>61586</v>
      </c>
      <c r="D6393" s="2" t="s">
        <v>61587</v>
      </c>
      <c r="E6393" s="2" t="s">
        <v>61588</v>
      </c>
      <c r="G6393" s="3" t="s">
        <v>62</v>
      </c>
      <c r="I6393" s="3" t="s">
        <v>62</v>
      </c>
      <c r="J6393" s="3" t="s">
        <v>62</v>
      </c>
      <c r="K6393" s="3" t="s">
        <v>63</v>
      </c>
      <c r="L6393" s="2" t="s">
        <v>61589</v>
      </c>
      <c r="M6393" s="2" t="s">
        <v>61590</v>
      </c>
      <c r="N6393" s="3" t="s">
        <v>149</v>
      </c>
      <c r="P6393" s="3" t="s">
        <v>110</v>
      </c>
      <c r="R6393" s="3" t="s">
        <v>66</v>
      </c>
      <c r="S6393" s="4">
        <v>1</v>
      </c>
      <c r="T6393" s="4">
        <v>1</v>
      </c>
      <c r="U6393" s="5" t="s">
        <v>31495</v>
      </c>
      <c r="V6393" s="5" t="s">
        <v>31495</v>
      </c>
      <c r="W6393" s="5" t="s">
        <v>67</v>
      </c>
      <c r="X6393" s="5" t="s">
        <v>67</v>
      </c>
      <c r="Y6393" s="4">
        <v>24</v>
      </c>
      <c r="Z6393" s="4">
        <v>10</v>
      </c>
      <c r="AA6393" s="4">
        <v>49</v>
      </c>
      <c r="AB6393" s="4">
        <v>2</v>
      </c>
      <c r="AC6393" s="4">
        <v>12</v>
      </c>
      <c r="AD6393" s="4">
        <v>16</v>
      </c>
      <c r="AE6393" s="4">
        <v>45</v>
      </c>
      <c r="AF6393" s="4">
        <v>1</v>
      </c>
      <c r="AG6393" s="4">
        <v>6</v>
      </c>
      <c r="AH6393" s="4">
        <v>13</v>
      </c>
      <c r="AI6393" s="4">
        <v>25</v>
      </c>
      <c r="AJ6393" s="4">
        <v>8</v>
      </c>
      <c r="AK6393" s="4">
        <v>18</v>
      </c>
      <c r="AL6393" s="4">
        <v>6</v>
      </c>
      <c r="AM6393" s="4">
        <v>12</v>
      </c>
      <c r="AN6393" s="4">
        <v>0</v>
      </c>
      <c r="AO6393" s="4">
        <v>0</v>
      </c>
      <c r="AP6393" s="4">
        <v>9</v>
      </c>
      <c r="AQ6393" s="4">
        <v>27</v>
      </c>
      <c r="AR6393" s="3" t="s">
        <v>61</v>
      </c>
      <c r="AS6393" s="3" t="s">
        <v>62</v>
      </c>
      <c r="AT6393" s="3" t="s">
        <v>62</v>
      </c>
      <c r="AV6393" s="6" t="str">
        <f>HYPERLINK("http://mcgill.on.worldcat.org/oclc/309003994","Catalog Record")</f>
        <v>Catalog Record</v>
      </c>
      <c r="AW6393" s="6" t="str">
        <f>HYPERLINK("http://www.worldcat.org/oclc/309003994","WorldCat Record")</f>
        <v>WorldCat Record</v>
      </c>
      <c r="AX6393" s="3" t="s">
        <v>61591</v>
      </c>
      <c r="AY6393" s="3" t="s">
        <v>61592</v>
      </c>
      <c r="AZ6393" s="3" t="s">
        <v>61593</v>
      </c>
      <c r="BA6393" s="3" t="s">
        <v>61593</v>
      </c>
      <c r="BB6393" s="3" t="s">
        <v>61594</v>
      </c>
      <c r="BC6393" s="3" t="s">
        <v>142</v>
      </c>
      <c r="BD6393" s="3" t="s">
        <v>68</v>
      </c>
      <c r="BE6393" s="3" t="s">
        <v>61595</v>
      </c>
      <c r="BF6393" s="3" t="s">
        <v>61594</v>
      </c>
      <c r="BG6393" s="3" t="s">
        <v>61596</v>
      </c>
    </row>
    <row r="6394" spans="1:59" ht="57" x14ac:dyDescent="0.45">
      <c r="A6394" s="2" t="s">
        <v>59</v>
      </c>
      <c r="B6394" s="2" t="s">
        <v>60</v>
      </c>
      <c r="C6394" s="2" t="s">
        <v>61597</v>
      </c>
      <c r="D6394" s="2" t="s">
        <v>61598</v>
      </c>
      <c r="E6394" s="2" t="s">
        <v>61599</v>
      </c>
      <c r="G6394" s="3" t="s">
        <v>62</v>
      </c>
      <c r="I6394" s="3" t="s">
        <v>62</v>
      </c>
      <c r="J6394" s="3" t="s">
        <v>62</v>
      </c>
      <c r="K6394" s="3" t="s">
        <v>63</v>
      </c>
      <c r="L6394" s="2" t="s">
        <v>10439</v>
      </c>
      <c r="M6394" s="2" t="s">
        <v>61600</v>
      </c>
      <c r="N6394" s="3" t="s">
        <v>149</v>
      </c>
      <c r="P6394" s="3" t="s">
        <v>326</v>
      </c>
      <c r="Q6394" s="2" t="s">
        <v>61601</v>
      </c>
      <c r="R6394" s="3" t="s">
        <v>66</v>
      </c>
      <c r="S6394" s="4">
        <v>0</v>
      </c>
      <c r="T6394" s="4">
        <v>0</v>
      </c>
      <c r="W6394" s="5" t="s">
        <v>67</v>
      </c>
      <c r="X6394" s="5" t="s">
        <v>67</v>
      </c>
      <c r="Y6394" s="4">
        <v>17</v>
      </c>
      <c r="Z6394" s="4">
        <v>2</v>
      </c>
      <c r="AA6394" s="4">
        <v>3</v>
      </c>
      <c r="AB6394" s="4">
        <v>1</v>
      </c>
      <c r="AC6394" s="4">
        <v>2</v>
      </c>
      <c r="AD6394" s="4">
        <v>3</v>
      </c>
      <c r="AE6394" s="4">
        <v>4</v>
      </c>
      <c r="AF6394" s="4">
        <v>0</v>
      </c>
      <c r="AG6394" s="4">
        <v>1</v>
      </c>
      <c r="AH6394" s="4">
        <v>1</v>
      </c>
      <c r="AI6394" s="4">
        <v>1</v>
      </c>
      <c r="AJ6394" s="4">
        <v>0</v>
      </c>
      <c r="AK6394" s="4">
        <v>1</v>
      </c>
      <c r="AL6394" s="4">
        <v>2</v>
      </c>
      <c r="AM6394" s="4">
        <v>2</v>
      </c>
      <c r="AN6394" s="4">
        <v>0</v>
      </c>
      <c r="AO6394" s="4">
        <v>0</v>
      </c>
      <c r="AP6394" s="4">
        <v>1</v>
      </c>
      <c r="AQ6394" s="4">
        <v>2</v>
      </c>
      <c r="AR6394" s="3" t="s">
        <v>62</v>
      </c>
      <c r="AS6394" s="3" t="s">
        <v>62</v>
      </c>
      <c r="AT6394" s="3" t="s">
        <v>62</v>
      </c>
      <c r="AV6394" s="6" t="str">
        <f>HYPERLINK("http://mcgill.on.worldcat.org/oclc/587030314","Catalog Record")</f>
        <v>Catalog Record</v>
      </c>
      <c r="AW6394" s="6" t="str">
        <f>HYPERLINK("http://www.worldcat.org/oclc/587030314","WorldCat Record")</f>
        <v>WorldCat Record</v>
      </c>
      <c r="AX6394" s="3" t="s">
        <v>61602</v>
      </c>
      <c r="AY6394" s="3" t="s">
        <v>61603</v>
      </c>
      <c r="AZ6394" s="3" t="s">
        <v>61604</v>
      </c>
      <c r="BA6394" s="3" t="s">
        <v>61604</v>
      </c>
      <c r="BB6394" s="3" t="s">
        <v>61605</v>
      </c>
      <c r="BC6394" s="3" t="s">
        <v>142</v>
      </c>
      <c r="BD6394" s="3" t="s">
        <v>68</v>
      </c>
      <c r="BE6394" s="3" t="s">
        <v>61606</v>
      </c>
      <c r="BF6394" s="3" t="s">
        <v>61605</v>
      </c>
      <c r="BG6394" s="3" t="s">
        <v>61607</v>
      </c>
    </row>
    <row r="6395" spans="1:59" ht="71.25" x14ac:dyDescent="0.45">
      <c r="A6395" s="2" t="s">
        <v>59</v>
      </c>
      <c r="B6395" s="2" t="s">
        <v>60</v>
      </c>
      <c r="C6395" s="2" t="s">
        <v>61608</v>
      </c>
      <c r="D6395" s="2" t="s">
        <v>61609</v>
      </c>
      <c r="E6395" s="2" t="s">
        <v>61610</v>
      </c>
      <c r="G6395" s="3" t="s">
        <v>62</v>
      </c>
      <c r="I6395" s="3" t="s">
        <v>62</v>
      </c>
      <c r="J6395" s="3" t="s">
        <v>62</v>
      </c>
      <c r="K6395" s="3" t="s">
        <v>63</v>
      </c>
      <c r="L6395" s="2" t="s">
        <v>61611</v>
      </c>
      <c r="M6395" s="2" t="s">
        <v>61612</v>
      </c>
      <c r="N6395" s="3" t="s">
        <v>918</v>
      </c>
      <c r="P6395" s="3" t="s">
        <v>65</v>
      </c>
      <c r="Q6395" s="2" t="s">
        <v>61613</v>
      </c>
      <c r="R6395" s="3" t="s">
        <v>66</v>
      </c>
      <c r="S6395" s="4">
        <v>8</v>
      </c>
      <c r="T6395" s="4">
        <v>8</v>
      </c>
      <c r="U6395" s="5" t="s">
        <v>17596</v>
      </c>
      <c r="V6395" s="5" t="s">
        <v>17596</v>
      </c>
      <c r="W6395" s="5" t="s">
        <v>67</v>
      </c>
      <c r="X6395" s="5" t="s">
        <v>67</v>
      </c>
      <c r="Y6395" s="4">
        <v>94</v>
      </c>
      <c r="Z6395" s="4">
        <v>5</v>
      </c>
      <c r="AA6395" s="4">
        <v>7</v>
      </c>
      <c r="AB6395" s="4">
        <v>2</v>
      </c>
      <c r="AC6395" s="4">
        <v>4</v>
      </c>
      <c r="AD6395" s="4">
        <v>9</v>
      </c>
      <c r="AE6395" s="4">
        <v>11</v>
      </c>
      <c r="AF6395" s="4">
        <v>1</v>
      </c>
      <c r="AG6395" s="4">
        <v>3</v>
      </c>
      <c r="AH6395" s="4">
        <v>7</v>
      </c>
      <c r="AI6395" s="4">
        <v>7</v>
      </c>
      <c r="AJ6395" s="4">
        <v>3</v>
      </c>
      <c r="AK6395" s="4">
        <v>4</v>
      </c>
      <c r="AL6395" s="4">
        <v>4</v>
      </c>
      <c r="AM6395" s="4">
        <v>4</v>
      </c>
      <c r="AN6395" s="4">
        <v>0</v>
      </c>
      <c r="AO6395" s="4">
        <v>0</v>
      </c>
      <c r="AP6395" s="4">
        <v>3</v>
      </c>
      <c r="AQ6395" s="4">
        <v>4</v>
      </c>
      <c r="AR6395" s="3" t="s">
        <v>62</v>
      </c>
      <c r="AS6395" s="3" t="s">
        <v>62</v>
      </c>
      <c r="AT6395" s="3" t="s">
        <v>61</v>
      </c>
      <c r="AU6395" s="6" t="str">
        <f>HYPERLINK("http://catalog.hathitrust.org/Record/102575573","HathiTrust Record")</f>
        <v>HathiTrust Record</v>
      </c>
      <c r="AV6395" s="6" t="str">
        <f>HYPERLINK("http://mcgill.on.worldcat.org/oclc/51323591","Catalog Record")</f>
        <v>Catalog Record</v>
      </c>
      <c r="AW6395" s="6" t="str">
        <f>HYPERLINK("http://www.worldcat.org/oclc/51323591","WorldCat Record")</f>
        <v>WorldCat Record</v>
      </c>
      <c r="AX6395" s="3" t="s">
        <v>61614</v>
      </c>
      <c r="AY6395" s="3" t="s">
        <v>61615</v>
      </c>
      <c r="AZ6395" s="3" t="s">
        <v>61616</v>
      </c>
      <c r="BA6395" s="3" t="s">
        <v>61616</v>
      </c>
      <c r="BB6395" s="3" t="s">
        <v>61617</v>
      </c>
      <c r="BC6395" s="3" t="s">
        <v>142</v>
      </c>
      <c r="BD6395" s="3" t="s">
        <v>68</v>
      </c>
      <c r="BE6395" s="3" t="s">
        <v>61618</v>
      </c>
      <c r="BF6395" s="3" t="s">
        <v>61617</v>
      </c>
      <c r="BG6395" s="3" t="s">
        <v>61619</v>
      </c>
    </row>
    <row r="6396" spans="1:59" ht="57" x14ac:dyDescent="0.45">
      <c r="A6396" s="2" t="s">
        <v>59</v>
      </c>
      <c r="B6396" s="2" t="s">
        <v>60</v>
      </c>
      <c r="C6396" s="2" t="s">
        <v>61620</v>
      </c>
      <c r="D6396" s="2" t="s">
        <v>61621</v>
      </c>
      <c r="E6396" s="2" t="s">
        <v>61622</v>
      </c>
      <c r="G6396" s="3" t="s">
        <v>62</v>
      </c>
      <c r="I6396" s="3" t="s">
        <v>62</v>
      </c>
      <c r="J6396" s="3" t="s">
        <v>62</v>
      </c>
      <c r="K6396" s="3" t="s">
        <v>63</v>
      </c>
      <c r="L6396" s="2" t="s">
        <v>31269</v>
      </c>
      <c r="M6396" s="2" t="s">
        <v>3679</v>
      </c>
      <c r="N6396" s="3" t="s">
        <v>918</v>
      </c>
      <c r="P6396" s="3" t="s">
        <v>65</v>
      </c>
      <c r="R6396" s="3" t="s">
        <v>66</v>
      </c>
      <c r="S6396" s="4">
        <v>49</v>
      </c>
      <c r="T6396" s="4">
        <v>49</v>
      </c>
      <c r="U6396" s="5" t="s">
        <v>21727</v>
      </c>
      <c r="V6396" s="5" t="s">
        <v>21727</v>
      </c>
      <c r="W6396" s="5" t="s">
        <v>67</v>
      </c>
      <c r="X6396" s="5" t="s">
        <v>67</v>
      </c>
      <c r="Y6396" s="4">
        <v>280</v>
      </c>
      <c r="Z6396" s="4">
        <v>22</v>
      </c>
      <c r="AA6396" s="4">
        <v>80</v>
      </c>
      <c r="AB6396" s="4">
        <v>3</v>
      </c>
      <c r="AC6396" s="4">
        <v>15</v>
      </c>
      <c r="AD6396" s="4">
        <v>85</v>
      </c>
      <c r="AE6396" s="4">
        <v>127</v>
      </c>
      <c r="AF6396" s="4">
        <v>2</v>
      </c>
      <c r="AG6396" s="4">
        <v>8</v>
      </c>
      <c r="AH6396" s="4">
        <v>75</v>
      </c>
      <c r="AI6396" s="4">
        <v>93</v>
      </c>
      <c r="AJ6396" s="4">
        <v>15</v>
      </c>
      <c r="AK6396" s="4">
        <v>25</v>
      </c>
      <c r="AL6396" s="4">
        <v>44</v>
      </c>
      <c r="AM6396" s="4">
        <v>50</v>
      </c>
      <c r="AN6396" s="4">
        <v>0</v>
      </c>
      <c r="AO6396" s="4">
        <v>0</v>
      </c>
      <c r="AP6396" s="4">
        <v>18</v>
      </c>
      <c r="AQ6396" s="4">
        <v>43</v>
      </c>
      <c r="AR6396" s="3" t="s">
        <v>62</v>
      </c>
      <c r="AS6396" s="3" t="s">
        <v>62</v>
      </c>
      <c r="AT6396" s="3" t="s">
        <v>62</v>
      </c>
      <c r="AV6396" s="6" t="str">
        <f>HYPERLINK("http://mcgill.on.worldcat.org/oclc/51963479","Catalog Record")</f>
        <v>Catalog Record</v>
      </c>
      <c r="AW6396" s="6" t="str">
        <f>HYPERLINK("http://www.worldcat.org/oclc/51963479","WorldCat Record")</f>
        <v>WorldCat Record</v>
      </c>
      <c r="AX6396" s="3" t="s">
        <v>61623</v>
      </c>
      <c r="AY6396" s="3" t="s">
        <v>61624</v>
      </c>
      <c r="AZ6396" s="3" t="s">
        <v>61625</v>
      </c>
      <c r="BA6396" s="3" t="s">
        <v>61625</v>
      </c>
      <c r="BB6396" s="3" t="s">
        <v>61626</v>
      </c>
      <c r="BC6396" s="3" t="s">
        <v>142</v>
      </c>
      <c r="BD6396" s="3" t="s">
        <v>68</v>
      </c>
      <c r="BE6396" s="3" t="s">
        <v>61627</v>
      </c>
      <c r="BF6396" s="3" t="s">
        <v>61626</v>
      </c>
      <c r="BG6396" s="3" t="s">
        <v>61628</v>
      </c>
    </row>
    <row r="6397" spans="1:59" ht="57" x14ac:dyDescent="0.45">
      <c r="A6397" s="2" t="s">
        <v>59</v>
      </c>
      <c r="B6397" s="2" t="s">
        <v>60</v>
      </c>
      <c r="C6397" s="2" t="s">
        <v>61629</v>
      </c>
      <c r="D6397" s="2" t="s">
        <v>61630</v>
      </c>
      <c r="E6397" s="2" t="s">
        <v>61631</v>
      </c>
      <c r="G6397" s="3" t="s">
        <v>62</v>
      </c>
      <c r="I6397" s="3" t="s">
        <v>62</v>
      </c>
      <c r="J6397" s="3" t="s">
        <v>62</v>
      </c>
      <c r="K6397" s="3" t="s">
        <v>63</v>
      </c>
      <c r="M6397" s="2" t="s">
        <v>61632</v>
      </c>
      <c r="N6397" s="3" t="s">
        <v>181</v>
      </c>
      <c r="P6397" s="3" t="s">
        <v>110</v>
      </c>
      <c r="Q6397" s="2" t="s">
        <v>59839</v>
      </c>
      <c r="R6397" s="3" t="s">
        <v>66</v>
      </c>
      <c r="S6397" s="4">
        <v>0</v>
      </c>
      <c r="T6397" s="4">
        <v>0</v>
      </c>
      <c r="W6397" s="5" t="s">
        <v>67</v>
      </c>
      <c r="X6397" s="5" t="s">
        <v>67</v>
      </c>
      <c r="Y6397" s="4">
        <v>12</v>
      </c>
      <c r="Z6397" s="4">
        <v>4</v>
      </c>
      <c r="AA6397" s="4">
        <v>7</v>
      </c>
      <c r="AB6397" s="4">
        <v>1</v>
      </c>
      <c r="AC6397" s="4">
        <v>3</v>
      </c>
      <c r="AD6397" s="4">
        <v>9</v>
      </c>
      <c r="AE6397" s="4">
        <v>11</v>
      </c>
      <c r="AF6397" s="4">
        <v>0</v>
      </c>
      <c r="AG6397" s="4">
        <v>1</v>
      </c>
      <c r="AH6397" s="4">
        <v>8</v>
      </c>
      <c r="AI6397" s="4">
        <v>9</v>
      </c>
      <c r="AJ6397" s="4">
        <v>3</v>
      </c>
      <c r="AK6397" s="4">
        <v>4</v>
      </c>
      <c r="AL6397" s="4">
        <v>5</v>
      </c>
      <c r="AM6397" s="4">
        <v>5</v>
      </c>
      <c r="AN6397" s="4">
        <v>0</v>
      </c>
      <c r="AO6397" s="4">
        <v>0</v>
      </c>
      <c r="AP6397" s="4">
        <v>3</v>
      </c>
      <c r="AQ6397" s="4">
        <v>5</v>
      </c>
      <c r="AR6397" s="3" t="s">
        <v>62</v>
      </c>
      <c r="AS6397" s="3" t="s">
        <v>62</v>
      </c>
      <c r="AT6397" s="3" t="s">
        <v>62</v>
      </c>
      <c r="AV6397" s="6" t="str">
        <f>HYPERLINK("http://mcgill.on.worldcat.org/oclc/964293799","Catalog Record")</f>
        <v>Catalog Record</v>
      </c>
      <c r="AW6397" s="6" t="str">
        <f>HYPERLINK("http://www.worldcat.org/oclc/964293799","WorldCat Record")</f>
        <v>WorldCat Record</v>
      </c>
      <c r="AX6397" s="3" t="s">
        <v>61633</v>
      </c>
      <c r="AY6397" s="3" t="s">
        <v>61634</v>
      </c>
      <c r="AZ6397" s="3" t="s">
        <v>61635</v>
      </c>
      <c r="BA6397" s="3" t="s">
        <v>61635</v>
      </c>
      <c r="BB6397" s="3" t="s">
        <v>61636</v>
      </c>
      <c r="BC6397" s="3" t="s">
        <v>142</v>
      </c>
      <c r="BD6397" s="3" t="s">
        <v>68</v>
      </c>
      <c r="BE6397" s="3" t="s">
        <v>61637</v>
      </c>
      <c r="BF6397" s="3" t="s">
        <v>61636</v>
      </c>
      <c r="BG6397" s="3" t="s">
        <v>61638</v>
      </c>
    </row>
    <row r="6398" spans="1:59" ht="57" x14ac:dyDescent="0.45">
      <c r="A6398" s="2" t="s">
        <v>59</v>
      </c>
      <c r="B6398" s="2" t="s">
        <v>60</v>
      </c>
      <c r="C6398" s="2" t="s">
        <v>61639</v>
      </c>
      <c r="D6398" s="2" t="s">
        <v>61640</v>
      </c>
      <c r="E6398" s="2" t="s">
        <v>61641</v>
      </c>
      <c r="G6398" s="3" t="s">
        <v>62</v>
      </c>
      <c r="I6398" s="3" t="s">
        <v>62</v>
      </c>
      <c r="J6398" s="3" t="s">
        <v>62</v>
      </c>
      <c r="K6398" s="3" t="s">
        <v>63</v>
      </c>
      <c r="M6398" s="2" t="s">
        <v>11338</v>
      </c>
      <c r="N6398" s="3" t="s">
        <v>1918</v>
      </c>
      <c r="P6398" s="3" t="s">
        <v>110</v>
      </c>
      <c r="Q6398" s="2" t="s">
        <v>61642</v>
      </c>
      <c r="R6398" s="3" t="s">
        <v>66</v>
      </c>
      <c r="S6398" s="4">
        <v>2</v>
      </c>
      <c r="T6398" s="4">
        <v>2</v>
      </c>
      <c r="U6398" s="5" t="s">
        <v>3232</v>
      </c>
      <c r="V6398" s="5" t="s">
        <v>3232</v>
      </c>
      <c r="W6398" s="5" t="s">
        <v>67</v>
      </c>
      <c r="X6398" s="5" t="s">
        <v>67</v>
      </c>
      <c r="Y6398" s="4">
        <v>25</v>
      </c>
      <c r="Z6398" s="4">
        <v>3</v>
      </c>
      <c r="AA6398" s="4">
        <v>4</v>
      </c>
      <c r="AB6398" s="4">
        <v>1</v>
      </c>
      <c r="AC6398" s="4">
        <v>2</v>
      </c>
      <c r="AD6398" s="4">
        <v>16</v>
      </c>
      <c r="AE6398" s="4">
        <v>17</v>
      </c>
      <c r="AF6398" s="4">
        <v>0</v>
      </c>
      <c r="AG6398" s="4">
        <v>1</v>
      </c>
      <c r="AH6398" s="4">
        <v>14</v>
      </c>
      <c r="AI6398" s="4">
        <v>14</v>
      </c>
      <c r="AJ6398" s="4">
        <v>2</v>
      </c>
      <c r="AK6398" s="4">
        <v>3</v>
      </c>
      <c r="AL6398" s="4">
        <v>11</v>
      </c>
      <c r="AM6398" s="4">
        <v>11</v>
      </c>
      <c r="AN6398" s="4">
        <v>0</v>
      </c>
      <c r="AO6398" s="4">
        <v>0</v>
      </c>
      <c r="AP6398" s="4">
        <v>2</v>
      </c>
      <c r="AQ6398" s="4">
        <v>2</v>
      </c>
      <c r="AR6398" s="3" t="s">
        <v>62</v>
      </c>
      <c r="AS6398" s="3" t="s">
        <v>62</v>
      </c>
      <c r="AT6398" s="3" t="s">
        <v>62</v>
      </c>
      <c r="AV6398" s="6" t="str">
        <f>HYPERLINK("http://mcgill.on.worldcat.org/oclc/1011163715","Catalog Record")</f>
        <v>Catalog Record</v>
      </c>
      <c r="AW6398" s="6" t="str">
        <f>HYPERLINK("http://www.worldcat.org/oclc/1011163715","WorldCat Record")</f>
        <v>WorldCat Record</v>
      </c>
      <c r="AX6398" s="3" t="s">
        <v>61643</v>
      </c>
      <c r="AY6398" s="3" t="s">
        <v>61644</v>
      </c>
      <c r="AZ6398" s="3" t="s">
        <v>61645</v>
      </c>
      <c r="BA6398" s="3" t="s">
        <v>61645</v>
      </c>
      <c r="BB6398" s="3" t="s">
        <v>61646</v>
      </c>
      <c r="BC6398" s="3" t="s">
        <v>142</v>
      </c>
      <c r="BD6398" s="3" t="s">
        <v>68</v>
      </c>
      <c r="BE6398" s="3" t="s">
        <v>61647</v>
      </c>
      <c r="BF6398" s="3" t="s">
        <v>61646</v>
      </c>
      <c r="BG6398" s="3" t="s">
        <v>61648</v>
      </c>
    </row>
    <row r="6399" spans="1:59" ht="57" x14ac:dyDescent="0.45">
      <c r="A6399" s="2" t="s">
        <v>59</v>
      </c>
      <c r="B6399" s="2" t="s">
        <v>60</v>
      </c>
      <c r="C6399" s="2" t="s">
        <v>61649</v>
      </c>
      <c r="D6399" s="2" t="s">
        <v>61650</v>
      </c>
      <c r="E6399" s="2" t="s">
        <v>61651</v>
      </c>
      <c r="G6399" s="3" t="s">
        <v>62</v>
      </c>
      <c r="I6399" s="3" t="s">
        <v>62</v>
      </c>
      <c r="J6399" s="3" t="s">
        <v>62</v>
      </c>
      <c r="K6399" s="3" t="s">
        <v>63</v>
      </c>
      <c r="M6399" s="2" t="s">
        <v>61652</v>
      </c>
      <c r="N6399" s="3" t="s">
        <v>149</v>
      </c>
      <c r="P6399" s="3" t="s">
        <v>65</v>
      </c>
      <c r="Q6399" s="2" t="s">
        <v>61653</v>
      </c>
      <c r="R6399" s="3" t="s">
        <v>66</v>
      </c>
      <c r="S6399" s="4">
        <v>2</v>
      </c>
      <c r="T6399" s="4">
        <v>2</v>
      </c>
      <c r="U6399" s="5" t="s">
        <v>12722</v>
      </c>
      <c r="V6399" s="5" t="s">
        <v>12722</v>
      </c>
      <c r="W6399" s="5" t="s">
        <v>67</v>
      </c>
      <c r="X6399" s="5" t="s">
        <v>67</v>
      </c>
      <c r="Y6399" s="4">
        <v>15</v>
      </c>
      <c r="Z6399" s="4">
        <v>1</v>
      </c>
      <c r="AA6399" s="4">
        <v>1</v>
      </c>
      <c r="AB6399" s="4">
        <v>1</v>
      </c>
      <c r="AC6399" s="4">
        <v>1</v>
      </c>
      <c r="AD6399" s="4">
        <v>1</v>
      </c>
      <c r="AE6399" s="4">
        <v>2</v>
      </c>
      <c r="AF6399" s="4">
        <v>0</v>
      </c>
      <c r="AG6399" s="4">
        <v>0</v>
      </c>
      <c r="AH6399" s="4">
        <v>1</v>
      </c>
      <c r="AI6399" s="4">
        <v>2</v>
      </c>
      <c r="AJ6399" s="4">
        <v>0</v>
      </c>
      <c r="AK6399" s="4">
        <v>0</v>
      </c>
      <c r="AL6399" s="4">
        <v>1</v>
      </c>
      <c r="AM6399" s="4">
        <v>2</v>
      </c>
      <c r="AN6399" s="4">
        <v>0</v>
      </c>
      <c r="AO6399" s="4">
        <v>0</v>
      </c>
      <c r="AP6399" s="4">
        <v>0</v>
      </c>
      <c r="AQ6399" s="4">
        <v>0</v>
      </c>
      <c r="AR6399" s="3" t="s">
        <v>62</v>
      </c>
      <c r="AS6399" s="3" t="s">
        <v>62</v>
      </c>
      <c r="AT6399" s="3" t="s">
        <v>62</v>
      </c>
      <c r="AV6399" s="6" t="str">
        <f>HYPERLINK("http://mcgill.on.worldcat.org/oclc/772500659","Catalog Record")</f>
        <v>Catalog Record</v>
      </c>
      <c r="AW6399" s="6" t="str">
        <f>HYPERLINK("http://www.worldcat.org/oclc/772500659","WorldCat Record")</f>
        <v>WorldCat Record</v>
      </c>
      <c r="AX6399" s="3" t="s">
        <v>61654</v>
      </c>
      <c r="AY6399" s="3" t="s">
        <v>61655</v>
      </c>
      <c r="AZ6399" s="3" t="s">
        <v>61656</v>
      </c>
      <c r="BA6399" s="3" t="s">
        <v>61656</v>
      </c>
      <c r="BB6399" s="3" t="s">
        <v>61657</v>
      </c>
      <c r="BC6399" s="3" t="s">
        <v>142</v>
      </c>
      <c r="BD6399" s="3" t="s">
        <v>68</v>
      </c>
      <c r="BE6399" s="3" t="s">
        <v>61658</v>
      </c>
      <c r="BF6399" s="3" t="s">
        <v>61657</v>
      </c>
      <c r="BG6399" s="3" t="s">
        <v>61659</v>
      </c>
    </row>
    <row r="6400" spans="1:59" ht="57" x14ac:dyDescent="0.45">
      <c r="A6400" s="2" t="s">
        <v>59</v>
      </c>
      <c r="B6400" s="2" t="s">
        <v>60</v>
      </c>
      <c r="C6400" s="2" t="s">
        <v>61660</v>
      </c>
      <c r="D6400" s="2" t="s">
        <v>61661</v>
      </c>
      <c r="E6400" s="2" t="s">
        <v>61662</v>
      </c>
      <c r="G6400" s="3" t="s">
        <v>62</v>
      </c>
      <c r="I6400" s="3" t="s">
        <v>62</v>
      </c>
      <c r="J6400" s="3" t="s">
        <v>62</v>
      </c>
      <c r="K6400" s="3" t="s">
        <v>63</v>
      </c>
      <c r="M6400" s="2" t="s">
        <v>4405</v>
      </c>
      <c r="N6400" s="3" t="s">
        <v>945</v>
      </c>
      <c r="P6400" s="3" t="s">
        <v>65</v>
      </c>
      <c r="R6400" s="3" t="s">
        <v>66</v>
      </c>
      <c r="S6400" s="4">
        <v>5</v>
      </c>
      <c r="T6400" s="4">
        <v>5</v>
      </c>
      <c r="U6400" s="5" t="s">
        <v>16325</v>
      </c>
      <c r="V6400" s="5" t="s">
        <v>16325</v>
      </c>
      <c r="W6400" s="5" t="s">
        <v>67</v>
      </c>
      <c r="X6400" s="5" t="s">
        <v>67</v>
      </c>
      <c r="Y6400" s="4">
        <v>59</v>
      </c>
      <c r="Z6400" s="4">
        <v>9</v>
      </c>
      <c r="AA6400" s="4">
        <v>81</v>
      </c>
      <c r="AB6400" s="4">
        <v>1</v>
      </c>
      <c r="AC6400" s="4">
        <v>14</v>
      </c>
      <c r="AD6400" s="4">
        <v>20</v>
      </c>
      <c r="AE6400" s="4">
        <v>86</v>
      </c>
      <c r="AF6400" s="4">
        <v>0</v>
      </c>
      <c r="AG6400" s="4">
        <v>8</v>
      </c>
      <c r="AH6400" s="4">
        <v>19</v>
      </c>
      <c r="AI6400" s="4">
        <v>56</v>
      </c>
      <c r="AJ6400" s="4">
        <v>7</v>
      </c>
      <c r="AK6400" s="4">
        <v>20</v>
      </c>
      <c r="AL6400" s="4">
        <v>11</v>
      </c>
      <c r="AM6400" s="4">
        <v>27</v>
      </c>
      <c r="AN6400" s="4">
        <v>0</v>
      </c>
      <c r="AO6400" s="4">
        <v>0</v>
      </c>
      <c r="AP6400" s="4">
        <v>7</v>
      </c>
      <c r="AQ6400" s="4">
        <v>40</v>
      </c>
      <c r="AR6400" s="3" t="s">
        <v>62</v>
      </c>
      <c r="AS6400" s="3" t="s">
        <v>62</v>
      </c>
      <c r="AT6400" s="3" t="s">
        <v>62</v>
      </c>
      <c r="AV6400" s="6" t="str">
        <f>HYPERLINK("http://mcgill.on.worldcat.org/oclc/85898396","Catalog Record")</f>
        <v>Catalog Record</v>
      </c>
      <c r="AW6400" s="6" t="str">
        <f>HYPERLINK("http://www.worldcat.org/oclc/85898396","WorldCat Record")</f>
        <v>WorldCat Record</v>
      </c>
      <c r="AX6400" s="3" t="s">
        <v>61663</v>
      </c>
      <c r="AY6400" s="3" t="s">
        <v>61664</v>
      </c>
      <c r="AZ6400" s="3" t="s">
        <v>61665</v>
      </c>
      <c r="BA6400" s="3" t="s">
        <v>61665</v>
      </c>
      <c r="BB6400" s="3" t="s">
        <v>61666</v>
      </c>
      <c r="BC6400" s="3" t="s">
        <v>142</v>
      </c>
      <c r="BD6400" s="3" t="s">
        <v>68</v>
      </c>
      <c r="BE6400" s="3" t="s">
        <v>61667</v>
      </c>
      <c r="BF6400" s="3" t="s">
        <v>61666</v>
      </c>
      <c r="BG6400" s="3" t="s">
        <v>61668</v>
      </c>
    </row>
    <row r="6401" spans="1:59" ht="57" x14ac:dyDescent="0.45">
      <c r="A6401" s="2" t="s">
        <v>59</v>
      </c>
      <c r="B6401" s="2" t="s">
        <v>60</v>
      </c>
      <c r="C6401" s="2" t="s">
        <v>61669</v>
      </c>
      <c r="D6401" s="2" t="s">
        <v>61670</v>
      </c>
      <c r="E6401" s="2" t="s">
        <v>61671</v>
      </c>
      <c r="G6401" s="3" t="s">
        <v>62</v>
      </c>
      <c r="I6401" s="3" t="s">
        <v>62</v>
      </c>
      <c r="J6401" s="3" t="s">
        <v>62</v>
      </c>
      <c r="K6401" s="3" t="s">
        <v>63</v>
      </c>
      <c r="M6401" s="2" t="s">
        <v>2786</v>
      </c>
      <c r="N6401" s="3" t="s">
        <v>945</v>
      </c>
      <c r="P6401" s="3" t="s">
        <v>65</v>
      </c>
      <c r="Q6401" s="2" t="s">
        <v>61672</v>
      </c>
      <c r="R6401" s="3" t="s">
        <v>66</v>
      </c>
      <c r="S6401" s="4">
        <v>19</v>
      </c>
      <c r="T6401" s="4">
        <v>19</v>
      </c>
      <c r="U6401" s="5" t="s">
        <v>3232</v>
      </c>
      <c r="V6401" s="5" t="s">
        <v>3232</v>
      </c>
      <c r="W6401" s="5" t="s">
        <v>67</v>
      </c>
      <c r="X6401" s="5" t="s">
        <v>67</v>
      </c>
      <c r="Y6401" s="4">
        <v>153</v>
      </c>
      <c r="Z6401" s="4">
        <v>13</v>
      </c>
      <c r="AA6401" s="4">
        <v>96</v>
      </c>
      <c r="AB6401" s="4">
        <v>2</v>
      </c>
      <c r="AC6401" s="4">
        <v>17</v>
      </c>
      <c r="AD6401" s="4">
        <v>46</v>
      </c>
      <c r="AE6401" s="4">
        <v>115</v>
      </c>
      <c r="AF6401" s="4">
        <v>1</v>
      </c>
      <c r="AG6401" s="4">
        <v>8</v>
      </c>
      <c r="AH6401" s="4">
        <v>41</v>
      </c>
      <c r="AI6401" s="4">
        <v>79</v>
      </c>
      <c r="AJ6401" s="4">
        <v>10</v>
      </c>
      <c r="AK6401" s="4">
        <v>22</v>
      </c>
      <c r="AL6401" s="4">
        <v>28</v>
      </c>
      <c r="AM6401" s="4">
        <v>43</v>
      </c>
      <c r="AN6401" s="4">
        <v>0</v>
      </c>
      <c r="AO6401" s="4">
        <v>0</v>
      </c>
      <c r="AP6401" s="4">
        <v>11</v>
      </c>
      <c r="AQ6401" s="4">
        <v>44</v>
      </c>
      <c r="AR6401" s="3" t="s">
        <v>62</v>
      </c>
      <c r="AS6401" s="3" t="s">
        <v>62</v>
      </c>
      <c r="AT6401" s="3" t="s">
        <v>62</v>
      </c>
      <c r="AV6401" s="6" t="str">
        <f>HYPERLINK("http://mcgill.on.worldcat.org/oclc/166390089","Catalog Record")</f>
        <v>Catalog Record</v>
      </c>
      <c r="AW6401" s="6" t="str">
        <f>HYPERLINK("http://www.worldcat.org/oclc/166390089","WorldCat Record")</f>
        <v>WorldCat Record</v>
      </c>
      <c r="AX6401" s="3" t="s">
        <v>61673</v>
      </c>
      <c r="AY6401" s="3" t="s">
        <v>61674</v>
      </c>
      <c r="AZ6401" s="3" t="s">
        <v>61675</v>
      </c>
      <c r="BA6401" s="3" t="s">
        <v>61675</v>
      </c>
      <c r="BB6401" s="3" t="s">
        <v>61676</v>
      </c>
      <c r="BC6401" s="3" t="s">
        <v>142</v>
      </c>
      <c r="BD6401" s="3" t="s">
        <v>308</v>
      </c>
      <c r="BE6401" s="3" t="s">
        <v>61677</v>
      </c>
      <c r="BF6401" s="3" t="s">
        <v>61676</v>
      </c>
      <c r="BG6401" s="3" t="s">
        <v>61678</v>
      </c>
    </row>
    <row r="6402" spans="1:59" ht="57" x14ac:dyDescent="0.45">
      <c r="A6402" s="2" t="s">
        <v>59</v>
      </c>
      <c r="B6402" s="2" t="s">
        <v>60</v>
      </c>
      <c r="C6402" s="2" t="s">
        <v>61679</v>
      </c>
      <c r="D6402" s="2" t="s">
        <v>61680</v>
      </c>
      <c r="E6402" s="2" t="s">
        <v>61681</v>
      </c>
      <c r="G6402" s="3" t="s">
        <v>62</v>
      </c>
      <c r="I6402" s="3" t="s">
        <v>62</v>
      </c>
      <c r="J6402" s="3" t="s">
        <v>62</v>
      </c>
      <c r="K6402" s="3" t="s">
        <v>63</v>
      </c>
      <c r="L6402" s="2" t="s">
        <v>31269</v>
      </c>
      <c r="M6402" s="2" t="s">
        <v>6523</v>
      </c>
      <c r="N6402" s="3" t="s">
        <v>1059</v>
      </c>
      <c r="P6402" s="3" t="s">
        <v>65</v>
      </c>
      <c r="R6402" s="3" t="s">
        <v>66</v>
      </c>
      <c r="S6402" s="4">
        <v>24</v>
      </c>
      <c r="T6402" s="4">
        <v>24</v>
      </c>
      <c r="U6402" s="5" t="s">
        <v>3232</v>
      </c>
      <c r="V6402" s="5" t="s">
        <v>3232</v>
      </c>
      <c r="W6402" s="5" t="s">
        <v>67</v>
      </c>
      <c r="X6402" s="5" t="s">
        <v>67</v>
      </c>
      <c r="Y6402" s="4">
        <v>252</v>
      </c>
      <c r="Z6402" s="4">
        <v>21</v>
      </c>
      <c r="AA6402" s="4">
        <v>66</v>
      </c>
      <c r="AB6402" s="4">
        <v>2</v>
      </c>
      <c r="AC6402" s="4">
        <v>18</v>
      </c>
      <c r="AD6402" s="4">
        <v>80</v>
      </c>
      <c r="AE6402" s="4">
        <v>115</v>
      </c>
      <c r="AF6402" s="4">
        <v>1</v>
      </c>
      <c r="AG6402" s="4">
        <v>8</v>
      </c>
      <c r="AH6402" s="4">
        <v>71</v>
      </c>
      <c r="AI6402" s="4">
        <v>75</v>
      </c>
      <c r="AJ6402" s="4">
        <v>17</v>
      </c>
      <c r="AK6402" s="4">
        <v>26</v>
      </c>
      <c r="AL6402" s="4">
        <v>38</v>
      </c>
      <c r="AM6402" s="4">
        <v>38</v>
      </c>
      <c r="AN6402" s="4">
        <v>0</v>
      </c>
      <c r="AO6402" s="4">
        <v>0</v>
      </c>
      <c r="AP6402" s="4">
        <v>18</v>
      </c>
      <c r="AQ6402" s="4">
        <v>50</v>
      </c>
      <c r="AR6402" s="3" t="s">
        <v>62</v>
      </c>
      <c r="AS6402" s="3" t="s">
        <v>62</v>
      </c>
      <c r="AT6402" s="3" t="s">
        <v>62</v>
      </c>
      <c r="AV6402" s="6" t="str">
        <f>HYPERLINK("http://mcgill.on.worldcat.org/oclc/62161246","Catalog Record")</f>
        <v>Catalog Record</v>
      </c>
      <c r="AW6402" s="6" t="str">
        <f>HYPERLINK("http://www.worldcat.org/oclc/62161246","WorldCat Record")</f>
        <v>WorldCat Record</v>
      </c>
      <c r="AX6402" s="3" t="s">
        <v>61682</v>
      </c>
      <c r="AY6402" s="3" t="s">
        <v>61683</v>
      </c>
      <c r="AZ6402" s="3" t="s">
        <v>61684</v>
      </c>
      <c r="BA6402" s="3" t="s">
        <v>61684</v>
      </c>
      <c r="BB6402" s="3" t="s">
        <v>61685</v>
      </c>
      <c r="BC6402" s="3" t="s">
        <v>142</v>
      </c>
      <c r="BD6402" s="3" t="s">
        <v>308</v>
      </c>
      <c r="BE6402" s="3" t="s">
        <v>61686</v>
      </c>
      <c r="BF6402" s="3" t="s">
        <v>61685</v>
      </c>
      <c r="BG6402" s="3" t="s">
        <v>61687</v>
      </c>
    </row>
    <row r="6403" spans="1:59" ht="57" x14ac:dyDescent="0.45">
      <c r="A6403" s="2" t="s">
        <v>59</v>
      </c>
      <c r="B6403" s="2" t="s">
        <v>60</v>
      </c>
      <c r="C6403" s="2" t="s">
        <v>61688</v>
      </c>
      <c r="D6403" s="2" t="s">
        <v>61689</v>
      </c>
      <c r="E6403" s="2" t="s">
        <v>61690</v>
      </c>
      <c r="G6403" s="3" t="s">
        <v>62</v>
      </c>
      <c r="I6403" s="3" t="s">
        <v>62</v>
      </c>
      <c r="J6403" s="3" t="s">
        <v>62</v>
      </c>
      <c r="K6403" s="3" t="s">
        <v>63</v>
      </c>
      <c r="L6403" s="2" t="s">
        <v>61691</v>
      </c>
      <c r="M6403" s="2" t="s">
        <v>25115</v>
      </c>
      <c r="N6403" s="3" t="s">
        <v>116</v>
      </c>
      <c r="P6403" s="3" t="s">
        <v>65</v>
      </c>
      <c r="R6403" s="3" t="s">
        <v>66</v>
      </c>
      <c r="S6403" s="4">
        <v>1</v>
      </c>
      <c r="T6403" s="4">
        <v>1</v>
      </c>
      <c r="U6403" s="5" t="s">
        <v>42646</v>
      </c>
      <c r="V6403" s="5" t="s">
        <v>42646</v>
      </c>
      <c r="W6403" s="5" t="s">
        <v>67</v>
      </c>
      <c r="X6403" s="5" t="s">
        <v>67</v>
      </c>
      <c r="Y6403" s="4">
        <v>139</v>
      </c>
      <c r="Z6403" s="4">
        <v>16</v>
      </c>
      <c r="AA6403" s="4">
        <v>23</v>
      </c>
      <c r="AB6403" s="4">
        <v>2</v>
      </c>
      <c r="AC6403" s="4">
        <v>8</v>
      </c>
      <c r="AD6403" s="4">
        <v>57</v>
      </c>
      <c r="AE6403" s="4">
        <v>63</v>
      </c>
      <c r="AF6403" s="4">
        <v>1</v>
      </c>
      <c r="AG6403" s="4">
        <v>3</v>
      </c>
      <c r="AH6403" s="4">
        <v>51</v>
      </c>
      <c r="AI6403" s="4">
        <v>54</v>
      </c>
      <c r="AJ6403" s="4">
        <v>12</v>
      </c>
      <c r="AK6403" s="4">
        <v>13</v>
      </c>
      <c r="AL6403" s="4">
        <v>30</v>
      </c>
      <c r="AM6403" s="4">
        <v>32</v>
      </c>
      <c r="AN6403" s="4">
        <v>0</v>
      </c>
      <c r="AO6403" s="4">
        <v>0</v>
      </c>
      <c r="AP6403" s="4">
        <v>13</v>
      </c>
      <c r="AQ6403" s="4">
        <v>15</v>
      </c>
      <c r="AR6403" s="3" t="s">
        <v>62</v>
      </c>
      <c r="AS6403" s="3" t="s">
        <v>62</v>
      </c>
      <c r="AT6403" s="3" t="s">
        <v>62</v>
      </c>
      <c r="AV6403" s="6" t="str">
        <f>HYPERLINK("http://mcgill.on.worldcat.org/oclc/796753630","Catalog Record")</f>
        <v>Catalog Record</v>
      </c>
      <c r="AW6403" s="6" t="str">
        <f>HYPERLINK("http://www.worldcat.org/oclc/796753630","WorldCat Record")</f>
        <v>WorldCat Record</v>
      </c>
      <c r="AX6403" s="3" t="s">
        <v>61692</v>
      </c>
      <c r="AY6403" s="3" t="s">
        <v>61693</v>
      </c>
      <c r="AZ6403" s="3" t="s">
        <v>61694</v>
      </c>
      <c r="BA6403" s="3" t="s">
        <v>61694</v>
      </c>
      <c r="BB6403" s="3" t="s">
        <v>61695</v>
      </c>
      <c r="BC6403" s="3" t="s">
        <v>142</v>
      </c>
      <c r="BD6403" s="3" t="s">
        <v>68</v>
      </c>
      <c r="BE6403" s="3" t="s">
        <v>61696</v>
      </c>
      <c r="BF6403" s="3" t="s">
        <v>61695</v>
      </c>
      <c r="BG6403" s="3" t="s">
        <v>61697</v>
      </c>
    </row>
    <row r="6404" spans="1:59" ht="57" x14ac:dyDescent="0.45">
      <c r="A6404" s="2" t="s">
        <v>59</v>
      </c>
      <c r="B6404" s="2" t="s">
        <v>60</v>
      </c>
      <c r="C6404" s="2" t="s">
        <v>61698</v>
      </c>
      <c r="D6404" s="2" t="s">
        <v>61699</v>
      </c>
      <c r="E6404" s="2" t="s">
        <v>61700</v>
      </c>
      <c r="G6404" s="3" t="s">
        <v>62</v>
      </c>
      <c r="I6404" s="3" t="s">
        <v>62</v>
      </c>
      <c r="J6404" s="3" t="s">
        <v>62</v>
      </c>
      <c r="K6404" s="3" t="s">
        <v>63</v>
      </c>
      <c r="L6404" s="2" t="s">
        <v>61701</v>
      </c>
      <c r="M6404" s="2" t="s">
        <v>61702</v>
      </c>
      <c r="N6404" s="3" t="s">
        <v>1155</v>
      </c>
      <c r="O6404" s="2" t="s">
        <v>34660</v>
      </c>
      <c r="P6404" s="3" t="s">
        <v>65</v>
      </c>
      <c r="R6404" s="3" t="s">
        <v>66</v>
      </c>
      <c r="S6404" s="4">
        <v>13</v>
      </c>
      <c r="T6404" s="4">
        <v>13</v>
      </c>
      <c r="U6404" s="5" t="s">
        <v>40633</v>
      </c>
      <c r="V6404" s="5" t="s">
        <v>40633</v>
      </c>
      <c r="W6404" s="5" t="s">
        <v>67</v>
      </c>
      <c r="X6404" s="5" t="s">
        <v>67</v>
      </c>
      <c r="Y6404" s="4">
        <v>407</v>
      </c>
      <c r="Z6404" s="4">
        <v>12</v>
      </c>
      <c r="AA6404" s="4">
        <v>22</v>
      </c>
      <c r="AB6404" s="4">
        <v>2</v>
      </c>
      <c r="AC6404" s="4">
        <v>9</v>
      </c>
      <c r="AD6404" s="4">
        <v>47</v>
      </c>
      <c r="AE6404" s="4">
        <v>52</v>
      </c>
      <c r="AF6404" s="4">
        <v>1</v>
      </c>
      <c r="AG6404" s="4">
        <v>4</v>
      </c>
      <c r="AH6404" s="4">
        <v>42</v>
      </c>
      <c r="AI6404" s="4">
        <v>43</v>
      </c>
      <c r="AJ6404" s="4">
        <v>5</v>
      </c>
      <c r="AK6404" s="4">
        <v>7</v>
      </c>
      <c r="AL6404" s="4">
        <v>24</v>
      </c>
      <c r="AM6404" s="4">
        <v>24</v>
      </c>
      <c r="AN6404" s="4">
        <v>0</v>
      </c>
      <c r="AO6404" s="4">
        <v>0</v>
      </c>
      <c r="AP6404" s="4">
        <v>6</v>
      </c>
      <c r="AQ6404" s="4">
        <v>9</v>
      </c>
      <c r="AR6404" s="3" t="s">
        <v>62</v>
      </c>
      <c r="AS6404" s="3" t="s">
        <v>62</v>
      </c>
      <c r="AT6404" s="3" t="s">
        <v>62</v>
      </c>
      <c r="AV6404" s="6" t="str">
        <f>HYPERLINK("http://mcgill.on.worldcat.org/oclc/775418831","Catalog Record")</f>
        <v>Catalog Record</v>
      </c>
      <c r="AW6404" s="6" t="str">
        <f>HYPERLINK("http://www.worldcat.org/oclc/775418831","WorldCat Record")</f>
        <v>WorldCat Record</v>
      </c>
      <c r="AX6404" s="3" t="s">
        <v>61703</v>
      </c>
      <c r="AY6404" s="3" t="s">
        <v>61704</v>
      </c>
      <c r="AZ6404" s="3" t="s">
        <v>61705</v>
      </c>
      <c r="BA6404" s="3" t="s">
        <v>61705</v>
      </c>
      <c r="BB6404" s="3" t="s">
        <v>61706</v>
      </c>
      <c r="BC6404" s="3" t="s">
        <v>142</v>
      </c>
      <c r="BD6404" s="3" t="s">
        <v>68</v>
      </c>
      <c r="BE6404" s="3" t="s">
        <v>61707</v>
      </c>
      <c r="BF6404" s="3" t="s">
        <v>61706</v>
      </c>
      <c r="BG6404" s="3" t="s">
        <v>61708</v>
      </c>
    </row>
    <row r="6405" spans="1:59" ht="57" x14ac:dyDescent="0.45">
      <c r="A6405" s="2" t="s">
        <v>59</v>
      </c>
      <c r="B6405" s="2" t="s">
        <v>60</v>
      </c>
      <c r="C6405" s="2" t="s">
        <v>61709</v>
      </c>
      <c r="D6405" s="2" t="s">
        <v>61710</v>
      </c>
      <c r="E6405" s="2" t="s">
        <v>61711</v>
      </c>
      <c r="G6405" s="3" t="s">
        <v>62</v>
      </c>
      <c r="I6405" s="3" t="s">
        <v>62</v>
      </c>
      <c r="J6405" s="3" t="s">
        <v>62</v>
      </c>
      <c r="K6405" s="3" t="s">
        <v>63</v>
      </c>
      <c r="L6405" s="2" t="s">
        <v>59355</v>
      </c>
      <c r="M6405" s="2" t="s">
        <v>61712</v>
      </c>
      <c r="N6405" s="3" t="s">
        <v>894</v>
      </c>
      <c r="P6405" s="3" t="s">
        <v>110</v>
      </c>
      <c r="Q6405" s="2" t="s">
        <v>61713</v>
      </c>
      <c r="R6405" s="3" t="s">
        <v>66</v>
      </c>
      <c r="S6405" s="4">
        <v>4</v>
      </c>
      <c r="T6405" s="4">
        <v>4</v>
      </c>
      <c r="U6405" s="5" t="s">
        <v>4187</v>
      </c>
      <c r="V6405" s="5" t="s">
        <v>4187</v>
      </c>
      <c r="W6405" s="5" t="s">
        <v>67</v>
      </c>
      <c r="X6405" s="5" t="s">
        <v>67</v>
      </c>
      <c r="Y6405" s="4">
        <v>25</v>
      </c>
      <c r="Z6405" s="4">
        <v>6</v>
      </c>
      <c r="AA6405" s="4">
        <v>16</v>
      </c>
      <c r="AB6405" s="4">
        <v>2</v>
      </c>
      <c r="AC6405" s="4">
        <v>9</v>
      </c>
      <c r="AD6405" s="4">
        <v>16</v>
      </c>
      <c r="AE6405" s="4">
        <v>23</v>
      </c>
      <c r="AF6405" s="4">
        <v>1</v>
      </c>
      <c r="AG6405" s="4">
        <v>6</v>
      </c>
      <c r="AH6405" s="4">
        <v>13</v>
      </c>
      <c r="AI6405" s="4">
        <v>15</v>
      </c>
      <c r="AJ6405" s="4">
        <v>5</v>
      </c>
      <c r="AK6405" s="4">
        <v>10</v>
      </c>
      <c r="AL6405" s="4">
        <v>9</v>
      </c>
      <c r="AM6405" s="4">
        <v>9</v>
      </c>
      <c r="AN6405" s="4">
        <v>0</v>
      </c>
      <c r="AO6405" s="4">
        <v>0</v>
      </c>
      <c r="AP6405" s="4">
        <v>5</v>
      </c>
      <c r="AQ6405" s="4">
        <v>11</v>
      </c>
      <c r="AR6405" s="3" t="s">
        <v>62</v>
      </c>
      <c r="AS6405" s="3" t="s">
        <v>62</v>
      </c>
      <c r="AT6405" s="3" t="s">
        <v>62</v>
      </c>
      <c r="AV6405" s="6" t="str">
        <f>HYPERLINK("http://mcgill.on.worldcat.org/oclc/714290925","Catalog Record")</f>
        <v>Catalog Record</v>
      </c>
      <c r="AW6405" s="6" t="str">
        <f>HYPERLINK("http://www.worldcat.org/oclc/714290925","WorldCat Record")</f>
        <v>WorldCat Record</v>
      </c>
      <c r="AX6405" s="3" t="s">
        <v>61714</v>
      </c>
      <c r="AY6405" s="3" t="s">
        <v>61715</v>
      </c>
      <c r="AZ6405" s="3" t="s">
        <v>61716</v>
      </c>
      <c r="BA6405" s="3" t="s">
        <v>61716</v>
      </c>
      <c r="BB6405" s="3" t="s">
        <v>61717</v>
      </c>
      <c r="BC6405" s="3" t="s">
        <v>142</v>
      </c>
      <c r="BD6405" s="3" t="s">
        <v>68</v>
      </c>
      <c r="BE6405" s="3" t="s">
        <v>61718</v>
      </c>
      <c r="BF6405" s="3" t="s">
        <v>61717</v>
      </c>
      <c r="BG6405" s="3" t="s">
        <v>61719</v>
      </c>
    </row>
    <row r="6406" spans="1:59" ht="57" x14ac:dyDescent="0.45">
      <c r="A6406" s="2" t="s">
        <v>59</v>
      </c>
      <c r="B6406" s="2" t="s">
        <v>60</v>
      </c>
      <c r="C6406" s="2" t="s">
        <v>61720</v>
      </c>
      <c r="D6406" s="2" t="s">
        <v>61721</v>
      </c>
      <c r="E6406" s="2" t="s">
        <v>61722</v>
      </c>
      <c r="G6406" s="3" t="s">
        <v>62</v>
      </c>
      <c r="I6406" s="3" t="s">
        <v>62</v>
      </c>
      <c r="J6406" s="3" t="s">
        <v>62</v>
      </c>
      <c r="K6406" s="3" t="s">
        <v>63</v>
      </c>
      <c r="L6406" s="2" t="s">
        <v>60548</v>
      </c>
      <c r="M6406" s="2" t="s">
        <v>6745</v>
      </c>
      <c r="N6406" s="3" t="s">
        <v>1097</v>
      </c>
      <c r="P6406" s="3" t="s">
        <v>65</v>
      </c>
      <c r="Q6406" s="2" t="s">
        <v>61723</v>
      </c>
      <c r="R6406" s="3" t="s">
        <v>66</v>
      </c>
      <c r="S6406" s="4">
        <v>2</v>
      </c>
      <c r="T6406" s="4">
        <v>2</v>
      </c>
      <c r="U6406" s="5" t="s">
        <v>19964</v>
      </c>
      <c r="V6406" s="5" t="s">
        <v>19964</v>
      </c>
      <c r="W6406" s="5" t="s">
        <v>67</v>
      </c>
      <c r="X6406" s="5" t="s">
        <v>67</v>
      </c>
      <c r="Y6406" s="4">
        <v>86</v>
      </c>
      <c r="Z6406" s="4">
        <v>10</v>
      </c>
      <c r="AA6406" s="4">
        <v>13</v>
      </c>
      <c r="AB6406" s="4">
        <v>1</v>
      </c>
      <c r="AC6406" s="4">
        <v>3</v>
      </c>
      <c r="AD6406" s="4">
        <v>40</v>
      </c>
      <c r="AE6406" s="4">
        <v>43</v>
      </c>
      <c r="AF6406" s="4">
        <v>0</v>
      </c>
      <c r="AG6406" s="4">
        <v>2</v>
      </c>
      <c r="AH6406" s="4">
        <v>36</v>
      </c>
      <c r="AI6406" s="4">
        <v>36</v>
      </c>
      <c r="AJ6406" s="4">
        <v>7</v>
      </c>
      <c r="AK6406" s="4">
        <v>8</v>
      </c>
      <c r="AL6406" s="4">
        <v>26</v>
      </c>
      <c r="AM6406" s="4">
        <v>26</v>
      </c>
      <c r="AN6406" s="4">
        <v>0</v>
      </c>
      <c r="AO6406" s="4">
        <v>0</v>
      </c>
      <c r="AP6406" s="4">
        <v>8</v>
      </c>
      <c r="AQ6406" s="4">
        <v>10</v>
      </c>
      <c r="AR6406" s="3" t="s">
        <v>62</v>
      </c>
      <c r="AS6406" s="3" t="s">
        <v>62</v>
      </c>
      <c r="AT6406" s="3" t="s">
        <v>62</v>
      </c>
      <c r="AV6406" s="6" t="str">
        <f>HYPERLINK("http://mcgill.on.worldcat.org/oclc/55149139","Catalog Record")</f>
        <v>Catalog Record</v>
      </c>
      <c r="AW6406" s="6" t="str">
        <f>HYPERLINK("http://www.worldcat.org/oclc/55149139","WorldCat Record")</f>
        <v>WorldCat Record</v>
      </c>
      <c r="AX6406" s="3" t="s">
        <v>61724</v>
      </c>
      <c r="AY6406" s="3" t="s">
        <v>61725</v>
      </c>
      <c r="AZ6406" s="3" t="s">
        <v>61726</v>
      </c>
      <c r="BA6406" s="3" t="s">
        <v>61726</v>
      </c>
      <c r="BB6406" s="3" t="s">
        <v>61727</v>
      </c>
      <c r="BC6406" s="3" t="s">
        <v>142</v>
      </c>
      <c r="BD6406" s="3" t="s">
        <v>68</v>
      </c>
      <c r="BE6406" s="3" t="s">
        <v>61728</v>
      </c>
      <c r="BF6406" s="3" t="s">
        <v>61727</v>
      </c>
      <c r="BG6406" s="3" t="s">
        <v>61729</v>
      </c>
    </row>
    <row r="6407" spans="1:59" ht="57" x14ac:dyDescent="0.45">
      <c r="A6407" s="2" t="s">
        <v>59</v>
      </c>
      <c r="B6407" s="2" t="s">
        <v>60</v>
      </c>
      <c r="C6407" s="2" t="s">
        <v>61730</v>
      </c>
      <c r="D6407" s="2" t="s">
        <v>61731</v>
      </c>
      <c r="E6407" s="2" t="s">
        <v>61732</v>
      </c>
      <c r="G6407" s="3" t="s">
        <v>62</v>
      </c>
      <c r="I6407" s="3" t="s">
        <v>62</v>
      </c>
      <c r="J6407" s="3" t="s">
        <v>62</v>
      </c>
      <c r="K6407" s="3" t="s">
        <v>63</v>
      </c>
      <c r="M6407" s="2" t="s">
        <v>61733</v>
      </c>
      <c r="N6407" s="3" t="s">
        <v>149</v>
      </c>
      <c r="P6407" s="3" t="s">
        <v>110</v>
      </c>
      <c r="Q6407" s="2" t="s">
        <v>61734</v>
      </c>
      <c r="R6407" s="3" t="s">
        <v>66</v>
      </c>
      <c r="S6407" s="4">
        <v>3</v>
      </c>
      <c r="T6407" s="4">
        <v>3</v>
      </c>
      <c r="U6407" s="5" t="s">
        <v>3232</v>
      </c>
      <c r="V6407" s="5" t="s">
        <v>3232</v>
      </c>
      <c r="W6407" s="5" t="s">
        <v>67</v>
      </c>
      <c r="X6407" s="5" t="s">
        <v>67</v>
      </c>
      <c r="Y6407" s="4">
        <v>3</v>
      </c>
      <c r="Z6407" s="4">
        <v>1</v>
      </c>
      <c r="AA6407" s="4">
        <v>4</v>
      </c>
      <c r="AB6407" s="4">
        <v>1</v>
      </c>
      <c r="AC6407" s="4">
        <v>3</v>
      </c>
      <c r="AD6407" s="4">
        <v>0</v>
      </c>
      <c r="AE6407" s="4">
        <v>3</v>
      </c>
      <c r="AF6407" s="4">
        <v>0</v>
      </c>
      <c r="AG6407" s="4">
        <v>2</v>
      </c>
      <c r="AH6407" s="4">
        <v>0</v>
      </c>
      <c r="AI6407" s="4">
        <v>2</v>
      </c>
      <c r="AJ6407" s="4">
        <v>0</v>
      </c>
      <c r="AK6407" s="4">
        <v>3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3</v>
      </c>
      <c r="AR6407" s="3" t="s">
        <v>62</v>
      </c>
      <c r="AS6407" s="3" t="s">
        <v>62</v>
      </c>
      <c r="AT6407" s="3" t="s">
        <v>62</v>
      </c>
      <c r="AV6407" s="6" t="str">
        <f>HYPERLINK("http://mcgill.on.worldcat.org/oclc/775363848","Catalog Record")</f>
        <v>Catalog Record</v>
      </c>
      <c r="AW6407" s="6" t="str">
        <f>HYPERLINK("http://www.worldcat.org/oclc/775363848","WorldCat Record")</f>
        <v>WorldCat Record</v>
      </c>
      <c r="AX6407" s="3" t="s">
        <v>61735</v>
      </c>
      <c r="AY6407" s="3" t="s">
        <v>61736</v>
      </c>
      <c r="AZ6407" s="3" t="s">
        <v>61737</v>
      </c>
      <c r="BA6407" s="3" t="s">
        <v>61737</v>
      </c>
      <c r="BB6407" s="3" t="s">
        <v>61738</v>
      </c>
      <c r="BC6407" s="3" t="s">
        <v>142</v>
      </c>
      <c r="BD6407" s="3" t="s">
        <v>68</v>
      </c>
      <c r="BE6407" s="3" t="s">
        <v>61739</v>
      </c>
      <c r="BF6407" s="3" t="s">
        <v>61738</v>
      </c>
      <c r="BG6407" s="3" t="s">
        <v>61740</v>
      </c>
    </row>
    <row r="6408" spans="1:59" ht="57" x14ac:dyDescent="0.45">
      <c r="A6408" s="2" t="s">
        <v>59</v>
      </c>
      <c r="B6408" s="2" t="s">
        <v>60</v>
      </c>
      <c r="C6408" s="2" t="s">
        <v>61741</v>
      </c>
      <c r="D6408" s="2" t="s">
        <v>61742</v>
      </c>
      <c r="E6408" s="2" t="s">
        <v>61743</v>
      </c>
      <c r="G6408" s="3" t="s">
        <v>62</v>
      </c>
      <c r="I6408" s="3" t="s">
        <v>62</v>
      </c>
      <c r="J6408" s="3" t="s">
        <v>62</v>
      </c>
      <c r="K6408" s="3" t="s">
        <v>63</v>
      </c>
      <c r="M6408" s="2" t="s">
        <v>61744</v>
      </c>
      <c r="N6408" s="3" t="s">
        <v>820</v>
      </c>
      <c r="P6408" s="3" t="s">
        <v>65</v>
      </c>
      <c r="R6408" s="3" t="s">
        <v>66</v>
      </c>
      <c r="S6408" s="4">
        <v>7</v>
      </c>
      <c r="T6408" s="4">
        <v>7</v>
      </c>
      <c r="U6408" s="5" t="s">
        <v>34014</v>
      </c>
      <c r="V6408" s="5" t="s">
        <v>34014</v>
      </c>
      <c r="W6408" s="5" t="s">
        <v>67</v>
      </c>
      <c r="X6408" s="5" t="s">
        <v>67</v>
      </c>
      <c r="Y6408" s="4">
        <v>127</v>
      </c>
      <c r="Z6408" s="4">
        <v>8</v>
      </c>
      <c r="AA6408" s="4">
        <v>10</v>
      </c>
      <c r="AB6408" s="4">
        <v>1</v>
      </c>
      <c r="AC6408" s="4">
        <v>2</v>
      </c>
      <c r="AD6408" s="4">
        <v>51</v>
      </c>
      <c r="AE6408" s="4">
        <v>53</v>
      </c>
      <c r="AF6408" s="4">
        <v>0</v>
      </c>
      <c r="AG6408" s="4">
        <v>1</v>
      </c>
      <c r="AH6408" s="4">
        <v>49</v>
      </c>
      <c r="AI6408" s="4">
        <v>49</v>
      </c>
      <c r="AJ6408" s="4">
        <v>7</v>
      </c>
      <c r="AK6408" s="4">
        <v>8</v>
      </c>
      <c r="AL6408" s="4">
        <v>29</v>
      </c>
      <c r="AM6408" s="4">
        <v>29</v>
      </c>
      <c r="AN6408" s="4">
        <v>0</v>
      </c>
      <c r="AO6408" s="4">
        <v>0</v>
      </c>
      <c r="AP6408" s="4">
        <v>7</v>
      </c>
      <c r="AQ6408" s="4">
        <v>8</v>
      </c>
      <c r="AR6408" s="3" t="s">
        <v>62</v>
      </c>
      <c r="AS6408" s="3" t="s">
        <v>62</v>
      </c>
      <c r="AT6408" s="3" t="s">
        <v>62</v>
      </c>
      <c r="AV6408" s="6" t="str">
        <f>HYPERLINK("http://mcgill.on.worldcat.org/oclc/182732376","Catalog Record")</f>
        <v>Catalog Record</v>
      </c>
      <c r="AW6408" s="6" t="str">
        <f>HYPERLINK("http://www.worldcat.org/oclc/182732376","WorldCat Record")</f>
        <v>WorldCat Record</v>
      </c>
      <c r="AX6408" s="3" t="s">
        <v>61745</v>
      </c>
      <c r="AY6408" s="3" t="s">
        <v>61746</v>
      </c>
      <c r="AZ6408" s="3" t="s">
        <v>61747</v>
      </c>
      <c r="BA6408" s="3" t="s">
        <v>61747</v>
      </c>
      <c r="BB6408" s="3" t="s">
        <v>61748</v>
      </c>
      <c r="BC6408" s="3" t="s">
        <v>142</v>
      </c>
      <c r="BD6408" s="3" t="s">
        <v>68</v>
      </c>
      <c r="BE6408" s="3" t="s">
        <v>61749</v>
      </c>
      <c r="BF6408" s="3" t="s">
        <v>61748</v>
      </c>
      <c r="BG6408" s="3" t="s">
        <v>61750</v>
      </c>
    </row>
    <row r="6409" spans="1:59" ht="57" x14ac:dyDescent="0.45">
      <c r="A6409" s="2" t="s">
        <v>59</v>
      </c>
      <c r="B6409" s="2" t="s">
        <v>60</v>
      </c>
      <c r="C6409" s="2" t="s">
        <v>61751</v>
      </c>
      <c r="D6409" s="2" t="s">
        <v>61752</v>
      </c>
      <c r="E6409" s="2" t="s">
        <v>61753</v>
      </c>
      <c r="G6409" s="3" t="s">
        <v>62</v>
      </c>
      <c r="I6409" s="3" t="s">
        <v>62</v>
      </c>
      <c r="J6409" s="3" t="s">
        <v>62</v>
      </c>
      <c r="K6409" s="3" t="s">
        <v>63</v>
      </c>
      <c r="M6409" s="2" t="s">
        <v>61754</v>
      </c>
      <c r="N6409" s="3" t="s">
        <v>970</v>
      </c>
      <c r="P6409" s="3" t="s">
        <v>65</v>
      </c>
      <c r="R6409" s="3" t="s">
        <v>66</v>
      </c>
      <c r="S6409" s="4">
        <v>36</v>
      </c>
      <c r="T6409" s="4">
        <v>36</v>
      </c>
      <c r="U6409" s="5" t="s">
        <v>585</v>
      </c>
      <c r="V6409" s="5" t="s">
        <v>585</v>
      </c>
      <c r="W6409" s="5" t="s">
        <v>67</v>
      </c>
      <c r="X6409" s="5" t="s">
        <v>67</v>
      </c>
      <c r="Y6409" s="4">
        <v>335</v>
      </c>
      <c r="Z6409" s="4">
        <v>19</v>
      </c>
      <c r="AA6409" s="4">
        <v>31</v>
      </c>
      <c r="AB6409" s="4">
        <v>2</v>
      </c>
      <c r="AC6409" s="4">
        <v>9</v>
      </c>
      <c r="AD6409" s="4">
        <v>103</v>
      </c>
      <c r="AE6409" s="4">
        <v>112</v>
      </c>
      <c r="AF6409" s="4">
        <v>1</v>
      </c>
      <c r="AG6409" s="4">
        <v>5</v>
      </c>
      <c r="AH6409" s="4">
        <v>93</v>
      </c>
      <c r="AI6409" s="4">
        <v>97</v>
      </c>
      <c r="AJ6409" s="4">
        <v>13</v>
      </c>
      <c r="AK6409" s="4">
        <v>16</v>
      </c>
      <c r="AL6409" s="4">
        <v>54</v>
      </c>
      <c r="AM6409" s="4">
        <v>54</v>
      </c>
      <c r="AN6409" s="4">
        <v>0</v>
      </c>
      <c r="AO6409" s="4">
        <v>0</v>
      </c>
      <c r="AP6409" s="4">
        <v>15</v>
      </c>
      <c r="AQ6409" s="4">
        <v>20</v>
      </c>
      <c r="AR6409" s="3" t="s">
        <v>62</v>
      </c>
      <c r="AS6409" s="3" t="s">
        <v>62</v>
      </c>
      <c r="AT6409" s="3" t="s">
        <v>61</v>
      </c>
      <c r="AU6409" s="6" t="str">
        <f>HYPERLINK("http://catalog.hathitrust.org/Record/004284285","HathiTrust Record")</f>
        <v>HathiTrust Record</v>
      </c>
      <c r="AV6409" s="6" t="str">
        <f>HYPERLINK("http://mcgill.on.worldcat.org/oclc/50006493","Catalog Record")</f>
        <v>Catalog Record</v>
      </c>
      <c r="AW6409" s="6" t="str">
        <f>HYPERLINK("http://www.worldcat.org/oclc/50006493","WorldCat Record")</f>
        <v>WorldCat Record</v>
      </c>
      <c r="AX6409" s="3" t="s">
        <v>61755</v>
      </c>
      <c r="AY6409" s="3" t="s">
        <v>61756</v>
      </c>
      <c r="AZ6409" s="3" t="s">
        <v>61757</v>
      </c>
      <c r="BA6409" s="3" t="s">
        <v>61757</v>
      </c>
      <c r="BB6409" s="3" t="s">
        <v>61758</v>
      </c>
      <c r="BC6409" s="3" t="s">
        <v>142</v>
      </c>
      <c r="BD6409" s="3" t="s">
        <v>68</v>
      </c>
      <c r="BE6409" s="3" t="s">
        <v>61759</v>
      </c>
      <c r="BF6409" s="3" t="s">
        <v>61758</v>
      </c>
      <c r="BG6409" s="3" t="s">
        <v>61760</v>
      </c>
    </row>
    <row r="6410" spans="1:59" ht="57" x14ac:dyDescent="0.45">
      <c r="A6410" s="2" t="s">
        <v>59</v>
      </c>
      <c r="B6410" s="2" t="s">
        <v>60</v>
      </c>
      <c r="C6410" s="2" t="s">
        <v>61761</v>
      </c>
      <c r="D6410" s="2" t="s">
        <v>61762</v>
      </c>
      <c r="E6410" s="2" t="s">
        <v>61763</v>
      </c>
      <c r="G6410" s="3" t="s">
        <v>62</v>
      </c>
      <c r="I6410" s="3" t="s">
        <v>62</v>
      </c>
      <c r="J6410" s="3" t="s">
        <v>62</v>
      </c>
      <c r="K6410" s="3" t="s">
        <v>63</v>
      </c>
      <c r="M6410" s="2" t="s">
        <v>6067</v>
      </c>
      <c r="N6410" s="3" t="s">
        <v>894</v>
      </c>
      <c r="P6410" s="3" t="s">
        <v>65</v>
      </c>
      <c r="Q6410" s="2" t="s">
        <v>61764</v>
      </c>
      <c r="R6410" s="3" t="s">
        <v>66</v>
      </c>
      <c r="S6410" s="4">
        <v>0</v>
      </c>
      <c r="T6410" s="4">
        <v>0</v>
      </c>
      <c r="W6410" s="5" t="s">
        <v>67</v>
      </c>
      <c r="X6410" s="5" t="s">
        <v>67</v>
      </c>
      <c r="Y6410" s="4">
        <v>119</v>
      </c>
      <c r="Z6410" s="4">
        <v>13</v>
      </c>
      <c r="AA6410" s="4">
        <v>80</v>
      </c>
      <c r="AB6410" s="4">
        <v>2</v>
      </c>
      <c r="AC6410" s="4">
        <v>15</v>
      </c>
      <c r="AD6410" s="4">
        <v>45</v>
      </c>
      <c r="AE6410" s="4">
        <v>97</v>
      </c>
      <c r="AF6410" s="4">
        <v>1</v>
      </c>
      <c r="AG6410" s="4">
        <v>8</v>
      </c>
      <c r="AH6410" s="4">
        <v>41</v>
      </c>
      <c r="AI6410" s="4">
        <v>65</v>
      </c>
      <c r="AJ6410" s="4">
        <v>11</v>
      </c>
      <c r="AK6410" s="4">
        <v>22</v>
      </c>
      <c r="AL6410" s="4">
        <v>27</v>
      </c>
      <c r="AM6410" s="4">
        <v>34</v>
      </c>
      <c r="AN6410" s="4">
        <v>0</v>
      </c>
      <c r="AO6410" s="4">
        <v>0</v>
      </c>
      <c r="AP6410" s="4">
        <v>11</v>
      </c>
      <c r="AQ6410" s="4">
        <v>42</v>
      </c>
      <c r="AR6410" s="3" t="s">
        <v>62</v>
      </c>
      <c r="AS6410" s="3" t="s">
        <v>62</v>
      </c>
      <c r="AT6410" s="3" t="s">
        <v>62</v>
      </c>
      <c r="AV6410" s="6" t="str">
        <f>HYPERLINK("http://mcgill.on.worldcat.org/oclc/722273882","Catalog Record")</f>
        <v>Catalog Record</v>
      </c>
      <c r="AW6410" s="6" t="str">
        <f>HYPERLINK("http://www.worldcat.org/oclc/722273882","WorldCat Record")</f>
        <v>WorldCat Record</v>
      </c>
      <c r="AX6410" s="3" t="s">
        <v>61765</v>
      </c>
      <c r="AY6410" s="3" t="s">
        <v>61766</v>
      </c>
      <c r="AZ6410" s="3" t="s">
        <v>61767</v>
      </c>
      <c r="BA6410" s="3" t="s">
        <v>61767</v>
      </c>
      <c r="BB6410" s="3" t="s">
        <v>61768</v>
      </c>
      <c r="BC6410" s="3" t="s">
        <v>142</v>
      </c>
      <c r="BD6410" s="3" t="s">
        <v>68</v>
      </c>
      <c r="BE6410" s="3" t="s">
        <v>61769</v>
      </c>
      <c r="BF6410" s="3" t="s">
        <v>61768</v>
      </c>
      <c r="BG6410" s="3" t="s">
        <v>61770</v>
      </c>
    </row>
    <row r="6411" spans="1:59" ht="57" x14ac:dyDescent="0.45">
      <c r="A6411" s="2" t="s">
        <v>59</v>
      </c>
      <c r="B6411" s="2" t="s">
        <v>60</v>
      </c>
      <c r="C6411" s="2" t="s">
        <v>61771</v>
      </c>
      <c r="D6411" s="2" t="s">
        <v>61772</v>
      </c>
      <c r="E6411" s="2" t="s">
        <v>61773</v>
      </c>
      <c r="G6411" s="3" t="s">
        <v>62</v>
      </c>
      <c r="I6411" s="3" t="s">
        <v>62</v>
      </c>
      <c r="J6411" s="3" t="s">
        <v>62</v>
      </c>
      <c r="K6411" s="3" t="s">
        <v>63</v>
      </c>
      <c r="M6411" s="2" t="s">
        <v>37004</v>
      </c>
      <c r="N6411" s="3" t="s">
        <v>149</v>
      </c>
      <c r="P6411" s="3" t="s">
        <v>65</v>
      </c>
      <c r="Q6411" s="2" t="s">
        <v>61774</v>
      </c>
      <c r="R6411" s="3" t="s">
        <v>66</v>
      </c>
      <c r="S6411" s="4">
        <v>8</v>
      </c>
      <c r="T6411" s="4">
        <v>8</v>
      </c>
      <c r="U6411" s="5" t="s">
        <v>17596</v>
      </c>
      <c r="V6411" s="5" t="s">
        <v>17596</v>
      </c>
      <c r="W6411" s="5" t="s">
        <v>67</v>
      </c>
      <c r="X6411" s="5" t="s">
        <v>67</v>
      </c>
      <c r="Y6411" s="4">
        <v>128</v>
      </c>
      <c r="Z6411" s="4">
        <v>13</v>
      </c>
      <c r="AA6411" s="4">
        <v>98</v>
      </c>
      <c r="AB6411" s="4">
        <v>2</v>
      </c>
      <c r="AC6411" s="4">
        <v>17</v>
      </c>
      <c r="AD6411" s="4">
        <v>41</v>
      </c>
      <c r="AE6411" s="4">
        <v>116</v>
      </c>
      <c r="AF6411" s="4">
        <v>1</v>
      </c>
      <c r="AG6411" s="4">
        <v>8</v>
      </c>
      <c r="AH6411" s="4">
        <v>37</v>
      </c>
      <c r="AI6411" s="4">
        <v>81</v>
      </c>
      <c r="AJ6411" s="4">
        <v>10</v>
      </c>
      <c r="AK6411" s="4">
        <v>22</v>
      </c>
      <c r="AL6411" s="4">
        <v>23</v>
      </c>
      <c r="AM6411" s="4">
        <v>43</v>
      </c>
      <c r="AN6411" s="4">
        <v>0</v>
      </c>
      <c r="AO6411" s="4">
        <v>0</v>
      </c>
      <c r="AP6411" s="4">
        <v>10</v>
      </c>
      <c r="AQ6411" s="4">
        <v>43</v>
      </c>
      <c r="AR6411" s="3" t="s">
        <v>62</v>
      </c>
      <c r="AS6411" s="3" t="s">
        <v>62</v>
      </c>
      <c r="AT6411" s="3" t="s">
        <v>62</v>
      </c>
      <c r="AV6411" s="6" t="str">
        <f>HYPERLINK("http://mcgill.on.worldcat.org/oclc/587154077","Catalog Record")</f>
        <v>Catalog Record</v>
      </c>
      <c r="AW6411" s="6" t="str">
        <f>HYPERLINK("http://www.worldcat.org/oclc/587154077","WorldCat Record")</f>
        <v>WorldCat Record</v>
      </c>
      <c r="AX6411" s="3" t="s">
        <v>61775</v>
      </c>
      <c r="AY6411" s="3" t="s">
        <v>61776</v>
      </c>
      <c r="AZ6411" s="3" t="s">
        <v>61777</v>
      </c>
      <c r="BA6411" s="3" t="s">
        <v>61777</v>
      </c>
      <c r="BB6411" s="3" t="s">
        <v>61778</v>
      </c>
      <c r="BC6411" s="3" t="s">
        <v>142</v>
      </c>
      <c r="BD6411" s="3" t="s">
        <v>68</v>
      </c>
      <c r="BE6411" s="3" t="s">
        <v>61779</v>
      </c>
      <c r="BF6411" s="3" t="s">
        <v>61778</v>
      </c>
      <c r="BG6411" s="3" t="s">
        <v>61780</v>
      </c>
    </row>
    <row r="6412" spans="1:59" ht="57" x14ac:dyDescent="0.45">
      <c r="A6412" s="2" t="s">
        <v>59</v>
      </c>
      <c r="B6412" s="2" t="s">
        <v>60</v>
      </c>
      <c r="C6412" s="2" t="s">
        <v>61781</v>
      </c>
      <c r="D6412" s="2" t="s">
        <v>61782</v>
      </c>
      <c r="E6412" s="2" t="s">
        <v>61783</v>
      </c>
      <c r="G6412" s="3" t="s">
        <v>62</v>
      </c>
      <c r="I6412" s="3" t="s">
        <v>62</v>
      </c>
      <c r="J6412" s="3" t="s">
        <v>62</v>
      </c>
      <c r="K6412" s="3" t="s">
        <v>63</v>
      </c>
      <c r="M6412" s="2" t="s">
        <v>61784</v>
      </c>
      <c r="N6412" s="3" t="s">
        <v>894</v>
      </c>
      <c r="P6412" s="3" t="s">
        <v>65</v>
      </c>
      <c r="Q6412" s="2" t="s">
        <v>61785</v>
      </c>
      <c r="R6412" s="3" t="s">
        <v>66</v>
      </c>
      <c r="S6412" s="4">
        <v>0</v>
      </c>
      <c r="T6412" s="4">
        <v>0</v>
      </c>
      <c r="W6412" s="5" t="s">
        <v>67</v>
      </c>
      <c r="X6412" s="5" t="s">
        <v>67</v>
      </c>
      <c r="Y6412" s="4">
        <v>17</v>
      </c>
      <c r="Z6412" s="4">
        <v>2</v>
      </c>
      <c r="AA6412" s="4">
        <v>20</v>
      </c>
      <c r="AB6412" s="4">
        <v>1</v>
      </c>
      <c r="AC6412" s="4">
        <v>2</v>
      </c>
      <c r="AD6412" s="4">
        <v>4</v>
      </c>
      <c r="AE6412" s="4">
        <v>42</v>
      </c>
      <c r="AF6412" s="4">
        <v>0</v>
      </c>
      <c r="AG6412" s="4">
        <v>0</v>
      </c>
      <c r="AH6412" s="4">
        <v>4</v>
      </c>
      <c r="AI6412" s="4">
        <v>31</v>
      </c>
      <c r="AJ6412" s="4">
        <v>1</v>
      </c>
      <c r="AK6412" s="4">
        <v>6</v>
      </c>
      <c r="AL6412" s="4">
        <v>2</v>
      </c>
      <c r="AM6412" s="4">
        <v>16</v>
      </c>
      <c r="AN6412" s="4">
        <v>0</v>
      </c>
      <c r="AO6412" s="4">
        <v>0</v>
      </c>
      <c r="AP6412" s="4">
        <v>1</v>
      </c>
      <c r="AQ6412" s="4">
        <v>14</v>
      </c>
      <c r="AR6412" s="3" t="s">
        <v>62</v>
      </c>
      <c r="AS6412" s="3" t="s">
        <v>62</v>
      </c>
      <c r="AT6412" s="3" t="s">
        <v>62</v>
      </c>
      <c r="AV6412" s="6" t="str">
        <f>HYPERLINK("http://mcgill.on.worldcat.org/oclc/773670346","Catalog Record")</f>
        <v>Catalog Record</v>
      </c>
      <c r="AW6412" s="6" t="str">
        <f>HYPERLINK("http://www.worldcat.org/oclc/773670346","WorldCat Record")</f>
        <v>WorldCat Record</v>
      </c>
      <c r="AX6412" s="3" t="s">
        <v>61786</v>
      </c>
      <c r="AY6412" s="3" t="s">
        <v>61787</v>
      </c>
      <c r="AZ6412" s="3" t="s">
        <v>61788</v>
      </c>
      <c r="BA6412" s="3" t="s">
        <v>61788</v>
      </c>
      <c r="BB6412" s="3" t="s">
        <v>61789</v>
      </c>
      <c r="BC6412" s="3" t="s">
        <v>142</v>
      </c>
      <c r="BD6412" s="3" t="s">
        <v>68</v>
      </c>
      <c r="BE6412" s="3" t="s">
        <v>61790</v>
      </c>
      <c r="BF6412" s="3" t="s">
        <v>61789</v>
      </c>
      <c r="BG6412" s="3" t="s">
        <v>61791</v>
      </c>
    </row>
    <row r="6413" spans="1:59" ht="57" x14ac:dyDescent="0.45">
      <c r="A6413" s="2" t="s">
        <v>59</v>
      </c>
      <c r="B6413" s="2" t="s">
        <v>60</v>
      </c>
      <c r="C6413" s="2" t="s">
        <v>61781</v>
      </c>
      <c r="D6413" s="2" t="s">
        <v>61782</v>
      </c>
      <c r="E6413" s="2" t="s">
        <v>61792</v>
      </c>
      <c r="G6413" s="3" t="s">
        <v>62</v>
      </c>
      <c r="I6413" s="3" t="s">
        <v>62</v>
      </c>
      <c r="J6413" s="3" t="s">
        <v>62</v>
      </c>
      <c r="K6413" s="3" t="s">
        <v>63</v>
      </c>
      <c r="M6413" s="2" t="s">
        <v>61793</v>
      </c>
      <c r="N6413" s="3" t="s">
        <v>894</v>
      </c>
      <c r="P6413" s="3" t="s">
        <v>110</v>
      </c>
      <c r="Q6413" s="2" t="s">
        <v>61794</v>
      </c>
      <c r="R6413" s="3" t="s">
        <v>66</v>
      </c>
      <c r="S6413" s="4">
        <v>6</v>
      </c>
      <c r="T6413" s="4">
        <v>6</v>
      </c>
      <c r="U6413" s="5" t="s">
        <v>5295</v>
      </c>
      <c r="V6413" s="5" t="s">
        <v>5295</v>
      </c>
      <c r="W6413" s="5" t="s">
        <v>67</v>
      </c>
      <c r="X6413" s="5" t="s">
        <v>67</v>
      </c>
      <c r="Y6413" s="4">
        <v>12</v>
      </c>
      <c r="Z6413" s="4">
        <v>3</v>
      </c>
      <c r="AA6413" s="4">
        <v>3</v>
      </c>
      <c r="AB6413" s="4">
        <v>2</v>
      </c>
      <c r="AC6413" s="4">
        <v>2</v>
      </c>
      <c r="AD6413" s="4">
        <v>7</v>
      </c>
      <c r="AE6413" s="4">
        <v>7</v>
      </c>
      <c r="AF6413" s="4">
        <v>1</v>
      </c>
      <c r="AG6413" s="4">
        <v>1</v>
      </c>
      <c r="AH6413" s="4">
        <v>6</v>
      </c>
      <c r="AI6413" s="4">
        <v>6</v>
      </c>
      <c r="AJ6413" s="4">
        <v>2</v>
      </c>
      <c r="AK6413" s="4">
        <v>2</v>
      </c>
      <c r="AL6413" s="4">
        <v>5</v>
      </c>
      <c r="AM6413" s="4">
        <v>5</v>
      </c>
      <c r="AN6413" s="4">
        <v>0</v>
      </c>
      <c r="AO6413" s="4">
        <v>0</v>
      </c>
      <c r="AP6413" s="4">
        <v>2</v>
      </c>
      <c r="AQ6413" s="4">
        <v>2</v>
      </c>
      <c r="AR6413" s="3" t="s">
        <v>62</v>
      </c>
      <c r="AS6413" s="3" t="s">
        <v>62</v>
      </c>
      <c r="AT6413" s="3" t="s">
        <v>62</v>
      </c>
      <c r="AV6413" s="6" t="str">
        <f>HYPERLINK("http://mcgill.on.worldcat.org/oclc/725593179","Catalog Record")</f>
        <v>Catalog Record</v>
      </c>
      <c r="AW6413" s="6" t="str">
        <f>HYPERLINK("http://www.worldcat.org/oclc/725593179","WorldCat Record")</f>
        <v>WorldCat Record</v>
      </c>
      <c r="AX6413" s="3" t="s">
        <v>61795</v>
      </c>
      <c r="AY6413" s="3" t="s">
        <v>61796</v>
      </c>
      <c r="AZ6413" s="3" t="s">
        <v>61797</v>
      </c>
      <c r="BA6413" s="3" t="s">
        <v>61797</v>
      </c>
      <c r="BB6413" s="3" t="s">
        <v>61798</v>
      </c>
      <c r="BC6413" s="3" t="s">
        <v>142</v>
      </c>
      <c r="BD6413" s="3" t="s">
        <v>68</v>
      </c>
      <c r="BE6413" s="3" t="s">
        <v>61799</v>
      </c>
      <c r="BF6413" s="3" t="s">
        <v>61798</v>
      </c>
      <c r="BG6413" s="3" t="s">
        <v>61800</v>
      </c>
    </row>
    <row r="6414" spans="1:59" ht="57" x14ac:dyDescent="0.45">
      <c r="A6414" s="2" t="s">
        <v>59</v>
      </c>
      <c r="B6414" s="2" t="s">
        <v>60</v>
      </c>
      <c r="C6414" s="2" t="s">
        <v>61801</v>
      </c>
      <c r="D6414" s="2" t="s">
        <v>61802</v>
      </c>
      <c r="E6414" s="2" t="s">
        <v>61803</v>
      </c>
      <c r="G6414" s="3" t="s">
        <v>62</v>
      </c>
      <c r="I6414" s="3" t="s">
        <v>62</v>
      </c>
      <c r="J6414" s="3" t="s">
        <v>62</v>
      </c>
      <c r="K6414" s="3" t="s">
        <v>63</v>
      </c>
      <c r="M6414" s="2" t="s">
        <v>61804</v>
      </c>
      <c r="N6414" s="3" t="s">
        <v>5180</v>
      </c>
      <c r="P6414" s="3" t="s">
        <v>65</v>
      </c>
      <c r="Q6414" s="2" t="s">
        <v>44195</v>
      </c>
      <c r="R6414" s="3" t="s">
        <v>66</v>
      </c>
      <c r="S6414" s="4">
        <v>1</v>
      </c>
      <c r="T6414" s="4">
        <v>1</v>
      </c>
      <c r="W6414" s="5" t="s">
        <v>6620</v>
      </c>
      <c r="X6414" s="5" t="s">
        <v>6620</v>
      </c>
      <c r="Y6414" s="4">
        <v>30</v>
      </c>
      <c r="Z6414" s="4">
        <v>4</v>
      </c>
      <c r="AA6414" s="4">
        <v>11</v>
      </c>
      <c r="AB6414" s="4">
        <v>2</v>
      </c>
      <c r="AC6414" s="4">
        <v>5</v>
      </c>
      <c r="AD6414" s="4">
        <v>16</v>
      </c>
      <c r="AE6414" s="4">
        <v>21</v>
      </c>
      <c r="AF6414" s="4">
        <v>1</v>
      </c>
      <c r="AG6414" s="4">
        <v>2</v>
      </c>
      <c r="AH6414" s="4">
        <v>15</v>
      </c>
      <c r="AI6414" s="4">
        <v>18</v>
      </c>
      <c r="AJ6414" s="4">
        <v>3</v>
      </c>
      <c r="AK6414" s="4">
        <v>7</v>
      </c>
      <c r="AL6414" s="4">
        <v>11</v>
      </c>
      <c r="AM6414" s="4">
        <v>11</v>
      </c>
      <c r="AN6414" s="4">
        <v>0</v>
      </c>
      <c r="AO6414" s="4">
        <v>0</v>
      </c>
      <c r="AP6414" s="4">
        <v>3</v>
      </c>
      <c r="AQ6414" s="4">
        <v>8</v>
      </c>
      <c r="AR6414" s="3" t="s">
        <v>62</v>
      </c>
      <c r="AS6414" s="3" t="s">
        <v>62</v>
      </c>
      <c r="AT6414" s="3" t="s">
        <v>62</v>
      </c>
      <c r="AV6414" s="6" t="str">
        <f>HYPERLINK("http://mcgill.on.worldcat.org/oclc/1042352477","Catalog Record")</f>
        <v>Catalog Record</v>
      </c>
      <c r="AW6414" s="6" t="str">
        <f>HYPERLINK("http://www.worldcat.org/oclc/1042352477","WorldCat Record")</f>
        <v>WorldCat Record</v>
      </c>
      <c r="AX6414" s="3" t="s">
        <v>61805</v>
      </c>
      <c r="AY6414" s="3" t="s">
        <v>61806</v>
      </c>
      <c r="AZ6414" s="3" t="s">
        <v>61807</v>
      </c>
      <c r="BA6414" s="3" t="s">
        <v>61807</v>
      </c>
      <c r="BB6414" s="3" t="s">
        <v>61808</v>
      </c>
      <c r="BC6414" s="3" t="s">
        <v>142</v>
      </c>
      <c r="BD6414" s="3" t="s">
        <v>308</v>
      </c>
      <c r="BE6414" s="3" t="s">
        <v>61809</v>
      </c>
      <c r="BF6414" s="3" t="s">
        <v>61808</v>
      </c>
      <c r="BG6414" s="3" t="s">
        <v>61810</v>
      </c>
    </row>
    <row r="6415" spans="1:59" ht="57" x14ac:dyDescent="0.45">
      <c r="A6415" s="2" t="s">
        <v>59</v>
      </c>
      <c r="B6415" s="2" t="s">
        <v>60</v>
      </c>
      <c r="C6415" s="2" t="s">
        <v>61811</v>
      </c>
      <c r="D6415" s="2" t="s">
        <v>61812</v>
      </c>
      <c r="E6415" s="2" t="s">
        <v>61813</v>
      </c>
      <c r="G6415" s="3" t="s">
        <v>62</v>
      </c>
      <c r="I6415" s="3" t="s">
        <v>62</v>
      </c>
      <c r="J6415" s="3" t="s">
        <v>62</v>
      </c>
      <c r="K6415" s="3" t="s">
        <v>63</v>
      </c>
      <c r="M6415" s="2" t="s">
        <v>61814</v>
      </c>
      <c r="N6415" s="3" t="s">
        <v>116</v>
      </c>
      <c r="P6415" s="3" t="s">
        <v>65</v>
      </c>
      <c r="R6415" s="3" t="s">
        <v>66</v>
      </c>
      <c r="S6415" s="4">
        <v>0</v>
      </c>
      <c r="T6415" s="4">
        <v>0</v>
      </c>
      <c r="W6415" s="5" t="s">
        <v>67</v>
      </c>
      <c r="X6415" s="5" t="s">
        <v>67</v>
      </c>
      <c r="Y6415" s="4">
        <v>79</v>
      </c>
      <c r="Z6415" s="4">
        <v>10</v>
      </c>
      <c r="AA6415" s="4">
        <v>12</v>
      </c>
      <c r="AB6415" s="4">
        <v>2</v>
      </c>
      <c r="AC6415" s="4">
        <v>3</v>
      </c>
      <c r="AD6415" s="4">
        <v>35</v>
      </c>
      <c r="AE6415" s="4">
        <v>37</v>
      </c>
      <c r="AF6415" s="4">
        <v>1</v>
      </c>
      <c r="AG6415" s="4">
        <v>2</v>
      </c>
      <c r="AH6415" s="4">
        <v>32</v>
      </c>
      <c r="AI6415" s="4">
        <v>32</v>
      </c>
      <c r="AJ6415" s="4">
        <v>8</v>
      </c>
      <c r="AK6415" s="4">
        <v>8</v>
      </c>
      <c r="AL6415" s="4">
        <v>19</v>
      </c>
      <c r="AM6415" s="4">
        <v>19</v>
      </c>
      <c r="AN6415" s="4">
        <v>0</v>
      </c>
      <c r="AO6415" s="4">
        <v>0</v>
      </c>
      <c r="AP6415" s="4">
        <v>8</v>
      </c>
      <c r="AQ6415" s="4">
        <v>10</v>
      </c>
      <c r="AR6415" s="3" t="s">
        <v>62</v>
      </c>
      <c r="AS6415" s="3" t="s">
        <v>62</v>
      </c>
      <c r="AT6415" s="3" t="s">
        <v>62</v>
      </c>
      <c r="AV6415" s="6" t="str">
        <f>HYPERLINK("http://mcgill.on.worldcat.org/oclc/855890595","Catalog Record")</f>
        <v>Catalog Record</v>
      </c>
      <c r="AW6415" s="6" t="str">
        <f>HYPERLINK("http://www.worldcat.org/oclc/855890595","WorldCat Record")</f>
        <v>WorldCat Record</v>
      </c>
      <c r="AX6415" s="3" t="s">
        <v>61815</v>
      </c>
      <c r="AY6415" s="3" t="s">
        <v>61816</v>
      </c>
      <c r="AZ6415" s="3" t="s">
        <v>61817</v>
      </c>
      <c r="BA6415" s="3" t="s">
        <v>61817</v>
      </c>
      <c r="BB6415" s="3" t="s">
        <v>61818</v>
      </c>
      <c r="BC6415" s="3" t="s">
        <v>142</v>
      </c>
      <c r="BD6415" s="3" t="s">
        <v>68</v>
      </c>
      <c r="BE6415" s="3" t="s">
        <v>61819</v>
      </c>
      <c r="BF6415" s="3" t="s">
        <v>61818</v>
      </c>
      <c r="BG6415" s="3" t="s">
        <v>61820</v>
      </c>
    </row>
    <row r="6416" spans="1:59" ht="57" x14ac:dyDescent="0.45">
      <c r="A6416" s="2" t="s">
        <v>59</v>
      </c>
      <c r="B6416" s="2" t="s">
        <v>60</v>
      </c>
      <c r="C6416" s="2" t="s">
        <v>61821</v>
      </c>
      <c r="D6416" s="2" t="s">
        <v>61822</v>
      </c>
      <c r="E6416" s="2" t="s">
        <v>61823</v>
      </c>
      <c r="G6416" s="3" t="s">
        <v>62</v>
      </c>
      <c r="I6416" s="3" t="s">
        <v>62</v>
      </c>
      <c r="J6416" s="3" t="s">
        <v>62</v>
      </c>
      <c r="K6416" s="3" t="s">
        <v>63</v>
      </c>
      <c r="M6416" s="2" t="s">
        <v>61824</v>
      </c>
      <c r="N6416" s="3" t="s">
        <v>208</v>
      </c>
      <c r="P6416" s="3" t="s">
        <v>110</v>
      </c>
      <c r="Q6416" s="2" t="s">
        <v>61825</v>
      </c>
      <c r="R6416" s="3" t="s">
        <v>66</v>
      </c>
      <c r="S6416" s="4">
        <v>1</v>
      </c>
      <c r="T6416" s="4">
        <v>1</v>
      </c>
      <c r="U6416" s="5" t="s">
        <v>4187</v>
      </c>
      <c r="V6416" s="5" t="s">
        <v>4187</v>
      </c>
      <c r="W6416" s="5" t="s">
        <v>67</v>
      </c>
      <c r="X6416" s="5" t="s">
        <v>67</v>
      </c>
      <c r="Y6416" s="4">
        <v>10</v>
      </c>
      <c r="Z6416" s="4">
        <v>2</v>
      </c>
      <c r="AA6416" s="4">
        <v>6</v>
      </c>
      <c r="AB6416" s="4">
        <v>2</v>
      </c>
      <c r="AC6416" s="4">
        <v>5</v>
      </c>
      <c r="AD6416" s="4">
        <v>3</v>
      </c>
      <c r="AE6416" s="4">
        <v>6</v>
      </c>
      <c r="AF6416" s="4">
        <v>1</v>
      </c>
      <c r="AG6416" s="4">
        <v>3</v>
      </c>
      <c r="AH6416" s="4">
        <v>1</v>
      </c>
      <c r="AI6416" s="4">
        <v>2</v>
      </c>
      <c r="AJ6416" s="4">
        <v>1</v>
      </c>
      <c r="AK6416" s="4">
        <v>3</v>
      </c>
      <c r="AL6416" s="4">
        <v>2</v>
      </c>
      <c r="AM6416" s="4">
        <v>2</v>
      </c>
      <c r="AN6416" s="4">
        <v>0</v>
      </c>
      <c r="AO6416" s="4">
        <v>0</v>
      </c>
      <c r="AP6416" s="4">
        <v>1</v>
      </c>
      <c r="AQ6416" s="4">
        <v>3</v>
      </c>
      <c r="AR6416" s="3" t="s">
        <v>62</v>
      </c>
      <c r="AS6416" s="3" t="s">
        <v>62</v>
      </c>
      <c r="AT6416" s="3" t="s">
        <v>62</v>
      </c>
      <c r="AV6416" s="6" t="str">
        <f>HYPERLINK("http://mcgill.on.worldcat.org/oclc/910848022","Catalog Record")</f>
        <v>Catalog Record</v>
      </c>
      <c r="AW6416" s="6" t="str">
        <f>HYPERLINK("http://www.worldcat.org/oclc/910848022","WorldCat Record")</f>
        <v>WorldCat Record</v>
      </c>
      <c r="AX6416" s="3" t="s">
        <v>61826</v>
      </c>
      <c r="AY6416" s="3" t="s">
        <v>61827</v>
      </c>
      <c r="AZ6416" s="3" t="s">
        <v>61828</v>
      </c>
      <c r="BA6416" s="3" t="s">
        <v>61828</v>
      </c>
      <c r="BB6416" s="3" t="s">
        <v>61829</v>
      </c>
      <c r="BC6416" s="3" t="s">
        <v>142</v>
      </c>
      <c r="BD6416" s="3" t="s">
        <v>68</v>
      </c>
      <c r="BE6416" s="3" t="s">
        <v>61830</v>
      </c>
      <c r="BF6416" s="3" t="s">
        <v>61829</v>
      </c>
      <c r="BG6416" s="3" t="s">
        <v>61831</v>
      </c>
    </row>
    <row r="6417" spans="1:59" ht="57" x14ac:dyDescent="0.45">
      <c r="A6417" s="2" t="s">
        <v>59</v>
      </c>
      <c r="B6417" s="2" t="s">
        <v>60</v>
      </c>
      <c r="C6417" s="2" t="s">
        <v>61832</v>
      </c>
      <c r="D6417" s="2" t="s">
        <v>61833</v>
      </c>
      <c r="E6417" s="2" t="s">
        <v>61834</v>
      </c>
      <c r="G6417" s="3" t="s">
        <v>62</v>
      </c>
      <c r="I6417" s="3" t="s">
        <v>62</v>
      </c>
      <c r="J6417" s="3" t="s">
        <v>62</v>
      </c>
      <c r="K6417" s="3" t="s">
        <v>63</v>
      </c>
      <c r="L6417" s="2" t="s">
        <v>31269</v>
      </c>
      <c r="M6417" s="2" t="s">
        <v>9822</v>
      </c>
      <c r="N6417" s="3" t="s">
        <v>116</v>
      </c>
      <c r="P6417" s="3" t="s">
        <v>65</v>
      </c>
      <c r="Q6417" s="2" t="s">
        <v>60559</v>
      </c>
      <c r="R6417" s="3" t="s">
        <v>66</v>
      </c>
      <c r="S6417" s="4">
        <v>4</v>
      </c>
      <c r="T6417" s="4">
        <v>4</v>
      </c>
      <c r="U6417" s="5" t="s">
        <v>31633</v>
      </c>
      <c r="V6417" s="5" t="s">
        <v>31633</v>
      </c>
      <c r="W6417" s="5" t="s">
        <v>67</v>
      </c>
      <c r="X6417" s="5" t="s">
        <v>67</v>
      </c>
      <c r="Y6417" s="4">
        <v>150</v>
      </c>
      <c r="Z6417" s="4">
        <v>14</v>
      </c>
      <c r="AA6417" s="4">
        <v>81</v>
      </c>
      <c r="AB6417" s="4">
        <v>2</v>
      </c>
      <c r="AC6417" s="4">
        <v>16</v>
      </c>
      <c r="AD6417" s="4">
        <v>49</v>
      </c>
      <c r="AE6417" s="4">
        <v>118</v>
      </c>
      <c r="AF6417" s="4">
        <v>1</v>
      </c>
      <c r="AG6417" s="4">
        <v>8</v>
      </c>
      <c r="AH6417" s="4">
        <v>44</v>
      </c>
      <c r="AI6417" s="4">
        <v>84</v>
      </c>
      <c r="AJ6417" s="4">
        <v>9</v>
      </c>
      <c r="AK6417" s="4">
        <v>22</v>
      </c>
      <c r="AL6417" s="4">
        <v>26</v>
      </c>
      <c r="AM6417" s="4">
        <v>44</v>
      </c>
      <c r="AN6417" s="4">
        <v>0</v>
      </c>
      <c r="AO6417" s="4">
        <v>0</v>
      </c>
      <c r="AP6417" s="4">
        <v>11</v>
      </c>
      <c r="AQ6417" s="4">
        <v>43</v>
      </c>
      <c r="AR6417" s="3" t="s">
        <v>62</v>
      </c>
      <c r="AS6417" s="3" t="s">
        <v>62</v>
      </c>
      <c r="AT6417" s="3" t="s">
        <v>62</v>
      </c>
      <c r="AV6417" s="6" t="str">
        <f>HYPERLINK("http://mcgill.on.worldcat.org/oclc/727702677","Catalog Record")</f>
        <v>Catalog Record</v>
      </c>
      <c r="AW6417" s="6" t="str">
        <f>HYPERLINK("http://www.worldcat.org/oclc/727702677","WorldCat Record")</f>
        <v>WorldCat Record</v>
      </c>
      <c r="AX6417" s="3" t="s">
        <v>61835</v>
      </c>
      <c r="AY6417" s="3" t="s">
        <v>61836</v>
      </c>
      <c r="AZ6417" s="3" t="s">
        <v>61837</v>
      </c>
      <c r="BA6417" s="3" t="s">
        <v>61837</v>
      </c>
      <c r="BB6417" s="3" t="s">
        <v>61838</v>
      </c>
      <c r="BC6417" s="3" t="s">
        <v>142</v>
      </c>
      <c r="BD6417" s="3" t="s">
        <v>68</v>
      </c>
      <c r="BE6417" s="3" t="s">
        <v>61839</v>
      </c>
      <c r="BF6417" s="3" t="s">
        <v>61838</v>
      </c>
      <c r="BG6417" s="3" t="s">
        <v>61840</v>
      </c>
    </row>
    <row r="6418" spans="1:59" ht="57" x14ac:dyDescent="0.45">
      <c r="A6418" s="2" t="s">
        <v>59</v>
      </c>
      <c r="B6418" s="2" t="s">
        <v>60</v>
      </c>
      <c r="C6418" s="2" t="s">
        <v>61841</v>
      </c>
      <c r="D6418" s="2" t="s">
        <v>61842</v>
      </c>
      <c r="E6418" s="2" t="s">
        <v>61843</v>
      </c>
      <c r="G6418" s="3" t="s">
        <v>62</v>
      </c>
      <c r="I6418" s="3" t="s">
        <v>62</v>
      </c>
      <c r="J6418" s="3" t="s">
        <v>62</v>
      </c>
      <c r="K6418" s="3" t="s">
        <v>63</v>
      </c>
      <c r="L6418" s="2" t="s">
        <v>61844</v>
      </c>
      <c r="M6418" s="2" t="s">
        <v>61845</v>
      </c>
      <c r="N6418" s="3" t="s">
        <v>1059</v>
      </c>
      <c r="P6418" s="3" t="s">
        <v>65</v>
      </c>
      <c r="Q6418" s="2" t="s">
        <v>61846</v>
      </c>
      <c r="R6418" s="3" t="s">
        <v>66</v>
      </c>
      <c r="S6418" s="4">
        <v>10</v>
      </c>
      <c r="T6418" s="4">
        <v>10</v>
      </c>
      <c r="U6418" s="5" t="s">
        <v>17428</v>
      </c>
      <c r="V6418" s="5" t="s">
        <v>17428</v>
      </c>
      <c r="W6418" s="5" t="s">
        <v>67</v>
      </c>
      <c r="X6418" s="5" t="s">
        <v>67</v>
      </c>
      <c r="Y6418" s="4">
        <v>130</v>
      </c>
      <c r="Z6418" s="4">
        <v>11</v>
      </c>
      <c r="AA6418" s="4">
        <v>20</v>
      </c>
      <c r="AB6418" s="4">
        <v>2</v>
      </c>
      <c r="AC6418" s="4">
        <v>9</v>
      </c>
      <c r="AD6418" s="4">
        <v>37</v>
      </c>
      <c r="AE6418" s="4">
        <v>47</v>
      </c>
      <c r="AF6418" s="4">
        <v>1</v>
      </c>
      <c r="AG6418" s="4">
        <v>5</v>
      </c>
      <c r="AH6418" s="4">
        <v>33</v>
      </c>
      <c r="AI6418" s="4">
        <v>39</v>
      </c>
      <c r="AJ6418" s="4">
        <v>9</v>
      </c>
      <c r="AK6418" s="4">
        <v>14</v>
      </c>
      <c r="AL6418" s="4">
        <v>19</v>
      </c>
      <c r="AM6418" s="4">
        <v>22</v>
      </c>
      <c r="AN6418" s="4">
        <v>0</v>
      </c>
      <c r="AO6418" s="4">
        <v>0</v>
      </c>
      <c r="AP6418" s="4">
        <v>9</v>
      </c>
      <c r="AQ6418" s="4">
        <v>14</v>
      </c>
      <c r="AR6418" s="3" t="s">
        <v>62</v>
      </c>
      <c r="AS6418" s="3" t="s">
        <v>62</v>
      </c>
      <c r="AT6418" s="3" t="s">
        <v>62</v>
      </c>
      <c r="AV6418" s="6" t="str">
        <f>HYPERLINK("http://mcgill.on.worldcat.org/oclc/64065974","Catalog Record")</f>
        <v>Catalog Record</v>
      </c>
      <c r="AW6418" s="6" t="str">
        <f>HYPERLINK("http://www.worldcat.org/oclc/64065974","WorldCat Record")</f>
        <v>WorldCat Record</v>
      </c>
      <c r="AX6418" s="3" t="s">
        <v>61847</v>
      </c>
      <c r="AY6418" s="3" t="s">
        <v>61848</v>
      </c>
      <c r="AZ6418" s="3" t="s">
        <v>61849</v>
      </c>
      <c r="BA6418" s="3" t="s">
        <v>61849</v>
      </c>
      <c r="BB6418" s="3" t="s">
        <v>61850</v>
      </c>
      <c r="BC6418" s="3" t="s">
        <v>142</v>
      </c>
      <c r="BD6418" s="3" t="s">
        <v>68</v>
      </c>
      <c r="BE6418" s="3" t="s">
        <v>61851</v>
      </c>
      <c r="BF6418" s="3" t="s">
        <v>61850</v>
      </c>
      <c r="BG6418" s="3" t="s">
        <v>61852</v>
      </c>
    </row>
    <row r="6419" spans="1:59" ht="57" x14ac:dyDescent="0.45">
      <c r="A6419" s="2" t="s">
        <v>59</v>
      </c>
      <c r="B6419" s="2" t="s">
        <v>60</v>
      </c>
      <c r="C6419" s="2" t="s">
        <v>61853</v>
      </c>
      <c r="D6419" s="2" t="s">
        <v>61854</v>
      </c>
      <c r="E6419" s="2" t="s">
        <v>61855</v>
      </c>
      <c r="G6419" s="3" t="s">
        <v>62</v>
      </c>
      <c r="I6419" s="3" t="s">
        <v>62</v>
      </c>
      <c r="J6419" s="3" t="s">
        <v>62</v>
      </c>
      <c r="K6419" s="3" t="s">
        <v>63</v>
      </c>
      <c r="M6419" s="2" t="s">
        <v>46948</v>
      </c>
      <c r="N6419" s="3" t="s">
        <v>5180</v>
      </c>
      <c r="P6419" s="3" t="s">
        <v>65</v>
      </c>
      <c r="Q6419" s="2" t="s">
        <v>61856</v>
      </c>
      <c r="R6419" s="3" t="s">
        <v>66</v>
      </c>
      <c r="S6419" s="4">
        <v>0</v>
      </c>
      <c r="T6419" s="4">
        <v>0</v>
      </c>
      <c r="W6419" s="5" t="s">
        <v>67</v>
      </c>
      <c r="X6419" s="5" t="s">
        <v>67</v>
      </c>
      <c r="Y6419" s="4">
        <v>44</v>
      </c>
      <c r="Z6419" s="4">
        <v>2</v>
      </c>
      <c r="AA6419" s="4">
        <v>70</v>
      </c>
      <c r="AB6419" s="4">
        <v>1</v>
      </c>
      <c r="AC6419" s="4">
        <v>14</v>
      </c>
      <c r="AD6419" s="4">
        <v>24</v>
      </c>
      <c r="AE6419" s="4">
        <v>91</v>
      </c>
      <c r="AF6419" s="4">
        <v>0</v>
      </c>
      <c r="AG6419" s="4">
        <v>8</v>
      </c>
      <c r="AH6419" s="4">
        <v>22</v>
      </c>
      <c r="AI6419" s="4">
        <v>60</v>
      </c>
      <c r="AJ6419" s="4">
        <v>1</v>
      </c>
      <c r="AK6419" s="4">
        <v>17</v>
      </c>
      <c r="AL6419" s="4">
        <v>19</v>
      </c>
      <c r="AM6419" s="4">
        <v>32</v>
      </c>
      <c r="AN6419" s="4">
        <v>0</v>
      </c>
      <c r="AO6419" s="4">
        <v>0</v>
      </c>
      <c r="AP6419" s="4">
        <v>1</v>
      </c>
      <c r="AQ6419" s="4">
        <v>37</v>
      </c>
      <c r="AR6419" s="3" t="s">
        <v>62</v>
      </c>
      <c r="AS6419" s="3" t="s">
        <v>62</v>
      </c>
      <c r="AT6419" s="3" t="s">
        <v>62</v>
      </c>
      <c r="AV6419" s="6" t="str">
        <f>HYPERLINK("http://mcgill.on.worldcat.org/oclc/1014459964","Catalog Record")</f>
        <v>Catalog Record</v>
      </c>
      <c r="AW6419" s="6" t="str">
        <f>HYPERLINK("http://www.worldcat.org/oclc/1014459964","WorldCat Record")</f>
        <v>WorldCat Record</v>
      </c>
      <c r="AX6419" s="3" t="s">
        <v>61857</v>
      </c>
      <c r="AY6419" s="3" t="s">
        <v>61858</v>
      </c>
      <c r="AZ6419" s="3" t="s">
        <v>61859</v>
      </c>
      <c r="BA6419" s="3" t="s">
        <v>61859</v>
      </c>
      <c r="BB6419" s="3" t="s">
        <v>61860</v>
      </c>
      <c r="BC6419" s="3" t="s">
        <v>142</v>
      </c>
      <c r="BD6419" s="3" t="s">
        <v>68</v>
      </c>
      <c r="BE6419" s="3" t="s">
        <v>61861</v>
      </c>
      <c r="BF6419" s="3" t="s">
        <v>61860</v>
      </c>
      <c r="BG6419" s="3" t="s">
        <v>61862</v>
      </c>
    </row>
    <row r="6420" spans="1:59" ht="57" x14ac:dyDescent="0.45">
      <c r="A6420" s="2" t="s">
        <v>59</v>
      </c>
      <c r="B6420" s="2" t="s">
        <v>60</v>
      </c>
      <c r="C6420" s="2" t="s">
        <v>61863</v>
      </c>
      <c r="D6420" s="2" t="s">
        <v>61864</v>
      </c>
      <c r="E6420" s="2" t="s">
        <v>61865</v>
      </c>
      <c r="G6420" s="3" t="s">
        <v>62</v>
      </c>
      <c r="I6420" s="3" t="s">
        <v>62</v>
      </c>
      <c r="J6420" s="3" t="s">
        <v>62</v>
      </c>
      <c r="K6420" s="3" t="s">
        <v>63</v>
      </c>
      <c r="L6420" s="2" t="s">
        <v>61866</v>
      </c>
      <c r="M6420" s="2" t="s">
        <v>61867</v>
      </c>
      <c r="N6420" s="3" t="s">
        <v>19337</v>
      </c>
      <c r="P6420" s="3" t="s">
        <v>65</v>
      </c>
      <c r="R6420" s="3" t="s">
        <v>66</v>
      </c>
      <c r="S6420" s="4">
        <v>0</v>
      </c>
      <c r="T6420" s="4">
        <v>0</v>
      </c>
      <c r="W6420" s="5" t="s">
        <v>61868</v>
      </c>
      <c r="X6420" s="5" t="s">
        <v>61868</v>
      </c>
      <c r="Y6420" s="4">
        <v>20</v>
      </c>
      <c r="Z6420" s="4">
        <v>3</v>
      </c>
      <c r="AA6420" s="4">
        <v>13</v>
      </c>
      <c r="AB6420" s="4">
        <v>2</v>
      </c>
      <c r="AC6420" s="4">
        <v>7</v>
      </c>
      <c r="AD6420" s="4">
        <v>10</v>
      </c>
      <c r="AE6420" s="4">
        <v>30</v>
      </c>
      <c r="AF6420" s="4">
        <v>1</v>
      </c>
      <c r="AG6420" s="4">
        <v>3</v>
      </c>
      <c r="AH6420" s="4">
        <v>8</v>
      </c>
      <c r="AI6420" s="4">
        <v>22</v>
      </c>
      <c r="AJ6420" s="4">
        <v>2</v>
      </c>
      <c r="AK6420" s="4">
        <v>7</v>
      </c>
      <c r="AL6420" s="4">
        <v>8</v>
      </c>
      <c r="AM6420" s="4">
        <v>15</v>
      </c>
      <c r="AN6420" s="4">
        <v>0</v>
      </c>
      <c r="AO6420" s="4">
        <v>0</v>
      </c>
      <c r="AP6420" s="4">
        <v>2</v>
      </c>
      <c r="AQ6420" s="4">
        <v>8</v>
      </c>
      <c r="AR6420" s="3" t="s">
        <v>62</v>
      </c>
      <c r="AS6420" s="3" t="s">
        <v>62</v>
      </c>
      <c r="AT6420" s="3" t="s">
        <v>62</v>
      </c>
      <c r="AV6420" s="6" t="str">
        <f>HYPERLINK("http://mcgill.on.worldcat.org/oclc/1075580986","Catalog Record")</f>
        <v>Catalog Record</v>
      </c>
      <c r="AW6420" s="6" t="str">
        <f>HYPERLINK("http://www.worldcat.org/oclc/1075580986","WorldCat Record")</f>
        <v>WorldCat Record</v>
      </c>
      <c r="AX6420" s="3" t="s">
        <v>61869</v>
      </c>
      <c r="AY6420" s="3" t="s">
        <v>61870</v>
      </c>
      <c r="AZ6420" s="3" t="s">
        <v>61871</v>
      </c>
      <c r="BA6420" s="3" t="s">
        <v>61871</v>
      </c>
      <c r="BB6420" s="3" t="s">
        <v>61872</v>
      </c>
      <c r="BC6420" s="3" t="s">
        <v>142</v>
      </c>
      <c r="BD6420" s="3" t="s">
        <v>68</v>
      </c>
      <c r="BE6420" s="3" t="s">
        <v>61873</v>
      </c>
      <c r="BF6420" s="3" t="s">
        <v>61872</v>
      </c>
      <c r="BG6420" s="3" t="s">
        <v>61874</v>
      </c>
    </row>
    <row r="6421" spans="1:59" ht="57" x14ac:dyDescent="0.45">
      <c r="A6421" s="2" t="s">
        <v>59</v>
      </c>
      <c r="B6421" s="2" t="s">
        <v>60</v>
      </c>
      <c r="C6421" s="2" t="s">
        <v>61875</v>
      </c>
      <c r="D6421" s="2" t="s">
        <v>61876</v>
      </c>
      <c r="E6421" s="2" t="s">
        <v>61877</v>
      </c>
      <c r="G6421" s="3" t="s">
        <v>62</v>
      </c>
      <c r="I6421" s="3" t="s">
        <v>62</v>
      </c>
      <c r="J6421" s="3" t="s">
        <v>62</v>
      </c>
      <c r="K6421" s="3" t="s">
        <v>63</v>
      </c>
      <c r="L6421" s="2" t="s">
        <v>61878</v>
      </c>
      <c r="M6421" s="2" t="s">
        <v>61879</v>
      </c>
      <c r="N6421" s="3" t="s">
        <v>625</v>
      </c>
      <c r="P6421" s="3" t="s">
        <v>65</v>
      </c>
      <c r="Q6421" s="2" t="s">
        <v>61880</v>
      </c>
      <c r="R6421" s="3" t="s">
        <v>66</v>
      </c>
      <c r="S6421" s="4">
        <v>22</v>
      </c>
      <c r="T6421" s="4">
        <v>22</v>
      </c>
      <c r="U6421" s="5" t="s">
        <v>1981</v>
      </c>
      <c r="V6421" s="5" t="s">
        <v>1981</v>
      </c>
      <c r="W6421" s="5" t="s">
        <v>67</v>
      </c>
      <c r="X6421" s="5" t="s">
        <v>67</v>
      </c>
      <c r="Y6421" s="4">
        <v>282</v>
      </c>
      <c r="Z6421" s="4">
        <v>18</v>
      </c>
      <c r="AA6421" s="4">
        <v>22</v>
      </c>
      <c r="AB6421" s="4">
        <v>1</v>
      </c>
      <c r="AC6421" s="4">
        <v>4</v>
      </c>
      <c r="AD6421" s="4">
        <v>85</v>
      </c>
      <c r="AE6421" s="4">
        <v>91</v>
      </c>
      <c r="AF6421" s="4">
        <v>0</v>
      </c>
      <c r="AG6421" s="4">
        <v>3</v>
      </c>
      <c r="AH6421" s="4">
        <v>78</v>
      </c>
      <c r="AI6421" s="4">
        <v>81</v>
      </c>
      <c r="AJ6421" s="4">
        <v>15</v>
      </c>
      <c r="AK6421" s="4">
        <v>17</v>
      </c>
      <c r="AL6421" s="4">
        <v>43</v>
      </c>
      <c r="AM6421" s="4">
        <v>43</v>
      </c>
      <c r="AN6421" s="4">
        <v>0</v>
      </c>
      <c r="AO6421" s="4">
        <v>0</v>
      </c>
      <c r="AP6421" s="4">
        <v>15</v>
      </c>
      <c r="AQ6421" s="4">
        <v>18</v>
      </c>
      <c r="AR6421" s="3" t="s">
        <v>62</v>
      </c>
      <c r="AS6421" s="3" t="s">
        <v>62</v>
      </c>
      <c r="AT6421" s="3" t="s">
        <v>61</v>
      </c>
      <c r="AU6421" s="6" t="str">
        <f>HYPERLINK("http://catalog.hathitrust.org/Record/000481736","HathiTrust Record")</f>
        <v>HathiTrust Record</v>
      </c>
      <c r="AV6421" s="6" t="str">
        <f>HYPERLINK("http://mcgill.on.worldcat.org/oclc/13525570","Catalog Record")</f>
        <v>Catalog Record</v>
      </c>
      <c r="AW6421" s="6" t="str">
        <f>HYPERLINK("http://www.worldcat.org/oclc/13525570","WorldCat Record")</f>
        <v>WorldCat Record</v>
      </c>
      <c r="AX6421" s="3" t="s">
        <v>61881</v>
      </c>
      <c r="AY6421" s="3" t="s">
        <v>61882</v>
      </c>
      <c r="AZ6421" s="3" t="s">
        <v>61883</v>
      </c>
      <c r="BA6421" s="3" t="s">
        <v>61883</v>
      </c>
      <c r="BB6421" s="3" t="s">
        <v>61884</v>
      </c>
      <c r="BC6421" s="3" t="s">
        <v>142</v>
      </c>
      <c r="BD6421" s="3" t="s">
        <v>68</v>
      </c>
      <c r="BE6421" s="3" t="s">
        <v>61885</v>
      </c>
      <c r="BF6421" s="3" t="s">
        <v>61884</v>
      </c>
      <c r="BG6421" s="3" t="s">
        <v>61886</v>
      </c>
    </row>
    <row r="6422" spans="1:59" ht="57" x14ac:dyDescent="0.45">
      <c r="A6422" s="2" t="s">
        <v>59</v>
      </c>
      <c r="B6422" s="2" t="s">
        <v>60</v>
      </c>
      <c r="C6422" s="2" t="s">
        <v>61887</v>
      </c>
      <c r="D6422" s="2" t="s">
        <v>61888</v>
      </c>
      <c r="E6422" s="2" t="s">
        <v>61889</v>
      </c>
      <c r="G6422" s="3" t="s">
        <v>62</v>
      </c>
      <c r="I6422" s="3" t="s">
        <v>62</v>
      </c>
      <c r="J6422" s="3" t="s">
        <v>62</v>
      </c>
      <c r="K6422" s="3" t="s">
        <v>63</v>
      </c>
      <c r="L6422" s="2" t="s">
        <v>61890</v>
      </c>
      <c r="M6422" s="2" t="s">
        <v>34980</v>
      </c>
      <c r="N6422" s="3" t="s">
        <v>149</v>
      </c>
      <c r="P6422" s="3" t="s">
        <v>65</v>
      </c>
      <c r="R6422" s="3" t="s">
        <v>66</v>
      </c>
      <c r="S6422" s="4">
        <v>9</v>
      </c>
      <c r="T6422" s="4">
        <v>9</v>
      </c>
      <c r="U6422" s="5" t="s">
        <v>6153</v>
      </c>
      <c r="V6422" s="5" t="s">
        <v>6153</v>
      </c>
      <c r="W6422" s="5" t="s">
        <v>67</v>
      </c>
      <c r="X6422" s="5" t="s">
        <v>67</v>
      </c>
      <c r="Y6422" s="4">
        <v>177</v>
      </c>
      <c r="Z6422" s="4">
        <v>13</v>
      </c>
      <c r="AA6422" s="4">
        <v>79</v>
      </c>
      <c r="AB6422" s="4">
        <v>2</v>
      </c>
      <c r="AC6422" s="4">
        <v>14</v>
      </c>
      <c r="AD6422" s="4">
        <v>49</v>
      </c>
      <c r="AE6422" s="4">
        <v>104</v>
      </c>
      <c r="AF6422" s="4">
        <v>1</v>
      </c>
      <c r="AG6422" s="4">
        <v>8</v>
      </c>
      <c r="AH6422" s="4">
        <v>44</v>
      </c>
      <c r="AI6422" s="4">
        <v>72</v>
      </c>
      <c r="AJ6422" s="4">
        <v>10</v>
      </c>
      <c r="AK6422" s="4">
        <v>20</v>
      </c>
      <c r="AL6422" s="4">
        <v>28</v>
      </c>
      <c r="AM6422" s="4">
        <v>40</v>
      </c>
      <c r="AN6422" s="4">
        <v>0</v>
      </c>
      <c r="AO6422" s="4">
        <v>0</v>
      </c>
      <c r="AP6422" s="4">
        <v>11</v>
      </c>
      <c r="AQ6422" s="4">
        <v>40</v>
      </c>
      <c r="AR6422" s="3" t="s">
        <v>62</v>
      </c>
      <c r="AS6422" s="3" t="s">
        <v>62</v>
      </c>
      <c r="AT6422" s="3" t="s">
        <v>62</v>
      </c>
      <c r="AV6422" s="6" t="str">
        <f>HYPERLINK("http://mcgill.on.worldcat.org/oclc/316824008","Catalog Record")</f>
        <v>Catalog Record</v>
      </c>
      <c r="AW6422" s="6" t="str">
        <f>HYPERLINK("http://www.worldcat.org/oclc/316824008","WorldCat Record")</f>
        <v>WorldCat Record</v>
      </c>
      <c r="AX6422" s="3" t="s">
        <v>61891</v>
      </c>
      <c r="AY6422" s="3" t="s">
        <v>61892</v>
      </c>
      <c r="AZ6422" s="3" t="s">
        <v>61893</v>
      </c>
      <c r="BA6422" s="3" t="s">
        <v>61893</v>
      </c>
      <c r="BB6422" s="3" t="s">
        <v>61894</v>
      </c>
      <c r="BC6422" s="3" t="s">
        <v>142</v>
      </c>
      <c r="BD6422" s="3" t="s">
        <v>68</v>
      </c>
      <c r="BE6422" s="3" t="s">
        <v>61895</v>
      </c>
      <c r="BF6422" s="3" t="s">
        <v>61894</v>
      </c>
      <c r="BG6422" s="3" t="s">
        <v>61896</v>
      </c>
    </row>
    <row r="6423" spans="1:59" ht="57" x14ac:dyDescent="0.45">
      <c r="A6423" s="2" t="s">
        <v>59</v>
      </c>
      <c r="B6423" s="2" t="s">
        <v>60</v>
      </c>
      <c r="C6423" s="2" t="s">
        <v>61897</v>
      </c>
      <c r="D6423" s="2" t="s">
        <v>61898</v>
      </c>
      <c r="E6423" s="2" t="s">
        <v>61899</v>
      </c>
      <c r="G6423" s="3" t="s">
        <v>62</v>
      </c>
      <c r="I6423" s="3" t="s">
        <v>62</v>
      </c>
      <c r="J6423" s="3" t="s">
        <v>62</v>
      </c>
      <c r="K6423" s="3" t="s">
        <v>63</v>
      </c>
      <c r="L6423" s="2" t="s">
        <v>58174</v>
      </c>
      <c r="M6423" s="2" t="s">
        <v>61900</v>
      </c>
      <c r="N6423" s="3" t="s">
        <v>945</v>
      </c>
      <c r="O6423" s="2" t="s">
        <v>61901</v>
      </c>
      <c r="P6423" s="3" t="s">
        <v>110</v>
      </c>
      <c r="R6423" s="3" t="s">
        <v>66</v>
      </c>
      <c r="S6423" s="4">
        <v>16</v>
      </c>
      <c r="T6423" s="4">
        <v>16</v>
      </c>
      <c r="U6423" s="5" t="s">
        <v>3998</v>
      </c>
      <c r="V6423" s="5" t="s">
        <v>3998</v>
      </c>
      <c r="W6423" s="5" t="s">
        <v>67</v>
      </c>
      <c r="X6423" s="5" t="s">
        <v>67</v>
      </c>
      <c r="Y6423" s="4">
        <v>14</v>
      </c>
      <c r="Z6423" s="4">
        <v>7</v>
      </c>
      <c r="AA6423" s="4">
        <v>20</v>
      </c>
      <c r="AB6423" s="4">
        <v>3</v>
      </c>
      <c r="AC6423" s="4">
        <v>9</v>
      </c>
      <c r="AD6423" s="4">
        <v>4</v>
      </c>
      <c r="AE6423" s="4">
        <v>18</v>
      </c>
      <c r="AF6423" s="4">
        <v>1</v>
      </c>
      <c r="AG6423" s="4">
        <v>6</v>
      </c>
      <c r="AH6423" s="4">
        <v>2</v>
      </c>
      <c r="AI6423" s="4">
        <v>10</v>
      </c>
      <c r="AJ6423" s="4">
        <v>4</v>
      </c>
      <c r="AK6423" s="4">
        <v>12</v>
      </c>
      <c r="AL6423" s="4">
        <v>0</v>
      </c>
      <c r="AM6423" s="4">
        <v>1</v>
      </c>
      <c r="AN6423" s="4">
        <v>0</v>
      </c>
      <c r="AO6423" s="4">
        <v>0</v>
      </c>
      <c r="AP6423" s="4">
        <v>2</v>
      </c>
      <c r="AQ6423" s="4">
        <v>13</v>
      </c>
      <c r="AR6423" s="3" t="s">
        <v>61</v>
      </c>
      <c r="AS6423" s="3" t="s">
        <v>62</v>
      </c>
      <c r="AT6423" s="3" t="s">
        <v>62</v>
      </c>
      <c r="AV6423" s="6" t="str">
        <f>HYPERLINK("http://mcgill.on.worldcat.org/oclc/153914331","Catalog Record")</f>
        <v>Catalog Record</v>
      </c>
      <c r="AW6423" s="6" t="str">
        <f>HYPERLINK("http://www.worldcat.org/oclc/153914331","WorldCat Record")</f>
        <v>WorldCat Record</v>
      </c>
      <c r="AX6423" s="3" t="s">
        <v>61902</v>
      </c>
      <c r="AY6423" s="3" t="s">
        <v>61903</v>
      </c>
      <c r="AZ6423" s="3" t="s">
        <v>61904</v>
      </c>
      <c r="BA6423" s="3" t="s">
        <v>61904</v>
      </c>
      <c r="BB6423" s="3" t="s">
        <v>61905</v>
      </c>
      <c r="BC6423" s="3" t="s">
        <v>142</v>
      </c>
      <c r="BD6423" s="3" t="s">
        <v>68</v>
      </c>
      <c r="BE6423" s="3" t="s">
        <v>61906</v>
      </c>
      <c r="BF6423" s="3" t="s">
        <v>61905</v>
      </c>
      <c r="BG6423" s="3" t="s">
        <v>61907</v>
      </c>
    </row>
    <row r="6424" spans="1:59" ht="57" x14ac:dyDescent="0.45">
      <c r="A6424" s="2" t="s">
        <v>59</v>
      </c>
      <c r="B6424" s="2" t="s">
        <v>60</v>
      </c>
      <c r="C6424" s="2" t="s">
        <v>61908</v>
      </c>
      <c r="D6424" s="2" t="s">
        <v>61909</v>
      </c>
      <c r="E6424" s="2" t="s">
        <v>61910</v>
      </c>
      <c r="G6424" s="3" t="s">
        <v>62</v>
      </c>
      <c r="I6424" s="3" t="s">
        <v>62</v>
      </c>
      <c r="J6424" s="3" t="s">
        <v>62</v>
      </c>
      <c r="K6424" s="3" t="s">
        <v>63</v>
      </c>
      <c r="M6424" s="2" t="s">
        <v>54522</v>
      </c>
      <c r="N6424" s="3" t="s">
        <v>1253</v>
      </c>
      <c r="P6424" s="3" t="s">
        <v>65</v>
      </c>
      <c r="Q6424" s="2" t="s">
        <v>61911</v>
      </c>
      <c r="R6424" s="3" t="s">
        <v>66</v>
      </c>
      <c r="S6424" s="4">
        <v>18</v>
      </c>
      <c r="T6424" s="4">
        <v>18</v>
      </c>
      <c r="U6424" s="5" t="s">
        <v>6153</v>
      </c>
      <c r="V6424" s="5" t="s">
        <v>6153</v>
      </c>
      <c r="W6424" s="5" t="s">
        <v>67</v>
      </c>
      <c r="X6424" s="5" t="s">
        <v>67</v>
      </c>
      <c r="Y6424" s="4">
        <v>134</v>
      </c>
      <c r="Z6424" s="4">
        <v>10</v>
      </c>
      <c r="AA6424" s="4">
        <v>80</v>
      </c>
      <c r="AB6424" s="4">
        <v>2</v>
      </c>
      <c r="AC6424" s="4">
        <v>14</v>
      </c>
      <c r="AD6424" s="4">
        <v>46</v>
      </c>
      <c r="AE6424" s="4">
        <v>112</v>
      </c>
      <c r="AF6424" s="4">
        <v>1</v>
      </c>
      <c r="AG6424" s="4">
        <v>8</v>
      </c>
      <c r="AH6424" s="4">
        <v>43</v>
      </c>
      <c r="AI6424" s="4">
        <v>78</v>
      </c>
      <c r="AJ6424" s="4">
        <v>8</v>
      </c>
      <c r="AK6424" s="4">
        <v>22</v>
      </c>
      <c r="AL6424" s="4">
        <v>26</v>
      </c>
      <c r="AM6424" s="4">
        <v>41</v>
      </c>
      <c r="AN6424" s="4">
        <v>0</v>
      </c>
      <c r="AO6424" s="4">
        <v>0</v>
      </c>
      <c r="AP6424" s="4">
        <v>8</v>
      </c>
      <c r="AQ6424" s="4">
        <v>42</v>
      </c>
      <c r="AR6424" s="3" t="s">
        <v>62</v>
      </c>
      <c r="AS6424" s="3" t="s">
        <v>62</v>
      </c>
      <c r="AT6424" s="3" t="s">
        <v>61</v>
      </c>
      <c r="AU6424" s="6" t="str">
        <f>HYPERLINK("http://catalog.hathitrust.org/Record/007135169","HathiTrust Record")</f>
        <v>HathiTrust Record</v>
      </c>
      <c r="AV6424" s="6" t="str">
        <f>HYPERLINK("http://mcgill.on.worldcat.org/oclc/37115245","Catalog Record")</f>
        <v>Catalog Record</v>
      </c>
      <c r="AW6424" s="6" t="str">
        <f>HYPERLINK("http://www.worldcat.org/oclc/37115245","WorldCat Record")</f>
        <v>WorldCat Record</v>
      </c>
      <c r="AX6424" s="3" t="s">
        <v>61912</v>
      </c>
      <c r="AY6424" s="3" t="s">
        <v>61913</v>
      </c>
      <c r="AZ6424" s="3" t="s">
        <v>61914</v>
      </c>
      <c r="BA6424" s="3" t="s">
        <v>61914</v>
      </c>
      <c r="BB6424" s="3" t="s">
        <v>61915</v>
      </c>
      <c r="BC6424" s="3" t="s">
        <v>142</v>
      </c>
      <c r="BD6424" s="3" t="s">
        <v>68</v>
      </c>
      <c r="BE6424" s="3" t="s">
        <v>61916</v>
      </c>
      <c r="BF6424" s="3" t="s">
        <v>61915</v>
      </c>
      <c r="BG6424" s="3" t="s">
        <v>61917</v>
      </c>
    </row>
    <row r="6425" spans="1:59" ht="57" x14ac:dyDescent="0.45">
      <c r="A6425" s="2" t="s">
        <v>59</v>
      </c>
      <c r="B6425" s="2" t="s">
        <v>60</v>
      </c>
      <c r="C6425" s="2" t="s">
        <v>61918</v>
      </c>
      <c r="D6425" s="2" t="s">
        <v>61919</v>
      </c>
      <c r="E6425" s="2" t="s">
        <v>61920</v>
      </c>
      <c r="G6425" s="3" t="s">
        <v>62</v>
      </c>
      <c r="I6425" s="3" t="s">
        <v>62</v>
      </c>
      <c r="J6425" s="3" t="s">
        <v>62</v>
      </c>
      <c r="K6425" s="3" t="s">
        <v>63</v>
      </c>
      <c r="L6425" s="2" t="s">
        <v>61921</v>
      </c>
      <c r="M6425" s="2" t="s">
        <v>61922</v>
      </c>
      <c r="N6425" s="3" t="s">
        <v>1918</v>
      </c>
      <c r="P6425" s="3" t="s">
        <v>65</v>
      </c>
      <c r="Q6425" s="2" t="s">
        <v>61923</v>
      </c>
      <c r="R6425" s="3" t="s">
        <v>66</v>
      </c>
      <c r="S6425" s="4">
        <v>0</v>
      </c>
      <c r="T6425" s="4">
        <v>0</v>
      </c>
      <c r="W6425" s="5" t="s">
        <v>67</v>
      </c>
      <c r="X6425" s="5" t="s">
        <v>67</v>
      </c>
      <c r="Y6425" s="4">
        <v>81</v>
      </c>
      <c r="Z6425" s="4">
        <v>4</v>
      </c>
      <c r="AA6425" s="4">
        <v>12</v>
      </c>
      <c r="AB6425" s="4">
        <v>1</v>
      </c>
      <c r="AC6425" s="4">
        <v>4</v>
      </c>
      <c r="AD6425" s="4">
        <v>43</v>
      </c>
      <c r="AE6425" s="4">
        <v>52</v>
      </c>
      <c r="AF6425" s="4">
        <v>0</v>
      </c>
      <c r="AG6425" s="4">
        <v>1</v>
      </c>
      <c r="AH6425" s="4">
        <v>41</v>
      </c>
      <c r="AI6425" s="4">
        <v>47</v>
      </c>
      <c r="AJ6425" s="4">
        <v>2</v>
      </c>
      <c r="AK6425" s="4">
        <v>8</v>
      </c>
      <c r="AL6425" s="4">
        <v>33</v>
      </c>
      <c r="AM6425" s="4">
        <v>36</v>
      </c>
      <c r="AN6425" s="4">
        <v>0</v>
      </c>
      <c r="AO6425" s="4">
        <v>0</v>
      </c>
      <c r="AP6425" s="4">
        <v>3</v>
      </c>
      <c r="AQ6425" s="4">
        <v>8</v>
      </c>
      <c r="AR6425" s="3" t="s">
        <v>62</v>
      </c>
      <c r="AS6425" s="3" t="s">
        <v>62</v>
      </c>
      <c r="AT6425" s="3" t="s">
        <v>62</v>
      </c>
      <c r="AV6425" s="6" t="str">
        <f>HYPERLINK("http://mcgill.on.worldcat.org/oclc/987357452","Catalog Record")</f>
        <v>Catalog Record</v>
      </c>
      <c r="AW6425" s="6" t="str">
        <f>HYPERLINK("http://www.worldcat.org/oclc/987357452","WorldCat Record")</f>
        <v>WorldCat Record</v>
      </c>
      <c r="AX6425" s="3" t="s">
        <v>61924</v>
      </c>
      <c r="AY6425" s="3" t="s">
        <v>61925</v>
      </c>
      <c r="AZ6425" s="3" t="s">
        <v>61926</v>
      </c>
      <c r="BA6425" s="3" t="s">
        <v>61926</v>
      </c>
      <c r="BB6425" s="3" t="s">
        <v>61927</v>
      </c>
      <c r="BC6425" s="3" t="s">
        <v>142</v>
      </c>
      <c r="BD6425" s="3" t="s">
        <v>68</v>
      </c>
      <c r="BE6425" s="3" t="s">
        <v>61928</v>
      </c>
      <c r="BF6425" s="3" t="s">
        <v>61927</v>
      </c>
      <c r="BG6425" s="3" t="s">
        <v>61929</v>
      </c>
    </row>
    <row r="6426" spans="1:59" ht="57" x14ac:dyDescent="0.45">
      <c r="A6426" s="2" t="s">
        <v>59</v>
      </c>
      <c r="B6426" s="2" t="s">
        <v>60</v>
      </c>
      <c r="C6426" s="2" t="s">
        <v>61930</v>
      </c>
      <c r="D6426" s="2" t="s">
        <v>61931</v>
      </c>
      <c r="E6426" s="2" t="s">
        <v>61932</v>
      </c>
      <c r="G6426" s="3" t="s">
        <v>62</v>
      </c>
      <c r="I6426" s="3" t="s">
        <v>62</v>
      </c>
      <c r="J6426" s="3" t="s">
        <v>62</v>
      </c>
      <c r="K6426" s="3" t="s">
        <v>63</v>
      </c>
      <c r="L6426" s="2" t="s">
        <v>61933</v>
      </c>
      <c r="M6426" s="2" t="s">
        <v>29734</v>
      </c>
      <c r="N6426" s="3" t="s">
        <v>820</v>
      </c>
      <c r="P6426" s="3" t="s">
        <v>65</v>
      </c>
      <c r="R6426" s="3" t="s">
        <v>66</v>
      </c>
      <c r="S6426" s="4">
        <v>3</v>
      </c>
      <c r="T6426" s="4">
        <v>3</v>
      </c>
      <c r="U6426" s="5" t="s">
        <v>61934</v>
      </c>
      <c r="V6426" s="5" t="s">
        <v>61934</v>
      </c>
      <c r="W6426" s="5" t="s">
        <v>67</v>
      </c>
      <c r="X6426" s="5" t="s">
        <v>67</v>
      </c>
      <c r="Y6426" s="4">
        <v>240</v>
      </c>
      <c r="Z6426" s="4">
        <v>18</v>
      </c>
      <c r="AA6426" s="4">
        <v>81</v>
      </c>
      <c r="AB6426" s="4">
        <v>2</v>
      </c>
      <c r="AC6426" s="4">
        <v>14</v>
      </c>
      <c r="AD6426" s="4">
        <v>86</v>
      </c>
      <c r="AE6426" s="4">
        <v>129</v>
      </c>
      <c r="AF6426" s="4">
        <v>1</v>
      </c>
      <c r="AG6426" s="4">
        <v>8</v>
      </c>
      <c r="AH6426" s="4">
        <v>81</v>
      </c>
      <c r="AI6426" s="4">
        <v>97</v>
      </c>
      <c r="AJ6426" s="4">
        <v>14</v>
      </c>
      <c r="AK6426" s="4">
        <v>25</v>
      </c>
      <c r="AL6426" s="4">
        <v>45</v>
      </c>
      <c r="AM6426" s="4">
        <v>50</v>
      </c>
      <c r="AN6426" s="4">
        <v>0</v>
      </c>
      <c r="AO6426" s="4">
        <v>0</v>
      </c>
      <c r="AP6426" s="4">
        <v>15</v>
      </c>
      <c r="AQ6426" s="4">
        <v>44</v>
      </c>
      <c r="AR6426" s="3" t="s">
        <v>62</v>
      </c>
      <c r="AS6426" s="3" t="s">
        <v>62</v>
      </c>
      <c r="AT6426" s="3" t="s">
        <v>62</v>
      </c>
      <c r="AV6426" s="6" t="str">
        <f>HYPERLINK("http://mcgill.on.worldcat.org/oclc/227031752","Catalog Record")</f>
        <v>Catalog Record</v>
      </c>
      <c r="AW6426" s="6" t="str">
        <f>HYPERLINK("http://www.worldcat.org/oclc/227031752","WorldCat Record")</f>
        <v>WorldCat Record</v>
      </c>
      <c r="AX6426" s="3" t="s">
        <v>61935</v>
      </c>
      <c r="AY6426" s="3" t="s">
        <v>61936</v>
      </c>
      <c r="AZ6426" s="3" t="s">
        <v>61937</v>
      </c>
      <c r="BA6426" s="3" t="s">
        <v>61937</v>
      </c>
      <c r="BB6426" s="3" t="s">
        <v>61938</v>
      </c>
      <c r="BC6426" s="3" t="s">
        <v>142</v>
      </c>
      <c r="BD6426" s="3" t="s">
        <v>68</v>
      </c>
      <c r="BE6426" s="3" t="s">
        <v>61939</v>
      </c>
      <c r="BF6426" s="3" t="s">
        <v>61938</v>
      </c>
      <c r="BG6426" s="3" t="s">
        <v>61940</v>
      </c>
    </row>
    <row r="6427" spans="1:59" ht="57" x14ac:dyDescent="0.45">
      <c r="A6427" s="2" t="s">
        <v>59</v>
      </c>
      <c r="B6427" s="2" t="s">
        <v>60</v>
      </c>
      <c r="C6427" s="2" t="s">
        <v>61941</v>
      </c>
      <c r="D6427" s="2" t="s">
        <v>61942</v>
      </c>
      <c r="E6427" s="2" t="s">
        <v>61943</v>
      </c>
      <c r="G6427" s="3" t="s">
        <v>62</v>
      </c>
      <c r="I6427" s="3" t="s">
        <v>62</v>
      </c>
      <c r="J6427" s="3" t="s">
        <v>62</v>
      </c>
      <c r="K6427" s="3" t="s">
        <v>63</v>
      </c>
      <c r="L6427" s="2" t="s">
        <v>11967</v>
      </c>
      <c r="M6427" s="2" t="s">
        <v>61944</v>
      </c>
      <c r="N6427" s="3" t="s">
        <v>958</v>
      </c>
      <c r="P6427" s="3" t="s">
        <v>110</v>
      </c>
      <c r="R6427" s="3" t="s">
        <v>66</v>
      </c>
      <c r="S6427" s="4">
        <v>10</v>
      </c>
      <c r="T6427" s="4">
        <v>10</v>
      </c>
      <c r="U6427" s="5" t="s">
        <v>2059</v>
      </c>
      <c r="V6427" s="5" t="s">
        <v>2059</v>
      </c>
      <c r="W6427" s="5" t="s">
        <v>67</v>
      </c>
      <c r="X6427" s="5" t="s">
        <v>67</v>
      </c>
      <c r="Y6427" s="4">
        <v>73</v>
      </c>
      <c r="Z6427" s="4">
        <v>7</v>
      </c>
      <c r="AA6427" s="4">
        <v>14</v>
      </c>
      <c r="AB6427" s="4">
        <v>1</v>
      </c>
      <c r="AC6427" s="4">
        <v>7</v>
      </c>
      <c r="AD6427" s="4">
        <v>40</v>
      </c>
      <c r="AE6427" s="4">
        <v>44</v>
      </c>
      <c r="AF6427" s="4">
        <v>0</v>
      </c>
      <c r="AG6427" s="4">
        <v>3</v>
      </c>
      <c r="AH6427" s="4">
        <v>38</v>
      </c>
      <c r="AI6427" s="4">
        <v>39</v>
      </c>
      <c r="AJ6427" s="4">
        <v>5</v>
      </c>
      <c r="AK6427" s="4">
        <v>8</v>
      </c>
      <c r="AL6427" s="4">
        <v>29</v>
      </c>
      <c r="AM6427" s="4">
        <v>29</v>
      </c>
      <c r="AN6427" s="4">
        <v>0</v>
      </c>
      <c r="AO6427" s="4">
        <v>0</v>
      </c>
      <c r="AP6427" s="4">
        <v>5</v>
      </c>
      <c r="AQ6427" s="4">
        <v>8</v>
      </c>
      <c r="AR6427" s="3" t="s">
        <v>62</v>
      </c>
      <c r="AS6427" s="3" t="s">
        <v>62</v>
      </c>
      <c r="AT6427" s="3" t="s">
        <v>61</v>
      </c>
      <c r="AU6427" s="6" t="str">
        <f>HYPERLINK("http://catalog.hathitrust.org/Record/007131235","HathiTrust Record")</f>
        <v>HathiTrust Record</v>
      </c>
      <c r="AV6427" s="6" t="str">
        <f>HYPERLINK("http://mcgill.on.worldcat.org/oclc/37023968","Catalog Record")</f>
        <v>Catalog Record</v>
      </c>
      <c r="AW6427" s="6" t="str">
        <f>HYPERLINK("http://www.worldcat.org/oclc/37023968","WorldCat Record")</f>
        <v>WorldCat Record</v>
      </c>
      <c r="AX6427" s="3" t="s">
        <v>61945</v>
      </c>
      <c r="AY6427" s="3" t="s">
        <v>61946</v>
      </c>
      <c r="AZ6427" s="3" t="s">
        <v>61947</v>
      </c>
      <c r="BA6427" s="3" t="s">
        <v>61947</v>
      </c>
      <c r="BB6427" s="3" t="s">
        <v>61948</v>
      </c>
      <c r="BC6427" s="3" t="s">
        <v>142</v>
      </c>
      <c r="BD6427" s="3" t="s">
        <v>308</v>
      </c>
      <c r="BE6427" s="3" t="s">
        <v>61949</v>
      </c>
      <c r="BF6427" s="3" t="s">
        <v>61948</v>
      </c>
      <c r="BG6427" s="3" t="s">
        <v>61950</v>
      </c>
    </row>
    <row r="6428" spans="1:59" ht="57" x14ac:dyDescent="0.45">
      <c r="A6428" s="2" t="s">
        <v>59</v>
      </c>
      <c r="B6428" s="2" t="s">
        <v>60</v>
      </c>
      <c r="C6428" s="2" t="s">
        <v>61951</v>
      </c>
      <c r="D6428" s="2" t="s">
        <v>61952</v>
      </c>
      <c r="E6428" s="2" t="s">
        <v>61953</v>
      </c>
      <c r="G6428" s="3" t="s">
        <v>62</v>
      </c>
      <c r="I6428" s="3" t="s">
        <v>62</v>
      </c>
      <c r="J6428" s="3" t="s">
        <v>62</v>
      </c>
      <c r="K6428" s="3" t="s">
        <v>63</v>
      </c>
      <c r="L6428" s="2" t="s">
        <v>11967</v>
      </c>
      <c r="M6428" s="2" t="s">
        <v>61954</v>
      </c>
      <c r="N6428" s="3" t="s">
        <v>157</v>
      </c>
      <c r="P6428" s="3" t="s">
        <v>110</v>
      </c>
      <c r="R6428" s="3" t="s">
        <v>66</v>
      </c>
      <c r="S6428" s="4">
        <v>39</v>
      </c>
      <c r="T6428" s="4">
        <v>39</v>
      </c>
      <c r="U6428" s="5" t="s">
        <v>28847</v>
      </c>
      <c r="V6428" s="5" t="s">
        <v>28847</v>
      </c>
      <c r="W6428" s="5" t="s">
        <v>67</v>
      </c>
      <c r="X6428" s="5" t="s">
        <v>67</v>
      </c>
      <c r="Y6428" s="4">
        <v>162</v>
      </c>
      <c r="Z6428" s="4">
        <v>17</v>
      </c>
      <c r="AA6428" s="4">
        <v>26</v>
      </c>
      <c r="AB6428" s="4">
        <v>2</v>
      </c>
      <c r="AC6428" s="4">
        <v>9</v>
      </c>
      <c r="AD6428" s="4">
        <v>71</v>
      </c>
      <c r="AE6428" s="4">
        <v>79</v>
      </c>
      <c r="AF6428" s="4">
        <v>1</v>
      </c>
      <c r="AG6428" s="4">
        <v>5</v>
      </c>
      <c r="AH6428" s="4">
        <v>62</v>
      </c>
      <c r="AI6428" s="4">
        <v>65</v>
      </c>
      <c r="AJ6428" s="4">
        <v>11</v>
      </c>
      <c r="AK6428" s="4">
        <v>16</v>
      </c>
      <c r="AL6428" s="4">
        <v>39</v>
      </c>
      <c r="AM6428" s="4">
        <v>40</v>
      </c>
      <c r="AN6428" s="4">
        <v>0</v>
      </c>
      <c r="AO6428" s="4">
        <v>0</v>
      </c>
      <c r="AP6428" s="4">
        <v>15</v>
      </c>
      <c r="AQ6428" s="4">
        <v>20</v>
      </c>
      <c r="AR6428" s="3" t="s">
        <v>62</v>
      </c>
      <c r="AS6428" s="3" t="s">
        <v>62</v>
      </c>
      <c r="AT6428" s="3" t="s">
        <v>61</v>
      </c>
      <c r="AU6428" s="6" t="str">
        <f>HYPERLINK("http://catalog.hathitrust.org/Record/002198251","HathiTrust Record")</f>
        <v>HathiTrust Record</v>
      </c>
      <c r="AV6428" s="6" t="str">
        <f>HYPERLINK("http://mcgill.on.worldcat.org/oclc/10021400","Catalog Record")</f>
        <v>Catalog Record</v>
      </c>
      <c r="AW6428" s="6" t="str">
        <f>HYPERLINK("http://www.worldcat.org/oclc/10021400","WorldCat Record")</f>
        <v>WorldCat Record</v>
      </c>
      <c r="AX6428" s="3" t="s">
        <v>61955</v>
      </c>
      <c r="AY6428" s="3" t="s">
        <v>61956</v>
      </c>
      <c r="AZ6428" s="3" t="s">
        <v>61957</v>
      </c>
      <c r="BA6428" s="3" t="s">
        <v>61957</v>
      </c>
      <c r="BB6428" s="3" t="s">
        <v>61958</v>
      </c>
      <c r="BC6428" s="3" t="s">
        <v>142</v>
      </c>
      <c r="BD6428" s="3" t="s">
        <v>1003</v>
      </c>
      <c r="BE6428" s="3" t="s">
        <v>61959</v>
      </c>
      <c r="BF6428" s="3" t="s">
        <v>61958</v>
      </c>
      <c r="BG6428" s="3" t="s">
        <v>61960</v>
      </c>
    </row>
    <row r="6429" spans="1:59" ht="57" x14ac:dyDescent="0.45">
      <c r="A6429" s="2" t="s">
        <v>59</v>
      </c>
      <c r="B6429" s="2" t="s">
        <v>60</v>
      </c>
      <c r="C6429" s="2" t="s">
        <v>61961</v>
      </c>
      <c r="D6429" s="2" t="s">
        <v>61962</v>
      </c>
      <c r="E6429" s="2" t="s">
        <v>61963</v>
      </c>
      <c r="G6429" s="3" t="s">
        <v>62</v>
      </c>
      <c r="I6429" s="3" t="s">
        <v>62</v>
      </c>
      <c r="J6429" s="3" t="s">
        <v>62</v>
      </c>
      <c r="K6429" s="3" t="s">
        <v>63</v>
      </c>
      <c r="M6429" s="2" t="s">
        <v>41729</v>
      </c>
      <c r="N6429" s="3" t="s">
        <v>208</v>
      </c>
      <c r="P6429" s="3" t="s">
        <v>65</v>
      </c>
      <c r="Q6429" s="2" t="s">
        <v>61964</v>
      </c>
      <c r="R6429" s="3" t="s">
        <v>66</v>
      </c>
      <c r="S6429" s="4">
        <v>1</v>
      </c>
      <c r="T6429" s="4">
        <v>1</v>
      </c>
      <c r="U6429" s="5" t="s">
        <v>9900</v>
      </c>
      <c r="V6429" s="5" t="s">
        <v>9900</v>
      </c>
      <c r="W6429" s="5" t="s">
        <v>67</v>
      </c>
      <c r="X6429" s="5" t="s">
        <v>67</v>
      </c>
      <c r="Y6429" s="4">
        <v>51</v>
      </c>
      <c r="Z6429" s="4">
        <v>6</v>
      </c>
      <c r="AA6429" s="4">
        <v>74</v>
      </c>
      <c r="AB6429" s="4">
        <v>1</v>
      </c>
      <c r="AC6429" s="4">
        <v>14</v>
      </c>
      <c r="AD6429" s="4">
        <v>30</v>
      </c>
      <c r="AE6429" s="4">
        <v>107</v>
      </c>
      <c r="AF6429" s="4">
        <v>0</v>
      </c>
      <c r="AG6429" s="4">
        <v>8</v>
      </c>
      <c r="AH6429" s="4">
        <v>28</v>
      </c>
      <c r="AI6429" s="4">
        <v>74</v>
      </c>
      <c r="AJ6429" s="4">
        <v>4</v>
      </c>
      <c r="AK6429" s="4">
        <v>21</v>
      </c>
      <c r="AL6429" s="4">
        <v>19</v>
      </c>
      <c r="AM6429" s="4">
        <v>39</v>
      </c>
      <c r="AN6429" s="4">
        <v>0</v>
      </c>
      <c r="AO6429" s="4">
        <v>0</v>
      </c>
      <c r="AP6429" s="4">
        <v>4</v>
      </c>
      <c r="AQ6429" s="4">
        <v>40</v>
      </c>
      <c r="AR6429" s="3" t="s">
        <v>62</v>
      </c>
      <c r="AS6429" s="3" t="s">
        <v>62</v>
      </c>
      <c r="AT6429" s="3" t="s">
        <v>62</v>
      </c>
      <c r="AV6429" s="6" t="str">
        <f>HYPERLINK("http://mcgill.on.worldcat.org/oclc/904420553","Catalog Record")</f>
        <v>Catalog Record</v>
      </c>
      <c r="AW6429" s="6" t="str">
        <f>HYPERLINK("http://www.worldcat.org/oclc/904420553","WorldCat Record")</f>
        <v>WorldCat Record</v>
      </c>
      <c r="AX6429" s="3" t="s">
        <v>61965</v>
      </c>
      <c r="AY6429" s="3" t="s">
        <v>61966</v>
      </c>
      <c r="AZ6429" s="3" t="s">
        <v>61967</v>
      </c>
      <c r="BA6429" s="3" t="s">
        <v>61967</v>
      </c>
      <c r="BB6429" s="3" t="s">
        <v>61968</v>
      </c>
      <c r="BC6429" s="3" t="s">
        <v>142</v>
      </c>
      <c r="BD6429" s="3" t="s">
        <v>68</v>
      </c>
      <c r="BE6429" s="3" t="s">
        <v>61969</v>
      </c>
      <c r="BF6429" s="3" t="s">
        <v>61968</v>
      </c>
      <c r="BG6429" s="3" t="s">
        <v>61970</v>
      </c>
    </row>
    <row r="6430" spans="1:59" ht="57" x14ac:dyDescent="0.45">
      <c r="A6430" s="2" t="s">
        <v>59</v>
      </c>
      <c r="B6430" s="2" t="s">
        <v>60</v>
      </c>
      <c r="C6430" s="2" t="s">
        <v>61971</v>
      </c>
      <c r="D6430" s="2" t="s">
        <v>61972</v>
      </c>
      <c r="E6430" s="2" t="s">
        <v>61973</v>
      </c>
      <c r="G6430" s="3" t="s">
        <v>62</v>
      </c>
      <c r="I6430" s="3" t="s">
        <v>62</v>
      </c>
      <c r="J6430" s="3" t="s">
        <v>62</v>
      </c>
      <c r="K6430" s="3" t="s">
        <v>63</v>
      </c>
      <c r="L6430" s="2" t="s">
        <v>61974</v>
      </c>
      <c r="M6430" s="2" t="s">
        <v>61975</v>
      </c>
      <c r="N6430" s="3" t="s">
        <v>84</v>
      </c>
      <c r="P6430" s="3" t="s">
        <v>65</v>
      </c>
      <c r="Q6430" s="2" t="s">
        <v>61976</v>
      </c>
      <c r="R6430" s="3" t="s">
        <v>66</v>
      </c>
      <c r="S6430" s="4">
        <v>13</v>
      </c>
      <c r="T6430" s="4">
        <v>13</v>
      </c>
      <c r="U6430" s="5" t="s">
        <v>57927</v>
      </c>
      <c r="V6430" s="5" t="s">
        <v>57927</v>
      </c>
      <c r="W6430" s="5" t="s">
        <v>67</v>
      </c>
      <c r="X6430" s="5" t="s">
        <v>67</v>
      </c>
      <c r="Y6430" s="4">
        <v>131</v>
      </c>
      <c r="Z6430" s="4">
        <v>10</v>
      </c>
      <c r="AA6430" s="4">
        <v>15</v>
      </c>
      <c r="AB6430" s="4">
        <v>1</v>
      </c>
      <c r="AC6430" s="4">
        <v>1</v>
      </c>
      <c r="AD6430" s="4">
        <v>59</v>
      </c>
      <c r="AE6430" s="4">
        <v>79</v>
      </c>
      <c r="AF6430" s="4">
        <v>0</v>
      </c>
      <c r="AG6430" s="4">
        <v>0</v>
      </c>
      <c r="AH6430" s="4">
        <v>56</v>
      </c>
      <c r="AI6430" s="4">
        <v>73</v>
      </c>
      <c r="AJ6430" s="4">
        <v>8</v>
      </c>
      <c r="AK6430" s="4">
        <v>12</v>
      </c>
      <c r="AL6430" s="4">
        <v>37</v>
      </c>
      <c r="AM6430" s="4">
        <v>43</v>
      </c>
      <c r="AN6430" s="4">
        <v>0</v>
      </c>
      <c r="AO6430" s="4">
        <v>0</v>
      </c>
      <c r="AP6430" s="4">
        <v>8</v>
      </c>
      <c r="AQ6430" s="4">
        <v>13</v>
      </c>
      <c r="AR6430" s="3" t="s">
        <v>62</v>
      </c>
      <c r="AS6430" s="3" t="s">
        <v>62</v>
      </c>
      <c r="AT6430" s="3" t="s">
        <v>61</v>
      </c>
      <c r="AU6430" s="6" t="str">
        <f>HYPERLINK("http://catalog.hathitrust.org/Record/006223615","HathiTrust Record")</f>
        <v>HathiTrust Record</v>
      </c>
      <c r="AV6430" s="6" t="str">
        <f>HYPERLINK("http://mcgill.on.worldcat.org/oclc/26400532","Catalog Record")</f>
        <v>Catalog Record</v>
      </c>
      <c r="AW6430" s="6" t="str">
        <f>HYPERLINK("http://www.worldcat.org/oclc/26400532","WorldCat Record")</f>
        <v>WorldCat Record</v>
      </c>
      <c r="AX6430" s="3" t="s">
        <v>61977</v>
      </c>
      <c r="AY6430" s="3" t="s">
        <v>61978</v>
      </c>
      <c r="AZ6430" s="3" t="s">
        <v>61979</v>
      </c>
      <c r="BA6430" s="3" t="s">
        <v>61979</v>
      </c>
      <c r="BB6430" s="3" t="s">
        <v>61980</v>
      </c>
      <c r="BC6430" s="3" t="s">
        <v>142</v>
      </c>
      <c r="BD6430" s="3" t="s">
        <v>68</v>
      </c>
      <c r="BE6430" s="3" t="s">
        <v>61981</v>
      </c>
      <c r="BF6430" s="3" t="s">
        <v>61980</v>
      </c>
      <c r="BG6430" s="3" t="s">
        <v>61982</v>
      </c>
    </row>
    <row r="6431" spans="1:59" ht="57" x14ac:dyDescent="0.45">
      <c r="A6431" s="2" t="s">
        <v>59</v>
      </c>
      <c r="B6431" s="2" t="s">
        <v>60</v>
      </c>
      <c r="C6431" s="2" t="s">
        <v>61983</v>
      </c>
      <c r="D6431" s="2" t="s">
        <v>61984</v>
      </c>
      <c r="E6431" s="2" t="s">
        <v>61985</v>
      </c>
      <c r="G6431" s="3" t="s">
        <v>62</v>
      </c>
      <c r="I6431" s="3" t="s">
        <v>62</v>
      </c>
      <c r="J6431" s="3" t="s">
        <v>62</v>
      </c>
      <c r="K6431" s="3" t="s">
        <v>63</v>
      </c>
      <c r="M6431" s="2" t="s">
        <v>30230</v>
      </c>
      <c r="N6431" s="3" t="s">
        <v>149</v>
      </c>
      <c r="P6431" s="3" t="s">
        <v>65</v>
      </c>
      <c r="Q6431" s="2" t="s">
        <v>61986</v>
      </c>
      <c r="R6431" s="3" t="s">
        <v>66</v>
      </c>
      <c r="S6431" s="4">
        <v>1</v>
      </c>
      <c r="T6431" s="4">
        <v>1</v>
      </c>
      <c r="U6431" s="5" t="s">
        <v>61987</v>
      </c>
      <c r="V6431" s="5" t="s">
        <v>61987</v>
      </c>
      <c r="W6431" s="5" t="s">
        <v>67</v>
      </c>
      <c r="X6431" s="5" t="s">
        <v>67</v>
      </c>
      <c r="Y6431" s="4">
        <v>63</v>
      </c>
      <c r="Z6431" s="4">
        <v>4</v>
      </c>
      <c r="AA6431" s="4">
        <v>93</v>
      </c>
      <c r="AB6431" s="4">
        <v>1</v>
      </c>
      <c r="AC6431" s="4">
        <v>17</v>
      </c>
      <c r="AD6431" s="4">
        <v>27</v>
      </c>
      <c r="AE6431" s="4">
        <v>111</v>
      </c>
      <c r="AF6431" s="4">
        <v>0</v>
      </c>
      <c r="AG6431" s="4">
        <v>8</v>
      </c>
      <c r="AH6431" s="4">
        <v>26</v>
      </c>
      <c r="AI6431" s="4">
        <v>76</v>
      </c>
      <c r="AJ6431" s="4">
        <v>3</v>
      </c>
      <c r="AK6431" s="4">
        <v>20</v>
      </c>
      <c r="AL6431" s="4">
        <v>17</v>
      </c>
      <c r="AM6431" s="4">
        <v>39</v>
      </c>
      <c r="AN6431" s="4">
        <v>0</v>
      </c>
      <c r="AO6431" s="4">
        <v>0</v>
      </c>
      <c r="AP6431" s="4">
        <v>3</v>
      </c>
      <c r="AQ6431" s="4">
        <v>41</v>
      </c>
      <c r="AR6431" s="3" t="s">
        <v>62</v>
      </c>
      <c r="AS6431" s="3" t="s">
        <v>62</v>
      </c>
      <c r="AT6431" s="3" t="s">
        <v>62</v>
      </c>
      <c r="AV6431" s="6" t="str">
        <f>HYPERLINK("http://mcgill.on.worldcat.org/oclc/643569706","Catalog Record")</f>
        <v>Catalog Record</v>
      </c>
      <c r="AW6431" s="6" t="str">
        <f>HYPERLINK("http://www.worldcat.org/oclc/643569706","WorldCat Record")</f>
        <v>WorldCat Record</v>
      </c>
      <c r="AX6431" s="3" t="s">
        <v>61988</v>
      </c>
      <c r="AY6431" s="3" t="s">
        <v>61989</v>
      </c>
      <c r="AZ6431" s="3" t="s">
        <v>61990</v>
      </c>
      <c r="BA6431" s="3" t="s">
        <v>61990</v>
      </c>
      <c r="BB6431" s="3" t="s">
        <v>61991</v>
      </c>
      <c r="BC6431" s="3" t="s">
        <v>142</v>
      </c>
      <c r="BD6431" s="3" t="s">
        <v>68</v>
      </c>
      <c r="BE6431" s="3" t="s">
        <v>61992</v>
      </c>
      <c r="BF6431" s="3" t="s">
        <v>61991</v>
      </c>
      <c r="BG6431" s="3" t="s">
        <v>61993</v>
      </c>
    </row>
    <row r="6432" spans="1:59" ht="57" x14ac:dyDescent="0.45">
      <c r="A6432" s="2" t="s">
        <v>59</v>
      </c>
      <c r="B6432" s="2" t="s">
        <v>60</v>
      </c>
      <c r="C6432" s="2" t="s">
        <v>61994</v>
      </c>
      <c r="D6432" s="2" t="s">
        <v>61995</v>
      </c>
      <c r="E6432" s="2" t="s">
        <v>61996</v>
      </c>
      <c r="G6432" s="3" t="s">
        <v>62</v>
      </c>
      <c r="I6432" s="3" t="s">
        <v>62</v>
      </c>
      <c r="J6432" s="3" t="s">
        <v>62</v>
      </c>
      <c r="K6432" s="3" t="s">
        <v>63</v>
      </c>
      <c r="L6432" s="2" t="s">
        <v>43543</v>
      </c>
      <c r="M6432" s="2" t="s">
        <v>61997</v>
      </c>
      <c r="N6432" s="3" t="s">
        <v>894</v>
      </c>
      <c r="P6432" s="3" t="s">
        <v>65</v>
      </c>
      <c r="R6432" s="3" t="s">
        <v>66</v>
      </c>
      <c r="S6432" s="4">
        <v>2</v>
      </c>
      <c r="T6432" s="4">
        <v>2</v>
      </c>
      <c r="U6432" s="5" t="s">
        <v>30759</v>
      </c>
      <c r="V6432" s="5" t="s">
        <v>30759</v>
      </c>
      <c r="W6432" s="5" t="s">
        <v>67</v>
      </c>
      <c r="X6432" s="5" t="s">
        <v>67</v>
      </c>
      <c r="Y6432" s="4">
        <v>761</v>
      </c>
      <c r="Z6432" s="4">
        <v>30</v>
      </c>
      <c r="AA6432" s="4">
        <v>34</v>
      </c>
      <c r="AB6432" s="4">
        <v>5</v>
      </c>
      <c r="AC6432" s="4">
        <v>7</v>
      </c>
      <c r="AD6432" s="4">
        <v>60</v>
      </c>
      <c r="AE6432" s="4">
        <v>64</v>
      </c>
      <c r="AF6432" s="4">
        <v>0</v>
      </c>
      <c r="AG6432" s="4">
        <v>2</v>
      </c>
      <c r="AH6432" s="4">
        <v>56</v>
      </c>
      <c r="AI6432" s="4">
        <v>58</v>
      </c>
      <c r="AJ6432" s="4">
        <v>9</v>
      </c>
      <c r="AK6432" s="4">
        <v>12</v>
      </c>
      <c r="AL6432" s="4">
        <v>30</v>
      </c>
      <c r="AM6432" s="4">
        <v>31</v>
      </c>
      <c r="AN6432" s="4">
        <v>0</v>
      </c>
      <c r="AO6432" s="4">
        <v>0</v>
      </c>
      <c r="AP6432" s="4">
        <v>9</v>
      </c>
      <c r="AQ6432" s="4">
        <v>11</v>
      </c>
      <c r="AR6432" s="3" t="s">
        <v>62</v>
      </c>
      <c r="AS6432" s="3" t="s">
        <v>62</v>
      </c>
      <c r="AT6432" s="3" t="s">
        <v>62</v>
      </c>
      <c r="AV6432" s="6" t="str">
        <f>HYPERLINK("http://mcgill.on.worldcat.org/oclc/679930821","Catalog Record")</f>
        <v>Catalog Record</v>
      </c>
      <c r="AW6432" s="6" t="str">
        <f>HYPERLINK("http://www.worldcat.org/oclc/679930821","WorldCat Record")</f>
        <v>WorldCat Record</v>
      </c>
      <c r="AX6432" s="3" t="s">
        <v>61998</v>
      </c>
      <c r="AY6432" s="3" t="s">
        <v>61999</v>
      </c>
      <c r="AZ6432" s="3" t="s">
        <v>62000</v>
      </c>
      <c r="BA6432" s="3" t="s">
        <v>62000</v>
      </c>
      <c r="BB6432" s="3" t="s">
        <v>62001</v>
      </c>
      <c r="BC6432" s="3" t="s">
        <v>142</v>
      </c>
      <c r="BD6432" s="3" t="s">
        <v>68</v>
      </c>
      <c r="BE6432" s="3" t="s">
        <v>62002</v>
      </c>
      <c r="BF6432" s="3" t="s">
        <v>62001</v>
      </c>
      <c r="BG6432" s="3" t="s">
        <v>62003</v>
      </c>
    </row>
    <row r="6433" spans="1:59" ht="57" x14ac:dyDescent="0.45">
      <c r="A6433" s="2" t="s">
        <v>59</v>
      </c>
      <c r="B6433" s="2" t="s">
        <v>60</v>
      </c>
      <c r="C6433" s="2" t="s">
        <v>62004</v>
      </c>
      <c r="D6433" s="2" t="s">
        <v>62005</v>
      </c>
      <c r="E6433" s="2" t="s">
        <v>62006</v>
      </c>
      <c r="G6433" s="3" t="s">
        <v>62</v>
      </c>
      <c r="I6433" s="3" t="s">
        <v>62</v>
      </c>
      <c r="J6433" s="3" t="s">
        <v>62</v>
      </c>
      <c r="K6433" s="3" t="s">
        <v>63</v>
      </c>
      <c r="L6433" s="2" t="s">
        <v>62007</v>
      </c>
      <c r="M6433" s="2" t="s">
        <v>62008</v>
      </c>
      <c r="N6433" s="3" t="s">
        <v>1855</v>
      </c>
      <c r="P6433" s="3" t="s">
        <v>65</v>
      </c>
      <c r="R6433" s="3" t="s">
        <v>66</v>
      </c>
      <c r="S6433" s="4">
        <v>6</v>
      </c>
      <c r="T6433" s="4">
        <v>6</v>
      </c>
      <c r="U6433" s="5" t="s">
        <v>9722</v>
      </c>
      <c r="V6433" s="5" t="s">
        <v>9722</v>
      </c>
      <c r="W6433" s="5" t="s">
        <v>67</v>
      </c>
      <c r="X6433" s="5" t="s">
        <v>67</v>
      </c>
      <c r="Y6433" s="4">
        <v>35</v>
      </c>
      <c r="Z6433" s="4">
        <v>2</v>
      </c>
      <c r="AA6433" s="4">
        <v>27</v>
      </c>
      <c r="AB6433" s="4">
        <v>1</v>
      </c>
      <c r="AC6433" s="4">
        <v>2</v>
      </c>
      <c r="AD6433" s="4">
        <v>2</v>
      </c>
      <c r="AE6433" s="4">
        <v>41</v>
      </c>
      <c r="AF6433" s="4">
        <v>0</v>
      </c>
      <c r="AG6433" s="4">
        <v>0</v>
      </c>
      <c r="AH6433" s="4">
        <v>2</v>
      </c>
      <c r="AI6433" s="4">
        <v>34</v>
      </c>
      <c r="AJ6433" s="4">
        <v>0</v>
      </c>
      <c r="AK6433" s="4">
        <v>8</v>
      </c>
      <c r="AL6433" s="4">
        <v>1</v>
      </c>
      <c r="AM6433" s="4">
        <v>20</v>
      </c>
      <c r="AN6433" s="4">
        <v>0</v>
      </c>
      <c r="AO6433" s="4">
        <v>0</v>
      </c>
      <c r="AP6433" s="4">
        <v>0</v>
      </c>
      <c r="AQ6433" s="4">
        <v>8</v>
      </c>
      <c r="AR6433" s="3" t="s">
        <v>62</v>
      </c>
      <c r="AS6433" s="3" t="s">
        <v>62</v>
      </c>
      <c r="AT6433" s="3" t="s">
        <v>62</v>
      </c>
      <c r="AV6433" s="6" t="str">
        <f>HYPERLINK("http://mcgill.on.worldcat.org/oclc/57282423","Catalog Record")</f>
        <v>Catalog Record</v>
      </c>
      <c r="AW6433" s="6" t="str">
        <f>HYPERLINK("http://www.worldcat.org/oclc/57282423","WorldCat Record")</f>
        <v>WorldCat Record</v>
      </c>
      <c r="AX6433" s="3" t="s">
        <v>62009</v>
      </c>
      <c r="AY6433" s="3" t="s">
        <v>62010</v>
      </c>
      <c r="AZ6433" s="3" t="s">
        <v>62011</v>
      </c>
      <c r="BA6433" s="3" t="s">
        <v>62011</v>
      </c>
      <c r="BB6433" s="3" t="s">
        <v>62012</v>
      </c>
      <c r="BC6433" s="3" t="s">
        <v>142</v>
      </c>
      <c r="BD6433" s="3" t="s">
        <v>68</v>
      </c>
      <c r="BE6433" s="3" t="s">
        <v>62013</v>
      </c>
      <c r="BF6433" s="3" t="s">
        <v>62012</v>
      </c>
      <c r="BG6433" s="3" t="s">
        <v>62014</v>
      </c>
    </row>
    <row r="6434" spans="1:59" ht="57" x14ac:dyDescent="0.45">
      <c r="A6434" s="2" t="s">
        <v>59</v>
      </c>
      <c r="B6434" s="2" t="s">
        <v>60</v>
      </c>
      <c r="C6434" s="2" t="s">
        <v>62015</v>
      </c>
      <c r="D6434" s="2" t="s">
        <v>62016</v>
      </c>
      <c r="E6434" s="2" t="s">
        <v>62017</v>
      </c>
      <c r="G6434" s="3" t="s">
        <v>62</v>
      </c>
      <c r="I6434" s="3" t="s">
        <v>62</v>
      </c>
      <c r="J6434" s="3" t="s">
        <v>62</v>
      </c>
      <c r="K6434" s="3" t="s">
        <v>63</v>
      </c>
      <c r="L6434" s="2" t="s">
        <v>62018</v>
      </c>
      <c r="M6434" s="2" t="s">
        <v>62019</v>
      </c>
      <c r="N6434" s="3" t="s">
        <v>116</v>
      </c>
      <c r="P6434" s="3" t="s">
        <v>110</v>
      </c>
      <c r="Q6434" s="2" t="s">
        <v>62020</v>
      </c>
      <c r="R6434" s="3" t="s">
        <v>66</v>
      </c>
      <c r="S6434" s="4">
        <v>0</v>
      </c>
      <c r="T6434" s="4">
        <v>0</v>
      </c>
      <c r="W6434" s="5" t="s">
        <v>67</v>
      </c>
      <c r="X6434" s="5" t="s">
        <v>67</v>
      </c>
      <c r="Y6434" s="4">
        <v>6</v>
      </c>
      <c r="Z6434" s="4">
        <v>5</v>
      </c>
      <c r="AA6434" s="4">
        <v>14</v>
      </c>
      <c r="AB6434" s="4">
        <v>1</v>
      </c>
      <c r="AC6434" s="4">
        <v>8</v>
      </c>
      <c r="AD6434" s="4">
        <v>2</v>
      </c>
      <c r="AE6434" s="4">
        <v>7</v>
      </c>
      <c r="AF6434" s="4">
        <v>0</v>
      </c>
      <c r="AG6434" s="4">
        <v>4</v>
      </c>
      <c r="AH6434" s="4">
        <v>2</v>
      </c>
      <c r="AI6434" s="4">
        <v>3</v>
      </c>
      <c r="AJ6434" s="4">
        <v>2</v>
      </c>
      <c r="AK6434" s="4">
        <v>7</v>
      </c>
      <c r="AL6434" s="4">
        <v>1</v>
      </c>
      <c r="AM6434" s="4">
        <v>1</v>
      </c>
      <c r="AN6434" s="4">
        <v>0</v>
      </c>
      <c r="AO6434" s="4">
        <v>0</v>
      </c>
      <c r="AP6434" s="4">
        <v>2</v>
      </c>
      <c r="AQ6434" s="4">
        <v>5</v>
      </c>
      <c r="AR6434" s="3" t="s">
        <v>61</v>
      </c>
      <c r="AS6434" s="3" t="s">
        <v>62</v>
      </c>
      <c r="AT6434" s="3" t="s">
        <v>62</v>
      </c>
      <c r="AV6434" s="6" t="str">
        <f>HYPERLINK("http://mcgill.on.worldcat.org/oclc/862094046","Catalog Record")</f>
        <v>Catalog Record</v>
      </c>
      <c r="AW6434" s="6" t="str">
        <f>HYPERLINK("http://www.worldcat.org/oclc/862094046","WorldCat Record")</f>
        <v>WorldCat Record</v>
      </c>
      <c r="AX6434" s="3" t="s">
        <v>62021</v>
      </c>
      <c r="AY6434" s="3" t="s">
        <v>62022</v>
      </c>
      <c r="AZ6434" s="3" t="s">
        <v>62023</v>
      </c>
      <c r="BA6434" s="3" t="s">
        <v>62023</v>
      </c>
      <c r="BB6434" s="3" t="s">
        <v>62024</v>
      </c>
      <c r="BC6434" s="3" t="s">
        <v>142</v>
      </c>
      <c r="BD6434" s="3" t="s">
        <v>68</v>
      </c>
      <c r="BE6434" s="3" t="s">
        <v>62025</v>
      </c>
      <c r="BF6434" s="3" t="s">
        <v>62024</v>
      </c>
      <c r="BG6434" s="3" t="s">
        <v>62026</v>
      </c>
    </row>
    <row r="6435" spans="1:59" ht="57" x14ac:dyDescent="0.45">
      <c r="A6435" s="2" t="s">
        <v>59</v>
      </c>
      <c r="B6435" s="2" t="s">
        <v>60</v>
      </c>
      <c r="C6435" s="2" t="s">
        <v>62027</v>
      </c>
      <c r="D6435" s="2" t="s">
        <v>62028</v>
      </c>
      <c r="E6435" s="2" t="s">
        <v>62029</v>
      </c>
      <c r="G6435" s="3" t="s">
        <v>62</v>
      </c>
      <c r="I6435" s="3" t="s">
        <v>62</v>
      </c>
      <c r="J6435" s="3" t="s">
        <v>62</v>
      </c>
      <c r="K6435" s="3" t="s">
        <v>63</v>
      </c>
      <c r="L6435" s="2" t="s">
        <v>62030</v>
      </c>
      <c r="M6435" s="2" t="s">
        <v>62031</v>
      </c>
      <c r="N6435" s="3" t="s">
        <v>149</v>
      </c>
      <c r="P6435" s="3" t="s">
        <v>65</v>
      </c>
      <c r="R6435" s="3" t="s">
        <v>66</v>
      </c>
      <c r="S6435" s="4">
        <v>1</v>
      </c>
      <c r="T6435" s="4">
        <v>1</v>
      </c>
      <c r="U6435" s="5" t="s">
        <v>62032</v>
      </c>
      <c r="V6435" s="5" t="s">
        <v>62032</v>
      </c>
      <c r="W6435" s="5" t="s">
        <v>67</v>
      </c>
      <c r="X6435" s="5" t="s">
        <v>67</v>
      </c>
      <c r="Y6435" s="4">
        <v>211</v>
      </c>
      <c r="Z6435" s="4">
        <v>13</v>
      </c>
      <c r="AA6435" s="4">
        <v>95</v>
      </c>
      <c r="AB6435" s="4">
        <v>1</v>
      </c>
      <c r="AC6435" s="4">
        <v>17</v>
      </c>
      <c r="AD6435" s="4">
        <v>26</v>
      </c>
      <c r="AE6435" s="4">
        <v>103</v>
      </c>
      <c r="AF6435" s="4">
        <v>0</v>
      </c>
      <c r="AG6435" s="4">
        <v>8</v>
      </c>
      <c r="AH6435" s="4">
        <v>24</v>
      </c>
      <c r="AI6435" s="4">
        <v>70</v>
      </c>
      <c r="AJ6435" s="4">
        <v>2</v>
      </c>
      <c r="AK6435" s="4">
        <v>18</v>
      </c>
      <c r="AL6435" s="4">
        <v>20</v>
      </c>
      <c r="AM6435" s="4">
        <v>40</v>
      </c>
      <c r="AN6435" s="4">
        <v>0</v>
      </c>
      <c r="AO6435" s="4">
        <v>0</v>
      </c>
      <c r="AP6435" s="4">
        <v>2</v>
      </c>
      <c r="AQ6435" s="4">
        <v>39</v>
      </c>
      <c r="AR6435" s="3" t="s">
        <v>62</v>
      </c>
      <c r="AS6435" s="3" t="s">
        <v>62</v>
      </c>
      <c r="AT6435" s="3" t="s">
        <v>62</v>
      </c>
      <c r="AV6435" s="6" t="str">
        <f>HYPERLINK("http://mcgill.on.worldcat.org/oclc/589017743","Catalog Record")</f>
        <v>Catalog Record</v>
      </c>
      <c r="AW6435" s="6" t="str">
        <f>HYPERLINK("http://www.worldcat.org/oclc/589017743","WorldCat Record")</f>
        <v>WorldCat Record</v>
      </c>
      <c r="AX6435" s="3" t="s">
        <v>62033</v>
      </c>
      <c r="AY6435" s="3" t="s">
        <v>62034</v>
      </c>
      <c r="AZ6435" s="3" t="s">
        <v>62035</v>
      </c>
      <c r="BA6435" s="3" t="s">
        <v>62035</v>
      </c>
      <c r="BB6435" s="3" t="s">
        <v>62036</v>
      </c>
      <c r="BC6435" s="3" t="s">
        <v>142</v>
      </c>
      <c r="BD6435" s="3" t="s">
        <v>68</v>
      </c>
      <c r="BE6435" s="3" t="s">
        <v>62037</v>
      </c>
      <c r="BF6435" s="3" t="s">
        <v>62036</v>
      </c>
      <c r="BG6435" s="3" t="s">
        <v>62038</v>
      </c>
    </row>
    <row r="6436" spans="1:59" ht="57" x14ac:dyDescent="0.45">
      <c r="A6436" s="2" t="s">
        <v>59</v>
      </c>
      <c r="B6436" s="2" t="s">
        <v>60</v>
      </c>
      <c r="C6436" s="2" t="s">
        <v>62039</v>
      </c>
      <c r="D6436" s="2" t="s">
        <v>62040</v>
      </c>
      <c r="E6436" s="2" t="s">
        <v>62041</v>
      </c>
      <c r="G6436" s="3" t="s">
        <v>62</v>
      </c>
      <c r="I6436" s="3" t="s">
        <v>62</v>
      </c>
      <c r="J6436" s="3" t="s">
        <v>62</v>
      </c>
      <c r="K6436" s="3" t="s">
        <v>63</v>
      </c>
      <c r="M6436" s="2" t="s">
        <v>62042</v>
      </c>
      <c r="N6436" s="3" t="s">
        <v>5180</v>
      </c>
      <c r="P6436" s="3" t="s">
        <v>65</v>
      </c>
      <c r="Q6436" s="2" t="s">
        <v>62043</v>
      </c>
      <c r="R6436" s="3" t="s">
        <v>66</v>
      </c>
      <c r="S6436" s="4">
        <v>0</v>
      </c>
      <c r="T6436" s="4">
        <v>0</v>
      </c>
      <c r="W6436" s="5" t="s">
        <v>67</v>
      </c>
      <c r="X6436" s="5" t="s">
        <v>67</v>
      </c>
      <c r="Y6436" s="4">
        <v>29</v>
      </c>
      <c r="Z6436" s="4">
        <v>2</v>
      </c>
      <c r="AA6436" s="4">
        <v>6</v>
      </c>
      <c r="AB6436" s="4">
        <v>1</v>
      </c>
      <c r="AC6436" s="4">
        <v>4</v>
      </c>
      <c r="AD6436" s="4">
        <v>16</v>
      </c>
      <c r="AE6436" s="4">
        <v>18</v>
      </c>
      <c r="AF6436" s="4">
        <v>0</v>
      </c>
      <c r="AG6436" s="4">
        <v>1</v>
      </c>
      <c r="AH6436" s="4">
        <v>16</v>
      </c>
      <c r="AI6436" s="4">
        <v>16</v>
      </c>
      <c r="AJ6436" s="4">
        <v>1</v>
      </c>
      <c r="AK6436" s="4">
        <v>2</v>
      </c>
      <c r="AL6436" s="4">
        <v>12</v>
      </c>
      <c r="AM6436" s="4">
        <v>12</v>
      </c>
      <c r="AN6436" s="4">
        <v>0</v>
      </c>
      <c r="AO6436" s="4">
        <v>0</v>
      </c>
      <c r="AP6436" s="4">
        <v>1</v>
      </c>
      <c r="AQ6436" s="4">
        <v>3</v>
      </c>
      <c r="AR6436" s="3" t="s">
        <v>62</v>
      </c>
      <c r="AS6436" s="3" t="s">
        <v>62</v>
      </c>
      <c r="AT6436" s="3" t="s">
        <v>62</v>
      </c>
      <c r="AV6436" s="6" t="str">
        <f>HYPERLINK("http://mcgill.on.worldcat.org/oclc/1033898514","Catalog Record")</f>
        <v>Catalog Record</v>
      </c>
      <c r="AW6436" s="6" t="str">
        <f>HYPERLINK("http://www.worldcat.org/oclc/1033898514","WorldCat Record")</f>
        <v>WorldCat Record</v>
      </c>
      <c r="AX6436" s="3" t="s">
        <v>62044</v>
      </c>
      <c r="AY6436" s="3" t="s">
        <v>62045</v>
      </c>
      <c r="AZ6436" s="3" t="s">
        <v>62046</v>
      </c>
      <c r="BA6436" s="3" t="s">
        <v>62046</v>
      </c>
      <c r="BB6436" s="3" t="s">
        <v>62047</v>
      </c>
      <c r="BC6436" s="3" t="s">
        <v>142</v>
      </c>
      <c r="BD6436" s="3" t="s">
        <v>68</v>
      </c>
      <c r="BE6436" s="3" t="s">
        <v>62048</v>
      </c>
      <c r="BF6436" s="3" t="s">
        <v>62047</v>
      </c>
      <c r="BG6436" s="3" t="s">
        <v>62049</v>
      </c>
    </row>
    <row r="6437" spans="1:59" ht="57" x14ac:dyDescent="0.45">
      <c r="A6437" s="2" t="s">
        <v>59</v>
      </c>
      <c r="B6437" s="2" t="s">
        <v>60</v>
      </c>
      <c r="C6437" s="2" t="s">
        <v>62050</v>
      </c>
      <c r="D6437" s="2" t="s">
        <v>62051</v>
      </c>
      <c r="E6437" s="2" t="s">
        <v>62052</v>
      </c>
      <c r="G6437" s="3" t="s">
        <v>62</v>
      </c>
      <c r="I6437" s="3" t="s">
        <v>62</v>
      </c>
      <c r="J6437" s="3" t="s">
        <v>62</v>
      </c>
      <c r="K6437" s="3" t="s">
        <v>63</v>
      </c>
      <c r="M6437" s="2" t="s">
        <v>62053</v>
      </c>
      <c r="N6437" s="3" t="s">
        <v>19337</v>
      </c>
      <c r="P6437" s="3" t="s">
        <v>65</v>
      </c>
      <c r="Q6437" s="2" t="s">
        <v>62054</v>
      </c>
      <c r="R6437" s="3" t="s">
        <v>66</v>
      </c>
      <c r="S6437" s="4">
        <v>0</v>
      </c>
      <c r="T6437" s="4">
        <v>0</v>
      </c>
      <c r="W6437" s="5" t="s">
        <v>67</v>
      </c>
      <c r="X6437" s="5" t="s">
        <v>67</v>
      </c>
      <c r="Y6437" s="4">
        <v>19</v>
      </c>
      <c r="Z6437" s="4">
        <v>2</v>
      </c>
      <c r="AA6437" s="4">
        <v>7</v>
      </c>
      <c r="AB6437" s="4">
        <v>1</v>
      </c>
      <c r="AC6437" s="4">
        <v>4</v>
      </c>
      <c r="AD6437" s="4">
        <v>10</v>
      </c>
      <c r="AE6437" s="4">
        <v>14</v>
      </c>
      <c r="AF6437" s="4">
        <v>0</v>
      </c>
      <c r="AG6437" s="4">
        <v>1</v>
      </c>
      <c r="AH6437" s="4">
        <v>10</v>
      </c>
      <c r="AI6437" s="4">
        <v>12</v>
      </c>
      <c r="AJ6437" s="4">
        <v>1</v>
      </c>
      <c r="AK6437" s="4">
        <v>3</v>
      </c>
      <c r="AL6437" s="4">
        <v>8</v>
      </c>
      <c r="AM6437" s="4">
        <v>8</v>
      </c>
      <c r="AN6437" s="4">
        <v>0</v>
      </c>
      <c r="AO6437" s="4">
        <v>0</v>
      </c>
      <c r="AP6437" s="4">
        <v>1</v>
      </c>
      <c r="AQ6437" s="4">
        <v>4</v>
      </c>
      <c r="AR6437" s="3" t="s">
        <v>62</v>
      </c>
      <c r="AS6437" s="3" t="s">
        <v>62</v>
      </c>
      <c r="AT6437" s="3" t="s">
        <v>62</v>
      </c>
      <c r="AV6437" s="6" t="str">
        <f>HYPERLINK("http://mcgill.on.worldcat.org/oclc/1052080490","Catalog Record")</f>
        <v>Catalog Record</v>
      </c>
      <c r="AW6437" s="6" t="str">
        <f>HYPERLINK("http://www.worldcat.org/oclc/1052080490","WorldCat Record")</f>
        <v>WorldCat Record</v>
      </c>
      <c r="AX6437" s="3" t="s">
        <v>62055</v>
      </c>
      <c r="AY6437" s="3" t="s">
        <v>62056</v>
      </c>
      <c r="AZ6437" s="3" t="s">
        <v>62057</v>
      </c>
      <c r="BA6437" s="3" t="s">
        <v>62057</v>
      </c>
      <c r="BB6437" s="3" t="s">
        <v>62058</v>
      </c>
      <c r="BC6437" s="3" t="s">
        <v>142</v>
      </c>
      <c r="BD6437" s="3" t="s">
        <v>68</v>
      </c>
      <c r="BE6437" s="3" t="s">
        <v>62059</v>
      </c>
      <c r="BF6437" s="3" t="s">
        <v>62058</v>
      </c>
      <c r="BG6437" s="3" t="s">
        <v>62060</v>
      </c>
    </row>
    <row r="6438" spans="1:59" ht="57" x14ac:dyDescent="0.45">
      <c r="A6438" s="2" t="s">
        <v>59</v>
      </c>
      <c r="B6438" s="2" t="s">
        <v>60</v>
      </c>
      <c r="C6438" s="2" t="s">
        <v>62061</v>
      </c>
      <c r="D6438" s="2" t="s">
        <v>62062</v>
      </c>
      <c r="E6438" s="2" t="s">
        <v>62063</v>
      </c>
      <c r="G6438" s="3" t="s">
        <v>62</v>
      </c>
      <c r="I6438" s="3" t="s">
        <v>62</v>
      </c>
      <c r="J6438" s="3" t="s">
        <v>62</v>
      </c>
      <c r="K6438" s="3" t="s">
        <v>63</v>
      </c>
      <c r="M6438" s="2" t="s">
        <v>62064</v>
      </c>
      <c r="N6438" s="3" t="s">
        <v>149</v>
      </c>
      <c r="P6438" s="3" t="s">
        <v>65</v>
      </c>
      <c r="R6438" s="3" t="s">
        <v>66</v>
      </c>
      <c r="S6438" s="4">
        <v>1</v>
      </c>
      <c r="T6438" s="4">
        <v>1</v>
      </c>
      <c r="U6438" s="5" t="s">
        <v>21881</v>
      </c>
      <c r="V6438" s="5" t="s">
        <v>21881</v>
      </c>
      <c r="W6438" s="5" t="s">
        <v>67</v>
      </c>
      <c r="X6438" s="5" t="s">
        <v>67</v>
      </c>
      <c r="Y6438" s="4">
        <v>42</v>
      </c>
      <c r="Z6438" s="4">
        <v>5</v>
      </c>
      <c r="AA6438" s="4">
        <v>73</v>
      </c>
      <c r="AB6438" s="4">
        <v>1</v>
      </c>
      <c r="AC6438" s="4">
        <v>15</v>
      </c>
      <c r="AD6438" s="4">
        <v>17</v>
      </c>
      <c r="AE6438" s="4">
        <v>84</v>
      </c>
      <c r="AF6438" s="4">
        <v>0</v>
      </c>
      <c r="AG6438" s="4">
        <v>8</v>
      </c>
      <c r="AH6438" s="4">
        <v>16</v>
      </c>
      <c r="AI6438" s="4">
        <v>53</v>
      </c>
      <c r="AJ6438" s="4">
        <v>4</v>
      </c>
      <c r="AK6438" s="4">
        <v>17</v>
      </c>
      <c r="AL6438" s="4">
        <v>9</v>
      </c>
      <c r="AM6438" s="4">
        <v>27</v>
      </c>
      <c r="AN6438" s="4">
        <v>5</v>
      </c>
      <c r="AO6438" s="4">
        <v>5</v>
      </c>
      <c r="AP6438" s="4">
        <v>4</v>
      </c>
      <c r="AQ6438" s="4">
        <v>37</v>
      </c>
      <c r="AR6438" s="3" t="s">
        <v>62</v>
      </c>
      <c r="AS6438" s="3" t="s">
        <v>62</v>
      </c>
      <c r="AT6438" s="3" t="s">
        <v>61</v>
      </c>
      <c r="AU6438" s="6" t="str">
        <f>HYPERLINK("http://catalog.hathitrust.org/Record/011244264","HathiTrust Record")</f>
        <v>HathiTrust Record</v>
      </c>
      <c r="AV6438" s="6" t="str">
        <f>HYPERLINK("http://mcgill.on.worldcat.org/oclc/636921421","Catalog Record")</f>
        <v>Catalog Record</v>
      </c>
      <c r="AW6438" s="6" t="str">
        <f>HYPERLINK("http://www.worldcat.org/oclc/636921421","WorldCat Record")</f>
        <v>WorldCat Record</v>
      </c>
      <c r="AX6438" s="3" t="s">
        <v>62065</v>
      </c>
      <c r="AY6438" s="3" t="s">
        <v>62066</v>
      </c>
      <c r="AZ6438" s="3" t="s">
        <v>62067</v>
      </c>
      <c r="BA6438" s="3" t="s">
        <v>62067</v>
      </c>
      <c r="BB6438" s="3" t="s">
        <v>62068</v>
      </c>
      <c r="BC6438" s="3" t="s">
        <v>142</v>
      </c>
      <c r="BD6438" s="3" t="s">
        <v>68</v>
      </c>
      <c r="BE6438" s="3" t="s">
        <v>62069</v>
      </c>
      <c r="BF6438" s="3" t="s">
        <v>62068</v>
      </c>
      <c r="BG6438" s="3" t="s">
        <v>62070</v>
      </c>
    </row>
    <row r="6439" spans="1:59" ht="57" x14ac:dyDescent="0.45">
      <c r="A6439" s="2" t="s">
        <v>59</v>
      </c>
      <c r="B6439" s="2" t="s">
        <v>60</v>
      </c>
      <c r="C6439" s="2" t="s">
        <v>62071</v>
      </c>
      <c r="D6439" s="2" t="s">
        <v>62072</v>
      </c>
      <c r="E6439" s="2" t="s">
        <v>62073</v>
      </c>
      <c r="G6439" s="3" t="s">
        <v>62</v>
      </c>
      <c r="I6439" s="3" t="s">
        <v>62</v>
      </c>
      <c r="J6439" s="3" t="s">
        <v>62</v>
      </c>
      <c r="K6439" s="3" t="s">
        <v>63</v>
      </c>
      <c r="L6439" s="2" t="s">
        <v>62074</v>
      </c>
      <c r="M6439" s="2" t="s">
        <v>62075</v>
      </c>
      <c r="N6439" s="3" t="s">
        <v>568</v>
      </c>
      <c r="P6439" s="3" t="s">
        <v>65</v>
      </c>
      <c r="R6439" s="3" t="s">
        <v>66</v>
      </c>
      <c r="S6439" s="4">
        <v>17</v>
      </c>
      <c r="T6439" s="4">
        <v>17</v>
      </c>
      <c r="U6439" s="5" t="s">
        <v>21996</v>
      </c>
      <c r="V6439" s="5" t="s">
        <v>21996</v>
      </c>
      <c r="W6439" s="5" t="s">
        <v>67</v>
      </c>
      <c r="X6439" s="5" t="s">
        <v>67</v>
      </c>
      <c r="Y6439" s="4">
        <v>25</v>
      </c>
      <c r="Z6439" s="4">
        <v>4</v>
      </c>
      <c r="AA6439" s="4">
        <v>40</v>
      </c>
      <c r="AB6439" s="4">
        <v>1</v>
      </c>
      <c r="AC6439" s="4">
        <v>5</v>
      </c>
      <c r="AD6439" s="4">
        <v>14</v>
      </c>
      <c r="AE6439" s="4">
        <v>128</v>
      </c>
      <c r="AF6439" s="4">
        <v>0</v>
      </c>
      <c r="AG6439" s="4">
        <v>4</v>
      </c>
      <c r="AH6439" s="4">
        <v>12</v>
      </c>
      <c r="AI6439" s="4">
        <v>109</v>
      </c>
      <c r="AJ6439" s="4">
        <v>2</v>
      </c>
      <c r="AK6439" s="4">
        <v>20</v>
      </c>
      <c r="AL6439" s="4">
        <v>7</v>
      </c>
      <c r="AM6439" s="4">
        <v>59</v>
      </c>
      <c r="AN6439" s="4">
        <v>0</v>
      </c>
      <c r="AO6439" s="4">
        <v>0</v>
      </c>
      <c r="AP6439" s="4">
        <v>3</v>
      </c>
      <c r="AQ6439" s="4">
        <v>25</v>
      </c>
      <c r="AR6439" s="3" t="s">
        <v>62</v>
      </c>
      <c r="AS6439" s="3" t="s">
        <v>62</v>
      </c>
      <c r="AT6439" s="3" t="s">
        <v>62</v>
      </c>
      <c r="AV6439" s="6" t="str">
        <f>HYPERLINK("http://mcgill.on.worldcat.org/oclc/123213361","Catalog Record")</f>
        <v>Catalog Record</v>
      </c>
      <c r="AW6439" s="6" t="str">
        <f>HYPERLINK("http://www.worldcat.org/oclc/123213361","WorldCat Record")</f>
        <v>WorldCat Record</v>
      </c>
      <c r="AX6439" s="3" t="s">
        <v>62076</v>
      </c>
      <c r="AY6439" s="3" t="s">
        <v>62077</v>
      </c>
      <c r="AZ6439" s="3" t="s">
        <v>62078</v>
      </c>
      <c r="BA6439" s="3" t="s">
        <v>62078</v>
      </c>
      <c r="BB6439" s="3" t="s">
        <v>62079</v>
      </c>
      <c r="BC6439" s="3" t="s">
        <v>142</v>
      </c>
      <c r="BD6439" s="3" t="s">
        <v>68</v>
      </c>
      <c r="BE6439" s="3" t="s">
        <v>62080</v>
      </c>
      <c r="BF6439" s="3" t="s">
        <v>62079</v>
      </c>
      <c r="BG6439" s="3" t="s">
        <v>62081</v>
      </c>
    </row>
    <row r="6440" spans="1:59" ht="57" x14ac:dyDescent="0.45">
      <c r="A6440" s="2" t="s">
        <v>59</v>
      </c>
      <c r="B6440" s="2" t="s">
        <v>60</v>
      </c>
      <c r="C6440" s="2" t="s">
        <v>62082</v>
      </c>
      <c r="D6440" s="2" t="s">
        <v>62083</v>
      </c>
      <c r="E6440" s="2" t="s">
        <v>62084</v>
      </c>
      <c r="G6440" s="3" t="s">
        <v>62</v>
      </c>
      <c r="I6440" s="3" t="s">
        <v>62</v>
      </c>
      <c r="J6440" s="3" t="s">
        <v>62</v>
      </c>
      <c r="K6440" s="3" t="s">
        <v>63</v>
      </c>
      <c r="L6440" s="2" t="s">
        <v>62085</v>
      </c>
      <c r="M6440" s="2" t="s">
        <v>62086</v>
      </c>
      <c r="N6440" s="3" t="s">
        <v>106</v>
      </c>
      <c r="P6440" s="3" t="s">
        <v>110</v>
      </c>
      <c r="Q6440" s="2" t="s">
        <v>10751</v>
      </c>
      <c r="R6440" s="3" t="s">
        <v>66</v>
      </c>
      <c r="S6440" s="4">
        <v>44</v>
      </c>
      <c r="T6440" s="4">
        <v>44</v>
      </c>
      <c r="U6440" s="5" t="s">
        <v>28334</v>
      </c>
      <c r="V6440" s="5" t="s">
        <v>28334</v>
      </c>
      <c r="W6440" s="5" t="s">
        <v>67</v>
      </c>
      <c r="X6440" s="5" t="s">
        <v>67</v>
      </c>
      <c r="Y6440" s="4">
        <v>105</v>
      </c>
      <c r="Z6440" s="4">
        <v>16</v>
      </c>
      <c r="AA6440" s="4">
        <v>35</v>
      </c>
      <c r="AB6440" s="4">
        <v>2</v>
      </c>
      <c r="AC6440" s="4">
        <v>13</v>
      </c>
      <c r="AD6440" s="4">
        <v>48</v>
      </c>
      <c r="AE6440" s="4">
        <v>59</v>
      </c>
      <c r="AF6440" s="4">
        <v>0</v>
      </c>
      <c r="AG6440" s="4">
        <v>5</v>
      </c>
      <c r="AH6440" s="4">
        <v>40</v>
      </c>
      <c r="AI6440" s="4">
        <v>44</v>
      </c>
      <c r="AJ6440" s="4">
        <v>10</v>
      </c>
      <c r="AK6440" s="4">
        <v>17</v>
      </c>
      <c r="AL6440" s="4">
        <v>28</v>
      </c>
      <c r="AM6440" s="4">
        <v>28</v>
      </c>
      <c r="AN6440" s="4">
        <v>0</v>
      </c>
      <c r="AO6440" s="4">
        <v>0</v>
      </c>
      <c r="AP6440" s="4">
        <v>12</v>
      </c>
      <c r="AQ6440" s="4">
        <v>22</v>
      </c>
      <c r="AR6440" s="3" t="s">
        <v>62</v>
      </c>
      <c r="AS6440" s="3" t="s">
        <v>62</v>
      </c>
      <c r="AT6440" s="3" t="s">
        <v>61</v>
      </c>
      <c r="AU6440" s="6" t="str">
        <f>HYPERLINK("http://catalog.hathitrust.org/Record/002200654","HathiTrust Record")</f>
        <v>HathiTrust Record</v>
      </c>
      <c r="AV6440" s="6" t="str">
        <f>HYPERLINK("http://mcgill.on.worldcat.org/oclc/10966039","Catalog Record")</f>
        <v>Catalog Record</v>
      </c>
      <c r="AW6440" s="6" t="str">
        <f>HYPERLINK("http://www.worldcat.org/oclc/10966039","WorldCat Record")</f>
        <v>WorldCat Record</v>
      </c>
      <c r="AX6440" s="3" t="s">
        <v>62087</v>
      </c>
      <c r="AY6440" s="3" t="s">
        <v>62088</v>
      </c>
      <c r="AZ6440" s="3" t="s">
        <v>62089</v>
      </c>
      <c r="BA6440" s="3" t="s">
        <v>62089</v>
      </c>
      <c r="BB6440" s="3" t="s">
        <v>62090</v>
      </c>
      <c r="BC6440" s="3" t="s">
        <v>142</v>
      </c>
      <c r="BD6440" s="3" t="s">
        <v>68</v>
      </c>
      <c r="BE6440" s="3" t="s">
        <v>62091</v>
      </c>
      <c r="BF6440" s="3" t="s">
        <v>62090</v>
      </c>
      <c r="BG6440" s="3" t="s">
        <v>62092</v>
      </c>
    </row>
    <row r="6441" spans="1:59" ht="57" x14ac:dyDescent="0.45">
      <c r="A6441" s="2" t="s">
        <v>59</v>
      </c>
      <c r="B6441" s="2" t="s">
        <v>60</v>
      </c>
      <c r="C6441" s="2" t="s">
        <v>62093</v>
      </c>
      <c r="D6441" s="2" t="s">
        <v>62094</v>
      </c>
      <c r="E6441" s="2" t="s">
        <v>62095</v>
      </c>
      <c r="G6441" s="3" t="s">
        <v>62</v>
      </c>
      <c r="I6441" s="3" t="s">
        <v>62</v>
      </c>
      <c r="J6441" s="3" t="s">
        <v>62</v>
      </c>
      <c r="K6441" s="3" t="s">
        <v>63</v>
      </c>
      <c r="L6441" s="2" t="s">
        <v>55539</v>
      </c>
      <c r="M6441" s="2" t="s">
        <v>893</v>
      </c>
      <c r="N6441" s="3" t="s">
        <v>894</v>
      </c>
      <c r="P6441" s="3" t="s">
        <v>65</v>
      </c>
      <c r="R6441" s="3" t="s">
        <v>66</v>
      </c>
      <c r="S6441" s="4">
        <v>4</v>
      </c>
      <c r="T6441" s="4">
        <v>4</v>
      </c>
      <c r="U6441" s="5" t="s">
        <v>62096</v>
      </c>
      <c r="V6441" s="5" t="s">
        <v>62096</v>
      </c>
      <c r="W6441" s="5" t="s">
        <v>67</v>
      </c>
      <c r="X6441" s="5" t="s">
        <v>67</v>
      </c>
      <c r="Y6441" s="4">
        <v>145</v>
      </c>
      <c r="Z6441" s="4">
        <v>16</v>
      </c>
      <c r="AA6441" s="4">
        <v>80</v>
      </c>
      <c r="AB6441" s="4">
        <v>2</v>
      </c>
      <c r="AC6441" s="4">
        <v>14</v>
      </c>
      <c r="AD6441" s="4">
        <v>63</v>
      </c>
      <c r="AE6441" s="4">
        <v>125</v>
      </c>
      <c r="AF6441" s="4">
        <v>1</v>
      </c>
      <c r="AG6441" s="4">
        <v>8</v>
      </c>
      <c r="AH6441" s="4">
        <v>58</v>
      </c>
      <c r="AI6441" s="4">
        <v>91</v>
      </c>
      <c r="AJ6441" s="4">
        <v>13</v>
      </c>
      <c r="AK6441" s="4">
        <v>23</v>
      </c>
      <c r="AL6441" s="4">
        <v>33</v>
      </c>
      <c r="AM6441" s="4">
        <v>48</v>
      </c>
      <c r="AN6441" s="4">
        <v>0</v>
      </c>
      <c r="AO6441" s="4">
        <v>0</v>
      </c>
      <c r="AP6441" s="4">
        <v>13</v>
      </c>
      <c r="AQ6441" s="4">
        <v>42</v>
      </c>
      <c r="AR6441" s="3" t="s">
        <v>62</v>
      </c>
      <c r="AS6441" s="3" t="s">
        <v>62</v>
      </c>
      <c r="AT6441" s="3" t="s">
        <v>62</v>
      </c>
      <c r="AV6441" s="6" t="str">
        <f>HYPERLINK("http://mcgill.on.worldcat.org/oclc/681488510","Catalog Record")</f>
        <v>Catalog Record</v>
      </c>
      <c r="AW6441" s="6" t="str">
        <f>HYPERLINK("http://www.worldcat.org/oclc/681488510","WorldCat Record")</f>
        <v>WorldCat Record</v>
      </c>
      <c r="AX6441" s="3" t="s">
        <v>62097</v>
      </c>
      <c r="AY6441" s="3" t="s">
        <v>62098</v>
      </c>
      <c r="AZ6441" s="3" t="s">
        <v>62099</v>
      </c>
      <c r="BA6441" s="3" t="s">
        <v>62099</v>
      </c>
      <c r="BB6441" s="3" t="s">
        <v>62100</v>
      </c>
      <c r="BC6441" s="3" t="s">
        <v>142</v>
      </c>
      <c r="BD6441" s="3" t="s">
        <v>68</v>
      </c>
      <c r="BE6441" s="3" t="s">
        <v>62101</v>
      </c>
      <c r="BF6441" s="3" t="s">
        <v>62100</v>
      </c>
      <c r="BG6441" s="3" t="s">
        <v>62102</v>
      </c>
    </row>
    <row r="6442" spans="1:59" ht="57" x14ac:dyDescent="0.45">
      <c r="A6442" s="2" t="s">
        <v>59</v>
      </c>
      <c r="B6442" s="2" t="s">
        <v>60</v>
      </c>
      <c r="C6442" s="2" t="s">
        <v>62103</v>
      </c>
      <c r="D6442" s="2" t="s">
        <v>62104</v>
      </c>
      <c r="E6442" s="2" t="s">
        <v>62105</v>
      </c>
      <c r="F6442" s="3" t="s">
        <v>87</v>
      </c>
      <c r="G6442" s="3" t="s">
        <v>61</v>
      </c>
      <c r="I6442" s="3" t="s">
        <v>62</v>
      </c>
      <c r="J6442" s="3" t="s">
        <v>62</v>
      </c>
      <c r="K6442" s="3" t="s">
        <v>63</v>
      </c>
      <c r="M6442" s="2" t="s">
        <v>62106</v>
      </c>
      <c r="N6442" s="3" t="s">
        <v>1688</v>
      </c>
      <c r="P6442" s="3" t="s">
        <v>65</v>
      </c>
      <c r="Q6442" s="2" t="s">
        <v>62107</v>
      </c>
      <c r="R6442" s="3" t="s">
        <v>66</v>
      </c>
      <c r="S6442" s="4">
        <v>0</v>
      </c>
      <c r="T6442" s="4">
        <v>0</v>
      </c>
      <c r="W6442" s="5" t="s">
        <v>67</v>
      </c>
      <c r="X6442" s="5" t="s">
        <v>67</v>
      </c>
      <c r="Y6442" s="4">
        <v>22</v>
      </c>
      <c r="Z6442" s="4">
        <v>4</v>
      </c>
      <c r="AA6442" s="4">
        <v>4</v>
      </c>
      <c r="AB6442" s="4">
        <v>1</v>
      </c>
      <c r="AC6442" s="4">
        <v>1</v>
      </c>
      <c r="AD6442" s="4">
        <v>15</v>
      </c>
      <c r="AE6442" s="4">
        <v>15</v>
      </c>
      <c r="AF6442" s="4">
        <v>0</v>
      </c>
      <c r="AG6442" s="4">
        <v>0</v>
      </c>
      <c r="AH6442" s="4">
        <v>13</v>
      </c>
      <c r="AI6442" s="4">
        <v>13</v>
      </c>
      <c r="AJ6442" s="4">
        <v>3</v>
      </c>
      <c r="AK6442" s="4">
        <v>3</v>
      </c>
      <c r="AL6442" s="4">
        <v>11</v>
      </c>
      <c r="AM6442" s="4">
        <v>11</v>
      </c>
      <c r="AN6442" s="4">
        <v>0</v>
      </c>
      <c r="AO6442" s="4">
        <v>0</v>
      </c>
      <c r="AP6442" s="4">
        <v>3</v>
      </c>
      <c r="AQ6442" s="4">
        <v>3</v>
      </c>
      <c r="AR6442" s="3" t="s">
        <v>62</v>
      </c>
      <c r="AS6442" s="3" t="s">
        <v>62</v>
      </c>
      <c r="AT6442" s="3" t="s">
        <v>62</v>
      </c>
      <c r="AV6442" s="6" t="str">
        <f>HYPERLINK("http://mcgill.on.worldcat.org/oclc/913768873","Catalog Record")</f>
        <v>Catalog Record</v>
      </c>
      <c r="AW6442" s="6" t="str">
        <f>HYPERLINK("http://www.worldcat.org/oclc/913768873","WorldCat Record")</f>
        <v>WorldCat Record</v>
      </c>
      <c r="AX6442" s="3" t="s">
        <v>62108</v>
      </c>
      <c r="AY6442" s="3" t="s">
        <v>62109</v>
      </c>
      <c r="AZ6442" s="3" t="s">
        <v>62110</v>
      </c>
      <c r="BA6442" s="3" t="s">
        <v>62110</v>
      </c>
      <c r="BB6442" s="3" t="s">
        <v>62111</v>
      </c>
      <c r="BC6442" s="3" t="s">
        <v>142</v>
      </c>
      <c r="BD6442" s="3" t="s">
        <v>68</v>
      </c>
      <c r="BE6442" s="3" t="s">
        <v>62112</v>
      </c>
      <c r="BF6442" s="3" t="s">
        <v>62111</v>
      </c>
      <c r="BG6442" s="3" t="s">
        <v>62113</v>
      </c>
    </row>
    <row r="6443" spans="1:59" ht="57" x14ac:dyDescent="0.45">
      <c r="A6443" s="2" t="s">
        <v>59</v>
      </c>
      <c r="B6443" s="2" t="s">
        <v>60</v>
      </c>
      <c r="C6443" s="2" t="s">
        <v>62103</v>
      </c>
      <c r="D6443" s="2" t="s">
        <v>62104</v>
      </c>
      <c r="E6443" s="2" t="s">
        <v>62105</v>
      </c>
      <c r="F6443" s="3" t="s">
        <v>90</v>
      </c>
      <c r="G6443" s="3" t="s">
        <v>61</v>
      </c>
      <c r="I6443" s="3" t="s">
        <v>62</v>
      </c>
      <c r="J6443" s="3" t="s">
        <v>62</v>
      </c>
      <c r="K6443" s="3" t="s">
        <v>63</v>
      </c>
      <c r="M6443" s="2" t="s">
        <v>62106</v>
      </c>
      <c r="N6443" s="3" t="s">
        <v>1688</v>
      </c>
      <c r="P6443" s="3" t="s">
        <v>65</v>
      </c>
      <c r="Q6443" s="2" t="s">
        <v>62107</v>
      </c>
      <c r="R6443" s="3" t="s">
        <v>66</v>
      </c>
      <c r="S6443" s="4">
        <v>0</v>
      </c>
      <c r="T6443" s="4">
        <v>0</v>
      </c>
      <c r="W6443" s="5" t="s">
        <v>67</v>
      </c>
      <c r="X6443" s="5" t="s">
        <v>67</v>
      </c>
      <c r="Y6443" s="4">
        <v>22</v>
      </c>
      <c r="Z6443" s="4">
        <v>4</v>
      </c>
      <c r="AA6443" s="4">
        <v>4</v>
      </c>
      <c r="AB6443" s="4">
        <v>1</v>
      </c>
      <c r="AC6443" s="4">
        <v>1</v>
      </c>
      <c r="AD6443" s="4">
        <v>15</v>
      </c>
      <c r="AE6443" s="4">
        <v>15</v>
      </c>
      <c r="AF6443" s="4">
        <v>0</v>
      </c>
      <c r="AG6443" s="4">
        <v>0</v>
      </c>
      <c r="AH6443" s="4">
        <v>13</v>
      </c>
      <c r="AI6443" s="4">
        <v>13</v>
      </c>
      <c r="AJ6443" s="4">
        <v>3</v>
      </c>
      <c r="AK6443" s="4">
        <v>3</v>
      </c>
      <c r="AL6443" s="4">
        <v>11</v>
      </c>
      <c r="AM6443" s="4">
        <v>11</v>
      </c>
      <c r="AN6443" s="4">
        <v>0</v>
      </c>
      <c r="AO6443" s="4">
        <v>0</v>
      </c>
      <c r="AP6443" s="4">
        <v>3</v>
      </c>
      <c r="AQ6443" s="4">
        <v>3</v>
      </c>
      <c r="AR6443" s="3" t="s">
        <v>62</v>
      </c>
      <c r="AS6443" s="3" t="s">
        <v>62</v>
      </c>
      <c r="AT6443" s="3" t="s">
        <v>62</v>
      </c>
      <c r="AV6443" s="6" t="str">
        <f>HYPERLINK("http://mcgill.on.worldcat.org/oclc/913768873","Catalog Record")</f>
        <v>Catalog Record</v>
      </c>
      <c r="AW6443" s="6" t="str">
        <f>HYPERLINK("http://www.worldcat.org/oclc/913768873","WorldCat Record")</f>
        <v>WorldCat Record</v>
      </c>
      <c r="AX6443" s="3" t="s">
        <v>62108</v>
      </c>
      <c r="AY6443" s="3" t="s">
        <v>62109</v>
      </c>
      <c r="AZ6443" s="3" t="s">
        <v>62110</v>
      </c>
      <c r="BA6443" s="3" t="s">
        <v>62110</v>
      </c>
      <c r="BB6443" s="3" t="s">
        <v>62114</v>
      </c>
      <c r="BC6443" s="3" t="s">
        <v>142</v>
      </c>
      <c r="BD6443" s="3" t="s">
        <v>68</v>
      </c>
      <c r="BE6443" s="3" t="s">
        <v>62112</v>
      </c>
      <c r="BF6443" s="3" t="s">
        <v>62114</v>
      </c>
      <c r="BG6443" s="3" t="s">
        <v>62115</v>
      </c>
    </row>
    <row r="6444" spans="1:59" ht="57" x14ac:dyDescent="0.45">
      <c r="A6444" s="2" t="s">
        <v>59</v>
      </c>
      <c r="B6444" s="2" t="s">
        <v>60</v>
      </c>
      <c r="C6444" s="2" t="s">
        <v>62116</v>
      </c>
      <c r="D6444" s="2" t="s">
        <v>62117</v>
      </c>
      <c r="E6444" s="2" t="s">
        <v>62118</v>
      </c>
      <c r="G6444" s="3" t="s">
        <v>62</v>
      </c>
      <c r="I6444" s="3" t="s">
        <v>62</v>
      </c>
      <c r="J6444" s="3" t="s">
        <v>62</v>
      </c>
      <c r="K6444" s="3" t="s">
        <v>63</v>
      </c>
      <c r="L6444" s="2" t="s">
        <v>62119</v>
      </c>
      <c r="M6444" s="2" t="s">
        <v>9988</v>
      </c>
      <c r="N6444" s="3" t="s">
        <v>1155</v>
      </c>
      <c r="P6444" s="3" t="s">
        <v>65</v>
      </c>
      <c r="R6444" s="3" t="s">
        <v>66</v>
      </c>
      <c r="S6444" s="4">
        <v>0</v>
      </c>
      <c r="T6444" s="4">
        <v>0</v>
      </c>
      <c r="W6444" s="5" t="s">
        <v>67</v>
      </c>
      <c r="X6444" s="5" t="s">
        <v>67</v>
      </c>
      <c r="Y6444" s="4">
        <v>43</v>
      </c>
      <c r="Z6444" s="4">
        <v>9</v>
      </c>
      <c r="AA6444" s="4">
        <v>84</v>
      </c>
      <c r="AB6444" s="4">
        <v>2</v>
      </c>
      <c r="AC6444" s="4">
        <v>16</v>
      </c>
      <c r="AD6444" s="4">
        <v>24</v>
      </c>
      <c r="AE6444" s="4">
        <v>90</v>
      </c>
      <c r="AF6444" s="4">
        <v>1</v>
      </c>
      <c r="AG6444" s="4">
        <v>8</v>
      </c>
      <c r="AH6444" s="4">
        <v>21</v>
      </c>
      <c r="AI6444" s="4">
        <v>58</v>
      </c>
      <c r="AJ6444" s="4">
        <v>6</v>
      </c>
      <c r="AK6444" s="4">
        <v>18</v>
      </c>
      <c r="AL6444" s="4">
        <v>16</v>
      </c>
      <c r="AM6444" s="4">
        <v>31</v>
      </c>
      <c r="AN6444" s="4">
        <v>0</v>
      </c>
      <c r="AO6444" s="4">
        <v>0</v>
      </c>
      <c r="AP6444" s="4">
        <v>7</v>
      </c>
      <c r="AQ6444" s="4">
        <v>40</v>
      </c>
      <c r="AR6444" s="3" t="s">
        <v>62</v>
      </c>
      <c r="AS6444" s="3" t="s">
        <v>62</v>
      </c>
      <c r="AT6444" s="3" t="s">
        <v>62</v>
      </c>
      <c r="AV6444" s="6" t="str">
        <f>HYPERLINK("http://mcgill.on.worldcat.org/oclc/774499220","Catalog Record")</f>
        <v>Catalog Record</v>
      </c>
      <c r="AW6444" s="6" t="str">
        <f>HYPERLINK("http://www.worldcat.org/oclc/774499220","WorldCat Record")</f>
        <v>WorldCat Record</v>
      </c>
      <c r="AX6444" s="3" t="s">
        <v>62120</v>
      </c>
      <c r="AY6444" s="3" t="s">
        <v>62121</v>
      </c>
      <c r="AZ6444" s="3" t="s">
        <v>62122</v>
      </c>
      <c r="BA6444" s="3" t="s">
        <v>62122</v>
      </c>
      <c r="BB6444" s="3" t="s">
        <v>62123</v>
      </c>
      <c r="BC6444" s="3" t="s">
        <v>142</v>
      </c>
      <c r="BD6444" s="3" t="s">
        <v>68</v>
      </c>
      <c r="BE6444" s="3" t="s">
        <v>62124</v>
      </c>
      <c r="BF6444" s="3" t="s">
        <v>62123</v>
      </c>
      <c r="BG6444" s="3" t="s">
        <v>62125</v>
      </c>
    </row>
    <row r="6445" spans="1:59" ht="57" x14ac:dyDescent="0.45">
      <c r="A6445" s="2" t="s">
        <v>59</v>
      </c>
      <c r="B6445" s="2" t="s">
        <v>60</v>
      </c>
      <c r="C6445" s="2" t="s">
        <v>62126</v>
      </c>
      <c r="D6445" s="2" t="s">
        <v>62127</v>
      </c>
      <c r="E6445" s="2" t="s">
        <v>62128</v>
      </c>
      <c r="G6445" s="3" t="s">
        <v>62</v>
      </c>
      <c r="I6445" s="3" t="s">
        <v>62</v>
      </c>
      <c r="J6445" s="3" t="s">
        <v>62</v>
      </c>
      <c r="K6445" s="3" t="s">
        <v>63</v>
      </c>
      <c r="L6445" s="2" t="s">
        <v>28285</v>
      </c>
      <c r="M6445" s="2" t="s">
        <v>32694</v>
      </c>
      <c r="N6445" s="3" t="s">
        <v>1097</v>
      </c>
      <c r="P6445" s="3" t="s">
        <v>65</v>
      </c>
      <c r="R6445" s="3" t="s">
        <v>66</v>
      </c>
      <c r="S6445" s="4">
        <v>8</v>
      </c>
      <c r="T6445" s="4">
        <v>8</v>
      </c>
      <c r="U6445" s="5" t="s">
        <v>62129</v>
      </c>
      <c r="V6445" s="5" t="s">
        <v>62129</v>
      </c>
      <c r="W6445" s="5" t="s">
        <v>67</v>
      </c>
      <c r="X6445" s="5" t="s">
        <v>67</v>
      </c>
      <c r="Y6445" s="4">
        <v>188</v>
      </c>
      <c r="Z6445" s="4">
        <v>20</v>
      </c>
      <c r="AA6445" s="4">
        <v>30</v>
      </c>
      <c r="AB6445" s="4">
        <v>2</v>
      </c>
      <c r="AC6445" s="4">
        <v>6</v>
      </c>
      <c r="AD6445" s="4">
        <v>87</v>
      </c>
      <c r="AE6445" s="4">
        <v>100</v>
      </c>
      <c r="AF6445" s="4">
        <v>1</v>
      </c>
      <c r="AG6445" s="4">
        <v>2</v>
      </c>
      <c r="AH6445" s="4">
        <v>77</v>
      </c>
      <c r="AI6445" s="4">
        <v>87</v>
      </c>
      <c r="AJ6445" s="4">
        <v>17</v>
      </c>
      <c r="AK6445" s="4">
        <v>21</v>
      </c>
      <c r="AL6445" s="4">
        <v>49</v>
      </c>
      <c r="AM6445" s="4">
        <v>52</v>
      </c>
      <c r="AN6445" s="4">
        <v>1</v>
      </c>
      <c r="AO6445" s="4">
        <v>1</v>
      </c>
      <c r="AP6445" s="4">
        <v>18</v>
      </c>
      <c r="AQ6445" s="4">
        <v>24</v>
      </c>
      <c r="AR6445" s="3" t="s">
        <v>62</v>
      </c>
      <c r="AS6445" s="3" t="s">
        <v>62</v>
      </c>
      <c r="AT6445" s="3" t="s">
        <v>61</v>
      </c>
      <c r="AU6445" s="6" t="str">
        <f>HYPERLINK("http://catalog.hathitrust.org/Record/004764009","HathiTrust Record")</f>
        <v>HathiTrust Record</v>
      </c>
      <c r="AV6445" s="6" t="str">
        <f>HYPERLINK("http://mcgill.on.worldcat.org/oclc/56436151","Catalog Record")</f>
        <v>Catalog Record</v>
      </c>
      <c r="AW6445" s="6" t="str">
        <f>HYPERLINK("http://www.worldcat.org/oclc/56436151","WorldCat Record")</f>
        <v>WorldCat Record</v>
      </c>
      <c r="AX6445" s="3" t="s">
        <v>62130</v>
      </c>
      <c r="AY6445" s="3" t="s">
        <v>62131</v>
      </c>
      <c r="AZ6445" s="3" t="s">
        <v>62132</v>
      </c>
      <c r="BA6445" s="3" t="s">
        <v>62132</v>
      </c>
      <c r="BB6445" s="3" t="s">
        <v>62133</v>
      </c>
      <c r="BC6445" s="3" t="s">
        <v>142</v>
      </c>
      <c r="BD6445" s="3" t="s">
        <v>68</v>
      </c>
      <c r="BE6445" s="3" t="s">
        <v>62134</v>
      </c>
      <c r="BF6445" s="3" t="s">
        <v>62133</v>
      </c>
      <c r="BG6445" s="3" t="s">
        <v>62135</v>
      </c>
    </row>
    <row r="6446" spans="1:59" ht="57" x14ac:dyDescent="0.45">
      <c r="A6446" s="2" t="s">
        <v>59</v>
      </c>
      <c r="B6446" s="2" t="s">
        <v>60</v>
      </c>
      <c r="C6446" s="2" t="s">
        <v>62136</v>
      </c>
      <c r="D6446" s="2" t="s">
        <v>62137</v>
      </c>
      <c r="E6446" s="2" t="s">
        <v>62138</v>
      </c>
      <c r="G6446" s="3" t="s">
        <v>62</v>
      </c>
      <c r="I6446" s="3" t="s">
        <v>62</v>
      </c>
      <c r="J6446" s="3" t="s">
        <v>62</v>
      </c>
      <c r="K6446" s="3" t="s">
        <v>63</v>
      </c>
      <c r="L6446" s="2" t="s">
        <v>62139</v>
      </c>
      <c r="M6446" s="2" t="s">
        <v>62140</v>
      </c>
      <c r="N6446" s="3" t="s">
        <v>149</v>
      </c>
      <c r="O6446" s="2" t="s">
        <v>168</v>
      </c>
      <c r="P6446" s="3" t="s">
        <v>65</v>
      </c>
      <c r="Q6446" s="2" t="s">
        <v>62141</v>
      </c>
      <c r="R6446" s="3" t="s">
        <v>66</v>
      </c>
      <c r="S6446" s="4">
        <v>1</v>
      </c>
      <c r="T6446" s="4">
        <v>1</v>
      </c>
      <c r="U6446" s="5" t="s">
        <v>42852</v>
      </c>
      <c r="V6446" s="5" t="s">
        <v>42852</v>
      </c>
      <c r="W6446" s="5" t="s">
        <v>67</v>
      </c>
      <c r="X6446" s="5" t="s">
        <v>67</v>
      </c>
      <c r="Y6446" s="4">
        <v>73</v>
      </c>
      <c r="Z6446" s="4">
        <v>12</v>
      </c>
      <c r="AA6446" s="4">
        <v>82</v>
      </c>
      <c r="AB6446" s="4">
        <v>1</v>
      </c>
      <c r="AC6446" s="4">
        <v>14</v>
      </c>
      <c r="AD6446" s="4">
        <v>42</v>
      </c>
      <c r="AE6446" s="4">
        <v>111</v>
      </c>
      <c r="AF6446" s="4">
        <v>0</v>
      </c>
      <c r="AG6446" s="4">
        <v>8</v>
      </c>
      <c r="AH6446" s="4">
        <v>35</v>
      </c>
      <c r="AI6446" s="4">
        <v>74</v>
      </c>
      <c r="AJ6446" s="4">
        <v>10</v>
      </c>
      <c r="AK6446" s="4">
        <v>24</v>
      </c>
      <c r="AL6446" s="4">
        <v>27</v>
      </c>
      <c r="AM6446" s="4">
        <v>41</v>
      </c>
      <c r="AN6446" s="4">
        <v>0</v>
      </c>
      <c r="AO6446" s="4">
        <v>0</v>
      </c>
      <c r="AP6446" s="4">
        <v>10</v>
      </c>
      <c r="AQ6446" s="4">
        <v>44</v>
      </c>
      <c r="AR6446" s="3" t="s">
        <v>62</v>
      </c>
      <c r="AS6446" s="3" t="s">
        <v>62</v>
      </c>
      <c r="AT6446" s="3" t="s">
        <v>62</v>
      </c>
      <c r="AV6446" s="6" t="str">
        <f>HYPERLINK("http://mcgill.on.worldcat.org/oclc/620150006","Catalog Record")</f>
        <v>Catalog Record</v>
      </c>
      <c r="AW6446" s="6" t="str">
        <f>HYPERLINK("http://www.worldcat.org/oclc/620150006","WorldCat Record")</f>
        <v>WorldCat Record</v>
      </c>
      <c r="AX6446" s="3" t="s">
        <v>62142</v>
      </c>
      <c r="AY6446" s="3" t="s">
        <v>62143</v>
      </c>
      <c r="AZ6446" s="3" t="s">
        <v>62144</v>
      </c>
      <c r="BA6446" s="3" t="s">
        <v>62144</v>
      </c>
      <c r="BB6446" s="3" t="s">
        <v>62145</v>
      </c>
      <c r="BC6446" s="3" t="s">
        <v>142</v>
      </c>
      <c r="BD6446" s="3" t="s">
        <v>68</v>
      </c>
      <c r="BE6446" s="3" t="s">
        <v>62146</v>
      </c>
      <c r="BF6446" s="3" t="s">
        <v>62145</v>
      </c>
      <c r="BG6446" s="3" t="s">
        <v>62147</v>
      </c>
    </row>
    <row r="6447" spans="1:59" ht="57" x14ac:dyDescent="0.45">
      <c r="A6447" s="2" t="s">
        <v>59</v>
      </c>
      <c r="B6447" s="2" t="s">
        <v>60</v>
      </c>
      <c r="C6447" s="2" t="s">
        <v>62148</v>
      </c>
      <c r="D6447" s="2" t="s">
        <v>62149</v>
      </c>
      <c r="E6447" s="2" t="s">
        <v>62150</v>
      </c>
      <c r="G6447" s="3" t="s">
        <v>62</v>
      </c>
      <c r="I6447" s="3" t="s">
        <v>62</v>
      </c>
      <c r="J6447" s="3" t="s">
        <v>62</v>
      </c>
      <c r="K6447" s="3" t="s">
        <v>63</v>
      </c>
      <c r="L6447" s="2" t="s">
        <v>62151</v>
      </c>
      <c r="M6447" s="2" t="s">
        <v>56938</v>
      </c>
      <c r="N6447" s="3" t="s">
        <v>894</v>
      </c>
      <c r="P6447" s="3" t="s">
        <v>326</v>
      </c>
      <c r="Q6447" s="2" t="s">
        <v>62152</v>
      </c>
      <c r="R6447" s="3" t="s">
        <v>66</v>
      </c>
      <c r="S6447" s="4">
        <v>0</v>
      </c>
      <c r="T6447" s="4">
        <v>0</v>
      </c>
      <c r="W6447" s="5" t="s">
        <v>67</v>
      </c>
      <c r="X6447" s="5" t="s">
        <v>67</v>
      </c>
      <c r="Y6447" s="4">
        <v>58</v>
      </c>
      <c r="Z6447" s="4">
        <v>7</v>
      </c>
      <c r="AA6447" s="4">
        <v>9</v>
      </c>
      <c r="AB6447" s="4">
        <v>1</v>
      </c>
      <c r="AC6447" s="4">
        <v>3</v>
      </c>
      <c r="AD6447" s="4">
        <v>37</v>
      </c>
      <c r="AE6447" s="4">
        <v>42</v>
      </c>
      <c r="AF6447" s="4">
        <v>0</v>
      </c>
      <c r="AG6447" s="4">
        <v>0</v>
      </c>
      <c r="AH6447" s="4">
        <v>36</v>
      </c>
      <c r="AI6447" s="4">
        <v>41</v>
      </c>
      <c r="AJ6447" s="4">
        <v>5</v>
      </c>
      <c r="AK6447" s="4">
        <v>5</v>
      </c>
      <c r="AL6447" s="4">
        <v>25</v>
      </c>
      <c r="AM6447" s="4">
        <v>27</v>
      </c>
      <c r="AN6447" s="4">
        <v>0</v>
      </c>
      <c r="AO6447" s="4">
        <v>0</v>
      </c>
      <c r="AP6447" s="4">
        <v>5</v>
      </c>
      <c r="AQ6447" s="4">
        <v>5</v>
      </c>
      <c r="AR6447" s="3" t="s">
        <v>62</v>
      </c>
      <c r="AS6447" s="3" t="s">
        <v>62</v>
      </c>
      <c r="AT6447" s="3" t="s">
        <v>62</v>
      </c>
      <c r="AV6447" s="6" t="str">
        <f>HYPERLINK("http://mcgill.on.worldcat.org/oclc/730398293","Catalog Record")</f>
        <v>Catalog Record</v>
      </c>
      <c r="AW6447" s="6" t="str">
        <f>HYPERLINK("http://www.worldcat.org/oclc/730398293","WorldCat Record")</f>
        <v>WorldCat Record</v>
      </c>
      <c r="AX6447" s="3" t="s">
        <v>62153</v>
      </c>
      <c r="AY6447" s="3" t="s">
        <v>62154</v>
      </c>
      <c r="AZ6447" s="3" t="s">
        <v>62155</v>
      </c>
      <c r="BA6447" s="3" t="s">
        <v>62155</v>
      </c>
      <c r="BB6447" s="3" t="s">
        <v>62156</v>
      </c>
      <c r="BC6447" s="3" t="s">
        <v>142</v>
      </c>
      <c r="BD6447" s="3" t="s">
        <v>68</v>
      </c>
      <c r="BE6447" s="3" t="s">
        <v>62157</v>
      </c>
      <c r="BF6447" s="3" t="s">
        <v>62156</v>
      </c>
      <c r="BG6447" s="3" t="s">
        <v>62158</v>
      </c>
    </row>
    <row r="6448" spans="1:59" ht="57" x14ac:dyDescent="0.45">
      <c r="A6448" s="2" t="s">
        <v>59</v>
      </c>
      <c r="B6448" s="2" t="s">
        <v>60</v>
      </c>
      <c r="C6448" s="2" t="s">
        <v>62159</v>
      </c>
      <c r="D6448" s="2" t="s">
        <v>62160</v>
      </c>
      <c r="E6448" s="2" t="s">
        <v>62161</v>
      </c>
      <c r="G6448" s="3" t="s">
        <v>62</v>
      </c>
      <c r="I6448" s="3" t="s">
        <v>62</v>
      </c>
      <c r="J6448" s="3" t="s">
        <v>62</v>
      </c>
      <c r="K6448" s="3" t="s">
        <v>63</v>
      </c>
      <c r="L6448" s="2" t="s">
        <v>52586</v>
      </c>
      <c r="M6448" s="2" t="s">
        <v>62162</v>
      </c>
      <c r="N6448" s="3" t="s">
        <v>195</v>
      </c>
      <c r="P6448" s="3" t="s">
        <v>65</v>
      </c>
      <c r="Q6448" s="2" t="s">
        <v>29735</v>
      </c>
      <c r="R6448" s="3" t="s">
        <v>66</v>
      </c>
      <c r="S6448" s="4">
        <v>37</v>
      </c>
      <c r="T6448" s="4">
        <v>37</v>
      </c>
      <c r="U6448" s="5" t="s">
        <v>6930</v>
      </c>
      <c r="V6448" s="5" t="s">
        <v>6930</v>
      </c>
      <c r="W6448" s="5" t="s">
        <v>67</v>
      </c>
      <c r="X6448" s="5" t="s">
        <v>67</v>
      </c>
      <c r="Y6448" s="4">
        <v>328</v>
      </c>
      <c r="Z6448" s="4">
        <v>26</v>
      </c>
      <c r="AA6448" s="4">
        <v>30</v>
      </c>
      <c r="AB6448" s="4">
        <v>1</v>
      </c>
      <c r="AC6448" s="4">
        <v>5</v>
      </c>
      <c r="AD6448" s="4">
        <v>90</v>
      </c>
      <c r="AE6448" s="4">
        <v>94</v>
      </c>
      <c r="AF6448" s="4">
        <v>0</v>
      </c>
      <c r="AG6448" s="4">
        <v>4</v>
      </c>
      <c r="AH6448" s="4">
        <v>77</v>
      </c>
      <c r="AI6448" s="4">
        <v>78</v>
      </c>
      <c r="AJ6448" s="4">
        <v>16</v>
      </c>
      <c r="AK6448" s="4">
        <v>19</v>
      </c>
      <c r="AL6448" s="4">
        <v>42</v>
      </c>
      <c r="AM6448" s="4">
        <v>42</v>
      </c>
      <c r="AN6448" s="4">
        <v>0</v>
      </c>
      <c r="AO6448" s="4">
        <v>0</v>
      </c>
      <c r="AP6448" s="4">
        <v>21</v>
      </c>
      <c r="AQ6448" s="4">
        <v>24</v>
      </c>
      <c r="AR6448" s="3" t="s">
        <v>62</v>
      </c>
      <c r="AS6448" s="3" t="s">
        <v>62</v>
      </c>
      <c r="AT6448" s="3" t="s">
        <v>62</v>
      </c>
      <c r="AV6448" s="6" t="str">
        <f>HYPERLINK("http://mcgill.on.worldcat.org/oclc/25628732","Catalog Record")</f>
        <v>Catalog Record</v>
      </c>
      <c r="AW6448" s="6" t="str">
        <f>HYPERLINK("http://www.worldcat.org/oclc/25628732","WorldCat Record")</f>
        <v>WorldCat Record</v>
      </c>
      <c r="AX6448" s="3" t="s">
        <v>62163</v>
      </c>
      <c r="AY6448" s="3" t="s">
        <v>62164</v>
      </c>
      <c r="AZ6448" s="3" t="s">
        <v>62165</v>
      </c>
      <c r="BA6448" s="3" t="s">
        <v>62165</v>
      </c>
      <c r="BB6448" s="3" t="s">
        <v>62166</v>
      </c>
      <c r="BC6448" s="3" t="s">
        <v>142</v>
      </c>
      <c r="BD6448" s="3" t="s">
        <v>68</v>
      </c>
      <c r="BE6448" s="3" t="s">
        <v>62167</v>
      </c>
      <c r="BF6448" s="3" t="s">
        <v>62166</v>
      </c>
      <c r="BG6448" s="3" t="s">
        <v>62168</v>
      </c>
    </row>
    <row r="6449" spans="1:59" ht="57" x14ac:dyDescent="0.45">
      <c r="A6449" s="2" t="s">
        <v>59</v>
      </c>
      <c r="B6449" s="2" t="s">
        <v>60</v>
      </c>
      <c r="C6449" s="2" t="s">
        <v>62169</v>
      </c>
      <c r="D6449" s="2" t="s">
        <v>62170</v>
      </c>
      <c r="E6449" s="2" t="s">
        <v>62171</v>
      </c>
      <c r="G6449" s="3" t="s">
        <v>62</v>
      </c>
      <c r="I6449" s="3" t="s">
        <v>62</v>
      </c>
      <c r="J6449" s="3" t="s">
        <v>62</v>
      </c>
      <c r="K6449" s="3" t="s">
        <v>63</v>
      </c>
      <c r="L6449" s="2" t="s">
        <v>52586</v>
      </c>
      <c r="M6449" s="2" t="s">
        <v>2728</v>
      </c>
      <c r="N6449" s="3" t="s">
        <v>1465</v>
      </c>
      <c r="P6449" s="3" t="s">
        <v>65</v>
      </c>
      <c r="Q6449" s="2" t="s">
        <v>29735</v>
      </c>
      <c r="R6449" s="3" t="s">
        <v>66</v>
      </c>
      <c r="S6449" s="4">
        <v>4</v>
      </c>
      <c r="T6449" s="4">
        <v>4</v>
      </c>
      <c r="U6449" s="5" t="s">
        <v>62172</v>
      </c>
      <c r="V6449" s="5" t="s">
        <v>62172</v>
      </c>
      <c r="W6449" s="5" t="s">
        <v>67</v>
      </c>
      <c r="X6449" s="5" t="s">
        <v>67</v>
      </c>
      <c r="Y6449" s="4">
        <v>160</v>
      </c>
      <c r="Z6449" s="4">
        <v>16</v>
      </c>
      <c r="AA6449" s="4">
        <v>18</v>
      </c>
      <c r="AB6449" s="4">
        <v>2</v>
      </c>
      <c r="AC6449" s="4">
        <v>3</v>
      </c>
      <c r="AD6449" s="4">
        <v>42</v>
      </c>
      <c r="AE6449" s="4">
        <v>44</v>
      </c>
      <c r="AF6449" s="4">
        <v>0</v>
      </c>
      <c r="AG6449" s="4">
        <v>1</v>
      </c>
      <c r="AH6449" s="4">
        <v>34</v>
      </c>
      <c r="AI6449" s="4">
        <v>35</v>
      </c>
      <c r="AJ6449" s="4">
        <v>9</v>
      </c>
      <c r="AK6449" s="4">
        <v>10</v>
      </c>
      <c r="AL6449" s="4">
        <v>21</v>
      </c>
      <c r="AM6449" s="4">
        <v>21</v>
      </c>
      <c r="AN6449" s="4">
        <v>0</v>
      </c>
      <c r="AO6449" s="4">
        <v>0</v>
      </c>
      <c r="AP6449" s="4">
        <v>12</v>
      </c>
      <c r="AQ6449" s="4">
        <v>14</v>
      </c>
      <c r="AR6449" s="3" t="s">
        <v>62</v>
      </c>
      <c r="AS6449" s="3" t="s">
        <v>62</v>
      </c>
      <c r="AT6449" s="3" t="s">
        <v>62</v>
      </c>
      <c r="AV6449" s="6" t="str">
        <f>HYPERLINK("http://mcgill.on.worldcat.org/oclc/305158171","Catalog Record")</f>
        <v>Catalog Record</v>
      </c>
      <c r="AW6449" s="6" t="str">
        <f>HYPERLINK("http://www.worldcat.org/oclc/305158171","WorldCat Record")</f>
        <v>WorldCat Record</v>
      </c>
      <c r="AX6449" s="3" t="s">
        <v>62173</v>
      </c>
      <c r="AY6449" s="3" t="s">
        <v>62174</v>
      </c>
      <c r="AZ6449" s="3" t="s">
        <v>62175</v>
      </c>
      <c r="BA6449" s="3" t="s">
        <v>62175</v>
      </c>
      <c r="BB6449" s="3" t="s">
        <v>62176</v>
      </c>
      <c r="BC6449" s="3" t="s">
        <v>142</v>
      </c>
      <c r="BD6449" s="3" t="s">
        <v>68</v>
      </c>
      <c r="BE6449" s="3" t="s">
        <v>62177</v>
      </c>
      <c r="BF6449" s="3" t="s">
        <v>62176</v>
      </c>
      <c r="BG6449" s="3" t="s">
        <v>62178</v>
      </c>
    </row>
    <row r="6450" spans="1:59" ht="57" x14ac:dyDescent="0.45">
      <c r="A6450" s="2" t="s">
        <v>59</v>
      </c>
      <c r="B6450" s="2" t="s">
        <v>60</v>
      </c>
      <c r="C6450" s="2" t="s">
        <v>62179</v>
      </c>
      <c r="D6450" s="2" t="s">
        <v>62180</v>
      </c>
      <c r="E6450" s="2" t="s">
        <v>62181</v>
      </c>
      <c r="G6450" s="3" t="s">
        <v>62</v>
      </c>
      <c r="I6450" s="3" t="s">
        <v>62</v>
      </c>
      <c r="J6450" s="3" t="s">
        <v>62</v>
      </c>
      <c r="K6450" s="3" t="s">
        <v>63</v>
      </c>
      <c r="L6450" s="2" t="s">
        <v>62182</v>
      </c>
      <c r="M6450" s="2" t="s">
        <v>3013</v>
      </c>
      <c r="N6450" s="3" t="s">
        <v>1855</v>
      </c>
      <c r="P6450" s="3" t="s">
        <v>65</v>
      </c>
      <c r="R6450" s="3" t="s">
        <v>66</v>
      </c>
      <c r="S6450" s="4">
        <v>9</v>
      </c>
      <c r="T6450" s="4">
        <v>9</v>
      </c>
      <c r="U6450" s="5" t="s">
        <v>16493</v>
      </c>
      <c r="V6450" s="5" t="s">
        <v>16493</v>
      </c>
      <c r="W6450" s="5" t="s">
        <v>67</v>
      </c>
      <c r="X6450" s="5" t="s">
        <v>67</v>
      </c>
      <c r="Y6450" s="4">
        <v>220</v>
      </c>
      <c r="Z6450" s="4">
        <v>15</v>
      </c>
      <c r="AA6450" s="4">
        <v>24</v>
      </c>
      <c r="AB6450" s="4">
        <v>1</v>
      </c>
      <c r="AC6450" s="4">
        <v>8</v>
      </c>
      <c r="AD6450" s="4">
        <v>92</v>
      </c>
      <c r="AE6450" s="4">
        <v>100</v>
      </c>
      <c r="AF6450" s="4">
        <v>0</v>
      </c>
      <c r="AG6450" s="4">
        <v>4</v>
      </c>
      <c r="AH6450" s="4">
        <v>85</v>
      </c>
      <c r="AI6450" s="4">
        <v>87</v>
      </c>
      <c r="AJ6450" s="4">
        <v>12</v>
      </c>
      <c r="AK6450" s="4">
        <v>15</v>
      </c>
      <c r="AL6450" s="4">
        <v>48</v>
      </c>
      <c r="AM6450" s="4">
        <v>49</v>
      </c>
      <c r="AN6450" s="4">
        <v>0</v>
      </c>
      <c r="AO6450" s="4">
        <v>0</v>
      </c>
      <c r="AP6450" s="4">
        <v>13</v>
      </c>
      <c r="AQ6450" s="4">
        <v>18</v>
      </c>
      <c r="AR6450" s="3" t="s">
        <v>62</v>
      </c>
      <c r="AS6450" s="3" t="s">
        <v>62</v>
      </c>
      <c r="AT6450" s="3" t="s">
        <v>62</v>
      </c>
      <c r="AV6450" s="6" t="str">
        <f>HYPERLINK("http://mcgill.on.worldcat.org/oclc/55887417","Catalog Record")</f>
        <v>Catalog Record</v>
      </c>
      <c r="AW6450" s="6" t="str">
        <f>HYPERLINK("http://www.worldcat.org/oclc/55887417","WorldCat Record")</f>
        <v>WorldCat Record</v>
      </c>
      <c r="AX6450" s="3" t="s">
        <v>62183</v>
      </c>
      <c r="AY6450" s="3" t="s">
        <v>62184</v>
      </c>
      <c r="AZ6450" s="3" t="s">
        <v>62185</v>
      </c>
      <c r="BA6450" s="3" t="s">
        <v>62185</v>
      </c>
      <c r="BB6450" s="3" t="s">
        <v>62186</v>
      </c>
      <c r="BC6450" s="3" t="s">
        <v>142</v>
      </c>
      <c r="BD6450" s="3" t="s">
        <v>68</v>
      </c>
      <c r="BE6450" s="3" t="s">
        <v>62187</v>
      </c>
      <c r="BF6450" s="3" t="s">
        <v>62186</v>
      </c>
      <c r="BG6450" s="3" t="s">
        <v>62188</v>
      </c>
    </row>
    <row r="6451" spans="1:59" ht="57" x14ac:dyDescent="0.45">
      <c r="A6451" s="2" t="s">
        <v>59</v>
      </c>
      <c r="B6451" s="2" t="s">
        <v>60</v>
      </c>
      <c r="C6451" s="2" t="s">
        <v>62189</v>
      </c>
      <c r="D6451" s="2" t="s">
        <v>62190</v>
      </c>
      <c r="E6451" s="2" t="s">
        <v>62191</v>
      </c>
      <c r="G6451" s="3" t="s">
        <v>62</v>
      </c>
      <c r="I6451" s="3" t="s">
        <v>61</v>
      </c>
      <c r="J6451" s="3" t="s">
        <v>62</v>
      </c>
      <c r="K6451" s="3" t="s">
        <v>63</v>
      </c>
      <c r="L6451" s="2" t="s">
        <v>62192</v>
      </c>
      <c r="M6451" s="2" t="s">
        <v>17029</v>
      </c>
      <c r="N6451" s="3" t="s">
        <v>1253</v>
      </c>
      <c r="P6451" s="3" t="s">
        <v>65</v>
      </c>
      <c r="Q6451" s="2" t="s">
        <v>36752</v>
      </c>
      <c r="R6451" s="3" t="s">
        <v>66</v>
      </c>
      <c r="S6451" s="4">
        <v>23</v>
      </c>
      <c r="T6451" s="4">
        <v>28</v>
      </c>
      <c r="U6451" s="5" t="s">
        <v>35662</v>
      </c>
      <c r="V6451" s="5" t="s">
        <v>1075</v>
      </c>
      <c r="W6451" s="5" t="s">
        <v>67</v>
      </c>
      <c r="X6451" s="5" t="s">
        <v>67</v>
      </c>
      <c r="Y6451" s="4">
        <v>179</v>
      </c>
      <c r="Z6451" s="4">
        <v>19</v>
      </c>
      <c r="AA6451" s="4">
        <v>36</v>
      </c>
      <c r="AB6451" s="4">
        <v>1</v>
      </c>
      <c r="AC6451" s="4">
        <v>4</v>
      </c>
      <c r="AD6451" s="4">
        <v>77</v>
      </c>
      <c r="AE6451" s="4">
        <v>91</v>
      </c>
      <c r="AF6451" s="4">
        <v>0</v>
      </c>
      <c r="AG6451" s="4">
        <v>0</v>
      </c>
      <c r="AH6451" s="4">
        <v>69</v>
      </c>
      <c r="AI6451" s="4">
        <v>81</v>
      </c>
      <c r="AJ6451" s="4">
        <v>15</v>
      </c>
      <c r="AK6451" s="4">
        <v>15</v>
      </c>
      <c r="AL6451" s="4">
        <v>45</v>
      </c>
      <c r="AM6451" s="4">
        <v>49</v>
      </c>
      <c r="AN6451" s="4">
        <v>0</v>
      </c>
      <c r="AO6451" s="4">
        <v>0</v>
      </c>
      <c r="AP6451" s="4">
        <v>16</v>
      </c>
      <c r="AQ6451" s="4">
        <v>18</v>
      </c>
      <c r="AR6451" s="3" t="s">
        <v>62</v>
      </c>
      <c r="AS6451" s="3" t="s">
        <v>62</v>
      </c>
      <c r="AT6451" s="3" t="s">
        <v>62</v>
      </c>
      <c r="AV6451" s="6" t="str">
        <f>HYPERLINK("http://mcgill.on.worldcat.org/oclc/36343226","Catalog Record")</f>
        <v>Catalog Record</v>
      </c>
      <c r="AW6451" s="6" t="str">
        <f>HYPERLINK("http://www.worldcat.org/oclc/36343226","WorldCat Record")</f>
        <v>WorldCat Record</v>
      </c>
      <c r="AX6451" s="3" t="s">
        <v>62193</v>
      </c>
      <c r="AY6451" s="3" t="s">
        <v>62194</v>
      </c>
      <c r="AZ6451" s="3" t="s">
        <v>62195</v>
      </c>
      <c r="BA6451" s="3" t="s">
        <v>62195</v>
      </c>
      <c r="BB6451" s="3" t="s">
        <v>62196</v>
      </c>
      <c r="BC6451" s="3" t="s">
        <v>142</v>
      </c>
      <c r="BD6451" s="3" t="s">
        <v>68</v>
      </c>
      <c r="BE6451" s="3" t="s">
        <v>62197</v>
      </c>
      <c r="BF6451" s="3" t="s">
        <v>62196</v>
      </c>
      <c r="BG6451" s="3" t="s">
        <v>62198</v>
      </c>
    </row>
    <row r="6452" spans="1:59" ht="57" x14ac:dyDescent="0.45">
      <c r="A6452" s="2" t="s">
        <v>59</v>
      </c>
      <c r="B6452" s="2" t="s">
        <v>60</v>
      </c>
      <c r="C6452" s="2" t="s">
        <v>62189</v>
      </c>
      <c r="D6452" s="2" t="s">
        <v>62190</v>
      </c>
      <c r="E6452" s="2" t="s">
        <v>62191</v>
      </c>
      <c r="G6452" s="3" t="s">
        <v>62</v>
      </c>
      <c r="I6452" s="3" t="s">
        <v>61</v>
      </c>
      <c r="J6452" s="3" t="s">
        <v>62</v>
      </c>
      <c r="K6452" s="3" t="s">
        <v>63</v>
      </c>
      <c r="L6452" s="2" t="s">
        <v>62192</v>
      </c>
      <c r="M6452" s="2" t="s">
        <v>17029</v>
      </c>
      <c r="N6452" s="3" t="s">
        <v>1253</v>
      </c>
      <c r="P6452" s="3" t="s">
        <v>65</v>
      </c>
      <c r="Q6452" s="2" t="s">
        <v>36752</v>
      </c>
      <c r="R6452" s="3" t="s">
        <v>66</v>
      </c>
      <c r="S6452" s="4">
        <v>5</v>
      </c>
      <c r="T6452" s="4">
        <v>28</v>
      </c>
      <c r="U6452" s="5" t="s">
        <v>1075</v>
      </c>
      <c r="V6452" s="5" t="s">
        <v>1075</v>
      </c>
      <c r="W6452" s="5" t="s">
        <v>67</v>
      </c>
      <c r="X6452" s="5" t="s">
        <v>67</v>
      </c>
      <c r="Y6452" s="4">
        <v>179</v>
      </c>
      <c r="Z6452" s="4">
        <v>19</v>
      </c>
      <c r="AA6452" s="4">
        <v>36</v>
      </c>
      <c r="AB6452" s="4">
        <v>1</v>
      </c>
      <c r="AC6452" s="4">
        <v>4</v>
      </c>
      <c r="AD6452" s="4">
        <v>77</v>
      </c>
      <c r="AE6452" s="4">
        <v>91</v>
      </c>
      <c r="AF6452" s="4">
        <v>0</v>
      </c>
      <c r="AG6452" s="4">
        <v>0</v>
      </c>
      <c r="AH6452" s="4">
        <v>69</v>
      </c>
      <c r="AI6452" s="4">
        <v>81</v>
      </c>
      <c r="AJ6452" s="4">
        <v>15</v>
      </c>
      <c r="AK6452" s="4">
        <v>15</v>
      </c>
      <c r="AL6452" s="4">
        <v>45</v>
      </c>
      <c r="AM6452" s="4">
        <v>49</v>
      </c>
      <c r="AN6452" s="4">
        <v>0</v>
      </c>
      <c r="AO6452" s="4">
        <v>0</v>
      </c>
      <c r="AP6452" s="4">
        <v>16</v>
      </c>
      <c r="AQ6452" s="4">
        <v>18</v>
      </c>
      <c r="AR6452" s="3" t="s">
        <v>62</v>
      </c>
      <c r="AS6452" s="3" t="s">
        <v>62</v>
      </c>
      <c r="AT6452" s="3" t="s">
        <v>62</v>
      </c>
      <c r="AV6452" s="6" t="str">
        <f>HYPERLINK("http://mcgill.on.worldcat.org/oclc/36343226","Catalog Record")</f>
        <v>Catalog Record</v>
      </c>
      <c r="AW6452" s="6" t="str">
        <f>HYPERLINK("http://www.worldcat.org/oclc/36343226","WorldCat Record")</f>
        <v>WorldCat Record</v>
      </c>
      <c r="AX6452" s="3" t="s">
        <v>62193</v>
      </c>
      <c r="AY6452" s="3" t="s">
        <v>62194</v>
      </c>
      <c r="AZ6452" s="3" t="s">
        <v>62195</v>
      </c>
      <c r="BA6452" s="3" t="s">
        <v>62195</v>
      </c>
      <c r="BB6452" s="3" t="s">
        <v>62199</v>
      </c>
      <c r="BC6452" s="3" t="s">
        <v>142</v>
      </c>
      <c r="BD6452" s="3" t="s">
        <v>68</v>
      </c>
      <c r="BE6452" s="3" t="s">
        <v>62197</v>
      </c>
      <c r="BF6452" s="3" t="s">
        <v>62199</v>
      </c>
      <c r="BG6452" s="3" t="s">
        <v>62200</v>
      </c>
    </row>
    <row r="6453" spans="1:59" ht="57" x14ac:dyDescent="0.45">
      <c r="A6453" s="2" t="s">
        <v>59</v>
      </c>
      <c r="B6453" s="2" t="s">
        <v>60</v>
      </c>
      <c r="C6453" s="2" t="s">
        <v>62201</v>
      </c>
      <c r="D6453" s="2" t="s">
        <v>62202</v>
      </c>
      <c r="E6453" s="2" t="s">
        <v>62203</v>
      </c>
      <c r="G6453" s="3" t="s">
        <v>62</v>
      </c>
      <c r="I6453" s="3" t="s">
        <v>62</v>
      </c>
      <c r="J6453" s="3" t="s">
        <v>62</v>
      </c>
      <c r="K6453" s="3" t="s">
        <v>63</v>
      </c>
      <c r="M6453" s="2" t="s">
        <v>7935</v>
      </c>
      <c r="N6453" s="3" t="s">
        <v>149</v>
      </c>
      <c r="P6453" s="3" t="s">
        <v>65</v>
      </c>
      <c r="Q6453" s="2" t="s">
        <v>48307</v>
      </c>
      <c r="R6453" s="3" t="s">
        <v>66</v>
      </c>
      <c r="S6453" s="4">
        <v>0</v>
      </c>
      <c r="T6453" s="4">
        <v>0</v>
      </c>
      <c r="W6453" s="5" t="s">
        <v>67</v>
      </c>
      <c r="X6453" s="5" t="s">
        <v>67</v>
      </c>
      <c r="Y6453" s="4">
        <v>88</v>
      </c>
      <c r="Z6453" s="4">
        <v>13</v>
      </c>
      <c r="AA6453" s="4">
        <v>80</v>
      </c>
      <c r="AB6453" s="4">
        <v>1</v>
      </c>
      <c r="AC6453" s="4">
        <v>14</v>
      </c>
      <c r="AD6453" s="4">
        <v>52</v>
      </c>
      <c r="AE6453" s="4">
        <v>109</v>
      </c>
      <c r="AF6453" s="4">
        <v>0</v>
      </c>
      <c r="AG6453" s="4">
        <v>8</v>
      </c>
      <c r="AH6453" s="4">
        <v>47</v>
      </c>
      <c r="AI6453" s="4">
        <v>75</v>
      </c>
      <c r="AJ6453" s="4">
        <v>10</v>
      </c>
      <c r="AK6453" s="4">
        <v>23</v>
      </c>
      <c r="AL6453" s="4">
        <v>33</v>
      </c>
      <c r="AM6453" s="4">
        <v>43</v>
      </c>
      <c r="AN6453" s="4">
        <v>0</v>
      </c>
      <c r="AO6453" s="4">
        <v>0</v>
      </c>
      <c r="AP6453" s="4">
        <v>10</v>
      </c>
      <c r="AQ6453" s="4">
        <v>43</v>
      </c>
      <c r="AR6453" s="3" t="s">
        <v>62</v>
      </c>
      <c r="AS6453" s="3" t="s">
        <v>62</v>
      </c>
      <c r="AT6453" s="3" t="s">
        <v>62</v>
      </c>
      <c r="AV6453" s="6" t="str">
        <f>HYPERLINK("http://mcgill.on.worldcat.org/oclc/294998506","Catalog Record")</f>
        <v>Catalog Record</v>
      </c>
      <c r="AW6453" s="6" t="str">
        <f>HYPERLINK("http://www.worldcat.org/oclc/294998506","WorldCat Record")</f>
        <v>WorldCat Record</v>
      </c>
      <c r="AX6453" s="3" t="s">
        <v>62204</v>
      </c>
      <c r="AY6453" s="3" t="s">
        <v>62205</v>
      </c>
      <c r="AZ6453" s="3" t="s">
        <v>62206</v>
      </c>
      <c r="BA6453" s="3" t="s">
        <v>62206</v>
      </c>
      <c r="BB6453" s="3" t="s">
        <v>62207</v>
      </c>
      <c r="BC6453" s="3" t="s">
        <v>142</v>
      </c>
      <c r="BD6453" s="3" t="s">
        <v>68</v>
      </c>
      <c r="BE6453" s="3" t="s">
        <v>62208</v>
      </c>
      <c r="BF6453" s="3" t="s">
        <v>62207</v>
      </c>
      <c r="BG6453" s="3" t="s">
        <v>62209</v>
      </c>
    </row>
    <row r="6454" spans="1:59" ht="57" x14ac:dyDescent="0.45">
      <c r="A6454" s="2" t="s">
        <v>59</v>
      </c>
      <c r="B6454" s="2" t="s">
        <v>60</v>
      </c>
      <c r="C6454" s="2" t="s">
        <v>62210</v>
      </c>
      <c r="D6454" s="2" t="s">
        <v>62211</v>
      </c>
      <c r="E6454" s="2" t="s">
        <v>62212</v>
      </c>
      <c r="G6454" s="3" t="s">
        <v>62</v>
      </c>
      <c r="I6454" s="3" t="s">
        <v>62</v>
      </c>
      <c r="J6454" s="3" t="s">
        <v>62</v>
      </c>
      <c r="K6454" s="3" t="s">
        <v>63</v>
      </c>
      <c r="M6454" s="2" t="s">
        <v>56902</v>
      </c>
      <c r="N6454" s="3" t="s">
        <v>970</v>
      </c>
      <c r="P6454" s="3" t="s">
        <v>65</v>
      </c>
      <c r="R6454" s="3" t="s">
        <v>66</v>
      </c>
      <c r="S6454" s="4">
        <v>6</v>
      </c>
      <c r="T6454" s="4">
        <v>6</v>
      </c>
      <c r="U6454" s="5" t="s">
        <v>62213</v>
      </c>
      <c r="V6454" s="5" t="s">
        <v>62213</v>
      </c>
      <c r="W6454" s="5" t="s">
        <v>67</v>
      </c>
      <c r="X6454" s="5" t="s">
        <v>67</v>
      </c>
      <c r="Y6454" s="4">
        <v>173</v>
      </c>
      <c r="Z6454" s="4">
        <v>14</v>
      </c>
      <c r="AA6454" s="4">
        <v>14</v>
      </c>
      <c r="AB6454" s="4">
        <v>3</v>
      </c>
      <c r="AC6454" s="4">
        <v>3</v>
      </c>
      <c r="AD6454" s="4">
        <v>73</v>
      </c>
      <c r="AE6454" s="4">
        <v>73</v>
      </c>
      <c r="AF6454" s="4">
        <v>1</v>
      </c>
      <c r="AG6454" s="4">
        <v>1</v>
      </c>
      <c r="AH6454" s="4">
        <v>67</v>
      </c>
      <c r="AI6454" s="4">
        <v>67</v>
      </c>
      <c r="AJ6454" s="4">
        <v>10</v>
      </c>
      <c r="AK6454" s="4">
        <v>10</v>
      </c>
      <c r="AL6454" s="4">
        <v>38</v>
      </c>
      <c r="AM6454" s="4">
        <v>38</v>
      </c>
      <c r="AN6454" s="4">
        <v>0</v>
      </c>
      <c r="AO6454" s="4">
        <v>0</v>
      </c>
      <c r="AP6454" s="4">
        <v>11</v>
      </c>
      <c r="AQ6454" s="4">
        <v>11</v>
      </c>
      <c r="AR6454" s="3" t="s">
        <v>62</v>
      </c>
      <c r="AS6454" s="3" t="s">
        <v>62</v>
      </c>
      <c r="AT6454" s="3" t="s">
        <v>62</v>
      </c>
      <c r="AV6454" s="6" t="str">
        <f>HYPERLINK("http://mcgill.on.worldcat.org/oclc/49249973","Catalog Record")</f>
        <v>Catalog Record</v>
      </c>
      <c r="AW6454" s="6" t="str">
        <f>HYPERLINK("http://www.worldcat.org/oclc/49249973","WorldCat Record")</f>
        <v>WorldCat Record</v>
      </c>
      <c r="AX6454" s="3" t="s">
        <v>62214</v>
      </c>
      <c r="AY6454" s="3" t="s">
        <v>62215</v>
      </c>
      <c r="AZ6454" s="3" t="s">
        <v>62216</v>
      </c>
      <c r="BA6454" s="3" t="s">
        <v>62216</v>
      </c>
      <c r="BB6454" s="3" t="s">
        <v>62217</v>
      </c>
      <c r="BC6454" s="3" t="s">
        <v>142</v>
      </c>
      <c r="BD6454" s="3" t="s">
        <v>68</v>
      </c>
      <c r="BE6454" s="3" t="s">
        <v>62218</v>
      </c>
      <c r="BF6454" s="3" t="s">
        <v>62217</v>
      </c>
      <c r="BG6454" s="3" t="s">
        <v>62219</v>
      </c>
    </row>
    <row r="6455" spans="1:59" ht="57" x14ac:dyDescent="0.45">
      <c r="A6455" s="2" t="s">
        <v>59</v>
      </c>
      <c r="B6455" s="2" t="s">
        <v>60</v>
      </c>
      <c r="C6455" s="2" t="s">
        <v>62220</v>
      </c>
      <c r="D6455" s="2" t="s">
        <v>62221</v>
      </c>
      <c r="E6455" s="2" t="s">
        <v>62222</v>
      </c>
      <c r="G6455" s="3" t="s">
        <v>62</v>
      </c>
      <c r="I6455" s="3" t="s">
        <v>62</v>
      </c>
      <c r="J6455" s="3" t="s">
        <v>62</v>
      </c>
      <c r="K6455" s="3" t="s">
        <v>63</v>
      </c>
      <c r="M6455" s="2" t="s">
        <v>32892</v>
      </c>
      <c r="N6455" s="3" t="s">
        <v>820</v>
      </c>
      <c r="P6455" s="3" t="s">
        <v>65</v>
      </c>
      <c r="Q6455" s="2" t="s">
        <v>62223</v>
      </c>
      <c r="R6455" s="3" t="s">
        <v>66</v>
      </c>
      <c r="S6455" s="4">
        <v>5</v>
      </c>
      <c r="T6455" s="4">
        <v>5</v>
      </c>
      <c r="U6455" s="5" t="s">
        <v>62224</v>
      </c>
      <c r="V6455" s="5" t="s">
        <v>62224</v>
      </c>
      <c r="W6455" s="5" t="s">
        <v>67</v>
      </c>
      <c r="X6455" s="5" t="s">
        <v>67</v>
      </c>
      <c r="Y6455" s="4">
        <v>107</v>
      </c>
      <c r="Z6455" s="4">
        <v>13</v>
      </c>
      <c r="AA6455" s="4">
        <v>98</v>
      </c>
      <c r="AB6455" s="4">
        <v>1</v>
      </c>
      <c r="AC6455" s="4">
        <v>17</v>
      </c>
      <c r="AD6455" s="4">
        <v>49</v>
      </c>
      <c r="AE6455" s="4">
        <v>120</v>
      </c>
      <c r="AF6455" s="4">
        <v>0</v>
      </c>
      <c r="AG6455" s="4">
        <v>8</v>
      </c>
      <c r="AH6455" s="4">
        <v>44</v>
      </c>
      <c r="AI6455" s="4">
        <v>83</v>
      </c>
      <c r="AJ6455" s="4">
        <v>10</v>
      </c>
      <c r="AK6455" s="4">
        <v>24</v>
      </c>
      <c r="AL6455" s="4">
        <v>27</v>
      </c>
      <c r="AM6455" s="4">
        <v>42</v>
      </c>
      <c r="AN6455" s="4">
        <v>0</v>
      </c>
      <c r="AO6455" s="4">
        <v>0</v>
      </c>
      <c r="AP6455" s="4">
        <v>11</v>
      </c>
      <c r="AQ6455" s="4">
        <v>46</v>
      </c>
      <c r="AR6455" s="3" t="s">
        <v>62</v>
      </c>
      <c r="AS6455" s="3" t="s">
        <v>62</v>
      </c>
      <c r="AT6455" s="3" t="s">
        <v>62</v>
      </c>
      <c r="AV6455" s="6" t="str">
        <f>HYPERLINK("http://mcgill.on.worldcat.org/oclc/192134491","Catalog Record")</f>
        <v>Catalog Record</v>
      </c>
      <c r="AW6455" s="6" t="str">
        <f>HYPERLINK("http://www.worldcat.org/oclc/192134491","WorldCat Record")</f>
        <v>WorldCat Record</v>
      </c>
      <c r="AX6455" s="3" t="s">
        <v>62225</v>
      </c>
      <c r="AY6455" s="3" t="s">
        <v>62226</v>
      </c>
      <c r="AZ6455" s="3" t="s">
        <v>62227</v>
      </c>
      <c r="BA6455" s="3" t="s">
        <v>62227</v>
      </c>
      <c r="BB6455" s="3" t="s">
        <v>62228</v>
      </c>
      <c r="BC6455" s="3" t="s">
        <v>142</v>
      </c>
      <c r="BD6455" s="3" t="s">
        <v>68</v>
      </c>
      <c r="BE6455" s="3" t="s">
        <v>62229</v>
      </c>
      <c r="BF6455" s="3" t="s">
        <v>62228</v>
      </c>
      <c r="BG6455" s="3" t="s">
        <v>62230</v>
      </c>
    </row>
    <row r="6456" spans="1:59" ht="57" x14ac:dyDescent="0.45">
      <c r="A6456" s="2" t="s">
        <v>59</v>
      </c>
      <c r="B6456" s="2" t="s">
        <v>60</v>
      </c>
      <c r="C6456" s="2" t="s">
        <v>62231</v>
      </c>
      <c r="D6456" s="2" t="s">
        <v>62232</v>
      </c>
      <c r="E6456" s="2" t="s">
        <v>62233</v>
      </c>
      <c r="G6456" s="3" t="s">
        <v>62</v>
      </c>
      <c r="I6456" s="3" t="s">
        <v>62</v>
      </c>
      <c r="J6456" s="3" t="s">
        <v>61</v>
      </c>
      <c r="K6456" s="3" t="s">
        <v>63</v>
      </c>
      <c r="L6456" s="2" t="s">
        <v>62234</v>
      </c>
      <c r="M6456" s="2" t="s">
        <v>62235</v>
      </c>
      <c r="N6456" s="3" t="s">
        <v>894</v>
      </c>
      <c r="O6456" s="2" t="s">
        <v>906</v>
      </c>
      <c r="P6456" s="3" t="s">
        <v>65</v>
      </c>
      <c r="Q6456" s="2" t="s">
        <v>29906</v>
      </c>
      <c r="R6456" s="3" t="s">
        <v>66</v>
      </c>
      <c r="S6456" s="4">
        <v>5</v>
      </c>
      <c r="T6456" s="4">
        <v>5</v>
      </c>
      <c r="U6456" s="5" t="s">
        <v>50225</v>
      </c>
      <c r="V6456" s="5" t="s">
        <v>50225</v>
      </c>
      <c r="W6456" s="5" t="s">
        <v>67</v>
      </c>
      <c r="X6456" s="5" t="s">
        <v>67</v>
      </c>
      <c r="Y6456" s="4">
        <v>144</v>
      </c>
      <c r="Z6456" s="4">
        <v>11</v>
      </c>
      <c r="AA6456" s="4">
        <v>107</v>
      </c>
      <c r="AB6456" s="4">
        <v>1</v>
      </c>
      <c r="AC6456" s="4">
        <v>19</v>
      </c>
      <c r="AD6456" s="4">
        <v>31</v>
      </c>
      <c r="AE6456" s="4">
        <v>137</v>
      </c>
      <c r="AF6456" s="4">
        <v>0</v>
      </c>
      <c r="AG6456" s="4">
        <v>9</v>
      </c>
      <c r="AH6456" s="4">
        <v>28</v>
      </c>
      <c r="AI6456" s="4">
        <v>90</v>
      </c>
      <c r="AJ6456" s="4">
        <v>8</v>
      </c>
      <c r="AK6456" s="4">
        <v>27</v>
      </c>
      <c r="AL6456" s="4">
        <v>14</v>
      </c>
      <c r="AM6456" s="4">
        <v>48</v>
      </c>
      <c r="AN6456" s="4">
        <v>0</v>
      </c>
      <c r="AO6456" s="4">
        <v>0</v>
      </c>
      <c r="AP6456" s="4">
        <v>9</v>
      </c>
      <c r="AQ6456" s="4">
        <v>56</v>
      </c>
      <c r="AR6456" s="3" t="s">
        <v>62</v>
      </c>
      <c r="AS6456" s="3" t="s">
        <v>62</v>
      </c>
      <c r="AT6456" s="3" t="s">
        <v>62</v>
      </c>
      <c r="AV6456" s="6" t="str">
        <f>HYPERLINK("http://mcgill.on.worldcat.org/oclc/646393900","Catalog Record")</f>
        <v>Catalog Record</v>
      </c>
      <c r="AW6456" s="6" t="str">
        <f>HYPERLINK("http://www.worldcat.org/oclc/646393900","WorldCat Record")</f>
        <v>WorldCat Record</v>
      </c>
      <c r="AX6456" s="3" t="s">
        <v>62236</v>
      </c>
      <c r="AY6456" s="3" t="s">
        <v>62237</v>
      </c>
      <c r="AZ6456" s="3" t="s">
        <v>62238</v>
      </c>
      <c r="BA6456" s="3" t="s">
        <v>62238</v>
      </c>
      <c r="BB6456" s="3" t="s">
        <v>62239</v>
      </c>
      <c r="BC6456" s="3" t="s">
        <v>142</v>
      </c>
      <c r="BD6456" s="3" t="s">
        <v>68</v>
      </c>
      <c r="BE6456" s="3" t="s">
        <v>62240</v>
      </c>
      <c r="BF6456" s="3" t="s">
        <v>62239</v>
      </c>
      <c r="BG6456" s="3" t="s">
        <v>62241</v>
      </c>
    </row>
    <row r="6457" spans="1:59" ht="57" x14ac:dyDescent="0.45">
      <c r="A6457" s="2" t="s">
        <v>59</v>
      </c>
      <c r="B6457" s="2" t="s">
        <v>60</v>
      </c>
      <c r="C6457" s="2" t="s">
        <v>62242</v>
      </c>
      <c r="D6457" s="2" t="s">
        <v>62243</v>
      </c>
      <c r="E6457" s="2" t="s">
        <v>62244</v>
      </c>
      <c r="G6457" s="3" t="s">
        <v>62</v>
      </c>
      <c r="I6457" s="3" t="s">
        <v>62</v>
      </c>
      <c r="J6457" s="3" t="s">
        <v>62</v>
      </c>
      <c r="K6457" s="3" t="s">
        <v>63</v>
      </c>
      <c r="L6457" s="2" t="s">
        <v>62245</v>
      </c>
      <c r="M6457" s="2" t="s">
        <v>62246</v>
      </c>
      <c r="N6457" s="3" t="s">
        <v>1155</v>
      </c>
      <c r="P6457" s="3" t="s">
        <v>65</v>
      </c>
      <c r="Q6457" s="2" t="s">
        <v>62247</v>
      </c>
      <c r="R6457" s="3" t="s">
        <v>66</v>
      </c>
      <c r="S6457" s="4">
        <v>1</v>
      </c>
      <c r="T6457" s="4">
        <v>1</v>
      </c>
      <c r="U6457" s="5" t="s">
        <v>21221</v>
      </c>
      <c r="V6457" s="5" t="s">
        <v>21221</v>
      </c>
      <c r="W6457" s="5" t="s">
        <v>67</v>
      </c>
      <c r="X6457" s="5" t="s">
        <v>67</v>
      </c>
      <c r="Y6457" s="4">
        <v>35</v>
      </c>
      <c r="Z6457" s="4">
        <v>2</v>
      </c>
      <c r="AA6457" s="4">
        <v>61</v>
      </c>
      <c r="AB6457" s="4">
        <v>1</v>
      </c>
      <c r="AC6457" s="4">
        <v>8</v>
      </c>
      <c r="AD6457" s="4">
        <v>16</v>
      </c>
      <c r="AE6457" s="4">
        <v>85</v>
      </c>
      <c r="AF6457" s="4">
        <v>0</v>
      </c>
      <c r="AG6457" s="4">
        <v>4</v>
      </c>
      <c r="AH6457" s="4">
        <v>15</v>
      </c>
      <c r="AI6457" s="4">
        <v>55</v>
      </c>
      <c r="AJ6457" s="4">
        <v>1</v>
      </c>
      <c r="AK6457" s="4">
        <v>20</v>
      </c>
      <c r="AL6457" s="4">
        <v>12</v>
      </c>
      <c r="AM6457" s="4">
        <v>30</v>
      </c>
      <c r="AN6457" s="4">
        <v>0</v>
      </c>
      <c r="AO6457" s="4">
        <v>0</v>
      </c>
      <c r="AP6457" s="4">
        <v>1</v>
      </c>
      <c r="AQ6457" s="4">
        <v>35</v>
      </c>
      <c r="AR6457" s="3" t="s">
        <v>62</v>
      </c>
      <c r="AS6457" s="3" t="s">
        <v>62</v>
      </c>
      <c r="AT6457" s="3" t="s">
        <v>62</v>
      </c>
      <c r="AV6457" s="6" t="str">
        <f>HYPERLINK("http://mcgill.on.worldcat.org/oclc/794709717","Catalog Record")</f>
        <v>Catalog Record</v>
      </c>
      <c r="AW6457" s="6" t="str">
        <f>HYPERLINK("http://www.worldcat.org/oclc/794709717","WorldCat Record")</f>
        <v>WorldCat Record</v>
      </c>
      <c r="AX6457" s="3" t="s">
        <v>62248</v>
      </c>
      <c r="AY6457" s="3" t="s">
        <v>62249</v>
      </c>
      <c r="AZ6457" s="3" t="s">
        <v>62250</v>
      </c>
      <c r="BA6457" s="3" t="s">
        <v>62250</v>
      </c>
      <c r="BB6457" s="3" t="s">
        <v>62251</v>
      </c>
      <c r="BC6457" s="3" t="s">
        <v>142</v>
      </c>
      <c r="BD6457" s="3" t="s">
        <v>68</v>
      </c>
      <c r="BE6457" s="3" t="s">
        <v>62252</v>
      </c>
      <c r="BF6457" s="3" t="s">
        <v>62251</v>
      </c>
      <c r="BG6457" s="3" t="s">
        <v>62253</v>
      </c>
    </row>
    <row r="6458" spans="1:59" ht="57" x14ac:dyDescent="0.45">
      <c r="A6458" s="2" t="s">
        <v>59</v>
      </c>
      <c r="B6458" s="2" t="s">
        <v>60</v>
      </c>
      <c r="C6458" s="2" t="s">
        <v>62254</v>
      </c>
      <c r="D6458" s="2" t="s">
        <v>62255</v>
      </c>
      <c r="E6458" s="2" t="s">
        <v>62256</v>
      </c>
      <c r="G6458" s="3" t="s">
        <v>62</v>
      </c>
      <c r="I6458" s="3" t="s">
        <v>62</v>
      </c>
      <c r="J6458" s="3" t="s">
        <v>62</v>
      </c>
      <c r="K6458" s="3" t="s">
        <v>63</v>
      </c>
      <c r="L6458" s="2" t="s">
        <v>62257</v>
      </c>
      <c r="M6458" s="2" t="s">
        <v>62258</v>
      </c>
      <c r="N6458" s="3" t="s">
        <v>149</v>
      </c>
      <c r="P6458" s="3" t="s">
        <v>65</v>
      </c>
      <c r="R6458" s="3" t="s">
        <v>66</v>
      </c>
      <c r="S6458" s="4">
        <v>0</v>
      </c>
      <c r="T6458" s="4">
        <v>0</v>
      </c>
      <c r="W6458" s="5" t="s">
        <v>67</v>
      </c>
      <c r="X6458" s="5" t="s">
        <v>67</v>
      </c>
      <c r="Y6458" s="4">
        <v>44</v>
      </c>
      <c r="Z6458" s="4">
        <v>6</v>
      </c>
      <c r="AA6458" s="4">
        <v>6</v>
      </c>
      <c r="AB6458" s="4">
        <v>1</v>
      </c>
      <c r="AC6458" s="4">
        <v>1</v>
      </c>
      <c r="AD6458" s="4">
        <v>19</v>
      </c>
      <c r="AE6458" s="4">
        <v>19</v>
      </c>
      <c r="AF6458" s="4">
        <v>0</v>
      </c>
      <c r="AG6458" s="4">
        <v>0</v>
      </c>
      <c r="AH6458" s="4">
        <v>18</v>
      </c>
      <c r="AI6458" s="4">
        <v>18</v>
      </c>
      <c r="AJ6458" s="4">
        <v>5</v>
      </c>
      <c r="AK6458" s="4">
        <v>5</v>
      </c>
      <c r="AL6458" s="4">
        <v>12</v>
      </c>
      <c r="AM6458" s="4">
        <v>12</v>
      </c>
      <c r="AN6458" s="4">
        <v>0</v>
      </c>
      <c r="AO6458" s="4">
        <v>0</v>
      </c>
      <c r="AP6458" s="4">
        <v>5</v>
      </c>
      <c r="AQ6458" s="4">
        <v>5</v>
      </c>
      <c r="AR6458" s="3" t="s">
        <v>62</v>
      </c>
      <c r="AS6458" s="3" t="s">
        <v>62</v>
      </c>
      <c r="AT6458" s="3" t="s">
        <v>62</v>
      </c>
      <c r="AV6458" s="6" t="str">
        <f>HYPERLINK("http://mcgill.on.worldcat.org/oclc/619552000","Catalog Record")</f>
        <v>Catalog Record</v>
      </c>
      <c r="AW6458" s="6" t="str">
        <f>HYPERLINK("http://www.worldcat.org/oclc/619552000","WorldCat Record")</f>
        <v>WorldCat Record</v>
      </c>
      <c r="AX6458" s="3" t="s">
        <v>62259</v>
      </c>
      <c r="AY6458" s="3" t="s">
        <v>62260</v>
      </c>
      <c r="AZ6458" s="3" t="s">
        <v>62261</v>
      </c>
      <c r="BA6458" s="3" t="s">
        <v>62261</v>
      </c>
      <c r="BB6458" s="3" t="s">
        <v>62262</v>
      </c>
      <c r="BC6458" s="3" t="s">
        <v>142</v>
      </c>
      <c r="BD6458" s="3" t="s">
        <v>68</v>
      </c>
      <c r="BE6458" s="3" t="s">
        <v>62263</v>
      </c>
      <c r="BF6458" s="3" t="s">
        <v>62262</v>
      </c>
      <c r="BG6458" s="3" t="s">
        <v>62264</v>
      </c>
    </row>
    <row r="6459" spans="1:59" ht="57" x14ac:dyDescent="0.45">
      <c r="A6459" s="2" t="s">
        <v>59</v>
      </c>
      <c r="B6459" s="2" t="s">
        <v>60</v>
      </c>
      <c r="C6459" s="2" t="s">
        <v>62265</v>
      </c>
      <c r="D6459" s="2" t="s">
        <v>62266</v>
      </c>
      <c r="E6459" s="2" t="s">
        <v>62267</v>
      </c>
      <c r="G6459" s="3" t="s">
        <v>62</v>
      </c>
      <c r="I6459" s="3" t="s">
        <v>62</v>
      </c>
      <c r="J6459" s="3" t="s">
        <v>62</v>
      </c>
      <c r="K6459" s="3" t="s">
        <v>63</v>
      </c>
      <c r="L6459" s="2" t="s">
        <v>62268</v>
      </c>
      <c r="M6459" s="2" t="s">
        <v>62269</v>
      </c>
      <c r="N6459" s="3" t="s">
        <v>894</v>
      </c>
      <c r="P6459" s="3" t="s">
        <v>65</v>
      </c>
      <c r="Q6459" s="2" t="s">
        <v>21253</v>
      </c>
      <c r="R6459" s="3" t="s">
        <v>66</v>
      </c>
      <c r="S6459" s="4">
        <v>5</v>
      </c>
      <c r="T6459" s="4">
        <v>5</v>
      </c>
      <c r="U6459" s="5" t="s">
        <v>1168</v>
      </c>
      <c r="V6459" s="5" t="s">
        <v>1168</v>
      </c>
      <c r="W6459" s="5" t="s">
        <v>67</v>
      </c>
      <c r="X6459" s="5" t="s">
        <v>67</v>
      </c>
      <c r="Y6459" s="4">
        <v>228</v>
      </c>
      <c r="Z6459" s="4">
        <v>17</v>
      </c>
      <c r="AA6459" s="4">
        <v>20</v>
      </c>
      <c r="AB6459" s="4">
        <v>2</v>
      </c>
      <c r="AC6459" s="4">
        <v>5</v>
      </c>
      <c r="AD6459" s="4">
        <v>79</v>
      </c>
      <c r="AE6459" s="4">
        <v>81</v>
      </c>
      <c r="AF6459" s="4">
        <v>1</v>
      </c>
      <c r="AG6459" s="4">
        <v>3</v>
      </c>
      <c r="AH6459" s="4">
        <v>73</v>
      </c>
      <c r="AI6459" s="4">
        <v>74</v>
      </c>
      <c r="AJ6459" s="4">
        <v>13</v>
      </c>
      <c r="AK6459" s="4">
        <v>15</v>
      </c>
      <c r="AL6459" s="4">
        <v>43</v>
      </c>
      <c r="AM6459" s="4">
        <v>43</v>
      </c>
      <c r="AN6459" s="4">
        <v>0</v>
      </c>
      <c r="AO6459" s="4">
        <v>0</v>
      </c>
      <c r="AP6459" s="4">
        <v>14</v>
      </c>
      <c r="AQ6459" s="4">
        <v>16</v>
      </c>
      <c r="AR6459" s="3" t="s">
        <v>62</v>
      </c>
      <c r="AS6459" s="3" t="s">
        <v>62</v>
      </c>
      <c r="AT6459" s="3" t="s">
        <v>62</v>
      </c>
      <c r="AV6459" s="6" t="str">
        <f>HYPERLINK("http://mcgill.on.worldcat.org/oclc/713186713","Catalog Record")</f>
        <v>Catalog Record</v>
      </c>
      <c r="AW6459" s="6" t="str">
        <f>HYPERLINK("http://www.worldcat.org/oclc/713186713","WorldCat Record")</f>
        <v>WorldCat Record</v>
      </c>
      <c r="AX6459" s="3" t="s">
        <v>62270</v>
      </c>
      <c r="AY6459" s="3" t="s">
        <v>62271</v>
      </c>
      <c r="AZ6459" s="3" t="s">
        <v>62272</v>
      </c>
      <c r="BA6459" s="3" t="s">
        <v>62272</v>
      </c>
      <c r="BB6459" s="3" t="s">
        <v>62273</v>
      </c>
      <c r="BC6459" s="3" t="s">
        <v>142</v>
      </c>
      <c r="BD6459" s="3" t="s">
        <v>68</v>
      </c>
      <c r="BE6459" s="3" t="s">
        <v>62274</v>
      </c>
      <c r="BF6459" s="3" t="s">
        <v>62273</v>
      </c>
      <c r="BG6459" s="3" t="s">
        <v>62275</v>
      </c>
    </row>
    <row r="6460" spans="1:59" ht="57" x14ac:dyDescent="0.45">
      <c r="A6460" s="2" t="s">
        <v>59</v>
      </c>
      <c r="B6460" s="2" t="s">
        <v>60</v>
      </c>
      <c r="C6460" s="2" t="s">
        <v>62276</v>
      </c>
      <c r="D6460" s="2" t="s">
        <v>62277</v>
      </c>
      <c r="E6460" s="2" t="s">
        <v>62278</v>
      </c>
      <c r="G6460" s="3" t="s">
        <v>62</v>
      </c>
      <c r="I6460" s="3" t="s">
        <v>61</v>
      </c>
      <c r="J6460" s="3" t="s">
        <v>62</v>
      </c>
      <c r="K6460" s="3" t="s">
        <v>63</v>
      </c>
      <c r="M6460" s="2" t="s">
        <v>48782</v>
      </c>
      <c r="N6460" s="3" t="s">
        <v>220</v>
      </c>
      <c r="P6460" s="3" t="s">
        <v>65</v>
      </c>
      <c r="Q6460" s="2" t="s">
        <v>62279</v>
      </c>
      <c r="R6460" s="3" t="s">
        <v>66</v>
      </c>
      <c r="S6460" s="4">
        <v>13</v>
      </c>
      <c r="T6460" s="4">
        <v>17</v>
      </c>
      <c r="U6460" s="5" t="s">
        <v>37572</v>
      </c>
      <c r="V6460" s="5" t="s">
        <v>37572</v>
      </c>
      <c r="W6460" s="5" t="s">
        <v>67</v>
      </c>
      <c r="X6460" s="5" t="s">
        <v>67</v>
      </c>
      <c r="Y6460" s="4">
        <v>377</v>
      </c>
      <c r="Z6460" s="4">
        <v>30</v>
      </c>
      <c r="AA6460" s="4">
        <v>94</v>
      </c>
      <c r="AB6460" s="4">
        <v>4</v>
      </c>
      <c r="AC6460" s="4">
        <v>17</v>
      </c>
      <c r="AD6460" s="4">
        <v>112</v>
      </c>
      <c r="AE6460" s="4">
        <v>145</v>
      </c>
      <c r="AF6460" s="4">
        <v>2</v>
      </c>
      <c r="AG6460" s="4">
        <v>8</v>
      </c>
      <c r="AH6460" s="4">
        <v>97</v>
      </c>
      <c r="AI6460" s="4">
        <v>105</v>
      </c>
      <c r="AJ6460" s="4">
        <v>17</v>
      </c>
      <c r="AK6460" s="4">
        <v>24</v>
      </c>
      <c r="AL6460" s="4">
        <v>53</v>
      </c>
      <c r="AM6460" s="4">
        <v>56</v>
      </c>
      <c r="AN6460" s="4">
        <v>0</v>
      </c>
      <c r="AO6460" s="4">
        <v>0</v>
      </c>
      <c r="AP6460" s="4">
        <v>23</v>
      </c>
      <c r="AQ6460" s="4">
        <v>49</v>
      </c>
      <c r="AR6460" s="3" t="s">
        <v>62</v>
      </c>
      <c r="AS6460" s="3" t="s">
        <v>62</v>
      </c>
      <c r="AT6460" s="3" t="s">
        <v>61</v>
      </c>
      <c r="AU6460" s="6" t="str">
        <f>HYPERLINK("http://catalog.hathitrust.org/Record/001435086","HathiTrust Record")</f>
        <v>HathiTrust Record</v>
      </c>
      <c r="AV6460" s="6" t="str">
        <f>HYPERLINK("http://mcgill.on.worldcat.org/oclc/155730","Catalog Record")</f>
        <v>Catalog Record</v>
      </c>
      <c r="AW6460" s="6" t="str">
        <f>HYPERLINK("http://www.worldcat.org/oclc/155730","WorldCat Record")</f>
        <v>WorldCat Record</v>
      </c>
      <c r="AX6460" s="3" t="s">
        <v>62280</v>
      </c>
      <c r="AY6460" s="3" t="s">
        <v>62281</v>
      </c>
      <c r="AZ6460" s="3" t="s">
        <v>62282</v>
      </c>
      <c r="BA6460" s="3" t="s">
        <v>62282</v>
      </c>
      <c r="BB6460" s="3" t="s">
        <v>62283</v>
      </c>
      <c r="BC6460" s="3" t="s">
        <v>142</v>
      </c>
      <c r="BD6460" s="3" t="s">
        <v>68</v>
      </c>
      <c r="BE6460" s="3" t="s">
        <v>62284</v>
      </c>
      <c r="BF6460" s="3" t="s">
        <v>62283</v>
      </c>
      <c r="BG6460" s="3" t="s">
        <v>62285</v>
      </c>
    </row>
    <row r="6461" spans="1:59" ht="57" x14ac:dyDescent="0.45">
      <c r="A6461" s="2" t="s">
        <v>59</v>
      </c>
      <c r="B6461" s="2" t="s">
        <v>60</v>
      </c>
      <c r="C6461" s="2" t="s">
        <v>62276</v>
      </c>
      <c r="D6461" s="2" t="s">
        <v>62277</v>
      </c>
      <c r="E6461" s="2" t="s">
        <v>62278</v>
      </c>
      <c r="G6461" s="3" t="s">
        <v>62</v>
      </c>
      <c r="I6461" s="3" t="s">
        <v>61</v>
      </c>
      <c r="J6461" s="3" t="s">
        <v>62</v>
      </c>
      <c r="K6461" s="3" t="s">
        <v>63</v>
      </c>
      <c r="M6461" s="2" t="s">
        <v>48782</v>
      </c>
      <c r="N6461" s="3" t="s">
        <v>220</v>
      </c>
      <c r="P6461" s="3" t="s">
        <v>65</v>
      </c>
      <c r="Q6461" s="2" t="s">
        <v>62279</v>
      </c>
      <c r="R6461" s="3" t="s">
        <v>66</v>
      </c>
      <c r="S6461" s="4">
        <v>4</v>
      </c>
      <c r="T6461" s="4">
        <v>17</v>
      </c>
      <c r="U6461" s="5" t="s">
        <v>62286</v>
      </c>
      <c r="V6461" s="5" t="s">
        <v>37572</v>
      </c>
      <c r="W6461" s="5" t="s">
        <v>67</v>
      </c>
      <c r="X6461" s="5" t="s">
        <v>67</v>
      </c>
      <c r="Y6461" s="4">
        <v>377</v>
      </c>
      <c r="Z6461" s="4">
        <v>30</v>
      </c>
      <c r="AA6461" s="4">
        <v>94</v>
      </c>
      <c r="AB6461" s="4">
        <v>4</v>
      </c>
      <c r="AC6461" s="4">
        <v>17</v>
      </c>
      <c r="AD6461" s="4">
        <v>112</v>
      </c>
      <c r="AE6461" s="4">
        <v>145</v>
      </c>
      <c r="AF6461" s="4">
        <v>2</v>
      </c>
      <c r="AG6461" s="4">
        <v>8</v>
      </c>
      <c r="AH6461" s="4">
        <v>97</v>
      </c>
      <c r="AI6461" s="4">
        <v>105</v>
      </c>
      <c r="AJ6461" s="4">
        <v>17</v>
      </c>
      <c r="AK6461" s="4">
        <v>24</v>
      </c>
      <c r="AL6461" s="4">
        <v>53</v>
      </c>
      <c r="AM6461" s="4">
        <v>56</v>
      </c>
      <c r="AN6461" s="4">
        <v>0</v>
      </c>
      <c r="AO6461" s="4">
        <v>0</v>
      </c>
      <c r="AP6461" s="4">
        <v>23</v>
      </c>
      <c r="AQ6461" s="4">
        <v>49</v>
      </c>
      <c r="AR6461" s="3" t="s">
        <v>62</v>
      </c>
      <c r="AS6461" s="3" t="s">
        <v>62</v>
      </c>
      <c r="AT6461" s="3" t="s">
        <v>61</v>
      </c>
      <c r="AU6461" s="6" t="str">
        <f>HYPERLINK("http://catalog.hathitrust.org/Record/001435086","HathiTrust Record")</f>
        <v>HathiTrust Record</v>
      </c>
      <c r="AV6461" s="6" t="str">
        <f>HYPERLINK("http://mcgill.on.worldcat.org/oclc/155730","Catalog Record")</f>
        <v>Catalog Record</v>
      </c>
      <c r="AW6461" s="6" t="str">
        <f>HYPERLINK("http://www.worldcat.org/oclc/155730","WorldCat Record")</f>
        <v>WorldCat Record</v>
      </c>
      <c r="AX6461" s="3" t="s">
        <v>62280</v>
      </c>
      <c r="AY6461" s="3" t="s">
        <v>62281</v>
      </c>
      <c r="AZ6461" s="3" t="s">
        <v>62282</v>
      </c>
      <c r="BA6461" s="3" t="s">
        <v>62282</v>
      </c>
      <c r="BB6461" s="3" t="s">
        <v>62287</v>
      </c>
      <c r="BC6461" s="3" t="s">
        <v>142</v>
      </c>
      <c r="BD6461" s="3" t="s">
        <v>68</v>
      </c>
      <c r="BE6461" s="3" t="s">
        <v>62284</v>
      </c>
      <c r="BF6461" s="3" t="s">
        <v>62287</v>
      </c>
      <c r="BG6461" s="3" t="s">
        <v>62288</v>
      </c>
    </row>
    <row r="6462" spans="1:59" ht="57" x14ac:dyDescent="0.45">
      <c r="A6462" s="2" t="s">
        <v>59</v>
      </c>
      <c r="B6462" s="2" t="s">
        <v>60</v>
      </c>
      <c r="C6462" s="2" t="s">
        <v>62289</v>
      </c>
      <c r="D6462" s="2" t="s">
        <v>62290</v>
      </c>
      <c r="E6462" s="2" t="s">
        <v>62291</v>
      </c>
      <c r="G6462" s="3" t="s">
        <v>62</v>
      </c>
      <c r="I6462" s="3" t="s">
        <v>62</v>
      </c>
      <c r="J6462" s="3" t="s">
        <v>62</v>
      </c>
      <c r="K6462" s="3" t="s">
        <v>63</v>
      </c>
      <c r="M6462" s="2" t="s">
        <v>893</v>
      </c>
      <c r="N6462" s="3" t="s">
        <v>894</v>
      </c>
      <c r="P6462" s="3" t="s">
        <v>65</v>
      </c>
      <c r="Q6462" s="2" t="s">
        <v>62292</v>
      </c>
      <c r="R6462" s="3" t="s">
        <v>66</v>
      </c>
      <c r="S6462" s="4">
        <v>0</v>
      </c>
      <c r="T6462" s="4">
        <v>0</v>
      </c>
      <c r="W6462" s="5" t="s">
        <v>67</v>
      </c>
      <c r="X6462" s="5" t="s">
        <v>67</v>
      </c>
      <c r="Y6462" s="4">
        <v>123</v>
      </c>
      <c r="Z6462" s="4">
        <v>12</v>
      </c>
      <c r="AA6462" s="4">
        <v>77</v>
      </c>
      <c r="AB6462" s="4">
        <v>1</v>
      </c>
      <c r="AC6462" s="4">
        <v>14</v>
      </c>
      <c r="AD6462" s="4">
        <v>47</v>
      </c>
      <c r="AE6462" s="4">
        <v>106</v>
      </c>
      <c r="AF6462" s="4">
        <v>0</v>
      </c>
      <c r="AG6462" s="4">
        <v>8</v>
      </c>
      <c r="AH6462" s="4">
        <v>41</v>
      </c>
      <c r="AI6462" s="4">
        <v>72</v>
      </c>
      <c r="AJ6462" s="4">
        <v>9</v>
      </c>
      <c r="AK6462" s="4">
        <v>22</v>
      </c>
      <c r="AL6462" s="4">
        <v>28</v>
      </c>
      <c r="AM6462" s="4">
        <v>42</v>
      </c>
      <c r="AN6462" s="4">
        <v>0</v>
      </c>
      <c r="AO6462" s="4">
        <v>0</v>
      </c>
      <c r="AP6462" s="4">
        <v>10</v>
      </c>
      <c r="AQ6462" s="4">
        <v>41</v>
      </c>
      <c r="AR6462" s="3" t="s">
        <v>62</v>
      </c>
      <c r="AS6462" s="3" t="s">
        <v>62</v>
      </c>
      <c r="AT6462" s="3" t="s">
        <v>62</v>
      </c>
      <c r="AV6462" s="6" t="str">
        <f>HYPERLINK("http://mcgill.on.worldcat.org/oclc/567162714","Catalog Record")</f>
        <v>Catalog Record</v>
      </c>
      <c r="AW6462" s="6" t="str">
        <f>HYPERLINK("http://www.worldcat.org/oclc/567162714","WorldCat Record")</f>
        <v>WorldCat Record</v>
      </c>
      <c r="AX6462" s="3" t="s">
        <v>62293</v>
      </c>
      <c r="AY6462" s="3" t="s">
        <v>62294</v>
      </c>
      <c r="AZ6462" s="3" t="s">
        <v>62295</v>
      </c>
      <c r="BA6462" s="3" t="s">
        <v>62295</v>
      </c>
      <c r="BB6462" s="3" t="s">
        <v>62296</v>
      </c>
      <c r="BC6462" s="3" t="s">
        <v>142</v>
      </c>
      <c r="BD6462" s="3" t="s">
        <v>68</v>
      </c>
      <c r="BE6462" s="3" t="s">
        <v>62297</v>
      </c>
      <c r="BF6462" s="3" t="s">
        <v>62296</v>
      </c>
      <c r="BG6462" s="3" t="s">
        <v>62298</v>
      </c>
    </row>
    <row r="6463" spans="1:59" ht="57" x14ac:dyDescent="0.45">
      <c r="A6463" s="2" t="s">
        <v>59</v>
      </c>
      <c r="B6463" s="2" t="s">
        <v>60</v>
      </c>
      <c r="C6463" s="2" t="s">
        <v>62299</v>
      </c>
      <c r="D6463" s="2" t="s">
        <v>62300</v>
      </c>
      <c r="E6463" s="2" t="s">
        <v>45884</v>
      </c>
      <c r="G6463" s="3" t="s">
        <v>62</v>
      </c>
      <c r="I6463" s="3" t="s">
        <v>62</v>
      </c>
      <c r="J6463" s="3" t="s">
        <v>61</v>
      </c>
      <c r="K6463" s="3" t="s">
        <v>63</v>
      </c>
      <c r="L6463" s="2" t="s">
        <v>45885</v>
      </c>
      <c r="M6463" s="2" t="s">
        <v>45485</v>
      </c>
      <c r="N6463" s="3" t="s">
        <v>1604</v>
      </c>
      <c r="P6463" s="3" t="s">
        <v>65</v>
      </c>
      <c r="R6463" s="3" t="s">
        <v>66</v>
      </c>
      <c r="S6463" s="4">
        <v>16</v>
      </c>
      <c r="T6463" s="4">
        <v>16</v>
      </c>
      <c r="U6463" s="5" t="s">
        <v>6838</v>
      </c>
      <c r="V6463" s="5" t="s">
        <v>6838</v>
      </c>
      <c r="W6463" s="5" t="s">
        <v>67</v>
      </c>
      <c r="X6463" s="5" t="s">
        <v>67</v>
      </c>
      <c r="Y6463" s="4">
        <v>249</v>
      </c>
      <c r="Z6463" s="4">
        <v>16</v>
      </c>
      <c r="AA6463" s="4">
        <v>33</v>
      </c>
      <c r="AB6463" s="4">
        <v>2</v>
      </c>
      <c r="AC6463" s="4">
        <v>4</v>
      </c>
      <c r="AD6463" s="4">
        <v>71</v>
      </c>
      <c r="AE6463" s="4">
        <v>132</v>
      </c>
      <c r="AF6463" s="4">
        <v>1</v>
      </c>
      <c r="AG6463" s="4">
        <v>3</v>
      </c>
      <c r="AH6463" s="4">
        <v>64</v>
      </c>
      <c r="AI6463" s="4">
        <v>114</v>
      </c>
      <c r="AJ6463" s="4">
        <v>8</v>
      </c>
      <c r="AK6463" s="4">
        <v>21</v>
      </c>
      <c r="AL6463" s="4">
        <v>36</v>
      </c>
      <c r="AM6463" s="4">
        <v>60</v>
      </c>
      <c r="AN6463" s="4">
        <v>0</v>
      </c>
      <c r="AO6463" s="4">
        <v>0</v>
      </c>
      <c r="AP6463" s="4">
        <v>12</v>
      </c>
      <c r="AQ6463" s="4">
        <v>27</v>
      </c>
      <c r="AR6463" s="3" t="s">
        <v>62</v>
      </c>
      <c r="AS6463" s="3" t="s">
        <v>62</v>
      </c>
      <c r="AT6463" s="3" t="s">
        <v>62</v>
      </c>
      <c r="AV6463" s="6" t="str">
        <f>HYPERLINK("http://mcgill.on.worldcat.org/oclc/29909824","Catalog Record")</f>
        <v>Catalog Record</v>
      </c>
      <c r="AW6463" s="6" t="str">
        <f>HYPERLINK("http://www.worldcat.org/oclc/29909824","WorldCat Record")</f>
        <v>WorldCat Record</v>
      </c>
      <c r="AX6463" s="3" t="s">
        <v>45888</v>
      </c>
      <c r="AY6463" s="3" t="s">
        <v>62301</v>
      </c>
      <c r="AZ6463" s="3" t="s">
        <v>62302</v>
      </c>
      <c r="BA6463" s="3" t="s">
        <v>62302</v>
      </c>
      <c r="BB6463" s="3" t="s">
        <v>62303</v>
      </c>
      <c r="BC6463" s="3" t="s">
        <v>142</v>
      </c>
      <c r="BD6463" s="3" t="s">
        <v>68</v>
      </c>
      <c r="BE6463" s="3" t="s">
        <v>62304</v>
      </c>
      <c r="BF6463" s="3" t="s">
        <v>62303</v>
      </c>
      <c r="BG6463" s="3" t="s">
        <v>62305</v>
      </c>
    </row>
    <row r="6464" spans="1:59" ht="57" x14ac:dyDescent="0.45">
      <c r="A6464" s="2" t="s">
        <v>59</v>
      </c>
      <c r="B6464" s="2" t="s">
        <v>60</v>
      </c>
      <c r="C6464" s="2" t="s">
        <v>62306</v>
      </c>
      <c r="D6464" s="2" t="s">
        <v>62307</v>
      </c>
      <c r="E6464" s="2" t="s">
        <v>62308</v>
      </c>
      <c r="G6464" s="3" t="s">
        <v>62</v>
      </c>
      <c r="I6464" s="3" t="s">
        <v>62</v>
      </c>
      <c r="J6464" s="3" t="s">
        <v>62</v>
      </c>
      <c r="K6464" s="3" t="s">
        <v>63</v>
      </c>
      <c r="L6464" s="2" t="s">
        <v>62309</v>
      </c>
      <c r="M6464" s="2" t="s">
        <v>3925</v>
      </c>
      <c r="N6464" s="3" t="s">
        <v>149</v>
      </c>
      <c r="P6464" s="3" t="s">
        <v>65</v>
      </c>
      <c r="Q6464" s="2" t="s">
        <v>62310</v>
      </c>
      <c r="R6464" s="3" t="s">
        <v>66</v>
      </c>
      <c r="S6464" s="4">
        <v>0</v>
      </c>
      <c r="T6464" s="4">
        <v>0</v>
      </c>
      <c r="W6464" s="5" t="s">
        <v>67</v>
      </c>
      <c r="X6464" s="5" t="s">
        <v>67</v>
      </c>
      <c r="Y6464" s="4">
        <v>48</v>
      </c>
      <c r="Z6464" s="4">
        <v>6</v>
      </c>
      <c r="AA6464" s="4">
        <v>95</v>
      </c>
      <c r="AB6464" s="4">
        <v>1</v>
      </c>
      <c r="AC6464" s="4">
        <v>17</v>
      </c>
      <c r="AD6464" s="4">
        <v>25</v>
      </c>
      <c r="AE6464" s="4">
        <v>108</v>
      </c>
      <c r="AF6464" s="4">
        <v>0</v>
      </c>
      <c r="AG6464" s="4">
        <v>8</v>
      </c>
      <c r="AH6464" s="4">
        <v>24</v>
      </c>
      <c r="AI6464" s="4">
        <v>73</v>
      </c>
      <c r="AJ6464" s="4">
        <v>5</v>
      </c>
      <c r="AK6464" s="4">
        <v>21</v>
      </c>
      <c r="AL6464" s="4">
        <v>15</v>
      </c>
      <c r="AM6464" s="4">
        <v>37</v>
      </c>
      <c r="AN6464" s="4">
        <v>0</v>
      </c>
      <c r="AO6464" s="4">
        <v>0</v>
      </c>
      <c r="AP6464" s="4">
        <v>5</v>
      </c>
      <c r="AQ6464" s="4">
        <v>42</v>
      </c>
      <c r="AR6464" s="3" t="s">
        <v>62</v>
      </c>
      <c r="AS6464" s="3" t="s">
        <v>62</v>
      </c>
      <c r="AT6464" s="3" t="s">
        <v>62</v>
      </c>
      <c r="AV6464" s="6" t="str">
        <f>HYPERLINK("http://mcgill.on.worldcat.org/oclc/657080703","Catalog Record")</f>
        <v>Catalog Record</v>
      </c>
      <c r="AW6464" s="6" t="str">
        <f>HYPERLINK("http://www.worldcat.org/oclc/657080703","WorldCat Record")</f>
        <v>WorldCat Record</v>
      </c>
      <c r="AX6464" s="3" t="s">
        <v>62311</v>
      </c>
      <c r="AY6464" s="3" t="s">
        <v>62312</v>
      </c>
      <c r="AZ6464" s="3" t="s">
        <v>62313</v>
      </c>
      <c r="BA6464" s="3" t="s">
        <v>62313</v>
      </c>
      <c r="BB6464" s="3" t="s">
        <v>62314</v>
      </c>
      <c r="BC6464" s="3" t="s">
        <v>104</v>
      </c>
      <c r="BD6464" s="3" t="s">
        <v>68</v>
      </c>
      <c r="BE6464" s="3" t="s">
        <v>62315</v>
      </c>
      <c r="BF6464" s="3" t="s">
        <v>62314</v>
      </c>
      <c r="BG6464" s="3" t="s">
        <v>62316</v>
      </c>
    </row>
    <row r="6465" spans="1:59" ht="57" x14ac:dyDescent="0.45">
      <c r="A6465" s="2" t="s">
        <v>59</v>
      </c>
      <c r="B6465" s="2" t="s">
        <v>60</v>
      </c>
      <c r="C6465" s="2" t="s">
        <v>62317</v>
      </c>
      <c r="D6465" s="2" t="s">
        <v>62318</v>
      </c>
      <c r="E6465" s="2" t="s">
        <v>62319</v>
      </c>
      <c r="G6465" s="3" t="s">
        <v>62</v>
      </c>
      <c r="I6465" s="3" t="s">
        <v>62</v>
      </c>
      <c r="J6465" s="3" t="s">
        <v>62</v>
      </c>
      <c r="K6465" s="3" t="s">
        <v>63</v>
      </c>
      <c r="L6465" s="2" t="s">
        <v>62320</v>
      </c>
      <c r="M6465" s="2" t="s">
        <v>27587</v>
      </c>
      <c r="N6465" s="3" t="s">
        <v>894</v>
      </c>
      <c r="P6465" s="3" t="s">
        <v>65</v>
      </c>
      <c r="R6465" s="3" t="s">
        <v>66</v>
      </c>
      <c r="S6465" s="4">
        <v>0</v>
      </c>
      <c r="T6465" s="4">
        <v>0</v>
      </c>
      <c r="W6465" s="5" t="s">
        <v>67</v>
      </c>
      <c r="X6465" s="5" t="s">
        <v>67</v>
      </c>
      <c r="Y6465" s="4">
        <v>50</v>
      </c>
      <c r="Z6465" s="4">
        <v>10</v>
      </c>
      <c r="AA6465" s="4">
        <v>77</v>
      </c>
      <c r="AB6465" s="4">
        <v>1</v>
      </c>
      <c r="AC6465" s="4">
        <v>14</v>
      </c>
      <c r="AD6465" s="4">
        <v>28</v>
      </c>
      <c r="AE6465" s="4">
        <v>92</v>
      </c>
      <c r="AF6465" s="4">
        <v>0</v>
      </c>
      <c r="AG6465" s="4">
        <v>8</v>
      </c>
      <c r="AH6465" s="4">
        <v>27</v>
      </c>
      <c r="AI6465" s="4">
        <v>60</v>
      </c>
      <c r="AJ6465" s="4">
        <v>8</v>
      </c>
      <c r="AK6465" s="4">
        <v>21</v>
      </c>
      <c r="AL6465" s="4">
        <v>16</v>
      </c>
      <c r="AM6465" s="4">
        <v>32</v>
      </c>
      <c r="AN6465" s="4">
        <v>0</v>
      </c>
      <c r="AO6465" s="4">
        <v>0</v>
      </c>
      <c r="AP6465" s="4">
        <v>8</v>
      </c>
      <c r="AQ6465" s="4">
        <v>41</v>
      </c>
      <c r="AR6465" s="3" t="s">
        <v>62</v>
      </c>
      <c r="AS6465" s="3" t="s">
        <v>62</v>
      </c>
      <c r="AT6465" s="3" t="s">
        <v>62</v>
      </c>
      <c r="AV6465" s="6" t="str">
        <f>HYPERLINK("http://mcgill.on.worldcat.org/oclc/727106306","Catalog Record")</f>
        <v>Catalog Record</v>
      </c>
      <c r="AW6465" s="6" t="str">
        <f>HYPERLINK("http://www.worldcat.org/oclc/727106306","WorldCat Record")</f>
        <v>WorldCat Record</v>
      </c>
      <c r="AX6465" s="3" t="s">
        <v>62321</v>
      </c>
      <c r="AY6465" s="3" t="s">
        <v>62322</v>
      </c>
      <c r="AZ6465" s="3" t="s">
        <v>62323</v>
      </c>
      <c r="BA6465" s="3" t="s">
        <v>62323</v>
      </c>
      <c r="BB6465" s="3" t="s">
        <v>62324</v>
      </c>
      <c r="BC6465" s="3" t="s">
        <v>142</v>
      </c>
      <c r="BD6465" s="3" t="s">
        <v>68</v>
      </c>
      <c r="BE6465" s="3" t="s">
        <v>62325</v>
      </c>
      <c r="BF6465" s="3" t="s">
        <v>62324</v>
      </c>
      <c r="BG6465" s="3" t="s">
        <v>62326</v>
      </c>
    </row>
    <row r="6466" spans="1:59" ht="57" x14ac:dyDescent="0.45">
      <c r="A6466" s="2" t="s">
        <v>59</v>
      </c>
      <c r="B6466" s="2" t="s">
        <v>60</v>
      </c>
      <c r="C6466" s="2" t="s">
        <v>62327</v>
      </c>
      <c r="D6466" s="2" t="s">
        <v>62328</v>
      </c>
      <c r="E6466" s="2" t="s">
        <v>62329</v>
      </c>
      <c r="G6466" s="3" t="s">
        <v>62</v>
      </c>
      <c r="I6466" s="3" t="s">
        <v>62</v>
      </c>
      <c r="J6466" s="3" t="s">
        <v>62</v>
      </c>
      <c r="K6466" s="3" t="s">
        <v>63</v>
      </c>
      <c r="M6466" s="2" t="s">
        <v>62330</v>
      </c>
      <c r="N6466" s="3" t="s">
        <v>84</v>
      </c>
      <c r="P6466" s="3" t="s">
        <v>65</v>
      </c>
      <c r="R6466" s="3" t="s">
        <v>66</v>
      </c>
      <c r="S6466" s="4">
        <v>19</v>
      </c>
      <c r="T6466" s="4">
        <v>19</v>
      </c>
      <c r="U6466" s="5" t="s">
        <v>8148</v>
      </c>
      <c r="V6466" s="5" t="s">
        <v>8148</v>
      </c>
      <c r="W6466" s="5" t="s">
        <v>67</v>
      </c>
      <c r="X6466" s="5" t="s">
        <v>67</v>
      </c>
      <c r="Y6466" s="4">
        <v>234</v>
      </c>
      <c r="Z6466" s="4">
        <v>16</v>
      </c>
      <c r="AA6466" s="4">
        <v>19</v>
      </c>
      <c r="AB6466" s="4">
        <v>1</v>
      </c>
      <c r="AC6466" s="4">
        <v>4</v>
      </c>
      <c r="AD6466" s="4">
        <v>89</v>
      </c>
      <c r="AE6466" s="4">
        <v>92</v>
      </c>
      <c r="AF6466" s="4">
        <v>0</v>
      </c>
      <c r="AG6466" s="4">
        <v>2</v>
      </c>
      <c r="AH6466" s="4">
        <v>81</v>
      </c>
      <c r="AI6466" s="4">
        <v>82</v>
      </c>
      <c r="AJ6466" s="4">
        <v>12</v>
      </c>
      <c r="AK6466" s="4">
        <v>14</v>
      </c>
      <c r="AL6466" s="4">
        <v>44</v>
      </c>
      <c r="AM6466" s="4">
        <v>45</v>
      </c>
      <c r="AN6466" s="4">
        <v>0</v>
      </c>
      <c r="AO6466" s="4">
        <v>0</v>
      </c>
      <c r="AP6466" s="4">
        <v>14</v>
      </c>
      <c r="AQ6466" s="4">
        <v>15</v>
      </c>
      <c r="AR6466" s="3" t="s">
        <v>62</v>
      </c>
      <c r="AS6466" s="3" t="s">
        <v>62</v>
      </c>
      <c r="AT6466" s="3" t="s">
        <v>61</v>
      </c>
      <c r="AU6466" s="6" t="str">
        <f>HYPERLINK("http://catalog.hathitrust.org/Record/002562440","HathiTrust Record")</f>
        <v>HathiTrust Record</v>
      </c>
      <c r="AV6466" s="6" t="str">
        <f>HYPERLINK("http://mcgill.on.worldcat.org/oclc/25676563","Catalog Record")</f>
        <v>Catalog Record</v>
      </c>
      <c r="AW6466" s="6" t="str">
        <f>HYPERLINK("http://www.worldcat.org/oclc/25676563","WorldCat Record")</f>
        <v>WorldCat Record</v>
      </c>
      <c r="AX6466" s="3" t="s">
        <v>62331</v>
      </c>
      <c r="AY6466" s="3" t="s">
        <v>62332</v>
      </c>
      <c r="AZ6466" s="3" t="s">
        <v>62333</v>
      </c>
      <c r="BA6466" s="3" t="s">
        <v>62333</v>
      </c>
      <c r="BB6466" s="3" t="s">
        <v>62334</v>
      </c>
      <c r="BC6466" s="3" t="s">
        <v>142</v>
      </c>
      <c r="BD6466" s="3" t="s">
        <v>308</v>
      </c>
      <c r="BE6466" s="3" t="s">
        <v>62335</v>
      </c>
      <c r="BF6466" s="3" t="s">
        <v>62334</v>
      </c>
      <c r="BG6466" s="3" t="s">
        <v>62336</v>
      </c>
    </row>
    <row r="6467" spans="1:59" ht="57" x14ac:dyDescent="0.45">
      <c r="A6467" s="2" t="s">
        <v>59</v>
      </c>
      <c r="B6467" s="2" t="s">
        <v>60</v>
      </c>
      <c r="C6467" s="2" t="s">
        <v>62337</v>
      </c>
      <c r="D6467" s="2" t="s">
        <v>62338</v>
      </c>
      <c r="E6467" s="2" t="s">
        <v>62339</v>
      </c>
      <c r="G6467" s="3" t="s">
        <v>62</v>
      </c>
      <c r="I6467" s="3" t="s">
        <v>62</v>
      </c>
      <c r="J6467" s="3" t="s">
        <v>62</v>
      </c>
      <c r="K6467" s="3" t="s">
        <v>63</v>
      </c>
      <c r="M6467" s="2" t="s">
        <v>62340</v>
      </c>
      <c r="N6467" s="3" t="s">
        <v>1688</v>
      </c>
      <c r="P6467" s="3" t="s">
        <v>65</v>
      </c>
      <c r="Q6467" s="2" t="s">
        <v>62341</v>
      </c>
      <c r="R6467" s="3" t="s">
        <v>66</v>
      </c>
      <c r="S6467" s="4">
        <v>0</v>
      </c>
      <c r="T6467" s="4">
        <v>0</v>
      </c>
      <c r="W6467" s="5" t="s">
        <v>67</v>
      </c>
      <c r="X6467" s="5" t="s">
        <v>67</v>
      </c>
      <c r="Y6467" s="4">
        <v>42</v>
      </c>
      <c r="Z6467" s="4">
        <v>2</v>
      </c>
      <c r="AA6467" s="4">
        <v>57</v>
      </c>
      <c r="AB6467" s="4">
        <v>1</v>
      </c>
      <c r="AC6467" s="4">
        <v>6</v>
      </c>
      <c r="AD6467" s="4">
        <v>15</v>
      </c>
      <c r="AE6467" s="4">
        <v>76</v>
      </c>
      <c r="AF6467" s="4">
        <v>0</v>
      </c>
      <c r="AG6467" s="4">
        <v>3</v>
      </c>
      <c r="AH6467" s="4">
        <v>13</v>
      </c>
      <c r="AI6467" s="4">
        <v>49</v>
      </c>
      <c r="AJ6467" s="4">
        <v>1</v>
      </c>
      <c r="AK6467" s="4">
        <v>21</v>
      </c>
      <c r="AL6467" s="4">
        <v>12</v>
      </c>
      <c r="AM6467" s="4">
        <v>27</v>
      </c>
      <c r="AN6467" s="4">
        <v>0</v>
      </c>
      <c r="AO6467" s="4">
        <v>0</v>
      </c>
      <c r="AP6467" s="4">
        <v>1</v>
      </c>
      <c r="AQ6467" s="4">
        <v>34</v>
      </c>
      <c r="AR6467" s="3" t="s">
        <v>62</v>
      </c>
      <c r="AS6467" s="3" t="s">
        <v>62</v>
      </c>
      <c r="AT6467" s="3" t="s">
        <v>62</v>
      </c>
      <c r="AV6467" s="6" t="str">
        <f>HYPERLINK("http://mcgill.on.worldcat.org/oclc/869266949","Catalog Record")</f>
        <v>Catalog Record</v>
      </c>
      <c r="AW6467" s="6" t="str">
        <f>HYPERLINK("http://www.worldcat.org/oclc/869266949","WorldCat Record")</f>
        <v>WorldCat Record</v>
      </c>
      <c r="AX6467" s="3" t="s">
        <v>62342</v>
      </c>
      <c r="AY6467" s="3" t="s">
        <v>62343</v>
      </c>
      <c r="AZ6467" s="3" t="s">
        <v>62344</v>
      </c>
      <c r="BA6467" s="3" t="s">
        <v>62344</v>
      </c>
      <c r="BB6467" s="3" t="s">
        <v>62345</v>
      </c>
      <c r="BC6467" s="3" t="s">
        <v>142</v>
      </c>
      <c r="BD6467" s="3" t="s">
        <v>68</v>
      </c>
      <c r="BE6467" s="3" t="s">
        <v>62346</v>
      </c>
      <c r="BF6467" s="3" t="s">
        <v>62345</v>
      </c>
      <c r="BG6467" s="3" t="s">
        <v>62347</v>
      </c>
    </row>
    <row r="6468" spans="1:59" ht="57" x14ac:dyDescent="0.45">
      <c r="A6468" s="2" t="s">
        <v>59</v>
      </c>
      <c r="B6468" s="2" t="s">
        <v>60</v>
      </c>
      <c r="C6468" s="2" t="s">
        <v>62348</v>
      </c>
      <c r="D6468" s="2" t="s">
        <v>62349</v>
      </c>
      <c r="E6468" s="2" t="s">
        <v>62350</v>
      </c>
      <c r="G6468" s="3" t="s">
        <v>62</v>
      </c>
      <c r="I6468" s="3" t="s">
        <v>62</v>
      </c>
      <c r="J6468" s="3" t="s">
        <v>62</v>
      </c>
      <c r="K6468" s="3" t="s">
        <v>63</v>
      </c>
      <c r="M6468" s="2" t="s">
        <v>26148</v>
      </c>
      <c r="N6468" s="3" t="s">
        <v>116</v>
      </c>
      <c r="P6468" s="3" t="s">
        <v>65</v>
      </c>
      <c r="R6468" s="3" t="s">
        <v>66</v>
      </c>
      <c r="S6468" s="4">
        <v>1</v>
      </c>
      <c r="T6468" s="4">
        <v>1</v>
      </c>
      <c r="U6468" s="5" t="s">
        <v>62351</v>
      </c>
      <c r="V6468" s="5" t="s">
        <v>62351</v>
      </c>
      <c r="W6468" s="5" t="s">
        <v>67</v>
      </c>
      <c r="X6468" s="5" t="s">
        <v>67</v>
      </c>
      <c r="Y6468" s="4">
        <v>84</v>
      </c>
      <c r="Z6468" s="4">
        <v>10</v>
      </c>
      <c r="AA6468" s="4">
        <v>100</v>
      </c>
      <c r="AB6468" s="4">
        <v>1</v>
      </c>
      <c r="AC6468" s="4">
        <v>14</v>
      </c>
      <c r="AD6468" s="4">
        <v>43</v>
      </c>
      <c r="AE6468" s="4">
        <v>118</v>
      </c>
      <c r="AF6468" s="4">
        <v>0</v>
      </c>
      <c r="AG6468" s="4">
        <v>8</v>
      </c>
      <c r="AH6468" s="4">
        <v>40</v>
      </c>
      <c r="AI6468" s="4">
        <v>82</v>
      </c>
      <c r="AJ6468" s="4">
        <v>7</v>
      </c>
      <c r="AK6468" s="4">
        <v>22</v>
      </c>
      <c r="AL6468" s="4">
        <v>27</v>
      </c>
      <c r="AM6468" s="4">
        <v>44</v>
      </c>
      <c r="AN6468" s="4">
        <v>0</v>
      </c>
      <c r="AO6468" s="4">
        <v>0</v>
      </c>
      <c r="AP6468" s="4">
        <v>8</v>
      </c>
      <c r="AQ6468" s="4">
        <v>43</v>
      </c>
      <c r="AR6468" s="3" t="s">
        <v>62</v>
      </c>
      <c r="AS6468" s="3" t="s">
        <v>62</v>
      </c>
      <c r="AT6468" s="3" t="s">
        <v>62</v>
      </c>
      <c r="AV6468" s="6" t="str">
        <f>HYPERLINK("http://mcgill.on.worldcat.org/oclc/826123075","Catalog Record")</f>
        <v>Catalog Record</v>
      </c>
      <c r="AW6468" s="6" t="str">
        <f>HYPERLINK("http://www.worldcat.org/oclc/826123075","WorldCat Record")</f>
        <v>WorldCat Record</v>
      </c>
      <c r="AX6468" s="3" t="s">
        <v>62352</v>
      </c>
      <c r="AY6468" s="3" t="s">
        <v>62353</v>
      </c>
      <c r="AZ6468" s="3" t="s">
        <v>62354</v>
      </c>
      <c r="BA6468" s="3" t="s">
        <v>62354</v>
      </c>
      <c r="BB6468" s="3" t="s">
        <v>62355</v>
      </c>
      <c r="BC6468" s="3" t="s">
        <v>142</v>
      </c>
      <c r="BD6468" s="3" t="s">
        <v>68</v>
      </c>
      <c r="BE6468" s="3" t="s">
        <v>62356</v>
      </c>
      <c r="BF6468" s="3" t="s">
        <v>62355</v>
      </c>
      <c r="BG6468" s="3" t="s">
        <v>62357</v>
      </c>
    </row>
    <row r="6469" spans="1:59" ht="99.75" x14ac:dyDescent="0.45">
      <c r="A6469" s="2" t="s">
        <v>59</v>
      </c>
      <c r="B6469" s="2" t="s">
        <v>3540</v>
      </c>
      <c r="C6469" s="2" t="s">
        <v>62358</v>
      </c>
      <c r="D6469" s="2" t="s">
        <v>62359</v>
      </c>
      <c r="E6469" s="2" t="s">
        <v>62360</v>
      </c>
      <c r="G6469" s="3" t="s">
        <v>62</v>
      </c>
      <c r="H6469" s="3" t="s">
        <v>28859</v>
      </c>
      <c r="I6469" s="3" t="s">
        <v>61</v>
      </c>
      <c r="J6469" s="3" t="s">
        <v>62</v>
      </c>
      <c r="K6469" s="3" t="s">
        <v>63</v>
      </c>
      <c r="L6469" s="2" t="s">
        <v>62361</v>
      </c>
      <c r="M6469" s="2" t="s">
        <v>62362</v>
      </c>
      <c r="N6469" s="3" t="s">
        <v>19337</v>
      </c>
      <c r="P6469" s="3" t="s">
        <v>65</v>
      </c>
      <c r="R6469" s="3" t="s">
        <v>66</v>
      </c>
      <c r="S6469" s="4">
        <v>21</v>
      </c>
      <c r="T6469" s="4">
        <v>37</v>
      </c>
      <c r="U6469" s="5" t="s">
        <v>62363</v>
      </c>
      <c r="V6469" s="5" t="s">
        <v>62363</v>
      </c>
      <c r="W6469" s="5" t="s">
        <v>13083</v>
      </c>
      <c r="X6469" s="5" t="s">
        <v>13083</v>
      </c>
      <c r="Y6469" s="4">
        <v>28</v>
      </c>
      <c r="Z6469" s="4">
        <v>1</v>
      </c>
      <c r="AA6469" s="4">
        <v>1</v>
      </c>
      <c r="AB6469" s="4">
        <v>1</v>
      </c>
      <c r="AC6469" s="4">
        <v>1</v>
      </c>
      <c r="AD6469" s="4">
        <v>11</v>
      </c>
      <c r="AE6469" s="4">
        <v>11</v>
      </c>
      <c r="AF6469" s="4">
        <v>0</v>
      </c>
      <c r="AG6469" s="4">
        <v>0</v>
      </c>
      <c r="AH6469" s="4">
        <v>10</v>
      </c>
      <c r="AI6469" s="4">
        <v>10</v>
      </c>
      <c r="AJ6469" s="4">
        <v>0</v>
      </c>
      <c r="AK6469" s="4">
        <v>0</v>
      </c>
      <c r="AL6469" s="4">
        <v>9</v>
      </c>
      <c r="AM6469" s="4">
        <v>9</v>
      </c>
      <c r="AN6469" s="4">
        <v>0</v>
      </c>
      <c r="AO6469" s="4">
        <v>0</v>
      </c>
      <c r="AP6469" s="4">
        <v>0</v>
      </c>
      <c r="AQ6469" s="4">
        <v>0</v>
      </c>
      <c r="AR6469" s="3" t="s">
        <v>62</v>
      </c>
      <c r="AS6469" s="3" t="s">
        <v>62</v>
      </c>
      <c r="AT6469" s="3" t="s">
        <v>62</v>
      </c>
      <c r="AV6469" s="6" t="str">
        <f>HYPERLINK("http://mcgill.on.worldcat.org/oclc/1050457335","Catalog Record")</f>
        <v>Catalog Record</v>
      </c>
      <c r="AW6469" s="6" t="str">
        <f>HYPERLINK("http://www.worldcat.org/oclc/1050457335","WorldCat Record")</f>
        <v>WorldCat Record</v>
      </c>
      <c r="AX6469" s="3" t="s">
        <v>62364</v>
      </c>
      <c r="AY6469" s="3" t="s">
        <v>62365</v>
      </c>
      <c r="AZ6469" s="3" t="s">
        <v>62366</v>
      </c>
      <c r="BA6469" s="3" t="s">
        <v>62366</v>
      </c>
      <c r="BB6469" s="3" t="s">
        <v>62367</v>
      </c>
      <c r="BC6469" s="3" t="s">
        <v>142</v>
      </c>
      <c r="BD6469" s="3" t="s">
        <v>68</v>
      </c>
      <c r="BE6469" s="3" t="s">
        <v>62368</v>
      </c>
      <c r="BF6469" s="3" t="s">
        <v>62367</v>
      </c>
      <c r="BG6469" s="3" t="s">
        <v>62369</v>
      </c>
    </row>
    <row r="6470" spans="1:59" ht="99.75" x14ac:dyDescent="0.45">
      <c r="A6470" s="2" t="s">
        <v>59</v>
      </c>
      <c r="B6470" s="2" t="s">
        <v>3540</v>
      </c>
      <c r="C6470" s="2" t="s">
        <v>62358</v>
      </c>
      <c r="D6470" s="2" t="s">
        <v>62359</v>
      </c>
      <c r="E6470" s="2" t="s">
        <v>62360</v>
      </c>
      <c r="G6470" s="3" t="s">
        <v>62</v>
      </c>
      <c r="H6470" s="3" t="s">
        <v>3960</v>
      </c>
      <c r="I6470" s="3" t="s">
        <v>61</v>
      </c>
      <c r="J6470" s="3" t="s">
        <v>62</v>
      </c>
      <c r="K6470" s="3" t="s">
        <v>63</v>
      </c>
      <c r="L6470" s="2" t="s">
        <v>62361</v>
      </c>
      <c r="M6470" s="2" t="s">
        <v>62362</v>
      </c>
      <c r="N6470" s="3" t="s">
        <v>19337</v>
      </c>
      <c r="P6470" s="3" t="s">
        <v>65</v>
      </c>
      <c r="R6470" s="3" t="s">
        <v>66</v>
      </c>
      <c r="S6470" s="4">
        <v>16</v>
      </c>
      <c r="T6470" s="4">
        <v>37</v>
      </c>
      <c r="U6470" s="5" t="s">
        <v>31932</v>
      </c>
      <c r="V6470" s="5" t="s">
        <v>62363</v>
      </c>
      <c r="W6470" s="5" t="s">
        <v>4863</v>
      </c>
      <c r="X6470" s="5" t="s">
        <v>13083</v>
      </c>
      <c r="Y6470" s="4">
        <v>28</v>
      </c>
      <c r="Z6470" s="4">
        <v>1</v>
      </c>
      <c r="AA6470" s="4">
        <v>1</v>
      </c>
      <c r="AB6470" s="4">
        <v>1</v>
      </c>
      <c r="AC6470" s="4">
        <v>1</v>
      </c>
      <c r="AD6470" s="4">
        <v>11</v>
      </c>
      <c r="AE6470" s="4">
        <v>11</v>
      </c>
      <c r="AF6470" s="4">
        <v>0</v>
      </c>
      <c r="AG6470" s="4">
        <v>0</v>
      </c>
      <c r="AH6470" s="4">
        <v>10</v>
      </c>
      <c r="AI6470" s="4">
        <v>10</v>
      </c>
      <c r="AJ6470" s="4">
        <v>0</v>
      </c>
      <c r="AK6470" s="4">
        <v>0</v>
      </c>
      <c r="AL6470" s="4">
        <v>9</v>
      </c>
      <c r="AM6470" s="4">
        <v>9</v>
      </c>
      <c r="AN6470" s="4">
        <v>0</v>
      </c>
      <c r="AO6470" s="4">
        <v>0</v>
      </c>
      <c r="AP6470" s="4">
        <v>0</v>
      </c>
      <c r="AQ6470" s="4">
        <v>0</v>
      </c>
      <c r="AR6470" s="3" t="s">
        <v>62</v>
      </c>
      <c r="AS6470" s="3" t="s">
        <v>62</v>
      </c>
      <c r="AT6470" s="3" t="s">
        <v>62</v>
      </c>
      <c r="AV6470" s="6" t="str">
        <f>HYPERLINK("http://mcgill.on.worldcat.org/oclc/1050457335","Catalog Record")</f>
        <v>Catalog Record</v>
      </c>
      <c r="AW6470" s="6" t="str">
        <f>HYPERLINK("http://www.worldcat.org/oclc/1050457335","WorldCat Record")</f>
        <v>WorldCat Record</v>
      </c>
      <c r="AX6470" s="3" t="s">
        <v>62364</v>
      </c>
      <c r="AY6470" s="3" t="s">
        <v>62365</v>
      </c>
      <c r="AZ6470" s="3" t="s">
        <v>62366</v>
      </c>
      <c r="BA6470" s="3" t="s">
        <v>62366</v>
      </c>
      <c r="BB6470" s="3" t="s">
        <v>62370</v>
      </c>
      <c r="BC6470" s="3" t="s">
        <v>142</v>
      </c>
      <c r="BD6470" s="3" t="s">
        <v>68</v>
      </c>
      <c r="BE6470" s="3" t="s">
        <v>62368</v>
      </c>
      <c r="BF6470" s="3" t="s">
        <v>62370</v>
      </c>
      <c r="BG6470" s="3" t="s">
        <v>62371</v>
      </c>
    </row>
    <row r="6471" spans="1:59" ht="57" x14ac:dyDescent="0.45">
      <c r="A6471" s="2" t="s">
        <v>59</v>
      </c>
      <c r="B6471" s="2" t="s">
        <v>60</v>
      </c>
      <c r="C6471" s="2" t="s">
        <v>62372</v>
      </c>
      <c r="D6471" s="2" t="s">
        <v>62373</v>
      </c>
      <c r="E6471" s="2" t="s">
        <v>62374</v>
      </c>
      <c r="G6471" s="3" t="s">
        <v>62</v>
      </c>
      <c r="I6471" s="3" t="s">
        <v>62</v>
      </c>
      <c r="J6471" s="3" t="s">
        <v>62</v>
      </c>
      <c r="K6471" s="3" t="s">
        <v>63</v>
      </c>
      <c r="L6471" s="2" t="s">
        <v>62375</v>
      </c>
      <c r="M6471" s="2" t="s">
        <v>9187</v>
      </c>
      <c r="N6471" s="3" t="s">
        <v>894</v>
      </c>
      <c r="O6471" s="2" t="s">
        <v>933</v>
      </c>
      <c r="P6471" s="3" t="s">
        <v>65</v>
      </c>
      <c r="Q6471" s="2" t="s">
        <v>29906</v>
      </c>
      <c r="R6471" s="3" t="s">
        <v>66</v>
      </c>
      <c r="S6471" s="4">
        <v>3</v>
      </c>
      <c r="T6471" s="4">
        <v>3</v>
      </c>
      <c r="U6471" s="5" t="s">
        <v>6153</v>
      </c>
      <c r="V6471" s="5" t="s">
        <v>6153</v>
      </c>
      <c r="W6471" s="5" t="s">
        <v>67</v>
      </c>
      <c r="X6471" s="5" t="s">
        <v>67</v>
      </c>
      <c r="Y6471" s="4">
        <v>89</v>
      </c>
      <c r="Z6471" s="4">
        <v>12</v>
      </c>
      <c r="AA6471" s="4">
        <v>29</v>
      </c>
      <c r="AB6471" s="4">
        <v>1</v>
      </c>
      <c r="AC6471" s="4">
        <v>4</v>
      </c>
      <c r="AD6471" s="4">
        <v>30</v>
      </c>
      <c r="AE6471" s="4">
        <v>93</v>
      </c>
      <c r="AF6471" s="4">
        <v>0</v>
      </c>
      <c r="AG6471" s="4">
        <v>3</v>
      </c>
      <c r="AH6471" s="4">
        <v>28</v>
      </c>
      <c r="AI6471" s="4">
        <v>79</v>
      </c>
      <c r="AJ6471" s="4">
        <v>8</v>
      </c>
      <c r="AK6471" s="4">
        <v>20</v>
      </c>
      <c r="AL6471" s="4">
        <v>16</v>
      </c>
      <c r="AM6471" s="4">
        <v>44</v>
      </c>
      <c r="AN6471" s="4">
        <v>0</v>
      </c>
      <c r="AO6471" s="4">
        <v>0</v>
      </c>
      <c r="AP6471" s="4">
        <v>9</v>
      </c>
      <c r="AQ6471" s="4">
        <v>23</v>
      </c>
      <c r="AR6471" s="3" t="s">
        <v>62</v>
      </c>
      <c r="AS6471" s="3" t="s">
        <v>62</v>
      </c>
      <c r="AT6471" s="3" t="s">
        <v>62</v>
      </c>
      <c r="AV6471" s="6" t="str">
        <f>HYPERLINK("http://mcgill.on.worldcat.org/oclc/755909795","Catalog Record")</f>
        <v>Catalog Record</v>
      </c>
      <c r="AW6471" s="6" t="str">
        <f>HYPERLINK("http://www.worldcat.org/oclc/755909795","WorldCat Record")</f>
        <v>WorldCat Record</v>
      </c>
      <c r="AX6471" s="3" t="s">
        <v>62376</v>
      </c>
      <c r="AY6471" s="3" t="s">
        <v>62377</v>
      </c>
      <c r="AZ6471" s="3" t="s">
        <v>62378</v>
      </c>
      <c r="BA6471" s="3" t="s">
        <v>62378</v>
      </c>
      <c r="BB6471" s="3" t="s">
        <v>62379</v>
      </c>
      <c r="BC6471" s="3" t="s">
        <v>142</v>
      </c>
      <c r="BD6471" s="3" t="s">
        <v>68</v>
      </c>
      <c r="BE6471" s="3" t="s">
        <v>62380</v>
      </c>
      <c r="BF6471" s="3" t="s">
        <v>62379</v>
      </c>
      <c r="BG6471" s="3" t="s">
        <v>62381</v>
      </c>
    </row>
    <row r="6472" spans="1:59" ht="57" x14ac:dyDescent="0.45">
      <c r="A6472" s="2" t="s">
        <v>59</v>
      </c>
      <c r="B6472" s="2" t="s">
        <v>60</v>
      </c>
      <c r="C6472" s="2" t="s">
        <v>62382</v>
      </c>
      <c r="D6472" s="2" t="s">
        <v>62383</v>
      </c>
      <c r="E6472" s="2" t="s">
        <v>62384</v>
      </c>
      <c r="G6472" s="3" t="s">
        <v>62</v>
      </c>
      <c r="I6472" s="3" t="s">
        <v>61</v>
      </c>
      <c r="J6472" s="3" t="s">
        <v>62</v>
      </c>
      <c r="K6472" s="3" t="s">
        <v>63</v>
      </c>
      <c r="L6472" s="2" t="s">
        <v>28750</v>
      </c>
      <c r="M6472" s="2" t="s">
        <v>62385</v>
      </c>
      <c r="N6472" s="3" t="s">
        <v>419</v>
      </c>
      <c r="P6472" s="3" t="s">
        <v>110</v>
      </c>
      <c r="Q6472" s="2" t="s">
        <v>3802</v>
      </c>
      <c r="R6472" s="3" t="s">
        <v>66</v>
      </c>
      <c r="S6472" s="4">
        <v>32</v>
      </c>
      <c r="T6472" s="4">
        <v>60</v>
      </c>
      <c r="U6472" s="5" t="s">
        <v>62386</v>
      </c>
      <c r="V6472" s="5" t="s">
        <v>6978</v>
      </c>
      <c r="W6472" s="5" t="s">
        <v>67</v>
      </c>
      <c r="X6472" s="5" t="s">
        <v>67</v>
      </c>
      <c r="Y6472" s="4">
        <v>351</v>
      </c>
      <c r="Z6472" s="4">
        <v>36</v>
      </c>
      <c r="AA6472" s="4">
        <v>61</v>
      </c>
      <c r="AB6472" s="4">
        <v>3</v>
      </c>
      <c r="AC6472" s="4">
        <v>15</v>
      </c>
      <c r="AD6472" s="4">
        <v>106</v>
      </c>
      <c r="AE6472" s="4">
        <v>133</v>
      </c>
      <c r="AF6472" s="4">
        <v>2</v>
      </c>
      <c r="AG6472" s="4">
        <v>7</v>
      </c>
      <c r="AH6472" s="4">
        <v>87</v>
      </c>
      <c r="AI6472" s="4">
        <v>102</v>
      </c>
      <c r="AJ6472" s="4">
        <v>20</v>
      </c>
      <c r="AK6472" s="4">
        <v>28</v>
      </c>
      <c r="AL6472" s="4">
        <v>51</v>
      </c>
      <c r="AM6472" s="4">
        <v>56</v>
      </c>
      <c r="AN6472" s="4">
        <v>0</v>
      </c>
      <c r="AO6472" s="4">
        <v>0</v>
      </c>
      <c r="AP6472" s="4">
        <v>27</v>
      </c>
      <c r="AQ6472" s="4">
        <v>40</v>
      </c>
      <c r="AR6472" s="3" t="s">
        <v>62</v>
      </c>
      <c r="AS6472" s="3" t="s">
        <v>62</v>
      </c>
      <c r="AT6472" s="3" t="s">
        <v>61</v>
      </c>
      <c r="AU6472" s="6" t="str">
        <f>HYPERLINK("http://catalog.hathitrust.org/Record/001435091","HathiTrust Record")</f>
        <v>HathiTrust Record</v>
      </c>
      <c r="AV6472" s="6" t="str">
        <f>HYPERLINK("http://mcgill.on.worldcat.org/oclc/254618","Catalog Record")</f>
        <v>Catalog Record</v>
      </c>
      <c r="AW6472" s="6" t="str">
        <f>HYPERLINK("http://www.worldcat.org/oclc/254618","WorldCat Record")</f>
        <v>WorldCat Record</v>
      </c>
      <c r="AX6472" s="3" t="s">
        <v>62387</v>
      </c>
      <c r="AY6472" s="3" t="s">
        <v>62388</v>
      </c>
      <c r="AZ6472" s="3" t="s">
        <v>62389</v>
      </c>
      <c r="BA6472" s="3" t="s">
        <v>62389</v>
      </c>
      <c r="BB6472" s="3" t="s">
        <v>62390</v>
      </c>
      <c r="BC6472" s="3" t="s">
        <v>142</v>
      </c>
      <c r="BD6472" s="3" t="s">
        <v>68</v>
      </c>
      <c r="BE6472" s="3" t="s">
        <v>62391</v>
      </c>
      <c r="BF6472" s="3" t="s">
        <v>62390</v>
      </c>
      <c r="BG6472" s="3" t="s">
        <v>62392</v>
      </c>
    </row>
    <row r="6473" spans="1:59" ht="57" x14ac:dyDescent="0.45">
      <c r="A6473" s="2" t="s">
        <v>59</v>
      </c>
      <c r="B6473" s="2" t="s">
        <v>412</v>
      </c>
      <c r="C6473" s="2" t="s">
        <v>62382</v>
      </c>
      <c r="D6473" s="2" t="s">
        <v>62383</v>
      </c>
      <c r="E6473" s="2" t="s">
        <v>62384</v>
      </c>
      <c r="G6473" s="3" t="s">
        <v>62</v>
      </c>
      <c r="I6473" s="3" t="s">
        <v>61</v>
      </c>
      <c r="J6473" s="3" t="s">
        <v>62</v>
      </c>
      <c r="K6473" s="3" t="s">
        <v>63</v>
      </c>
      <c r="L6473" s="2" t="s">
        <v>28750</v>
      </c>
      <c r="M6473" s="2" t="s">
        <v>62385</v>
      </c>
      <c r="N6473" s="3" t="s">
        <v>419</v>
      </c>
      <c r="P6473" s="3" t="s">
        <v>110</v>
      </c>
      <c r="Q6473" s="2" t="s">
        <v>3802</v>
      </c>
      <c r="R6473" s="3" t="s">
        <v>66</v>
      </c>
      <c r="S6473" s="4">
        <v>3</v>
      </c>
      <c r="T6473" s="4">
        <v>60</v>
      </c>
      <c r="U6473" s="5" t="s">
        <v>6978</v>
      </c>
      <c r="V6473" s="5" t="s">
        <v>6978</v>
      </c>
      <c r="W6473" s="5" t="s">
        <v>67</v>
      </c>
      <c r="X6473" s="5" t="s">
        <v>67</v>
      </c>
      <c r="Y6473" s="4">
        <v>351</v>
      </c>
      <c r="Z6473" s="4">
        <v>36</v>
      </c>
      <c r="AA6473" s="4">
        <v>61</v>
      </c>
      <c r="AB6473" s="4">
        <v>3</v>
      </c>
      <c r="AC6473" s="4">
        <v>15</v>
      </c>
      <c r="AD6473" s="4">
        <v>106</v>
      </c>
      <c r="AE6473" s="4">
        <v>133</v>
      </c>
      <c r="AF6473" s="4">
        <v>2</v>
      </c>
      <c r="AG6473" s="4">
        <v>7</v>
      </c>
      <c r="AH6473" s="4">
        <v>87</v>
      </c>
      <c r="AI6473" s="4">
        <v>102</v>
      </c>
      <c r="AJ6473" s="4">
        <v>20</v>
      </c>
      <c r="AK6473" s="4">
        <v>28</v>
      </c>
      <c r="AL6473" s="4">
        <v>51</v>
      </c>
      <c r="AM6473" s="4">
        <v>56</v>
      </c>
      <c r="AN6473" s="4">
        <v>0</v>
      </c>
      <c r="AO6473" s="4">
        <v>0</v>
      </c>
      <c r="AP6473" s="4">
        <v>27</v>
      </c>
      <c r="AQ6473" s="4">
        <v>40</v>
      </c>
      <c r="AR6473" s="3" t="s">
        <v>62</v>
      </c>
      <c r="AS6473" s="3" t="s">
        <v>62</v>
      </c>
      <c r="AT6473" s="3" t="s">
        <v>61</v>
      </c>
      <c r="AU6473" s="6" t="str">
        <f>HYPERLINK("http://catalog.hathitrust.org/Record/001435091","HathiTrust Record")</f>
        <v>HathiTrust Record</v>
      </c>
      <c r="AV6473" s="6" t="str">
        <f>HYPERLINK("http://mcgill.on.worldcat.org/oclc/254618","Catalog Record")</f>
        <v>Catalog Record</v>
      </c>
      <c r="AW6473" s="6" t="str">
        <f>HYPERLINK("http://www.worldcat.org/oclc/254618","WorldCat Record")</f>
        <v>WorldCat Record</v>
      </c>
      <c r="AX6473" s="3" t="s">
        <v>62387</v>
      </c>
      <c r="AY6473" s="3" t="s">
        <v>62388</v>
      </c>
      <c r="AZ6473" s="3" t="s">
        <v>62389</v>
      </c>
      <c r="BA6473" s="3" t="s">
        <v>62389</v>
      </c>
      <c r="BB6473" s="3" t="s">
        <v>62393</v>
      </c>
      <c r="BC6473" s="3" t="s">
        <v>142</v>
      </c>
      <c r="BD6473" s="3" t="s">
        <v>68</v>
      </c>
      <c r="BE6473" s="3" t="s">
        <v>62391</v>
      </c>
      <c r="BF6473" s="3" t="s">
        <v>62393</v>
      </c>
      <c r="BG6473" s="3" t="s">
        <v>62394</v>
      </c>
    </row>
    <row r="6474" spans="1:59" ht="57" x14ac:dyDescent="0.45">
      <c r="A6474" s="2" t="s">
        <v>59</v>
      </c>
      <c r="B6474" s="2" t="s">
        <v>60</v>
      </c>
      <c r="C6474" s="2" t="s">
        <v>62382</v>
      </c>
      <c r="D6474" s="2" t="s">
        <v>62383</v>
      </c>
      <c r="E6474" s="2" t="s">
        <v>62384</v>
      </c>
      <c r="G6474" s="3" t="s">
        <v>62</v>
      </c>
      <c r="I6474" s="3" t="s">
        <v>61</v>
      </c>
      <c r="J6474" s="3" t="s">
        <v>62</v>
      </c>
      <c r="K6474" s="3" t="s">
        <v>63</v>
      </c>
      <c r="L6474" s="2" t="s">
        <v>28750</v>
      </c>
      <c r="M6474" s="2" t="s">
        <v>62385</v>
      </c>
      <c r="N6474" s="3" t="s">
        <v>419</v>
      </c>
      <c r="P6474" s="3" t="s">
        <v>110</v>
      </c>
      <c r="Q6474" s="2" t="s">
        <v>3802</v>
      </c>
      <c r="R6474" s="3" t="s">
        <v>66</v>
      </c>
      <c r="S6474" s="4">
        <v>25</v>
      </c>
      <c r="T6474" s="4">
        <v>60</v>
      </c>
      <c r="U6474" s="5" t="s">
        <v>62395</v>
      </c>
      <c r="V6474" s="5" t="s">
        <v>6978</v>
      </c>
      <c r="W6474" s="5" t="s">
        <v>67</v>
      </c>
      <c r="X6474" s="5" t="s">
        <v>67</v>
      </c>
      <c r="Y6474" s="4">
        <v>351</v>
      </c>
      <c r="Z6474" s="4">
        <v>36</v>
      </c>
      <c r="AA6474" s="4">
        <v>61</v>
      </c>
      <c r="AB6474" s="4">
        <v>3</v>
      </c>
      <c r="AC6474" s="4">
        <v>15</v>
      </c>
      <c r="AD6474" s="4">
        <v>106</v>
      </c>
      <c r="AE6474" s="4">
        <v>133</v>
      </c>
      <c r="AF6474" s="4">
        <v>2</v>
      </c>
      <c r="AG6474" s="4">
        <v>7</v>
      </c>
      <c r="AH6474" s="4">
        <v>87</v>
      </c>
      <c r="AI6474" s="4">
        <v>102</v>
      </c>
      <c r="AJ6474" s="4">
        <v>20</v>
      </c>
      <c r="AK6474" s="4">
        <v>28</v>
      </c>
      <c r="AL6474" s="4">
        <v>51</v>
      </c>
      <c r="AM6474" s="4">
        <v>56</v>
      </c>
      <c r="AN6474" s="4">
        <v>0</v>
      </c>
      <c r="AO6474" s="4">
        <v>0</v>
      </c>
      <c r="AP6474" s="4">
        <v>27</v>
      </c>
      <c r="AQ6474" s="4">
        <v>40</v>
      </c>
      <c r="AR6474" s="3" t="s">
        <v>62</v>
      </c>
      <c r="AS6474" s="3" t="s">
        <v>62</v>
      </c>
      <c r="AT6474" s="3" t="s">
        <v>61</v>
      </c>
      <c r="AU6474" s="6" t="str">
        <f>HYPERLINK("http://catalog.hathitrust.org/Record/001435091","HathiTrust Record")</f>
        <v>HathiTrust Record</v>
      </c>
      <c r="AV6474" s="6" t="str">
        <f>HYPERLINK("http://mcgill.on.worldcat.org/oclc/254618","Catalog Record")</f>
        <v>Catalog Record</v>
      </c>
      <c r="AW6474" s="6" t="str">
        <f>HYPERLINK("http://www.worldcat.org/oclc/254618","WorldCat Record")</f>
        <v>WorldCat Record</v>
      </c>
      <c r="AX6474" s="3" t="s">
        <v>62387</v>
      </c>
      <c r="AY6474" s="3" t="s">
        <v>62388</v>
      </c>
      <c r="AZ6474" s="3" t="s">
        <v>62389</v>
      </c>
      <c r="BA6474" s="3" t="s">
        <v>62389</v>
      </c>
      <c r="BB6474" s="3" t="s">
        <v>62396</v>
      </c>
      <c r="BC6474" s="3" t="s">
        <v>142</v>
      </c>
      <c r="BD6474" s="3" t="s">
        <v>68</v>
      </c>
      <c r="BE6474" s="3" t="s">
        <v>62391</v>
      </c>
      <c r="BF6474" s="3" t="s">
        <v>62396</v>
      </c>
      <c r="BG6474" s="3" t="s">
        <v>62397</v>
      </c>
    </row>
    <row r="6475" spans="1:59" ht="57" x14ac:dyDescent="0.45">
      <c r="A6475" s="2" t="s">
        <v>59</v>
      </c>
      <c r="B6475" s="2" t="s">
        <v>60</v>
      </c>
      <c r="C6475" s="2" t="s">
        <v>62398</v>
      </c>
      <c r="D6475" s="2" t="s">
        <v>62399</v>
      </c>
      <c r="E6475" s="2" t="s">
        <v>62400</v>
      </c>
      <c r="G6475" s="3" t="s">
        <v>62</v>
      </c>
      <c r="I6475" s="3" t="s">
        <v>62</v>
      </c>
      <c r="J6475" s="3" t="s">
        <v>62</v>
      </c>
      <c r="K6475" s="3" t="s">
        <v>63</v>
      </c>
      <c r="L6475" s="2" t="s">
        <v>62401</v>
      </c>
      <c r="M6475" s="2" t="s">
        <v>9911</v>
      </c>
      <c r="N6475" s="3" t="s">
        <v>208</v>
      </c>
      <c r="O6475" s="2" t="s">
        <v>1748</v>
      </c>
      <c r="P6475" s="3" t="s">
        <v>65</v>
      </c>
      <c r="Q6475" s="2" t="s">
        <v>62402</v>
      </c>
      <c r="R6475" s="3" t="s">
        <v>66</v>
      </c>
      <c r="S6475" s="4">
        <v>1</v>
      </c>
      <c r="T6475" s="4">
        <v>1</v>
      </c>
      <c r="U6475" s="5" t="s">
        <v>7667</v>
      </c>
      <c r="V6475" s="5" t="s">
        <v>7667</v>
      </c>
      <c r="W6475" s="5" t="s">
        <v>67</v>
      </c>
      <c r="X6475" s="5" t="s">
        <v>67</v>
      </c>
      <c r="Y6475" s="4">
        <v>70</v>
      </c>
      <c r="Z6475" s="4">
        <v>5</v>
      </c>
      <c r="AA6475" s="4">
        <v>16</v>
      </c>
      <c r="AB6475" s="4">
        <v>1</v>
      </c>
      <c r="AC6475" s="4">
        <v>4</v>
      </c>
      <c r="AD6475" s="4">
        <v>38</v>
      </c>
      <c r="AE6475" s="4">
        <v>52</v>
      </c>
      <c r="AF6475" s="4">
        <v>0</v>
      </c>
      <c r="AG6475" s="4">
        <v>0</v>
      </c>
      <c r="AH6475" s="4">
        <v>35</v>
      </c>
      <c r="AI6475" s="4">
        <v>45</v>
      </c>
      <c r="AJ6475" s="4">
        <v>3</v>
      </c>
      <c r="AK6475" s="4">
        <v>8</v>
      </c>
      <c r="AL6475" s="4">
        <v>24</v>
      </c>
      <c r="AM6475" s="4">
        <v>27</v>
      </c>
      <c r="AN6475" s="4">
        <v>0</v>
      </c>
      <c r="AO6475" s="4">
        <v>0</v>
      </c>
      <c r="AP6475" s="4">
        <v>4</v>
      </c>
      <c r="AQ6475" s="4">
        <v>12</v>
      </c>
      <c r="AR6475" s="3" t="s">
        <v>62</v>
      </c>
      <c r="AS6475" s="3" t="s">
        <v>62</v>
      </c>
      <c r="AT6475" s="3" t="s">
        <v>62</v>
      </c>
      <c r="AV6475" s="6" t="str">
        <f>HYPERLINK("http://mcgill.on.worldcat.org/oclc/894201804","Catalog Record")</f>
        <v>Catalog Record</v>
      </c>
      <c r="AW6475" s="6" t="str">
        <f>HYPERLINK("http://www.worldcat.org/oclc/894201804","WorldCat Record")</f>
        <v>WorldCat Record</v>
      </c>
      <c r="AX6475" s="3" t="s">
        <v>62403</v>
      </c>
      <c r="AY6475" s="3" t="s">
        <v>62404</v>
      </c>
      <c r="AZ6475" s="3" t="s">
        <v>62405</v>
      </c>
      <c r="BA6475" s="3" t="s">
        <v>62405</v>
      </c>
      <c r="BB6475" s="3" t="s">
        <v>62406</v>
      </c>
      <c r="BC6475" s="3" t="s">
        <v>142</v>
      </c>
      <c r="BD6475" s="3" t="s">
        <v>68</v>
      </c>
      <c r="BE6475" s="3" t="s">
        <v>62407</v>
      </c>
      <c r="BF6475" s="3" t="s">
        <v>62406</v>
      </c>
      <c r="BG6475" s="3" t="s">
        <v>62408</v>
      </c>
    </row>
    <row r="6476" spans="1:59" ht="57" x14ac:dyDescent="0.45">
      <c r="A6476" s="2" t="s">
        <v>59</v>
      </c>
      <c r="B6476" s="2" t="s">
        <v>60</v>
      </c>
      <c r="C6476" s="2" t="s">
        <v>62409</v>
      </c>
      <c r="D6476" s="2" t="s">
        <v>62410</v>
      </c>
      <c r="E6476" s="2" t="s">
        <v>62411</v>
      </c>
      <c r="G6476" s="3" t="s">
        <v>62</v>
      </c>
      <c r="I6476" s="3" t="s">
        <v>62</v>
      </c>
      <c r="J6476" s="3" t="s">
        <v>62</v>
      </c>
      <c r="K6476" s="3" t="s">
        <v>63</v>
      </c>
      <c r="M6476" s="2" t="s">
        <v>29645</v>
      </c>
      <c r="N6476" s="3" t="s">
        <v>1688</v>
      </c>
      <c r="P6476" s="3" t="s">
        <v>65</v>
      </c>
      <c r="Q6476" s="2" t="s">
        <v>10572</v>
      </c>
      <c r="R6476" s="3" t="s">
        <v>66</v>
      </c>
      <c r="S6476" s="4">
        <v>0</v>
      </c>
      <c r="T6476" s="4">
        <v>0</v>
      </c>
      <c r="W6476" s="5" t="s">
        <v>67</v>
      </c>
      <c r="X6476" s="5" t="s">
        <v>67</v>
      </c>
      <c r="Y6476" s="4">
        <v>57</v>
      </c>
      <c r="Z6476" s="4">
        <v>6</v>
      </c>
      <c r="AA6476" s="4">
        <v>6</v>
      </c>
      <c r="AB6476" s="4">
        <v>1</v>
      </c>
      <c r="AC6476" s="4">
        <v>1</v>
      </c>
      <c r="AD6476" s="4">
        <v>17</v>
      </c>
      <c r="AE6476" s="4">
        <v>17</v>
      </c>
      <c r="AF6476" s="4">
        <v>0</v>
      </c>
      <c r="AG6476" s="4">
        <v>0</v>
      </c>
      <c r="AH6476" s="4">
        <v>17</v>
      </c>
      <c r="AI6476" s="4">
        <v>17</v>
      </c>
      <c r="AJ6476" s="4">
        <v>4</v>
      </c>
      <c r="AK6476" s="4">
        <v>4</v>
      </c>
      <c r="AL6476" s="4">
        <v>10</v>
      </c>
      <c r="AM6476" s="4">
        <v>10</v>
      </c>
      <c r="AN6476" s="4">
        <v>0</v>
      </c>
      <c r="AO6476" s="4">
        <v>0</v>
      </c>
      <c r="AP6476" s="4">
        <v>4</v>
      </c>
      <c r="AQ6476" s="4">
        <v>4</v>
      </c>
      <c r="AR6476" s="3" t="s">
        <v>62</v>
      </c>
      <c r="AS6476" s="3" t="s">
        <v>62</v>
      </c>
      <c r="AT6476" s="3" t="s">
        <v>62</v>
      </c>
      <c r="AV6476" s="6" t="str">
        <f>HYPERLINK("http://mcgill.on.worldcat.org/oclc/875771226","Catalog Record")</f>
        <v>Catalog Record</v>
      </c>
      <c r="AW6476" s="6" t="str">
        <f>HYPERLINK("http://www.worldcat.org/oclc/875771226","WorldCat Record")</f>
        <v>WorldCat Record</v>
      </c>
      <c r="AX6476" s="3" t="s">
        <v>62412</v>
      </c>
      <c r="AY6476" s="3" t="s">
        <v>62413</v>
      </c>
      <c r="AZ6476" s="3" t="s">
        <v>62414</v>
      </c>
      <c r="BA6476" s="3" t="s">
        <v>62414</v>
      </c>
      <c r="BB6476" s="3" t="s">
        <v>62415</v>
      </c>
      <c r="BC6476" s="3" t="s">
        <v>142</v>
      </c>
      <c r="BD6476" s="3" t="s">
        <v>68</v>
      </c>
      <c r="BE6476" s="3" t="s">
        <v>62416</v>
      </c>
      <c r="BF6476" s="3" t="s">
        <v>62415</v>
      </c>
      <c r="BG6476" s="3" t="s">
        <v>62417</v>
      </c>
    </row>
    <row r="6477" spans="1:59" ht="57" x14ac:dyDescent="0.45">
      <c r="A6477" s="2" t="s">
        <v>59</v>
      </c>
      <c r="B6477" s="2" t="s">
        <v>60</v>
      </c>
      <c r="C6477" s="2" t="s">
        <v>62418</v>
      </c>
      <c r="D6477" s="2" t="s">
        <v>62419</v>
      </c>
      <c r="E6477" s="2" t="s">
        <v>62420</v>
      </c>
      <c r="G6477" s="3" t="s">
        <v>62</v>
      </c>
      <c r="I6477" s="3" t="s">
        <v>62</v>
      </c>
      <c r="J6477" s="3" t="s">
        <v>62</v>
      </c>
      <c r="K6477" s="3" t="s">
        <v>63</v>
      </c>
      <c r="M6477" s="2" t="s">
        <v>62421</v>
      </c>
      <c r="N6477" s="3" t="s">
        <v>1478</v>
      </c>
      <c r="P6477" s="3" t="s">
        <v>65</v>
      </c>
      <c r="Q6477" s="2" t="s">
        <v>62422</v>
      </c>
      <c r="R6477" s="3" t="s">
        <v>66</v>
      </c>
      <c r="S6477" s="4">
        <v>47</v>
      </c>
      <c r="T6477" s="4">
        <v>47</v>
      </c>
      <c r="U6477" s="5" t="s">
        <v>10474</v>
      </c>
      <c r="V6477" s="5" t="s">
        <v>10474</v>
      </c>
      <c r="W6477" s="5" t="s">
        <v>67</v>
      </c>
      <c r="X6477" s="5" t="s">
        <v>67</v>
      </c>
      <c r="Y6477" s="4">
        <v>322</v>
      </c>
      <c r="Z6477" s="4">
        <v>19</v>
      </c>
      <c r="AA6477" s="4">
        <v>31</v>
      </c>
      <c r="AB6477" s="4">
        <v>1</v>
      </c>
      <c r="AC6477" s="4">
        <v>9</v>
      </c>
      <c r="AD6477" s="4">
        <v>94</v>
      </c>
      <c r="AE6477" s="4">
        <v>116</v>
      </c>
      <c r="AF6477" s="4">
        <v>0</v>
      </c>
      <c r="AG6477" s="4">
        <v>4</v>
      </c>
      <c r="AH6477" s="4">
        <v>84</v>
      </c>
      <c r="AI6477" s="4">
        <v>101</v>
      </c>
      <c r="AJ6477" s="4">
        <v>14</v>
      </c>
      <c r="AK6477" s="4">
        <v>18</v>
      </c>
      <c r="AL6477" s="4">
        <v>49</v>
      </c>
      <c r="AM6477" s="4">
        <v>58</v>
      </c>
      <c r="AN6477" s="4">
        <v>0</v>
      </c>
      <c r="AO6477" s="4">
        <v>0</v>
      </c>
      <c r="AP6477" s="4">
        <v>17</v>
      </c>
      <c r="AQ6477" s="4">
        <v>22</v>
      </c>
      <c r="AR6477" s="3" t="s">
        <v>62</v>
      </c>
      <c r="AS6477" s="3" t="s">
        <v>62</v>
      </c>
      <c r="AT6477" s="3" t="s">
        <v>62</v>
      </c>
      <c r="AV6477" s="6" t="str">
        <f>HYPERLINK("http://mcgill.on.worldcat.org/oclc/32625784","Catalog Record")</f>
        <v>Catalog Record</v>
      </c>
      <c r="AW6477" s="6" t="str">
        <f>HYPERLINK("http://www.worldcat.org/oclc/32625784","WorldCat Record")</f>
        <v>WorldCat Record</v>
      </c>
      <c r="AX6477" s="3" t="s">
        <v>62423</v>
      </c>
      <c r="AY6477" s="3" t="s">
        <v>62424</v>
      </c>
      <c r="AZ6477" s="3" t="s">
        <v>62425</v>
      </c>
      <c r="BA6477" s="3" t="s">
        <v>62425</v>
      </c>
      <c r="BB6477" s="3" t="s">
        <v>62426</v>
      </c>
      <c r="BC6477" s="3" t="s">
        <v>142</v>
      </c>
      <c r="BD6477" s="3" t="s">
        <v>68</v>
      </c>
      <c r="BE6477" s="3" t="s">
        <v>62427</v>
      </c>
      <c r="BF6477" s="3" t="s">
        <v>62426</v>
      </c>
      <c r="BG6477" s="3" t="s">
        <v>62428</v>
      </c>
    </row>
    <row r="6478" spans="1:59" ht="57" x14ac:dyDescent="0.45">
      <c r="A6478" s="2" t="s">
        <v>59</v>
      </c>
      <c r="B6478" s="2" t="s">
        <v>60</v>
      </c>
      <c r="C6478" s="2" t="s">
        <v>62429</v>
      </c>
      <c r="D6478" s="2" t="s">
        <v>62430</v>
      </c>
      <c r="E6478" s="2" t="s">
        <v>62431</v>
      </c>
      <c r="G6478" s="3" t="s">
        <v>62</v>
      </c>
      <c r="I6478" s="3" t="s">
        <v>62</v>
      </c>
      <c r="J6478" s="3" t="s">
        <v>62</v>
      </c>
      <c r="K6478" s="3" t="s">
        <v>63</v>
      </c>
      <c r="L6478" s="2" t="s">
        <v>35002</v>
      </c>
      <c r="M6478" s="2" t="s">
        <v>5214</v>
      </c>
      <c r="N6478" s="3" t="s">
        <v>945</v>
      </c>
      <c r="P6478" s="3" t="s">
        <v>65</v>
      </c>
      <c r="Q6478" s="2" t="s">
        <v>62432</v>
      </c>
      <c r="R6478" s="3" t="s">
        <v>66</v>
      </c>
      <c r="S6478" s="4">
        <v>9</v>
      </c>
      <c r="T6478" s="4">
        <v>9</v>
      </c>
      <c r="U6478" s="5" t="s">
        <v>16493</v>
      </c>
      <c r="V6478" s="5" t="s">
        <v>16493</v>
      </c>
      <c r="W6478" s="5" t="s">
        <v>67</v>
      </c>
      <c r="X6478" s="5" t="s">
        <v>67</v>
      </c>
      <c r="Y6478" s="4">
        <v>331</v>
      </c>
      <c r="Z6478" s="4">
        <v>27</v>
      </c>
      <c r="AA6478" s="4">
        <v>27</v>
      </c>
      <c r="AB6478" s="4">
        <v>1</v>
      </c>
      <c r="AC6478" s="4">
        <v>1</v>
      </c>
      <c r="AD6478" s="4">
        <v>100</v>
      </c>
      <c r="AE6478" s="4">
        <v>100</v>
      </c>
      <c r="AF6478" s="4">
        <v>0</v>
      </c>
      <c r="AG6478" s="4">
        <v>0</v>
      </c>
      <c r="AH6478" s="4">
        <v>87</v>
      </c>
      <c r="AI6478" s="4">
        <v>87</v>
      </c>
      <c r="AJ6478" s="4">
        <v>17</v>
      </c>
      <c r="AK6478" s="4">
        <v>17</v>
      </c>
      <c r="AL6478" s="4">
        <v>47</v>
      </c>
      <c r="AM6478" s="4">
        <v>47</v>
      </c>
      <c r="AN6478" s="4">
        <v>0</v>
      </c>
      <c r="AO6478" s="4">
        <v>0</v>
      </c>
      <c r="AP6478" s="4">
        <v>22</v>
      </c>
      <c r="AQ6478" s="4">
        <v>22</v>
      </c>
      <c r="AR6478" s="3" t="s">
        <v>62</v>
      </c>
      <c r="AS6478" s="3" t="s">
        <v>62</v>
      </c>
      <c r="AT6478" s="3" t="s">
        <v>62</v>
      </c>
      <c r="AV6478" s="6" t="str">
        <f>HYPERLINK("http://mcgill.on.worldcat.org/oclc/123079229","Catalog Record")</f>
        <v>Catalog Record</v>
      </c>
      <c r="AW6478" s="6" t="str">
        <f>HYPERLINK("http://www.worldcat.org/oclc/123079229","WorldCat Record")</f>
        <v>WorldCat Record</v>
      </c>
      <c r="AX6478" s="3" t="s">
        <v>62433</v>
      </c>
      <c r="AY6478" s="3" t="s">
        <v>62434</v>
      </c>
      <c r="AZ6478" s="3" t="s">
        <v>62435</v>
      </c>
      <c r="BA6478" s="3" t="s">
        <v>62435</v>
      </c>
      <c r="BB6478" s="3" t="s">
        <v>62436</v>
      </c>
      <c r="BC6478" s="3" t="s">
        <v>142</v>
      </c>
      <c r="BD6478" s="3" t="s">
        <v>68</v>
      </c>
      <c r="BE6478" s="3" t="s">
        <v>62437</v>
      </c>
      <c r="BF6478" s="3" t="s">
        <v>62436</v>
      </c>
      <c r="BG6478" s="3" t="s">
        <v>62438</v>
      </c>
    </row>
    <row r="6479" spans="1:59" ht="57" x14ac:dyDescent="0.45">
      <c r="A6479" s="2" t="s">
        <v>59</v>
      </c>
      <c r="B6479" s="2" t="s">
        <v>60</v>
      </c>
      <c r="C6479" s="2" t="s">
        <v>62439</v>
      </c>
      <c r="D6479" s="2" t="s">
        <v>62440</v>
      </c>
      <c r="E6479" s="2" t="s">
        <v>62441</v>
      </c>
      <c r="G6479" s="3" t="s">
        <v>62</v>
      </c>
      <c r="I6479" s="3" t="s">
        <v>62</v>
      </c>
      <c r="J6479" s="3" t="s">
        <v>62</v>
      </c>
      <c r="K6479" s="3" t="s">
        <v>63</v>
      </c>
      <c r="L6479" s="2" t="s">
        <v>2252</v>
      </c>
      <c r="M6479" s="2" t="s">
        <v>62442</v>
      </c>
      <c r="N6479" s="3" t="s">
        <v>106</v>
      </c>
      <c r="P6479" s="3" t="s">
        <v>65</v>
      </c>
      <c r="Q6479" s="2" t="s">
        <v>62443</v>
      </c>
      <c r="R6479" s="3" t="s">
        <v>66</v>
      </c>
      <c r="S6479" s="4">
        <v>40</v>
      </c>
      <c r="T6479" s="4">
        <v>40</v>
      </c>
      <c r="U6479" s="5" t="s">
        <v>1584</v>
      </c>
      <c r="V6479" s="5" t="s">
        <v>1584</v>
      </c>
      <c r="W6479" s="5" t="s">
        <v>67</v>
      </c>
      <c r="X6479" s="5" t="s">
        <v>67</v>
      </c>
      <c r="Y6479" s="4">
        <v>496</v>
      </c>
      <c r="Z6479" s="4">
        <v>35</v>
      </c>
      <c r="AA6479" s="4">
        <v>45</v>
      </c>
      <c r="AB6479" s="4">
        <v>3</v>
      </c>
      <c r="AC6479" s="4">
        <v>10</v>
      </c>
      <c r="AD6479" s="4">
        <v>123</v>
      </c>
      <c r="AE6479" s="4">
        <v>132</v>
      </c>
      <c r="AF6479" s="4">
        <v>2</v>
      </c>
      <c r="AG6479" s="4">
        <v>6</v>
      </c>
      <c r="AH6479" s="4">
        <v>104</v>
      </c>
      <c r="AI6479" s="4">
        <v>108</v>
      </c>
      <c r="AJ6479" s="4">
        <v>22</v>
      </c>
      <c r="AK6479" s="4">
        <v>26</v>
      </c>
      <c r="AL6479" s="4">
        <v>56</v>
      </c>
      <c r="AM6479" s="4">
        <v>59</v>
      </c>
      <c r="AN6479" s="4">
        <v>0</v>
      </c>
      <c r="AO6479" s="4">
        <v>0</v>
      </c>
      <c r="AP6479" s="4">
        <v>29</v>
      </c>
      <c r="AQ6479" s="4">
        <v>33</v>
      </c>
      <c r="AR6479" s="3" t="s">
        <v>62</v>
      </c>
      <c r="AS6479" s="3" t="s">
        <v>62</v>
      </c>
      <c r="AT6479" s="3" t="s">
        <v>62</v>
      </c>
      <c r="AV6479" s="6" t="str">
        <f>HYPERLINK("http://mcgill.on.worldcat.org/oclc/9323017","Catalog Record")</f>
        <v>Catalog Record</v>
      </c>
      <c r="AW6479" s="6" t="str">
        <f>HYPERLINK("http://www.worldcat.org/oclc/9323017","WorldCat Record")</f>
        <v>WorldCat Record</v>
      </c>
      <c r="AX6479" s="3" t="s">
        <v>62444</v>
      </c>
      <c r="AY6479" s="3" t="s">
        <v>62445</v>
      </c>
      <c r="AZ6479" s="3" t="s">
        <v>62446</v>
      </c>
      <c r="BA6479" s="3" t="s">
        <v>62446</v>
      </c>
      <c r="BB6479" s="3" t="s">
        <v>62447</v>
      </c>
      <c r="BC6479" s="3" t="s">
        <v>142</v>
      </c>
      <c r="BD6479" s="3" t="s">
        <v>68</v>
      </c>
      <c r="BE6479" s="3" t="s">
        <v>62448</v>
      </c>
      <c r="BF6479" s="3" t="s">
        <v>62447</v>
      </c>
      <c r="BG6479" s="3" t="s">
        <v>62449</v>
      </c>
    </row>
    <row r="6480" spans="1:59" ht="57" x14ac:dyDescent="0.45">
      <c r="A6480" s="2" t="s">
        <v>59</v>
      </c>
      <c r="B6480" s="2" t="s">
        <v>60</v>
      </c>
      <c r="C6480" s="2" t="s">
        <v>62450</v>
      </c>
      <c r="D6480" s="2" t="s">
        <v>62451</v>
      </c>
      <c r="E6480" s="2" t="s">
        <v>62452</v>
      </c>
      <c r="G6480" s="3" t="s">
        <v>62</v>
      </c>
      <c r="I6480" s="3" t="s">
        <v>61</v>
      </c>
      <c r="J6480" s="3" t="s">
        <v>62</v>
      </c>
      <c r="K6480" s="3" t="s">
        <v>63</v>
      </c>
      <c r="L6480" s="2" t="s">
        <v>2252</v>
      </c>
      <c r="M6480" s="2" t="s">
        <v>62453</v>
      </c>
      <c r="N6480" s="3" t="s">
        <v>793</v>
      </c>
      <c r="P6480" s="3" t="s">
        <v>65</v>
      </c>
      <c r="Q6480" s="2" t="s">
        <v>62454</v>
      </c>
      <c r="R6480" s="3" t="s">
        <v>66</v>
      </c>
      <c r="S6480" s="4">
        <v>29</v>
      </c>
      <c r="T6480" s="4">
        <v>42</v>
      </c>
      <c r="U6480" s="5" t="s">
        <v>19657</v>
      </c>
      <c r="V6480" s="5" t="s">
        <v>6356</v>
      </c>
      <c r="W6480" s="5" t="s">
        <v>67</v>
      </c>
      <c r="X6480" s="5" t="s">
        <v>67</v>
      </c>
      <c r="Y6480" s="4">
        <v>690</v>
      </c>
      <c r="Z6480" s="4">
        <v>35</v>
      </c>
      <c r="AA6480" s="4">
        <v>37</v>
      </c>
      <c r="AB6480" s="4">
        <v>3</v>
      </c>
      <c r="AC6480" s="4">
        <v>5</v>
      </c>
      <c r="AD6480" s="4">
        <v>127</v>
      </c>
      <c r="AE6480" s="4">
        <v>129</v>
      </c>
      <c r="AF6480" s="4">
        <v>2</v>
      </c>
      <c r="AG6480" s="4">
        <v>3</v>
      </c>
      <c r="AH6480" s="4">
        <v>105</v>
      </c>
      <c r="AI6480" s="4">
        <v>106</v>
      </c>
      <c r="AJ6480" s="4">
        <v>21</v>
      </c>
      <c r="AK6480" s="4">
        <v>22</v>
      </c>
      <c r="AL6480" s="4">
        <v>59</v>
      </c>
      <c r="AM6480" s="4">
        <v>59</v>
      </c>
      <c r="AN6480" s="4">
        <v>0</v>
      </c>
      <c r="AO6480" s="4">
        <v>0</v>
      </c>
      <c r="AP6480" s="4">
        <v>28</v>
      </c>
      <c r="AQ6480" s="4">
        <v>29</v>
      </c>
      <c r="AR6480" s="3" t="s">
        <v>62</v>
      </c>
      <c r="AS6480" s="3" t="s">
        <v>62</v>
      </c>
      <c r="AT6480" s="3" t="s">
        <v>62</v>
      </c>
      <c r="AV6480" s="6" t="str">
        <f>HYPERLINK("http://mcgill.on.worldcat.org/oclc/323868","Catalog Record")</f>
        <v>Catalog Record</v>
      </c>
      <c r="AW6480" s="6" t="str">
        <f>HYPERLINK("http://www.worldcat.org/oclc/323868","WorldCat Record")</f>
        <v>WorldCat Record</v>
      </c>
      <c r="AX6480" s="3" t="s">
        <v>62455</v>
      </c>
      <c r="AY6480" s="3" t="s">
        <v>62456</v>
      </c>
      <c r="AZ6480" s="3" t="s">
        <v>62457</v>
      </c>
      <c r="BA6480" s="3" t="s">
        <v>62457</v>
      </c>
      <c r="BB6480" s="3" t="s">
        <v>62458</v>
      </c>
      <c r="BC6480" s="3" t="s">
        <v>142</v>
      </c>
      <c r="BD6480" s="3" t="s">
        <v>68</v>
      </c>
      <c r="BE6480" s="3" t="s">
        <v>62459</v>
      </c>
      <c r="BF6480" s="3" t="s">
        <v>62458</v>
      </c>
      <c r="BG6480" s="3" t="s">
        <v>62460</v>
      </c>
    </row>
    <row r="6481" spans="1:59" ht="57" x14ac:dyDescent="0.45">
      <c r="A6481" s="2" t="s">
        <v>59</v>
      </c>
      <c r="B6481" s="2" t="s">
        <v>60</v>
      </c>
      <c r="C6481" s="2" t="s">
        <v>62450</v>
      </c>
      <c r="D6481" s="2" t="s">
        <v>62451</v>
      </c>
      <c r="E6481" s="2" t="s">
        <v>62452</v>
      </c>
      <c r="G6481" s="3" t="s">
        <v>62</v>
      </c>
      <c r="I6481" s="3" t="s">
        <v>61</v>
      </c>
      <c r="J6481" s="3" t="s">
        <v>62</v>
      </c>
      <c r="K6481" s="3" t="s">
        <v>63</v>
      </c>
      <c r="L6481" s="2" t="s">
        <v>2252</v>
      </c>
      <c r="M6481" s="2" t="s">
        <v>62453</v>
      </c>
      <c r="N6481" s="3" t="s">
        <v>793</v>
      </c>
      <c r="P6481" s="3" t="s">
        <v>65</v>
      </c>
      <c r="Q6481" s="2" t="s">
        <v>62454</v>
      </c>
      <c r="R6481" s="3" t="s">
        <v>66</v>
      </c>
      <c r="S6481" s="4">
        <v>13</v>
      </c>
      <c r="T6481" s="4">
        <v>42</v>
      </c>
      <c r="U6481" s="5" t="s">
        <v>6356</v>
      </c>
      <c r="V6481" s="5" t="s">
        <v>6356</v>
      </c>
      <c r="W6481" s="5" t="s">
        <v>67</v>
      </c>
      <c r="X6481" s="5" t="s">
        <v>67</v>
      </c>
      <c r="Y6481" s="4">
        <v>690</v>
      </c>
      <c r="Z6481" s="4">
        <v>35</v>
      </c>
      <c r="AA6481" s="4">
        <v>37</v>
      </c>
      <c r="AB6481" s="4">
        <v>3</v>
      </c>
      <c r="AC6481" s="4">
        <v>5</v>
      </c>
      <c r="AD6481" s="4">
        <v>127</v>
      </c>
      <c r="AE6481" s="4">
        <v>129</v>
      </c>
      <c r="AF6481" s="4">
        <v>2</v>
      </c>
      <c r="AG6481" s="4">
        <v>3</v>
      </c>
      <c r="AH6481" s="4">
        <v>105</v>
      </c>
      <c r="AI6481" s="4">
        <v>106</v>
      </c>
      <c r="AJ6481" s="4">
        <v>21</v>
      </c>
      <c r="AK6481" s="4">
        <v>22</v>
      </c>
      <c r="AL6481" s="4">
        <v>59</v>
      </c>
      <c r="AM6481" s="4">
        <v>59</v>
      </c>
      <c r="AN6481" s="4">
        <v>0</v>
      </c>
      <c r="AO6481" s="4">
        <v>0</v>
      </c>
      <c r="AP6481" s="4">
        <v>28</v>
      </c>
      <c r="AQ6481" s="4">
        <v>29</v>
      </c>
      <c r="AR6481" s="3" t="s">
        <v>62</v>
      </c>
      <c r="AS6481" s="3" t="s">
        <v>62</v>
      </c>
      <c r="AT6481" s="3" t="s">
        <v>62</v>
      </c>
      <c r="AV6481" s="6" t="str">
        <f>HYPERLINK("http://mcgill.on.worldcat.org/oclc/323868","Catalog Record")</f>
        <v>Catalog Record</v>
      </c>
      <c r="AW6481" s="6" t="str">
        <f>HYPERLINK("http://www.worldcat.org/oclc/323868","WorldCat Record")</f>
        <v>WorldCat Record</v>
      </c>
      <c r="AX6481" s="3" t="s">
        <v>62455</v>
      </c>
      <c r="AY6481" s="3" t="s">
        <v>62456</v>
      </c>
      <c r="AZ6481" s="3" t="s">
        <v>62457</v>
      </c>
      <c r="BA6481" s="3" t="s">
        <v>62457</v>
      </c>
      <c r="BB6481" s="3" t="s">
        <v>62461</v>
      </c>
      <c r="BC6481" s="3" t="s">
        <v>142</v>
      </c>
      <c r="BD6481" s="3" t="s">
        <v>68</v>
      </c>
      <c r="BE6481" s="3" t="s">
        <v>62459</v>
      </c>
      <c r="BF6481" s="3" t="s">
        <v>62461</v>
      </c>
      <c r="BG6481" s="3" t="s">
        <v>62462</v>
      </c>
    </row>
    <row r="6482" spans="1:59" ht="57" x14ac:dyDescent="0.45">
      <c r="A6482" s="2" t="s">
        <v>59</v>
      </c>
      <c r="B6482" s="2" t="s">
        <v>60</v>
      </c>
      <c r="C6482" s="2" t="s">
        <v>62463</v>
      </c>
      <c r="D6482" s="2" t="s">
        <v>62464</v>
      </c>
      <c r="E6482" s="2" t="s">
        <v>62465</v>
      </c>
      <c r="G6482" s="3" t="s">
        <v>62</v>
      </c>
      <c r="I6482" s="3" t="s">
        <v>62</v>
      </c>
      <c r="J6482" s="3" t="s">
        <v>62</v>
      </c>
      <c r="K6482" s="3" t="s">
        <v>63</v>
      </c>
      <c r="L6482" s="2" t="s">
        <v>53005</v>
      </c>
      <c r="M6482" s="2" t="s">
        <v>62466</v>
      </c>
      <c r="N6482" s="3" t="s">
        <v>970</v>
      </c>
      <c r="P6482" s="3" t="s">
        <v>65</v>
      </c>
      <c r="Q6482" s="2" t="s">
        <v>10908</v>
      </c>
      <c r="R6482" s="3" t="s">
        <v>66</v>
      </c>
      <c r="S6482" s="4">
        <v>7</v>
      </c>
      <c r="T6482" s="4">
        <v>7</v>
      </c>
      <c r="U6482" s="5" t="s">
        <v>16493</v>
      </c>
      <c r="V6482" s="5" t="s">
        <v>16493</v>
      </c>
      <c r="W6482" s="5" t="s">
        <v>67</v>
      </c>
      <c r="X6482" s="5" t="s">
        <v>67</v>
      </c>
      <c r="Y6482" s="4">
        <v>114</v>
      </c>
      <c r="Z6482" s="4">
        <v>10</v>
      </c>
      <c r="AA6482" s="4">
        <v>11</v>
      </c>
      <c r="AB6482" s="4">
        <v>2</v>
      </c>
      <c r="AC6482" s="4">
        <v>3</v>
      </c>
      <c r="AD6482" s="4">
        <v>35</v>
      </c>
      <c r="AE6482" s="4">
        <v>36</v>
      </c>
      <c r="AF6482" s="4">
        <v>1</v>
      </c>
      <c r="AG6482" s="4">
        <v>2</v>
      </c>
      <c r="AH6482" s="4">
        <v>30</v>
      </c>
      <c r="AI6482" s="4">
        <v>31</v>
      </c>
      <c r="AJ6482" s="4">
        <v>7</v>
      </c>
      <c r="AK6482" s="4">
        <v>8</v>
      </c>
      <c r="AL6482" s="4">
        <v>19</v>
      </c>
      <c r="AM6482" s="4">
        <v>19</v>
      </c>
      <c r="AN6482" s="4">
        <v>0</v>
      </c>
      <c r="AO6482" s="4">
        <v>0</v>
      </c>
      <c r="AP6482" s="4">
        <v>8</v>
      </c>
      <c r="AQ6482" s="4">
        <v>9</v>
      </c>
      <c r="AR6482" s="3" t="s">
        <v>62</v>
      </c>
      <c r="AS6482" s="3" t="s">
        <v>62</v>
      </c>
      <c r="AT6482" s="3" t="s">
        <v>61</v>
      </c>
      <c r="AU6482" s="6" t="str">
        <f>HYPERLINK("http://catalog.hathitrust.org/Record/007142715","HathiTrust Record")</f>
        <v>HathiTrust Record</v>
      </c>
      <c r="AV6482" s="6" t="str">
        <f>HYPERLINK("http://mcgill.on.worldcat.org/oclc/48570419","Catalog Record")</f>
        <v>Catalog Record</v>
      </c>
      <c r="AW6482" s="6" t="str">
        <f>HYPERLINK("http://www.worldcat.org/oclc/48570419","WorldCat Record")</f>
        <v>WorldCat Record</v>
      </c>
      <c r="AX6482" s="3" t="s">
        <v>62467</v>
      </c>
      <c r="AY6482" s="3" t="s">
        <v>62468</v>
      </c>
      <c r="AZ6482" s="3" t="s">
        <v>62469</v>
      </c>
      <c r="BA6482" s="3" t="s">
        <v>62469</v>
      </c>
      <c r="BB6482" s="3" t="s">
        <v>62470</v>
      </c>
      <c r="BC6482" s="3" t="s">
        <v>142</v>
      </c>
      <c r="BD6482" s="3" t="s">
        <v>68</v>
      </c>
      <c r="BE6482" s="3" t="s">
        <v>62471</v>
      </c>
      <c r="BF6482" s="3" t="s">
        <v>62470</v>
      </c>
      <c r="BG6482" s="3" t="s">
        <v>62472</v>
      </c>
    </row>
    <row r="6483" spans="1:59" ht="57" x14ac:dyDescent="0.45">
      <c r="A6483" s="2" t="s">
        <v>59</v>
      </c>
      <c r="B6483" s="2" t="s">
        <v>60</v>
      </c>
      <c r="C6483" s="2" t="s">
        <v>62473</v>
      </c>
      <c r="D6483" s="2" t="s">
        <v>62474</v>
      </c>
      <c r="E6483" s="2" t="s">
        <v>62475</v>
      </c>
      <c r="G6483" s="3" t="s">
        <v>62</v>
      </c>
      <c r="I6483" s="3" t="s">
        <v>62</v>
      </c>
      <c r="J6483" s="3" t="s">
        <v>61</v>
      </c>
      <c r="K6483" s="3" t="s">
        <v>63</v>
      </c>
      <c r="L6483" s="2" t="s">
        <v>62476</v>
      </c>
      <c r="M6483" s="2" t="s">
        <v>11875</v>
      </c>
      <c r="N6483" s="3" t="s">
        <v>894</v>
      </c>
      <c r="O6483" s="2" t="s">
        <v>3280</v>
      </c>
      <c r="P6483" s="3" t="s">
        <v>65</v>
      </c>
      <c r="Q6483" s="2" t="s">
        <v>29789</v>
      </c>
      <c r="R6483" s="3" t="s">
        <v>66</v>
      </c>
      <c r="S6483" s="4">
        <v>9</v>
      </c>
      <c r="T6483" s="4">
        <v>9</v>
      </c>
      <c r="U6483" s="5" t="s">
        <v>62477</v>
      </c>
      <c r="V6483" s="5" t="s">
        <v>62477</v>
      </c>
      <c r="W6483" s="5" t="s">
        <v>67</v>
      </c>
      <c r="X6483" s="5" t="s">
        <v>67</v>
      </c>
      <c r="Y6483" s="4">
        <v>94</v>
      </c>
      <c r="Z6483" s="4">
        <v>9</v>
      </c>
      <c r="AA6483" s="4">
        <v>33</v>
      </c>
      <c r="AB6483" s="4">
        <v>1</v>
      </c>
      <c r="AC6483" s="4">
        <v>5</v>
      </c>
      <c r="AD6483" s="4">
        <v>27</v>
      </c>
      <c r="AE6483" s="4">
        <v>76</v>
      </c>
      <c r="AF6483" s="4">
        <v>0</v>
      </c>
      <c r="AG6483" s="4">
        <v>2</v>
      </c>
      <c r="AH6483" s="4">
        <v>24</v>
      </c>
      <c r="AI6483" s="4">
        <v>67</v>
      </c>
      <c r="AJ6483" s="4">
        <v>8</v>
      </c>
      <c r="AK6483" s="4">
        <v>15</v>
      </c>
      <c r="AL6483" s="4">
        <v>14</v>
      </c>
      <c r="AM6483" s="4">
        <v>35</v>
      </c>
      <c r="AN6483" s="4">
        <v>0</v>
      </c>
      <c r="AO6483" s="4">
        <v>0</v>
      </c>
      <c r="AP6483" s="4">
        <v>8</v>
      </c>
      <c r="AQ6483" s="4">
        <v>17</v>
      </c>
      <c r="AR6483" s="3" t="s">
        <v>62</v>
      </c>
      <c r="AS6483" s="3" t="s">
        <v>62</v>
      </c>
      <c r="AT6483" s="3" t="s">
        <v>62</v>
      </c>
      <c r="AV6483" s="6" t="str">
        <f>HYPERLINK("http://mcgill.on.worldcat.org/oclc/704908411","Catalog Record")</f>
        <v>Catalog Record</v>
      </c>
      <c r="AW6483" s="6" t="str">
        <f>HYPERLINK("http://www.worldcat.org/oclc/704908411","WorldCat Record")</f>
        <v>WorldCat Record</v>
      </c>
      <c r="AX6483" s="3" t="s">
        <v>62478</v>
      </c>
      <c r="AY6483" s="3" t="s">
        <v>62479</v>
      </c>
      <c r="AZ6483" s="3" t="s">
        <v>62480</v>
      </c>
      <c r="BA6483" s="3" t="s">
        <v>62480</v>
      </c>
      <c r="BB6483" s="3" t="s">
        <v>62481</v>
      </c>
      <c r="BC6483" s="3" t="s">
        <v>142</v>
      </c>
      <c r="BD6483" s="3" t="s">
        <v>308</v>
      </c>
      <c r="BE6483" s="3" t="s">
        <v>62482</v>
      </c>
      <c r="BF6483" s="3" t="s">
        <v>62481</v>
      </c>
      <c r="BG6483" s="3" t="s">
        <v>62483</v>
      </c>
    </row>
    <row r="6484" spans="1:59" ht="57" x14ac:dyDescent="0.45">
      <c r="A6484" s="2" t="s">
        <v>59</v>
      </c>
      <c r="B6484" s="2" t="s">
        <v>60</v>
      </c>
      <c r="C6484" s="2" t="s">
        <v>62484</v>
      </c>
      <c r="D6484" s="2" t="s">
        <v>62485</v>
      </c>
      <c r="E6484" s="2" t="s">
        <v>62486</v>
      </c>
      <c r="G6484" s="3" t="s">
        <v>62</v>
      </c>
      <c r="I6484" s="3" t="s">
        <v>62</v>
      </c>
      <c r="J6484" s="3" t="s">
        <v>62</v>
      </c>
      <c r="K6484" s="3" t="s">
        <v>63</v>
      </c>
      <c r="L6484" s="2" t="s">
        <v>62487</v>
      </c>
      <c r="M6484" s="2" t="s">
        <v>51265</v>
      </c>
      <c r="N6484" s="3" t="s">
        <v>208</v>
      </c>
      <c r="P6484" s="3" t="s">
        <v>65</v>
      </c>
      <c r="Q6484" s="2" t="s">
        <v>62488</v>
      </c>
      <c r="R6484" s="3" t="s">
        <v>66</v>
      </c>
      <c r="S6484" s="4">
        <v>0</v>
      </c>
      <c r="T6484" s="4">
        <v>0</v>
      </c>
      <c r="W6484" s="5" t="s">
        <v>67</v>
      </c>
      <c r="X6484" s="5" t="s">
        <v>67</v>
      </c>
      <c r="Y6484" s="4">
        <v>43</v>
      </c>
      <c r="Z6484" s="4">
        <v>4</v>
      </c>
      <c r="AA6484" s="4">
        <v>72</v>
      </c>
      <c r="AB6484" s="4">
        <v>1</v>
      </c>
      <c r="AC6484" s="4">
        <v>14</v>
      </c>
      <c r="AD6484" s="4">
        <v>22</v>
      </c>
      <c r="AE6484" s="4">
        <v>102</v>
      </c>
      <c r="AF6484" s="4">
        <v>0</v>
      </c>
      <c r="AG6484" s="4">
        <v>8</v>
      </c>
      <c r="AH6484" s="4">
        <v>21</v>
      </c>
      <c r="AI6484" s="4">
        <v>71</v>
      </c>
      <c r="AJ6484" s="4">
        <v>2</v>
      </c>
      <c r="AK6484" s="4">
        <v>19</v>
      </c>
      <c r="AL6484" s="4">
        <v>14</v>
      </c>
      <c r="AM6484" s="4">
        <v>36</v>
      </c>
      <c r="AN6484" s="4">
        <v>0</v>
      </c>
      <c r="AO6484" s="4">
        <v>0</v>
      </c>
      <c r="AP6484" s="4">
        <v>2</v>
      </c>
      <c r="AQ6484" s="4">
        <v>38</v>
      </c>
      <c r="AR6484" s="3" t="s">
        <v>62</v>
      </c>
      <c r="AS6484" s="3" t="s">
        <v>62</v>
      </c>
      <c r="AT6484" s="3" t="s">
        <v>62</v>
      </c>
      <c r="AV6484" s="6" t="str">
        <f>HYPERLINK("http://mcgill.on.worldcat.org/oclc/913722479","Catalog Record")</f>
        <v>Catalog Record</v>
      </c>
      <c r="AW6484" s="6" t="str">
        <f>HYPERLINK("http://www.worldcat.org/oclc/913722479","WorldCat Record")</f>
        <v>WorldCat Record</v>
      </c>
      <c r="AX6484" s="3" t="s">
        <v>62489</v>
      </c>
      <c r="AY6484" s="3" t="s">
        <v>62490</v>
      </c>
      <c r="AZ6484" s="3" t="s">
        <v>62491</v>
      </c>
      <c r="BA6484" s="3" t="s">
        <v>62491</v>
      </c>
      <c r="BB6484" s="3" t="s">
        <v>62492</v>
      </c>
      <c r="BC6484" s="3" t="s">
        <v>142</v>
      </c>
      <c r="BD6484" s="3" t="s">
        <v>68</v>
      </c>
      <c r="BE6484" s="3" t="s">
        <v>62493</v>
      </c>
      <c r="BF6484" s="3" t="s">
        <v>62492</v>
      </c>
      <c r="BG6484" s="3" t="s">
        <v>62494</v>
      </c>
    </row>
    <row r="6485" spans="1:59" ht="57" x14ac:dyDescent="0.45">
      <c r="A6485" s="2" t="s">
        <v>59</v>
      </c>
      <c r="B6485" s="2" t="s">
        <v>60</v>
      </c>
      <c r="C6485" s="2" t="s">
        <v>62495</v>
      </c>
      <c r="D6485" s="2" t="s">
        <v>62496</v>
      </c>
      <c r="E6485" s="2" t="s">
        <v>62497</v>
      </c>
      <c r="G6485" s="3" t="s">
        <v>62</v>
      </c>
      <c r="I6485" s="3" t="s">
        <v>62</v>
      </c>
      <c r="J6485" s="3" t="s">
        <v>62</v>
      </c>
      <c r="K6485" s="3" t="s">
        <v>63</v>
      </c>
      <c r="L6485" s="2" t="s">
        <v>30810</v>
      </c>
      <c r="M6485" s="2" t="s">
        <v>62498</v>
      </c>
      <c r="N6485" s="3" t="s">
        <v>793</v>
      </c>
      <c r="P6485" s="3" t="s">
        <v>65</v>
      </c>
      <c r="Q6485" s="2" t="s">
        <v>30812</v>
      </c>
      <c r="R6485" s="3" t="s">
        <v>66</v>
      </c>
      <c r="S6485" s="4">
        <v>16</v>
      </c>
      <c r="T6485" s="4">
        <v>16</v>
      </c>
      <c r="U6485" s="5" t="s">
        <v>25292</v>
      </c>
      <c r="V6485" s="5" t="s">
        <v>25292</v>
      </c>
      <c r="W6485" s="5" t="s">
        <v>67</v>
      </c>
      <c r="X6485" s="5" t="s">
        <v>67</v>
      </c>
      <c r="Y6485" s="4">
        <v>603</v>
      </c>
      <c r="Z6485" s="4">
        <v>34</v>
      </c>
      <c r="AA6485" s="4">
        <v>39</v>
      </c>
      <c r="AB6485" s="4">
        <v>2</v>
      </c>
      <c r="AC6485" s="4">
        <v>6</v>
      </c>
      <c r="AD6485" s="4">
        <v>120</v>
      </c>
      <c r="AE6485" s="4">
        <v>123</v>
      </c>
      <c r="AF6485" s="4">
        <v>1</v>
      </c>
      <c r="AG6485" s="4">
        <v>4</v>
      </c>
      <c r="AH6485" s="4">
        <v>102</v>
      </c>
      <c r="AI6485" s="4">
        <v>103</v>
      </c>
      <c r="AJ6485" s="4">
        <v>21</v>
      </c>
      <c r="AK6485" s="4">
        <v>24</v>
      </c>
      <c r="AL6485" s="4">
        <v>56</v>
      </c>
      <c r="AM6485" s="4">
        <v>56</v>
      </c>
      <c r="AN6485" s="4">
        <v>0</v>
      </c>
      <c r="AO6485" s="4">
        <v>0</v>
      </c>
      <c r="AP6485" s="4">
        <v>28</v>
      </c>
      <c r="AQ6485" s="4">
        <v>30</v>
      </c>
      <c r="AR6485" s="3" t="s">
        <v>62</v>
      </c>
      <c r="AS6485" s="3" t="s">
        <v>62</v>
      </c>
      <c r="AT6485" s="3" t="s">
        <v>61</v>
      </c>
      <c r="AU6485" s="6" t="str">
        <f>HYPERLINK("http://catalog.hathitrust.org/Record/001898353","HathiTrust Record")</f>
        <v>HathiTrust Record</v>
      </c>
      <c r="AV6485" s="6" t="str">
        <f>HYPERLINK("http://mcgill.on.worldcat.org/oclc/380538","Catalog Record")</f>
        <v>Catalog Record</v>
      </c>
      <c r="AW6485" s="6" t="str">
        <f>HYPERLINK("http://www.worldcat.org/oclc/380538","WorldCat Record")</f>
        <v>WorldCat Record</v>
      </c>
      <c r="AX6485" s="3" t="s">
        <v>62499</v>
      </c>
      <c r="AY6485" s="3" t="s">
        <v>62500</v>
      </c>
      <c r="AZ6485" s="3" t="s">
        <v>62501</v>
      </c>
      <c r="BA6485" s="3" t="s">
        <v>62501</v>
      </c>
      <c r="BB6485" s="3" t="s">
        <v>62502</v>
      </c>
      <c r="BC6485" s="3" t="s">
        <v>142</v>
      </c>
      <c r="BD6485" s="3" t="s">
        <v>68</v>
      </c>
      <c r="BE6485" s="3" t="s">
        <v>62503</v>
      </c>
      <c r="BF6485" s="3" t="s">
        <v>62502</v>
      </c>
      <c r="BG6485" s="3" t="s">
        <v>62504</v>
      </c>
    </row>
    <row r="6486" spans="1:59" ht="57" x14ac:dyDescent="0.45">
      <c r="A6486" s="2" t="s">
        <v>59</v>
      </c>
      <c r="B6486" s="2" t="s">
        <v>60</v>
      </c>
      <c r="C6486" s="2" t="s">
        <v>62505</v>
      </c>
      <c r="D6486" s="2" t="s">
        <v>62506</v>
      </c>
      <c r="E6486" s="2" t="s">
        <v>62507</v>
      </c>
      <c r="G6486" s="3" t="s">
        <v>62</v>
      </c>
      <c r="I6486" s="3" t="s">
        <v>62</v>
      </c>
      <c r="J6486" s="3" t="s">
        <v>62</v>
      </c>
      <c r="K6486" s="3" t="s">
        <v>63</v>
      </c>
      <c r="L6486" s="2" t="s">
        <v>45938</v>
      </c>
      <c r="M6486" s="2" t="s">
        <v>62508</v>
      </c>
      <c r="N6486" s="3" t="s">
        <v>807</v>
      </c>
      <c r="P6486" s="3" t="s">
        <v>65</v>
      </c>
      <c r="Q6486" s="2" t="s">
        <v>62509</v>
      </c>
      <c r="R6486" s="3" t="s">
        <v>66</v>
      </c>
      <c r="S6486" s="4">
        <v>17</v>
      </c>
      <c r="T6486" s="4">
        <v>17</v>
      </c>
      <c r="U6486" s="5" t="s">
        <v>13001</v>
      </c>
      <c r="V6486" s="5" t="s">
        <v>13001</v>
      </c>
      <c r="W6486" s="5" t="s">
        <v>67</v>
      </c>
      <c r="X6486" s="5" t="s">
        <v>67</v>
      </c>
      <c r="Y6486" s="4">
        <v>178</v>
      </c>
      <c r="Z6486" s="4">
        <v>17</v>
      </c>
      <c r="AA6486" s="4">
        <v>21</v>
      </c>
      <c r="AB6486" s="4">
        <v>1</v>
      </c>
      <c r="AC6486" s="4">
        <v>4</v>
      </c>
      <c r="AD6486" s="4">
        <v>79</v>
      </c>
      <c r="AE6486" s="4">
        <v>84</v>
      </c>
      <c r="AF6486" s="4">
        <v>0</v>
      </c>
      <c r="AG6486" s="4">
        <v>3</v>
      </c>
      <c r="AH6486" s="4">
        <v>72</v>
      </c>
      <c r="AI6486" s="4">
        <v>74</v>
      </c>
      <c r="AJ6486" s="4">
        <v>14</v>
      </c>
      <c r="AK6486" s="4">
        <v>17</v>
      </c>
      <c r="AL6486" s="4">
        <v>45</v>
      </c>
      <c r="AM6486" s="4">
        <v>45</v>
      </c>
      <c r="AN6486" s="4">
        <v>0</v>
      </c>
      <c r="AO6486" s="4">
        <v>0</v>
      </c>
      <c r="AP6486" s="4">
        <v>15</v>
      </c>
      <c r="AQ6486" s="4">
        <v>18</v>
      </c>
      <c r="AR6486" s="3" t="s">
        <v>62</v>
      </c>
      <c r="AS6486" s="3" t="s">
        <v>62</v>
      </c>
      <c r="AT6486" s="3" t="s">
        <v>62</v>
      </c>
      <c r="AV6486" s="6" t="str">
        <f>HYPERLINK("http://mcgill.on.worldcat.org/oclc/23462322","Catalog Record")</f>
        <v>Catalog Record</v>
      </c>
      <c r="AW6486" s="6" t="str">
        <f>HYPERLINK("http://www.worldcat.org/oclc/23462322","WorldCat Record")</f>
        <v>WorldCat Record</v>
      </c>
      <c r="AX6486" s="3" t="s">
        <v>62510</v>
      </c>
      <c r="AY6486" s="3" t="s">
        <v>62511</v>
      </c>
      <c r="AZ6486" s="3" t="s">
        <v>62512</v>
      </c>
      <c r="BA6486" s="3" t="s">
        <v>62512</v>
      </c>
      <c r="BB6486" s="3" t="s">
        <v>62513</v>
      </c>
      <c r="BC6486" s="3" t="s">
        <v>142</v>
      </c>
      <c r="BD6486" s="3" t="s">
        <v>68</v>
      </c>
      <c r="BE6486" s="3" t="s">
        <v>62514</v>
      </c>
      <c r="BF6486" s="3" t="s">
        <v>62513</v>
      </c>
      <c r="BG6486" s="3" t="s">
        <v>62515</v>
      </c>
    </row>
    <row r="6487" spans="1:59" ht="57" x14ac:dyDescent="0.45">
      <c r="A6487" s="2" t="s">
        <v>59</v>
      </c>
      <c r="B6487" s="2" t="s">
        <v>60</v>
      </c>
      <c r="C6487" s="2" t="s">
        <v>62516</v>
      </c>
      <c r="D6487" s="2" t="s">
        <v>62517</v>
      </c>
      <c r="E6487" s="2" t="s">
        <v>62518</v>
      </c>
      <c r="G6487" s="3" t="s">
        <v>62</v>
      </c>
      <c r="I6487" s="3" t="s">
        <v>61</v>
      </c>
      <c r="J6487" s="3" t="s">
        <v>62</v>
      </c>
      <c r="K6487" s="3" t="s">
        <v>63</v>
      </c>
      <c r="L6487" s="2" t="s">
        <v>52091</v>
      </c>
      <c r="M6487" s="2" t="s">
        <v>41787</v>
      </c>
      <c r="N6487" s="3" t="s">
        <v>958</v>
      </c>
      <c r="P6487" s="3" t="s">
        <v>65</v>
      </c>
      <c r="R6487" s="3" t="s">
        <v>66</v>
      </c>
      <c r="S6487" s="4">
        <v>29</v>
      </c>
      <c r="T6487" s="4">
        <v>35</v>
      </c>
      <c r="U6487" s="5" t="s">
        <v>36101</v>
      </c>
      <c r="V6487" s="5" t="s">
        <v>36101</v>
      </c>
      <c r="W6487" s="5" t="s">
        <v>67</v>
      </c>
      <c r="X6487" s="5" t="s">
        <v>67</v>
      </c>
      <c r="Y6487" s="4">
        <v>384</v>
      </c>
      <c r="Z6487" s="4">
        <v>31</v>
      </c>
      <c r="AA6487" s="4">
        <v>89</v>
      </c>
      <c r="AB6487" s="4">
        <v>3</v>
      </c>
      <c r="AC6487" s="4">
        <v>13</v>
      </c>
      <c r="AD6487" s="4">
        <v>111</v>
      </c>
      <c r="AE6487" s="4">
        <v>138</v>
      </c>
      <c r="AF6487" s="4">
        <v>2</v>
      </c>
      <c r="AG6487" s="4">
        <v>5</v>
      </c>
      <c r="AH6487" s="4">
        <v>95</v>
      </c>
      <c r="AI6487" s="4">
        <v>105</v>
      </c>
      <c r="AJ6487" s="4">
        <v>20</v>
      </c>
      <c r="AK6487" s="4">
        <v>26</v>
      </c>
      <c r="AL6487" s="4">
        <v>55</v>
      </c>
      <c r="AM6487" s="4">
        <v>56</v>
      </c>
      <c r="AN6487" s="4">
        <v>0</v>
      </c>
      <c r="AO6487" s="4">
        <v>0</v>
      </c>
      <c r="AP6487" s="4">
        <v>24</v>
      </c>
      <c r="AQ6487" s="4">
        <v>42</v>
      </c>
      <c r="AR6487" s="3" t="s">
        <v>62</v>
      </c>
      <c r="AS6487" s="3" t="s">
        <v>62</v>
      </c>
      <c r="AT6487" s="3" t="s">
        <v>62</v>
      </c>
      <c r="AV6487" s="6" t="str">
        <f>HYPERLINK("http://mcgill.on.worldcat.org/oclc/31970869","Catalog Record")</f>
        <v>Catalog Record</v>
      </c>
      <c r="AW6487" s="6" t="str">
        <f>HYPERLINK("http://www.worldcat.org/oclc/31970869","WorldCat Record")</f>
        <v>WorldCat Record</v>
      </c>
      <c r="AX6487" s="3" t="s">
        <v>62519</v>
      </c>
      <c r="AY6487" s="3" t="s">
        <v>62520</v>
      </c>
      <c r="AZ6487" s="3" t="s">
        <v>62521</v>
      </c>
      <c r="BA6487" s="3" t="s">
        <v>62521</v>
      </c>
      <c r="BB6487" s="3" t="s">
        <v>62522</v>
      </c>
      <c r="BC6487" s="3" t="s">
        <v>142</v>
      </c>
      <c r="BD6487" s="3" t="s">
        <v>68</v>
      </c>
      <c r="BE6487" s="3" t="s">
        <v>62523</v>
      </c>
      <c r="BF6487" s="3" t="s">
        <v>62522</v>
      </c>
      <c r="BG6487" s="3" t="s">
        <v>62524</v>
      </c>
    </row>
    <row r="6488" spans="1:59" ht="57" x14ac:dyDescent="0.45">
      <c r="A6488" s="2" t="s">
        <v>59</v>
      </c>
      <c r="B6488" s="2" t="s">
        <v>60</v>
      </c>
      <c r="C6488" s="2" t="s">
        <v>62516</v>
      </c>
      <c r="D6488" s="2" t="s">
        <v>62517</v>
      </c>
      <c r="E6488" s="2" t="s">
        <v>62518</v>
      </c>
      <c r="G6488" s="3" t="s">
        <v>62</v>
      </c>
      <c r="I6488" s="3" t="s">
        <v>61</v>
      </c>
      <c r="J6488" s="3" t="s">
        <v>62</v>
      </c>
      <c r="K6488" s="3" t="s">
        <v>63</v>
      </c>
      <c r="L6488" s="2" t="s">
        <v>52091</v>
      </c>
      <c r="M6488" s="2" t="s">
        <v>41787</v>
      </c>
      <c r="N6488" s="3" t="s">
        <v>958</v>
      </c>
      <c r="P6488" s="3" t="s">
        <v>65</v>
      </c>
      <c r="R6488" s="3" t="s">
        <v>66</v>
      </c>
      <c r="S6488" s="4">
        <v>6</v>
      </c>
      <c r="T6488" s="4">
        <v>35</v>
      </c>
      <c r="U6488" s="5" t="s">
        <v>62525</v>
      </c>
      <c r="V6488" s="5" t="s">
        <v>36101</v>
      </c>
      <c r="W6488" s="5" t="s">
        <v>67</v>
      </c>
      <c r="X6488" s="5" t="s">
        <v>67</v>
      </c>
      <c r="Y6488" s="4">
        <v>384</v>
      </c>
      <c r="Z6488" s="4">
        <v>31</v>
      </c>
      <c r="AA6488" s="4">
        <v>89</v>
      </c>
      <c r="AB6488" s="4">
        <v>3</v>
      </c>
      <c r="AC6488" s="4">
        <v>13</v>
      </c>
      <c r="AD6488" s="4">
        <v>111</v>
      </c>
      <c r="AE6488" s="4">
        <v>138</v>
      </c>
      <c r="AF6488" s="4">
        <v>2</v>
      </c>
      <c r="AG6488" s="4">
        <v>5</v>
      </c>
      <c r="AH6488" s="4">
        <v>95</v>
      </c>
      <c r="AI6488" s="4">
        <v>105</v>
      </c>
      <c r="AJ6488" s="4">
        <v>20</v>
      </c>
      <c r="AK6488" s="4">
        <v>26</v>
      </c>
      <c r="AL6488" s="4">
        <v>55</v>
      </c>
      <c r="AM6488" s="4">
        <v>56</v>
      </c>
      <c r="AN6488" s="4">
        <v>0</v>
      </c>
      <c r="AO6488" s="4">
        <v>0</v>
      </c>
      <c r="AP6488" s="4">
        <v>24</v>
      </c>
      <c r="AQ6488" s="4">
        <v>42</v>
      </c>
      <c r="AR6488" s="3" t="s">
        <v>62</v>
      </c>
      <c r="AS6488" s="3" t="s">
        <v>62</v>
      </c>
      <c r="AT6488" s="3" t="s">
        <v>62</v>
      </c>
      <c r="AV6488" s="6" t="str">
        <f>HYPERLINK("http://mcgill.on.worldcat.org/oclc/31970869","Catalog Record")</f>
        <v>Catalog Record</v>
      </c>
      <c r="AW6488" s="6" t="str">
        <f>HYPERLINK("http://www.worldcat.org/oclc/31970869","WorldCat Record")</f>
        <v>WorldCat Record</v>
      </c>
      <c r="AX6488" s="3" t="s">
        <v>62519</v>
      </c>
      <c r="AY6488" s="3" t="s">
        <v>62520</v>
      </c>
      <c r="AZ6488" s="3" t="s">
        <v>62521</v>
      </c>
      <c r="BA6488" s="3" t="s">
        <v>62521</v>
      </c>
      <c r="BB6488" s="3" t="s">
        <v>62526</v>
      </c>
      <c r="BC6488" s="3" t="s">
        <v>142</v>
      </c>
      <c r="BD6488" s="3" t="s">
        <v>68</v>
      </c>
      <c r="BE6488" s="3" t="s">
        <v>62523</v>
      </c>
      <c r="BF6488" s="3" t="s">
        <v>62526</v>
      </c>
      <c r="BG6488" s="3" t="s">
        <v>62527</v>
      </c>
    </row>
    <row r="6489" spans="1:59" ht="57" x14ac:dyDescent="0.45">
      <c r="A6489" s="2" t="s">
        <v>59</v>
      </c>
      <c r="B6489" s="2" t="s">
        <v>60</v>
      </c>
      <c r="C6489" s="2" t="s">
        <v>62528</v>
      </c>
      <c r="D6489" s="2" t="s">
        <v>62529</v>
      </c>
      <c r="E6489" s="2" t="s">
        <v>62530</v>
      </c>
      <c r="G6489" s="3" t="s">
        <v>62</v>
      </c>
      <c r="I6489" s="3" t="s">
        <v>62</v>
      </c>
      <c r="J6489" s="3" t="s">
        <v>61</v>
      </c>
      <c r="K6489" s="3" t="s">
        <v>63</v>
      </c>
      <c r="L6489" s="2" t="s">
        <v>62531</v>
      </c>
      <c r="M6489" s="2" t="s">
        <v>4509</v>
      </c>
      <c r="N6489" s="3" t="s">
        <v>1465</v>
      </c>
      <c r="O6489" s="2" t="s">
        <v>933</v>
      </c>
      <c r="P6489" s="3" t="s">
        <v>65</v>
      </c>
      <c r="R6489" s="3" t="s">
        <v>66</v>
      </c>
      <c r="S6489" s="4">
        <v>8</v>
      </c>
      <c r="T6489" s="4">
        <v>8</v>
      </c>
      <c r="U6489" s="5" t="s">
        <v>5262</v>
      </c>
      <c r="V6489" s="5" t="s">
        <v>5262</v>
      </c>
      <c r="W6489" s="5" t="s">
        <v>67</v>
      </c>
      <c r="X6489" s="5" t="s">
        <v>67</v>
      </c>
      <c r="Y6489" s="4">
        <v>109</v>
      </c>
      <c r="Z6489" s="4">
        <v>11</v>
      </c>
      <c r="AA6489" s="4">
        <v>54</v>
      </c>
      <c r="AB6489" s="4">
        <v>2</v>
      </c>
      <c r="AC6489" s="4">
        <v>10</v>
      </c>
      <c r="AD6489" s="4">
        <v>51</v>
      </c>
      <c r="AE6489" s="4">
        <v>125</v>
      </c>
      <c r="AF6489" s="4">
        <v>0</v>
      </c>
      <c r="AG6489" s="4">
        <v>3</v>
      </c>
      <c r="AH6489" s="4">
        <v>49</v>
      </c>
      <c r="AI6489" s="4">
        <v>100</v>
      </c>
      <c r="AJ6489" s="4">
        <v>8</v>
      </c>
      <c r="AK6489" s="4">
        <v>17</v>
      </c>
      <c r="AL6489" s="4">
        <v>31</v>
      </c>
      <c r="AM6489" s="4">
        <v>56</v>
      </c>
      <c r="AN6489" s="4">
        <v>0</v>
      </c>
      <c r="AO6489" s="4">
        <v>0</v>
      </c>
      <c r="AP6489" s="4">
        <v>8</v>
      </c>
      <c r="AQ6489" s="4">
        <v>32</v>
      </c>
      <c r="AR6489" s="3" t="s">
        <v>62</v>
      </c>
      <c r="AS6489" s="3" t="s">
        <v>62</v>
      </c>
      <c r="AT6489" s="3" t="s">
        <v>62</v>
      </c>
      <c r="AV6489" s="6" t="str">
        <f>HYPERLINK("http://mcgill.on.worldcat.org/oclc/228676633","Catalog Record")</f>
        <v>Catalog Record</v>
      </c>
      <c r="AW6489" s="6" t="str">
        <f>HYPERLINK("http://www.worldcat.org/oclc/228676633","WorldCat Record")</f>
        <v>WorldCat Record</v>
      </c>
      <c r="AX6489" s="3" t="s">
        <v>62532</v>
      </c>
      <c r="AY6489" s="3" t="s">
        <v>62533</v>
      </c>
      <c r="AZ6489" s="3" t="s">
        <v>62534</v>
      </c>
      <c r="BA6489" s="3" t="s">
        <v>62534</v>
      </c>
      <c r="BB6489" s="3" t="s">
        <v>62535</v>
      </c>
      <c r="BC6489" s="3" t="s">
        <v>142</v>
      </c>
      <c r="BD6489" s="3" t="s">
        <v>68</v>
      </c>
      <c r="BE6489" s="3" t="s">
        <v>62536</v>
      </c>
      <c r="BF6489" s="3" t="s">
        <v>62535</v>
      </c>
      <c r="BG6489" s="3" t="s">
        <v>62537</v>
      </c>
    </row>
    <row r="6490" spans="1:59" ht="57" x14ac:dyDescent="0.45">
      <c r="A6490" s="2" t="s">
        <v>59</v>
      </c>
      <c r="B6490" s="2" t="s">
        <v>60</v>
      </c>
      <c r="C6490" s="2" t="s">
        <v>62538</v>
      </c>
      <c r="D6490" s="2" t="s">
        <v>62539</v>
      </c>
      <c r="E6490" s="2" t="s">
        <v>62540</v>
      </c>
      <c r="G6490" s="3" t="s">
        <v>62</v>
      </c>
      <c r="I6490" s="3" t="s">
        <v>62</v>
      </c>
      <c r="J6490" s="3" t="s">
        <v>62</v>
      </c>
      <c r="K6490" s="3" t="s">
        <v>63</v>
      </c>
      <c r="M6490" s="2" t="s">
        <v>3925</v>
      </c>
      <c r="N6490" s="3" t="s">
        <v>149</v>
      </c>
      <c r="P6490" s="3" t="s">
        <v>65</v>
      </c>
      <c r="Q6490" s="2" t="s">
        <v>62541</v>
      </c>
      <c r="R6490" s="3" t="s">
        <v>66</v>
      </c>
      <c r="S6490" s="4">
        <v>2</v>
      </c>
      <c r="T6490" s="4">
        <v>2</v>
      </c>
      <c r="U6490" s="5" t="s">
        <v>42852</v>
      </c>
      <c r="V6490" s="5" t="s">
        <v>42852</v>
      </c>
      <c r="W6490" s="5" t="s">
        <v>67</v>
      </c>
      <c r="X6490" s="5" t="s">
        <v>67</v>
      </c>
      <c r="Y6490" s="4">
        <v>60</v>
      </c>
      <c r="Z6490" s="4">
        <v>8</v>
      </c>
      <c r="AA6490" s="4">
        <v>94</v>
      </c>
      <c r="AB6490" s="4">
        <v>1</v>
      </c>
      <c r="AC6490" s="4">
        <v>17</v>
      </c>
      <c r="AD6490" s="4">
        <v>31</v>
      </c>
      <c r="AE6490" s="4">
        <v>109</v>
      </c>
      <c r="AF6490" s="4">
        <v>0</v>
      </c>
      <c r="AG6490" s="4">
        <v>8</v>
      </c>
      <c r="AH6490" s="4">
        <v>25</v>
      </c>
      <c r="AI6490" s="4">
        <v>73</v>
      </c>
      <c r="AJ6490" s="4">
        <v>6</v>
      </c>
      <c r="AK6490" s="4">
        <v>21</v>
      </c>
      <c r="AL6490" s="4">
        <v>20</v>
      </c>
      <c r="AM6490" s="4">
        <v>38</v>
      </c>
      <c r="AN6490" s="4">
        <v>0</v>
      </c>
      <c r="AO6490" s="4">
        <v>0</v>
      </c>
      <c r="AP6490" s="4">
        <v>7</v>
      </c>
      <c r="AQ6490" s="4">
        <v>42</v>
      </c>
      <c r="AR6490" s="3" t="s">
        <v>62</v>
      </c>
      <c r="AS6490" s="3" t="s">
        <v>62</v>
      </c>
      <c r="AT6490" s="3" t="s">
        <v>62</v>
      </c>
      <c r="AV6490" s="6" t="str">
        <f>HYPERLINK("http://mcgill.on.worldcat.org/oclc/548569642","Catalog Record")</f>
        <v>Catalog Record</v>
      </c>
      <c r="AW6490" s="6" t="str">
        <f>HYPERLINK("http://www.worldcat.org/oclc/548569642","WorldCat Record")</f>
        <v>WorldCat Record</v>
      </c>
      <c r="AX6490" s="3" t="s">
        <v>62542</v>
      </c>
      <c r="AY6490" s="3" t="s">
        <v>62543</v>
      </c>
      <c r="AZ6490" s="3" t="s">
        <v>62544</v>
      </c>
      <c r="BA6490" s="3" t="s">
        <v>62544</v>
      </c>
      <c r="BB6490" s="3" t="s">
        <v>62545</v>
      </c>
      <c r="BC6490" s="3" t="s">
        <v>142</v>
      </c>
      <c r="BD6490" s="3" t="s">
        <v>68</v>
      </c>
      <c r="BE6490" s="3" t="s">
        <v>62546</v>
      </c>
      <c r="BF6490" s="3" t="s">
        <v>62545</v>
      </c>
      <c r="BG6490" s="3" t="s">
        <v>62547</v>
      </c>
    </row>
    <row r="6491" spans="1:59" ht="57" x14ac:dyDescent="0.45">
      <c r="A6491" s="2" t="s">
        <v>59</v>
      </c>
      <c r="B6491" s="2" t="s">
        <v>60</v>
      </c>
      <c r="C6491" s="2" t="s">
        <v>62548</v>
      </c>
      <c r="D6491" s="2" t="s">
        <v>62549</v>
      </c>
      <c r="E6491" s="2" t="s">
        <v>62550</v>
      </c>
      <c r="G6491" s="3" t="s">
        <v>62</v>
      </c>
      <c r="I6491" s="3" t="s">
        <v>62</v>
      </c>
      <c r="J6491" s="3" t="s">
        <v>62</v>
      </c>
      <c r="K6491" s="3" t="s">
        <v>63</v>
      </c>
      <c r="L6491" s="2" t="s">
        <v>46254</v>
      </c>
      <c r="M6491" s="2" t="s">
        <v>26986</v>
      </c>
      <c r="N6491" s="3" t="s">
        <v>167</v>
      </c>
      <c r="P6491" s="3" t="s">
        <v>65</v>
      </c>
      <c r="R6491" s="3" t="s">
        <v>66</v>
      </c>
      <c r="S6491" s="4">
        <v>4</v>
      </c>
      <c r="T6491" s="4">
        <v>4</v>
      </c>
      <c r="U6491" s="5" t="s">
        <v>47814</v>
      </c>
      <c r="V6491" s="5" t="s">
        <v>47814</v>
      </c>
      <c r="W6491" s="5" t="s">
        <v>67</v>
      </c>
      <c r="X6491" s="5" t="s">
        <v>67</v>
      </c>
      <c r="Y6491" s="4">
        <v>283</v>
      </c>
      <c r="Z6491" s="4">
        <v>18</v>
      </c>
      <c r="AA6491" s="4">
        <v>48</v>
      </c>
      <c r="AB6491" s="4">
        <v>1</v>
      </c>
      <c r="AC6491" s="4">
        <v>8</v>
      </c>
      <c r="AD6491" s="4">
        <v>102</v>
      </c>
      <c r="AE6491" s="4">
        <v>121</v>
      </c>
      <c r="AF6491" s="4">
        <v>0</v>
      </c>
      <c r="AG6491" s="4">
        <v>3</v>
      </c>
      <c r="AH6491" s="4">
        <v>94</v>
      </c>
      <c r="AI6491" s="4">
        <v>104</v>
      </c>
      <c r="AJ6491" s="4">
        <v>15</v>
      </c>
      <c r="AK6491" s="4">
        <v>21</v>
      </c>
      <c r="AL6491" s="4">
        <v>53</v>
      </c>
      <c r="AM6491" s="4">
        <v>56</v>
      </c>
      <c r="AN6491" s="4">
        <v>0</v>
      </c>
      <c r="AO6491" s="4">
        <v>0</v>
      </c>
      <c r="AP6491" s="4">
        <v>15</v>
      </c>
      <c r="AQ6491" s="4">
        <v>26</v>
      </c>
      <c r="AR6491" s="3" t="s">
        <v>62</v>
      </c>
      <c r="AS6491" s="3" t="s">
        <v>62</v>
      </c>
      <c r="AT6491" s="3" t="s">
        <v>62</v>
      </c>
      <c r="AV6491" s="6" t="str">
        <f>HYPERLINK("http://mcgill.on.worldcat.org/oclc/40753335","Catalog Record")</f>
        <v>Catalog Record</v>
      </c>
      <c r="AW6491" s="6" t="str">
        <f>HYPERLINK("http://www.worldcat.org/oclc/40753335","WorldCat Record")</f>
        <v>WorldCat Record</v>
      </c>
      <c r="AX6491" s="3" t="s">
        <v>62551</v>
      </c>
      <c r="AY6491" s="3" t="s">
        <v>62552</v>
      </c>
      <c r="AZ6491" s="3" t="s">
        <v>62553</v>
      </c>
      <c r="BA6491" s="3" t="s">
        <v>62553</v>
      </c>
      <c r="BB6491" s="3" t="s">
        <v>62554</v>
      </c>
      <c r="BC6491" s="3" t="s">
        <v>142</v>
      </c>
      <c r="BD6491" s="3" t="s">
        <v>68</v>
      </c>
      <c r="BE6491" s="3" t="s">
        <v>62555</v>
      </c>
      <c r="BF6491" s="3" t="s">
        <v>62554</v>
      </c>
      <c r="BG6491" s="3" t="s">
        <v>62556</v>
      </c>
    </row>
    <row r="6492" spans="1:59" ht="57" x14ac:dyDescent="0.45">
      <c r="A6492" s="2" t="s">
        <v>59</v>
      </c>
      <c r="B6492" s="2" t="s">
        <v>60</v>
      </c>
      <c r="C6492" s="2" t="s">
        <v>62557</v>
      </c>
      <c r="D6492" s="2" t="s">
        <v>62558</v>
      </c>
      <c r="E6492" s="2" t="s">
        <v>62559</v>
      </c>
      <c r="G6492" s="3" t="s">
        <v>62</v>
      </c>
      <c r="I6492" s="3" t="s">
        <v>62</v>
      </c>
      <c r="J6492" s="3" t="s">
        <v>62</v>
      </c>
      <c r="K6492" s="3" t="s">
        <v>63</v>
      </c>
      <c r="L6492" s="2" t="s">
        <v>62560</v>
      </c>
      <c r="M6492" s="2" t="s">
        <v>35130</v>
      </c>
      <c r="N6492" s="3" t="s">
        <v>958</v>
      </c>
      <c r="P6492" s="3" t="s">
        <v>65</v>
      </c>
      <c r="R6492" s="3" t="s">
        <v>66</v>
      </c>
      <c r="S6492" s="4">
        <v>31</v>
      </c>
      <c r="T6492" s="4">
        <v>31</v>
      </c>
      <c r="U6492" s="5" t="s">
        <v>62172</v>
      </c>
      <c r="V6492" s="5" t="s">
        <v>62172</v>
      </c>
      <c r="W6492" s="5" t="s">
        <v>67</v>
      </c>
      <c r="X6492" s="5" t="s">
        <v>67</v>
      </c>
      <c r="Y6492" s="4">
        <v>401</v>
      </c>
      <c r="Z6492" s="4">
        <v>27</v>
      </c>
      <c r="AA6492" s="4">
        <v>37</v>
      </c>
      <c r="AB6492" s="4">
        <v>3</v>
      </c>
      <c r="AC6492" s="4">
        <v>7</v>
      </c>
      <c r="AD6492" s="4">
        <v>107</v>
      </c>
      <c r="AE6492" s="4">
        <v>114</v>
      </c>
      <c r="AF6492" s="4">
        <v>2</v>
      </c>
      <c r="AG6492" s="4">
        <v>5</v>
      </c>
      <c r="AH6492" s="4">
        <v>89</v>
      </c>
      <c r="AI6492" s="4">
        <v>93</v>
      </c>
      <c r="AJ6492" s="4">
        <v>16</v>
      </c>
      <c r="AK6492" s="4">
        <v>21</v>
      </c>
      <c r="AL6492" s="4">
        <v>52</v>
      </c>
      <c r="AM6492" s="4">
        <v>53</v>
      </c>
      <c r="AN6492" s="4">
        <v>0</v>
      </c>
      <c r="AO6492" s="4">
        <v>0</v>
      </c>
      <c r="AP6492" s="4">
        <v>23</v>
      </c>
      <c r="AQ6492" s="4">
        <v>28</v>
      </c>
      <c r="AR6492" s="3" t="s">
        <v>62</v>
      </c>
      <c r="AS6492" s="3" t="s">
        <v>62</v>
      </c>
      <c r="AT6492" s="3" t="s">
        <v>62</v>
      </c>
      <c r="AV6492" s="6" t="str">
        <f>HYPERLINK("http://mcgill.on.worldcat.org/oclc/31865577","Catalog Record")</f>
        <v>Catalog Record</v>
      </c>
      <c r="AW6492" s="6" t="str">
        <f>HYPERLINK("http://www.worldcat.org/oclc/31865577","WorldCat Record")</f>
        <v>WorldCat Record</v>
      </c>
      <c r="AX6492" s="3" t="s">
        <v>62561</v>
      </c>
      <c r="AY6492" s="3" t="s">
        <v>62562</v>
      </c>
      <c r="AZ6492" s="3" t="s">
        <v>62563</v>
      </c>
      <c r="BA6492" s="3" t="s">
        <v>62563</v>
      </c>
      <c r="BB6492" s="3" t="s">
        <v>62564</v>
      </c>
      <c r="BC6492" s="3" t="s">
        <v>142</v>
      </c>
      <c r="BD6492" s="3" t="s">
        <v>68</v>
      </c>
      <c r="BE6492" s="3" t="s">
        <v>62565</v>
      </c>
      <c r="BF6492" s="3" t="s">
        <v>62564</v>
      </c>
      <c r="BG6492" s="3" t="s">
        <v>62566</v>
      </c>
    </row>
    <row r="6493" spans="1:59" ht="57" x14ac:dyDescent="0.45">
      <c r="A6493" s="2" t="s">
        <v>59</v>
      </c>
      <c r="B6493" s="2" t="s">
        <v>60</v>
      </c>
      <c r="C6493" s="2" t="s">
        <v>62567</v>
      </c>
      <c r="D6493" s="2" t="s">
        <v>62568</v>
      </c>
      <c r="E6493" s="2" t="s">
        <v>62569</v>
      </c>
      <c r="G6493" s="3" t="s">
        <v>62</v>
      </c>
      <c r="I6493" s="3" t="s">
        <v>62</v>
      </c>
      <c r="J6493" s="3" t="s">
        <v>62</v>
      </c>
      <c r="K6493" s="3" t="s">
        <v>63</v>
      </c>
      <c r="M6493" s="2" t="s">
        <v>62570</v>
      </c>
      <c r="N6493" s="3" t="s">
        <v>894</v>
      </c>
      <c r="O6493" s="2" t="s">
        <v>168</v>
      </c>
      <c r="P6493" s="3" t="s">
        <v>65</v>
      </c>
      <c r="Q6493" s="2" t="s">
        <v>62571</v>
      </c>
      <c r="R6493" s="3" t="s">
        <v>66</v>
      </c>
      <c r="S6493" s="4">
        <v>1</v>
      </c>
      <c r="T6493" s="4">
        <v>1</v>
      </c>
      <c r="U6493" s="5" t="s">
        <v>62572</v>
      </c>
      <c r="V6493" s="5" t="s">
        <v>62572</v>
      </c>
      <c r="W6493" s="5" t="s">
        <v>67</v>
      </c>
      <c r="X6493" s="5" t="s">
        <v>67</v>
      </c>
      <c r="Y6493" s="4">
        <v>58</v>
      </c>
      <c r="Z6493" s="4">
        <v>5</v>
      </c>
      <c r="AA6493" s="4">
        <v>84</v>
      </c>
      <c r="AB6493" s="4">
        <v>2</v>
      </c>
      <c r="AC6493" s="4">
        <v>17</v>
      </c>
      <c r="AD6493" s="4">
        <v>25</v>
      </c>
      <c r="AE6493" s="4">
        <v>100</v>
      </c>
      <c r="AF6493" s="4">
        <v>1</v>
      </c>
      <c r="AG6493" s="4">
        <v>8</v>
      </c>
      <c r="AH6493" s="4">
        <v>22</v>
      </c>
      <c r="AI6493" s="4">
        <v>66</v>
      </c>
      <c r="AJ6493" s="4">
        <v>4</v>
      </c>
      <c r="AK6493" s="4">
        <v>18</v>
      </c>
      <c r="AL6493" s="4">
        <v>16</v>
      </c>
      <c r="AM6493" s="4">
        <v>37</v>
      </c>
      <c r="AN6493" s="4">
        <v>0</v>
      </c>
      <c r="AO6493" s="4">
        <v>0</v>
      </c>
      <c r="AP6493" s="4">
        <v>4</v>
      </c>
      <c r="AQ6493" s="4">
        <v>39</v>
      </c>
      <c r="AR6493" s="3" t="s">
        <v>62</v>
      </c>
      <c r="AS6493" s="3" t="s">
        <v>62</v>
      </c>
      <c r="AT6493" s="3" t="s">
        <v>62</v>
      </c>
      <c r="AV6493" s="6" t="str">
        <f>HYPERLINK("http://mcgill.on.worldcat.org/oclc/706029526","Catalog Record")</f>
        <v>Catalog Record</v>
      </c>
      <c r="AW6493" s="6" t="str">
        <f>HYPERLINK("http://www.worldcat.org/oclc/706029526","WorldCat Record")</f>
        <v>WorldCat Record</v>
      </c>
      <c r="AX6493" s="3" t="s">
        <v>62573</v>
      </c>
      <c r="AY6493" s="3" t="s">
        <v>62574</v>
      </c>
      <c r="AZ6493" s="3" t="s">
        <v>62575</v>
      </c>
      <c r="BA6493" s="3" t="s">
        <v>62575</v>
      </c>
      <c r="BB6493" s="3" t="s">
        <v>62576</v>
      </c>
      <c r="BC6493" s="3" t="s">
        <v>142</v>
      </c>
      <c r="BD6493" s="3" t="s">
        <v>68</v>
      </c>
      <c r="BE6493" s="3" t="s">
        <v>62577</v>
      </c>
      <c r="BF6493" s="3" t="s">
        <v>62576</v>
      </c>
      <c r="BG6493" s="3" t="s">
        <v>62578</v>
      </c>
    </row>
    <row r="6494" spans="1:59" ht="57" x14ac:dyDescent="0.45">
      <c r="A6494" s="2" t="s">
        <v>59</v>
      </c>
      <c r="B6494" s="2" t="s">
        <v>60</v>
      </c>
      <c r="C6494" s="2" t="s">
        <v>62579</v>
      </c>
      <c r="D6494" s="2" t="s">
        <v>62580</v>
      </c>
      <c r="E6494" s="2" t="s">
        <v>62581</v>
      </c>
      <c r="G6494" s="3" t="s">
        <v>62</v>
      </c>
      <c r="I6494" s="3" t="s">
        <v>62</v>
      </c>
      <c r="J6494" s="3" t="s">
        <v>62</v>
      </c>
      <c r="K6494" s="3" t="s">
        <v>63</v>
      </c>
      <c r="L6494" s="2" t="s">
        <v>42359</v>
      </c>
      <c r="M6494" s="2" t="s">
        <v>62582</v>
      </c>
      <c r="N6494" s="3" t="s">
        <v>106</v>
      </c>
      <c r="P6494" s="3" t="s">
        <v>110</v>
      </c>
      <c r="Q6494" s="2" t="s">
        <v>62583</v>
      </c>
      <c r="R6494" s="3" t="s">
        <v>66</v>
      </c>
      <c r="S6494" s="4">
        <v>20</v>
      </c>
      <c r="T6494" s="4">
        <v>20</v>
      </c>
      <c r="U6494" s="5" t="s">
        <v>959</v>
      </c>
      <c r="V6494" s="5" t="s">
        <v>959</v>
      </c>
      <c r="W6494" s="5" t="s">
        <v>67</v>
      </c>
      <c r="X6494" s="5" t="s">
        <v>67</v>
      </c>
      <c r="Y6494" s="4">
        <v>85</v>
      </c>
      <c r="Z6494" s="4">
        <v>12</v>
      </c>
      <c r="AA6494" s="4">
        <v>19</v>
      </c>
      <c r="AB6494" s="4">
        <v>1</v>
      </c>
      <c r="AC6494" s="4">
        <v>6</v>
      </c>
      <c r="AD6494" s="4">
        <v>45</v>
      </c>
      <c r="AE6494" s="4">
        <v>52</v>
      </c>
      <c r="AF6494" s="4">
        <v>0</v>
      </c>
      <c r="AG6494" s="4">
        <v>3</v>
      </c>
      <c r="AH6494" s="4">
        <v>40</v>
      </c>
      <c r="AI6494" s="4">
        <v>44</v>
      </c>
      <c r="AJ6494" s="4">
        <v>10</v>
      </c>
      <c r="AK6494" s="4">
        <v>14</v>
      </c>
      <c r="AL6494" s="4">
        <v>31</v>
      </c>
      <c r="AM6494" s="4">
        <v>33</v>
      </c>
      <c r="AN6494" s="4">
        <v>0</v>
      </c>
      <c r="AO6494" s="4">
        <v>0</v>
      </c>
      <c r="AP6494" s="4">
        <v>10</v>
      </c>
      <c r="AQ6494" s="4">
        <v>14</v>
      </c>
      <c r="AR6494" s="3" t="s">
        <v>62</v>
      </c>
      <c r="AS6494" s="3" t="s">
        <v>62</v>
      </c>
      <c r="AT6494" s="3" t="s">
        <v>61</v>
      </c>
      <c r="AU6494" s="6" t="str">
        <f>HYPERLINK("http://catalog.hathitrust.org/Record/002200651","HathiTrust Record")</f>
        <v>HathiTrust Record</v>
      </c>
      <c r="AV6494" s="6" t="str">
        <f>HYPERLINK("http://mcgill.on.worldcat.org/oclc/10964643","Catalog Record")</f>
        <v>Catalog Record</v>
      </c>
      <c r="AW6494" s="6" t="str">
        <f>HYPERLINK("http://www.worldcat.org/oclc/10964643","WorldCat Record")</f>
        <v>WorldCat Record</v>
      </c>
      <c r="AX6494" s="3" t="s">
        <v>62584</v>
      </c>
      <c r="AY6494" s="3" t="s">
        <v>62585</v>
      </c>
      <c r="AZ6494" s="3" t="s">
        <v>62586</v>
      </c>
      <c r="BA6494" s="3" t="s">
        <v>62586</v>
      </c>
      <c r="BB6494" s="3" t="s">
        <v>62587</v>
      </c>
      <c r="BC6494" s="3" t="s">
        <v>142</v>
      </c>
      <c r="BD6494" s="3" t="s">
        <v>68</v>
      </c>
      <c r="BF6494" s="3" t="s">
        <v>62587</v>
      </c>
      <c r="BG6494" s="3" t="s">
        <v>62588</v>
      </c>
    </row>
    <row r="6495" spans="1:59" ht="57" x14ac:dyDescent="0.45">
      <c r="A6495" s="2" t="s">
        <v>59</v>
      </c>
      <c r="B6495" s="2" t="s">
        <v>60</v>
      </c>
      <c r="C6495" s="2" t="s">
        <v>62589</v>
      </c>
      <c r="D6495" s="2" t="s">
        <v>62590</v>
      </c>
      <c r="E6495" s="2" t="s">
        <v>62591</v>
      </c>
      <c r="G6495" s="3" t="s">
        <v>62</v>
      </c>
      <c r="I6495" s="3" t="s">
        <v>62</v>
      </c>
      <c r="J6495" s="3" t="s">
        <v>62</v>
      </c>
      <c r="K6495" s="3" t="s">
        <v>63</v>
      </c>
      <c r="M6495" s="2" t="s">
        <v>62592</v>
      </c>
      <c r="N6495" s="3" t="s">
        <v>2417</v>
      </c>
      <c r="P6495" s="3" t="s">
        <v>65</v>
      </c>
      <c r="Q6495" s="2" t="s">
        <v>17618</v>
      </c>
      <c r="R6495" s="3" t="s">
        <v>66</v>
      </c>
      <c r="S6495" s="4">
        <v>33</v>
      </c>
      <c r="T6495" s="4">
        <v>33</v>
      </c>
      <c r="U6495" s="5" t="s">
        <v>17874</v>
      </c>
      <c r="V6495" s="5" t="s">
        <v>17874</v>
      </c>
      <c r="W6495" s="5" t="s">
        <v>67</v>
      </c>
      <c r="X6495" s="5" t="s">
        <v>67</v>
      </c>
      <c r="Y6495" s="4">
        <v>425</v>
      </c>
      <c r="Z6495" s="4">
        <v>28</v>
      </c>
      <c r="AA6495" s="4">
        <v>34</v>
      </c>
      <c r="AB6495" s="4">
        <v>2</v>
      </c>
      <c r="AC6495" s="4">
        <v>8</v>
      </c>
      <c r="AD6495" s="4">
        <v>124</v>
      </c>
      <c r="AE6495" s="4">
        <v>128</v>
      </c>
      <c r="AF6495" s="4">
        <v>1</v>
      </c>
      <c r="AG6495" s="4">
        <v>5</v>
      </c>
      <c r="AH6495" s="4">
        <v>107</v>
      </c>
      <c r="AI6495" s="4">
        <v>108</v>
      </c>
      <c r="AJ6495" s="4">
        <v>20</v>
      </c>
      <c r="AK6495" s="4">
        <v>23</v>
      </c>
      <c r="AL6495" s="4">
        <v>57</v>
      </c>
      <c r="AM6495" s="4">
        <v>57</v>
      </c>
      <c r="AN6495" s="4">
        <v>0</v>
      </c>
      <c r="AO6495" s="4">
        <v>0</v>
      </c>
      <c r="AP6495" s="4">
        <v>25</v>
      </c>
      <c r="AQ6495" s="4">
        <v>28</v>
      </c>
      <c r="AR6495" s="3" t="s">
        <v>62</v>
      </c>
      <c r="AS6495" s="3" t="s">
        <v>62</v>
      </c>
      <c r="AT6495" s="3" t="s">
        <v>61</v>
      </c>
      <c r="AU6495" s="6" t="str">
        <f>HYPERLINK("http://catalog.hathitrust.org/Record/000947195","HathiTrust Record")</f>
        <v>HathiTrust Record</v>
      </c>
      <c r="AV6495" s="6" t="str">
        <f>HYPERLINK("http://mcgill.on.worldcat.org/oclc/17878425","Catalog Record")</f>
        <v>Catalog Record</v>
      </c>
      <c r="AW6495" s="6" t="str">
        <f>HYPERLINK("http://www.worldcat.org/oclc/17878425","WorldCat Record")</f>
        <v>WorldCat Record</v>
      </c>
      <c r="AX6495" s="3" t="s">
        <v>62593</v>
      </c>
      <c r="AY6495" s="3" t="s">
        <v>62594</v>
      </c>
      <c r="AZ6495" s="3" t="s">
        <v>62595</v>
      </c>
      <c r="BA6495" s="3" t="s">
        <v>62595</v>
      </c>
      <c r="BB6495" s="3" t="s">
        <v>62596</v>
      </c>
      <c r="BC6495" s="3" t="s">
        <v>142</v>
      </c>
      <c r="BD6495" s="3" t="s">
        <v>68</v>
      </c>
      <c r="BE6495" s="3" t="s">
        <v>62597</v>
      </c>
      <c r="BF6495" s="3" t="s">
        <v>62596</v>
      </c>
      <c r="BG6495" s="3" t="s">
        <v>62598</v>
      </c>
    </row>
    <row r="6496" spans="1:59" ht="57" x14ac:dyDescent="0.45">
      <c r="A6496" s="2" t="s">
        <v>59</v>
      </c>
      <c r="B6496" s="2" t="s">
        <v>60</v>
      </c>
      <c r="C6496" s="2" t="s">
        <v>62599</v>
      </c>
      <c r="D6496" s="2" t="s">
        <v>62600</v>
      </c>
      <c r="E6496" s="2" t="s">
        <v>62601</v>
      </c>
      <c r="G6496" s="3" t="s">
        <v>62</v>
      </c>
      <c r="I6496" s="3" t="s">
        <v>62</v>
      </c>
      <c r="J6496" s="3" t="s">
        <v>62</v>
      </c>
      <c r="K6496" s="3" t="s">
        <v>63</v>
      </c>
      <c r="M6496" s="2" t="s">
        <v>62602</v>
      </c>
      <c r="N6496" s="3" t="s">
        <v>116</v>
      </c>
      <c r="P6496" s="3" t="s">
        <v>65</v>
      </c>
      <c r="Q6496" s="2" t="s">
        <v>62603</v>
      </c>
      <c r="R6496" s="3" t="s">
        <v>66</v>
      </c>
      <c r="S6496" s="4">
        <v>1</v>
      </c>
      <c r="T6496" s="4">
        <v>1</v>
      </c>
      <c r="U6496" s="5" t="s">
        <v>47551</v>
      </c>
      <c r="V6496" s="5" t="s">
        <v>47551</v>
      </c>
      <c r="W6496" s="5" t="s">
        <v>67</v>
      </c>
      <c r="X6496" s="5" t="s">
        <v>67</v>
      </c>
      <c r="Y6496" s="4">
        <v>35</v>
      </c>
      <c r="Z6496" s="4">
        <v>6</v>
      </c>
      <c r="AA6496" s="4">
        <v>74</v>
      </c>
      <c r="AB6496" s="4">
        <v>1</v>
      </c>
      <c r="AC6496" s="4">
        <v>14</v>
      </c>
      <c r="AD6496" s="4">
        <v>11</v>
      </c>
      <c r="AE6496" s="4">
        <v>85</v>
      </c>
      <c r="AF6496" s="4">
        <v>0</v>
      </c>
      <c r="AG6496" s="4">
        <v>8</v>
      </c>
      <c r="AH6496" s="4">
        <v>9</v>
      </c>
      <c r="AI6496" s="4">
        <v>54</v>
      </c>
      <c r="AJ6496" s="4">
        <v>4</v>
      </c>
      <c r="AK6496" s="4">
        <v>18</v>
      </c>
      <c r="AL6496" s="4">
        <v>7</v>
      </c>
      <c r="AM6496" s="4">
        <v>27</v>
      </c>
      <c r="AN6496" s="4">
        <v>0</v>
      </c>
      <c r="AO6496" s="4">
        <v>0</v>
      </c>
      <c r="AP6496" s="4">
        <v>4</v>
      </c>
      <c r="AQ6496" s="4">
        <v>38</v>
      </c>
      <c r="AR6496" s="3" t="s">
        <v>62</v>
      </c>
      <c r="AS6496" s="3" t="s">
        <v>62</v>
      </c>
      <c r="AT6496" s="3" t="s">
        <v>62</v>
      </c>
      <c r="AV6496" s="6" t="str">
        <f>HYPERLINK("http://mcgill.on.worldcat.org/oclc/852826549","Catalog Record")</f>
        <v>Catalog Record</v>
      </c>
      <c r="AW6496" s="6" t="str">
        <f>HYPERLINK("http://www.worldcat.org/oclc/852826549","WorldCat Record")</f>
        <v>WorldCat Record</v>
      </c>
      <c r="AX6496" s="3" t="s">
        <v>62604</v>
      </c>
      <c r="AY6496" s="3" t="s">
        <v>62605</v>
      </c>
      <c r="AZ6496" s="3" t="s">
        <v>62606</v>
      </c>
      <c r="BA6496" s="3" t="s">
        <v>62606</v>
      </c>
      <c r="BB6496" s="3" t="s">
        <v>62607</v>
      </c>
      <c r="BC6496" s="3" t="s">
        <v>142</v>
      </c>
      <c r="BD6496" s="3" t="s">
        <v>68</v>
      </c>
      <c r="BE6496" s="3" t="s">
        <v>62608</v>
      </c>
      <c r="BF6496" s="3" t="s">
        <v>62607</v>
      </c>
      <c r="BG6496" s="3" t="s">
        <v>62609</v>
      </c>
    </row>
    <row r="6497" spans="1:59" ht="57" x14ac:dyDescent="0.45">
      <c r="A6497" s="2" t="s">
        <v>59</v>
      </c>
      <c r="B6497" s="2" t="s">
        <v>60</v>
      </c>
      <c r="C6497" s="2" t="s">
        <v>62610</v>
      </c>
      <c r="D6497" s="2" t="s">
        <v>62611</v>
      </c>
      <c r="E6497" s="2" t="s">
        <v>62612</v>
      </c>
      <c r="F6497" s="3" t="s">
        <v>90</v>
      </c>
      <c r="G6497" s="3" t="s">
        <v>61</v>
      </c>
      <c r="I6497" s="3" t="s">
        <v>62</v>
      </c>
      <c r="J6497" s="3" t="s">
        <v>62</v>
      </c>
      <c r="K6497" s="3" t="s">
        <v>63</v>
      </c>
      <c r="M6497" s="2" t="s">
        <v>62613</v>
      </c>
      <c r="N6497" s="3" t="s">
        <v>970</v>
      </c>
      <c r="P6497" s="3" t="s">
        <v>65</v>
      </c>
      <c r="Q6497" s="2" t="s">
        <v>62614</v>
      </c>
      <c r="R6497" s="3" t="s">
        <v>66</v>
      </c>
      <c r="S6497" s="4">
        <v>3</v>
      </c>
      <c r="T6497" s="4">
        <v>10</v>
      </c>
      <c r="U6497" s="5" t="s">
        <v>10463</v>
      </c>
      <c r="V6497" s="5" t="s">
        <v>62224</v>
      </c>
      <c r="W6497" s="5" t="s">
        <v>67</v>
      </c>
      <c r="X6497" s="5" t="s">
        <v>67</v>
      </c>
      <c r="Y6497" s="4">
        <v>138</v>
      </c>
      <c r="Z6497" s="4">
        <v>13</v>
      </c>
      <c r="AA6497" s="4">
        <v>22</v>
      </c>
      <c r="AB6497" s="4">
        <v>2</v>
      </c>
      <c r="AC6497" s="4">
        <v>3</v>
      </c>
      <c r="AD6497" s="4">
        <v>72</v>
      </c>
      <c r="AE6497" s="4">
        <v>77</v>
      </c>
      <c r="AF6497" s="4">
        <v>0</v>
      </c>
      <c r="AG6497" s="4">
        <v>1</v>
      </c>
      <c r="AH6497" s="4">
        <v>64</v>
      </c>
      <c r="AI6497" s="4">
        <v>65</v>
      </c>
      <c r="AJ6497" s="4">
        <v>9</v>
      </c>
      <c r="AK6497" s="4">
        <v>10</v>
      </c>
      <c r="AL6497" s="4">
        <v>43</v>
      </c>
      <c r="AM6497" s="4">
        <v>44</v>
      </c>
      <c r="AN6497" s="4">
        <v>0</v>
      </c>
      <c r="AO6497" s="4">
        <v>0</v>
      </c>
      <c r="AP6497" s="4">
        <v>10</v>
      </c>
      <c r="AQ6497" s="4">
        <v>13</v>
      </c>
      <c r="AR6497" s="3" t="s">
        <v>62</v>
      </c>
      <c r="AS6497" s="3" t="s">
        <v>62</v>
      </c>
      <c r="AT6497" s="3" t="s">
        <v>62</v>
      </c>
      <c r="AV6497" s="6" t="str">
        <f>HYPERLINK("http://mcgill.on.worldcat.org/oclc/49576356","Catalog Record")</f>
        <v>Catalog Record</v>
      </c>
      <c r="AW6497" s="6" t="str">
        <f>HYPERLINK("http://www.worldcat.org/oclc/49576356","WorldCat Record")</f>
        <v>WorldCat Record</v>
      </c>
      <c r="AX6497" s="3" t="s">
        <v>62615</v>
      </c>
      <c r="AY6497" s="3" t="s">
        <v>62616</v>
      </c>
      <c r="AZ6497" s="3" t="s">
        <v>62617</v>
      </c>
      <c r="BA6497" s="3" t="s">
        <v>62617</v>
      </c>
      <c r="BB6497" s="3" t="s">
        <v>62618</v>
      </c>
      <c r="BC6497" s="3" t="s">
        <v>142</v>
      </c>
      <c r="BD6497" s="3" t="s">
        <v>68</v>
      </c>
      <c r="BE6497" s="3" t="s">
        <v>62619</v>
      </c>
      <c r="BF6497" s="3" t="s">
        <v>62618</v>
      </c>
      <c r="BG6497" s="3" t="s">
        <v>62620</v>
      </c>
    </row>
    <row r="6498" spans="1:59" ht="57" x14ac:dyDescent="0.45">
      <c r="A6498" s="2" t="s">
        <v>59</v>
      </c>
      <c r="B6498" s="2" t="s">
        <v>60</v>
      </c>
      <c r="C6498" s="2" t="s">
        <v>62610</v>
      </c>
      <c r="D6498" s="2" t="s">
        <v>62611</v>
      </c>
      <c r="E6498" s="2" t="s">
        <v>62612</v>
      </c>
      <c r="F6498" s="3" t="s">
        <v>87</v>
      </c>
      <c r="G6498" s="3" t="s">
        <v>61</v>
      </c>
      <c r="I6498" s="3" t="s">
        <v>62</v>
      </c>
      <c r="J6498" s="3" t="s">
        <v>62</v>
      </c>
      <c r="K6498" s="3" t="s">
        <v>63</v>
      </c>
      <c r="M6498" s="2" t="s">
        <v>62613</v>
      </c>
      <c r="N6498" s="3" t="s">
        <v>970</v>
      </c>
      <c r="P6498" s="3" t="s">
        <v>65</v>
      </c>
      <c r="Q6498" s="2" t="s">
        <v>62614</v>
      </c>
      <c r="R6498" s="3" t="s">
        <v>66</v>
      </c>
      <c r="S6498" s="4">
        <v>7</v>
      </c>
      <c r="T6498" s="4">
        <v>10</v>
      </c>
      <c r="U6498" s="5" t="s">
        <v>62224</v>
      </c>
      <c r="V6498" s="5" t="s">
        <v>62224</v>
      </c>
      <c r="W6498" s="5" t="s">
        <v>67</v>
      </c>
      <c r="X6498" s="5" t="s">
        <v>67</v>
      </c>
      <c r="Y6498" s="4">
        <v>138</v>
      </c>
      <c r="Z6498" s="4">
        <v>13</v>
      </c>
      <c r="AA6498" s="4">
        <v>22</v>
      </c>
      <c r="AB6498" s="4">
        <v>2</v>
      </c>
      <c r="AC6498" s="4">
        <v>3</v>
      </c>
      <c r="AD6498" s="4">
        <v>72</v>
      </c>
      <c r="AE6498" s="4">
        <v>77</v>
      </c>
      <c r="AF6498" s="4">
        <v>0</v>
      </c>
      <c r="AG6498" s="4">
        <v>1</v>
      </c>
      <c r="AH6498" s="4">
        <v>64</v>
      </c>
      <c r="AI6498" s="4">
        <v>65</v>
      </c>
      <c r="AJ6498" s="4">
        <v>9</v>
      </c>
      <c r="AK6498" s="4">
        <v>10</v>
      </c>
      <c r="AL6498" s="4">
        <v>43</v>
      </c>
      <c r="AM6498" s="4">
        <v>44</v>
      </c>
      <c r="AN6498" s="4">
        <v>0</v>
      </c>
      <c r="AO6498" s="4">
        <v>0</v>
      </c>
      <c r="AP6498" s="4">
        <v>10</v>
      </c>
      <c r="AQ6498" s="4">
        <v>13</v>
      </c>
      <c r="AR6498" s="3" t="s">
        <v>62</v>
      </c>
      <c r="AS6498" s="3" t="s">
        <v>62</v>
      </c>
      <c r="AT6498" s="3" t="s">
        <v>62</v>
      </c>
      <c r="AV6498" s="6" t="str">
        <f>HYPERLINK("http://mcgill.on.worldcat.org/oclc/49576356","Catalog Record")</f>
        <v>Catalog Record</v>
      </c>
      <c r="AW6498" s="6" t="str">
        <f>HYPERLINK("http://www.worldcat.org/oclc/49576356","WorldCat Record")</f>
        <v>WorldCat Record</v>
      </c>
      <c r="AX6498" s="3" t="s">
        <v>62615</v>
      </c>
      <c r="AY6498" s="3" t="s">
        <v>62616</v>
      </c>
      <c r="AZ6498" s="3" t="s">
        <v>62617</v>
      </c>
      <c r="BA6498" s="3" t="s">
        <v>62617</v>
      </c>
      <c r="BB6498" s="3" t="s">
        <v>62621</v>
      </c>
      <c r="BC6498" s="3" t="s">
        <v>142</v>
      </c>
      <c r="BD6498" s="3" t="s">
        <v>68</v>
      </c>
      <c r="BE6498" s="3" t="s">
        <v>62619</v>
      </c>
      <c r="BF6498" s="3" t="s">
        <v>62621</v>
      </c>
      <c r="BG6498" s="3" t="s">
        <v>62622</v>
      </c>
    </row>
    <row r="6499" spans="1:59" ht="57" x14ac:dyDescent="0.45">
      <c r="A6499" s="2" t="s">
        <v>59</v>
      </c>
      <c r="B6499" s="2" t="s">
        <v>60</v>
      </c>
      <c r="C6499" s="2" t="s">
        <v>62623</v>
      </c>
      <c r="D6499" s="2" t="s">
        <v>62624</v>
      </c>
      <c r="E6499" s="2" t="s">
        <v>62625</v>
      </c>
      <c r="G6499" s="3" t="s">
        <v>62</v>
      </c>
      <c r="I6499" s="3" t="s">
        <v>62</v>
      </c>
      <c r="J6499" s="3" t="s">
        <v>62</v>
      </c>
      <c r="K6499" s="3" t="s">
        <v>63</v>
      </c>
      <c r="M6499" s="2" t="s">
        <v>3828</v>
      </c>
      <c r="N6499" s="3" t="s">
        <v>820</v>
      </c>
      <c r="P6499" s="3" t="s">
        <v>65</v>
      </c>
      <c r="R6499" s="3" t="s">
        <v>66</v>
      </c>
      <c r="S6499" s="4">
        <v>2</v>
      </c>
      <c r="T6499" s="4">
        <v>2</v>
      </c>
      <c r="U6499" s="5" t="s">
        <v>40633</v>
      </c>
      <c r="V6499" s="5" t="s">
        <v>40633</v>
      </c>
      <c r="W6499" s="5" t="s">
        <v>67</v>
      </c>
      <c r="X6499" s="5" t="s">
        <v>67</v>
      </c>
      <c r="Y6499" s="4">
        <v>83</v>
      </c>
      <c r="Z6499" s="4">
        <v>7</v>
      </c>
      <c r="AA6499" s="4">
        <v>89</v>
      </c>
      <c r="AB6499" s="4">
        <v>1</v>
      </c>
      <c r="AC6499" s="4">
        <v>17</v>
      </c>
      <c r="AD6499" s="4">
        <v>33</v>
      </c>
      <c r="AE6499" s="4">
        <v>98</v>
      </c>
      <c r="AF6499" s="4">
        <v>0</v>
      </c>
      <c r="AG6499" s="4">
        <v>8</v>
      </c>
      <c r="AH6499" s="4">
        <v>31</v>
      </c>
      <c r="AI6499" s="4">
        <v>65</v>
      </c>
      <c r="AJ6499" s="4">
        <v>5</v>
      </c>
      <c r="AK6499" s="4">
        <v>21</v>
      </c>
      <c r="AL6499" s="4">
        <v>18</v>
      </c>
      <c r="AM6499" s="4">
        <v>33</v>
      </c>
      <c r="AN6499" s="4">
        <v>0</v>
      </c>
      <c r="AO6499" s="4">
        <v>0</v>
      </c>
      <c r="AP6499" s="4">
        <v>6</v>
      </c>
      <c r="AQ6499" s="4">
        <v>42</v>
      </c>
      <c r="AR6499" s="3" t="s">
        <v>62</v>
      </c>
      <c r="AS6499" s="3" t="s">
        <v>62</v>
      </c>
      <c r="AT6499" s="3" t="s">
        <v>62</v>
      </c>
      <c r="AV6499" s="6" t="str">
        <f>HYPERLINK("http://mcgill.on.worldcat.org/oclc/428630367","Catalog Record")</f>
        <v>Catalog Record</v>
      </c>
      <c r="AW6499" s="6" t="str">
        <f>HYPERLINK("http://www.worldcat.org/oclc/428630367","WorldCat Record")</f>
        <v>WorldCat Record</v>
      </c>
      <c r="AX6499" s="3" t="s">
        <v>62626</v>
      </c>
      <c r="AY6499" s="3" t="s">
        <v>62627</v>
      </c>
      <c r="AZ6499" s="3" t="s">
        <v>62628</v>
      </c>
      <c r="BA6499" s="3" t="s">
        <v>62628</v>
      </c>
      <c r="BB6499" s="3" t="s">
        <v>62629</v>
      </c>
      <c r="BC6499" s="3" t="s">
        <v>142</v>
      </c>
      <c r="BD6499" s="3" t="s">
        <v>68</v>
      </c>
      <c r="BE6499" s="3" t="s">
        <v>62630</v>
      </c>
      <c r="BF6499" s="3" t="s">
        <v>62629</v>
      </c>
      <c r="BG6499" s="3" t="s">
        <v>62631</v>
      </c>
    </row>
    <row r="6500" spans="1:59" ht="57" x14ac:dyDescent="0.45">
      <c r="A6500" s="2" t="s">
        <v>59</v>
      </c>
      <c r="B6500" s="2" t="s">
        <v>60</v>
      </c>
      <c r="C6500" s="2" t="s">
        <v>62632</v>
      </c>
      <c r="D6500" s="2" t="s">
        <v>62633</v>
      </c>
      <c r="E6500" s="2" t="s">
        <v>62634</v>
      </c>
      <c r="G6500" s="3" t="s">
        <v>62</v>
      </c>
      <c r="I6500" s="3" t="s">
        <v>62</v>
      </c>
      <c r="J6500" s="3" t="s">
        <v>62</v>
      </c>
      <c r="K6500" s="3" t="s">
        <v>63</v>
      </c>
      <c r="M6500" s="2" t="s">
        <v>45984</v>
      </c>
      <c r="N6500" s="3" t="s">
        <v>1918</v>
      </c>
      <c r="P6500" s="3" t="s">
        <v>65</v>
      </c>
      <c r="Q6500" s="2" t="s">
        <v>62635</v>
      </c>
      <c r="R6500" s="3" t="s">
        <v>66</v>
      </c>
      <c r="S6500" s="4">
        <v>0</v>
      </c>
      <c r="T6500" s="4">
        <v>0</v>
      </c>
      <c r="W6500" s="5" t="s">
        <v>67</v>
      </c>
      <c r="X6500" s="5" t="s">
        <v>67</v>
      </c>
      <c r="Y6500" s="4">
        <v>30</v>
      </c>
      <c r="Z6500" s="4">
        <v>1</v>
      </c>
      <c r="AA6500" s="4">
        <v>14</v>
      </c>
      <c r="AB6500" s="4">
        <v>1</v>
      </c>
      <c r="AC6500" s="4">
        <v>6</v>
      </c>
      <c r="AD6500" s="4">
        <v>14</v>
      </c>
      <c r="AE6500" s="4">
        <v>37</v>
      </c>
      <c r="AF6500" s="4">
        <v>0</v>
      </c>
      <c r="AG6500" s="4">
        <v>3</v>
      </c>
      <c r="AH6500" s="4">
        <v>13</v>
      </c>
      <c r="AI6500" s="4">
        <v>29</v>
      </c>
      <c r="AJ6500" s="4">
        <v>0</v>
      </c>
      <c r="AK6500" s="4">
        <v>9</v>
      </c>
      <c r="AL6500" s="4">
        <v>12</v>
      </c>
      <c r="AM6500" s="4">
        <v>20</v>
      </c>
      <c r="AN6500" s="4">
        <v>0</v>
      </c>
      <c r="AO6500" s="4">
        <v>0</v>
      </c>
      <c r="AP6500" s="4">
        <v>0</v>
      </c>
      <c r="AQ6500" s="4">
        <v>11</v>
      </c>
      <c r="AR6500" s="3" t="s">
        <v>62</v>
      </c>
      <c r="AS6500" s="3" t="s">
        <v>62</v>
      </c>
      <c r="AT6500" s="3" t="s">
        <v>62</v>
      </c>
      <c r="AV6500" s="6" t="str">
        <f>HYPERLINK("http://mcgill.on.worldcat.org/oclc/962127424","Catalog Record")</f>
        <v>Catalog Record</v>
      </c>
      <c r="AW6500" s="6" t="str">
        <f>HYPERLINK("http://www.worldcat.org/oclc/962127424","WorldCat Record")</f>
        <v>WorldCat Record</v>
      </c>
      <c r="AX6500" s="3" t="s">
        <v>62636</v>
      </c>
      <c r="AY6500" s="3" t="s">
        <v>62637</v>
      </c>
      <c r="AZ6500" s="3" t="s">
        <v>62638</v>
      </c>
      <c r="BA6500" s="3" t="s">
        <v>62638</v>
      </c>
      <c r="BB6500" s="3" t="s">
        <v>62639</v>
      </c>
      <c r="BC6500" s="3" t="s">
        <v>142</v>
      </c>
      <c r="BD6500" s="3" t="s">
        <v>68</v>
      </c>
      <c r="BE6500" s="3" t="s">
        <v>62640</v>
      </c>
      <c r="BF6500" s="3" t="s">
        <v>62639</v>
      </c>
      <c r="BG6500" s="3" t="s">
        <v>62641</v>
      </c>
    </row>
    <row r="6501" spans="1:59" ht="57" x14ac:dyDescent="0.45">
      <c r="A6501" s="2" t="s">
        <v>59</v>
      </c>
      <c r="B6501" s="2" t="s">
        <v>60</v>
      </c>
      <c r="C6501" s="2" t="s">
        <v>62642</v>
      </c>
      <c r="D6501" s="2" t="s">
        <v>62643</v>
      </c>
      <c r="E6501" s="2" t="s">
        <v>62644</v>
      </c>
      <c r="G6501" s="3" t="s">
        <v>62</v>
      </c>
      <c r="I6501" s="3" t="s">
        <v>62</v>
      </c>
      <c r="J6501" s="3" t="s">
        <v>62</v>
      </c>
      <c r="K6501" s="3" t="s">
        <v>63</v>
      </c>
      <c r="L6501" s="2" t="s">
        <v>62645</v>
      </c>
      <c r="M6501" s="2" t="s">
        <v>2844</v>
      </c>
      <c r="N6501" s="3" t="s">
        <v>1253</v>
      </c>
      <c r="P6501" s="3" t="s">
        <v>65</v>
      </c>
      <c r="R6501" s="3" t="s">
        <v>66</v>
      </c>
      <c r="S6501" s="4">
        <v>7</v>
      </c>
      <c r="T6501" s="4">
        <v>7</v>
      </c>
      <c r="U6501" s="5" t="s">
        <v>52458</v>
      </c>
      <c r="V6501" s="5" t="s">
        <v>52458</v>
      </c>
      <c r="W6501" s="5" t="s">
        <v>67</v>
      </c>
      <c r="X6501" s="5" t="s">
        <v>67</v>
      </c>
      <c r="Y6501" s="4">
        <v>227</v>
      </c>
      <c r="Z6501" s="4">
        <v>17</v>
      </c>
      <c r="AA6501" s="4">
        <v>106</v>
      </c>
      <c r="AB6501" s="4">
        <v>2</v>
      </c>
      <c r="AC6501" s="4">
        <v>21</v>
      </c>
      <c r="AD6501" s="4">
        <v>98</v>
      </c>
      <c r="AE6501" s="4">
        <v>152</v>
      </c>
      <c r="AF6501" s="4">
        <v>1</v>
      </c>
      <c r="AG6501" s="4">
        <v>9</v>
      </c>
      <c r="AH6501" s="4">
        <v>91</v>
      </c>
      <c r="AI6501" s="4">
        <v>107</v>
      </c>
      <c r="AJ6501" s="4">
        <v>14</v>
      </c>
      <c r="AK6501" s="4">
        <v>25</v>
      </c>
      <c r="AL6501" s="4">
        <v>53</v>
      </c>
      <c r="AM6501" s="4">
        <v>58</v>
      </c>
      <c r="AN6501" s="4">
        <v>0</v>
      </c>
      <c r="AO6501" s="4">
        <v>0</v>
      </c>
      <c r="AP6501" s="4">
        <v>14</v>
      </c>
      <c r="AQ6501" s="4">
        <v>53</v>
      </c>
      <c r="AR6501" s="3" t="s">
        <v>62</v>
      </c>
      <c r="AS6501" s="3" t="s">
        <v>62</v>
      </c>
      <c r="AT6501" s="3" t="s">
        <v>62</v>
      </c>
      <c r="AV6501" s="6" t="str">
        <f>HYPERLINK("http://mcgill.on.worldcat.org/oclc/35068097","Catalog Record")</f>
        <v>Catalog Record</v>
      </c>
      <c r="AW6501" s="6" t="str">
        <f>HYPERLINK("http://www.worldcat.org/oclc/35068097","WorldCat Record")</f>
        <v>WorldCat Record</v>
      </c>
      <c r="AX6501" s="3" t="s">
        <v>62646</v>
      </c>
      <c r="AY6501" s="3" t="s">
        <v>62647</v>
      </c>
      <c r="AZ6501" s="3" t="s">
        <v>62648</v>
      </c>
      <c r="BA6501" s="3" t="s">
        <v>62648</v>
      </c>
      <c r="BB6501" s="3" t="s">
        <v>62649</v>
      </c>
      <c r="BC6501" s="3" t="s">
        <v>142</v>
      </c>
      <c r="BD6501" s="3" t="s">
        <v>68</v>
      </c>
      <c r="BE6501" s="3" t="s">
        <v>62650</v>
      </c>
      <c r="BF6501" s="3" t="s">
        <v>62649</v>
      </c>
      <c r="BG6501" s="3" t="s">
        <v>62651</v>
      </c>
    </row>
    <row r="6502" spans="1:59" ht="57" x14ac:dyDescent="0.45">
      <c r="A6502" s="2" t="s">
        <v>59</v>
      </c>
      <c r="B6502" s="2" t="s">
        <v>60</v>
      </c>
      <c r="C6502" s="2" t="s">
        <v>62652</v>
      </c>
      <c r="D6502" s="2" t="s">
        <v>62653</v>
      </c>
      <c r="E6502" s="2" t="s">
        <v>62654</v>
      </c>
      <c r="G6502" s="3" t="s">
        <v>62</v>
      </c>
      <c r="I6502" s="3" t="s">
        <v>62</v>
      </c>
      <c r="J6502" s="3" t="s">
        <v>62</v>
      </c>
      <c r="K6502" s="3" t="s">
        <v>63</v>
      </c>
      <c r="L6502" s="2" t="s">
        <v>62655</v>
      </c>
      <c r="M6502" s="2" t="s">
        <v>905</v>
      </c>
      <c r="N6502" s="3" t="s">
        <v>149</v>
      </c>
      <c r="P6502" s="3" t="s">
        <v>65</v>
      </c>
      <c r="Q6502" s="2" t="s">
        <v>29735</v>
      </c>
      <c r="R6502" s="3" t="s">
        <v>66</v>
      </c>
      <c r="S6502" s="4">
        <v>4</v>
      </c>
      <c r="T6502" s="4">
        <v>4</v>
      </c>
      <c r="U6502" s="5" t="s">
        <v>17393</v>
      </c>
      <c r="V6502" s="5" t="s">
        <v>17393</v>
      </c>
      <c r="W6502" s="5" t="s">
        <v>67</v>
      </c>
      <c r="X6502" s="5" t="s">
        <v>67</v>
      </c>
      <c r="Y6502" s="4">
        <v>111</v>
      </c>
      <c r="Z6502" s="4">
        <v>9</v>
      </c>
      <c r="AA6502" s="4">
        <v>75</v>
      </c>
      <c r="AB6502" s="4">
        <v>1</v>
      </c>
      <c r="AC6502" s="4">
        <v>14</v>
      </c>
      <c r="AD6502" s="4">
        <v>26</v>
      </c>
      <c r="AE6502" s="4">
        <v>89</v>
      </c>
      <c r="AF6502" s="4">
        <v>0</v>
      </c>
      <c r="AG6502" s="4">
        <v>8</v>
      </c>
      <c r="AH6502" s="4">
        <v>21</v>
      </c>
      <c r="AI6502" s="4">
        <v>57</v>
      </c>
      <c r="AJ6502" s="4">
        <v>6</v>
      </c>
      <c r="AK6502" s="4">
        <v>21</v>
      </c>
      <c r="AL6502" s="4">
        <v>9</v>
      </c>
      <c r="AM6502" s="4">
        <v>25</v>
      </c>
      <c r="AN6502" s="4">
        <v>0</v>
      </c>
      <c r="AO6502" s="4">
        <v>0</v>
      </c>
      <c r="AP6502" s="4">
        <v>7</v>
      </c>
      <c r="AQ6502" s="4">
        <v>40</v>
      </c>
      <c r="AR6502" s="3" t="s">
        <v>62</v>
      </c>
      <c r="AS6502" s="3" t="s">
        <v>62</v>
      </c>
      <c r="AT6502" s="3" t="s">
        <v>62</v>
      </c>
      <c r="AV6502" s="6" t="str">
        <f>HYPERLINK("http://mcgill.on.worldcat.org/oclc/630513490","Catalog Record")</f>
        <v>Catalog Record</v>
      </c>
      <c r="AW6502" s="6" t="str">
        <f>HYPERLINK("http://www.worldcat.org/oclc/630513490","WorldCat Record")</f>
        <v>WorldCat Record</v>
      </c>
      <c r="AX6502" s="3" t="s">
        <v>62656</v>
      </c>
      <c r="AY6502" s="3" t="s">
        <v>62657</v>
      </c>
      <c r="AZ6502" s="3" t="s">
        <v>62658</v>
      </c>
      <c r="BA6502" s="3" t="s">
        <v>62658</v>
      </c>
      <c r="BB6502" s="3" t="s">
        <v>62659</v>
      </c>
      <c r="BC6502" s="3" t="s">
        <v>142</v>
      </c>
      <c r="BD6502" s="3" t="s">
        <v>308</v>
      </c>
      <c r="BE6502" s="3" t="s">
        <v>62660</v>
      </c>
      <c r="BF6502" s="3" t="s">
        <v>62659</v>
      </c>
      <c r="BG6502" s="3" t="s">
        <v>62661</v>
      </c>
    </row>
    <row r="6503" spans="1:59" ht="57" x14ac:dyDescent="0.45">
      <c r="A6503" s="2" t="s">
        <v>59</v>
      </c>
      <c r="B6503" s="2" t="s">
        <v>60</v>
      </c>
      <c r="C6503" s="2" t="s">
        <v>62662</v>
      </c>
      <c r="D6503" s="2" t="s">
        <v>62663</v>
      </c>
      <c r="E6503" s="2" t="s">
        <v>62664</v>
      </c>
      <c r="G6503" s="3" t="s">
        <v>62</v>
      </c>
      <c r="I6503" s="3" t="s">
        <v>62</v>
      </c>
      <c r="J6503" s="3" t="s">
        <v>62</v>
      </c>
      <c r="K6503" s="3" t="s">
        <v>63</v>
      </c>
      <c r="L6503" s="2" t="s">
        <v>62665</v>
      </c>
      <c r="M6503" s="2" t="s">
        <v>4841</v>
      </c>
      <c r="N6503" s="3" t="s">
        <v>918</v>
      </c>
      <c r="P6503" s="3" t="s">
        <v>65</v>
      </c>
      <c r="R6503" s="3" t="s">
        <v>66</v>
      </c>
      <c r="S6503" s="4">
        <v>3</v>
      </c>
      <c r="T6503" s="4">
        <v>3</v>
      </c>
      <c r="U6503" s="5" t="s">
        <v>17393</v>
      </c>
      <c r="V6503" s="5" t="s">
        <v>17393</v>
      </c>
      <c r="W6503" s="5" t="s">
        <v>67</v>
      </c>
      <c r="X6503" s="5" t="s">
        <v>67</v>
      </c>
      <c r="Y6503" s="4">
        <v>210</v>
      </c>
      <c r="Z6503" s="4">
        <v>17</v>
      </c>
      <c r="AA6503" s="4">
        <v>113</v>
      </c>
      <c r="AB6503" s="4">
        <v>2</v>
      </c>
      <c r="AC6503" s="4">
        <v>21</v>
      </c>
      <c r="AD6503" s="4">
        <v>90</v>
      </c>
      <c r="AE6503" s="4">
        <v>146</v>
      </c>
      <c r="AF6503" s="4">
        <v>1</v>
      </c>
      <c r="AG6503" s="4">
        <v>9</v>
      </c>
      <c r="AH6503" s="4">
        <v>81</v>
      </c>
      <c r="AI6503" s="4">
        <v>99</v>
      </c>
      <c r="AJ6503" s="4">
        <v>14</v>
      </c>
      <c r="AK6503" s="4">
        <v>28</v>
      </c>
      <c r="AL6503" s="4">
        <v>48</v>
      </c>
      <c r="AM6503" s="4">
        <v>54</v>
      </c>
      <c r="AN6503" s="4">
        <v>0</v>
      </c>
      <c r="AO6503" s="4">
        <v>0</v>
      </c>
      <c r="AP6503" s="4">
        <v>15</v>
      </c>
      <c r="AQ6503" s="4">
        <v>56</v>
      </c>
      <c r="AR6503" s="3" t="s">
        <v>62</v>
      </c>
      <c r="AS6503" s="3" t="s">
        <v>62</v>
      </c>
      <c r="AT6503" s="3" t="s">
        <v>62</v>
      </c>
      <c r="AV6503" s="6" t="str">
        <f>HYPERLINK("http://mcgill.on.worldcat.org/oclc/51855664","Catalog Record")</f>
        <v>Catalog Record</v>
      </c>
      <c r="AW6503" s="6" t="str">
        <f>HYPERLINK("http://www.worldcat.org/oclc/51855664","WorldCat Record")</f>
        <v>WorldCat Record</v>
      </c>
      <c r="AX6503" s="3" t="s">
        <v>62666</v>
      </c>
      <c r="AY6503" s="3" t="s">
        <v>62667</v>
      </c>
      <c r="AZ6503" s="3" t="s">
        <v>62668</v>
      </c>
      <c r="BA6503" s="3" t="s">
        <v>62668</v>
      </c>
      <c r="BB6503" s="3" t="s">
        <v>62669</v>
      </c>
      <c r="BC6503" s="3" t="s">
        <v>142</v>
      </c>
      <c r="BD6503" s="3" t="s">
        <v>308</v>
      </c>
      <c r="BE6503" s="3" t="s">
        <v>62670</v>
      </c>
      <c r="BF6503" s="3" t="s">
        <v>62669</v>
      </c>
      <c r="BG6503" s="3" t="s">
        <v>62671</v>
      </c>
    </row>
    <row r="6504" spans="1:59" ht="57" x14ac:dyDescent="0.45">
      <c r="A6504" s="2" t="s">
        <v>59</v>
      </c>
      <c r="B6504" s="2" t="s">
        <v>60</v>
      </c>
      <c r="C6504" s="2" t="s">
        <v>62672</v>
      </c>
      <c r="D6504" s="2" t="s">
        <v>62673</v>
      </c>
      <c r="E6504" s="2" t="s">
        <v>62674</v>
      </c>
      <c r="G6504" s="3" t="s">
        <v>62</v>
      </c>
      <c r="I6504" s="3" t="s">
        <v>62</v>
      </c>
      <c r="J6504" s="3" t="s">
        <v>62</v>
      </c>
      <c r="K6504" s="3" t="s">
        <v>63</v>
      </c>
      <c r="L6504" s="2" t="s">
        <v>62675</v>
      </c>
      <c r="M6504" s="2" t="s">
        <v>62676</v>
      </c>
      <c r="N6504" s="3" t="s">
        <v>149</v>
      </c>
      <c r="P6504" s="3" t="s">
        <v>65</v>
      </c>
      <c r="Q6504" s="2" t="s">
        <v>62677</v>
      </c>
      <c r="R6504" s="3" t="s">
        <v>66</v>
      </c>
      <c r="S6504" s="4">
        <v>2</v>
      </c>
      <c r="T6504" s="4">
        <v>2</v>
      </c>
      <c r="U6504" s="5" t="s">
        <v>62678</v>
      </c>
      <c r="V6504" s="5" t="s">
        <v>62678</v>
      </c>
      <c r="W6504" s="5" t="s">
        <v>67</v>
      </c>
      <c r="X6504" s="5" t="s">
        <v>67</v>
      </c>
      <c r="Y6504" s="4">
        <v>46</v>
      </c>
      <c r="Z6504" s="4">
        <v>4</v>
      </c>
      <c r="AA6504" s="4">
        <v>25</v>
      </c>
      <c r="AB6504" s="4">
        <v>1</v>
      </c>
      <c r="AC6504" s="4">
        <v>7</v>
      </c>
      <c r="AD6504" s="4">
        <v>23</v>
      </c>
      <c r="AE6504" s="4">
        <v>68</v>
      </c>
      <c r="AF6504" s="4">
        <v>0</v>
      </c>
      <c r="AG6504" s="4">
        <v>3</v>
      </c>
      <c r="AH6504" s="4">
        <v>22</v>
      </c>
      <c r="AI6504" s="4">
        <v>58</v>
      </c>
      <c r="AJ6504" s="4">
        <v>2</v>
      </c>
      <c r="AK6504" s="4">
        <v>14</v>
      </c>
      <c r="AL6504" s="4">
        <v>15</v>
      </c>
      <c r="AM6504" s="4">
        <v>32</v>
      </c>
      <c r="AN6504" s="4">
        <v>0</v>
      </c>
      <c r="AO6504" s="4">
        <v>0</v>
      </c>
      <c r="AP6504" s="4">
        <v>2</v>
      </c>
      <c r="AQ6504" s="4">
        <v>17</v>
      </c>
      <c r="AR6504" s="3" t="s">
        <v>62</v>
      </c>
      <c r="AS6504" s="3" t="s">
        <v>62</v>
      </c>
      <c r="AT6504" s="3" t="s">
        <v>62</v>
      </c>
      <c r="AV6504" s="6" t="str">
        <f>HYPERLINK("http://mcgill.on.worldcat.org/oclc/317114538","Catalog Record")</f>
        <v>Catalog Record</v>
      </c>
      <c r="AW6504" s="6" t="str">
        <f>HYPERLINK("http://www.worldcat.org/oclc/317114538","WorldCat Record")</f>
        <v>WorldCat Record</v>
      </c>
      <c r="AX6504" s="3" t="s">
        <v>62679</v>
      </c>
      <c r="AY6504" s="3" t="s">
        <v>62680</v>
      </c>
      <c r="AZ6504" s="3" t="s">
        <v>62681</v>
      </c>
      <c r="BA6504" s="3" t="s">
        <v>62681</v>
      </c>
      <c r="BB6504" s="3" t="s">
        <v>62682</v>
      </c>
      <c r="BC6504" s="3" t="s">
        <v>142</v>
      </c>
      <c r="BD6504" s="3" t="s">
        <v>68</v>
      </c>
      <c r="BE6504" s="3" t="s">
        <v>62683</v>
      </c>
      <c r="BF6504" s="3" t="s">
        <v>62682</v>
      </c>
      <c r="BG6504" s="3" t="s">
        <v>62684</v>
      </c>
    </row>
    <row r="6505" spans="1:59" ht="57" x14ac:dyDescent="0.45">
      <c r="A6505" s="2" t="s">
        <v>59</v>
      </c>
      <c r="B6505" s="2" t="s">
        <v>60</v>
      </c>
      <c r="C6505" s="2" t="s">
        <v>62685</v>
      </c>
      <c r="D6505" s="2" t="s">
        <v>62686</v>
      </c>
      <c r="E6505" s="2" t="s">
        <v>62687</v>
      </c>
      <c r="G6505" s="3" t="s">
        <v>62</v>
      </c>
      <c r="I6505" s="3" t="s">
        <v>62</v>
      </c>
      <c r="J6505" s="3" t="s">
        <v>62</v>
      </c>
      <c r="K6505" s="3" t="s">
        <v>63</v>
      </c>
      <c r="L6505" s="2" t="s">
        <v>62688</v>
      </c>
      <c r="M6505" s="2" t="s">
        <v>3013</v>
      </c>
      <c r="N6505" s="3" t="s">
        <v>1855</v>
      </c>
      <c r="P6505" s="3" t="s">
        <v>65</v>
      </c>
      <c r="Q6505" s="2" t="s">
        <v>2159</v>
      </c>
      <c r="R6505" s="3" t="s">
        <v>66</v>
      </c>
      <c r="S6505" s="4">
        <v>32</v>
      </c>
      <c r="T6505" s="4">
        <v>32</v>
      </c>
      <c r="U6505" s="5" t="s">
        <v>31527</v>
      </c>
      <c r="V6505" s="5" t="s">
        <v>31527</v>
      </c>
      <c r="W6505" s="5" t="s">
        <v>67</v>
      </c>
      <c r="X6505" s="5" t="s">
        <v>67</v>
      </c>
      <c r="Y6505" s="4">
        <v>216</v>
      </c>
      <c r="Z6505" s="4">
        <v>23</v>
      </c>
      <c r="AA6505" s="4">
        <v>25</v>
      </c>
      <c r="AB6505" s="4">
        <v>2</v>
      </c>
      <c r="AC6505" s="4">
        <v>4</v>
      </c>
      <c r="AD6505" s="4">
        <v>64</v>
      </c>
      <c r="AE6505" s="4">
        <v>66</v>
      </c>
      <c r="AF6505" s="4">
        <v>1</v>
      </c>
      <c r="AG6505" s="4">
        <v>3</v>
      </c>
      <c r="AH6505" s="4">
        <v>53</v>
      </c>
      <c r="AI6505" s="4">
        <v>53</v>
      </c>
      <c r="AJ6505" s="4">
        <v>15</v>
      </c>
      <c r="AK6505" s="4">
        <v>17</v>
      </c>
      <c r="AL6505" s="4">
        <v>31</v>
      </c>
      <c r="AM6505" s="4">
        <v>31</v>
      </c>
      <c r="AN6505" s="4">
        <v>0</v>
      </c>
      <c r="AO6505" s="4">
        <v>0</v>
      </c>
      <c r="AP6505" s="4">
        <v>18</v>
      </c>
      <c r="AQ6505" s="4">
        <v>19</v>
      </c>
      <c r="AR6505" s="3" t="s">
        <v>62</v>
      </c>
      <c r="AS6505" s="3" t="s">
        <v>62</v>
      </c>
      <c r="AT6505" s="3" t="s">
        <v>62</v>
      </c>
      <c r="AV6505" s="6" t="str">
        <f>HYPERLINK("http://mcgill.on.worldcat.org/oclc/55960789","Catalog Record")</f>
        <v>Catalog Record</v>
      </c>
      <c r="AW6505" s="6" t="str">
        <f>HYPERLINK("http://www.worldcat.org/oclc/55960789","WorldCat Record")</f>
        <v>WorldCat Record</v>
      </c>
      <c r="AX6505" s="3" t="s">
        <v>62689</v>
      </c>
      <c r="AY6505" s="3" t="s">
        <v>62690</v>
      </c>
      <c r="AZ6505" s="3" t="s">
        <v>62691</v>
      </c>
      <c r="BA6505" s="3" t="s">
        <v>62691</v>
      </c>
      <c r="BB6505" s="3" t="s">
        <v>62692</v>
      </c>
      <c r="BC6505" s="3" t="s">
        <v>142</v>
      </c>
      <c r="BD6505" s="3" t="s">
        <v>308</v>
      </c>
      <c r="BE6505" s="3" t="s">
        <v>62693</v>
      </c>
      <c r="BF6505" s="3" t="s">
        <v>62692</v>
      </c>
      <c r="BG6505" s="3" t="s">
        <v>62694</v>
      </c>
    </row>
    <row r="6506" spans="1:59" ht="57" x14ac:dyDescent="0.45">
      <c r="A6506" s="2" t="s">
        <v>59</v>
      </c>
      <c r="B6506" s="2" t="s">
        <v>60</v>
      </c>
      <c r="C6506" s="2" t="s">
        <v>62695</v>
      </c>
      <c r="D6506" s="2" t="s">
        <v>62696</v>
      </c>
      <c r="E6506" s="2" t="s">
        <v>62697</v>
      </c>
      <c r="G6506" s="3" t="s">
        <v>62</v>
      </c>
      <c r="I6506" s="3" t="s">
        <v>62</v>
      </c>
      <c r="J6506" s="3" t="s">
        <v>62</v>
      </c>
      <c r="K6506" s="3" t="s">
        <v>63</v>
      </c>
      <c r="L6506" s="2" t="s">
        <v>62698</v>
      </c>
      <c r="M6506" s="2" t="s">
        <v>62699</v>
      </c>
      <c r="N6506" s="3" t="s">
        <v>1155</v>
      </c>
      <c r="P6506" s="3" t="s">
        <v>110</v>
      </c>
      <c r="Q6506" s="2" t="s">
        <v>62700</v>
      </c>
      <c r="R6506" s="3" t="s">
        <v>66</v>
      </c>
      <c r="S6506" s="4">
        <v>0</v>
      </c>
      <c r="T6506" s="4">
        <v>0</v>
      </c>
      <c r="W6506" s="5" t="s">
        <v>67</v>
      </c>
      <c r="X6506" s="5" t="s">
        <v>67</v>
      </c>
      <c r="Y6506" s="4">
        <v>23</v>
      </c>
      <c r="Z6506" s="4">
        <v>5</v>
      </c>
      <c r="AA6506" s="4">
        <v>12</v>
      </c>
      <c r="AB6506" s="4">
        <v>1</v>
      </c>
      <c r="AC6506" s="4">
        <v>7</v>
      </c>
      <c r="AD6506" s="4">
        <v>14</v>
      </c>
      <c r="AE6506" s="4">
        <v>18</v>
      </c>
      <c r="AF6506" s="4">
        <v>0</v>
      </c>
      <c r="AG6506" s="4">
        <v>3</v>
      </c>
      <c r="AH6506" s="4">
        <v>13</v>
      </c>
      <c r="AI6506" s="4">
        <v>14</v>
      </c>
      <c r="AJ6506" s="4">
        <v>3</v>
      </c>
      <c r="AK6506" s="4">
        <v>7</v>
      </c>
      <c r="AL6506" s="4">
        <v>11</v>
      </c>
      <c r="AM6506" s="4">
        <v>11</v>
      </c>
      <c r="AN6506" s="4">
        <v>0</v>
      </c>
      <c r="AO6506" s="4">
        <v>0</v>
      </c>
      <c r="AP6506" s="4">
        <v>3</v>
      </c>
      <c r="AQ6506" s="4">
        <v>6</v>
      </c>
      <c r="AR6506" s="3" t="s">
        <v>62</v>
      </c>
      <c r="AS6506" s="3" t="s">
        <v>62</v>
      </c>
      <c r="AT6506" s="3" t="s">
        <v>62</v>
      </c>
      <c r="AV6506" s="6" t="str">
        <f>HYPERLINK("http://mcgill.on.worldcat.org/oclc/815656365","Catalog Record")</f>
        <v>Catalog Record</v>
      </c>
      <c r="AW6506" s="6" t="str">
        <f>HYPERLINK("http://www.worldcat.org/oclc/815656365","WorldCat Record")</f>
        <v>WorldCat Record</v>
      </c>
      <c r="AX6506" s="3" t="s">
        <v>62701</v>
      </c>
      <c r="AY6506" s="3" t="s">
        <v>62702</v>
      </c>
      <c r="AZ6506" s="3" t="s">
        <v>62703</v>
      </c>
      <c r="BA6506" s="3" t="s">
        <v>62703</v>
      </c>
      <c r="BB6506" s="3" t="s">
        <v>62704</v>
      </c>
      <c r="BC6506" s="3" t="s">
        <v>142</v>
      </c>
      <c r="BD6506" s="3" t="s">
        <v>68</v>
      </c>
      <c r="BE6506" s="3" t="s">
        <v>62705</v>
      </c>
      <c r="BF6506" s="3" t="s">
        <v>62704</v>
      </c>
      <c r="BG6506" s="3" t="s">
        <v>62706</v>
      </c>
    </row>
    <row r="6507" spans="1:59" ht="57" x14ac:dyDescent="0.45">
      <c r="A6507" s="2" t="s">
        <v>59</v>
      </c>
      <c r="B6507" s="2" t="s">
        <v>60</v>
      </c>
      <c r="C6507" s="2" t="s">
        <v>62707</v>
      </c>
      <c r="D6507" s="2" t="s">
        <v>62708</v>
      </c>
      <c r="E6507" s="2" t="s">
        <v>62709</v>
      </c>
      <c r="G6507" s="3" t="s">
        <v>62</v>
      </c>
      <c r="I6507" s="3" t="s">
        <v>62</v>
      </c>
      <c r="J6507" s="3" t="s">
        <v>62</v>
      </c>
      <c r="K6507" s="3" t="s">
        <v>63</v>
      </c>
      <c r="M6507" s="2" t="s">
        <v>3925</v>
      </c>
      <c r="N6507" s="3" t="s">
        <v>149</v>
      </c>
      <c r="P6507" s="3" t="s">
        <v>65</v>
      </c>
      <c r="Q6507" s="2" t="s">
        <v>62710</v>
      </c>
      <c r="R6507" s="3" t="s">
        <v>66</v>
      </c>
      <c r="S6507" s="4">
        <v>0</v>
      </c>
      <c r="T6507" s="4">
        <v>0</v>
      </c>
      <c r="W6507" s="5" t="s">
        <v>67</v>
      </c>
      <c r="X6507" s="5" t="s">
        <v>67</v>
      </c>
      <c r="Y6507" s="4">
        <v>59</v>
      </c>
      <c r="Z6507" s="4">
        <v>6</v>
      </c>
      <c r="AA6507" s="4">
        <v>95</v>
      </c>
      <c r="AB6507" s="4">
        <v>1</v>
      </c>
      <c r="AC6507" s="4">
        <v>17</v>
      </c>
      <c r="AD6507" s="4">
        <v>26</v>
      </c>
      <c r="AE6507" s="4">
        <v>109</v>
      </c>
      <c r="AF6507" s="4">
        <v>0</v>
      </c>
      <c r="AG6507" s="4">
        <v>8</v>
      </c>
      <c r="AH6507" s="4">
        <v>25</v>
      </c>
      <c r="AI6507" s="4">
        <v>74</v>
      </c>
      <c r="AJ6507" s="4">
        <v>5</v>
      </c>
      <c r="AK6507" s="4">
        <v>22</v>
      </c>
      <c r="AL6507" s="4">
        <v>17</v>
      </c>
      <c r="AM6507" s="4">
        <v>37</v>
      </c>
      <c r="AN6507" s="4">
        <v>0</v>
      </c>
      <c r="AO6507" s="4">
        <v>0</v>
      </c>
      <c r="AP6507" s="4">
        <v>5</v>
      </c>
      <c r="AQ6507" s="4">
        <v>43</v>
      </c>
      <c r="AR6507" s="3" t="s">
        <v>62</v>
      </c>
      <c r="AS6507" s="3" t="s">
        <v>62</v>
      </c>
      <c r="AT6507" s="3" t="s">
        <v>62</v>
      </c>
      <c r="AV6507" s="6" t="str">
        <f>HYPERLINK("http://mcgill.on.worldcat.org/oclc/639163029","Catalog Record")</f>
        <v>Catalog Record</v>
      </c>
      <c r="AW6507" s="6" t="str">
        <f>HYPERLINK("http://www.worldcat.org/oclc/639163029","WorldCat Record")</f>
        <v>WorldCat Record</v>
      </c>
      <c r="AX6507" s="3" t="s">
        <v>62711</v>
      </c>
      <c r="AY6507" s="3" t="s">
        <v>62712</v>
      </c>
      <c r="AZ6507" s="3" t="s">
        <v>62713</v>
      </c>
      <c r="BA6507" s="3" t="s">
        <v>62713</v>
      </c>
      <c r="BB6507" s="3" t="s">
        <v>62714</v>
      </c>
      <c r="BC6507" s="3" t="s">
        <v>142</v>
      </c>
      <c r="BD6507" s="3" t="s">
        <v>68</v>
      </c>
      <c r="BE6507" s="3" t="s">
        <v>62715</v>
      </c>
      <c r="BF6507" s="3" t="s">
        <v>62714</v>
      </c>
      <c r="BG6507" s="3" t="s">
        <v>62716</v>
      </c>
    </row>
    <row r="6508" spans="1:59" ht="57" x14ac:dyDescent="0.45">
      <c r="A6508" s="2" t="s">
        <v>59</v>
      </c>
      <c r="B6508" s="2" t="s">
        <v>60</v>
      </c>
      <c r="C6508" s="2" t="s">
        <v>62717</v>
      </c>
      <c r="D6508" s="2" t="s">
        <v>62718</v>
      </c>
      <c r="E6508" s="2" t="s">
        <v>62719</v>
      </c>
      <c r="G6508" s="3" t="s">
        <v>62</v>
      </c>
      <c r="I6508" s="3" t="s">
        <v>62</v>
      </c>
      <c r="J6508" s="3" t="s">
        <v>62</v>
      </c>
      <c r="K6508" s="3" t="s">
        <v>63</v>
      </c>
      <c r="M6508" s="2" t="s">
        <v>62720</v>
      </c>
      <c r="N6508" s="3" t="s">
        <v>1465</v>
      </c>
      <c r="P6508" s="3" t="s">
        <v>65</v>
      </c>
      <c r="Q6508" s="2" t="s">
        <v>62721</v>
      </c>
      <c r="R6508" s="3" t="s">
        <v>66</v>
      </c>
      <c r="S6508" s="4">
        <v>1</v>
      </c>
      <c r="T6508" s="4">
        <v>1</v>
      </c>
      <c r="U6508" s="5" t="s">
        <v>55193</v>
      </c>
      <c r="V6508" s="5" t="s">
        <v>55193</v>
      </c>
      <c r="W6508" s="5" t="s">
        <v>67</v>
      </c>
      <c r="X6508" s="5" t="s">
        <v>67</v>
      </c>
      <c r="Y6508" s="4">
        <v>29</v>
      </c>
      <c r="Z6508" s="4">
        <v>4</v>
      </c>
      <c r="AA6508" s="4">
        <v>4</v>
      </c>
      <c r="AB6508" s="4">
        <v>2</v>
      </c>
      <c r="AC6508" s="4">
        <v>2</v>
      </c>
      <c r="AD6508" s="4">
        <v>19</v>
      </c>
      <c r="AE6508" s="4">
        <v>19</v>
      </c>
      <c r="AF6508" s="4">
        <v>0</v>
      </c>
      <c r="AG6508" s="4">
        <v>0</v>
      </c>
      <c r="AH6508" s="4">
        <v>18</v>
      </c>
      <c r="AI6508" s="4">
        <v>18</v>
      </c>
      <c r="AJ6508" s="4">
        <v>2</v>
      </c>
      <c r="AK6508" s="4">
        <v>2</v>
      </c>
      <c r="AL6508" s="4">
        <v>16</v>
      </c>
      <c r="AM6508" s="4">
        <v>16</v>
      </c>
      <c r="AN6508" s="4">
        <v>0</v>
      </c>
      <c r="AO6508" s="4">
        <v>0</v>
      </c>
      <c r="AP6508" s="4">
        <v>2</v>
      </c>
      <c r="AQ6508" s="4">
        <v>2</v>
      </c>
      <c r="AR6508" s="3" t="s">
        <v>62</v>
      </c>
      <c r="AS6508" s="3" t="s">
        <v>62</v>
      </c>
      <c r="AT6508" s="3" t="s">
        <v>62</v>
      </c>
      <c r="AV6508" s="6" t="str">
        <f>HYPERLINK("http://mcgill.on.worldcat.org/oclc/370357559","Catalog Record")</f>
        <v>Catalog Record</v>
      </c>
      <c r="AW6508" s="6" t="str">
        <f>HYPERLINK("http://www.worldcat.org/oclc/370357559","WorldCat Record")</f>
        <v>WorldCat Record</v>
      </c>
      <c r="AX6508" s="3" t="s">
        <v>62722</v>
      </c>
      <c r="AY6508" s="3" t="s">
        <v>62723</v>
      </c>
      <c r="AZ6508" s="3" t="s">
        <v>62724</v>
      </c>
      <c r="BA6508" s="3" t="s">
        <v>62724</v>
      </c>
      <c r="BB6508" s="3" t="s">
        <v>62725</v>
      </c>
      <c r="BC6508" s="3" t="s">
        <v>142</v>
      </c>
      <c r="BD6508" s="3" t="s">
        <v>68</v>
      </c>
      <c r="BF6508" s="3" t="s">
        <v>62725</v>
      </c>
      <c r="BG6508" s="3" t="s">
        <v>62726</v>
      </c>
    </row>
    <row r="6509" spans="1:59" ht="57" x14ac:dyDescent="0.45">
      <c r="A6509" s="2" t="s">
        <v>59</v>
      </c>
      <c r="B6509" s="2" t="s">
        <v>60</v>
      </c>
      <c r="C6509" s="2" t="s">
        <v>62727</v>
      </c>
      <c r="D6509" s="2" t="s">
        <v>62728</v>
      </c>
      <c r="E6509" s="2" t="s">
        <v>62729</v>
      </c>
      <c r="G6509" s="3" t="s">
        <v>62</v>
      </c>
      <c r="I6509" s="3" t="s">
        <v>62</v>
      </c>
      <c r="J6509" s="3" t="s">
        <v>62</v>
      </c>
      <c r="K6509" s="3" t="s">
        <v>63</v>
      </c>
      <c r="M6509" s="2" t="s">
        <v>62730</v>
      </c>
      <c r="N6509" s="3" t="s">
        <v>149</v>
      </c>
      <c r="P6509" s="3" t="s">
        <v>65</v>
      </c>
      <c r="Q6509" s="2" t="s">
        <v>62731</v>
      </c>
      <c r="R6509" s="3" t="s">
        <v>66</v>
      </c>
      <c r="S6509" s="4">
        <v>0</v>
      </c>
      <c r="T6509" s="4">
        <v>0</v>
      </c>
      <c r="W6509" s="5" t="s">
        <v>67</v>
      </c>
      <c r="X6509" s="5" t="s">
        <v>67</v>
      </c>
      <c r="Y6509" s="4">
        <v>44</v>
      </c>
      <c r="Z6509" s="4">
        <v>5</v>
      </c>
      <c r="AA6509" s="4">
        <v>77</v>
      </c>
      <c r="AB6509" s="4">
        <v>1</v>
      </c>
      <c r="AC6509" s="4">
        <v>14</v>
      </c>
      <c r="AD6509" s="4">
        <v>18</v>
      </c>
      <c r="AE6509" s="4">
        <v>95</v>
      </c>
      <c r="AF6509" s="4">
        <v>0</v>
      </c>
      <c r="AG6509" s="4">
        <v>8</v>
      </c>
      <c r="AH6509" s="4">
        <v>15</v>
      </c>
      <c r="AI6509" s="4">
        <v>61</v>
      </c>
      <c r="AJ6509" s="4">
        <v>4</v>
      </c>
      <c r="AK6509" s="4">
        <v>20</v>
      </c>
      <c r="AL6509" s="4">
        <v>14</v>
      </c>
      <c r="AM6509" s="4">
        <v>31</v>
      </c>
      <c r="AN6509" s="4">
        <v>0</v>
      </c>
      <c r="AO6509" s="4">
        <v>0</v>
      </c>
      <c r="AP6509" s="4">
        <v>4</v>
      </c>
      <c r="AQ6509" s="4">
        <v>40</v>
      </c>
      <c r="AR6509" s="3" t="s">
        <v>62</v>
      </c>
      <c r="AS6509" s="3" t="s">
        <v>62</v>
      </c>
      <c r="AT6509" s="3" t="s">
        <v>62</v>
      </c>
      <c r="AV6509" s="6" t="str">
        <f>HYPERLINK("http://mcgill.on.worldcat.org/oclc/465618344","Catalog Record")</f>
        <v>Catalog Record</v>
      </c>
      <c r="AW6509" s="6" t="str">
        <f>HYPERLINK("http://www.worldcat.org/oclc/465618344","WorldCat Record")</f>
        <v>WorldCat Record</v>
      </c>
      <c r="AX6509" s="3" t="s">
        <v>62732</v>
      </c>
      <c r="AY6509" s="3" t="s">
        <v>62733</v>
      </c>
      <c r="AZ6509" s="3" t="s">
        <v>62734</v>
      </c>
      <c r="BA6509" s="3" t="s">
        <v>62734</v>
      </c>
      <c r="BB6509" s="3" t="s">
        <v>62735</v>
      </c>
      <c r="BC6509" s="3" t="s">
        <v>142</v>
      </c>
      <c r="BD6509" s="3" t="s">
        <v>68</v>
      </c>
      <c r="BE6509" s="3" t="s">
        <v>62736</v>
      </c>
      <c r="BF6509" s="3" t="s">
        <v>62735</v>
      </c>
      <c r="BG6509" s="3" t="s">
        <v>62737</v>
      </c>
    </row>
    <row r="6510" spans="1:59" ht="57" x14ac:dyDescent="0.45">
      <c r="A6510" s="2" t="s">
        <v>59</v>
      </c>
      <c r="B6510" s="2" t="s">
        <v>60</v>
      </c>
      <c r="C6510" s="2" t="s">
        <v>62738</v>
      </c>
      <c r="D6510" s="2" t="s">
        <v>62739</v>
      </c>
      <c r="E6510" s="2" t="s">
        <v>62740</v>
      </c>
      <c r="G6510" s="3" t="s">
        <v>62</v>
      </c>
      <c r="I6510" s="3" t="s">
        <v>62</v>
      </c>
      <c r="J6510" s="3" t="s">
        <v>62</v>
      </c>
      <c r="K6510" s="3" t="s">
        <v>63</v>
      </c>
      <c r="M6510" s="2" t="s">
        <v>62741</v>
      </c>
      <c r="N6510" s="3" t="s">
        <v>894</v>
      </c>
      <c r="O6510" s="2" t="s">
        <v>168</v>
      </c>
      <c r="P6510" s="3" t="s">
        <v>65</v>
      </c>
      <c r="Q6510" s="2" t="s">
        <v>62742</v>
      </c>
      <c r="R6510" s="3" t="s">
        <v>66</v>
      </c>
      <c r="S6510" s="4">
        <v>4</v>
      </c>
      <c r="T6510" s="4">
        <v>4</v>
      </c>
      <c r="U6510" s="5" t="s">
        <v>8032</v>
      </c>
      <c r="V6510" s="5" t="s">
        <v>8032</v>
      </c>
      <c r="W6510" s="5" t="s">
        <v>67</v>
      </c>
      <c r="X6510" s="5" t="s">
        <v>67</v>
      </c>
      <c r="Y6510" s="4">
        <v>12</v>
      </c>
      <c r="Z6510" s="4">
        <v>3</v>
      </c>
      <c r="AA6510" s="4">
        <v>84</v>
      </c>
      <c r="AB6510" s="4">
        <v>1</v>
      </c>
      <c r="AC6510" s="4">
        <v>17</v>
      </c>
      <c r="AD6510" s="4">
        <v>3</v>
      </c>
      <c r="AE6510" s="4">
        <v>98</v>
      </c>
      <c r="AF6510" s="4">
        <v>0</v>
      </c>
      <c r="AG6510" s="4">
        <v>8</v>
      </c>
      <c r="AH6510" s="4">
        <v>3</v>
      </c>
      <c r="AI6510" s="4">
        <v>64</v>
      </c>
      <c r="AJ6510" s="4">
        <v>2</v>
      </c>
      <c r="AK6510" s="4">
        <v>18</v>
      </c>
      <c r="AL6510" s="4">
        <v>1</v>
      </c>
      <c r="AM6510" s="4">
        <v>34</v>
      </c>
      <c r="AN6510" s="4">
        <v>0</v>
      </c>
      <c r="AO6510" s="4">
        <v>0</v>
      </c>
      <c r="AP6510" s="4">
        <v>2</v>
      </c>
      <c r="AQ6510" s="4">
        <v>39</v>
      </c>
      <c r="AR6510" s="3" t="s">
        <v>62</v>
      </c>
      <c r="AS6510" s="3" t="s">
        <v>62</v>
      </c>
      <c r="AT6510" s="3" t="s">
        <v>62</v>
      </c>
      <c r="AV6510" s="6" t="str">
        <f>HYPERLINK("http://mcgill.on.worldcat.org/oclc/758466478","Catalog Record")</f>
        <v>Catalog Record</v>
      </c>
      <c r="AW6510" s="6" t="str">
        <f>HYPERLINK("http://www.worldcat.org/oclc/758466478","WorldCat Record")</f>
        <v>WorldCat Record</v>
      </c>
      <c r="AX6510" s="3" t="s">
        <v>62743</v>
      </c>
      <c r="AY6510" s="3" t="s">
        <v>62744</v>
      </c>
      <c r="AZ6510" s="3" t="s">
        <v>62745</v>
      </c>
      <c r="BA6510" s="3" t="s">
        <v>62745</v>
      </c>
      <c r="BB6510" s="3" t="s">
        <v>62746</v>
      </c>
      <c r="BC6510" s="3" t="s">
        <v>142</v>
      </c>
      <c r="BD6510" s="3" t="s">
        <v>68</v>
      </c>
      <c r="BE6510" s="3" t="s">
        <v>62747</v>
      </c>
      <c r="BF6510" s="3" t="s">
        <v>62746</v>
      </c>
      <c r="BG6510" s="3" t="s">
        <v>62748</v>
      </c>
    </row>
    <row r="6511" spans="1:59" ht="57" x14ac:dyDescent="0.45">
      <c r="A6511" s="2" t="s">
        <v>59</v>
      </c>
      <c r="B6511" s="2" t="s">
        <v>60</v>
      </c>
      <c r="C6511" s="2" t="s">
        <v>62749</v>
      </c>
      <c r="D6511" s="2" t="s">
        <v>62750</v>
      </c>
      <c r="E6511" s="2" t="s">
        <v>62751</v>
      </c>
      <c r="G6511" s="3" t="s">
        <v>62</v>
      </c>
      <c r="I6511" s="3" t="s">
        <v>62</v>
      </c>
      <c r="J6511" s="3" t="s">
        <v>62</v>
      </c>
      <c r="K6511" s="3" t="s">
        <v>63</v>
      </c>
      <c r="M6511" s="2" t="s">
        <v>47107</v>
      </c>
      <c r="N6511" s="3" t="s">
        <v>149</v>
      </c>
      <c r="P6511" s="3" t="s">
        <v>65</v>
      </c>
      <c r="Q6511" s="2" t="s">
        <v>62752</v>
      </c>
      <c r="R6511" s="3" t="s">
        <v>66</v>
      </c>
      <c r="S6511" s="4">
        <v>1</v>
      </c>
      <c r="T6511" s="4">
        <v>1</v>
      </c>
      <c r="U6511" s="5" t="s">
        <v>42852</v>
      </c>
      <c r="V6511" s="5" t="s">
        <v>42852</v>
      </c>
      <c r="W6511" s="5" t="s">
        <v>67</v>
      </c>
      <c r="X6511" s="5" t="s">
        <v>67</v>
      </c>
      <c r="Y6511" s="4">
        <v>81</v>
      </c>
      <c r="Z6511" s="4">
        <v>9</v>
      </c>
      <c r="AA6511" s="4">
        <v>90</v>
      </c>
      <c r="AB6511" s="4">
        <v>1</v>
      </c>
      <c r="AC6511" s="4">
        <v>17</v>
      </c>
      <c r="AD6511" s="4">
        <v>38</v>
      </c>
      <c r="AE6511" s="4">
        <v>105</v>
      </c>
      <c r="AF6511" s="4">
        <v>0</v>
      </c>
      <c r="AG6511" s="4">
        <v>8</v>
      </c>
      <c r="AH6511" s="4">
        <v>35</v>
      </c>
      <c r="AI6511" s="4">
        <v>71</v>
      </c>
      <c r="AJ6511" s="4">
        <v>7</v>
      </c>
      <c r="AK6511" s="4">
        <v>23</v>
      </c>
      <c r="AL6511" s="4">
        <v>23</v>
      </c>
      <c r="AM6511" s="4">
        <v>38</v>
      </c>
      <c r="AN6511" s="4">
        <v>0</v>
      </c>
      <c r="AO6511" s="4">
        <v>0</v>
      </c>
      <c r="AP6511" s="4">
        <v>7</v>
      </c>
      <c r="AQ6511" s="4">
        <v>44</v>
      </c>
      <c r="AR6511" s="3" t="s">
        <v>62</v>
      </c>
      <c r="AS6511" s="3" t="s">
        <v>62</v>
      </c>
      <c r="AT6511" s="3" t="s">
        <v>62</v>
      </c>
      <c r="AV6511" s="6" t="str">
        <f>HYPERLINK("http://mcgill.on.worldcat.org/oclc/664354356","Catalog Record")</f>
        <v>Catalog Record</v>
      </c>
      <c r="AW6511" s="6" t="str">
        <f>HYPERLINK("http://www.worldcat.org/oclc/664354356","WorldCat Record")</f>
        <v>WorldCat Record</v>
      </c>
      <c r="AX6511" s="3" t="s">
        <v>62753</v>
      </c>
      <c r="AY6511" s="3" t="s">
        <v>62754</v>
      </c>
      <c r="AZ6511" s="3" t="s">
        <v>62755</v>
      </c>
      <c r="BA6511" s="3" t="s">
        <v>62755</v>
      </c>
      <c r="BB6511" s="3" t="s">
        <v>62756</v>
      </c>
      <c r="BC6511" s="3" t="s">
        <v>142</v>
      </c>
      <c r="BD6511" s="3" t="s">
        <v>68</v>
      </c>
      <c r="BE6511" s="3" t="s">
        <v>62757</v>
      </c>
      <c r="BF6511" s="3" t="s">
        <v>62756</v>
      </c>
      <c r="BG6511" s="3" t="s">
        <v>62758</v>
      </c>
    </row>
    <row r="6512" spans="1:59" ht="57" x14ac:dyDescent="0.45">
      <c r="A6512" s="2" t="s">
        <v>59</v>
      </c>
      <c r="B6512" s="2" t="s">
        <v>60</v>
      </c>
      <c r="C6512" s="2" t="s">
        <v>62759</v>
      </c>
      <c r="D6512" s="2" t="s">
        <v>62760</v>
      </c>
      <c r="E6512" s="2" t="s">
        <v>62761</v>
      </c>
      <c r="G6512" s="3" t="s">
        <v>62</v>
      </c>
      <c r="I6512" s="3" t="s">
        <v>62</v>
      </c>
      <c r="J6512" s="3" t="s">
        <v>62</v>
      </c>
      <c r="K6512" s="3" t="s">
        <v>63</v>
      </c>
      <c r="L6512" s="2" t="s">
        <v>30185</v>
      </c>
      <c r="M6512" s="2" t="s">
        <v>4429</v>
      </c>
      <c r="N6512" s="3" t="s">
        <v>1097</v>
      </c>
      <c r="P6512" s="3" t="s">
        <v>65</v>
      </c>
      <c r="R6512" s="3" t="s">
        <v>66</v>
      </c>
      <c r="S6512" s="4">
        <v>24</v>
      </c>
      <c r="T6512" s="4">
        <v>24</v>
      </c>
      <c r="U6512" s="5" t="s">
        <v>62762</v>
      </c>
      <c r="V6512" s="5" t="s">
        <v>62762</v>
      </c>
      <c r="W6512" s="5" t="s">
        <v>67</v>
      </c>
      <c r="X6512" s="5" t="s">
        <v>67</v>
      </c>
      <c r="Y6512" s="4">
        <v>276</v>
      </c>
      <c r="Z6512" s="4">
        <v>19</v>
      </c>
      <c r="AA6512" s="4">
        <v>96</v>
      </c>
      <c r="AB6512" s="4">
        <v>1</v>
      </c>
      <c r="AC6512" s="4">
        <v>18</v>
      </c>
      <c r="AD6512" s="4">
        <v>103</v>
      </c>
      <c r="AE6512" s="4">
        <v>150</v>
      </c>
      <c r="AF6512" s="4">
        <v>0</v>
      </c>
      <c r="AG6512" s="4">
        <v>9</v>
      </c>
      <c r="AH6512" s="4">
        <v>94</v>
      </c>
      <c r="AI6512" s="4">
        <v>103</v>
      </c>
      <c r="AJ6512" s="4">
        <v>16</v>
      </c>
      <c r="AK6512" s="4">
        <v>27</v>
      </c>
      <c r="AL6512" s="4">
        <v>51</v>
      </c>
      <c r="AM6512" s="4">
        <v>55</v>
      </c>
      <c r="AN6512" s="4">
        <v>0</v>
      </c>
      <c r="AO6512" s="4">
        <v>0</v>
      </c>
      <c r="AP6512" s="4">
        <v>16</v>
      </c>
      <c r="AQ6512" s="4">
        <v>55</v>
      </c>
      <c r="AR6512" s="3" t="s">
        <v>62</v>
      </c>
      <c r="AS6512" s="3" t="s">
        <v>62</v>
      </c>
      <c r="AT6512" s="3" t="s">
        <v>62</v>
      </c>
      <c r="AV6512" s="6" t="str">
        <f>HYPERLINK("http://mcgill.on.worldcat.org/oclc/52133030","Catalog Record")</f>
        <v>Catalog Record</v>
      </c>
      <c r="AW6512" s="6" t="str">
        <f>HYPERLINK("http://www.worldcat.org/oclc/52133030","WorldCat Record")</f>
        <v>WorldCat Record</v>
      </c>
      <c r="AX6512" s="3" t="s">
        <v>62763</v>
      </c>
      <c r="AY6512" s="3" t="s">
        <v>62764</v>
      </c>
      <c r="AZ6512" s="3" t="s">
        <v>62765</v>
      </c>
      <c r="BA6512" s="3" t="s">
        <v>62765</v>
      </c>
      <c r="BB6512" s="3" t="s">
        <v>62766</v>
      </c>
      <c r="BC6512" s="3" t="s">
        <v>142</v>
      </c>
      <c r="BD6512" s="3" t="s">
        <v>68</v>
      </c>
      <c r="BE6512" s="3" t="s">
        <v>62767</v>
      </c>
      <c r="BF6512" s="3" t="s">
        <v>62766</v>
      </c>
      <c r="BG6512" s="3" t="s">
        <v>62768</v>
      </c>
    </row>
    <row r="6513" spans="1:59" ht="57" x14ac:dyDescent="0.45">
      <c r="A6513" s="2" t="s">
        <v>59</v>
      </c>
      <c r="B6513" s="2" t="s">
        <v>60</v>
      </c>
      <c r="C6513" s="2" t="s">
        <v>62769</v>
      </c>
      <c r="D6513" s="2" t="s">
        <v>62770</v>
      </c>
      <c r="E6513" s="2" t="s">
        <v>62771</v>
      </c>
      <c r="G6513" s="3" t="s">
        <v>62</v>
      </c>
      <c r="I6513" s="3" t="s">
        <v>62</v>
      </c>
      <c r="J6513" s="3" t="s">
        <v>62</v>
      </c>
      <c r="K6513" s="3" t="s">
        <v>63</v>
      </c>
      <c r="L6513" s="2" t="s">
        <v>62772</v>
      </c>
      <c r="M6513" s="2" t="s">
        <v>34980</v>
      </c>
      <c r="N6513" s="3" t="s">
        <v>149</v>
      </c>
      <c r="P6513" s="3" t="s">
        <v>65</v>
      </c>
      <c r="Q6513" s="2" t="s">
        <v>2632</v>
      </c>
      <c r="R6513" s="3" t="s">
        <v>66</v>
      </c>
      <c r="S6513" s="4">
        <v>4</v>
      </c>
      <c r="T6513" s="4">
        <v>4</v>
      </c>
      <c r="U6513" s="5" t="s">
        <v>27141</v>
      </c>
      <c r="V6513" s="5" t="s">
        <v>27141</v>
      </c>
      <c r="W6513" s="5" t="s">
        <v>67</v>
      </c>
      <c r="X6513" s="5" t="s">
        <v>67</v>
      </c>
      <c r="Y6513" s="4">
        <v>153</v>
      </c>
      <c r="Z6513" s="4">
        <v>16</v>
      </c>
      <c r="AA6513" s="4">
        <v>78</v>
      </c>
      <c r="AB6513" s="4">
        <v>3</v>
      </c>
      <c r="AC6513" s="4">
        <v>15</v>
      </c>
      <c r="AD6513" s="4">
        <v>35</v>
      </c>
      <c r="AE6513" s="4">
        <v>94</v>
      </c>
      <c r="AF6513" s="4">
        <v>1</v>
      </c>
      <c r="AG6513" s="4">
        <v>8</v>
      </c>
      <c r="AH6513" s="4">
        <v>27</v>
      </c>
      <c r="AI6513" s="4">
        <v>62</v>
      </c>
      <c r="AJ6513" s="4">
        <v>9</v>
      </c>
      <c r="AK6513" s="4">
        <v>21</v>
      </c>
      <c r="AL6513" s="4">
        <v>15</v>
      </c>
      <c r="AM6513" s="4">
        <v>31</v>
      </c>
      <c r="AN6513" s="4">
        <v>0</v>
      </c>
      <c r="AO6513" s="4">
        <v>0</v>
      </c>
      <c r="AP6513" s="4">
        <v>11</v>
      </c>
      <c r="AQ6513" s="4">
        <v>40</v>
      </c>
      <c r="AR6513" s="3" t="s">
        <v>62</v>
      </c>
      <c r="AS6513" s="3" t="s">
        <v>62</v>
      </c>
      <c r="AT6513" s="3" t="s">
        <v>62</v>
      </c>
      <c r="AV6513" s="6" t="str">
        <f>HYPERLINK("http://mcgill.on.worldcat.org/oclc/465366305","Catalog Record")</f>
        <v>Catalog Record</v>
      </c>
      <c r="AW6513" s="6" t="str">
        <f>HYPERLINK("http://www.worldcat.org/oclc/465366305","WorldCat Record")</f>
        <v>WorldCat Record</v>
      </c>
      <c r="AX6513" s="3" t="s">
        <v>62773</v>
      </c>
      <c r="AY6513" s="3" t="s">
        <v>62774</v>
      </c>
      <c r="AZ6513" s="3" t="s">
        <v>62775</v>
      </c>
      <c r="BA6513" s="3" t="s">
        <v>62775</v>
      </c>
      <c r="BB6513" s="3" t="s">
        <v>62776</v>
      </c>
      <c r="BC6513" s="3" t="s">
        <v>142</v>
      </c>
      <c r="BD6513" s="3" t="s">
        <v>68</v>
      </c>
      <c r="BE6513" s="3" t="s">
        <v>62777</v>
      </c>
      <c r="BF6513" s="3" t="s">
        <v>62776</v>
      </c>
      <c r="BG6513" s="3" t="s">
        <v>62778</v>
      </c>
    </row>
    <row r="6514" spans="1:59" ht="57" x14ac:dyDescent="0.45">
      <c r="A6514" s="2" t="s">
        <v>59</v>
      </c>
      <c r="B6514" s="2" t="s">
        <v>60</v>
      </c>
      <c r="C6514" s="2" t="s">
        <v>62779</v>
      </c>
      <c r="D6514" s="2" t="s">
        <v>62780</v>
      </c>
      <c r="E6514" s="2" t="s">
        <v>62781</v>
      </c>
      <c r="G6514" s="3" t="s">
        <v>62</v>
      </c>
      <c r="I6514" s="3" t="s">
        <v>61</v>
      </c>
      <c r="J6514" s="3" t="s">
        <v>61</v>
      </c>
      <c r="K6514" s="3" t="s">
        <v>63</v>
      </c>
      <c r="L6514" s="2" t="s">
        <v>62782</v>
      </c>
      <c r="M6514" s="2" t="s">
        <v>917</v>
      </c>
      <c r="N6514" s="3" t="s">
        <v>918</v>
      </c>
      <c r="O6514" s="2" t="s">
        <v>933</v>
      </c>
      <c r="P6514" s="3" t="s">
        <v>65</v>
      </c>
      <c r="Q6514" s="2" t="s">
        <v>62783</v>
      </c>
      <c r="R6514" s="3" t="s">
        <v>66</v>
      </c>
      <c r="S6514" s="4">
        <v>7</v>
      </c>
      <c r="T6514" s="4">
        <v>32</v>
      </c>
      <c r="U6514" s="5" t="s">
        <v>36058</v>
      </c>
      <c r="V6514" s="5" t="s">
        <v>585</v>
      </c>
      <c r="W6514" s="5" t="s">
        <v>67</v>
      </c>
      <c r="X6514" s="5" t="s">
        <v>67</v>
      </c>
      <c r="Y6514" s="4">
        <v>216</v>
      </c>
      <c r="Z6514" s="4">
        <v>23</v>
      </c>
      <c r="AA6514" s="4">
        <v>47</v>
      </c>
      <c r="AB6514" s="4">
        <v>2</v>
      </c>
      <c r="AC6514" s="4">
        <v>8</v>
      </c>
      <c r="AD6514" s="4">
        <v>62</v>
      </c>
      <c r="AE6514" s="4">
        <v>113</v>
      </c>
      <c r="AF6514" s="4">
        <v>1</v>
      </c>
      <c r="AG6514" s="4">
        <v>5</v>
      </c>
      <c r="AH6514" s="4">
        <v>50</v>
      </c>
      <c r="AI6514" s="4">
        <v>89</v>
      </c>
      <c r="AJ6514" s="4">
        <v>13</v>
      </c>
      <c r="AK6514" s="4">
        <v>23</v>
      </c>
      <c r="AL6514" s="4">
        <v>30</v>
      </c>
      <c r="AM6514" s="4">
        <v>52</v>
      </c>
      <c r="AN6514" s="4">
        <v>0</v>
      </c>
      <c r="AO6514" s="4">
        <v>0</v>
      </c>
      <c r="AP6514" s="4">
        <v>18</v>
      </c>
      <c r="AQ6514" s="4">
        <v>32</v>
      </c>
      <c r="AR6514" s="3" t="s">
        <v>62</v>
      </c>
      <c r="AS6514" s="3" t="s">
        <v>62</v>
      </c>
      <c r="AT6514" s="3" t="s">
        <v>62</v>
      </c>
      <c r="AV6514" s="6" t="str">
        <f>HYPERLINK("http://mcgill.on.worldcat.org/oclc/49824713","Catalog Record")</f>
        <v>Catalog Record</v>
      </c>
      <c r="AW6514" s="6" t="str">
        <f>HYPERLINK("http://www.worldcat.org/oclc/49824713","WorldCat Record")</f>
        <v>WorldCat Record</v>
      </c>
      <c r="AX6514" s="3" t="s">
        <v>62784</v>
      </c>
      <c r="AY6514" s="3" t="s">
        <v>62785</v>
      </c>
      <c r="AZ6514" s="3" t="s">
        <v>62786</v>
      </c>
      <c r="BA6514" s="3" t="s">
        <v>62786</v>
      </c>
      <c r="BB6514" s="3" t="s">
        <v>62787</v>
      </c>
      <c r="BC6514" s="3" t="s">
        <v>142</v>
      </c>
      <c r="BD6514" s="3" t="s">
        <v>68</v>
      </c>
      <c r="BE6514" s="3" t="s">
        <v>62788</v>
      </c>
      <c r="BF6514" s="3" t="s">
        <v>62787</v>
      </c>
      <c r="BG6514" s="3" t="s">
        <v>62789</v>
      </c>
    </row>
    <row r="6515" spans="1:59" ht="57" x14ac:dyDescent="0.45">
      <c r="A6515" s="2" t="s">
        <v>59</v>
      </c>
      <c r="B6515" s="2" t="s">
        <v>60</v>
      </c>
      <c r="C6515" s="2" t="s">
        <v>62779</v>
      </c>
      <c r="D6515" s="2" t="s">
        <v>62780</v>
      </c>
      <c r="E6515" s="2" t="s">
        <v>62781</v>
      </c>
      <c r="G6515" s="3" t="s">
        <v>62</v>
      </c>
      <c r="I6515" s="3" t="s">
        <v>61</v>
      </c>
      <c r="J6515" s="3" t="s">
        <v>61</v>
      </c>
      <c r="K6515" s="3" t="s">
        <v>63</v>
      </c>
      <c r="L6515" s="2" t="s">
        <v>62782</v>
      </c>
      <c r="M6515" s="2" t="s">
        <v>917</v>
      </c>
      <c r="N6515" s="3" t="s">
        <v>918</v>
      </c>
      <c r="O6515" s="2" t="s">
        <v>933</v>
      </c>
      <c r="P6515" s="3" t="s">
        <v>65</v>
      </c>
      <c r="Q6515" s="2" t="s">
        <v>62783</v>
      </c>
      <c r="R6515" s="3" t="s">
        <v>66</v>
      </c>
      <c r="S6515" s="4">
        <v>10</v>
      </c>
      <c r="T6515" s="4">
        <v>32</v>
      </c>
      <c r="U6515" s="5" t="s">
        <v>3985</v>
      </c>
      <c r="V6515" s="5" t="s">
        <v>585</v>
      </c>
      <c r="W6515" s="5" t="s">
        <v>67</v>
      </c>
      <c r="X6515" s="5" t="s">
        <v>67</v>
      </c>
      <c r="Y6515" s="4">
        <v>216</v>
      </c>
      <c r="Z6515" s="4">
        <v>23</v>
      </c>
      <c r="AA6515" s="4">
        <v>47</v>
      </c>
      <c r="AB6515" s="4">
        <v>2</v>
      </c>
      <c r="AC6515" s="4">
        <v>8</v>
      </c>
      <c r="AD6515" s="4">
        <v>62</v>
      </c>
      <c r="AE6515" s="4">
        <v>113</v>
      </c>
      <c r="AF6515" s="4">
        <v>1</v>
      </c>
      <c r="AG6515" s="4">
        <v>5</v>
      </c>
      <c r="AH6515" s="4">
        <v>50</v>
      </c>
      <c r="AI6515" s="4">
        <v>89</v>
      </c>
      <c r="AJ6515" s="4">
        <v>13</v>
      </c>
      <c r="AK6515" s="4">
        <v>23</v>
      </c>
      <c r="AL6515" s="4">
        <v>30</v>
      </c>
      <c r="AM6515" s="4">
        <v>52</v>
      </c>
      <c r="AN6515" s="4">
        <v>0</v>
      </c>
      <c r="AO6515" s="4">
        <v>0</v>
      </c>
      <c r="AP6515" s="4">
        <v>18</v>
      </c>
      <c r="AQ6515" s="4">
        <v>32</v>
      </c>
      <c r="AR6515" s="3" t="s">
        <v>62</v>
      </c>
      <c r="AS6515" s="3" t="s">
        <v>62</v>
      </c>
      <c r="AT6515" s="3" t="s">
        <v>62</v>
      </c>
      <c r="AV6515" s="6" t="str">
        <f>HYPERLINK("http://mcgill.on.worldcat.org/oclc/49824713","Catalog Record")</f>
        <v>Catalog Record</v>
      </c>
      <c r="AW6515" s="6" t="str">
        <f>HYPERLINK("http://www.worldcat.org/oclc/49824713","WorldCat Record")</f>
        <v>WorldCat Record</v>
      </c>
      <c r="AX6515" s="3" t="s">
        <v>62784</v>
      </c>
      <c r="AY6515" s="3" t="s">
        <v>62785</v>
      </c>
      <c r="AZ6515" s="3" t="s">
        <v>62786</v>
      </c>
      <c r="BA6515" s="3" t="s">
        <v>62786</v>
      </c>
      <c r="BB6515" s="3" t="s">
        <v>62790</v>
      </c>
      <c r="BC6515" s="3" t="s">
        <v>142</v>
      </c>
      <c r="BD6515" s="3" t="s">
        <v>68</v>
      </c>
      <c r="BE6515" s="3" t="s">
        <v>62788</v>
      </c>
      <c r="BF6515" s="3" t="s">
        <v>62790</v>
      </c>
      <c r="BG6515" s="3" t="s">
        <v>62791</v>
      </c>
    </row>
    <row r="6516" spans="1:59" ht="57" x14ac:dyDescent="0.45">
      <c r="A6516" s="2" t="s">
        <v>59</v>
      </c>
      <c r="B6516" s="2" t="s">
        <v>60</v>
      </c>
      <c r="C6516" s="2" t="s">
        <v>62779</v>
      </c>
      <c r="D6516" s="2" t="s">
        <v>62780</v>
      </c>
      <c r="E6516" s="2" t="s">
        <v>62781</v>
      </c>
      <c r="G6516" s="3" t="s">
        <v>62</v>
      </c>
      <c r="I6516" s="3" t="s">
        <v>61</v>
      </c>
      <c r="J6516" s="3" t="s">
        <v>61</v>
      </c>
      <c r="K6516" s="3" t="s">
        <v>63</v>
      </c>
      <c r="L6516" s="2" t="s">
        <v>62782</v>
      </c>
      <c r="M6516" s="2" t="s">
        <v>917</v>
      </c>
      <c r="N6516" s="3" t="s">
        <v>918</v>
      </c>
      <c r="O6516" s="2" t="s">
        <v>933</v>
      </c>
      <c r="P6516" s="3" t="s">
        <v>65</v>
      </c>
      <c r="Q6516" s="2" t="s">
        <v>62783</v>
      </c>
      <c r="R6516" s="3" t="s">
        <v>66</v>
      </c>
      <c r="S6516" s="4">
        <v>15</v>
      </c>
      <c r="T6516" s="4">
        <v>32</v>
      </c>
      <c r="U6516" s="5" t="s">
        <v>585</v>
      </c>
      <c r="V6516" s="5" t="s">
        <v>585</v>
      </c>
      <c r="W6516" s="5" t="s">
        <v>67</v>
      </c>
      <c r="X6516" s="5" t="s">
        <v>67</v>
      </c>
      <c r="Y6516" s="4">
        <v>216</v>
      </c>
      <c r="Z6516" s="4">
        <v>23</v>
      </c>
      <c r="AA6516" s="4">
        <v>47</v>
      </c>
      <c r="AB6516" s="4">
        <v>2</v>
      </c>
      <c r="AC6516" s="4">
        <v>8</v>
      </c>
      <c r="AD6516" s="4">
        <v>62</v>
      </c>
      <c r="AE6516" s="4">
        <v>113</v>
      </c>
      <c r="AF6516" s="4">
        <v>1</v>
      </c>
      <c r="AG6516" s="4">
        <v>5</v>
      </c>
      <c r="AH6516" s="4">
        <v>50</v>
      </c>
      <c r="AI6516" s="4">
        <v>89</v>
      </c>
      <c r="AJ6516" s="4">
        <v>13</v>
      </c>
      <c r="AK6516" s="4">
        <v>23</v>
      </c>
      <c r="AL6516" s="4">
        <v>30</v>
      </c>
      <c r="AM6516" s="4">
        <v>52</v>
      </c>
      <c r="AN6516" s="4">
        <v>0</v>
      </c>
      <c r="AO6516" s="4">
        <v>0</v>
      </c>
      <c r="AP6516" s="4">
        <v>18</v>
      </c>
      <c r="AQ6516" s="4">
        <v>32</v>
      </c>
      <c r="AR6516" s="3" t="s">
        <v>62</v>
      </c>
      <c r="AS6516" s="3" t="s">
        <v>62</v>
      </c>
      <c r="AT6516" s="3" t="s">
        <v>62</v>
      </c>
      <c r="AV6516" s="6" t="str">
        <f>HYPERLINK("http://mcgill.on.worldcat.org/oclc/49824713","Catalog Record")</f>
        <v>Catalog Record</v>
      </c>
      <c r="AW6516" s="6" t="str">
        <f>HYPERLINK("http://www.worldcat.org/oclc/49824713","WorldCat Record")</f>
        <v>WorldCat Record</v>
      </c>
      <c r="AX6516" s="3" t="s">
        <v>62784</v>
      </c>
      <c r="AY6516" s="3" t="s">
        <v>62785</v>
      </c>
      <c r="AZ6516" s="3" t="s">
        <v>62786</v>
      </c>
      <c r="BA6516" s="3" t="s">
        <v>62786</v>
      </c>
      <c r="BB6516" s="3" t="s">
        <v>62792</v>
      </c>
      <c r="BC6516" s="3" t="s">
        <v>142</v>
      </c>
      <c r="BD6516" s="3" t="s">
        <v>68</v>
      </c>
      <c r="BE6516" s="3" t="s">
        <v>62788</v>
      </c>
      <c r="BF6516" s="3" t="s">
        <v>62792</v>
      </c>
      <c r="BG6516" s="3" t="s">
        <v>62793</v>
      </c>
    </row>
    <row r="6517" spans="1:59" ht="57" x14ac:dyDescent="0.45">
      <c r="A6517" s="2" t="s">
        <v>59</v>
      </c>
      <c r="B6517" s="2" t="s">
        <v>60</v>
      </c>
      <c r="C6517" s="2" t="s">
        <v>62794</v>
      </c>
      <c r="D6517" s="2" t="s">
        <v>62795</v>
      </c>
      <c r="E6517" s="2" t="s">
        <v>62796</v>
      </c>
      <c r="G6517" s="3" t="s">
        <v>62</v>
      </c>
      <c r="I6517" s="3" t="s">
        <v>61</v>
      </c>
      <c r="J6517" s="3" t="s">
        <v>61</v>
      </c>
      <c r="K6517" s="3" t="s">
        <v>63</v>
      </c>
      <c r="L6517" s="2" t="s">
        <v>62782</v>
      </c>
      <c r="M6517" s="2" t="s">
        <v>62797</v>
      </c>
      <c r="N6517" s="3" t="s">
        <v>1465</v>
      </c>
      <c r="O6517" s="2" t="s">
        <v>906</v>
      </c>
      <c r="P6517" s="3" t="s">
        <v>65</v>
      </c>
      <c r="Q6517" s="2" t="s">
        <v>62783</v>
      </c>
      <c r="R6517" s="3" t="s">
        <v>66</v>
      </c>
      <c r="S6517" s="4">
        <v>5</v>
      </c>
      <c r="T6517" s="4">
        <v>20</v>
      </c>
      <c r="U6517" s="5" t="s">
        <v>5373</v>
      </c>
      <c r="V6517" s="5" t="s">
        <v>5373</v>
      </c>
      <c r="W6517" s="5" t="s">
        <v>67</v>
      </c>
      <c r="X6517" s="5" t="s">
        <v>67</v>
      </c>
      <c r="Y6517" s="4">
        <v>140</v>
      </c>
      <c r="Z6517" s="4">
        <v>14</v>
      </c>
      <c r="AA6517" s="4">
        <v>47</v>
      </c>
      <c r="AB6517" s="4">
        <v>1</v>
      </c>
      <c r="AC6517" s="4">
        <v>8</v>
      </c>
      <c r="AD6517" s="4">
        <v>32</v>
      </c>
      <c r="AE6517" s="4">
        <v>113</v>
      </c>
      <c r="AF6517" s="4">
        <v>0</v>
      </c>
      <c r="AG6517" s="4">
        <v>5</v>
      </c>
      <c r="AH6517" s="4">
        <v>27</v>
      </c>
      <c r="AI6517" s="4">
        <v>89</v>
      </c>
      <c r="AJ6517" s="4">
        <v>9</v>
      </c>
      <c r="AK6517" s="4">
        <v>23</v>
      </c>
      <c r="AL6517" s="4">
        <v>19</v>
      </c>
      <c r="AM6517" s="4">
        <v>52</v>
      </c>
      <c r="AN6517" s="4">
        <v>0</v>
      </c>
      <c r="AO6517" s="4">
        <v>0</v>
      </c>
      <c r="AP6517" s="4">
        <v>10</v>
      </c>
      <c r="AQ6517" s="4">
        <v>32</v>
      </c>
      <c r="AR6517" s="3" t="s">
        <v>62</v>
      </c>
      <c r="AS6517" s="3" t="s">
        <v>62</v>
      </c>
      <c r="AT6517" s="3" t="s">
        <v>62</v>
      </c>
      <c r="AV6517" s="6" t="str">
        <f>HYPERLINK("http://mcgill.on.worldcat.org/oclc/232358133","Catalog Record")</f>
        <v>Catalog Record</v>
      </c>
      <c r="AW6517" s="6" t="str">
        <f>HYPERLINK("http://www.worldcat.org/oclc/232358133","WorldCat Record")</f>
        <v>WorldCat Record</v>
      </c>
      <c r="AX6517" s="3" t="s">
        <v>62784</v>
      </c>
      <c r="AY6517" s="3" t="s">
        <v>62798</v>
      </c>
      <c r="AZ6517" s="3" t="s">
        <v>62799</v>
      </c>
      <c r="BA6517" s="3" t="s">
        <v>62799</v>
      </c>
      <c r="BB6517" s="3" t="s">
        <v>62800</v>
      </c>
      <c r="BC6517" s="3" t="s">
        <v>142</v>
      </c>
      <c r="BD6517" s="3" t="s">
        <v>68</v>
      </c>
      <c r="BE6517" s="3" t="s">
        <v>62801</v>
      </c>
      <c r="BF6517" s="3" t="s">
        <v>62800</v>
      </c>
      <c r="BG6517" s="3" t="s">
        <v>62802</v>
      </c>
    </row>
    <row r="6518" spans="1:59" ht="57" x14ac:dyDescent="0.45">
      <c r="A6518" s="2" t="s">
        <v>59</v>
      </c>
      <c r="B6518" s="2" t="s">
        <v>60</v>
      </c>
      <c r="C6518" s="2" t="s">
        <v>62794</v>
      </c>
      <c r="D6518" s="2" t="s">
        <v>62795</v>
      </c>
      <c r="E6518" s="2" t="s">
        <v>62796</v>
      </c>
      <c r="G6518" s="3" t="s">
        <v>62</v>
      </c>
      <c r="I6518" s="3" t="s">
        <v>61</v>
      </c>
      <c r="J6518" s="3" t="s">
        <v>61</v>
      </c>
      <c r="K6518" s="3" t="s">
        <v>63</v>
      </c>
      <c r="L6518" s="2" t="s">
        <v>62782</v>
      </c>
      <c r="M6518" s="2" t="s">
        <v>62797</v>
      </c>
      <c r="N6518" s="3" t="s">
        <v>1465</v>
      </c>
      <c r="O6518" s="2" t="s">
        <v>906</v>
      </c>
      <c r="P6518" s="3" t="s">
        <v>65</v>
      </c>
      <c r="Q6518" s="2" t="s">
        <v>62783</v>
      </c>
      <c r="R6518" s="3" t="s">
        <v>66</v>
      </c>
      <c r="S6518" s="4">
        <v>9</v>
      </c>
      <c r="T6518" s="4">
        <v>20</v>
      </c>
      <c r="U6518" s="5" t="s">
        <v>7484</v>
      </c>
      <c r="V6518" s="5" t="s">
        <v>5373</v>
      </c>
      <c r="W6518" s="5" t="s">
        <v>67</v>
      </c>
      <c r="X6518" s="5" t="s">
        <v>67</v>
      </c>
      <c r="Y6518" s="4">
        <v>140</v>
      </c>
      <c r="Z6518" s="4">
        <v>14</v>
      </c>
      <c r="AA6518" s="4">
        <v>47</v>
      </c>
      <c r="AB6518" s="4">
        <v>1</v>
      </c>
      <c r="AC6518" s="4">
        <v>8</v>
      </c>
      <c r="AD6518" s="4">
        <v>32</v>
      </c>
      <c r="AE6518" s="4">
        <v>113</v>
      </c>
      <c r="AF6518" s="4">
        <v>0</v>
      </c>
      <c r="AG6518" s="4">
        <v>5</v>
      </c>
      <c r="AH6518" s="4">
        <v>27</v>
      </c>
      <c r="AI6518" s="4">
        <v>89</v>
      </c>
      <c r="AJ6518" s="4">
        <v>9</v>
      </c>
      <c r="AK6518" s="4">
        <v>23</v>
      </c>
      <c r="AL6518" s="4">
        <v>19</v>
      </c>
      <c r="AM6518" s="4">
        <v>52</v>
      </c>
      <c r="AN6518" s="4">
        <v>0</v>
      </c>
      <c r="AO6518" s="4">
        <v>0</v>
      </c>
      <c r="AP6518" s="4">
        <v>10</v>
      </c>
      <c r="AQ6518" s="4">
        <v>32</v>
      </c>
      <c r="AR6518" s="3" t="s">
        <v>62</v>
      </c>
      <c r="AS6518" s="3" t="s">
        <v>62</v>
      </c>
      <c r="AT6518" s="3" t="s">
        <v>62</v>
      </c>
      <c r="AV6518" s="6" t="str">
        <f>HYPERLINK("http://mcgill.on.worldcat.org/oclc/232358133","Catalog Record")</f>
        <v>Catalog Record</v>
      </c>
      <c r="AW6518" s="6" t="str">
        <f>HYPERLINK("http://www.worldcat.org/oclc/232358133","WorldCat Record")</f>
        <v>WorldCat Record</v>
      </c>
      <c r="AX6518" s="3" t="s">
        <v>62784</v>
      </c>
      <c r="AY6518" s="3" t="s">
        <v>62798</v>
      </c>
      <c r="AZ6518" s="3" t="s">
        <v>62799</v>
      </c>
      <c r="BA6518" s="3" t="s">
        <v>62799</v>
      </c>
      <c r="BB6518" s="3" t="s">
        <v>62803</v>
      </c>
      <c r="BC6518" s="3" t="s">
        <v>142</v>
      </c>
      <c r="BD6518" s="3" t="s">
        <v>68</v>
      </c>
      <c r="BE6518" s="3" t="s">
        <v>62801</v>
      </c>
      <c r="BF6518" s="3" t="s">
        <v>62803</v>
      </c>
      <c r="BG6518" s="3" t="s">
        <v>62804</v>
      </c>
    </row>
    <row r="6519" spans="1:59" ht="57" x14ac:dyDescent="0.45">
      <c r="A6519" s="2" t="s">
        <v>59</v>
      </c>
      <c r="B6519" s="2" t="s">
        <v>60</v>
      </c>
      <c r="C6519" s="2" t="s">
        <v>62794</v>
      </c>
      <c r="D6519" s="2" t="s">
        <v>62795</v>
      </c>
      <c r="E6519" s="2" t="s">
        <v>62796</v>
      </c>
      <c r="G6519" s="3" t="s">
        <v>62</v>
      </c>
      <c r="I6519" s="3" t="s">
        <v>61</v>
      </c>
      <c r="J6519" s="3" t="s">
        <v>61</v>
      </c>
      <c r="K6519" s="3" t="s">
        <v>63</v>
      </c>
      <c r="L6519" s="2" t="s">
        <v>62782</v>
      </c>
      <c r="M6519" s="2" t="s">
        <v>62797</v>
      </c>
      <c r="N6519" s="3" t="s">
        <v>1465</v>
      </c>
      <c r="O6519" s="2" t="s">
        <v>906</v>
      </c>
      <c r="P6519" s="3" t="s">
        <v>65</v>
      </c>
      <c r="Q6519" s="2" t="s">
        <v>62783</v>
      </c>
      <c r="R6519" s="3" t="s">
        <v>66</v>
      </c>
      <c r="S6519" s="4">
        <v>6</v>
      </c>
      <c r="T6519" s="4">
        <v>20</v>
      </c>
      <c r="U6519" s="5" t="s">
        <v>12711</v>
      </c>
      <c r="V6519" s="5" t="s">
        <v>5373</v>
      </c>
      <c r="W6519" s="5" t="s">
        <v>67</v>
      </c>
      <c r="X6519" s="5" t="s">
        <v>67</v>
      </c>
      <c r="Y6519" s="4">
        <v>140</v>
      </c>
      <c r="Z6519" s="4">
        <v>14</v>
      </c>
      <c r="AA6519" s="4">
        <v>47</v>
      </c>
      <c r="AB6519" s="4">
        <v>1</v>
      </c>
      <c r="AC6519" s="4">
        <v>8</v>
      </c>
      <c r="AD6519" s="4">
        <v>32</v>
      </c>
      <c r="AE6519" s="4">
        <v>113</v>
      </c>
      <c r="AF6519" s="4">
        <v>0</v>
      </c>
      <c r="AG6519" s="4">
        <v>5</v>
      </c>
      <c r="AH6519" s="4">
        <v>27</v>
      </c>
      <c r="AI6519" s="4">
        <v>89</v>
      </c>
      <c r="AJ6519" s="4">
        <v>9</v>
      </c>
      <c r="AK6519" s="4">
        <v>23</v>
      </c>
      <c r="AL6519" s="4">
        <v>19</v>
      </c>
      <c r="AM6519" s="4">
        <v>52</v>
      </c>
      <c r="AN6519" s="4">
        <v>0</v>
      </c>
      <c r="AO6519" s="4">
        <v>0</v>
      </c>
      <c r="AP6519" s="4">
        <v>10</v>
      </c>
      <c r="AQ6519" s="4">
        <v>32</v>
      </c>
      <c r="AR6519" s="3" t="s">
        <v>62</v>
      </c>
      <c r="AS6519" s="3" t="s">
        <v>62</v>
      </c>
      <c r="AT6519" s="3" t="s">
        <v>62</v>
      </c>
      <c r="AV6519" s="6" t="str">
        <f>HYPERLINK("http://mcgill.on.worldcat.org/oclc/232358133","Catalog Record")</f>
        <v>Catalog Record</v>
      </c>
      <c r="AW6519" s="6" t="str">
        <f>HYPERLINK("http://www.worldcat.org/oclc/232358133","WorldCat Record")</f>
        <v>WorldCat Record</v>
      </c>
      <c r="AX6519" s="3" t="s">
        <v>62784</v>
      </c>
      <c r="AY6519" s="3" t="s">
        <v>62798</v>
      </c>
      <c r="AZ6519" s="3" t="s">
        <v>62799</v>
      </c>
      <c r="BA6519" s="3" t="s">
        <v>62799</v>
      </c>
      <c r="BB6519" s="3" t="s">
        <v>62805</v>
      </c>
      <c r="BC6519" s="3" t="s">
        <v>142</v>
      </c>
      <c r="BD6519" s="3" t="s">
        <v>68</v>
      </c>
      <c r="BE6519" s="3" t="s">
        <v>62801</v>
      </c>
      <c r="BF6519" s="3" t="s">
        <v>62805</v>
      </c>
      <c r="BG6519" s="3" t="s">
        <v>62806</v>
      </c>
    </row>
    <row r="6520" spans="1:59" ht="57" x14ac:dyDescent="0.45">
      <c r="A6520" s="2" t="s">
        <v>59</v>
      </c>
      <c r="B6520" s="2" t="s">
        <v>60</v>
      </c>
      <c r="C6520" s="2" t="s">
        <v>62807</v>
      </c>
      <c r="D6520" s="2" t="s">
        <v>62808</v>
      </c>
      <c r="E6520" s="2" t="s">
        <v>62809</v>
      </c>
      <c r="G6520" s="3" t="s">
        <v>62</v>
      </c>
      <c r="I6520" s="3" t="s">
        <v>62</v>
      </c>
      <c r="J6520" s="3" t="s">
        <v>62</v>
      </c>
      <c r="K6520" s="3" t="s">
        <v>63</v>
      </c>
      <c r="M6520" s="2" t="s">
        <v>29822</v>
      </c>
      <c r="N6520" s="3" t="s">
        <v>1059</v>
      </c>
      <c r="P6520" s="3" t="s">
        <v>65</v>
      </c>
      <c r="Q6520" s="2" t="s">
        <v>62810</v>
      </c>
      <c r="R6520" s="3" t="s">
        <v>66</v>
      </c>
      <c r="S6520" s="4">
        <v>1</v>
      </c>
      <c r="T6520" s="4">
        <v>1</v>
      </c>
      <c r="U6520" s="5" t="s">
        <v>62811</v>
      </c>
      <c r="V6520" s="5" t="s">
        <v>62811</v>
      </c>
      <c r="W6520" s="5" t="s">
        <v>67</v>
      </c>
      <c r="X6520" s="5" t="s">
        <v>67</v>
      </c>
      <c r="Y6520" s="4">
        <v>130</v>
      </c>
      <c r="Z6520" s="4">
        <v>13</v>
      </c>
      <c r="AA6520" s="4">
        <v>91</v>
      </c>
      <c r="AB6520" s="4">
        <v>2</v>
      </c>
      <c r="AC6520" s="4">
        <v>17</v>
      </c>
      <c r="AD6520" s="4">
        <v>58</v>
      </c>
      <c r="AE6520" s="4">
        <v>124</v>
      </c>
      <c r="AF6520" s="4">
        <v>1</v>
      </c>
      <c r="AG6520" s="4">
        <v>8</v>
      </c>
      <c r="AH6520" s="4">
        <v>52</v>
      </c>
      <c r="AI6520" s="4">
        <v>87</v>
      </c>
      <c r="AJ6520" s="4">
        <v>11</v>
      </c>
      <c r="AK6520" s="4">
        <v>24</v>
      </c>
      <c r="AL6520" s="4">
        <v>36</v>
      </c>
      <c r="AM6520" s="4">
        <v>48</v>
      </c>
      <c r="AN6520" s="4">
        <v>0</v>
      </c>
      <c r="AO6520" s="4">
        <v>0</v>
      </c>
      <c r="AP6520" s="4">
        <v>11</v>
      </c>
      <c r="AQ6520" s="4">
        <v>45</v>
      </c>
      <c r="AR6520" s="3" t="s">
        <v>62</v>
      </c>
      <c r="AS6520" s="3" t="s">
        <v>62</v>
      </c>
      <c r="AT6520" s="3" t="s">
        <v>61</v>
      </c>
      <c r="AU6520" s="6" t="str">
        <f>HYPERLINK("http://catalog.hathitrust.org/Record/007147046","HathiTrust Record")</f>
        <v>HathiTrust Record</v>
      </c>
      <c r="AV6520" s="6" t="str">
        <f>HYPERLINK("http://mcgill.on.worldcat.org/oclc/67405586","Catalog Record")</f>
        <v>Catalog Record</v>
      </c>
      <c r="AW6520" s="6" t="str">
        <f>HYPERLINK("http://www.worldcat.org/oclc/67405586","WorldCat Record")</f>
        <v>WorldCat Record</v>
      </c>
      <c r="AX6520" s="3" t="s">
        <v>62812</v>
      </c>
      <c r="AY6520" s="3" t="s">
        <v>62813</v>
      </c>
      <c r="AZ6520" s="3" t="s">
        <v>62814</v>
      </c>
      <c r="BA6520" s="3" t="s">
        <v>62814</v>
      </c>
      <c r="BB6520" s="3" t="s">
        <v>62815</v>
      </c>
      <c r="BC6520" s="3" t="s">
        <v>142</v>
      </c>
      <c r="BD6520" s="3" t="s">
        <v>68</v>
      </c>
      <c r="BE6520" s="3" t="s">
        <v>62816</v>
      </c>
      <c r="BF6520" s="3" t="s">
        <v>62815</v>
      </c>
      <c r="BG6520" s="3" t="s">
        <v>62817</v>
      </c>
    </row>
    <row r="6521" spans="1:59" ht="57" x14ac:dyDescent="0.45">
      <c r="A6521" s="2" t="s">
        <v>59</v>
      </c>
      <c r="B6521" s="2" t="s">
        <v>60</v>
      </c>
      <c r="C6521" s="2" t="s">
        <v>62818</v>
      </c>
      <c r="D6521" s="2" t="s">
        <v>62819</v>
      </c>
      <c r="E6521" s="2" t="s">
        <v>62820</v>
      </c>
      <c r="G6521" s="3" t="s">
        <v>62</v>
      </c>
      <c r="I6521" s="3" t="s">
        <v>62</v>
      </c>
      <c r="J6521" s="3" t="s">
        <v>62</v>
      </c>
      <c r="K6521" s="3" t="s">
        <v>63</v>
      </c>
      <c r="M6521" s="2" t="s">
        <v>53632</v>
      </c>
      <c r="N6521" s="3" t="s">
        <v>1097</v>
      </c>
      <c r="P6521" s="3" t="s">
        <v>65</v>
      </c>
      <c r="R6521" s="3" t="s">
        <v>66</v>
      </c>
      <c r="S6521" s="4">
        <v>28</v>
      </c>
      <c r="T6521" s="4">
        <v>28</v>
      </c>
      <c r="U6521" s="5" t="s">
        <v>9625</v>
      </c>
      <c r="V6521" s="5" t="s">
        <v>9625</v>
      </c>
      <c r="W6521" s="5" t="s">
        <v>67</v>
      </c>
      <c r="X6521" s="5" t="s">
        <v>67</v>
      </c>
      <c r="Y6521" s="4">
        <v>215</v>
      </c>
      <c r="Z6521" s="4">
        <v>17</v>
      </c>
      <c r="AA6521" s="4">
        <v>111</v>
      </c>
      <c r="AB6521" s="4">
        <v>1</v>
      </c>
      <c r="AC6521" s="4">
        <v>21</v>
      </c>
      <c r="AD6521" s="4">
        <v>70</v>
      </c>
      <c r="AE6521" s="4">
        <v>141</v>
      </c>
      <c r="AF6521" s="4">
        <v>0</v>
      </c>
      <c r="AG6521" s="4">
        <v>9</v>
      </c>
      <c r="AH6521" s="4">
        <v>64</v>
      </c>
      <c r="AI6521" s="4">
        <v>94</v>
      </c>
      <c r="AJ6521" s="4">
        <v>12</v>
      </c>
      <c r="AK6521" s="4">
        <v>28</v>
      </c>
      <c r="AL6521" s="4">
        <v>34</v>
      </c>
      <c r="AM6521" s="4">
        <v>47</v>
      </c>
      <c r="AN6521" s="4">
        <v>0</v>
      </c>
      <c r="AO6521" s="4">
        <v>0</v>
      </c>
      <c r="AP6521" s="4">
        <v>13</v>
      </c>
      <c r="AQ6521" s="4">
        <v>57</v>
      </c>
      <c r="AR6521" s="3" t="s">
        <v>62</v>
      </c>
      <c r="AS6521" s="3" t="s">
        <v>62</v>
      </c>
      <c r="AT6521" s="3" t="s">
        <v>62</v>
      </c>
      <c r="AV6521" s="6" t="str">
        <f>HYPERLINK("http://mcgill.on.worldcat.org/oclc/52410701","Catalog Record")</f>
        <v>Catalog Record</v>
      </c>
      <c r="AW6521" s="6" t="str">
        <f>HYPERLINK("http://www.worldcat.org/oclc/52410701","WorldCat Record")</f>
        <v>WorldCat Record</v>
      </c>
      <c r="AX6521" s="3" t="s">
        <v>62821</v>
      </c>
      <c r="AY6521" s="3" t="s">
        <v>62822</v>
      </c>
      <c r="AZ6521" s="3" t="s">
        <v>62823</v>
      </c>
      <c r="BA6521" s="3" t="s">
        <v>62823</v>
      </c>
      <c r="BB6521" s="3" t="s">
        <v>62824</v>
      </c>
      <c r="BC6521" s="3" t="s">
        <v>142</v>
      </c>
      <c r="BD6521" s="3" t="s">
        <v>68</v>
      </c>
      <c r="BE6521" s="3" t="s">
        <v>62825</v>
      </c>
      <c r="BF6521" s="3" t="s">
        <v>62824</v>
      </c>
      <c r="BG6521" s="3" t="s">
        <v>62826</v>
      </c>
    </row>
    <row r="6522" spans="1:59" ht="57" x14ac:dyDescent="0.45">
      <c r="A6522" s="2" t="s">
        <v>59</v>
      </c>
      <c r="B6522" s="2" t="s">
        <v>60</v>
      </c>
      <c r="C6522" s="2" t="s">
        <v>62827</v>
      </c>
      <c r="D6522" s="2" t="s">
        <v>62828</v>
      </c>
      <c r="E6522" s="2" t="s">
        <v>62829</v>
      </c>
      <c r="F6522" s="3" t="s">
        <v>86</v>
      </c>
      <c r="G6522" s="3" t="s">
        <v>61</v>
      </c>
      <c r="I6522" s="3" t="s">
        <v>62</v>
      </c>
      <c r="J6522" s="3" t="s">
        <v>62</v>
      </c>
      <c r="K6522" s="3" t="s">
        <v>63</v>
      </c>
      <c r="M6522" s="2" t="s">
        <v>4162</v>
      </c>
      <c r="N6522" s="3" t="s">
        <v>894</v>
      </c>
      <c r="P6522" s="3" t="s">
        <v>65</v>
      </c>
      <c r="Q6522" s="2" t="s">
        <v>62830</v>
      </c>
      <c r="R6522" s="3" t="s">
        <v>66</v>
      </c>
      <c r="S6522" s="4">
        <v>1</v>
      </c>
      <c r="T6522" s="4">
        <v>8</v>
      </c>
      <c r="U6522" s="5" t="s">
        <v>62831</v>
      </c>
      <c r="V6522" s="5" t="s">
        <v>13615</v>
      </c>
      <c r="W6522" s="5" t="s">
        <v>67</v>
      </c>
      <c r="X6522" s="5" t="s">
        <v>67</v>
      </c>
      <c r="Y6522" s="4">
        <v>13</v>
      </c>
      <c r="Z6522" s="4">
        <v>1</v>
      </c>
      <c r="AA6522" s="4">
        <v>10</v>
      </c>
      <c r="AB6522" s="4">
        <v>1</v>
      </c>
      <c r="AC6522" s="4">
        <v>2</v>
      </c>
      <c r="AD6522" s="4">
        <v>2</v>
      </c>
      <c r="AE6522" s="4">
        <v>38</v>
      </c>
      <c r="AF6522" s="4">
        <v>0</v>
      </c>
      <c r="AG6522" s="4">
        <v>0</v>
      </c>
      <c r="AH6522" s="4">
        <v>2</v>
      </c>
      <c r="AI6522" s="4">
        <v>33</v>
      </c>
      <c r="AJ6522" s="4">
        <v>0</v>
      </c>
      <c r="AK6522" s="4">
        <v>6</v>
      </c>
      <c r="AL6522" s="4">
        <v>1</v>
      </c>
      <c r="AM6522" s="4">
        <v>27</v>
      </c>
      <c r="AN6522" s="4">
        <v>0</v>
      </c>
      <c r="AO6522" s="4">
        <v>0</v>
      </c>
      <c r="AP6522" s="4">
        <v>0</v>
      </c>
      <c r="AQ6522" s="4">
        <v>7</v>
      </c>
      <c r="AR6522" s="3" t="s">
        <v>62</v>
      </c>
      <c r="AS6522" s="3" t="s">
        <v>62</v>
      </c>
      <c r="AT6522" s="3" t="s">
        <v>62</v>
      </c>
      <c r="AV6522" s="6" t="str">
        <f>HYPERLINK("http://mcgill.on.worldcat.org/oclc/754186858","Catalog Record")</f>
        <v>Catalog Record</v>
      </c>
      <c r="AW6522" s="6" t="str">
        <f>HYPERLINK("http://www.worldcat.org/oclc/754186858","WorldCat Record")</f>
        <v>WorldCat Record</v>
      </c>
      <c r="AX6522" s="3" t="s">
        <v>62832</v>
      </c>
      <c r="AY6522" s="3" t="s">
        <v>62833</v>
      </c>
      <c r="AZ6522" s="3" t="s">
        <v>62834</v>
      </c>
      <c r="BA6522" s="3" t="s">
        <v>62834</v>
      </c>
      <c r="BB6522" s="3" t="s">
        <v>62835</v>
      </c>
      <c r="BC6522" s="3" t="s">
        <v>142</v>
      </c>
      <c r="BD6522" s="3" t="s">
        <v>68</v>
      </c>
      <c r="BE6522" s="3" t="s">
        <v>62836</v>
      </c>
      <c r="BF6522" s="3" t="s">
        <v>62835</v>
      </c>
      <c r="BG6522" s="3" t="s">
        <v>62837</v>
      </c>
    </row>
    <row r="6523" spans="1:59" ht="57" x14ac:dyDescent="0.45">
      <c r="A6523" s="2" t="s">
        <v>59</v>
      </c>
      <c r="B6523" s="2" t="s">
        <v>60</v>
      </c>
      <c r="C6523" s="2" t="s">
        <v>62827</v>
      </c>
      <c r="D6523" s="2" t="s">
        <v>62828</v>
      </c>
      <c r="E6523" s="2" t="s">
        <v>62829</v>
      </c>
      <c r="F6523" s="3" t="s">
        <v>90</v>
      </c>
      <c r="G6523" s="3" t="s">
        <v>61</v>
      </c>
      <c r="I6523" s="3" t="s">
        <v>62</v>
      </c>
      <c r="J6523" s="3" t="s">
        <v>62</v>
      </c>
      <c r="K6523" s="3" t="s">
        <v>63</v>
      </c>
      <c r="M6523" s="2" t="s">
        <v>4162</v>
      </c>
      <c r="N6523" s="3" t="s">
        <v>894</v>
      </c>
      <c r="P6523" s="3" t="s">
        <v>65</v>
      </c>
      <c r="Q6523" s="2" t="s">
        <v>62830</v>
      </c>
      <c r="R6523" s="3" t="s">
        <v>66</v>
      </c>
      <c r="S6523" s="4">
        <v>4</v>
      </c>
      <c r="T6523" s="4">
        <v>8</v>
      </c>
      <c r="U6523" s="5" t="s">
        <v>62838</v>
      </c>
      <c r="V6523" s="5" t="s">
        <v>13615</v>
      </c>
      <c r="W6523" s="5" t="s">
        <v>67</v>
      </c>
      <c r="X6523" s="5" t="s">
        <v>67</v>
      </c>
      <c r="Y6523" s="4">
        <v>13</v>
      </c>
      <c r="Z6523" s="4">
        <v>1</v>
      </c>
      <c r="AA6523" s="4">
        <v>10</v>
      </c>
      <c r="AB6523" s="4">
        <v>1</v>
      </c>
      <c r="AC6523" s="4">
        <v>2</v>
      </c>
      <c r="AD6523" s="4">
        <v>2</v>
      </c>
      <c r="AE6523" s="4">
        <v>38</v>
      </c>
      <c r="AF6523" s="4">
        <v>0</v>
      </c>
      <c r="AG6523" s="4">
        <v>0</v>
      </c>
      <c r="AH6523" s="4">
        <v>2</v>
      </c>
      <c r="AI6523" s="4">
        <v>33</v>
      </c>
      <c r="AJ6523" s="4">
        <v>0</v>
      </c>
      <c r="AK6523" s="4">
        <v>6</v>
      </c>
      <c r="AL6523" s="4">
        <v>1</v>
      </c>
      <c r="AM6523" s="4">
        <v>27</v>
      </c>
      <c r="AN6523" s="4">
        <v>0</v>
      </c>
      <c r="AO6523" s="4">
        <v>0</v>
      </c>
      <c r="AP6523" s="4">
        <v>0</v>
      </c>
      <c r="AQ6523" s="4">
        <v>7</v>
      </c>
      <c r="AR6523" s="3" t="s">
        <v>62</v>
      </c>
      <c r="AS6523" s="3" t="s">
        <v>62</v>
      </c>
      <c r="AT6523" s="3" t="s">
        <v>62</v>
      </c>
      <c r="AV6523" s="6" t="str">
        <f>HYPERLINK("http://mcgill.on.worldcat.org/oclc/754186858","Catalog Record")</f>
        <v>Catalog Record</v>
      </c>
      <c r="AW6523" s="6" t="str">
        <f>HYPERLINK("http://www.worldcat.org/oclc/754186858","WorldCat Record")</f>
        <v>WorldCat Record</v>
      </c>
      <c r="AX6523" s="3" t="s">
        <v>62832</v>
      </c>
      <c r="AY6523" s="3" t="s">
        <v>62833</v>
      </c>
      <c r="AZ6523" s="3" t="s">
        <v>62834</v>
      </c>
      <c r="BA6523" s="3" t="s">
        <v>62834</v>
      </c>
      <c r="BB6523" s="3" t="s">
        <v>62839</v>
      </c>
      <c r="BC6523" s="3" t="s">
        <v>142</v>
      </c>
      <c r="BD6523" s="3" t="s">
        <v>68</v>
      </c>
      <c r="BE6523" s="3" t="s">
        <v>62836</v>
      </c>
      <c r="BF6523" s="3" t="s">
        <v>62839</v>
      </c>
      <c r="BG6523" s="3" t="s">
        <v>62840</v>
      </c>
    </row>
    <row r="6524" spans="1:59" ht="57" x14ac:dyDescent="0.45">
      <c r="A6524" s="2" t="s">
        <v>59</v>
      </c>
      <c r="B6524" s="2" t="s">
        <v>60</v>
      </c>
      <c r="C6524" s="2" t="s">
        <v>62827</v>
      </c>
      <c r="D6524" s="2" t="s">
        <v>62828</v>
      </c>
      <c r="E6524" s="2" t="s">
        <v>62829</v>
      </c>
      <c r="F6524" s="3" t="s">
        <v>87</v>
      </c>
      <c r="G6524" s="3" t="s">
        <v>61</v>
      </c>
      <c r="I6524" s="3" t="s">
        <v>62</v>
      </c>
      <c r="J6524" s="3" t="s">
        <v>62</v>
      </c>
      <c r="K6524" s="3" t="s">
        <v>63</v>
      </c>
      <c r="M6524" s="2" t="s">
        <v>4162</v>
      </c>
      <c r="N6524" s="3" t="s">
        <v>894</v>
      </c>
      <c r="P6524" s="3" t="s">
        <v>65</v>
      </c>
      <c r="Q6524" s="2" t="s">
        <v>62830</v>
      </c>
      <c r="R6524" s="3" t="s">
        <v>66</v>
      </c>
      <c r="S6524" s="4">
        <v>3</v>
      </c>
      <c r="T6524" s="4">
        <v>8</v>
      </c>
      <c r="U6524" s="5" t="s">
        <v>13615</v>
      </c>
      <c r="V6524" s="5" t="s">
        <v>13615</v>
      </c>
      <c r="W6524" s="5" t="s">
        <v>67</v>
      </c>
      <c r="X6524" s="5" t="s">
        <v>67</v>
      </c>
      <c r="Y6524" s="4">
        <v>13</v>
      </c>
      <c r="Z6524" s="4">
        <v>1</v>
      </c>
      <c r="AA6524" s="4">
        <v>10</v>
      </c>
      <c r="AB6524" s="4">
        <v>1</v>
      </c>
      <c r="AC6524" s="4">
        <v>2</v>
      </c>
      <c r="AD6524" s="4">
        <v>2</v>
      </c>
      <c r="AE6524" s="4">
        <v>38</v>
      </c>
      <c r="AF6524" s="4">
        <v>0</v>
      </c>
      <c r="AG6524" s="4">
        <v>0</v>
      </c>
      <c r="AH6524" s="4">
        <v>2</v>
      </c>
      <c r="AI6524" s="4">
        <v>33</v>
      </c>
      <c r="AJ6524" s="4">
        <v>0</v>
      </c>
      <c r="AK6524" s="4">
        <v>6</v>
      </c>
      <c r="AL6524" s="4">
        <v>1</v>
      </c>
      <c r="AM6524" s="4">
        <v>27</v>
      </c>
      <c r="AN6524" s="4">
        <v>0</v>
      </c>
      <c r="AO6524" s="4">
        <v>0</v>
      </c>
      <c r="AP6524" s="4">
        <v>0</v>
      </c>
      <c r="AQ6524" s="4">
        <v>7</v>
      </c>
      <c r="AR6524" s="3" t="s">
        <v>62</v>
      </c>
      <c r="AS6524" s="3" t="s">
        <v>62</v>
      </c>
      <c r="AT6524" s="3" t="s">
        <v>62</v>
      </c>
      <c r="AV6524" s="6" t="str">
        <f>HYPERLINK("http://mcgill.on.worldcat.org/oclc/754186858","Catalog Record")</f>
        <v>Catalog Record</v>
      </c>
      <c r="AW6524" s="6" t="str">
        <f>HYPERLINK("http://www.worldcat.org/oclc/754186858","WorldCat Record")</f>
        <v>WorldCat Record</v>
      </c>
      <c r="AX6524" s="3" t="s">
        <v>62832</v>
      </c>
      <c r="AY6524" s="3" t="s">
        <v>62833</v>
      </c>
      <c r="AZ6524" s="3" t="s">
        <v>62834</v>
      </c>
      <c r="BA6524" s="3" t="s">
        <v>62834</v>
      </c>
      <c r="BB6524" s="3" t="s">
        <v>62841</v>
      </c>
      <c r="BC6524" s="3" t="s">
        <v>142</v>
      </c>
      <c r="BD6524" s="3" t="s">
        <v>68</v>
      </c>
      <c r="BE6524" s="3" t="s">
        <v>62836</v>
      </c>
      <c r="BF6524" s="3" t="s">
        <v>62841</v>
      </c>
      <c r="BG6524" s="3" t="s">
        <v>62842</v>
      </c>
    </row>
    <row r="6525" spans="1:59" ht="57" x14ac:dyDescent="0.45">
      <c r="A6525" s="2" t="s">
        <v>59</v>
      </c>
      <c r="B6525" s="2" t="s">
        <v>60</v>
      </c>
      <c r="C6525" s="2" t="s">
        <v>62843</v>
      </c>
      <c r="D6525" s="2" t="s">
        <v>62844</v>
      </c>
      <c r="E6525" s="2" t="s">
        <v>62845</v>
      </c>
      <c r="F6525" s="3" t="s">
        <v>86</v>
      </c>
      <c r="G6525" s="3" t="s">
        <v>61</v>
      </c>
      <c r="I6525" s="3" t="s">
        <v>62</v>
      </c>
      <c r="J6525" s="3" t="s">
        <v>62</v>
      </c>
      <c r="K6525" s="3" t="s">
        <v>63</v>
      </c>
      <c r="M6525" s="2" t="s">
        <v>11266</v>
      </c>
      <c r="N6525" s="3" t="s">
        <v>918</v>
      </c>
      <c r="P6525" s="3" t="s">
        <v>65</v>
      </c>
      <c r="Q6525" s="2" t="s">
        <v>33186</v>
      </c>
      <c r="R6525" s="3" t="s">
        <v>66</v>
      </c>
      <c r="S6525" s="4">
        <v>1</v>
      </c>
      <c r="T6525" s="4">
        <v>4</v>
      </c>
      <c r="U6525" s="5" t="s">
        <v>62846</v>
      </c>
      <c r="V6525" s="5" t="s">
        <v>62847</v>
      </c>
      <c r="W6525" s="5" t="s">
        <v>67</v>
      </c>
      <c r="X6525" s="5" t="s">
        <v>67</v>
      </c>
      <c r="Y6525" s="4">
        <v>64</v>
      </c>
      <c r="Z6525" s="4">
        <v>3</v>
      </c>
      <c r="AA6525" s="4">
        <v>4</v>
      </c>
      <c r="AB6525" s="4">
        <v>1</v>
      </c>
      <c r="AC6525" s="4">
        <v>2</v>
      </c>
      <c r="AD6525" s="4">
        <v>15</v>
      </c>
      <c r="AE6525" s="4">
        <v>16</v>
      </c>
      <c r="AF6525" s="4">
        <v>0</v>
      </c>
      <c r="AG6525" s="4">
        <v>1</v>
      </c>
      <c r="AH6525" s="4">
        <v>15</v>
      </c>
      <c r="AI6525" s="4">
        <v>16</v>
      </c>
      <c r="AJ6525" s="4">
        <v>2</v>
      </c>
      <c r="AK6525" s="4">
        <v>3</v>
      </c>
      <c r="AL6525" s="4">
        <v>11</v>
      </c>
      <c r="AM6525" s="4">
        <v>11</v>
      </c>
      <c r="AN6525" s="4">
        <v>0</v>
      </c>
      <c r="AO6525" s="4">
        <v>0</v>
      </c>
      <c r="AP6525" s="4">
        <v>2</v>
      </c>
      <c r="AQ6525" s="4">
        <v>3</v>
      </c>
      <c r="AR6525" s="3" t="s">
        <v>62</v>
      </c>
      <c r="AS6525" s="3" t="s">
        <v>62</v>
      </c>
      <c r="AT6525" s="3" t="s">
        <v>61</v>
      </c>
      <c r="AU6525" s="6" t="str">
        <f t="shared" ref="AU6525:AU6530" si="56">HYPERLINK("http://catalog.hathitrust.org/Record/009802984","HathiTrust Record")</f>
        <v>HathiTrust Record</v>
      </c>
      <c r="AV6525" s="6" t="str">
        <f t="shared" ref="AV6525:AV6530" si="57">HYPERLINK("http://mcgill.on.worldcat.org/oclc/51728763","Catalog Record")</f>
        <v>Catalog Record</v>
      </c>
      <c r="AW6525" s="6" t="str">
        <f t="shared" ref="AW6525:AW6530" si="58">HYPERLINK("http://www.worldcat.org/oclc/51728763","WorldCat Record")</f>
        <v>WorldCat Record</v>
      </c>
      <c r="AX6525" s="3" t="s">
        <v>62848</v>
      </c>
      <c r="AY6525" s="3" t="s">
        <v>62849</v>
      </c>
      <c r="AZ6525" s="3" t="s">
        <v>62850</v>
      </c>
      <c r="BA6525" s="3" t="s">
        <v>62850</v>
      </c>
      <c r="BB6525" s="3" t="s">
        <v>62851</v>
      </c>
      <c r="BC6525" s="3" t="s">
        <v>142</v>
      </c>
      <c r="BD6525" s="3" t="s">
        <v>68</v>
      </c>
      <c r="BE6525" s="3" t="s">
        <v>62852</v>
      </c>
      <c r="BF6525" s="3" t="s">
        <v>62851</v>
      </c>
      <c r="BG6525" s="3" t="s">
        <v>62853</v>
      </c>
    </row>
    <row r="6526" spans="1:59" ht="57" x14ac:dyDescent="0.45">
      <c r="A6526" s="2" t="s">
        <v>59</v>
      </c>
      <c r="B6526" s="2" t="s">
        <v>60</v>
      </c>
      <c r="C6526" s="2" t="s">
        <v>62843</v>
      </c>
      <c r="D6526" s="2" t="s">
        <v>62844</v>
      </c>
      <c r="E6526" s="2" t="s">
        <v>62845</v>
      </c>
      <c r="F6526" s="3" t="s">
        <v>87</v>
      </c>
      <c r="G6526" s="3" t="s">
        <v>61</v>
      </c>
      <c r="I6526" s="3" t="s">
        <v>62</v>
      </c>
      <c r="J6526" s="3" t="s">
        <v>62</v>
      </c>
      <c r="K6526" s="3" t="s">
        <v>63</v>
      </c>
      <c r="M6526" s="2" t="s">
        <v>11266</v>
      </c>
      <c r="N6526" s="3" t="s">
        <v>918</v>
      </c>
      <c r="P6526" s="3" t="s">
        <v>65</v>
      </c>
      <c r="Q6526" s="2" t="s">
        <v>33186</v>
      </c>
      <c r="R6526" s="3" t="s">
        <v>66</v>
      </c>
      <c r="S6526" s="4">
        <v>1</v>
      </c>
      <c r="T6526" s="4">
        <v>4</v>
      </c>
      <c r="U6526" s="5" t="s">
        <v>62847</v>
      </c>
      <c r="V6526" s="5" t="s">
        <v>62847</v>
      </c>
      <c r="W6526" s="5" t="s">
        <v>67</v>
      </c>
      <c r="X6526" s="5" t="s">
        <v>67</v>
      </c>
      <c r="Y6526" s="4">
        <v>64</v>
      </c>
      <c r="Z6526" s="4">
        <v>3</v>
      </c>
      <c r="AA6526" s="4">
        <v>4</v>
      </c>
      <c r="AB6526" s="4">
        <v>1</v>
      </c>
      <c r="AC6526" s="4">
        <v>2</v>
      </c>
      <c r="AD6526" s="4">
        <v>15</v>
      </c>
      <c r="AE6526" s="4">
        <v>16</v>
      </c>
      <c r="AF6526" s="4">
        <v>0</v>
      </c>
      <c r="AG6526" s="4">
        <v>1</v>
      </c>
      <c r="AH6526" s="4">
        <v>15</v>
      </c>
      <c r="AI6526" s="4">
        <v>16</v>
      </c>
      <c r="AJ6526" s="4">
        <v>2</v>
      </c>
      <c r="AK6526" s="4">
        <v>3</v>
      </c>
      <c r="AL6526" s="4">
        <v>11</v>
      </c>
      <c r="AM6526" s="4">
        <v>11</v>
      </c>
      <c r="AN6526" s="4">
        <v>0</v>
      </c>
      <c r="AO6526" s="4">
        <v>0</v>
      </c>
      <c r="AP6526" s="4">
        <v>2</v>
      </c>
      <c r="AQ6526" s="4">
        <v>3</v>
      </c>
      <c r="AR6526" s="3" t="s">
        <v>62</v>
      </c>
      <c r="AS6526" s="3" t="s">
        <v>62</v>
      </c>
      <c r="AT6526" s="3" t="s">
        <v>61</v>
      </c>
      <c r="AU6526" s="6" t="str">
        <f t="shared" si="56"/>
        <v>HathiTrust Record</v>
      </c>
      <c r="AV6526" s="6" t="str">
        <f t="shared" si="57"/>
        <v>Catalog Record</v>
      </c>
      <c r="AW6526" s="6" t="str">
        <f t="shared" si="58"/>
        <v>WorldCat Record</v>
      </c>
      <c r="AX6526" s="3" t="s">
        <v>62848</v>
      </c>
      <c r="AY6526" s="3" t="s">
        <v>62849</v>
      </c>
      <c r="AZ6526" s="3" t="s">
        <v>62850</v>
      </c>
      <c r="BA6526" s="3" t="s">
        <v>62850</v>
      </c>
      <c r="BB6526" s="3" t="s">
        <v>62854</v>
      </c>
      <c r="BC6526" s="3" t="s">
        <v>142</v>
      </c>
      <c r="BD6526" s="3" t="s">
        <v>68</v>
      </c>
      <c r="BE6526" s="3" t="s">
        <v>62852</v>
      </c>
      <c r="BF6526" s="3" t="s">
        <v>62854</v>
      </c>
      <c r="BG6526" s="3" t="s">
        <v>62855</v>
      </c>
    </row>
    <row r="6527" spans="1:59" ht="57" x14ac:dyDescent="0.45">
      <c r="A6527" s="2" t="s">
        <v>59</v>
      </c>
      <c r="B6527" s="2" t="s">
        <v>60</v>
      </c>
      <c r="C6527" s="2" t="s">
        <v>62843</v>
      </c>
      <c r="D6527" s="2" t="s">
        <v>62844</v>
      </c>
      <c r="E6527" s="2" t="s">
        <v>62845</v>
      </c>
      <c r="F6527" s="3" t="s">
        <v>90</v>
      </c>
      <c r="G6527" s="3" t="s">
        <v>61</v>
      </c>
      <c r="I6527" s="3" t="s">
        <v>62</v>
      </c>
      <c r="J6527" s="3" t="s">
        <v>62</v>
      </c>
      <c r="K6527" s="3" t="s">
        <v>63</v>
      </c>
      <c r="M6527" s="2" t="s">
        <v>11266</v>
      </c>
      <c r="N6527" s="3" t="s">
        <v>918</v>
      </c>
      <c r="P6527" s="3" t="s">
        <v>65</v>
      </c>
      <c r="Q6527" s="2" t="s">
        <v>33186</v>
      </c>
      <c r="R6527" s="3" t="s">
        <v>66</v>
      </c>
      <c r="S6527" s="4">
        <v>0</v>
      </c>
      <c r="T6527" s="4">
        <v>4</v>
      </c>
      <c r="V6527" s="5" t="s">
        <v>62847</v>
      </c>
      <c r="W6527" s="5" t="s">
        <v>67</v>
      </c>
      <c r="X6527" s="5" t="s">
        <v>67</v>
      </c>
      <c r="Y6527" s="4">
        <v>64</v>
      </c>
      <c r="Z6527" s="4">
        <v>3</v>
      </c>
      <c r="AA6527" s="4">
        <v>4</v>
      </c>
      <c r="AB6527" s="4">
        <v>1</v>
      </c>
      <c r="AC6527" s="4">
        <v>2</v>
      </c>
      <c r="AD6527" s="4">
        <v>15</v>
      </c>
      <c r="AE6527" s="4">
        <v>16</v>
      </c>
      <c r="AF6527" s="4">
        <v>0</v>
      </c>
      <c r="AG6527" s="4">
        <v>1</v>
      </c>
      <c r="AH6527" s="4">
        <v>15</v>
      </c>
      <c r="AI6527" s="4">
        <v>16</v>
      </c>
      <c r="AJ6527" s="4">
        <v>2</v>
      </c>
      <c r="AK6527" s="4">
        <v>3</v>
      </c>
      <c r="AL6527" s="4">
        <v>11</v>
      </c>
      <c r="AM6527" s="4">
        <v>11</v>
      </c>
      <c r="AN6527" s="4">
        <v>0</v>
      </c>
      <c r="AO6527" s="4">
        <v>0</v>
      </c>
      <c r="AP6527" s="4">
        <v>2</v>
      </c>
      <c r="AQ6527" s="4">
        <v>3</v>
      </c>
      <c r="AR6527" s="3" t="s">
        <v>62</v>
      </c>
      <c r="AS6527" s="3" t="s">
        <v>62</v>
      </c>
      <c r="AT6527" s="3" t="s">
        <v>61</v>
      </c>
      <c r="AU6527" s="6" t="str">
        <f t="shared" si="56"/>
        <v>HathiTrust Record</v>
      </c>
      <c r="AV6527" s="6" t="str">
        <f t="shared" si="57"/>
        <v>Catalog Record</v>
      </c>
      <c r="AW6527" s="6" t="str">
        <f t="shared" si="58"/>
        <v>WorldCat Record</v>
      </c>
      <c r="AX6527" s="3" t="s">
        <v>62848</v>
      </c>
      <c r="AY6527" s="3" t="s">
        <v>62849</v>
      </c>
      <c r="AZ6527" s="3" t="s">
        <v>62850</v>
      </c>
      <c r="BA6527" s="3" t="s">
        <v>62850</v>
      </c>
      <c r="BB6527" s="3" t="s">
        <v>62856</v>
      </c>
      <c r="BC6527" s="3" t="s">
        <v>142</v>
      </c>
      <c r="BD6527" s="3" t="s">
        <v>68</v>
      </c>
      <c r="BE6527" s="3" t="s">
        <v>62852</v>
      </c>
      <c r="BF6527" s="3" t="s">
        <v>62856</v>
      </c>
      <c r="BG6527" s="3" t="s">
        <v>62857</v>
      </c>
    </row>
    <row r="6528" spans="1:59" ht="57" x14ac:dyDescent="0.45">
      <c r="A6528" s="2" t="s">
        <v>59</v>
      </c>
      <c r="B6528" s="2" t="s">
        <v>60</v>
      </c>
      <c r="C6528" s="2" t="s">
        <v>62843</v>
      </c>
      <c r="D6528" s="2" t="s">
        <v>62844</v>
      </c>
      <c r="E6528" s="2" t="s">
        <v>62845</v>
      </c>
      <c r="F6528" s="3" t="s">
        <v>83</v>
      </c>
      <c r="G6528" s="3" t="s">
        <v>61</v>
      </c>
      <c r="I6528" s="3" t="s">
        <v>62</v>
      </c>
      <c r="J6528" s="3" t="s">
        <v>62</v>
      </c>
      <c r="K6528" s="3" t="s">
        <v>63</v>
      </c>
      <c r="M6528" s="2" t="s">
        <v>11266</v>
      </c>
      <c r="N6528" s="3" t="s">
        <v>918</v>
      </c>
      <c r="P6528" s="3" t="s">
        <v>65</v>
      </c>
      <c r="Q6528" s="2" t="s">
        <v>33186</v>
      </c>
      <c r="R6528" s="3" t="s">
        <v>66</v>
      </c>
      <c r="S6528" s="4">
        <v>1</v>
      </c>
      <c r="T6528" s="4">
        <v>4</v>
      </c>
      <c r="U6528" s="5" t="s">
        <v>62858</v>
      </c>
      <c r="V6528" s="5" t="s">
        <v>62847</v>
      </c>
      <c r="W6528" s="5" t="s">
        <v>67</v>
      </c>
      <c r="X6528" s="5" t="s">
        <v>67</v>
      </c>
      <c r="Y6528" s="4">
        <v>64</v>
      </c>
      <c r="Z6528" s="4">
        <v>3</v>
      </c>
      <c r="AA6528" s="4">
        <v>4</v>
      </c>
      <c r="AB6528" s="4">
        <v>1</v>
      </c>
      <c r="AC6528" s="4">
        <v>2</v>
      </c>
      <c r="AD6528" s="4">
        <v>15</v>
      </c>
      <c r="AE6528" s="4">
        <v>16</v>
      </c>
      <c r="AF6528" s="4">
        <v>0</v>
      </c>
      <c r="AG6528" s="4">
        <v>1</v>
      </c>
      <c r="AH6528" s="4">
        <v>15</v>
      </c>
      <c r="AI6528" s="4">
        <v>16</v>
      </c>
      <c r="AJ6528" s="4">
        <v>2</v>
      </c>
      <c r="AK6528" s="4">
        <v>3</v>
      </c>
      <c r="AL6528" s="4">
        <v>11</v>
      </c>
      <c r="AM6528" s="4">
        <v>11</v>
      </c>
      <c r="AN6528" s="4">
        <v>0</v>
      </c>
      <c r="AO6528" s="4">
        <v>0</v>
      </c>
      <c r="AP6528" s="4">
        <v>2</v>
      </c>
      <c r="AQ6528" s="4">
        <v>3</v>
      </c>
      <c r="AR6528" s="3" t="s">
        <v>62</v>
      </c>
      <c r="AS6528" s="3" t="s">
        <v>62</v>
      </c>
      <c r="AT6528" s="3" t="s">
        <v>61</v>
      </c>
      <c r="AU6528" s="6" t="str">
        <f t="shared" si="56"/>
        <v>HathiTrust Record</v>
      </c>
      <c r="AV6528" s="6" t="str">
        <f t="shared" si="57"/>
        <v>Catalog Record</v>
      </c>
      <c r="AW6528" s="6" t="str">
        <f t="shared" si="58"/>
        <v>WorldCat Record</v>
      </c>
      <c r="AX6528" s="3" t="s">
        <v>62848</v>
      </c>
      <c r="AY6528" s="3" t="s">
        <v>62849</v>
      </c>
      <c r="AZ6528" s="3" t="s">
        <v>62850</v>
      </c>
      <c r="BA6528" s="3" t="s">
        <v>62850</v>
      </c>
      <c r="BB6528" s="3" t="s">
        <v>62859</v>
      </c>
      <c r="BC6528" s="3" t="s">
        <v>142</v>
      </c>
      <c r="BD6528" s="3" t="s">
        <v>68</v>
      </c>
      <c r="BE6528" s="3" t="s">
        <v>62852</v>
      </c>
      <c r="BF6528" s="3" t="s">
        <v>62859</v>
      </c>
      <c r="BG6528" s="3" t="s">
        <v>62860</v>
      </c>
    </row>
    <row r="6529" spans="1:59" ht="57" x14ac:dyDescent="0.45">
      <c r="A6529" s="2" t="s">
        <v>59</v>
      </c>
      <c r="B6529" s="2" t="s">
        <v>60</v>
      </c>
      <c r="C6529" s="2" t="s">
        <v>62843</v>
      </c>
      <c r="D6529" s="2" t="s">
        <v>62844</v>
      </c>
      <c r="E6529" s="2" t="s">
        <v>62845</v>
      </c>
      <c r="F6529" s="3" t="s">
        <v>89</v>
      </c>
      <c r="G6529" s="3" t="s">
        <v>61</v>
      </c>
      <c r="I6529" s="3" t="s">
        <v>62</v>
      </c>
      <c r="J6529" s="3" t="s">
        <v>62</v>
      </c>
      <c r="K6529" s="3" t="s">
        <v>63</v>
      </c>
      <c r="M6529" s="2" t="s">
        <v>11266</v>
      </c>
      <c r="N6529" s="3" t="s">
        <v>918</v>
      </c>
      <c r="P6529" s="3" t="s">
        <v>65</v>
      </c>
      <c r="Q6529" s="2" t="s">
        <v>33186</v>
      </c>
      <c r="R6529" s="3" t="s">
        <v>66</v>
      </c>
      <c r="S6529" s="4">
        <v>0</v>
      </c>
      <c r="T6529" s="4">
        <v>4</v>
      </c>
      <c r="V6529" s="5" t="s">
        <v>62847</v>
      </c>
      <c r="W6529" s="5" t="s">
        <v>67</v>
      </c>
      <c r="X6529" s="5" t="s">
        <v>67</v>
      </c>
      <c r="Y6529" s="4">
        <v>64</v>
      </c>
      <c r="Z6529" s="4">
        <v>3</v>
      </c>
      <c r="AA6529" s="4">
        <v>4</v>
      </c>
      <c r="AB6529" s="4">
        <v>1</v>
      </c>
      <c r="AC6529" s="4">
        <v>2</v>
      </c>
      <c r="AD6529" s="4">
        <v>15</v>
      </c>
      <c r="AE6529" s="4">
        <v>16</v>
      </c>
      <c r="AF6529" s="4">
        <v>0</v>
      </c>
      <c r="AG6529" s="4">
        <v>1</v>
      </c>
      <c r="AH6529" s="4">
        <v>15</v>
      </c>
      <c r="AI6529" s="4">
        <v>16</v>
      </c>
      <c r="AJ6529" s="4">
        <v>2</v>
      </c>
      <c r="AK6529" s="4">
        <v>3</v>
      </c>
      <c r="AL6529" s="4">
        <v>11</v>
      </c>
      <c r="AM6529" s="4">
        <v>11</v>
      </c>
      <c r="AN6529" s="4">
        <v>0</v>
      </c>
      <c r="AO6529" s="4">
        <v>0</v>
      </c>
      <c r="AP6529" s="4">
        <v>2</v>
      </c>
      <c r="AQ6529" s="4">
        <v>3</v>
      </c>
      <c r="AR6529" s="3" t="s">
        <v>62</v>
      </c>
      <c r="AS6529" s="3" t="s">
        <v>62</v>
      </c>
      <c r="AT6529" s="3" t="s">
        <v>61</v>
      </c>
      <c r="AU6529" s="6" t="str">
        <f t="shared" si="56"/>
        <v>HathiTrust Record</v>
      </c>
      <c r="AV6529" s="6" t="str">
        <f t="shared" si="57"/>
        <v>Catalog Record</v>
      </c>
      <c r="AW6529" s="6" t="str">
        <f t="shared" si="58"/>
        <v>WorldCat Record</v>
      </c>
      <c r="AX6529" s="3" t="s">
        <v>62848</v>
      </c>
      <c r="AY6529" s="3" t="s">
        <v>62849</v>
      </c>
      <c r="AZ6529" s="3" t="s">
        <v>62850</v>
      </c>
      <c r="BA6529" s="3" t="s">
        <v>62850</v>
      </c>
      <c r="BB6529" s="3" t="s">
        <v>62861</v>
      </c>
      <c r="BC6529" s="3" t="s">
        <v>142</v>
      </c>
      <c r="BD6529" s="3" t="s">
        <v>68</v>
      </c>
      <c r="BE6529" s="3" t="s">
        <v>62852</v>
      </c>
      <c r="BF6529" s="3" t="s">
        <v>62861</v>
      </c>
      <c r="BG6529" s="3" t="s">
        <v>62862</v>
      </c>
    </row>
    <row r="6530" spans="1:59" ht="57" x14ac:dyDescent="0.45">
      <c r="A6530" s="2" t="s">
        <v>59</v>
      </c>
      <c r="B6530" s="2" t="s">
        <v>60</v>
      </c>
      <c r="C6530" s="2" t="s">
        <v>62843</v>
      </c>
      <c r="D6530" s="2" t="s">
        <v>62844</v>
      </c>
      <c r="E6530" s="2" t="s">
        <v>62845</v>
      </c>
      <c r="F6530" s="3" t="s">
        <v>88</v>
      </c>
      <c r="G6530" s="3" t="s">
        <v>61</v>
      </c>
      <c r="I6530" s="3" t="s">
        <v>62</v>
      </c>
      <c r="J6530" s="3" t="s">
        <v>62</v>
      </c>
      <c r="K6530" s="3" t="s">
        <v>63</v>
      </c>
      <c r="M6530" s="2" t="s">
        <v>11266</v>
      </c>
      <c r="N6530" s="3" t="s">
        <v>918</v>
      </c>
      <c r="P6530" s="3" t="s">
        <v>65</v>
      </c>
      <c r="Q6530" s="2" t="s">
        <v>33186</v>
      </c>
      <c r="R6530" s="3" t="s">
        <v>66</v>
      </c>
      <c r="S6530" s="4">
        <v>1</v>
      </c>
      <c r="T6530" s="4">
        <v>4</v>
      </c>
      <c r="U6530" s="5" t="s">
        <v>62846</v>
      </c>
      <c r="V6530" s="5" t="s">
        <v>62847</v>
      </c>
      <c r="W6530" s="5" t="s">
        <v>67</v>
      </c>
      <c r="X6530" s="5" t="s">
        <v>67</v>
      </c>
      <c r="Y6530" s="4">
        <v>64</v>
      </c>
      <c r="Z6530" s="4">
        <v>3</v>
      </c>
      <c r="AA6530" s="4">
        <v>4</v>
      </c>
      <c r="AB6530" s="4">
        <v>1</v>
      </c>
      <c r="AC6530" s="4">
        <v>2</v>
      </c>
      <c r="AD6530" s="4">
        <v>15</v>
      </c>
      <c r="AE6530" s="4">
        <v>16</v>
      </c>
      <c r="AF6530" s="4">
        <v>0</v>
      </c>
      <c r="AG6530" s="4">
        <v>1</v>
      </c>
      <c r="AH6530" s="4">
        <v>15</v>
      </c>
      <c r="AI6530" s="4">
        <v>16</v>
      </c>
      <c r="AJ6530" s="4">
        <v>2</v>
      </c>
      <c r="AK6530" s="4">
        <v>3</v>
      </c>
      <c r="AL6530" s="4">
        <v>11</v>
      </c>
      <c r="AM6530" s="4">
        <v>11</v>
      </c>
      <c r="AN6530" s="4">
        <v>0</v>
      </c>
      <c r="AO6530" s="4">
        <v>0</v>
      </c>
      <c r="AP6530" s="4">
        <v>2</v>
      </c>
      <c r="AQ6530" s="4">
        <v>3</v>
      </c>
      <c r="AR6530" s="3" t="s">
        <v>62</v>
      </c>
      <c r="AS6530" s="3" t="s">
        <v>62</v>
      </c>
      <c r="AT6530" s="3" t="s">
        <v>61</v>
      </c>
      <c r="AU6530" s="6" t="str">
        <f t="shared" si="56"/>
        <v>HathiTrust Record</v>
      </c>
      <c r="AV6530" s="6" t="str">
        <f t="shared" si="57"/>
        <v>Catalog Record</v>
      </c>
      <c r="AW6530" s="6" t="str">
        <f t="shared" si="58"/>
        <v>WorldCat Record</v>
      </c>
      <c r="AX6530" s="3" t="s">
        <v>62848</v>
      </c>
      <c r="AY6530" s="3" t="s">
        <v>62849</v>
      </c>
      <c r="AZ6530" s="3" t="s">
        <v>62850</v>
      </c>
      <c r="BA6530" s="3" t="s">
        <v>62850</v>
      </c>
      <c r="BB6530" s="3" t="s">
        <v>62863</v>
      </c>
      <c r="BC6530" s="3" t="s">
        <v>142</v>
      </c>
      <c r="BD6530" s="3" t="s">
        <v>68</v>
      </c>
      <c r="BE6530" s="3" t="s">
        <v>62852</v>
      </c>
      <c r="BF6530" s="3" t="s">
        <v>62863</v>
      </c>
      <c r="BG6530" s="3" t="s">
        <v>62864</v>
      </c>
    </row>
    <row r="6531" spans="1:59" ht="57" x14ac:dyDescent="0.45">
      <c r="A6531" s="2" t="s">
        <v>59</v>
      </c>
      <c r="B6531" s="2" t="s">
        <v>60</v>
      </c>
      <c r="C6531" s="2" t="s">
        <v>62865</v>
      </c>
      <c r="D6531" s="2" t="s">
        <v>62866</v>
      </c>
      <c r="E6531" s="2" t="s">
        <v>62867</v>
      </c>
      <c r="G6531" s="3" t="s">
        <v>62</v>
      </c>
      <c r="I6531" s="3" t="s">
        <v>62</v>
      </c>
      <c r="J6531" s="3" t="s">
        <v>62</v>
      </c>
      <c r="K6531" s="3" t="s">
        <v>63</v>
      </c>
      <c r="M6531" s="2" t="s">
        <v>62868</v>
      </c>
      <c r="N6531" s="3" t="s">
        <v>480</v>
      </c>
      <c r="P6531" s="3" t="s">
        <v>65</v>
      </c>
      <c r="Q6531" s="2" t="s">
        <v>62869</v>
      </c>
      <c r="R6531" s="3" t="s">
        <v>66</v>
      </c>
      <c r="S6531" s="4">
        <v>12</v>
      </c>
      <c r="T6531" s="4">
        <v>12</v>
      </c>
      <c r="U6531" s="5" t="s">
        <v>8278</v>
      </c>
      <c r="V6531" s="5" t="s">
        <v>8278</v>
      </c>
      <c r="W6531" s="5" t="s">
        <v>67</v>
      </c>
      <c r="X6531" s="5" t="s">
        <v>67</v>
      </c>
      <c r="Y6531" s="4">
        <v>314</v>
      </c>
      <c r="Z6531" s="4">
        <v>23</v>
      </c>
      <c r="AA6531" s="4">
        <v>28</v>
      </c>
      <c r="AB6531" s="4">
        <v>2</v>
      </c>
      <c r="AC6531" s="4">
        <v>6</v>
      </c>
      <c r="AD6531" s="4">
        <v>94</v>
      </c>
      <c r="AE6531" s="4">
        <v>97</v>
      </c>
      <c r="AF6531" s="4">
        <v>1</v>
      </c>
      <c r="AG6531" s="4">
        <v>3</v>
      </c>
      <c r="AH6531" s="4">
        <v>86</v>
      </c>
      <c r="AI6531" s="4">
        <v>87</v>
      </c>
      <c r="AJ6531" s="4">
        <v>16</v>
      </c>
      <c r="AK6531" s="4">
        <v>18</v>
      </c>
      <c r="AL6531" s="4">
        <v>45</v>
      </c>
      <c r="AM6531" s="4">
        <v>45</v>
      </c>
      <c r="AN6531" s="4">
        <v>0</v>
      </c>
      <c r="AO6531" s="4">
        <v>0</v>
      </c>
      <c r="AP6531" s="4">
        <v>17</v>
      </c>
      <c r="AQ6531" s="4">
        <v>20</v>
      </c>
      <c r="AR6531" s="3" t="s">
        <v>62</v>
      </c>
      <c r="AS6531" s="3" t="s">
        <v>62</v>
      </c>
      <c r="AT6531" s="3" t="s">
        <v>61</v>
      </c>
      <c r="AU6531" s="6" t="str">
        <f>HYPERLINK("http://catalog.hathitrust.org/Record/002699785","HathiTrust Record")</f>
        <v>HathiTrust Record</v>
      </c>
      <c r="AV6531" s="6" t="str">
        <f>HYPERLINK("http://mcgill.on.worldcat.org/oclc/6169736","Catalog Record")</f>
        <v>Catalog Record</v>
      </c>
      <c r="AW6531" s="6" t="str">
        <f>HYPERLINK("http://www.worldcat.org/oclc/6169736","WorldCat Record")</f>
        <v>WorldCat Record</v>
      </c>
      <c r="AX6531" s="3" t="s">
        <v>62870</v>
      </c>
      <c r="AY6531" s="3" t="s">
        <v>62871</v>
      </c>
      <c r="AZ6531" s="3" t="s">
        <v>62872</v>
      </c>
      <c r="BA6531" s="3" t="s">
        <v>62872</v>
      </c>
      <c r="BB6531" s="3" t="s">
        <v>62873</v>
      </c>
      <c r="BC6531" s="3" t="s">
        <v>142</v>
      </c>
      <c r="BD6531" s="3" t="s">
        <v>68</v>
      </c>
      <c r="BE6531" s="3" t="s">
        <v>62874</v>
      </c>
      <c r="BF6531" s="3" t="s">
        <v>62873</v>
      </c>
      <c r="BG6531" s="3" t="s">
        <v>62875</v>
      </c>
    </row>
    <row r="6532" spans="1:59" ht="57" x14ac:dyDescent="0.45">
      <c r="A6532" s="2" t="s">
        <v>59</v>
      </c>
      <c r="B6532" s="2" t="s">
        <v>60</v>
      </c>
      <c r="C6532" s="2" t="s">
        <v>62876</v>
      </c>
      <c r="D6532" s="2" t="s">
        <v>62877</v>
      </c>
      <c r="E6532" s="2" t="s">
        <v>62878</v>
      </c>
      <c r="G6532" s="3" t="s">
        <v>62</v>
      </c>
      <c r="I6532" s="3" t="s">
        <v>62</v>
      </c>
      <c r="J6532" s="3" t="s">
        <v>62</v>
      </c>
      <c r="K6532" s="3" t="s">
        <v>63</v>
      </c>
      <c r="L6532" s="2" t="s">
        <v>62879</v>
      </c>
      <c r="M6532" s="2" t="s">
        <v>62880</v>
      </c>
      <c r="N6532" s="3" t="s">
        <v>625</v>
      </c>
      <c r="P6532" s="3" t="s">
        <v>65</v>
      </c>
      <c r="R6532" s="3" t="s">
        <v>66</v>
      </c>
      <c r="S6532" s="4">
        <v>5</v>
      </c>
      <c r="T6532" s="4">
        <v>5</v>
      </c>
      <c r="U6532" s="5" t="s">
        <v>62881</v>
      </c>
      <c r="V6532" s="5" t="s">
        <v>62881</v>
      </c>
      <c r="W6532" s="5" t="s">
        <v>67</v>
      </c>
      <c r="X6532" s="5" t="s">
        <v>67</v>
      </c>
      <c r="Y6532" s="4">
        <v>192</v>
      </c>
      <c r="Z6532" s="4">
        <v>15</v>
      </c>
      <c r="AA6532" s="4">
        <v>18</v>
      </c>
      <c r="AB6532" s="4">
        <v>2</v>
      </c>
      <c r="AC6532" s="4">
        <v>5</v>
      </c>
      <c r="AD6532" s="4">
        <v>81</v>
      </c>
      <c r="AE6532" s="4">
        <v>85</v>
      </c>
      <c r="AF6532" s="4">
        <v>1</v>
      </c>
      <c r="AG6532" s="4">
        <v>4</v>
      </c>
      <c r="AH6532" s="4">
        <v>75</v>
      </c>
      <c r="AI6532" s="4">
        <v>77</v>
      </c>
      <c r="AJ6532" s="4">
        <v>13</v>
      </c>
      <c r="AK6532" s="4">
        <v>16</v>
      </c>
      <c r="AL6532" s="4">
        <v>44</v>
      </c>
      <c r="AM6532" s="4">
        <v>44</v>
      </c>
      <c r="AN6532" s="4">
        <v>0</v>
      </c>
      <c r="AO6532" s="4">
        <v>0</v>
      </c>
      <c r="AP6532" s="4">
        <v>13</v>
      </c>
      <c r="AQ6532" s="4">
        <v>15</v>
      </c>
      <c r="AR6532" s="3" t="s">
        <v>62</v>
      </c>
      <c r="AS6532" s="3" t="s">
        <v>62</v>
      </c>
      <c r="AT6532" s="3" t="s">
        <v>62</v>
      </c>
      <c r="AV6532" s="6" t="str">
        <f>HYPERLINK("http://mcgill.on.worldcat.org/oclc/11599028","Catalog Record")</f>
        <v>Catalog Record</v>
      </c>
      <c r="AW6532" s="6" t="str">
        <f>HYPERLINK("http://www.worldcat.org/oclc/11599028","WorldCat Record")</f>
        <v>WorldCat Record</v>
      </c>
      <c r="AX6532" s="3" t="s">
        <v>62882</v>
      </c>
      <c r="AY6532" s="3" t="s">
        <v>62883</v>
      </c>
      <c r="AZ6532" s="3" t="s">
        <v>62884</v>
      </c>
      <c r="BA6532" s="3" t="s">
        <v>62884</v>
      </c>
      <c r="BB6532" s="3" t="s">
        <v>62885</v>
      </c>
      <c r="BC6532" s="3" t="s">
        <v>142</v>
      </c>
      <c r="BD6532" s="3" t="s">
        <v>68</v>
      </c>
      <c r="BE6532" s="3" t="s">
        <v>62886</v>
      </c>
      <c r="BF6532" s="3" t="s">
        <v>62885</v>
      </c>
      <c r="BG6532" s="3" t="s">
        <v>62887</v>
      </c>
    </row>
    <row r="6533" spans="1:59" ht="57" x14ac:dyDescent="0.45">
      <c r="A6533" s="2" t="s">
        <v>59</v>
      </c>
      <c r="B6533" s="2" t="s">
        <v>60</v>
      </c>
      <c r="C6533" s="2" t="s">
        <v>62888</v>
      </c>
      <c r="D6533" s="2" t="s">
        <v>62889</v>
      </c>
      <c r="E6533" s="2" t="s">
        <v>62890</v>
      </c>
      <c r="G6533" s="3" t="s">
        <v>62</v>
      </c>
      <c r="I6533" s="3" t="s">
        <v>62</v>
      </c>
      <c r="J6533" s="3" t="s">
        <v>62</v>
      </c>
      <c r="K6533" s="3" t="s">
        <v>63</v>
      </c>
      <c r="L6533" s="2" t="s">
        <v>62891</v>
      </c>
      <c r="M6533" s="2" t="s">
        <v>50123</v>
      </c>
      <c r="N6533" s="3" t="s">
        <v>1437</v>
      </c>
      <c r="P6533" s="3" t="s">
        <v>65</v>
      </c>
      <c r="Q6533" s="2" t="s">
        <v>62892</v>
      </c>
      <c r="R6533" s="3" t="s">
        <v>66</v>
      </c>
      <c r="S6533" s="4">
        <v>27</v>
      </c>
      <c r="T6533" s="4">
        <v>27</v>
      </c>
      <c r="U6533" s="5" t="s">
        <v>13615</v>
      </c>
      <c r="V6533" s="5" t="s">
        <v>13615</v>
      </c>
      <c r="W6533" s="5" t="s">
        <v>67</v>
      </c>
      <c r="X6533" s="5" t="s">
        <v>67</v>
      </c>
      <c r="Y6533" s="4">
        <v>188</v>
      </c>
      <c r="Z6533" s="4">
        <v>19</v>
      </c>
      <c r="AA6533" s="4">
        <v>19</v>
      </c>
      <c r="AB6533" s="4">
        <v>1</v>
      </c>
      <c r="AC6533" s="4">
        <v>1</v>
      </c>
      <c r="AD6533" s="4">
        <v>74</v>
      </c>
      <c r="AE6533" s="4">
        <v>74</v>
      </c>
      <c r="AF6533" s="4">
        <v>0</v>
      </c>
      <c r="AG6533" s="4">
        <v>0</v>
      </c>
      <c r="AH6533" s="4">
        <v>66</v>
      </c>
      <c r="AI6533" s="4">
        <v>66</v>
      </c>
      <c r="AJ6533" s="4">
        <v>15</v>
      </c>
      <c r="AK6533" s="4">
        <v>15</v>
      </c>
      <c r="AL6533" s="4">
        <v>41</v>
      </c>
      <c r="AM6533" s="4">
        <v>41</v>
      </c>
      <c r="AN6533" s="4">
        <v>0</v>
      </c>
      <c r="AO6533" s="4">
        <v>0</v>
      </c>
      <c r="AP6533" s="4">
        <v>15</v>
      </c>
      <c r="AQ6533" s="4">
        <v>15</v>
      </c>
      <c r="AR6533" s="3" t="s">
        <v>62</v>
      </c>
      <c r="AS6533" s="3" t="s">
        <v>62</v>
      </c>
      <c r="AT6533" s="3" t="s">
        <v>62</v>
      </c>
      <c r="AV6533" s="6" t="str">
        <f>HYPERLINK("http://mcgill.on.worldcat.org/oclc/38566594","Catalog Record")</f>
        <v>Catalog Record</v>
      </c>
      <c r="AW6533" s="6" t="str">
        <f>HYPERLINK("http://www.worldcat.org/oclc/38566594","WorldCat Record")</f>
        <v>WorldCat Record</v>
      </c>
      <c r="AX6533" s="3" t="s">
        <v>62893</v>
      </c>
      <c r="AY6533" s="3" t="s">
        <v>62894</v>
      </c>
      <c r="AZ6533" s="3" t="s">
        <v>62895</v>
      </c>
      <c r="BA6533" s="3" t="s">
        <v>62895</v>
      </c>
      <c r="BB6533" s="3" t="s">
        <v>62896</v>
      </c>
      <c r="BC6533" s="3" t="s">
        <v>142</v>
      </c>
      <c r="BD6533" s="3" t="s">
        <v>68</v>
      </c>
      <c r="BE6533" s="3" t="s">
        <v>62897</v>
      </c>
      <c r="BF6533" s="3" t="s">
        <v>62896</v>
      </c>
      <c r="BG6533" s="3" t="s">
        <v>62898</v>
      </c>
    </row>
    <row r="6534" spans="1:59" ht="57" x14ac:dyDescent="0.45">
      <c r="A6534" s="2" t="s">
        <v>59</v>
      </c>
      <c r="B6534" s="2" t="s">
        <v>60</v>
      </c>
      <c r="C6534" s="2" t="s">
        <v>62899</v>
      </c>
      <c r="D6534" s="2" t="s">
        <v>62900</v>
      </c>
      <c r="E6534" s="2" t="s">
        <v>62901</v>
      </c>
      <c r="G6534" s="3" t="s">
        <v>62</v>
      </c>
      <c r="I6534" s="3" t="s">
        <v>62</v>
      </c>
      <c r="J6534" s="3" t="s">
        <v>62</v>
      </c>
      <c r="K6534" s="3" t="s">
        <v>63</v>
      </c>
      <c r="L6534" s="2" t="s">
        <v>62902</v>
      </c>
      <c r="M6534" s="2" t="s">
        <v>905</v>
      </c>
      <c r="N6534" s="3" t="s">
        <v>149</v>
      </c>
      <c r="P6534" s="3" t="s">
        <v>65</v>
      </c>
      <c r="Q6534" s="2" t="s">
        <v>29723</v>
      </c>
      <c r="R6534" s="3" t="s">
        <v>66</v>
      </c>
      <c r="S6534" s="4">
        <v>6</v>
      </c>
      <c r="T6534" s="4">
        <v>6</v>
      </c>
      <c r="U6534" s="5" t="s">
        <v>4534</v>
      </c>
      <c r="V6534" s="5" t="s">
        <v>4534</v>
      </c>
      <c r="W6534" s="5" t="s">
        <v>67</v>
      </c>
      <c r="X6534" s="5" t="s">
        <v>67</v>
      </c>
      <c r="Y6534" s="4">
        <v>167</v>
      </c>
      <c r="Z6534" s="4">
        <v>18</v>
      </c>
      <c r="AA6534" s="4">
        <v>81</v>
      </c>
      <c r="AB6534" s="4">
        <v>1</v>
      </c>
      <c r="AC6534" s="4">
        <v>14</v>
      </c>
      <c r="AD6534" s="4">
        <v>77</v>
      </c>
      <c r="AE6534" s="4">
        <v>121</v>
      </c>
      <c r="AF6534" s="4">
        <v>0</v>
      </c>
      <c r="AG6534" s="4">
        <v>8</v>
      </c>
      <c r="AH6534" s="4">
        <v>71</v>
      </c>
      <c r="AI6534" s="4">
        <v>88</v>
      </c>
      <c r="AJ6534" s="4">
        <v>13</v>
      </c>
      <c r="AK6534" s="4">
        <v>24</v>
      </c>
      <c r="AL6534" s="4">
        <v>41</v>
      </c>
      <c r="AM6534" s="4">
        <v>49</v>
      </c>
      <c r="AN6534" s="4">
        <v>0</v>
      </c>
      <c r="AO6534" s="4">
        <v>0</v>
      </c>
      <c r="AP6534" s="4">
        <v>15</v>
      </c>
      <c r="AQ6534" s="4">
        <v>43</v>
      </c>
      <c r="AR6534" s="3" t="s">
        <v>62</v>
      </c>
      <c r="AS6534" s="3" t="s">
        <v>62</v>
      </c>
      <c r="AT6534" s="3" t="s">
        <v>62</v>
      </c>
      <c r="AV6534" s="6" t="str">
        <f>HYPERLINK("http://mcgill.on.worldcat.org/oclc/636911481","Catalog Record")</f>
        <v>Catalog Record</v>
      </c>
      <c r="AW6534" s="6" t="str">
        <f>HYPERLINK("http://www.worldcat.org/oclc/636911481","WorldCat Record")</f>
        <v>WorldCat Record</v>
      </c>
      <c r="AX6534" s="3" t="s">
        <v>62903</v>
      </c>
      <c r="AY6534" s="3" t="s">
        <v>62904</v>
      </c>
      <c r="AZ6534" s="3" t="s">
        <v>62905</v>
      </c>
      <c r="BA6534" s="3" t="s">
        <v>62905</v>
      </c>
      <c r="BB6534" s="3" t="s">
        <v>62906</v>
      </c>
      <c r="BC6534" s="3" t="s">
        <v>142</v>
      </c>
      <c r="BD6534" s="3" t="s">
        <v>68</v>
      </c>
      <c r="BE6534" s="3" t="s">
        <v>62907</v>
      </c>
      <c r="BF6534" s="3" t="s">
        <v>62906</v>
      </c>
      <c r="BG6534" s="3" t="s">
        <v>62908</v>
      </c>
    </row>
    <row r="6535" spans="1:59" ht="57" x14ac:dyDescent="0.45">
      <c r="A6535" s="2" t="s">
        <v>59</v>
      </c>
      <c r="B6535" s="2" t="s">
        <v>60</v>
      </c>
      <c r="C6535" s="2" t="s">
        <v>62909</v>
      </c>
      <c r="D6535" s="2" t="s">
        <v>62910</v>
      </c>
      <c r="E6535" s="2" t="s">
        <v>62911</v>
      </c>
      <c r="G6535" s="3" t="s">
        <v>62</v>
      </c>
      <c r="I6535" s="3" t="s">
        <v>62</v>
      </c>
      <c r="J6535" s="3" t="s">
        <v>62</v>
      </c>
      <c r="K6535" s="3" t="s">
        <v>63</v>
      </c>
      <c r="L6535" s="2" t="s">
        <v>1712</v>
      </c>
      <c r="M6535" s="2" t="s">
        <v>62912</v>
      </c>
      <c r="N6535" s="3" t="s">
        <v>894</v>
      </c>
      <c r="P6535" s="3" t="s">
        <v>65</v>
      </c>
      <c r="R6535" s="3" t="s">
        <v>66</v>
      </c>
      <c r="S6535" s="4">
        <v>2</v>
      </c>
      <c r="T6535" s="4">
        <v>2</v>
      </c>
      <c r="U6535" s="5" t="s">
        <v>62913</v>
      </c>
      <c r="V6535" s="5" t="s">
        <v>62913</v>
      </c>
      <c r="W6535" s="5" t="s">
        <v>67</v>
      </c>
      <c r="X6535" s="5" t="s">
        <v>67</v>
      </c>
      <c r="Y6535" s="4">
        <v>134</v>
      </c>
      <c r="Z6535" s="4">
        <v>21</v>
      </c>
      <c r="AA6535" s="4">
        <v>88</v>
      </c>
      <c r="AB6535" s="4">
        <v>2</v>
      </c>
      <c r="AC6535" s="4">
        <v>15</v>
      </c>
      <c r="AD6535" s="4">
        <v>67</v>
      </c>
      <c r="AE6535" s="4">
        <v>130</v>
      </c>
      <c r="AF6535" s="4">
        <v>1</v>
      </c>
      <c r="AG6535" s="4">
        <v>8</v>
      </c>
      <c r="AH6535" s="4">
        <v>59</v>
      </c>
      <c r="AI6535" s="4">
        <v>92</v>
      </c>
      <c r="AJ6535" s="4">
        <v>15</v>
      </c>
      <c r="AK6535" s="4">
        <v>25</v>
      </c>
      <c r="AL6535" s="4">
        <v>30</v>
      </c>
      <c r="AM6535" s="4">
        <v>49</v>
      </c>
      <c r="AN6535" s="4">
        <v>0</v>
      </c>
      <c r="AO6535" s="4">
        <v>0</v>
      </c>
      <c r="AP6535" s="4">
        <v>18</v>
      </c>
      <c r="AQ6535" s="4">
        <v>47</v>
      </c>
      <c r="AR6535" s="3" t="s">
        <v>62</v>
      </c>
      <c r="AS6535" s="3" t="s">
        <v>62</v>
      </c>
      <c r="AT6535" s="3" t="s">
        <v>62</v>
      </c>
      <c r="AV6535" s="6" t="str">
        <f>HYPERLINK("http://mcgill.on.worldcat.org/oclc/697948516","Catalog Record")</f>
        <v>Catalog Record</v>
      </c>
      <c r="AW6535" s="6" t="str">
        <f>HYPERLINK("http://www.worldcat.org/oclc/697948516","WorldCat Record")</f>
        <v>WorldCat Record</v>
      </c>
      <c r="AX6535" s="3" t="s">
        <v>62914</v>
      </c>
      <c r="AY6535" s="3" t="s">
        <v>62915</v>
      </c>
      <c r="AZ6535" s="3" t="s">
        <v>62916</v>
      </c>
      <c r="BA6535" s="3" t="s">
        <v>62916</v>
      </c>
      <c r="BB6535" s="3" t="s">
        <v>62917</v>
      </c>
      <c r="BC6535" s="3" t="s">
        <v>142</v>
      </c>
      <c r="BD6535" s="3" t="s">
        <v>68</v>
      </c>
      <c r="BE6535" s="3" t="s">
        <v>62918</v>
      </c>
      <c r="BF6535" s="3" t="s">
        <v>62917</v>
      </c>
      <c r="BG6535" s="3" t="s">
        <v>62919</v>
      </c>
    </row>
    <row r="6536" spans="1:59" ht="57" x14ac:dyDescent="0.45">
      <c r="A6536" s="2" t="s">
        <v>59</v>
      </c>
      <c r="B6536" s="2" t="s">
        <v>60</v>
      </c>
      <c r="C6536" s="2" t="s">
        <v>62920</v>
      </c>
      <c r="D6536" s="2" t="s">
        <v>62921</v>
      </c>
      <c r="E6536" s="2" t="s">
        <v>62922</v>
      </c>
      <c r="G6536" s="3" t="s">
        <v>62</v>
      </c>
      <c r="I6536" s="3" t="s">
        <v>62</v>
      </c>
      <c r="J6536" s="3" t="s">
        <v>62</v>
      </c>
      <c r="K6536" s="3" t="s">
        <v>63</v>
      </c>
      <c r="M6536" s="2" t="s">
        <v>3350</v>
      </c>
      <c r="N6536" s="3" t="s">
        <v>894</v>
      </c>
      <c r="P6536" s="3" t="s">
        <v>65</v>
      </c>
      <c r="Q6536" s="2" t="s">
        <v>3053</v>
      </c>
      <c r="R6536" s="3" t="s">
        <v>66</v>
      </c>
      <c r="S6536" s="4">
        <v>0</v>
      </c>
      <c r="T6536" s="4">
        <v>0</v>
      </c>
      <c r="W6536" s="5" t="s">
        <v>67</v>
      </c>
      <c r="X6536" s="5" t="s">
        <v>67</v>
      </c>
      <c r="Y6536" s="4">
        <v>74</v>
      </c>
      <c r="Z6536" s="4">
        <v>9</v>
      </c>
      <c r="AA6536" s="4">
        <v>14</v>
      </c>
      <c r="AB6536" s="4">
        <v>1</v>
      </c>
      <c r="AC6536" s="4">
        <v>3</v>
      </c>
      <c r="AD6536" s="4">
        <v>35</v>
      </c>
      <c r="AE6536" s="4">
        <v>44</v>
      </c>
      <c r="AF6536" s="4">
        <v>0</v>
      </c>
      <c r="AG6536" s="4">
        <v>0</v>
      </c>
      <c r="AH6536" s="4">
        <v>32</v>
      </c>
      <c r="AI6536" s="4">
        <v>40</v>
      </c>
      <c r="AJ6536" s="4">
        <v>7</v>
      </c>
      <c r="AK6536" s="4">
        <v>10</v>
      </c>
      <c r="AL6536" s="4">
        <v>21</v>
      </c>
      <c r="AM6536" s="4">
        <v>25</v>
      </c>
      <c r="AN6536" s="4">
        <v>0</v>
      </c>
      <c r="AO6536" s="4">
        <v>0</v>
      </c>
      <c r="AP6536" s="4">
        <v>7</v>
      </c>
      <c r="AQ6536" s="4">
        <v>10</v>
      </c>
      <c r="AR6536" s="3" t="s">
        <v>62</v>
      </c>
      <c r="AS6536" s="3" t="s">
        <v>62</v>
      </c>
      <c r="AT6536" s="3" t="s">
        <v>62</v>
      </c>
      <c r="AV6536" s="6" t="str">
        <f>HYPERLINK("http://mcgill.on.worldcat.org/oclc/646309142","Catalog Record")</f>
        <v>Catalog Record</v>
      </c>
      <c r="AW6536" s="6" t="str">
        <f>HYPERLINK("http://www.worldcat.org/oclc/646309142","WorldCat Record")</f>
        <v>WorldCat Record</v>
      </c>
      <c r="AX6536" s="3" t="s">
        <v>62923</v>
      </c>
      <c r="AY6536" s="3" t="s">
        <v>62924</v>
      </c>
      <c r="AZ6536" s="3" t="s">
        <v>62925</v>
      </c>
      <c r="BA6536" s="3" t="s">
        <v>62925</v>
      </c>
      <c r="BB6536" s="3" t="s">
        <v>62926</v>
      </c>
      <c r="BC6536" s="3" t="s">
        <v>142</v>
      </c>
      <c r="BD6536" s="3" t="s">
        <v>68</v>
      </c>
      <c r="BE6536" s="3" t="s">
        <v>62927</v>
      </c>
      <c r="BF6536" s="3" t="s">
        <v>62926</v>
      </c>
      <c r="BG6536" s="3" t="s">
        <v>62928</v>
      </c>
    </row>
    <row r="6537" spans="1:59" ht="57" x14ac:dyDescent="0.45">
      <c r="A6537" s="2" t="s">
        <v>59</v>
      </c>
      <c r="B6537" s="2" t="s">
        <v>60</v>
      </c>
      <c r="C6537" s="2" t="s">
        <v>62929</v>
      </c>
      <c r="D6537" s="2" t="s">
        <v>62930</v>
      </c>
      <c r="E6537" s="2" t="s">
        <v>62931</v>
      </c>
      <c r="G6537" s="3" t="s">
        <v>62</v>
      </c>
      <c r="I6537" s="3" t="s">
        <v>62</v>
      </c>
      <c r="J6537" s="3" t="s">
        <v>62</v>
      </c>
      <c r="K6537" s="3" t="s">
        <v>63</v>
      </c>
      <c r="L6537" s="2" t="s">
        <v>62932</v>
      </c>
      <c r="M6537" s="2" t="s">
        <v>62933</v>
      </c>
      <c r="N6537" s="3" t="s">
        <v>5180</v>
      </c>
      <c r="P6537" s="3" t="s">
        <v>65</v>
      </c>
      <c r="Q6537" s="2" t="s">
        <v>62934</v>
      </c>
      <c r="R6537" s="3" t="s">
        <v>66</v>
      </c>
      <c r="S6537" s="4">
        <v>0</v>
      </c>
      <c r="T6537" s="4">
        <v>0</v>
      </c>
      <c r="W6537" s="5" t="s">
        <v>67</v>
      </c>
      <c r="X6537" s="5" t="s">
        <v>67</v>
      </c>
      <c r="Y6537" s="4">
        <v>40</v>
      </c>
      <c r="Z6537" s="4">
        <v>7</v>
      </c>
      <c r="AA6537" s="4">
        <v>10</v>
      </c>
      <c r="AB6537" s="4">
        <v>1</v>
      </c>
      <c r="AC6537" s="4">
        <v>1</v>
      </c>
      <c r="AD6537" s="4">
        <v>30</v>
      </c>
      <c r="AE6537" s="4">
        <v>31</v>
      </c>
      <c r="AF6537" s="4">
        <v>0</v>
      </c>
      <c r="AG6537" s="4">
        <v>0</v>
      </c>
      <c r="AH6537" s="4">
        <v>29</v>
      </c>
      <c r="AI6537" s="4">
        <v>29</v>
      </c>
      <c r="AJ6537" s="4">
        <v>6</v>
      </c>
      <c r="AK6537" s="4">
        <v>6</v>
      </c>
      <c r="AL6537" s="4">
        <v>19</v>
      </c>
      <c r="AM6537" s="4">
        <v>19</v>
      </c>
      <c r="AN6537" s="4">
        <v>0</v>
      </c>
      <c r="AO6537" s="4">
        <v>0</v>
      </c>
      <c r="AP6537" s="4">
        <v>6</v>
      </c>
      <c r="AQ6537" s="4">
        <v>7</v>
      </c>
      <c r="AR6537" s="3" t="s">
        <v>62</v>
      </c>
      <c r="AS6537" s="3" t="s">
        <v>62</v>
      </c>
      <c r="AT6537" s="3" t="s">
        <v>62</v>
      </c>
      <c r="AV6537" s="6" t="str">
        <f>HYPERLINK("http://mcgill.on.worldcat.org/oclc/1048015226","Catalog Record")</f>
        <v>Catalog Record</v>
      </c>
      <c r="AW6537" s="6" t="str">
        <f>HYPERLINK("http://www.worldcat.org/oclc/1048015226","WorldCat Record")</f>
        <v>WorldCat Record</v>
      </c>
      <c r="AX6537" s="3" t="s">
        <v>62935</v>
      </c>
      <c r="AY6537" s="3" t="s">
        <v>62936</v>
      </c>
      <c r="AZ6537" s="3" t="s">
        <v>62937</v>
      </c>
      <c r="BA6537" s="3" t="s">
        <v>62937</v>
      </c>
      <c r="BB6537" s="3" t="s">
        <v>62938</v>
      </c>
      <c r="BC6537" s="3" t="s">
        <v>142</v>
      </c>
      <c r="BD6537" s="3" t="s">
        <v>68</v>
      </c>
      <c r="BE6537" s="3" t="s">
        <v>62939</v>
      </c>
      <c r="BF6537" s="3" t="s">
        <v>62938</v>
      </c>
      <c r="BG6537" s="3" t="s">
        <v>62940</v>
      </c>
    </row>
    <row r="6538" spans="1:59" ht="57" x14ac:dyDescent="0.45">
      <c r="A6538" s="2" t="s">
        <v>59</v>
      </c>
      <c r="B6538" s="2" t="s">
        <v>60</v>
      </c>
      <c r="C6538" s="2" t="s">
        <v>62941</v>
      </c>
      <c r="D6538" s="2" t="s">
        <v>62942</v>
      </c>
      <c r="E6538" s="2" t="s">
        <v>62943</v>
      </c>
      <c r="G6538" s="3" t="s">
        <v>62</v>
      </c>
      <c r="I6538" s="3" t="s">
        <v>62</v>
      </c>
      <c r="J6538" s="3" t="s">
        <v>62</v>
      </c>
      <c r="K6538" s="3" t="s">
        <v>63</v>
      </c>
      <c r="L6538" s="2" t="s">
        <v>62944</v>
      </c>
      <c r="M6538" s="2" t="s">
        <v>1713</v>
      </c>
      <c r="N6538" s="3" t="s">
        <v>1155</v>
      </c>
      <c r="P6538" s="3" t="s">
        <v>65</v>
      </c>
      <c r="R6538" s="3" t="s">
        <v>66</v>
      </c>
      <c r="S6538" s="4">
        <v>5</v>
      </c>
      <c r="T6538" s="4">
        <v>5</v>
      </c>
      <c r="U6538" s="5" t="s">
        <v>2633</v>
      </c>
      <c r="V6538" s="5" t="s">
        <v>2633</v>
      </c>
      <c r="W6538" s="5" t="s">
        <v>67</v>
      </c>
      <c r="X6538" s="5" t="s">
        <v>67</v>
      </c>
      <c r="Y6538" s="4">
        <v>185</v>
      </c>
      <c r="Z6538" s="4">
        <v>24</v>
      </c>
      <c r="AA6538" s="4">
        <v>85</v>
      </c>
      <c r="AB6538" s="4">
        <v>2</v>
      </c>
      <c r="AC6538" s="4">
        <v>14</v>
      </c>
      <c r="AD6538" s="4">
        <v>71</v>
      </c>
      <c r="AE6538" s="4">
        <v>120</v>
      </c>
      <c r="AF6538" s="4">
        <v>1</v>
      </c>
      <c r="AG6538" s="4">
        <v>8</v>
      </c>
      <c r="AH6538" s="4">
        <v>64</v>
      </c>
      <c r="AI6538" s="4">
        <v>87</v>
      </c>
      <c r="AJ6538" s="4">
        <v>15</v>
      </c>
      <c r="AK6538" s="4">
        <v>25</v>
      </c>
      <c r="AL6538" s="4">
        <v>37</v>
      </c>
      <c r="AM6538" s="4">
        <v>47</v>
      </c>
      <c r="AN6538" s="4">
        <v>0</v>
      </c>
      <c r="AO6538" s="4">
        <v>0</v>
      </c>
      <c r="AP6538" s="4">
        <v>18</v>
      </c>
      <c r="AQ6538" s="4">
        <v>45</v>
      </c>
      <c r="AR6538" s="3" t="s">
        <v>62</v>
      </c>
      <c r="AS6538" s="3" t="s">
        <v>62</v>
      </c>
      <c r="AT6538" s="3" t="s">
        <v>62</v>
      </c>
      <c r="AV6538" s="6" t="str">
        <f>HYPERLINK("http://mcgill.on.worldcat.org/oclc/746712284","Catalog Record")</f>
        <v>Catalog Record</v>
      </c>
      <c r="AW6538" s="6" t="str">
        <f>HYPERLINK("http://www.worldcat.org/oclc/746712284","WorldCat Record")</f>
        <v>WorldCat Record</v>
      </c>
      <c r="AX6538" s="3" t="s">
        <v>62945</v>
      </c>
      <c r="AY6538" s="3" t="s">
        <v>62946</v>
      </c>
      <c r="AZ6538" s="3" t="s">
        <v>62947</v>
      </c>
      <c r="BA6538" s="3" t="s">
        <v>62947</v>
      </c>
      <c r="BB6538" s="3" t="s">
        <v>62948</v>
      </c>
      <c r="BC6538" s="3" t="s">
        <v>142</v>
      </c>
      <c r="BD6538" s="3" t="s">
        <v>68</v>
      </c>
      <c r="BE6538" s="3" t="s">
        <v>62949</v>
      </c>
      <c r="BF6538" s="3" t="s">
        <v>62948</v>
      </c>
      <c r="BG6538" s="3" t="s">
        <v>62950</v>
      </c>
    </row>
    <row r="6539" spans="1:59" ht="114" x14ac:dyDescent="0.45">
      <c r="A6539" s="2" t="s">
        <v>59</v>
      </c>
      <c r="B6539" s="2" t="s">
        <v>690</v>
      </c>
      <c r="C6539" s="2" t="s">
        <v>62951</v>
      </c>
      <c r="D6539" s="2" t="s">
        <v>62952</v>
      </c>
      <c r="E6539" s="2" t="s">
        <v>62953</v>
      </c>
      <c r="G6539" s="3" t="s">
        <v>62</v>
      </c>
      <c r="I6539" s="3" t="s">
        <v>62</v>
      </c>
      <c r="J6539" s="3" t="s">
        <v>62</v>
      </c>
      <c r="K6539" s="3" t="s">
        <v>63</v>
      </c>
      <c r="L6539" s="2" t="s">
        <v>62954</v>
      </c>
      <c r="M6539" s="2" t="s">
        <v>62955</v>
      </c>
      <c r="N6539" s="3" t="s">
        <v>866</v>
      </c>
      <c r="O6539" s="2" t="s">
        <v>62956</v>
      </c>
      <c r="P6539" s="3" t="s">
        <v>697</v>
      </c>
      <c r="R6539" s="3" t="s">
        <v>66</v>
      </c>
      <c r="S6539" s="4">
        <v>1</v>
      </c>
      <c r="T6539" s="4">
        <v>1</v>
      </c>
      <c r="U6539" s="5" t="s">
        <v>32037</v>
      </c>
      <c r="V6539" s="5" t="s">
        <v>32037</v>
      </c>
      <c r="W6539" s="5" t="s">
        <v>67</v>
      </c>
      <c r="X6539" s="5" t="s">
        <v>67</v>
      </c>
      <c r="Y6539" s="4">
        <v>26</v>
      </c>
      <c r="Z6539" s="4">
        <v>2</v>
      </c>
      <c r="AA6539" s="4">
        <v>5</v>
      </c>
      <c r="AB6539" s="4">
        <v>1</v>
      </c>
      <c r="AC6539" s="4">
        <v>1</v>
      </c>
      <c r="AD6539" s="4">
        <v>13</v>
      </c>
      <c r="AE6539" s="4">
        <v>21</v>
      </c>
      <c r="AF6539" s="4">
        <v>0</v>
      </c>
      <c r="AG6539" s="4">
        <v>0</v>
      </c>
      <c r="AH6539" s="4">
        <v>12</v>
      </c>
      <c r="AI6539" s="4">
        <v>20</v>
      </c>
      <c r="AJ6539" s="4">
        <v>1</v>
      </c>
      <c r="AK6539" s="4">
        <v>3</v>
      </c>
      <c r="AL6539" s="4">
        <v>11</v>
      </c>
      <c r="AM6539" s="4">
        <v>17</v>
      </c>
      <c r="AN6539" s="4">
        <v>0</v>
      </c>
      <c r="AO6539" s="4">
        <v>0</v>
      </c>
      <c r="AP6539" s="4">
        <v>1</v>
      </c>
      <c r="AQ6539" s="4">
        <v>3</v>
      </c>
      <c r="AR6539" s="3" t="s">
        <v>62</v>
      </c>
      <c r="AS6539" s="3" t="s">
        <v>62</v>
      </c>
      <c r="AT6539" s="3" t="s">
        <v>62</v>
      </c>
      <c r="AV6539" s="6" t="str">
        <f>HYPERLINK("http://mcgill.on.worldcat.org/oclc/24982146","Catalog Record")</f>
        <v>Catalog Record</v>
      </c>
      <c r="AW6539" s="6" t="str">
        <f>HYPERLINK("http://www.worldcat.org/oclc/24982146","WorldCat Record")</f>
        <v>WorldCat Record</v>
      </c>
      <c r="AX6539" s="3" t="s">
        <v>62957</v>
      </c>
      <c r="AY6539" s="3" t="s">
        <v>62958</v>
      </c>
      <c r="AZ6539" s="3" t="s">
        <v>62959</v>
      </c>
      <c r="BA6539" s="3" t="s">
        <v>62959</v>
      </c>
      <c r="BB6539" s="3" t="s">
        <v>62960</v>
      </c>
      <c r="BC6539" s="3" t="s">
        <v>142</v>
      </c>
      <c r="BD6539" s="3" t="s">
        <v>68</v>
      </c>
      <c r="BF6539" s="3" t="s">
        <v>62960</v>
      </c>
      <c r="BG6539" s="3" t="s">
        <v>62961</v>
      </c>
    </row>
    <row r="6540" spans="1:59" ht="57" x14ac:dyDescent="0.45">
      <c r="A6540" s="2" t="s">
        <v>59</v>
      </c>
      <c r="B6540" s="2" t="s">
        <v>60</v>
      </c>
      <c r="C6540" s="2" t="s">
        <v>62962</v>
      </c>
      <c r="D6540" s="2" t="s">
        <v>62963</v>
      </c>
      <c r="E6540" s="2" t="s">
        <v>62964</v>
      </c>
      <c r="G6540" s="3" t="s">
        <v>62</v>
      </c>
      <c r="I6540" s="3" t="s">
        <v>62</v>
      </c>
      <c r="J6540" s="3" t="s">
        <v>62</v>
      </c>
      <c r="K6540" s="3" t="s">
        <v>63</v>
      </c>
      <c r="L6540" s="2" t="s">
        <v>62965</v>
      </c>
      <c r="M6540" s="2" t="s">
        <v>62966</v>
      </c>
      <c r="N6540" s="3" t="s">
        <v>248</v>
      </c>
      <c r="P6540" s="3" t="s">
        <v>65</v>
      </c>
      <c r="R6540" s="3" t="s">
        <v>66</v>
      </c>
      <c r="S6540" s="4">
        <v>4</v>
      </c>
      <c r="T6540" s="4">
        <v>4</v>
      </c>
      <c r="U6540" s="5" t="s">
        <v>67</v>
      </c>
      <c r="V6540" s="5" t="s">
        <v>67</v>
      </c>
      <c r="W6540" s="5" t="s">
        <v>67</v>
      </c>
      <c r="X6540" s="5" t="s">
        <v>67</v>
      </c>
      <c r="Y6540" s="4">
        <v>794</v>
      </c>
      <c r="Z6540" s="4">
        <v>40</v>
      </c>
      <c r="AA6540" s="4">
        <v>53</v>
      </c>
      <c r="AB6540" s="4">
        <v>3</v>
      </c>
      <c r="AC6540" s="4">
        <v>7</v>
      </c>
      <c r="AD6540" s="4">
        <v>126</v>
      </c>
      <c r="AE6540" s="4">
        <v>137</v>
      </c>
      <c r="AF6540" s="4">
        <v>2</v>
      </c>
      <c r="AG6540" s="4">
        <v>5</v>
      </c>
      <c r="AH6540" s="4">
        <v>100</v>
      </c>
      <c r="AI6540" s="4">
        <v>107</v>
      </c>
      <c r="AJ6540" s="4">
        <v>17</v>
      </c>
      <c r="AK6540" s="4">
        <v>25</v>
      </c>
      <c r="AL6540" s="4">
        <v>60</v>
      </c>
      <c r="AM6540" s="4">
        <v>60</v>
      </c>
      <c r="AN6540" s="4">
        <v>0</v>
      </c>
      <c r="AO6540" s="4">
        <v>0</v>
      </c>
      <c r="AP6540" s="4">
        <v>30</v>
      </c>
      <c r="AQ6540" s="4">
        <v>38</v>
      </c>
      <c r="AR6540" s="3" t="s">
        <v>62</v>
      </c>
      <c r="AS6540" s="3" t="s">
        <v>62</v>
      </c>
      <c r="AT6540" s="3" t="s">
        <v>61</v>
      </c>
      <c r="AU6540" s="6" t="str">
        <f>HYPERLINK("http://catalog.hathitrust.org/Record/001435134","HathiTrust Record")</f>
        <v>HathiTrust Record</v>
      </c>
      <c r="AV6540" s="6" t="str">
        <f>HYPERLINK("http://mcgill.on.worldcat.org/oclc/307174","Catalog Record")</f>
        <v>Catalog Record</v>
      </c>
      <c r="AW6540" s="6" t="str">
        <f>HYPERLINK("http://www.worldcat.org/oclc/307174","WorldCat Record")</f>
        <v>WorldCat Record</v>
      </c>
      <c r="AX6540" s="3" t="s">
        <v>62967</v>
      </c>
      <c r="AY6540" s="3" t="s">
        <v>62968</v>
      </c>
      <c r="AZ6540" s="3" t="s">
        <v>62969</v>
      </c>
      <c r="BA6540" s="3" t="s">
        <v>62969</v>
      </c>
      <c r="BB6540" s="3" t="s">
        <v>62970</v>
      </c>
      <c r="BC6540" s="3" t="s">
        <v>142</v>
      </c>
      <c r="BD6540" s="3" t="s">
        <v>68</v>
      </c>
      <c r="BF6540" s="3" t="s">
        <v>62970</v>
      </c>
      <c r="BG6540" s="3" t="s">
        <v>62971</v>
      </c>
    </row>
    <row r="6541" spans="1:59" ht="57" x14ac:dyDescent="0.45">
      <c r="A6541" s="2" t="s">
        <v>59</v>
      </c>
      <c r="B6541" s="2" t="s">
        <v>60</v>
      </c>
      <c r="C6541" s="2" t="s">
        <v>62972</v>
      </c>
      <c r="D6541" s="2" t="s">
        <v>62973</v>
      </c>
      <c r="E6541" s="2" t="s">
        <v>62974</v>
      </c>
      <c r="G6541" s="3" t="s">
        <v>62</v>
      </c>
      <c r="I6541" s="3" t="s">
        <v>62</v>
      </c>
      <c r="J6541" s="3" t="s">
        <v>62</v>
      </c>
      <c r="K6541" s="3" t="s">
        <v>63</v>
      </c>
      <c r="L6541" s="2" t="s">
        <v>62975</v>
      </c>
      <c r="M6541" s="2" t="s">
        <v>2560</v>
      </c>
      <c r="N6541" s="3" t="s">
        <v>149</v>
      </c>
      <c r="P6541" s="3" t="s">
        <v>65</v>
      </c>
      <c r="R6541" s="3" t="s">
        <v>66</v>
      </c>
      <c r="S6541" s="4">
        <v>7</v>
      </c>
      <c r="T6541" s="4">
        <v>7</v>
      </c>
      <c r="U6541" s="5" t="s">
        <v>21881</v>
      </c>
      <c r="V6541" s="5" t="s">
        <v>21881</v>
      </c>
      <c r="W6541" s="5" t="s">
        <v>67</v>
      </c>
      <c r="X6541" s="5" t="s">
        <v>67</v>
      </c>
      <c r="Y6541" s="4">
        <v>570</v>
      </c>
      <c r="Z6541" s="4">
        <v>38</v>
      </c>
      <c r="AA6541" s="4">
        <v>116</v>
      </c>
      <c r="AB6541" s="4">
        <v>3</v>
      </c>
      <c r="AC6541" s="4">
        <v>18</v>
      </c>
      <c r="AD6541" s="4">
        <v>101</v>
      </c>
      <c r="AE6541" s="4">
        <v>149</v>
      </c>
      <c r="AF6541" s="4">
        <v>1</v>
      </c>
      <c r="AG6541" s="4">
        <v>8</v>
      </c>
      <c r="AH6541" s="4">
        <v>87</v>
      </c>
      <c r="AI6541" s="4">
        <v>109</v>
      </c>
      <c r="AJ6541" s="4">
        <v>16</v>
      </c>
      <c r="AK6541" s="4">
        <v>26</v>
      </c>
      <c r="AL6541" s="4">
        <v>47</v>
      </c>
      <c r="AM6541" s="4">
        <v>57</v>
      </c>
      <c r="AN6541" s="4">
        <v>0</v>
      </c>
      <c r="AO6541" s="4">
        <v>0</v>
      </c>
      <c r="AP6541" s="4">
        <v>22</v>
      </c>
      <c r="AQ6541" s="4">
        <v>50</v>
      </c>
      <c r="AR6541" s="3" t="s">
        <v>62</v>
      </c>
      <c r="AS6541" s="3" t="s">
        <v>62</v>
      </c>
      <c r="AT6541" s="3" t="s">
        <v>62</v>
      </c>
      <c r="AV6541" s="6" t="str">
        <f>HYPERLINK("http://mcgill.on.worldcat.org/oclc/441191662","Catalog Record")</f>
        <v>Catalog Record</v>
      </c>
      <c r="AW6541" s="6" t="str">
        <f>HYPERLINK("http://www.worldcat.org/oclc/441191662","WorldCat Record")</f>
        <v>WorldCat Record</v>
      </c>
      <c r="AX6541" s="3" t="s">
        <v>62976</v>
      </c>
      <c r="AY6541" s="3" t="s">
        <v>62977</v>
      </c>
      <c r="AZ6541" s="3" t="s">
        <v>62978</v>
      </c>
      <c r="BA6541" s="3" t="s">
        <v>62978</v>
      </c>
      <c r="BB6541" s="3" t="s">
        <v>62979</v>
      </c>
      <c r="BC6541" s="3" t="s">
        <v>142</v>
      </c>
      <c r="BD6541" s="3" t="s">
        <v>68</v>
      </c>
      <c r="BE6541" s="3" t="s">
        <v>62980</v>
      </c>
      <c r="BF6541" s="3" t="s">
        <v>62979</v>
      </c>
      <c r="BG6541" s="3" t="s">
        <v>62981</v>
      </c>
    </row>
    <row r="6542" spans="1:59" ht="57" x14ac:dyDescent="0.45">
      <c r="A6542" s="2" t="s">
        <v>59</v>
      </c>
      <c r="B6542" s="2" t="s">
        <v>60</v>
      </c>
      <c r="C6542" s="2" t="s">
        <v>62982</v>
      </c>
      <c r="D6542" s="2" t="s">
        <v>62983</v>
      </c>
      <c r="E6542" s="2" t="s">
        <v>62984</v>
      </c>
      <c r="G6542" s="3" t="s">
        <v>62</v>
      </c>
      <c r="I6542" s="3" t="s">
        <v>62</v>
      </c>
      <c r="J6542" s="3" t="s">
        <v>62</v>
      </c>
      <c r="K6542" s="3" t="s">
        <v>63</v>
      </c>
      <c r="M6542" s="2" t="s">
        <v>62985</v>
      </c>
      <c r="N6542" s="3" t="s">
        <v>1212</v>
      </c>
      <c r="P6542" s="3" t="s">
        <v>65</v>
      </c>
      <c r="R6542" s="3" t="s">
        <v>66</v>
      </c>
      <c r="S6542" s="4">
        <v>2</v>
      </c>
      <c r="T6542" s="4">
        <v>2</v>
      </c>
      <c r="U6542" s="5" t="s">
        <v>48228</v>
      </c>
      <c r="V6542" s="5" t="s">
        <v>48228</v>
      </c>
      <c r="W6542" s="5" t="s">
        <v>67</v>
      </c>
      <c r="X6542" s="5" t="s">
        <v>67</v>
      </c>
      <c r="Y6542" s="4">
        <v>15</v>
      </c>
      <c r="Z6542" s="4">
        <v>3</v>
      </c>
      <c r="AA6542" s="4">
        <v>15</v>
      </c>
      <c r="AB6542" s="4">
        <v>1</v>
      </c>
      <c r="AC6542" s="4">
        <v>4</v>
      </c>
      <c r="AD6542" s="4">
        <v>2</v>
      </c>
      <c r="AE6542" s="4">
        <v>22</v>
      </c>
      <c r="AF6542" s="4">
        <v>0</v>
      </c>
      <c r="AG6542" s="4">
        <v>2</v>
      </c>
      <c r="AH6542" s="4">
        <v>0</v>
      </c>
      <c r="AI6542" s="4">
        <v>14</v>
      </c>
      <c r="AJ6542" s="4">
        <v>1</v>
      </c>
      <c r="AK6542" s="4">
        <v>10</v>
      </c>
      <c r="AL6542" s="4">
        <v>0</v>
      </c>
      <c r="AM6542" s="4">
        <v>8</v>
      </c>
      <c r="AN6542" s="4">
        <v>0</v>
      </c>
      <c r="AO6542" s="4">
        <v>0</v>
      </c>
      <c r="AP6542" s="4">
        <v>2</v>
      </c>
      <c r="AQ6542" s="4">
        <v>12</v>
      </c>
      <c r="AR6542" s="3" t="s">
        <v>62</v>
      </c>
      <c r="AS6542" s="3" t="s">
        <v>62</v>
      </c>
      <c r="AT6542" s="3" t="s">
        <v>62</v>
      </c>
      <c r="AV6542" s="6" t="str">
        <f>HYPERLINK("http://mcgill.on.worldcat.org/oclc/313614117","Catalog Record")</f>
        <v>Catalog Record</v>
      </c>
      <c r="AW6542" s="6" t="str">
        <f>HYPERLINK("http://www.worldcat.org/oclc/313614117","WorldCat Record")</f>
        <v>WorldCat Record</v>
      </c>
      <c r="AX6542" s="3" t="s">
        <v>62986</v>
      </c>
      <c r="AY6542" s="3" t="s">
        <v>62987</v>
      </c>
      <c r="AZ6542" s="3" t="s">
        <v>62988</v>
      </c>
      <c r="BA6542" s="3" t="s">
        <v>62988</v>
      </c>
      <c r="BB6542" s="3" t="s">
        <v>62989</v>
      </c>
      <c r="BC6542" s="3" t="s">
        <v>142</v>
      </c>
      <c r="BD6542" s="3" t="s">
        <v>68</v>
      </c>
      <c r="BE6542" s="3" t="s">
        <v>62990</v>
      </c>
      <c r="BF6542" s="3" t="s">
        <v>62989</v>
      </c>
      <c r="BG6542" s="3" t="s">
        <v>62991</v>
      </c>
    </row>
    <row r="6543" spans="1:59" ht="57" x14ac:dyDescent="0.45">
      <c r="A6543" s="2" t="s">
        <v>59</v>
      </c>
      <c r="B6543" s="2" t="s">
        <v>60</v>
      </c>
      <c r="C6543" s="2" t="s">
        <v>62992</v>
      </c>
      <c r="D6543" s="2" t="s">
        <v>62993</v>
      </c>
      <c r="E6543" s="2" t="s">
        <v>62994</v>
      </c>
      <c r="G6543" s="3" t="s">
        <v>62</v>
      </c>
      <c r="I6543" s="3" t="s">
        <v>62</v>
      </c>
      <c r="J6543" s="3" t="s">
        <v>62</v>
      </c>
      <c r="K6543" s="3" t="s">
        <v>63</v>
      </c>
      <c r="M6543" s="2" t="s">
        <v>62995</v>
      </c>
      <c r="N6543" s="3" t="s">
        <v>149</v>
      </c>
      <c r="P6543" s="3" t="s">
        <v>65</v>
      </c>
      <c r="Q6543" s="2" t="s">
        <v>62996</v>
      </c>
      <c r="R6543" s="3" t="s">
        <v>66</v>
      </c>
      <c r="S6543" s="4">
        <v>6</v>
      </c>
      <c r="T6543" s="4">
        <v>6</v>
      </c>
      <c r="U6543" s="5" t="s">
        <v>62997</v>
      </c>
      <c r="V6543" s="5" t="s">
        <v>62997</v>
      </c>
      <c r="W6543" s="5" t="s">
        <v>67</v>
      </c>
      <c r="X6543" s="5" t="s">
        <v>67</v>
      </c>
      <c r="Y6543" s="4">
        <v>43</v>
      </c>
      <c r="Z6543" s="4">
        <v>6</v>
      </c>
      <c r="AA6543" s="4">
        <v>8</v>
      </c>
      <c r="AB6543" s="4">
        <v>1</v>
      </c>
      <c r="AC6543" s="4">
        <v>1</v>
      </c>
      <c r="AD6543" s="4">
        <v>17</v>
      </c>
      <c r="AE6543" s="4">
        <v>19</v>
      </c>
      <c r="AF6543" s="4">
        <v>0</v>
      </c>
      <c r="AG6543" s="4">
        <v>0</v>
      </c>
      <c r="AH6543" s="4">
        <v>14</v>
      </c>
      <c r="AI6543" s="4">
        <v>16</v>
      </c>
      <c r="AJ6543" s="4">
        <v>5</v>
      </c>
      <c r="AK6543" s="4">
        <v>6</v>
      </c>
      <c r="AL6543" s="4">
        <v>9</v>
      </c>
      <c r="AM6543" s="4">
        <v>11</v>
      </c>
      <c r="AN6543" s="4">
        <v>0</v>
      </c>
      <c r="AO6543" s="4">
        <v>0</v>
      </c>
      <c r="AP6543" s="4">
        <v>5</v>
      </c>
      <c r="AQ6543" s="4">
        <v>6</v>
      </c>
      <c r="AR6543" s="3" t="s">
        <v>62</v>
      </c>
      <c r="AS6543" s="3" t="s">
        <v>62</v>
      </c>
      <c r="AT6543" s="3" t="s">
        <v>62</v>
      </c>
      <c r="AV6543" s="6" t="str">
        <f>HYPERLINK("http://mcgill.on.worldcat.org/oclc/427704579","Catalog Record")</f>
        <v>Catalog Record</v>
      </c>
      <c r="AW6543" s="6" t="str">
        <f>HYPERLINK("http://www.worldcat.org/oclc/427704579","WorldCat Record")</f>
        <v>WorldCat Record</v>
      </c>
      <c r="AX6543" s="3" t="s">
        <v>62998</v>
      </c>
      <c r="AY6543" s="3" t="s">
        <v>62999</v>
      </c>
      <c r="AZ6543" s="3" t="s">
        <v>63000</v>
      </c>
      <c r="BA6543" s="3" t="s">
        <v>63000</v>
      </c>
      <c r="BB6543" s="3" t="s">
        <v>63001</v>
      </c>
      <c r="BC6543" s="3" t="s">
        <v>142</v>
      </c>
      <c r="BD6543" s="3" t="s">
        <v>308</v>
      </c>
      <c r="BE6543" s="3" t="s">
        <v>63002</v>
      </c>
      <c r="BF6543" s="3" t="s">
        <v>63001</v>
      </c>
      <c r="BG6543" s="3" t="s">
        <v>63003</v>
      </c>
    </row>
    <row r="6544" spans="1:59" ht="57" x14ac:dyDescent="0.45">
      <c r="A6544" s="2" t="s">
        <v>59</v>
      </c>
      <c r="B6544" s="2" t="s">
        <v>60</v>
      </c>
      <c r="C6544" s="2" t="s">
        <v>63004</v>
      </c>
      <c r="D6544" s="2" t="s">
        <v>63005</v>
      </c>
      <c r="E6544" s="2" t="s">
        <v>63006</v>
      </c>
      <c r="G6544" s="3" t="s">
        <v>62</v>
      </c>
      <c r="I6544" s="3" t="s">
        <v>62</v>
      </c>
      <c r="J6544" s="3" t="s">
        <v>62</v>
      </c>
      <c r="K6544" s="3" t="s">
        <v>63</v>
      </c>
      <c r="L6544" s="2" t="s">
        <v>63007</v>
      </c>
      <c r="M6544" s="2" t="s">
        <v>63008</v>
      </c>
      <c r="N6544" s="3" t="s">
        <v>894</v>
      </c>
      <c r="P6544" s="3" t="s">
        <v>65</v>
      </c>
      <c r="Q6544" s="2" t="s">
        <v>63009</v>
      </c>
      <c r="R6544" s="3" t="s">
        <v>66</v>
      </c>
      <c r="S6544" s="4">
        <v>1</v>
      </c>
      <c r="T6544" s="4">
        <v>1</v>
      </c>
      <c r="U6544" s="5" t="s">
        <v>21221</v>
      </c>
      <c r="V6544" s="5" t="s">
        <v>21221</v>
      </c>
      <c r="W6544" s="5" t="s">
        <v>2406</v>
      </c>
      <c r="X6544" s="5" t="s">
        <v>2406</v>
      </c>
      <c r="Y6544" s="4">
        <v>54</v>
      </c>
      <c r="Z6544" s="4">
        <v>2</v>
      </c>
      <c r="AA6544" s="4">
        <v>36</v>
      </c>
      <c r="AB6544" s="4">
        <v>1</v>
      </c>
      <c r="AC6544" s="4">
        <v>7</v>
      </c>
      <c r="AD6544" s="4">
        <v>20</v>
      </c>
      <c r="AE6544" s="4">
        <v>81</v>
      </c>
      <c r="AF6544" s="4">
        <v>0</v>
      </c>
      <c r="AG6544" s="4">
        <v>4</v>
      </c>
      <c r="AH6544" s="4">
        <v>17</v>
      </c>
      <c r="AI6544" s="4">
        <v>55</v>
      </c>
      <c r="AJ6544" s="4">
        <v>1</v>
      </c>
      <c r="AK6544" s="4">
        <v>19</v>
      </c>
      <c r="AL6544" s="4">
        <v>14</v>
      </c>
      <c r="AM6544" s="4">
        <v>27</v>
      </c>
      <c r="AN6544" s="4">
        <v>0</v>
      </c>
      <c r="AO6544" s="4">
        <v>0</v>
      </c>
      <c r="AP6544" s="4">
        <v>1</v>
      </c>
      <c r="AQ6544" s="4">
        <v>32</v>
      </c>
      <c r="AR6544" s="3" t="s">
        <v>62</v>
      </c>
      <c r="AS6544" s="3" t="s">
        <v>62</v>
      </c>
      <c r="AT6544" s="3" t="s">
        <v>62</v>
      </c>
      <c r="AV6544" s="6" t="str">
        <f>HYPERLINK("http://mcgill.on.worldcat.org/oclc/759395602","Catalog Record")</f>
        <v>Catalog Record</v>
      </c>
      <c r="AW6544" s="6" t="str">
        <f>HYPERLINK("http://www.worldcat.org/oclc/759395602","WorldCat Record")</f>
        <v>WorldCat Record</v>
      </c>
      <c r="AX6544" s="3" t="s">
        <v>63010</v>
      </c>
      <c r="AY6544" s="3" t="s">
        <v>63011</v>
      </c>
      <c r="AZ6544" s="3" t="s">
        <v>63012</v>
      </c>
      <c r="BA6544" s="3" t="s">
        <v>63012</v>
      </c>
      <c r="BB6544" s="3" t="s">
        <v>63013</v>
      </c>
      <c r="BC6544" s="3" t="s">
        <v>142</v>
      </c>
      <c r="BD6544" s="3" t="s">
        <v>68</v>
      </c>
      <c r="BE6544" s="3" t="s">
        <v>63014</v>
      </c>
      <c r="BF6544" s="3" t="s">
        <v>63013</v>
      </c>
      <c r="BG6544" s="3" t="s">
        <v>63015</v>
      </c>
    </row>
    <row r="6545" spans="1:59" ht="57" x14ac:dyDescent="0.45">
      <c r="A6545" s="2" t="s">
        <v>59</v>
      </c>
      <c r="B6545" s="2" t="s">
        <v>60</v>
      </c>
      <c r="C6545" s="2" t="s">
        <v>63016</v>
      </c>
      <c r="D6545" s="2" t="s">
        <v>63017</v>
      </c>
      <c r="E6545" s="2" t="s">
        <v>63018</v>
      </c>
      <c r="F6545" s="3" t="s">
        <v>90</v>
      </c>
      <c r="G6545" s="3" t="s">
        <v>61</v>
      </c>
      <c r="I6545" s="3" t="s">
        <v>62</v>
      </c>
      <c r="J6545" s="3" t="s">
        <v>62</v>
      </c>
      <c r="K6545" s="3" t="s">
        <v>63</v>
      </c>
      <c r="M6545" s="2" t="s">
        <v>63019</v>
      </c>
      <c r="N6545" s="3" t="s">
        <v>1855</v>
      </c>
      <c r="P6545" s="3" t="s">
        <v>65</v>
      </c>
      <c r="Q6545" s="2" t="s">
        <v>63020</v>
      </c>
      <c r="R6545" s="3" t="s">
        <v>66</v>
      </c>
      <c r="S6545" s="4">
        <v>5</v>
      </c>
      <c r="T6545" s="4">
        <v>10</v>
      </c>
      <c r="U6545" s="5" t="s">
        <v>16573</v>
      </c>
      <c r="V6545" s="5" t="s">
        <v>16573</v>
      </c>
      <c r="W6545" s="5" t="s">
        <v>67</v>
      </c>
      <c r="X6545" s="5" t="s">
        <v>67</v>
      </c>
      <c r="Y6545" s="4">
        <v>74</v>
      </c>
      <c r="Z6545" s="4">
        <v>7</v>
      </c>
      <c r="AA6545" s="4">
        <v>7</v>
      </c>
      <c r="AB6545" s="4">
        <v>2</v>
      </c>
      <c r="AC6545" s="4">
        <v>2</v>
      </c>
      <c r="AD6545" s="4">
        <v>39</v>
      </c>
      <c r="AE6545" s="4">
        <v>39</v>
      </c>
      <c r="AF6545" s="4">
        <v>1</v>
      </c>
      <c r="AG6545" s="4">
        <v>1</v>
      </c>
      <c r="AH6545" s="4">
        <v>36</v>
      </c>
      <c r="AI6545" s="4">
        <v>36</v>
      </c>
      <c r="AJ6545" s="4">
        <v>5</v>
      </c>
      <c r="AK6545" s="4">
        <v>5</v>
      </c>
      <c r="AL6545" s="4">
        <v>26</v>
      </c>
      <c r="AM6545" s="4">
        <v>26</v>
      </c>
      <c r="AN6545" s="4">
        <v>0</v>
      </c>
      <c r="AO6545" s="4">
        <v>0</v>
      </c>
      <c r="AP6545" s="4">
        <v>5</v>
      </c>
      <c r="AQ6545" s="4">
        <v>5</v>
      </c>
      <c r="AR6545" s="3" t="s">
        <v>62</v>
      </c>
      <c r="AS6545" s="3" t="s">
        <v>62</v>
      </c>
      <c r="AT6545" s="3" t="s">
        <v>61</v>
      </c>
      <c r="AU6545" s="6" t="str">
        <f>HYPERLINK("http://catalog.hathitrust.org/Record/007146411","HathiTrust Record")</f>
        <v>HathiTrust Record</v>
      </c>
      <c r="AV6545" s="6" t="str">
        <f>HYPERLINK("http://mcgill.on.worldcat.org/oclc/61263653","Catalog Record")</f>
        <v>Catalog Record</v>
      </c>
      <c r="AW6545" s="6" t="str">
        <f>HYPERLINK("http://www.worldcat.org/oclc/61263653","WorldCat Record")</f>
        <v>WorldCat Record</v>
      </c>
      <c r="AX6545" s="3" t="s">
        <v>63021</v>
      </c>
      <c r="AY6545" s="3" t="s">
        <v>63022</v>
      </c>
      <c r="AZ6545" s="3" t="s">
        <v>63023</v>
      </c>
      <c r="BA6545" s="3" t="s">
        <v>63023</v>
      </c>
      <c r="BB6545" s="3" t="s">
        <v>63024</v>
      </c>
      <c r="BC6545" s="3" t="s">
        <v>142</v>
      </c>
      <c r="BD6545" s="3" t="s">
        <v>68</v>
      </c>
      <c r="BE6545" s="3" t="s">
        <v>63025</v>
      </c>
      <c r="BF6545" s="3" t="s">
        <v>63024</v>
      </c>
      <c r="BG6545" s="3" t="s">
        <v>63026</v>
      </c>
    </row>
    <row r="6546" spans="1:59" ht="57" x14ac:dyDescent="0.45">
      <c r="A6546" s="2" t="s">
        <v>59</v>
      </c>
      <c r="B6546" s="2" t="s">
        <v>60</v>
      </c>
      <c r="C6546" s="2" t="s">
        <v>63016</v>
      </c>
      <c r="D6546" s="2" t="s">
        <v>63017</v>
      </c>
      <c r="E6546" s="2" t="s">
        <v>63018</v>
      </c>
      <c r="F6546" s="3" t="s">
        <v>87</v>
      </c>
      <c r="G6546" s="3" t="s">
        <v>61</v>
      </c>
      <c r="I6546" s="3" t="s">
        <v>62</v>
      </c>
      <c r="J6546" s="3" t="s">
        <v>62</v>
      </c>
      <c r="K6546" s="3" t="s">
        <v>63</v>
      </c>
      <c r="M6546" s="2" t="s">
        <v>63019</v>
      </c>
      <c r="N6546" s="3" t="s">
        <v>1855</v>
      </c>
      <c r="P6546" s="3" t="s">
        <v>65</v>
      </c>
      <c r="Q6546" s="2" t="s">
        <v>63020</v>
      </c>
      <c r="R6546" s="3" t="s">
        <v>66</v>
      </c>
      <c r="S6546" s="4">
        <v>5</v>
      </c>
      <c r="T6546" s="4">
        <v>10</v>
      </c>
      <c r="U6546" s="5" t="s">
        <v>16573</v>
      </c>
      <c r="V6546" s="5" t="s">
        <v>16573</v>
      </c>
      <c r="W6546" s="5" t="s">
        <v>67</v>
      </c>
      <c r="X6546" s="5" t="s">
        <v>67</v>
      </c>
      <c r="Y6546" s="4">
        <v>74</v>
      </c>
      <c r="Z6546" s="4">
        <v>7</v>
      </c>
      <c r="AA6546" s="4">
        <v>7</v>
      </c>
      <c r="AB6546" s="4">
        <v>2</v>
      </c>
      <c r="AC6546" s="4">
        <v>2</v>
      </c>
      <c r="AD6546" s="4">
        <v>39</v>
      </c>
      <c r="AE6546" s="4">
        <v>39</v>
      </c>
      <c r="AF6546" s="4">
        <v>1</v>
      </c>
      <c r="AG6546" s="4">
        <v>1</v>
      </c>
      <c r="AH6546" s="4">
        <v>36</v>
      </c>
      <c r="AI6546" s="4">
        <v>36</v>
      </c>
      <c r="AJ6546" s="4">
        <v>5</v>
      </c>
      <c r="AK6546" s="4">
        <v>5</v>
      </c>
      <c r="AL6546" s="4">
        <v>26</v>
      </c>
      <c r="AM6546" s="4">
        <v>26</v>
      </c>
      <c r="AN6546" s="4">
        <v>0</v>
      </c>
      <c r="AO6546" s="4">
        <v>0</v>
      </c>
      <c r="AP6546" s="4">
        <v>5</v>
      </c>
      <c r="AQ6546" s="4">
        <v>5</v>
      </c>
      <c r="AR6546" s="3" t="s">
        <v>62</v>
      </c>
      <c r="AS6546" s="3" t="s">
        <v>62</v>
      </c>
      <c r="AT6546" s="3" t="s">
        <v>61</v>
      </c>
      <c r="AU6546" s="6" t="str">
        <f>HYPERLINK("http://catalog.hathitrust.org/Record/007146411","HathiTrust Record")</f>
        <v>HathiTrust Record</v>
      </c>
      <c r="AV6546" s="6" t="str">
        <f>HYPERLINK("http://mcgill.on.worldcat.org/oclc/61263653","Catalog Record")</f>
        <v>Catalog Record</v>
      </c>
      <c r="AW6546" s="6" t="str">
        <f>HYPERLINK("http://www.worldcat.org/oclc/61263653","WorldCat Record")</f>
        <v>WorldCat Record</v>
      </c>
      <c r="AX6546" s="3" t="s">
        <v>63021</v>
      </c>
      <c r="AY6546" s="3" t="s">
        <v>63022</v>
      </c>
      <c r="AZ6546" s="3" t="s">
        <v>63023</v>
      </c>
      <c r="BA6546" s="3" t="s">
        <v>63023</v>
      </c>
      <c r="BB6546" s="3" t="s">
        <v>63027</v>
      </c>
      <c r="BC6546" s="3" t="s">
        <v>142</v>
      </c>
      <c r="BD6546" s="3" t="s">
        <v>68</v>
      </c>
      <c r="BE6546" s="3" t="s">
        <v>63025</v>
      </c>
      <c r="BF6546" s="3" t="s">
        <v>63027</v>
      </c>
      <c r="BG6546" s="3" t="s">
        <v>63028</v>
      </c>
    </row>
    <row r="6547" spans="1:59" ht="71.25" x14ac:dyDescent="0.45">
      <c r="A6547" s="2" t="s">
        <v>59</v>
      </c>
      <c r="B6547" s="2" t="s">
        <v>60</v>
      </c>
      <c r="C6547" s="2" t="s">
        <v>63029</v>
      </c>
      <c r="D6547" s="2" t="s">
        <v>63030</v>
      </c>
      <c r="E6547" s="2" t="s">
        <v>63031</v>
      </c>
      <c r="G6547" s="3" t="s">
        <v>62</v>
      </c>
      <c r="I6547" s="3" t="s">
        <v>62</v>
      </c>
      <c r="J6547" s="3" t="s">
        <v>62</v>
      </c>
      <c r="K6547" s="3" t="s">
        <v>63</v>
      </c>
      <c r="M6547" s="2" t="s">
        <v>63032</v>
      </c>
      <c r="N6547" s="3" t="s">
        <v>1155</v>
      </c>
      <c r="P6547" s="3" t="s">
        <v>65</v>
      </c>
      <c r="Q6547" s="2" t="s">
        <v>3949</v>
      </c>
      <c r="R6547" s="3" t="s">
        <v>66</v>
      </c>
      <c r="S6547" s="4">
        <v>6</v>
      </c>
      <c r="T6547" s="4">
        <v>6</v>
      </c>
      <c r="U6547" s="5" t="s">
        <v>29280</v>
      </c>
      <c r="V6547" s="5" t="s">
        <v>29280</v>
      </c>
      <c r="W6547" s="5" t="s">
        <v>67</v>
      </c>
      <c r="X6547" s="5" t="s">
        <v>67</v>
      </c>
      <c r="Y6547" s="4">
        <v>109</v>
      </c>
      <c r="Z6547" s="4">
        <v>11</v>
      </c>
      <c r="AA6547" s="4">
        <v>15</v>
      </c>
      <c r="AB6547" s="4">
        <v>1</v>
      </c>
      <c r="AC6547" s="4">
        <v>2</v>
      </c>
      <c r="AD6547" s="4">
        <v>44</v>
      </c>
      <c r="AE6547" s="4">
        <v>56</v>
      </c>
      <c r="AF6547" s="4">
        <v>0</v>
      </c>
      <c r="AG6547" s="4">
        <v>1</v>
      </c>
      <c r="AH6547" s="4">
        <v>40</v>
      </c>
      <c r="AI6547" s="4">
        <v>50</v>
      </c>
      <c r="AJ6547" s="4">
        <v>10</v>
      </c>
      <c r="AK6547" s="4">
        <v>13</v>
      </c>
      <c r="AL6547" s="4">
        <v>23</v>
      </c>
      <c r="AM6547" s="4">
        <v>32</v>
      </c>
      <c r="AN6547" s="4">
        <v>0</v>
      </c>
      <c r="AO6547" s="4">
        <v>0</v>
      </c>
      <c r="AP6547" s="4">
        <v>10</v>
      </c>
      <c r="AQ6547" s="4">
        <v>13</v>
      </c>
      <c r="AR6547" s="3" t="s">
        <v>62</v>
      </c>
      <c r="AS6547" s="3" t="s">
        <v>62</v>
      </c>
      <c r="AT6547" s="3" t="s">
        <v>62</v>
      </c>
      <c r="AV6547" s="6" t="str">
        <f>HYPERLINK("http://mcgill.on.worldcat.org/oclc/780277456","Catalog Record")</f>
        <v>Catalog Record</v>
      </c>
      <c r="AW6547" s="6" t="str">
        <f>HYPERLINK("http://www.worldcat.org/oclc/780277456","WorldCat Record")</f>
        <v>WorldCat Record</v>
      </c>
      <c r="AX6547" s="3" t="s">
        <v>63033</v>
      </c>
      <c r="AY6547" s="3" t="s">
        <v>63034</v>
      </c>
      <c r="AZ6547" s="3" t="s">
        <v>63035</v>
      </c>
      <c r="BA6547" s="3" t="s">
        <v>63035</v>
      </c>
      <c r="BB6547" s="3" t="s">
        <v>63036</v>
      </c>
      <c r="BC6547" s="3" t="s">
        <v>142</v>
      </c>
      <c r="BD6547" s="3" t="s">
        <v>68</v>
      </c>
      <c r="BE6547" s="3" t="s">
        <v>63037</v>
      </c>
      <c r="BF6547" s="3" t="s">
        <v>63036</v>
      </c>
      <c r="BG6547" s="3" t="s">
        <v>63038</v>
      </c>
    </row>
    <row r="6548" spans="1:59" ht="57" x14ac:dyDescent="0.45">
      <c r="A6548" s="2" t="s">
        <v>59</v>
      </c>
      <c r="B6548" s="2" t="s">
        <v>60</v>
      </c>
      <c r="C6548" s="2" t="s">
        <v>63039</v>
      </c>
      <c r="D6548" s="2" t="s">
        <v>63040</v>
      </c>
      <c r="E6548" s="2" t="s">
        <v>63041</v>
      </c>
      <c r="G6548" s="3" t="s">
        <v>62</v>
      </c>
      <c r="I6548" s="3" t="s">
        <v>62</v>
      </c>
      <c r="J6548" s="3" t="s">
        <v>62</v>
      </c>
      <c r="K6548" s="3" t="s">
        <v>63</v>
      </c>
      <c r="L6548" s="2" t="s">
        <v>63042</v>
      </c>
      <c r="M6548" s="2" t="s">
        <v>905</v>
      </c>
      <c r="N6548" s="3" t="s">
        <v>149</v>
      </c>
      <c r="P6548" s="3" t="s">
        <v>65</v>
      </c>
      <c r="R6548" s="3" t="s">
        <v>66</v>
      </c>
      <c r="S6548" s="4">
        <v>4</v>
      </c>
      <c r="T6548" s="4">
        <v>4</v>
      </c>
      <c r="U6548" s="5" t="s">
        <v>21859</v>
      </c>
      <c r="V6548" s="5" t="s">
        <v>21859</v>
      </c>
      <c r="W6548" s="5" t="s">
        <v>67</v>
      </c>
      <c r="X6548" s="5" t="s">
        <v>67</v>
      </c>
      <c r="Y6548" s="4">
        <v>130</v>
      </c>
      <c r="Z6548" s="4">
        <v>17</v>
      </c>
      <c r="AA6548" s="4">
        <v>81</v>
      </c>
      <c r="AB6548" s="4">
        <v>1</v>
      </c>
      <c r="AC6548" s="4">
        <v>14</v>
      </c>
      <c r="AD6548" s="4">
        <v>66</v>
      </c>
      <c r="AE6548" s="4">
        <v>117</v>
      </c>
      <c r="AF6548" s="4">
        <v>0</v>
      </c>
      <c r="AG6548" s="4">
        <v>8</v>
      </c>
      <c r="AH6548" s="4">
        <v>59</v>
      </c>
      <c r="AI6548" s="4">
        <v>84</v>
      </c>
      <c r="AJ6548" s="4">
        <v>13</v>
      </c>
      <c r="AK6548" s="4">
        <v>24</v>
      </c>
      <c r="AL6548" s="4">
        <v>36</v>
      </c>
      <c r="AM6548" s="4">
        <v>46</v>
      </c>
      <c r="AN6548" s="4">
        <v>0</v>
      </c>
      <c r="AO6548" s="4">
        <v>0</v>
      </c>
      <c r="AP6548" s="4">
        <v>14</v>
      </c>
      <c r="AQ6548" s="4">
        <v>43</v>
      </c>
      <c r="AR6548" s="3" t="s">
        <v>62</v>
      </c>
      <c r="AS6548" s="3" t="s">
        <v>62</v>
      </c>
      <c r="AT6548" s="3" t="s">
        <v>62</v>
      </c>
      <c r="AV6548" s="6" t="str">
        <f>HYPERLINK("http://mcgill.on.worldcat.org/oclc/645700820","Catalog Record")</f>
        <v>Catalog Record</v>
      </c>
      <c r="AW6548" s="6" t="str">
        <f>HYPERLINK("http://www.worldcat.org/oclc/645700820","WorldCat Record")</f>
        <v>WorldCat Record</v>
      </c>
      <c r="AX6548" s="3" t="s">
        <v>63043</v>
      </c>
      <c r="AY6548" s="3" t="s">
        <v>63044</v>
      </c>
      <c r="AZ6548" s="3" t="s">
        <v>63045</v>
      </c>
      <c r="BA6548" s="3" t="s">
        <v>63045</v>
      </c>
      <c r="BB6548" s="3" t="s">
        <v>63046</v>
      </c>
      <c r="BC6548" s="3" t="s">
        <v>142</v>
      </c>
      <c r="BD6548" s="3" t="s">
        <v>68</v>
      </c>
      <c r="BE6548" s="3" t="s">
        <v>63047</v>
      </c>
      <c r="BF6548" s="3" t="s">
        <v>63046</v>
      </c>
      <c r="BG6548" s="3" t="s">
        <v>63048</v>
      </c>
    </row>
    <row r="6549" spans="1:59" ht="57" x14ac:dyDescent="0.45">
      <c r="A6549" s="2" t="s">
        <v>59</v>
      </c>
      <c r="B6549" s="2" t="s">
        <v>60</v>
      </c>
      <c r="C6549" s="2" t="s">
        <v>63049</v>
      </c>
      <c r="D6549" s="2" t="s">
        <v>63050</v>
      </c>
      <c r="E6549" s="2" t="s">
        <v>63051</v>
      </c>
      <c r="G6549" s="3" t="s">
        <v>62</v>
      </c>
      <c r="I6549" s="3" t="s">
        <v>62</v>
      </c>
      <c r="J6549" s="3" t="s">
        <v>62</v>
      </c>
      <c r="K6549" s="3" t="s">
        <v>63</v>
      </c>
      <c r="M6549" s="2" t="s">
        <v>10828</v>
      </c>
      <c r="N6549" s="3" t="s">
        <v>894</v>
      </c>
      <c r="P6549" s="3" t="s">
        <v>65</v>
      </c>
      <c r="Q6549" s="2" t="s">
        <v>63052</v>
      </c>
      <c r="R6549" s="3" t="s">
        <v>66</v>
      </c>
      <c r="S6549" s="4">
        <v>0</v>
      </c>
      <c r="T6549" s="4">
        <v>0</v>
      </c>
      <c r="W6549" s="5" t="s">
        <v>67</v>
      </c>
      <c r="X6549" s="5" t="s">
        <v>67</v>
      </c>
      <c r="Y6549" s="4">
        <v>70</v>
      </c>
      <c r="Z6549" s="4">
        <v>8</v>
      </c>
      <c r="AA6549" s="4">
        <v>86</v>
      </c>
      <c r="AB6549" s="4">
        <v>2</v>
      </c>
      <c r="AC6549" s="4">
        <v>17</v>
      </c>
      <c r="AD6549" s="4">
        <v>32</v>
      </c>
      <c r="AE6549" s="4">
        <v>107</v>
      </c>
      <c r="AF6549" s="4">
        <v>1</v>
      </c>
      <c r="AG6549" s="4">
        <v>8</v>
      </c>
      <c r="AH6549" s="4">
        <v>29</v>
      </c>
      <c r="AI6549" s="4">
        <v>72</v>
      </c>
      <c r="AJ6549" s="4">
        <v>5</v>
      </c>
      <c r="AK6549" s="4">
        <v>20</v>
      </c>
      <c r="AL6549" s="4">
        <v>20</v>
      </c>
      <c r="AM6549" s="4">
        <v>38</v>
      </c>
      <c r="AN6549" s="4">
        <v>0</v>
      </c>
      <c r="AO6549" s="4">
        <v>0</v>
      </c>
      <c r="AP6549" s="4">
        <v>6</v>
      </c>
      <c r="AQ6549" s="4">
        <v>41</v>
      </c>
      <c r="AR6549" s="3" t="s">
        <v>62</v>
      </c>
      <c r="AS6549" s="3" t="s">
        <v>62</v>
      </c>
      <c r="AT6549" s="3" t="s">
        <v>62</v>
      </c>
      <c r="AV6549" s="6" t="str">
        <f>HYPERLINK("http://mcgill.on.worldcat.org/oclc/708648686","Catalog Record")</f>
        <v>Catalog Record</v>
      </c>
      <c r="AW6549" s="6" t="str">
        <f>HYPERLINK("http://www.worldcat.org/oclc/708648686","WorldCat Record")</f>
        <v>WorldCat Record</v>
      </c>
      <c r="AX6549" s="3" t="s">
        <v>63053</v>
      </c>
      <c r="AY6549" s="3" t="s">
        <v>63054</v>
      </c>
      <c r="AZ6549" s="3" t="s">
        <v>63055</v>
      </c>
      <c r="BA6549" s="3" t="s">
        <v>63055</v>
      </c>
      <c r="BB6549" s="3" t="s">
        <v>63056</v>
      </c>
      <c r="BC6549" s="3" t="s">
        <v>142</v>
      </c>
      <c r="BD6549" s="3" t="s">
        <v>68</v>
      </c>
      <c r="BE6549" s="3" t="s">
        <v>63057</v>
      </c>
      <c r="BF6549" s="3" t="s">
        <v>63056</v>
      </c>
      <c r="BG6549" s="3" t="s">
        <v>63058</v>
      </c>
    </row>
    <row r="6550" spans="1:59" ht="57" x14ac:dyDescent="0.45">
      <c r="A6550" s="2" t="s">
        <v>59</v>
      </c>
      <c r="B6550" s="2" t="s">
        <v>60</v>
      </c>
      <c r="C6550" s="2" t="s">
        <v>63059</v>
      </c>
      <c r="D6550" s="2" t="s">
        <v>63060</v>
      </c>
      <c r="E6550" s="2" t="s">
        <v>63061</v>
      </c>
      <c r="G6550" s="3" t="s">
        <v>62</v>
      </c>
      <c r="I6550" s="3" t="s">
        <v>62</v>
      </c>
      <c r="J6550" s="3" t="s">
        <v>62</v>
      </c>
      <c r="K6550" s="3" t="s">
        <v>63</v>
      </c>
      <c r="M6550" s="2" t="s">
        <v>2739</v>
      </c>
      <c r="N6550" s="3" t="s">
        <v>149</v>
      </c>
      <c r="P6550" s="3" t="s">
        <v>65</v>
      </c>
      <c r="Q6550" s="2" t="s">
        <v>63062</v>
      </c>
      <c r="R6550" s="3" t="s">
        <v>66</v>
      </c>
      <c r="S6550" s="4">
        <v>2</v>
      </c>
      <c r="T6550" s="4">
        <v>2</v>
      </c>
      <c r="U6550" s="5" t="s">
        <v>38278</v>
      </c>
      <c r="V6550" s="5" t="s">
        <v>38278</v>
      </c>
      <c r="W6550" s="5" t="s">
        <v>67</v>
      </c>
      <c r="X6550" s="5" t="s">
        <v>67</v>
      </c>
      <c r="Y6550" s="4">
        <v>70</v>
      </c>
      <c r="Z6550" s="4">
        <v>9</v>
      </c>
      <c r="AA6550" s="4">
        <v>93</v>
      </c>
      <c r="AB6550" s="4">
        <v>1</v>
      </c>
      <c r="AC6550" s="4">
        <v>18</v>
      </c>
      <c r="AD6550" s="4">
        <v>40</v>
      </c>
      <c r="AE6550" s="4">
        <v>111</v>
      </c>
      <c r="AF6550" s="4">
        <v>0</v>
      </c>
      <c r="AG6550" s="4">
        <v>8</v>
      </c>
      <c r="AH6550" s="4">
        <v>39</v>
      </c>
      <c r="AI6550" s="4">
        <v>75</v>
      </c>
      <c r="AJ6550" s="4">
        <v>7</v>
      </c>
      <c r="AK6550" s="4">
        <v>23</v>
      </c>
      <c r="AL6550" s="4">
        <v>24</v>
      </c>
      <c r="AM6550" s="4">
        <v>40</v>
      </c>
      <c r="AN6550" s="4">
        <v>0</v>
      </c>
      <c r="AO6550" s="4">
        <v>0</v>
      </c>
      <c r="AP6550" s="4">
        <v>7</v>
      </c>
      <c r="AQ6550" s="4">
        <v>44</v>
      </c>
      <c r="AR6550" s="3" t="s">
        <v>62</v>
      </c>
      <c r="AS6550" s="3" t="s">
        <v>62</v>
      </c>
      <c r="AT6550" s="3" t="s">
        <v>62</v>
      </c>
      <c r="AV6550" s="6" t="str">
        <f>HYPERLINK("http://mcgill.on.worldcat.org/oclc/639941257","Catalog Record")</f>
        <v>Catalog Record</v>
      </c>
      <c r="AW6550" s="6" t="str">
        <f>HYPERLINK("http://www.worldcat.org/oclc/639941257","WorldCat Record")</f>
        <v>WorldCat Record</v>
      </c>
      <c r="AX6550" s="3" t="s">
        <v>63063</v>
      </c>
      <c r="AY6550" s="3" t="s">
        <v>63064</v>
      </c>
      <c r="AZ6550" s="3" t="s">
        <v>63065</v>
      </c>
      <c r="BA6550" s="3" t="s">
        <v>63065</v>
      </c>
      <c r="BB6550" s="3" t="s">
        <v>63066</v>
      </c>
      <c r="BC6550" s="3" t="s">
        <v>142</v>
      </c>
      <c r="BD6550" s="3" t="s">
        <v>68</v>
      </c>
      <c r="BE6550" s="3" t="s">
        <v>63067</v>
      </c>
      <c r="BF6550" s="3" t="s">
        <v>63066</v>
      </c>
      <c r="BG6550" s="3" t="s">
        <v>63068</v>
      </c>
    </row>
    <row r="6551" spans="1:59" ht="57" x14ac:dyDescent="0.45">
      <c r="A6551" s="2" t="s">
        <v>59</v>
      </c>
      <c r="B6551" s="2" t="s">
        <v>60</v>
      </c>
      <c r="C6551" s="2" t="s">
        <v>63069</v>
      </c>
      <c r="D6551" s="2" t="s">
        <v>63070</v>
      </c>
      <c r="E6551" s="2" t="s">
        <v>63071</v>
      </c>
      <c r="G6551" s="3" t="s">
        <v>62</v>
      </c>
      <c r="I6551" s="3" t="s">
        <v>62</v>
      </c>
      <c r="J6551" s="3" t="s">
        <v>62</v>
      </c>
      <c r="K6551" s="3" t="s">
        <v>63</v>
      </c>
      <c r="M6551" s="2" t="s">
        <v>63072</v>
      </c>
      <c r="N6551" s="3" t="s">
        <v>84</v>
      </c>
      <c r="P6551" s="3" t="s">
        <v>65</v>
      </c>
      <c r="Q6551" s="2" t="s">
        <v>63073</v>
      </c>
      <c r="R6551" s="3" t="s">
        <v>66</v>
      </c>
      <c r="S6551" s="4">
        <v>11</v>
      </c>
      <c r="T6551" s="4">
        <v>11</v>
      </c>
      <c r="U6551" s="5" t="s">
        <v>1225</v>
      </c>
      <c r="V6551" s="5" t="s">
        <v>1225</v>
      </c>
      <c r="W6551" s="5" t="s">
        <v>67</v>
      </c>
      <c r="X6551" s="5" t="s">
        <v>67</v>
      </c>
      <c r="Y6551" s="4">
        <v>177</v>
      </c>
      <c r="Z6551" s="4">
        <v>11</v>
      </c>
      <c r="AA6551" s="4">
        <v>97</v>
      </c>
      <c r="AB6551" s="4">
        <v>1</v>
      </c>
      <c r="AC6551" s="4">
        <v>17</v>
      </c>
      <c r="AD6551" s="4">
        <v>65</v>
      </c>
      <c r="AE6551" s="4">
        <v>122</v>
      </c>
      <c r="AF6551" s="4">
        <v>0</v>
      </c>
      <c r="AG6551" s="4">
        <v>8</v>
      </c>
      <c r="AH6551" s="4">
        <v>61</v>
      </c>
      <c r="AI6551" s="4">
        <v>85</v>
      </c>
      <c r="AJ6551" s="4">
        <v>6</v>
      </c>
      <c r="AK6551" s="4">
        <v>22</v>
      </c>
      <c r="AL6551" s="4">
        <v>39</v>
      </c>
      <c r="AM6551" s="4">
        <v>49</v>
      </c>
      <c r="AN6551" s="4">
        <v>0</v>
      </c>
      <c r="AO6551" s="4">
        <v>0</v>
      </c>
      <c r="AP6551" s="4">
        <v>8</v>
      </c>
      <c r="AQ6551" s="4">
        <v>45</v>
      </c>
      <c r="AR6551" s="3" t="s">
        <v>62</v>
      </c>
      <c r="AS6551" s="3" t="s">
        <v>62</v>
      </c>
      <c r="AT6551" s="3" t="s">
        <v>61</v>
      </c>
      <c r="AU6551" s="6" t="str">
        <f>HYPERLINK("http://catalog.hathitrust.org/Record/002595154","HathiTrust Record")</f>
        <v>HathiTrust Record</v>
      </c>
      <c r="AV6551" s="6" t="str">
        <f>HYPERLINK("http://mcgill.on.worldcat.org/oclc/24871382","Catalog Record")</f>
        <v>Catalog Record</v>
      </c>
      <c r="AW6551" s="6" t="str">
        <f>HYPERLINK("http://www.worldcat.org/oclc/24871382","WorldCat Record")</f>
        <v>WorldCat Record</v>
      </c>
      <c r="AX6551" s="3" t="s">
        <v>63074</v>
      </c>
      <c r="AY6551" s="3" t="s">
        <v>63075</v>
      </c>
      <c r="AZ6551" s="3" t="s">
        <v>63076</v>
      </c>
      <c r="BA6551" s="3" t="s">
        <v>63076</v>
      </c>
      <c r="BB6551" s="3" t="s">
        <v>63077</v>
      </c>
      <c r="BC6551" s="3" t="s">
        <v>142</v>
      </c>
      <c r="BD6551" s="3" t="s">
        <v>68</v>
      </c>
      <c r="BE6551" s="3" t="s">
        <v>63078</v>
      </c>
      <c r="BF6551" s="3" t="s">
        <v>63077</v>
      </c>
      <c r="BG6551" s="3" t="s">
        <v>63079</v>
      </c>
    </row>
    <row r="6552" spans="1:59" ht="57" x14ac:dyDescent="0.45">
      <c r="A6552" s="2" t="s">
        <v>59</v>
      </c>
      <c r="B6552" s="2" t="s">
        <v>60</v>
      </c>
      <c r="C6552" s="2" t="s">
        <v>63080</v>
      </c>
      <c r="D6552" s="2" t="s">
        <v>63081</v>
      </c>
      <c r="E6552" s="2" t="s">
        <v>63082</v>
      </c>
      <c r="G6552" s="3" t="s">
        <v>62</v>
      </c>
      <c r="I6552" s="3" t="s">
        <v>62</v>
      </c>
      <c r="J6552" s="3" t="s">
        <v>62</v>
      </c>
      <c r="K6552" s="3" t="s">
        <v>63</v>
      </c>
      <c r="M6552" s="2" t="s">
        <v>20345</v>
      </c>
      <c r="N6552" s="3" t="s">
        <v>1688</v>
      </c>
      <c r="P6552" s="3" t="s">
        <v>65</v>
      </c>
      <c r="Q6552" s="2" t="s">
        <v>63083</v>
      </c>
      <c r="R6552" s="3" t="s">
        <v>66</v>
      </c>
      <c r="S6552" s="4">
        <v>1</v>
      </c>
      <c r="T6552" s="4">
        <v>1</v>
      </c>
      <c r="U6552" s="5" t="s">
        <v>63084</v>
      </c>
      <c r="V6552" s="5" t="s">
        <v>63084</v>
      </c>
      <c r="W6552" s="5" t="s">
        <v>67</v>
      </c>
      <c r="X6552" s="5" t="s">
        <v>67</v>
      </c>
      <c r="Y6552" s="4">
        <v>52</v>
      </c>
      <c r="Z6552" s="4">
        <v>7</v>
      </c>
      <c r="AA6552" s="4">
        <v>12</v>
      </c>
      <c r="AB6552" s="4">
        <v>1</v>
      </c>
      <c r="AC6552" s="4">
        <v>4</v>
      </c>
      <c r="AD6552" s="4">
        <v>18</v>
      </c>
      <c r="AE6552" s="4">
        <v>22</v>
      </c>
      <c r="AF6552" s="4">
        <v>0</v>
      </c>
      <c r="AG6552" s="4">
        <v>1</v>
      </c>
      <c r="AH6552" s="4">
        <v>12</v>
      </c>
      <c r="AI6552" s="4">
        <v>16</v>
      </c>
      <c r="AJ6552" s="4">
        <v>6</v>
      </c>
      <c r="AK6552" s="4">
        <v>9</v>
      </c>
      <c r="AL6552" s="4">
        <v>10</v>
      </c>
      <c r="AM6552" s="4">
        <v>11</v>
      </c>
      <c r="AN6552" s="4">
        <v>0</v>
      </c>
      <c r="AO6552" s="4">
        <v>0</v>
      </c>
      <c r="AP6552" s="4">
        <v>6</v>
      </c>
      <c r="AQ6552" s="4">
        <v>9</v>
      </c>
      <c r="AR6552" s="3" t="s">
        <v>62</v>
      </c>
      <c r="AS6552" s="3" t="s">
        <v>62</v>
      </c>
      <c r="AT6552" s="3" t="s">
        <v>62</v>
      </c>
      <c r="AV6552" s="6" t="str">
        <f>HYPERLINK("http://mcgill.on.worldcat.org/oclc/858312475","Catalog Record")</f>
        <v>Catalog Record</v>
      </c>
      <c r="AW6552" s="6" t="str">
        <f>HYPERLINK("http://www.worldcat.org/oclc/858312475","WorldCat Record")</f>
        <v>WorldCat Record</v>
      </c>
      <c r="AX6552" s="3" t="s">
        <v>63085</v>
      </c>
      <c r="AY6552" s="3" t="s">
        <v>63086</v>
      </c>
      <c r="AZ6552" s="3" t="s">
        <v>63087</v>
      </c>
      <c r="BA6552" s="3" t="s">
        <v>63087</v>
      </c>
      <c r="BB6552" s="3" t="s">
        <v>63088</v>
      </c>
      <c r="BC6552" s="3" t="s">
        <v>142</v>
      </c>
      <c r="BD6552" s="3" t="s">
        <v>68</v>
      </c>
      <c r="BE6552" s="3" t="s">
        <v>63089</v>
      </c>
      <c r="BF6552" s="3" t="s">
        <v>63088</v>
      </c>
      <c r="BG6552" s="3" t="s">
        <v>63090</v>
      </c>
    </row>
    <row r="6553" spans="1:59" ht="71.25" x14ac:dyDescent="0.45">
      <c r="A6553" s="2" t="s">
        <v>59</v>
      </c>
      <c r="B6553" s="2" t="s">
        <v>60</v>
      </c>
      <c r="C6553" s="2" t="s">
        <v>63091</v>
      </c>
      <c r="D6553" s="2" t="s">
        <v>63092</v>
      </c>
      <c r="E6553" s="2" t="s">
        <v>63093</v>
      </c>
      <c r="G6553" s="3" t="s">
        <v>62</v>
      </c>
      <c r="I6553" s="3" t="s">
        <v>62</v>
      </c>
      <c r="J6553" s="3" t="s">
        <v>62</v>
      </c>
      <c r="K6553" s="3" t="s">
        <v>63</v>
      </c>
      <c r="M6553" s="2" t="s">
        <v>63094</v>
      </c>
      <c r="N6553" s="3" t="s">
        <v>149</v>
      </c>
      <c r="P6553" s="3" t="s">
        <v>65</v>
      </c>
      <c r="Q6553" s="2" t="s">
        <v>63095</v>
      </c>
      <c r="R6553" s="3" t="s">
        <v>66</v>
      </c>
      <c r="S6553" s="4">
        <v>0</v>
      </c>
      <c r="T6553" s="4">
        <v>0</v>
      </c>
      <c r="W6553" s="5" t="s">
        <v>67</v>
      </c>
      <c r="X6553" s="5" t="s">
        <v>67</v>
      </c>
      <c r="Y6553" s="4">
        <v>34</v>
      </c>
      <c r="Z6553" s="4">
        <v>5</v>
      </c>
      <c r="AA6553" s="4">
        <v>33</v>
      </c>
      <c r="AB6553" s="4">
        <v>1</v>
      </c>
      <c r="AC6553" s="4">
        <v>8</v>
      </c>
      <c r="AD6553" s="4">
        <v>18</v>
      </c>
      <c r="AE6553" s="4">
        <v>33</v>
      </c>
      <c r="AF6553" s="4">
        <v>0</v>
      </c>
      <c r="AG6553" s="4">
        <v>2</v>
      </c>
      <c r="AH6553" s="4">
        <v>15</v>
      </c>
      <c r="AI6553" s="4">
        <v>23</v>
      </c>
      <c r="AJ6553" s="4">
        <v>3</v>
      </c>
      <c r="AK6553" s="4">
        <v>5</v>
      </c>
      <c r="AL6553" s="4">
        <v>10</v>
      </c>
      <c r="AM6553" s="4">
        <v>16</v>
      </c>
      <c r="AN6553" s="4">
        <v>0</v>
      </c>
      <c r="AO6553" s="4">
        <v>0</v>
      </c>
      <c r="AP6553" s="4">
        <v>4</v>
      </c>
      <c r="AQ6553" s="4">
        <v>11</v>
      </c>
      <c r="AR6553" s="3" t="s">
        <v>62</v>
      </c>
      <c r="AS6553" s="3" t="s">
        <v>62</v>
      </c>
      <c r="AT6553" s="3" t="s">
        <v>62</v>
      </c>
      <c r="AV6553" s="6" t="str">
        <f>HYPERLINK("http://mcgill.on.worldcat.org/oclc/657223752","Catalog Record")</f>
        <v>Catalog Record</v>
      </c>
      <c r="AW6553" s="6" t="str">
        <f>HYPERLINK("http://www.worldcat.org/oclc/657223752","WorldCat Record")</f>
        <v>WorldCat Record</v>
      </c>
      <c r="AX6553" s="3" t="s">
        <v>63096</v>
      </c>
      <c r="AY6553" s="3" t="s">
        <v>63097</v>
      </c>
      <c r="AZ6553" s="3" t="s">
        <v>63098</v>
      </c>
      <c r="BA6553" s="3" t="s">
        <v>63098</v>
      </c>
      <c r="BB6553" s="3" t="s">
        <v>63099</v>
      </c>
      <c r="BC6553" s="3" t="s">
        <v>142</v>
      </c>
      <c r="BD6553" s="3" t="s">
        <v>68</v>
      </c>
      <c r="BE6553" s="3" t="s">
        <v>63100</v>
      </c>
      <c r="BF6553" s="3" t="s">
        <v>63099</v>
      </c>
      <c r="BG6553" s="3" t="s">
        <v>63101</v>
      </c>
    </row>
    <row r="6554" spans="1:59" ht="57" x14ac:dyDescent="0.45">
      <c r="A6554" s="2" t="s">
        <v>59</v>
      </c>
      <c r="B6554" s="2" t="s">
        <v>60</v>
      </c>
      <c r="C6554" s="2" t="s">
        <v>63102</v>
      </c>
      <c r="D6554" s="2" t="s">
        <v>63103</v>
      </c>
      <c r="E6554" s="2" t="s">
        <v>63104</v>
      </c>
      <c r="G6554" s="3" t="s">
        <v>62</v>
      </c>
      <c r="I6554" s="3" t="s">
        <v>62</v>
      </c>
      <c r="J6554" s="3" t="s">
        <v>62</v>
      </c>
      <c r="K6554" s="3" t="s">
        <v>63</v>
      </c>
      <c r="L6554" s="2" t="s">
        <v>63105</v>
      </c>
      <c r="M6554" s="2" t="s">
        <v>63106</v>
      </c>
      <c r="N6554" s="3" t="s">
        <v>568</v>
      </c>
      <c r="P6554" s="3" t="s">
        <v>110</v>
      </c>
      <c r="Q6554" s="2" t="s">
        <v>21846</v>
      </c>
      <c r="R6554" s="3" t="s">
        <v>66</v>
      </c>
      <c r="S6554" s="4">
        <v>11</v>
      </c>
      <c r="T6554" s="4">
        <v>11</v>
      </c>
      <c r="U6554" s="5" t="s">
        <v>7408</v>
      </c>
      <c r="V6554" s="5" t="s">
        <v>7408</v>
      </c>
      <c r="W6554" s="5" t="s">
        <v>67</v>
      </c>
      <c r="X6554" s="5" t="s">
        <v>67</v>
      </c>
      <c r="Y6554" s="4">
        <v>86</v>
      </c>
      <c r="Z6554" s="4">
        <v>12</v>
      </c>
      <c r="AA6554" s="4">
        <v>20</v>
      </c>
      <c r="AB6554" s="4">
        <v>2</v>
      </c>
      <c r="AC6554" s="4">
        <v>8</v>
      </c>
      <c r="AD6554" s="4">
        <v>43</v>
      </c>
      <c r="AE6554" s="4">
        <v>48</v>
      </c>
      <c r="AF6554" s="4">
        <v>0</v>
      </c>
      <c r="AG6554" s="4">
        <v>3</v>
      </c>
      <c r="AH6554" s="4">
        <v>38</v>
      </c>
      <c r="AI6554" s="4">
        <v>40</v>
      </c>
      <c r="AJ6554" s="4">
        <v>7</v>
      </c>
      <c r="AK6554" s="4">
        <v>11</v>
      </c>
      <c r="AL6554" s="4">
        <v>28</v>
      </c>
      <c r="AM6554" s="4">
        <v>28</v>
      </c>
      <c r="AN6554" s="4">
        <v>0</v>
      </c>
      <c r="AO6554" s="4">
        <v>0</v>
      </c>
      <c r="AP6554" s="4">
        <v>9</v>
      </c>
      <c r="AQ6554" s="4">
        <v>13</v>
      </c>
      <c r="AR6554" s="3" t="s">
        <v>62</v>
      </c>
      <c r="AS6554" s="3" t="s">
        <v>62</v>
      </c>
      <c r="AT6554" s="3" t="s">
        <v>62</v>
      </c>
      <c r="AV6554" s="6" t="str">
        <f>HYPERLINK("http://mcgill.on.worldcat.org/oclc/22491612","Catalog Record")</f>
        <v>Catalog Record</v>
      </c>
      <c r="AW6554" s="6" t="str">
        <f>HYPERLINK("http://www.worldcat.org/oclc/22491612","WorldCat Record")</f>
        <v>WorldCat Record</v>
      </c>
      <c r="AX6554" s="3" t="s">
        <v>63107</v>
      </c>
      <c r="AY6554" s="3" t="s">
        <v>63108</v>
      </c>
      <c r="AZ6554" s="3" t="s">
        <v>63109</v>
      </c>
      <c r="BA6554" s="3" t="s">
        <v>63109</v>
      </c>
      <c r="BB6554" s="3" t="s">
        <v>63110</v>
      </c>
      <c r="BC6554" s="3" t="s">
        <v>142</v>
      </c>
      <c r="BD6554" s="3" t="s">
        <v>68</v>
      </c>
      <c r="BE6554" s="3" t="s">
        <v>63111</v>
      </c>
      <c r="BF6554" s="3" t="s">
        <v>63110</v>
      </c>
      <c r="BG6554" s="3" t="s">
        <v>63112</v>
      </c>
    </row>
    <row r="6555" spans="1:59" ht="57" x14ac:dyDescent="0.45">
      <c r="A6555" s="2" t="s">
        <v>59</v>
      </c>
      <c r="B6555" s="2" t="s">
        <v>60</v>
      </c>
      <c r="C6555" s="2" t="s">
        <v>63113</v>
      </c>
      <c r="D6555" s="2" t="s">
        <v>63114</v>
      </c>
      <c r="E6555" s="2" t="s">
        <v>63115</v>
      </c>
      <c r="G6555" s="3" t="s">
        <v>62</v>
      </c>
      <c r="I6555" s="3" t="s">
        <v>62</v>
      </c>
      <c r="J6555" s="3" t="s">
        <v>62</v>
      </c>
      <c r="K6555" s="3" t="s">
        <v>63</v>
      </c>
      <c r="L6555" s="2" t="s">
        <v>63116</v>
      </c>
      <c r="M6555" s="2" t="s">
        <v>63117</v>
      </c>
      <c r="N6555" s="3" t="s">
        <v>1155</v>
      </c>
      <c r="P6555" s="3" t="s">
        <v>65</v>
      </c>
      <c r="Q6555" s="2" t="s">
        <v>63118</v>
      </c>
      <c r="R6555" s="3" t="s">
        <v>66</v>
      </c>
      <c r="S6555" s="4">
        <v>7</v>
      </c>
      <c r="T6555" s="4">
        <v>7</v>
      </c>
      <c r="U6555" s="5" t="s">
        <v>6500</v>
      </c>
      <c r="V6555" s="5" t="s">
        <v>6500</v>
      </c>
      <c r="W6555" s="5" t="s">
        <v>67</v>
      </c>
      <c r="X6555" s="5" t="s">
        <v>67</v>
      </c>
      <c r="Y6555" s="4">
        <v>33</v>
      </c>
      <c r="Z6555" s="4">
        <v>4</v>
      </c>
      <c r="AA6555" s="4">
        <v>80</v>
      </c>
      <c r="AB6555" s="4">
        <v>1</v>
      </c>
      <c r="AC6555" s="4">
        <v>15</v>
      </c>
      <c r="AD6555" s="4">
        <v>20</v>
      </c>
      <c r="AE6555" s="4">
        <v>107</v>
      </c>
      <c r="AF6555" s="4">
        <v>0</v>
      </c>
      <c r="AG6555" s="4">
        <v>8</v>
      </c>
      <c r="AH6555" s="4">
        <v>19</v>
      </c>
      <c r="AI6555" s="4">
        <v>74</v>
      </c>
      <c r="AJ6555" s="4">
        <v>3</v>
      </c>
      <c r="AK6555" s="4">
        <v>21</v>
      </c>
      <c r="AL6555" s="4">
        <v>11</v>
      </c>
      <c r="AM6555" s="4">
        <v>38</v>
      </c>
      <c r="AN6555" s="4">
        <v>0</v>
      </c>
      <c r="AO6555" s="4">
        <v>0</v>
      </c>
      <c r="AP6555" s="4">
        <v>3</v>
      </c>
      <c r="AQ6555" s="4">
        <v>41</v>
      </c>
      <c r="AR6555" s="3" t="s">
        <v>62</v>
      </c>
      <c r="AS6555" s="3" t="s">
        <v>62</v>
      </c>
      <c r="AT6555" s="3" t="s">
        <v>62</v>
      </c>
      <c r="AV6555" s="6" t="str">
        <f>HYPERLINK("http://mcgill.on.worldcat.org/oclc/804491333","Catalog Record")</f>
        <v>Catalog Record</v>
      </c>
      <c r="AW6555" s="6" t="str">
        <f>HYPERLINK("http://www.worldcat.org/oclc/804491333","WorldCat Record")</f>
        <v>WorldCat Record</v>
      </c>
      <c r="AX6555" s="3" t="s">
        <v>63119</v>
      </c>
      <c r="AY6555" s="3" t="s">
        <v>63120</v>
      </c>
      <c r="AZ6555" s="3" t="s">
        <v>63121</v>
      </c>
      <c r="BA6555" s="3" t="s">
        <v>63121</v>
      </c>
      <c r="BB6555" s="3" t="s">
        <v>63122</v>
      </c>
      <c r="BC6555" s="3" t="s">
        <v>142</v>
      </c>
      <c r="BD6555" s="3" t="s">
        <v>308</v>
      </c>
      <c r="BE6555" s="3" t="s">
        <v>63123</v>
      </c>
      <c r="BF6555" s="3" t="s">
        <v>63122</v>
      </c>
      <c r="BG6555" s="3" t="s">
        <v>63124</v>
      </c>
    </row>
    <row r="6556" spans="1:59" ht="57" x14ac:dyDescent="0.45">
      <c r="A6556" s="2" t="s">
        <v>59</v>
      </c>
      <c r="B6556" s="2" t="s">
        <v>60</v>
      </c>
      <c r="C6556" s="2" t="s">
        <v>63125</v>
      </c>
      <c r="D6556" s="2" t="s">
        <v>63126</v>
      </c>
      <c r="E6556" s="2" t="s">
        <v>63127</v>
      </c>
      <c r="G6556" s="3" t="s">
        <v>62</v>
      </c>
      <c r="I6556" s="3" t="s">
        <v>62</v>
      </c>
      <c r="J6556" s="3" t="s">
        <v>62</v>
      </c>
      <c r="K6556" s="3" t="s">
        <v>63</v>
      </c>
      <c r="L6556" s="2" t="s">
        <v>63128</v>
      </c>
      <c r="M6556" s="2" t="s">
        <v>45951</v>
      </c>
      <c r="N6556" s="3" t="s">
        <v>1097</v>
      </c>
      <c r="P6556" s="3" t="s">
        <v>65</v>
      </c>
      <c r="Q6556" s="2" t="s">
        <v>36752</v>
      </c>
      <c r="R6556" s="3" t="s">
        <v>66</v>
      </c>
      <c r="S6556" s="4">
        <v>6</v>
      </c>
      <c r="T6556" s="4">
        <v>6</v>
      </c>
      <c r="U6556" s="5" t="s">
        <v>3743</v>
      </c>
      <c r="V6556" s="5" t="s">
        <v>3743</v>
      </c>
      <c r="W6556" s="5" t="s">
        <v>67</v>
      </c>
      <c r="X6556" s="5" t="s">
        <v>67</v>
      </c>
      <c r="Y6556" s="4">
        <v>227</v>
      </c>
      <c r="Z6556" s="4">
        <v>16</v>
      </c>
      <c r="AA6556" s="4">
        <v>16</v>
      </c>
      <c r="AB6556" s="4">
        <v>2</v>
      </c>
      <c r="AC6556" s="4">
        <v>2</v>
      </c>
      <c r="AD6556" s="4">
        <v>92</v>
      </c>
      <c r="AE6556" s="4">
        <v>92</v>
      </c>
      <c r="AF6556" s="4">
        <v>1</v>
      </c>
      <c r="AG6556" s="4">
        <v>1</v>
      </c>
      <c r="AH6556" s="4">
        <v>83</v>
      </c>
      <c r="AI6556" s="4">
        <v>83</v>
      </c>
      <c r="AJ6556" s="4">
        <v>13</v>
      </c>
      <c r="AK6556" s="4">
        <v>13</v>
      </c>
      <c r="AL6556" s="4">
        <v>50</v>
      </c>
      <c r="AM6556" s="4">
        <v>50</v>
      </c>
      <c r="AN6556" s="4">
        <v>0</v>
      </c>
      <c r="AO6556" s="4">
        <v>0</v>
      </c>
      <c r="AP6556" s="4">
        <v>14</v>
      </c>
      <c r="AQ6556" s="4">
        <v>14</v>
      </c>
      <c r="AR6556" s="3" t="s">
        <v>62</v>
      </c>
      <c r="AS6556" s="3" t="s">
        <v>62</v>
      </c>
      <c r="AT6556" s="3" t="s">
        <v>62</v>
      </c>
      <c r="AV6556" s="6" t="str">
        <f>HYPERLINK("http://mcgill.on.worldcat.org/oclc/54081811","Catalog Record")</f>
        <v>Catalog Record</v>
      </c>
      <c r="AW6556" s="6" t="str">
        <f>HYPERLINK("http://www.worldcat.org/oclc/54081811","WorldCat Record")</f>
        <v>WorldCat Record</v>
      </c>
      <c r="AX6556" s="3" t="s">
        <v>63129</v>
      </c>
      <c r="AY6556" s="3" t="s">
        <v>63130</v>
      </c>
      <c r="AZ6556" s="3" t="s">
        <v>63131</v>
      </c>
      <c r="BA6556" s="3" t="s">
        <v>63131</v>
      </c>
      <c r="BB6556" s="3" t="s">
        <v>63132</v>
      </c>
      <c r="BC6556" s="3" t="s">
        <v>142</v>
      </c>
      <c r="BD6556" s="3" t="s">
        <v>68</v>
      </c>
      <c r="BE6556" s="3" t="s">
        <v>63133</v>
      </c>
      <c r="BF6556" s="3" t="s">
        <v>63132</v>
      </c>
      <c r="BG6556" s="3" t="s">
        <v>63134</v>
      </c>
    </row>
    <row r="6557" spans="1:59" ht="71.25" x14ac:dyDescent="0.45">
      <c r="A6557" s="2" t="s">
        <v>59</v>
      </c>
      <c r="B6557" s="2" t="s">
        <v>60</v>
      </c>
      <c r="C6557" s="2" t="s">
        <v>63135</v>
      </c>
      <c r="D6557" s="2" t="s">
        <v>63136</v>
      </c>
      <c r="E6557" s="2" t="s">
        <v>63137</v>
      </c>
      <c r="G6557" s="3" t="s">
        <v>62</v>
      </c>
      <c r="I6557" s="3" t="s">
        <v>62</v>
      </c>
      <c r="J6557" s="3" t="s">
        <v>62</v>
      </c>
      <c r="K6557" s="3" t="s">
        <v>63</v>
      </c>
      <c r="M6557" s="2" t="s">
        <v>63138</v>
      </c>
      <c r="N6557" s="3" t="s">
        <v>1437</v>
      </c>
      <c r="P6557" s="3" t="s">
        <v>65</v>
      </c>
      <c r="Q6557" s="2" t="s">
        <v>36752</v>
      </c>
      <c r="R6557" s="3" t="s">
        <v>66</v>
      </c>
      <c r="S6557" s="4">
        <v>19</v>
      </c>
      <c r="T6557" s="4">
        <v>19</v>
      </c>
      <c r="U6557" s="5" t="s">
        <v>9578</v>
      </c>
      <c r="V6557" s="5" t="s">
        <v>9578</v>
      </c>
      <c r="W6557" s="5" t="s">
        <v>67</v>
      </c>
      <c r="X6557" s="5" t="s">
        <v>67</v>
      </c>
      <c r="Y6557" s="4">
        <v>289</v>
      </c>
      <c r="Z6557" s="4">
        <v>14</v>
      </c>
      <c r="AA6557" s="4">
        <v>94</v>
      </c>
      <c r="AB6557" s="4">
        <v>1</v>
      </c>
      <c r="AC6557" s="4">
        <v>17</v>
      </c>
      <c r="AD6557" s="4">
        <v>98</v>
      </c>
      <c r="AE6557" s="4">
        <v>144</v>
      </c>
      <c r="AF6557" s="4">
        <v>0</v>
      </c>
      <c r="AG6557" s="4">
        <v>8</v>
      </c>
      <c r="AH6557" s="4">
        <v>91</v>
      </c>
      <c r="AI6557" s="4">
        <v>105</v>
      </c>
      <c r="AJ6557" s="4">
        <v>10</v>
      </c>
      <c r="AK6557" s="4">
        <v>23</v>
      </c>
      <c r="AL6557" s="4">
        <v>51</v>
      </c>
      <c r="AM6557" s="4">
        <v>56</v>
      </c>
      <c r="AN6557" s="4">
        <v>0</v>
      </c>
      <c r="AO6557" s="4">
        <v>0</v>
      </c>
      <c r="AP6557" s="4">
        <v>12</v>
      </c>
      <c r="AQ6557" s="4">
        <v>46</v>
      </c>
      <c r="AR6557" s="3" t="s">
        <v>62</v>
      </c>
      <c r="AS6557" s="3" t="s">
        <v>62</v>
      </c>
      <c r="AT6557" s="3" t="s">
        <v>62</v>
      </c>
      <c r="AV6557" s="6" t="str">
        <f>HYPERLINK("http://mcgill.on.worldcat.org/oclc/38104682","Catalog Record")</f>
        <v>Catalog Record</v>
      </c>
      <c r="AW6557" s="6" t="str">
        <f>HYPERLINK("http://www.worldcat.org/oclc/38104682","WorldCat Record")</f>
        <v>WorldCat Record</v>
      </c>
      <c r="AX6557" s="3" t="s">
        <v>63139</v>
      </c>
      <c r="AY6557" s="3" t="s">
        <v>63140</v>
      </c>
      <c r="AZ6557" s="3" t="s">
        <v>63141</v>
      </c>
      <c r="BA6557" s="3" t="s">
        <v>63141</v>
      </c>
      <c r="BB6557" s="3" t="s">
        <v>63142</v>
      </c>
      <c r="BC6557" s="3" t="s">
        <v>142</v>
      </c>
      <c r="BD6557" s="3" t="s">
        <v>68</v>
      </c>
      <c r="BE6557" s="3" t="s">
        <v>63143</v>
      </c>
      <c r="BF6557" s="3" t="s">
        <v>63142</v>
      </c>
      <c r="BG6557" s="3" t="s">
        <v>63144</v>
      </c>
    </row>
    <row r="6558" spans="1:59" ht="57" x14ac:dyDescent="0.45">
      <c r="A6558" s="2" t="s">
        <v>59</v>
      </c>
      <c r="B6558" s="2" t="s">
        <v>60</v>
      </c>
      <c r="C6558" s="2" t="s">
        <v>63145</v>
      </c>
      <c r="D6558" s="2" t="s">
        <v>63146</v>
      </c>
      <c r="E6558" s="2" t="s">
        <v>63147</v>
      </c>
      <c r="G6558" s="3" t="s">
        <v>62</v>
      </c>
      <c r="I6558" s="3" t="s">
        <v>62</v>
      </c>
      <c r="J6558" s="3" t="s">
        <v>62</v>
      </c>
      <c r="K6558" s="3" t="s">
        <v>63</v>
      </c>
      <c r="L6558" s="2" t="s">
        <v>63148</v>
      </c>
      <c r="M6558" s="2" t="s">
        <v>63149</v>
      </c>
      <c r="N6558" s="3" t="s">
        <v>208</v>
      </c>
      <c r="P6558" s="3" t="s">
        <v>65</v>
      </c>
      <c r="Q6558" s="2" t="s">
        <v>8496</v>
      </c>
      <c r="R6558" s="3" t="s">
        <v>66</v>
      </c>
      <c r="S6558" s="4">
        <v>1</v>
      </c>
      <c r="T6558" s="4">
        <v>1</v>
      </c>
      <c r="U6558" s="5" t="s">
        <v>107</v>
      </c>
      <c r="V6558" s="5" t="s">
        <v>107</v>
      </c>
      <c r="W6558" s="5" t="s">
        <v>67</v>
      </c>
      <c r="X6558" s="5" t="s">
        <v>67</v>
      </c>
      <c r="Y6558" s="4">
        <v>60</v>
      </c>
      <c r="Z6558" s="4">
        <v>6</v>
      </c>
      <c r="AA6558" s="4">
        <v>71</v>
      </c>
      <c r="AB6558" s="4">
        <v>1</v>
      </c>
      <c r="AC6558" s="4">
        <v>14</v>
      </c>
      <c r="AD6558" s="4">
        <v>31</v>
      </c>
      <c r="AE6558" s="4">
        <v>93</v>
      </c>
      <c r="AF6558" s="4">
        <v>0</v>
      </c>
      <c r="AG6558" s="4">
        <v>8</v>
      </c>
      <c r="AH6558" s="4">
        <v>30</v>
      </c>
      <c r="AI6558" s="4">
        <v>63</v>
      </c>
      <c r="AJ6558" s="4">
        <v>4</v>
      </c>
      <c r="AK6558" s="4">
        <v>18</v>
      </c>
      <c r="AL6558" s="4">
        <v>23</v>
      </c>
      <c r="AM6558" s="4">
        <v>37</v>
      </c>
      <c r="AN6558" s="4">
        <v>0</v>
      </c>
      <c r="AO6558" s="4">
        <v>0</v>
      </c>
      <c r="AP6558" s="4">
        <v>4</v>
      </c>
      <c r="AQ6558" s="4">
        <v>37</v>
      </c>
      <c r="AR6558" s="3" t="s">
        <v>62</v>
      </c>
      <c r="AS6558" s="3" t="s">
        <v>62</v>
      </c>
      <c r="AT6558" s="3" t="s">
        <v>62</v>
      </c>
      <c r="AV6558" s="6" t="str">
        <f>HYPERLINK("http://mcgill.on.worldcat.org/oclc/904979679","Catalog Record")</f>
        <v>Catalog Record</v>
      </c>
      <c r="AW6558" s="6" t="str">
        <f>HYPERLINK("http://www.worldcat.org/oclc/904979679","WorldCat Record")</f>
        <v>WorldCat Record</v>
      </c>
      <c r="AX6558" s="3" t="s">
        <v>63150</v>
      </c>
      <c r="AY6558" s="3" t="s">
        <v>63151</v>
      </c>
      <c r="AZ6558" s="3" t="s">
        <v>63152</v>
      </c>
      <c r="BA6558" s="3" t="s">
        <v>63152</v>
      </c>
      <c r="BB6558" s="3" t="s">
        <v>63153</v>
      </c>
      <c r="BC6558" s="3" t="s">
        <v>142</v>
      </c>
      <c r="BD6558" s="3" t="s">
        <v>68</v>
      </c>
      <c r="BE6558" s="3" t="s">
        <v>63154</v>
      </c>
      <c r="BF6558" s="3" t="s">
        <v>63153</v>
      </c>
      <c r="BG6558" s="3" t="s">
        <v>63155</v>
      </c>
    </row>
    <row r="6559" spans="1:59" ht="57" x14ac:dyDescent="0.45">
      <c r="A6559" s="2" t="s">
        <v>59</v>
      </c>
      <c r="B6559" s="2" t="s">
        <v>60</v>
      </c>
      <c r="C6559" s="2" t="s">
        <v>63156</v>
      </c>
      <c r="D6559" s="2" t="s">
        <v>63157</v>
      </c>
      <c r="E6559" s="2" t="s">
        <v>63158</v>
      </c>
      <c r="G6559" s="3" t="s">
        <v>62</v>
      </c>
      <c r="I6559" s="3" t="s">
        <v>62</v>
      </c>
      <c r="J6559" s="3" t="s">
        <v>62</v>
      </c>
      <c r="K6559" s="3" t="s">
        <v>63</v>
      </c>
      <c r="L6559" s="2" t="s">
        <v>63159</v>
      </c>
      <c r="M6559" s="2" t="s">
        <v>63160</v>
      </c>
      <c r="N6559" s="3" t="s">
        <v>149</v>
      </c>
      <c r="P6559" s="3" t="s">
        <v>65</v>
      </c>
      <c r="R6559" s="3" t="s">
        <v>66</v>
      </c>
      <c r="S6559" s="4">
        <v>8</v>
      </c>
      <c r="T6559" s="4">
        <v>8</v>
      </c>
      <c r="U6559" s="5" t="s">
        <v>30759</v>
      </c>
      <c r="V6559" s="5" t="s">
        <v>30759</v>
      </c>
      <c r="W6559" s="5" t="s">
        <v>67</v>
      </c>
      <c r="X6559" s="5" t="s">
        <v>67</v>
      </c>
      <c r="Y6559" s="4">
        <v>198</v>
      </c>
      <c r="Z6559" s="4">
        <v>19</v>
      </c>
      <c r="AA6559" s="4">
        <v>24</v>
      </c>
      <c r="AB6559" s="4">
        <v>3</v>
      </c>
      <c r="AC6559" s="4">
        <v>6</v>
      </c>
      <c r="AD6559" s="4">
        <v>76</v>
      </c>
      <c r="AE6559" s="4">
        <v>82</v>
      </c>
      <c r="AF6559" s="4">
        <v>1</v>
      </c>
      <c r="AG6559" s="4">
        <v>2</v>
      </c>
      <c r="AH6559" s="4">
        <v>70</v>
      </c>
      <c r="AI6559" s="4">
        <v>76</v>
      </c>
      <c r="AJ6559" s="4">
        <v>15</v>
      </c>
      <c r="AK6559" s="4">
        <v>17</v>
      </c>
      <c r="AL6559" s="4">
        <v>38</v>
      </c>
      <c r="AM6559" s="4">
        <v>40</v>
      </c>
      <c r="AN6559" s="4">
        <v>0</v>
      </c>
      <c r="AO6559" s="4">
        <v>0</v>
      </c>
      <c r="AP6559" s="4">
        <v>15</v>
      </c>
      <c r="AQ6559" s="4">
        <v>17</v>
      </c>
      <c r="AR6559" s="3" t="s">
        <v>62</v>
      </c>
      <c r="AS6559" s="3" t="s">
        <v>62</v>
      </c>
      <c r="AT6559" s="3" t="s">
        <v>62</v>
      </c>
      <c r="AV6559" s="6" t="str">
        <f>HYPERLINK("http://mcgill.on.worldcat.org/oclc/615874049","Catalog Record")</f>
        <v>Catalog Record</v>
      </c>
      <c r="AW6559" s="6" t="str">
        <f>HYPERLINK("http://www.worldcat.org/oclc/615874049","WorldCat Record")</f>
        <v>WorldCat Record</v>
      </c>
      <c r="AX6559" s="3" t="s">
        <v>63161</v>
      </c>
      <c r="AY6559" s="3" t="s">
        <v>63162</v>
      </c>
      <c r="AZ6559" s="3" t="s">
        <v>63163</v>
      </c>
      <c r="BA6559" s="3" t="s">
        <v>63163</v>
      </c>
      <c r="BB6559" s="3" t="s">
        <v>63164</v>
      </c>
      <c r="BC6559" s="3" t="s">
        <v>142</v>
      </c>
      <c r="BD6559" s="3" t="s">
        <v>308</v>
      </c>
      <c r="BE6559" s="3" t="s">
        <v>63165</v>
      </c>
      <c r="BF6559" s="3" t="s">
        <v>63164</v>
      </c>
      <c r="BG6559" s="3" t="s">
        <v>63166</v>
      </c>
    </row>
    <row r="6560" spans="1:59" ht="57" x14ac:dyDescent="0.45">
      <c r="A6560" s="2" t="s">
        <v>59</v>
      </c>
      <c r="B6560" s="2" t="s">
        <v>60</v>
      </c>
      <c r="C6560" s="2" t="s">
        <v>63167</v>
      </c>
      <c r="D6560" s="2" t="s">
        <v>63168</v>
      </c>
      <c r="E6560" s="2" t="s">
        <v>63169</v>
      </c>
      <c r="G6560" s="3" t="s">
        <v>62</v>
      </c>
      <c r="I6560" s="3" t="s">
        <v>62</v>
      </c>
      <c r="J6560" s="3" t="s">
        <v>62</v>
      </c>
      <c r="K6560" s="3" t="s">
        <v>63</v>
      </c>
      <c r="M6560" s="2" t="s">
        <v>63170</v>
      </c>
      <c r="N6560" s="3" t="s">
        <v>529</v>
      </c>
      <c r="P6560" s="3" t="s">
        <v>65</v>
      </c>
      <c r="R6560" s="3" t="s">
        <v>66</v>
      </c>
      <c r="S6560" s="4">
        <v>9</v>
      </c>
      <c r="T6560" s="4">
        <v>9</v>
      </c>
      <c r="U6560" s="5" t="s">
        <v>5430</v>
      </c>
      <c r="V6560" s="5" t="s">
        <v>5430</v>
      </c>
      <c r="W6560" s="5" t="s">
        <v>67</v>
      </c>
      <c r="X6560" s="5" t="s">
        <v>67</v>
      </c>
      <c r="Y6560" s="4">
        <v>737</v>
      </c>
      <c r="Z6560" s="4">
        <v>39</v>
      </c>
      <c r="AA6560" s="4">
        <v>41</v>
      </c>
      <c r="AB6560" s="4">
        <v>2</v>
      </c>
      <c r="AC6560" s="4">
        <v>4</v>
      </c>
      <c r="AD6560" s="4">
        <v>124</v>
      </c>
      <c r="AE6560" s="4">
        <v>126</v>
      </c>
      <c r="AF6560" s="4">
        <v>1</v>
      </c>
      <c r="AG6560" s="4">
        <v>3</v>
      </c>
      <c r="AH6560" s="4">
        <v>105</v>
      </c>
      <c r="AI6560" s="4">
        <v>106</v>
      </c>
      <c r="AJ6560" s="4">
        <v>17</v>
      </c>
      <c r="AK6560" s="4">
        <v>19</v>
      </c>
      <c r="AL6560" s="4">
        <v>59</v>
      </c>
      <c r="AM6560" s="4">
        <v>59</v>
      </c>
      <c r="AN6560" s="4">
        <v>0</v>
      </c>
      <c r="AO6560" s="4">
        <v>0</v>
      </c>
      <c r="AP6560" s="4">
        <v>25</v>
      </c>
      <c r="AQ6560" s="4">
        <v>26</v>
      </c>
      <c r="AR6560" s="3" t="s">
        <v>62</v>
      </c>
      <c r="AS6560" s="3" t="s">
        <v>62</v>
      </c>
      <c r="AT6560" s="3" t="s">
        <v>61</v>
      </c>
      <c r="AU6560" s="6" t="str">
        <f>HYPERLINK("http://catalog.hathitrust.org/Record/000611814","HathiTrust Record")</f>
        <v>HathiTrust Record</v>
      </c>
      <c r="AV6560" s="6" t="str">
        <f>HYPERLINK("http://mcgill.on.worldcat.org/oclc/11623285","Catalog Record")</f>
        <v>Catalog Record</v>
      </c>
      <c r="AW6560" s="6" t="str">
        <f>HYPERLINK("http://www.worldcat.org/oclc/11623285","WorldCat Record")</f>
        <v>WorldCat Record</v>
      </c>
      <c r="AX6560" s="3" t="s">
        <v>63171</v>
      </c>
      <c r="AY6560" s="3" t="s">
        <v>63172</v>
      </c>
      <c r="AZ6560" s="3" t="s">
        <v>63173</v>
      </c>
      <c r="BA6560" s="3" t="s">
        <v>63173</v>
      </c>
      <c r="BB6560" s="3" t="s">
        <v>63174</v>
      </c>
      <c r="BC6560" s="3" t="s">
        <v>142</v>
      </c>
      <c r="BD6560" s="3" t="s">
        <v>68</v>
      </c>
      <c r="BE6560" s="3" t="s">
        <v>63175</v>
      </c>
      <c r="BF6560" s="3" t="s">
        <v>63174</v>
      </c>
      <c r="BG6560" s="3" t="s">
        <v>63176</v>
      </c>
    </row>
    <row r="6561" spans="1:59" ht="57" x14ac:dyDescent="0.45">
      <c r="A6561" s="2" t="s">
        <v>59</v>
      </c>
      <c r="B6561" s="2" t="s">
        <v>60</v>
      </c>
      <c r="C6561" s="2" t="s">
        <v>63177</v>
      </c>
      <c r="D6561" s="2" t="s">
        <v>63178</v>
      </c>
      <c r="E6561" s="2" t="s">
        <v>63179</v>
      </c>
      <c r="G6561" s="3" t="s">
        <v>62</v>
      </c>
      <c r="I6561" s="3" t="s">
        <v>62</v>
      </c>
      <c r="J6561" s="3" t="s">
        <v>62</v>
      </c>
      <c r="K6561" s="3" t="s">
        <v>63</v>
      </c>
      <c r="M6561" s="2" t="s">
        <v>63180</v>
      </c>
      <c r="N6561" s="3" t="s">
        <v>149</v>
      </c>
      <c r="O6561" s="2" t="s">
        <v>168</v>
      </c>
      <c r="P6561" s="3" t="s">
        <v>65</v>
      </c>
      <c r="Q6561" s="2" t="s">
        <v>63181</v>
      </c>
      <c r="R6561" s="3" t="s">
        <v>66</v>
      </c>
      <c r="S6561" s="4">
        <v>1</v>
      </c>
      <c r="T6561" s="4">
        <v>1</v>
      </c>
      <c r="U6561" s="5" t="s">
        <v>63182</v>
      </c>
      <c r="V6561" s="5" t="s">
        <v>63182</v>
      </c>
      <c r="W6561" s="5" t="s">
        <v>67</v>
      </c>
      <c r="X6561" s="5" t="s">
        <v>67</v>
      </c>
      <c r="Y6561" s="4">
        <v>70</v>
      </c>
      <c r="Z6561" s="4">
        <v>3</v>
      </c>
      <c r="AA6561" s="4">
        <v>75</v>
      </c>
      <c r="AB6561" s="4">
        <v>1</v>
      </c>
      <c r="AC6561" s="4">
        <v>14</v>
      </c>
      <c r="AD6561" s="4">
        <v>30</v>
      </c>
      <c r="AE6561" s="4">
        <v>103</v>
      </c>
      <c r="AF6561" s="4">
        <v>0</v>
      </c>
      <c r="AG6561" s="4">
        <v>8</v>
      </c>
      <c r="AH6561" s="4">
        <v>27</v>
      </c>
      <c r="AI6561" s="4">
        <v>68</v>
      </c>
      <c r="AJ6561" s="4">
        <v>2</v>
      </c>
      <c r="AK6561" s="4">
        <v>19</v>
      </c>
      <c r="AL6561" s="4">
        <v>20</v>
      </c>
      <c r="AM6561" s="4">
        <v>35</v>
      </c>
      <c r="AN6561" s="4">
        <v>0</v>
      </c>
      <c r="AO6561" s="4">
        <v>0</v>
      </c>
      <c r="AP6561" s="4">
        <v>2</v>
      </c>
      <c r="AQ6561" s="4">
        <v>39</v>
      </c>
      <c r="AR6561" s="3" t="s">
        <v>62</v>
      </c>
      <c r="AS6561" s="3" t="s">
        <v>62</v>
      </c>
      <c r="AT6561" s="3" t="s">
        <v>62</v>
      </c>
      <c r="AV6561" s="6" t="str">
        <f>HYPERLINK("http://mcgill.on.worldcat.org/oclc/648102534","Catalog Record")</f>
        <v>Catalog Record</v>
      </c>
      <c r="AW6561" s="6" t="str">
        <f>HYPERLINK("http://www.worldcat.org/oclc/648102534","WorldCat Record")</f>
        <v>WorldCat Record</v>
      </c>
      <c r="AX6561" s="3" t="s">
        <v>63183</v>
      </c>
      <c r="AY6561" s="3" t="s">
        <v>63184</v>
      </c>
      <c r="AZ6561" s="3" t="s">
        <v>63185</v>
      </c>
      <c r="BA6561" s="3" t="s">
        <v>63185</v>
      </c>
      <c r="BB6561" s="3" t="s">
        <v>63186</v>
      </c>
      <c r="BC6561" s="3" t="s">
        <v>142</v>
      </c>
      <c r="BD6561" s="3" t="s">
        <v>68</v>
      </c>
      <c r="BE6561" s="3" t="s">
        <v>63187</v>
      </c>
      <c r="BF6561" s="3" t="s">
        <v>63186</v>
      </c>
      <c r="BG6561" s="3" t="s">
        <v>63188</v>
      </c>
    </row>
    <row r="6562" spans="1:59" ht="57" x14ac:dyDescent="0.45">
      <c r="A6562" s="2" t="s">
        <v>59</v>
      </c>
      <c r="B6562" s="2" t="s">
        <v>60</v>
      </c>
      <c r="C6562" s="2" t="s">
        <v>63189</v>
      </c>
      <c r="D6562" s="2" t="s">
        <v>63190</v>
      </c>
      <c r="E6562" s="2" t="s">
        <v>63191</v>
      </c>
      <c r="G6562" s="3" t="s">
        <v>62</v>
      </c>
      <c r="I6562" s="3" t="s">
        <v>62</v>
      </c>
      <c r="J6562" s="3" t="s">
        <v>62</v>
      </c>
      <c r="K6562" s="3" t="s">
        <v>63</v>
      </c>
      <c r="M6562" s="2" t="s">
        <v>2739</v>
      </c>
      <c r="N6562" s="3" t="s">
        <v>149</v>
      </c>
      <c r="P6562" s="3" t="s">
        <v>65</v>
      </c>
      <c r="Q6562" s="2" t="s">
        <v>63192</v>
      </c>
      <c r="R6562" s="3" t="s">
        <v>66</v>
      </c>
      <c r="S6562" s="4">
        <v>0</v>
      </c>
      <c r="T6562" s="4">
        <v>0</v>
      </c>
      <c r="W6562" s="5" t="s">
        <v>67</v>
      </c>
      <c r="X6562" s="5" t="s">
        <v>67</v>
      </c>
      <c r="Y6562" s="4">
        <v>76</v>
      </c>
      <c r="Z6562" s="4">
        <v>8</v>
      </c>
      <c r="AA6562" s="4">
        <v>91</v>
      </c>
      <c r="AB6562" s="4">
        <v>1</v>
      </c>
      <c r="AC6562" s="4">
        <v>17</v>
      </c>
      <c r="AD6562" s="4">
        <v>38</v>
      </c>
      <c r="AE6562" s="4">
        <v>110</v>
      </c>
      <c r="AF6562" s="4">
        <v>0</v>
      </c>
      <c r="AG6562" s="4">
        <v>8</v>
      </c>
      <c r="AH6562" s="4">
        <v>34</v>
      </c>
      <c r="AI6562" s="4">
        <v>73</v>
      </c>
      <c r="AJ6562" s="4">
        <v>6</v>
      </c>
      <c r="AK6562" s="4">
        <v>23</v>
      </c>
      <c r="AL6562" s="4">
        <v>25</v>
      </c>
      <c r="AM6562" s="4">
        <v>39</v>
      </c>
      <c r="AN6562" s="4">
        <v>0</v>
      </c>
      <c r="AO6562" s="4">
        <v>0</v>
      </c>
      <c r="AP6562" s="4">
        <v>6</v>
      </c>
      <c r="AQ6562" s="4">
        <v>44</v>
      </c>
      <c r="AR6562" s="3" t="s">
        <v>62</v>
      </c>
      <c r="AS6562" s="3" t="s">
        <v>62</v>
      </c>
      <c r="AT6562" s="3" t="s">
        <v>62</v>
      </c>
      <c r="AV6562" s="6" t="str">
        <f>HYPERLINK("http://mcgill.on.worldcat.org/oclc/661048214","Catalog Record")</f>
        <v>Catalog Record</v>
      </c>
      <c r="AW6562" s="6" t="str">
        <f>HYPERLINK("http://www.worldcat.org/oclc/661048214","WorldCat Record")</f>
        <v>WorldCat Record</v>
      </c>
      <c r="AX6562" s="3" t="s">
        <v>63193</v>
      </c>
      <c r="AY6562" s="3" t="s">
        <v>63194</v>
      </c>
      <c r="AZ6562" s="3" t="s">
        <v>63195</v>
      </c>
      <c r="BA6562" s="3" t="s">
        <v>63195</v>
      </c>
      <c r="BB6562" s="3" t="s">
        <v>63196</v>
      </c>
      <c r="BC6562" s="3" t="s">
        <v>142</v>
      </c>
      <c r="BD6562" s="3" t="s">
        <v>68</v>
      </c>
      <c r="BE6562" s="3" t="s">
        <v>63197</v>
      </c>
      <c r="BF6562" s="3" t="s">
        <v>63196</v>
      </c>
      <c r="BG6562" s="3" t="s">
        <v>63198</v>
      </c>
    </row>
    <row r="6563" spans="1:59" ht="57" x14ac:dyDescent="0.45">
      <c r="A6563" s="2" t="s">
        <v>59</v>
      </c>
      <c r="B6563" s="2" t="s">
        <v>60</v>
      </c>
      <c r="C6563" s="2" t="s">
        <v>63199</v>
      </c>
      <c r="D6563" s="2" t="s">
        <v>63200</v>
      </c>
      <c r="E6563" s="2" t="s">
        <v>63201</v>
      </c>
      <c r="G6563" s="3" t="s">
        <v>62</v>
      </c>
      <c r="I6563" s="3" t="s">
        <v>62</v>
      </c>
      <c r="J6563" s="3" t="s">
        <v>62</v>
      </c>
      <c r="K6563" s="3" t="s">
        <v>63</v>
      </c>
      <c r="M6563" s="2" t="s">
        <v>63202</v>
      </c>
      <c r="N6563" s="3" t="s">
        <v>1688</v>
      </c>
      <c r="P6563" s="3" t="s">
        <v>65</v>
      </c>
      <c r="Q6563" s="2" t="s">
        <v>63203</v>
      </c>
      <c r="R6563" s="3" t="s">
        <v>66</v>
      </c>
      <c r="S6563" s="4">
        <v>0</v>
      </c>
      <c r="T6563" s="4">
        <v>0</v>
      </c>
      <c r="W6563" s="5" t="s">
        <v>67</v>
      </c>
      <c r="X6563" s="5" t="s">
        <v>67</v>
      </c>
      <c r="Y6563" s="4">
        <v>35</v>
      </c>
      <c r="Z6563" s="4">
        <v>3</v>
      </c>
      <c r="AA6563" s="4">
        <v>58</v>
      </c>
      <c r="AB6563" s="4">
        <v>1</v>
      </c>
      <c r="AC6563" s="4">
        <v>7</v>
      </c>
      <c r="AD6563" s="4">
        <v>14</v>
      </c>
      <c r="AE6563" s="4">
        <v>71</v>
      </c>
      <c r="AF6563" s="4">
        <v>0</v>
      </c>
      <c r="AG6563" s="4">
        <v>4</v>
      </c>
      <c r="AH6563" s="4">
        <v>12</v>
      </c>
      <c r="AI6563" s="4">
        <v>43</v>
      </c>
      <c r="AJ6563" s="4">
        <v>2</v>
      </c>
      <c r="AK6563" s="4">
        <v>22</v>
      </c>
      <c r="AL6563" s="4">
        <v>10</v>
      </c>
      <c r="AM6563" s="4">
        <v>22</v>
      </c>
      <c r="AN6563" s="4">
        <v>0</v>
      </c>
      <c r="AO6563" s="4">
        <v>0</v>
      </c>
      <c r="AP6563" s="4">
        <v>2</v>
      </c>
      <c r="AQ6563" s="4">
        <v>35</v>
      </c>
      <c r="AR6563" s="3" t="s">
        <v>62</v>
      </c>
      <c r="AS6563" s="3" t="s">
        <v>62</v>
      </c>
      <c r="AT6563" s="3" t="s">
        <v>62</v>
      </c>
      <c r="AV6563" s="6" t="str">
        <f>HYPERLINK("http://mcgill.on.worldcat.org/oclc/866576269","Catalog Record")</f>
        <v>Catalog Record</v>
      </c>
      <c r="AW6563" s="6" t="str">
        <f>HYPERLINK("http://www.worldcat.org/oclc/866576269","WorldCat Record")</f>
        <v>WorldCat Record</v>
      </c>
      <c r="AX6563" s="3" t="s">
        <v>63204</v>
      </c>
      <c r="AY6563" s="3" t="s">
        <v>63205</v>
      </c>
      <c r="AZ6563" s="3" t="s">
        <v>63206</v>
      </c>
      <c r="BA6563" s="3" t="s">
        <v>63206</v>
      </c>
      <c r="BB6563" s="3" t="s">
        <v>63207</v>
      </c>
      <c r="BC6563" s="3" t="s">
        <v>142</v>
      </c>
      <c r="BD6563" s="3" t="s">
        <v>68</v>
      </c>
      <c r="BE6563" s="3" t="s">
        <v>63208</v>
      </c>
      <c r="BF6563" s="3" t="s">
        <v>63207</v>
      </c>
      <c r="BG6563" s="3" t="s">
        <v>63209</v>
      </c>
    </row>
    <row r="6564" spans="1:59" ht="57" x14ac:dyDescent="0.45">
      <c r="A6564" s="2" t="s">
        <v>59</v>
      </c>
      <c r="B6564" s="2" t="s">
        <v>60</v>
      </c>
      <c r="C6564" s="2" t="s">
        <v>63210</v>
      </c>
      <c r="D6564" s="2" t="s">
        <v>63211</v>
      </c>
      <c r="E6564" s="2" t="s">
        <v>63212</v>
      </c>
      <c r="G6564" s="3" t="s">
        <v>62</v>
      </c>
      <c r="I6564" s="3" t="s">
        <v>62</v>
      </c>
      <c r="J6564" s="3" t="s">
        <v>62</v>
      </c>
      <c r="K6564" s="3" t="s">
        <v>63</v>
      </c>
      <c r="M6564" s="2" t="s">
        <v>63213</v>
      </c>
      <c r="N6564" s="3" t="s">
        <v>894</v>
      </c>
      <c r="P6564" s="3" t="s">
        <v>65</v>
      </c>
      <c r="Q6564" s="2" t="s">
        <v>63214</v>
      </c>
      <c r="R6564" s="3" t="s">
        <v>66</v>
      </c>
      <c r="S6564" s="4">
        <v>1</v>
      </c>
      <c r="T6564" s="4">
        <v>1</v>
      </c>
      <c r="U6564" s="5" t="s">
        <v>63215</v>
      </c>
      <c r="V6564" s="5" t="s">
        <v>63215</v>
      </c>
      <c r="W6564" s="5" t="s">
        <v>67</v>
      </c>
      <c r="X6564" s="5" t="s">
        <v>67</v>
      </c>
      <c r="Y6564" s="4">
        <v>84</v>
      </c>
      <c r="Z6564" s="4">
        <v>10</v>
      </c>
      <c r="AA6564" s="4">
        <v>15</v>
      </c>
      <c r="AB6564" s="4">
        <v>1</v>
      </c>
      <c r="AC6564" s="4">
        <v>4</v>
      </c>
      <c r="AD6564" s="4">
        <v>42</v>
      </c>
      <c r="AE6564" s="4">
        <v>50</v>
      </c>
      <c r="AF6564" s="4">
        <v>0</v>
      </c>
      <c r="AG6564" s="4">
        <v>0</v>
      </c>
      <c r="AH6564" s="4">
        <v>40</v>
      </c>
      <c r="AI6564" s="4">
        <v>47</v>
      </c>
      <c r="AJ6564" s="4">
        <v>8</v>
      </c>
      <c r="AK6564" s="4">
        <v>9</v>
      </c>
      <c r="AL6564" s="4">
        <v>27</v>
      </c>
      <c r="AM6564" s="4">
        <v>31</v>
      </c>
      <c r="AN6564" s="4">
        <v>0</v>
      </c>
      <c r="AO6564" s="4">
        <v>0</v>
      </c>
      <c r="AP6564" s="4">
        <v>8</v>
      </c>
      <c r="AQ6564" s="4">
        <v>10</v>
      </c>
      <c r="AR6564" s="3" t="s">
        <v>62</v>
      </c>
      <c r="AS6564" s="3" t="s">
        <v>62</v>
      </c>
      <c r="AT6564" s="3" t="s">
        <v>62</v>
      </c>
      <c r="AV6564" s="6" t="str">
        <f>HYPERLINK("http://mcgill.on.worldcat.org/oclc/548660410","Catalog Record")</f>
        <v>Catalog Record</v>
      </c>
      <c r="AW6564" s="6" t="str">
        <f>HYPERLINK("http://www.worldcat.org/oclc/548660410","WorldCat Record")</f>
        <v>WorldCat Record</v>
      </c>
      <c r="AX6564" s="3" t="s">
        <v>63216</v>
      </c>
      <c r="AY6564" s="3" t="s">
        <v>63217</v>
      </c>
      <c r="AZ6564" s="3" t="s">
        <v>63218</v>
      </c>
      <c r="BA6564" s="3" t="s">
        <v>63218</v>
      </c>
      <c r="BB6564" s="3" t="s">
        <v>63219</v>
      </c>
      <c r="BC6564" s="3" t="s">
        <v>142</v>
      </c>
      <c r="BD6564" s="3" t="s">
        <v>68</v>
      </c>
      <c r="BE6564" s="3" t="s">
        <v>63220</v>
      </c>
      <c r="BF6564" s="3" t="s">
        <v>63219</v>
      </c>
      <c r="BG6564" s="3" t="s">
        <v>63221</v>
      </c>
    </row>
    <row r="6565" spans="1:59" ht="57" x14ac:dyDescent="0.45">
      <c r="A6565" s="2" t="s">
        <v>59</v>
      </c>
      <c r="B6565" s="2" t="s">
        <v>60</v>
      </c>
      <c r="C6565" s="2" t="s">
        <v>63222</v>
      </c>
      <c r="D6565" s="2" t="s">
        <v>63223</v>
      </c>
      <c r="E6565" s="2" t="s">
        <v>63224</v>
      </c>
      <c r="G6565" s="3" t="s">
        <v>62</v>
      </c>
      <c r="I6565" s="3" t="s">
        <v>62</v>
      </c>
      <c r="J6565" s="3" t="s">
        <v>62</v>
      </c>
      <c r="K6565" s="3" t="s">
        <v>63</v>
      </c>
      <c r="L6565" s="2" t="s">
        <v>63225</v>
      </c>
      <c r="M6565" s="2" t="s">
        <v>63226</v>
      </c>
      <c r="N6565" s="3" t="s">
        <v>1437</v>
      </c>
      <c r="P6565" s="3" t="s">
        <v>65</v>
      </c>
      <c r="Q6565" s="2" t="s">
        <v>63227</v>
      </c>
      <c r="R6565" s="3" t="s">
        <v>66</v>
      </c>
      <c r="S6565" s="4">
        <v>45</v>
      </c>
      <c r="T6565" s="4">
        <v>45</v>
      </c>
      <c r="U6565" s="5" t="s">
        <v>6824</v>
      </c>
      <c r="V6565" s="5" t="s">
        <v>6824</v>
      </c>
      <c r="W6565" s="5" t="s">
        <v>67</v>
      </c>
      <c r="X6565" s="5" t="s">
        <v>67</v>
      </c>
      <c r="Y6565" s="4">
        <v>242</v>
      </c>
      <c r="Z6565" s="4">
        <v>22</v>
      </c>
      <c r="AA6565" s="4">
        <v>25</v>
      </c>
      <c r="AB6565" s="4">
        <v>1</v>
      </c>
      <c r="AC6565" s="4">
        <v>4</v>
      </c>
      <c r="AD6565" s="4">
        <v>78</v>
      </c>
      <c r="AE6565" s="4">
        <v>81</v>
      </c>
      <c r="AF6565" s="4">
        <v>0</v>
      </c>
      <c r="AG6565" s="4">
        <v>3</v>
      </c>
      <c r="AH6565" s="4">
        <v>67</v>
      </c>
      <c r="AI6565" s="4">
        <v>68</v>
      </c>
      <c r="AJ6565" s="4">
        <v>16</v>
      </c>
      <c r="AK6565" s="4">
        <v>19</v>
      </c>
      <c r="AL6565" s="4">
        <v>44</v>
      </c>
      <c r="AM6565" s="4">
        <v>44</v>
      </c>
      <c r="AN6565" s="4">
        <v>0</v>
      </c>
      <c r="AO6565" s="4">
        <v>0</v>
      </c>
      <c r="AP6565" s="4">
        <v>18</v>
      </c>
      <c r="AQ6565" s="4">
        <v>20</v>
      </c>
      <c r="AR6565" s="3" t="s">
        <v>62</v>
      </c>
      <c r="AS6565" s="3" t="s">
        <v>62</v>
      </c>
      <c r="AT6565" s="3" t="s">
        <v>62</v>
      </c>
      <c r="AV6565" s="6" t="str">
        <f>HYPERLINK("http://mcgill.on.worldcat.org/oclc/36589342","Catalog Record")</f>
        <v>Catalog Record</v>
      </c>
      <c r="AW6565" s="6" t="str">
        <f>HYPERLINK("http://www.worldcat.org/oclc/36589342","WorldCat Record")</f>
        <v>WorldCat Record</v>
      </c>
      <c r="AX6565" s="3" t="s">
        <v>63228</v>
      </c>
      <c r="AY6565" s="3" t="s">
        <v>63229</v>
      </c>
      <c r="AZ6565" s="3" t="s">
        <v>63230</v>
      </c>
      <c r="BA6565" s="3" t="s">
        <v>63230</v>
      </c>
      <c r="BB6565" s="3" t="s">
        <v>63231</v>
      </c>
      <c r="BC6565" s="3" t="s">
        <v>142</v>
      </c>
      <c r="BD6565" s="3" t="s">
        <v>68</v>
      </c>
      <c r="BE6565" s="3" t="s">
        <v>63232</v>
      </c>
      <c r="BF6565" s="3" t="s">
        <v>63231</v>
      </c>
      <c r="BG6565" s="3" t="s">
        <v>63233</v>
      </c>
    </row>
    <row r="6566" spans="1:59" ht="57" x14ac:dyDescent="0.45">
      <c r="A6566" s="2" t="s">
        <v>59</v>
      </c>
      <c r="B6566" s="2" t="s">
        <v>60</v>
      </c>
      <c r="C6566" s="2" t="s">
        <v>63234</v>
      </c>
      <c r="D6566" s="2" t="s">
        <v>63235</v>
      </c>
      <c r="E6566" s="2" t="s">
        <v>63236</v>
      </c>
      <c r="G6566" s="3" t="s">
        <v>62</v>
      </c>
      <c r="I6566" s="3" t="s">
        <v>62</v>
      </c>
      <c r="J6566" s="3" t="s">
        <v>62</v>
      </c>
      <c r="K6566" s="3" t="s">
        <v>63</v>
      </c>
      <c r="L6566" s="2" t="s">
        <v>2252</v>
      </c>
      <c r="M6566" s="2" t="s">
        <v>14299</v>
      </c>
      <c r="N6566" s="3" t="s">
        <v>125</v>
      </c>
      <c r="P6566" s="3" t="s">
        <v>65</v>
      </c>
      <c r="Q6566" s="2" t="s">
        <v>63237</v>
      </c>
      <c r="R6566" s="3" t="s">
        <v>66</v>
      </c>
      <c r="S6566" s="4">
        <v>75</v>
      </c>
      <c r="T6566" s="4">
        <v>75</v>
      </c>
      <c r="U6566" s="5" t="s">
        <v>63238</v>
      </c>
      <c r="V6566" s="5" t="s">
        <v>63238</v>
      </c>
      <c r="W6566" s="5" t="s">
        <v>67</v>
      </c>
      <c r="X6566" s="5" t="s">
        <v>67</v>
      </c>
      <c r="Y6566" s="4">
        <v>389</v>
      </c>
      <c r="Z6566" s="4">
        <v>25</v>
      </c>
      <c r="AA6566" s="4">
        <v>93</v>
      </c>
      <c r="AB6566" s="4">
        <v>3</v>
      </c>
      <c r="AC6566" s="4">
        <v>18</v>
      </c>
      <c r="AD6566" s="4">
        <v>115</v>
      </c>
      <c r="AE6566" s="4">
        <v>146</v>
      </c>
      <c r="AF6566" s="4">
        <v>1</v>
      </c>
      <c r="AG6566" s="4">
        <v>8</v>
      </c>
      <c r="AH6566" s="4">
        <v>100</v>
      </c>
      <c r="AI6566" s="4">
        <v>107</v>
      </c>
      <c r="AJ6566" s="4">
        <v>18</v>
      </c>
      <c r="AK6566" s="4">
        <v>26</v>
      </c>
      <c r="AL6566" s="4">
        <v>56</v>
      </c>
      <c r="AM6566" s="4">
        <v>58</v>
      </c>
      <c r="AN6566" s="4">
        <v>0</v>
      </c>
      <c r="AO6566" s="4">
        <v>0</v>
      </c>
      <c r="AP6566" s="4">
        <v>22</v>
      </c>
      <c r="AQ6566" s="4">
        <v>48</v>
      </c>
      <c r="AR6566" s="3" t="s">
        <v>62</v>
      </c>
      <c r="AS6566" s="3" t="s">
        <v>62</v>
      </c>
      <c r="AT6566" s="3" t="s">
        <v>62</v>
      </c>
      <c r="AV6566" s="6" t="str">
        <f>HYPERLINK("http://mcgill.on.worldcat.org/oclc/22437391","Catalog Record")</f>
        <v>Catalog Record</v>
      </c>
      <c r="AW6566" s="6" t="str">
        <f>HYPERLINK("http://www.worldcat.org/oclc/22437391","WorldCat Record")</f>
        <v>WorldCat Record</v>
      </c>
      <c r="AX6566" s="3" t="s">
        <v>63239</v>
      </c>
      <c r="AY6566" s="3" t="s">
        <v>63240</v>
      </c>
      <c r="AZ6566" s="3" t="s">
        <v>63241</v>
      </c>
      <c r="BA6566" s="3" t="s">
        <v>63241</v>
      </c>
      <c r="BB6566" s="3" t="s">
        <v>63242</v>
      </c>
      <c r="BC6566" s="3" t="s">
        <v>142</v>
      </c>
      <c r="BD6566" s="3" t="s">
        <v>68</v>
      </c>
      <c r="BE6566" s="3" t="s">
        <v>63243</v>
      </c>
      <c r="BF6566" s="3" t="s">
        <v>63242</v>
      </c>
      <c r="BG6566" s="3" t="s">
        <v>63244</v>
      </c>
    </row>
    <row r="6567" spans="1:59" ht="57" x14ac:dyDescent="0.45">
      <c r="A6567" s="2" t="s">
        <v>59</v>
      </c>
      <c r="B6567" s="2" t="s">
        <v>60</v>
      </c>
      <c r="C6567" s="2" t="s">
        <v>63245</v>
      </c>
      <c r="D6567" s="2" t="s">
        <v>63246</v>
      </c>
      <c r="E6567" s="2" t="s">
        <v>63247</v>
      </c>
      <c r="G6567" s="3" t="s">
        <v>62</v>
      </c>
      <c r="I6567" s="3" t="s">
        <v>62</v>
      </c>
      <c r="J6567" s="3" t="s">
        <v>62</v>
      </c>
      <c r="K6567" s="3" t="s">
        <v>63</v>
      </c>
      <c r="M6567" s="2" t="s">
        <v>34627</v>
      </c>
      <c r="N6567" s="3" t="s">
        <v>1155</v>
      </c>
      <c r="P6567" s="3" t="s">
        <v>65</v>
      </c>
      <c r="Q6567" s="2" t="s">
        <v>63248</v>
      </c>
      <c r="R6567" s="3" t="s">
        <v>66</v>
      </c>
      <c r="S6567" s="4">
        <v>0</v>
      </c>
      <c r="T6567" s="4">
        <v>0</v>
      </c>
      <c r="W6567" s="5" t="s">
        <v>67</v>
      </c>
      <c r="X6567" s="5" t="s">
        <v>67</v>
      </c>
      <c r="Y6567" s="4">
        <v>63</v>
      </c>
      <c r="Z6567" s="4">
        <v>8</v>
      </c>
      <c r="AA6567" s="4">
        <v>84</v>
      </c>
      <c r="AB6567" s="4">
        <v>1</v>
      </c>
      <c r="AC6567" s="4">
        <v>17</v>
      </c>
      <c r="AD6567" s="4">
        <v>26</v>
      </c>
      <c r="AE6567" s="4">
        <v>102</v>
      </c>
      <c r="AF6567" s="4">
        <v>0</v>
      </c>
      <c r="AG6567" s="4">
        <v>8</v>
      </c>
      <c r="AH6567" s="4">
        <v>23</v>
      </c>
      <c r="AI6567" s="4">
        <v>70</v>
      </c>
      <c r="AJ6567" s="4">
        <v>6</v>
      </c>
      <c r="AK6567" s="4">
        <v>21</v>
      </c>
      <c r="AL6567" s="4">
        <v>15</v>
      </c>
      <c r="AM6567" s="4">
        <v>35</v>
      </c>
      <c r="AN6567" s="4">
        <v>0</v>
      </c>
      <c r="AO6567" s="4">
        <v>0</v>
      </c>
      <c r="AP6567" s="4">
        <v>6</v>
      </c>
      <c r="AQ6567" s="4">
        <v>39</v>
      </c>
      <c r="AR6567" s="3" t="s">
        <v>62</v>
      </c>
      <c r="AS6567" s="3" t="s">
        <v>62</v>
      </c>
      <c r="AT6567" s="3" t="s">
        <v>62</v>
      </c>
      <c r="AV6567" s="6" t="str">
        <f>HYPERLINK("http://mcgill.on.worldcat.org/oclc/747314108","Catalog Record")</f>
        <v>Catalog Record</v>
      </c>
      <c r="AW6567" s="6" t="str">
        <f>HYPERLINK("http://www.worldcat.org/oclc/747314108","WorldCat Record")</f>
        <v>WorldCat Record</v>
      </c>
      <c r="AX6567" s="3" t="s">
        <v>63249</v>
      </c>
      <c r="AY6567" s="3" t="s">
        <v>63250</v>
      </c>
      <c r="AZ6567" s="3" t="s">
        <v>63251</v>
      </c>
      <c r="BA6567" s="3" t="s">
        <v>63251</v>
      </c>
      <c r="BB6567" s="3" t="s">
        <v>63252</v>
      </c>
      <c r="BC6567" s="3" t="s">
        <v>142</v>
      </c>
      <c r="BD6567" s="3" t="s">
        <v>68</v>
      </c>
      <c r="BE6567" s="3" t="s">
        <v>63253</v>
      </c>
      <c r="BF6567" s="3" t="s">
        <v>63252</v>
      </c>
      <c r="BG6567" s="3" t="s">
        <v>63254</v>
      </c>
    </row>
    <row r="6568" spans="1:59" ht="57" x14ac:dyDescent="0.45">
      <c r="A6568" s="2" t="s">
        <v>59</v>
      </c>
      <c r="B6568" s="2" t="s">
        <v>60</v>
      </c>
      <c r="C6568" s="2" t="s">
        <v>63255</v>
      </c>
      <c r="D6568" s="2" t="s">
        <v>63256</v>
      </c>
      <c r="E6568" s="2" t="s">
        <v>63257</v>
      </c>
      <c r="G6568" s="3" t="s">
        <v>62</v>
      </c>
      <c r="I6568" s="3" t="s">
        <v>62</v>
      </c>
      <c r="J6568" s="3" t="s">
        <v>62</v>
      </c>
      <c r="K6568" s="3" t="s">
        <v>63</v>
      </c>
      <c r="M6568" s="2" t="s">
        <v>20773</v>
      </c>
      <c r="N6568" s="3" t="s">
        <v>820</v>
      </c>
      <c r="P6568" s="3" t="s">
        <v>65</v>
      </c>
      <c r="Q6568" s="2" t="s">
        <v>63258</v>
      </c>
      <c r="R6568" s="3" t="s">
        <v>66</v>
      </c>
      <c r="S6568" s="4">
        <v>5</v>
      </c>
      <c r="T6568" s="4">
        <v>5</v>
      </c>
      <c r="U6568" s="5" t="s">
        <v>19223</v>
      </c>
      <c r="V6568" s="5" t="s">
        <v>19223</v>
      </c>
      <c r="W6568" s="5" t="s">
        <v>67</v>
      </c>
      <c r="X6568" s="5" t="s">
        <v>67</v>
      </c>
      <c r="Y6568" s="4">
        <v>107</v>
      </c>
      <c r="Z6568" s="4">
        <v>10</v>
      </c>
      <c r="AA6568" s="4">
        <v>92</v>
      </c>
      <c r="AB6568" s="4">
        <v>1</v>
      </c>
      <c r="AC6568" s="4">
        <v>17</v>
      </c>
      <c r="AD6568" s="4">
        <v>44</v>
      </c>
      <c r="AE6568" s="4">
        <v>108</v>
      </c>
      <c r="AF6568" s="4">
        <v>0</v>
      </c>
      <c r="AG6568" s="4">
        <v>8</v>
      </c>
      <c r="AH6568" s="4">
        <v>40</v>
      </c>
      <c r="AI6568" s="4">
        <v>74</v>
      </c>
      <c r="AJ6568" s="4">
        <v>8</v>
      </c>
      <c r="AK6568" s="4">
        <v>21</v>
      </c>
      <c r="AL6568" s="4">
        <v>28</v>
      </c>
      <c r="AM6568" s="4">
        <v>41</v>
      </c>
      <c r="AN6568" s="4">
        <v>0</v>
      </c>
      <c r="AO6568" s="4">
        <v>0</v>
      </c>
      <c r="AP6568" s="4">
        <v>8</v>
      </c>
      <c r="AQ6568" s="4">
        <v>42</v>
      </c>
      <c r="AR6568" s="3" t="s">
        <v>62</v>
      </c>
      <c r="AS6568" s="3" t="s">
        <v>62</v>
      </c>
      <c r="AT6568" s="3" t="s">
        <v>62</v>
      </c>
      <c r="AV6568" s="6" t="str">
        <f>HYPERLINK("http://mcgill.on.worldcat.org/oclc/236082559","Catalog Record")</f>
        <v>Catalog Record</v>
      </c>
      <c r="AW6568" s="6" t="str">
        <f>HYPERLINK("http://www.worldcat.org/oclc/236082559","WorldCat Record")</f>
        <v>WorldCat Record</v>
      </c>
      <c r="AX6568" s="3" t="s">
        <v>63259</v>
      </c>
      <c r="AY6568" s="3" t="s">
        <v>63260</v>
      </c>
      <c r="AZ6568" s="3" t="s">
        <v>63261</v>
      </c>
      <c r="BA6568" s="3" t="s">
        <v>63261</v>
      </c>
      <c r="BB6568" s="3" t="s">
        <v>63262</v>
      </c>
      <c r="BC6568" s="3" t="s">
        <v>142</v>
      </c>
      <c r="BD6568" s="3" t="s">
        <v>68</v>
      </c>
      <c r="BE6568" s="3" t="s">
        <v>63263</v>
      </c>
      <c r="BF6568" s="3" t="s">
        <v>63262</v>
      </c>
      <c r="BG6568" s="3" t="s">
        <v>63264</v>
      </c>
    </row>
    <row r="6569" spans="1:59" ht="57" x14ac:dyDescent="0.45">
      <c r="A6569" s="2" t="s">
        <v>59</v>
      </c>
      <c r="B6569" s="2" t="s">
        <v>60</v>
      </c>
      <c r="C6569" s="2" t="s">
        <v>63265</v>
      </c>
      <c r="D6569" s="2" t="s">
        <v>63266</v>
      </c>
      <c r="E6569" s="2" t="s">
        <v>63267</v>
      </c>
      <c r="G6569" s="3" t="s">
        <v>62</v>
      </c>
      <c r="I6569" s="3" t="s">
        <v>62</v>
      </c>
      <c r="J6569" s="3" t="s">
        <v>62</v>
      </c>
      <c r="K6569" s="3" t="s">
        <v>63</v>
      </c>
      <c r="L6569" s="2" t="s">
        <v>42988</v>
      </c>
      <c r="M6569" s="2" t="s">
        <v>25814</v>
      </c>
      <c r="N6569" s="3" t="s">
        <v>970</v>
      </c>
      <c r="P6569" s="3" t="s">
        <v>65</v>
      </c>
      <c r="Q6569" s="2" t="s">
        <v>63268</v>
      </c>
      <c r="R6569" s="3" t="s">
        <v>66</v>
      </c>
      <c r="S6569" s="4">
        <v>6</v>
      </c>
      <c r="T6569" s="4">
        <v>6</v>
      </c>
      <c r="U6569" s="5" t="s">
        <v>3220</v>
      </c>
      <c r="V6569" s="5" t="s">
        <v>3220</v>
      </c>
      <c r="W6569" s="5" t="s">
        <v>67</v>
      </c>
      <c r="X6569" s="5" t="s">
        <v>67</v>
      </c>
      <c r="Y6569" s="4">
        <v>260</v>
      </c>
      <c r="Z6569" s="4">
        <v>18</v>
      </c>
      <c r="AA6569" s="4">
        <v>124</v>
      </c>
      <c r="AB6569" s="4">
        <v>3</v>
      </c>
      <c r="AC6569" s="4">
        <v>22</v>
      </c>
      <c r="AD6569" s="4">
        <v>97</v>
      </c>
      <c r="AE6569" s="4">
        <v>155</v>
      </c>
      <c r="AF6569" s="4">
        <v>1</v>
      </c>
      <c r="AG6569" s="4">
        <v>9</v>
      </c>
      <c r="AH6569" s="4">
        <v>88</v>
      </c>
      <c r="AI6569" s="4">
        <v>106</v>
      </c>
      <c r="AJ6569" s="4">
        <v>14</v>
      </c>
      <c r="AK6569" s="4">
        <v>28</v>
      </c>
      <c r="AL6569" s="4">
        <v>50</v>
      </c>
      <c r="AM6569" s="4">
        <v>57</v>
      </c>
      <c r="AN6569" s="4">
        <v>0</v>
      </c>
      <c r="AO6569" s="4">
        <v>0</v>
      </c>
      <c r="AP6569" s="4">
        <v>15</v>
      </c>
      <c r="AQ6569" s="4">
        <v>57</v>
      </c>
      <c r="AR6569" s="3" t="s">
        <v>62</v>
      </c>
      <c r="AS6569" s="3" t="s">
        <v>62</v>
      </c>
      <c r="AT6569" s="3" t="s">
        <v>62</v>
      </c>
      <c r="AV6569" s="6" t="str">
        <f>HYPERLINK("http://mcgill.on.worldcat.org/oclc/46384026","Catalog Record")</f>
        <v>Catalog Record</v>
      </c>
      <c r="AW6569" s="6" t="str">
        <f>HYPERLINK("http://www.worldcat.org/oclc/46384026","WorldCat Record")</f>
        <v>WorldCat Record</v>
      </c>
      <c r="AX6569" s="3" t="s">
        <v>63269</v>
      </c>
      <c r="AY6569" s="3" t="s">
        <v>63270</v>
      </c>
      <c r="AZ6569" s="3" t="s">
        <v>63271</v>
      </c>
      <c r="BA6569" s="3" t="s">
        <v>63271</v>
      </c>
      <c r="BB6569" s="3" t="s">
        <v>63272</v>
      </c>
      <c r="BC6569" s="3" t="s">
        <v>142</v>
      </c>
      <c r="BD6569" s="3" t="s">
        <v>68</v>
      </c>
      <c r="BE6569" s="3" t="s">
        <v>63273</v>
      </c>
      <c r="BF6569" s="3" t="s">
        <v>63272</v>
      </c>
      <c r="BG6569" s="3" t="s">
        <v>63274</v>
      </c>
    </row>
    <row r="6570" spans="1:59" ht="57" x14ac:dyDescent="0.45">
      <c r="A6570" s="2" t="s">
        <v>59</v>
      </c>
      <c r="B6570" s="2" t="s">
        <v>60</v>
      </c>
      <c r="C6570" s="2" t="s">
        <v>63275</v>
      </c>
      <c r="D6570" s="2" t="s">
        <v>63276</v>
      </c>
      <c r="E6570" s="2" t="s">
        <v>63277</v>
      </c>
      <c r="G6570" s="3" t="s">
        <v>62</v>
      </c>
      <c r="I6570" s="3" t="s">
        <v>62</v>
      </c>
      <c r="J6570" s="3" t="s">
        <v>62</v>
      </c>
      <c r="K6570" s="3" t="s">
        <v>63</v>
      </c>
      <c r="L6570" s="2" t="s">
        <v>63278</v>
      </c>
      <c r="M6570" s="2" t="s">
        <v>63279</v>
      </c>
      <c r="N6570" s="3" t="s">
        <v>1097</v>
      </c>
      <c r="P6570" s="3" t="s">
        <v>65</v>
      </c>
      <c r="R6570" s="3" t="s">
        <v>66</v>
      </c>
      <c r="S6570" s="4">
        <v>6</v>
      </c>
      <c r="T6570" s="4">
        <v>6</v>
      </c>
      <c r="U6570" s="5" t="s">
        <v>30640</v>
      </c>
      <c r="V6570" s="5" t="s">
        <v>30640</v>
      </c>
      <c r="W6570" s="5" t="s">
        <v>67</v>
      </c>
      <c r="X6570" s="5" t="s">
        <v>67</v>
      </c>
      <c r="Y6570" s="4">
        <v>223</v>
      </c>
      <c r="Z6570" s="4">
        <v>23</v>
      </c>
      <c r="AA6570" s="4">
        <v>42</v>
      </c>
      <c r="AB6570" s="4">
        <v>1</v>
      </c>
      <c r="AC6570" s="4">
        <v>6</v>
      </c>
      <c r="AD6570" s="4">
        <v>104</v>
      </c>
      <c r="AE6570" s="4">
        <v>126</v>
      </c>
      <c r="AF6570" s="4">
        <v>0</v>
      </c>
      <c r="AG6570" s="4">
        <v>2</v>
      </c>
      <c r="AH6570" s="4">
        <v>92</v>
      </c>
      <c r="AI6570" s="4">
        <v>105</v>
      </c>
      <c r="AJ6570" s="4">
        <v>18</v>
      </c>
      <c r="AK6570" s="4">
        <v>21</v>
      </c>
      <c r="AL6570" s="4">
        <v>53</v>
      </c>
      <c r="AM6570" s="4">
        <v>56</v>
      </c>
      <c r="AN6570" s="4">
        <v>0</v>
      </c>
      <c r="AO6570" s="4">
        <v>0</v>
      </c>
      <c r="AP6570" s="4">
        <v>21</v>
      </c>
      <c r="AQ6570" s="4">
        <v>31</v>
      </c>
      <c r="AR6570" s="3" t="s">
        <v>62</v>
      </c>
      <c r="AS6570" s="3" t="s">
        <v>62</v>
      </c>
      <c r="AT6570" s="3" t="s">
        <v>62</v>
      </c>
      <c r="AV6570" s="6" t="str">
        <f>HYPERLINK("http://mcgill.on.worldcat.org/oclc/56641524","Catalog Record")</f>
        <v>Catalog Record</v>
      </c>
      <c r="AW6570" s="6" t="str">
        <f>HYPERLINK("http://www.worldcat.org/oclc/56641524","WorldCat Record")</f>
        <v>WorldCat Record</v>
      </c>
      <c r="AX6570" s="3" t="s">
        <v>63280</v>
      </c>
      <c r="AY6570" s="3" t="s">
        <v>63281</v>
      </c>
      <c r="AZ6570" s="3" t="s">
        <v>63282</v>
      </c>
      <c r="BA6570" s="3" t="s">
        <v>63282</v>
      </c>
      <c r="BB6570" s="3" t="s">
        <v>63283</v>
      </c>
      <c r="BC6570" s="3" t="s">
        <v>142</v>
      </c>
      <c r="BD6570" s="3" t="s">
        <v>68</v>
      </c>
      <c r="BE6570" s="3" t="s">
        <v>63284</v>
      </c>
      <c r="BF6570" s="3" t="s">
        <v>63283</v>
      </c>
      <c r="BG6570" s="3" t="s">
        <v>63285</v>
      </c>
    </row>
    <row r="6571" spans="1:59" ht="57" x14ac:dyDescent="0.45">
      <c r="A6571" s="2" t="s">
        <v>59</v>
      </c>
      <c r="B6571" s="2" t="s">
        <v>60</v>
      </c>
      <c r="C6571" s="2" t="s">
        <v>63286</v>
      </c>
      <c r="D6571" s="2" t="s">
        <v>63287</v>
      </c>
      <c r="E6571" s="2" t="s">
        <v>63288</v>
      </c>
      <c r="G6571" s="3" t="s">
        <v>62</v>
      </c>
      <c r="I6571" s="3" t="s">
        <v>62</v>
      </c>
      <c r="J6571" s="3" t="s">
        <v>62</v>
      </c>
      <c r="K6571" s="3" t="s">
        <v>63</v>
      </c>
      <c r="L6571" s="2" t="s">
        <v>50917</v>
      </c>
      <c r="M6571" s="2" t="s">
        <v>2560</v>
      </c>
      <c r="N6571" s="3" t="s">
        <v>149</v>
      </c>
      <c r="P6571" s="3" t="s">
        <v>65</v>
      </c>
      <c r="Q6571" s="2" t="s">
        <v>63289</v>
      </c>
      <c r="R6571" s="3" t="s">
        <v>66</v>
      </c>
      <c r="S6571" s="4">
        <v>0</v>
      </c>
      <c r="T6571" s="4">
        <v>0</v>
      </c>
      <c r="W6571" s="5" t="s">
        <v>67</v>
      </c>
      <c r="X6571" s="5" t="s">
        <v>67</v>
      </c>
      <c r="Y6571" s="4">
        <v>127</v>
      </c>
      <c r="Z6571" s="4">
        <v>17</v>
      </c>
      <c r="AA6571" s="4">
        <v>106</v>
      </c>
      <c r="AB6571" s="4">
        <v>2</v>
      </c>
      <c r="AC6571" s="4">
        <v>18</v>
      </c>
      <c r="AD6571" s="4">
        <v>67</v>
      </c>
      <c r="AE6571" s="4">
        <v>129</v>
      </c>
      <c r="AF6571" s="4">
        <v>0</v>
      </c>
      <c r="AG6571" s="4">
        <v>8</v>
      </c>
      <c r="AH6571" s="4">
        <v>61</v>
      </c>
      <c r="AI6571" s="4">
        <v>90</v>
      </c>
      <c r="AJ6571" s="4">
        <v>13</v>
      </c>
      <c r="AK6571" s="4">
        <v>25</v>
      </c>
      <c r="AL6571" s="4">
        <v>43</v>
      </c>
      <c r="AM6571" s="4">
        <v>52</v>
      </c>
      <c r="AN6571" s="4">
        <v>0</v>
      </c>
      <c r="AO6571" s="4">
        <v>0</v>
      </c>
      <c r="AP6571" s="4">
        <v>14</v>
      </c>
      <c r="AQ6571" s="4">
        <v>49</v>
      </c>
      <c r="AR6571" s="3" t="s">
        <v>62</v>
      </c>
      <c r="AS6571" s="3" t="s">
        <v>62</v>
      </c>
      <c r="AT6571" s="3" t="s">
        <v>62</v>
      </c>
      <c r="AV6571" s="6" t="str">
        <f>HYPERLINK("http://mcgill.on.worldcat.org/oclc/435730856","Catalog Record")</f>
        <v>Catalog Record</v>
      </c>
      <c r="AW6571" s="6" t="str">
        <f>HYPERLINK("http://www.worldcat.org/oclc/435730856","WorldCat Record")</f>
        <v>WorldCat Record</v>
      </c>
      <c r="AX6571" s="3" t="s">
        <v>63290</v>
      </c>
      <c r="AY6571" s="3" t="s">
        <v>63291</v>
      </c>
      <c r="AZ6571" s="3" t="s">
        <v>63292</v>
      </c>
      <c r="BA6571" s="3" t="s">
        <v>63292</v>
      </c>
      <c r="BB6571" s="3" t="s">
        <v>63293</v>
      </c>
      <c r="BC6571" s="3" t="s">
        <v>142</v>
      </c>
      <c r="BD6571" s="3" t="s">
        <v>68</v>
      </c>
      <c r="BE6571" s="3" t="s">
        <v>63294</v>
      </c>
      <c r="BF6571" s="3" t="s">
        <v>63293</v>
      </c>
      <c r="BG6571" s="3" t="s">
        <v>63295</v>
      </c>
    </row>
    <row r="6572" spans="1:59" ht="71.25" x14ac:dyDescent="0.45">
      <c r="A6572" s="2" t="s">
        <v>59</v>
      </c>
      <c r="B6572" s="2" t="s">
        <v>60</v>
      </c>
      <c r="C6572" s="2" t="s">
        <v>63296</v>
      </c>
      <c r="D6572" s="2" t="s">
        <v>63297</v>
      </c>
      <c r="E6572" s="2" t="s">
        <v>63298</v>
      </c>
      <c r="G6572" s="3" t="s">
        <v>62</v>
      </c>
      <c r="I6572" s="3" t="s">
        <v>62</v>
      </c>
      <c r="J6572" s="3" t="s">
        <v>62</v>
      </c>
      <c r="K6572" s="3" t="s">
        <v>63</v>
      </c>
      <c r="M6572" s="2" t="s">
        <v>63299</v>
      </c>
      <c r="N6572" s="3" t="s">
        <v>116</v>
      </c>
      <c r="P6572" s="3" t="s">
        <v>65</v>
      </c>
      <c r="Q6572" s="2" t="s">
        <v>63300</v>
      </c>
      <c r="R6572" s="3" t="s">
        <v>66</v>
      </c>
      <c r="S6572" s="4">
        <v>0</v>
      </c>
      <c r="T6572" s="4">
        <v>0</v>
      </c>
      <c r="W6572" s="5" t="s">
        <v>67</v>
      </c>
      <c r="X6572" s="5" t="s">
        <v>67</v>
      </c>
      <c r="Y6572" s="4">
        <v>91</v>
      </c>
      <c r="Z6572" s="4">
        <v>17</v>
      </c>
      <c r="AA6572" s="4">
        <v>17</v>
      </c>
      <c r="AB6572" s="4">
        <v>1</v>
      </c>
      <c r="AC6572" s="4">
        <v>1</v>
      </c>
      <c r="AD6572" s="4">
        <v>51</v>
      </c>
      <c r="AE6572" s="4">
        <v>51</v>
      </c>
      <c r="AF6572" s="4">
        <v>0</v>
      </c>
      <c r="AG6572" s="4">
        <v>0</v>
      </c>
      <c r="AH6572" s="4">
        <v>45</v>
      </c>
      <c r="AI6572" s="4">
        <v>45</v>
      </c>
      <c r="AJ6572" s="4">
        <v>13</v>
      </c>
      <c r="AK6572" s="4">
        <v>13</v>
      </c>
      <c r="AL6572" s="4">
        <v>29</v>
      </c>
      <c r="AM6572" s="4">
        <v>29</v>
      </c>
      <c r="AN6572" s="4">
        <v>0</v>
      </c>
      <c r="AO6572" s="4">
        <v>0</v>
      </c>
      <c r="AP6572" s="4">
        <v>14</v>
      </c>
      <c r="AQ6572" s="4">
        <v>14</v>
      </c>
      <c r="AR6572" s="3" t="s">
        <v>62</v>
      </c>
      <c r="AS6572" s="3" t="s">
        <v>62</v>
      </c>
      <c r="AT6572" s="3" t="s">
        <v>62</v>
      </c>
      <c r="AV6572" s="6" t="str">
        <f>HYPERLINK("http://mcgill.on.worldcat.org/oclc/834405191","Catalog Record")</f>
        <v>Catalog Record</v>
      </c>
      <c r="AW6572" s="6" t="str">
        <f>HYPERLINK("http://www.worldcat.org/oclc/834405191","WorldCat Record")</f>
        <v>WorldCat Record</v>
      </c>
      <c r="AX6572" s="3" t="s">
        <v>63301</v>
      </c>
      <c r="AY6572" s="3" t="s">
        <v>63302</v>
      </c>
      <c r="AZ6572" s="3" t="s">
        <v>63303</v>
      </c>
      <c r="BA6572" s="3" t="s">
        <v>63303</v>
      </c>
      <c r="BB6572" s="3" t="s">
        <v>63304</v>
      </c>
      <c r="BC6572" s="3" t="s">
        <v>142</v>
      </c>
      <c r="BD6572" s="3" t="s">
        <v>68</v>
      </c>
      <c r="BE6572" s="3" t="s">
        <v>63305</v>
      </c>
      <c r="BF6572" s="3" t="s">
        <v>63304</v>
      </c>
      <c r="BG6572" s="3" t="s">
        <v>63306</v>
      </c>
    </row>
    <row r="6573" spans="1:59" ht="57" x14ac:dyDescent="0.45">
      <c r="A6573" s="2" t="s">
        <v>59</v>
      </c>
      <c r="B6573" s="2" t="s">
        <v>60</v>
      </c>
      <c r="C6573" s="2" t="s">
        <v>63307</v>
      </c>
      <c r="D6573" s="2" t="s">
        <v>63308</v>
      </c>
      <c r="E6573" s="2" t="s">
        <v>63309</v>
      </c>
      <c r="G6573" s="3" t="s">
        <v>62</v>
      </c>
      <c r="I6573" s="3" t="s">
        <v>62</v>
      </c>
      <c r="J6573" s="3" t="s">
        <v>62</v>
      </c>
      <c r="K6573" s="3" t="s">
        <v>63</v>
      </c>
      <c r="M6573" s="2" t="s">
        <v>63310</v>
      </c>
      <c r="N6573" s="3" t="s">
        <v>480</v>
      </c>
      <c r="P6573" s="3" t="s">
        <v>65</v>
      </c>
      <c r="Q6573" s="2" t="s">
        <v>63311</v>
      </c>
      <c r="R6573" s="3" t="s">
        <v>66</v>
      </c>
      <c r="S6573" s="4">
        <v>10</v>
      </c>
      <c r="T6573" s="4">
        <v>10</v>
      </c>
      <c r="U6573" s="5" t="s">
        <v>39295</v>
      </c>
      <c r="V6573" s="5" t="s">
        <v>39295</v>
      </c>
      <c r="W6573" s="5" t="s">
        <v>67</v>
      </c>
      <c r="X6573" s="5" t="s">
        <v>67</v>
      </c>
      <c r="Y6573" s="4">
        <v>236</v>
      </c>
      <c r="Z6573" s="4">
        <v>20</v>
      </c>
      <c r="AA6573" s="4">
        <v>47</v>
      </c>
      <c r="AB6573" s="4">
        <v>1</v>
      </c>
      <c r="AC6573" s="4">
        <v>12</v>
      </c>
      <c r="AD6573" s="4">
        <v>89</v>
      </c>
      <c r="AE6573" s="4">
        <v>121</v>
      </c>
      <c r="AF6573" s="4">
        <v>0</v>
      </c>
      <c r="AG6573" s="4">
        <v>7</v>
      </c>
      <c r="AH6573" s="4">
        <v>77</v>
      </c>
      <c r="AI6573" s="4">
        <v>90</v>
      </c>
      <c r="AJ6573" s="4">
        <v>16</v>
      </c>
      <c r="AK6573" s="4">
        <v>25</v>
      </c>
      <c r="AL6573" s="4">
        <v>45</v>
      </c>
      <c r="AM6573" s="4">
        <v>47</v>
      </c>
      <c r="AN6573" s="4">
        <v>0</v>
      </c>
      <c r="AO6573" s="4">
        <v>0</v>
      </c>
      <c r="AP6573" s="4">
        <v>18</v>
      </c>
      <c r="AQ6573" s="4">
        <v>39</v>
      </c>
      <c r="AR6573" s="3" t="s">
        <v>62</v>
      </c>
      <c r="AS6573" s="3" t="s">
        <v>62</v>
      </c>
      <c r="AT6573" s="3" t="s">
        <v>62</v>
      </c>
      <c r="AV6573" s="6" t="str">
        <f>HYPERLINK("http://mcgill.on.worldcat.org/oclc/4211292","Catalog Record")</f>
        <v>Catalog Record</v>
      </c>
      <c r="AW6573" s="6" t="str">
        <f>HYPERLINK("http://www.worldcat.org/oclc/4211292","WorldCat Record")</f>
        <v>WorldCat Record</v>
      </c>
      <c r="AX6573" s="3" t="s">
        <v>63312</v>
      </c>
      <c r="AY6573" s="3" t="s">
        <v>63313</v>
      </c>
      <c r="AZ6573" s="3" t="s">
        <v>63314</v>
      </c>
      <c r="BA6573" s="3" t="s">
        <v>63314</v>
      </c>
      <c r="BB6573" s="3" t="s">
        <v>63315</v>
      </c>
      <c r="BC6573" s="3" t="s">
        <v>142</v>
      </c>
      <c r="BD6573" s="3" t="s">
        <v>68</v>
      </c>
      <c r="BE6573" s="3" t="s">
        <v>63316</v>
      </c>
      <c r="BF6573" s="3" t="s">
        <v>63315</v>
      </c>
      <c r="BG6573" s="3" t="s">
        <v>63317</v>
      </c>
    </row>
    <row r="6574" spans="1:59" ht="57" x14ac:dyDescent="0.45">
      <c r="A6574" s="2" t="s">
        <v>59</v>
      </c>
      <c r="B6574" s="2" t="s">
        <v>60</v>
      </c>
      <c r="C6574" s="2" t="s">
        <v>63318</v>
      </c>
      <c r="D6574" s="2" t="s">
        <v>63319</v>
      </c>
      <c r="E6574" s="2" t="s">
        <v>63320</v>
      </c>
      <c r="G6574" s="3" t="s">
        <v>62</v>
      </c>
      <c r="I6574" s="3" t="s">
        <v>62</v>
      </c>
      <c r="J6574" s="3" t="s">
        <v>62</v>
      </c>
      <c r="K6574" s="3" t="s">
        <v>63</v>
      </c>
      <c r="L6574" s="2" t="s">
        <v>63321</v>
      </c>
      <c r="M6574" s="2" t="s">
        <v>18061</v>
      </c>
      <c r="N6574" s="3" t="s">
        <v>1918</v>
      </c>
      <c r="P6574" s="3" t="s">
        <v>65</v>
      </c>
      <c r="Q6574" s="2" t="s">
        <v>63322</v>
      </c>
      <c r="R6574" s="3" t="s">
        <v>66</v>
      </c>
      <c r="S6574" s="4">
        <v>0</v>
      </c>
      <c r="T6574" s="4">
        <v>0</v>
      </c>
      <c r="W6574" s="5" t="s">
        <v>67</v>
      </c>
      <c r="X6574" s="5" t="s">
        <v>67</v>
      </c>
      <c r="Y6574" s="4">
        <v>38</v>
      </c>
      <c r="Z6574" s="4">
        <v>4</v>
      </c>
      <c r="AA6574" s="4">
        <v>6</v>
      </c>
      <c r="AB6574" s="4">
        <v>1</v>
      </c>
      <c r="AC6574" s="4">
        <v>1</v>
      </c>
      <c r="AD6574" s="4">
        <v>19</v>
      </c>
      <c r="AE6574" s="4">
        <v>22</v>
      </c>
      <c r="AF6574" s="4">
        <v>0</v>
      </c>
      <c r="AG6574" s="4">
        <v>0</v>
      </c>
      <c r="AH6574" s="4">
        <v>17</v>
      </c>
      <c r="AI6574" s="4">
        <v>20</v>
      </c>
      <c r="AJ6574" s="4">
        <v>3</v>
      </c>
      <c r="AK6574" s="4">
        <v>5</v>
      </c>
      <c r="AL6574" s="4">
        <v>12</v>
      </c>
      <c r="AM6574" s="4">
        <v>13</v>
      </c>
      <c r="AN6574" s="4">
        <v>0</v>
      </c>
      <c r="AO6574" s="4">
        <v>0</v>
      </c>
      <c r="AP6574" s="4">
        <v>3</v>
      </c>
      <c r="AQ6574" s="4">
        <v>5</v>
      </c>
      <c r="AR6574" s="3" t="s">
        <v>62</v>
      </c>
      <c r="AS6574" s="3" t="s">
        <v>62</v>
      </c>
      <c r="AT6574" s="3" t="s">
        <v>62</v>
      </c>
      <c r="AV6574" s="6" t="str">
        <f>HYPERLINK("http://mcgill.on.worldcat.org/oclc/975373942","Catalog Record")</f>
        <v>Catalog Record</v>
      </c>
      <c r="AW6574" s="6" t="str">
        <f>HYPERLINK("http://www.worldcat.org/oclc/975373942","WorldCat Record")</f>
        <v>WorldCat Record</v>
      </c>
      <c r="AX6574" s="3" t="s">
        <v>63323</v>
      </c>
      <c r="AY6574" s="3" t="s">
        <v>63324</v>
      </c>
      <c r="AZ6574" s="3" t="s">
        <v>63325</v>
      </c>
      <c r="BA6574" s="3" t="s">
        <v>63325</v>
      </c>
      <c r="BB6574" s="3" t="s">
        <v>63326</v>
      </c>
      <c r="BC6574" s="3" t="s">
        <v>142</v>
      </c>
      <c r="BD6574" s="3" t="s">
        <v>68</v>
      </c>
      <c r="BE6574" s="3" t="s">
        <v>63327</v>
      </c>
      <c r="BF6574" s="3" t="s">
        <v>63326</v>
      </c>
      <c r="BG6574" s="3" t="s">
        <v>63328</v>
      </c>
    </row>
    <row r="6575" spans="1:59" ht="57" x14ac:dyDescent="0.45">
      <c r="A6575" s="2" t="s">
        <v>59</v>
      </c>
      <c r="B6575" s="2" t="s">
        <v>60</v>
      </c>
      <c r="C6575" s="2" t="s">
        <v>63329</v>
      </c>
      <c r="D6575" s="2" t="s">
        <v>63330</v>
      </c>
      <c r="E6575" s="2" t="s">
        <v>63331</v>
      </c>
      <c r="G6575" s="3" t="s">
        <v>62</v>
      </c>
      <c r="I6575" s="3" t="s">
        <v>62</v>
      </c>
      <c r="J6575" s="3" t="s">
        <v>62</v>
      </c>
      <c r="K6575" s="3" t="s">
        <v>63</v>
      </c>
      <c r="L6575" s="2" t="s">
        <v>63332</v>
      </c>
      <c r="M6575" s="2" t="s">
        <v>44820</v>
      </c>
      <c r="N6575" s="3" t="s">
        <v>1212</v>
      </c>
      <c r="P6575" s="3" t="s">
        <v>65</v>
      </c>
      <c r="R6575" s="3" t="s">
        <v>66</v>
      </c>
      <c r="S6575" s="4">
        <v>13</v>
      </c>
      <c r="T6575" s="4">
        <v>13</v>
      </c>
      <c r="U6575" s="5" t="s">
        <v>19964</v>
      </c>
      <c r="V6575" s="5" t="s">
        <v>19964</v>
      </c>
      <c r="W6575" s="5" t="s">
        <v>67</v>
      </c>
      <c r="X6575" s="5" t="s">
        <v>67</v>
      </c>
      <c r="Y6575" s="4">
        <v>338</v>
      </c>
      <c r="Z6575" s="4">
        <v>22</v>
      </c>
      <c r="AA6575" s="4">
        <v>92</v>
      </c>
      <c r="AB6575" s="4">
        <v>1</v>
      </c>
      <c r="AC6575" s="4">
        <v>17</v>
      </c>
      <c r="AD6575" s="4">
        <v>108</v>
      </c>
      <c r="AE6575" s="4">
        <v>145</v>
      </c>
      <c r="AF6575" s="4">
        <v>0</v>
      </c>
      <c r="AG6575" s="4">
        <v>8</v>
      </c>
      <c r="AH6575" s="4">
        <v>96</v>
      </c>
      <c r="AI6575" s="4">
        <v>107</v>
      </c>
      <c r="AJ6575" s="4">
        <v>16</v>
      </c>
      <c r="AK6575" s="4">
        <v>25</v>
      </c>
      <c r="AL6575" s="4">
        <v>54</v>
      </c>
      <c r="AM6575" s="4">
        <v>58</v>
      </c>
      <c r="AN6575" s="4">
        <v>0</v>
      </c>
      <c r="AO6575" s="4">
        <v>0</v>
      </c>
      <c r="AP6575" s="4">
        <v>19</v>
      </c>
      <c r="AQ6575" s="4">
        <v>46</v>
      </c>
      <c r="AR6575" s="3" t="s">
        <v>62</v>
      </c>
      <c r="AS6575" s="3" t="s">
        <v>62</v>
      </c>
      <c r="AT6575" s="3" t="s">
        <v>62</v>
      </c>
      <c r="AV6575" s="6" t="str">
        <f>HYPERLINK("http://mcgill.on.worldcat.org/oclc/44075962","Catalog Record")</f>
        <v>Catalog Record</v>
      </c>
      <c r="AW6575" s="6" t="str">
        <f>HYPERLINK("http://www.worldcat.org/oclc/44075962","WorldCat Record")</f>
        <v>WorldCat Record</v>
      </c>
      <c r="AX6575" s="3" t="s">
        <v>63333</v>
      </c>
      <c r="AY6575" s="3" t="s">
        <v>63334</v>
      </c>
      <c r="AZ6575" s="3" t="s">
        <v>63335</v>
      </c>
      <c r="BA6575" s="3" t="s">
        <v>63335</v>
      </c>
      <c r="BB6575" s="3" t="s">
        <v>63336</v>
      </c>
      <c r="BC6575" s="3" t="s">
        <v>142</v>
      </c>
      <c r="BD6575" s="3" t="s">
        <v>68</v>
      </c>
      <c r="BE6575" s="3" t="s">
        <v>63337</v>
      </c>
      <c r="BF6575" s="3" t="s">
        <v>63336</v>
      </c>
      <c r="BG6575" s="3" t="s">
        <v>63338</v>
      </c>
    </row>
    <row r="6576" spans="1:59" ht="57" x14ac:dyDescent="0.45">
      <c r="A6576" s="2" t="s">
        <v>59</v>
      </c>
      <c r="B6576" s="2" t="s">
        <v>60</v>
      </c>
      <c r="C6576" s="2" t="s">
        <v>63339</v>
      </c>
      <c r="D6576" s="2" t="s">
        <v>63340</v>
      </c>
      <c r="E6576" s="2" t="s">
        <v>63341</v>
      </c>
      <c r="G6576" s="3" t="s">
        <v>62</v>
      </c>
      <c r="I6576" s="3" t="s">
        <v>62</v>
      </c>
      <c r="J6576" s="3" t="s">
        <v>62</v>
      </c>
      <c r="K6576" s="3" t="s">
        <v>63</v>
      </c>
      <c r="L6576" s="2" t="s">
        <v>63342</v>
      </c>
      <c r="M6576" s="2" t="s">
        <v>63343</v>
      </c>
      <c r="N6576" s="3" t="s">
        <v>116</v>
      </c>
      <c r="P6576" s="3" t="s">
        <v>65</v>
      </c>
      <c r="R6576" s="3" t="s">
        <v>66</v>
      </c>
      <c r="S6576" s="4">
        <v>1</v>
      </c>
      <c r="T6576" s="4">
        <v>1</v>
      </c>
      <c r="U6576" s="5" t="s">
        <v>14837</v>
      </c>
      <c r="V6576" s="5" t="s">
        <v>14837</v>
      </c>
      <c r="W6576" s="5" t="s">
        <v>67</v>
      </c>
      <c r="X6576" s="5" t="s">
        <v>67</v>
      </c>
      <c r="Y6576" s="4">
        <v>74</v>
      </c>
      <c r="Z6576" s="4">
        <v>17</v>
      </c>
      <c r="AA6576" s="4">
        <v>113</v>
      </c>
      <c r="AB6576" s="4">
        <v>2</v>
      </c>
      <c r="AC6576" s="4">
        <v>21</v>
      </c>
      <c r="AD6576" s="4">
        <v>51</v>
      </c>
      <c r="AE6576" s="4">
        <v>124</v>
      </c>
      <c r="AF6576" s="4">
        <v>1</v>
      </c>
      <c r="AG6576" s="4">
        <v>8</v>
      </c>
      <c r="AH6576" s="4">
        <v>41</v>
      </c>
      <c r="AI6576" s="4">
        <v>82</v>
      </c>
      <c r="AJ6576" s="4">
        <v>12</v>
      </c>
      <c r="AK6576" s="4">
        <v>24</v>
      </c>
      <c r="AL6576" s="4">
        <v>31</v>
      </c>
      <c r="AM6576" s="4">
        <v>47</v>
      </c>
      <c r="AN6576" s="4">
        <v>0</v>
      </c>
      <c r="AO6576" s="4">
        <v>0</v>
      </c>
      <c r="AP6576" s="4">
        <v>13</v>
      </c>
      <c r="AQ6576" s="4">
        <v>49</v>
      </c>
      <c r="AR6576" s="3" t="s">
        <v>61</v>
      </c>
      <c r="AS6576" s="3" t="s">
        <v>62</v>
      </c>
      <c r="AT6576" s="3" t="s">
        <v>62</v>
      </c>
      <c r="AV6576" s="6" t="str">
        <f>HYPERLINK("http://mcgill.on.worldcat.org/oclc/857325831","Catalog Record")</f>
        <v>Catalog Record</v>
      </c>
      <c r="AW6576" s="6" t="str">
        <f>HYPERLINK("http://www.worldcat.org/oclc/857325831","WorldCat Record")</f>
        <v>WorldCat Record</v>
      </c>
      <c r="AX6576" s="3" t="s">
        <v>63344</v>
      </c>
      <c r="AY6576" s="3" t="s">
        <v>63345</v>
      </c>
      <c r="AZ6576" s="3" t="s">
        <v>63346</v>
      </c>
      <c r="BA6576" s="3" t="s">
        <v>63346</v>
      </c>
      <c r="BB6576" s="3" t="s">
        <v>63347</v>
      </c>
      <c r="BC6576" s="3" t="s">
        <v>142</v>
      </c>
      <c r="BD6576" s="3" t="s">
        <v>68</v>
      </c>
      <c r="BE6576" s="3" t="s">
        <v>63348</v>
      </c>
      <c r="BF6576" s="3" t="s">
        <v>63347</v>
      </c>
      <c r="BG6576" s="3" t="s">
        <v>63349</v>
      </c>
    </row>
    <row r="6577" spans="1:59" ht="57" x14ac:dyDescent="0.45">
      <c r="A6577" s="2" t="s">
        <v>59</v>
      </c>
      <c r="B6577" s="2" t="s">
        <v>60</v>
      </c>
      <c r="C6577" s="2" t="s">
        <v>63350</v>
      </c>
      <c r="D6577" s="2" t="s">
        <v>63351</v>
      </c>
      <c r="E6577" s="2" t="s">
        <v>63352</v>
      </c>
      <c r="G6577" s="3" t="s">
        <v>62</v>
      </c>
      <c r="I6577" s="3" t="s">
        <v>62</v>
      </c>
      <c r="J6577" s="3" t="s">
        <v>62</v>
      </c>
      <c r="K6577" s="3" t="s">
        <v>63</v>
      </c>
      <c r="M6577" s="2" t="s">
        <v>63353</v>
      </c>
      <c r="N6577" s="3" t="s">
        <v>1855</v>
      </c>
      <c r="P6577" s="3" t="s">
        <v>110</v>
      </c>
      <c r="Q6577" s="2" t="s">
        <v>63354</v>
      </c>
      <c r="R6577" s="3" t="s">
        <v>66</v>
      </c>
      <c r="S6577" s="4">
        <v>4</v>
      </c>
      <c r="T6577" s="4">
        <v>4</v>
      </c>
      <c r="U6577" s="5" t="s">
        <v>13658</v>
      </c>
      <c r="V6577" s="5" t="s">
        <v>13658</v>
      </c>
      <c r="W6577" s="5" t="s">
        <v>67</v>
      </c>
      <c r="X6577" s="5" t="s">
        <v>67</v>
      </c>
      <c r="Y6577" s="4">
        <v>31</v>
      </c>
      <c r="Z6577" s="4">
        <v>3</v>
      </c>
      <c r="AA6577" s="4">
        <v>7</v>
      </c>
      <c r="AB6577" s="4">
        <v>2</v>
      </c>
      <c r="AC6577" s="4">
        <v>5</v>
      </c>
      <c r="AD6577" s="4">
        <v>10</v>
      </c>
      <c r="AE6577" s="4">
        <v>14</v>
      </c>
      <c r="AF6577" s="4">
        <v>1</v>
      </c>
      <c r="AG6577" s="4">
        <v>4</v>
      </c>
      <c r="AH6577" s="4">
        <v>7</v>
      </c>
      <c r="AI6577" s="4">
        <v>9</v>
      </c>
      <c r="AJ6577" s="4">
        <v>1</v>
      </c>
      <c r="AK6577" s="4">
        <v>5</v>
      </c>
      <c r="AL6577" s="4">
        <v>8</v>
      </c>
      <c r="AM6577" s="4">
        <v>8</v>
      </c>
      <c r="AN6577" s="4">
        <v>0</v>
      </c>
      <c r="AO6577" s="4">
        <v>0</v>
      </c>
      <c r="AP6577" s="4">
        <v>2</v>
      </c>
      <c r="AQ6577" s="4">
        <v>5</v>
      </c>
      <c r="AR6577" s="3" t="s">
        <v>62</v>
      </c>
      <c r="AS6577" s="3" t="s">
        <v>62</v>
      </c>
      <c r="AT6577" s="3" t="s">
        <v>62</v>
      </c>
      <c r="AV6577" s="6" t="str">
        <f>HYPERLINK("http://mcgill.on.worldcat.org/oclc/58467673","Catalog Record")</f>
        <v>Catalog Record</v>
      </c>
      <c r="AW6577" s="6" t="str">
        <f>HYPERLINK("http://www.worldcat.org/oclc/58467673","WorldCat Record")</f>
        <v>WorldCat Record</v>
      </c>
      <c r="AX6577" s="3" t="s">
        <v>63355</v>
      </c>
      <c r="AY6577" s="3" t="s">
        <v>63356</v>
      </c>
      <c r="AZ6577" s="3" t="s">
        <v>63357</v>
      </c>
      <c r="BA6577" s="3" t="s">
        <v>63357</v>
      </c>
      <c r="BB6577" s="3" t="s">
        <v>63358</v>
      </c>
      <c r="BC6577" s="3" t="s">
        <v>142</v>
      </c>
      <c r="BD6577" s="3" t="s">
        <v>68</v>
      </c>
      <c r="BE6577" s="3" t="s">
        <v>63359</v>
      </c>
      <c r="BF6577" s="3" t="s">
        <v>63358</v>
      </c>
      <c r="BG6577" s="3" t="s">
        <v>63360</v>
      </c>
    </row>
    <row r="6578" spans="1:59" ht="57" x14ac:dyDescent="0.45">
      <c r="A6578" s="2" t="s">
        <v>59</v>
      </c>
      <c r="B6578" s="2" t="s">
        <v>60</v>
      </c>
      <c r="C6578" s="2" t="s">
        <v>63361</v>
      </c>
      <c r="D6578" s="2" t="s">
        <v>63362</v>
      </c>
      <c r="E6578" s="2" t="s">
        <v>63363</v>
      </c>
      <c r="G6578" s="3" t="s">
        <v>62</v>
      </c>
      <c r="I6578" s="3" t="s">
        <v>62</v>
      </c>
      <c r="J6578" s="3" t="s">
        <v>62</v>
      </c>
      <c r="K6578" s="3" t="s">
        <v>63</v>
      </c>
      <c r="L6578" s="2" t="s">
        <v>63364</v>
      </c>
      <c r="M6578" s="2" t="s">
        <v>7378</v>
      </c>
      <c r="N6578" s="3" t="s">
        <v>542</v>
      </c>
      <c r="P6578" s="3" t="s">
        <v>65</v>
      </c>
      <c r="R6578" s="3" t="s">
        <v>66</v>
      </c>
      <c r="S6578" s="4">
        <v>4</v>
      </c>
      <c r="T6578" s="4">
        <v>4</v>
      </c>
      <c r="U6578" s="5" t="s">
        <v>19223</v>
      </c>
      <c r="V6578" s="5" t="s">
        <v>19223</v>
      </c>
      <c r="W6578" s="5" t="s">
        <v>67</v>
      </c>
      <c r="X6578" s="5" t="s">
        <v>67</v>
      </c>
      <c r="Y6578" s="4">
        <v>260</v>
      </c>
      <c r="Z6578" s="4">
        <v>15</v>
      </c>
      <c r="AA6578" s="4">
        <v>18</v>
      </c>
      <c r="AB6578" s="4">
        <v>2</v>
      </c>
      <c r="AC6578" s="4">
        <v>4</v>
      </c>
      <c r="AD6578" s="4">
        <v>96</v>
      </c>
      <c r="AE6578" s="4">
        <v>98</v>
      </c>
      <c r="AF6578" s="4">
        <v>1</v>
      </c>
      <c r="AG6578" s="4">
        <v>3</v>
      </c>
      <c r="AH6578" s="4">
        <v>87</v>
      </c>
      <c r="AI6578" s="4">
        <v>87</v>
      </c>
      <c r="AJ6578" s="4">
        <v>11</v>
      </c>
      <c r="AK6578" s="4">
        <v>13</v>
      </c>
      <c r="AL6578" s="4">
        <v>54</v>
      </c>
      <c r="AM6578" s="4">
        <v>54</v>
      </c>
      <c r="AN6578" s="4">
        <v>0</v>
      </c>
      <c r="AO6578" s="4">
        <v>0</v>
      </c>
      <c r="AP6578" s="4">
        <v>13</v>
      </c>
      <c r="AQ6578" s="4">
        <v>14</v>
      </c>
      <c r="AR6578" s="3" t="s">
        <v>62</v>
      </c>
      <c r="AS6578" s="3" t="s">
        <v>62</v>
      </c>
      <c r="AT6578" s="3" t="s">
        <v>62</v>
      </c>
      <c r="AV6578" s="6" t="str">
        <f>HYPERLINK("http://mcgill.on.worldcat.org/oclc/43884486","Catalog Record")</f>
        <v>Catalog Record</v>
      </c>
      <c r="AW6578" s="6" t="str">
        <f>HYPERLINK("http://www.worldcat.org/oclc/43884486","WorldCat Record")</f>
        <v>WorldCat Record</v>
      </c>
      <c r="AX6578" s="3" t="s">
        <v>63365</v>
      </c>
      <c r="AY6578" s="3" t="s">
        <v>63366</v>
      </c>
      <c r="AZ6578" s="3" t="s">
        <v>63367</v>
      </c>
      <c r="BA6578" s="3" t="s">
        <v>63367</v>
      </c>
      <c r="BB6578" s="3" t="s">
        <v>63368</v>
      </c>
      <c r="BC6578" s="3" t="s">
        <v>142</v>
      </c>
      <c r="BD6578" s="3" t="s">
        <v>68</v>
      </c>
      <c r="BE6578" s="3" t="s">
        <v>63369</v>
      </c>
      <c r="BF6578" s="3" t="s">
        <v>63368</v>
      </c>
      <c r="BG6578" s="3" t="s">
        <v>63370</v>
      </c>
    </row>
    <row r="6579" spans="1:59" ht="57" x14ac:dyDescent="0.45">
      <c r="A6579" s="2" t="s">
        <v>59</v>
      </c>
      <c r="B6579" s="2" t="s">
        <v>60</v>
      </c>
      <c r="C6579" s="2" t="s">
        <v>63371</v>
      </c>
      <c r="D6579" s="2" t="s">
        <v>63372</v>
      </c>
      <c r="E6579" s="2" t="s">
        <v>63373</v>
      </c>
      <c r="G6579" s="3" t="s">
        <v>62</v>
      </c>
      <c r="I6579" s="3" t="s">
        <v>62</v>
      </c>
      <c r="J6579" s="3" t="s">
        <v>62</v>
      </c>
      <c r="K6579" s="3" t="s">
        <v>63</v>
      </c>
      <c r="L6579" s="2" t="s">
        <v>63374</v>
      </c>
      <c r="M6579" s="2" t="s">
        <v>63375</v>
      </c>
      <c r="N6579" s="3" t="s">
        <v>1918</v>
      </c>
      <c r="P6579" s="3" t="s">
        <v>65</v>
      </c>
      <c r="R6579" s="3" t="s">
        <v>66</v>
      </c>
      <c r="S6579" s="4">
        <v>3</v>
      </c>
      <c r="T6579" s="4">
        <v>3</v>
      </c>
      <c r="U6579" s="5" t="s">
        <v>29149</v>
      </c>
      <c r="V6579" s="5" t="s">
        <v>29149</v>
      </c>
      <c r="W6579" s="5" t="s">
        <v>67</v>
      </c>
      <c r="X6579" s="5" t="s">
        <v>67</v>
      </c>
      <c r="Y6579" s="4">
        <v>5</v>
      </c>
      <c r="Z6579" s="4">
        <v>1</v>
      </c>
      <c r="AA6579" s="4">
        <v>1</v>
      </c>
      <c r="AB6579" s="4">
        <v>1</v>
      </c>
      <c r="AC6579" s="4">
        <v>1</v>
      </c>
      <c r="AD6579" s="4">
        <v>1</v>
      </c>
      <c r="AE6579" s="4">
        <v>1</v>
      </c>
      <c r="AF6579" s="4">
        <v>0</v>
      </c>
      <c r="AG6579" s="4">
        <v>0</v>
      </c>
      <c r="AH6579" s="4">
        <v>1</v>
      </c>
      <c r="AI6579" s="4">
        <v>1</v>
      </c>
      <c r="AJ6579" s="4">
        <v>0</v>
      </c>
      <c r="AK6579" s="4">
        <v>0</v>
      </c>
      <c r="AL6579" s="4">
        <v>1</v>
      </c>
      <c r="AM6579" s="4">
        <v>1</v>
      </c>
      <c r="AN6579" s="4">
        <v>0</v>
      </c>
      <c r="AO6579" s="4">
        <v>0</v>
      </c>
      <c r="AP6579" s="4">
        <v>0</v>
      </c>
      <c r="AQ6579" s="4">
        <v>0</v>
      </c>
      <c r="AR6579" s="3" t="s">
        <v>62</v>
      </c>
      <c r="AS6579" s="3" t="s">
        <v>62</v>
      </c>
      <c r="AT6579" s="3" t="s">
        <v>62</v>
      </c>
      <c r="AV6579" s="6" t="str">
        <f>HYPERLINK("http://mcgill.on.worldcat.org/oclc/959033282","Catalog Record")</f>
        <v>Catalog Record</v>
      </c>
      <c r="AW6579" s="6" t="str">
        <f>HYPERLINK("http://www.worldcat.org/oclc/959033282","WorldCat Record")</f>
        <v>WorldCat Record</v>
      </c>
      <c r="AX6579" s="3" t="s">
        <v>63376</v>
      </c>
      <c r="AY6579" s="3" t="s">
        <v>63377</v>
      </c>
      <c r="AZ6579" s="3" t="s">
        <v>63378</v>
      </c>
      <c r="BA6579" s="3" t="s">
        <v>63378</v>
      </c>
      <c r="BB6579" s="3" t="s">
        <v>63379</v>
      </c>
      <c r="BC6579" s="3" t="s">
        <v>142</v>
      </c>
      <c r="BD6579" s="3" t="s">
        <v>68</v>
      </c>
      <c r="BE6579" s="3" t="s">
        <v>63380</v>
      </c>
      <c r="BF6579" s="3" t="s">
        <v>63379</v>
      </c>
      <c r="BG6579" s="3" t="s">
        <v>63381</v>
      </c>
    </row>
    <row r="6580" spans="1:59" ht="57" x14ac:dyDescent="0.45">
      <c r="A6580" s="2" t="s">
        <v>59</v>
      </c>
      <c r="B6580" s="2" t="s">
        <v>60</v>
      </c>
      <c r="C6580" s="2" t="s">
        <v>63382</v>
      </c>
      <c r="D6580" s="2" t="s">
        <v>63383</v>
      </c>
      <c r="E6580" s="2" t="s">
        <v>63384</v>
      </c>
      <c r="G6580" s="3" t="s">
        <v>62</v>
      </c>
      <c r="I6580" s="3" t="s">
        <v>62</v>
      </c>
      <c r="J6580" s="3" t="s">
        <v>62</v>
      </c>
      <c r="K6580" s="3" t="s">
        <v>63</v>
      </c>
      <c r="L6580" s="2" t="s">
        <v>63385</v>
      </c>
      <c r="M6580" s="2" t="s">
        <v>63386</v>
      </c>
      <c r="N6580" s="3" t="s">
        <v>181</v>
      </c>
      <c r="P6580" s="3" t="s">
        <v>110</v>
      </c>
      <c r="R6580" s="3" t="s">
        <v>66</v>
      </c>
      <c r="S6580" s="4">
        <v>0</v>
      </c>
      <c r="T6580" s="4">
        <v>0</v>
      </c>
      <c r="W6580" s="5" t="s">
        <v>67</v>
      </c>
      <c r="X6580" s="5" t="s">
        <v>67</v>
      </c>
      <c r="Y6580" s="4">
        <v>32</v>
      </c>
      <c r="Z6580" s="4">
        <v>1</v>
      </c>
      <c r="AA6580" s="4">
        <v>1</v>
      </c>
      <c r="AB6580" s="4">
        <v>1</v>
      </c>
      <c r="AC6580" s="4">
        <v>1</v>
      </c>
      <c r="AD6580" s="4">
        <v>16</v>
      </c>
      <c r="AE6580" s="4">
        <v>16</v>
      </c>
      <c r="AF6580" s="4">
        <v>0</v>
      </c>
      <c r="AG6580" s="4">
        <v>0</v>
      </c>
      <c r="AH6580" s="4">
        <v>15</v>
      </c>
      <c r="AI6580" s="4">
        <v>15</v>
      </c>
      <c r="AJ6580" s="4">
        <v>0</v>
      </c>
      <c r="AK6580" s="4">
        <v>0</v>
      </c>
      <c r="AL6580" s="4">
        <v>11</v>
      </c>
      <c r="AM6580" s="4">
        <v>11</v>
      </c>
      <c r="AN6580" s="4">
        <v>0</v>
      </c>
      <c r="AO6580" s="4">
        <v>0</v>
      </c>
      <c r="AP6580" s="4">
        <v>0</v>
      </c>
      <c r="AQ6580" s="4">
        <v>0</v>
      </c>
      <c r="AR6580" s="3" t="s">
        <v>62</v>
      </c>
      <c r="AS6580" s="3" t="s">
        <v>62</v>
      </c>
      <c r="AT6580" s="3" t="s">
        <v>62</v>
      </c>
      <c r="AV6580" s="6" t="str">
        <f>HYPERLINK("http://mcgill.on.worldcat.org/oclc/971341279","Catalog Record")</f>
        <v>Catalog Record</v>
      </c>
      <c r="AW6580" s="6" t="str">
        <f>HYPERLINK("http://www.worldcat.org/oclc/971341279","WorldCat Record")</f>
        <v>WorldCat Record</v>
      </c>
      <c r="AX6580" s="3" t="s">
        <v>63387</v>
      </c>
      <c r="AY6580" s="3" t="s">
        <v>63388</v>
      </c>
      <c r="AZ6580" s="3" t="s">
        <v>63389</v>
      </c>
      <c r="BA6580" s="3" t="s">
        <v>63389</v>
      </c>
      <c r="BB6580" s="3" t="s">
        <v>63390</v>
      </c>
      <c r="BC6580" s="3" t="s">
        <v>142</v>
      </c>
      <c r="BD6580" s="3" t="s">
        <v>68</v>
      </c>
      <c r="BE6580" s="3" t="s">
        <v>63391</v>
      </c>
      <c r="BF6580" s="3" t="s">
        <v>63390</v>
      </c>
      <c r="BG6580" s="3" t="s">
        <v>63392</v>
      </c>
    </row>
    <row r="6581" spans="1:59" ht="57" x14ac:dyDescent="0.45">
      <c r="A6581" s="2" t="s">
        <v>59</v>
      </c>
      <c r="B6581" s="2" t="s">
        <v>60</v>
      </c>
      <c r="C6581" s="2" t="s">
        <v>63393</v>
      </c>
      <c r="D6581" s="2" t="s">
        <v>63394</v>
      </c>
      <c r="E6581" s="2" t="s">
        <v>63395</v>
      </c>
      <c r="G6581" s="3" t="s">
        <v>62</v>
      </c>
      <c r="I6581" s="3" t="s">
        <v>62</v>
      </c>
      <c r="J6581" s="3" t="s">
        <v>62</v>
      </c>
      <c r="K6581" s="3" t="s">
        <v>63</v>
      </c>
      <c r="L6581" s="2" t="s">
        <v>63396</v>
      </c>
      <c r="M6581" s="2" t="s">
        <v>51599</v>
      </c>
      <c r="N6581" s="3" t="s">
        <v>894</v>
      </c>
      <c r="P6581" s="3" t="s">
        <v>65</v>
      </c>
      <c r="R6581" s="3" t="s">
        <v>66</v>
      </c>
      <c r="S6581" s="4">
        <v>2</v>
      </c>
      <c r="T6581" s="4">
        <v>2</v>
      </c>
      <c r="U6581" s="5" t="s">
        <v>2059</v>
      </c>
      <c r="V6581" s="5" t="s">
        <v>2059</v>
      </c>
      <c r="W6581" s="5" t="s">
        <v>67</v>
      </c>
      <c r="X6581" s="5" t="s">
        <v>67</v>
      </c>
      <c r="Y6581" s="4">
        <v>99</v>
      </c>
      <c r="Z6581" s="4">
        <v>8</v>
      </c>
      <c r="AA6581" s="4">
        <v>91</v>
      </c>
      <c r="AB6581" s="4">
        <v>1</v>
      </c>
      <c r="AC6581" s="4">
        <v>17</v>
      </c>
      <c r="AD6581" s="4">
        <v>50</v>
      </c>
      <c r="AE6581" s="4">
        <v>123</v>
      </c>
      <c r="AF6581" s="4">
        <v>0</v>
      </c>
      <c r="AG6581" s="4">
        <v>8</v>
      </c>
      <c r="AH6581" s="4">
        <v>46</v>
      </c>
      <c r="AI6581" s="4">
        <v>87</v>
      </c>
      <c r="AJ6581" s="4">
        <v>6</v>
      </c>
      <c r="AK6581" s="4">
        <v>23</v>
      </c>
      <c r="AL6581" s="4">
        <v>36</v>
      </c>
      <c r="AM6581" s="4">
        <v>47</v>
      </c>
      <c r="AN6581" s="4">
        <v>0</v>
      </c>
      <c r="AO6581" s="4">
        <v>0</v>
      </c>
      <c r="AP6581" s="4">
        <v>6</v>
      </c>
      <c r="AQ6581" s="4">
        <v>44</v>
      </c>
      <c r="AR6581" s="3" t="s">
        <v>62</v>
      </c>
      <c r="AS6581" s="3" t="s">
        <v>62</v>
      </c>
      <c r="AT6581" s="3" t="s">
        <v>62</v>
      </c>
      <c r="AV6581" s="6" t="str">
        <f>HYPERLINK("http://mcgill.on.worldcat.org/oclc/639940836","Catalog Record")</f>
        <v>Catalog Record</v>
      </c>
      <c r="AW6581" s="6" t="str">
        <f>HYPERLINK("http://www.worldcat.org/oclc/639940836","WorldCat Record")</f>
        <v>WorldCat Record</v>
      </c>
      <c r="AX6581" s="3" t="s">
        <v>63397</v>
      </c>
      <c r="AY6581" s="3" t="s">
        <v>63398</v>
      </c>
      <c r="AZ6581" s="3" t="s">
        <v>63399</v>
      </c>
      <c r="BA6581" s="3" t="s">
        <v>63399</v>
      </c>
      <c r="BB6581" s="3" t="s">
        <v>63400</v>
      </c>
      <c r="BC6581" s="3" t="s">
        <v>142</v>
      </c>
      <c r="BD6581" s="3" t="s">
        <v>68</v>
      </c>
      <c r="BE6581" s="3" t="s">
        <v>63401</v>
      </c>
      <c r="BF6581" s="3" t="s">
        <v>63400</v>
      </c>
      <c r="BG6581" s="3" t="s">
        <v>63402</v>
      </c>
    </row>
    <row r="6582" spans="1:59" ht="57" x14ac:dyDescent="0.45">
      <c r="A6582" s="2" t="s">
        <v>59</v>
      </c>
      <c r="B6582" s="2" t="s">
        <v>60</v>
      </c>
      <c r="C6582" s="2" t="s">
        <v>63403</v>
      </c>
      <c r="D6582" s="2" t="s">
        <v>63404</v>
      </c>
      <c r="E6582" s="2" t="s">
        <v>63405</v>
      </c>
      <c r="G6582" s="3" t="s">
        <v>62</v>
      </c>
      <c r="I6582" s="3" t="s">
        <v>62</v>
      </c>
      <c r="J6582" s="3" t="s">
        <v>62</v>
      </c>
      <c r="K6582" s="3" t="s">
        <v>63</v>
      </c>
      <c r="M6582" s="2" t="s">
        <v>9700</v>
      </c>
      <c r="N6582" s="3" t="s">
        <v>945</v>
      </c>
      <c r="P6582" s="3" t="s">
        <v>65</v>
      </c>
      <c r="Q6582" s="2" t="s">
        <v>63406</v>
      </c>
      <c r="R6582" s="3" t="s">
        <v>66</v>
      </c>
      <c r="S6582" s="4">
        <v>2</v>
      </c>
      <c r="T6582" s="4">
        <v>2</v>
      </c>
      <c r="U6582" s="5" t="s">
        <v>3998</v>
      </c>
      <c r="V6582" s="5" t="s">
        <v>3998</v>
      </c>
      <c r="W6582" s="5" t="s">
        <v>67</v>
      </c>
      <c r="X6582" s="5" t="s">
        <v>67</v>
      </c>
      <c r="Y6582" s="4">
        <v>181</v>
      </c>
      <c r="Z6582" s="4">
        <v>14</v>
      </c>
      <c r="AA6582" s="4">
        <v>98</v>
      </c>
      <c r="AB6582" s="4">
        <v>1</v>
      </c>
      <c r="AC6582" s="4">
        <v>18</v>
      </c>
      <c r="AD6582" s="4">
        <v>77</v>
      </c>
      <c r="AE6582" s="4">
        <v>137</v>
      </c>
      <c r="AF6582" s="4">
        <v>0</v>
      </c>
      <c r="AG6582" s="4">
        <v>9</v>
      </c>
      <c r="AH6582" s="4">
        <v>73</v>
      </c>
      <c r="AI6582" s="4">
        <v>91</v>
      </c>
      <c r="AJ6582" s="4">
        <v>11</v>
      </c>
      <c r="AK6582" s="4">
        <v>28</v>
      </c>
      <c r="AL6582" s="4">
        <v>44</v>
      </c>
      <c r="AM6582" s="4">
        <v>49</v>
      </c>
      <c r="AN6582" s="4">
        <v>0</v>
      </c>
      <c r="AO6582" s="4">
        <v>0</v>
      </c>
      <c r="AP6582" s="4">
        <v>12</v>
      </c>
      <c r="AQ6582" s="4">
        <v>57</v>
      </c>
      <c r="AR6582" s="3" t="s">
        <v>62</v>
      </c>
      <c r="AS6582" s="3" t="s">
        <v>62</v>
      </c>
      <c r="AT6582" s="3" t="s">
        <v>62</v>
      </c>
      <c r="AV6582" s="6" t="str">
        <f>HYPERLINK("http://mcgill.on.worldcat.org/oclc/75087971","Catalog Record")</f>
        <v>Catalog Record</v>
      </c>
      <c r="AW6582" s="6" t="str">
        <f>HYPERLINK("http://www.worldcat.org/oclc/75087971","WorldCat Record")</f>
        <v>WorldCat Record</v>
      </c>
      <c r="AX6582" s="3" t="s">
        <v>63407</v>
      </c>
      <c r="AY6582" s="3" t="s">
        <v>63408</v>
      </c>
      <c r="AZ6582" s="3" t="s">
        <v>63409</v>
      </c>
      <c r="BA6582" s="3" t="s">
        <v>63409</v>
      </c>
      <c r="BB6582" s="3" t="s">
        <v>63410</v>
      </c>
      <c r="BC6582" s="3" t="s">
        <v>142</v>
      </c>
      <c r="BD6582" s="3" t="s">
        <v>68</v>
      </c>
      <c r="BE6582" s="3" t="s">
        <v>63411</v>
      </c>
      <c r="BF6582" s="3" t="s">
        <v>63410</v>
      </c>
      <c r="BG6582" s="3" t="s">
        <v>63412</v>
      </c>
    </row>
    <row r="6583" spans="1:59" ht="57" x14ac:dyDescent="0.45">
      <c r="A6583" s="2" t="s">
        <v>59</v>
      </c>
      <c r="B6583" s="2" t="s">
        <v>60</v>
      </c>
      <c r="C6583" s="2" t="s">
        <v>63413</v>
      </c>
      <c r="D6583" s="2" t="s">
        <v>63414</v>
      </c>
      <c r="E6583" s="2" t="s">
        <v>63415</v>
      </c>
      <c r="G6583" s="3" t="s">
        <v>62</v>
      </c>
      <c r="I6583" s="3" t="s">
        <v>62</v>
      </c>
      <c r="J6583" s="3" t="s">
        <v>62</v>
      </c>
      <c r="K6583" s="3" t="s">
        <v>63</v>
      </c>
      <c r="L6583" s="2" t="s">
        <v>30185</v>
      </c>
      <c r="M6583" s="2" t="s">
        <v>30029</v>
      </c>
      <c r="N6583" s="3" t="s">
        <v>195</v>
      </c>
      <c r="P6583" s="3" t="s">
        <v>65</v>
      </c>
      <c r="R6583" s="3" t="s">
        <v>66</v>
      </c>
      <c r="S6583" s="4">
        <v>13</v>
      </c>
      <c r="T6583" s="4">
        <v>13</v>
      </c>
      <c r="U6583" s="5" t="s">
        <v>28287</v>
      </c>
      <c r="V6583" s="5" t="s">
        <v>28287</v>
      </c>
      <c r="W6583" s="5" t="s">
        <v>67</v>
      </c>
      <c r="X6583" s="5" t="s">
        <v>67</v>
      </c>
      <c r="Y6583" s="4">
        <v>298</v>
      </c>
      <c r="Z6583" s="4">
        <v>23</v>
      </c>
      <c r="AA6583" s="4">
        <v>26</v>
      </c>
      <c r="AB6583" s="4">
        <v>1</v>
      </c>
      <c r="AC6583" s="4">
        <v>2</v>
      </c>
      <c r="AD6583" s="4">
        <v>101</v>
      </c>
      <c r="AE6583" s="4">
        <v>108</v>
      </c>
      <c r="AF6583" s="4">
        <v>0</v>
      </c>
      <c r="AG6583" s="4">
        <v>1</v>
      </c>
      <c r="AH6583" s="4">
        <v>88</v>
      </c>
      <c r="AI6583" s="4">
        <v>93</v>
      </c>
      <c r="AJ6583" s="4">
        <v>15</v>
      </c>
      <c r="AK6583" s="4">
        <v>18</v>
      </c>
      <c r="AL6583" s="4">
        <v>50</v>
      </c>
      <c r="AM6583" s="4">
        <v>53</v>
      </c>
      <c r="AN6583" s="4">
        <v>0</v>
      </c>
      <c r="AO6583" s="4">
        <v>0</v>
      </c>
      <c r="AP6583" s="4">
        <v>20</v>
      </c>
      <c r="AQ6583" s="4">
        <v>23</v>
      </c>
      <c r="AR6583" s="3" t="s">
        <v>62</v>
      </c>
      <c r="AS6583" s="3" t="s">
        <v>62</v>
      </c>
      <c r="AT6583" s="3" t="s">
        <v>62</v>
      </c>
      <c r="AV6583" s="6" t="str">
        <f>HYPERLINK("http://mcgill.on.worldcat.org/oclc/26541858","Catalog Record")</f>
        <v>Catalog Record</v>
      </c>
      <c r="AW6583" s="6" t="str">
        <f>HYPERLINK("http://www.worldcat.org/oclc/26541858","WorldCat Record")</f>
        <v>WorldCat Record</v>
      </c>
      <c r="AX6583" s="3" t="s">
        <v>63416</v>
      </c>
      <c r="AY6583" s="3" t="s">
        <v>63417</v>
      </c>
      <c r="AZ6583" s="3" t="s">
        <v>63418</v>
      </c>
      <c r="BA6583" s="3" t="s">
        <v>63418</v>
      </c>
      <c r="BB6583" s="3" t="s">
        <v>63419</v>
      </c>
      <c r="BC6583" s="3" t="s">
        <v>142</v>
      </c>
      <c r="BD6583" s="3" t="s">
        <v>68</v>
      </c>
      <c r="BE6583" s="3" t="s">
        <v>63420</v>
      </c>
      <c r="BF6583" s="3" t="s">
        <v>63419</v>
      </c>
      <c r="BG6583" s="3" t="s">
        <v>63421</v>
      </c>
    </row>
    <row r="6584" spans="1:59" ht="57" x14ac:dyDescent="0.45">
      <c r="A6584" s="2" t="s">
        <v>59</v>
      </c>
      <c r="B6584" s="2" t="s">
        <v>60</v>
      </c>
      <c r="C6584" s="2" t="s">
        <v>63422</v>
      </c>
      <c r="D6584" s="2" t="s">
        <v>63423</v>
      </c>
      <c r="E6584" s="2" t="s">
        <v>63424</v>
      </c>
      <c r="G6584" s="3" t="s">
        <v>62</v>
      </c>
      <c r="I6584" s="3" t="s">
        <v>62</v>
      </c>
      <c r="J6584" s="3" t="s">
        <v>62</v>
      </c>
      <c r="K6584" s="3" t="s">
        <v>63</v>
      </c>
      <c r="L6584" s="2" t="s">
        <v>63425</v>
      </c>
      <c r="M6584" s="2" t="s">
        <v>63426</v>
      </c>
      <c r="N6584" s="3" t="s">
        <v>894</v>
      </c>
      <c r="P6584" s="3" t="s">
        <v>65</v>
      </c>
      <c r="Q6584" s="2" t="s">
        <v>63427</v>
      </c>
      <c r="R6584" s="3" t="s">
        <v>66</v>
      </c>
      <c r="S6584" s="4">
        <v>0</v>
      </c>
      <c r="T6584" s="4">
        <v>0</v>
      </c>
      <c r="W6584" s="5" t="s">
        <v>67</v>
      </c>
      <c r="X6584" s="5" t="s">
        <v>67</v>
      </c>
      <c r="Y6584" s="4">
        <v>43</v>
      </c>
      <c r="Z6584" s="4">
        <v>8</v>
      </c>
      <c r="AA6584" s="4">
        <v>77</v>
      </c>
      <c r="AB6584" s="4">
        <v>1</v>
      </c>
      <c r="AC6584" s="4">
        <v>14</v>
      </c>
      <c r="AD6584" s="4">
        <v>27</v>
      </c>
      <c r="AE6584" s="4">
        <v>102</v>
      </c>
      <c r="AF6584" s="4">
        <v>0</v>
      </c>
      <c r="AG6584" s="4">
        <v>8</v>
      </c>
      <c r="AH6584" s="4">
        <v>25</v>
      </c>
      <c r="AI6584" s="4">
        <v>69</v>
      </c>
      <c r="AJ6584" s="4">
        <v>6</v>
      </c>
      <c r="AK6584" s="4">
        <v>20</v>
      </c>
      <c r="AL6584" s="4">
        <v>18</v>
      </c>
      <c r="AM6584" s="4">
        <v>38</v>
      </c>
      <c r="AN6584" s="4">
        <v>0</v>
      </c>
      <c r="AO6584" s="4">
        <v>0</v>
      </c>
      <c r="AP6584" s="4">
        <v>6</v>
      </c>
      <c r="AQ6584" s="4">
        <v>40</v>
      </c>
      <c r="AR6584" s="3" t="s">
        <v>62</v>
      </c>
      <c r="AS6584" s="3" t="s">
        <v>62</v>
      </c>
      <c r="AT6584" s="3" t="s">
        <v>62</v>
      </c>
      <c r="AV6584" s="6" t="str">
        <f>HYPERLINK("http://mcgill.on.worldcat.org/oclc/740635120","Catalog Record")</f>
        <v>Catalog Record</v>
      </c>
      <c r="AW6584" s="6" t="str">
        <f>HYPERLINK("http://www.worldcat.org/oclc/740635120","WorldCat Record")</f>
        <v>WorldCat Record</v>
      </c>
      <c r="AX6584" s="3" t="s">
        <v>63428</v>
      </c>
      <c r="AY6584" s="3" t="s">
        <v>63429</v>
      </c>
      <c r="AZ6584" s="3" t="s">
        <v>63430</v>
      </c>
      <c r="BA6584" s="3" t="s">
        <v>63430</v>
      </c>
      <c r="BB6584" s="3" t="s">
        <v>63431</v>
      </c>
      <c r="BC6584" s="3" t="s">
        <v>142</v>
      </c>
      <c r="BD6584" s="3" t="s">
        <v>68</v>
      </c>
      <c r="BE6584" s="3" t="s">
        <v>63432</v>
      </c>
      <c r="BF6584" s="3" t="s">
        <v>63431</v>
      </c>
      <c r="BG6584" s="3" t="s">
        <v>63433</v>
      </c>
    </row>
    <row r="6585" spans="1:59" ht="57" x14ac:dyDescent="0.45">
      <c r="A6585" s="2" t="s">
        <v>59</v>
      </c>
      <c r="B6585" s="2" t="s">
        <v>60</v>
      </c>
      <c r="C6585" s="2" t="s">
        <v>63434</v>
      </c>
      <c r="D6585" s="2" t="s">
        <v>63435</v>
      </c>
      <c r="E6585" s="2" t="s">
        <v>63436</v>
      </c>
      <c r="G6585" s="3" t="s">
        <v>62</v>
      </c>
      <c r="I6585" s="3" t="s">
        <v>62</v>
      </c>
      <c r="J6585" s="3" t="s">
        <v>62</v>
      </c>
      <c r="K6585" s="3" t="s">
        <v>63</v>
      </c>
      <c r="L6585" s="2" t="s">
        <v>63437</v>
      </c>
      <c r="M6585" s="2" t="s">
        <v>1189</v>
      </c>
      <c r="N6585" s="3" t="s">
        <v>149</v>
      </c>
      <c r="P6585" s="3" t="s">
        <v>65</v>
      </c>
      <c r="Q6585" s="2" t="s">
        <v>63438</v>
      </c>
      <c r="R6585" s="3" t="s">
        <v>66</v>
      </c>
      <c r="S6585" s="4">
        <v>0</v>
      </c>
      <c r="T6585" s="4">
        <v>0</v>
      </c>
      <c r="W6585" s="5" t="s">
        <v>67</v>
      </c>
      <c r="X6585" s="5" t="s">
        <v>67</v>
      </c>
      <c r="Y6585" s="4">
        <v>123</v>
      </c>
      <c r="Z6585" s="4">
        <v>12</v>
      </c>
      <c r="AA6585" s="4">
        <v>60</v>
      </c>
      <c r="AB6585" s="4">
        <v>2</v>
      </c>
      <c r="AC6585" s="4">
        <v>17</v>
      </c>
      <c r="AD6585" s="4">
        <v>53</v>
      </c>
      <c r="AE6585" s="4">
        <v>95</v>
      </c>
      <c r="AF6585" s="4">
        <v>0</v>
      </c>
      <c r="AG6585" s="4">
        <v>7</v>
      </c>
      <c r="AH6585" s="4">
        <v>49</v>
      </c>
      <c r="AI6585" s="4">
        <v>59</v>
      </c>
      <c r="AJ6585" s="4">
        <v>9</v>
      </c>
      <c r="AK6585" s="4">
        <v>25</v>
      </c>
      <c r="AL6585" s="4">
        <v>35</v>
      </c>
      <c r="AM6585" s="4">
        <v>36</v>
      </c>
      <c r="AN6585" s="4">
        <v>0</v>
      </c>
      <c r="AO6585" s="4">
        <v>0</v>
      </c>
      <c r="AP6585" s="4">
        <v>9</v>
      </c>
      <c r="AQ6585" s="4">
        <v>46</v>
      </c>
      <c r="AR6585" s="3" t="s">
        <v>62</v>
      </c>
      <c r="AS6585" s="3" t="s">
        <v>62</v>
      </c>
      <c r="AT6585" s="3" t="s">
        <v>62</v>
      </c>
      <c r="AV6585" s="6" t="str">
        <f>HYPERLINK("http://mcgill.on.worldcat.org/oclc/299714659","Catalog Record")</f>
        <v>Catalog Record</v>
      </c>
      <c r="AW6585" s="6" t="str">
        <f>HYPERLINK("http://www.worldcat.org/oclc/299714659","WorldCat Record")</f>
        <v>WorldCat Record</v>
      </c>
      <c r="AX6585" s="3" t="s">
        <v>63439</v>
      </c>
      <c r="AY6585" s="3" t="s">
        <v>63440</v>
      </c>
      <c r="AZ6585" s="3" t="s">
        <v>63441</v>
      </c>
      <c r="BA6585" s="3" t="s">
        <v>63441</v>
      </c>
      <c r="BB6585" s="3" t="s">
        <v>63442</v>
      </c>
      <c r="BC6585" s="3" t="s">
        <v>142</v>
      </c>
      <c r="BD6585" s="3" t="s">
        <v>68</v>
      </c>
      <c r="BE6585" s="3" t="s">
        <v>63443</v>
      </c>
      <c r="BF6585" s="3" t="s">
        <v>63442</v>
      </c>
      <c r="BG6585" s="3" t="s">
        <v>63444</v>
      </c>
    </row>
    <row r="6586" spans="1:59" ht="85.5" x14ac:dyDescent="0.45">
      <c r="A6586" s="2" t="s">
        <v>59</v>
      </c>
      <c r="B6586" s="2" t="s">
        <v>60</v>
      </c>
      <c r="C6586" s="2" t="s">
        <v>63445</v>
      </c>
      <c r="D6586" s="2" t="s">
        <v>63446</v>
      </c>
      <c r="E6586" s="2" t="s">
        <v>63447</v>
      </c>
      <c r="G6586" s="3" t="s">
        <v>62</v>
      </c>
      <c r="I6586" s="3" t="s">
        <v>62</v>
      </c>
      <c r="J6586" s="3" t="s">
        <v>62</v>
      </c>
      <c r="K6586" s="3" t="s">
        <v>63</v>
      </c>
      <c r="M6586" s="2" t="s">
        <v>63448</v>
      </c>
      <c r="N6586" s="3" t="s">
        <v>181</v>
      </c>
      <c r="P6586" s="3" t="s">
        <v>110</v>
      </c>
      <c r="Q6586" s="2" t="s">
        <v>63449</v>
      </c>
      <c r="R6586" s="3" t="s">
        <v>66</v>
      </c>
      <c r="S6586" s="4">
        <v>0</v>
      </c>
      <c r="T6586" s="4">
        <v>0</v>
      </c>
      <c r="W6586" s="5" t="s">
        <v>67</v>
      </c>
      <c r="X6586" s="5" t="s">
        <v>67</v>
      </c>
      <c r="Y6586" s="4">
        <v>2</v>
      </c>
      <c r="Z6586" s="4">
        <v>1</v>
      </c>
      <c r="AA6586" s="4">
        <v>1</v>
      </c>
      <c r="AB6586" s="4">
        <v>1</v>
      </c>
      <c r="AC6586" s="4">
        <v>1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3" t="s">
        <v>62</v>
      </c>
      <c r="AS6586" s="3" t="s">
        <v>62</v>
      </c>
      <c r="AT6586" s="3" t="s">
        <v>62</v>
      </c>
      <c r="AV6586" s="6" t="str">
        <f>HYPERLINK("http://mcgill.on.worldcat.org/oclc/972886205","Catalog Record")</f>
        <v>Catalog Record</v>
      </c>
      <c r="AW6586" s="6" t="str">
        <f>HYPERLINK("http://www.worldcat.org/oclc/972886205","WorldCat Record")</f>
        <v>WorldCat Record</v>
      </c>
      <c r="AX6586" s="3" t="s">
        <v>63450</v>
      </c>
      <c r="AY6586" s="3" t="s">
        <v>63451</v>
      </c>
      <c r="AZ6586" s="3" t="s">
        <v>63452</v>
      </c>
      <c r="BA6586" s="3" t="s">
        <v>63452</v>
      </c>
      <c r="BB6586" s="3" t="s">
        <v>63453</v>
      </c>
      <c r="BC6586" s="3" t="s">
        <v>142</v>
      </c>
      <c r="BD6586" s="3" t="s">
        <v>68</v>
      </c>
      <c r="BE6586" s="3" t="s">
        <v>63454</v>
      </c>
      <c r="BF6586" s="3" t="s">
        <v>63453</v>
      </c>
      <c r="BG6586" s="3" t="s">
        <v>63455</v>
      </c>
    </row>
    <row r="6587" spans="1:59" ht="71.25" x14ac:dyDescent="0.45">
      <c r="A6587" s="2" t="s">
        <v>59</v>
      </c>
      <c r="B6587" s="2" t="s">
        <v>60</v>
      </c>
      <c r="C6587" s="2" t="s">
        <v>63456</v>
      </c>
      <c r="D6587" s="2" t="s">
        <v>63457</v>
      </c>
      <c r="E6587" s="2" t="s">
        <v>63458</v>
      </c>
      <c r="G6587" s="3" t="s">
        <v>62</v>
      </c>
      <c r="I6587" s="3" t="s">
        <v>62</v>
      </c>
      <c r="J6587" s="3" t="s">
        <v>62</v>
      </c>
      <c r="K6587" s="3" t="s">
        <v>63</v>
      </c>
      <c r="L6587" s="2" t="s">
        <v>30274</v>
      </c>
      <c r="M6587" s="2" t="s">
        <v>63459</v>
      </c>
      <c r="N6587" s="3" t="s">
        <v>1478</v>
      </c>
      <c r="P6587" s="3" t="s">
        <v>65</v>
      </c>
      <c r="R6587" s="3" t="s">
        <v>66</v>
      </c>
      <c r="S6587" s="4">
        <v>24</v>
      </c>
      <c r="T6587" s="4">
        <v>24</v>
      </c>
      <c r="U6587" s="5" t="s">
        <v>62224</v>
      </c>
      <c r="V6587" s="5" t="s">
        <v>62224</v>
      </c>
      <c r="W6587" s="5" t="s">
        <v>67</v>
      </c>
      <c r="X6587" s="5" t="s">
        <v>67</v>
      </c>
      <c r="Y6587" s="4">
        <v>289</v>
      </c>
      <c r="Z6587" s="4">
        <v>19</v>
      </c>
      <c r="AA6587" s="4">
        <v>23</v>
      </c>
      <c r="AB6587" s="4">
        <v>1</v>
      </c>
      <c r="AC6587" s="4">
        <v>5</v>
      </c>
      <c r="AD6587" s="4">
        <v>99</v>
      </c>
      <c r="AE6587" s="4">
        <v>102</v>
      </c>
      <c r="AF6587" s="4">
        <v>0</v>
      </c>
      <c r="AG6587" s="4">
        <v>3</v>
      </c>
      <c r="AH6587" s="4">
        <v>89</v>
      </c>
      <c r="AI6587" s="4">
        <v>90</v>
      </c>
      <c r="AJ6587" s="4">
        <v>15</v>
      </c>
      <c r="AK6587" s="4">
        <v>18</v>
      </c>
      <c r="AL6587" s="4">
        <v>48</v>
      </c>
      <c r="AM6587" s="4">
        <v>48</v>
      </c>
      <c r="AN6587" s="4">
        <v>0</v>
      </c>
      <c r="AO6587" s="4">
        <v>0</v>
      </c>
      <c r="AP6587" s="4">
        <v>16</v>
      </c>
      <c r="AQ6587" s="4">
        <v>18</v>
      </c>
      <c r="AR6587" s="3" t="s">
        <v>62</v>
      </c>
      <c r="AS6587" s="3" t="s">
        <v>62</v>
      </c>
      <c r="AT6587" s="3" t="s">
        <v>62</v>
      </c>
      <c r="AV6587" s="6" t="str">
        <f>HYPERLINK("http://mcgill.on.worldcat.org/oclc/33012927","Catalog Record")</f>
        <v>Catalog Record</v>
      </c>
      <c r="AW6587" s="6" t="str">
        <f>HYPERLINK("http://www.worldcat.org/oclc/33012927","WorldCat Record")</f>
        <v>WorldCat Record</v>
      </c>
      <c r="AX6587" s="3" t="s">
        <v>63460</v>
      </c>
      <c r="AY6587" s="3" t="s">
        <v>63461</v>
      </c>
      <c r="AZ6587" s="3" t="s">
        <v>63462</v>
      </c>
      <c r="BA6587" s="3" t="s">
        <v>63462</v>
      </c>
      <c r="BB6587" s="3" t="s">
        <v>63463</v>
      </c>
      <c r="BC6587" s="3" t="s">
        <v>142</v>
      </c>
      <c r="BD6587" s="3" t="s">
        <v>68</v>
      </c>
      <c r="BE6587" s="3" t="s">
        <v>63464</v>
      </c>
      <c r="BF6587" s="3" t="s">
        <v>63463</v>
      </c>
      <c r="BG6587" s="3" t="s">
        <v>63465</v>
      </c>
    </row>
    <row r="6588" spans="1:59" ht="57" x14ac:dyDescent="0.45">
      <c r="A6588" s="2" t="s">
        <v>59</v>
      </c>
      <c r="B6588" s="2" t="s">
        <v>60</v>
      </c>
      <c r="C6588" s="2" t="s">
        <v>63466</v>
      </c>
      <c r="D6588" s="2" t="s">
        <v>63467</v>
      </c>
      <c r="E6588" s="2" t="s">
        <v>63468</v>
      </c>
      <c r="G6588" s="3" t="s">
        <v>62</v>
      </c>
      <c r="I6588" s="3" t="s">
        <v>62</v>
      </c>
      <c r="J6588" s="3" t="s">
        <v>61</v>
      </c>
      <c r="K6588" s="3" t="s">
        <v>63</v>
      </c>
      <c r="L6588" s="2" t="s">
        <v>41774</v>
      </c>
      <c r="M6588" s="2" t="s">
        <v>63469</v>
      </c>
      <c r="N6588" s="3" t="s">
        <v>568</v>
      </c>
      <c r="P6588" s="3" t="s">
        <v>65</v>
      </c>
      <c r="R6588" s="3" t="s">
        <v>66</v>
      </c>
      <c r="S6588" s="4">
        <v>24</v>
      </c>
      <c r="T6588" s="4">
        <v>24</v>
      </c>
      <c r="U6588" s="5" t="s">
        <v>15561</v>
      </c>
      <c r="V6588" s="5" t="s">
        <v>15561</v>
      </c>
      <c r="W6588" s="5" t="s">
        <v>67</v>
      </c>
      <c r="X6588" s="5" t="s">
        <v>67</v>
      </c>
      <c r="Y6588" s="4">
        <v>521</v>
      </c>
      <c r="Z6588" s="4">
        <v>26</v>
      </c>
      <c r="AA6588" s="4">
        <v>70</v>
      </c>
      <c r="AB6588" s="4">
        <v>1</v>
      </c>
      <c r="AC6588" s="4">
        <v>8</v>
      </c>
      <c r="AD6588" s="4">
        <v>109</v>
      </c>
      <c r="AE6588" s="4">
        <v>139</v>
      </c>
      <c r="AF6588" s="4">
        <v>0</v>
      </c>
      <c r="AG6588" s="4">
        <v>4</v>
      </c>
      <c r="AH6588" s="4">
        <v>96</v>
      </c>
      <c r="AI6588" s="4">
        <v>111</v>
      </c>
      <c r="AJ6588" s="4">
        <v>16</v>
      </c>
      <c r="AK6588" s="4">
        <v>24</v>
      </c>
      <c r="AL6588" s="4">
        <v>56</v>
      </c>
      <c r="AM6588" s="4">
        <v>61</v>
      </c>
      <c r="AN6588" s="4">
        <v>0</v>
      </c>
      <c r="AO6588" s="4">
        <v>0</v>
      </c>
      <c r="AP6588" s="4">
        <v>19</v>
      </c>
      <c r="AQ6588" s="4">
        <v>35</v>
      </c>
      <c r="AR6588" s="3" t="s">
        <v>62</v>
      </c>
      <c r="AS6588" s="3" t="s">
        <v>62</v>
      </c>
      <c r="AT6588" s="3" t="s">
        <v>62</v>
      </c>
      <c r="AV6588" s="6" t="str">
        <f>HYPERLINK("http://mcgill.on.worldcat.org/oclc/14411876","Catalog Record")</f>
        <v>Catalog Record</v>
      </c>
      <c r="AW6588" s="6" t="str">
        <f>HYPERLINK("http://www.worldcat.org/oclc/14411876","WorldCat Record")</f>
        <v>WorldCat Record</v>
      </c>
      <c r="AX6588" s="3" t="s">
        <v>63470</v>
      </c>
      <c r="AY6588" s="3" t="s">
        <v>63471</v>
      </c>
      <c r="AZ6588" s="3" t="s">
        <v>63472</v>
      </c>
      <c r="BA6588" s="3" t="s">
        <v>63472</v>
      </c>
      <c r="BB6588" s="3" t="s">
        <v>63473</v>
      </c>
      <c r="BC6588" s="3" t="s">
        <v>142</v>
      </c>
      <c r="BD6588" s="3" t="s">
        <v>68</v>
      </c>
      <c r="BE6588" s="3" t="s">
        <v>63474</v>
      </c>
      <c r="BF6588" s="3" t="s">
        <v>63473</v>
      </c>
      <c r="BG6588" s="3" t="s">
        <v>63475</v>
      </c>
    </row>
    <row r="6589" spans="1:59" ht="57" x14ac:dyDescent="0.45">
      <c r="A6589" s="2" t="s">
        <v>59</v>
      </c>
      <c r="B6589" s="2" t="s">
        <v>60</v>
      </c>
      <c r="C6589" s="2" t="s">
        <v>63476</v>
      </c>
      <c r="D6589" s="2" t="s">
        <v>63477</v>
      </c>
      <c r="E6589" s="2" t="s">
        <v>63478</v>
      </c>
      <c r="G6589" s="3" t="s">
        <v>62</v>
      </c>
      <c r="I6589" s="3" t="s">
        <v>62</v>
      </c>
      <c r="J6589" s="3" t="s">
        <v>61</v>
      </c>
      <c r="K6589" s="3" t="s">
        <v>63</v>
      </c>
      <c r="L6589" s="2" t="s">
        <v>2763</v>
      </c>
      <c r="M6589" s="2" t="s">
        <v>63479</v>
      </c>
      <c r="N6589" s="3" t="s">
        <v>1155</v>
      </c>
      <c r="P6589" s="3" t="s">
        <v>65</v>
      </c>
      <c r="Q6589" s="2" t="s">
        <v>5569</v>
      </c>
      <c r="R6589" s="3" t="s">
        <v>66</v>
      </c>
      <c r="S6589" s="4">
        <v>0</v>
      </c>
      <c r="T6589" s="4">
        <v>0</v>
      </c>
      <c r="W6589" s="5" t="s">
        <v>67</v>
      </c>
      <c r="X6589" s="5" t="s">
        <v>67</v>
      </c>
      <c r="Y6589" s="4">
        <v>60</v>
      </c>
      <c r="Z6589" s="4">
        <v>9</v>
      </c>
      <c r="AA6589" s="4">
        <v>117</v>
      </c>
      <c r="AB6589" s="4">
        <v>2</v>
      </c>
      <c r="AC6589" s="4">
        <v>22</v>
      </c>
      <c r="AD6589" s="4">
        <v>16</v>
      </c>
      <c r="AE6589" s="4">
        <v>153</v>
      </c>
      <c r="AF6589" s="4">
        <v>1</v>
      </c>
      <c r="AG6589" s="4">
        <v>9</v>
      </c>
      <c r="AH6589" s="4">
        <v>13</v>
      </c>
      <c r="AI6589" s="4">
        <v>105</v>
      </c>
      <c r="AJ6589" s="4">
        <v>8</v>
      </c>
      <c r="AK6589" s="4">
        <v>28</v>
      </c>
      <c r="AL6589" s="4">
        <v>4</v>
      </c>
      <c r="AM6589" s="4">
        <v>54</v>
      </c>
      <c r="AN6589" s="4">
        <v>0</v>
      </c>
      <c r="AO6589" s="4">
        <v>0</v>
      </c>
      <c r="AP6589" s="4">
        <v>8</v>
      </c>
      <c r="AQ6589" s="4">
        <v>57</v>
      </c>
      <c r="AR6589" s="3" t="s">
        <v>62</v>
      </c>
      <c r="AS6589" s="3" t="s">
        <v>62</v>
      </c>
      <c r="AT6589" s="3" t="s">
        <v>62</v>
      </c>
      <c r="AV6589" s="6" t="str">
        <f>HYPERLINK("http://mcgill.on.worldcat.org/oclc/752912075","Catalog Record")</f>
        <v>Catalog Record</v>
      </c>
      <c r="AW6589" s="6" t="str">
        <f>HYPERLINK("http://www.worldcat.org/oclc/752912075","WorldCat Record")</f>
        <v>WorldCat Record</v>
      </c>
      <c r="AX6589" s="3" t="s">
        <v>63480</v>
      </c>
      <c r="AY6589" s="3" t="s">
        <v>63481</v>
      </c>
      <c r="AZ6589" s="3" t="s">
        <v>63482</v>
      </c>
      <c r="BA6589" s="3" t="s">
        <v>63482</v>
      </c>
      <c r="BB6589" s="3" t="s">
        <v>63483</v>
      </c>
      <c r="BC6589" s="3" t="s">
        <v>142</v>
      </c>
      <c r="BD6589" s="3" t="s">
        <v>68</v>
      </c>
      <c r="BE6589" s="3" t="s">
        <v>63484</v>
      </c>
      <c r="BF6589" s="3" t="s">
        <v>63483</v>
      </c>
      <c r="BG6589" s="3" t="s">
        <v>63485</v>
      </c>
    </row>
    <row r="6590" spans="1:59" ht="57" x14ac:dyDescent="0.45">
      <c r="A6590" s="2" t="s">
        <v>59</v>
      </c>
      <c r="B6590" s="2" t="s">
        <v>60</v>
      </c>
      <c r="C6590" s="2" t="s">
        <v>63486</v>
      </c>
      <c r="D6590" s="2" t="s">
        <v>63487</v>
      </c>
      <c r="E6590" s="2" t="s">
        <v>63488</v>
      </c>
      <c r="G6590" s="3" t="s">
        <v>62</v>
      </c>
      <c r="I6590" s="3" t="s">
        <v>62</v>
      </c>
      <c r="J6590" s="3" t="s">
        <v>62</v>
      </c>
      <c r="K6590" s="3" t="s">
        <v>63</v>
      </c>
      <c r="M6590" s="2" t="s">
        <v>50415</v>
      </c>
      <c r="N6590" s="3" t="s">
        <v>1155</v>
      </c>
      <c r="P6590" s="3" t="s">
        <v>65</v>
      </c>
      <c r="Q6590" s="2" t="s">
        <v>63489</v>
      </c>
      <c r="R6590" s="3" t="s">
        <v>66</v>
      </c>
      <c r="S6590" s="4">
        <v>0</v>
      </c>
      <c r="T6590" s="4">
        <v>0</v>
      </c>
      <c r="W6590" s="5" t="s">
        <v>67</v>
      </c>
      <c r="X6590" s="5" t="s">
        <v>67</v>
      </c>
      <c r="Y6590" s="4">
        <v>57</v>
      </c>
      <c r="Z6590" s="4">
        <v>8</v>
      </c>
      <c r="AA6590" s="4">
        <v>82</v>
      </c>
      <c r="AB6590" s="4">
        <v>1</v>
      </c>
      <c r="AC6590" s="4">
        <v>14</v>
      </c>
      <c r="AD6590" s="4">
        <v>33</v>
      </c>
      <c r="AE6590" s="4">
        <v>116</v>
      </c>
      <c r="AF6590" s="4">
        <v>0</v>
      </c>
      <c r="AG6590" s="4">
        <v>8</v>
      </c>
      <c r="AH6590" s="4">
        <v>30</v>
      </c>
      <c r="AI6590" s="4">
        <v>80</v>
      </c>
      <c r="AJ6590" s="4">
        <v>6</v>
      </c>
      <c r="AK6590" s="4">
        <v>24</v>
      </c>
      <c r="AL6590" s="4">
        <v>20</v>
      </c>
      <c r="AM6590" s="4">
        <v>43</v>
      </c>
      <c r="AN6590" s="4">
        <v>4</v>
      </c>
      <c r="AO6590" s="4">
        <v>4</v>
      </c>
      <c r="AP6590" s="4">
        <v>6</v>
      </c>
      <c r="AQ6590" s="4">
        <v>45</v>
      </c>
      <c r="AR6590" s="3" t="s">
        <v>62</v>
      </c>
      <c r="AS6590" s="3" t="s">
        <v>62</v>
      </c>
      <c r="AT6590" s="3" t="s">
        <v>61</v>
      </c>
      <c r="AU6590" s="6" t="str">
        <f>HYPERLINK("http://catalog.hathitrust.org/Record/100853713","HathiTrust Record")</f>
        <v>HathiTrust Record</v>
      </c>
      <c r="AV6590" s="6" t="str">
        <f>HYPERLINK("http://mcgill.on.worldcat.org/oclc/823742147","Catalog Record")</f>
        <v>Catalog Record</v>
      </c>
      <c r="AW6590" s="6" t="str">
        <f>HYPERLINK("http://www.worldcat.org/oclc/823742147","WorldCat Record")</f>
        <v>WorldCat Record</v>
      </c>
      <c r="AX6590" s="3" t="s">
        <v>63490</v>
      </c>
      <c r="AY6590" s="3" t="s">
        <v>63491</v>
      </c>
      <c r="AZ6590" s="3" t="s">
        <v>63492</v>
      </c>
      <c r="BA6590" s="3" t="s">
        <v>63492</v>
      </c>
      <c r="BB6590" s="3" t="s">
        <v>63493</v>
      </c>
      <c r="BC6590" s="3" t="s">
        <v>142</v>
      </c>
      <c r="BD6590" s="3" t="s">
        <v>68</v>
      </c>
      <c r="BE6590" s="3" t="s">
        <v>63494</v>
      </c>
      <c r="BF6590" s="3" t="s">
        <v>63493</v>
      </c>
      <c r="BG6590" s="3" t="s">
        <v>63495</v>
      </c>
    </row>
    <row r="6591" spans="1:59" ht="57" x14ac:dyDescent="0.45">
      <c r="A6591" s="2" t="s">
        <v>59</v>
      </c>
      <c r="B6591" s="2" t="s">
        <v>60</v>
      </c>
      <c r="C6591" s="2" t="s">
        <v>63496</v>
      </c>
      <c r="D6591" s="2" t="s">
        <v>63497</v>
      </c>
      <c r="E6591" s="2" t="s">
        <v>63498</v>
      </c>
      <c r="G6591" s="3" t="s">
        <v>62</v>
      </c>
      <c r="I6591" s="3" t="s">
        <v>62</v>
      </c>
      <c r="J6591" s="3" t="s">
        <v>62</v>
      </c>
      <c r="K6591" s="3" t="s">
        <v>63</v>
      </c>
      <c r="L6591" s="2" t="s">
        <v>904</v>
      </c>
      <c r="M6591" s="2" t="s">
        <v>63499</v>
      </c>
      <c r="N6591" s="3" t="s">
        <v>1059</v>
      </c>
      <c r="P6591" s="3" t="s">
        <v>65</v>
      </c>
      <c r="R6591" s="3" t="s">
        <v>66</v>
      </c>
      <c r="S6591" s="4">
        <v>8</v>
      </c>
      <c r="T6591" s="4">
        <v>8</v>
      </c>
      <c r="U6591" s="5" t="s">
        <v>35092</v>
      </c>
      <c r="V6591" s="5" t="s">
        <v>35092</v>
      </c>
      <c r="W6591" s="5" t="s">
        <v>67</v>
      </c>
      <c r="X6591" s="5" t="s">
        <v>67</v>
      </c>
      <c r="Y6591" s="4">
        <v>708</v>
      </c>
      <c r="Z6591" s="4">
        <v>24</v>
      </c>
      <c r="AA6591" s="4">
        <v>32</v>
      </c>
      <c r="AB6591" s="4">
        <v>2</v>
      </c>
      <c r="AC6591" s="4">
        <v>8</v>
      </c>
      <c r="AD6591" s="4">
        <v>67</v>
      </c>
      <c r="AE6591" s="4">
        <v>78</v>
      </c>
      <c r="AF6591" s="4">
        <v>0</v>
      </c>
      <c r="AG6591" s="4">
        <v>2</v>
      </c>
      <c r="AH6591" s="4">
        <v>63</v>
      </c>
      <c r="AI6591" s="4">
        <v>72</v>
      </c>
      <c r="AJ6591" s="4">
        <v>8</v>
      </c>
      <c r="AK6591" s="4">
        <v>11</v>
      </c>
      <c r="AL6591" s="4">
        <v>37</v>
      </c>
      <c r="AM6591" s="4">
        <v>42</v>
      </c>
      <c r="AN6591" s="4">
        <v>0</v>
      </c>
      <c r="AO6591" s="4">
        <v>5</v>
      </c>
      <c r="AP6591" s="4">
        <v>9</v>
      </c>
      <c r="AQ6591" s="4">
        <v>12</v>
      </c>
      <c r="AR6591" s="3" t="s">
        <v>62</v>
      </c>
      <c r="AS6591" s="3" t="s">
        <v>62</v>
      </c>
      <c r="AT6591" s="3" t="s">
        <v>61</v>
      </c>
      <c r="AU6591" s="6" t="str">
        <f>HYPERLINK("http://catalog.hathitrust.org/Record/005237284","HathiTrust Record")</f>
        <v>HathiTrust Record</v>
      </c>
      <c r="AV6591" s="6" t="str">
        <f>HYPERLINK("http://mcgill.on.worldcat.org/oclc/62225116","Catalog Record")</f>
        <v>Catalog Record</v>
      </c>
      <c r="AW6591" s="6" t="str">
        <f>HYPERLINK("http://www.worldcat.org/oclc/62225116","WorldCat Record")</f>
        <v>WorldCat Record</v>
      </c>
      <c r="AX6591" s="3" t="s">
        <v>63500</v>
      </c>
      <c r="AY6591" s="3" t="s">
        <v>63501</v>
      </c>
      <c r="AZ6591" s="3" t="s">
        <v>63502</v>
      </c>
      <c r="BA6591" s="3" t="s">
        <v>63502</v>
      </c>
      <c r="BB6591" s="3" t="s">
        <v>63503</v>
      </c>
      <c r="BC6591" s="3" t="s">
        <v>142</v>
      </c>
      <c r="BD6591" s="3" t="s">
        <v>68</v>
      </c>
      <c r="BE6591" s="3" t="s">
        <v>63504</v>
      </c>
      <c r="BF6591" s="3" t="s">
        <v>63503</v>
      </c>
      <c r="BG6591" s="3" t="s">
        <v>63505</v>
      </c>
    </row>
    <row r="6592" spans="1:59" ht="57" x14ac:dyDescent="0.45">
      <c r="A6592" s="2" t="s">
        <v>59</v>
      </c>
      <c r="B6592" s="2" t="s">
        <v>60</v>
      </c>
      <c r="C6592" s="2" t="s">
        <v>63506</v>
      </c>
      <c r="D6592" s="2" t="s">
        <v>63507</v>
      </c>
      <c r="E6592" s="2" t="s">
        <v>63508</v>
      </c>
      <c r="G6592" s="3" t="s">
        <v>62</v>
      </c>
      <c r="I6592" s="3" t="s">
        <v>61</v>
      </c>
      <c r="J6592" s="3" t="s">
        <v>62</v>
      </c>
      <c r="K6592" s="3" t="s">
        <v>63</v>
      </c>
      <c r="L6592" s="2" t="s">
        <v>53146</v>
      </c>
      <c r="M6592" s="2" t="s">
        <v>63509</v>
      </c>
      <c r="N6592" s="3" t="s">
        <v>1855</v>
      </c>
      <c r="P6592" s="3" t="s">
        <v>65</v>
      </c>
      <c r="Q6592" s="2" t="s">
        <v>63510</v>
      </c>
      <c r="R6592" s="3" t="s">
        <v>66</v>
      </c>
      <c r="S6592" s="4">
        <v>5</v>
      </c>
      <c r="T6592" s="4">
        <v>5</v>
      </c>
      <c r="U6592" s="5" t="s">
        <v>44747</v>
      </c>
      <c r="V6592" s="5" t="s">
        <v>44747</v>
      </c>
      <c r="W6592" s="5" t="s">
        <v>67</v>
      </c>
      <c r="X6592" s="5" t="s">
        <v>67</v>
      </c>
      <c r="Y6592" s="4">
        <v>145</v>
      </c>
      <c r="Z6592" s="4">
        <v>10</v>
      </c>
      <c r="AA6592" s="4">
        <v>10</v>
      </c>
      <c r="AB6592" s="4">
        <v>2</v>
      </c>
      <c r="AC6592" s="4">
        <v>2</v>
      </c>
      <c r="AD6592" s="4">
        <v>68</v>
      </c>
      <c r="AE6592" s="4">
        <v>68</v>
      </c>
      <c r="AF6592" s="4">
        <v>1</v>
      </c>
      <c r="AG6592" s="4">
        <v>1</v>
      </c>
      <c r="AH6592" s="4">
        <v>63</v>
      </c>
      <c r="AI6592" s="4">
        <v>63</v>
      </c>
      <c r="AJ6592" s="4">
        <v>8</v>
      </c>
      <c r="AK6592" s="4">
        <v>8</v>
      </c>
      <c r="AL6592" s="4">
        <v>40</v>
      </c>
      <c r="AM6592" s="4">
        <v>40</v>
      </c>
      <c r="AN6592" s="4">
        <v>0</v>
      </c>
      <c r="AO6592" s="4">
        <v>0</v>
      </c>
      <c r="AP6592" s="4">
        <v>9</v>
      </c>
      <c r="AQ6592" s="4">
        <v>9</v>
      </c>
      <c r="AR6592" s="3" t="s">
        <v>62</v>
      </c>
      <c r="AS6592" s="3" t="s">
        <v>62</v>
      </c>
      <c r="AT6592" s="3" t="s">
        <v>62</v>
      </c>
      <c r="AV6592" s="6" t="str">
        <f>HYPERLINK("http://mcgill.on.worldcat.org/oclc/62420997","Catalog Record")</f>
        <v>Catalog Record</v>
      </c>
      <c r="AW6592" s="6" t="str">
        <f>HYPERLINK("http://www.worldcat.org/oclc/62420997","WorldCat Record")</f>
        <v>WorldCat Record</v>
      </c>
      <c r="AX6592" s="3" t="s">
        <v>63511</v>
      </c>
      <c r="AY6592" s="3" t="s">
        <v>63512</v>
      </c>
      <c r="AZ6592" s="3" t="s">
        <v>63513</v>
      </c>
      <c r="BA6592" s="3" t="s">
        <v>63513</v>
      </c>
      <c r="BB6592" s="3" t="s">
        <v>63514</v>
      </c>
      <c r="BC6592" s="3" t="s">
        <v>142</v>
      </c>
      <c r="BD6592" s="3" t="s">
        <v>68</v>
      </c>
      <c r="BE6592" s="3" t="s">
        <v>63515</v>
      </c>
      <c r="BF6592" s="3" t="s">
        <v>63514</v>
      </c>
      <c r="BG6592" s="3" t="s">
        <v>63516</v>
      </c>
    </row>
    <row r="6593" spans="1:59" ht="57" x14ac:dyDescent="0.45">
      <c r="A6593" s="2" t="s">
        <v>59</v>
      </c>
      <c r="B6593" s="2" t="s">
        <v>60</v>
      </c>
      <c r="C6593" s="2" t="s">
        <v>63517</v>
      </c>
      <c r="D6593" s="2" t="s">
        <v>63518</v>
      </c>
      <c r="E6593" s="2" t="s">
        <v>63519</v>
      </c>
      <c r="G6593" s="3" t="s">
        <v>62</v>
      </c>
      <c r="I6593" s="3" t="s">
        <v>62</v>
      </c>
      <c r="J6593" s="3" t="s">
        <v>62</v>
      </c>
      <c r="K6593" s="3" t="s">
        <v>63</v>
      </c>
      <c r="L6593" s="2" t="s">
        <v>63520</v>
      </c>
      <c r="M6593" s="2" t="s">
        <v>46437</v>
      </c>
      <c r="N6593" s="3" t="s">
        <v>116</v>
      </c>
      <c r="P6593" s="3" t="s">
        <v>65</v>
      </c>
      <c r="R6593" s="3" t="s">
        <v>66</v>
      </c>
      <c r="S6593" s="4">
        <v>1</v>
      </c>
      <c r="T6593" s="4">
        <v>1</v>
      </c>
      <c r="U6593" s="5" t="s">
        <v>15716</v>
      </c>
      <c r="V6593" s="5" t="s">
        <v>15716</v>
      </c>
      <c r="W6593" s="5" t="s">
        <v>67</v>
      </c>
      <c r="X6593" s="5" t="s">
        <v>67</v>
      </c>
      <c r="Y6593" s="4">
        <v>148</v>
      </c>
      <c r="Z6593" s="4">
        <v>14</v>
      </c>
      <c r="AA6593" s="4">
        <v>86</v>
      </c>
      <c r="AB6593" s="4">
        <v>1</v>
      </c>
      <c r="AC6593" s="4">
        <v>16</v>
      </c>
      <c r="AD6593" s="4">
        <v>66</v>
      </c>
      <c r="AE6593" s="4">
        <v>127</v>
      </c>
      <c r="AF6593" s="4">
        <v>0</v>
      </c>
      <c r="AG6593" s="4">
        <v>8</v>
      </c>
      <c r="AH6593" s="4">
        <v>63</v>
      </c>
      <c r="AI6593" s="4">
        <v>92</v>
      </c>
      <c r="AJ6593" s="4">
        <v>11</v>
      </c>
      <c r="AK6593" s="4">
        <v>24</v>
      </c>
      <c r="AL6593" s="4">
        <v>39</v>
      </c>
      <c r="AM6593" s="4">
        <v>50</v>
      </c>
      <c r="AN6593" s="4">
        <v>0</v>
      </c>
      <c r="AO6593" s="4">
        <v>0</v>
      </c>
      <c r="AP6593" s="4">
        <v>11</v>
      </c>
      <c r="AQ6593" s="4">
        <v>45</v>
      </c>
      <c r="AR6593" s="3" t="s">
        <v>62</v>
      </c>
      <c r="AS6593" s="3" t="s">
        <v>62</v>
      </c>
      <c r="AT6593" s="3" t="s">
        <v>62</v>
      </c>
      <c r="AV6593" s="6" t="str">
        <f>HYPERLINK("http://mcgill.on.worldcat.org/oclc/794624722","Catalog Record")</f>
        <v>Catalog Record</v>
      </c>
      <c r="AW6593" s="6" t="str">
        <f>HYPERLINK("http://www.worldcat.org/oclc/794624722","WorldCat Record")</f>
        <v>WorldCat Record</v>
      </c>
      <c r="AX6593" s="3" t="s">
        <v>63521</v>
      </c>
      <c r="AY6593" s="3" t="s">
        <v>63522</v>
      </c>
      <c r="AZ6593" s="3" t="s">
        <v>63523</v>
      </c>
      <c r="BA6593" s="3" t="s">
        <v>63523</v>
      </c>
      <c r="BB6593" s="3" t="s">
        <v>63524</v>
      </c>
      <c r="BC6593" s="3" t="s">
        <v>142</v>
      </c>
      <c r="BD6593" s="3" t="s">
        <v>68</v>
      </c>
      <c r="BE6593" s="3" t="s">
        <v>63525</v>
      </c>
      <c r="BF6593" s="3" t="s">
        <v>63524</v>
      </c>
      <c r="BG6593" s="3" t="s">
        <v>63526</v>
      </c>
    </row>
    <row r="6594" spans="1:59" ht="57" x14ac:dyDescent="0.45">
      <c r="A6594" s="2" t="s">
        <v>59</v>
      </c>
      <c r="B6594" s="2" t="s">
        <v>60</v>
      </c>
      <c r="C6594" s="2" t="s">
        <v>63527</v>
      </c>
      <c r="D6594" s="2" t="s">
        <v>63528</v>
      </c>
      <c r="E6594" s="2" t="s">
        <v>63529</v>
      </c>
      <c r="G6594" s="3" t="s">
        <v>62</v>
      </c>
      <c r="I6594" s="3" t="s">
        <v>62</v>
      </c>
      <c r="J6594" s="3" t="s">
        <v>62</v>
      </c>
      <c r="K6594" s="3" t="s">
        <v>63</v>
      </c>
      <c r="L6594" s="2" t="s">
        <v>63530</v>
      </c>
      <c r="M6594" s="2" t="s">
        <v>63531</v>
      </c>
      <c r="N6594" s="3" t="s">
        <v>1059</v>
      </c>
      <c r="O6594" s="2" t="s">
        <v>63532</v>
      </c>
      <c r="P6594" s="3" t="s">
        <v>65</v>
      </c>
      <c r="R6594" s="3" t="s">
        <v>66</v>
      </c>
      <c r="S6594" s="4">
        <v>8</v>
      </c>
      <c r="T6594" s="4">
        <v>8</v>
      </c>
      <c r="U6594" s="5" t="s">
        <v>9722</v>
      </c>
      <c r="V6594" s="5" t="s">
        <v>9722</v>
      </c>
      <c r="W6594" s="5" t="s">
        <v>67</v>
      </c>
      <c r="X6594" s="5" t="s">
        <v>67</v>
      </c>
      <c r="Y6594" s="4">
        <v>420</v>
      </c>
      <c r="Z6594" s="4">
        <v>22</v>
      </c>
      <c r="AA6594" s="4">
        <v>25</v>
      </c>
      <c r="AB6594" s="4">
        <v>2</v>
      </c>
      <c r="AC6594" s="4">
        <v>2</v>
      </c>
      <c r="AD6594" s="4">
        <v>25</v>
      </c>
      <c r="AE6594" s="4">
        <v>32</v>
      </c>
      <c r="AF6594" s="4">
        <v>0</v>
      </c>
      <c r="AG6594" s="4">
        <v>0</v>
      </c>
      <c r="AH6594" s="4">
        <v>21</v>
      </c>
      <c r="AI6594" s="4">
        <v>28</v>
      </c>
      <c r="AJ6594" s="4">
        <v>5</v>
      </c>
      <c r="AK6594" s="4">
        <v>6</v>
      </c>
      <c r="AL6594" s="4">
        <v>9</v>
      </c>
      <c r="AM6594" s="4">
        <v>13</v>
      </c>
      <c r="AN6594" s="4">
        <v>0</v>
      </c>
      <c r="AO6594" s="4">
        <v>0</v>
      </c>
      <c r="AP6594" s="4">
        <v>5</v>
      </c>
      <c r="AQ6594" s="4">
        <v>7</v>
      </c>
      <c r="AR6594" s="3" t="s">
        <v>62</v>
      </c>
      <c r="AS6594" s="3" t="s">
        <v>62</v>
      </c>
      <c r="AT6594" s="3" t="s">
        <v>62</v>
      </c>
      <c r="AV6594" s="6" t="str">
        <f>HYPERLINK("http://mcgill.on.worldcat.org/oclc/62282447","Catalog Record")</f>
        <v>Catalog Record</v>
      </c>
      <c r="AW6594" s="6" t="str">
        <f>HYPERLINK("http://www.worldcat.org/oclc/62282447","WorldCat Record")</f>
        <v>WorldCat Record</v>
      </c>
      <c r="AX6594" s="3" t="s">
        <v>63533</v>
      </c>
      <c r="AY6594" s="3" t="s">
        <v>63534</v>
      </c>
      <c r="AZ6594" s="3" t="s">
        <v>63535</v>
      </c>
      <c r="BA6594" s="3" t="s">
        <v>63535</v>
      </c>
      <c r="BB6594" s="3" t="s">
        <v>63536</v>
      </c>
      <c r="BC6594" s="3" t="s">
        <v>142</v>
      </c>
      <c r="BD6594" s="3" t="s">
        <v>68</v>
      </c>
      <c r="BE6594" s="3" t="s">
        <v>63537</v>
      </c>
      <c r="BF6594" s="3" t="s">
        <v>63536</v>
      </c>
      <c r="BG6594" s="3" t="s">
        <v>63538</v>
      </c>
    </row>
    <row r="6595" spans="1:59" ht="57" x14ac:dyDescent="0.45">
      <c r="A6595" s="2" t="s">
        <v>59</v>
      </c>
      <c r="B6595" s="2" t="s">
        <v>60</v>
      </c>
      <c r="C6595" s="2" t="s">
        <v>63539</v>
      </c>
      <c r="D6595" s="2" t="s">
        <v>63540</v>
      </c>
      <c r="E6595" s="2" t="s">
        <v>63541</v>
      </c>
      <c r="G6595" s="3" t="s">
        <v>62</v>
      </c>
      <c r="I6595" s="3" t="s">
        <v>62</v>
      </c>
      <c r="J6595" s="3" t="s">
        <v>62</v>
      </c>
      <c r="K6595" s="3" t="s">
        <v>63</v>
      </c>
      <c r="M6595" s="2" t="s">
        <v>2822</v>
      </c>
      <c r="N6595" s="3" t="s">
        <v>894</v>
      </c>
      <c r="P6595" s="3" t="s">
        <v>65</v>
      </c>
      <c r="Q6595" s="2" t="s">
        <v>63542</v>
      </c>
      <c r="R6595" s="3" t="s">
        <v>66</v>
      </c>
      <c r="S6595" s="4">
        <v>0</v>
      </c>
      <c r="T6595" s="4">
        <v>0</v>
      </c>
      <c r="W6595" s="5" t="s">
        <v>67</v>
      </c>
      <c r="X6595" s="5" t="s">
        <v>67</v>
      </c>
      <c r="Y6595" s="4">
        <v>52</v>
      </c>
      <c r="Z6595" s="4">
        <v>8</v>
      </c>
      <c r="AA6595" s="4">
        <v>104</v>
      </c>
      <c r="AB6595" s="4">
        <v>1</v>
      </c>
      <c r="AC6595" s="4">
        <v>18</v>
      </c>
      <c r="AD6595" s="4">
        <v>33</v>
      </c>
      <c r="AE6595" s="4">
        <v>113</v>
      </c>
      <c r="AF6595" s="4">
        <v>0</v>
      </c>
      <c r="AG6595" s="4">
        <v>8</v>
      </c>
      <c r="AH6595" s="4">
        <v>31</v>
      </c>
      <c r="AI6595" s="4">
        <v>76</v>
      </c>
      <c r="AJ6595" s="4">
        <v>6</v>
      </c>
      <c r="AK6595" s="4">
        <v>23</v>
      </c>
      <c r="AL6595" s="4">
        <v>19</v>
      </c>
      <c r="AM6595" s="4">
        <v>40</v>
      </c>
      <c r="AN6595" s="4">
        <v>0</v>
      </c>
      <c r="AO6595" s="4">
        <v>0</v>
      </c>
      <c r="AP6595" s="4">
        <v>6</v>
      </c>
      <c r="AQ6595" s="4">
        <v>45</v>
      </c>
      <c r="AR6595" s="3" t="s">
        <v>62</v>
      </c>
      <c r="AS6595" s="3" t="s">
        <v>62</v>
      </c>
      <c r="AT6595" s="3" t="s">
        <v>62</v>
      </c>
      <c r="AV6595" s="6" t="str">
        <f>HYPERLINK("http://mcgill.on.worldcat.org/oclc/711959834","Catalog Record")</f>
        <v>Catalog Record</v>
      </c>
      <c r="AW6595" s="6" t="str">
        <f>HYPERLINK("http://www.worldcat.org/oclc/711959834","WorldCat Record")</f>
        <v>WorldCat Record</v>
      </c>
      <c r="AX6595" s="3" t="s">
        <v>63543</v>
      </c>
      <c r="AY6595" s="3" t="s">
        <v>63544</v>
      </c>
      <c r="AZ6595" s="3" t="s">
        <v>63545</v>
      </c>
      <c r="BA6595" s="3" t="s">
        <v>63545</v>
      </c>
      <c r="BB6595" s="3" t="s">
        <v>63546</v>
      </c>
      <c r="BC6595" s="3" t="s">
        <v>142</v>
      </c>
      <c r="BD6595" s="3" t="s">
        <v>68</v>
      </c>
      <c r="BE6595" s="3" t="s">
        <v>63547</v>
      </c>
      <c r="BF6595" s="3" t="s">
        <v>63546</v>
      </c>
      <c r="BG6595" s="3" t="s">
        <v>63548</v>
      </c>
    </row>
    <row r="6596" spans="1:59" ht="57" x14ac:dyDescent="0.45">
      <c r="A6596" s="2" t="s">
        <v>59</v>
      </c>
      <c r="B6596" s="2" t="s">
        <v>60</v>
      </c>
      <c r="C6596" s="2" t="s">
        <v>63549</v>
      </c>
      <c r="D6596" s="2" t="s">
        <v>63550</v>
      </c>
      <c r="E6596" s="2" t="s">
        <v>63551</v>
      </c>
      <c r="G6596" s="3" t="s">
        <v>62</v>
      </c>
      <c r="I6596" s="3" t="s">
        <v>62</v>
      </c>
      <c r="J6596" s="3" t="s">
        <v>62</v>
      </c>
      <c r="K6596" s="3" t="s">
        <v>63</v>
      </c>
      <c r="M6596" s="2" t="s">
        <v>2376</v>
      </c>
      <c r="N6596" s="3" t="s">
        <v>1239</v>
      </c>
      <c r="P6596" s="3" t="s">
        <v>65</v>
      </c>
      <c r="R6596" s="3" t="s">
        <v>66</v>
      </c>
      <c r="S6596" s="4">
        <v>59</v>
      </c>
      <c r="T6596" s="4">
        <v>59</v>
      </c>
      <c r="U6596" s="5" t="s">
        <v>23495</v>
      </c>
      <c r="V6596" s="5" t="s">
        <v>23495</v>
      </c>
      <c r="W6596" s="5" t="s">
        <v>67</v>
      </c>
      <c r="X6596" s="5" t="s">
        <v>67</v>
      </c>
      <c r="Y6596" s="4">
        <v>341</v>
      </c>
      <c r="Z6596" s="4">
        <v>21</v>
      </c>
      <c r="AA6596" s="4">
        <v>96</v>
      </c>
      <c r="AB6596" s="4">
        <v>1</v>
      </c>
      <c r="AC6596" s="4">
        <v>17</v>
      </c>
      <c r="AD6596" s="4">
        <v>111</v>
      </c>
      <c r="AE6596" s="4">
        <v>149</v>
      </c>
      <c r="AF6596" s="4">
        <v>0</v>
      </c>
      <c r="AG6596" s="4">
        <v>8</v>
      </c>
      <c r="AH6596" s="4">
        <v>103</v>
      </c>
      <c r="AI6596" s="4">
        <v>110</v>
      </c>
      <c r="AJ6596" s="4">
        <v>15</v>
      </c>
      <c r="AK6596" s="4">
        <v>25</v>
      </c>
      <c r="AL6596" s="4">
        <v>57</v>
      </c>
      <c r="AM6596" s="4">
        <v>59</v>
      </c>
      <c r="AN6596" s="4">
        <v>0</v>
      </c>
      <c r="AO6596" s="4">
        <v>0</v>
      </c>
      <c r="AP6596" s="4">
        <v>16</v>
      </c>
      <c r="AQ6596" s="4">
        <v>48</v>
      </c>
      <c r="AR6596" s="3" t="s">
        <v>62</v>
      </c>
      <c r="AS6596" s="3" t="s">
        <v>62</v>
      </c>
      <c r="AT6596" s="3" t="s">
        <v>62</v>
      </c>
      <c r="AV6596" s="6" t="str">
        <f>HYPERLINK("http://mcgill.on.worldcat.org/oclc/18960723","Catalog Record")</f>
        <v>Catalog Record</v>
      </c>
      <c r="AW6596" s="6" t="str">
        <f>HYPERLINK("http://www.worldcat.org/oclc/18960723","WorldCat Record")</f>
        <v>WorldCat Record</v>
      </c>
      <c r="AX6596" s="3" t="s">
        <v>63552</v>
      </c>
      <c r="AY6596" s="3" t="s">
        <v>63553</v>
      </c>
      <c r="AZ6596" s="3" t="s">
        <v>63554</v>
      </c>
      <c r="BA6596" s="3" t="s">
        <v>63554</v>
      </c>
      <c r="BB6596" s="3" t="s">
        <v>63555</v>
      </c>
      <c r="BC6596" s="3" t="s">
        <v>142</v>
      </c>
      <c r="BD6596" s="3" t="s">
        <v>68</v>
      </c>
      <c r="BE6596" s="3" t="s">
        <v>63556</v>
      </c>
      <c r="BF6596" s="3" t="s">
        <v>63555</v>
      </c>
      <c r="BG6596" s="3" t="s">
        <v>63557</v>
      </c>
    </row>
    <row r="6597" spans="1:59" ht="57" x14ac:dyDescent="0.45">
      <c r="A6597" s="2" t="s">
        <v>59</v>
      </c>
      <c r="B6597" s="2" t="s">
        <v>60</v>
      </c>
      <c r="C6597" s="2" t="s">
        <v>63558</v>
      </c>
      <c r="D6597" s="2" t="s">
        <v>63559</v>
      </c>
      <c r="E6597" s="2" t="s">
        <v>63560</v>
      </c>
      <c r="G6597" s="3" t="s">
        <v>62</v>
      </c>
      <c r="I6597" s="3" t="s">
        <v>62</v>
      </c>
      <c r="J6597" s="3" t="s">
        <v>62</v>
      </c>
      <c r="K6597" s="3" t="s">
        <v>63</v>
      </c>
      <c r="L6597" s="2" t="s">
        <v>63561</v>
      </c>
      <c r="M6597" s="2" t="s">
        <v>63562</v>
      </c>
      <c r="N6597" s="3" t="s">
        <v>1155</v>
      </c>
      <c r="P6597" s="3" t="s">
        <v>110</v>
      </c>
      <c r="R6597" s="3" t="s">
        <v>66</v>
      </c>
      <c r="S6597" s="4">
        <v>0</v>
      </c>
      <c r="T6597" s="4">
        <v>0</v>
      </c>
      <c r="W6597" s="5" t="s">
        <v>67</v>
      </c>
      <c r="X6597" s="5" t="s">
        <v>67</v>
      </c>
      <c r="Y6597" s="4">
        <v>13</v>
      </c>
      <c r="Z6597" s="4">
        <v>8</v>
      </c>
      <c r="AA6597" s="4">
        <v>15</v>
      </c>
      <c r="AB6597" s="4">
        <v>1</v>
      </c>
      <c r="AC6597" s="4">
        <v>5</v>
      </c>
      <c r="AD6597" s="4">
        <v>9</v>
      </c>
      <c r="AE6597" s="4">
        <v>14</v>
      </c>
      <c r="AF6597" s="4">
        <v>0</v>
      </c>
      <c r="AG6597" s="4">
        <v>2</v>
      </c>
      <c r="AH6597" s="4">
        <v>8</v>
      </c>
      <c r="AI6597" s="4">
        <v>11</v>
      </c>
      <c r="AJ6597" s="4">
        <v>5</v>
      </c>
      <c r="AK6597" s="4">
        <v>9</v>
      </c>
      <c r="AL6597" s="4">
        <v>3</v>
      </c>
      <c r="AM6597" s="4">
        <v>3</v>
      </c>
      <c r="AN6597" s="4">
        <v>0</v>
      </c>
      <c r="AO6597" s="4">
        <v>0</v>
      </c>
      <c r="AP6597" s="4">
        <v>6</v>
      </c>
      <c r="AQ6597" s="4">
        <v>11</v>
      </c>
      <c r="AR6597" s="3" t="s">
        <v>61</v>
      </c>
      <c r="AS6597" s="3" t="s">
        <v>62</v>
      </c>
      <c r="AT6597" s="3" t="s">
        <v>62</v>
      </c>
      <c r="AV6597" s="6" t="str">
        <f>HYPERLINK("http://mcgill.on.worldcat.org/oclc/795756285","Catalog Record")</f>
        <v>Catalog Record</v>
      </c>
      <c r="AW6597" s="6" t="str">
        <f>HYPERLINK("http://www.worldcat.org/oclc/795756285","WorldCat Record")</f>
        <v>WorldCat Record</v>
      </c>
      <c r="AX6597" s="3" t="s">
        <v>63563</v>
      </c>
      <c r="AY6597" s="3" t="s">
        <v>63564</v>
      </c>
      <c r="AZ6597" s="3" t="s">
        <v>63565</v>
      </c>
      <c r="BA6597" s="3" t="s">
        <v>63565</v>
      </c>
      <c r="BB6597" s="3" t="s">
        <v>63566</v>
      </c>
      <c r="BC6597" s="3" t="s">
        <v>142</v>
      </c>
      <c r="BD6597" s="3" t="s">
        <v>68</v>
      </c>
      <c r="BE6597" s="3" t="s">
        <v>63567</v>
      </c>
      <c r="BF6597" s="3" t="s">
        <v>63566</v>
      </c>
      <c r="BG6597" s="3" t="s">
        <v>63568</v>
      </c>
    </row>
    <row r="6598" spans="1:59" ht="57" x14ac:dyDescent="0.45">
      <c r="A6598" s="2" t="s">
        <v>59</v>
      </c>
      <c r="B6598" s="2" t="s">
        <v>60</v>
      </c>
      <c r="C6598" s="2" t="s">
        <v>63569</v>
      </c>
      <c r="D6598" s="2" t="s">
        <v>63570</v>
      </c>
      <c r="E6598" s="2" t="s">
        <v>63571</v>
      </c>
      <c r="G6598" s="3" t="s">
        <v>62</v>
      </c>
      <c r="I6598" s="3" t="s">
        <v>61</v>
      </c>
      <c r="J6598" s="3" t="s">
        <v>62</v>
      </c>
      <c r="K6598" s="3" t="s">
        <v>63</v>
      </c>
      <c r="L6598" s="2" t="s">
        <v>63572</v>
      </c>
      <c r="M6598" s="2" t="s">
        <v>63573</v>
      </c>
      <c r="N6598" s="3" t="s">
        <v>122</v>
      </c>
      <c r="P6598" s="3" t="s">
        <v>110</v>
      </c>
      <c r="Q6598" s="2" t="s">
        <v>496</v>
      </c>
      <c r="R6598" s="3" t="s">
        <v>66</v>
      </c>
      <c r="S6598" s="4">
        <v>3</v>
      </c>
      <c r="T6598" s="4">
        <v>20</v>
      </c>
      <c r="U6598" s="5" t="s">
        <v>8179</v>
      </c>
      <c r="V6598" s="5" t="s">
        <v>8179</v>
      </c>
      <c r="W6598" s="5" t="s">
        <v>67</v>
      </c>
      <c r="X6598" s="5" t="s">
        <v>67</v>
      </c>
      <c r="Y6598" s="4">
        <v>177</v>
      </c>
      <c r="Z6598" s="4">
        <v>21</v>
      </c>
      <c r="AA6598" s="4">
        <v>34</v>
      </c>
      <c r="AB6598" s="4">
        <v>2</v>
      </c>
      <c r="AC6598" s="4">
        <v>12</v>
      </c>
      <c r="AD6598" s="4">
        <v>64</v>
      </c>
      <c r="AE6598" s="4">
        <v>72</v>
      </c>
      <c r="AF6598" s="4">
        <v>1</v>
      </c>
      <c r="AG6598" s="4">
        <v>6</v>
      </c>
      <c r="AH6598" s="4">
        <v>53</v>
      </c>
      <c r="AI6598" s="4">
        <v>55</v>
      </c>
      <c r="AJ6598" s="4">
        <v>14</v>
      </c>
      <c r="AK6598" s="4">
        <v>19</v>
      </c>
      <c r="AL6598" s="4">
        <v>33</v>
      </c>
      <c r="AM6598" s="4">
        <v>33</v>
      </c>
      <c r="AN6598" s="4">
        <v>0</v>
      </c>
      <c r="AO6598" s="4">
        <v>0</v>
      </c>
      <c r="AP6598" s="4">
        <v>18</v>
      </c>
      <c r="AQ6598" s="4">
        <v>25</v>
      </c>
      <c r="AR6598" s="3" t="s">
        <v>62</v>
      </c>
      <c r="AS6598" s="3" t="s">
        <v>62</v>
      </c>
      <c r="AT6598" s="3" t="s">
        <v>61</v>
      </c>
      <c r="AU6598" s="6" t="str">
        <f>HYPERLINK("http://catalog.hathitrust.org/Record/000042767","HathiTrust Record")</f>
        <v>HathiTrust Record</v>
      </c>
      <c r="AV6598" s="6" t="str">
        <f>HYPERLINK("http://mcgill.on.worldcat.org/oclc/3841119","Catalog Record")</f>
        <v>Catalog Record</v>
      </c>
      <c r="AW6598" s="6" t="str">
        <f>HYPERLINK("http://www.worldcat.org/oclc/3841119","WorldCat Record")</f>
        <v>WorldCat Record</v>
      </c>
      <c r="AX6598" s="3" t="s">
        <v>63574</v>
      </c>
      <c r="AY6598" s="3" t="s">
        <v>63575</v>
      </c>
      <c r="AZ6598" s="3" t="s">
        <v>63576</v>
      </c>
      <c r="BA6598" s="3" t="s">
        <v>63576</v>
      </c>
      <c r="BB6598" s="3" t="s">
        <v>63577</v>
      </c>
      <c r="BC6598" s="3" t="s">
        <v>142</v>
      </c>
      <c r="BD6598" s="3" t="s">
        <v>68</v>
      </c>
      <c r="BF6598" s="3" t="s">
        <v>63577</v>
      </c>
      <c r="BG6598" s="3" t="s">
        <v>63578</v>
      </c>
    </row>
    <row r="6599" spans="1:59" ht="57" x14ac:dyDescent="0.45">
      <c r="A6599" s="2" t="s">
        <v>59</v>
      </c>
      <c r="B6599" s="2" t="s">
        <v>60</v>
      </c>
      <c r="C6599" s="2" t="s">
        <v>63569</v>
      </c>
      <c r="D6599" s="2" t="s">
        <v>63570</v>
      </c>
      <c r="E6599" s="2" t="s">
        <v>63571</v>
      </c>
      <c r="G6599" s="3" t="s">
        <v>62</v>
      </c>
      <c r="I6599" s="3" t="s">
        <v>61</v>
      </c>
      <c r="J6599" s="3" t="s">
        <v>62</v>
      </c>
      <c r="K6599" s="3" t="s">
        <v>63</v>
      </c>
      <c r="L6599" s="2" t="s">
        <v>63572</v>
      </c>
      <c r="M6599" s="2" t="s">
        <v>63573</v>
      </c>
      <c r="N6599" s="3" t="s">
        <v>122</v>
      </c>
      <c r="P6599" s="3" t="s">
        <v>110</v>
      </c>
      <c r="Q6599" s="2" t="s">
        <v>496</v>
      </c>
      <c r="R6599" s="3" t="s">
        <v>66</v>
      </c>
      <c r="S6599" s="4">
        <v>0</v>
      </c>
      <c r="T6599" s="4">
        <v>20</v>
      </c>
      <c r="V6599" s="5" t="s">
        <v>8179</v>
      </c>
      <c r="W6599" s="5" t="s">
        <v>67</v>
      </c>
      <c r="X6599" s="5" t="s">
        <v>67</v>
      </c>
      <c r="Y6599" s="4">
        <v>177</v>
      </c>
      <c r="Z6599" s="4">
        <v>21</v>
      </c>
      <c r="AA6599" s="4">
        <v>34</v>
      </c>
      <c r="AB6599" s="4">
        <v>2</v>
      </c>
      <c r="AC6599" s="4">
        <v>12</v>
      </c>
      <c r="AD6599" s="4">
        <v>64</v>
      </c>
      <c r="AE6599" s="4">
        <v>72</v>
      </c>
      <c r="AF6599" s="4">
        <v>1</v>
      </c>
      <c r="AG6599" s="4">
        <v>6</v>
      </c>
      <c r="AH6599" s="4">
        <v>53</v>
      </c>
      <c r="AI6599" s="4">
        <v>55</v>
      </c>
      <c r="AJ6599" s="4">
        <v>14</v>
      </c>
      <c r="AK6599" s="4">
        <v>19</v>
      </c>
      <c r="AL6599" s="4">
        <v>33</v>
      </c>
      <c r="AM6599" s="4">
        <v>33</v>
      </c>
      <c r="AN6599" s="4">
        <v>0</v>
      </c>
      <c r="AO6599" s="4">
        <v>0</v>
      </c>
      <c r="AP6599" s="4">
        <v>18</v>
      </c>
      <c r="AQ6599" s="4">
        <v>25</v>
      </c>
      <c r="AR6599" s="3" t="s">
        <v>62</v>
      </c>
      <c r="AS6599" s="3" t="s">
        <v>62</v>
      </c>
      <c r="AT6599" s="3" t="s">
        <v>61</v>
      </c>
      <c r="AU6599" s="6" t="str">
        <f>HYPERLINK("http://catalog.hathitrust.org/Record/000042767","HathiTrust Record")</f>
        <v>HathiTrust Record</v>
      </c>
      <c r="AV6599" s="6" t="str">
        <f>HYPERLINK("http://mcgill.on.worldcat.org/oclc/3841119","Catalog Record")</f>
        <v>Catalog Record</v>
      </c>
      <c r="AW6599" s="6" t="str">
        <f>HYPERLINK("http://www.worldcat.org/oclc/3841119","WorldCat Record")</f>
        <v>WorldCat Record</v>
      </c>
      <c r="AX6599" s="3" t="s">
        <v>63574</v>
      </c>
      <c r="AY6599" s="3" t="s">
        <v>63575</v>
      </c>
      <c r="AZ6599" s="3" t="s">
        <v>63576</v>
      </c>
      <c r="BA6599" s="3" t="s">
        <v>63576</v>
      </c>
      <c r="BB6599" s="3" t="s">
        <v>63579</v>
      </c>
      <c r="BC6599" s="3" t="s">
        <v>142</v>
      </c>
      <c r="BD6599" s="3" t="s">
        <v>68</v>
      </c>
      <c r="BF6599" s="3" t="s">
        <v>63579</v>
      </c>
      <c r="BG6599" s="3" t="s">
        <v>63580</v>
      </c>
    </row>
    <row r="6600" spans="1:59" ht="57" x14ac:dyDescent="0.45">
      <c r="A6600" s="2" t="s">
        <v>59</v>
      </c>
      <c r="B6600" s="2" t="s">
        <v>60</v>
      </c>
      <c r="C6600" s="2" t="s">
        <v>63569</v>
      </c>
      <c r="D6600" s="2" t="s">
        <v>63570</v>
      </c>
      <c r="E6600" s="2" t="s">
        <v>63571</v>
      </c>
      <c r="G6600" s="3" t="s">
        <v>62</v>
      </c>
      <c r="I6600" s="3" t="s">
        <v>61</v>
      </c>
      <c r="J6600" s="3" t="s">
        <v>62</v>
      </c>
      <c r="K6600" s="3" t="s">
        <v>63</v>
      </c>
      <c r="L6600" s="2" t="s">
        <v>63572</v>
      </c>
      <c r="M6600" s="2" t="s">
        <v>63573</v>
      </c>
      <c r="N6600" s="3" t="s">
        <v>122</v>
      </c>
      <c r="P6600" s="3" t="s">
        <v>110</v>
      </c>
      <c r="Q6600" s="2" t="s">
        <v>496</v>
      </c>
      <c r="R6600" s="3" t="s">
        <v>66</v>
      </c>
      <c r="S6600" s="4">
        <v>17</v>
      </c>
      <c r="T6600" s="4">
        <v>20</v>
      </c>
      <c r="U6600" s="5" t="s">
        <v>63581</v>
      </c>
      <c r="V6600" s="5" t="s">
        <v>8179</v>
      </c>
      <c r="W6600" s="5" t="s">
        <v>67</v>
      </c>
      <c r="X6600" s="5" t="s">
        <v>67</v>
      </c>
      <c r="Y6600" s="4">
        <v>177</v>
      </c>
      <c r="Z6600" s="4">
        <v>21</v>
      </c>
      <c r="AA6600" s="4">
        <v>34</v>
      </c>
      <c r="AB6600" s="4">
        <v>2</v>
      </c>
      <c r="AC6600" s="4">
        <v>12</v>
      </c>
      <c r="AD6600" s="4">
        <v>64</v>
      </c>
      <c r="AE6600" s="4">
        <v>72</v>
      </c>
      <c r="AF6600" s="4">
        <v>1</v>
      </c>
      <c r="AG6600" s="4">
        <v>6</v>
      </c>
      <c r="AH6600" s="4">
        <v>53</v>
      </c>
      <c r="AI6600" s="4">
        <v>55</v>
      </c>
      <c r="AJ6600" s="4">
        <v>14</v>
      </c>
      <c r="AK6600" s="4">
        <v>19</v>
      </c>
      <c r="AL6600" s="4">
        <v>33</v>
      </c>
      <c r="AM6600" s="4">
        <v>33</v>
      </c>
      <c r="AN6600" s="4">
        <v>0</v>
      </c>
      <c r="AO6600" s="4">
        <v>0</v>
      </c>
      <c r="AP6600" s="4">
        <v>18</v>
      </c>
      <c r="AQ6600" s="4">
        <v>25</v>
      </c>
      <c r="AR6600" s="3" t="s">
        <v>62</v>
      </c>
      <c r="AS6600" s="3" t="s">
        <v>62</v>
      </c>
      <c r="AT6600" s="3" t="s">
        <v>61</v>
      </c>
      <c r="AU6600" s="6" t="str">
        <f>HYPERLINK("http://catalog.hathitrust.org/Record/000042767","HathiTrust Record")</f>
        <v>HathiTrust Record</v>
      </c>
      <c r="AV6600" s="6" t="str">
        <f>HYPERLINK("http://mcgill.on.worldcat.org/oclc/3841119","Catalog Record")</f>
        <v>Catalog Record</v>
      </c>
      <c r="AW6600" s="6" t="str">
        <f>HYPERLINK("http://www.worldcat.org/oclc/3841119","WorldCat Record")</f>
        <v>WorldCat Record</v>
      </c>
      <c r="AX6600" s="3" t="s">
        <v>63574</v>
      </c>
      <c r="AY6600" s="3" t="s">
        <v>63575</v>
      </c>
      <c r="AZ6600" s="3" t="s">
        <v>63576</v>
      </c>
      <c r="BA6600" s="3" t="s">
        <v>63576</v>
      </c>
      <c r="BB6600" s="3" t="s">
        <v>63582</v>
      </c>
      <c r="BC6600" s="3" t="s">
        <v>142</v>
      </c>
      <c r="BD6600" s="3" t="s">
        <v>68</v>
      </c>
      <c r="BF6600" s="3" t="s">
        <v>63582</v>
      </c>
      <c r="BG6600" s="3" t="s">
        <v>63583</v>
      </c>
    </row>
    <row r="6601" spans="1:59" ht="57" x14ac:dyDescent="0.45">
      <c r="A6601" s="2" t="s">
        <v>59</v>
      </c>
      <c r="B6601" s="2" t="s">
        <v>60</v>
      </c>
      <c r="C6601" s="2" t="s">
        <v>63584</v>
      </c>
      <c r="D6601" s="2" t="s">
        <v>63585</v>
      </c>
      <c r="E6601" s="2" t="s">
        <v>63586</v>
      </c>
      <c r="G6601" s="3" t="s">
        <v>62</v>
      </c>
      <c r="I6601" s="3" t="s">
        <v>62</v>
      </c>
      <c r="J6601" s="3" t="s">
        <v>62</v>
      </c>
      <c r="K6601" s="3" t="s">
        <v>63</v>
      </c>
      <c r="M6601" s="2" t="s">
        <v>63587</v>
      </c>
      <c r="N6601" s="3" t="s">
        <v>3160</v>
      </c>
      <c r="P6601" s="3" t="s">
        <v>65</v>
      </c>
      <c r="Q6601" s="2" t="s">
        <v>63588</v>
      </c>
      <c r="R6601" s="3" t="s">
        <v>66</v>
      </c>
      <c r="S6601" s="4">
        <v>10</v>
      </c>
      <c r="T6601" s="4">
        <v>10</v>
      </c>
      <c r="U6601" s="5" t="s">
        <v>17352</v>
      </c>
      <c r="V6601" s="5" t="s">
        <v>17352</v>
      </c>
      <c r="W6601" s="5" t="s">
        <v>67</v>
      </c>
      <c r="X6601" s="5" t="s">
        <v>67</v>
      </c>
      <c r="Y6601" s="4">
        <v>151</v>
      </c>
      <c r="Z6601" s="4">
        <v>11</v>
      </c>
      <c r="AA6601" s="4">
        <v>16</v>
      </c>
      <c r="AB6601" s="4">
        <v>1</v>
      </c>
      <c r="AC6601" s="4">
        <v>4</v>
      </c>
      <c r="AD6601" s="4">
        <v>72</v>
      </c>
      <c r="AE6601" s="4">
        <v>77</v>
      </c>
      <c r="AF6601" s="4">
        <v>0</v>
      </c>
      <c r="AG6601" s="4">
        <v>3</v>
      </c>
      <c r="AH6601" s="4">
        <v>66</v>
      </c>
      <c r="AI6601" s="4">
        <v>68</v>
      </c>
      <c r="AJ6601" s="4">
        <v>10</v>
      </c>
      <c r="AK6601" s="4">
        <v>14</v>
      </c>
      <c r="AL6601" s="4">
        <v>40</v>
      </c>
      <c r="AM6601" s="4">
        <v>40</v>
      </c>
      <c r="AN6601" s="4">
        <v>0</v>
      </c>
      <c r="AO6601" s="4">
        <v>0</v>
      </c>
      <c r="AP6601" s="4">
        <v>10</v>
      </c>
      <c r="AQ6601" s="4">
        <v>14</v>
      </c>
      <c r="AR6601" s="3" t="s">
        <v>62</v>
      </c>
      <c r="AS6601" s="3" t="s">
        <v>62</v>
      </c>
      <c r="AT6601" s="3" t="s">
        <v>61</v>
      </c>
      <c r="AU6601" s="6" t="str">
        <f>HYPERLINK("http://catalog.hathitrust.org/Record/000673387","HathiTrust Record")</f>
        <v>HathiTrust Record</v>
      </c>
      <c r="AV6601" s="6" t="str">
        <f>HYPERLINK("http://mcgill.on.worldcat.org/oclc/8738414","Catalog Record")</f>
        <v>Catalog Record</v>
      </c>
      <c r="AW6601" s="6" t="str">
        <f>HYPERLINK("http://www.worldcat.org/oclc/8738414","WorldCat Record")</f>
        <v>WorldCat Record</v>
      </c>
      <c r="AX6601" s="3" t="s">
        <v>63589</v>
      </c>
      <c r="AY6601" s="3" t="s">
        <v>63590</v>
      </c>
      <c r="AZ6601" s="3" t="s">
        <v>63591</v>
      </c>
      <c r="BA6601" s="3" t="s">
        <v>63591</v>
      </c>
      <c r="BB6601" s="3" t="s">
        <v>63592</v>
      </c>
      <c r="BC6601" s="3" t="s">
        <v>142</v>
      </c>
      <c r="BD6601" s="3" t="s">
        <v>68</v>
      </c>
      <c r="BE6601" s="3" t="s">
        <v>63593</v>
      </c>
      <c r="BF6601" s="3" t="s">
        <v>63592</v>
      </c>
      <c r="BG6601" s="3" t="s">
        <v>63594</v>
      </c>
    </row>
    <row r="6602" spans="1:59" ht="57" x14ac:dyDescent="0.45">
      <c r="A6602" s="2" t="s">
        <v>59</v>
      </c>
      <c r="B6602" s="2" t="s">
        <v>60</v>
      </c>
      <c r="C6602" s="2" t="s">
        <v>63595</v>
      </c>
      <c r="D6602" s="2" t="s">
        <v>63596</v>
      </c>
      <c r="E6602" s="2" t="s">
        <v>63597</v>
      </c>
      <c r="G6602" s="3" t="s">
        <v>62</v>
      </c>
      <c r="I6602" s="3" t="s">
        <v>62</v>
      </c>
      <c r="J6602" s="3" t="s">
        <v>62</v>
      </c>
      <c r="K6602" s="3" t="s">
        <v>63</v>
      </c>
      <c r="M6602" s="2" t="s">
        <v>2871</v>
      </c>
      <c r="N6602" s="3" t="s">
        <v>149</v>
      </c>
      <c r="P6602" s="3" t="s">
        <v>65</v>
      </c>
      <c r="R6602" s="3" t="s">
        <v>66</v>
      </c>
      <c r="S6602" s="4">
        <v>0</v>
      </c>
      <c r="T6602" s="4">
        <v>0</v>
      </c>
      <c r="W6602" s="5" t="s">
        <v>67</v>
      </c>
      <c r="X6602" s="5" t="s">
        <v>67</v>
      </c>
      <c r="Y6602" s="4">
        <v>41</v>
      </c>
      <c r="Z6602" s="4">
        <v>7</v>
      </c>
      <c r="AA6602" s="4">
        <v>80</v>
      </c>
      <c r="AB6602" s="4">
        <v>3</v>
      </c>
      <c r="AC6602" s="4">
        <v>15</v>
      </c>
      <c r="AD6602" s="4">
        <v>18</v>
      </c>
      <c r="AE6602" s="4">
        <v>105</v>
      </c>
      <c r="AF6602" s="4">
        <v>1</v>
      </c>
      <c r="AG6602" s="4">
        <v>8</v>
      </c>
      <c r="AH6602" s="4">
        <v>17</v>
      </c>
      <c r="AI6602" s="4">
        <v>71</v>
      </c>
      <c r="AJ6602" s="4">
        <v>5</v>
      </c>
      <c r="AK6602" s="4">
        <v>21</v>
      </c>
      <c r="AL6602" s="4">
        <v>10</v>
      </c>
      <c r="AM6602" s="4">
        <v>36</v>
      </c>
      <c r="AN6602" s="4">
        <v>0</v>
      </c>
      <c r="AO6602" s="4">
        <v>0</v>
      </c>
      <c r="AP6602" s="4">
        <v>4</v>
      </c>
      <c r="AQ6602" s="4">
        <v>42</v>
      </c>
      <c r="AR6602" s="3" t="s">
        <v>62</v>
      </c>
      <c r="AS6602" s="3" t="s">
        <v>62</v>
      </c>
      <c r="AT6602" s="3" t="s">
        <v>62</v>
      </c>
      <c r="AV6602" s="6" t="str">
        <f>HYPERLINK("http://mcgill.on.worldcat.org/oclc/603066179","Catalog Record")</f>
        <v>Catalog Record</v>
      </c>
      <c r="AW6602" s="6" t="str">
        <f>HYPERLINK("http://www.worldcat.org/oclc/603066179","WorldCat Record")</f>
        <v>WorldCat Record</v>
      </c>
      <c r="AX6602" s="3" t="s">
        <v>63598</v>
      </c>
      <c r="AY6602" s="3" t="s">
        <v>63599</v>
      </c>
      <c r="AZ6602" s="3" t="s">
        <v>63600</v>
      </c>
      <c r="BA6602" s="3" t="s">
        <v>63600</v>
      </c>
      <c r="BB6602" s="3" t="s">
        <v>63601</v>
      </c>
      <c r="BC6602" s="3" t="s">
        <v>142</v>
      </c>
      <c r="BD6602" s="3" t="s">
        <v>68</v>
      </c>
      <c r="BE6602" s="3" t="s">
        <v>63602</v>
      </c>
      <c r="BF6602" s="3" t="s">
        <v>63601</v>
      </c>
      <c r="BG6602" s="3" t="s">
        <v>63603</v>
      </c>
    </row>
    <row r="6603" spans="1:59" ht="57" x14ac:dyDescent="0.45">
      <c r="A6603" s="2" t="s">
        <v>59</v>
      </c>
      <c r="B6603" s="2" t="s">
        <v>60</v>
      </c>
      <c r="C6603" s="2" t="s">
        <v>63604</v>
      </c>
      <c r="D6603" s="2" t="s">
        <v>63605</v>
      </c>
      <c r="E6603" s="2" t="s">
        <v>63606</v>
      </c>
      <c r="G6603" s="3" t="s">
        <v>62</v>
      </c>
      <c r="I6603" s="3" t="s">
        <v>62</v>
      </c>
      <c r="J6603" s="3" t="s">
        <v>62</v>
      </c>
      <c r="K6603" s="3" t="s">
        <v>63</v>
      </c>
      <c r="L6603" s="2" t="s">
        <v>2653</v>
      </c>
      <c r="M6603" s="2" t="s">
        <v>25814</v>
      </c>
      <c r="N6603" s="3" t="s">
        <v>970</v>
      </c>
      <c r="P6603" s="3" t="s">
        <v>65</v>
      </c>
      <c r="R6603" s="3" t="s">
        <v>66</v>
      </c>
      <c r="S6603" s="4">
        <v>16</v>
      </c>
      <c r="T6603" s="4">
        <v>16</v>
      </c>
      <c r="U6603" s="5" t="s">
        <v>11202</v>
      </c>
      <c r="V6603" s="5" t="s">
        <v>11202</v>
      </c>
      <c r="W6603" s="5" t="s">
        <v>67</v>
      </c>
      <c r="X6603" s="5" t="s">
        <v>67</v>
      </c>
      <c r="Y6603" s="4">
        <v>296</v>
      </c>
      <c r="Z6603" s="4">
        <v>20</v>
      </c>
      <c r="AA6603" s="4">
        <v>98</v>
      </c>
      <c r="AB6603" s="4">
        <v>3</v>
      </c>
      <c r="AC6603" s="4">
        <v>18</v>
      </c>
      <c r="AD6603" s="4">
        <v>104</v>
      </c>
      <c r="AE6603" s="4">
        <v>141</v>
      </c>
      <c r="AF6603" s="4">
        <v>1</v>
      </c>
      <c r="AG6603" s="4">
        <v>8</v>
      </c>
      <c r="AH6603" s="4">
        <v>95</v>
      </c>
      <c r="AI6603" s="4">
        <v>105</v>
      </c>
      <c r="AJ6603" s="4">
        <v>15</v>
      </c>
      <c r="AK6603" s="4">
        <v>25</v>
      </c>
      <c r="AL6603" s="4">
        <v>51</v>
      </c>
      <c r="AM6603" s="4">
        <v>54</v>
      </c>
      <c r="AN6603" s="4">
        <v>0</v>
      </c>
      <c r="AO6603" s="4">
        <v>0</v>
      </c>
      <c r="AP6603" s="4">
        <v>17</v>
      </c>
      <c r="AQ6603" s="4">
        <v>46</v>
      </c>
      <c r="AR6603" s="3" t="s">
        <v>62</v>
      </c>
      <c r="AS6603" s="3" t="s">
        <v>62</v>
      </c>
      <c r="AT6603" s="3" t="s">
        <v>62</v>
      </c>
      <c r="AV6603" s="6" t="str">
        <f>HYPERLINK("http://mcgill.on.worldcat.org/oclc/46359578","Catalog Record")</f>
        <v>Catalog Record</v>
      </c>
      <c r="AW6603" s="6" t="str">
        <f>HYPERLINK("http://www.worldcat.org/oclc/46359578","WorldCat Record")</f>
        <v>WorldCat Record</v>
      </c>
      <c r="AX6603" s="3" t="s">
        <v>63607</v>
      </c>
      <c r="AY6603" s="3" t="s">
        <v>63608</v>
      </c>
      <c r="AZ6603" s="3" t="s">
        <v>63609</v>
      </c>
      <c r="BA6603" s="3" t="s">
        <v>63609</v>
      </c>
      <c r="BB6603" s="3" t="s">
        <v>63610</v>
      </c>
      <c r="BC6603" s="3" t="s">
        <v>142</v>
      </c>
      <c r="BD6603" s="3" t="s">
        <v>68</v>
      </c>
      <c r="BE6603" s="3" t="s">
        <v>63611</v>
      </c>
      <c r="BF6603" s="3" t="s">
        <v>63610</v>
      </c>
      <c r="BG6603" s="3" t="s">
        <v>63612</v>
      </c>
    </row>
    <row r="6604" spans="1:59" ht="57" x14ac:dyDescent="0.45">
      <c r="A6604" s="2" t="s">
        <v>59</v>
      </c>
      <c r="B6604" s="2" t="s">
        <v>60</v>
      </c>
      <c r="C6604" s="2" t="s">
        <v>63613</v>
      </c>
      <c r="D6604" s="2" t="s">
        <v>63614</v>
      </c>
      <c r="E6604" s="2" t="s">
        <v>63615</v>
      </c>
      <c r="G6604" s="3" t="s">
        <v>62</v>
      </c>
      <c r="I6604" s="3" t="s">
        <v>62</v>
      </c>
      <c r="J6604" s="3" t="s">
        <v>62</v>
      </c>
      <c r="K6604" s="3" t="s">
        <v>63</v>
      </c>
      <c r="L6604" s="2" t="s">
        <v>63616</v>
      </c>
      <c r="M6604" s="2" t="s">
        <v>63617</v>
      </c>
      <c r="N6604" s="3" t="s">
        <v>1465</v>
      </c>
      <c r="P6604" s="3" t="s">
        <v>65</v>
      </c>
      <c r="R6604" s="3" t="s">
        <v>66</v>
      </c>
      <c r="S6604" s="4">
        <v>3</v>
      </c>
      <c r="T6604" s="4">
        <v>3</v>
      </c>
      <c r="U6604" s="5" t="s">
        <v>1168</v>
      </c>
      <c r="V6604" s="5" t="s">
        <v>1168</v>
      </c>
      <c r="W6604" s="5" t="s">
        <v>67</v>
      </c>
      <c r="X6604" s="5" t="s">
        <v>67</v>
      </c>
      <c r="Y6604" s="4">
        <v>317</v>
      </c>
      <c r="Z6604" s="4">
        <v>17</v>
      </c>
      <c r="AA6604" s="4">
        <v>20</v>
      </c>
      <c r="AB6604" s="4">
        <v>2</v>
      </c>
      <c r="AC6604" s="4">
        <v>4</v>
      </c>
      <c r="AD6604" s="4">
        <v>15</v>
      </c>
      <c r="AE6604" s="4">
        <v>17</v>
      </c>
      <c r="AF6604" s="4">
        <v>0</v>
      </c>
      <c r="AG6604" s="4">
        <v>0</v>
      </c>
      <c r="AH6604" s="4">
        <v>14</v>
      </c>
      <c r="AI6604" s="4">
        <v>16</v>
      </c>
      <c r="AJ6604" s="4">
        <v>1</v>
      </c>
      <c r="AK6604" s="4">
        <v>1</v>
      </c>
      <c r="AL6604" s="4">
        <v>6</v>
      </c>
      <c r="AM6604" s="4">
        <v>8</v>
      </c>
      <c r="AN6604" s="4">
        <v>0</v>
      </c>
      <c r="AO6604" s="4">
        <v>0</v>
      </c>
      <c r="AP6604" s="4">
        <v>2</v>
      </c>
      <c r="AQ6604" s="4">
        <v>2</v>
      </c>
      <c r="AR6604" s="3" t="s">
        <v>62</v>
      </c>
      <c r="AS6604" s="3" t="s">
        <v>62</v>
      </c>
      <c r="AT6604" s="3" t="s">
        <v>62</v>
      </c>
      <c r="AV6604" s="6" t="str">
        <f>HYPERLINK("http://mcgill.on.worldcat.org/oclc/259266212","Catalog Record")</f>
        <v>Catalog Record</v>
      </c>
      <c r="AW6604" s="6" t="str">
        <f>HYPERLINK("http://www.worldcat.org/oclc/259266212","WorldCat Record")</f>
        <v>WorldCat Record</v>
      </c>
      <c r="AX6604" s="3" t="s">
        <v>63618</v>
      </c>
      <c r="AY6604" s="3" t="s">
        <v>63619</v>
      </c>
      <c r="AZ6604" s="3" t="s">
        <v>63620</v>
      </c>
      <c r="BA6604" s="3" t="s">
        <v>63620</v>
      </c>
      <c r="BB6604" s="3" t="s">
        <v>63621</v>
      </c>
      <c r="BC6604" s="3" t="s">
        <v>142</v>
      </c>
      <c r="BD6604" s="3" t="s">
        <v>68</v>
      </c>
      <c r="BE6604" s="3" t="s">
        <v>63622</v>
      </c>
      <c r="BF6604" s="3" t="s">
        <v>63621</v>
      </c>
      <c r="BG6604" s="3" t="s">
        <v>63623</v>
      </c>
    </row>
    <row r="6605" spans="1:59" ht="57" x14ac:dyDescent="0.45">
      <c r="A6605" s="2" t="s">
        <v>59</v>
      </c>
      <c r="B6605" s="2" t="s">
        <v>60</v>
      </c>
      <c r="C6605" s="2" t="s">
        <v>63624</v>
      </c>
      <c r="D6605" s="2" t="s">
        <v>63625</v>
      </c>
      <c r="E6605" s="2" t="s">
        <v>63626</v>
      </c>
      <c r="G6605" s="3" t="s">
        <v>62</v>
      </c>
      <c r="I6605" s="3" t="s">
        <v>62</v>
      </c>
      <c r="J6605" s="3" t="s">
        <v>62</v>
      </c>
      <c r="K6605" s="3" t="s">
        <v>63</v>
      </c>
      <c r="M6605" s="2" t="s">
        <v>50113</v>
      </c>
      <c r="N6605" s="3" t="s">
        <v>958</v>
      </c>
      <c r="P6605" s="3" t="s">
        <v>65</v>
      </c>
      <c r="R6605" s="3" t="s">
        <v>66</v>
      </c>
      <c r="S6605" s="4">
        <v>30</v>
      </c>
      <c r="T6605" s="4">
        <v>30</v>
      </c>
      <c r="U6605" s="5" t="s">
        <v>23151</v>
      </c>
      <c r="V6605" s="5" t="s">
        <v>23151</v>
      </c>
      <c r="W6605" s="5" t="s">
        <v>67</v>
      </c>
      <c r="X6605" s="5" t="s">
        <v>67</v>
      </c>
      <c r="Y6605" s="4">
        <v>233</v>
      </c>
      <c r="Z6605" s="4">
        <v>15</v>
      </c>
      <c r="AA6605" s="4">
        <v>21</v>
      </c>
      <c r="AB6605" s="4">
        <v>2</v>
      </c>
      <c r="AC6605" s="4">
        <v>8</v>
      </c>
      <c r="AD6605" s="4">
        <v>94</v>
      </c>
      <c r="AE6605" s="4">
        <v>98</v>
      </c>
      <c r="AF6605" s="4">
        <v>1</v>
      </c>
      <c r="AG6605" s="4">
        <v>4</v>
      </c>
      <c r="AH6605" s="4">
        <v>86</v>
      </c>
      <c r="AI6605" s="4">
        <v>88</v>
      </c>
      <c r="AJ6605" s="4">
        <v>12</v>
      </c>
      <c r="AK6605" s="4">
        <v>15</v>
      </c>
      <c r="AL6605" s="4">
        <v>47</v>
      </c>
      <c r="AM6605" s="4">
        <v>47</v>
      </c>
      <c r="AN6605" s="4">
        <v>0</v>
      </c>
      <c r="AO6605" s="4">
        <v>0</v>
      </c>
      <c r="AP6605" s="4">
        <v>12</v>
      </c>
      <c r="AQ6605" s="4">
        <v>14</v>
      </c>
      <c r="AR6605" s="3" t="s">
        <v>62</v>
      </c>
      <c r="AS6605" s="3" t="s">
        <v>62</v>
      </c>
      <c r="AT6605" s="3" t="s">
        <v>62</v>
      </c>
      <c r="AV6605" s="6" t="str">
        <f>HYPERLINK("http://mcgill.on.worldcat.org/oclc/30735258","Catalog Record")</f>
        <v>Catalog Record</v>
      </c>
      <c r="AW6605" s="6" t="str">
        <f>HYPERLINK("http://www.worldcat.org/oclc/30735258","WorldCat Record")</f>
        <v>WorldCat Record</v>
      </c>
      <c r="AX6605" s="3" t="s">
        <v>63627</v>
      </c>
      <c r="AY6605" s="3" t="s">
        <v>63628</v>
      </c>
      <c r="AZ6605" s="3" t="s">
        <v>63629</v>
      </c>
      <c r="BA6605" s="3" t="s">
        <v>63629</v>
      </c>
      <c r="BB6605" s="3" t="s">
        <v>63630</v>
      </c>
      <c r="BC6605" s="3" t="s">
        <v>142</v>
      </c>
      <c r="BD6605" s="3" t="s">
        <v>68</v>
      </c>
      <c r="BE6605" s="3" t="s">
        <v>63631</v>
      </c>
      <c r="BF6605" s="3" t="s">
        <v>63630</v>
      </c>
      <c r="BG6605" s="3" t="s">
        <v>63632</v>
      </c>
    </row>
    <row r="6606" spans="1:59" ht="57" x14ac:dyDescent="0.45">
      <c r="A6606" s="2" t="s">
        <v>59</v>
      </c>
      <c r="B6606" s="2" t="s">
        <v>60</v>
      </c>
      <c r="C6606" s="2" t="s">
        <v>63633</v>
      </c>
      <c r="D6606" s="2" t="s">
        <v>63634</v>
      </c>
      <c r="E6606" s="2" t="s">
        <v>63635</v>
      </c>
      <c r="G6606" s="3" t="s">
        <v>62</v>
      </c>
      <c r="I6606" s="3" t="s">
        <v>62</v>
      </c>
      <c r="J6606" s="3" t="s">
        <v>62</v>
      </c>
      <c r="K6606" s="3" t="s">
        <v>63</v>
      </c>
      <c r="L6606" s="2" t="s">
        <v>63636</v>
      </c>
      <c r="M6606" s="2" t="s">
        <v>63637</v>
      </c>
      <c r="N6606" s="3" t="s">
        <v>1212</v>
      </c>
      <c r="P6606" s="3" t="s">
        <v>65</v>
      </c>
      <c r="R6606" s="3" t="s">
        <v>66</v>
      </c>
      <c r="S6606" s="4">
        <v>1</v>
      </c>
      <c r="T6606" s="4">
        <v>1</v>
      </c>
      <c r="U6606" s="5" t="s">
        <v>11636</v>
      </c>
      <c r="V6606" s="5" t="s">
        <v>11636</v>
      </c>
      <c r="W6606" s="5" t="s">
        <v>67</v>
      </c>
      <c r="X6606" s="5" t="s">
        <v>67</v>
      </c>
      <c r="Y6606" s="4">
        <v>2</v>
      </c>
      <c r="Z6606" s="4">
        <v>1</v>
      </c>
      <c r="AA6606" s="4">
        <v>2</v>
      </c>
      <c r="AB6606" s="4">
        <v>1</v>
      </c>
      <c r="AC6606" s="4">
        <v>1</v>
      </c>
      <c r="AD6606" s="4">
        <v>0</v>
      </c>
      <c r="AE6606" s="4">
        <v>2</v>
      </c>
      <c r="AF6606" s="4">
        <v>0</v>
      </c>
      <c r="AG6606" s="4">
        <v>0</v>
      </c>
      <c r="AH6606" s="4">
        <v>0</v>
      </c>
      <c r="AI6606" s="4">
        <v>2</v>
      </c>
      <c r="AJ6606" s="4">
        <v>0</v>
      </c>
      <c r="AK6606" s="4">
        <v>1</v>
      </c>
      <c r="AL6606" s="4">
        <v>0</v>
      </c>
      <c r="AM6606" s="4">
        <v>1</v>
      </c>
      <c r="AN6606" s="4">
        <v>0</v>
      </c>
      <c r="AO6606" s="4">
        <v>0</v>
      </c>
      <c r="AP6606" s="4">
        <v>0</v>
      </c>
      <c r="AQ6606" s="4">
        <v>1</v>
      </c>
      <c r="AR6606" s="3" t="s">
        <v>62</v>
      </c>
      <c r="AS6606" s="3" t="s">
        <v>62</v>
      </c>
      <c r="AT6606" s="3" t="s">
        <v>62</v>
      </c>
      <c r="AV6606" s="6" t="str">
        <f>HYPERLINK("http://mcgill.on.worldcat.org/oclc/641934771","Catalog Record")</f>
        <v>Catalog Record</v>
      </c>
      <c r="AW6606" s="6" t="str">
        <f>HYPERLINK("http://www.worldcat.org/oclc/641934771","WorldCat Record")</f>
        <v>WorldCat Record</v>
      </c>
      <c r="AX6606" s="3" t="s">
        <v>63638</v>
      </c>
      <c r="AY6606" s="3" t="s">
        <v>63639</v>
      </c>
      <c r="AZ6606" s="3" t="s">
        <v>63640</v>
      </c>
      <c r="BA6606" s="3" t="s">
        <v>63640</v>
      </c>
      <c r="BB6606" s="3" t="s">
        <v>63641</v>
      </c>
      <c r="BC6606" s="3" t="s">
        <v>104</v>
      </c>
      <c r="BD6606" s="3" t="s">
        <v>68</v>
      </c>
      <c r="BF6606" s="3" t="s">
        <v>63641</v>
      </c>
      <c r="BG6606" s="3" t="s">
        <v>63642</v>
      </c>
    </row>
    <row r="6607" spans="1:59" ht="57" x14ac:dyDescent="0.45">
      <c r="A6607" s="2" t="s">
        <v>59</v>
      </c>
      <c r="B6607" s="2" t="s">
        <v>60</v>
      </c>
      <c r="C6607" s="2" t="s">
        <v>63643</v>
      </c>
      <c r="D6607" s="2" t="s">
        <v>63644</v>
      </c>
      <c r="E6607" s="2" t="s">
        <v>63645</v>
      </c>
      <c r="G6607" s="3" t="s">
        <v>62</v>
      </c>
      <c r="I6607" s="3" t="s">
        <v>62</v>
      </c>
      <c r="J6607" s="3" t="s">
        <v>62</v>
      </c>
      <c r="K6607" s="3" t="s">
        <v>63</v>
      </c>
      <c r="L6607" s="2" t="s">
        <v>63646</v>
      </c>
      <c r="M6607" s="2" t="s">
        <v>1178</v>
      </c>
      <c r="N6607" s="3" t="s">
        <v>894</v>
      </c>
      <c r="P6607" s="3" t="s">
        <v>65</v>
      </c>
      <c r="Q6607" s="2" t="s">
        <v>63647</v>
      </c>
      <c r="R6607" s="3" t="s">
        <v>66</v>
      </c>
      <c r="S6607" s="4">
        <v>2</v>
      </c>
      <c r="T6607" s="4">
        <v>2</v>
      </c>
      <c r="U6607" s="5" t="s">
        <v>12338</v>
      </c>
      <c r="V6607" s="5" t="s">
        <v>12338</v>
      </c>
      <c r="W6607" s="5" t="s">
        <v>67</v>
      </c>
      <c r="X6607" s="5" t="s">
        <v>67</v>
      </c>
      <c r="Y6607" s="4">
        <v>74</v>
      </c>
      <c r="Z6607" s="4">
        <v>6</v>
      </c>
      <c r="AA6607" s="4">
        <v>86</v>
      </c>
      <c r="AB6607" s="4">
        <v>1</v>
      </c>
      <c r="AC6607" s="4">
        <v>17</v>
      </c>
      <c r="AD6607" s="4">
        <v>34</v>
      </c>
      <c r="AE6607" s="4">
        <v>110</v>
      </c>
      <c r="AF6607" s="4">
        <v>0</v>
      </c>
      <c r="AG6607" s="4">
        <v>8</v>
      </c>
      <c r="AH6607" s="4">
        <v>31</v>
      </c>
      <c r="AI6607" s="4">
        <v>74</v>
      </c>
      <c r="AJ6607" s="4">
        <v>4</v>
      </c>
      <c r="AK6607" s="4">
        <v>21</v>
      </c>
      <c r="AL6607" s="4">
        <v>22</v>
      </c>
      <c r="AM6607" s="4">
        <v>41</v>
      </c>
      <c r="AN6607" s="4">
        <v>0</v>
      </c>
      <c r="AO6607" s="4">
        <v>0</v>
      </c>
      <c r="AP6607" s="4">
        <v>5</v>
      </c>
      <c r="AQ6607" s="4">
        <v>42</v>
      </c>
      <c r="AR6607" s="3" t="s">
        <v>62</v>
      </c>
      <c r="AS6607" s="3" t="s">
        <v>62</v>
      </c>
      <c r="AT6607" s="3" t="s">
        <v>62</v>
      </c>
      <c r="AV6607" s="6" t="str">
        <f>HYPERLINK("http://mcgill.on.worldcat.org/oclc/683596231","Catalog Record")</f>
        <v>Catalog Record</v>
      </c>
      <c r="AW6607" s="6" t="str">
        <f>HYPERLINK("http://www.worldcat.org/oclc/683596231","WorldCat Record")</f>
        <v>WorldCat Record</v>
      </c>
      <c r="AX6607" s="3" t="s">
        <v>63648</v>
      </c>
      <c r="AY6607" s="3" t="s">
        <v>63649</v>
      </c>
      <c r="AZ6607" s="3" t="s">
        <v>63650</v>
      </c>
      <c r="BA6607" s="3" t="s">
        <v>63650</v>
      </c>
      <c r="BB6607" s="3" t="s">
        <v>63651</v>
      </c>
      <c r="BC6607" s="3" t="s">
        <v>142</v>
      </c>
      <c r="BD6607" s="3" t="s">
        <v>68</v>
      </c>
      <c r="BE6607" s="3" t="s">
        <v>63652</v>
      </c>
      <c r="BF6607" s="3" t="s">
        <v>63651</v>
      </c>
      <c r="BG6607" s="3" t="s">
        <v>63653</v>
      </c>
    </row>
    <row r="6608" spans="1:59" ht="57" x14ac:dyDescent="0.45">
      <c r="A6608" s="2" t="s">
        <v>59</v>
      </c>
      <c r="B6608" s="2" t="s">
        <v>60</v>
      </c>
      <c r="C6608" s="2" t="s">
        <v>63654</v>
      </c>
      <c r="D6608" s="2" t="s">
        <v>63655</v>
      </c>
      <c r="E6608" s="2" t="s">
        <v>63656</v>
      </c>
      <c r="G6608" s="3" t="s">
        <v>62</v>
      </c>
      <c r="I6608" s="3" t="s">
        <v>62</v>
      </c>
      <c r="J6608" s="3" t="s">
        <v>62</v>
      </c>
      <c r="K6608" s="3" t="s">
        <v>63</v>
      </c>
      <c r="M6608" s="2" t="s">
        <v>20773</v>
      </c>
      <c r="N6608" s="3" t="s">
        <v>820</v>
      </c>
      <c r="P6608" s="3" t="s">
        <v>65</v>
      </c>
      <c r="R6608" s="3" t="s">
        <v>66</v>
      </c>
      <c r="S6608" s="4">
        <v>3</v>
      </c>
      <c r="T6608" s="4">
        <v>3</v>
      </c>
      <c r="U6608" s="5" t="s">
        <v>569</v>
      </c>
      <c r="V6608" s="5" t="s">
        <v>569</v>
      </c>
      <c r="W6608" s="5" t="s">
        <v>67</v>
      </c>
      <c r="X6608" s="5" t="s">
        <v>67</v>
      </c>
      <c r="Y6608" s="4">
        <v>80</v>
      </c>
      <c r="Z6608" s="4">
        <v>9</v>
      </c>
      <c r="AA6608" s="4">
        <v>92</v>
      </c>
      <c r="AB6608" s="4">
        <v>1</v>
      </c>
      <c r="AC6608" s="4">
        <v>17</v>
      </c>
      <c r="AD6608" s="4">
        <v>26</v>
      </c>
      <c r="AE6608" s="4">
        <v>96</v>
      </c>
      <c r="AF6608" s="4">
        <v>0</v>
      </c>
      <c r="AG6608" s="4">
        <v>8</v>
      </c>
      <c r="AH6608" s="4">
        <v>24</v>
      </c>
      <c r="AI6608" s="4">
        <v>62</v>
      </c>
      <c r="AJ6608" s="4">
        <v>6</v>
      </c>
      <c r="AK6608" s="4">
        <v>21</v>
      </c>
      <c r="AL6608" s="4">
        <v>14</v>
      </c>
      <c r="AM6608" s="4">
        <v>30</v>
      </c>
      <c r="AN6608" s="4">
        <v>0</v>
      </c>
      <c r="AO6608" s="4">
        <v>0</v>
      </c>
      <c r="AP6608" s="4">
        <v>7</v>
      </c>
      <c r="AQ6608" s="4">
        <v>42</v>
      </c>
      <c r="AR6608" s="3" t="s">
        <v>62</v>
      </c>
      <c r="AS6608" s="3" t="s">
        <v>62</v>
      </c>
      <c r="AT6608" s="3" t="s">
        <v>62</v>
      </c>
      <c r="AV6608" s="6" t="str">
        <f>HYPERLINK("http://mcgill.on.worldcat.org/oclc/191882088","Catalog Record")</f>
        <v>Catalog Record</v>
      </c>
      <c r="AW6608" s="6" t="str">
        <f>HYPERLINK("http://www.worldcat.org/oclc/191882088","WorldCat Record")</f>
        <v>WorldCat Record</v>
      </c>
      <c r="AX6608" s="3" t="s">
        <v>63657</v>
      </c>
      <c r="AY6608" s="3" t="s">
        <v>63658</v>
      </c>
      <c r="AZ6608" s="3" t="s">
        <v>63659</v>
      </c>
      <c r="BA6608" s="3" t="s">
        <v>63659</v>
      </c>
      <c r="BB6608" s="3" t="s">
        <v>63660</v>
      </c>
      <c r="BC6608" s="3" t="s">
        <v>142</v>
      </c>
      <c r="BD6608" s="3" t="s">
        <v>68</v>
      </c>
      <c r="BE6608" s="3" t="s">
        <v>63661</v>
      </c>
      <c r="BF6608" s="3" t="s">
        <v>63660</v>
      </c>
      <c r="BG6608" s="3" t="s">
        <v>63662</v>
      </c>
    </row>
    <row r="6609" spans="1:59" ht="57" x14ac:dyDescent="0.45">
      <c r="A6609" s="2" t="s">
        <v>59</v>
      </c>
      <c r="B6609" s="2" t="s">
        <v>60</v>
      </c>
      <c r="C6609" s="2" t="s">
        <v>63663</v>
      </c>
      <c r="D6609" s="2" t="s">
        <v>63664</v>
      </c>
      <c r="E6609" s="2" t="s">
        <v>63468</v>
      </c>
      <c r="G6609" s="3" t="s">
        <v>62</v>
      </c>
      <c r="I6609" s="3" t="s">
        <v>62</v>
      </c>
      <c r="J6609" s="3" t="s">
        <v>61</v>
      </c>
      <c r="K6609" s="3" t="s">
        <v>63</v>
      </c>
      <c r="L6609" s="2" t="s">
        <v>41774</v>
      </c>
      <c r="M6609" s="2" t="s">
        <v>917</v>
      </c>
      <c r="N6609" s="3" t="s">
        <v>918</v>
      </c>
      <c r="O6609" s="2" t="s">
        <v>906</v>
      </c>
      <c r="P6609" s="3" t="s">
        <v>65</v>
      </c>
      <c r="R6609" s="3" t="s">
        <v>66</v>
      </c>
      <c r="S6609" s="4">
        <v>16</v>
      </c>
      <c r="T6609" s="4">
        <v>16</v>
      </c>
      <c r="U6609" s="5" t="s">
        <v>5838</v>
      </c>
      <c r="V6609" s="5" t="s">
        <v>5838</v>
      </c>
      <c r="W6609" s="5" t="s">
        <v>67</v>
      </c>
      <c r="X6609" s="5" t="s">
        <v>67</v>
      </c>
      <c r="Y6609" s="4">
        <v>272</v>
      </c>
      <c r="Z6609" s="4">
        <v>21</v>
      </c>
      <c r="AA6609" s="4">
        <v>70</v>
      </c>
      <c r="AB6609" s="4">
        <v>1</v>
      </c>
      <c r="AC6609" s="4">
        <v>8</v>
      </c>
      <c r="AD6609" s="4">
        <v>75</v>
      </c>
      <c r="AE6609" s="4">
        <v>139</v>
      </c>
      <c r="AF6609" s="4">
        <v>0</v>
      </c>
      <c r="AG6609" s="4">
        <v>4</v>
      </c>
      <c r="AH6609" s="4">
        <v>68</v>
      </c>
      <c r="AI6609" s="4">
        <v>111</v>
      </c>
      <c r="AJ6609" s="4">
        <v>14</v>
      </c>
      <c r="AK6609" s="4">
        <v>24</v>
      </c>
      <c r="AL6609" s="4">
        <v>37</v>
      </c>
      <c r="AM6609" s="4">
        <v>61</v>
      </c>
      <c r="AN6609" s="4">
        <v>0</v>
      </c>
      <c r="AO6609" s="4">
        <v>0</v>
      </c>
      <c r="AP6609" s="4">
        <v>17</v>
      </c>
      <c r="AQ6609" s="4">
        <v>35</v>
      </c>
      <c r="AR6609" s="3" t="s">
        <v>62</v>
      </c>
      <c r="AS6609" s="3" t="s">
        <v>62</v>
      </c>
      <c r="AT6609" s="3" t="s">
        <v>62</v>
      </c>
      <c r="AV6609" s="6" t="str">
        <f>HYPERLINK("http://mcgill.on.worldcat.org/oclc/49672086","Catalog Record")</f>
        <v>Catalog Record</v>
      </c>
      <c r="AW6609" s="6" t="str">
        <f>HYPERLINK("http://www.worldcat.org/oclc/49672086","WorldCat Record")</f>
        <v>WorldCat Record</v>
      </c>
      <c r="AX6609" s="3" t="s">
        <v>63470</v>
      </c>
      <c r="AY6609" s="3" t="s">
        <v>63665</v>
      </c>
      <c r="AZ6609" s="3" t="s">
        <v>63666</v>
      </c>
      <c r="BA6609" s="3" t="s">
        <v>63666</v>
      </c>
      <c r="BB6609" s="3" t="s">
        <v>63667</v>
      </c>
      <c r="BC6609" s="3" t="s">
        <v>142</v>
      </c>
      <c r="BD6609" s="3" t="s">
        <v>308</v>
      </c>
      <c r="BE6609" s="3" t="s">
        <v>63668</v>
      </c>
      <c r="BF6609" s="3" t="s">
        <v>63667</v>
      </c>
      <c r="BG6609" s="3" t="s">
        <v>63669</v>
      </c>
    </row>
    <row r="6610" spans="1:59" ht="57" x14ac:dyDescent="0.45">
      <c r="A6610" s="2" t="s">
        <v>59</v>
      </c>
      <c r="B6610" s="2" t="s">
        <v>60</v>
      </c>
      <c r="C6610" s="2" t="s">
        <v>63670</v>
      </c>
      <c r="D6610" s="2" t="s">
        <v>63671</v>
      </c>
      <c r="E6610" s="2" t="s">
        <v>63672</v>
      </c>
      <c r="G6610" s="3" t="s">
        <v>62</v>
      </c>
      <c r="I6610" s="3" t="s">
        <v>62</v>
      </c>
      <c r="J6610" s="3" t="s">
        <v>62</v>
      </c>
      <c r="K6610" s="3" t="s">
        <v>63</v>
      </c>
      <c r="M6610" s="2" t="s">
        <v>63673</v>
      </c>
      <c r="N6610" s="3" t="s">
        <v>1059</v>
      </c>
      <c r="P6610" s="3" t="s">
        <v>65</v>
      </c>
      <c r="R6610" s="3" t="s">
        <v>66</v>
      </c>
      <c r="S6610" s="4">
        <v>10</v>
      </c>
      <c r="T6610" s="4">
        <v>10</v>
      </c>
      <c r="U6610" s="5" t="s">
        <v>386</v>
      </c>
      <c r="V6610" s="5" t="s">
        <v>386</v>
      </c>
      <c r="W6610" s="5" t="s">
        <v>67</v>
      </c>
      <c r="X6610" s="5" t="s">
        <v>67</v>
      </c>
      <c r="Y6610" s="4">
        <v>137</v>
      </c>
      <c r="Z6610" s="4">
        <v>17</v>
      </c>
      <c r="AA6610" s="4">
        <v>23</v>
      </c>
      <c r="AB6610" s="4">
        <v>2</v>
      </c>
      <c r="AC6610" s="4">
        <v>7</v>
      </c>
      <c r="AD6610" s="4">
        <v>69</v>
      </c>
      <c r="AE6610" s="4">
        <v>73</v>
      </c>
      <c r="AF6610" s="4">
        <v>1</v>
      </c>
      <c r="AG6610" s="4">
        <v>3</v>
      </c>
      <c r="AH6610" s="4">
        <v>63</v>
      </c>
      <c r="AI6610" s="4">
        <v>66</v>
      </c>
      <c r="AJ6610" s="4">
        <v>14</v>
      </c>
      <c r="AK6610" s="4">
        <v>17</v>
      </c>
      <c r="AL6610" s="4">
        <v>38</v>
      </c>
      <c r="AM6610" s="4">
        <v>38</v>
      </c>
      <c r="AN6610" s="4">
        <v>0</v>
      </c>
      <c r="AO6610" s="4">
        <v>0</v>
      </c>
      <c r="AP6610" s="4">
        <v>15</v>
      </c>
      <c r="AQ6610" s="4">
        <v>17</v>
      </c>
      <c r="AR6610" s="3" t="s">
        <v>62</v>
      </c>
      <c r="AS6610" s="3" t="s">
        <v>62</v>
      </c>
      <c r="AT6610" s="3" t="s">
        <v>62</v>
      </c>
      <c r="AV6610" s="6" t="str">
        <f>HYPERLINK("http://mcgill.on.worldcat.org/oclc/64453368","Catalog Record")</f>
        <v>Catalog Record</v>
      </c>
      <c r="AW6610" s="6" t="str">
        <f>HYPERLINK("http://www.worldcat.org/oclc/64453368","WorldCat Record")</f>
        <v>WorldCat Record</v>
      </c>
      <c r="AX6610" s="3" t="s">
        <v>63674</v>
      </c>
      <c r="AY6610" s="3" t="s">
        <v>63675</v>
      </c>
      <c r="AZ6610" s="3" t="s">
        <v>63676</v>
      </c>
      <c r="BA6610" s="3" t="s">
        <v>63676</v>
      </c>
      <c r="BB6610" s="3" t="s">
        <v>63677</v>
      </c>
      <c r="BC6610" s="3" t="s">
        <v>142</v>
      </c>
      <c r="BD6610" s="3" t="s">
        <v>68</v>
      </c>
      <c r="BE6610" s="3" t="s">
        <v>63678</v>
      </c>
      <c r="BF6610" s="3" t="s">
        <v>63677</v>
      </c>
      <c r="BG6610" s="3" t="s">
        <v>63679</v>
      </c>
    </row>
    <row r="6611" spans="1:59" ht="71.25" x14ac:dyDescent="0.45">
      <c r="A6611" s="2" t="s">
        <v>59</v>
      </c>
      <c r="B6611" s="2" t="s">
        <v>60</v>
      </c>
      <c r="C6611" s="2" t="s">
        <v>63680</v>
      </c>
      <c r="D6611" s="2" t="s">
        <v>63681</v>
      </c>
      <c r="E6611" s="2" t="s">
        <v>63682</v>
      </c>
      <c r="G6611" s="3" t="s">
        <v>62</v>
      </c>
      <c r="I6611" s="3" t="s">
        <v>62</v>
      </c>
      <c r="J6611" s="3" t="s">
        <v>62</v>
      </c>
      <c r="K6611" s="3" t="s">
        <v>63</v>
      </c>
      <c r="M6611" s="2" t="s">
        <v>63683</v>
      </c>
      <c r="N6611" s="3" t="s">
        <v>945</v>
      </c>
      <c r="O6611" s="2" t="s">
        <v>168</v>
      </c>
      <c r="P6611" s="3" t="s">
        <v>65</v>
      </c>
      <c r="R6611" s="3" t="s">
        <v>66</v>
      </c>
      <c r="S6611" s="4">
        <v>7</v>
      </c>
      <c r="T6611" s="4">
        <v>7</v>
      </c>
      <c r="U6611" s="5" t="s">
        <v>6831</v>
      </c>
      <c r="V6611" s="5" t="s">
        <v>6831</v>
      </c>
      <c r="W6611" s="5" t="s">
        <v>67</v>
      </c>
      <c r="X6611" s="5" t="s">
        <v>67</v>
      </c>
      <c r="Y6611" s="4">
        <v>13</v>
      </c>
      <c r="Z6611" s="4">
        <v>2</v>
      </c>
      <c r="AA6611" s="4">
        <v>94</v>
      </c>
      <c r="AB6611" s="4">
        <v>1</v>
      </c>
      <c r="AC6611" s="4">
        <v>17</v>
      </c>
      <c r="AD6611" s="4">
        <v>5</v>
      </c>
      <c r="AE6611" s="4">
        <v>122</v>
      </c>
      <c r="AF6611" s="4">
        <v>0</v>
      </c>
      <c r="AG6611" s="4">
        <v>8</v>
      </c>
      <c r="AH6611" s="4">
        <v>5</v>
      </c>
      <c r="AI6611" s="4">
        <v>83</v>
      </c>
      <c r="AJ6611" s="4">
        <v>1</v>
      </c>
      <c r="AK6611" s="4">
        <v>24</v>
      </c>
      <c r="AL6611" s="4">
        <v>2</v>
      </c>
      <c r="AM6611" s="4">
        <v>46</v>
      </c>
      <c r="AN6611" s="4">
        <v>0</v>
      </c>
      <c r="AO6611" s="4">
        <v>0</v>
      </c>
      <c r="AP6611" s="4">
        <v>1</v>
      </c>
      <c r="AQ6611" s="4">
        <v>46</v>
      </c>
      <c r="AR6611" s="3" t="s">
        <v>62</v>
      </c>
      <c r="AS6611" s="3" t="s">
        <v>62</v>
      </c>
      <c r="AT6611" s="3" t="s">
        <v>62</v>
      </c>
      <c r="AV6611" s="6" t="str">
        <f>HYPERLINK("http://mcgill.on.worldcat.org/oclc/779663903","Catalog Record")</f>
        <v>Catalog Record</v>
      </c>
      <c r="AW6611" s="6" t="str">
        <f>HYPERLINK("http://www.worldcat.org/oclc/779663903","WorldCat Record")</f>
        <v>WorldCat Record</v>
      </c>
      <c r="AX6611" s="3" t="s">
        <v>63684</v>
      </c>
      <c r="AY6611" s="3" t="s">
        <v>63685</v>
      </c>
      <c r="AZ6611" s="3" t="s">
        <v>63686</v>
      </c>
      <c r="BA6611" s="3" t="s">
        <v>63686</v>
      </c>
      <c r="BB6611" s="3" t="s">
        <v>63687</v>
      </c>
      <c r="BC6611" s="3" t="s">
        <v>142</v>
      </c>
      <c r="BD6611" s="3" t="s">
        <v>68</v>
      </c>
      <c r="BE6611" s="3" t="s">
        <v>63688</v>
      </c>
      <c r="BF6611" s="3" t="s">
        <v>63687</v>
      </c>
      <c r="BG6611" s="3" t="s">
        <v>63689</v>
      </c>
    </row>
    <row r="6612" spans="1:59" ht="57" x14ac:dyDescent="0.45">
      <c r="A6612" s="2" t="s">
        <v>59</v>
      </c>
      <c r="B6612" s="2" t="s">
        <v>60</v>
      </c>
      <c r="C6612" s="2" t="s">
        <v>63690</v>
      </c>
      <c r="D6612" s="2" t="s">
        <v>63691</v>
      </c>
      <c r="E6612" s="2" t="s">
        <v>63692</v>
      </c>
      <c r="G6612" s="3" t="s">
        <v>62</v>
      </c>
      <c r="I6612" s="3" t="s">
        <v>62</v>
      </c>
      <c r="J6612" s="3" t="s">
        <v>62</v>
      </c>
      <c r="K6612" s="3" t="s">
        <v>63</v>
      </c>
      <c r="M6612" s="2" t="s">
        <v>3172</v>
      </c>
      <c r="N6612" s="3" t="s">
        <v>149</v>
      </c>
      <c r="P6612" s="3" t="s">
        <v>65</v>
      </c>
      <c r="R6612" s="3" t="s">
        <v>66</v>
      </c>
      <c r="S6612" s="4">
        <v>0</v>
      </c>
      <c r="T6612" s="4">
        <v>0</v>
      </c>
      <c r="W6612" s="5" t="s">
        <v>67</v>
      </c>
      <c r="X6612" s="5" t="s">
        <v>67</v>
      </c>
      <c r="Y6612" s="4">
        <v>60</v>
      </c>
      <c r="Z6612" s="4">
        <v>7</v>
      </c>
      <c r="AA6612" s="4">
        <v>78</v>
      </c>
      <c r="AB6612" s="4">
        <v>1</v>
      </c>
      <c r="AC6612" s="4">
        <v>14</v>
      </c>
      <c r="AD6612" s="4">
        <v>28</v>
      </c>
      <c r="AE6612" s="4">
        <v>105</v>
      </c>
      <c r="AF6612" s="4">
        <v>0</v>
      </c>
      <c r="AG6612" s="4">
        <v>8</v>
      </c>
      <c r="AH6612" s="4">
        <v>27</v>
      </c>
      <c r="AI6612" s="4">
        <v>72</v>
      </c>
      <c r="AJ6612" s="4">
        <v>5</v>
      </c>
      <c r="AK6612" s="4">
        <v>21</v>
      </c>
      <c r="AL6612" s="4">
        <v>16</v>
      </c>
      <c r="AM6612" s="4">
        <v>36</v>
      </c>
      <c r="AN6612" s="4">
        <v>0</v>
      </c>
      <c r="AO6612" s="4">
        <v>0</v>
      </c>
      <c r="AP6612" s="4">
        <v>6</v>
      </c>
      <c r="AQ6612" s="4">
        <v>41</v>
      </c>
      <c r="AR6612" s="3" t="s">
        <v>62</v>
      </c>
      <c r="AS6612" s="3" t="s">
        <v>62</v>
      </c>
      <c r="AT6612" s="3" t="s">
        <v>62</v>
      </c>
      <c r="AV6612" s="6" t="str">
        <f>HYPERLINK("http://mcgill.on.worldcat.org/oclc/683414105","Catalog Record")</f>
        <v>Catalog Record</v>
      </c>
      <c r="AW6612" s="6" t="str">
        <f>HYPERLINK("http://www.worldcat.org/oclc/683414105","WorldCat Record")</f>
        <v>WorldCat Record</v>
      </c>
      <c r="AX6612" s="3" t="s">
        <v>63693</v>
      </c>
      <c r="AY6612" s="3" t="s">
        <v>63694</v>
      </c>
      <c r="AZ6612" s="3" t="s">
        <v>63695</v>
      </c>
      <c r="BA6612" s="3" t="s">
        <v>63695</v>
      </c>
      <c r="BB6612" s="3" t="s">
        <v>63696</v>
      </c>
      <c r="BC6612" s="3" t="s">
        <v>142</v>
      </c>
      <c r="BD6612" s="3" t="s">
        <v>68</v>
      </c>
      <c r="BE6612" s="3" t="s">
        <v>63697</v>
      </c>
      <c r="BF6612" s="3" t="s">
        <v>63696</v>
      </c>
      <c r="BG6612" s="3" t="s">
        <v>63698</v>
      </c>
    </row>
    <row r="6613" spans="1:59" ht="57" x14ac:dyDescent="0.45">
      <c r="A6613" s="2" t="s">
        <v>59</v>
      </c>
      <c r="B6613" s="2" t="s">
        <v>60</v>
      </c>
      <c r="C6613" s="2" t="s">
        <v>63699</v>
      </c>
      <c r="D6613" s="2" t="s">
        <v>63700</v>
      </c>
      <c r="E6613" s="2" t="s">
        <v>63701</v>
      </c>
      <c r="G6613" s="3" t="s">
        <v>62</v>
      </c>
      <c r="I6613" s="3" t="s">
        <v>62</v>
      </c>
      <c r="J6613" s="3" t="s">
        <v>62</v>
      </c>
      <c r="K6613" s="3" t="s">
        <v>63</v>
      </c>
      <c r="M6613" s="2" t="s">
        <v>21466</v>
      </c>
      <c r="N6613" s="3" t="s">
        <v>116</v>
      </c>
      <c r="P6613" s="3" t="s">
        <v>65</v>
      </c>
      <c r="Q6613" s="2" t="s">
        <v>51544</v>
      </c>
      <c r="R6613" s="3" t="s">
        <v>66</v>
      </c>
      <c r="S6613" s="4">
        <v>0</v>
      </c>
      <c r="T6613" s="4">
        <v>0</v>
      </c>
      <c r="W6613" s="5" t="s">
        <v>67</v>
      </c>
      <c r="X6613" s="5" t="s">
        <v>67</v>
      </c>
      <c r="Y6613" s="4">
        <v>70</v>
      </c>
      <c r="Z6613" s="4">
        <v>15</v>
      </c>
      <c r="AA6613" s="4">
        <v>23</v>
      </c>
      <c r="AB6613" s="4">
        <v>1</v>
      </c>
      <c r="AC6613" s="4">
        <v>7</v>
      </c>
      <c r="AD6613" s="4">
        <v>36</v>
      </c>
      <c r="AE6613" s="4">
        <v>44</v>
      </c>
      <c r="AF6613" s="4">
        <v>0</v>
      </c>
      <c r="AG6613" s="4">
        <v>3</v>
      </c>
      <c r="AH6613" s="4">
        <v>31</v>
      </c>
      <c r="AI6613" s="4">
        <v>36</v>
      </c>
      <c r="AJ6613" s="4">
        <v>13</v>
      </c>
      <c r="AK6613" s="4">
        <v>16</v>
      </c>
      <c r="AL6613" s="4">
        <v>19</v>
      </c>
      <c r="AM6613" s="4">
        <v>21</v>
      </c>
      <c r="AN6613" s="4">
        <v>0</v>
      </c>
      <c r="AO6613" s="4">
        <v>0</v>
      </c>
      <c r="AP6613" s="4">
        <v>13</v>
      </c>
      <c r="AQ6613" s="4">
        <v>17</v>
      </c>
      <c r="AR6613" s="3" t="s">
        <v>62</v>
      </c>
      <c r="AS6613" s="3" t="s">
        <v>62</v>
      </c>
      <c r="AT6613" s="3" t="s">
        <v>62</v>
      </c>
      <c r="AV6613" s="6" t="str">
        <f>HYPERLINK("http://mcgill.on.worldcat.org/oclc/841039519","Catalog Record")</f>
        <v>Catalog Record</v>
      </c>
      <c r="AW6613" s="6" t="str">
        <f>HYPERLINK("http://www.worldcat.org/oclc/841039519","WorldCat Record")</f>
        <v>WorldCat Record</v>
      </c>
      <c r="AX6613" s="3" t="s">
        <v>63702</v>
      </c>
      <c r="AY6613" s="3" t="s">
        <v>63703</v>
      </c>
      <c r="AZ6613" s="3" t="s">
        <v>63704</v>
      </c>
      <c r="BA6613" s="3" t="s">
        <v>63704</v>
      </c>
      <c r="BB6613" s="3" t="s">
        <v>63705</v>
      </c>
      <c r="BC6613" s="3" t="s">
        <v>142</v>
      </c>
      <c r="BD6613" s="3" t="s">
        <v>68</v>
      </c>
      <c r="BE6613" s="3" t="s">
        <v>63706</v>
      </c>
      <c r="BF6613" s="3" t="s">
        <v>63705</v>
      </c>
      <c r="BG6613" s="3" t="s">
        <v>63707</v>
      </c>
    </row>
    <row r="6614" spans="1:59" ht="57" x14ac:dyDescent="0.45">
      <c r="A6614" s="2" t="s">
        <v>59</v>
      </c>
      <c r="B6614" s="2" t="s">
        <v>60</v>
      </c>
      <c r="C6614" s="2" t="s">
        <v>63708</v>
      </c>
      <c r="D6614" s="2" t="s">
        <v>63709</v>
      </c>
      <c r="E6614" s="2" t="s">
        <v>63710</v>
      </c>
      <c r="G6614" s="3" t="s">
        <v>62</v>
      </c>
      <c r="I6614" s="3" t="s">
        <v>62</v>
      </c>
      <c r="J6614" s="3" t="s">
        <v>62</v>
      </c>
      <c r="K6614" s="3" t="s">
        <v>63</v>
      </c>
      <c r="L6614" s="2" t="s">
        <v>63711</v>
      </c>
      <c r="M6614" s="2" t="s">
        <v>63712</v>
      </c>
      <c r="N6614" s="3" t="s">
        <v>918</v>
      </c>
      <c r="P6614" s="3" t="s">
        <v>110</v>
      </c>
      <c r="Q6614" s="2" t="s">
        <v>58153</v>
      </c>
      <c r="R6614" s="3" t="s">
        <v>66</v>
      </c>
      <c r="S6614" s="4">
        <v>5</v>
      </c>
      <c r="T6614" s="4">
        <v>5</v>
      </c>
      <c r="U6614" s="5" t="s">
        <v>8869</v>
      </c>
      <c r="V6614" s="5" t="s">
        <v>8869</v>
      </c>
      <c r="W6614" s="5" t="s">
        <v>67</v>
      </c>
      <c r="X6614" s="5" t="s">
        <v>67</v>
      </c>
      <c r="Y6614" s="4">
        <v>25</v>
      </c>
      <c r="Z6614" s="4">
        <v>15</v>
      </c>
      <c r="AA6614" s="4">
        <v>91</v>
      </c>
      <c r="AB6614" s="4">
        <v>8</v>
      </c>
      <c r="AC6614" s="4">
        <v>20</v>
      </c>
      <c r="AD6614" s="4">
        <v>12</v>
      </c>
      <c r="AE6614" s="4">
        <v>76</v>
      </c>
      <c r="AF6614" s="4">
        <v>5</v>
      </c>
      <c r="AG6614" s="4">
        <v>8</v>
      </c>
      <c r="AH6614" s="4">
        <v>5</v>
      </c>
      <c r="AI6614" s="4">
        <v>32</v>
      </c>
      <c r="AJ6614" s="4">
        <v>9</v>
      </c>
      <c r="AK6614" s="4">
        <v>26</v>
      </c>
      <c r="AL6614" s="4">
        <v>0</v>
      </c>
      <c r="AM6614" s="4">
        <v>15</v>
      </c>
      <c r="AN6614" s="4">
        <v>0</v>
      </c>
      <c r="AO6614" s="4">
        <v>0</v>
      </c>
      <c r="AP6614" s="4">
        <v>9</v>
      </c>
      <c r="AQ6614" s="4">
        <v>52</v>
      </c>
      <c r="AR6614" s="3" t="s">
        <v>61</v>
      </c>
      <c r="AS6614" s="3" t="s">
        <v>62</v>
      </c>
      <c r="AT6614" s="3" t="s">
        <v>62</v>
      </c>
      <c r="AV6614" s="6" t="str">
        <f>HYPERLINK("http://mcgill.on.worldcat.org/oclc/52704740","Catalog Record")</f>
        <v>Catalog Record</v>
      </c>
      <c r="AW6614" s="6" t="str">
        <f>HYPERLINK("http://www.worldcat.org/oclc/52704740","WorldCat Record")</f>
        <v>WorldCat Record</v>
      </c>
      <c r="AX6614" s="3" t="s">
        <v>63713</v>
      </c>
      <c r="AY6614" s="3" t="s">
        <v>63714</v>
      </c>
      <c r="AZ6614" s="3" t="s">
        <v>63715</v>
      </c>
      <c r="BA6614" s="3" t="s">
        <v>63715</v>
      </c>
      <c r="BB6614" s="3" t="s">
        <v>63716</v>
      </c>
      <c r="BC6614" s="3" t="s">
        <v>142</v>
      </c>
      <c r="BD6614" s="3" t="s">
        <v>308</v>
      </c>
      <c r="BE6614" s="3" t="s">
        <v>63717</v>
      </c>
      <c r="BF6614" s="3" t="s">
        <v>63716</v>
      </c>
      <c r="BG6614" s="3" t="s">
        <v>63718</v>
      </c>
    </row>
    <row r="6615" spans="1:59" ht="57" x14ac:dyDescent="0.45">
      <c r="A6615" s="2" t="s">
        <v>59</v>
      </c>
      <c r="B6615" s="2" t="s">
        <v>60</v>
      </c>
      <c r="C6615" s="2" t="s">
        <v>63719</v>
      </c>
      <c r="D6615" s="2" t="s">
        <v>63720</v>
      </c>
      <c r="E6615" s="2" t="s">
        <v>63721</v>
      </c>
      <c r="G6615" s="3" t="s">
        <v>62</v>
      </c>
      <c r="I6615" s="3" t="s">
        <v>62</v>
      </c>
      <c r="J6615" s="3" t="s">
        <v>62</v>
      </c>
      <c r="K6615" s="3" t="s">
        <v>63</v>
      </c>
      <c r="L6615" s="2" t="s">
        <v>63722</v>
      </c>
      <c r="M6615" s="2" t="s">
        <v>63723</v>
      </c>
      <c r="N6615" s="3" t="s">
        <v>157</v>
      </c>
      <c r="P6615" s="3" t="s">
        <v>65</v>
      </c>
      <c r="Q6615" s="2" t="s">
        <v>920</v>
      </c>
      <c r="R6615" s="3" t="s">
        <v>66</v>
      </c>
      <c r="S6615" s="4">
        <v>6</v>
      </c>
      <c r="T6615" s="4">
        <v>6</v>
      </c>
      <c r="U6615" s="5" t="s">
        <v>8869</v>
      </c>
      <c r="V6615" s="5" t="s">
        <v>8869</v>
      </c>
      <c r="W6615" s="5" t="s">
        <v>67</v>
      </c>
      <c r="X6615" s="5" t="s">
        <v>67</v>
      </c>
      <c r="Y6615" s="4">
        <v>271</v>
      </c>
      <c r="Z6615" s="4">
        <v>23</v>
      </c>
      <c r="AA6615" s="4">
        <v>25</v>
      </c>
      <c r="AB6615" s="4">
        <v>2</v>
      </c>
      <c r="AC6615" s="4">
        <v>4</v>
      </c>
      <c r="AD6615" s="4">
        <v>93</v>
      </c>
      <c r="AE6615" s="4">
        <v>95</v>
      </c>
      <c r="AF6615" s="4">
        <v>1</v>
      </c>
      <c r="AG6615" s="4">
        <v>3</v>
      </c>
      <c r="AH6615" s="4">
        <v>80</v>
      </c>
      <c r="AI6615" s="4">
        <v>81</v>
      </c>
      <c r="AJ6615" s="4">
        <v>18</v>
      </c>
      <c r="AK6615" s="4">
        <v>20</v>
      </c>
      <c r="AL6615" s="4">
        <v>42</v>
      </c>
      <c r="AM6615" s="4">
        <v>42</v>
      </c>
      <c r="AN6615" s="4">
        <v>0</v>
      </c>
      <c r="AO6615" s="4">
        <v>0</v>
      </c>
      <c r="AP6615" s="4">
        <v>21</v>
      </c>
      <c r="AQ6615" s="4">
        <v>22</v>
      </c>
      <c r="AR6615" s="3" t="s">
        <v>62</v>
      </c>
      <c r="AS6615" s="3" t="s">
        <v>62</v>
      </c>
      <c r="AT6615" s="3" t="s">
        <v>62</v>
      </c>
      <c r="AV6615" s="6" t="str">
        <f>HYPERLINK("http://mcgill.on.worldcat.org/oclc/8785285","Catalog Record")</f>
        <v>Catalog Record</v>
      </c>
      <c r="AW6615" s="6" t="str">
        <f>HYPERLINK("http://www.worldcat.org/oclc/8785285","WorldCat Record")</f>
        <v>WorldCat Record</v>
      </c>
      <c r="AX6615" s="3" t="s">
        <v>63724</v>
      </c>
      <c r="AY6615" s="3" t="s">
        <v>63725</v>
      </c>
      <c r="AZ6615" s="3" t="s">
        <v>63726</v>
      </c>
      <c r="BA6615" s="3" t="s">
        <v>63726</v>
      </c>
      <c r="BB6615" s="3" t="s">
        <v>63727</v>
      </c>
      <c r="BC6615" s="3" t="s">
        <v>142</v>
      </c>
      <c r="BD6615" s="3" t="s">
        <v>308</v>
      </c>
      <c r="BE6615" s="3" t="s">
        <v>63728</v>
      </c>
      <c r="BF6615" s="3" t="s">
        <v>63727</v>
      </c>
      <c r="BG6615" s="3" t="s">
        <v>63729</v>
      </c>
    </row>
    <row r="6616" spans="1:59" ht="57" x14ac:dyDescent="0.45">
      <c r="A6616" s="2" t="s">
        <v>59</v>
      </c>
      <c r="B6616" s="2" t="s">
        <v>60</v>
      </c>
      <c r="C6616" s="2" t="s">
        <v>63730</v>
      </c>
      <c r="D6616" s="2" t="s">
        <v>63731</v>
      </c>
      <c r="E6616" s="2" t="s">
        <v>63732</v>
      </c>
      <c r="G6616" s="3" t="s">
        <v>62</v>
      </c>
      <c r="I6616" s="3" t="s">
        <v>62</v>
      </c>
      <c r="J6616" s="3" t="s">
        <v>62</v>
      </c>
      <c r="K6616" s="3" t="s">
        <v>63</v>
      </c>
      <c r="L6616" s="2" t="s">
        <v>63733</v>
      </c>
      <c r="M6616" s="2" t="s">
        <v>63734</v>
      </c>
      <c r="N6616" s="3" t="s">
        <v>1478</v>
      </c>
      <c r="O6616" s="2" t="s">
        <v>10948</v>
      </c>
      <c r="P6616" s="3" t="s">
        <v>110</v>
      </c>
      <c r="Q6616" s="2" t="s">
        <v>63735</v>
      </c>
      <c r="R6616" s="3" t="s">
        <v>66</v>
      </c>
      <c r="S6616" s="4">
        <v>5</v>
      </c>
      <c r="T6616" s="4">
        <v>5</v>
      </c>
      <c r="U6616" s="5" t="s">
        <v>54666</v>
      </c>
      <c r="V6616" s="5" t="s">
        <v>54666</v>
      </c>
      <c r="W6616" s="5" t="s">
        <v>67</v>
      </c>
      <c r="X6616" s="5" t="s">
        <v>67</v>
      </c>
      <c r="Y6616" s="4">
        <v>107</v>
      </c>
      <c r="Z6616" s="4">
        <v>11</v>
      </c>
      <c r="AA6616" s="4">
        <v>18</v>
      </c>
      <c r="AB6616" s="4">
        <v>2</v>
      </c>
      <c r="AC6616" s="4">
        <v>5</v>
      </c>
      <c r="AD6616" s="4">
        <v>52</v>
      </c>
      <c r="AE6616" s="4">
        <v>61</v>
      </c>
      <c r="AF6616" s="4">
        <v>1</v>
      </c>
      <c r="AG6616" s="4">
        <v>4</v>
      </c>
      <c r="AH6616" s="4">
        <v>47</v>
      </c>
      <c r="AI6616" s="4">
        <v>54</v>
      </c>
      <c r="AJ6616" s="4">
        <v>9</v>
      </c>
      <c r="AK6616" s="4">
        <v>16</v>
      </c>
      <c r="AL6616" s="4">
        <v>32</v>
      </c>
      <c r="AM6616" s="4">
        <v>34</v>
      </c>
      <c r="AN6616" s="4">
        <v>1</v>
      </c>
      <c r="AO6616" s="4">
        <v>1</v>
      </c>
      <c r="AP6616" s="4">
        <v>9</v>
      </c>
      <c r="AQ6616" s="4">
        <v>15</v>
      </c>
      <c r="AR6616" s="3" t="s">
        <v>62</v>
      </c>
      <c r="AS6616" s="3" t="s">
        <v>62</v>
      </c>
      <c r="AT6616" s="3" t="s">
        <v>61</v>
      </c>
      <c r="AU6616" s="6" t="str">
        <f>HYPERLINK("http://catalog.hathitrust.org/Record/004014017","HathiTrust Record")</f>
        <v>HathiTrust Record</v>
      </c>
      <c r="AV6616" s="6" t="str">
        <f>HYPERLINK("http://mcgill.on.worldcat.org/oclc/36761093","Catalog Record")</f>
        <v>Catalog Record</v>
      </c>
      <c r="AW6616" s="6" t="str">
        <f>HYPERLINK("http://www.worldcat.org/oclc/36761093","WorldCat Record")</f>
        <v>WorldCat Record</v>
      </c>
      <c r="AX6616" s="3" t="s">
        <v>63736</v>
      </c>
      <c r="AY6616" s="3" t="s">
        <v>63737</v>
      </c>
      <c r="AZ6616" s="3" t="s">
        <v>63738</v>
      </c>
      <c r="BA6616" s="3" t="s">
        <v>63738</v>
      </c>
      <c r="BB6616" s="3" t="s">
        <v>63739</v>
      </c>
      <c r="BC6616" s="3" t="s">
        <v>142</v>
      </c>
      <c r="BD6616" s="3" t="s">
        <v>68</v>
      </c>
      <c r="BE6616" s="3" t="s">
        <v>63740</v>
      </c>
      <c r="BF6616" s="3" t="s">
        <v>63739</v>
      </c>
      <c r="BG6616" s="3" t="s">
        <v>63741</v>
      </c>
    </row>
    <row r="6617" spans="1:59" ht="57" x14ac:dyDescent="0.45">
      <c r="A6617" s="2" t="s">
        <v>59</v>
      </c>
      <c r="B6617" s="2" t="s">
        <v>60</v>
      </c>
      <c r="C6617" s="2" t="s">
        <v>63742</v>
      </c>
      <c r="D6617" s="2" t="s">
        <v>63743</v>
      </c>
      <c r="E6617" s="2" t="s">
        <v>63744</v>
      </c>
      <c r="G6617" s="3" t="s">
        <v>62</v>
      </c>
      <c r="I6617" s="3" t="s">
        <v>62</v>
      </c>
      <c r="J6617" s="3" t="s">
        <v>62</v>
      </c>
      <c r="K6617" s="3" t="s">
        <v>63</v>
      </c>
      <c r="M6617" s="2" t="s">
        <v>21345</v>
      </c>
      <c r="N6617" s="3" t="s">
        <v>894</v>
      </c>
      <c r="P6617" s="3" t="s">
        <v>65</v>
      </c>
      <c r="R6617" s="3" t="s">
        <v>66</v>
      </c>
      <c r="S6617" s="4">
        <v>1</v>
      </c>
      <c r="T6617" s="4">
        <v>1</v>
      </c>
      <c r="U6617" s="5" t="s">
        <v>63745</v>
      </c>
      <c r="V6617" s="5" t="s">
        <v>63745</v>
      </c>
      <c r="W6617" s="5" t="s">
        <v>67</v>
      </c>
      <c r="X6617" s="5" t="s">
        <v>67</v>
      </c>
      <c r="Y6617" s="4">
        <v>102</v>
      </c>
      <c r="Z6617" s="4">
        <v>13</v>
      </c>
      <c r="AA6617" s="4">
        <v>74</v>
      </c>
      <c r="AB6617" s="4">
        <v>1</v>
      </c>
      <c r="AC6617" s="4">
        <v>14</v>
      </c>
      <c r="AD6617" s="4">
        <v>49</v>
      </c>
      <c r="AE6617" s="4">
        <v>101</v>
      </c>
      <c r="AF6617" s="4">
        <v>0</v>
      </c>
      <c r="AG6617" s="4">
        <v>8</v>
      </c>
      <c r="AH6617" s="4">
        <v>48</v>
      </c>
      <c r="AI6617" s="4">
        <v>74</v>
      </c>
      <c r="AJ6617" s="4">
        <v>11</v>
      </c>
      <c r="AK6617" s="4">
        <v>22</v>
      </c>
      <c r="AL6617" s="4">
        <v>25</v>
      </c>
      <c r="AM6617" s="4">
        <v>38</v>
      </c>
      <c r="AN6617" s="4">
        <v>0</v>
      </c>
      <c r="AO6617" s="4">
        <v>0</v>
      </c>
      <c r="AP6617" s="4">
        <v>11</v>
      </c>
      <c r="AQ6617" s="4">
        <v>38</v>
      </c>
      <c r="AR6617" s="3" t="s">
        <v>62</v>
      </c>
      <c r="AS6617" s="3" t="s">
        <v>62</v>
      </c>
      <c r="AT6617" s="3" t="s">
        <v>62</v>
      </c>
      <c r="AV6617" s="6" t="str">
        <f>HYPERLINK("http://mcgill.on.worldcat.org/oclc/698332572","Catalog Record")</f>
        <v>Catalog Record</v>
      </c>
      <c r="AW6617" s="6" t="str">
        <f>HYPERLINK("http://www.worldcat.org/oclc/698332572","WorldCat Record")</f>
        <v>WorldCat Record</v>
      </c>
      <c r="AX6617" s="3" t="s">
        <v>63746</v>
      </c>
      <c r="AY6617" s="3" t="s">
        <v>63747</v>
      </c>
      <c r="AZ6617" s="3" t="s">
        <v>63748</v>
      </c>
      <c r="BA6617" s="3" t="s">
        <v>63748</v>
      </c>
      <c r="BB6617" s="3" t="s">
        <v>63749</v>
      </c>
      <c r="BC6617" s="3" t="s">
        <v>142</v>
      </c>
      <c r="BD6617" s="3" t="s">
        <v>68</v>
      </c>
      <c r="BE6617" s="3" t="s">
        <v>63750</v>
      </c>
      <c r="BF6617" s="3" t="s">
        <v>63749</v>
      </c>
      <c r="BG6617" s="3" t="s">
        <v>63751</v>
      </c>
    </row>
    <row r="6618" spans="1:59" ht="57" x14ac:dyDescent="0.45">
      <c r="A6618" s="2" t="s">
        <v>59</v>
      </c>
      <c r="B6618" s="2" t="s">
        <v>60</v>
      </c>
      <c r="C6618" s="2" t="s">
        <v>63752</v>
      </c>
      <c r="D6618" s="2" t="s">
        <v>63753</v>
      </c>
      <c r="E6618" s="2" t="s">
        <v>63754</v>
      </c>
      <c r="G6618" s="3" t="s">
        <v>62</v>
      </c>
      <c r="I6618" s="3" t="s">
        <v>62</v>
      </c>
      <c r="J6618" s="3" t="s">
        <v>62</v>
      </c>
      <c r="K6618" s="3" t="s">
        <v>63</v>
      </c>
      <c r="L6618" s="2" t="s">
        <v>63755</v>
      </c>
      <c r="M6618" s="2" t="s">
        <v>63756</v>
      </c>
      <c r="N6618" s="3" t="s">
        <v>1465</v>
      </c>
      <c r="P6618" s="3" t="s">
        <v>110</v>
      </c>
      <c r="Q6618" s="2" t="s">
        <v>63757</v>
      </c>
      <c r="R6618" s="3" t="s">
        <v>66</v>
      </c>
      <c r="S6618" s="4">
        <v>3</v>
      </c>
      <c r="T6618" s="4">
        <v>3</v>
      </c>
      <c r="U6618" s="5" t="s">
        <v>2378</v>
      </c>
      <c r="V6618" s="5" t="s">
        <v>2378</v>
      </c>
      <c r="W6618" s="5" t="s">
        <v>67</v>
      </c>
      <c r="X6618" s="5" t="s">
        <v>67</v>
      </c>
      <c r="Y6618" s="4">
        <v>3</v>
      </c>
      <c r="Z6618" s="4">
        <v>1</v>
      </c>
      <c r="AA6618" s="4">
        <v>2</v>
      </c>
      <c r="AB6618" s="4">
        <v>1</v>
      </c>
      <c r="AC6618" s="4">
        <v>2</v>
      </c>
      <c r="AD6618" s="4">
        <v>0</v>
      </c>
      <c r="AE6618" s="4">
        <v>1</v>
      </c>
      <c r="AF6618" s="4">
        <v>0</v>
      </c>
      <c r="AG6618" s="4">
        <v>1</v>
      </c>
      <c r="AH6618" s="4">
        <v>0</v>
      </c>
      <c r="AI6618" s="4">
        <v>0</v>
      </c>
      <c r="AJ6618" s="4">
        <v>0</v>
      </c>
      <c r="AK6618" s="4">
        <v>1</v>
      </c>
      <c r="AL6618" s="4">
        <v>0</v>
      </c>
      <c r="AM6618" s="4">
        <v>0</v>
      </c>
      <c r="AN6618" s="4">
        <v>0</v>
      </c>
      <c r="AO6618" s="4">
        <v>0</v>
      </c>
      <c r="AP6618" s="4">
        <v>0</v>
      </c>
      <c r="AQ6618" s="4">
        <v>1</v>
      </c>
      <c r="AR6618" s="3" t="s">
        <v>62</v>
      </c>
      <c r="AS6618" s="3" t="s">
        <v>62</v>
      </c>
      <c r="AT6618" s="3" t="s">
        <v>62</v>
      </c>
      <c r="AV6618" s="6" t="str">
        <f>HYPERLINK("http://mcgill.on.worldcat.org/oclc/783314640","Catalog Record")</f>
        <v>Catalog Record</v>
      </c>
      <c r="AW6618" s="6" t="str">
        <f>HYPERLINK("http://www.worldcat.org/oclc/783314640","WorldCat Record")</f>
        <v>WorldCat Record</v>
      </c>
      <c r="AX6618" s="3" t="s">
        <v>63758</v>
      </c>
      <c r="AY6618" s="3" t="s">
        <v>63759</v>
      </c>
      <c r="AZ6618" s="3" t="s">
        <v>63760</v>
      </c>
      <c r="BA6618" s="3" t="s">
        <v>63760</v>
      </c>
      <c r="BB6618" s="3" t="s">
        <v>63761</v>
      </c>
      <c r="BC6618" s="3" t="s">
        <v>142</v>
      </c>
      <c r="BD6618" s="3" t="s">
        <v>308</v>
      </c>
      <c r="BE6618" s="3" t="s">
        <v>63762</v>
      </c>
      <c r="BF6618" s="3" t="s">
        <v>63761</v>
      </c>
      <c r="BG6618" s="3" t="s">
        <v>63763</v>
      </c>
    </row>
    <row r="6619" spans="1:59" ht="57" x14ac:dyDescent="0.45">
      <c r="A6619" s="2" t="s">
        <v>59</v>
      </c>
      <c r="B6619" s="2" t="s">
        <v>60</v>
      </c>
      <c r="C6619" s="2" t="s">
        <v>63764</v>
      </c>
      <c r="D6619" s="2" t="s">
        <v>63765</v>
      </c>
      <c r="E6619" s="2" t="s">
        <v>63766</v>
      </c>
      <c r="G6619" s="3" t="s">
        <v>62</v>
      </c>
      <c r="I6619" s="3" t="s">
        <v>62</v>
      </c>
      <c r="J6619" s="3" t="s">
        <v>62</v>
      </c>
      <c r="K6619" s="3" t="s">
        <v>63</v>
      </c>
      <c r="L6619" s="2" t="s">
        <v>63767</v>
      </c>
      <c r="M6619" s="2" t="s">
        <v>63768</v>
      </c>
      <c r="N6619" s="3" t="s">
        <v>945</v>
      </c>
      <c r="P6619" s="3" t="s">
        <v>65</v>
      </c>
      <c r="Q6619" s="2" t="s">
        <v>63769</v>
      </c>
      <c r="R6619" s="3" t="s">
        <v>66</v>
      </c>
      <c r="S6619" s="4">
        <v>2</v>
      </c>
      <c r="T6619" s="4">
        <v>2</v>
      </c>
      <c r="U6619" s="5" t="s">
        <v>2469</v>
      </c>
      <c r="V6619" s="5" t="s">
        <v>2469</v>
      </c>
      <c r="W6619" s="5" t="s">
        <v>67</v>
      </c>
      <c r="X6619" s="5" t="s">
        <v>67</v>
      </c>
      <c r="Y6619" s="4">
        <v>67</v>
      </c>
      <c r="Z6619" s="4">
        <v>6</v>
      </c>
      <c r="AA6619" s="4">
        <v>75</v>
      </c>
      <c r="AB6619" s="4">
        <v>2</v>
      </c>
      <c r="AC6619" s="4">
        <v>14</v>
      </c>
      <c r="AD6619" s="4">
        <v>24</v>
      </c>
      <c r="AE6619" s="4">
        <v>94</v>
      </c>
      <c r="AF6619" s="4">
        <v>1</v>
      </c>
      <c r="AG6619" s="4">
        <v>8</v>
      </c>
      <c r="AH6619" s="4">
        <v>21</v>
      </c>
      <c r="AI6619" s="4">
        <v>60</v>
      </c>
      <c r="AJ6619" s="4">
        <v>5</v>
      </c>
      <c r="AK6619" s="4">
        <v>19</v>
      </c>
      <c r="AL6619" s="4">
        <v>14</v>
      </c>
      <c r="AM6619" s="4">
        <v>30</v>
      </c>
      <c r="AN6619" s="4">
        <v>0</v>
      </c>
      <c r="AO6619" s="4">
        <v>0</v>
      </c>
      <c r="AP6619" s="4">
        <v>5</v>
      </c>
      <c r="AQ6619" s="4">
        <v>39</v>
      </c>
      <c r="AR6619" s="3" t="s">
        <v>62</v>
      </c>
      <c r="AS6619" s="3" t="s">
        <v>62</v>
      </c>
      <c r="AT6619" s="3" t="s">
        <v>62</v>
      </c>
      <c r="AV6619" s="6" t="str">
        <f>HYPERLINK("http://mcgill.on.worldcat.org/oclc/191763192","Catalog Record")</f>
        <v>Catalog Record</v>
      </c>
      <c r="AW6619" s="6" t="str">
        <f>HYPERLINK("http://www.worldcat.org/oclc/191763192","WorldCat Record")</f>
        <v>WorldCat Record</v>
      </c>
      <c r="AX6619" s="3" t="s">
        <v>63770</v>
      </c>
      <c r="AY6619" s="3" t="s">
        <v>63771</v>
      </c>
      <c r="AZ6619" s="3" t="s">
        <v>63772</v>
      </c>
      <c r="BA6619" s="3" t="s">
        <v>63772</v>
      </c>
      <c r="BB6619" s="3" t="s">
        <v>63773</v>
      </c>
      <c r="BC6619" s="3" t="s">
        <v>142</v>
      </c>
      <c r="BD6619" s="3" t="s">
        <v>68</v>
      </c>
      <c r="BE6619" s="3" t="s">
        <v>63774</v>
      </c>
      <c r="BF6619" s="3" t="s">
        <v>63773</v>
      </c>
      <c r="BG6619" s="3" t="s">
        <v>63775</v>
      </c>
    </row>
    <row r="6620" spans="1:59" ht="57" x14ac:dyDescent="0.45">
      <c r="A6620" s="2" t="s">
        <v>59</v>
      </c>
      <c r="B6620" s="2" t="s">
        <v>60</v>
      </c>
      <c r="C6620" s="2" t="s">
        <v>63776</v>
      </c>
      <c r="D6620" s="2" t="s">
        <v>63777</v>
      </c>
      <c r="E6620" s="2" t="s">
        <v>63778</v>
      </c>
      <c r="G6620" s="3" t="s">
        <v>62</v>
      </c>
      <c r="I6620" s="3" t="s">
        <v>62</v>
      </c>
      <c r="J6620" s="3" t="s">
        <v>62</v>
      </c>
      <c r="K6620" s="3" t="s">
        <v>63</v>
      </c>
      <c r="M6620" s="2" t="s">
        <v>63779</v>
      </c>
      <c r="N6620" s="3" t="s">
        <v>918</v>
      </c>
      <c r="P6620" s="3" t="s">
        <v>110</v>
      </c>
      <c r="Q6620" s="2" t="s">
        <v>63780</v>
      </c>
      <c r="R6620" s="3" t="s">
        <v>66</v>
      </c>
      <c r="S6620" s="4">
        <v>1</v>
      </c>
      <c r="T6620" s="4">
        <v>1</v>
      </c>
      <c r="U6620" s="5" t="s">
        <v>21380</v>
      </c>
      <c r="V6620" s="5" t="s">
        <v>21380</v>
      </c>
      <c r="W6620" s="5" t="s">
        <v>67</v>
      </c>
      <c r="X6620" s="5" t="s">
        <v>67</v>
      </c>
      <c r="Y6620" s="4">
        <v>35</v>
      </c>
      <c r="Z6620" s="4">
        <v>6</v>
      </c>
      <c r="AA6620" s="4">
        <v>10</v>
      </c>
      <c r="AB6620" s="4">
        <v>1</v>
      </c>
      <c r="AC6620" s="4">
        <v>4</v>
      </c>
      <c r="AD6620" s="4">
        <v>16</v>
      </c>
      <c r="AE6620" s="4">
        <v>20</v>
      </c>
      <c r="AF6620" s="4">
        <v>0</v>
      </c>
      <c r="AG6620" s="4">
        <v>3</v>
      </c>
      <c r="AH6620" s="4">
        <v>12</v>
      </c>
      <c r="AI6620" s="4">
        <v>14</v>
      </c>
      <c r="AJ6620" s="4">
        <v>3</v>
      </c>
      <c r="AK6620" s="4">
        <v>7</v>
      </c>
      <c r="AL6620" s="4">
        <v>12</v>
      </c>
      <c r="AM6620" s="4">
        <v>12</v>
      </c>
      <c r="AN6620" s="4">
        <v>0</v>
      </c>
      <c r="AO6620" s="4">
        <v>0</v>
      </c>
      <c r="AP6620" s="4">
        <v>4</v>
      </c>
      <c r="AQ6620" s="4">
        <v>7</v>
      </c>
      <c r="AR6620" s="3" t="s">
        <v>62</v>
      </c>
      <c r="AS6620" s="3" t="s">
        <v>62</v>
      </c>
      <c r="AT6620" s="3" t="s">
        <v>62</v>
      </c>
      <c r="AV6620" s="6" t="str">
        <f>HYPERLINK("http://mcgill.on.worldcat.org/oclc/52772019","Catalog Record")</f>
        <v>Catalog Record</v>
      </c>
      <c r="AW6620" s="6" t="str">
        <f>HYPERLINK("http://www.worldcat.org/oclc/52772019","WorldCat Record")</f>
        <v>WorldCat Record</v>
      </c>
      <c r="AX6620" s="3" t="s">
        <v>63781</v>
      </c>
      <c r="AY6620" s="3" t="s">
        <v>63782</v>
      </c>
      <c r="AZ6620" s="3" t="s">
        <v>63783</v>
      </c>
      <c r="BA6620" s="3" t="s">
        <v>63783</v>
      </c>
      <c r="BB6620" s="3" t="s">
        <v>63784</v>
      </c>
      <c r="BC6620" s="3" t="s">
        <v>142</v>
      </c>
      <c r="BD6620" s="3" t="s">
        <v>68</v>
      </c>
      <c r="BE6620" s="3" t="s">
        <v>63785</v>
      </c>
      <c r="BF6620" s="3" t="s">
        <v>63784</v>
      </c>
      <c r="BG6620" s="3" t="s">
        <v>63786</v>
      </c>
    </row>
    <row r="6621" spans="1:59" ht="57" x14ac:dyDescent="0.45">
      <c r="A6621" s="2" t="s">
        <v>59</v>
      </c>
      <c r="B6621" s="2" t="s">
        <v>60</v>
      </c>
      <c r="C6621" s="2" t="s">
        <v>63787</v>
      </c>
      <c r="D6621" s="2" t="s">
        <v>63788</v>
      </c>
      <c r="E6621" s="2" t="s">
        <v>63789</v>
      </c>
      <c r="G6621" s="3" t="s">
        <v>62</v>
      </c>
      <c r="I6621" s="3" t="s">
        <v>62</v>
      </c>
      <c r="J6621" s="3" t="s">
        <v>62</v>
      </c>
      <c r="K6621" s="3" t="s">
        <v>63</v>
      </c>
      <c r="L6621" s="2" t="s">
        <v>63790</v>
      </c>
      <c r="M6621" s="2" t="s">
        <v>969</v>
      </c>
      <c r="N6621" s="3" t="s">
        <v>970</v>
      </c>
      <c r="P6621" s="3" t="s">
        <v>65</v>
      </c>
      <c r="R6621" s="3" t="s">
        <v>66</v>
      </c>
      <c r="S6621" s="4">
        <v>6</v>
      </c>
      <c r="T6621" s="4">
        <v>6</v>
      </c>
      <c r="U6621" s="5" t="s">
        <v>63791</v>
      </c>
      <c r="V6621" s="5" t="s">
        <v>63791</v>
      </c>
      <c r="W6621" s="5" t="s">
        <v>67</v>
      </c>
      <c r="X6621" s="5" t="s">
        <v>67</v>
      </c>
      <c r="Y6621" s="4">
        <v>204</v>
      </c>
      <c r="Z6621" s="4">
        <v>15</v>
      </c>
      <c r="AA6621" s="4">
        <v>98</v>
      </c>
      <c r="AB6621" s="4">
        <v>2</v>
      </c>
      <c r="AC6621" s="4">
        <v>20</v>
      </c>
      <c r="AD6621" s="4">
        <v>68</v>
      </c>
      <c r="AE6621" s="4">
        <v>145</v>
      </c>
      <c r="AF6621" s="4">
        <v>0</v>
      </c>
      <c r="AG6621" s="4">
        <v>9</v>
      </c>
      <c r="AH6621" s="4">
        <v>61</v>
      </c>
      <c r="AI6621" s="4">
        <v>98</v>
      </c>
      <c r="AJ6621" s="4">
        <v>8</v>
      </c>
      <c r="AK6621" s="4">
        <v>27</v>
      </c>
      <c r="AL6621" s="4">
        <v>29</v>
      </c>
      <c r="AM6621" s="4">
        <v>48</v>
      </c>
      <c r="AN6621" s="4">
        <v>0</v>
      </c>
      <c r="AO6621" s="4">
        <v>0</v>
      </c>
      <c r="AP6621" s="4">
        <v>10</v>
      </c>
      <c r="AQ6621" s="4">
        <v>55</v>
      </c>
      <c r="AR6621" s="3" t="s">
        <v>62</v>
      </c>
      <c r="AS6621" s="3" t="s">
        <v>62</v>
      </c>
      <c r="AT6621" s="3" t="s">
        <v>62</v>
      </c>
      <c r="AV6621" s="6" t="str">
        <f>HYPERLINK("http://mcgill.on.worldcat.org/oclc/50227291","Catalog Record")</f>
        <v>Catalog Record</v>
      </c>
      <c r="AW6621" s="6" t="str">
        <f>HYPERLINK("http://www.worldcat.org/oclc/50227291","WorldCat Record")</f>
        <v>WorldCat Record</v>
      </c>
      <c r="AX6621" s="3" t="s">
        <v>63792</v>
      </c>
      <c r="AY6621" s="3" t="s">
        <v>63793</v>
      </c>
      <c r="AZ6621" s="3" t="s">
        <v>63794</v>
      </c>
      <c r="BA6621" s="3" t="s">
        <v>63794</v>
      </c>
      <c r="BB6621" s="3" t="s">
        <v>63795</v>
      </c>
      <c r="BC6621" s="3" t="s">
        <v>142</v>
      </c>
      <c r="BD6621" s="3" t="s">
        <v>68</v>
      </c>
      <c r="BE6621" s="3" t="s">
        <v>63796</v>
      </c>
      <c r="BF6621" s="3" t="s">
        <v>63795</v>
      </c>
      <c r="BG6621" s="3" t="s">
        <v>63797</v>
      </c>
    </row>
    <row r="6622" spans="1:59" ht="57" x14ac:dyDescent="0.45">
      <c r="A6622" s="2" t="s">
        <v>59</v>
      </c>
      <c r="B6622" s="2" t="s">
        <v>60</v>
      </c>
      <c r="C6622" s="2" t="s">
        <v>63798</v>
      </c>
      <c r="D6622" s="2" t="s">
        <v>63799</v>
      </c>
      <c r="E6622" s="2" t="s">
        <v>63800</v>
      </c>
      <c r="G6622" s="3" t="s">
        <v>62</v>
      </c>
      <c r="I6622" s="3" t="s">
        <v>62</v>
      </c>
      <c r="J6622" s="3" t="s">
        <v>61</v>
      </c>
      <c r="K6622" s="3" t="s">
        <v>63</v>
      </c>
      <c r="L6622" s="2" t="s">
        <v>63801</v>
      </c>
      <c r="M6622" s="2" t="s">
        <v>63802</v>
      </c>
      <c r="N6622" s="3" t="s">
        <v>555</v>
      </c>
      <c r="O6622" s="2" t="s">
        <v>63803</v>
      </c>
      <c r="P6622" s="3" t="s">
        <v>110</v>
      </c>
      <c r="R6622" s="3" t="s">
        <v>66</v>
      </c>
      <c r="S6622" s="4">
        <v>10</v>
      </c>
      <c r="T6622" s="4">
        <v>10</v>
      </c>
      <c r="U6622" s="5" t="s">
        <v>13035</v>
      </c>
      <c r="V6622" s="5" t="s">
        <v>13035</v>
      </c>
      <c r="W6622" s="5" t="s">
        <v>67</v>
      </c>
      <c r="X6622" s="5" t="s">
        <v>67</v>
      </c>
      <c r="Y6622" s="4">
        <v>68</v>
      </c>
      <c r="Z6622" s="4">
        <v>7</v>
      </c>
      <c r="AA6622" s="4">
        <v>27</v>
      </c>
      <c r="AB6622" s="4">
        <v>1</v>
      </c>
      <c r="AC6622" s="4">
        <v>10</v>
      </c>
      <c r="AD6622" s="4">
        <v>23</v>
      </c>
      <c r="AE6622" s="4">
        <v>62</v>
      </c>
      <c r="AF6622" s="4">
        <v>0</v>
      </c>
      <c r="AG6622" s="4">
        <v>6</v>
      </c>
      <c r="AH6622" s="4">
        <v>20</v>
      </c>
      <c r="AI6622" s="4">
        <v>49</v>
      </c>
      <c r="AJ6622" s="4">
        <v>3</v>
      </c>
      <c r="AK6622" s="4">
        <v>14</v>
      </c>
      <c r="AL6622" s="4">
        <v>16</v>
      </c>
      <c r="AM6622" s="4">
        <v>36</v>
      </c>
      <c r="AN6622" s="4">
        <v>0</v>
      </c>
      <c r="AO6622" s="4">
        <v>0</v>
      </c>
      <c r="AP6622" s="4">
        <v>5</v>
      </c>
      <c r="AQ6622" s="4">
        <v>18</v>
      </c>
      <c r="AR6622" s="3" t="s">
        <v>62</v>
      </c>
      <c r="AS6622" s="3" t="s">
        <v>62</v>
      </c>
      <c r="AT6622" s="3" t="s">
        <v>61</v>
      </c>
      <c r="AU6622" s="6" t="str">
        <f>HYPERLINK("http://catalog.hathitrust.org/Record/001434855","HathiTrust Record")</f>
        <v>HathiTrust Record</v>
      </c>
      <c r="AV6622" s="6" t="str">
        <f>HYPERLINK("http://mcgill.on.worldcat.org/oclc/746279","Catalog Record")</f>
        <v>Catalog Record</v>
      </c>
      <c r="AW6622" s="6" t="str">
        <f>HYPERLINK("http://www.worldcat.org/oclc/746279","WorldCat Record")</f>
        <v>WorldCat Record</v>
      </c>
      <c r="AX6622" s="3" t="s">
        <v>63804</v>
      </c>
      <c r="AY6622" s="3" t="s">
        <v>63805</v>
      </c>
      <c r="AZ6622" s="3" t="s">
        <v>63806</v>
      </c>
      <c r="BA6622" s="3" t="s">
        <v>63806</v>
      </c>
      <c r="BB6622" s="3" t="s">
        <v>63807</v>
      </c>
      <c r="BC6622" s="3" t="s">
        <v>142</v>
      </c>
      <c r="BD6622" s="3" t="s">
        <v>308</v>
      </c>
      <c r="BF6622" s="3" t="s">
        <v>63807</v>
      </c>
      <c r="BG6622" s="3" t="s">
        <v>63808</v>
      </c>
    </row>
    <row r="6623" spans="1:59" ht="57" x14ac:dyDescent="0.45">
      <c r="A6623" s="2" t="s">
        <v>59</v>
      </c>
      <c r="B6623" s="2" t="s">
        <v>60</v>
      </c>
      <c r="C6623" s="2" t="s">
        <v>63809</v>
      </c>
      <c r="D6623" s="2" t="s">
        <v>63810</v>
      </c>
      <c r="E6623" s="2" t="s">
        <v>63811</v>
      </c>
      <c r="G6623" s="3" t="s">
        <v>62</v>
      </c>
      <c r="I6623" s="3" t="s">
        <v>62</v>
      </c>
      <c r="J6623" s="3" t="s">
        <v>62</v>
      </c>
      <c r="K6623" s="3" t="s">
        <v>63</v>
      </c>
      <c r="L6623" s="2" t="s">
        <v>63812</v>
      </c>
      <c r="M6623" s="2" t="s">
        <v>9187</v>
      </c>
      <c r="N6623" s="3" t="s">
        <v>894</v>
      </c>
      <c r="P6623" s="3" t="s">
        <v>65</v>
      </c>
      <c r="Q6623" s="2" t="s">
        <v>63813</v>
      </c>
      <c r="R6623" s="3" t="s">
        <v>66</v>
      </c>
      <c r="S6623" s="4">
        <v>2</v>
      </c>
      <c r="T6623" s="4">
        <v>2</v>
      </c>
      <c r="U6623" s="5" t="s">
        <v>250</v>
      </c>
      <c r="V6623" s="5" t="s">
        <v>250</v>
      </c>
      <c r="W6623" s="5" t="s">
        <v>67</v>
      </c>
      <c r="X6623" s="5" t="s">
        <v>67</v>
      </c>
      <c r="Y6623" s="4">
        <v>245</v>
      </c>
      <c r="Z6623" s="4">
        <v>19</v>
      </c>
      <c r="AA6623" s="4">
        <v>21</v>
      </c>
      <c r="AB6623" s="4">
        <v>3</v>
      </c>
      <c r="AC6623" s="4">
        <v>4</v>
      </c>
      <c r="AD6623" s="4">
        <v>54</v>
      </c>
      <c r="AE6623" s="4">
        <v>55</v>
      </c>
      <c r="AF6623" s="4">
        <v>1</v>
      </c>
      <c r="AG6623" s="4">
        <v>2</v>
      </c>
      <c r="AH6623" s="4">
        <v>48</v>
      </c>
      <c r="AI6623" s="4">
        <v>49</v>
      </c>
      <c r="AJ6623" s="4">
        <v>9</v>
      </c>
      <c r="AK6623" s="4">
        <v>10</v>
      </c>
      <c r="AL6623" s="4">
        <v>25</v>
      </c>
      <c r="AM6623" s="4">
        <v>25</v>
      </c>
      <c r="AN6623" s="4">
        <v>0</v>
      </c>
      <c r="AO6623" s="4">
        <v>0</v>
      </c>
      <c r="AP6623" s="4">
        <v>11</v>
      </c>
      <c r="AQ6623" s="4">
        <v>12</v>
      </c>
      <c r="AR6623" s="3" t="s">
        <v>62</v>
      </c>
      <c r="AS6623" s="3" t="s">
        <v>62</v>
      </c>
      <c r="AT6623" s="3" t="s">
        <v>62</v>
      </c>
      <c r="AV6623" s="6" t="str">
        <f>HYPERLINK("http://mcgill.on.worldcat.org/oclc/709682866","Catalog Record")</f>
        <v>Catalog Record</v>
      </c>
      <c r="AW6623" s="6" t="str">
        <f>HYPERLINK("http://www.worldcat.org/oclc/709682866","WorldCat Record")</f>
        <v>WorldCat Record</v>
      </c>
      <c r="AX6623" s="3" t="s">
        <v>63814</v>
      </c>
      <c r="AY6623" s="3" t="s">
        <v>63815</v>
      </c>
      <c r="AZ6623" s="3" t="s">
        <v>63816</v>
      </c>
      <c r="BA6623" s="3" t="s">
        <v>63816</v>
      </c>
      <c r="BB6623" s="3" t="s">
        <v>63817</v>
      </c>
      <c r="BC6623" s="3" t="s">
        <v>142</v>
      </c>
      <c r="BD6623" s="3" t="s">
        <v>68</v>
      </c>
      <c r="BE6623" s="3" t="s">
        <v>63818</v>
      </c>
      <c r="BF6623" s="3" t="s">
        <v>63817</v>
      </c>
      <c r="BG6623" s="3" t="s">
        <v>63819</v>
      </c>
    </row>
    <row r="6624" spans="1:59" ht="57" x14ac:dyDescent="0.45">
      <c r="A6624" s="2" t="s">
        <v>59</v>
      </c>
      <c r="B6624" s="2" t="s">
        <v>60</v>
      </c>
      <c r="C6624" s="2" t="s">
        <v>63820</v>
      </c>
      <c r="D6624" s="2" t="s">
        <v>63821</v>
      </c>
      <c r="E6624" s="2" t="s">
        <v>63822</v>
      </c>
      <c r="G6624" s="3" t="s">
        <v>62</v>
      </c>
      <c r="I6624" s="3" t="s">
        <v>62</v>
      </c>
      <c r="J6624" s="3" t="s">
        <v>62</v>
      </c>
      <c r="K6624" s="3" t="s">
        <v>63</v>
      </c>
      <c r="M6624" s="2" t="s">
        <v>3172</v>
      </c>
      <c r="N6624" s="3" t="s">
        <v>149</v>
      </c>
      <c r="P6624" s="3" t="s">
        <v>65</v>
      </c>
      <c r="R6624" s="3" t="s">
        <v>66</v>
      </c>
      <c r="S6624" s="4">
        <v>0</v>
      </c>
      <c r="T6624" s="4">
        <v>0</v>
      </c>
      <c r="W6624" s="5" t="s">
        <v>67</v>
      </c>
      <c r="X6624" s="5" t="s">
        <v>67</v>
      </c>
      <c r="Y6624" s="4">
        <v>15</v>
      </c>
      <c r="Z6624" s="4">
        <v>2</v>
      </c>
      <c r="AA6624" s="4">
        <v>74</v>
      </c>
      <c r="AB6624" s="4">
        <v>1</v>
      </c>
      <c r="AC6624" s="4">
        <v>15</v>
      </c>
      <c r="AD6624" s="4">
        <v>6</v>
      </c>
      <c r="AE6624" s="4">
        <v>86</v>
      </c>
      <c r="AF6624" s="4">
        <v>0</v>
      </c>
      <c r="AG6624" s="4">
        <v>8</v>
      </c>
      <c r="AH6624" s="4">
        <v>6</v>
      </c>
      <c r="AI6624" s="4">
        <v>56</v>
      </c>
      <c r="AJ6624" s="4">
        <v>1</v>
      </c>
      <c r="AK6624" s="4">
        <v>18</v>
      </c>
      <c r="AL6624" s="4">
        <v>4</v>
      </c>
      <c r="AM6624" s="4">
        <v>27</v>
      </c>
      <c r="AN6624" s="4">
        <v>0</v>
      </c>
      <c r="AO6624" s="4">
        <v>0</v>
      </c>
      <c r="AP6624" s="4">
        <v>1</v>
      </c>
      <c r="AQ6624" s="4">
        <v>38</v>
      </c>
      <c r="AR6624" s="3" t="s">
        <v>62</v>
      </c>
      <c r="AS6624" s="3" t="s">
        <v>62</v>
      </c>
      <c r="AT6624" s="3" t="s">
        <v>62</v>
      </c>
      <c r="AV6624" s="6" t="str">
        <f>HYPERLINK("http://mcgill.on.worldcat.org/oclc/659418587","Catalog Record")</f>
        <v>Catalog Record</v>
      </c>
      <c r="AW6624" s="6" t="str">
        <f>HYPERLINK("http://www.worldcat.org/oclc/659418587","WorldCat Record")</f>
        <v>WorldCat Record</v>
      </c>
      <c r="AX6624" s="3" t="s">
        <v>63823</v>
      </c>
      <c r="AY6624" s="3" t="s">
        <v>63824</v>
      </c>
      <c r="AZ6624" s="3" t="s">
        <v>63825</v>
      </c>
      <c r="BA6624" s="3" t="s">
        <v>63825</v>
      </c>
      <c r="BB6624" s="3" t="s">
        <v>63826</v>
      </c>
      <c r="BC6624" s="3" t="s">
        <v>142</v>
      </c>
      <c r="BD6624" s="3" t="s">
        <v>68</v>
      </c>
      <c r="BE6624" s="3" t="s">
        <v>63827</v>
      </c>
      <c r="BF6624" s="3" t="s">
        <v>63826</v>
      </c>
      <c r="BG6624" s="3" t="s">
        <v>63828</v>
      </c>
    </row>
    <row r="6625" spans="1:59" ht="57" x14ac:dyDescent="0.45">
      <c r="A6625" s="2" t="s">
        <v>59</v>
      </c>
      <c r="B6625" s="2" t="s">
        <v>60</v>
      </c>
      <c r="C6625" s="2" t="s">
        <v>63829</v>
      </c>
      <c r="D6625" s="2" t="s">
        <v>63830</v>
      </c>
      <c r="E6625" s="2" t="s">
        <v>63831</v>
      </c>
      <c r="G6625" s="3" t="s">
        <v>62</v>
      </c>
      <c r="I6625" s="3" t="s">
        <v>61</v>
      </c>
      <c r="J6625" s="3" t="s">
        <v>62</v>
      </c>
      <c r="K6625" s="3" t="s">
        <v>63</v>
      </c>
      <c r="L6625" s="2" t="s">
        <v>63832</v>
      </c>
      <c r="M6625" s="2" t="s">
        <v>63833</v>
      </c>
      <c r="N6625" s="3" t="s">
        <v>435</v>
      </c>
      <c r="P6625" s="3" t="s">
        <v>110</v>
      </c>
      <c r="Q6625" s="2" t="s">
        <v>63834</v>
      </c>
      <c r="R6625" s="3" t="s">
        <v>66</v>
      </c>
      <c r="S6625" s="4">
        <v>11</v>
      </c>
      <c r="T6625" s="4">
        <v>17</v>
      </c>
      <c r="U6625" s="5" t="s">
        <v>13035</v>
      </c>
      <c r="V6625" s="5" t="s">
        <v>13035</v>
      </c>
      <c r="W6625" s="5" t="s">
        <v>67</v>
      </c>
      <c r="X6625" s="5" t="s">
        <v>67</v>
      </c>
      <c r="Y6625" s="4">
        <v>200</v>
      </c>
      <c r="Z6625" s="4">
        <v>24</v>
      </c>
      <c r="AA6625" s="4">
        <v>27</v>
      </c>
      <c r="AB6625" s="4">
        <v>2</v>
      </c>
      <c r="AC6625" s="4">
        <v>4</v>
      </c>
      <c r="AD6625" s="4">
        <v>76</v>
      </c>
      <c r="AE6625" s="4">
        <v>79</v>
      </c>
      <c r="AF6625" s="4">
        <v>1</v>
      </c>
      <c r="AG6625" s="4">
        <v>2</v>
      </c>
      <c r="AH6625" s="4">
        <v>62</v>
      </c>
      <c r="AI6625" s="4">
        <v>64</v>
      </c>
      <c r="AJ6625" s="4">
        <v>16</v>
      </c>
      <c r="AK6625" s="4">
        <v>17</v>
      </c>
      <c r="AL6625" s="4">
        <v>37</v>
      </c>
      <c r="AM6625" s="4">
        <v>37</v>
      </c>
      <c r="AN6625" s="4">
        <v>5</v>
      </c>
      <c r="AO6625" s="4">
        <v>5</v>
      </c>
      <c r="AP6625" s="4">
        <v>21</v>
      </c>
      <c r="AQ6625" s="4">
        <v>21</v>
      </c>
      <c r="AR6625" s="3" t="s">
        <v>62</v>
      </c>
      <c r="AS6625" s="3" t="s">
        <v>62</v>
      </c>
      <c r="AT6625" s="3" t="s">
        <v>61</v>
      </c>
      <c r="AU6625" s="6" t="str">
        <f>HYPERLINK("http://catalog.hathitrust.org/Record/009523709","HathiTrust Record")</f>
        <v>HathiTrust Record</v>
      </c>
      <c r="AV6625" s="6" t="str">
        <f>HYPERLINK("http://mcgill.on.worldcat.org/oclc/21200251","Catalog Record")</f>
        <v>Catalog Record</v>
      </c>
      <c r="AW6625" s="6" t="str">
        <f>HYPERLINK("http://www.worldcat.org/oclc/21200251","WorldCat Record")</f>
        <v>WorldCat Record</v>
      </c>
      <c r="AX6625" s="3" t="s">
        <v>63835</v>
      </c>
      <c r="AY6625" s="3" t="s">
        <v>63836</v>
      </c>
      <c r="AZ6625" s="3" t="s">
        <v>63837</v>
      </c>
      <c r="BA6625" s="3" t="s">
        <v>63837</v>
      </c>
      <c r="BB6625" s="3" t="s">
        <v>63838</v>
      </c>
      <c r="BC6625" s="3" t="s">
        <v>142</v>
      </c>
      <c r="BD6625" s="3" t="s">
        <v>308</v>
      </c>
      <c r="BF6625" s="3" t="s">
        <v>63838</v>
      </c>
      <c r="BG6625" s="3" t="s">
        <v>63839</v>
      </c>
    </row>
    <row r="6626" spans="1:59" ht="57" x14ac:dyDescent="0.45">
      <c r="A6626" s="2" t="s">
        <v>59</v>
      </c>
      <c r="B6626" s="2" t="s">
        <v>60</v>
      </c>
      <c r="C6626" s="2" t="s">
        <v>63829</v>
      </c>
      <c r="D6626" s="2" t="s">
        <v>63830</v>
      </c>
      <c r="E6626" s="2" t="s">
        <v>63831</v>
      </c>
      <c r="G6626" s="3" t="s">
        <v>62</v>
      </c>
      <c r="I6626" s="3" t="s">
        <v>61</v>
      </c>
      <c r="J6626" s="3" t="s">
        <v>62</v>
      </c>
      <c r="K6626" s="3" t="s">
        <v>63</v>
      </c>
      <c r="L6626" s="2" t="s">
        <v>63832</v>
      </c>
      <c r="M6626" s="2" t="s">
        <v>63833</v>
      </c>
      <c r="N6626" s="3" t="s">
        <v>435</v>
      </c>
      <c r="P6626" s="3" t="s">
        <v>110</v>
      </c>
      <c r="Q6626" s="2" t="s">
        <v>63834</v>
      </c>
      <c r="R6626" s="3" t="s">
        <v>66</v>
      </c>
      <c r="S6626" s="4">
        <v>0</v>
      </c>
      <c r="T6626" s="4">
        <v>17</v>
      </c>
      <c r="V6626" s="5" t="s">
        <v>13035</v>
      </c>
      <c r="W6626" s="5" t="s">
        <v>67</v>
      </c>
      <c r="X6626" s="5" t="s">
        <v>67</v>
      </c>
      <c r="Y6626" s="4">
        <v>200</v>
      </c>
      <c r="Z6626" s="4">
        <v>24</v>
      </c>
      <c r="AA6626" s="4">
        <v>27</v>
      </c>
      <c r="AB6626" s="4">
        <v>2</v>
      </c>
      <c r="AC6626" s="4">
        <v>4</v>
      </c>
      <c r="AD6626" s="4">
        <v>76</v>
      </c>
      <c r="AE6626" s="4">
        <v>79</v>
      </c>
      <c r="AF6626" s="4">
        <v>1</v>
      </c>
      <c r="AG6626" s="4">
        <v>2</v>
      </c>
      <c r="AH6626" s="4">
        <v>62</v>
      </c>
      <c r="AI6626" s="4">
        <v>64</v>
      </c>
      <c r="AJ6626" s="4">
        <v>16</v>
      </c>
      <c r="AK6626" s="4">
        <v>17</v>
      </c>
      <c r="AL6626" s="4">
        <v>37</v>
      </c>
      <c r="AM6626" s="4">
        <v>37</v>
      </c>
      <c r="AN6626" s="4">
        <v>5</v>
      </c>
      <c r="AO6626" s="4">
        <v>5</v>
      </c>
      <c r="AP6626" s="4">
        <v>21</v>
      </c>
      <c r="AQ6626" s="4">
        <v>21</v>
      </c>
      <c r="AR6626" s="3" t="s">
        <v>62</v>
      </c>
      <c r="AS6626" s="3" t="s">
        <v>62</v>
      </c>
      <c r="AT6626" s="3" t="s">
        <v>61</v>
      </c>
      <c r="AU6626" s="6" t="str">
        <f>HYPERLINK("http://catalog.hathitrust.org/Record/009523709","HathiTrust Record")</f>
        <v>HathiTrust Record</v>
      </c>
      <c r="AV6626" s="6" t="str">
        <f>HYPERLINK("http://mcgill.on.worldcat.org/oclc/21200251","Catalog Record")</f>
        <v>Catalog Record</v>
      </c>
      <c r="AW6626" s="6" t="str">
        <f>HYPERLINK("http://www.worldcat.org/oclc/21200251","WorldCat Record")</f>
        <v>WorldCat Record</v>
      </c>
      <c r="AX6626" s="3" t="s">
        <v>63835</v>
      </c>
      <c r="AY6626" s="3" t="s">
        <v>63836</v>
      </c>
      <c r="AZ6626" s="3" t="s">
        <v>63837</v>
      </c>
      <c r="BA6626" s="3" t="s">
        <v>63837</v>
      </c>
      <c r="BB6626" s="3" t="s">
        <v>63840</v>
      </c>
      <c r="BC6626" s="3" t="s">
        <v>142</v>
      </c>
      <c r="BD6626" s="3" t="s">
        <v>68</v>
      </c>
      <c r="BF6626" s="3" t="s">
        <v>63840</v>
      </c>
      <c r="BG6626" s="3" t="s">
        <v>63841</v>
      </c>
    </row>
    <row r="6627" spans="1:59" ht="57" x14ac:dyDescent="0.45">
      <c r="A6627" s="2" t="s">
        <v>59</v>
      </c>
      <c r="B6627" s="2" t="s">
        <v>60</v>
      </c>
      <c r="C6627" s="2" t="s">
        <v>63829</v>
      </c>
      <c r="D6627" s="2" t="s">
        <v>63830</v>
      </c>
      <c r="E6627" s="2" t="s">
        <v>63831</v>
      </c>
      <c r="G6627" s="3" t="s">
        <v>62</v>
      </c>
      <c r="I6627" s="3" t="s">
        <v>61</v>
      </c>
      <c r="J6627" s="3" t="s">
        <v>62</v>
      </c>
      <c r="K6627" s="3" t="s">
        <v>63</v>
      </c>
      <c r="L6627" s="2" t="s">
        <v>63832</v>
      </c>
      <c r="M6627" s="2" t="s">
        <v>63833</v>
      </c>
      <c r="N6627" s="3" t="s">
        <v>435</v>
      </c>
      <c r="P6627" s="3" t="s">
        <v>110</v>
      </c>
      <c r="Q6627" s="2" t="s">
        <v>63834</v>
      </c>
      <c r="R6627" s="3" t="s">
        <v>66</v>
      </c>
      <c r="S6627" s="4">
        <v>6</v>
      </c>
      <c r="T6627" s="4">
        <v>17</v>
      </c>
      <c r="U6627" s="5" t="s">
        <v>63842</v>
      </c>
      <c r="V6627" s="5" t="s">
        <v>13035</v>
      </c>
      <c r="W6627" s="5" t="s">
        <v>67</v>
      </c>
      <c r="X6627" s="5" t="s">
        <v>67</v>
      </c>
      <c r="Y6627" s="4">
        <v>200</v>
      </c>
      <c r="Z6627" s="4">
        <v>24</v>
      </c>
      <c r="AA6627" s="4">
        <v>27</v>
      </c>
      <c r="AB6627" s="4">
        <v>2</v>
      </c>
      <c r="AC6627" s="4">
        <v>4</v>
      </c>
      <c r="AD6627" s="4">
        <v>76</v>
      </c>
      <c r="AE6627" s="4">
        <v>79</v>
      </c>
      <c r="AF6627" s="4">
        <v>1</v>
      </c>
      <c r="AG6627" s="4">
        <v>2</v>
      </c>
      <c r="AH6627" s="4">
        <v>62</v>
      </c>
      <c r="AI6627" s="4">
        <v>64</v>
      </c>
      <c r="AJ6627" s="4">
        <v>16</v>
      </c>
      <c r="AK6627" s="4">
        <v>17</v>
      </c>
      <c r="AL6627" s="4">
        <v>37</v>
      </c>
      <c r="AM6627" s="4">
        <v>37</v>
      </c>
      <c r="AN6627" s="4">
        <v>5</v>
      </c>
      <c r="AO6627" s="4">
        <v>5</v>
      </c>
      <c r="AP6627" s="4">
        <v>21</v>
      </c>
      <c r="AQ6627" s="4">
        <v>21</v>
      </c>
      <c r="AR6627" s="3" t="s">
        <v>62</v>
      </c>
      <c r="AS6627" s="3" t="s">
        <v>62</v>
      </c>
      <c r="AT6627" s="3" t="s">
        <v>61</v>
      </c>
      <c r="AU6627" s="6" t="str">
        <f>HYPERLINK("http://catalog.hathitrust.org/Record/009523709","HathiTrust Record")</f>
        <v>HathiTrust Record</v>
      </c>
      <c r="AV6627" s="6" t="str">
        <f>HYPERLINK("http://mcgill.on.worldcat.org/oclc/21200251","Catalog Record")</f>
        <v>Catalog Record</v>
      </c>
      <c r="AW6627" s="6" t="str">
        <f>HYPERLINK("http://www.worldcat.org/oclc/21200251","WorldCat Record")</f>
        <v>WorldCat Record</v>
      </c>
      <c r="AX6627" s="3" t="s">
        <v>63835</v>
      </c>
      <c r="AY6627" s="3" t="s">
        <v>63836</v>
      </c>
      <c r="AZ6627" s="3" t="s">
        <v>63837</v>
      </c>
      <c r="BA6627" s="3" t="s">
        <v>63837</v>
      </c>
      <c r="BB6627" s="3" t="s">
        <v>63843</v>
      </c>
      <c r="BC6627" s="3" t="s">
        <v>142</v>
      </c>
      <c r="BD6627" s="3" t="s">
        <v>68</v>
      </c>
      <c r="BF6627" s="3" t="s">
        <v>63843</v>
      </c>
      <c r="BG6627" s="3" t="s">
        <v>63844</v>
      </c>
    </row>
    <row r="6628" spans="1:59" ht="57" x14ac:dyDescent="0.45">
      <c r="A6628" s="2" t="s">
        <v>59</v>
      </c>
      <c r="B6628" s="2" t="s">
        <v>60</v>
      </c>
      <c r="C6628" s="2" t="s">
        <v>63845</v>
      </c>
      <c r="D6628" s="2" t="s">
        <v>63846</v>
      </c>
      <c r="E6628" s="2" t="s">
        <v>63847</v>
      </c>
      <c r="G6628" s="3" t="s">
        <v>62</v>
      </c>
      <c r="I6628" s="3" t="s">
        <v>62</v>
      </c>
      <c r="J6628" s="3" t="s">
        <v>62</v>
      </c>
      <c r="K6628" s="3" t="s">
        <v>63</v>
      </c>
      <c r="L6628" s="2" t="s">
        <v>63848</v>
      </c>
      <c r="M6628" s="2" t="s">
        <v>63849</v>
      </c>
      <c r="N6628" s="3" t="s">
        <v>5180</v>
      </c>
      <c r="O6628" s="2" t="s">
        <v>14514</v>
      </c>
      <c r="P6628" s="3" t="s">
        <v>65</v>
      </c>
      <c r="R6628" s="3" t="s">
        <v>66</v>
      </c>
      <c r="S6628" s="4">
        <v>0</v>
      </c>
      <c r="T6628" s="4">
        <v>0</v>
      </c>
      <c r="W6628" s="5" t="s">
        <v>67</v>
      </c>
      <c r="X6628" s="5" t="s">
        <v>67</v>
      </c>
      <c r="Y6628" s="4">
        <v>110</v>
      </c>
      <c r="Z6628" s="4">
        <v>2</v>
      </c>
      <c r="AA6628" s="4">
        <v>26</v>
      </c>
      <c r="AB6628" s="4">
        <v>1</v>
      </c>
      <c r="AC6628" s="4">
        <v>6</v>
      </c>
      <c r="AD6628" s="4">
        <v>5</v>
      </c>
      <c r="AE6628" s="4">
        <v>76</v>
      </c>
      <c r="AF6628" s="4">
        <v>0</v>
      </c>
      <c r="AG6628" s="4">
        <v>1</v>
      </c>
      <c r="AH6628" s="4">
        <v>4</v>
      </c>
      <c r="AI6628" s="4">
        <v>71</v>
      </c>
      <c r="AJ6628" s="4">
        <v>1</v>
      </c>
      <c r="AK6628" s="4">
        <v>7</v>
      </c>
      <c r="AL6628" s="4">
        <v>3</v>
      </c>
      <c r="AM6628" s="4">
        <v>43</v>
      </c>
      <c r="AN6628" s="4">
        <v>0</v>
      </c>
      <c r="AO6628" s="4">
        <v>0</v>
      </c>
      <c r="AP6628" s="4">
        <v>1</v>
      </c>
      <c r="AQ6628" s="4">
        <v>8</v>
      </c>
      <c r="AR6628" s="3" t="s">
        <v>62</v>
      </c>
      <c r="AS6628" s="3" t="s">
        <v>62</v>
      </c>
      <c r="AT6628" s="3" t="s">
        <v>62</v>
      </c>
      <c r="AV6628" s="6" t="str">
        <f>HYPERLINK("http://mcgill.on.worldcat.org/oclc/1028862170","Catalog Record")</f>
        <v>Catalog Record</v>
      </c>
      <c r="AW6628" s="6" t="str">
        <f>HYPERLINK("http://www.worldcat.org/oclc/1028862170","WorldCat Record")</f>
        <v>WorldCat Record</v>
      </c>
      <c r="AX6628" s="3" t="s">
        <v>63850</v>
      </c>
      <c r="AY6628" s="3" t="s">
        <v>63851</v>
      </c>
      <c r="AZ6628" s="3" t="s">
        <v>63852</v>
      </c>
      <c r="BA6628" s="3" t="s">
        <v>63852</v>
      </c>
      <c r="BB6628" s="3" t="s">
        <v>63853</v>
      </c>
      <c r="BC6628" s="3" t="s">
        <v>142</v>
      </c>
      <c r="BD6628" s="3" t="s">
        <v>68</v>
      </c>
      <c r="BE6628" s="3" t="s">
        <v>63854</v>
      </c>
      <c r="BF6628" s="3" t="s">
        <v>63853</v>
      </c>
      <c r="BG6628" s="3" t="s">
        <v>63855</v>
      </c>
    </row>
    <row r="6629" spans="1:59" ht="57" x14ac:dyDescent="0.45">
      <c r="A6629" s="2" t="s">
        <v>59</v>
      </c>
      <c r="B6629" s="2" t="s">
        <v>60</v>
      </c>
      <c r="C6629" s="2" t="s">
        <v>63856</v>
      </c>
      <c r="D6629" s="2" t="s">
        <v>63857</v>
      </c>
      <c r="E6629" s="2" t="s">
        <v>63858</v>
      </c>
      <c r="G6629" s="3" t="s">
        <v>62</v>
      </c>
      <c r="I6629" s="3" t="s">
        <v>62</v>
      </c>
      <c r="J6629" s="3" t="s">
        <v>62</v>
      </c>
      <c r="K6629" s="3" t="s">
        <v>63</v>
      </c>
      <c r="L6629" s="2" t="s">
        <v>63859</v>
      </c>
      <c r="M6629" s="2" t="s">
        <v>63860</v>
      </c>
      <c r="N6629" s="3" t="s">
        <v>1855</v>
      </c>
      <c r="P6629" s="3" t="s">
        <v>65</v>
      </c>
      <c r="R6629" s="3" t="s">
        <v>66</v>
      </c>
      <c r="S6629" s="4">
        <v>8</v>
      </c>
      <c r="T6629" s="4">
        <v>8</v>
      </c>
      <c r="U6629" s="5" t="s">
        <v>53314</v>
      </c>
      <c r="V6629" s="5" t="s">
        <v>53314</v>
      </c>
      <c r="W6629" s="5" t="s">
        <v>67</v>
      </c>
      <c r="X6629" s="5" t="s">
        <v>67</v>
      </c>
      <c r="Y6629" s="4">
        <v>435</v>
      </c>
      <c r="Z6629" s="4">
        <v>17</v>
      </c>
      <c r="AA6629" s="4">
        <v>17</v>
      </c>
      <c r="AB6629" s="4">
        <v>2</v>
      </c>
      <c r="AC6629" s="4">
        <v>2</v>
      </c>
      <c r="AD6629" s="4">
        <v>73</v>
      </c>
      <c r="AE6629" s="4">
        <v>73</v>
      </c>
      <c r="AF6629" s="4">
        <v>0</v>
      </c>
      <c r="AG6629" s="4">
        <v>0</v>
      </c>
      <c r="AH6629" s="4">
        <v>72</v>
      </c>
      <c r="AI6629" s="4">
        <v>72</v>
      </c>
      <c r="AJ6629" s="4">
        <v>6</v>
      </c>
      <c r="AK6629" s="4">
        <v>6</v>
      </c>
      <c r="AL6629" s="4">
        <v>41</v>
      </c>
      <c r="AM6629" s="4">
        <v>41</v>
      </c>
      <c r="AN6629" s="4">
        <v>0</v>
      </c>
      <c r="AO6629" s="4">
        <v>0</v>
      </c>
      <c r="AP6629" s="4">
        <v>6</v>
      </c>
      <c r="AQ6629" s="4">
        <v>6</v>
      </c>
      <c r="AR6629" s="3" t="s">
        <v>62</v>
      </c>
      <c r="AS6629" s="3" t="s">
        <v>62</v>
      </c>
      <c r="AT6629" s="3" t="s">
        <v>61</v>
      </c>
      <c r="AU6629" s="6" t="str">
        <f>HYPERLINK("http://catalog.hathitrust.org/Record/007147421","HathiTrust Record")</f>
        <v>HathiTrust Record</v>
      </c>
      <c r="AV6629" s="6" t="str">
        <f>HYPERLINK("http://mcgill.on.worldcat.org/oclc/58750112","Catalog Record")</f>
        <v>Catalog Record</v>
      </c>
      <c r="AW6629" s="6" t="str">
        <f>HYPERLINK("http://www.worldcat.org/oclc/58750112","WorldCat Record")</f>
        <v>WorldCat Record</v>
      </c>
      <c r="AX6629" s="3" t="s">
        <v>63861</v>
      </c>
      <c r="AY6629" s="3" t="s">
        <v>63862</v>
      </c>
      <c r="AZ6629" s="3" t="s">
        <v>63863</v>
      </c>
      <c r="BA6629" s="3" t="s">
        <v>63863</v>
      </c>
      <c r="BB6629" s="3" t="s">
        <v>63864</v>
      </c>
      <c r="BC6629" s="3" t="s">
        <v>142</v>
      </c>
      <c r="BD6629" s="3" t="s">
        <v>68</v>
      </c>
      <c r="BE6629" s="3" t="s">
        <v>63865</v>
      </c>
      <c r="BF6629" s="3" t="s">
        <v>63864</v>
      </c>
      <c r="BG6629" s="3" t="s">
        <v>63866</v>
      </c>
    </row>
    <row r="6630" spans="1:59" ht="57" x14ac:dyDescent="0.45">
      <c r="A6630" s="2" t="s">
        <v>59</v>
      </c>
      <c r="B6630" s="2" t="s">
        <v>60</v>
      </c>
      <c r="C6630" s="2" t="s">
        <v>63867</v>
      </c>
      <c r="D6630" s="2" t="s">
        <v>63868</v>
      </c>
      <c r="E6630" s="2" t="s">
        <v>63869</v>
      </c>
      <c r="G6630" s="3" t="s">
        <v>62</v>
      </c>
      <c r="I6630" s="3" t="s">
        <v>62</v>
      </c>
      <c r="J6630" s="3" t="s">
        <v>62</v>
      </c>
      <c r="K6630" s="3" t="s">
        <v>63</v>
      </c>
      <c r="M6630" s="2" t="s">
        <v>63870</v>
      </c>
      <c r="N6630" s="3" t="s">
        <v>149</v>
      </c>
      <c r="P6630" s="3" t="s">
        <v>65</v>
      </c>
      <c r="R6630" s="3" t="s">
        <v>66</v>
      </c>
      <c r="S6630" s="4">
        <v>0</v>
      </c>
      <c r="T6630" s="4">
        <v>0</v>
      </c>
      <c r="W6630" s="5" t="s">
        <v>67</v>
      </c>
      <c r="X6630" s="5" t="s">
        <v>67</v>
      </c>
      <c r="Y6630" s="4">
        <v>23</v>
      </c>
      <c r="Z6630" s="4">
        <v>2</v>
      </c>
      <c r="AA6630" s="4">
        <v>4</v>
      </c>
      <c r="AB6630" s="4">
        <v>1</v>
      </c>
      <c r="AC6630" s="4">
        <v>3</v>
      </c>
      <c r="AD6630" s="4">
        <v>3</v>
      </c>
      <c r="AE6630" s="4">
        <v>4</v>
      </c>
      <c r="AF6630" s="4">
        <v>0</v>
      </c>
      <c r="AG6630" s="4">
        <v>1</v>
      </c>
      <c r="AH6630" s="4">
        <v>3</v>
      </c>
      <c r="AI6630" s="4">
        <v>3</v>
      </c>
      <c r="AJ6630" s="4">
        <v>1</v>
      </c>
      <c r="AK6630" s="4">
        <v>2</v>
      </c>
      <c r="AL6630" s="4">
        <v>2</v>
      </c>
      <c r="AM6630" s="4">
        <v>2</v>
      </c>
      <c r="AN6630" s="4">
        <v>0</v>
      </c>
      <c r="AO6630" s="4">
        <v>0</v>
      </c>
      <c r="AP6630" s="4">
        <v>1</v>
      </c>
      <c r="AQ6630" s="4">
        <v>1</v>
      </c>
      <c r="AR6630" s="3" t="s">
        <v>62</v>
      </c>
      <c r="AS6630" s="3" t="s">
        <v>62</v>
      </c>
      <c r="AT6630" s="3" t="s">
        <v>62</v>
      </c>
      <c r="AV6630" s="6" t="str">
        <f>HYPERLINK("http://mcgill.on.worldcat.org/oclc/662959249","Catalog Record")</f>
        <v>Catalog Record</v>
      </c>
      <c r="AW6630" s="6" t="str">
        <f>HYPERLINK("http://www.worldcat.org/oclc/662959249","WorldCat Record")</f>
        <v>WorldCat Record</v>
      </c>
      <c r="AX6630" s="3" t="s">
        <v>63871</v>
      </c>
      <c r="AY6630" s="3" t="s">
        <v>63872</v>
      </c>
      <c r="AZ6630" s="3" t="s">
        <v>63873</v>
      </c>
      <c r="BA6630" s="3" t="s">
        <v>63873</v>
      </c>
      <c r="BB6630" s="3" t="s">
        <v>63874</v>
      </c>
      <c r="BC6630" s="3" t="s">
        <v>142</v>
      </c>
      <c r="BD6630" s="3" t="s">
        <v>68</v>
      </c>
      <c r="BE6630" s="3" t="s">
        <v>63875</v>
      </c>
      <c r="BF6630" s="3" t="s">
        <v>63874</v>
      </c>
      <c r="BG6630" s="3" t="s">
        <v>63876</v>
      </c>
    </row>
    <row r="6631" spans="1:59" ht="57" x14ac:dyDescent="0.45">
      <c r="A6631" s="2" t="s">
        <v>59</v>
      </c>
      <c r="B6631" s="2" t="s">
        <v>60</v>
      </c>
      <c r="C6631" s="2" t="s">
        <v>63877</v>
      </c>
      <c r="D6631" s="2" t="s">
        <v>63878</v>
      </c>
      <c r="E6631" s="2" t="s">
        <v>63879</v>
      </c>
      <c r="G6631" s="3" t="s">
        <v>62</v>
      </c>
      <c r="I6631" s="3" t="s">
        <v>62</v>
      </c>
      <c r="J6631" s="3" t="s">
        <v>62</v>
      </c>
      <c r="K6631" s="3" t="s">
        <v>63</v>
      </c>
      <c r="M6631" s="2" t="s">
        <v>1178</v>
      </c>
      <c r="N6631" s="3" t="s">
        <v>894</v>
      </c>
      <c r="P6631" s="3" t="s">
        <v>65</v>
      </c>
      <c r="Q6631" s="2" t="s">
        <v>63880</v>
      </c>
      <c r="R6631" s="3" t="s">
        <v>66</v>
      </c>
      <c r="S6631" s="4">
        <v>0</v>
      </c>
      <c r="T6631" s="4">
        <v>0</v>
      </c>
      <c r="W6631" s="5" t="s">
        <v>67</v>
      </c>
      <c r="X6631" s="5" t="s">
        <v>67</v>
      </c>
      <c r="Y6631" s="4">
        <v>60</v>
      </c>
      <c r="Z6631" s="4">
        <v>10</v>
      </c>
      <c r="AA6631" s="4">
        <v>89</v>
      </c>
      <c r="AB6631" s="4">
        <v>1</v>
      </c>
      <c r="AC6631" s="4">
        <v>17</v>
      </c>
      <c r="AD6631" s="4">
        <v>24</v>
      </c>
      <c r="AE6631" s="4">
        <v>107</v>
      </c>
      <c r="AF6631" s="4">
        <v>0</v>
      </c>
      <c r="AG6631" s="4">
        <v>8</v>
      </c>
      <c r="AH6631" s="4">
        <v>21</v>
      </c>
      <c r="AI6631" s="4">
        <v>71</v>
      </c>
      <c r="AJ6631" s="4">
        <v>7</v>
      </c>
      <c r="AK6631" s="4">
        <v>22</v>
      </c>
      <c r="AL6631" s="4">
        <v>13</v>
      </c>
      <c r="AM6631" s="4">
        <v>37</v>
      </c>
      <c r="AN6631" s="4">
        <v>0</v>
      </c>
      <c r="AO6631" s="4">
        <v>0</v>
      </c>
      <c r="AP6631" s="4">
        <v>7</v>
      </c>
      <c r="AQ6631" s="4">
        <v>43</v>
      </c>
      <c r="AR6631" s="3" t="s">
        <v>62</v>
      </c>
      <c r="AS6631" s="3" t="s">
        <v>62</v>
      </c>
      <c r="AT6631" s="3" t="s">
        <v>62</v>
      </c>
      <c r="AV6631" s="6" t="str">
        <f>HYPERLINK("http://mcgill.on.worldcat.org/oclc/701622888","Catalog Record")</f>
        <v>Catalog Record</v>
      </c>
      <c r="AW6631" s="6" t="str">
        <f>HYPERLINK("http://www.worldcat.org/oclc/701622888","WorldCat Record")</f>
        <v>WorldCat Record</v>
      </c>
      <c r="AX6631" s="3" t="s">
        <v>63881</v>
      </c>
      <c r="AY6631" s="3" t="s">
        <v>63882</v>
      </c>
      <c r="AZ6631" s="3" t="s">
        <v>63883</v>
      </c>
      <c r="BA6631" s="3" t="s">
        <v>63883</v>
      </c>
      <c r="BB6631" s="3" t="s">
        <v>63884</v>
      </c>
      <c r="BC6631" s="3" t="s">
        <v>142</v>
      </c>
      <c r="BD6631" s="3" t="s">
        <v>68</v>
      </c>
      <c r="BE6631" s="3" t="s">
        <v>63885</v>
      </c>
      <c r="BF6631" s="3" t="s">
        <v>63884</v>
      </c>
      <c r="BG6631" s="3" t="s">
        <v>63886</v>
      </c>
    </row>
    <row r="6632" spans="1:59" ht="57" x14ac:dyDescent="0.45">
      <c r="A6632" s="2" t="s">
        <v>59</v>
      </c>
      <c r="B6632" s="2" t="s">
        <v>60</v>
      </c>
      <c r="C6632" s="2" t="s">
        <v>63887</v>
      </c>
      <c r="D6632" s="2" t="s">
        <v>63888</v>
      </c>
      <c r="E6632" s="2" t="s">
        <v>63889</v>
      </c>
      <c r="G6632" s="3" t="s">
        <v>62</v>
      </c>
      <c r="I6632" s="3" t="s">
        <v>62</v>
      </c>
      <c r="J6632" s="3" t="s">
        <v>62</v>
      </c>
      <c r="K6632" s="3" t="s">
        <v>63</v>
      </c>
      <c r="L6632" s="2" t="s">
        <v>63890</v>
      </c>
      <c r="M6632" s="2" t="s">
        <v>29734</v>
      </c>
      <c r="N6632" s="3" t="s">
        <v>820</v>
      </c>
      <c r="P6632" s="3" t="s">
        <v>65</v>
      </c>
      <c r="R6632" s="3" t="s">
        <v>66</v>
      </c>
      <c r="S6632" s="4">
        <v>4</v>
      </c>
      <c r="T6632" s="4">
        <v>4</v>
      </c>
      <c r="U6632" s="5" t="s">
        <v>1241</v>
      </c>
      <c r="V6632" s="5" t="s">
        <v>1241</v>
      </c>
      <c r="W6632" s="5" t="s">
        <v>67</v>
      </c>
      <c r="X6632" s="5" t="s">
        <v>67</v>
      </c>
      <c r="Y6632" s="4">
        <v>310</v>
      </c>
      <c r="Z6632" s="4">
        <v>22</v>
      </c>
      <c r="AA6632" s="4">
        <v>97</v>
      </c>
      <c r="AB6632" s="4">
        <v>1</v>
      </c>
      <c r="AC6632" s="4">
        <v>18</v>
      </c>
      <c r="AD6632" s="4">
        <v>98</v>
      </c>
      <c r="AE6632" s="4">
        <v>149</v>
      </c>
      <c r="AF6632" s="4">
        <v>0</v>
      </c>
      <c r="AG6632" s="4">
        <v>9</v>
      </c>
      <c r="AH6632" s="4">
        <v>87</v>
      </c>
      <c r="AI6632" s="4">
        <v>104</v>
      </c>
      <c r="AJ6632" s="4">
        <v>15</v>
      </c>
      <c r="AK6632" s="4">
        <v>25</v>
      </c>
      <c r="AL6632" s="4">
        <v>51</v>
      </c>
      <c r="AM6632" s="4">
        <v>55</v>
      </c>
      <c r="AN6632" s="4">
        <v>0</v>
      </c>
      <c r="AO6632" s="4">
        <v>0</v>
      </c>
      <c r="AP6632" s="4">
        <v>16</v>
      </c>
      <c r="AQ6632" s="4">
        <v>52</v>
      </c>
      <c r="AR6632" s="3" t="s">
        <v>62</v>
      </c>
      <c r="AS6632" s="3" t="s">
        <v>62</v>
      </c>
      <c r="AT6632" s="3" t="s">
        <v>62</v>
      </c>
      <c r="AV6632" s="6" t="str">
        <f>HYPERLINK("http://mcgill.on.worldcat.org/oclc/174449768","Catalog Record")</f>
        <v>Catalog Record</v>
      </c>
      <c r="AW6632" s="6" t="str">
        <f>HYPERLINK("http://www.worldcat.org/oclc/174449768","WorldCat Record")</f>
        <v>WorldCat Record</v>
      </c>
      <c r="AX6632" s="3" t="s">
        <v>63891</v>
      </c>
      <c r="AY6632" s="3" t="s">
        <v>63892</v>
      </c>
      <c r="AZ6632" s="3" t="s">
        <v>63893</v>
      </c>
      <c r="BA6632" s="3" t="s">
        <v>63893</v>
      </c>
      <c r="BB6632" s="3" t="s">
        <v>63894</v>
      </c>
      <c r="BC6632" s="3" t="s">
        <v>142</v>
      </c>
      <c r="BD6632" s="3" t="s">
        <v>308</v>
      </c>
      <c r="BE6632" s="3" t="s">
        <v>63895</v>
      </c>
      <c r="BF6632" s="3" t="s">
        <v>63894</v>
      </c>
      <c r="BG6632" s="3" t="s">
        <v>63896</v>
      </c>
    </row>
    <row r="6633" spans="1:59" ht="57" x14ac:dyDescent="0.45">
      <c r="A6633" s="2" t="s">
        <v>59</v>
      </c>
      <c r="B6633" s="2" t="s">
        <v>60</v>
      </c>
      <c r="C6633" s="2" t="s">
        <v>63897</v>
      </c>
      <c r="D6633" s="2" t="s">
        <v>63898</v>
      </c>
      <c r="E6633" s="2" t="s">
        <v>63899</v>
      </c>
      <c r="G6633" s="3" t="s">
        <v>62</v>
      </c>
      <c r="I6633" s="3" t="s">
        <v>62</v>
      </c>
      <c r="J6633" s="3" t="s">
        <v>62</v>
      </c>
      <c r="K6633" s="3" t="s">
        <v>63</v>
      </c>
      <c r="L6633" s="2" t="s">
        <v>63900</v>
      </c>
      <c r="M6633" s="2" t="s">
        <v>63901</v>
      </c>
      <c r="N6633" s="3" t="s">
        <v>1918</v>
      </c>
      <c r="O6633" s="2" t="s">
        <v>1748</v>
      </c>
      <c r="P6633" s="3" t="s">
        <v>65</v>
      </c>
      <c r="R6633" s="3" t="s">
        <v>66</v>
      </c>
      <c r="S6633" s="4">
        <v>1</v>
      </c>
      <c r="T6633" s="4">
        <v>1</v>
      </c>
      <c r="U6633" s="5" t="s">
        <v>63902</v>
      </c>
      <c r="V6633" s="5" t="s">
        <v>63902</v>
      </c>
      <c r="W6633" s="5" t="s">
        <v>67</v>
      </c>
      <c r="X6633" s="5" t="s">
        <v>67</v>
      </c>
      <c r="Y6633" s="4">
        <v>101</v>
      </c>
      <c r="Z6633" s="4">
        <v>4</v>
      </c>
      <c r="AA6633" s="4">
        <v>14</v>
      </c>
      <c r="AB6633" s="4">
        <v>1</v>
      </c>
      <c r="AC6633" s="4">
        <v>4</v>
      </c>
      <c r="AD6633" s="4">
        <v>48</v>
      </c>
      <c r="AE6633" s="4">
        <v>62</v>
      </c>
      <c r="AF6633" s="4">
        <v>0</v>
      </c>
      <c r="AG6633" s="4">
        <v>0</v>
      </c>
      <c r="AH6633" s="4">
        <v>47</v>
      </c>
      <c r="AI6633" s="4">
        <v>56</v>
      </c>
      <c r="AJ6633" s="4">
        <v>3</v>
      </c>
      <c r="AK6633" s="4">
        <v>8</v>
      </c>
      <c r="AL6633" s="4">
        <v>35</v>
      </c>
      <c r="AM6633" s="4">
        <v>39</v>
      </c>
      <c r="AN6633" s="4">
        <v>0</v>
      </c>
      <c r="AO6633" s="4">
        <v>0</v>
      </c>
      <c r="AP6633" s="4">
        <v>3</v>
      </c>
      <c r="AQ6633" s="4">
        <v>10</v>
      </c>
      <c r="AR6633" s="3" t="s">
        <v>62</v>
      </c>
      <c r="AS6633" s="3" t="s">
        <v>62</v>
      </c>
      <c r="AT6633" s="3" t="s">
        <v>62</v>
      </c>
      <c r="AV6633" s="6" t="str">
        <f>HYPERLINK("http://mcgill.on.worldcat.org/oclc/955312844","Catalog Record")</f>
        <v>Catalog Record</v>
      </c>
      <c r="AW6633" s="6" t="str">
        <f>HYPERLINK("http://www.worldcat.org/oclc/955312844","WorldCat Record")</f>
        <v>WorldCat Record</v>
      </c>
      <c r="AX6633" s="3" t="s">
        <v>63903</v>
      </c>
      <c r="AY6633" s="3" t="s">
        <v>63904</v>
      </c>
      <c r="AZ6633" s="3" t="s">
        <v>63905</v>
      </c>
      <c r="BA6633" s="3" t="s">
        <v>63905</v>
      </c>
      <c r="BB6633" s="3" t="s">
        <v>63906</v>
      </c>
      <c r="BC6633" s="3" t="s">
        <v>142</v>
      </c>
      <c r="BD6633" s="3" t="s">
        <v>68</v>
      </c>
      <c r="BE6633" s="3" t="s">
        <v>63907</v>
      </c>
      <c r="BF6633" s="3" t="s">
        <v>63906</v>
      </c>
      <c r="BG6633" s="3" t="s">
        <v>63908</v>
      </c>
    </row>
    <row r="6634" spans="1:59" ht="42.75" x14ac:dyDescent="0.45">
      <c r="A6634" s="2" t="s">
        <v>80</v>
      </c>
      <c r="B6634" s="2" t="s">
        <v>12661</v>
      </c>
      <c r="C6634" s="2" t="s">
        <v>63909</v>
      </c>
      <c r="D6634" s="2" t="s">
        <v>63910</v>
      </c>
      <c r="E6634" s="2" t="s">
        <v>63911</v>
      </c>
      <c r="G6634" s="3" t="s">
        <v>62</v>
      </c>
      <c r="I6634" s="3" t="s">
        <v>62</v>
      </c>
      <c r="J6634" s="3" t="s">
        <v>62</v>
      </c>
      <c r="K6634" s="3" t="s">
        <v>63</v>
      </c>
      <c r="L6634" s="2" t="s">
        <v>63912</v>
      </c>
      <c r="M6634" s="2" t="s">
        <v>63913</v>
      </c>
      <c r="N6634" s="3" t="s">
        <v>340</v>
      </c>
      <c r="P6634" s="3" t="s">
        <v>65</v>
      </c>
      <c r="R6634" s="3" t="s">
        <v>66</v>
      </c>
      <c r="S6634" s="4">
        <v>3</v>
      </c>
      <c r="T6634" s="4">
        <v>3</v>
      </c>
      <c r="U6634" s="5" t="s">
        <v>48715</v>
      </c>
      <c r="V6634" s="5" t="s">
        <v>48715</v>
      </c>
      <c r="W6634" s="5" t="s">
        <v>67</v>
      </c>
      <c r="X6634" s="5" t="s">
        <v>67</v>
      </c>
      <c r="Y6634" s="4">
        <v>360</v>
      </c>
      <c r="Z6634" s="4">
        <v>10</v>
      </c>
      <c r="AA6634" s="4">
        <v>15</v>
      </c>
      <c r="AB6634" s="4">
        <v>2</v>
      </c>
      <c r="AC6634" s="4">
        <v>4</v>
      </c>
      <c r="AD6634" s="4">
        <v>66</v>
      </c>
      <c r="AE6634" s="4">
        <v>70</v>
      </c>
      <c r="AF6634" s="4">
        <v>0</v>
      </c>
      <c r="AG6634" s="4">
        <v>1</v>
      </c>
      <c r="AH6634" s="4">
        <v>60</v>
      </c>
      <c r="AI6634" s="4">
        <v>62</v>
      </c>
      <c r="AJ6634" s="4">
        <v>4</v>
      </c>
      <c r="AK6634" s="4">
        <v>6</v>
      </c>
      <c r="AL6634" s="4">
        <v>37</v>
      </c>
      <c r="AM6634" s="4">
        <v>38</v>
      </c>
      <c r="AN6634" s="4">
        <v>0</v>
      </c>
      <c r="AO6634" s="4">
        <v>0</v>
      </c>
      <c r="AP6634" s="4">
        <v>7</v>
      </c>
      <c r="AQ6634" s="4">
        <v>8</v>
      </c>
      <c r="AR6634" s="3" t="s">
        <v>62</v>
      </c>
      <c r="AS6634" s="3" t="s">
        <v>61</v>
      </c>
      <c r="AT6634" s="3" t="s">
        <v>61</v>
      </c>
      <c r="AU6634" s="6" t="str">
        <f>HYPERLINK("http://catalog.hathitrust.org/Record/001181157","HathiTrust Record")</f>
        <v>HathiTrust Record</v>
      </c>
      <c r="AV6634" s="6" t="str">
        <f>HYPERLINK("http://mcgill.on.worldcat.org/oclc/1250610","Catalog Record")</f>
        <v>Catalog Record</v>
      </c>
      <c r="AW6634" s="6" t="str">
        <f>HYPERLINK("http://www.worldcat.org/oclc/1250610","WorldCat Record")</f>
        <v>WorldCat Record</v>
      </c>
      <c r="AX6634" s="3" t="s">
        <v>63914</v>
      </c>
      <c r="AY6634" s="3" t="s">
        <v>63915</v>
      </c>
      <c r="AZ6634" s="3" t="s">
        <v>63916</v>
      </c>
      <c r="BA6634" s="3" t="s">
        <v>63916</v>
      </c>
      <c r="BB6634" s="3" t="s">
        <v>63917</v>
      </c>
      <c r="BC6634" s="3" t="s">
        <v>142</v>
      </c>
      <c r="BD6634" s="3" t="s">
        <v>68</v>
      </c>
      <c r="BF6634" s="3" t="s">
        <v>63917</v>
      </c>
      <c r="BG6634" s="3" t="s">
        <v>63918</v>
      </c>
    </row>
    <row r="6635" spans="1:59" ht="57" x14ac:dyDescent="0.45">
      <c r="A6635" s="2" t="s">
        <v>59</v>
      </c>
      <c r="B6635" s="2" t="s">
        <v>60</v>
      </c>
      <c r="C6635" s="2" t="s">
        <v>63919</v>
      </c>
      <c r="D6635" s="2" t="s">
        <v>63920</v>
      </c>
      <c r="E6635" s="2" t="s">
        <v>63921</v>
      </c>
      <c r="G6635" s="3" t="s">
        <v>62</v>
      </c>
      <c r="I6635" s="3" t="s">
        <v>62</v>
      </c>
      <c r="J6635" s="3" t="s">
        <v>62</v>
      </c>
      <c r="K6635" s="3" t="s">
        <v>63</v>
      </c>
      <c r="L6635" s="2" t="s">
        <v>63922</v>
      </c>
      <c r="N6635" s="3" t="s">
        <v>113</v>
      </c>
      <c r="O6635" s="2" t="s">
        <v>168</v>
      </c>
      <c r="P6635" s="3" t="s">
        <v>65</v>
      </c>
      <c r="Q6635" s="2" t="s">
        <v>63923</v>
      </c>
      <c r="R6635" s="3" t="s">
        <v>66</v>
      </c>
      <c r="S6635" s="4">
        <v>1</v>
      </c>
      <c r="T6635" s="4">
        <v>1</v>
      </c>
      <c r="U6635" s="5" t="s">
        <v>54468</v>
      </c>
      <c r="V6635" s="5" t="s">
        <v>54468</v>
      </c>
      <c r="W6635" s="5" t="s">
        <v>67</v>
      </c>
      <c r="X6635" s="5" t="s">
        <v>67</v>
      </c>
      <c r="Y6635" s="4">
        <v>15</v>
      </c>
      <c r="Z6635" s="4">
        <v>4</v>
      </c>
      <c r="AA6635" s="4">
        <v>4</v>
      </c>
      <c r="AB6635" s="4">
        <v>1</v>
      </c>
      <c r="AC6635" s="4">
        <v>1</v>
      </c>
      <c r="AD6635" s="4">
        <v>1</v>
      </c>
      <c r="AE6635" s="4">
        <v>1</v>
      </c>
      <c r="AF6635" s="4">
        <v>0</v>
      </c>
      <c r="AG6635" s="4">
        <v>0</v>
      </c>
      <c r="AH6635" s="4">
        <v>1</v>
      </c>
      <c r="AI6635" s="4">
        <v>1</v>
      </c>
      <c r="AJ6635" s="4">
        <v>1</v>
      </c>
      <c r="AK6635" s="4">
        <v>1</v>
      </c>
      <c r="AL6635" s="4">
        <v>1</v>
      </c>
      <c r="AM6635" s="4">
        <v>1</v>
      </c>
      <c r="AN6635" s="4">
        <v>0</v>
      </c>
      <c r="AO6635" s="4">
        <v>0</v>
      </c>
      <c r="AP6635" s="4">
        <v>1</v>
      </c>
      <c r="AQ6635" s="4">
        <v>1</v>
      </c>
      <c r="AR6635" s="3" t="s">
        <v>62</v>
      </c>
      <c r="AS6635" s="3" t="s">
        <v>62</v>
      </c>
      <c r="AT6635" s="3" t="s">
        <v>62</v>
      </c>
      <c r="AV6635" s="6" t="str">
        <f>HYPERLINK("http://mcgill.on.worldcat.org/oclc/321954","Catalog Record")</f>
        <v>Catalog Record</v>
      </c>
      <c r="AW6635" s="6" t="str">
        <f>HYPERLINK("http://www.worldcat.org/oclc/321954","WorldCat Record")</f>
        <v>WorldCat Record</v>
      </c>
      <c r="AX6635" s="3" t="s">
        <v>63924</v>
      </c>
      <c r="AY6635" s="3" t="s">
        <v>63925</v>
      </c>
      <c r="AZ6635" s="3" t="s">
        <v>63926</v>
      </c>
      <c r="BA6635" s="3" t="s">
        <v>63926</v>
      </c>
      <c r="BB6635" s="3" t="s">
        <v>63927</v>
      </c>
      <c r="BC6635" s="3" t="s">
        <v>142</v>
      </c>
      <c r="BD6635" s="3" t="s">
        <v>68</v>
      </c>
      <c r="BF6635" s="3" t="s">
        <v>63927</v>
      </c>
      <c r="BG6635" s="3" t="s">
        <v>63928</v>
      </c>
    </row>
    <row r="6636" spans="1:59" ht="57" x14ac:dyDescent="0.45">
      <c r="A6636" s="2" t="s">
        <v>59</v>
      </c>
      <c r="B6636" s="2" t="s">
        <v>60</v>
      </c>
      <c r="C6636" s="2" t="s">
        <v>63929</v>
      </c>
      <c r="D6636" s="2" t="s">
        <v>63930</v>
      </c>
      <c r="E6636" s="2" t="s">
        <v>63931</v>
      </c>
      <c r="G6636" s="3" t="s">
        <v>62</v>
      </c>
      <c r="I6636" s="3" t="s">
        <v>62</v>
      </c>
      <c r="J6636" s="3" t="s">
        <v>61</v>
      </c>
      <c r="K6636" s="3" t="s">
        <v>63</v>
      </c>
      <c r="L6636" s="2" t="s">
        <v>3253</v>
      </c>
      <c r="M6636" s="2" t="s">
        <v>63932</v>
      </c>
      <c r="N6636" s="3" t="s">
        <v>1437</v>
      </c>
      <c r="O6636" s="2" t="s">
        <v>933</v>
      </c>
      <c r="P6636" s="3" t="s">
        <v>65</v>
      </c>
      <c r="Q6636" s="2" t="s">
        <v>29735</v>
      </c>
      <c r="R6636" s="3" t="s">
        <v>66</v>
      </c>
      <c r="S6636" s="4">
        <v>19</v>
      </c>
      <c r="T6636" s="4">
        <v>19</v>
      </c>
      <c r="U6636" s="5" t="s">
        <v>6370</v>
      </c>
      <c r="V6636" s="5" t="s">
        <v>6370</v>
      </c>
      <c r="W6636" s="5" t="s">
        <v>67</v>
      </c>
      <c r="X6636" s="5" t="s">
        <v>67</v>
      </c>
      <c r="Y6636" s="4">
        <v>316</v>
      </c>
      <c r="Z6636" s="4">
        <v>33</v>
      </c>
      <c r="AA6636" s="4">
        <v>113</v>
      </c>
      <c r="AB6636" s="4">
        <v>2</v>
      </c>
      <c r="AC6636" s="4">
        <v>17</v>
      </c>
      <c r="AD6636" s="4">
        <v>92</v>
      </c>
      <c r="AE6636" s="4">
        <v>159</v>
      </c>
      <c r="AF6636" s="4">
        <v>1</v>
      </c>
      <c r="AG6636" s="4">
        <v>8</v>
      </c>
      <c r="AH6636" s="4">
        <v>77</v>
      </c>
      <c r="AI6636" s="4">
        <v>115</v>
      </c>
      <c r="AJ6636" s="4">
        <v>17</v>
      </c>
      <c r="AK6636" s="4">
        <v>28</v>
      </c>
      <c r="AL6636" s="4">
        <v>44</v>
      </c>
      <c r="AM6636" s="4">
        <v>61</v>
      </c>
      <c r="AN6636" s="4">
        <v>0</v>
      </c>
      <c r="AO6636" s="4">
        <v>0</v>
      </c>
      <c r="AP6636" s="4">
        <v>23</v>
      </c>
      <c r="AQ6636" s="4">
        <v>52</v>
      </c>
      <c r="AR6636" s="3" t="s">
        <v>62</v>
      </c>
      <c r="AS6636" s="3" t="s">
        <v>62</v>
      </c>
      <c r="AT6636" s="3" t="s">
        <v>62</v>
      </c>
      <c r="AV6636" s="6" t="str">
        <f>HYPERLINK("http://mcgill.on.worldcat.org/oclc/37712973","Catalog Record")</f>
        <v>Catalog Record</v>
      </c>
      <c r="AW6636" s="6" t="str">
        <f>HYPERLINK("http://www.worldcat.org/oclc/37712973","WorldCat Record")</f>
        <v>WorldCat Record</v>
      </c>
      <c r="AX6636" s="3" t="s">
        <v>63933</v>
      </c>
      <c r="AY6636" s="3" t="s">
        <v>63934</v>
      </c>
      <c r="AZ6636" s="3" t="s">
        <v>63935</v>
      </c>
      <c r="BA6636" s="3" t="s">
        <v>63935</v>
      </c>
      <c r="BB6636" s="3" t="s">
        <v>63936</v>
      </c>
      <c r="BC6636" s="3" t="s">
        <v>142</v>
      </c>
      <c r="BD6636" s="3" t="s">
        <v>68</v>
      </c>
      <c r="BE6636" s="3" t="s">
        <v>63937</v>
      </c>
      <c r="BF6636" s="3" t="s">
        <v>63936</v>
      </c>
      <c r="BG6636" s="3" t="s">
        <v>63938</v>
      </c>
    </row>
    <row r="6637" spans="1:59" ht="57" x14ac:dyDescent="0.45">
      <c r="A6637" s="2" t="s">
        <v>59</v>
      </c>
      <c r="B6637" s="2" t="s">
        <v>60</v>
      </c>
      <c r="C6637" s="2" t="s">
        <v>63939</v>
      </c>
      <c r="D6637" s="2" t="s">
        <v>63940</v>
      </c>
      <c r="E6637" s="2" t="s">
        <v>63941</v>
      </c>
      <c r="G6637" s="3" t="s">
        <v>62</v>
      </c>
      <c r="I6637" s="3" t="s">
        <v>62</v>
      </c>
      <c r="J6637" s="3" t="s">
        <v>62</v>
      </c>
      <c r="K6637" s="3" t="s">
        <v>63</v>
      </c>
      <c r="M6637" s="2" t="s">
        <v>63942</v>
      </c>
      <c r="N6637" s="3" t="s">
        <v>1437</v>
      </c>
      <c r="O6637" s="2" t="s">
        <v>63943</v>
      </c>
      <c r="P6637" s="3" t="s">
        <v>65</v>
      </c>
      <c r="R6637" s="3" t="s">
        <v>66</v>
      </c>
      <c r="S6637" s="4">
        <v>14</v>
      </c>
      <c r="T6637" s="4">
        <v>14</v>
      </c>
      <c r="U6637" s="5" t="s">
        <v>3875</v>
      </c>
      <c r="V6637" s="5" t="s">
        <v>3875</v>
      </c>
      <c r="W6637" s="5" t="s">
        <v>67</v>
      </c>
      <c r="X6637" s="5" t="s">
        <v>67</v>
      </c>
      <c r="Y6637" s="4">
        <v>221</v>
      </c>
      <c r="Z6637" s="4">
        <v>7</v>
      </c>
      <c r="AA6637" s="4">
        <v>9</v>
      </c>
      <c r="AB6637" s="4">
        <v>1</v>
      </c>
      <c r="AC6637" s="4">
        <v>3</v>
      </c>
      <c r="AD6637" s="4">
        <v>62</v>
      </c>
      <c r="AE6637" s="4">
        <v>64</v>
      </c>
      <c r="AF6637" s="4">
        <v>0</v>
      </c>
      <c r="AG6637" s="4">
        <v>2</v>
      </c>
      <c r="AH6637" s="4">
        <v>56</v>
      </c>
      <c r="AI6637" s="4">
        <v>56</v>
      </c>
      <c r="AJ6637" s="4">
        <v>5</v>
      </c>
      <c r="AK6637" s="4">
        <v>7</v>
      </c>
      <c r="AL6637" s="4">
        <v>37</v>
      </c>
      <c r="AM6637" s="4">
        <v>37</v>
      </c>
      <c r="AN6637" s="4">
        <v>0</v>
      </c>
      <c r="AO6637" s="4">
        <v>0</v>
      </c>
      <c r="AP6637" s="4">
        <v>6</v>
      </c>
      <c r="AQ6637" s="4">
        <v>7</v>
      </c>
      <c r="AR6637" s="3" t="s">
        <v>62</v>
      </c>
      <c r="AS6637" s="3" t="s">
        <v>62</v>
      </c>
      <c r="AT6637" s="3" t="s">
        <v>62</v>
      </c>
      <c r="AV6637" s="6" t="str">
        <f>HYPERLINK("http://mcgill.on.worldcat.org/oclc/40073645","Catalog Record")</f>
        <v>Catalog Record</v>
      </c>
      <c r="AW6637" s="6" t="str">
        <f>HYPERLINK("http://www.worldcat.org/oclc/40073645","WorldCat Record")</f>
        <v>WorldCat Record</v>
      </c>
      <c r="AX6637" s="3" t="s">
        <v>63944</v>
      </c>
      <c r="AY6637" s="3" t="s">
        <v>63945</v>
      </c>
      <c r="AZ6637" s="3" t="s">
        <v>63946</v>
      </c>
      <c r="BA6637" s="3" t="s">
        <v>63946</v>
      </c>
      <c r="BB6637" s="3" t="s">
        <v>63947</v>
      </c>
      <c r="BC6637" s="3" t="s">
        <v>142</v>
      </c>
      <c r="BD6637" s="3" t="s">
        <v>68</v>
      </c>
      <c r="BE6637" s="3" t="s">
        <v>63948</v>
      </c>
      <c r="BF6637" s="3" t="s">
        <v>63947</v>
      </c>
      <c r="BG6637" s="3" t="s">
        <v>63949</v>
      </c>
    </row>
    <row r="6638" spans="1:59" ht="57" x14ac:dyDescent="0.45">
      <c r="A6638" s="2" t="s">
        <v>59</v>
      </c>
      <c r="B6638" s="2" t="s">
        <v>60</v>
      </c>
      <c r="C6638" s="2" t="s">
        <v>63950</v>
      </c>
      <c r="D6638" s="2" t="s">
        <v>63951</v>
      </c>
      <c r="E6638" s="2" t="s">
        <v>63952</v>
      </c>
      <c r="G6638" s="3" t="s">
        <v>62</v>
      </c>
      <c r="I6638" s="3" t="s">
        <v>62</v>
      </c>
      <c r="J6638" s="3" t="s">
        <v>62</v>
      </c>
      <c r="K6638" s="3" t="s">
        <v>63</v>
      </c>
      <c r="M6638" s="2" t="s">
        <v>46183</v>
      </c>
      <c r="N6638" s="3" t="s">
        <v>1097</v>
      </c>
      <c r="P6638" s="3" t="s">
        <v>65</v>
      </c>
      <c r="Q6638" s="2" t="s">
        <v>63953</v>
      </c>
      <c r="R6638" s="3" t="s">
        <v>66</v>
      </c>
      <c r="S6638" s="4">
        <v>2</v>
      </c>
      <c r="T6638" s="4">
        <v>2</v>
      </c>
      <c r="U6638" s="5" t="s">
        <v>21928</v>
      </c>
      <c r="V6638" s="5" t="s">
        <v>21928</v>
      </c>
      <c r="W6638" s="5" t="s">
        <v>67</v>
      </c>
      <c r="X6638" s="5" t="s">
        <v>67</v>
      </c>
      <c r="Y6638" s="4">
        <v>146</v>
      </c>
      <c r="Z6638" s="4">
        <v>9</v>
      </c>
      <c r="AA6638" s="4">
        <v>90</v>
      </c>
      <c r="AB6638" s="4">
        <v>1</v>
      </c>
      <c r="AC6638" s="4">
        <v>17</v>
      </c>
      <c r="AD6638" s="4">
        <v>57</v>
      </c>
      <c r="AE6638" s="4">
        <v>121</v>
      </c>
      <c r="AF6638" s="4">
        <v>0</v>
      </c>
      <c r="AG6638" s="4">
        <v>8</v>
      </c>
      <c r="AH6638" s="4">
        <v>53</v>
      </c>
      <c r="AI6638" s="4">
        <v>85</v>
      </c>
      <c r="AJ6638" s="4">
        <v>6</v>
      </c>
      <c r="AK6638" s="4">
        <v>22</v>
      </c>
      <c r="AL6638" s="4">
        <v>32</v>
      </c>
      <c r="AM6638" s="4">
        <v>44</v>
      </c>
      <c r="AN6638" s="4">
        <v>0</v>
      </c>
      <c r="AO6638" s="4">
        <v>0</v>
      </c>
      <c r="AP6638" s="4">
        <v>7</v>
      </c>
      <c r="AQ6638" s="4">
        <v>43</v>
      </c>
      <c r="AR6638" s="3" t="s">
        <v>62</v>
      </c>
      <c r="AS6638" s="3" t="s">
        <v>62</v>
      </c>
      <c r="AT6638" s="3" t="s">
        <v>62</v>
      </c>
      <c r="AV6638" s="6" t="str">
        <f>HYPERLINK("http://mcgill.on.worldcat.org/oclc/53443234","Catalog Record")</f>
        <v>Catalog Record</v>
      </c>
      <c r="AW6638" s="6" t="str">
        <f>HYPERLINK("http://www.worldcat.org/oclc/53443234","WorldCat Record")</f>
        <v>WorldCat Record</v>
      </c>
      <c r="AX6638" s="3" t="s">
        <v>63954</v>
      </c>
      <c r="AY6638" s="3" t="s">
        <v>63955</v>
      </c>
      <c r="AZ6638" s="3" t="s">
        <v>63956</v>
      </c>
      <c r="BA6638" s="3" t="s">
        <v>63956</v>
      </c>
      <c r="BB6638" s="3" t="s">
        <v>63957</v>
      </c>
      <c r="BC6638" s="3" t="s">
        <v>142</v>
      </c>
      <c r="BD6638" s="3" t="s">
        <v>68</v>
      </c>
      <c r="BE6638" s="3" t="s">
        <v>63958</v>
      </c>
      <c r="BF6638" s="3" t="s">
        <v>63957</v>
      </c>
      <c r="BG6638" s="3" t="s">
        <v>63959</v>
      </c>
    </row>
    <row r="6639" spans="1:59" ht="57" x14ac:dyDescent="0.45">
      <c r="A6639" s="2" t="s">
        <v>59</v>
      </c>
      <c r="B6639" s="2" t="s">
        <v>60</v>
      </c>
      <c r="C6639" s="2" t="s">
        <v>63960</v>
      </c>
      <c r="D6639" s="2" t="s">
        <v>63961</v>
      </c>
      <c r="E6639" s="2" t="s">
        <v>63962</v>
      </c>
      <c r="G6639" s="3" t="s">
        <v>62</v>
      </c>
      <c r="I6639" s="3" t="s">
        <v>62</v>
      </c>
      <c r="J6639" s="3" t="s">
        <v>62</v>
      </c>
      <c r="K6639" s="3" t="s">
        <v>63</v>
      </c>
      <c r="L6639" s="2" t="s">
        <v>63963</v>
      </c>
      <c r="M6639" s="2" t="s">
        <v>7623</v>
      </c>
      <c r="N6639" s="3" t="s">
        <v>208</v>
      </c>
      <c r="P6639" s="3" t="s">
        <v>65</v>
      </c>
      <c r="Q6639" s="2" t="s">
        <v>63964</v>
      </c>
      <c r="R6639" s="3" t="s">
        <v>66</v>
      </c>
      <c r="S6639" s="4">
        <v>2</v>
      </c>
      <c r="T6639" s="4">
        <v>2</v>
      </c>
      <c r="U6639" s="5" t="s">
        <v>52628</v>
      </c>
      <c r="V6639" s="5" t="s">
        <v>52628</v>
      </c>
      <c r="W6639" s="5" t="s">
        <v>67</v>
      </c>
      <c r="X6639" s="5" t="s">
        <v>67</v>
      </c>
      <c r="Y6639" s="4">
        <v>63</v>
      </c>
      <c r="Z6639" s="4">
        <v>9</v>
      </c>
      <c r="AA6639" s="4">
        <v>73</v>
      </c>
      <c r="AB6639" s="4">
        <v>1</v>
      </c>
      <c r="AC6639" s="4">
        <v>14</v>
      </c>
      <c r="AD6639" s="4">
        <v>26</v>
      </c>
      <c r="AE6639" s="4">
        <v>92</v>
      </c>
      <c r="AF6639" s="4">
        <v>0</v>
      </c>
      <c r="AG6639" s="4">
        <v>8</v>
      </c>
      <c r="AH6639" s="4">
        <v>22</v>
      </c>
      <c r="AI6639" s="4">
        <v>60</v>
      </c>
      <c r="AJ6639" s="4">
        <v>6</v>
      </c>
      <c r="AK6639" s="4">
        <v>20</v>
      </c>
      <c r="AL6639" s="4">
        <v>19</v>
      </c>
      <c r="AM6639" s="4">
        <v>33</v>
      </c>
      <c r="AN6639" s="4">
        <v>0</v>
      </c>
      <c r="AO6639" s="4">
        <v>0</v>
      </c>
      <c r="AP6639" s="4">
        <v>6</v>
      </c>
      <c r="AQ6639" s="4">
        <v>39</v>
      </c>
      <c r="AR6639" s="3" t="s">
        <v>62</v>
      </c>
      <c r="AS6639" s="3" t="s">
        <v>62</v>
      </c>
      <c r="AT6639" s="3" t="s">
        <v>62</v>
      </c>
      <c r="AV6639" s="6" t="str">
        <f>HYPERLINK("http://mcgill.on.worldcat.org/oclc/920017948","Catalog Record")</f>
        <v>Catalog Record</v>
      </c>
      <c r="AW6639" s="6" t="str">
        <f>HYPERLINK("http://www.worldcat.org/oclc/920017948","WorldCat Record")</f>
        <v>WorldCat Record</v>
      </c>
      <c r="AX6639" s="3" t="s">
        <v>63965</v>
      </c>
      <c r="AY6639" s="3" t="s">
        <v>63966</v>
      </c>
      <c r="AZ6639" s="3" t="s">
        <v>63967</v>
      </c>
      <c r="BA6639" s="3" t="s">
        <v>63967</v>
      </c>
      <c r="BB6639" s="3" t="s">
        <v>63968</v>
      </c>
      <c r="BC6639" s="3" t="s">
        <v>142</v>
      </c>
      <c r="BD6639" s="3" t="s">
        <v>68</v>
      </c>
      <c r="BE6639" s="3" t="s">
        <v>63969</v>
      </c>
      <c r="BF6639" s="3" t="s">
        <v>63968</v>
      </c>
      <c r="BG6639" s="3" t="s">
        <v>63970</v>
      </c>
    </row>
    <row r="6640" spans="1:59" ht="57" x14ac:dyDescent="0.45">
      <c r="A6640" s="2" t="s">
        <v>59</v>
      </c>
      <c r="B6640" s="2" t="s">
        <v>60</v>
      </c>
      <c r="C6640" s="2" t="s">
        <v>63971</v>
      </c>
      <c r="D6640" s="2" t="s">
        <v>63972</v>
      </c>
      <c r="E6640" s="2" t="s">
        <v>63973</v>
      </c>
      <c r="G6640" s="3" t="s">
        <v>62</v>
      </c>
      <c r="I6640" s="3" t="s">
        <v>62</v>
      </c>
      <c r="J6640" s="3" t="s">
        <v>62</v>
      </c>
      <c r="K6640" s="3" t="s">
        <v>63</v>
      </c>
      <c r="M6640" s="2" t="s">
        <v>5581</v>
      </c>
      <c r="N6640" s="3" t="s">
        <v>181</v>
      </c>
      <c r="P6640" s="3" t="s">
        <v>65</v>
      </c>
      <c r="Q6640" s="2" t="s">
        <v>63974</v>
      </c>
      <c r="R6640" s="3" t="s">
        <v>66</v>
      </c>
      <c r="S6640" s="4">
        <v>0</v>
      </c>
      <c r="T6640" s="4">
        <v>0</v>
      </c>
      <c r="W6640" s="5" t="s">
        <v>67</v>
      </c>
      <c r="X6640" s="5" t="s">
        <v>67</v>
      </c>
      <c r="Y6640" s="4">
        <v>71</v>
      </c>
      <c r="Z6640" s="4">
        <v>5</v>
      </c>
      <c r="AA6640" s="4">
        <v>73</v>
      </c>
      <c r="AB6640" s="4">
        <v>1</v>
      </c>
      <c r="AC6640" s="4">
        <v>14</v>
      </c>
      <c r="AD6640" s="4">
        <v>28</v>
      </c>
      <c r="AE6640" s="4">
        <v>96</v>
      </c>
      <c r="AF6640" s="4">
        <v>0</v>
      </c>
      <c r="AG6640" s="4">
        <v>8</v>
      </c>
      <c r="AH6640" s="4">
        <v>26</v>
      </c>
      <c r="AI6640" s="4">
        <v>65</v>
      </c>
      <c r="AJ6640" s="4">
        <v>3</v>
      </c>
      <c r="AK6640" s="4">
        <v>18</v>
      </c>
      <c r="AL6640" s="4">
        <v>22</v>
      </c>
      <c r="AM6640" s="4">
        <v>37</v>
      </c>
      <c r="AN6640" s="4">
        <v>0</v>
      </c>
      <c r="AO6640" s="4">
        <v>0</v>
      </c>
      <c r="AP6640" s="4">
        <v>3</v>
      </c>
      <c r="AQ6640" s="4">
        <v>37</v>
      </c>
      <c r="AR6640" s="3" t="s">
        <v>62</v>
      </c>
      <c r="AS6640" s="3" t="s">
        <v>62</v>
      </c>
      <c r="AT6640" s="3" t="s">
        <v>62</v>
      </c>
      <c r="AV6640" s="6" t="str">
        <f>HYPERLINK("http://mcgill.on.worldcat.org/oclc/928610810","Catalog Record")</f>
        <v>Catalog Record</v>
      </c>
      <c r="AW6640" s="6" t="str">
        <f>HYPERLINK("http://www.worldcat.org/oclc/928610810","WorldCat Record")</f>
        <v>WorldCat Record</v>
      </c>
      <c r="AX6640" s="3" t="s">
        <v>63975</v>
      </c>
      <c r="AY6640" s="3" t="s">
        <v>63976</v>
      </c>
      <c r="AZ6640" s="3" t="s">
        <v>63977</v>
      </c>
      <c r="BA6640" s="3" t="s">
        <v>63977</v>
      </c>
      <c r="BB6640" s="3" t="s">
        <v>63978</v>
      </c>
      <c r="BC6640" s="3" t="s">
        <v>142</v>
      </c>
      <c r="BD6640" s="3" t="s">
        <v>68</v>
      </c>
      <c r="BE6640" s="3" t="s">
        <v>63979</v>
      </c>
      <c r="BF6640" s="3" t="s">
        <v>63978</v>
      </c>
      <c r="BG6640" s="3" t="s">
        <v>63980</v>
      </c>
    </row>
    <row r="6641" spans="1:59" ht="57" x14ac:dyDescent="0.45">
      <c r="A6641" s="2" t="s">
        <v>59</v>
      </c>
      <c r="B6641" s="2" t="s">
        <v>60</v>
      </c>
      <c r="C6641" s="2" t="s">
        <v>63981</v>
      </c>
      <c r="D6641" s="2" t="s">
        <v>63982</v>
      </c>
      <c r="E6641" s="2" t="s">
        <v>63983</v>
      </c>
      <c r="G6641" s="3" t="s">
        <v>62</v>
      </c>
      <c r="I6641" s="3" t="s">
        <v>62</v>
      </c>
      <c r="J6641" s="3" t="s">
        <v>62</v>
      </c>
      <c r="K6641" s="3" t="s">
        <v>63</v>
      </c>
      <c r="M6641" s="2" t="s">
        <v>63984</v>
      </c>
      <c r="N6641" s="3" t="s">
        <v>5180</v>
      </c>
      <c r="P6641" s="3" t="s">
        <v>65</v>
      </c>
      <c r="Q6641" s="2" t="s">
        <v>63985</v>
      </c>
      <c r="R6641" s="3" t="s">
        <v>66</v>
      </c>
      <c r="S6641" s="4">
        <v>1</v>
      </c>
      <c r="T6641" s="4">
        <v>1</v>
      </c>
      <c r="U6641" s="5" t="s">
        <v>124</v>
      </c>
      <c r="V6641" s="5" t="s">
        <v>124</v>
      </c>
      <c r="W6641" s="5" t="s">
        <v>67</v>
      </c>
      <c r="X6641" s="5" t="s">
        <v>67</v>
      </c>
      <c r="Y6641" s="4">
        <v>45</v>
      </c>
      <c r="Z6641" s="4">
        <v>4</v>
      </c>
      <c r="AA6641" s="4">
        <v>16</v>
      </c>
      <c r="AB6641" s="4">
        <v>1</v>
      </c>
      <c r="AC6641" s="4">
        <v>8</v>
      </c>
      <c r="AD6641" s="4">
        <v>20</v>
      </c>
      <c r="AE6641" s="4">
        <v>44</v>
      </c>
      <c r="AF6641" s="4">
        <v>0</v>
      </c>
      <c r="AG6641" s="4">
        <v>4</v>
      </c>
      <c r="AH6641" s="4">
        <v>19</v>
      </c>
      <c r="AI6641" s="4">
        <v>38</v>
      </c>
      <c r="AJ6641" s="4">
        <v>2</v>
      </c>
      <c r="AK6641" s="4">
        <v>9</v>
      </c>
      <c r="AL6641" s="4">
        <v>11</v>
      </c>
      <c r="AM6641" s="4">
        <v>21</v>
      </c>
      <c r="AN6641" s="4">
        <v>0</v>
      </c>
      <c r="AO6641" s="4">
        <v>0</v>
      </c>
      <c r="AP6641" s="4">
        <v>3</v>
      </c>
      <c r="AQ6641" s="4">
        <v>11</v>
      </c>
      <c r="AR6641" s="3" t="s">
        <v>62</v>
      </c>
      <c r="AS6641" s="3" t="s">
        <v>62</v>
      </c>
      <c r="AT6641" s="3" t="s">
        <v>62</v>
      </c>
      <c r="AV6641" s="6" t="str">
        <f>HYPERLINK("http://mcgill.on.worldcat.org/oclc/985805721","Catalog Record")</f>
        <v>Catalog Record</v>
      </c>
      <c r="AW6641" s="6" t="str">
        <f>HYPERLINK("http://www.worldcat.org/oclc/985805721","WorldCat Record")</f>
        <v>WorldCat Record</v>
      </c>
      <c r="AX6641" s="3" t="s">
        <v>63986</v>
      </c>
      <c r="AY6641" s="3" t="s">
        <v>63987</v>
      </c>
      <c r="AZ6641" s="3" t="s">
        <v>63988</v>
      </c>
      <c r="BA6641" s="3" t="s">
        <v>63988</v>
      </c>
      <c r="BB6641" s="3" t="s">
        <v>63989</v>
      </c>
      <c r="BC6641" s="3" t="s">
        <v>142</v>
      </c>
      <c r="BD6641" s="3" t="s">
        <v>68</v>
      </c>
      <c r="BE6641" s="3" t="s">
        <v>63990</v>
      </c>
      <c r="BF6641" s="3" t="s">
        <v>63989</v>
      </c>
      <c r="BG6641" s="3" t="s">
        <v>63991</v>
      </c>
    </row>
    <row r="6642" spans="1:59" ht="57" x14ac:dyDescent="0.45">
      <c r="A6642" s="2" t="s">
        <v>59</v>
      </c>
      <c r="B6642" s="2" t="s">
        <v>60</v>
      </c>
      <c r="C6642" s="2" t="s">
        <v>63992</v>
      </c>
      <c r="D6642" s="2" t="s">
        <v>63993</v>
      </c>
      <c r="E6642" s="2" t="s">
        <v>63994</v>
      </c>
      <c r="G6642" s="3" t="s">
        <v>62</v>
      </c>
      <c r="I6642" s="3" t="s">
        <v>62</v>
      </c>
      <c r="J6642" s="3" t="s">
        <v>62</v>
      </c>
      <c r="K6642" s="3" t="s">
        <v>63</v>
      </c>
      <c r="L6642" s="2" t="s">
        <v>63995</v>
      </c>
      <c r="M6642" s="2" t="s">
        <v>34134</v>
      </c>
      <c r="N6642" s="3" t="s">
        <v>149</v>
      </c>
      <c r="P6642" s="3" t="s">
        <v>65</v>
      </c>
      <c r="Q6642" s="2" t="s">
        <v>63996</v>
      </c>
      <c r="R6642" s="3" t="s">
        <v>66</v>
      </c>
      <c r="S6642" s="4">
        <v>0</v>
      </c>
      <c r="T6642" s="4">
        <v>0</v>
      </c>
      <c r="W6642" s="5" t="s">
        <v>67</v>
      </c>
      <c r="X6642" s="5" t="s">
        <v>67</v>
      </c>
      <c r="Y6642" s="4">
        <v>36</v>
      </c>
      <c r="Z6642" s="4">
        <v>6</v>
      </c>
      <c r="AA6642" s="4">
        <v>29</v>
      </c>
      <c r="AB6642" s="4">
        <v>1</v>
      </c>
      <c r="AC6642" s="4">
        <v>8</v>
      </c>
      <c r="AD6642" s="4">
        <v>14</v>
      </c>
      <c r="AE6642" s="4">
        <v>28</v>
      </c>
      <c r="AF6642" s="4">
        <v>0</v>
      </c>
      <c r="AG6642" s="4">
        <v>2</v>
      </c>
      <c r="AH6642" s="4">
        <v>11</v>
      </c>
      <c r="AI6642" s="4">
        <v>19</v>
      </c>
      <c r="AJ6642" s="4">
        <v>4</v>
      </c>
      <c r="AK6642" s="4">
        <v>7</v>
      </c>
      <c r="AL6642" s="4">
        <v>8</v>
      </c>
      <c r="AM6642" s="4">
        <v>12</v>
      </c>
      <c r="AN6642" s="4">
        <v>0</v>
      </c>
      <c r="AO6642" s="4">
        <v>0</v>
      </c>
      <c r="AP6642" s="4">
        <v>4</v>
      </c>
      <c r="AQ6642" s="4">
        <v>11</v>
      </c>
      <c r="AR6642" s="3" t="s">
        <v>62</v>
      </c>
      <c r="AS6642" s="3" t="s">
        <v>62</v>
      </c>
      <c r="AT6642" s="3" t="s">
        <v>62</v>
      </c>
      <c r="AV6642" s="6" t="str">
        <f>HYPERLINK("http://mcgill.on.worldcat.org/oclc/646404454","Catalog Record")</f>
        <v>Catalog Record</v>
      </c>
      <c r="AW6642" s="6" t="str">
        <f>HYPERLINK("http://www.worldcat.org/oclc/646404454","WorldCat Record")</f>
        <v>WorldCat Record</v>
      </c>
      <c r="AX6642" s="3" t="s">
        <v>63997</v>
      </c>
      <c r="AY6642" s="3" t="s">
        <v>63998</v>
      </c>
      <c r="AZ6642" s="3" t="s">
        <v>63999</v>
      </c>
      <c r="BA6642" s="3" t="s">
        <v>63999</v>
      </c>
      <c r="BB6642" s="3" t="s">
        <v>64000</v>
      </c>
      <c r="BC6642" s="3" t="s">
        <v>142</v>
      </c>
      <c r="BD6642" s="3" t="s">
        <v>68</v>
      </c>
      <c r="BE6642" s="3" t="s">
        <v>64001</v>
      </c>
      <c r="BF6642" s="3" t="s">
        <v>64000</v>
      </c>
      <c r="BG6642" s="3" t="s">
        <v>64002</v>
      </c>
    </row>
    <row r="6643" spans="1:59" ht="57" x14ac:dyDescent="0.45">
      <c r="A6643" s="2" t="s">
        <v>59</v>
      </c>
      <c r="B6643" s="2" t="s">
        <v>60</v>
      </c>
      <c r="C6643" s="2" t="s">
        <v>64003</v>
      </c>
      <c r="D6643" s="2" t="s">
        <v>64004</v>
      </c>
      <c r="E6643" s="2" t="s">
        <v>64005</v>
      </c>
      <c r="G6643" s="3" t="s">
        <v>62</v>
      </c>
      <c r="I6643" s="3" t="s">
        <v>62</v>
      </c>
      <c r="J6643" s="3" t="s">
        <v>62</v>
      </c>
      <c r="K6643" s="3" t="s">
        <v>63</v>
      </c>
      <c r="L6643" s="2" t="s">
        <v>64006</v>
      </c>
      <c r="M6643" s="2" t="s">
        <v>64007</v>
      </c>
      <c r="N6643" s="3" t="s">
        <v>117</v>
      </c>
      <c r="P6643" s="3" t="s">
        <v>65</v>
      </c>
      <c r="R6643" s="3" t="s">
        <v>66</v>
      </c>
      <c r="S6643" s="4">
        <v>6</v>
      </c>
      <c r="T6643" s="4">
        <v>6</v>
      </c>
      <c r="U6643" s="5" t="s">
        <v>45302</v>
      </c>
      <c r="V6643" s="5" t="s">
        <v>45302</v>
      </c>
      <c r="W6643" s="5" t="s">
        <v>67</v>
      </c>
      <c r="X6643" s="5" t="s">
        <v>67</v>
      </c>
      <c r="Y6643" s="4">
        <v>447</v>
      </c>
      <c r="Z6643" s="4">
        <v>20</v>
      </c>
      <c r="AA6643" s="4">
        <v>43</v>
      </c>
      <c r="AB6643" s="4">
        <v>2</v>
      </c>
      <c r="AC6643" s="4">
        <v>7</v>
      </c>
      <c r="AD6643" s="4">
        <v>79</v>
      </c>
      <c r="AE6643" s="4">
        <v>130</v>
      </c>
      <c r="AF6643" s="4">
        <v>1</v>
      </c>
      <c r="AG6643" s="4">
        <v>6</v>
      </c>
      <c r="AH6643" s="4">
        <v>68</v>
      </c>
      <c r="AI6643" s="4">
        <v>106</v>
      </c>
      <c r="AJ6643" s="4">
        <v>8</v>
      </c>
      <c r="AK6643" s="4">
        <v>25</v>
      </c>
      <c r="AL6643" s="4">
        <v>35</v>
      </c>
      <c r="AM6643" s="4">
        <v>52</v>
      </c>
      <c r="AN6643" s="4">
        <v>0</v>
      </c>
      <c r="AO6643" s="4">
        <v>0</v>
      </c>
      <c r="AP6643" s="4">
        <v>15</v>
      </c>
      <c r="AQ6643" s="4">
        <v>35</v>
      </c>
      <c r="AR6643" s="3" t="s">
        <v>62</v>
      </c>
      <c r="AS6643" s="3" t="s">
        <v>62</v>
      </c>
      <c r="AT6643" s="3" t="s">
        <v>61</v>
      </c>
      <c r="AU6643" s="6" t="str">
        <f>HYPERLINK("http://catalog.hathitrust.org/Record/007880991","HathiTrust Record")</f>
        <v>HathiTrust Record</v>
      </c>
      <c r="AV6643" s="6" t="str">
        <f>HYPERLINK("http://mcgill.on.worldcat.org/oclc/7090711","Catalog Record")</f>
        <v>Catalog Record</v>
      </c>
      <c r="AW6643" s="6" t="str">
        <f>HYPERLINK("http://www.worldcat.org/oclc/7090711","WorldCat Record")</f>
        <v>WorldCat Record</v>
      </c>
      <c r="AX6643" s="3" t="s">
        <v>64008</v>
      </c>
      <c r="AY6643" s="3" t="s">
        <v>64009</v>
      </c>
      <c r="AZ6643" s="3" t="s">
        <v>64010</v>
      </c>
      <c r="BA6643" s="3" t="s">
        <v>64010</v>
      </c>
      <c r="BB6643" s="3" t="s">
        <v>64011</v>
      </c>
      <c r="BC6643" s="3" t="s">
        <v>142</v>
      </c>
      <c r="BD6643" s="3" t="s">
        <v>68</v>
      </c>
      <c r="BE6643" s="3" t="s">
        <v>64012</v>
      </c>
      <c r="BF6643" s="3" t="s">
        <v>64011</v>
      </c>
      <c r="BG6643" s="3" t="s">
        <v>64013</v>
      </c>
    </row>
    <row r="6644" spans="1:59" ht="57" x14ac:dyDescent="0.45">
      <c r="A6644" s="2" t="s">
        <v>59</v>
      </c>
      <c r="B6644" s="2" t="s">
        <v>60</v>
      </c>
      <c r="C6644" s="2" t="s">
        <v>64014</v>
      </c>
      <c r="D6644" s="2" t="s">
        <v>64015</v>
      </c>
      <c r="E6644" s="2" t="s">
        <v>64016</v>
      </c>
      <c r="G6644" s="3" t="s">
        <v>62</v>
      </c>
      <c r="I6644" s="3" t="s">
        <v>62</v>
      </c>
      <c r="J6644" s="3" t="s">
        <v>62</v>
      </c>
      <c r="K6644" s="3" t="s">
        <v>63</v>
      </c>
      <c r="L6644" s="2" t="s">
        <v>64017</v>
      </c>
      <c r="M6644" s="2" t="s">
        <v>8575</v>
      </c>
      <c r="N6644" s="3" t="s">
        <v>568</v>
      </c>
      <c r="P6644" s="3" t="s">
        <v>65</v>
      </c>
      <c r="Q6644" s="2" t="s">
        <v>10908</v>
      </c>
      <c r="R6644" s="3" t="s">
        <v>66</v>
      </c>
      <c r="S6644" s="4">
        <v>7</v>
      </c>
      <c r="T6644" s="4">
        <v>7</v>
      </c>
      <c r="U6644" s="5" t="s">
        <v>6272</v>
      </c>
      <c r="V6644" s="5" t="s">
        <v>6272</v>
      </c>
      <c r="W6644" s="5" t="s">
        <v>67</v>
      </c>
      <c r="X6644" s="5" t="s">
        <v>67</v>
      </c>
      <c r="Y6644" s="4">
        <v>316</v>
      </c>
      <c r="Z6644" s="4">
        <v>22</v>
      </c>
      <c r="AA6644" s="4">
        <v>25</v>
      </c>
      <c r="AB6644" s="4">
        <v>2</v>
      </c>
      <c r="AC6644" s="4">
        <v>5</v>
      </c>
      <c r="AD6644" s="4">
        <v>96</v>
      </c>
      <c r="AE6644" s="4">
        <v>99</v>
      </c>
      <c r="AF6644" s="4">
        <v>1</v>
      </c>
      <c r="AG6644" s="4">
        <v>4</v>
      </c>
      <c r="AH6644" s="4">
        <v>84</v>
      </c>
      <c r="AI6644" s="4">
        <v>85</v>
      </c>
      <c r="AJ6644" s="4">
        <v>15</v>
      </c>
      <c r="AK6644" s="4">
        <v>18</v>
      </c>
      <c r="AL6644" s="4">
        <v>46</v>
      </c>
      <c r="AM6644" s="4">
        <v>46</v>
      </c>
      <c r="AN6644" s="4">
        <v>0</v>
      </c>
      <c r="AO6644" s="4">
        <v>0</v>
      </c>
      <c r="AP6644" s="4">
        <v>20</v>
      </c>
      <c r="AQ6644" s="4">
        <v>22</v>
      </c>
      <c r="AR6644" s="3" t="s">
        <v>62</v>
      </c>
      <c r="AS6644" s="3" t="s">
        <v>62</v>
      </c>
      <c r="AT6644" s="3" t="s">
        <v>61</v>
      </c>
      <c r="AU6644" s="6" t="str">
        <f>HYPERLINK("http://catalog.hathitrust.org/Record/000916142","HathiTrust Record")</f>
        <v>HathiTrust Record</v>
      </c>
      <c r="AV6644" s="6" t="str">
        <f>HYPERLINK("http://mcgill.on.worldcat.org/oclc/14932639","Catalog Record")</f>
        <v>Catalog Record</v>
      </c>
      <c r="AW6644" s="6" t="str">
        <f>HYPERLINK("http://www.worldcat.org/oclc/14932639","WorldCat Record")</f>
        <v>WorldCat Record</v>
      </c>
      <c r="AX6644" s="3" t="s">
        <v>64018</v>
      </c>
      <c r="AY6644" s="3" t="s">
        <v>64019</v>
      </c>
      <c r="AZ6644" s="3" t="s">
        <v>64020</v>
      </c>
      <c r="BA6644" s="3" t="s">
        <v>64020</v>
      </c>
      <c r="BB6644" s="3" t="s">
        <v>64021</v>
      </c>
      <c r="BC6644" s="3" t="s">
        <v>142</v>
      </c>
      <c r="BD6644" s="3" t="s">
        <v>68</v>
      </c>
      <c r="BE6644" s="3" t="s">
        <v>64022</v>
      </c>
      <c r="BF6644" s="3" t="s">
        <v>64021</v>
      </c>
      <c r="BG6644" s="3" t="s">
        <v>64023</v>
      </c>
    </row>
    <row r="6645" spans="1:59" ht="57" x14ac:dyDescent="0.45">
      <c r="A6645" s="2" t="s">
        <v>59</v>
      </c>
      <c r="B6645" s="2" t="s">
        <v>60</v>
      </c>
      <c r="C6645" s="2" t="s">
        <v>64024</v>
      </c>
      <c r="D6645" s="2" t="s">
        <v>64025</v>
      </c>
      <c r="E6645" s="2" t="s">
        <v>64026</v>
      </c>
      <c r="G6645" s="3" t="s">
        <v>62</v>
      </c>
      <c r="I6645" s="3" t="s">
        <v>62</v>
      </c>
      <c r="J6645" s="3" t="s">
        <v>62</v>
      </c>
      <c r="K6645" s="3" t="s">
        <v>63</v>
      </c>
      <c r="L6645" s="2" t="s">
        <v>64027</v>
      </c>
      <c r="M6645" s="2" t="s">
        <v>14039</v>
      </c>
      <c r="N6645" s="3" t="s">
        <v>918</v>
      </c>
      <c r="O6645" s="2" t="s">
        <v>933</v>
      </c>
      <c r="P6645" s="3" t="s">
        <v>65</v>
      </c>
      <c r="R6645" s="3" t="s">
        <v>66</v>
      </c>
      <c r="S6645" s="4">
        <v>17</v>
      </c>
      <c r="T6645" s="4">
        <v>17</v>
      </c>
      <c r="U6645" s="5" t="s">
        <v>43618</v>
      </c>
      <c r="V6645" s="5" t="s">
        <v>43618</v>
      </c>
      <c r="W6645" s="5" t="s">
        <v>67</v>
      </c>
      <c r="X6645" s="5" t="s">
        <v>67</v>
      </c>
      <c r="Y6645" s="4">
        <v>249</v>
      </c>
      <c r="Z6645" s="4">
        <v>17</v>
      </c>
      <c r="AA6645" s="4">
        <v>44</v>
      </c>
      <c r="AB6645" s="4">
        <v>2</v>
      </c>
      <c r="AC6645" s="4">
        <v>8</v>
      </c>
      <c r="AD6645" s="4">
        <v>76</v>
      </c>
      <c r="AE6645" s="4">
        <v>131</v>
      </c>
      <c r="AF6645" s="4">
        <v>1</v>
      </c>
      <c r="AG6645" s="4">
        <v>4</v>
      </c>
      <c r="AH6645" s="4">
        <v>68</v>
      </c>
      <c r="AI6645" s="4">
        <v>108</v>
      </c>
      <c r="AJ6645" s="4">
        <v>10</v>
      </c>
      <c r="AK6645" s="4">
        <v>19</v>
      </c>
      <c r="AL6645" s="4">
        <v>39</v>
      </c>
      <c r="AM6645" s="4">
        <v>57</v>
      </c>
      <c r="AN6645" s="4">
        <v>0</v>
      </c>
      <c r="AO6645" s="4">
        <v>0</v>
      </c>
      <c r="AP6645" s="4">
        <v>13</v>
      </c>
      <c r="AQ6645" s="4">
        <v>31</v>
      </c>
      <c r="AR6645" s="3" t="s">
        <v>62</v>
      </c>
      <c r="AS6645" s="3" t="s">
        <v>62</v>
      </c>
      <c r="AT6645" s="3" t="s">
        <v>62</v>
      </c>
      <c r="AV6645" s="6" t="str">
        <f>HYPERLINK("http://mcgill.on.worldcat.org/oclc/50960840","Catalog Record")</f>
        <v>Catalog Record</v>
      </c>
      <c r="AW6645" s="6" t="str">
        <f>HYPERLINK("http://www.worldcat.org/oclc/50960840","WorldCat Record")</f>
        <v>WorldCat Record</v>
      </c>
      <c r="AX6645" s="3" t="s">
        <v>64028</v>
      </c>
      <c r="AY6645" s="3" t="s">
        <v>64029</v>
      </c>
      <c r="AZ6645" s="3" t="s">
        <v>64030</v>
      </c>
      <c r="BA6645" s="3" t="s">
        <v>64030</v>
      </c>
      <c r="BB6645" s="3" t="s">
        <v>64031</v>
      </c>
      <c r="BC6645" s="3" t="s">
        <v>142</v>
      </c>
      <c r="BD6645" s="3" t="s">
        <v>68</v>
      </c>
      <c r="BE6645" s="3" t="s">
        <v>64032</v>
      </c>
      <c r="BF6645" s="3" t="s">
        <v>64031</v>
      </c>
      <c r="BG6645" s="3" t="s">
        <v>64033</v>
      </c>
    </row>
    <row r="6646" spans="1:59" ht="57" x14ac:dyDescent="0.45">
      <c r="A6646" s="2" t="s">
        <v>59</v>
      </c>
      <c r="B6646" s="2" t="s">
        <v>60</v>
      </c>
      <c r="C6646" s="2" t="s">
        <v>64034</v>
      </c>
      <c r="D6646" s="2" t="s">
        <v>64035</v>
      </c>
      <c r="E6646" s="2" t="s">
        <v>64036</v>
      </c>
      <c r="G6646" s="3" t="s">
        <v>62</v>
      </c>
      <c r="I6646" s="3" t="s">
        <v>61</v>
      </c>
      <c r="J6646" s="3" t="s">
        <v>62</v>
      </c>
      <c r="K6646" s="3" t="s">
        <v>63</v>
      </c>
      <c r="M6646" s="2" t="s">
        <v>64037</v>
      </c>
      <c r="N6646" s="3" t="s">
        <v>555</v>
      </c>
      <c r="P6646" s="3" t="s">
        <v>65</v>
      </c>
      <c r="R6646" s="3" t="s">
        <v>66</v>
      </c>
      <c r="S6646" s="4">
        <v>0</v>
      </c>
      <c r="T6646" s="4">
        <v>11</v>
      </c>
      <c r="V6646" s="5" t="s">
        <v>4748</v>
      </c>
      <c r="W6646" s="5" t="s">
        <v>67</v>
      </c>
      <c r="X6646" s="5" t="s">
        <v>67</v>
      </c>
      <c r="Y6646" s="4">
        <v>278</v>
      </c>
      <c r="Z6646" s="4">
        <v>25</v>
      </c>
      <c r="AA6646" s="4">
        <v>30</v>
      </c>
      <c r="AB6646" s="4">
        <v>1</v>
      </c>
      <c r="AC6646" s="4">
        <v>4</v>
      </c>
      <c r="AD6646" s="4">
        <v>100</v>
      </c>
      <c r="AE6646" s="4">
        <v>106</v>
      </c>
      <c r="AF6646" s="4">
        <v>0</v>
      </c>
      <c r="AG6646" s="4">
        <v>3</v>
      </c>
      <c r="AH6646" s="4">
        <v>85</v>
      </c>
      <c r="AI6646" s="4">
        <v>87</v>
      </c>
      <c r="AJ6646" s="4">
        <v>16</v>
      </c>
      <c r="AK6646" s="4">
        <v>19</v>
      </c>
      <c r="AL6646" s="4">
        <v>49</v>
      </c>
      <c r="AM6646" s="4">
        <v>49</v>
      </c>
      <c r="AN6646" s="4">
        <v>0</v>
      </c>
      <c r="AO6646" s="4">
        <v>0</v>
      </c>
      <c r="AP6646" s="4">
        <v>22</v>
      </c>
      <c r="AQ6646" s="4">
        <v>26</v>
      </c>
      <c r="AR6646" s="3" t="s">
        <v>62</v>
      </c>
      <c r="AS6646" s="3" t="s">
        <v>62</v>
      </c>
      <c r="AT6646" s="3" t="s">
        <v>61</v>
      </c>
      <c r="AU6646" s="6" t="str">
        <f>HYPERLINK("http://catalog.hathitrust.org/Record/002779113","HathiTrust Record")</f>
        <v>HathiTrust Record</v>
      </c>
      <c r="AV6646" s="6" t="str">
        <f>HYPERLINK("http://mcgill.on.worldcat.org/oclc/668607","Catalog Record")</f>
        <v>Catalog Record</v>
      </c>
      <c r="AW6646" s="6" t="str">
        <f>HYPERLINK("http://www.worldcat.org/oclc/668607","WorldCat Record")</f>
        <v>WorldCat Record</v>
      </c>
      <c r="AX6646" s="3" t="s">
        <v>64038</v>
      </c>
      <c r="AY6646" s="3" t="s">
        <v>64039</v>
      </c>
      <c r="AZ6646" s="3" t="s">
        <v>64040</v>
      </c>
      <c r="BA6646" s="3" t="s">
        <v>64040</v>
      </c>
      <c r="BB6646" s="3" t="s">
        <v>64041</v>
      </c>
      <c r="BC6646" s="3" t="s">
        <v>142</v>
      </c>
      <c r="BD6646" s="3" t="s">
        <v>68</v>
      </c>
      <c r="BE6646" s="3" t="s">
        <v>64042</v>
      </c>
      <c r="BF6646" s="3" t="s">
        <v>64041</v>
      </c>
      <c r="BG6646" s="3" t="s">
        <v>64043</v>
      </c>
    </row>
    <row r="6647" spans="1:59" ht="57" x14ac:dyDescent="0.45">
      <c r="A6647" s="2" t="s">
        <v>59</v>
      </c>
      <c r="B6647" s="2" t="s">
        <v>60</v>
      </c>
      <c r="C6647" s="2" t="s">
        <v>64034</v>
      </c>
      <c r="D6647" s="2" t="s">
        <v>64035</v>
      </c>
      <c r="E6647" s="2" t="s">
        <v>64036</v>
      </c>
      <c r="G6647" s="3" t="s">
        <v>62</v>
      </c>
      <c r="I6647" s="3" t="s">
        <v>61</v>
      </c>
      <c r="J6647" s="3" t="s">
        <v>62</v>
      </c>
      <c r="K6647" s="3" t="s">
        <v>63</v>
      </c>
      <c r="M6647" s="2" t="s">
        <v>64037</v>
      </c>
      <c r="N6647" s="3" t="s">
        <v>555</v>
      </c>
      <c r="P6647" s="3" t="s">
        <v>65</v>
      </c>
      <c r="R6647" s="3" t="s">
        <v>66</v>
      </c>
      <c r="S6647" s="4">
        <v>11</v>
      </c>
      <c r="T6647" s="4">
        <v>11</v>
      </c>
      <c r="U6647" s="5" t="s">
        <v>4748</v>
      </c>
      <c r="V6647" s="5" t="s">
        <v>4748</v>
      </c>
      <c r="W6647" s="5" t="s">
        <v>67</v>
      </c>
      <c r="X6647" s="5" t="s">
        <v>67</v>
      </c>
      <c r="Y6647" s="4">
        <v>278</v>
      </c>
      <c r="Z6647" s="4">
        <v>25</v>
      </c>
      <c r="AA6647" s="4">
        <v>30</v>
      </c>
      <c r="AB6647" s="4">
        <v>1</v>
      </c>
      <c r="AC6647" s="4">
        <v>4</v>
      </c>
      <c r="AD6647" s="4">
        <v>100</v>
      </c>
      <c r="AE6647" s="4">
        <v>106</v>
      </c>
      <c r="AF6647" s="4">
        <v>0</v>
      </c>
      <c r="AG6647" s="4">
        <v>3</v>
      </c>
      <c r="AH6647" s="4">
        <v>85</v>
      </c>
      <c r="AI6647" s="4">
        <v>87</v>
      </c>
      <c r="AJ6647" s="4">
        <v>16</v>
      </c>
      <c r="AK6647" s="4">
        <v>19</v>
      </c>
      <c r="AL6647" s="4">
        <v>49</v>
      </c>
      <c r="AM6647" s="4">
        <v>49</v>
      </c>
      <c r="AN6647" s="4">
        <v>0</v>
      </c>
      <c r="AO6647" s="4">
        <v>0</v>
      </c>
      <c r="AP6647" s="4">
        <v>22</v>
      </c>
      <c r="AQ6647" s="4">
        <v>26</v>
      </c>
      <c r="AR6647" s="3" t="s">
        <v>62</v>
      </c>
      <c r="AS6647" s="3" t="s">
        <v>62</v>
      </c>
      <c r="AT6647" s="3" t="s">
        <v>61</v>
      </c>
      <c r="AU6647" s="6" t="str">
        <f>HYPERLINK("http://catalog.hathitrust.org/Record/002779113","HathiTrust Record")</f>
        <v>HathiTrust Record</v>
      </c>
      <c r="AV6647" s="6" t="str">
        <f>HYPERLINK("http://mcgill.on.worldcat.org/oclc/668607","Catalog Record")</f>
        <v>Catalog Record</v>
      </c>
      <c r="AW6647" s="6" t="str">
        <f>HYPERLINK("http://www.worldcat.org/oclc/668607","WorldCat Record")</f>
        <v>WorldCat Record</v>
      </c>
      <c r="AX6647" s="3" t="s">
        <v>64038</v>
      </c>
      <c r="AY6647" s="3" t="s">
        <v>64039</v>
      </c>
      <c r="AZ6647" s="3" t="s">
        <v>64040</v>
      </c>
      <c r="BA6647" s="3" t="s">
        <v>64040</v>
      </c>
      <c r="BB6647" s="3" t="s">
        <v>64044</v>
      </c>
      <c r="BC6647" s="3" t="s">
        <v>142</v>
      </c>
      <c r="BD6647" s="3" t="s">
        <v>68</v>
      </c>
      <c r="BE6647" s="3" t="s">
        <v>64042</v>
      </c>
      <c r="BF6647" s="3" t="s">
        <v>64044</v>
      </c>
      <c r="BG6647" s="3" t="s">
        <v>64045</v>
      </c>
    </row>
    <row r="6648" spans="1:59" ht="57" x14ac:dyDescent="0.45">
      <c r="A6648" s="2" t="s">
        <v>59</v>
      </c>
      <c r="B6648" s="2" t="s">
        <v>60</v>
      </c>
      <c r="C6648" s="2" t="s">
        <v>64046</v>
      </c>
      <c r="D6648" s="2" t="s">
        <v>64047</v>
      </c>
      <c r="E6648" s="2" t="s">
        <v>64048</v>
      </c>
      <c r="G6648" s="3" t="s">
        <v>62</v>
      </c>
      <c r="I6648" s="3" t="s">
        <v>62</v>
      </c>
      <c r="J6648" s="3" t="s">
        <v>62</v>
      </c>
      <c r="K6648" s="3" t="s">
        <v>63</v>
      </c>
      <c r="L6648" s="2" t="s">
        <v>64049</v>
      </c>
      <c r="M6648" s="2" t="s">
        <v>5879</v>
      </c>
      <c r="N6648" s="3" t="s">
        <v>1155</v>
      </c>
      <c r="P6648" s="3" t="s">
        <v>65</v>
      </c>
      <c r="Q6648" s="2" t="s">
        <v>5569</v>
      </c>
      <c r="R6648" s="3" t="s">
        <v>66</v>
      </c>
      <c r="S6648" s="4">
        <v>6</v>
      </c>
      <c r="T6648" s="4">
        <v>6</v>
      </c>
      <c r="U6648" s="5" t="s">
        <v>33205</v>
      </c>
      <c r="V6648" s="5" t="s">
        <v>33205</v>
      </c>
      <c r="W6648" s="5" t="s">
        <v>67</v>
      </c>
      <c r="X6648" s="5" t="s">
        <v>67</v>
      </c>
      <c r="Y6648" s="4">
        <v>89</v>
      </c>
      <c r="Z6648" s="4">
        <v>8</v>
      </c>
      <c r="AA6648" s="4">
        <v>128</v>
      </c>
      <c r="AB6648" s="4">
        <v>1</v>
      </c>
      <c r="AC6648" s="4">
        <v>22</v>
      </c>
      <c r="AD6648" s="4">
        <v>30</v>
      </c>
      <c r="AE6648" s="4">
        <v>154</v>
      </c>
      <c r="AF6648" s="4">
        <v>0</v>
      </c>
      <c r="AG6648" s="4">
        <v>9</v>
      </c>
      <c r="AH6648" s="4">
        <v>30</v>
      </c>
      <c r="AI6648" s="4">
        <v>105</v>
      </c>
      <c r="AJ6648" s="4">
        <v>5</v>
      </c>
      <c r="AK6648" s="4">
        <v>28</v>
      </c>
      <c r="AL6648" s="4">
        <v>15</v>
      </c>
      <c r="AM6648" s="4">
        <v>55</v>
      </c>
      <c r="AN6648" s="4">
        <v>0</v>
      </c>
      <c r="AO6648" s="4">
        <v>0</v>
      </c>
      <c r="AP6648" s="4">
        <v>5</v>
      </c>
      <c r="AQ6648" s="4">
        <v>59</v>
      </c>
      <c r="AR6648" s="3" t="s">
        <v>62</v>
      </c>
      <c r="AS6648" s="3" t="s">
        <v>62</v>
      </c>
      <c r="AT6648" s="3" t="s">
        <v>62</v>
      </c>
      <c r="AV6648" s="6" t="str">
        <f>HYPERLINK("http://mcgill.on.worldcat.org/oclc/741541994","Catalog Record")</f>
        <v>Catalog Record</v>
      </c>
      <c r="AW6648" s="6" t="str">
        <f>HYPERLINK("http://www.worldcat.org/oclc/741541994","WorldCat Record")</f>
        <v>WorldCat Record</v>
      </c>
      <c r="AX6648" s="3" t="s">
        <v>64050</v>
      </c>
      <c r="AY6648" s="3" t="s">
        <v>64051</v>
      </c>
      <c r="AZ6648" s="3" t="s">
        <v>64052</v>
      </c>
      <c r="BA6648" s="3" t="s">
        <v>64052</v>
      </c>
      <c r="BB6648" s="3" t="s">
        <v>64053</v>
      </c>
      <c r="BC6648" s="3" t="s">
        <v>142</v>
      </c>
      <c r="BD6648" s="3" t="s">
        <v>68</v>
      </c>
      <c r="BE6648" s="3" t="s">
        <v>64054</v>
      </c>
      <c r="BF6648" s="3" t="s">
        <v>64053</v>
      </c>
      <c r="BG6648" s="3" t="s">
        <v>64055</v>
      </c>
    </row>
    <row r="6649" spans="1:59" ht="57" x14ac:dyDescent="0.45">
      <c r="A6649" s="2" t="s">
        <v>59</v>
      </c>
      <c r="B6649" s="2" t="s">
        <v>60</v>
      </c>
      <c r="C6649" s="2" t="s">
        <v>64056</v>
      </c>
      <c r="D6649" s="2" t="s">
        <v>64057</v>
      </c>
      <c r="E6649" s="2" t="s">
        <v>64058</v>
      </c>
      <c r="G6649" s="3" t="s">
        <v>62</v>
      </c>
      <c r="I6649" s="3" t="s">
        <v>61</v>
      </c>
      <c r="J6649" s="3" t="s">
        <v>62</v>
      </c>
      <c r="K6649" s="3" t="s">
        <v>63</v>
      </c>
      <c r="M6649" s="2" t="s">
        <v>64059</v>
      </c>
      <c r="N6649" s="3" t="s">
        <v>106</v>
      </c>
      <c r="P6649" s="3" t="s">
        <v>110</v>
      </c>
      <c r="Q6649" s="2" t="s">
        <v>64060</v>
      </c>
      <c r="R6649" s="3" t="s">
        <v>66</v>
      </c>
      <c r="S6649" s="4">
        <v>11</v>
      </c>
      <c r="T6649" s="4">
        <v>34</v>
      </c>
      <c r="U6649" s="5" t="s">
        <v>13252</v>
      </c>
      <c r="V6649" s="5" t="s">
        <v>13252</v>
      </c>
      <c r="W6649" s="5" t="s">
        <v>67</v>
      </c>
      <c r="X6649" s="5" t="s">
        <v>67</v>
      </c>
      <c r="Y6649" s="4">
        <v>124</v>
      </c>
      <c r="Z6649" s="4">
        <v>30</v>
      </c>
      <c r="AA6649" s="4">
        <v>55</v>
      </c>
      <c r="AB6649" s="4">
        <v>2</v>
      </c>
      <c r="AC6649" s="4">
        <v>19</v>
      </c>
      <c r="AD6649" s="4">
        <v>52</v>
      </c>
      <c r="AE6649" s="4">
        <v>62</v>
      </c>
      <c r="AF6649" s="4">
        <v>0</v>
      </c>
      <c r="AG6649" s="4">
        <v>7</v>
      </c>
      <c r="AH6649" s="4">
        <v>35</v>
      </c>
      <c r="AI6649" s="4">
        <v>36</v>
      </c>
      <c r="AJ6649" s="4">
        <v>15</v>
      </c>
      <c r="AK6649" s="4">
        <v>21</v>
      </c>
      <c r="AL6649" s="4">
        <v>23</v>
      </c>
      <c r="AM6649" s="4">
        <v>23</v>
      </c>
      <c r="AN6649" s="4">
        <v>0</v>
      </c>
      <c r="AO6649" s="4">
        <v>0</v>
      </c>
      <c r="AP6649" s="4">
        <v>22</v>
      </c>
      <c r="AQ6649" s="4">
        <v>30</v>
      </c>
      <c r="AR6649" s="3" t="s">
        <v>61</v>
      </c>
      <c r="AS6649" s="3" t="s">
        <v>62</v>
      </c>
      <c r="AT6649" s="3" t="s">
        <v>62</v>
      </c>
      <c r="AV6649" s="6" t="str">
        <f>HYPERLINK("http://mcgill.on.worldcat.org/oclc/10112700","Catalog Record")</f>
        <v>Catalog Record</v>
      </c>
      <c r="AW6649" s="6" t="str">
        <f>HYPERLINK("http://www.worldcat.org/oclc/10112700","WorldCat Record")</f>
        <v>WorldCat Record</v>
      </c>
      <c r="AX6649" s="3" t="s">
        <v>64061</v>
      </c>
      <c r="AY6649" s="3" t="s">
        <v>64062</v>
      </c>
      <c r="AZ6649" s="3" t="s">
        <v>64063</v>
      </c>
      <c r="BA6649" s="3" t="s">
        <v>64063</v>
      </c>
      <c r="BB6649" s="3" t="s">
        <v>64064</v>
      </c>
      <c r="BC6649" s="3" t="s">
        <v>142</v>
      </c>
      <c r="BD6649" s="3" t="s">
        <v>68</v>
      </c>
      <c r="BE6649" s="3" t="s">
        <v>64065</v>
      </c>
      <c r="BF6649" s="3" t="s">
        <v>64064</v>
      </c>
      <c r="BG6649" s="3" t="s">
        <v>64066</v>
      </c>
    </row>
    <row r="6650" spans="1:59" ht="57" x14ac:dyDescent="0.45">
      <c r="A6650" s="2" t="s">
        <v>59</v>
      </c>
      <c r="B6650" s="2" t="s">
        <v>60</v>
      </c>
      <c r="C6650" s="2" t="s">
        <v>64056</v>
      </c>
      <c r="D6650" s="2" t="s">
        <v>64057</v>
      </c>
      <c r="E6650" s="2" t="s">
        <v>64058</v>
      </c>
      <c r="G6650" s="3" t="s">
        <v>62</v>
      </c>
      <c r="I6650" s="3" t="s">
        <v>61</v>
      </c>
      <c r="J6650" s="3" t="s">
        <v>62</v>
      </c>
      <c r="K6650" s="3" t="s">
        <v>63</v>
      </c>
      <c r="M6650" s="2" t="s">
        <v>64059</v>
      </c>
      <c r="N6650" s="3" t="s">
        <v>106</v>
      </c>
      <c r="P6650" s="3" t="s">
        <v>110</v>
      </c>
      <c r="Q6650" s="2" t="s">
        <v>64060</v>
      </c>
      <c r="R6650" s="3" t="s">
        <v>66</v>
      </c>
      <c r="S6650" s="4">
        <v>23</v>
      </c>
      <c r="T6650" s="4">
        <v>34</v>
      </c>
      <c r="U6650" s="5" t="s">
        <v>64067</v>
      </c>
      <c r="V6650" s="5" t="s">
        <v>13252</v>
      </c>
      <c r="W6650" s="5" t="s">
        <v>67</v>
      </c>
      <c r="X6650" s="5" t="s">
        <v>67</v>
      </c>
      <c r="Y6650" s="4">
        <v>124</v>
      </c>
      <c r="Z6650" s="4">
        <v>30</v>
      </c>
      <c r="AA6650" s="4">
        <v>55</v>
      </c>
      <c r="AB6650" s="4">
        <v>2</v>
      </c>
      <c r="AC6650" s="4">
        <v>19</v>
      </c>
      <c r="AD6650" s="4">
        <v>52</v>
      </c>
      <c r="AE6650" s="4">
        <v>62</v>
      </c>
      <c r="AF6650" s="4">
        <v>0</v>
      </c>
      <c r="AG6650" s="4">
        <v>7</v>
      </c>
      <c r="AH6650" s="4">
        <v>35</v>
      </c>
      <c r="AI6650" s="4">
        <v>36</v>
      </c>
      <c r="AJ6650" s="4">
        <v>15</v>
      </c>
      <c r="AK6650" s="4">
        <v>21</v>
      </c>
      <c r="AL6650" s="4">
        <v>23</v>
      </c>
      <c r="AM6650" s="4">
        <v>23</v>
      </c>
      <c r="AN6650" s="4">
        <v>0</v>
      </c>
      <c r="AO6650" s="4">
        <v>0</v>
      </c>
      <c r="AP6650" s="4">
        <v>22</v>
      </c>
      <c r="AQ6650" s="4">
        <v>30</v>
      </c>
      <c r="AR6650" s="3" t="s">
        <v>61</v>
      </c>
      <c r="AS6650" s="3" t="s">
        <v>62</v>
      </c>
      <c r="AT6650" s="3" t="s">
        <v>62</v>
      </c>
      <c r="AV6650" s="6" t="str">
        <f>HYPERLINK("http://mcgill.on.worldcat.org/oclc/10112700","Catalog Record")</f>
        <v>Catalog Record</v>
      </c>
      <c r="AW6650" s="6" t="str">
        <f>HYPERLINK("http://www.worldcat.org/oclc/10112700","WorldCat Record")</f>
        <v>WorldCat Record</v>
      </c>
      <c r="AX6650" s="3" t="s">
        <v>64061</v>
      </c>
      <c r="AY6650" s="3" t="s">
        <v>64062</v>
      </c>
      <c r="AZ6650" s="3" t="s">
        <v>64063</v>
      </c>
      <c r="BA6650" s="3" t="s">
        <v>64063</v>
      </c>
      <c r="BB6650" s="3" t="s">
        <v>64068</v>
      </c>
      <c r="BC6650" s="3" t="s">
        <v>142</v>
      </c>
      <c r="BD6650" s="3" t="s">
        <v>68</v>
      </c>
      <c r="BE6650" s="3" t="s">
        <v>64065</v>
      </c>
      <c r="BF6650" s="3" t="s">
        <v>64068</v>
      </c>
      <c r="BG6650" s="3" t="s">
        <v>64069</v>
      </c>
    </row>
    <row r="6651" spans="1:59" ht="57" x14ac:dyDescent="0.45">
      <c r="A6651" s="2" t="s">
        <v>59</v>
      </c>
      <c r="B6651" s="2" t="s">
        <v>60</v>
      </c>
      <c r="C6651" s="2" t="s">
        <v>64070</v>
      </c>
      <c r="D6651" s="2" t="s">
        <v>64071</v>
      </c>
      <c r="E6651" s="2" t="s">
        <v>64072</v>
      </c>
      <c r="G6651" s="3" t="s">
        <v>62</v>
      </c>
      <c r="I6651" s="3" t="s">
        <v>61</v>
      </c>
      <c r="J6651" s="3" t="s">
        <v>62</v>
      </c>
      <c r="K6651" s="3" t="s">
        <v>63</v>
      </c>
      <c r="M6651" s="2" t="s">
        <v>64073</v>
      </c>
      <c r="N6651" s="3" t="s">
        <v>157</v>
      </c>
      <c r="P6651" s="3" t="s">
        <v>65</v>
      </c>
      <c r="Q6651" s="2" t="s">
        <v>64074</v>
      </c>
      <c r="R6651" s="3" t="s">
        <v>66</v>
      </c>
      <c r="S6651" s="4">
        <v>12</v>
      </c>
      <c r="T6651" s="4">
        <v>12</v>
      </c>
      <c r="U6651" s="5" t="s">
        <v>13252</v>
      </c>
      <c r="V6651" s="5" t="s">
        <v>13252</v>
      </c>
      <c r="W6651" s="5" t="s">
        <v>67</v>
      </c>
      <c r="X6651" s="5" t="s">
        <v>67</v>
      </c>
      <c r="Y6651" s="4">
        <v>256</v>
      </c>
      <c r="Z6651" s="4">
        <v>16</v>
      </c>
      <c r="AA6651" s="4">
        <v>19</v>
      </c>
      <c r="AB6651" s="4">
        <v>2</v>
      </c>
      <c r="AC6651" s="4">
        <v>5</v>
      </c>
      <c r="AD6651" s="4">
        <v>85</v>
      </c>
      <c r="AE6651" s="4">
        <v>88</v>
      </c>
      <c r="AF6651" s="4">
        <v>1</v>
      </c>
      <c r="AG6651" s="4">
        <v>4</v>
      </c>
      <c r="AH6651" s="4">
        <v>76</v>
      </c>
      <c r="AI6651" s="4">
        <v>77</v>
      </c>
      <c r="AJ6651" s="4">
        <v>13</v>
      </c>
      <c r="AK6651" s="4">
        <v>16</v>
      </c>
      <c r="AL6651" s="4">
        <v>41</v>
      </c>
      <c r="AM6651" s="4">
        <v>41</v>
      </c>
      <c r="AN6651" s="4">
        <v>0</v>
      </c>
      <c r="AO6651" s="4">
        <v>0</v>
      </c>
      <c r="AP6651" s="4">
        <v>14</v>
      </c>
      <c r="AQ6651" s="4">
        <v>16</v>
      </c>
      <c r="AR6651" s="3" t="s">
        <v>62</v>
      </c>
      <c r="AS6651" s="3" t="s">
        <v>62</v>
      </c>
      <c r="AT6651" s="3" t="s">
        <v>61</v>
      </c>
      <c r="AU6651" s="6" t="str">
        <f>HYPERLINK("http://catalog.hathitrust.org/Record/000190426","HathiTrust Record")</f>
        <v>HathiTrust Record</v>
      </c>
      <c r="AV6651" s="6" t="str">
        <f>HYPERLINK("http://mcgill.on.worldcat.org/oclc/9577413","Catalog Record")</f>
        <v>Catalog Record</v>
      </c>
      <c r="AW6651" s="6" t="str">
        <f>HYPERLINK("http://www.worldcat.org/oclc/9577413","WorldCat Record")</f>
        <v>WorldCat Record</v>
      </c>
      <c r="AX6651" s="3" t="s">
        <v>64075</v>
      </c>
      <c r="AY6651" s="3" t="s">
        <v>64076</v>
      </c>
      <c r="AZ6651" s="3" t="s">
        <v>64077</v>
      </c>
      <c r="BA6651" s="3" t="s">
        <v>64077</v>
      </c>
      <c r="BB6651" s="3" t="s">
        <v>64078</v>
      </c>
      <c r="BC6651" s="3" t="s">
        <v>142</v>
      </c>
      <c r="BD6651" s="3" t="s">
        <v>308</v>
      </c>
      <c r="BE6651" s="3" t="s">
        <v>64079</v>
      </c>
      <c r="BF6651" s="3" t="s">
        <v>64078</v>
      </c>
      <c r="BG6651" s="3" t="s">
        <v>64080</v>
      </c>
    </row>
    <row r="6652" spans="1:59" ht="57" x14ac:dyDescent="0.45">
      <c r="A6652" s="2" t="s">
        <v>59</v>
      </c>
      <c r="B6652" s="2" t="s">
        <v>60</v>
      </c>
      <c r="C6652" s="2" t="s">
        <v>64070</v>
      </c>
      <c r="D6652" s="2" t="s">
        <v>64071</v>
      </c>
      <c r="E6652" s="2" t="s">
        <v>64072</v>
      </c>
      <c r="G6652" s="3" t="s">
        <v>62</v>
      </c>
      <c r="I6652" s="3" t="s">
        <v>61</v>
      </c>
      <c r="J6652" s="3" t="s">
        <v>62</v>
      </c>
      <c r="K6652" s="3" t="s">
        <v>63</v>
      </c>
      <c r="M6652" s="2" t="s">
        <v>64073</v>
      </c>
      <c r="N6652" s="3" t="s">
        <v>157</v>
      </c>
      <c r="P6652" s="3" t="s">
        <v>65</v>
      </c>
      <c r="Q6652" s="2" t="s">
        <v>64074</v>
      </c>
      <c r="R6652" s="3" t="s">
        <v>66</v>
      </c>
      <c r="S6652" s="4">
        <v>0</v>
      </c>
      <c r="T6652" s="4">
        <v>12</v>
      </c>
      <c r="V6652" s="5" t="s">
        <v>13252</v>
      </c>
      <c r="W6652" s="5" t="s">
        <v>67</v>
      </c>
      <c r="X6652" s="5" t="s">
        <v>67</v>
      </c>
      <c r="Y6652" s="4">
        <v>256</v>
      </c>
      <c r="Z6652" s="4">
        <v>16</v>
      </c>
      <c r="AA6652" s="4">
        <v>19</v>
      </c>
      <c r="AB6652" s="4">
        <v>2</v>
      </c>
      <c r="AC6652" s="4">
        <v>5</v>
      </c>
      <c r="AD6652" s="4">
        <v>85</v>
      </c>
      <c r="AE6652" s="4">
        <v>88</v>
      </c>
      <c r="AF6652" s="4">
        <v>1</v>
      </c>
      <c r="AG6652" s="4">
        <v>4</v>
      </c>
      <c r="AH6652" s="4">
        <v>76</v>
      </c>
      <c r="AI6652" s="4">
        <v>77</v>
      </c>
      <c r="AJ6652" s="4">
        <v>13</v>
      </c>
      <c r="AK6652" s="4">
        <v>16</v>
      </c>
      <c r="AL6652" s="4">
        <v>41</v>
      </c>
      <c r="AM6652" s="4">
        <v>41</v>
      </c>
      <c r="AN6652" s="4">
        <v>0</v>
      </c>
      <c r="AO6652" s="4">
        <v>0</v>
      </c>
      <c r="AP6652" s="4">
        <v>14</v>
      </c>
      <c r="AQ6652" s="4">
        <v>16</v>
      </c>
      <c r="AR6652" s="3" t="s">
        <v>62</v>
      </c>
      <c r="AS6652" s="3" t="s">
        <v>62</v>
      </c>
      <c r="AT6652" s="3" t="s">
        <v>61</v>
      </c>
      <c r="AU6652" s="6" t="str">
        <f>HYPERLINK("http://catalog.hathitrust.org/Record/000190426","HathiTrust Record")</f>
        <v>HathiTrust Record</v>
      </c>
      <c r="AV6652" s="6" t="str">
        <f>HYPERLINK("http://mcgill.on.worldcat.org/oclc/9577413","Catalog Record")</f>
        <v>Catalog Record</v>
      </c>
      <c r="AW6652" s="6" t="str">
        <f>HYPERLINK("http://www.worldcat.org/oclc/9577413","WorldCat Record")</f>
        <v>WorldCat Record</v>
      </c>
      <c r="AX6652" s="3" t="s">
        <v>64075</v>
      </c>
      <c r="AY6652" s="3" t="s">
        <v>64076</v>
      </c>
      <c r="AZ6652" s="3" t="s">
        <v>64077</v>
      </c>
      <c r="BA6652" s="3" t="s">
        <v>64077</v>
      </c>
      <c r="BB6652" s="3" t="s">
        <v>64081</v>
      </c>
      <c r="BC6652" s="3" t="s">
        <v>142</v>
      </c>
      <c r="BD6652" s="3" t="s">
        <v>68</v>
      </c>
      <c r="BE6652" s="3" t="s">
        <v>64079</v>
      </c>
      <c r="BF6652" s="3" t="s">
        <v>64081</v>
      </c>
      <c r="BG6652" s="3" t="s">
        <v>64082</v>
      </c>
    </row>
    <row r="6653" spans="1:59" ht="57" x14ac:dyDescent="0.45">
      <c r="A6653" s="2" t="s">
        <v>59</v>
      </c>
      <c r="B6653" s="2" t="s">
        <v>60</v>
      </c>
      <c r="C6653" s="2" t="s">
        <v>64083</v>
      </c>
      <c r="D6653" s="2" t="s">
        <v>64084</v>
      </c>
      <c r="E6653" s="2" t="s">
        <v>64085</v>
      </c>
      <c r="G6653" s="3" t="s">
        <v>62</v>
      </c>
      <c r="I6653" s="3" t="s">
        <v>62</v>
      </c>
      <c r="J6653" s="3" t="s">
        <v>62</v>
      </c>
      <c r="K6653" s="3" t="s">
        <v>63</v>
      </c>
      <c r="M6653" s="2" t="s">
        <v>64086</v>
      </c>
      <c r="N6653" s="3" t="s">
        <v>894</v>
      </c>
      <c r="P6653" s="3" t="s">
        <v>65</v>
      </c>
      <c r="Q6653" s="2" t="s">
        <v>64087</v>
      </c>
      <c r="R6653" s="3" t="s">
        <v>66</v>
      </c>
      <c r="S6653" s="4">
        <v>7</v>
      </c>
      <c r="T6653" s="4">
        <v>7</v>
      </c>
      <c r="U6653" s="5" t="s">
        <v>31414</v>
      </c>
      <c r="V6653" s="5" t="s">
        <v>31414</v>
      </c>
      <c r="W6653" s="5" t="s">
        <v>67</v>
      </c>
      <c r="X6653" s="5" t="s">
        <v>67</v>
      </c>
      <c r="Y6653" s="4">
        <v>26</v>
      </c>
      <c r="Z6653" s="4">
        <v>5</v>
      </c>
      <c r="AA6653" s="4">
        <v>6</v>
      </c>
      <c r="AB6653" s="4">
        <v>1</v>
      </c>
      <c r="AC6653" s="4">
        <v>1</v>
      </c>
      <c r="AD6653" s="4">
        <v>11</v>
      </c>
      <c r="AE6653" s="4">
        <v>12</v>
      </c>
      <c r="AF6653" s="4">
        <v>0</v>
      </c>
      <c r="AG6653" s="4">
        <v>0</v>
      </c>
      <c r="AH6653" s="4">
        <v>11</v>
      </c>
      <c r="AI6653" s="4">
        <v>11</v>
      </c>
      <c r="AJ6653" s="4">
        <v>2</v>
      </c>
      <c r="AK6653" s="4">
        <v>3</v>
      </c>
      <c r="AL6653" s="4">
        <v>6</v>
      </c>
      <c r="AM6653" s="4">
        <v>6</v>
      </c>
      <c r="AN6653" s="4">
        <v>0</v>
      </c>
      <c r="AO6653" s="4">
        <v>0</v>
      </c>
      <c r="AP6653" s="4">
        <v>3</v>
      </c>
      <c r="AQ6653" s="4">
        <v>4</v>
      </c>
      <c r="AR6653" s="3" t="s">
        <v>62</v>
      </c>
      <c r="AS6653" s="3" t="s">
        <v>62</v>
      </c>
      <c r="AT6653" s="3" t="s">
        <v>62</v>
      </c>
      <c r="AV6653" s="6" t="str">
        <f>HYPERLINK("http://mcgill.on.worldcat.org/oclc/800632787","Catalog Record")</f>
        <v>Catalog Record</v>
      </c>
      <c r="AW6653" s="6" t="str">
        <f>HYPERLINK("http://www.worldcat.org/oclc/800632787","WorldCat Record")</f>
        <v>WorldCat Record</v>
      </c>
      <c r="AX6653" s="3" t="s">
        <v>64088</v>
      </c>
      <c r="AY6653" s="3" t="s">
        <v>64089</v>
      </c>
      <c r="AZ6653" s="3" t="s">
        <v>64090</v>
      </c>
      <c r="BA6653" s="3" t="s">
        <v>64090</v>
      </c>
      <c r="BB6653" s="3" t="s">
        <v>64091</v>
      </c>
      <c r="BC6653" s="3" t="s">
        <v>142</v>
      </c>
      <c r="BD6653" s="3" t="s">
        <v>68</v>
      </c>
      <c r="BE6653" s="3" t="s">
        <v>64092</v>
      </c>
      <c r="BF6653" s="3" t="s">
        <v>64091</v>
      </c>
      <c r="BG6653" s="3" t="s">
        <v>64093</v>
      </c>
    </row>
    <row r="6654" spans="1:59" ht="57" x14ac:dyDescent="0.45">
      <c r="A6654" s="2" t="s">
        <v>59</v>
      </c>
      <c r="B6654" s="2" t="s">
        <v>12420</v>
      </c>
      <c r="C6654" s="2" t="s">
        <v>64094</v>
      </c>
      <c r="D6654" s="2" t="s">
        <v>64095</v>
      </c>
      <c r="E6654" s="2" t="s">
        <v>64096</v>
      </c>
      <c r="G6654" s="3" t="s">
        <v>62</v>
      </c>
      <c r="I6654" s="3" t="s">
        <v>62</v>
      </c>
      <c r="J6654" s="3" t="s">
        <v>62</v>
      </c>
      <c r="K6654" s="3" t="s">
        <v>63</v>
      </c>
      <c r="M6654" s="2" t="s">
        <v>4429</v>
      </c>
      <c r="N6654" s="3" t="s">
        <v>1097</v>
      </c>
      <c r="P6654" s="3" t="s">
        <v>65</v>
      </c>
      <c r="R6654" s="3" t="s">
        <v>66</v>
      </c>
      <c r="S6654" s="4">
        <v>2</v>
      </c>
      <c r="T6654" s="4">
        <v>2</v>
      </c>
      <c r="U6654" s="5" t="s">
        <v>29149</v>
      </c>
      <c r="V6654" s="5" t="s">
        <v>29149</v>
      </c>
      <c r="W6654" s="5" t="s">
        <v>67</v>
      </c>
      <c r="X6654" s="5" t="s">
        <v>67</v>
      </c>
      <c r="Y6654" s="4">
        <v>853</v>
      </c>
      <c r="Z6654" s="4">
        <v>49</v>
      </c>
      <c r="AA6654" s="4">
        <v>53</v>
      </c>
      <c r="AB6654" s="4">
        <v>4</v>
      </c>
      <c r="AC6654" s="4">
        <v>6</v>
      </c>
      <c r="AD6654" s="4">
        <v>128</v>
      </c>
      <c r="AE6654" s="4">
        <v>133</v>
      </c>
      <c r="AF6654" s="4">
        <v>2</v>
      </c>
      <c r="AG6654" s="4">
        <v>4</v>
      </c>
      <c r="AH6654" s="4">
        <v>104</v>
      </c>
      <c r="AI6654" s="4">
        <v>107</v>
      </c>
      <c r="AJ6654" s="4">
        <v>19</v>
      </c>
      <c r="AK6654" s="4">
        <v>22</v>
      </c>
      <c r="AL6654" s="4">
        <v>59</v>
      </c>
      <c r="AM6654" s="4">
        <v>59</v>
      </c>
      <c r="AN6654" s="4">
        <v>0</v>
      </c>
      <c r="AO6654" s="4">
        <v>0</v>
      </c>
      <c r="AP6654" s="4">
        <v>31</v>
      </c>
      <c r="AQ6654" s="4">
        <v>33</v>
      </c>
      <c r="AR6654" s="3" t="s">
        <v>62</v>
      </c>
      <c r="AS6654" s="3" t="s">
        <v>62</v>
      </c>
      <c r="AT6654" s="3" t="s">
        <v>62</v>
      </c>
      <c r="AV6654" s="6" t="str">
        <f>HYPERLINK("http://mcgill.on.worldcat.org/oclc/59471649","Catalog Record")</f>
        <v>Catalog Record</v>
      </c>
      <c r="AW6654" s="6" t="str">
        <f>HYPERLINK("http://www.worldcat.org/oclc/59471649","WorldCat Record")</f>
        <v>WorldCat Record</v>
      </c>
      <c r="AX6654" s="3" t="s">
        <v>64097</v>
      </c>
      <c r="AY6654" s="3" t="s">
        <v>64098</v>
      </c>
      <c r="AZ6654" s="3" t="s">
        <v>64099</v>
      </c>
      <c r="BA6654" s="3" t="s">
        <v>64099</v>
      </c>
      <c r="BB6654" s="3" t="s">
        <v>64100</v>
      </c>
      <c r="BC6654" s="3" t="s">
        <v>142</v>
      </c>
      <c r="BD6654" s="3" t="s">
        <v>68</v>
      </c>
      <c r="BE6654" s="3" t="s">
        <v>64101</v>
      </c>
      <c r="BF6654" s="3" t="s">
        <v>64100</v>
      </c>
      <c r="BG6654" s="3" t="s">
        <v>64102</v>
      </c>
    </row>
    <row r="6655" spans="1:59" ht="57" x14ac:dyDescent="0.45">
      <c r="A6655" s="2" t="s">
        <v>59</v>
      </c>
      <c r="B6655" s="2" t="s">
        <v>60</v>
      </c>
      <c r="C6655" s="2" t="s">
        <v>64103</v>
      </c>
      <c r="D6655" s="2" t="s">
        <v>64104</v>
      </c>
      <c r="E6655" s="2" t="s">
        <v>64105</v>
      </c>
      <c r="G6655" s="3" t="s">
        <v>62</v>
      </c>
      <c r="I6655" s="3" t="s">
        <v>62</v>
      </c>
      <c r="J6655" s="3" t="s">
        <v>62</v>
      </c>
      <c r="K6655" s="3" t="s">
        <v>63</v>
      </c>
      <c r="L6655" s="2" t="s">
        <v>47180</v>
      </c>
      <c r="M6655" s="2" t="s">
        <v>31234</v>
      </c>
      <c r="N6655" s="3" t="s">
        <v>958</v>
      </c>
      <c r="P6655" s="3" t="s">
        <v>65</v>
      </c>
      <c r="R6655" s="3" t="s">
        <v>66</v>
      </c>
      <c r="S6655" s="4">
        <v>12</v>
      </c>
      <c r="T6655" s="4">
        <v>12</v>
      </c>
      <c r="U6655" s="5" t="s">
        <v>12497</v>
      </c>
      <c r="V6655" s="5" t="s">
        <v>12497</v>
      </c>
      <c r="W6655" s="5" t="s">
        <v>67</v>
      </c>
      <c r="X6655" s="5" t="s">
        <v>67</v>
      </c>
      <c r="Y6655" s="4">
        <v>263</v>
      </c>
      <c r="Z6655" s="4">
        <v>16</v>
      </c>
      <c r="AA6655" s="4">
        <v>73</v>
      </c>
      <c r="AB6655" s="4">
        <v>1</v>
      </c>
      <c r="AC6655" s="4">
        <v>18</v>
      </c>
      <c r="AD6655" s="4">
        <v>49</v>
      </c>
      <c r="AE6655" s="4">
        <v>109</v>
      </c>
      <c r="AF6655" s="4">
        <v>0</v>
      </c>
      <c r="AG6655" s="4">
        <v>8</v>
      </c>
      <c r="AH6655" s="4">
        <v>44</v>
      </c>
      <c r="AI6655" s="4">
        <v>70</v>
      </c>
      <c r="AJ6655" s="4">
        <v>9</v>
      </c>
      <c r="AK6655" s="4">
        <v>25</v>
      </c>
      <c r="AL6655" s="4">
        <v>21</v>
      </c>
      <c r="AM6655" s="4">
        <v>33</v>
      </c>
      <c r="AN6655" s="4">
        <v>0</v>
      </c>
      <c r="AO6655" s="4">
        <v>0</v>
      </c>
      <c r="AP6655" s="4">
        <v>10</v>
      </c>
      <c r="AQ6655" s="4">
        <v>48</v>
      </c>
      <c r="AR6655" s="3" t="s">
        <v>62</v>
      </c>
      <c r="AS6655" s="3" t="s">
        <v>62</v>
      </c>
      <c r="AT6655" s="3" t="s">
        <v>62</v>
      </c>
      <c r="AV6655" s="6" t="str">
        <f>HYPERLINK("http://mcgill.on.worldcat.org/oclc/31044817","Catalog Record")</f>
        <v>Catalog Record</v>
      </c>
      <c r="AW6655" s="6" t="str">
        <f>HYPERLINK("http://www.worldcat.org/oclc/31044817","WorldCat Record")</f>
        <v>WorldCat Record</v>
      </c>
      <c r="AX6655" s="3" t="s">
        <v>64106</v>
      </c>
      <c r="AY6655" s="3" t="s">
        <v>64107</v>
      </c>
      <c r="AZ6655" s="3" t="s">
        <v>64108</v>
      </c>
      <c r="BA6655" s="3" t="s">
        <v>64108</v>
      </c>
      <c r="BB6655" s="3" t="s">
        <v>64109</v>
      </c>
      <c r="BC6655" s="3" t="s">
        <v>142</v>
      </c>
      <c r="BD6655" s="3" t="s">
        <v>68</v>
      </c>
      <c r="BE6655" s="3" t="s">
        <v>64110</v>
      </c>
      <c r="BF6655" s="3" t="s">
        <v>64109</v>
      </c>
      <c r="BG6655" s="3" t="s">
        <v>64111</v>
      </c>
    </row>
    <row r="6656" spans="1:59" ht="57" x14ac:dyDescent="0.45">
      <c r="A6656" s="2" t="s">
        <v>59</v>
      </c>
      <c r="B6656" s="2" t="s">
        <v>60</v>
      </c>
      <c r="C6656" s="2" t="s">
        <v>64112</v>
      </c>
      <c r="D6656" s="2" t="s">
        <v>64113</v>
      </c>
      <c r="E6656" s="2" t="s">
        <v>64114</v>
      </c>
      <c r="G6656" s="3" t="s">
        <v>62</v>
      </c>
      <c r="I6656" s="3" t="s">
        <v>62</v>
      </c>
      <c r="J6656" s="3" t="s">
        <v>62</v>
      </c>
      <c r="K6656" s="3" t="s">
        <v>63</v>
      </c>
      <c r="M6656" s="2" t="s">
        <v>64115</v>
      </c>
      <c r="N6656" s="3" t="s">
        <v>5180</v>
      </c>
      <c r="O6656" s="2" t="s">
        <v>64116</v>
      </c>
      <c r="P6656" s="3" t="s">
        <v>65</v>
      </c>
      <c r="R6656" s="3" t="s">
        <v>66</v>
      </c>
      <c r="S6656" s="4">
        <v>0</v>
      </c>
      <c r="T6656" s="4">
        <v>0</v>
      </c>
      <c r="W6656" s="5" t="s">
        <v>67</v>
      </c>
      <c r="X6656" s="5" t="s">
        <v>67</v>
      </c>
      <c r="Y6656" s="4">
        <v>9</v>
      </c>
      <c r="Z6656" s="4">
        <v>1</v>
      </c>
      <c r="AA6656" s="4">
        <v>4</v>
      </c>
      <c r="AB6656" s="4">
        <v>1</v>
      </c>
      <c r="AC6656" s="4">
        <v>2</v>
      </c>
      <c r="AD6656" s="4">
        <v>3</v>
      </c>
      <c r="AE6656" s="4">
        <v>9</v>
      </c>
      <c r="AF6656" s="4">
        <v>0</v>
      </c>
      <c r="AG6656" s="4">
        <v>1</v>
      </c>
      <c r="AH6656" s="4">
        <v>3</v>
      </c>
      <c r="AI6656" s="4">
        <v>9</v>
      </c>
      <c r="AJ6656" s="4">
        <v>0</v>
      </c>
      <c r="AK6656" s="4">
        <v>3</v>
      </c>
      <c r="AL6656" s="4">
        <v>2</v>
      </c>
      <c r="AM6656" s="4">
        <v>4</v>
      </c>
      <c r="AN6656" s="4">
        <v>0</v>
      </c>
      <c r="AO6656" s="4">
        <v>0</v>
      </c>
      <c r="AP6656" s="4">
        <v>0</v>
      </c>
      <c r="AQ6656" s="4">
        <v>3</v>
      </c>
      <c r="AR6656" s="3" t="s">
        <v>62</v>
      </c>
      <c r="AS6656" s="3" t="s">
        <v>62</v>
      </c>
      <c r="AT6656" s="3" t="s">
        <v>62</v>
      </c>
      <c r="AV6656" s="6" t="str">
        <f>HYPERLINK("http://mcgill.on.worldcat.org/oclc/1038469611","Catalog Record")</f>
        <v>Catalog Record</v>
      </c>
      <c r="AW6656" s="6" t="str">
        <f>HYPERLINK("http://www.worldcat.org/oclc/1038469611","WorldCat Record")</f>
        <v>WorldCat Record</v>
      </c>
      <c r="AX6656" s="3" t="s">
        <v>64117</v>
      </c>
      <c r="AY6656" s="3" t="s">
        <v>64118</v>
      </c>
      <c r="AZ6656" s="3" t="s">
        <v>64119</v>
      </c>
      <c r="BA6656" s="3" t="s">
        <v>64119</v>
      </c>
      <c r="BB6656" s="3" t="s">
        <v>64120</v>
      </c>
      <c r="BC6656" s="3" t="s">
        <v>142</v>
      </c>
      <c r="BD6656" s="3" t="s">
        <v>68</v>
      </c>
      <c r="BE6656" s="3" t="s">
        <v>64121</v>
      </c>
      <c r="BF6656" s="3" t="s">
        <v>64120</v>
      </c>
      <c r="BG6656" s="3" t="s">
        <v>64122</v>
      </c>
    </row>
    <row r="6657" spans="1:59" ht="57" x14ac:dyDescent="0.45">
      <c r="A6657" s="2" t="s">
        <v>59</v>
      </c>
      <c r="B6657" s="2" t="s">
        <v>60</v>
      </c>
      <c r="C6657" s="2" t="s">
        <v>64123</v>
      </c>
      <c r="D6657" s="2" t="s">
        <v>64124</v>
      </c>
      <c r="E6657" s="2" t="s">
        <v>64125</v>
      </c>
      <c r="G6657" s="3" t="s">
        <v>62</v>
      </c>
      <c r="I6657" s="3" t="s">
        <v>62</v>
      </c>
      <c r="J6657" s="3" t="s">
        <v>62</v>
      </c>
      <c r="K6657" s="3" t="s">
        <v>63</v>
      </c>
      <c r="M6657" s="2" t="s">
        <v>64126</v>
      </c>
      <c r="N6657" s="3" t="s">
        <v>820</v>
      </c>
      <c r="P6657" s="3" t="s">
        <v>65</v>
      </c>
      <c r="R6657" s="3" t="s">
        <v>66</v>
      </c>
      <c r="S6657" s="4">
        <v>6</v>
      </c>
      <c r="T6657" s="4">
        <v>6</v>
      </c>
      <c r="U6657" s="5" t="s">
        <v>3306</v>
      </c>
      <c r="V6657" s="5" t="s">
        <v>3306</v>
      </c>
      <c r="W6657" s="5" t="s">
        <v>67</v>
      </c>
      <c r="X6657" s="5" t="s">
        <v>67</v>
      </c>
      <c r="Y6657" s="4">
        <v>500</v>
      </c>
      <c r="Z6657" s="4">
        <v>34</v>
      </c>
      <c r="AA6657" s="4">
        <v>35</v>
      </c>
      <c r="AB6657" s="4">
        <v>3</v>
      </c>
      <c r="AC6657" s="4">
        <v>4</v>
      </c>
      <c r="AD6657" s="4">
        <v>90</v>
      </c>
      <c r="AE6657" s="4">
        <v>91</v>
      </c>
      <c r="AF6657" s="4">
        <v>1</v>
      </c>
      <c r="AG6657" s="4">
        <v>2</v>
      </c>
      <c r="AH6657" s="4">
        <v>77</v>
      </c>
      <c r="AI6657" s="4">
        <v>77</v>
      </c>
      <c r="AJ6657" s="4">
        <v>13</v>
      </c>
      <c r="AK6657" s="4">
        <v>14</v>
      </c>
      <c r="AL6657" s="4">
        <v>38</v>
      </c>
      <c r="AM6657" s="4">
        <v>38</v>
      </c>
      <c r="AN6657" s="4">
        <v>0</v>
      </c>
      <c r="AO6657" s="4">
        <v>0</v>
      </c>
      <c r="AP6657" s="4">
        <v>19</v>
      </c>
      <c r="AQ6657" s="4">
        <v>20</v>
      </c>
      <c r="AR6657" s="3" t="s">
        <v>62</v>
      </c>
      <c r="AS6657" s="3" t="s">
        <v>62</v>
      </c>
      <c r="AT6657" s="3" t="s">
        <v>62</v>
      </c>
      <c r="AV6657" s="6" t="str">
        <f>HYPERLINK("http://mcgill.on.worldcat.org/oclc/192134487","Catalog Record")</f>
        <v>Catalog Record</v>
      </c>
      <c r="AW6657" s="6" t="str">
        <f>HYPERLINK("http://www.worldcat.org/oclc/192134487","WorldCat Record")</f>
        <v>WorldCat Record</v>
      </c>
      <c r="AX6657" s="3" t="s">
        <v>64127</v>
      </c>
      <c r="AY6657" s="3" t="s">
        <v>64128</v>
      </c>
      <c r="AZ6657" s="3" t="s">
        <v>64129</v>
      </c>
      <c r="BA6657" s="3" t="s">
        <v>64129</v>
      </c>
      <c r="BB6657" s="3" t="s">
        <v>64130</v>
      </c>
      <c r="BC6657" s="3" t="s">
        <v>142</v>
      </c>
      <c r="BD6657" s="3" t="s">
        <v>68</v>
      </c>
      <c r="BE6657" s="3" t="s">
        <v>64131</v>
      </c>
      <c r="BF6657" s="3" t="s">
        <v>64130</v>
      </c>
      <c r="BG6657" s="3" t="s">
        <v>64132</v>
      </c>
    </row>
    <row r="6658" spans="1:59" ht="57" x14ac:dyDescent="0.45">
      <c r="A6658" s="2" t="s">
        <v>59</v>
      </c>
      <c r="B6658" s="2" t="s">
        <v>60</v>
      </c>
      <c r="C6658" s="2" t="s">
        <v>64133</v>
      </c>
      <c r="D6658" s="2" t="s">
        <v>64134</v>
      </c>
      <c r="E6658" s="2" t="s">
        <v>64135</v>
      </c>
      <c r="G6658" s="3" t="s">
        <v>62</v>
      </c>
      <c r="I6658" s="3" t="s">
        <v>62</v>
      </c>
      <c r="J6658" s="3" t="s">
        <v>62</v>
      </c>
      <c r="K6658" s="3" t="s">
        <v>63</v>
      </c>
      <c r="M6658" s="2" t="s">
        <v>38306</v>
      </c>
      <c r="N6658" s="3" t="s">
        <v>894</v>
      </c>
      <c r="P6658" s="3" t="s">
        <v>65</v>
      </c>
      <c r="Q6658" s="2" t="s">
        <v>64136</v>
      </c>
      <c r="R6658" s="3" t="s">
        <v>66</v>
      </c>
      <c r="S6658" s="4">
        <v>0</v>
      </c>
      <c r="T6658" s="4">
        <v>0</v>
      </c>
      <c r="W6658" s="5" t="s">
        <v>67</v>
      </c>
      <c r="X6658" s="5" t="s">
        <v>67</v>
      </c>
      <c r="Y6658" s="4">
        <v>39</v>
      </c>
      <c r="Z6658" s="4">
        <v>2</v>
      </c>
      <c r="AA6658" s="4">
        <v>2</v>
      </c>
      <c r="AB6658" s="4">
        <v>1</v>
      </c>
      <c r="AC6658" s="4">
        <v>1</v>
      </c>
      <c r="AD6658" s="4">
        <v>14</v>
      </c>
      <c r="AE6658" s="4">
        <v>14</v>
      </c>
      <c r="AF6658" s="4">
        <v>0</v>
      </c>
      <c r="AG6658" s="4">
        <v>0</v>
      </c>
      <c r="AH6658" s="4">
        <v>14</v>
      </c>
      <c r="AI6658" s="4">
        <v>14</v>
      </c>
      <c r="AJ6658" s="4">
        <v>1</v>
      </c>
      <c r="AK6658" s="4">
        <v>1</v>
      </c>
      <c r="AL6658" s="4">
        <v>12</v>
      </c>
      <c r="AM6658" s="4">
        <v>12</v>
      </c>
      <c r="AN6658" s="4">
        <v>0</v>
      </c>
      <c r="AO6658" s="4">
        <v>0</v>
      </c>
      <c r="AP6658" s="4">
        <v>1</v>
      </c>
      <c r="AQ6658" s="4">
        <v>1</v>
      </c>
      <c r="AR6658" s="3" t="s">
        <v>62</v>
      </c>
      <c r="AS6658" s="3" t="s">
        <v>62</v>
      </c>
      <c r="AT6658" s="3" t="s">
        <v>62</v>
      </c>
      <c r="AV6658" s="6" t="str">
        <f>HYPERLINK("http://mcgill.on.worldcat.org/oclc/639461820","Catalog Record")</f>
        <v>Catalog Record</v>
      </c>
      <c r="AW6658" s="6" t="str">
        <f>HYPERLINK("http://www.worldcat.org/oclc/639461820","WorldCat Record")</f>
        <v>WorldCat Record</v>
      </c>
      <c r="AX6658" s="3" t="s">
        <v>64137</v>
      </c>
      <c r="AY6658" s="3" t="s">
        <v>64138</v>
      </c>
      <c r="AZ6658" s="3" t="s">
        <v>64139</v>
      </c>
      <c r="BA6658" s="3" t="s">
        <v>64139</v>
      </c>
      <c r="BB6658" s="3" t="s">
        <v>64140</v>
      </c>
      <c r="BC6658" s="3" t="s">
        <v>142</v>
      </c>
      <c r="BD6658" s="3" t="s">
        <v>68</v>
      </c>
      <c r="BE6658" s="3" t="s">
        <v>64141</v>
      </c>
      <c r="BF6658" s="3" t="s">
        <v>64140</v>
      </c>
      <c r="BG6658" s="3" t="s">
        <v>64142</v>
      </c>
    </row>
    <row r="6659" spans="1:59" ht="57" x14ac:dyDescent="0.45">
      <c r="A6659" s="2" t="s">
        <v>59</v>
      </c>
      <c r="B6659" s="2" t="s">
        <v>60</v>
      </c>
      <c r="C6659" s="2" t="s">
        <v>64143</v>
      </c>
      <c r="D6659" s="2" t="s">
        <v>64144</v>
      </c>
      <c r="E6659" s="2" t="s">
        <v>64145</v>
      </c>
      <c r="F6659" s="3" t="s">
        <v>90</v>
      </c>
      <c r="G6659" s="3" t="s">
        <v>61</v>
      </c>
      <c r="I6659" s="3" t="s">
        <v>62</v>
      </c>
      <c r="J6659" s="3" t="s">
        <v>62</v>
      </c>
      <c r="K6659" s="3" t="s">
        <v>63</v>
      </c>
      <c r="M6659" s="2" t="s">
        <v>64146</v>
      </c>
      <c r="N6659" s="3" t="s">
        <v>167</v>
      </c>
      <c r="P6659" s="3" t="s">
        <v>65</v>
      </c>
      <c r="R6659" s="3" t="s">
        <v>66</v>
      </c>
      <c r="S6659" s="4">
        <v>7</v>
      </c>
      <c r="T6659" s="4">
        <v>15</v>
      </c>
      <c r="U6659" s="5" t="s">
        <v>11707</v>
      </c>
      <c r="V6659" s="5" t="s">
        <v>11707</v>
      </c>
      <c r="W6659" s="5" t="s">
        <v>67</v>
      </c>
      <c r="X6659" s="5" t="s">
        <v>67</v>
      </c>
      <c r="Y6659" s="4">
        <v>170</v>
      </c>
      <c r="Z6659" s="4">
        <v>14</v>
      </c>
      <c r="AA6659" s="4">
        <v>14</v>
      </c>
      <c r="AB6659" s="4">
        <v>1</v>
      </c>
      <c r="AC6659" s="4">
        <v>1</v>
      </c>
      <c r="AD6659" s="4">
        <v>69</v>
      </c>
      <c r="AE6659" s="4">
        <v>69</v>
      </c>
      <c r="AF6659" s="4">
        <v>0</v>
      </c>
      <c r="AG6659" s="4">
        <v>0</v>
      </c>
      <c r="AH6659" s="4">
        <v>63</v>
      </c>
      <c r="AI6659" s="4">
        <v>63</v>
      </c>
      <c r="AJ6659" s="4">
        <v>9</v>
      </c>
      <c r="AK6659" s="4">
        <v>9</v>
      </c>
      <c r="AL6659" s="4">
        <v>40</v>
      </c>
      <c r="AM6659" s="4">
        <v>40</v>
      </c>
      <c r="AN6659" s="4">
        <v>0</v>
      </c>
      <c r="AO6659" s="4">
        <v>0</v>
      </c>
      <c r="AP6659" s="4">
        <v>12</v>
      </c>
      <c r="AQ6659" s="4">
        <v>12</v>
      </c>
      <c r="AR6659" s="3" t="s">
        <v>62</v>
      </c>
      <c r="AS6659" s="3" t="s">
        <v>62</v>
      </c>
      <c r="AT6659" s="3" t="s">
        <v>61</v>
      </c>
      <c r="AU6659" s="6" t="str">
        <f>HYPERLINK("http://catalog.hathitrust.org/Record/004087857","HathiTrust Record")</f>
        <v>HathiTrust Record</v>
      </c>
      <c r="AV6659" s="6" t="str">
        <f>HYPERLINK("http://mcgill.on.worldcat.org/oclc/39215790","Catalog Record")</f>
        <v>Catalog Record</v>
      </c>
      <c r="AW6659" s="6" t="str">
        <f>HYPERLINK("http://www.worldcat.org/oclc/39215790","WorldCat Record")</f>
        <v>WorldCat Record</v>
      </c>
      <c r="AX6659" s="3" t="s">
        <v>64147</v>
      </c>
      <c r="AY6659" s="3" t="s">
        <v>64148</v>
      </c>
      <c r="AZ6659" s="3" t="s">
        <v>64149</v>
      </c>
      <c r="BA6659" s="3" t="s">
        <v>64149</v>
      </c>
      <c r="BB6659" s="3" t="s">
        <v>64150</v>
      </c>
      <c r="BC6659" s="3" t="s">
        <v>142</v>
      </c>
      <c r="BD6659" s="3" t="s">
        <v>68</v>
      </c>
      <c r="BE6659" s="3" t="s">
        <v>64151</v>
      </c>
      <c r="BF6659" s="3" t="s">
        <v>64150</v>
      </c>
      <c r="BG6659" s="3" t="s">
        <v>64152</v>
      </c>
    </row>
    <row r="6660" spans="1:59" ht="57" x14ac:dyDescent="0.45">
      <c r="A6660" s="2" t="s">
        <v>59</v>
      </c>
      <c r="B6660" s="2" t="s">
        <v>60</v>
      </c>
      <c r="C6660" s="2" t="s">
        <v>64143</v>
      </c>
      <c r="D6660" s="2" t="s">
        <v>64144</v>
      </c>
      <c r="E6660" s="2" t="s">
        <v>64145</v>
      </c>
      <c r="F6660" s="3" t="s">
        <v>416</v>
      </c>
      <c r="G6660" s="3" t="s">
        <v>61</v>
      </c>
      <c r="I6660" s="3" t="s">
        <v>62</v>
      </c>
      <c r="J6660" s="3" t="s">
        <v>62</v>
      </c>
      <c r="K6660" s="3" t="s">
        <v>63</v>
      </c>
      <c r="M6660" s="2" t="s">
        <v>64146</v>
      </c>
      <c r="N6660" s="3" t="s">
        <v>167</v>
      </c>
      <c r="P6660" s="3" t="s">
        <v>65</v>
      </c>
      <c r="R6660" s="3" t="s">
        <v>66</v>
      </c>
      <c r="S6660" s="4">
        <v>8</v>
      </c>
      <c r="T6660" s="4">
        <v>15</v>
      </c>
      <c r="U6660" s="5" t="s">
        <v>64153</v>
      </c>
      <c r="V6660" s="5" t="s">
        <v>11707</v>
      </c>
      <c r="W6660" s="5" t="s">
        <v>67</v>
      </c>
      <c r="X6660" s="5" t="s">
        <v>67</v>
      </c>
      <c r="Y6660" s="4">
        <v>170</v>
      </c>
      <c r="Z6660" s="4">
        <v>14</v>
      </c>
      <c r="AA6660" s="4">
        <v>14</v>
      </c>
      <c r="AB6660" s="4">
        <v>1</v>
      </c>
      <c r="AC6660" s="4">
        <v>1</v>
      </c>
      <c r="AD6660" s="4">
        <v>69</v>
      </c>
      <c r="AE6660" s="4">
        <v>69</v>
      </c>
      <c r="AF6660" s="4">
        <v>0</v>
      </c>
      <c r="AG6660" s="4">
        <v>0</v>
      </c>
      <c r="AH6660" s="4">
        <v>63</v>
      </c>
      <c r="AI6660" s="4">
        <v>63</v>
      </c>
      <c r="AJ6660" s="4">
        <v>9</v>
      </c>
      <c r="AK6660" s="4">
        <v>9</v>
      </c>
      <c r="AL6660" s="4">
        <v>40</v>
      </c>
      <c r="AM6660" s="4">
        <v>40</v>
      </c>
      <c r="AN6660" s="4">
        <v>0</v>
      </c>
      <c r="AO6660" s="4">
        <v>0</v>
      </c>
      <c r="AP6660" s="4">
        <v>12</v>
      </c>
      <c r="AQ6660" s="4">
        <v>12</v>
      </c>
      <c r="AR6660" s="3" t="s">
        <v>62</v>
      </c>
      <c r="AS6660" s="3" t="s">
        <v>62</v>
      </c>
      <c r="AT6660" s="3" t="s">
        <v>61</v>
      </c>
      <c r="AU6660" s="6" t="str">
        <f>HYPERLINK("http://catalog.hathitrust.org/Record/004087857","HathiTrust Record")</f>
        <v>HathiTrust Record</v>
      </c>
      <c r="AV6660" s="6" t="str">
        <f>HYPERLINK("http://mcgill.on.worldcat.org/oclc/39215790","Catalog Record")</f>
        <v>Catalog Record</v>
      </c>
      <c r="AW6660" s="6" t="str">
        <f>HYPERLINK("http://www.worldcat.org/oclc/39215790","WorldCat Record")</f>
        <v>WorldCat Record</v>
      </c>
      <c r="AX6660" s="3" t="s">
        <v>64147</v>
      </c>
      <c r="AY6660" s="3" t="s">
        <v>64148</v>
      </c>
      <c r="AZ6660" s="3" t="s">
        <v>64149</v>
      </c>
      <c r="BA6660" s="3" t="s">
        <v>64149</v>
      </c>
      <c r="BB6660" s="3" t="s">
        <v>64154</v>
      </c>
      <c r="BC6660" s="3" t="s">
        <v>142</v>
      </c>
      <c r="BD6660" s="3" t="s">
        <v>68</v>
      </c>
      <c r="BE6660" s="3" t="s">
        <v>64151</v>
      </c>
      <c r="BF6660" s="3" t="s">
        <v>64154</v>
      </c>
      <c r="BG6660" s="3" t="s">
        <v>64155</v>
      </c>
    </row>
    <row r="6661" spans="1:59" ht="57" x14ac:dyDescent="0.45">
      <c r="A6661" s="2" t="s">
        <v>59</v>
      </c>
      <c r="B6661" s="2" t="s">
        <v>60</v>
      </c>
      <c r="C6661" s="2" t="s">
        <v>64156</v>
      </c>
      <c r="D6661" s="2" t="s">
        <v>64157</v>
      </c>
      <c r="E6661" s="2" t="s">
        <v>64158</v>
      </c>
      <c r="G6661" s="3" t="s">
        <v>62</v>
      </c>
      <c r="I6661" s="3" t="s">
        <v>62</v>
      </c>
      <c r="J6661" s="3" t="s">
        <v>62</v>
      </c>
      <c r="K6661" s="3" t="s">
        <v>63</v>
      </c>
      <c r="L6661" s="2" t="s">
        <v>42097</v>
      </c>
      <c r="M6661" s="2" t="s">
        <v>64159</v>
      </c>
      <c r="N6661" s="3" t="s">
        <v>568</v>
      </c>
      <c r="P6661" s="3" t="s">
        <v>65</v>
      </c>
      <c r="R6661" s="3" t="s">
        <v>66</v>
      </c>
      <c r="S6661" s="4">
        <v>16</v>
      </c>
      <c r="T6661" s="4">
        <v>16</v>
      </c>
      <c r="U6661" s="5" t="s">
        <v>64160</v>
      </c>
      <c r="V6661" s="5" t="s">
        <v>64160</v>
      </c>
      <c r="W6661" s="5" t="s">
        <v>67</v>
      </c>
      <c r="X6661" s="5" t="s">
        <v>67</v>
      </c>
      <c r="Y6661" s="4">
        <v>409</v>
      </c>
      <c r="Z6661" s="4">
        <v>28</v>
      </c>
      <c r="AA6661" s="4">
        <v>31</v>
      </c>
      <c r="AB6661" s="4">
        <v>3</v>
      </c>
      <c r="AC6661" s="4">
        <v>6</v>
      </c>
      <c r="AD6661" s="4">
        <v>119</v>
      </c>
      <c r="AE6661" s="4">
        <v>121</v>
      </c>
      <c r="AF6661" s="4">
        <v>1</v>
      </c>
      <c r="AG6661" s="4">
        <v>3</v>
      </c>
      <c r="AH6661" s="4">
        <v>104</v>
      </c>
      <c r="AI6661" s="4">
        <v>105</v>
      </c>
      <c r="AJ6661" s="4">
        <v>15</v>
      </c>
      <c r="AK6661" s="4">
        <v>17</v>
      </c>
      <c r="AL6661" s="4">
        <v>56</v>
      </c>
      <c r="AM6661" s="4">
        <v>56</v>
      </c>
      <c r="AN6661" s="4">
        <v>0</v>
      </c>
      <c r="AO6661" s="4">
        <v>0</v>
      </c>
      <c r="AP6661" s="4">
        <v>22</v>
      </c>
      <c r="AQ6661" s="4">
        <v>23</v>
      </c>
      <c r="AR6661" s="3" t="s">
        <v>62</v>
      </c>
      <c r="AS6661" s="3" t="s">
        <v>62</v>
      </c>
      <c r="AT6661" s="3" t="s">
        <v>62</v>
      </c>
      <c r="AV6661" s="6" t="str">
        <f>HYPERLINK("http://mcgill.on.worldcat.org/oclc/13794661","Catalog Record")</f>
        <v>Catalog Record</v>
      </c>
      <c r="AW6661" s="6" t="str">
        <f>HYPERLINK("http://www.worldcat.org/oclc/13794661","WorldCat Record")</f>
        <v>WorldCat Record</v>
      </c>
      <c r="AX6661" s="3" t="s">
        <v>64161</v>
      </c>
      <c r="AY6661" s="3" t="s">
        <v>64162</v>
      </c>
      <c r="AZ6661" s="3" t="s">
        <v>64163</v>
      </c>
      <c r="BA6661" s="3" t="s">
        <v>64163</v>
      </c>
      <c r="BB6661" s="3" t="s">
        <v>64164</v>
      </c>
      <c r="BC6661" s="3" t="s">
        <v>142</v>
      </c>
      <c r="BD6661" s="3" t="s">
        <v>68</v>
      </c>
      <c r="BE6661" s="3" t="s">
        <v>64165</v>
      </c>
      <c r="BF6661" s="3" t="s">
        <v>64164</v>
      </c>
      <c r="BG6661" s="3" t="s">
        <v>64166</v>
      </c>
    </row>
    <row r="6662" spans="1:59" ht="57" x14ac:dyDescent="0.45">
      <c r="A6662" s="2" t="s">
        <v>59</v>
      </c>
      <c r="B6662" s="2" t="s">
        <v>60</v>
      </c>
      <c r="C6662" s="2" t="s">
        <v>64167</v>
      </c>
      <c r="D6662" s="2" t="s">
        <v>64168</v>
      </c>
      <c r="E6662" s="2" t="s">
        <v>64169</v>
      </c>
      <c r="G6662" s="3" t="s">
        <v>62</v>
      </c>
      <c r="I6662" s="3" t="s">
        <v>62</v>
      </c>
      <c r="J6662" s="3" t="s">
        <v>62</v>
      </c>
      <c r="K6662" s="3" t="s">
        <v>63</v>
      </c>
      <c r="M6662" s="2" t="s">
        <v>64170</v>
      </c>
      <c r="N6662" s="3" t="s">
        <v>3160</v>
      </c>
      <c r="P6662" s="3" t="s">
        <v>65</v>
      </c>
      <c r="Q6662" s="2" t="s">
        <v>35334</v>
      </c>
      <c r="R6662" s="3" t="s">
        <v>66</v>
      </c>
      <c r="S6662" s="4">
        <v>12</v>
      </c>
      <c r="T6662" s="4">
        <v>12</v>
      </c>
      <c r="U6662" s="5" t="s">
        <v>3449</v>
      </c>
      <c r="V6662" s="5" t="s">
        <v>3449</v>
      </c>
      <c r="W6662" s="5" t="s">
        <v>67</v>
      </c>
      <c r="X6662" s="5" t="s">
        <v>67</v>
      </c>
      <c r="Y6662" s="4">
        <v>972</v>
      </c>
      <c r="Z6662" s="4">
        <v>33</v>
      </c>
      <c r="AA6662" s="4">
        <v>44</v>
      </c>
      <c r="AB6662" s="4">
        <v>1</v>
      </c>
      <c r="AC6662" s="4">
        <v>4</v>
      </c>
      <c r="AD6662" s="4">
        <v>117</v>
      </c>
      <c r="AE6662" s="4">
        <v>134</v>
      </c>
      <c r="AF6662" s="4">
        <v>0</v>
      </c>
      <c r="AG6662" s="4">
        <v>3</v>
      </c>
      <c r="AH6662" s="4">
        <v>99</v>
      </c>
      <c r="AI6662" s="4">
        <v>109</v>
      </c>
      <c r="AJ6662" s="4">
        <v>14</v>
      </c>
      <c r="AK6662" s="4">
        <v>21</v>
      </c>
      <c r="AL6662" s="4">
        <v>53</v>
      </c>
      <c r="AM6662" s="4">
        <v>57</v>
      </c>
      <c r="AN6662" s="4">
        <v>0</v>
      </c>
      <c r="AO6662" s="4">
        <v>0</v>
      </c>
      <c r="AP6662" s="4">
        <v>23</v>
      </c>
      <c r="AQ6662" s="4">
        <v>32</v>
      </c>
      <c r="AR6662" s="3" t="s">
        <v>62</v>
      </c>
      <c r="AS6662" s="3" t="s">
        <v>62</v>
      </c>
      <c r="AT6662" s="3" t="s">
        <v>62</v>
      </c>
      <c r="AV6662" s="6" t="str">
        <f>HYPERLINK("http://mcgill.on.worldcat.org/oclc/6649746","Catalog Record")</f>
        <v>Catalog Record</v>
      </c>
      <c r="AW6662" s="6" t="str">
        <f>HYPERLINK("http://www.worldcat.org/oclc/6649746","WorldCat Record")</f>
        <v>WorldCat Record</v>
      </c>
      <c r="AX6662" s="3" t="s">
        <v>64171</v>
      </c>
      <c r="AY6662" s="3" t="s">
        <v>64172</v>
      </c>
      <c r="AZ6662" s="3" t="s">
        <v>64173</v>
      </c>
      <c r="BA6662" s="3" t="s">
        <v>64173</v>
      </c>
      <c r="BB6662" s="3" t="s">
        <v>64174</v>
      </c>
      <c r="BC6662" s="3" t="s">
        <v>142</v>
      </c>
      <c r="BD6662" s="3" t="s">
        <v>68</v>
      </c>
      <c r="BE6662" s="3" t="s">
        <v>64175</v>
      </c>
      <c r="BF6662" s="3" t="s">
        <v>64174</v>
      </c>
      <c r="BG6662" s="3" t="s">
        <v>64176</v>
      </c>
    </row>
    <row r="6663" spans="1:59" ht="57" x14ac:dyDescent="0.45">
      <c r="A6663" s="2" t="s">
        <v>59</v>
      </c>
      <c r="B6663" s="2" t="s">
        <v>60</v>
      </c>
      <c r="C6663" s="2" t="s">
        <v>64177</v>
      </c>
      <c r="D6663" s="2" t="s">
        <v>64178</v>
      </c>
      <c r="E6663" s="2" t="s">
        <v>64179</v>
      </c>
      <c r="G6663" s="3" t="s">
        <v>62</v>
      </c>
      <c r="I6663" s="3" t="s">
        <v>62</v>
      </c>
      <c r="J6663" s="3" t="s">
        <v>62</v>
      </c>
      <c r="K6663" s="3" t="s">
        <v>63</v>
      </c>
      <c r="M6663" s="2" t="s">
        <v>64180</v>
      </c>
      <c r="N6663" s="3" t="s">
        <v>1855</v>
      </c>
      <c r="P6663" s="3" t="s">
        <v>65</v>
      </c>
      <c r="R6663" s="3" t="s">
        <v>66</v>
      </c>
      <c r="S6663" s="4">
        <v>21</v>
      </c>
      <c r="T6663" s="4">
        <v>21</v>
      </c>
      <c r="U6663" s="5" t="s">
        <v>40329</v>
      </c>
      <c r="V6663" s="5" t="s">
        <v>40329</v>
      </c>
      <c r="W6663" s="5" t="s">
        <v>67</v>
      </c>
      <c r="X6663" s="5" t="s">
        <v>67</v>
      </c>
      <c r="Y6663" s="4">
        <v>76</v>
      </c>
      <c r="Z6663" s="4">
        <v>4</v>
      </c>
      <c r="AA6663" s="4">
        <v>23</v>
      </c>
      <c r="AB6663" s="4">
        <v>1</v>
      </c>
      <c r="AC6663" s="4">
        <v>5</v>
      </c>
      <c r="AD6663" s="4">
        <v>11</v>
      </c>
      <c r="AE6663" s="4">
        <v>43</v>
      </c>
      <c r="AF6663" s="4">
        <v>0</v>
      </c>
      <c r="AG6663" s="4">
        <v>1</v>
      </c>
      <c r="AH6663" s="4">
        <v>8</v>
      </c>
      <c r="AI6663" s="4">
        <v>33</v>
      </c>
      <c r="AJ6663" s="4">
        <v>1</v>
      </c>
      <c r="AK6663" s="4">
        <v>4</v>
      </c>
      <c r="AL6663" s="4">
        <v>5</v>
      </c>
      <c r="AM6663" s="4">
        <v>20</v>
      </c>
      <c r="AN6663" s="4">
        <v>0</v>
      </c>
      <c r="AO6663" s="4">
        <v>0</v>
      </c>
      <c r="AP6663" s="4">
        <v>3</v>
      </c>
      <c r="AQ6663" s="4">
        <v>11</v>
      </c>
      <c r="AR6663" s="3" t="s">
        <v>62</v>
      </c>
      <c r="AS6663" s="3" t="s">
        <v>62</v>
      </c>
      <c r="AT6663" s="3" t="s">
        <v>62</v>
      </c>
      <c r="AV6663" s="6" t="str">
        <f>HYPERLINK("http://mcgill.on.worldcat.org/oclc/58840554","Catalog Record")</f>
        <v>Catalog Record</v>
      </c>
      <c r="AW6663" s="6" t="str">
        <f>HYPERLINK("http://www.worldcat.org/oclc/58840554","WorldCat Record")</f>
        <v>WorldCat Record</v>
      </c>
      <c r="AX6663" s="3" t="s">
        <v>64181</v>
      </c>
      <c r="AY6663" s="3" t="s">
        <v>64182</v>
      </c>
      <c r="AZ6663" s="3" t="s">
        <v>64183</v>
      </c>
      <c r="BA6663" s="3" t="s">
        <v>64183</v>
      </c>
      <c r="BB6663" s="3" t="s">
        <v>64184</v>
      </c>
      <c r="BC6663" s="3" t="s">
        <v>142</v>
      </c>
      <c r="BD6663" s="3" t="s">
        <v>68</v>
      </c>
      <c r="BE6663" s="3" t="s">
        <v>64185</v>
      </c>
      <c r="BF6663" s="3" t="s">
        <v>64184</v>
      </c>
      <c r="BG6663" s="3" t="s">
        <v>64186</v>
      </c>
    </row>
    <row r="6664" spans="1:59" ht="57" x14ac:dyDescent="0.45">
      <c r="A6664" s="2" t="s">
        <v>59</v>
      </c>
      <c r="B6664" s="2" t="s">
        <v>60</v>
      </c>
      <c r="C6664" s="2" t="s">
        <v>64187</v>
      </c>
      <c r="D6664" s="2" t="s">
        <v>64188</v>
      </c>
      <c r="E6664" s="2" t="s">
        <v>64189</v>
      </c>
      <c r="G6664" s="3" t="s">
        <v>62</v>
      </c>
      <c r="I6664" s="3" t="s">
        <v>61</v>
      </c>
      <c r="J6664" s="3" t="s">
        <v>62</v>
      </c>
      <c r="K6664" s="3" t="s">
        <v>63</v>
      </c>
      <c r="M6664" s="2" t="s">
        <v>49163</v>
      </c>
      <c r="N6664" s="3" t="s">
        <v>1437</v>
      </c>
      <c r="P6664" s="3" t="s">
        <v>65</v>
      </c>
      <c r="R6664" s="3" t="s">
        <v>66</v>
      </c>
      <c r="S6664" s="4">
        <v>23</v>
      </c>
      <c r="T6664" s="4">
        <v>51</v>
      </c>
      <c r="U6664" s="5" t="s">
        <v>4406</v>
      </c>
      <c r="V6664" s="5" t="s">
        <v>1061</v>
      </c>
      <c r="W6664" s="5" t="s">
        <v>67</v>
      </c>
      <c r="X6664" s="5" t="s">
        <v>67</v>
      </c>
      <c r="Y6664" s="4">
        <v>317</v>
      </c>
      <c r="Z6664" s="4">
        <v>49</v>
      </c>
      <c r="AA6664" s="4">
        <v>49</v>
      </c>
      <c r="AB6664" s="4">
        <v>4</v>
      </c>
      <c r="AC6664" s="4">
        <v>4</v>
      </c>
      <c r="AD6664" s="4">
        <v>114</v>
      </c>
      <c r="AE6664" s="4">
        <v>114</v>
      </c>
      <c r="AF6664" s="4">
        <v>2</v>
      </c>
      <c r="AG6664" s="4">
        <v>2</v>
      </c>
      <c r="AH6664" s="4">
        <v>87</v>
      </c>
      <c r="AI6664" s="4">
        <v>87</v>
      </c>
      <c r="AJ6664" s="4">
        <v>17</v>
      </c>
      <c r="AK6664" s="4">
        <v>17</v>
      </c>
      <c r="AL6664" s="4">
        <v>51</v>
      </c>
      <c r="AM6664" s="4">
        <v>51</v>
      </c>
      <c r="AN6664" s="4">
        <v>0</v>
      </c>
      <c r="AO6664" s="4">
        <v>0</v>
      </c>
      <c r="AP6664" s="4">
        <v>33</v>
      </c>
      <c r="AQ6664" s="4">
        <v>33</v>
      </c>
      <c r="AR6664" s="3" t="s">
        <v>62</v>
      </c>
      <c r="AS6664" s="3" t="s">
        <v>62</v>
      </c>
      <c r="AT6664" s="3" t="s">
        <v>62</v>
      </c>
      <c r="AV6664" s="6" t="str">
        <f>HYPERLINK("http://mcgill.on.worldcat.org/oclc/39781168","Catalog Record")</f>
        <v>Catalog Record</v>
      </c>
      <c r="AW6664" s="6" t="str">
        <f>HYPERLINK("http://www.worldcat.org/oclc/39781168","WorldCat Record")</f>
        <v>WorldCat Record</v>
      </c>
      <c r="AX6664" s="3" t="s">
        <v>64190</v>
      </c>
      <c r="AY6664" s="3" t="s">
        <v>64191</v>
      </c>
      <c r="AZ6664" s="3" t="s">
        <v>64192</v>
      </c>
      <c r="BA6664" s="3" t="s">
        <v>64192</v>
      </c>
      <c r="BB6664" s="3" t="s">
        <v>64193</v>
      </c>
      <c r="BC6664" s="3" t="s">
        <v>142</v>
      </c>
      <c r="BD6664" s="3" t="s">
        <v>68</v>
      </c>
      <c r="BE6664" s="3" t="s">
        <v>64194</v>
      </c>
      <c r="BF6664" s="3" t="s">
        <v>64193</v>
      </c>
      <c r="BG6664" s="3" t="s">
        <v>64195</v>
      </c>
    </row>
    <row r="6665" spans="1:59" ht="57" x14ac:dyDescent="0.45">
      <c r="A6665" s="2" t="s">
        <v>59</v>
      </c>
      <c r="B6665" s="2" t="s">
        <v>60</v>
      </c>
      <c r="C6665" s="2" t="s">
        <v>64187</v>
      </c>
      <c r="D6665" s="2" t="s">
        <v>64188</v>
      </c>
      <c r="E6665" s="2" t="s">
        <v>64189</v>
      </c>
      <c r="G6665" s="3" t="s">
        <v>62</v>
      </c>
      <c r="I6665" s="3" t="s">
        <v>61</v>
      </c>
      <c r="J6665" s="3" t="s">
        <v>62</v>
      </c>
      <c r="K6665" s="3" t="s">
        <v>63</v>
      </c>
      <c r="M6665" s="2" t="s">
        <v>49163</v>
      </c>
      <c r="N6665" s="3" t="s">
        <v>1437</v>
      </c>
      <c r="P6665" s="3" t="s">
        <v>65</v>
      </c>
      <c r="R6665" s="3" t="s">
        <v>66</v>
      </c>
      <c r="S6665" s="4">
        <v>28</v>
      </c>
      <c r="T6665" s="4">
        <v>51</v>
      </c>
      <c r="U6665" s="5" t="s">
        <v>1061</v>
      </c>
      <c r="V6665" s="5" t="s">
        <v>1061</v>
      </c>
      <c r="W6665" s="5" t="s">
        <v>67</v>
      </c>
      <c r="X6665" s="5" t="s">
        <v>67</v>
      </c>
      <c r="Y6665" s="4">
        <v>317</v>
      </c>
      <c r="Z6665" s="4">
        <v>49</v>
      </c>
      <c r="AA6665" s="4">
        <v>49</v>
      </c>
      <c r="AB6665" s="4">
        <v>4</v>
      </c>
      <c r="AC6665" s="4">
        <v>4</v>
      </c>
      <c r="AD6665" s="4">
        <v>114</v>
      </c>
      <c r="AE6665" s="4">
        <v>114</v>
      </c>
      <c r="AF6665" s="4">
        <v>2</v>
      </c>
      <c r="AG6665" s="4">
        <v>2</v>
      </c>
      <c r="AH6665" s="4">
        <v>87</v>
      </c>
      <c r="AI6665" s="4">
        <v>87</v>
      </c>
      <c r="AJ6665" s="4">
        <v>17</v>
      </c>
      <c r="AK6665" s="4">
        <v>17</v>
      </c>
      <c r="AL6665" s="4">
        <v>51</v>
      </c>
      <c r="AM6665" s="4">
        <v>51</v>
      </c>
      <c r="AN6665" s="4">
        <v>0</v>
      </c>
      <c r="AO6665" s="4">
        <v>0</v>
      </c>
      <c r="AP6665" s="4">
        <v>33</v>
      </c>
      <c r="AQ6665" s="4">
        <v>33</v>
      </c>
      <c r="AR6665" s="3" t="s">
        <v>62</v>
      </c>
      <c r="AS6665" s="3" t="s">
        <v>62</v>
      </c>
      <c r="AT6665" s="3" t="s">
        <v>62</v>
      </c>
      <c r="AV6665" s="6" t="str">
        <f>HYPERLINK("http://mcgill.on.worldcat.org/oclc/39781168","Catalog Record")</f>
        <v>Catalog Record</v>
      </c>
      <c r="AW6665" s="6" t="str">
        <f>HYPERLINK("http://www.worldcat.org/oclc/39781168","WorldCat Record")</f>
        <v>WorldCat Record</v>
      </c>
      <c r="AX6665" s="3" t="s">
        <v>64190</v>
      </c>
      <c r="AY6665" s="3" t="s">
        <v>64191</v>
      </c>
      <c r="AZ6665" s="3" t="s">
        <v>64192</v>
      </c>
      <c r="BA6665" s="3" t="s">
        <v>64192</v>
      </c>
      <c r="BB6665" s="3" t="s">
        <v>64196</v>
      </c>
      <c r="BC6665" s="3" t="s">
        <v>142</v>
      </c>
      <c r="BD6665" s="3" t="s">
        <v>68</v>
      </c>
      <c r="BE6665" s="3" t="s">
        <v>64194</v>
      </c>
      <c r="BF6665" s="3" t="s">
        <v>64196</v>
      </c>
      <c r="BG6665" s="3" t="s">
        <v>64197</v>
      </c>
    </row>
    <row r="6666" spans="1:59" ht="57" x14ac:dyDescent="0.45">
      <c r="A6666" s="2" t="s">
        <v>59</v>
      </c>
      <c r="B6666" s="2" t="s">
        <v>60</v>
      </c>
      <c r="C6666" s="2" t="s">
        <v>64198</v>
      </c>
      <c r="D6666" s="2" t="s">
        <v>64199</v>
      </c>
      <c r="E6666" s="2" t="s">
        <v>64200</v>
      </c>
      <c r="G6666" s="3" t="s">
        <v>62</v>
      </c>
      <c r="I6666" s="3" t="s">
        <v>61</v>
      </c>
      <c r="J6666" s="3" t="s">
        <v>62</v>
      </c>
      <c r="K6666" s="3" t="s">
        <v>63</v>
      </c>
      <c r="M6666" s="2" t="s">
        <v>64201</v>
      </c>
      <c r="N6666" s="3" t="s">
        <v>495</v>
      </c>
      <c r="P6666" s="3" t="s">
        <v>65</v>
      </c>
      <c r="Q6666" s="2" t="s">
        <v>64202</v>
      </c>
      <c r="R6666" s="3" t="s">
        <v>66</v>
      </c>
      <c r="S6666" s="4">
        <v>14</v>
      </c>
      <c r="T6666" s="4">
        <v>33</v>
      </c>
      <c r="U6666" s="5" t="s">
        <v>64203</v>
      </c>
      <c r="V6666" s="5" t="s">
        <v>14532</v>
      </c>
      <c r="W6666" s="5" t="s">
        <v>67</v>
      </c>
      <c r="X6666" s="5" t="s">
        <v>67</v>
      </c>
      <c r="Y6666" s="4">
        <v>216</v>
      </c>
      <c r="Z6666" s="4">
        <v>76</v>
      </c>
      <c r="AA6666" s="4">
        <v>83</v>
      </c>
      <c r="AB6666" s="4">
        <v>4</v>
      </c>
      <c r="AC6666" s="4">
        <v>8</v>
      </c>
      <c r="AD6666" s="4">
        <v>99</v>
      </c>
      <c r="AE6666" s="4">
        <v>104</v>
      </c>
      <c r="AF6666" s="4">
        <v>1</v>
      </c>
      <c r="AG6666" s="4">
        <v>4</v>
      </c>
      <c r="AH6666" s="4">
        <v>64</v>
      </c>
      <c r="AI6666" s="4">
        <v>65</v>
      </c>
      <c r="AJ6666" s="4">
        <v>24</v>
      </c>
      <c r="AK6666" s="4">
        <v>27</v>
      </c>
      <c r="AL6666" s="4">
        <v>30</v>
      </c>
      <c r="AM6666" s="4">
        <v>30</v>
      </c>
      <c r="AN6666" s="4">
        <v>0</v>
      </c>
      <c r="AO6666" s="4">
        <v>0</v>
      </c>
      <c r="AP6666" s="4">
        <v>44</v>
      </c>
      <c r="AQ6666" s="4">
        <v>48</v>
      </c>
      <c r="AR6666" s="3" t="s">
        <v>61</v>
      </c>
      <c r="AS6666" s="3" t="s">
        <v>62</v>
      </c>
      <c r="AT6666" s="3" t="s">
        <v>62</v>
      </c>
      <c r="AV6666" s="6" t="str">
        <f>HYPERLINK("http://mcgill.on.worldcat.org/oclc/1340084","Catalog Record")</f>
        <v>Catalog Record</v>
      </c>
      <c r="AW6666" s="6" t="str">
        <f>HYPERLINK("http://www.worldcat.org/oclc/1340084","WorldCat Record")</f>
        <v>WorldCat Record</v>
      </c>
      <c r="AX6666" s="3" t="s">
        <v>64204</v>
      </c>
      <c r="AY6666" s="3" t="s">
        <v>64205</v>
      </c>
      <c r="AZ6666" s="3" t="s">
        <v>64206</v>
      </c>
      <c r="BA6666" s="3" t="s">
        <v>64206</v>
      </c>
      <c r="BB6666" s="3" t="s">
        <v>64207</v>
      </c>
      <c r="BC6666" s="3" t="s">
        <v>142</v>
      </c>
      <c r="BD6666" s="3" t="s">
        <v>68</v>
      </c>
      <c r="BE6666" s="3" t="s">
        <v>64208</v>
      </c>
      <c r="BF6666" s="3" t="s">
        <v>64207</v>
      </c>
      <c r="BG6666" s="3" t="s">
        <v>64209</v>
      </c>
    </row>
    <row r="6667" spans="1:59" ht="57" x14ac:dyDescent="0.45">
      <c r="A6667" s="2" t="s">
        <v>59</v>
      </c>
      <c r="B6667" s="2" t="s">
        <v>60</v>
      </c>
      <c r="C6667" s="2" t="s">
        <v>64198</v>
      </c>
      <c r="D6667" s="2" t="s">
        <v>64199</v>
      </c>
      <c r="E6667" s="2" t="s">
        <v>64200</v>
      </c>
      <c r="G6667" s="3" t="s">
        <v>62</v>
      </c>
      <c r="I6667" s="3" t="s">
        <v>61</v>
      </c>
      <c r="J6667" s="3" t="s">
        <v>62</v>
      </c>
      <c r="K6667" s="3" t="s">
        <v>63</v>
      </c>
      <c r="M6667" s="2" t="s">
        <v>64201</v>
      </c>
      <c r="N6667" s="3" t="s">
        <v>495</v>
      </c>
      <c r="P6667" s="3" t="s">
        <v>65</v>
      </c>
      <c r="Q6667" s="2" t="s">
        <v>64202</v>
      </c>
      <c r="R6667" s="3" t="s">
        <v>66</v>
      </c>
      <c r="S6667" s="4">
        <v>19</v>
      </c>
      <c r="T6667" s="4">
        <v>33</v>
      </c>
      <c r="U6667" s="5" t="s">
        <v>14532</v>
      </c>
      <c r="V6667" s="5" t="s">
        <v>14532</v>
      </c>
      <c r="W6667" s="5" t="s">
        <v>67</v>
      </c>
      <c r="X6667" s="5" t="s">
        <v>67</v>
      </c>
      <c r="Y6667" s="4">
        <v>216</v>
      </c>
      <c r="Z6667" s="4">
        <v>76</v>
      </c>
      <c r="AA6667" s="4">
        <v>83</v>
      </c>
      <c r="AB6667" s="4">
        <v>4</v>
      </c>
      <c r="AC6667" s="4">
        <v>8</v>
      </c>
      <c r="AD6667" s="4">
        <v>99</v>
      </c>
      <c r="AE6667" s="4">
        <v>104</v>
      </c>
      <c r="AF6667" s="4">
        <v>1</v>
      </c>
      <c r="AG6667" s="4">
        <v>4</v>
      </c>
      <c r="AH6667" s="4">
        <v>64</v>
      </c>
      <c r="AI6667" s="4">
        <v>65</v>
      </c>
      <c r="AJ6667" s="4">
        <v>24</v>
      </c>
      <c r="AK6667" s="4">
        <v>27</v>
      </c>
      <c r="AL6667" s="4">
        <v>30</v>
      </c>
      <c r="AM6667" s="4">
        <v>30</v>
      </c>
      <c r="AN6667" s="4">
        <v>0</v>
      </c>
      <c r="AO6667" s="4">
        <v>0</v>
      </c>
      <c r="AP6667" s="4">
        <v>44</v>
      </c>
      <c r="AQ6667" s="4">
        <v>48</v>
      </c>
      <c r="AR6667" s="3" t="s">
        <v>61</v>
      </c>
      <c r="AS6667" s="3" t="s">
        <v>62</v>
      </c>
      <c r="AT6667" s="3" t="s">
        <v>62</v>
      </c>
      <c r="AV6667" s="6" t="str">
        <f>HYPERLINK("http://mcgill.on.worldcat.org/oclc/1340084","Catalog Record")</f>
        <v>Catalog Record</v>
      </c>
      <c r="AW6667" s="6" t="str">
        <f>HYPERLINK("http://www.worldcat.org/oclc/1340084","WorldCat Record")</f>
        <v>WorldCat Record</v>
      </c>
      <c r="AX6667" s="3" t="s">
        <v>64204</v>
      </c>
      <c r="AY6667" s="3" t="s">
        <v>64205</v>
      </c>
      <c r="AZ6667" s="3" t="s">
        <v>64206</v>
      </c>
      <c r="BA6667" s="3" t="s">
        <v>64206</v>
      </c>
      <c r="BB6667" s="3" t="s">
        <v>64210</v>
      </c>
      <c r="BC6667" s="3" t="s">
        <v>142</v>
      </c>
      <c r="BD6667" s="3" t="s">
        <v>68</v>
      </c>
      <c r="BE6667" s="3" t="s">
        <v>64208</v>
      </c>
      <c r="BF6667" s="3" t="s">
        <v>64210</v>
      </c>
      <c r="BG6667" s="3" t="s">
        <v>64211</v>
      </c>
    </row>
    <row r="6668" spans="1:59" ht="57" x14ac:dyDescent="0.45">
      <c r="A6668" s="2" t="s">
        <v>59</v>
      </c>
      <c r="B6668" s="2" t="s">
        <v>60</v>
      </c>
      <c r="C6668" s="2" t="s">
        <v>64212</v>
      </c>
      <c r="D6668" s="2" t="s">
        <v>64213</v>
      </c>
      <c r="E6668" s="2" t="s">
        <v>64214</v>
      </c>
      <c r="G6668" s="3" t="s">
        <v>62</v>
      </c>
      <c r="I6668" s="3" t="s">
        <v>62</v>
      </c>
      <c r="J6668" s="3" t="s">
        <v>62</v>
      </c>
      <c r="K6668" s="3" t="s">
        <v>63</v>
      </c>
      <c r="M6668" s="2" t="s">
        <v>6056</v>
      </c>
      <c r="N6668" s="3" t="s">
        <v>945</v>
      </c>
      <c r="P6668" s="3" t="s">
        <v>65</v>
      </c>
      <c r="Q6668" s="2" t="s">
        <v>64215</v>
      </c>
      <c r="R6668" s="3" t="s">
        <v>66</v>
      </c>
      <c r="S6668" s="4">
        <v>6</v>
      </c>
      <c r="T6668" s="4">
        <v>6</v>
      </c>
      <c r="U6668" s="5" t="s">
        <v>1451</v>
      </c>
      <c r="V6668" s="5" t="s">
        <v>1451</v>
      </c>
      <c r="W6668" s="5" t="s">
        <v>67</v>
      </c>
      <c r="X6668" s="5" t="s">
        <v>67</v>
      </c>
      <c r="Y6668" s="4">
        <v>93</v>
      </c>
      <c r="Z6668" s="4">
        <v>13</v>
      </c>
      <c r="AA6668" s="4">
        <v>96</v>
      </c>
      <c r="AB6668" s="4">
        <v>1</v>
      </c>
      <c r="AC6668" s="4">
        <v>17</v>
      </c>
      <c r="AD6668" s="4">
        <v>42</v>
      </c>
      <c r="AE6668" s="4">
        <v>111</v>
      </c>
      <c r="AF6668" s="4">
        <v>0</v>
      </c>
      <c r="AG6668" s="4">
        <v>8</v>
      </c>
      <c r="AH6668" s="4">
        <v>37</v>
      </c>
      <c r="AI6668" s="4">
        <v>75</v>
      </c>
      <c r="AJ6668" s="4">
        <v>10</v>
      </c>
      <c r="AK6668" s="4">
        <v>23</v>
      </c>
      <c r="AL6668" s="4">
        <v>24</v>
      </c>
      <c r="AM6668" s="4">
        <v>39</v>
      </c>
      <c r="AN6668" s="4">
        <v>0</v>
      </c>
      <c r="AO6668" s="4">
        <v>0</v>
      </c>
      <c r="AP6668" s="4">
        <v>11</v>
      </c>
      <c r="AQ6668" s="4">
        <v>44</v>
      </c>
      <c r="AR6668" s="3" t="s">
        <v>62</v>
      </c>
      <c r="AS6668" s="3" t="s">
        <v>62</v>
      </c>
      <c r="AT6668" s="3" t="s">
        <v>62</v>
      </c>
      <c r="AV6668" s="6" t="str">
        <f>HYPERLINK("http://mcgill.on.worldcat.org/oclc/159821982","Catalog Record")</f>
        <v>Catalog Record</v>
      </c>
      <c r="AW6668" s="6" t="str">
        <f>HYPERLINK("http://www.worldcat.org/oclc/159821982","WorldCat Record")</f>
        <v>WorldCat Record</v>
      </c>
      <c r="AX6668" s="3" t="s">
        <v>64216</v>
      </c>
      <c r="AY6668" s="3" t="s">
        <v>64217</v>
      </c>
      <c r="AZ6668" s="3" t="s">
        <v>64218</v>
      </c>
      <c r="BA6668" s="3" t="s">
        <v>64218</v>
      </c>
      <c r="BB6668" s="3" t="s">
        <v>64219</v>
      </c>
      <c r="BC6668" s="3" t="s">
        <v>142</v>
      </c>
      <c r="BD6668" s="3" t="s">
        <v>68</v>
      </c>
      <c r="BE6668" s="3" t="s">
        <v>64220</v>
      </c>
      <c r="BF6668" s="3" t="s">
        <v>64219</v>
      </c>
      <c r="BG6668" s="3" t="s">
        <v>64221</v>
      </c>
    </row>
    <row r="6669" spans="1:59" ht="57" x14ac:dyDescent="0.45">
      <c r="A6669" s="2" t="s">
        <v>59</v>
      </c>
      <c r="B6669" s="2" t="s">
        <v>60</v>
      </c>
      <c r="C6669" s="2" t="s">
        <v>64222</v>
      </c>
      <c r="D6669" s="2" t="s">
        <v>64223</v>
      </c>
      <c r="E6669" s="2" t="s">
        <v>64224</v>
      </c>
      <c r="G6669" s="3" t="s">
        <v>62</v>
      </c>
      <c r="I6669" s="3" t="s">
        <v>62</v>
      </c>
      <c r="J6669" s="3" t="s">
        <v>62</v>
      </c>
      <c r="K6669" s="3" t="s">
        <v>63</v>
      </c>
      <c r="L6669" s="2" t="s">
        <v>44488</v>
      </c>
      <c r="M6669" s="2" t="s">
        <v>42593</v>
      </c>
      <c r="N6669" s="3" t="s">
        <v>1059</v>
      </c>
      <c r="P6669" s="3" t="s">
        <v>65</v>
      </c>
      <c r="Q6669" s="2" t="s">
        <v>21253</v>
      </c>
      <c r="R6669" s="3" t="s">
        <v>66</v>
      </c>
      <c r="S6669" s="4">
        <v>7</v>
      </c>
      <c r="T6669" s="4">
        <v>7</v>
      </c>
      <c r="U6669" s="5" t="s">
        <v>60391</v>
      </c>
      <c r="V6669" s="5" t="s">
        <v>60391</v>
      </c>
      <c r="W6669" s="5" t="s">
        <v>67</v>
      </c>
      <c r="X6669" s="5" t="s">
        <v>67</v>
      </c>
      <c r="Y6669" s="4">
        <v>247</v>
      </c>
      <c r="Z6669" s="4">
        <v>20</v>
      </c>
      <c r="AA6669" s="4">
        <v>32</v>
      </c>
      <c r="AB6669" s="4">
        <v>2</v>
      </c>
      <c r="AC6669" s="4">
        <v>6</v>
      </c>
      <c r="AD6669" s="4">
        <v>95</v>
      </c>
      <c r="AE6669" s="4">
        <v>105</v>
      </c>
      <c r="AF6669" s="4">
        <v>1</v>
      </c>
      <c r="AG6669" s="4">
        <v>2</v>
      </c>
      <c r="AH6669" s="4">
        <v>84</v>
      </c>
      <c r="AI6669" s="4">
        <v>89</v>
      </c>
      <c r="AJ6669" s="4">
        <v>15</v>
      </c>
      <c r="AK6669" s="4">
        <v>16</v>
      </c>
      <c r="AL6669" s="4">
        <v>48</v>
      </c>
      <c r="AM6669" s="4">
        <v>50</v>
      </c>
      <c r="AN6669" s="4">
        <v>0</v>
      </c>
      <c r="AO6669" s="4">
        <v>0</v>
      </c>
      <c r="AP6669" s="4">
        <v>18</v>
      </c>
      <c r="AQ6669" s="4">
        <v>24</v>
      </c>
      <c r="AR6669" s="3" t="s">
        <v>62</v>
      </c>
      <c r="AS6669" s="3" t="s">
        <v>62</v>
      </c>
      <c r="AT6669" s="3" t="s">
        <v>61</v>
      </c>
      <c r="AU6669" s="6" t="str">
        <f>HYPERLINK("http://catalog.hathitrust.org/Record/005259078","HathiTrust Record")</f>
        <v>HathiTrust Record</v>
      </c>
      <c r="AV6669" s="6" t="str">
        <f>HYPERLINK("http://mcgill.on.worldcat.org/oclc/63395816","Catalog Record")</f>
        <v>Catalog Record</v>
      </c>
      <c r="AW6669" s="6" t="str">
        <f>HYPERLINK("http://www.worldcat.org/oclc/63395816","WorldCat Record")</f>
        <v>WorldCat Record</v>
      </c>
      <c r="AX6669" s="3" t="s">
        <v>64225</v>
      </c>
      <c r="AY6669" s="3" t="s">
        <v>64226</v>
      </c>
      <c r="AZ6669" s="3" t="s">
        <v>64227</v>
      </c>
      <c r="BA6669" s="3" t="s">
        <v>64227</v>
      </c>
      <c r="BB6669" s="3" t="s">
        <v>64228</v>
      </c>
      <c r="BC6669" s="3" t="s">
        <v>142</v>
      </c>
      <c r="BD6669" s="3" t="s">
        <v>68</v>
      </c>
      <c r="BE6669" s="3" t="s">
        <v>64229</v>
      </c>
      <c r="BF6669" s="3" t="s">
        <v>64228</v>
      </c>
      <c r="BG6669" s="3" t="s">
        <v>64230</v>
      </c>
    </row>
    <row r="6670" spans="1:59" ht="57" x14ac:dyDescent="0.45">
      <c r="A6670" s="2" t="s">
        <v>59</v>
      </c>
      <c r="B6670" s="2" t="s">
        <v>60</v>
      </c>
      <c r="C6670" s="2" t="s">
        <v>64231</v>
      </c>
      <c r="D6670" s="2" t="s">
        <v>64232</v>
      </c>
      <c r="E6670" s="2" t="s">
        <v>64233</v>
      </c>
      <c r="G6670" s="3" t="s">
        <v>62</v>
      </c>
      <c r="I6670" s="3" t="s">
        <v>62</v>
      </c>
      <c r="J6670" s="3" t="s">
        <v>62</v>
      </c>
      <c r="K6670" s="3" t="s">
        <v>63</v>
      </c>
      <c r="M6670" s="2" t="s">
        <v>35449</v>
      </c>
      <c r="N6670" s="3" t="s">
        <v>1212</v>
      </c>
      <c r="P6670" s="3" t="s">
        <v>65</v>
      </c>
      <c r="R6670" s="3" t="s">
        <v>66</v>
      </c>
      <c r="S6670" s="4">
        <v>25</v>
      </c>
      <c r="T6670" s="4">
        <v>25</v>
      </c>
      <c r="U6670" s="5" t="s">
        <v>3294</v>
      </c>
      <c r="V6670" s="5" t="s">
        <v>3294</v>
      </c>
      <c r="W6670" s="5" t="s">
        <v>67</v>
      </c>
      <c r="X6670" s="5" t="s">
        <v>67</v>
      </c>
      <c r="Y6670" s="4">
        <v>323</v>
      </c>
      <c r="Z6670" s="4">
        <v>23</v>
      </c>
      <c r="AA6670" s="4">
        <v>59</v>
      </c>
      <c r="AB6670" s="4">
        <v>1</v>
      </c>
      <c r="AC6670" s="4">
        <v>14</v>
      </c>
      <c r="AD6670" s="4">
        <v>103</v>
      </c>
      <c r="AE6670" s="4">
        <v>134</v>
      </c>
      <c r="AF6670" s="4">
        <v>0</v>
      </c>
      <c r="AG6670" s="4">
        <v>7</v>
      </c>
      <c r="AH6670" s="4">
        <v>89</v>
      </c>
      <c r="AI6670" s="4">
        <v>94</v>
      </c>
      <c r="AJ6670" s="4">
        <v>16</v>
      </c>
      <c r="AK6670" s="4">
        <v>23</v>
      </c>
      <c r="AL6670" s="4">
        <v>51</v>
      </c>
      <c r="AM6670" s="4">
        <v>53</v>
      </c>
      <c r="AN6670" s="4">
        <v>0</v>
      </c>
      <c r="AO6670" s="4">
        <v>0</v>
      </c>
      <c r="AP6670" s="4">
        <v>18</v>
      </c>
      <c r="AQ6670" s="4">
        <v>45</v>
      </c>
      <c r="AR6670" s="3" t="s">
        <v>62</v>
      </c>
      <c r="AS6670" s="3" t="s">
        <v>62</v>
      </c>
      <c r="AT6670" s="3" t="s">
        <v>62</v>
      </c>
      <c r="AV6670" s="6" t="str">
        <f>HYPERLINK("http://mcgill.on.worldcat.org/oclc/43458174","Catalog Record")</f>
        <v>Catalog Record</v>
      </c>
      <c r="AW6670" s="6" t="str">
        <f>HYPERLINK("http://www.worldcat.org/oclc/43458174","WorldCat Record")</f>
        <v>WorldCat Record</v>
      </c>
      <c r="AX6670" s="3" t="s">
        <v>64234</v>
      </c>
      <c r="AY6670" s="3" t="s">
        <v>64235</v>
      </c>
      <c r="AZ6670" s="3" t="s">
        <v>64236</v>
      </c>
      <c r="BA6670" s="3" t="s">
        <v>64236</v>
      </c>
      <c r="BB6670" s="3" t="s">
        <v>64237</v>
      </c>
      <c r="BC6670" s="3" t="s">
        <v>142</v>
      </c>
      <c r="BD6670" s="3" t="s">
        <v>68</v>
      </c>
      <c r="BE6670" s="3" t="s">
        <v>64238</v>
      </c>
      <c r="BF6670" s="3" t="s">
        <v>64237</v>
      </c>
      <c r="BG6670" s="3" t="s">
        <v>64239</v>
      </c>
    </row>
    <row r="6671" spans="1:59" ht="57" x14ac:dyDescent="0.45">
      <c r="A6671" s="2" t="s">
        <v>59</v>
      </c>
      <c r="B6671" s="2" t="s">
        <v>60</v>
      </c>
      <c r="C6671" s="2" t="s">
        <v>64240</v>
      </c>
      <c r="D6671" s="2" t="s">
        <v>64241</v>
      </c>
      <c r="E6671" s="2" t="s">
        <v>64242</v>
      </c>
      <c r="G6671" s="3" t="s">
        <v>62</v>
      </c>
      <c r="I6671" s="3" t="s">
        <v>62</v>
      </c>
      <c r="J6671" s="3" t="s">
        <v>62</v>
      </c>
      <c r="K6671" s="3" t="s">
        <v>63</v>
      </c>
      <c r="M6671" s="2" t="s">
        <v>35379</v>
      </c>
      <c r="N6671" s="3" t="s">
        <v>1212</v>
      </c>
      <c r="P6671" s="3" t="s">
        <v>65</v>
      </c>
      <c r="Q6671" s="2" t="s">
        <v>64243</v>
      </c>
      <c r="R6671" s="3" t="s">
        <v>66</v>
      </c>
      <c r="S6671" s="4">
        <v>4</v>
      </c>
      <c r="T6671" s="4">
        <v>4</v>
      </c>
      <c r="U6671" s="5" t="s">
        <v>2609</v>
      </c>
      <c r="V6671" s="5" t="s">
        <v>2609</v>
      </c>
      <c r="W6671" s="5" t="s">
        <v>67</v>
      </c>
      <c r="X6671" s="5" t="s">
        <v>67</v>
      </c>
      <c r="Y6671" s="4">
        <v>149</v>
      </c>
      <c r="Z6671" s="4">
        <v>8</v>
      </c>
      <c r="AA6671" s="4">
        <v>91</v>
      </c>
      <c r="AB6671" s="4">
        <v>1</v>
      </c>
      <c r="AC6671" s="4">
        <v>17</v>
      </c>
      <c r="AD6671" s="4">
        <v>62</v>
      </c>
      <c r="AE6671" s="4">
        <v>119</v>
      </c>
      <c r="AF6671" s="4">
        <v>0</v>
      </c>
      <c r="AG6671" s="4">
        <v>8</v>
      </c>
      <c r="AH6671" s="4">
        <v>58</v>
      </c>
      <c r="AI6671" s="4">
        <v>84</v>
      </c>
      <c r="AJ6671" s="4">
        <v>6</v>
      </c>
      <c r="AK6671" s="4">
        <v>22</v>
      </c>
      <c r="AL6671" s="4">
        <v>42</v>
      </c>
      <c r="AM6671" s="4">
        <v>48</v>
      </c>
      <c r="AN6671" s="4">
        <v>0</v>
      </c>
      <c r="AO6671" s="4">
        <v>0</v>
      </c>
      <c r="AP6671" s="4">
        <v>7</v>
      </c>
      <c r="AQ6671" s="4">
        <v>43</v>
      </c>
      <c r="AR6671" s="3" t="s">
        <v>62</v>
      </c>
      <c r="AS6671" s="3" t="s">
        <v>62</v>
      </c>
      <c r="AT6671" s="3" t="s">
        <v>62</v>
      </c>
      <c r="AV6671" s="6" t="str">
        <f>HYPERLINK("http://mcgill.on.worldcat.org/oclc/43615853","Catalog Record")</f>
        <v>Catalog Record</v>
      </c>
      <c r="AW6671" s="6" t="str">
        <f>HYPERLINK("http://www.worldcat.org/oclc/43615853","WorldCat Record")</f>
        <v>WorldCat Record</v>
      </c>
      <c r="AX6671" s="3" t="s">
        <v>64244</v>
      </c>
      <c r="AY6671" s="3" t="s">
        <v>64245</v>
      </c>
      <c r="AZ6671" s="3" t="s">
        <v>64246</v>
      </c>
      <c r="BA6671" s="3" t="s">
        <v>64246</v>
      </c>
      <c r="BB6671" s="3" t="s">
        <v>64247</v>
      </c>
      <c r="BC6671" s="3" t="s">
        <v>142</v>
      </c>
      <c r="BD6671" s="3" t="s">
        <v>68</v>
      </c>
      <c r="BE6671" s="3" t="s">
        <v>64248</v>
      </c>
      <c r="BF6671" s="3" t="s">
        <v>64247</v>
      </c>
      <c r="BG6671" s="3" t="s">
        <v>64249</v>
      </c>
    </row>
    <row r="6672" spans="1:59" ht="57" x14ac:dyDescent="0.45">
      <c r="A6672" s="2" t="s">
        <v>59</v>
      </c>
      <c r="B6672" s="2" t="s">
        <v>60</v>
      </c>
      <c r="C6672" s="2" t="s">
        <v>64250</v>
      </c>
      <c r="D6672" s="2" t="s">
        <v>64251</v>
      </c>
      <c r="E6672" s="2" t="s">
        <v>64252</v>
      </c>
      <c r="F6672" s="3" t="s">
        <v>90</v>
      </c>
      <c r="G6672" s="3" t="s">
        <v>61</v>
      </c>
      <c r="I6672" s="3" t="s">
        <v>62</v>
      </c>
      <c r="J6672" s="3" t="s">
        <v>62</v>
      </c>
      <c r="K6672" s="3" t="s">
        <v>63</v>
      </c>
      <c r="M6672" s="2" t="s">
        <v>64253</v>
      </c>
      <c r="N6672" s="3" t="s">
        <v>1604</v>
      </c>
      <c r="P6672" s="3" t="s">
        <v>65</v>
      </c>
      <c r="Q6672" s="2" t="s">
        <v>64254</v>
      </c>
      <c r="R6672" s="3" t="s">
        <v>66</v>
      </c>
      <c r="S6672" s="4">
        <v>4</v>
      </c>
      <c r="T6672" s="4">
        <v>9</v>
      </c>
      <c r="U6672" s="5" t="s">
        <v>64255</v>
      </c>
      <c r="V6672" s="5" t="s">
        <v>2609</v>
      </c>
      <c r="W6672" s="5" t="s">
        <v>67</v>
      </c>
      <c r="X6672" s="5" t="s">
        <v>67</v>
      </c>
      <c r="Y6672" s="4">
        <v>89</v>
      </c>
      <c r="Z6672" s="4">
        <v>9</v>
      </c>
      <c r="AA6672" s="4">
        <v>9</v>
      </c>
      <c r="AB6672" s="4">
        <v>1</v>
      </c>
      <c r="AC6672" s="4">
        <v>1</v>
      </c>
      <c r="AD6672" s="4">
        <v>47</v>
      </c>
      <c r="AE6672" s="4">
        <v>47</v>
      </c>
      <c r="AF6672" s="4">
        <v>0</v>
      </c>
      <c r="AG6672" s="4">
        <v>0</v>
      </c>
      <c r="AH6672" s="4">
        <v>45</v>
      </c>
      <c r="AI6672" s="4">
        <v>45</v>
      </c>
      <c r="AJ6672" s="4">
        <v>7</v>
      </c>
      <c r="AK6672" s="4">
        <v>7</v>
      </c>
      <c r="AL6672" s="4">
        <v>32</v>
      </c>
      <c r="AM6672" s="4">
        <v>32</v>
      </c>
      <c r="AN6672" s="4">
        <v>0</v>
      </c>
      <c r="AO6672" s="4">
        <v>0</v>
      </c>
      <c r="AP6672" s="4">
        <v>7</v>
      </c>
      <c r="AQ6672" s="4">
        <v>7</v>
      </c>
      <c r="AR6672" s="3" t="s">
        <v>62</v>
      </c>
      <c r="AS6672" s="3" t="s">
        <v>62</v>
      </c>
      <c r="AT6672" s="3" t="s">
        <v>62</v>
      </c>
      <c r="AV6672" s="6" t="str">
        <f>HYPERLINK("http://mcgill.on.worldcat.org/oclc/30565511","Catalog Record")</f>
        <v>Catalog Record</v>
      </c>
      <c r="AW6672" s="6" t="str">
        <f>HYPERLINK("http://www.worldcat.org/oclc/30565511","WorldCat Record")</f>
        <v>WorldCat Record</v>
      </c>
      <c r="AX6672" s="3" t="s">
        <v>64256</v>
      </c>
      <c r="AY6672" s="3" t="s">
        <v>64257</v>
      </c>
      <c r="AZ6672" s="3" t="s">
        <v>64258</v>
      </c>
      <c r="BA6672" s="3" t="s">
        <v>64258</v>
      </c>
      <c r="BB6672" s="3" t="s">
        <v>64259</v>
      </c>
      <c r="BC6672" s="3" t="s">
        <v>142</v>
      </c>
      <c r="BD6672" s="3" t="s">
        <v>68</v>
      </c>
      <c r="BE6672" s="3" t="s">
        <v>64260</v>
      </c>
      <c r="BF6672" s="3" t="s">
        <v>64259</v>
      </c>
      <c r="BG6672" s="3" t="s">
        <v>64261</v>
      </c>
    </row>
    <row r="6673" spans="1:59" ht="57" x14ac:dyDescent="0.45">
      <c r="A6673" s="2" t="s">
        <v>59</v>
      </c>
      <c r="B6673" s="2" t="s">
        <v>60</v>
      </c>
      <c r="C6673" s="2" t="s">
        <v>64250</v>
      </c>
      <c r="D6673" s="2" t="s">
        <v>64251</v>
      </c>
      <c r="E6673" s="2" t="s">
        <v>64252</v>
      </c>
      <c r="F6673" s="3" t="s">
        <v>87</v>
      </c>
      <c r="G6673" s="3" t="s">
        <v>61</v>
      </c>
      <c r="I6673" s="3" t="s">
        <v>62</v>
      </c>
      <c r="J6673" s="3" t="s">
        <v>62</v>
      </c>
      <c r="K6673" s="3" t="s">
        <v>63</v>
      </c>
      <c r="M6673" s="2" t="s">
        <v>64253</v>
      </c>
      <c r="N6673" s="3" t="s">
        <v>1604</v>
      </c>
      <c r="P6673" s="3" t="s">
        <v>65</v>
      </c>
      <c r="Q6673" s="2" t="s">
        <v>64254</v>
      </c>
      <c r="R6673" s="3" t="s">
        <v>66</v>
      </c>
      <c r="S6673" s="4">
        <v>5</v>
      </c>
      <c r="T6673" s="4">
        <v>9</v>
      </c>
      <c r="U6673" s="5" t="s">
        <v>2609</v>
      </c>
      <c r="V6673" s="5" t="s">
        <v>2609</v>
      </c>
      <c r="W6673" s="5" t="s">
        <v>67</v>
      </c>
      <c r="X6673" s="5" t="s">
        <v>67</v>
      </c>
      <c r="Y6673" s="4">
        <v>89</v>
      </c>
      <c r="Z6673" s="4">
        <v>9</v>
      </c>
      <c r="AA6673" s="4">
        <v>9</v>
      </c>
      <c r="AB6673" s="4">
        <v>1</v>
      </c>
      <c r="AC6673" s="4">
        <v>1</v>
      </c>
      <c r="AD6673" s="4">
        <v>47</v>
      </c>
      <c r="AE6673" s="4">
        <v>47</v>
      </c>
      <c r="AF6673" s="4">
        <v>0</v>
      </c>
      <c r="AG6673" s="4">
        <v>0</v>
      </c>
      <c r="AH6673" s="4">
        <v>45</v>
      </c>
      <c r="AI6673" s="4">
        <v>45</v>
      </c>
      <c r="AJ6673" s="4">
        <v>7</v>
      </c>
      <c r="AK6673" s="4">
        <v>7</v>
      </c>
      <c r="AL6673" s="4">
        <v>32</v>
      </c>
      <c r="AM6673" s="4">
        <v>32</v>
      </c>
      <c r="AN6673" s="4">
        <v>0</v>
      </c>
      <c r="AO6673" s="4">
        <v>0</v>
      </c>
      <c r="AP6673" s="4">
        <v>7</v>
      </c>
      <c r="AQ6673" s="4">
        <v>7</v>
      </c>
      <c r="AR6673" s="3" t="s">
        <v>62</v>
      </c>
      <c r="AS6673" s="3" t="s">
        <v>62</v>
      </c>
      <c r="AT6673" s="3" t="s">
        <v>62</v>
      </c>
      <c r="AV6673" s="6" t="str">
        <f>HYPERLINK("http://mcgill.on.worldcat.org/oclc/30565511","Catalog Record")</f>
        <v>Catalog Record</v>
      </c>
      <c r="AW6673" s="6" t="str">
        <f>HYPERLINK("http://www.worldcat.org/oclc/30565511","WorldCat Record")</f>
        <v>WorldCat Record</v>
      </c>
      <c r="AX6673" s="3" t="s">
        <v>64256</v>
      </c>
      <c r="AY6673" s="3" t="s">
        <v>64257</v>
      </c>
      <c r="AZ6673" s="3" t="s">
        <v>64258</v>
      </c>
      <c r="BA6673" s="3" t="s">
        <v>64258</v>
      </c>
      <c r="BB6673" s="3" t="s">
        <v>64262</v>
      </c>
      <c r="BC6673" s="3" t="s">
        <v>142</v>
      </c>
      <c r="BD6673" s="3" t="s">
        <v>68</v>
      </c>
      <c r="BE6673" s="3" t="s">
        <v>64260</v>
      </c>
      <c r="BF6673" s="3" t="s">
        <v>64262</v>
      </c>
      <c r="BG6673" s="3" t="s">
        <v>64263</v>
      </c>
    </row>
    <row r="6674" spans="1:59" ht="57" x14ac:dyDescent="0.45">
      <c r="A6674" s="2" t="s">
        <v>59</v>
      </c>
      <c r="B6674" s="2" t="s">
        <v>60</v>
      </c>
      <c r="C6674" s="2" t="s">
        <v>64264</v>
      </c>
      <c r="D6674" s="2" t="s">
        <v>64265</v>
      </c>
      <c r="E6674" s="2" t="s">
        <v>64266</v>
      </c>
      <c r="G6674" s="3" t="s">
        <v>62</v>
      </c>
      <c r="I6674" s="3" t="s">
        <v>62</v>
      </c>
      <c r="J6674" s="3" t="s">
        <v>62</v>
      </c>
      <c r="K6674" s="3" t="s">
        <v>63</v>
      </c>
      <c r="L6674" s="2" t="s">
        <v>64267</v>
      </c>
      <c r="M6674" s="2" t="s">
        <v>2489</v>
      </c>
      <c r="N6674" s="3" t="s">
        <v>918</v>
      </c>
      <c r="P6674" s="3" t="s">
        <v>65</v>
      </c>
      <c r="Q6674" s="2" t="s">
        <v>64268</v>
      </c>
      <c r="R6674" s="3" t="s">
        <v>66</v>
      </c>
      <c r="S6674" s="4">
        <v>2</v>
      </c>
      <c r="T6674" s="4">
        <v>2</v>
      </c>
      <c r="U6674" s="5" t="s">
        <v>43618</v>
      </c>
      <c r="V6674" s="5" t="s">
        <v>43618</v>
      </c>
      <c r="W6674" s="5" t="s">
        <v>67</v>
      </c>
      <c r="X6674" s="5" t="s">
        <v>67</v>
      </c>
      <c r="Y6674" s="4">
        <v>103</v>
      </c>
      <c r="Z6674" s="4">
        <v>7</v>
      </c>
      <c r="AA6674" s="4">
        <v>9</v>
      </c>
      <c r="AB6674" s="4">
        <v>1</v>
      </c>
      <c r="AC6674" s="4">
        <v>3</v>
      </c>
      <c r="AD6674" s="4">
        <v>45</v>
      </c>
      <c r="AE6674" s="4">
        <v>45</v>
      </c>
      <c r="AF6674" s="4">
        <v>0</v>
      </c>
      <c r="AG6674" s="4">
        <v>0</v>
      </c>
      <c r="AH6674" s="4">
        <v>44</v>
      </c>
      <c r="AI6674" s="4">
        <v>44</v>
      </c>
      <c r="AJ6674" s="4">
        <v>5</v>
      </c>
      <c r="AK6674" s="4">
        <v>5</v>
      </c>
      <c r="AL6674" s="4">
        <v>32</v>
      </c>
      <c r="AM6674" s="4">
        <v>32</v>
      </c>
      <c r="AN6674" s="4">
        <v>0</v>
      </c>
      <c r="AO6674" s="4">
        <v>0</v>
      </c>
      <c r="AP6674" s="4">
        <v>5</v>
      </c>
      <c r="AQ6674" s="4">
        <v>5</v>
      </c>
      <c r="AR6674" s="3" t="s">
        <v>62</v>
      </c>
      <c r="AS6674" s="3" t="s">
        <v>62</v>
      </c>
      <c r="AT6674" s="3" t="s">
        <v>61</v>
      </c>
      <c r="AU6674" s="6" t="str">
        <f>HYPERLINK("http://catalog.hathitrust.org/Record/004354466","HathiTrust Record")</f>
        <v>HathiTrust Record</v>
      </c>
      <c r="AV6674" s="6" t="str">
        <f>HYPERLINK("http://mcgill.on.worldcat.org/oclc/52257716","Catalog Record")</f>
        <v>Catalog Record</v>
      </c>
      <c r="AW6674" s="6" t="str">
        <f>HYPERLINK("http://www.worldcat.org/oclc/52257716","WorldCat Record")</f>
        <v>WorldCat Record</v>
      </c>
      <c r="AX6674" s="3" t="s">
        <v>64269</v>
      </c>
      <c r="AY6674" s="3" t="s">
        <v>64270</v>
      </c>
      <c r="AZ6674" s="3" t="s">
        <v>64271</v>
      </c>
      <c r="BA6674" s="3" t="s">
        <v>64271</v>
      </c>
      <c r="BB6674" s="3" t="s">
        <v>64272</v>
      </c>
      <c r="BC6674" s="3" t="s">
        <v>142</v>
      </c>
      <c r="BD6674" s="3" t="s">
        <v>68</v>
      </c>
      <c r="BE6674" s="3" t="s">
        <v>64273</v>
      </c>
      <c r="BF6674" s="3" t="s">
        <v>64272</v>
      </c>
      <c r="BG6674" s="3" t="s">
        <v>64274</v>
      </c>
    </row>
    <row r="6675" spans="1:59" ht="57" x14ac:dyDescent="0.45">
      <c r="A6675" s="2" t="s">
        <v>59</v>
      </c>
      <c r="B6675" s="2" t="s">
        <v>60</v>
      </c>
      <c r="C6675" s="2" t="s">
        <v>64275</v>
      </c>
      <c r="D6675" s="2" t="s">
        <v>64276</v>
      </c>
      <c r="E6675" s="2" t="s">
        <v>64277</v>
      </c>
      <c r="G6675" s="3" t="s">
        <v>62</v>
      </c>
      <c r="I6675" s="3" t="s">
        <v>62</v>
      </c>
      <c r="J6675" s="3" t="s">
        <v>62</v>
      </c>
      <c r="K6675" s="3" t="s">
        <v>63</v>
      </c>
      <c r="M6675" s="2" t="s">
        <v>64278</v>
      </c>
      <c r="N6675" s="3" t="s">
        <v>1918</v>
      </c>
      <c r="P6675" s="3" t="s">
        <v>65</v>
      </c>
      <c r="Q6675" s="2" t="s">
        <v>64279</v>
      </c>
      <c r="R6675" s="3" t="s">
        <v>66</v>
      </c>
      <c r="S6675" s="4">
        <v>0</v>
      </c>
      <c r="T6675" s="4">
        <v>0</v>
      </c>
      <c r="W6675" s="5" t="s">
        <v>67</v>
      </c>
      <c r="X6675" s="5" t="s">
        <v>67</v>
      </c>
      <c r="Y6675" s="4">
        <v>20</v>
      </c>
      <c r="Z6675" s="4">
        <v>2</v>
      </c>
      <c r="AA6675" s="4">
        <v>21</v>
      </c>
      <c r="AB6675" s="4">
        <v>1</v>
      </c>
      <c r="AC6675" s="4">
        <v>4</v>
      </c>
      <c r="AD6675" s="4">
        <v>10</v>
      </c>
      <c r="AE6675" s="4">
        <v>45</v>
      </c>
      <c r="AF6675" s="4">
        <v>0</v>
      </c>
      <c r="AG6675" s="4">
        <v>1</v>
      </c>
      <c r="AH6675" s="4">
        <v>10</v>
      </c>
      <c r="AI6675" s="4">
        <v>35</v>
      </c>
      <c r="AJ6675" s="4">
        <v>1</v>
      </c>
      <c r="AK6675" s="4">
        <v>6</v>
      </c>
      <c r="AL6675" s="4">
        <v>9</v>
      </c>
      <c r="AM6675" s="4">
        <v>22</v>
      </c>
      <c r="AN6675" s="4">
        <v>0</v>
      </c>
      <c r="AO6675" s="4">
        <v>0</v>
      </c>
      <c r="AP6675" s="4">
        <v>1</v>
      </c>
      <c r="AQ6675" s="4">
        <v>13</v>
      </c>
      <c r="AR6675" s="3" t="s">
        <v>62</v>
      </c>
      <c r="AS6675" s="3" t="s">
        <v>62</v>
      </c>
      <c r="AT6675" s="3" t="s">
        <v>62</v>
      </c>
      <c r="AV6675" s="6" t="str">
        <f>HYPERLINK("http://mcgill.on.worldcat.org/oclc/973401173","Catalog Record")</f>
        <v>Catalog Record</v>
      </c>
      <c r="AW6675" s="6" t="str">
        <f>HYPERLINK("http://www.worldcat.org/oclc/973401173","WorldCat Record")</f>
        <v>WorldCat Record</v>
      </c>
      <c r="AX6675" s="3" t="s">
        <v>64280</v>
      </c>
      <c r="AY6675" s="3" t="s">
        <v>64281</v>
      </c>
      <c r="AZ6675" s="3" t="s">
        <v>64282</v>
      </c>
      <c r="BA6675" s="3" t="s">
        <v>64282</v>
      </c>
      <c r="BB6675" s="3" t="s">
        <v>64283</v>
      </c>
      <c r="BC6675" s="3" t="s">
        <v>142</v>
      </c>
      <c r="BD6675" s="3" t="s">
        <v>68</v>
      </c>
      <c r="BE6675" s="3" t="s">
        <v>64284</v>
      </c>
      <c r="BF6675" s="3" t="s">
        <v>64283</v>
      </c>
      <c r="BG6675" s="3" t="s">
        <v>64285</v>
      </c>
    </row>
    <row r="6676" spans="1:59" ht="57" x14ac:dyDescent="0.45">
      <c r="A6676" s="2" t="s">
        <v>59</v>
      </c>
      <c r="B6676" s="2" t="s">
        <v>60</v>
      </c>
      <c r="C6676" s="2" t="s">
        <v>64286</v>
      </c>
      <c r="D6676" s="2" t="s">
        <v>64287</v>
      </c>
      <c r="E6676" s="2" t="s">
        <v>64288</v>
      </c>
      <c r="G6676" s="3" t="s">
        <v>62</v>
      </c>
      <c r="I6676" s="3" t="s">
        <v>61</v>
      </c>
      <c r="J6676" s="3" t="s">
        <v>62</v>
      </c>
      <c r="K6676" s="3" t="s">
        <v>63</v>
      </c>
      <c r="L6676" s="2" t="s">
        <v>64289</v>
      </c>
      <c r="M6676" s="2" t="s">
        <v>64290</v>
      </c>
      <c r="N6676" s="3" t="s">
        <v>220</v>
      </c>
      <c r="P6676" s="3" t="s">
        <v>65</v>
      </c>
      <c r="Q6676" s="2" t="s">
        <v>64291</v>
      </c>
      <c r="R6676" s="3" t="s">
        <v>66</v>
      </c>
      <c r="S6676" s="4">
        <v>2</v>
      </c>
      <c r="T6676" s="4">
        <v>28</v>
      </c>
      <c r="U6676" s="5" t="s">
        <v>108</v>
      </c>
      <c r="V6676" s="5" t="s">
        <v>14532</v>
      </c>
      <c r="W6676" s="5" t="s">
        <v>67</v>
      </c>
      <c r="X6676" s="5" t="s">
        <v>67</v>
      </c>
      <c r="Y6676" s="4">
        <v>191</v>
      </c>
      <c r="Z6676" s="4">
        <v>42</v>
      </c>
      <c r="AA6676" s="4">
        <v>48</v>
      </c>
      <c r="AB6676" s="4">
        <v>4</v>
      </c>
      <c r="AC6676" s="4">
        <v>9</v>
      </c>
      <c r="AD6676" s="4">
        <v>100</v>
      </c>
      <c r="AE6676" s="4">
        <v>105</v>
      </c>
      <c r="AF6676" s="4">
        <v>2</v>
      </c>
      <c r="AG6676" s="4">
        <v>6</v>
      </c>
      <c r="AH6676" s="4">
        <v>76</v>
      </c>
      <c r="AI6676" s="4">
        <v>77</v>
      </c>
      <c r="AJ6676" s="4">
        <v>19</v>
      </c>
      <c r="AK6676" s="4">
        <v>23</v>
      </c>
      <c r="AL6676" s="4">
        <v>45</v>
      </c>
      <c r="AM6676" s="4">
        <v>45</v>
      </c>
      <c r="AN6676" s="4">
        <v>0</v>
      </c>
      <c r="AO6676" s="4">
        <v>0</v>
      </c>
      <c r="AP6676" s="4">
        <v>32</v>
      </c>
      <c r="AQ6676" s="4">
        <v>36</v>
      </c>
      <c r="AR6676" s="3" t="s">
        <v>61</v>
      </c>
      <c r="AS6676" s="3" t="s">
        <v>62</v>
      </c>
      <c r="AT6676" s="3" t="s">
        <v>61</v>
      </c>
      <c r="AU6676" s="6" t="str">
        <f>HYPERLINK("http://catalog.hathitrust.org/Record/001434676","HathiTrust Record")</f>
        <v>HathiTrust Record</v>
      </c>
      <c r="AV6676" s="6" t="str">
        <f>HYPERLINK("http://mcgill.on.worldcat.org/oclc/540626","Catalog Record")</f>
        <v>Catalog Record</v>
      </c>
      <c r="AW6676" s="6" t="str">
        <f>HYPERLINK("http://www.worldcat.org/oclc/540626","WorldCat Record")</f>
        <v>WorldCat Record</v>
      </c>
      <c r="AX6676" s="3" t="s">
        <v>64292</v>
      </c>
      <c r="AY6676" s="3" t="s">
        <v>64293</v>
      </c>
      <c r="AZ6676" s="3" t="s">
        <v>64294</v>
      </c>
      <c r="BA6676" s="3" t="s">
        <v>64294</v>
      </c>
      <c r="BB6676" s="3" t="s">
        <v>64295</v>
      </c>
      <c r="BC6676" s="3" t="s">
        <v>142</v>
      </c>
      <c r="BD6676" s="3" t="s">
        <v>68</v>
      </c>
      <c r="BF6676" s="3" t="s">
        <v>64295</v>
      </c>
      <c r="BG6676" s="3" t="s">
        <v>64296</v>
      </c>
    </row>
    <row r="6677" spans="1:59" ht="57" x14ac:dyDescent="0.45">
      <c r="A6677" s="2" t="s">
        <v>59</v>
      </c>
      <c r="B6677" s="2" t="s">
        <v>412</v>
      </c>
      <c r="C6677" s="2" t="s">
        <v>64286</v>
      </c>
      <c r="D6677" s="2" t="s">
        <v>64287</v>
      </c>
      <c r="E6677" s="2" t="s">
        <v>64288</v>
      </c>
      <c r="G6677" s="3" t="s">
        <v>62</v>
      </c>
      <c r="I6677" s="3" t="s">
        <v>61</v>
      </c>
      <c r="J6677" s="3" t="s">
        <v>62</v>
      </c>
      <c r="K6677" s="3" t="s">
        <v>63</v>
      </c>
      <c r="L6677" s="2" t="s">
        <v>64289</v>
      </c>
      <c r="M6677" s="2" t="s">
        <v>64290</v>
      </c>
      <c r="N6677" s="3" t="s">
        <v>220</v>
      </c>
      <c r="P6677" s="3" t="s">
        <v>65</v>
      </c>
      <c r="Q6677" s="2" t="s">
        <v>64291</v>
      </c>
      <c r="R6677" s="3" t="s">
        <v>66</v>
      </c>
      <c r="S6677" s="4">
        <v>0</v>
      </c>
      <c r="T6677" s="4">
        <v>28</v>
      </c>
      <c r="V6677" s="5" t="s">
        <v>14532</v>
      </c>
      <c r="W6677" s="5" t="s">
        <v>67</v>
      </c>
      <c r="X6677" s="5" t="s">
        <v>67</v>
      </c>
      <c r="Y6677" s="4">
        <v>191</v>
      </c>
      <c r="Z6677" s="4">
        <v>42</v>
      </c>
      <c r="AA6677" s="4">
        <v>48</v>
      </c>
      <c r="AB6677" s="4">
        <v>4</v>
      </c>
      <c r="AC6677" s="4">
        <v>9</v>
      </c>
      <c r="AD6677" s="4">
        <v>100</v>
      </c>
      <c r="AE6677" s="4">
        <v>105</v>
      </c>
      <c r="AF6677" s="4">
        <v>2</v>
      </c>
      <c r="AG6677" s="4">
        <v>6</v>
      </c>
      <c r="AH6677" s="4">
        <v>76</v>
      </c>
      <c r="AI6677" s="4">
        <v>77</v>
      </c>
      <c r="AJ6677" s="4">
        <v>19</v>
      </c>
      <c r="AK6677" s="4">
        <v>23</v>
      </c>
      <c r="AL6677" s="4">
        <v>45</v>
      </c>
      <c r="AM6677" s="4">
        <v>45</v>
      </c>
      <c r="AN6677" s="4">
        <v>0</v>
      </c>
      <c r="AO6677" s="4">
        <v>0</v>
      </c>
      <c r="AP6677" s="4">
        <v>32</v>
      </c>
      <c r="AQ6677" s="4">
        <v>36</v>
      </c>
      <c r="AR6677" s="3" t="s">
        <v>61</v>
      </c>
      <c r="AS6677" s="3" t="s">
        <v>62</v>
      </c>
      <c r="AT6677" s="3" t="s">
        <v>61</v>
      </c>
      <c r="AU6677" s="6" t="str">
        <f>HYPERLINK("http://catalog.hathitrust.org/Record/001434676","HathiTrust Record")</f>
        <v>HathiTrust Record</v>
      </c>
      <c r="AV6677" s="6" t="str">
        <f>HYPERLINK("http://mcgill.on.worldcat.org/oclc/540626","Catalog Record")</f>
        <v>Catalog Record</v>
      </c>
      <c r="AW6677" s="6" t="str">
        <f>HYPERLINK("http://www.worldcat.org/oclc/540626","WorldCat Record")</f>
        <v>WorldCat Record</v>
      </c>
      <c r="AX6677" s="3" t="s">
        <v>64292</v>
      </c>
      <c r="AY6677" s="3" t="s">
        <v>64293</v>
      </c>
      <c r="AZ6677" s="3" t="s">
        <v>64294</v>
      </c>
      <c r="BA6677" s="3" t="s">
        <v>64294</v>
      </c>
      <c r="BB6677" s="3" t="s">
        <v>64297</v>
      </c>
      <c r="BC6677" s="3" t="s">
        <v>142</v>
      </c>
      <c r="BD6677" s="3" t="s">
        <v>68</v>
      </c>
      <c r="BF6677" s="3" t="s">
        <v>64297</v>
      </c>
      <c r="BG6677" s="3" t="s">
        <v>64298</v>
      </c>
    </row>
    <row r="6678" spans="1:59" ht="57" x14ac:dyDescent="0.45">
      <c r="A6678" s="2" t="s">
        <v>59</v>
      </c>
      <c r="B6678" s="2" t="s">
        <v>60</v>
      </c>
      <c r="C6678" s="2" t="s">
        <v>64286</v>
      </c>
      <c r="D6678" s="2" t="s">
        <v>64287</v>
      </c>
      <c r="E6678" s="2" t="s">
        <v>64288</v>
      </c>
      <c r="G6678" s="3" t="s">
        <v>62</v>
      </c>
      <c r="I6678" s="3" t="s">
        <v>61</v>
      </c>
      <c r="J6678" s="3" t="s">
        <v>62</v>
      </c>
      <c r="K6678" s="3" t="s">
        <v>63</v>
      </c>
      <c r="L6678" s="2" t="s">
        <v>64289</v>
      </c>
      <c r="M6678" s="2" t="s">
        <v>64290</v>
      </c>
      <c r="N6678" s="3" t="s">
        <v>220</v>
      </c>
      <c r="P6678" s="3" t="s">
        <v>65</v>
      </c>
      <c r="Q6678" s="2" t="s">
        <v>64291</v>
      </c>
      <c r="R6678" s="3" t="s">
        <v>66</v>
      </c>
      <c r="S6678" s="4">
        <v>18</v>
      </c>
      <c r="T6678" s="4">
        <v>28</v>
      </c>
      <c r="U6678" s="5" t="s">
        <v>64299</v>
      </c>
      <c r="V6678" s="5" t="s">
        <v>14532</v>
      </c>
      <c r="W6678" s="5" t="s">
        <v>67</v>
      </c>
      <c r="X6678" s="5" t="s">
        <v>67</v>
      </c>
      <c r="Y6678" s="4">
        <v>191</v>
      </c>
      <c r="Z6678" s="4">
        <v>42</v>
      </c>
      <c r="AA6678" s="4">
        <v>48</v>
      </c>
      <c r="AB6678" s="4">
        <v>4</v>
      </c>
      <c r="AC6678" s="4">
        <v>9</v>
      </c>
      <c r="AD6678" s="4">
        <v>100</v>
      </c>
      <c r="AE6678" s="4">
        <v>105</v>
      </c>
      <c r="AF6678" s="4">
        <v>2</v>
      </c>
      <c r="AG6678" s="4">
        <v>6</v>
      </c>
      <c r="AH6678" s="4">
        <v>76</v>
      </c>
      <c r="AI6678" s="4">
        <v>77</v>
      </c>
      <c r="AJ6678" s="4">
        <v>19</v>
      </c>
      <c r="AK6678" s="4">
        <v>23</v>
      </c>
      <c r="AL6678" s="4">
        <v>45</v>
      </c>
      <c r="AM6678" s="4">
        <v>45</v>
      </c>
      <c r="AN6678" s="4">
        <v>0</v>
      </c>
      <c r="AO6678" s="4">
        <v>0</v>
      </c>
      <c r="AP6678" s="4">
        <v>32</v>
      </c>
      <c r="AQ6678" s="4">
        <v>36</v>
      </c>
      <c r="AR6678" s="3" t="s">
        <v>61</v>
      </c>
      <c r="AS6678" s="3" t="s">
        <v>62</v>
      </c>
      <c r="AT6678" s="3" t="s">
        <v>61</v>
      </c>
      <c r="AU6678" s="6" t="str">
        <f>HYPERLINK("http://catalog.hathitrust.org/Record/001434676","HathiTrust Record")</f>
        <v>HathiTrust Record</v>
      </c>
      <c r="AV6678" s="6" t="str">
        <f>HYPERLINK("http://mcgill.on.worldcat.org/oclc/540626","Catalog Record")</f>
        <v>Catalog Record</v>
      </c>
      <c r="AW6678" s="6" t="str">
        <f>HYPERLINK("http://www.worldcat.org/oclc/540626","WorldCat Record")</f>
        <v>WorldCat Record</v>
      </c>
      <c r="AX6678" s="3" t="s">
        <v>64292</v>
      </c>
      <c r="AY6678" s="3" t="s">
        <v>64293</v>
      </c>
      <c r="AZ6678" s="3" t="s">
        <v>64294</v>
      </c>
      <c r="BA6678" s="3" t="s">
        <v>64294</v>
      </c>
      <c r="BB6678" s="3" t="s">
        <v>64300</v>
      </c>
      <c r="BC6678" s="3" t="s">
        <v>142</v>
      </c>
      <c r="BD6678" s="3" t="s">
        <v>68</v>
      </c>
      <c r="BF6678" s="3" t="s">
        <v>64300</v>
      </c>
      <c r="BG6678" s="3" t="s">
        <v>64301</v>
      </c>
    </row>
    <row r="6679" spans="1:59" ht="57" x14ac:dyDescent="0.45">
      <c r="A6679" s="2" t="s">
        <v>59</v>
      </c>
      <c r="B6679" s="2" t="s">
        <v>60</v>
      </c>
      <c r="C6679" s="2" t="s">
        <v>64286</v>
      </c>
      <c r="D6679" s="2" t="s">
        <v>64287</v>
      </c>
      <c r="E6679" s="2" t="s">
        <v>64288</v>
      </c>
      <c r="G6679" s="3" t="s">
        <v>62</v>
      </c>
      <c r="I6679" s="3" t="s">
        <v>61</v>
      </c>
      <c r="J6679" s="3" t="s">
        <v>62</v>
      </c>
      <c r="K6679" s="3" t="s">
        <v>63</v>
      </c>
      <c r="L6679" s="2" t="s">
        <v>64289</v>
      </c>
      <c r="M6679" s="2" t="s">
        <v>64290</v>
      </c>
      <c r="N6679" s="3" t="s">
        <v>220</v>
      </c>
      <c r="P6679" s="3" t="s">
        <v>65</v>
      </c>
      <c r="Q6679" s="2" t="s">
        <v>64291</v>
      </c>
      <c r="R6679" s="3" t="s">
        <v>66</v>
      </c>
      <c r="S6679" s="4">
        <v>8</v>
      </c>
      <c r="T6679" s="4">
        <v>28</v>
      </c>
      <c r="U6679" s="5" t="s">
        <v>14532</v>
      </c>
      <c r="V6679" s="5" t="s">
        <v>14532</v>
      </c>
      <c r="W6679" s="5" t="s">
        <v>67</v>
      </c>
      <c r="X6679" s="5" t="s">
        <v>67</v>
      </c>
      <c r="Y6679" s="4">
        <v>191</v>
      </c>
      <c r="Z6679" s="4">
        <v>42</v>
      </c>
      <c r="AA6679" s="4">
        <v>48</v>
      </c>
      <c r="AB6679" s="4">
        <v>4</v>
      </c>
      <c r="AC6679" s="4">
        <v>9</v>
      </c>
      <c r="AD6679" s="4">
        <v>100</v>
      </c>
      <c r="AE6679" s="4">
        <v>105</v>
      </c>
      <c r="AF6679" s="4">
        <v>2</v>
      </c>
      <c r="AG6679" s="4">
        <v>6</v>
      </c>
      <c r="AH6679" s="4">
        <v>76</v>
      </c>
      <c r="AI6679" s="4">
        <v>77</v>
      </c>
      <c r="AJ6679" s="4">
        <v>19</v>
      </c>
      <c r="AK6679" s="4">
        <v>23</v>
      </c>
      <c r="AL6679" s="4">
        <v>45</v>
      </c>
      <c r="AM6679" s="4">
        <v>45</v>
      </c>
      <c r="AN6679" s="4">
        <v>0</v>
      </c>
      <c r="AO6679" s="4">
        <v>0</v>
      </c>
      <c r="AP6679" s="4">
        <v>32</v>
      </c>
      <c r="AQ6679" s="4">
        <v>36</v>
      </c>
      <c r="AR6679" s="3" t="s">
        <v>61</v>
      </c>
      <c r="AS6679" s="3" t="s">
        <v>62</v>
      </c>
      <c r="AT6679" s="3" t="s">
        <v>61</v>
      </c>
      <c r="AU6679" s="6" t="str">
        <f>HYPERLINK("http://catalog.hathitrust.org/Record/001434676","HathiTrust Record")</f>
        <v>HathiTrust Record</v>
      </c>
      <c r="AV6679" s="6" t="str">
        <f>HYPERLINK("http://mcgill.on.worldcat.org/oclc/540626","Catalog Record")</f>
        <v>Catalog Record</v>
      </c>
      <c r="AW6679" s="6" t="str">
        <f>HYPERLINK("http://www.worldcat.org/oclc/540626","WorldCat Record")</f>
        <v>WorldCat Record</v>
      </c>
      <c r="AX6679" s="3" t="s">
        <v>64292</v>
      </c>
      <c r="AY6679" s="3" t="s">
        <v>64293</v>
      </c>
      <c r="AZ6679" s="3" t="s">
        <v>64294</v>
      </c>
      <c r="BA6679" s="3" t="s">
        <v>64294</v>
      </c>
      <c r="BB6679" s="3" t="s">
        <v>64302</v>
      </c>
      <c r="BC6679" s="3" t="s">
        <v>142</v>
      </c>
      <c r="BD6679" s="3" t="s">
        <v>68</v>
      </c>
      <c r="BF6679" s="3" t="s">
        <v>64302</v>
      </c>
      <c r="BG6679" s="3" t="s">
        <v>64303</v>
      </c>
    </row>
    <row r="6680" spans="1:59" ht="57" x14ac:dyDescent="0.45">
      <c r="A6680" s="2" t="s">
        <v>59</v>
      </c>
      <c r="B6680" s="2" t="s">
        <v>60</v>
      </c>
      <c r="C6680" s="2" t="s">
        <v>64304</v>
      </c>
      <c r="D6680" s="2" t="s">
        <v>64305</v>
      </c>
      <c r="E6680" s="2" t="s">
        <v>64306</v>
      </c>
      <c r="G6680" s="3" t="s">
        <v>62</v>
      </c>
      <c r="I6680" s="3" t="s">
        <v>62</v>
      </c>
      <c r="J6680" s="3" t="s">
        <v>62</v>
      </c>
      <c r="K6680" s="3" t="s">
        <v>63</v>
      </c>
      <c r="L6680" s="2" t="s">
        <v>64307</v>
      </c>
      <c r="M6680" s="2" t="s">
        <v>64308</v>
      </c>
      <c r="N6680" s="3" t="s">
        <v>820</v>
      </c>
      <c r="P6680" s="3" t="s">
        <v>110</v>
      </c>
      <c r="Q6680" s="2" t="s">
        <v>64309</v>
      </c>
      <c r="R6680" s="3" t="s">
        <v>66</v>
      </c>
      <c r="S6680" s="4">
        <v>2</v>
      </c>
      <c r="T6680" s="4">
        <v>2</v>
      </c>
      <c r="U6680" s="5" t="s">
        <v>9578</v>
      </c>
      <c r="V6680" s="5" t="s">
        <v>9578</v>
      </c>
      <c r="W6680" s="5" t="s">
        <v>67</v>
      </c>
      <c r="X6680" s="5" t="s">
        <v>67</v>
      </c>
      <c r="Y6680" s="4">
        <v>89</v>
      </c>
      <c r="Z6680" s="4">
        <v>6</v>
      </c>
      <c r="AA6680" s="4">
        <v>14</v>
      </c>
      <c r="AB6680" s="4">
        <v>1</v>
      </c>
      <c r="AC6680" s="4">
        <v>5</v>
      </c>
      <c r="AD6680" s="4">
        <v>41</v>
      </c>
      <c r="AE6680" s="4">
        <v>53</v>
      </c>
      <c r="AF6680" s="4">
        <v>0</v>
      </c>
      <c r="AG6680" s="4">
        <v>3</v>
      </c>
      <c r="AH6680" s="4">
        <v>39</v>
      </c>
      <c r="AI6680" s="4">
        <v>46</v>
      </c>
      <c r="AJ6680" s="4">
        <v>3</v>
      </c>
      <c r="AK6680" s="4">
        <v>9</v>
      </c>
      <c r="AL6680" s="4">
        <v>34</v>
      </c>
      <c r="AM6680" s="4">
        <v>37</v>
      </c>
      <c r="AN6680" s="4">
        <v>0</v>
      </c>
      <c r="AO6680" s="4">
        <v>0</v>
      </c>
      <c r="AP6680" s="4">
        <v>3</v>
      </c>
      <c r="AQ6680" s="4">
        <v>9</v>
      </c>
      <c r="AR6680" s="3" t="s">
        <v>62</v>
      </c>
      <c r="AS6680" s="3" t="s">
        <v>62</v>
      </c>
      <c r="AT6680" s="3" t="s">
        <v>61</v>
      </c>
      <c r="AU6680" s="6" t="str">
        <f>HYPERLINK("http://catalog.hathitrust.org/Record/006859790","HathiTrust Record")</f>
        <v>HathiTrust Record</v>
      </c>
      <c r="AV6680" s="6" t="str">
        <f>HYPERLINK("http://mcgill.on.worldcat.org/oclc/316827873","Catalog Record")</f>
        <v>Catalog Record</v>
      </c>
      <c r="AW6680" s="6" t="str">
        <f>HYPERLINK("http://www.worldcat.org/oclc/316827873","WorldCat Record")</f>
        <v>WorldCat Record</v>
      </c>
      <c r="AX6680" s="3" t="s">
        <v>64310</v>
      </c>
      <c r="AY6680" s="3" t="s">
        <v>64311</v>
      </c>
      <c r="AZ6680" s="3" t="s">
        <v>64312</v>
      </c>
      <c r="BA6680" s="3" t="s">
        <v>64312</v>
      </c>
      <c r="BB6680" s="3" t="s">
        <v>64313</v>
      </c>
      <c r="BC6680" s="3" t="s">
        <v>142</v>
      </c>
      <c r="BD6680" s="3" t="s">
        <v>68</v>
      </c>
      <c r="BE6680" s="3" t="s">
        <v>64314</v>
      </c>
      <c r="BF6680" s="3" t="s">
        <v>64313</v>
      </c>
      <c r="BG6680" s="3" t="s">
        <v>64315</v>
      </c>
    </row>
    <row r="6681" spans="1:59" ht="57" x14ac:dyDescent="0.45">
      <c r="A6681" s="2" t="s">
        <v>59</v>
      </c>
      <c r="B6681" s="2" t="s">
        <v>60</v>
      </c>
      <c r="C6681" s="2" t="s">
        <v>64316</v>
      </c>
      <c r="D6681" s="2" t="s">
        <v>64317</v>
      </c>
      <c r="E6681" s="2" t="s">
        <v>64318</v>
      </c>
      <c r="G6681" s="3" t="s">
        <v>62</v>
      </c>
      <c r="I6681" s="3" t="s">
        <v>61</v>
      </c>
      <c r="J6681" s="3" t="s">
        <v>62</v>
      </c>
      <c r="K6681" s="3" t="s">
        <v>63</v>
      </c>
      <c r="M6681" s="2" t="s">
        <v>21477</v>
      </c>
      <c r="N6681" s="3" t="s">
        <v>945</v>
      </c>
      <c r="P6681" s="3" t="s">
        <v>65</v>
      </c>
      <c r="R6681" s="3" t="s">
        <v>66</v>
      </c>
      <c r="S6681" s="4">
        <v>2</v>
      </c>
      <c r="T6681" s="4">
        <v>5</v>
      </c>
      <c r="U6681" s="5" t="s">
        <v>119</v>
      </c>
      <c r="V6681" s="5" t="s">
        <v>54468</v>
      </c>
      <c r="W6681" s="5" t="s">
        <v>67</v>
      </c>
      <c r="X6681" s="5" t="s">
        <v>67</v>
      </c>
      <c r="Y6681" s="4">
        <v>255</v>
      </c>
      <c r="Z6681" s="4">
        <v>13</v>
      </c>
      <c r="AA6681" s="4">
        <v>78</v>
      </c>
      <c r="AB6681" s="4">
        <v>1</v>
      </c>
      <c r="AC6681" s="4">
        <v>14</v>
      </c>
      <c r="AD6681" s="4">
        <v>87</v>
      </c>
      <c r="AE6681" s="4">
        <v>131</v>
      </c>
      <c r="AF6681" s="4">
        <v>0</v>
      </c>
      <c r="AG6681" s="4">
        <v>8</v>
      </c>
      <c r="AH6681" s="4">
        <v>81</v>
      </c>
      <c r="AI6681" s="4">
        <v>97</v>
      </c>
      <c r="AJ6681" s="4">
        <v>10</v>
      </c>
      <c r="AK6681" s="4">
        <v>23</v>
      </c>
      <c r="AL6681" s="4">
        <v>48</v>
      </c>
      <c r="AM6681" s="4">
        <v>54</v>
      </c>
      <c r="AN6681" s="4">
        <v>0</v>
      </c>
      <c r="AO6681" s="4">
        <v>0</v>
      </c>
      <c r="AP6681" s="4">
        <v>11</v>
      </c>
      <c r="AQ6681" s="4">
        <v>42</v>
      </c>
      <c r="AR6681" s="3" t="s">
        <v>62</v>
      </c>
      <c r="AS6681" s="3" t="s">
        <v>62</v>
      </c>
      <c r="AT6681" s="3" t="s">
        <v>62</v>
      </c>
      <c r="AV6681" s="6" t="str">
        <f>HYPERLINK("http://mcgill.on.worldcat.org/oclc/85690302","Catalog Record")</f>
        <v>Catalog Record</v>
      </c>
      <c r="AW6681" s="6" t="str">
        <f>HYPERLINK("http://www.worldcat.org/oclc/85690302","WorldCat Record")</f>
        <v>WorldCat Record</v>
      </c>
      <c r="AX6681" s="3" t="s">
        <v>64319</v>
      </c>
      <c r="AY6681" s="3" t="s">
        <v>64320</v>
      </c>
      <c r="AZ6681" s="3" t="s">
        <v>64321</v>
      </c>
      <c r="BA6681" s="3" t="s">
        <v>64321</v>
      </c>
      <c r="BB6681" s="3" t="s">
        <v>64322</v>
      </c>
      <c r="BC6681" s="3" t="s">
        <v>142</v>
      </c>
      <c r="BD6681" s="3" t="s">
        <v>68</v>
      </c>
      <c r="BE6681" s="3" t="s">
        <v>64323</v>
      </c>
      <c r="BF6681" s="3" t="s">
        <v>64322</v>
      </c>
      <c r="BG6681" s="3" t="s">
        <v>64324</v>
      </c>
    </row>
    <row r="6682" spans="1:59" ht="57" x14ac:dyDescent="0.45">
      <c r="A6682" s="2" t="s">
        <v>59</v>
      </c>
      <c r="B6682" s="2" t="s">
        <v>60</v>
      </c>
      <c r="C6682" s="2" t="s">
        <v>64316</v>
      </c>
      <c r="D6682" s="2" t="s">
        <v>64317</v>
      </c>
      <c r="E6682" s="2" t="s">
        <v>64318</v>
      </c>
      <c r="G6682" s="3" t="s">
        <v>62</v>
      </c>
      <c r="I6682" s="3" t="s">
        <v>61</v>
      </c>
      <c r="J6682" s="3" t="s">
        <v>62</v>
      </c>
      <c r="K6682" s="3" t="s">
        <v>63</v>
      </c>
      <c r="M6682" s="2" t="s">
        <v>21477</v>
      </c>
      <c r="N6682" s="3" t="s">
        <v>945</v>
      </c>
      <c r="P6682" s="3" t="s">
        <v>65</v>
      </c>
      <c r="R6682" s="3" t="s">
        <v>66</v>
      </c>
      <c r="S6682" s="4">
        <v>3</v>
      </c>
      <c r="T6682" s="4">
        <v>5</v>
      </c>
      <c r="U6682" s="5" t="s">
        <v>54468</v>
      </c>
      <c r="V6682" s="5" t="s">
        <v>54468</v>
      </c>
      <c r="W6682" s="5" t="s">
        <v>67</v>
      </c>
      <c r="X6682" s="5" t="s">
        <v>67</v>
      </c>
      <c r="Y6682" s="4">
        <v>255</v>
      </c>
      <c r="Z6682" s="4">
        <v>13</v>
      </c>
      <c r="AA6682" s="4">
        <v>78</v>
      </c>
      <c r="AB6682" s="4">
        <v>1</v>
      </c>
      <c r="AC6682" s="4">
        <v>14</v>
      </c>
      <c r="AD6682" s="4">
        <v>87</v>
      </c>
      <c r="AE6682" s="4">
        <v>131</v>
      </c>
      <c r="AF6682" s="4">
        <v>0</v>
      </c>
      <c r="AG6682" s="4">
        <v>8</v>
      </c>
      <c r="AH6682" s="4">
        <v>81</v>
      </c>
      <c r="AI6682" s="4">
        <v>97</v>
      </c>
      <c r="AJ6682" s="4">
        <v>10</v>
      </c>
      <c r="AK6682" s="4">
        <v>23</v>
      </c>
      <c r="AL6682" s="4">
        <v>48</v>
      </c>
      <c r="AM6682" s="4">
        <v>54</v>
      </c>
      <c r="AN6682" s="4">
        <v>0</v>
      </c>
      <c r="AO6682" s="4">
        <v>0</v>
      </c>
      <c r="AP6682" s="4">
        <v>11</v>
      </c>
      <c r="AQ6682" s="4">
        <v>42</v>
      </c>
      <c r="AR6682" s="3" t="s">
        <v>62</v>
      </c>
      <c r="AS6682" s="3" t="s">
        <v>62</v>
      </c>
      <c r="AT6682" s="3" t="s">
        <v>62</v>
      </c>
      <c r="AV6682" s="6" t="str">
        <f>HYPERLINK("http://mcgill.on.worldcat.org/oclc/85690302","Catalog Record")</f>
        <v>Catalog Record</v>
      </c>
      <c r="AW6682" s="6" t="str">
        <f>HYPERLINK("http://www.worldcat.org/oclc/85690302","WorldCat Record")</f>
        <v>WorldCat Record</v>
      </c>
      <c r="AX6682" s="3" t="s">
        <v>64319</v>
      </c>
      <c r="AY6682" s="3" t="s">
        <v>64320</v>
      </c>
      <c r="AZ6682" s="3" t="s">
        <v>64321</v>
      </c>
      <c r="BA6682" s="3" t="s">
        <v>64321</v>
      </c>
      <c r="BB6682" s="3" t="s">
        <v>64325</v>
      </c>
      <c r="BC6682" s="3" t="s">
        <v>142</v>
      </c>
      <c r="BD6682" s="3" t="s">
        <v>68</v>
      </c>
      <c r="BE6682" s="3" t="s">
        <v>64323</v>
      </c>
      <c r="BF6682" s="3" t="s">
        <v>64325</v>
      </c>
      <c r="BG6682" s="3" t="s">
        <v>64326</v>
      </c>
    </row>
    <row r="6683" spans="1:59" ht="57" x14ac:dyDescent="0.45">
      <c r="A6683" s="2" t="s">
        <v>59</v>
      </c>
      <c r="B6683" s="2" t="s">
        <v>60</v>
      </c>
      <c r="C6683" s="2" t="s">
        <v>64327</v>
      </c>
      <c r="D6683" s="2" t="s">
        <v>64328</v>
      </c>
      <c r="E6683" s="2" t="s">
        <v>64329</v>
      </c>
      <c r="G6683" s="3" t="s">
        <v>62</v>
      </c>
      <c r="I6683" s="3" t="s">
        <v>62</v>
      </c>
      <c r="J6683" s="3" t="s">
        <v>62</v>
      </c>
      <c r="K6683" s="3" t="s">
        <v>63</v>
      </c>
      <c r="M6683" s="2" t="s">
        <v>64330</v>
      </c>
      <c r="N6683" s="3" t="s">
        <v>1155</v>
      </c>
      <c r="P6683" s="3" t="s">
        <v>65</v>
      </c>
      <c r="R6683" s="3" t="s">
        <v>66</v>
      </c>
      <c r="S6683" s="4">
        <v>2</v>
      </c>
      <c r="T6683" s="4">
        <v>2</v>
      </c>
      <c r="U6683" s="5" t="s">
        <v>7379</v>
      </c>
      <c r="V6683" s="5" t="s">
        <v>7379</v>
      </c>
      <c r="W6683" s="5" t="s">
        <v>67</v>
      </c>
      <c r="X6683" s="5" t="s">
        <v>67</v>
      </c>
      <c r="Y6683" s="4">
        <v>99</v>
      </c>
      <c r="Z6683" s="4">
        <v>14</v>
      </c>
      <c r="AA6683" s="4">
        <v>14</v>
      </c>
      <c r="AB6683" s="4">
        <v>1</v>
      </c>
      <c r="AC6683" s="4">
        <v>1</v>
      </c>
      <c r="AD6683" s="4">
        <v>44</v>
      </c>
      <c r="AE6683" s="4">
        <v>44</v>
      </c>
      <c r="AF6683" s="4">
        <v>0</v>
      </c>
      <c r="AG6683" s="4">
        <v>0</v>
      </c>
      <c r="AH6683" s="4">
        <v>40</v>
      </c>
      <c r="AI6683" s="4">
        <v>40</v>
      </c>
      <c r="AJ6683" s="4">
        <v>8</v>
      </c>
      <c r="AK6683" s="4">
        <v>8</v>
      </c>
      <c r="AL6683" s="4">
        <v>23</v>
      </c>
      <c r="AM6683" s="4">
        <v>23</v>
      </c>
      <c r="AN6683" s="4">
        <v>0</v>
      </c>
      <c r="AO6683" s="4">
        <v>0</v>
      </c>
      <c r="AP6683" s="4">
        <v>10</v>
      </c>
      <c r="AQ6683" s="4">
        <v>10</v>
      </c>
      <c r="AR6683" s="3" t="s">
        <v>62</v>
      </c>
      <c r="AS6683" s="3" t="s">
        <v>62</v>
      </c>
      <c r="AT6683" s="3" t="s">
        <v>62</v>
      </c>
      <c r="AV6683" s="6" t="str">
        <f>HYPERLINK("http://mcgill.on.worldcat.org/oclc/779879833","Catalog Record")</f>
        <v>Catalog Record</v>
      </c>
      <c r="AW6683" s="6" t="str">
        <f>HYPERLINK("http://www.worldcat.org/oclc/779879833","WorldCat Record")</f>
        <v>WorldCat Record</v>
      </c>
      <c r="AX6683" s="3" t="s">
        <v>64331</v>
      </c>
      <c r="AY6683" s="3" t="s">
        <v>64332</v>
      </c>
      <c r="AZ6683" s="3" t="s">
        <v>64333</v>
      </c>
      <c r="BA6683" s="3" t="s">
        <v>64333</v>
      </c>
      <c r="BB6683" s="3" t="s">
        <v>64334</v>
      </c>
      <c r="BC6683" s="3" t="s">
        <v>142</v>
      </c>
      <c r="BD6683" s="3" t="s">
        <v>68</v>
      </c>
      <c r="BE6683" s="3" t="s">
        <v>64335</v>
      </c>
      <c r="BF6683" s="3" t="s">
        <v>64334</v>
      </c>
      <c r="BG6683" s="3" t="s">
        <v>64336</v>
      </c>
    </row>
    <row r="6684" spans="1:59" ht="57" x14ac:dyDescent="0.45">
      <c r="A6684" s="2" t="s">
        <v>59</v>
      </c>
      <c r="B6684" s="2" t="s">
        <v>60</v>
      </c>
      <c r="C6684" s="2" t="s">
        <v>64337</v>
      </c>
      <c r="D6684" s="2" t="s">
        <v>64338</v>
      </c>
      <c r="E6684" s="2" t="s">
        <v>64339</v>
      </c>
      <c r="G6684" s="3" t="s">
        <v>62</v>
      </c>
      <c r="I6684" s="3" t="s">
        <v>62</v>
      </c>
      <c r="J6684" s="3" t="s">
        <v>62</v>
      </c>
      <c r="K6684" s="3" t="s">
        <v>63</v>
      </c>
      <c r="M6684" s="2" t="s">
        <v>11350</v>
      </c>
      <c r="N6684" s="3" t="s">
        <v>970</v>
      </c>
      <c r="P6684" s="3" t="s">
        <v>65</v>
      </c>
      <c r="R6684" s="3" t="s">
        <v>66</v>
      </c>
      <c r="S6684" s="4">
        <v>12</v>
      </c>
      <c r="T6684" s="4">
        <v>12</v>
      </c>
      <c r="U6684" s="5" t="s">
        <v>3623</v>
      </c>
      <c r="V6684" s="5" t="s">
        <v>3623</v>
      </c>
      <c r="W6684" s="5" t="s">
        <v>67</v>
      </c>
      <c r="X6684" s="5" t="s">
        <v>67</v>
      </c>
      <c r="Y6684" s="4">
        <v>267</v>
      </c>
      <c r="Z6684" s="4">
        <v>15</v>
      </c>
      <c r="AA6684" s="4">
        <v>22</v>
      </c>
      <c r="AB6684" s="4">
        <v>1</v>
      </c>
      <c r="AC6684" s="4">
        <v>4</v>
      </c>
      <c r="AD6684" s="4">
        <v>94</v>
      </c>
      <c r="AE6684" s="4">
        <v>108</v>
      </c>
      <c r="AF6684" s="4">
        <v>0</v>
      </c>
      <c r="AG6684" s="4">
        <v>2</v>
      </c>
      <c r="AH6684" s="4">
        <v>87</v>
      </c>
      <c r="AI6684" s="4">
        <v>97</v>
      </c>
      <c r="AJ6684" s="4">
        <v>10</v>
      </c>
      <c r="AK6684" s="4">
        <v>14</v>
      </c>
      <c r="AL6684" s="4">
        <v>51</v>
      </c>
      <c r="AM6684" s="4">
        <v>54</v>
      </c>
      <c r="AN6684" s="4">
        <v>0</v>
      </c>
      <c r="AO6684" s="4">
        <v>0</v>
      </c>
      <c r="AP6684" s="4">
        <v>13</v>
      </c>
      <c r="AQ6684" s="4">
        <v>18</v>
      </c>
      <c r="AR6684" s="3" t="s">
        <v>62</v>
      </c>
      <c r="AS6684" s="3" t="s">
        <v>62</v>
      </c>
      <c r="AT6684" s="3" t="s">
        <v>62</v>
      </c>
      <c r="AV6684" s="6" t="str">
        <f>HYPERLINK("http://mcgill.on.worldcat.org/oclc/48532446","Catalog Record")</f>
        <v>Catalog Record</v>
      </c>
      <c r="AW6684" s="6" t="str">
        <f>HYPERLINK("http://www.worldcat.org/oclc/48532446","WorldCat Record")</f>
        <v>WorldCat Record</v>
      </c>
      <c r="AX6684" s="3" t="s">
        <v>64340</v>
      </c>
      <c r="AY6684" s="3" t="s">
        <v>64341</v>
      </c>
      <c r="AZ6684" s="3" t="s">
        <v>64342</v>
      </c>
      <c r="BA6684" s="3" t="s">
        <v>64342</v>
      </c>
      <c r="BB6684" s="3" t="s">
        <v>64343</v>
      </c>
      <c r="BC6684" s="3" t="s">
        <v>142</v>
      </c>
      <c r="BD6684" s="3" t="s">
        <v>68</v>
      </c>
      <c r="BE6684" s="3" t="s">
        <v>64344</v>
      </c>
      <c r="BF6684" s="3" t="s">
        <v>64343</v>
      </c>
      <c r="BG6684" s="3" t="s">
        <v>64345</v>
      </c>
    </row>
    <row r="6685" spans="1:59" ht="57" x14ac:dyDescent="0.45">
      <c r="A6685" s="2" t="s">
        <v>59</v>
      </c>
      <c r="B6685" s="2" t="s">
        <v>60</v>
      </c>
      <c r="C6685" s="2" t="s">
        <v>64346</v>
      </c>
      <c r="D6685" s="2" t="s">
        <v>64347</v>
      </c>
      <c r="E6685" s="2" t="s">
        <v>64348</v>
      </c>
      <c r="G6685" s="3" t="s">
        <v>62</v>
      </c>
      <c r="I6685" s="3" t="s">
        <v>62</v>
      </c>
      <c r="J6685" s="3" t="s">
        <v>62</v>
      </c>
      <c r="K6685" s="3" t="s">
        <v>63</v>
      </c>
      <c r="L6685" s="2" t="s">
        <v>64349</v>
      </c>
      <c r="M6685" s="2" t="s">
        <v>64350</v>
      </c>
      <c r="N6685" s="3" t="s">
        <v>167</v>
      </c>
      <c r="P6685" s="3" t="s">
        <v>65</v>
      </c>
      <c r="R6685" s="3" t="s">
        <v>66</v>
      </c>
      <c r="S6685" s="4">
        <v>8</v>
      </c>
      <c r="T6685" s="4">
        <v>8</v>
      </c>
      <c r="U6685" s="5" t="s">
        <v>64351</v>
      </c>
      <c r="V6685" s="5" t="s">
        <v>64351</v>
      </c>
      <c r="W6685" s="5" t="s">
        <v>67</v>
      </c>
      <c r="X6685" s="5" t="s">
        <v>67</v>
      </c>
      <c r="Y6685" s="4">
        <v>346</v>
      </c>
      <c r="Z6685" s="4">
        <v>20</v>
      </c>
      <c r="AA6685" s="4">
        <v>89</v>
      </c>
      <c r="AB6685" s="4">
        <v>2</v>
      </c>
      <c r="AC6685" s="4">
        <v>16</v>
      </c>
      <c r="AD6685" s="4">
        <v>108</v>
      </c>
      <c r="AE6685" s="4">
        <v>146</v>
      </c>
      <c r="AF6685" s="4">
        <v>1</v>
      </c>
      <c r="AG6685" s="4">
        <v>8</v>
      </c>
      <c r="AH6685" s="4">
        <v>97</v>
      </c>
      <c r="AI6685" s="4">
        <v>110</v>
      </c>
      <c r="AJ6685" s="4">
        <v>17</v>
      </c>
      <c r="AK6685" s="4">
        <v>26</v>
      </c>
      <c r="AL6685" s="4">
        <v>51</v>
      </c>
      <c r="AM6685" s="4">
        <v>56</v>
      </c>
      <c r="AN6685" s="4">
        <v>0</v>
      </c>
      <c r="AO6685" s="4">
        <v>0</v>
      </c>
      <c r="AP6685" s="4">
        <v>16</v>
      </c>
      <c r="AQ6685" s="4">
        <v>44</v>
      </c>
      <c r="AR6685" s="3" t="s">
        <v>62</v>
      </c>
      <c r="AS6685" s="3" t="s">
        <v>62</v>
      </c>
      <c r="AT6685" s="3" t="s">
        <v>62</v>
      </c>
      <c r="AV6685" s="6" t="str">
        <f>HYPERLINK("http://mcgill.on.worldcat.org/oclc/39539172","Catalog Record")</f>
        <v>Catalog Record</v>
      </c>
      <c r="AW6685" s="6" t="str">
        <f>HYPERLINK("http://www.worldcat.org/oclc/39539172","WorldCat Record")</f>
        <v>WorldCat Record</v>
      </c>
      <c r="AX6685" s="3" t="s">
        <v>64352</v>
      </c>
      <c r="AY6685" s="3" t="s">
        <v>64353</v>
      </c>
      <c r="AZ6685" s="3" t="s">
        <v>64354</v>
      </c>
      <c r="BA6685" s="3" t="s">
        <v>64354</v>
      </c>
      <c r="BB6685" s="3" t="s">
        <v>64355</v>
      </c>
      <c r="BC6685" s="3" t="s">
        <v>142</v>
      </c>
      <c r="BD6685" s="3" t="s">
        <v>68</v>
      </c>
      <c r="BE6685" s="3" t="s">
        <v>64356</v>
      </c>
      <c r="BF6685" s="3" t="s">
        <v>64355</v>
      </c>
      <c r="BG6685" s="3" t="s">
        <v>64357</v>
      </c>
    </row>
    <row r="6686" spans="1:59" ht="57" x14ac:dyDescent="0.45">
      <c r="A6686" s="2" t="s">
        <v>59</v>
      </c>
      <c r="B6686" s="2" t="s">
        <v>60</v>
      </c>
      <c r="C6686" s="2" t="s">
        <v>64358</v>
      </c>
      <c r="D6686" s="2" t="s">
        <v>64359</v>
      </c>
      <c r="E6686" s="2" t="s">
        <v>64360</v>
      </c>
      <c r="G6686" s="3" t="s">
        <v>62</v>
      </c>
      <c r="I6686" s="3" t="s">
        <v>62</v>
      </c>
      <c r="J6686" s="3" t="s">
        <v>62</v>
      </c>
      <c r="K6686" s="3" t="s">
        <v>63</v>
      </c>
      <c r="L6686" s="2" t="s">
        <v>64361</v>
      </c>
      <c r="M6686" s="2" t="s">
        <v>64362</v>
      </c>
      <c r="N6686" s="3" t="s">
        <v>1465</v>
      </c>
      <c r="O6686" s="2" t="s">
        <v>3255</v>
      </c>
      <c r="P6686" s="3" t="s">
        <v>65</v>
      </c>
      <c r="Q6686" s="2" t="s">
        <v>64363</v>
      </c>
      <c r="R6686" s="3" t="s">
        <v>66</v>
      </c>
      <c r="S6686" s="4">
        <v>1</v>
      </c>
      <c r="T6686" s="4">
        <v>1</v>
      </c>
      <c r="U6686" s="5" t="s">
        <v>17815</v>
      </c>
      <c r="V6686" s="5" t="s">
        <v>17815</v>
      </c>
      <c r="W6686" s="5" t="s">
        <v>67</v>
      </c>
      <c r="X6686" s="5" t="s">
        <v>67</v>
      </c>
      <c r="Y6686" s="4">
        <v>31</v>
      </c>
      <c r="Z6686" s="4">
        <v>1</v>
      </c>
      <c r="AA6686" s="4">
        <v>1</v>
      </c>
      <c r="AB6686" s="4">
        <v>1</v>
      </c>
      <c r="AC6686" s="4">
        <v>1</v>
      </c>
      <c r="AD6686" s="4">
        <v>15</v>
      </c>
      <c r="AE6686" s="4">
        <v>15</v>
      </c>
      <c r="AF6686" s="4">
        <v>0</v>
      </c>
      <c r="AG6686" s="4">
        <v>0</v>
      </c>
      <c r="AH6686" s="4">
        <v>14</v>
      </c>
      <c r="AI6686" s="4">
        <v>14</v>
      </c>
      <c r="AJ6686" s="4">
        <v>0</v>
      </c>
      <c r="AK6686" s="4">
        <v>0</v>
      </c>
      <c r="AL6686" s="4">
        <v>13</v>
      </c>
      <c r="AM6686" s="4">
        <v>13</v>
      </c>
      <c r="AN6686" s="4">
        <v>0</v>
      </c>
      <c r="AO6686" s="4">
        <v>0</v>
      </c>
      <c r="AP6686" s="4">
        <v>0</v>
      </c>
      <c r="AQ6686" s="4">
        <v>0</v>
      </c>
      <c r="AR6686" s="3" t="s">
        <v>62</v>
      </c>
      <c r="AS6686" s="3" t="s">
        <v>62</v>
      </c>
      <c r="AT6686" s="3" t="s">
        <v>62</v>
      </c>
      <c r="AV6686" s="6" t="str">
        <f>HYPERLINK("http://mcgill.on.worldcat.org/oclc/449202030","Catalog Record")</f>
        <v>Catalog Record</v>
      </c>
      <c r="AW6686" s="6" t="str">
        <f>HYPERLINK("http://www.worldcat.org/oclc/449202030","WorldCat Record")</f>
        <v>WorldCat Record</v>
      </c>
      <c r="AX6686" s="3" t="s">
        <v>64364</v>
      </c>
      <c r="AY6686" s="3" t="s">
        <v>64365</v>
      </c>
      <c r="AZ6686" s="3" t="s">
        <v>64366</v>
      </c>
      <c r="BA6686" s="3" t="s">
        <v>64366</v>
      </c>
      <c r="BB6686" s="3" t="s">
        <v>64367</v>
      </c>
      <c r="BC6686" s="3" t="s">
        <v>142</v>
      </c>
      <c r="BD6686" s="3" t="s">
        <v>68</v>
      </c>
      <c r="BE6686" s="3" t="s">
        <v>64368</v>
      </c>
      <c r="BF6686" s="3" t="s">
        <v>64367</v>
      </c>
      <c r="BG6686" s="3" t="s">
        <v>64369</v>
      </c>
    </row>
    <row r="6687" spans="1:59" ht="57" x14ac:dyDescent="0.45">
      <c r="A6687" s="2" t="s">
        <v>59</v>
      </c>
      <c r="B6687" s="2" t="s">
        <v>60</v>
      </c>
      <c r="C6687" s="2" t="s">
        <v>64370</v>
      </c>
      <c r="D6687" s="2" t="s">
        <v>64371</v>
      </c>
      <c r="E6687" s="2" t="s">
        <v>64372</v>
      </c>
      <c r="G6687" s="3" t="s">
        <v>62</v>
      </c>
      <c r="I6687" s="3" t="s">
        <v>62</v>
      </c>
      <c r="J6687" s="3" t="s">
        <v>62</v>
      </c>
      <c r="K6687" s="3" t="s">
        <v>63</v>
      </c>
      <c r="L6687" s="2" t="s">
        <v>64373</v>
      </c>
      <c r="M6687" s="2" t="s">
        <v>1713</v>
      </c>
      <c r="N6687" s="3" t="s">
        <v>1155</v>
      </c>
      <c r="P6687" s="3" t="s">
        <v>65</v>
      </c>
      <c r="R6687" s="3" t="s">
        <v>66</v>
      </c>
      <c r="S6687" s="4">
        <v>1</v>
      </c>
      <c r="T6687" s="4">
        <v>1</v>
      </c>
      <c r="U6687" s="5" t="s">
        <v>64374</v>
      </c>
      <c r="V6687" s="5" t="s">
        <v>64374</v>
      </c>
      <c r="W6687" s="5" t="s">
        <v>67</v>
      </c>
      <c r="X6687" s="5" t="s">
        <v>67</v>
      </c>
      <c r="Y6687" s="4">
        <v>113</v>
      </c>
      <c r="Z6687" s="4">
        <v>17</v>
      </c>
      <c r="AA6687" s="4">
        <v>105</v>
      </c>
      <c r="AB6687" s="4">
        <v>1</v>
      </c>
      <c r="AC6687" s="4">
        <v>14</v>
      </c>
      <c r="AD6687" s="4">
        <v>62</v>
      </c>
      <c r="AE6687" s="4">
        <v>127</v>
      </c>
      <c r="AF6687" s="4">
        <v>0</v>
      </c>
      <c r="AG6687" s="4">
        <v>8</v>
      </c>
      <c r="AH6687" s="4">
        <v>56</v>
      </c>
      <c r="AI6687" s="4">
        <v>88</v>
      </c>
      <c r="AJ6687" s="4">
        <v>13</v>
      </c>
      <c r="AK6687" s="4">
        <v>26</v>
      </c>
      <c r="AL6687" s="4">
        <v>36</v>
      </c>
      <c r="AM6687" s="4">
        <v>47</v>
      </c>
      <c r="AN6687" s="4">
        <v>0</v>
      </c>
      <c r="AO6687" s="4">
        <v>0</v>
      </c>
      <c r="AP6687" s="4">
        <v>14</v>
      </c>
      <c r="AQ6687" s="4">
        <v>47</v>
      </c>
      <c r="AR6687" s="3" t="s">
        <v>62</v>
      </c>
      <c r="AS6687" s="3" t="s">
        <v>62</v>
      </c>
      <c r="AT6687" s="3" t="s">
        <v>62</v>
      </c>
      <c r="AV6687" s="6" t="str">
        <f>HYPERLINK("http://mcgill.on.worldcat.org/oclc/741548914","Catalog Record")</f>
        <v>Catalog Record</v>
      </c>
      <c r="AW6687" s="6" t="str">
        <f>HYPERLINK("http://www.worldcat.org/oclc/741548914","WorldCat Record")</f>
        <v>WorldCat Record</v>
      </c>
      <c r="AX6687" s="3" t="s">
        <v>64375</v>
      </c>
      <c r="AY6687" s="3" t="s">
        <v>64376</v>
      </c>
      <c r="AZ6687" s="3" t="s">
        <v>64377</v>
      </c>
      <c r="BA6687" s="3" t="s">
        <v>64377</v>
      </c>
      <c r="BB6687" s="3" t="s">
        <v>64378</v>
      </c>
      <c r="BC6687" s="3" t="s">
        <v>142</v>
      </c>
      <c r="BD6687" s="3" t="s">
        <v>68</v>
      </c>
      <c r="BE6687" s="3" t="s">
        <v>64379</v>
      </c>
      <c r="BF6687" s="3" t="s">
        <v>64378</v>
      </c>
      <c r="BG6687" s="3" t="s">
        <v>64380</v>
      </c>
    </row>
    <row r="6688" spans="1:59" ht="57" x14ac:dyDescent="0.45">
      <c r="A6688" s="2" t="s">
        <v>59</v>
      </c>
      <c r="B6688" s="2" t="s">
        <v>60</v>
      </c>
      <c r="C6688" s="2" t="s">
        <v>64381</v>
      </c>
      <c r="D6688" s="2" t="s">
        <v>64382</v>
      </c>
      <c r="E6688" s="2" t="s">
        <v>64383</v>
      </c>
      <c r="G6688" s="3" t="s">
        <v>62</v>
      </c>
      <c r="I6688" s="3" t="s">
        <v>62</v>
      </c>
      <c r="J6688" s="3" t="s">
        <v>62</v>
      </c>
      <c r="K6688" s="3" t="s">
        <v>63</v>
      </c>
      <c r="M6688" s="2" t="s">
        <v>64384</v>
      </c>
      <c r="N6688" s="3" t="s">
        <v>1604</v>
      </c>
      <c r="P6688" s="3" t="s">
        <v>65</v>
      </c>
      <c r="R6688" s="3" t="s">
        <v>66</v>
      </c>
      <c r="S6688" s="4">
        <v>7</v>
      </c>
      <c r="T6688" s="4">
        <v>7</v>
      </c>
      <c r="U6688" s="5" t="s">
        <v>5386</v>
      </c>
      <c r="V6688" s="5" t="s">
        <v>5386</v>
      </c>
      <c r="W6688" s="5" t="s">
        <v>67</v>
      </c>
      <c r="X6688" s="5" t="s">
        <v>67</v>
      </c>
      <c r="Y6688" s="4">
        <v>87</v>
      </c>
      <c r="Z6688" s="4">
        <v>12</v>
      </c>
      <c r="AA6688" s="4">
        <v>13</v>
      </c>
      <c r="AB6688" s="4">
        <v>1</v>
      </c>
      <c r="AC6688" s="4">
        <v>2</v>
      </c>
      <c r="AD6688" s="4">
        <v>49</v>
      </c>
      <c r="AE6688" s="4">
        <v>50</v>
      </c>
      <c r="AF6688" s="4">
        <v>0</v>
      </c>
      <c r="AG6688" s="4">
        <v>1</v>
      </c>
      <c r="AH6688" s="4">
        <v>42</v>
      </c>
      <c r="AI6688" s="4">
        <v>42</v>
      </c>
      <c r="AJ6688" s="4">
        <v>10</v>
      </c>
      <c r="AK6688" s="4">
        <v>11</v>
      </c>
      <c r="AL6688" s="4">
        <v>31</v>
      </c>
      <c r="AM6688" s="4">
        <v>31</v>
      </c>
      <c r="AN6688" s="4">
        <v>0</v>
      </c>
      <c r="AO6688" s="4">
        <v>0</v>
      </c>
      <c r="AP6688" s="4">
        <v>10</v>
      </c>
      <c r="AQ6688" s="4">
        <v>10</v>
      </c>
      <c r="AR6688" s="3" t="s">
        <v>62</v>
      </c>
      <c r="AS6688" s="3" t="s">
        <v>62</v>
      </c>
      <c r="AT6688" s="3" t="s">
        <v>61</v>
      </c>
      <c r="AU6688" s="6" t="str">
        <f>HYPERLINK("http://catalog.hathitrust.org/Record/007130094","HathiTrust Record")</f>
        <v>HathiTrust Record</v>
      </c>
      <c r="AV6688" s="6" t="str">
        <f>HYPERLINK("http://mcgill.on.worldcat.org/oclc/31805880","Catalog Record")</f>
        <v>Catalog Record</v>
      </c>
      <c r="AW6688" s="6" t="str">
        <f>HYPERLINK("http://www.worldcat.org/oclc/31805880","WorldCat Record")</f>
        <v>WorldCat Record</v>
      </c>
      <c r="AX6688" s="3" t="s">
        <v>64385</v>
      </c>
      <c r="AY6688" s="3" t="s">
        <v>64386</v>
      </c>
      <c r="AZ6688" s="3" t="s">
        <v>64387</v>
      </c>
      <c r="BA6688" s="3" t="s">
        <v>64387</v>
      </c>
      <c r="BB6688" s="3" t="s">
        <v>64388</v>
      </c>
      <c r="BC6688" s="3" t="s">
        <v>142</v>
      </c>
      <c r="BD6688" s="3" t="s">
        <v>68</v>
      </c>
      <c r="BE6688" s="3" t="s">
        <v>64389</v>
      </c>
      <c r="BF6688" s="3" t="s">
        <v>64388</v>
      </c>
      <c r="BG6688" s="3" t="s">
        <v>64390</v>
      </c>
    </row>
    <row r="6689" spans="1:59" ht="57" x14ac:dyDescent="0.45">
      <c r="A6689" s="2" t="s">
        <v>59</v>
      </c>
      <c r="B6689" s="2" t="s">
        <v>60</v>
      </c>
      <c r="C6689" s="2" t="s">
        <v>64391</v>
      </c>
      <c r="D6689" s="2" t="s">
        <v>64392</v>
      </c>
      <c r="E6689" s="2" t="s">
        <v>64393</v>
      </c>
      <c r="G6689" s="3" t="s">
        <v>62</v>
      </c>
      <c r="I6689" s="3" t="s">
        <v>62</v>
      </c>
      <c r="J6689" s="3" t="s">
        <v>62</v>
      </c>
      <c r="K6689" s="3" t="s">
        <v>63</v>
      </c>
      <c r="L6689" s="2" t="s">
        <v>52162</v>
      </c>
      <c r="M6689" s="2" t="s">
        <v>64394</v>
      </c>
      <c r="N6689" s="3" t="s">
        <v>1437</v>
      </c>
      <c r="P6689" s="3" t="s">
        <v>65</v>
      </c>
      <c r="R6689" s="3" t="s">
        <v>66</v>
      </c>
      <c r="S6689" s="4">
        <v>4</v>
      </c>
      <c r="T6689" s="4">
        <v>4</v>
      </c>
      <c r="U6689" s="5" t="s">
        <v>32674</v>
      </c>
      <c r="V6689" s="5" t="s">
        <v>32674</v>
      </c>
      <c r="W6689" s="5" t="s">
        <v>67</v>
      </c>
      <c r="X6689" s="5" t="s">
        <v>67</v>
      </c>
      <c r="Y6689" s="4">
        <v>202</v>
      </c>
      <c r="Z6689" s="4">
        <v>20</v>
      </c>
      <c r="AA6689" s="4">
        <v>109</v>
      </c>
      <c r="AB6689" s="4">
        <v>2</v>
      </c>
      <c r="AC6689" s="4">
        <v>21</v>
      </c>
      <c r="AD6689" s="4">
        <v>79</v>
      </c>
      <c r="AE6689" s="4">
        <v>144</v>
      </c>
      <c r="AF6689" s="4">
        <v>1</v>
      </c>
      <c r="AG6689" s="4">
        <v>9</v>
      </c>
      <c r="AH6689" s="4">
        <v>70</v>
      </c>
      <c r="AI6689" s="4">
        <v>96</v>
      </c>
      <c r="AJ6689" s="4">
        <v>15</v>
      </c>
      <c r="AK6689" s="4">
        <v>27</v>
      </c>
      <c r="AL6689" s="4">
        <v>44</v>
      </c>
      <c r="AM6689" s="4">
        <v>55</v>
      </c>
      <c r="AN6689" s="4">
        <v>0</v>
      </c>
      <c r="AO6689" s="4">
        <v>0</v>
      </c>
      <c r="AP6689" s="4">
        <v>16</v>
      </c>
      <c r="AQ6689" s="4">
        <v>56</v>
      </c>
      <c r="AR6689" s="3" t="s">
        <v>62</v>
      </c>
      <c r="AS6689" s="3" t="s">
        <v>62</v>
      </c>
      <c r="AT6689" s="3" t="s">
        <v>62</v>
      </c>
      <c r="AV6689" s="6" t="str">
        <f>HYPERLINK("http://mcgill.on.worldcat.org/oclc/37890388","Catalog Record")</f>
        <v>Catalog Record</v>
      </c>
      <c r="AW6689" s="6" t="str">
        <f>HYPERLINK("http://www.worldcat.org/oclc/37890388","WorldCat Record")</f>
        <v>WorldCat Record</v>
      </c>
      <c r="AX6689" s="3" t="s">
        <v>64395</v>
      </c>
      <c r="AY6689" s="3" t="s">
        <v>64396</v>
      </c>
      <c r="AZ6689" s="3" t="s">
        <v>64397</v>
      </c>
      <c r="BA6689" s="3" t="s">
        <v>64397</v>
      </c>
      <c r="BB6689" s="3" t="s">
        <v>64398</v>
      </c>
      <c r="BC6689" s="3" t="s">
        <v>142</v>
      </c>
      <c r="BD6689" s="3" t="s">
        <v>68</v>
      </c>
      <c r="BE6689" s="3" t="s">
        <v>64399</v>
      </c>
      <c r="BF6689" s="3" t="s">
        <v>64398</v>
      </c>
      <c r="BG6689" s="3" t="s">
        <v>64400</v>
      </c>
    </row>
    <row r="6690" spans="1:59" ht="57" x14ac:dyDescent="0.45">
      <c r="A6690" s="2" t="s">
        <v>59</v>
      </c>
      <c r="B6690" s="2" t="s">
        <v>60</v>
      </c>
      <c r="C6690" s="2" t="s">
        <v>64401</v>
      </c>
      <c r="D6690" s="2" t="s">
        <v>64402</v>
      </c>
      <c r="E6690" s="2" t="s">
        <v>64403</v>
      </c>
      <c r="G6690" s="3" t="s">
        <v>62</v>
      </c>
      <c r="I6690" s="3" t="s">
        <v>62</v>
      </c>
      <c r="J6690" s="3" t="s">
        <v>62</v>
      </c>
      <c r="K6690" s="3" t="s">
        <v>63</v>
      </c>
      <c r="M6690" s="2" t="s">
        <v>2964</v>
      </c>
      <c r="N6690" s="3" t="s">
        <v>1059</v>
      </c>
      <c r="P6690" s="3" t="s">
        <v>65</v>
      </c>
      <c r="Q6690" s="2" t="s">
        <v>64404</v>
      </c>
      <c r="R6690" s="3" t="s">
        <v>66</v>
      </c>
      <c r="S6690" s="4">
        <v>5</v>
      </c>
      <c r="T6690" s="4">
        <v>5</v>
      </c>
      <c r="U6690" s="5" t="s">
        <v>9543</v>
      </c>
      <c r="V6690" s="5" t="s">
        <v>9543</v>
      </c>
      <c r="W6690" s="5" t="s">
        <v>67</v>
      </c>
      <c r="X6690" s="5" t="s">
        <v>67</v>
      </c>
      <c r="Y6690" s="4">
        <v>68</v>
      </c>
      <c r="Z6690" s="4">
        <v>12</v>
      </c>
      <c r="AA6690" s="4">
        <v>102</v>
      </c>
      <c r="AB6690" s="4">
        <v>1</v>
      </c>
      <c r="AC6690" s="4">
        <v>17</v>
      </c>
      <c r="AD6690" s="4">
        <v>32</v>
      </c>
      <c r="AE6690" s="4">
        <v>109</v>
      </c>
      <c r="AF6690" s="4">
        <v>0</v>
      </c>
      <c r="AG6690" s="4">
        <v>8</v>
      </c>
      <c r="AH6690" s="4">
        <v>29</v>
      </c>
      <c r="AI6690" s="4">
        <v>73</v>
      </c>
      <c r="AJ6690" s="4">
        <v>8</v>
      </c>
      <c r="AK6690" s="4">
        <v>22</v>
      </c>
      <c r="AL6690" s="4">
        <v>21</v>
      </c>
      <c r="AM6690" s="4">
        <v>40</v>
      </c>
      <c r="AN6690" s="4">
        <v>0</v>
      </c>
      <c r="AO6690" s="4">
        <v>0</v>
      </c>
      <c r="AP6690" s="4">
        <v>9</v>
      </c>
      <c r="AQ6690" s="4">
        <v>43</v>
      </c>
      <c r="AR6690" s="3" t="s">
        <v>62</v>
      </c>
      <c r="AS6690" s="3" t="s">
        <v>62</v>
      </c>
      <c r="AT6690" s="3" t="s">
        <v>62</v>
      </c>
      <c r="AV6690" s="6" t="str">
        <f>HYPERLINK("http://mcgill.on.worldcat.org/oclc/76786858","Catalog Record")</f>
        <v>Catalog Record</v>
      </c>
      <c r="AW6690" s="6" t="str">
        <f>HYPERLINK("http://www.worldcat.org/oclc/76786858","WorldCat Record")</f>
        <v>WorldCat Record</v>
      </c>
      <c r="AX6690" s="3" t="s">
        <v>64405</v>
      </c>
      <c r="AY6690" s="3" t="s">
        <v>64406</v>
      </c>
      <c r="AZ6690" s="3" t="s">
        <v>64407</v>
      </c>
      <c r="BA6690" s="3" t="s">
        <v>64407</v>
      </c>
      <c r="BB6690" s="3" t="s">
        <v>64408</v>
      </c>
      <c r="BC6690" s="3" t="s">
        <v>142</v>
      </c>
      <c r="BD6690" s="3" t="s">
        <v>68</v>
      </c>
      <c r="BE6690" s="3" t="s">
        <v>64409</v>
      </c>
      <c r="BF6690" s="3" t="s">
        <v>64408</v>
      </c>
      <c r="BG6690" s="3" t="s">
        <v>64410</v>
      </c>
    </row>
    <row r="6691" spans="1:59" ht="57" x14ac:dyDescent="0.45">
      <c r="A6691" s="2" t="s">
        <v>59</v>
      </c>
      <c r="B6691" s="2" t="s">
        <v>60</v>
      </c>
      <c r="C6691" s="2" t="s">
        <v>64411</v>
      </c>
      <c r="D6691" s="2" t="s">
        <v>64412</v>
      </c>
      <c r="E6691" s="2" t="s">
        <v>64413</v>
      </c>
      <c r="G6691" s="3" t="s">
        <v>62</v>
      </c>
      <c r="I6691" s="3" t="s">
        <v>62</v>
      </c>
      <c r="J6691" s="3" t="s">
        <v>62</v>
      </c>
      <c r="K6691" s="3" t="s">
        <v>63</v>
      </c>
      <c r="M6691" s="2" t="s">
        <v>4758</v>
      </c>
      <c r="N6691" s="3" t="s">
        <v>945</v>
      </c>
      <c r="P6691" s="3" t="s">
        <v>65</v>
      </c>
      <c r="R6691" s="3" t="s">
        <v>66</v>
      </c>
      <c r="S6691" s="4">
        <v>2</v>
      </c>
      <c r="T6691" s="4">
        <v>2</v>
      </c>
      <c r="U6691" s="5" t="s">
        <v>32674</v>
      </c>
      <c r="V6691" s="5" t="s">
        <v>32674</v>
      </c>
      <c r="W6691" s="5" t="s">
        <v>67</v>
      </c>
      <c r="X6691" s="5" t="s">
        <v>67</v>
      </c>
      <c r="Y6691" s="4">
        <v>130</v>
      </c>
      <c r="Z6691" s="4">
        <v>13</v>
      </c>
      <c r="AA6691" s="4">
        <v>92</v>
      </c>
      <c r="AB6691" s="4">
        <v>1</v>
      </c>
      <c r="AC6691" s="4">
        <v>17</v>
      </c>
      <c r="AD6691" s="4">
        <v>50</v>
      </c>
      <c r="AE6691" s="4">
        <v>107</v>
      </c>
      <c r="AF6691" s="4">
        <v>0</v>
      </c>
      <c r="AG6691" s="4">
        <v>8</v>
      </c>
      <c r="AH6691" s="4">
        <v>48</v>
      </c>
      <c r="AI6691" s="4">
        <v>74</v>
      </c>
      <c r="AJ6691" s="4">
        <v>11</v>
      </c>
      <c r="AK6691" s="4">
        <v>23</v>
      </c>
      <c r="AL6691" s="4">
        <v>27</v>
      </c>
      <c r="AM6691" s="4">
        <v>39</v>
      </c>
      <c r="AN6691" s="4">
        <v>0</v>
      </c>
      <c r="AO6691" s="4">
        <v>0</v>
      </c>
      <c r="AP6691" s="4">
        <v>11</v>
      </c>
      <c r="AQ6691" s="4">
        <v>44</v>
      </c>
      <c r="AR6691" s="3" t="s">
        <v>62</v>
      </c>
      <c r="AS6691" s="3" t="s">
        <v>62</v>
      </c>
      <c r="AT6691" s="3" t="s">
        <v>61</v>
      </c>
      <c r="AU6691" s="6" t="str">
        <f>HYPERLINK("http://catalog.hathitrust.org/Record/005672444","HathiTrust Record")</f>
        <v>HathiTrust Record</v>
      </c>
      <c r="AV6691" s="6" t="str">
        <f>HYPERLINK("http://mcgill.on.worldcat.org/oclc/122309094","Catalog Record")</f>
        <v>Catalog Record</v>
      </c>
      <c r="AW6691" s="6" t="str">
        <f>HYPERLINK("http://www.worldcat.org/oclc/122309094","WorldCat Record")</f>
        <v>WorldCat Record</v>
      </c>
      <c r="AX6691" s="3" t="s">
        <v>64414</v>
      </c>
      <c r="AY6691" s="3" t="s">
        <v>64415</v>
      </c>
      <c r="AZ6691" s="3" t="s">
        <v>64416</v>
      </c>
      <c r="BA6691" s="3" t="s">
        <v>64416</v>
      </c>
      <c r="BB6691" s="3" t="s">
        <v>64417</v>
      </c>
      <c r="BC6691" s="3" t="s">
        <v>142</v>
      </c>
      <c r="BD6691" s="3" t="s">
        <v>68</v>
      </c>
      <c r="BE6691" s="3" t="s">
        <v>64418</v>
      </c>
      <c r="BF6691" s="3" t="s">
        <v>64417</v>
      </c>
      <c r="BG6691" s="3" t="s">
        <v>64419</v>
      </c>
    </row>
    <row r="6692" spans="1:59" ht="57" x14ac:dyDescent="0.45">
      <c r="A6692" s="2" t="s">
        <v>59</v>
      </c>
      <c r="B6692" s="2" t="s">
        <v>60</v>
      </c>
      <c r="C6692" s="2" t="s">
        <v>64420</v>
      </c>
      <c r="D6692" s="2" t="s">
        <v>64421</v>
      </c>
      <c r="E6692" s="2" t="s">
        <v>64422</v>
      </c>
      <c r="G6692" s="3" t="s">
        <v>62</v>
      </c>
      <c r="I6692" s="3" t="s">
        <v>62</v>
      </c>
      <c r="J6692" s="3" t="s">
        <v>62</v>
      </c>
      <c r="K6692" s="3" t="s">
        <v>63</v>
      </c>
      <c r="L6692" s="2" t="s">
        <v>54111</v>
      </c>
      <c r="M6692" s="2" t="s">
        <v>2940</v>
      </c>
      <c r="N6692" s="3" t="s">
        <v>1855</v>
      </c>
      <c r="P6692" s="3" t="s">
        <v>65</v>
      </c>
      <c r="R6692" s="3" t="s">
        <v>66</v>
      </c>
      <c r="S6692" s="4">
        <v>9</v>
      </c>
      <c r="T6692" s="4">
        <v>9</v>
      </c>
      <c r="U6692" s="5" t="s">
        <v>3623</v>
      </c>
      <c r="V6692" s="5" t="s">
        <v>3623</v>
      </c>
      <c r="W6692" s="5" t="s">
        <v>67</v>
      </c>
      <c r="X6692" s="5" t="s">
        <v>67</v>
      </c>
      <c r="Y6692" s="4">
        <v>372</v>
      </c>
      <c r="Z6692" s="4">
        <v>26</v>
      </c>
      <c r="AA6692" s="4">
        <v>65</v>
      </c>
      <c r="AB6692" s="4">
        <v>1</v>
      </c>
      <c r="AC6692" s="4">
        <v>8</v>
      </c>
      <c r="AD6692" s="4">
        <v>102</v>
      </c>
      <c r="AE6692" s="4">
        <v>130</v>
      </c>
      <c r="AF6692" s="4">
        <v>0</v>
      </c>
      <c r="AG6692" s="4">
        <v>3</v>
      </c>
      <c r="AH6692" s="4">
        <v>94</v>
      </c>
      <c r="AI6692" s="4">
        <v>107</v>
      </c>
      <c r="AJ6692" s="4">
        <v>15</v>
      </c>
      <c r="AK6692" s="4">
        <v>20</v>
      </c>
      <c r="AL6692" s="4">
        <v>48</v>
      </c>
      <c r="AM6692" s="4">
        <v>54</v>
      </c>
      <c r="AN6692" s="4">
        <v>0</v>
      </c>
      <c r="AO6692" s="4">
        <v>0</v>
      </c>
      <c r="AP6692" s="4">
        <v>18</v>
      </c>
      <c r="AQ6692" s="4">
        <v>33</v>
      </c>
      <c r="AR6692" s="3" t="s">
        <v>62</v>
      </c>
      <c r="AS6692" s="3" t="s">
        <v>62</v>
      </c>
      <c r="AT6692" s="3" t="s">
        <v>61</v>
      </c>
      <c r="AU6692" s="6" t="str">
        <f>HYPERLINK("http://catalog.hathitrust.org/Record/005058904","HathiTrust Record")</f>
        <v>HathiTrust Record</v>
      </c>
      <c r="AV6692" s="6" t="str">
        <f>HYPERLINK("http://mcgill.on.worldcat.org/oclc/58535985","Catalog Record")</f>
        <v>Catalog Record</v>
      </c>
      <c r="AW6692" s="6" t="str">
        <f>HYPERLINK("http://www.worldcat.org/oclc/58535985","WorldCat Record")</f>
        <v>WorldCat Record</v>
      </c>
      <c r="AX6692" s="3" t="s">
        <v>64423</v>
      </c>
      <c r="AY6692" s="3" t="s">
        <v>64424</v>
      </c>
      <c r="AZ6692" s="3" t="s">
        <v>64425</v>
      </c>
      <c r="BA6692" s="3" t="s">
        <v>64425</v>
      </c>
      <c r="BB6692" s="3" t="s">
        <v>64426</v>
      </c>
      <c r="BC6692" s="3" t="s">
        <v>142</v>
      </c>
      <c r="BD6692" s="3" t="s">
        <v>68</v>
      </c>
      <c r="BE6692" s="3" t="s">
        <v>64427</v>
      </c>
      <c r="BF6692" s="3" t="s">
        <v>64426</v>
      </c>
      <c r="BG6692" s="3" t="s">
        <v>64428</v>
      </c>
    </row>
    <row r="6693" spans="1:59" ht="57" x14ac:dyDescent="0.45">
      <c r="A6693" s="2" t="s">
        <v>59</v>
      </c>
      <c r="B6693" s="2" t="s">
        <v>60</v>
      </c>
      <c r="C6693" s="2" t="s">
        <v>64429</v>
      </c>
      <c r="D6693" s="2" t="s">
        <v>64430</v>
      </c>
      <c r="E6693" s="2" t="s">
        <v>64431</v>
      </c>
      <c r="G6693" s="3" t="s">
        <v>62</v>
      </c>
      <c r="I6693" s="3" t="s">
        <v>62</v>
      </c>
      <c r="J6693" s="3" t="s">
        <v>62</v>
      </c>
      <c r="K6693" s="3" t="s">
        <v>63</v>
      </c>
      <c r="L6693" s="2" t="s">
        <v>5009</v>
      </c>
      <c r="M6693" s="2" t="s">
        <v>64432</v>
      </c>
      <c r="N6693" s="3" t="s">
        <v>116</v>
      </c>
      <c r="P6693" s="3" t="s">
        <v>65</v>
      </c>
      <c r="R6693" s="3" t="s">
        <v>66</v>
      </c>
      <c r="S6693" s="4">
        <v>1</v>
      </c>
      <c r="T6693" s="4">
        <v>1</v>
      </c>
      <c r="U6693" s="5" t="s">
        <v>27153</v>
      </c>
      <c r="V6693" s="5" t="s">
        <v>27153</v>
      </c>
      <c r="W6693" s="5" t="s">
        <v>67</v>
      </c>
      <c r="X6693" s="5" t="s">
        <v>67</v>
      </c>
      <c r="Y6693" s="4">
        <v>196</v>
      </c>
      <c r="Z6693" s="4">
        <v>20</v>
      </c>
      <c r="AA6693" s="4">
        <v>20</v>
      </c>
      <c r="AB6693" s="4">
        <v>1</v>
      </c>
      <c r="AC6693" s="4">
        <v>1</v>
      </c>
      <c r="AD6693" s="4">
        <v>77</v>
      </c>
      <c r="AE6693" s="4">
        <v>77</v>
      </c>
      <c r="AF6693" s="4">
        <v>0</v>
      </c>
      <c r="AG6693" s="4">
        <v>0</v>
      </c>
      <c r="AH6693" s="4">
        <v>68</v>
      </c>
      <c r="AI6693" s="4">
        <v>68</v>
      </c>
      <c r="AJ6693" s="4">
        <v>13</v>
      </c>
      <c r="AK6693" s="4">
        <v>13</v>
      </c>
      <c r="AL6693" s="4">
        <v>40</v>
      </c>
      <c r="AM6693" s="4">
        <v>40</v>
      </c>
      <c r="AN6693" s="4">
        <v>0</v>
      </c>
      <c r="AO6693" s="4">
        <v>0</v>
      </c>
      <c r="AP6693" s="4">
        <v>15</v>
      </c>
      <c r="AQ6693" s="4">
        <v>15</v>
      </c>
      <c r="AR6693" s="3" t="s">
        <v>62</v>
      </c>
      <c r="AS6693" s="3" t="s">
        <v>62</v>
      </c>
      <c r="AT6693" s="3" t="s">
        <v>62</v>
      </c>
      <c r="AV6693" s="6" t="str">
        <f>HYPERLINK("http://mcgill.on.worldcat.org/oclc/825399347","Catalog Record")</f>
        <v>Catalog Record</v>
      </c>
      <c r="AW6693" s="6" t="str">
        <f>HYPERLINK("http://www.worldcat.org/oclc/825399347","WorldCat Record")</f>
        <v>WorldCat Record</v>
      </c>
      <c r="AX6693" s="3" t="s">
        <v>64433</v>
      </c>
      <c r="AY6693" s="3" t="s">
        <v>64434</v>
      </c>
      <c r="AZ6693" s="3" t="s">
        <v>64435</v>
      </c>
      <c r="BA6693" s="3" t="s">
        <v>64435</v>
      </c>
      <c r="BB6693" s="3" t="s">
        <v>64436</v>
      </c>
      <c r="BC6693" s="3" t="s">
        <v>142</v>
      </c>
      <c r="BD6693" s="3" t="s">
        <v>68</v>
      </c>
      <c r="BE6693" s="3" t="s">
        <v>64437</v>
      </c>
      <c r="BF6693" s="3" t="s">
        <v>64436</v>
      </c>
      <c r="BG6693" s="3" t="s">
        <v>64438</v>
      </c>
    </row>
    <row r="6694" spans="1:59" ht="57" x14ac:dyDescent="0.45">
      <c r="A6694" s="2" t="s">
        <v>59</v>
      </c>
      <c r="B6694" s="2" t="s">
        <v>60</v>
      </c>
      <c r="C6694" s="2" t="s">
        <v>64439</v>
      </c>
      <c r="D6694" s="2" t="s">
        <v>64440</v>
      </c>
      <c r="E6694" s="2" t="s">
        <v>64441</v>
      </c>
      <c r="G6694" s="3" t="s">
        <v>62</v>
      </c>
      <c r="I6694" s="3" t="s">
        <v>62</v>
      </c>
      <c r="J6694" s="3" t="s">
        <v>62</v>
      </c>
      <c r="K6694" s="3" t="s">
        <v>63</v>
      </c>
      <c r="L6694" s="2" t="s">
        <v>64442</v>
      </c>
      <c r="M6694" s="2" t="s">
        <v>64443</v>
      </c>
      <c r="N6694" s="3" t="s">
        <v>149</v>
      </c>
      <c r="P6694" s="3" t="s">
        <v>65</v>
      </c>
      <c r="R6694" s="3" t="s">
        <v>66</v>
      </c>
      <c r="S6694" s="4">
        <v>3</v>
      </c>
      <c r="T6694" s="4">
        <v>3</v>
      </c>
      <c r="U6694" s="5" t="s">
        <v>55514</v>
      </c>
      <c r="V6694" s="5" t="s">
        <v>55514</v>
      </c>
      <c r="W6694" s="5" t="s">
        <v>67</v>
      </c>
      <c r="X6694" s="5" t="s">
        <v>67</v>
      </c>
      <c r="Y6694" s="4">
        <v>331</v>
      </c>
      <c r="Z6694" s="4">
        <v>21</v>
      </c>
      <c r="AA6694" s="4">
        <v>90</v>
      </c>
      <c r="AB6694" s="4">
        <v>2</v>
      </c>
      <c r="AC6694" s="4">
        <v>14</v>
      </c>
      <c r="AD6694" s="4">
        <v>86</v>
      </c>
      <c r="AE6694" s="4">
        <v>136</v>
      </c>
      <c r="AF6694" s="4">
        <v>1</v>
      </c>
      <c r="AG6694" s="4">
        <v>8</v>
      </c>
      <c r="AH6694" s="4">
        <v>78</v>
      </c>
      <c r="AI6694" s="4">
        <v>99</v>
      </c>
      <c r="AJ6694" s="4">
        <v>13</v>
      </c>
      <c r="AK6694" s="4">
        <v>24</v>
      </c>
      <c r="AL6694" s="4">
        <v>42</v>
      </c>
      <c r="AM6694" s="4">
        <v>51</v>
      </c>
      <c r="AN6694" s="4">
        <v>0</v>
      </c>
      <c r="AO6694" s="4">
        <v>0</v>
      </c>
      <c r="AP6694" s="4">
        <v>15</v>
      </c>
      <c r="AQ6694" s="4">
        <v>46</v>
      </c>
      <c r="AR6694" s="3" t="s">
        <v>62</v>
      </c>
      <c r="AS6694" s="3" t="s">
        <v>62</v>
      </c>
      <c r="AT6694" s="3" t="s">
        <v>61</v>
      </c>
      <c r="AU6694" s="6" t="str">
        <f>HYPERLINK("http://catalog.hathitrust.org/Record/008225526","HathiTrust Record")</f>
        <v>HathiTrust Record</v>
      </c>
      <c r="AV6694" s="6" t="str">
        <f>HYPERLINK("http://mcgill.on.worldcat.org/oclc/430736530","Catalog Record")</f>
        <v>Catalog Record</v>
      </c>
      <c r="AW6694" s="6" t="str">
        <f>HYPERLINK("http://www.worldcat.org/oclc/430736530","WorldCat Record")</f>
        <v>WorldCat Record</v>
      </c>
      <c r="AX6694" s="3" t="s">
        <v>64444</v>
      </c>
      <c r="AY6694" s="3" t="s">
        <v>64445</v>
      </c>
      <c r="AZ6694" s="3" t="s">
        <v>64446</v>
      </c>
      <c r="BA6694" s="3" t="s">
        <v>64446</v>
      </c>
      <c r="BB6694" s="3" t="s">
        <v>64447</v>
      </c>
      <c r="BC6694" s="3" t="s">
        <v>142</v>
      </c>
      <c r="BD6694" s="3" t="s">
        <v>68</v>
      </c>
      <c r="BE6694" s="3" t="s">
        <v>64448</v>
      </c>
      <c r="BF6694" s="3" t="s">
        <v>64447</v>
      </c>
      <c r="BG6694" s="3" t="s">
        <v>64449</v>
      </c>
    </row>
    <row r="6695" spans="1:59" ht="57" x14ac:dyDescent="0.45">
      <c r="A6695" s="2" t="s">
        <v>59</v>
      </c>
      <c r="B6695" s="2" t="s">
        <v>60</v>
      </c>
      <c r="C6695" s="2" t="s">
        <v>64450</v>
      </c>
      <c r="D6695" s="2" t="s">
        <v>64451</v>
      </c>
      <c r="E6695" s="2" t="s">
        <v>64452</v>
      </c>
      <c r="G6695" s="3" t="s">
        <v>62</v>
      </c>
      <c r="I6695" s="3" t="s">
        <v>62</v>
      </c>
      <c r="J6695" s="3" t="s">
        <v>62</v>
      </c>
      <c r="K6695" s="3" t="s">
        <v>63</v>
      </c>
      <c r="M6695" s="2" t="s">
        <v>64453</v>
      </c>
      <c r="N6695" s="3" t="s">
        <v>149</v>
      </c>
      <c r="P6695" s="3" t="s">
        <v>65</v>
      </c>
      <c r="Q6695" s="2" t="s">
        <v>7221</v>
      </c>
      <c r="R6695" s="3" t="s">
        <v>66</v>
      </c>
      <c r="S6695" s="4">
        <v>8</v>
      </c>
      <c r="T6695" s="4">
        <v>8</v>
      </c>
      <c r="U6695" s="5" t="s">
        <v>12655</v>
      </c>
      <c r="V6695" s="5" t="s">
        <v>12655</v>
      </c>
      <c r="W6695" s="5" t="s">
        <v>67</v>
      </c>
      <c r="X6695" s="5" t="s">
        <v>67</v>
      </c>
      <c r="Y6695" s="4">
        <v>224</v>
      </c>
      <c r="Z6695" s="4">
        <v>17</v>
      </c>
      <c r="AA6695" s="4">
        <v>83</v>
      </c>
      <c r="AB6695" s="4">
        <v>2</v>
      </c>
      <c r="AC6695" s="4">
        <v>15</v>
      </c>
      <c r="AD6695" s="4">
        <v>57</v>
      </c>
      <c r="AE6695" s="4">
        <v>116</v>
      </c>
      <c r="AF6695" s="4">
        <v>1</v>
      </c>
      <c r="AG6695" s="4">
        <v>8</v>
      </c>
      <c r="AH6695" s="4">
        <v>50</v>
      </c>
      <c r="AI6695" s="4">
        <v>83</v>
      </c>
      <c r="AJ6695" s="4">
        <v>11</v>
      </c>
      <c r="AK6695" s="4">
        <v>23</v>
      </c>
      <c r="AL6695" s="4">
        <v>28</v>
      </c>
      <c r="AM6695" s="4">
        <v>41</v>
      </c>
      <c r="AN6695" s="4">
        <v>0</v>
      </c>
      <c r="AO6695" s="4">
        <v>0</v>
      </c>
      <c r="AP6695" s="4">
        <v>12</v>
      </c>
      <c r="AQ6695" s="4">
        <v>42</v>
      </c>
      <c r="AR6695" s="3" t="s">
        <v>62</v>
      </c>
      <c r="AS6695" s="3" t="s">
        <v>62</v>
      </c>
      <c r="AT6695" s="3" t="s">
        <v>62</v>
      </c>
      <c r="AV6695" s="6" t="str">
        <f>HYPERLINK("http://mcgill.on.worldcat.org/oclc/419792784","Catalog Record")</f>
        <v>Catalog Record</v>
      </c>
      <c r="AW6695" s="6" t="str">
        <f>HYPERLINK("http://www.worldcat.org/oclc/419792784","WorldCat Record")</f>
        <v>WorldCat Record</v>
      </c>
      <c r="AX6695" s="3" t="s">
        <v>64454</v>
      </c>
      <c r="AY6695" s="3" t="s">
        <v>64455</v>
      </c>
      <c r="AZ6695" s="3" t="s">
        <v>64456</v>
      </c>
      <c r="BA6695" s="3" t="s">
        <v>64456</v>
      </c>
      <c r="BB6695" s="3" t="s">
        <v>64457</v>
      </c>
      <c r="BC6695" s="3" t="s">
        <v>142</v>
      </c>
      <c r="BD6695" s="3" t="s">
        <v>68</v>
      </c>
      <c r="BE6695" s="3" t="s">
        <v>64458</v>
      </c>
      <c r="BF6695" s="3" t="s">
        <v>64457</v>
      </c>
      <c r="BG6695" s="3" t="s">
        <v>64459</v>
      </c>
    </row>
    <row r="6696" spans="1:59" ht="57" x14ac:dyDescent="0.45">
      <c r="A6696" s="2" t="s">
        <v>59</v>
      </c>
      <c r="B6696" s="2" t="s">
        <v>60</v>
      </c>
      <c r="C6696" s="2" t="s">
        <v>64460</v>
      </c>
      <c r="D6696" s="2" t="s">
        <v>64461</v>
      </c>
      <c r="E6696" s="2" t="s">
        <v>64462</v>
      </c>
      <c r="G6696" s="3" t="s">
        <v>62</v>
      </c>
      <c r="I6696" s="3" t="s">
        <v>62</v>
      </c>
      <c r="J6696" s="3" t="s">
        <v>62</v>
      </c>
      <c r="K6696" s="3" t="s">
        <v>63</v>
      </c>
      <c r="L6696" s="2" t="s">
        <v>64463</v>
      </c>
      <c r="M6696" s="2" t="s">
        <v>3350</v>
      </c>
      <c r="N6696" s="3" t="s">
        <v>894</v>
      </c>
      <c r="P6696" s="3" t="s">
        <v>65</v>
      </c>
      <c r="R6696" s="3" t="s">
        <v>66</v>
      </c>
      <c r="S6696" s="4">
        <v>7</v>
      </c>
      <c r="T6696" s="4">
        <v>7</v>
      </c>
      <c r="U6696" s="5" t="s">
        <v>3623</v>
      </c>
      <c r="V6696" s="5" t="s">
        <v>3623</v>
      </c>
      <c r="W6696" s="5" t="s">
        <v>67</v>
      </c>
      <c r="X6696" s="5" t="s">
        <v>67</v>
      </c>
      <c r="Y6696" s="4">
        <v>157</v>
      </c>
      <c r="Z6696" s="4">
        <v>14</v>
      </c>
      <c r="AA6696" s="4">
        <v>18</v>
      </c>
      <c r="AB6696" s="4">
        <v>1</v>
      </c>
      <c r="AC6696" s="4">
        <v>3</v>
      </c>
      <c r="AD6696" s="4">
        <v>64</v>
      </c>
      <c r="AE6696" s="4">
        <v>72</v>
      </c>
      <c r="AF6696" s="4">
        <v>0</v>
      </c>
      <c r="AG6696" s="4">
        <v>0</v>
      </c>
      <c r="AH6696" s="4">
        <v>61</v>
      </c>
      <c r="AI6696" s="4">
        <v>67</v>
      </c>
      <c r="AJ6696" s="4">
        <v>11</v>
      </c>
      <c r="AK6696" s="4">
        <v>13</v>
      </c>
      <c r="AL6696" s="4">
        <v>33</v>
      </c>
      <c r="AM6696" s="4">
        <v>37</v>
      </c>
      <c r="AN6696" s="4">
        <v>0</v>
      </c>
      <c r="AO6696" s="4">
        <v>0</v>
      </c>
      <c r="AP6696" s="4">
        <v>11</v>
      </c>
      <c r="AQ6696" s="4">
        <v>13</v>
      </c>
      <c r="AR6696" s="3" t="s">
        <v>62</v>
      </c>
      <c r="AS6696" s="3" t="s">
        <v>62</v>
      </c>
      <c r="AT6696" s="3" t="s">
        <v>62</v>
      </c>
      <c r="AV6696" s="6" t="str">
        <f>HYPERLINK("http://mcgill.on.worldcat.org/oclc/670238266","Catalog Record")</f>
        <v>Catalog Record</v>
      </c>
      <c r="AW6696" s="6" t="str">
        <f>HYPERLINK("http://www.worldcat.org/oclc/670238266","WorldCat Record")</f>
        <v>WorldCat Record</v>
      </c>
      <c r="AX6696" s="3" t="s">
        <v>64464</v>
      </c>
      <c r="AY6696" s="3" t="s">
        <v>64465</v>
      </c>
      <c r="AZ6696" s="3" t="s">
        <v>64466</v>
      </c>
      <c r="BA6696" s="3" t="s">
        <v>64466</v>
      </c>
      <c r="BB6696" s="3" t="s">
        <v>64467</v>
      </c>
      <c r="BC6696" s="3" t="s">
        <v>142</v>
      </c>
      <c r="BD6696" s="3" t="s">
        <v>68</v>
      </c>
      <c r="BE6696" s="3" t="s">
        <v>64468</v>
      </c>
      <c r="BF6696" s="3" t="s">
        <v>64467</v>
      </c>
      <c r="BG6696" s="3" t="s">
        <v>64469</v>
      </c>
    </row>
    <row r="6697" spans="1:59" ht="57" x14ac:dyDescent="0.45">
      <c r="A6697" s="2" t="s">
        <v>59</v>
      </c>
      <c r="B6697" s="2" t="s">
        <v>60</v>
      </c>
      <c r="C6697" s="2" t="s">
        <v>64470</v>
      </c>
      <c r="D6697" s="2" t="s">
        <v>64471</v>
      </c>
      <c r="E6697" s="2" t="s">
        <v>64472</v>
      </c>
      <c r="G6697" s="3" t="s">
        <v>62</v>
      </c>
      <c r="I6697" s="3" t="s">
        <v>61</v>
      </c>
      <c r="J6697" s="3" t="s">
        <v>62</v>
      </c>
      <c r="K6697" s="3" t="s">
        <v>63</v>
      </c>
      <c r="L6697" s="2" t="s">
        <v>64473</v>
      </c>
      <c r="M6697" s="2" t="s">
        <v>64474</v>
      </c>
      <c r="N6697" s="3" t="s">
        <v>113</v>
      </c>
      <c r="P6697" s="3" t="s">
        <v>65</v>
      </c>
      <c r="Q6697" s="2" t="s">
        <v>683</v>
      </c>
      <c r="R6697" s="3" t="s">
        <v>66</v>
      </c>
      <c r="S6697" s="4">
        <v>4</v>
      </c>
      <c r="T6697" s="4">
        <v>8</v>
      </c>
      <c r="U6697" s="5" t="s">
        <v>64475</v>
      </c>
      <c r="V6697" s="5" t="s">
        <v>8148</v>
      </c>
      <c r="W6697" s="5" t="s">
        <v>67</v>
      </c>
      <c r="X6697" s="5" t="s">
        <v>67</v>
      </c>
      <c r="Y6697" s="4">
        <v>586</v>
      </c>
      <c r="Z6697" s="4">
        <v>28</v>
      </c>
      <c r="AA6697" s="4">
        <v>35</v>
      </c>
      <c r="AB6697" s="4">
        <v>2</v>
      </c>
      <c r="AC6697" s="4">
        <v>8</v>
      </c>
      <c r="AD6697" s="4">
        <v>120</v>
      </c>
      <c r="AE6697" s="4">
        <v>125</v>
      </c>
      <c r="AF6697" s="4">
        <v>1</v>
      </c>
      <c r="AG6697" s="4">
        <v>5</v>
      </c>
      <c r="AH6697" s="4">
        <v>105</v>
      </c>
      <c r="AI6697" s="4">
        <v>106</v>
      </c>
      <c r="AJ6697" s="4">
        <v>17</v>
      </c>
      <c r="AK6697" s="4">
        <v>21</v>
      </c>
      <c r="AL6697" s="4">
        <v>56</v>
      </c>
      <c r="AM6697" s="4">
        <v>56</v>
      </c>
      <c r="AN6697" s="4">
        <v>0</v>
      </c>
      <c r="AO6697" s="4">
        <v>0</v>
      </c>
      <c r="AP6697" s="4">
        <v>23</v>
      </c>
      <c r="AQ6697" s="4">
        <v>27</v>
      </c>
      <c r="AR6697" s="3" t="s">
        <v>62</v>
      </c>
      <c r="AS6697" s="3" t="s">
        <v>62</v>
      </c>
      <c r="AT6697" s="3" t="s">
        <v>61</v>
      </c>
      <c r="AU6697" s="6" t="str">
        <f>HYPERLINK("http://catalog.hathitrust.org/Record/001463008","HathiTrust Record")</f>
        <v>HathiTrust Record</v>
      </c>
      <c r="AV6697" s="6" t="str">
        <f>HYPERLINK("http://mcgill.on.worldcat.org/oclc/322662","Catalog Record")</f>
        <v>Catalog Record</v>
      </c>
      <c r="AW6697" s="6" t="str">
        <f>HYPERLINK("http://www.worldcat.org/oclc/322662","WorldCat Record")</f>
        <v>WorldCat Record</v>
      </c>
      <c r="AX6697" s="3" t="s">
        <v>64476</v>
      </c>
      <c r="AY6697" s="3" t="s">
        <v>64477</v>
      </c>
      <c r="AZ6697" s="3" t="s">
        <v>64478</v>
      </c>
      <c r="BA6697" s="3" t="s">
        <v>64478</v>
      </c>
      <c r="BB6697" s="3" t="s">
        <v>64479</v>
      </c>
      <c r="BC6697" s="3" t="s">
        <v>142</v>
      </c>
      <c r="BD6697" s="3" t="s">
        <v>68</v>
      </c>
      <c r="BF6697" s="3" t="s">
        <v>64479</v>
      </c>
      <c r="BG6697" s="3" t="s">
        <v>64480</v>
      </c>
    </row>
    <row r="6698" spans="1:59" ht="57" x14ac:dyDescent="0.45">
      <c r="A6698" s="2" t="s">
        <v>59</v>
      </c>
      <c r="B6698" s="2" t="s">
        <v>60</v>
      </c>
      <c r="C6698" s="2" t="s">
        <v>64470</v>
      </c>
      <c r="D6698" s="2" t="s">
        <v>64471</v>
      </c>
      <c r="E6698" s="2" t="s">
        <v>64472</v>
      </c>
      <c r="G6698" s="3" t="s">
        <v>62</v>
      </c>
      <c r="I6698" s="3" t="s">
        <v>61</v>
      </c>
      <c r="J6698" s="3" t="s">
        <v>62</v>
      </c>
      <c r="K6698" s="3" t="s">
        <v>63</v>
      </c>
      <c r="L6698" s="2" t="s">
        <v>64473</v>
      </c>
      <c r="M6698" s="2" t="s">
        <v>64474</v>
      </c>
      <c r="N6698" s="3" t="s">
        <v>113</v>
      </c>
      <c r="P6698" s="3" t="s">
        <v>65</v>
      </c>
      <c r="Q6698" s="2" t="s">
        <v>683</v>
      </c>
      <c r="R6698" s="3" t="s">
        <v>66</v>
      </c>
      <c r="S6698" s="4">
        <v>4</v>
      </c>
      <c r="T6698" s="4">
        <v>8</v>
      </c>
      <c r="U6698" s="5" t="s">
        <v>8148</v>
      </c>
      <c r="V6698" s="5" t="s">
        <v>8148</v>
      </c>
      <c r="W6698" s="5" t="s">
        <v>67</v>
      </c>
      <c r="X6698" s="5" t="s">
        <v>67</v>
      </c>
      <c r="Y6698" s="4">
        <v>586</v>
      </c>
      <c r="Z6698" s="4">
        <v>28</v>
      </c>
      <c r="AA6698" s="4">
        <v>35</v>
      </c>
      <c r="AB6698" s="4">
        <v>2</v>
      </c>
      <c r="AC6698" s="4">
        <v>8</v>
      </c>
      <c r="AD6698" s="4">
        <v>120</v>
      </c>
      <c r="AE6698" s="4">
        <v>125</v>
      </c>
      <c r="AF6698" s="4">
        <v>1</v>
      </c>
      <c r="AG6698" s="4">
        <v>5</v>
      </c>
      <c r="AH6698" s="4">
        <v>105</v>
      </c>
      <c r="AI6698" s="4">
        <v>106</v>
      </c>
      <c r="AJ6698" s="4">
        <v>17</v>
      </c>
      <c r="AK6698" s="4">
        <v>21</v>
      </c>
      <c r="AL6698" s="4">
        <v>56</v>
      </c>
      <c r="AM6698" s="4">
        <v>56</v>
      </c>
      <c r="AN6698" s="4">
        <v>0</v>
      </c>
      <c r="AO6698" s="4">
        <v>0</v>
      </c>
      <c r="AP6698" s="4">
        <v>23</v>
      </c>
      <c r="AQ6698" s="4">
        <v>27</v>
      </c>
      <c r="AR6698" s="3" t="s">
        <v>62</v>
      </c>
      <c r="AS6698" s="3" t="s">
        <v>62</v>
      </c>
      <c r="AT6698" s="3" t="s">
        <v>61</v>
      </c>
      <c r="AU6698" s="6" t="str">
        <f>HYPERLINK("http://catalog.hathitrust.org/Record/001463008","HathiTrust Record")</f>
        <v>HathiTrust Record</v>
      </c>
      <c r="AV6698" s="6" t="str">
        <f>HYPERLINK("http://mcgill.on.worldcat.org/oclc/322662","Catalog Record")</f>
        <v>Catalog Record</v>
      </c>
      <c r="AW6698" s="6" t="str">
        <f>HYPERLINK("http://www.worldcat.org/oclc/322662","WorldCat Record")</f>
        <v>WorldCat Record</v>
      </c>
      <c r="AX6698" s="3" t="s">
        <v>64476</v>
      </c>
      <c r="AY6698" s="3" t="s">
        <v>64477</v>
      </c>
      <c r="AZ6698" s="3" t="s">
        <v>64478</v>
      </c>
      <c r="BA6698" s="3" t="s">
        <v>64478</v>
      </c>
      <c r="BB6698" s="3" t="s">
        <v>64481</v>
      </c>
      <c r="BC6698" s="3" t="s">
        <v>142</v>
      </c>
      <c r="BD6698" s="3" t="s">
        <v>68</v>
      </c>
      <c r="BF6698" s="3" t="s">
        <v>64481</v>
      </c>
      <c r="BG6698" s="3" t="s">
        <v>64482</v>
      </c>
    </row>
    <row r="6699" spans="1:59" ht="57" x14ac:dyDescent="0.45">
      <c r="A6699" s="2" t="s">
        <v>59</v>
      </c>
      <c r="B6699" s="2" t="s">
        <v>60</v>
      </c>
      <c r="C6699" s="2" t="s">
        <v>64483</v>
      </c>
      <c r="D6699" s="2" t="s">
        <v>64484</v>
      </c>
      <c r="E6699" s="2" t="s">
        <v>64485</v>
      </c>
      <c r="F6699" s="3" t="s">
        <v>488</v>
      </c>
      <c r="G6699" s="3" t="s">
        <v>61</v>
      </c>
      <c r="I6699" s="3" t="s">
        <v>62</v>
      </c>
      <c r="J6699" s="3" t="s">
        <v>62</v>
      </c>
      <c r="K6699" s="3" t="s">
        <v>63</v>
      </c>
      <c r="M6699" s="2" t="s">
        <v>64486</v>
      </c>
      <c r="N6699" s="3" t="s">
        <v>1073</v>
      </c>
      <c r="P6699" s="3" t="s">
        <v>65</v>
      </c>
      <c r="R6699" s="3" t="s">
        <v>66</v>
      </c>
      <c r="S6699" s="4">
        <v>1</v>
      </c>
      <c r="T6699" s="4">
        <v>2</v>
      </c>
      <c r="U6699" s="5" t="s">
        <v>33479</v>
      </c>
      <c r="V6699" s="5" t="s">
        <v>33479</v>
      </c>
      <c r="W6699" s="5" t="s">
        <v>67</v>
      </c>
      <c r="X6699" s="5" t="s">
        <v>67</v>
      </c>
      <c r="Y6699" s="4">
        <v>63</v>
      </c>
      <c r="Z6699" s="4">
        <v>9</v>
      </c>
      <c r="AA6699" s="4">
        <v>9</v>
      </c>
      <c r="AB6699" s="4">
        <v>1</v>
      </c>
      <c r="AC6699" s="4">
        <v>1</v>
      </c>
      <c r="AD6699" s="4">
        <v>34</v>
      </c>
      <c r="AE6699" s="4">
        <v>34</v>
      </c>
      <c r="AF6699" s="4">
        <v>0</v>
      </c>
      <c r="AG6699" s="4">
        <v>0</v>
      </c>
      <c r="AH6699" s="4">
        <v>32</v>
      </c>
      <c r="AI6699" s="4">
        <v>32</v>
      </c>
      <c r="AJ6699" s="4">
        <v>7</v>
      </c>
      <c r="AK6699" s="4">
        <v>7</v>
      </c>
      <c r="AL6699" s="4">
        <v>22</v>
      </c>
      <c r="AM6699" s="4">
        <v>22</v>
      </c>
      <c r="AN6699" s="4">
        <v>0</v>
      </c>
      <c r="AO6699" s="4">
        <v>0</v>
      </c>
      <c r="AP6699" s="4">
        <v>7</v>
      </c>
      <c r="AQ6699" s="4">
        <v>7</v>
      </c>
      <c r="AR6699" s="3" t="s">
        <v>62</v>
      </c>
      <c r="AS6699" s="3" t="s">
        <v>62</v>
      </c>
      <c r="AT6699" s="3" t="s">
        <v>61</v>
      </c>
      <c r="AU6699" s="6" t="str">
        <f>HYPERLINK("http://catalog.hathitrust.org/Record/000172112","HathiTrust Record")</f>
        <v>HathiTrust Record</v>
      </c>
      <c r="AV6699" s="6" t="str">
        <f>HYPERLINK("http://mcgill.on.worldcat.org/oclc/2878237","Catalog Record")</f>
        <v>Catalog Record</v>
      </c>
      <c r="AW6699" s="6" t="str">
        <f>HYPERLINK("http://www.worldcat.org/oclc/2878237","WorldCat Record")</f>
        <v>WorldCat Record</v>
      </c>
      <c r="AX6699" s="3" t="s">
        <v>64487</v>
      </c>
      <c r="AY6699" s="3" t="s">
        <v>64488</v>
      </c>
      <c r="AZ6699" s="3" t="s">
        <v>64489</v>
      </c>
      <c r="BA6699" s="3" t="s">
        <v>64489</v>
      </c>
      <c r="BB6699" s="3" t="s">
        <v>64490</v>
      </c>
      <c r="BC6699" s="3" t="s">
        <v>142</v>
      </c>
      <c r="BD6699" s="3" t="s">
        <v>68</v>
      </c>
      <c r="BF6699" s="3" t="s">
        <v>64490</v>
      </c>
      <c r="BG6699" s="3" t="s">
        <v>64491</v>
      </c>
    </row>
    <row r="6700" spans="1:59" ht="57" x14ac:dyDescent="0.45">
      <c r="A6700" s="2" t="s">
        <v>59</v>
      </c>
      <c r="B6700" s="2" t="s">
        <v>60</v>
      </c>
      <c r="C6700" s="2" t="s">
        <v>64483</v>
      </c>
      <c r="D6700" s="2" t="s">
        <v>64484</v>
      </c>
      <c r="E6700" s="2" t="s">
        <v>64485</v>
      </c>
      <c r="F6700" s="3" t="s">
        <v>478</v>
      </c>
      <c r="G6700" s="3" t="s">
        <v>61</v>
      </c>
      <c r="I6700" s="3" t="s">
        <v>62</v>
      </c>
      <c r="J6700" s="3" t="s">
        <v>62</v>
      </c>
      <c r="K6700" s="3" t="s">
        <v>63</v>
      </c>
      <c r="M6700" s="2" t="s">
        <v>64486</v>
      </c>
      <c r="N6700" s="3" t="s">
        <v>1073</v>
      </c>
      <c r="P6700" s="3" t="s">
        <v>65</v>
      </c>
      <c r="R6700" s="3" t="s">
        <v>66</v>
      </c>
      <c r="S6700" s="4">
        <v>1</v>
      </c>
      <c r="T6700" s="4">
        <v>2</v>
      </c>
      <c r="U6700" s="5" t="s">
        <v>33479</v>
      </c>
      <c r="V6700" s="5" t="s">
        <v>33479</v>
      </c>
      <c r="W6700" s="5" t="s">
        <v>67</v>
      </c>
      <c r="X6700" s="5" t="s">
        <v>67</v>
      </c>
      <c r="Y6700" s="4">
        <v>63</v>
      </c>
      <c r="Z6700" s="4">
        <v>9</v>
      </c>
      <c r="AA6700" s="4">
        <v>9</v>
      </c>
      <c r="AB6700" s="4">
        <v>1</v>
      </c>
      <c r="AC6700" s="4">
        <v>1</v>
      </c>
      <c r="AD6700" s="4">
        <v>34</v>
      </c>
      <c r="AE6700" s="4">
        <v>34</v>
      </c>
      <c r="AF6700" s="4">
        <v>0</v>
      </c>
      <c r="AG6700" s="4">
        <v>0</v>
      </c>
      <c r="AH6700" s="4">
        <v>32</v>
      </c>
      <c r="AI6700" s="4">
        <v>32</v>
      </c>
      <c r="AJ6700" s="4">
        <v>7</v>
      </c>
      <c r="AK6700" s="4">
        <v>7</v>
      </c>
      <c r="AL6700" s="4">
        <v>22</v>
      </c>
      <c r="AM6700" s="4">
        <v>22</v>
      </c>
      <c r="AN6700" s="4">
        <v>0</v>
      </c>
      <c r="AO6700" s="4">
        <v>0</v>
      </c>
      <c r="AP6700" s="4">
        <v>7</v>
      </c>
      <c r="AQ6700" s="4">
        <v>7</v>
      </c>
      <c r="AR6700" s="3" t="s">
        <v>62</v>
      </c>
      <c r="AS6700" s="3" t="s">
        <v>62</v>
      </c>
      <c r="AT6700" s="3" t="s">
        <v>61</v>
      </c>
      <c r="AU6700" s="6" t="str">
        <f>HYPERLINK("http://catalog.hathitrust.org/Record/000172112","HathiTrust Record")</f>
        <v>HathiTrust Record</v>
      </c>
      <c r="AV6700" s="6" t="str">
        <f>HYPERLINK("http://mcgill.on.worldcat.org/oclc/2878237","Catalog Record")</f>
        <v>Catalog Record</v>
      </c>
      <c r="AW6700" s="6" t="str">
        <f>HYPERLINK("http://www.worldcat.org/oclc/2878237","WorldCat Record")</f>
        <v>WorldCat Record</v>
      </c>
      <c r="AX6700" s="3" t="s">
        <v>64487</v>
      </c>
      <c r="AY6700" s="3" t="s">
        <v>64488</v>
      </c>
      <c r="AZ6700" s="3" t="s">
        <v>64489</v>
      </c>
      <c r="BA6700" s="3" t="s">
        <v>64489</v>
      </c>
      <c r="BB6700" s="3" t="s">
        <v>64492</v>
      </c>
      <c r="BC6700" s="3" t="s">
        <v>142</v>
      </c>
      <c r="BD6700" s="3" t="s">
        <v>68</v>
      </c>
      <c r="BF6700" s="3" t="s">
        <v>64492</v>
      </c>
      <c r="BG6700" s="3" t="s">
        <v>64493</v>
      </c>
    </row>
    <row r="6701" spans="1:59" ht="57" x14ac:dyDescent="0.45">
      <c r="A6701" s="2" t="s">
        <v>59</v>
      </c>
      <c r="B6701" s="2" t="s">
        <v>60</v>
      </c>
      <c r="C6701" s="2" t="s">
        <v>64494</v>
      </c>
      <c r="D6701" s="2" t="s">
        <v>64495</v>
      </c>
      <c r="E6701" s="2" t="s">
        <v>64496</v>
      </c>
      <c r="G6701" s="3" t="s">
        <v>62</v>
      </c>
      <c r="I6701" s="3" t="s">
        <v>62</v>
      </c>
      <c r="J6701" s="3" t="s">
        <v>61</v>
      </c>
      <c r="K6701" s="3" t="s">
        <v>63</v>
      </c>
      <c r="L6701" s="2" t="s">
        <v>64497</v>
      </c>
      <c r="M6701" s="2" t="s">
        <v>64498</v>
      </c>
      <c r="N6701" s="3" t="s">
        <v>807</v>
      </c>
      <c r="P6701" s="3" t="s">
        <v>65</v>
      </c>
      <c r="R6701" s="3" t="s">
        <v>66</v>
      </c>
      <c r="S6701" s="4">
        <v>49</v>
      </c>
      <c r="T6701" s="4">
        <v>49</v>
      </c>
      <c r="U6701" s="5" t="s">
        <v>50504</v>
      </c>
      <c r="V6701" s="5" t="s">
        <v>50504</v>
      </c>
      <c r="W6701" s="5" t="s">
        <v>67</v>
      </c>
      <c r="X6701" s="5" t="s">
        <v>67</v>
      </c>
      <c r="Y6701" s="4">
        <v>301</v>
      </c>
      <c r="Z6701" s="4">
        <v>15</v>
      </c>
      <c r="AA6701" s="4">
        <v>59</v>
      </c>
      <c r="AB6701" s="4">
        <v>3</v>
      </c>
      <c r="AC6701" s="4">
        <v>7</v>
      </c>
      <c r="AD6701" s="4">
        <v>29</v>
      </c>
      <c r="AE6701" s="4">
        <v>140</v>
      </c>
      <c r="AF6701" s="4">
        <v>1</v>
      </c>
      <c r="AG6701" s="4">
        <v>5</v>
      </c>
      <c r="AH6701" s="4">
        <v>23</v>
      </c>
      <c r="AI6701" s="4">
        <v>111</v>
      </c>
      <c r="AJ6701" s="4">
        <v>6</v>
      </c>
      <c r="AK6701" s="4">
        <v>21</v>
      </c>
      <c r="AL6701" s="4">
        <v>13</v>
      </c>
      <c r="AM6701" s="4">
        <v>58</v>
      </c>
      <c r="AN6701" s="4">
        <v>0</v>
      </c>
      <c r="AO6701" s="4">
        <v>0</v>
      </c>
      <c r="AP6701" s="4">
        <v>9</v>
      </c>
      <c r="AQ6701" s="4">
        <v>37</v>
      </c>
      <c r="AR6701" s="3" t="s">
        <v>62</v>
      </c>
      <c r="AS6701" s="3" t="s">
        <v>62</v>
      </c>
      <c r="AT6701" s="3" t="s">
        <v>62</v>
      </c>
      <c r="AV6701" s="6" t="str">
        <f>HYPERLINK("http://mcgill.on.worldcat.org/oclc/24710469","Catalog Record")</f>
        <v>Catalog Record</v>
      </c>
      <c r="AW6701" s="6" t="str">
        <f>HYPERLINK("http://www.worldcat.org/oclc/24710469","WorldCat Record")</f>
        <v>WorldCat Record</v>
      </c>
      <c r="AX6701" s="3" t="s">
        <v>64499</v>
      </c>
      <c r="AY6701" s="3" t="s">
        <v>64500</v>
      </c>
      <c r="AZ6701" s="3" t="s">
        <v>64501</v>
      </c>
      <c r="BA6701" s="3" t="s">
        <v>64501</v>
      </c>
      <c r="BB6701" s="3" t="s">
        <v>64502</v>
      </c>
      <c r="BC6701" s="3" t="s">
        <v>142</v>
      </c>
      <c r="BD6701" s="3" t="s">
        <v>68</v>
      </c>
      <c r="BE6701" s="3" t="s">
        <v>64503</v>
      </c>
      <c r="BF6701" s="3" t="s">
        <v>64502</v>
      </c>
      <c r="BG6701" s="3" t="s">
        <v>64504</v>
      </c>
    </row>
    <row r="6702" spans="1:59" ht="57" x14ac:dyDescent="0.45">
      <c r="A6702" s="2" t="s">
        <v>59</v>
      </c>
      <c r="B6702" s="2" t="s">
        <v>60</v>
      </c>
      <c r="C6702" s="2" t="s">
        <v>64505</v>
      </c>
      <c r="D6702" s="2" t="s">
        <v>64506</v>
      </c>
      <c r="E6702" s="2" t="s">
        <v>64507</v>
      </c>
      <c r="G6702" s="3" t="s">
        <v>62</v>
      </c>
      <c r="I6702" s="3" t="s">
        <v>62</v>
      </c>
      <c r="J6702" s="3" t="s">
        <v>62</v>
      </c>
      <c r="K6702" s="3" t="s">
        <v>63</v>
      </c>
      <c r="M6702" s="2" t="s">
        <v>64508</v>
      </c>
      <c r="N6702" s="3" t="s">
        <v>568</v>
      </c>
      <c r="P6702" s="3" t="s">
        <v>65</v>
      </c>
      <c r="R6702" s="3" t="s">
        <v>66</v>
      </c>
      <c r="S6702" s="4">
        <v>38</v>
      </c>
      <c r="T6702" s="4">
        <v>38</v>
      </c>
      <c r="U6702" s="5" t="s">
        <v>33271</v>
      </c>
      <c r="V6702" s="5" t="s">
        <v>33271</v>
      </c>
      <c r="W6702" s="5" t="s">
        <v>67</v>
      </c>
      <c r="X6702" s="5" t="s">
        <v>67</v>
      </c>
      <c r="Y6702" s="4">
        <v>171</v>
      </c>
      <c r="Z6702" s="4">
        <v>21</v>
      </c>
      <c r="AA6702" s="4">
        <v>21</v>
      </c>
      <c r="AB6702" s="4">
        <v>2</v>
      </c>
      <c r="AC6702" s="4">
        <v>2</v>
      </c>
      <c r="AD6702" s="4">
        <v>84</v>
      </c>
      <c r="AE6702" s="4">
        <v>84</v>
      </c>
      <c r="AF6702" s="4">
        <v>1</v>
      </c>
      <c r="AG6702" s="4">
        <v>1</v>
      </c>
      <c r="AH6702" s="4">
        <v>75</v>
      </c>
      <c r="AI6702" s="4">
        <v>75</v>
      </c>
      <c r="AJ6702" s="4">
        <v>14</v>
      </c>
      <c r="AK6702" s="4">
        <v>14</v>
      </c>
      <c r="AL6702" s="4">
        <v>48</v>
      </c>
      <c r="AM6702" s="4">
        <v>48</v>
      </c>
      <c r="AN6702" s="4">
        <v>0</v>
      </c>
      <c r="AO6702" s="4">
        <v>0</v>
      </c>
      <c r="AP6702" s="4">
        <v>17</v>
      </c>
      <c r="AQ6702" s="4">
        <v>17</v>
      </c>
      <c r="AR6702" s="3" t="s">
        <v>62</v>
      </c>
      <c r="AS6702" s="3" t="s">
        <v>62</v>
      </c>
      <c r="AT6702" s="3" t="s">
        <v>61</v>
      </c>
      <c r="AU6702" s="6" t="str">
        <f>HYPERLINK("http://catalog.hathitrust.org/Record/001081264","HathiTrust Record")</f>
        <v>HathiTrust Record</v>
      </c>
      <c r="AV6702" s="6" t="str">
        <f>HYPERLINK("http://mcgill.on.worldcat.org/oclc/15109308","Catalog Record")</f>
        <v>Catalog Record</v>
      </c>
      <c r="AW6702" s="6" t="str">
        <f>HYPERLINK("http://www.worldcat.org/oclc/15109308","WorldCat Record")</f>
        <v>WorldCat Record</v>
      </c>
      <c r="AX6702" s="3" t="s">
        <v>64509</v>
      </c>
      <c r="AY6702" s="3" t="s">
        <v>64510</v>
      </c>
      <c r="AZ6702" s="3" t="s">
        <v>64511</v>
      </c>
      <c r="BA6702" s="3" t="s">
        <v>64511</v>
      </c>
      <c r="BB6702" s="3" t="s">
        <v>64512</v>
      </c>
      <c r="BC6702" s="3" t="s">
        <v>142</v>
      </c>
      <c r="BD6702" s="3" t="s">
        <v>68</v>
      </c>
      <c r="BE6702" s="3" t="s">
        <v>64513</v>
      </c>
      <c r="BF6702" s="3" t="s">
        <v>64512</v>
      </c>
      <c r="BG6702" s="3" t="s">
        <v>64514</v>
      </c>
    </row>
    <row r="6703" spans="1:59" ht="57" x14ac:dyDescent="0.45">
      <c r="A6703" s="2" t="s">
        <v>59</v>
      </c>
      <c r="B6703" s="2" t="s">
        <v>60</v>
      </c>
      <c r="C6703" s="2" t="s">
        <v>64515</v>
      </c>
      <c r="D6703" s="2" t="s">
        <v>64516</v>
      </c>
      <c r="E6703" s="2" t="s">
        <v>64517</v>
      </c>
      <c r="G6703" s="3" t="s">
        <v>62</v>
      </c>
      <c r="I6703" s="3" t="s">
        <v>61</v>
      </c>
      <c r="J6703" s="3" t="s">
        <v>62</v>
      </c>
      <c r="K6703" s="3" t="s">
        <v>63</v>
      </c>
      <c r="L6703" s="2" t="s">
        <v>64518</v>
      </c>
      <c r="M6703" s="2" t="s">
        <v>64519</v>
      </c>
      <c r="N6703" s="3" t="s">
        <v>2417</v>
      </c>
      <c r="P6703" s="3" t="s">
        <v>65</v>
      </c>
      <c r="R6703" s="3" t="s">
        <v>66</v>
      </c>
      <c r="S6703" s="4">
        <v>68</v>
      </c>
      <c r="T6703" s="4">
        <v>68</v>
      </c>
      <c r="U6703" s="5" t="s">
        <v>12331</v>
      </c>
      <c r="V6703" s="5" t="s">
        <v>12331</v>
      </c>
      <c r="W6703" s="5" t="s">
        <v>67</v>
      </c>
      <c r="X6703" s="5" t="s">
        <v>67</v>
      </c>
      <c r="Y6703" s="4">
        <v>646</v>
      </c>
      <c r="Z6703" s="4">
        <v>39</v>
      </c>
      <c r="AA6703" s="4">
        <v>64</v>
      </c>
      <c r="AB6703" s="4">
        <v>5</v>
      </c>
      <c r="AC6703" s="4">
        <v>9</v>
      </c>
      <c r="AD6703" s="4">
        <v>101</v>
      </c>
      <c r="AE6703" s="4">
        <v>145</v>
      </c>
      <c r="AF6703" s="4">
        <v>1</v>
      </c>
      <c r="AG6703" s="4">
        <v>4</v>
      </c>
      <c r="AH6703" s="4">
        <v>80</v>
      </c>
      <c r="AI6703" s="4">
        <v>112</v>
      </c>
      <c r="AJ6703" s="4">
        <v>11</v>
      </c>
      <c r="AK6703" s="4">
        <v>23</v>
      </c>
      <c r="AL6703" s="4">
        <v>39</v>
      </c>
      <c r="AM6703" s="4">
        <v>58</v>
      </c>
      <c r="AN6703" s="4">
        <v>0</v>
      </c>
      <c r="AO6703" s="4">
        <v>5</v>
      </c>
      <c r="AP6703" s="4">
        <v>27</v>
      </c>
      <c r="AQ6703" s="4">
        <v>42</v>
      </c>
      <c r="AR6703" s="3" t="s">
        <v>62</v>
      </c>
      <c r="AS6703" s="3" t="s">
        <v>62</v>
      </c>
      <c r="AT6703" s="3" t="s">
        <v>62</v>
      </c>
      <c r="AV6703" s="6" t="str">
        <f>HYPERLINK("http://mcgill.on.worldcat.org/oclc/16873875","Catalog Record")</f>
        <v>Catalog Record</v>
      </c>
      <c r="AW6703" s="6" t="str">
        <f>HYPERLINK("http://www.worldcat.org/oclc/16873875","WorldCat Record")</f>
        <v>WorldCat Record</v>
      </c>
      <c r="AX6703" s="3" t="s">
        <v>64520</v>
      </c>
      <c r="AY6703" s="3" t="s">
        <v>64521</v>
      </c>
      <c r="AZ6703" s="3" t="s">
        <v>64522</v>
      </c>
      <c r="BA6703" s="3" t="s">
        <v>64522</v>
      </c>
      <c r="BB6703" s="3" t="s">
        <v>64523</v>
      </c>
      <c r="BC6703" s="3" t="s">
        <v>142</v>
      </c>
      <c r="BD6703" s="3" t="s">
        <v>68</v>
      </c>
      <c r="BE6703" s="3" t="s">
        <v>64524</v>
      </c>
      <c r="BF6703" s="3" t="s">
        <v>64523</v>
      </c>
      <c r="BG6703" s="3" t="s">
        <v>64525</v>
      </c>
    </row>
    <row r="6704" spans="1:59" ht="57" x14ac:dyDescent="0.45">
      <c r="A6704" s="2" t="s">
        <v>59</v>
      </c>
      <c r="B6704" s="2" t="s">
        <v>60</v>
      </c>
      <c r="C6704" s="2" t="s">
        <v>64526</v>
      </c>
      <c r="D6704" s="2" t="s">
        <v>64527</v>
      </c>
      <c r="E6704" s="2" t="s">
        <v>64528</v>
      </c>
      <c r="G6704" s="3" t="s">
        <v>62</v>
      </c>
      <c r="I6704" s="3" t="s">
        <v>62</v>
      </c>
      <c r="J6704" s="3" t="s">
        <v>62</v>
      </c>
      <c r="K6704" s="3" t="s">
        <v>63</v>
      </c>
      <c r="L6704" s="2" t="s">
        <v>64529</v>
      </c>
      <c r="M6704" s="2" t="s">
        <v>64530</v>
      </c>
      <c r="N6704" s="3" t="s">
        <v>945</v>
      </c>
      <c r="P6704" s="3" t="s">
        <v>65</v>
      </c>
      <c r="Q6704" s="2" t="s">
        <v>29735</v>
      </c>
      <c r="R6704" s="3" t="s">
        <v>66</v>
      </c>
      <c r="S6704" s="4">
        <v>11</v>
      </c>
      <c r="T6704" s="4">
        <v>11</v>
      </c>
      <c r="U6704" s="5" t="s">
        <v>4094</v>
      </c>
      <c r="V6704" s="5" t="s">
        <v>4094</v>
      </c>
      <c r="W6704" s="5" t="s">
        <v>67</v>
      </c>
      <c r="X6704" s="5" t="s">
        <v>67</v>
      </c>
      <c r="Y6704" s="4">
        <v>184</v>
      </c>
      <c r="Z6704" s="4">
        <v>20</v>
      </c>
      <c r="AA6704" s="4">
        <v>82</v>
      </c>
      <c r="AB6704" s="4">
        <v>1</v>
      </c>
      <c r="AC6704" s="4">
        <v>14</v>
      </c>
      <c r="AD6704" s="4">
        <v>59</v>
      </c>
      <c r="AE6704" s="4">
        <v>118</v>
      </c>
      <c r="AF6704" s="4">
        <v>0</v>
      </c>
      <c r="AG6704" s="4">
        <v>8</v>
      </c>
      <c r="AH6704" s="4">
        <v>51</v>
      </c>
      <c r="AI6704" s="4">
        <v>83</v>
      </c>
      <c r="AJ6704" s="4">
        <v>11</v>
      </c>
      <c r="AK6704" s="4">
        <v>23</v>
      </c>
      <c r="AL6704" s="4">
        <v>28</v>
      </c>
      <c r="AM6704" s="4">
        <v>43</v>
      </c>
      <c r="AN6704" s="4">
        <v>0</v>
      </c>
      <c r="AO6704" s="4">
        <v>0</v>
      </c>
      <c r="AP6704" s="4">
        <v>15</v>
      </c>
      <c r="AQ6704" s="4">
        <v>43</v>
      </c>
      <c r="AR6704" s="3" t="s">
        <v>62</v>
      </c>
      <c r="AS6704" s="3" t="s">
        <v>62</v>
      </c>
      <c r="AT6704" s="3" t="s">
        <v>62</v>
      </c>
      <c r="AV6704" s="6" t="str">
        <f>HYPERLINK("http://mcgill.on.worldcat.org/oclc/123113761","Catalog Record")</f>
        <v>Catalog Record</v>
      </c>
      <c r="AW6704" s="6" t="str">
        <f>HYPERLINK("http://www.worldcat.org/oclc/123113761","WorldCat Record")</f>
        <v>WorldCat Record</v>
      </c>
      <c r="AX6704" s="3" t="s">
        <v>64531</v>
      </c>
      <c r="AY6704" s="3" t="s">
        <v>64532</v>
      </c>
      <c r="AZ6704" s="3" t="s">
        <v>64533</v>
      </c>
      <c r="BA6704" s="3" t="s">
        <v>64533</v>
      </c>
      <c r="BB6704" s="3" t="s">
        <v>64534</v>
      </c>
      <c r="BC6704" s="3" t="s">
        <v>142</v>
      </c>
      <c r="BD6704" s="3" t="s">
        <v>68</v>
      </c>
      <c r="BE6704" s="3" t="s">
        <v>64535</v>
      </c>
      <c r="BF6704" s="3" t="s">
        <v>64534</v>
      </c>
      <c r="BG6704" s="3" t="s">
        <v>64536</v>
      </c>
    </row>
    <row r="6705" spans="1:59" ht="57" x14ac:dyDescent="0.45">
      <c r="A6705" s="2" t="s">
        <v>59</v>
      </c>
      <c r="B6705" s="2" t="s">
        <v>60</v>
      </c>
      <c r="C6705" s="2" t="s">
        <v>64537</v>
      </c>
      <c r="D6705" s="2" t="s">
        <v>64538</v>
      </c>
      <c r="E6705" s="2" t="s">
        <v>64539</v>
      </c>
      <c r="G6705" s="3" t="s">
        <v>62</v>
      </c>
      <c r="I6705" s="3" t="s">
        <v>61</v>
      </c>
      <c r="J6705" s="3" t="s">
        <v>62</v>
      </c>
      <c r="K6705" s="3" t="s">
        <v>63</v>
      </c>
      <c r="L6705" s="2" t="s">
        <v>64540</v>
      </c>
      <c r="M6705" s="2" t="s">
        <v>64541</v>
      </c>
      <c r="N6705" s="3" t="s">
        <v>1097</v>
      </c>
      <c r="P6705" s="3" t="s">
        <v>65</v>
      </c>
      <c r="Q6705" s="2" t="s">
        <v>64542</v>
      </c>
      <c r="R6705" s="3" t="s">
        <v>66</v>
      </c>
      <c r="S6705" s="4">
        <v>7</v>
      </c>
      <c r="T6705" s="4">
        <v>12</v>
      </c>
      <c r="U6705" s="5" t="s">
        <v>2930</v>
      </c>
      <c r="V6705" s="5" t="s">
        <v>21004</v>
      </c>
      <c r="W6705" s="5" t="s">
        <v>67</v>
      </c>
      <c r="X6705" s="5" t="s">
        <v>67</v>
      </c>
      <c r="Y6705" s="4">
        <v>229</v>
      </c>
      <c r="Z6705" s="4">
        <v>17</v>
      </c>
      <c r="AA6705" s="4">
        <v>31</v>
      </c>
      <c r="AB6705" s="4">
        <v>2</v>
      </c>
      <c r="AC6705" s="4">
        <v>9</v>
      </c>
      <c r="AD6705" s="4">
        <v>63</v>
      </c>
      <c r="AE6705" s="4">
        <v>85</v>
      </c>
      <c r="AF6705" s="4">
        <v>1</v>
      </c>
      <c r="AG6705" s="4">
        <v>4</v>
      </c>
      <c r="AH6705" s="4">
        <v>57</v>
      </c>
      <c r="AI6705" s="4">
        <v>69</v>
      </c>
      <c r="AJ6705" s="4">
        <v>11</v>
      </c>
      <c r="AK6705" s="4">
        <v>18</v>
      </c>
      <c r="AL6705" s="4">
        <v>30</v>
      </c>
      <c r="AM6705" s="4">
        <v>39</v>
      </c>
      <c r="AN6705" s="4">
        <v>0</v>
      </c>
      <c r="AO6705" s="4">
        <v>0</v>
      </c>
      <c r="AP6705" s="4">
        <v>13</v>
      </c>
      <c r="AQ6705" s="4">
        <v>22</v>
      </c>
      <c r="AR6705" s="3" t="s">
        <v>62</v>
      </c>
      <c r="AS6705" s="3" t="s">
        <v>62</v>
      </c>
      <c r="AT6705" s="3" t="s">
        <v>62</v>
      </c>
      <c r="AV6705" s="6" t="str">
        <f>HYPERLINK("http://mcgill.on.worldcat.org/oclc/54529041","Catalog Record")</f>
        <v>Catalog Record</v>
      </c>
      <c r="AW6705" s="6" t="str">
        <f>HYPERLINK("http://www.worldcat.org/oclc/54529041","WorldCat Record")</f>
        <v>WorldCat Record</v>
      </c>
      <c r="AX6705" s="3" t="s">
        <v>64543</v>
      </c>
      <c r="AY6705" s="3" t="s">
        <v>64544</v>
      </c>
      <c r="AZ6705" s="3" t="s">
        <v>64545</v>
      </c>
      <c r="BA6705" s="3" t="s">
        <v>64545</v>
      </c>
      <c r="BB6705" s="3" t="s">
        <v>64546</v>
      </c>
      <c r="BC6705" s="3" t="s">
        <v>142</v>
      </c>
      <c r="BD6705" s="3" t="s">
        <v>68</v>
      </c>
      <c r="BE6705" s="3" t="s">
        <v>64547</v>
      </c>
      <c r="BF6705" s="3" t="s">
        <v>64546</v>
      </c>
      <c r="BG6705" s="3" t="s">
        <v>64548</v>
      </c>
    </row>
    <row r="6706" spans="1:59" ht="57" x14ac:dyDescent="0.45">
      <c r="A6706" s="2" t="s">
        <v>59</v>
      </c>
      <c r="B6706" s="2" t="s">
        <v>60</v>
      </c>
      <c r="C6706" s="2" t="s">
        <v>64537</v>
      </c>
      <c r="D6706" s="2" t="s">
        <v>64538</v>
      </c>
      <c r="E6706" s="2" t="s">
        <v>64539</v>
      </c>
      <c r="G6706" s="3" t="s">
        <v>62</v>
      </c>
      <c r="I6706" s="3" t="s">
        <v>61</v>
      </c>
      <c r="J6706" s="3" t="s">
        <v>62</v>
      </c>
      <c r="K6706" s="3" t="s">
        <v>63</v>
      </c>
      <c r="L6706" s="2" t="s">
        <v>64540</v>
      </c>
      <c r="M6706" s="2" t="s">
        <v>64541</v>
      </c>
      <c r="N6706" s="3" t="s">
        <v>1097</v>
      </c>
      <c r="P6706" s="3" t="s">
        <v>65</v>
      </c>
      <c r="Q6706" s="2" t="s">
        <v>64542</v>
      </c>
      <c r="R6706" s="3" t="s">
        <v>66</v>
      </c>
      <c r="S6706" s="4">
        <v>5</v>
      </c>
      <c r="T6706" s="4">
        <v>12</v>
      </c>
      <c r="U6706" s="5" t="s">
        <v>21004</v>
      </c>
      <c r="V6706" s="5" t="s">
        <v>21004</v>
      </c>
      <c r="W6706" s="5" t="s">
        <v>67</v>
      </c>
      <c r="X6706" s="5" t="s">
        <v>67</v>
      </c>
      <c r="Y6706" s="4">
        <v>229</v>
      </c>
      <c r="Z6706" s="4">
        <v>17</v>
      </c>
      <c r="AA6706" s="4">
        <v>31</v>
      </c>
      <c r="AB6706" s="4">
        <v>2</v>
      </c>
      <c r="AC6706" s="4">
        <v>9</v>
      </c>
      <c r="AD6706" s="4">
        <v>63</v>
      </c>
      <c r="AE6706" s="4">
        <v>85</v>
      </c>
      <c r="AF6706" s="4">
        <v>1</v>
      </c>
      <c r="AG6706" s="4">
        <v>4</v>
      </c>
      <c r="AH6706" s="4">
        <v>57</v>
      </c>
      <c r="AI6706" s="4">
        <v>69</v>
      </c>
      <c r="AJ6706" s="4">
        <v>11</v>
      </c>
      <c r="AK6706" s="4">
        <v>18</v>
      </c>
      <c r="AL6706" s="4">
        <v>30</v>
      </c>
      <c r="AM6706" s="4">
        <v>39</v>
      </c>
      <c r="AN6706" s="4">
        <v>0</v>
      </c>
      <c r="AO6706" s="4">
        <v>0</v>
      </c>
      <c r="AP6706" s="4">
        <v>13</v>
      </c>
      <c r="AQ6706" s="4">
        <v>22</v>
      </c>
      <c r="AR6706" s="3" t="s">
        <v>62</v>
      </c>
      <c r="AS6706" s="3" t="s">
        <v>62</v>
      </c>
      <c r="AT6706" s="3" t="s">
        <v>62</v>
      </c>
      <c r="AV6706" s="6" t="str">
        <f>HYPERLINK("http://mcgill.on.worldcat.org/oclc/54529041","Catalog Record")</f>
        <v>Catalog Record</v>
      </c>
      <c r="AW6706" s="6" t="str">
        <f>HYPERLINK("http://www.worldcat.org/oclc/54529041","WorldCat Record")</f>
        <v>WorldCat Record</v>
      </c>
      <c r="AX6706" s="3" t="s">
        <v>64543</v>
      </c>
      <c r="AY6706" s="3" t="s">
        <v>64544</v>
      </c>
      <c r="AZ6706" s="3" t="s">
        <v>64545</v>
      </c>
      <c r="BA6706" s="3" t="s">
        <v>64545</v>
      </c>
      <c r="BB6706" s="3" t="s">
        <v>64549</v>
      </c>
      <c r="BC6706" s="3" t="s">
        <v>142</v>
      </c>
      <c r="BD6706" s="3" t="s">
        <v>68</v>
      </c>
      <c r="BE6706" s="3" t="s">
        <v>64547</v>
      </c>
      <c r="BF6706" s="3" t="s">
        <v>64549</v>
      </c>
      <c r="BG6706" s="3" t="s">
        <v>64550</v>
      </c>
    </row>
    <row r="6707" spans="1:59" ht="57" x14ac:dyDescent="0.45">
      <c r="A6707" s="2" t="s">
        <v>59</v>
      </c>
      <c r="B6707" s="2" t="s">
        <v>60</v>
      </c>
      <c r="C6707" s="2" t="s">
        <v>64551</v>
      </c>
      <c r="D6707" s="2" t="s">
        <v>64552</v>
      </c>
      <c r="E6707" s="2" t="s">
        <v>64553</v>
      </c>
      <c r="G6707" s="3" t="s">
        <v>62</v>
      </c>
      <c r="I6707" s="3" t="s">
        <v>62</v>
      </c>
      <c r="J6707" s="3" t="s">
        <v>62</v>
      </c>
      <c r="K6707" s="3" t="s">
        <v>63</v>
      </c>
      <c r="M6707" s="2" t="s">
        <v>64554</v>
      </c>
      <c r="N6707" s="3" t="s">
        <v>1155</v>
      </c>
      <c r="P6707" s="3" t="s">
        <v>65</v>
      </c>
      <c r="R6707" s="3" t="s">
        <v>66</v>
      </c>
      <c r="S6707" s="4">
        <v>3</v>
      </c>
      <c r="T6707" s="4">
        <v>3</v>
      </c>
      <c r="U6707" s="5" t="s">
        <v>64555</v>
      </c>
      <c r="V6707" s="5" t="s">
        <v>64555</v>
      </c>
      <c r="W6707" s="5" t="s">
        <v>67</v>
      </c>
      <c r="X6707" s="5" t="s">
        <v>67</v>
      </c>
      <c r="Y6707" s="4">
        <v>93</v>
      </c>
      <c r="Z6707" s="4">
        <v>13</v>
      </c>
      <c r="AA6707" s="4">
        <v>23</v>
      </c>
      <c r="AB6707" s="4">
        <v>1</v>
      </c>
      <c r="AC6707" s="4">
        <v>3</v>
      </c>
      <c r="AD6707" s="4">
        <v>45</v>
      </c>
      <c r="AE6707" s="4">
        <v>62</v>
      </c>
      <c r="AF6707" s="4">
        <v>0</v>
      </c>
      <c r="AG6707" s="4">
        <v>1</v>
      </c>
      <c r="AH6707" s="4">
        <v>42</v>
      </c>
      <c r="AI6707" s="4">
        <v>53</v>
      </c>
      <c r="AJ6707" s="4">
        <v>11</v>
      </c>
      <c r="AK6707" s="4">
        <v>15</v>
      </c>
      <c r="AL6707" s="4">
        <v>23</v>
      </c>
      <c r="AM6707" s="4">
        <v>28</v>
      </c>
      <c r="AN6707" s="4">
        <v>0</v>
      </c>
      <c r="AO6707" s="4">
        <v>0</v>
      </c>
      <c r="AP6707" s="4">
        <v>11</v>
      </c>
      <c r="AQ6707" s="4">
        <v>20</v>
      </c>
      <c r="AR6707" s="3" t="s">
        <v>62</v>
      </c>
      <c r="AS6707" s="3" t="s">
        <v>62</v>
      </c>
      <c r="AT6707" s="3" t="s">
        <v>62</v>
      </c>
      <c r="AV6707" s="6" t="str">
        <f>HYPERLINK("http://mcgill.on.worldcat.org/oclc/755699405","Catalog Record")</f>
        <v>Catalog Record</v>
      </c>
      <c r="AW6707" s="6" t="str">
        <f>HYPERLINK("http://www.worldcat.org/oclc/755699405","WorldCat Record")</f>
        <v>WorldCat Record</v>
      </c>
      <c r="AX6707" s="3" t="s">
        <v>64556</v>
      </c>
      <c r="AY6707" s="3" t="s">
        <v>64557</v>
      </c>
      <c r="AZ6707" s="3" t="s">
        <v>64558</v>
      </c>
      <c r="BA6707" s="3" t="s">
        <v>64558</v>
      </c>
      <c r="BB6707" s="3" t="s">
        <v>64559</v>
      </c>
      <c r="BC6707" s="3" t="s">
        <v>142</v>
      </c>
      <c r="BD6707" s="3" t="s">
        <v>68</v>
      </c>
      <c r="BE6707" s="3" t="s">
        <v>64560</v>
      </c>
      <c r="BF6707" s="3" t="s">
        <v>64559</v>
      </c>
      <c r="BG6707" s="3" t="s">
        <v>64561</v>
      </c>
    </row>
    <row r="6708" spans="1:59" ht="57" x14ac:dyDescent="0.45">
      <c r="A6708" s="2" t="s">
        <v>59</v>
      </c>
      <c r="B6708" s="2" t="s">
        <v>60</v>
      </c>
      <c r="C6708" s="2" t="s">
        <v>64562</v>
      </c>
      <c r="D6708" s="2" t="s">
        <v>64563</v>
      </c>
      <c r="E6708" s="2" t="s">
        <v>64564</v>
      </c>
      <c r="G6708" s="3" t="s">
        <v>62</v>
      </c>
      <c r="I6708" s="3" t="s">
        <v>62</v>
      </c>
      <c r="J6708" s="3" t="s">
        <v>62</v>
      </c>
      <c r="K6708" s="3" t="s">
        <v>63</v>
      </c>
      <c r="L6708" s="2" t="s">
        <v>64497</v>
      </c>
      <c r="M6708" s="2" t="s">
        <v>64565</v>
      </c>
      <c r="N6708" s="3" t="s">
        <v>1059</v>
      </c>
      <c r="P6708" s="3" t="s">
        <v>65</v>
      </c>
      <c r="Q6708" s="2" t="s">
        <v>21253</v>
      </c>
      <c r="R6708" s="3" t="s">
        <v>66</v>
      </c>
      <c r="S6708" s="4">
        <v>10</v>
      </c>
      <c r="T6708" s="4">
        <v>10</v>
      </c>
      <c r="U6708" s="5" t="s">
        <v>52563</v>
      </c>
      <c r="V6708" s="5" t="s">
        <v>52563</v>
      </c>
      <c r="W6708" s="5" t="s">
        <v>67</v>
      </c>
      <c r="X6708" s="5" t="s">
        <v>67</v>
      </c>
      <c r="Y6708" s="4">
        <v>218</v>
      </c>
      <c r="Z6708" s="4">
        <v>18</v>
      </c>
      <c r="AA6708" s="4">
        <v>109</v>
      </c>
      <c r="AB6708" s="4">
        <v>2</v>
      </c>
      <c r="AC6708" s="4">
        <v>21</v>
      </c>
      <c r="AD6708" s="4">
        <v>80</v>
      </c>
      <c r="AE6708" s="4">
        <v>145</v>
      </c>
      <c r="AF6708" s="4">
        <v>1</v>
      </c>
      <c r="AG6708" s="4">
        <v>9</v>
      </c>
      <c r="AH6708" s="4">
        <v>73</v>
      </c>
      <c r="AI6708" s="4">
        <v>98</v>
      </c>
      <c r="AJ6708" s="4">
        <v>13</v>
      </c>
      <c r="AK6708" s="4">
        <v>27</v>
      </c>
      <c r="AL6708" s="4">
        <v>43</v>
      </c>
      <c r="AM6708" s="4">
        <v>52</v>
      </c>
      <c r="AN6708" s="4">
        <v>0</v>
      </c>
      <c r="AO6708" s="4">
        <v>0</v>
      </c>
      <c r="AP6708" s="4">
        <v>14</v>
      </c>
      <c r="AQ6708" s="4">
        <v>55</v>
      </c>
      <c r="AR6708" s="3" t="s">
        <v>62</v>
      </c>
      <c r="AS6708" s="3" t="s">
        <v>62</v>
      </c>
      <c r="AT6708" s="3" t="s">
        <v>61</v>
      </c>
      <c r="AU6708" s="6" t="str">
        <f>HYPERLINK("http://catalog.hathitrust.org/Record/005253905","HathiTrust Record")</f>
        <v>HathiTrust Record</v>
      </c>
      <c r="AV6708" s="6" t="str">
        <f>HYPERLINK("http://mcgill.on.worldcat.org/oclc/68799746","Catalog Record")</f>
        <v>Catalog Record</v>
      </c>
      <c r="AW6708" s="6" t="str">
        <f>HYPERLINK("http://www.worldcat.org/oclc/68799746","WorldCat Record")</f>
        <v>WorldCat Record</v>
      </c>
      <c r="AX6708" s="3" t="s">
        <v>64566</v>
      </c>
      <c r="AY6708" s="3" t="s">
        <v>64567</v>
      </c>
      <c r="AZ6708" s="3" t="s">
        <v>64568</v>
      </c>
      <c r="BA6708" s="3" t="s">
        <v>64568</v>
      </c>
      <c r="BB6708" s="3" t="s">
        <v>64569</v>
      </c>
      <c r="BC6708" s="3" t="s">
        <v>142</v>
      </c>
      <c r="BD6708" s="3" t="s">
        <v>68</v>
      </c>
      <c r="BE6708" s="3" t="s">
        <v>64570</v>
      </c>
      <c r="BF6708" s="3" t="s">
        <v>64569</v>
      </c>
      <c r="BG6708" s="3" t="s">
        <v>64571</v>
      </c>
    </row>
    <row r="6709" spans="1:59" ht="57" x14ac:dyDescent="0.45">
      <c r="A6709" s="2" t="s">
        <v>59</v>
      </c>
      <c r="B6709" s="2" t="s">
        <v>60</v>
      </c>
      <c r="C6709" s="2" t="s">
        <v>64572</v>
      </c>
      <c r="D6709" s="2" t="s">
        <v>64573</v>
      </c>
      <c r="E6709" s="2" t="s">
        <v>64574</v>
      </c>
      <c r="G6709" s="3" t="s">
        <v>62</v>
      </c>
      <c r="I6709" s="3" t="s">
        <v>62</v>
      </c>
      <c r="J6709" s="3" t="s">
        <v>62</v>
      </c>
      <c r="K6709" s="3" t="s">
        <v>63</v>
      </c>
      <c r="L6709" s="2" t="s">
        <v>64575</v>
      </c>
      <c r="M6709" s="2" t="s">
        <v>64576</v>
      </c>
      <c r="N6709" s="3" t="s">
        <v>64577</v>
      </c>
      <c r="P6709" s="3" t="s">
        <v>110</v>
      </c>
      <c r="Q6709" s="2" t="s">
        <v>64578</v>
      </c>
      <c r="R6709" s="3" t="s">
        <v>66</v>
      </c>
      <c r="S6709" s="4">
        <v>7</v>
      </c>
      <c r="T6709" s="4">
        <v>7</v>
      </c>
      <c r="U6709" s="5" t="s">
        <v>2668</v>
      </c>
      <c r="V6709" s="5" t="s">
        <v>2668</v>
      </c>
      <c r="W6709" s="5" t="s">
        <v>67</v>
      </c>
      <c r="X6709" s="5" t="s">
        <v>67</v>
      </c>
      <c r="Y6709" s="4">
        <v>3</v>
      </c>
      <c r="Z6709" s="4">
        <v>2</v>
      </c>
      <c r="AA6709" s="4">
        <v>34</v>
      </c>
      <c r="AB6709" s="4">
        <v>1</v>
      </c>
      <c r="AC6709" s="4">
        <v>9</v>
      </c>
      <c r="AD6709" s="4">
        <v>1</v>
      </c>
      <c r="AE6709" s="4">
        <v>107</v>
      </c>
      <c r="AF6709" s="4">
        <v>0</v>
      </c>
      <c r="AG6709" s="4">
        <v>6</v>
      </c>
      <c r="AH6709" s="4">
        <v>1</v>
      </c>
      <c r="AI6709" s="4">
        <v>87</v>
      </c>
      <c r="AJ6709" s="4">
        <v>1</v>
      </c>
      <c r="AK6709" s="4">
        <v>21</v>
      </c>
      <c r="AL6709" s="4">
        <v>0</v>
      </c>
      <c r="AM6709" s="4">
        <v>55</v>
      </c>
      <c r="AN6709" s="4">
        <v>0</v>
      </c>
      <c r="AO6709" s="4">
        <v>1</v>
      </c>
      <c r="AP6709" s="4">
        <v>1</v>
      </c>
      <c r="AQ6709" s="4">
        <v>26</v>
      </c>
      <c r="AR6709" s="3" t="s">
        <v>62</v>
      </c>
      <c r="AS6709" s="3" t="s">
        <v>62</v>
      </c>
      <c r="AT6709" s="3" t="s">
        <v>61</v>
      </c>
      <c r="AU6709" s="6" t="str">
        <f>HYPERLINK("http://catalog.hathitrust.org/Record/002046106","HathiTrust Record")</f>
        <v>HathiTrust Record</v>
      </c>
      <c r="AV6709" s="6" t="str">
        <f>HYPERLINK("http://mcgill.on.worldcat.org/oclc/427491227","Catalog Record")</f>
        <v>Catalog Record</v>
      </c>
      <c r="AW6709" s="6" t="str">
        <f>HYPERLINK("http://www.worldcat.org/oclc/427491227","WorldCat Record")</f>
        <v>WorldCat Record</v>
      </c>
      <c r="AX6709" s="3" t="s">
        <v>64579</v>
      </c>
      <c r="AY6709" s="3" t="s">
        <v>64580</v>
      </c>
      <c r="AZ6709" s="3" t="s">
        <v>64581</v>
      </c>
      <c r="BA6709" s="3" t="s">
        <v>64581</v>
      </c>
      <c r="BB6709" s="3" t="s">
        <v>64582</v>
      </c>
      <c r="BC6709" s="3" t="s">
        <v>142</v>
      </c>
      <c r="BD6709" s="3" t="s">
        <v>68</v>
      </c>
      <c r="BF6709" s="3" t="s">
        <v>64582</v>
      </c>
      <c r="BG6709" s="3" t="s">
        <v>64583</v>
      </c>
    </row>
    <row r="6710" spans="1:59" ht="57" x14ac:dyDescent="0.45">
      <c r="A6710" s="2" t="s">
        <v>59</v>
      </c>
      <c r="B6710" s="2" t="s">
        <v>60</v>
      </c>
      <c r="C6710" s="2" t="s">
        <v>64584</v>
      </c>
      <c r="D6710" s="2" t="s">
        <v>64585</v>
      </c>
      <c r="E6710" s="2" t="s">
        <v>64586</v>
      </c>
      <c r="G6710" s="3" t="s">
        <v>62</v>
      </c>
      <c r="I6710" s="3" t="s">
        <v>62</v>
      </c>
      <c r="J6710" s="3" t="s">
        <v>62</v>
      </c>
      <c r="K6710" s="3" t="s">
        <v>63</v>
      </c>
      <c r="L6710" s="2" t="s">
        <v>64587</v>
      </c>
      <c r="M6710" s="2" t="s">
        <v>64588</v>
      </c>
      <c r="N6710" s="3" t="s">
        <v>1239</v>
      </c>
      <c r="P6710" s="3" t="s">
        <v>110</v>
      </c>
      <c r="Q6710" s="2" t="s">
        <v>64589</v>
      </c>
      <c r="R6710" s="3" t="s">
        <v>66</v>
      </c>
      <c r="S6710" s="4">
        <v>2</v>
      </c>
      <c r="T6710" s="4">
        <v>2</v>
      </c>
      <c r="U6710" s="5" t="s">
        <v>7678</v>
      </c>
      <c r="V6710" s="5" t="s">
        <v>7678</v>
      </c>
      <c r="W6710" s="5" t="s">
        <v>67</v>
      </c>
      <c r="X6710" s="5" t="s">
        <v>67</v>
      </c>
      <c r="Y6710" s="4">
        <v>37</v>
      </c>
      <c r="Z6710" s="4">
        <v>3</v>
      </c>
      <c r="AA6710" s="4">
        <v>3</v>
      </c>
      <c r="AB6710" s="4">
        <v>1</v>
      </c>
      <c r="AC6710" s="4">
        <v>1</v>
      </c>
      <c r="AD6710" s="4">
        <v>17</v>
      </c>
      <c r="AE6710" s="4">
        <v>17</v>
      </c>
      <c r="AF6710" s="4">
        <v>0</v>
      </c>
      <c r="AG6710" s="4">
        <v>0</v>
      </c>
      <c r="AH6710" s="4">
        <v>17</v>
      </c>
      <c r="AI6710" s="4">
        <v>17</v>
      </c>
      <c r="AJ6710" s="4">
        <v>1</v>
      </c>
      <c r="AK6710" s="4">
        <v>1</v>
      </c>
      <c r="AL6710" s="4">
        <v>12</v>
      </c>
      <c r="AM6710" s="4">
        <v>12</v>
      </c>
      <c r="AN6710" s="4">
        <v>5</v>
      </c>
      <c r="AO6710" s="4">
        <v>5</v>
      </c>
      <c r="AP6710" s="4">
        <v>1</v>
      </c>
      <c r="AQ6710" s="4">
        <v>1</v>
      </c>
      <c r="AR6710" s="3" t="s">
        <v>62</v>
      </c>
      <c r="AS6710" s="3" t="s">
        <v>62</v>
      </c>
      <c r="AT6710" s="3" t="s">
        <v>61</v>
      </c>
      <c r="AU6710" s="6" t="str">
        <f>HYPERLINK("http://catalog.hathitrust.org/Record/101914333","HathiTrust Record")</f>
        <v>HathiTrust Record</v>
      </c>
      <c r="AV6710" s="6" t="str">
        <f>HYPERLINK("http://mcgill.on.worldcat.org/oclc/21143028","Catalog Record")</f>
        <v>Catalog Record</v>
      </c>
      <c r="AW6710" s="6" t="str">
        <f>HYPERLINK("http://www.worldcat.org/oclc/21143028","WorldCat Record")</f>
        <v>WorldCat Record</v>
      </c>
      <c r="AX6710" s="3" t="s">
        <v>64590</v>
      </c>
      <c r="AY6710" s="3" t="s">
        <v>64591</v>
      </c>
      <c r="AZ6710" s="3" t="s">
        <v>64592</v>
      </c>
      <c r="BA6710" s="3" t="s">
        <v>64592</v>
      </c>
      <c r="BB6710" s="3" t="s">
        <v>64593</v>
      </c>
      <c r="BC6710" s="3" t="s">
        <v>142</v>
      </c>
      <c r="BD6710" s="3" t="s">
        <v>68</v>
      </c>
      <c r="BF6710" s="3" t="s">
        <v>64593</v>
      </c>
      <c r="BG6710" s="3" t="s">
        <v>64594</v>
      </c>
    </row>
    <row r="6711" spans="1:59" ht="57" x14ac:dyDescent="0.45">
      <c r="A6711" s="2" t="s">
        <v>59</v>
      </c>
      <c r="B6711" s="2" t="s">
        <v>60</v>
      </c>
      <c r="C6711" s="2" t="s">
        <v>64595</v>
      </c>
      <c r="D6711" s="2" t="s">
        <v>64596</v>
      </c>
      <c r="E6711" s="2" t="s">
        <v>64597</v>
      </c>
      <c r="G6711" s="3" t="s">
        <v>62</v>
      </c>
      <c r="I6711" s="3" t="s">
        <v>62</v>
      </c>
      <c r="J6711" s="3" t="s">
        <v>62</v>
      </c>
      <c r="K6711" s="3" t="s">
        <v>63</v>
      </c>
      <c r="L6711" s="2" t="s">
        <v>64598</v>
      </c>
      <c r="M6711" s="2" t="s">
        <v>64599</v>
      </c>
      <c r="N6711" s="3" t="s">
        <v>945</v>
      </c>
      <c r="P6711" s="3" t="s">
        <v>65</v>
      </c>
      <c r="R6711" s="3" t="s">
        <v>66</v>
      </c>
      <c r="S6711" s="4">
        <v>28</v>
      </c>
      <c r="T6711" s="4">
        <v>28</v>
      </c>
      <c r="U6711" s="5" t="s">
        <v>64600</v>
      </c>
      <c r="V6711" s="5" t="s">
        <v>64600</v>
      </c>
      <c r="W6711" s="5" t="s">
        <v>67</v>
      </c>
      <c r="X6711" s="5" t="s">
        <v>67</v>
      </c>
      <c r="Y6711" s="4">
        <v>926</v>
      </c>
      <c r="Z6711" s="4">
        <v>45</v>
      </c>
      <c r="AA6711" s="4">
        <v>112</v>
      </c>
      <c r="AB6711" s="4">
        <v>4</v>
      </c>
      <c r="AC6711" s="4">
        <v>19</v>
      </c>
      <c r="AD6711" s="4">
        <v>116</v>
      </c>
      <c r="AE6711" s="4">
        <v>153</v>
      </c>
      <c r="AF6711" s="4">
        <v>1</v>
      </c>
      <c r="AG6711" s="4">
        <v>8</v>
      </c>
      <c r="AH6711" s="4">
        <v>99</v>
      </c>
      <c r="AI6711" s="4">
        <v>111</v>
      </c>
      <c r="AJ6711" s="4">
        <v>17</v>
      </c>
      <c r="AK6711" s="4">
        <v>26</v>
      </c>
      <c r="AL6711" s="4">
        <v>51</v>
      </c>
      <c r="AM6711" s="4">
        <v>59</v>
      </c>
      <c r="AN6711" s="4">
        <v>0</v>
      </c>
      <c r="AO6711" s="4">
        <v>0</v>
      </c>
      <c r="AP6711" s="4">
        <v>26</v>
      </c>
      <c r="AQ6711" s="4">
        <v>52</v>
      </c>
      <c r="AR6711" s="3" t="s">
        <v>62</v>
      </c>
      <c r="AS6711" s="3" t="s">
        <v>62</v>
      </c>
      <c r="AT6711" s="3" t="s">
        <v>62</v>
      </c>
      <c r="AV6711" s="6" t="str">
        <f>HYPERLINK("http://mcgill.on.worldcat.org/oclc/174129990","Catalog Record")</f>
        <v>Catalog Record</v>
      </c>
      <c r="AW6711" s="6" t="str">
        <f>HYPERLINK("http://www.worldcat.org/oclc/174129990","WorldCat Record")</f>
        <v>WorldCat Record</v>
      </c>
      <c r="AX6711" s="3" t="s">
        <v>64601</v>
      </c>
      <c r="AY6711" s="3" t="s">
        <v>64602</v>
      </c>
      <c r="AZ6711" s="3" t="s">
        <v>64603</v>
      </c>
      <c r="BA6711" s="3" t="s">
        <v>64603</v>
      </c>
      <c r="BB6711" s="3" t="s">
        <v>64604</v>
      </c>
      <c r="BC6711" s="3" t="s">
        <v>142</v>
      </c>
      <c r="BD6711" s="3" t="s">
        <v>308</v>
      </c>
      <c r="BE6711" s="3" t="s">
        <v>64605</v>
      </c>
      <c r="BF6711" s="3" t="s">
        <v>64604</v>
      </c>
      <c r="BG6711" s="3" t="s">
        <v>64606</v>
      </c>
    </row>
    <row r="6712" spans="1:59" ht="99.75" x14ac:dyDescent="0.45">
      <c r="A6712" s="2" t="s">
        <v>59</v>
      </c>
      <c r="B6712" s="2" t="s">
        <v>60</v>
      </c>
      <c r="C6712" s="2" t="s">
        <v>64607</v>
      </c>
      <c r="D6712" s="2" t="s">
        <v>64608</v>
      </c>
      <c r="E6712" s="2" t="s">
        <v>64609</v>
      </c>
      <c r="F6712" s="3" t="s">
        <v>87</v>
      </c>
      <c r="G6712" s="3" t="s">
        <v>61</v>
      </c>
      <c r="I6712" s="3" t="s">
        <v>62</v>
      </c>
      <c r="J6712" s="3" t="s">
        <v>62</v>
      </c>
      <c r="K6712" s="3" t="s">
        <v>63</v>
      </c>
      <c r="L6712" s="2" t="s">
        <v>64610</v>
      </c>
      <c r="M6712" s="2" t="s">
        <v>64611</v>
      </c>
      <c r="N6712" s="3" t="s">
        <v>958</v>
      </c>
      <c r="P6712" s="3" t="s">
        <v>65</v>
      </c>
      <c r="Q6712" s="2" t="s">
        <v>64612</v>
      </c>
      <c r="R6712" s="3" t="s">
        <v>66</v>
      </c>
      <c r="S6712" s="4">
        <v>19</v>
      </c>
      <c r="T6712" s="4">
        <v>29</v>
      </c>
      <c r="U6712" s="5" t="s">
        <v>4594</v>
      </c>
      <c r="V6712" s="5" t="s">
        <v>4594</v>
      </c>
      <c r="W6712" s="5" t="s">
        <v>67</v>
      </c>
      <c r="X6712" s="5" t="s">
        <v>67</v>
      </c>
      <c r="Y6712" s="4">
        <v>213</v>
      </c>
      <c r="Z6712" s="4">
        <v>14</v>
      </c>
      <c r="AA6712" s="4">
        <v>18</v>
      </c>
      <c r="AB6712" s="4">
        <v>2</v>
      </c>
      <c r="AC6712" s="4">
        <v>6</v>
      </c>
      <c r="AD6712" s="4">
        <v>88</v>
      </c>
      <c r="AE6712" s="4">
        <v>90</v>
      </c>
      <c r="AF6712" s="4">
        <v>1</v>
      </c>
      <c r="AG6712" s="4">
        <v>3</v>
      </c>
      <c r="AH6712" s="4">
        <v>81</v>
      </c>
      <c r="AI6712" s="4">
        <v>82</v>
      </c>
      <c r="AJ6712" s="4">
        <v>11</v>
      </c>
      <c r="AK6712" s="4">
        <v>13</v>
      </c>
      <c r="AL6712" s="4">
        <v>51</v>
      </c>
      <c r="AM6712" s="4">
        <v>51</v>
      </c>
      <c r="AN6712" s="4">
        <v>0</v>
      </c>
      <c r="AO6712" s="4">
        <v>0</v>
      </c>
      <c r="AP6712" s="4">
        <v>12</v>
      </c>
      <c r="AQ6712" s="4">
        <v>13</v>
      </c>
      <c r="AR6712" s="3" t="s">
        <v>62</v>
      </c>
      <c r="AS6712" s="3" t="s">
        <v>62</v>
      </c>
      <c r="AT6712" s="3" t="s">
        <v>61</v>
      </c>
      <c r="AU6712" s="6" t="str">
        <f>HYPERLINK("http://catalog.hathitrust.org/Record/003997147","HathiTrust Record")</f>
        <v>HathiTrust Record</v>
      </c>
      <c r="AV6712" s="6" t="str">
        <f>HYPERLINK("http://mcgill.on.worldcat.org/oclc/31608214","Catalog Record")</f>
        <v>Catalog Record</v>
      </c>
      <c r="AW6712" s="6" t="str">
        <f>HYPERLINK("http://www.worldcat.org/oclc/31608214","WorldCat Record")</f>
        <v>WorldCat Record</v>
      </c>
      <c r="AX6712" s="3" t="s">
        <v>64613</v>
      </c>
      <c r="AY6712" s="3" t="s">
        <v>64614</v>
      </c>
      <c r="AZ6712" s="3" t="s">
        <v>64615</v>
      </c>
      <c r="BA6712" s="3" t="s">
        <v>64615</v>
      </c>
      <c r="BB6712" s="3" t="s">
        <v>64616</v>
      </c>
      <c r="BC6712" s="3" t="s">
        <v>142</v>
      </c>
      <c r="BD6712" s="3" t="s">
        <v>68</v>
      </c>
      <c r="BE6712" s="3" t="s">
        <v>64617</v>
      </c>
      <c r="BF6712" s="3" t="s">
        <v>64616</v>
      </c>
      <c r="BG6712" s="3" t="s">
        <v>64618</v>
      </c>
    </row>
    <row r="6713" spans="1:59" ht="99.75" x14ac:dyDescent="0.45">
      <c r="A6713" s="2" t="s">
        <v>59</v>
      </c>
      <c r="B6713" s="2" t="s">
        <v>60</v>
      </c>
      <c r="C6713" s="2" t="s">
        <v>64607</v>
      </c>
      <c r="D6713" s="2" t="s">
        <v>64608</v>
      </c>
      <c r="E6713" s="2" t="s">
        <v>64609</v>
      </c>
      <c r="F6713" s="3" t="s">
        <v>90</v>
      </c>
      <c r="G6713" s="3" t="s">
        <v>61</v>
      </c>
      <c r="I6713" s="3" t="s">
        <v>62</v>
      </c>
      <c r="J6713" s="3" t="s">
        <v>62</v>
      </c>
      <c r="K6713" s="3" t="s">
        <v>63</v>
      </c>
      <c r="L6713" s="2" t="s">
        <v>64610</v>
      </c>
      <c r="M6713" s="2" t="s">
        <v>64611</v>
      </c>
      <c r="N6713" s="3" t="s">
        <v>958</v>
      </c>
      <c r="P6713" s="3" t="s">
        <v>65</v>
      </c>
      <c r="Q6713" s="2" t="s">
        <v>64612</v>
      </c>
      <c r="R6713" s="3" t="s">
        <v>66</v>
      </c>
      <c r="S6713" s="4">
        <v>10</v>
      </c>
      <c r="T6713" s="4">
        <v>29</v>
      </c>
      <c r="U6713" s="5" t="s">
        <v>4594</v>
      </c>
      <c r="V6713" s="5" t="s">
        <v>4594</v>
      </c>
      <c r="W6713" s="5" t="s">
        <v>67</v>
      </c>
      <c r="X6713" s="5" t="s">
        <v>67</v>
      </c>
      <c r="Y6713" s="4">
        <v>213</v>
      </c>
      <c r="Z6713" s="4">
        <v>14</v>
      </c>
      <c r="AA6713" s="4">
        <v>18</v>
      </c>
      <c r="AB6713" s="4">
        <v>2</v>
      </c>
      <c r="AC6713" s="4">
        <v>6</v>
      </c>
      <c r="AD6713" s="4">
        <v>88</v>
      </c>
      <c r="AE6713" s="4">
        <v>90</v>
      </c>
      <c r="AF6713" s="4">
        <v>1</v>
      </c>
      <c r="AG6713" s="4">
        <v>3</v>
      </c>
      <c r="AH6713" s="4">
        <v>81</v>
      </c>
      <c r="AI6713" s="4">
        <v>82</v>
      </c>
      <c r="AJ6713" s="4">
        <v>11</v>
      </c>
      <c r="AK6713" s="4">
        <v>13</v>
      </c>
      <c r="AL6713" s="4">
        <v>51</v>
      </c>
      <c r="AM6713" s="4">
        <v>51</v>
      </c>
      <c r="AN6713" s="4">
        <v>0</v>
      </c>
      <c r="AO6713" s="4">
        <v>0</v>
      </c>
      <c r="AP6713" s="4">
        <v>12</v>
      </c>
      <c r="AQ6713" s="4">
        <v>13</v>
      </c>
      <c r="AR6713" s="3" t="s">
        <v>62</v>
      </c>
      <c r="AS6713" s="3" t="s">
        <v>62</v>
      </c>
      <c r="AT6713" s="3" t="s">
        <v>61</v>
      </c>
      <c r="AU6713" s="6" t="str">
        <f>HYPERLINK("http://catalog.hathitrust.org/Record/003997147","HathiTrust Record")</f>
        <v>HathiTrust Record</v>
      </c>
      <c r="AV6713" s="6" t="str">
        <f>HYPERLINK("http://mcgill.on.worldcat.org/oclc/31608214","Catalog Record")</f>
        <v>Catalog Record</v>
      </c>
      <c r="AW6713" s="6" t="str">
        <f>HYPERLINK("http://www.worldcat.org/oclc/31608214","WorldCat Record")</f>
        <v>WorldCat Record</v>
      </c>
      <c r="AX6713" s="3" t="s">
        <v>64613</v>
      </c>
      <c r="AY6713" s="3" t="s">
        <v>64614</v>
      </c>
      <c r="AZ6713" s="3" t="s">
        <v>64615</v>
      </c>
      <c r="BA6713" s="3" t="s">
        <v>64615</v>
      </c>
      <c r="BB6713" s="3" t="s">
        <v>64619</v>
      </c>
      <c r="BC6713" s="3" t="s">
        <v>142</v>
      </c>
      <c r="BD6713" s="3" t="s">
        <v>68</v>
      </c>
      <c r="BE6713" s="3" t="s">
        <v>64617</v>
      </c>
      <c r="BF6713" s="3" t="s">
        <v>64619</v>
      </c>
      <c r="BG6713" s="3" t="s">
        <v>64620</v>
      </c>
    </row>
    <row r="6714" spans="1:59" ht="57" x14ac:dyDescent="0.45">
      <c r="A6714" s="2" t="s">
        <v>59</v>
      </c>
      <c r="B6714" s="2" t="s">
        <v>60</v>
      </c>
      <c r="C6714" s="2" t="s">
        <v>64621</v>
      </c>
      <c r="D6714" s="2" t="s">
        <v>64622</v>
      </c>
      <c r="E6714" s="2" t="s">
        <v>64623</v>
      </c>
      <c r="G6714" s="3" t="s">
        <v>62</v>
      </c>
      <c r="I6714" s="3" t="s">
        <v>62</v>
      </c>
      <c r="J6714" s="3" t="s">
        <v>62</v>
      </c>
      <c r="K6714" s="3" t="s">
        <v>63</v>
      </c>
      <c r="L6714" s="2" t="s">
        <v>64624</v>
      </c>
      <c r="M6714" s="2" t="s">
        <v>64625</v>
      </c>
      <c r="N6714" s="3" t="s">
        <v>1465</v>
      </c>
      <c r="P6714" s="3" t="s">
        <v>65</v>
      </c>
      <c r="R6714" s="3" t="s">
        <v>66</v>
      </c>
      <c r="S6714" s="4">
        <v>4</v>
      </c>
      <c r="T6714" s="4">
        <v>4</v>
      </c>
      <c r="U6714" s="5" t="s">
        <v>21004</v>
      </c>
      <c r="V6714" s="5" t="s">
        <v>21004</v>
      </c>
      <c r="W6714" s="5" t="s">
        <v>67</v>
      </c>
      <c r="X6714" s="5" t="s">
        <v>67</v>
      </c>
      <c r="Y6714" s="4">
        <v>60</v>
      </c>
      <c r="Z6714" s="4">
        <v>8</v>
      </c>
      <c r="AA6714" s="4">
        <v>8</v>
      </c>
      <c r="AB6714" s="4">
        <v>1</v>
      </c>
      <c r="AC6714" s="4">
        <v>1</v>
      </c>
      <c r="AD6714" s="4">
        <v>33</v>
      </c>
      <c r="AE6714" s="4">
        <v>33</v>
      </c>
      <c r="AF6714" s="4">
        <v>0</v>
      </c>
      <c r="AG6714" s="4">
        <v>0</v>
      </c>
      <c r="AH6714" s="4">
        <v>31</v>
      </c>
      <c r="AI6714" s="4">
        <v>31</v>
      </c>
      <c r="AJ6714" s="4">
        <v>6</v>
      </c>
      <c r="AK6714" s="4">
        <v>6</v>
      </c>
      <c r="AL6714" s="4">
        <v>19</v>
      </c>
      <c r="AM6714" s="4">
        <v>19</v>
      </c>
      <c r="AN6714" s="4">
        <v>0</v>
      </c>
      <c r="AO6714" s="4">
        <v>0</v>
      </c>
      <c r="AP6714" s="4">
        <v>6</v>
      </c>
      <c r="AQ6714" s="4">
        <v>6</v>
      </c>
      <c r="AR6714" s="3" t="s">
        <v>62</v>
      </c>
      <c r="AS6714" s="3" t="s">
        <v>62</v>
      </c>
      <c r="AT6714" s="3" t="s">
        <v>61</v>
      </c>
      <c r="AU6714" s="6" t="str">
        <f>HYPERLINK("http://catalog.hathitrust.org/Record/006860864","HathiTrust Record")</f>
        <v>HathiTrust Record</v>
      </c>
      <c r="AV6714" s="6" t="str">
        <f>HYPERLINK("http://mcgill.on.worldcat.org/oclc/320353360","Catalog Record")</f>
        <v>Catalog Record</v>
      </c>
      <c r="AW6714" s="6" t="str">
        <f>HYPERLINK("http://www.worldcat.org/oclc/320353360","WorldCat Record")</f>
        <v>WorldCat Record</v>
      </c>
      <c r="AX6714" s="3" t="s">
        <v>64626</v>
      </c>
      <c r="AY6714" s="3" t="s">
        <v>64627</v>
      </c>
      <c r="AZ6714" s="3" t="s">
        <v>64628</v>
      </c>
      <c r="BA6714" s="3" t="s">
        <v>64628</v>
      </c>
      <c r="BB6714" s="3" t="s">
        <v>64629</v>
      </c>
      <c r="BC6714" s="3" t="s">
        <v>142</v>
      </c>
      <c r="BD6714" s="3" t="s">
        <v>68</v>
      </c>
      <c r="BE6714" s="3" t="s">
        <v>64630</v>
      </c>
      <c r="BF6714" s="3" t="s">
        <v>64629</v>
      </c>
      <c r="BG6714" s="3" t="s">
        <v>64631</v>
      </c>
    </row>
    <row r="6715" spans="1:59" ht="57" x14ac:dyDescent="0.45">
      <c r="A6715" s="2" t="s">
        <v>59</v>
      </c>
      <c r="B6715" s="2" t="s">
        <v>60</v>
      </c>
      <c r="C6715" s="2" t="s">
        <v>64632</v>
      </c>
      <c r="D6715" s="2" t="s">
        <v>64633</v>
      </c>
      <c r="E6715" s="2" t="s">
        <v>64634</v>
      </c>
      <c r="G6715" s="3" t="s">
        <v>62</v>
      </c>
      <c r="I6715" s="3" t="s">
        <v>62</v>
      </c>
      <c r="J6715" s="3" t="s">
        <v>62</v>
      </c>
      <c r="K6715" s="3" t="s">
        <v>63</v>
      </c>
      <c r="L6715" s="2" t="s">
        <v>64635</v>
      </c>
      <c r="M6715" s="2" t="s">
        <v>1477</v>
      </c>
      <c r="N6715" s="3" t="s">
        <v>958</v>
      </c>
      <c r="P6715" s="3" t="s">
        <v>65</v>
      </c>
      <c r="R6715" s="3" t="s">
        <v>66</v>
      </c>
      <c r="S6715" s="4">
        <v>14</v>
      </c>
      <c r="T6715" s="4">
        <v>14</v>
      </c>
      <c r="U6715" s="5" t="s">
        <v>26695</v>
      </c>
      <c r="V6715" s="5" t="s">
        <v>26695</v>
      </c>
      <c r="W6715" s="5" t="s">
        <v>67</v>
      </c>
      <c r="X6715" s="5" t="s">
        <v>67</v>
      </c>
      <c r="Y6715" s="4">
        <v>388</v>
      </c>
      <c r="Z6715" s="4">
        <v>28</v>
      </c>
      <c r="AA6715" s="4">
        <v>108</v>
      </c>
      <c r="AB6715" s="4">
        <v>4</v>
      </c>
      <c r="AC6715" s="4">
        <v>17</v>
      </c>
      <c r="AD6715" s="4">
        <v>100</v>
      </c>
      <c r="AE6715" s="4">
        <v>140</v>
      </c>
      <c r="AF6715" s="4">
        <v>2</v>
      </c>
      <c r="AG6715" s="4">
        <v>8</v>
      </c>
      <c r="AH6715" s="4">
        <v>84</v>
      </c>
      <c r="AI6715" s="4">
        <v>102</v>
      </c>
      <c r="AJ6715" s="4">
        <v>18</v>
      </c>
      <c r="AK6715" s="4">
        <v>27</v>
      </c>
      <c r="AL6715" s="4">
        <v>47</v>
      </c>
      <c r="AM6715" s="4">
        <v>53</v>
      </c>
      <c r="AN6715" s="4">
        <v>0</v>
      </c>
      <c r="AO6715" s="4">
        <v>0</v>
      </c>
      <c r="AP6715" s="4">
        <v>24</v>
      </c>
      <c r="AQ6715" s="4">
        <v>49</v>
      </c>
      <c r="AR6715" s="3" t="s">
        <v>62</v>
      </c>
      <c r="AS6715" s="3" t="s">
        <v>62</v>
      </c>
      <c r="AT6715" s="3" t="s">
        <v>61</v>
      </c>
      <c r="AU6715" s="6" t="str">
        <f>HYPERLINK("http://catalog.hathitrust.org/Record/003041586","HathiTrust Record")</f>
        <v>HathiTrust Record</v>
      </c>
      <c r="AV6715" s="6" t="str">
        <f>HYPERLINK("http://mcgill.on.worldcat.org/oclc/32543153","Catalog Record")</f>
        <v>Catalog Record</v>
      </c>
      <c r="AW6715" s="6" t="str">
        <f>HYPERLINK("http://www.worldcat.org/oclc/32543153","WorldCat Record")</f>
        <v>WorldCat Record</v>
      </c>
      <c r="AX6715" s="3" t="s">
        <v>64636</v>
      </c>
      <c r="AY6715" s="3" t="s">
        <v>64637</v>
      </c>
      <c r="AZ6715" s="3" t="s">
        <v>64638</v>
      </c>
      <c r="BA6715" s="3" t="s">
        <v>64638</v>
      </c>
      <c r="BB6715" s="3" t="s">
        <v>64639</v>
      </c>
      <c r="BC6715" s="3" t="s">
        <v>142</v>
      </c>
      <c r="BD6715" s="3" t="s">
        <v>68</v>
      </c>
      <c r="BE6715" s="3" t="s">
        <v>64640</v>
      </c>
      <c r="BF6715" s="3" t="s">
        <v>64639</v>
      </c>
      <c r="BG6715" s="3" t="s">
        <v>64641</v>
      </c>
    </row>
    <row r="6716" spans="1:59" ht="57" x14ac:dyDescent="0.45">
      <c r="A6716" s="2" t="s">
        <v>59</v>
      </c>
      <c r="B6716" s="2" t="s">
        <v>60</v>
      </c>
      <c r="C6716" s="2" t="s">
        <v>64642</v>
      </c>
      <c r="D6716" s="2" t="s">
        <v>64643</v>
      </c>
      <c r="E6716" s="2" t="s">
        <v>64644</v>
      </c>
      <c r="F6716" s="3" t="s">
        <v>64645</v>
      </c>
      <c r="G6716" s="3" t="s">
        <v>61</v>
      </c>
      <c r="I6716" s="3" t="s">
        <v>62</v>
      </c>
      <c r="J6716" s="3" t="s">
        <v>62</v>
      </c>
      <c r="K6716" s="3" t="s">
        <v>63</v>
      </c>
      <c r="L6716" s="2" t="s">
        <v>64646</v>
      </c>
      <c r="M6716" s="2" t="s">
        <v>64647</v>
      </c>
      <c r="N6716" s="3" t="s">
        <v>127</v>
      </c>
      <c r="P6716" s="3" t="s">
        <v>114</v>
      </c>
      <c r="Q6716" s="2" t="s">
        <v>64648</v>
      </c>
      <c r="R6716" s="3" t="s">
        <v>66</v>
      </c>
      <c r="S6716" s="4">
        <v>2</v>
      </c>
      <c r="T6716" s="4">
        <v>6</v>
      </c>
      <c r="U6716" s="5" t="s">
        <v>64649</v>
      </c>
      <c r="V6716" s="5" t="s">
        <v>64650</v>
      </c>
      <c r="W6716" s="5" t="s">
        <v>67</v>
      </c>
      <c r="X6716" s="5" t="s">
        <v>67</v>
      </c>
      <c r="Y6716" s="4">
        <v>148</v>
      </c>
      <c r="Z6716" s="4">
        <v>17</v>
      </c>
      <c r="AA6716" s="4">
        <v>20</v>
      </c>
      <c r="AB6716" s="4">
        <v>2</v>
      </c>
      <c r="AC6716" s="4">
        <v>3</v>
      </c>
      <c r="AD6716" s="4">
        <v>80</v>
      </c>
      <c r="AE6716" s="4">
        <v>85</v>
      </c>
      <c r="AF6716" s="4">
        <v>1</v>
      </c>
      <c r="AG6716" s="4">
        <v>2</v>
      </c>
      <c r="AH6716" s="4">
        <v>72</v>
      </c>
      <c r="AI6716" s="4">
        <v>77</v>
      </c>
      <c r="AJ6716" s="4">
        <v>12</v>
      </c>
      <c r="AK6716" s="4">
        <v>15</v>
      </c>
      <c r="AL6716" s="4">
        <v>46</v>
      </c>
      <c r="AM6716" s="4">
        <v>46</v>
      </c>
      <c r="AN6716" s="4">
        <v>0</v>
      </c>
      <c r="AO6716" s="4">
        <v>0</v>
      </c>
      <c r="AP6716" s="4">
        <v>14</v>
      </c>
      <c r="AQ6716" s="4">
        <v>17</v>
      </c>
      <c r="AR6716" s="3" t="s">
        <v>62</v>
      </c>
      <c r="AS6716" s="3" t="s">
        <v>62</v>
      </c>
      <c r="AT6716" s="3" t="s">
        <v>61</v>
      </c>
      <c r="AU6716" s="6" t="str">
        <f>HYPERLINK("http://catalog.hathitrust.org/Record/000158872","HathiTrust Record")</f>
        <v>HathiTrust Record</v>
      </c>
      <c r="AV6716" s="6" t="str">
        <f>HYPERLINK("http://mcgill.on.worldcat.org/oclc/483843","Catalog Record")</f>
        <v>Catalog Record</v>
      </c>
      <c r="AW6716" s="6" t="str">
        <f>HYPERLINK("http://www.worldcat.org/oclc/483843","WorldCat Record")</f>
        <v>WorldCat Record</v>
      </c>
      <c r="AX6716" s="3" t="s">
        <v>64651</v>
      </c>
      <c r="AY6716" s="3" t="s">
        <v>64652</v>
      </c>
      <c r="AZ6716" s="3" t="s">
        <v>64653</v>
      </c>
      <c r="BA6716" s="3" t="s">
        <v>64653</v>
      </c>
      <c r="BB6716" s="3" t="s">
        <v>64654</v>
      </c>
      <c r="BC6716" s="3" t="s">
        <v>142</v>
      </c>
      <c r="BD6716" s="3" t="s">
        <v>68</v>
      </c>
      <c r="BE6716" s="3" t="s">
        <v>64655</v>
      </c>
      <c r="BF6716" s="3" t="s">
        <v>64654</v>
      </c>
      <c r="BG6716" s="3" t="s">
        <v>64656</v>
      </c>
    </row>
    <row r="6717" spans="1:59" ht="57" x14ac:dyDescent="0.45">
      <c r="A6717" s="2" t="s">
        <v>59</v>
      </c>
      <c r="B6717" s="2" t="s">
        <v>60</v>
      </c>
      <c r="C6717" s="2" t="s">
        <v>64642</v>
      </c>
      <c r="D6717" s="2" t="s">
        <v>64643</v>
      </c>
      <c r="E6717" s="2" t="s">
        <v>64644</v>
      </c>
      <c r="F6717" s="3" t="s">
        <v>64657</v>
      </c>
      <c r="G6717" s="3" t="s">
        <v>61</v>
      </c>
      <c r="I6717" s="3" t="s">
        <v>62</v>
      </c>
      <c r="J6717" s="3" t="s">
        <v>62</v>
      </c>
      <c r="K6717" s="3" t="s">
        <v>63</v>
      </c>
      <c r="L6717" s="2" t="s">
        <v>64646</v>
      </c>
      <c r="M6717" s="2" t="s">
        <v>64647</v>
      </c>
      <c r="N6717" s="3" t="s">
        <v>127</v>
      </c>
      <c r="P6717" s="3" t="s">
        <v>114</v>
      </c>
      <c r="Q6717" s="2" t="s">
        <v>64648</v>
      </c>
      <c r="R6717" s="3" t="s">
        <v>66</v>
      </c>
      <c r="S6717" s="4">
        <v>2</v>
      </c>
      <c r="T6717" s="4">
        <v>6</v>
      </c>
      <c r="U6717" s="5" t="s">
        <v>64650</v>
      </c>
      <c r="V6717" s="5" t="s">
        <v>64650</v>
      </c>
      <c r="W6717" s="5" t="s">
        <v>67</v>
      </c>
      <c r="X6717" s="5" t="s">
        <v>67</v>
      </c>
      <c r="Y6717" s="4">
        <v>148</v>
      </c>
      <c r="Z6717" s="4">
        <v>17</v>
      </c>
      <c r="AA6717" s="4">
        <v>20</v>
      </c>
      <c r="AB6717" s="4">
        <v>2</v>
      </c>
      <c r="AC6717" s="4">
        <v>3</v>
      </c>
      <c r="AD6717" s="4">
        <v>80</v>
      </c>
      <c r="AE6717" s="4">
        <v>85</v>
      </c>
      <c r="AF6717" s="4">
        <v>1</v>
      </c>
      <c r="AG6717" s="4">
        <v>2</v>
      </c>
      <c r="AH6717" s="4">
        <v>72</v>
      </c>
      <c r="AI6717" s="4">
        <v>77</v>
      </c>
      <c r="AJ6717" s="4">
        <v>12</v>
      </c>
      <c r="AK6717" s="4">
        <v>15</v>
      </c>
      <c r="AL6717" s="4">
        <v>46</v>
      </c>
      <c r="AM6717" s="4">
        <v>46</v>
      </c>
      <c r="AN6717" s="4">
        <v>0</v>
      </c>
      <c r="AO6717" s="4">
        <v>0</v>
      </c>
      <c r="AP6717" s="4">
        <v>14</v>
      </c>
      <c r="AQ6717" s="4">
        <v>17</v>
      </c>
      <c r="AR6717" s="3" t="s">
        <v>62</v>
      </c>
      <c r="AS6717" s="3" t="s">
        <v>62</v>
      </c>
      <c r="AT6717" s="3" t="s">
        <v>61</v>
      </c>
      <c r="AU6717" s="6" t="str">
        <f>HYPERLINK("http://catalog.hathitrust.org/Record/000158872","HathiTrust Record")</f>
        <v>HathiTrust Record</v>
      </c>
      <c r="AV6717" s="6" t="str">
        <f>HYPERLINK("http://mcgill.on.worldcat.org/oclc/483843","Catalog Record")</f>
        <v>Catalog Record</v>
      </c>
      <c r="AW6717" s="6" t="str">
        <f>HYPERLINK("http://www.worldcat.org/oclc/483843","WorldCat Record")</f>
        <v>WorldCat Record</v>
      </c>
      <c r="AX6717" s="3" t="s">
        <v>64651</v>
      </c>
      <c r="AY6717" s="3" t="s">
        <v>64652</v>
      </c>
      <c r="AZ6717" s="3" t="s">
        <v>64653</v>
      </c>
      <c r="BA6717" s="3" t="s">
        <v>64653</v>
      </c>
      <c r="BB6717" s="3" t="s">
        <v>64658</v>
      </c>
      <c r="BC6717" s="3" t="s">
        <v>142</v>
      </c>
      <c r="BD6717" s="3" t="s">
        <v>68</v>
      </c>
      <c r="BE6717" s="3" t="s">
        <v>64655</v>
      </c>
      <c r="BF6717" s="3" t="s">
        <v>64658</v>
      </c>
      <c r="BG6717" s="3" t="s">
        <v>64659</v>
      </c>
    </row>
    <row r="6718" spans="1:59" ht="57" x14ac:dyDescent="0.45">
      <c r="A6718" s="2" t="s">
        <v>59</v>
      </c>
      <c r="B6718" s="2" t="s">
        <v>60</v>
      </c>
      <c r="C6718" s="2" t="s">
        <v>64642</v>
      </c>
      <c r="D6718" s="2" t="s">
        <v>64643</v>
      </c>
      <c r="E6718" s="2" t="s">
        <v>64644</v>
      </c>
      <c r="F6718" s="3" t="s">
        <v>64660</v>
      </c>
      <c r="G6718" s="3" t="s">
        <v>61</v>
      </c>
      <c r="I6718" s="3" t="s">
        <v>62</v>
      </c>
      <c r="J6718" s="3" t="s">
        <v>62</v>
      </c>
      <c r="K6718" s="3" t="s">
        <v>63</v>
      </c>
      <c r="L6718" s="2" t="s">
        <v>64646</v>
      </c>
      <c r="M6718" s="2" t="s">
        <v>64647</v>
      </c>
      <c r="N6718" s="3" t="s">
        <v>127</v>
      </c>
      <c r="P6718" s="3" t="s">
        <v>114</v>
      </c>
      <c r="Q6718" s="2" t="s">
        <v>64648</v>
      </c>
      <c r="R6718" s="3" t="s">
        <v>66</v>
      </c>
      <c r="S6718" s="4">
        <v>2</v>
      </c>
      <c r="T6718" s="4">
        <v>6</v>
      </c>
      <c r="U6718" s="5" t="s">
        <v>64650</v>
      </c>
      <c r="V6718" s="5" t="s">
        <v>64650</v>
      </c>
      <c r="W6718" s="5" t="s">
        <v>67</v>
      </c>
      <c r="X6718" s="5" t="s">
        <v>67</v>
      </c>
      <c r="Y6718" s="4">
        <v>148</v>
      </c>
      <c r="Z6718" s="4">
        <v>17</v>
      </c>
      <c r="AA6718" s="4">
        <v>20</v>
      </c>
      <c r="AB6718" s="4">
        <v>2</v>
      </c>
      <c r="AC6718" s="4">
        <v>3</v>
      </c>
      <c r="AD6718" s="4">
        <v>80</v>
      </c>
      <c r="AE6718" s="4">
        <v>85</v>
      </c>
      <c r="AF6718" s="4">
        <v>1</v>
      </c>
      <c r="AG6718" s="4">
        <v>2</v>
      </c>
      <c r="AH6718" s="4">
        <v>72</v>
      </c>
      <c r="AI6718" s="4">
        <v>77</v>
      </c>
      <c r="AJ6718" s="4">
        <v>12</v>
      </c>
      <c r="AK6718" s="4">
        <v>15</v>
      </c>
      <c r="AL6718" s="4">
        <v>46</v>
      </c>
      <c r="AM6718" s="4">
        <v>46</v>
      </c>
      <c r="AN6718" s="4">
        <v>0</v>
      </c>
      <c r="AO6718" s="4">
        <v>0</v>
      </c>
      <c r="AP6718" s="4">
        <v>14</v>
      </c>
      <c r="AQ6718" s="4">
        <v>17</v>
      </c>
      <c r="AR6718" s="3" t="s">
        <v>62</v>
      </c>
      <c r="AS6718" s="3" t="s">
        <v>62</v>
      </c>
      <c r="AT6718" s="3" t="s">
        <v>61</v>
      </c>
      <c r="AU6718" s="6" t="str">
        <f>HYPERLINK("http://catalog.hathitrust.org/Record/000158872","HathiTrust Record")</f>
        <v>HathiTrust Record</v>
      </c>
      <c r="AV6718" s="6" t="str">
        <f>HYPERLINK("http://mcgill.on.worldcat.org/oclc/483843","Catalog Record")</f>
        <v>Catalog Record</v>
      </c>
      <c r="AW6718" s="6" t="str">
        <f>HYPERLINK("http://www.worldcat.org/oclc/483843","WorldCat Record")</f>
        <v>WorldCat Record</v>
      </c>
      <c r="AX6718" s="3" t="s">
        <v>64651</v>
      </c>
      <c r="AY6718" s="3" t="s">
        <v>64652</v>
      </c>
      <c r="AZ6718" s="3" t="s">
        <v>64653</v>
      </c>
      <c r="BA6718" s="3" t="s">
        <v>64653</v>
      </c>
      <c r="BB6718" s="3" t="s">
        <v>64661</v>
      </c>
      <c r="BC6718" s="3" t="s">
        <v>142</v>
      </c>
      <c r="BD6718" s="3" t="s">
        <v>68</v>
      </c>
      <c r="BE6718" s="3" t="s">
        <v>64655</v>
      </c>
      <c r="BF6718" s="3" t="s">
        <v>64661</v>
      </c>
      <c r="BG6718" s="3" t="s">
        <v>64662</v>
      </c>
    </row>
    <row r="6719" spans="1:59" ht="57" x14ac:dyDescent="0.45">
      <c r="A6719" s="2" t="s">
        <v>59</v>
      </c>
      <c r="B6719" s="2" t="s">
        <v>60</v>
      </c>
      <c r="C6719" s="2" t="s">
        <v>64663</v>
      </c>
      <c r="D6719" s="2" t="s">
        <v>64664</v>
      </c>
      <c r="E6719" s="2" t="s">
        <v>64665</v>
      </c>
      <c r="F6719" s="3" t="s">
        <v>31253</v>
      </c>
      <c r="G6719" s="3" t="s">
        <v>61</v>
      </c>
      <c r="I6719" s="3" t="s">
        <v>62</v>
      </c>
      <c r="J6719" s="3" t="s">
        <v>62</v>
      </c>
      <c r="K6719" s="3" t="s">
        <v>63</v>
      </c>
      <c r="L6719" s="2" t="s">
        <v>64666</v>
      </c>
      <c r="M6719" s="2" t="s">
        <v>64667</v>
      </c>
      <c r="N6719" s="3" t="s">
        <v>495</v>
      </c>
      <c r="P6719" s="3" t="s">
        <v>326</v>
      </c>
      <c r="Q6719" s="2" t="s">
        <v>64668</v>
      </c>
      <c r="R6719" s="3" t="s">
        <v>66</v>
      </c>
      <c r="S6719" s="4">
        <v>0</v>
      </c>
      <c r="T6719" s="4">
        <v>1</v>
      </c>
      <c r="V6719" s="5" t="s">
        <v>64649</v>
      </c>
      <c r="W6719" s="5" t="s">
        <v>67</v>
      </c>
      <c r="X6719" s="5" t="s">
        <v>67</v>
      </c>
      <c r="Y6719" s="4">
        <v>136</v>
      </c>
      <c r="Z6719" s="4">
        <v>11</v>
      </c>
      <c r="AA6719" s="4">
        <v>11</v>
      </c>
      <c r="AB6719" s="4">
        <v>1</v>
      </c>
      <c r="AC6719" s="4">
        <v>1</v>
      </c>
      <c r="AD6719" s="4">
        <v>71</v>
      </c>
      <c r="AE6719" s="4">
        <v>71</v>
      </c>
      <c r="AF6719" s="4">
        <v>0</v>
      </c>
      <c r="AG6719" s="4">
        <v>0</v>
      </c>
      <c r="AH6719" s="4">
        <v>67</v>
      </c>
      <c r="AI6719" s="4">
        <v>67</v>
      </c>
      <c r="AJ6719" s="4">
        <v>9</v>
      </c>
      <c r="AK6719" s="4">
        <v>9</v>
      </c>
      <c r="AL6719" s="4">
        <v>42</v>
      </c>
      <c r="AM6719" s="4">
        <v>42</v>
      </c>
      <c r="AN6719" s="4">
        <v>0</v>
      </c>
      <c r="AO6719" s="4">
        <v>0</v>
      </c>
      <c r="AP6719" s="4">
        <v>9</v>
      </c>
      <c r="AQ6719" s="4">
        <v>9</v>
      </c>
      <c r="AR6719" s="3" t="s">
        <v>62</v>
      </c>
      <c r="AS6719" s="3" t="s">
        <v>62</v>
      </c>
      <c r="AT6719" s="3" t="s">
        <v>61</v>
      </c>
      <c r="AU6719" s="6" t="str">
        <f>HYPERLINK("http://catalog.hathitrust.org/Record/000686559","HathiTrust Record")</f>
        <v>HathiTrust Record</v>
      </c>
      <c r="AV6719" s="6" t="str">
        <f>HYPERLINK("http://mcgill.on.worldcat.org/oclc/1976422","Catalog Record")</f>
        <v>Catalog Record</v>
      </c>
      <c r="AW6719" s="6" t="str">
        <f>HYPERLINK("http://www.worldcat.org/oclc/1976422","WorldCat Record")</f>
        <v>WorldCat Record</v>
      </c>
      <c r="AX6719" s="3" t="s">
        <v>64669</v>
      </c>
      <c r="AY6719" s="3" t="s">
        <v>64670</v>
      </c>
      <c r="AZ6719" s="3" t="s">
        <v>64671</v>
      </c>
      <c r="BA6719" s="3" t="s">
        <v>64671</v>
      </c>
      <c r="BB6719" s="3" t="s">
        <v>64672</v>
      </c>
      <c r="BC6719" s="3" t="s">
        <v>142</v>
      </c>
      <c r="BD6719" s="3" t="s">
        <v>68</v>
      </c>
      <c r="BE6719" s="3" t="s">
        <v>64673</v>
      </c>
      <c r="BF6719" s="3" t="s">
        <v>64672</v>
      </c>
      <c r="BG6719" s="3" t="s">
        <v>64674</v>
      </c>
    </row>
    <row r="6720" spans="1:59" ht="57" x14ac:dyDescent="0.45">
      <c r="A6720" s="2" t="s">
        <v>59</v>
      </c>
      <c r="B6720" s="2" t="s">
        <v>60</v>
      </c>
      <c r="C6720" s="2" t="s">
        <v>64663</v>
      </c>
      <c r="D6720" s="2" t="s">
        <v>64664</v>
      </c>
      <c r="E6720" s="2" t="s">
        <v>64665</v>
      </c>
      <c r="F6720" s="3" t="s">
        <v>31244</v>
      </c>
      <c r="G6720" s="3" t="s">
        <v>61</v>
      </c>
      <c r="I6720" s="3" t="s">
        <v>62</v>
      </c>
      <c r="J6720" s="3" t="s">
        <v>62</v>
      </c>
      <c r="K6720" s="3" t="s">
        <v>63</v>
      </c>
      <c r="L6720" s="2" t="s">
        <v>64666</v>
      </c>
      <c r="M6720" s="2" t="s">
        <v>64667</v>
      </c>
      <c r="N6720" s="3" t="s">
        <v>495</v>
      </c>
      <c r="P6720" s="3" t="s">
        <v>326</v>
      </c>
      <c r="Q6720" s="2" t="s">
        <v>64668</v>
      </c>
      <c r="R6720" s="3" t="s">
        <v>66</v>
      </c>
      <c r="S6720" s="4">
        <v>1</v>
      </c>
      <c r="T6720" s="4">
        <v>1</v>
      </c>
      <c r="U6720" s="5" t="s">
        <v>64649</v>
      </c>
      <c r="V6720" s="5" t="s">
        <v>64649</v>
      </c>
      <c r="W6720" s="5" t="s">
        <v>67</v>
      </c>
      <c r="X6720" s="5" t="s">
        <v>67</v>
      </c>
      <c r="Y6720" s="4">
        <v>136</v>
      </c>
      <c r="Z6720" s="4">
        <v>11</v>
      </c>
      <c r="AA6720" s="4">
        <v>11</v>
      </c>
      <c r="AB6720" s="4">
        <v>1</v>
      </c>
      <c r="AC6720" s="4">
        <v>1</v>
      </c>
      <c r="AD6720" s="4">
        <v>71</v>
      </c>
      <c r="AE6720" s="4">
        <v>71</v>
      </c>
      <c r="AF6720" s="4">
        <v>0</v>
      </c>
      <c r="AG6720" s="4">
        <v>0</v>
      </c>
      <c r="AH6720" s="4">
        <v>67</v>
      </c>
      <c r="AI6720" s="4">
        <v>67</v>
      </c>
      <c r="AJ6720" s="4">
        <v>9</v>
      </c>
      <c r="AK6720" s="4">
        <v>9</v>
      </c>
      <c r="AL6720" s="4">
        <v>42</v>
      </c>
      <c r="AM6720" s="4">
        <v>42</v>
      </c>
      <c r="AN6720" s="4">
        <v>0</v>
      </c>
      <c r="AO6720" s="4">
        <v>0</v>
      </c>
      <c r="AP6720" s="4">
        <v>9</v>
      </c>
      <c r="AQ6720" s="4">
        <v>9</v>
      </c>
      <c r="AR6720" s="3" t="s">
        <v>62</v>
      </c>
      <c r="AS6720" s="3" t="s">
        <v>62</v>
      </c>
      <c r="AT6720" s="3" t="s">
        <v>61</v>
      </c>
      <c r="AU6720" s="6" t="str">
        <f>HYPERLINK("http://catalog.hathitrust.org/Record/000686559","HathiTrust Record")</f>
        <v>HathiTrust Record</v>
      </c>
      <c r="AV6720" s="6" t="str">
        <f>HYPERLINK("http://mcgill.on.worldcat.org/oclc/1976422","Catalog Record")</f>
        <v>Catalog Record</v>
      </c>
      <c r="AW6720" s="6" t="str">
        <f>HYPERLINK("http://www.worldcat.org/oclc/1976422","WorldCat Record")</f>
        <v>WorldCat Record</v>
      </c>
      <c r="AX6720" s="3" t="s">
        <v>64669</v>
      </c>
      <c r="AY6720" s="3" t="s">
        <v>64670</v>
      </c>
      <c r="AZ6720" s="3" t="s">
        <v>64671</v>
      </c>
      <c r="BA6720" s="3" t="s">
        <v>64671</v>
      </c>
      <c r="BB6720" s="3" t="s">
        <v>64675</v>
      </c>
      <c r="BC6720" s="3" t="s">
        <v>142</v>
      </c>
      <c r="BD6720" s="3" t="s">
        <v>68</v>
      </c>
      <c r="BE6720" s="3" t="s">
        <v>64673</v>
      </c>
      <c r="BF6720" s="3" t="s">
        <v>64675</v>
      </c>
      <c r="BG6720" s="3" t="s">
        <v>64676</v>
      </c>
    </row>
    <row r="6721" spans="1:59" ht="85.5" x14ac:dyDescent="0.45">
      <c r="A6721" s="2" t="s">
        <v>59</v>
      </c>
      <c r="B6721" s="2" t="s">
        <v>60</v>
      </c>
      <c r="C6721" s="2" t="s">
        <v>64677</v>
      </c>
      <c r="D6721" s="2" t="s">
        <v>64678</v>
      </c>
      <c r="E6721" s="2" t="s">
        <v>64679</v>
      </c>
      <c r="G6721" s="3" t="s">
        <v>62</v>
      </c>
      <c r="I6721" s="3" t="s">
        <v>62</v>
      </c>
      <c r="J6721" s="3" t="s">
        <v>62</v>
      </c>
      <c r="K6721" s="3" t="s">
        <v>63</v>
      </c>
      <c r="M6721" s="2" t="s">
        <v>7877</v>
      </c>
      <c r="N6721" s="3" t="s">
        <v>1465</v>
      </c>
      <c r="P6721" s="3" t="s">
        <v>65</v>
      </c>
      <c r="Q6721" s="2" t="s">
        <v>64680</v>
      </c>
      <c r="R6721" s="3" t="s">
        <v>66</v>
      </c>
      <c r="S6721" s="4">
        <v>1</v>
      </c>
      <c r="T6721" s="4">
        <v>1</v>
      </c>
      <c r="U6721" s="5" t="s">
        <v>43469</v>
      </c>
      <c r="V6721" s="5" t="s">
        <v>43469</v>
      </c>
      <c r="W6721" s="5" t="s">
        <v>67</v>
      </c>
      <c r="X6721" s="5" t="s">
        <v>67</v>
      </c>
      <c r="Y6721" s="4">
        <v>95</v>
      </c>
      <c r="Z6721" s="4">
        <v>12</v>
      </c>
      <c r="AA6721" s="4">
        <v>99</v>
      </c>
      <c r="AB6721" s="4">
        <v>2</v>
      </c>
      <c r="AC6721" s="4">
        <v>18</v>
      </c>
      <c r="AD6721" s="4">
        <v>52</v>
      </c>
      <c r="AE6721" s="4">
        <v>121</v>
      </c>
      <c r="AF6721" s="4">
        <v>0</v>
      </c>
      <c r="AG6721" s="4">
        <v>8</v>
      </c>
      <c r="AH6721" s="4">
        <v>48</v>
      </c>
      <c r="AI6721" s="4">
        <v>84</v>
      </c>
      <c r="AJ6721" s="4">
        <v>9</v>
      </c>
      <c r="AK6721" s="4">
        <v>23</v>
      </c>
      <c r="AL6721" s="4">
        <v>36</v>
      </c>
      <c r="AM6721" s="4">
        <v>47</v>
      </c>
      <c r="AN6721" s="4">
        <v>0</v>
      </c>
      <c r="AO6721" s="4">
        <v>0</v>
      </c>
      <c r="AP6721" s="4">
        <v>9</v>
      </c>
      <c r="AQ6721" s="4">
        <v>44</v>
      </c>
      <c r="AR6721" s="3" t="s">
        <v>62</v>
      </c>
      <c r="AS6721" s="3" t="s">
        <v>62</v>
      </c>
      <c r="AT6721" s="3" t="s">
        <v>62</v>
      </c>
      <c r="AV6721" s="6" t="str">
        <f>HYPERLINK("http://mcgill.on.worldcat.org/oclc/317824647","Catalog Record")</f>
        <v>Catalog Record</v>
      </c>
      <c r="AW6721" s="6" t="str">
        <f>HYPERLINK("http://www.worldcat.org/oclc/317824647","WorldCat Record")</f>
        <v>WorldCat Record</v>
      </c>
      <c r="AX6721" s="3" t="s">
        <v>64681</v>
      </c>
      <c r="AY6721" s="3" t="s">
        <v>64682</v>
      </c>
      <c r="AZ6721" s="3" t="s">
        <v>64683</v>
      </c>
      <c r="BA6721" s="3" t="s">
        <v>64683</v>
      </c>
      <c r="BB6721" s="3" t="s">
        <v>64684</v>
      </c>
      <c r="BC6721" s="3" t="s">
        <v>142</v>
      </c>
      <c r="BD6721" s="3" t="s">
        <v>68</v>
      </c>
      <c r="BE6721" s="3" t="s">
        <v>64685</v>
      </c>
      <c r="BF6721" s="3" t="s">
        <v>64684</v>
      </c>
      <c r="BG6721" s="3" t="s">
        <v>64686</v>
      </c>
    </row>
    <row r="6722" spans="1:59" ht="57" x14ac:dyDescent="0.45">
      <c r="A6722" s="2" t="s">
        <v>59</v>
      </c>
      <c r="B6722" s="2" t="s">
        <v>60</v>
      </c>
      <c r="C6722" s="2" t="s">
        <v>64687</v>
      </c>
      <c r="D6722" s="2" t="s">
        <v>64688</v>
      </c>
      <c r="E6722" s="2" t="s">
        <v>64689</v>
      </c>
      <c r="G6722" s="3" t="s">
        <v>62</v>
      </c>
      <c r="I6722" s="3" t="s">
        <v>62</v>
      </c>
      <c r="J6722" s="3" t="s">
        <v>62</v>
      </c>
      <c r="K6722" s="3" t="s">
        <v>63</v>
      </c>
      <c r="L6722" s="2" t="s">
        <v>64690</v>
      </c>
      <c r="M6722" s="2" t="s">
        <v>64691</v>
      </c>
      <c r="N6722" s="3" t="s">
        <v>64692</v>
      </c>
      <c r="P6722" s="3" t="s">
        <v>65</v>
      </c>
      <c r="R6722" s="3" t="s">
        <v>66</v>
      </c>
      <c r="S6722" s="4">
        <v>3</v>
      </c>
      <c r="T6722" s="4">
        <v>3</v>
      </c>
      <c r="U6722" s="5" t="s">
        <v>36101</v>
      </c>
      <c r="V6722" s="5" t="s">
        <v>36101</v>
      </c>
      <c r="W6722" s="5" t="s">
        <v>67</v>
      </c>
      <c r="X6722" s="5" t="s">
        <v>67</v>
      </c>
      <c r="Y6722" s="4">
        <v>2</v>
      </c>
      <c r="Z6722" s="4">
        <v>1</v>
      </c>
      <c r="AA6722" s="4">
        <v>5</v>
      </c>
      <c r="AB6722" s="4">
        <v>1</v>
      </c>
      <c r="AC6722" s="4">
        <v>1</v>
      </c>
      <c r="AD6722" s="4">
        <v>0</v>
      </c>
      <c r="AE6722" s="4">
        <v>34</v>
      </c>
      <c r="AF6722" s="4">
        <v>0</v>
      </c>
      <c r="AG6722" s="4">
        <v>0</v>
      </c>
      <c r="AH6722" s="4">
        <v>0</v>
      </c>
      <c r="AI6722" s="4">
        <v>31</v>
      </c>
      <c r="AJ6722" s="4">
        <v>0</v>
      </c>
      <c r="AK6722" s="4">
        <v>2</v>
      </c>
      <c r="AL6722" s="4">
        <v>0</v>
      </c>
      <c r="AM6722" s="4">
        <v>23</v>
      </c>
      <c r="AN6722" s="4">
        <v>0</v>
      </c>
      <c r="AO6722" s="4">
        <v>0</v>
      </c>
      <c r="AP6722" s="4">
        <v>0</v>
      </c>
      <c r="AQ6722" s="4">
        <v>3</v>
      </c>
      <c r="AR6722" s="3" t="s">
        <v>62</v>
      </c>
      <c r="AS6722" s="3" t="s">
        <v>62</v>
      </c>
      <c r="AT6722" s="3" t="s">
        <v>62</v>
      </c>
      <c r="AV6722" s="6" t="str">
        <f>HYPERLINK("http://mcgill.on.worldcat.org/oclc/61603582","Catalog Record")</f>
        <v>Catalog Record</v>
      </c>
      <c r="AW6722" s="6" t="str">
        <f>HYPERLINK("http://www.worldcat.org/oclc/61603582","WorldCat Record")</f>
        <v>WorldCat Record</v>
      </c>
      <c r="AX6722" s="3" t="s">
        <v>64693</v>
      </c>
      <c r="AY6722" s="3" t="s">
        <v>64694</v>
      </c>
      <c r="AZ6722" s="3" t="s">
        <v>64695</v>
      </c>
      <c r="BA6722" s="3" t="s">
        <v>64695</v>
      </c>
      <c r="BB6722" s="3" t="s">
        <v>64696</v>
      </c>
      <c r="BC6722" s="3" t="s">
        <v>142</v>
      </c>
      <c r="BD6722" s="3" t="s">
        <v>68</v>
      </c>
      <c r="BF6722" s="3" t="s">
        <v>64696</v>
      </c>
      <c r="BG6722" s="3" t="s">
        <v>64697</v>
      </c>
    </row>
    <row r="6723" spans="1:59" ht="57" x14ac:dyDescent="0.45">
      <c r="A6723" s="2" t="s">
        <v>927</v>
      </c>
      <c r="B6723" s="2" t="s">
        <v>928</v>
      </c>
      <c r="C6723" s="2" t="s">
        <v>64698</v>
      </c>
      <c r="D6723" s="2" t="s">
        <v>64699</v>
      </c>
      <c r="E6723" s="2" t="s">
        <v>64700</v>
      </c>
      <c r="G6723" s="3" t="s">
        <v>62</v>
      </c>
      <c r="I6723" s="3" t="s">
        <v>62</v>
      </c>
      <c r="J6723" s="3" t="s">
        <v>61</v>
      </c>
      <c r="K6723" s="3" t="s">
        <v>63</v>
      </c>
      <c r="M6723" s="2" t="s">
        <v>64701</v>
      </c>
      <c r="N6723" s="3" t="s">
        <v>1212</v>
      </c>
      <c r="O6723" s="2" t="s">
        <v>933</v>
      </c>
      <c r="P6723" s="3" t="s">
        <v>65</v>
      </c>
      <c r="R6723" s="3" t="s">
        <v>66</v>
      </c>
      <c r="S6723" s="4">
        <v>2</v>
      </c>
      <c r="T6723" s="4">
        <v>2</v>
      </c>
      <c r="U6723" s="5" t="s">
        <v>23564</v>
      </c>
      <c r="V6723" s="5" t="s">
        <v>23564</v>
      </c>
      <c r="W6723" s="5" t="s">
        <v>67</v>
      </c>
      <c r="X6723" s="5" t="s">
        <v>67</v>
      </c>
      <c r="Y6723" s="4">
        <v>388</v>
      </c>
      <c r="Z6723" s="4">
        <v>21</v>
      </c>
      <c r="AA6723" s="4">
        <v>29</v>
      </c>
      <c r="AB6723" s="4">
        <v>2</v>
      </c>
      <c r="AC6723" s="4">
        <v>3</v>
      </c>
      <c r="AD6723" s="4">
        <v>89</v>
      </c>
      <c r="AE6723" s="4">
        <v>117</v>
      </c>
      <c r="AF6723" s="4">
        <v>1</v>
      </c>
      <c r="AG6723" s="4">
        <v>2</v>
      </c>
      <c r="AH6723" s="4">
        <v>78</v>
      </c>
      <c r="AI6723" s="4">
        <v>103</v>
      </c>
      <c r="AJ6723" s="4">
        <v>13</v>
      </c>
      <c r="AK6723" s="4">
        <v>15</v>
      </c>
      <c r="AL6723" s="4">
        <v>40</v>
      </c>
      <c r="AM6723" s="4">
        <v>58</v>
      </c>
      <c r="AN6723" s="4">
        <v>0</v>
      </c>
      <c r="AO6723" s="4">
        <v>0</v>
      </c>
      <c r="AP6723" s="4">
        <v>17</v>
      </c>
      <c r="AQ6723" s="4">
        <v>21</v>
      </c>
      <c r="AR6723" s="3" t="s">
        <v>62</v>
      </c>
      <c r="AS6723" s="3" t="s">
        <v>62</v>
      </c>
      <c r="AT6723" s="3" t="s">
        <v>61</v>
      </c>
      <c r="AU6723" s="6" t="str">
        <f>HYPERLINK("http://catalog.hathitrust.org/Record/004122864","HathiTrust Record")</f>
        <v>HathiTrust Record</v>
      </c>
      <c r="AV6723" s="6" t="str">
        <f>HYPERLINK("http://mcgill.on.worldcat.org/oclc/43836701","Catalog Record")</f>
        <v>Catalog Record</v>
      </c>
      <c r="AW6723" s="6" t="str">
        <f>HYPERLINK("http://www.worldcat.org/oclc/43836701","WorldCat Record")</f>
        <v>WorldCat Record</v>
      </c>
      <c r="AX6723" s="3" t="s">
        <v>64702</v>
      </c>
      <c r="AY6723" s="3" t="s">
        <v>64703</v>
      </c>
      <c r="AZ6723" s="3" t="s">
        <v>64704</v>
      </c>
      <c r="BA6723" s="3" t="s">
        <v>64704</v>
      </c>
      <c r="BB6723" s="3" t="s">
        <v>64705</v>
      </c>
      <c r="BC6723" s="3" t="s">
        <v>142</v>
      </c>
      <c r="BD6723" s="3" t="s">
        <v>68</v>
      </c>
      <c r="BE6723" s="3" t="s">
        <v>64706</v>
      </c>
      <c r="BF6723" s="3" t="s">
        <v>64705</v>
      </c>
      <c r="BG6723" s="3" t="s">
        <v>64707</v>
      </c>
    </row>
    <row r="6724" spans="1:59" ht="57" x14ac:dyDescent="0.45">
      <c r="A6724" s="2" t="s">
        <v>59</v>
      </c>
      <c r="B6724" s="2" t="s">
        <v>12420</v>
      </c>
      <c r="C6724" s="2" t="s">
        <v>64708</v>
      </c>
      <c r="D6724" s="2" t="s">
        <v>64709</v>
      </c>
      <c r="E6724" s="2" t="s">
        <v>64700</v>
      </c>
      <c r="G6724" s="3" t="s">
        <v>62</v>
      </c>
      <c r="I6724" s="3" t="s">
        <v>62</v>
      </c>
      <c r="J6724" s="3" t="s">
        <v>61</v>
      </c>
      <c r="K6724" s="3" t="s">
        <v>63</v>
      </c>
      <c r="M6724" s="2" t="s">
        <v>64710</v>
      </c>
      <c r="N6724" s="3" t="s">
        <v>894</v>
      </c>
      <c r="O6724" s="2" t="s">
        <v>906</v>
      </c>
      <c r="P6724" s="3" t="s">
        <v>65</v>
      </c>
      <c r="R6724" s="3" t="s">
        <v>66</v>
      </c>
      <c r="S6724" s="4">
        <v>0</v>
      </c>
      <c r="T6724" s="4">
        <v>0</v>
      </c>
      <c r="W6724" s="5" t="s">
        <v>67</v>
      </c>
      <c r="X6724" s="5" t="s">
        <v>67</v>
      </c>
      <c r="Y6724" s="4">
        <v>178</v>
      </c>
      <c r="Z6724" s="4">
        <v>11</v>
      </c>
      <c r="AA6724" s="4">
        <v>29</v>
      </c>
      <c r="AB6724" s="4">
        <v>1</v>
      </c>
      <c r="AC6724" s="4">
        <v>3</v>
      </c>
      <c r="AD6724" s="4">
        <v>51</v>
      </c>
      <c r="AE6724" s="4">
        <v>117</v>
      </c>
      <c r="AF6724" s="4">
        <v>0</v>
      </c>
      <c r="AG6724" s="4">
        <v>2</v>
      </c>
      <c r="AH6724" s="4">
        <v>46</v>
      </c>
      <c r="AI6724" s="4">
        <v>103</v>
      </c>
      <c r="AJ6724" s="4">
        <v>7</v>
      </c>
      <c r="AK6724" s="4">
        <v>15</v>
      </c>
      <c r="AL6724" s="4">
        <v>31</v>
      </c>
      <c r="AM6724" s="4">
        <v>58</v>
      </c>
      <c r="AN6724" s="4">
        <v>0</v>
      </c>
      <c r="AO6724" s="4">
        <v>0</v>
      </c>
      <c r="AP6724" s="4">
        <v>8</v>
      </c>
      <c r="AQ6724" s="4">
        <v>21</v>
      </c>
      <c r="AR6724" s="3" t="s">
        <v>62</v>
      </c>
      <c r="AS6724" s="3" t="s">
        <v>62</v>
      </c>
      <c r="AT6724" s="3" t="s">
        <v>62</v>
      </c>
      <c r="AV6724" s="6" t="str">
        <f>HYPERLINK("http://mcgill.on.worldcat.org/oclc/723529648","Catalog Record")</f>
        <v>Catalog Record</v>
      </c>
      <c r="AW6724" s="6" t="str">
        <f>HYPERLINK("http://www.worldcat.org/oclc/723529648","WorldCat Record")</f>
        <v>WorldCat Record</v>
      </c>
      <c r="AX6724" s="3" t="s">
        <v>64702</v>
      </c>
      <c r="AY6724" s="3" t="s">
        <v>64711</v>
      </c>
      <c r="AZ6724" s="3" t="s">
        <v>64712</v>
      </c>
      <c r="BA6724" s="3" t="s">
        <v>64712</v>
      </c>
      <c r="BB6724" s="3" t="s">
        <v>64713</v>
      </c>
      <c r="BC6724" s="3" t="s">
        <v>142</v>
      </c>
      <c r="BD6724" s="3" t="s">
        <v>68</v>
      </c>
      <c r="BE6724" s="3" t="s">
        <v>64714</v>
      </c>
      <c r="BF6724" s="3" t="s">
        <v>64713</v>
      </c>
      <c r="BG6724" s="3" t="s">
        <v>64715</v>
      </c>
    </row>
    <row r="6725" spans="1:59" ht="71.25" x14ac:dyDescent="0.45">
      <c r="A6725" s="2" t="s">
        <v>59</v>
      </c>
      <c r="B6725" s="2" t="s">
        <v>60</v>
      </c>
      <c r="C6725" s="2" t="s">
        <v>64716</v>
      </c>
      <c r="D6725" s="2" t="s">
        <v>64717</v>
      </c>
      <c r="E6725" s="2" t="s">
        <v>64718</v>
      </c>
      <c r="G6725" s="3" t="s">
        <v>62</v>
      </c>
      <c r="I6725" s="3" t="s">
        <v>62</v>
      </c>
      <c r="J6725" s="3" t="s">
        <v>62</v>
      </c>
      <c r="K6725" s="3" t="s">
        <v>63</v>
      </c>
      <c r="M6725" s="2" t="s">
        <v>64719</v>
      </c>
      <c r="N6725" s="3" t="s">
        <v>1097</v>
      </c>
      <c r="P6725" s="3" t="s">
        <v>65</v>
      </c>
      <c r="Q6725" s="2" t="s">
        <v>64720</v>
      </c>
      <c r="R6725" s="3" t="s">
        <v>66</v>
      </c>
      <c r="S6725" s="4">
        <v>1</v>
      </c>
      <c r="T6725" s="4">
        <v>1</v>
      </c>
      <c r="U6725" s="5" t="s">
        <v>64721</v>
      </c>
      <c r="V6725" s="5" t="s">
        <v>64721</v>
      </c>
      <c r="W6725" s="5" t="s">
        <v>67</v>
      </c>
      <c r="X6725" s="5" t="s">
        <v>67</v>
      </c>
      <c r="Y6725" s="4">
        <v>87</v>
      </c>
      <c r="Z6725" s="4">
        <v>9</v>
      </c>
      <c r="AA6725" s="4">
        <v>9</v>
      </c>
      <c r="AB6725" s="4">
        <v>1</v>
      </c>
      <c r="AC6725" s="4">
        <v>1</v>
      </c>
      <c r="AD6725" s="4">
        <v>44</v>
      </c>
      <c r="AE6725" s="4">
        <v>44</v>
      </c>
      <c r="AF6725" s="4">
        <v>0</v>
      </c>
      <c r="AG6725" s="4">
        <v>0</v>
      </c>
      <c r="AH6725" s="4">
        <v>40</v>
      </c>
      <c r="AI6725" s="4">
        <v>40</v>
      </c>
      <c r="AJ6725" s="4">
        <v>6</v>
      </c>
      <c r="AK6725" s="4">
        <v>6</v>
      </c>
      <c r="AL6725" s="4">
        <v>26</v>
      </c>
      <c r="AM6725" s="4">
        <v>26</v>
      </c>
      <c r="AN6725" s="4">
        <v>0</v>
      </c>
      <c r="AO6725" s="4">
        <v>0</v>
      </c>
      <c r="AP6725" s="4">
        <v>7</v>
      </c>
      <c r="AQ6725" s="4">
        <v>7</v>
      </c>
      <c r="AR6725" s="3" t="s">
        <v>62</v>
      </c>
      <c r="AS6725" s="3" t="s">
        <v>62</v>
      </c>
      <c r="AT6725" s="3" t="s">
        <v>61</v>
      </c>
      <c r="AU6725" s="6" t="str">
        <f>HYPERLINK("http://catalog.hathitrust.org/Record/004722677","HathiTrust Record")</f>
        <v>HathiTrust Record</v>
      </c>
      <c r="AV6725" s="6" t="str">
        <f>HYPERLINK("http://mcgill.on.worldcat.org/oclc/56222373","Catalog Record")</f>
        <v>Catalog Record</v>
      </c>
      <c r="AW6725" s="6" t="str">
        <f>HYPERLINK("http://www.worldcat.org/oclc/56222373","WorldCat Record")</f>
        <v>WorldCat Record</v>
      </c>
      <c r="AX6725" s="3" t="s">
        <v>64722</v>
      </c>
      <c r="AY6725" s="3" t="s">
        <v>64723</v>
      </c>
      <c r="AZ6725" s="3" t="s">
        <v>64724</v>
      </c>
      <c r="BA6725" s="3" t="s">
        <v>64724</v>
      </c>
      <c r="BB6725" s="3" t="s">
        <v>64725</v>
      </c>
      <c r="BC6725" s="3" t="s">
        <v>142</v>
      </c>
      <c r="BD6725" s="3" t="s">
        <v>68</v>
      </c>
      <c r="BE6725" s="3" t="s">
        <v>64726</v>
      </c>
      <c r="BF6725" s="3" t="s">
        <v>64725</v>
      </c>
      <c r="BG6725" s="3" t="s">
        <v>64727</v>
      </c>
    </row>
    <row r="6726" spans="1:59" ht="57" x14ac:dyDescent="0.45">
      <c r="A6726" s="2" t="s">
        <v>59</v>
      </c>
      <c r="B6726" s="2" t="s">
        <v>60</v>
      </c>
      <c r="C6726" s="2" t="s">
        <v>64728</v>
      </c>
      <c r="D6726" s="2" t="s">
        <v>64729</v>
      </c>
      <c r="E6726" s="2" t="s">
        <v>64730</v>
      </c>
      <c r="G6726" s="3" t="s">
        <v>62</v>
      </c>
      <c r="I6726" s="3" t="s">
        <v>62</v>
      </c>
      <c r="J6726" s="3" t="s">
        <v>62</v>
      </c>
      <c r="K6726" s="3" t="s">
        <v>63</v>
      </c>
      <c r="L6726" s="2" t="s">
        <v>64731</v>
      </c>
      <c r="M6726" s="2" t="s">
        <v>64732</v>
      </c>
      <c r="N6726" s="3" t="s">
        <v>1212</v>
      </c>
      <c r="P6726" s="3" t="s">
        <v>65</v>
      </c>
      <c r="Q6726" s="2" t="s">
        <v>64733</v>
      </c>
      <c r="R6726" s="3" t="s">
        <v>66</v>
      </c>
      <c r="S6726" s="4">
        <v>1</v>
      </c>
      <c r="T6726" s="4">
        <v>1</v>
      </c>
      <c r="U6726" s="5" t="s">
        <v>43469</v>
      </c>
      <c r="V6726" s="5" t="s">
        <v>43469</v>
      </c>
      <c r="W6726" s="5" t="s">
        <v>67</v>
      </c>
      <c r="X6726" s="5" t="s">
        <v>67</v>
      </c>
      <c r="Y6726" s="4">
        <v>19</v>
      </c>
      <c r="Z6726" s="4">
        <v>3</v>
      </c>
      <c r="AA6726" s="4">
        <v>8</v>
      </c>
      <c r="AB6726" s="4">
        <v>1</v>
      </c>
      <c r="AC6726" s="4">
        <v>1</v>
      </c>
      <c r="AD6726" s="4">
        <v>14</v>
      </c>
      <c r="AE6726" s="4">
        <v>35</v>
      </c>
      <c r="AF6726" s="4">
        <v>0</v>
      </c>
      <c r="AG6726" s="4">
        <v>0</v>
      </c>
      <c r="AH6726" s="4">
        <v>13</v>
      </c>
      <c r="AI6726" s="4">
        <v>33</v>
      </c>
      <c r="AJ6726" s="4">
        <v>2</v>
      </c>
      <c r="AK6726" s="4">
        <v>6</v>
      </c>
      <c r="AL6726" s="4">
        <v>10</v>
      </c>
      <c r="AM6726" s="4">
        <v>24</v>
      </c>
      <c r="AN6726" s="4">
        <v>0</v>
      </c>
      <c r="AO6726" s="4">
        <v>0</v>
      </c>
      <c r="AP6726" s="4">
        <v>2</v>
      </c>
      <c r="AQ6726" s="4">
        <v>6</v>
      </c>
      <c r="AR6726" s="3" t="s">
        <v>62</v>
      </c>
      <c r="AS6726" s="3" t="s">
        <v>62</v>
      </c>
      <c r="AT6726" s="3" t="s">
        <v>61</v>
      </c>
      <c r="AU6726" s="6" t="str">
        <f>HYPERLINK("http://catalog.hathitrust.org/Record/004358594","HathiTrust Record")</f>
        <v>HathiTrust Record</v>
      </c>
      <c r="AV6726" s="6" t="str">
        <f>HYPERLINK("http://mcgill.on.worldcat.org/oclc/56320029","Catalog Record")</f>
        <v>Catalog Record</v>
      </c>
      <c r="AW6726" s="6" t="str">
        <f>HYPERLINK("http://www.worldcat.org/oclc/56320029","WorldCat Record")</f>
        <v>WorldCat Record</v>
      </c>
      <c r="AX6726" s="3" t="s">
        <v>64734</v>
      </c>
      <c r="AY6726" s="3" t="s">
        <v>64735</v>
      </c>
      <c r="AZ6726" s="3" t="s">
        <v>64736</v>
      </c>
      <c r="BA6726" s="3" t="s">
        <v>64736</v>
      </c>
      <c r="BB6726" s="3" t="s">
        <v>64737</v>
      </c>
      <c r="BC6726" s="3" t="s">
        <v>142</v>
      </c>
      <c r="BD6726" s="3" t="s">
        <v>68</v>
      </c>
      <c r="BE6726" s="3" t="s">
        <v>64738</v>
      </c>
      <c r="BF6726" s="3" t="s">
        <v>64737</v>
      </c>
      <c r="BG6726" s="3" t="s">
        <v>64739</v>
      </c>
    </row>
    <row r="6727" spans="1:59" ht="57" x14ac:dyDescent="0.45">
      <c r="A6727" s="2" t="s">
        <v>59</v>
      </c>
      <c r="B6727" s="2" t="s">
        <v>60</v>
      </c>
      <c r="C6727" s="2" t="s">
        <v>64740</v>
      </c>
      <c r="D6727" s="2" t="s">
        <v>64741</v>
      </c>
      <c r="E6727" s="2" t="s">
        <v>64742</v>
      </c>
      <c r="G6727" s="3" t="s">
        <v>62</v>
      </c>
      <c r="I6727" s="3" t="s">
        <v>62</v>
      </c>
      <c r="J6727" s="3" t="s">
        <v>62</v>
      </c>
      <c r="K6727" s="3" t="s">
        <v>63</v>
      </c>
      <c r="L6727" s="2" t="s">
        <v>64743</v>
      </c>
      <c r="M6727" s="2" t="s">
        <v>64744</v>
      </c>
      <c r="N6727" s="3" t="s">
        <v>106</v>
      </c>
      <c r="O6727" s="2" t="s">
        <v>168</v>
      </c>
      <c r="P6727" s="3" t="s">
        <v>65</v>
      </c>
      <c r="R6727" s="3" t="s">
        <v>66</v>
      </c>
      <c r="S6727" s="4">
        <v>4</v>
      </c>
      <c r="T6727" s="4">
        <v>4</v>
      </c>
      <c r="U6727" s="5" t="s">
        <v>18297</v>
      </c>
      <c r="V6727" s="5" t="s">
        <v>18297</v>
      </c>
      <c r="W6727" s="5" t="s">
        <v>67</v>
      </c>
      <c r="X6727" s="5" t="s">
        <v>67</v>
      </c>
      <c r="Y6727" s="4">
        <v>41</v>
      </c>
      <c r="Z6727" s="4">
        <v>5</v>
      </c>
      <c r="AA6727" s="4">
        <v>5</v>
      </c>
      <c r="AB6727" s="4">
        <v>1</v>
      </c>
      <c r="AC6727" s="4">
        <v>1</v>
      </c>
      <c r="AD6727" s="4">
        <v>29</v>
      </c>
      <c r="AE6727" s="4">
        <v>29</v>
      </c>
      <c r="AF6727" s="4">
        <v>0</v>
      </c>
      <c r="AG6727" s="4">
        <v>0</v>
      </c>
      <c r="AH6727" s="4">
        <v>28</v>
      </c>
      <c r="AI6727" s="4">
        <v>28</v>
      </c>
      <c r="AJ6727" s="4">
        <v>3</v>
      </c>
      <c r="AK6727" s="4">
        <v>3</v>
      </c>
      <c r="AL6727" s="4">
        <v>21</v>
      </c>
      <c r="AM6727" s="4">
        <v>21</v>
      </c>
      <c r="AN6727" s="4">
        <v>0</v>
      </c>
      <c r="AO6727" s="4">
        <v>0</v>
      </c>
      <c r="AP6727" s="4">
        <v>3</v>
      </c>
      <c r="AQ6727" s="4">
        <v>3</v>
      </c>
      <c r="AR6727" s="3" t="s">
        <v>62</v>
      </c>
      <c r="AS6727" s="3" t="s">
        <v>62</v>
      </c>
      <c r="AT6727" s="3" t="s">
        <v>61</v>
      </c>
      <c r="AU6727" s="6" t="str">
        <f>HYPERLINK("http://catalog.hathitrust.org/Record/000349683","HathiTrust Record")</f>
        <v>HathiTrust Record</v>
      </c>
      <c r="AV6727" s="6" t="str">
        <f>HYPERLINK("http://mcgill.on.worldcat.org/oclc/12552869","Catalog Record")</f>
        <v>Catalog Record</v>
      </c>
      <c r="AW6727" s="6" t="str">
        <f>HYPERLINK("http://www.worldcat.org/oclc/12552869","WorldCat Record")</f>
        <v>WorldCat Record</v>
      </c>
      <c r="AX6727" s="3" t="s">
        <v>64745</v>
      </c>
      <c r="AY6727" s="3" t="s">
        <v>64746</v>
      </c>
      <c r="AZ6727" s="3" t="s">
        <v>64747</v>
      </c>
      <c r="BA6727" s="3" t="s">
        <v>64747</v>
      </c>
      <c r="BB6727" s="3" t="s">
        <v>64748</v>
      </c>
      <c r="BC6727" s="3" t="s">
        <v>142</v>
      </c>
      <c r="BD6727" s="3" t="s">
        <v>68</v>
      </c>
      <c r="BF6727" s="3" t="s">
        <v>64748</v>
      </c>
      <c r="BG6727" s="3" t="s">
        <v>64749</v>
      </c>
    </row>
    <row r="6728" spans="1:59" ht="57" x14ac:dyDescent="0.45">
      <c r="A6728" s="2" t="s">
        <v>59</v>
      </c>
      <c r="B6728" s="2" t="s">
        <v>60</v>
      </c>
      <c r="C6728" s="2" t="s">
        <v>64750</v>
      </c>
      <c r="D6728" s="2" t="s">
        <v>64751</v>
      </c>
      <c r="E6728" s="2" t="s">
        <v>64752</v>
      </c>
      <c r="G6728" s="3" t="s">
        <v>62</v>
      </c>
      <c r="I6728" s="3" t="s">
        <v>62</v>
      </c>
      <c r="J6728" s="3" t="s">
        <v>62</v>
      </c>
      <c r="K6728" s="3" t="s">
        <v>63</v>
      </c>
      <c r="L6728" s="2" t="s">
        <v>64753</v>
      </c>
      <c r="M6728" s="2" t="s">
        <v>64754</v>
      </c>
      <c r="N6728" s="3" t="s">
        <v>77</v>
      </c>
      <c r="P6728" s="3" t="s">
        <v>110</v>
      </c>
      <c r="Q6728" s="2" t="s">
        <v>64755</v>
      </c>
      <c r="R6728" s="3" t="s">
        <v>66</v>
      </c>
      <c r="S6728" s="4">
        <v>2</v>
      </c>
      <c r="T6728" s="4">
        <v>2</v>
      </c>
      <c r="U6728" s="5" t="s">
        <v>1894</v>
      </c>
      <c r="V6728" s="5" t="s">
        <v>1894</v>
      </c>
      <c r="W6728" s="5" t="s">
        <v>67</v>
      </c>
      <c r="X6728" s="5" t="s">
        <v>67</v>
      </c>
      <c r="Y6728" s="4">
        <v>98</v>
      </c>
      <c r="Z6728" s="4">
        <v>9</v>
      </c>
      <c r="AA6728" s="4">
        <v>10</v>
      </c>
      <c r="AB6728" s="4">
        <v>1</v>
      </c>
      <c r="AC6728" s="4">
        <v>1</v>
      </c>
      <c r="AD6728" s="4">
        <v>40</v>
      </c>
      <c r="AE6728" s="4">
        <v>41</v>
      </c>
      <c r="AF6728" s="4">
        <v>0</v>
      </c>
      <c r="AG6728" s="4">
        <v>0</v>
      </c>
      <c r="AH6728" s="4">
        <v>36</v>
      </c>
      <c r="AI6728" s="4">
        <v>37</v>
      </c>
      <c r="AJ6728" s="4">
        <v>5</v>
      </c>
      <c r="AK6728" s="4">
        <v>6</v>
      </c>
      <c r="AL6728" s="4">
        <v>27</v>
      </c>
      <c r="AM6728" s="4">
        <v>27</v>
      </c>
      <c r="AN6728" s="4">
        <v>0</v>
      </c>
      <c r="AO6728" s="4">
        <v>0</v>
      </c>
      <c r="AP6728" s="4">
        <v>7</v>
      </c>
      <c r="AQ6728" s="4">
        <v>8</v>
      </c>
      <c r="AR6728" s="3" t="s">
        <v>62</v>
      </c>
      <c r="AS6728" s="3" t="s">
        <v>62</v>
      </c>
      <c r="AT6728" s="3" t="s">
        <v>61</v>
      </c>
      <c r="AU6728" s="6" t="str">
        <f>HYPERLINK("http://catalog.hathitrust.org/Record/001435159","HathiTrust Record")</f>
        <v>HathiTrust Record</v>
      </c>
      <c r="AV6728" s="6" t="str">
        <f>HYPERLINK("http://mcgill.on.worldcat.org/oclc/4985251","Catalog Record")</f>
        <v>Catalog Record</v>
      </c>
      <c r="AW6728" s="6" t="str">
        <f>HYPERLINK("http://www.worldcat.org/oclc/4985251","WorldCat Record")</f>
        <v>WorldCat Record</v>
      </c>
      <c r="AX6728" s="3" t="s">
        <v>64756</v>
      </c>
      <c r="AY6728" s="3" t="s">
        <v>64757</v>
      </c>
      <c r="AZ6728" s="3" t="s">
        <v>64758</v>
      </c>
      <c r="BA6728" s="3" t="s">
        <v>64758</v>
      </c>
      <c r="BB6728" s="3" t="s">
        <v>64759</v>
      </c>
      <c r="BC6728" s="3" t="s">
        <v>142</v>
      </c>
      <c r="BD6728" s="3" t="s">
        <v>68</v>
      </c>
      <c r="BF6728" s="3" t="s">
        <v>64759</v>
      </c>
      <c r="BG6728" s="3" t="s">
        <v>64760</v>
      </c>
    </row>
    <row r="6729" spans="1:59" ht="57" x14ac:dyDescent="0.45">
      <c r="A6729" s="2" t="s">
        <v>59</v>
      </c>
      <c r="B6729" s="2" t="s">
        <v>60</v>
      </c>
      <c r="C6729" s="2" t="s">
        <v>64761</v>
      </c>
      <c r="D6729" s="2" t="s">
        <v>64762</v>
      </c>
      <c r="E6729" s="2" t="s">
        <v>64763</v>
      </c>
      <c r="F6729" s="3" t="s">
        <v>478</v>
      </c>
      <c r="G6729" s="3" t="s">
        <v>61</v>
      </c>
      <c r="I6729" s="3" t="s">
        <v>62</v>
      </c>
      <c r="J6729" s="3" t="s">
        <v>62</v>
      </c>
      <c r="K6729" s="3" t="s">
        <v>63</v>
      </c>
      <c r="L6729" s="2" t="s">
        <v>41882</v>
      </c>
      <c r="M6729" s="2" t="s">
        <v>64764</v>
      </c>
      <c r="N6729" s="3" t="s">
        <v>16907</v>
      </c>
      <c r="P6729" s="3" t="s">
        <v>110</v>
      </c>
      <c r="Q6729" s="2" t="s">
        <v>64765</v>
      </c>
      <c r="R6729" s="3" t="s">
        <v>66</v>
      </c>
      <c r="S6729" s="4">
        <v>25</v>
      </c>
      <c r="T6729" s="4">
        <v>53</v>
      </c>
      <c r="U6729" s="5" t="s">
        <v>12167</v>
      </c>
      <c r="V6729" s="5" t="s">
        <v>12167</v>
      </c>
      <c r="W6729" s="5" t="s">
        <v>67</v>
      </c>
      <c r="X6729" s="5" t="s">
        <v>67</v>
      </c>
      <c r="Y6729" s="4">
        <v>267</v>
      </c>
      <c r="Z6729" s="4">
        <v>27</v>
      </c>
      <c r="AA6729" s="4">
        <v>37</v>
      </c>
      <c r="AB6729" s="4">
        <v>2</v>
      </c>
      <c r="AC6729" s="4">
        <v>11</v>
      </c>
      <c r="AD6729" s="4">
        <v>94</v>
      </c>
      <c r="AE6729" s="4">
        <v>100</v>
      </c>
      <c r="AF6729" s="4">
        <v>1</v>
      </c>
      <c r="AG6729" s="4">
        <v>6</v>
      </c>
      <c r="AH6729" s="4">
        <v>82</v>
      </c>
      <c r="AI6729" s="4">
        <v>83</v>
      </c>
      <c r="AJ6729" s="4">
        <v>17</v>
      </c>
      <c r="AK6729" s="4">
        <v>21</v>
      </c>
      <c r="AL6729" s="4">
        <v>48</v>
      </c>
      <c r="AM6729" s="4">
        <v>48</v>
      </c>
      <c r="AN6729" s="4">
        <v>0</v>
      </c>
      <c r="AO6729" s="4">
        <v>0</v>
      </c>
      <c r="AP6729" s="4">
        <v>21</v>
      </c>
      <c r="AQ6729" s="4">
        <v>26</v>
      </c>
      <c r="AR6729" s="3" t="s">
        <v>62</v>
      </c>
      <c r="AS6729" s="3" t="s">
        <v>62</v>
      </c>
      <c r="AT6729" s="3" t="s">
        <v>62</v>
      </c>
      <c r="AU6729" s="6" t="str">
        <f>HYPERLINK("http://catalog.hathitrust.org/Record/006119896","HathiTrust Record")</f>
        <v>HathiTrust Record</v>
      </c>
      <c r="AV6729" s="6" t="str">
        <f>HYPERLINK("http://mcgill.on.worldcat.org/oclc/709870","Catalog Record")</f>
        <v>Catalog Record</v>
      </c>
      <c r="AW6729" s="6" t="str">
        <f>HYPERLINK("http://www.worldcat.org/oclc/709870","WorldCat Record")</f>
        <v>WorldCat Record</v>
      </c>
      <c r="AX6729" s="3" t="s">
        <v>64766</v>
      </c>
      <c r="AY6729" s="3" t="s">
        <v>64767</v>
      </c>
      <c r="AZ6729" s="3" t="s">
        <v>64768</v>
      </c>
      <c r="BA6729" s="3" t="s">
        <v>64768</v>
      </c>
      <c r="BB6729" s="3" t="s">
        <v>64769</v>
      </c>
      <c r="BC6729" s="3" t="s">
        <v>142</v>
      </c>
      <c r="BD6729" s="3" t="s">
        <v>68</v>
      </c>
      <c r="BE6729" s="3" t="s">
        <v>64770</v>
      </c>
      <c r="BF6729" s="3" t="s">
        <v>64769</v>
      </c>
      <c r="BG6729" s="3" t="s">
        <v>64771</v>
      </c>
    </row>
    <row r="6730" spans="1:59" ht="57" x14ac:dyDescent="0.45">
      <c r="A6730" s="2" t="s">
        <v>59</v>
      </c>
      <c r="B6730" s="2" t="s">
        <v>60</v>
      </c>
      <c r="C6730" s="2" t="s">
        <v>64761</v>
      </c>
      <c r="D6730" s="2" t="s">
        <v>64762</v>
      </c>
      <c r="E6730" s="2" t="s">
        <v>64763</v>
      </c>
      <c r="F6730" s="3" t="s">
        <v>488</v>
      </c>
      <c r="G6730" s="3" t="s">
        <v>61</v>
      </c>
      <c r="I6730" s="3" t="s">
        <v>62</v>
      </c>
      <c r="J6730" s="3" t="s">
        <v>62</v>
      </c>
      <c r="K6730" s="3" t="s">
        <v>63</v>
      </c>
      <c r="L6730" s="2" t="s">
        <v>41882</v>
      </c>
      <c r="M6730" s="2" t="s">
        <v>64764</v>
      </c>
      <c r="N6730" s="3" t="s">
        <v>16907</v>
      </c>
      <c r="P6730" s="3" t="s">
        <v>110</v>
      </c>
      <c r="Q6730" s="2" t="s">
        <v>64765</v>
      </c>
      <c r="R6730" s="3" t="s">
        <v>66</v>
      </c>
      <c r="S6730" s="4">
        <v>28</v>
      </c>
      <c r="T6730" s="4">
        <v>53</v>
      </c>
      <c r="U6730" s="5" t="s">
        <v>1553</v>
      </c>
      <c r="V6730" s="5" t="s">
        <v>12167</v>
      </c>
      <c r="W6730" s="5" t="s">
        <v>67</v>
      </c>
      <c r="X6730" s="5" t="s">
        <v>67</v>
      </c>
      <c r="Y6730" s="4">
        <v>267</v>
      </c>
      <c r="Z6730" s="4">
        <v>27</v>
      </c>
      <c r="AA6730" s="4">
        <v>37</v>
      </c>
      <c r="AB6730" s="4">
        <v>2</v>
      </c>
      <c r="AC6730" s="4">
        <v>11</v>
      </c>
      <c r="AD6730" s="4">
        <v>94</v>
      </c>
      <c r="AE6730" s="4">
        <v>100</v>
      </c>
      <c r="AF6730" s="4">
        <v>1</v>
      </c>
      <c r="AG6730" s="4">
        <v>6</v>
      </c>
      <c r="AH6730" s="4">
        <v>82</v>
      </c>
      <c r="AI6730" s="4">
        <v>83</v>
      </c>
      <c r="AJ6730" s="4">
        <v>17</v>
      </c>
      <c r="AK6730" s="4">
        <v>21</v>
      </c>
      <c r="AL6730" s="4">
        <v>48</v>
      </c>
      <c r="AM6730" s="4">
        <v>48</v>
      </c>
      <c r="AN6730" s="4">
        <v>0</v>
      </c>
      <c r="AO6730" s="4">
        <v>0</v>
      </c>
      <c r="AP6730" s="4">
        <v>21</v>
      </c>
      <c r="AQ6730" s="4">
        <v>26</v>
      </c>
      <c r="AR6730" s="3" t="s">
        <v>62</v>
      </c>
      <c r="AS6730" s="3" t="s">
        <v>62</v>
      </c>
      <c r="AT6730" s="3" t="s">
        <v>62</v>
      </c>
      <c r="AU6730" s="6" t="str">
        <f>HYPERLINK("http://catalog.hathitrust.org/Record/006119896","HathiTrust Record")</f>
        <v>HathiTrust Record</v>
      </c>
      <c r="AV6730" s="6" t="str">
        <f>HYPERLINK("http://mcgill.on.worldcat.org/oclc/709870","Catalog Record")</f>
        <v>Catalog Record</v>
      </c>
      <c r="AW6730" s="6" t="str">
        <f>HYPERLINK("http://www.worldcat.org/oclc/709870","WorldCat Record")</f>
        <v>WorldCat Record</v>
      </c>
      <c r="AX6730" s="3" t="s">
        <v>64766</v>
      </c>
      <c r="AY6730" s="3" t="s">
        <v>64767</v>
      </c>
      <c r="AZ6730" s="3" t="s">
        <v>64768</v>
      </c>
      <c r="BA6730" s="3" t="s">
        <v>64768</v>
      </c>
      <c r="BB6730" s="3" t="s">
        <v>64772</v>
      </c>
      <c r="BC6730" s="3" t="s">
        <v>142</v>
      </c>
      <c r="BD6730" s="3" t="s">
        <v>68</v>
      </c>
      <c r="BE6730" s="3" t="s">
        <v>64770</v>
      </c>
      <c r="BF6730" s="3" t="s">
        <v>64772</v>
      </c>
      <c r="BG6730" s="3" t="s">
        <v>64773</v>
      </c>
    </row>
    <row r="6731" spans="1:59" ht="57" x14ac:dyDescent="0.45">
      <c r="A6731" s="2" t="s">
        <v>59</v>
      </c>
      <c r="B6731" s="2" t="s">
        <v>60</v>
      </c>
      <c r="C6731" s="2" t="s">
        <v>64774</v>
      </c>
      <c r="D6731" s="2" t="s">
        <v>64775</v>
      </c>
      <c r="E6731" s="2" t="s">
        <v>64776</v>
      </c>
      <c r="F6731" s="3" t="s">
        <v>64777</v>
      </c>
      <c r="G6731" s="3" t="s">
        <v>61</v>
      </c>
      <c r="I6731" s="3" t="s">
        <v>62</v>
      </c>
      <c r="J6731" s="3" t="s">
        <v>62</v>
      </c>
      <c r="K6731" s="3" t="s">
        <v>63</v>
      </c>
      <c r="L6731" s="2" t="s">
        <v>64778</v>
      </c>
      <c r="M6731" s="2" t="s">
        <v>64779</v>
      </c>
      <c r="N6731" s="3" t="s">
        <v>47293</v>
      </c>
      <c r="P6731" s="3" t="s">
        <v>114</v>
      </c>
      <c r="R6731" s="3" t="s">
        <v>66</v>
      </c>
      <c r="S6731" s="4">
        <v>6</v>
      </c>
      <c r="T6731" s="4">
        <v>14</v>
      </c>
      <c r="U6731" s="5" t="s">
        <v>64780</v>
      </c>
      <c r="V6731" s="5" t="s">
        <v>39997</v>
      </c>
      <c r="W6731" s="5" t="s">
        <v>67</v>
      </c>
      <c r="X6731" s="5" t="s">
        <v>67</v>
      </c>
      <c r="Y6731" s="4">
        <v>283</v>
      </c>
      <c r="Z6731" s="4">
        <v>14</v>
      </c>
      <c r="AA6731" s="4">
        <v>30</v>
      </c>
      <c r="AB6731" s="4">
        <v>2</v>
      </c>
      <c r="AC6731" s="4">
        <v>4</v>
      </c>
      <c r="AD6731" s="4">
        <v>88</v>
      </c>
      <c r="AE6731" s="4">
        <v>116</v>
      </c>
      <c r="AF6731" s="4">
        <v>1</v>
      </c>
      <c r="AG6731" s="4">
        <v>3</v>
      </c>
      <c r="AH6731" s="4">
        <v>83</v>
      </c>
      <c r="AI6731" s="4">
        <v>101</v>
      </c>
      <c r="AJ6731" s="4">
        <v>10</v>
      </c>
      <c r="AK6731" s="4">
        <v>19</v>
      </c>
      <c r="AL6731" s="4">
        <v>48</v>
      </c>
      <c r="AM6731" s="4">
        <v>55</v>
      </c>
      <c r="AN6731" s="4">
        <v>0</v>
      </c>
      <c r="AO6731" s="4">
        <v>0</v>
      </c>
      <c r="AP6731" s="4">
        <v>11</v>
      </c>
      <c r="AQ6731" s="4">
        <v>24</v>
      </c>
      <c r="AR6731" s="3" t="s">
        <v>62</v>
      </c>
      <c r="AS6731" s="3" t="s">
        <v>62</v>
      </c>
      <c r="AT6731" s="3" t="s">
        <v>62</v>
      </c>
      <c r="AV6731" s="6" t="str">
        <f>HYPERLINK("http://mcgill.on.worldcat.org/oclc/308399","Catalog Record")</f>
        <v>Catalog Record</v>
      </c>
      <c r="AW6731" s="6" t="str">
        <f>HYPERLINK("http://www.worldcat.org/oclc/308399","WorldCat Record")</f>
        <v>WorldCat Record</v>
      </c>
      <c r="AX6731" s="3" t="s">
        <v>64781</v>
      </c>
      <c r="AY6731" s="3" t="s">
        <v>64782</v>
      </c>
      <c r="AZ6731" s="3" t="s">
        <v>64783</v>
      </c>
      <c r="BA6731" s="3" t="s">
        <v>64783</v>
      </c>
      <c r="BB6731" s="3" t="s">
        <v>64784</v>
      </c>
      <c r="BC6731" s="3" t="s">
        <v>142</v>
      </c>
      <c r="BD6731" s="3" t="s">
        <v>68</v>
      </c>
      <c r="BF6731" s="3" t="s">
        <v>64784</v>
      </c>
      <c r="BG6731" s="3" t="s">
        <v>64785</v>
      </c>
    </row>
    <row r="6732" spans="1:59" ht="57" x14ac:dyDescent="0.45">
      <c r="A6732" s="2" t="s">
        <v>59</v>
      </c>
      <c r="B6732" s="2" t="s">
        <v>60</v>
      </c>
      <c r="C6732" s="2" t="s">
        <v>64774</v>
      </c>
      <c r="D6732" s="2" t="s">
        <v>64775</v>
      </c>
      <c r="E6732" s="2" t="s">
        <v>64776</v>
      </c>
      <c r="F6732" s="3" t="s">
        <v>64786</v>
      </c>
      <c r="G6732" s="3" t="s">
        <v>61</v>
      </c>
      <c r="I6732" s="3" t="s">
        <v>62</v>
      </c>
      <c r="J6732" s="3" t="s">
        <v>62</v>
      </c>
      <c r="K6732" s="3" t="s">
        <v>63</v>
      </c>
      <c r="L6732" s="2" t="s">
        <v>64778</v>
      </c>
      <c r="M6732" s="2" t="s">
        <v>64779</v>
      </c>
      <c r="N6732" s="3" t="s">
        <v>47293</v>
      </c>
      <c r="P6732" s="3" t="s">
        <v>114</v>
      </c>
      <c r="R6732" s="3" t="s">
        <v>66</v>
      </c>
      <c r="S6732" s="4">
        <v>8</v>
      </c>
      <c r="T6732" s="4">
        <v>14</v>
      </c>
      <c r="U6732" s="5" t="s">
        <v>39997</v>
      </c>
      <c r="V6732" s="5" t="s">
        <v>39997</v>
      </c>
      <c r="W6732" s="5" t="s">
        <v>67</v>
      </c>
      <c r="X6732" s="5" t="s">
        <v>67</v>
      </c>
      <c r="Y6732" s="4">
        <v>283</v>
      </c>
      <c r="Z6732" s="4">
        <v>14</v>
      </c>
      <c r="AA6732" s="4">
        <v>30</v>
      </c>
      <c r="AB6732" s="4">
        <v>2</v>
      </c>
      <c r="AC6732" s="4">
        <v>4</v>
      </c>
      <c r="AD6732" s="4">
        <v>88</v>
      </c>
      <c r="AE6732" s="4">
        <v>116</v>
      </c>
      <c r="AF6732" s="4">
        <v>1</v>
      </c>
      <c r="AG6732" s="4">
        <v>3</v>
      </c>
      <c r="AH6732" s="4">
        <v>83</v>
      </c>
      <c r="AI6732" s="4">
        <v>101</v>
      </c>
      <c r="AJ6732" s="4">
        <v>10</v>
      </c>
      <c r="AK6732" s="4">
        <v>19</v>
      </c>
      <c r="AL6732" s="4">
        <v>48</v>
      </c>
      <c r="AM6732" s="4">
        <v>55</v>
      </c>
      <c r="AN6732" s="4">
        <v>0</v>
      </c>
      <c r="AO6732" s="4">
        <v>0</v>
      </c>
      <c r="AP6732" s="4">
        <v>11</v>
      </c>
      <c r="AQ6732" s="4">
        <v>24</v>
      </c>
      <c r="AR6732" s="3" t="s">
        <v>62</v>
      </c>
      <c r="AS6732" s="3" t="s">
        <v>62</v>
      </c>
      <c r="AT6732" s="3" t="s">
        <v>62</v>
      </c>
      <c r="AV6732" s="6" t="str">
        <f>HYPERLINK("http://mcgill.on.worldcat.org/oclc/308399","Catalog Record")</f>
        <v>Catalog Record</v>
      </c>
      <c r="AW6732" s="6" t="str">
        <f>HYPERLINK("http://www.worldcat.org/oclc/308399","WorldCat Record")</f>
        <v>WorldCat Record</v>
      </c>
      <c r="AX6732" s="3" t="s">
        <v>64781</v>
      </c>
      <c r="AY6732" s="3" t="s">
        <v>64782</v>
      </c>
      <c r="AZ6732" s="3" t="s">
        <v>64783</v>
      </c>
      <c r="BA6732" s="3" t="s">
        <v>64783</v>
      </c>
      <c r="BB6732" s="3" t="s">
        <v>64787</v>
      </c>
      <c r="BC6732" s="3" t="s">
        <v>142</v>
      </c>
      <c r="BD6732" s="3" t="s">
        <v>68</v>
      </c>
      <c r="BF6732" s="3" t="s">
        <v>64787</v>
      </c>
      <c r="BG6732" s="3" t="s">
        <v>64788</v>
      </c>
    </row>
    <row r="6733" spans="1:59" ht="57" x14ac:dyDescent="0.45">
      <c r="A6733" s="2" t="s">
        <v>59</v>
      </c>
      <c r="B6733" s="2" t="s">
        <v>60</v>
      </c>
      <c r="C6733" s="2" t="s">
        <v>64789</v>
      </c>
      <c r="D6733" s="2" t="s">
        <v>64790</v>
      </c>
      <c r="E6733" s="2" t="s">
        <v>64791</v>
      </c>
      <c r="G6733" s="3" t="s">
        <v>62</v>
      </c>
      <c r="I6733" s="3" t="s">
        <v>62</v>
      </c>
      <c r="J6733" s="3" t="s">
        <v>61</v>
      </c>
      <c r="K6733" s="3" t="s">
        <v>63</v>
      </c>
      <c r="L6733" s="2" t="s">
        <v>64792</v>
      </c>
      <c r="M6733" s="2" t="s">
        <v>64793</v>
      </c>
      <c r="N6733" s="3" t="s">
        <v>127</v>
      </c>
      <c r="P6733" s="3" t="s">
        <v>65</v>
      </c>
      <c r="R6733" s="3" t="s">
        <v>66</v>
      </c>
      <c r="S6733" s="4">
        <v>3</v>
      </c>
      <c r="T6733" s="4">
        <v>3</v>
      </c>
      <c r="U6733" s="5" t="s">
        <v>64794</v>
      </c>
      <c r="V6733" s="5" t="s">
        <v>64794</v>
      </c>
      <c r="W6733" s="5" t="s">
        <v>67</v>
      </c>
      <c r="X6733" s="5" t="s">
        <v>67</v>
      </c>
      <c r="Y6733" s="4">
        <v>167</v>
      </c>
      <c r="Z6733" s="4">
        <v>11</v>
      </c>
      <c r="AA6733" s="4">
        <v>14</v>
      </c>
      <c r="AB6733" s="4">
        <v>1</v>
      </c>
      <c r="AC6733" s="4">
        <v>1</v>
      </c>
      <c r="AD6733" s="4">
        <v>42</v>
      </c>
      <c r="AE6733" s="4">
        <v>100</v>
      </c>
      <c r="AF6733" s="4">
        <v>0</v>
      </c>
      <c r="AG6733" s="4">
        <v>0</v>
      </c>
      <c r="AH6733" s="4">
        <v>37</v>
      </c>
      <c r="AI6733" s="4">
        <v>92</v>
      </c>
      <c r="AJ6733" s="4">
        <v>7</v>
      </c>
      <c r="AK6733" s="4">
        <v>9</v>
      </c>
      <c r="AL6733" s="4">
        <v>16</v>
      </c>
      <c r="AM6733" s="4">
        <v>55</v>
      </c>
      <c r="AN6733" s="4">
        <v>0</v>
      </c>
      <c r="AO6733" s="4">
        <v>0</v>
      </c>
      <c r="AP6733" s="4">
        <v>8</v>
      </c>
      <c r="AQ6733" s="4">
        <v>10</v>
      </c>
      <c r="AR6733" s="3" t="s">
        <v>62</v>
      </c>
      <c r="AS6733" s="3" t="s">
        <v>62</v>
      </c>
      <c r="AT6733" s="3" t="s">
        <v>62</v>
      </c>
      <c r="AV6733" s="6" t="str">
        <f>HYPERLINK("http://mcgill.on.worldcat.org/oclc/436351","Catalog Record")</f>
        <v>Catalog Record</v>
      </c>
      <c r="AW6733" s="6" t="str">
        <f>HYPERLINK("http://www.worldcat.org/oclc/436351","WorldCat Record")</f>
        <v>WorldCat Record</v>
      </c>
      <c r="AX6733" s="3" t="s">
        <v>64795</v>
      </c>
      <c r="AY6733" s="3" t="s">
        <v>64796</v>
      </c>
      <c r="AZ6733" s="3" t="s">
        <v>64797</v>
      </c>
      <c r="BA6733" s="3" t="s">
        <v>64797</v>
      </c>
      <c r="BB6733" s="3" t="s">
        <v>64798</v>
      </c>
      <c r="BC6733" s="3" t="s">
        <v>142</v>
      </c>
      <c r="BD6733" s="3" t="s">
        <v>68</v>
      </c>
      <c r="BF6733" s="3" t="s">
        <v>64798</v>
      </c>
      <c r="BG6733" s="3" t="s">
        <v>64799</v>
      </c>
    </row>
    <row r="6734" spans="1:59" ht="71.25" x14ac:dyDescent="0.45">
      <c r="A6734" s="2" t="s">
        <v>59</v>
      </c>
      <c r="B6734" s="2" t="s">
        <v>60</v>
      </c>
      <c r="C6734" s="2" t="s">
        <v>64800</v>
      </c>
      <c r="D6734" s="2" t="s">
        <v>64801</v>
      </c>
      <c r="E6734" s="2" t="s">
        <v>64802</v>
      </c>
      <c r="F6734" s="3" t="s">
        <v>64803</v>
      </c>
      <c r="G6734" s="3" t="s">
        <v>62</v>
      </c>
      <c r="I6734" s="3" t="s">
        <v>62</v>
      </c>
      <c r="J6734" s="3" t="s">
        <v>62</v>
      </c>
      <c r="K6734" s="3" t="s">
        <v>63</v>
      </c>
      <c r="L6734" s="2" t="s">
        <v>64804</v>
      </c>
      <c r="M6734" s="2" t="s">
        <v>64805</v>
      </c>
      <c r="N6734" s="3" t="s">
        <v>220</v>
      </c>
      <c r="P6734" s="3" t="s">
        <v>65</v>
      </c>
      <c r="Q6734" s="2" t="s">
        <v>64806</v>
      </c>
      <c r="R6734" s="3" t="s">
        <v>66</v>
      </c>
      <c r="S6734" s="4">
        <v>4</v>
      </c>
      <c r="T6734" s="4">
        <v>4</v>
      </c>
      <c r="U6734" s="5" t="s">
        <v>48761</v>
      </c>
      <c r="V6734" s="5" t="s">
        <v>48761</v>
      </c>
      <c r="W6734" s="5" t="s">
        <v>67</v>
      </c>
      <c r="X6734" s="5" t="s">
        <v>67</v>
      </c>
      <c r="Y6734" s="4">
        <v>83</v>
      </c>
      <c r="Z6734" s="4">
        <v>4</v>
      </c>
      <c r="AA6734" s="4">
        <v>4</v>
      </c>
      <c r="AB6734" s="4">
        <v>1</v>
      </c>
      <c r="AC6734" s="4">
        <v>1</v>
      </c>
      <c r="AD6734" s="4">
        <v>31</v>
      </c>
      <c r="AE6734" s="4">
        <v>31</v>
      </c>
      <c r="AF6734" s="4">
        <v>0</v>
      </c>
      <c r="AG6734" s="4">
        <v>0</v>
      </c>
      <c r="AH6734" s="4">
        <v>30</v>
      </c>
      <c r="AI6734" s="4">
        <v>30</v>
      </c>
      <c r="AJ6734" s="4">
        <v>3</v>
      </c>
      <c r="AK6734" s="4">
        <v>3</v>
      </c>
      <c r="AL6734" s="4">
        <v>17</v>
      </c>
      <c r="AM6734" s="4">
        <v>17</v>
      </c>
      <c r="AN6734" s="4">
        <v>0</v>
      </c>
      <c r="AO6734" s="4">
        <v>0</v>
      </c>
      <c r="AP6734" s="4">
        <v>3</v>
      </c>
      <c r="AQ6734" s="4">
        <v>3</v>
      </c>
      <c r="AR6734" s="3" t="s">
        <v>62</v>
      </c>
      <c r="AS6734" s="3" t="s">
        <v>62</v>
      </c>
      <c r="AT6734" s="3" t="s">
        <v>61</v>
      </c>
      <c r="AU6734" s="6" t="str">
        <f>HYPERLINK("http://catalog.hathitrust.org/Record/001239377","HathiTrust Record")</f>
        <v>HathiTrust Record</v>
      </c>
      <c r="AV6734" s="6" t="str">
        <f>HYPERLINK("http://mcgill.on.worldcat.org/oclc/524722","Catalog Record")</f>
        <v>Catalog Record</v>
      </c>
      <c r="AW6734" s="6" t="str">
        <f>HYPERLINK("http://www.worldcat.org/oclc/524722","WorldCat Record")</f>
        <v>WorldCat Record</v>
      </c>
      <c r="AX6734" s="3" t="s">
        <v>64807</v>
      </c>
      <c r="AY6734" s="3" t="s">
        <v>64808</v>
      </c>
      <c r="AZ6734" s="3" t="s">
        <v>64809</v>
      </c>
      <c r="BA6734" s="3" t="s">
        <v>64809</v>
      </c>
      <c r="BB6734" s="3" t="s">
        <v>64810</v>
      </c>
      <c r="BC6734" s="3" t="s">
        <v>142</v>
      </c>
      <c r="BD6734" s="3" t="s">
        <v>68</v>
      </c>
      <c r="BF6734" s="3" t="s">
        <v>64810</v>
      </c>
      <c r="BG6734" s="3" t="s">
        <v>64811</v>
      </c>
    </row>
    <row r="6735" spans="1:59" ht="57" x14ac:dyDescent="0.45">
      <c r="A6735" s="2" t="s">
        <v>59</v>
      </c>
      <c r="B6735" s="2" t="s">
        <v>60</v>
      </c>
      <c r="C6735" s="2" t="s">
        <v>64812</v>
      </c>
      <c r="D6735" s="2" t="s">
        <v>64813</v>
      </c>
      <c r="E6735" s="2" t="s">
        <v>64814</v>
      </c>
      <c r="G6735" s="3" t="s">
        <v>62</v>
      </c>
      <c r="I6735" s="3" t="s">
        <v>62</v>
      </c>
      <c r="J6735" s="3" t="s">
        <v>62</v>
      </c>
      <c r="K6735" s="3" t="s">
        <v>63</v>
      </c>
      <c r="L6735" s="2" t="s">
        <v>64815</v>
      </c>
      <c r="M6735" s="2" t="s">
        <v>64816</v>
      </c>
      <c r="N6735" s="3" t="s">
        <v>149</v>
      </c>
      <c r="P6735" s="3" t="s">
        <v>65</v>
      </c>
      <c r="Q6735" s="2" t="s">
        <v>60636</v>
      </c>
      <c r="R6735" s="3" t="s">
        <v>66</v>
      </c>
      <c r="S6735" s="4">
        <v>3</v>
      </c>
      <c r="T6735" s="4">
        <v>3</v>
      </c>
      <c r="U6735" s="5" t="s">
        <v>64817</v>
      </c>
      <c r="V6735" s="5" t="s">
        <v>64817</v>
      </c>
      <c r="W6735" s="5" t="s">
        <v>67</v>
      </c>
      <c r="X6735" s="5" t="s">
        <v>67</v>
      </c>
      <c r="Y6735" s="4">
        <v>144</v>
      </c>
      <c r="Z6735" s="4">
        <v>17</v>
      </c>
      <c r="AA6735" s="4">
        <v>29</v>
      </c>
      <c r="AB6735" s="4">
        <v>1</v>
      </c>
      <c r="AC6735" s="4">
        <v>3</v>
      </c>
      <c r="AD6735" s="4">
        <v>61</v>
      </c>
      <c r="AE6735" s="4">
        <v>78</v>
      </c>
      <c r="AF6735" s="4">
        <v>0</v>
      </c>
      <c r="AG6735" s="4">
        <v>0</v>
      </c>
      <c r="AH6735" s="4">
        <v>53</v>
      </c>
      <c r="AI6735" s="4">
        <v>64</v>
      </c>
      <c r="AJ6735" s="4">
        <v>12</v>
      </c>
      <c r="AK6735" s="4">
        <v>17</v>
      </c>
      <c r="AL6735" s="4">
        <v>31</v>
      </c>
      <c r="AM6735" s="4">
        <v>35</v>
      </c>
      <c r="AN6735" s="4">
        <v>0</v>
      </c>
      <c r="AO6735" s="4">
        <v>0</v>
      </c>
      <c r="AP6735" s="4">
        <v>14</v>
      </c>
      <c r="AQ6735" s="4">
        <v>23</v>
      </c>
      <c r="AR6735" s="3" t="s">
        <v>62</v>
      </c>
      <c r="AS6735" s="3" t="s">
        <v>62</v>
      </c>
      <c r="AT6735" s="3" t="s">
        <v>62</v>
      </c>
      <c r="AV6735" s="6" t="str">
        <f>HYPERLINK("http://mcgill.on.worldcat.org/oclc/458583411","Catalog Record")</f>
        <v>Catalog Record</v>
      </c>
      <c r="AW6735" s="6" t="str">
        <f>HYPERLINK("http://www.worldcat.org/oclc/458583411","WorldCat Record")</f>
        <v>WorldCat Record</v>
      </c>
      <c r="AX6735" s="3" t="s">
        <v>64818</v>
      </c>
      <c r="AY6735" s="3" t="s">
        <v>64819</v>
      </c>
      <c r="AZ6735" s="3" t="s">
        <v>64820</v>
      </c>
      <c r="BA6735" s="3" t="s">
        <v>64820</v>
      </c>
      <c r="BB6735" s="3" t="s">
        <v>64821</v>
      </c>
      <c r="BC6735" s="3" t="s">
        <v>142</v>
      </c>
      <c r="BD6735" s="3" t="s">
        <v>68</v>
      </c>
      <c r="BE6735" s="3" t="s">
        <v>64822</v>
      </c>
      <c r="BF6735" s="3" t="s">
        <v>64821</v>
      </c>
      <c r="BG6735" s="3" t="s">
        <v>64823</v>
      </c>
    </row>
    <row r="6736" spans="1:59" ht="85.5" x14ac:dyDescent="0.45">
      <c r="A6736" s="2" t="s">
        <v>59</v>
      </c>
      <c r="B6736" s="2" t="s">
        <v>60</v>
      </c>
      <c r="C6736" s="2" t="s">
        <v>64824</v>
      </c>
      <c r="D6736" s="2" t="s">
        <v>64825</v>
      </c>
      <c r="E6736" s="2" t="s">
        <v>64826</v>
      </c>
      <c r="G6736" s="3" t="s">
        <v>62</v>
      </c>
      <c r="I6736" s="3" t="s">
        <v>62</v>
      </c>
      <c r="J6736" s="3" t="s">
        <v>62</v>
      </c>
      <c r="K6736" s="3" t="s">
        <v>63</v>
      </c>
      <c r="M6736" s="2" t="s">
        <v>58968</v>
      </c>
      <c r="N6736" s="3" t="s">
        <v>116</v>
      </c>
      <c r="P6736" s="3" t="s">
        <v>114</v>
      </c>
      <c r="Q6736" s="2" t="s">
        <v>64827</v>
      </c>
      <c r="R6736" s="3" t="s">
        <v>66</v>
      </c>
      <c r="S6736" s="4">
        <v>1</v>
      </c>
      <c r="T6736" s="4">
        <v>1</v>
      </c>
      <c r="U6736" s="5" t="s">
        <v>64828</v>
      </c>
      <c r="V6736" s="5" t="s">
        <v>64828</v>
      </c>
      <c r="W6736" s="5" t="s">
        <v>67</v>
      </c>
      <c r="X6736" s="5" t="s">
        <v>67</v>
      </c>
      <c r="Y6736" s="4">
        <v>32</v>
      </c>
      <c r="Z6736" s="4">
        <v>3</v>
      </c>
      <c r="AA6736" s="4">
        <v>4</v>
      </c>
      <c r="AB6736" s="4">
        <v>1</v>
      </c>
      <c r="AC6736" s="4">
        <v>2</v>
      </c>
      <c r="AD6736" s="4">
        <v>10</v>
      </c>
      <c r="AE6736" s="4">
        <v>11</v>
      </c>
      <c r="AF6736" s="4">
        <v>0</v>
      </c>
      <c r="AG6736" s="4">
        <v>0</v>
      </c>
      <c r="AH6736" s="4">
        <v>10</v>
      </c>
      <c r="AI6736" s="4">
        <v>11</v>
      </c>
      <c r="AJ6736" s="4">
        <v>1</v>
      </c>
      <c r="AK6736" s="4">
        <v>1</v>
      </c>
      <c r="AL6736" s="4">
        <v>9</v>
      </c>
      <c r="AM6736" s="4">
        <v>9</v>
      </c>
      <c r="AN6736" s="4">
        <v>0</v>
      </c>
      <c r="AO6736" s="4">
        <v>0</v>
      </c>
      <c r="AP6736" s="4">
        <v>1</v>
      </c>
      <c r="AQ6736" s="4">
        <v>1</v>
      </c>
      <c r="AR6736" s="3" t="s">
        <v>62</v>
      </c>
      <c r="AS6736" s="3" t="s">
        <v>62</v>
      </c>
      <c r="AT6736" s="3" t="s">
        <v>62</v>
      </c>
      <c r="AV6736" s="6" t="str">
        <f>HYPERLINK("http://mcgill.on.worldcat.org/oclc/853444038","Catalog Record")</f>
        <v>Catalog Record</v>
      </c>
      <c r="AW6736" s="6" t="str">
        <f>HYPERLINK("http://www.worldcat.org/oclc/853444038","WorldCat Record")</f>
        <v>WorldCat Record</v>
      </c>
      <c r="AX6736" s="3" t="s">
        <v>64829</v>
      </c>
      <c r="AY6736" s="3" t="s">
        <v>64830</v>
      </c>
      <c r="AZ6736" s="3" t="s">
        <v>64831</v>
      </c>
      <c r="BA6736" s="3" t="s">
        <v>64831</v>
      </c>
      <c r="BB6736" s="3" t="s">
        <v>64832</v>
      </c>
      <c r="BC6736" s="3" t="s">
        <v>142</v>
      </c>
      <c r="BD6736" s="3" t="s">
        <v>68</v>
      </c>
      <c r="BE6736" s="3" t="s">
        <v>64833</v>
      </c>
      <c r="BF6736" s="3" t="s">
        <v>64832</v>
      </c>
      <c r="BG6736" s="3" t="s">
        <v>64834</v>
      </c>
    </row>
    <row r="6737" spans="1:59" ht="57" x14ac:dyDescent="0.45">
      <c r="A6737" s="2" t="s">
        <v>59</v>
      </c>
      <c r="B6737" s="2" t="s">
        <v>60</v>
      </c>
      <c r="C6737" s="2" t="s">
        <v>64835</v>
      </c>
      <c r="D6737" s="2" t="s">
        <v>64836</v>
      </c>
      <c r="E6737" s="2" t="s">
        <v>64837</v>
      </c>
      <c r="G6737" s="3" t="s">
        <v>62</v>
      </c>
      <c r="I6737" s="3" t="s">
        <v>62</v>
      </c>
      <c r="J6737" s="3" t="s">
        <v>62</v>
      </c>
      <c r="K6737" s="3" t="s">
        <v>63</v>
      </c>
      <c r="M6737" s="2" t="s">
        <v>64838</v>
      </c>
      <c r="N6737" s="3" t="s">
        <v>542</v>
      </c>
      <c r="P6737" s="3" t="s">
        <v>65</v>
      </c>
      <c r="Q6737" s="2" t="s">
        <v>64839</v>
      </c>
      <c r="R6737" s="3" t="s">
        <v>66</v>
      </c>
      <c r="S6737" s="4">
        <v>6</v>
      </c>
      <c r="T6737" s="4">
        <v>6</v>
      </c>
      <c r="U6737" s="5" t="s">
        <v>16493</v>
      </c>
      <c r="V6737" s="5" t="s">
        <v>16493</v>
      </c>
      <c r="W6737" s="5" t="s">
        <v>67</v>
      </c>
      <c r="X6737" s="5" t="s">
        <v>67</v>
      </c>
      <c r="Y6737" s="4">
        <v>60</v>
      </c>
      <c r="Z6737" s="4">
        <v>4</v>
      </c>
      <c r="AA6737" s="4">
        <v>4</v>
      </c>
      <c r="AB6737" s="4">
        <v>1</v>
      </c>
      <c r="AC6737" s="4">
        <v>1</v>
      </c>
      <c r="AD6737" s="4">
        <v>32</v>
      </c>
      <c r="AE6737" s="4">
        <v>32</v>
      </c>
      <c r="AF6737" s="4">
        <v>0</v>
      </c>
      <c r="AG6737" s="4">
        <v>0</v>
      </c>
      <c r="AH6737" s="4">
        <v>30</v>
      </c>
      <c r="AI6737" s="4">
        <v>30</v>
      </c>
      <c r="AJ6737" s="4">
        <v>2</v>
      </c>
      <c r="AK6737" s="4">
        <v>2</v>
      </c>
      <c r="AL6737" s="4">
        <v>24</v>
      </c>
      <c r="AM6737" s="4">
        <v>24</v>
      </c>
      <c r="AN6737" s="4">
        <v>0</v>
      </c>
      <c r="AO6737" s="4">
        <v>0</v>
      </c>
      <c r="AP6737" s="4">
        <v>2</v>
      </c>
      <c r="AQ6737" s="4">
        <v>2</v>
      </c>
      <c r="AR6737" s="3" t="s">
        <v>62</v>
      </c>
      <c r="AS6737" s="3" t="s">
        <v>62</v>
      </c>
      <c r="AT6737" s="3" t="s">
        <v>61</v>
      </c>
      <c r="AU6737" s="6" t="str">
        <f>HYPERLINK("http://catalog.hathitrust.org/Record/003558411","HathiTrust Record")</f>
        <v>HathiTrust Record</v>
      </c>
      <c r="AV6737" s="6" t="str">
        <f>HYPERLINK("http://mcgill.on.worldcat.org/oclc/47743947","Catalog Record")</f>
        <v>Catalog Record</v>
      </c>
      <c r="AW6737" s="6" t="str">
        <f>HYPERLINK("http://www.worldcat.org/oclc/47743947","WorldCat Record")</f>
        <v>WorldCat Record</v>
      </c>
      <c r="AX6737" s="3" t="s">
        <v>64840</v>
      </c>
      <c r="AY6737" s="3" t="s">
        <v>64841</v>
      </c>
      <c r="AZ6737" s="3" t="s">
        <v>64842</v>
      </c>
      <c r="BA6737" s="3" t="s">
        <v>64842</v>
      </c>
      <c r="BB6737" s="3" t="s">
        <v>64843</v>
      </c>
      <c r="BC6737" s="3" t="s">
        <v>142</v>
      </c>
      <c r="BD6737" s="3" t="s">
        <v>68</v>
      </c>
      <c r="BE6737" s="3" t="s">
        <v>64844</v>
      </c>
      <c r="BF6737" s="3" t="s">
        <v>64843</v>
      </c>
      <c r="BG6737" s="3" t="s">
        <v>64845</v>
      </c>
    </row>
    <row r="6738" spans="1:59" ht="57" x14ac:dyDescent="0.45">
      <c r="A6738" s="2" t="s">
        <v>59</v>
      </c>
      <c r="B6738" s="2" t="s">
        <v>60</v>
      </c>
      <c r="C6738" s="2" t="s">
        <v>64846</v>
      </c>
      <c r="D6738" s="2" t="s">
        <v>64847</v>
      </c>
      <c r="E6738" s="2" t="s">
        <v>64848</v>
      </c>
      <c r="F6738" s="3" t="s">
        <v>488</v>
      </c>
      <c r="G6738" s="3" t="s">
        <v>61</v>
      </c>
      <c r="I6738" s="3" t="s">
        <v>61</v>
      </c>
      <c r="J6738" s="3" t="s">
        <v>62</v>
      </c>
      <c r="K6738" s="3" t="s">
        <v>63</v>
      </c>
      <c r="L6738" s="2" t="s">
        <v>64849</v>
      </c>
      <c r="M6738" s="2" t="s">
        <v>64850</v>
      </c>
      <c r="N6738" s="3" t="s">
        <v>248</v>
      </c>
      <c r="O6738" s="2" t="s">
        <v>64851</v>
      </c>
      <c r="P6738" s="3" t="s">
        <v>114</v>
      </c>
      <c r="Q6738" s="2" t="s">
        <v>64852</v>
      </c>
      <c r="R6738" s="3" t="s">
        <v>66</v>
      </c>
      <c r="S6738" s="4">
        <v>4</v>
      </c>
      <c r="T6738" s="4">
        <v>6</v>
      </c>
      <c r="U6738" s="5" t="s">
        <v>64650</v>
      </c>
      <c r="V6738" s="5" t="s">
        <v>64650</v>
      </c>
      <c r="W6738" s="5" t="s">
        <v>67</v>
      </c>
      <c r="X6738" s="5" t="s">
        <v>67</v>
      </c>
      <c r="Y6738" s="4">
        <v>149</v>
      </c>
      <c r="Z6738" s="4">
        <v>12</v>
      </c>
      <c r="AA6738" s="4">
        <v>20</v>
      </c>
      <c r="AB6738" s="4">
        <v>3</v>
      </c>
      <c r="AC6738" s="4">
        <v>4</v>
      </c>
      <c r="AD6738" s="4">
        <v>62</v>
      </c>
      <c r="AE6738" s="4">
        <v>84</v>
      </c>
      <c r="AF6738" s="4">
        <v>1</v>
      </c>
      <c r="AG6738" s="4">
        <v>2</v>
      </c>
      <c r="AH6738" s="4">
        <v>57</v>
      </c>
      <c r="AI6738" s="4">
        <v>76</v>
      </c>
      <c r="AJ6738" s="4">
        <v>8</v>
      </c>
      <c r="AK6738" s="4">
        <v>13</v>
      </c>
      <c r="AL6738" s="4">
        <v>39</v>
      </c>
      <c r="AM6738" s="4">
        <v>49</v>
      </c>
      <c r="AN6738" s="4">
        <v>0</v>
      </c>
      <c r="AO6738" s="4">
        <v>0</v>
      </c>
      <c r="AP6738" s="4">
        <v>8</v>
      </c>
      <c r="AQ6738" s="4">
        <v>14</v>
      </c>
      <c r="AR6738" s="3" t="s">
        <v>62</v>
      </c>
      <c r="AS6738" s="3" t="s">
        <v>62</v>
      </c>
      <c r="AT6738" s="3" t="s">
        <v>61</v>
      </c>
      <c r="AU6738" s="6" t="str">
        <f>HYPERLINK("http://catalog.hathitrust.org/Record/000315848","HathiTrust Record")</f>
        <v>HathiTrust Record</v>
      </c>
      <c r="AV6738" s="6" t="str">
        <f>HYPERLINK("http://mcgill.on.worldcat.org/oclc/5465516","Catalog Record")</f>
        <v>Catalog Record</v>
      </c>
      <c r="AW6738" s="6" t="str">
        <f>HYPERLINK("http://www.worldcat.org/oclc/5465516","WorldCat Record")</f>
        <v>WorldCat Record</v>
      </c>
      <c r="AX6738" s="3" t="s">
        <v>64853</v>
      </c>
      <c r="AY6738" s="3" t="s">
        <v>64854</v>
      </c>
      <c r="AZ6738" s="3" t="s">
        <v>64855</v>
      </c>
      <c r="BA6738" s="3" t="s">
        <v>64855</v>
      </c>
      <c r="BB6738" s="3" t="s">
        <v>64856</v>
      </c>
      <c r="BC6738" s="3" t="s">
        <v>142</v>
      </c>
      <c r="BD6738" s="3" t="s">
        <v>68</v>
      </c>
      <c r="BF6738" s="3" t="s">
        <v>64856</v>
      </c>
      <c r="BG6738" s="3" t="s">
        <v>64857</v>
      </c>
    </row>
    <row r="6739" spans="1:59" ht="57" x14ac:dyDescent="0.45">
      <c r="A6739" s="2" t="s">
        <v>59</v>
      </c>
      <c r="B6739" s="2" t="s">
        <v>60</v>
      </c>
      <c r="C6739" s="2" t="s">
        <v>64846</v>
      </c>
      <c r="D6739" s="2" t="s">
        <v>64847</v>
      </c>
      <c r="E6739" s="2" t="s">
        <v>64848</v>
      </c>
      <c r="F6739" s="3" t="s">
        <v>478</v>
      </c>
      <c r="G6739" s="3" t="s">
        <v>61</v>
      </c>
      <c r="I6739" s="3" t="s">
        <v>61</v>
      </c>
      <c r="J6739" s="3" t="s">
        <v>62</v>
      </c>
      <c r="K6739" s="3" t="s">
        <v>63</v>
      </c>
      <c r="L6739" s="2" t="s">
        <v>64849</v>
      </c>
      <c r="M6739" s="2" t="s">
        <v>64850</v>
      </c>
      <c r="N6739" s="3" t="s">
        <v>248</v>
      </c>
      <c r="O6739" s="2" t="s">
        <v>64851</v>
      </c>
      <c r="P6739" s="3" t="s">
        <v>114</v>
      </c>
      <c r="Q6739" s="2" t="s">
        <v>64852</v>
      </c>
      <c r="R6739" s="3" t="s">
        <v>66</v>
      </c>
      <c r="S6739" s="4">
        <v>0</v>
      </c>
      <c r="T6739" s="4">
        <v>6</v>
      </c>
      <c r="V6739" s="5" t="s">
        <v>64650</v>
      </c>
      <c r="W6739" s="5" t="s">
        <v>67</v>
      </c>
      <c r="X6739" s="5" t="s">
        <v>67</v>
      </c>
      <c r="Y6739" s="4">
        <v>149</v>
      </c>
      <c r="Z6739" s="4">
        <v>12</v>
      </c>
      <c r="AA6739" s="4">
        <v>20</v>
      </c>
      <c r="AB6739" s="4">
        <v>3</v>
      </c>
      <c r="AC6739" s="4">
        <v>4</v>
      </c>
      <c r="AD6739" s="4">
        <v>62</v>
      </c>
      <c r="AE6739" s="4">
        <v>84</v>
      </c>
      <c r="AF6739" s="4">
        <v>1</v>
      </c>
      <c r="AG6739" s="4">
        <v>2</v>
      </c>
      <c r="AH6739" s="4">
        <v>57</v>
      </c>
      <c r="AI6739" s="4">
        <v>76</v>
      </c>
      <c r="AJ6739" s="4">
        <v>8</v>
      </c>
      <c r="AK6739" s="4">
        <v>13</v>
      </c>
      <c r="AL6739" s="4">
        <v>39</v>
      </c>
      <c r="AM6739" s="4">
        <v>49</v>
      </c>
      <c r="AN6739" s="4">
        <v>0</v>
      </c>
      <c r="AO6739" s="4">
        <v>0</v>
      </c>
      <c r="AP6739" s="4">
        <v>8</v>
      </c>
      <c r="AQ6739" s="4">
        <v>14</v>
      </c>
      <c r="AR6739" s="3" t="s">
        <v>62</v>
      </c>
      <c r="AS6739" s="3" t="s">
        <v>62</v>
      </c>
      <c r="AT6739" s="3" t="s">
        <v>61</v>
      </c>
      <c r="AU6739" s="6" t="str">
        <f>HYPERLINK("http://catalog.hathitrust.org/Record/000315848","HathiTrust Record")</f>
        <v>HathiTrust Record</v>
      </c>
      <c r="AV6739" s="6" t="str">
        <f>HYPERLINK("http://mcgill.on.worldcat.org/oclc/5465516","Catalog Record")</f>
        <v>Catalog Record</v>
      </c>
      <c r="AW6739" s="6" t="str">
        <f>HYPERLINK("http://www.worldcat.org/oclc/5465516","WorldCat Record")</f>
        <v>WorldCat Record</v>
      </c>
      <c r="AX6739" s="3" t="s">
        <v>64853</v>
      </c>
      <c r="AY6739" s="3" t="s">
        <v>64854</v>
      </c>
      <c r="AZ6739" s="3" t="s">
        <v>64855</v>
      </c>
      <c r="BA6739" s="3" t="s">
        <v>64855</v>
      </c>
      <c r="BB6739" s="3" t="s">
        <v>64858</v>
      </c>
      <c r="BC6739" s="3" t="s">
        <v>142</v>
      </c>
      <c r="BD6739" s="3" t="s">
        <v>68</v>
      </c>
      <c r="BF6739" s="3" t="s">
        <v>64858</v>
      </c>
      <c r="BG6739" s="3" t="s">
        <v>64859</v>
      </c>
    </row>
    <row r="6740" spans="1:59" ht="57" x14ac:dyDescent="0.45">
      <c r="A6740" s="2" t="s">
        <v>59</v>
      </c>
      <c r="B6740" s="2" t="s">
        <v>60</v>
      </c>
      <c r="C6740" s="2" t="s">
        <v>64860</v>
      </c>
      <c r="D6740" s="2" t="s">
        <v>64861</v>
      </c>
      <c r="E6740" s="2" t="s">
        <v>64848</v>
      </c>
      <c r="G6740" s="3" t="s">
        <v>61</v>
      </c>
      <c r="I6740" s="3" t="s">
        <v>61</v>
      </c>
      <c r="J6740" s="3" t="s">
        <v>62</v>
      </c>
      <c r="K6740" s="3" t="s">
        <v>63</v>
      </c>
      <c r="L6740" s="2" t="s">
        <v>64849</v>
      </c>
      <c r="M6740" s="2" t="s">
        <v>64850</v>
      </c>
      <c r="N6740" s="3" t="s">
        <v>248</v>
      </c>
      <c r="O6740" s="2" t="s">
        <v>64851</v>
      </c>
      <c r="P6740" s="3" t="s">
        <v>114</v>
      </c>
      <c r="Q6740" s="2" t="s">
        <v>64852</v>
      </c>
      <c r="R6740" s="3" t="s">
        <v>66</v>
      </c>
      <c r="S6740" s="4">
        <v>2</v>
      </c>
      <c r="T6740" s="4">
        <v>6</v>
      </c>
      <c r="U6740" s="5" t="s">
        <v>81</v>
      </c>
      <c r="V6740" s="5" t="s">
        <v>64650</v>
      </c>
      <c r="W6740" s="5" t="s">
        <v>67</v>
      </c>
      <c r="X6740" s="5" t="s">
        <v>67</v>
      </c>
      <c r="Y6740" s="4">
        <v>149</v>
      </c>
      <c r="Z6740" s="4">
        <v>12</v>
      </c>
      <c r="AA6740" s="4">
        <v>20</v>
      </c>
      <c r="AB6740" s="4">
        <v>3</v>
      </c>
      <c r="AC6740" s="4">
        <v>4</v>
      </c>
      <c r="AD6740" s="4">
        <v>62</v>
      </c>
      <c r="AE6740" s="4">
        <v>84</v>
      </c>
      <c r="AF6740" s="4">
        <v>1</v>
      </c>
      <c r="AG6740" s="4">
        <v>2</v>
      </c>
      <c r="AH6740" s="4">
        <v>57</v>
      </c>
      <c r="AI6740" s="4">
        <v>76</v>
      </c>
      <c r="AJ6740" s="4">
        <v>8</v>
      </c>
      <c r="AK6740" s="4">
        <v>13</v>
      </c>
      <c r="AL6740" s="4">
        <v>39</v>
      </c>
      <c r="AM6740" s="4">
        <v>49</v>
      </c>
      <c r="AN6740" s="4">
        <v>0</v>
      </c>
      <c r="AO6740" s="4">
        <v>0</v>
      </c>
      <c r="AP6740" s="4">
        <v>8</v>
      </c>
      <c r="AQ6740" s="4">
        <v>14</v>
      </c>
      <c r="AR6740" s="3" t="s">
        <v>62</v>
      </c>
      <c r="AS6740" s="3" t="s">
        <v>62</v>
      </c>
      <c r="AT6740" s="3" t="s">
        <v>61</v>
      </c>
      <c r="AU6740" s="6" t="str">
        <f>HYPERLINK("http://catalog.hathitrust.org/Record/000315848","HathiTrust Record")</f>
        <v>HathiTrust Record</v>
      </c>
      <c r="AV6740" s="6" t="str">
        <f>HYPERLINK("http://mcgill.on.worldcat.org/oclc/5465516","Catalog Record")</f>
        <v>Catalog Record</v>
      </c>
      <c r="AW6740" s="6" t="str">
        <f>HYPERLINK("http://www.worldcat.org/oclc/5465516","WorldCat Record")</f>
        <v>WorldCat Record</v>
      </c>
      <c r="AX6740" s="3" t="s">
        <v>64853</v>
      </c>
      <c r="AY6740" s="3" t="s">
        <v>64854</v>
      </c>
      <c r="AZ6740" s="3" t="s">
        <v>64855</v>
      </c>
      <c r="BA6740" s="3" t="s">
        <v>64855</v>
      </c>
      <c r="BB6740" s="3" t="s">
        <v>64862</v>
      </c>
      <c r="BC6740" s="3" t="s">
        <v>142</v>
      </c>
      <c r="BD6740" s="3" t="s">
        <v>68</v>
      </c>
      <c r="BF6740" s="3" t="s">
        <v>64862</v>
      </c>
      <c r="BG6740" s="3" t="s">
        <v>64863</v>
      </c>
    </row>
    <row r="6741" spans="1:59" ht="57" x14ac:dyDescent="0.45">
      <c r="A6741" s="2" t="s">
        <v>59</v>
      </c>
      <c r="B6741" s="2" t="s">
        <v>60</v>
      </c>
      <c r="C6741" s="2" t="s">
        <v>65848</v>
      </c>
      <c r="D6741" s="2" t="s">
        <v>65849</v>
      </c>
      <c r="E6741" s="2" t="s">
        <v>65850</v>
      </c>
      <c r="F6741" s="3" t="s">
        <v>65851</v>
      </c>
      <c r="G6741" s="3" t="s">
        <v>61</v>
      </c>
      <c r="I6741" s="3" t="s">
        <v>62</v>
      </c>
      <c r="J6741" s="3" t="s">
        <v>62</v>
      </c>
      <c r="K6741" s="3" t="s">
        <v>63</v>
      </c>
      <c r="L6741" s="2" t="s">
        <v>65852</v>
      </c>
      <c r="M6741" s="2" t="s">
        <v>65853</v>
      </c>
      <c r="N6741" s="3" t="s">
        <v>820</v>
      </c>
      <c r="P6741" s="3" t="s">
        <v>65</v>
      </c>
      <c r="Q6741" s="2" t="s">
        <v>65854</v>
      </c>
      <c r="R6741" s="3" t="s">
        <v>66</v>
      </c>
      <c r="S6741" s="4">
        <v>3</v>
      </c>
      <c r="T6741" s="4">
        <v>7</v>
      </c>
      <c r="U6741" s="5" t="s">
        <v>65855</v>
      </c>
      <c r="V6741" s="5" t="s">
        <v>65855</v>
      </c>
      <c r="W6741" s="5" t="s">
        <v>67</v>
      </c>
      <c r="X6741" s="5" t="s">
        <v>67</v>
      </c>
      <c r="Y6741" s="4">
        <v>139</v>
      </c>
      <c r="Z6741" s="4">
        <v>13</v>
      </c>
      <c r="AA6741" s="4">
        <v>96</v>
      </c>
      <c r="AB6741" s="4">
        <v>3</v>
      </c>
      <c r="AC6741" s="4">
        <v>18</v>
      </c>
      <c r="AD6741" s="4">
        <v>51</v>
      </c>
      <c r="AE6741" s="4">
        <v>120</v>
      </c>
      <c r="AF6741" s="4">
        <v>1</v>
      </c>
      <c r="AG6741" s="4">
        <v>8</v>
      </c>
      <c r="AH6741" s="4">
        <v>48</v>
      </c>
      <c r="AI6741" s="4">
        <v>83</v>
      </c>
      <c r="AJ6741" s="4">
        <v>9</v>
      </c>
      <c r="AK6741" s="4">
        <v>23</v>
      </c>
      <c r="AL6741" s="4">
        <v>28</v>
      </c>
      <c r="AM6741" s="4">
        <v>44</v>
      </c>
      <c r="AN6741" s="4">
        <v>0</v>
      </c>
      <c r="AO6741" s="4">
        <v>0</v>
      </c>
      <c r="AP6741" s="4">
        <v>9</v>
      </c>
      <c r="AQ6741" s="4">
        <v>44</v>
      </c>
      <c r="AR6741" s="3" t="s">
        <v>62</v>
      </c>
      <c r="AS6741" s="3" t="s">
        <v>62</v>
      </c>
      <c r="AT6741" s="3" t="s">
        <v>62</v>
      </c>
      <c r="AV6741" s="6" t="str">
        <f>HYPERLINK("http://mcgill.on.worldcat.org/oclc/226314494","Catalog Record")</f>
        <v>Catalog Record</v>
      </c>
      <c r="AW6741" s="6" t="str">
        <f>HYPERLINK("http://www.worldcat.org/oclc/226314494","WorldCat Record")</f>
        <v>WorldCat Record</v>
      </c>
      <c r="AX6741" s="3" t="s">
        <v>65856</v>
      </c>
      <c r="AY6741" s="3" t="s">
        <v>65857</v>
      </c>
      <c r="AZ6741" s="3" t="s">
        <v>65858</v>
      </c>
      <c r="BA6741" s="3" t="s">
        <v>65858</v>
      </c>
      <c r="BB6741" s="3" t="s">
        <v>65859</v>
      </c>
      <c r="BC6741" s="3" t="s">
        <v>142</v>
      </c>
      <c r="BD6741" s="3" t="s">
        <v>68</v>
      </c>
      <c r="BE6741" s="3" t="s">
        <v>65860</v>
      </c>
      <c r="BF6741" s="3" t="s">
        <v>65859</v>
      </c>
      <c r="BG6741" s="3" t="s">
        <v>65861</v>
      </c>
    </row>
    <row r="6742" spans="1:59" ht="57" x14ac:dyDescent="0.45">
      <c r="A6742" s="2" t="s">
        <v>59</v>
      </c>
      <c r="B6742" s="2" t="s">
        <v>60</v>
      </c>
      <c r="C6742" s="2" t="s">
        <v>65848</v>
      </c>
      <c r="D6742" s="2" t="s">
        <v>65849</v>
      </c>
      <c r="E6742" s="2" t="s">
        <v>65850</v>
      </c>
      <c r="F6742" s="3" t="s">
        <v>65862</v>
      </c>
      <c r="G6742" s="3" t="s">
        <v>61</v>
      </c>
      <c r="I6742" s="3" t="s">
        <v>62</v>
      </c>
      <c r="J6742" s="3" t="s">
        <v>62</v>
      </c>
      <c r="K6742" s="3" t="s">
        <v>63</v>
      </c>
      <c r="L6742" s="2" t="s">
        <v>65852</v>
      </c>
      <c r="M6742" s="2" t="s">
        <v>65853</v>
      </c>
      <c r="N6742" s="3" t="s">
        <v>820</v>
      </c>
      <c r="P6742" s="3" t="s">
        <v>65</v>
      </c>
      <c r="Q6742" s="2" t="s">
        <v>65854</v>
      </c>
      <c r="R6742" s="3" t="s">
        <v>66</v>
      </c>
      <c r="S6742" s="4">
        <v>4</v>
      </c>
      <c r="T6742" s="4">
        <v>7</v>
      </c>
      <c r="U6742" s="5" t="s">
        <v>65855</v>
      </c>
      <c r="V6742" s="5" t="s">
        <v>65855</v>
      </c>
      <c r="W6742" s="5" t="s">
        <v>67</v>
      </c>
      <c r="X6742" s="5" t="s">
        <v>67</v>
      </c>
      <c r="Y6742" s="4">
        <v>139</v>
      </c>
      <c r="Z6742" s="4">
        <v>13</v>
      </c>
      <c r="AA6742" s="4">
        <v>96</v>
      </c>
      <c r="AB6742" s="4">
        <v>3</v>
      </c>
      <c r="AC6742" s="4">
        <v>18</v>
      </c>
      <c r="AD6742" s="4">
        <v>51</v>
      </c>
      <c r="AE6742" s="4">
        <v>120</v>
      </c>
      <c r="AF6742" s="4">
        <v>1</v>
      </c>
      <c r="AG6742" s="4">
        <v>8</v>
      </c>
      <c r="AH6742" s="4">
        <v>48</v>
      </c>
      <c r="AI6742" s="4">
        <v>83</v>
      </c>
      <c r="AJ6742" s="4">
        <v>9</v>
      </c>
      <c r="AK6742" s="4">
        <v>23</v>
      </c>
      <c r="AL6742" s="4">
        <v>28</v>
      </c>
      <c r="AM6742" s="4">
        <v>44</v>
      </c>
      <c r="AN6742" s="4">
        <v>0</v>
      </c>
      <c r="AO6742" s="4">
        <v>0</v>
      </c>
      <c r="AP6742" s="4">
        <v>9</v>
      </c>
      <c r="AQ6742" s="4">
        <v>44</v>
      </c>
      <c r="AR6742" s="3" t="s">
        <v>62</v>
      </c>
      <c r="AS6742" s="3" t="s">
        <v>62</v>
      </c>
      <c r="AT6742" s="3" t="s">
        <v>62</v>
      </c>
      <c r="AV6742" s="6" t="str">
        <f>HYPERLINK("http://mcgill.on.worldcat.org/oclc/226314494","Catalog Record")</f>
        <v>Catalog Record</v>
      </c>
      <c r="AW6742" s="6" t="str">
        <f>HYPERLINK("http://www.worldcat.org/oclc/226314494","WorldCat Record")</f>
        <v>WorldCat Record</v>
      </c>
      <c r="AX6742" s="3" t="s">
        <v>65856</v>
      </c>
      <c r="AY6742" s="3" t="s">
        <v>65857</v>
      </c>
      <c r="AZ6742" s="3" t="s">
        <v>65858</v>
      </c>
      <c r="BA6742" s="3" t="s">
        <v>65858</v>
      </c>
      <c r="BB6742" s="3" t="s">
        <v>65863</v>
      </c>
      <c r="BC6742" s="3" t="s">
        <v>142</v>
      </c>
      <c r="BD6742" s="3" t="s">
        <v>68</v>
      </c>
      <c r="BE6742" s="3" t="s">
        <v>65860</v>
      </c>
      <c r="BF6742" s="3" t="s">
        <v>65863</v>
      </c>
      <c r="BG6742" s="3" t="s">
        <v>65864</v>
      </c>
    </row>
    <row r="6743" spans="1:59" ht="57" x14ac:dyDescent="0.45">
      <c r="A6743" s="2" t="s">
        <v>59</v>
      </c>
      <c r="B6743" s="2" t="s">
        <v>60</v>
      </c>
      <c r="C6743" s="2" t="s">
        <v>64864</v>
      </c>
      <c r="D6743" s="2" t="s">
        <v>64865</v>
      </c>
      <c r="E6743" s="2" t="s">
        <v>64866</v>
      </c>
      <c r="G6743" s="3" t="s">
        <v>62</v>
      </c>
      <c r="I6743" s="3" t="s">
        <v>62</v>
      </c>
      <c r="J6743" s="3" t="s">
        <v>62</v>
      </c>
      <c r="K6743" s="3" t="s">
        <v>63</v>
      </c>
      <c r="L6743" s="2" t="s">
        <v>64867</v>
      </c>
      <c r="M6743" s="2" t="s">
        <v>2952</v>
      </c>
      <c r="N6743" s="3" t="s">
        <v>918</v>
      </c>
      <c r="P6743" s="3" t="s">
        <v>65</v>
      </c>
      <c r="Q6743" s="2" t="s">
        <v>2941</v>
      </c>
      <c r="R6743" s="3" t="s">
        <v>66</v>
      </c>
      <c r="S6743" s="4">
        <v>5</v>
      </c>
      <c r="T6743" s="4">
        <v>5</v>
      </c>
      <c r="U6743" s="5" t="s">
        <v>60682</v>
      </c>
      <c r="V6743" s="5" t="s">
        <v>60682</v>
      </c>
      <c r="W6743" s="5" t="s">
        <v>67</v>
      </c>
      <c r="X6743" s="5" t="s">
        <v>67</v>
      </c>
      <c r="Y6743" s="4">
        <v>168</v>
      </c>
      <c r="Z6743" s="4">
        <v>12</v>
      </c>
      <c r="AA6743" s="4">
        <v>22</v>
      </c>
      <c r="AB6743" s="4">
        <v>2</v>
      </c>
      <c r="AC6743" s="4">
        <v>6</v>
      </c>
      <c r="AD6743" s="4">
        <v>77</v>
      </c>
      <c r="AE6743" s="4">
        <v>90</v>
      </c>
      <c r="AF6743" s="4">
        <v>1</v>
      </c>
      <c r="AG6743" s="4">
        <v>2</v>
      </c>
      <c r="AH6743" s="4">
        <v>70</v>
      </c>
      <c r="AI6743" s="4">
        <v>81</v>
      </c>
      <c r="AJ6743" s="4">
        <v>7</v>
      </c>
      <c r="AK6743" s="4">
        <v>12</v>
      </c>
      <c r="AL6743" s="4">
        <v>47</v>
      </c>
      <c r="AM6743" s="4">
        <v>49</v>
      </c>
      <c r="AN6743" s="4">
        <v>0</v>
      </c>
      <c r="AO6743" s="4">
        <v>0</v>
      </c>
      <c r="AP6743" s="4">
        <v>9</v>
      </c>
      <c r="AQ6743" s="4">
        <v>16</v>
      </c>
      <c r="AR6743" s="3" t="s">
        <v>62</v>
      </c>
      <c r="AS6743" s="3" t="s">
        <v>62</v>
      </c>
      <c r="AT6743" s="3" t="s">
        <v>62</v>
      </c>
      <c r="AV6743" s="6" t="str">
        <f>HYPERLINK("http://mcgill.on.worldcat.org/oclc/50333670","Catalog Record")</f>
        <v>Catalog Record</v>
      </c>
      <c r="AW6743" s="6" t="str">
        <f>HYPERLINK("http://www.worldcat.org/oclc/50333670","WorldCat Record")</f>
        <v>WorldCat Record</v>
      </c>
      <c r="AX6743" s="3" t="s">
        <v>64868</v>
      </c>
      <c r="AY6743" s="3" t="s">
        <v>64869</v>
      </c>
      <c r="AZ6743" s="3" t="s">
        <v>64870</v>
      </c>
      <c r="BA6743" s="3" t="s">
        <v>64870</v>
      </c>
      <c r="BB6743" s="3" t="s">
        <v>64871</v>
      </c>
      <c r="BC6743" s="3" t="s">
        <v>142</v>
      </c>
      <c r="BD6743" s="3" t="s">
        <v>68</v>
      </c>
      <c r="BE6743" s="3" t="s">
        <v>64872</v>
      </c>
      <c r="BF6743" s="3" t="s">
        <v>64871</v>
      </c>
      <c r="BG6743" s="3" t="s">
        <v>64873</v>
      </c>
    </row>
    <row r="6744" spans="1:59" ht="57" x14ac:dyDescent="0.45">
      <c r="A6744" s="2" t="s">
        <v>59</v>
      </c>
      <c r="B6744" s="2" t="s">
        <v>60</v>
      </c>
      <c r="C6744" s="2" t="s">
        <v>64874</v>
      </c>
      <c r="D6744" s="2" t="s">
        <v>64875</v>
      </c>
      <c r="E6744" s="2" t="s">
        <v>64876</v>
      </c>
      <c r="G6744" s="3" t="s">
        <v>62</v>
      </c>
      <c r="I6744" s="3" t="s">
        <v>62</v>
      </c>
      <c r="J6744" s="3" t="s">
        <v>62</v>
      </c>
      <c r="K6744" s="3" t="s">
        <v>63</v>
      </c>
      <c r="L6744" s="2" t="s">
        <v>64877</v>
      </c>
      <c r="M6744" s="2" t="s">
        <v>64878</v>
      </c>
      <c r="N6744" s="3" t="s">
        <v>419</v>
      </c>
      <c r="P6744" s="3" t="s">
        <v>110</v>
      </c>
      <c r="Q6744" s="2" t="s">
        <v>64879</v>
      </c>
      <c r="R6744" s="3" t="s">
        <v>66</v>
      </c>
      <c r="S6744" s="4">
        <v>10</v>
      </c>
      <c r="T6744" s="4">
        <v>10</v>
      </c>
      <c r="U6744" s="5" t="s">
        <v>17306</v>
      </c>
      <c r="V6744" s="5" t="s">
        <v>17306</v>
      </c>
      <c r="W6744" s="5" t="s">
        <v>67</v>
      </c>
      <c r="X6744" s="5" t="s">
        <v>67</v>
      </c>
      <c r="Y6744" s="4">
        <v>152</v>
      </c>
      <c r="Z6744" s="4">
        <v>11</v>
      </c>
      <c r="AA6744" s="4">
        <v>13</v>
      </c>
      <c r="AB6744" s="4">
        <v>1</v>
      </c>
      <c r="AC6744" s="4">
        <v>2</v>
      </c>
      <c r="AD6744" s="4">
        <v>52</v>
      </c>
      <c r="AE6744" s="4">
        <v>54</v>
      </c>
      <c r="AF6744" s="4">
        <v>0</v>
      </c>
      <c r="AG6744" s="4">
        <v>1</v>
      </c>
      <c r="AH6744" s="4">
        <v>47</v>
      </c>
      <c r="AI6744" s="4">
        <v>48</v>
      </c>
      <c r="AJ6744" s="4">
        <v>8</v>
      </c>
      <c r="AK6744" s="4">
        <v>10</v>
      </c>
      <c r="AL6744" s="4">
        <v>34</v>
      </c>
      <c r="AM6744" s="4">
        <v>34</v>
      </c>
      <c r="AN6744" s="4">
        <v>0</v>
      </c>
      <c r="AO6744" s="4">
        <v>0</v>
      </c>
      <c r="AP6744" s="4">
        <v>7</v>
      </c>
      <c r="AQ6744" s="4">
        <v>9</v>
      </c>
      <c r="AR6744" s="3" t="s">
        <v>62</v>
      </c>
      <c r="AS6744" s="3" t="s">
        <v>62</v>
      </c>
      <c r="AT6744" s="3" t="s">
        <v>61</v>
      </c>
      <c r="AU6744" s="6" t="str">
        <f>HYPERLINK("http://catalog.hathitrust.org/Record/001181228","HathiTrust Record")</f>
        <v>HathiTrust Record</v>
      </c>
      <c r="AV6744" s="6" t="str">
        <f>HYPERLINK("http://mcgill.on.worldcat.org/oclc/499606","Catalog Record")</f>
        <v>Catalog Record</v>
      </c>
      <c r="AW6744" s="6" t="str">
        <f>HYPERLINK("http://www.worldcat.org/oclc/499606","WorldCat Record")</f>
        <v>WorldCat Record</v>
      </c>
      <c r="AX6744" s="3" t="s">
        <v>64880</v>
      </c>
      <c r="AY6744" s="3" t="s">
        <v>64881</v>
      </c>
      <c r="AZ6744" s="3" t="s">
        <v>64882</v>
      </c>
      <c r="BA6744" s="3" t="s">
        <v>64882</v>
      </c>
      <c r="BB6744" s="3" t="s">
        <v>64883</v>
      </c>
      <c r="BC6744" s="3" t="s">
        <v>142</v>
      </c>
      <c r="BD6744" s="3" t="s">
        <v>68</v>
      </c>
      <c r="BF6744" s="3" t="s">
        <v>64883</v>
      </c>
      <c r="BG6744" s="3" t="s">
        <v>64884</v>
      </c>
    </row>
    <row r="6745" spans="1:59" ht="71.25" x14ac:dyDescent="0.45">
      <c r="A6745" s="2" t="s">
        <v>59</v>
      </c>
      <c r="B6745" s="2" t="s">
        <v>60</v>
      </c>
      <c r="C6745" s="2" t="s">
        <v>64885</v>
      </c>
      <c r="D6745" s="2" t="s">
        <v>64886</v>
      </c>
      <c r="E6745" s="2" t="s">
        <v>64887</v>
      </c>
      <c r="G6745" s="3" t="s">
        <v>62</v>
      </c>
      <c r="I6745" s="3" t="s">
        <v>62</v>
      </c>
      <c r="J6745" s="3" t="s">
        <v>62</v>
      </c>
      <c r="K6745" s="3" t="s">
        <v>63</v>
      </c>
      <c r="L6745" s="2" t="s">
        <v>64888</v>
      </c>
      <c r="M6745" s="2" t="s">
        <v>64889</v>
      </c>
      <c r="N6745" s="3" t="s">
        <v>529</v>
      </c>
      <c r="P6745" s="3" t="s">
        <v>114</v>
      </c>
      <c r="Q6745" s="2" t="s">
        <v>64890</v>
      </c>
      <c r="R6745" s="3" t="s">
        <v>66</v>
      </c>
      <c r="S6745" s="4">
        <v>4</v>
      </c>
      <c r="T6745" s="4">
        <v>4</v>
      </c>
      <c r="U6745" s="5" t="s">
        <v>17306</v>
      </c>
      <c r="V6745" s="5" t="s">
        <v>17306</v>
      </c>
      <c r="W6745" s="5" t="s">
        <v>67</v>
      </c>
      <c r="X6745" s="5" t="s">
        <v>67</v>
      </c>
      <c r="Y6745" s="4">
        <v>88</v>
      </c>
      <c r="Z6745" s="4">
        <v>3</v>
      </c>
      <c r="AA6745" s="4">
        <v>3</v>
      </c>
      <c r="AB6745" s="4">
        <v>1</v>
      </c>
      <c r="AC6745" s="4">
        <v>1</v>
      </c>
      <c r="AD6745" s="4">
        <v>26</v>
      </c>
      <c r="AE6745" s="4">
        <v>26</v>
      </c>
      <c r="AF6745" s="4">
        <v>0</v>
      </c>
      <c r="AG6745" s="4">
        <v>0</v>
      </c>
      <c r="AH6745" s="4">
        <v>25</v>
      </c>
      <c r="AI6745" s="4">
        <v>25</v>
      </c>
      <c r="AJ6745" s="4">
        <v>1</v>
      </c>
      <c r="AK6745" s="4">
        <v>1</v>
      </c>
      <c r="AL6745" s="4">
        <v>23</v>
      </c>
      <c r="AM6745" s="4">
        <v>23</v>
      </c>
      <c r="AN6745" s="4">
        <v>0</v>
      </c>
      <c r="AO6745" s="4">
        <v>0</v>
      </c>
      <c r="AP6745" s="4">
        <v>1</v>
      </c>
      <c r="AQ6745" s="4">
        <v>1</v>
      </c>
      <c r="AR6745" s="3" t="s">
        <v>62</v>
      </c>
      <c r="AS6745" s="3" t="s">
        <v>62</v>
      </c>
      <c r="AT6745" s="3" t="s">
        <v>61</v>
      </c>
      <c r="AU6745" s="6" t="str">
        <f>HYPERLINK("http://catalog.hathitrust.org/Record/000652838","HathiTrust Record")</f>
        <v>HathiTrust Record</v>
      </c>
      <c r="AV6745" s="6" t="str">
        <f>HYPERLINK("http://mcgill.on.worldcat.org/oclc/12170509","Catalog Record")</f>
        <v>Catalog Record</v>
      </c>
      <c r="AW6745" s="6" t="str">
        <f>HYPERLINK("http://www.worldcat.org/oclc/12170509","WorldCat Record")</f>
        <v>WorldCat Record</v>
      </c>
      <c r="AX6745" s="3" t="s">
        <v>64891</v>
      </c>
      <c r="AY6745" s="3" t="s">
        <v>64892</v>
      </c>
      <c r="AZ6745" s="3" t="s">
        <v>64893</v>
      </c>
      <c r="BA6745" s="3" t="s">
        <v>64893</v>
      </c>
      <c r="BB6745" s="3" t="s">
        <v>64894</v>
      </c>
      <c r="BC6745" s="3" t="s">
        <v>142</v>
      </c>
      <c r="BD6745" s="3" t="s">
        <v>68</v>
      </c>
      <c r="BE6745" s="3" t="s">
        <v>64895</v>
      </c>
      <c r="BF6745" s="3" t="s">
        <v>64894</v>
      </c>
      <c r="BG6745" s="3" t="s">
        <v>64896</v>
      </c>
    </row>
    <row r="6746" spans="1:59" ht="71.25" x14ac:dyDescent="0.45">
      <c r="A6746" s="2" t="s">
        <v>59</v>
      </c>
      <c r="B6746" s="2" t="s">
        <v>60</v>
      </c>
      <c r="C6746" s="2" t="s">
        <v>64897</v>
      </c>
      <c r="D6746" s="2" t="s">
        <v>64898</v>
      </c>
      <c r="E6746" s="2" t="s">
        <v>64899</v>
      </c>
      <c r="G6746" s="3" t="s">
        <v>62</v>
      </c>
      <c r="I6746" s="3" t="s">
        <v>62</v>
      </c>
      <c r="J6746" s="3" t="s">
        <v>62</v>
      </c>
      <c r="K6746" s="3" t="s">
        <v>63</v>
      </c>
      <c r="L6746" s="2" t="s">
        <v>64888</v>
      </c>
      <c r="M6746" s="2" t="s">
        <v>64900</v>
      </c>
      <c r="N6746" s="3" t="s">
        <v>125</v>
      </c>
      <c r="P6746" s="3" t="s">
        <v>114</v>
      </c>
      <c r="Q6746" s="2" t="s">
        <v>64901</v>
      </c>
      <c r="R6746" s="3" t="s">
        <v>66</v>
      </c>
      <c r="S6746" s="4">
        <v>3</v>
      </c>
      <c r="T6746" s="4">
        <v>3</v>
      </c>
      <c r="U6746" s="5" t="s">
        <v>64650</v>
      </c>
      <c r="V6746" s="5" t="s">
        <v>64650</v>
      </c>
      <c r="W6746" s="5" t="s">
        <v>67</v>
      </c>
      <c r="X6746" s="5" t="s">
        <v>67</v>
      </c>
      <c r="Y6746" s="4">
        <v>82</v>
      </c>
      <c r="Z6746" s="4">
        <v>3</v>
      </c>
      <c r="AA6746" s="4">
        <v>3</v>
      </c>
      <c r="AB6746" s="4">
        <v>1</v>
      </c>
      <c r="AC6746" s="4">
        <v>1</v>
      </c>
      <c r="AD6746" s="4">
        <v>24</v>
      </c>
      <c r="AE6746" s="4">
        <v>24</v>
      </c>
      <c r="AF6746" s="4">
        <v>0</v>
      </c>
      <c r="AG6746" s="4">
        <v>0</v>
      </c>
      <c r="AH6746" s="4">
        <v>23</v>
      </c>
      <c r="AI6746" s="4">
        <v>23</v>
      </c>
      <c r="AJ6746" s="4">
        <v>1</v>
      </c>
      <c r="AK6746" s="4">
        <v>1</v>
      </c>
      <c r="AL6746" s="4">
        <v>22</v>
      </c>
      <c r="AM6746" s="4">
        <v>22</v>
      </c>
      <c r="AN6746" s="4">
        <v>0</v>
      </c>
      <c r="AO6746" s="4">
        <v>0</v>
      </c>
      <c r="AP6746" s="4">
        <v>1</v>
      </c>
      <c r="AQ6746" s="4">
        <v>1</v>
      </c>
      <c r="AR6746" s="3" t="s">
        <v>62</v>
      </c>
      <c r="AS6746" s="3" t="s">
        <v>62</v>
      </c>
      <c r="AT6746" s="3" t="s">
        <v>61</v>
      </c>
      <c r="AU6746" s="6" t="str">
        <f>HYPERLINK("http://catalog.hathitrust.org/Record/002466863","HathiTrust Record")</f>
        <v>HathiTrust Record</v>
      </c>
      <c r="AV6746" s="6" t="str">
        <f>HYPERLINK("http://mcgill.on.worldcat.org/oclc/24113602","Catalog Record")</f>
        <v>Catalog Record</v>
      </c>
      <c r="AW6746" s="6" t="str">
        <f>HYPERLINK("http://www.worldcat.org/oclc/24113602","WorldCat Record")</f>
        <v>WorldCat Record</v>
      </c>
      <c r="AX6746" s="3" t="s">
        <v>64902</v>
      </c>
      <c r="AY6746" s="3" t="s">
        <v>64903</v>
      </c>
      <c r="AZ6746" s="3" t="s">
        <v>64904</v>
      </c>
      <c r="BA6746" s="3" t="s">
        <v>64904</v>
      </c>
      <c r="BB6746" s="3" t="s">
        <v>64905</v>
      </c>
      <c r="BC6746" s="3" t="s">
        <v>142</v>
      </c>
      <c r="BD6746" s="3" t="s">
        <v>68</v>
      </c>
      <c r="BE6746" s="3" t="s">
        <v>64906</v>
      </c>
      <c r="BF6746" s="3" t="s">
        <v>64905</v>
      </c>
      <c r="BG6746" s="3" t="s">
        <v>64907</v>
      </c>
    </row>
    <row r="6747" spans="1:59" ht="57" x14ac:dyDescent="0.45">
      <c r="A6747" s="2" t="s">
        <v>59</v>
      </c>
      <c r="B6747" s="2" t="s">
        <v>60</v>
      </c>
      <c r="C6747" s="2" t="s">
        <v>64908</v>
      </c>
      <c r="D6747" s="2" t="s">
        <v>64909</v>
      </c>
      <c r="E6747" s="2" t="s">
        <v>64910</v>
      </c>
      <c r="G6747" s="3" t="s">
        <v>61</v>
      </c>
      <c r="I6747" s="3" t="s">
        <v>62</v>
      </c>
      <c r="J6747" s="3" t="s">
        <v>61</v>
      </c>
      <c r="K6747" s="3" t="s">
        <v>63</v>
      </c>
      <c r="L6747" s="2" t="s">
        <v>64911</v>
      </c>
      <c r="M6747" s="2" t="s">
        <v>64912</v>
      </c>
      <c r="N6747" s="3" t="s">
        <v>289</v>
      </c>
      <c r="O6747" s="2" t="s">
        <v>64913</v>
      </c>
      <c r="P6747" s="3" t="s">
        <v>65</v>
      </c>
      <c r="Q6747" s="2" t="s">
        <v>64914</v>
      </c>
      <c r="R6747" s="3" t="s">
        <v>66</v>
      </c>
      <c r="S6747" s="4">
        <v>5</v>
      </c>
      <c r="T6747" s="4">
        <v>5</v>
      </c>
      <c r="U6747" s="5" t="s">
        <v>64650</v>
      </c>
      <c r="V6747" s="5" t="s">
        <v>64650</v>
      </c>
      <c r="W6747" s="5" t="s">
        <v>67</v>
      </c>
      <c r="X6747" s="5" t="s">
        <v>67</v>
      </c>
      <c r="Y6747" s="4">
        <v>188</v>
      </c>
      <c r="Z6747" s="4">
        <v>9</v>
      </c>
      <c r="AA6747" s="4">
        <v>28</v>
      </c>
      <c r="AB6747" s="4">
        <v>2</v>
      </c>
      <c r="AC6747" s="4">
        <v>6</v>
      </c>
      <c r="AD6747" s="4">
        <v>72</v>
      </c>
      <c r="AE6747" s="4">
        <v>101</v>
      </c>
      <c r="AF6747" s="4">
        <v>1</v>
      </c>
      <c r="AG6747" s="4">
        <v>4</v>
      </c>
      <c r="AH6747" s="4">
        <v>68</v>
      </c>
      <c r="AI6747" s="4">
        <v>89</v>
      </c>
      <c r="AJ6747" s="4">
        <v>5</v>
      </c>
      <c r="AK6747" s="4">
        <v>18</v>
      </c>
      <c r="AL6747" s="4">
        <v>41</v>
      </c>
      <c r="AM6747" s="4">
        <v>50</v>
      </c>
      <c r="AN6747" s="4">
        <v>0</v>
      </c>
      <c r="AO6747" s="4">
        <v>0</v>
      </c>
      <c r="AP6747" s="4">
        <v>7</v>
      </c>
      <c r="AQ6747" s="4">
        <v>20</v>
      </c>
      <c r="AR6747" s="3" t="s">
        <v>62</v>
      </c>
      <c r="AS6747" s="3" t="s">
        <v>62</v>
      </c>
      <c r="AT6747" s="3" t="s">
        <v>61</v>
      </c>
      <c r="AU6747" s="6" t="str">
        <f>HYPERLINK("http://catalog.hathitrust.org/Record/001181234","HathiTrust Record")</f>
        <v>HathiTrust Record</v>
      </c>
      <c r="AV6747" s="6" t="str">
        <f>HYPERLINK("http://mcgill.on.worldcat.org/oclc/312111","Catalog Record")</f>
        <v>Catalog Record</v>
      </c>
      <c r="AW6747" s="6" t="str">
        <f>HYPERLINK("http://www.worldcat.org/oclc/312111","WorldCat Record")</f>
        <v>WorldCat Record</v>
      </c>
      <c r="AX6747" s="3" t="s">
        <v>64915</v>
      </c>
      <c r="AY6747" s="3" t="s">
        <v>64916</v>
      </c>
      <c r="AZ6747" s="3" t="s">
        <v>64917</v>
      </c>
      <c r="BA6747" s="3" t="s">
        <v>64917</v>
      </c>
      <c r="BB6747" s="3" t="s">
        <v>64918</v>
      </c>
      <c r="BC6747" s="3" t="s">
        <v>142</v>
      </c>
      <c r="BD6747" s="3" t="s">
        <v>68</v>
      </c>
      <c r="BF6747" s="3" t="s">
        <v>64918</v>
      </c>
      <c r="BG6747" s="3" t="s">
        <v>64919</v>
      </c>
    </row>
    <row r="6748" spans="1:59" ht="71.25" x14ac:dyDescent="0.45">
      <c r="A6748" s="2" t="s">
        <v>59</v>
      </c>
      <c r="B6748" s="2" t="s">
        <v>60</v>
      </c>
      <c r="C6748" s="2" t="s">
        <v>64920</v>
      </c>
      <c r="D6748" s="2" t="s">
        <v>64921</v>
      </c>
      <c r="E6748" s="2" t="s">
        <v>64922</v>
      </c>
      <c r="F6748" s="3" t="s">
        <v>87</v>
      </c>
      <c r="G6748" s="3" t="s">
        <v>61</v>
      </c>
      <c r="I6748" s="3" t="s">
        <v>62</v>
      </c>
      <c r="J6748" s="3" t="s">
        <v>62</v>
      </c>
      <c r="K6748" s="3" t="s">
        <v>63</v>
      </c>
      <c r="L6748" s="2" t="s">
        <v>64849</v>
      </c>
      <c r="M6748" s="2" t="s">
        <v>64923</v>
      </c>
      <c r="N6748" s="3" t="s">
        <v>64</v>
      </c>
      <c r="P6748" s="3" t="s">
        <v>114</v>
      </c>
      <c r="Q6748" s="2" t="s">
        <v>64924</v>
      </c>
      <c r="R6748" s="3" t="s">
        <v>66</v>
      </c>
      <c r="S6748" s="4">
        <v>1</v>
      </c>
      <c r="T6748" s="4">
        <v>3</v>
      </c>
      <c r="U6748" s="5" t="s">
        <v>17306</v>
      </c>
      <c r="V6748" s="5" t="s">
        <v>17306</v>
      </c>
      <c r="W6748" s="5" t="s">
        <v>67</v>
      </c>
      <c r="X6748" s="5" t="s">
        <v>67</v>
      </c>
      <c r="Y6748" s="4">
        <v>6</v>
      </c>
      <c r="Z6748" s="4">
        <v>2</v>
      </c>
      <c r="AA6748" s="4">
        <v>5</v>
      </c>
      <c r="AB6748" s="4">
        <v>2</v>
      </c>
      <c r="AC6748" s="4">
        <v>2</v>
      </c>
      <c r="AD6748" s="4">
        <v>2</v>
      </c>
      <c r="AE6748" s="4">
        <v>6</v>
      </c>
      <c r="AF6748" s="4">
        <v>1</v>
      </c>
      <c r="AG6748" s="4">
        <v>1</v>
      </c>
      <c r="AH6748" s="4">
        <v>1</v>
      </c>
      <c r="AI6748" s="4">
        <v>5</v>
      </c>
      <c r="AJ6748" s="4">
        <v>1</v>
      </c>
      <c r="AK6748" s="4">
        <v>3</v>
      </c>
      <c r="AL6748" s="4">
        <v>1</v>
      </c>
      <c r="AM6748" s="4">
        <v>4</v>
      </c>
      <c r="AN6748" s="4">
        <v>0</v>
      </c>
      <c r="AO6748" s="4">
        <v>0</v>
      </c>
      <c r="AP6748" s="4">
        <v>1</v>
      </c>
      <c r="AQ6748" s="4">
        <v>3</v>
      </c>
      <c r="AR6748" s="3" t="s">
        <v>62</v>
      </c>
      <c r="AS6748" s="3" t="s">
        <v>62</v>
      </c>
      <c r="AT6748" s="3" t="s">
        <v>61</v>
      </c>
      <c r="AU6748" s="6" t="str">
        <f>HYPERLINK("http://catalog.hathitrust.org/Record/001768175","HathiTrust Record")</f>
        <v>HathiTrust Record</v>
      </c>
      <c r="AV6748" s="6" t="str">
        <f>HYPERLINK("http://mcgill.on.worldcat.org/oclc/74378405","Catalog Record")</f>
        <v>Catalog Record</v>
      </c>
      <c r="AW6748" s="6" t="str">
        <f>HYPERLINK("http://www.worldcat.org/oclc/74378405","WorldCat Record")</f>
        <v>WorldCat Record</v>
      </c>
      <c r="AX6748" s="3" t="s">
        <v>64925</v>
      </c>
      <c r="AY6748" s="3" t="s">
        <v>64926</v>
      </c>
      <c r="AZ6748" s="3" t="s">
        <v>64927</v>
      </c>
      <c r="BA6748" s="3" t="s">
        <v>64927</v>
      </c>
      <c r="BB6748" s="3" t="s">
        <v>64928</v>
      </c>
      <c r="BC6748" s="3" t="s">
        <v>142</v>
      </c>
      <c r="BD6748" s="3" t="s">
        <v>68</v>
      </c>
      <c r="BF6748" s="3" t="s">
        <v>64928</v>
      </c>
      <c r="BG6748" s="3" t="s">
        <v>64929</v>
      </c>
    </row>
    <row r="6749" spans="1:59" ht="71.25" x14ac:dyDescent="0.45">
      <c r="A6749" s="2" t="s">
        <v>59</v>
      </c>
      <c r="B6749" s="2" t="s">
        <v>60</v>
      </c>
      <c r="C6749" s="2" t="s">
        <v>64920</v>
      </c>
      <c r="D6749" s="2" t="s">
        <v>64921</v>
      </c>
      <c r="E6749" s="2" t="s">
        <v>64922</v>
      </c>
      <c r="F6749" s="3" t="s">
        <v>86</v>
      </c>
      <c r="G6749" s="3" t="s">
        <v>61</v>
      </c>
      <c r="I6749" s="3" t="s">
        <v>62</v>
      </c>
      <c r="J6749" s="3" t="s">
        <v>62</v>
      </c>
      <c r="K6749" s="3" t="s">
        <v>63</v>
      </c>
      <c r="L6749" s="2" t="s">
        <v>64849</v>
      </c>
      <c r="M6749" s="2" t="s">
        <v>64923</v>
      </c>
      <c r="N6749" s="3" t="s">
        <v>64</v>
      </c>
      <c r="P6749" s="3" t="s">
        <v>114</v>
      </c>
      <c r="Q6749" s="2" t="s">
        <v>64924</v>
      </c>
      <c r="R6749" s="3" t="s">
        <v>66</v>
      </c>
      <c r="S6749" s="4">
        <v>1</v>
      </c>
      <c r="T6749" s="4">
        <v>3</v>
      </c>
      <c r="U6749" s="5" t="s">
        <v>17306</v>
      </c>
      <c r="V6749" s="5" t="s">
        <v>17306</v>
      </c>
      <c r="W6749" s="5" t="s">
        <v>67</v>
      </c>
      <c r="X6749" s="5" t="s">
        <v>67</v>
      </c>
      <c r="Y6749" s="4">
        <v>6</v>
      </c>
      <c r="Z6749" s="4">
        <v>2</v>
      </c>
      <c r="AA6749" s="4">
        <v>5</v>
      </c>
      <c r="AB6749" s="4">
        <v>2</v>
      </c>
      <c r="AC6749" s="4">
        <v>2</v>
      </c>
      <c r="AD6749" s="4">
        <v>2</v>
      </c>
      <c r="AE6749" s="4">
        <v>6</v>
      </c>
      <c r="AF6749" s="4">
        <v>1</v>
      </c>
      <c r="AG6749" s="4">
        <v>1</v>
      </c>
      <c r="AH6749" s="4">
        <v>1</v>
      </c>
      <c r="AI6749" s="4">
        <v>5</v>
      </c>
      <c r="AJ6749" s="4">
        <v>1</v>
      </c>
      <c r="AK6749" s="4">
        <v>3</v>
      </c>
      <c r="AL6749" s="4">
        <v>1</v>
      </c>
      <c r="AM6749" s="4">
        <v>4</v>
      </c>
      <c r="AN6749" s="4">
        <v>0</v>
      </c>
      <c r="AO6749" s="4">
        <v>0</v>
      </c>
      <c r="AP6749" s="4">
        <v>1</v>
      </c>
      <c r="AQ6749" s="4">
        <v>3</v>
      </c>
      <c r="AR6749" s="3" t="s">
        <v>62</v>
      </c>
      <c r="AS6749" s="3" t="s">
        <v>62</v>
      </c>
      <c r="AT6749" s="3" t="s">
        <v>61</v>
      </c>
      <c r="AU6749" s="6" t="str">
        <f>HYPERLINK("http://catalog.hathitrust.org/Record/001768175","HathiTrust Record")</f>
        <v>HathiTrust Record</v>
      </c>
      <c r="AV6749" s="6" t="str">
        <f>HYPERLINK("http://mcgill.on.worldcat.org/oclc/74378405","Catalog Record")</f>
        <v>Catalog Record</v>
      </c>
      <c r="AW6749" s="6" t="str">
        <f>HYPERLINK("http://www.worldcat.org/oclc/74378405","WorldCat Record")</f>
        <v>WorldCat Record</v>
      </c>
      <c r="AX6749" s="3" t="s">
        <v>64925</v>
      </c>
      <c r="AY6749" s="3" t="s">
        <v>64926</v>
      </c>
      <c r="AZ6749" s="3" t="s">
        <v>64927</v>
      </c>
      <c r="BA6749" s="3" t="s">
        <v>64927</v>
      </c>
      <c r="BB6749" s="3" t="s">
        <v>64930</v>
      </c>
      <c r="BC6749" s="3" t="s">
        <v>142</v>
      </c>
      <c r="BD6749" s="3" t="s">
        <v>68</v>
      </c>
      <c r="BF6749" s="3" t="s">
        <v>64930</v>
      </c>
      <c r="BG6749" s="3" t="s">
        <v>64931</v>
      </c>
    </row>
    <row r="6750" spans="1:59" ht="71.25" x14ac:dyDescent="0.45">
      <c r="A6750" s="2" t="s">
        <v>59</v>
      </c>
      <c r="B6750" s="2" t="s">
        <v>60</v>
      </c>
      <c r="C6750" s="2" t="s">
        <v>64920</v>
      </c>
      <c r="D6750" s="2" t="s">
        <v>64921</v>
      </c>
      <c r="E6750" s="2" t="s">
        <v>64922</v>
      </c>
      <c r="F6750" s="3" t="s">
        <v>90</v>
      </c>
      <c r="G6750" s="3" t="s">
        <v>61</v>
      </c>
      <c r="I6750" s="3" t="s">
        <v>62</v>
      </c>
      <c r="J6750" s="3" t="s">
        <v>62</v>
      </c>
      <c r="K6750" s="3" t="s">
        <v>63</v>
      </c>
      <c r="L6750" s="2" t="s">
        <v>64849</v>
      </c>
      <c r="M6750" s="2" t="s">
        <v>64923</v>
      </c>
      <c r="N6750" s="3" t="s">
        <v>64</v>
      </c>
      <c r="P6750" s="3" t="s">
        <v>114</v>
      </c>
      <c r="Q6750" s="2" t="s">
        <v>64924</v>
      </c>
      <c r="R6750" s="3" t="s">
        <v>66</v>
      </c>
      <c r="S6750" s="4">
        <v>1</v>
      </c>
      <c r="T6750" s="4">
        <v>3</v>
      </c>
      <c r="U6750" s="5" t="s">
        <v>17306</v>
      </c>
      <c r="V6750" s="5" t="s">
        <v>17306</v>
      </c>
      <c r="W6750" s="5" t="s">
        <v>67</v>
      </c>
      <c r="X6750" s="5" t="s">
        <v>67</v>
      </c>
      <c r="Y6750" s="4">
        <v>6</v>
      </c>
      <c r="Z6750" s="4">
        <v>2</v>
      </c>
      <c r="AA6750" s="4">
        <v>5</v>
      </c>
      <c r="AB6750" s="4">
        <v>2</v>
      </c>
      <c r="AC6750" s="4">
        <v>2</v>
      </c>
      <c r="AD6750" s="4">
        <v>2</v>
      </c>
      <c r="AE6750" s="4">
        <v>6</v>
      </c>
      <c r="AF6750" s="4">
        <v>1</v>
      </c>
      <c r="AG6750" s="4">
        <v>1</v>
      </c>
      <c r="AH6750" s="4">
        <v>1</v>
      </c>
      <c r="AI6750" s="4">
        <v>5</v>
      </c>
      <c r="AJ6750" s="4">
        <v>1</v>
      </c>
      <c r="AK6750" s="4">
        <v>3</v>
      </c>
      <c r="AL6750" s="4">
        <v>1</v>
      </c>
      <c r="AM6750" s="4">
        <v>4</v>
      </c>
      <c r="AN6750" s="4">
        <v>0</v>
      </c>
      <c r="AO6750" s="4">
        <v>0</v>
      </c>
      <c r="AP6750" s="4">
        <v>1</v>
      </c>
      <c r="AQ6750" s="4">
        <v>3</v>
      </c>
      <c r="AR6750" s="3" t="s">
        <v>62</v>
      </c>
      <c r="AS6750" s="3" t="s">
        <v>62</v>
      </c>
      <c r="AT6750" s="3" t="s">
        <v>61</v>
      </c>
      <c r="AU6750" s="6" t="str">
        <f>HYPERLINK("http://catalog.hathitrust.org/Record/001768175","HathiTrust Record")</f>
        <v>HathiTrust Record</v>
      </c>
      <c r="AV6750" s="6" t="str">
        <f>HYPERLINK("http://mcgill.on.worldcat.org/oclc/74378405","Catalog Record")</f>
        <v>Catalog Record</v>
      </c>
      <c r="AW6750" s="6" t="str">
        <f>HYPERLINK("http://www.worldcat.org/oclc/74378405","WorldCat Record")</f>
        <v>WorldCat Record</v>
      </c>
      <c r="AX6750" s="3" t="s">
        <v>64925</v>
      </c>
      <c r="AY6750" s="3" t="s">
        <v>64926</v>
      </c>
      <c r="AZ6750" s="3" t="s">
        <v>64927</v>
      </c>
      <c r="BA6750" s="3" t="s">
        <v>64927</v>
      </c>
      <c r="BB6750" s="3" t="s">
        <v>64932</v>
      </c>
      <c r="BC6750" s="3" t="s">
        <v>142</v>
      </c>
      <c r="BD6750" s="3" t="s">
        <v>68</v>
      </c>
      <c r="BF6750" s="3" t="s">
        <v>64932</v>
      </c>
      <c r="BG6750" s="3" t="s">
        <v>64933</v>
      </c>
    </row>
    <row r="6751" spans="1:59" ht="57" x14ac:dyDescent="0.45">
      <c r="A6751" s="2" t="s">
        <v>59</v>
      </c>
      <c r="B6751" s="2" t="s">
        <v>60</v>
      </c>
      <c r="C6751" s="2" t="s">
        <v>64934</v>
      </c>
      <c r="D6751" s="2" t="s">
        <v>64935</v>
      </c>
      <c r="E6751" s="2" t="s">
        <v>64936</v>
      </c>
      <c r="F6751" s="3" t="s">
        <v>64937</v>
      </c>
      <c r="G6751" s="3" t="s">
        <v>61</v>
      </c>
      <c r="I6751" s="3" t="s">
        <v>62</v>
      </c>
      <c r="J6751" s="3" t="s">
        <v>62</v>
      </c>
      <c r="K6751" s="3" t="s">
        <v>63</v>
      </c>
      <c r="L6751" s="2" t="s">
        <v>64938</v>
      </c>
      <c r="M6751" s="2" t="s">
        <v>64939</v>
      </c>
      <c r="N6751" s="3" t="s">
        <v>2107</v>
      </c>
      <c r="P6751" s="3" t="s">
        <v>65</v>
      </c>
      <c r="Q6751" s="2" t="s">
        <v>64940</v>
      </c>
      <c r="R6751" s="3" t="s">
        <v>66</v>
      </c>
      <c r="S6751" s="4">
        <v>14</v>
      </c>
      <c r="T6751" s="4">
        <v>45</v>
      </c>
      <c r="U6751" s="5" t="s">
        <v>37533</v>
      </c>
      <c r="V6751" s="5" t="s">
        <v>16784</v>
      </c>
      <c r="W6751" s="5" t="s">
        <v>67</v>
      </c>
      <c r="X6751" s="5" t="s">
        <v>67</v>
      </c>
      <c r="Y6751" s="4">
        <v>173</v>
      </c>
      <c r="Z6751" s="4">
        <v>10</v>
      </c>
      <c r="AA6751" s="4">
        <v>84</v>
      </c>
      <c r="AB6751" s="4">
        <v>1</v>
      </c>
      <c r="AC6751" s="4">
        <v>17</v>
      </c>
      <c r="AD6751" s="4">
        <v>71</v>
      </c>
      <c r="AE6751" s="4">
        <v>120</v>
      </c>
      <c r="AF6751" s="4">
        <v>0</v>
      </c>
      <c r="AG6751" s="4">
        <v>8</v>
      </c>
      <c r="AH6751" s="4">
        <v>64</v>
      </c>
      <c r="AI6751" s="4">
        <v>85</v>
      </c>
      <c r="AJ6751" s="4">
        <v>8</v>
      </c>
      <c r="AK6751" s="4">
        <v>19</v>
      </c>
      <c r="AL6751" s="4">
        <v>44</v>
      </c>
      <c r="AM6751" s="4">
        <v>50</v>
      </c>
      <c r="AN6751" s="4">
        <v>0</v>
      </c>
      <c r="AO6751" s="4">
        <v>0</v>
      </c>
      <c r="AP6751" s="4">
        <v>8</v>
      </c>
      <c r="AQ6751" s="4">
        <v>40</v>
      </c>
      <c r="AR6751" s="3" t="s">
        <v>62</v>
      </c>
      <c r="AS6751" s="3" t="s">
        <v>62</v>
      </c>
      <c r="AT6751" s="3" t="s">
        <v>61</v>
      </c>
      <c r="AU6751" s="6" t="str">
        <f>HYPERLINK("http://catalog.hathitrust.org/Record/000471133","HathiTrust Record")</f>
        <v>HathiTrust Record</v>
      </c>
      <c r="AV6751" s="6" t="str">
        <f>HYPERLINK("http://mcgill.on.worldcat.org/oclc/10230776","Catalog Record")</f>
        <v>Catalog Record</v>
      </c>
      <c r="AW6751" s="6" t="str">
        <f>HYPERLINK("http://www.worldcat.org/oclc/10230776","WorldCat Record")</f>
        <v>WorldCat Record</v>
      </c>
      <c r="AX6751" s="3" t="s">
        <v>64941</v>
      </c>
      <c r="AY6751" s="3" t="s">
        <v>64942</v>
      </c>
      <c r="AZ6751" s="3" t="s">
        <v>64943</v>
      </c>
      <c r="BA6751" s="3" t="s">
        <v>64943</v>
      </c>
      <c r="BB6751" s="3" t="s">
        <v>64944</v>
      </c>
      <c r="BC6751" s="3" t="s">
        <v>142</v>
      </c>
      <c r="BD6751" s="3" t="s">
        <v>68</v>
      </c>
      <c r="BE6751" s="3" t="s">
        <v>64945</v>
      </c>
      <c r="BF6751" s="3" t="s">
        <v>64944</v>
      </c>
      <c r="BG6751" s="3" t="s">
        <v>64946</v>
      </c>
    </row>
    <row r="6752" spans="1:59" ht="57" x14ac:dyDescent="0.45">
      <c r="A6752" s="2" t="s">
        <v>59</v>
      </c>
      <c r="B6752" s="2" t="s">
        <v>60</v>
      </c>
      <c r="C6752" s="2" t="s">
        <v>64934</v>
      </c>
      <c r="D6752" s="2" t="s">
        <v>64935</v>
      </c>
      <c r="E6752" s="2" t="s">
        <v>64936</v>
      </c>
      <c r="F6752" s="3" t="s">
        <v>88</v>
      </c>
      <c r="G6752" s="3" t="s">
        <v>61</v>
      </c>
      <c r="I6752" s="3" t="s">
        <v>62</v>
      </c>
      <c r="J6752" s="3" t="s">
        <v>62</v>
      </c>
      <c r="K6752" s="3" t="s">
        <v>63</v>
      </c>
      <c r="L6752" s="2" t="s">
        <v>64938</v>
      </c>
      <c r="M6752" s="2" t="s">
        <v>64939</v>
      </c>
      <c r="N6752" s="3" t="s">
        <v>2107</v>
      </c>
      <c r="P6752" s="3" t="s">
        <v>65</v>
      </c>
      <c r="Q6752" s="2" t="s">
        <v>64940</v>
      </c>
      <c r="R6752" s="3" t="s">
        <v>66</v>
      </c>
      <c r="S6752" s="4">
        <v>16</v>
      </c>
      <c r="T6752" s="4">
        <v>45</v>
      </c>
      <c r="U6752" s="5" t="s">
        <v>16784</v>
      </c>
      <c r="V6752" s="5" t="s">
        <v>16784</v>
      </c>
      <c r="W6752" s="5" t="s">
        <v>67</v>
      </c>
      <c r="X6752" s="5" t="s">
        <v>67</v>
      </c>
      <c r="Y6752" s="4">
        <v>173</v>
      </c>
      <c r="Z6752" s="4">
        <v>10</v>
      </c>
      <c r="AA6752" s="4">
        <v>84</v>
      </c>
      <c r="AB6752" s="4">
        <v>1</v>
      </c>
      <c r="AC6752" s="4">
        <v>17</v>
      </c>
      <c r="AD6752" s="4">
        <v>71</v>
      </c>
      <c r="AE6752" s="4">
        <v>120</v>
      </c>
      <c r="AF6752" s="4">
        <v>0</v>
      </c>
      <c r="AG6752" s="4">
        <v>8</v>
      </c>
      <c r="AH6752" s="4">
        <v>64</v>
      </c>
      <c r="AI6752" s="4">
        <v>85</v>
      </c>
      <c r="AJ6752" s="4">
        <v>8</v>
      </c>
      <c r="AK6752" s="4">
        <v>19</v>
      </c>
      <c r="AL6752" s="4">
        <v>44</v>
      </c>
      <c r="AM6752" s="4">
        <v>50</v>
      </c>
      <c r="AN6752" s="4">
        <v>0</v>
      </c>
      <c r="AO6752" s="4">
        <v>0</v>
      </c>
      <c r="AP6752" s="4">
        <v>8</v>
      </c>
      <c r="AQ6752" s="4">
        <v>40</v>
      </c>
      <c r="AR6752" s="3" t="s">
        <v>62</v>
      </c>
      <c r="AS6752" s="3" t="s">
        <v>62</v>
      </c>
      <c r="AT6752" s="3" t="s">
        <v>61</v>
      </c>
      <c r="AU6752" s="6" t="str">
        <f>HYPERLINK("http://catalog.hathitrust.org/Record/000471133","HathiTrust Record")</f>
        <v>HathiTrust Record</v>
      </c>
      <c r="AV6752" s="6" t="str">
        <f>HYPERLINK("http://mcgill.on.worldcat.org/oclc/10230776","Catalog Record")</f>
        <v>Catalog Record</v>
      </c>
      <c r="AW6752" s="6" t="str">
        <f>HYPERLINK("http://www.worldcat.org/oclc/10230776","WorldCat Record")</f>
        <v>WorldCat Record</v>
      </c>
      <c r="AX6752" s="3" t="s">
        <v>64941</v>
      </c>
      <c r="AY6752" s="3" t="s">
        <v>64942</v>
      </c>
      <c r="AZ6752" s="3" t="s">
        <v>64943</v>
      </c>
      <c r="BA6752" s="3" t="s">
        <v>64943</v>
      </c>
      <c r="BB6752" s="3" t="s">
        <v>64947</v>
      </c>
      <c r="BC6752" s="3" t="s">
        <v>142</v>
      </c>
      <c r="BD6752" s="3" t="s">
        <v>68</v>
      </c>
      <c r="BE6752" s="3" t="s">
        <v>64945</v>
      </c>
      <c r="BF6752" s="3" t="s">
        <v>64947</v>
      </c>
      <c r="BG6752" s="3" t="s">
        <v>64948</v>
      </c>
    </row>
    <row r="6753" spans="1:59" ht="57" x14ac:dyDescent="0.45">
      <c r="A6753" s="2" t="s">
        <v>59</v>
      </c>
      <c r="B6753" s="2" t="s">
        <v>60</v>
      </c>
      <c r="C6753" s="2" t="s">
        <v>64934</v>
      </c>
      <c r="D6753" s="2" t="s">
        <v>64935</v>
      </c>
      <c r="E6753" s="2" t="s">
        <v>64936</v>
      </c>
      <c r="F6753" s="3" t="s">
        <v>86</v>
      </c>
      <c r="G6753" s="3" t="s">
        <v>61</v>
      </c>
      <c r="I6753" s="3" t="s">
        <v>62</v>
      </c>
      <c r="J6753" s="3" t="s">
        <v>62</v>
      </c>
      <c r="K6753" s="3" t="s">
        <v>63</v>
      </c>
      <c r="L6753" s="2" t="s">
        <v>64938</v>
      </c>
      <c r="M6753" s="2" t="s">
        <v>64939</v>
      </c>
      <c r="N6753" s="3" t="s">
        <v>2107</v>
      </c>
      <c r="P6753" s="3" t="s">
        <v>65</v>
      </c>
      <c r="Q6753" s="2" t="s">
        <v>64940</v>
      </c>
      <c r="R6753" s="3" t="s">
        <v>66</v>
      </c>
      <c r="S6753" s="4">
        <v>15</v>
      </c>
      <c r="T6753" s="4">
        <v>45</v>
      </c>
      <c r="U6753" s="5" t="s">
        <v>64949</v>
      </c>
      <c r="V6753" s="5" t="s">
        <v>16784</v>
      </c>
      <c r="W6753" s="5" t="s">
        <v>67</v>
      </c>
      <c r="X6753" s="5" t="s">
        <v>67</v>
      </c>
      <c r="Y6753" s="4">
        <v>173</v>
      </c>
      <c r="Z6753" s="4">
        <v>10</v>
      </c>
      <c r="AA6753" s="4">
        <v>84</v>
      </c>
      <c r="AB6753" s="4">
        <v>1</v>
      </c>
      <c r="AC6753" s="4">
        <v>17</v>
      </c>
      <c r="AD6753" s="4">
        <v>71</v>
      </c>
      <c r="AE6753" s="4">
        <v>120</v>
      </c>
      <c r="AF6753" s="4">
        <v>0</v>
      </c>
      <c r="AG6753" s="4">
        <v>8</v>
      </c>
      <c r="AH6753" s="4">
        <v>64</v>
      </c>
      <c r="AI6753" s="4">
        <v>85</v>
      </c>
      <c r="AJ6753" s="4">
        <v>8</v>
      </c>
      <c r="AK6753" s="4">
        <v>19</v>
      </c>
      <c r="AL6753" s="4">
        <v>44</v>
      </c>
      <c r="AM6753" s="4">
        <v>50</v>
      </c>
      <c r="AN6753" s="4">
        <v>0</v>
      </c>
      <c r="AO6753" s="4">
        <v>0</v>
      </c>
      <c r="AP6753" s="4">
        <v>8</v>
      </c>
      <c r="AQ6753" s="4">
        <v>40</v>
      </c>
      <c r="AR6753" s="3" t="s">
        <v>62</v>
      </c>
      <c r="AS6753" s="3" t="s">
        <v>62</v>
      </c>
      <c r="AT6753" s="3" t="s">
        <v>61</v>
      </c>
      <c r="AU6753" s="6" t="str">
        <f>HYPERLINK("http://catalog.hathitrust.org/Record/000471133","HathiTrust Record")</f>
        <v>HathiTrust Record</v>
      </c>
      <c r="AV6753" s="6" t="str">
        <f>HYPERLINK("http://mcgill.on.worldcat.org/oclc/10230776","Catalog Record")</f>
        <v>Catalog Record</v>
      </c>
      <c r="AW6753" s="6" t="str">
        <f>HYPERLINK("http://www.worldcat.org/oclc/10230776","WorldCat Record")</f>
        <v>WorldCat Record</v>
      </c>
      <c r="AX6753" s="3" t="s">
        <v>64941</v>
      </c>
      <c r="AY6753" s="3" t="s">
        <v>64942</v>
      </c>
      <c r="AZ6753" s="3" t="s">
        <v>64943</v>
      </c>
      <c r="BA6753" s="3" t="s">
        <v>64943</v>
      </c>
      <c r="BB6753" s="3" t="s">
        <v>64950</v>
      </c>
      <c r="BC6753" s="3" t="s">
        <v>142</v>
      </c>
      <c r="BD6753" s="3" t="s">
        <v>68</v>
      </c>
      <c r="BE6753" s="3" t="s">
        <v>64945</v>
      </c>
      <c r="BF6753" s="3" t="s">
        <v>64950</v>
      </c>
      <c r="BG6753" s="3" t="s">
        <v>64951</v>
      </c>
    </row>
    <row r="6754" spans="1:59" ht="57" x14ac:dyDescent="0.45">
      <c r="A6754" s="2" t="s">
        <v>59</v>
      </c>
      <c r="B6754" s="2" t="s">
        <v>60</v>
      </c>
      <c r="C6754" s="2" t="s">
        <v>64952</v>
      </c>
      <c r="D6754" s="2" t="s">
        <v>64953</v>
      </c>
      <c r="E6754" s="2" t="s">
        <v>64954</v>
      </c>
      <c r="G6754" s="3" t="s">
        <v>62</v>
      </c>
      <c r="I6754" s="3" t="s">
        <v>62</v>
      </c>
      <c r="J6754" s="3" t="s">
        <v>62</v>
      </c>
      <c r="K6754" s="3" t="s">
        <v>63</v>
      </c>
      <c r="L6754" s="2" t="s">
        <v>64955</v>
      </c>
      <c r="M6754" s="2" t="s">
        <v>64956</v>
      </c>
      <c r="N6754" s="3" t="s">
        <v>59258</v>
      </c>
      <c r="P6754" s="3" t="s">
        <v>65</v>
      </c>
      <c r="R6754" s="3" t="s">
        <v>66</v>
      </c>
      <c r="S6754" s="4">
        <v>1</v>
      </c>
      <c r="T6754" s="4">
        <v>1</v>
      </c>
      <c r="U6754" s="5" t="s">
        <v>4360</v>
      </c>
      <c r="V6754" s="5" t="s">
        <v>4360</v>
      </c>
      <c r="W6754" s="5" t="s">
        <v>67</v>
      </c>
      <c r="X6754" s="5" t="s">
        <v>67</v>
      </c>
      <c r="Y6754" s="4">
        <v>229</v>
      </c>
      <c r="Z6754" s="4">
        <v>10</v>
      </c>
      <c r="AA6754" s="4">
        <v>13</v>
      </c>
      <c r="AB6754" s="4">
        <v>1</v>
      </c>
      <c r="AC6754" s="4">
        <v>1</v>
      </c>
      <c r="AD6754" s="4">
        <v>70</v>
      </c>
      <c r="AE6754" s="4">
        <v>74</v>
      </c>
      <c r="AF6754" s="4">
        <v>0</v>
      </c>
      <c r="AG6754" s="4">
        <v>0</v>
      </c>
      <c r="AH6754" s="4">
        <v>65</v>
      </c>
      <c r="AI6754" s="4">
        <v>69</v>
      </c>
      <c r="AJ6754" s="4">
        <v>7</v>
      </c>
      <c r="AK6754" s="4">
        <v>10</v>
      </c>
      <c r="AL6754" s="4">
        <v>47</v>
      </c>
      <c r="AM6754" s="4">
        <v>48</v>
      </c>
      <c r="AN6754" s="4">
        <v>0</v>
      </c>
      <c r="AO6754" s="4">
        <v>0</v>
      </c>
      <c r="AP6754" s="4">
        <v>8</v>
      </c>
      <c r="AQ6754" s="4">
        <v>11</v>
      </c>
      <c r="AR6754" s="3" t="s">
        <v>62</v>
      </c>
      <c r="AS6754" s="3" t="s">
        <v>62</v>
      </c>
      <c r="AT6754" s="3" t="s">
        <v>61</v>
      </c>
      <c r="AU6754" s="6" t="str">
        <f>HYPERLINK("http://catalog.hathitrust.org/Record/001181250","HathiTrust Record")</f>
        <v>HathiTrust Record</v>
      </c>
      <c r="AV6754" s="6" t="str">
        <f>HYPERLINK("http://mcgill.on.worldcat.org/oclc/307171","Catalog Record")</f>
        <v>Catalog Record</v>
      </c>
      <c r="AW6754" s="6" t="str">
        <f>HYPERLINK("http://www.worldcat.org/oclc/307171","WorldCat Record")</f>
        <v>WorldCat Record</v>
      </c>
      <c r="AX6754" s="3" t="s">
        <v>64957</v>
      </c>
      <c r="AY6754" s="3" t="s">
        <v>64958</v>
      </c>
      <c r="AZ6754" s="3" t="s">
        <v>64959</v>
      </c>
      <c r="BA6754" s="3" t="s">
        <v>64959</v>
      </c>
      <c r="BB6754" s="3" t="s">
        <v>64960</v>
      </c>
      <c r="BC6754" s="3" t="s">
        <v>142</v>
      </c>
      <c r="BD6754" s="3" t="s">
        <v>68</v>
      </c>
      <c r="BF6754" s="3" t="s">
        <v>64960</v>
      </c>
      <c r="BG6754" s="3" t="s">
        <v>64961</v>
      </c>
    </row>
    <row r="6755" spans="1:59" ht="57" x14ac:dyDescent="0.45">
      <c r="A6755" s="2" t="s">
        <v>59</v>
      </c>
      <c r="B6755" s="2" t="s">
        <v>60</v>
      </c>
      <c r="C6755" s="2" t="s">
        <v>64962</v>
      </c>
      <c r="D6755" s="2" t="s">
        <v>64963</v>
      </c>
      <c r="E6755" s="2" t="s">
        <v>64964</v>
      </c>
      <c r="F6755" s="3" t="s">
        <v>64965</v>
      </c>
      <c r="G6755" s="3" t="s">
        <v>61</v>
      </c>
      <c r="I6755" s="3" t="s">
        <v>62</v>
      </c>
      <c r="J6755" s="3" t="s">
        <v>62</v>
      </c>
      <c r="K6755" s="3" t="s">
        <v>63</v>
      </c>
      <c r="L6755" s="2" t="s">
        <v>64966</v>
      </c>
      <c r="M6755" s="2" t="s">
        <v>64967</v>
      </c>
      <c r="N6755" s="3" t="s">
        <v>555</v>
      </c>
      <c r="P6755" s="3" t="s">
        <v>65</v>
      </c>
      <c r="Q6755" s="2" t="s">
        <v>64968</v>
      </c>
      <c r="R6755" s="3" t="s">
        <v>66</v>
      </c>
      <c r="S6755" s="4">
        <v>10</v>
      </c>
      <c r="T6755" s="4">
        <v>19</v>
      </c>
      <c r="U6755" s="5" t="s">
        <v>4360</v>
      </c>
      <c r="V6755" s="5" t="s">
        <v>4360</v>
      </c>
      <c r="W6755" s="5" t="s">
        <v>67</v>
      </c>
      <c r="X6755" s="5" t="s">
        <v>67</v>
      </c>
      <c r="Y6755" s="4">
        <v>126</v>
      </c>
      <c r="Z6755" s="4">
        <v>13</v>
      </c>
      <c r="AA6755" s="4">
        <v>14</v>
      </c>
      <c r="AB6755" s="4">
        <v>1</v>
      </c>
      <c r="AC6755" s="4">
        <v>2</v>
      </c>
      <c r="AD6755" s="4">
        <v>62</v>
      </c>
      <c r="AE6755" s="4">
        <v>63</v>
      </c>
      <c r="AF6755" s="4">
        <v>0</v>
      </c>
      <c r="AG6755" s="4">
        <v>1</v>
      </c>
      <c r="AH6755" s="4">
        <v>57</v>
      </c>
      <c r="AI6755" s="4">
        <v>58</v>
      </c>
      <c r="AJ6755" s="4">
        <v>11</v>
      </c>
      <c r="AK6755" s="4">
        <v>12</v>
      </c>
      <c r="AL6755" s="4">
        <v>40</v>
      </c>
      <c r="AM6755" s="4">
        <v>40</v>
      </c>
      <c r="AN6755" s="4">
        <v>0</v>
      </c>
      <c r="AO6755" s="4">
        <v>0</v>
      </c>
      <c r="AP6755" s="4">
        <v>11</v>
      </c>
      <c r="AQ6755" s="4">
        <v>12</v>
      </c>
      <c r="AR6755" s="3" t="s">
        <v>62</v>
      </c>
      <c r="AS6755" s="3" t="s">
        <v>62</v>
      </c>
      <c r="AT6755" s="3" t="s">
        <v>61</v>
      </c>
      <c r="AU6755" s="6" t="str">
        <f>HYPERLINK("http://catalog.hathitrust.org/Record/000277899","HathiTrust Record")</f>
        <v>HathiTrust Record</v>
      </c>
      <c r="AV6755" s="6" t="str">
        <f>HYPERLINK("http://mcgill.on.worldcat.org/oclc/806188","Catalog Record")</f>
        <v>Catalog Record</v>
      </c>
      <c r="AW6755" s="6" t="str">
        <f>HYPERLINK("http://www.worldcat.org/oclc/806188","WorldCat Record")</f>
        <v>WorldCat Record</v>
      </c>
      <c r="AX6755" s="3" t="s">
        <v>64969</v>
      </c>
      <c r="AY6755" s="3" t="s">
        <v>64970</v>
      </c>
      <c r="AZ6755" s="3" t="s">
        <v>64971</v>
      </c>
      <c r="BA6755" s="3" t="s">
        <v>64971</v>
      </c>
      <c r="BB6755" s="3" t="s">
        <v>64972</v>
      </c>
      <c r="BC6755" s="3" t="s">
        <v>142</v>
      </c>
      <c r="BD6755" s="3" t="s">
        <v>68</v>
      </c>
      <c r="BF6755" s="3" t="s">
        <v>64972</v>
      </c>
      <c r="BG6755" s="3" t="s">
        <v>64973</v>
      </c>
    </row>
    <row r="6756" spans="1:59" ht="57" x14ac:dyDescent="0.45">
      <c r="A6756" s="2" t="s">
        <v>59</v>
      </c>
      <c r="B6756" s="2" t="s">
        <v>60</v>
      </c>
      <c r="C6756" s="2" t="s">
        <v>64962</v>
      </c>
      <c r="D6756" s="2" t="s">
        <v>64963</v>
      </c>
      <c r="E6756" s="2" t="s">
        <v>64964</v>
      </c>
      <c r="F6756" s="3" t="s">
        <v>64974</v>
      </c>
      <c r="G6756" s="3" t="s">
        <v>61</v>
      </c>
      <c r="I6756" s="3" t="s">
        <v>62</v>
      </c>
      <c r="J6756" s="3" t="s">
        <v>62</v>
      </c>
      <c r="K6756" s="3" t="s">
        <v>63</v>
      </c>
      <c r="L6756" s="2" t="s">
        <v>64966</v>
      </c>
      <c r="M6756" s="2" t="s">
        <v>64967</v>
      </c>
      <c r="N6756" s="3" t="s">
        <v>555</v>
      </c>
      <c r="P6756" s="3" t="s">
        <v>65</v>
      </c>
      <c r="Q6756" s="2" t="s">
        <v>64968</v>
      </c>
      <c r="R6756" s="3" t="s">
        <v>66</v>
      </c>
      <c r="S6756" s="4">
        <v>9</v>
      </c>
      <c r="T6756" s="4">
        <v>19</v>
      </c>
      <c r="U6756" s="5" t="s">
        <v>4360</v>
      </c>
      <c r="V6756" s="5" t="s">
        <v>4360</v>
      </c>
      <c r="W6756" s="5" t="s">
        <v>67</v>
      </c>
      <c r="X6756" s="5" t="s">
        <v>67</v>
      </c>
      <c r="Y6756" s="4">
        <v>126</v>
      </c>
      <c r="Z6756" s="4">
        <v>13</v>
      </c>
      <c r="AA6756" s="4">
        <v>14</v>
      </c>
      <c r="AB6756" s="4">
        <v>1</v>
      </c>
      <c r="AC6756" s="4">
        <v>2</v>
      </c>
      <c r="AD6756" s="4">
        <v>62</v>
      </c>
      <c r="AE6756" s="4">
        <v>63</v>
      </c>
      <c r="AF6756" s="4">
        <v>0</v>
      </c>
      <c r="AG6756" s="4">
        <v>1</v>
      </c>
      <c r="AH6756" s="4">
        <v>57</v>
      </c>
      <c r="AI6756" s="4">
        <v>58</v>
      </c>
      <c r="AJ6756" s="4">
        <v>11</v>
      </c>
      <c r="AK6756" s="4">
        <v>12</v>
      </c>
      <c r="AL6756" s="4">
        <v>40</v>
      </c>
      <c r="AM6756" s="4">
        <v>40</v>
      </c>
      <c r="AN6756" s="4">
        <v>0</v>
      </c>
      <c r="AO6756" s="4">
        <v>0</v>
      </c>
      <c r="AP6756" s="4">
        <v>11</v>
      </c>
      <c r="AQ6756" s="4">
        <v>12</v>
      </c>
      <c r="AR6756" s="3" t="s">
        <v>62</v>
      </c>
      <c r="AS6756" s="3" t="s">
        <v>62</v>
      </c>
      <c r="AT6756" s="3" t="s">
        <v>61</v>
      </c>
      <c r="AU6756" s="6" t="str">
        <f>HYPERLINK("http://catalog.hathitrust.org/Record/000277899","HathiTrust Record")</f>
        <v>HathiTrust Record</v>
      </c>
      <c r="AV6756" s="6" t="str">
        <f>HYPERLINK("http://mcgill.on.worldcat.org/oclc/806188","Catalog Record")</f>
        <v>Catalog Record</v>
      </c>
      <c r="AW6756" s="6" t="str">
        <f>HYPERLINK("http://www.worldcat.org/oclc/806188","WorldCat Record")</f>
        <v>WorldCat Record</v>
      </c>
      <c r="AX6756" s="3" t="s">
        <v>64969</v>
      </c>
      <c r="AY6756" s="3" t="s">
        <v>64970</v>
      </c>
      <c r="AZ6756" s="3" t="s">
        <v>64971</v>
      </c>
      <c r="BA6756" s="3" t="s">
        <v>64971</v>
      </c>
      <c r="BB6756" s="3" t="s">
        <v>64975</v>
      </c>
      <c r="BC6756" s="3" t="s">
        <v>142</v>
      </c>
      <c r="BD6756" s="3" t="s">
        <v>68</v>
      </c>
      <c r="BF6756" s="3" t="s">
        <v>64975</v>
      </c>
      <c r="BG6756" s="3" t="s">
        <v>64976</v>
      </c>
    </row>
    <row r="6757" spans="1:59" ht="57" x14ac:dyDescent="0.45">
      <c r="A6757" s="2" t="s">
        <v>59</v>
      </c>
      <c r="B6757" s="2" t="s">
        <v>60</v>
      </c>
      <c r="C6757" s="2" t="s">
        <v>64977</v>
      </c>
      <c r="D6757" s="2" t="s">
        <v>64978</v>
      </c>
      <c r="E6757" s="2" t="s">
        <v>64979</v>
      </c>
      <c r="G6757" s="3" t="s">
        <v>62</v>
      </c>
      <c r="I6757" s="3" t="s">
        <v>62</v>
      </c>
      <c r="J6757" s="3" t="s">
        <v>61</v>
      </c>
      <c r="K6757" s="3" t="s">
        <v>63</v>
      </c>
      <c r="L6757" s="2" t="s">
        <v>64980</v>
      </c>
      <c r="M6757" s="2" t="s">
        <v>64981</v>
      </c>
      <c r="N6757" s="3" t="s">
        <v>127</v>
      </c>
      <c r="O6757" s="2" t="s">
        <v>933</v>
      </c>
      <c r="P6757" s="3" t="s">
        <v>65</v>
      </c>
      <c r="R6757" s="3" t="s">
        <v>66</v>
      </c>
      <c r="S6757" s="4">
        <v>14</v>
      </c>
      <c r="T6757" s="4">
        <v>14</v>
      </c>
      <c r="U6757" s="5" t="s">
        <v>48715</v>
      </c>
      <c r="V6757" s="5" t="s">
        <v>48715</v>
      </c>
      <c r="W6757" s="5" t="s">
        <v>67</v>
      </c>
      <c r="X6757" s="5" t="s">
        <v>67</v>
      </c>
      <c r="Y6757" s="4">
        <v>448</v>
      </c>
      <c r="Z6757" s="4">
        <v>13</v>
      </c>
      <c r="AA6757" s="4">
        <v>127</v>
      </c>
      <c r="AB6757" s="4">
        <v>2</v>
      </c>
      <c r="AC6757" s="4">
        <v>18</v>
      </c>
      <c r="AD6757" s="4">
        <v>80</v>
      </c>
      <c r="AE6757" s="4">
        <v>162</v>
      </c>
      <c r="AF6757" s="4">
        <v>1</v>
      </c>
      <c r="AG6757" s="4">
        <v>8</v>
      </c>
      <c r="AH6757" s="4">
        <v>69</v>
      </c>
      <c r="AI6757" s="4">
        <v>114</v>
      </c>
      <c r="AJ6757" s="4">
        <v>9</v>
      </c>
      <c r="AK6757" s="4">
        <v>28</v>
      </c>
      <c r="AL6757" s="4">
        <v>44</v>
      </c>
      <c r="AM6757" s="4">
        <v>62</v>
      </c>
      <c r="AN6757" s="4">
        <v>0</v>
      </c>
      <c r="AO6757" s="4">
        <v>0</v>
      </c>
      <c r="AP6757" s="4">
        <v>12</v>
      </c>
      <c r="AQ6757" s="4">
        <v>55</v>
      </c>
      <c r="AR6757" s="3" t="s">
        <v>62</v>
      </c>
      <c r="AS6757" s="3" t="s">
        <v>62</v>
      </c>
      <c r="AT6757" s="3" t="s">
        <v>62</v>
      </c>
      <c r="AV6757" s="6" t="str">
        <f>HYPERLINK("http://mcgill.on.worldcat.org/oclc/307167","Catalog Record")</f>
        <v>Catalog Record</v>
      </c>
      <c r="AW6757" s="6" t="str">
        <f>HYPERLINK("http://www.worldcat.org/oclc/307167","WorldCat Record")</f>
        <v>WorldCat Record</v>
      </c>
      <c r="AX6757" s="3" t="s">
        <v>64982</v>
      </c>
      <c r="AY6757" s="3" t="s">
        <v>64983</v>
      </c>
      <c r="AZ6757" s="3" t="s">
        <v>64984</v>
      </c>
      <c r="BA6757" s="3" t="s">
        <v>64984</v>
      </c>
      <c r="BB6757" s="3" t="s">
        <v>64985</v>
      </c>
      <c r="BC6757" s="3" t="s">
        <v>142</v>
      </c>
      <c r="BD6757" s="3" t="s">
        <v>68</v>
      </c>
      <c r="BE6757" s="3" t="s">
        <v>64986</v>
      </c>
      <c r="BF6757" s="3" t="s">
        <v>64985</v>
      </c>
      <c r="BG6757" s="3" t="s">
        <v>64987</v>
      </c>
    </row>
    <row r="6758" spans="1:59" ht="57" x14ac:dyDescent="0.45">
      <c r="A6758" s="2" t="s">
        <v>59</v>
      </c>
      <c r="B6758" s="2" t="s">
        <v>60</v>
      </c>
      <c r="C6758" s="2" t="s">
        <v>64988</v>
      </c>
      <c r="D6758" s="2" t="s">
        <v>64989</v>
      </c>
      <c r="E6758" s="2" t="s">
        <v>64990</v>
      </c>
      <c r="G6758" s="3" t="s">
        <v>62</v>
      </c>
      <c r="I6758" s="3" t="s">
        <v>62</v>
      </c>
      <c r="J6758" s="3" t="s">
        <v>62</v>
      </c>
      <c r="K6758" s="3" t="s">
        <v>63</v>
      </c>
      <c r="L6758" s="2" t="s">
        <v>64980</v>
      </c>
      <c r="M6758" s="2" t="s">
        <v>64991</v>
      </c>
      <c r="N6758" s="3" t="s">
        <v>568</v>
      </c>
      <c r="P6758" s="3" t="s">
        <v>65</v>
      </c>
      <c r="Q6758" s="2" t="s">
        <v>64992</v>
      </c>
      <c r="R6758" s="3" t="s">
        <v>66</v>
      </c>
      <c r="S6758" s="4">
        <v>17</v>
      </c>
      <c r="T6758" s="4">
        <v>17</v>
      </c>
      <c r="U6758" s="5" t="s">
        <v>48715</v>
      </c>
      <c r="V6758" s="5" t="s">
        <v>48715</v>
      </c>
      <c r="W6758" s="5" t="s">
        <v>67</v>
      </c>
      <c r="X6758" s="5" t="s">
        <v>67</v>
      </c>
      <c r="Y6758" s="4">
        <v>621</v>
      </c>
      <c r="Z6758" s="4">
        <v>29</v>
      </c>
      <c r="AA6758" s="4">
        <v>44</v>
      </c>
      <c r="AB6758" s="4">
        <v>3</v>
      </c>
      <c r="AC6758" s="4">
        <v>7</v>
      </c>
      <c r="AD6758" s="4">
        <v>106</v>
      </c>
      <c r="AE6758" s="4">
        <v>121</v>
      </c>
      <c r="AF6758" s="4">
        <v>1</v>
      </c>
      <c r="AG6758" s="4">
        <v>4</v>
      </c>
      <c r="AH6758" s="4">
        <v>90</v>
      </c>
      <c r="AI6758" s="4">
        <v>101</v>
      </c>
      <c r="AJ6758" s="4">
        <v>13</v>
      </c>
      <c r="AK6758" s="4">
        <v>20</v>
      </c>
      <c r="AL6758" s="4">
        <v>48</v>
      </c>
      <c r="AM6758" s="4">
        <v>54</v>
      </c>
      <c r="AN6758" s="4">
        <v>0</v>
      </c>
      <c r="AO6758" s="4">
        <v>0</v>
      </c>
      <c r="AP6758" s="4">
        <v>21</v>
      </c>
      <c r="AQ6758" s="4">
        <v>29</v>
      </c>
      <c r="AR6758" s="3" t="s">
        <v>62</v>
      </c>
      <c r="AS6758" s="3" t="s">
        <v>62</v>
      </c>
      <c r="AT6758" s="3" t="s">
        <v>61</v>
      </c>
      <c r="AU6758" s="6" t="str">
        <f>HYPERLINK("http://catalog.hathitrust.org/Record/000846010","HathiTrust Record")</f>
        <v>HathiTrust Record</v>
      </c>
      <c r="AV6758" s="6" t="str">
        <f>HYPERLINK("http://mcgill.on.worldcat.org/oclc/14130420","Catalog Record")</f>
        <v>Catalog Record</v>
      </c>
      <c r="AW6758" s="6" t="str">
        <f>HYPERLINK("http://www.worldcat.org/oclc/14130420","WorldCat Record")</f>
        <v>WorldCat Record</v>
      </c>
      <c r="AX6758" s="3" t="s">
        <v>64993</v>
      </c>
      <c r="AY6758" s="3" t="s">
        <v>64994</v>
      </c>
      <c r="AZ6758" s="3" t="s">
        <v>64995</v>
      </c>
      <c r="BA6758" s="3" t="s">
        <v>64995</v>
      </c>
      <c r="BB6758" s="3" t="s">
        <v>64996</v>
      </c>
      <c r="BC6758" s="3" t="s">
        <v>142</v>
      </c>
      <c r="BD6758" s="3" t="s">
        <v>68</v>
      </c>
      <c r="BE6758" s="3" t="s">
        <v>64997</v>
      </c>
      <c r="BF6758" s="3" t="s">
        <v>64996</v>
      </c>
      <c r="BG6758" s="3" t="s">
        <v>64998</v>
      </c>
    </row>
    <row r="6759" spans="1:59" ht="57" x14ac:dyDescent="0.45">
      <c r="A6759" s="2" t="s">
        <v>59</v>
      </c>
      <c r="B6759" s="2" t="s">
        <v>60</v>
      </c>
      <c r="C6759" s="2" t="s">
        <v>64999</v>
      </c>
      <c r="D6759" s="2" t="s">
        <v>65000</v>
      </c>
      <c r="E6759" s="2" t="s">
        <v>65001</v>
      </c>
      <c r="G6759" s="3" t="s">
        <v>62</v>
      </c>
      <c r="I6759" s="3" t="s">
        <v>62</v>
      </c>
      <c r="J6759" s="3" t="s">
        <v>62</v>
      </c>
      <c r="K6759" s="3" t="s">
        <v>63</v>
      </c>
      <c r="L6759" s="2" t="s">
        <v>42790</v>
      </c>
      <c r="M6759" s="2" t="s">
        <v>65002</v>
      </c>
      <c r="N6759" s="3" t="s">
        <v>340</v>
      </c>
      <c r="P6759" s="3" t="s">
        <v>182</v>
      </c>
      <c r="Q6759" s="2" t="s">
        <v>65003</v>
      </c>
      <c r="R6759" s="3" t="s">
        <v>66</v>
      </c>
      <c r="S6759" s="4">
        <v>8</v>
      </c>
      <c r="T6759" s="4">
        <v>8</v>
      </c>
      <c r="U6759" s="5" t="s">
        <v>48715</v>
      </c>
      <c r="V6759" s="5" t="s">
        <v>48715</v>
      </c>
      <c r="W6759" s="5" t="s">
        <v>67</v>
      </c>
      <c r="X6759" s="5" t="s">
        <v>67</v>
      </c>
      <c r="Y6759" s="4">
        <v>105</v>
      </c>
      <c r="Z6759" s="4">
        <v>12</v>
      </c>
      <c r="AA6759" s="4">
        <v>12</v>
      </c>
      <c r="AB6759" s="4">
        <v>1</v>
      </c>
      <c r="AC6759" s="4">
        <v>1</v>
      </c>
      <c r="AD6759" s="4">
        <v>49</v>
      </c>
      <c r="AE6759" s="4">
        <v>49</v>
      </c>
      <c r="AF6759" s="4">
        <v>0</v>
      </c>
      <c r="AG6759" s="4">
        <v>0</v>
      </c>
      <c r="AH6759" s="4">
        <v>46</v>
      </c>
      <c r="AI6759" s="4">
        <v>46</v>
      </c>
      <c r="AJ6759" s="4">
        <v>9</v>
      </c>
      <c r="AK6759" s="4">
        <v>9</v>
      </c>
      <c r="AL6759" s="4">
        <v>32</v>
      </c>
      <c r="AM6759" s="4">
        <v>32</v>
      </c>
      <c r="AN6759" s="4">
        <v>0</v>
      </c>
      <c r="AO6759" s="4">
        <v>0</v>
      </c>
      <c r="AP6759" s="4">
        <v>9</v>
      </c>
      <c r="AQ6759" s="4">
        <v>9</v>
      </c>
      <c r="AR6759" s="3" t="s">
        <v>62</v>
      </c>
      <c r="AS6759" s="3" t="s">
        <v>62</v>
      </c>
      <c r="AT6759" s="3" t="s">
        <v>62</v>
      </c>
      <c r="AV6759" s="6" t="str">
        <f>HYPERLINK("http://mcgill.on.worldcat.org/oclc/5514594","Catalog Record")</f>
        <v>Catalog Record</v>
      </c>
      <c r="AW6759" s="6" t="str">
        <f>HYPERLINK("http://www.worldcat.org/oclc/5514594","WorldCat Record")</f>
        <v>WorldCat Record</v>
      </c>
      <c r="AX6759" s="3" t="s">
        <v>65004</v>
      </c>
      <c r="AY6759" s="3" t="s">
        <v>65005</v>
      </c>
      <c r="AZ6759" s="3" t="s">
        <v>65006</v>
      </c>
      <c r="BA6759" s="3" t="s">
        <v>65006</v>
      </c>
      <c r="BB6759" s="3" t="s">
        <v>65007</v>
      </c>
      <c r="BC6759" s="3" t="s">
        <v>142</v>
      </c>
      <c r="BD6759" s="3" t="s">
        <v>68</v>
      </c>
      <c r="BF6759" s="3" t="s">
        <v>65007</v>
      </c>
      <c r="BG6759" s="3" t="s">
        <v>65008</v>
      </c>
    </row>
    <row r="6760" spans="1:59" ht="57" x14ac:dyDescent="0.45">
      <c r="A6760" s="2" t="s">
        <v>59</v>
      </c>
      <c r="B6760" s="2" t="s">
        <v>60</v>
      </c>
      <c r="C6760" s="2" t="s">
        <v>65009</v>
      </c>
      <c r="D6760" s="2" t="s">
        <v>65010</v>
      </c>
      <c r="E6760" s="2" t="s">
        <v>65011</v>
      </c>
      <c r="G6760" s="3" t="s">
        <v>62</v>
      </c>
      <c r="I6760" s="3" t="s">
        <v>62</v>
      </c>
      <c r="J6760" s="3" t="s">
        <v>62</v>
      </c>
      <c r="K6760" s="3" t="s">
        <v>63</v>
      </c>
      <c r="M6760" s="2" t="s">
        <v>65012</v>
      </c>
      <c r="N6760" s="3" t="s">
        <v>555</v>
      </c>
      <c r="P6760" s="3" t="s">
        <v>110</v>
      </c>
      <c r="Q6760" s="2" t="s">
        <v>65013</v>
      </c>
      <c r="R6760" s="3" t="s">
        <v>66</v>
      </c>
      <c r="S6760" s="4">
        <v>2</v>
      </c>
      <c r="T6760" s="4">
        <v>2</v>
      </c>
      <c r="U6760" s="5" t="s">
        <v>4360</v>
      </c>
      <c r="V6760" s="5" t="s">
        <v>4360</v>
      </c>
      <c r="W6760" s="5" t="s">
        <v>67</v>
      </c>
      <c r="X6760" s="5" t="s">
        <v>67</v>
      </c>
      <c r="Y6760" s="4">
        <v>118</v>
      </c>
      <c r="Z6760" s="4">
        <v>11</v>
      </c>
      <c r="AA6760" s="4">
        <v>12</v>
      </c>
      <c r="AB6760" s="4">
        <v>1</v>
      </c>
      <c r="AC6760" s="4">
        <v>1</v>
      </c>
      <c r="AD6760" s="4">
        <v>52</v>
      </c>
      <c r="AE6760" s="4">
        <v>53</v>
      </c>
      <c r="AF6760" s="4">
        <v>0</v>
      </c>
      <c r="AG6760" s="4">
        <v>0</v>
      </c>
      <c r="AH6760" s="4">
        <v>47</v>
      </c>
      <c r="AI6760" s="4">
        <v>48</v>
      </c>
      <c r="AJ6760" s="4">
        <v>9</v>
      </c>
      <c r="AK6760" s="4">
        <v>10</v>
      </c>
      <c r="AL6760" s="4">
        <v>33</v>
      </c>
      <c r="AM6760" s="4">
        <v>33</v>
      </c>
      <c r="AN6760" s="4">
        <v>0</v>
      </c>
      <c r="AO6760" s="4">
        <v>0</v>
      </c>
      <c r="AP6760" s="4">
        <v>9</v>
      </c>
      <c r="AQ6760" s="4">
        <v>10</v>
      </c>
      <c r="AR6760" s="3" t="s">
        <v>62</v>
      </c>
      <c r="AS6760" s="3" t="s">
        <v>62</v>
      </c>
      <c r="AT6760" s="3" t="s">
        <v>61</v>
      </c>
      <c r="AU6760" s="6" t="str">
        <f>HYPERLINK("http://catalog.hathitrust.org/Record/001181257","HathiTrust Record")</f>
        <v>HathiTrust Record</v>
      </c>
      <c r="AV6760" s="6" t="str">
        <f>HYPERLINK("http://mcgill.on.worldcat.org/oclc/903068","Catalog Record")</f>
        <v>Catalog Record</v>
      </c>
      <c r="AW6760" s="6" t="str">
        <f>HYPERLINK("http://www.worldcat.org/oclc/903068","WorldCat Record")</f>
        <v>WorldCat Record</v>
      </c>
      <c r="AX6760" s="3" t="s">
        <v>65014</v>
      </c>
      <c r="AY6760" s="3" t="s">
        <v>65015</v>
      </c>
      <c r="AZ6760" s="3" t="s">
        <v>65016</v>
      </c>
      <c r="BA6760" s="3" t="s">
        <v>65016</v>
      </c>
      <c r="BB6760" s="3" t="s">
        <v>65017</v>
      </c>
      <c r="BC6760" s="3" t="s">
        <v>142</v>
      </c>
      <c r="BD6760" s="3" t="s">
        <v>68</v>
      </c>
      <c r="BF6760" s="3" t="s">
        <v>65017</v>
      </c>
      <c r="BG6760" s="3" t="s">
        <v>65018</v>
      </c>
    </row>
    <row r="6761" spans="1:59" ht="57" x14ac:dyDescent="0.45">
      <c r="A6761" s="2" t="s">
        <v>59</v>
      </c>
      <c r="B6761" s="2" t="s">
        <v>60</v>
      </c>
      <c r="C6761" s="2" t="s">
        <v>65019</v>
      </c>
      <c r="D6761" s="2" t="s">
        <v>65020</v>
      </c>
      <c r="E6761" s="2" t="s">
        <v>65021</v>
      </c>
      <c r="G6761" s="3" t="s">
        <v>62</v>
      </c>
      <c r="I6761" s="3" t="s">
        <v>62</v>
      </c>
      <c r="J6761" s="3" t="s">
        <v>62</v>
      </c>
      <c r="K6761" s="3" t="s">
        <v>63</v>
      </c>
      <c r="L6761" s="2" t="s">
        <v>65022</v>
      </c>
      <c r="M6761" s="2" t="s">
        <v>65023</v>
      </c>
      <c r="N6761" s="3" t="s">
        <v>135</v>
      </c>
      <c r="P6761" s="3" t="s">
        <v>110</v>
      </c>
      <c r="R6761" s="3" t="s">
        <v>66</v>
      </c>
      <c r="S6761" s="4">
        <v>1</v>
      </c>
      <c r="T6761" s="4">
        <v>1</v>
      </c>
      <c r="U6761" s="5" t="s">
        <v>64649</v>
      </c>
      <c r="V6761" s="5" t="s">
        <v>64649</v>
      </c>
      <c r="W6761" s="5" t="s">
        <v>67</v>
      </c>
      <c r="X6761" s="5" t="s">
        <v>67</v>
      </c>
      <c r="Y6761" s="4">
        <v>156</v>
      </c>
      <c r="Z6761" s="4">
        <v>11</v>
      </c>
      <c r="AA6761" s="4">
        <v>15</v>
      </c>
      <c r="AB6761" s="4">
        <v>2</v>
      </c>
      <c r="AC6761" s="4">
        <v>5</v>
      </c>
      <c r="AD6761" s="4">
        <v>66</v>
      </c>
      <c r="AE6761" s="4">
        <v>69</v>
      </c>
      <c r="AF6761" s="4">
        <v>1</v>
      </c>
      <c r="AG6761" s="4">
        <v>3</v>
      </c>
      <c r="AH6761" s="4">
        <v>58</v>
      </c>
      <c r="AI6761" s="4">
        <v>60</v>
      </c>
      <c r="AJ6761" s="4">
        <v>10</v>
      </c>
      <c r="AK6761" s="4">
        <v>13</v>
      </c>
      <c r="AL6761" s="4">
        <v>42</v>
      </c>
      <c r="AM6761" s="4">
        <v>42</v>
      </c>
      <c r="AN6761" s="4">
        <v>0</v>
      </c>
      <c r="AO6761" s="4">
        <v>0</v>
      </c>
      <c r="AP6761" s="4">
        <v>10</v>
      </c>
      <c r="AQ6761" s="4">
        <v>12</v>
      </c>
      <c r="AR6761" s="3" t="s">
        <v>62</v>
      </c>
      <c r="AS6761" s="3" t="s">
        <v>62</v>
      </c>
      <c r="AT6761" s="3" t="s">
        <v>62</v>
      </c>
      <c r="AV6761" s="6" t="str">
        <f>HYPERLINK("http://mcgill.on.worldcat.org/oclc/8984775","Catalog Record")</f>
        <v>Catalog Record</v>
      </c>
      <c r="AW6761" s="6" t="str">
        <f>HYPERLINK("http://www.worldcat.org/oclc/8984775","WorldCat Record")</f>
        <v>WorldCat Record</v>
      </c>
      <c r="AX6761" s="3" t="s">
        <v>65024</v>
      </c>
      <c r="AY6761" s="3" t="s">
        <v>65025</v>
      </c>
      <c r="AZ6761" s="3" t="s">
        <v>65026</v>
      </c>
      <c r="BA6761" s="3" t="s">
        <v>65026</v>
      </c>
      <c r="BB6761" s="3" t="s">
        <v>65027</v>
      </c>
      <c r="BC6761" s="3" t="s">
        <v>142</v>
      </c>
      <c r="BD6761" s="3" t="s">
        <v>68</v>
      </c>
      <c r="BF6761" s="3" t="s">
        <v>65027</v>
      </c>
      <c r="BG6761" s="3" t="s">
        <v>65028</v>
      </c>
    </row>
    <row r="6762" spans="1:59" ht="57" x14ac:dyDescent="0.45">
      <c r="A6762" s="2" t="s">
        <v>59</v>
      </c>
      <c r="B6762" s="2" t="s">
        <v>60</v>
      </c>
      <c r="C6762" s="2" t="s">
        <v>65029</v>
      </c>
      <c r="D6762" s="2" t="s">
        <v>65030</v>
      </c>
      <c r="E6762" s="2" t="s">
        <v>65031</v>
      </c>
      <c r="G6762" s="3" t="s">
        <v>62</v>
      </c>
      <c r="I6762" s="3" t="s">
        <v>62</v>
      </c>
      <c r="J6762" s="3" t="s">
        <v>62</v>
      </c>
      <c r="K6762" s="3" t="s">
        <v>63</v>
      </c>
      <c r="L6762" s="2" t="s">
        <v>65032</v>
      </c>
      <c r="M6762" s="2" t="s">
        <v>65033</v>
      </c>
      <c r="N6762" s="3" t="s">
        <v>72</v>
      </c>
      <c r="P6762" s="3" t="s">
        <v>65</v>
      </c>
      <c r="Q6762" s="2" t="s">
        <v>65034</v>
      </c>
      <c r="R6762" s="3" t="s">
        <v>66</v>
      </c>
      <c r="S6762" s="4">
        <v>3</v>
      </c>
      <c r="T6762" s="4">
        <v>3</v>
      </c>
      <c r="U6762" s="5" t="s">
        <v>46063</v>
      </c>
      <c r="V6762" s="5" t="s">
        <v>46063</v>
      </c>
      <c r="W6762" s="5" t="s">
        <v>67</v>
      </c>
      <c r="X6762" s="5" t="s">
        <v>67</v>
      </c>
      <c r="Y6762" s="4">
        <v>109</v>
      </c>
      <c r="Z6762" s="4">
        <v>5</v>
      </c>
      <c r="AA6762" s="4">
        <v>5</v>
      </c>
      <c r="AB6762" s="4">
        <v>1</v>
      </c>
      <c r="AC6762" s="4">
        <v>1</v>
      </c>
      <c r="AD6762" s="4">
        <v>56</v>
      </c>
      <c r="AE6762" s="4">
        <v>56</v>
      </c>
      <c r="AF6762" s="4">
        <v>0</v>
      </c>
      <c r="AG6762" s="4">
        <v>0</v>
      </c>
      <c r="AH6762" s="4">
        <v>54</v>
      </c>
      <c r="AI6762" s="4">
        <v>54</v>
      </c>
      <c r="AJ6762" s="4">
        <v>3</v>
      </c>
      <c r="AK6762" s="4">
        <v>3</v>
      </c>
      <c r="AL6762" s="4">
        <v>39</v>
      </c>
      <c r="AM6762" s="4">
        <v>39</v>
      </c>
      <c r="AN6762" s="4">
        <v>0</v>
      </c>
      <c r="AO6762" s="4">
        <v>0</v>
      </c>
      <c r="AP6762" s="4">
        <v>3</v>
      </c>
      <c r="AQ6762" s="4">
        <v>3</v>
      </c>
      <c r="AR6762" s="3" t="s">
        <v>62</v>
      </c>
      <c r="AS6762" s="3" t="s">
        <v>62</v>
      </c>
      <c r="AT6762" s="3" t="s">
        <v>62</v>
      </c>
      <c r="AV6762" s="6" t="str">
        <f>HYPERLINK("http://mcgill.on.worldcat.org/oclc/994615","Catalog Record")</f>
        <v>Catalog Record</v>
      </c>
      <c r="AW6762" s="6" t="str">
        <f>HYPERLINK("http://www.worldcat.org/oclc/994615","WorldCat Record")</f>
        <v>WorldCat Record</v>
      </c>
      <c r="AX6762" s="3" t="s">
        <v>65035</v>
      </c>
      <c r="AY6762" s="3" t="s">
        <v>65036</v>
      </c>
      <c r="AZ6762" s="3" t="s">
        <v>65037</v>
      </c>
      <c r="BA6762" s="3" t="s">
        <v>65037</v>
      </c>
      <c r="BB6762" s="3" t="s">
        <v>65038</v>
      </c>
      <c r="BC6762" s="3" t="s">
        <v>142</v>
      </c>
      <c r="BD6762" s="3" t="s">
        <v>68</v>
      </c>
      <c r="BF6762" s="3" t="s">
        <v>65038</v>
      </c>
      <c r="BG6762" s="3" t="s">
        <v>65039</v>
      </c>
    </row>
    <row r="6763" spans="1:59" ht="57" x14ac:dyDescent="0.45">
      <c r="A6763" s="2" t="s">
        <v>59</v>
      </c>
      <c r="B6763" s="2" t="s">
        <v>60</v>
      </c>
      <c r="C6763" s="2" t="s">
        <v>65040</v>
      </c>
      <c r="D6763" s="2" t="s">
        <v>65041</v>
      </c>
      <c r="E6763" s="2" t="s">
        <v>65042</v>
      </c>
      <c r="G6763" s="3" t="s">
        <v>62</v>
      </c>
      <c r="I6763" s="3" t="s">
        <v>62</v>
      </c>
      <c r="J6763" s="3" t="s">
        <v>62</v>
      </c>
      <c r="K6763" s="3" t="s">
        <v>63</v>
      </c>
      <c r="L6763" s="2" t="s">
        <v>65043</v>
      </c>
      <c r="M6763" s="2" t="s">
        <v>65044</v>
      </c>
      <c r="N6763" s="3" t="s">
        <v>16907</v>
      </c>
      <c r="O6763" s="2" t="s">
        <v>65045</v>
      </c>
      <c r="P6763" s="3" t="s">
        <v>65</v>
      </c>
      <c r="Q6763" s="2" t="s">
        <v>65046</v>
      </c>
      <c r="R6763" s="3" t="s">
        <v>66</v>
      </c>
      <c r="S6763" s="4">
        <v>2</v>
      </c>
      <c r="T6763" s="4">
        <v>2</v>
      </c>
      <c r="U6763" s="5" t="s">
        <v>65047</v>
      </c>
      <c r="V6763" s="5" t="s">
        <v>65047</v>
      </c>
      <c r="W6763" s="5" t="s">
        <v>67</v>
      </c>
      <c r="X6763" s="5" t="s">
        <v>67</v>
      </c>
      <c r="Y6763" s="4">
        <v>166</v>
      </c>
      <c r="Z6763" s="4">
        <v>11</v>
      </c>
      <c r="AA6763" s="4">
        <v>15</v>
      </c>
      <c r="AB6763" s="4">
        <v>1</v>
      </c>
      <c r="AC6763" s="4">
        <v>3</v>
      </c>
      <c r="AD6763" s="4">
        <v>76</v>
      </c>
      <c r="AE6763" s="4">
        <v>79</v>
      </c>
      <c r="AF6763" s="4">
        <v>0</v>
      </c>
      <c r="AG6763" s="4">
        <v>2</v>
      </c>
      <c r="AH6763" s="4">
        <v>69</v>
      </c>
      <c r="AI6763" s="4">
        <v>70</v>
      </c>
      <c r="AJ6763" s="4">
        <v>9</v>
      </c>
      <c r="AK6763" s="4">
        <v>11</v>
      </c>
      <c r="AL6763" s="4">
        <v>42</v>
      </c>
      <c r="AM6763" s="4">
        <v>43</v>
      </c>
      <c r="AN6763" s="4">
        <v>0</v>
      </c>
      <c r="AO6763" s="4">
        <v>0</v>
      </c>
      <c r="AP6763" s="4">
        <v>10</v>
      </c>
      <c r="AQ6763" s="4">
        <v>13</v>
      </c>
      <c r="AR6763" s="3" t="s">
        <v>62</v>
      </c>
      <c r="AS6763" s="3" t="s">
        <v>62</v>
      </c>
      <c r="AT6763" s="3" t="s">
        <v>61</v>
      </c>
      <c r="AU6763" s="6" t="str">
        <f>HYPERLINK("http://catalog.hathitrust.org/Record/001181262","HathiTrust Record")</f>
        <v>HathiTrust Record</v>
      </c>
      <c r="AV6763" s="6" t="str">
        <f>HYPERLINK("http://mcgill.on.worldcat.org/oclc/1862849","Catalog Record")</f>
        <v>Catalog Record</v>
      </c>
      <c r="AW6763" s="6" t="str">
        <f>HYPERLINK("http://www.worldcat.org/oclc/1862849","WorldCat Record")</f>
        <v>WorldCat Record</v>
      </c>
      <c r="AX6763" s="3" t="s">
        <v>65048</v>
      </c>
      <c r="AY6763" s="3" t="s">
        <v>65049</v>
      </c>
      <c r="AZ6763" s="3" t="s">
        <v>65050</v>
      </c>
      <c r="BA6763" s="3" t="s">
        <v>65050</v>
      </c>
      <c r="BB6763" s="3" t="s">
        <v>65051</v>
      </c>
      <c r="BC6763" s="3" t="s">
        <v>142</v>
      </c>
      <c r="BD6763" s="3" t="s">
        <v>68</v>
      </c>
      <c r="BF6763" s="3" t="s">
        <v>65051</v>
      </c>
      <c r="BG6763" s="3" t="s">
        <v>65052</v>
      </c>
    </row>
    <row r="6764" spans="1:59" ht="57" x14ac:dyDescent="0.45">
      <c r="A6764" s="2" t="s">
        <v>59</v>
      </c>
      <c r="B6764" s="2" t="s">
        <v>60</v>
      </c>
      <c r="C6764" s="2" t="s">
        <v>65053</v>
      </c>
      <c r="D6764" s="2" t="s">
        <v>65054</v>
      </c>
      <c r="E6764" s="2" t="s">
        <v>65055</v>
      </c>
      <c r="G6764" s="3" t="s">
        <v>62</v>
      </c>
      <c r="I6764" s="3" t="s">
        <v>62</v>
      </c>
      <c r="J6764" s="3" t="s">
        <v>62</v>
      </c>
      <c r="K6764" s="3" t="s">
        <v>63</v>
      </c>
      <c r="L6764" s="2" t="s">
        <v>65056</v>
      </c>
      <c r="M6764" s="2" t="s">
        <v>65057</v>
      </c>
      <c r="N6764" s="3" t="s">
        <v>1224</v>
      </c>
      <c r="P6764" s="3" t="s">
        <v>65</v>
      </c>
      <c r="R6764" s="3" t="s">
        <v>66</v>
      </c>
      <c r="S6764" s="4">
        <v>9</v>
      </c>
      <c r="T6764" s="4">
        <v>9</v>
      </c>
      <c r="U6764" s="5" t="s">
        <v>65058</v>
      </c>
      <c r="V6764" s="5" t="s">
        <v>65058</v>
      </c>
      <c r="W6764" s="5" t="s">
        <v>67</v>
      </c>
      <c r="X6764" s="5" t="s">
        <v>67</v>
      </c>
      <c r="Y6764" s="4">
        <v>402</v>
      </c>
      <c r="Z6764" s="4">
        <v>27</v>
      </c>
      <c r="AA6764" s="4">
        <v>27</v>
      </c>
      <c r="AB6764" s="4">
        <v>3</v>
      </c>
      <c r="AC6764" s="4">
        <v>3</v>
      </c>
      <c r="AD6764" s="4">
        <v>116</v>
      </c>
      <c r="AE6764" s="4">
        <v>116</v>
      </c>
      <c r="AF6764" s="4">
        <v>2</v>
      </c>
      <c r="AG6764" s="4">
        <v>2</v>
      </c>
      <c r="AH6764" s="4">
        <v>99</v>
      </c>
      <c r="AI6764" s="4">
        <v>99</v>
      </c>
      <c r="AJ6764" s="4">
        <v>20</v>
      </c>
      <c r="AK6764" s="4">
        <v>20</v>
      </c>
      <c r="AL6764" s="4">
        <v>55</v>
      </c>
      <c r="AM6764" s="4">
        <v>55</v>
      </c>
      <c r="AN6764" s="4">
        <v>0</v>
      </c>
      <c r="AO6764" s="4">
        <v>0</v>
      </c>
      <c r="AP6764" s="4">
        <v>24</v>
      </c>
      <c r="AQ6764" s="4">
        <v>24</v>
      </c>
      <c r="AR6764" s="3" t="s">
        <v>62</v>
      </c>
      <c r="AS6764" s="3" t="s">
        <v>62</v>
      </c>
      <c r="AT6764" s="3" t="s">
        <v>62</v>
      </c>
      <c r="AV6764" s="6" t="str">
        <f>HYPERLINK("http://mcgill.on.worldcat.org/oclc/1055287","Catalog Record")</f>
        <v>Catalog Record</v>
      </c>
      <c r="AW6764" s="6" t="str">
        <f>HYPERLINK("http://www.worldcat.org/oclc/1055287","WorldCat Record")</f>
        <v>WorldCat Record</v>
      </c>
      <c r="AX6764" s="3" t="s">
        <v>65059</v>
      </c>
      <c r="AY6764" s="3" t="s">
        <v>65060</v>
      </c>
      <c r="AZ6764" s="3" t="s">
        <v>65061</v>
      </c>
      <c r="BA6764" s="3" t="s">
        <v>65061</v>
      </c>
      <c r="BB6764" s="3" t="s">
        <v>65062</v>
      </c>
      <c r="BC6764" s="3" t="s">
        <v>142</v>
      </c>
      <c r="BD6764" s="3" t="s">
        <v>68</v>
      </c>
      <c r="BE6764" s="3" t="s">
        <v>65063</v>
      </c>
      <c r="BF6764" s="3" t="s">
        <v>65062</v>
      </c>
      <c r="BG6764" s="3" t="s">
        <v>65064</v>
      </c>
    </row>
    <row r="6765" spans="1:59" ht="57" x14ac:dyDescent="0.45">
      <c r="A6765" s="2" t="s">
        <v>59</v>
      </c>
      <c r="B6765" s="2" t="s">
        <v>60</v>
      </c>
      <c r="C6765" s="2" t="s">
        <v>65065</v>
      </c>
      <c r="D6765" s="2" t="s">
        <v>65066</v>
      </c>
      <c r="E6765" s="2" t="s">
        <v>65067</v>
      </c>
      <c r="G6765" s="3" t="s">
        <v>62</v>
      </c>
      <c r="I6765" s="3" t="s">
        <v>62</v>
      </c>
      <c r="J6765" s="3" t="s">
        <v>62</v>
      </c>
      <c r="K6765" s="3" t="s">
        <v>63</v>
      </c>
      <c r="M6765" s="2" t="s">
        <v>65068</v>
      </c>
      <c r="N6765" s="3" t="s">
        <v>1097</v>
      </c>
      <c r="P6765" s="3" t="s">
        <v>65</v>
      </c>
      <c r="Q6765" s="2" t="s">
        <v>65069</v>
      </c>
      <c r="R6765" s="3" t="s">
        <v>66</v>
      </c>
      <c r="S6765" s="4">
        <v>2</v>
      </c>
      <c r="T6765" s="4">
        <v>2</v>
      </c>
      <c r="U6765" s="5" t="s">
        <v>29035</v>
      </c>
      <c r="V6765" s="5" t="s">
        <v>29035</v>
      </c>
      <c r="W6765" s="5" t="s">
        <v>67</v>
      </c>
      <c r="X6765" s="5" t="s">
        <v>67</v>
      </c>
      <c r="Y6765" s="4">
        <v>38</v>
      </c>
      <c r="Z6765" s="4">
        <v>6</v>
      </c>
      <c r="AA6765" s="4">
        <v>6</v>
      </c>
      <c r="AB6765" s="4">
        <v>1</v>
      </c>
      <c r="AC6765" s="4">
        <v>1</v>
      </c>
      <c r="AD6765" s="4">
        <v>16</v>
      </c>
      <c r="AE6765" s="4">
        <v>16</v>
      </c>
      <c r="AF6765" s="4">
        <v>0</v>
      </c>
      <c r="AG6765" s="4">
        <v>0</v>
      </c>
      <c r="AH6765" s="4">
        <v>16</v>
      </c>
      <c r="AI6765" s="4">
        <v>16</v>
      </c>
      <c r="AJ6765" s="4">
        <v>4</v>
      </c>
      <c r="AK6765" s="4">
        <v>4</v>
      </c>
      <c r="AL6765" s="4">
        <v>10</v>
      </c>
      <c r="AM6765" s="4">
        <v>10</v>
      </c>
      <c r="AN6765" s="4">
        <v>0</v>
      </c>
      <c r="AO6765" s="4">
        <v>0</v>
      </c>
      <c r="AP6765" s="4">
        <v>4</v>
      </c>
      <c r="AQ6765" s="4">
        <v>4</v>
      </c>
      <c r="AR6765" s="3" t="s">
        <v>62</v>
      </c>
      <c r="AS6765" s="3" t="s">
        <v>62</v>
      </c>
      <c r="AT6765" s="3" t="s">
        <v>61</v>
      </c>
      <c r="AU6765" s="6" t="str">
        <f>HYPERLINK("http://catalog.hathitrust.org/Record/005145569","HathiTrust Record")</f>
        <v>HathiTrust Record</v>
      </c>
      <c r="AV6765" s="6" t="str">
        <f>HYPERLINK("http://mcgill.on.worldcat.org/oclc/64193136","Catalog Record")</f>
        <v>Catalog Record</v>
      </c>
      <c r="AW6765" s="6" t="str">
        <f>HYPERLINK("http://www.worldcat.org/oclc/64193136","WorldCat Record")</f>
        <v>WorldCat Record</v>
      </c>
      <c r="AX6765" s="3" t="s">
        <v>65070</v>
      </c>
      <c r="AY6765" s="3" t="s">
        <v>65071</v>
      </c>
      <c r="AZ6765" s="3" t="s">
        <v>65072</v>
      </c>
      <c r="BA6765" s="3" t="s">
        <v>65072</v>
      </c>
      <c r="BB6765" s="3" t="s">
        <v>65073</v>
      </c>
      <c r="BC6765" s="3" t="s">
        <v>142</v>
      </c>
      <c r="BD6765" s="3" t="s">
        <v>68</v>
      </c>
      <c r="BE6765" s="3" t="s">
        <v>65074</v>
      </c>
      <c r="BF6765" s="3" t="s">
        <v>65073</v>
      </c>
      <c r="BG6765" s="3" t="s">
        <v>65075</v>
      </c>
    </row>
    <row r="6766" spans="1:59" ht="57" x14ac:dyDescent="0.45">
      <c r="A6766" s="2" t="s">
        <v>59</v>
      </c>
      <c r="B6766" s="2" t="s">
        <v>60</v>
      </c>
      <c r="C6766" s="2" t="s">
        <v>65076</v>
      </c>
      <c r="D6766" s="2" t="s">
        <v>65077</v>
      </c>
      <c r="E6766" s="2" t="s">
        <v>65078</v>
      </c>
      <c r="G6766" s="3" t="s">
        <v>62</v>
      </c>
      <c r="I6766" s="3" t="s">
        <v>62</v>
      </c>
      <c r="J6766" s="3" t="s">
        <v>62</v>
      </c>
      <c r="K6766" s="3" t="s">
        <v>63</v>
      </c>
      <c r="L6766" s="2" t="s">
        <v>65079</v>
      </c>
      <c r="M6766" s="2" t="s">
        <v>65080</v>
      </c>
      <c r="N6766" s="3" t="s">
        <v>149</v>
      </c>
      <c r="P6766" s="3" t="s">
        <v>65</v>
      </c>
      <c r="R6766" s="3" t="s">
        <v>66</v>
      </c>
      <c r="S6766" s="4">
        <v>0</v>
      </c>
      <c r="T6766" s="4">
        <v>0</v>
      </c>
      <c r="W6766" s="5" t="s">
        <v>67</v>
      </c>
      <c r="X6766" s="5" t="s">
        <v>67</v>
      </c>
      <c r="Y6766" s="4">
        <v>18</v>
      </c>
      <c r="Z6766" s="4">
        <v>1</v>
      </c>
      <c r="AA6766" s="4">
        <v>5</v>
      </c>
      <c r="AB6766" s="4">
        <v>1</v>
      </c>
      <c r="AC6766" s="4">
        <v>2</v>
      </c>
      <c r="AD6766" s="4">
        <v>11</v>
      </c>
      <c r="AE6766" s="4">
        <v>14</v>
      </c>
      <c r="AF6766" s="4">
        <v>0</v>
      </c>
      <c r="AG6766" s="4">
        <v>1</v>
      </c>
      <c r="AH6766" s="4">
        <v>11</v>
      </c>
      <c r="AI6766" s="4">
        <v>14</v>
      </c>
      <c r="AJ6766" s="4">
        <v>0</v>
      </c>
      <c r="AK6766" s="4">
        <v>3</v>
      </c>
      <c r="AL6766" s="4">
        <v>8</v>
      </c>
      <c r="AM6766" s="4">
        <v>9</v>
      </c>
      <c r="AN6766" s="4">
        <v>0</v>
      </c>
      <c r="AO6766" s="4">
        <v>0</v>
      </c>
      <c r="AP6766" s="4">
        <v>0</v>
      </c>
      <c r="AQ6766" s="4">
        <v>3</v>
      </c>
      <c r="AR6766" s="3" t="s">
        <v>62</v>
      </c>
      <c r="AS6766" s="3" t="s">
        <v>62</v>
      </c>
      <c r="AT6766" s="3" t="s">
        <v>62</v>
      </c>
      <c r="AV6766" s="6" t="str">
        <f>HYPERLINK("http://mcgill.on.worldcat.org/oclc/631652453","Catalog Record")</f>
        <v>Catalog Record</v>
      </c>
      <c r="AW6766" s="6" t="str">
        <f>HYPERLINK("http://www.worldcat.org/oclc/631652453","WorldCat Record")</f>
        <v>WorldCat Record</v>
      </c>
      <c r="AX6766" s="3" t="s">
        <v>65081</v>
      </c>
      <c r="AY6766" s="3" t="s">
        <v>65082</v>
      </c>
      <c r="AZ6766" s="3" t="s">
        <v>65083</v>
      </c>
      <c r="BA6766" s="3" t="s">
        <v>65083</v>
      </c>
      <c r="BB6766" s="3" t="s">
        <v>65084</v>
      </c>
      <c r="BC6766" s="3" t="s">
        <v>142</v>
      </c>
      <c r="BD6766" s="3" t="s">
        <v>68</v>
      </c>
      <c r="BE6766" s="3" t="s">
        <v>65085</v>
      </c>
      <c r="BF6766" s="3" t="s">
        <v>65084</v>
      </c>
      <c r="BG6766" s="3" t="s">
        <v>65086</v>
      </c>
    </row>
    <row r="6767" spans="1:59" ht="57" x14ac:dyDescent="0.45">
      <c r="A6767" s="2" t="s">
        <v>59</v>
      </c>
      <c r="B6767" s="2" t="s">
        <v>60</v>
      </c>
      <c r="C6767" s="2" t="s">
        <v>65087</v>
      </c>
      <c r="D6767" s="2" t="s">
        <v>65088</v>
      </c>
      <c r="E6767" s="2" t="s">
        <v>65089</v>
      </c>
      <c r="F6767" s="3" t="s">
        <v>88</v>
      </c>
      <c r="G6767" s="3" t="s">
        <v>61</v>
      </c>
      <c r="I6767" s="3" t="s">
        <v>62</v>
      </c>
      <c r="J6767" s="3" t="s">
        <v>62</v>
      </c>
      <c r="K6767" s="3" t="s">
        <v>63</v>
      </c>
      <c r="L6767" s="2" t="s">
        <v>65090</v>
      </c>
      <c r="M6767" s="2" t="s">
        <v>65091</v>
      </c>
      <c r="N6767" s="3" t="s">
        <v>542</v>
      </c>
      <c r="P6767" s="3" t="s">
        <v>110</v>
      </c>
      <c r="Q6767" s="2" t="s">
        <v>65092</v>
      </c>
      <c r="R6767" s="3" t="s">
        <v>66</v>
      </c>
      <c r="S6767" s="4">
        <v>1</v>
      </c>
      <c r="T6767" s="4">
        <v>11</v>
      </c>
      <c r="U6767" s="5" t="s">
        <v>25867</v>
      </c>
      <c r="V6767" s="5" t="s">
        <v>25867</v>
      </c>
      <c r="W6767" s="5" t="s">
        <v>67</v>
      </c>
      <c r="X6767" s="5" t="s">
        <v>67</v>
      </c>
      <c r="Y6767" s="4">
        <v>60</v>
      </c>
      <c r="Z6767" s="4">
        <v>5</v>
      </c>
      <c r="AA6767" s="4">
        <v>7</v>
      </c>
      <c r="AB6767" s="4">
        <v>1</v>
      </c>
      <c r="AC6767" s="4">
        <v>2</v>
      </c>
      <c r="AD6767" s="4">
        <v>34</v>
      </c>
      <c r="AE6767" s="4">
        <v>40</v>
      </c>
      <c r="AF6767" s="4">
        <v>0</v>
      </c>
      <c r="AG6767" s="4">
        <v>1</v>
      </c>
      <c r="AH6767" s="4">
        <v>31</v>
      </c>
      <c r="AI6767" s="4">
        <v>37</v>
      </c>
      <c r="AJ6767" s="4">
        <v>3</v>
      </c>
      <c r="AK6767" s="4">
        <v>5</v>
      </c>
      <c r="AL6767" s="4">
        <v>27</v>
      </c>
      <c r="AM6767" s="4">
        <v>29</v>
      </c>
      <c r="AN6767" s="4">
        <v>0</v>
      </c>
      <c r="AO6767" s="4">
        <v>0</v>
      </c>
      <c r="AP6767" s="4">
        <v>3</v>
      </c>
      <c r="AQ6767" s="4">
        <v>5</v>
      </c>
      <c r="AR6767" s="3" t="s">
        <v>62</v>
      </c>
      <c r="AS6767" s="3" t="s">
        <v>62</v>
      </c>
      <c r="AT6767" s="3" t="s">
        <v>61</v>
      </c>
      <c r="AU6767" s="6" t="str">
        <f>HYPERLINK("http://catalog.hathitrust.org/Record/004245552","HathiTrust Record")</f>
        <v>HathiTrust Record</v>
      </c>
      <c r="AV6767" s="6" t="str">
        <f>HYPERLINK("http://mcgill.on.worldcat.org/oclc/50516715","Catalog Record")</f>
        <v>Catalog Record</v>
      </c>
      <c r="AW6767" s="6" t="str">
        <f>HYPERLINK("http://www.worldcat.org/oclc/50516715","WorldCat Record")</f>
        <v>WorldCat Record</v>
      </c>
      <c r="AX6767" s="3" t="s">
        <v>65093</v>
      </c>
      <c r="AY6767" s="3" t="s">
        <v>65094</v>
      </c>
      <c r="AZ6767" s="3" t="s">
        <v>65095</v>
      </c>
      <c r="BA6767" s="3" t="s">
        <v>65095</v>
      </c>
      <c r="BB6767" s="3" t="s">
        <v>65096</v>
      </c>
      <c r="BC6767" s="3" t="s">
        <v>142</v>
      </c>
      <c r="BD6767" s="3" t="s">
        <v>68</v>
      </c>
      <c r="BE6767" s="3" t="s">
        <v>65097</v>
      </c>
      <c r="BF6767" s="3" t="s">
        <v>65096</v>
      </c>
      <c r="BG6767" s="3" t="s">
        <v>65098</v>
      </c>
    </row>
    <row r="6768" spans="1:59" ht="57" x14ac:dyDescent="0.45">
      <c r="A6768" s="2" t="s">
        <v>59</v>
      </c>
      <c r="B6768" s="2" t="s">
        <v>60</v>
      </c>
      <c r="C6768" s="2" t="s">
        <v>65087</v>
      </c>
      <c r="D6768" s="2" t="s">
        <v>65088</v>
      </c>
      <c r="E6768" s="2" t="s">
        <v>65089</v>
      </c>
      <c r="F6768" s="3" t="s">
        <v>87</v>
      </c>
      <c r="G6768" s="3" t="s">
        <v>61</v>
      </c>
      <c r="I6768" s="3" t="s">
        <v>62</v>
      </c>
      <c r="J6768" s="3" t="s">
        <v>62</v>
      </c>
      <c r="K6768" s="3" t="s">
        <v>63</v>
      </c>
      <c r="L6768" s="2" t="s">
        <v>65090</v>
      </c>
      <c r="M6768" s="2" t="s">
        <v>65091</v>
      </c>
      <c r="N6768" s="3" t="s">
        <v>542</v>
      </c>
      <c r="P6768" s="3" t="s">
        <v>110</v>
      </c>
      <c r="Q6768" s="2" t="s">
        <v>65092</v>
      </c>
      <c r="R6768" s="3" t="s">
        <v>66</v>
      </c>
      <c r="S6768" s="4">
        <v>5</v>
      </c>
      <c r="T6768" s="4">
        <v>11</v>
      </c>
      <c r="U6768" s="5" t="s">
        <v>25867</v>
      </c>
      <c r="V6768" s="5" t="s">
        <v>25867</v>
      </c>
      <c r="W6768" s="5" t="s">
        <v>67</v>
      </c>
      <c r="X6768" s="5" t="s">
        <v>67</v>
      </c>
      <c r="Y6768" s="4">
        <v>60</v>
      </c>
      <c r="Z6768" s="4">
        <v>5</v>
      </c>
      <c r="AA6768" s="4">
        <v>7</v>
      </c>
      <c r="AB6768" s="4">
        <v>1</v>
      </c>
      <c r="AC6768" s="4">
        <v>2</v>
      </c>
      <c r="AD6768" s="4">
        <v>34</v>
      </c>
      <c r="AE6768" s="4">
        <v>40</v>
      </c>
      <c r="AF6768" s="4">
        <v>0</v>
      </c>
      <c r="AG6768" s="4">
        <v>1</v>
      </c>
      <c r="AH6768" s="4">
        <v>31</v>
      </c>
      <c r="AI6768" s="4">
        <v>37</v>
      </c>
      <c r="AJ6768" s="4">
        <v>3</v>
      </c>
      <c r="AK6768" s="4">
        <v>5</v>
      </c>
      <c r="AL6768" s="4">
        <v>27</v>
      </c>
      <c r="AM6768" s="4">
        <v>29</v>
      </c>
      <c r="AN6768" s="4">
        <v>0</v>
      </c>
      <c r="AO6768" s="4">
        <v>0</v>
      </c>
      <c r="AP6768" s="4">
        <v>3</v>
      </c>
      <c r="AQ6768" s="4">
        <v>5</v>
      </c>
      <c r="AR6768" s="3" t="s">
        <v>62</v>
      </c>
      <c r="AS6768" s="3" t="s">
        <v>62</v>
      </c>
      <c r="AT6768" s="3" t="s">
        <v>61</v>
      </c>
      <c r="AU6768" s="6" t="str">
        <f>HYPERLINK("http://catalog.hathitrust.org/Record/004245552","HathiTrust Record")</f>
        <v>HathiTrust Record</v>
      </c>
      <c r="AV6768" s="6" t="str">
        <f>HYPERLINK("http://mcgill.on.worldcat.org/oclc/50516715","Catalog Record")</f>
        <v>Catalog Record</v>
      </c>
      <c r="AW6768" s="6" t="str">
        <f>HYPERLINK("http://www.worldcat.org/oclc/50516715","WorldCat Record")</f>
        <v>WorldCat Record</v>
      </c>
      <c r="AX6768" s="3" t="s">
        <v>65093</v>
      </c>
      <c r="AY6768" s="3" t="s">
        <v>65094</v>
      </c>
      <c r="AZ6768" s="3" t="s">
        <v>65095</v>
      </c>
      <c r="BA6768" s="3" t="s">
        <v>65095</v>
      </c>
      <c r="BB6768" s="3" t="s">
        <v>65099</v>
      </c>
      <c r="BC6768" s="3" t="s">
        <v>142</v>
      </c>
      <c r="BD6768" s="3" t="s">
        <v>68</v>
      </c>
      <c r="BE6768" s="3" t="s">
        <v>65097</v>
      </c>
      <c r="BF6768" s="3" t="s">
        <v>65099</v>
      </c>
      <c r="BG6768" s="3" t="s">
        <v>65100</v>
      </c>
    </row>
    <row r="6769" spans="1:59" ht="57" x14ac:dyDescent="0.45">
      <c r="A6769" s="2" t="s">
        <v>59</v>
      </c>
      <c r="B6769" s="2" t="s">
        <v>60</v>
      </c>
      <c r="C6769" s="2" t="s">
        <v>65087</v>
      </c>
      <c r="D6769" s="2" t="s">
        <v>65088</v>
      </c>
      <c r="E6769" s="2" t="s">
        <v>65089</v>
      </c>
      <c r="F6769" s="3" t="s">
        <v>86</v>
      </c>
      <c r="G6769" s="3" t="s">
        <v>61</v>
      </c>
      <c r="I6769" s="3" t="s">
        <v>62</v>
      </c>
      <c r="J6769" s="3" t="s">
        <v>62</v>
      </c>
      <c r="K6769" s="3" t="s">
        <v>63</v>
      </c>
      <c r="L6769" s="2" t="s">
        <v>65090</v>
      </c>
      <c r="M6769" s="2" t="s">
        <v>65091</v>
      </c>
      <c r="N6769" s="3" t="s">
        <v>542</v>
      </c>
      <c r="P6769" s="3" t="s">
        <v>110</v>
      </c>
      <c r="Q6769" s="2" t="s">
        <v>65092</v>
      </c>
      <c r="R6769" s="3" t="s">
        <v>66</v>
      </c>
      <c r="S6769" s="4">
        <v>3</v>
      </c>
      <c r="T6769" s="4">
        <v>11</v>
      </c>
      <c r="U6769" s="5" t="s">
        <v>25867</v>
      </c>
      <c r="V6769" s="5" t="s">
        <v>25867</v>
      </c>
      <c r="W6769" s="5" t="s">
        <v>67</v>
      </c>
      <c r="X6769" s="5" t="s">
        <v>67</v>
      </c>
      <c r="Y6769" s="4">
        <v>60</v>
      </c>
      <c r="Z6769" s="4">
        <v>5</v>
      </c>
      <c r="AA6769" s="4">
        <v>7</v>
      </c>
      <c r="AB6769" s="4">
        <v>1</v>
      </c>
      <c r="AC6769" s="4">
        <v>2</v>
      </c>
      <c r="AD6769" s="4">
        <v>34</v>
      </c>
      <c r="AE6769" s="4">
        <v>40</v>
      </c>
      <c r="AF6769" s="4">
        <v>0</v>
      </c>
      <c r="AG6769" s="4">
        <v>1</v>
      </c>
      <c r="AH6769" s="4">
        <v>31</v>
      </c>
      <c r="AI6769" s="4">
        <v>37</v>
      </c>
      <c r="AJ6769" s="4">
        <v>3</v>
      </c>
      <c r="AK6769" s="4">
        <v>5</v>
      </c>
      <c r="AL6769" s="4">
        <v>27</v>
      </c>
      <c r="AM6769" s="4">
        <v>29</v>
      </c>
      <c r="AN6769" s="4">
        <v>0</v>
      </c>
      <c r="AO6769" s="4">
        <v>0</v>
      </c>
      <c r="AP6769" s="4">
        <v>3</v>
      </c>
      <c r="AQ6769" s="4">
        <v>5</v>
      </c>
      <c r="AR6769" s="3" t="s">
        <v>62</v>
      </c>
      <c r="AS6769" s="3" t="s">
        <v>62</v>
      </c>
      <c r="AT6769" s="3" t="s">
        <v>61</v>
      </c>
      <c r="AU6769" s="6" t="str">
        <f>HYPERLINK("http://catalog.hathitrust.org/Record/004245552","HathiTrust Record")</f>
        <v>HathiTrust Record</v>
      </c>
      <c r="AV6769" s="6" t="str">
        <f>HYPERLINK("http://mcgill.on.worldcat.org/oclc/50516715","Catalog Record")</f>
        <v>Catalog Record</v>
      </c>
      <c r="AW6769" s="6" t="str">
        <f>HYPERLINK("http://www.worldcat.org/oclc/50516715","WorldCat Record")</f>
        <v>WorldCat Record</v>
      </c>
      <c r="AX6769" s="3" t="s">
        <v>65093</v>
      </c>
      <c r="AY6769" s="3" t="s">
        <v>65094</v>
      </c>
      <c r="AZ6769" s="3" t="s">
        <v>65095</v>
      </c>
      <c r="BA6769" s="3" t="s">
        <v>65095</v>
      </c>
      <c r="BB6769" s="3" t="s">
        <v>65101</v>
      </c>
      <c r="BC6769" s="3" t="s">
        <v>142</v>
      </c>
      <c r="BD6769" s="3" t="s">
        <v>68</v>
      </c>
      <c r="BE6769" s="3" t="s">
        <v>65097</v>
      </c>
      <c r="BF6769" s="3" t="s">
        <v>65101</v>
      </c>
      <c r="BG6769" s="3" t="s">
        <v>65102</v>
      </c>
    </row>
    <row r="6770" spans="1:59" ht="57" x14ac:dyDescent="0.45">
      <c r="A6770" s="2" t="s">
        <v>59</v>
      </c>
      <c r="B6770" s="2" t="s">
        <v>60</v>
      </c>
      <c r="C6770" s="2" t="s">
        <v>65087</v>
      </c>
      <c r="D6770" s="2" t="s">
        <v>65088</v>
      </c>
      <c r="E6770" s="2" t="s">
        <v>65089</v>
      </c>
      <c r="F6770" s="3" t="s">
        <v>65103</v>
      </c>
      <c r="G6770" s="3" t="s">
        <v>61</v>
      </c>
      <c r="I6770" s="3" t="s">
        <v>62</v>
      </c>
      <c r="J6770" s="3" t="s">
        <v>62</v>
      </c>
      <c r="K6770" s="3" t="s">
        <v>63</v>
      </c>
      <c r="L6770" s="2" t="s">
        <v>65090</v>
      </c>
      <c r="M6770" s="2" t="s">
        <v>65091</v>
      </c>
      <c r="N6770" s="3" t="s">
        <v>542</v>
      </c>
      <c r="P6770" s="3" t="s">
        <v>110</v>
      </c>
      <c r="Q6770" s="2" t="s">
        <v>65092</v>
      </c>
      <c r="R6770" s="3" t="s">
        <v>66</v>
      </c>
      <c r="S6770" s="4">
        <v>2</v>
      </c>
      <c r="T6770" s="4">
        <v>11</v>
      </c>
      <c r="U6770" s="5" t="s">
        <v>25867</v>
      </c>
      <c r="V6770" s="5" t="s">
        <v>25867</v>
      </c>
      <c r="W6770" s="5" t="s">
        <v>67</v>
      </c>
      <c r="X6770" s="5" t="s">
        <v>67</v>
      </c>
      <c r="Y6770" s="4">
        <v>60</v>
      </c>
      <c r="Z6770" s="4">
        <v>5</v>
      </c>
      <c r="AA6770" s="4">
        <v>7</v>
      </c>
      <c r="AB6770" s="4">
        <v>1</v>
      </c>
      <c r="AC6770" s="4">
        <v>2</v>
      </c>
      <c r="AD6770" s="4">
        <v>34</v>
      </c>
      <c r="AE6770" s="4">
        <v>40</v>
      </c>
      <c r="AF6770" s="4">
        <v>0</v>
      </c>
      <c r="AG6770" s="4">
        <v>1</v>
      </c>
      <c r="AH6770" s="4">
        <v>31</v>
      </c>
      <c r="AI6770" s="4">
        <v>37</v>
      </c>
      <c r="AJ6770" s="4">
        <v>3</v>
      </c>
      <c r="AK6770" s="4">
        <v>5</v>
      </c>
      <c r="AL6770" s="4">
        <v>27</v>
      </c>
      <c r="AM6770" s="4">
        <v>29</v>
      </c>
      <c r="AN6770" s="4">
        <v>0</v>
      </c>
      <c r="AO6770" s="4">
        <v>0</v>
      </c>
      <c r="AP6770" s="4">
        <v>3</v>
      </c>
      <c r="AQ6770" s="4">
        <v>5</v>
      </c>
      <c r="AR6770" s="3" t="s">
        <v>62</v>
      </c>
      <c r="AS6770" s="3" t="s">
        <v>62</v>
      </c>
      <c r="AT6770" s="3" t="s">
        <v>61</v>
      </c>
      <c r="AU6770" s="6" t="str">
        <f>HYPERLINK("http://catalog.hathitrust.org/Record/004245552","HathiTrust Record")</f>
        <v>HathiTrust Record</v>
      </c>
      <c r="AV6770" s="6" t="str">
        <f>HYPERLINK("http://mcgill.on.worldcat.org/oclc/50516715","Catalog Record")</f>
        <v>Catalog Record</v>
      </c>
      <c r="AW6770" s="6" t="str">
        <f>HYPERLINK("http://www.worldcat.org/oclc/50516715","WorldCat Record")</f>
        <v>WorldCat Record</v>
      </c>
      <c r="AX6770" s="3" t="s">
        <v>65093</v>
      </c>
      <c r="AY6770" s="3" t="s">
        <v>65094</v>
      </c>
      <c r="AZ6770" s="3" t="s">
        <v>65095</v>
      </c>
      <c r="BA6770" s="3" t="s">
        <v>65095</v>
      </c>
      <c r="BB6770" s="3" t="s">
        <v>65104</v>
      </c>
      <c r="BC6770" s="3" t="s">
        <v>142</v>
      </c>
      <c r="BD6770" s="3" t="s">
        <v>68</v>
      </c>
      <c r="BE6770" s="3" t="s">
        <v>65097</v>
      </c>
      <c r="BF6770" s="3" t="s">
        <v>65104</v>
      </c>
      <c r="BG6770" s="3" t="s">
        <v>65105</v>
      </c>
    </row>
    <row r="6771" spans="1:59" ht="57" x14ac:dyDescent="0.45">
      <c r="A6771" s="2" t="s">
        <v>59</v>
      </c>
      <c r="B6771" s="2" t="s">
        <v>60</v>
      </c>
      <c r="C6771" s="2" t="s">
        <v>65106</v>
      </c>
      <c r="D6771" s="2" t="s">
        <v>65107</v>
      </c>
      <c r="E6771" s="2" t="s">
        <v>65108</v>
      </c>
      <c r="F6771" s="3" t="s">
        <v>90</v>
      </c>
      <c r="G6771" s="3" t="s">
        <v>61</v>
      </c>
      <c r="I6771" s="3" t="s">
        <v>62</v>
      </c>
      <c r="J6771" s="3" t="s">
        <v>62</v>
      </c>
      <c r="K6771" s="3" t="s">
        <v>63</v>
      </c>
      <c r="L6771" s="2" t="s">
        <v>65109</v>
      </c>
      <c r="M6771" s="2" t="s">
        <v>65110</v>
      </c>
      <c r="N6771" s="3" t="s">
        <v>195</v>
      </c>
      <c r="O6771" s="2" t="s">
        <v>65111</v>
      </c>
      <c r="P6771" s="3" t="s">
        <v>326</v>
      </c>
      <c r="Q6771" s="2" t="s">
        <v>65112</v>
      </c>
      <c r="R6771" s="3" t="s">
        <v>66</v>
      </c>
      <c r="S6771" s="4">
        <v>2</v>
      </c>
      <c r="T6771" s="4">
        <v>5</v>
      </c>
      <c r="U6771" s="5" t="s">
        <v>65113</v>
      </c>
      <c r="V6771" s="5" t="s">
        <v>39997</v>
      </c>
      <c r="W6771" s="5" t="s">
        <v>67</v>
      </c>
      <c r="X6771" s="5" t="s">
        <v>67</v>
      </c>
      <c r="Y6771" s="4">
        <v>15</v>
      </c>
      <c r="Z6771" s="4">
        <v>1</v>
      </c>
      <c r="AA6771" s="4">
        <v>1</v>
      </c>
      <c r="AB6771" s="4">
        <v>1</v>
      </c>
      <c r="AC6771" s="4">
        <v>1</v>
      </c>
      <c r="AD6771" s="4">
        <v>6</v>
      </c>
      <c r="AE6771" s="4">
        <v>6</v>
      </c>
      <c r="AF6771" s="4">
        <v>0</v>
      </c>
      <c r="AG6771" s="4">
        <v>0</v>
      </c>
      <c r="AH6771" s="4">
        <v>6</v>
      </c>
      <c r="AI6771" s="4">
        <v>6</v>
      </c>
      <c r="AJ6771" s="4">
        <v>0</v>
      </c>
      <c r="AK6771" s="4">
        <v>0</v>
      </c>
      <c r="AL6771" s="4">
        <v>4</v>
      </c>
      <c r="AM6771" s="4">
        <v>4</v>
      </c>
      <c r="AN6771" s="4">
        <v>0</v>
      </c>
      <c r="AO6771" s="4">
        <v>0</v>
      </c>
      <c r="AP6771" s="4">
        <v>0</v>
      </c>
      <c r="AQ6771" s="4">
        <v>0</v>
      </c>
      <c r="AR6771" s="3" t="s">
        <v>62</v>
      </c>
      <c r="AS6771" s="3" t="s">
        <v>62</v>
      </c>
      <c r="AT6771" s="3" t="s">
        <v>61</v>
      </c>
      <c r="AU6771" s="6" t="str">
        <f>HYPERLINK("http://catalog.hathitrust.org/Record/101886200","HathiTrust Record")</f>
        <v>HathiTrust Record</v>
      </c>
      <c r="AV6771" s="6" t="str">
        <f>HYPERLINK("http://mcgill.on.worldcat.org/oclc/51062933","Catalog Record")</f>
        <v>Catalog Record</v>
      </c>
      <c r="AW6771" s="6" t="str">
        <f>HYPERLINK("http://www.worldcat.org/oclc/51062933","WorldCat Record")</f>
        <v>WorldCat Record</v>
      </c>
      <c r="AX6771" s="3" t="s">
        <v>65114</v>
      </c>
      <c r="AY6771" s="3" t="s">
        <v>65115</v>
      </c>
      <c r="AZ6771" s="3" t="s">
        <v>65116</v>
      </c>
      <c r="BA6771" s="3" t="s">
        <v>65116</v>
      </c>
      <c r="BB6771" s="3" t="s">
        <v>65117</v>
      </c>
      <c r="BC6771" s="3" t="s">
        <v>142</v>
      </c>
      <c r="BD6771" s="3" t="s">
        <v>68</v>
      </c>
      <c r="BE6771" s="3" t="s">
        <v>65118</v>
      </c>
      <c r="BF6771" s="3" t="s">
        <v>65117</v>
      </c>
      <c r="BG6771" s="3" t="s">
        <v>65119</v>
      </c>
    </row>
    <row r="6772" spans="1:59" ht="57" x14ac:dyDescent="0.45">
      <c r="A6772" s="2" t="s">
        <v>59</v>
      </c>
      <c r="B6772" s="2" t="s">
        <v>60</v>
      </c>
      <c r="C6772" s="2" t="s">
        <v>65106</v>
      </c>
      <c r="D6772" s="2" t="s">
        <v>65107</v>
      </c>
      <c r="E6772" s="2" t="s">
        <v>65108</v>
      </c>
      <c r="F6772" s="3" t="s">
        <v>87</v>
      </c>
      <c r="G6772" s="3" t="s">
        <v>61</v>
      </c>
      <c r="I6772" s="3" t="s">
        <v>62</v>
      </c>
      <c r="J6772" s="3" t="s">
        <v>62</v>
      </c>
      <c r="K6772" s="3" t="s">
        <v>63</v>
      </c>
      <c r="L6772" s="2" t="s">
        <v>65109</v>
      </c>
      <c r="M6772" s="2" t="s">
        <v>65110</v>
      </c>
      <c r="N6772" s="3" t="s">
        <v>195</v>
      </c>
      <c r="O6772" s="2" t="s">
        <v>65111</v>
      </c>
      <c r="P6772" s="3" t="s">
        <v>326</v>
      </c>
      <c r="Q6772" s="2" t="s">
        <v>65112</v>
      </c>
      <c r="R6772" s="3" t="s">
        <v>66</v>
      </c>
      <c r="S6772" s="4">
        <v>3</v>
      </c>
      <c r="T6772" s="4">
        <v>5</v>
      </c>
      <c r="U6772" s="5" t="s">
        <v>39997</v>
      </c>
      <c r="V6772" s="5" t="s">
        <v>39997</v>
      </c>
      <c r="W6772" s="5" t="s">
        <v>67</v>
      </c>
      <c r="X6772" s="5" t="s">
        <v>67</v>
      </c>
      <c r="Y6772" s="4">
        <v>15</v>
      </c>
      <c r="Z6772" s="4">
        <v>1</v>
      </c>
      <c r="AA6772" s="4">
        <v>1</v>
      </c>
      <c r="AB6772" s="4">
        <v>1</v>
      </c>
      <c r="AC6772" s="4">
        <v>1</v>
      </c>
      <c r="AD6772" s="4">
        <v>6</v>
      </c>
      <c r="AE6772" s="4">
        <v>6</v>
      </c>
      <c r="AF6772" s="4">
        <v>0</v>
      </c>
      <c r="AG6772" s="4">
        <v>0</v>
      </c>
      <c r="AH6772" s="4">
        <v>6</v>
      </c>
      <c r="AI6772" s="4">
        <v>6</v>
      </c>
      <c r="AJ6772" s="4">
        <v>0</v>
      </c>
      <c r="AK6772" s="4">
        <v>0</v>
      </c>
      <c r="AL6772" s="4">
        <v>4</v>
      </c>
      <c r="AM6772" s="4">
        <v>4</v>
      </c>
      <c r="AN6772" s="4">
        <v>0</v>
      </c>
      <c r="AO6772" s="4">
        <v>0</v>
      </c>
      <c r="AP6772" s="4">
        <v>0</v>
      </c>
      <c r="AQ6772" s="4">
        <v>0</v>
      </c>
      <c r="AR6772" s="3" t="s">
        <v>62</v>
      </c>
      <c r="AS6772" s="3" t="s">
        <v>62</v>
      </c>
      <c r="AT6772" s="3" t="s">
        <v>61</v>
      </c>
      <c r="AU6772" s="6" t="str">
        <f>HYPERLINK("http://catalog.hathitrust.org/Record/101886200","HathiTrust Record")</f>
        <v>HathiTrust Record</v>
      </c>
      <c r="AV6772" s="6" t="str">
        <f>HYPERLINK("http://mcgill.on.worldcat.org/oclc/51062933","Catalog Record")</f>
        <v>Catalog Record</v>
      </c>
      <c r="AW6772" s="6" t="str">
        <f>HYPERLINK("http://www.worldcat.org/oclc/51062933","WorldCat Record")</f>
        <v>WorldCat Record</v>
      </c>
      <c r="AX6772" s="3" t="s">
        <v>65114</v>
      </c>
      <c r="AY6772" s="3" t="s">
        <v>65115</v>
      </c>
      <c r="AZ6772" s="3" t="s">
        <v>65116</v>
      </c>
      <c r="BA6772" s="3" t="s">
        <v>65116</v>
      </c>
      <c r="BB6772" s="3" t="s">
        <v>65120</v>
      </c>
      <c r="BC6772" s="3" t="s">
        <v>142</v>
      </c>
      <c r="BD6772" s="3" t="s">
        <v>68</v>
      </c>
      <c r="BE6772" s="3" t="s">
        <v>65118</v>
      </c>
      <c r="BF6772" s="3" t="s">
        <v>65120</v>
      </c>
      <c r="BG6772" s="3" t="s">
        <v>65121</v>
      </c>
    </row>
    <row r="6773" spans="1:59" ht="57" x14ac:dyDescent="0.45">
      <c r="A6773" s="2" t="s">
        <v>59</v>
      </c>
      <c r="B6773" s="2" t="s">
        <v>60</v>
      </c>
      <c r="C6773" s="2" t="s">
        <v>65122</v>
      </c>
      <c r="D6773" s="2" t="s">
        <v>65123</v>
      </c>
      <c r="E6773" s="2" t="s">
        <v>65124</v>
      </c>
      <c r="F6773" s="3" t="s">
        <v>90</v>
      </c>
      <c r="G6773" s="3" t="s">
        <v>61</v>
      </c>
      <c r="I6773" s="3" t="s">
        <v>62</v>
      </c>
      <c r="J6773" s="3" t="s">
        <v>62</v>
      </c>
      <c r="K6773" s="3" t="s">
        <v>63</v>
      </c>
      <c r="M6773" s="2" t="s">
        <v>65125</v>
      </c>
      <c r="N6773" s="3" t="s">
        <v>945</v>
      </c>
      <c r="P6773" s="3" t="s">
        <v>65</v>
      </c>
      <c r="Q6773" s="2" t="s">
        <v>65126</v>
      </c>
      <c r="R6773" s="3" t="s">
        <v>66</v>
      </c>
      <c r="S6773" s="4">
        <v>1</v>
      </c>
      <c r="T6773" s="4">
        <v>2</v>
      </c>
      <c r="U6773" s="5" t="s">
        <v>48715</v>
      </c>
      <c r="V6773" s="5" t="s">
        <v>42646</v>
      </c>
      <c r="W6773" s="5" t="s">
        <v>67</v>
      </c>
      <c r="X6773" s="5" t="s">
        <v>67</v>
      </c>
      <c r="Y6773" s="4">
        <v>111</v>
      </c>
      <c r="Z6773" s="4">
        <v>4</v>
      </c>
      <c r="AA6773" s="4">
        <v>14</v>
      </c>
      <c r="AB6773" s="4">
        <v>1</v>
      </c>
      <c r="AC6773" s="4">
        <v>1</v>
      </c>
      <c r="AD6773" s="4">
        <v>45</v>
      </c>
      <c r="AE6773" s="4">
        <v>70</v>
      </c>
      <c r="AF6773" s="4">
        <v>0</v>
      </c>
      <c r="AG6773" s="4">
        <v>0</v>
      </c>
      <c r="AH6773" s="4">
        <v>42</v>
      </c>
      <c r="AI6773" s="4">
        <v>64</v>
      </c>
      <c r="AJ6773" s="4">
        <v>2</v>
      </c>
      <c r="AK6773" s="4">
        <v>10</v>
      </c>
      <c r="AL6773" s="4">
        <v>28</v>
      </c>
      <c r="AM6773" s="4">
        <v>38</v>
      </c>
      <c r="AN6773" s="4">
        <v>0</v>
      </c>
      <c r="AO6773" s="4">
        <v>0</v>
      </c>
      <c r="AP6773" s="4">
        <v>3</v>
      </c>
      <c r="AQ6773" s="4">
        <v>12</v>
      </c>
      <c r="AR6773" s="3" t="s">
        <v>62</v>
      </c>
      <c r="AS6773" s="3" t="s">
        <v>62</v>
      </c>
      <c r="AT6773" s="3" t="s">
        <v>61</v>
      </c>
      <c r="AU6773" s="6" t="str">
        <f>HYPERLINK("http://catalog.hathitrust.org/Record/005867223","HathiTrust Record")</f>
        <v>HathiTrust Record</v>
      </c>
      <c r="AV6773" s="6" t="str">
        <f>HYPERLINK("http://mcgill.on.worldcat.org/oclc/73503509","Catalog Record")</f>
        <v>Catalog Record</v>
      </c>
      <c r="AW6773" s="6" t="str">
        <f>HYPERLINK("http://www.worldcat.org/oclc/73503509","WorldCat Record")</f>
        <v>WorldCat Record</v>
      </c>
      <c r="AX6773" s="3" t="s">
        <v>65127</v>
      </c>
      <c r="AY6773" s="3" t="s">
        <v>65128</v>
      </c>
      <c r="AZ6773" s="3" t="s">
        <v>65129</v>
      </c>
      <c r="BA6773" s="3" t="s">
        <v>65129</v>
      </c>
      <c r="BB6773" s="3" t="s">
        <v>65130</v>
      </c>
      <c r="BC6773" s="3" t="s">
        <v>142</v>
      </c>
      <c r="BD6773" s="3" t="s">
        <v>68</v>
      </c>
      <c r="BE6773" s="3" t="s">
        <v>65131</v>
      </c>
      <c r="BF6773" s="3" t="s">
        <v>65130</v>
      </c>
      <c r="BG6773" s="3" t="s">
        <v>65132</v>
      </c>
    </row>
    <row r="6774" spans="1:59" ht="57" x14ac:dyDescent="0.45">
      <c r="A6774" s="2" t="s">
        <v>59</v>
      </c>
      <c r="B6774" s="2" t="s">
        <v>60</v>
      </c>
      <c r="C6774" s="2" t="s">
        <v>65122</v>
      </c>
      <c r="D6774" s="2" t="s">
        <v>65123</v>
      </c>
      <c r="E6774" s="2" t="s">
        <v>65124</v>
      </c>
      <c r="F6774" s="3" t="s">
        <v>87</v>
      </c>
      <c r="G6774" s="3" t="s">
        <v>61</v>
      </c>
      <c r="I6774" s="3" t="s">
        <v>62</v>
      </c>
      <c r="J6774" s="3" t="s">
        <v>62</v>
      </c>
      <c r="K6774" s="3" t="s">
        <v>63</v>
      </c>
      <c r="M6774" s="2" t="s">
        <v>65125</v>
      </c>
      <c r="N6774" s="3" t="s">
        <v>945</v>
      </c>
      <c r="P6774" s="3" t="s">
        <v>65</v>
      </c>
      <c r="Q6774" s="2" t="s">
        <v>65126</v>
      </c>
      <c r="R6774" s="3" t="s">
        <v>66</v>
      </c>
      <c r="S6774" s="4">
        <v>1</v>
      </c>
      <c r="T6774" s="4">
        <v>2</v>
      </c>
      <c r="U6774" s="5" t="s">
        <v>42646</v>
      </c>
      <c r="V6774" s="5" t="s">
        <v>42646</v>
      </c>
      <c r="W6774" s="5" t="s">
        <v>67</v>
      </c>
      <c r="X6774" s="5" t="s">
        <v>67</v>
      </c>
      <c r="Y6774" s="4">
        <v>111</v>
      </c>
      <c r="Z6774" s="4">
        <v>4</v>
      </c>
      <c r="AA6774" s="4">
        <v>14</v>
      </c>
      <c r="AB6774" s="4">
        <v>1</v>
      </c>
      <c r="AC6774" s="4">
        <v>1</v>
      </c>
      <c r="AD6774" s="4">
        <v>45</v>
      </c>
      <c r="AE6774" s="4">
        <v>70</v>
      </c>
      <c r="AF6774" s="4">
        <v>0</v>
      </c>
      <c r="AG6774" s="4">
        <v>0</v>
      </c>
      <c r="AH6774" s="4">
        <v>42</v>
      </c>
      <c r="AI6774" s="4">
        <v>64</v>
      </c>
      <c r="AJ6774" s="4">
        <v>2</v>
      </c>
      <c r="AK6774" s="4">
        <v>10</v>
      </c>
      <c r="AL6774" s="4">
        <v>28</v>
      </c>
      <c r="AM6774" s="4">
        <v>38</v>
      </c>
      <c r="AN6774" s="4">
        <v>0</v>
      </c>
      <c r="AO6774" s="4">
        <v>0</v>
      </c>
      <c r="AP6774" s="4">
        <v>3</v>
      </c>
      <c r="AQ6774" s="4">
        <v>12</v>
      </c>
      <c r="AR6774" s="3" t="s">
        <v>62</v>
      </c>
      <c r="AS6774" s="3" t="s">
        <v>62</v>
      </c>
      <c r="AT6774" s="3" t="s">
        <v>61</v>
      </c>
      <c r="AU6774" s="6" t="str">
        <f>HYPERLINK("http://catalog.hathitrust.org/Record/005867223","HathiTrust Record")</f>
        <v>HathiTrust Record</v>
      </c>
      <c r="AV6774" s="6" t="str">
        <f>HYPERLINK("http://mcgill.on.worldcat.org/oclc/73503509","Catalog Record")</f>
        <v>Catalog Record</v>
      </c>
      <c r="AW6774" s="6" t="str">
        <f>HYPERLINK("http://www.worldcat.org/oclc/73503509","WorldCat Record")</f>
        <v>WorldCat Record</v>
      </c>
      <c r="AX6774" s="3" t="s">
        <v>65127</v>
      </c>
      <c r="AY6774" s="3" t="s">
        <v>65128</v>
      </c>
      <c r="AZ6774" s="3" t="s">
        <v>65129</v>
      </c>
      <c r="BA6774" s="3" t="s">
        <v>65129</v>
      </c>
      <c r="BB6774" s="3" t="s">
        <v>65133</v>
      </c>
      <c r="BC6774" s="3" t="s">
        <v>142</v>
      </c>
      <c r="BD6774" s="3" t="s">
        <v>68</v>
      </c>
      <c r="BE6774" s="3" t="s">
        <v>65131</v>
      </c>
      <c r="BF6774" s="3" t="s">
        <v>65133</v>
      </c>
      <c r="BG6774" s="3" t="s">
        <v>65134</v>
      </c>
    </row>
    <row r="6775" spans="1:59" ht="57" x14ac:dyDescent="0.45">
      <c r="A6775" s="2" t="s">
        <v>59</v>
      </c>
      <c r="B6775" s="2" t="s">
        <v>60</v>
      </c>
      <c r="C6775" s="2" t="s">
        <v>65135</v>
      </c>
      <c r="D6775" s="2" t="s">
        <v>65136</v>
      </c>
      <c r="E6775" s="2" t="s">
        <v>65137</v>
      </c>
      <c r="G6775" s="3" t="s">
        <v>62</v>
      </c>
      <c r="I6775" s="3" t="s">
        <v>62</v>
      </c>
      <c r="J6775" s="3" t="s">
        <v>62</v>
      </c>
      <c r="K6775" s="3" t="s">
        <v>63</v>
      </c>
      <c r="L6775" s="2" t="s">
        <v>65138</v>
      </c>
      <c r="M6775" s="2" t="s">
        <v>65139</v>
      </c>
      <c r="N6775" s="3" t="s">
        <v>116</v>
      </c>
      <c r="O6775" s="2" t="s">
        <v>1748</v>
      </c>
      <c r="P6775" s="3" t="s">
        <v>65</v>
      </c>
      <c r="R6775" s="3" t="s">
        <v>66</v>
      </c>
      <c r="S6775" s="4">
        <v>3</v>
      </c>
      <c r="T6775" s="4">
        <v>3</v>
      </c>
      <c r="U6775" s="5" t="s">
        <v>13095</v>
      </c>
      <c r="V6775" s="5" t="s">
        <v>13095</v>
      </c>
      <c r="W6775" s="5" t="s">
        <v>67</v>
      </c>
      <c r="X6775" s="5" t="s">
        <v>67</v>
      </c>
      <c r="Y6775" s="4">
        <v>997</v>
      </c>
      <c r="Z6775" s="4">
        <v>32</v>
      </c>
      <c r="AA6775" s="4">
        <v>39</v>
      </c>
      <c r="AB6775" s="4">
        <v>3</v>
      </c>
      <c r="AC6775" s="4">
        <v>7</v>
      </c>
      <c r="AD6775" s="4">
        <v>76</v>
      </c>
      <c r="AE6775" s="4">
        <v>86</v>
      </c>
      <c r="AF6775" s="4">
        <v>0</v>
      </c>
      <c r="AG6775" s="4">
        <v>1</v>
      </c>
      <c r="AH6775" s="4">
        <v>70</v>
      </c>
      <c r="AI6775" s="4">
        <v>79</v>
      </c>
      <c r="AJ6775" s="4">
        <v>10</v>
      </c>
      <c r="AK6775" s="4">
        <v>13</v>
      </c>
      <c r="AL6775" s="4">
        <v>42</v>
      </c>
      <c r="AM6775" s="4">
        <v>46</v>
      </c>
      <c r="AN6775" s="4">
        <v>0</v>
      </c>
      <c r="AO6775" s="4">
        <v>0</v>
      </c>
      <c r="AP6775" s="4">
        <v>11</v>
      </c>
      <c r="AQ6775" s="4">
        <v>14</v>
      </c>
      <c r="AR6775" s="3" t="s">
        <v>62</v>
      </c>
      <c r="AS6775" s="3" t="s">
        <v>62</v>
      </c>
      <c r="AT6775" s="3" t="s">
        <v>62</v>
      </c>
      <c r="AV6775" s="6" t="str">
        <f>HYPERLINK("http://mcgill.on.worldcat.org/oclc/841944772","Catalog Record")</f>
        <v>Catalog Record</v>
      </c>
      <c r="AW6775" s="6" t="str">
        <f>HYPERLINK("http://www.worldcat.org/oclc/841944772","WorldCat Record")</f>
        <v>WorldCat Record</v>
      </c>
      <c r="AX6775" s="3" t="s">
        <v>65140</v>
      </c>
      <c r="AY6775" s="3" t="s">
        <v>65141</v>
      </c>
      <c r="AZ6775" s="3" t="s">
        <v>65142</v>
      </c>
      <c r="BA6775" s="3" t="s">
        <v>65142</v>
      </c>
      <c r="BB6775" s="3" t="s">
        <v>65143</v>
      </c>
      <c r="BC6775" s="3" t="s">
        <v>142</v>
      </c>
      <c r="BD6775" s="3" t="s">
        <v>68</v>
      </c>
      <c r="BE6775" s="3" t="s">
        <v>65144</v>
      </c>
      <c r="BF6775" s="3" t="s">
        <v>65143</v>
      </c>
      <c r="BG6775" s="3" t="s">
        <v>65145</v>
      </c>
    </row>
    <row r="6776" spans="1:59" ht="57" x14ac:dyDescent="0.45">
      <c r="A6776" s="2" t="s">
        <v>59</v>
      </c>
      <c r="B6776" s="2" t="s">
        <v>60</v>
      </c>
      <c r="C6776" s="2" t="s">
        <v>65146</v>
      </c>
      <c r="D6776" s="2" t="s">
        <v>65147</v>
      </c>
      <c r="E6776" s="2" t="s">
        <v>65148</v>
      </c>
      <c r="G6776" s="3" t="s">
        <v>62</v>
      </c>
      <c r="I6776" s="3" t="s">
        <v>62</v>
      </c>
      <c r="J6776" s="3" t="s">
        <v>62</v>
      </c>
      <c r="K6776" s="3" t="s">
        <v>63</v>
      </c>
      <c r="L6776" s="2" t="s">
        <v>65149</v>
      </c>
      <c r="M6776" s="2" t="s">
        <v>65150</v>
      </c>
      <c r="N6776" s="3" t="s">
        <v>480</v>
      </c>
      <c r="P6776" s="3" t="s">
        <v>65</v>
      </c>
      <c r="Q6776" s="2" t="s">
        <v>65151</v>
      </c>
      <c r="R6776" s="3" t="s">
        <v>66</v>
      </c>
      <c r="S6776" s="4">
        <v>3</v>
      </c>
      <c r="T6776" s="4">
        <v>3</v>
      </c>
      <c r="U6776" s="5" t="s">
        <v>7453</v>
      </c>
      <c r="V6776" s="5" t="s">
        <v>7453</v>
      </c>
      <c r="W6776" s="5" t="s">
        <v>67</v>
      </c>
      <c r="X6776" s="5" t="s">
        <v>67</v>
      </c>
      <c r="Y6776" s="4">
        <v>110</v>
      </c>
      <c r="Z6776" s="4">
        <v>13</v>
      </c>
      <c r="AA6776" s="4">
        <v>13</v>
      </c>
      <c r="AB6776" s="4">
        <v>1</v>
      </c>
      <c r="AC6776" s="4">
        <v>1</v>
      </c>
      <c r="AD6776" s="4">
        <v>50</v>
      </c>
      <c r="AE6776" s="4">
        <v>50</v>
      </c>
      <c r="AF6776" s="4">
        <v>0</v>
      </c>
      <c r="AG6776" s="4">
        <v>0</v>
      </c>
      <c r="AH6776" s="4">
        <v>46</v>
      </c>
      <c r="AI6776" s="4">
        <v>46</v>
      </c>
      <c r="AJ6776" s="4">
        <v>10</v>
      </c>
      <c r="AK6776" s="4">
        <v>10</v>
      </c>
      <c r="AL6776" s="4">
        <v>30</v>
      </c>
      <c r="AM6776" s="4">
        <v>30</v>
      </c>
      <c r="AN6776" s="4">
        <v>0</v>
      </c>
      <c r="AO6776" s="4">
        <v>0</v>
      </c>
      <c r="AP6776" s="4">
        <v>11</v>
      </c>
      <c r="AQ6776" s="4">
        <v>11</v>
      </c>
      <c r="AR6776" s="3" t="s">
        <v>62</v>
      </c>
      <c r="AS6776" s="3" t="s">
        <v>62</v>
      </c>
      <c r="AT6776" s="3" t="s">
        <v>62</v>
      </c>
      <c r="AV6776" s="6" t="str">
        <f>HYPERLINK("http://mcgill.on.worldcat.org/oclc/5807362","Catalog Record")</f>
        <v>Catalog Record</v>
      </c>
      <c r="AW6776" s="6" t="str">
        <f>HYPERLINK("http://www.worldcat.org/oclc/5807362","WorldCat Record")</f>
        <v>WorldCat Record</v>
      </c>
      <c r="AX6776" s="3" t="s">
        <v>65152</v>
      </c>
      <c r="AY6776" s="3" t="s">
        <v>65153</v>
      </c>
      <c r="AZ6776" s="3" t="s">
        <v>65154</v>
      </c>
      <c r="BA6776" s="3" t="s">
        <v>65154</v>
      </c>
      <c r="BB6776" s="3" t="s">
        <v>65155</v>
      </c>
      <c r="BC6776" s="3" t="s">
        <v>142</v>
      </c>
      <c r="BD6776" s="3" t="s">
        <v>68</v>
      </c>
      <c r="BE6776" s="3" t="s">
        <v>65156</v>
      </c>
      <c r="BF6776" s="3" t="s">
        <v>65155</v>
      </c>
      <c r="BG6776" s="3" t="s">
        <v>65157</v>
      </c>
    </row>
    <row r="6777" spans="1:59" ht="57" x14ac:dyDescent="0.45">
      <c r="A6777" s="2" t="s">
        <v>59</v>
      </c>
      <c r="B6777" s="2" t="s">
        <v>60</v>
      </c>
      <c r="C6777" s="2" t="s">
        <v>65158</v>
      </c>
      <c r="D6777" s="2" t="s">
        <v>65159</v>
      </c>
      <c r="E6777" s="2" t="s">
        <v>65160</v>
      </c>
      <c r="F6777" s="3" t="s">
        <v>87</v>
      </c>
      <c r="G6777" s="3" t="s">
        <v>61</v>
      </c>
      <c r="I6777" s="3" t="s">
        <v>62</v>
      </c>
      <c r="J6777" s="3" t="s">
        <v>62</v>
      </c>
      <c r="K6777" s="3" t="s">
        <v>63</v>
      </c>
      <c r="L6777" s="2" t="s">
        <v>65161</v>
      </c>
      <c r="M6777" s="2" t="s">
        <v>65162</v>
      </c>
      <c r="N6777" s="3" t="s">
        <v>208</v>
      </c>
      <c r="P6777" s="3" t="s">
        <v>65</v>
      </c>
      <c r="Q6777" s="2" t="s">
        <v>65163</v>
      </c>
      <c r="R6777" s="3" t="s">
        <v>66</v>
      </c>
      <c r="S6777" s="4">
        <v>0</v>
      </c>
      <c r="T6777" s="4">
        <v>0</v>
      </c>
      <c r="W6777" s="5" t="s">
        <v>67</v>
      </c>
      <c r="X6777" s="5" t="s">
        <v>67</v>
      </c>
      <c r="Y6777" s="4">
        <v>38</v>
      </c>
      <c r="Z6777" s="4">
        <v>4</v>
      </c>
      <c r="AA6777" s="4">
        <v>4</v>
      </c>
      <c r="AB6777" s="4">
        <v>1</v>
      </c>
      <c r="AC6777" s="4">
        <v>1</v>
      </c>
      <c r="AD6777" s="4">
        <v>22</v>
      </c>
      <c r="AE6777" s="4">
        <v>22</v>
      </c>
      <c r="AF6777" s="4">
        <v>0</v>
      </c>
      <c r="AG6777" s="4">
        <v>0</v>
      </c>
      <c r="AH6777" s="4">
        <v>21</v>
      </c>
      <c r="AI6777" s="4">
        <v>21</v>
      </c>
      <c r="AJ6777" s="4">
        <v>2</v>
      </c>
      <c r="AK6777" s="4">
        <v>2</v>
      </c>
      <c r="AL6777" s="4">
        <v>16</v>
      </c>
      <c r="AM6777" s="4">
        <v>16</v>
      </c>
      <c r="AN6777" s="4">
        <v>0</v>
      </c>
      <c r="AO6777" s="4">
        <v>0</v>
      </c>
      <c r="AP6777" s="4">
        <v>2</v>
      </c>
      <c r="AQ6777" s="4">
        <v>2</v>
      </c>
      <c r="AR6777" s="3" t="s">
        <v>62</v>
      </c>
      <c r="AS6777" s="3" t="s">
        <v>62</v>
      </c>
      <c r="AT6777" s="3" t="s">
        <v>62</v>
      </c>
      <c r="AV6777" s="6" t="str">
        <f>HYPERLINK("http://mcgill.on.worldcat.org/oclc/911041041","Catalog Record")</f>
        <v>Catalog Record</v>
      </c>
      <c r="AW6777" s="6" t="str">
        <f>HYPERLINK("http://www.worldcat.org/oclc/911041041","WorldCat Record")</f>
        <v>WorldCat Record</v>
      </c>
      <c r="AX6777" s="3" t="s">
        <v>65164</v>
      </c>
      <c r="AY6777" s="3" t="s">
        <v>65165</v>
      </c>
      <c r="AZ6777" s="3" t="s">
        <v>65166</v>
      </c>
      <c r="BA6777" s="3" t="s">
        <v>65166</v>
      </c>
      <c r="BB6777" s="3" t="s">
        <v>65167</v>
      </c>
      <c r="BC6777" s="3" t="s">
        <v>142</v>
      </c>
      <c r="BD6777" s="3" t="s">
        <v>68</v>
      </c>
      <c r="BE6777" s="3" t="s">
        <v>65168</v>
      </c>
      <c r="BF6777" s="3" t="s">
        <v>65167</v>
      </c>
      <c r="BG6777" s="3" t="s">
        <v>65169</v>
      </c>
    </row>
    <row r="6778" spans="1:59" ht="57" x14ac:dyDescent="0.45">
      <c r="A6778" s="2" t="s">
        <v>59</v>
      </c>
      <c r="B6778" s="2" t="s">
        <v>60</v>
      </c>
      <c r="C6778" s="2" t="s">
        <v>65158</v>
      </c>
      <c r="D6778" s="2" t="s">
        <v>65159</v>
      </c>
      <c r="E6778" s="2" t="s">
        <v>65160</v>
      </c>
      <c r="F6778" s="3" t="s">
        <v>90</v>
      </c>
      <c r="G6778" s="3" t="s">
        <v>61</v>
      </c>
      <c r="I6778" s="3" t="s">
        <v>62</v>
      </c>
      <c r="J6778" s="3" t="s">
        <v>62</v>
      </c>
      <c r="K6778" s="3" t="s">
        <v>63</v>
      </c>
      <c r="L6778" s="2" t="s">
        <v>65161</v>
      </c>
      <c r="M6778" s="2" t="s">
        <v>65162</v>
      </c>
      <c r="N6778" s="3" t="s">
        <v>208</v>
      </c>
      <c r="P6778" s="3" t="s">
        <v>65</v>
      </c>
      <c r="Q6778" s="2" t="s">
        <v>65163</v>
      </c>
      <c r="R6778" s="3" t="s">
        <v>66</v>
      </c>
      <c r="S6778" s="4">
        <v>0</v>
      </c>
      <c r="T6778" s="4">
        <v>0</v>
      </c>
      <c r="W6778" s="5" t="s">
        <v>67</v>
      </c>
      <c r="X6778" s="5" t="s">
        <v>67</v>
      </c>
      <c r="Y6778" s="4">
        <v>38</v>
      </c>
      <c r="Z6778" s="4">
        <v>4</v>
      </c>
      <c r="AA6778" s="4">
        <v>4</v>
      </c>
      <c r="AB6778" s="4">
        <v>1</v>
      </c>
      <c r="AC6778" s="4">
        <v>1</v>
      </c>
      <c r="AD6778" s="4">
        <v>22</v>
      </c>
      <c r="AE6778" s="4">
        <v>22</v>
      </c>
      <c r="AF6778" s="4">
        <v>0</v>
      </c>
      <c r="AG6778" s="4">
        <v>0</v>
      </c>
      <c r="AH6778" s="4">
        <v>21</v>
      </c>
      <c r="AI6778" s="4">
        <v>21</v>
      </c>
      <c r="AJ6778" s="4">
        <v>2</v>
      </c>
      <c r="AK6778" s="4">
        <v>2</v>
      </c>
      <c r="AL6778" s="4">
        <v>16</v>
      </c>
      <c r="AM6778" s="4">
        <v>16</v>
      </c>
      <c r="AN6778" s="4">
        <v>0</v>
      </c>
      <c r="AO6778" s="4">
        <v>0</v>
      </c>
      <c r="AP6778" s="4">
        <v>2</v>
      </c>
      <c r="AQ6778" s="4">
        <v>2</v>
      </c>
      <c r="AR6778" s="3" t="s">
        <v>62</v>
      </c>
      <c r="AS6778" s="3" t="s">
        <v>62</v>
      </c>
      <c r="AT6778" s="3" t="s">
        <v>62</v>
      </c>
      <c r="AV6778" s="6" t="str">
        <f>HYPERLINK("http://mcgill.on.worldcat.org/oclc/911041041","Catalog Record")</f>
        <v>Catalog Record</v>
      </c>
      <c r="AW6778" s="6" t="str">
        <f>HYPERLINK("http://www.worldcat.org/oclc/911041041","WorldCat Record")</f>
        <v>WorldCat Record</v>
      </c>
      <c r="AX6778" s="3" t="s">
        <v>65164</v>
      </c>
      <c r="AY6778" s="3" t="s">
        <v>65165</v>
      </c>
      <c r="AZ6778" s="3" t="s">
        <v>65166</v>
      </c>
      <c r="BA6778" s="3" t="s">
        <v>65166</v>
      </c>
      <c r="BB6778" s="3" t="s">
        <v>65170</v>
      </c>
      <c r="BC6778" s="3" t="s">
        <v>142</v>
      </c>
      <c r="BD6778" s="3" t="s">
        <v>68</v>
      </c>
      <c r="BE6778" s="3" t="s">
        <v>65168</v>
      </c>
      <c r="BF6778" s="3" t="s">
        <v>65170</v>
      </c>
      <c r="BG6778" s="3" t="s">
        <v>65171</v>
      </c>
    </row>
    <row r="6779" spans="1:59" ht="57" x14ac:dyDescent="0.45">
      <c r="A6779" s="2" t="s">
        <v>59</v>
      </c>
      <c r="B6779" s="2" t="s">
        <v>60</v>
      </c>
      <c r="C6779" s="2" t="s">
        <v>65158</v>
      </c>
      <c r="D6779" s="2" t="s">
        <v>65159</v>
      </c>
      <c r="E6779" s="2" t="s">
        <v>65160</v>
      </c>
      <c r="F6779" s="3" t="s">
        <v>86</v>
      </c>
      <c r="G6779" s="3" t="s">
        <v>61</v>
      </c>
      <c r="I6779" s="3" t="s">
        <v>62</v>
      </c>
      <c r="J6779" s="3" t="s">
        <v>62</v>
      </c>
      <c r="K6779" s="3" t="s">
        <v>63</v>
      </c>
      <c r="L6779" s="2" t="s">
        <v>65161</v>
      </c>
      <c r="M6779" s="2" t="s">
        <v>65162</v>
      </c>
      <c r="N6779" s="3" t="s">
        <v>208</v>
      </c>
      <c r="P6779" s="3" t="s">
        <v>65</v>
      </c>
      <c r="Q6779" s="2" t="s">
        <v>65163</v>
      </c>
      <c r="R6779" s="3" t="s">
        <v>66</v>
      </c>
      <c r="S6779" s="4">
        <v>0</v>
      </c>
      <c r="T6779" s="4">
        <v>0</v>
      </c>
      <c r="W6779" s="5" t="s">
        <v>67</v>
      </c>
      <c r="X6779" s="5" t="s">
        <v>67</v>
      </c>
      <c r="Y6779" s="4">
        <v>38</v>
      </c>
      <c r="Z6779" s="4">
        <v>4</v>
      </c>
      <c r="AA6779" s="4">
        <v>4</v>
      </c>
      <c r="AB6779" s="4">
        <v>1</v>
      </c>
      <c r="AC6779" s="4">
        <v>1</v>
      </c>
      <c r="AD6779" s="4">
        <v>22</v>
      </c>
      <c r="AE6779" s="4">
        <v>22</v>
      </c>
      <c r="AF6779" s="4">
        <v>0</v>
      </c>
      <c r="AG6779" s="4">
        <v>0</v>
      </c>
      <c r="AH6779" s="4">
        <v>21</v>
      </c>
      <c r="AI6779" s="4">
        <v>21</v>
      </c>
      <c r="AJ6779" s="4">
        <v>2</v>
      </c>
      <c r="AK6779" s="4">
        <v>2</v>
      </c>
      <c r="AL6779" s="4">
        <v>16</v>
      </c>
      <c r="AM6779" s="4">
        <v>16</v>
      </c>
      <c r="AN6779" s="4">
        <v>0</v>
      </c>
      <c r="AO6779" s="4">
        <v>0</v>
      </c>
      <c r="AP6779" s="4">
        <v>2</v>
      </c>
      <c r="AQ6779" s="4">
        <v>2</v>
      </c>
      <c r="AR6779" s="3" t="s">
        <v>62</v>
      </c>
      <c r="AS6779" s="3" t="s">
        <v>62</v>
      </c>
      <c r="AT6779" s="3" t="s">
        <v>62</v>
      </c>
      <c r="AV6779" s="6" t="str">
        <f>HYPERLINK("http://mcgill.on.worldcat.org/oclc/911041041","Catalog Record")</f>
        <v>Catalog Record</v>
      </c>
      <c r="AW6779" s="6" t="str">
        <f>HYPERLINK("http://www.worldcat.org/oclc/911041041","WorldCat Record")</f>
        <v>WorldCat Record</v>
      </c>
      <c r="AX6779" s="3" t="s">
        <v>65164</v>
      </c>
      <c r="AY6779" s="3" t="s">
        <v>65165</v>
      </c>
      <c r="AZ6779" s="3" t="s">
        <v>65166</v>
      </c>
      <c r="BA6779" s="3" t="s">
        <v>65166</v>
      </c>
      <c r="BB6779" s="3" t="s">
        <v>65172</v>
      </c>
      <c r="BC6779" s="3" t="s">
        <v>142</v>
      </c>
      <c r="BD6779" s="3" t="s">
        <v>68</v>
      </c>
      <c r="BE6779" s="3" t="s">
        <v>65168</v>
      </c>
      <c r="BF6779" s="3" t="s">
        <v>65172</v>
      </c>
      <c r="BG6779" s="3" t="s">
        <v>65173</v>
      </c>
    </row>
    <row r="6780" spans="1:59" ht="85.5" x14ac:dyDescent="0.45">
      <c r="A6780" s="2" t="s">
        <v>59</v>
      </c>
      <c r="B6780" s="2" t="s">
        <v>60</v>
      </c>
      <c r="C6780" s="2" t="s">
        <v>65174</v>
      </c>
      <c r="D6780" s="2" t="s">
        <v>65175</v>
      </c>
      <c r="E6780" s="2" t="s">
        <v>65176</v>
      </c>
      <c r="G6780" s="3" t="s">
        <v>62</v>
      </c>
      <c r="I6780" s="3" t="s">
        <v>62</v>
      </c>
      <c r="J6780" s="3" t="s">
        <v>62</v>
      </c>
      <c r="K6780" s="3" t="s">
        <v>63</v>
      </c>
      <c r="L6780" s="2" t="s">
        <v>65177</v>
      </c>
      <c r="M6780" s="2" t="s">
        <v>65178</v>
      </c>
      <c r="N6780" s="3" t="s">
        <v>529</v>
      </c>
      <c r="P6780" s="3" t="s">
        <v>65</v>
      </c>
      <c r="Q6780" s="2" t="s">
        <v>65179</v>
      </c>
      <c r="R6780" s="3" t="s">
        <v>66</v>
      </c>
      <c r="S6780" s="4">
        <v>20</v>
      </c>
      <c r="T6780" s="4">
        <v>20</v>
      </c>
      <c r="U6780" s="5" t="s">
        <v>22727</v>
      </c>
      <c r="V6780" s="5" t="s">
        <v>22727</v>
      </c>
      <c r="W6780" s="5" t="s">
        <v>67</v>
      </c>
      <c r="X6780" s="5" t="s">
        <v>67</v>
      </c>
      <c r="Y6780" s="4">
        <v>69</v>
      </c>
      <c r="Z6780" s="4">
        <v>5</v>
      </c>
      <c r="AA6780" s="4">
        <v>5</v>
      </c>
      <c r="AB6780" s="4">
        <v>1</v>
      </c>
      <c r="AC6780" s="4">
        <v>1</v>
      </c>
      <c r="AD6780" s="4">
        <v>42</v>
      </c>
      <c r="AE6780" s="4">
        <v>42</v>
      </c>
      <c r="AF6780" s="4">
        <v>0</v>
      </c>
      <c r="AG6780" s="4">
        <v>0</v>
      </c>
      <c r="AH6780" s="4">
        <v>39</v>
      </c>
      <c r="AI6780" s="4">
        <v>39</v>
      </c>
      <c r="AJ6780" s="4">
        <v>3</v>
      </c>
      <c r="AK6780" s="4">
        <v>3</v>
      </c>
      <c r="AL6780" s="4">
        <v>29</v>
      </c>
      <c r="AM6780" s="4">
        <v>29</v>
      </c>
      <c r="AN6780" s="4">
        <v>0</v>
      </c>
      <c r="AO6780" s="4">
        <v>0</v>
      </c>
      <c r="AP6780" s="4">
        <v>4</v>
      </c>
      <c r="AQ6780" s="4">
        <v>4</v>
      </c>
      <c r="AR6780" s="3" t="s">
        <v>62</v>
      </c>
      <c r="AS6780" s="3" t="s">
        <v>62</v>
      </c>
      <c r="AT6780" s="3" t="s">
        <v>62</v>
      </c>
      <c r="AV6780" s="6" t="str">
        <f>HYPERLINK("http://mcgill.on.worldcat.org/oclc/17105181","Catalog Record")</f>
        <v>Catalog Record</v>
      </c>
      <c r="AW6780" s="6" t="str">
        <f>HYPERLINK("http://www.worldcat.org/oclc/17105181","WorldCat Record")</f>
        <v>WorldCat Record</v>
      </c>
      <c r="AX6780" s="3" t="s">
        <v>65180</v>
      </c>
      <c r="AY6780" s="3" t="s">
        <v>65181</v>
      </c>
      <c r="AZ6780" s="3" t="s">
        <v>65182</v>
      </c>
      <c r="BA6780" s="3" t="s">
        <v>65182</v>
      </c>
      <c r="BB6780" s="3" t="s">
        <v>65183</v>
      </c>
      <c r="BC6780" s="3" t="s">
        <v>142</v>
      </c>
      <c r="BD6780" s="3" t="s">
        <v>68</v>
      </c>
      <c r="BE6780" s="3" t="s">
        <v>65184</v>
      </c>
      <c r="BF6780" s="3" t="s">
        <v>65183</v>
      </c>
      <c r="BG6780" s="3" t="s">
        <v>65185</v>
      </c>
    </row>
    <row r="6781" spans="1:59" ht="57" x14ac:dyDescent="0.45">
      <c r="A6781" s="2" t="s">
        <v>59</v>
      </c>
      <c r="B6781" s="2" t="s">
        <v>60</v>
      </c>
      <c r="C6781" s="2" t="s">
        <v>65186</v>
      </c>
      <c r="D6781" s="2" t="s">
        <v>65187</v>
      </c>
      <c r="E6781" s="2" t="s">
        <v>65188</v>
      </c>
      <c r="F6781" s="3" t="s">
        <v>90</v>
      </c>
      <c r="G6781" s="3" t="s">
        <v>61</v>
      </c>
      <c r="I6781" s="3" t="s">
        <v>62</v>
      </c>
      <c r="J6781" s="3" t="s">
        <v>62</v>
      </c>
      <c r="K6781" s="3" t="s">
        <v>63</v>
      </c>
      <c r="L6781" s="2" t="s">
        <v>65189</v>
      </c>
      <c r="M6781" s="2" t="s">
        <v>65190</v>
      </c>
      <c r="N6781" s="3" t="s">
        <v>1155</v>
      </c>
      <c r="P6781" s="3" t="s">
        <v>65</v>
      </c>
      <c r="Q6781" s="2" t="s">
        <v>65191</v>
      </c>
      <c r="R6781" s="3" t="s">
        <v>66</v>
      </c>
      <c r="S6781" s="4">
        <v>0</v>
      </c>
      <c r="T6781" s="4">
        <v>1</v>
      </c>
      <c r="V6781" s="5" t="s">
        <v>65192</v>
      </c>
      <c r="W6781" s="5" t="s">
        <v>67</v>
      </c>
      <c r="X6781" s="5" t="s">
        <v>67</v>
      </c>
      <c r="Y6781" s="4">
        <v>93</v>
      </c>
      <c r="Z6781" s="4">
        <v>10</v>
      </c>
      <c r="AA6781" s="4">
        <v>11</v>
      </c>
      <c r="AB6781" s="4">
        <v>1</v>
      </c>
      <c r="AC6781" s="4">
        <v>2</v>
      </c>
      <c r="AD6781" s="4">
        <v>48</v>
      </c>
      <c r="AE6781" s="4">
        <v>49</v>
      </c>
      <c r="AF6781" s="4">
        <v>0</v>
      </c>
      <c r="AG6781" s="4">
        <v>1</v>
      </c>
      <c r="AH6781" s="4">
        <v>47</v>
      </c>
      <c r="AI6781" s="4">
        <v>48</v>
      </c>
      <c r="AJ6781" s="4">
        <v>8</v>
      </c>
      <c r="AK6781" s="4">
        <v>9</v>
      </c>
      <c r="AL6781" s="4">
        <v>28</v>
      </c>
      <c r="AM6781" s="4">
        <v>28</v>
      </c>
      <c r="AN6781" s="4">
        <v>0</v>
      </c>
      <c r="AO6781" s="4">
        <v>0</v>
      </c>
      <c r="AP6781" s="4">
        <v>8</v>
      </c>
      <c r="AQ6781" s="4">
        <v>9</v>
      </c>
      <c r="AR6781" s="3" t="s">
        <v>62</v>
      </c>
      <c r="AS6781" s="3" t="s">
        <v>62</v>
      </c>
      <c r="AT6781" s="3" t="s">
        <v>62</v>
      </c>
      <c r="AV6781" s="6" t="str">
        <f>HYPERLINK("http://mcgill.on.worldcat.org/oclc/780968797","Catalog Record")</f>
        <v>Catalog Record</v>
      </c>
      <c r="AW6781" s="6" t="str">
        <f>HYPERLINK("http://www.worldcat.org/oclc/780968797","WorldCat Record")</f>
        <v>WorldCat Record</v>
      </c>
      <c r="AX6781" s="3" t="s">
        <v>65193</v>
      </c>
      <c r="AY6781" s="3" t="s">
        <v>65194</v>
      </c>
      <c r="AZ6781" s="3" t="s">
        <v>65195</v>
      </c>
      <c r="BA6781" s="3" t="s">
        <v>65195</v>
      </c>
      <c r="BB6781" s="3" t="s">
        <v>65196</v>
      </c>
      <c r="BC6781" s="3" t="s">
        <v>142</v>
      </c>
      <c r="BD6781" s="3" t="s">
        <v>68</v>
      </c>
      <c r="BE6781" s="3" t="s">
        <v>65197</v>
      </c>
      <c r="BF6781" s="3" t="s">
        <v>65196</v>
      </c>
      <c r="BG6781" s="3" t="s">
        <v>65198</v>
      </c>
    </row>
    <row r="6782" spans="1:59" ht="57" x14ac:dyDescent="0.45">
      <c r="A6782" s="2" t="s">
        <v>59</v>
      </c>
      <c r="B6782" s="2" t="s">
        <v>60</v>
      </c>
      <c r="C6782" s="2" t="s">
        <v>65186</v>
      </c>
      <c r="D6782" s="2" t="s">
        <v>65187</v>
      </c>
      <c r="E6782" s="2" t="s">
        <v>65188</v>
      </c>
      <c r="F6782" s="3" t="s">
        <v>87</v>
      </c>
      <c r="G6782" s="3" t="s">
        <v>61</v>
      </c>
      <c r="I6782" s="3" t="s">
        <v>62</v>
      </c>
      <c r="J6782" s="3" t="s">
        <v>62</v>
      </c>
      <c r="K6782" s="3" t="s">
        <v>63</v>
      </c>
      <c r="L6782" s="2" t="s">
        <v>65189</v>
      </c>
      <c r="M6782" s="2" t="s">
        <v>65190</v>
      </c>
      <c r="N6782" s="3" t="s">
        <v>1155</v>
      </c>
      <c r="P6782" s="3" t="s">
        <v>65</v>
      </c>
      <c r="Q6782" s="2" t="s">
        <v>65191</v>
      </c>
      <c r="R6782" s="3" t="s">
        <v>66</v>
      </c>
      <c r="S6782" s="4">
        <v>1</v>
      </c>
      <c r="T6782" s="4">
        <v>1</v>
      </c>
      <c r="U6782" s="5" t="s">
        <v>65192</v>
      </c>
      <c r="V6782" s="5" t="s">
        <v>65192</v>
      </c>
      <c r="W6782" s="5" t="s">
        <v>67</v>
      </c>
      <c r="X6782" s="5" t="s">
        <v>67</v>
      </c>
      <c r="Y6782" s="4">
        <v>93</v>
      </c>
      <c r="Z6782" s="4">
        <v>10</v>
      </c>
      <c r="AA6782" s="4">
        <v>11</v>
      </c>
      <c r="AB6782" s="4">
        <v>1</v>
      </c>
      <c r="AC6782" s="4">
        <v>2</v>
      </c>
      <c r="AD6782" s="4">
        <v>48</v>
      </c>
      <c r="AE6782" s="4">
        <v>49</v>
      </c>
      <c r="AF6782" s="4">
        <v>0</v>
      </c>
      <c r="AG6782" s="4">
        <v>1</v>
      </c>
      <c r="AH6782" s="4">
        <v>47</v>
      </c>
      <c r="AI6782" s="4">
        <v>48</v>
      </c>
      <c r="AJ6782" s="4">
        <v>8</v>
      </c>
      <c r="AK6782" s="4">
        <v>9</v>
      </c>
      <c r="AL6782" s="4">
        <v>28</v>
      </c>
      <c r="AM6782" s="4">
        <v>28</v>
      </c>
      <c r="AN6782" s="4">
        <v>0</v>
      </c>
      <c r="AO6782" s="4">
        <v>0</v>
      </c>
      <c r="AP6782" s="4">
        <v>8</v>
      </c>
      <c r="AQ6782" s="4">
        <v>9</v>
      </c>
      <c r="AR6782" s="3" t="s">
        <v>62</v>
      </c>
      <c r="AS6782" s="3" t="s">
        <v>62</v>
      </c>
      <c r="AT6782" s="3" t="s">
        <v>62</v>
      </c>
      <c r="AV6782" s="6" t="str">
        <f>HYPERLINK("http://mcgill.on.worldcat.org/oclc/780968797","Catalog Record")</f>
        <v>Catalog Record</v>
      </c>
      <c r="AW6782" s="6" t="str">
        <f>HYPERLINK("http://www.worldcat.org/oclc/780968797","WorldCat Record")</f>
        <v>WorldCat Record</v>
      </c>
      <c r="AX6782" s="3" t="s">
        <v>65193</v>
      </c>
      <c r="AY6782" s="3" t="s">
        <v>65194</v>
      </c>
      <c r="AZ6782" s="3" t="s">
        <v>65195</v>
      </c>
      <c r="BA6782" s="3" t="s">
        <v>65195</v>
      </c>
      <c r="BB6782" s="3" t="s">
        <v>65199</v>
      </c>
      <c r="BC6782" s="3" t="s">
        <v>142</v>
      </c>
      <c r="BD6782" s="3" t="s">
        <v>68</v>
      </c>
      <c r="BE6782" s="3" t="s">
        <v>65197</v>
      </c>
      <c r="BF6782" s="3" t="s">
        <v>65199</v>
      </c>
      <c r="BG6782" s="3" t="s">
        <v>65200</v>
      </c>
    </row>
    <row r="6783" spans="1:59" ht="57" x14ac:dyDescent="0.45">
      <c r="A6783" s="2" t="s">
        <v>59</v>
      </c>
      <c r="B6783" s="2" t="s">
        <v>60</v>
      </c>
      <c r="C6783" s="2" t="s">
        <v>65201</v>
      </c>
      <c r="D6783" s="2" t="s">
        <v>65202</v>
      </c>
      <c r="E6783" s="2" t="s">
        <v>65203</v>
      </c>
      <c r="G6783" s="3" t="s">
        <v>62</v>
      </c>
      <c r="I6783" s="3" t="s">
        <v>62</v>
      </c>
      <c r="J6783" s="3" t="s">
        <v>62</v>
      </c>
      <c r="K6783" s="3" t="s">
        <v>63</v>
      </c>
      <c r="L6783" s="2" t="s">
        <v>65204</v>
      </c>
      <c r="M6783" s="2" t="s">
        <v>65205</v>
      </c>
      <c r="N6783" s="3" t="s">
        <v>970</v>
      </c>
      <c r="O6783" s="2" t="s">
        <v>933</v>
      </c>
      <c r="P6783" s="3" t="s">
        <v>65</v>
      </c>
      <c r="R6783" s="3" t="s">
        <v>66</v>
      </c>
      <c r="S6783" s="4">
        <v>2</v>
      </c>
      <c r="T6783" s="4">
        <v>2</v>
      </c>
      <c r="U6783" s="5" t="s">
        <v>24972</v>
      </c>
      <c r="V6783" s="5" t="s">
        <v>24972</v>
      </c>
      <c r="W6783" s="5" t="s">
        <v>67</v>
      </c>
      <c r="X6783" s="5" t="s">
        <v>67</v>
      </c>
      <c r="Y6783" s="4">
        <v>171</v>
      </c>
      <c r="Z6783" s="4">
        <v>13</v>
      </c>
      <c r="AA6783" s="4">
        <v>35</v>
      </c>
      <c r="AB6783" s="4">
        <v>1</v>
      </c>
      <c r="AC6783" s="4">
        <v>3</v>
      </c>
      <c r="AD6783" s="4">
        <v>74</v>
      </c>
      <c r="AE6783" s="4">
        <v>129</v>
      </c>
      <c r="AF6783" s="4">
        <v>0</v>
      </c>
      <c r="AG6783" s="4">
        <v>2</v>
      </c>
      <c r="AH6783" s="4">
        <v>68</v>
      </c>
      <c r="AI6783" s="4">
        <v>112</v>
      </c>
      <c r="AJ6783" s="4">
        <v>8</v>
      </c>
      <c r="AK6783" s="4">
        <v>20</v>
      </c>
      <c r="AL6783" s="4">
        <v>40</v>
      </c>
      <c r="AM6783" s="4">
        <v>59</v>
      </c>
      <c r="AN6783" s="4">
        <v>0</v>
      </c>
      <c r="AO6783" s="4">
        <v>0</v>
      </c>
      <c r="AP6783" s="4">
        <v>10</v>
      </c>
      <c r="AQ6783" s="4">
        <v>26</v>
      </c>
      <c r="AR6783" s="3" t="s">
        <v>62</v>
      </c>
      <c r="AS6783" s="3" t="s">
        <v>62</v>
      </c>
      <c r="AT6783" s="3" t="s">
        <v>61</v>
      </c>
      <c r="AU6783" s="6" t="str">
        <f>HYPERLINK("http://catalog.hathitrust.org/Record/004346789","HathiTrust Record")</f>
        <v>HathiTrust Record</v>
      </c>
      <c r="AV6783" s="6" t="str">
        <f>HYPERLINK("http://mcgill.on.worldcat.org/oclc/50072597","Catalog Record")</f>
        <v>Catalog Record</v>
      </c>
      <c r="AW6783" s="6" t="str">
        <f>HYPERLINK("http://www.worldcat.org/oclc/50072597","WorldCat Record")</f>
        <v>WorldCat Record</v>
      </c>
      <c r="AX6783" s="3" t="s">
        <v>65206</v>
      </c>
      <c r="AY6783" s="3" t="s">
        <v>65207</v>
      </c>
      <c r="AZ6783" s="3" t="s">
        <v>65208</v>
      </c>
      <c r="BA6783" s="3" t="s">
        <v>65208</v>
      </c>
      <c r="BB6783" s="3" t="s">
        <v>65209</v>
      </c>
      <c r="BC6783" s="3" t="s">
        <v>142</v>
      </c>
      <c r="BD6783" s="3" t="s">
        <v>68</v>
      </c>
      <c r="BE6783" s="3" t="s">
        <v>65210</v>
      </c>
      <c r="BF6783" s="3" t="s">
        <v>65209</v>
      </c>
      <c r="BG6783" s="3" t="s">
        <v>65211</v>
      </c>
    </row>
    <row r="6784" spans="1:59" ht="57" x14ac:dyDescent="0.45">
      <c r="A6784" s="2" t="s">
        <v>59</v>
      </c>
      <c r="B6784" s="2" t="s">
        <v>60</v>
      </c>
      <c r="C6784" s="2" t="s">
        <v>65212</v>
      </c>
      <c r="D6784" s="2" t="s">
        <v>65213</v>
      </c>
      <c r="E6784" s="2" t="s">
        <v>65214</v>
      </c>
      <c r="G6784" s="3" t="s">
        <v>62</v>
      </c>
      <c r="I6784" s="3" t="s">
        <v>62</v>
      </c>
      <c r="J6784" s="3" t="s">
        <v>62</v>
      </c>
      <c r="K6784" s="3" t="s">
        <v>63</v>
      </c>
      <c r="L6784" s="2" t="s">
        <v>65215</v>
      </c>
      <c r="M6784" s="2" t="s">
        <v>65216</v>
      </c>
      <c r="N6784" s="3" t="s">
        <v>970</v>
      </c>
      <c r="P6784" s="3" t="s">
        <v>182</v>
      </c>
      <c r="Q6784" s="2" t="s">
        <v>65217</v>
      </c>
      <c r="R6784" s="3" t="s">
        <v>66</v>
      </c>
      <c r="S6784" s="4">
        <v>14</v>
      </c>
      <c r="T6784" s="4">
        <v>14</v>
      </c>
      <c r="U6784" s="5" t="s">
        <v>3268</v>
      </c>
      <c r="V6784" s="5" t="s">
        <v>3268</v>
      </c>
      <c r="W6784" s="5" t="s">
        <v>67</v>
      </c>
      <c r="X6784" s="5" t="s">
        <v>67</v>
      </c>
      <c r="Y6784" s="4">
        <v>46</v>
      </c>
      <c r="Z6784" s="4">
        <v>4</v>
      </c>
      <c r="AA6784" s="4">
        <v>4</v>
      </c>
      <c r="AB6784" s="4">
        <v>1</v>
      </c>
      <c r="AC6784" s="4">
        <v>1</v>
      </c>
      <c r="AD6784" s="4">
        <v>25</v>
      </c>
      <c r="AE6784" s="4">
        <v>25</v>
      </c>
      <c r="AF6784" s="4">
        <v>0</v>
      </c>
      <c r="AG6784" s="4">
        <v>0</v>
      </c>
      <c r="AH6784" s="4">
        <v>24</v>
      </c>
      <c r="AI6784" s="4">
        <v>24</v>
      </c>
      <c r="AJ6784" s="4">
        <v>2</v>
      </c>
      <c r="AK6784" s="4">
        <v>2</v>
      </c>
      <c r="AL6784" s="4">
        <v>18</v>
      </c>
      <c r="AM6784" s="4">
        <v>18</v>
      </c>
      <c r="AN6784" s="4">
        <v>0</v>
      </c>
      <c r="AO6784" s="4">
        <v>0</v>
      </c>
      <c r="AP6784" s="4">
        <v>2</v>
      </c>
      <c r="AQ6784" s="4">
        <v>2</v>
      </c>
      <c r="AR6784" s="3" t="s">
        <v>62</v>
      </c>
      <c r="AS6784" s="3" t="s">
        <v>62</v>
      </c>
      <c r="AT6784" s="3" t="s">
        <v>62</v>
      </c>
      <c r="AV6784" s="6" t="str">
        <f>HYPERLINK("http://mcgill.on.worldcat.org/oclc/50927931","Catalog Record")</f>
        <v>Catalog Record</v>
      </c>
      <c r="AW6784" s="6" t="str">
        <f>HYPERLINK("http://www.worldcat.org/oclc/50927931","WorldCat Record")</f>
        <v>WorldCat Record</v>
      </c>
      <c r="AX6784" s="3" t="s">
        <v>65218</v>
      </c>
      <c r="AY6784" s="3" t="s">
        <v>65219</v>
      </c>
      <c r="AZ6784" s="3" t="s">
        <v>65220</v>
      </c>
      <c r="BA6784" s="3" t="s">
        <v>65220</v>
      </c>
      <c r="BB6784" s="3" t="s">
        <v>65221</v>
      </c>
      <c r="BC6784" s="3" t="s">
        <v>142</v>
      </c>
      <c r="BD6784" s="3" t="s">
        <v>68</v>
      </c>
      <c r="BE6784" s="3" t="s">
        <v>65222</v>
      </c>
      <c r="BF6784" s="3" t="s">
        <v>65221</v>
      </c>
      <c r="BG6784" s="3" t="s">
        <v>65223</v>
      </c>
    </row>
    <row r="6785" spans="1:59" ht="57" x14ac:dyDescent="0.45">
      <c r="A6785" s="2" t="s">
        <v>59</v>
      </c>
      <c r="B6785" s="2" t="s">
        <v>60</v>
      </c>
      <c r="C6785" s="2" t="s">
        <v>65224</v>
      </c>
      <c r="D6785" s="2" t="s">
        <v>65225</v>
      </c>
      <c r="E6785" s="2" t="s">
        <v>65226</v>
      </c>
      <c r="G6785" s="3" t="s">
        <v>62</v>
      </c>
      <c r="I6785" s="3" t="s">
        <v>61</v>
      </c>
      <c r="J6785" s="3" t="s">
        <v>62</v>
      </c>
      <c r="K6785" s="3" t="s">
        <v>63</v>
      </c>
      <c r="L6785" s="2" t="s">
        <v>65227</v>
      </c>
      <c r="M6785" s="2" t="s">
        <v>65228</v>
      </c>
      <c r="N6785" s="3" t="s">
        <v>2417</v>
      </c>
      <c r="P6785" s="3" t="s">
        <v>182</v>
      </c>
      <c r="Q6785" s="2" t="s">
        <v>65229</v>
      </c>
      <c r="R6785" s="3" t="s">
        <v>66</v>
      </c>
      <c r="S6785" s="4">
        <v>0</v>
      </c>
      <c r="T6785" s="4">
        <v>1</v>
      </c>
      <c r="V6785" s="5" t="s">
        <v>3268</v>
      </c>
      <c r="W6785" s="5" t="s">
        <v>67</v>
      </c>
      <c r="X6785" s="5" t="s">
        <v>67</v>
      </c>
      <c r="Y6785" s="4">
        <v>77</v>
      </c>
      <c r="Z6785" s="4">
        <v>4</v>
      </c>
      <c r="AA6785" s="4">
        <v>4</v>
      </c>
      <c r="AB6785" s="4">
        <v>1</v>
      </c>
      <c r="AC6785" s="4">
        <v>1</v>
      </c>
      <c r="AD6785" s="4">
        <v>38</v>
      </c>
      <c r="AE6785" s="4">
        <v>38</v>
      </c>
      <c r="AF6785" s="4">
        <v>0</v>
      </c>
      <c r="AG6785" s="4">
        <v>0</v>
      </c>
      <c r="AH6785" s="4">
        <v>37</v>
      </c>
      <c r="AI6785" s="4">
        <v>37</v>
      </c>
      <c r="AJ6785" s="4">
        <v>2</v>
      </c>
      <c r="AK6785" s="4">
        <v>2</v>
      </c>
      <c r="AL6785" s="4">
        <v>25</v>
      </c>
      <c r="AM6785" s="4">
        <v>25</v>
      </c>
      <c r="AN6785" s="4">
        <v>0</v>
      </c>
      <c r="AO6785" s="4">
        <v>0</v>
      </c>
      <c r="AP6785" s="4">
        <v>2</v>
      </c>
      <c r="AQ6785" s="4">
        <v>2</v>
      </c>
      <c r="AR6785" s="3" t="s">
        <v>62</v>
      </c>
      <c r="AS6785" s="3" t="s">
        <v>62</v>
      </c>
      <c r="AT6785" s="3" t="s">
        <v>61</v>
      </c>
      <c r="AU6785" s="6" t="str">
        <f>HYPERLINK("http://catalog.hathitrust.org/Record/001536252","HathiTrust Record")</f>
        <v>HathiTrust Record</v>
      </c>
      <c r="AV6785" s="6" t="str">
        <f>HYPERLINK("http://mcgill.on.worldcat.org/oclc/18725236","Catalog Record")</f>
        <v>Catalog Record</v>
      </c>
      <c r="AW6785" s="6" t="str">
        <f>HYPERLINK("http://www.worldcat.org/oclc/18725236","WorldCat Record")</f>
        <v>WorldCat Record</v>
      </c>
      <c r="AX6785" s="3" t="s">
        <v>65230</v>
      </c>
      <c r="AY6785" s="3" t="s">
        <v>65231</v>
      </c>
      <c r="AZ6785" s="3" t="s">
        <v>65232</v>
      </c>
      <c r="BA6785" s="3" t="s">
        <v>65232</v>
      </c>
      <c r="BB6785" s="3" t="s">
        <v>65233</v>
      </c>
      <c r="BC6785" s="3" t="s">
        <v>142</v>
      </c>
      <c r="BD6785" s="3" t="s">
        <v>68</v>
      </c>
      <c r="BE6785" s="3" t="s">
        <v>65234</v>
      </c>
      <c r="BF6785" s="3" t="s">
        <v>65233</v>
      </c>
      <c r="BG6785" s="3" t="s">
        <v>65235</v>
      </c>
    </row>
    <row r="6786" spans="1:59" ht="57" x14ac:dyDescent="0.45">
      <c r="A6786" s="2" t="s">
        <v>59</v>
      </c>
      <c r="B6786" s="2" t="s">
        <v>60</v>
      </c>
      <c r="C6786" s="2" t="s">
        <v>65224</v>
      </c>
      <c r="D6786" s="2" t="s">
        <v>65225</v>
      </c>
      <c r="E6786" s="2" t="s">
        <v>65226</v>
      </c>
      <c r="G6786" s="3" t="s">
        <v>62</v>
      </c>
      <c r="I6786" s="3" t="s">
        <v>61</v>
      </c>
      <c r="J6786" s="3" t="s">
        <v>62</v>
      </c>
      <c r="K6786" s="3" t="s">
        <v>63</v>
      </c>
      <c r="L6786" s="2" t="s">
        <v>65227</v>
      </c>
      <c r="M6786" s="2" t="s">
        <v>65228</v>
      </c>
      <c r="N6786" s="3" t="s">
        <v>2417</v>
      </c>
      <c r="P6786" s="3" t="s">
        <v>182</v>
      </c>
      <c r="Q6786" s="2" t="s">
        <v>65229</v>
      </c>
      <c r="R6786" s="3" t="s">
        <v>66</v>
      </c>
      <c r="S6786" s="4">
        <v>1</v>
      </c>
      <c r="T6786" s="4">
        <v>1</v>
      </c>
      <c r="U6786" s="5" t="s">
        <v>3268</v>
      </c>
      <c r="V6786" s="5" t="s">
        <v>3268</v>
      </c>
      <c r="W6786" s="5" t="s">
        <v>67</v>
      </c>
      <c r="X6786" s="5" t="s">
        <v>67</v>
      </c>
      <c r="Y6786" s="4">
        <v>77</v>
      </c>
      <c r="Z6786" s="4">
        <v>4</v>
      </c>
      <c r="AA6786" s="4">
        <v>4</v>
      </c>
      <c r="AB6786" s="4">
        <v>1</v>
      </c>
      <c r="AC6786" s="4">
        <v>1</v>
      </c>
      <c r="AD6786" s="4">
        <v>38</v>
      </c>
      <c r="AE6786" s="4">
        <v>38</v>
      </c>
      <c r="AF6786" s="4">
        <v>0</v>
      </c>
      <c r="AG6786" s="4">
        <v>0</v>
      </c>
      <c r="AH6786" s="4">
        <v>37</v>
      </c>
      <c r="AI6786" s="4">
        <v>37</v>
      </c>
      <c r="AJ6786" s="4">
        <v>2</v>
      </c>
      <c r="AK6786" s="4">
        <v>2</v>
      </c>
      <c r="AL6786" s="4">
        <v>25</v>
      </c>
      <c r="AM6786" s="4">
        <v>25</v>
      </c>
      <c r="AN6786" s="4">
        <v>0</v>
      </c>
      <c r="AO6786" s="4">
        <v>0</v>
      </c>
      <c r="AP6786" s="4">
        <v>2</v>
      </c>
      <c r="AQ6786" s="4">
        <v>2</v>
      </c>
      <c r="AR6786" s="3" t="s">
        <v>62</v>
      </c>
      <c r="AS6786" s="3" t="s">
        <v>62</v>
      </c>
      <c r="AT6786" s="3" t="s">
        <v>61</v>
      </c>
      <c r="AU6786" s="6" t="str">
        <f>HYPERLINK("http://catalog.hathitrust.org/Record/001536252","HathiTrust Record")</f>
        <v>HathiTrust Record</v>
      </c>
      <c r="AV6786" s="6" t="str">
        <f>HYPERLINK("http://mcgill.on.worldcat.org/oclc/18725236","Catalog Record")</f>
        <v>Catalog Record</v>
      </c>
      <c r="AW6786" s="6" t="str">
        <f>HYPERLINK("http://www.worldcat.org/oclc/18725236","WorldCat Record")</f>
        <v>WorldCat Record</v>
      </c>
      <c r="AX6786" s="3" t="s">
        <v>65230</v>
      </c>
      <c r="AY6786" s="3" t="s">
        <v>65231</v>
      </c>
      <c r="AZ6786" s="3" t="s">
        <v>65232</v>
      </c>
      <c r="BA6786" s="3" t="s">
        <v>65232</v>
      </c>
      <c r="BB6786" s="3" t="s">
        <v>65236</v>
      </c>
      <c r="BC6786" s="3" t="s">
        <v>142</v>
      </c>
      <c r="BD6786" s="3" t="s">
        <v>68</v>
      </c>
      <c r="BE6786" s="3" t="s">
        <v>65234</v>
      </c>
      <c r="BF6786" s="3" t="s">
        <v>65236</v>
      </c>
      <c r="BG6786" s="3" t="s">
        <v>65237</v>
      </c>
    </row>
    <row r="6787" spans="1:59" ht="57" x14ac:dyDescent="0.45">
      <c r="A6787" s="2" t="s">
        <v>59</v>
      </c>
      <c r="B6787" s="2" t="s">
        <v>60</v>
      </c>
      <c r="C6787" s="2" t="s">
        <v>65238</v>
      </c>
      <c r="D6787" s="2" t="s">
        <v>65239</v>
      </c>
      <c r="E6787" s="2" t="s">
        <v>65240</v>
      </c>
      <c r="G6787" s="3" t="s">
        <v>62</v>
      </c>
      <c r="I6787" s="3" t="s">
        <v>62</v>
      </c>
      <c r="J6787" s="3" t="s">
        <v>62</v>
      </c>
      <c r="K6787" s="3" t="s">
        <v>63</v>
      </c>
      <c r="L6787" s="2" t="s">
        <v>65241</v>
      </c>
      <c r="M6787" s="2" t="s">
        <v>65150</v>
      </c>
      <c r="N6787" s="3" t="s">
        <v>480</v>
      </c>
      <c r="P6787" s="3" t="s">
        <v>65</v>
      </c>
      <c r="Q6787" s="2" t="s">
        <v>65242</v>
      </c>
      <c r="R6787" s="3" t="s">
        <v>66</v>
      </c>
      <c r="S6787" s="4">
        <v>2</v>
      </c>
      <c r="T6787" s="4">
        <v>2</v>
      </c>
      <c r="U6787" s="5" t="s">
        <v>26298</v>
      </c>
      <c r="V6787" s="5" t="s">
        <v>26298</v>
      </c>
      <c r="W6787" s="5" t="s">
        <v>67</v>
      </c>
      <c r="X6787" s="5" t="s">
        <v>67</v>
      </c>
      <c r="Y6787" s="4">
        <v>82</v>
      </c>
      <c r="Z6787" s="4">
        <v>9</v>
      </c>
      <c r="AA6787" s="4">
        <v>9</v>
      </c>
      <c r="AB6787" s="4">
        <v>1</v>
      </c>
      <c r="AC6787" s="4">
        <v>1</v>
      </c>
      <c r="AD6787" s="4">
        <v>51</v>
      </c>
      <c r="AE6787" s="4">
        <v>51</v>
      </c>
      <c r="AF6787" s="4">
        <v>0</v>
      </c>
      <c r="AG6787" s="4">
        <v>0</v>
      </c>
      <c r="AH6787" s="4">
        <v>47</v>
      </c>
      <c r="AI6787" s="4">
        <v>47</v>
      </c>
      <c r="AJ6787" s="4">
        <v>7</v>
      </c>
      <c r="AK6787" s="4">
        <v>7</v>
      </c>
      <c r="AL6787" s="4">
        <v>33</v>
      </c>
      <c r="AM6787" s="4">
        <v>33</v>
      </c>
      <c r="AN6787" s="4">
        <v>0</v>
      </c>
      <c r="AO6787" s="4">
        <v>0</v>
      </c>
      <c r="AP6787" s="4">
        <v>7</v>
      </c>
      <c r="AQ6787" s="4">
        <v>7</v>
      </c>
      <c r="AR6787" s="3" t="s">
        <v>62</v>
      </c>
      <c r="AS6787" s="3" t="s">
        <v>62</v>
      </c>
      <c r="AT6787" s="3" t="s">
        <v>61</v>
      </c>
      <c r="AU6787" s="6" t="str">
        <f>HYPERLINK("http://catalog.hathitrust.org/Record/000043156","HathiTrust Record")</f>
        <v>HathiTrust Record</v>
      </c>
      <c r="AV6787" s="6" t="str">
        <f>HYPERLINK("http://mcgill.on.worldcat.org/oclc/5629984","Catalog Record")</f>
        <v>Catalog Record</v>
      </c>
      <c r="AW6787" s="6" t="str">
        <f>HYPERLINK("http://www.worldcat.org/oclc/5629984","WorldCat Record")</f>
        <v>WorldCat Record</v>
      </c>
      <c r="AX6787" s="3" t="s">
        <v>65243</v>
      </c>
      <c r="AY6787" s="3" t="s">
        <v>65244</v>
      </c>
      <c r="AZ6787" s="3" t="s">
        <v>65245</v>
      </c>
      <c r="BA6787" s="3" t="s">
        <v>65245</v>
      </c>
      <c r="BB6787" s="3" t="s">
        <v>65246</v>
      </c>
      <c r="BC6787" s="3" t="s">
        <v>142</v>
      </c>
      <c r="BD6787" s="3" t="s">
        <v>68</v>
      </c>
      <c r="BE6787" s="3" t="s">
        <v>65247</v>
      </c>
      <c r="BF6787" s="3" t="s">
        <v>65246</v>
      </c>
      <c r="BG6787" s="3" t="s">
        <v>65248</v>
      </c>
    </row>
    <row r="6788" spans="1:59" ht="57" x14ac:dyDescent="0.45">
      <c r="A6788" s="2" t="s">
        <v>59</v>
      </c>
      <c r="B6788" s="2" t="s">
        <v>60</v>
      </c>
      <c r="C6788" s="2" t="s">
        <v>65249</v>
      </c>
      <c r="D6788" s="2" t="s">
        <v>65250</v>
      </c>
      <c r="E6788" s="2" t="s">
        <v>65251</v>
      </c>
      <c r="G6788" s="3" t="s">
        <v>62</v>
      </c>
      <c r="I6788" s="3" t="s">
        <v>62</v>
      </c>
      <c r="J6788" s="3" t="s">
        <v>62</v>
      </c>
      <c r="K6788" s="3" t="s">
        <v>63</v>
      </c>
      <c r="L6788" s="2" t="s">
        <v>65252</v>
      </c>
      <c r="M6788" s="2" t="s">
        <v>65253</v>
      </c>
      <c r="N6788" s="3" t="s">
        <v>894</v>
      </c>
      <c r="P6788" s="3" t="s">
        <v>65</v>
      </c>
      <c r="R6788" s="3" t="s">
        <v>66</v>
      </c>
      <c r="S6788" s="4">
        <v>0</v>
      </c>
      <c r="T6788" s="4">
        <v>0</v>
      </c>
      <c r="W6788" s="5" t="s">
        <v>67</v>
      </c>
      <c r="X6788" s="5" t="s">
        <v>67</v>
      </c>
      <c r="Y6788" s="4">
        <v>45</v>
      </c>
      <c r="Z6788" s="4">
        <v>10</v>
      </c>
      <c r="AA6788" s="4">
        <v>10</v>
      </c>
      <c r="AB6788" s="4">
        <v>1</v>
      </c>
      <c r="AC6788" s="4">
        <v>1</v>
      </c>
      <c r="AD6788" s="4">
        <v>24</v>
      </c>
      <c r="AE6788" s="4">
        <v>24</v>
      </c>
      <c r="AF6788" s="4">
        <v>0</v>
      </c>
      <c r="AG6788" s="4">
        <v>0</v>
      </c>
      <c r="AH6788" s="4">
        <v>22</v>
      </c>
      <c r="AI6788" s="4">
        <v>22</v>
      </c>
      <c r="AJ6788" s="4">
        <v>6</v>
      </c>
      <c r="AK6788" s="4">
        <v>6</v>
      </c>
      <c r="AL6788" s="4">
        <v>11</v>
      </c>
      <c r="AM6788" s="4">
        <v>11</v>
      </c>
      <c r="AN6788" s="4">
        <v>0</v>
      </c>
      <c r="AO6788" s="4">
        <v>0</v>
      </c>
      <c r="AP6788" s="4">
        <v>8</v>
      </c>
      <c r="AQ6788" s="4">
        <v>8</v>
      </c>
      <c r="AR6788" s="3" t="s">
        <v>62</v>
      </c>
      <c r="AS6788" s="3" t="s">
        <v>62</v>
      </c>
      <c r="AT6788" s="3" t="s">
        <v>62</v>
      </c>
      <c r="AV6788" s="6" t="str">
        <f>HYPERLINK("http://mcgill.on.worldcat.org/oclc/751058781","Catalog Record")</f>
        <v>Catalog Record</v>
      </c>
      <c r="AW6788" s="6" t="str">
        <f>HYPERLINK("http://www.worldcat.org/oclc/751058781","WorldCat Record")</f>
        <v>WorldCat Record</v>
      </c>
      <c r="AX6788" s="3" t="s">
        <v>65254</v>
      </c>
      <c r="AY6788" s="3" t="s">
        <v>65255</v>
      </c>
      <c r="AZ6788" s="3" t="s">
        <v>65256</v>
      </c>
      <c r="BA6788" s="3" t="s">
        <v>65256</v>
      </c>
      <c r="BB6788" s="3" t="s">
        <v>65257</v>
      </c>
      <c r="BC6788" s="3" t="s">
        <v>142</v>
      </c>
      <c r="BD6788" s="3" t="s">
        <v>68</v>
      </c>
      <c r="BE6788" s="3" t="s">
        <v>65258</v>
      </c>
      <c r="BF6788" s="3" t="s">
        <v>65257</v>
      </c>
      <c r="BG6788" s="3" t="s">
        <v>65259</v>
      </c>
    </row>
    <row r="6789" spans="1:59" ht="57" x14ac:dyDescent="0.45">
      <c r="A6789" s="2" t="s">
        <v>59</v>
      </c>
      <c r="B6789" s="2" t="s">
        <v>60</v>
      </c>
      <c r="C6789" s="2" t="s">
        <v>65260</v>
      </c>
      <c r="D6789" s="2" t="s">
        <v>65261</v>
      </c>
      <c r="E6789" s="2" t="s">
        <v>65262</v>
      </c>
      <c r="G6789" s="3" t="s">
        <v>62</v>
      </c>
      <c r="I6789" s="3" t="s">
        <v>62</v>
      </c>
      <c r="J6789" s="3" t="s">
        <v>62</v>
      </c>
      <c r="K6789" s="3" t="s">
        <v>63</v>
      </c>
      <c r="M6789" s="2" t="s">
        <v>65263</v>
      </c>
      <c r="N6789" s="3" t="s">
        <v>866</v>
      </c>
      <c r="P6789" s="3" t="s">
        <v>65</v>
      </c>
      <c r="R6789" s="3" t="s">
        <v>66</v>
      </c>
      <c r="S6789" s="4">
        <v>3</v>
      </c>
      <c r="T6789" s="4">
        <v>3</v>
      </c>
      <c r="U6789" s="5" t="s">
        <v>3437</v>
      </c>
      <c r="V6789" s="5" t="s">
        <v>3437</v>
      </c>
      <c r="W6789" s="5" t="s">
        <v>67</v>
      </c>
      <c r="X6789" s="5" t="s">
        <v>67</v>
      </c>
      <c r="Y6789" s="4">
        <v>191</v>
      </c>
      <c r="Z6789" s="4">
        <v>14</v>
      </c>
      <c r="AA6789" s="4">
        <v>18</v>
      </c>
      <c r="AB6789" s="4">
        <v>1</v>
      </c>
      <c r="AC6789" s="4">
        <v>1</v>
      </c>
      <c r="AD6789" s="4">
        <v>90</v>
      </c>
      <c r="AE6789" s="4">
        <v>99</v>
      </c>
      <c r="AF6789" s="4">
        <v>0</v>
      </c>
      <c r="AG6789" s="4">
        <v>0</v>
      </c>
      <c r="AH6789" s="4">
        <v>83</v>
      </c>
      <c r="AI6789" s="4">
        <v>90</v>
      </c>
      <c r="AJ6789" s="4">
        <v>10</v>
      </c>
      <c r="AK6789" s="4">
        <v>13</v>
      </c>
      <c r="AL6789" s="4">
        <v>46</v>
      </c>
      <c r="AM6789" s="4">
        <v>49</v>
      </c>
      <c r="AN6789" s="4">
        <v>0</v>
      </c>
      <c r="AO6789" s="4">
        <v>0</v>
      </c>
      <c r="AP6789" s="4">
        <v>12</v>
      </c>
      <c r="AQ6789" s="4">
        <v>16</v>
      </c>
      <c r="AR6789" s="3" t="s">
        <v>62</v>
      </c>
      <c r="AS6789" s="3" t="s">
        <v>62</v>
      </c>
      <c r="AT6789" s="3" t="s">
        <v>61</v>
      </c>
      <c r="AU6789" s="6" t="str">
        <f>HYPERLINK("http://catalog.hathitrust.org/Record/001193077","HathiTrust Record")</f>
        <v>HathiTrust Record</v>
      </c>
      <c r="AV6789" s="6" t="str">
        <f>HYPERLINK("http://mcgill.on.worldcat.org/oclc/2231828","Catalog Record")</f>
        <v>Catalog Record</v>
      </c>
      <c r="AW6789" s="6" t="str">
        <f>HYPERLINK("http://www.worldcat.org/oclc/2231828","WorldCat Record")</f>
        <v>WorldCat Record</v>
      </c>
      <c r="AX6789" s="3" t="s">
        <v>65264</v>
      </c>
      <c r="AY6789" s="3" t="s">
        <v>65265</v>
      </c>
      <c r="AZ6789" s="3" t="s">
        <v>65266</v>
      </c>
      <c r="BA6789" s="3" t="s">
        <v>65266</v>
      </c>
      <c r="BB6789" s="3" t="s">
        <v>65267</v>
      </c>
      <c r="BC6789" s="3" t="s">
        <v>142</v>
      </c>
      <c r="BD6789" s="3" t="s">
        <v>68</v>
      </c>
      <c r="BF6789" s="3" t="s">
        <v>65267</v>
      </c>
      <c r="BG6789" s="3" t="s">
        <v>65268</v>
      </c>
    </row>
    <row r="6790" spans="1:59" ht="57" x14ac:dyDescent="0.45">
      <c r="A6790" s="2" t="s">
        <v>59</v>
      </c>
      <c r="B6790" s="2" t="s">
        <v>60</v>
      </c>
      <c r="C6790" s="2" t="s">
        <v>65269</v>
      </c>
      <c r="D6790" s="2" t="s">
        <v>65270</v>
      </c>
      <c r="E6790" s="2" t="s">
        <v>65271</v>
      </c>
      <c r="G6790" s="3" t="s">
        <v>62</v>
      </c>
      <c r="I6790" s="3" t="s">
        <v>62</v>
      </c>
      <c r="J6790" s="3" t="s">
        <v>62</v>
      </c>
      <c r="K6790" s="3" t="s">
        <v>63</v>
      </c>
      <c r="L6790" s="2" t="s">
        <v>65272</v>
      </c>
      <c r="M6790" s="2" t="s">
        <v>65273</v>
      </c>
      <c r="N6790" s="3" t="s">
        <v>19337</v>
      </c>
      <c r="P6790" s="3" t="s">
        <v>65</v>
      </c>
      <c r="Q6790" s="2" t="s">
        <v>65274</v>
      </c>
      <c r="R6790" s="3" t="s">
        <v>66</v>
      </c>
      <c r="S6790" s="4">
        <v>0</v>
      </c>
      <c r="T6790" s="4">
        <v>0</v>
      </c>
      <c r="W6790" s="5" t="s">
        <v>67</v>
      </c>
      <c r="X6790" s="5" t="s">
        <v>67</v>
      </c>
      <c r="Y6790" s="4">
        <v>164</v>
      </c>
      <c r="Z6790" s="4">
        <v>15</v>
      </c>
      <c r="AA6790" s="4">
        <v>15</v>
      </c>
      <c r="AB6790" s="4">
        <v>2</v>
      </c>
      <c r="AC6790" s="4">
        <v>2</v>
      </c>
      <c r="AD6790" s="4">
        <v>68</v>
      </c>
      <c r="AE6790" s="4">
        <v>68</v>
      </c>
      <c r="AF6790" s="4">
        <v>1</v>
      </c>
      <c r="AG6790" s="4">
        <v>1</v>
      </c>
      <c r="AH6790" s="4">
        <v>63</v>
      </c>
      <c r="AI6790" s="4">
        <v>63</v>
      </c>
      <c r="AJ6790" s="4">
        <v>11</v>
      </c>
      <c r="AK6790" s="4">
        <v>11</v>
      </c>
      <c r="AL6790" s="4">
        <v>35</v>
      </c>
      <c r="AM6790" s="4">
        <v>35</v>
      </c>
      <c r="AN6790" s="4">
        <v>0</v>
      </c>
      <c r="AO6790" s="4">
        <v>0</v>
      </c>
      <c r="AP6790" s="4">
        <v>12</v>
      </c>
      <c r="AQ6790" s="4">
        <v>12</v>
      </c>
      <c r="AR6790" s="3" t="s">
        <v>62</v>
      </c>
      <c r="AS6790" s="3" t="s">
        <v>62</v>
      </c>
      <c r="AT6790" s="3" t="s">
        <v>61</v>
      </c>
      <c r="AU6790" s="6" t="str">
        <f>HYPERLINK("http://catalog.hathitrust.org/Record/001647743","HathiTrust Record")</f>
        <v>HathiTrust Record</v>
      </c>
      <c r="AV6790" s="6" t="str">
        <f>HYPERLINK("http://mcgill.on.worldcat.org/oclc/16907","Catalog Record")</f>
        <v>Catalog Record</v>
      </c>
      <c r="AW6790" s="6" t="str">
        <f>HYPERLINK("http://www.worldcat.org/oclc/16907","WorldCat Record")</f>
        <v>WorldCat Record</v>
      </c>
      <c r="AX6790" s="3" t="s">
        <v>65275</v>
      </c>
      <c r="AY6790" s="3" t="s">
        <v>65276</v>
      </c>
      <c r="AZ6790" s="3" t="s">
        <v>65277</v>
      </c>
      <c r="BA6790" s="3" t="s">
        <v>65277</v>
      </c>
      <c r="BB6790" s="3" t="s">
        <v>65278</v>
      </c>
      <c r="BC6790" s="3" t="s">
        <v>142</v>
      </c>
      <c r="BD6790" s="3" t="s">
        <v>68</v>
      </c>
      <c r="BF6790" s="3" t="s">
        <v>65278</v>
      </c>
      <c r="BG6790" s="3" t="s">
        <v>65279</v>
      </c>
    </row>
    <row r="6791" spans="1:59" ht="71.25" x14ac:dyDescent="0.45">
      <c r="A6791" s="2" t="s">
        <v>59</v>
      </c>
      <c r="B6791" s="2" t="s">
        <v>48928</v>
      </c>
      <c r="C6791" s="2" t="s">
        <v>65280</v>
      </c>
      <c r="D6791" s="2" t="s">
        <v>65281</v>
      </c>
      <c r="E6791" s="2" t="s">
        <v>65282</v>
      </c>
      <c r="G6791" s="3" t="s">
        <v>62</v>
      </c>
      <c r="I6791" s="3" t="s">
        <v>62</v>
      </c>
      <c r="J6791" s="3" t="s">
        <v>62</v>
      </c>
      <c r="K6791" s="3" t="s">
        <v>63</v>
      </c>
      <c r="M6791" s="2" t="s">
        <v>65283</v>
      </c>
      <c r="N6791" s="3" t="s">
        <v>1688</v>
      </c>
      <c r="P6791" s="3" t="s">
        <v>65</v>
      </c>
      <c r="R6791" s="3" t="s">
        <v>66</v>
      </c>
      <c r="S6791" s="4">
        <v>29</v>
      </c>
      <c r="T6791" s="4">
        <v>29</v>
      </c>
      <c r="U6791" s="5" t="s">
        <v>7408</v>
      </c>
      <c r="V6791" s="5" t="s">
        <v>7408</v>
      </c>
      <c r="W6791" s="5" t="s">
        <v>67</v>
      </c>
      <c r="X6791" s="5" t="s">
        <v>67</v>
      </c>
      <c r="Y6791" s="4">
        <v>338</v>
      </c>
      <c r="Z6791" s="4">
        <v>11</v>
      </c>
      <c r="AA6791" s="4">
        <v>18</v>
      </c>
      <c r="AB6791" s="4">
        <v>1</v>
      </c>
      <c r="AC6791" s="4">
        <v>2</v>
      </c>
      <c r="AD6791" s="4">
        <v>28</v>
      </c>
      <c r="AE6791" s="4">
        <v>32</v>
      </c>
      <c r="AF6791" s="4">
        <v>0</v>
      </c>
      <c r="AG6791" s="4">
        <v>1</v>
      </c>
      <c r="AH6791" s="4">
        <v>27</v>
      </c>
      <c r="AI6791" s="4">
        <v>29</v>
      </c>
      <c r="AJ6791" s="4">
        <v>2</v>
      </c>
      <c r="AK6791" s="4">
        <v>5</v>
      </c>
      <c r="AL6791" s="4">
        <v>17</v>
      </c>
      <c r="AM6791" s="4">
        <v>19</v>
      </c>
      <c r="AN6791" s="4">
        <v>0</v>
      </c>
      <c r="AO6791" s="4">
        <v>0</v>
      </c>
      <c r="AP6791" s="4">
        <v>2</v>
      </c>
      <c r="AQ6791" s="4">
        <v>5</v>
      </c>
      <c r="AR6791" s="3" t="s">
        <v>62</v>
      </c>
      <c r="AS6791" s="3" t="s">
        <v>62</v>
      </c>
      <c r="AT6791" s="3" t="s">
        <v>62</v>
      </c>
      <c r="AV6791" s="6" t="str">
        <f>HYPERLINK("http://mcgill.on.worldcat.org/oclc/876080655","Catalog Record")</f>
        <v>Catalog Record</v>
      </c>
      <c r="AW6791" s="6" t="str">
        <f>HYPERLINK("http://www.worldcat.org/oclc/876080655","WorldCat Record")</f>
        <v>WorldCat Record</v>
      </c>
      <c r="AX6791" s="3" t="s">
        <v>65284</v>
      </c>
      <c r="AY6791" s="3" t="s">
        <v>65285</v>
      </c>
      <c r="AZ6791" s="3" t="s">
        <v>65286</v>
      </c>
      <c r="BA6791" s="3" t="s">
        <v>65286</v>
      </c>
      <c r="BB6791" s="3" t="s">
        <v>65287</v>
      </c>
      <c r="BC6791" s="3" t="s">
        <v>32444</v>
      </c>
      <c r="BD6791" s="3" t="s">
        <v>308</v>
      </c>
      <c r="BE6791" s="3" t="s">
        <v>65288</v>
      </c>
      <c r="BF6791" s="3" t="s">
        <v>65287</v>
      </c>
      <c r="BG6791" s="3" t="s">
        <v>65289</v>
      </c>
    </row>
    <row r="6792" spans="1:59" ht="71.25" x14ac:dyDescent="0.45">
      <c r="A6792" s="2" t="s">
        <v>59</v>
      </c>
      <c r="B6792" s="2" t="s">
        <v>48928</v>
      </c>
      <c r="C6792" s="2" t="s">
        <v>65290</v>
      </c>
      <c r="D6792" s="2" t="s">
        <v>65291</v>
      </c>
      <c r="E6792" s="2" t="s">
        <v>65292</v>
      </c>
      <c r="F6792" s="3" t="s">
        <v>65293</v>
      </c>
      <c r="G6792" s="3" t="s">
        <v>61</v>
      </c>
      <c r="I6792" s="3" t="s">
        <v>61</v>
      </c>
      <c r="J6792" s="3" t="s">
        <v>62</v>
      </c>
      <c r="K6792" s="3" t="s">
        <v>63</v>
      </c>
      <c r="M6792" s="2" t="s">
        <v>65294</v>
      </c>
      <c r="N6792" s="3" t="s">
        <v>1855</v>
      </c>
      <c r="P6792" s="3" t="s">
        <v>65</v>
      </c>
      <c r="R6792" s="3" t="s">
        <v>66</v>
      </c>
      <c r="S6792" s="4">
        <v>1</v>
      </c>
      <c r="T6792" s="4">
        <v>150</v>
      </c>
      <c r="U6792" s="5" t="s">
        <v>42853</v>
      </c>
      <c r="V6792" s="5" t="s">
        <v>42853</v>
      </c>
      <c r="W6792" s="5" t="s">
        <v>67</v>
      </c>
      <c r="X6792" s="5" t="s">
        <v>17596</v>
      </c>
      <c r="Y6792" s="4">
        <v>184</v>
      </c>
      <c r="Z6792" s="4">
        <v>6</v>
      </c>
      <c r="AA6792" s="4">
        <v>6</v>
      </c>
      <c r="AB6792" s="4">
        <v>3</v>
      </c>
      <c r="AC6792" s="4">
        <v>3</v>
      </c>
      <c r="AD6792" s="4">
        <v>33</v>
      </c>
      <c r="AE6792" s="4">
        <v>33</v>
      </c>
      <c r="AF6792" s="4">
        <v>1</v>
      </c>
      <c r="AG6792" s="4">
        <v>1</v>
      </c>
      <c r="AH6792" s="4">
        <v>30</v>
      </c>
      <c r="AI6792" s="4">
        <v>30</v>
      </c>
      <c r="AJ6792" s="4">
        <v>2</v>
      </c>
      <c r="AK6792" s="4">
        <v>2</v>
      </c>
      <c r="AL6792" s="4">
        <v>15</v>
      </c>
      <c r="AM6792" s="4">
        <v>15</v>
      </c>
      <c r="AN6792" s="4">
        <v>0</v>
      </c>
      <c r="AO6792" s="4">
        <v>0</v>
      </c>
      <c r="AP6792" s="4">
        <v>3</v>
      </c>
      <c r="AQ6792" s="4">
        <v>3</v>
      </c>
      <c r="AR6792" s="3" t="s">
        <v>62</v>
      </c>
      <c r="AS6792" s="3" t="s">
        <v>62</v>
      </c>
      <c r="AT6792" s="3" t="s">
        <v>62</v>
      </c>
      <c r="AV6792" s="6" t="str">
        <f>HYPERLINK("http://mcgill.on.worldcat.org/oclc/71197798","Catalog Record")</f>
        <v>Catalog Record</v>
      </c>
      <c r="AW6792" s="6" t="str">
        <f>HYPERLINK("http://www.worldcat.org/oclc/71197798","WorldCat Record")</f>
        <v>WorldCat Record</v>
      </c>
      <c r="AX6792" s="3" t="s">
        <v>65295</v>
      </c>
      <c r="AY6792" s="3" t="s">
        <v>65296</v>
      </c>
      <c r="AZ6792" s="3" t="s">
        <v>65297</v>
      </c>
      <c r="BA6792" s="3" t="s">
        <v>65297</v>
      </c>
      <c r="BB6792" s="3" t="s">
        <v>65298</v>
      </c>
      <c r="BC6792" s="3" t="s">
        <v>32444</v>
      </c>
      <c r="BD6792" s="3" t="s">
        <v>68</v>
      </c>
      <c r="BF6792" s="3" t="s">
        <v>65298</v>
      </c>
      <c r="BG6792" s="3" t="s">
        <v>65299</v>
      </c>
    </row>
    <row r="6793" spans="1:59" ht="71.25" x14ac:dyDescent="0.45">
      <c r="A6793" s="2" t="s">
        <v>59</v>
      </c>
      <c r="B6793" s="2" t="s">
        <v>48928</v>
      </c>
      <c r="C6793" s="2" t="s">
        <v>65290</v>
      </c>
      <c r="D6793" s="2" t="s">
        <v>65291</v>
      </c>
      <c r="E6793" s="2" t="s">
        <v>65292</v>
      </c>
      <c r="F6793" s="3" t="s">
        <v>65300</v>
      </c>
      <c r="G6793" s="3" t="s">
        <v>61</v>
      </c>
      <c r="I6793" s="3" t="s">
        <v>61</v>
      </c>
      <c r="J6793" s="3" t="s">
        <v>62</v>
      </c>
      <c r="K6793" s="3" t="s">
        <v>63</v>
      </c>
      <c r="M6793" s="2" t="s">
        <v>65294</v>
      </c>
      <c r="N6793" s="3" t="s">
        <v>1855</v>
      </c>
      <c r="P6793" s="3" t="s">
        <v>65</v>
      </c>
      <c r="R6793" s="3" t="s">
        <v>66</v>
      </c>
      <c r="S6793" s="4">
        <v>1</v>
      </c>
      <c r="T6793" s="4">
        <v>150</v>
      </c>
      <c r="U6793" s="5" t="s">
        <v>30524</v>
      </c>
      <c r="V6793" s="5" t="s">
        <v>42853</v>
      </c>
      <c r="W6793" s="5" t="s">
        <v>67</v>
      </c>
      <c r="X6793" s="5" t="s">
        <v>17596</v>
      </c>
      <c r="Y6793" s="4">
        <v>184</v>
      </c>
      <c r="Z6793" s="4">
        <v>6</v>
      </c>
      <c r="AA6793" s="4">
        <v>6</v>
      </c>
      <c r="AB6793" s="4">
        <v>3</v>
      </c>
      <c r="AC6793" s="4">
        <v>3</v>
      </c>
      <c r="AD6793" s="4">
        <v>33</v>
      </c>
      <c r="AE6793" s="4">
        <v>33</v>
      </c>
      <c r="AF6793" s="4">
        <v>1</v>
      </c>
      <c r="AG6793" s="4">
        <v>1</v>
      </c>
      <c r="AH6793" s="4">
        <v>30</v>
      </c>
      <c r="AI6793" s="4">
        <v>30</v>
      </c>
      <c r="AJ6793" s="4">
        <v>2</v>
      </c>
      <c r="AK6793" s="4">
        <v>2</v>
      </c>
      <c r="AL6793" s="4">
        <v>15</v>
      </c>
      <c r="AM6793" s="4">
        <v>15</v>
      </c>
      <c r="AN6793" s="4">
        <v>0</v>
      </c>
      <c r="AO6793" s="4">
        <v>0</v>
      </c>
      <c r="AP6793" s="4">
        <v>3</v>
      </c>
      <c r="AQ6793" s="4">
        <v>3</v>
      </c>
      <c r="AR6793" s="3" t="s">
        <v>62</v>
      </c>
      <c r="AS6793" s="3" t="s">
        <v>62</v>
      </c>
      <c r="AT6793" s="3" t="s">
        <v>62</v>
      </c>
      <c r="AV6793" s="6" t="str">
        <f>HYPERLINK("http://mcgill.on.worldcat.org/oclc/71197798","Catalog Record")</f>
        <v>Catalog Record</v>
      </c>
      <c r="AW6793" s="6" t="str">
        <f>HYPERLINK("http://www.worldcat.org/oclc/71197798","WorldCat Record")</f>
        <v>WorldCat Record</v>
      </c>
      <c r="AX6793" s="3" t="s">
        <v>65295</v>
      </c>
      <c r="AY6793" s="3" t="s">
        <v>65296</v>
      </c>
      <c r="AZ6793" s="3" t="s">
        <v>65297</v>
      </c>
      <c r="BA6793" s="3" t="s">
        <v>65297</v>
      </c>
      <c r="BB6793" s="3" t="s">
        <v>65301</v>
      </c>
      <c r="BC6793" s="3" t="s">
        <v>32444</v>
      </c>
      <c r="BD6793" s="3" t="s">
        <v>68</v>
      </c>
      <c r="BF6793" s="3" t="s">
        <v>65301</v>
      </c>
      <c r="BG6793" s="3" t="s">
        <v>65302</v>
      </c>
    </row>
    <row r="6794" spans="1:59" ht="71.25" x14ac:dyDescent="0.45">
      <c r="A6794" s="2" t="s">
        <v>59</v>
      </c>
      <c r="B6794" s="2" t="s">
        <v>48928</v>
      </c>
      <c r="C6794" s="2" t="s">
        <v>65290</v>
      </c>
      <c r="D6794" s="2" t="s">
        <v>65291</v>
      </c>
      <c r="E6794" s="2" t="s">
        <v>65292</v>
      </c>
      <c r="F6794" s="3" t="s">
        <v>65303</v>
      </c>
      <c r="G6794" s="3" t="s">
        <v>61</v>
      </c>
      <c r="I6794" s="3" t="s">
        <v>61</v>
      </c>
      <c r="J6794" s="3" t="s">
        <v>62</v>
      </c>
      <c r="K6794" s="3" t="s">
        <v>63</v>
      </c>
      <c r="M6794" s="2" t="s">
        <v>65294</v>
      </c>
      <c r="N6794" s="3" t="s">
        <v>1855</v>
      </c>
      <c r="P6794" s="3" t="s">
        <v>65</v>
      </c>
      <c r="R6794" s="3" t="s">
        <v>66</v>
      </c>
      <c r="S6794" s="4">
        <v>0</v>
      </c>
      <c r="T6794" s="4">
        <v>150</v>
      </c>
      <c r="V6794" s="5" t="s">
        <v>42853</v>
      </c>
      <c r="W6794" s="5" t="s">
        <v>67</v>
      </c>
      <c r="X6794" s="5" t="s">
        <v>17596</v>
      </c>
      <c r="Y6794" s="4">
        <v>184</v>
      </c>
      <c r="Z6794" s="4">
        <v>6</v>
      </c>
      <c r="AA6794" s="4">
        <v>6</v>
      </c>
      <c r="AB6794" s="4">
        <v>3</v>
      </c>
      <c r="AC6794" s="4">
        <v>3</v>
      </c>
      <c r="AD6794" s="4">
        <v>33</v>
      </c>
      <c r="AE6794" s="4">
        <v>33</v>
      </c>
      <c r="AF6794" s="4">
        <v>1</v>
      </c>
      <c r="AG6794" s="4">
        <v>1</v>
      </c>
      <c r="AH6794" s="4">
        <v>30</v>
      </c>
      <c r="AI6794" s="4">
        <v>30</v>
      </c>
      <c r="AJ6794" s="4">
        <v>2</v>
      </c>
      <c r="AK6794" s="4">
        <v>2</v>
      </c>
      <c r="AL6794" s="4">
        <v>15</v>
      </c>
      <c r="AM6794" s="4">
        <v>15</v>
      </c>
      <c r="AN6794" s="4">
        <v>0</v>
      </c>
      <c r="AO6794" s="4">
        <v>0</v>
      </c>
      <c r="AP6794" s="4">
        <v>3</v>
      </c>
      <c r="AQ6794" s="4">
        <v>3</v>
      </c>
      <c r="AR6794" s="3" t="s">
        <v>62</v>
      </c>
      <c r="AS6794" s="3" t="s">
        <v>62</v>
      </c>
      <c r="AT6794" s="3" t="s">
        <v>62</v>
      </c>
      <c r="AV6794" s="6" t="str">
        <f>HYPERLINK("http://mcgill.on.worldcat.org/oclc/71197798","Catalog Record")</f>
        <v>Catalog Record</v>
      </c>
      <c r="AW6794" s="6" t="str">
        <f>HYPERLINK("http://www.worldcat.org/oclc/71197798","WorldCat Record")</f>
        <v>WorldCat Record</v>
      </c>
      <c r="AX6794" s="3" t="s">
        <v>65295</v>
      </c>
      <c r="AY6794" s="3" t="s">
        <v>65296</v>
      </c>
      <c r="AZ6794" s="3" t="s">
        <v>65297</v>
      </c>
      <c r="BA6794" s="3" t="s">
        <v>65297</v>
      </c>
      <c r="BB6794" s="3" t="s">
        <v>65304</v>
      </c>
      <c r="BC6794" s="3" t="s">
        <v>32444</v>
      </c>
      <c r="BD6794" s="3" t="s">
        <v>68</v>
      </c>
      <c r="BF6794" s="3" t="s">
        <v>65304</v>
      </c>
      <c r="BG6794" s="3" t="s">
        <v>65305</v>
      </c>
    </row>
    <row r="6795" spans="1:59" ht="71.25" x14ac:dyDescent="0.45">
      <c r="A6795" s="2" t="s">
        <v>59</v>
      </c>
      <c r="B6795" s="2" t="s">
        <v>48928</v>
      </c>
      <c r="C6795" s="2" t="s">
        <v>65306</v>
      </c>
      <c r="D6795" s="2" t="s">
        <v>65307</v>
      </c>
      <c r="E6795" s="2" t="s">
        <v>65308</v>
      </c>
      <c r="G6795" s="3" t="s">
        <v>62</v>
      </c>
      <c r="I6795" s="3" t="s">
        <v>62</v>
      </c>
      <c r="J6795" s="3" t="s">
        <v>62</v>
      </c>
      <c r="K6795" s="3" t="s">
        <v>63</v>
      </c>
      <c r="M6795" s="2" t="s">
        <v>65309</v>
      </c>
      <c r="N6795" s="3" t="s">
        <v>1465</v>
      </c>
      <c r="P6795" s="3" t="s">
        <v>65</v>
      </c>
      <c r="R6795" s="3" t="s">
        <v>66</v>
      </c>
      <c r="S6795" s="4">
        <v>21</v>
      </c>
      <c r="T6795" s="4">
        <v>21</v>
      </c>
      <c r="U6795" s="5" t="s">
        <v>24972</v>
      </c>
      <c r="V6795" s="5" t="s">
        <v>24972</v>
      </c>
      <c r="W6795" s="5" t="s">
        <v>67</v>
      </c>
      <c r="X6795" s="5" t="s">
        <v>67</v>
      </c>
      <c r="Y6795" s="4">
        <v>696</v>
      </c>
      <c r="Z6795" s="4">
        <v>45</v>
      </c>
      <c r="AA6795" s="4">
        <v>55</v>
      </c>
      <c r="AB6795" s="4">
        <v>6</v>
      </c>
      <c r="AC6795" s="4">
        <v>6</v>
      </c>
      <c r="AD6795" s="4">
        <v>97</v>
      </c>
      <c r="AE6795" s="4">
        <v>110</v>
      </c>
      <c r="AF6795" s="4">
        <v>1</v>
      </c>
      <c r="AG6795" s="4">
        <v>1</v>
      </c>
      <c r="AH6795" s="4">
        <v>76</v>
      </c>
      <c r="AI6795" s="4">
        <v>84</v>
      </c>
      <c r="AJ6795" s="4">
        <v>14</v>
      </c>
      <c r="AK6795" s="4">
        <v>18</v>
      </c>
      <c r="AL6795" s="4">
        <v>38</v>
      </c>
      <c r="AM6795" s="4">
        <v>41</v>
      </c>
      <c r="AN6795" s="4">
        <v>0</v>
      </c>
      <c r="AO6795" s="4">
        <v>0</v>
      </c>
      <c r="AP6795" s="4">
        <v>26</v>
      </c>
      <c r="AQ6795" s="4">
        <v>34</v>
      </c>
      <c r="AR6795" s="3" t="s">
        <v>62</v>
      </c>
      <c r="AS6795" s="3" t="s">
        <v>62</v>
      </c>
      <c r="AT6795" s="3" t="s">
        <v>62</v>
      </c>
      <c r="AV6795" s="6" t="str">
        <f>HYPERLINK("http://mcgill.on.worldcat.org/oclc/461311477","Catalog Record")</f>
        <v>Catalog Record</v>
      </c>
      <c r="AW6795" s="6" t="str">
        <f>HYPERLINK("http://www.worldcat.org/oclc/461311477","WorldCat Record")</f>
        <v>WorldCat Record</v>
      </c>
      <c r="AX6795" s="3" t="s">
        <v>65310</v>
      </c>
      <c r="AY6795" s="3" t="s">
        <v>65311</v>
      </c>
      <c r="AZ6795" s="3" t="s">
        <v>65312</v>
      </c>
      <c r="BA6795" s="3" t="s">
        <v>65312</v>
      </c>
      <c r="BB6795" s="3" t="s">
        <v>65313</v>
      </c>
      <c r="BC6795" s="3" t="s">
        <v>32444</v>
      </c>
      <c r="BD6795" s="3" t="s">
        <v>68</v>
      </c>
      <c r="BE6795" s="3" t="s">
        <v>65314</v>
      </c>
      <c r="BF6795" s="3" t="s">
        <v>65313</v>
      </c>
      <c r="BG6795" s="3" t="s">
        <v>65315</v>
      </c>
    </row>
    <row r="6796" spans="1:59" ht="99.75" x14ac:dyDescent="0.45">
      <c r="A6796" s="2" t="s">
        <v>59</v>
      </c>
      <c r="B6796" s="2" t="s">
        <v>48928</v>
      </c>
      <c r="C6796" s="2" t="s">
        <v>65316</v>
      </c>
      <c r="D6796" s="2" t="s">
        <v>65317</v>
      </c>
      <c r="E6796" s="2" t="s">
        <v>65318</v>
      </c>
      <c r="F6796" s="3" t="s">
        <v>65319</v>
      </c>
      <c r="G6796" s="3" t="s">
        <v>62</v>
      </c>
      <c r="I6796" s="3" t="s">
        <v>62</v>
      </c>
      <c r="J6796" s="3" t="s">
        <v>62</v>
      </c>
      <c r="K6796" s="3" t="s">
        <v>63</v>
      </c>
      <c r="M6796" s="2" t="s">
        <v>65320</v>
      </c>
      <c r="N6796" s="3" t="s">
        <v>918</v>
      </c>
      <c r="O6796" s="2" t="s">
        <v>65321</v>
      </c>
      <c r="P6796" s="3" t="s">
        <v>65</v>
      </c>
      <c r="R6796" s="3" t="s">
        <v>66</v>
      </c>
      <c r="S6796" s="4">
        <v>53</v>
      </c>
      <c r="T6796" s="4">
        <v>53</v>
      </c>
      <c r="U6796" s="5" t="s">
        <v>39285</v>
      </c>
      <c r="V6796" s="5" t="s">
        <v>39285</v>
      </c>
      <c r="W6796" s="5" t="s">
        <v>67</v>
      </c>
      <c r="X6796" s="5" t="s">
        <v>67</v>
      </c>
      <c r="Y6796" s="4">
        <v>100</v>
      </c>
      <c r="Z6796" s="4">
        <v>35</v>
      </c>
      <c r="AA6796" s="4">
        <v>60</v>
      </c>
      <c r="AB6796" s="4">
        <v>4</v>
      </c>
      <c r="AC6796" s="4">
        <v>5</v>
      </c>
      <c r="AD6796" s="4">
        <v>29</v>
      </c>
      <c r="AE6796" s="4">
        <v>69</v>
      </c>
      <c r="AF6796" s="4">
        <v>1</v>
      </c>
      <c r="AG6796" s="4">
        <v>2</v>
      </c>
      <c r="AH6796" s="4">
        <v>16</v>
      </c>
      <c r="AI6796" s="4">
        <v>49</v>
      </c>
      <c r="AJ6796" s="4">
        <v>12</v>
      </c>
      <c r="AK6796" s="4">
        <v>17</v>
      </c>
      <c r="AL6796" s="4">
        <v>3</v>
      </c>
      <c r="AM6796" s="4">
        <v>22</v>
      </c>
      <c r="AN6796" s="4">
        <v>0</v>
      </c>
      <c r="AO6796" s="4">
        <v>0</v>
      </c>
      <c r="AP6796" s="4">
        <v>20</v>
      </c>
      <c r="AQ6796" s="4">
        <v>26</v>
      </c>
      <c r="AR6796" s="3" t="s">
        <v>61</v>
      </c>
      <c r="AS6796" s="3" t="s">
        <v>62</v>
      </c>
      <c r="AT6796" s="3" t="s">
        <v>62</v>
      </c>
      <c r="AV6796" s="6" t="str">
        <f>HYPERLINK("http://mcgill.on.worldcat.org/oclc/60172322","Catalog Record")</f>
        <v>Catalog Record</v>
      </c>
      <c r="AW6796" s="6" t="str">
        <f>HYPERLINK("http://www.worldcat.org/oclc/60172322","WorldCat Record")</f>
        <v>WorldCat Record</v>
      </c>
      <c r="AX6796" s="3" t="s">
        <v>65322</v>
      </c>
      <c r="AY6796" s="3" t="s">
        <v>65323</v>
      </c>
      <c r="AZ6796" s="3" t="s">
        <v>65324</v>
      </c>
      <c r="BA6796" s="3" t="s">
        <v>65324</v>
      </c>
      <c r="BB6796" s="3" t="s">
        <v>65325</v>
      </c>
      <c r="BC6796" s="3" t="s">
        <v>32444</v>
      </c>
      <c r="BD6796" s="3" t="s">
        <v>68</v>
      </c>
      <c r="BF6796" s="3" t="s">
        <v>65325</v>
      </c>
      <c r="BG6796" s="3" t="s">
        <v>65326</v>
      </c>
    </row>
    <row r="6797" spans="1:59" ht="71.25" x14ac:dyDescent="0.45">
      <c r="A6797" s="2" t="s">
        <v>59</v>
      </c>
      <c r="B6797" s="2" t="s">
        <v>48928</v>
      </c>
      <c r="C6797" s="2" t="s">
        <v>65327</v>
      </c>
      <c r="D6797" s="2" t="s">
        <v>65328</v>
      </c>
      <c r="E6797" s="2" t="s">
        <v>65329</v>
      </c>
      <c r="G6797" s="3" t="s">
        <v>62</v>
      </c>
      <c r="I6797" s="3" t="s">
        <v>62</v>
      </c>
      <c r="J6797" s="3" t="s">
        <v>62</v>
      </c>
      <c r="K6797" s="3" t="s">
        <v>63</v>
      </c>
      <c r="M6797" s="2" t="s">
        <v>65330</v>
      </c>
      <c r="N6797" s="3" t="s">
        <v>945</v>
      </c>
      <c r="O6797" s="2" t="s">
        <v>65331</v>
      </c>
      <c r="P6797" s="3" t="s">
        <v>65</v>
      </c>
      <c r="Q6797" s="2" t="s">
        <v>65332</v>
      </c>
      <c r="R6797" s="3" t="s">
        <v>66</v>
      </c>
      <c r="S6797" s="4">
        <v>11</v>
      </c>
      <c r="T6797" s="4">
        <v>11</v>
      </c>
      <c r="U6797" s="5" t="s">
        <v>58342</v>
      </c>
      <c r="V6797" s="5" t="s">
        <v>58342</v>
      </c>
      <c r="W6797" s="5" t="s">
        <v>67</v>
      </c>
      <c r="X6797" s="5" t="s">
        <v>67</v>
      </c>
      <c r="Y6797" s="4">
        <v>15</v>
      </c>
      <c r="Z6797" s="4">
        <v>11</v>
      </c>
      <c r="AA6797" s="4">
        <v>66</v>
      </c>
      <c r="AB6797" s="4">
        <v>1</v>
      </c>
      <c r="AC6797" s="4">
        <v>17</v>
      </c>
      <c r="AD6797" s="4">
        <v>5</v>
      </c>
      <c r="AE6797" s="4">
        <v>51</v>
      </c>
      <c r="AF6797" s="4">
        <v>0</v>
      </c>
      <c r="AG6797" s="4">
        <v>6</v>
      </c>
      <c r="AH6797" s="4">
        <v>2</v>
      </c>
      <c r="AI6797" s="4">
        <v>28</v>
      </c>
      <c r="AJ6797" s="4">
        <v>3</v>
      </c>
      <c r="AK6797" s="4">
        <v>12</v>
      </c>
      <c r="AL6797" s="4">
        <v>1</v>
      </c>
      <c r="AM6797" s="4">
        <v>10</v>
      </c>
      <c r="AN6797" s="4">
        <v>0</v>
      </c>
      <c r="AO6797" s="4">
        <v>0</v>
      </c>
      <c r="AP6797" s="4">
        <v>5</v>
      </c>
      <c r="AQ6797" s="4">
        <v>31</v>
      </c>
      <c r="AR6797" s="3" t="s">
        <v>61</v>
      </c>
      <c r="AS6797" s="3" t="s">
        <v>62</v>
      </c>
      <c r="AT6797" s="3" t="s">
        <v>62</v>
      </c>
      <c r="AV6797" s="6" t="str">
        <f>HYPERLINK("http://mcgill.on.worldcat.org/oclc/230935091","Catalog Record")</f>
        <v>Catalog Record</v>
      </c>
      <c r="AW6797" s="6" t="str">
        <f>HYPERLINK("http://www.worldcat.org/oclc/230935091","WorldCat Record")</f>
        <v>WorldCat Record</v>
      </c>
      <c r="AX6797" s="3" t="s">
        <v>65333</v>
      </c>
      <c r="AY6797" s="3" t="s">
        <v>65334</v>
      </c>
      <c r="AZ6797" s="3" t="s">
        <v>65335</v>
      </c>
      <c r="BA6797" s="3" t="s">
        <v>65335</v>
      </c>
      <c r="BB6797" s="3" t="s">
        <v>65336</v>
      </c>
      <c r="BC6797" s="3" t="s">
        <v>32444</v>
      </c>
      <c r="BD6797" s="3" t="s">
        <v>68</v>
      </c>
      <c r="BF6797" s="3" t="s">
        <v>65336</v>
      </c>
      <c r="BG6797" s="3" t="s">
        <v>65337</v>
      </c>
    </row>
    <row r="6798" spans="1:59" ht="71.25" x14ac:dyDescent="0.45">
      <c r="A6798" s="2" t="s">
        <v>59</v>
      </c>
      <c r="B6798" s="2" t="s">
        <v>48928</v>
      </c>
      <c r="C6798" s="2" t="s">
        <v>65338</v>
      </c>
      <c r="D6798" s="2" t="s">
        <v>65339</v>
      </c>
      <c r="E6798" s="2" t="s">
        <v>65340</v>
      </c>
      <c r="G6798" s="3" t="s">
        <v>61</v>
      </c>
      <c r="I6798" s="3" t="s">
        <v>61</v>
      </c>
      <c r="J6798" s="3" t="s">
        <v>62</v>
      </c>
      <c r="K6798" s="3" t="s">
        <v>63</v>
      </c>
      <c r="M6798" s="2" t="s">
        <v>65341</v>
      </c>
      <c r="N6798" s="3" t="s">
        <v>945</v>
      </c>
      <c r="O6798" s="2" t="s">
        <v>65342</v>
      </c>
      <c r="P6798" s="3" t="s">
        <v>65</v>
      </c>
      <c r="R6798" s="3" t="s">
        <v>66</v>
      </c>
      <c r="S6798" s="4">
        <v>62</v>
      </c>
      <c r="T6798" s="4">
        <v>69</v>
      </c>
      <c r="U6798" s="5" t="s">
        <v>13691</v>
      </c>
      <c r="V6798" s="5" t="s">
        <v>13691</v>
      </c>
      <c r="W6798" s="5" t="s">
        <v>67</v>
      </c>
      <c r="X6798" s="5" t="s">
        <v>67</v>
      </c>
      <c r="Y6798" s="4">
        <v>7</v>
      </c>
      <c r="Z6798" s="4">
        <v>7</v>
      </c>
      <c r="AA6798" s="4">
        <v>96</v>
      </c>
      <c r="AB6798" s="4">
        <v>2</v>
      </c>
      <c r="AC6798" s="4">
        <v>10</v>
      </c>
      <c r="AD6798" s="4">
        <v>4</v>
      </c>
      <c r="AE6798" s="4">
        <v>127</v>
      </c>
      <c r="AF6798" s="4">
        <v>0</v>
      </c>
      <c r="AG6798" s="4">
        <v>5</v>
      </c>
      <c r="AH6798" s="4">
        <v>0</v>
      </c>
      <c r="AI6798" s="4">
        <v>96</v>
      </c>
      <c r="AJ6798" s="4">
        <v>0</v>
      </c>
      <c r="AK6798" s="4">
        <v>23</v>
      </c>
      <c r="AL6798" s="4">
        <v>0</v>
      </c>
      <c r="AM6798" s="4">
        <v>53</v>
      </c>
      <c r="AN6798" s="4">
        <v>0</v>
      </c>
      <c r="AO6798" s="4">
        <v>0</v>
      </c>
      <c r="AP6798" s="4">
        <v>4</v>
      </c>
      <c r="AQ6798" s="4">
        <v>38</v>
      </c>
      <c r="AR6798" s="3" t="s">
        <v>61</v>
      </c>
      <c r="AS6798" s="3" t="s">
        <v>62</v>
      </c>
      <c r="AT6798" s="3" t="s">
        <v>62</v>
      </c>
      <c r="AV6798" s="6" t="str">
        <f>HYPERLINK("http://mcgill.on.worldcat.org/oclc/426457240","Catalog Record")</f>
        <v>Catalog Record</v>
      </c>
      <c r="AW6798" s="6" t="str">
        <f>HYPERLINK("http://www.worldcat.org/oclc/426457240","WorldCat Record")</f>
        <v>WorldCat Record</v>
      </c>
      <c r="AX6798" s="3" t="s">
        <v>65343</v>
      </c>
      <c r="AY6798" s="3" t="s">
        <v>65344</v>
      </c>
      <c r="AZ6798" s="3" t="s">
        <v>65345</v>
      </c>
      <c r="BA6798" s="3" t="s">
        <v>65345</v>
      </c>
      <c r="BB6798" s="3" t="s">
        <v>65346</v>
      </c>
      <c r="BC6798" s="3" t="s">
        <v>32444</v>
      </c>
      <c r="BD6798" s="3" t="s">
        <v>68</v>
      </c>
      <c r="BF6798" s="3" t="s">
        <v>65346</v>
      </c>
      <c r="BG6798" s="3" t="s">
        <v>65347</v>
      </c>
    </row>
    <row r="6799" spans="1:59" ht="85.5" x14ac:dyDescent="0.45">
      <c r="A6799" s="2" t="s">
        <v>59</v>
      </c>
      <c r="B6799" s="2" t="s">
        <v>48928</v>
      </c>
      <c r="C6799" s="2" t="s">
        <v>65348</v>
      </c>
      <c r="D6799" s="2" t="s">
        <v>65349</v>
      </c>
      <c r="E6799" s="2" t="s">
        <v>65350</v>
      </c>
      <c r="F6799" s="3" t="s">
        <v>65351</v>
      </c>
      <c r="G6799" s="3" t="s">
        <v>61</v>
      </c>
      <c r="I6799" s="3" t="s">
        <v>62</v>
      </c>
      <c r="J6799" s="3" t="s">
        <v>62</v>
      </c>
      <c r="K6799" s="3" t="s">
        <v>63</v>
      </c>
      <c r="M6799" s="2" t="s">
        <v>65352</v>
      </c>
      <c r="N6799" s="3" t="s">
        <v>1465</v>
      </c>
      <c r="P6799" s="3" t="s">
        <v>65</v>
      </c>
      <c r="R6799" s="3" t="s">
        <v>66</v>
      </c>
      <c r="S6799" s="4">
        <v>40</v>
      </c>
      <c r="T6799" s="4">
        <v>51</v>
      </c>
      <c r="U6799" s="5" t="s">
        <v>20915</v>
      </c>
      <c r="V6799" s="5" t="s">
        <v>20915</v>
      </c>
      <c r="W6799" s="5" t="s">
        <v>67</v>
      </c>
      <c r="X6799" s="5" t="s">
        <v>67</v>
      </c>
      <c r="Y6799" s="4">
        <v>422</v>
      </c>
      <c r="Z6799" s="4">
        <v>11</v>
      </c>
      <c r="AA6799" s="4">
        <v>32</v>
      </c>
      <c r="AB6799" s="4">
        <v>1</v>
      </c>
      <c r="AC6799" s="4">
        <v>5</v>
      </c>
      <c r="AD6799" s="4">
        <v>86</v>
      </c>
      <c r="AE6799" s="4">
        <v>104</v>
      </c>
      <c r="AF6799" s="4">
        <v>0</v>
      </c>
      <c r="AG6799" s="4">
        <v>3</v>
      </c>
      <c r="AH6799" s="4">
        <v>80</v>
      </c>
      <c r="AI6799" s="4">
        <v>92</v>
      </c>
      <c r="AJ6799" s="4">
        <v>6</v>
      </c>
      <c r="AK6799" s="4">
        <v>16</v>
      </c>
      <c r="AL6799" s="4">
        <v>44</v>
      </c>
      <c r="AM6799" s="4">
        <v>48</v>
      </c>
      <c r="AN6799" s="4">
        <v>0</v>
      </c>
      <c r="AO6799" s="4">
        <v>0</v>
      </c>
      <c r="AP6799" s="4">
        <v>8</v>
      </c>
      <c r="AQ6799" s="4">
        <v>20</v>
      </c>
      <c r="AR6799" s="3" t="s">
        <v>62</v>
      </c>
      <c r="AS6799" s="3" t="s">
        <v>62</v>
      </c>
      <c r="AT6799" s="3" t="s">
        <v>62</v>
      </c>
      <c r="AV6799" s="6" t="str">
        <f>HYPERLINK("http://mcgill.on.worldcat.org/oclc/301587879","Catalog Record")</f>
        <v>Catalog Record</v>
      </c>
      <c r="AW6799" s="6" t="str">
        <f>HYPERLINK("http://www.worldcat.org/oclc/301587879","WorldCat Record")</f>
        <v>WorldCat Record</v>
      </c>
      <c r="AX6799" s="3" t="s">
        <v>65353</v>
      </c>
      <c r="AY6799" s="3" t="s">
        <v>65354</v>
      </c>
      <c r="AZ6799" s="3" t="s">
        <v>65355</v>
      </c>
      <c r="BA6799" s="3" t="s">
        <v>65355</v>
      </c>
      <c r="BB6799" s="3" t="s">
        <v>65356</v>
      </c>
      <c r="BC6799" s="3" t="s">
        <v>32444</v>
      </c>
      <c r="BD6799" s="3" t="s">
        <v>68</v>
      </c>
      <c r="BF6799" s="3" t="s">
        <v>65356</v>
      </c>
      <c r="BG6799" s="3" t="s">
        <v>65357</v>
      </c>
    </row>
    <row r="6800" spans="1:59" ht="85.5" x14ac:dyDescent="0.45">
      <c r="A6800" s="2" t="s">
        <v>59</v>
      </c>
      <c r="B6800" s="2" t="s">
        <v>48928</v>
      </c>
      <c r="C6800" s="2" t="s">
        <v>65358</v>
      </c>
      <c r="D6800" s="2" t="s">
        <v>65359</v>
      </c>
      <c r="E6800" s="2" t="s">
        <v>65350</v>
      </c>
      <c r="F6800" s="3" t="s">
        <v>65360</v>
      </c>
      <c r="G6800" s="3" t="s">
        <v>61</v>
      </c>
      <c r="I6800" s="3" t="s">
        <v>62</v>
      </c>
      <c r="J6800" s="3" t="s">
        <v>62</v>
      </c>
      <c r="K6800" s="3" t="s">
        <v>63</v>
      </c>
      <c r="M6800" s="2" t="s">
        <v>65352</v>
      </c>
      <c r="N6800" s="3" t="s">
        <v>1465</v>
      </c>
      <c r="P6800" s="3" t="s">
        <v>65</v>
      </c>
      <c r="R6800" s="3" t="s">
        <v>66</v>
      </c>
      <c r="S6800" s="4">
        <v>11</v>
      </c>
      <c r="T6800" s="4">
        <v>51</v>
      </c>
      <c r="U6800" s="5" t="s">
        <v>38620</v>
      </c>
      <c r="V6800" s="5" t="s">
        <v>20915</v>
      </c>
      <c r="W6800" s="5" t="s">
        <v>67</v>
      </c>
      <c r="X6800" s="5" t="s">
        <v>67</v>
      </c>
      <c r="Y6800" s="4">
        <v>422</v>
      </c>
      <c r="Z6800" s="4">
        <v>11</v>
      </c>
      <c r="AA6800" s="4">
        <v>32</v>
      </c>
      <c r="AB6800" s="4">
        <v>1</v>
      </c>
      <c r="AC6800" s="4">
        <v>5</v>
      </c>
      <c r="AD6800" s="4">
        <v>86</v>
      </c>
      <c r="AE6800" s="4">
        <v>104</v>
      </c>
      <c r="AF6800" s="4">
        <v>0</v>
      </c>
      <c r="AG6800" s="4">
        <v>3</v>
      </c>
      <c r="AH6800" s="4">
        <v>80</v>
      </c>
      <c r="AI6800" s="4">
        <v>92</v>
      </c>
      <c r="AJ6800" s="4">
        <v>6</v>
      </c>
      <c r="AK6800" s="4">
        <v>16</v>
      </c>
      <c r="AL6800" s="4">
        <v>44</v>
      </c>
      <c r="AM6800" s="4">
        <v>48</v>
      </c>
      <c r="AN6800" s="4">
        <v>0</v>
      </c>
      <c r="AO6800" s="4">
        <v>0</v>
      </c>
      <c r="AP6800" s="4">
        <v>8</v>
      </c>
      <c r="AQ6800" s="4">
        <v>20</v>
      </c>
      <c r="AR6800" s="3" t="s">
        <v>62</v>
      </c>
      <c r="AS6800" s="3" t="s">
        <v>62</v>
      </c>
      <c r="AT6800" s="3" t="s">
        <v>62</v>
      </c>
      <c r="AV6800" s="6" t="str">
        <f>HYPERLINK("http://mcgill.on.worldcat.org/oclc/301587879","Catalog Record")</f>
        <v>Catalog Record</v>
      </c>
      <c r="AW6800" s="6" t="str">
        <f>HYPERLINK("http://www.worldcat.org/oclc/301587879","WorldCat Record")</f>
        <v>WorldCat Record</v>
      </c>
      <c r="AX6800" s="3" t="s">
        <v>65353</v>
      </c>
      <c r="AY6800" s="3" t="s">
        <v>65354</v>
      </c>
      <c r="AZ6800" s="3" t="s">
        <v>65355</v>
      </c>
      <c r="BA6800" s="3" t="s">
        <v>65355</v>
      </c>
      <c r="BB6800" s="3" t="s">
        <v>65361</v>
      </c>
      <c r="BC6800" s="3" t="s">
        <v>32444</v>
      </c>
      <c r="BD6800" s="3" t="s">
        <v>68</v>
      </c>
      <c r="BF6800" s="3" t="s">
        <v>65361</v>
      </c>
      <c r="BG6800" s="3" t="s">
        <v>65362</v>
      </c>
    </row>
    <row r="6801" spans="1:59" ht="71.25" x14ac:dyDescent="0.45">
      <c r="A6801" s="2" t="s">
        <v>59</v>
      </c>
      <c r="B6801" s="2" t="s">
        <v>48928</v>
      </c>
      <c r="C6801" s="2" t="s">
        <v>65363</v>
      </c>
      <c r="D6801" s="2" t="s">
        <v>65364</v>
      </c>
      <c r="E6801" s="2" t="s">
        <v>65365</v>
      </c>
      <c r="G6801" s="3" t="s">
        <v>62</v>
      </c>
      <c r="I6801" s="3" t="s">
        <v>62</v>
      </c>
      <c r="J6801" s="3" t="s">
        <v>62</v>
      </c>
      <c r="K6801" s="3" t="s">
        <v>63</v>
      </c>
      <c r="M6801" s="2" t="s">
        <v>65366</v>
      </c>
      <c r="N6801" s="3" t="s">
        <v>945</v>
      </c>
      <c r="O6801" s="2" t="s">
        <v>65367</v>
      </c>
      <c r="P6801" s="3" t="s">
        <v>65</v>
      </c>
      <c r="R6801" s="3" t="s">
        <v>66</v>
      </c>
      <c r="S6801" s="4">
        <v>19</v>
      </c>
      <c r="T6801" s="4">
        <v>19</v>
      </c>
      <c r="U6801" s="5" t="s">
        <v>40803</v>
      </c>
      <c r="V6801" s="5" t="s">
        <v>40803</v>
      </c>
      <c r="W6801" s="5" t="s">
        <v>67</v>
      </c>
      <c r="X6801" s="5" t="s">
        <v>67</v>
      </c>
      <c r="Y6801" s="4">
        <v>148</v>
      </c>
      <c r="Z6801" s="4">
        <v>7</v>
      </c>
      <c r="AA6801" s="4">
        <v>8</v>
      </c>
      <c r="AB6801" s="4">
        <v>1</v>
      </c>
      <c r="AC6801" s="4">
        <v>1</v>
      </c>
      <c r="AD6801" s="4">
        <v>39</v>
      </c>
      <c r="AE6801" s="4">
        <v>50</v>
      </c>
      <c r="AF6801" s="4">
        <v>0</v>
      </c>
      <c r="AG6801" s="4">
        <v>0</v>
      </c>
      <c r="AH6801" s="4">
        <v>37</v>
      </c>
      <c r="AI6801" s="4">
        <v>48</v>
      </c>
      <c r="AJ6801" s="4">
        <v>4</v>
      </c>
      <c r="AK6801" s="4">
        <v>5</v>
      </c>
      <c r="AL6801" s="4">
        <v>21</v>
      </c>
      <c r="AM6801" s="4">
        <v>31</v>
      </c>
      <c r="AN6801" s="4">
        <v>0</v>
      </c>
      <c r="AO6801" s="4">
        <v>0</v>
      </c>
      <c r="AP6801" s="4">
        <v>5</v>
      </c>
      <c r="AQ6801" s="4">
        <v>6</v>
      </c>
      <c r="AR6801" s="3" t="s">
        <v>62</v>
      </c>
      <c r="AS6801" s="3" t="s">
        <v>62</v>
      </c>
      <c r="AT6801" s="3" t="s">
        <v>62</v>
      </c>
      <c r="AV6801" s="6" t="str">
        <f>HYPERLINK("http://mcgill.on.worldcat.org/oclc/180188609","Catalog Record")</f>
        <v>Catalog Record</v>
      </c>
      <c r="AW6801" s="6" t="str">
        <f>HYPERLINK("http://www.worldcat.org/oclc/180188609","WorldCat Record")</f>
        <v>WorldCat Record</v>
      </c>
      <c r="AX6801" s="3" t="s">
        <v>65368</v>
      </c>
      <c r="AY6801" s="3" t="s">
        <v>65369</v>
      </c>
      <c r="AZ6801" s="3" t="s">
        <v>65370</v>
      </c>
      <c r="BA6801" s="3" t="s">
        <v>65370</v>
      </c>
      <c r="BB6801" s="3" t="s">
        <v>65371</v>
      </c>
      <c r="BC6801" s="3" t="s">
        <v>32444</v>
      </c>
      <c r="BD6801" s="3" t="s">
        <v>68</v>
      </c>
      <c r="BF6801" s="3" t="s">
        <v>65371</v>
      </c>
      <c r="BG6801" s="3" t="s">
        <v>65372</v>
      </c>
    </row>
    <row r="6802" spans="1:59" ht="71.25" x14ac:dyDescent="0.45">
      <c r="A6802" s="2" t="s">
        <v>59</v>
      </c>
      <c r="B6802" s="2" t="s">
        <v>48928</v>
      </c>
      <c r="C6802" s="2" t="s">
        <v>65373</v>
      </c>
      <c r="D6802" s="2" t="s">
        <v>65374</v>
      </c>
      <c r="E6802" s="2" t="s">
        <v>65375</v>
      </c>
      <c r="G6802" s="3" t="s">
        <v>62</v>
      </c>
      <c r="I6802" s="3" t="s">
        <v>62</v>
      </c>
      <c r="J6802" s="3" t="s">
        <v>62</v>
      </c>
      <c r="K6802" s="3" t="s">
        <v>63</v>
      </c>
      <c r="M6802" s="2" t="s">
        <v>65376</v>
      </c>
      <c r="N6802" s="3" t="s">
        <v>894</v>
      </c>
      <c r="P6802" s="3" t="s">
        <v>65</v>
      </c>
      <c r="R6802" s="3" t="s">
        <v>66</v>
      </c>
      <c r="S6802" s="4">
        <v>4</v>
      </c>
      <c r="T6802" s="4">
        <v>4</v>
      </c>
      <c r="U6802" s="5" t="s">
        <v>65377</v>
      </c>
      <c r="V6802" s="5" t="s">
        <v>65377</v>
      </c>
      <c r="W6802" s="5" t="s">
        <v>67</v>
      </c>
      <c r="X6802" s="5" t="s">
        <v>67</v>
      </c>
      <c r="Y6802" s="4">
        <v>93</v>
      </c>
      <c r="Z6802" s="4">
        <v>4</v>
      </c>
      <c r="AA6802" s="4">
        <v>13</v>
      </c>
      <c r="AB6802" s="4">
        <v>1</v>
      </c>
      <c r="AC6802" s="4">
        <v>2</v>
      </c>
      <c r="AD6802" s="4">
        <v>22</v>
      </c>
      <c r="AE6802" s="4">
        <v>43</v>
      </c>
      <c r="AF6802" s="4">
        <v>0</v>
      </c>
      <c r="AG6802" s="4">
        <v>1</v>
      </c>
      <c r="AH6802" s="4">
        <v>21</v>
      </c>
      <c r="AI6802" s="4">
        <v>38</v>
      </c>
      <c r="AJ6802" s="4">
        <v>1</v>
      </c>
      <c r="AK6802" s="4">
        <v>7</v>
      </c>
      <c r="AL6802" s="4">
        <v>14</v>
      </c>
      <c r="AM6802" s="4">
        <v>27</v>
      </c>
      <c r="AN6802" s="4">
        <v>0</v>
      </c>
      <c r="AO6802" s="4">
        <v>0</v>
      </c>
      <c r="AP6802" s="4">
        <v>2</v>
      </c>
      <c r="AQ6802" s="4">
        <v>10</v>
      </c>
      <c r="AR6802" s="3" t="s">
        <v>62</v>
      </c>
      <c r="AS6802" s="3" t="s">
        <v>62</v>
      </c>
      <c r="AT6802" s="3" t="s">
        <v>62</v>
      </c>
      <c r="AV6802" s="6" t="str">
        <f>HYPERLINK("http://mcgill.on.worldcat.org/oclc/767618490","Catalog Record")</f>
        <v>Catalog Record</v>
      </c>
      <c r="AW6802" s="6" t="str">
        <f>HYPERLINK("http://www.worldcat.org/oclc/767618490","WorldCat Record")</f>
        <v>WorldCat Record</v>
      </c>
      <c r="AX6802" s="3" t="s">
        <v>65378</v>
      </c>
      <c r="AY6802" s="3" t="s">
        <v>65379</v>
      </c>
      <c r="AZ6802" s="3" t="s">
        <v>65380</v>
      </c>
      <c r="BA6802" s="3" t="s">
        <v>65380</v>
      </c>
      <c r="BB6802" s="3" t="s">
        <v>65381</v>
      </c>
      <c r="BC6802" s="3" t="s">
        <v>32444</v>
      </c>
      <c r="BD6802" s="3" t="s">
        <v>68</v>
      </c>
      <c r="BE6802" s="3" t="s">
        <v>65382</v>
      </c>
      <c r="BF6802" s="3" t="s">
        <v>65381</v>
      </c>
      <c r="BG6802" s="3" t="s">
        <v>65383</v>
      </c>
    </row>
    <row r="6803" spans="1:59" ht="71.25" x14ac:dyDescent="0.45">
      <c r="A6803" s="2" t="s">
        <v>59</v>
      </c>
      <c r="B6803" s="2" t="s">
        <v>48928</v>
      </c>
      <c r="C6803" s="2" t="s">
        <v>65384</v>
      </c>
      <c r="D6803" s="2" t="s">
        <v>65385</v>
      </c>
      <c r="E6803" s="2" t="s">
        <v>65386</v>
      </c>
      <c r="F6803" s="3" t="s">
        <v>65387</v>
      </c>
      <c r="G6803" s="3" t="s">
        <v>61</v>
      </c>
      <c r="I6803" s="3" t="s">
        <v>62</v>
      </c>
      <c r="J6803" s="3" t="s">
        <v>62</v>
      </c>
      <c r="K6803" s="3" t="s">
        <v>63</v>
      </c>
      <c r="L6803" s="2" t="s">
        <v>65388</v>
      </c>
      <c r="M6803" s="2" t="s">
        <v>65389</v>
      </c>
      <c r="N6803" s="3" t="s">
        <v>894</v>
      </c>
      <c r="P6803" s="3" t="s">
        <v>65</v>
      </c>
      <c r="Q6803" s="2" t="s">
        <v>65390</v>
      </c>
      <c r="R6803" s="3" t="s">
        <v>66</v>
      </c>
      <c r="S6803" s="4">
        <v>14</v>
      </c>
      <c r="T6803" s="4">
        <v>23</v>
      </c>
      <c r="U6803" s="5" t="s">
        <v>38630</v>
      </c>
      <c r="V6803" s="5" t="s">
        <v>38630</v>
      </c>
      <c r="W6803" s="5" t="s">
        <v>67</v>
      </c>
      <c r="X6803" s="5" t="s">
        <v>67</v>
      </c>
      <c r="Y6803" s="4">
        <v>282</v>
      </c>
      <c r="Z6803" s="4">
        <v>14</v>
      </c>
      <c r="AA6803" s="4">
        <v>15</v>
      </c>
      <c r="AB6803" s="4">
        <v>0</v>
      </c>
      <c r="AC6803" s="4">
        <v>0</v>
      </c>
      <c r="AD6803" s="4">
        <v>10</v>
      </c>
      <c r="AE6803" s="4">
        <v>10</v>
      </c>
      <c r="AF6803" s="4">
        <v>0</v>
      </c>
      <c r="AG6803" s="4">
        <v>0</v>
      </c>
      <c r="AH6803" s="4">
        <v>9</v>
      </c>
      <c r="AI6803" s="4">
        <v>9</v>
      </c>
      <c r="AJ6803" s="4">
        <v>3</v>
      </c>
      <c r="AK6803" s="4">
        <v>3</v>
      </c>
      <c r="AL6803" s="4">
        <v>3</v>
      </c>
      <c r="AM6803" s="4">
        <v>3</v>
      </c>
      <c r="AN6803" s="4">
        <v>0</v>
      </c>
      <c r="AO6803" s="4">
        <v>0</v>
      </c>
      <c r="AP6803" s="4">
        <v>3</v>
      </c>
      <c r="AQ6803" s="4">
        <v>3</v>
      </c>
      <c r="AR6803" s="3" t="s">
        <v>62</v>
      </c>
      <c r="AS6803" s="3" t="s">
        <v>62</v>
      </c>
      <c r="AT6803" s="3" t="s">
        <v>62</v>
      </c>
      <c r="AV6803" s="6" t="str">
        <f>HYPERLINK("http://mcgill.on.worldcat.org/oclc/727944159","Catalog Record")</f>
        <v>Catalog Record</v>
      </c>
      <c r="AW6803" s="6" t="str">
        <f>HYPERLINK("http://www.worldcat.org/oclc/727944159","WorldCat Record")</f>
        <v>WorldCat Record</v>
      </c>
      <c r="AX6803" s="3" t="s">
        <v>65391</v>
      </c>
      <c r="AY6803" s="3" t="s">
        <v>65392</v>
      </c>
      <c r="AZ6803" s="3" t="s">
        <v>65393</v>
      </c>
      <c r="BA6803" s="3" t="s">
        <v>65393</v>
      </c>
      <c r="BB6803" s="3" t="s">
        <v>65394</v>
      </c>
      <c r="BC6803" s="3" t="s">
        <v>32444</v>
      </c>
      <c r="BD6803" s="3" t="s">
        <v>308</v>
      </c>
      <c r="BE6803" s="3" t="s">
        <v>65395</v>
      </c>
      <c r="BF6803" s="3" t="s">
        <v>65394</v>
      </c>
      <c r="BG6803" s="3" t="s">
        <v>65396</v>
      </c>
    </row>
    <row r="6804" spans="1:59" ht="71.25" x14ac:dyDescent="0.45">
      <c r="A6804" s="2" t="s">
        <v>59</v>
      </c>
      <c r="B6804" s="2" t="s">
        <v>48928</v>
      </c>
      <c r="C6804" s="2" t="s">
        <v>65384</v>
      </c>
      <c r="D6804" s="2" t="s">
        <v>65385</v>
      </c>
      <c r="E6804" s="2" t="s">
        <v>65386</v>
      </c>
      <c r="F6804" s="3" t="s">
        <v>65397</v>
      </c>
      <c r="G6804" s="3" t="s">
        <v>61</v>
      </c>
      <c r="I6804" s="3" t="s">
        <v>62</v>
      </c>
      <c r="J6804" s="3" t="s">
        <v>62</v>
      </c>
      <c r="K6804" s="3" t="s">
        <v>63</v>
      </c>
      <c r="L6804" s="2" t="s">
        <v>65388</v>
      </c>
      <c r="M6804" s="2" t="s">
        <v>65389</v>
      </c>
      <c r="N6804" s="3" t="s">
        <v>894</v>
      </c>
      <c r="P6804" s="3" t="s">
        <v>65</v>
      </c>
      <c r="Q6804" s="2" t="s">
        <v>65390</v>
      </c>
      <c r="R6804" s="3" t="s">
        <v>66</v>
      </c>
      <c r="S6804" s="4">
        <v>9</v>
      </c>
      <c r="T6804" s="4">
        <v>23</v>
      </c>
      <c r="U6804" s="5" t="s">
        <v>38630</v>
      </c>
      <c r="V6804" s="5" t="s">
        <v>38630</v>
      </c>
      <c r="W6804" s="5" t="s">
        <v>67</v>
      </c>
      <c r="X6804" s="5" t="s">
        <v>67</v>
      </c>
      <c r="Y6804" s="4">
        <v>282</v>
      </c>
      <c r="Z6804" s="4">
        <v>14</v>
      </c>
      <c r="AA6804" s="4">
        <v>15</v>
      </c>
      <c r="AB6804" s="4">
        <v>0</v>
      </c>
      <c r="AC6804" s="4">
        <v>0</v>
      </c>
      <c r="AD6804" s="4">
        <v>10</v>
      </c>
      <c r="AE6804" s="4">
        <v>10</v>
      </c>
      <c r="AF6804" s="4">
        <v>0</v>
      </c>
      <c r="AG6804" s="4">
        <v>0</v>
      </c>
      <c r="AH6804" s="4">
        <v>9</v>
      </c>
      <c r="AI6804" s="4">
        <v>9</v>
      </c>
      <c r="AJ6804" s="4">
        <v>3</v>
      </c>
      <c r="AK6804" s="4">
        <v>3</v>
      </c>
      <c r="AL6804" s="4">
        <v>3</v>
      </c>
      <c r="AM6804" s="4">
        <v>3</v>
      </c>
      <c r="AN6804" s="4">
        <v>0</v>
      </c>
      <c r="AO6804" s="4">
        <v>0</v>
      </c>
      <c r="AP6804" s="4">
        <v>3</v>
      </c>
      <c r="AQ6804" s="4">
        <v>3</v>
      </c>
      <c r="AR6804" s="3" t="s">
        <v>62</v>
      </c>
      <c r="AS6804" s="3" t="s">
        <v>62</v>
      </c>
      <c r="AT6804" s="3" t="s">
        <v>62</v>
      </c>
      <c r="AV6804" s="6" t="str">
        <f>HYPERLINK("http://mcgill.on.worldcat.org/oclc/727944159","Catalog Record")</f>
        <v>Catalog Record</v>
      </c>
      <c r="AW6804" s="6" t="str">
        <f>HYPERLINK("http://www.worldcat.org/oclc/727944159","WorldCat Record")</f>
        <v>WorldCat Record</v>
      </c>
      <c r="AX6804" s="3" t="s">
        <v>65391</v>
      </c>
      <c r="AY6804" s="3" t="s">
        <v>65392</v>
      </c>
      <c r="AZ6804" s="3" t="s">
        <v>65393</v>
      </c>
      <c r="BA6804" s="3" t="s">
        <v>65393</v>
      </c>
      <c r="BB6804" s="3" t="s">
        <v>65398</v>
      </c>
      <c r="BC6804" s="3" t="s">
        <v>32444</v>
      </c>
      <c r="BD6804" s="3" t="s">
        <v>308</v>
      </c>
      <c r="BE6804" s="3" t="s">
        <v>65395</v>
      </c>
      <c r="BF6804" s="3" t="s">
        <v>65398</v>
      </c>
      <c r="BG6804" s="3" t="s">
        <v>65399</v>
      </c>
    </row>
    <row r="6805" spans="1:59" ht="85.5" x14ac:dyDescent="0.45">
      <c r="A6805" s="2" t="s">
        <v>59</v>
      </c>
      <c r="B6805" s="2" t="s">
        <v>65400</v>
      </c>
      <c r="C6805" s="2" t="s">
        <v>65401</v>
      </c>
      <c r="D6805" s="2" t="s">
        <v>65402</v>
      </c>
      <c r="E6805" s="2" t="s">
        <v>65403</v>
      </c>
      <c r="G6805" s="3" t="s">
        <v>62</v>
      </c>
      <c r="I6805" s="3" t="s">
        <v>61</v>
      </c>
      <c r="J6805" s="3" t="s">
        <v>62</v>
      </c>
      <c r="K6805" s="3" t="s">
        <v>63</v>
      </c>
      <c r="L6805" s="2" t="s">
        <v>65404</v>
      </c>
      <c r="M6805" s="2" t="s">
        <v>65405</v>
      </c>
      <c r="N6805" s="3" t="s">
        <v>1478</v>
      </c>
      <c r="P6805" s="3" t="s">
        <v>65</v>
      </c>
      <c r="Q6805" s="2" t="s">
        <v>65406</v>
      </c>
      <c r="R6805" s="3" t="s">
        <v>66</v>
      </c>
      <c r="S6805" s="4">
        <v>0</v>
      </c>
      <c r="T6805" s="4">
        <v>23</v>
      </c>
      <c r="V6805" s="5" t="s">
        <v>2084</v>
      </c>
      <c r="W6805" s="5" t="s">
        <v>67</v>
      </c>
      <c r="X6805" s="5" t="s">
        <v>67</v>
      </c>
      <c r="Y6805" s="4">
        <v>89</v>
      </c>
      <c r="Z6805" s="4">
        <v>58</v>
      </c>
      <c r="AA6805" s="4">
        <v>58</v>
      </c>
      <c r="AB6805" s="4">
        <v>4</v>
      </c>
      <c r="AC6805" s="4">
        <v>4</v>
      </c>
      <c r="AD6805" s="4">
        <v>49</v>
      </c>
      <c r="AE6805" s="4">
        <v>49</v>
      </c>
      <c r="AF6805" s="4">
        <v>2</v>
      </c>
      <c r="AG6805" s="4">
        <v>2</v>
      </c>
      <c r="AH6805" s="4">
        <v>26</v>
      </c>
      <c r="AI6805" s="4">
        <v>26</v>
      </c>
      <c r="AJ6805" s="4">
        <v>19</v>
      </c>
      <c r="AK6805" s="4">
        <v>19</v>
      </c>
      <c r="AL6805" s="4">
        <v>13</v>
      </c>
      <c r="AM6805" s="4">
        <v>13</v>
      </c>
      <c r="AN6805" s="4">
        <v>0</v>
      </c>
      <c r="AO6805" s="4">
        <v>0</v>
      </c>
      <c r="AP6805" s="4">
        <v>30</v>
      </c>
      <c r="AQ6805" s="4">
        <v>30</v>
      </c>
      <c r="AR6805" s="3" t="s">
        <v>61</v>
      </c>
      <c r="AS6805" s="3" t="s">
        <v>62</v>
      </c>
      <c r="AT6805" s="3" t="s">
        <v>61</v>
      </c>
      <c r="AU6805" s="6" t="str">
        <f>HYPERLINK("http://catalog.hathitrust.org/Record/101743078","HathiTrust Record")</f>
        <v>HathiTrust Record</v>
      </c>
      <c r="AV6805" s="6" t="str">
        <f>HYPERLINK("http://mcgill.on.worldcat.org/oclc/36485687","Catalog Record")</f>
        <v>Catalog Record</v>
      </c>
      <c r="AW6805" s="6" t="str">
        <f>HYPERLINK("http://www.worldcat.org/oclc/36485687","WorldCat Record")</f>
        <v>WorldCat Record</v>
      </c>
      <c r="AX6805" s="3" t="s">
        <v>65407</v>
      </c>
      <c r="AY6805" s="3" t="s">
        <v>65408</v>
      </c>
      <c r="AZ6805" s="3" t="s">
        <v>65409</v>
      </c>
      <c r="BA6805" s="3" t="s">
        <v>65409</v>
      </c>
      <c r="BB6805" s="3" t="s">
        <v>65410</v>
      </c>
      <c r="BC6805" s="3" t="s">
        <v>142</v>
      </c>
      <c r="BD6805" s="3" t="s">
        <v>68</v>
      </c>
      <c r="BE6805" s="3" t="s">
        <v>65411</v>
      </c>
      <c r="BF6805" s="3" t="s">
        <v>65410</v>
      </c>
      <c r="BG6805" s="3" t="s">
        <v>65412</v>
      </c>
    </row>
    <row r="6806" spans="1:59" ht="85.5" x14ac:dyDescent="0.45">
      <c r="A6806" s="2" t="s">
        <v>59</v>
      </c>
      <c r="B6806" s="2" t="s">
        <v>65400</v>
      </c>
      <c r="C6806" s="2" t="s">
        <v>65413</v>
      </c>
      <c r="D6806" s="2" t="s">
        <v>65414</v>
      </c>
      <c r="E6806" s="2" t="s">
        <v>65415</v>
      </c>
      <c r="G6806" s="3" t="s">
        <v>62</v>
      </c>
      <c r="I6806" s="3" t="s">
        <v>62</v>
      </c>
      <c r="J6806" s="3" t="s">
        <v>62</v>
      </c>
      <c r="K6806" s="3" t="s">
        <v>63</v>
      </c>
      <c r="L6806" s="2" t="s">
        <v>65416</v>
      </c>
      <c r="M6806" s="2" t="s">
        <v>65417</v>
      </c>
      <c r="N6806" s="3" t="s">
        <v>149</v>
      </c>
      <c r="P6806" s="3" t="s">
        <v>65</v>
      </c>
      <c r="R6806" s="3" t="s">
        <v>66</v>
      </c>
      <c r="S6806" s="4">
        <v>0</v>
      </c>
      <c r="T6806" s="4">
        <v>0</v>
      </c>
      <c r="W6806" s="5" t="s">
        <v>67</v>
      </c>
      <c r="X6806" s="5" t="s">
        <v>67</v>
      </c>
      <c r="Y6806" s="4">
        <v>11</v>
      </c>
      <c r="Z6806" s="4">
        <v>8</v>
      </c>
      <c r="AA6806" s="4">
        <v>9</v>
      </c>
      <c r="AB6806" s="4">
        <v>1</v>
      </c>
      <c r="AC6806" s="4">
        <v>1</v>
      </c>
      <c r="AD6806" s="4">
        <v>5</v>
      </c>
      <c r="AE6806" s="4">
        <v>6</v>
      </c>
      <c r="AF6806" s="4">
        <v>0</v>
      </c>
      <c r="AG6806" s="4">
        <v>0</v>
      </c>
      <c r="AH6806" s="4">
        <v>4</v>
      </c>
      <c r="AI6806" s="4">
        <v>4</v>
      </c>
      <c r="AJ6806" s="4">
        <v>3</v>
      </c>
      <c r="AK6806" s="4">
        <v>4</v>
      </c>
      <c r="AL6806" s="4">
        <v>1</v>
      </c>
      <c r="AM6806" s="4">
        <v>1</v>
      </c>
      <c r="AN6806" s="4">
        <v>0</v>
      </c>
      <c r="AO6806" s="4">
        <v>0</v>
      </c>
      <c r="AP6806" s="4">
        <v>4</v>
      </c>
      <c r="AQ6806" s="4">
        <v>4</v>
      </c>
      <c r="AR6806" s="3" t="s">
        <v>61</v>
      </c>
      <c r="AS6806" s="3" t="s">
        <v>62</v>
      </c>
      <c r="AT6806" s="3" t="s">
        <v>62</v>
      </c>
      <c r="AV6806" s="6" t="str">
        <f>HYPERLINK("http://mcgill.on.worldcat.org/oclc/666513238","Catalog Record")</f>
        <v>Catalog Record</v>
      </c>
      <c r="AW6806" s="6" t="str">
        <f>HYPERLINK("http://www.worldcat.org/oclc/666513238","WorldCat Record")</f>
        <v>WorldCat Record</v>
      </c>
      <c r="AX6806" s="3" t="s">
        <v>65418</v>
      </c>
      <c r="AY6806" s="3" t="s">
        <v>65419</v>
      </c>
      <c r="AZ6806" s="3" t="s">
        <v>65420</v>
      </c>
      <c r="BA6806" s="3" t="s">
        <v>65420</v>
      </c>
      <c r="BB6806" s="3" t="s">
        <v>65421</v>
      </c>
      <c r="BC6806" s="3" t="s">
        <v>142</v>
      </c>
      <c r="BD6806" s="3" t="s">
        <v>68</v>
      </c>
      <c r="BF6806" s="3" t="s">
        <v>65421</v>
      </c>
      <c r="BG6806" s="3" t="s">
        <v>65422</v>
      </c>
    </row>
    <row r="6807" spans="1:59" ht="85.5" x14ac:dyDescent="0.45">
      <c r="A6807" s="2" t="s">
        <v>59</v>
      </c>
      <c r="B6807" s="2" t="s">
        <v>65400</v>
      </c>
      <c r="C6807" s="2" t="s">
        <v>65423</v>
      </c>
      <c r="D6807" s="2" t="s">
        <v>65424</v>
      </c>
      <c r="E6807" s="2" t="s">
        <v>15411</v>
      </c>
      <c r="G6807" s="3" t="s">
        <v>61</v>
      </c>
      <c r="I6807" s="3" t="s">
        <v>61</v>
      </c>
      <c r="J6807" s="3" t="s">
        <v>62</v>
      </c>
      <c r="K6807" s="3" t="s">
        <v>63</v>
      </c>
      <c r="L6807" s="2" t="s">
        <v>15412</v>
      </c>
      <c r="M6807" s="2" t="s">
        <v>15413</v>
      </c>
      <c r="N6807" s="3" t="s">
        <v>435</v>
      </c>
      <c r="P6807" s="3" t="s">
        <v>65</v>
      </c>
      <c r="R6807" s="3" t="s">
        <v>66</v>
      </c>
      <c r="S6807" s="4">
        <v>0</v>
      </c>
      <c r="T6807" s="4">
        <v>34</v>
      </c>
      <c r="V6807" s="5" t="s">
        <v>15414</v>
      </c>
      <c r="W6807" s="5" t="s">
        <v>67</v>
      </c>
      <c r="X6807" s="5" t="s">
        <v>67</v>
      </c>
      <c r="Y6807" s="4">
        <v>16</v>
      </c>
      <c r="Z6807" s="4">
        <v>16</v>
      </c>
      <c r="AA6807" s="4">
        <v>16</v>
      </c>
      <c r="AB6807" s="4">
        <v>3</v>
      </c>
      <c r="AC6807" s="4">
        <v>3</v>
      </c>
      <c r="AD6807" s="4">
        <v>9</v>
      </c>
      <c r="AE6807" s="4">
        <v>9</v>
      </c>
      <c r="AF6807" s="4">
        <v>1</v>
      </c>
      <c r="AG6807" s="4">
        <v>1</v>
      </c>
      <c r="AH6807" s="4">
        <v>5</v>
      </c>
      <c r="AI6807" s="4">
        <v>5</v>
      </c>
      <c r="AJ6807" s="4">
        <v>7</v>
      </c>
      <c r="AK6807" s="4">
        <v>7</v>
      </c>
      <c r="AL6807" s="4">
        <v>1</v>
      </c>
      <c r="AM6807" s="4">
        <v>1</v>
      </c>
      <c r="AN6807" s="4">
        <v>0</v>
      </c>
      <c r="AO6807" s="4">
        <v>0</v>
      </c>
      <c r="AP6807" s="4">
        <v>7</v>
      </c>
      <c r="AQ6807" s="4">
        <v>7</v>
      </c>
      <c r="AR6807" s="3" t="s">
        <v>61</v>
      </c>
      <c r="AS6807" s="3" t="s">
        <v>62</v>
      </c>
      <c r="AT6807" s="3" t="s">
        <v>61</v>
      </c>
      <c r="AU6807" s="6" t="str">
        <f>HYPERLINK("http://catalog.hathitrust.org/Record/007406562","HathiTrust Record")</f>
        <v>HathiTrust Record</v>
      </c>
      <c r="AV6807" s="6" t="str">
        <f>HYPERLINK("http://mcgill.on.worldcat.org/oclc/426948755","Catalog Record")</f>
        <v>Catalog Record</v>
      </c>
      <c r="AW6807" s="6" t="str">
        <f>HYPERLINK("http://www.worldcat.org/oclc/426948755","WorldCat Record")</f>
        <v>WorldCat Record</v>
      </c>
      <c r="AX6807" s="3" t="s">
        <v>15415</v>
      </c>
      <c r="AY6807" s="3" t="s">
        <v>15416</v>
      </c>
      <c r="AZ6807" s="3" t="s">
        <v>15417</v>
      </c>
      <c r="BA6807" s="3" t="s">
        <v>15417</v>
      </c>
      <c r="BB6807" s="3" t="s">
        <v>65425</v>
      </c>
      <c r="BC6807" s="3" t="s">
        <v>142</v>
      </c>
      <c r="BD6807" s="3" t="s">
        <v>68</v>
      </c>
      <c r="BF6807" s="3" t="s">
        <v>65425</v>
      </c>
      <c r="BG6807" s="3" t="s">
        <v>65426</v>
      </c>
    </row>
    <row r="6808" spans="1:59" ht="85.5" x14ac:dyDescent="0.45">
      <c r="A6808" s="2" t="s">
        <v>59</v>
      </c>
      <c r="B6808" s="2" t="s">
        <v>65400</v>
      </c>
      <c r="C6808" s="2" t="s">
        <v>65427</v>
      </c>
      <c r="D6808" s="2" t="s">
        <v>65428</v>
      </c>
      <c r="E6808" s="2" t="s">
        <v>22323</v>
      </c>
      <c r="G6808" s="3" t="s">
        <v>62</v>
      </c>
      <c r="I6808" s="3" t="s">
        <v>61</v>
      </c>
      <c r="J6808" s="3" t="s">
        <v>62</v>
      </c>
      <c r="K6808" s="3" t="s">
        <v>63</v>
      </c>
      <c r="M6808" s="2" t="s">
        <v>22324</v>
      </c>
      <c r="N6808" s="3" t="s">
        <v>807</v>
      </c>
      <c r="P6808" s="3" t="s">
        <v>65</v>
      </c>
      <c r="Q6808" s="2" t="s">
        <v>22325</v>
      </c>
      <c r="R6808" s="3" t="s">
        <v>66</v>
      </c>
      <c r="S6808" s="4">
        <v>0</v>
      </c>
      <c r="T6808" s="4">
        <v>47</v>
      </c>
      <c r="V6808" s="5" t="s">
        <v>4176</v>
      </c>
      <c r="W6808" s="5" t="s">
        <v>67</v>
      </c>
      <c r="X6808" s="5" t="s">
        <v>67</v>
      </c>
      <c r="Y6808" s="4">
        <v>160</v>
      </c>
      <c r="Z6808" s="4">
        <v>84</v>
      </c>
      <c r="AA6808" s="4">
        <v>87</v>
      </c>
      <c r="AB6808" s="4">
        <v>5</v>
      </c>
      <c r="AC6808" s="4">
        <v>5</v>
      </c>
      <c r="AD6808" s="4">
        <v>73</v>
      </c>
      <c r="AE6808" s="4">
        <v>76</v>
      </c>
      <c r="AF6808" s="4">
        <v>2</v>
      </c>
      <c r="AG6808" s="4">
        <v>2</v>
      </c>
      <c r="AH6808" s="4">
        <v>43</v>
      </c>
      <c r="AI6808" s="4">
        <v>43</v>
      </c>
      <c r="AJ6808" s="4">
        <v>22</v>
      </c>
      <c r="AK6808" s="4">
        <v>23</v>
      </c>
      <c r="AL6808" s="4">
        <v>24</v>
      </c>
      <c r="AM6808" s="4">
        <v>24</v>
      </c>
      <c r="AN6808" s="4">
        <v>0</v>
      </c>
      <c r="AO6808" s="4">
        <v>0</v>
      </c>
      <c r="AP6808" s="4">
        <v>41</v>
      </c>
      <c r="AQ6808" s="4">
        <v>44</v>
      </c>
      <c r="AR6808" s="3" t="s">
        <v>61</v>
      </c>
      <c r="AS6808" s="3" t="s">
        <v>62</v>
      </c>
      <c r="AT6808" s="3" t="s">
        <v>61</v>
      </c>
      <c r="AU6808" s="6" t="str">
        <f>HYPERLINK("http://catalog.hathitrust.org/Record/002635423","HathiTrust Record")</f>
        <v>HathiTrust Record</v>
      </c>
      <c r="AV6808" s="6" t="str">
        <f>HYPERLINK("http://mcgill.on.worldcat.org/oclc/28888182","Catalog Record")</f>
        <v>Catalog Record</v>
      </c>
      <c r="AW6808" s="6" t="str">
        <f>HYPERLINK("http://www.worldcat.org/oclc/28888182","WorldCat Record")</f>
        <v>WorldCat Record</v>
      </c>
      <c r="AX6808" s="3" t="s">
        <v>22326</v>
      </c>
      <c r="AY6808" s="3" t="s">
        <v>22327</v>
      </c>
      <c r="AZ6808" s="3" t="s">
        <v>22328</v>
      </c>
      <c r="BA6808" s="3" t="s">
        <v>22328</v>
      </c>
      <c r="BB6808" s="3" t="s">
        <v>65429</v>
      </c>
      <c r="BC6808" s="3" t="s">
        <v>142</v>
      </c>
      <c r="BD6808" s="3" t="s">
        <v>68</v>
      </c>
      <c r="BE6808" s="3" t="s">
        <v>22330</v>
      </c>
      <c r="BF6808" s="3" t="s">
        <v>65429</v>
      </c>
      <c r="BG6808" s="3" t="s">
        <v>65430</v>
      </c>
    </row>
    <row r="6809" spans="1:59" ht="85.5" x14ac:dyDescent="0.45">
      <c r="A6809" s="2" t="s">
        <v>59</v>
      </c>
      <c r="B6809" s="2" t="s">
        <v>65400</v>
      </c>
      <c r="C6809" s="2" t="s">
        <v>65431</v>
      </c>
      <c r="D6809" s="2" t="s">
        <v>65432</v>
      </c>
      <c r="E6809" s="2" t="s">
        <v>64058</v>
      </c>
      <c r="G6809" s="3" t="s">
        <v>62</v>
      </c>
      <c r="I6809" s="3" t="s">
        <v>61</v>
      </c>
      <c r="J6809" s="3" t="s">
        <v>62</v>
      </c>
      <c r="K6809" s="3" t="s">
        <v>63</v>
      </c>
      <c r="M6809" s="2" t="s">
        <v>64059</v>
      </c>
      <c r="N6809" s="3" t="s">
        <v>106</v>
      </c>
      <c r="P6809" s="3" t="s">
        <v>110</v>
      </c>
      <c r="Q6809" s="2" t="s">
        <v>64060</v>
      </c>
      <c r="R6809" s="3" t="s">
        <v>66</v>
      </c>
      <c r="S6809" s="4">
        <v>0</v>
      </c>
      <c r="T6809" s="4">
        <v>34</v>
      </c>
      <c r="V6809" s="5" t="s">
        <v>13252</v>
      </c>
      <c r="W6809" s="5" t="s">
        <v>67</v>
      </c>
      <c r="X6809" s="5" t="s">
        <v>67</v>
      </c>
      <c r="Y6809" s="4">
        <v>124</v>
      </c>
      <c r="Z6809" s="4">
        <v>30</v>
      </c>
      <c r="AA6809" s="4">
        <v>55</v>
      </c>
      <c r="AB6809" s="4">
        <v>2</v>
      </c>
      <c r="AC6809" s="4">
        <v>19</v>
      </c>
      <c r="AD6809" s="4">
        <v>52</v>
      </c>
      <c r="AE6809" s="4">
        <v>62</v>
      </c>
      <c r="AF6809" s="4">
        <v>0</v>
      </c>
      <c r="AG6809" s="4">
        <v>7</v>
      </c>
      <c r="AH6809" s="4">
        <v>35</v>
      </c>
      <c r="AI6809" s="4">
        <v>36</v>
      </c>
      <c r="AJ6809" s="4">
        <v>15</v>
      </c>
      <c r="AK6809" s="4">
        <v>21</v>
      </c>
      <c r="AL6809" s="4">
        <v>23</v>
      </c>
      <c r="AM6809" s="4">
        <v>23</v>
      </c>
      <c r="AN6809" s="4">
        <v>0</v>
      </c>
      <c r="AO6809" s="4">
        <v>0</v>
      </c>
      <c r="AP6809" s="4">
        <v>22</v>
      </c>
      <c r="AQ6809" s="4">
        <v>30</v>
      </c>
      <c r="AR6809" s="3" t="s">
        <v>61</v>
      </c>
      <c r="AS6809" s="3" t="s">
        <v>62</v>
      </c>
      <c r="AT6809" s="3" t="s">
        <v>62</v>
      </c>
      <c r="AV6809" s="6" t="str">
        <f>HYPERLINK("http://mcgill.on.worldcat.org/oclc/10112700","Catalog Record")</f>
        <v>Catalog Record</v>
      </c>
      <c r="AW6809" s="6" t="str">
        <f>HYPERLINK("http://www.worldcat.org/oclc/10112700","WorldCat Record")</f>
        <v>WorldCat Record</v>
      </c>
      <c r="AX6809" s="3" t="s">
        <v>64061</v>
      </c>
      <c r="AY6809" s="3" t="s">
        <v>64062</v>
      </c>
      <c r="AZ6809" s="3" t="s">
        <v>64063</v>
      </c>
      <c r="BA6809" s="3" t="s">
        <v>64063</v>
      </c>
      <c r="BB6809" s="3" t="s">
        <v>65433</v>
      </c>
      <c r="BC6809" s="3" t="s">
        <v>142</v>
      </c>
      <c r="BD6809" s="3" t="s">
        <v>68</v>
      </c>
      <c r="BE6809" s="3" t="s">
        <v>64065</v>
      </c>
      <c r="BF6809" s="3" t="s">
        <v>65433</v>
      </c>
      <c r="BG6809" s="3" t="s">
        <v>65434</v>
      </c>
    </row>
    <row r="6810" spans="1:59" ht="85.5" x14ac:dyDescent="0.45">
      <c r="A6810" s="2" t="s">
        <v>59</v>
      </c>
      <c r="B6810" s="2" t="s">
        <v>65400</v>
      </c>
      <c r="C6810" s="2" t="s">
        <v>65435</v>
      </c>
      <c r="D6810" s="2" t="s">
        <v>65436</v>
      </c>
      <c r="E6810" s="2" t="s">
        <v>39929</v>
      </c>
      <c r="G6810" s="3" t="s">
        <v>62</v>
      </c>
      <c r="I6810" s="3" t="s">
        <v>61</v>
      </c>
      <c r="J6810" s="3" t="s">
        <v>62</v>
      </c>
      <c r="K6810" s="3" t="s">
        <v>63</v>
      </c>
      <c r="L6810" s="2" t="s">
        <v>39930</v>
      </c>
      <c r="M6810" s="2" t="s">
        <v>39931</v>
      </c>
      <c r="N6810" s="3" t="s">
        <v>1239</v>
      </c>
      <c r="P6810" s="3" t="s">
        <v>110</v>
      </c>
      <c r="Q6810" s="2" t="s">
        <v>39932</v>
      </c>
      <c r="R6810" s="3" t="s">
        <v>66</v>
      </c>
      <c r="S6810" s="4">
        <v>0</v>
      </c>
      <c r="T6810" s="4">
        <v>37</v>
      </c>
      <c r="V6810" s="5" t="s">
        <v>28598</v>
      </c>
      <c r="W6810" s="5" t="s">
        <v>67</v>
      </c>
      <c r="X6810" s="5" t="s">
        <v>67</v>
      </c>
      <c r="Y6810" s="4">
        <v>17</v>
      </c>
      <c r="Z6810" s="4">
        <v>11</v>
      </c>
      <c r="AA6810" s="4">
        <v>27</v>
      </c>
      <c r="AB6810" s="4">
        <v>2</v>
      </c>
      <c r="AC6810" s="4">
        <v>12</v>
      </c>
      <c r="AD6810" s="4">
        <v>11</v>
      </c>
      <c r="AE6810" s="4">
        <v>23</v>
      </c>
      <c r="AF6810" s="4">
        <v>1</v>
      </c>
      <c r="AG6810" s="4">
        <v>7</v>
      </c>
      <c r="AH6810" s="4">
        <v>8</v>
      </c>
      <c r="AI6810" s="4">
        <v>8</v>
      </c>
      <c r="AJ6810" s="4">
        <v>7</v>
      </c>
      <c r="AK6810" s="4">
        <v>14</v>
      </c>
      <c r="AL6810" s="4">
        <v>3</v>
      </c>
      <c r="AM6810" s="4">
        <v>3</v>
      </c>
      <c r="AN6810" s="4">
        <v>0</v>
      </c>
      <c r="AO6810" s="4">
        <v>0</v>
      </c>
      <c r="AP6810" s="4">
        <v>8</v>
      </c>
      <c r="AQ6810" s="4">
        <v>17</v>
      </c>
      <c r="AR6810" s="3" t="s">
        <v>61</v>
      </c>
      <c r="AS6810" s="3" t="s">
        <v>62</v>
      </c>
      <c r="AT6810" s="3" t="s">
        <v>62</v>
      </c>
      <c r="AV6810" s="6" t="str">
        <f>HYPERLINK("http://mcgill.on.worldcat.org/oclc/20266224","Catalog Record")</f>
        <v>Catalog Record</v>
      </c>
      <c r="AW6810" s="6" t="str">
        <f>HYPERLINK("http://www.worldcat.org/oclc/20266224","WorldCat Record")</f>
        <v>WorldCat Record</v>
      </c>
      <c r="AX6810" s="3" t="s">
        <v>39933</v>
      </c>
      <c r="AY6810" s="3" t="s">
        <v>39934</v>
      </c>
      <c r="AZ6810" s="3" t="s">
        <v>39935</v>
      </c>
      <c r="BA6810" s="3" t="s">
        <v>39935</v>
      </c>
      <c r="BB6810" s="3" t="s">
        <v>65437</v>
      </c>
      <c r="BC6810" s="3" t="s">
        <v>142</v>
      </c>
      <c r="BD6810" s="3" t="s">
        <v>68</v>
      </c>
      <c r="BE6810" s="3" t="s">
        <v>39937</v>
      </c>
      <c r="BF6810" s="3" t="s">
        <v>65437</v>
      </c>
      <c r="BG6810" s="3" t="s">
        <v>65438</v>
      </c>
    </row>
    <row r="6811" spans="1:59" ht="85.5" x14ac:dyDescent="0.45">
      <c r="A6811" s="2" t="s">
        <v>59</v>
      </c>
      <c r="B6811" s="2" t="s">
        <v>65400</v>
      </c>
      <c r="C6811" s="2" t="s">
        <v>65439</v>
      </c>
      <c r="D6811" s="2" t="s">
        <v>65440</v>
      </c>
      <c r="E6811" s="2" t="s">
        <v>39797</v>
      </c>
      <c r="G6811" s="3" t="s">
        <v>62</v>
      </c>
      <c r="I6811" s="3" t="s">
        <v>61</v>
      </c>
      <c r="J6811" s="3" t="s">
        <v>62</v>
      </c>
      <c r="K6811" s="3" t="s">
        <v>63</v>
      </c>
      <c r="L6811" s="2" t="s">
        <v>39798</v>
      </c>
      <c r="M6811" s="2" t="s">
        <v>39799</v>
      </c>
      <c r="N6811" s="3" t="s">
        <v>106</v>
      </c>
      <c r="P6811" s="3" t="s">
        <v>110</v>
      </c>
      <c r="Q6811" s="2" t="s">
        <v>39800</v>
      </c>
      <c r="R6811" s="3" t="s">
        <v>66</v>
      </c>
      <c r="S6811" s="4">
        <v>0</v>
      </c>
      <c r="T6811" s="4">
        <v>51</v>
      </c>
      <c r="V6811" s="5" t="s">
        <v>5880</v>
      </c>
      <c r="W6811" s="5" t="s">
        <v>67</v>
      </c>
      <c r="X6811" s="5" t="s">
        <v>67</v>
      </c>
      <c r="Y6811" s="4">
        <v>36</v>
      </c>
      <c r="Z6811" s="4">
        <v>15</v>
      </c>
      <c r="AA6811" s="4">
        <v>16</v>
      </c>
      <c r="AB6811" s="4">
        <v>3</v>
      </c>
      <c r="AC6811" s="4">
        <v>3</v>
      </c>
      <c r="AD6811" s="4">
        <v>26</v>
      </c>
      <c r="AE6811" s="4">
        <v>27</v>
      </c>
      <c r="AF6811" s="4">
        <v>2</v>
      </c>
      <c r="AG6811" s="4">
        <v>2</v>
      </c>
      <c r="AH6811" s="4">
        <v>21</v>
      </c>
      <c r="AI6811" s="4">
        <v>21</v>
      </c>
      <c r="AJ6811" s="4">
        <v>7</v>
      </c>
      <c r="AK6811" s="4">
        <v>8</v>
      </c>
      <c r="AL6811" s="4">
        <v>10</v>
      </c>
      <c r="AM6811" s="4">
        <v>10</v>
      </c>
      <c r="AN6811" s="4">
        <v>0</v>
      </c>
      <c r="AO6811" s="4">
        <v>0</v>
      </c>
      <c r="AP6811" s="4">
        <v>12</v>
      </c>
      <c r="AQ6811" s="4">
        <v>13</v>
      </c>
      <c r="AR6811" s="3" t="s">
        <v>61</v>
      </c>
      <c r="AS6811" s="3" t="s">
        <v>62</v>
      </c>
      <c r="AT6811" s="3" t="s">
        <v>61</v>
      </c>
      <c r="AU6811" s="6" t="str">
        <f>HYPERLINK("http://catalog.hathitrust.org/Record/004714520","HathiTrust Record")</f>
        <v>HathiTrust Record</v>
      </c>
      <c r="AV6811" s="6" t="str">
        <f>HYPERLINK("http://mcgill.on.worldcat.org/oclc/11159181","Catalog Record")</f>
        <v>Catalog Record</v>
      </c>
      <c r="AW6811" s="6" t="str">
        <f>HYPERLINK("http://www.worldcat.org/oclc/11159181","WorldCat Record")</f>
        <v>WorldCat Record</v>
      </c>
      <c r="AX6811" s="3" t="s">
        <v>39801</v>
      </c>
      <c r="AY6811" s="3" t="s">
        <v>39802</v>
      </c>
      <c r="AZ6811" s="3" t="s">
        <v>39803</v>
      </c>
      <c r="BA6811" s="3" t="s">
        <v>39803</v>
      </c>
      <c r="BB6811" s="3" t="s">
        <v>65441</v>
      </c>
      <c r="BC6811" s="3" t="s">
        <v>142</v>
      </c>
      <c r="BD6811" s="3" t="s">
        <v>68</v>
      </c>
      <c r="BE6811" s="3" t="s">
        <v>39805</v>
      </c>
      <c r="BF6811" s="3" t="s">
        <v>65441</v>
      </c>
      <c r="BG6811" s="3" t="s">
        <v>65442</v>
      </c>
    </row>
    <row r="6812" spans="1:59" ht="85.5" x14ac:dyDescent="0.45">
      <c r="A6812" s="2" t="s">
        <v>59</v>
      </c>
      <c r="B6812" s="2" t="s">
        <v>65400</v>
      </c>
      <c r="C6812" s="2" t="s">
        <v>65443</v>
      </c>
      <c r="D6812" s="2" t="s">
        <v>65444</v>
      </c>
      <c r="E6812" s="2" t="s">
        <v>65445</v>
      </c>
      <c r="G6812" s="3" t="s">
        <v>62</v>
      </c>
      <c r="I6812" s="3" t="s">
        <v>61</v>
      </c>
      <c r="J6812" s="3" t="s">
        <v>62</v>
      </c>
      <c r="K6812" s="3" t="s">
        <v>63</v>
      </c>
      <c r="L6812" s="2" t="s">
        <v>65446</v>
      </c>
      <c r="M6812" s="2" t="s">
        <v>65447</v>
      </c>
      <c r="N6812" s="3" t="s">
        <v>555</v>
      </c>
      <c r="P6812" s="3" t="s">
        <v>110</v>
      </c>
      <c r="Q6812" s="2" t="s">
        <v>65448</v>
      </c>
      <c r="R6812" s="3" t="s">
        <v>66</v>
      </c>
      <c r="S6812" s="4">
        <v>0</v>
      </c>
      <c r="T6812" s="4">
        <v>2</v>
      </c>
      <c r="V6812" s="5" t="s">
        <v>58258</v>
      </c>
      <c r="W6812" s="5" t="s">
        <v>67</v>
      </c>
      <c r="X6812" s="5" t="s">
        <v>67</v>
      </c>
      <c r="Y6812" s="4">
        <v>19</v>
      </c>
      <c r="Z6812" s="4">
        <v>10</v>
      </c>
      <c r="AA6812" s="4">
        <v>23</v>
      </c>
      <c r="AB6812" s="4">
        <v>2</v>
      </c>
      <c r="AC6812" s="4">
        <v>10</v>
      </c>
      <c r="AD6812" s="4">
        <v>13</v>
      </c>
      <c r="AE6812" s="4">
        <v>20</v>
      </c>
      <c r="AF6812" s="4">
        <v>1</v>
      </c>
      <c r="AG6812" s="4">
        <v>5</v>
      </c>
      <c r="AH6812" s="4">
        <v>10</v>
      </c>
      <c r="AI6812" s="4">
        <v>13</v>
      </c>
      <c r="AJ6812" s="4">
        <v>6</v>
      </c>
      <c r="AK6812" s="4">
        <v>12</v>
      </c>
      <c r="AL6812" s="4">
        <v>3</v>
      </c>
      <c r="AM6812" s="4">
        <v>3</v>
      </c>
      <c r="AN6812" s="4">
        <v>0</v>
      </c>
      <c r="AO6812" s="4">
        <v>0</v>
      </c>
      <c r="AP6812" s="4">
        <v>6</v>
      </c>
      <c r="AQ6812" s="4">
        <v>11</v>
      </c>
      <c r="AR6812" s="3" t="s">
        <v>61</v>
      </c>
      <c r="AS6812" s="3" t="s">
        <v>62</v>
      </c>
      <c r="AT6812" s="3" t="s">
        <v>61</v>
      </c>
      <c r="AU6812" s="6" t="str">
        <f>HYPERLINK("http://catalog.hathitrust.org/Record/010583756","HathiTrust Record")</f>
        <v>HathiTrust Record</v>
      </c>
      <c r="AV6812" s="6" t="str">
        <f>HYPERLINK("http://mcgill.on.worldcat.org/oclc/3241609","Catalog Record")</f>
        <v>Catalog Record</v>
      </c>
      <c r="AW6812" s="6" t="str">
        <f>HYPERLINK("http://www.worldcat.org/oclc/3241609","WorldCat Record")</f>
        <v>WorldCat Record</v>
      </c>
      <c r="AX6812" s="3" t="s">
        <v>65449</v>
      </c>
      <c r="AY6812" s="3" t="s">
        <v>65450</v>
      </c>
      <c r="AZ6812" s="3" t="s">
        <v>65451</v>
      </c>
      <c r="BA6812" s="3" t="s">
        <v>65451</v>
      </c>
      <c r="BB6812" s="3" t="s">
        <v>65452</v>
      </c>
      <c r="BC6812" s="3" t="s">
        <v>142</v>
      </c>
      <c r="BD6812" s="3" t="s">
        <v>68</v>
      </c>
      <c r="BF6812" s="3" t="s">
        <v>65452</v>
      </c>
      <c r="BG6812" s="3" t="s">
        <v>65453</v>
      </c>
    </row>
    <row r="6813" spans="1:59" ht="57" x14ac:dyDescent="0.45">
      <c r="A6813" s="2" t="s">
        <v>59</v>
      </c>
      <c r="B6813" s="2" t="s">
        <v>60</v>
      </c>
      <c r="C6813" s="2" t="s">
        <v>65454</v>
      </c>
      <c r="D6813" s="2" t="s">
        <v>65455</v>
      </c>
      <c r="E6813" s="2" t="s">
        <v>63508</v>
      </c>
      <c r="G6813" s="3" t="s">
        <v>62</v>
      </c>
      <c r="I6813" s="3" t="s">
        <v>61</v>
      </c>
      <c r="J6813" s="3" t="s">
        <v>62</v>
      </c>
      <c r="K6813" s="3" t="s">
        <v>63</v>
      </c>
      <c r="L6813" s="2" t="s">
        <v>53146</v>
      </c>
      <c r="M6813" s="2" t="s">
        <v>63509</v>
      </c>
      <c r="N6813" s="3" t="s">
        <v>1855</v>
      </c>
      <c r="P6813" s="3" t="s">
        <v>65</v>
      </c>
      <c r="Q6813" s="2" t="s">
        <v>63510</v>
      </c>
      <c r="R6813" s="3" t="s">
        <v>66</v>
      </c>
      <c r="S6813" s="4">
        <v>0</v>
      </c>
      <c r="T6813" s="4">
        <v>5</v>
      </c>
      <c r="V6813" s="5" t="s">
        <v>44747</v>
      </c>
      <c r="W6813" s="5" t="s">
        <v>67</v>
      </c>
      <c r="X6813" s="5" t="s">
        <v>67</v>
      </c>
      <c r="Y6813" s="4">
        <v>145</v>
      </c>
      <c r="Z6813" s="4">
        <v>10</v>
      </c>
      <c r="AA6813" s="4">
        <v>10</v>
      </c>
      <c r="AB6813" s="4">
        <v>2</v>
      </c>
      <c r="AC6813" s="4">
        <v>2</v>
      </c>
      <c r="AD6813" s="4">
        <v>68</v>
      </c>
      <c r="AE6813" s="4">
        <v>68</v>
      </c>
      <c r="AF6813" s="4">
        <v>1</v>
      </c>
      <c r="AG6813" s="4">
        <v>1</v>
      </c>
      <c r="AH6813" s="4">
        <v>63</v>
      </c>
      <c r="AI6813" s="4">
        <v>63</v>
      </c>
      <c r="AJ6813" s="4">
        <v>8</v>
      </c>
      <c r="AK6813" s="4">
        <v>8</v>
      </c>
      <c r="AL6813" s="4">
        <v>40</v>
      </c>
      <c r="AM6813" s="4">
        <v>40</v>
      </c>
      <c r="AN6813" s="4">
        <v>0</v>
      </c>
      <c r="AO6813" s="4">
        <v>0</v>
      </c>
      <c r="AP6813" s="4">
        <v>9</v>
      </c>
      <c r="AQ6813" s="4">
        <v>9</v>
      </c>
      <c r="AR6813" s="3" t="s">
        <v>62</v>
      </c>
      <c r="AS6813" s="3" t="s">
        <v>62</v>
      </c>
      <c r="AT6813" s="3" t="s">
        <v>62</v>
      </c>
      <c r="AV6813" s="6" t="str">
        <f>HYPERLINK("http://mcgill.on.worldcat.org/oclc/62420997","Catalog Record")</f>
        <v>Catalog Record</v>
      </c>
      <c r="AW6813" s="6" t="str">
        <f>HYPERLINK("http://www.worldcat.org/oclc/62420997","WorldCat Record")</f>
        <v>WorldCat Record</v>
      </c>
      <c r="AX6813" s="3" t="s">
        <v>63511</v>
      </c>
      <c r="AY6813" s="3" t="s">
        <v>63512</v>
      </c>
      <c r="AZ6813" s="3" t="s">
        <v>63513</v>
      </c>
      <c r="BA6813" s="3" t="s">
        <v>63513</v>
      </c>
      <c r="BB6813" s="3" t="s">
        <v>65456</v>
      </c>
      <c r="BC6813" s="3" t="s">
        <v>142</v>
      </c>
      <c r="BD6813" s="3" t="s">
        <v>68</v>
      </c>
      <c r="BE6813" s="3" t="s">
        <v>63515</v>
      </c>
      <c r="BF6813" s="3" t="s">
        <v>65456</v>
      </c>
      <c r="BG6813" s="3" t="s">
        <v>65457</v>
      </c>
    </row>
    <row r="6814" spans="1:59" ht="85.5" x14ac:dyDescent="0.45">
      <c r="A6814" s="2" t="s">
        <v>59</v>
      </c>
      <c r="B6814" s="2" t="s">
        <v>65400</v>
      </c>
      <c r="C6814" s="2" t="s">
        <v>65458</v>
      </c>
      <c r="D6814" s="2" t="s">
        <v>65459</v>
      </c>
      <c r="E6814" s="2" t="s">
        <v>26066</v>
      </c>
      <c r="G6814" s="3" t="s">
        <v>62</v>
      </c>
      <c r="I6814" s="3" t="s">
        <v>61</v>
      </c>
      <c r="J6814" s="3" t="s">
        <v>62</v>
      </c>
      <c r="K6814" s="3" t="s">
        <v>63</v>
      </c>
      <c r="M6814" s="2" t="s">
        <v>26067</v>
      </c>
      <c r="N6814" s="3" t="s">
        <v>1604</v>
      </c>
      <c r="P6814" s="3" t="s">
        <v>65</v>
      </c>
      <c r="Q6814" s="2" t="s">
        <v>26068</v>
      </c>
      <c r="R6814" s="3" t="s">
        <v>66</v>
      </c>
      <c r="S6814" s="4">
        <v>0</v>
      </c>
      <c r="T6814" s="4">
        <v>18</v>
      </c>
      <c r="V6814" s="5" t="s">
        <v>19032</v>
      </c>
      <c r="W6814" s="5" t="s">
        <v>67</v>
      </c>
      <c r="X6814" s="5" t="s">
        <v>67</v>
      </c>
      <c r="Y6814" s="4">
        <v>219</v>
      </c>
      <c r="Z6814" s="4">
        <v>21</v>
      </c>
      <c r="AA6814" s="4">
        <v>25</v>
      </c>
      <c r="AB6814" s="4">
        <v>3</v>
      </c>
      <c r="AC6814" s="4">
        <v>6</v>
      </c>
      <c r="AD6814" s="4">
        <v>95</v>
      </c>
      <c r="AE6814" s="4">
        <v>99</v>
      </c>
      <c r="AF6814" s="4">
        <v>1</v>
      </c>
      <c r="AG6814" s="4">
        <v>4</v>
      </c>
      <c r="AH6814" s="4">
        <v>85</v>
      </c>
      <c r="AI6814" s="4">
        <v>87</v>
      </c>
      <c r="AJ6814" s="4">
        <v>14</v>
      </c>
      <c r="AK6814" s="4">
        <v>18</v>
      </c>
      <c r="AL6814" s="4">
        <v>45</v>
      </c>
      <c r="AM6814" s="4">
        <v>45</v>
      </c>
      <c r="AN6814" s="4">
        <v>0</v>
      </c>
      <c r="AO6814" s="4">
        <v>0</v>
      </c>
      <c r="AP6814" s="4">
        <v>17</v>
      </c>
      <c r="AQ6814" s="4">
        <v>20</v>
      </c>
      <c r="AR6814" s="3" t="s">
        <v>62</v>
      </c>
      <c r="AS6814" s="3" t="s">
        <v>62</v>
      </c>
      <c r="AT6814" s="3" t="s">
        <v>61</v>
      </c>
      <c r="AU6814" s="6" t="str">
        <f>HYPERLINK("http://catalog.hathitrust.org/Record/002867379","HathiTrust Record")</f>
        <v>HathiTrust Record</v>
      </c>
      <c r="AV6814" s="6" t="str">
        <f>HYPERLINK("http://mcgill.on.worldcat.org/oclc/30736980","Catalog Record")</f>
        <v>Catalog Record</v>
      </c>
      <c r="AW6814" s="6" t="str">
        <f>HYPERLINK("http://www.worldcat.org/oclc/30736980","WorldCat Record")</f>
        <v>WorldCat Record</v>
      </c>
      <c r="AX6814" s="3" t="s">
        <v>26069</v>
      </c>
      <c r="AY6814" s="3" t="s">
        <v>26070</v>
      </c>
      <c r="AZ6814" s="3" t="s">
        <v>26071</v>
      </c>
      <c r="BA6814" s="3" t="s">
        <v>26071</v>
      </c>
      <c r="BB6814" s="3" t="s">
        <v>65460</v>
      </c>
      <c r="BC6814" s="3" t="s">
        <v>142</v>
      </c>
      <c r="BD6814" s="3" t="s">
        <v>68</v>
      </c>
      <c r="BE6814" s="3" t="s">
        <v>26073</v>
      </c>
      <c r="BF6814" s="3" t="s">
        <v>65460</v>
      </c>
      <c r="BG6814" s="3" t="s">
        <v>65461</v>
      </c>
    </row>
  </sheetData>
  <autoFilter ref="A1:BG6776" xr:uid="{00000000-0009-0000-0000-000000000000}">
    <sortState xmlns:xlrd2="http://schemas.microsoft.com/office/spreadsheetml/2017/richdata2" ref="A2:BG7388">
      <sortCondition ref="D1:D6776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223C378089942809A7943C4880DE6" ma:contentTypeVersion="12" ma:contentTypeDescription="Create a new document." ma:contentTypeScope="" ma:versionID="36d975042bf97339687dfe0e10a71455">
  <xsd:schema xmlns:xsd="http://www.w3.org/2001/XMLSchema" xmlns:xs="http://www.w3.org/2001/XMLSchema" xmlns:p="http://schemas.microsoft.com/office/2006/metadata/properties" xmlns:ns3="8fa821e5-be0b-4978-8cb3-cce5e1f24c34" xmlns:ns4="8b7c810d-c9c3-4987-b0d7-7c20b69da642" targetNamespace="http://schemas.microsoft.com/office/2006/metadata/properties" ma:root="true" ma:fieldsID="358779577b353762824036ff6a96c571" ns3:_="" ns4:_="">
    <xsd:import namespace="8fa821e5-be0b-4978-8cb3-cce5e1f24c34"/>
    <xsd:import namespace="8b7c810d-c9c3-4987-b0d7-7c20b69da64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a821e5-be0b-4978-8cb3-cce5e1f24c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c810d-c9c3-4987-b0d7-7c20b69da64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20035B-68DE-43CE-8603-DA38404308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a821e5-be0b-4978-8cb3-cce5e1f24c34"/>
    <ds:schemaRef ds:uri="8b7c810d-c9c3-4987-b0d7-7c20b69da6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55CFCB-3DE5-4EF8-BFA9-9188E33F8137}">
  <ds:schemaRefs>
    <ds:schemaRef ds:uri="http://schemas.microsoft.com/office/2006/metadata/properties"/>
    <ds:schemaRef ds:uri="8fa821e5-be0b-4978-8cb3-cce5e1f24c34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8b7c810d-c9c3-4987-b0d7-7c20b69da642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D637626-D0E7-4FB8-9882-D5AAF28692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Print Books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 Houle</dc:creator>
  <cp:lastModifiedBy>Eamon Duffy</cp:lastModifiedBy>
  <dcterms:created xsi:type="dcterms:W3CDTF">2020-07-20T05:50:19Z</dcterms:created>
  <dcterms:modified xsi:type="dcterms:W3CDTF">2021-08-04T20:48:53Z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0x010100627223C378089942809A7943C4880DE6</vt:lpwstr>
  </property>
</Properties>
</file>